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1.xml" ContentType="application/vnd.openxmlformats-officedocument.themeOverrid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2.xml" ContentType="application/vnd.openxmlformats-officedocument.themeOverrid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theme/themeOverride3.xml" ContentType="application/vnd.openxmlformats-officedocument.themeOverrid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updateLinks="never" codeName="ThisWorkbook" hidePivotFieldList="1"/>
  <mc:AlternateContent xmlns:mc="http://schemas.openxmlformats.org/markup-compatibility/2006">
    <mc:Choice Requires="x15">
      <x15ac:absPath xmlns:x15ac="http://schemas.microsoft.com/office/spreadsheetml/2010/11/ac" url="P:\Projects\Aprirose Real Estate Investment - NCP Heathrow Flightpath, Bath Road - 22-148\11. Planning Application\Final Submission 15.07\"/>
    </mc:Choice>
  </mc:AlternateContent>
  <xr:revisionPtr revIDLastSave="0" documentId="8_{892FE562-DE5D-441C-870D-80AAE7EDD82C}" xr6:coauthVersionLast="47" xr6:coauthVersionMax="47" xr10:uidLastSave="{00000000-0000-0000-0000-000000000000}"/>
  <bookViews>
    <workbookView xWindow="-110" yWindow="-110" windowWidth="19420" windowHeight="10420" firstSheet="1" activeTab="5" xr2:uid="{1AD79337-B780-4527-908A-5E51A287A143}"/>
  </bookViews>
  <sheets>
    <sheet name="Introduction" sheetId="101" state="hidden" r:id="rId1"/>
    <sheet name="Start" sheetId="96" r:id="rId2"/>
    <sheet name="Instructions" sheetId="89" state="hidden" r:id="rId3"/>
    <sheet name="Main Menu" sheetId="78" r:id="rId4"/>
    <sheet name="Results" sheetId="79" r:id="rId5"/>
    <sheet name="Headline Results" sheetId="73" r:id="rId6"/>
    <sheet name="Detailed Results" sheetId="36" r:id="rId7"/>
    <sheet name="Trading Summary" sheetId="72" state="hidden" r:id="rId8"/>
    <sheet name="A-1 Site Habitat Baseline" sheetId="11" r:id="rId9"/>
    <sheet name="A-2 Site Habitat Creation" sheetId="46" r:id="rId10"/>
    <sheet name="A-3 Site Habitat Enhancement" sheetId="32" r:id="rId11"/>
    <sheet name="D-1 Off Site Habitat Baseline" sheetId="59" state="hidden" r:id="rId12"/>
    <sheet name="D-2 Off Site Habitat Creation" sheetId="71" state="hidden" r:id="rId13"/>
    <sheet name="D-3 Off Site Habitat Enhancment" sheetId="50" state="hidden" r:id="rId14"/>
    <sheet name="B-1 Site Hedge Baseline" sheetId="52" r:id="rId15"/>
    <sheet name="B-2 Site Hedge Creation" sheetId="42" r:id="rId16"/>
    <sheet name="B-3 Site Hedge Enhancement" sheetId="53" state="hidden" r:id="rId17"/>
    <sheet name="E-1 Off Site Hedge Baseline" sheetId="55" state="hidden" r:id="rId18"/>
    <sheet name="E-2 Off Site Hedge Creation" sheetId="58" state="hidden" r:id="rId19"/>
    <sheet name="E-3 Off Site Hedge Enhancement" sheetId="57" state="hidden" r:id="rId20"/>
    <sheet name="C-1 Site River Baseline" sheetId="63" state="hidden" r:id="rId21"/>
    <sheet name="C-2 Site River Creation" sheetId="64" state="hidden" r:id="rId22"/>
    <sheet name="C-3 Site River Enhancement" sheetId="65" state="hidden" r:id="rId23"/>
    <sheet name="F-1 Off Site River Baseline" sheetId="67" state="hidden" r:id="rId24"/>
    <sheet name="F-2 Off Site River Creation" sheetId="68" state="hidden" r:id="rId25"/>
    <sheet name="F-3 Off Site River Enhancement" sheetId="69" state="hidden" r:id="rId26"/>
    <sheet name="G-1 All Habitats" sheetId="29" state="hidden" r:id="rId27"/>
    <sheet name="G-2 Habitat groups" sheetId="22" state="hidden" r:id="rId28"/>
    <sheet name="G-3 Multipliers" sheetId="28" state="hidden" r:id="rId29"/>
    <sheet name="G-4 Temporal multipliers" sheetId="20" state="hidden" r:id="rId30"/>
    <sheet name="G-5 Enhancement Temporal" sheetId="33" state="hidden" r:id="rId31"/>
    <sheet name="G-6 Hedgerow Data" sheetId="39" state="hidden" r:id="rId32"/>
    <sheet name="G-7 Rivers Data" sheetId="66" state="hidden" r:id="rId33"/>
    <sheet name="G-8 Condition Look up" sheetId="99" state="hidden" r:id="rId34"/>
    <sheet name="G-9 Translation Phase 1" sheetId="103" state="hidden" r:id="rId35"/>
    <sheet name="Technical Data" sheetId="95" state="hidden" r:id="rId36"/>
    <sheet name="Lists" sheetId="61" state="hidden" r:id="rId37"/>
  </sheets>
  <externalReferences>
    <externalReference r:id="rId38"/>
    <externalReference r:id="rId39"/>
    <externalReference r:id="rId40"/>
  </externalReferences>
  <definedNames>
    <definedName name="_xlnm._FilterDatabase" localSheetId="8" hidden="1">'A-1 Site Habitat Baseline'!$E$10:$Q$259</definedName>
    <definedName name="_xlnm._FilterDatabase" localSheetId="9" hidden="1">'A-2 Site Habitat Creation'!$F$10:$AA$257</definedName>
    <definedName name="_xlnm._FilterDatabase" localSheetId="10" hidden="1">'A-3 Site Habitat Enhancement'!$E$11:$AP$261</definedName>
    <definedName name="_xlnm._FilterDatabase" localSheetId="14" hidden="1">'B-1 Site Hedge Baseline'!$C$9:$N$258</definedName>
    <definedName name="_xlnm._FilterDatabase" localSheetId="15" hidden="1">'B-2 Site Hedge Creation'!$B$11:$S$11</definedName>
    <definedName name="_xlnm._FilterDatabase" localSheetId="16" hidden="1">'B-3 Site Hedge Enhancement'!$B$11:$AD$261</definedName>
    <definedName name="_xlnm._FilterDatabase" localSheetId="20" hidden="1">'C-1 Site River Baseline'!$C$9:$N$258</definedName>
    <definedName name="_xlnm._FilterDatabase" localSheetId="21" hidden="1">'C-2 Site River Creation'!$C$11:$X$261</definedName>
    <definedName name="_xlnm._FilterDatabase" localSheetId="22" hidden="1">'C-3 Site River Enhancement'!$B$11:$M$11</definedName>
    <definedName name="_xlnm._FilterDatabase" localSheetId="11" hidden="1">'D-1 Off Site Habitat Baseline'!$E$10:$Q$259</definedName>
    <definedName name="_xlnm._FilterDatabase" localSheetId="12" hidden="1">'D-2 Off Site Habitat Creation'!$F$10:$AC$10</definedName>
    <definedName name="_xlnm._FilterDatabase" localSheetId="13" hidden="1">'D-3 Off Site Habitat Enhancment'!$E$11:$AR$495</definedName>
    <definedName name="_xlnm._FilterDatabase" localSheetId="17" hidden="1">'E-1 Off Site Hedge Baseline'!$C$9:$N$258</definedName>
    <definedName name="_xlnm._FilterDatabase" localSheetId="18" hidden="1">'E-2 Off Site Hedge Creation'!$B$11:$U$11</definedName>
    <definedName name="_xlnm._FilterDatabase" localSheetId="19" hidden="1">'E-3 Off Site Hedge Enhancement'!$B$11:$AH$11</definedName>
    <definedName name="_xlnm._FilterDatabase" localSheetId="23" hidden="1">'F-1 Off Site River Baseline'!$C$9:$N$258</definedName>
    <definedName name="_xlnm._FilterDatabase" localSheetId="24" hidden="1">'F-2 Off Site River Creation'!$B$11:$AB$11</definedName>
    <definedName name="_xlnm._FilterDatabase" localSheetId="25" hidden="1">'F-3 Off Site River Enhancement'!$B$11:$AO$261</definedName>
    <definedName name="_xlnm._FilterDatabase" localSheetId="26" hidden="1">'G-1 All Habitats'!$B$2:$S$129</definedName>
    <definedName name="_xlnm._FilterDatabase" localSheetId="27" hidden="1">'G-2 Habitat groups'!$A$3:$R$78</definedName>
    <definedName name="_xlnm._FilterDatabase" localSheetId="28" hidden="1">'G-3 Multipliers'!$A$2:$E$121</definedName>
    <definedName name="_xlnm._FilterDatabase" localSheetId="29" hidden="1">'G-4 Temporal multipliers'!$F$3:$M$127</definedName>
    <definedName name="_xlnm._FilterDatabase" localSheetId="30" hidden="1">'G-5 Enhancement Temporal'!$C$3:$Y$131</definedName>
    <definedName name="_xlnm._FilterDatabase" localSheetId="33" hidden="1">'G-8 Condition Look up'!$A$3:$H$78</definedName>
    <definedName name="_xlnm._FilterDatabase" localSheetId="34" hidden="1">'G-9 Translation Phase 1'!$B$2:$D$150</definedName>
    <definedName name="_xlnm._FilterDatabase" localSheetId="36" hidden="1">Lists!$D$1:$D$156</definedName>
    <definedName name="_xlnm._FilterDatabase" localSheetId="7" hidden="1">'Trading Summary'!$B$12:$D$36</definedName>
    <definedName name="AllHabsSummaryData">'G-2 Habitat groups'!$A$3:$AF$130</definedName>
    <definedName name="BaselineHabOffsite">'D-1 Off Site Habitat Baseline'!$D$11:$X$258</definedName>
    <definedName name="BaselineHabSite">'A-1 Site Habitat Baseline'!$D$11:$X$258</definedName>
    <definedName name="baselineimage">Start!$D$31:$G$45</definedName>
    <definedName name="baselineimageOS" localSheetId="1">Start!$D$52:$G$57</definedName>
    <definedName name="Coastal_lagoons">'G-1 All Habitats'!$A$99</definedName>
    <definedName name="Coastal_saltmarsh">'G-1 All Habitats'!$A$108:$A$109</definedName>
    <definedName name="Cond1">'G-8 Condition Look up'!$J$5</definedName>
    <definedName name="Cond2">'G-8 Condition Look up'!$K$5</definedName>
    <definedName name="Cond3">'G-8 Condition Look up'!$L$5</definedName>
    <definedName name="Cond4">'G-8 Condition Look up'!$M$5:$M$9</definedName>
    <definedName name="Cond5">'G-8 Condition Look up'!$N$5</definedName>
    <definedName name="Condition" localSheetId="33">'G-8 Condition Look up'!$B$3:$H$3</definedName>
    <definedName name="ConditionData" localSheetId="33">'G-8 Condition Look up'!$A$4:$H$99</definedName>
    <definedName name="ConditionHabitats" localSheetId="33">'G-8 Condition Look up'!$A$4:$A$125</definedName>
    <definedName name="Cropland">'G-1 All Habitats'!$A$3:$A$12</definedName>
    <definedName name="Difficulty">'G-3 Multipliers'!$P$3:$Q$6</definedName>
    <definedName name="EnhanceCondition">'G-5 Enhancement Temporal'!$C$4:$X$4</definedName>
    <definedName name="EnhanceHabitat">'G-5 Enhancement Temporal'!$C$4:$C$131</definedName>
    <definedName name="EnhanceTemporal">'G-5 Enhancement Temporal'!$C$4:$X$131</definedName>
    <definedName name="Grassland">'G-1 All Habitats'!$A$13:$A$25</definedName>
    <definedName name="Heathland_and_shrub">'G-1 All Habitats'!$A$26:$A$37</definedName>
    <definedName name="HedgeCond">'G-6 Hedgerow Data'!$B$2:$T$2</definedName>
    <definedName name="Hedgecond1">'G-6 Hedgerow Data'!$BK$3:$BK$5</definedName>
    <definedName name="Hedgecond2">'G-6 Hedgerow Data'!$BL$3</definedName>
    <definedName name="HedgeData">'G-6 Hedgerow Data'!$B$2:$T$15</definedName>
    <definedName name="HedgeType">'G-6 Hedgerow Data'!$B$2:$B$15</definedName>
    <definedName name="Intertidal_hard_structures">'G-1 All Habitats'!$A$127:$A$129</definedName>
    <definedName name="Intertidal_sediment">'G-1 All Habitats'!$A$110:$A$126</definedName>
    <definedName name="Lakes">'G-1 All Habitats'!$A$38:$A$48</definedName>
    <definedName name="LPAList">Lists!$A$1:$A$378</definedName>
    <definedName name="postdevelopmentimage">Start!$I$31:$O$45</definedName>
    <definedName name="postdevelopmentimageOS">Start!$I$52:$O$57</definedName>
    <definedName name="RetCatChecks">'A-1 Site Habitat Baseline'!$AE$11:$AH$258</definedName>
    <definedName name="riparianencroachment1">'G-7 Rivers Data'!$AA$4:$AA$6</definedName>
    <definedName name="riparianencroachment2">'G-7 Rivers Data'!$AA$7</definedName>
    <definedName name="Rivercond1">'G-7 Rivers Data'!$BB$3:$BB$7</definedName>
    <definedName name="Rivercond2">'G-7 Rivers Data'!$BC$3</definedName>
    <definedName name="RiverCondition">'G-7 Rivers Data'!$B$3:$X$3</definedName>
    <definedName name="RiverEnhanceTemporal">'G-7 Rivers Data'!$B$4:$X$12</definedName>
    <definedName name="RiverHabitat">'G-7 Rivers Data'!$B$4:$B$13</definedName>
    <definedName name="RiversEnhancment">'G-7 Rivers Data'!$O$3:$X$5</definedName>
    <definedName name="Rocky_shore">'G-1 All Habitats'!$A$100:$A$107</definedName>
    <definedName name="Sparsely_vegetated_land">'G-1 All Habitats'!$A$49:$A$56</definedName>
    <definedName name="TemporalConditions">'G-4 Temporal multipliers'!$F$3:$M$3</definedName>
    <definedName name="TemporalData">'G-4 Temporal multipliers'!$F$3:$M$130</definedName>
    <definedName name="TemporalHabitats">'G-4 Temporal multipliers'!$F$3:$F$130</definedName>
    <definedName name="TemporalMultipliers">'G-4 Temporal multipliers'!$A$4:$C$36</definedName>
    <definedName name="Urban">'G-1 All Habitats'!$A$57:$A$77</definedName>
    <definedName name="Wetland">'G-1 All Habitats'!$A$78:$A$85</definedName>
    <definedName name="Woodland_and_forest">'G-1 All Habitats'!$A$86:$A$98</definedName>
  </definedNames>
  <calcPr calcId="191028"/>
  <customWorkbookViews>
    <customWorkbookView name="h" guid="{8BDA793C-C9C5-4FC6-A0A5-F1109F6D4F22}" includePrintSettings="0" includeHiddenRowCol="0" maximized="1" xWindow="-1928" yWindow="-314" windowWidth="1936" windowHeight="1056" tabRatio="760" activeSheetId="78"/>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2" i="11" l="1"/>
  <c r="G17" i="46"/>
  <c r="G12" i="46"/>
  <c r="G16" i="46"/>
  <c r="G14" i="46"/>
  <c r="C107" i="72"/>
  <c r="B107" i="72"/>
  <c r="X256" i="71"/>
  <c r="X255" i="71"/>
  <c r="X254" i="71"/>
  <c r="X253" i="71"/>
  <c r="X252" i="71"/>
  <c r="X251" i="71"/>
  <c r="X250" i="71"/>
  <c r="X249" i="71"/>
  <c r="X248" i="71"/>
  <c r="X247" i="71"/>
  <c r="X246" i="71"/>
  <c r="X245" i="71"/>
  <c r="X244" i="71"/>
  <c r="X243" i="71"/>
  <c r="X242" i="71"/>
  <c r="X241" i="71"/>
  <c r="X240" i="71"/>
  <c r="X239" i="71"/>
  <c r="X238" i="71"/>
  <c r="X237" i="71"/>
  <c r="X236" i="71"/>
  <c r="X235" i="71"/>
  <c r="X234" i="71"/>
  <c r="X233" i="71"/>
  <c r="X232" i="71"/>
  <c r="X231" i="71"/>
  <c r="X230" i="71"/>
  <c r="X229" i="71"/>
  <c r="X228" i="71"/>
  <c r="X227" i="71"/>
  <c r="X226" i="71"/>
  <c r="X225" i="71"/>
  <c r="X224" i="71"/>
  <c r="X223" i="71"/>
  <c r="X222" i="71"/>
  <c r="X221" i="71"/>
  <c r="X220" i="71"/>
  <c r="X219" i="71"/>
  <c r="X218" i="71"/>
  <c r="X217" i="71"/>
  <c r="X216" i="71"/>
  <c r="X215" i="71"/>
  <c r="X214" i="71"/>
  <c r="X213" i="71"/>
  <c r="X212" i="71"/>
  <c r="X211" i="71"/>
  <c r="X210" i="71"/>
  <c r="X209" i="71"/>
  <c r="X208" i="71"/>
  <c r="X207" i="71"/>
  <c r="X206" i="71"/>
  <c r="X205" i="71"/>
  <c r="X204" i="71"/>
  <c r="X203" i="71"/>
  <c r="X202" i="71"/>
  <c r="X201" i="71"/>
  <c r="X200" i="71"/>
  <c r="X199" i="71"/>
  <c r="X198" i="71"/>
  <c r="X197" i="71"/>
  <c r="X196" i="71"/>
  <c r="X195" i="71"/>
  <c r="X194" i="71"/>
  <c r="X193" i="71"/>
  <c r="X192" i="71"/>
  <c r="X191" i="71"/>
  <c r="X190" i="71"/>
  <c r="X189" i="71"/>
  <c r="X188" i="71"/>
  <c r="X187" i="71"/>
  <c r="X186" i="71"/>
  <c r="X185" i="71"/>
  <c r="X184" i="71"/>
  <c r="X183" i="71"/>
  <c r="X182" i="71"/>
  <c r="X181" i="71"/>
  <c r="X180" i="71"/>
  <c r="X179" i="71"/>
  <c r="X178" i="71"/>
  <c r="X177" i="71"/>
  <c r="X176" i="71"/>
  <c r="X175" i="71"/>
  <c r="X174" i="71"/>
  <c r="X173" i="71"/>
  <c r="X172" i="71"/>
  <c r="X171" i="71"/>
  <c r="X170" i="71"/>
  <c r="X169" i="71"/>
  <c r="X168" i="71"/>
  <c r="X167" i="71"/>
  <c r="X166" i="71"/>
  <c r="X165" i="71"/>
  <c r="X164" i="71"/>
  <c r="X163" i="71"/>
  <c r="X162" i="71"/>
  <c r="X161" i="71"/>
  <c r="X160" i="71"/>
  <c r="X159" i="71"/>
  <c r="X158" i="71"/>
  <c r="X157" i="71"/>
  <c r="X156" i="71"/>
  <c r="X155" i="71"/>
  <c r="X154" i="71"/>
  <c r="X153" i="71"/>
  <c r="X152" i="71"/>
  <c r="X151" i="71"/>
  <c r="X150" i="71"/>
  <c r="X149" i="71"/>
  <c r="X148" i="71"/>
  <c r="X147" i="71"/>
  <c r="X146" i="71"/>
  <c r="X145" i="71"/>
  <c r="X144" i="71"/>
  <c r="X143" i="71"/>
  <c r="X142" i="71"/>
  <c r="X141" i="71"/>
  <c r="X140" i="71"/>
  <c r="X139" i="71"/>
  <c r="X138" i="71"/>
  <c r="X137" i="71"/>
  <c r="X136" i="71"/>
  <c r="X135" i="71"/>
  <c r="X134" i="71"/>
  <c r="X133" i="71"/>
  <c r="X132" i="71"/>
  <c r="X131" i="71"/>
  <c r="X130" i="71"/>
  <c r="X129" i="71"/>
  <c r="X128" i="71"/>
  <c r="X127" i="71"/>
  <c r="X126" i="71"/>
  <c r="X125" i="71"/>
  <c r="X124" i="71"/>
  <c r="X123" i="71"/>
  <c r="X122" i="71"/>
  <c r="X121" i="71"/>
  <c r="X120" i="71"/>
  <c r="X119" i="71"/>
  <c r="X118" i="71"/>
  <c r="X117" i="71"/>
  <c r="X116" i="71"/>
  <c r="X115" i="71"/>
  <c r="X114" i="71"/>
  <c r="X113" i="71"/>
  <c r="X112" i="71"/>
  <c r="X111" i="71"/>
  <c r="X110" i="71"/>
  <c r="X109" i="71"/>
  <c r="X108" i="71"/>
  <c r="X107" i="71"/>
  <c r="X106" i="71"/>
  <c r="X105" i="71"/>
  <c r="X104" i="71"/>
  <c r="X103" i="71"/>
  <c r="X102" i="71"/>
  <c r="X101" i="71"/>
  <c r="X100" i="71"/>
  <c r="X99" i="71"/>
  <c r="X98" i="71"/>
  <c r="X97" i="71"/>
  <c r="X96" i="71"/>
  <c r="X95" i="71"/>
  <c r="X94" i="71"/>
  <c r="X93" i="71"/>
  <c r="X92" i="71"/>
  <c r="X91" i="71"/>
  <c r="X90" i="71"/>
  <c r="X89" i="71"/>
  <c r="X88" i="71"/>
  <c r="X87" i="71"/>
  <c r="X86" i="71"/>
  <c r="X85" i="71"/>
  <c r="X84" i="71"/>
  <c r="X83" i="71"/>
  <c r="X82" i="71"/>
  <c r="X81" i="71"/>
  <c r="X80" i="71"/>
  <c r="X79" i="71"/>
  <c r="X78" i="71"/>
  <c r="X77" i="71"/>
  <c r="X76" i="71"/>
  <c r="X75" i="71"/>
  <c r="X74" i="71"/>
  <c r="X73" i="71"/>
  <c r="X72" i="71"/>
  <c r="X71" i="71"/>
  <c r="X70" i="71"/>
  <c r="X69" i="71"/>
  <c r="X68" i="71"/>
  <c r="X67" i="71"/>
  <c r="X66" i="71"/>
  <c r="X65" i="71"/>
  <c r="X64" i="71"/>
  <c r="X63" i="71"/>
  <c r="X62" i="71"/>
  <c r="X61" i="71"/>
  <c r="X60" i="71"/>
  <c r="X59" i="71"/>
  <c r="X58" i="71"/>
  <c r="X57" i="71"/>
  <c r="X56" i="71"/>
  <c r="X55" i="71"/>
  <c r="X54" i="71"/>
  <c r="X53" i="71"/>
  <c r="X52" i="71"/>
  <c r="X51" i="71"/>
  <c r="X50" i="71"/>
  <c r="X49" i="71"/>
  <c r="X48" i="71"/>
  <c r="X47" i="71"/>
  <c r="X46" i="71"/>
  <c r="X45" i="71"/>
  <c r="X44" i="71"/>
  <c r="X43" i="71"/>
  <c r="X42" i="71"/>
  <c r="X41" i="71"/>
  <c r="X40" i="71"/>
  <c r="X39" i="71"/>
  <c r="X38" i="71"/>
  <c r="X37" i="71"/>
  <c r="X36" i="71"/>
  <c r="X35" i="71"/>
  <c r="X34" i="71"/>
  <c r="X33" i="71"/>
  <c r="X32" i="71"/>
  <c r="X31" i="71"/>
  <c r="X30" i="71"/>
  <c r="X29" i="71"/>
  <c r="X28" i="71"/>
  <c r="X27" i="71"/>
  <c r="X26" i="71"/>
  <c r="X25" i="71"/>
  <c r="X24" i="71"/>
  <c r="X23" i="71"/>
  <c r="X22" i="71"/>
  <c r="X21" i="71"/>
  <c r="X20" i="71"/>
  <c r="X19" i="71"/>
  <c r="X18" i="71"/>
  <c r="X17" i="71"/>
  <c r="X16" i="71"/>
  <c r="X15" i="71"/>
  <c r="X14" i="71"/>
  <c r="X13" i="71"/>
  <c r="X12" i="71"/>
  <c r="X11" i="71"/>
  <c r="X256" i="46"/>
  <c r="X255" i="46"/>
  <c r="X254" i="46"/>
  <c r="X253" i="46"/>
  <c r="X252" i="46"/>
  <c r="X251" i="46"/>
  <c r="X250" i="46"/>
  <c r="X249" i="46"/>
  <c r="X248" i="46"/>
  <c r="X247" i="46"/>
  <c r="X246" i="46"/>
  <c r="X245" i="46"/>
  <c r="X244" i="46"/>
  <c r="X243" i="46"/>
  <c r="X242" i="46"/>
  <c r="X241" i="46"/>
  <c r="X240" i="46"/>
  <c r="X239" i="46"/>
  <c r="X238" i="46"/>
  <c r="X237" i="46"/>
  <c r="X236" i="46"/>
  <c r="X235" i="46"/>
  <c r="X234" i="46"/>
  <c r="X233" i="46"/>
  <c r="X232" i="46"/>
  <c r="X231" i="46"/>
  <c r="X230" i="46"/>
  <c r="X229" i="46"/>
  <c r="X228" i="46"/>
  <c r="X227" i="46"/>
  <c r="X226" i="46"/>
  <c r="X225" i="46"/>
  <c r="X224" i="46"/>
  <c r="X223" i="46"/>
  <c r="X222" i="46"/>
  <c r="X221" i="46"/>
  <c r="X220" i="46"/>
  <c r="X219" i="46"/>
  <c r="X218" i="46"/>
  <c r="X217" i="46"/>
  <c r="X216" i="46"/>
  <c r="X215" i="46"/>
  <c r="X214" i="46"/>
  <c r="X213" i="46"/>
  <c r="X212" i="46"/>
  <c r="X211" i="46"/>
  <c r="X210" i="46"/>
  <c r="X209" i="46"/>
  <c r="X208" i="46"/>
  <c r="X207" i="46"/>
  <c r="X206" i="46"/>
  <c r="X205" i="46"/>
  <c r="X204" i="46"/>
  <c r="X203" i="46"/>
  <c r="X202" i="46"/>
  <c r="X201" i="46"/>
  <c r="X200" i="46"/>
  <c r="X199" i="46"/>
  <c r="X198" i="46"/>
  <c r="X197" i="46"/>
  <c r="X196" i="46"/>
  <c r="X195" i="46"/>
  <c r="X194" i="46"/>
  <c r="X193" i="46"/>
  <c r="X192" i="46"/>
  <c r="X191" i="46"/>
  <c r="X190" i="46"/>
  <c r="X189" i="46"/>
  <c r="X188" i="46"/>
  <c r="X187" i="46"/>
  <c r="X186" i="46"/>
  <c r="X185" i="46"/>
  <c r="X184" i="46"/>
  <c r="X183" i="46"/>
  <c r="X182" i="46"/>
  <c r="X181" i="46"/>
  <c r="X180" i="46"/>
  <c r="X179" i="46"/>
  <c r="X178" i="46"/>
  <c r="X177" i="46"/>
  <c r="X176" i="46"/>
  <c r="X175" i="46"/>
  <c r="X174" i="46"/>
  <c r="X173" i="46"/>
  <c r="X172" i="46"/>
  <c r="X171" i="46"/>
  <c r="X170" i="46"/>
  <c r="X169" i="46"/>
  <c r="X168" i="46"/>
  <c r="X167" i="46"/>
  <c r="X166" i="46"/>
  <c r="X165" i="46"/>
  <c r="X164" i="46"/>
  <c r="X163" i="46"/>
  <c r="X162" i="46"/>
  <c r="X161" i="46"/>
  <c r="X160" i="46"/>
  <c r="X159" i="46"/>
  <c r="X158" i="46"/>
  <c r="X157" i="46"/>
  <c r="X156" i="46"/>
  <c r="X155" i="46"/>
  <c r="X154" i="46"/>
  <c r="X153" i="46"/>
  <c r="X152" i="46"/>
  <c r="X151" i="46"/>
  <c r="X150" i="46"/>
  <c r="X149" i="46"/>
  <c r="X148" i="46"/>
  <c r="X147" i="46"/>
  <c r="X146" i="46"/>
  <c r="X145" i="46"/>
  <c r="X144" i="46"/>
  <c r="X143" i="46"/>
  <c r="X142" i="46"/>
  <c r="X141" i="46"/>
  <c r="X140" i="46"/>
  <c r="X139" i="46"/>
  <c r="X138" i="46"/>
  <c r="X137" i="46"/>
  <c r="X136" i="46"/>
  <c r="X135" i="46"/>
  <c r="X134" i="46"/>
  <c r="X133" i="46"/>
  <c r="X132" i="46"/>
  <c r="X131" i="46"/>
  <c r="X130" i="46"/>
  <c r="X129" i="46"/>
  <c r="X128" i="46"/>
  <c r="X127" i="46"/>
  <c r="X126" i="46"/>
  <c r="X125" i="46"/>
  <c r="X124" i="46"/>
  <c r="X123" i="46"/>
  <c r="X122" i="46"/>
  <c r="X121" i="46"/>
  <c r="X120" i="46"/>
  <c r="X119" i="46"/>
  <c r="X118" i="46"/>
  <c r="X117" i="46"/>
  <c r="X116" i="46"/>
  <c r="X115" i="46"/>
  <c r="X114" i="46"/>
  <c r="X113" i="46"/>
  <c r="X112" i="46"/>
  <c r="X111" i="46"/>
  <c r="X110" i="46"/>
  <c r="X109" i="46"/>
  <c r="X108" i="46"/>
  <c r="X107" i="46"/>
  <c r="X106" i="46"/>
  <c r="X105" i="46"/>
  <c r="X104" i="46"/>
  <c r="X103" i="46"/>
  <c r="X102" i="46"/>
  <c r="X101" i="46"/>
  <c r="X100" i="46"/>
  <c r="X99" i="46"/>
  <c r="X98" i="46"/>
  <c r="X97" i="46"/>
  <c r="X96" i="46"/>
  <c r="X95" i="46"/>
  <c r="X94" i="46"/>
  <c r="X93" i="46"/>
  <c r="X92" i="46"/>
  <c r="X91" i="46"/>
  <c r="X90" i="46"/>
  <c r="X89" i="46"/>
  <c r="X88" i="46"/>
  <c r="X87" i="46"/>
  <c r="X86" i="46"/>
  <c r="X85" i="46"/>
  <c r="X84" i="46"/>
  <c r="X83" i="46"/>
  <c r="X82" i="46"/>
  <c r="X81" i="46"/>
  <c r="X80" i="46"/>
  <c r="X79" i="46"/>
  <c r="X78" i="46"/>
  <c r="X77" i="46"/>
  <c r="X76" i="46"/>
  <c r="X75" i="46"/>
  <c r="X74" i="46"/>
  <c r="X73" i="46"/>
  <c r="X72" i="46"/>
  <c r="X71" i="46"/>
  <c r="X70" i="46"/>
  <c r="X69" i="46"/>
  <c r="X68" i="46"/>
  <c r="X67" i="46"/>
  <c r="X66" i="46"/>
  <c r="X65" i="46"/>
  <c r="X64" i="46"/>
  <c r="X63" i="46"/>
  <c r="X62" i="46"/>
  <c r="X61" i="46"/>
  <c r="X60" i="46"/>
  <c r="X59" i="46"/>
  <c r="X58" i="46"/>
  <c r="X57" i="46"/>
  <c r="X56" i="46"/>
  <c r="X55" i="46"/>
  <c r="X54" i="46"/>
  <c r="X53" i="46"/>
  <c r="X52" i="46"/>
  <c r="X51" i="46"/>
  <c r="X50" i="46"/>
  <c r="X49" i="46"/>
  <c r="X48" i="46"/>
  <c r="X47" i="46"/>
  <c r="X46" i="46"/>
  <c r="X45" i="46"/>
  <c r="X44" i="46"/>
  <c r="X43" i="46"/>
  <c r="X42" i="46"/>
  <c r="X41" i="46"/>
  <c r="X40" i="46"/>
  <c r="X39" i="46"/>
  <c r="X38" i="46"/>
  <c r="X37" i="46"/>
  <c r="X36" i="46"/>
  <c r="X35" i="46"/>
  <c r="X34" i="46"/>
  <c r="X33" i="46"/>
  <c r="X32" i="46"/>
  <c r="X31" i="46"/>
  <c r="X30" i="46"/>
  <c r="X29" i="46"/>
  <c r="X28" i="46"/>
  <c r="X27" i="46"/>
  <c r="X26" i="46"/>
  <c r="X25" i="46"/>
  <c r="X24" i="46"/>
  <c r="X23" i="46"/>
  <c r="X22" i="46"/>
  <c r="X21" i="46"/>
  <c r="X20" i="46"/>
  <c r="X19" i="46"/>
  <c r="X18" i="46"/>
  <c r="X12" i="59"/>
  <c r="X13" i="59"/>
  <c r="X14" i="59"/>
  <c r="X15" i="59"/>
  <c r="X16" i="59"/>
  <c r="X17" i="59"/>
  <c r="X18" i="59"/>
  <c r="X19" i="59"/>
  <c r="X20" i="59"/>
  <c r="X21" i="59"/>
  <c r="X22" i="59"/>
  <c r="X23" i="59"/>
  <c r="X24" i="59"/>
  <c r="X25" i="59"/>
  <c r="X26" i="59"/>
  <c r="X27" i="59"/>
  <c r="X28" i="59"/>
  <c r="X29" i="59"/>
  <c r="X30" i="59"/>
  <c r="X31" i="59"/>
  <c r="X32" i="59"/>
  <c r="X33" i="59"/>
  <c r="X34" i="59"/>
  <c r="X35" i="59"/>
  <c r="X36" i="59"/>
  <c r="X37" i="59"/>
  <c r="X38" i="59"/>
  <c r="X39" i="59"/>
  <c r="X40" i="59"/>
  <c r="X41" i="59"/>
  <c r="X42" i="59"/>
  <c r="X43" i="59"/>
  <c r="X44" i="59"/>
  <c r="X45" i="59"/>
  <c r="X46" i="59"/>
  <c r="X47" i="59"/>
  <c r="X48" i="59"/>
  <c r="X49" i="59"/>
  <c r="X50" i="59"/>
  <c r="X51" i="59"/>
  <c r="X52" i="59"/>
  <c r="X53" i="59"/>
  <c r="X54" i="59"/>
  <c r="X55" i="59"/>
  <c r="X56" i="59"/>
  <c r="X57" i="59"/>
  <c r="X58" i="59"/>
  <c r="X59" i="59"/>
  <c r="X60" i="59"/>
  <c r="X61" i="59"/>
  <c r="X62" i="59"/>
  <c r="X63" i="59"/>
  <c r="X64" i="59"/>
  <c r="X65" i="59"/>
  <c r="X66" i="59"/>
  <c r="X67" i="59"/>
  <c r="X68" i="59"/>
  <c r="X69" i="59"/>
  <c r="X70" i="59"/>
  <c r="X71" i="59"/>
  <c r="X72" i="59"/>
  <c r="X73" i="59"/>
  <c r="X74" i="59"/>
  <c r="X75" i="59"/>
  <c r="X76" i="59"/>
  <c r="X77" i="59"/>
  <c r="X78" i="59"/>
  <c r="X79" i="59"/>
  <c r="X80" i="59"/>
  <c r="X81" i="59"/>
  <c r="X82" i="59"/>
  <c r="X83" i="59"/>
  <c r="X84" i="59"/>
  <c r="X85" i="59"/>
  <c r="X86" i="59"/>
  <c r="X87" i="59"/>
  <c r="X88" i="59"/>
  <c r="X89" i="59"/>
  <c r="X90" i="59"/>
  <c r="X91" i="59"/>
  <c r="X92" i="59"/>
  <c r="X93" i="59"/>
  <c r="X94" i="59"/>
  <c r="X95" i="59"/>
  <c r="X96" i="59"/>
  <c r="X97" i="59"/>
  <c r="X98" i="59"/>
  <c r="X99" i="59"/>
  <c r="X100" i="59"/>
  <c r="X101" i="59"/>
  <c r="X102" i="59"/>
  <c r="X103" i="59"/>
  <c r="X104" i="59"/>
  <c r="X105" i="59"/>
  <c r="X106" i="59"/>
  <c r="X107" i="59"/>
  <c r="X108" i="59"/>
  <c r="X109" i="59"/>
  <c r="X110" i="59"/>
  <c r="X111" i="59"/>
  <c r="X112" i="59"/>
  <c r="X113" i="59"/>
  <c r="X114" i="59"/>
  <c r="X115" i="59"/>
  <c r="X116" i="59"/>
  <c r="X117" i="59"/>
  <c r="X118" i="59"/>
  <c r="X119" i="59"/>
  <c r="X120" i="59"/>
  <c r="X121" i="59"/>
  <c r="X122" i="59"/>
  <c r="X123" i="59"/>
  <c r="X124" i="59"/>
  <c r="X125" i="59"/>
  <c r="X126" i="59"/>
  <c r="X127" i="59"/>
  <c r="X128" i="59"/>
  <c r="X129" i="59"/>
  <c r="X130" i="59"/>
  <c r="X131" i="59"/>
  <c r="X132" i="59"/>
  <c r="X133" i="59"/>
  <c r="X134" i="59"/>
  <c r="X135" i="59"/>
  <c r="X136" i="59"/>
  <c r="X137" i="59"/>
  <c r="X138" i="59"/>
  <c r="X139" i="59"/>
  <c r="X140" i="59"/>
  <c r="X141" i="59"/>
  <c r="X142" i="59"/>
  <c r="X143" i="59"/>
  <c r="X144" i="59"/>
  <c r="X145" i="59"/>
  <c r="X146" i="59"/>
  <c r="X147" i="59"/>
  <c r="X148" i="59"/>
  <c r="X149" i="59"/>
  <c r="X150" i="59"/>
  <c r="X151" i="59"/>
  <c r="X152" i="59"/>
  <c r="X153" i="59"/>
  <c r="X154" i="59"/>
  <c r="X155" i="59"/>
  <c r="X156" i="59"/>
  <c r="X157" i="59"/>
  <c r="X158" i="59"/>
  <c r="X159" i="59"/>
  <c r="X160" i="59"/>
  <c r="X161" i="59"/>
  <c r="X162" i="59"/>
  <c r="X163" i="59"/>
  <c r="X164" i="59"/>
  <c r="X165" i="59"/>
  <c r="X166" i="59"/>
  <c r="X167" i="59"/>
  <c r="X168" i="59"/>
  <c r="X169" i="59"/>
  <c r="X170" i="59"/>
  <c r="X171" i="59"/>
  <c r="X172" i="59"/>
  <c r="X173" i="59"/>
  <c r="X174" i="59"/>
  <c r="X175" i="59"/>
  <c r="X176" i="59"/>
  <c r="X177" i="59"/>
  <c r="X178" i="59"/>
  <c r="X179" i="59"/>
  <c r="X180" i="59"/>
  <c r="X181" i="59"/>
  <c r="X182" i="59"/>
  <c r="X183" i="59"/>
  <c r="X184" i="59"/>
  <c r="X185" i="59"/>
  <c r="X186" i="59"/>
  <c r="X187" i="59"/>
  <c r="X188" i="59"/>
  <c r="X189" i="59"/>
  <c r="X190" i="59"/>
  <c r="X191" i="59"/>
  <c r="X192" i="59"/>
  <c r="X193" i="59"/>
  <c r="X194" i="59"/>
  <c r="X195" i="59"/>
  <c r="X196" i="59"/>
  <c r="X197" i="59"/>
  <c r="X198" i="59"/>
  <c r="X199" i="59"/>
  <c r="X200" i="59"/>
  <c r="X201" i="59"/>
  <c r="X202" i="59"/>
  <c r="X203" i="59"/>
  <c r="X204" i="59"/>
  <c r="X205" i="59"/>
  <c r="X206" i="59"/>
  <c r="X207" i="59"/>
  <c r="X208" i="59"/>
  <c r="X209" i="59"/>
  <c r="X210" i="59"/>
  <c r="X211" i="59"/>
  <c r="X212" i="59"/>
  <c r="X213" i="59"/>
  <c r="X214" i="59"/>
  <c r="X215" i="59"/>
  <c r="X216" i="59"/>
  <c r="X217" i="59"/>
  <c r="X218" i="59"/>
  <c r="X219" i="59"/>
  <c r="X220" i="59"/>
  <c r="X221" i="59"/>
  <c r="X222" i="59"/>
  <c r="X223" i="59"/>
  <c r="X224" i="59"/>
  <c r="X225" i="59"/>
  <c r="X226" i="59"/>
  <c r="X227" i="59"/>
  <c r="X228" i="59"/>
  <c r="X229" i="59"/>
  <c r="X230" i="59"/>
  <c r="X231" i="59"/>
  <c r="X232" i="59"/>
  <c r="X233" i="59"/>
  <c r="X234" i="59"/>
  <c r="X235" i="59"/>
  <c r="X236" i="59"/>
  <c r="X237" i="59"/>
  <c r="X238" i="59"/>
  <c r="X239" i="59"/>
  <c r="X240" i="59"/>
  <c r="X241" i="59"/>
  <c r="X242" i="59"/>
  <c r="X243" i="59"/>
  <c r="X244" i="59"/>
  <c r="X245" i="59"/>
  <c r="X246" i="59"/>
  <c r="X247" i="59"/>
  <c r="X248" i="59"/>
  <c r="X249" i="59"/>
  <c r="X250" i="59"/>
  <c r="X251" i="59"/>
  <c r="X252" i="59"/>
  <c r="X253" i="59"/>
  <c r="X254" i="59"/>
  <c r="X255" i="59"/>
  <c r="X256" i="59"/>
  <c r="X257" i="59"/>
  <c r="X258" i="59"/>
  <c r="W21" i="11"/>
  <c r="W22" i="11"/>
  <c r="W23" i="11"/>
  <c r="W24" i="11"/>
  <c r="W25" i="11"/>
  <c r="W26" i="11"/>
  <c r="W27" i="11"/>
  <c r="W28" i="11"/>
  <c r="W29" i="11"/>
  <c r="W30" i="11"/>
  <c r="W31" i="11"/>
  <c r="W32" i="11"/>
  <c r="W33" i="11"/>
  <c r="W34" i="11"/>
  <c r="W35" i="11"/>
  <c r="W36" i="11"/>
  <c r="W37" i="11"/>
  <c r="W38" i="11"/>
  <c r="W39" i="11"/>
  <c r="W40" i="11"/>
  <c r="W41" i="11"/>
  <c r="W42" i="11"/>
  <c r="W43" i="11"/>
  <c r="W44" i="11"/>
  <c r="W45" i="11"/>
  <c r="W46" i="11"/>
  <c r="W47" i="11"/>
  <c r="W48" i="11"/>
  <c r="W49" i="11"/>
  <c r="W50" i="11"/>
  <c r="W51" i="11"/>
  <c r="W52" i="11"/>
  <c r="W53" i="11"/>
  <c r="W54" i="11"/>
  <c r="W55" i="11"/>
  <c r="W56" i="11"/>
  <c r="W57" i="11"/>
  <c r="W58" i="11"/>
  <c r="W59" i="11"/>
  <c r="W60" i="11"/>
  <c r="W61" i="11"/>
  <c r="W62" i="11"/>
  <c r="W63" i="11"/>
  <c r="W64" i="11"/>
  <c r="W65" i="11"/>
  <c r="W66" i="11"/>
  <c r="W67" i="11"/>
  <c r="W68" i="11"/>
  <c r="W69" i="11"/>
  <c r="W70" i="11"/>
  <c r="W71" i="11"/>
  <c r="W72" i="11"/>
  <c r="W73" i="11"/>
  <c r="W74" i="11"/>
  <c r="W75" i="11"/>
  <c r="W76" i="11"/>
  <c r="W77" i="11"/>
  <c r="W78" i="11"/>
  <c r="W79" i="11"/>
  <c r="W80" i="11"/>
  <c r="W81" i="11"/>
  <c r="W82" i="11"/>
  <c r="W83" i="11"/>
  <c r="W84" i="11"/>
  <c r="W85" i="11"/>
  <c r="W86" i="11"/>
  <c r="W87" i="11"/>
  <c r="W88" i="11"/>
  <c r="W89" i="11"/>
  <c r="W90" i="11"/>
  <c r="W91" i="11"/>
  <c r="W92" i="11"/>
  <c r="W93" i="11"/>
  <c r="W94" i="11"/>
  <c r="W95" i="11"/>
  <c r="W96" i="11"/>
  <c r="W97" i="11"/>
  <c r="W98" i="11"/>
  <c r="W99" i="11"/>
  <c r="W100" i="11"/>
  <c r="W101" i="11"/>
  <c r="W102" i="11"/>
  <c r="W103" i="11"/>
  <c r="W104" i="11"/>
  <c r="W105" i="11"/>
  <c r="W106" i="11"/>
  <c r="W107" i="11"/>
  <c r="W108" i="11"/>
  <c r="W109" i="11"/>
  <c r="W110" i="11"/>
  <c r="W111" i="11"/>
  <c r="W112" i="11"/>
  <c r="W113" i="11"/>
  <c r="W114" i="11"/>
  <c r="W115" i="11"/>
  <c r="W116" i="11"/>
  <c r="W117" i="11"/>
  <c r="W118" i="11"/>
  <c r="W119" i="11"/>
  <c r="W120" i="11"/>
  <c r="W121" i="11"/>
  <c r="W122" i="11"/>
  <c r="W123" i="11"/>
  <c r="W124" i="11"/>
  <c r="W125" i="11"/>
  <c r="W126" i="11"/>
  <c r="W127" i="11"/>
  <c r="W128" i="11"/>
  <c r="W129" i="11"/>
  <c r="W130" i="11"/>
  <c r="W131" i="11"/>
  <c r="W132" i="11"/>
  <c r="W133" i="11"/>
  <c r="W134" i="11"/>
  <c r="W135" i="11"/>
  <c r="W136" i="11"/>
  <c r="W137" i="11"/>
  <c r="W138" i="11"/>
  <c r="W139" i="11"/>
  <c r="W140" i="11"/>
  <c r="W141" i="11"/>
  <c r="W142" i="11"/>
  <c r="W143" i="11"/>
  <c r="W144" i="11"/>
  <c r="W145" i="11"/>
  <c r="W146" i="11"/>
  <c r="W147" i="11"/>
  <c r="W148" i="11"/>
  <c r="W149" i="11"/>
  <c r="W150" i="11"/>
  <c r="W151" i="11"/>
  <c r="W152" i="11"/>
  <c r="W153" i="11"/>
  <c r="W154" i="11"/>
  <c r="W155" i="11"/>
  <c r="W156" i="11"/>
  <c r="W157" i="11"/>
  <c r="W158" i="11"/>
  <c r="W159" i="11"/>
  <c r="W160" i="11"/>
  <c r="W161" i="11"/>
  <c r="W162" i="11"/>
  <c r="W163" i="11"/>
  <c r="W164" i="11"/>
  <c r="W165" i="11"/>
  <c r="W166" i="11"/>
  <c r="W167" i="11"/>
  <c r="W168" i="11"/>
  <c r="W169" i="11"/>
  <c r="W170" i="11"/>
  <c r="W171" i="11"/>
  <c r="W172" i="11"/>
  <c r="W173" i="11"/>
  <c r="W174" i="11"/>
  <c r="W175" i="11"/>
  <c r="W176" i="11"/>
  <c r="W177" i="11"/>
  <c r="W178" i="11"/>
  <c r="W179" i="11"/>
  <c r="W180" i="11"/>
  <c r="W181" i="11"/>
  <c r="W182" i="11"/>
  <c r="W183" i="11"/>
  <c r="W184" i="11"/>
  <c r="W185" i="11"/>
  <c r="W186" i="11"/>
  <c r="W187" i="11"/>
  <c r="W188" i="11"/>
  <c r="W189" i="11"/>
  <c r="W190" i="11"/>
  <c r="W191" i="11"/>
  <c r="W192" i="11"/>
  <c r="W193" i="11"/>
  <c r="W194" i="11"/>
  <c r="W195" i="11"/>
  <c r="W196" i="11"/>
  <c r="W197" i="11"/>
  <c r="W198" i="11"/>
  <c r="W199" i="11"/>
  <c r="W200" i="11"/>
  <c r="W201" i="11"/>
  <c r="W202" i="11"/>
  <c r="W203" i="11"/>
  <c r="W204" i="11"/>
  <c r="W205" i="11"/>
  <c r="W206" i="11"/>
  <c r="W207" i="11"/>
  <c r="W208" i="11"/>
  <c r="W209" i="11"/>
  <c r="W210" i="11"/>
  <c r="W211" i="11"/>
  <c r="W212" i="11"/>
  <c r="W213" i="11"/>
  <c r="W214" i="11"/>
  <c r="W215" i="11"/>
  <c r="W216" i="11"/>
  <c r="W217" i="11"/>
  <c r="W218" i="11"/>
  <c r="W219" i="11"/>
  <c r="W220" i="11"/>
  <c r="W221" i="11"/>
  <c r="W222" i="11"/>
  <c r="W223" i="11"/>
  <c r="W224" i="11"/>
  <c r="W225" i="11"/>
  <c r="W226" i="11"/>
  <c r="W227" i="11"/>
  <c r="W228" i="11"/>
  <c r="W229" i="11"/>
  <c r="W230" i="11"/>
  <c r="W231" i="11"/>
  <c r="W232" i="11"/>
  <c r="W233" i="11"/>
  <c r="W234" i="11"/>
  <c r="W235" i="11"/>
  <c r="W236" i="11"/>
  <c r="W237" i="11"/>
  <c r="W238" i="11"/>
  <c r="W239" i="11"/>
  <c r="W240" i="11"/>
  <c r="W241" i="11"/>
  <c r="W242" i="11"/>
  <c r="W243" i="11"/>
  <c r="W244" i="11"/>
  <c r="W245" i="11"/>
  <c r="W246" i="11"/>
  <c r="W247" i="11"/>
  <c r="W248" i="11"/>
  <c r="W249" i="11"/>
  <c r="W250" i="11"/>
  <c r="W251" i="11"/>
  <c r="W252" i="11"/>
  <c r="W253" i="11"/>
  <c r="W254" i="11"/>
  <c r="W255" i="11"/>
  <c r="W256" i="11"/>
  <c r="W257" i="11"/>
  <c r="W258" i="11"/>
  <c r="R172" i="58"/>
  <c r="R228" i="58"/>
  <c r="R236" i="58"/>
  <c r="O13" i="58"/>
  <c r="O14" i="58"/>
  <c r="O15" i="58"/>
  <c r="O16" i="58"/>
  <c r="O17" i="58"/>
  <c r="O18" i="58"/>
  <c r="O19" i="58"/>
  <c r="O20" i="58"/>
  <c r="O21" i="58"/>
  <c r="O22" i="58"/>
  <c r="O23" i="58"/>
  <c r="O24" i="58"/>
  <c r="O25" i="58"/>
  <c r="O26" i="58"/>
  <c r="O27" i="58"/>
  <c r="O28" i="58"/>
  <c r="O29" i="58"/>
  <c r="O30" i="58"/>
  <c r="O31" i="58"/>
  <c r="O32" i="58"/>
  <c r="O33" i="58"/>
  <c r="O34" i="58"/>
  <c r="O35" i="58"/>
  <c r="O36" i="58"/>
  <c r="R36" i="58" s="1"/>
  <c r="O37" i="58"/>
  <c r="O38" i="58"/>
  <c r="O39" i="58"/>
  <c r="O40" i="58"/>
  <c r="O41" i="58"/>
  <c r="O42" i="58"/>
  <c r="O43" i="58"/>
  <c r="O44" i="58"/>
  <c r="O45" i="58"/>
  <c r="O46" i="58"/>
  <c r="O47" i="58"/>
  <c r="O48" i="58"/>
  <c r="O49" i="58"/>
  <c r="O50" i="58"/>
  <c r="O51" i="58"/>
  <c r="O52" i="58"/>
  <c r="O53" i="58"/>
  <c r="O54" i="58"/>
  <c r="O55" i="58"/>
  <c r="O56" i="58"/>
  <c r="O57" i="58"/>
  <c r="O58" i="58"/>
  <c r="O59" i="58"/>
  <c r="O60" i="58"/>
  <c r="O61" i="58"/>
  <c r="O62" i="58"/>
  <c r="O63" i="58"/>
  <c r="O64" i="58"/>
  <c r="O65" i="58"/>
  <c r="O66" i="58"/>
  <c r="O67" i="58"/>
  <c r="O68" i="58"/>
  <c r="O69" i="58"/>
  <c r="O70" i="58"/>
  <c r="O71" i="58"/>
  <c r="O72" i="58"/>
  <c r="O73" i="58"/>
  <c r="O74" i="58"/>
  <c r="O75" i="58"/>
  <c r="O76" i="58"/>
  <c r="O77" i="58"/>
  <c r="O78" i="58"/>
  <c r="O79" i="58"/>
  <c r="O80" i="58"/>
  <c r="O81" i="58"/>
  <c r="O82" i="58"/>
  <c r="O83" i="58"/>
  <c r="O84" i="58"/>
  <c r="O85" i="58"/>
  <c r="O86" i="58"/>
  <c r="O87" i="58"/>
  <c r="O88" i="58"/>
  <c r="O89" i="58"/>
  <c r="O90" i="58"/>
  <c r="O91" i="58"/>
  <c r="O92" i="58"/>
  <c r="O93" i="58"/>
  <c r="O94" i="58"/>
  <c r="O95" i="58"/>
  <c r="O96" i="58"/>
  <c r="O97" i="58"/>
  <c r="O98" i="58"/>
  <c r="O99" i="58"/>
  <c r="O100" i="58"/>
  <c r="R100" i="58" s="1"/>
  <c r="O101" i="58"/>
  <c r="O102" i="58"/>
  <c r="O103" i="58"/>
  <c r="O104" i="58"/>
  <c r="O105" i="58"/>
  <c r="O106" i="58"/>
  <c r="O107" i="58"/>
  <c r="O108" i="58"/>
  <c r="O109" i="58"/>
  <c r="O110" i="58"/>
  <c r="O111" i="58"/>
  <c r="O112" i="58"/>
  <c r="O113" i="58"/>
  <c r="O114" i="58"/>
  <c r="O115" i="58"/>
  <c r="O116" i="58"/>
  <c r="O117" i="58"/>
  <c r="O118" i="58"/>
  <c r="O119" i="58"/>
  <c r="O120" i="58"/>
  <c r="O121" i="58"/>
  <c r="O122" i="58"/>
  <c r="O123" i="58"/>
  <c r="O124" i="58"/>
  <c r="O125" i="58"/>
  <c r="O126" i="58"/>
  <c r="O127" i="58"/>
  <c r="O128" i="58"/>
  <c r="O129" i="58"/>
  <c r="O130" i="58"/>
  <c r="O131" i="58"/>
  <c r="O132" i="58"/>
  <c r="O133" i="58"/>
  <c r="O134" i="58"/>
  <c r="R134" i="58" s="1"/>
  <c r="O135" i="58"/>
  <c r="O136" i="58"/>
  <c r="O137" i="58"/>
  <c r="O138" i="58"/>
  <c r="O139" i="58"/>
  <c r="O140" i="58"/>
  <c r="O141" i="58"/>
  <c r="O142" i="58"/>
  <c r="O143" i="58"/>
  <c r="O144" i="58"/>
  <c r="O145" i="58"/>
  <c r="O146" i="58"/>
  <c r="O147" i="58"/>
  <c r="O148" i="58"/>
  <c r="O149" i="58"/>
  <c r="O150" i="58"/>
  <c r="R150" i="58" s="1"/>
  <c r="O151" i="58"/>
  <c r="O152" i="58"/>
  <c r="O153" i="58"/>
  <c r="O154" i="58"/>
  <c r="O155" i="58"/>
  <c r="O156" i="58"/>
  <c r="O157" i="58"/>
  <c r="O158" i="58"/>
  <c r="O159" i="58"/>
  <c r="O160" i="58"/>
  <c r="O161" i="58"/>
  <c r="O162" i="58"/>
  <c r="O163" i="58"/>
  <c r="O164" i="58"/>
  <c r="R164" i="58" s="1"/>
  <c r="O165" i="58"/>
  <c r="O166" i="58"/>
  <c r="O167" i="58"/>
  <c r="O168" i="58"/>
  <c r="O169" i="58"/>
  <c r="O170" i="58"/>
  <c r="O171" i="58"/>
  <c r="O172" i="58"/>
  <c r="O173" i="58"/>
  <c r="O174" i="58"/>
  <c r="O175" i="58"/>
  <c r="O176" i="58"/>
  <c r="O177" i="58"/>
  <c r="O178" i="58"/>
  <c r="O179" i="58"/>
  <c r="O180" i="58"/>
  <c r="O181" i="58"/>
  <c r="O182" i="58"/>
  <c r="O183" i="58"/>
  <c r="O184" i="58"/>
  <c r="O185" i="58"/>
  <c r="O186" i="58"/>
  <c r="O187" i="58"/>
  <c r="O188" i="58"/>
  <c r="O189" i="58"/>
  <c r="O190" i="58"/>
  <c r="O191" i="58"/>
  <c r="O192" i="58"/>
  <c r="O193" i="58"/>
  <c r="O194" i="58"/>
  <c r="O195" i="58"/>
  <c r="O196" i="58"/>
  <c r="R196" i="58" s="1"/>
  <c r="O197" i="58"/>
  <c r="O198" i="58"/>
  <c r="O199" i="58"/>
  <c r="O200" i="58"/>
  <c r="O201" i="58"/>
  <c r="O202" i="58"/>
  <c r="O203" i="58"/>
  <c r="O204" i="58"/>
  <c r="R204" i="58" s="1"/>
  <c r="O205" i="58"/>
  <c r="O206" i="58"/>
  <c r="O207" i="58"/>
  <c r="O208" i="58"/>
  <c r="O209" i="58"/>
  <c r="O210" i="58"/>
  <c r="O211" i="58"/>
  <c r="O212" i="58"/>
  <c r="R212" i="58" s="1"/>
  <c r="O213" i="58"/>
  <c r="O214" i="58"/>
  <c r="O215" i="58"/>
  <c r="O216" i="58"/>
  <c r="O217" i="58"/>
  <c r="O218" i="58"/>
  <c r="O219" i="58"/>
  <c r="O220" i="58"/>
  <c r="R220" i="58" s="1"/>
  <c r="O221" i="58"/>
  <c r="O222" i="58"/>
  <c r="O223" i="58"/>
  <c r="O224" i="58"/>
  <c r="O225" i="58"/>
  <c r="O226" i="58"/>
  <c r="O227" i="58"/>
  <c r="O228" i="58"/>
  <c r="O229" i="58"/>
  <c r="O230" i="58"/>
  <c r="O231" i="58"/>
  <c r="O232" i="58"/>
  <c r="O233" i="58"/>
  <c r="O234" i="58"/>
  <c r="O235" i="58"/>
  <c r="O236" i="58"/>
  <c r="O237" i="58"/>
  <c r="O238" i="58"/>
  <c r="O239" i="58"/>
  <c r="O240" i="58"/>
  <c r="O241" i="58"/>
  <c r="O242" i="58"/>
  <c r="O243" i="58"/>
  <c r="O244" i="58"/>
  <c r="O245" i="58"/>
  <c r="O246" i="58"/>
  <c r="O247" i="58"/>
  <c r="O248" i="58"/>
  <c r="O249" i="58"/>
  <c r="O250" i="58"/>
  <c r="O251" i="58"/>
  <c r="O252" i="58"/>
  <c r="O253" i="58"/>
  <c r="O254" i="58"/>
  <c r="O255" i="58"/>
  <c r="O256" i="58"/>
  <c r="O257" i="58"/>
  <c r="O258" i="58"/>
  <c r="O259" i="58"/>
  <c r="O12" i="58"/>
  <c r="N12" i="58"/>
  <c r="N13" i="58"/>
  <c r="N14" i="58"/>
  <c r="N15" i="58"/>
  <c r="N16" i="58"/>
  <c r="N17" i="58"/>
  <c r="N18" i="58"/>
  <c r="N19" i="58"/>
  <c r="N20" i="58"/>
  <c r="N21" i="58"/>
  <c r="N22" i="58"/>
  <c r="N23" i="58"/>
  <c r="N24" i="58"/>
  <c r="N25" i="58"/>
  <c r="N26" i="58"/>
  <c r="N27" i="58"/>
  <c r="N28" i="58"/>
  <c r="N29" i="58"/>
  <c r="N30" i="58"/>
  <c r="N31" i="58"/>
  <c r="N32" i="58"/>
  <c r="N33" i="58"/>
  <c r="N34" i="58"/>
  <c r="N35" i="58"/>
  <c r="N36" i="58"/>
  <c r="N37" i="58"/>
  <c r="N38" i="58"/>
  <c r="N39" i="58"/>
  <c r="N40" i="58"/>
  <c r="N41" i="58"/>
  <c r="N42" i="58"/>
  <c r="N43" i="58"/>
  <c r="N44" i="58"/>
  <c r="N45" i="58"/>
  <c r="N46" i="58"/>
  <c r="N47" i="58"/>
  <c r="N48" i="58"/>
  <c r="N49" i="58"/>
  <c r="N50" i="58"/>
  <c r="N51" i="58"/>
  <c r="N52" i="58"/>
  <c r="N53" i="58"/>
  <c r="N54" i="58"/>
  <c r="N55" i="58"/>
  <c r="N56" i="58"/>
  <c r="N57" i="58"/>
  <c r="N58" i="58"/>
  <c r="N59" i="58"/>
  <c r="N60" i="58"/>
  <c r="N61" i="58"/>
  <c r="N62" i="58"/>
  <c r="N63" i="58"/>
  <c r="N64" i="58"/>
  <c r="N65" i="58"/>
  <c r="N66" i="58"/>
  <c r="N67" i="58"/>
  <c r="N68" i="58"/>
  <c r="N69" i="58"/>
  <c r="N70" i="58"/>
  <c r="N71" i="58"/>
  <c r="N72" i="58"/>
  <c r="N73" i="58"/>
  <c r="N74" i="58"/>
  <c r="N75" i="58"/>
  <c r="N76" i="58"/>
  <c r="N77" i="58"/>
  <c r="N78" i="58"/>
  <c r="N79" i="58"/>
  <c r="N80" i="58"/>
  <c r="N81" i="58"/>
  <c r="N82" i="58"/>
  <c r="N83" i="58"/>
  <c r="N84" i="58"/>
  <c r="N85" i="58"/>
  <c r="N86" i="58"/>
  <c r="N87" i="58"/>
  <c r="N88" i="58"/>
  <c r="N89" i="58"/>
  <c r="N90" i="58"/>
  <c r="N91" i="58"/>
  <c r="N92" i="58"/>
  <c r="N93" i="58"/>
  <c r="N94" i="58"/>
  <c r="N95" i="58"/>
  <c r="N96" i="58"/>
  <c r="N97" i="58"/>
  <c r="N98" i="58"/>
  <c r="N99" i="58"/>
  <c r="N100" i="58"/>
  <c r="N101" i="58"/>
  <c r="N102" i="58"/>
  <c r="N103" i="58"/>
  <c r="N104" i="58"/>
  <c r="N105" i="58"/>
  <c r="N106" i="58"/>
  <c r="N107" i="58"/>
  <c r="N108" i="58"/>
  <c r="N109" i="58"/>
  <c r="N110" i="58"/>
  <c r="N111" i="58"/>
  <c r="N112" i="58"/>
  <c r="N113" i="58"/>
  <c r="N114" i="58"/>
  <c r="N115" i="58"/>
  <c r="N116" i="58"/>
  <c r="N117" i="58"/>
  <c r="N118" i="58"/>
  <c r="N119" i="58"/>
  <c r="N120" i="58"/>
  <c r="N121" i="58"/>
  <c r="N122" i="58"/>
  <c r="N123" i="58"/>
  <c r="N124" i="58"/>
  <c r="N125" i="58"/>
  <c r="N126" i="58"/>
  <c r="N127" i="58"/>
  <c r="N128" i="58"/>
  <c r="N129" i="58"/>
  <c r="N130" i="58"/>
  <c r="N131" i="58"/>
  <c r="N132" i="58"/>
  <c r="N133" i="58"/>
  <c r="N134" i="58"/>
  <c r="N135" i="58"/>
  <c r="N136" i="58"/>
  <c r="N137" i="58"/>
  <c r="N138" i="58"/>
  <c r="N139" i="58"/>
  <c r="N140" i="58"/>
  <c r="N141" i="58"/>
  <c r="N142" i="58"/>
  <c r="N143" i="58"/>
  <c r="N144" i="58"/>
  <c r="N145" i="58"/>
  <c r="N146" i="58"/>
  <c r="N147" i="58"/>
  <c r="N148" i="58"/>
  <c r="N149" i="58"/>
  <c r="N150" i="58"/>
  <c r="N151" i="58"/>
  <c r="N152" i="58"/>
  <c r="N153" i="58"/>
  <c r="N154" i="58"/>
  <c r="N155" i="58"/>
  <c r="N156" i="58"/>
  <c r="N157" i="58"/>
  <c r="N158" i="58"/>
  <c r="N159" i="58"/>
  <c r="N160" i="58"/>
  <c r="N161" i="58"/>
  <c r="N162" i="58"/>
  <c r="N163" i="58"/>
  <c r="N164" i="58"/>
  <c r="N165" i="58"/>
  <c r="N166" i="58"/>
  <c r="N167" i="58"/>
  <c r="N168" i="58"/>
  <c r="N169" i="58"/>
  <c r="N170" i="58"/>
  <c r="N171" i="58"/>
  <c r="N172" i="58"/>
  <c r="N173" i="58"/>
  <c r="N174" i="58"/>
  <c r="N175" i="58"/>
  <c r="N176" i="58"/>
  <c r="N177" i="58"/>
  <c r="N178" i="58"/>
  <c r="N179" i="58"/>
  <c r="N180" i="58"/>
  <c r="N181" i="58"/>
  <c r="N182" i="58"/>
  <c r="N183" i="58"/>
  <c r="N184" i="58"/>
  <c r="N185" i="58"/>
  <c r="N186" i="58"/>
  <c r="N187" i="58"/>
  <c r="N188" i="58"/>
  <c r="N189" i="58"/>
  <c r="N190" i="58"/>
  <c r="N191" i="58"/>
  <c r="N192" i="58"/>
  <c r="N193" i="58"/>
  <c r="N194" i="58"/>
  <c r="N195" i="58"/>
  <c r="N196" i="58"/>
  <c r="N197" i="58"/>
  <c r="N198" i="58"/>
  <c r="N199" i="58"/>
  <c r="N200" i="58"/>
  <c r="N201" i="58"/>
  <c r="N202" i="58"/>
  <c r="N203" i="58"/>
  <c r="N204" i="58"/>
  <c r="N205" i="58"/>
  <c r="N206" i="58"/>
  <c r="N207" i="58"/>
  <c r="N208" i="58"/>
  <c r="N209" i="58"/>
  <c r="N210" i="58"/>
  <c r="N211" i="58"/>
  <c r="N212" i="58"/>
  <c r="N213" i="58"/>
  <c r="N214" i="58"/>
  <c r="N215" i="58"/>
  <c r="N216" i="58"/>
  <c r="N217" i="58"/>
  <c r="N218" i="58"/>
  <c r="N219" i="58"/>
  <c r="N220" i="58"/>
  <c r="N221" i="58"/>
  <c r="N222" i="58"/>
  <c r="N223" i="58"/>
  <c r="N224" i="58"/>
  <c r="N225" i="58"/>
  <c r="N226" i="58"/>
  <c r="N227" i="58"/>
  <c r="N228" i="58"/>
  <c r="N229" i="58"/>
  <c r="N230" i="58"/>
  <c r="N231" i="58"/>
  <c r="N232" i="58"/>
  <c r="N233" i="58"/>
  <c r="N234" i="58"/>
  <c r="N235" i="58"/>
  <c r="N236" i="58"/>
  <c r="N237" i="58"/>
  <c r="N238" i="58"/>
  <c r="N239" i="58"/>
  <c r="N240" i="58"/>
  <c r="N241" i="58"/>
  <c r="N242" i="58"/>
  <c r="N243" i="58"/>
  <c r="N244" i="58"/>
  <c r="N245" i="58"/>
  <c r="N246" i="58"/>
  <c r="N247" i="58"/>
  <c r="N248" i="58"/>
  <c r="N249" i="58"/>
  <c r="N250" i="58"/>
  <c r="N251" i="58"/>
  <c r="N252" i="58"/>
  <c r="N253" i="58"/>
  <c r="N254" i="58"/>
  <c r="N259" i="58"/>
  <c r="N256" i="58"/>
  <c r="N257" i="58"/>
  <c r="N258" i="58"/>
  <c r="N255" i="58"/>
  <c r="A12" i="11"/>
  <c r="C128" i="72"/>
  <c r="B128" i="72"/>
  <c r="AL12" i="69"/>
  <c r="AL13" i="69"/>
  <c r="AL14" i="69"/>
  <c r="AL15" i="69"/>
  <c r="AL16" i="69"/>
  <c r="AL17" i="69"/>
  <c r="AL18" i="69"/>
  <c r="AL19" i="69"/>
  <c r="AL20" i="69"/>
  <c r="AL21" i="69"/>
  <c r="AL22" i="69"/>
  <c r="AL23" i="69"/>
  <c r="AL24" i="69"/>
  <c r="AL25" i="69"/>
  <c r="AL26" i="69"/>
  <c r="AL27" i="69"/>
  <c r="AL28" i="69"/>
  <c r="AL29" i="69"/>
  <c r="AL30" i="69"/>
  <c r="AL31" i="69"/>
  <c r="AL32" i="69"/>
  <c r="AL33" i="69"/>
  <c r="AL34" i="69"/>
  <c r="AL35" i="69"/>
  <c r="AL36" i="69"/>
  <c r="AL37" i="69"/>
  <c r="AL38" i="69"/>
  <c r="AL39" i="69"/>
  <c r="AL40" i="69"/>
  <c r="AL41" i="69"/>
  <c r="AL42" i="69"/>
  <c r="AL43" i="69"/>
  <c r="AL44" i="69"/>
  <c r="AL45" i="69"/>
  <c r="AL46" i="69"/>
  <c r="AL47" i="69"/>
  <c r="AL48" i="69"/>
  <c r="AL49" i="69"/>
  <c r="AL50" i="69"/>
  <c r="AL51" i="69"/>
  <c r="AL52" i="69"/>
  <c r="AL53" i="69"/>
  <c r="AL54" i="69"/>
  <c r="AL55" i="69"/>
  <c r="AL56" i="69"/>
  <c r="AL57" i="69"/>
  <c r="AL58" i="69"/>
  <c r="AL59" i="69"/>
  <c r="AL60" i="69"/>
  <c r="AL61" i="69"/>
  <c r="AL62" i="69"/>
  <c r="AL63" i="69"/>
  <c r="AL64" i="69"/>
  <c r="AL65" i="69"/>
  <c r="AL66" i="69"/>
  <c r="AL67" i="69"/>
  <c r="AL68" i="69"/>
  <c r="AL69" i="69"/>
  <c r="AL70" i="69"/>
  <c r="AL71" i="69"/>
  <c r="AL72" i="69"/>
  <c r="AL73" i="69"/>
  <c r="AL74" i="69"/>
  <c r="AL75" i="69"/>
  <c r="AL76" i="69"/>
  <c r="AL77" i="69"/>
  <c r="AL78" i="69"/>
  <c r="AL79" i="69"/>
  <c r="AL80" i="69"/>
  <c r="AL81" i="69"/>
  <c r="AL82" i="69"/>
  <c r="AL83" i="69"/>
  <c r="AL84" i="69"/>
  <c r="AL85" i="69"/>
  <c r="AL86" i="69"/>
  <c r="AL87" i="69"/>
  <c r="AL88" i="69"/>
  <c r="AL89" i="69"/>
  <c r="AL90" i="69"/>
  <c r="AL91" i="69"/>
  <c r="AL92" i="69"/>
  <c r="AL93" i="69"/>
  <c r="AL94" i="69"/>
  <c r="AL95" i="69"/>
  <c r="AL96" i="69"/>
  <c r="AL97" i="69"/>
  <c r="AL98" i="69"/>
  <c r="AL99" i="69"/>
  <c r="AL100" i="69"/>
  <c r="AL101" i="69"/>
  <c r="AL102" i="69"/>
  <c r="AL103" i="69"/>
  <c r="AL104" i="69"/>
  <c r="AL105" i="69"/>
  <c r="AL106" i="69"/>
  <c r="AL107" i="69"/>
  <c r="AL108" i="69"/>
  <c r="AL109" i="69"/>
  <c r="AL110" i="69"/>
  <c r="AL111" i="69"/>
  <c r="AL112" i="69"/>
  <c r="AL113" i="69"/>
  <c r="AL114" i="69"/>
  <c r="AL115" i="69"/>
  <c r="AL116" i="69"/>
  <c r="AL117" i="69"/>
  <c r="AL118" i="69"/>
  <c r="AL119" i="69"/>
  <c r="AL120" i="69"/>
  <c r="AL121" i="69"/>
  <c r="AL122" i="69"/>
  <c r="AL123" i="69"/>
  <c r="AL124" i="69"/>
  <c r="AL125" i="69"/>
  <c r="AL126" i="69"/>
  <c r="AL127" i="69"/>
  <c r="AL128" i="69"/>
  <c r="AL129" i="69"/>
  <c r="AL130" i="69"/>
  <c r="AL131" i="69"/>
  <c r="AL132" i="69"/>
  <c r="AL133" i="69"/>
  <c r="AL134" i="69"/>
  <c r="AL135" i="69"/>
  <c r="AL136" i="69"/>
  <c r="AL137" i="69"/>
  <c r="AL138" i="69"/>
  <c r="AL139" i="69"/>
  <c r="AL140" i="69"/>
  <c r="AL141" i="69"/>
  <c r="AL142" i="69"/>
  <c r="AL143" i="69"/>
  <c r="AL144" i="69"/>
  <c r="AL145" i="69"/>
  <c r="AL146" i="69"/>
  <c r="AL147" i="69"/>
  <c r="AL148" i="69"/>
  <c r="AL149" i="69"/>
  <c r="AL150" i="69"/>
  <c r="AL151" i="69"/>
  <c r="AL152" i="69"/>
  <c r="AL153" i="69"/>
  <c r="AL154" i="69"/>
  <c r="AL155" i="69"/>
  <c r="AL156" i="69"/>
  <c r="AL157" i="69"/>
  <c r="AL158" i="69"/>
  <c r="AL159" i="69"/>
  <c r="AL160" i="69"/>
  <c r="AL161" i="69"/>
  <c r="AL162" i="69"/>
  <c r="AL163" i="69"/>
  <c r="AL164" i="69"/>
  <c r="AL165" i="69"/>
  <c r="AL166" i="69"/>
  <c r="AL167" i="69"/>
  <c r="AL168" i="69"/>
  <c r="AL169" i="69"/>
  <c r="AL170" i="69"/>
  <c r="AL171" i="69"/>
  <c r="AL172" i="69"/>
  <c r="AL173" i="69"/>
  <c r="AL174" i="69"/>
  <c r="AL175" i="69"/>
  <c r="AL176" i="69"/>
  <c r="AL177" i="69"/>
  <c r="AL178" i="69"/>
  <c r="AL179" i="69"/>
  <c r="AL180" i="69"/>
  <c r="AL181" i="69"/>
  <c r="AL182" i="69"/>
  <c r="AL183" i="69"/>
  <c r="AL184" i="69"/>
  <c r="AL185" i="69"/>
  <c r="AL186" i="69"/>
  <c r="AL187" i="69"/>
  <c r="AL188" i="69"/>
  <c r="AL189" i="69"/>
  <c r="AL190" i="69"/>
  <c r="AL191" i="69"/>
  <c r="AL192" i="69"/>
  <c r="AL193" i="69"/>
  <c r="AL194" i="69"/>
  <c r="AL195" i="69"/>
  <c r="AL196" i="69"/>
  <c r="AL197" i="69"/>
  <c r="AL198" i="69"/>
  <c r="AL199" i="69"/>
  <c r="AL200" i="69"/>
  <c r="AL201" i="69"/>
  <c r="AL202" i="69"/>
  <c r="AL203" i="69"/>
  <c r="AL204" i="69"/>
  <c r="AL205" i="69"/>
  <c r="AL206" i="69"/>
  <c r="AL207" i="69"/>
  <c r="AL208" i="69"/>
  <c r="AL209" i="69"/>
  <c r="AL210" i="69"/>
  <c r="AL211" i="69"/>
  <c r="AL212" i="69"/>
  <c r="AL213" i="69"/>
  <c r="AL214" i="69"/>
  <c r="AL215" i="69"/>
  <c r="AL216" i="69"/>
  <c r="AL217" i="69"/>
  <c r="AL218" i="69"/>
  <c r="AL219" i="69"/>
  <c r="AL220" i="69"/>
  <c r="AL221" i="69"/>
  <c r="AL222" i="69"/>
  <c r="AL223" i="69"/>
  <c r="AL224" i="69"/>
  <c r="AL225" i="69"/>
  <c r="AL226" i="69"/>
  <c r="AL227" i="69"/>
  <c r="AL228" i="69"/>
  <c r="AL229" i="69"/>
  <c r="AL230" i="69"/>
  <c r="AL231" i="69"/>
  <c r="AL232" i="69"/>
  <c r="AL233" i="69"/>
  <c r="AL234" i="69"/>
  <c r="AL235" i="69"/>
  <c r="AL236" i="69"/>
  <c r="AL237" i="69"/>
  <c r="AL238" i="69"/>
  <c r="AL239" i="69"/>
  <c r="AL240" i="69"/>
  <c r="AL241" i="69"/>
  <c r="AL242" i="69"/>
  <c r="AL243" i="69"/>
  <c r="AL244" i="69"/>
  <c r="AL245" i="69"/>
  <c r="AL246" i="69"/>
  <c r="AL247" i="69"/>
  <c r="AL248" i="69"/>
  <c r="AL249" i="69"/>
  <c r="AL250" i="69"/>
  <c r="AL251" i="69"/>
  <c r="AL252" i="69"/>
  <c r="AL253" i="69"/>
  <c r="AL254" i="69"/>
  <c r="AL255" i="69"/>
  <c r="AL256" i="69"/>
  <c r="AL257" i="69"/>
  <c r="AJ13" i="69"/>
  <c r="AJ14" i="69"/>
  <c r="AJ15" i="69"/>
  <c r="AJ16" i="69"/>
  <c r="AJ17" i="69"/>
  <c r="AJ18" i="69"/>
  <c r="AJ19" i="69"/>
  <c r="AJ20" i="69"/>
  <c r="AJ21" i="69"/>
  <c r="AJ22" i="69"/>
  <c r="AJ23" i="69"/>
  <c r="AJ24" i="69"/>
  <c r="AJ25" i="69"/>
  <c r="AJ26" i="69"/>
  <c r="AJ27" i="69"/>
  <c r="AJ28" i="69"/>
  <c r="AJ29" i="69"/>
  <c r="AJ30" i="69"/>
  <c r="AJ31" i="69"/>
  <c r="AJ32" i="69"/>
  <c r="AJ33" i="69"/>
  <c r="AJ34" i="69"/>
  <c r="AJ35" i="69"/>
  <c r="AJ36" i="69"/>
  <c r="AJ37" i="69"/>
  <c r="AJ38" i="69"/>
  <c r="AJ39" i="69"/>
  <c r="AJ40" i="69"/>
  <c r="AJ41" i="69"/>
  <c r="AJ42" i="69"/>
  <c r="AJ43" i="69"/>
  <c r="AJ44" i="69"/>
  <c r="AJ45" i="69"/>
  <c r="AJ46" i="69"/>
  <c r="AJ47" i="69"/>
  <c r="AJ48" i="69"/>
  <c r="AJ49" i="69"/>
  <c r="AJ50" i="69"/>
  <c r="AJ51" i="69"/>
  <c r="AJ52" i="69"/>
  <c r="AJ53" i="69"/>
  <c r="AJ54" i="69"/>
  <c r="AJ55" i="69"/>
  <c r="AJ56" i="69"/>
  <c r="AJ57" i="69"/>
  <c r="AJ58" i="69"/>
  <c r="AJ59" i="69"/>
  <c r="AJ60" i="69"/>
  <c r="AJ61" i="69"/>
  <c r="AJ62" i="69"/>
  <c r="AJ63" i="69"/>
  <c r="AJ64" i="69"/>
  <c r="AJ65" i="69"/>
  <c r="AJ66" i="69"/>
  <c r="AJ67" i="69"/>
  <c r="AJ68" i="69"/>
  <c r="AJ69" i="69"/>
  <c r="AJ70" i="69"/>
  <c r="AJ71" i="69"/>
  <c r="AJ72" i="69"/>
  <c r="AJ73" i="69"/>
  <c r="AJ74" i="69"/>
  <c r="AJ75" i="69"/>
  <c r="AJ76" i="69"/>
  <c r="AJ77" i="69"/>
  <c r="AJ78" i="69"/>
  <c r="AJ79" i="69"/>
  <c r="AJ80" i="69"/>
  <c r="AJ81" i="69"/>
  <c r="AJ82" i="69"/>
  <c r="AJ83" i="69"/>
  <c r="AJ84" i="69"/>
  <c r="AJ85" i="69"/>
  <c r="AJ86" i="69"/>
  <c r="AJ87" i="69"/>
  <c r="AJ88" i="69"/>
  <c r="AJ89" i="69"/>
  <c r="AJ90" i="69"/>
  <c r="AJ91" i="69"/>
  <c r="AJ92" i="69"/>
  <c r="AJ93" i="69"/>
  <c r="AJ94" i="69"/>
  <c r="AJ95" i="69"/>
  <c r="AJ96" i="69"/>
  <c r="AJ97" i="69"/>
  <c r="AJ98" i="69"/>
  <c r="AJ99" i="69"/>
  <c r="AJ100" i="69"/>
  <c r="AJ101" i="69"/>
  <c r="AJ102" i="69"/>
  <c r="AJ103" i="69"/>
  <c r="AJ104" i="69"/>
  <c r="AJ105" i="69"/>
  <c r="AJ106" i="69"/>
  <c r="AJ107" i="69"/>
  <c r="AJ108" i="69"/>
  <c r="AJ109" i="69"/>
  <c r="AJ110" i="69"/>
  <c r="AJ111" i="69"/>
  <c r="AJ112" i="69"/>
  <c r="AJ113" i="69"/>
  <c r="AJ114" i="69"/>
  <c r="AJ115" i="69"/>
  <c r="AJ116" i="69"/>
  <c r="AJ117" i="69"/>
  <c r="AJ118" i="69"/>
  <c r="AJ119" i="69"/>
  <c r="AJ120" i="69"/>
  <c r="AJ121" i="69"/>
  <c r="AJ122" i="69"/>
  <c r="AJ123" i="69"/>
  <c r="AJ124" i="69"/>
  <c r="AJ125" i="69"/>
  <c r="AJ126" i="69"/>
  <c r="AJ127" i="69"/>
  <c r="AJ128" i="69"/>
  <c r="AJ129" i="69"/>
  <c r="AJ130" i="69"/>
  <c r="AJ131" i="69"/>
  <c r="AJ132" i="69"/>
  <c r="AJ133" i="69"/>
  <c r="AJ134" i="69"/>
  <c r="AJ135" i="69"/>
  <c r="AJ136" i="69"/>
  <c r="AJ137" i="69"/>
  <c r="AJ138" i="69"/>
  <c r="AJ139" i="69"/>
  <c r="AJ140" i="69"/>
  <c r="AJ141" i="69"/>
  <c r="AJ142" i="69"/>
  <c r="AJ143" i="69"/>
  <c r="AJ144" i="69"/>
  <c r="AJ145" i="69"/>
  <c r="AJ146" i="69"/>
  <c r="AJ147" i="69"/>
  <c r="AJ148" i="69"/>
  <c r="AJ149" i="69"/>
  <c r="AJ150" i="69"/>
  <c r="AJ151" i="69"/>
  <c r="AJ152" i="69"/>
  <c r="AJ153" i="69"/>
  <c r="AJ154" i="69"/>
  <c r="AJ155" i="69"/>
  <c r="AJ156" i="69"/>
  <c r="AJ157" i="69"/>
  <c r="AJ158" i="69"/>
  <c r="AJ159" i="69"/>
  <c r="AJ160" i="69"/>
  <c r="AJ161" i="69"/>
  <c r="AJ162" i="69"/>
  <c r="AJ163" i="69"/>
  <c r="AJ164" i="69"/>
  <c r="AJ165" i="69"/>
  <c r="AJ166" i="69"/>
  <c r="AJ167" i="69"/>
  <c r="AJ168" i="69"/>
  <c r="AJ169" i="69"/>
  <c r="AJ170" i="69"/>
  <c r="AJ171" i="69"/>
  <c r="AJ172" i="69"/>
  <c r="AJ173" i="69"/>
  <c r="AJ174" i="69"/>
  <c r="AJ175" i="69"/>
  <c r="AJ176" i="69"/>
  <c r="AJ177" i="69"/>
  <c r="AJ178" i="69"/>
  <c r="AJ179" i="69"/>
  <c r="AJ180" i="69"/>
  <c r="AJ181" i="69"/>
  <c r="AJ182" i="69"/>
  <c r="AJ183" i="69"/>
  <c r="AJ184" i="69"/>
  <c r="AJ185" i="69"/>
  <c r="AJ186" i="69"/>
  <c r="AJ187" i="69"/>
  <c r="AJ188" i="69"/>
  <c r="AJ189" i="69"/>
  <c r="AJ190" i="69"/>
  <c r="AJ191" i="69"/>
  <c r="AJ192" i="69"/>
  <c r="AJ193" i="69"/>
  <c r="AJ194" i="69"/>
  <c r="AJ195" i="69"/>
  <c r="AJ196" i="69"/>
  <c r="AJ197" i="69"/>
  <c r="AJ198" i="69"/>
  <c r="AJ199" i="69"/>
  <c r="AJ200" i="69"/>
  <c r="AJ201" i="69"/>
  <c r="AJ202" i="69"/>
  <c r="AJ203" i="69"/>
  <c r="AJ204" i="69"/>
  <c r="AJ205" i="69"/>
  <c r="AJ206" i="69"/>
  <c r="AJ207" i="69"/>
  <c r="AJ208" i="69"/>
  <c r="AJ209" i="69"/>
  <c r="AJ210" i="69"/>
  <c r="AJ211" i="69"/>
  <c r="AJ212" i="69"/>
  <c r="AJ213" i="69"/>
  <c r="AJ214" i="69"/>
  <c r="AJ215" i="69"/>
  <c r="AJ216" i="69"/>
  <c r="AJ217" i="69"/>
  <c r="AJ218" i="69"/>
  <c r="AJ219" i="69"/>
  <c r="AJ220" i="69"/>
  <c r="AJ221" i="69"/>
  <c r="AJ222" i="69"/>
  <c r="AJ223" i="69"/>
  <c r="AJ224" i="69"/>
  <c r="AJ225" i="69"/>
  <c r="AJ226" i="69"/>
  <c r="AJ227" i="69"/>
  <c r="AJ228" i="69"/>
  <c r="AJ229" i="69"/>
  <c r="AJ230" i="69"/>
  <c r="AJ231" i="69"/>
  <c r="AJ232" i="69"/>
  <c r="AJ233" i="69"/>
  <c r="AJ234" i="69"/>
  <c r="AJ235" i="69"/>
  <c r="AJ236" i="69"/>
  <c r="AJ237" i="69"/>
  <c r="AJ238" i="69"/>
  <c r="AJ239" i="69"/>
  <c r="AJ240" i="69"/>
  <c r="AJ241" i="69"/>
  <c r="AJ242" i="69"/>
  <c r="AJ243" i="69"/>
  <c r="AJ244" i="69"/>
  <c r="AJ245" i="69"/>
  <c r="AJ246" i="69"/>
  <c r="AJ247" i="69"/>
  <c r="AJ248" i="69"/>
  <c r="AJ249" i="69"/>
  <c r="AJ250" i="69"/>
  <c r="AJ251" i="69"/>
  <c r="AJ252" i="69"/>
  <c r="AJ253" i="69"/>
  <c r="AJ254" i="69"/>
  <c r="AJ255" i="69"/>
  <c r="AJ256" i="69"/>
  <c r="AJ257" i="69"/>
  <c r="AJ12" i="69"/>
  <c r="X13" i="69"/>
  <c r="X14" i="69"/>
  <c r="X15" i="69"/>
  <c r="X16" i="69"/>
  <c r="X17" i="69"/>
  <c r="X18" i="69"/>
  <c r="X19" i="69"/>
  <c r="X20" i="69"/>
  <c r="X21" i="69"/>
  <c r="X22" i="69"/>
  <c r="X23" i="69"/>
  <c r="X24" i="69"/>
  <c r="X25" i="69"/>
  <c r="X26" i="69"/>
  <c r="X27" i="69"/>
  <c r="X28" i="69"/>
  <c r="X29" i="69"/>
  <c r="X30" i="69"/>
  <c r="X31" i="69"/>
  <c r="X32" i="69"/>
  <c r="X33" i="69"/>
  <c r="X34" i="69"/>
  <c r="X35" i="69"/>
  <c r="X36" i="69"/>
  <c r="X37" i="69"/>
  <c r="X38" i="69"/>
  <c r="X39" i="69"/>
  <c r="X40" i="69"/>
  <c r="X41" i="69"/>
  <c r="X42" i="69"/>
  <c r="X43" i="69"/>
  <c r="X44" i="69"/>
  <c r="X45" i="69"/>
  <c r="X46" i="69"/>
  <c r="X47" i="69"/>
  <c r="X48" i="69"/>
  <c r="X49" i="69"/>
  <c r="X50" i="69"/>
  <c r="X51" i="69"/>
  <c r="X52" i="69"/>
  <c r="X53" i="69"/>
  <c r="X54" i="69"/>
  <c r="X55" i="69"/>
  <c r="X56" i="69"/>
  <c r="X57" i="69"/>
  <c r="X58" i="69"/>
  <c r="X59" i="69"/>
  <c r="X60" i="69"/>
  <c r="X61" i="69"/>
  <c r="X62" i="69"/>
  <c r="X63" i="69"/>
  <c r="X64" i="69"/>
  <c r="X65" i="69"/>
  <c r="X66" i="69"/>
  <c r="X67" i="69"/>
  <c r="X68" i="69"/>
  <c r="X69" i="69"/>
  <c r="X70" i="69"/>
  <c r="X71" i="69"/>
  <c r="X72" i="69"/>
  <c r="X73" i="69"/>
  <c r="X74" i="69"/>
  <c r="X75" i="69"/>
  <c r="X76" i="69"/>
  <c r="X77" i="69"/>
  <c r="X78" i="69"/>
  <c r="X79" i="69"/>
  <c r="X80" i="69"/>
  <c r="X81" i="69"/>
  <c r="X82" i="69"/>
  <c r="X83" i="69"/>
  <c r="X84" i="69"/>
  <c r="X85" i="69"/>
  <c r="X86" i="69"/>
  <c r="X87" i="69"/>
  <c r="X88" i="69"/>
  <c r="X89" i="69"/>
  <c r="X90" i="69"/>
  <c r="X91" i="69"/>
  <c r="X92" i="69"/>
  <c r="X93" i="69"/>
  <c r="X94" i="69"/>
  <c r="X95" i="69"/>
  <c r="X96" i="69"/>
  <c r="X97" i="69"/>
  <c r="X98" i="69"/>
  <c r="X99" i="69"/>
  <c r="X100" i="69"/>
  <c r="X101" i="69"/>
  <c r="X102" i="69"/>
  <c r="X103" i="69"/>
  <c r="X104" i="69"/>
  <c r="X105" i="69"/>
  <c r="X106" i="69"/>
  <c r="X107" i="69"/>
  <c r="X108" i="69"/>
  <c r="X109" i="69"/>
  <c r="X110" i="69"/>
  <c r="X111" i="69"/>
  <c r="X112" i="69"/>
  <c r="X113" i="69"/>
  <c r="X114" i="69"/>
  <c r="X115" i="69"/>
  <c r="X116" i="69"/>
  <c r="X117" i="69"/>
  <c r="X118" i="69"/>
  <c r="X119" i="69"/>
  <c r="X120" i="69"/>
  <c r="X121" i="69"/>
  <c r="X122" i="69"/>
  <c r="X123" i="69"/>
  <c r="X124" i="69"/>
  <c r="X125" i="69"/>
  <c r="X126" i="69"/>
  <c r="X127" i="69"/>
  <c r="X128" i="69"/>
  <c r="X129" i="69"/>
  <c r="X130" i="69"/>
  <c r="X131" i="69"/>
  <c r="X132" i="69"/>
  <c r="X133" i="69"/>
  <c r="X134" i="69"/>
  <c r="X135" i="69"/>
  <c r="X136" i="69"/>
  <c r="X137" i="69"/>
  <c r="X138" i="69"/>
  <c r="X139" i="69"/>
  <c r="X140" i="69"/>
  <c r="X141" i="69"/>
  <c r="X142" i="69"/>
  <c r="X143" i="69"/>
  <c r="X144" i="69"/>
  <c r="X145" i="69"/>
  <c r="X146" i="69"/>
  <c r="X147" i="69"/>
  <c r="X148" i="69"/>
  <c r="X149" i="69"/>
  <c r="X150" i="69"/>
  <c r="X151" i="69"/>
  <c r="X152" i="69"/>
  <c r="X153" i="69"/>
  <c r="X154" i="69"/>
  <c r="X155" i="69"/>
  <c r="X156" i="69"/>
  <c r="X157" i="69"/>
  <c r="X158" i="69"/>
  <c r="X159" i="69"/>
  <c r="X160" i="69"/>
  <c r="X161" i="69"/>
  <c r="X162" i="69"/>
  <c r="X163" i="69"/>
  <c r="X164" i="69"/>
  <c r="X165" i="69"/>
  <c r="X166" i="69"/>
  <c r="X167" i="69"/>
  <c r="X168" i="69"/>
  <c r="X169" i="69"/>
  <c r="X170" i="69"/>
  <c r="X171" i="69"/>
  <c r="X172" i="69"/>
  <c r="X173" i="69"/>
  <c r="X174" i="69"/>
  <c r="X175" i="69"/>
  <c r="X176" i="69"/>
  <c r="X177" i="69"/>
  <c r="X178" i="69"/>
  <c r="X179" i="69"/>
  <c r="X180" i="69"/>
  <c r="X181" i="69"/>
  <c r="X182" i="69"/>
  <c r="X183" i="69"/>
  <c r="X184" i="69"/>
  <c r="X185" i="69"/>
  <c r="X186" i="69"/>
  <c r="X187" i="69"/>
  <c r="X188" i="69"/>
  <c r="X189" i="69"/>
  <c r="X190" i="69"/>
  <c r="X191" i="69"/>
  <c r="X192" i="69"/>
  <c r="X193" i="69"/>
  <c r="X194" i="69"/>
  <c r="X195" i="69"/>
  <c r="X196" i="69"/>
  <c r="X197" i="69"/>
  <c r="X198" i="69"/>
  <c r="X199" i="69"/>
  <c r="X200" i="69"/>
  <c r="X201" i="69"/>
  <c r="X202" i="69"/>
  <c r="X203" i="69"/>
  <c r="X204" i="69"/>
  <c r="X205" i="69"/>
  <c r="X206" i="69"/>
  <c r="X207" i="69"/>
  <c r="X208" i="69"/>
  <c r="X209" i="69"/>
  <c r="X210" i="69"/>
  <c r="X211" i="69"/>
  <c r="X212" i="69"/>
  <c r="X213" i="69"/>
  <c r="X214" i="69"/>
  <c r="X215" i="69"/>
  <c r="X216" i="69"/>
  <c r="X217" i="69"/>
  <c r="X218" i="69"/>
  <c r="X219" i="69"/>
  <c r="X220" i="69"/>
  <c r="X221" i="69"/>
  <c r="X222" i="69"/>
  <c r="X223" i="69"/>
  <c r="X224" i="69"/>
  <c r="X225" i="69"/>
  <c r="X226" i="69"/>
  <c r="X227" i="69"/>
  <c r="X228" i="69"/>
  <c r="X229" i="69"/>
  <c r="X230" i="69"/>
  <c r="X231" i="69"/>
  <c r="X232" i="69"/>
  <c r="X233" i="69"/>
  <c r="X234" i="69"/>
  <c r="X235" i="69"/>
  <c r="X236" i="69"/>
  <c r="X237" i="69"/>
  <c r="X238" i="69"/>
  <c r="X239" i="69"/>
  <c r="X240" i="69"/>
  <c r="X241" i="69"/>
  <c r="X242" i="69"/>
  <c r="X243" i="69"/>
  <c r="X244" i="69"/>
  <c r="X245" i="69"/>
  <c r="X246" i="69"/>
  <c r="X247" i="69"/>
  <c r="X248" i="69"/>
  <c r="X249" i="69"/>
  <c r="X250" i="69"/>
  <c r="X251" i="69"/>
  <c r="X252" i="69"/>
  <c r="X253" i="69"/>
  <c r="X254" i="69"/>
  <c r="X255" i="69"/>
  <c r="X256" i="69"/>
  <c r="X257" i="69"/>
  <c r="X12" i="69"/>
  <c r="W13" i="69"/>
  <c r="W14" i="69"/>
  <c r="W15" i="69"/>
  <c r="W16" i="69"/>
  <c r="W17" i="69"/>
  <c r="W18" i="69"/>
  <c r="W19" i="69"/>
  <c r="W20" i="69"/>
  <c r="W21" i="69"/>
  <c r="W22" i="69"/>
  <c r="W23" i="69"/>
  <c r="W24" i="69"/>
  <c r="W25" i="69"/>
  <c r="W26" i="69"/>
  <c r="W27" i="69"/>
  <c r="W28" i="69"/>
  <c r="W29" i="69"/>
  <c r="W30" i="69"/>
  <c r="W31" i="69"/>
  <c r="W32" i="69"/>
  <c r="W33" i="69"/>
  <c r="W34" i="69"/>
  <c r="W35" i="69"/>
  <c r="W36" i="69"/>
  <c r="W37" i="69"/>
  <c r="W38" i="69"/>
  <c r="W39" i="69"/>
  <c r="W40" i="69"/>
  <c r="W41" i="69"/>
  <c r="W42" i="69"/>
  <c r="W43" i="69"/>
  <c r="W44" i="69"/>
  <c r="W45" i="69"/>
  <c r="W46" i="69"/>
  <c r="W47" i="69"/>
  <c r="W48" i="69"/>
  <c r="W49" i="69"/>
  <c r="W50" i="69"/>
  <c r="W51" i="69"/>
  <c r="W52" i="69"/>
  <c r="W53" i="69"/>
  <c r="W54" i="69"/>
  <c r="W55" i="69"/>
  <c r="W56" i="69"/>
  <c r="W57" i="69"/>
  <c r="W58" i="69"/>
  <c r="W59" i="69"/>
  <c r="W60" i="69"/>
  <c r="W61" i="69"/>
  <c r="W62" i="69"/>
  <c r="W63" i="69"/>
  <c r="W64" i="69"/>
  <c r="W65" i="69"/>
  <c r="W66" i="69"/>
  <c r="W67" i="69"/>
  <c r="W68" i="69"/>
  <c r="W69" i="69"/>
  <c r="W70" i="69"/>
  <c r="W71" i="69"/>
  <c r="W72" i="69"/>
  <c r="W73" i="69"/>
  <c r="W74" i="69"/>
  <c r="W75" i="69"/>
  <c r="W76" i="69"/>
  <c r="W77" i="69"/>
  <c r="W78" i="69"/>
  <c r="W79" i="69"/>
  <c r="W80" i="69"/>
  <c r="W81" i="69"/>
  <c r="W82" i="69"/>
  <c r="W83" i="69"/>
  <c r="W84" i="69"/>
  <c r="W85" i="69"/>
  <c r="W86" i="69"/>
  <c r="W87" i="69"/>
  <c r="W88" i="69"/>
  <c r="W89" i="69"/>
  <c r="W90" i="69"/>
  <c r="W91" i="69"/>
  <c r="W92" i="69"/>
  <c r="W93" i="69"/>
  <c r="W94" i="69"/>
  <c r="W95" i="69"/>
  <c r="W96" i="69"/>
  <c r="W97" i="69"/>
  <c r="W98" i="69"/>
  <c r="W99" i="69"/>
  <c r="W100" i="69"/>
  <c r="W101" i="69"/>
  <c r="W102" i="69"/>
  <c r="W103" i="69"/>
  <c r="W104" i="69"/>
  <c r="W105" i="69"/>
  <c r="W106" i="69"/>
  <c r="W107" i="69"/>
  <c r="W108" i="69"/>
  <c r="W109" i="69"/>
  <c r="W110" i="69"/>
  <c r="W111" i="69"/>
  <c r="W112" i="69"/>
  <c r="W113" i="69"/>
  <c r="W114" i="69"/>
  <c r="W115" i="69"/>
  <c r="W116" i="69"/>
  <c r="W117" i="69"/>
  <c r="W118" i="69"/>
  <c r="W119" i="69"/>
  <c r="W120" i="69"/>
  <c r="W121" i="69"/>
  <c r="W122" i="69"/>
  <c r="W123" i="69"/>
  <c r="W124" i="69"/>
  <c r="W125" i="69"/>
  <c r="W126" i="69"/>
  <c r="W127" i="69"/>
  <c r="W128" i="69"/>
  <c r="W129" i="69"/>
  <c r="W130" i="69"/>
  <c r="W131" i="69"/>
  <c r="W132" i="69"/>
  <c r="W133" i="69"/>
  <c r="W134" i="69"/>
  <c r="W135" i="69"/>
  <c r="W136" i="69"/>
  <c r="W137" i="69"/>
  <c r="W138" i="69"/>
  <c r="W139" i="69"/>
  <c r="W140" i="69"/>
  <c r="W141" i="69"/>
  <c r="W142" i="69"/>
  <c r="W143" i="69"/>
  <c r="W144" i="69"/>
  <c r="W145" i="69"/>
  <c r="W146" i="69"/>
  <c r="W147" i="69"/>
  <c r="W148" i="69"/>
  <c r="W149" i="69"/>
  <c r="W150" i="69"/>
  <c r="W151" i="69"/>
  <c r="W152" i="69"/>
  <c r="W153" i="69"/>
  <c r="W154" i="69"/>
  <c r="W155" i="69"/>
  <c r="W156" i="69"/>
  <c r="W157" i="69"/>
  <c r="W158" i="69"/>
  <c r="W159" i="69"/>
  <c r="W160" i="69"/>
  <c r="W161" i="69"/>
  <c r="W162" i="69"/>
  <c r="W163" i="69"/>
  <c r="W164" i="69"/>
  <c r="W165" i="69"/>
  <c r="W166" i="69"/>
  <c r="W167" i="69"/>
  <c r="W168" i="69"/>
  <c r="W169" i="69"/>
  <c r="W170" i="69"/>
  <c r="W171" i="69"/>
  <c r="W172" i="69"/>
  <c r="W173" i="69"/>
  <c r="W174" i="69"/>
  <c r="W175" i="69"/>
  <c r="W176" i="69"/>
  <c r="W177" i="69"/>
  <c r="W178" i="69"/>
  <c r="W179" i="69"/>
  <c r="W180" i="69"/>
  <c r="W181" i="69"/>
  <c r="W182" i="69"/>
  <c r="W183" i="69"/>
  <c r="W184" i="69"/>
  <c r="W185" i="69"/>
  <c r="W186" i="69"/>
  <c r="W187" i="69"/>
  <c r="W188" i="69"/>
  <c r="W189" i="69"/>
  <c r="W190" i="69"/>
  <c r="W191" i="69"/>
  <c r="W192" i="69"/>
  <c r="W193" i="69"/>
  <c r="W194" i="69"/>
  <c r="W195" i="69"/>
  <c r="W196" i="69"/>
  <c r="W197" i="69"/>
  <c r="W198" i="69"/>
  <c r="W199" i="69"/>
  <c r="W200" i="69"/>
  <c r="W201" i="69"/>
  <c r="W202" i="69"/>
  <c r="W203" i="69"/>
  <c r="W204" i="69"/>
  <c r="W205" i="69"/>
  <c r="W206" i="69"/>
  <c r="W207" i="69"/>
  <c r="W208" i="69"/>
  <c r="W209" i="69"/>
  <c r="W210" i="69"/>
  <c r="W211" i="69"/>
  <c r="W212" i="69"/>
  <c r="W213" i="69"/>
  <c r="W214" i="69"/>
  <c r="W215" i="69"/>
  <c r="W216" i="69"/>
  <c r="W217" i="69"/>
  <c r="W218" i="69"/>
  <c r="W219" i="69"/>
  <c r="W220" i="69"/>
  <c r="W221" i="69"/>
  <c r="W222" i="69"/>
  <c r="W223" i="69"/>
  <c r="W224" i="69"/>
  <c r="W225" i="69"/>
  <c r="W226" i="69"/>
  <c r="W227" i="69"/>
  <c r="W228" i="69"/>
  <c r="W229" i="69"/>
  <c r="W230" i="69"/>
  <c r="W231" i="69"/>
  <c r="W232" i="69"/>
  <c r="W233" i="69"/>
  <c r="W234" i="69"/>
  <c r="W235" i="69"/>
  <c r="W236" i="69"/>
  <c r="W237" i="69"/>
  <c r="W238" i="69"/>
  <c r="W239" i="69"/>
  <c r="W240" i="69"/>
  <c r="W241" i="69"/>
  <c r="W242" i="69"/>
  <c r="W243" i="69"/>
  <c r="W244" i="69"/>
  <c r="W245" i="69"/>
  <c r="W246" i="69"/>
  <c r="W247" i="69"/>
  <c r="W248" i="69"/>
  <c r="W249" i="69"/>
  <c r="W250" i="69"/>
  <c r="W251" i="69"/>
  <c r="W252" i="69"/>
  <c r="W253" i="69"/>
  <c r="W254" i="69"/>
  <c r="W255" i="69"/>
  <c r="W256" i="69"/>
  <c r="W257" i="69"/>
  <c r="W12" i="69"/>
  <c r="Y13" i="68"/>
  <c r="Y14" i="68"/>
  <c r="Y15" i="68"/>
  <c r="Y16" i="68"/>
  <c r="Y17" i="68"/>
  <c r="Y18" i="68"/>
  <c r="Y19" i="68"/>
  <c r="Y20" i="68"/>
  <c r="Y21" i="68"/>
  <c r="Y22" i="68"/>
  <c r="Y23" i="68"/>
  <c r="Y24" i="68"/>
  <c r="Y25" i="68"/>
  <c r="Y26" i="68"/>
  <c r="Y27" i="68"/>
  <c r="Y28" i="68"/>
  <c r="Y29" i="68"/>
  <c r="Y30" i="68"/>
  <c r="Y31" i="68"/>
  <c r="Y32" i="68"/>
  <c r="Y33" i="68"/>
  <c r="Y34" i="68"/>
  <c r="Y35" i="68"/>
  <c r="Y36" i="68"/>
  <c r="Y37" i="68"/>
  <c r="Y38" i="68"/>
  <c r="Y39" i="68"/>
  <c r="Y40" i="68"/>
  <c r="Y41" i="68"/>
  <c r="Y42" i="68"/>
  <c r="Y43" i="68"/>
  <c r="Y44" i="68"/>
  <c r="Y45" i="68"/>
  <c r="Y46" i="68"/>
  <c r="Y47" i="68"/>
  <c r="Y48" i="68"/>
  <c r="Y49" i="68"/>
  <c r="Y50" i="68"/>
  <c r="Y51" i="68"/>
  <c r="Y52" i="68"/>
  <c r="Y53" i="68"/>
  <c r="Y54" i="68"/>
  <c r="Y55" i="68"/>
  <c r="Y56" i="68"/>
  <c r="Y57" i="68"/>
  <c r="Y58" i="68"/>
  <c r="Y59" i="68"/>
  <c r="Y60" i="68"/>
  <c r="Y61" i="68"/>
  <c r="Y62" i="68"/>
  <c r="Y63" i="68"/>
  <c r="Y64" i="68"/>
  <c r="Y65" i="68"/>
  <c r="Y66" i="68"/>
  <c r="Y67" i="68"/>
  <c r="Y68" i="68"/>
  <c r="Y69" i="68"/>
  <c r="Y70" i="68"/>
  <c r="Y71" i="68"/>
  <c r="Y72" i="68"/>
  <c r="Y73" i="68"/>
  <c r="Y74" i="68"/>
  <c r="Y75" i="68"/>
  <c r="Y76" i="68"/>
  <c r="Y77" i="68"/>
  <c r="Y78" i="68"/>
  <c r="Y79" i="68"/>
  <c r="Y80" i="68"/>
  <c r="Y81" i="68"/>
  <c r="Y82" i="68"/>
  <c r="Y83" i="68"/>
  <c r="Y84" i="68"/>
  <c r="Y85" i="68"/>
  <c r="Y86" i="68"/>
  <c r="Y87" i="68"/>
  <c r="Y88" i="68"/>
  <c r="Y89" i="68"/>
  <c r="Y90" i="68"/>
  <c r="Y91" i="68"/>
  <c r="Y92" i="68"/>
  <c r="Y93" i="68"/>
  <c r="Y94" i="68"/>
  <c r="Y95" i="68"/>
  <c r="Y96" i="68"/>
  <c r="Y97" i="68"/>
  <c r="Y98" i="68"/>
  <c r="Y99" i="68"/>
  <c r="Y100" i="68"/>
  <c r="Y101" i="68"/>
  <c r="Y102" i="68"/>
  <c r="Y103" i="68"/>
  <c r="Y104" i="68"/>
  <c r="Y105" i="68"/>
  <c r="Y106" i="68"/>
  <c r="Y107" i="68"/>
  <c r="Y108" i="68"/>
  <c r="Y109" i="68"/>
  <c r="Y110" i="68"/>
  <c r="Y111" i="68"/>
  <c r="Y112" i="68"/>
  <c r="Y113" i="68"/>
  <c r="Y114" i="68"/>
  <c r="Y115" i="68"/>
  <c r="Y116" i="68"/>
  <c r="Y117" i="68"/>
  <c r="Y118" i="68"/>
  <c r="Y119" i="68"/>
  <c r="Y120" i="68"/>
  <c r="Y121" i="68"/>
  <c r="Y122" i="68"/>
  <c r="Y123" i="68"/>
  <c r="Y124" i="68"/>
  <c r="Y125" i="68"/>
  <c r="Y126" i="68"/>
  <c r="Y127" i="68"/>
  <c r="Y128" i="68"/>
  <c r="Y129" i="68"/>
  <c r="Y130" i="68"/>
  <c r="Y131" i="68"/>
  <c r="Y132" i="68"/>
  <c r="Y133" i="68"/>
  <c r="Y134" i="68"/>
  <c r="Y135" i="68"/>
  <c r="Y136" i="68"/>
  <c r="Y137" i="68"/>
  <c r="Y138" i="68"/>
  <c r="Y139" i="68"/>
  <c r="Y140" i="68"/>
  <c r="Y141" i="68"/>
  <c r="Y142" i="68"/>
  <c r="Y143" i="68"/>
  <c r="Y144" i="68"/>
  <c r="Y145" i="68"/>
  <c r="Y146" i="68"/>
  <c r="Y147" i="68"/>
  <c r="Y148" i="68"/>
  <c r="Y149" i="68"/>
  <c r="Y150" i="68"/>
  <c r="Y151" i="68"/>
  <c r="Y152" i="68"/>
  <c r="Y153" i="68"/>
  <c r="Y154" i="68"/>
  <c r="Y155" i="68"/>
  <c r="Y156" i="68"/>
  <c r="Y157" i="68"/>
  <c r="Y158" i="68"/>
  <c r="Y159" i="68"/>
  <c r="Y160" i="68"/>
  <c r="Y161" i="68"/>
  <c r="Y162" i="68"/>
  <c r="Y163" i="68"/>
  <c r="Y164" i="68"/>
  <c r="Y165" i="68"/>
  <c r="Y166" i="68"/>
  <c r="Y167" i="68"/>
  <c r="Y168" i="68"/>
  <c r="Y169" i="68"/>
  <c r="Y170" i="68"/>
  <c r="Y171" i="68"/>
  <c r="Y172" i="68"/>
  <c r="Y173" i="68"/>
  <c r="Y174" i="68"/>
  <c r="Y175" i="68"/>
  <c r="Y176" i="68"/>
  <c r="Y177" i="68"/>
  <c r="Y178" i="68"/>
  <c r="Y179" i="68"/>
  <c r="Y180" i="68"/>
  <c r="Y181" i="68"/>
  <c r="Y182" i="68"/>
  <c r="Y183" i="68"/>
  <c r="Y184" i="68"/>
  <c r="Y185" i="68"/>
  <c r="Y186" i="68"/>
  <c r="Y187" i="68"/>
  <c r="Y188" i="68"/>
  <c r="Y189" i="68"/>
  <c r="Y190" i="68"/>
  <c r="Y191" i="68"/>
  <c r="Y192" i="68"/>
  <c r="Y193" i="68"/>
  <c r="Y194" i="68"/>
  <c r="Y195" i="68"/>
  <c r="Y196" i="68"/>
  <c r="Y197" i="68"/>
  <c r="Y198" i="68"/>
  <c r="Y199" i="68"/>
  <c r="Y200" i="68"/>
  <c r="Y201" i="68"/>
  <c r="Y202" i="68"/>
  <c r="Y203" i="68"/>
  <c r="Y204" i="68"/>
  <c r="Y205" i="68"/>
  <c r="Y206" i="68"/>
  <c r="Y207" i="68"/>
  <c r="Y208" i="68"/>
  <c r="Y209" i="68"/>
  <c r="Y210" i="68"/>
  <c r="Y211" i="68"/>
  <c r="Y212" i="68"/>
  <c r="Y213" i="68"/>
  <c r="Y214" i="68"/>
  <c r="Y215" i="68"/>
  <c r="Y216" i="68"/>
  <c r="Y217" i="68"/>
  <c r="Y218" i="68"/>
  <c r="Y219" i="68"/>
  <c r="Y220" i="68"/>
  <c r="Y221" i="68"/>
  <c r="Y222" i="68"/>
  <c r="Y223" i="68"/>
  <c r="Y224" i="68"/>
  <c r="Y225" i="68"/>
  <c r="Y226" i="68"/>
  <c r="Y227" i="68"/>
  <c r="Y228" i="68"/>
  <c r="Y229" i="68"/>
  <c r="Y230" i="68"/>
  <c r="Y231" i="68"/>
  <c r="Y232" i="68"/>
  <c r="Y233" i="68"/>
  <c r="Y234" i="68"/>
  <c r="Y235" i="68"/>
  <c r="Y236" i="68"/>
  <c r="Y237" i="68"/>
  <c r="Y238" i="68"/>
  <c r="Y239" i="68"/>
  <c r="Y240" i="68"/>
  <c r="Y241" i="68"/>
  <c r="Y242" i="68"/>
  <c r="Y243" i="68"/>
  <c r="Y244" i="68"/>
  <c r="Y245" i="68"/>
  <c r="Y246" i="68"/>
  <c r="Y247" i="68"/>
  <c r="Y248" i="68"/>
  <c r="Y249" i="68"/>
  <c r="Y250" i="68"/>
  <c r="Y251" i="68"/>
  <c r="Y252" i="68"/>
  <c r="Y253" i="68"/>
  <c r="Y254" i="68"/>
  <c r="Y255" i="68"/>
  <c r="Y256" i="68"/>
  <c r="Y257" i="68"/>
  <c r="Y258" i="68"/>
  <c r="Y259" i="68"/>
  <c r="Y12" i="68"/>
  <c r="W13" i="68"/>
  <c r="W14" i="68"/>
  <c r="W15" i="68"/>
  <c r="W16" i="68"/>
  <c r="W17" i="68"/>
  <c r="W18" i="68"/>
  <c r="W19" i="68"/>
  <c r="W20" i="68"/>
  <c r="W21" i="68"/>
  <c r="W22" i="68"/>
  <c r="W23" i="68"/>
  <c r="W24" i="68"/>
  <c r="W25" i="68"/>
  <c r="W26" i="68"/>
  <c r="W27" i="68"/>
  <c r="W28" i="68"/>
  <c r="W29" i="68"/>
  <c r="W30" i="68"/>
  <c r="W31" i="68"/>
  <c r="W32" i="68"/>
  <c r="W33" i="68"/>
  <c r="W34" i="68"/>
  <c r="W35" i="68"/>
  <c r="W36" i="68"/>
  <c r="W37" i="68"/>
  <c r="W38" i="68"/>
  <c r="W39" i="68"/>
  <c r="W40" i="68"/>
  <c r="W41" i="68"/>
  <c r="W42" i="68"/>
  <c r="W43" i="68"/>
  <c r="W44" i="68"/>
  <c r="W45" i="68"/>
  <c r="W46" i="68"/>
  <c r="W47" i="68"/>
  <c r="W48" i="68"/>
  <c r="W49" i="68"/>
  <c r="W50" i="68"/>
  <c r="W51" i="68"/>
  <c r="W52" i="68"/>
  <c r="W53" i="68"/>
  <c r="W54" i="68"/>
  <c r="W55" i="68"/>
  <c r="W56" i="68"/>
  <c r="W57" i="68"/>
  <c r="W58" i="68"/>
  <c r="W59" i="68"/>
  <c r="W60" i="68"/>
  <c r="W61" i="68"/>
  <c r="W62" i="68"/>
  <c r="W63" i="68"/>
  <c r="W64" i="68"/>
  <c r="W65" i="68"/>
  <c r="W66" i="68"/>
  <c r="W67" i="68"/>
  <c r="W68" i="68"/>
  <c r="W69" i="68"/>
  <c r="W70" i="68"/>
  <c r="W71" i="68"/>
  <c r="W72" i="68"/>
  <c r="W73" i="68"/>
  <c r="W74" i="68"/>
  <c r="W75" i="68"/>
  <c r="W76" i="68"/>
  <c r="W77" i="68"/>
  <c r="W78" i="68"/>
  <c r="W79" i="68"/>
  <c r="W80" i="68"/>
  <c r="W81" i="68"/>
  <c r="W82" i="68"/>
  <c r="W83" i="68"/>
  <c r="W84" i="68"/>
  <c r="W85" i="68"/>
  <c r="W86" i="68"/>
  <c r="W87" i="68"/>
  <c r="W88" i="68"/>
  <c r="W89" i="68"/>
  <c r="W90" i="68"/>
  <c r="W91" i="68"/>
  <c r="W92" i="68"/>
  <c r="W93" i="68"/>
  <c r="W94" i="68"/>
  <c r="W95" i="68"/>
  <c r="W96" i="68"/>
  <c r="W97" i="68"/>
  <c r="W98" i="68"/>
  <c r="W99" i="68"/>
  <c r="W100" i="68"/>
  <c r="W101" i="68"/>
  <c r="W102" i="68"/>
  <c r="W103" i="68"/>
  <c r="W104" i="68"/>
  <c r="W105" i="68"/>
  <c r="W106" i="68"/>
  <c r="W107" i="68"/>
  <c r="W108" i="68"/>
  <c r="W109" i="68"/>
  <c r="W110" i="68"/>
  <c r="W111" i="68"/>
  <c r="W112" i="68"/>
  <c r="W113" i="68"/>
  <c r="W114" i="68"/>
  <c r="W115" i="68"/>
  <c r="W116" i="68"/>
  <c r="W117" i="68"/>
  <c r="W118" i="68"/>
  <c r="W119" i="68"/>
  <c r="W120" i="68"/>
  <c r="W121" i="68"/>
  <c r="W122" i="68"/>
  <c r="W123" i="68"/>
  <c r="W124" i="68"/>
  <c r="W125" i="68"/>
  <c r="W126" i="68"/>
  <c r="W127" i="68"/>
  <c r="W128" i="68"/>
  <c r="W129" i="68"/>
  <c r="W130" i="68"/>
  <c r="W131" i="68"/>
  <c r="W132" i="68"/>
  <c r="W133" i="68"/>
  <c r="W134" i="68"/>
  <c r="W135" i="68"/>
  <c r="W136" i="68"/>
  <c r="W137" i="68"/>
  <c r="W138" i="68"/>
  <c r="W139" i="68"/>
  <c r="W140" i="68"/>
  <c r="W141" i="68"/>
  <c r="W142" i="68"/>
  <c r="W143" i="68"/>
  <c r="W144" i="68"/>
  <c r="W145" i="68"/>
  <c r="W146" i="68"/>
  <c r="W147" i="68"/>
  <c r="W148" i="68"/>
  <c r="W149" i="68"/>
  <c r="W150" i="68"/>
  <c r="W151" i="68"/>
  <c r="W152" i="68"/>
  <c r="W153" i="68"/>
  <c r="W154" i="68"/>
  <c r="W155" i="68"/>
  <c r="W156" i="68"/>
  <c r="W157" i="68"/>
  <c r="W158" i="68"/>
  <c r="W159" i="68"/>
  <c r="W160" i="68"/>
  <c r="W161" i="68"/>
  <c r="W162" i="68"/>
  <c r="W163" i="68"/>
  <c r="W164" i="68"/>
  <c r="W165" i="68"/>
  <c r="W166" i="68"/>
  <c r="W167" i="68"/>
  <c r="W168" i="68"/>
  <c r="W169" i="68"/>
  <c r="W170" i="68"/>
  <c r="W171" i="68"/>
  <c r="W172" i="68"/>
  <c r="W173" i="68"/>
  <c r="W174" i="68"/>
  <c r="W175" i="68"/>
  <c r="W176" i="68"/>
  <c r="W177" i="68"/>
  <c r="W178" i="68"/>
  <c r="W179" i="68"/>
  <c r="W180" i="68"/>
  <c r="W181" i="68"/>
  <c r="W182" i="68"/>
  <c r="W183" i="68"/>
  <c r="W184" i="68"/>
  <c r="W185" i="68"/>
  <c r="W186" i="68"/>
  <c r="W187" i="68"/>
  <c r="W188" i="68"/>
  <c r="W189" i="68"/>
  <c r="W190" i="68"/>
  <c r="W191" i="68"/>
  <c r="W192" i="68"/>
  <c r="W193" i="68"/>
  <c r="W194" i="68"/>
  <c r="W195" i="68"/>
  <c r="W196" i="68"/>
  <c r="W197" i="68"/>
  <c r="W198" i="68"/>
  <c r="W199" i="68"/>
  <c r="W200" i="68"/>
  <c r="W201" i="68"/>
  <c r="W202" i="68"/>
  <c r="W203" i="68"/>
  <c r="W204" i="68"/>
  <c r="W205" i="68"/>
  <c r="W206" i="68"/>
  <c r="W207" i="68"/>
  <c r="W208" i="68"/>
  <c r="W209" i="68"/>
  <c r="W210" i="68"/>
  <c r="W211" i="68"/>
  <c r="W212" i="68"/>
  <c r="W213" i="68"/>
  <c r="W214" i="68"/>
  <c r="W215" i="68"/>
  <c r="W216" i="68"/>
  <c r="W217" i="68"/>
  <c r="W218" i="68"/>
  <c r="W219" i="68"/>
  <c r="W220" i="68"/>
  <c r="W221" i="68"/>
  <c r="W222" i="68"/>
  <c r="W223" i="68"/>
  <c r="W224" i="68"/>
  <c r="W225" i="68"/>
  <c r="W226" i="68"/>
  <c r="W227" i="68"/>
  <c r="W228" i="68"/>
  <c r="W229" i="68"/>
  <c r="W230" i="68"/>
  <c r="W231" i="68"/>
  <c r="W232" i="68"/>
  <c r="W233" i="68"/>
  <c r="W234" i="68"/>
  <c r="W235" i="68"/>
  <c r="W236" i="68"/>
  <c r="W237" i="68"/>
  <c r="W238" i="68"/>
  <c r="W239" i="68"/>
  <c r="W240" i="68"/>
  <c r="W241" i="68"/>
  <c r="W242" i="68"/>
  <c r="W243" i="68"/>
  <c r="W244" i="68"/>
  <c r="W245" i="68"/>
  <c r="W246" i="68"/>
  <c r="W247" i="68"/>
  <c r="W248" i="68"/>
  <c r="W249" i="68"/>
  <c r="W250" i="68"/>
  <c r="W251" i="68"/>
  <c r="W252" i="68"/>
  <c r="W253" i="68"/>
  <c r="W254" i="68"/>
  <c r="W255" i="68"/>
  <c r="W256" i="68"/>
  <c r="W257" i="68"/>
  <c r="W258" i="68"/>
  <c r="W259" i="68"/>
  <c r="W12" i="68"/>
  <c r="S14" i="68"/>
  <c r="S15" i="68"/>
  <c r="S16" i="68"/>
  <c r="S17" i="68"/>
  <c r="S18" i="68"/>
  <c r="S19" i="68"/>
  <c r="S20" i="68"/>
  <c r="S21" i="68"/>
  <c r="S22" i="68"/>
  <c r="S23" i="68"/>
  <c r="S24" i="68"/>
  <c r="S25" i="68"/>
  <c r="S26" i="68"/>
  <c r="S27" i="68"/>
  <c r="S28" i="68"/>
  <c r="S29" i="68"/>
  <c r="S30" i="68"/>
  <c r="S31" i="68"/>
  <c r="S32" i="68"/>
  <c r="S33" i="68"/>
  <c r="S34" i="68"/>
  <c r="S35" i="68"/>
  <c r="S36" i="68"/>
  <c r="S37" i="68"/>
  <c r="S38" i="68"/>
  <c r="S39" i="68"/>
  <c r="S40" i="68"/>
  <c r="S41" i="68"/>
  <c r="S42" i="68"/>
  <c r="S43" i="68"/>
  <c r="S44" i="68"/>
  <c r="S45" i="68"/>
  <c r="S46" i="68"/>
  <c r="S47" i="68"/>
  <c r="S48" i="68"/>
  <c r="S49" i="68"/>
  <c r="S50" i="68"/>
  <c r="S51" i="68"/>
  <c r="S52" i="68"/>
  <c r="S53" i="68"/>
  <c r="S54" i="68"/>
  <c r="S55" i="68"/>
  <c r="S56" i="68"/>
  <c r="S57" i="68"/>
  <c r="S58" i="68"/>
  <c r="S59" i="68"/>
  <c r="S60" i="68"/>
  <c r="S61" i="68"/>
  <c r="S62" i="68"/>
  <c r="S63" i="68"/>
  <c r="S64" i="68"/>
  <c r="S65" i="68"/>
  <c r="S66" i="68"/>
  <c r="S67" i="68"/>
  <c r="S68" i="68"/>
  <c r="S69" i="68"/>
  <c r="S70" i="68"/>
  <c r="S71" i="68"/>
  <c r="S72" i="68"/>
  <c r="S73" i="68"/>
  <c r="S74" i="68"/>
  <c r="S75" i="68"/>
  <c r="S76" i="68"/>
  <c r="S77" i="68"/>
  <c r="S78" i="68"/>
  <c r="S79" i="68"/>
  <c r="S80" i="68"/>
  <c r="S81" i="68"/>
  <c r="S82" i="68"/>
  <c r="S83" i="68"/>
  <c r="S84" i="68"/>
  <c r="S85" i="68"/>
  <c r="S86" i="68"/>
  <c r="S87" i="68"/>
  <c r="S88" i="68"/>
  <c r="S89" i="68"/>
  <c r="S90" i="68"/>
  <c r="S91" i="68"/>
  <c r="S92" i="68"/>
  <c r="S93" i="68"/>
  <c r="S94" i="68"/>
  <c r="S95" i="68"/>
  <c r="S96" i="68"/>
  <c r="S97" i="68"/>
  <c r="S98" i="68"/>
  <c r="S99" i="68"/>
  <c r="S100" i="68"/>
  <c r="S101" i="68"/>
  <c r="S102" i="68"/>
  <c r="S103" i="68"/>
  <c r="S104" i="68"/>
  <c r="S105" i="68"/>
  <c r="S106" i="68"/>
  <c r="S107" i="68"/>
  <c r="S108" i="68"/>
  <c r="S109" i="68"/>
  <c r="S110" i="68"/>
  <c r="S111" i="68"/>
  <c r="S112" i="68"/>
  <c r="S113" i="68"/>
  <c r="S114" i="68"/>
  <c r="S115" i="68"/>
  <c r="S116" i="68"/>
  <c r="S117" i="68"/>
  <c r="S118" i="68"/>
  <c r="S119" i="68"/>
  <c r="S120" i="68"/>
  <c r="S121" i="68"/>
  <c r="S122" i="68"/>
  <c r="S123" i="68"/>
  <c r="S124" i="68"/>
  <c r="S125" i="68"/>
  <c r="S126" i="68"/>
  <c r="S127" i="68"/>
  <c r="S128" i="68"/>
  <c r="S129" i="68"/>
  <c r="S130" i="68"/>
  <c r="S131" i="68"/>
  <c r="S132" i="68"/>
  <c r="S133" i="68"/>
  <c r="S134" i="68"/>
  <c r="S135" i="68"/>
  <c r="S136" i="68"/>
  <c r="S137" i="68"/>
  <c r="S138" i="68"/>
  <c r="S139" i="68"/>
  <c r="S140" i="68"/>
  <c r="S141" i="68"/>
  <c r="S142" i="68"/>
  <c r="S143" i="68"/>
  <c r="S144" i="68"/>
  <c r="S145" i="68"/>
  <c r="S146" i="68"/>
  <c r="S147" i="68"/>
  <c r="S148" i="68"/>
  <c r="S149" i="68"/>
  <c r="S150" i="68"/>
  <c r="S151" i="68"/>
  <c r="S152" i="68"/>
  <c r="S153" i="68"/>
  <c r="S154" i="68"/>
  <c r="S155" i="68"/>
  <c r="S156" i="68"/>
  <c r="S157" i="68"/>
  <c r="S158" i="68"/>
  <c r="S159" i="68"/>
  <c r="S160" i="68"/>
  <c r="S161" i="68"/>
  <c r="S162" i="68"/>
  <c r="S163" i="68"/>
  <c r="S164" i="68"/>
  <c r="S165" i="68"/>
  <c r="S166" i="68"/>
  <c r="S167" i="68"/>
  <c r="S168" i="68"/>
  <c r="S169" i="68"/>
  <c r="S170" i="68"/>
  <c r="S171" i="68"/>
  <c r="S172" i="68"/>
  <c r="S173" i="68"/>
  <c r="S174" i="68"/>
  <c r="S175" i="68"/>
  <c r="S176" i="68"/>
  <c r="S177" i="68"/>
  <c r="S178" i="68"/>
  <c r="S179" i="68"/>
  <c r="S180" i="68"/>
  <c r="S181" i="68"/>
  <c r="S182" i="68"/>
  <c r="S183" i="68"/>
  <c r="S184" i="68"/>
  <c r="S185" i="68"/>
  <c r="S186" i="68"/>
  <c r="S187" i="68"/>
  <c r="S188" i="68"/>
  <c r="S189" i="68"/>
  <c r="S190" i="68"/>
  <c r="S191" i="68"/>
  <c r="S192" i="68"/>
  <c r="S193" i="68"/>
  <c r="S194" i="68"/>
  <c r="S195" i="68"/>
  <c r="S196" i="68"/>
  <c r="S197" i="68"/>
  <c r="S198" i="68"/>
  <c r="S199" i="68"/>
  <c r="S200" i="68"/>
  <c r="S201" i="68"/>
  <c r="S202" i="68"/>
  <c r="S203" i="68"/>
  <c r="S204" i="68"/>
  <c r="S205" i="68"/>
  <c r="S206" i="68"/>
  <c r="S207" i="68"/>
  <c r="S208" i="68"/>
  <c r="S209" i="68"/>
  <c r="S210" i="68"/>
  <c r="S211" i="68"/>
  <c r="S212" i="68"/>
  <c r="S213" i="68"/>
  <c r="S214" i="68"/>
  <c r="S215" i="68"/>
  <c r="S216" i="68"/>
  <c r="S217" i="68"/>
  <c r="S218" i="68"/>
  <c r="S219" i="68"/>
  <c r="S220" i="68"/>
  <c r="S221" i="68"/>
  <c r="S222" i="68"/>
  <c r="S223" i="68"/>
  <c r="S224" i="68"/>
  <c r="S225" i="68"/>
  <c r="S226" i="68"/>
  <c r="S227" i="68"/>
  <c r="S228" i="68"/>
  <c r="S229" i="68"/>
  <c r="S230" i="68"/>
  <c r="S231" i="68"/>
  <c r="S232" i="68"/>
  <c r="S233" i="68"/>
  <c r="S234" i="68"/>
  <c r="S235" i="68"/>
  <c r="S236" i="68"/>
  <c r="S237" i="68"/>
  <c r="S238" i="68"/>
  <c r="S239" i="68"/>
  <c r="S240" i="68"/>
  <c r="S241" i="68"/>
  <c r="S242" i="68"/>
  <c r="S243" i="68"/>
  <c r="S244" i="68"/>
  <c r="S245" i="68"/>
  <c r="S246" i="68"/>
  <c r="S247" i="68"/>
  <c r="S248" i="68"/>
  <c r="S249" i="68"/>
  <c r="S250" i="68"/>
  <c r="S251" i="68"/>
  <c r="S252" i="68"/>
  <c r="S253" i="68"/>
  <c r="S254" i="68"/>
  <c r="S255" i="68"/>
  <c r="S256" i="68"/>
  <c r="S257" i="68"/>
  <c r="S258" i="68"/>
  <c r="S259" i="68"/>
  <c r="K13" i="68"/>
  <c r="K14" i="68"/>
  <c r="K15" i="68"/>
  <c r="K16" i="68"/>
  <c r="K17" i="68"/>
  <c r="K18" i="68"/>
  <c r="K19" i="68"/>
  <c r="K20" i="68"/>
  <c r="K21" i="68"/>
  <c r="K22" i="68"/>
  <c r="K23" i="68"/>
  <c r="K24" i="68"/>
  <c r="K25" i="68"/>
  <c r="K26" i="68"/>
  <c r="K27" i="68"/>
  <c r="K28" i="68"/>
  <c r="K29" i="68"/>
  <c r="K30" i="68"/>
  <c r="K31" i="68"/>
  <c r="K32" i="68"/>
  <c r="K33" i="68"/>
  <c r="K34" i="68"/>
  <c r="K35" i="68"/>
  <c r="K36" i="68"/>
  <c r="K37" i="68"/>
  <c r="K38" i="68"/>
  <c r="K39" i="68"/>
  <c r="K40" i="68"/>
  <c r="K41" i="68"/>
  <c r="K42" i="68"/>
  <c r="K43" i="68"/>
  <c r="K44" i="68"/>
  <c r="K45" i="68"/>
  <c r="K46" i="68"/>
  <c r="K47" i="68"/>
  <c r="K48" i="68"/>
  <c r="K49" i="68"/>
  <c r="K50" i="68"/>
  <c r="K51" i="68"/>
  <c r="K52" i="68"/>
  <c r="K53" i="68"/>
  <c r="K54" i="68"/>
  <c r="K55" i="68"/>
  <c r="K56" i="68"/>
  <c r="K57" i="68"/>
  <c r="K58" i="68"/>
  <c r="K59" i="68"/>
  <c r="K60" i="68"/>
  <c r="K61" i="68"/>
  <c r="K62" i="68"/>
  <c r="K63" i="68"/>
  <c r="K64" i="68"/>
  <c r="K65" i="68"/>
  <c r="K66" i="68"/>
  <c r="K67" i="68"/>
  <c r="K68" i="68"/>
  <c r="K69" i="68"/>
  <c r="K70" i="68"/>
  <c r="K71" i="68"/>
  <c r="K72" i="68"/>
  <c r="K73" i="68"/>
  <c r="K74" i="68"/>
  <c r="K75" i="68"/>
  <c r="K76" i="68"/>
  <c r="K77" i="68"/>
  <c r="K78" i="68"/>
  <c r="K79" i="68"/>
  <c r="K80" i="68"/>
  <c r="K81" i="68"/>
  <c r="K82" i="68"/>
  <c r="K83" i="68"/>
  <c r="K84" i="68"/>
  <c r="K85" i="68"/>
  <c r="K86" i="68"/>
  <c r="K87" i="68"/>
  <c r="K88" i="68"/>
  <c r="K89" i="68"/>
  <c r="K90" i="68"/>
  <c r="K91" i="68"/>
  <c r="K92" i="68"/>
  <c r="K93" i="68"/>
  <c r="K94" i="68"/>
  <c r="K95" i="68"/>
  <c r="K96" i="68"/>
  <c r="K97" i="68"/>
  <c r="K98" i="68"/>
  <c r="K99" i="68"/>
  <c r="K100" i="68"/>
  <c r="K101" i="68"/>
  <c r="K102" i="68"/>
  <c r="K103" i="68"/>
  <c r="K104" i="68"/>
  <c r="K105" i="68"/>
  <c r="K106" i="68"/>
  <c r="K107" i="68"/>
  <c r="K108" i="68"/>
  <c r="K109" i="68"/>
  <c r="K110" i="68"/>
  <c r="K111" i="68"/>
  <c r="K112" i="68"/>
  <c r="K113" i="68"/>
  <c r="K114" i="68"/>
  <c r="K115" i="68"/>
  <c r="K116" i="68"/>
  <c r="K117" i="68"/>
  <c r="K118" i="68"/>
  <c r="K119" i="68"/>
  <c r="K120" i="68"/>
  <c r="K121" i="68"/>
  <c r="K122" i="68"/>
  <c r="K123" i="68"/>
  <c r="K124" i="68"/>
  <c r="K125" i="68"/>
  <c r="K126" i="68"/>
  <c r="K127" i="68"/>
  <c r="K128" i="68"/>
  <c r="K129" i="68"/>
  <c r="K130" i="68"/>
  <c r="K131" i="68"/>
  <c r="K132" i="68"/>
  <c r="K133" i="68"/>
  <c r="K134" i="68"/>
  <c r="K135" i="68"/>
  <c r="K136" i="68"/>
  <c r="K137" i="68"/>
  <c r="K138" i="68"/>
  <c r="K139" i="68"/>
  <c r="K140" i="68"/>
  <c r="K141" i="68"/>
  <c r="K142" i="68"/>
  <c r="K143" i="68"/>
  <c r="K144" i="68"/>
  <c r="K145" i="68"/>
  <c r="K146" i="68"/>
  <c r="K147" i="68"/>
  <c r="K148" i="68"/>
  <c r="K149" i="68"/>
  <c r="K150" i="68"/>
  <c r="K151" i="68"/>
  <c r="K152" i="68"/>
  <c r="K153" i="68"/>
  <c r="K154" i="68"/>
  <c r="K155" i="68"/>
  <c r="K156" i="68"/>
  <c r="K157" i="68"/>
  <c r="K158" i="68"/>
  <c r="K159" i="68"/>
  <c r="K160" i="68"/>
  <c r="K161" i="68"/>
  <c r="K162" i="68"/>
  <c r="K163" i="68"/>
  <c r="K164" i="68"/>
  <c r="K165" i="68"/>
  <c r="K166" i="68"/>
  <c r="K167" i="68"/>
  <c r="K168" i="68"/>
  <c r="K169" i="68"/>
  <c r="K170" i="68"/>
  <c r="K171" i="68"/>
  <c r="K172" i="68"/>
  <c r="K173" i="68"/>
  <c r="K174" i="68"/>
  <c r="K175" i="68"/>
  <c r="K176" i="68"/>
  <c r="K177" i="68"/>
  <c r="K178" i="68"/>
  <c r="K179" i="68"/>
  <c r="K180" i="68"/>
  <c r="K181" i="68"/>
  <c r="K182" i="68"/>
  <c r="K183" i="68"/>
  <c r="K184" i="68"/>
  <c r="K185" i="68"/>
  <c r="K186" i="68"/>
  <c r="K187" i="68"/>
  <c r="K188" i="68"/>
  <c r="K189" i="68"/>
  <c r="K190" i="68"/>
  <c r="K191" i="68"/>
  <c r="K192" i="68"/>
  <c r="K193" i="68"/>
  <c r="K194" i="68"/>
  <c r="K195" i="68"/>
  <c r="K196" i="68"/>
  <c r="K197" i="68"/>
  <c r="K198" i="68"/>
  <c r="K199" i="68"/>
  <c r="K200" i="68"/>
  <c r="K201" i="68"/>
  <c r="K202" i="68"/>
  <c r="K203" i="68"/>
  <c r="K204" i="68"/>
  <c r="K205" i="68"/>
  <c r="K206" i="68"/>
  <c r="K207" i="68"/>
  <c r="K208" i="68"/>
  <c r="K209" i="68"/>
  <c r="K210" i="68"/>
  <c r="K211" i="68"/>
  <c r="K212" i="68"/>
  <c r="K213" i="68"/>
  <c r="K214" i="68"/>
  <c r="K215" i="68"/>
  <c r="K216" i="68"/>
  <c r="K217" i="68"/>
  <c r="K218" i="68"/>
  <c r="K219" i="68"/>
  <c r="K220" i="68"/>
  <c r="K221" i="68"/>
  <c r="K222" i="68"/>
  <c r="K223" i="68"/>
  <c r="K224" i="68"/>
  <c r="K225" i="68"/>
  <c r="K226" i="68"/>
  <c r="K227" i="68"/>
  <c r="K228" i="68"/>
  <c r="K229" i="68"/>
  <c r="K230" i="68"/>
  <c r="K231" i="68"/>
  <c r="K232" i="68"/>
  <c r="K233" i="68"/>
  <c r="K234" i="68"/>
  <c r="K235" i="68"/>
  <c r="K236" i="68"/>
  <c r="K237" i="68"/>
  <c r="K238" i="68"/>
  <c r="K239" i="68"/>
  <c r="K240" i="68"/>
  <c r="K241" i="68"/>
  <c r="K242" i="68"/>
  <c r="K243" i="68"/>
  <c r="K244" i="68"/>
  <c r="K245" i="68"/>
  <c r="K246" i="68"/>
  <c r="K247" i="68"/>
  <c r="K248" i="68"/>
  <c r="K249" i="68"/>
  <c r="K250" i="68"/>
  <c r="K251" i="68"/>
  <c r="K252" i="68"/>
  <c r="K253" i="68"/>
  <c r="K254" i="68"/>
  <c r="K255" i="68"/>
  <c r="K256" i="68"/>
  <c r="K257" i="68"/>
  <c r="K258" i="68"/>
  <c r="K259" i="68"/>
  <c r="K12" i="68"/>
  <c r="J13" i="68"/>
  <c r="J14" i="68"/>
  <c r="J15" i="68"/>
  <c r="J16" i="68"/>
  <c r="J17" i="68"/>
  <c r="J18" i="68"/>
  <c r="J19" i="68"/>
  <c r="J20" i="68"/>
  <c r="J21" i="68"/>
  <c r="J22" i="68"/>
  <c r="J23" i="68"/>
  <c r="J24" i="68"/>
  <c r="J25" i="68"/>
  <c r="J26" i="68"/>
  <c r="J27" i="68"/>
  <c r="J28" i="68"/>
  <c r="J29" i="68"/>
  <c r="J30" i="68"/>
  <c r="J31" i="68"/>
  <c r="J32" i="68"/>
  <c r="J33" i="68"/>
  <c r="J34" i="68"/>
  <c r="J35" i="68"/>
  <c r="J36" i="68"/>
  <c r="J37" i="68"/>
  <c r="J38" i="68"/>
  <c r="J39" i="68"/>
  <c r="J40" i="68"/>
  <c r="J41" i="68"/>
  <c r="J42" i="68"/>
  <c r="J43" i="68"/>
  <c r="J44" i="68"/>
  <c r="J45" i="68"/>
  <c r="J46" i="68"/>
  <c r="J47" i="68"/>
  <c r="J48" i="68"/>
  <c r="J49" i="68"/>
  <c r="J50" i="68"/>
  <c r="J51" i="68"/>
  <c r="J52" i="68"/>
  <c r="J53" i="68"/>
  <c r="J54" i="68"/>
  <c r="J55" i="68"/>
  <c r="J56" i="68"/>
  <c r="J57" i="68"/>
  <c r="J58" i="68"/>
  <c r="J59" i="68"/>
  <c r="J60" i="68"/>
  <c r="J61" i="68"/>
  <c r="J62" i="68"/>
  <c r="J63" i="68"/>
  <c r="J64" i="68"/>
  <c r="J65" i="68"/>
  <c r="J66" i="68"/>
  <c r="J67" i="68"/>
  <c r="J68" i="68"/>
  <c r="J69" i="68"/>
  <c r="J70" i="68"/>
  <c r="J71" i="68"/>
  <c r="J72" i="68"/>
  <c r="J73" i="68"/>
  <c r="J74" i="68"/>
  <c r="J75" i="68"/>
  <c r="J76" i="68"/>
  <c r="J77" i="68"/>
  <c r="J78" i="68"/>
  <c r="J79" i="68"/>
  <c r="J80" i="68"/>
  <c r="J81" i="68"/>
  <c r="J82" i="68"/>
  <c r="J83" i="68"/>
  <c r="J84" i="68"/>
  <c r="J85" i="68"/>
  <c r="J86" i="68"/>
  <c r="J87" i="68"/>
  <c r="J88" i="68"/>
  <c r="J89" i="68"/>
  <c r="J90" i="68"/>
  <c r="J91" i="68"/>
  <c r="J92" i="68"/>
  <c r="J93" i="68"/>
  <c r="J94" i="68"/>
  <c r="J95" i="68"/>
  <c r="J96" i="68"/>
  <c r="J97" i="68"/>
  <c r="J98" i="68"/>
  <c r="J99" i="68"/>
  <c r="J100" i="68"/>
  <c r="J101" i="68"/>
  <c r="J102" i="68"/>
  <c r="J103" i="68"/>
  <c r="J104" i="68"/>
  <c r="J105" i="68"/>
  <c r="J106" i="68"/>
  <c r="J107" i="68"/>
  <c r="J108" i="68"/>
  <c r="J109" i="68"/>
  <c r="J110" i="68"/>
  <c r="J111" i="68"/>
  <c r="J112" i="68"/>
  <c r="J113" i="68"/>
  <c r="J114" i="68"/>
  <c r="J115" i="68"/>
  <c r="J116" i="68"/>
  <c r="J117" i="68"/>
  <c r="J118" i="68"/>
  <c r="J119" i="68"/>
  <c r="J120" i="68"/>
  <c r="J121" i="68"/>
  <c r="J122" i="68"/>
  <c r="J123" i="68"/>
  <c r="J124" i="68"/>
  <c r="J125" i="68"/>
  <c r="J126" i="68"/>
  <c r="J127" i="68"/>
  <c r="J128" i="68"/>
  <c r="J129" i="68"/>
  <c r="J130" i="68"/>
  <c r="J131" i="68"/>
  <c r="J132" i="68"/>
  <c r="J133" i="68"/>
  <c r="J134" i="68"/>
  <c r="J135" i="68"/>
  <c r="J136" i="68"/>
  <c r="J137" i="68"/>
  <c r="J138" i="68"/>
  <c r="J139" i="68"/>
  <c r="J140" i="68"/>
  <c r="J141" i="68"/>
  <c r="J142" i="68"/>
  <c r="J143" i="68"/>
  <c r="J144" i="68"/>
  <c r="J145" i="68"/>
  <c r="J146" i="68"/>
  <c r="J147" i="68"/>
  <c r="J148" i="68"/>
  <c r="J149" i="68"/>
  <c r="J150" i="68"/>
  <c r="J151" i="68"/>
  <c r="J152" i="68"/>
  <c r="J153" i="68"/>
  <c r="J154" i="68"/>
  <c r="J155" i="68"/>
  <c r="J156" i="68"/>
  <c r="J157" i="68"/>
  <c r="J158" i="68"/>
  <c r="J159" i="68"/>
  <c r="J160" i="68"/>
  <c r="J161" i="68"/>
  <c r="J162" i="68"/>
  <c r="J163" i="68"/>
  <c r="J164" i="68"/>
  <c r="J165" i="68"/>
  <c r="J166" i="68"/>
  <c r="J167" i="68"/>
  <c r="J168" i="68"/>
  <c r="J169" i="68"/>
  <c r="J170" i="68"/>
  <c r="J171" i="68"/>
  <c r="J172" i="68"/>
  <c r="J173" i="68"/>
  <c r="J174" i="68"/>
  <c r="J175" i="68"/>
  <c r="J176" i="68"/>
  <c r="J177" i="68"/>
  <c r="J178" i="68"/>
  <c r="J179" i="68"/>
  <c r="J180" i="68"/>
  <c r="J181" i="68"/>
  <c r="J182" i="68"/>
  <c r="J183" i="68"/>
  <c r="J184" i="68"/>
  <c r="J185" i="68"/>
  <c r="J186" i="68"/>
  <c r="J187" i="68"/>
  <c r="J188" i="68"/>
  <c r="J189" i="68"/>
  <c r="J190" i="68"/>
  <c r="J191" i="68"/>
  <c r="J192" i="68"/>
  <c r="J193" i="68"/>
  <c r="J194" i="68"/>
  <c r="J195" i="68"/>
  <c r="J196" i="68"/>
  <c r="J197" i="68"/>
  <c r="J198" i="68"/>
  <c r="J199" i="68"/>
  <c r="J200" i="68"/>
  <c r="J201" i="68"/>
  <c r="J202" i="68"/>
  <c r="J203" i="68"/>
  <c r="J204" i="68"/>
  <c r="J205" i="68"/>
  <c r="J206" i="68"/>
  <c r="J207" i="68"/>
  <c r="J208" i="68"/>
  <c r="J209" i="68"/>
  <c r="J210" i="68"/>
  <c r="J211" i="68"/>
  <c r="J212" i="68"/>
  <c r="J213" i="68"/>
  <c r="J214" i="68"/>
  <c r="J215" i="68"/>
  <c r="J216" i="68"/>
  <c r="J217" i="68"/>
  <c r="J218" i="68"/>
  <c r="J219" i="68"/>
  <c r="J220" i="68"/>
  <c r="J221" i="68"/>
  <c r="J222" i="68"/>
  <c r="J223" i="68"/>
  <c r="J224" i="68"/>
  <c r="J225" i="68"/>
  <c r="J226" i="68"/>
  <c r="J227" i="68"/>
  <c r="J228" i="68"/>
  <c r="J229" i="68"/>
  <c r="J230" i="68"/>
  <c r="J231" i="68"/>
  <c r="J232" i="68"/>
  <c r="J233" i="68"/>
  <c r="J234" i="68"/>
  <c r="J235" i="68"/>
  <c r="J236" i="68"/>
  <c r="J237" i="68"/>
  <c r="J238" i="68"/>
  <c r="J239" i="68"/>
  <c r="J240" i="68"/>
  <c r="J241" i="68"/>
  <c r="J242" i="68"/>
  <c r="J243" i="68"/>
  <c r="J244" i="68"/>
  <c r="J245" i="68"/>
  <c r="J246" i="68"/>
  <c r="J247" i="68"/>
  <c r="J248" i="68"/>
  <c r="J249" i="68"/>
  <c r="J250" i="68"/>
  <c r="J251" i="68"/>
  <c r="J252" i="68"/>
  <c r="J253" i="68"/>
  <c r="J254" i="68"/>
  <c r="J255" i="68"/>
  <c r="J256" i="68"/>
  <c r="J257" i="68"/>
  <c r="J258" i="68"/>
  <c r="J259" i="68"/>
  <c r="J12" i="68"/>
  <c r="S146" i="58" l="1"/>
  <c r="V146" i="58" s="1"/>
  <c r="S256" i="58"/>
  <c r="V256" i="58" s="1"/>
  <c r="S192" i="58"/>
  <c r="V192" i="58" s="1"/>
  <c r="S114" i="58"/>
  <c r="V114" i="58" s="1"/>
  <c r="S239" i="58"/>
  <c r="V239" i="58" s="1"/>
  <c r="S175" i="58"/>
  <c r="V175" i="58" s="1"/>
  <c r="S226" i="58"/>
  <c r="V226" i="58" s="1"/>
  <c r="S185" i="58"/>
  <c r="V185" i="58" s="1"/>
  <c r="S150" i="58"/>
  <c r="V150" i="58" s="1"/>
  <c r="S134" i="58"/>
  <c r="V134" i="58" s="1"/>
  <c r="S102" i="58"/>
  <c r="V102" i="58" s="1"/>
  <c r="R114" i="58"/>
  <c r="S177" i="58"/>
  <c r="V177" i="58" s="1"/>
  <c r="S221" i="58"/>
  <c r="V221" i="58" s="1"/>
  <c r="R94" i="58"/>
  <c r="S209" i="58"/>
  <c r="V209" i="58" s="1"/>
  <c r="S236" i="58"/>
  <c r="V236" i="58" s="1"/>
  <c r="S228" i="58"/>
  <c r="V228" i="58" s="1"/>
  <c r="S220" i="58"/>
  <c r="V220" i="58" s="1"/>
  <c r="S212" i="58"/>
  <c r="V212" i="58" s="1"/>
  <c r="S204" i="58"/>
  <c r="V204" i="58" s="1"/>
  <c r="S196" i="58"/>
  <c r="V196" i="58" s="1"/>
  <c r="S172" i="58"/>
  <c r="V172" i="58" s="1"/>
  <c r="R252" i="58"/>
  <c r="R188" i="58"/>
  <c r="S188" i="58" s="1"/>
  <c r="V188" i="58" s="1"/>
  <c r="R57" i="58"/>
  <c r="S57" i="58" s="1"/>
  <c r="V57" i="58" s="1"/>
  <c r="R162" i="58"/>
  <c r="S259" i="58"/>
  <c r="V259" i="58" s="1"/>
  <c r="S195" i="58"/>
  <c r="V195" i="58" s="1"/>
  <c r="R244" i="58"/>
  <c r="S244" i="58" s="1"/>
  <c r="V244" i="58" s="1"/>
  <c r="R180" i="58"/>
  <c r="S100" i="58"/>
  <c r="V100" i="58" s="1"/>
  <c r="R141" i="58"/>
  <c r="S141" i="58" s="1"/>
  <c r="V141" i="58" s="1"/>
  <c r="R119" i="58"/>
  <c r="S119" i="58" s="1"/>
  <c r="V119" i="58" s="1"/>
  <c r="R111" i="58"/>
  <c r="R103" i="58"/>
  <c r="R95" i="58"/>
  <c r="S95" i="58" s="1"/>
  <c r="V95" i="58" s="1"/>
  <c r="R87" i="58"/>
  <c r="S87" i="58" s="1"/>
  <c r="V87" i="58" s="1"/>
  <c r="R79" i="58"/>
  <c r="R71" i="58"/>
  <c r="R63" i="58"/>
  <c r="S63" i="58" s="1"/>
  <c r="V63" i="58" s="1"/>
  <c r="R55" i="58"/>
  <c r="S55" i="58" s="1"/>
  <c r="V55" i="58" s="1"/>
  <c r="R47" i="58"/>
  <c r="R39" i="58"/>
  <c r="R31" i="58"/>
  <c r="S31" i="58" s="1"/>
  <c r="V31" i="58" s="1"/>
  <c r="R23" i="58"/>
  <c r="S23" i="58" s="1"/>
  <c r="V23" i="58" s="1"/>
  <c r="R15" i="58"/>
  <c r="R254" i="58"/>
  <c r="R246" i="58"/>
  <c r="R238" i="58"/>
  <c r="R230" i="58"/>
  <c r="R222" i="58"/>
  <c r="R214" i="58"/>
  <c r="R206" i="58"/>
  <c r="R198" i="58"/>
  <c r="R190" i="58"/>
  <c r="R182" i="58"/>
  <c r="R174" i="58"/>
  <c r="R166" i="58"/>
  <c r="S166" i="58" s="1"/>
  <c r="V166" i="58" s="1"/>
  <c r="R153" i="58"/>
  <c r="S153" i="58" s="1"/>
  <c r="V153" i="58" s="1"/>
  <c r="R137" i="58"/>
  <c r="R121" i="58"/>
  <c r="S121" i="58" s="1"/>
  <c r="V121" i="58" s="1"/>
  <c r="R98" i="58"/>
  <c r="R73" i="58"/>
  <c r="S86" i="58"/>
  <c r="V86" i="58" s="1"/>
  <c r="R86" i="58"/>
  <c r="S78" i="58"/>
  <c r="V78" i="58" s="1"/>
  <c r="R78" i="58"/>
  <c r="S70" i="58"/>
  <c r="V70" i="58" s="1"/>
  <c r="R70" i="58"/>
  <c r="S62" i="58"/>
  <c r="V62" i="58" s="1"/>
  <c r="R62" i="58"/>
  <c r="S54" i="58"/>
  <c r="V54" i="58" s="1"/>
  <c r="R54" i="58"/>
  <c r="S46" i="58"/>
  <c r="V46" i="58" s="1"/>
  <c r="R46" i="58"/>
  <c r="S38" i="58"/>
  <c r="V38" i="58" s="1"/>
  <c r="R38" i="58"/>
  <c r="S30" i="58"/>
  <c r="V30" i="58" s="1"/>
  <c r="R30" i="58"/>
  <c r="S22" i="58"/>
  <c r="V22" i="58" s="1"/>
  <c r="R22" i="58"/>
  <c r="S14" i="58"/>
  <c r="V14" i="58" s="1"/>
  <c r="R14" i="58"/>
  <c r="R253" i="58"/>
  <c r="S253" i="58" s="1"/>
  <c r="V253" i="58" s="1"/>
  <c r="R245" i="58"/>
  <c r="S245" i="58" s="1"/>
  <c r="V245" i="58" s="1"/>
  <c r="R237" i="58"/>
  <c r="S237" i="58" s="1"/>
  <c r="V237" i="58" s="1"/>
  <c r="R229" i="58"/>
  <c r="S229" i="58" s="1"/>
  <c r="V229" i="58" s="1"/>
  <c r="R221" i="58"/>
  <c r="R213" i="58"/>
  <c r="R205" i="58"/>
  <c r="R197" i="58"/>
  <c r="S197" i="58" s="1"/>
  <c r="V197" i="58" s="1"/>
  <c r="R189" i="58"/>
  <c r="S189" i="58" s="1"/>
  <c r="V189" i="58" s="1"/>
  <c r="R181" i="58"/>
  <c r="S181" i="58" s="1"/>
  <c r="V181" i="58" s="1"/>
  <c r="R173" i="58"/>
  <c r="S173" i="58" s="1"/>
  <c r="V173" i="58" s="1"/>
  <c r="R165" i="58"/>
  <c r="S165" i="58" s="1"/>
  <c r="V165" i="58" s="1"/>
  <c r="R151" i="58"/>
  <c r="R135" i="58"/>
  <c r="R118" i="58"/>
  <c r="S118" i="58" s="1"/>
  <c r="V118" i="58" s="1"/>
  <c r="R97" i="58"/>
  <c r="S97" i="58" s="1"/>
  <c r="V97" i="58" s="1"/>
  <c r="R65" i="58"/>
  <c r="S65" i="58" s="1"/>
  <c r="V65" i="58" s="1"/>
  <c r="S164" i="58"/>
  <c r="V164" i="58" s="1"/>
  <c r="R117" i="58"/>
  <c r="S77" i="58"/>
  <c r="V77" i="58" s="1"/>
  <c r="R77" i="58"/>
  <c r="S61" i="58"/>
  <c r="V61" i="58" s="1"/>
  <c r="R61" i="58"/>
  <c r="S29" i="58"/>
  <c r="V29" i="58" s="1"/>
  <c r="R29" i="58"/>
  <c r="T228" i="58"/>
  <c r="T164" i="58"/>
  <c r="R156" i="58"/>
  <c r="S156" i="58" s="1"/>
  <c r="V156" i="58" s="1"/>
  <c r="R148" i="58"/>
  <c r="S148" i="58" s="1"/>
  <c r="V148" i="58" s="1"/>
  <c r="R140" i="58"/>
  <c r="S140" i="58" s="1"/>
  <c r="V140" i="58" s="1"/>
  <c r="R132" i="58"/>
  <c r="S132" i="58"/>
  <c r="V132" i="58" s="1"/>
  <c r="S124" i="58"/>
  <c r="V124" i="58" s="1"/>
  <c r="R124" i="58"/>
  <c r="S116" i="58"/>
  <c r="V116" i="58" s="1"/>
  <c r="R116" i="58"/>
  <c r="S108" i="58"/>
  <c r="V108" i="58" s="1"/>
  <c r="R108" i="58"/>
  <c r="T100" i="58"/>
  <c r="R92" i="58"/>
  <c r="S92" i="58" s="1"/>
  <c r="V92" i="58" s="1"/>
  <c r="R84" i="58"/>
  <c r="S84" i="58"/>
  <c r="V84" i="58" s="1"/>
  <c r="R76" i="58"/>
  <c r="S76" i="58" s="1"/>
  <c r="V76" i="58" s="1"/>
  <c r="R68" i="58"/>
  <c r="S68" i="58"/>
  <c r="V68" i="58" s="1"/>
  <c r="S60" i="58"/>
  <c r="V60" i="58" s="1"/>
  <c r="R60" i="58"/>
  <c r="R52" i="58"/>
  <c r="S52" i="58" s="1"/>
  <c r="V52" i="58" s="1"/>
  <c r="S44" i="58"/>
  <c r="V44" i="58" s="1"/>
  <c r="R44" i="58"/>
  <c r="R28" i="58"/>
  <c r="S28" i="58"/>
  <c r="V28" i="58" s="1"/>
  <c r="R20" i="58"/>
  <c r="S20" i="58" s="1"/>
  <c r="V20" i="58" s="1"/>
  <c r="R259" i="58"/>
  <c r="R251" i="58"/>
  <c r="R243" i="58"/>
  <c r="S243" i="58" s="1"/>
  <c r="V243" i="58" s="1"/>
  <c r="R235" i="58"/>
  <c r="S235" i="58" s="1"/>
  <c r="V235" i="58" s="1"/>
  <c r="R227" i="58"/>
  <c r="S227" i="58" s="1"/>
  <c r="V227" i="58" s="1"/>
  <c r="R219" i="58"/>
  <c r="S219" i="58" s="1"/>
  <c r="V219" i="58" s="1"/>
  <c r="R211" i="58"/>
  <c r="S211" i="58" s="1"/>
  <c r="V211" i="58" s="1"/>
  <c r="R203" i="58"/>
  <c r="S203" i="58" s="1"/>
  <c r="V203" i="58" s="1"/>
  <c r="R195" i="58"/>
  <c r="R187" i="58"/>
  <c r="R179" i="58"/>
  <c r="S179" i="58" s="1"/>
  <c r="V179" i="58" s="1"/>
  <c r="R171" i="58"/>
  <c r="S171" i="58" s="1"/>
  <c r="V171" i="58" s="1"/>
  <c r="R161" i="58"/>
  <c r="R146" i="58"/>
  <c r="R130" i="58"/>
  <c r="R113" i="58"/>
  <c r="R90" i="58"/>
  <c r="R49" i="58"/>
  <c r="S49" i="58" s="1"/>
  <c r="V49" i="58" s="1"/>
  <c r="S36" i="58"/>
  <c r="V36" i="58" s="1"/>
  <c r="S149" i="58"/>
  <c r="V149" i="58" s="1"/>
  <c r="R149" i="58"/>
  <c r="R125" i="58"/>
  <c r="R101" i="58"/>
  <c r="S101" i="58" s="1"/>
  <c r="V101" i="58" s="1"/>
  <c r="S69" i="58"/>
  <c r="V69" i="58" s="1"/>
  <c r="R69" i="58"/>
  <c r="S37" i="58"/>
  <c r="V37" i="58" s="1"/>
  <c r="R37" i="58"/>
  <c r="R163" i="58"/>
  <c r="R155" i="58"/>
  <c r="S155" i="58" s="1"/>
  <c r="V155" i="58" s="1"/>
  <c r="S147" i="58"/>
  <c r="V147" i="58" s="1"/>
  <c r="R147" i="58"/>
  <c r="S139" i="58"/>
  <c r="V139" i="58" s="1"/>
  <c r="R139" i="58"/>
  <c r="R131" i="58"/>
  <c r="R123" i="58"/>
  <c r="S123" i="58" s="1"/>
  <c r="V123" i="58" s="1"/>
  <c r="S115" i="58"/>
  <c r="V115" i="58" s="1"/>
  <c r="R115" i="58"/>
  <c r="S107" i="58"/>
  <c r="V107" i="58" s="1"/>
  <c r="R107" i="58"/>
  <c r="R99" i="58"/>
  <c r="R91" i="58"/>
  <c r="S83" i="58"/>
  <c r="V83" i="58" s="1"/>
  <c r="R83" i="58"/>
  <c r="S75" i="58"/>
  <c r="V75" i="58" s="1"/>
  <c r="R75" i="58"/>
  <c r="R67" i="58"/>
  <c r="R59" i="58"/>
  <c r="S51" i="58"/>
  <c r="V51" i="58" s="1"/>
  <c r="R51" i="58"/>
  <c r="S43" i="58"/>
  <c r="V43" i="58" s="1"/>
  <c r="R43" i="58"/>
  <c r="R35" i="58"/>
  <c r="R27" i="58"/>
  <c r="S19" i="58"/>
  <c r="V19" i="58" s="1"/>
  <c r="R19" i="58"/>
  <c r="R258" i="58"/>
  <c r="S258" i="58" s="1"/>
  <c r="V258" i="58" s="1"/>
  <c r="R250" i="58"/>
  <c r="S250" i="58" s="1"/>
  <c r="V250" i="58" s="1"/>
  <c r="R242" i="58"/>
  <c r="R234" i="58"/>
  <c r="R226" i="58"/>
  <c r="R218" i="58"/>
  <c r="R210" i="58"/>
  <c r="S210" i="58" s="1"/>
  <c r="V210" i="58" s="1"/>
  <c r="R202" i="58"/>
  <c r="S202" i="58" s="1"/>
  <c r="V202" i="58" s="1"/>
  <c r="R194" i="58"/>
  <c r="S194" i="58" s="1"/>
  <c r="V194" i="58" s="1"/>
  <c r="R186" i="58"/>
  <c r="R178" i="58"/>
  <c r="R170" i="58"/>
  <c r="R159" i="58"/>
  <c r="R145" i="58"/>
  <c r="R129" i="58"/>
  <c r="R110" i="58"/>
  <c r="S110" i="58" s="1"/>
  <c r="V110" i="58" s="1"/>
  <c r="R89" i="58"/>
  <c r="S89" i="58" s="1"/>
  <c r="V89" i="58" s="1"/>
  <c r="R41" i="58"/>
  <c r="R93" i="58"/>
  <c r="R66" i="58"/>
  <c r="S58" i="58"/>
  <c r="V58" i="58" s="1"/>
  <c r="R58" i="58"/>
  <c r="S50" i="58"/>
  <c r="V50" i="58" s="1"/>
  <c r="R50" i="58"/>
  <c r="R42" i="58"/>
  <c r="R34" i="58"/>
  <c r="S26" i="58"/>
  <c r="V26" i="58" s="1"/>
  <c r="R26" i="58"/>
  <c r="S18" i="58"/>
  <c r="V18" i="58" s="1"/>
  <c r="R18" i="58"/>
  <c r="R257" i="58"/>
  <c r="S257" i="58" s="1"/>
  <c r="V257" i="58" s="1"/>
  <c r="R249" i="58"/>
  <c r="R241" i="58"/>
  <c r="S241" i="58" s="1"/>
  <c r="V241" i="58" s="1"/>
  <c r="R233" i="58"/>
  <c r="R225" i="58"/>
  <c r="R217" i="58"/>
  <c r="S217" i="58" s="1"/>
  <c r="V217" i="58" s="1"/>
  <c r="R209" i="58"/>
  <c r="R201" i="58"/>
  <c r="S201" i="58" s="1"/>
  <c r="V201" i="58" s="1"/>
  <c r="R193" i="58"/>
  <c r="R185" i="58"/>
  <c r="R177" i="58"/>
  <c r="R169" i="58"/>
  <c r="R158" i="58"/>
  <c r="R143" i="58"/>
  <c r="S143" i="58" s="1"/>
  <c r="V143" i="58" s="1"/>
  <c r="R127" i="58"/>
  <c r="S127" i="58" s="1"/>
  <c r="V127" i="58" s="1"/>
  <c r="R106" i="58"/>
  <c r="S106" i="58" s="1"/>
  <c r="V106" i="58" s="1"/>
  <c r="R82" i="58"/>
  <c r="R33" i="58"/>
  <c r="R133" i="58"/>
  <c r="S85" i="58"/>
  <c r="V85" i="58" s="1"/>
  <c r="R85" i="58"/>
  <c r="S45" i="58"/>
  <c r="V45" i="58" s="1"/>
  <c r="R45" i="58"/>
  <c r="R256" i="58"/>
  <c r="R248" i="58"/>
  <c r="R240" i="58"/>
  <c r="R232" i="58"/>
  <c r="R224" i="58"/>
  <c r="R216" i="58"/>
  <c r="S216" i="58" s="1"/>
  <c r="V216" i="58" s="1"/>
  <c r="R208" i="58"/>
  <c r="S208" i="58" s="1"/>
  <c r="V208" i="58" s="1"/>
  <c r="R200" i="58"/>
  <c r="S200" i="58" s="1"/>
  <c r="V200" i="58" s="1"/>
  <c r="R192" i="58"/>
  <c r="R184" i="58"/>
  <c r="R176" i="58"/>
  <c r="R168" i="58"/>
  <c r="R157" i="58"/>
  <c r="R142" i="58"/>
  <c r="S142" i="58" s="1"/>
  <c r="V142" i="58" s="1"/>
  <c r="R126" i="58"/>
  <c r="S126" i="58" s="1"/>
  <c r="V126" i="58" s="1"/>
  <c r="R105" i="58"/>
  <c r="R81" i="58"/>
  <c r="S81" i="58" s="1"/>
  <c r="V81" i="58" s="1"/>
  <c r="R25" i="58"/>
  <c r="R109" i="58"/>
  <c r="S53" i="58"/>
  <c r="V53" i="58" s="1"/>
  <c r="R53" i="58"/>
  <c r="S21" i="58"/>
  <c r="V21" i="58" s="1"/>
  <c r="R21" i="58"/>
  <c r="R13" i="58"/>
  <c r="R160" i="58"/>
  <c r="S152" i="58"/>
  <c r="V152" i="58" s="1"/>
  <c r="R152" i="58"/>
  <c r="S144" i="58"/>
  <c r="V144" i="58" s="1"/>
  <c r="R144" i="58"/>
  <c r="R136" i="58"/>
  <c r="R128" i="58"/>
  <c r="S120" i="58"/>
  <c r="V120" i="58" s="1"/>
  <c r="R120" i="58"/>
  <c r="S112" i="58"/>
  <c r="V112" i="58" s="1"/>
  <c r="R112" i="58"/>
  <c r="R104" i="58"/>
  <c r="R96" i="58"/>
  <c r="S88" i="58"/>
  <c r="V88" i="58" s="1"/>
  <c r="R88" i="58"/>
  <c r="S80" i="58"/>
  <c r="V80" i="58" s="1"/>
  <c r="R80" i="58"/>
  <c r="R72" i="58"/>
  <c r="R64" i="58"/>
  <c r="S56" i="58"/>
  <c r="V56" i="58" s="1"/>
  <c r="R56" i="58"/>
  <c r="S48" i="58"/>
  <c r="V48" i="58" s="1"/>
  <c r="R48" i="58"/>
  <c r="R40" i="58"/>
  <c r="R32" i="58"/>
  <c r="S24" i="58"/>
  <c r="V24" i="58" s="1"/>
  <c r="R24" i="58"/>
  <c r="S16" i="58"/>
  <c r="V16" i="58" s="1"/>
  <c r="R16" i="58"/>
  <c r="R255" i="58"/>
  <c r="S255" i="58" s="1"/>
  <c r="V255" i="58" s="1"/>
  <c r="R247" i="58"/>
  <c r="S247" i="58" s="1"/>
  <c r="V247" i="58" s="1"/>
  <c r="R239" i="58"/>
  <c r="R231" i="58"/>
  <c r="R223" i="58"/>
  <c r="R215" i="58"/>
  <c r="S215" i="58" s="1"/>
  <c r="V215" i="58" s="1"/>
  <c r="R207" i="58"/>
  <c r="S207" i="58" s="1"/>
  <c r="V207" i="58" s="1"/>
  <c r="R199" i="58"/>
  <c r="S199" i="58" s="1"/>
  <c r="V199" i="58" s="1"/>
  <c r="R191" i="58"/>
  <c r="S191" i="58" s="1"/>
  <c r="V191" i="58" s="1"/>
  <c r="R183" i="58"/>
  <c r="S183" i="58" s="1"/>
  <c r="V183" i="58" s="1"/>
  <c r="R175" i="58"/>
  <c r="R167" i="58"/>
  <c r="R154" i="58"/>
  <c r="R138" i="58"/>
  <c r="S138" i="58" s="1"/>
  <c r="V138" i="58" s="1"/>
  <c r="R122" i="58"/>
  <c r="S122" i="58" s="1"/>
  <c r="V122" i="58" s="1"/>
  <c r="R102" i="58"/>
  <c r="R74" i="58"/>
  <c r="S74" i="58" s="1"/>
  <c r="V74" i="58" s="1"/>
  <c r="R17" i="58"/>
  <c r="R12" i="58"/>
  <c r="T11" i="55"/>
  <c r="T12" i="55"/>
  <c r="T13" i="55"/>
  <c r="T14" i="55"/>
  <c r="T15" i="55"/>
  <c r="T16" i="55"/>
  <c r="T17" i="55"/>
  <c r="T18" i="55"/>
  <c r="T19" i="55"/>
  <c r="T20" i="55"/>
  <c r="T21" i="55"/>
  <c r="T22" i="55"/>
  <c r="T23" i="55"/>
  <c r="T24" i="55"/>
  <c r="T25" i="55"/>
  <c r="T26" i="55"/>
  <c r="T27" i="55"/>
  <c r="T28" i="55"/>
  <c r="T29" i="55"/>
  <c r="T30" i="55"/>
  <c r="T31" i="55"/>
  <c r="T32" i="55"/>
  <c r="T33" i="55"/>
  <c r="T34" i="55"/>
  <c r="T35" i="55"/>
  <c r="T36" i="55"/>
  <c r="T37" i="55"/>
  <c r="T38" i="55"/>
  <c r="T39" i="55"/>
  <c r="T40" i="55"/>
  <c r="T41" i="55"/>
  <c r="T42" i="55"/>
  <c r="T43" i="55"/>
  <c r="T44" i="55"/>
  <c r="T45" i="55"/>
  <c r="T46" i="55"/>
  <c r="T47" i="55"/>
  <c r="T48" i="55"/>
  <c r="T49" i="55"/>
  <c r="T50" i="55"/>
  <c r="T51" i="55"/>
  <c r="T52" i="55"/>
  <c r="T53" i="55"/>
  <c r="T54" i="55"/>
  <c r="T55" i="55"/>
  <c r="T56" i="55"/>
  <c r="T57" i="55"/>
  <c r="T58" i="55"/>
  <c r="T59" i="55"/>
  <c r="T60" i="55"/>
  <c r="T61" i="55"/>
  <c r="T62" i="55"/>
  <c r="T63" i="55"/>
  <c r="T64" i="55"/>
  <c r="T65" i="55"/>
  <c r="T66" i="55"/>
  <c r="T67" i="55"/>
  <c r="T68" i="55"/>
  <c r="T69" i="55"/>
  <c r="T70" i="55"/>
  <c r="T71" i="55"/>
  <c r="T72" i="55"/>
  <c r="T73" i="55"/>
  <c r="T74" i="55"/>
  <c r="T75" i="55"/>
  <c r="T76" i="55"/>
  <c r="T77" i="55"/>
  <c r="T78" i="55"/>
  <c r="T79" i="55"/>
  <c r="T80" i="55"/>
  <c r="T81" i="55"/>
  <c r="T82" i="55"/>
  <c r="T83" i="55"/>
  <c r="T84" i="55"/>
  <c r="T85" i="55"/>
  <c r="T86" i="55"/>
  <c r="T87" i="55"/>
  <c r="T88" i="55"/>
  <c r="T89" i="55"/>
  <c r="T90" i="55"/>
  <c r="T91" i="55"/>
  <c r="T92" i="55"/>
  <c r="T93" i="55"/>
  <c r="T94" i="55"/>
  <c r="T95" i="55"/>
  <c r="T96" i="55"/>
  <c r="T97" i="55"/>
  <c r="T98" i="55"/>
  <c r="T99" i="55"/>
  <c r="T100" i="55"/>
  <c r="T101" i="55"/>
  <c r="T102" i="55"/>
  <c r="T103" i="55"/>
  <c r="T104" i="55"/>
  <c r="T105" i="55"/>
  <c r="T106" i="55"/>
  <c r="T107" i="55"/>
  <c r="T108" i="55"/>
  <c r="T109" i="55"/>
  <c r="T110" i="55"/>
  <c r="T111" i="55"/>
  <c r="T112" i="55"/>
  <c r="T113" i="55"/>
  <c r="T114" i="55"/>
  <c r="T115" i="55"/>
  <c r="T116" i="55"/>
  <c r="T117" i="55"/>
  <c r="T118" i="55"/>
  <c r="T119" i="55"/>
  <c r="T120" i="55"/>
  <c r="T121" i="55"/>
  <c r="T122" i="55"/>
  <c r="T123" i="55"/>
  <c r="T124" i="55"/>
  <c r="T125" i="55"/>
  <c r="T126" i="55"/>
  <c r="T127" i="55"/>
  <c r="T128" i="55"/>
  <c r="T129" i="55"/>
  <c r="T130" i="55"/>
  <c r="T131" i="55"/>
  <c r="T132" i="55"/>
  <c r="T133" i="55"/>
  <c r="T134" i="55"/>
  <c r="T135" i="55"/>
  <c r="T136" i="55"/>
  <c r="T137" i="55"/>
  <c r="T138" i="55"/>
  <c r="T139" i="55"/>
  <c r="T140" i="55"/>
  <c r="T141" i="55"/>
  <c r="T142" i="55"/>
  <c r="T143" i="55"/>
  <c r="T144" i="55"/>
  <c r="T145" i="55"/>
  <c r="T146" i="55"/>
  <c r="T147" i="55"/>
  <c r="T148" i="55"/>
  <c r="T149" i="55"/>
  <c r="T150" i="55"/>
  <c r="T151" i="55"/>
  <c r="T152" i="55"/>
  <c r="T153" i="55"/>
  <c r="T154" i="55"/>
  <c r="T155" i="55"/>
  <c r="T156" i="55"/>
  <c r="T157" i="55"/>
  <c r="T158" i="55"/>
  <c r="T159" i="55"/>
  <c r="T160" i="55"/>
  <c r="T161" i="55"/>
  <c r="T162" i="55"/>
  <c r="T163" i="55"/>
  <c r="T164" i="55"/>
  <c r="T165" i="55"/>
  <c r="T166" i="55"/>
  <c r="T167" i="55"/>
  <c r="T168" i="55"/>
  <c r="T169" i="55"/>
  <c r="T170" i="55"/>
  <c r="T171" i="55"/>
  <c r="T172" i="55"/>
  <c r="T173" i="55"/>
  <c r="T174" i="55"/>
  <c r="T175" i="55"/>
  <c r="T176" i="55"/>
  <c r="T177" i="55"/>
  <c r="T178" i="55"/>
  <c r="T179" i="55"/>
  <c r="T180" i="55"/>
  <c r="T181" i="55"/>
  <c r="T182" i="55"/>
  <c r="T183" i="55"/>
  <c r="T184" i="55"/>
  <c r="T185" i="55"/>
  <c r="T186" i="55"/>
  <c r="T187" i="55"/>
  <c r="T188" i="55"/>
  <c r="T189" i="55"/>
  <c r="T190" i="55"/>
  <c r="T191" i="55"/>
  <c r="T192" i="55"/>
  <c r="T193" i="55"/>
  <c r="T194" i="55"/>
  <c r="T195" i="55"/>
  <c r="T196" i="55"/>
  <c r="T197" i="55"/>
  <c r="T198" i="55"/>
  <c r="T199" i="55"/>
  <c r="T200" i="55"/>
  <c r="T201" i="55"/>
  <c r="T202" i="55"/>
  <c r="T203" i="55"/>
  <c r="T204" i="55"/>
  <c r="T205" i="55"/>
  <c r="T206" i="55"/>
  <c r="T207" i="55"/>
  <c r="T208" i="55"/>
  <c r="T209" i="55"/>
  <c r="T210" i="55"/>
  <c r="T211" i="55"/>
  <c r="T212" i="55"/>
  <c r="T213" i="55"/>
  <c r="T214" i="55"/>
  <c r="T215" i="55"/>
  <c r="T216" i="55"/>
  <c r="T217" i="55"/>
  <c r="T218" i="55"/>
  <c r="T219" i="55"/>
  <c r="T220" i="55"/>
  <c r="T221" i="55"/>
  <c r="T222" i="55"/>
  <c r="T223" i="55"/>
  <c r="T224" i="55"/>
  <c r="T225" i="55"/>
  <c r="T226" i="55"/>
  <c r="T227" i="55"/>
  <c r="T228" i="55"/>
  <c r="T229" i="55"/>
  <c r="T230" i="55"/>
  <c r="T231" i="55"/>
  <c r="T232" i="55"/>
  <c r="T233" i="55"/>
  <c r="T234" i="55"/>
  <c r="T235" i="55"/>
  <c r="T236" i="55"/>
  <c r="T237" i="55"/>
  <c r="T238" i="55"/>
  <c r="T239" i="55"/>
  <c r="T240" i="55"/>
  <c r="T241" i="55"/>
  <c r="T242" i="55"/>
  <c r="T243" i="55"/>
  <c r="T244" i="55"/>
  <c r="T245" i="55"/>
  <c r="T246" i="55"/>
  <c r="T247" i="55"/>
  <c r="T248" i="55"/>
  <c r="T249" i="55"/>
  <c r="T250" i="55"/>
  <c r="T251" i="55"/>
  <c r="T252" i="55"/>
  <c r="T253" i="55"/>
  <c r="T254" i="55"/>
  <c r="T255" i="55"/>
  <c r="T256" i="55"/>
  <c r="T257" i="55"/>
  <c r="T10" i="55"/>
  <c r="L11" i="55"/>
  <c r="L12" i="55"/>
  <c r="L13" i="55"/>
  <c r="L14" i="55"/>
  <c r="L15" i="55"/>
  <c r="L16" i="55"/>
  <c r="L17" i="55"/>
  <c r="L18" i="55"/>
  <c r="L19" i="55"/>
  <c r="L20" i="55"/>
  <c r="L21" i="55"/>
  <c r="L22" i="55"/>
  <c r="L23" i="55"/>
  <c r="L24" i="55"/>
  <c r="L25" i="55"/>
  <c r="L26" i="55"/>
  <c r="L27" i="55"/>
  <c r="L28" i="55"/>
  <c r="L29" i="55"/>
  <c r="L30" i="55"/>
  <c r="L31" i="55"/>
  <c r="L32" i="55"/>
  <c r="L33" i="55"/>
  <c r="L34" i="55"/>
  <c r="L35" i="55"/>
  <c r="L36" i="55"/>
  <c r="L37" i="55"/>
  <c r="L38" i="55"/>
  <c r="L39" i="55"/>
  <c r="L40" i="55"/>
  <c r="L41" i="55"/>
  <c r="L42" i="55"/>
  <c r="L43" i="55"/>
  <c r="L44" i="55"/>
  <c r="L45" i="55"/>
  <c r="L46" i="55"/>
  <c r="L47" i="55"/>
  <c r="L48" i="55"/>
  <c r="L49" i="55"/>
  <c r="L50" i="55"/>
  <c r="L51" i="55"/>
  <c r="L52" i="55"/>
  <c r="L53" i="55"/>
  <c r="L54" i="55"/>
  <c r="L55" i="55"/>
  <c r="L56" i="55"/>
  <c r="L57" i="55"/>
  <c r="L58" i="55"/>
  <c r="L59" i="55"/>
  <c r="L60" i="55"/>
  <c r="L61" i="55"/>
  <c r="L62" i="55"/>
  <c r="L63" i="55"/>
  <c r="L64" i="55"/>
  <c r="L65" i="55"/>
  <c r="L66" i="55"/>
  <c r="L67" i="55"/>
  <c r="L68" i="55"/>
  <c r="L69" i="55"/>
  <c r="L70" i="55"/>
  <c r="L71" i="55"/>
  <c r="L72" i="55"/>
  <c r="L73" i="55"/>
  <c r="L74" i="55"/>
  <c r="L75" i="55"/>
  <c r="L76" i="55"/>
  <c r="L77" i="55"/>
  <c r="L78" i="55"/>
  <c r="L79" i="55"/>
  <c r="L80" i="55"/>
  <c r="L81" i="55"/>
  <c r="L82" i="55"/>
  <c r="L83" i="55"/>
  <c r="L84" i="55"/>
  <c r="L85" i="55"/>
  <c r="L86" i="55"/>
  <c r="L87" i="55"/>
  <c r="L88" i="55"/>
  <c r="L89" i="55"/>
  <c r="L90" i="55"/>
  <c r="L91" i="55"/>
  <c r="L92" i="55"/>
  <c r="L93" i="55"/>
  <c r="L94" i="55"/>
  <c r="L95" i="55"/>
  <c r="L96" i="55"/>
  <c r="L97" i="55"/>
  <c r="L98" i="55"/>
  <c r="L99" i="55"/>
  <c r="L100" i="55"/>
  <c r="L101" i="55"/>
  <c r="L102" i="55"/>
  <c r="L103" i="55"/>
  <c r="L104" i="55"/>
  <c r="L105" i="55"/>
  <c r="L106" i="55"/>
  <c r="L107" i="55"/>
  <c r="L108" i="55"/>
  <c r="L109" i="55"/>
  <c r="L110" i="55"/>
  <c r="L111" i="55"/>
  <c r="L112" i="55"/>
  <c r="L113" i="55"/>
  <c r="L114" i="55"/>
  <c r="L115" i="55"/>
  <c r="L116" i="55"/>
  <c r="L117" i="55"/>
  <c r="L118" i="55"/>
  <c r="L119" i="55"/>
  <c r="L120" i="55"/>
  <c r="L121" i="55"/>
  <c r="L122" i="55"/>
  <c r="L123" i="55"/>
  <c r="L124" i="55"/>
  <c r="L125" i="55"/>
  <c r="L126" i="55"/>
  <c r="L127" i="55"/>
  <c r="L128" i="55"/>
  <c r="L129" i="55"/>
  <c r="L130" i="55"/>
  <c r="L131" i="55"/>
  <c r="L132" i="55"/>
  <c r="L133" i="55"/>
  <c r="L134" i="55"/>
  <c r="L135" i="55"/>
  <c r="L136" i="55"/>
  <c r="L137" i="55"/>
  <c r="L138" i="55"/>
  <c r="L139" i="55"/>
  <c r="L140" i="55"/>
  <c r="L141" i="55"/>
  <c r="L142" i="55"/>
  <c r="L143" i="55"/>
  <c r="L144" i="55"/>
  <c r="L145" i="55"/>
  <c r="L146" i="55"/>
  <c r="L147" i="55"/>
  <c r="L148" i="55"/>
  <c r="L149" i="55"/>
  <c r="L150" i="55"/>
  <c r="L151" i="55"/>
  <c r="L152" i="55"/>
  <c r="L153" i="55"/>
  <c r="L154" i="55"/>
  <c r="L155" i="55"/>
  <c r="L156" i="55"/>
  <c r="L157" i="55"/>
  <c r="L158" i="55"/>
  <c r="L159" i="55"/>
  <c r="L160" i="55"/>
  <c r="L161" i="55"/>
  <c r="L162" i="55"/>
  <c r="L163" i="55"/>
  <c r="L164" i="55"/>
  <c r="L165" i="55"/>
  <c r="L166" i="55"/>
  <c r="L167" i="55"/>
  <c r="L168" i="55"/>
  <c r="L169" i="55"/>
  <c r="L170" i="55"/>
  <c r="L171" i="55"/>
  <c r="L172" i="55"/>
  <c r="L173" i="55"/>
  <c r="L174" i="55"/>
  <c r="L175" i="55"/>
  <c r="L176" i="55"/>
  <c r="L177" i="55"/>
  <c r="L178" i="55"/>
  <c r="L179" i="55"/>
  <c r="L180" i="55"/>
  <c r="L181" i="55"/>
  <c r="L182" i="55"/>
  <c r="L183" i="55"/>
  <c r="L184" i="55"/>
  <c r="L185" i="55"/>
  <c r="L186" i="55"/>
  <c r="L187" i="55"/>
  <c r="L188" i="55"/>
  <c r="L189" i="55"/>
  <c r="L190" i="55"/>
  <c r="L191" i="55"/>
  <c r="L192" i="55"/>
  <c r="L193" i="55"/>
  <c r="L194" i="55"/>
  <c r="L195" i="55"/>
  <c r="L196" i="55"/>
  <c r="L197" i="55"/>
  <c r="L198" i="55"/>
  <c r="L199" i="55"/>
  <c r="L200" i="55"/>
  <c r="L201" i="55"/>
  <c r="L202" i="55"/>
  <c r="L203" i="55"/>
  <c r="L204" i="55"/>
  <c r="L205" i="55"/>
  <c r="L206" i="55"/>
  <c r="L207" i="55"/>
  <c r="L208" i="55"/>
  <c r="L209" i="55"/>
  <c r="L210" i="55"/>
  <c r="L211" i="55"/>
  <c r="L212" i="55"/>
  <c r="L213" i="55"/>
  <c r="L214" i="55"/>
  <c r="L215" i="55"/>
  <c r="L216" i="55"/>
  <c r="L217" i="55"/>
  <c r="L218" i="55"/>
  <c r="L219" i="55"/>
  <c r="L220" i="55"/>
  <c r="L221" i="55"/>
  <c r="L222" i="55"/>
  <c r="L223" i="55"/>
  <c r="L224" i="55"/>
  <c r="L225" i="55"/>
  <c r="L226" i="55"/>
  <c r="L227" i="55"/>
  <c r="L228" i="55"/>
  <c r="L229" i="55"/>
  <c r="L230" i="55"/>
  <c r="L231" i="55"/>
  <c r="L232" i="55"/>
  <c r="L233" i="55"/>
  <c r="L234" i="55"/>
  <c r="L235" i="55"/>
  <c r="L236" i="55"/>
  <c r="L237" i="55"/>
  <c r="L238" i="55"/>
  <c r="L239" i="55"/>
  <c r="L240" i="55"/>
  <c r="L241" i="55"/>
  <c r="L242" i="55"/>
  <c r="L243" i="55"/>
  <c r="L244" i="55"/>
  <c r="L245" i="55"/>
  <c r="L246" i="55"/>
  <c r="L247" i="55"/>
  <c r="L248" i="55"/>
  <c r="L249" i="55"/>
  <c r="L250" i="55"/>
  <c r="L251" i="55"/>
  <c r="L252" i="55"/>
  <c r="L253" i="55"/>
  <c r="L254" i="55"/>
  <c r="L255" i="55"/>
  <c r="L256" i="55"/>
  <c r="L257" i="55"/>
  <c r="L10" i="55"/>
  <c r="K11" i="55"/>
  <c r="K12" i="55"/>
  <c r="K13" i="55"/>
  <c r="K14" i="55"/>
  <c r="K15" i="55"/>
  <c r="K16" i="55"/>
  <c r="K17" i="55"/>
  <c r="K18" i="55"/>
  <c r="K19" i="55"/>
  <c r="K20" i="55"/>
  <c r="K21" i="55"/>
  <c r="K22" i="55"/>
  <c r="K23" i="55"/>
  <c r="K24" i="55"/>
  <c r="K25" i="55"/>
  <c r="K26" i="55"/>
  <c r="K27" i="55"/>
  <c r="K28" i="55"/>
  <c r="K29" i="55"/>
  <c r="K30" i="55"/>
  <c r="K31" i="55"/>
  <c r="K32" i="55"/>
  <c r="K33" i="55"/>
  <c r="K34" i="55"/>
  <c r="K35" i="55"/>
  <c r="K36" i="55"/>
  <c r="K37" i="55"/>
  <c r="K38" i="55"/>
  <c r="K39" i="55"/>
  <c r="K40" i="55"/>
  <c r="K41" i="55"/>
  <c r="K42" i="55"/>
  <c r="K43" i="55"/>
  <c r="K44" i="55"/>
  <c r="K45" i="55"/>
  <c r="K46" i="55"/>
  <c r="K47" i="55"/>
  <c r="K48" i="55"/>
  <c r="K49" i="55"/>
  <c r="K50" i="55"/>
  <c r="K51" i="55"/>
  <c r="K52" i="55"/>
  <c r="K53" i="55"/>
  <c r="K54" i="55"/>
  <c r="K55" i="55"/>
  <c r="K56" i="55"/>
  <c r="K57" i="55"/>
  <c r="K58" i="55"/>
  <c r="K59" i="55"/>
  <c r="K60" i="55"/>
  <c r="K61" i="55"/>
  <c r="K62" i="55"/>
  <c r="K63" i="55"/>
  <c r="K64" i="55"/>
  <c r="K65" i="55"/>
  <c r="K66" i="55"/>
  <c r="K67" i="55"/>
  <c r="K68" i="55"/>
  <c r="K69" i="55"/>
  <c r="K70" i="55"/>
  <c r="K71" i="55"/>
  <c r="K72" i="55"/>
  <c r="K73" i="55"/>
  <c r="K74" i="55"/>
  <c r="K75" i="55"/>
  <c r="K76" i="55"/>
  <c r="K77" i="55"/>
  <c r="K78" i="55"/>
  <c r="K79" i="55"/>
  <c r="K80" i="55"/>
  <c r="K81" i="55"/>
  <c r="K82" i="55"/>
  <c r="K83" i="55"/>
  <c r="K84" i="55"/>
  <c r="K85" i="55"/>
  <c r="K86" i="55"/>
  <c r="K87" i="55"/>
  <c r="K88" i="55"/>
  <c r="K89" i="55"/>
  <c r="K90" i="55"/>
  <c r="K91" i="55"/>
  <c r="K92" i="55"/>
  <c r="K93" i="55"/>
  <c r="K94" i="55"/>
  <c r="K95" i="55"/>
  <c r="K96" i="55"/>
  <c r="K97" i="55"/>
  <c r="K98" i="55"/>
  <c r="K99" i="55"/>
  <c r="K100" i="55"/>
  <c r="K101" i="55"/>
  <c r="K102" i="55"/>
  <c r="K103" i="55"/>
  <c r="K104" i="55"/>
  <c r="K105" i="55"/>
  <c r="K106" i="55"/>
  <c r="K107" i="55"/>
  <c r="K108" i="55"/>
  <c r="K109" i="55"/>
  <c r="K110" i="55"/>
  <c r="K111" i="55"/>
  <c r="K112" i="55"/>
  <c r="K113" i="55"/>
  <c r="K114" i="55"/>
  <c r="K115" i="55"/>
  <c r="K116" i="55"/>
  <c r="K117" i="55"/>
  <c r="K118" i="55"/>
  <c r="K119" i="55"/>
  <c r="K120" i="55"/>
  <c r="K121" i="55"/>
  <c r="K122" i="55"/>
  <c r="K123" i="55"/>
  <c r="K124" i="55"/>
  <c r="K125" i="55"/>
  <c r="K126" i="55"/>
  <c r="K127" i="55"/>
  <c r="K128" i="55"/>
  <c r="K129" i="55"/>
  <c r="K130" i="55"/>
  <c r="K131" i="55"/>
  <c r="K132" i="55"/>
  <c r="K133" i="55"/>
  <c r="K134" i="55"/>
  <c r="K135" i="55"/>
  <c r="K136" i="55"/>
  <c r="K137" i="55"/>
  <c r="K138" i="55"/>
  <c r="K139" i="55"/>
  <c r="K140" i="55"/>
  <c r="K141" i="55"/>
  <c r="K142" i="55"/>
  <c r="K143" i="55"/>
  <c r="K144" i="55"/>
  <c r="K145" i="55"/>
  <c r="K146" i="55"/>
  <c r="K147" i="55"/>
  <c r="K148" i="55"/>
  <c r="K149" i="55"/>
  <c r="K150" i="55"/>
  <c r="K151" i="55"/>
  <c r="K152" i="55"/>
  <c r="K153" i="55"/>
  <c r="K154" i="55"/>
  <c r="K155" i="55"/>
  <c r="K156" i="55"/>
  <c r="K157" i="55"/>
  <c r="K158" i="55"/>
  <c r="K159" i="55"/>
  <c r="K160" i="55"/>
  <c r="K161" i="55"/>
  <c r="K162" i="55"/>
  <c r="K163" i="55"/>
  <c r="K164" i="55"/>
  <c r="K165" i="55"/>
  <c r="K166" i="55"/>
  <c r="K167" i="55"/>
  <c r="K168" i="55"/>
  <c r="K169" i="55"/>
  <c r="K170" i="55"/>
  <c r="K171" i="55"/>
  <c r="K172" i="55"/>
  <c r="K173" i="55"/>
  <c r="K174" i="55"/>
  <c r="K175" i="55"/>
  <c r="K176" i="55"/>
  <c r="K177" i="55"/>
  <c r="K178" i="55"/>
  <c r="K179" i="55"/>
  <c r="K180" i="55"/>
  <c r="K181" i="55"/>
  <c r="K182" i="55"/>
  <c r="K183" i="55"/>
  <c r="K184" i="55"/>
  <c r="K185" i="55"/>
  <c r="K186" i="55"/>
  <c r="K187" i="55"/>
  <c r="K188" i="55"/>
  <c r="K189" i="55"/>
  <c r="K190" i="55"/>
  <c r="K191" i="55"/>
  <c r="K192" i="55"/>
  <c r="K193" i="55"/>
  <c r="K194" i="55"/>
  <c r="K195" i="55"/>
  <c r="K196" i="55"/>
  <c r="K197" i="55"/>
  <c r="K198" i="55"/>
  <c r="K199" i="55"/>
  <c r="K200" i="55"/>
  <c r="K201" i="55"/>
  <c r="K202" i="55"/>
  <c r="K203" i="55"/>
  <c r="K204" i="55"/>
  <c r="K205" i="55"/>
  <c r="K206" i="55"/>
  <c r="K207" i="55"/>
  <c r="K208" i="55"/>
  <c r="K209" i="55"/>
  <c r="K210" i="55"/>
  <c r="K211" i="55"/>
  <c r="K212" i="55"/>
  <c r="K213" i="55"/>
  <c r="K214" i="55"/>
  <c r="K215" i="55"/>
  <c r="K216" i="55"/>
  <c r="K217" i="55"/>
  <c r="K218" i="55"/>
  <c r="K219" i="55"/>
  <c r="K220" i="55"/>
  <c r="K221" i="55"/>
  <c r="K222" i="55"/>
  <c r="K223" i="55"/>
  <c r="K224" i="55"/>
  <c r="K225" i="55"/>
  <c r="K226" i="55"/>
  <c r="K227" i="55"/>
  <c r="K228" i="55"/>
  <c r="K229" i="55"/>
  <c r="K230" i="55"/>
  <c r="K231" i="55"/>
  <c r="K232" i="55"/>
  <c r="K233" i="55"/>
  <c r="K234" i="55"/>
  <c r="K235" i="55"/>
  <c r="K236" i="55"/>
  <c r="K237" i="55"/>
  <c r="K238" i="55"/>
  <c r="K239" i="55"/>
  <c r="K240" i="55"/>
  <c r="K241" i="55"/>
  <c r="K242" i="55"/>
  <c r="K243" i="55"/>
  <c r="K244" i="55"/>
  <c r="K245" i="55"/>
  <c r="K246" i="55"/>
  <c r="K247" i="55"/>
  <c r="K248" i="55"/>
  <c r="K249" i="55"/>
  <c r="K250" i="55"/>
  <c r="K251" i="55"/>
  <c r="K252" i="55"/>
  <c r="K253" i="55"/>
  <c r="K254" i="55"/>
  <c r="K255" i="55"/>
  <c r="K256" i="55"/>
  <c r="K257" i="55"/>
  <c r="K10" i="55"/>
  <c r="W13" i="59"/>
  <c r="W14" i="59"/>
  <c r="W15" i="59"/>
  <c r="W16" i="59"/>
  <c r="W17" i="59"/>
  <c r="W18" i="59"/>
  <c r="W19" i="59"/>
  <c r="W20" i="59"/>
  <c r="W21" i="59"/>
  <c r="W22" i="59"/>
  <c r="W23" i="59"/>
  <c r="W24" i="59"/>
  <c r="W25" i="59"/>
  <c r="W26" i="59"/>
  <c r="W27" i="59"/>
  <c r="W28" i="59"/>
  <c r="W29" i="59"/>
  <c r="W30" i="59"/>
  <c r="W31" i="59"/>
  <c r="W32" i="59"/>
  <c r="W33" i="59"/>
  <c r="W34" i="59"/>
  <c r="W35" i="59"/>
  <c r="W36" i="59"/>
  <c r="W37" i="59"/>
  <c r="W38" i="59"/>
  <c r="W39" i="59"/>
  <c r="W40" i="59"/>
  <c r="W41" i="59"/>
  <c r="W42" i="59"/>
  <c r="W43" i="59"/>
  <c r="W44" i="59"/>
  <c r="W45" i="59"/>
  <c r="W46" i="59"/>
  <c r="W47" i="59"/>
  <c r="W48" i="59"/>
  <c r="W49" i="59"/>
  <c r="W50" i="59"/>
  <c r="W51" i="59"/>
  <c r="W52" i="59"/>
  <c r="W53" i="59"/>
  <c r="W54" i="59"/>
  <c r="W55" i="59"/>
  <c r="W56" i="59"/>
  <c r="W57" i="59"/>
  <c r="W58" i="59"/>
  <c r="W59" i="59"/>
  <c r="W60" i="59"/>
  <c r="W61" i="59"/>
  <c r="W62" i="59"/>
  <c r="W63" i="59"/>
  <c r="W64" i="59"/>
  <c r="W65" i="59"/>
  <c r="W66" i="59"/>
  <c r="W67" i="59"/>
  <c r="W68" i="59"/>
  <c r="W69" i="59"/>
  <c r="W70" i="59"/>
  <c r="W71" i="59"/>
  <c r="W72" i="59"/>
  <c r="W73" i="59"/>
  <c r="W74" i="59"/>
  <c r="W75" i="59"/>
  <c r="W76" i="59"/>
  <c r="W77" i="59"/>
  <c r="W78" i="59"/>
  <c r="W79" i="59"/>
  <c r="W80" i="59"/>
  <c r="W81" i="59"/>
  <c r="W82" i="59"/>
  <c r="W83" i="59"/>
  <c r="W84" i="59"/>
  <c r="W85" i="59"/>
  <c r="W86" i="59"/>
  <c r="W87" i="59"/>
  <c r="W88" i="59"/>
  <c r="W89" i="59"/>
  <c r="W90" i="59"/>
  <c r="W91" i="59"/>
  <c r="W92" i="59"/>
  <c r="W93" i="59"/>
  <c r="W94" i="59"/>
  <c r="W95" i="59"/>
  <c r="W96" i="59"/>
  <c r="W97" i="59"/>
  <c r="W98" i="59"/>
  <c r="W99" i="59"/>
  <c r="W100" i="59"/>
  <c r="W101" i="59"/>
  <c r="W102" i="59"/>
  <c r="W103" i="59"/>
  <c r="W104" i="59"/>
  <c r="W105" i="59"/>
  <c r="W106" i="59"/>
  <c r="W107" i="59"/>
  <c r="W108" i="59"/>
  <c r="W109" i="59"/>
  <c r="W110" i="59"/>
  <c r="W111" i="59"/>
  <c r="W112" i="59"/>
  <c r="W113" i="59"/>
  <c r="W114" i="59"/>
  <c r="W115" i="59"/>
  <c r="W116" i="59"/>
  <c r="W117" i="59"/>
  <c r="W118" i="59"/>
  <c r="W119" i="59"/>
  <c r="W120" i="59"/>
  <c r="W121" i="59"/>
  <c r="W122" i="59"/>
  <c r="W123" i="59"/>
  <c r="W124" i="59"/>
  <c r="W125" i="59"/>
  <c r="W126" i="59"/>
  <c r="W127" i="59"/>
  <c r="W128" i="59"/>
  <c r="W129" i="59"/>
  <c r="W130" i="59"/>
  <c r="W131" i="59"/>
  <c r="W132" i="59"/>
  <c r="W133" i="59"/>
  <c r="W134" i="59"/>
  <c r="W135" i="59"/>
  <c r="W136" i="59"/>
  <c r="W137" i="59"/>
  <c r="W138" i="59"/>
  <c r="W139" i="59"/>
  <c r="W140" i="59"/>
  <c r="W141" i="59"/>
  <c r="W142" i="59"/>
  <c r="W143" i="59"/>
  <c r="W144" i="59"/>
  <c r="W145" i="59"/>
  <c r="W146" i="59"/>
  <c r="W147" i="59"/>
  <c r="W148" i="59"/>
  <c r="W149" i="59"/>
  <c r="W150" i="59"/>
  <c r="W151" i="59"/>
  <c r="W152" i="59"/>
  <c r="W153" i="59"/>
  <c r="W154" i="59"/>
  <c r="W155" i="59"/>
  <c r="W156" i="59"/>
  <c r="W157" i="59"/>
  <c r="W158" i="59"/>
  <c r="W159" i="59"/>
  <c r="W160" i="59"/>
  <c r="W161" i="59"/>
  <c r="W162" i="59"/>
  <c r="W163" i="59"/>
  <c r="W164" i="59"/>
  <c r="W165" i="59"/>
  <c r="W166" i="59"/>
  <c r="W167" i="59"/>
  <c r="W168" i="59"/>
  <c r="W169" i="59"/>
  <c r="W170" i="59"/>
  <c r="W171" i="59"/>
  <c r="W172" i="59"/>
  <c r="W173" i="59"/>
  <c r="W174" i="59"/>
  <c r="W175" i="59"/>
  <c r="W176" i="59"/>
  <c r="W177" i="59"/>
  <c r="W178" i="59"/>
  <c r="W179" i="59"/>
  <c r="W180" i="59"/>
  <c r="W181" i="59"/>
  <c r="W182" i="59"/>
  <c r="W183" i="59"/>
  <c r="W184" i="59"/>
  <c r="W185" i="59"/>
  <c r="W186" i="59"/>
  <c r="W187" i="59"/>
  <c r="W188" i="59"/>
  <c r="W189" i="59"/>
  <c r="W190" i="59"/>
  <c r="W191" i="59"/>
  <c r="W192" i="59"/>
  <c r="W193" i="59"/>
  <c r="W194" i="59"/>
  <c r="W195" i="59"/>
  <c r="W196" i="59"/>
  <c r="W197" i="59"/>
  <c r="W198" i="59"/>
  <c r="W199" i="59"/>
  <c r="W200" i="59"/>
  <c r="W201" i="59"/>
  <c r="W202" i="59"/>
  <c r="W203" i="59"/>
  <c r="W204" i="59"/>
  <c r="W205" i="59"/>
  <c r="W206" i="59"/>
  <c r="W207" i="59"/>
  <c r="W208" i="59"/>
  <c r="W209" i="59"/>
  <c r="W210" i="59"/>
  <c r="W211" i="59"/>
  <c r="W212" i="59"/>
  <c r="W213" i="59"/>
  <c r="W214" i="59"/>
  <c r="W215" i="59"/>
  <c r="W216" i="59"/>
  <c r="W217" i="59"/>
  <c r="W218" i="59"/>
  <c r="W219" i="59"/>
  <c r="W220" i="59"/>
  <c r="W221" i="59"/>
  <c r="W222" i="59"/>
  <c r="W223" i="59"/>
  <c r="W224" i="59"/>
  <c r="W225" i="59"/>
  <c r="W226" i="59"/>
  <c r="W227" i="59"/>
  <c r="W228" i="59"/>
  <c r="W229" i="59"/>
  <c r="W230" i="59"/>
  <c r="W231" i="59"/>
  <c r="W232" i="59"/>
  <c r="W233" i="59"/>
  <c r="W234" i="59"/>
  <c r="W235" i="59"/>
  <c r="W236" i="59"/>
  <c r="W237" i="59"/>
  <c r="W238" i="59"/>
  <c r="W239" i="59"/>
  <c r="W240" i="59"/>
  <c r="W241" i="59"/>
  <c r="W242" i="59"/>
  <c r="W243" i="59"/>
  <c r="W244" i="59"/>
  <c r="W245" i="59"/>
  <c r="W246" i="59"/>
  <c r="W247" i="59"/>
  <c r="W248" i="59"/>
  <c r="W249" i="59"/>
  <c r="W250" i="59"/>
  <c r="W251" i="59"/>
  <c r="W252" i="59"/>
  <c r="W253" i="59"/>
  <c r="W254" i="59"/>
  <c r="W255" i="59"/>
  <c r="W256" i="59"/>
  <c r="W257" i="59"/>
  <c r="W258" i="59"/>
  <c r="O12" i="59"/>
  <c r="O13" i="59"/>
  <c r="O14" i="59"/>
  <c r="O15" i="59"/>
  <c r="O16" i="59"/>
  <c r="O17" i="59"/>
  <c r="O18" i="59"/>
  <c r="O19" i="59"/>
  <c r="O20" i="59"/>
  <c r="O21" i="59"/>
  <c r="O22" i="59"/>
  <c r="O23" i="59"/>
  <c r="O24" i="59"/>
  <c r="O25" i="59"/>
  <c r="O26" i="59"/>
  <c r="O27" i="59"/>
  <c r="O28" i="59"/>
  <c r="O29" i="59"/>
  <c r="O30" i="59"/>
  <c r="O31" i="59"/>
  <c r="O32" i="59"/>
  <c r="O33" i="59"/>
  <c r="O34" i="59"/>
  <c r="O35" i="59"/>
  <c r="O36" i="59"/>
  <c r="O37" i="59"/>
  <c r="O38" i="59"/>
  <c r="O39" i="59"/>
  <c r="O40" i="59"/>
  <c r="O41" i="59"/>
  <c r="O42" i="59"/>
  <c r="O43" i="59"/>
  <c r="O44" i="59"/>
  <c r="O45" i="59"/>
  <c r="O46" i="59"/>
  <c r="O47" i="59"/>
  <c r="O48" i="59"/>
  <c r="O49" i="59"/>
  <c r="O50" i="59"/>
  <c r="O51" i="59"/>
  <c r="O52" i="59"/>
  <c r="O53" i="59"/>
  <c r="O54" i="59"/>
  <c r="O55" i="59"/>
  <c r="O56" i="59"/>
  <c r="O57" i="59"/>
  <c r="O58" i="59"/>
  <c r="O59" i="59"/>
  <c r="O60" i="59"/>
  <c r="O61" i="59"/>
  <c r="O62" i="59"/>
  <c r="O63" i="59"/>
  <c r="O64" i="59"/>
  <c r="O65" i="59"/>
  <c r="O66" i="59"/>
  <c r="O67" i="59"/>
  <c r="O68" i="59"/>
  <c r="O69" i="59"/>
  <c r="O70" i="59"/>
  <c r="O71" i="59"/>
  <c r="O72" i="59"/>
  <c r="O73" i="59"/>
  <c r="O74" i="59"/>
  <c r="O75" i="59"/>
  <c r="O76" i="59"/>
  <c r="O77" i="59"/>
  <c r="O78" i="59"/>
  <c r="O79" i="59"/>
  <c r="O80" i="59"/>
  <c r="O81" i="59"/>
  <c r="O82" i="59"/>
  <c r="O83" i="59"/>
  <c r="O84" i="59"/>
  <c r="O85" i="59"/>
  <c r="O86" i="59"/>
  <c r="O87" i="59"/>
  <c r="O88" i="59"/>
  <c r="O89" i="59"/>
  <c r="O90" i="59"/>
  <c r="O91" i="59"/>
  <c r="O92" i="59"/>
  <c r="O93" i="59"/>
  <c r="O94" i="59"/>
  <c r="O95" i="59"/>
  <c r="O96" i="59"/>
  <c r="O97" i="59"/>
  <c r="O98" i="59"/>
  <c r="O99" i="59"/>
  <c r="O100" i="59"/>
  <c r="O101" i="59"/>
  <c r="O102" i="59"/>
  <c r="O103" i="59"/>
  <c r="O104" i="59"/>
  <c r="O105" i="59"/>
  <c r="O106" i="59"/>
  <c r="O107" i="59"/>
  <c r="O108" i="59"/>
  <c r="O109" i="59"/>
  <c r="O110" i="59"/>
  <c r="O111" i="59"/>
  <c r="O112" i="59"/>
  <c r="O113" i="59"/>
  <c r="O114" i="59"/>
  <c r="O115" i="59"/>
  <c r="O116" i="59"/>
  <c r="O117" i="59"/>
  <c r="O118" i="59"/>
  <c r="O119" i="59"/>
  <c r="O120" i="59"/>
  <c r="O121" i="59"/>
  <c r="O122" i="59"/>
  <c r="O123" i="59"/>
  <c r="O124" i="59"/>
  <c r="O125" i="59"/>
  <c r="O126" i="59"/>
  <c r="O127" i="59"/>
  <c r="O128" i="59"/>
  <c r="O129" i="59"/>
  <c r="O130" i="59"/>
  <c r="O131" i="59"/>
  <c r="O132" i="59"/>
  <c r="O133" i="59"/>
  <c r="O134" i="59"/>
  <c r="O135" i="59"/>
  <c r="O136" i="59"/>
  <c r="O137" i="59"/>
  <c r="O138" i="59"/>
  <c r="O139" i="59"/>
  <c r="O140" i="59"/>
  <c r="O141" i="59"/>
  <c r="O142" i="59"/>
  <c r="O143" i="59"/>
  <c r="O144" i="59"/>
  <c r="O145" i="59"/>
  <c r="O146" i="59"/>
  <c r="O147" i="59"/>
  <c r="O148" i="59"/>
  <c r="O149" i="59"/>
  <c r="O150" i="59"/>
  <c r="O151" i="59"/>
  <c r="O152" i="59"/>
  <c r="O153" i="59"/>
  <c r="O154" i="59"/>
  <c r="O155" i="59"/>
  <c r="O156" i="59"/>
  <c r="O157" i="59"/>
  <c r="O158" i="59"/>
  <c r="O159" i="59"/>
  <c r="O160" i="59"/>
  <c r="O161" i="59"/>
  <c r="O162" i="59"/>
  <c r="O163" i="59"/>
  <c r="O164" i="59"/>
  <c r="O165" i="59"/>
  <c r="O166" i="59"/>
  <c r="O167" i="59"/>
  <c r="O168" i="59"/>
  <c r="O169" i="59"/>
  <c r="O170" i="59"/>
  <c r="O171" i="59"/>
  <c r="O172" i="59"/>
  <c r="O173" i="59"/>
  <c r="O174" i="59"/>
  <c r="O175" i="59"/>
  <c r="O176" i="59"/>
  <c r="O177" i="59"/>
  <c r="O178" i="59"/>
  <c r="O179" i="59"/>
  <c r="O180" i="59"/>
  <c r="O181" i="59"/>
  <c r="O182" i="59"/>
  <c r="O183" i="59"/>
  <c r="O184" i="59"/>
  <c r="O185" i="59"/>
  <c r="O186" i="59"/>
  <c r="O187" i="59"/>
  <c r="O188" i="59"/>
  <c r="O189" i="59"/>
  <c r="O190" i="59"/>
  <c r="O191" i="59"/>
  <c r="O192" i="59"/>
  <c r="O193" i="59"/>
  <c r="O194" i="59"/>
  <c r="O195" i="59"/>
  <c r="O196" i="59"/>
  <c r="O197" i="59"/>
  <c r="O198" i="59"/>
  <c r="O199" i="59"/>
  <c r="O200" i="59"/>
  <c r="O201" i="59"/>
  <c r="O202" i="59"/>
  <c r="O203" i="59"/>
  <c r="O204" i="59"/>
  <c r="O205" i="59"/>
  <c r="O206" i="59"/>
  <c r="O207" i="59"/>
  <c r="O208" i="59"/>
  <c r="O209" i="59"/>
  <c r="O210" i="59"/>
  <c r="O211" i="59"/>
  <c r="O212" i="59"/>
  <c r="O213" i="59"/>
  <c r="O214" i="59"/>
  <c r="O215" i="59"/>
  <c r="O216" i="59"/>
  <c r="O217" i="59"/>
  <c r="O218" i="59"/>
  <c r="O219" i="59"/>
  <c r="O220" i="59"/>
  <c r="O221" i="59"/>
  <c r="O222" i="59"/>
  <c r="O223" i="59"/>
  <c r="O224" i="59"/>
  <c r="O225" i="59"/>
  <c r="O226" i="59"/>
  <c r="O227" i="59"/>
  <c r="O228" i="59"/>
  <c r="O229" i="59"/>
  <c r="O230" i="59"/>
  <c r="O231" i="59"/>
  <c r="O232" i="59"/>
  <c r="O233" i="59"/>
  <c r="O234" i="59"/>
  <c r="O235" i="59"/>
  <c r="O236" i="59"/>
  <c r="O237" i="59"/>
  <c r="O238" i="59"/>
  <c r="O239" i="59"/>
  <c r="O240" i="59"/>
  <c r="O241" i="59"/>
  <c r="O242" i="59"/>
  <c r="O243" i="59"/>
  <c r="O244" i="59"/>
  <c r="O245" i="59"/>
  <c r="O246" i="59"/>
  <c r="O247" i="59"/>
  <c r="O248" i="59"/>
  <c r="O249" i="59"/>
  <c r="O250" i="59"/>
  <c r="O251" i="59"/>
  <c r="O252" i="59"/>
  <c r="O253" i="59"/>
  <c r="O254" i="59"/>
  <c r="O255" i="59"/>
  <c r="O256" i="59"/>
  <c r="O257" i="59"/>
  <c r="O258" i="59"/>
  <c r="O11" i="59"/>
  <c r="N12" i="59"/>
  <c r="N13" i="59"/>
  <c r="N14" i="59"/>
  <c r="N15" i="59"/>
  <c r="N16" i="59"/>
  <c r="N17" i="59"/>
  <c r="N18" i="59"/>
  <c r="N19" i="59"/>
  <c r="N20" i="59"/>
  <c r="N21" i="59"/>
  <c r="N22" i="59"/>
  <c r="N23" i="59"/>
  <c r="N24" i="59"/>
  <c r="N25" i="59"/>
  <c r="N26" i="59"/>
  <c r="N27" i="59"/>
  <c r="N28" i="59"/>
  <c r="N29" i="59"/>
  <c r="N30" i="59"/>
  <c r="N31" i="59"/>
  <c r="N32" i="59"/>
  <c r="N33" i="59"/>
  <c r="N34" i="59"/>
  <c r="N35" i="59"/>
  <c r="N36" i="59"/>
  <c r="N37" i="59"/>
  <c r="N38" i="59"/>
  <c r="N39" i="59"/>
  <c r="N40" i="59"/>
  <c r="N41" i="59"/>
  <c r="N42" i="59"/>
  <c r="N43" i="59"/>
  <c r="N44" i="59"/>
  <c r="N45" i="59"/>
  <c r="N46" i="59"/>
  <c r="N47" i="59"/>
  <c r="N48" i="59"/>
  <c r="N49" i="59"/>
  <c r="N50" i="59"/>
  <c r="N51" i="59"/>
  <c r="N52" i="59"/>
  <c r="N53" i="59"/>
  <c r="N54" i="59"/>
  <c r="N55" i="59"/>
  <c r="N56" i="59"/>
  <c r="N57" i="59"/>
  <c r="N58" i="59"/>
  <c r="N59" i="59"/>
  <c r="N60" i="59"/>
  <c r="N61" i="59"/>
  <c r="N62" i="59"/>
  <c r="N63" i="59"/>
  <c r="N64" i="59"/>
  <c r="N65" i="59"/>
  <c r="N66" i="59"/>
  <c r="N67" i="59"/>
  <c r="N68" i="59"/>
  <c r="N69" i="59"/>
  <c r="N70" i="59"/>
  <c r="N71" i="59"/>
  <c r="N72" i="59"/>
  <c r="N73" i="59"/>
  <c r="N74" i="59"/>
  <c r="N75" i="59"/>
  <c r="N76" i="59"/>
  <c r="N77" i="59"/>
  <c r="N78" i="59"/>
  <c r="N79" i="59"/>
  <c r="N80" i="59"/>
  <c r="N81" i="59"/>
  <c r="N82" i="59"/>
  <c r="N83" i="59"/>
  <c r="N84" i="59"/>
  <c r="N85" i="59"/>
  <c r="N86" i="59"/>
  <c r="N87" i="59"/>
  <c r="N88" i="59"/>
  <c r="N89" i="59"/>
  <c r="N90" i="59"/>
  <c r="N91" i="59"/>
  <c r="N92" i="59"/>
  <c r="N93" i="59"/>
  <c r="N94" i="59"/>
  <c r="N95" i="59"/>
  <c r="N96" i="59"/>
  <c r="N97" i="59"/>
  <c r="N98" i="59"/>
  <c r="N99" i="59"/>
  <c r="N100" i="59"/>
  <c r="N101" i="59"/>
  <c r="N102" i="59"/>
  <c r="N103" i="59"/>
  <c r="N104" i="59"/>
  <c r="N105" i="59"/>
  <c r="N106" i="59"/>
  <c r="N107" i="59"/>
  <c r="N108" i="59"/>
  <c r="N109" i="59"/>
  <c r="N110" i="59"/>
  <c r="N111" i="59"/>
  <c r="N112" i="59"/>
  <c r="N113" i="59"/>
  <c r="N114" i="59"/>
  <c r="N115" i="59"/>
  <c r="N116" i="59"/>
  <c r="N117" i="59"/>
  <c r="N118" i="59"/>
  <c r="N119" i="59"/>
  <c r="N120" i="59"/>
  <c r="N121" i="59"/>
  <c r="N122" i="59"/>
  <c r="N123" i="59"/>
  <c r="N124" i="59"/>
  <c r="N125" i="59"/>
  <c r="N126" i="59"/>
  <c r="N127" i="59"/>
  <c r="N128" i="59"/>
  <c r="N129" i="59"/>
  <c r="N130" i="59"/>
  <c r="N131" i="59"/>
  <c r="N132" i="59"/>
  <c r="N133" i="59"/>
  <c r="N134" i="59"/>
  <c r="N135" i="59"/>
  <c r="N136" i="59"/>
  <c r="N137" i="59"/>
  <c r="N138" i="59"/>
  <c r="N139" i="59"/>
  <c r="N140" i="59"/>
  <c r="N141" i="59"/>
  <c r="N142" i="59"/>
  <c r="N143" i="59"/>
  <c r="N144" i="59"/>
  <c r="N145" i="59"/>
  <c r="N146" i="59"/>
  <c r="N147" i="59"/>
  <c r="N148" i="59"/>
  <c r="N149" i="59"/>
  <c r="N150" i="59"/>
  <c r="N151" i="59"/>
  <c r="N152" i="59"/>
  <c r="N153" i="59"/>
  <c r="N154" i="59"/>
  <c r="N155" i="59"/>
  <c r="N156" i="59"/>
  <c r="N157" i="59"/>
  <c r="N158" i="59"/>
  <c r="N159" i="59"/>
  <c r="N160" i="59"/>
  <c r="N161" i="59"/>
  <c r="N162" i="59"/>
  <c r="N163" i="59"/>
  <c r="N164" i="59"/>
  <c r="N165" i="59"/>
  <c r="N166" i="59"/>
  <c r="N167" i="59"/>
  <c r="N168" i="59"/>
  <c r="N169" i="59"/>
  <c r="N170" i="59"/>
  <c r="N171" i="59"/>
  <c r="N172" i="59"/>
  <c r="N173" i="59"/>
  <c r="N174" i="59"/>
  <c r="N175" i="59"/>
  <c r="N176" i="59"/>
  <c r="N177" i="59"/>
  <c r="N178" i="59"/>
  <c r="N179" i="59"/>
  <c r="N180" i="59"/>
  <c r="N181" i="59"/>
  <c r="N182" i="59"/>
  <c r="N183" i="59"/>
  <c r="N184" i="59"/>
  <c r="N185" i="59"/>
  <c r="N186" i="59"/>
  <c r="N187" i="59"/>
  <c r="N188" i="59"/>
  <c r="N189" i="59"/>
  <c r="N190" i="59"/>
  <c r="N191" i="59"/>
  <c r="N192" i="59"/>
  <c r="N193" i="59"/>
  <c r="N194" i="59"/>
  <c r="N195" i="59"/>
  <c r="N196" i="59"/>
  <c r="N197" i="59"/>
  <c r="N198" i="59"/>
  <c r="N199" i="59"/>
  <c r="N200" i="59"/>
  <c r="N201" i="59"/>
  <c r="N202" i="59"/>
  <c r="N203" i="59"/>
  <c r="N204" i="59"/>
  <c r="N205" i="59"/>
  <c r="N206" i="59"/>
  <c r="N207" i="59"/>
  <c r="N208" i="59"/>
  <c r="N209" i="59"/>
  <c r="N210" i="59"/>
  <c r="N211" i="59"/>
  <c r="N212" i="59"/>
  <c r="N213" i="59"/>
  <c r="N214" i="59"/>
  <c r="N215" i="59"/>
  <c r="N216" i="59"/>
  <c r="N217" i="59"/>
  <c r="N218" i="59"/>
  <c r="N219" i="59"/>
  <c r="N220" i="59"/>
  <c r="N221" i="59"/>
  <c r="N222" i="59"/>
  <c r="N223" i="59"/>
  <c r="N224" i="59"/>
  <c r="N225" i="59"/>
  <c r="N226" i="59"/>
  <c r="N227" i="59"/>
  <c r="N228" i="59"/>
  <c r="N229" i="59"/>
  <c r="N230" i="59"/>
  <c r="N231" i="59"/>
  <c r="N232" i="59"/>
  <c r="N233" i="59"/>
  <c r="N234" i="59"/>
  <c r="N235" i="59"/>
  <c r="N236" i="59"/>
  <c r="N237" i="59"/>
  <c r="N238" i="59"/>
  <c r="N239" i="59"/>
  <c r="N240" i="59"/>
  <c r="N241" i="59"/>
  <c r="N242" i="59"/>
  <c r="N243" i="59"/>
  <c r="N244" i="59"/>
  <c r="N245" i="59"/>
  <c r="N246" i="59"/>
  <c r="N247" i="59"/>
  <c r="N248" i="59"/>
  <c r="N249" i="59"/>
  <c r="N250" i="59"/>
  <c r="N251" i="59"/>
  <c r="N252" i="59"/>
  <c r="N253" i="59"/>
  <c r="N254" i="59"/>
  <c r="N255" i="59"/>
  <c r="N256" i="59"/>
  <c r="N257" i="59"/>
  <c r="N258" i="59"/>
  <c r="N11" i="59"/>
  <c r="Y11" i="67"/>
  <c r="Y12" i="67"/>
  <c r="Y13" i="67"/>
  <c r="Y14" i="67"/>
  <c r="Y15" i="67"/>
  <c r="Y16" i="67"/>
  <c r="Y17" i="67"/>
  <c r="Y18" i="67"/>
  <c r="Y19" i="67"/>
  <c r="Y20" i="67"/>
  <c r="Y21" i="67"/>
  <c r="Y22" i="67"/>
  <c r="Y23" i="67"/>
  <c r="Y24" i="67"/>
  <c r="Y25" i="67"/>
  <c r="Y26" i="67"/>
  <c r="Y27" i="67"/>
  <c r="Y28" i="67"/>
  <c r="Y29" i="67"/>
  <c r="Y30" i="67"/>
  <c r="Y31" i="67"/>
  <c r="Y32" i="67"/>
  <c r="Y33" i="67"/>
  <c r="Y34" i="67"/>
  <c r="Y35" i="67"/>
  <c r="Y36" i="67"/>
  <c r="Y37" i="67"/>
  <c r="Y38" i="67"/>
  <c r="Y39" i="67"/>
  <c r="Y40" i="67"/>
  <c r="Y41" i="67"/>
  <c r="Y42" i="67"/>
  <c r="Y43" i="67"/>
  <c r="Y44" i="67"/>
  <c r="Y45" i="67"/>
  <c r="Y46" i="67"/>
  <c r="Y47" i="67"/>
  <c r="Y48" i="67"/>
  <c r="Y49" i="67"/>
  <c r="Y50" i="67"/>
  <c r="Y51" i="67"/>
  <c r="Y52" i="67"/>
  <c r="Y53" i="67"/>
  <c r="Y55" i="67"/>
  <c r="Y56" i="67"/>
  <c r="Y57" i="67"/>
  <c r="Y58" i="67"/>
  <c r="Y59" i="67"/>
  <c r="Y60" i="67"/>
  <c r="Y61" i="67"/>
  <c r="Y62" i="67"/>
  <c r="Y63" i="67"/>
  <c r="Y64" i="67"/>
  <c r="Y65" i="67"/>
  <c r="Y66" i="67"/>
  <c r="Y67" i="67"/>
  <c r="Y68" i="67"/>
  <c r="Y69" i="67"/>
  <c r="Y70" i="67"/>
  <c r="Y71" i="67"/>
  <c r="Y72" i="67"/>
  <c r="Y73" i="67"/>
  <c r="Y74" i="67"/>
  <c r="Y75" i="67"/>
  <c r="Y76" i="67"/>
  <c r="Y77" i="67"/>
  <c r="Y78" i="67"/>
  <c r="Y79" i="67"/>
  <c r="Y80" i="67"/>
  <c r="Y81" i="67"/>
  <c r="Y82" i="67"/>
  <c r="Y83" i="67"/>
  <c r="Y84" i="67"/>
  <c r="Y85" i="67"/>
  <c r="Y86" i="67"/>
  <c r="Y87" i="67"/>
  <c r="Y88" i="67"/>
  <c r="Y89" i="67"/>
  <c r="Y90" i="67"/>
  <c r="Y91" i="67"/>
  <c r="Y92" i="67"/>
  <c r="Y93" i="67"/>
  <c r="Y94" i="67"/>
  <c r="Y95" i="67"/>
  <c r="Y96" i="67"/>
  <c r="Y97" i="67"/>
  <c r="Y98" i="67"/>
  <c r="Y99" i="67"/>
  <c r="Y100" i="67"/>
  <c r="Y101" i="67"/>
  <c r="Y102" i="67"/>
  <c r="Y103" i="67"/>
  <c r="Y104" i="67"/>
  <c r="Y105" i="67"/>
  <c r="Y106" i="67"/>
  <c r="Y107" i="67"/>
  <c r="Y108" i="67"/>
  <c r="Y109" i="67"/>
  <c r="Y110" i="67"/>
  <c r="Y111" i="67"/>
  <c r="Y112" i="67"/>
  <c r="Y113" i="67"/>
  <c r="Y114" i="67"/>
  <c r="Y115" i="67"/>
  <c r="Y116" i="67"/>
  <c r="Y117" i="67"/>
  <c r="Y118" i="67"/>
  <c r="Y119" i="67"/>
  <c r="Y120" i="67"/>
  <c r="Y121" i="67"/>
  <c r="Y122" i="67"/>
  <c r="Y123" i="67"/>
  <c r="Y124" i="67"/>
  <c r="Y125" i="67"/>
  <c r="Y126" i="67"/>
  <c r="Y127" i="67"/>
  <c r="Y128" i="67"/>
  <c r="Y129" i="67"/>
  <c r="Y130" i="67"/>
  <c r="Y131" i="67"/>
  <c r="Y132" i="67"/>
  <c r="Y133" i="67"/>
  <c r="Y134" i="67"/>
  <c r="Y135" i="67"/>
  <c r="Y136" i="67"/>
  <c r="Y137" i="67"/>
  <c r="Y138" i="67"/>
  <c r="Y139" i="67"/>
  <c r="Y140" i="67"/>
  <c r="Y141" i="67"/>
  <c r="Y142" i="67"/>
  <c r="Y143" i="67"/>
  <c r="Y144" i="67"/>
  <c r="Y145" i="67"/>
  <c r="Y146" i="67"/>
  <c r="Y147" i="67"/>
  <c r="Y148" i="67"/>
  <c r="Y149" i="67"/>
  <c r="Y150" i="67"/>
  <c r="Y151" i="67"/>
  <c r="Y152" i="67"/>
  <c r="Y153" i="67"/>
  <c r="Y154" i="67"/>
  <c r="Y155" i="67"/>
  <c r="Y156" i="67"/>
  <c r="Y157" i="67"/>
  <c r="Y158" i="67"/>
  <c r="Y159" i="67"/>
  <c r="Y160" i="67"/>
  <c r="Y161" i="67"/>
  <c r="Y162" i="67"/>
  <c r="Y163" i="67"/>
  <c r="Y164" i="67"/>
  <c r="Y165" i="67"/>
  <c r="Y166" i="67"/>
  <c r="Y167" i="67"/>
  <c r="Y168" i="67"/>
  <c r="Y169" i="67"/>
  <c r="Y170" i="67"/>
  <c r="Y171" i="67"/>
  <c r="Y172" i="67"/>
  <c r="Y173" i="67"/>
  <c r="Y174" i="67"/>
  <c r="Y175" i="67"/>
  <c r="Y176" i="67"/>
  <c r="Y177" i="67"/>
  <c r="Y178" i="67"/>
  <c r="Y179" i="67"/>
  <c r="Y180" i="67"/>
  <c r="Y181" i="67"/>
  <c r="Y182" i="67"/>
  <c r="Y183" i="67"/>
  <c r="Y184" i="67"/>
  <c r="Y185" i="67"/>
  <c r="Y186" i="67"/>
  <c r="Y187" i="67"/>
  <c r="Y188" i="67"/>
  <c r="Y189" i="67"/>
  <c r="Y190" i="67"/>
  <c r="Y191" i="67"/>
  <c r="Y192" i="67"/>
  <c r="Y193" i="67"/>
  <c r="Y194" i="67"/>
  <c r="Y195" i="67"/>
  <c r="Y196" i="67"/>
  <c r="Y197" i="67"/>
  <c r="Y198" i="67"/>
  <c r="Y199" i="67"/>
  <c r="Y200" i="67"/>
  <c r="Y201" i="67"/>
  <c r="Y202" i="67"/>
  <c r="Y203" i="67"/>
  <c r="Y204" i="67"/>
  <c r="Y205" i="67"/>
  <c r="Y206" i="67"/>
  <c r="Y207" i="67"/>
  <c r="Y208" i="67"/>
  <c r="Y209" i="67"/>
  <c r="Y210" i="67"/>
  <c r="Y211" i="67"/>
  <c r="Y212" i="67"/>
  <c r="Y213" i="67"/>
  <c r="Y214" i="67"/>
  <c r="Y215" i="67"/>
  <c r="Y216" i="67"/>
  <c r="Y217" i="67"/>
  <c r="Y218" i="67"/>
  <c r="Y219" i="67"/>
  <c r="Y220" i="67"/>
  <c r="Y221" i="67"/>
  <c r="Y222" i="67"/>
  <c r="Y223" i="67"/>
  <c r="Y224" i="67"/>
  <c r="Y225" i="67"/>
  <c r="Y226" i="67"/>
  <c r="Y227" i="67"/>
  <c r="Y228" i="67"/>
  <c r="Y229" i="67"/>
  <c r="Y230" i="67"/>
  <c r="Y231" i="67"/>
  <c r="Y232" i="67"/>
  <c r="Y233" i="67"/>
  <c r="Y234" i="67"/>
  <c r="Y235" i="67"/>
  <c r="Y236" i="67"/>
  <c r="Y237" i="67"/>
  <c r="Y238" i="67"/>
  <c r="Y239" i="67"/>
  <c r="Y240" i="67"/>
  <c r="Y241" i="67"/>
  <c r="Y242" i="67"/>
  <c r="Y243" i="67"/>
  <c r="Y244" i="67"/>
  <c r="Y245" i="67"/>
  <c r="Y246" i="67"/>
  <c r="Y247" i="67"/>
  <c r="Y248" i="67"/>
  <c r="Y249" i="67"/>
  <c r="Y250" i="67"/>
  <c r="Y251" i="67"/>
  <c r="Y252" i="67"/>
  <c r="Y253" i="67"/>
  <c r="Y254" i="67"/>
  <c r="Y255" i="67"/>
  <c r="Y256" i="67"/>
  <c r="Y257" i="67"/>
  <c r="P11" i="67"/>
  <c r="P12" i="67"/>
  <c r="P13" i="67"/>
  <c r="P14" i="67"/>
  <c r="P15" i="67"/>
  <c r="P16" i="67"/>
  <c r="P17" i="67"/>
  <c r="P18" i="67"/>
  <c r="P19" i="67"/>
  <c r="P20" i="67"/>
  <c r="P21" i="67"/>
  <c r="P22" i="67"/>
  <c r="P23" i="67"/>
  <c r="P24" i="67"/>
  <c r="P25" i="67"/>
  <c r="P26" i="67"/>
  <c r="P27" i="67"/>
  <c r="P28" i="67"/>
  <c r="P29" i="67"/>
  <c r="P30" i="67"/>
  <c r="P31" i="67"/>
  <c r="P32" i="67"/>
  <c r="P33" i="67"/>
  <c r="P34" i="67"/>
  <c r="P35" i="67"/>
  <c r="P36" i="67"/>
  <c r="P37" i="67"/>
  <c r="P38" i="67"/>
  <c r="P39" i="67"/>
  <c r="P40" i="67"/>
  <c r="P41" i="67"/>
  <c r="P42" i="67"/>
  <c r="P43" i="67"/>
  <c r="P44" i="67"/>
  <c r="P45" i="67"/>
  <c r="P46" i="67"/>
  <c r="P47" i="67"/>
  <c r="P48" i="67"/>
  <c r="P49" i="67"/>
  <c r="P50" i="67"/>
  <c r="P51" i="67"/>
  <c r="P52" i="67"/>
  <c r="P53" i="67"/>
  <c r="P54" i="67"/>
  <c r="P55" i="67"/>
  <c r="P56" i="67"/>
  <c r="P57" i="67"/>
  <c r="P58" i="67"/>
  <c r="P59" i="67"/>
  <c r="P60" i="67"/>
  <c r="P61" i="67"/>
  <c r="P62" i="67"/>
  <c r="P63" i="67"/>
  <c r="P64" i="67"/>
  <c r="P65" i="67"/>
  <c r="P66" i="67"/>
  <c r="P67" i="67"/>
  <c r="P68" i="67"/>
  <c r="P69" i="67"/>
  <c r="P70" i="67"/>
  <c r="P71" i="67"/>
  <c r="P72" i="67"/>
  <c r="P73" i="67"/>
  <c r="P74" i="67"/>
  <c r="P75" i="67"/>
  <c r="P76" i="67"/>
  <c r="P77" i="67"/>
  <c r="P78" i="67"/>
  <c r="P79" i="67"/>
  <c r="P80" i="67"/>
  <c r="P81" i="67"/>
  <c r="P82" i="67"/>
  <c r="P83" i="67"/>
  <c r="P84" i="67"/>
  <c r="P85" i="67"/>
  <c r="P86" i="67"/>
  <c r="P87" i="67"/>
  <c r="P88" i="67"/>
  <c r="P89" i="67"/>
  <c r="P90" i="67"/>
  <c r="P91" i="67"/>
  <c r="P92" i="67"/>
  <c r="P93" i="67"/>
  <c r="P94" i="67"/>
  <c r="P95" i="67"/>
  <c r="P96" i="67"/>
  <c r="P97" i="67"/>
  <c r="P98" i="67"/>
  <c r="P99" i="67"/>
  <c r="P100" i="67"/>
  <c r="P101" i="67"/>
  <c r="P102" i="67"/>
  <c r="P103" i="67"/>
  <c r="P104" i="67"/>
  <c r="P105" i="67"/>
  <c r="P106" i="67"/>
  <c r="P107" i="67"/>
  <c r="P108" i="67"/>
  <c r="P109" i="67"/>
  <c r="P110" i="67"/>
  <c r="P111" i="67"/>
  <c r="P112" i="67"/>
  <c r="P113" i="67"/>
  <c r="P114" i="67"/>
  <c r="P115" i="67"/>
  <c r="P116" i="67"/>
  <c r="P117" i="67"/>
  <c r="P118" i="67"/>
  <c r="P119" i="67"/>
  <c r="P120" i="67"/>
  <c r="P121" i="67"/>
  <c r="P122" i="67"/>
  <c r="P123" i="67"/>
  <c r="P124" i="67"/>
  <c r="P125" i="67"/>
  <c r="P126" i="67"/>
  <c r="P127" i="67"/>
  <c r="P128" i="67"/>
  <c r="P129" i="67"/>
  <c r="P130" i="67"/>
  <c r="P131" i="67"/>
  <c r="P132" i="67"/>
  <c r="P133" i="67"/>
  <c r="P134" i="67"/>
  <c r="P135" i="67"/>
  <c r="P136" i="67"/>
  <c r="P137" i="67"/>
  <c r="P138" i="67"/>
  <c r="P139" i="67"/>
  <c r="P140" i="67"/>
  <c r="P141" i="67"/>
  <c r="P142" i="67"/>
  <c r="P143" i="67"/>
  <c r="P144" i="67"/>
  <c r="P145" i="67"/>
  <c r="P146" i="67"/>
  <c r="P147" i="67"/>
  <c r="P148" i="67"/>
  <c r="P149" i="67"/>
  <c r="P150" i="67"/>
  <c r="P151" i="67"/>
  <c r="P152" i="67"/>
  <c r="P153" i="67"/>
  <c r="P154" i="67"/>
  <c r="P155" i="67"/>
  <c r="P156" i="67"/>
  <c r="P157" i="67"/>
  <c r="P158" i="67"/>
  <c r="P159" i="67"/>
  <c r="P160" i="67"/>
  <c r="P161" i="67"/>
  <c r="P162" i="67"/>
  <c r="P163" i="67"/>
  <c r="P164" i="67"/>
  <c r="P165" i="67"/>
  <c r="P166" i="67"/>
  <c r="P167" i="67"/>
  <c r="P168" i="67"/>
  <c r="P169" i="67"/>
  <c r="P170" i="67"/>
  <c r="P171" i="67"/>
  <c r="P172" i="67"/>
  <c r="P173" i="67"/>
  <c r="P174" i="67"/>
  <c r="P175" i="67"/>
  <c r="P176" i="67"/>
  <c r="P177" i="67"/>
  <c r="P178" i="67"/>
  <c r="P179" i="67"/>
  <c r="P180" i="67"/>
  <c r="P181" i="67"/>
  <c r="P182" i="67"/>
  <c r="P183" i="67"/>
  <c r="P184" i="67"/>
  <c r="P185" i="67"/>
  <c r="P186" i="67"/>
  <c r="P187" i="67"/>
  <c r="P188" i="67"/>
  <c r="P189" i="67"/>
  <c r="P190" i="67"/>
  <c r="P191" i="67"/>
  <c r="P192" i="67"/>
  <c r="P193" i="67"/>
  <c r="P194" i="67"/>
  <c r="P195" i="67"/>
  <c r="P196" i="67"/>
  <c r="P197" i="67"/>
  <c r="P198" i="67"/>
  <c r="P199" i="67"/>
  <c r="P200" i="67"/>
  <c r="P201" i="67"/>
  <c r="P202" i="67"/>
  <c r="P203" i="67"/>
  <c r="P204" i="67"/>
  <c r="P205" i="67"/>
  <c r="P206" i="67"/>
  <c r="P207" i="67"/>
  <c r="P208" i="67"/>
  <c r="P209" i="67"/>
  <c r="P210" i="67"/>
  <c r="P211" i="67"/>
  <c r="P212" i="67"/>
  <c r="P213" i="67"/>
  <c r="P214" i="67"/>
  <c r="P215" i="67"/>
  <c r="P216" i="67"/>
  <c r="P217" i="67"/>
  <c r="P218" i="67"/>
  <c r="P219" i="67"/>
  <c r="P220" i="67"/>
  <c r="P221" i="67"/>
  <c r="P222" i="67"/>
  <c r="P223" i="67"/>
  <c r="P224" i="67"/>
  <c r="P225" i="67"/>
  <c r="P226" i="67"/>
  <c r="P227" i="67"/>
  <c r="P228" i="67"/>
  <c r="P229" i="67"/>
  <c r="P230" i="67"/>
  <c r="P231" i="67"/>
  <c r="P232" i="67"/>
  <c r="P233" i="67"/>
  <c r="P234" i="67"/>
  <c r="P235" i="67"/>
  <c r="P236" i="67"/>
  <c r="P237" i="67"/>
  <c r="P238" i="67"/>
  <c r="P239" i="67"/>
  <c r="P240" i="67"/>
  <c r="P241" i="67"/>
  <c r="P242" i="67"/>
  <c r="P243" i="67"/>
  <c r="P244" i="67"/>
  <c r="P245" i="67"/>
  <c r="P246" i="67"/>
  <c r="P247" i="67"/>
  <c r="P248" i="67"/>
  <c r="P249" i="67"/>
  <c r="P250" i="67"/>
  <c r="P251" i="67"/>
  <c r="P252" i="67"/>
  <c r="P253" i="67"/>
  <c r="P254" i="67"/>
  <c r="P255" i="67"/>
  <c r="P256" i="67"/>
  <c r="P257" i="67"/>
  <c r="P10" i="67"/>
  <c r="N11" i="67"/>
  <c r="N12" i="67"/>
  <c r="N13" i="67"/>
  <c r="N14" i="67"/>
  <c r="N15" i="67"/>
  <c r="N16" i="67"/>
  <c r="N17" i="67"/>
  <c r="N18" i="67"/>
  <c r="N19" i="67"/>
  <c r="N20" i="67"/>
  <c r="N21" i="67"/>
  <c r="N22" i="67"/>
  <c r="N23" i="67"/>
  <c r="N24" i="67"/>
  <c r="N25" i="67"/>
  <c r="N26" i="67"/>
  <c r="N27" i="67"/>
  <c r="N28" i="67"/>
  <c r="N29" i="67"/>
  <c r="N30" i="67"/>
  <c r="N31" i="67"/>
  <c r="N32" i="67"/>
  <c r="N33" i="67"/>
  <c r="N34" i="67"/>
  <c r="N35" i="67"/>
  <c r="N36" i="67"/>
  <c r="N37" i="67"/>
  <c r="N38" i="67"/>
  <c r="N39" i="67"/>
  <c r="N40" i="67"/>
  <c r="N41" i="67"/>
  <c r="N42" i="67"/>
  <c r="N43" i="67"/>
  <c r="N44" i="67"/>
  <c r="N45" i="67"/>
  <c r="N46" i="67"/>
  <c r="N47" i="67"/>
  <c r="N48" i="67"/>
  <c r="N49" i="67"/>
  <c r="N50" i="67"/>
  <c r="N51" i="67"/>
  <c r="N52" i="67"/>
  <c r="N53" i="67"/>
  <c r="N54" i="67"/>
  <c r="N55" i="67"/>
  <c r="N56" i="67"/>
  <c r="N57" i="67"/>
  <c r="N58" i="67"/>
  <c r="N59" i="67"/>
  <c r="N60" i="67"/>
  <c r="N61" i="67"/>
  <c r="N62" i="67"/>
  <c r="N63" i="67"/>
  <c r="N64" i="67"/>
  <c r="N65" i="67"/>
  <c r="N66" i="67"/>
  <c r="N67" i="67"/>
  <c r="N68" i="67"/>
  <c r="N69" i="67"/>
  <c r="N70" i="67"/>
  <c r="N71" i="67"/>
  <c r="N72" i="67"/>
  <c r="N73" i="67"/>
  <c r="N74" i="67"/>
  <c r="N75" i="67"/>
  <c r="N76" i="67"/>
  <c r="N77" i="67"/>
  <c r="N78" i="67"/>
  <c r="N79" i="67"/>
  <c r="N80" i="67"/>
  <c r="N81" i="67"/>
  <c r="N82" i="67"/>
  <c r="N83" i="67"/>
  <c r="N84" i="67"/>
  <c r="N85" i="67"/>
  <c r="N86" i="67"/>
  <c r="N87" i="67"/>
  <c r="N88" i="67"/>
  <c r="N89" i="67"/>
  <c r="N90" i="67"/>
  <c r="N91" i="67"/>
  <c r="N92" i="67"/>
  <c r="N93" i="67"/>
  <c r="N94" i="67"/>
  <c r="N95" i="67"/>
  <c r="N96" i="67"/>
  <c r="N97" i="67"/>
  <c r="N98" i="67"/>
  <c r="N99" i="67"/>
  <c r="N100" i="67"/>
  <c r="N101" i="67"/>
  <c r="N102" i="67"/>
  <c r="N103" i="67"/>
  <c r="N104" i="67"/>
  <c r="N105" i="67"/>
  <c r="N106" i="67"/>
  <c r="N107" i="67"/>
  <c r="N108" i="67"/>
  <c r="N109" i="67"/>
  <c r="N110" i="67"/>
  <c r="N111" i="67"/>
  <c r="N112" i="67"/>
  <c r="N113" i="67"/>
  <c r="N114" i="67"/>
  <c r="N115" i="67"/>
  <c r="N116" i="67"/>
  <c r="N117" i="67"/>
  <c r="N118" i="67"/>
  <c r="N119" i="67"/>
  <c r="N120" i="67"/>
  <c r="N121" i="67"/>
  <c r="N122" i="67"/>
  <c r="N123" i="67"/>
  <c r="N124" i="67"/>
  <c r="N125" i="67"/>
  <c r="N126" i="67"/>
  <c r="N127" i="67"/>
  <c r="N128" i="67"/>
  <c r="N129" i="67"/>
  <c r="N130" i="67"/>
  <c r="N131" i="67"/>
  <c r="N132" i="67"/>
  <c r="N133" i="67"/>
  <c r="N134" i="67"/>
  <c r="N135" i="67"/>
  <c r="N136" i="67"/>
  <c r="N137" i="67"/>
  <c r="N138" i="67"/>
  <c r="N139" i="67"/>
  <c r="N140" i="67"/>
  <c r="N141" i="67"/>
  <c r="N142" i="67"/>
  <c r="N143" i="67"/>
  <c r="N144" i="67"/>
  <c r="N145" i="67"/>
  <c r="N146" i="67"/>
  <c r="N147" i="67"/>
  <c r="N148" i="67"/>
  <c r="N149" i="67"/>
  <c r="N150" i="67"/>
  <c r="N151" i="67"/>
  <c r="N152" i="67"/>
  <c r="N153" i="67"/>
  <c r="N154" i="67"/>
  <c r="N155" i="67"/>
  <c r="N156" i="67"/>
  <c r="N157" i="67"/>
  <c r="N158" i="67"/>
  <c r="N159" i="67"/>
  <c r="N160" i="67"/>
  <c r="N161" i="67"/>
  <c r="N162" i="67"/>
  <c r="N163" i="67"/>
  <c r="N164" i="67"/>
  <c r="N165" i="67"/>
  <c r="N166" i="67"/>
  <c r="N167" i="67"/>
  <c r="N168" i="67"/>
  <c r="N169" i="67"/>
  <c r="N170" i="67"/>
  <c r="N171" i="67"/>
  <c r="N172" i="67"/>
  <c r="N173" i="67"/>
  <c r="N174" i="67"/>
  <c r="N175" i="67"/>
  <c r="N176" i="67"/>
  <c r="N177" i="67"/>
  <c r="N178" i="67"/>
  <c r="N179" i="67"/>
  <c r="N180" i="67"/>
  <c r="N181" i="67"/>
  <c r="N182" i="67"/>
  <c r="N183" i="67"/>
  <c r="N184" i="67"/>
  <c r="N185" i="67"/>
  <c r="N186" i="67"/>
  <c r="N187" i="67"/>
  <c r="N188" i="67"/>
  <c r="N189" i="67"/>
  <c r="N190" i="67"/>
  <c r="N191" i="67"/>
  <c r="N192" i="67"/>
  <c r="N193" i="67"/>
  <c r="N194" i="67"/>
  <c r="N195" i="67"/>
  <c r="N196" i="67"/>
  <c r="N197" i="67"/>
  <c r="N198" i="67"/>
  <c r="N199" i="67"/>
  <c r="N200" i="67"/>
  <c r="N201" i="67"/>
  <c r="N202" i="67"/>
  <c r="N203" i="67"/>
  <c r="N204" i="67"/>
  <c r="N205" i="67"/>
  <c r="N206" i="67"/>
  <c r="N207" i="67"/>
  <c r="N208" i="67"/>
  <c r="N209" i="67"/>
  <c r="N210" i="67"/>
  <c r="N211" i="67"/>
  <c r="N212" i="67"/>
  <c r="N213" i="67"/>
  <c r="N214" i="67"/>
  <c r="N215" i="67"/>
  <c r="N216" i="67"/>
  <c r="N217" i="67"/>
  <c r="N218" i="67"/>
  <c r="N219" i="67"/>
  <c r="N220" i="67"/>
  <c r="N221" i="67"/>
  <c r="N222" i="67"/>
  <c r="N223" i="67"/>
  <c r="N224" i="67"/>
  <c r="N225" i="67"/>
  <c r="N226" i="67"/>
  <c r="N227" i="67"/>
  <c r="N228" i="67"/>
  <c r="N229" i="67"/>
  <c r="N230" i="67"/>
  <c r="N231" i="67"/>
  <c r="N232" i="67"/>
  <c r="N233" i="67"/>
  <c r="N234" i="67"/>
  <c r="N235" i="67"/>
  <c r="N236" i="67"/>
  <c r="N237" i="67"/>
  <c r="N238" i="67"/>
  <c r="N239" i="67"/>
  <c r="N240" i="67"/>
  <c r="N241" i="67"/>
  <c r="N242" i="67"/>
  <c r="N243" i="67"/>
  <c r="N244" i="67"/>
  <c r="N245" i="67"/>
  <c r="N246" i="67"/>
  <c r="N247" i="67"/>
  <c r="N248" i="67"/>
  <c r="N249" i="67"/>
  <c r="N250" i="67"/>
  <c r="N251" i="67"/>
  <c r="N252" i="67"/>
  <c r="N253" i="67"/>
  <c r="N254" i="67"/>
  <c r="N255" i="67"/>
  <c r="N256" i="67"/>
  <c r="N257" i="67"/>
  <c r="N10" i="67"/>
  <c r="L11" i="67"/>
  <c r="L12" i="67"/>
  <c r="L13" i="67"/>
  <c r="L14" i="67"/>
  <c r="L15" i="67"/>
  <c r="L16" i="67"/>
  <c r="L17" i="67"/>
  <c r="L18" i="67"/>
  <c r="L19" i="67"/>
  <c r="L20" i="67"/>
  <c r="L21" i="67"/>
  <c r="L22" i="67"/>
  <c r="L23" i="67"/>
  <c r="L24" i="67"/>
  <c r="L25" i="67"/>
  <c r="L26" i="67"/>
  <c r="L27" i="67"/>
  <c r="L28" i="67"/>
  <c r="L29" i="67"/>
  <c r="L30" i="67"/>
  <c r="L31" i="67"/>
  <c r="L32" i="67"/>
  <c r="L33" i="67"/>
  <c r="L34" i="67"/>
  <c r="L35" i="67"/>
  <c r="L36" i="67"/>
  <c r="L37" i="67"/>
  <c r="L38" i="67"/>
  <c r="L39" i="67"/>
  <c r="L40" i="67"/>
  <c r="L41" i="67"/>
  <c r="L42" i="67"/>
  <c r="L43" i="67"/>
  <c r="L44" i="67"/>
  <c r="L45" i="67"/>
  <c r="L46" i="67"/>
  <c r="L47" i="67"/>
  <c r="L48" i="67"/>
  <c r="L49" i="67"/>
  <c r="L50" i="67"/>
  <c r="L51" i="67"/>
  <c r="L52" i="67"/>
  <c r="L53" i="67"/>
  <c r="L54" i="67"/>
  <c r="L55" i="67"/>
  <c r="L56" i="67"/>
  <c r="L57" i="67"/>
  <c r="L58" i="67"/>
  <c r="L59" i="67"/>
  <c r="L60" i="67"/>
  <c r="L61" i="67"/>
  <c r="L62" i="67"/>
  <c r="L63" i="67"/>
  <c r="L64" i="67"/>
  <c r="L65" i="67"/>
  <c r="L66" i="67"/>
  <c r="L67" i="67"/>
  <c r="L68" i="67"/>
  <c r="L69" i="67"/>
  <c r="L70" i="67"/>
  <c r="L71" i="67"/>
  <c r="L72" i="67"/>
  <c r="L73" i="67"/>
  <c r="L74" i="67"/>
  <c r="L75" i="67"/>
  <c r="L76" i="67"/>
  <c r="L77" i="67"/>
  <c r="L78" i="67"/>
  <c r="L79" i="67"/>
  <c r="L80" i="67"/>
  <c r="L81" i="67"/>
  <c r="L82" i="67"/>
  <c r="L83" i="67"/>
  <c r="L84" i="67"/>
  <c r="L85" i="67"/>
  <c r="L86" i="67"/>
  <c r="L87" i="67"/>
  <c r="L88" i="67"/>
  <c r="L89" i="67"/>
  <c r="L90" i="67"/>
  <c r="L91" i="67"/>
  <c r="L92" i="67"/>
  <c r="L93" i="67"/>
  <c r="L94" i="67"/>
  <c r="L95" i="67"/>
  <c r="L96" i="67"/>
  <c r="L97" i="67"/>
  <c r="L98" i="67"/>
  <c r="L99" i="67"/>
  <c r="L100" i="67"/>
  <c r="L101" i="67"/>
  <c r="L102" i="67"/>
  <c r="L103" i="67"/>
  <c r="L104" i="67"/>
  <c r="L105" i="67"/>
  <c r="L106" i="67"/>
  <c r="L107" i="67"/>
  <c r="L108" i="67"/>
  <c r="L109" i="67"/>
  <c r="L110" i="67"/>
  <c r="L111" i="67"/>
  <c r="L112" i="67"/>
  <c r="L113" i="67"/>
  <c r="L114" i="67"/>
  <c r="L115" i="67"/>
  <c r="L116" i="67"/>
  <c r="L117" i="67"/>
  <c r="L118" i="67"/>
  <c r="L119" i="67"/>
  <c r="L120" i="67"/>
  <c r="L121" i="67"/>
  <c r="L122" i="67"/>
  <c r="L123" i="67"/>
  <c r="L124" i="67"/>
  <c r="L125" i="67"/>
  <c r="L126" i="67"/>
  <c r="L127" i="67"/>
  <c r="L128" i="67"/>
  <c r="L129" i="67"/>
  <c r="L130" i="67"/>
  <c r="L131" i="67"/>
  <c r="L132" i="67"/>
  <c r="L133" i="67"/>
  <c r="L134" i="67"/>
  <c r="L135" i="67"/>
  <c r="L136" i="67"/>
  <c r="L137" i="67"/>
  <c r="L138" i="67"/>
  <c r="L139" i="67"/>
  <c r="L140" i="67"/>
  <c r="L141" i="67"/>
  <c r="L142" i="67"/>
  <c r="L143" i="67"/>
  <c r="L144" i="67"/>
  <c r="L145" i="67"/>
  <c r="L146" i="67"/>
  <c r="L147" i="67"/>
  <c r="L148" i="67"/>
  <c r="L149" i="67"/>
  <c r="L150" i="67"/>
  <c r="L151" i="67"/>
  <c r="L152" i="67"/>
  <c r="L153" i="67"/>
  <c r="L154" i="67"/>
  <c r="L155" i="67"/>
  <c r="L156" i="67"/>
  <c r="L157" i="67"/>
  <c r="L158" i="67"/>
  <c r="L159" i="67"/>
  <c r="L160" i="67"/>
  <c r="L161" i="67"/>
  <c r="L162" i="67"/>
  <c r="L163" i="67"/>
  <c r="L164" i="67"/>
  <c r="L165" i="67"/>
  <c r="L166" i="67"/>
  <c r="L167" i="67"/>
  <c r="L168" i="67"/>
  <c r="L169" i="67"/>
  <c r="L170" i="67"/>
  <c r="L171" i="67"/>
  <c r="L172" i="67"/>
  <c r="L173" i="67"/>
  <c r="L174" i="67"/>
  <c r="L175" i="67"/>
  <c r="L176" i="67"/>
  <c r="L177" i="67"/>
  <c r="L178" i="67"/>
  <c r="L179" i="67"/>
  <c r="L180" i="67"/>
  <c r="L181" i="67"/>
  <c r="L182" i="67"/>
  <c r="L183" i="67"/>
  <c r="L184" i="67"/>
  <c r="L185" i="67"/>
  <c r="L186" i="67"/>
  <c r="L187" i="67"/>
  <c r="L188" i="67"/>
  <c r="L189" i="67"/>
  <c r="L190" i="67"/>
  <c r="L191" i="67"/>
  <c r="L192" i="67"/>
  <c r="L193" i="67"/>
  <c r="L194" i="67"/>
  <c r="L195" i="67"/>
  <c r="L196" i="67"/>
  <c r="L197" i="67"/>
  <c r="L198" i="67"/>
  <c r="L199" i="67"/>
  <c r="L200" i="67"/>
  <c r="L201" i="67"/>
  <c r="L202" i="67"/>
  <c r="L203" i="67"/>
  <c r="L204" i="67"/>
  <c r="L205" i="67"/>
  <c r="L206" i="67"/>
  <c r="L207" i="67"/>
  <c r="L208" i="67"/>
  <c r="L209" i="67"/>
  <c r="L210" i="67"/>
  <c r="L211" i="67"/>
  <c r="L212" i="67"/>
  <c r="L213" i="67"/>
  <c r="L214" i="67"/>
  <c r="L215" i="67"/>
  <c r="L216" i="67"/>
  <c r="L217" i="67"/>
  <c r="L218" i="67"/>
  <c r="L219" i="67"/>
  <c r="L220" i="67"/>
  <c r="L221" i="67"/>
  <c r="L222" i="67"/>
  <c r="L223" i="67"/>
  <c r="L224" i="67"/>
  <c r="L225" i="67"/>
  <c r="L226" i="67"/>
  <c r="L227" i="67"/>
  <c r="L228" i="67"/>
  <c r="L229" i="67"/>
  <c r="L230" i="67"/>
  <c r="L231" i="67"/>
  <c r="L232" i="67"/>
  <c r="L233" i="67"/>
  <c r="L234" i="67"/>
  <c r="L235" i="67"/>
  <c r="L236" i="67"/>
  <c r="L237" i="67"/>
  <c r="L238" i="67"/>
  <c r="L239" i="67"/>
  <c r="L240" i="67"/>
  <c r="L241" i="67"/>
  <c r="L242" i="67"/>
  <c r="L243" i="67"/>
  <c r="L244" i="67"/>
  <c r="L245" i="67"/>
  <c r="L246" i="67"/>
  <c r="L247" i="67"/>
  <c r="L248" i="67"/>
  <c r="L249" i="67"/>
  <c r="L250" i="67"/>
  <c r="L251" i="67"/>
  <c r="L252" i="67"/>
  <c r="L253" i="67"/>
  <c r="L254" i="67"/>
  <c r="L255" i="67"/>
  <c r="L256" i="67"/>
  <c r="L257" i="67"/>
  <c r="L10" i="67"/>
  <c r="K11" i="67"/>
  <c r="K12" i="67"/>
  <c r="K13" i="67"/>
  <c r="K14" i="67"/>
  <c r="K15" i="67"/>
  <c r="K16" i="67"/>
  <c r="K17" i="67"/>
  <c r="K18" i="67"/>
  <c r="K19" i="67"/>
  <c r="K20" i="67"/>
  <c r="K21" i="67"/>
  <c r="K22" i="67"/>
  <c r="K23" i="67"/>
  <c r="K24" i="67"/>
  <c r="K25" i="67"/>
  <c r="K26" i="67"/>
  <c r="K27" i="67"/>
  <c r="K28" i="67"/>
  <c r="K29" i="67"/>
  <c r="K30" i="67"/>
  <c r="K31" i="67"/>
  <c r="K32" i="67"/>
  <c r="K33" i="67"/>
  <c r="K34" i="67"/>
  <c r="K35" i="67"/>
  <c r="K36" i="67"/>
  <c r="K37" i="67"/>
  <c r="K38" i="67"/>
  <c r="K39" i="67"/>
  <c r="K40" i="67"/>
  <c r="K41" i="67"/>
  <c r="K42" i="67"/>
  <c r="K43" i="67"/>
  <c r="K44" i="67"/>
  <c r="K45" i="67"/>
  <c r="K46" i="67"/>
  <c r="K47" i="67"/>
  <c r="K48" i="67"/>
  <c r="K49" i="67"/>
  <c r="K50" i="67"/>
  <c r="K51" i="67"/>
  <c r="K52" i="67"/>
  <c r="K53" i="67"/>
  <c r="K54" i="67"/>
  <c r="K55" i="67"/>
  <c r="K56" i="67"/>
  <c r="K57" i="67"/>
  <c r="K58" i="67"/>
  <c r="K59" i="67"/>
  <c r="K60" i="67"/>
  <c r="K61" i="67"/>
  <c r="K62" i="67"/>
  <c r="K63" i="67"/>
  <c r="K64" i="67"/>
  <c r="K65" i="67"/>
  <c r="K66" i="67"/>
  <c r="K67" i="67"/>
  <c r="K68" i="67"/>
  <c r="K69" i="67"/>
  <c r="K70" i="67"/>
  <c r="K71" i="67"/>
  <c r="K72" i="67"/>
  <c r="K73" i="67"/>
  <c r="K74" i="67"/>
  <c r="K75" i="67"/>
  <c r="K76" i="67"/>
  <c r="K77" i="67"/>
  <c r="K78" i="67"/>
  <c r="K79" i="67"/>
  <c r="K80" i="67"/>
  <c r="K81" i="67"/>
  <c r="K82" i="67"/>
  <c r="K83" i="67"/>
  <c r="K84" i="67"/>
  <c r="K85" i="67"/>
  <c r="K86" i="67"/>
  <c r="K87" i="67"/>
  <c r="K88" i="67"/>
  <c r="K89" i="67"/>
  <c r="K90" i="67"/>
  <c r="K91" i="67"/>
  <c r="K92" i="67"/>
  <c r="K93" i="67"/>
  <c r="K94" i="67"/>
  <c r="K95" i="67"/>
  <c r="K96" i="67"/>
  <c r="K97" i="67"/>
  <c r="K98" i="67"/>
  <c r="K99" i="67"/>
  <c r="K100" i="67"/>
  <c r="K101" i="67"/>
  <c r="K102" i="67"/>
  <c r="K103" i="67"/>
  <c r="K104" i="67"/>
  <c r="K105" i="67"/>
  <c r="K106" i="67"/>
  <c r="K107" i="67"/>
  <c r="K108" i="67"/>
  <c r="K109" i="67"/>
  <c r="K110" i="67"/>
  <c r="K111" i="67"/>
  <c r="K112" i="67"/>
  <c r="K113" i="67"/>
  <c r="K114" i="67"/>
  <c r="K115" i="67"/>
  <c r="K116" i="67"/>
  <c r="K117" i="67"/>
  <c r="K118" i="67"/>
  <c r="K119" i="67"/>
  <c r="K120" i="67"/>
  <c r="K121" i="67"/>
  <c r="K122" i="67"/>
  <c r="K123" i="67"/>
  <c r="K124" i="67"/>
  <c r="K125" i="67"/>
  <c r="K126" i="67"/>
  <c r="K127" i="67"/>
  <c r="K128" i="67"/>
  <c r="K129" i="67"/>
  <c r="K130" i="67"/>
  <c r="K131" i="67"/>
  <c r="K132" i="67"/>
  <c r="K133" i="67"/>
  <c r="K134" i="67"/>
  <c r="K135" i="67"/>
  <c r="K136" i="67"/>
  <c r="K137" i="67"/>
  <c r="K138" i="67"/>
  <c r="K139" i="67"/>
  <c r="K140" i="67"/>
  <c r="K141" i="67"/>
  <c r="K142" i="67"/>
  <c r="K143" i="67"/>
  <c r="K144" i="67"/>
  <c r="K145" i="67"/>
  <c r="K146" i="67"/>
  <c r="K147" i="67"/>
  <c r="K148" i="67"/>
  <c r="K149" i="67"/>
  <c r="K150" i="67"/>
  <c r="K151" i="67"/>
  <c r="K152" i="67"/>
  <c r="K153" i="67"/>
  <c r="K154" i="67"/>
  <c r="K155" i="67"/>
  <c r="K156" i="67"/>
  <c r="K157" i="67"/>
  <c r="K158" i="67"/>
  <c r="K159" i="67"/>
  <c r="K160" i="67"/>
  <c r="K161" i="67"/>
  <c r="K162" i="67"/>
  <c r="K163" i="67"/>
  <c r="K164" i="67"/>
  <c r="K165" i="67"/>
  <c r="K166" i="67"/>
  <c r="K167" i="67"/>
  <c r="K168" i="67"/>
  <c r="K169" i="67"/>
  <c r="K170" i="67"/>
  <c r="K171" i="67"/>
  <c r="K172" i="67"/>
  <c r="K173" i="67"/>
  <c r="K174" i="67"/>
  <c r="K175" i="67"/>
  <c r="K176" i="67"/>
  <c r="K177" i="67"/>
  <c r="K178" i="67"/>
  <c r="K179" i="67"/>
  <c r="K180" i="67"/>
  <c r="K181" i="67"/>
  <c r="K182" i="67"/>
  <c r="K183" i="67"/>
  <c r="K184" i="67"/>
  <c r="K185" i="67"/>
  <c r="K186" i="67"/>
  <c r="K187" i="67"/>
  <c r="K188" i="67"/>
  <c r="K189" i="67"/>
  <c r="K190" i="67"/>
  <c r="K191" i="67"/>
  <c r="K192" i="67"/>
  <c r="K193" i="67"/>
  <c r="K194" i="67"/>
  <c r="K195" i="67"/>
  <c r="K196" i="67"/>
  <c r="K197" i="67"/>
  <c r="K198" i="67"/>
  <c r="K199" i="67"/>
  <c r="K200" i="67"/>
  <c r="K201" i="67"/>
  <c r="K202" i="67"/>
  <c r="K203" i="67"/>
  <c r="K204" i="67"/>
  <c r="K205" i="67"/>
  <c r="K206" i="67"/>
  <c r="K207" i="67"/>
  <c r="K208" i="67"/>
  <c r="K209" i="67"/>
  <c r="K210" i="67"/>
  <c r="K211" i="67"/>
  <c r="K212" i="67"/>
  <c r="K213" i="67"/>
  <c r="K214" i="67"/>
  <c r="K215" i="67"/>
  <c r="K216" i="67"/>
  <c r="K217" i="67"/>
  <c r="K218" i="67"/>
  <c r="K219" i="67"/>
  <c r="K220" i="67"/>
  <c r="K221" i="67"/>
  <c r="K222" i="67"/>
  <c r="K223" i="67"/>
  <c r="K224" i="67"/>
  <c r="K225" i="67"/>
  <c r="K226" i="67"/>
  <c r="K227" i="67"/>
  <c r="K228" i="67"/>
  <c r="K229" i="67"/>
  <c r="K230" i="67"/>
  <c r="K231" i="67"/>
  <c r="K232" i="67"/>
  <c r="K233" i="67"/>
  <c r="K234" i="67"/>
  <c r="K235" i="67"/>
  <c r="K236" i="67"/>
  <c r="K237" i="67"/>
  <c r="K238" i="67"/>
  <c r="K239" i="67"/>
  <c r="K240" i="67"/>
  <c r="K241" i="67"/>
  <c r="K242" i="67"/>
  <c r="K243" i="67"/>
  <c r="K244" i="67"/>
  <c r="K245" i="67"/>
  <c r="K246" i="67"/>
  <c r="K247" i="67"/>
  <c r="K248" i="67"/>
  <c r="K249" i="67"/>
  <c r="K250" i="67"/>
  <c r="K251" i="67"/>
  <c r="K252" i="67"/>
  <c r="K253" i="67"/>
  <c r="K254" i="67"/>
  <c r="K255" i="67"/>
  <c r="K256" i="67"/>
  <c r="K257" i="67"/>
  <c r="K10" i="67"/>
  <c r="I10" i="67"/>
  <c r="AL13" i="65"/>
  <c r="AL14" i="65"/>
  <c r="AL15" i="65"/>
  <c r="AL16" i="65"/>
  <c r="AL17" i="65"/>
  <c r="AL18" i="65"/>
  <c r="AL19" i="65"/>
  <c r="AL20" i="65"/>
  <c r="AL21" i="65"/>
  <c r="AL22" i="65"/>
  <c r="AL23" i="65"/>
  <c r="AL24" i="65"/>
  <c r="AL25" i="65"/>
  <c r="AL26" i="65"/>
  <c r="AL27" i="65"/>
  <c r="AL28" i="65"/>
  <c r="AL29" i="65"/>
  <c r="AL30" i="65"/>
  <c r="AL31" i="65"/>
  <c r="AL32" i="65"/>
  <c r="AL33" i="65"/>
  <c r="AL34" i="65"/>
  <c r="AL35" i="65"/>
  <c r="AL36" i="65"/>
  <c r="AL37" i="65"/>
  <c r="AL38" i="65"/>
  <c r="AL39" i="65"/>
  <c r="AL40" i="65"/>
  <c r="AL41" i="65"/>
  <c r="AL42" i="65"/>
  <c r="AL43" i="65"/>
  <c r="AL44" i="65"/>
  <c r="AL45" i="65"/>
  <c r="AL46" i="65"/>
  <c r="AL47" i="65"/>
  <c r="AL48" i="65"/>
  <c r="AL49" i="65"/>
  <c r="AL50" i="65"/>
  <c r="AL51" i="65"/>
  <c r="AL52" i="65"/>
  <c r="AL53" i="65"/>
  <c r="AL54" i="65"/>
  <c r="AL55" i="65"/>
  <c r="AL56" i="65"/>
  <c r="AL57" i="65"/>
  <c r="AL58" i="65"/>
  <c r="AL59" i="65"/>
  <c r="AL60" i="65"/>
  <c r="AL61" i="65"/>
  <c r="AL62" i="65"/>
  <c r="AL63" i="65"/>
  <c r="AL64" i="65"/>
  <c r="AL65" i="65"/>
  <c r="AL66" i="65"/>
  <c r="AL67" i="65"/>
  <c r="AL68" i="65"/>
  <c r="AL69" i="65"/>
  <c r="AL70" i="65"/>
  <c r="AL71" i="65"/>
  <c r="AL72" i="65"/>
  <c r="AL73" i="65"/>
  <c r="AL74" i="65"/>
  <c r="AL75" i="65"/>
  <c r="AL76" i="65"/>
  <c r="AL77" i="65"/>
  <c r="AL78" i="65"/>
  <c r="AL79" i="65"/>
  <c r="AL80" i="65"/>
  <c r="AL81" i="65"/>
  <c r="AL82" i="65"/>
  <c r="AL83" i="65"/>
  <c r="AL84" i="65"/>
  <c r="AL85" i="65"/>
  <c r="AL86" i="65"/>
  <c r="AL87" i="65"/>
  <c r="AL88" i="65"/>
  <c r="AL89" i="65"/>
  <c r="AL90" i="65"/>
  <c r="AL91" i="65"/>
  <c r="AL92" i="65"/>
  <c r="AL93" i="65"/>
  <c r="AL94" i="65"/>
  <c r="AL95" i="65"/>
  <c r="AL96" i="65"/>
  <c r="AL97" i="65"/>
  <c r="AL98" i="65"/>
  <c r="AL99" i="65"/>
  <c r="AL100" i="65"/>
  <c r="AL101" i="65"/>
  <c r="AL102" i="65"/>
  <c r="AL103" i="65"/>
  <c r="AL104" i="65"/>
  <c r="AL105" i="65"/>
  <c r="AL106" i="65"/>
  <c r="AL107" i="65"/>
  <c r="AL108" i="65"/>
  <c r="AL109" i="65"/>
  <c r="AL110" i="65"/>
  <c r="AL111" i="65"/>
  <c r="AL112" i="65"/>
  <c r="AL113" i="65"/>
  <c r="AL114" i="65"/>
  <c r="AL115" i="65"/>
  <c r="AL116" i="65"/>
  <c r="AL117" i="65"/>
  <c r="AL118" i="65"/>
  <c r="AL119" i="65"/>
  <c r="AL120" i="65"/>
  <c r="AL121" i="65"/>
  <c r="AL122" i="65"/>
  <c r="AL123" i="65"/>
  <c r="AL124" i="65"/>
  <c r="AL125" i="65"/>
  <c r="AL126" i="65"/>
  <c r="AL127" i="65"/>
  <c r="AL128" i="65"/>
  <c r="AL129" i="65"/>
  <c r="AL130" i="65"/>
  <c r="AL131" i="65"/>
  <c r="AL132" i="65"/>
  <c r="AL133" i="65"/>
  <c r="AL134" i="65"/>
  <c r="AL135" i="65"/>
  <c r="AL136" i="65"/>
  <c r="AL137" i="65"/>
  <c r="AL138" i="65"/>
  <c r="AL139" i="65"/>
  <c r="AL140" i="65"/>
  <c r="AL141" i="65"/>
  <c r="AL142" i="65"/>
  <c r="AL143" i="65"/>
  <c r="AL144" i="65"/>
  <c r="AL145" i="65"/>
  <c r="AL146" i="65"/>
  <c r="AL147" i="65"/>
  <c r="AL148" i="65"/>
  <c r="AL149" i="65"/>
  <c r="AL150" i="65"/>
  <c r="AL151" i="65"/>
  <c r="AL152" i="65"/>
  <c r="AL153" i="65"/>
  <c r="AL154" i="65"/>
  <c r="AL155" i="65"/>
  <c r="AL156" i="65"/>
  <c r="AL157" i="65"/>
  <c r="AL158" i="65"/>
  <c r="AL159" i="65"/>
  <c r="AL160" i="65"/>
  <c r="AL161" i="65"/>
  <c r="AL162" i="65"/>
  <c r="AL163" i="65"/>
  <c r="AL164" i="65"/>
  <c r="AL165" i="65"/>
  <c r="AL166" i="65"/>
  <c r="AL167" i="65"/>
  <c r="AL168" i="65"/>
  <c r="AL169" i="65"/>
  <c r="AL170" i="65"/>
  <c r="AL171" i="65"/>
  <c r="AL172" i="65"/>
  <c r="AL173" i="65"/>
  <c r="AL174" i="65"/>
  <c r="AL175" i="65"/>
  <c r="AL176" i="65"/>
  <c r="AL177" i="65"/>
  <c r="AL178" i="65"/>
  <c r="AL179" i="65"/>
  <c r="AL180" i="65"/>
  <c r="AL181" i="65"/>
  <c r="AL182" i="65"/>
  <c r="AL183" i="65"/>
  <c r="AL184" i="65"/>
  <c r="AL185" i="65"/>
  <c r="AL186" i="65"/>
  <c r="AL187" i="65"/>
  <c r="AL188" i="65"/>
  <c r="AL189" i="65"/>
  <c r="AL190" i="65"/>
  <c r="AL191" i="65"/>
  <c r="AL192" i="65"/>
  <c r="AL193" i="65"/>
  <c r="AL194" i="65"/>
  <c r="AL195" i="65"/>
  <c r="AL196" i="65"/>
  <c r="AL197" i="65"/>
  <c r="AL198" i="65"/>
  <c r="AL199" i="65"/>
  <c r="AL200" i="65"/>
  <c r="AL201" i="65"/>
  <c r="AL202" i="65"/>
  <c r="AL203" i="65"/>
  <c r="AL204" i="65"/>
  <c r="AL205" i="65"/>
  <c r="AL206" i="65"/>
  <c r="AL207" i="65"/>
  <c r="AL208" i="65"/>
  <c r="AL209" i="65"/>
  <c r="AL210" i="65"/>
  <c r="AL211" i="65"/>
  <c r="AL212" i="65"/>
  <c r="AL213" i="65"/>
  <c r="AL214" i="65"/>
  <c r="AL215" i="65"/>
  <c r="AL216" i="65"/>
  <c r="AL217" i="65"/>
  <c r="AL218" i="65"/>
  <c r="AL219" i="65"/>
  <c r="AL220" i="65"/>
  <c r="AL221" i="65"/>
  <c r="AL222" i="65"/>
  <c r="AL223" i="65"/>
  <c r="AL224" i="65"/>
  <c r="AL225" i="65"/>
  <c r="AL226" i="65"/>
  <c r="AL227" i="65"/>
  <c r="AL228" i="65"/>
  <c r="AL229" i="65"/>
  <c r="AL230" i="65"/>
  <c r="AL231" i="65"/>
  <c r="AL232" i="65"/>
  <c r="AL233" i="65"/>
  <c r="AL234" i="65"/>
  <c r="AL235" i="65"/>
  <c r="AL236" i="65"/>
  <c r="AL237" i="65"/>
  <c r="AL238" i="65"/>
  <c r="AL239" i="65"/>
  <c r="AL240" i="65"/>
  <c r="AL241" i="65"/>
  <c r="AL242" i="65"/>
  <c r="AL243" i="65"/>
  <c r="AL244" i="65"/>
  <c r="AL245" i="65"/>
  <c r="AL246" i="65"/>
  <c r="AL247" i="65"/>
  <c r="AL248" i="65"/>
  <c r="AL249" i="65"/>
  <c r="AL250" i="65"/>
  <c r="AL251" i="65"/>
  <c r="AL252" i="65"/>
  <c r="AL253" i="65"/>
  <c r="AL254" i="65"/>
  <c r="AL255" i="65"/>
  <c r="AL256" i="65"/>
  <c r="AL257" i="65"/>
  <c r="AL12" i="65"/>
  <c r="AJ12" i="65"/>
  <c r="AJ13" i="65"/>
  <c r="AJ14" i="65"/>
  <c r="AJ15" i="65"/>
  <c r="AJ16" i="65"/>
  <c r="AJ17" i="65"/>
  <c r="AJ18" i="65"/>
  <c r="AJ19" i="65"/>
  <c r="AJ20" i="65"/>
  <c r="AJ21" i="65"/>
  <c r="AJ22" i="65"/>
  <c r="AJ23" i="65"/>
  <c r="AJ24" i="65"/>
  <c r="AJ25" i="65"/>
  <c r="AJ26" i="65"/>
  <c r="AJ27" i="65"/>
  <c r="AJ28" i="65"/>
  <c r="AJ29" i="65"/>
  <c r="AJ30" i="65"/>
  <c r="AJ31" i="65"/>
  <c r="AJ32" i="65"/>
  <c r="AJ33" i="65"/>
  <c r="AJ34" i="65"/>
  <c r="AJ35" i="65"/>
  <c r="AJ36" i="65"/>
  <c r="AJ37" i="65"/>
  <c r="AJ38" i="65"/>
  <c r="AJ39" i="65"/>
  <c r="AJ40" i="65"/>
  <c r="AJ41" i="65"/>
  <c r="AJ42" i="65"/>
  <c r="AJ43" i="65"/>
  <c r="AJ44" i="65"/>
  <c r="AJ45" i="65"/>
  <c r="AJ46" i="65"/>
  <c r="AJ47" i="65"/>
  <c r="AJ48" i="65"/>
  <c r="AJ49" i="65"/>
  <c r="AJ50" i="65"/>
  <c r="AJ51" i="65"/>
  <c r="AJ52" i="65"/>
  <c r="AJ53" i="65"/>
  <c r="AJ54" i="65"/>
  <c r="AJ55" i="65"/>
  <c r="AJ56" i="65"/>
  <c r="AJ57" i="65"/>
  <c r="AJ58" i="65"/>
  <c r="AJ59" i="65"/>
  <c r="AJ60" i="65"/>
  <c r="AJ61" i="65"/>
  <c r="AJ62" i="65"/>
  <c r="AJ63" i="65"/>
  <c r="AJ64" i="65"/>
  <c r="AJ65" i="65"/>
  <c r="AJ66" i="65"/>
  <c r="AJ67" i="65"/>
  <c r="AJ68" i="65"/>
  <c r="AJ69" i="65"/>
  <c r="AJ70" i="65"/>
  <c r="AJ71" i="65"/>
  <c r="AJ72" i="65"/>
  <c r="AJ73" i="65"/>
  <c r="AJ74" i="65"/>
  <c r="AJ75" i="65"/>
  <c r="AJ76" i="65"/>
  <c r="AJ77" i="65"/>
  <c r="AJ78" i="65"/>
  <c r="AJ79" i="65"/>
  <c r="AJ80" i="65"/>
  <c r="AJ81" i="65"/>
  <c r="AJ82" i="65"/>
  <c r="AJ83" i="65"/>
  <c r="AJ84" i="65"/>
  <c r="AJ85" i="65"/>
  <c r="AJ86" i="65"/>
  <c r="AJ87" i="65"/>
  <c r="AJ88" i="65"/>
  <c r="AJ89" i="65"/>
  <c r="AJ90" i="65"/>
  <c r="AJ91" i="65"/>
  <c r="AJ92" i="65"/>
  <c r="AJ93" i="65"/>
  <c r="AJ94" i="65"/>
  <c r="AJ95" i="65"/>
  <c r="AJ96" i="65"/>
  <c r="AJ97" i="65"/>
  <c r="AJ98" i="65"/>
  <c r="AJ99" i="65"/>
  <c r="AJ100" i="65"/>
  <c r="AJ101" i="65"/>
  <c r="AJ102" i="65"/>
  <c r="AJ103" i="65"/>
  <c r="AJ104" i="65"/>
  <c r="AJ105" i="65"/>
  <c r="AJ106" i="65"/>
  <c r="AJ107" i="65"/>
  <c r="AJ108" i="65"/>
  <c r="AJ109" i="65"/>
  <c r="AJ110" i="65"/>
  <c r="AJ111" i="65"/>
  <c r="AJ112" i="65"/>
  <c r="AJ113" i="65"/>
  <c r="AJ114" i="65"/>
  <c r="AJ115" i="65"/>
  <c r="AJ116" i="65"/>
  <c r="AJ117" i="65"/>
  <c r="AJ118" i="65"/>
  <c r="AJ119" i="65"/>
  <c r="AJ120" i="65"/>
  <c r="AJ121" i="65"/>
  <c r="AJ122" i="65"/>
  <c r="AJ123" i="65"/>
  <c r="AJ124" i="65"/>
  <c r="AJ125" i="65"/>
  <c r="AJ126" i="65"/>
  <c r="AJ127" i="65"/>
  <c r="AJ128" i="65"/>
  <c r="AJ129" i="65"/>
  <c r="AJ130" i="65"/>
  <c r="AJ131" i="65"/>
  <c r="AJ132" i="65"/>
  <c r="AJ133" i="65"/>
  <c r="AJ134" i="65"/>
  <c r="AJ135" i="65"/>
  <c r="AJ136" i="65"/>
  <c r="AJ137" i="65"/>
  <c r="AJ138" i="65"/>
  <c r="AJ139" i="65"/>
  <c r="AJ140" i="65"/>
  <c r="AJ141" i="65"/>
  <c r="AJ142" i="65"/>
  <c r="AJ143" i="65"/>
  <c r="AJ144" i="65"/>
  <c r="AJ145" i="65"/>
  <c r="AJ146" i="65"/>
  <c r="AJ147" i="65"/>
  <c r="AJ148" i="65"/>
  <c r="AJ149" i="65"/>
  <c r="AJ150" i="65"/>
  <c r="AJ151" i="65"/>
  <c r="AJ152" i="65"/>
  <c r="AJ153" i="65"/>
  <c r="AJ154" i="65"/>
  <c r="AJ155" i="65"/>
  <c r="AJ156" i="65"/>
  <c r="AJ157" i="65"/>
  <c r="AJ158" i="65"/>
  <c r="AJ159" i="65"/>
  <c r="AJ160" i="65"/>
  <c r="AJ161" i="65"/>
  <c r="AJ162" i="65"/>
  <c r="AJ163" i="65"/>
  <c r="AJ164" i="65"/>
  <c r="AJ165" i="65"/>
  <c r="AJ166" i="65"/>
  <c r="AJ167" i="65"/>
  <c r="AJ168" i="65"/>
  <c r="AJ169" i="65"/>
  <c r="AJ170" i="65"/>
  <c r="AJ171" i="65"/>
  <c r="AJ172" i="65"/>
  <c r="AJ173" i="65"/>
  <c r="AJ174" i="65"/>
  <c r="AJ175" i="65"/>
  <c r="AJ176" i="65"/>
  <c r="AJ177" i="65"/>
  <c r="AJ178" i="65"/>
  <c r="AJ179" i="65"/>
  <c r="AJ180" i="65"/>
  <c r="AJ181" i="65"/>
  <c r="AJ182" i="65"/>
  <c r="AJ183" i="65"/>
  <c r="AJ184" i="65"/>
  <c r="AJ185" i="65"/>
  <c r="AJ186" i="65"/>
  <c r="AJ187" i="65"/>
  <c r="AJ188" i="65"/>
  <c r="AJ189" i="65"/>
  <c r="AJ190" i="65"/>
  <c r="AJ191" i="65"/>
  <c r="AJ192" i="65"/>
  <c r="AJ193" i="65"/>
  <c r="AJ194" i="65"/>
  <c r="AJ195" i="65"/>
  <c r="AJ196" i="65"/>
  <c r="AJ197" i="65"/>
  <c r="AJ198" i="65"/>
  <c r="AJ199" i="65"/>
  <c r="AJ200" i="65"/>
  <c r="AJ201" i="65"/>
  <c r="AJ202" i="65"/>
  <c r="AJ203" i="65"/>
  <c r="AJ204" i="65"/>
  <c r="AJ205" i="65"/>
  <c r="AJ206" i="65"/>
  <c r="AJ207" i="65"/>
  <c r="AJ208" i="65"/>
  <c r="AJ209" i="65"/>
  <c r="AJ210" i="65"/>
  <c r="AJ211" i="65"/>
  <c r="AJ212" i="65"/>
  <c r="AJ213" i="65"/>
  <c r="AJ214" i="65"/>
  <c r="AJ215" i="65"/>
  <c r="AJ216" i="65"/>
  <c r="AJ217" i="65"/>
  <c r="AJ218" i="65"/>
  <c r="AJ219" i="65"/>
  <c r="AJ220" i="65"/>
  <c r="AJ221" i="65"/>
  <c r="AJ222" i="65"/>
  <c r="AJ223" i="65"/>
  <c r="AJ224" i="65"/>
  <c r="AJ225" i="65"/>
  <c r="AJ226" i="65"/>
  <c r="AJ227" i="65"/>
  <c r="AJ228" i="65"/>
  <c r="AJ229" i="65"/>
  <c r="AJ230" i="65"/>
  <c r="AJ231" i="65"/>
  <c r="AJ232" i="65"/>
  <c r="AJ233" i="65"/>
  <c r="AJ234" i="65"/>
  <c r="AJ235" i="65"/>
  <c r="AJ236" i="65"/>
  <c r="AJ237" i="65"/>
  <c r="AJ238" i="65"/>
  <c r="AJ239" i="65"/>
  <c r="AJ240" i="65"/>
  <c r="AJ241" i="65"/>
  <c r="AJ242" i="65"/>
  <c r="AJ243" i="65"/>
  <c r="AJ244" i="65"/>
  <c r="AJ245" i="65"/>
  <c r="AJ246" i="65"/>
  <c r="AJ247" i="65"/>
  <c r="AJ248" i="65"/>
  <c r="AJ249" i="65"/>
  <c r="AJ250" i="65"/>
  <c r="AJ251" i="65"/>
  <c r="AJ252" i="65"/>
  <c r="AJ253" i="65"/>
  <c r="AJ254" i="65"/>
  <c r="AJ255" i="65"/>
  <c r="AJ256" i="65"/>
  <c r="AJ257" i="65"/>
  <c r="AF40" i="65"/>
  <c r="X13" i="65"/>
  <c r="X14" i="65"/>
  <c r="X15" i="65"/>
  <c r="X16" i="65"/>
  <c r="X17" i="65"/>
  <c r="X18" i="65"/>
  <c r="X19" i="65"/>
  <c r="X20" i="65"/>
  <c r="X21" i="65"/>
  <c r="X22" i="65"/>
  <c r="X23" i="65"/>
  <c r="X24" i="65"/>
  <c r="X25" i="65"/>
  <c r="X26" i="65"/>
  <c r="X27" i="65"/>
  <c r="X28" i="65"/>
  <c r="X29" i="65"/>
  <c r="X30" i="65"/>
  <c r="X31" i="65"/>
  <c r="X32" i="65"/>
  <c r="X33" i="65"/>
  <c r="X34" i="65"/>
  <c r="X35" i="65"/>
  <c r="X36" i="65"/>
  <c r="X37" i="65"/>
  <c r="X38" i="65"/>
  <c r="X39" i="65"/>
  <c r="X40" i="65"/>
  <c r="X41" i="65"/>
  <c r="X42" i="65"/>
  <c r="X43" i="65"/>
  <c r="X44" i="65"/>
  <c r="X45" i="65"/>
  <c r="X46" i="65"/>
  <c r="X47" i="65"/>
  <c r="X48" i="65"/>
  <c r="X49" i="65"/>
  <c r="X50" i="65"/>
  <c r="X51" i="65"/>
  <c r="X52" i="65"/>
  <c r="X53" i="65"/>
  <c r="X54" i="65"/>
  <c r="X55" i="65"/>
  <c r="X56" i="65"/>
  <c r="X57" i="65"/>
  <c r="X58" i="65"/>
  <c r="X59" i="65"/>
  <c r="X60" i="65"/>
  <c r="X61" i="65"/>
  <c r="X62" i="65"/>
  <c r="X63" i="65"/>
  <c r="X64" i="65"/>
  <c r="X65" i="65"/>
  <c r="X66" i="65"/>
  <c r="X67" i="65"/>
  <c r="X68" i="65"/>
  <c r="X69" i="65"/>
  <c r="X70" i="65"/>
  <c r="X71" i="65"/>
  <c r="X72" i="65"/>
  <c r="X73" i="65"/>
  <c r="X74" i="65"/>
  <c r="X75" i="65"/>
  <c r="X76" i="65"/>
  <c r="X77" i="65"/>
  <c r="X78" i="65"/>
  <c r="X79" i="65"/>
  <c r="X80" i="65"/>
  <c r="X81" i="65"/>
  <c r="X82" i="65"/>
  <c r="X83" i="65"/>
  <c r="X84" i="65"/>
  <c r="X85" i="65"/>
  <c r="X86" i="65"/>
  <c r="X87" i="65"/>
  <c r="X88" i="65"/>
  <c r="X89" i="65"/>
  <c r="X90" i="65"/>
  <c r="X91" i="65"/>
  <c r="X92" i="65"/>
  <c r="X93" i="65"/>
  <c r="X94" i="65"/>
  <c r="X95" i="65"/>
  <c r="X96" i="65"/>
  <c r="X97" i="65"/>
  <c r="X98" i="65"/>
  <c r="X99" i="65"/>
  <c r="X100" i="65"/>
  <c r="X101" i="65"/>
  <c r="X102" i="65"/>
  <c r="X103" i="65"/>
  <c r="X104" i="65"/>
  <c r="X105" i="65"/>
  <c r="X106" i="65"/>
  <c r="X107" i="65"/>
  <c r="X108" i="65"/>
  <c r="X109" i="65"/>
  <c r="X110" i="65"/>
  <c r="X111" i="65"/>
  <c r="X112" i="65"/>
  <c r="X113" i="65"/>
  <c r="X114" i="65"/>
  <c r="X115" i="65"/>
  <c r="X116" i="65"/>
  <c r="X117" i="65"/>
  <c r="X118" i="65"/>
  <c r="X119" i="65"/>
  <c r="X120" i="65"/>
  <c r="X121" i="65"/>
  <c r="X122" i="65"/>
  <c r="X123" i="65"/>
  <c r="X124" i="65"/>
  <c r="X125" i="65"/>
  <c r="X126" i="65"/>
  <c r="X127" i="65"/>
  <c r="X128" i="65"/>
  <c r="X129" i="65"/>
  <c r="X130" i="65"/>
  <c r="X131" i="65"/>
  <c r="X132" i="65"/>
  <c r="X133" i="65"/>
  <c r="X134" i="65"/>
  <c r="X135" i="65"/>
  <c r="X136" i="65"/>
  <c r="X137" i="65"/>
  <c r="X138" i="65"/>
  <c r="X139" i="65"/>
  <c r="X140" i="65"/>
  <c r="X141" i="65"/>
  <c r="X142" i="65"/>
  <c r="X143" i="65"/>
  <c r="X144" i="65"/>
  <c r="X145" i="65"/>
  <c r="X146" i="65"/>
  <c r="X147" i="65"/>
  <c r="X148" i="65"/>
  <c r="X149" i="65"/>
  <c r="X150" i="65"/>
  <c r="X151" i="65"/>
  <c r="X152" i="65"/>
  <c r="X153" i="65"/>
  <c r="X154" i="65"/>
  <c r="X155" i="65"/>
  <c r="X156" i="65"/>
  <c r="X157" i="65"/>
  <c r="X158" i="65"/>
  <c r="X159" i="65"/>
  <c r="X160" i="65"/>
  <c r="X161" i="65"/>
  <c r="X162" i="65"/>
  <c r="X163" i="65"/>
  <c r="X164" i="65"/>
  <c r="X165" i="65"/>
  <c r="X166" i="65"/>
  <c r="X167" i="65"/>
  <c r="X168" i="65"/>
  <c r="X169" i="65"/>
  <c r="X170" i="65"/>
  <c r="X171" i="65"/>
  <c r="X172" i="65"/>
  <c r="X173" i="65"/>
  <c r="X174" i="65"/>
  <c r="X175" i="65"/>
  <c r="X176" i="65"/>
  <c r="X177" i="65"/>
  <c r="X178" i="65"/>
  <c r="X179" i="65"/>
  <c r="X180" i="65"/>
  <c r="X181" i="65"/>
  <c r="X182" i="65"/>
  <c r="X183" i="65"/>
  <c r="X184" i="65"/>
  <c r="X185" i="65"/>
  <c r="X186" i="65"/>
  <c r="X187" i="65"/>
  <c r="X188" i="65"/>
  <c r="X189" i="65"/>
  <c r="X190" i="65"/>
  <c r="X191" i="65"/>
  <c r="X192" i="65"/>
  <c r="X193" i="65"/>
  <c r="X194" i="65"/>
  <c r="X195" i="65"/>
  <c r="X196" i="65"/>
  <c r="X197" i="65"/>
  <c r="X198" i="65"/>
  <c r="X199" i="65"/>
  <c r="X200" i="65"/>
  <c r="X201" i="65"/>
  <c r="X202" i="65"/>
  <c r="X203" i="65"/>
  <c r="X204" i="65"/>
  <c r="X205" i="65"/>
  <c r="X206" i="65"/>
  <c r="X207" i="65"/>
  <c r="X208" i="65"/>
  <c r="X209" i="65"/>
  <c r="X210" i="65"/>
  <c r="X211" i="65"/>
  <c r="X212" i="65"/>
  <c r="X213" i="65"/>
  <c r="X214" i="65"/>
  <c r="X215" i="65"/>
  <c r="X216" i="65"/>
  <c r="X217" i="65"/>
  <c r="X218" i="65"/>
  <c r="X219" i="65"/>
  <c r="X220" i="65"/>
  <c r="X221" i="65"/>
  <c r="X222" i="65"/>
  <c r="X223" i="65"/>
  <c r="X224" i="65"/>
  <c r="X225" i="65"/>
  <c r="X226" i="65"/>
  <c r="X227" i="65"/>
  <c r="X228" i="65"/>
  <c r="X229" i="65"/>
  <c r="X230" i="65"/>
  <c r="X231" i="65"/>
  <c r="X232" i="65"/>
  <c r="X233" i="65"/>
  <c r="X234" i="65"/>
  <c r="X235" i="65"/>
  <c r="X236" i="65"/>
  <c r="X237" i="65"/>
  <c r="X238" i="65"/>
  <c r="X239" i="65"/>
  <c r="X240" i="65"/>
  <c r="X241" i="65"/>
  <c r="X242" i="65"/>
  <c r="X243" i="65"/>
  <c r="X244" i="65"/>
  <c r="X245" i="65"/>
  <c r="X246" i="65"/>
  <c r="X247" i="65"/>
  <c r="X248" i="65"/>
  <c r="X249" i="65"/>
  <c r="X250" i="65"/>
  <c r="X251" i="65"/>
  <c r="X252" i="65"/>
  <c r="X253" i="65"/>
  <c r="X254" i="65"/>
  <c r="X255" i="65"/>
  <c r="X256" i="65"/>
  <c r="X257" i="65"/>
  <c r="X12" i="65"/>
  <c r="W13" i="65"/>
  <c r="W14" i="65"/>
  <c r="W15" i="65"/>
  <c r="W16" i="65"/>
  <c r="W17" i="65"/>
  <c r="W18" i="65"/>
  <c r="W19" i="65"/>
  <c r="W20" i="65"/>
  <c r="W21" i="65"/>
  <c r="W22" i="65"/>
  <c r="W23" i="65"/>
  <c r="W24" i="65"/>
  <c r="W25" i="65"/>
  <c r="W26" i="65"/>
  <c r="W27" i="65"/>
  <c r="W28" i="65"/>
  <c r="W29" i="65"/>
  <c r="W30" i="65"/>
  <c r="W31" i="65"/>
  <c r="W32" i="65"/>
  <c r="W33" i="65"/>
  <c r="W34" i="65"/>
  <c r="W35" i="65"/>
  <c r="W36" i="65"/>
  <c r="W37" i="65"/>
  <c r="W38" i="65"/>
  <c r="W39" i="65"/>
  <c r="W40" i="65"/>
  <c r="W41" i="65"/>
  <c r="W42" i="65"/>
  <c r="W43" i="65"/>
  <c r="W44" i="65"/>
  <c r="W45" i="65"/>
  <c r="W46" i="65"/>
  <c r="W47" i="65"/>
  <c r="W48" i="65"/>
  <c r="W49" i="65"/>
  <c r="W50" i="65"/>
  <c r="W51" i="65"/>
  <c r="W52" i="65"/>
  <c r="W53" i="65"/>
  <c r="W54" i="65"/>
  <c r="W55" i="65"/>
  <c r="W56" i="65"/>
  <c r="W57" i="65"/>
  <c r="W58" i="65"/>
  <c r="W59" i="65"/>
  <c r="W60" i="65"/>
  <c r="W61" i="65"/>
  <c r="W62" i="65"/>
  <c r="W63" i="65"/>
  <c r="W64" i="65"/>
  <c r="W65" i="65"/>
  <c r="W66" i="65"/>
  <c r="W67" i="65"/>
  <c r="W68" i="65"/>
  <c r="W69" i="65"/>
  <c r="W70" i="65"/>
  <c r="W71" i="65"/>
  <c r="W72" i="65"/>
  <c r="W73" i="65"/>
  <c r="W74" i="65"/>
  <c r="W75" i="65"/>
  <c r="W76" i="65"/>
  <c r="W77" i="65"/>
  <c r="W78" i="65"/>
  <c r="W79" i="65"/>
  <c r="W80" i="65"/>
  <c r="W81" i="65"/>
  <c r="W82" i="65"/>
  <c r="W83" i="65"/>
  <c r="W84" i="65"/>
  <c r="W85" i="65"/>
  <c r="W86" i="65"/>
  <c r="W87" i="65"/>
  <c r="W88" i="65"/>
  <c r="W89" i="65"/>
  <c r="W90" i="65"/>
  <c r="W91" i="65"/>
  <c r="W92" i="65"/>
  <c r="W93" i="65"/>
  <c r="W94" i="65"/>
  <c r="W95" i="65"/>
  <c r="W96" i="65"/>
  <c r="W97" i="65"/>
  <c r="W98" i="65"/>
  <c r="W99" i="65"/>
  <c r="W100" i="65"/>
  <c r="W101" i="65"/>
  <c r="W102" i="65"/>
  <c r="W103" i="65"/>
  <c r="W104" i="65"/>
  <c r="W105" i="65"/>
  <c r="W106" i="65"/>
  <c r="W107" i="65"/>
  <c r="W108" i="65"/>
  <c r="W109" i="65"/>
  <c r="W110" i="65"/>
  <c r="W111" i="65"/>
  <c r="W112" i="65"/>
  <c r="W113" i="65"/>
  <c r="W114" i="65"/>
  <c r="W115" i="65"/>
  <c r="W116" i="65"/>
  <c r="W117" i="65"/>
  <c r="W118" i="65"/>
  <c r="W119" i="65"/>
  <c r="W120" i="65"/>
  <c r="W121" i="65"/>
  <c r="W122" i="65"/>
  <c r="W123" i="65"/>
  <c r="W124" i="65"/>
  <c r="W125" i="65"/>
  <c r="W126" i="65"/>
  <c r="W127" i="65"/>
  <c r="W128" i="65"/>
  <c r="W129" i="65"/>
  <c r="W130" i="65"/>
  <c r="W131" i="65"/>
  <c r="W132" i="65"/>
  <c r="W133" i="65"/>
  <c r="W134" i="65"/>
  <c r="W135" i="65"/>
  <c r="W136" i="65"/>
  <c r="W137" i="65"/>
  <c r="W138" i="65"/>
  <c r="W139" i="65"/>
  <c r="W140" i="65"/>
  <c r="W141" i="65"/>
  <c r="W142" i="65"/>
  <c r="W143" i="65"/>
  <c r="W144" i="65"/>
  <c r="W145" i="65"/>
  <c r="W146" i="65"/>
  <c r="W147" i="65"/>
  <c r="W148" i="65"/>
  <c r="W149" i="65"/>
  <c r="W150" i="65"/>
  <c r="W151" i="65"/>
  <c r="W152" i="65"/>
  <c r="W153" i="65"/>
  <c r="W154" i="65"/>
  <c r="W155" i="65"/>
  <c r="W156" i="65"/>
  <c r="W157" i="65"/>
  <c r="W158" i="65"/>
  <c r="W159" i="65"/>
  <c r="W160" i="65"/>
  <c r="W161" i="65"/>
  <c r="W162" i="65"/>
  <c r="W163" i="65"/>
  <c r="W164" i="65"/>
  <c r="W165" i="65"/>
  <c r="W166" i="65"/>
  <c r="W167" i="65"/>
  <c r="W168" i="65"/>
  <c r="W169" i="65"/>
  <c r="W170" i="65"/>
  <c r="W171" i="65"/>
  <c r="W172" i="65"/>
  <c r="W173" i="65"/>
  <c r="W174" i="65"/>
  <c r="W175" i="65"/>
  <c r="W176" i="65"/>
  <c r="W177" i="65"/>
  <c r="W178" i="65"/>
  <c r="W179" i="65"/>
  <c r="W180" i="65"/>
  <c r="W181" i="65"/>
  <c r="W182" i="65"/>
  <c r="W183" i="65"/>
  <c r="W184" i="65"/>
  <c r="W185" i="65"/>
  <c r="W186" i="65"/>
  <c r="W187" i="65"/>
  <c r="W188" i="65"/>
  <c r="W189" i="65"/>
  <c r="W190" i="65"/>
  <c r="W191" i="65"/>
  <c r="W192" i="65"/>
  <c r="W193" i="65"/>
  <c r="W194" i="65"/>
  <c r="W195" i="65"/>
  <c r="W196" i="65"/>
  <c r="W197" i="65"/>
  <c r="W198" i="65"/>
  <c r="W199" i="65"/>
  <c r="W200" i="65"/>
  <c r="W201" i="65"/>
  <c r="W202" i="65"/>
  <c r="W203" i="65"/>
  <c r="W204" i="65"/>
  <c r="W205" i="65"/>
  <c r="W206" i="65"/>
  <c r="W207" i="65"/>
  <c r="W208" i="65"/>
  <c r="W209" i="65"/>
  <c r="W210" i="65"/>
  <c r="W211" i="65"/>
  <c r="W212" i="65"/>
  <c r="W213" i="65"/>
  <c r="W214" i="65"/>
  <c r="W215" i="65"/>
  <c r="W216" i="65"/>
  <c r="W217" i="65"/>
  <c r="W218" i="65"/>
  <c r="W219" i="65"/>
  <c r="W220" i="65"/>
  <c r="W221" i="65"/>
  <c r="W222" i="65"/>
  <c r="W223" i="65"/>
  <c r="W224" i="65"/>
  <c r="W225" i="65"/>
  <c r="W226" i="65"/>
  <c r="W227" i="65"/>
  <c r="W228" i="65"/>
  <c r="W229" i="65"/>
  <c r="W230" i="65"/>
  <c r="W231" i="65"/>
  <c r="W232" i="65"/>
  <c r="W233" i="65"/>
  <c r="W234" i="65"/>
  <c r="W235" i="65"/>
  <c r="W236" i="65"/>
  <c r="W237" i="65"/>
  <c r="W238" i="65"/>
  <c r="W239" i="65"/>
  <c r="W240" i="65"/>
  <c r="W241" i="65"/>
  <c r="W242" i="65"/>
  <c r="W243" i="65"/>
  <c r="W244" i="65"/>
  <c r="W245" i="65"/>
  <c r="W246" i="65"/>
  <c r="W247" i="65"/>
  <c r="W248" i="65"/>
  <c r="W249" i="65"/>
  <c r="W250" i="65"/>
  <c r="W251" i="65"/>
  <c r="W252" i="65"/>
  <c r="W253" i="65"/>
  <c r="W254" i="65"/>
  <c r="W255" i="65"/>
  <c r="W256" i="65"/>
  <c r="W257" i="65"/>
  <c r="W12" i="65"/>
  <c r="Y258" i="64"/>
  <c r="Y13" i="64"/>
  <c r="Y14" i="64"/>
  <c r="Y15" i="64"/>
  <c r="Y16" i="64"/>
  <c r="Y17" i="64"/>
  <c r="Y18" i="64"/>
  <c r="Y19" i="64"/>
  <c r="Y20" i="64"/>
  <c r="Y21" i="64"/>
  <c r="Y22" i="64"/>
  <c r="Y23" i="64"/>
  <c r="Y24" i="64"/>
  <c r="Y25" i="64"/>
  <c r="Y26" i="64"/>
  <c r="Y27" i="64"/>
  <c r="Y28" i="64"/>
  <c r="Y29" i="64"/>
  <c r="Y30" i="64"/>
  <c r="Y31" i="64"/>
  <c r="Y32" i="64"/>
  <c r="Y33" i="64"/>
  <c r="Y34" i="64"/>
  <c r="Y35" i="64"/>
  <c r="Y36" i="64"/>
  <c r="Y37" i="64"/>
  <c r="Y38" i="64"/>
  <c r="Y39" i="64"/>
  <c r="Y40" i="64"/>
  <c r="Y41" i="64"/>
  <c r="Y42" i="64"/>
  <c r="Y43" i="64"/>
  <c r="Y44" i="64"/>
  <c r="Y45" i="64"/>
  <c r="Y46" i="64"/>
  <c r="Y47" i="64"/>
  <c r="Y48" i="64"/>
  <c r="Y49" i="64"/>
  <c r="Y50" i="64"/>
  <c r="Y51" i="64"/>
  <c r="Y52" i="64"/>
  <c r="Y53" i="64"/>
  <c r="Y54" i="64"/>
  <c r="Y55" i="64"/>
  <c r="Y56" i="64"/>
  <c r="Y57" i="64"/>
  <c r="Y58" i="64"/>
  <c r="Y59" i="64"/>
  <c r="Y60" i="64"/>
  <c r="Y61" i="64"/>
  <c r="Y62" i="64"/>
  <c r="Y63" i="64"/>
  <c r="Y64" i="64"/>
  <c r="Y65" i="64"/>
  <c r="Y66" i="64"/>
  <c r="Y67" i="64"/>
  <c r="Y68" i="64"/>
  <c r="Y69" i="64"/>
  <c r="Y70" i="64"/>
  <c r="Y71" i="64"/>
  <c r="Y72" i="64"/>
  <c r="Y73" i="64"/>
  <c r="Y74" i="64"/>
  <c r="Y75" i="64"/>
  <c r="Y76" i="64"/>
  <c r="Y77" i="64"/>
  <c r="Y78" i="64"/>
  <c r="Y79" i="64"/>
  <c r="Y80" i="64"/>
  <c r="Y81" i="64"/>
  <c r="Y82" i="64"/>
  <c r="Y83" i="64"/>
  <c r="Y84" i="64"/>
  <c r="Y85" i="64"/>
  <c r="Y86" i="64"/>
  <c r="Y87" i="64"/>
  <c r="Y88" i="64"/>
  <c r="Y89" i="64"/>
  <c r="Y90" i="64"/>
  <c r="Y91" i="64"/>
  <c r="Y92" i="64"/>
  <c r="Y93" i="64"/>
  <c r="Y94" i="64"/>
  <c r="Y95" i="64"/>
  <c r="Y96" i="64"/>
  <c r="Y97" i="64"/>
  <c r="Y98" i="64"/>
  <c r="Y99" i="64"/>
  <c r="Y100" i="64"/>
  <c r="Y101" i="64"/>
  <c r="Y102" i="64"/>
  <c r="Y103" i="64"/>
  <c r="Y104" i="64"/>
  <c r="Y105" i="64"/>
  <c r="Y106" i="64"/>
  <c r="Y107" i="64"/>
  <c r="Y108" i="64"/>
  <c r="Y109" i="64"/>
  <c r="Y110" i="64"/>
  <c r="Y111" i="64"/>
  <c r="Y112" i="64"/>
  <c r="Y113" i="64"/>
  <c r="Y114" i="64"/>
  <c r="Y115" i="64"/>
  <c r="Y116" i="64"/>
  <c r="Y117" i="64"/>
  <c r="Y118" i="64"/>
  <c r="Y119" i="64"/>
  <c r="Y120" i="64"/>
  <c r="Y121" i="64"/>
  <c r="Y122" i="64"/>
  <c r="Y123" i="64"/>
  <c r="Y124" i="64"/>
  <c r="Y125" i="64"/>
  <c r="Y126" i="64"/>
  <c r="Y127" i="64"/>
  <c r="Y128" i="64"/>
  <c r="Y129" i="64"/>
  <c r="Y130" i="64"/>
  <c r="Y131" i="64"/>
  <c r="Y132" i="64"/>
  <c r="Y133" i="64"/>
  <c r="Y134" i="64"/>
  <c r="Y135" i="64"/>
  <c r="Y136" i="64"/>
  <c r="Y137" i="64"/>
  <c r="Y138" i="64"/>
  <c r="Y139" i="64"/>
  <c r="Y140" i="64"/>
  <c r="Y141" i="64"/>
  <c r="Y142" i="64"/>
  <c r="Y143" i="64"/>
  <c r="Y144" i="64"/>
  <c r="Y145" i="64"/>
  <c r="Y146" i="64"/>
  <c r="Y147" i="64"/>
  <c r="Y148" i="64"/>
  <c r="Y149" i="64"/>
  <c r="Y150" i="64"/>
  <c r="Y151" i="64"/>
  <c r="Y152" i="64"/>
  <c r="Y153" i="64"/>
  <c r="Y154" i="64"/>
  <c r="Y155" i="64"/>
  <c r="Y156" i="64"/>
  <c r="Y157" i="64"/>
  <c r="Y158" i="64"/>
  <c r="Y159" i="64"/>
  <c r="Y160" i="64"/>
  <c r="Y161" i="64"/>
  <c r="Y162" i="64"/>
  <c r="Y163" i="64"/>
  <c r="Y164" i="64"/>
  <c r="Y165" i="64"/>
  <c r="Y166" i="64"/>
  <c r="Y167" i="64"/>
  <c r="Y168" i="64"/>
  <c r="Y169" i="64"/>
  <c r="Y170" i="64"/>
  <c r="Y171" i="64"/>
  <c r="Y172" i="64"/>
  <c r="Y173" i="64"/>
  <c r="Y174" i="64"/>
  <c r="Y175" i="64"/>
  <c r="Y176" i="64"/>
  <c r="Y177" i="64"/>
  <c r="Y178" i="64"/>
  <c r="Y179" i="64"/>
  <c r="Y180" i="64"/>
  <c r="Y181" i="64"/>
  <c r="Y182" i="64"/>
  <c r="Y183" i="64"/>
  <c r="Y184" i="64"/>
  <c r="Y185" i="64"/>
  <c r="Y186" i="64"/>
  <c r="Y187" i="64"/>
  <c r="Y188" i="64"/>
  <c r="Y189" i="64"/>
  <c r="Y190" i="64"/>
  <c r="Y191" i="64"/>
  <c r="Y192" i="64"/>
  <c r="Y193" i="64"/>
  <c r="Y194" i="64"/>
  <c r="Y195" i="64"/>
  <c r="Y196" i="64"/>
  <c r="Y197" i="64"/>
  <c r="Y198" i="64"/>
  <c r="Y199" i="64"/>
  <c r="Y200" i="64"/>
  <c r="Y201" i="64"/>
  <c r="Y202" i="64"/>
  <c r="Y203" i="64"/>
  <c r="Y204" i="64"/>
  <c r="Y205" i="64"/>
  <c r="Y206" i="64"/>
  <c r="Y207" i="64"/>
  <c r="Y208" i="64"/>
  <c r="Y209" i="64"/>
  <c r="Y210" i="64"/>
  <c r="Y211" i="64"/>
  <c r="Y212" i="64"/>
  <c r="Y213" i="64"/>
  <c r="Y214" i="64"/>
  <c r="Y215" i="64"/>
  <c r="Y216" i="64"/>
  <c r="Y217" i="64"/>
  <c r="Y218" i="64"/>
  <c r="Y219" i="64"/>
  <c r="Y220" i="64"/>
  <c r="Y221" i="64"/>
  <c r="Y222" i="64"/>
  <c r="Y223" i="64"/>
  <c r="Y224" i="64"/>
  <c r="Y225" i="64"/>
  <c r="Y226" i="64"/>
  <c r="Y227" i="64"/>
  <c r="Y228" i="64"/>
  <c r="Y229" i="64"/>
  <c r="Y230" i="64"/>
  <c r="Y231" i="64"/>
  <c r="Y232" i="64"/>
  <c r="Y233" i="64"/>
  <c r="Y234" i="64"/>
  <c r="Y235" i="64"/>
  <c r="Y236" i="64"/>
  <c r="Y237" i="64"/>
  <c r="Y238" i="64"/>
  <c r="Y239" i="64"/>
  <c r="Y240" i="64"/>
  <c r="Y241" i="64"/>
  <c r="Y242" i="64"/>
  <c r="Y243" i="64"/>
  <c r="Y244" i="64"/>
  <c r="Y245" i="64"/>
  <c r="Y246" i="64"/>
  <c r="Y247" i="64"/>
  <c r="Y248" i="64"/>
  <c r="Y249" i="64"/>
  <c r="Y250" i="64"/>
  <c r="Y251" i="64"/>
  <c r="Y252" i="64"/>
  <c r="Y253" i="64"/>
  <c r="Y254" i="64"/>
  <c r="Y255" i="64"/>
  <c r="Y256" i="64"/>
  <c r="Y257" i="64"/>
  <c r="Y259" i="64"/>
  <c r="Y12" i="64"/>
  <c r="W13" i="64"/>
  <c r="W14" i="64"/>
  <c r="W15" i="64"/>
  <c r="W16" i="64"/>
  <c r="W17" i="64"/>
  <c r="W18" i="64"/>
  <c r="W19" i="64"/>
  <c r="W20" i="64"/>
  <c r="W21" i="64"/>
  <c r="W22" i="64"/>
  <c r="W23" i="64"/>
  <c r="W24" i="64"/>
  <c r="W25" i="64"/>
  <c r="W26" i="64"/>
  <c r="W27" i="64"/>
  <c r="W28" i="64"/>
  <c r="W29" i="64"/>
  <c r="W30" i="64"/>
  <c r="W31" i="64"/>
  <c r="W32" i="64"/>
  <c r="W33" i="64"/>
  <c r="W34" i="64"/>
  <c r="W35" i="64"/>
  <c r="W36" i="64"/>
  <c r="W37" i="64"/>
  <c r="W38" i="64"/>
  <c r="W39" i="64"/>
  <c r="W40" i="64"/>
  <c r="W41" i="64"/>
  <c r="W42" i="64"/>
  <c r="W43" i="64"/>
  <c r="W44" i="64"/>
  <c r="W45" i="64"/>
  <c r="W46" i="64"/>
  <c r="W47" i="64"/>
  <c r="W48" i="64"/>
  <c r="W49" i="64"/>
  <c r="W50" i="64"/>
  <c r="W51" i="64"/>
  <c r="W52" i="64"/>
  <c r="W53" i="64"/>
  <c r="W54" i="64"/>
  <c r="W55" i="64"/>
  <c r="W56" i="64"/>
  <c r="W57" i="64"/>
  <c r="W58" i="64"/>
  <c r="W59" i="64"/>
  <c r="W60" i="64"/>
  <c r="W61" i="64"/>
  <c r="W62" i="64"/>
  <c r="W63" i="64"/>
  <c r="W64" i="64"/>
  <c r="W65" i="64"/>
  <c r="W66" i="64"/>
  <c r="W67" i="64"/>
  <c r="W68" i="64"/>
  <c r="W69" i="64"/>
  <c r="W70" i="64"/>
  <c r="W71" i="64"/>
  <c r="W72" i="64"/>
  <c r="W73" i="64"/>
  <c r="W74" i="64"/>
  <c r="W75" i="64"/>
  <c r="W76" i="64"/>
  <c r="W77" i="64"/>
  <c r="W78" i="64"/>
  <c r="W79" i="64"/>
  <c r="W80" i="64"/>
  <c r="W81" i="64"/>
  <c r="W82" i="64"/>
  <c r="W83" i="64"/>
  <c r="W84" i="64"/>
  <c r="W85" i="64"/>
  <c r="W86" i="64"/>
  <c r="W87" i="64"/>
  <c r="W88" i="64"/>
  <c r="W89" i="64"/>
  <c r="W90" i="64"/>
  <c r="W91" i="64"/>
  <c r="W92" i="64"/>
  <c r="W93" i="64"/>
  <c r="W94" i="64"/>
  <c r="W95" i="64"/>
  <c r="W96" i="64"/>
  <c r="W97" i="64"/>
  <c r="W98" i="64"/>
  <c r="W99" i="64"/>
  <c r="W100" i="64"/>
  <c r="W101" i="64"/>
  <c r="W102" i="64"/>
  <c r="W103" i="64"/>
  <c r="W104" i="64"/>
  <c r="W105" i="64"/>
  <c r="W106" i="64"/>
  <c r="W107" i="64"/>
  <c r="W108" i="64"/>
  <c r="W109" i="64"/>
  <c r="W110" i="64"/>
  <c r="W111" i="64"/>
  <c r="W112" i="64"/>
  <c r="W113" i="64"/>
  <c r="W114" i="64"/>
  <c r="W115" i="64"/>
  <c r="W116" i="64"/>
  <c r="W117" i="64"/>
  <c r="W118" i="64"/>
  <c r="W119" i="64"/>
  <c r="W120" i="64"/>
  <c r="W121" i="64"/>
  <c r="W122" i="64"/>
  <c r="W123" i="64"/>
  <c r="W124" i="64"/>
  <c r="W125" i="64"/>
  <c r="W126" i="64"/>
  <c r="W127" i="64"/>
  <c r="W128" i="64"/>
  <c r="W129" i="64"/>
  <c r="W130" i="64"/>
  <c r="W131" i="64"/>
  <c r="W132" i="64"/>
  <c r="W133" i="64"/>
  <c r="W134" i="64"/>
  <c r="W135" i="64"/>
  <c r="W136" i="64"/>
  <c r="W137" i="64"/>
  <c r="W138" i="64"/>
  <c r="W139" i="64"/>
  <c r="W140" i="64"/>
  <c r="W141" i="64"/>
  <c r="W142" i="64"/>
  <c r="W143" i="64"/>
  <c r="W144" i="64"/>
  <c r="W145" i="64"/>
  <c r="W146" i="64"/>
  <c r="W147" i="64"/>
  <c r="W148" i="64"/>
  <c r="W149" i="64"/>
  <c r="W150" i="64"/>
  <c r="W151" i="64"/>
  <c r="W152" i="64"/>
  <c r="W153" i="64"/>
  <c r="W154" i="64"/>
  <c r="W155" i="64"/>
  <c r="W156" i="64"/>
  <c r="W157" i="64"/>
  <c r="W158" i="64"/>
  <c r="W159" i="64"/>
  <c r="W160" i="64"/>
  <c r="W161" i="64"/>
  <c r="W162" i="64"/>
  <c r="W163" i="64"/>
  <c r="W164" i="64"/>
  <c r="W165" i="64"/>
  <c r="W166" i="64"/>
  <c r="W167" i="64"/>
  <c r="W168" i="64"/>
  <c r="W169" i="64"/>
  <c r="W170" i="64"/>
  <c r="W171" i="64"/>
  <c r="W172" i="64"/>
  <c r="W173" i="64"/>
  <c r="W174" i="64"/>
  <c r="W175" i="64"/>
  <c r="W176" i="64"/>
  <c r="W177" i="64"/>
  <c r="W178" i="64"/>
  <c r="W179" i="64"/>
  <c r="W180" i="64"/>
  <c r="W181" i="64"/>
  <c r="W182" i="64"/>
  <c r="W183" i="64"/>
  <c r="W184" i="64"/>
  <c r="W185" i="64"/>
  <c r="W186" i="64"/>
  <c r="W187" i="64"/>
  <c r="W188" i="64"/>
  <c r="W189" i="64"/>
  <c r="W190" i="64"/>
  <c r="W191" i="64"/>
  <c r="W192" i="64"/>
  <c r="W193" i="64"/>
  <c r="W194" i="64"/>
  <c r="W195" i="64"/>
  <c r="W196" i="64"/>
  <c r="W197" i="64"/>
  <c r="W198" i="64"/>
  <c r="W199" i="64"/>
  <c r="W200" i="64"/>
  <c r="W201" i="64"/>
  <c r="W202" i="64"/>
  <c r="W203" i="64"/>
  <c r="W204" i="64"/>
  <c r="W205" i="64"/>
  <c r="W206" i="64"/>
  <c r="W207" i="64"/>
  <c r="W208" i="64"/>
  <c r="W209" i="64"/>
  <c r="W210" i="64"/>
  <c r="W211" i="64"/>
  <c r="W212" i="64"/>
  <c r="W213" i="64"/>
  <c r="W214" i="64"/>
  <c r="W215" i="64"/>
  <c r="W216" i="64"/>
  <c r="W217" i="64"/>
  <c r="W218" i="64"/>
  <c r="W219" i="64"/>
  <c r="W220" i="64"/>
  <c r="W221" i="64"/>
  <c r="W222" i="64"/>
  <c r="W223" i="64"/>
  <c r="W224" i="64"/>
  <c r="W225" i="64"/>
  <c r="W226" i="64"/>
  <c r="W227" i="64"/>
  <c r="W228" i="64"/>
  <c r="W229" i="64"/>
  <c r="W230" i="64"/>
  <c r="W231" i="64"/>
  <c r="W232" i="64"/>
  <c r="W233" i="64"/>
  <c r="W234" i="64"/>
  <c r="W235" i="64"/>
  <c r="W236" i="64"/>
  <c r="W237" i="64"/>
  <c r="W238" i="64"/>
  <c r="W239" i="64"/>
  <c r="W240" i="64"/>
  <c r="W241" i="64"/>
  <c r="W242" i="64"/>
  <c r="W243" i="64"/>
  <c r="W244" i="64"/>
  <c r="W245" i="64"/>
  <c r="W246" i="64"/>
  <c r="W247" i="64"/>
  <c r="W248" i="64"/>
  <c r="W249" i="64"/>
  <c r="W250" i="64"/>
  <c r="W251" i="64"/>
  <c r="W252" i="64"/>
  <c r="W253" i="64"/>
  <c r="W254" i="64"/>
  <c r="W255" i="64"/>
  <c r="W256" i="64"/>
  <c r="W257" i="64"/>
  <c r="W258" i="64"/>
  <c r="W259" i="64"/>
  <c r="W12" i="64"/>
  <c r="S14" i="64"/>
  <c r="S15" i="64"/>
  <c r="S16" i="64"/>
  <c r="S17" i="64"/>
  <c r="S18" i="64"/>
  <c r="S19" i="64"/>
  <c r="S20" i="64"/>
  <c r="S21" i="64"/>
  <c r="S22" i="64"/>
  <c r="S23" i="64"/>
  <c r="S24" i="64"/>
  <c r="S25" i="64"/>
  <c r="S26" i="64"/>
  <c r="S27" i="64"/>
  <c r="S28" i="64"/>
  <c r="S29" i="64"/>
  <c r="S30" i="64"/>
  <c r="S31" i="64"/>
  <c r="S32" i="64"/>
  <c r="S33" i="64"/>
  <c r="S34" i="64"/>
  <c r="S35" i="64"/>
  <c r="S36" i="64"/>
  <c r="S37" i="64"/>
  <c r="S38" i="64"/>
  <c r="S39" i="64"/>
  <c r="S40" i="64"/>
  <c r="S41" i="64"/>
  <c r="S42" i="64"/>
  <c r="S43" i="64"/>
  <c r="S45" i="64"/>
  <c r="S46" i="64"/>
  <c r="S47" i="64"/>
  <c r="S48" i="64"/>
  <c r="S49" i="64"/>
  <c r="S50" i="64"/>
  <c r="S51" i="64"/>
  <c r="S52" i="64"/>
  <c r="S53" i="64"/>
  <c r="S54" i="64"/>
  <c r="S55" i="64"/>
  <c r="S56" i="64"/>
  <c r="S57" i="64"/>
  <c r="S58" i="64"/>
  <c r="S59" i="64"/>
  <c r="S60" i="64"/>
  <c r="S61" i="64"/>
  <c r="S62" i="64"/>
  <c r="S63" i="64"/>
  <c r="S64" i="64"/>
  <c r="S65" i="64"/>
  <c r="S66" i="64"/>
  <c r="S67" i="64"/>
  <c r="S68" i="64"/>
  <c r="S69" i="64"/>
  <c r="S70" i="64"/>
  <c r="S71" i="64"/>
  <c r="S72" i="64"/>
  <c r="S73" i="64"/>
  <c r="S74" i="64"/>
  <c r="S75" i="64"/>
  <c r="S76" i="64"/>
  <c r="S77" i="64"/>
  <c r="S78" i="64"/>
  <c r="S79" i="64"/>
  <c r="S80" i="64"/>
  <c r="S81" i="64"/>
  <c r="S82" i="64"/>
  <c r="S83" i="64"/>
  <c r="S84" i="64"/>
  <c r="S85" i="64"/>
  <c r="S86" i="64"/>
  <c r="S87" i="64"/>
  <c r="S88" i="64"/>
  <c r="S89" i="64"/>
  <c r="S90" i="64"/>
  <c r="S91" i="64"/>
  <c r="S92" i="64"/>
  <c r="S93" i="64"/>
  <c r="S94" i="64"/>
  <c r="S95" i="64"/>
  <c r="S96" i="64"/>
  <c r="S97" i="64"/>
  <c r="S98" i="64"/>
  <c r="S99" i="64"/>
  <c r="S100" i="64"/>
  <c r="S101" i="64"/>
  <c r="S102" i="64"/>
  <c r="S103" i="64"/>
  <c r="S104" i="64"/>
  <c r="S105" i="64"/>
  <c r="S106" i="64"/>
  <c r="S107" i="64"/>
  <c r="S108" i="64"/>
  <c r="S109" i="64"/>
  <c r="S110" i="64"/>
  <c r="S111" i="64"/>
  <c r="S112" i="64"/>
  <c r="S113" i="64"/>
  <c r="S114" i="64"/>
  <c r="S115" i="64"/>
  <c r="S116" i="64"/>
  <c r="S117" i="64"/>
  <c r="S118" i="64"/>
  <c r="S119" i="64"/>
  <c r="S120" i="64"/>
  <c r="S121" i="64"/>
  <c r="S122" i="64"/>
  <c r="S123" i="64"/>
  <c r="S124" i="64"/>
  <c r="S125" i="64"/>
  <c r="S126" i="64"/>
  <c r="S127" i="64"/>
  <c r="S128" i="64"/>
  <c r="S129" i="64"/>
  <c r="S130" i="64"/>
  <c r="S131" i="64"/>
  <c r="S132" i="64"/>
  <c r="S133" i="64"/>
  <c r="S134" i="64"/>
  <c r="S135" i="64"/>
  <c r="S136" i="64"/>
  <c r="S137" i="64"/>
  <c r="S138" i="64"/>
  <c r="S139" i="64"/>
  <c r="S140" i="64"/>
  <c r="S141" i="64"/>
  <c r="S142" i="64"/>
  <c r="S143" i="64"/>
  <c r="S144" i="64"/>
  <c r="S145" i="64"/>
  <c r="S146" i="64"/>
  <c r="S147" i="64"/>
  <c r="S148" i="64"/>
  <c r="S149" i="64"/>
  <c r="S150" i="64"/>
  <c r="S151" i="64"/>
  <c r="S152" i="64"/>
  <c r="S153" i="64"/>
  <c r="S154" i="64"/>
  <c r="S155" i="64"/>
  <c r="S156" i="64"/>
  <c r="S157" i="64"/>
  <c r="S158" i="64"/>
  <c r="S159" i="64"/>
  <c r="S160" i="64"/>
  <c r="S161" i="64"/>
  <c r="S162" i="64"/>
  <c r="S163" i="64"/>
  <c r="S164" i="64"/>
  <c r="S165" i="64"/>
  <c r="S166" i="64"/>
  <c r="S167" i="64"/>
  <c r="S168" i="64"/>
  <c r="S169" i="64"/>
  <c r="S170" i="64"/>
  <c r="S171" i="64"/>
  <c r="S172" i="64"/>
  <c r="S173" i="64"/>
  <c r="S174" i="64"/>
  <c r="S175" i="64"/>
  <c r="S176" i="64"/>
  <c r="S177" i="64"/>
  <c r="S178" i="64"/>
  <c r="S179" i="64"/>
  <c r="S180" i="64"/>
  <c r="S181" i="64"/>
  <c r="S182" i="64"/>
  <c r="S183" i="64"/>
  <c r="S184" i="64"/>
  <c r="S185" i="64"/>
  <c r="S186" i="64"/>
  <c r="S187" i="64"/>
  <c r="S188" i="64"/>
  <c r="S189" i="64"/>
  <c r="S190" i="64"/>
  <c r="S191" i="64"/>
  <c r="S192" i="64"/>
  <c r="S193" i="64"/>
  <c r="S194" i="64"/>
  <c r="S195" i="64"/>
  <c r="S196" i="64"/>
  <c r="S197" i="64"/>
  <c r="S198" i="64"/>
  <c r="S199" i="64"/>
  <c r="S200" i="64"/>
  <c r="S201" i="64"/>
  <c r="S202" i="64"/>
  <c r="S203" i="64"/>
  <c r="S204" i="64"/>
  <c r="S205" i="64"/>
  <c r="S206" i="64"/>
  <c r="S207" i="64"/>
  <c r="S208" i="64"/>
  <c r="S209" i="64"/>
  <c r="S210" i="64"/>
  <c r="S211" i="64"/>
  <c r="S212" i="64"/>
  <c r="S213" i="64"/>
  <c r="S214" i="64"/>
  <c r="S215" i="64"/>
  <c r="S216" i="64"/>
  <c r="S217" i="64"/>
  <c r="S218" i="64"/>
  <c r="S219" i="64"/>
  <c r="S220" i="64"/>
  <c r="S221" i="64"/>
  <c r="S222" i="64"/>
  <c r="S223" i="64"/>
  <c r="S224" i="64"/>
  <c r="S225" i="64"/>
  <c r="S226" i="64"/>
  <c r="S227" i="64"/>
  <c r="S228" i="64"/>
  <c r="S229" i="64"/>
  <c r="S230" i="64"/>
  <c r="S231" i="64"/>
  <c r="S232" i="64"/>
  <c r="S233" i="64"/>
  <c r="S234" i="64"/>
  <c r="S235" i="64"/>
  <c r="S236" i="64"/>
  <c r="S237" i="64"/>
  <c r="S238" i="64"/>
  <c r="S239" i="64"/>
  <c r="S240" i="64"/>
  <c r="S241" i="64"/>
  <c r="S242" i="64"/>
  <c r="S243" i="64"/>
  <c r="S244" i="64"/>
  <c r="S245" i="64"/>
  <c r="S246" i="64"/>
  <c r="S247" i="64"/>
  <c r="S248" i="64"/>
  <c r="S249" i="64"/>
  <c r="S250" i="64"/>
  <c r="S251" i="64"/>
  <c r="S252" i="64"/>
  <c r="S253" i="64"/>
  <c r="S254" i="64"/>
  <c r="S255" i="64"/>
  <c r="S256" i="64"/>
  <c r="S257" i="64"/>
  <c r="S258" i="64"/>
  <c r="S259" i="64"/>
  <c r="J12" i="64"/>
  <c r="K13" i="64"/>
  <c r="K14" i="64"/>
  <c r="K15" i="64"/>
  <c r="K16" i="64"/>
  <c r="K17" i="64"/>
  <c r="K18" i="64"/>
  <c r="K19" i="64"/>
  <c r="K20" i="64"/>
  <c r="K21" i="64"/>
  <c r="K22" i="64"/>
  <c r="K23" i="64"/>
  <c r="K24" i="64"/>
  <c r="K25" i="64"/>
  <c r="K26" i="64"/>
  <c r="K27" i="64"/>
  <c r="K28" i="64"/>
  <c r="K29" i="64"/>
  <c r="K30" i="64"/>
  <c r="K31" i="64"/>
  <c r="K32" i="64"/>
  <c r="K33" i="64"/>
  <c r="K34" i="64"/>
  <c r="K35" i="64"/>
  <c r="K36" i="64"/>
  <c r="K37" i="64"/>
  <c r="K38" i="64"/>
  <c r="K39" i="64"/>
  <c r="K40" i="64"/>
  <c r="K41" i="64"/>
  <c r="K42" i="64"/>
  <c r="K43" i="64"/>
  <c r="K44" i="64"/>
  <c r="K45" i="64"/>
  <c r="K46" i="64"/>
  <c r="K47" i="64"/>
  <c r="K48" i="64"/>
  <c r="K49" i="64"/>
  <c r="K50" i="64"/>
  <c r="K51" i="64"/>
  <c r="K52" i="64"/>
  <c r="K53" i="64"/>
  <c r="K54" i="64"/>
  <c r="K55" i="64"/>
  <c r="K56" i="64"/>
  <c r="K57" i="64"/>
  <c r="K58" i="64"/>
  <c r="K59" i="64"/>
  <c r="K60" i="64"/>
  <c r="K61" i="64"/>
  <c r="K62" i="64"/>
  <c r="K63" i="64"/>
  <c r="K64" i="64"/>
  <c r="K65" i="64"/>
  <c r="K66" i="64"/>
  <c r="K67" i="64"/>
  <c r="K68" i="64"/>
  <c r="K69" i="64"/>
  <c r="K70" i="64"/>
  <c r="K71" i="64"/>
  <c r="K72" i="64"/>
  <c r="K73" i="64"/>
  <c r="K74" i="64"/>
  <c r="K75" i="64"/>
  <c r="K76" i="64"/>
  <c r="K77" i="64"/>
  <c r="K78" i="64"/>
  <c r="K79" i="64"/>
  <c r="K80" i="64"/>
  <c r="K81" i="64"/>
  <c r="K82" i="64"/>
  <c r="K83" i="64"/>
  <c r="K84" i="64"/>
  <c r="K85" i="64"/>
  <c r="K86" i="64"/>
  <c r="K87" i="64"/>
  <c r="K88" i="64"/>
  <c r="K89" i="64"/>
  <c r="K90" i="64"/>
  <c r="K91" i="64"/>
  <c r="K92" i="64"/>
  <c r="K93" i="64"/>
  <c r="K94" i="64"/>
  <c r="K95" i="64"/>
  <c r="K96" i="64"/>
  <c r="K97" i="64"/>
  <c r="K98" i="64"/>
  <c r="K99" i="64"/>
  <c r="K100" i="64"/>
  <c r="K101" i="64"/>
  <c r="K102" i="64"/>
  <c r="K103" i="64"/>
  <c r="K104" i="64"/>
  <c r="K105" i="64"/>
  <c r="K106" i="64"/>
  <c r="K107" i="64"/>
  <c r="K108" i="64"/>
  <c r="K109" i="64"/>
  <c r="K110" i="64"/>
  <c r="K111" i="64"/>
  <c r="K112" i="64"/>
  <c r="K113" i="64"/>
  <c r="K114" i="64"/>
  <c r="K115" i="64"/>
  <c r="K116" i="64"/>
  <c r="K117" i="64"/>
  <c r="K118" i="64"/>
  <c r="K119" i="64"/>
  <c r="K120" i="64"/>
  <c r="K121" i="64"/>
  <c r="K122" i="64"/>
  <c r="K123" i="64"/>
  <c r="K124" i="64"/>
  <c r="K125" i="64"/>
  <c r="K126" i="64"/>
  <c r="K127" i="64"/>
  <c r="K128" i="64"/>
  <c r="K129" i="64"/>
  <c r="K130" i="64"/>
  <c r="K131" i="64"/>
  <c r="K132" i="64"/>
  <c r="K133" i="64"/>
  <c r="K134" i="64"/>
  <c r="K135" i="64"/>
  <c r="K136" i="64"/>
  <c r="K137" i="64"/>
  <c r="K138" i="64"/>
  <c r="K139" i="64"/>
  <c r="K140" i="64"/>
  <c r="K141" i="64"/>
  <c r="K142" i="64"/>
  <c r="K143" i="64"/>
  <c r="K144" i="64"/>
  <c r="K145" i="64"/>
  <c r="K146" i="64"/>
  <c r="K147" i="64"/>
  <c r="K148" i="64"/>
  <c r="K149" i="64"/>
  <c r="K150" i="64"/>
  <c r="K151" i="64"/>
  <c r="K152" i="64"/>
  <c r="K153" i="64"/>
  <c r="K154" i="64"/>
  <c r="K155" i="64"/>
  <c r="K156" i="64"/>
  <c r="K157" i="64"/>
  <c r="K158" i="64"/>
  <c r="K159" i="64"/>
  <c r="K160" i="64"/>
  <c r="K161" i="64"/>
  <c r="K162" i="64"/>
  <c r="K163" i="64"/>
  <c r="K164" i="64"/>
  <c r="K165" i="64"/>
  <c r="K166" i="64"/>
  <c r="K167" i="64"/>
  <c r="K168" i="64"/>
  <c r="K169" i="64"/>
  <c r="K170" i="64"/>
  <c r="K171" i="64"/>
  <c r="K172" i="64"/>
  <c r="K173" i="64"/>
  <c r="K174" i="64"/>
  <c r="K175" i="64"/>
  <c r="K176" i="64"/>
  <c r="K177" i="64"/>
  <c r="K178" i="64"/>
  <c r="K179" i="64"/>
  <c r="K180" i="64"/>
  <c r="K181" i="64"/>
  <c r="K182" i="64"/>
  <c r="K183" i="64"/>
  <c r="K184" i="64"/>
  <c r="K185" i="64"/>
  <c r="K186" i="64"/>
  <c r="K187" i="64"/>
  <c r="K188" i="64"/>
  <c r="K189" i="64"/>
  <c r="K190" i="64"/>
  <c r="K191" i="64"/>
  <c r="K192" i="64"/>
  <c r="K193" i="64"/>
  <c r="K194" i="64"/>
  <c r="K195" i="64"/>
  <c r="K196" i="64"/>
  <c r="K197" i="64"/>
  <c r="K198" i="64"/>
  <c r="K199" i="64"/>
  <c r="K200" i="64"/>
  <c r="K201" i="64"/>
  <c r="K202" i="64"/>
  <c r="K203" i="64"/>
  <c r="K204" i="64"/>
  <c r="K205" i="64"/>
  <c r="K206" i="64"/>
  <c r="K207" i="64"/>
  <c r="K208" i="64"/>
  <c r="K209" i="64"/>
  <c r="K210" i="64"/>
  <c r="K211" i="64"/>
  <c r="K212" i="64"/>
  <c r="K213" i="64"/>
  <c r="K214" i="64"/>
  <c r="K215" i="64"/>
  <c r="K216" i="64"/>
  <c r="K217" i="64"/>
  <c r="K218" i="64"/>
  <c r="K219" i="64"/>
  <c r="K220" i="64"/>
  <c r="K221" i="64"/>
  <c r="K222" i="64"/>
  <c r="K223" i="64"/>
  <c r="K224" i="64"/>
  <c r="K225" i="64"/>
  <c r="K226" i="64"/>
  <c r="K227" i="64"/>
  <c r="K228" i="64"/>
  <c r="K229" i="64"/>
  <c r="K230" i="64"/>
  <c r="K231" i="64"/>
  <c r="K232" i="64"/>
  <c r="K233" i="64"/>
  <c r="K234" i="64"/>
  <c r="K235" i="64"/>
  <c r="K236" i="64"/>
  <c r="K237" i="64"/>
  <c r="K238" i="64"/>
  <c r="K239" i="64"/>
  <c r="K240" i="64"/>
  <c r="K241" i="64"/>
  <c r="K242" i="64"/>
  <c r="K243" i="64"/>
  <c r="K244" i="64"/>
  <c r="K245" i="64"/>
  <c r="K246" i="64"/>
  <c r="K247" i="64"/>
  <c r="K248" i="64"/>
  <c r="K249" i="64"/>
  <c r="K250" i="64"/>
  <c r="K251" i="64"/>
  <c r="K252" i="64"/>
  <c r="K253" i="64"/>
  <c r="K254" i="64"/>
  <c r="K255" i="64"/>
  <c r="K256" i="64"/>
  <c r="K257" i="64"/>
  <c r="K258" i="64"/>
  <c r="K259" i="64"/>
  <c r="K12" i="64"/>
  <c r="J13" i="64"/>
  <c r="J14" i="64"/>
  <c r="J15" i="64"/>
  <c r="J16" i="64"/>
  <c r="J17" i="64"/>
  <c r="J18" i="64"/>
  <c r="J19" i="64"/>
  <c r="J20" i="64"/>
  <c r="J21" i="64"/>
  <c r="J22" i="64"/>
  <c r="J23" i="64"/>
  <c r="J24" i="64"/>
  <c r="J25" i="64"/>
  <c r="J26" i="64"/>
  <c r="J27" i="64"/>
  <c r="J28" i="64"/>
  <c r="J29" i="64"/>
  <c r="J30" i="64"/>
  <c r="J31" i="64"/>
  <c r="J32" i="64"/>
  <c r="J33" i="64"/>
  <c r="J34" i="64"/>
  <c r="J35" i="64"/>
  <c r="J36" i="64"/>
  <c r="J37" i="64"/>
  <c r="J38" i="64"/>
  <c r="J39" i="64"/>
  <c r="J40" i="64"/>
  <c r="J41" i="64"/>
  <c r="J42" i="64"/>
  <c r="J43" i="64"/>
  <c r="J44" i="64"/>
  <c r="J45" i="64"/>
  <c r="J46" i="64"/>
  <c r="J47" i="64"/>
  <c r="J48" i="64"/>
  <c r="J49" i="64"/>
  <c r="J50" i="64"/>
  <c r="J51" i="64"/>
  <c r="J52" i="64"/>
  <c r="J53" i="64"/>
  <c r="J54" i="64"/>
  <c r="J55" i="64"/>
  <c r="J56" i="64"/>
  <c r="J57" i="64"/>
  <c r="J58" i="64"/>
  <c r="J59" i="64"/>
  <c r="J60" i="64"/>
  <c r="J61" i="64"/>
  <c r="J62" i="64"/>
  <c r="J63" i="64"/>
  <c r="J64" i="64"/>
  <c r="J65" i="64"/>
  <c r="J66" i="64"/>
  <c r="J67" i="64"/>
  <c r="J68" i="64"/>
  <c r="J69" i="64"/>
  <c r="J70" i="64"/>
  <c r="J71" i="64"/>
  <c r="J72" i="64"/>
  <c r="J73" i="64"/>
  <c r="J74" i="64"/>
  <c r="J75" i="64"/>
  <c r="J76" i="64"/>
  <c r="J77" i="64"/>
  <c r="J78" i="64"/>
  <c r="J79" i="64"/>
  <c r="J80" i="64"/>
  <c r="J81" i="64"/>
  <c r="J82" i="64"/>
  <c r="J83" i="64"/>
  <c r="J84" i="64"/>
  <c r="J85" i="64"/>
  <c r="J86" i="64"/>
  <c r="J87" i="64"/>
  <c r="J88" i="64"/>
  <c r="J89" i="64"/>
  <c r="J90" i="64"/>
  <c r="J91" i="64"/>
  <c r="J92" i="64"/>
  <c r="J93" i="64"/>
  <c r="J94" i="64"/>
  <c r="J95" i="64"/>
  <c r="J96" i="64"/>
  <c r="J97" i="64"/>
  <c r="J98" i="64"/>
  <c r="J99" i="64"/>
  <c r="J100" i="64"/>
  <c r="J101" i="64"/>
  <c r="J102" i="64"/>
  <c r="J103" i="64"/>
  <c r="J104" i="64"/>
  <c r="J105" i="64"/>
  <c r="J106" i="64"/>
  <c r="J107" i="64"/>
  <c r="J108" i="64"/>
  <c r="J109" i="64"/>
  <c r="J110" i="64"/>
  <c r="J111" i="64"/>
  <c r="J112" i="64"/>
  <c r="J113" i="64"/>
  <c r="J114" i="64"/>
  <c r="J115" i="64"/>
  <c r="J116" i="64"/>
  <c r="J117" i="64"/>
  <c r="J118" i="64"/>
  <c r="J119" i="64"/>
  <c r="J120" i="64"/>
  <c r="J121" i="64"/>
  <c r="J122" i="64"/>
  <c r="J123" i="64"/>
  <c r="J124" i="64"/>
  <c r="J125" i="64"/>
  <c r="J126" i="64"/>
  <c r="J127" i="64"/>
  <c r="J128" i="64"/>
  <c r="J129" i="64"/>
  <c r="J130" i="64"/>
  <c r="J131" i="64"/>
  <c r="J132" i="64"/>
  <c r="J133" i="64"/>
  <c r="J134" i="64"/>
  <c r="J135" i="64"/>
  <c r="J136" i="64"/>
  <c r="J137" i="64"/>
  <c r="J138" i="64"/>
  <c r="J139" i="64"/>
  <c r="J140" i="64"/>
  <c r="J141" i="64"/>
  <c r="J142" i="64"/>
  <c r="J143" i="64"/>
  <c r="J144" i="64"/>
  <c r="J145" i="64"/>
  <c r="J146" i="64"/>
  <c r="J147" i="64"/>
  <c r="J148" i="64"/>
  <c r="J149" i="64"/>
  <c r="J150" i="64"/>
  <c r="J151" i="64"/>
  <c r="J152" i="64"/>
  <c r="J153" i="64"/>
  <c r="J154" i="64"/>
  <c r="J155" i="64"/>
  <c r="J156" i="64"/>
  <c r="J157" i="64"/>
  <c r="J158" i="64"/>
  <c r="J159" i="64"/>
  <c r="J160" i="64"/>
  <c r="J161" i="64"/>
  <c r="J162" i="64"/>
  <c r="J163" i="64"/>
  <c r="J164" i="64"/>
  <c r="J165" i="64"/>
  <c r="J166" i="64"/>
  <c r="J167" i="64"/>
  <c r="J168" i="64"/>
  <c r="J169" i="64"/>
  <c r="J170" i="64"/>
  <c r="J171" i="64"/>
  <c r="J172" i="64"/>
  <c r="J173" i="64"/>
  <c r="J174" i="64"/>
  <c r="J175" i="64"/>
  <c r="J176" i="64"/>
  <c r="J177" i="64"/>
  <c r="J178" i="64"/>
  <c r="J179" i="64"/>
  <c r="J180" i="64"/>
  <c r="J181" i="64"/>
  <c r="J182" i="64"/>
  <c r="J183" i="64"/>
  <c r="J184" i="64"/>
  <c r="J185" i="64"/>
  <c r="J186" i="64"/>
  <c r="J187" i="64"/>
  <c r="J188" i="64"/>
  <c r="J189" i="64"/>
  <c r="J190" i="64"/>
  <c r="J191" i="64"/>
  <c r="J192" i="64"/>
  <c r="J193" i="64"/>
  <c r="J194" i="64"/>
  <c r="J195" i="64"/>
  <c r="J196" i="64"/>
  <c r="J197" i="64"/>
  <c r="J198" i="64"/>
  <c r="J199" i="64"/>
  <c r="J200" i="64"/>
  <c r="J201" i="64"/>
  <c r="J202" i="64"/>
  <c r="J203" i="64"/>
  <c r="J204" i="64"/>
  <c r="J205" i="64"/>
  <c r="J206" i="64"/>
  <c r="J207" i="64"/>
  <c r="J208" i="64"/>
  <c r="J209" i="64"/>
  <c r="J210" i="64"/>
  <c r="J211" i="64"/>
  <c r="J212" i="64"/>
  <c r="J213" i="64"/>
  <c r="J214" i="64"/>
  <c r="J215" i="64"/>
  <c r="J216" i="64"/>
  <c r="J217" i="64"/>
  <c r="J218" i="64"/>
  <c r="J219" i="64"/>
  <c r="J220" i="64"/>
  <c r="J221" i="64"/>
  <c r="J222" i="64"/>
  <c r="J223" i="64"/>
  <c r="J224" i="64"/>
  <c r="J225" i="64"/>
  <c r="J226" i="64"/>
  <c r="J227" i="64"/>
  <c r="J228" i="64"/>
  <c r="J229" i="64"/>
  <c r="J230" i="64"/>
  <c r="J231" i="64"/>
  <c r="J232" i="64"/>
  <c r="J233" i="64"/>
  <c r="J234" i="64"/>
  <c r="J235" i="64"/>
  <c r="J236" i="64"/>
  <c r="J237" i="64"/>
  <c r="J238" i="64"/>
  <c r="J239" i="64"/>
  <c r="J240" i="64"/>
  <c r="J241" i="64"/>
  <c r="J242" i="64"/>
  <c r="J243" i="64"/>
  <c r="J244" i="64"/>
  <c r="J245" i="64"/>
  <c r="J246" i="64"/>
  <c r="J247" i="64"/>
  <c r="J248" i="64"/>
  <c r="J249" i="64"/>
  <c r="J250" i="64"/>
  <c r="J251" i="64"/>
  <c r="J252" i="64"/>
  <c r="J253" i="64"/>
  <c r="J254" i="64"/>
  <c r="J255" i="64"/>
  <c r="J256" i="64"/>
  <c r="J257" i="64"/>
  <c r="J258" i="64"/>
  <c r="J259" i="64"/>
  <c r="Y33" i="63"/>
  <c r="Y34" i="63"/>
  <c r="Y35" i="63"/>
  <c r="Y36" i="63"/>
  <c r="Y37" i="63"/>
  <c r="Y39" i="63"/>
  <c r="Y40" i="63"/>
  <c r="Y41" i="63"/>
  <c r="Y42" i="63"/>
  <c r="Y43" i="63"/>
  <c r="Y44" i="63"/>
  <c r="Y45" i="63"/>
  <c r="Y46" i="63"/>
  <c r="Y48" i="63"/>
  <c r="Y49" i="63"/>
  <c r="Y50" i="63"/>
  <c r="Y51" i="63"/>
  <c r="Y52" i="63"/>
  <c r="Y53" i="63"/>
  <c r="Y54" i="63"/>
  <c r="Y55" i="63"/>
  <c r="Y56" i="63"/>
  <c r="Y57" i="63"/>
  <c r="Y58" i="63"/>
  <c r="Y59" i="63"/>
  <c r="Y60" i="63"/>
  <c r="Y61" i="63"/>
  <c r="Y62" i="63"/>
  <c r="Y63" i="63"/>
  <c r="Y64" i="63"/>
  <c r="Y65" i="63"/>
  <c r="Y66" i="63"/>
  <c r="Y67" i="63"/>
  <c r="Y68" i="63"/>
  <c r="Y69" i="63"/>
  <c r="Y70" i="63"/>
  <c r="Y71" i="63"/>
  <c r="Y72" i="63"/>
  <c r="Y73" i="63"/>
  <c r="Y74" i="63"/>
  <c r="Y75" i="63"/>
  <c r="Y76" i="63"/>
  <c r="Y77" i="63"/>
  <c r="Y78" i="63"/>
  <c r="Y79" i="63"/>
  <c r="Y80" i="63"/>
  <c r="Y81" i="63"/>
  <c r="Y82" i="63"/>
  <c r="Y83" i="63"/>
  <c r="Y84" i="63"/>
  <c r="Y85" i="63"/>
  <c r="Y86" i="63"/>
  <c r="Y87" i="63"/>
  <c r="Y88" i="63"/>
  <c r="Y89" i="63"/>
  <c r="Y90" i="63"/>
  <c r="Y91" i="63"/>
  <c r="Y92" i="63"/>
  <c r="Y93" i="63"/>
  <c r="Y94" i="63"/>
  <c r="Y95" i="63"/>
  <c r="Y96" i="63"/>
  <c r="Y97" i="63"/>
  <c r="Y98" i="63"/>
  <c r="Y99" i="63"/>
  <c r="Y100" i="63"/>
  <c r="Y101" i="63"/>
  <c r="Y102" i="63"/>
  <c r="Y103" i="63"/>
  <c r="Y104" i="63"/>
  <c r="Y105" i="63"/>
  <c r="Y106" i="63"/>
  <c r="Y107" i="63"/>
  <c r="Y108" i="63"/>
  <c r="Y109" i="63"/>
  <c r="Y110" i="63"/>
  <c r="Y111" i="63"/>
  <c r="Y112" i="63"/>
  <c r="Y113" i="63"/>
  <c r="Y114" i="63"/>
  <c r="Y115" i="63"/>
  <c r="Y116" i="63"/>
  <c r="Y117" i="63"/>
  <c r="Y118" i="63"/>
  <c r="Y119" i="63"/>
  <c r="Y120" i="63"/>
  <c r="Y121" i="63"/>
  <c r="Y122" i="63"/>
  <c r="Y123" i="63"/>
  <c r="Y124" i="63"/>
  <c r="Y125" i="63"/>
  <c r="Y126" i="63"/>
  <c r="Y127" i="63"/>
  <c r="Y128" i="63"/>
  <c r="Y129" i="63"/>
  <c r="Y130" i="63"/>
  <c r="Y131" i="63"/>
  <c r="Y132" i="63"/>
  <c r="Y133" i="63"/>
  <c r="Y134" i="63"/>
  <c r="Y135" i="63"/>
  <c r="Y136" i="63"/>
  <c r="Y137" i="63"/>
  <c r="Y138" i="63"/>
  <c r="Y139" i="63"/>
  <c r="Y140" i="63"/>
  <c r="Y141" i="63"/>
  <c r="Y142" i="63"/>
  <c r="Y143" i="63"/>
  <c r="Y144" i="63"/>
  <c r="Y145" i="63"/>
  <c r="Y146" i="63"/>
  <c r="Y147" i="63"/>
  <c r="Y148" i="63"/>
  <c r="Y149" i="63"/>
  <c r="Y150" i="63"/>
  <c r="Y151" i="63"/>
  <c r="Y152" i="63"/>
  <c r="Y153" i="63"/>
  <c r="Y154" i="63"/>
  <c r="Y155" i="63"/>
  <c r="Y156" i="63"/>
  <c r="Y157" i="63"/>
  <c r="Y158" i="63"/>
  <c r="Y159" i="63"/>
  <c r="Y160" i="63"/>
  <c r="Y161" i="63"/>
  <c r="Y162" i="63"/>
  <c r="Y163" i="63"/>
  <c r="Y164" i="63"/>
  <c r="Y165" i="63"/>
  <c r="Y166" i="63"/>
  <c r="Y167" i="63"/>
  <c r="Y168" i="63"/>
  <c r="Y169" i="63"/>
  <c r="Y170" i="63"/>
  <c r="Y171" i="63"/>
  <c r="Y172" i="63"/>
  <c r="Y173" i="63"/>
  <c r="Y174" i="63"/>
  <c r="Y175" i="63"/>
  <c r="Y176" i="63"/>
  <c r="Y177" i="63"/>
  <c r="Y178" i="63"/>
  <c r="Y179" i="63"/>
  <c r="Y180" i="63"/>
  <c r="Y181" i="63"/>
  <c r="Y182" i="63"/>
  <c r="Y183" i="63"/>
  <c r="Y184" i="63"/>
  <c r="Y185" i="63"/>
  <c r="Y186" i="63"/>
  <c r="Y187" i="63"/>
  <c r="Y188" i="63"/>
  <c r="Y189" i="63"/>
  <c r="Y190" i="63"/>
  <c r="Y191" i="63"/>
  <c r="Y192" i="63"/>
  <c r="Y193" i="63"/>
  <c r="Y194" i="63"/>
  <c r="Y195" i="63"/>
  <c r="Y196" i="63"/>
  <c r="Y197" i="63"/>
  <c r="Y198" i="63"/>
  <c r="Y199" i="63"/>
  <c r="Y200" i="63"/>
  <c r="Y201" i="63"/>
  <c r="Y202" i="63"/>
  <c r="Y203" i="63"/>
  <c r="Y204" i="63"/>
  <c r="Y205" i="63"/>
  <c r="Y206" i="63"/>
  <c r="Y207" i="63"/>
  <c r="Y208" i="63"/>
  <c r="Y209" i="63"/>
  <c r="Y210" i="63"/>
  <c r="Y211" i="63"/>
  <c r="Y212" i="63"/>
  <c r="Y213" i="63"/>
  <c r="Y214" i="63"/>
  <c r="Y215" i="63"/>
  <c r="Y216" i="63"/>
  <c r="Y217" i="63"/>
  <c r="Y218" i="63"/>
  <c r="Y219" i="63"/>
  <c r="Y220" i="63"/>
  <c r="Y221" i="63"/>
  <c r="Y222" i="63"/>
  <c r="Y223" i="63"/>
  <c r="Y224" i="63"/>
  <c r="Y225" i="63"/>
  <c r="Y226" i="63"/>
  <c r="Y227" i="63"/>
  <c r="Y228" i="63"/>
  <c r="Y229" i="63"/>
  <c r="Y230" i="63"/>
  <c r="Y231" i="63"/>
  <c r="Y232" i="63"/>
  <c r="Y233" i="63"/>
  <c r="Y234" i="63"/>
  <c r="Y235" i="63"/>
  <c r="Y236" i="63"/>
  <c r="Y237" i="63"/>
  <c r="Y238" i="63"/>
  <c r="Y239" i="63"/>
  <c r="Y240" i="63"/>
  <c r="Y241" i="63"/>
  <c r="Y242" i="63"/>
  <c r="Y243" i="63"/>
  <c r="Y244" i="63"/>
  <c r="Y245" i="63"/>
  <c r="Y246" i="63"/>
  <c r="Y247" i="63"/>
  <c r="Y248" i="63"/>
  <c r="Y249" i="63"/>
  <c r="Y250" i="63"/>
  <c r="Y251" i="63"/>
  <c r="Y252" i="63"/>
  <c r="Y253" i="63"/>
  <c r="Y254" i="63"/>
  <c r="Y255" i="63"/>
  <c r="Y257" i="63"/>
  <c r="P11" i="63"/>
  <c r="P12" i="63"/>
  <c r="P13" i="63"/>
  <c r="P14" i="63"/>
  <c r="P15" i="63"/>
  <c r="P16" i="63"/>
  <c r="P17" i="63"/>
  <c r="P18" i="63"/>
  <c r="P19" i="63"/>
  <c r="P20" i="63"/>
  <c r="P21" i="63"/>
  <c r="P22" i="63"/>
  <c r="P23" i="63"/>
  <c r="P24" i="63"/>
  <c r="P25" i="63"/>
  <c r="P26" i="63"/>
  <c r="P27" i="63"/>
  <c r="P28" i="63"/>
  <c r="P29" i="63"/>
  <c r="P30" i="63"/>
  <c r="P31" i="63"/>
  <c r="P32" i="63"/>
  <c r="P33" i="63"/>
  <c r="P34" i="63"/>
  <c r="P35" i="63"/>
  <c r="P36" i="63"/>
  <c r="P37" i="63"/>
  <c r="P38" i="63"/>
  <c r="P39" i="63"/>
  <c r="P40" i="63"/>
  <c r="P41" i="63"/>
  <c r="P42" i="63"/>
  <c r="P43" i="63"/>
  <c r="P44" i="63"/>
  <c r="P45" i="63"/>
  <c r="P46" i="63"/>
  <c r="P47" i="63"/>
  <c r="P48" i="63"/>
  <c r="P49" i="63"/>
  <c r="P50" i="63"/>
  <c r="P51" i="63"/>
  <c r="P52" i="63"/>
  <c r="P53" i="63"/>
  <c r="P54" i="63"/>
  <c r="P55" i="63"/>
  <c r="P56" i="63"/>
  <c r="P57" i="63"/>
  <c r="P58" i="63"/>
  <c r="P59" i="63"/>
  <c r="P60" i="63"/>
  <c r="P61" i="63"/>
  <c r="P62" i="63"/>
  <c r="P63" i="63"/>
  <c r="P64" i="63"/>
  <c r="P65" i="63"/>
  <c r="P66" i="63"/>
  <c r="P67" i="63"/>
  <c r="P68" i="63"/>
  <c r="P69" i="63"/>
  <c r="P70" i="63"/>
  <c r="P71" i="63"/>
  <c r="P72" i="63"/>
  <c r="P73" i="63"/>
  <c r="P74" i="63"/>
  <c r="P75" i="63"/>
  <c r="P76" i="63"/>
  <c r="P77" i="63"/>
  <c r="P78" i="63"/>
  <c r="P79" i="63"/>
  <c r="P80" i="63"/>
  <c r="P81" i="63"/>
  <c r="P82" i="63"/>
  <c r="P83" i="63"/>
  <c r="P84" i="63"/>
  <c r="P85" i="63"/>
  <c r="P86" i="63"/>
  <c r="P87" i="63"/>
  <c r="P88" i="63"/>
  <c r="P89" i="63"/>
  <c r="P90" i="63"/>
  <c r="P91" i="63"/>
  <c r="P92" i="63"/>
  <c r="P93" i="63"/>
  <c r="P94" i="63"/>
  <c r="P95" i="63"/>
  <c r="P96" i="63"/>
  <c r="P97" i="63"/>
  <c r="P98" i="63"/>
  <c r="P99" i="63"/>
  <c r="P100" i="63"/>
  <c r="P101" i="63"/>
  <c r="P102" i="63"/>
  <c r="P103" i="63"/>
  <c r="P104" i="63"/>
  <c r="P105" i="63"/>
  <c r="P106" i="63"/>
  <c r="P107" i="63"/>
  <c r="P108" i="63"/>
  <c r="P109" i="63"/>
  <c r="P110" i="63"/>
  <c r="P111" i="63"/>
  <c r="P112" i="63"/>
  <c r="P113" i="63"/>
  <c r="P114" i="63"/>
  <c r="P115" i="63"/>
  <c r="P116" i="63"/>
  <c r="P117" i="63"/>
  <c r="P118" i="63"/>
  <c r="P119" i="63"/>
  <c r="P120" i="63"/>
  <c r="P121" i="63"/>
  <c r="P122" i="63"/>
  <c r="P123" i="63"/>
  <c r="P124" i="63"/>
  <c r="P125" i="63"/>
  <c r="P126" i="63"/>
  <c r="P127" i="63"/>
  <c r="P128" i="63"/>
  <c r="P129" i="63"/>
  <c r="P130" i="63"/>
  <c r="P131" i="63"/>
  <c r="P132" i="63"/>
  <c r="P133" i="63"/>
  <c r="P134" i="63"/>
  <c r="P135" i="63"/>
  <c r="P136" i="63"/>
  <c r="P137" i="63"/>
  <c r="P138" i="63"/>
  <c r="P139" i="63"/>
  <c r="P140" i="63"/>
  <c r="P141" i="63"/>
  <c r="P142" i="63"/>
  <c r="P143" i="63"/>
  <c r="P144" i="63"/>
  <c r="P145" i="63"/>
  <c r="P146" i="63"/>
  <c r="P147" i="63"/>
  <c r="P148" i="63"/>
  <c r="P149" i="63"/>
  <c r="P150" i="63"/>
  <c r="P151" i="63"/>
  <c r="P152" i="63"/>
  <c r="P153" i="63"/>
  <c r="P154" i="63"/>
  <c r="P155" i="63"/>
  <c r="P156" i="63"/>
  <c r="P157" i="63"/>
  <c r="P158" i="63"/>
  <c r="P159" i="63"/>
  <c r="P160" i="63"/>
  <c r="P161" i="63"/>
  <c r="P162" i="63"/>
  <c r="P163" i="63"/>
  <c r="P164" i="63"/>
  <c r="P165" i="63"/>
  <c r="P166" i="63"/>
  <c r="P167" i="63"/>
  <c r="P168" i="63"/>
  <c r="P169" i="63"/>
  <c r="P170" i="63"/>
  <c r="P171" i="63"/>
  <c r="P172" i="63"/>
  <c r="P173" i="63"/>
  <c r="P174" i="63"/>
  <c r="P175" i="63"/>
  <c r="P176" i="63"/>
  <c r="P177" i="63"/>
  <c r="P178" i="63"/>
  <c r="P179" i="63"/>
  <c r="P180" i="63"/>
  <c r="P181" i="63"/>
  <c r="P182" i="63"/>
  <c r="P183" i="63"/>
  <c r="P184" i="63"/>
  <c r="P185" i="63"/>
  <c r="P186" i="63"/>
  <c r="P187" i="63"/>
  <c r="P188" i="63"/>
  <c r="P189" i="63"/>
  <c r="P190" i="63"/>
  <c r="P191" i="63"/>
  <c r="P192" i="63"/>
  <c r="P193" i="63"/>
  <c r="P194" i="63"/>
  <c r="P195" i="63"/>
  <c r="P196" i="63"/>
  <c r="P197" i="63"/>
  <c r="P198" i="63"/>
  <c r="P199" i="63"/>
  <c r="P200" i="63"/>
  <c r="P201" i="63"/>
  <c r="P202" i="63"/>
  <c r="P203" i="63"/>
  <c r="P204" i="63"/>
  <c r="P205" i="63"/>
  <c r="P206" i="63"/>
  <c r="P207" i="63"/>
  <c r="P208" i="63"/>
  <c r="P209" i="63"/>
  <c r="P210" i="63"/>
  <c r="P211" i="63"/>
  <c r="P212" i="63"/>
  <c r="P213" i="63"/>
  <c r="P214" i="63"/>
  <c r="P215" i="63"/>
  <c r="P216" i="63"/>
  <c r="P217" i="63"/>
  <c r="P218" i="63"/>
  <c r="P219" i="63"/>
  <c r="P220" i="63"/>
  <c r="P221" i="63"/>
  <c r="P222" i="63"/>
  <c r="P223" i="63"/>
  <c r="P224" i="63"/>
  <c r="P225" i="63"/>
  <c r="P226" i="63"/>
  <c r="P227" i="63"/>
  <c r="P228" i="63"/>
  <c r="P229" i="63"/>
  <c r="P230" i="63"/>
  <c r="P231" i="63"/>
  <c r="P232" i="63"/>
  <c r="P233" i="63"/>
  <c r="P234" i="63"/>
  <c r="P235" i="63"/>
  <c r="P236" i="63"/>
  <c r="P237" i="63"/>
  <c r="P238" i="63"/>
  <c r="P239" i="63"/>
  <c r="P240" i="63"/>
  <c r="P241" i="63"/>
  <c r="P242" i="63"/>
  <c r="P243" i="63"/>
  <c r="P244" i="63"/>
  <c r="P245" i="63"/>
  <c r="P246" i="63"/>
  <c r="P247" i="63"/>
  <c r="P248" i="63"/>
  <c r="P249" i="63"/>
  <c r="P250" i="63"/>
  <c r="P251" i="63"/>
  <c r="P252" i="63"/>
  <c r="P253" i="63"/>
  <c r="P254" i="63"/>
  <c r="P255" i="63"/>
  <c r="P256" i="63"/>
  <c r="P257" i="63"/>
  <c r="P10" i="63"/>
  <c r="N11" i="63"/>
  <c r="N12" i="63"/>
  <c r="N13" i="63"/>
  <c r="N14" i="63"/>
  <c r="N15" i="63"/>
  <c r="N16" i="63"/>
  <c r="N17" i="63"/>
  <c r="N18" i="63"/>
  <c r="N19" i="63"/>
  <c r="N20" i="63"/>
  <c r="N21" i="63"/>
  <c r="N22" i="63"/>
  <c r="N23" i="63"/>
  <c r="N24" i="63"/>
  <c r="N25" i="63"/>
  <c r="N26" i="63"/>
  <c r="N27" i="63"/>
  <c r="N28" i="63"/>
  <c r="N29" i="63"/>
  <c r="N30" i="63"/>
  <c r="N31" i="63"/>
  <c r="N32" i="63"/>
  <c r="N33" i="63"/>
  <c r="N34" i="63"/>
  <c r="N35" i="63"/>
  <c r="N36" i="63"/>
  <c r="N37" i="63"/>
  <c r="N38" i="63"/>
  <c r="N39" i="63"/>
  <c r="N40" i="63"/>
  <c r="N41" i="63"/>
  <c r="N42" i="63"/>
  <c r="N43" i="63"/>
  <c r="N44" i="63"/>
  <c r="N45" i="63"/>
  <c r="N46" i="63"/>
  <c r="N47" i="63"/>
  <c r="N48" i="63"/>
  <c r="N49" i="63"/>
  <c r="N50" i="63"/>
  <c r="N51" i="63"/>
  <c r="N52" i="63"/>
  <c r="N53" i="63"/>
  <c r="N54" i="63"/>
  <c r="N55" i="63"/>
  <c r="N56" i="63"/>
  <c r="N57" i="63"/>
  <c r="N58" i="63"/>
  <c r="N59" i="63"/>
  <c r="N60" i="63"/>
  <c r="N61" i="63"/>
  <c r="N62" i="63"/>
  <c r="N63" i="63"/>
  <c r="N64" i="63"/>
  <c r="N65" i="63"/>
  <c r="N66" i="63"/>
  <c r="N67" i="63"/>
  <c r="N68" i="63"/>
  <c r="N69" i="63"/>
  <c r="N70" i="63"/>
  <c r="N71" i="63"/>
  <c r="N72" i="63"/>
  <c r="N73" i="63"/>
  <c r="N74" i="63"/>
  <c r="N75" i="63"/>
  <c r="N76" i="63"/>
  <c r="N77" i="63"/>
  <c r="N78" i="63"/>
  <c r="N79" i="63"/>
  <c r="N80" i="63"/>
  <c r="N81" i="63"/>
  <c r="N82" i="63"/>
  <c r="N83" i="63"/>
  <c r="N84" i="63"/>
  <c r="N85" i="63"/>
  <c r="N86" i="63"/>
  <c r="N87" i="63"/>
  <c r="N88" i="63"/>
  <c r="N89" i="63"/>
  <c r="N90" i="63"/>
  <c r="N91" i="63"/>
  <c r="N92" i="63"/>
  <c r="N93" i="63"/>
  <c r="N94" i="63"/>
  <c r="N95" i="63"/>
  <c r="N96" i="63"/>
  <c r="N97" i="63"/>
  <c r="N98" i="63"/>
  <c r="N99" i="63"/>
  <c r="N100" i="63"/>
  <c r="N101" i="63"/>
  <c r="N102" i="63"/>
  <c r="N103" i="63"/>
  <c r="N104" i="63"/>
  <c r="N105" i="63"/>
  <c r="N106" i="63"/>
  <c r="N107" i="63"/>
  <c r="N108" i="63"/>
  <c r="N109" i="63"/>
  <c r="N110" i="63"/>
  <c r="N111" i="63"/>
  <c r="N112" i="63"/>
  <c r="N113" i="63"/>
  <c r="N114" i="63"/>
  <c r="N115" i="63"/>
  <c r="N116" i="63"/>
  <c r="N117" i="63"/>
  <c r="N118" i="63"/>
  <c r="N119" i="63"/>
  <c r="N120" i="63"/>
  <c r="N121" i="63"/>
  <c r="N122" i="63"/>
  <c r="N123" i="63"/>
  <c r="N124" i="63"/>
  <c r="N125" i="63"/>
  <c r="N126" i="63"/>
  <c r="N127" i="63"/>
  <c r="N128" i="63"/>
  <c r="N129" i="63"/>
  <c r="N130" i="63"/>
  <c r="N131" i="63"/>
  <c r="N132" i="63"/>
  <c r="N133" i="63"/>
  <c r="N134" i="63"/>
  <c r="N135" i="63"/>
  <c r="N136" i="63"/>
  <c r="N137" i="63"/>
  <c r="N138" i="63"/>
  <c r="N139" i="63"/>
  <c r="N140" i="63"/>
  <c r="N141" i="63"/>
  <c r="N142" i="63"/>
  <c r="N143" i="63"/>
  <c r="N144" i="63"/>
  <c r="N145" i="63"/>
  <c r="N146" i="63"/>
  <c r="N147" i="63"/>
  <c r="N148" i="63"/>
  <c r="N149" i="63"/>
  <c r="N150" i="63"/>
  <c r="N151" i="63"/>
  <c r="N152" i="63"/>
  <c r="N153" i="63"/>
  <c r="N154" i="63"/>
  <c r="N155" i="63"/>
  <c r="N156" i="63"/>
  <c r="N157" i="63"/>
  <c r="N158" i="63"/>
  <c r="N159" i="63"/>
  <c r="N160" i="63"/>
  <c r="N161" i="63"/>
  <c r="N162" i="63"/>
  <c r="N163" i="63"/>
  <c r="N164" i="63"/>
  <c r="N165" i="63"/>
  <c r="N166" i="63"/>
  <c r="N167" i="63"/>
  <c r="N168" i="63"/>
  <c r="N169" i="63"/>
  <c r="N170" i="63"/>
  <c r="N171" i="63"/>
  <c r="N172" i="63"/>
  <c r="N173" i="63"/>
  <c r="N174" i="63"/>
  <c r="N175" i="63"/>
  <c r="N176" i="63"/>
  <c r="N177" i="63"/>
  <c r="N178" i="63"/>
  <c r="N179" i="63"/>
  <c r="N180" i="63"/>
  <c r="N181" i="63"/>
  <c r="N182" i="63"/>
  <c r="N183" i="63"/>
  <c r="N184" i="63"/>
  <c r="N185" i="63"/>
  <c r="N186" i="63"/>
  <c r="N187" i="63"/>
  <c r="N188" i="63"/>
  <c r="N189" i="63"/>
  <c r="N190" i="63"/>
  <c r="N191" i="63"/>
  <c r="N192" i="63"/>
  <c r="N193" i="63"/>
  <c r="N194" i="63"/>
  <c r="N195" i="63"/>
  <c r="N196" i="63"/>
  <c r="N197" i="63"/>
  <c r="N198" i="63"/>
  <c r="N199" i="63"/>
  <c r="N200" i="63"/>
  <c r="N201" i="63"/>
  <c r="N202" i="63"/>
  <c r="N203" i="63"/>
  <c r="N204" i="63"/>
  <c r="N205" i="63"/>
  <c r="N206" i="63"/>
  <c r="N207" i="63"/>
  <c r="N208" i="63"/>
  <c r="N209" i="63"/>
  <c r="N210" i="63"/>
  <c r="N211" i="63"/>
  <c r="N212" i="63"/>
  <c r="N213" i="63"/>
  <c r="N214" i="63"/>
  <c r="N215" i="63"/>
  <c r="N216" i="63"/>
  <c r="N217" i="63"/>
  <c r="N218" i="63"/>
  <c r="N219" i="63"/>
  <c r="N220" i="63"/>
  <c r="N221" i="63"/>
  <c r="N222" i="63"/>
  <c r="N223" i="63"/>
  <c r="N224" i="63"/>
  <c r="N225" i="63"/>
  <c r="N226" i="63"/>
  <c r="N227" i="63"/>
  <c r="N228" i="63"/>
  <c r="N229" i="63"/>
  <c r="N230" i="63"/>
  <c r="N231" i="63"/>
  <c r="N232" i="63"/>
  <c r="N233" i="63"/>
  <c r="N234" i="63"/>
  <c r="N235" i="63"/>
  <c r="N236" i="63"/>
  <c r="N237" i="63"/>
  <c r="N238" i="63"/>
  <c r="N239" i="63"/>
  <c r="N240" i="63"/>
  <c r="N241" i="63"/>
  <c r="N242" i="63"/>
  <c r="N243" i="63"/>
  <c r="N244" i="63"/>
  <c r="N245" i="63"/>
  <c r="N246" i="63"/>
  <c r="N247" i="63"/>
  <c r="N248" i="63"/>
  <c r="N249" i="63"/>
  <c r="N250" i="63"/>
  <c r="N251" i="63"/>
  <c r="N252" i="63"/>
  <c r="N253" i="63"/>
  <c r="N254" i="63"/>
  <c r="N255" i="63"/>
  <c r="N256" i="63"/>
  <c r="N257" i="63"/>
  <c r="N10" i="63"/>
  <c r="L11" i="63"/>
  <c r="L12" i="63"/>
  <c r="L13" i="63"/>
  <c r="L14" i="63"/>
  <c r="L15" i="63"/>
  <c r="L16" i="63"/>
  <c r="L17" i="63"/>
  <c r="L18" i="63"/>
  <c r="L19" i="63"/>
  <c r="L20" i="63"/>
  <c r="L21" i="63"/>
  <c r="L22" i="63"/>
  <c r="L23" i="63"/>
  <c r="L24" i="63"/>
  <c r="L25" i="63"/>
  <c r="L26" i="63"/>
  <c r="L27" i="63"/>
  <c r="L28" i="63"/>
  <c r="L29" i="63"/>
  <c r="L30" i="63"/>
  <c r="L31" i="63"/>
  <c r="L32" i="63"/>
  <c r="L33" i="63"/>
  <c r="L34" i="63"/>
  <c r="L35" i="63"/>
  <c r="L36" i="63"/>
  <c r="L37" i="63"/>
  <c r="L38" i="63"/>
  <c r="L39" i="63"/>
  <c r="L40" i="63"/>
  <c r="L41" i="63"/>
  <c r="L42" i="63"/>
  <c r="L43" i="63"/>
  <c r="L44" i="63"/>
  <c r="L45" i="63"/>
  <c r="L46" i="63"/>
  <c r="L47" i="63"/>
  <c r="L48" i="63"/>
  <c r="L49" i="63"/>
  <c r="L50" i="63"/>
  <c r="L51" i="63"/>
  <c r="L52" i="63"/>
  <c r="L53" i="63"/>
  <c r="L54" i="63"/>
  <c r="L55" i="63"/>
  <c r="L56" i="63"/>
  <c r="L57" i="63"/>
  <c r="L58" i="63"/>
  <c r="L59" i="63"/>
  <c r="L60" i="63"/>
  <c r="L61" i="63"/>
  <c r="L62" i="63"/>
  <c r="L63" i="63"/>
  <c r="L64" i="63"/>
  <c r="L65" i="63"/>
  <c r="L66" i="63"/>
  <c r="L67" i="63"/>
  <c r="L68" i="63"/>
  <c r="L69" i="63"/>
  <c r="L70" i="63"/>
  <c r="L71" i="63"/>
  <c r="L72" i="63"/>
  <c r="L73" i="63"/>
  <c r="L74" i="63"/>
  <c r="L75" i="63"/>
  <c r="L76" i="63"/>
  <c r="L77" i="63"/>
  <c r="L78" i="63"/>
  <c r="L79" i="63"/>
  <c r="L80" i="63"/>
  <c r="L81" i="63"/>
  <c r="L82" i="63"/>
  <c r="L83" i="63"/>
  <c r="L84" i="63"/>
  <c r="L85" i="63"/>
  <c r="L86" i="63"/>
  <c r="L87" i="63"/>
  <c r="L88" i="63"/>
  <c r="L89" i="63"/>
  <c r="L90" i="63"/>
  <c r="L91" i="63"/>
  <c r="L92" i="63"/>
  <c r="L93" i="63"/>
  <c r="L94" i="63"/>
  <c r="L95" i="63"/>
  <c r="L96" i="63"/>
  <c r="L97" i="63"/>
  <c r="L98" i="63"/>
  <c r="L99" i="63"/>
  <c r="L100" i="63"/>
  <c r="L101" i="63"/>
  <c r="L102" i="63"/>
  <c r="L103" i="63"/>
  <c r="L104" i="63"/>
  <c r="L105" i="63"/>
  <c r="L106" i="63"/>
  <c r="L107" i="63"/>
  <c r="L108" i="63"/>
  <c r="L109" i="63"/>
  <c r="L110" i="63"/>
  <c r="L111" i="63"/>
  <c r="L112" i="63"/>
  <c r="L113" i="63"/>
  <c r="L114" i="63"/>
  <c r="L115" i="63"/>
  <c r="L116" i="63"/>
  <c r="L117" i="63"/>
  <c r="L118" i="63"/>
  <c r="L119" i="63"/>
  <c r="L120" i="63"/>
  <c r="L121" i="63"/>
  <c r="L122" i="63"/>
  <c r="L123" i="63"/>
  <c r="L124" i="63"/>
  <c r="L125" i="63"/>
  <c r="L126" i="63"/>
  <c r="L127" i="63"/>
  <c r="L128" i="63"/>
  <c r="L129" i="63"/>
  <c r="L130" i="63"/>
  <c r="L131" i="63"/>
  <c r="L132" i="63"/>
  <c r="L133" i="63"/>
  <c r="L134" i="63"/>
  <c r="L135" i="63"/>
  <c r="L136" i="63"/>
  <c r="L137" i="63"/>
  <c r="L138" i="63"/>
  <c r="L139" i="63"/>
  <c r="L140" i="63"/>
  <c r="L141" i="63"/>
  <c r="L142" i="63"/>
  <c r="L143" i="63"/>
  <c r="L144" i="63"/>
  <c r="L145" i="63"/>
  <c r="L146" i="63"/>
  <c r="L147" i="63"/>
  <c r="L148" i="63"/>
  <c r="L149" i="63"/>
  <c r="L150" i="63"/>
  <c r="L151" i="63"/>
  <c r="L152" i="63"/>
  <c r="L153" i="63"/>
  <c r="L154" i="63"/>
  <c r="L155" i="63"/>
  <c r="L156" i="63"/>
  <c r="L157" i="63"/>
  <c r="L158" i="63"/>
  <c r="L159" i="63"/>
  <c r="L160" i="63"/>
  <c r="L161" i="63"/>
  <c r="L162" i="63"/>
  <c r="L163" i="63"/>
  <c r="L164" i="63"/>
  <c r="L165" i="63"/>
  <c r="L166" i="63"/>
  <c r="L167" i="63"/>
  <c r="L168" i="63"/>
  <c r="L169" i="63"/>
  <c r="L170" i="63"/>
  <c r="L171" i="63"/>
  <c r="L172" i="63"/>
  <c r="L173" i="63"/>
  <c r="L174" i="63"/>
  <c r="L175" i="63"/>
  <c r="L176" i="63"/>
  <c r="L177" i="63"/>
  <c r="L178" i="63"/>
  <c r="L179" i="63"/>
  <c r="L180" i="63"/>
  <c r="L181" i="63"/>
  <c r="L182" i="63"/>
  <c r="L183" i="63"/>
  <c r="L184" i="63"/>
  <c r="L185" i="63"/>
  <c r="L186" i="63"/>
  <c r="L187" i="63"/>
  <c r="L188" i="63"/>
  <c r="L189" i="63"/>
  <c r="L190" i="63"/>
  <c r="L191" i="63"/>
  <c r="L192" i="63"/>
  <c r="L193" i="63"/>
  <c r="L194" i="63"/>
  <c r="L195" i="63"/>
  <c r="L196" i="63"/>
  <c r="L197" i="63"/>
  <c r="L198" i="63"/>
  <c r="L199" i="63"/>
  <c r="L200" i="63"/>
  <c r="L201" i="63"/>
  <c r="L202" i="63"/>
  <c r="L203" i="63"/>
  <c r="L204" i="63"/>
  <c r="L205" i="63"/>
  <c r="L206" i="63"/>
  <c r="L207" i="63"/>
  <c r="L208" i="63"/>
  <c r="L209" i="63"/>
  <c r="L210" i="63"/>
  <c r="L211" i="63"/>
  <c r="L212" i="63"/>
  <c r="L213" i="63"/>
  <c r="L214" i="63"/>
  <c r="L215" i="63"/>
  <c r="L216" i="63"/>
  <c r="L217" i="63"/>
  <c r="L218" i="63"/>
  <c r="L219" i="63"/>
  <c r="L220" i="63"/>
  <c r="L221" i="63"/>
  <c r="L222" i="63"/>
  <c r="L223" i="63"/>
  <c r="L224" i="63"/>
  <c r="L225" i="63"/>
  <c r="L226" i="63"/>
  <c r="L227" i="63"/>
  <c r="L228" i="63"/>
  <c r="L229" i="63"/>
  <c r="L230" i="63"/>
  <c r="L231" i="63"/>
  <c r="L232" i="63"/>
  <c r="L233" i="63"/>
  <c r="L234" i="63"/>
  <c r="L235" i="63"/>
  <c r="L236" i="63"/>
  <c r="L237" i="63"/>
  <c r="L238" i="63"/>
  <c r="L239" i="63"/>
  <c r="L240" i="63"/>
  <c r="L241" i="63"/>
  <c r="L242" i="63"/>
  <c r="L243" i="63"/>
  <c r="L244" i="63"/>
  <c r="L245" i="63"/>
  <c r="L246" i="63"/>
  <c r="L247" i="63"/>
  <c r="L248" i="63"/>
  <c r="L249" i="63"/>
  <c r="L250" i="63"/>
  <c r="L251" i="63"/>
  <c r="L252" i="63"/>
  <c r="L253" i="63"/>
  <c r="L254" i="63"/>
  <c r="L255" i="63"/>
  <c r="L256" i="63"/>
  <c r="L257" i="63"/>
  <c r="L10" i="63"/>
  <c r="K11" i="63"/>
  <c r="K12" i="63"/>
  <c r="K13" i="63"/>
  <c r="K14" i="63"/>
  <c r="K15" i="63"/>
  <c r="K16" i="63"/>
  <c r="K17" i="63"/>
  <c r="K18" i="63"/>
  <c r="K19" i="63"/>
  <c r="K20" i="63"/>
  <c r="K21" i="63"/>
  <c r="K22" i="63"/>
  <c r="K23" i="63"/>
  <c r="K24" i="63"/>
  <c r="K25" i="63"/>
  <c r="K26" i="63"/>
  <c r="K27" i="63"/>
  <c r="K28" i="63"/>
  <c r="K29" i="63"/>
  <c r="K30" i="63"/>
  <c r="K31" i="63"/>
  <c r="K32" i="63"/>
  <c r="K33" i="63"/>
  <c r="K34" i="63"/>
  <c r="K35" i="63"/>
  <c r="K36" i="63"/>
  <c r="K37" i="63"/>
  <c r="K38" i="63"/>
  <c r="K39" i="63"/>
  <c r="K40" i="63"/>
  <c r="K41" i="63"/>
  <c r="K42" i="63"/>
  <c r="K43" i="63"/>
  <c r="K44" i="63"/>
  <c r="K45" i="63"/>
  <c r="K46" i="63"/>
  <c r="K47" i="63"/>
  <c r="K48" i="63"/>
  <c r="K49" i="63"/>
  <c r="K50" i="63"/>
  <c r="K51" i="63"/>
  <c r="K52" i="63"/>
  <c r="K53" i="63"/>
  <c r="K54" i="63"/>
  <c r="K55" i="63"/>
  <c r="K56" i="63"/>
  <c r="K57" i="63"/>
  <c r="K58" i="63"/>
  <c r="K59" i="63"/>
  <c r="K60" i="63"/>
  <c r="K61" i="63"/>
  <c r="K62" i="63"/>
  <c r="K63" i="63"/>
  <c r="K64" i="63"/>
  <c r="K65" i="63"/>
  <c r="K66" i="63"/>
  <c r="K67" i="63"/>
  <c r="K68" i="63"/>
  <c r="K69" i="63"/>
  <c r="K70" i="63"/>
  <c r="K71" i="63"/>
  <c r="K72" i="63"/>
  <c r="K73" i="63"/>
  <c r="K74" i="63"/>
  <c r="K75" i="63"/>
  <c r="K76" i="63"/>
  <c r="K77" i="63"/>
  <c r="K78" i="63"/>
  <c r="K79" i="63"/>
  <c r="K80" i="63"/>
  <c r="K81" i="63"/>
  <c r="K82" i="63"/>
  <c r="K83" i="63"/>
  <c r="K84" i="63"/>
  <c r="K85" i="63"/>
  <c r="K86" i="63"/>
  <c r="K87" i="63"/>
  <c r="K88" i="63"/>
  <c r="K89" i="63"/>
  <c r="K90" i="63"/>
  <c r="K91" i="63"/>
  <c r="K92" i="63"/>
  <c r="K93" i="63"/>
  <c r="K94" i="63"/>
  <c r="K95" i="63"/>
  <c r="K96" i="63"/>
  <c r="K97" i="63"/>
  <c r="K98" i="63"/>
  <c r="K99" i="63"/>
  <c r="K100" i="63"/>
  <c r="K101" i="63"/>
  <c r="K102" i="63"/>
  <c r="K103" i="63"/>
  <c r="K104" i="63"/>
  <c r="K105" i="63"/>
  <c r="K106" i="63"/>
  <c r="K107" i="63"/>
  <c r="K108" i="63"/>
  <c r="K109" i="63"/>
  <c r="K110" i="63"/>
  <c r="K111" i="63"/>
  <c r="K112" i="63"/>
  <c r="K113" i="63"/>
  <c r="K114" i="63"/>
  <c r="K115" i="63"/>
  <c r="K116" i="63"/>
  <c r="K117" i="63"/>
  <c r="K118" i="63"/>
  <c r="K119" i="63"/>
  <c r="K120" i="63"/>
  <c r="K121" i="63"/>
  <c r="K122" i="63"/>
  <c r="K123" i="63"/>
  <c r="K124" i="63"/>
  <c r="K125" i="63"/>
  <c r="K126" i="63"/>
  <c r="K127" i="63"/>
  <c r="K128" i="63"/>
  <c r="K129" i="63"/>
  <c r="K130" i="63"/>
  <c r="K131" i="63"/>
  <c r="K132" i="63"/>
  <c r="K133" i="63"/>
  <c r="K134" i="63"/>
  <c r="K135" i="63"/>
  <c r="K136" i="63"/>
  <c r="K137" i="63"/>
  <c r="K138" i="63"/>
  <c r="K139" i="63"/>
  <c r="K140" i="63"/>
  <c r="K141" i="63"/>
  <c r="K142" i="63"/>
  <c r="K143" i="63"/>
  <c r="K144" i="63"/>
  <c r="K145" i="63"/>
  <c r="K146" i="63"/>
  <c r="K147" i="63"/>
  <c r="K148" i="63"/>
  <c r="K149" i="63"/>
  <c r="K150" i="63"/>
  <c r="K151" i="63"/>
  <c r="K152" i="63"/>
  <c r="K153" i="63"/>
  <c r="K154" i="63"/>
  <c r="K155" i="63"/>
  <c r="K156" i="63"/>
  <c r="K157" i="63"/>
  <c r="K158" i="63"/>
  <c r="K159" i="63"/>
  <c r="K160" i="63"/>
  <c r="K161" i="63"/>
  <c r="K162" i="63"/>
  <c r="K163" i="63"/>
  <c r="K164" i="63"/>
  <c r="K165" i="63"/>
  <c r="K166" i="63"/>
  <c r="K167" i="63"/>
  <c r="K168" i="63"/>
  <c r="K169" i="63"/>
  <c r="K170" i="63"/>
  <c r="K171" i="63"/>
  <c r="K172" i="63"/>
  <c r="K173" i="63"/>
  <c r="K174" i="63"/>
  <c r="K175" i="63"/>
  <c r="K176" i="63"/>
  <c r="K177" i="63"/>
  <c r="K178" i="63"/>
  <c r="K179" i="63"/>
  <c r="K180" i="63"/>
  <c r="K181" i="63"/>
  <c r="K182" i="63"/>
  <c r="K183" i="63"/>
  <c r="K184" i="63"/>
  <c r="K185" i="63"/>
  <c r="K186" i="63"/>
  <c r="K187" i="63"/>
  <c r="K188" i="63"/>
  <c r="K189" i="63"/>
  <c r="K190" i="63"/>
  <c r="K191" i="63"/>
  <c r="K192" i="63"/>
  <c r="K193" i="63"/>
  <c r="K194" i="63"/>
  <c r="K195" i="63"/>
  <c r="K196" i="63"/>
  <c r="K197" i="63"/>
  <c r="K198" i="63"/>
  <c r="K199" i="63"/>
  <c r="K200" i="63"/>
  <c r="K201" i="63"/>
  <c r="K202" i="63"/>
  <c r="K203" i="63"/>
  <c r="K204" i="63"/>
  <c r="K205" i="63"/>
  <c r="K206" i="63"/>
  <c r="K207" i="63"/>
  <c r="K208" i="63"/>
  <c r="K209" i="63"/>
  <c r="K210" i="63"/>
  <c r="K211" i="63"/>
  <c r="K212" i="63"/>
  <c r="K213" i="63"/>
  <c r="K214" i="63"/>
  <c r="K215" i="63"/>
  <c r="K216" i="63"/>
  <c r="K217" i="63"/>
  <c r="K218" i="63"/>
  <c r="K219" i="63"/>
  <c r="K220" i="63"/>
  <c r="K221" i="63"/>
  <c r="K222" i="63"/>
  <c r="K223" i="63"/>
  <c r="K224" i="63"/>
  <c r="K225" i="63"/>
  <c r="K226" i="63"/>
  <c r="K227" i="63"/>
  <c r="K228" i="63"/>
  <c r="K229" i="63"/>
  <c r="K230" i="63"/>
  <c r="K231" i="63"/>
  <c r="K232" i="63"/>
  <c r="K233" i="63"/>
  <c r="K234" i="63"/>
  <c r="K235" i="63"/>
  <c r="K236" i="63"/>
  <c r="K237" i="63"/>
  <c r="K238" i="63"/>
  <c r="K239" i="63"/>
  <c r="K240" i="63"/>
  <c r="K241" i="63"/>
  <c r="K242" i="63"/>
  <c r="K243" i="63"/>
  <c r="K244" i="63"/>
  <c r="K245" i="63"/>
  <c r="K246" i="63"/>
  <c r="K247" i="63"/>
  <c r="K248" i="63"/>
  <c r="K249" i="63"/>
  <c r="K250" i="63"/>
  <c r="K251" i="63"/>
  <c r="K252" i="63"/>
  <c r="K253" i="63"/>
  <c r="K254" i="63"/>
  <c r="K255" i="63"/>
  <c r="K256" i="63"/>
  <c r="K257" i="63"/>
  <c r="K10" i="63"/>
  <c r="AI13" i="57"/>
  <c r="AI14" i="57"/>
  <c r="AI15" i="57"/>
  <c r="AI16" i="57"/>
  <c r="AI17" i="57"/>
  <c r="AI18" i="57"/>
  <c r="AI19" i="57"/>
  <c r="AI20" i="57"/>
  <c r="AI21" i="57"/>
  <c r="AI22" i="57"/>
  <c r="AI23" i="57"/>
  <c r="AI24" i="57"/>
  <c r="AI25" i="57"/>
  <c r="AI26" i="57"/>
  <c r="AI27" i="57"/>
  <c r="AI28" i="57"/>
  <c r="AI29" i="57"/>
  <c r="AI30" i="57"/>
  <c r="AI31" i="57"/>
  <c r="AI32" i="57"/>
  <c r="AI33" i="57"/>
  <c r="AI34" i="57"/>
  <c r="AI35" i="57"/>
  <c r="AI36" i="57"/>
  <c r="AI37" i="57"/>
  <c r="AI38" i="57"/>
  <c r="AI39" i="57"/>
  <c r="AI40" i="57"/>
  <c r="AI41" i="57"/>
  <c r="AI42" i="57"/>
  <c r="AI43" i="57"/>
  <c r="AI44" i="57"/>
  <c r="AI45" i="57"/>
  <c r="AI46" i="57"/>
  <c r="AI47" i="57"/>
  <c r="AI48" i="57"/>
  <c r="AI49" i="57"/>
  <c r="AI50" i="57"/>
  <c r="AI51" i="57"/>
  <c r="AI52" i="57"/>
  <c r="AI53" i="57"/>
  <c r="AI54" i="57"/>
  <c r="AI55" i="57"/>
  <c r="AI56" i="57"/>
  <c r="AI57" i="57"/>
  <c r="AI58" i="57"/>
  <c r="AI59" i="57"/>
  <c r="AI60" i="57"/>
  <c r="AI61" i="57"/>
  <c r="AI62" i="57"/>
  <c r="AI63" i="57"/>
  <c r="AI64" i="57"/>
  <c r="AI65" i="57"/>
  <c r="AI66" i="57"/>
  <c r="AI67" i="57"/>
  <c r="AI68" i="57"/>
  <c r="AI69" i="57"/>
  <c r="AI70" i="57"/>
  <c r="AI71" i="57"/>
  <c r="AI72" i="57"/>
  <c r="AI73" i="57"/>
  <c r="AI74" i="57"/>
  <c r="AI75" i="57"/>
  <c r="AI76" i="57"/>
  <c r="AI77" i="57"/>
  <c r="AI78" i="57"/>
  <c r="AI79" i="57"/>
  <c r="AI80" i="57"/>
  <c r="AI81" i="57"/>
  <c r="AI82" i="57"/>
  <c r="AI83" i="57"/>
  <c r="AI84" i="57"/>
  <c r="AI85" i="57"/>
  <c r="AI86" i="57"/>
  <c r="AI87" i="57"/>
  <c r="AI88" i="57"/>
  <c r="AI89" i="57"/>
  <c r="AI90" i="57"/>
  <c r="AI91" i="57"/>
  <c r="AI92" i="57"/>
  <c r="AI93" i="57"/>
  <c r="AI94" i="57"/>
  <c r="AI95" i="57"/>
  <c r="AI96" i="57"/>
  <c r="AI97" i="57"/>
  <c r="AI98" i="57"/>
  <c r="AI99" i="57"/>
  <c r="AI100" i="57"/>
  <c r="AI101" i="57"/>
  <c r="AI102" i="57"/>
  <c r="AI103" i="57"/>
  <c r="AI104" i="57"/>
  <c r="AI105" i="57"/>
  <c r="AI106" i="57"/>
  <c r="AI107" i="57"/>
  <c r="AI108" i="57"/>
  <c r="AI109" i="57"/>
  <c r="AI110" i="57"/>
  <c r="AI111" i="57"/>
  <c r="AI112" i="57"/>
  <c r="AI113" i="57"/>
  <c r="AI114" i="57"/>
  <c r="AI115" i="57"/>
  <c r="AI116" i="57"/>
  <c r="AI117" i="57"/>
  <c r="AI118" i="57"/>
  <c r="AI119" i="57"/>
  <c r="AI120" i="57"/>
  <c r="AI121" i="57"/>
  <c r="AI122" i="57"/>
  <c r="AI123" i="57"/>
  <c r="AI124" i="57"/>
  <c r="AI125" i="57"/>
  <c r="AI126" i="57"/>
  <c r="AI127" i="57"/>
  <c r="AI128" i="57"/>
  <c r="AI129" i="57"/>
  <c r="AI130" i="57"/>
  <c r="AI131" i="57"/>
  <c r="AI132" i="57"/>
  <c r="AI133" i="57"/>
  <c r="AI134" i="57"/>
  <c r="AI135" i="57"/>
  <c r="AI136" i="57"/>
  <c r="AI137" i="57"/>
  <c r="AI138" i="57"/>
  <c r="AI139" i="57"/>
  <c r="AI140" i="57"/>
  <c r="AI141" i="57"/>
  <c r="AI142" i="57"/>
  <c r="AI143" i="57"/>
  <c r="AI144" i="57"/>
  <c r="AI145" i="57"/>
  <c r="AI146" i="57"/>
  <c r="AI147" i="57"/>
  <c r="AI148" i="57"/>
  <c r="AI149" i="57"/>
  <c r="AI150" i="57"/>
  <c r="AI151" i="57"/>
  <c r="AI152" i="57"/>
  <c r="AI153" i="57"/>
  <c r="AI154" i="57"/>
  <c r="AI155" i="57"/>
  <c r="AI156" i="57"/>
  <c r="AI157" i="57"/>
  <c r="AI158" i="57"/>
  <c r="AI159" i="57"/>
  <c r="AI160" i="57"/>
  <c r="AI161" i="57"/>
  <c r="AI162" i="57"/>
  <c r="AI163" i="57"/>
  <c r="AI164" i="57"/>
  <c r="AI165" i="57"/>
  <c r="AI166" i="57"/>
  <c r="AI167" i="57"/>
  <c r="AI168" i="57"/>
  <c r="AI169" i="57"/>
  <c r="AI170" i="57"/>
  <c r="AI171" i="57"/>
  <c r="AI172" i="57"/>
  <c r="AI173" i="57"/>
  <c r="AI174" i="57"/>
  <c r="AI175" i="57"/>
  <c r="AI176" i="57"/>
  <c r="AI177" i="57"/>
  <c r="AI178" i="57"/>
  <c r="AI179" i="57"/>
  <c r="AI180" i="57"/>
  <c r="AI181" i="57"/>
  <c r="AI182" i="57"/>
  <c r="AI183" i="57"/>
  <c r="AI184" i="57"/>
  <c r="AI185" i="57"/>
  <c r="AI186" i="57"/>
  <c r="AI187" i="57"/>
  <c r="AI188" i="57"/>
  <c r="AI189" i="57"/>
  <c r="AI190" i="57"/>
  <c r="AI191" i="57"/>
  <c r="AI192" i="57"/>
  <c r="AI193" i="57"/>
  <c r="AI194" i="57"/>
  <c r="AI195" i="57"/>
  <c r="AI196" i="57"/>
  <c r="AI197" i="57"/>
  <c r="AI198" i="57"/>
  <c r="AI199" i="57"/>
  <c r="AI200" i="57"/>
  <c r="AI201" i="57"/>
  <c r="AI202" i="57"/>
  <c r="AI203" i="57"/>
  <c r="AI204" i="57"/>
  <c r="AI205" i="57"/>
  <c r="AI206" i="57"/>
  <c r="AI207" i="57"/>
  <c r="AI208" i="57"/>
  <c r="AI209" i="57"/>
  <c r="AI210" i="57"/>
  <c r="AI211" i="57"/>
  <c r="AI212" i="57"/>
  <c r="AI213" i="57"/>
  <c r="AI214" i="57"/>
  <c r="AI215" i="57"/>
  <c r="AI216" i="57"/>
  <c r="AI217" i="57"/>
  <c r="AI218" i="57"/>
  <c r="AI219" i="57"/>
  <c r="AI220" i="57"/>
  <c r="AI221" i="57"/>
  <c r="AI222" i="57"/>
  <c r="AI223" i="57"/>
  <c r="AI224" i="57"/>
  <c r="AI225" i="57"/>
  <c r="AI226" i="57"/>
  <c r="AI227" i="57"/>
  <c r="AI228" i="57"/>
  <c r="AI229" i="57"/>
  <c r="AI230" i="57"/>
  <c r="AI231" i="57"/>
  <c r="AI232" i="57"/>
  <c r="AI233" i="57"/>
  <c r="AI234" i="57"/>
  <c r="AI235" i="57"/>
  <c r="AI236" i="57"/>
  <c r="AI237" i="57"/>
  <c r="AI238" i="57"/>
  <c r="AI239" i="57"/>
  <c r="AI240" i="57"/>
  <c r="AI241" i="57"/>
  <c r="AI242" i="57"/>
  <c r="AI243" i="57"/>
  <c r="AI244" i="57"/>
  <c r="AI245" i="57"/>
  <c r="AI246" i="57"/>
  <c r="AI247" i="57"/>
  <c r="AI248" i="57"/>
  <c r="AI249" i="57"/>
  <c r="AI250" i="57"/>
  <c r="AI251" i="57"/>
  <c r="AI252" i="57"/>
  <c r="AI253" i="57"/>
  <c r="AI254" i="57"/>
  <c r="AI255" i="57"/>
  <c r="AI256" i="57"/>
  <c r="AI257" i="57"/>
  <c r="AI12" i="57"/>
  <c r="W13" i="57"/>
  <c r="W14" i="57"/>
  <c r="W15" i="57"/>
  <c r="W16" i="57"/>
  <c r="W17" i="57"/>
  <c r="W18" i="57"/>
  <c r="W19" i="57"/>
  <c r="W20" i="57"/>
  <c r="W21" i="57"/>
  <c r="W22" i="57"/>
  <c r="W23" i="57"/>
  <c r="W24" i="57"/>
  <c r="W25" i="57"/>
  <c r="W26" i="57"/>
  <c r="W27" i="57"/>
  <c r="W28" i="57"/>
  <c r="W29" i="57"/>
  <c r="W30" i="57"/>
  <c r="W31" i="57"/>
  <c r="W32" i="57"/>
  <c r="W33" i="57"/>
  <c r="W34" i="57"/>
  <c r="W35" i="57"/>
  <c r="W36" i="57"/>
  <c r="W37" i="57"/>
  <c r="W38" i="57"/>
  <c r="W39" i="57"/>
  <c r="W40" i="57"/>
  <c r="W41" i="57"/>
  <c r="W42" i="57"/>
  <c r="W43" i="57"/>
  <c r="W44" i="57"/>
  <c r="W45" i="57"/>
  <c r="W46" i="57"/>
  <c r="W47" i="57"/>
  <c r="W48" i="57"/>
  <c r="W49" i="57"/>
  <c r="W50" i="57"/>
  <c r="W51" i="57"/>
  <c r="W52" i="57"/>
  <c r="W53" i="57"/>
  <c r="W54" i="57"/>
  <c r="W55" i="57"/>
  <c r="W56" i="57"/>
  <c r="W57" i="57"/>
  <c r="W58" i="57"/>
  <c r="W59" i="57"/>
  <c r="W60" i="57"/>
  <c r="W61" i="57"/>
  <c r="W62" i="57"/>
  <c r="W63" i="57"/>
  <c r="W64" i="57"/>
  <c r="W65" i="57"/>
  <c r="W66" i="57"/>
  <c r="W67" i="57"/>
  <c r="W68" i="57"/>
  <c r="W69" i="57"/>
  <c r="W70" i="57"/>
  <c r="W71" i="57"/>
  <c r="W72" i="57"/>
  <c r="W73" i="57"/>
  <c r="W74" i="57"/>
  <c r="W75" i="57"/>
  <c r="W76" i="57"/>
  <c r="W77" i="57"/>
  <c r="W78" i="57"/>
  <c r="W79" i="57"/>
  <c r="W80" i="57"/>
  <c r="W81" i="57"/>
  <c r="W82" i="57"/>
  <c r="W83" i="57"/>
  <c r="W84" i="57"/>
  <c r="W85" i="57"/>
  <c r="W86" i="57"/>
  <c r="W87" i="57"/>
  <c r="W88" i="57"/>
  <c r="W89" i="57"/>
  <c r="W90" i="57"/>
  <c r="W91" i="57"/>
  <c r="W92" i="57"/>
  <c r="W93" i="57"/>
  <c r="W94" i="57"/>
  <c r="W95" i="57"/>
  <c r="W96" i="57"/>
  <c r="W97" i="57"/>
  <c r="W98" i="57"/>
  <c r="W99" i="57"/>
  <c r="W100" i="57"/>
  <c r="W101" i="57"/>
  <c r="W102" i="57"/>
  <c r="W103" i="57"/>
  <c r="W104" i="57"/>
  <c r="W105" i="57"/>
  <c r="W106" i="57"/>
  <c r="W107" i="57"/>
  <c r="W108" i="57"/>
  <c r="W109" i="57"/>
  <c r="W110" i="57"/>
  <c r="W111" i="57"/>
  <c r="W112" i="57"/>
  <c r="W113" i="57"/>
  <c r="W114" i="57"/>
  <c r="W115" i="57"/>
  <c r="W116" i="57"/>
  <c r="W117" i="57"/>
  <c r="W118" i="57"/>
  <c r="W119" i="57"/>
  <c r="W120" i="57"/>
  <c r="W121" i="57"/>
  <c r="W122" i="57"/>
  <c r="W123" i="57"/>
  <c r="W124" i="57"/>
  <c r="W125" i="57"/>
  <c r="W126" i="57"/>
  <c r="W127" i="57"/>
  <c r="W128" i="57"/>
  <c r="W129" i="57"/>
  <c r="W130" i="57"/>
  <c r="W131" i="57"/>
  <c r="W132" i="57"/>
  <c r="W133" i="57"/>
  <c r="W134" i="57"/>
  <c r="W135" i="57"/>
  <c r="W136" i="57"/>
  <c r="W137" i="57"/>
  <c r="W138" i="57"/>
  <c r="W139" i="57"/>
  <c r="W140" i="57"/>
  <c r="W141" i="57"/>
  <c r="W142" i="57"/>
  <c r="W143" i="57"/>
  <c r="W144" i="57"/>
  <c r="W145" i="57"/>
  <c r="W146" i="57"/>
  <c r="W147" i="57"/>
  <c r="W148" i="57"/>
  <c r="W149" i="57"/>
  <c r="W150" i="57"/>
  <c r="W151" i="57"/>
  <c r="W152" i="57"/>
  <c r="W153" i="57"/>
  <c r="W154" i="57"/>
  <c r="W155" i="57"/>
  <c r="W156" i="57"/>
  <c r="W157" i="57"/>
  <c r="W158" i="57"/>
  <c r="W159" i="57"/>
  <c r="W160" i="57"/>
  <c r="W161" i="57"/>
  <c r="W162" i="57"/>
  <c r="W163" i="57"/>
  <c r="W164" i="57"/>
  <c r="W165" i="57"/>
  <c r="W166" i="57"/>
  <c r="W167" i="57"/>
  <c r="W168" i="57"/>
  <c r="W169" i="57"/>
  <c r="W170" i="57"/>
  <c r="W171" i="57"/>
  <c r="W172" i="57"/>
  <c r="W173" i="57"/>
  <c r="W174" i="57"/>
  <c r="W175" i="57"/>
  <c r="W176" i="57"/>
  <c r="W177" i="57"/>
  <c r="W178" i="57"/>
  <c r="W179" i="57"/>
  <c r="W180" i="57"/>
  <c r="W181" i="57"/>
  <c r="W182" i="57"/>
  <c r="W183" i="57"/>
  <c r="W184" i="57"/>
  <c r="W185" i="57"/>
  <c r="W186" i="57"/>
  <c r="W187" i="57"/>
  <c r="W188" i="57"/>
  <c r="W189" i="57"/>
  <c r="W190" i="57"/>
  <c r="W191" i="57"/>
  <c r="W192" i="57"/>
  <c r="W193" i="57"/>
  <c r="W194" i="57"/>
  <c r="W195" i="57"/>
  <c r="W196" i="57"/>
  <c r="W197" i="57"/>
  <c r="W198" i="57"/>
  <c r="W199" i="57"/>
  <c r="W200" i="57"/>
  <c r="W201" i="57"/>
  <c r="W202" i="57"/>
  <c r="W203" i="57"/>
  <c r="W204" i="57"/>
  <c r="W205" i="57"/>
  <c r="W206" i="57"/>
  <c r="W207" i="57"/>
  <c r="W208" i="57"/>
  <c r="W209" i="57"/>
  <c r="W210" i="57"/>
  <c r="W211" i="57"/>
  <c r="W212" i="57"/>
  <c r="W213" i="57"/>
  <c r="W214" i="57"/>
  <c r="W215" i="57"/>
  <c r="W216" i="57"/>
  <c r="W217" i="57"/>
  <c r="W218" i="57"/>
  <c r="W219" i="57"/>
  <c r="W220" i="57"/>
  <c r="W221" i="57"/>
  <c r="W222" i="57"/>
  <c r="W223" i="57"/>
  <c r="W224" i="57"/>
  <c r="W225" i="57"/>
  <c r="W226" i="57"/>
  <c r="W227" i="57"/>
  <c r="W228" i="57"/>
  <c r="W229" i="57"/>
  <c r="W230" i="57"/>
  <c r="W231" i="57"/>
  <c r="W232" i="57"/>
  <c r="W233" i="57"/>
  <c r="W234" i="57"/>
  <c r="W235" i="57"/>
  <c r="W236" i="57"/>
  <c r="W237" i="57"/>
  <c r="W238" i="57"/>
  <c r="W239" i="57"/>
  <c r="W240" i="57"/>
  <c r="W241" i="57"/>
  <c r="W242" i="57"/>
  <c r="W243" i="57"/>
  <c r="W244" i="57"/>
  <c r="W245" i="57"/>
  <c r="W246" i="57"/>
  <c r="W247" i="57"/>
  <c r="W248" i="57"/>
  <c r="W249" i="57"/>
  <c r="W250" i="57"/>
  <c r="W251" i="57"/>
  <c r="W252" i="57"/>
  <c r="W253" i="57"/>
  <c r="W254" i="57"/>
  <c r="W255" i="57"/>
  <c r="W256" i="57"/>
  <c r="W257" i="57"/>
  <c r="W12" i="57"/>
  <c r="V13" i="57"/>
  <c r="V14" i="57"/>
  <c r="V15" i="57"/>
  <c r="V16" i="57"/>
  <c r="V17" i="57"/>
  <c r="V18" i="57"/>
  <c r="V19" i="57"/>
  <c r="V20" i="57"/>
  <c r="V21" i="57"/>
  <c r="V22" i="57"/>
  <c r="V23" i="57"/>
  <c r="V24" i="57"/>
  <c r="V25" i="57"/>
  <c r="V26" i="57"/>
  <c r="V27" i="57"/>
  <c r="V28" i="57"/>
  <c r="V29" i="57"/>
  <c r="V30" i="57"/>
  <c r="V31" i="57"/>
  <c r="V32" i="57"/>
  <c r="V33" i="57"/>
  <c r="V34" i="57"/>
  <c r="V35" i="57"/>
  <c r="V36" i="57"/>
  <c r="V37" i="57"/>
  <c r="V38" i="57"/>
  <c r="V39" i="57"/>
  <c r="V40" i="57"/>
  <c r="V41" i="57"/>
  <c r="V42" i="57"/>
  <c r="V43" i="57"/>
  <c r="V44" i="57"/>
  <c r="V45" i="57"/>
  <c r="V46" i="57"/>
  <c r="V47" i="57"/>
  <c r="V48" i="57"/>
  <c r="V49" i="57"/>
  <c r="V50" i="57"/>
  <c r="V51" i="57"/>
  <c r="V52" i="57"/>
  <c r="V53" i="57"/>
  <c r="V54" i="57"/>
  <c r="V55" i="57"/>
  <c r="V56" i="57"/>
  <c r="V57" i="57"/>
  <c r="V58" i="57"/>
  <c r="V59" i="57"/>
  <c r="V60" i="57"/>
  <c r="V61" i="57"/>
  <c r="V62" i="57"/>
  <c r="V63" i="57"/>
  <c r="V64" i="57"/>
  <c r="V65" i="57"/>
  <c r="V66" i="57"/>
  <c r="V67" i="57"/>
  <c r="V68" i="57"/>
  <c r="V69" i="57"/>
  <c r="V70" i="57"/>
  <c r="V71" i="57"/>
  <c r="V72" i="57"/>
  <c r="V73" i="57"/>
  <c r="V74" i="57"/>
  <c r="V75" i="57"/>
  <c r="V76" i="57"/>
  <c r="V77" i="57"/>
  <c r="V78" i="57"/>
  <c r="V79" i="57"/>
  <c r="V80" i="57"/>
  <c r="V81" i="57"/>
  <c r="V82" i="57"/>
  <c r="V83" i="57"/>
  <c r="V84" i="57"/>
  <c r="V85" i="57"/>
  <c r="V86" i="57"/>
  <c r="V87" i="57"/>
  <c r="V88" i="57"/>
  <c r="V89" i="57"/>
  <c r="V90" i="57"/>
  <c r="V91" i="57"/>
  <c r="V92" i="57"/>
  <c r="V93" i="57"/>
  <c r="V94" i="57"/>
  <c r="V95" i="57"/>
  <c r="V96" i="57"/>
  <c r="V97" i="57"/>
  <c r="V98" i="57"/>
  <c r="V99" i="57"/>
  <c r="V100" i="57"/>
  <c r="V101" i="57"/>
  <c r="V102" i="57"/>
  <c r="V103" i="57"/>
  <c r="V104" i="57"/>
  <c r="V105" i="57"/>
  <c r="V106" i="57"/>
  <c r="V107" i="57"/>
  <c r="V108" i="57"/>
  <c r="V109" i="57"/>
  <c r="V110" i="57"/>
  <c r="V111" i="57"/>
  <c r="V112" i="57"/>
  <c r="V113" i="57"/>
  <c r="V114" i="57"/>
  <c r="V115" i="57"/>
  <c r="V116" i="57"/>
  <c r="V117" i="57"/>
  <c r="V118" i="57"/>
  <c r="V119" i="57"/>
  <c r="V120" i="57"/>
  <c r="V121" i="57"/>
  <c r="V122" i="57"/>
  <c r="V123" i="57"/>
  <c r="V124" i="57"/>
  <c r="V125" i="57"/>
  <c r="V126" i="57"/>
  <c r="V127" i="57"/>
  <c r="V128" i="57"/>
  <c r="V129" i="57"/>
  <c r="V130" i="57"/>
  <c r="V131" i="57"/>
  <c r="V132" i="57"/>
  <c r="V133" i="57"/>
  <c r="V134" i="57"/>
  <c r="V135" i="57"/>
  <c r="V136" i="57"/>
  <c r="V137" i="57"/>
  <c r="V138" i="57"/>
  <c r="V139" i="57"/>
  <c r="V140" i="57"/>
  <c r="V141" i="57"/>
  <c r="V142" i="57"/>
  <c r="V143" i="57"/>
  <c r="V144" i="57"/>
  <c r="V145" i="57"/>
  <c r="V146" i="57"/>
  <c r="V147" i="57"/>
  <c r="V148" i="57"/>
  <c r="V149" i="57"/>
  <c r="V150" i="57"/>
  <c r="V151" i="57"/>
  <c r="V152" i="57"/>
  <c r="V153" i="57"/>
  <c r="V154" i="57"/>
  <c r="V155" i="57"/>
  <c r="V156" i="57"/>
  <c r="V157" i="57"/>
  <c r="V158" i="57"/>
  <c r="V159" i="57"/>
  <c r="V160" i="57"/>
  <c r="V161" i="57"/>
  <c r="V162" i="57"/>
  <c r="V163" i="57"/>
  <c r="V164" i="57"/>
  <c r="V165" i="57"/>
  <c r="V166" i="57"/>
  <c r="V167" i="57"/>
  <c r="V168" i="57"/>
  <c r="V169" i="57"/>
  <c r="V170" i="57"/>
  <c r="V171" i="57"/>
  <c r="V172" i="57"/>
  <c r="V173" i="57"/>
  <c r="V174" i="57"/>
  <c r="V175" i="57"/>
  <c r="V176" i="57"/>
  <c r="V177" i="57"/>
  <c r="V178" i="57"/>
  <c r="V179" i="57"/>
  <c r="V180" i="57"/>
  <c r="V181" i="57"/>
  <c r="V182" i="57"/>
  <c r="V183" i="57"/>
  <c r="V184" i="57"/>
  <c r="V185" i="57"/>
  <c r="V186" i="57"/>
  <c r="V187" i="57"/>
  <c r="V188" i="57"/>
  <c r="V189" i="57"/>
  <c r="V190" i="57"/>
  <c r="V191" i="57"/>
  <c r="V192" i="57"/>
  <c r="V193" i="57"/>
  <c r="V194" i="57"/>
  <c r="V195" i="57"/>
  <c r="V196" i="57"/>
  <c r="V197" i="57"/>
  <c r="V198" i="57"/>
  <c r="V199" i="57"/>
  <c r="V200" i="57"/>
  <c r="V201" i="57"/>
  <c r="V202" i="57"/>
  <c r="V203" i="57"/>
  <c r="V204" i="57"/>
  <c r="V205" i="57"/>
  <c r="V206" i="57"/>
  <c r="V207" i="57"/>
  <c r="V208" i="57"/>
  <c r="V209" i="57"/>
  <c r="V210" i="57"/>
  <c r="V211" i="57"/>
  <c r="V212" i="57"/>
  <c r="V213" i="57"/>
  <c r="V214" i="57"/>
  <c r="V215" i="57"/>
  <c r="V216" i="57"/>
  <c r="V217" i="57"/>
  <c r="V218" i="57"/>
  <c r="V219" i="57"/>
  <c r="V220" i="57"/>
  <c r="V221" i="57"/>
  <c r="V222" i="57"/>
  <c r="V223" i="57"/>
  <c r="V224" i="57"/>
  <c r="V225" i="57"/>
  <c r="V226" i="57"/>
  <c r="V227" i="57"/>
  <c r="V228" i="57"/>
  <c r="V229" i="57"/>
  <c r="V230" i="57"/>
  <c r="V231" i="57"/>
  <c r="V232" i="57"/>
  <c r="V233" i="57"/>
  <c r="V234" i="57"/>
  <c r="V235" i="57"/>
  <c r="V236" i="57"/>
  <c r="V237" i="57"/>
  <c r="V238" i="57"/>
  <c r="V239" i="57"/>
  <c r="V240" i="57"/>
  <c r="V241" i="57"/>
  <c r="V242" i="57"/>
  <c r="V243" i="57"/>
  <c r="V244" i="57"/>
  <c r="V245" i="57"/>
  <c r="V246" i="57"/>
  <c r="V247" i="57"/>
  <c r="V248" i="57"/>
  <c r="V249" i="57"/>
  <c r="V250" i="57"/>
  <c r="V251" i="57"/>
  <c r="V252" i="57"/>
  <c r="V253" i="57"/>
  <c r="V254" i="57"/>
  <c r="V255" i="57"/>
  <c r="V256" i="57"/>
  <c r="V257" i="57"/>
  <c r="V12" i="57"/>
  <c r="W257" i="53"/>
  <c r="W14" i="53"/>
  <c r="W15" i="53"/>
  <c r="W16" i="53"/>
  <c r="W17" i="53"/>
  <c r="W18" i="53"/>
  <c r="W19" i="53"/>
  <c r="W20" i="53"/>
  <c r="W21" i="53"/>
  <c r="W22" i="53"/>
  <c r="W23" i="53"/>
  <c r="W24" i="53"/>
  <c r="W25" i="53"/>
  <c r="W26" i="53"/>
  <c r="W27" i="53"/>
  <c r="W28" i="53"/>
  <c r="W29" i="53"/>
  <c r="W30" i="53"/>
  <c r="W31" i="53"/>
  <c r="W32" i="53"/>
  <c r="W33" i="53"/>
  <c r="W34" i="53"/>
  <c r="W35" i="53"/>
  <c r="W36" i="53"/>
  <c r="W37" i="53"/>
  <c r="W38" i="53"/>
  <c r="W39" i="53"/>
  <c r="W40" i="53"/>
  <c r="W41" i="53"/>
  <c r="W42" i="53"/>
  <c r="W43" i="53"/>
  <c r="W44" i="53"/>
  <c r="W45" i="53"/>
  <c r="W46" i="53"/>
  <c r="W47" i="53"/>
  <c r="W48" i="53"/>
  <c r="W49" i="53"/>
  <c r="W50" i="53"/>
  <c r="W51" i="53"/>
  <c r="W52" i="53"/>
  <c r="W53" i="53"/>
  <c r="W54" i="53"/>
  <c r="W55" i="53"/>
  <c r="W56" i="53"/>
  <c r="W57" i="53"/>
  <c r="W58" i="53"/>
  <c r="W59" i="53"/>
  <c r="W60" i="53"/>
  <c r="W61" i="53"/>
  <c r="W62" i="53"/>
  <c r="W63" i="53"/>
  <c r="W64" i="53"/>
  <c r="W65" i="53"/>
  <c r="W66" i="53"/>
  <c r="W67" i="53"/>
  <c r="W68" i="53"/>
  <c r="W69" i="53"/>
  <c r="W70" i="53"/>
  <c r="W71" i="53"/>
  <c r="W72" i="53"/>
  <c r="W73" i="53"/>
  <c r="W74" i="53"/>
  <c r="W75" i="53"/>
  <c r="W76" i="53"/>
  <c r="W77" i="53"/>
  <c r="W78" i="53"/>
  <c r="W79" i="53"/>
  <c r="W80" i="53"/>
  <c r="W81" i="53"/>
  <c r="W82" i="53"/>
  <c r="W83" i="53"/>
  <c r="W84" i="53"/>
  <c r="W85" i="53"/>
  <c r="W86" i="53"/>
  <c r="W87" i="53"/>
  <c r="W88" i="53"/>
  <c r="W89" i="53"/>
  <c r="W90" i="53"/>
  <c r="W91" i="53"/>
  <c r="W92" i="53"/>
  <c r="W93" i="53"/>
  <c r="W94" i="53"/>
  <c r="W95" i="53"/>
  <c r="W96" i="53"/>
  <c r="W97" i="53"/>
  <c r="W98" i="53"/>
  <c r="W99" i="53"/>
  <c r="W100" i="53"/>
  <c r="W101" i="53"/>
  <c r="W102" i="53"/>
  <c r="W103" i="53"/>
  <c r="W104" i="53"/>
  <c r="W105" i="53"/>
  <c r="W106" i="53"/>
  <c r="W107" i="53"/>
  <c r="W108" i="53"/>
  <c r="W109" i="53"/>
  <c r="W110" i="53"/>
  <c r="W111" i="53"/>
  <c r="W112" i="53"/>
  <c r="W113" i="53"/>
  <c r="W114" i="53"/>
  <c r="W115" i="53"/>
  <c r="W116" i="53"/>
  <c r="W117" i="53"/>
  <c r="W118" i="53"/>
  <c r="W119" i="53"/>
  <c r="W120" i="53"/>
  <c r="W121" i="53"/>
  <c r="W122" i="53"/>
  <c r="W123" i="53"/>
  <c r="W124" i="53"/>
  <c r="W125" i="53"/>
  <c r="W126" i="53"/>
  <c r="W127" i="53"/>
  <c r="W128" i="53"/>
  <c r="W129" i="53"/>
  <c r="W130" i="53"/>
  <c r="W131" i="53"/>
  <c r="W132" i="53"/>
  <c r="W133" i="53"/>
  <c r="W134" i="53"/>
  <c r="W135" i="53"/>
  <c r="W136" i="53"/>
  <c r="W137" i="53"/>
  <c r="W138" i="53"/>
  <c r="W139" i="53"/>
  <c r="W140" i="53"/>
  <c r="W141" i="53"/>
  <c r="W142" i="53"/>
  <c r="W143" i="53"/>
  <c r="W144" i="53"/>
  <c r="W145" i="53"/>
  <c r="W146" i="53"/>
  <c r="W147" i="53"/>
  <c r="W148" i="53"/>
  <c r="W149" i="53"/>
  <c r="W150" i="53"/>
  <c r="W151" i="53"/>
  <c r="W152" i="53"/>
  <c r="W153" i="53"/>
  <c r="W154" i="53"/>
  <c r="W155" i="53"/>
  <c r="W156" i="53"/>
  <c r="W157" i="53"/>
  <c r="W158" i="53"/>
  <c r="W159" i="53"/>
  <c r="W160" i="53"/>
  <c r="W161" i="53"/>
  <c r="W162" i="53"/>
  <c r="W163" i="53"/>
  <c r="W164" i="53"/>
  <c r="W165" i="53"/>
  <c r="W166" i="53"/>
  <c r="W167" i="53"/>
  <c r="W168" i="53"/>
  <c r="W169" i="53"/>
  <c r="W170" i="53"/>
  <c r="W171" i="53"/>
  <c r="W172" i="53"/>
  <c r="W173" i="53"/>
  <c r="W174" i="53"/>
  <c r="W175" i="53"/>
  <c r="W176" i="53"/>
  <c r="W177" i="53"/>
  <c r="W178" i="53"/>
  <c r="W179" i="53"/>
  <c r="W180" i="53"/>
  <c r="W181" i="53"/>
  <c r="W182" i="53"/>
  <c r="W183" i="53"/>
  <c r="W184" i="53"/>
  <c r="W185" i="53"/>
  <c r="W186" i="53"/>
  <c r="W187" i="53"/>
  <c r="W188" i="53"/>
  <c r="W189" i="53"/>
  <c r="W190" i="53"/>
  <c r="W191" i="53"/>
  <c r="W192" i="53"/>
  <c r="W193" i="53"/>
  <c r="W194" i="53"/>
  <c r="W195" i="53"/>
  <c r="W196" i="53"/>
  <c r="W197" i="53"/>
  <c r="W198" i="53"/>
  <c r="W199" i="53"/>
  <c r="W200" i="53"/>
  <c r="W201" i="53"/>
  <c r="W202" i="53"/>
  <c r="W203" i="53"/>
  <c r="W204" i="53"/>
  <c r="W205" i="53"/>
  <c r="W206" i="53"/>
  <c r="W207" i="53"/>
  <c r="W208" i="53"/>
  <c r="W209" i="53"/>
  <c r="W210" i="53"/>
  <c r="W211" i="53"/>
  <c r="W212" i="53"/>
  <c r="W213" i="53"/>
  <c r="W214" i="53"/>
  <c r="W215" i="53"/>
  <c r="W216" i="53"/>
  <c r="W217" i="53"/>
  <c r="W218" i="53"/>
  <c r="W219" i="53"/>
  <c r="W220" i="53"/>
  <c r="W221" i="53"/>
  <c r="W222" i="53"/>
  <c r="W223" i="53"/>
  <c r="W224" i="53"/>
  <c r="W225" i="53"/>
  <c r="W226" i="53"/>
  <c r="W227" i="53"/>
  <c r="W228" i="53"/>
  <c r="W229" i="53"/>
  <c r="W230" i="53"/>
  <c r="W231" i="53"/>
  <c r="W232" i="53"/>
  <c r="W233" i="53"/>
  <c r="W234" i="53"/>
  <c r="W235" i="53"/>
  <c r="W236" i="53"/>
  <c r="W237" i="53"/>
  <c r="W238" i="53"/>
  <c r="W239" i="53"/>
  <c r="W240" i="53"/>
  <c r="W241" i="53"/>
  <c r="W242" i="53"/>
  <c r="W243" i="53"/>
  <c r="W244" i="53"/>
  <c r="W245" i="53"/>
  <c r="W246" i="53"/>
  <c r="W247" i="53"/>
  <c r="W248" i="53"/>
  <c r="W249" i="53"/>
  <c r="W250" i="53"/>
  <c r="W251" i="53"/>
  <c r="W252" i="53"/>
  <c r="W253" i="53"/>
  <c r="W254" i="53"/>
  <c r="W255" i="53"/>
  <c r="W256" i="53"/>
  <c r="W13" i="53"/>
  <c r="W12" i="53"/>
  <c r="V257" i="53"/>
  <c r="V13" i="53"/>
  <c r="V14" i="53"/>
  <c r="V15" i="53"/>
  <c r="V16" i="53"/>
  <c r="V17" i="53"/>
  <c r="V18" i="53"/>
  <c r="V19" i="53"/>
  <c r="V20" i="53"/>
  <c r="V21" i="53"/>
  <c r="V22" i="53"/>
  <c r="V23" i="53"/>
  <c r="V24" i="53"/>
  <c r="V25" i="53"/>
  <c r="V26" i="53"/>
  <c r="V27" i="53"/>
  <c r="V28" i="53"/>
  <c r="V29" i="53"/>
  <c r="V30" i="53"/>
  <c r="V31" i="53"/>
  <c r="V32" i="53"/>
  <c r="V33" i="53"/>
  <c r="V34" i="53"/>
  <c r="V35" i="53"/>
  <c r="V36" i="53"/>
  <c r="V37" i="53"/>
  <c r="V38" i="53"/>
  <c r="V39" i="53"/>
  <c r="V40" i="53"/>
  <c r="V41" i="53"/>
  <c r="V42" i="53"/>
  <c r="V43" i="53"/>
  <c r="V44" i="53"/>
  <c r="V45" i="53"/>
  <c r="V46" i="53"/>
  <c r="V47" i="53"/>
  <c r="V48" i="53"/>
  <c r="V49" i="53"/>
  <c r="V50" i="53"/>
  <c r="V51" i="53"/>
  <c r="V52" i="53"/>
  <c r="V53" i="53"/>
  <c r="V54" i="53"/>
  <c r="V55" i="53"/>
  <c r="V56" i="53"/>
  <c r="V57" i="53"/>
  <c r="V58" i="53"/>
  <c r="V59" i="53"/>
  <c r="V60" i="53"/>
  <c r="V61" i="53"/>
  <c r="V62" i="53"/>
  <c r="V63" i="53"/>
  <c r="V64" i="53"/>
  <c r="V65" i="53"/>
  <c r="V66" i="53"/>
  <c r="V67" i="53"/>
  <c r="V68" i="53"/>
  <c r="V69" i="53"/>
  <c r="V70" i="53"/>
  <c r="V71" i="53"/>
  <c r="V72" i="53"/>
  <c r="V73" i="53"/>
  <c r="V74" i="53"/>
  <c r="V75" i="53"/>
  <c r="V76" i="53"/>
  <c r="V77" i="53"/>
  <c r="V78" i="53"/>
  <c r="V79" i="53"/>
  <c r="V80" i="53"/>
  <c r="V81" i="53"/>
  <c r="V82" i="53"/>
  <c r="V83" i="53"/>
  <c r="V84" i="53"/>
  <c r="V85" i="53"/>
  <c r="V86" i="53"/>
  <c r="V87" i="53"/>
  <c r="V88" i="53"/>
  <c r="V89" i="53"/>
  <c r="V90" i="53"/>
  <c r="V91" i="53"/>
  <c r="V92" i="53"/>
  <c r="V93" i="53"/>
  <c r="V94" i="53"/>
  <c r="V95" i="53"/>
  <c r="V96" i="53"/>
  <c r="V97" i="53"/>
  <c r="V98" i="53"/>
  <c r="V99" i="53"/>
  <c r="V100" i="53"/>
  <c r="V101" i="53"/>
  <c r="V102" i="53"/>
  <c r="V103" i="53"/>
  <c r="V104" i="53"/>
  <c r="V105" i="53"/>
  <c r="V106" i="53"/>
  <c r="V107" i="53"/>
  <c r="V108" i="53"/>
  <c r="V109" i="53"/>
  <c r="V110" i="53"/>
  <c r="V111" i="53"/>
  <c r="V112" i="53"/>
  <c r="V113" i="53"/>
  <c r="V114" i="53"/>
  <c r="V115" i="53"/>
  <c r="V116" i="53"/>
  <c r="V117" i="53"/>
  <c r="V118" i="53"/>
  <c r="V119" i="53"/>
  <c r="V120" i="53"/>
  <c r="V121" i="53"/>
  <c r="V122" i="53"/>
  <c r="V123" i="53"/>
  <c r="V124" i="53"/>
  <c r="V125" i="53"/>
  <c r="V126" i="53"/>
  <c r="V127" i="53"/>
  <c r="V128" i="53"/>
  <c r="V129" i="53"/>
  <c r="V130" i="53"/>
  <c r="V131" i="53"/>
  <c r="V132" i="53"/>
  <c r="V133" i="53"/>
  <c r="V134" i="53"/>
  <c r="V135" i="53"/>
  <c r="V136" i="53"/>
  <c r="V137" i="53"/>
  <c r="V138" i="53"/>
  <c r="V139" i="53"/>
  <c r="V140" i="53"/>
  <c r="V141" i="53"/>
  <c r="V142" i="53"/>
  <c r="V143" i="53"/>
  <c r="V144" i="53"/>
  <c r="V145" i="53"/>
  <c r="V146" i="53"/>
  <c r="V147" i="53"/>
  <c r="V148" i="53"/>
  <c r="V149" i="53"/>
  <c r="V150" i="53"/>
  <c r="V151" i="53"/>
  <c r="V152" i="53"/>
  <c r="V153" i="53"/>
  <c r="V154" i="53"/>
  <c r="V155" i="53"/>
  <c r="V156" i="53"/>
  <c r="V157" i="53"/>
  <c r="V158" i="53"/>
  <c r="V159" i="53"/>
  <c r="V160" i="53"/>
  <c r="V161" i="53"/>
  <c r="V162" i="53"/>
  <c r="V163" i="53"/>
  <c r="V164" i="53"/>
  <c r="V165" i="53"/>
  <c r="V166" i="53"/>
  <c r="V167" i="53"/>
  <c r="V168" i="53"/>
  <c r="V169" i="53"/>
  <c r="V170" i="53"/>
  <c r="V171" i="53"/>
  <c r="V172" i="53"/>
  <c r="V173" i="53"/>
  <c r="V174" i="53"/>
  <c r="V175" i="53"/>
  <c r="V176" i="53"/>
  <c r="V177" i="53"/>
  <c r="V178" i="53"/>
  <c r="V179" i="53"/>
  <c r="V180" i="53"/>
  <c r="V181" i="53"/>
  <c r="V182" i="53"/>
  <c r="V183" i="53"/>
  <c r="V184" i="53"/>
  <c r="V185" i="53"/>
  <c r="V186" i="53"/>
  <c r="V187" i="53"/>
  <c r="V188" i="53"/>
  <c r="V189" i="53"/>
  <c r="V190" i="53"/>
  <c r="V191" i="53"/>
  <c r="V192" i="53"/>
  <c r="V193" i="53"/>
  <c r="V194" i="53"/>
  <c r="V195" i="53"/>
  <c r="V196" i="53"/>
  <c r="V197" i="53"/>
  <c r="V198" i="53"/>
  <c r="V199" i="53"/>
  <c r="V200" i="53"/>
  <c r="V201" i="53"/>
  <c r="V202" i="53"/>
  <c r="V203" i="53"/>
  <c r="V204" i="53"/>
  <c r="V205" i="53"/>
  <c r="V206" i="53"/>
  <c r="V207" i="53"/>
  <c r="V208" i="53"/>
  <c r="V209" i="53"/>
  <c r="V210" i="53"/>
  <c r="V211" i="53"/>
  <c r="V212" i="53"/>
  <c r="V213" i="53"/>
  <c r="V214" i="53"/>
  <c r="V215" i="53"/>
  <c r="V216" i="53"/>
  <c r="V217" i="53"/>
  <c r="V218" i="53"/>
  <c r="V219" i="53"/>
  <c r="V220" i="53"/>
  <c r="V221" i="53"/>
  <c r="V222" i="53"/>
  <c r="V223" i="53"/>
  <c r="V224" i="53"/>
  <c r="V225" i="53"/>
  <c r="V226" i="53"/>
  <c r="V227" i="53"/>
  <c r="V228" i="53"/>
  <c r="V229" i="53"/>
  <c r="V230" i="53"/>
  <c r="V231" i="53"/>
  <c r="V232" i="53"/>
  <c r="V233" i="53"/>
  <c r="V234" i="53"/>
  <c r="V235" i="53"/>
  <c r="V236" i="53"/>
  <c r="V237" i="53"/>
  <c r="V238" i="53"/>
  <c r="V239" i="53"/>
  <c r="V240" i="53"/>
  <c r="V241" i="53"/>
  <c r="V242" i="53"/>
  <c r="V243" i="53"/>
  <c r="V244" i="53"/>
  <c r="V245" i="53"/>
  <c r="V246" i="53"/>
  <c r="V247" i="53"/>
  <c r="V248" i="53"/>
  <c r="V249" i="53"/>
  <c r="V250" i="53"/>
  <c r="V251" i="53"/>
  <c r="V252" i="53"/>
  <c r="V253" i="53"/>
  <c r="V254" i="53"/>
  <c r="V255" i="53"/>
  <c r="V256" i="53"/>
  <c r="V12" i="53"/>
  <c r="M12" i="42"/>
  <c r="M11" i="71"/>
  <c r="T16" i="42"/>
  <c r="T17" i="42"/>
  <c r="T18" i="42"/>
  <c r="T19" i="42"/>
  <c r="T20" i="42"/>
  <c r="T21" i="42"/>
  <c r="T22" i="42"/>
  <c r="T23" i="42"/>
  <c r="T24" i="42"/>
  <c r="T25" i="42"/>
  <c r="T26" i="42"/>
  <c r="T27" i="42"/>
  <c r="T28" i="42"/>
  <c r="T29" i="42"/>
  <c r="T30" i="42"/>
  <c r="T31" i="42"/>
  <c r="T32" i="42"/>
  <c r="T33" i="42"/>
  <c r="T34" i="42"/>
  <c r="T35" i="42"/>
  <c r="T36" i="42"/>
  <c r="T37" i="42"/>
  <c r="T38" i="42"/>
  <c r="T39" i="42"/>
  <c r="T40" i="42"/>
  <c r="T41" i="42"/>
  <c r="T42" i="42"/>
  <c r="T43" i="42"/>
  <c r="T44" i="42"/>
  <c r="T45" i="42"/>
  <c r="T46" i="42"/>
  <c r="T47" i="42"/>
  <c r="T48" i="42"/>
  <c r="T49" i="42"/>
  <c r="T50" i="42"/>
  <c r="T51" i="42"/>
  <c r="T52" i="42"/>
  <c r="T53" i="42"/>
  <c r="T54" i="42"/>
  <c r="T55" i="42"/>
  <c r="T56" i="42"/>
  <c r="T57" i="42"/>
  <c r="T58" i="42"/>
  <c r="T59" i="42"/>
  <c r="T60" i="42"/>
  <c r="T61" i="42"/>
  <c r="T62" i="42"/>
  <c r="T63" i="42"/>
  <c r="T64" i="42"/>
  <c r="T65" i="42"/>
  <c r="T66" i="42"/>
  <c r="T67" i="42"/>
  <c r="T68" i="42"/>
  <c r="T69" i="42"/>
  <c r="T70" i="42"/>
  <c r="T71" i="42"/>
  <c r="T72" i="42"/>
  <c r="T73" i="42"/>
  <c r="T74" i="42"/>
  <c r="T75" i="42"/>
  <c r="T76" i="42"/>
  <c r="T77" i="42"/>
  <c r="T78" i="42"/>
  <c r="T79" i="42"/>
  <c r="T80" i="42"/>
  <c r="T81" i="42"/>
  <c r="T82" i="42"/>
  <c r="T83" i="42"/>
  <c r="T84" i="42"/>
  <c r="T85" i="42"/>
  <c r="T86" i="42"/>
  <c r="T87" i="42"/>
  <c r="T88" i="42"/>
  <c r="T89" i="42"/>
  <c r="T90" i="42"/>
  <c r="T91" i="42"/>
  <c r="T92" i="42"/>
  <c r="T93" i="42"/>
  <c r="T94" i="42"/>
  <c r="T95" i="42"/>
  <c r="T96" i="42"/>
  <c r="T97" i="42"/>
  <c r="T98" i="42"/>
  <c r="T99" i="42"/>
  <c r="T100" i="42"/>
  <c r="T101" i="42"/>
  <c r="T102" i="42"/>
  <c r="T103" i="42"/>
  <c r="T104" i="42"/>
  <c r="T105" i="42"/>
  <c r="T106" i="42"/>
  <c r="T107" i="42"/>
  <c r="T108" i="42"/>
  <c r="T109" i="42"/>
  <c r="T110" i="42"/>
  <c r="T111" i="42"/>
  <c r="T112" i="42"/>
  <c r="T113" i="42"/>
  <c r="T114" i="42"/>
  <c r="T115" i="42"/>
  <c r="T116" i="42"/>
  <c r="T117" i="42"/>
  <c r="T118" i="42"/>
  <c r="T119" i="42"/>
  <c r="T120" i="42"/>
  <c r="T121" i="42"/>
  <c r="T122" i="42"/>
  <c r="T123" i="42"/>
  <c r="T124" i="42"/>
  <c r="T125" i="42"/>
  <c r="T126" i="42"/>
  <c r="T127" i="42"/>
  <c r="T128" i="42"/>
  <c r="T129" i="42"/>
  <c r="T130" i="42"/>
  <c r="T131" i="42"/>
  <c r="T132" i="42"/>
  <c r="T133" i="42"/>
  <c r="T134" i="42"/>
  <c r="T135" i="42"/>
  <c r="T136" i="42"/>
  <c r="T137" i="42"/>
  <c r="T138" i="42"/>
  <c r="T139" i="42"/>
  <c r="T140" i="42"/>
  <c r="T141" i="42"/>
  <c r="T142" i="42"/>
  <c r="T143" i="42"/>
  <c r="T144" i="42"/>
  <c r="T145" i="42"/>
  <c r="T146" i="42"/>
  <c r="T147" i="42"/>
  <c r="T148" i="42"/>
  <c r="T149" i="42"/>
  <c r="T150" i="42"/>
  <c r="T151" i="42"/>
  <c r="T152" i="42"/>
  <c r="T153" i="42"/>
  <c r="T154" i="42"/>
  <c r="T155" i="42"/>
  <c r="T156" i="42"/>
  <c r="T157" i="42"/>
  <c r="T158" i="42"/>
  <c r="T159" i="42"/>
  <c r="T160" i="42"/>
  <c r="T161" i="42"/>
  <c r="T162" i="42"/>
  <c r="T163" i="42"/>
  <c r="T164" i="42"/>
  <c r="T165" i="42"/>
  <c r="T166" i="42"/>
  <c r="T167" i="42"/>
  <c r="T168" i="42"/>
  <c r="T169" i="42"/>
  <c r="T170" i="42"/>
  <c r="T171" i="42"/>
  <c r="T172" i="42"/>
  <c r="T173" i="42"/>
  <c r="T174" i="42"/>
  <c r="T175" i="42"/>
  <c r="T176" i="42"/>
  <c r="T177" i="42"/>
  <c r="T178" i="42"/>
  <c r="T179" i="42"/>
  <c r="T180" i="42"/>
  <c r="T181" i="42"/>
  <c r="T182" i="42"/>
  <c r="T183" i="42"/>
  <c r="T184" i="42"/>
  <c r="T185" i="42"/>
  <c r="T186" i="42"/>
  <c r="T187" i="42"/>
  <c r="T188" i="42"/>
  <c r="T189" i="42"/>
  <c r="T190" i="42"/>
  <c r="T191" i="42"/>
  <c r="T192" i="42"/>
  <c r="T193" i="42"/>
  <c r="T194" i="42"/>
  <c r="T195" i="42"/>
  <c r="T196" i="42"/>
  <c r="T197" i="42"/>
  <c r="T198" i="42"/>
  <c r="T199" i="42"/>
  <c r="T200" i="42"/>
  <c r="T201" i="42"/>
  <c r="T202" i="42"/>
  <c r="T203" i="42"/>
  <c r="T204" i="42"/>
  <c r="T205" i="42"/>
  <c r="T206" i="42"/>
  <c r="T207" i="42"/>
  <c r="T208" i="42"/>
  <c r="T209" i="42"/>
  <c r="T210" i="42"/>
  <c r="T211" i="42"/>
  <c r="T212" i="42"/>
  <c r="T213" i="42"/>
  <c r="T214" i="42"/>
  <c r="T215" i="42"/>
  <c r="T216" i="42"/>
  <c r="T217" i="42"/>
  <c r="T218" i="42"/>
  <c r="T219" i="42"/>
  <c r="T220" i="42"/>
  <c r="T221" i="42"/>
  <c r="T222" i="42"/>
  <c r="T223" i="42"/>
  <c r="T224" i="42"/>
  <c r="T225" i="42"/>
  <c r="T226" i="42"/>
  <c r="T227" i="42"/>
  <c r="T228" i="42"/>
  <c r="T229" i="42"/>
  <c r="T230" i="42"/>
  <c r="T231" i="42"/>
  <c r="T232" i="42"/>
  <c r="T233" i="42"/>
  <c r="T234" i="42"/>
  <c r="T235" i="42"/>
  <c r="T236" i="42"/>
  <c r="T237" i="42"/>
  <c r="T238" i="42"/>
  <c r="T239" i="42"/>
  <c r="T240" i="42"/>
  <c r="T241" i="42"/>
  <c r="T242" i="42"/>
  <c r="T243" i="42"/>
  <c r="T244" i="42"/>
  <c r="T245" i="42"/>
  <c r="T246" i="42"/>
  <c r="T247" i="42"/>
  <c r="T248" i="42"/>
  <c r="T249" i="42"/>
  <c r="T250" i="42"/>
  <c r="T251" i="42"/>
  <c r="T252" i="42"/>
  <c r="T253" i="42"/>
  <c r="T254" i="42"/>
  <c r="T255" i="42"/>
  <c r="T256" i="42"/>
  <c r="T257" i="42"/>
  <c r="T258" i="42"/>
  <c r="T259" i="42"/>
  <c r="L259" i="42"/>
  <c r="L14" i="42"/>
  <c r="L15" i="42"/>
  <c r="L16" i="42"/>
  <c r="L17" i="42"/>
  <c r="L18" i="42"/>
  <c r="L19" i="42"/>
  <c r="L20" i="42"/>
  <c r="L21" i="42"/>
  <c r="L22" i="42"/>
  <c r="L23" i="42"/>
  <c r="L24" i="42"/>
  <c r="L25" i="42"/>
  <c r="L26" i="42"/>
  <c r="L27" i="42"/>
  <c r="L28" i="42"/>
  <c r="L29" i="42"/>
  <c r="L30" i="42"/>
  <c r="L31" i="42"/>
  <c r="L32" i="42"/>
  <c r="L33" i="42"/>
  <c r="L34" i="42"/>
  <c r="L35" i="42"/>
  <c r="L36" i="42"/>
  <c r="L37" i="42"/>
  <c r="L38" i="42"/>
  <c r="L39" i="42"/>
  <c r="L40" i="42"/>
  <c r="L41" i="42"/>
  <c r="L42" i="42"/>
  <c r="L43" i="42"/>
  <c r="L44" i="42"/>
  <c r="L45" i="42"/>
  <c r="L46" i="42"/>
  <c r="L47" i="42"/>
  <c r="L48" i="42"/>
  <c r="L49" i="42"/>
  <c r="L50" i="42"/>
  <c r="L51" i="42"/>
  <c r="L52" i="42"/>
  <c r="L53" i="42"/>
  <c r="L54" i="42"/>
  <c r="L55" i="42"/>
  <c r="L56" i="42"/>
  <c r="L57" i="42"/>
  <c r="L58" i="42"/>
  <c r="L59" i="42"/>
  <c r="L60" i="42"/>
  <c r="L61" i="42"/>
  <c r="L62" i="42"/>
  <c r="L63" i="42"/>
  <c r="L64" i="42"/>
  <c r="L65" i="42"/>
  <c r="L66" i="42"/>
  <c r="L67" i="42"/>
  <c r="L68" i="42"/>
  <c r="L69" i="42"/>
  <c r="L70" i="42"/>
  <c r="L71" i="42"/>
  <c r="L72" i="42"/>
  <c r="L73" i="42"/>
  <c r="L74" i="42"/>
  <c r="L75" i="42"/>
  <c r="L76" i="42"/>
  <c r="L77" i="42"/>
  <c r="L78" i="42"/>
  <c r="L79" i="42"/>
  <c r="L80" i="42"/>
  <c r="L81" i="42"/>
  <c r="L82" i="42"/>
  <c r="L83" i="42"/>
  <c r="L84" i="42"/>
  <c r="L85" i="42"/>
  <c r="L86" i="42"/>
  <c r="L87" i="42"/>
  <c r="L88" i="42"/>
  <c r="L89" i="42"/>
  <c r="L90" i="42"/>
  <c r="L91" i="42"/>
  <c r="L92" i="42"/>
  <c r="L93" i="42"/>
  <c r="L94" i="42"/>
  <c r="L95" i="42"/>
  <c r="L96" i="42"/>
  <c r="L97" i="42"/>
  <c r="L98" i="42"/>
  <c r="L99" i="42"/>
  <c r="L100" i="42"/>
  <c r="L101" i="42"/>
  <c r="L102" i="42"/>
  <c r="L103" i="42"/>
  <c r="L104" i="42"/>
  <c r="L105" i="42"/>
  <c r="L106" i="42"/>
  <c r="L107" i="42"/>
  <c r="L108" i="42"/>
  <c r="L109" i="42"/>
  <c r="L110" i="42"/>
  <c r="L111" i="42"/>
  <c r="L112" i="42"/>
  <c r="L113" i="42"/>
  <c r="L114" i="42"/>
  <c r="L115" i="42"/>
  <c r="L116" i="42"/>
  <c r="L117" i="42"/>
  <c r="L118" i="42"/>
  <c r="L119" i="42"/>
  <c r="L120" i="42"/>
  <c r="L121" i="42"/>
  <c r="L122" i="42"/>
  <c r="L123" i="42"/>
  <c r="L124" i="42"/>
  <c r="L125" i="42"/>
  <c r="L126" i="42"/>
  <c r="L127" i="42"/>
  <c r="L128" i="42"/>
  <c r="L129" i="42"/>
  <c r="L130" i="42"/>
  <c r="L131" i="42"/>
  <c r="L132" i="42"/>
  <c r="L133" i="42"/>
  <c r="L134" i="42"/>
  <c r="L135" i="42"/>
  <c r="L136" i="42"/>
  <c r="L137" i="42"/>
  <c r="L138" i="42"/>
  <c r="L139" i="42"/>
  <c r="L140" i="42"/>
  <c r="L141" i="42"/>
  <c r="L142" i="42"/>
  <c r="L143" i="42"/>
  <c r="L144" i="42"/>
  <c r="L145" i="42"/>
  <c r="L146" i="42"/>
  <c r="L147" i="42"/>
  <c r="L148" i="42"/>
  <c r="L149" i="42"/>
  <c r="L150" i="42"/>
  <c r="L151" i="42"/>
  <c r="L152" i="42"/>
  <c r="L153" i="42"/>
  <c r="L154" i="42"/>
  <c r="L155" i="42"/>
  <c r="L156" i="42"/>
  <c r="L157" i="42"/>
  <c r="L158" i="42"/>
  <c r="L159" i="42"/>
  <c r="L160" i="42"/>
  <c r="L161" i="42"/>
  <c r="L162" i="42"/>
  <c r="L163" i="42"/>
  <c r="L164" i="42"/>
  <c r="L165" i="42"/>
  <c r="L166" i="42"/>
  <c r="L167" i="42"/>
  <c r="L168" i="42"/>
  <c r="L169" i="42"/>
  <c r="L170" i="42"/>
  <c r="L171" i="42"/>
  <c r="L172" i="42"/>
  <c r="L173" i="42"/>
  <c r="L174" i="42"/>
  <c r="L175" i="42"/>
  <c r="L176" i="42"/>
  <c r="L177" i="42"/>
  <c r="L178" i="42"/>
  <c r="L179" i="42"/>
  <c r="L180" i="42"/>
  <c r="L181" i="42"/>
  <c r="L182" i="42"/>
  <c r="L183" i="42"/>
  <c r="L184" i="42"/>
  <c r="L185" i="42"/>
  <c r="L186" i="42"/>
  <c r="L187" i="42"/>
  <c r="L188" i="42"/>
  <c r="L189" i="42"/>
  <c r="L190" i="42"/>
  <c r="L191" i="42"/>
  <c r="L192" i="42"/>
  <c r="L193" i="42"/>
  <c r="L194" i="42"/>
  <c r="L195" i="42"/>
  <c r="L196" i="42"/>
  <c r="L197" i="42"/>
  <c r="L198" i="42"/>
  <c r="L199" i="42"/>
  <c r="L200" i="42"/>
  <c r="L201" i="42"/>
  <c r="L202" i="42"/>
  <c r="L203" i="42"/>
  <c r="L204" i="42"/>
  <c r="L205" i="42"/>
  <c r="L206" i="42"/>
  <c r="L207" i="42"/>
  <c r="L208" i="42"/>
  <c r="L209" i="42"/>
  <c r="L210" i="42"/>
  <c r="L211" i="42"/>
  <c r="L212" i="42"/>
  <c r="L213" i="42"/>
  <c r="L214" i="42"/>
  <c r="L215" i="42"/>
  <c r="L216" i="42"/>
  <c r="L217" i="42"/>
  <c r="L218" i="42"/>
  <c r="L219" i="42"/>
  <c r="L220" i="42"/>
  <c r="L221" i="42"/>
  <c r="L222" i="42"/>
  <c r="L223" i="42"/>
  <c r="L224" i="42"/>
  <c r="L225" i="42"/>
  <c r="L226" i="42"/>
  <c r="L227" i="42"/>
  <c r="L228" i="42"/>
  <c r="L229" i="42"/>
  <c r="L230" i="42"/>
  <c r="L231" i="42"/>
  <c r="L232" i="42"/>
  <c r="L233" i="42"/>
  <c r="L234" i="42"/>
  <c r="L235" i="42"/>
  <c r="L236" i="42"/>
  <c r="L237" i="42"/>
  <c r="L238" i="42"/>
  <c r="L239" i="42"/>
  <c r="L240" i="42"/>
  <c r="L241" i="42"/>
  <c r="L242" i="42"/>
  <c r="L243" i="42"/>
  <c r="L244" i="42"/>
  <c r="L245" i="42"/>
  <c r="L246" i="42"/>
  <c r="L247" i="42"/>
  <c r="L248" i="42"/>
  <c r="L249" i="42"/>
  <c r="L250" i="42"/>
  <c r="L251" i="42"/>
  <c r="L252" i="42"/>
  <c r="L253" i="42"/>
  <c r="L254" i="42"/>
  <c r="L255" i="42"/>
  <c r="L256" i="42"/>
  <c r="L257" i="42"/>
  <c r="L258" i="42"/>
  <c r="L13" i="42"/>
  <c r="L12" i="42"/>
  <c r="K259" i="42"/>
  <c r="K14" i="42"/>
  <c r="K15" i="42"/>
  <c r="K16" i="42"/>
  <c r="K17" i="42"/>
  <c r="K18" i="42"/>
  <c r="K19" i="42"/>
  <c r="K20" i="42"/>
  <c r="K21" i="42"/>
  <c r="K22" i="42"/>
  <c r="K23" i="42"/>
  <c r="K24" i="42"/>
  <c r="K25" i="42"/>
  <c r="K26" i="42"/>
  <c r="K27" i="42"/>
  <c r="K28" i="42"/>
  <c r="K29" i="42"/>
  <c r="K30" i="42"/>
  <c r="K31" i="42"/>
  <c r="K32" i="42"/>
  <c r="K33" i="42"/>
  <c r="K34" i="42"/>
  <c r="K35" i="42"/>
  <c r="K36" i="42"/>
  <c r="K37" i="42"/>
  <c r="K38" i="42"/>
  <c r="K39" i="42"/>
  <c r="K40" i="42"/>
  <c r="K41" i="42"/>
  <c r="K42" i="42"/>
  <c r="K43" i="42"/>
  <c r="K44" i="42"/>
  <c r="K45" i="42"/>
  <c r="K46" i="42"/>
  <c r="K47" i="42"/>
  <c r="K48" i="42"/>
  <c r="K49" i="42"/>
  <c r="K50" i="42"/>
  <c r="K51" i="42"/>
  <c r="K52" i="42"/>
  <c r="K53" i="42"/>
  <c r="K54" i="42"/>
  <c r="K55" i="42"/>
  <c r="K56" i="42"/>
  <c r="K57" i="42"/>
  <c r="K58" i="42"/>
  <c r="K59" i="42"/>
  <c r="K60" i="42"/>
  <c r="K61" i="42"/>
  <c r="K62" i="42"/>
  <c r="K63" i="42"/>
  <c r="K64" i="42"/>
  <c r="K65" i="42"/>
  <c r="K66" i="42"/>
  <c r="K67" i="42"/>
  <c r="K68" i="42"/>
  <c r="K69" i="42"/>
  <c r="K70" i="42"/>
  <c r="K71" i="42"/>
  <c r="K72" i="42"/>
  <c r="K73" i="42"/>
  <c r="K74" i="42"/>
  <c r="K75" i="42"/>
  <c r="K76" i="42"/>
  <c r="K77" i="42"/>
  <c r="K78" i="42"/>
  <c r="K79" i="42"/>
  <c r="K80" i="42"/>
  <c r="K81" i="42"/>
  <c r="K82" i="42"/>
  <c r="K83" i="42"/>
  <c r="K84" i="42"/>
  <c r="K85" i="42"/>
  <c r="K86" i="42"/>
  <c r="K87" i="42"/>
  <c r="K88" i="42"/>
  <c r="K89" i="42"/>
  <c r="K90" i="42"/>
  <c r="K91" i="42"/>
  <c r="K92" i="42"/>
  <c r="K93" i="42"/>
  <c r="K94" i="42"/>
  <c r="K95" i="42"/>
  <c r="K96" i="42"/>
  <c r="K97" i="42"/>
  <c r="K98" i="42"/>
  <c r="K99" i="42"/>
  <c r="K100" i="42"/>
  <c r="K101" i="42"/>
  <c r="K102" i="42"/>
  <c r="K103" i="42"/>
  <c r="K104" i="42"/>
  <c r="K105" i="42"/>
  <c r="K106" i="42"/>
  <c r="K107" i="42"/>
  <c r="K108" i="42"/>
  <c r="K109" i="42"/>
  <c r="K110" i="42"/>
  <c r="K111" i="42"/>
  <c r="K112" i="42"/>
  <c r="K113" i="42"/>
  <c r="K114" i="42"/>
  <c r="K115" i="42"/>
  <c r="K116" i="42"/>
  <c r="K117" i="42"/>
  <c r="K118" i="42"/>
  <c r="K119" i="42"/>
  <c r="K120" i="42"/>
  <c r="K121" i="42"/>
  <c r="K122" i="42"/>
  <c r="K123" i="42"/>
  <c r="K124" i="42"/>
  <c r="K125" i="42"/>
  <c r="K126" i="42"/>
  <c r="K127" i="42"/>
  <c r="K128" i="42"/>
  <c r="K129" i="42"/>
  <c r="K130" i="42"/>
  <c r="K131" i="42"/>
  <c r="K132" i="42"/>
  <c r="K133" i="42"/>
  <c r="K134" i="42"/>
  <c r="K135" i="42"/>
  <c r="K136" i="42"/>
  <c r="K137" i="42"/>
  <c r="K138" i="42"/>
  <c r="K139" i="42"/>
  <c r="K140" i="42"/>
  <c r="K141" i="42"/>
  <c r="K142" i="42"/>
  <c r="K143" i="42"/>
  <c r="K144" i="42"/>
  <c r="K145" i="42"/>
  <c r="K146" i="42"/>
  <c r="K147" i="42"/>
  <c r="K148" i="42"/>
  <c r="K149" i="42"/>
  <c r="K150" i="42"/>
  <c r="K151" i="42"/>
  <c r="K152" i="42"/>
  <c r="K153" i="42"/>
  <c r="K154" i="42"/>
  <c r="K155" i="42"/>
  <c r="K156" i="42"/>
  <c r="K157" i="42"/>
  <c r="K158" i="42"/>
  <c r="K159" i="42"/>
  <c r="K160" i="42"/>
  <c r="K161" i="42"/>
  <c r="K162" i="42"/>
  <c r="K163" i="42"/>
  <c r="K164" i="42"/>
  <c r="K165" i="42"/>
  <c r="K166" i="42"/>
  <c r="K167" i="42"/>
  <c r="K168" i="42"/>
  <c r="K169" i="42"/>
  <c r="K170" i="42"/>
  <c r="K171" i="42"/>
  <c r="K172" i="42"/>
  <c r="K173" i="42"/>
  <c r="K174" i="42"/>
  <c r="K175" i="42"/>
  <c r="K176" i="42"/>
  <c r="K177" i="42"/>
  <c r="K178" i="42"/>
  <c r="K179" i="42"/>
  <c r="K180" i="42"/>
  <c r="K181" i="42"/>
  <c r="K182" i="42"/>
  <c r="K183" i="42"/>
  <c r="K184" i="42"/>
  <c r="K185" i="42"/>
  <c r="K186" i="42"/>
  <c r="K187" i="42"/>
  <c r="K188" i="42"/>
  <c r="K189" i="42"/>
  <c r="K190" i="42"/>
  <c r="K191" i="42"/>
  <c r="K192" i="42"/>
  <c r="K193" i="42"/>
  <c r="K194" i="42"/>
  <c r="K195" i="42"/>
  <c r="K196" i="42"/>
  <c r="K197" i="42"/>
  <c r="K198" i="42"/>
  <c r="K199" i="42"/>
  <c r="K200" i="42"/>
  <c r="K201" i="42"/>
  <c r="K202" i="42"/>
  <c r="K203" i="42"/>
  <c r="K204" i="42"/>
  <c r="K205" i="42"/>
  <c r="K206" i="42"/>
  <c r="K207" i="42"/>
  <c r="K208" i="42"/>
  <c r="K209" i="42"/>
  <c r="K210" i="42"/>
  <c r="K211" i="42"/>
  <c r="K212" i="42"/>
  <c r="K213" i="42"/>
  <c r="K214" i="42"/>
  <c r="K215" i="42"/>
  <c r="K216" i="42"/>
  <c r="K217" i="42"/>
  <c r="K218" i="42"/>
  <c r="K219" i="42"/>
  <c r="K220" i="42"/>
  <c r="K221" i="42"/>
  <c r="K222" i="42"/>
  <c r="K223" i="42"/>
  <c r="K224" i="42"/>
  <c r="K225" i="42"/>
  <c r="K226" i="42"/>
  <c r="K227" i="42"/>
  <c r="K228" i="42"/>
  <c r="K229" i="42"/>
  <c r="K230" i="42"/>
  <c r="K231" i="42"/>
  <c r="K232" i="42"/>
  <c r="K233" i="42"/>
  <c r="K234" i="42"/>
  <c r="K235" i="42"/>
  <c r="K236" i="42"/>
  <c r="K237" i="42"/>
  <c r="K238" i="42"/>
  <c r="K239" i="42"/>
  <c r="K240" i="42"/>
  <c r="K241" i="42"/>
  <c r="K242" i="42"/>
  <c r="K243" i="42"/>
  <c r="K244" i="42"/>
  <c r="K245" i="42"/>
  <c r="K246" i="42"/>
  <c r="K247" i="42"/>
  <c r="K248" i="42"/>
  <c r="K249" i="42"/>
  <c r="K250" i="42"/>
  <c r="K251" i="42"/>
  <c r="K252" i="42"/>
  <c r="K253" i="42"/>
  <c r="K254" i="42"/>
  <c r="K255" i="42"/>
  <c r="K256" i="42"/>
  <c r="K257" i="42"/>
  <c r="K258" i="42"/>
  <c r="K13" i="42"/>
  <c r="K12" i="42"/>
  <c r="L254" i="52"/>
  <c r="T257" i="52"/>
  <c r="T11" i="52"/>
  <c r="T12" i="52"/>
  <c r="T13" i="52"/>
  <c r="T14" i="52"/>
  <c r="T15" i="52"/>
  <c r="T16" i="52"/>
  <c r="T17" i="52"/>
  <c r="T18" i="52"/>
  <c r="T19" i="52"/>
  <c r="T20" i="52"/>
  <c r="T21" i="52"/>
  <c r="T22" i="52"/>
  <c r="T23" i="52"/>
  <c r="T24" i="52"/>
  <c r="T25" i="52"/>
  <c r="T26" i="52"/>
  <c r="T27" i="52"/>
  <c r="T28" i="52"/>
  <c r="T29" i="52"/>
  <c r="T30" i="52"/>
  <c r="T31" i="52"/>
  <c r="T32" i="52"/>
  <c r="T33" i="52"/>
  <c r="T34" i="52"/>
  <c r="T35" i="52"/>
  <c r="T36" i="52"/>
  <c r="T37" i="52"/>
  <c r="T38" i="52"/>
  <c r="T39" i="52"/>
  <c r="T40" i="52"/>
  <c r="T41" i="52"/>
  <c r="T42" i="52"/>
  <c r="T43" i="52"/>
  <c r="T44" i="52"/>
  <c r="T45" i="52"/>
  <c r="T46" i="52"/>
  <c r="T47" i="52"/>
  <c r="T48" i="52"/>
  <c r="T49" i="52"/>
  <c r="T50" i="52"/>
  <c r="T51" i="52"/>
  <c r="T52" i="52"/>
  <c r="T53" i="52"/>
  <c r="T54" i="52"/>
  <c r="T55" i="52"/>
  <c r="T56" i="52"/>
  <c r="T57" i="52"/>
  <c r="T58" i="52"/>
  <c r="T59" i="52"/>
  <c r="T60" i="52"/>
  <c r="T61" i="52"/>
  <c r="T62" i="52"/>
  <c r="T63" i="52"/>
  <c r="T64" i="52"/>
  <c r="T65" i="52"/>
  <c r="T66" i="52"/>
  <c r="T67" i="52"/>
  <c r="T68" i="52"/>
  <c r="T69" i="52"/>
  <c r="T70" i="52"/>
  <c r="T71" i="52"/>
  <c r="T72" i="52"/>
  <c r="T73" i="52"/>
  <c r="T74" i="52"/>
  <c r="T75" i="52"/>
  <c r="T76" i="52"/>
  <c r="T77" i="52"/>
  <c r="T78" i="52"/>
  <c r="T79" i="52"/>
  <c r="T80" i="52"/>
  <c r="T81" i="52"/>
  <c r="T82" i="52"/>
  <c r="T83" i="52"/>
  <c r="T84" i="52"/>
  <c r="T85" i="52"/>
  <c r="T86" i="52"/>
  <c r="T87" i="52"/>
  <c r="T88" i="52"/>
  <c r="T89" i="52"/>
  <c r="T90" i="52"/>
  <c r="T91" i="52"/>
  <c r="T92" i="52"/>
  <c r="T93" i="52"/>
  <c r="T94" i="52"/>
  <c r="T95" i="52"/>
  <c r="T96" i="52"/>
  <c r="T97" i="52"/>
  <c r="T98" i="52"/>
  <c r="T99" i="52"/>
  <c r="T100" i="52"/>
  <c r="T101" i="52"/>
  <c r="T102" i="52"/>
  <c r="T103" i="52"/>
  <c r="T104" i="52"/>
  <c r="T105" i="52"/>
  <c r="T106" i="52"/>
  <c r="T107" i="52"/>
  <c r="T108" i="52"/>
  <c r="T109" i="52"/>
  <c r="T110" i="52"/>
  <c r="T111" i="52"/>
  <c r="T112" i="52"/>
  <c r="T113" i="52"/>
  <c r="T114" i="52"/>
  <c r="T115" i="52"/>
  <c r="T116" i="52"/>
  <c r="T117" i="52"/>
  <c r="T118" i="52"/>
  <c r="T119" i="52"/>
  <c r="T120" i="52"/>
  <c r="T121" i="52"/>
  <c r="T122" i="52"/>
  <c r="T123" i="52"/>
  <c r="T124" i="52"/>
  <c r="T125" i="52"/>
  <c r="T126" i="52"/>
  <c r="T127" i="52"/>
  <c r="T128" i="52"/>
  <c r="T129" i="52"/>
  <c r="T130" i="52"/>
  <c r="T131" i="52"/>
  <c r="T132" i="52"/>
  <c r="T133" i="52"/>
  <c r="T134" i="52"/>
  <c r="T135" i="52"/>
  <c r="T136" i="52"/>
  <c r="T137" i="52"/>
  <c r="T138" i="52"/>
  <c r="T139" i="52"/>
  <c r="T140" i="52"/>
  <c r="T141" i="52"/>
  <c r="T142" i="52"/>
  <c r="T143" i="52"/>
  <c r="T144" i="52"/>
  <c r="T145" i="52"/>
  <c r="T146" i="52"/>
  <c r="T147" i="52"/>
  <c r="T148" i="52"/>
  <c r="T149" i="52"/>
  <c r="T150" i="52"/>
  <c r="T151" i="52"/>
  <c r="T152" i="52"/>
  <c r="T153" i="52"/>
  <c r="T154" i="52"/>
  <c r="T155" i="52"/>
  <c r="T156" i="52"/>
  <c r="T157" i="52"/>
  <c r="T158" i="52"/>
  <c r="T159" i="52"/>
  <c r="T160" i="52"/>
  <c r="T161" i="52"/>
  <c r="T162" i="52"/>
  <c r="T163" i="52"/>
  <c r="T164" i="52"/>
  <c r="T165" i="52"/>
  <c r="T166" i="52"/>
  <c r="T167" i="52"/>
  <c r="T168" i="52"/>
  <c r="T169" i="52"/>
  <c r="T170" i="52"/>
  <c r="T171" i="52"/>
  <c r="T172" i="52"/>
  <c r="T173" i="52"/>
  <c r="T174" i="52"/>
  <c r="T175" i="52"/>
  <c r="T176" i="52"/>
  <c r="T177" i="52"/>
  <c r="T178" i="52"/>
  <c r="T179" i="52"/>
  <c r="T180" i="52"/>
  <c r="T181" i="52"/>
  <c r="T182" i="52"/>
  <c r="T183" i="52"/>
  <c r="T184" i="52"/>
  <c r="T185" i="52"/>
  <c r="T186" i="52"/>
  <c r="T187" i="52"/>
  <c r="T188" i="52"/>
  <c r="T189" i="52"/>
  <c r="T190" i="52"/>
  <c r="T191" i="52"/>
  <c r="T192" i="52"/>
  <c r="T193" i="52"/>
  <c r="T194" i="52"/>
  <c r="T195" i="52"/>
  <c r="T196" i="52"/>
  <c r="T197" i="52"/>
  <c r="T198" i="52"/>
  <c r="T199" i="52"/>
  <c r="T200" i="52"/>
  <c r="T201" i="52"/>
  <c r="T202" i="52"/>
  <c r="T203" i="52"/>
  <c r="T204" i="52"/>
  <c r="T205" i="52"/>
  <c r="T206" i="52"/>
  <c r="T207" i="52"/>
  <c r="T208" i="52"/>
  <c r="T209" i="52"/>
  <c r="T210" i="52"/>
  <c r="T211" i="52"/>
  <c r="T212" i="52"/>
  <c r="T213" i="52"/>
  <c r="T214" i="52"/>
  <c r="T215" i="52"/>
  <c r="T216" i="52"/>
  <c r="T217" i="52"/>
  <c r="T218" i="52"/>
  <c r="T219" i="52"/>
  <c r="T220" i="52"/>
  <c r="T221" i="52"/>
  <c r="T222" i="52"/>
  <c r="T223" i="52"/>
  <c r="T224" i="52"/>
  <c r="T225" i="52"/>
  <c r="T226" i="52"/>
  <c r="T227" i="52"/>
  <c r="T228" i="52"/>
  <c r="T229" i="52"/>
  <c r="T230" i="52"/>
  <c r="T231" i="52"/>
  <c r="T232" i="52"/>
  <c r="T233" i="52"/>
  <c r="T234" i="52"/>
  <c r="T235" i="52"/>
  <c r="T236" i="52"/>
  <c r="T237" i="52"/>
  <c r="T238" i="52"/>
  <c r="T239" i="52"/>
  <c r="T240" i="52"/>
  <c r="T241" i="52"/>
  <c r="T242" i="52"/>
  <c r="T243" i="52"/>
  <c r="T244" i="52"/>
  <c r="T245" i="52"/>
  <c r="T246" i="52"/>
  <c r="T247" i="52"/>
  <c r="T248" i="52"/>
  <c r="T249" i="52"/>
  <c r="T250" i="52"/>
  <c r="T251" i="52"/>
  <c r="T252" i="52"/>
  <c r="T253" i="52"/>
  <c r="T254" i="52"/>
  <c r="T255" i="52"/>
  <c r="T256" i="52"/>
  <c r="T10" i="52"/>
  <c r="L257" i="52"/>
  <c r="L12" i="52"/>
  <c r="L13" i="52"/>
  <c r="L14" i="52"/>
  <c r="L15" i="52"/>
  <c r="L16" i="52"/>
  <c r="L17" i="52"/>
  <c r="L18" i="52"/>
  <c r="L19" i="52"/>
  <c r="L20" i="52"/>
  <c r="L21" i="52"/>
  <c r="L22" i="52"/>
  <c r="L23" i="52"/>
  <c r="L24" i="52"/>
  <c r="L25" i="52"/>
  <c r="L26" i="52"/>
  <c r="L27" i="52"/>
  <c r="L28" i="52"/>
  <c r="L29" i="52"/>
  <c r="L30" i="52"/>
  <c r="L31" i="52"/>
  <c r="L32" i="52"/>
  <c r="L33" i="52"/>
  <c r="L34" i="52"/>
  <c r="L35" i="52"/>
  <c r="L36" i="52"/>
  <c r="L37" i="52"/>
  <c r="L38" i="52"/>
  <c r="L39" i="52"/>
  <c r="L40" i="52"/>
  <c r="L41" i="52"/>
  <c r="L42" i="52"/>
  <c r="L43" i="52"/>
  <c r="L44" i="52"/>
  <c r="L45" i="52"/>
  <c r="L46" i="52"/>
  <c r="L47" i="52"/>
  <c r="L48" i="52"/>
  <c r="L49" i="52"/>
  <c r="L50" i="52"/>
  <c r="L51" i="52"/>
  <c r="L52" i="52"/>
  <c r="L53" i="52"/>
  <c r="L54" i="52"/>
  <c r="L55" i="52"/>
  <c r="L56" i="52"/>
  <c r="L57" i="52"/>
  <c r="L58" i="52"/>
  <c r="L59" i="52"/>
  <c r="L60" i="52"/>
  <c r="L61" i="52"/>
  <c r="L62" i="52"/>
  <c r="L63" i="52"/>
  <c r="L64" i="52"/>
  <c r="L65" i="52"/>
  <c r="L66" i="52"/>
  <c r="L67" i="52"/>
  <c r="L68" i="52"/>
  <c r="L69" i="52"/>
  <c r="L70" i="52"/>
  <c r="L71" i="52"/>
  <c r="L72" i="52"/>
  <c r="L73" i="52"/>
  <c r="L74" i="52"/>
  <c r="L75" i="52"/>
  <c r="L76" i="52"/>
  <c r="L77" i="52"/>
  <c r="L78" i="52"/>
  <c r="L79" i="52"/>
  <c r="L80" i="52"/>
  <c r="L81" i="52"/>
  <c r="L82" i="52"/>
  <c r="L83" i="52"/>
  <c r="L84" i="52"/>
  <c r="L85" i="52"/>
  <c r="L86" i="52"/>
  <c r="L87" i="52"/>
  <c r="L88" i="52"/>
  <c r="L89" i="52"/>
  <c r="L90" i="52"/>
  <c r="L91" i="52"/>
  <c r="L92" i="52"/>
  <c r="L93" i="52"/>
  <c r="L94" i="52"/>
  <c r="L95" i="52"/>
  <c r="L96" i="52"/>
  <c r="L97" i="52"/>
  <c r="L98" i="52"/>
  <c r="L99" i="52"/>
  <c r="L100" i="52"/>
  <c r="L101" i="52"/>
  <c r="L102" i="52"/>
  <c r="L103" i="52"/>
  <c r="L104" i="52"/>
  <c r="L105" i="52"/>
  <c r="L106" i="52"/>
  <c r="L107" i="52"/>
  <c r="L108" i="52"/>
  <c r="L109" i="52"/>
  <c r="L110" i="52"/>
  <c r="L111" i="52"/>
  <c r="L112" i="52"/>
  <c r="L113" i="52"/>
  <c r="L114" i="52"/>
  <c r="L115" i="52"/>
  <c r="L116" i="52"/>
  <c r="L117" i="52"/>
  <c r="L118" i="52"/>
  <c r="L119" i="52"/>
  <c r="L120" i="52"/>
  <c r="L121" i="52"/>
  <c r="L122" i="52"/>
  <c r="L123" i="52"/>
  <c r="L124" i="52"/>
  <c r="L125" i="52"/>
  <c r="L126" i="52"/>
  <c r="L127" i="52"/>
  <c r="L128" i="52"/>
  <c r="L129" i="52"/>
  <c r="L130" i="52"/>
  <c r="L131" i="52"/>
  <c r="L132" i="52"/>
  <c r="L133" i="52"/>
  <c r="L134" i="52"/>
  <c r="L135" i="52"/>
  <c r="L136" i="52"/>
  <c r="L137" i="52"/>
  <c r="L138" i="52"/>
  <c r="L139" i="52"/>
  <c r="L140" i="52"/>
  <c r="L141" i="52"/>
  <c r="L142" i="52"/>
  <c r="L143" i="52"/>
  <c r="L144" i="52"/>
  <c r="L145" i="52"/>
  <c r="L146" i="52"/>
  <c r="L147" i="52"/>
  <c r="L148" i="52"/>
  <c r="L149" i="52"/>
  <c r="L150" i="52"/>
  <c r="L151" i="52"/>
  <c r="L152" i="52"/>
  <c r="L153" i="52"/>
  <c r="L154" i="52"/>
  <c r="L155" i="52"/>
  <c r="L156" i="52"/>
  <c r="L157" i="52"/>
  <c r="L158" i="52"/>
  <c r="L159" i="52"/>
  <c r="L160" i="52"/>
  <c r="L161" i="52"/>
  <c r="L162" i="52"/>
  <c r="L163" i="52"/>
  <c r="L164" i="52"/>
  <c r="L165" i="52"/>
  <c r="L166" i="52"/>
  <c r="L167" i="52"/>
  <c r="L168" i="52"/>
  <c r="L169" i="52"/>
  <c r="L170" i="52"/>
  <c r="L171" i="52"/>
  <c r="L172" i="52"/>
  <c r="L173" i="52"/>
  <c r="L174" i="52"/>
  <c r="L175" i="52"/>
  <c r="L176" i="52"/>
  <c r="L177" i="52"/>
  <c r="L178" i="52"/>
  <c r="L179" i="52"/>
  <c r="L180" i="52"/>
  <c r="L181" i="52"/>
  <c r="L182" i="52"/>
  <c r="L183" i="52"/>
  <c r="L184" i="52"/>
  <c r="L185" i="52"/>
  <c r="L186" i="52"/>
  <c r="L187" i="52"/>
  <c r="L188" i="52"/>
  <c r="L189" i="52"/>
  <c r="L190" i="52"/>
  <c r="L191" i="52"/>
  <c r="L192" i="52"/>
  <c r="L193" i="52"/>
  <c r="L194" i="52"/>
  <c r="L195" i="52"/>
  <c r="L196" i="52"/>
  <c r="L197" i="52"/>
  <c r="L198" i="52"/>
  <c r="L199" i="52"/>
  <c r="L200" i="52"/>
  <c r="L201" i="52"/>
  <c r="L202" i="52"/>
  <c r="L203" i="52"/>
  <c r="L204" i="52"/>
  <c r="L205" i="52"/>
  <c r="L206" i="52"/>
  <c r="L207" i="52"/>
  <c r="L208" i="52"/>
  <c r="L209" i="52"/>
  <c r="L210" i="52"/>
  <c r="L211" i="52"/>
  <c r="L212" i="52"/>
  <c r="L213" i="52"/>
  <c r="L214" i="52"/>
  <c r="L215" i="52"/>
  <c r="L216" i="52"/>
  <c r="L217" i="52"/>
  <c r="L218" i="52"/>
  <c r="L219" i="52"/>
  <c r="L220" i="52"/>
  <c r="L221" i="52"/>
  <c r="L222" i="52"/>
  <c r="L223" i="52"/>
  <c r="L224" i="52"/>
  <c r="L225" i="52"/>
  <c r="L226" i="52"/>
  <c r="L227" i="52"/>
  <c r="L228" i="52"/>
  <c r="L229" i="52"/>
  <c r="L230" i="52"/>
  <c r="L231" i="52"/>
  <c r="L232" i="52"/>
  <c r="L233" i="52"/>
  <c r="L234" i="52"/>
  <c r="L235" i="52"/>
  <c r="L236" i="52"/>
  <c r="L237" i="52"/>
  <c r="L238" i="52"/>
  <c r="L239" i="52"/>
  <c r="L240" i="52"/>
  <c r="L241" i="52"/>
  <c r="L242" i="52"/>
  <c r="L243" i="52"/>
  <c r="L244" i="52"/>
  <c r="L245" i="52"/>
  <c r="L246" i="52"/>
  <c r="L247" i="52"/>
  <c r="L248" i="52"/>
  <c r="L249" i="52"/>
  <c r="L250" i="52"/>
  <c r="L251" i="52"/>
  <c r="L252" i="52"/>
  <c r="L253" i="52"/>
  <c r="L255" i="52"/>
  <c r="L256" i="52"/>
  <c r="L11" i="52"/>
  <c r="L10" i="52"/>
  <c r="K257" i="52"/>
  <c r="K213" i="52"/>
  <c r="K214" i="52"/>
  <c r="K215" i="52"/>
  <c r="K216" i="52"/>
  <c r="K217" i="52"/>
  <c r="K218" i="52"/>
  <c r="K219" i="52"/>
  <c r="K220" i="52"/>
  <c r="K221" i="52"/>
  <c r="K222" i="52"/>
  <c r="K223" i="52"/>
  <c r="K224" i="52"/>
  <c r="K225" i="52"/>
  <c r="K226" i="52"/>
  <c r="K227" i="52"/>
  <c r="K228" i="52"/>
  <c r="K229" i="52"/>
  <c r="K230" i="52"/>
  <c r="K231" i="52"/>
  <c r="K232" i="52"/>
  <c r="K233" i="52"/>
  <c r="K234" i="52"/>
  <c r="K235" i="52"/>
  <c r="K236" i="52"/>
  <c r="K237" i="52"/>
  <c r="K238" i="52"/>
  <c r="K239" i="52"/>
  <c r="K240" i="52"/>
  <c r="K241" i="52"/>
  <c r="K242" i="52"/>
  <c r="K243" i="52"/>
  <c r="K244" i="52"/>
  <c r="K245" i="52"/>
  <c r="K246" i="52"/>
  <c r="K247" i="52"/>
  <c r="K248" i="52"/>
  <c r="K249" i="52"/>
  <c r="K250" i="52"/>
  <c r="K251" i="52"/>
  <c r="K252" i="52"/>
  <c r="K253" i="52"/>
  <c r="K254" i="52"/>
  <c r="K255" i="52"/>
  <c r="K256" i="52"/>
  <c r="K212" i="52"/>
  <c r="K211" i="52"/>
  <c r="N12" i="11"/>
  <c r="N13" i="11"/>
  <c r="N14" i="11"/>
  <c r="N15" i="11"/>
  <c r="N16" i="11"/>
  <c r="N17" i="11"/>
  <c r="N18" i="11"/>
  <c r="N19" i="11"/>
  <c r="N20" i="11"/>
  <c r="N21" i="11"/>
  <c r="N22" i="11"/>
  <c r="N23" i="11"/>
  <c r="N24" i="11"/>
  <c r="N25" i="11"/>
  <c r="N26" i="11"/>
  <c r="N27" i="11"/>
  <c r="N28" i="11"/>
  <c r="N29" i="11"/>
  <c r="N30" i="11"/>
  <c r="N31" i="11"/>
  <c r="N32" i="11"/>
  <c r="N33" i="11"/>
  <c r="N34" i="11"/>
  <c r="N35" i="11"/>
  <c r="N36" i="11"/>
  <c r="N37" i="11"/>
  <c r="N38" i="11"/>
  <c r="N39" i="11"/>
  <c r="N40" i="11"/>
  <c r="N41" i="11"/>
  <c r="N42" i="11"/>
  <c r="N43" i="11"/>
  <c r="N44" i="11"/>
  <c r="N45" i="11"/>
  <c r="N46" i="11"/>
  <c r="N47" i="11"/>
  <c r="N48" i="11"/>
  <c r="N49" i="11"/>
  <c r="N50" i="11"/>
  <c r="N51" i="11"/>
  <c r="N52" i="11"/>
  <c r="N53" i="11"/>
  <c r="N54" i="11"/>
  <c r="N55" i="11"/>
  <c r="N56" i="11"/>
  <c r="N57" i="11"/>
  <c r="N58" i="11"/>
  <c r="N59" i="11"/>
  <c r="N60" i="11"/>
  <c r="N61" i="11"/>
  <c r="N62" i="11"/>
  <c r="N63" i="11"/>
  <c r="N64" i="11"/>
  <c r="N65" i="11"/>
  <c r="N66" i="11"/>
  <c r="N67" i="11"/>
  <c r="N68" i="11"/>
  <c r="N69" i="11"/>
  <c r="N70" i="11"/>
  <c r="N71" i="11"/>
  <c r="N72" i="11"/>
  <c r="N73" i="11"/>
  <c r="N74" i="11"/>
  <c r="N75" i="11"/>
  <c r="N76" i="11"/>
  <c r="N77" i="11"/>
  <c r="N78" i="11"/>
  <c r="N79" i="11"/>
  <c r="N80" i="11"/>
  <c r="N81" i="11"/>
  <c r="N82" i="11"/>
  <c r="N83" i="11"/>
  <c r="N84" i="11"/>
  <c r="N85" i="11"/>
  <c r="N86" i="11"/>
  <c r="N87" i="11"/>
  <c r="N88" i="11"/>
  <c r="N89" i="11"/>
  <c r="N90" i="11"/>
  <c r="N91" i="11"/>
  <c r="N92" i="11"/>
  <c r="N93" i="11"/>
  <c r="N94" i="11"/>
  <c r="N95" i="11"/>
  <c r="N96" i="11"/>
  <c r="N97" i="11"/>
  <c r="N98" i="11"/>
  <c r="N99" i="11"/>
  <c r="N100" i="11"/>
  <c r="N101" i="11"/>
  <c r="N102" i="11"/>
  <c r="N103" i="11"/>
  <c r="N104" i="11"/>
  <c r="N105" i="11"/>
  <c r="N106" i="11"/>
  <c r="N107" i="11"/>
  <c r="N108" i="11"/>
  <c r="N109" i="11"/>
  <c r="N110" i="11"/>
  <c r="N111" i="11"/>
  <c r="N112" i="11"/>
  <c r="N113" i="11"/>
  <c r="N114" i="11"/>
  <c r="N115" i="11"/>
  <c r="N116" i="11"/>
  <c r="N117" i="11"/>
  <c r="N118" i="11"/>
  <c r="N119" i="11"/>
  <c r="N120" i="11"/>
  <c r="N121" i="11"/>
  <c r="N122" i="11"/>
  <c r="N123" i="11"/>
  <c r="N124" i="11"/>
  <c r="N125" i="11"/>
  <c r="N126" i="11"/>
  <c r="N127" i="11"/>
  <c r="N128" i="11"/>
  <c r="N129" i="11"/>
  <c r="N130" i="11"/>
  <c r="N131" i="11"/>
  <c r="N132" i="11"/>
  <c r="N133" i="11"/>
  <c r="N134" i="11"/>
  <c r="N135" i="11"/>
  <c r="N136" i="11"/>
  <c r="N137" i="11"/>
  <c r="N138" i="11"/>
  <c r="N139" i="11"/>
  <c r="N140" i="11"/>
  <c r="N141" i="11"/>
  <c r="N142" i="11"/>
  <c r="N143" i="11"/>
  <c r="N144" i="11"/>
  <c r="N145" i="11"/>
  <c r="N146" i="11"/>
  <c r="N147" i="11"/>
  <c r="N148" i="11"/>
  <c r="N149" i="11"/>
  <c r="N150" i="11"/>
  <c r="N151" i="11"/>
  <c r="N152" i="11"/>
  <c r="N153" i="11"/>
  <c r="N154" i="11"/>
  <c r="N155" i="11"/>
  <c r="N156" i="11"/>
  <c r="N157" i="11"/>
  <c r="N158" i="11"/>
  <c r="N159" i="11"/>
  <c r="N160" i="11"/>
  <c r="N161" i="11"/>
  <c r="N162" i="11"/>
  <c r="N163" i="11"/>
  <c r="N164" i="11"/>
  <c r="N165" i="11"/>
  <c r="N166" i="11"/>
  <c r="N167" i="11"/>
  <c r="N168" i="11"/>
  <c r="N169" i="11"/>
  <c r="N170" i="11"/>
  <c r="N171" i="11"/>
  <c r="N172" i="11"/>
  <c r="N173" i="11"/>
  <c r="N174" i="11"/>
  <c r="N175" i="11"/>
  <c r="N176" i="11"/>
  <c r="N177" i="11"/>
  <c r="N178" i="11"/>
  <c r="N179" i="11"/>
  <c r="N180" i="11"/>
  <c r="N181" i="11"/>
  <c r="N182" i="11"/>
  <c r="N183" i="11"/>
  <c r="N184" i="11"/>
  <c r="N185" i="11"/>
  <c r="N186" i="11"/>
  <c r="N187" i="11"/>
  <c r="N188" i="11"/>
  <c r="N189" i="11"/>
  <c r="N190" i="11"/>
  <c r="N191" i="11"/>
  <c r="N192" i="11"/>
  <c r="N193" i="11"/>
  <c r="N194" i="11"/>
  <c r="N195" i="11"/>
  <c r="N196" i="11"/>
  <c r="N197" i="11"/>
  <c r="N198" i="11"/>
  <c r="N199" i="11"/>
  <c r="N200" i="11"/>
  <c r="N201" i="11"/>
  <c r="N202" i="11"/>
  <c r="N203" i="11"/>
  <c r="N204" i="11"/>
  <c r="N205" i="11"/>
  <c r="N206" i="11"/>
  <c r="N207" i="11"/>
  <c r="N208" i="11"/>
  <c r="N209" i="11"/>
  <c r="N210" i="11"/>
  <c r="N211" i="11"/>
  <c r="N212" i="11"/>
  <c r="N213" i="11"/>
  <c r="N214" i="11"/>
  <c r="N215" i="11"/>
  <c r="N216" i="11"/>
  <c r="N217" i="11"/>
  <c r="N218" i="11"/>
  <c r="N219" i="11"/>
  <c r="N220" i="11"/>
  <c r="N221" i="11"/>
  <c r="N222" i="11"/>
  <c r="N223" i="11"/>
  <c r="N224" i="11"/>
  <c r="N225" i="11"/>
  <c r="N226" i="11"/>
  <c r="N227" i="11"/>
  <c r="N228" i="11"/>
  <c r="N229" i="11"/>
  <c r="N230" i="11"/>
  <c r="N231" i="11"/>
  <c r="N232" i="11"/>
  <c r="N233" i="11"/>
  <c r="N234" i="11"/>
  <c r="N235" i="11"/>
  <c r="N236" i="11"/>
  <c r="N237" i="11"/>
  <c r="N238" i="11"/>
  <c r="N239" i="11"/>
  <c r="N240" i="11"/>
  <c r="N241" i="11"/>
  <c r="N242" i="11"/>
  <c r="N243" i="11"/>
  <c r="N244" i="11"/>
  <c r="N245" i="11"/>
  <c r="N246" i="11"/>
  <c r="N247" i="11"/>
  <c r="N248" i="11"/>
  <c r="N249" i="11"/>
  <c r="N250" i="11"/>
  <c r="N251" i="11"/>
  <c r="N252" i="11"/>
  <c r="N253" i="11"/>
  <c r="N254" i="11"/>
  <c r="N255" i="11"/>
  <c r="N256" i="11"/>
  <c r="O258" i="11"/>
  <c r="O103" i="11"/>
  <c r="O104" i="11"/>
  <c r="O105" i="11"/>
  <c r="O106" i="11"/>
  <c r="O107" i="11"/>
  <c r="O108" i="11"/>
  <c r="O109" i="11"/>
  <c r="O110" i="11"/>
  <c r="O111" i="11"/>
  <c r="O112" i="11"/>
  <c r="O113" i="11"/>
  <c r="O114" i="11"/>
  <c r="O115" i="11"/>
  <c r="O116" i="11"/>
  <c r="O117" i="11"/>
  <c r="O118" i="11"/>
  <c r="O119" i="11"/>
  <c r="O120" i="11"/>
  <c r="O121" i="11"/>
  <c r="O122" i="11"/>
  <c r="O123" i="11"/>
  <c r="O124" i="11"/>
  <c r="O125" i="11"/>
  <c r="O126" i="11"/>
  <c r="O127" i="11"/>
  <c r="O128" i="11"/>
  <c r="O129" i="11"/>
  <c r="O130" i="11"/>
  <c r="O131" i="11"/>
  <c r="O132" i="11"/>
  <c r="O133" i="11"/>
  <c r="O134" i="11"/>
  <c r="O135" i="11"/>
  <c r="O136" i="11"/>
  <c r="O137" i="11"/>
  <c r="O138" i="11"/>
  <c r="O139" i="11"/>
  <c r="O140" i="11"/>
  <c r="O141" i="11"/>
  <c r="O142" i="11"/>
  <c r="O143" i="11"/>
  <c r="O144" i="11"/>
  <c r="O145" i="11"/>
  <c r="O146" i="11"/>
  <c r="O147" i="11"/>
  <c r="O148" i="11"/>
  <c r="O149" i="11"/>
  <c r="O150" i="11"/>
  <c r="O151" i="11"/>
  <c r="O152" i="11"/>
  <c r="O153" i="11"/>
  <c r="O154" i="11"/>
  <c r="O155" i="11"/>
  <c r="O156" i="11"/>
  <c r="O157" i="11"/>
  <c r="O158" i="11"/>
  <c r="O159" i="11"/>
  <c r="O160" i="11"/>
  <c r="O161" i="11"/>
  <c r="O162" i="11"/>
  <c r="O163" i="11"/>
  <c r="O164" i="11"/>
  <c r="O165" i="11"/>
  <c r="O166" i="11"/>
  <c r="O167" i="11"/>
  <c r="O168" i="11"/>
  <c r="O169" i="11"/>
  <c r="O170" i="11"/>
  <c r="O171" i="11"/>
  <c r="O172" i="11"/>
  <c r="O173" i="11"/>
  <c r="O174" i="11"/>
  <c r="O175" i="11"/>
  <c r="O176" i="11"/>
  <c r="O177" i="11"/>
  <c r="O178" i="11"/>
  <c r="O179" i="11"/>
  <c r="O180" i="11"/>
  <c r="O181" i="11"/>
  <c r="O182" i="11"/>
  <c r="O183" i="11"/>
  <c r="O184" i="11"/>
  <c r="O185" i="11"/>
  <c r="O186" i="11"/>
  <c r="O187" i="11"/>
  <c r="O188" i="11"/>
  <c r="O189" i="11"/>
  <c r="O190" i="11"/>
  <c r="O191" i="11"/>
  <c r="O192" i="11"/>
  <c r="O193" i="11"/>
  <c r="O194" i="11"/>
  <c r="O195" i="11"/>
  <c r="O196" i="11"/>
  <c r="O197" i="11"/>
  <c r="O198" i="11"/>
  <c r="O199" i="11"/>
  <c r="O200" i="11"/>
  <c r="O201" i="11"/>
  <c r="O202" i="11"/>
  <c r="O203" i="11"/>
  <c r="O204" i="11"/>
  <c r="O205" i="11"/>
  <c r="O206" i="11"/>
  <c r="O207" i="11"/>
  <c r="O208" i="11"/>
  <c r="O209" i="11"/>
  <c r="O210" i="11"/>
  <c r="O211" i="11"/>
  <c r="O212" i="11"/>
  <c r="O213" i="11"/>
  <c r="O214" i="11"/>
  <c r="O215" i="11"/>
  <c r="O216" i="11"/>
  <c r="O217" i="11"/>
  <c r="O218" i="11"/>
  <c r="O219" i="11"/>
  <c r="O220" i="11"/>
  <c r="O221" i="11"/>
  <c r="O222" i="11"/>
  <c r="O223" i="11"/>
  <c r="O224" i="11"/>
  <c r="O225" i="11"/>
  <c r="O226" i="11"/>
  <c r="O227" i="11"/>
  <c r="O228" i="11"/>
  <c r="O229" i="11"/>
  <c r="O230" i="11"/>
  <c r="O231" i="11"/>
  <c r="O232" i="11"/>
  <c r="O233" i="11"/>
  <c r="O234" i="11"/>
  <c r="O235" i="11"/>
  <c r="O236" i="11"/>
  <c r="O237" i="11"/>
  <c r="O238" i="11"/>
  <c r="O239" i="11"/>
  <c r="O240" i="11"/>
  <c r="O241" i="11"/>
  <c r="O242" i="11"/>
  <c r="O243" i="11"/>
  <c r="O244" i="11"/>
  <c r="O245" i="11"/>
  <c r="O246" i="11"/>
  <c r="O247" i="11"/>
  <c r="O248" i="11"/>
  <c r="O249" i="11"/>
  <c r="O250" i="11"/>
  <c r="O251" i="11"/>
  <c r="O252" i="11"/>
  <c r="O253" i="11"/>
  <c r="O254" i="11"/>
  <c r="O255" i="11"/>
  <c r="O256" i="11"/>
  <c r="O257" i="11"/>
  <c r="O102" i="11"/>
  <c r="O101" i="11"/>
  <c r="T32" i="58" l="1"/>
  <c r="T133" i="58"/>
  <c r="T169" i="58"/>
  <c r="T27" i="58"/>
  <c r="T59" i="58"/>
  <c r="T195" i="58"/>
  <c r="T259" i="58"/>
  <c r="T84" i="58"/>
  <c r="T174" i="58"/>
  <c r="T238" i="58"/>
  <c r="S174" i="58"/>
  <c r="V174" i="58" s="1"/>
  <c r="S238" i="58"/>
  <c r="V238" i="58" s="1"/>
  <c r="S233" i="58"/>
  <c r="V233" i="58" s="1"/>
  <c r="S162" i="58"/>
  <c r="V162" i="58" s="1"/>
  <c r="T175" i="58"/>
  <c r="T239" i="58"/>
  <c r="S32" i="58"/>
  <c r="V32" i="58" s="1"/>
  <c r="S64" i="58"/>
  <c r="V64" i="58" s="1"/>
  <c r="S96" i="58"/>
  <c r="V96" i="58" s="1"/>
  <c r="S128" i="58"/>
  <c r="V128" i="58" s="1"/>
  <c r="S160" i="58"/>
  <c r="V160" i="58" s="1"/>
  <c r="S109" i="58"/>
  <c r="V109" i="58" s="1"/>
  <c r="S133" i="58"/>
  <c r="V133" i="58" s="1"/>
  <c r="T177" i="58"/>
  <c r="T241" i="58"/>
  <c r="S34" i="58"/>
  <c r="V34" i="58" s="1"/>
  <c r="S66" i="58"/>
  <c r="V66" i="58" s="1"/>
  <c r="T226" i="58"/>
  <c r="S27" i="58"/>
  <c r="V27" i="58" s="1"/>
  <c r="S59" i="58"/>
  <c r="V59" i="58" s="1"/>
  <c r="S91" i="58"/>
  <c r="V91" i="58" s="1"/>
  <c r="T203" i="58"/>
  <c r="T60" i="58"/>
  <c r="T156" i="58"/>
  <c r="T221" i="58"/>
  <c r="T246" i="58"/>
  <c r="S182" i="58"/>
  <c r="V182" i="58" s="1"/>
  <c r="S246" i="58"/>
  <c r="V246" i="58" s="1"/>
  <c r="T172" i="58"/>
  <c r="T196" i="58"/>
  <c r="T49" i="58"/>
  <c r="T183" i="58"/>
  <c r="T247" i="58"/>
  <c r="T40" i="58"/>
  <c r="T104" i="58"/>
  <c r="T33" i="58"/>
  <c r="T185" i="58"/>
  <c r="T67" i="58"/>
  <c r="T211" i="58"/>
  <c r="T20" i="58"/>
  <c r="T165" i="58"/>
  <c r="T229" i="58"/>
  <c r="S39" i="58"/>
  <c r="V39" i="58" s="1"/>
  <c r="S71" i="58"/>
  <c r="V71" i="58" s="1"/>
  <c r="S103" i="58"/>
  <c r="V103" i="58" s="1"/>
  <c r="S180" i="58"/>
  <c r="V180" i="58" s="1"/>
  <c r="S130" i="58"/>
  <c r="V130" i="58" s="1"/>
  <c r="S190" i="58"/>
  <c r="V190" i="58" s="1"/>
  <c r="S254" i="58"/>
  <c r="V254" i="58" s="1"/>
  <c r="S135" i="58"/>
  <c r="V135" i="58" s="1"/>
  <c r="S33" i="58"/>
  <c r="V33" i="58" s="1"/>
  <c r="S218" i="58"/>
  <c r="V218" i="58" s="1"/>
  <c r="S169" i="58"/>
  <c r="V169" i="58" s="1"/>
  <c r="T204" i="58"/>
  <c r="S230" i="58"/>
  <c r="V230" i="58" s="1"/>
  <c r="T74" i="58"/>
  <c r="T191" i="58"/>
  <c r="T255" i="58"/>
  <c r="S40" i="58"/>
  <c r="V40" i="58" s="1"/>
  <c r="S72" i="58"/>
  <c r="V72" i="58" s="1"/>
  <c r="S104" i="58"/>
  <c r="V104" i="58" s="1"/>
  <c r="S136" i="58"/>
  <c r="V136" i="58" s="1"/>
  <c r="S13" i="58"/>
  <c r="V13" i="58" s="1"/>
  <c r="T81" i="58"/>
  <c r="T192" i="58"/>
  <c r="T256" i="58"/>
  <c r="T193" i="58"/>
  <c r="T257" i="58"/>
  <c r="S42" i="58"/>
  <c r="V42" i="58" s="1"/>
  <c r="S93" i="58"/>
  <c r="V93" i="58" s="1"/>
  <c r="T178" i="58"/>
  <c r="S35" i="58"/>
  <c r="V35" i="58" s="1"/>
  <c r="S67" i="58"/>
  <c r="V67" i="58" s="1"/>
  <c r="S99" i="58"/>
  <c r="V99" i="58" s="1"/>
  <c r="S131" i="58"/>
  <c r="V131" i="58" s="1"/>
  <c r="S163" i="58"/>
  <c r="V163" i="58" s="1"/>
  <c r="S125" i="58"/>
  <c r="V125" i="58" s="1"/>
  <c r="T146" i="58"/>
  <c r="T219" i="58"/>
  <c r="S117" i="58"/>
  <c r="V117" i="58" s="1"/>
  <c r="T173" i="58"/>
  <c r="T237" i="58"/>
  <c r="T47" i="58"/>
  <c r="T244" i="58"/>
  <c r="S113" i="58"/>
  <c r="V113" i="58" s="1"/>
  <c r="S252" i="58"/>
  <c r="V252" i="58" s="1"/>
  <c r="S178" i="58"/>
  <c r="V178" i="58" s="1"/>
  <c r="S170" i="58"/>
  <c r="V170" i="58" s="1"/>
  <c r="S198" i="58"/>
  <c r="V198" i="58" s="1"/>
  <c r="S17" i="58"/>
  <c r="V17" i="58" s="1"/>
  <c r="S98" i="58"/>
  <c r="V98" i="58" s="1"/>
  <c r="S224" i="58"/>
  <c r="V224" i="58" s="1"/>
  <c r="T212" i="58"/>
  <c r="T102" i="58"/>
  <c r="T199" i="58"/>
  <c r="T16" i="58"/>
  <c r="T48" i="58"/>
  <c r="T80" i="58"/>
  <c r="T112" i="58"/>
  <c r="T144" i="58"/>
  <c r="T21" i="58"/>
  <c r="T200" i="58"/>
  <c r="T45" i="58"/>
  <c r="T106" i="58"/>
  <c r="T201" i="58"/>
  <c r="T18" i="58"/>
  <c r="T50" i="58"/>
  <c r="T41" i="58"/>
  <c r="T250" i="58"/>
  <c r="T43" i="58"/>
  <c r="T75" i="58"/>
  <c r="T107" i="58"/>
  <c r="T139" i="58"/>
  <c r="T37" i="58"/>
  <c r="T149" i="58"/>
  <c r="T227" i="58"/>
  <c r="T28" i="58"/>
  <c r="T181" i="58"/>
  <c r="T245" i="58"/>
  <c r="T121" i="58"/>
  <c r="S15" i="58"/>
  <c r="V15" i="58" s="1"/>
  <c r="S47" i="58"/>
  <c r="V47" i="58" s="1"/>
  <c r="S79" i="58"/>
  <c r="V79" i="58" s="1"/>
  <c r="S111" i="58"/>
  <c r="V111" i="58" s="1"/>
  <c r="S41" i="58"/>
  <c r="V41" i="58" s="1"/>
  <c r="S25" i="58"/>
  <c r="V25" i="58" s="1"/>
  <c r="S234" i="58"/>
  <c r="V234" i="58" s="1"/>
  <c r="S206" i="58"/>
  <c r="V206" i="58" s="1"/>
  <c r="S151" i="58"/>
  <c r="V151" i="58" s="1"/>
  <c r="S161" i="58"/>
  <c r="V161" i="58" s="1"/>
  <c r="S168" i="58"/>
  <c r="V168" i="58" s="1"/>
  <c r="S232" i="58"/>
  <c r="V232" i="58" s="1"/>
  <c r="S225" i="58"/>
  <c r="V225" i="58" s="1"/>
  <c r="T220" i="58"/>
  <c r="T210" i="58"/>
  <c r="S157" i="58"/>
  <c r="V157" i="58" s="1"/>
  <c r="T122" i="58"/>
  <c r="T207" i="58"/>
  <c r="T126" i="58"/>
  <c r="T208" i="58"/>
  <c r="T127" i="58"/>
  <c r="T209" i="58"/>
  <c r="T89" i="58"/>
  <c r="T194" i="58"/>
  <c r="T258" i="58"/>
  <c r="T171" i="58"/>
  <c r="T235" i="58"/>
  <c r="T140" i="58"/>
  <c r="T65" i="58"/>
  <c r="T189" i="58"/>
  <c r="T253" i="58"/>
  <c r="T137" i="58"/>
  <c r="S193" i="58"/>
  <c r="V193" i="58" s="1"/>
  <c r="S105" i="58"/>
  <c r="V105" i="58" s="1"/>
  <c r="S242" i="58"/>
  <c r="V242" i="58" s="1"/>
  <c r="S205" i="58"/>
  <c r="V205" i="58" s="1"/>
  <c r="S73" i="58"/>
  <c r="V73" i="58" s="1"/>
  <c r="T114" i="58"/>
  <c r="S214" i="58"/>
  <c r="V214" i="58" s="1"/>
  <c r="S154" i="58"/>
  <c r="V154" i="58" s="1"/>
  <c r="S159" i="58"/>
  <c r="V159" i="58" s="1"/>
  <c r="S223" i="58"/>
  <c r="V223" i="58" s="1"/>
  <c r="S249" i="58"/>
  <c r="V249" i="58" s="1"/>
  <c r="S176" i="58"/>
  <c r="V176" i="58" s="1"/>
  <c r="S240" i="58"/>
  <c r="V240" i="58" s="1"/>
  <c r="T236" i="58"/>
  <c r="T134" i="58"/>
  <c r="T118" i="58"/>
  <c r="T166" i="58"/>
  <c r="T188" i="58"/>
  <c r="T138" i="58"/>
  <c r="T215" i="58"/>
  <c r="T142" i="58"/>
  <c r="T216" i="58"/>
  <c r="T143" i="58"/>
  <c r="T217" i="58"/>
  <c r="T110" i="58"/>
  <c r="T202" i="58"/>
  <c r="T179" i="58"/>
  <c r="T243" i="58"/>
  <c r="T76" i="58"/>
  <c r="T116" i="58"/>
  <c r="T61" i="58"/>
  <c r="T97" i="58"/>
  <c r="T197" i="58"/>
  <c r="T14" i="58"/>
  <c r="T46" i="58"/>
  <c r="T78" i="58"/>
  <c r="T153" i="58"/>
  <c r="T222" i="58"/>
  <c r="S187" i="58"/>
  <c r="V187" i="58" s="1"/>
  <c r="S251" i="58"/>
  <c r="V251" i="58" s="1"/>
  <c r="T57" i="58"/>
  <c r="S145" i="58"/>
  <c r="V145" i="58" s="1"/>
  <c r="S213" i="58"/>
  <c r="V213" i="58" s="1"/>
  <c r="S129" i="58"/>
  <c r="V129" i="58" s="1"/>
  <c r="S94" i="58"/>
  <c r="V94" i="58" s="1"/>
  <c r="S158" i="58"/>
  <c r="V158" i="58" s="1"/>
  <c r="S222" i="58"/>
  <c r="V222" i="58" s="1"/>
  <c r="S137" i="58"/>
  <c r="V137" i="58" s="1"/>
  <c r="S186" i="58"/>
  <c r="V186" i="58" s="1"/>
  <c r="S167" i="58"/>
  <c r="V167" i="58" s="1"/>
  <c r="S231" i="58"/>
  <c r="V231" i="58" s="1"/>
  <c r="S90" i="58"/>
  <c r="V90" i="58" s="1"/>
  <c r="S184" i="58"/>
  <c r="V184" i="58" s="1"/>
  <c r="S248" i="58"/>
  <c r="V248" i="58" s="1"/>
  <c r="S82" i="58"/>
  <c r="V82" i="58" s="1"/>
  <c r="T150" i="58"/>
  <c r="S12" i="58"/>
  <c r="V12" i="58" s="1"/>
  <c r="T92" i="58"/>
  <c r="T30" i="58"/>
  <c r="T62" i="58"/>
  <c r="T132" i="58"/>
  <c r="T36" i="58"/>
  <c r="T68" i="58"/>
  <c r="T108" i="58"/>
  <c r="T29" i="58"/>
  <c r="T38" i="58"/>
  <c r="T70" i="58"/>
  <c r="T24" i="58"/>
  <c r="T56" i="58"/>
  <c r="T88" i="58"/>
  <c r="T120" i="58"/>
  <c r="T152" i="58"/>
  <c r="T53" i="58"/>
  <c r="T85" i="58"/>
  <c r="T26" i="58"/>
  <c r="T58" i="58"/>
  <c r="T19" i="58"/>
  <c r="T51" i="58"/>
  <c r="T83" i="58"/>
  <c r="T115" i="58"/>
  <c r="T147" i="58"/>
  <c r="T69" i="58"/>
  <c r="T44" i="58"/>
  <c r="T23" i="58"/>
  <c r="T55" i="58"/>
  <c r="T87" i="58"/>
  <c r="T119" i="58"/>
  <c r="T123" i="58"/>
  <c r="T155" i="58"/>
  <c r="T101" i="58"/>
  <c r="T52" i="58"/>
  <c r="T148" i="58"/>
  <c r="T31" i="58"/>
  <c r="T63" i="58"/>
  <c r="T95" i="58"/>
  <c r="T141" i="58"/>
  <c r="T124" i="58"/>
  <c r="T77" i="58"/>
  <c r="T22" i="58"/>
  <c r="T54" i="58"/>
  <c r="T86" i="58"/>
  <c r="AO13" i="50"/>
  <c r="T131" i="58" l="1"/>
  <c r="T130" i="58"/>
  <c r="T234" i="58"/>
  <c r="T184" i="58"/>
  <c r="T159" i="58"/>
  <c r="T213" i="58"/>
  <c r="T232" i="58"/>
  <c r="T231" i="58"/>
  <c r="T15" i="58"/>
  <c r="T254" i="58"/>
  <c r="T170" i="58"/>
  <c r="T25" i="58"/>
  <c r="T17" i="58"/>
  <c r="T103" i="58"/>
  <c r="T135" i="58"/>
  <c r="T218" i="58"/>
  <c r="T168" i="58"/>
  <c r="T167" i="58"/>
  <c r="T198" i="58"/>
  <c r="T187" i="58"/>
  <c r="T190" i="58"/>
  <c r="T125" i="58"/>
  <c r="T93" i="58"/>
  <c r="T13" i="58"/>
  <c r="T71" i="58"/>
  <c r="T145" i="58"/>
  <c r="T109" i="58"/>
  <c r="T230" i="58"/>
  <c r="T94" i="58"/>
  <c r="O2" i="58"/>
  <c r="T214" i="58"/>
  <c r="T161" i="58"/>
  <c r="T186" i="58"/>
  <c r="T105" i="58"/>
  <c r="T98" i="58"/>
  <c r="T157" i="58"/>
  <c r="T73" i="58"/>
  <c r="T163" i="58"/>
  <c r="T42" i="58"/>
  <c r="T136" i="58"/>
  <c r="T225" i="58"/>
  <c r="T39" i="58"/>
  <c r="T113" i="58"/>
  <c r="T66" i="58"/>
  <c r="T160" i="58"/>
  <c r="T205" i="58"/>
  <c r="T249" i="58"/>
  <c r="T154" i="58"/>
  <c r="T252" i="58"/>
  <c r="T34" i="58"/>
  <c r="T128" i="58"/>
  <c r="T251" i="58"/>
  <c r="T206" i="58"/>
  <c r="T82" i="58"/>
  <c r="T180" i="58"/>
  <c r="T99" i="58"/>
  <c r="T72" i="58"/>
  <c r="T182" i="58"/>
  <c r="T162" i="58"/>
  <c r="T90" i="58"/>
  <c r="T233" i="58"/>
  <c r="T96" i="58"/>
  <c r="T129" i="58"/>
  <c r="T223" i="58"/>
  <c r="T111" i="58"/>
  <c r="T117" i="58"/>
  <c r="T240" i="58"/>
  <c r="T91" i="58"/>
  <c r="T64" i="58"/>
  <c r="T158" i="58"/>
  <c r="T79" i="58"/>
  <c r="T242" i="58"/>
  <c r="T35" i="58"/>
  <c r="T248" i="58"/>
  <c r="T151" i="58"/>
  <c r="T176" i="58"/>
  <c r="T224" i="58"/>
  <c r="T12" i="58"/>
  <c r="AO14" i="50"/>
  <c r="AO15" i="50"/>
  <c r="AO16" i="50"/>
  <c r="AO17" i="50"/>
  <c r="AO18" i="50"/>
  <c r="AO19" i="50"/>
  <c r="AO20" i="50"/>
  <c r="AO21" i="50"/>
  <c r="AO22" i="50"/>
  <c r="AO23" i="50"/>
  <c r="AO24" i="50"/>
  <c r="AO25" i="50"/>
  <c r="AO26" i="50"/>
  <c r="AO27" i="50"/>
  <c r="AO28" i="50"/>
  <c r="AO29" i="50"/>
  <c r="AO30" i="50"/>
  <c r="AO31" i="50"/>
  <c r="AO32" i="50"/>
  <c r="AO33" i="50"/>
  <c r="AO34" i="50"/>
  <c r="AO35" i="50"/>
  <c r="AO36" i="50"/>
  <c r="AO37" i="50"/>
  <c r="AO38" i="50"/>
  <c r="AO39" i="50"/>
  <c r="AO40" i="50"/>
  <c r="AO41" i="50"/>
  <c r="AO42" i="50"/>
  <c r="AO43" i="50"/>
  <c r="AO44" i="50"/>
  <c r="AO45" i="50"/>
  <c r="AO46" i="50"/>
  <c r="AO47" i="50"/>
  <c r="AO48" i="50"/>
  <c r="AO49" i="50"/>
  <c r="AO50" i="50"/>
  <c r="AO51" i="50"/>
  <c r="AO52" i="50"/>
  <c r="AO53" i="50"/>
  <c r="AO54" i="50"/>
  <c r="AO55" i="50"/>
  <c r="AO56" i="50"/>
  <c r="AO57" i="50"/>
  <c r="AO58" i="50"/>
  <c r="AO59" i="50"/>
  <c r="AO60" i="50"/>
  <c r="AO61" i="50"/>
  <c r="AO62" i="50"/>
  <c r="AO63" i="50"/>
  <c r="AO64" i="50"/>
  <c r="AO65" i="50"/>
  <c r="AO66" i="50"/>
  <c r="AO67" i="50"/>
  <c r="AO68" i="50"/>
  <c r="AO69" i="50"/>
  <c r="AO70" i="50"/>
  <c r="AO71" i="50"/>
  <c r="AO72" i="50"/>
  <c r="AO73" i="50"/>
  <c r="AO74" i="50"/>
  <c r="AO75" i="50"/>
  <c r="AO76" i="50"/>
  <c r="AO77" i="50"/>
  <c r="AO78" i="50"/>
  <c r="AO79" i="50"/>
  <c r="AO80" i="50"/>
  <c r="AO81" i="50"/>
  <c r="AO82" i="50"/>
  <c r="AO83" i="50"/>
  <c r="AO84" i="50"/>
  <c r="AO85" i="50"/>
  <c r="AO86" i="50"/>
  <c r="AO87" i="50"/>
  <c r="AO88" i="50"/>
  <c r="AO89" i="50"/>
  <c r="AO90" i="50"/>
  <c r="AO91" i="50"/>
  <c r="AO92" i="50"/>
  <c r="AO93" i="50"/>
  <c r="AO94" i="50"/>
  <c r="AO95" i="50"/>
  <c r="AO96" i="50"/>
  <c r="AO97" i="50"/>
  <c r="AO98" i="50"/>
  <c r="AO99" i="50"/>
  <c r="AO100" i="50"/>
  <c r="AO101" i="50"/>
  <c r="AO102" i="50"/>
  <c r="AO103" i="50"/>
  <c r="AO104" i="50"/>
  <c r="AO105" i="50"/>
  <c r="AO106" i="50"/>
  <c r="AO107" i="50"/>
  <c r="AO108" i="50"/>
  <c r="AO109" i="50"/>
  <c r="AO110" i="50"/>
  <c r="AO111" i="50"/>
  <c r="AO112" i="50"/>
  <c r="AO113" i="50"/>
  <c r="AO114" i="50"/>
  <c r="AO115" i="50"/>
  <c r="AO116" i="50"/>
  <c r="AO117" i="50"/>
  <c r="AO118" i="50"/>
  <c r="AO119" i="50"/>
  <c r="AO120" i="50"/>
  <c r="AO121" i="50"/>
  <c r="AO122" i="50"/>
  <c r="AO123" i="50"/>
  <c r="AO124" i="50"/>
  <c r="AO125" i="50"/>
  <c r="AO126" i="50"/>
  <c r="AO127" i="50"/>
  <c r="AO128" i="50"/>
  <c r="AO129" i="50"/>
  <c r="AO130" i="50"/>
  <c r="AO131" i="50"/>
  <c r="AO132" i="50"/>
  <c r="AO133" i="50"/>
  <c r="AO134" i="50"/>
  <c r="AO135" i="50"/>
  <c r="AO136" i="50"/>
  <c r="AO137" i="50"/>
  <c r="AO138" i="50"/>
  <c r="AO139" i="50"/>
  <c r="AO140" i="50"/>
  <c r="AO141" i="50"/>
  <c r="AO142" i="50"/>
  <c r="AO143" i="50"/>
  <c r="AO144" i="50"/>
  <c r="AO145" i="50"/>
  <c r="AO146" i="50"/>
  <c r="AO147" i="50"/>
  <c r="AO148" i="50"/>
  <c r="AO149" i="50"/>
  <c r="AO150" i="50"/>
  <c r="AO151" i="50"/>
  <c r="AO152" i="50"/>
  <c r="AO153" i="50"/>
  <c r="AO154" i="50"/>
  <c r="AO155" i="50"/>
  <c r="AO156" i="50"/>
  <c r="AO157" i="50"/>
  <c r="AO158" i="50"/>
  <c r="AO159" i="50"/>
  <c r="AO160" i="50"/>
  <c r="AO161" i="50"/>
  <c r="AO162" i="50"/>
  <c r="AO163" i="50"/>
  <c r="AO164" i="50"/>
  <c r="AO165" i="50"/>
  <c r="AO166" i="50"/>
  <c r="AO167" i="50"/>
  <c r="AO168" i="50"/>
  <c r="AO169" i="50"/>
  <c r="AO170" i="50"/>
  <c r="AO171" i="50"/>
  <c r="AO172" i="50"/>
  <c r="AO173" i="50"/>
  <c r="AO174" i="50"/>
  <c r="AO175" i="50"/>
  <c r="AO176" i="50"/>
  <c r="AO177" i="50"/>
  <c r="AO178" i="50"/>
  <c r="AO179" i="50"/>
  <c r="AO180" i="50"/>
  <c r="AO181" i="50"/>
  <c r="AO182" i="50"/>
  <c r="AO183" i="50"/>
  <c r="AO184" i="50"/>
  <c r="AO185" i="50"/>
  <c r="AO186" i="50"/>
  <c r="AO187" i="50"/>
  <c r="AO188" i="50"/>
  <c r="AO189" i="50"/>
  <c r="AO190" i="50"/>
  <c r="AO191" i="50"/>
  <c r="AO192" i="50"/>
  <c r="AO193" i="50"/>
  <c r="AO194" i="50"/>
  <c r="AO195" i="50"/>
  <c r="AO196" i="50"/>
  <c r="AO197" i="50"/>
  <c r="AO198" i="50"/>
  <c r="AO199" i="50"/>
  <c r="AO200" i="50"/>
  <c r="AO201" i="50"/>
  <c r="AO202" i="50"/>
  <c r="AO203" i="50"/>
  <c r="AO204" i="50"/>
  <c r="AO205" i="50"/>
  <c r="AO206" i="50"/>
  <c r="AO207" i="50"/>
  <c r="AO208" i="50"/>
  <c r="AO209" i="50"/>
  <c r="AO210" i="50"/>
  <c r="AO211" i="50"/>
  <c r="AO212" i="50"/>
  <c r="AO213" i="50"/>
  <c r="AO214" i="50"/>
  <c r="AO215" i="50"/>
  <c r="AO216" i="50"/>
  <c r="AO217" i="50"/>
  <c r="AO218" i="50"/>
  <c r="AO219" i="50"/>
  <c r="AO220" i="50"/>
  <c r="AO221" i="50"/>
  <c r="AO222" i="50"/>
  <c r="AO223" i="50"/>
  <c r="AO224" i="50"/>
  <c r="AO225" i="50"/>
  <c r="AO226" i="50"/>
  <c r="AO227" i="50"/>
  <c r="AO228" i="50"/>
  <c r="AO229" i="50"/>
  <c r="AO230" i="50"/>
  <c r="AO231" i="50"/>
  <c r="AO232" i="50"/>
  <c r="AO233" i="50"/>
  <c r="AO234" i="50"/>
  <c r="AO235" i="50"/>
  <c r="AO236" i="50"/>
  <c r="AO237" i="50"/>
  <c r="AO238" i="50"/>
  <c r="AO239" i="50"/>
  <c r="AO240" i="50"/>
  <c r="AO241" i="50"/>
  <c r="AO242" i="50"/>
  <c r="AO243" i="50"/>
  <c r="AO244" i="50"/>
  <c r="AO245" i="50"/>
  <c r="AO246" i="50"/>
  <c r="AO247" i="50"/>
  <c r="AO248" i="50"/>
  <c r="AO249" i="50"/>
  <c r="AO250" i="50"/>
  <c r="AO251" i="50"/>
  <c r="AO252" i="50"/>
  <c r="AO253" i="50"/>
  <c r="AO254" i="50"/>
  <c r="AO255" i="50"/>
  <c r="AO256" i="50"/>
  <c r="AO257" i="50"/>
  <c r="AO258" i="50"/>
  <c r="AO12" i="50"/>
  <c r="AC13" i="50"/>
  <c r="AC14" i="50"/>
  <c r="AC15" i="50"/>
  <c r="AC16" i="50"/>
  <c r="AC17" i="50"/>
  <c r="AC18" i="50"/>
  <c r="AC19" i="50"/>
  <c r="AC20" i="50"/>
  <c r="AC21" i="50"/>
  <c r="AC22" i="50"/>
  <c r="AC23" i="50"/>
  <c r="AC24" i="50"/>
  <c r="AC25" i="50"/>
  <c r="AC26" i="50"/>
  <c r="AC27" i="50"/>
  <c r="AC28" i="50"/>
  <c r="AC29" i="50"/>
  <c r="AC30" i="50"/>
  <c r="AC31" i="50"/>
  <c r="AC32" i="50"/>
  <c r="AC33" i="50"/>
  <c r="AC34" i="50"/>
  <c r="AC35" i="50"/>
  <c r="AC36" i="50"/>
  <c r="AC37" i="50"/>
  <c r="AC38" i="50"/>
  <c r="AC39" i="50"/>
  <c r="AC40" i="50"/>
  <c r="AC41" i="50"/>
  <c r="AC42" i="50"/>
  <c r="AC43" i="50"/>
  <c r="AC44" i="50"/>
  <c r="AC45" i="50"/>
  <c r="AC46" i="50"/>
  <c r="AC47" i="50"/>
  <c r="AC48" i="50"/>
  <c r="AC49" i="50"/>
  <c r="AC50" i="50"/>
  <c r="AC51" i="50"/>
  <c r="AC52" i="50"/>
  <c r="AC53" i="50"/>
  <c r="AC54" i="50"/>
  <c r="AC55" i="50"/>
  <c r="AC56" i="50"/>
  <c r="AC57" i="50"/>
  <c r="AC58" i="50"/>
  <c r="AC59" i="50"/>
  <c r="AC60" i="50"/>
  <c r="AC61" i="50"/>
  <c r="AC62" i="50"/>
  <c r="AC63" i="50"/>
  <c r="AC64" i="50"/>
  <c r="AC65" i="50"/>
  <c r="AC66" i="50"/>
  <c r="AC67" i="50"/>
  <c r="AC68" i="50"/>
  <c r="AC69" i="50"/>
  <c r="AC70" i="50"/>
  <c r="AC71" i="50"/>
  <c r="AC72" i="50"/>
  <c r="AC73" i="50"/>
  <c r="AC74" i="50"/>
  <c r="AC75" i="50"/>
  <c r="AC76" i="50"/>
  <c r="AC77" i="50"/>
  <c r="AC78" i="50"/>
  <c r="AC79" i="50"/>
  <c r="AC80" i="50"/>
  <c r="AC81" i="50"/>
  <c r="AC82" i="50"/>
  <c r="AC83" i="50"/>
  <c r="AC84" i="50"/>
  <c r="AC85" i="50"/>
  <c r="AC86" i="50"/>
  <c r="AC87" i="50"/>
  <c r="AC88" i="50"/>
  <c r="AC89" i="50"/>
  <c r="AC90" i="50"/>
  <c r="AC91" i="50"/>
  <c r="AC92" i="50"/>
  <c r="AC93" i="50"/>
  <c r="AC94" i="50"/>
  <c r="AC95" i="50"/>
  <c r="AC96" i="50"/>
  <c r="AC97" i="50"/>
  <c r="AC98" i="50"/>
  <c r="AC99" i="50"/>
  <c r="AC100" i="50"/>
  <c r="AC101" i="50"/>
  <c r="AC102" i="50"/>
  <c r="AC103" i="50"/>
  <c r="AC104" i="50"/>
  <c r="AC105" i="50"/>
  <c r="AC106" i="50"/>
  <c r="AC107" i="50"/>
  <c r="AC108" i="50"/>
  <c r="AC109" i="50"/>
  <c r="AC110" i="50"/>
  <c r="AC111" i="50"/>
  <c r="AC112" i="50"/>
  <c r="AC113" i="50"/>
  <c r="AC114" i="50"/>
  <c r="AC115" i="50"/>
  <c r="AC116" i="50"/>
  <c r="AC117" i="50"/>
  <c r="AC118" i="50"/>
  <c r="AC119" i="50"/>
  <c r="AC120" i="50"/>
  <c r="AC121" i="50"/>
  <c r="AC122" i="50"/>
  <c r="AC123" i="50"/>
  <c r="AC124" i="50"/>
  <c r="AC125" i="50"/>
  <c r="AC126" i="50"/>
  <c r="AC127" i="50"/>
  <c r="AC128" i="50"/>
  <c r="AC129" i="50"/>
  <c r="AC130" i="50"/>
  <c r="AC131" i="50"/>
  <c r="AC132" i="50"/>
  <c r="AC133" i="50"/>
  <c r="AC134" i="50"/>
  <c r="AC135" i="50"/>
  <c r="AC136" i="50"/>
  <c r="AC137" i="50"/>
  <c r="AC138" i="50"/>
  <c r="AC139" i="50"/>
  <c r="AC140" i="50"/>
  <c r="AC141" i="50"/>
  <c r="AC142" i="50"/>
  <c r="AC143" i="50"/>
  <c r="AC144" i="50"/>
  <c r="AC145" i="50"/>
  <c r="AC146" i="50"/>
  <c r="AC147" i="50"/>
  <c r="AC148" i="50"/>
  <c r="AC149" i="50"/>
  <c r="AC150" i="50"/>
  <c r="AC151" i="50"/>
  <c r="AC152" i="50"/>
  <c r="AC153" i="50"/>
  <c r="AC154" i="50"/>
  <c r="AC155" i="50"/>
  <c r="AC156" i="50"/>
  <c r="AC157" i="50"/>
  <c r="AC158" i="50"/>
  <c r="AC159" i="50"/>
  <c r="AC160" i="50"/>
  <c r="AC161" i="50"/>
  <c r="AC162" i="50"/>
  <c r="AC163" i="50"/>
  <c r="AC164" i="50"/>
  <c r="AC165" i="50"/>
  <c r="AC166" i="50"/>
  <c r="AC167" i="50"/>
  <c r="AC168" i="50"/>
  <c r="AC169" i="50"/>
  <c r="AC170" i="50"/>
  <c r="AC171" i="50"/>
  <c r="AC172" i="50"/>
  <c r="AC173" i="50"/>
  <c r="AC174" i="50"/>
  <c r="AC175" i="50"/>
  <c r="AC176" i="50"/>
  <c r="AC177" i="50"/>
  <c r="AC178" i="50"/>
  <c r="AC179" i="50"/>
  <c r="AC180" i="50"/>
  <c r="AC181" i="50"/>
  <c r="AC182" i="50"/>
  <c r="AC183" i="50"/>
  <c r="AC184" i="50"/>
  <c r="AC185" i="50"/>
  <c r="AC186" i="50"/>
  <c r="AC187" i="50"/>
  <c r="AC188" i="50"/>
  <c r="AC189" i="50"/>
  <c r="AC190" i="50"/>
  <c r="AC191" i="50"/>
  <c r="AC192" i="50"/>
  <c r="AC193" i="50"/>
  <c r="AC194" i="50"/>
  <c r="AC195" i="50"/>
  <c r="AC196" i="50"/>
  <c r="AC197" i="50"/>
  <c r="AC198" i="50"/>
  <c r="AC199" i="50"/>
  <c r="AC200" i="50"/>
  <c r="AC201" i="50"/>
  <c r="AC202" i="50"/>
  <c r="AC203" i="50"/>
  <c r="AC204" i="50"/>
  <c r="AC205" i="50"/>
  <c r="AC206" i="50"/>
  <c r="AC207" i="50"/>
  <c r="AC208" i="50"/>
  <c r="AC209" i="50"/>
  <c r="AC210" i="50"/>
  <c r="AC211" i="50"/>
  <c r="AC212" i="50"/>
  <c r="AC213" i="50"/>
  <c r="AC214" i="50"/>
  <c r="AC215" i="50"/>
  <c r="AC216" i="50"/>
  <c r="AC217" i="50"/>
  <c r="AC218" i="50"/>
  <c r="AC219" i="50"/>
  <c r="AC220" i="50"/>
  <c r="AC221" i="50"/>
  <c r="AC222" i="50"/>
  <c r="AC223" i="50"/>
  <c r="AC224" i="50"/>
  <c r="AC225" i="50"/>
  <c r="AC226" i="50"/>
  <c r="AC227" i="50"/>
  <c r="AC228" i="50"/>
  <c r="AC229" i="50"/>
  <c r="AC230" i="50"/>
  <c r="AC231" i="50"/>
  <c r="AC232" i="50"/>
  <c r="AC233" i="50"/>
  <c r="AC234" i="50"/>
  <c r="AC235" i="50"/>
  <c r="AC236" i="50"/>
  <c r="AC237" i="50"/>
  <c r="AC238" i="50"/>
  <c r="AC239" i="50"/>
  <c r="AC240" i="50"/>
  <c r="AC241" i="50"/>
  <c r="AC242" i="50"/>
  <c r="AC243" i="50"/>
  <c r="AC244" i="50"/>
  <c r="AC245" i="50"/>
  <c r="AC246" i="50"/>
  <c r="AC247" i="50"/>
  <c r="AC248" i="50"/>
  <c r="AC249" i="50"/>
  <c r="AC250" i="50"/>
  <c r="AC251" i="50"/>
  <c r="AC252" i="50"/>
  <c r="AC253" i="50"/>
  <c r="AC254" i="50"/>
  <c r="AC255" i="50"/>
  <c r="AC256" i="50"/>
  <c r="AC257" i="50"/>
  <c r="AC258" i="50"/>
  <c r="AC12" i="50"/>
  <c r="AB13" i="50"/>
  <c r="AB14" i="50"/>
  <c r="AB15" i="50"/>
  <c r="AB16" i="50"/>
  <c r="AB17" i="50"/>
  <c r="AB18" i="50"/>
  <c r="AB19" i="50"/>
  <c r="AB20" i="50"/>
  <c r="AB21" i="50"/>
  <c r="AB22" i="50"/>
  <c r="AB23" i="50"/>
  <c r="AB24" i="50"/>
  <c r="AB25" i="50"/>
  <c r="AB26" i="50"/>
  <c r="AB27" i="50"/>
  <c r="AB28" i="50"/>
  <c r="AB29" i="50"/>
  <c r="AB30" i="50"/>
  <c r="AB31" i="50"/>
  <c r="AB32" i="50"/>
  <c r="AB33" i="50"/>
  <c r="AB34" i="50"/>
  <c r="AB35" i="50"/>
  <c r="AB36" i="50"/>
  <c r="AB37" i="50"/>
  <c r="AB38" i="50"/>
  <c r="AB39" i="50"/>
  <c r="AB40" i="50"/>
  <c r="AB41" i="50"/>
  <c r="AB42" i="50"/>
  <c r="AB43" i="50"/>
  <c r="AB44" i="50"/>
  <c r="AB45" i="50"/>
  <c r="AB46" i="50"/>
  <c r="AB47" i="50"/>
  <c r="AB48" i="50"/>
  <c r="AB49" i="50"/>
  <c r="AB50" i="50"/>
  <c r="AB51" i="50"/>
  <c r="AB52" i="50"/>
  <c r="AB53" i="50"/>
  <c r="AB54" i="50"/>
  <c r="AB55" i="50"/>
  <c r="AB56" i="50"/>
  <c r="AB57" i="50"/>
  <c r="AB58" i="50"/>
  <c r="AB59" i="50"/>
  <c r="AB60" i="50"/>
  <c r="AB61" i="50"/>
  <c r="AB62" i="50"/>
  <c r="AB63" i="50"/>
  <c r="AB64" i="50"/>
  <c r="AB65" i="50"/>
  <c r="AB66" i="50"/>
  <c r="AB67" i="50"/>
  <c r="AB68" i="50"/>
  <c r="AB69" i="50"/>
  <c r="AB70" i="50"/>
  <c r="AB71" i="50"/>
  <c r="AB72" i="50"/>
  <c r="AB73" i="50"/>
  <c r="AB74" i="50"/>
  <c r="AB75" i="50"/>
  <c r="AB76" i="50"/>
  <c r="AB77" i="50"/>
  <c r="AB78" i="50"/>
  <c r="AB79" i="50"/>
  <c r="AB80" i="50"/>
  <c r="AB81" i="50"/>
  <c r="AB82" i="50"/>
  <c r="AB83" i="50"/>
  <c r="AB84" i="50"/>
  <c r="AB85" i="50"/>
  <c r="AB86" i="50"/>
  <c r="AB87" i="50"/>
  <c r="AB88" i="50"/>
  <c r="AB89" i="50"/>
  <c r="AB90" i="50"/>
  <c r="AB91" i="50"/>
  <c r="AB92" i="50"/>
  <c r="AB93" i="50"/>
  <c r="AB94" i="50"/>
  <c r="AB95" i="50"/>
  <c r="AB96" i="50"/>
  <c r="AB97" i="50"/>
  <c r="AB98" i="50"/>
  <c r="AB99" i="50"/>
  <c r="AB100" i="50"/>
  <c r="AB101" i="50"/>
  <c r="AB102" i="50"/>
  <c r="AB103" i="50"/>
  <c r="AB104" i="50"/>
  <c r="AB105" i="50"/>
  <c r="AB106" i="50"/>
  <c r="AB107" i="50"/>
  <c r="AB108" i="50"/>
  <c r="AB109" i="50"/>
  <c r="AB110" i="50"/>
  <c r="AB111" i="50"/>
  <c r="AB112" i="50"/>
  <c r="AB113" i="50"/>
  <c r="AB114" i="50"/>
  <c r="AB115" i="50"/>
  <c r="AB116" i="50"/>
  <c r="AB117" i="50"/>
  <c r="AB118" i="50"/>
  <c r="AB119" i="50"/>
  <c r="AB120" i="50"/>
  <c r="AB121" i="50"/>
  <c r="AB122" i="50"/>
  <c r="AB123" i="50"/>
  <c r="AB124" i="50"/>
  <c r="AB125" i="50"/>
  <c r="AB126" i="50"/>
  <c r="AB127" i="50"/>
  <c r="AB128" i="50"/>
  <c r="AB129" i="50"/>
  <c r="AB130" i="50"/>
  <c r="AB131" i="50"/>
  <c r="AB132" i="50"/>
  <c r="AB133" i="50"/>
  <c r="AB134" i="50"/>
  <c r="AB135" i="50"/>
  <c r="AB136" i="50"/>
  <c r="AB137" i="50"/>
  <c r="AB138" i="50"/>
  <c r="AB139" i="50"/>
  <c r="AB140" i="50"/>
  <c r="AB141" i="50"/>
  <c r="AB142" i="50"/>
  <c r="AB143" i="50"/>
  <c r="AB144" i="50"/>
  <c r="AB145" i="50"/>
  <c r="AB146" i="50"/>
  <c r="AB147" i="50"/>
  <c r="AB148" i="50"/>
  <c r="AB149" i="50"/>
  <c r="AB150" i="50"/>
  <c r="AB151" i="50"/>
  <c r="AB152" i="50"/>
  <c r="AB153" i="50"/>
  <c r="AB154" i="50"/>
  <c r="AB155" i="50"/>
  <c r="AB156" i="50"/>
  <c r="AB157" i="50"/>
  <c r="AB158" i="50"/>
  <c r="AB159" i="50"/>
  <c r="AB160" i="50"/>
  <c r="AB161" i="50"/>
  <c r="AB162" i="50"/>
  <c r="AB163" i="50"/>
  <c r="AB164" i="50"/>
  <c r="AB165" i="50"/>
  <c r="AB166" i="50"/>
  <c r="AB167" i="50"/>
  <c r="AB168" i="50"/>
  <c r="AB169" i="50"/>
  <c r="AB170" i="50"/>
  <c r="AB171" i="50"/>
  <c r="AB172" i="50"/>
  <c r="AB173" i="50"/>
  <c r="AB174" i="50"/>
  <c r="AB175" i="50"/>
  <c r="AB176" i="50"/>
  <c r="AB177" i="50"/>
  <c r="AB178" i="50"/>
  <c r="AB179" i="50"/>
  <c r="AB180" i="50"/>
  <c r="AB181" i="50"/>
  <c r="AB182" i="50"/>
  <c r="AB183" i="50"/>
  <c r="AB184" i="50"/>
  <c r="AB185" i="50"/>
  <c r="AB186" i="50"/>
  <c r="AB187" i="50"/>
  <c r="AB188" i="50"/>
  <c r="AB189" i="50"/>
  <c r="AB190" i="50"/>
  <c r="AB191" i="50"/>
  <c r="AB192" i="50"/>
  <c r="AB193" i="50"/>
  <c r="AB194" i="50"/>
  <c r="AB195" i="50"/>
  <c r="AB196" i="50"/>
  <c r="AB197" i="50"/>
  <c r="AB198" i="50"/>
  <c r="AB199" i="50"/>
  <c r="AB200" i="50"/>
  <c r="AB201" i="50"/>
  <c r="AB202" i="50"/>
  <c r="AB203" i="50"/>
  <c r="AB204" i="50"/>
  <c r="AB205" i="50"/>
  <c r="AB206" i="50"/>
  <c r="AB207" i="50"/>
  <c r="AB208" i="50"/>
  <c r="AB209" i="50"/>
  <c r="AB210" i="50"/>
  <c r="AB211" i="50"/>
  <c r="AB212" i="50"/>
  <c r="AB213" i="50"/>
  <c r="AB214" i="50"/>
  <c r="AB215" i="50"/>
  <c r="AB216" i="50"/>
  <c r="AB217" i="50"/>
  <c r="AB218" i="50"/>
  <c r="AB219" i="50"/>
  <c r="AB220" i="50"/>
  <c r="AB221" i="50"/>
  <c r="AB222" i="50"/>
  <c r="AB223" i="50"/>
  <c r="AB224" i="50"/>
  <c r="AB225" i="50"/>
  <c r="AB226" i="50"/>
  <c r="AB227" i="50"/>
  <c r="AB228" i="50"/>
  <c r="AB229" i="50"/>
  <c r="AB230" i="50"/>
  <c r="AB231" i="50"/>
  <c r="AB232" i="50"/>
  <c r="AB233" i="50"/>
  <c r="AB234" i="50"/>
  <c r="AB235" i="50"/>
  <c r="AB236" i="50"/>
  <c r="AB237" i="50"/>
  <c r="AB238" i="50"/>
  <c r="AB239" i="50"/>
  <c r="AB240" i="50"/>
  <c r="AB241" i="50"/>
  <c r="AB242" i="50"/>
  <c r="AB243" i="50"/>
  <c r="AB244" i="50"/>
  <c r="AB245" i="50"/>
  <c r="AB246" i="50"/>
  <c r="AB247" i="50"/>
  <c r="AB248" i="50"/>
  <c r="AB249" i="50"/>
  <c r="AB250" i="50"/>
  <c r="AB251" i="50"/>
  <c r="AB252" i="50"/>
  <c r="AB253" i="50"/>
  <c r="AB254" i="50"/>
  <c r="AB255" i="50"/>
  <c r="AB256" i="50"/>
  <c r="AB257" i="50"/>
  <c r="AB258" i="50"/>
  <c r="AB12" i="50"/>
  <c r="M252" i="71"/>
  <c r="Z12" i="71"/>
  <c r="Z13" i="71"/>
  <c r="Z14" i="71"/>
  <c r="Z15" i="71"/>
  <c r="Z16" i="71"/>
  <c r="Z17" i="71"/>
  <c r="Z18" i="71"/>
  <c r="Z19" i="71"/>
  <c r="Z20" i="71"/>
  <c r="Z21" i="71"/>
  <c r="Z22" i="71"/>
  <c r="Z23" i="71"/>
  <c r="Z24" i="71"/>
  <c r="Z25" i="71"/>
  <c r="Z26" i="71"/>
  <c r="Z27" i="71"/>
  <c r="Z28" i="71"/>
  <c r="Z29" i="71"/>
  <c r="Z30" i="71"/>
  <c r="Z31" i="71"/>
  <c r="Z32" i="71"/>
  <c r="Z33" i="71"/>
  <c r="Z34" i="71"/>
  <c r="Z35" i="71"/>
  <c r="Z36" i="71"/>
  <c r="Z37" i="71"/>
  <c r="Z38" i="71"/>
  <c r="Z39" i="71"/>
  <c r="Z40" i="71"/>
  <c r="Z41" i="71"/>
  <c r="Z42" i="71"/>
  <c r="Z43" i="71"/>
  <c r="Z44" i="71"/>
  <c r="Z45" i="71"/>
  <c r="Z46" i="71"/>
  <c r="Z47" i="71"/>
  <c r="Z48" i="71"/>
  <c r="Z49" i="71"/>
  <c r="Z50" i="71"/>
  <c r="Z51" i="71"/>
  <c r="Z52" i="71"/>
  <c r="Z53" i="71"/>
  <c r="Z54" i="71"/>
  <c r="Z55" i="71"/>
  <c r="Z56" i="71"/>
  <c r="Z57" i="71"/>
  <c r="Z58" i="71"/>
  <c r="Z59" i="71"/>
  <c r="Z60" i="71"/>
  <c r="Z61" i="71"/>
  <c r="Z62" i="71"/>
  <c r="Z63" i="71"/>
  <c r="Z64" i="71"/>
  <c r="Z65" i="71"/>
  <c r="Z66" i="71"/>
  <c r="Z67" i="71"/>
  <c r="Z68" i="71"/>
  <c r="Z69" i="71"/>
  <c r="Z70" i="71"/>
  <c r="Z71" i="71"/>
  <c r="Z72" i="71"/>
  <c r="Z73" i="71"/>
  <c r="Z74" i="71"/>
  <c r="Z75" i="71"/>
  <c r="Z76" i="71"/>
  <c r="Z77" i="71"/>
  <c r="Z78" i="71"/>
  <c r="Z79" i="71"/>
  <c r="Z80" i="71"/>
  <c r="Z81" i="71"/>
  <c r="Z82" i="71"/>
  <c r="Z83" i="71"/>
  <c r="Z84" i="71"/>
  <c r="Z85" i="71"/>
  <c r="Z86" i="71"/>
  <c r="Z87" i="71"/>
  <c r="Z88" i="71"/>
  <c r="Z89" i="71"/>
  <c r="Z90" i="71"/>
  <c r="Z91" i="71"/>
  <c r="Z92" i="71"/>
  <c r="Z93" i="71"/>
  <c r="Z94" i="71"/>
  <c r="Z95" i="71"/>
  <c r="Z96" i="71"/>
  <c r="Z97" i="71"/>
  <c r="Z98" i="71"/>
  <c r="Z99" i="71"/>
  <c r="Z100" i="71"/>
  <c r="Z101" i="71"/>
  <c r="Z102" i="71"/>
  <c r="Z103" i="71"/>
  <c r="Z104" i="71"/>
  <c r="Z105" i="71"/>
  <c r="Z106" i="71"/>
  <c r="Z107" i="71"/>
  <c r="Z108" i="71"/>
  <c r="Z109" i="71"/>
  <c r="Z110" i="71"/>
  <c r="Z111" i="71"/>
  <c r="Z112" i="71"/>
  <c r="Z113" i="71"/>
  <c r="Z114" i="71"/>
  <c r="Z115" i="71"/>
  <c r="Z116" i="71"/>
  <c r="Z117" i="71"/>
  <c r="Z118" i="71"/>
  <c r="Z119" i="71"/>
  <c r="Z120" i="71"/>
  <c r="Z121" i="71"/>
  <c r="Z122" i="71"/>
  <c r="Z123" i="71"/>
  <c r="Z124" i="71"/>
  <c r="Z125" i="71"/>
  <c r="Z126" i="71"/>
  <c r="Z127" i="71"/>
  <c r="Z128" i="71"/>
  <c r="Z129" i="71"/>
  <c r="Z130" i="71"/>
  <c r="Z131" i="71"/>
  <c r="Z132" i="71"/>
  <c r="Z133" i="71"/>
  <c r="Z134" i="71"/>
  <c r="Z135" i="71"/>
  <c r="Z136" i="71"/>
  <c r="Z137" i="71"/>
  <c r="Z138" i="71"/>
  <c r="Z139" i="71"/>
  <c r="Z140" i="71"/>
  <c r="Z141" i="71"/>
  <c r="Z142" i="71"/>
  <c r="Z143" i="71"/>
  <c r="Z144" i="71"/>
  <c r="Z145" i="71"/>
  <c r="Z146" i="71"/>
  <c r="Z147" i="71"/>
  <c r="Z148" i="71"/>
  <c r="Z149" i="71"/>
  <c r="Z150" i="71"/>
  <c r="Z151" i="71"/>
  <c r="Z152" i="71"/>
  <c r="Z153" i="71"/>
  <c r="Z154" i="71"/>
  <c r="Z155" i="71"/>
  <c r="Z156" i="71"/>
  <c r="Z157" i="71"/>
  <c r="Z158" i="71"/>
  <c r="Z159" i="71"/>
  <c r="Z160" i="71"/>
  <c r="Z161" i="71"/>
  <c r="Z162" i="71"/>
  <c r="Z163" i="71"/>
  <c r="Z164" i="71"/>
  <c r="Z165" i="71"/>
  <c r="Z166" i="71"/>
  <c r="Z167" i="71"/>
  <c r="Z168" i="71"/>
  <c r="Z169" i="71"/>
  <c r="Z170" i="71"/>
  <c r="Z171" i="71"/>
  <c r="Z172" i="71"/>
  <c r="Z173" i="71"/>
  <c r="Z174" i="71"/>
  <c r="Z175" i="71"/>
  <c r="Z176" i="71"/>
  <c r="Z177" i="71"/>
  <c r="Z178" i="71"/>
  <c r="Z179" i="71"/>
  <c r="Z180" i="71"/>
  <c r="Z181" i="71"/>
  <c r="Z182" i="71"/>
  <c r="Z183" i="71"/>
  <c r="Z184" i="71"/>
  <c r="Z185" i="71"/>
  <c r="Z186" i="71"/>
  <c r="Z187" i="71"/>
  <c r="Z188" i="71"/>
  <c r="Z189" i="71"/>
  <c r="Z190" i="71"/>
  <c r="Z191" i="71"/>
  <c r="Z192" i="71"/>
  <c r="Z193" i="71"/>
  <c r="Z194" i="71"/>
  <c r="Z195" i="71"/>
  <c r="Z196" i="71"/>
  <c r="Z197" i="71"/>
  <c r="Z198" i="71"/>
  <c r="Z199" i="71"/>
  <c r="Z200" i="71"/>
  <c r="Z201" i="71"/>
  <c r="Z202" i="71"/>
  <c r="Z203" i="71"/>
  <c r="Z204" i="71"/>
  <c r="Z205" i="71"/>
  <c r="Z206" i="71"/>
  <c r="Z207" i="71"/>
  <c r="Z208" i="71"/>
  <c r="Z209" i="71"/>
  <c r="Z210" i="71"/>
  <c r="Z211" i="71"/>
  <c r="Z212" i="71"/>
  <c r="Z213" i="71"/>
  <c r="Z214" i="71"/>
  <c r="Z215" i="71"/>
  <c r="Z216" i="71"/>
  <c r="Z217" i="71"/>
  <c r="Z218" i="71"/>
  <c r="Z219" i="71"/>
  <c r="Z220" i="71"/>
  <c r="Z221" i="71"/>
  <c r="Z222" i="71"/>
  <c r="Z223" i="71"/>
  <c r="Z224" i="71"/>
  <c r="Z225" i="71"/>
  <c r="Z226" i="71"/>
  <c r="Z227" i="71"/>
  <c r="Z228" i="71"/>
  <c r="Z229" i="71"/>
  <c r="Z230" i="71"/>
  <c r="Z231" i="71"/>
  <c r="Z232" i="71"/>
  <c r="Z233" i="71"/>
  <c r="Z234" i="71"/>
  <c r="Z235" i="71"/>
  <c r="Z236" i="71"/>
  <c r="Z237" i="71"/>
  <c r="Z238" i="71"/>
  <c r="Z239" i="71"/>
  <c r="Z240" i="71"/>
  <c r="Z241" i="71"/>
  <c r="Z242" i="71"/>
  <c r="Z243" i="71"/>
  <c r="Z244" i="71"/>
  <c r="Z245" i="71"/>
  <c r="Z246" i="71"/>
  <c r="Z247" i="71"/>
  <c r="Z248" i="71"/>
  <c r="Z249" i="71"/>
  <c r="Z250" i="71"/>
  <c r="Z251" i="71"/>
  <c r="Z252" i="71"/>
  <c r="Z253" i="71"/>
  <c r="Z254" i="71"/>
  <c r="Z255" i="71"/>
  <c r="Z256" i="71"/>
  <c r="Z11" i="71"/>
  <c r="W13" i="71"/>
  <c r="W14" i="71"/>
  <c r="W15" i="71"/>
  <c r="W16" i="71"/>
  <c r="W17" i="71"/>
  <c r="W18" i="71"/>
  <c r="W19" i="71"/>
  <c r="W20" i="71"/>
  <c r="W21" i="71"/>
  <c r="W22" i="71"/>
  <c r="W23" i="71"/>
  <c r="W24" i="71"/>
  <c r="W25" i="71"/>
  <c r="W26" i="71"/>
  <c r="W28" i="71"/>
  <c r="W29" i="71"/>
  <c r="W30" i="71"/>
  <c r="W31" i="71"/>
  <c r="W32" i="71"/>
  <c r="W33" i="71"/>
  <c r="W34" i="71"/>
  <c r="W35" i="71"/>
  <c r="W36" i="71"/>
  <c r="W37" i="71"/>
  <c r="W38" i="71"/>
  <c r="W39" i="71"/>
  <c r="W40" i="71"/>
  <c r="W41" i="71"/>
  <c r="W42" i="71"/>
  <c r="W43" i="71"/>
  <c r="W44" i="71"/>
  <c r="W45" i="71"/>
  <c r="W46" i="71"/>
  <c r="W47" i="71"/>
  <c r="W48" i="71"/>
  <c r="W49" i="71"/>
  <c r="W50" i="71"/>
  <c r="W51" i="71"/>
  <c r="W52" i="71"/>
  <c r="W53" i="71"/>
  <c r="W54" i="71"/>
  <c r="W55" i="71"/>
  <c r="W56" i="71"/>
  <c r="W57" i="71"/>
  <c r="W58" i="71"/>
  <c r="W59" i="71"/>
  <c r="W60" i="71"/>
  <c r="W61" i="71"/>
  <c r="W62" i="71"/>
  <c r="W63" i="71"/>
  <c r="W64" i="71"/>
  <c r="W65" i="71"/>
  <c r="W66" i="71"/>
  <c r="W67" i="71"/>
  <c r="W68" i="71"/>
  <c r="W69" i="71"/>
  <c r="W70" i="71"/>
  <c r="W71" i="71"/>
  <c r="W72" i="71"/>
  <c r="W73" i="71"/>
  <c r="W74" i="71"/>
  <c r="W75" i="71"/>
  <c r="W76" i="71"/>
  <c r="W77" i="71"/>
  <c r="W78" i="71"/>
  <c r="W79" i="71"/>
  <c r="W80" i="71"/>
  <c r="W81" i="71"/>
  <c r="W82" i="71"/>
  <c r="W83" i="71"/>
  <c r="W84" i="71"/>
  <c r="W85" i="71"/>
  <c r="W86" i="71"/>
  <c r="W87" i="71"/>
  <c r="W88" i="71"/>
  <c r="W89" i="71"/>
  <c r="W90" i="71"/>
  <c r="W91" i="71"/>
  <c r="W92" i="71"/>
  <c r="W93" i="71"/>
  <c r="W94" i="71"/>
  <c r="W95" i="71"/>
  <c r="W96" i="71"/>
  <c r="W97" i="71"/>
  <c r="W98" i="71"/>
  <c r="W99" i="71"/>
  <c r="W100" i="71"/>
  <c r="W101" i="71"/>
  <c r="W102" i="71"/>
  <c r="W103" i="71"/>
  <c r="W104" i="71"/>
  <c r="W105" i="71"/>
  <c r="W106" i="71"/>
  <c r="W107" i="71"/>
  <c r="W108" i="71"/>
  <c r="W109" i="71"/>
  <c r="W110" i="71"/>
  <c r="W111" i="71"/>
  <c r="W112" i="71"/>
  <c r="W113" i="71"/>
  <c r="W114" i="71"/>
  <c r="W115" i="71"/>
  <c r="W116" i="71"/>
  <c r="W117" i="71"/>
  <c r="W118" i="71"/>
  <c r="W119" i="71"/>
  <c r="W120" i="71"/>
  <c r="W121" i="71"/>
  <c r="W122" i="71"/>
  <c r="W123" i="71"/>
  <c r="W124" i="71"/>
  <c r="W125" i="71"/>
  <c r="W126" i="71"/>
  <c r="W127" i="71"/>
  <c r="W128" i="71"/>
  <c r="W129" i="71"/>
  <c r="W130" i="71"/>
  <c r="W131" i="71"/>
  <c r="W132" i="71"/>
  <c r="W133" i="71"/>
  <c r="W134" i="71"/>
  <c r="W135" i="71"/>
  <c r="W136" i="71"/>
  <c r="W137" i="71"/>
  <c r="W138" i="71"/>
  <c r="W139" i="71"/>
  <c r="W140" i="71"/>
  <c r="W141" i="71"/>
  <c r="W142" i="71"/>
  <c r="W143" i="71"/>
  <c r="W144" i="71"/>
  <c r="W145" i="71"/>
  <c r="W146" i="71"/>
  <c r="W147" i="71"/>
  <c r="W148" i="71"/>
  <c r="W149" i="71"/>
  <c r="W150" i="71"/>
  <c r="W151" i="71"/>
  <c r="W152" i="71"/>
  <c r="W153" i="71"/>
  <c r="W154" i="71"/>
  <c r="W155" i="71"/>
  <c r="W156" i="71"/>
  <c r="W157" i="71"/>
  <c r="W158" i="71"/>
  <c r="W159" i="71"/>
  <c r="W160" i="71"/>
  <c r="W161" i="71"/>
  <c r="W162" i="71"/>
  <c r="W163" i="71"/>
  <c r="W164" i="71"/>
  <c r="W165" i="71"/>
  <c r="W166" i="71"/>
  <c r="W167" i="71"/>
  <c r="W168" i="71"/>
  <c r="W169" i="71"/>
  <c r="W170" i="71"/>
  <c r="W171" i="71"/>
  <c r="W172" i="71"/>
  <c r="W173" i="71"/>
  <c r="W174" i="71"/>
  <c r="W175" i="71"/>
  <c r="W176" i="71"/>
  <c r="W177" i="71"/>
  <c r="W178" i="71"/>
  <c r="W179" i="71"/>
  <c r="W180" i="71"/>
  <c r="W181" i="71"/>
  <c r="W182" i="71"/>
  <c r="W183" i="71"/>
  <c r="W184" i="71"/>
  <c r="W185" i="71"/>
  <c r="W186" i="71"/>
  <c r="W187" i="71"/>
  <c r="W188" i="71"/>
  <c r="W189" i="71"/>
  <c r="W190" i="71"/>
  <c r="W191" i="71"/>
  <c r="W192" i="71"/>
  <c r="W193" i="71"/>
  <c r="W194" i="71"/>
  <c r="W195" i="71"/>
  <c r="W196" i="71"/>
  <c r="W197" i="71"/>
  <c r="W198" i="71"/>
  <c r="W199" i="71"/>
  <c r="W200" i="71"/>
  <c r="W201" i="71"/>
  <c r="W202" i="71"/>
  <c r="W203" i="71"/>
  <c r="W204" i="71"/>
  <c r="W205" i="71"/>
  <c r="W206" i="71"/>
  <c r="W207" i="71"/>
  <c r="W208" i="71"/>
  <c r="W209" i="71"/>
  <c r="W210" i="71"/>
  <c r="W211" i="71"/>
  <c r="W212" i="71"/>
  <c r="W213" i="71"/>
  <c r="W214" i="71"/>
  <c r="W215" i="71"/>
  <c r="W216" i="71"/>
  <c r="W217" i="71"/>
  <c r="W218" i="71"/>
  <c r="W219" i="71"/>
  <c r="W220" i="71"/>
  <c r="W221" i="71"/>
  <c r="W222" i="71"/>
  <c r="W223" i="71"/>
  <c r="W224" i="71"/>
  <c r="W225" i="71"/>
  <c r="W226" i="71"/>
  <c r="W227" i="71"/>
  <c r="W228" i="71"/>
  <c r="W229" i="71"/>
  <c r="W230" i="71"/>
  <c r="W231" i="71"/>
  <c r="W232" i="71"/>
  <c r="W233" i="71"/>
  <c r="W234" i="71"/>
  <c r="W235" i="71"/>
  <c r="W236" i="71"/>
  <c r="W237" i="71"/>
  <c r="W238" i="71"/>
  <c r="W239" i="71"/>
  <c r="W240" i="71"/>
  <c r="W241" i="71"/>
  <c r="W242" i="71"/>
  <c r="W243" i="71"/>
  <c r="W244" i="71"/>
  <c r="W245" i="71"/>
  <c r="W246" i="71"/>
  <c r="W247" i="71"/>
  <c r="W248" i="71"/>
  <c r="W249" i="71"/>
  <c r="W250" i="71"/>
  <c r="W251" i="71"/>
  <c r="W252" i="71"/>
  <c r="W253" i="71"/>
  <c r="W254" i="71"/>
  <c r="W255" i="71"/>
  <c r="W256" i="71"/>
  <c r="R13" i="71"/>
  <c r="R14" i="71"/>
  <c r="R15" i="71"/>
  <c r="R16" i="71"/>
  <c r="R17" i="71"/>
  <c r="R18" i="71"/>
  <c r="R19" i="71"/>
  <c r="R20" i="71"/>
  <c r="R21" i="71"/>
  <c r="R22" i="71"/>
  <c r="R23" i="71"/>
  <c r="R24" i="71"/>
  <c r="R25" i="71"/>
  <c r="R26" i="71"/>
  <c r="R28" i="71"/>
  <c r="R29" i="71"/>
  <c r="R30" i="71"/>
  <c r="R31" i="71"/>
  <c r="R32" i="71"/>
  <c r="R33" i="71"/>
  <c r="R34" i="71"/>
  <c r="R35" i="71"/>
  <c r="R36" i="71"/>
  <c r="R37" i="71"/>
  <c r="R38" i="71"/>
  <c r="R39" i="71"/>
  <c r="R40" i="71"/>
  <c r="R41" i="71"/>
  <c r="R42" i="71"/>
  <c r="R43" i="71"/>
  <c r="R44" i="71"/>
  <c r="R45" i="71"/>
  <c r="R46" i="71"/>
  <c r="R47" i="71"/>
  <c r="R48" i="71"/>
  <c r="R49" i="71"/>
  <c r="R50" i="71"/>
  <c r="R51" i="71"/>
  <c r="R52" i="71"/>
  <c r="R53" i="71"/>
  <c r="R54" i="71"/>
  <c r="R55" i="71"/>
  <c r="R56" i="71"/>
  <c r="R57" i="71"/>
  <c r="R58" i="71"/>
  <c r="R59" i="71"/>
  <c r="R60" i="71"/>
  <c r="R61" i="71"/>
  <c r="R62" i="71"/>
  <c r="R63" i="71"/>
  <c r="R64" i="71"/>
  <c r="R65" i="71"/>
  <c r="R66" i="71"/>
  <c r="R67" i="71"/>
  <c r="R68" i="71"/>
  <c r="R69" i="71"/>
  <c r="R70" i="71"/>
  <c r="R71" i="71"/>
  <c r="R72" i="71"/>
  <c r="R73" i="71"/>
  <c r="R74" i="71"/>
  <c r="R75" i="71"/>
  <c r="R76" i="71"/>
  <c r="R77" i="71"/>
  <c r="R78" i="71"/>
  <c r="R79" i="71"/>
  <c r="R80" i="71"/>
  <c r="R81" i="71"/>
  <c r="R82" i="71"/>
  <c r="R83" i="71"/>
  <c r="R84" i="71"/>
  <c r="R85" i="71"/>
  <c r="R86" i="71"/>
  <c r="R87" i="71"/>
  <c r="R88" i="71"/>
  <c r="R89" i="71"/>
  <c r="R90" i="71"/>
  <c r="R91" i="71"/>
  <c r="R92" i="71"/>
  <c r="R93" i="71"/>
  <c r="R94" i="71"/>
  <c r="R95" i="71"/>
  <c r="R96" i="71"/>
  <c r="R97" i="71"/>
  <c r="R98" i="71"/>
  <c r="R99" i="71"/>
  <c r="R100" i="71"/>
  <c r="R101" i="71"/>
  <c r="R102" i="71"/>
  <c r="R103" i="71"/>
  <c r="R104" i="71"/>
  <c r="R105" i="71"/>
  <c r="R106" i="71"/>
  <c r="R107" i="71"/>
  <c r="R108" i="71"/>
  <c r="R109" i="71"/>
  <c r="R110" i="71"/>
  <c r="R111" i="71"/>
  <c r="R112" i="71"/>
  <c r="R113" i="71"/>
  <c r="R114" i="71"/>
  <c r="R115" i="71"/>
  <c r="R116" i="71"/>
  <c r="R117" i="71"/>
  <c r="R118" i="71"/>
  <c r="R119" i="71"/>
  <c r="R120" i="71"/>
  <c r="R121" i="71"/>
  <c r="R122" i="71"/>
  <c r="R123" i="71"/>
  <c r="R124" i="71"/>
  <c r="R125" i="71"/>
  <c r="R126" i="71"/>
  <c r="R127" i="71"/>
  <c r="R128" i="71"/>
  <c r="R129" i="71"/>
  <c r="R130" i="71"/>
  <c r="R131" i="71"/>
  <c r="R132" i="71"/>
  <c r="R133" i="71"/>
  <c r="R134" i="71"/>
  <c r="R135" i="71"/>
  <c r="R136" i="71"/>
  <c r="R137" i="71"/>
  <c r="R138" i="71"/>
  <c r="R139" i="71"/>
  <c r="R140" i="71"/>
  <c r="R141" i="71"/>
  <c r="R142" i="71"/>
  <c r="R143" i="71"/>
  <c r="R144" i="71"/>
  <c r="R145" i="71"/>
  <c r="R146" i="71"/>
  <c r="R147" i="71"/>
  <c r="R148" i="71"/>
  <c r="R149" i="71"/>
  <c r="R150" i="71"/>
  <c r="R151" i="71"/>
  <c r="R152" i="71"/>
  <c r="R153" i="71"/>
  <c r="R154" i="71"/>
  <c r="R155" i="71"/>
  <c r="R156" i="71"/>
  <c r="R157" i="71"/>
  <c r="R158" i="71"/>
  <c r="R159" i="71"/>
  <c r="R160" i="71"/>
  <c r="R161" i="71"/>
  <c r="R162" i="71"/>
  <c r="R163" i="71"/>
  <c r="R164" i="71"/>
  <c r="R165" i="71"/>
  <c r="R166" i="71"/>
  <c r="R167" i="71"/>
  <c r="R168" i="71"/>
  <c r="R169" i="71"/>
  <c r="R170" i="71"/>
  <c r="R171" i="71"/>
  <c r="R172" i="71"/>
  <c r="R173" i="71"/>
  <c r="R174" i="71"/>
  <c r="R175" i="71"/>
  <c r="R176" i="71"/>
  <c r="R177" i="71"/>
  <c r="R178" i="71"/>
  <c r="R179" i="71"/>
  <c r="R180" i="71"/>
  <c r="R181" i="71"/>
  <c r="R182" i="71"/>
  <c r="R183" i="71"/>
  <c r="R184" i="71"/>
  <c r="R185" i="71"/>
  <c r="R186" i="71"/>
  <c r="R187" i="71"/>
  <c r="R188" i="71"/>
  <c r="R189" i="71"/>
  <c r="R190" i="71"/>
  <c r="R191" i="71"/>
  <c r="R192" i="71"/>
  <c r="R193" i="71"/>
  <c r="R194" i="71"/>
  <c r="R195" i="71"/>
  <c r="R196" i="71"/>
  <c r="R197" i="71"/>
  <c r="R198" i="71"/>
  <c r="R199" i="71"/>
  <c r="R200" i="71"/>
  <c r="R201" i="71"/>
  <c r="R202" i="71"/>
  <c r="R203" i="71"/>
  <c r="R204" i="71"/>
  <c r="R205" i="71"/>
  <c r="R206" i="71"/>
  <c r="R207" i="71"/>
  <c r="R208" i="71"/>
  <c r="R209" i="71"/>
  <c r="R210" i="71"/>
  <c r="R211" i="71"/>
  <c r="R212" i="71"/>
  <c r="R213" i="71"/>
  <c r="R214" i="71"/>
  <c r="R215" i="71"/>
  <c r="R216" i="71"/>
  <c r="R217" i="71"/>
  <c r="R218" i="71"/>
  <c r="R219" i="71"/>
  <c r="R220" i="71"/>
  <c r="R221" i="71"/>
  <c r="R222" i="71"/>
  <c r="R223" i="71"/>
  <c r="R224" i="71"/>
  <c r="R225" i="71"/>
  <c r="R226" i="71"/>
  <c r="R227" i="71"/>
  <c r="R228" i="71"/>
  <c r="R229" i="71"/>
  <c r="R230" i="71"/>
  <c r="R231" i="71"/>
  <c r="R232" i="71"/>
  <c r="R233" i="71"/>
  <c r="R234" i="71"/>
  <c r="R235" i="71"/>
  <c r="R236" i="71"/>
  <c r="R237" i="71"/>
  <c r="R238" i="71"/>
  <c r="R239" i="71"/>
  <c r="R240" i="71"/>
  <c r="R241" i="71"/>
  <c r="R242" i="71"/>
  <c r="R243" i="71"/>
  <c r="R244" i="71"/>
  <c r="R245" i="71"/>
  <c r="R246" i="71"/>
  <c r="R247" i="71"/>
  <c r="R248" i="71"/>
  <c r="R249" i="71"/>
  <c r="R250" i="71"/>
  <c r="R251" i="71"/>
  <c r="R252" i="71"/>
  <c r="R253" i="71"/>
  <c r="R254" i="71"/>
  <c r="R255" i="71"/>
  <c r="R256" i="71"/>
  <c r="N11" i="71"/>
  <c r="N12" i="71"/>
  <c r="N13" i="71"/>
  <c r="N14" i="71"/>
  <c r="N15" i="71"/>
  <c r="N16" i="71"/>
  <c r="N17" i="71"/>
  <c r="N18" i="71"/>
  <c r="N19" i="71"/>
  <c r="N20" i="71"/>
  <c r="N21" i="71"/>
  <c r="N22" i="71"/>
  <c r="N23" i="71"/>
  <c r="N24" i="71"/>
  <c r="N25" i="71"/>
  <c r="N26" i="71"/>
  <c r="N27" i="71"/>
  <c r="N28" i="71"/>
  <c r="N29" i="71"/>
  <c r="N30" i="71"/>
  <c r="N31" i="71"/>
  <c r="N32" i="71"/>
  <c r="N33" i="71"/>
  <c r="N34" i="71"/>
  <c r="N35" i="71"/>
  <c r="N36" i="71"/>
  <c r="N37" i="71"/>
  <c r="N38" i="71"/>
  <c r="N39" i="71"/>
  <c r="N40" i="71"/>
  <c r="N41" i="71"/>
  <c r="N42" i="71"/>
  <c r="N43" i="71"/>
  <c r="N44" i="71"/>
  <c r="N45" i="71"/>
  <c r="N46" i="71"/>
  <c r="N47" i="71"/>
  <c r="N48" i="71"/>
  <c r="N49" i="71"/>
  <c r="N50" i="71"/>
  <c r="N51" i="71"/>
  <c r="N52" i="71"/>
  <c r="N53" i="71"/>
  <c r="N54" i="71"/>
  <c r="N55" i="71"/>
  <c r="N56" i="71"/>
  <c r="N57" i="71"/>
  <c r="N58" i="71"/>
  <c r="N59" i="71"/>
  <c r="N60" i="71"/>
  <c r="N61" i="71"/>
  <c r="N62" i="71"/>
  <c r="N63" i="71"/>
  <c r="N64" i="71"/>
  <c r="N65" i="71"/>
  <c r="N66" i="71"/>
  <c r="N67" i="71"/>
  <c r="N68" i="71"/>
  <c r="N69" i="71"/>
  <c r="N70" i="71"/>
  <c r="N71" i="71"/>
  <c r="N72" i="71"/>
  <c r="N73" i="71"/>
  <c r="N74" i="71"/>
  <c r="N75" i="71"/>
  <c r="N76" i="71"/>
  <c r="N77" i="71"/>
  <c r="N78" i="71"/>
  <c r="N79" i="71"/>
  <c r="N80" i="71"/>
  <c r="N81" i="71"/>
  <c r="N82" i="71"/>
  <c r="N83" i="71"/>
  <c r="N84" i="71"/>
  <c r="N85" i="71"/>
  <c r="N86" i="71"/>
  <c r="N87" i="71"/>
  <c r="N88" i="71"/>
  <c r="N89" i="71"/>
  <c r="N90" i="71"/>
  <c r="N91" i="71"/>
  <c r="N92" i="71"/>
  <c r="N93" i="71"/>
  <c r="N94" i="71"/>
  <c r="N95" i="71"/>
  <c r="N96" i="71"/>
  <c r="N97" i="71"/>
  <c r="N98" i="71"/>
  <c r="N99" i="71"/>
  <c r="N100" i="71"/>
  <c r="N101" i="71"/>
  <c r="N102" i="71"/>
  <c r="N103" i="71"/>
  <c r="N104" i="71"/>
  <c r="N105" i="71"/>
  <c r="N106" i="71"/>
  <c r="N107" i="71"/>
  <c r="N108" i="71"/>
  <c r="N109" i="71"/>
  <c r="N110" i="71"/>
  <c r="N111" i="71"/>
  <c r="N112" i="71"/>
  <c r="N113" i="71"/>
  <c r="N114" i="71"/>
  <c r="N115" i="71"/>
  <c r="N116" i="71"/>
  <c r="N117" i="71"/>
  <c r="N118" i="71"/>
  <c r="N119" i="71"/>
  <c r="N120" i="71"/>
  <c r="N121" i="71"/>
  <c r="N122" i="71"/>
  <c r="N123" i="71"/>
  <c r="N124" i="71"/>
  <c r="N125" i="71"/>
  <c r="N126" i="71"/>
  <c r="N127" i="71"/>
  <c r="N128" i="71"/>
  <c r="N129" i="71"/>
  <c r="N130" i="71"/>
  <c r="N131" i="71"/>
  <c r="N132" i="71"/>
  <c r="N133" i="71"/>
  <c r="N134" i="71"/>
  <c r="N135" i="71"/>
  <c r="N136" i="71"/>
  <c r="N137" i="71"/>
  <c r="N138" i="71"/>
  <c r="N139" i="71"/>
  <c r="N140" i="71"/>
  <c r="N141" i="71"/>
  <c r="N142" i="71"/>
  <c r="N143" i="71"/>
  <c r="N144" i="71"/>
  <c r="N145" i="71"/>
  <c r="N146" i="71"/>
  <c r="N147" i="71"/>
  <c r="N148" i="71"/>
  <c r="N149" i="71"/>
  <c r="N150" i="71"/>
  <c r="N151" i="71"/>
  <c r="N152" i="71"/>
  <c r="N153" i="71"/>
  <c r="N154" i="71"/>
  <c r="N155" i="71"/>
  <c r="N156" i="71"/>
  <c r="N157" i="71"/>
  <c r="N158" i="71"/>
  <c r="N159" i="71"/>
  <c r="N160" i="71"/>
  <c r="N161" i="71"/>
  <c r="N162" i="71"/>
  <c r="N163" i="71"/>
  <c r="N164" i="71"/>
  <c r="N165" i="71"/>
  <c r="N166" i="71"/>
  <c r="N167" i="71"/>
  <c r="N168" i="71"/>
  <c r="N169" i="71"/>
  <c r="N170" i="71"/>
  <c r="N171" i="71"/>
  <c r="N172" i="71"/>
  <c r="N173" i="71"/>
  <c r="N174" i="71"/>
  <c r="N175" i="71"/>
  <c r="N176" i="71"/>
  <c r="N177" i="71"/>
  <c r="N178" i="71"/>
  <c r="N179" i="71"/>
  <c r="N180" i="71"/>
  <c r="N181" i="71"/>
  <c r="N182" i="71"/>
  <c r="N183" i="71"/>
  <c r="N184" i="71"/>
  <c r="N185" i="71"/>
  <c r="N186" i="71"/>
  <c r="N187" i="71"/>
  <c r="N188" i="71"/>
  <c r="N189" i="71"/>
  <c r="N190" i="71"/>
  <c r="N191" i="71"/>
  <c r="N192" i="71"/>
  <c r="N193" i="71"/>
  <c r="N194" i="71"/>
  <c r="N195" i="71"/>
  <c r="N196" i="71"/>
  <c r="N197" i="71"/>
  <c r="N198" i="71"/>
  <c r="N199" i="71"/>
  <c r="N200" i="71"/>
  <c r="N201" i="71"/>
  <c r="N202" i="71"/>
  <c r="N203" i="71"/>
  <c r="N204" i="71"/>
  <c r="N205" i="71"/>
  <c r="N206" i="71"/>
  <c r="N207" i="71"/>
  <c r="N208" i="71"/>
  <c r="N209" i="71"/>
  <c r="N210" i="71"/>
  <c r="N211" i="71"/>
  <c r="N212" i="71"/>
  <c r="N213" i="71"/>
  <c r="N214" i="71"/>
  <c r="N215" i="71"/>
  <c r="N216" i="71"/>
  <c r="N217" i="71"/>
  <c r="N218" i="71"/>
  <c r="N219" i="71"/>
  <c r="N220" i="71"/>
  <c r="N221" i="71"/>
  <c r="N222" i="71"/>
  <c r="N223" i="71"/>
  <c r="N224" i="71"/>
  <c r="N225" i="71"/>
  <c r="N226" i="71"/>
  <c r="N227" i="71"/>
  <c r="N228" i="71"/>
  <c r="N229" i="71"/>
  <c r="N230" i="71"/>
  <c r="N231" i="71"/>
  <c r="N232" i="71"/>
  <c r="N233" i="71"/>
  <c r="N234" i="71"/>
  <c r="N235" i="71"/>
  <c r="N236" i="71"/>
  <c r="N237" i="71"/>
  <c r="N238" i="71"/>
  <c r="N239" i="71"/>
  <c r="N240" i="71"/>
  <c r="N241" i="71"/>
  <c r="N242" i="71"/>
  <c r="N243" i="71"/>
  <c r="N244" i="71"/>
  <c r="N245" i="71"/>
  <c r="N246" i="71"/>
  <c r="N247" i="71"/>
  <c r="N248" i="71"/>
  <c r="N249" i="71"/>
  <c r="N250" i="71"/>
  <c r="N251" i="71"/>
  <c r="N252" i="71"/>
  <c r="N253" i="71"/>
  <c r="N254" i="71"/>
  <c r="N255" i="71"/>
  <c r="N256" i="71"/>
  <c r="M12" i="71"/>
  <c r="M13" i="71"/>
  <c r="M14" i="71"/>
  <c r="M15" i="71"/>
  <c r="M16" i="71"/>
  <c r="M17" i="71"/>
  <c r="M18" i="71"/>
  <c r="M19" i="71"/>
  <c r="M20" i="71"/>
  <c r="M21" i="71"/>
  <c r="M22" i="71"/>
  <c r="M23" i="71"/>
  <c r="M24" i="71"/>
  <c r="M25" i="71"/>
  <c r="M26" i="71"/>
  <c r="M27" i="71"/>
  <c r="M28" i="71"/>
  <c r="M29" i="71"/>
  <c r="M30" i="71"/>
  <c r="M31" i="71"/>
  <c r="M32" i="71"/>
  <c r="M33" i="71"/>
  <c r="M34" i="71"/>
  <c r="M35" i="71"/>
  <c r="M36" i="71"/>
  <c r="M37" i="71"/>
  <c r="M38" i="71"/>
  <c r="M39" i="71"/>
  <c r="M40" i="71"/>
  <c r="M41" i="71"/>
  <c r="M42" i="71"/>
  <c r="M43" i="71"/>
  <c r="M44" i="71"/>
  <c r="M45" i="71"/>
  <c r="M46" i="71"/>
  <c r="M47" i="71"/>
  <c r="M48" i="71"/>
  <c r="M49" i="71"/>
  <c r="M50" i="71"/>
  <c r="M51" i="71"/>
  <c r="M52" i="71"/>
  <c r="M53" i="71"/>
  <c r="M54" i="71"/>
  <c r="M55" i="71"/>
  <c r="M56" i="71"/>
  <c r="M57" i="71"/>
  <c r="M58" i="71"/>
  <c r="M59" i="71"/>
  <c r="M60" i="71"/>
  <c r="M61" i="71"/>
  <c r="M62" i="71"/>
  <c r="M63" i="71"/>
  <c r="M64" i="71"/>
  <c r="M65" i="71"/>
  <c r="M66" i="71"/>
  <c r="M67" i="71"/>
  <c r="M68" i="71"/>
  <c r="M69" i="71"/>
  <c r="M70" i="71"/>
  <c r="M71" i="71"/>
  <c r="M72" i="71"/>
  <c r="M73" i="71"/>
  <c r="M74" i="71"/>
  <c r="M75" i="71"/>
  <c r="M76" i="71"/>
  <c r="M77" i="71"/>
  <c r="M78" i="71"/>
  <c r="M79" i="71"/>
  <c r="M80" i="71"/>
  <c r="M81" i="71"/>
  <c r="M82" i="71"/>
  <c r="M83" i="71"/>
  <c r="M84" i="71"/>
  <c r="M85" i="71"/>
  <c r="M86" i="71"/>
  <c r="M87" i="71"/>
  <c r="M88" i="71"/>
  <c r="M89" i="71"/>
  <c r="M90" i="71"/>
  <c r="M91" i="71"/>
  <c r="M92" i="71"/>
  <c r="M93" i="71"/>
  <c r="M94" i="71"/>
  <c r="M95" i="71"/>
  <c r="M96" i="71"/>
  <c r="M97" i="71"/>
  <c r="M98" i="71"/>
  <c r="M99" i="71"/>
  <c r="M100" i="71"/>
  <c r="M101" i="71"/>
  <c r="M102" i="71"/>
  <c r="M103" i="71"/>
  <c r="M104" i="71"/>
  <c r="M105" i="71"/>
  <c r="M106" i="71"/>
  <c r="M107" i="71"/>
  <c r="M108" i="71"/>
  <c r="M109" i="71"/>
  <c r="M110" i="71"/>
  <c r="M111" i="71"/>
  <c r="M112" i="71"/>
  <c r="M113" i="71"/>
  <c r="M114" i="71"/>
  <c r="M115" i="71"/>
  <c r="M116" i="71"/>
  <c r="M117" i="71"/>
  <c r="M118" i="71"/>
  <c r="M119" i="71"/>
  <c r="M120" i="71"/>
  <c r="M121" i="71"/>
  <c r="M122" i="71"/>
  <c r="M123" i="71"/>
  <c r="M124" i="71"/>
  <c r="M125" i="71"/>
  <c r="M126" i="71"/>
  <c r="M127" i="71"/>
  <c r="M128" i="71"/>
  <c r="M129" i="71"/>
  <c r="M130" i="71"/>
  <c r="M131" i="71"/>
  <c r="M132" i="71"/>
  <c r="M133" i="71"/>
  <c r="M134" i="71"/>
  <c r="M135" i="71"/>
  <c r="M136" i="71"/>
  <c r="M137" i="71"/>
  <c r="M138" i="71"/>
  <c r="M139" i="71"/>
  <c r="M140" i="71"/>
  <c r="M141" i="71"/>
  <c r="M142" i="71"/>
  <c r="M143" i="71"/>
  <c r="M144" i="71"/>
  <c r="M145" i="71"/>
  <c r="M146" i="71"/>
  <c r="M147" i="71"/>
  <c r="M148" i="71"/>
  <c r="M149" i="71"/>
  <c r="M150" i="71"/>
  <c r="M151" i="71"/>
  <c r="M152" i="71"/>
  <c r="M153" i="71"/>
  <c r="M154" i="71"/>
  <c r="M155" i="71"/>
  <c r="M156" i="71"/>
  <c r="M157" i="71"/>
  <c r="M158" i="71"/>
  <c r="M159" i="71"/>
  <c r="M160" i="71"/>
  <c r="M161" i="71"/>
  <c r="M162" i="71"/>
  <c r="M163" i="71"/>
  <c r="M164" i="71"/>
  <c r="M165" i="71"/>
  <c r="M166" i="71"/>
  <c r="M167" i="71"/>
  <c r="M168" i="71"/>
  <c r="M169" i="71"/>
  <c r="M170" i="71"/>
  <c r="M171" i="71"/>
  <c r="M172" i="71"/>
  <c r="M173" i="71"/>
  <c r="M174" i="71"/>
  <c r="M175" i="71"/>
  <c r="M176" i="71"/>
  <c r="M177" i="71"/>
  <c r="M178" i="71"/>
  <c r="M179" i="71"/>
  <c r="M180" i="71"/>
  <c r="M181" i="71"/>
  <c r="M182" i="71"/>
  <c r="M183" i="71"/>
  <c r="M184" i="71"/>
  <c r="M185" i="71"/>
  <c r="M186" i="71"/>
  <c r="M187" i="71"/>
  <c r="M188" i="71"/>
  <c r="M189" i="71"/>
  <c r="M190" i="71"/>
  <c r="M191" i="71"/>
  <c r="M192" i="71"/>
  <c r="M193" i="71"/>
  <c r="M194" i="71"/>
  <c r="M195" i="71"/>
  <c r="M196" i="71"/>
  <c r="M197" i="71"/>
  <c r="M198" i="71"/>
  <c r="M199" i="71"/>
  <c r="M200" i="71"/>
  <c r="M201" i="71"/>
  <c r="M202" i="71"/>
  <c r="M203" i="71"/>
  <c r="M204" i="71"/>
  <c r="M205" i="71"/>
  <c r="M206" i="71"/>
  <c r="M207" i="71"/>
  <c r="M208" i="71"/>
  <c r="M209" i="71"/>
  <c r="M210" i="71"/>
  <c r="M211" i="71"/>
  <c r="M212" i="71"/>
  <c r="M213" i="71"/>
  <c r="M214" i="71"/>
  <c r="M215" i="71"/>
  <c r="M216" i="71"/>
  <c r="M217" i="71"/>
  <c r="M218" i="71"/>
  <c r="M219" i="71"/>
  <c r="M220" i="71"/>
  <c r="M221" i="71"/>
  <c r="M222" i="71"/>
  <c r="M223" i="71"/>
  <c r="M224" i="71"/>
  <c r="M225" i="71"/>
  <c r="M226" i="71"/>
  <c r="M227" i="71"/>
  <c r="M228" i="71"/>
  <c r="M229" i="71"/>
  <c r="M230" i="71"/>
  <c r="M231" i="71"/>
  <c r="M232" i="71"/>
  <c r="M233" i="71"/>
  <c r="M234" i="71"/>
  <c r="M235" i="71"/>
  <c r="M236" i="71"/>
  <c r="M237" i="71"/>
  <c r="M238" i="71"/>
  <c r="M239" i="71"/>
  <c r="M240" i="71"/>
  <c r="M241" i="71"/>
  <c r="M242" i="71"/>
  <c r="M243" i="71"/>
  <c r="M244" i="71"/>
  <c r="M245" i="71"/>
  <c r="M246" i="71"/>
  <c r="M247" i="71"/>
  <c r="M248" i="71"/>
  <c r="M249" i="71"/>
  <c r="M250" i="71"/>
  <c r="M251" i="71"/>
  <c r="M253" i="71"/>
  <c r="M254" i="71"/>
  <c r="M255" i="71"/>
  <c r="M256" i="71"/>
  <c r="AB12" i="32"/>
  <c r="R18" i="46"/>
  <c r="R19" i="46"/>
  <c r="R20" i="46"/>
  <c r="R21" i="46"/>
  <c r="R22" i="46"/>
  <c r="R23" i="46"/>
  <c r="R24" i="46"/>
  <c r="R25" i="46"/>
  <c r="R26" i="46"/>
  <c r="R27" i="46"/>
  <c r="R28" i="46"/>
  <c r="R29" i="46"/>
  <c r="R30" i="46"/>
  <c r="R31" i="46"/>
  <c r="R32" i="46"/>
  <c r="R33" i="46"/>
  <c r="R34" i="46"/>
  <c r="R35" i="46"/>
  <c r="R36" i="46"/>
  <c r="R37" i="46"/>
  <c r="R38" i="46"/>
  <c r="R39" i="46"/>
  <c r="R40" i="46"/>
  <c r="R41" i="46"/>
  <c r="R42" i="46"/>
  <c r="R43" i="46"/>
  <c r="R44" i="46"/>
  <c r="R45" i="46"/>
  <c r="R46" i="46"/>
  <c r="R47" i="46"/>
  <c r="R48" i="46"/>
  <c r="R49" i="46"/>
  <c r="R50" i="46"/>
  <c r="R51" i="46"/>
  <c r="R52" i="46"/>
  <c r="R53" i="46"/>
  <c r="R54" i="46"/>
  <c r="R55" i="46"/>
  <c r="R56" i="46"/>
  <c r="R57" i="46"/>
  <c r="R58" i="46"/>
  <c r="R59" i="46"/>
  <c r="R60" i="46"/>
  <c r="R61" i="46"/>
  <c r="R62" i="46"/>
  <c r="R63" i="46"/>
  <c r="R64" i="46"/>
  <c r="R65" i="46"/>
  <c r="R66" i="46"/>
  <c r="R67" i="46"/>
  <c r="R68" i="46"/>
  <c r="R69" i="46"/>
  <c r="R70" i="46"/>
  <c r="R71" i="46"/>
  <c r="R72" i="46"/>
  <c r="R73" i="46"/>
  <c r="R74" i="46"/>
  <c r="R75" i="46"/>
  <c r="R76" i="46"/>
  <c r="R77" i="46"/>
  <c r="R78" i="46"/>
  <c r="R79" i="46"/>
  <c r="R80" i="46"/>
  <c r="R81" i="46"/>
  <c r="R82" i="46"/>
  <c r="R83" i="46"/>
  <c r="R84" i="46"/>
  <c r="R85" i="46"/>
  <c r="R86" i="46"/>
  <c r="R87" i="46"/>
  <c r="R88" i="46"/>
  <c r="R89" i="46"/>
  <c r="R90" i="46"/>
  <c r="R91" i="46"/>
  <c r="R92" i="46"/>
  <c r="R93" i="46"/>
  <c r="R94" i="46"/>
  <c r="R95" i="46"/>
  <c r="R96" i="46"/>
  <c r="R97" i="46"/>
  <c r="R98" i="46"/>
  <c r="R99" i="46"/>
  <c r="R100" i="46"/>
  <c r="R101" i="46"/>
  <c r="R102" i="46"/>
  <c r="R103" i="46"/>
  <c r="R104" i="46"/>
  <c r="R105" i="46"/>
  <c r="R106" i="46"/>
  <c r="R107" i="46"/>
  <c r="R108" i="46"/>
  <c r="R109" i="46"/>
  <c r="R110" i="46"/>
  <c r="R111" i="46"/>
  <c r="R112" i="46"/>
  <c r="R113" i="46"/>
  <c r="R114" i="46"/>
  <c r="R115" i="46"/>
  <c r="R116" i="46"/>
  <c r="R117" i="46"/>
  <c r="R118" i="46"/>
  <c r="R119" i="46"/>
  <c r="R120" i="46"/>
  <c r="R121" i="46"/>
  <c r="R122" i="46"/>
  <c r="R123" i="46"/>
  <c r="R124" i="46"/>
  <c r="R125" i="46"/>
  <c r="R126" i="46"/>
  <c r="R127" i="46"/>
  <c r="R128" i="46"/>
  <c r="R129" i="46"/>
  <c r="R130" i="46"/>
  <c r="R131" i="46"/>
  <c r="R132" i="46"/>
  <c r="R133" i="46"/>
  <c r="R134" i="46"/>
  <c r="R135" i="46"/>
  <c r="R136" i="46"/>
  <c r="R137" i="46"/>
  <c r="R138" i="46"/>
  <c r="R139" i="46"/>
  <c r="R140" i="46"/>
  <c r="R141" i="46"/>
  <c r="R142" i="46"/>
  <c r="R143" i="46"/>
  <c r="R144" i="46"/>
  <c r="R145" i="46"/>
  <c r="R146" i="46"/>
  <c r="R147" i="46"/>
  <c r="R148" i="46"/>
  <c r="R149" i="46"/>
  <c r="R150" i="46"/>
  <c r="R151" i="46"/>
  <c r="R152" i="46"/>
  <c r="R153" i="46"/>
  <c r="R154" i="46"/>
  <c r="R155" i="46"/>
  <c r="R156" i="46"/>
  <c r="R157" i="46"/>
  <c r="R158" i="46"/>
  <c r="R159" i="46"/>
  <c r="R160" i="46"/>
  <c r="R161" i="46"/>
  <c r="R162" i="46"/>
  <c r="R163" i="46"/>
  <c r="R164" i="46"/>
  <c r="R165" i="46"/>
  <c r="R166" i="46"/>
  <c r="R167" i="46"/>
  <c r="R168" i="46"/>
  <c r="R169" i="46"/>
  <c r="R170" i="46"/>
  <c r="R171" i="46"/>
  <c r="R172" i="46"/>
  <c r="R173" i="46"/>
  <c r="R174" i="46"/>
  <c r="R175" i="46"/>
  <c r="R176" i="46"/>
  <c r="R177" i="46"/>
  <c r="R178" i="46"/>
  <c r="R179" i="46"/>
  <c r="R180" i="46"/>
  <c r="R181" i="46"/>
  <c r="R182" i="46"/>
  <c r="R183" i="46"/>
  <c r="R184" i="46"/>
  <c r="R185" i="46"/>
  <c r="R186" i="46"/>
  <c r="R187" i="46"/>
  <c r="R188" i="46"/>
  <c r="R189" i="46"/>
  <c r="R190" i="46"/>
  <c r="R191" i="46"/>
  <c r="R192" i="46"/>
  <c r="R193" i="46"/>
  <c r="R194" i="46"/>
  <c r="R195" i="46"/>
  <c r="R196" i="46"/>
  <c r="R197" i="46"/>
  <c r="R198" i="46"/>
  <c r="R199" i="46"/>
  <c r="R200" i="46"/>
  <c r="R201" i="46"/>
  <c r="R202" i="46"/>
  <c r="R203" i="46"/>
  <c r="R204" i="46"/>
  <c r="R205" i="46"/>
  <c r="R206" i="46"/>
  <c r="R207" i="46"/>
  <c r="R208" i="46"/>
  <c r="R209" i="46"/>
  <c r="R210" i="46"/>
  <c r="R211" i="46"/>
  <c r="R212" i="46"/>
  <c r="R213" i="46"/>
  <c r="R214" i="46"/>
  <c r="R215" i="46"/>
  <c r="R216" i="46"/>
  <c r="R217" i="46"/>
  <c r="R218" i="46"/>
  <c r="R219" i="46"/>
  <c r="R220" i="46"/>
  <c r="R221" i="46"/>
  <c r="R222" i="46"/>
  <c r="R223" i="46"/>
  <c r="R224" i="46"/>
  <c r="R225" i="46"/>
  <c r="R226" i="46"/>
  <c r="R227" i="46"/>
  <c r="R228" i="46"/>
  <c r="R229" i="46"/>
  <c r="R230" i="46"/>
  <c r="R231" i="46"/>
  <c r="R232" i="46"/>
  <c r="R233" i="46"/>
  <c r="R234" i="46"/>
  <c r="R235" i="46"/>
  <c r="R236" i="46"/>
  <c r="R237" i="46"/>
  <c r="R238" i="46"/>
  <c r="R239" i="46"/>
  <c r="R240" i="46"/>
  <c r="R241" i="46"/>
  <c r="R242" i="46"/>
  <c r="R243" i="46"/>
  <c r="R244" i="46"/>
  <c r="R245" i="46"/>
  <c r="R246" i="46"/>
  <c r="R247" i="46"/>
  <c r="R248" i="46"/>
  <c r="R249" i="46"/>
  <c r="R250" i="46"/>
  <c r="R251" i="46"/>
  <c r="R252" i="46"/>
  <c r="R253" i="46"/>
  <c r="R254" i="46"/>
  <c r="R255" i="46"/>
  <c r="R256" i="46"/>
  <c r="N13" i="46"/>
  <c r="N14" i="46"/>
  <c r="N15" i="46"/>
  <c r="N16" i="46"/>
  <c r="N17" i="46"/>
  <c r="N18" i="46"/>
  <c r="N19" i="46"/>
  <c r="N20" i="46"/>
  <c r="N21" i="46"/>
  <c r="N22" i="46"/>
  <c r="N23" i="46"/>
  <c r="N24" i="46"/>
  <c r="N25" i="46"/>
  <c r="N26" i="46"/>
  <c r="N27" i="46"/>
  <c r="N28" i="46"/>
  <c r="N29" i="46"/>
  <c r="N30" i="46"/>
  <c r="N31" i="46"/>
  <c r="N32" i="46"/>
  <c r="N33" i="46"/>
  <c r="N34" i="46"/>
  <c r="N35" i="46"/>
  <c r="N36" i="46"/>
  <c r="N37" i="46"/>
  <c r="N38" i="46"/>
  <c r="N39" i="46"/>
  <c r="N40" i="46"/>
  <c r="N41" i="46"/>
  <c r="N42" i="46"/>
  <c r="N43" i="46"/>
  <c r="N44" i="46"/>
  <c r="N45" i="46"/>
  <c r="N46" i="46"/>
  <c r="N47" i="46"/>
  <c r="N48" i="46"/>
  <c r="N49" i="46"/>
  <c r="N50" i="46"/>
  <c r="N51" i="46"/>
  <c r="N52" i="46"/>
  <c r="N53" i="46"/>
  <c r="N54" i="46"/>
  <c r="N55" i="46"/>
  <c r="N56" i="46"/>
  <c r="N57" i="46"/>
  <c r="N58" i="46"/>
  <c r="N59" i="46"/>
  <c r="N60" i="46"/>
  <c r="N61" i="46"/>
  <c r="N62" i="46"/>
  <c r="N63" i="46"/>
  <c r="N64" i="46"/>
  <c r="N65" i="46"/>
  <c r="N66" i="46"/>
  <c r="N67" i="46"/>
  <c r="N68" i="46"/>
  <c r="N69" i="46"/>
  <c r="N70" i="46"/>
  <c r="N71" i="46"/>
  <c r="N72" i="46"/>
  <c r="N73" i="46"/>
  <c r="N74" i="46"/>
  <c r="N75" i="46"/>
  <c r="N76" i="46"/>
  <c r="N77" i="46"/>
  <c r="N78" i="46"/>
  <c r="N79" i="46"/>
  <c r="N80" i="46"/>
  <c r="N81" i="46"/>
  <c r="N82" i="46"/>
  <c r="N83" i="46"/>
  <c r="N84" i="46"/>
  <c r="N85" i="46"/>
  <c r="N86" i="46"/>
  <c r="N87" i="46"/>
  <c r="N88" i="46"/>
  <c r="N89" i="46"/>
  <c r="N90" i="46"/>
  <c r="N91" i="46"/>
  <c r="N92" i="46"/>
  <c r="N93" i="46"/>
  <c r="N94" i="46"/>
  <c r="N95" i="46"/>
  <c r="N96" i="46"/>
  <c r="N97" i="46"/>
  <c r="N98" i="46"/>
  <c r="N99" i="46"/>
  <c r="N100" i="46"/>
  <c r="N101" i="46"/>
  <c r="N102" i="46"/>
  <c r="N103" i="46"/>
  <c r="N104" i="46"/>
  <c r="N105" i="46"/>
  <c r="N106" i="46"/>
  <c r="N107" i="46"/>
  <c r="N108" i="46"/>
  <c r="N109" i="46"/>
  <c r="N110" i="46"/>
  <c r="N111" i="46"/>
  <c r="N112" i="46"/>
  <c r="N113" i="46"/>
  <c r="N114" i="46"/>
  <c r="N115" i="46"/>
  <c r="N116" i="46"/>
  <c r="N117" i="46"/>
  <c r="N118" i="46"/>
  <c r="N119" i="46"/>
  <c r="N120" i="46"/>
  <c r="N121" i="46"/>
  <c r="N122" i="46"/>
  <c r="N123" i="46"/>
  <c r="N124" i="46"/>
  <c r="N125" i="46"/>
  <c r="N126" i="46"/>
  <c r="N127" i="46"/>
  <c r="N128" i="46"/>
  <c r="N129" i="46"/>
  <c r="N130" i="46"/>
  <c r="N131" i="46"/>
  <c r="N132" i="46"/>
  <c r="N133" i="46"/>
  <c r="N134" i="46"/>
  <c r="N135" i="46"/>
  <c r="N136" i="46"/>
  <c r="N137" i="46"/>
  <c r="N138" i="46"/>
  <c r="N139" i="46"/>
  <c r="N140" i="46"/>
  <c r="N141" i="46"/>
  <c r="N142" i="46"/>
  <c r="N143" i="46"/>
  <c r="N144" i="46"/>
  <c r="N145" i="46"/>
  <c r="N146" i="46"/>
  <c r="N147" i="46"/>
  <c r="N148" i="46"/>
  <c r="N149" i="46"/>
  <c r="N150" i="46"/>
  <c r="N151" i="46"/>
  <c r="N152" i="46"/>
  <c r="N153" i="46"/>
  <c r="N154" i="46"/>
  <c r="N155" i="46"/>
  <c r="N156" i="46"/>
  <c r="N157" i="46"/>
  <c r="N158" i="46"/>
  <c r="N159" i="46"/>
  <c r="N160" i="46"/>
  <c r="N161" i="46"/>
  <c r="N162" i="46"/>
  <c r="N163" i="46"/>
  <c r="N164" i="46"/>
  <c r="N165" i="46"/>
  <c r="N166" i="46"/>
  <c r="N167" i="46"/>
  <c r="N168" i="46"/>
  <c r="N169" i="46"/>
  <c r="N170" i="46"/>
  <c r="N171" i="46"/>
  <c r="N172" i="46"/>
  <c r="N173" i="46"/>
  <c r="N174" i="46"/>
  <c r="N175" i="46"/>
  <c r="N176" i="46"/>
  <c r="N177" i="46"/>
  <c r="N178" i="46"/>
  <c r="N179" i="46"/>
  <c r="N180" i="46"/>
  <c r="N181" i="46"/>
  <c r="N182" i="46"/>
  <c r="N183" i="46"/>
  <c r="N184" i="46"/>
  <c r="N185" i="46"/>
  <c r="N186" i="46"/>
  <c r="N187" i="46"/>
  <c r="N188" i="46"/>
  <c r="N189" i="46"/>
  <c r="N190" i="46"/>
  <c r="N191" i="46"/>
  <c r="N192" i="46"/>
  <c r="N193" i="46"/>
  <c r="N194" i="46"/>
  <c r="N195" i="46"/>
  <c r="N196" i="46"/>
  <c r="N197" i="46"/>
  <c r="N198" i="46"/>
  <c r="N199" i="46"/>
  <c r="N200" i="46"/>
  <c r="N201" i="46"/>
  <c r="N202" i="46"/>
  <c r="N203" i="46"/>
  <c r="N204" i="46"/>
  <c r="N205" i="46"/>
  <c r="N206" i="46"/>
  <c r="N207" i="46"/>
  <c r="N208" i="46"/>
  <c r="N209" i="46"/>
  <c r="N210" i="46"/>
  <c r="N211" i="46"/>
  <c r="N212" i="46"/>
  <c r="N213" i="46"/>
  <c r="N214" i="46"/>
  <c r="N215" i="46"/>
  <c r="N216" i="46"/>
  <c r="N217" i="46"/>
  <c r="N218" i="46"/>
  <c r="N219" i="46"/>
  <c r="N220" i="46"/>
  <c r="N221" i="46"/>
  <c r="N222" i="46"/>
  <c r="N223" i="46"/>
  <c r="N224" i="46"/>
  <c r="N225" i="46"/>
  <c r="N226" i="46"/>
  <c r="N227" i="46"/>
  <c r="N228" i="46"/>
  <c r="N229" i="46"/>
  <c r="N230" i="46"/>
  <c r="N231" i="46"/>
  <c r="N232" i="46"/>
  <c r="N233" i="46"/>
  <c r="N234" i="46"/>
  <c r="N235" i="46"/>
  <c r="N236" i="46"/>
  <c r="N237" i="46"/>
  <c r="N238" i="46"/>
  <c r="N239" i="46"/>
  <c r="N240" i="46"/>
  <c r="N241" i="46"/>
  <c r="N242" i="46"/>
  <c r="N243" i="46"/>
  <c r="N244" i="46"/>
  <c r="N245" i="46"/>
  <c r="N246" i="46"/>
  <c r="N247" i="46"/>
  <c r="N248" i="46"/>
  <c r="N249" i="46"/>
  <c r="N250" i="46"/>
  <c r="N251" i="46"/>
  <c r="N252" i="46"/>
  <c r="N253" i="46"/>
  <c r="N254" i="46"/>
  <c r="N255" i="46"/>
  <c r="N256" i="46"/>
  <c r="N12" i="46"/>
  <c r="N11" i="46"/>
  <c r="X258" i="11"/>
  <c r="X257" i="11"/>
  <c r="X21" i="11"/>
  <c r="X22" i="11"/>
  <c r="X23" i="11"/>
  <c r="X24" i="11"/>
  <c r="X25" i="11"/>
  <c r="X26" i="11"/>
  <c r="X27" i="11"/>
  <c r="X28" i="11"/>
  <c r="X29" i="11"/>
  <c r="X30" i="11"/>
  <c r="X31" i="11"/>
  <c r="X32" i="11"/>
  <c r="X33" i="11"/>
  <c r="X34" i="11"/>
  <c r="X35" i="11"/>
  <c r="X36" i="11"/>
  <c r="X37" i="11"/>
  <c r="X38" i="11"/>
  <c r="X39" i="11"/>
  <c r="X40" i="11"/>
  <c r="X41" i="11"/>
  <c r="X42" i="11"/>
  <c r="X43" i="11"/>
  <c r="X44" i="11"/>
  <c r="X45" i="11"/>
  <c r="X46" i="11"/>
  <c r="X47" i="11"/>
  <c r="X48" i="11"/>
  <c r="X49" i="11"/>
  <c r="X50" i="11"/>
  <c r="X51" i="11"/>
  <c r="X52" i="11"/>
  <c r="X53" i="11"/>
  <c r="X54" i="11"/>
  <c r="X55" i="11"/>
  <c r="X56" i="11"/>
  <c r="X57" i="11"/>
  <c r="X58" i="11"/>
  <c r="X59" i="11"/>
  <c r="X60" i="11"/>
  <c r="X61" i="11"/>
  <c r="X62" i="11"/>
  <c r="X63" i="11"/>
  <c r="X64" i="11"/>
  <c r="X65" i="11"/>
  <c r="X66" i="11"/>
  <c r="X67" i="11"/>
  <c r="X68" i="11"/>
  <c r="X69" i="11"/>
  <c r="X70" i="11"/>
  <c r="X71" i="11"/>
  <c r="X72" i="11"/>
  <c r="X73" i="11"/>
  <c r="X74" i="11"/>
  <c r="X75" i="11"/>
  <c r="X76" i="11"/>
  <c r="X77" i="11"/>
  <c r="X78" i="11"/>
  <c r="X79" i="11"/>
  <c r="X80" i="11"/>
  <c r="X81" i="11"/>
  <c r="X82" i="11"/>
  <c r="X83" i="11"/>
  <c r="X84" i="11"/>
  <c r="X85" i="11"/>
  <c r="X86" i="11"/>
  <c r="X87" i="11"/>
  <c r="X88" i="11"/>
  <c r="X89" i="11"/>
  <c r="X90" i="11"/>
  <c r="X91" i="11"/>
  <c r="X92" i="11"/>
  <c r="X93" i="11"/>
  <c r="X94" i="11"/>
  <c r="X95" i="11"/>
  <c r="X96" i="11"/>
  <c r="X97" i="11"/>
  <c r="X98" i="11"/>
  <c r="X99" i="11"/>
  <c r="X100" i="11"/>
  <c r="X101" i="11"/>
  <c r="X102" i="11"/>
  <c r="X103" i="11"/>
  <c r="X104" i="11"/>
  <c r="X105" i="11"/>
  <c r="X106" i="11"/>
  <c r="X107" i="11"/>
  <c r="X108" i="11"/>
  <c r="X109" i="11"/>
  <c r="X110" i="11"/>
  <c r="X111" i="11"/>
  <c r="X112" i="11"/>
  <c r="X113" i="11"/>
  <c r="X114" i="11"/>
  <c r="X115" i="11"/>
  <c r="X116" i="11"/>
  <c r="X117" i="11"/>
  <c r="X118" i="11"/>
  <c r="X119" i="11"/>
  <c r="X120" i="11"/>
  <c r="X121" i="11"/>
  <c r="X122" i="11"/>
  <c r="X123" i="11"/>
  <c r="X124" i="11"/>
  <c r="X125" i="11"/>
  <c r="X126" i="11"/>
  <c r="X127" i="11"/>
  <c r="X128" i="11"/>
  <c r="X129" i="11"/>
  <c r="X130" i="11"/>
  <c r="X131" i="11"/>
  <c r="X132" i="11"/>
  <c r="X133" i="11"/>
  <c r="X134" i="11"/>
  <c r="X135" i="11"/>
  <c r="X136" i="11"/>
  <c r="X137" i="11"/>
  <c r="X138" i="11"/>
  <c r="X139" i="11"/>
  <c r="X140" i="11"/>
  <c r="X141" i="11"/>
  <c r="X142" i="11"/>
  <c r="X143" i="11"/>
  <c r="X144" i="11"/>
  <c r="X145" i="11"/>
  <c r="X146" i="11"/>
  <c r="X147" i="11"/>
  <c r="X148" i="11"/>
  <c r="X149" i="11"/>
  <c r="X150" i="11"/>
  <c r="X151" i="11"/>
  <c r="X152" i="11"/>
  <c r="X153" i="11"/>
  <c r="X154" i="11"/>
  <c r="X155" i="11"/>
  <c r="X156" i="11"/>
  <c r="X157" i="11"/>
  <c r="X158" i="11"/>
  <c r="X159" i="11"/>
  <c r="X160" i="11"/>
  <c r="X161" i="11"/>
  <c r="X162" i="11"/>
  <c r="X163" i="11"/>
  <c r="X164" i="11"/>
  <c r="X165" i="11"/>
  <c r="X166" i="11"/>
  <c r="X167" i="11"/>
  <c r="X168" i="11"/>
  <c r="X169" i="11"/>
  <c r="X170" i="11"/>
  <c r="X171" i="11"/>
  <c r="X172" i="11"/>
  <c r="X173" i="11"/>
  <c r="X174" i="11"/>
  <c r="X175" i="11"/>
  <c r="X176" i="11"/>
  <c r="X177" i="11"/>
  <c r="X178" i="11"/>
  <c r="X179" i="11"/>
  <c r="X180" i="11"/>
  <c r="X181" i="11"/>
  <c r="X182" i="11"/>
  <c r="X183" i="11"/>
  <c r="X184" i="11"/>
  <c r="X185" i="11"/>
  <c r="X186" i="11"/>
  <c r="X187" i="11"/>
  <c r="X188" i="11"/>
  <c r="X189" i="11"/>
  <c r="X190" i="11"/>
  <c r="X191" i="11"/>
  <c r="X192" i="11"/>
  <c r="X193" i="11"/>
  <c r="X194" i="11"/>
  <c r="X195" i="11"/>
  <c r="X196" i="11"/>
  <c r="X197" i="11"/>
  <c r="X198" i="11"/>
  <c r="X199" i="11"/>
  <c r="X200" i="11"/>
  <c r="X201" i="11"/>
  <c r="X202" i="11"/>
  <c r="X203" i="11"/>
  <c r="X204" i="11"/>
  <c r="X205" i="11"/>
  <c r="X206" i="11"/>
  <c r="X207" i="11"/>
  <c r="X208" i="11"/>
  <c r="X209" i="11"/>
  <c r="X210" i="11"/>
  <c r="X211" i="11"/>
  <c r="X212" i="11"/>
  <c r="X213" i="11"/>
  <c r="X214" i="11"/>
  <c r="X215" i="11"/>
  <c r="X216" i="11"/>
  <c r="X217" i="11"/>
  <c r="X218" i="11"/>
  <c r="X219" i="11"/>
  <c r="X220" i="11"/>
  <c r="X221" i="11"/>
  <c r="X222" i="11"/>
  <c r="X223" i="11"/>
  <c r="X224" i="11"/>
  <c r="X225" i="11"/>
  <c r="X226" i="11"/>
  <c r="X227" i="11"/>
  <c r="X228" i="11"/>
  <c r="X229" i="11"/>
  <c r="X230" i="11"/>
  <c r="X231" i="11"/>
  <c r="X232" i="11"/>
  <c r="X233" i="11"/>
  <c r="X234" i="11"/>
  <c r="X235" i="11"/>
  <c r="X236" i="11"/>
  <c r="X237" i="11"/>
  <c r="X238" i="11"/>
  <c r="X239" i="11"/>
  <c r="X240" i="11"/>
  <c r="X241" i="11"/>
  <c r="X242" i="11"/>
  <c r="X243" i="11"/>
  <c r="X244" i="11"/>
  <c r="X245" i="11"/>
  <c r="X246" i="11"/>
  <c r="X247" i="11"/>
  <c r="X248" i="11"/>
  <c r="X249" i="11"/>
  <c r="X250" i="11"/>
  <c r="X251" i="11"/>
  <c r="X252" i="11"/>
  <c r="X253" i="11"/>
  <c r="X254" i="11"/>
  <c r="X255" i="11"/>
  <c r="X256" i="11"/>
  <c r="N257" i="11"/>
  <c r="N258" i="11"/>
  <c r="N11" i="11"/>
  <c r="AC257" i="32"/>
  <c r="AC14" i="32"/>
  <c r="AC15" i="32"/>
  <c r="AC16" i="32"/>
  <c r="AC17" i="32"/>
  <c r="AC18" i="32"/>
  <c r="AC19" i="32"/>
  <c r="AC20" i="32"/>
  <c r="AC21" i="32"/>
  <c r="AC22" i="32"/>
  <c r="AC23" i="32"/>
  <c r="AC24" i="32"/>
  <c r="AC25" i="32"/>
  <c r="AC26" i="32"/>
  <c r="AC27" i="32"/>
  <c r="AC28" i="32"/>
  <c r="AC29" i="32"/>
  <c r="AC30" i="32"/>
  <c r="AC31" i="32"/>
  <c r="AC32" i="32"/>
  <c r="AC33" i="32"/>
  <c r="AC34" i="32"/>
  <c r="AC35" i="32"/>
  <c r="AC36" i="32"/>
  <c r="AC37" i="32"/>
  <c r="AC38" i="32"/>
  <c r="AC39" i="32"/>
  <c r="AC40" i="32"/>
  <c r="AC41" i="32"/>
  <c r="AC42" i="32"/>
  <c r="AC43" i="32"/>
  <c r="AC44" i="32"/>
  <c r="AC45" i="32"/>
  <c r="AC46" i="32"/>
  <c r="AC47" i="32"/>
  <c r="AC48" i="32"/>
  <c r="AC49" i="32"/>
  <c r="AC50" i="32"/>
  <c r="AC51" i="32"/>
  <c r="AC52" i="32"/>
  <c r="AC53" i="32"/>
  <c r="AC54" i="32"/>
  <c r="AC55" i="32"/>
  <c r="AC56" i="32"/>
  <c r="AC57" i="32"/>
  <c r="AC58" i="32"/>
  <c r="AC59" i="32"/>
  <c r="AC60" i="32"/>
  <c r="AC61" i="32"/>
  <c r="AC62" i="32"/>
  <c r="AC63" i="32"/>
  <c r="AC64" i="32"/>
  <c r="AC65" i="32"/>
  <c r="AC66" i="32"/>
  <c r="AC67" i="32"/>
  <c r="AC68" i="32"/>
  <c r="AC69" i="32"/>
  <c r="AC70" i="32"/>
  <c r="AC71" i="32"/>
  <c r="AC72" i="32"/>
  <c r="AC73" i="32"/>
  <c r="AC74" i="32"/>
  <c r="AC75" i="32"/>
  <c r="AC76" i="32"/>
  <c r="AC77" i="32"/>
  <c r="AC78" i="32"/>
  <c r="AC79" i="32"/>
  <c r="AC80" i="32"/>
  <c r="AC81" i="32"/>
  <c r="AC82" i="32"/>
  <c r="AC83" i="32"/>
  <c r="AC84" i="32"/>
  <c r="AC85" i="32"/>
  <c r="AC86" i="32"/>
  <c r="AC87" i="32"/>
  <c r="AC88" i="32"/>
  <c r="AC89" i="32"/>
  <c r="AC90" i="32"/>
  <c r="AC91" i="32"/>
  <c r="AC92" i="32"/>
  <c r="AC93" i="32"/>
  <c r="AC94" i="32"/>
  <c r="AC95" i="32"/>
  <c r="AC96" i="32"/>
  <c r="AC97" i="32"/>
  <c r="AC98" i="32"/>
  <c r="AC99" i="32"/>
  <c r="AC100" i="32"/>
  <c r="AC101" i="32"/>
  <c r="AC102" i="32"/>
  <c r="AC103" i="32"/>
  <c r="AC104" i="32"/>
  <c r="AC105" i="32"/>
  <c r="AC106" i="32"/>
  <c r="AC107" i="32"/>
  <c r="AC108" i="32"/>
  <c r="AC109" i="32"/>
  <c r="AC110" i="32"/>
  <c r="AC111" i="32"/>
  <c r="AC112" i="32"/>
  <c r="AC113" i="32"/>
  <c r="AC114" i="32"/>
  <c r="AC115" i="32"/>
  <c r="AC116" i="32"/>
  <c r="AC117" i="32"/>
  <c r="AC118" i="32"/>
  <c r="AC119" i="32"/>
  <c r="AC120" i="32"/>
  <c r="AC121" i="32"/>
  <c r="AC122" i="32"/>
  <c r="AC123" i="32"/>
  <c r="AC124" i="32"/>
  <c r="AC125" i="32"/>
  <c r="AC126" i="32"/>
  <c r="AC127" i="32"/>
  <c r="AC128" i="32"/>
  <c r="AC129" i="32"/>
  <c r="AC130" i="32"/>
  <c r="AC131" i="32"/>
  <c r="AC132" i="32"/>
  <c r="AC133" i="32"/>
  <c r="AC134" i="32"/>
  <c r="AC135" i="32"/>
  <c r="AC136" i="32"/>
  <c r="AC137" i="32"/>
  <c r="AC138" i="32"/>
  <c r="AC139" i="32"/>
  <c r="AC140" i="32"/>
  <c r="AC141" i="32"/>
  <c r="AC142" i="32"/>
  <c r="AC143" i="32"/>
  <c r="AC144" i="32"/>
  <c r="AC145" i="32"/>
  <c r="AC146" i="32"/>
  <c r="AC147" i="32"/>
  <c r="AC148" i="32"/>
  <c r="AC149" i="32"/>
  <c r="AC150" i="32"/>
  <c r="AC151" i="32"/>
  <c r="AC152" i="32"/>
  <c r="AC153" i="32"/>
  <c r="AC154" i="32"/>
  <c r="AC155" i="32"/>
  <c r="AC156" i="32"/>
  <c r="AC157" i="32"/>
  <c r="AC158" i="32"/>
  <c r="AC159" i="32"/>
  <c r="AC160" i="32"/>
  <c r="AC161" i="32"/>
  <c r="AC162" i="32"/>
  <c r="AC163" i="32"/>
  <c r="AC164" i="32"/>
  <c r="AC165" i="32"/>
  <c r="AC166" i="32"/>
  <c r="AC167" i="32"/>
  <c r="AC168" i="32"/>
  <c r="AC169" i="32"/>
  <c r="AC170" i="32"/>
  <c r="AC171" i="32"/>
  <c r="AC172" i="32"/>
  <c r="AC173" i="32"/>
  <c r="AC174" i="32"/>
  <c r="AC175" i="32"/>
  <c r="AC176" i="32"/>
  <c r="AC177" i="32"/>
  <c r="AC178" i="32"/>
  <c r="AC179" i="32"/>
  <c r="AC180" i="32"/>
  <c r="AC181" i="32"/>
  <c r="AC182" i="32"/>
  <c r="AC183" i="32"/>
  <c r="AC184" i="32"/>
  <c r="AC185" i="32"/>
  <c r="AC186" i="32"/>
  <c r="AC187" i="32"/>
  <c r="AC188" i="32"/>
  <c r="AC189" i="32"/>
  <c r="AC190" i="32"/>
  <c r="AC191" i="32"/>
  <c r="AC192" i="32"/>
  <c r="AC193" i="32"/>
  <c r="AC194" i="32"/>
  <c r="AC195" i="32"/>
  <c r="AC196" i="32"/>
  <c r="AC197" i="32"/>
  <c r="AC198" i="32"/>
  <c r="AC199" i="32"/>
  <c r="AC200" i="32"/>
  <c r="AC201" i="32"/>
  <c r="AC202" i="32"/>
  <c r="AC203" i="32"/>
  <c r="AC204" i="32"/>
  <c r="AC205" i="32"/>
  <c r="AC206" i="32"/>
  <c r="AC207" i="32"/>
  <c r="AC208" i="32"/>
  <c r="AC209" i="32"/>
  <c r="AC210" i="32"/>
  <c r="AC211" i="32"/>
  <c r="AC212" i="32"/>
  <c r="AC213" i="32"/>
  <c r="AC214" i="32"/>
  <c r="AC215" i="32"/>
  <c r="AC216" i="32"/>
  <c r="AC217" i="32"/>
  <c r="AC218" i="32"/>
  <c r="AC219" i="32"/>
  <c r="AC220" i="32"/>
  <c r="AC221" i="32"/>
  <c r="AC222" i="32"/>
  <c r="AC223" i="32"/>
  <c r="AC224" i="32"/>
  <c r="AC225" i="32"/>
  <c r="AC226" i="32"/>
  <c r="AC227" i="32"/>
  <c r="AC228" i="32"/>
  <c r="AC229" i="32"/>
  <c r="AC230" i="32"/>
  <c r="AC231" i="32"/>
  <c r="AC232" i="32"/>
  <c r="AC233" i="32"/>
  <c r="AC234" i="32"/>
  <c r="AC235" i="32"/>
  <c r="AC236" i="32"/>
  <c r="AC237" i="32"/>
  <c r="AC238" i="32"/>
  <c r="AC239" i="32"/>
  <c r="AC240" i="32"/>
  <c r="AC241" i="32"/>
  <c r="AC242" i="32"/>
  <c r="AC243" i="32"/>
  <c r="AC244" i="32"/>
  <c r="AC245" i="32"/>
  <c r="AC246" i="32"/>
  <c r="AC247" i="32"/>
  <c r="AC248" i="32"/>
  <c r="AC249" i="32"/>
  <c r="AC250" i="32"/>
  <c r="AC251" i="32"/>
  <c r="AC252" i="32"/>
  <c r="AC253" i="32"/>
  <c r="AC254" i="32"/>
  <c r="AC255" i="32"/>
  <c r="AC256" i="32"/>
  <c r="AC13" i="32"/>
  <c r="AC12" i="32"/>
  <c r="AB13" i="32"/>
  <c r="AB14" i="32"/>
  <c r="AB15" i="32"/>
  <c r="AB16" i="32"/>
  <c r="AB17" i="32"/>
  <c r="AB18" i="32"/>
  <c r="AB19" i="32"/>
  <c r="AB20" i="32"/>
  <c r="AB21" i="32"/>
  <c r="AB22" i="32"/>
  <c r="AB23" i="32"/>
  <c r="AB24" i="32"/>
  <c r="AB25" i="32"/>
  <c r="AB26" i="32"/>
  <c r="AB27" i="32"/>
  <c r="AB28" i="32"/>
  <c r="AB29" i="32"/>
  <c r="AB30" i="32"/>
  <c r="AB31" i="32"/>
  <c r="AB32" i="32"/>
  <c r="AB33" i="32"/>
  <c r="AB34" i="32"/>
  <c r="AB35" i="32"/>
  <c r="AB36" i="32"/>
  <c r="AB37" i="32"/>
  <c r="AB38" i="32"/>
  <c r="AB39" i="32"/>
  <c r="AB40" i="32"/>
  <c r="AB41" i="32"/>
  <c r="AB42" i="32"/>
  <c r="AB43" i="32"/>
  <c r="AB44" i="32"/>
  <c r="AB45" i="32"/>
  <c r="AB46" i="32"/>
  <c r="AB47" i="32"/>
  <c r="AB48" i="32"/>
  <c r="AB49" i="32"/>
  <c r="AB50" i="32"/>
  <c r="AB51" i="32"/>
  <c r="AB52" i="32"/>
  <c r="AB53" i="32"/>
  <c r="AB54" i="32"/>
  <c r="AB55" i="32"/>
  <c r="AB56" i="32"/>
  <c r="AB57" i="32"/>
  <c r="AB58" i="32"/>
  <c r="AB59" i="32"/>
  <c r="AB60" i="32"/>
  <c r="AB61" i="32"/>
  <c r="AB62" i="32"/>
  <c r="AB63" i="32"/>
  <c r="AB64" i="32"/>
  <c r="AB65" i="32"/>
  <c r="AB66" i="32"/>
  <c r="AB67" i="32"/>
  <c r="AB68" i="32"/>
  <c r="AB69" i="32"/>
  <c r="AB70" i="32"/>
  <c r="AB71" i="32"/>
  <c r="AB72" i="32"/>
  <c r="AB73" i="32"/>
  <c r="AB74" i="32"/>
  <c r="AB75" i="32"/>
  <c r="AB76" i="32"/>
  <c r="AB77" i="32"/>
  <c r="AB78" i="32"/>
  <c r="AB79" i="32"/>
  <c r="AB80" i="32"/>
  <c r="AB81" i="32"/>
  <c r="AB82" i="32"/>
  <c r="AB83" i="32"/>
  <c r="AB84" i="32"/>
  <c r="AB85" i="32"/>
  <c r="AB86" i="32"/>
  <c r="AB87" i="32"/>
  <c r="AB88" i="32"/>
  <c r="AB89" i="32"/>
  <c r="AB90" i="32"/>
  <c r="AB91" i="32"/>
  <c r="AB92" i="32"/>
  <c r="AB93" i="32"/>
  <c r="AB94" i="32"/>
  <c r="AB95" i="32"/>
  <c r="AB96" i="32"/>
  <c r="AB97" i="32"/>
  <c r="AB98" i="32"/>
  <c r="AB99" i="32"/>
  <c r="AB100" i="32"/>
  <c r="AB101" i="32"/>
  <c r="AB102" i="32"/>
  <c r="AB103" i="32"/>
  <c r="AB104" i="32"/>
  <c r="AB105" i="32"/>
  <c r="AB106" i="32"/>
  <c r="AB107" i="32"/>
  <c r="AB108" i="32"/>
  <c r="AB109" i="32"/>
  <c r="AB110" i="32"/>
  <c r="AB111" i="32"/>
  <c r="AB112" i="32"/>
  <c r="AB113" i="32"/>
  <c r="AB114" i="32"/>
  <c r="AB115" i="32"/>
  <c r="AB116" i="32"/>
  <c r="AB117" i="32"/>
  <c r="AB118" i="32"/>
  <c r="AB119" i="32"/>
  <c r="AB120" i="32"/>
  <c r="AB121" i="32"/>
  <c r="AB122" i="32"/>
  <c r="AB123" i="32"/>
  <c r="AB124" i="32"/>
  <c r="AB125" i="32"/>
  <c r="AB126" i="32"/>
  <c r="AB127" i="32"/>
  <c r="AB128" i="32"/>
  <c r="AB129" i="32"/>
  <c r="AB130" i="32"/>
  <c r="AB131" i="32"/>
  <c r="AB132" i="32"/>
  <c r="AB133" i="32"/>
  <c r="AB134" i="32"/>
  <c r="AB135" i="32"/>
  <c r="AB136" i="32"/>
  <c r="AB137" i="32"/>
  <c r="AB138" i="32"/>
  <c r="AB139" i="32"/>
  <c r="AB140" i="32"/>
  <c r="AB141" i="32"/>
  <c r="AB142" i="32"/>
  <c r="AB143" i="32"/>
  <c r="AB144" i="32"/>
  <c r="AB145" i="32"/>
  <c r="AB146" i="32"/>
  <c r="AB147" i="32"/>
  <c r="AB148" i="32"/>
  <c r="AB149" i="32"/>
  <c r="AB150" i="32"/>
  <c r="AB151" i="32"/>
  <c r="AB152" i="32"/>
  <c r="AB153" i="32"/>
  <c r="AB154" i="32"/>
  <c r="AB155" i="32"/>
  <c r="AB156" i="32"/>
  <c r="AB157" i="32"/>
  <c r="AB158" i="32"/>
  <c r="AB159" i="32"/>
  <c r="AB160" i="32"/>
  <c r="AB161" i="32"/>
  <c r="AB162" i="32"/>
  <c r="AB163" i="32"/>
  <c r="AB164" i="32"/>
  <c r="AB165" i="32"/>
  <c r="AB166" i="32"/>
  <c r="AB167" i="32"/>
  <c r="AB168" i="32"/>
  <c r="AB169" i="32"/>
  <c r="AB170" i="32"/>
  <c r="AB171" i="32"/>
  <c r="AB172" i="32"/>
  <c r="AB173" i="32"/>
  <c r="AB174" i="32"/>
  <c r="AB175" i="32"/>
  <c r="AB176" i="32"/>
  <c r="AB177" i="32"/>
  <c r="AB178" i="32"/>
  <c r="AB179" i="32"/>
  <c r="AB180" i="32"/>
  <c r="AB181" i="32"/>
  <c r="AB182" i="32"/>
  <c r="AB183" i="32"/>
  <c r="AB184" i="32"/>
  <c r="AB185" i="32"/>
  <c r="AB186" i="32"/>
  <c r="AB187" i="32"/>
  <c r="AB188" i="32"/>
  <c r="AB189" i="32"/>
  <c r="AB190" i="32"/>
  <c r="AB191" i="32"/>
  <c r="AB192" i="32"/>
  <c r="AB193" i="32"/>
  <c r="AB194" i="32"/>
  <c r="AB195" i="32"/>
  <c r="AB196" i="32"/>
  <c r="AB197" i="32"/>
  <c r="AB198" i="32"/>
  <c r="AB199" i="32"/>
  <c r="AB200" i="32"/>
  <c r="AB201" i="32"/>
  <c r="AB202" i="32"/>
  <c r="AB203" i="32"/>
  <c r="AB204" i="32"/>
  <c r="AB205" i="32"/>
  <c r="AB206" i="32"/>
  <c r="AB207" i="32"/>
  <c r="AB208" i="32"/>
  <c r="AB209" i="32"/>
  <c r="AB210" i="32"/>
  <c r="AB211" i="32"/>
  <c r="AB212" i="32"/>
  <c r="AB213" i="32"/>
  <c r="AB214" i="32"/>
  <c r="AB215" i="32"/>
  <c r="AB216" i="32"/>
  <c r="AB217" i="32"/>
  <c r="AB218" i="32"/>
  <c r="AB219" i="32"/>
  <c r="AB220" i="32"/>
  <c r="AB221" i="32"/>
  <c r="AB222" i="32"/>
  <c r="AB223" i="32"/>
  <c r="AB224" i="32"/>
  <c r="AB225" i="32"/>
  <c r="AB226" i="32"/>
  <c r="AB227" i="32"/>
  <c r="AB228" i="32"/>
  <c r="AB229" i="32"/>
  <c r="AB230" i="32"/>
  <c r="AB231" i="32"/>
  <c r="AB232" i="32"/>
  <c r="AB233" i="32"/>
  <c r="AB234" i="32"/>
  <c r="AB235" i="32"/>
  <c r="AB236" i="32"/>
  <c r="AB237" i="32"/>
  <c r="AB238" i="32"/>
  <c r="AB239" i="32"/>
  <c r="AB240" i="32"/>
  <c r="AB241" i="32"/>
  <c r="AB242" i="32"/>
  <c r="AB243" i="32"/>
  <c r="AB244" i="32"/>
  <c r="AB245" i="32"/>
  <c r="AB246" i="32"/>
  <c r="AB247" i="32"/>
  <c r="AB248" i="32"/>
  <c r="AB249" i="32"/>
  <c r="AB250" i="32"/>
  <c r="AB251" i="32"/>
  <c r="AB252" i="32"/>
  <c r="AB253" i="32"/>
  <c r="AB254" i="32"/>
  <c r="AB255" i="32"/>
  <c r="AB256" i="32"/>
  <c r="AB257" i="32"/>
  <c r="O13" i="11"/>
  <c r="O14" i="11"/>
  <c r="O15" i="11"/>
  <c r="O16" i="11"/>
  <c r="O17" i="11"/>
  <c r="O18" i="11"/>
  <c r="O19" i="11"/>
  <c r="O20" i="11"/>
  <c r="O21" i="11"/>
  <c r="O22" i="11"/>
  <c r="O23" i="11"/>
  <c r="O24" i="11"/>
  <c r="O25" i="11"/>
  <c r="O26" i="11"/>
  <c r="O27" i="11"/>
  <c r="O28" i="11"/>
  <c r="O29" i="11"/>
  <c r="O30" i="11"/>
  <c r="O31" i="11"/>
  <c r="O32" i="11"/>
  <c r="O33" i="11"/>
  <c r="O34" i="11"/>
  <c r="O35" i="11"/>
  <c r="O36" i="11"/>
  <c r="O37" i="11"/>
  <c r="O38" i="11"/>
  <c r="O39" i="11"/>
  <c r="O40" i="11"/>
  <c r="O41" i="11"/>
  <c r="O42" i="11"/>
  <c r="O43" i="11"/>
  <c r="O44" i="11"/>
  <c r="O45" i="11"/>
  <c r="O46" i="11"/>
  <c r="O47" i="11"/>
  <c r="O48" i="11"/>
  <c r="O49" i="11"/>
  <c r="O50" i="11"/>
  <c r="O51" i="11"/>
  <c r="O52" i="11"/>
  <c r="O53" i="11"/>
  <c r="O54" i="11"/>
  <c r="O55" i="11"/>
  <c r="O56" i="11"/>
  <c r="O57" i="11"/>
  <c r="O58" i="11"/>
  <c r="O59" i="11"/>
  <c r="O60" i="11"/>
  <c r="O61" i="11"/>
  <c r="O62" i="11"/>
  <c r="O63" i="11"/>
  <c r="O64" i="11"/>
  <c r="O65" i="11"/>
  <c r="O66" i="11"/>
  <c r="O67" i="11"/>
  <c r="O68" i="11"/>
  <c r="O69" i="11"/>
  <c r="O70" i="11"/>
  <c r="O71" i="11"/>
  <c r="O72" i="11"/>
  <c r="O73" i="11"/>
  <c r="O74" i="11"/>
  <c r="O75" i="11"/>
  <c r="O76" i="11"/>
  <c r="O77" i="11"/>
  <c r="O78" i="11"/>
  <c r="O79" i="11"/>
  <c r="O80" i="11"/>
  <c r="O81" i="11"/>
  <c r="O82" i="11"/>
  <c r="O83" i="11"/>
  <c r="O84" i="11"/>
  <c r="O85" i="11"/>
  <c r="O86" i="11"/>
  <c r="O87" i="11"/>
  <c r="O88" i="11"/>
  <c r="O89" i="11"/>
  <c r="O90" i="11"/>
  <c r="O91" i="11"/>
  <c r="O92" i="11"/>
  <c r="O93" i="11"/>
  <c r="O94" i="11"/>
  <c r="O95" i="11"/>
  <c r="O96" i="11"/>
  <c r="O97" i="11"/>
  <c r="O98" i="11"/>
  <c r="O99" i="11"/>
  <c r="O100" i="11"/>
  <c r="O12" i="11"/>
  <c r="O11" i="11"/>
  <c r="G257" i="46" l="1"/>
  <c r="H259" i="11"/>
  <c r="G11" i="11"/>
  <c r="C140" i="72"/>
  <c r="B140" i="72"/>
  <c r="V9" i="78"/>
  <c r="T9" i="78"/>
  <c r="A51" i="28" l="1"/>
  <c r="AE40" i="65" l="1"/>
  <c r="I73" i="99"/>
  <c r="G13" i="58"/>
  <c r="G14" i="58"/>
  <c r="G15" i="58"/>
  <c r="G16" i="58"/>
  <c r="G17" i="58"/>
  <c r="G18" i="58"/>
  <c r="G19" i="58"/>
  <c r="G20" i="58"/>
  <c r="G21" i="58"/>
  <c r="G22" i="58"/>
  <c r="G23" i="58"/>
  <c r="G24" i="58"/>
  <c r="G25" i="58"/>
  <c r="G26" i="58"/>
  <c r="G27" i="58"/>
  <c r="G28" i="58"/>
  <c r="G29" i="58"/>
  <c r="G30" i="58"/>
  <c r="G31" i="58"/>
  <c r="G32" i="58"/>
  <c r="G33" i="58"/>
  <c r="G34" i="58"/>
  <c r="G35" i="58"/>
  <c r="G36" i="58"/>
  <c r="G37" i="58"/>
  <c r="G38" i="58"/>
  <c r="G39" i="58"/>
  <c r="G40" i="58"/>
  <c r="G41" i="58"/>
  <c r="G42" i="58"/>
  <c r="G43" i="58"/>
  <c r="G44" i="58"/>
  <c r="G45" i="58"/>
  <c r="G46" i="58"/>
  <c r="G47" i="58"/>
  <c r="G48" i="58"/>
  <c r="G49" i="58"/>
  <c r="G50" i="58"/>
  <c r="G51" i="58"/>
  <c r="G52" i="58"/>
  <c r="G53" i="58"/>
  <c r="G54" i="58"/>
  <c r="G55" i="58"/>
  <c r="G56" i="58"/>
  <c r="G57" i="58"/>
  <c r="G58" i="58"/>
  <c r="G59" i="58"/>
  <c r="G60" i="58"/>
  <c r="G61" i="58"/>
  <c r="G62" i="58"/>
  <c r="G63" i="58"/>
  <c r="G64" i="58"/>
  <c r="G65" i="58"/>
  <c r="G66" i="58"/>
  <c r="G67" i="58"/>
  <c r="G68" i="58"/>
  <c r="G69" i="58"/>
  <c r="G70" i="58"/>
  <c r="G71" i="58"/>
  <c r="G72" i="58"/>
  <c r="G73" i="58"/>
  <c r="G74" i="58"/>
  <c r="G75" i="58"/>
  <c r="G76" i="58"/>
  <c r="G77" i="58"/>
  <c r="G78" i="58"/>
  <c r="G79" i="58"/>
  <c r="G80" i="58"/>
  <c r="G81" i="58"/>
  <c r="G82" i="58"/>
  <c r="G83" i="58"/>
  <c r="G84" i="58"/>
  <c r="G85" i="58"/>
  <c r="G86" i="58"/>
  <c r="G87" i="58"/>
  <c r="G88" i="58"/>
  <c r="G89" i="58"/>
  <c r="G90" i="58"/>
  <c r="G91" i="58"/>
  <c r="G92" i="58"/>
  <c r="G93" i="58"/>
  <c r="G94" i="58"/>
  <c r="G95" i="58"/>
  <c r="G96" i="58"/>
  <c r="G97" i="58"/>
  <c r="G98" i="58"/>
  <c r="G99" i="58"/>
  <c r="G100" i="58"/>
  <c r="G101" i="58"/>
  <c r="G102" i="58"/>
  <c r="G103" i="58"/>
  <c r="G104" i="58"/>
  <c r="G105" i="58"/>
  <c r="G106" i="58"/>
  <c r="G107" i="58"/>
  <c r="G108" i="58"/>
  <c r="G109" i="58"/>
  <c r="G110" i="58"/>
  <c r="G111" i="58"/>
  <c r="G112" i="58"/>
  <c r="G113" i="58"/>
  <c r="G114" i="58"/>
  <c r="G115" i="58"/>
  <c r="G116" i="58"/>
  <c r="G117" i="58"/>
  <c r="G118" i="58"/>
  <c r="G119" i="58"/>
  <c r="G120" i="58"/>
  <c r="G121" i="58"/>
  <c r="G122" i="58"/>
  <c r="G123" i="58"/>
  <c r="G124" i="58"/>
  <c r="G125" i="58"/>
  <c r="G126" i="58"/>
  <c r="G127" i="58"/>
  <c r="G128" i="58"/>
  <c r="G129" i="58"/>
  <c r="G130" i="58"/>
  <c r="G131" i="58"/>
  <c r="G132" i="58"/>
  <c r="G133" i="58"/>
  <c r="G134" i="58"/>
  <c r="G135" i="58"/>
  <c r="G136" i="58"/>
  <c r="G137" i="58"/>
  <c r="G138" i="58"/>
  <c r="G139" i="58"/>
  <c r="G140" i="58"/>
  <c r="G141" i="58"/>
  <c r="G142" i="58"/>
  <c r="G143" i="58"/>
  <c r="G144" i="58"/>
  <c r="G145" i="58"/>
  <c r="G146" i="58"/>
  <c r="G147" i="58"/>
  <c r="G148" i="58"/>
  <c r="G149" i="58"/>
  <c r="G150" i="58"/>
  <c r="G151" i="58"/>
  <c r="G152" i="58"/>
  <c r="G153" i="58"/>
  <c r="G154" i="58"/>
  <c r="G155" i="58"/>
  <c r="G156" i="58"/>
  <c r="G157" i="58"/>
  <c r="G158" i="58"/>
  <c r="G159" i="58"/>
  <c r="G160" i="58"/>
  <c r="G161" i="58"/>
  <c r="G162" i="58"/>
  <c r="G163" i="58"/>
  <c r="G164" i="58"/>
  <c r="G165" i="58"/>
  <c r="G166" i="58"/>
  <c r="G167" i="58"/>
  <c r="G168" i="58"/>
  <c r="G169" i="58"/>
  <c r="G170" i="58"/>
  <c r="G171" i="58"/>
  <c r="G172" i="58"/>
  <c r="G173" i="58"/>
  <c r="G174" i="58"/>
  <c r="G175" i="58"/>
  <c r="G176" i="58"/>
  <c r="G177" i="58"/>
  <c r="G178" i="58"/>
  <c r="G179" i="58"/>
  <c r="G180" i="58"/>
  <c r="G181" i="58"/>
  <c r="G182" i="58"/>
  <c r="G183" i="58"/>
  <c r="G184" i="58"/>
  <c r="G185" i="58"/>
  <c r="G186" i="58"/>
  <c r="G187" i="58"/>
  <c r="G188" i="58"/>
  <c r="G189" i="58"/>
  <c r="G190" i="58"/>
  <c r="G191" i="58"/>
  <c r="G192" i="58"/>
  <c r="G193" i="58"/>
  <c r="G194" i="58"/>
  <c r="G195" i="58"/>
  <c r="G196" i="58"/>
  <c r="G197" i="58"/>
  <c r="G198" i="58"/>
  <c r="G199" i="58"/>
  <c r="G200" i="58"/>
  <c r="G201" i="58"/>
  <c r="G202" i="58"/>
  <c r="G203" i="58"/>
  <c r="G204" i="58"/>
  <c r="G205" i="58"/>
  <c r="G206" i="58"/>
  <c r="G207" i="58"/>
  <c r="G208" i="58"/>
  <c r="G209" i="58"/>
  <c r="G210" i="58"/>
  <c r="G211" i="58"/>
  <c r="G212" i="58"/>
  <c r="G213" i="58"/>
  <c r="G214" i="58"/>
  <c r="G215" i="58"/>
  <c r="G216" i="58"/>
  <c r="G217" i="58"/>
  <c r="G218" i="58"/>
  <c r="G219" i="58"/>
  <c r="G220" i="58"/>
  <c r="G221" i="58"/>
  <c r="G222" i="58"/>
  <c r="G223" i="58"/>
  <c r="G224" i="58"/>
  <c r="G225" i="58"/>
  <c r="G226" i="58"/>
  <c r="G227" i="58"/>
  <c r="G228" i="58"/>
  <c r="G229" i="58"/>
  <c r="G230" i="58"/>
  <c r="G231" i="58"/>
  <c r="G232" i="58"/>
  <c r="G233" i="58"/>
  <c r="G234" i="58"/>
  <c r="G235" i="58"/>
  <c r="G236" i="58"/>
  <c r="G237" i="58"/>
  <c r="G238" i="58"/>
  <c r="G239" i="58"/>
  <c r="G240" i="58"/>
  <c r="G241" i="58"/>
  <c r="G242" i="58"/>
  <c r="G243" i="58"/>
  <c r="G244" i="58"/>
  <c r="G245" i="58"/>
  <c r="G246" i="58"/>
  <c r="G247" i="58"/>
  <c r="G248" i="58"/>
  <c r="G249" i="58"/>
  <c r="G250" i="58"/>
  <c r="G251" i="58"/>
  <c r="G252" i="58"/>
  <c r="G253" i="58"/>
  <c r="G254" i="58"/>
  <c r="G255" i="58"/>
  <c r="G256" i="58"/>
  <c r="G257" i="58"/>
  <c r="G258" i="58"/>
  <c r="G259" i="58"/>
  <c r="G12" i="58"/>
  <c r="F12" i="58"/>
  <c r="I12" i="58" s="1"/>
  <c r="G13" i="42"/>
  <c r="G14" i="42"/>
  <c r="G15" i="42"/>
  <c r="G16" i="42"/>
  <c r="G17" i="42"/>
  <c r="G18" i="42"/>
  <c r="G19" i="42"/>
  <c r="G20" i="42"/>
  <c r="G21" i="42"/>
  <c r="G22" i="42"/>
  <c r="G23" i="42"/>
  <c r="G24" i="42"/>
  <c r="G25" i="42"/>
  <c r="G26" i="42"/>
  <c r="G27" i="42"/>
  <c r="G28" i="42"/>
  <c r="G29" i="42"/>
  <c r="G30" i="42"/>
  <c r="G31" i="42"/>
  <c r="G32" i="42"/>
  <c r="G33" i="42"/>
  <c r="G34" i="42"/>
  <c r="G35" i="42"/>
  <c r="G36" i="42"/>
  <c r="G37" i="42"/>
  <c r="G38" i="42"/>
  <c r="G39" i="42"/>
  <c r="G40" i="42"/>
  <c r="G41" i="42"/>
  <c r="G42" i="42"/>
  <c r="G43" i="42"/>
  <c r="G44" i="42"/>
  <c r="G45" i="42"/>
  <c r="G46" i="42"/>
  <c r="G47" i="42"/>
  <c r="G48" i="42"/>
  <c r="G49" i="42"/>
  <c r="G50" i="42"/>
  <c r="G51" i="42"/>
  <c r="G52" i="42"/>
  <c r="G53" i="42"/>
  <c r="G54" i="42"/>
  <c r="G55" i="42"/>
  <c r="G56" i="42"/>
  <c r="G57" i="42"/>
  <c r="G58" i="42"/>
  <c r="G59" i="42"/>
  <c r="G60" i="42"/>
  <c r="G61" i="42"/>
  <c r="G62" i="42"/>
  <c r="G63" i="42"/>
  <c r="G64" i="42"/>
  <c r="G65" i="42"/>
  <c r="G66" i="42"/>
  <c r="G67" i="42"/>
  <c r="G68" i="42"/>
  <c r="G69" i="42"/>
  <c r="G70" i="42"/>
  <c r="G71" i="42"/>
  <c r="G72" i="42"/>
  <c r="G73" i="42"/>
  <c r="G74" i="42"/>
  <c r="G75" i="42"/>
  <c r="G76" i="42"/>
  <c r="G77" i="42"/>
  <c r="G78" i="42"/>
  <c r="G79" i="42"/>
  <c r="G80" i="42"/>
  <c r="G81" i="42"/>
  <c r="G82" i="42"/>
  <c r="G83" i="42"/>
  <c r="G84" i="42"/>
  <c r="G85" i="42"/>
  <c r="G86" i="42"/>
  <c r="G87" i="42"/>
  <c r="G88" i="42"/>
  <c r="G89" i="42"/>
  <c r="G90" i="42"/>
  <c r="G91" i="42"/>
  <c r="G92" i="42"/>
  <c r="G93" i="42"/>
  <c r="G94" i="42"/>
  <c r="G95" i="42"/>
  <c r="G96" i="42"/>
  <c r="G97" i="42"/>
  <c r="G98" i="42"/>
  <c r="G99" i="42"/>
  <c r="G100" i="42"/>
  <c r="G101" i="42"/>
  <c r="G102" i="42"/>
  <c r="G103" i="42"/>
  <c r="G104" i="42"/>
  <c r="G105" i="42"/>
  <c r="G106" i="42"/>
  <c r="G107" i="42"/>
  <c r="G108" i="42"/>
  <c r="G109" i="42"/>
  <c r="G110" i="42"/>
  <c r="G111" i="42"/>
  <c r="G112" i="42"/>
  <c r="G113" i="42"/>
  <c r="G114" i="42"/>
  <c r="G115" i="42"/>
  <c r="G116" i="42"/>
  <c r="G117" i="42"/>
  <c r="G118" i="42"/>
  <c r="G119" i="42"/>
  <c r="G120" i="42"/>
  <c r="G121" i="42"/>
  <c r="G122" i="42"/>
  <c r="G123" i="42"/>
  <c r="G124" i="42"/>
  <c r="G125" i="42"/>
  <c r="G126" i="42"/>
  <c r="G127" i="42"/>
  <c r="G128" i="42"/>
  <c r="G129" i="42"/>
  <c r="G130" i="42"/>
  <c r="G131" i="42"/>
  <c r="G132" i="42"/>
  <c r="G133" i="42"/>
  <c r="G134" i="42"/>
  <c r="G135" i="42"/>
  <c r="G136" i="42"/>
  <c r="G137" i="42"/>
  <c r="G138" i="42"/>
  <c r="G139" i="42"/>
  <c r="G140" i="42"/>
  <c r="G141" i="42"/>
  <c r="G142" i="42"/>
  <c r="G143" i="42"/>
  <c r="G144" i="42"/>
  <c r="G145" i="42"/>
  <c r="G146" i="42"/>
  <c r="G147" i="42"/>
  <c r="G148" i="42"/>
  <c r="G149" i="42"/>
  <c r="G150" i="42"/>
  <c r="G151" i="42"/>
  <c r="G152" i="42"/>
  <c r="G153" i="42"/>
  <c r="G154" i="42"/>
  <c r="G155" i="42"/>
  <c r="G156" i="42"/>
  <c r="G157" i="42"/>
  <c r="G158" i="42"/>
  <c r="G159" i="42"/>
  <c r="G160" i="42"/>
  <c r="G161" i="42"/>
  <c r="G162" i="42"/>
  <c r="G163" i="42"/>
  <c r="G164" i="42"/>
  <c r="G165" i="42"/>
  <c r="G166" i="42"/>
  <c r="G167" i="42"/>
  <c r="G168" i="42"/>
  <c r="G169" i="42"/>
  <c r="G170" i="42"/>
  <c r="G171" i="42"/>
  <c r="G172" i="42"/>
  <c r="G173" i="42"/>
  <c r="G174" i="42"/>
  <c r="G175" i="42"/>
  <c r="G176" i="42"/>
  <c r="G177" i="42"/>
  <c r="G178" i="42"/>
  <c r="G179" i="42"/>
  <c r="G180" i="42"/>
  <c r="G181" i="42"/>
  <c r="G182" i="42"/>
  <c r="G183" i="42"/>
  <c r="G184" i="42"/>
  <c r="G185" i="42"/>
  <c r="G186" i="42"/>
  <c r="G187" i="42"/>
  <c r="G188" i="42"/>
  <c r="G189" i="42"/>
  <c r="G190" i="42"/>
  <c r="G191" i="42"/>
  <c r="G192" i="42"/>
  <c r="G193" i="42"/>
  <c r="G194" i="42"/>
  <c r="G195" i="42"/>
  <c r="G196" i="42"/>
  <c r="G197" i="42"/>
  <c r="G198" i="42"/>
  <c r="G199" i="42"/>
  <c r="G200" i="42"/>
  <c r="G201" i="42"/>
  <c r="G202" i="42"/>
  <c r="G203" i="42"/>
  <c r="G204" i="42"/>
  <c r="G205" i="42"/>
  <c r="G206" i="42"/>
  <c r="G207" i="42"/>
  <c r="G208" i="42"/>
  <c r="G209" i="42"/>
  <c r="G210" i="42"/>
  <c r="G211" i="42"/>
  <c r="G212" i="42"/>
  <c r="G213" i="42"/>
  <c r="G214" i="42"/>
  <c r="G215" i="42"/>
  <c r="G216" i="42"/>
  <c r="G217" i="42"/>
  <c r="G218" i="42"/>
  <c r="G219" i="42"/>
  <c r="G220" i="42"/>
  <c r="G221" i="42"/>
  <c r="G222" i="42"/>
  <c r="G223" i="42"/>
  <c r="G224" i="42"/>
  <c r="G225" i="42"/>
  <c r="G226" i="42"/>
  <c r="G227" i="42"/>
  <c r="G228" i="42"/>
  <c r="G229" i="42"/>
  <c r="G230" i="42"/>
  <c r="G231" i="42"/>
  <c r="G232" i="42"/>
  <c r="G233" i="42"/>
  <c r="G234" i="42"/>
  <c r="G235" i="42"/>
  <c r="G236" i="42"/>
  <c r="G237" i="42"/>
  <c r="G238" i="42"/>
  <c r="G239" i="42"/>
  <c r="G240" i="42"/>
  <c r="G241" i="42"/>
  <c r="G242" i="42"/>
  <c r="G243" i="42"/>
  <c r="G244" i="42"/>
  <c r="G245" i="42"/>
  <c r="G246" i="42"/>
  <c r="G247" i="42"/>
  <c r="G248" i="42"/>
  <c r="G249" i="42"/>
  <c r="G250" i="42"/>
  <c r="G251" i="42"/>
  <c r="G252" i="42"/>
  <c r="G253" i="42"/>
  <c r="G254" i="42"/>
  <c r="G255" i="42"/>
  <c r="G256" i="42"/>
  <c r="G257" i="42"/>
  <c r="G258" i="42"/>
  <c r="G259" i="42"/>
  <c r="G12" i="42"/>
  <c r="F12" i="42"/>
  <c r="G11" i="55"/>
  <c r="G12" i="55"/>
  <c r="G13" i="55"/>
  <c r="G14" i="55"/>
  <c r="G15" i="55"/>
  <c r="G16" i="55"/>
  <c r="G17" i="55"/>
  <c r="G18" i="55"/>
  <c r="G19" i="55"/>
  <c r="G20" i="55"/>
  <c r="G21" i="55"/>
  <c r="G22" i="55"/>
  <c r="G23" i="55"/>
  <c r="G24" i="55"/>
  <c r="G25" i="55"/>
  <c r="G26" i="55"/>
  <c r="G27" i="55"/>
  <c r="G28" i="55"/>
  <c r="G29" i="55"/>
  <c r="G30" i="55"/>
  <c r="G31" i="55"/>
  <c r="G32" i="55"/>
  <c r="G33" i="55"/>
  <c r="G34" i="55"/>
  <c r="G35" i="55"/>
  <c r="G36" i="55"/>
  <c r="G37" i="55"/>
  <c r="G38" i="55"/>
  <c r="G39" i="55"/>
  <c r="G40" i="55"/>
  <c r="G41" i="55"/>
  <c r="G42" i="55"/>
  <c r="G43" i="55"/>
  <c r="G44" i="55"/>
  <c r="G45" i="55"/>
  <c r="G46" i="55"/>
  <c r="G47" i="55"/>
  <c r="G48" i="55"/>
  <c r="G49" i="55"/>
  <c r="G50" i="55"/>
  <c r="G51" i="55"/>
  <c r="G52" i="55"/>
  <c r="G53" i="55"/>
  <c r="G54" i="55"/>
  <c r="G55" i="55"/>
  <c r="G56" i="55"/>
  <c r="G57" i="55"/>
  <c r="G58" i="55"/>
  <c r="G59" i="55"/>
  <c r="G60" i="55"/>
  <c r="G61" i="55"/>
  <c r="G62" i="55"/>
  <c r="G63" i="55"/>
  <c r="G64" i="55"/>
  <c r="G65" i="55"/>
  <c r="G66" i="55"/>
  <c r="G67" i="55"/>
  <c r="G68" i="55"/>
  <c r="G69" i="55"/>
  <c r="G70" i="55"/>
  <c r="G71" i="55"/>
  <c r="G72" i="55"/>
  <c r="G73" i="55"/>
  <c r="G74" i="55"/>
  <c r="G75" i="55"/>
  <c r="G76" i="55"/>
  <c r="G77" i="55"/>
  <c r="G78" i="55"/>
  <c r="G79" i="55"/>
  <c r="G80" i="55"/>
  <c r="G81" i="55"/>
  <c r="G82" i="55"/>
  <c r="G83" i="55"/>
  <c r="G84" i="55"/>
  <c r="G85" i="55"/>
  <c r="G86" i="55"/>
  <c r="G87" i="55"/>
  <c r="G88" i="55"/>
  <c r="G89" i="55"/>
  <c r="G90" i="55"/>
  <c r="G91" i="55"/>
  <c r="G92" i="55"/>
  <c r="G93" i="55"/>
  <c r="G94" i="55"/>
  <c r="G95" i="55"/>
  <c r="G96" i="55"/>
  <c r="G97" i="55"/>
  <c r="G98" i="55"/>
  <c r="G99" i="55"/>
  <c r="G100" i="55"/>
  <c r="G101" i="55"/>
  <c r="G102" i="55"/>
  <c r="G103" i="55"/>
  <c r="G104" i="55"/>
  <c r="G105" i="55"/>
  <c r="G106" i="55"/>
  <c r="G107" i="55"/>
  <c r="G108" i="55"/>
  <c r="G109" i="55"/>
  <c r="G110" i="55"/>
  <c r="G111" i="55"/>
  <c r="G112" i="55"/>
  <c r="G113" i="55"/>
  <c r="G114" i="55"/>
  <c r="G115" i="55"/>
  <c r="G116" i="55"/>
  <c r="G117" i="55"/>
  <c r="G118" i="55"/>
  <c r="G119" i="55"/>
  <c r="G120" i="55"/>
  <c r="G121" i="55"/>
  <c r="G122" i="55"/>
  <c r="G123" i="55"/>
  <c r="G124" i="55"/>
  <c r="G125" i="55"/>
  <c r="G126" i="55"/>
  <c r="G127" i="55"/>
  <c r="G128" i="55"/>
  <c r="G129" i="55"/>
  <c r="G130" i="55"/>
  <c r="G131" i="55"/>
  <c r="G132" i="55"/>
  <c r="G133" i="55"/>
  <c r="G134" i="55"/>
  <c r="G135" i="55"/>
  <c r="G136" i="55"/>
  <c r="G137" i="55"/>
  <c r="G138" i="55"/>
  <c r="G139" i="55"/>
  <c r="G140" i="55"/>
  <c r="G141" i="55"/>
  <c r="G142" i="55"/>
  <c r="G143" i="55"/>
  <c r="G144" i="55"/>
  <c r="G145" i="55"/>
  <c r="G146" i="55"/>
  <c r="G147" i="55"/>
  <c r="G148" i="55"/>
  <c r="G149" i="55"/>
  <c r="G150" i="55"/>
  <c r="G151" i="55"/>
  <c r="G152" i="55"/>
  <c r="G153" i="55"/>
  <c r="G154" i="55"/>
  <c r="G155" i="55"/>
  <c r="G156" i="55"/>
  <c r="G157" i="55"/>
  <c r="G158" i="55"/>
  <c r="G159" i="55"/>
  <c r="G160" i="55"/>
  <c r="G161" i="55"/>
  <c r="G162" i="55"/>
  <c r="G163" i="55"/>
  <c r="G164" i="55"/>
  <c r="G165" i="55"/>
  <c r="G166" i="55"/>
  <c r="G167" i="55"/>
  <c r="G168" i="55"/>
  <c r="G169" i="55"/>
  <c r="G170" i="55"/>
  <c r="G171" i="55"/>
  <c r="G172" i="55"/>
  <c r="G173" i="55"/>
  <c r="G174" i="55"/>
  <c r="G175" i="55"/>
  <c r="G176" i="55"/>
  <c r="G177" i="55"/>
  <c r="G178" i="55"/>
  <c r="G179" i="55"/>
  <c r="G180" i="55"/>
  <c r="G181" i="55"/>
  <c r="G182" i="55"/>
  <c r="G183" i="55"/>
  <c r="G184" i="55"/>
  <c r="G185" i="55"/>
  <c r="G186" i="55"/>
  <c r="G187" i="55"/>
  <c r="G188" i="55"/>
  <c r="G189" i="55"/>
  <c r="G190" i="55"/>
  <c r="G191" i="55"/>
  <c r="G192" i="55"/>
  <c r="G193" i="55"/>
  <c r="G194" i="55"/>
  <c r="G195" i="55"/>
  <c r="G196" i="55"/>
  <c r="G197" i="55"/>
  <c r="G198" i="55"/>
  <c r="G199" i="55"/>
  <c r="G200" i="55"/>
  <c r="G201" i="55"/>
  <c r="G202" i="55"/>
  <c r="G203" i="55"/>
  <c r="G204" i="55"/>
  <c r="G205" i="55"/>
  <c r="G206" i="55"/>
  <c r="G207" i="55"/>
  <c r="G208" i="55"/>
  <c r="G209" i="55"/>
  <c r="G210" i="55"/>
  <c r="G211" i="55"/>
  <c r="G212" i="55"/>
  <c r="G213" i="55"/>
  <c r="G214" i="55"/>
  <c r="G215" i="55"/>
  <c r="G216" i="55"/>
  <c r="G217" i="55"/>
  <c r="G218" i="55"/>
  <c r="G219" i="55"/>
  <c r="G220" i="55"/>
  <c r="G221" i="55"/>
  <c r="G222" i="55"/>
  <c r="G223" i="55"/>
  <c r="G224" i="55"/>
  <c r="G225" i="55"/>
  <c r="G226" i="55"/>
  <c r="G227" i="55"/>
  <c r="G228" i="55"/>
  <c r="G229" i="55"/>
  <c r="G230" i="55"/>
  <c r="G231" i="55"/>
  <c r="G232" i="55"/>
  <c r="G233" i="55"/>
  <c r="G234" i="55"/>
  <c r="G235" i="55"/>
  <c r="G236" i="55"/>
  <c r="G237" i="55"/>
  <c r="G238" i="55"/>
  <c r="G239" i="55"/>
  <c r="G240" i="55"/>
  <c r="G241" i="55"/>
  <c r="G242" i="55"/>
  <c r="G243" i="55"/>
  <c r="G244" i="55"/>
  <c r="G245" i="55"/>
  <c r="G246" i="55"/>
  <c r="G247" i="55"/>
  <c r="G248" i="55"/>
  <c r="G249" i="55"/>
  <c r="G250" i="55"/>
  <c r="G251" i="55"/>
  <c r="G252" i="55"/>
  <c r="G253" i="55"/>
  <c r="G254" i="55"/>
  <c r="G255" i="55"/>
  <c r="G256" i="55"/>
  <c r="G257" i="55"/>
  <c r="G10" i="55"/>
  <c r="F10" i="55"/>
  <c r="I10" i="55" s="1"/>
  <c r="G11" i="52"/>
  <c r="G12" i="52"/>
  <c r="G13" i="52"/>
  <c r="G14" i="52"/>
  <c r="G15" i="52"/>
  <c r="G16" i="52"/>
  <c r="G17" i="52"/>
  <c r="G18" i="52"/>
  <c r="G19" i="52"/>
  <c r="G20" i="52"/>
  <c r="G21" i="52"/>
  <c r="G22" i="52"/>
  <c r="G23" i="52"/>
  <c r="G24" i="52"/>
  <c r="G25" i="52"/>
  <c r="G26" i="52"/>
  <c r="G27" i="52"/>
  <c r="G28" i="52"/>
  <c r="G29" i="52"/>
  <c r="G30" i="52"/>
  <c r="G31" i="52"/>
  <c r="G32" i="52"/>
  <c r="G33" i="52"/>
  <c r="G34" i="52"/>
  <c r="G35" i="52"/>
  <c r="G36" i="52"/>
  <c r="G37" i="52"/>
  <c r="G38" i="52"/>
  <c r="G39" i="52"/>
  <c r="G40" i="52"/>
  <c r="G41" i="52"/>
  <c r="G42" i="52"/>
  <c r="G43" i="52"/>
  <c r="G44" i="52"/>
  <c r="G45" i="52"/>
  <c r="G46" i="52"/>
  <c r="G47" i="52"/>
  <c r="G48" i="52"/>
  <c r="G49" i="52"/>
  <c r="G50" i="52"/>
  <c r="G51" i="52"/>
  <c r="G52" i="52"/>
  <c r="G53" i="52"/>
  <c r="G54" i="52"/>
  <c r="G55" i="52"/>
  <c r="G56" i="52"/>
  <c r="G57" i="52"/>
  <c r="G58" i="52"/>
  <c r="G59" i="52"/>
  <c r="G60" i="52"/>
  <c r="G61" i="52"/>
  <c r="G62" i="52"/>
  <c r="G63" i="52"/>
  <c r="G64" i="52"/>
  <c r="G65" i="52"/>
  <c r="G66" i="52"/>
  <c r="G67" i="52"/>
  <c r="G68" i="52"/>
  <c r="G69" i="52"/>
  <c r="G70" i="52"/>
  <c r="G71" i="52"/>
  <c r="G72" i="52"/>
  <c r="G73" i="52"/>
  <c r="G74" i="52"/>
  <c r="G75" i="52"/>
  <c r="G76" i="52"/>
  <c r="G77" i="52"/>
  <c r="G78" i="52"/>
  <c r="G79" i="52"/>
  <c r="G80" i="52"/>
  <c r="G81" i="52"/>
  <c r="G82" i="52"/>
  <c r="G83" i="52"/>
  <c r="G84" i="52"/>
  <c r="G85" i="52"/>
  <c r="G86" i="52"/>
  <c r="G87" i="52"/>
  <c r="G88" i="52"/>
  <c r="G89" i="52"/>
  <c r="G90" i="52"/>
  <c r="G91" i="52"/>
  <c r="G92" i="52"/>
  <c r="G93" i="52"/>
  <c r="G94" i="52"/>
  <c r="G95" i="52"/>
  <c r="G96" i="52"/>
  <c r="G97" i="52"/>
  <c r="G98" i="52"/>
  <c r="G99" i="52"/>
  <c r="G100" i="52"/>
  <c r="G101" i="52"/>
  <c r="G102" i="52"/>
  <c r="G103" i="52"/>
  <c r="G104" i="52"/>
  <c r="G105" i="52"/>
  <c r="G106" i="52"/>
  <c r="G107" i="52"/>
  <c r="G108" i="52"/>
  <c r="G109" i="52"/>
  <c r="G110" i="52"/>
  <c r="G111" i="52"/>
  <c r="G112" i="52"/>
  <c r="G113" i="52"/>
  <c r="G114" i="52"/>
  <c r="G115" i="52"/>
  <c r="G116" i="52"/>
  <c r="G117" i="52"/>
  <c r="G118" i="52"/>
  <c r="G119" i="52"/>
  <c r="G120" i="52"/>
  <c r="G121" i="52"/>
  <c r="G122" i="52"/>
  <c r="G123" i="52"/>
  <c r="G124" i="52"/>
  <c r="G125" i="52"/>
  <c r="G126" i="52"/>
  <c r="G127" i="52"/>
  <c r="G128" i="52"/>
  <c r="G129" i="52"/>
  <c r="G130" i="52"/>
  <c r="G131" i="52"/>
  <c r="G132" i="52"/>
  <c r="G133" i="52"/>
  <c r="G134" i="52"/>
  <c r="G135" i="52"/>
  <c r="G136" i="52"/>
  <c r="G137" i="52"/>
  <c r="G138" i="52"/>
  <c r="G139" i="52"/>
  <c r="G140" i="52"/>
  <c r="G141" i="52"/>
  <c r="G142" i="52"/>
  <c r="G143" i="52"/>
  <c r="G144" i="52"/>
  <c r="G145" i="52"/>
  <c r="G146" i="52"/>
  <c r="G147" i="52"/>
  <c r="G148" i="52"/>
  <c r="G149" i="52"/>
  <c r="G150" i="52"/>
  <c r="G151" i="52"/>
  <c r="G152" i="52"/>
  <c r="G153" i="52"/>
  <c r="G154" i="52"/>
  <c r="G155" i="52"/>
  <c r="G156" i="52"/>
  <c r="G157" i="52"/>
  <c r="G158" i="52"/>
  <c r="G159" i="52"/>
  <c r="G160" i="52"/>
  <c r="G161" i="52"/>
  <c r="G162" i="52"/>
  <c r="G163" i="52"/>
  <c r="G164" i="52"/>
  <c r="G165" i="52"/>
  <c r="G166" i="52"/>
  <c r="G167" i="52"/>
  <c r="G168" i="52"/>
  <c r="G169" i="52"/>
  <c r="G170" i="52"/>
  <c r="G171" i="52"/>
  <c r="G172" i="52"/>
  <c r="G173" i="52"/>
  <c r="G174" i="52"/>
  <c r="G175" i="52"/>
  <c r="G176" i="52"/>
  <c r="G177" i="52"/>
  <c r="G178" i="52"/>
  <c r="G179" i="52"/>
  <c r="G180" i="52"/>
  <c r="G181" i="52"/>
  <c r="G182" i="52"/>
  <c r="G183" i="52"/>
  <c r="G184" i="52"/>
  <c r="G185" i="52"/>
  <c r="G186" i="52"/>
  <c r="G187" i="52"/>
  <c r="G188" i="52"/>
  <c r="G189" i="52"/>
  <c r="G190" i="52"/>
  <c r="G191" i="52"/>
  <c r="G192" i="52"/>
  <c r="G193" i="52"/>
  <c r="G194" i="52"/>
  <c r="G195" i="52"/>
  <c r="G196" i="52"/>
  <c r="G197" i="52"/>
  <c r="G198" i="52"/>
  <c r="G199" i="52"/>
  <c r="G200" i="52"/>
  <c r="G201" i="52"/>
  <c r="G202" i="52"/>
  <c r="G203" i="52"/>
  <c r="G204" i="52"/>
  <c r="G205" i="52"/>
  <c r="G206" i="52"/>
  <c r="G207" i="52"/>
  <c r="G208" i="52"/>
  <c r="G209" i="52"/>
  <c r="G210" i="52"/>
  <c r="G211" i="52"/>
  <c r="G212" i="52"/>
  <c r="G213" i="52"/>
  <c r="G214" i="52"/>
  <c r="G215" i="52"/>
  <c r="G216" i="52"/>
  <c r="G217" i="52"/>
  <c r="G218" i="52"/>
  <c r="G219" i="52"/>
  <c r="G220" i="52"/>
  <c r="G221" i="52"/>
  <c r="G222" i="52"/>
  <c r="G223" i="52"/>
  <c r="G224" i="52"/>
  <c r="G225" i="52"/>
  <c r="G226" i="52"/>
  <c r="G227" i="52"/>
  <c r="G228" i="52"/>
  <c r="G229" i="52"/>
  <c r="G230" i="52"/>
  <c r="G231" i="52"/>
  <c r="G232" i="52"/>
  <c r="G233" i="52"/>
  <c r="G234" i="52"/>
  <c r="G235" i="52"/>
  <c r="G236" i="52"/>
  <c r="G237" i="52"/>
  <c r="G238" i="52"/>
  <c r="G239" i="52"/>
  <c r="G240" i="52"/>
  <c r="G241" i="52"/>
  <c r="G242" i="52"/>
  <c r="G243" i="52"/>
  <c r="G244" i="52"/>
  <c r="G245" i="52"/>
  <c r="G246" i="52"/>
  <c r="G247" i="52"/>
  <c r="G248" i="52"/>
  <c r="G249" i="52"/>
  <c r="G250" i="52"/>
  <c r="G251" i="52"/>
  <c r="G252" i="52"/>
  <c r="G253" i="52"/>
  <c r="G254" i="52"/>
  <c r="G255" i="52"/>
  <c r="G256" i="52"/>
  <c r="G257" i="52"/>
  <c r="G10" i="52"/>
  <c r="F10" i="52"/>
  <c r="AG11" i="67" l="1"/>
  <c r="AG12" i="67"/>
  <c r="AG13" i="67"/>
  <c r="AG14" i="67"/>
  <c r="AG15" i="67"/>
  <c r="AG16" i="67"/>
  <c r="AG17" i="67"/>
  <c r="AG18" i="67"/>
  <c r="AG19" i="67"/>
  <c r="AG20" i="67"/>
  <c r="AG21" i="67"/>
  <c r="AG22" i="67"/>
  <c r="AG23" i="67"/>
  <c r="AG24" i="67"/>
  <c r="AG25" i="67"/>
  <c r="AG26" i="67"/>
  <c r="AG27" i="67"/>
  <c r="AG28" i="67"/>
  <c r="AG29" i="67"/>
  <c r="AG30" i="67"/>
  <c r="AG31" i="67"/>
  <c r="AG32" i="67"/>
  <c r="AG33" i="67"/>
  <c r="AG34" i="67"/>
  <c r="AG35" i="67"/>
  <c r="AG36" i="67"/>
  <c r="AG37" i="67"/>
  <c r="AG38" i="67"/>
  <c r="AG39" i="67"/>
  <c r="AG40" i="67"/>
  <c r="AG41" i="67"/>
  <c r="AG42" i="67"/>
  <c r="AG43" i="67"/>
  <c r="AG44" i="67"/>
  <c r="AG45" i="67"/>
  <c r="AG46" i="67"/>
  <c r="AG47" i="67"/>
  <c r="AG48" i="67"/>
  <c r="AG49" i="67"/>
  <c r="AG50" i="67"/>
  <c r="AG51" i="67"/>
  <c r="AG52" i="67"/>
  <c r="AG53" i="67"/>
  <c r="AG54" i="67"/>
  <c r="AG55" i="67"/>
  <c r="AG56" i="67"/>
  <c r="AG57" i="67"/>
  <c r="AG58" i="67"/>
  <c r="AG59" i="67"/>
  <c r="AG60" i="67"/>
  <c r="AG61" i="67"/>
  <c r="AG62" i="67"/>
  <c r="AG63" i="67"/>
  <c r="AG64" i="67"/>
  <c r="AG65" i="67"/>
  <c r="AG66" i="67"/>
  <c r="AG67" i="67"/>
  <c r="AG68" i="67"/>
  <c r="AG69" i="67"/>
  <c r="AG70" i="67"/>
  <c r="AG71" i="67"/>
  <c r="AG72" i="67"/>
  <c r="AG73" i="67"/>
  <c r="AG74" i="67"/>
  <c r="AG75" i="67"/>
  <c r="AG76" i="67"/>
  <c r="AG77" i="67"/>
  <c r="AG78" i="67"/>
  <c r="AG79" i="67"/>
  <c r="AG80" i="67"/>
  <c r="AG81" i="67"/>
  <c r="AG82" i="67"/>
  <c r="AG83" i="67"/>
  <c r="AG84" i="67"/>
  <c r="AG85" i="67"/>
  <c r="AG86" i="67"/>
  <c r="AG87" i="67"/>
  <c r="AG88" i="67"/>
  <c r="AG89" i="67"/>
  <c r="AG90" i="67"/>
  <c r="AG91" i="67"/>
  <c r="AG92" i="67"/>
  <c r="AG93" i="67"/>
  <c r="AG94" i="67"/>
  <c r="AG95" i="67"/>
  <c r="AG96" i="67"/>
  <c r="AG97" i="67"/>
  <c r="AG98" i="67"/>
  <c r="AG99" i="67"/>
  <c r="AG100" i="67"/>
  <c r="AG101" i="67"/>
  <c r="AG102" i="67"/>
  <c r="AG103" i="67"/>
  <c r="AG104" i="67"/>
  <c r="AG105" i="67"/>
  <c r="AG106" i="67"/>
  <c r="AG107" i="67"/>
  <c r="AG108" i="67"/>
  <c r="AG109" i="67"/>
  <c r="AG110" i="67"/>
  <c r="AG111" i="67"/>
  <c r="AG112" i="67"/>
  <c r="AG113" i="67"/>
  <c r="AG114" i="67"/>
  <c r="AG115" i="67"/>
  <c r="AG116" i="67"/>
  <c r="AG117" i="67"/>
  <c r="AG118" i="67"/>
  <c r="AG119" i="67"/>
  <c r="AG120" i="67"/>
  <c r="AG121" i="67"/>
  <c r="AG122" i="67"/>
  <c r="AG123" i="67"/>
  <c r="AG124" i="67"/>
  <c r="AG125" i="67"/>
  <c r="AG126" i="67"/>
  <c r="AG127" i="67"/>
  <c r="AG128" i="67"/>
  <c r="AG129" i="67"/>
  <c r="AG130" i="67"/>
  <c r="AG131" i="67"/>
  <c r="AG132" i="67"/>
  <c r="AG133" i="67"/>
  <c r="AG134" i="67"/>
  <c r="AG135" i="67"/>
  <c r="AG136" i="67"/>
  <c r="AG137" i="67"/>
  <c r="AG138" i="67"/>
  <c r="AG139" i="67"/>
  <c r="AG140" i="67"/>
  <c r="AG141" i="67"/>
  <c r="AG142" i="67"/>
  <c r="AG143" i="67"/>
  <c r="AG144" i="67"/>
  <c r="AG145" i="67"/>
  <c r="AG146" i="67"/>
  <c r="AG147" i="67"/>
  <c r="AG148" i="67"/>
  <c r="AG149" i="67"/>
  <c r="AG150" i="67"/>
  <c r="AG151" i="67"/>
  <c r="AG152" i="67"/>
  <c r="AG153" i="67"/>
  <c r="AG154" i="67"/>
  <c r="AG155" i="67"/>
  <c r="AG156" i="67"/>
  <c r="AG157" i="67"/>
  <c r="AG158" i="67"/>
  <c r="AG159" i="67"/>
  <c r="AG160" i="67"/>
  <c r="AG161" i="67"/>
  <c r="AG162" i="67"/>
  <c r="AG163" i="67"/>
  <c r="AG164" i="67"/>
  <c r="AG165" i="67"/>
  <c r="AG166" i="67"/>
  <c r="AG167" i="67"/>
  <c r="AG168" i="67"/>
  <c r="AG169" i="67"/>
  <c r="AG170" i="67"/>
  <c r="AG171" i="67"/>
  <c r="AG172" i="67"/>
  <c r="AG173" i="67"/>
  <c r="AG174" i="67"/>
  <c r="AG175" i="67"/>
  <c r="AG176" i="67"/>
  <c r="AG177" i="67"/>
  <c r="AG178" i="67"/>
  <c r="AG179" i="67"/>
  <c r="AG180" i="67"/>
  <c r="AG181" i="67"/>
  <c r="AG182" i="67"/>
  <c r="AG183" i="67"/>
  <c r="AG184" i="67"/>
  <c r="AG185" i="67"/>
  <c r="AG186" i="67"/>
  <c r="AG187" i="67"/>
  <c r="AG188" i="67"/>
  <c r="AG189" i="67"/>
  <c r="AG190" i="67"/>
  <c r="AG191" i="67"/>
  <c r="AG192" i="67"/>
  <c r="AG193" i="67"/>
  <c r="AG194" i="67"/>
  <c r="AG195" i="67"/>
  <c r="AG196" i="67"/>
  <c r="AG197" i="67"/>
  <c r="AG198" i="67"/>
  <c r="AG199" i="67"/>
  <c r="AG200" i="67"/>
  <c r="AG201" i="67"/>
  <c r="AG202" i="67"/>
  <c r="AG203" i="67"/>
  <c r="AG204" i="67"/>
  <c r="AG205" i="67"/>
  <c r="AG206" i="67"/>
  <c r="AG207" i="67"/>
  <c r="AG208" i="67"/>
  <c r="AG209" i="67"/>
  <c r="AG210" i="67"/>
  <c r="AG211" i="67"/>
  <c r="AG212" i="67"/>
  <c r="AG213" i="67"/>
  <c r="AG214" i="67"/>
  <c r="AG215" i="67"/>
  <c r="AG216" i="67"/>
  <c r="AG217" i="67"/>
  <c r="AG218" i="67"/>
  <c r="AG219" i="67"/>
  <c r="AG220" i="67"/>
  <c r="AG221" i="67"/>
  <c r="AG222" i="67"/>
  <c r="AG223" i="67"/>
  <c r="AG224" i="67"/>
  <c r="AG225" i="67"/>
  <c r="AG226" i="67"/>
  <c r="AG227" i="67"/>
  <c r="AG228" i="67"/>
  <c r="AG229" i="67"/>
  <c r="AG230" i="67"/>
  <c r="AG231" i="67"/>
  <c r="AG232" i="67"/>
  <c r="AG233" i="67"/>
  <c r="AG234" i="67"/>
  <c r="AG235" i="67"/>
  <c r="AG236" i="67"/>
  <c r="AG237" i="67"/>
  <c r="AG238" i="67"/>
  <c r="AG239" i="67"/>
  <c r="AG240" i="67"/>
  <c r="AG241" i="67"/>
  <c r="AG242" i="67"/>
  <c r="AG243" i="67"/>
  <c r="AG244" i="67"/>
  <c r="AG245" i="67"/>
  <c r="AG246" i="67"/>
  <c r="AG247" i="67"/>
  <c r="AG248" i="67"/>
  <c r="AG249" i="67"/>
  <c r="AG250" i="67"/>
  <c r="AG251" i="67"/>
  <c r="AG252" i="67"/>
  <c r="AG253" i="67"/>
  <c r="AG254" i="67"/>
  <c r="AG255" i="67"/>
  <c r="AG256" i="67"/>
  <c r="AG257" i="67"/>
  <c r="AG10" i="67"/>
  <c r="AG10" i="63"/>
  <c r="T4" i="67" l="1"/>
  <c r="AG11" i="63"/>
  <c r="AG12" i="63"/>
  <c r="AG13" i="63"/>
  <c r="AG14" i="63"/>
  <c r="AG15" i="63"/>
  <c r="AG16" i="63"/>
  <c r="AG17" i="63"/>
  <c r="AG18" i="63"/>
  <c r="AG19" i="63"/>
  <c r="AG20" i="63"/>
  <c r="AG21" i="63"/>
  <c r="AG22" i="63"/>
  <c r="AG23" i="63"/>
  <c r="AG24" i="63"/>
  <c r="AG25" i="63"/>
  <c r="AG26" i="63"/>
  <c r="AG27" i="63"/>
  <c r="AG28" i="63"/>
  <c r="AG29" i="63"/>
  <c r="AG30" i="63"/>
  <c r="AG31" i="63"/>
  <c r="AG32" i="63"/>
  <c r="AG33" i="63"/>
  <c r="AG34" i="63"/>
  <c r="AG35" i="63"/>
  <c r="AG36" i="63"/>
  <c r="AG37" i="63"/>
  <c r="AG38" i="63"/>
  <c r="AG39" i="63"/>
  <c r="AG40" i="63"/>
  <c r="AG41" i="63"/>
  <c r="AG42" i="63"/>
  <c r="AG43" i="63"/>
  <c r="AG44" i="63"/>
  <c r="AG45" i="63"/>
  <c r="AG46" i="63"/>
  <c r="AG47" i="63"/>
  <c r="AG48" i="63"/>
  <c r="AG49" i="63"/>
  <c r="AG50" i="63"/>
  <c r="AG51" i="63"/>
  <c r="AG52" i="63"/>
  <c r="AG53" i="63"/>
  <c r="AG54" i="63"/>
  <c r="AG55" i="63"/>
  <c r="AG56" i="63"/>
  <c r="AG57" i="63"/>
  <c r="AG58" i="63"/>
  <c r="AG59" i="63"/>
  <c r="AG60" i="63"/>
  <c r="AG61" i="63"/>
  <c r="AG62" i="63"/>
  <c r="AG63" i="63"/>
  <c r="AG64" i="63"/>
  <c r="AG65" i="63"/>
  <c r="AG66" i="63"/>
  <c r="AG67" i="63"/>
  <c r="AG68" i="63"/>
  <c r="AG69" i="63"/>
  <c r="AG70" i="63"/>
  <c r="AG71" i="63"/>
  <c r="AG72" i="63"/>
  <c r="AG73" i="63"/>
  <c r="AG74" i="63"/>
  <c r="AG75" i="63"/>
  <c r="AG76" i="63"/>
  <c r="AG77" i="63"/>
  <c r="AG78" i="63"/>
  <c r="AG79" i="63"/>
  <c r="AG80" i="63"/>
  <c r="AG81" i="63"/>
  <c r="AG82" i="63"/>
  <c r="AG83" i="63"/>
  <c r="AG84" i="63"/>
  <c r="AG85" i="63"/>
  <c r="AG86" i="63"/>
  <c r="AG87" i="63"/>
  <c r="AG88" i="63"/>
  <c r="AG89" i="63"/>
  <c r="AG90" i="63"/>
  <c r="AG91" i="63"/>
  <c r="AG92" i="63"/>
  <c r="AG93" i="63"/>
  <c r="AG94" i="63"/>
  <c r="AG95" i="63"/>
  <c r="AG96" i="63"/>
  <c r="AG97" i="63"/>
  <c r="AG98" i="63"/>
  <c r="AG99" i="63"/>
  <c r="AG100" i="63"/>
  <c r="AG101" i="63"/>
  <c r="AG102" i="63"/>
  <c r="AG103" i="63"/>
  <c r="AG104" i="63"/>
  <c r="AG105" i="63"/>
  <c r="AG106" i="63"/>
  <c r="AG107" i="63"/>
  <c r="AG108" i="63"/>
  <c r="AG109" i="63"/>
  <c r="AG110" i="63"/>
  <c r="AG111" i="63"/>
  <c r="AG112" i="63"/>
  <c r="AG113" i="63"/>
  <c r="AG114" i="63"/>
  <c r="AG115" i="63"/>
  <c r="AG116" i="63"/>
  <c r="AG117" i="63"/>
  <c r="AG118" i="63"/>
  <c r="AG119" i="63"/>
  <c r="AG120" i="63"/>
  <c r="AG121" i="63"/>
  <c r="AG122" i="63"/>
  <c r="AG123" i="63"/>
  <c r="AG124" i="63"/>
  <c r="AG125" i="63"/>
  <c r="AG126" i="63"/>
  <c r="AG127" i="63"/>
  <c r="AG128" i="63"/>
  <c r="AG129" i="63"/>
  <c r="AG130" i="63"/>
  <c r="AG131" i="63"/>
  <c r="AG132" i="63"/>
  <c r="AG133" i="63"/>
  <c r="AG134" i="63"/>
  <c r="AG135" i="63"/>
  <c r="AG136" i="63"/>
  <c r="AG137" i="63"/>
  <c r="AG138" i="63"/>
  <c r="AG139" i="63"/>
  <c r="AG140" i="63"/>
  <c r="AG141" i="63"/>
  <c r="AG142" i="63"/>
  <c r="AG143" i="63"/>
  <c r="AG144" i="63"/>
  <c r="AG145" i="63"/>
  <c r="AG146" i="63"/>
  <c r="AG147" i="63"/>
  <c r="AG148" i="63"/>
  <c r="AG149" i="63"/>
  <c r="AG150" i="63"/>
  <c r="AG151" i="63"/>
  <c r="AG152" i="63"/>
  <c r="AG153" i="63"/>
  <c r="AG154" i="63"/>
  <c r="AG155" i="63"/>
  <c r="AG156" i="63"/>
  <c r="AG157" i="63"/>
  <c r="AG158" i="63"/>
  <c r="AG159" i="63"/>
  <c r="AG160" i="63"/>
  <c r="AG161" i="63"/>
  <c r="AG162" i="63"/>
  <c r="AG163" i="63"/>
  <c r="AG164" i="63"/>
  <c r="AG165" i="63"/>
  <c r="AG166" i="63"/>
  <c r="AG167" i="63"/>
  <c r="AG168" i="63"/>
  <c r="AG169" i="63"/>
  <c r="AG170" i="63"/>
  <c r="AG171" i="63"/>
  <c r="AG172" i="63"/>
  <c r="AG173" i="63"/>
  <c r="AG174" i="63"/>
  <c r="AG175" i="63"/>
  <c r="AG176" i="63"/>
  <c r="AG177" i="63"/>
  <c r="AG178" i="63"/>
  <c r="AG179" i="63"/>
  <c r="AG180" i="63"/>
  <c r="AG181" i="63"/>
  <c r="AG182" i="63"/>
  <c r="AG183" i="63"/>
  <c r="AG184" i="63"/>
  <c r="AG185" i="63"/>
  <c r="AG186" i="63"/>
  <c r="AG187" i="63"/>
  <c r="AG188" i="63"/>
  <c r="AG189" i="63"/>
  <c r="AG190" i="63"/>
  <c r="AG191" i="63"/>
  <c r="AG192" i="63"/>
  <c r="AG193" i="63"/>
  <c r="AG194" i="63"/>
  <c r="AG195" i="63"/>
  <c r="AG196" i="63"/>
  <c r="AG197" i="63"/>
  <c r="AG198" i="63"/>
  <c r="AG199" i="63"/>
  <c r="AG200" i="63"/>
  <c r="AG201" i="63"/>
  <c r="AG202" i="63"/>
  <c r="AG203" i="63"/>
  <c r="AG204" i="63"/>
  <c r="AG205" i="63"/>
  <c r="AG206" i="63"/>
  <c r="AG207" i="63"/>
  <c r="AG208" i="63"/>
  <c r="AG209" i="63"/>
  <c r="AG210" i="63"/>
  <c r="AG211" i="63"/>
  <c r="AG212" i="63"/>
  <c r="AG213" i="63"/>
  <c r="AG214" i="63"/>
  <c r="AG215" i="63"/>
  <c r="AG216" i="63"/>
  <c r="AG217" i="63"/>
  <c r="AG218" i="63"/>
  <c r="AG219" i="63"/>
  <c r="AG220" i="63"/>
  <c r="AG221" i="63"/>
  <c r="AG222" i="63"/>
  <c r="AG223" i="63"/>
  <c r="AG224" i="63"/>
  <c r="AG225" i="63"/>
  <c r="AG226" i="63"/>
  <c r="AG227" i="63"/>
  <c r="AG228" i="63"/>
  <c r="AG229" i="63"/>
  <c r="AG230" i="63"/>
  <c r="AG231" i="63"/>
  <c r="AG232" i="63"/>
  <c r="AG233" i="63"/>
  <c r="AG234" i="63"/>
  <c r="AG235" i="63"/>
  <c r="AG236" i="63"/>
  <c r="AG237" i="63"/>
  <c r="AG238" i="63"/>
  <c r="AG239" i="63"/>
  <c r="AG240" i="63"/>
  <c r="AG241" i="63"/>
  <c r="AG242" i="63"/>
  <c r="AG243" i="63"/>
  <c r="AG244" i="63"/>
  <c r="AG245" i="63"/>
  <c r="AG246" i="63"/>
  <c r="AG247" i="63"/>
  <c r="AG248" i="63"/>
  <c r="AG249" i="63"/>
  <c r="AG250" i="63"/>
  <c r="AG251" i="63"/>
  <c r="AG252" i="63"/>
  <c r="AG253" i="63"/>
  <c r="AG254" i="63"/>
  <c r="AG255" i="63"/>
  <c r="AG256" i="63"/>
  <c r="AG257" i="63"/>
  <c r="T5" i="63" l="1"/>
  <c r="A13" i="11"/>
  <c r="A11" i="11"/>
  <c r="W11" i="67" l="1"/>
  <c r="X11" i="67"/>
  <c r="W12" i="67"/>
  <c r="X12" i="67"/>
  <c r="W13" i="67"/>
  <c r="X13" i="67"/>
  <c r="W14" i="67"/>
  <c r="X14" i="67"/>
  <c r="W15" i="67"/>
  <c r="X15" i="67"/>
  <c r="W16" i="67"/>
  <c r="X16" i="67"/>
  <c r="W17" i="67"/>
  <c r="X17" i="67"/>
  <c r="W18" i="67"/>
  <c r="X18" i="67"/>
  <c r="W19" i="67"/>
  <c r="X19" i="67"/>
  <c r="W20" i="67"/>
  <c r="X20" i="67"/>
  <c r="W21" i="67"/>
  <c r="X21" i="67"/>
  <c r="W22" i="67"/>
  <c r="X22" i="67"/>
  <c r="W23" i="67"/>
  <c r="X23" i="67"/>
  <c r="W24" i="67"/>
  <c r="X24" i="67"/>
  <c r="W25" i="67"/>
  <c r="X25" i="67"/>
  <c r="W26" i="67"/>
  <c r="X26" i="67"/>
  <c r="W27" i="67"/>
  <c r="X27" i="67"/>
  <c r="W28" i="67"/>
  <c r="X28" i="67"/>
  <c r="W29" i="67"/>
  <c r="X29" i="67"/>
  <c r="W30" i="67"/>
  <c r="X30" i="67"/>
  <c r="W31" i="67"/>
  <c r="X31" i="67"/>
  <c r="W32" i="67"/>
  <c r="X32" i="67"/>
  <c r="W33" i="67"/>
  <c r="X33" i="67"/>
  <c r="W34" i="67"/>
  <c r="X34" i="67"/>
  <c r="W35" i="67"/>
  <c r="X35" i="67"/>
  <c r="W36" i="67"/>
  <c r="X36" i="67"/>
  <c r="W37" i="67"/>
  <c r="X37" i="67"/>
  <c r="W38" i="67"/>
  <c r="X38" i="67"/>
  <c r="W39" i="67"/>
  <c r="X39" i="67"/>
  <c r="W40" i="67"/>
  <c r="X40" i="67"/>
  <c r="W41" i="67"/>
  <c r="X41" i="67"/>
  <c r="W42" i="67"/>
  <c r="X42" i="67"/>
  <c r="W43" i="67"/>
  <c r="X43" i="67"/>
  <c r="W44" i="67"/>
  <c r="X44" i="67"/>
  <c r="W45" i="67"/>
  <c r="X45" i="67"/>
  <c r="W46" i="67"/>
  <c r="X46" i="67"/>
  <c r="W47" i="67"/>
  <c r="X47" i="67"/>
  <c r="W48" i="67"/>
  <c r="X48" i="67"/>
  <c r="W49" i="67"/>
  <c r="X49" i="67"/>
  <c r="W50" i="67"/>
  <c r="X50" i="67"/>
  <c r="W51" i="67"/>
  <c r="X51" i="67"/>
  <c r="W52" i="67"/>
  <c r="X52" i="67"/>
  <c r="W53" i="67"/>
  <c r="X53" i="67"/>
  <c r="X54" i="67"/>
  <c r="W55" i="67"/>
  <c r="X55" i="67"/>
  <c r="W56" i="67"/>
  <c r="X56" i="67"/>
  <c r="W57" i="67"/>
  <c r="X57" i="67"/>
  <c r="W58" i="67"/>
  <c r="X58" i="67"/>
  <c r="W59" i="67"/>
  <c r="X59" i="67"/>
  <c r="W60" i="67"/>
  <c r="X60" i="67"/>
  <c r="W61" i="67"/>
  <c r="X61" i="67"/>
  <c r="W62" i="67"/>
  <c r="X62" i="67"/>
  <c r="W63" i="67"/>
  <c r="X63" i="67"/>
  <c r="W64" i="67"/>
  <c r="X64" i="67"/>
  <c r="W65" i="67"/>
  <c r="X65" i="67"/>
  <c r="W66" i="67"/>
  <c r="X66" i="67"/>
  <c r="W67" i="67"/>
  <c r="X67" i="67"/>
  <c r="W68" i="67"/>
  <c r="X68" i="67"/>
  <c r="W69" i="67"/>
  <c r="X69" i="67"/>
  <c r="W70" i="67"/>
  <c r="X70" i="67"/>
  <c r="W71" i="67"/>
  <c r="X71" i="67"/>
  <c r="W72" i="67"/>
  <c r="X72" i="67"/>
  <c r="W73" i="67"/>
  <c r="X73" i="67"/>
  <c r="W74" i="67"/>
  <c r="X74" i="67"/>
  <c r="W75" i="67"/>
  <c r="X75" i="67"/>
  <c r="W76" i="67"/>
  <c r="X76" i="67"/>
  <c r="W77" i="67"/>
  <c r="X77" i="67"/>
  <c r="W78" i="67"/>
  <c r="X78" i="67"/>
  <c r="W79" i="67"/>
  <c r="X79" i="67"/>
  <c r="W80" i="67"/>
  <c r="X80" i="67"/>
  <c r="W81" i="67"/>
  <c r="X81" i="67"/>
  <c r="W82" i="67"/>
  <c r="X82" i="67"/>
  <c r="W83" i="67"/>
  <c r="X83" i="67"/>
  <c r="W84" i="67"/>
  <c r="X84" i="67"/>
  <c r="W85" i="67"/>
  <c r="X85" i="67"/>
  <c r="W86" i="67"/>
  <c r="X86" i="67"/>
  <c r="W87" i="67"/>
  <c r="X87" i="67"/>
  <c r="W88" i="67"/>
  <c r="X88" i="67"/>
  <c r="W89" i="67"/>
  <c r="X89" i="67"/>
  <c r="W90" i="67"/>
  <c r="X90" i="67"/>
  <c r="W91" i="67"/>
  <c r="X91" i="67"/>
  <c r="W92" i="67"/>
  <c r="X92" i="67"/>
  <c r="W93" i="67"/>
  <c r="X93" i="67"/>
  <c r="W94" i="67"/>
  <c r="X94" i="67"/>
  <c r="W95" i="67"/>
  <c r="X95" i="67"/>
  <c r="W96" i="67"/>
  <c r="X96" i="67"/>
  <c r="W97" i="67"/>
  <c r="X97" i="67"/>
  <c r="W98" i="67"/>
  <c r="X98" i="67"/>
  <c r="W99" i="67"/>
  <c r="X99" i="67"/>
  <c r="W100" i="67"/>
  <c r="X100" i="67"/>
  <c r="W101" i="67"/>
  <c r="X101" i="67"/>
  <c r="W102" i="67"/>
  <c r="X102" i="67"/>
  <c r="W103" i="67"/>
  <c r="X103" i="67"/>
  <c r="W104" i="67"/>
  <c r="X104" i="67"/>
  <c r="W105" i="67"/>
  <c r="X105" i="67"/>
  <c r="W106" i="67"/>
  <c r="X106" i="67"/>
  <c r="W107" i="67"/>
  <c r="X107" i="67"/>
  <c r="W108" i="67"/>
  <c r="X108" i="67"/>
  <c r="W109" i="67"/>
  <c r="X109" i="67"/>
  <c r="W110" i="67"/>
  <c r="X110" i="67"/>
  <c r="W111" i="67"/>
  <c r="X111" i="67"/>
  <c r="W112" i="67"/>
  <c r="X112" i="67"/>
  <c r="W113" i="67"/>
  <c r="X113" i="67"/>
  <c r="W114" i="67"/>
  <c r="X114" i="67"/>
  <c r="W115" i="67"/>
  <c r="X115" i="67"/>
  <c r="W116" i="67"/>
  <c r="X116" i="67"/>
  <c r="W117" i="67"/>
  <c r="X117" i="67"/>
  <c r="W118" i="67"/>
  <c r="X118" i="67"/>
  <c r="W119" i="67"/>
  <c r="X119" i="67"/>
  <c r="W120" i="67"/>
  <c r="X120" i="67"/>
  <c r="W121" i="67"/>
  <c r="X121" i="67"/>
  <c r="W122" i="67"/>
  <c r="X122" i="67"/>
  <c r="W123" i="67"/>
  <c r="X123" i="67"/>
  <c r="W124" i="67"/>
  <c r="X124" i="67"/>
  <c r="W125" i="67"/>
  <c r="X125" i="67"/>
  <c r="W126" i="67"/>
  <c r="X126" i="67"/>
  <c r="W127" i="67"/>
  <c r="X127" i="67"/>
  <c r="W128" i="67"/>
  <c r="X128" i="67"/>
  <c r="W129" i="67"/>
  <c r="X129" i="67"/>
  <c r="W130" i="67"/>
  <c r="X130" i="67"/>
  <c r="W131" i="67"/>
  <c r="X131" i="67"/>
  <c r="W132" i="67"/>
  <c r="X132" i="67"/>
  <c r="W133" i="67"/>
  <c r="X133" i="67"/>
  <c r="W134" i="67"/>
  <c r="X134" i="67"/>
  <c r="W135" i="67"/>
  <c r="X135" i="67"/>
  <c r="W136" i="67"/>
  <c r="X136" i="67"/>
  <c r="W137" i="67"/>
  <c r="X137" i="67"/>
  <c r="W138" i="67"/>
  <c r="X138" i="67"/>
  <c r="W139" i="67"/>
  <c r="X139" i="67"/>
  <c r="W140" i="67"/>
  <c r="X140" i="67"/>
  <c r="W141" i="67"/>
  <c r="X141" i="67"/>
  <c r="W142" i="67"/>
  <c r="X142" i="67"/>
  <c r="W143" i="67"/>
  <c r="X143" i="67"/>
  <c r="W144" i="67"/>
  <c r="X144" i="67"/>
  <c r="W145" i="67"/>
  <c r="X145" i="67"/>
  <c r="W146" i="67"/>
  <c r="X146" i="67"/>
  <c r="W147" i="67"/>
  <c r="X147" i="67"/>
  <c r="W148" i="67"/>
  <c r="X148" i="67"/>
  <c r="W149" i="67"/>
  <c r="X149" i="67"/>
  <c r="W150" i="67"/>
  <c r="X150" i="67"/>
  <c r="W151" i="67"/>
  <c r="X151" i="67"/>
  <c r="W152" i="67"/>
  <c r="X152" i="67"/>
  <c r="W153" i="67"/>
  <c r="X153" i="67"/>
  <c r="W154" i="67"/>
  <c r="X154" i="67"/>
  <c r="W155" i="67"/>
  <c r="X155" i="67"/>
  <c r="W156" i="67"/>
  <c r="X156" i="67"/>
  <c r="W157" i="67"/>
  <c r="X157" i="67"/>
  <c r="W158" i="67"/>
  <c r="X158" i="67"/>
  <c r="W159" i="67"/>
  <c r="X159" i="67"/>
  <c r="W160" i="67"/>
  <c r="X160" i="67"/>
  <c r="W161" i="67"/>
  <c r="X161" i="67"/>
  <c r="W162" i="67"/>
  <c r="X162" i="67"/>
  <c r="W163" i="67"/>
  <c r="X163" i="67"/>
  <c r="W164" i="67"/>
  <c r="X164" i="67"/>
  <c r="W165" i="67"/>
  <c r="X165" i="67"/>
  <c r="W166" i="67"/>
  <c r="X166" i="67"/>
  <c r="W167" i="67"/>
  <c r="X167" i="67"/>
  <c r="W168" i="67"/>
  <c r="X168" i="67"/>
  <c r="W169" i="67"/>
  <c r="X169" i="67"/>
  <c r="W170" i="67"/>
  <c r="X170" i="67"/>
  <c r="W171" i="67"/>
  <c r="X171" i="67"/>
  <c r="W172" i="67"/>
  <c r="X172" i="67"/>
  <c r="W173" i="67"/>
  <c r="X173" i="67"/>
  <c r="W174" i="67"/>
  <c r="X174" i="67"/>
  <c r="W175" i="67"/>
  <c r="X175" i="67"/>
  <c r="W176" i="67"/>
  <c r="X176" i="67"/>
  <c r="W177" i="67"/>
  <c r="X177" i="67"/>
  <c r="W178" i="67"/>
  <c r="X178" i="67"/>
  <c r="W179" i="67"/>
  <c r="X179" i="67"/>
  <c r="W180" i="67"/>
  <c r="X180" i="67"/>
  <c r="W181" i="67"/>
  <c r="X181" i="67"/>
  <c r="W182" i="67"/>
  <c r="X182" i="67"/>
  <c r="W183" i="67"/>
  <c r="X183" i="67"/>
  <c r="W184" i="67"/>
  <c r="X184" i="67"/>
  <c r="W185" i="67"/>
  <c r="X185" i="67"/>
  <c r="W186" i="67"/>
  <c r="X186" i="67"/>
  <c r="W187" i="67"/>
  <c r="X187" i="67"/>
  <c r="W188" i="67"/>
  <c r="X188" i="67"/>
  <c r="W189" i="67"/>
  <c r="X189" i="67"/>
  <c r="W190" i="67"/>
  <c r="X190" i="67"/>
  <c r="W191" i="67"/>
  <c r="X191" i="67"/>
  <c r="W192" i="67"/>
  <c r="X192" i="67"/>
  <c r="W193" i="67"/>
  <c r="X193" i="67"/>
  <c r="W194" i="67"/>
  <c r="X194" i="67"/>
  <c r="W195" i="67"/>
  <c r="X195" i="67"/>
  <c r="W196" i="67"/>
  <c r="X196" i="67"/>
  <c r="W197" i="67"/>
  <c r="X197" i="67"/>
  <c r="W198" i="67"/>
  <c r="X198" i="67"/>
  <c r="W199" i="67"/>
  <c r="X199" i="67"/>
  <c r="W200" i="67"/>
  <c r="X200" i="67"/>
  <c r="W201" i="67"/>
  <c r="X201" i="67"/>
  <c r="W202" i="67"/>
  <c r="X202" i="67"/>
  <c r="W203" i="67"/>
  <c r="X203" i="67"/>
  <c r="W204" i="67"/>
  <c r="X204" i="67"/>
  <c r="W205" i="67"/>
  <c r="X205" i="67"/>
  <c r="W206" i="67"/>
  <c r="X206" i="67"/>
  <c r="W207" i="67"/>
  <c r="X207" i="67"/>
  <c r="W208" i="67"/>
  <c r="X208" i="67"/>
  <c r="W209" i="67"/>
  <c r="X209" i="67"/>
  <c r="W210" i="67"/>
  <c r="X210" i="67"/>
  <c r="W211" i="67"/>
  <c r="X211" i="67"/>
  <c r="W212" i="67"/>
  <c r="X212" i="67"/>
  <c r="W213" i="67"/>
  <c r="X213" i="67"/>
  <c r="W214" i="67"/>
  <c r="X214" i="67"/>
  <c r="W215" i="67"/>
  <c r="X215" i="67"/>
  <c r="W216" i="67"/>
  <c r="X216" i="67"/>
  <c r="W217" i="67"/>
  <c r="X217" i="67"/>
  <c r="W218" i="67"/>
  <c r="X218" i="67"/>
  <c r="W219" i="67"/>
  <c r="X219" i="67"/>
  <c r="W220" i="67"/>
  <c r="X220" i="67"/>
  <c r="W221" i="67"/>
  <c r="X221" i="67"/>
  <c r="W222" i="67"/>
  <c r="X222" i="67"/>
  <c r="W223" i="67"/>
  <c r="X223" i="67"/>
  <c r="W224" i="67"/>
  <c r="X224" i="67"/>
  <c r="W225" i="67"/>
  <c r="X225" i="67"/>
  <c r="W226" i="67"/>
  <c r="X226" i="67"/>
  <c r="W227" i="67"/>
  <c r="X227" i="67"/>
  <c r="W228" i="67"/>
  <c r="X228" i="67"/>
  <c r="W229" i="67"/>
  <c r="X229" i="67"/>
  <c r="W230" i="67"/>
  <c r="X230" i="67"/>
  <c r="W231" i="67"/>
  <c r="X231" i="67"/>
  <c r="W232" i="67"/>
  <c r="X232" i="67"/>
  <c r="W233" i="67"/>
  <c r="X233" i="67"/>
  <c r="W234" i="67"/>
  <c r="X234" i="67"/>
  <c r="W235" i="67"/>
  <c r="X235" i="67"/>
  <c r="W236" i="67"/>
  <c r="X236" i="67"/>
  <c r="W237" i="67"/>
  <c r="X237" i="67"/>
  <c r="W238" i="67"/>
  <c r="X238" i="67"/>
  <c r="W239" i="67"/>
  <c r="X239" i="67"/>
  <c r="W240" i="67"/>
  <c r="X240" i="67"/>
  <c r="W241" i="67"/>
  <c r="X241" i="67"/>
  <c r="W242" i="67"/>
  <c r="X242" i="67"/>
  <c r="W243" i="67"/>
  <c r="X243" i="67"/>
  <c r="W244" i="67"/>
  <c r="X244" i="67"/>
  <c r="W245" i="67"/>
  <c r="X245" i="67"/>
  <c r="W246" i="67"/>
  <c r="X246" i="67"/>
  <c r="W247" i="67"/>
  <c r="X247" i="67"/>
  <c r="W248" i="67"/>
  <c r="X248" i="67"/>
  <c r="W249" i="67"/>
  <c r="X249" i="67"/>
  <c r="W250" i="67"/>
  <c r="X250" i="67"/>
  <c r="W251" i="67"/>
  <c r="X251" i="67"/>
  <c r="W252" i="67"/>
  <c r="X252" i="67"/>
  <c r="W253" i="67"/>
  <c r="X253" i="67"/>
  <c r="W254" i="67"/>
  <c r="X254" i="67"/>
  <c r="W255" i="67"/>
  <c r="X255" i="67"/>
  <c r="W256" i="67"/>
  <c r="X256" i="67"/>
  <c r="W257" i="67"/>
  <c r="X257" i="67"/>
  <c r="X10" i="67"/>
  <c r="X11" i="63"/>
  <c r="X12" i="63"/>
  <c r="X13" i="63"/>
  <c r="X15" i="63"/>
  <c r="X16" i="63"/>
  <c r="X17" i="63"/>
  <c r="X18" i="63"/>
  <c r="X19" i="63"/>
  <c r="X20" i="63"/>
  <c r="X21" i="63"/>
  <c r="X22" i="63"/>
  <c r="X23" i="63"/>
  <c r="X24" i="63"/>
  <c r="X25" i="63"/>
  <c r="X26" i="63"/>
  <c r="X27" i="63"/>
  <c r="X28" i="63"/>
  <c r="X29" i="63"/>
  <c r="X30" i="63"/>
  <c r="X31" i="63"/>
  <c r="X32" i="63"/>
  <c r="W33" i="63"/>
  <c r="X33" i="63"/>
  <c r="W34" i="63"/>
  <c r="X34" i="63"/>
  <c r="W35" i="63"/>
  <c r="X35" i="63"/>
  <c r="W36" i="63"/>
  <c r="X36" i="63"/>
  <c r="W37" i="63"/>
  <c r="X37" i="63"/>
  <c r="X38" i="63"/>
  <c r="W39" i="63"/>
  <c r="X39" i="63"/>
  <c r="W40" i="63"/>
  <c r="X40" i="63"/>
  <c r="W41" i="63"/>
  <c r="X41" i="63"/>
  <c r="W42" i="63"/>
  <c r="X42" i="63"/>
  <c r="W43" i="63"/>
  <c r="X43" i="63"/>
  <c r="W44" i="63"/>
  <c r="X44" i="63"/>
  <c r="W45" i="63"/>
  <c r="X45" i="63"/>
  <c r="W46" i="63"/>
  <c r="X46" i="63"/>
  <c r="X47" i="63"/>
  <c r="W48" i="63"/>
  <c r="X48" i="63"/>
  <c r="W49" i="63"/>
  <c r="X49" i="63"/>
  <c r="W50" i="63"/>
  <c r="X50" i="63"/>
  <c r="W51" i="63"/>
  <c r="X51" i="63"/>
  <c r="W52" i="63"/>
  <c r="X52" i="63"/>
  <c r="W53" i="63"/>
  <c r="X53" i="63"/>
  <c r="W54" i="63"/>
  <c r="X54" i="63"/>
  <c r="W55" i="63"/>
  <c r="X55" i="63"/>
  <c r="W56" i="63"/>
  <c r="X56" i="63"/>
  <c r="W57" i="63"/>
  <c r="X57" i="63"/>
  <c r="W58" i="63"/>
  <c r="X58" i="63"/>
  <c r="W59" i="63"/>
  <c r="X59" i="63"/>
  <c r="W60" i="63"/>
  <c r="X60" i="63"/>
  <c r="W61" i="63"/>
  <c r="X61" i="63"/>
  <c r="W62" i="63"/>
  <c r="X62" i="63"/>
  <c r="W63" i="63"/>
  <c r="X63" i="63"/>
  <c r="W64" i="63"/>
  <c r="X64" i="63"/>
  <c r="W65" i="63"/>
  <c r="X65" i="63"/>
  <c r="W66" i="63"/>
  <c r="X66" i="63"/>
  <c r="W67" i="63"/>
  <c r="X67" i="63"/>
  <c r="W68" i="63"/>
  <c r="X68" i="63"/>
  <c r="W69" i="63"/>
  <c r="X69" i="63"/>
  <c r="W70" i="63"/>
  <c r="X70" i="63"/>
  <c r="W71" i="63"/>
  <c r="X71" i="63"/>
  <c r="W72" i="63"/>
  <c r="X72" i="63"/>
  <c r="W73" i="63"/>
  <c r="X73" i="63"/>
  <c r="W74" i="63"/>
  <c r="X74" i="63"/>
  <c r="W75" i="63"/>
  <c r="X75" i="63"/>
  <c r="W76" i="63"/>
  <c r="X76" i="63"/>
  <c r="W77" i="63"/>
  <c r="X77" i="63"/>
  <c r="W78" i="63"/>
  <c r="X78" i="63"/>
  <c r="W79" i="63"/>
  <c r="X79" i="63"/>
  <c r="W80" i="63"/>
  <c r="X80" i="63"/>
  <c r="W81" i="63"/>
  <c r="X81" i="63"/>
  <c r="W82" i="63"/>
  <c r="X82" i="63"/>
  <c r="W83" i="63"/>
  <c r="X83" i="63"/>
  <c r="W84" i="63"/>
  <c r="X84" i="63"/>
  <c r="W85" i="63"/>
  <c r="X85" i="63"/>
  <c r="W86" i="63"/>
  <c r="X86" i="63"/>
  <c r="W87" i="63"/>
  <c r="X87" i="63"/>
  <c r="W88" i="63"/>
  <c r="X88" i="63"/>
  <c r="W89" i="63"/>
  <c r="X89" i="63"/>
  <c r="W90" i="63"/>
  <c r="X90" i="63"/>
  <c r="W91" i="63"/>
  <c r="X91" i="63"/>
  <c r="W92" i="63"/>
  <c r="X92" i="63"/>
  <c r="W93" i="63"/>
  <c r="X93" i="63"/>
  <c r="W94" i="63"/>
  <c r="X94" i="63"/>
  <c r="W95" i="63"/>
  <c r="X95" i="63"/>
  <c r="W96" i="63"/>
  <c r="X96" i="63"/>
  <c r="W97" i="63"/>
  <c r="X97" i="63"/>
  <c r="W98" i="63"/>
  <c r="X98" i="63"/>
  <c r="W99" i="63"/>
  <c r="X99" i="63"/>
  <c r="W100" i="63"/>
  <c r="X100" i="63"/>
  <c r="W101" i="63"/>
  <c r="X101" i="63"/>
  <c r="W102" i="63"/>
  <c r="X102" i="63"/>
  <c r="W103" i="63"/>
  <c r="X103" i="63"/>
  <c r="W104" i="63"/>
  <c r="X104" i="63"/>
  <c r="W105" i="63"/>
  <c r="X105" i="63"/>
  <c r="W106" i="63"/>
  <c r="X106" i="63"/>
  <c r="W107" i="63"/>
  <c r="X107" i="63"/>
  <c r="W108" i="63"/>
  <c r="X108" i="63"/>
  <c r="W109" i="63"/>
  <c r="X109" i="63"/>
  <c r="W110" i="63"/>
  <c r="X110" i="63"/>
  <c r="W111" i="63"/>
  <c r="X111" i="63"/>
  <c r="W112" i="63"/>
  <c r="X112" i="63"/>
  <c r="W113" i="63"/>
  <c r="X113" i="63"/>
  <c r="W114" i="63"/>
  <c r="X114" i="63"/>
  <c r="W115" i="63"/>
  <c r="X115" i="63"/>
  <c r="W116" i="63"/>
  <c r="X116" i="63"/>
  <c r="W117" i="63"/>
  <c r="X117" i="63"/>
  <c r="W118" i="63"/>
  <c r="X118" i="63"/>
  <c r="W119" i="63"/>
  <c r="X119" i="63"/>
  <c r="W120" i="63"/>
  <c r="X120" i="63"/>
  <c r="W121" i="63"/>
  <c r="X121" i="63"/>
  <c r="W122" i="63"/>
  <c r="X122" i="63"/>
  <c r="W123" i="63"/>
  <c r="X123" i="63"/>
  <c r="W124" i="63"/>
  <c r="X124" i="63"/>
  <c r="W125" i="63"/>
  <c r="X125" i="63"/>
  <c r="W126" i="63"/>
  <c r="X126" i="63"/>
  <c r="W127" i="63"/>
  <c r="X127" i="63"/>
  <c r="W128" i="63"/>
  <c r="X128" i="63"/>
  <c r="W129" i="63"/>
  <c r="X129" i="63"/>
  <c r="W130" i="63"/>
  <c r="X130" i="63"/>
  <c r="W131" i="63"/>
  <c r="X131" i="63"/>
  <c r="W132" i="63"/>
  <c r="X132" i="63"/>
  <c r="W133" i="63"/>
  <c r="X133" i="63"/>
  <c r="W134" i="63"/>
  <c r="X134" i="63"/>
  <c r="W135" i="63"/>
  <c r="X135" i="63"/>
  <c r="W136" i="63"/>
  <c r="X136" i="63"/>
  <c r="W137" i="63"/>
  <c r="X137" i="63"/>
  <c r="W138" i="63"/>
  <c r="X138" i="63"/>
  <c r="W139" i="63"/>
  <c r="X139" i="63"/>
  <c r="W140" i="63"/>
  <c r="X140" i="63"/>
  <c r="W141" i="63"/>
  <c r="X141" i="63"/>
  <c r="W142" i="63"/>
  <c r="X142" i="63"/>
  <c r="W143" i="63"/>
  <c r="X143" i="63"/>
  <c r="W144" i="63"/>
  <c r="X144" i="63"/>
  <c r="W145" i="63"/>
  <c r="X145" i="63"/>
  <c r="W146" i="63"/>
  <c r="X146" i="63"/>
  <c r="W147" i="63"/>
  <c r="X147" i="63"/>
  <c r="W148" i="63"/>
  <c r="X148" i="63"/>
  <c r="W149" i="63"/>
  <c r="X149" i="63"/>
  <c r="W150" i="63"/>
  <c r="X150" i="63"/>
  <c r="W151" i="63"/>
  <c r="X151" i="63"/>
  <c r="W152" i="63"/>
  <c r="X152" i="63"/>
  <c r="W153" i="63"/>
  <c r="X153" i="63"/>
  <c r="W154" i="63"/>
  <c r="X154" i="63"/>
  <c r="W155" i="63"/>
  <c r="X155" i="63"/>
  <c r="W156" i="63"/>
  <c r="X156" i="63"/>
  <c r="W157" i="63"/>
  <c r="X157" i="63"/>
  <c r="W158" i="63"/>
  <c r="X158" i="63"/>
  <c r="W159" i="63"/>
  <c r="X159" i="63"/>
  <c r="W160" i="63"/>
  <c r="X160" i="63"/>
  <c r="W161" i="63"/>
  <c r="X161" i="63"/>
  <c r="W162" i="63"/>
  <c r="X162" i="63"/>
  <c r="W163" i="63"/>
  <c r="X163" i="63"/>
  <c r="W164" i="63"/>
  <c r="X164" i="63"/>
  <c r="W165" i="63"/>
  <c r="X165" i="63"/>
  <c r="W166" i="63"/>
  <c r="X166" i="63"/>
  <c r="W167" i="63"/>
  <c r="X167" i="63"/>
  <c r="W168" i="63"/>
  <c r="X168" i="63"/>
  <c r="W169" i="63"/>
  <c r="X169" i="63"/>
  <c r="W170" i="63"/>
  <c r="X170" i="63"/>
  <c r="W171" i="63"/>
  <c r="X171" i="63"/>
  <c r="W172" i="63"/>
  <c r="X172" i="63"/>
  <c r="W173" i="63"/>
  <c r="X173" i="63"/>
  <c r="W174" i="63"/>
  <c r="X174" i="63"/>
  <c r="W175" i="63"/>
  <c r="X175" i="63"/>
  <c r="W176" i="63"/>
  <c r="X176" i="63"/>
  <c r="W177" i="63"/>
  <c r="X177" i="63"/>
  <c r="W178" i="63"/>
  <c r="X178" i="63"/>
  <c r="W179" i="63"/>
  <c r="X179" i="63"/>
  <c r="W180" i="63"/>
  <c r="X180" i="63"/>
  <c r="W181" i="63"/>
  <c r="X181" i="63"/>
  <c r="W182" i="63"/>
  <c r="X182" i="63"/>
  <c r="W183" i="63"/>
  <c r="X183" i="63"/>
  <c r="W184" i="63"/>
  <c r="X184" i="63"/>
  <c r="W185" i="63"/>
  <c r="X185" i="63"/>
  <c r="W186" i="63"/>
  <c r="X186" i="63"/>
  <c r="W187" i="63"/>
  <c r="X187" i="63"/>
  <c r="W188" i="63"/>
  <c r="X188" i="63"/>
  <c r="W189" i="63"/>
  <c r="X189" i="63"/>
  <c r="W190" i="63"/>
  <c r="X190" i="63"/>
  <c r="W191" i="63"/>
  <c r="X191" i="63"/>
  <c r="W192" i="63"/>
  <c r="X192" i="63"/>
  <c r="W193" i="63"/>
  <c r="X193" i="63"/>
  <c r="W194" i="63"/>
  <c r="X194" i="63"/>
  <c r="W195" i="63"/>
  <c r="X195" i="63"/>
  <c r="W196" i="63"/>
  <c r="X196" i="63"/>
  <c r="W197" i="63"/>
  <c r="X197" i="63"/>
  <c r="W198" i="63"/>
  <c r="X198" i="63"/>
  <c r="W199" i="63"/>
  <c r="X199" i="63"/>
  <c r="W200" i="63"/>
  <c r="X200" i="63"/>
  <c r="W201" i="63"/>
  <c r="X201" i="63"/>
  <c r="W202" i="63"/>
  <c r="X202" i="63"/>
  <c r="W203" i="63"/>
  <c r="X203" i="63"/>
  <c r="W204" i="63"/>
  <c r="X204" i="63"/>
  <c r="W205" i="63"/>
  <c r="X205" i="63"/>
  <c r="W206" i="63"/>
  <c r="X206" i="63"/>
  <c r="W207" i="63"/>
  <c r="X207" i="63"/>
  <c r="W208" i="63"/>
  <c r="X208" i="63"/>
  <c r="W209" i="63"/>
  <c r="X209" i="63"/>
  <c r="W210" i="63"/>
  <c r="X210" i="63"/>
  <c r="W211" i="63"/>
  <c r="X211" i="63"/>
  <c r="W212" i="63"/>
  <c r="X212" i="63"/>
  <c r="W213" i="63"/>
  <c r="X213" i="63"/>
  <c r="W214" i="63"/>
  <c r="X214" i="63"/>
  <c r="W215" i="63"/>
  <c r="X215" i="63"/>
  <c r="W216" i="63"/>
  <c r="X216" i="63"/>
  <c r="W217" i="63"/>
  <c r="X217" i="63"/>
  <c r="W218" i="63"/>
  <c r="X218" i="63"/>
  <c r="W219" i="63"/>
  <c r="X219" i="63"/>
  <c r="W220" i="63"/>
  <c r="X220" i="63"/>
  <c r="W221" i="63"/>
  <c r="X221" i="63"/>
  <c r="W222" i="63"/>
  <c r="X222" i="63"/>
  <c r="W223" i="63"/>
  <c r="X223" i="63"/>
  <c r="W224" i="63"/>
  <c r="X224" i="63"/>
  <c r="W225" i="63"/>
  <c r="X225" i="63"/>
  <c r="W226" i="63"/>
  <c r="X226" i="63"/>
  <c r="W227" i="63"/>
  <c r="X227" i="63"/>
  <c r="W228" i="63"/>
  <c r="X228" i="63"/>
  <c r="W229" i="63"/>
  <c r="X229" i="63"/>
  <c r="W230" i="63"/>
  <c r="X230" i="63"/>
  <c r="W231" i="63"/>
  <c r="X231" i="63"/>
  <c r="W232" i="63"/>
  <c r="X232" i="63"/>
  <c r="W233" i="63"/>
  <c r="X233" i="63"/>
  <c r="W234" i="63"/>
  <c r="X234" i="63"/>
  <c r="W235" i="63"/>
  <c r="X235" i="63"/>
  <c r="W236" i="63"/>
  <c r="X236" i="63"/>
  <c r="W237" i="63"/>
  <c r="X237" i="63"/>
  <c r="W238" i="63"/>
  <c r="X238" i="63"/>
  <c r="W239" i="63"/>
  <c r="X239" i="63"/>
  <c r="W240" i="63"/>
  <c r="X240" i="63"/>
  <c r="W241" i="63"/>
  <c r="X241" i="63"/>
  <c r="W242" i="63"/>
  <c r="X242" i="63"/>
  <c r="W243" i="63"/>
  <c r="X243" i="63"/>
  <c r="W244" i="63"/>
  <c r="X244" i="63"/>
  <c r="W245" i="63"/>
  <c r="X245" i="63"/>
  <c r="W246" i="63"/>
  <c r="X246" i="63"/>
  <c r="W247" i="63"/>
  <c r="X247" i="63"/>
  <c r="X248" i="63"/>
  <c r="W249" i="63"/>
  <c r="X249" i="63"/>
  <c r="W250" i="63"/>
  <c r="X250" i="63"/>
  <c r="W251" i="63"/>
  <c r="X251" i="63"/>
  <c r="W252" i="63"/>
  <c r="X252" i="63"/>
  <c r="W253" i="63"/>
  <c r="X253" i="63"/>
  <c r="W254" i="63"/>
  <c r="X254" i="63"/>
  <c r="W255" i="63"/>
  <c r="X255" i="63"/>
  <c r="X256" i="63"/>
  <c r="W257" i="63"/>
  <c r="X257" i="63"/>
  <c r="X10" i="63"/>
  <c r="M3" i="29"/>
  <c r="W18" i="46" l="1"/>
  <c r="W19" i="46"/>
  <c r="W20" i="46"/>
  <c r="W21" i="46"/>
  <c r="W22" i="46"/>
  <c r="W23" i="46"/>
  <c r="W24" i="46"/>
  <c r="W25" i="46"/>
  <c r="W26" i="46"/>
  <c r="W27" i="46"/>
  <c r="W28" i="46"/>
  <c r="W29" i="46"/>
  <c r="W30" i="46"/>
  <c r="W31" i="46"/>
  <c r="W32" i="46"/>
  <c r="W33" i="46"/>
  <c r="W34" i="46"/>
  <c r="W35" i="46"/>
  <c r="W36" i="46"/>
  <c r="W37" i="46"/>
  <c r="W38" i="46"/>
  <c r="W39" i="46"/>
  <c r="W40" i="46"/>
  <c r="W41" i="46"/>
  <c r="W42" i="46"/>
  <c r="W43" i="46"/>
  <c r="W44" i="46"/>
  <c r="W45" i="46"/>
  <c r="W46" i="46"/>
  <c r="W47" i="46"/>
  <c r="W48" i="46"/>
  <c r="W49" i="46"/>
  <c r="W50" i="46"/>
  <c r="W51" i="46"/>
  <c r="W52" i="46"/>
  <c r="W53" i="46"/>
  <c r="W54" i="46"/>
  <c r="W55" i="46"/>
  <c r="W56" i="46"/>
  <c r="W57" i="46"/>
  <c r="W58" i="46"/>
  <c r="W59" i="46"/>
  <c r="W60" i="46"/>
  <c r="W61" i="46"/>
  <c r="W62" i="46"/>
  <c r="W63" i="46"/>
  <c r="W64" i="46"/>
  <c r="W65" i="46"/>
  <c r="W66" i="46"/>
  <c r="W67" i="46"/>
  <c r="W68" i="46"/>
  <c r="W69" i="46"/>
  <c r="W70" i="46"/>
  <c r="W71" i="46"/>
  <c r="W72" i="46"/>
  <c r="W73" i="46"/>
  <c r="W74" i="46"/>
  <c r="W75" i="46"/>
  <c r="W76" i="46"/>
  <c r="W77" i="46"/>
  <c r="W78" i="46"/>
  <c r="W79" i="46"/>
  <c r="W80" i="46"/>
  <c r="W81" i="46"/>
  <c r="W82" i="46"/>
  <c r="W83" i="46"/>
  <c r="W84" i="46"/>
  <c r="W85" i="46"/>
  <c r="W86" i="46"/>
  <c r="W87" i="46"/>
  <c r="W88" i="46"/>
  <c r="W89" i="46"/>
  <c r="W90" i="46"/>
  <c r="W91" i="46"/>
  <c r="W92" i="46"/>
  <c r="W93" i="46"/>
  <c r="W94" i="46"/>
  <c r="W95" i="46"/>
  <c r="W96" i="46"/>
  <c r="W97" i="46"/>
  <c r="W98" i="46"/>
  <c r="W99" i="46"/>
  <c r="W100" i="46"/>
  <c r="W101" i="46"/>
  <c r="W102" i="46"/>
  <c r="W103" i="46"/>
  <c r="W104" i="46"/>
  <c r="W105" i="46"/>
  <c r="W106" i="46"/>
  <c r="W107" i="46"/>
  <c r="W108" i="46"/>
  <c r="W109" i="46"/>
  <c r="W110" i="46"/>
  <c r="W111" i="46"/>
  <c r="W112" i="46"/>
  <c r="W113" i="46"/>
  <c r="W114" i="46"/>
  <c r="W115" i="46"/>
  <c r="W116" i="46"/>
  <c r="W117" i="46"/>
  <c r="W118" i="46"/>
  <c r="W119" i="46"/>
  <c r="W120" i="46"/>
  <c r="W121" i="46"/>
  <c r="W122" i="46"/>
  <c r="W123" i="46"/>
  <c r="W124" i="46"/>
  <c r="W125" i="46"/>
  <c r="W126" i="46"/>
  <c r="W127" i="46"/>
  <c r="W128" i="46"/>
  <c r="W129" i="46"/>
  <c r="W130" i="46"/>
  <c r="W131" i="46"/>
  <c r="W132" i="46"/>
  <c r="W133" i="46"/>
  <c r="W134" i="46"/>
  <c r="W135" i="46"/>
  <c r="W136" i="46"/>
  <c r="W137" i="46"/>
  <c r="W138" i="46"/>
  <c r="W139" i="46"/>
  <c r="W140" i="46"/>
  <c r="W141" i="46"/>
  <c r="W142" i="46"/>
  <c r="W143" i="46"/>
  <c r="W144" i="46"/>
  <c r="W145" i="46"/>
  <c r="W146" i="46"/>
  <c r="W147" i="46"/>
  <c r="W148" i="46"/>
  <c r="W149" i="46"/>
  <c r="W150" i="46"/>
  <c r="W151" i="46"/>
  <c r="W152" i="46"/>
  <c r="W153" i="46"/>
  <c r="W154" i="46"/>
  <c r="W155" i="46"/>
  <c r="W156" i="46"/>
  <c r="W157" i="46"/>
  <c r="W158" i="46"/>
  <c r="W159" i="46"/>
  <c r="W160" i="46"/>
  <c r="W161" i="46"/>
  <c r="W162" i="46"/>
  <c r="W163" i="46"/>
  <c r="W164" i="46"/>
  <c r="W165" i="46"/>
  <c r="W166" i="46"/>
  <c r="W167" i="46"/>
  <c r="W168" i="46"/>
  <c r="W169" i="46"/>
  <c r="W170" i="46"/>
  <c r="W171" i="46"/>
  <c r="W172" i="46"/>
  <c r="W173" i="46"/>
  <c r="W174" i="46"/>
  <c r="W175" i="46"/>
  <c r="W176" i="46"/>
  <c r="W177" i="46"/>
  <c r="W178" i="46"/>
  <c r="W179" i="46"/>
  <c r="W180" i="46"/>
  <c r="W181" i="46"/>
  <c r="W182" i="46"/>
  <c r="W183" i="46"/>
  <c r="W184" i="46"/>
  <c r="W185" i="46"/>
  <c r="W186" i="46"/>
  <c r="W187" i="46"/>
  <c r="W188" i="46"/>
  <c r="W189" i="46"/>
  <c r="W190" i="46"/>
  <c r="W191" i="46"/>
  <c r="W192" i="46"/>
  <c r="W193" i="46"/>
  <c r="W194" i="46"/>
  <c r="W195" i="46"/>
  <c r="W196" i="46"/>
  <c r="W197" i="46"/>
  <c r="W198" i="46"/>
  <c r="W199" i="46"/>
  <c r="W200" i="46"/>
  <c r="W201" i="46"/>
  <c r="W202" i="46"/>
  <c r="W203" i="46"/>
  <c r="W204" i="46"/>
  <c r="W205" i="46"/>
  <c r="W206" i="46"/>
  <c r="W207" i="46"/>
  <c r="W208" i="46"/>
  <c r="W209" i="46"/>
  <c r="W211" i="46"/>
  <c r="W212" i="46"/>
  <c r="W213" i="46"/>
  <c r="W214" i="46"/>
  <c r="W215" i="46"/>
  <c r="W216" i="46"/>
  <c r="W217" i="46"/>
  <c r="W218" i="46"/>
  <c r="W219" i="46"/>
  <c r="W220" i="46"/>
  <c r="W221" i="46"/>
  <c r="W222" i="46"/>
  <c r="W223" i="46"/>
  <c r="W224" i="46"/>
  <c r="W225" i="46"/>
  <c r="W226" i="46"/>
  <c r="W227" i="46"/>
  <c r="W228" i="46"/>
  <c r="W229" i="46"/>
  <c r="W230" i="46"/>
  <c r="W231" i="46"/>
  <c r="W232" i="46"/>
  <c r="W233" i="46"/>
  <c r="W234" i="46"/>
  <c r="W235" i="46"/>
  <c r="W236" i="46"/>
  <c r="W237" i="46"/>
  <c r="W238" i="46"/>
  <c r="W239" i="46"/>
  <c r="W240" i="46"/>
  <c r="W241" i="46"/>
  <c r="W242" i="46"/>
  <c r="W243" i="46"/>
  <c r="W244" i="46"/>
  <c r="W245" i="46"/>
  <c r="W246" i="46"/>
  <c r="W247" i="46"/>
  <c r="W248" i="46"/>
  <c r="W249" i="46"/>
  <c r="W250" i="46"/>
  <c r="W251" i="46"/>
  <c r="W252" i="46"/>
  <c r="W253" i="46"/>
  <c r="W254" i="46"/>
  <c r="W255" i="46"/>
  <c r="W256" i="46"/>
  <c r="C74" i="72" l="1"/>
  <c r="B74" i="72"/>
  <c r="C136" i="72"/>
  <c r="B136" i="72"/>
  <c r="C133" i="72"/>
  <c r="C132" i="72"/>
  <c r="C158" i="72"/>
  <c r="B158" i="72"/>
  <c r="C81" i="72"/>
  <c r="B81" i="72"/>
  <c r="C62" i="72"/>
  <c r="B62" i="72"/>
  <c r="C32" i="72"/>
  <c r="B32" i="72"/>
  <c r="C31" i="72"/>
  <c r="C30" i="72"/>
  <c r="C29" i="72"/>
  <c r="C28" i="72"/>
  <c r="C27" i="72"/>
  <c r="C26" i="72"/>
  <c r="C25" i="72"/>
  <c r="C24" i="72"/>
  <c r="C23" i="72"/>
  <c r="C22" i="72"/>
  <c r="C21" i="72"/>
  <c r="C20" i="72"/>
  <c r="C19" i="72"/>
  <c r="C18" i="72"/>
  <c r="C17" i="72"/>
  <c r="C16" i="72"/>
  <c r="C15" i="72"/>
  <c r="C14" i="72"/>
  <c r="L99" i="29"/>
  <c r="M99" i="29"/>
  <c r="L100" i="29"/>
  <c r="M100" i="29"/>
  <c r="L101" i="29"/>
  <c r="M101" i="29"/>
  <c r="L102" i="29"/>
  <c r="M102" i="29"/>
  <c r="L103" i="29"/>
  <c r="M103" i="29"/>
  <c r="L104" i="29"/>
  <c r="M104" i="29"/>
  <c r="L105" i="29"/>
  <c r="M105" i="29"/>
  <c r="L106" i="29"/>
  <c r="M106" i="29"/>
  <c r="L107" i="29"/>
  <c r="M107" i="29"/>
  <c r="L108" i="29"/>
  <c r="M108" i="29"/>
  <c r="L109" i="29"/>
  <c r="M109" i="29"/>
  <c r="AQ258" i="59" l="1"/>
  <c r="AQ257" i="59"/>
  <c r="AQ256" i="59"/>
  <c r="AQ254" i="59"/>
  <c r="AQ253" i="59"/>
  <c r="AQ252" i="59"/>
  <c r="AQ251" i="59"/>
  <c r="AQ250" i="59"/>
  <c r="AQ249" i="59"/>
  <c r="AQ248" i="59"/>
  <c r="AQ247" i="59"/>
  <c r="AQ246" i="59"/>
  <c r="AQ245" i="59"/>
  <c r="AQ244" i="59"/>
  <c r="AQ243" i="59"/>
  <c r="AQ242" i="59"/>
  <c r="AQ241" i="59"/>
  <c r="AQ240" i="59"/>
  <c r="AQ239" i="59"/>
  <c r="AQ238" i="59"/>
  <c r="AQ237" i="59"/>
  <c r="AQ236" i="59"/>
  <c r="AQ235" i="59"/>
  <c r="AQ234" i="59"/>
  <c r="AQ233" i="59"/>
  <c r="AQ232" i="59"/>
  <c r="AQ231" i="59"/>
  <c r="AQ230" i="59"/>
  <c r="AQ229" i="59"/>
  <c r="AQ228" i="59"/>
  <c r="AQ227" i="59"/>
  <c r="AQ226" i="59"/>
  <c r="AQ225" i="59"/>
  <c r="AQ224" i="59"/>
  <c r="AQ223" i="59"/>
  <c r="AQ222" i="59"/>
  <c r="AQ221" i="59"/>
  <c r="AQ220" i="59"/>
  <c r="AQ219" i="59"/>
  <c r="AQ218" i="59"/>
  <c r="AQ217" i="59"/>
  <c r="AQ216" i="59"/>
  <c r="AQ215" i="59"/>
  <c r="AQ214" i="59"/>
  <c r="AQ213" i="59"/>
  <c r="AQ212" i="59"/>
  <c r="AQ211" i="59"/>
  <c r="AQ210" i="59"/>
  <c r="AQ209" i="59"/>
  <c r="AQ208" i="59"/>
  <c r="AQ207" i="59"/>
  <c r="AQ206" i="59"/>
  <c r="AQ205" i="59"/>
  <c r="AQ204" i="59"/>
  <c r="AQ203" i="59"/>
  <c r="AQ202" i="59"/>
  <c r="AQ201" i="59"/>
  <c r="AQ200" i="59"/>
  <c r="AQ199" i="59"/>
  <c r="AQ198" i="59"/>
  <c r="AQ197" i="59"/>
  <c r="AQ196" i="59"/>
  <c r="AQ195" i="59"/>
  <c r="AQ194" i="59"/>
  <c r="AQ193" i="59"/>
  <c r="AQ192" i="59"/>
  <c r="AQ191" i="59"/>
  <c r="AQ190" i="59"/>
  <c r="AQ189" i="59"/>
  <c r="AQ188" i="59"/>
  <c r="AQ187" i="59"/>
  <c r="AQ186" i="59"/>
  <c r="AQ185" i="59"/>
  <c r="AQ184" i="59"/>
  <c r="AQ183" i="59"/>
  <c r="AQ182" i="59"/>
  <c r="AQ181" i="59"/>
  <c r="AQ180" i="59"/>
  <c r="AQ179" i="59"/>
  <c r="AQ178" i="59"/>
  <c r="AQ177" i="59"/>
  <c r="AQ176" i="59"/>
  <c r="AQ175" i="59"/>
  <c r="AQ174" i="59"/>
  <c r="AQ173" i="59"/>
  <c r="AQ172" i="59"/>
  <c r="AQ171" i="59"/>
  <c r="AQ170" i="59"/>
  <c r="AQ169" i="59"/>
  <c r="AQ168" i="59"/>
  <c r="AQ167" i="59"/>
  <c r="AQ166" i="59"/>
  <c r="AQ165" i="59"/>
  <c r="AQ164" i="59"/>
  <c r="AQ163" i="59"/>
  <c r="AQ162" i="59"/>
  <c r="AQ161" i="59"/>
  <c r="AQ160" i="59"/>
  <c r="AQ159" i="59"/>
  <c r="AQ158" i="59"/>
  <c r="AQ157" i="59"/>
  <c r="AQ156" i="59"/>
  <c r="AQ155" i="59"/>
  <c r="AQ154" i="59"/>
  <c r="AQ153" i="59"/>
  <c r="AQ152" i="59"/>
  <c r="AQ151" i="59"/>
  <c r="AQ150" i="59"/>
  <c r="AQ149" i="59"/>
  <c r="AQ148" i="59"/>
  <c r="AQ147" i="59"/>
  <c r="AQ146" i="59"/>
  <c r="AQ145" i="59"/>
  <c r="AQ144" i="59"/>
  <c r="AQ143" i="59"/>
  <c r="AQ142" i="59"/>
  <c r="AQ141" i="59"/>
  <c r="AQ140" i="59"/>
  <c r="AQ139" i="59"/>
  <c r="AQ138" i="59"/>
  <c r="AQ137" i="59"/>
  <c r="AQ136" i="59"/>
  <c r="AQ135" i="59"/>
  <c r="AQ134" i="59"/>
  <c r="AQ133" i="59"/>
  <c r="AQ132" i="59"/>
  <c r="AQ131" i="59"/>
  <c r="AQ130" i="59"/>
  <c r="AQ129" i="59"/>
  <c r="AQ128" i="59"/>
  <c r="AQ127" i="59"/>
  <c r="AQ126" i="59"/>
  <c r="AQ125" i="59"/>
  <c r="AQ124" i="59"/>
  <c r="AQ123" i="59"/>
  <c r="AQ122" i="59"/>
  <c r="AQ121" i="59"/>
  <c r="AQ120" i="59"/>
  <c r="AQ119" i="59"/>
  <c r="AQ118" i="59"/>
  <c r="AQ117" i="59"/>
  <c r="AQ116" i="59"/>
  <c r="AQ115" i="59"/>
  <c r="AQ114" i="59"/>
  <c r="AQ113" i="59"/>
  <c r="AQ112" i="59"/>
  <c r="AQ111" i="59"/>
  <c r="AQ110" i="59"/>
  <c r="AQ109" i="59"/>
  <c r="AQ108" i="59"/>
  <c r="AQ107" i="59"/>
  <c r="AQ106" i="59"/>
  <c r="AQ105" i="59"/>
  <c r="AQ104" i="59"/>
  <c r="AQ103" i="59"/>
  <c r="AQ102" i="59"/>
  <c r="AQ101" i="59"/>
  <c r="AQ100" i="59"/>
  <c r="AQ99" i="59"/>
  <c r="AQ98" i="59"/>
  <c r="AQ97" i="59"/>
  <c r="AQ96" i="59"/>
  <c r="AQ95" i="59"/>
  <c r="AQ94" i="59"/>
  <c r="AQ93" i="59"/>
  <c r="AQ92" i="59"/>
  <c r="AQ91" i="59"/>
  <c r="AQ90" i="59"/>
  <c r="AQ89" i="59"/>
  <c r="AQ88" i="59"/>
  <c r="AQ87" i="59"/>
  <c r="AQ86" i="59"/>
  <c r="AQ85" i="59"/>
  <c r="AQ84" i="59"/>
  <c r="AQ83" i="59"/>
  <c r="AQ82" i="59"/>
  <c r="AQ81" i="59"/>
  <c r="AQ80" i="59"/>
  <c r="AQ79" i="59"/>
  <c r="AQ78" i="59"/>
  <c r="AQ77" i="59"/>
  <c r="AQ76" i="59"/>
  <c r="AQ75" i="59"/>
  <c r="AQ74" i="59"/>
  <c r="AQ73" i="59"/>
  <c r="AQ72" i="59"/>
  <c r="AQ71" i="59"/>
  <c r="AQ70" i="59"/>
  <c r="AQ69" i="59"/>
  <c r="AQ68" i="59"/>
  <c r="AQ67" i="59"/>
  <c r="AQ66" i="59"/>
  <c r="AQ65" i="59"/>
  <c r="AQ64" i="59"/>
  <c r="AQ63" i="59"/>
  <c r="AQ62" i="59"/>
  <c r="AQ61" i="59"/>
  <c r="AQ60" i="59"/>
  <c r="AQ59" i="59"/>
  <c r="AQ58" i="59"/>
  <c r="AQ57" i="59"/>
  <c r="AQ56" i="59"/>
  <c r="AQ55" i="59"/>
  <c r="AQ54" i="59"/>
  <c r="AQ53" i="59"/>
  <c r="AQ52" i="59"/>
  <c r="AQ51" i="59"/>
  <c r="AQ50" i="59"/>
  <c r="AQ49" i="59"/>
  <c r="AQ48" i="59"/>
  <c r="AQ47" i="59"/>
  <c r="AQ46" i="59"/>
  <c r="AQ45" i="59"/>
  <c r="AQ44" i="59"/>
  <c r="AQ43" i="59"/>
  <c r="AQ42" i="59"/>
  <c r="AQ41" i="59"/>
  <c r="AQ40" i="59"/>
  <c r="AQ39" i="59"/>
  <c r="AQ38" i="59"/>
  <c r="AQ37" i="59"/>
  <c r="AQ36" i="59"/>
  <c r="AQ35" i="59"/>
  <c r="AQ34" i="59"/>
  <c r="AQ33" i="59"/>
  <c r="AQ32" i="59"/>
  <c r="AQ31" i="59"/>
  <c r="AQ30" i="59"/>
  <c r="AQ29" i="59"/>
  <c r="AQ28" i="59"/>
  <c r="AQ27" i="59"/>
  <c r="AQ26" i="59"/>
  <c r="AQ25" i="59"/>
  <c r="AQ24" i="59"/>
  <c r="AQ23" i="59"/>
  <c r="AQ22" i="59"/>
  <c r="AQ21" i="59"/>
  <c r="AQ20" i="59"/>
  <c r="AQ19" i="59"/>
  <c r="AQ18" i="59"/>
  <c r="AQ17" i="59"/>
  <c r="AQ16" i="59"/>
  <c r="AQ15" i="59"/>
  <c r="AQ258" i="11" l="1"/>
  <c r="AQ257" i="11"/>
  <c r="AQ256" i="11"/>
  <c r="AQ255" i="11"/>
  <c r="AQ254" i="11"/>
  <c r="AQ253" i="11"/>
  <c r="AQ252" i="11"/>
  <c r="AQ251" i="11"/>
  <c r="AQ250" i="11"/>
  <c r="AQ249" i="11"/>
  <c r="AQ248" i="11"/>
  <c r="AQ247" i="11"/>
  <c r="AQ246" i="11"/>
  <c r="AQ245" i="11"/>
  <c r="AQ244" i="11"/>
  <c r="AQ243" i="11"/>
  <c r="AQ242" i="11"/>
  <c r="AQ241" i="11"/>
  <c r="AQ240" i="11"/>
  <c r="AQ239" i="11"/>
  <c r="AQ238" i="11"/>
  <c r="AQ237" i="11"/>
  <c r="AQ236" i="11"/>
  <c r="AQ235" i="11"/>
  <c r="AQ234" i="11"/>
  <c r="AQ233" i="11"/>
  <c r="AQ232" i="11"/>
  <c r="AQ231" i="11"/>
  <c r="AQ230" i="11"/>
  <c r="AQ229" i="11"/>
  <c r="AQ228" i="11"/>
  <c r="AQ227" i="11"/>
  <c r="AQ226" i="11"/>
  <c r="AQ225" i="11"/>
  <c r="AQ224" i="11"/>
  <c r="AQ223" i="11"/>
  <c r="AQ222" i="11"/>
  <c r="AQ221" i="11"/>
  <c r="AQ220" i="11"/>
  <c r="AQ219" i="11"/>
  <c r="AQ218" i="11"/>
  <c r="AQ217" i="11"/>
  <c r="AQ216" i="11"/>
  <c r="AQ215" i="11"/>
  <c r="AQ214" i="11"/>
  <c r="AQ213" i="11"/>
  <c r="AQ212" i="11"/>
  <c r="AQ211" i="11"/>
  <c r="AQ210" i="11"/>
  <c r="AQ209" i="11"/>
  <c r="AQ208" i="11"/>
  <c r="AQ207" i="11"/>
  <c r="AQ206" i="11"/>
  <c r="AQ205" i="11"/>
  <c r="AQ204" i="11"/>
  <c r="AQ203" i="11"/>
  <c r="AQ202" i="11"/>
  <c r="AQ201" i="11"/>
  <c r="AQ200" i="11"/>
  <c r="AQ199" i="11"/>
  <c r="AQ198" i="11"/>
  <c r="AQ197" i="11"/>
  <c r="AQ196" i="11"/>
  <c r="AQ195" i="11"/>
  <c r="AQ194" i="11"/>
  <c r="AQ193" i="11"/>
  <c r="AQ192" i="11"/>
  <c r="AQ191" i="11"/>
  <c r="AQ190" i="11"/>
  <c r="AQ189" i="11"/>
  <c r="AQ188" i="11"/>
  <c r="AQ187" i="11"/>
  <c r="AQ186" i="11"/>
  <c r="AQ185" i="11"/>
  <c r="AQ184" i="11"/>
  <c r="AQ183" i="11"/>
  <c r="AQ182" i="11"/>
  <c r="AQ181" i="11"/>
  <c r="AQ180" i="11"/>
  <c r="AQ179" i="11"/>
  <c r="AQ178" i="11"/>
  <c r="AQ177" i="11"/>
  <c r="AQ176" i="11"/>
  <c r="AQ175" i="11"/>
  <c r="AQ174" i="11"/>
  <c r="AQ173" i="11"/>
  <c r="AQ172" i="11"/>
  <c r="AQ171" i="11"/>
  <c r="AQ170" i="11"/>
  <c r="AQ169" i="11"/>
  <c r="AQ168" i="11"/>
  <c r="AQ167" i="11"/>
  <c r="AQ166" i="11"/>
  <c r="AQ165" i="11"/>
  <c r="AQ164" i="11"/>
  <c r="AQ163" i="11"/>
  <c r="AQ162" i="11"/>
  <c r="AQ161" i="11"/>
  <c r="AQ160" i="11"/>
  <c r="AQ159" i="11"/>
  <c r="AQ158" i="11"/>
  <c r="AQ157" i="11"/>
  <c r="AQ156" i="11"/>
  <c r="AQ155" i="11"/>
  <c r="AQ154" i="11"/>
  <c r="AQ153" i="11"/>
  <c r="AQ152" i="11"/>
  <c r="AQ151" i="11"/>
  <c r="AQ150" i="11"/>
  <c r="AQ149" i="11"/>
  <c r="AQ148" i="11"/>
  <c r="AQ147" i="11"/>
  <c r="AQ146" i="11"/>
  <c r="AQ145" i="11"/>
  <c r="B99" i="28" l="1"/>
  <c r="J169" i="36" l="1"/>
  <c r="J167" i="36"/>
  <c r="J165" i="36"/>
  <c r="J163" i="36"/>
  <c r="J104" i="36"/>
  <c r="F186" i="36"/>
  <c r="F185" i="36"/>
  <c r="F184" i="36"/>
  <c r="F183" i="36"/>
  <c r="F182" i="36"/>
  <c r="D172" i="22"/>
  <c r="D171" i="22"/>
  <c r="D170" i="22"/>
  <c r="D169" i="22"/>
  <c r="D168" i="22"/>
  <c r="C172" i="22"/>
  <c r="C171" i="22"/>
  <c r="C170" i="22"/>
  <c r="C169" i="22"/>
  <c r="C168" i="22"/>
  <c r="A172" i="22"/>
  <c r="A171" i="22"/>
  <c r="A170" i="22"/>
  <c r="A169" i="22"/>
  <c r="A168" i="22"/>
  <c r="K168" i="22" l="1"/>
  <c r="W168" i="22"/>
  <c r="U168" i="22"/>
  <c r="X170" i="22"/>
  <c r="V170" i="22"/>
  <c r="W170" i="22"/>
  <c r="T170" i="22"/>
  <c r="D184" i="36" s="1"/>
  <c r="H184" i="36" s="1"/>
  <c r="U170" i="22"/>
  <c r="U169" i="22"/>
  <c r="W169" i="22"/>
  <c r="X171" i="22"/>
  <c r="W171" i="22"/>
  <c r="U171" i="22"/>
  <c r="X172" i="22"/>
  <c r="V172" i="22"/>
  <c r="T172" i="22"/>
  <c r="D186" i="36" s="1"/>
  <c r="H186" i="36" s="1"/>
  <c r="W172" i="22"/>
  <c r="U172" i="22"/>
  <c r="K171" i="22"/>
  <c r="K170" i="22"/>
  <c r="L170" i="22"/>
  <c r="K172" i="22"/>
  <c r="S168" i="22"/>
  <c r="C182" i="36" s="1"/>
  <c r="S169" i="22"/>
  <c r="C183" i="36" s="1"/>
  <c r="S170" i="22"/>
  <c r="C184" i="36" s="1"/>
  <c r="S171" i="22"/>
  <c r="C185" i="36" s="1"/>
  <c r="K169" i="22"/>
  <c r="S172" i="22"/>
  <c r="C186" i="36" s="1"/>
  <c r="J108" i="36"/>
  <c r="J106" i="36"/>
  <c r="J102" i="36"/>
  <c r="J100" i="36"/>
  <c r="A146" i="22" l="1"/>
  <c r="S146" i="22" s="1"/>
  <c r="C119" i="36" s="1"/>
  <c r="A147" i="22"/>
  <c r="E147" i="22" s="1"/>
  <c r="C100" i="36" s="1"/>
  <c r="A148" i="22"/>
  <c r="T148" i="22" s="1"/>
  <c r="D121" i="36" s="1"/>
  <c r="A149" i="22"/>
  <c r="S149" i="22" s="1"/>
  <c r="C122" i="36" s="1"/>
  <c r="A150" i="22"/>
  <c r="G150" i="22" s="1"/>
  <c r="A151" i="22"/>
  <c r="S151" i="22" s="1"/>
  <c r="C124" i="36" s="1"/>
  <c r="A152" i="22"/>
  <c r="T152" i="22" s="1"/>
  <c r="D125" i="36" s="1"/>
  <c r="A153" i="22"/>
  <c r="A154" i="22"/>
  <c r="S154" i="22" s="1"/>
  <c r="C127" i="36" s="1"/>
  <c r="A155" i="22"/>
  <c r="A156" i="22"/>
  <c r="A157" i="22"/>
  <c r="I157" i="22" s="1"/>
  <c r="A158" i="22"/>
  <c r="E158" i="22" s="1"/>
  <c r="C111" i="36" s="1"/>
  <c r="S152" i="22"/>
  <c r="C125" i="36" s="1"/>
  <c r="K153" i="22"/>
  <c r="K146" i="22"/>
  <c r="I154" i="22"/>
  <c r="G146" i="22"/>
  <c r="E154" i="22"/>
  <c r="C107" i="36" s="1"/>
  <c r="E146" i="22"/>
  <c r="C99" i="36" s="1"/>
  <c r="T151" i="22" l="1"/>
  <c r="D124" i="36" s="1"/>
  <c r="G154" i="22"/>
  <c r="K154" i="22"/>
  <c r="L154" i="22"/>
  <c r="G152" i="22"/>
  <c r="E152" i="22"/>
  <c r="C105" i="36" s="1"/>
  <c r="C145" i="36" s="1"/>
  <c r="K152" i="22"/>
  <c r="G151" i="22"/>
  <c r="E150" i="22"/>
  <c r="C103" i="36" s="1"/>
  <c r="E151" i="22"/>
  <c r="C104" i="36" s="1"/>
  <c r="C144" i="36" s="1"/>
  <c r="L149" i="22"/>
  <c r="K151" i="22"/>
  <c r="G155" i="22"/>
  <c r="T150" i="22"/>
  <c r="D123" i="36" s="1"/>
  <c r="C147" i="36"/>
  <c r="E156" i="22"/>
  <c r="C109" i="36" s="1"/>
  <c r="C139" i="36"/>
  <c r="I155" i="22"/>
  <c r="E157" i="22"/>
  <c r="C110" i="36" s="1"/>
  <c r="G157" i="22"/>
  <c r="K149" i="22"/>
  <c r="E149" i="22"/>
  <c r="C102" i="36" s="1"/>
  <c r="C142" i="36" s="1"/>
  <c r="S157" i="22"/>
  <c r="C130" i="36" s="1"/>
  <c r="G149" i="22"/>
  <c r="H157" i="22"/>
  <c r="T149" i="22"/>
  <c r="D122" i="36" s="1"/>
  <c r="L157" i="22"/>
  <c r="K157" i="22"/>
  <c r="E148" i="22"/>
  <c r="C101" i="36" s="1"/>
  <c r="K150" i="22"/>
  <c r="K158" i="22"/>
  <c r="S150" i="22"/>
  <c r="C123" i="36" s="1"/>
  <c r="V149" i="22"/>
  <c r="W149" i="22"/>
  <c r="V148" i="22"/>
  <c r="W148" i="22"/>
  <c r="W155" i="22"/>
  <c r="V155" i="22"/>
  <c r="T154" i="22"/>
  <c r="D127" i="36" s="1"/>
  <c r="W154" i="22"/>
  <c r="V154" i="22"/>
  <c r="L150" i="22"/>
  <c r="S155" i="22"/>
  <c r="C128" i="36" s="1"/>
  <c r="S153" i="22"/>
  <c r="C126" i="36" s="1"/>
  <c r="V153" i="22"/>
  <c r="W156" i="22"/>
  <c r="G147" i="22"/>
  <c r="G156" i="22"/>
  <c r="G148" i="22"/>
  <c r="G158" i="22"/>
  <c r="K147" i="22"/>
  <c r="K155" i="22"/>
  <c r="S147" i="22"/>
  <c r="C120" i="36" s="1"/>
  <c r="C140" i="36" s="1"/>
  <c r="S156" i="22"/>
  <c r="C129" i="36" s="1"/>
  <c r="T155" i="22"/>
  <c r="D128" i="36" s="1"/>
  <c r="W152" i="22"/>
  <c r="V152" i="22"/>
  <c r="E155" i="22"/>
  <c r="C108" i="36" s="1"/>
  <c r="K148" i="22"/>
  <c r="K156" i="22"/>
  <c r="S148" i="22"/>
  <c r="C121" i="36" s="1"/>
  <c r="V151" i="22"/>
  <c r="W151" i="22"/>
  <c r="V150" i="22"/>
  <c r="W150" i="22"/>
  <c r="V157" i="22"/>
  <c r="W157" i="22"/>
  <c r="T157" i="22"/>
  <c r="D130" i="36" s="1"/>
  <c r="U152" i="22"/>
  <c r="X152" i="22"/>
  <c r="U153" i="22"/>
  <c r="X151" i="22"/>
  <c r="U151" i="22"/>
  <c r="G153" i="22"/>
  <c r="U158" i="22"/>
  <c r="U150" i="22"/>
  <c r="L153" i="22"/>
  <c r="X157" i="22"/>
  <c r="U157" i="22"/>
  <c r="F157" i="22"/>
  <c r="D110" i="36" s="1"/>
  <c r="X149" i="22"/>
  <c r="U149" i="22"/>
  <c r="I153" i="22"/>
  <c r="T153" i="22"/>
  <c r="D126" i="36" s="1"/>
  <c r="U156" i="22"/>
  <c r="X156" i="22"/>
  <c r="U148" i="22"/>
  <c r="E153" i="22"/>
  <c r="C106" i="36" s="1"/>
  <c r="S158" i="22"/>
  <c r="C131" i="36" s="1"/>
  <c r="C151" i="36" s="1"/>
  <c r="X155" i="22"/>
  <c r="U155" i="22"/>
  <c r="U147" i="22"/>
  <c r="X154" i="22"/>
  <c r="U154" i="22"/>
  <c r="U146" i="22"/>
  <c r="D158" i="22"/>
  <c r="D157" i="22"/>
  <c r="D156" i="22"/>
  <c r="D155" i="22"/>
  <c r="D154" i="22"/>
  <c r="D153" i="22"/>
  <c r="D152" i="22"/>
  <c r="D151" i="22"/>
  <c r="D150" i="22"/>
  <c r="D149" i="22"/>
  <c r="D148" i="22"/>
  <c r="D147" i="22"/>
  <c r="D146" i="22"/>
  <c r="C158" i="22"/>
  <c r="C157" i="22"/>
  <c r="C156" i="22"/>
  <c r="C155" i="22"/>
  <c r="C154" i="22"/>
  <c r="C153" i="22"/>
  <c r="C152" i="22"/>
  <c r="C151" i="22"/>
  <c r="C150" i="22"/>
  <c r="C149" i="22"/>
  <c r="C148" i="22"/>
  <c r="C147" i="22"/>
  <c r="C146" i="22"/>
  <c r="C143" i="36" l="1"/>
  <c r="C146" i="36"/>
  <c r="C149" i="36"/>
  <c r="C148" i="36"/>
  <c r="C141" i="36"/>
  <c r="C150" i="36"/>
  <c r="D150" i="36"/>
  <c r="F11" i="46" l="1"/>
  <c r="F12" i="46"/>
  <c r="F13" i="46"/>
  <c r="F14" i="46"/>
  <c r="F15" i="46"/>
  <c r="G12" i="11" l="1"/>
  <c r="G13" i="11"/>
  <c r="G14" i="11" l="1"/>
  <c r="G15" i="11"/>
  <c r="AJ258" i="65" l="1"/>
  <c r="AK13" i="68"/>
  <c r="AK14" i="68"/>
  <c r="AK15" i="68"/>
  <c r="AK16" i="68"/>
  <c r="AK17" i="68"/>
  <c r="AK18" i="68"/>
  <c r="AK19" i="68"/>
  <c r="AK20" i="68"/>
  <c r="AK21" i="68"/>
  <c r="AK22" i="68"/>
  <c r="AK23" i="68"/>
  <c r="AK24" i="68"/>
  <c r="AK25" i="68"/>
  <c r="AK26" i="68"/>
  <c r="AK27" i="68"/>
  <c r="AK28" i="68"/>
  <c r="AK29" i="68"/>
  <c r="AK30" i="68"/>
  <c r="AK31" i="68"/>
  <c r="AK32" i="68"/>
  <c r="AK33" i="68"/>
  <c r="AK34" i="68"/>
  <c r="AK35" i="68"/>
  <c r="AK36" i="68"/>
  <c r="AK37" i="68"/>
  <c r="AK38" i="68"/>
  <c r="AK39" i="68"/>
  <c r="AK40" i="68"/>
  <c r="AK41" i="68"/>
  <c r="AK42" i="68"/>
  <c r="AK43" i="68"/>
  <c r="AK44" i="68"/>
  <c r="AK45" i="68"/>
  <c r="AK46" i="68"/>
  <c r="AK47" i="68"/>
  <c r="AK48" i="68"/>
  <c r="AK49" i="68"/>
  <c r="AK50" i="68"/>
  <c r="AK51" i="68"/>
  <c r="AK52" i="68"/>
  <c r="AK53" i="68"/>
  <c r="AK54" i="68"/>
  <c r="AK55" i="68"/>
  <c r="AK56" i="68"/>
  <c r="AK57" i="68"/>
  <c r="AK58" i="68"/>
  <c r="AK59" i="68"/>
  <c r="AK60" i="68"/>
  <c r="AK61" i="68"/>
  <c r="AK62" i="68"/>
  <c r="AK63" i="68"/>
  <c r="AK64" i="68"/>
  <c r="AK65" i="68"/>
  <c r="AK66" i="68"/>
  <c r="AK67" i="68"/>
  <c r="AK68" i="68"/>
  <c r="AK69" i="68"/>
  <c r="AK70" i="68"/>
  <c r="AK71" i="68"/>
  <c r="AK72" i="68"/>
  <c r="AK73" i="68"/>
  <c r="AK74" i="68"/>
  <c r="AK75" i="68"/>
  <c r="AK76" i="68"/>
  <c r="AK77" i="68"/>
  <c r="AK78" i="68"/>
  <c r="AK79" i="68"/>
  <c r="AK80" i="68"/>
  <c r="AK81" i="68"/>
  <c r="AK82" i="68"/>
  <c r="AK83" i="68"/>
  <c r="AK84" i="68"/>
  <c r="AK85" i="68"/>
  <c r="AK86" i="68"/>
  <c r="AK87" i="68"/>
  <c r="AK88" i="68"/>
  <c r="AK89" i="68"/>
  <c r="AK90" i="68"/>
  <c r="AK91" i="68"/>
  <c r="AK92" i="68"/>
  <c r="AK93" i="68"/>
  <c r="AK94" i="68"/>
  <c r="AK95" i="68"/>
  <c r="AK96" i="68"/>
  <c r="AK97" i="68"/>
  <c r="AK98" i="68"/>
  <c r="AK99" i="68"/>
  <c r="AK100" i="68"/>
  <c r="AK101" i="68"/>
  <c r="AK102" i="68"/>
  <c r="AK103" i="68"/>
  <c r="AK104" i="68"/>
  <c r="AK105" i="68"/>
  <c r="AK106" i="68"/>
  <c r="AK107" i="68"/>
  <c r="AK108" i="68"/>
  <c r="AK109" i="68"/>
  <c r="AK110" i="68"/>
  <c r="AK111" i="68"/>
  <c r="AK112" i="68"/>
  <c r="AK113" i="68"/>
  <c r="AK114" i="68"/>
  <c r="AK115" i="68"/>
  <c r="AK116" i="68"/>
  <c r="AK117" i="68"/>
  <c r="AK118" i="68"/>
  <c r="AK119" i="68"/>
  <c r="AK120" i="68"/>
  <c r="AK121" i="68"/>
  <c r="AK122" i="68"/>
  <c r="AK123" i="68"/>
  <c r="AK124" i="68"/>
  <c r="AK125" i="68"/>
  <c r="AK126" i="68"/>
  <c r="AK127" i="68"/>
  <c r="AK128" i="68"/>
  <c r="AK129" i="68"/>
  <c r="AK130" i="68"/>
  <c r="AK131" i="68"/>
  <c r="AK132" i="68"/>
  <c r="AK133" i="68"/>
  <c r="AK134" i="68"/>
  <c r="AK135" i="68"/>
  <c r="AK136" i="68"/>
  <c r="AK137" i="68"/>
  <c r="AK138" i="68"/>
  <c r="AK139" i="68"/>
  <c r="AK140" i="68"/>
  <c r="AK141" i="68"/>
  <c r="AK142" i="68"/>
  <c r="AK143" i="68"/>
  <c r="AK144" i="68"/>
  <c r="AK145" i="68"/>
  <c r="AK146" i="68"/>
  <c r="AK147" i="68"/>
  <c r="AK148" i="68"/>
  <c r="AK149" i="68"/>
  <c r="AK150" i="68"/>
  <c r="AK151" i="68"/>
  <c r="AK152" i="68"/>
  <c r="AK153" i="68"/>
  <c r="AK154" i="68"/>
  <c r="AK155" i="68"/>
  <c r="AK156" i="68"/>
  <c r="AK157" i="68"/>
  <c r="AK158" i="68"/>
  <c r="AK159" i="68"/>
  <c r="AK160" i="68"/>
  <c r="AK161" i="68"/>
  <c r="AK162" i="68"/>
  <c r="AK163" i="68"/>
  <c r="AK164" i="68"/>
  <c r="AK165" i="68"/>
  <c r="AK166" i="68"/>
  <c r="AK167" i="68"/>
  <c r="AK168" i="68"/>
  <c r="AK169" i="68"/>
  <c r="AK170" i="68"/>
  <c r="AK171" i="68"/>
  <c r="AK172" i="68"/>
  <c r="AK173" i="68"/>
  <c r="AK174" i="68"/>
  <c r="AK175" i="68"/>
  <c r="AK176" i="68"/>
  <c r="AK177" i="68"/>
  <c r="AK178" i="68"/>
  <c r="AK179" i="68"/>
  <c r="AK180" i="68"/>
  <c r="AK181" i="68"/>
  <c r="AK182" i="68"/>
  <c r="AK183" i="68"/>
  <c r="AK184" i="68"/>
  <c r="AK185" i="68"/>
  <c r="AK186" i="68"/>
  <c r="AK187" i="68"/>
  <c r="AK188" i="68"/>
  <c r="AK189" i="68"/>
  <c r="AK190" i="68"/>
  <c r="AK191" i="68"/>
  <c r="AK192" i="68"/>
  <c r="AK193" i="68"/>
  <c r="AK194" i="68"/>
  <c r="AK195" i="68"/>
  <c r="AK196" i="68"/>
  <c r="AK197" i="68"/>
  <c r="AK198" i="68"/>
  <c r="AK199" i="68"/>
  <c r="AK200" i="68"/>
  <c r="AK201" i="68"/>
  <c r="AK202" i="68"/>
  <c r="AK203" i="68"/>
  <c r="AK204" i="68"/>
  <c r="AK205" i="68"/>
  <c r="AK206" i="68"/>
  <c r="AK207" i="68"/>
  <c r="AK208" i="68"/>
  <c r="AK209" i="68"/>
  <c r="AK210" i="68"/>
  <c r="AK211" i="68"/>
  <c r="AK212" i="68"/>
  <c r="AK213" i="68"/>
  <c r="AK214" i="68"/>
  <c r="AK215" i="68"/>
  <c r="AK216" i="68"/>
  <c r="AK217" i="68"/>
  <c r="AK218" i="68"/>
  <c r="AK219" i="68"/>
  <c r="AK220" i="68"/>
  <c r="AK221" i="68"/>
  <c r="AK222" i="68"/>
  <c r="AK223" i="68"/>
  <c r="AK224" i="68"/>
  <c r="AK225" i="68"/>
  <c r="AK226" i="68"/>
  <c r="AK227" i="68"/>
  <c r="AK228" i="68"/>
  <c r="AK229" i="68"/>
  <c r="AK230" i="68"/>
  <c r="AK231" i="68"/>
  <c r="AK232" i="68"/>
  <c r="AK233" i="68"/>
  <c r="AK234" i="68"/>
  <c r="AK235" i="68"/>
  <c r="AK236" i="68"/>
  <c r="AK237" i="68"/>
  <c r="AK238" i="68"/>
  <c r="AK239" i="68"/>
  <c r="AK240" i="68"/>
  <c r="AK241" i="68"/>
  <c r="AK242" i="68"/>
  <c r="AK243" i="68"/>
  <c r="AK244" i="68"/>
  <c r="AK245" i="68"/>
  <c r="AK246" i="68"/>
  <c r="AK247" i="68"/>
  <c r="AK248" i="68"/>
  <c r="AK249" i="68"/>
  <c r="AK250" i="68"/>
  <c r="AK251" i="68"/>
  <c r="AK252" i="68"/>
  <c r="AK253" i="68"/>
  <c r="AK254" i="68"/>
  <c r="AK255" i="68"/>
  <c r="AK256" i="68"/>
  <c r="AK257" i="68"/>
  <c r="AK258" i="68"/>
  <c r="AK259" i="68"/>
  <c r="AK12" i="68"/>
  <c r="AF11" i="67"/>
  <c r="AF12" i="67"/>
  <c r="AF13" i="67"/>
  <c r="AF14" i="67"/>
  <c r="AF15" i="67"/>
  <c r="AF16" i="67"/>
  <c r="AF17" i="67"/>
  <c r="AF18" i="67"/>
  <c r="AF19" i="67"/>
  <c r="AF20" i="67"/>
  <c r="AF21" i="67"/>
  <c r="AF22" i="67"/>
  <c r="AF23" i="67"/>
  <c r="AF24" i="67"/>
  <c r="AF25" i="67"/>
  <c r="AF26" i="67"/>
  <c r="AF27" i="67"/>
  <c r="AF28" i="67"/>
  <c r="AF29" i="67"/>
  <c r="AF30" i="67"/>
  <c r="AF31" i="67"/>
  <c r="AF32" i="67"/>
  <c r="AF33" i="67"/>
  <c r="AF34" i="67"/>
  <c r="AF35" i="67"/>
  <c r="AF36" i="67"/>
  <c r="AF37" i="67"/>
  <c r="AF38" i="67"/>
  <c r="AF39" i="67"/>
  <c r="AF40" i="67"/>
  <c r="AF41" i="67"/>
  <c r="AF42" i="67"/>
  <c r="AF43" i="67"/>
  <c r="AF44" i="67"/>
  <c r="AF45" i="67"/>
  <c r="AF46" i="67"/>
  <c r="AF47" i="67"/>
  <c r="AF48" i="67"/>
  <c r="AF49" i="67"/>
  <c r="AF50" i="67"/>
  <c r="AF51" i="67"/>
  <c r="AF52" i="67"/>
  <c r="AF53" i="67"/>
  <c r="AF54" i="67"/>
  <c r="AF55" i="67"/>
  <c r="AF56" i="67"/>
  <c r="AF57" i="67"/>
  <c r="AF58" i="67"/>
  <c r="AF59" i="67"/>
  <c r="AF60" i="67"/>
  <c r="AF61" i="67"/>
  <c r="AF62" i="67"/>
  <c r="AF63" i="67"/>
  <c r="AF64" i="67"/>
  <c r="AF65" i="67"/>
  <c r="AF66" i="67"/>
  <c r="AF67" i="67"/>
  <c r="AF68" i="67"/>
  <c r="AF69" i="67"/>
  <c r="AF70" i="67"/>
  <c r="AF71" i="67"/>
  <c r="AF72" i="67"/>
  <c r="AF73" i="67"/>
  <c r="AF74" i="67"/>
  <c r="AF75" i="67"/>
  <c r="AF76" i="67"/>
  <c r="AF77" i="67"/>
  <c r="AF78" i="67"/>
  <c r="AF79" i="67"/>
  <c r="AF80" i="67"/>
  <c r="AF81" i="67"/>
  <c r="AF82" i="67"/>
  <c r="AF83" i="67"/>
  <c r="AF84" i="67"/>
  <c r="AF85" i="67"/>
  <c r="AF86" i="67"/>
  <c r="AF87" i="67"/>
  <c r="AF88" i="67"/>
  <c r="AF89" i="67"/>
  <c r="AF90" i="67"/>
  <c r="AF91" i="67"/>
  <c r="AF92" i="67"/>
  <c r="AF93" i="67"/>
  <c r="AF94" i="67"/>
  <c r="AF95" i="67"/>
  <c r="AF96" i="67"/>
  <c r="AF97" i="67"/>
  <c r="AF98" i="67"/>
  <c r="AF99" i="67"/>
  <c r="AF100" i="67"/>
  <c r="AF101" i="67"/>
  <c r="AF102" i="67"/>
  <c r="AF103" i="67"/>
  <c r="AF104" i="67"/>
  <c r="AF105" i="67"/>
  <c r="AF106" i="67"/>
  <c r="AF107" i="67"/>
  <c r="AF108" i="67"/>
  <c r="AF109" i="67"/>
  <c r="AF110" i="67"/>
  <c r="AF111" i="67"/>
  <c r="AF112" i="67"/>
  <c r="AF113" i="67"/>
  <c r="AF114" i="67"/>
  <c r="AF115" i="67"/>
  <c r="AF116" i="67"/>
  <c r="AF117" i="67"/>
  <c r="AF118" i="67"/>
  <c r="AF119" i="67"/>
  <c r="AF120" i="67"/>
  <c r="AF121" i="67"/>
  <c r="AF122" i="67"/>
  <c r="AF123" i="67"/>
  <c r="AF124" i="67"/>
  <c r="AF125" i="67"/>
  <c r="AF126" i="67"/>
  <c r="AF127" i="67"/>
  <c r="AF128" i="67"/>
  <c r="AF129" i="67"/>
  <c r="AF130" i="67"/>
  <c r="AF131" i="67"/>
  <c r="AF132" i="67"/>
  <c r="AF133" i="67"/>
  <c r="AF134" i="67"/>
  <c r="AF135" i="67"/>
  <c r="AF136" i="67"/>
  <c r="AF137" i="67"/>
  <c r="AF138" i="67"/>
  <c r="AF139" i="67"/>
  <c r="AF140" i="67"/>
  <c r="AF141" i="67"/>
  <c r="AF142" i="67"/>
  <c r="AF143" i="67"/>
  <c r="AF144" i="67"/>
  <c r="AF145" i="67"/>
  <c r="AF146" i="67"/>
  <c r="AF147" i="67"/>
  <c r="AF148" i="67"/>
  <c r="AF149" i="67"/>
  <c r="AF150" i="67"/>
  <c r="AF151" i="67"/>
  <c r="AF152" i="67"/>
  <c r="AF153" i="67"/>
  <c r="AF154" i="67"/>
  <c r="AF155" i="67"/>
  <c r="AF156" i="67"/>
  <c r="AF157" i="67"/>
  <c r="AF158" i="67"/>
  <c r="AF159" i="67"/>
  <c r="AF160" i="67"/>
  <c r="AF161" i="67"/>
  <c r="AF162" i="67"/>
  <c r="AF163" i="67"/>
  <c r="AF164" i="67"/>
  <c r="AF165" i="67"/>
  <c r="AF166" i="67"/>
  <c r="AF167" i="67"/>
  <c r="AF168" i="67"/>
  <c r="AF169" i="67"/>
  <c r="AF170" i="67"/>
  <c r="AF171" i="67"/>
  <c r="AF172" i="67"/>
  <c r="AF173" i="67"/>
  <c r="AF174" i="67"/>
  <c r="AF175" i="67"/>
  <c r="AF176" i="67"/>
  <c r="AF177" i="67"/>
  <c r="AF178" i="67"/>
  <c r="AF179" i="67"/>
  <c r="AF180" i="67"/>
  <c r="AF181" i="67"/>
  <c r="AF182" i="67"/>
  <c r="AF183" i="67"/>
  <c r="AF184" i="67"/>
  <c r="AF185" i="67"/>
  <c r="AF186" i="67"/>
  <c r="AF187" i="67"/>
  <c r="AF188" i="67"/>
  <c r="AF189" i="67"/>
  <c r="AF190" i="67"/>
  <c r="AF191" i="67"/>
  <c r="AF192" i="67"/>
  <c r="AF193" i="67"/>
  <c r="AF194" i="67"/>
  <c r="AF195" i="67"/>
  <c r="AF196" i="67"/>
  <c r="AF197" i="67"/>
  <c r="AF198" i="67"/>
  <c r="AF199" i="67"/>
  <c r="AF200" i="67"/>
  <c r="AF201" i="67"/>
  <c r="AF202" i="67"/>
  <c r="AF203" i="67"/>
  <c r="AF204" i="67"/>
  <c r="AF205" i="67"/>
  <c r="AF206" i="67"/>
  <c r="AF207" i="67"/>
  <c r="AF208" i="67"/>
  <c r="AF209" i="67"/>
  <c r="AF210" i="67"/>
  <c r="AF211" i="67"/>
  <c r="AF212" i="67"/>
  <c r="AF213" i="67"/>
  <c r="AF214" i="67"/>
  <c r="AF215" i="67"/>
  <c r="AF216" i="67"/>
  <c r="AF217" i="67"/>
  <c r="AF218" i="67"/>
  <c r="AF219" i="67"/>
  <c r="AF220" i="67"/>
  <c r="AF221" i="67"/>
  <c r="AF222" i="67"/>
  <c r="AF223" i="67"/>
  <c r="AF224" i="67"/>
  <c r="AF225" i="67"/>
  <c r="AF226" i="67"/>
  <c r="AF227" i="67"/>
  <c r="AF228" i="67"/>
  <c r="AF229" i="67"/>
  <c r="AF230" i="67"/>
  <c r="AF231" i="67"/>
  <c r="AF232" i="67"/>
  <c r="AF233" i="67"/>
  <c r="AF234" i="67"/>
  <c r="AF235" i="67"/>
  <c r="AF236" i="67"/>
  <c r="AF237" i="67"/>
  <c r="AF238" i="67"/>
  <c r="AF239" i="67"/>
  <c r="AF240" i="67"/>
  <c r="AF241" i="67"/>
  <c r="AF242" i="67"/>
  <c r="AF243" i="67"/>
  <c r="AF244" i="67"/>
  <c r="AF245" i="67"/>
  <c r="AF246" i="67"/>
  <c r="AF247" i="67"/>
  <c r="AF248" i="67"/>
  <c r="AF249" i="67"/>
  <c r="AF250" i="67"/>
  <c r="AF251" i="67"/>
  <c r="AF252" i="67"/>
  <c r="AF253" i="67"/>
  <c r="AF254" i="67"/>
  <c r="AF255" i="67"/>
  <c r="AF256" i="67"/>
  <c r="AF257" i="67"/>
  <c r="AF10" i="67"/>
  <c r="AG13" i="58" l="1"/>
  <c r="AG14" i="58"/>
  <c r="AG15" i="58"/>
  <c r="AG16" i="58"/>
  <c r="AG17" i="58"/>
  <c r="AG18" i="58"/>
  <c r="AG19" i="58"/>
  <c r="AG20" i="58"/>
  <c r="AG21" i="58"/>
  <c r="AG22" i="58"/>
  <c r="AG23" i="58"/>
  <c r="AG24" i="58"/>
  <c r="AG25" i="58"/>
  <c r="AG26" i="58"/>
  <c r="AG27" i="58"/>
  <c r="AG28" i="58"/>
  <c r="AG29" i="58"/>
  <c r="AG30" i="58"/>
  <c r="AG31" i="58"/>
  <c r="AG32" i="58"/>
  <c r="AG33" i="58"/>
  <c r="AG34" i="58"/>
  <c r="AG35" i="58"/>
  <c r="AG36" i="58"/>
  <c r="AG37" i="58"/>
  <c r="AG38" i="58"/>
  <c r="AG39" i="58"/>
  <c r="AG40" i="58"/>
  <c r="AG41" i="58"/>
  <c r="AG42" i="58"/>
  <c r="AG43" i="58"/>
  <c r="AG44" i="58"/>
  <c r="AG45" i="58"/>
  <c r="AG46" i="58"/>
  <c r="AG47" i="58"/>
  <c r="AG48" i="58"/>
  <c r="AG49" i="58"/>
  <c r="AG50" i="58"/>
  <c r="AG51" i="58"/>
  <c r="AG52" i="58"/>
  <c r="AG53" i="58"/>
  <c r="AG54" i="58"/>
  <c r="AG55" i="58"/>
  <c r="AG56" i="58"/>
  <c r="AG57" i="58"/>
  <c r="AG58" i="58"/>
  <c r="AG59" i="58"/>
  <c r="AG60" i="58"/>
  <c r="AG61" i="58"/>
  <c r="AG62" i="58"/>
  <c r="AG63" i="58"/>
  <c r="AG64" i="58"/>
  <c r="AG65" i="58"/>
  <c r="AG66" i="58"/>
  <c r="AG67" i="58"/>
  <c r="AG68" i="58"/>
  <c r="AG69" i="58"/>
  <c r="AG70" i="58"/>
  <c r="AG71" i="58"/>
  <c r="AG72" i="58"/>
  <c r="AG73" i="58"/>
  <c r="AG74" i="58"/>
  <c r="AG75" i="58"/>
  <c r="AG76" i="58"/>
  <c r="AG77" i="58"/>
  <c r="AG78" i="58"/>
  <c r="AG79" i="58"/>
  <c r="AG80" i="58"/>
  <c r="AG81" i="58"/>
  <c r="AG82" i="58"/>
  <c r="AG83" i="58"/>
  <c r="AG84" i="58"/>
  <c r="AG85" i="58"/>
  <c r="AG86" i="58"/>
  <c r="AG87" i="58"/>
  <c r="AG88" i="58"/>
  <c r="AG89" i="58"/>
  <c r="AG90" i="58"/>
  <c r="AG91" i="58"/>
  <c r="AG92" i="58"/>
  <c r="AG93" i="58"/>
  <c r="AG94" i="58"/>
  <c r="AG95" i="58"/>
  <c r="AG96" i="58"/>
  <c r="AG97" i="58"/>
  <c r="AG98" i="58"/>
  <c r="AG99" i="58"/>
  <c r="AG100" i="58"/>
  <c r="AG101" i="58"/>
  <c r="AG102" i="58"/>
  <c r="AG103" i="58"/>
  <c r="AG104" i="58"/>
  <c r="AG105" i="58"/>
  <c r="AG106" i="58"/>
  <c r="AG107" i="58"/>
  <c r="AG108" i="58"/>
  <c r="AG109" i="58"/>
  <c r="AG110" i="58"/>
  <c r="AG111" i="58"/>
  <c r="AG112" i="58"/>
  <c r="AG113" i="58"/>
  <c r="AG114" i="58"/>
  <c r="AG115" i="58"/>
  <c r="AG116" i="58"/>
  <c r="AG117" i="58"/>
  <c r="AG118" i="58"/>
  <c r="AG119" i="58"/>
  <c r="AG120" i="58"/>
  <c r="AG121" i="58"/>
  <c r="AG122" i="58"/>
  <c r="AG123" i="58"/>
  <c r="AG124" i="58"/>
  <c r="AG125" i="58"/>
  <c r="AG126" i="58"/>
  <c r="AG127" i="58"/>
  <c r="AG128" i="58"/>
  <c r="AG129" i="58"/>
  <c r="AG130" i="58"/>
  <c r="AG131" i="58"/>
  <c r="AG132" i="58"/>
  <c r="AG133" i="58"/>
  <c r="AG134" i="58"/>
  <c r="AG135" i="58"/>
  <c r="AG136" i="58"/>
  <c r="AG137" i="58"/>
  <c r="AG138" i="58"/>
  <c r="AG139" i="58"/>
  <c r="AG140" i="58"/>
  <c r="AG141" i="58"/>
  <c r="AG142" i="58"/>
  <c r="AG143" i="58"/>
  <c r="AG144" i="58"/>
  <c r="AG145" i="58"/>
  <c r="AG146" i="58"/>
  <c r="AG147" i="58"/>
  <c r="AG148" i="58"/>
  <c r="AG149" i="58"/>
  <c r="AG150" i="58"/>
  <c r="AG151" i="58"/>
  <c r="AG152" i="58"/>
  <c r="AG153" i="58"/>
  <c r="AG154" i="58"/>
  <c r="AG155" i="58"/>
  <c r="AG156" i="58"/>
  <c r="AG157" i="58"/>
  <c r="AG158" i="58"/>
  <c r="AG159" i="58"/>
  <c r="AG160" i="58"/>
  <c r="AG161" i="58"/>
  <c r="AG162" i="58"/>
  <c r="AG163" i="58"/>
  <c r="AG164" i="58"/>
  <c r="AG165" i="58"/>
  <c r="AG166" i="58"/>
  <c r="AG167" i="58"/>
  <c r="AG168" i="58"/>
  <c r="AG169" i="58"/>
  <c r="AG170" i="58"/>
  <c r="AG171" i="58"/>
  <c r="AG172" i="58"/>
  <c r="AG173" i="58"/>
  <c r="AG174" i="58"/>
  <c r="AG175" i="58"/>
  <c r="AG176" i="58"/>
  <c r="AG177" i="58"/>
  <c r="AG178" i="58"/>
  <c r="AG179" i="58"/>
  <c r="AG180" i="58"/>
  <c r="AG181" i="58"/>
  <c r="AG182" i="58"/>
  <c r="AG183" i="58"/>
  <c r="AG184" i="58"/>
  <c r="AG185" i="58"/>
  <c r="AG186" i="58"/>
  <c r="AG187" i="58"/>
  <c r="AG188" i="58"/>
  <c r="AG189" i="58"/>
  <c r="AG190" i="58"/>
  <c r="AG191" i="58"/>
  <c r="AG192" i="58"/>
  <c r="AG193" i="58"/>
  <c r="AG194" i="58"/>
  <c r="AG195" i="58"/>
  <c r="AG196" i="58"/>
  <c r="AG197" i="58"/>
  <c r="AG198" i="58"/>
  <c r="AG199" i="58"/>
  <c r="AG200" i="58"/>
  <c r="AG201" i="58"/>
  <c r="AG202" i="58"/>
  <c r="AG203" i="58"/>
  <c r="AG204" i="58"/>
  <c r="AG205" i="58"/>
  <c r="AG206" i="58"/>
  <c r="AG207" i="58"/>
  <c r="AG208" i="58"/>
  <c r="AG209" i="58"/>
  <c r="AG210" i="58"/>
  <c r="AG211" i="58"/>
  <c r="AG212" i="58"/>
  <c r="AG213" i="58"/>
  <c r="AG214" i="58"/>
  <c r="AG215" i="58"/>
  <c r="AG216" i="58"/>
  <c r="AG217" i="58"/>
  <c r="AG218" i="58"/>
  <c r="AG219" i="58"/>
  <c r="AG220" i="58"/>
  <c r="AG221" i="58"/>
  <c r="AG222" i="58"/>
  <c r="AG223" i="58"/>
  <c r="AG224" i="58"/>
  <c r="AG225" i="58"/>
  <c r="AG226" i="58"/>
  <c r="AG227" i="58"/>
  <c r="AG228" i="58"/>
  <c r="AG229" i="58"/>
  <c r="AG230" i="58"/>
  <c r="AG231" i="58"/>
  <c r="AG232" i="58"/>
  <c r="AG233" i="58"/>
  <c r="AG234" i="58"/>
  <c r="AG235" i="58"/>
  <c r="AG236" i="58"/>
  <c r="AG237" i="58"/>
  <c r="AG238" i="58"/>
  <c r="AG239" i="58"/>
  <c r="AG240" i="58"/>
  <c r="AG241" i="58"/>
  <c r="AG242" i="58"/>
  <c r="AG243" i="58"/>
  <c r="AG244" i="58"/>
  <c r="AG245" i="58"/>
  <c r="AG246" i="58"/>
  <c r="AG247" i="58"/>
  <c r="AG248" i="58"/>
  <c r="AG249" i="58"/>
  <c r="AG250" i="58"/>
  <c r="AG251" i="58"/>
  <c r="AG252" i="58"/>
  <c r="AG253" i="58"/>
  <c r="AG254" i="58"/>
  <c r="AG255" i="58"/>
  <c r="AG256" i="58"/>
  <c r="AG257" i="58"/>
  <c r="AG258" i="58"/>
  <c r="AG259" i="58"/>
  <c r="AG12" i="58"/>
  <c r="M11" i="55"/>
  <c r="M12" i="55"/>
  <c r="M13" i="55"/>
  <c r="M14" i="55"/>
  <c r="M15" i="55"/>
  <c r="M16" i="55"/>
  <c r="M17" i="55"/>
  <c r="M18" i="55"/>
  <c r="M19" i="55"/>
  <c r="M20" i="55"/>
  <c r="M21" i="55"/>
  <c r="M22" i="55"/>
  <c r="M23" i="55"/>
  <c r="M24" i="55"/>
  <c r="M25" i="55"/>
  <c r="M26" i="55"/>
  <c r="M27" i="55"/>
  <c r="M28" i="55"/>
  <c r="M29" i="55"/>
  <c r="M30" i="55"/>
  <c r="M31" i="55"/>
  <c r="M32" i="55"/>
  <c r="M33" i="55"/>
  <c r="M34" i="55"/>
  <c r="M35" i="55"/>
  <c r="M36" i="55"/>
  <c r="M37" i="55"/>
  <c r="M38" i="55"/>
  <c r="M39" i="55"/>
  <c r="M40" i="55"/>
  <c r="M41" i="55"/>
  <c r="M42" i="55"/>
  <c r="M43" i="55"/>
  <c r="M44" i="55"/>
  <c r="M45" i="55"/>
  <c r="M46" i="55"/>
  <c r="M47" i="55"/>
  <c r="M48" i="55"/>
  <c r="M49" i="55"/>
  <c r="M50" i="55"/>
  <c r="M51" i="55"/>
  <c r="M52" i="55"/>
  <c r="M53" i="55"/>
  <c r="M54" i="55"/>
  <c r="M55" i="55"/>
  <c r="M56" i="55"/>
  <c r="M57" i="55"/>
  <c r="M58" i="55"/>
  <c r="M59" i="55"/>
  <c r="M60" i="55"/>
  <c r="M61" i="55"/>
  <c r="M62" i="55"/>
  <c r="M63" i="55"/>
  <c r="M64" i="55"/>
  <c r="M65" i="55"/>
  <c r="M66" i="55"/>
  <c r="M67" i="55"/>
  <c r="M68" i="55"/>
  <c r="M69" i="55"/>
  <c r="M70" i="55"/>
  <c r="M71" i="55"/>
  <c r="M72" i="55"/>
  <c r="M73" i="55"/>
  <c r="M74" i="55"/>
  <c r="M75" i="55"/>
  <c r="M76" i="55"/>
  <c r="M77" i="55"/>
  <c r="M78" i="55"/>
  <c r="M79" i="55"/>
  <c r="M80" i="55"/>
  <c r="M81" i="55"/>
  <c r="M82" i="55"/>
  <c r="M83" i="55"/>
  <c r="M84" i="55"/>
  <c r="M85" i="55"/>
  <c r="M86" i="55"/>
  <c r="M87" i="55"/>
  <c r="M88" i="55"/>
  <c r="M89" i="55"/>
  <c r="M90" i="55"/>
  <c r="M91" i="55"/>
  <c r="M92" i="55"/>
  <c r="M93" i="55"/>
  <c r="M94" i="55"/>
  <c r="M95" i="55"/>
  <c r="M96" i="55"/>
  <c r="M97" i="55"/>
  <c r="M98" i="55"/>
  <c r="M99" i="55"/>
  <c r="M100" i="55"/>
  <c r="M101" i="55"/>
  <c r="M102" i="55"/>
  <c r="M103" i="55"/>
  <c r="M104" i="55"/>
  <c r="M105" i="55"/>
  <c r="M106" i="55"/>
  <c r="M107" i="55"/>
  <c r="M108" i="55"/>
  <c r="M109" i="55"/>
  <c r="M110" i="55"/>
  <c r="M111" i="55"/>
  <c r="M112" i="55"/>
  <c r="M113" i="55"/>
  <c r="M114" i="55"/>
  <c r="M115" i="55"/>
  <c r="M116" i="55"/>
  <c r="M117" i="55"/>
  <c r="M118" i="55"/>
  <c r="M119" i="55"/>
  <c r="M120" i="55"/>
  <c r="M121" i="55"/>
  <c r="M122" i="55"/>
  <c r="M123" i="55"/>
  <c r="M124" i="55"/>
  <c r="M125" i="55"/>
  <c r="M126" i="55"/>
  <c r="M127" i="55"/>
  <c r="M128" i="55"/>
  <c r="M129" i="55"/>
  <c r="M130" i="55"/>
  <c r="M131" i="55"/>
  <c r="M132" i="55"/>
  <c r="M133" i="55"/>
  <c r="M134" i="55"/>
  <c r="M135" i="55"/>
  <c r="M136" i="55"/>
  <c r="M137" i="55"/>
  <c r="M138" i="55"/>
  <c r="M139" i="55"/>
  <c r="M140" i="55"/>
  <c r="M141" i="55"/>
  <c r="M142" i="55"/>
  <c r="M143" i="55"/>
  <c r="M144" i="55"/>
  <c r="M145" i="55"/>
  <c r="M146" i="55"/>
  <c r="M147" i="55"/>
  <c r="M148" i="55"/>
  <c r="M149" i="55"/>
  <c r="M150" i="55"/>
  <c r="M151" i="55"/>
  <c r="M152" i="55"/>
  <c r="M153" i="55"/>
  <c r="M154" i="55"/>
  <c r="M155" i="55"/>
  <c r="M156" i="55"/>
  <c r="M157" i="55"/>
  <c r="M158" i="55"/>
  <c r="M159" i="55"/>
  <c r="M160" i="55"/>
  <c r="M161" i="55"/>
  <c r="M162" i="55"/>
  <c r="M163" i="55"/>
  <c r="M164" i="55"/>
  <c r="M165" i="55"/>
  <c r="M166" i="55"/>
  <c r="M167" i="55"/>
  <c r="M168" i="55"/>
  <c r="M169" i="55"/>
  <c r="M170" i="55"/>
  <c r="M171" i="55"/>
  <c r="M172" i="55"/>
  <c r="M173" i="55"/>
  <c r="M174" i="55"/>
  <c r="M175" i="55"/>
  <c r="M176" i="55"/>
  <c r="M177" i="55"/>
  <c r="M178" i="55"/>
  <c r="M179" i="55"/>
  <c r="M180" i="55"/>
  <c r="M181" i="55"/>
  <c r="M182" i="55"/>
  <c r="M183" i="55"/>
  <c r="M184" i="55"/>
  <c r="M185" i="55"/>
  <c r="M186" i="55"/>
  <c r="M187" i="55"/>
  <c r="M188" i="55"/>
  <c r="M189" i="55"/>
  <c r="M190" i="55"/>
  <c r="M191" i="55"/>
  <c r="M192" i="55"/>
  <c r="M193" i="55"/>
  <c r="M194" i="55"/>
  <c r="M195" i="55"/>
  <c r="M196" i="55"/>
  <c r="M197" i="55"/>
  <c r="M198" i="55"/>
  <c r="M199" i="55"/>
  <c r="M200" i="55"/>
  <c r="M201" i="55"/>
  <c r="M202" i="55"/>
  <c r="M203" i="55"/>
  <c r="M204" i="55"/>
  <c r="M205" i="55"/>
  <c r="M206" i="55"/>
  <c r="M207" i="55"/>
  <c r="M208" i="55"/>
  <c r="M209" i="55"/>
  <c r="M210" i="55"/>
  <c r="M211" i="55"/>
  <c r="M212" i="55"/>
  <c r="M213" i="55"/>
  <c r="M214" i="55"/>
  <c r="M215" i="55"/>
  <c r="M216" i="55"/>
  <c r="M217" i="55"/>
  <c r="M218" i="55"/>
  <c r="M219" i="55"/>
  <c r="M220" i="55"/>
  <c r="M221" i="55"/>
  <c r="M222" i="55"/>
  <c r="M223" i="55"/>
  <c r="M224" i="55"/>
  <c r="M225" i="55"/>
  <c r="M226" i="55"/>
  <c r="M227" i="55"/>
  <c r="M228" i="55"/>
  <c r="M229" i="55"/>
  <c r="M230" i="55"/>
  <c r="M231" i="55"/>
  <c r="M232" i="55"/>
  <c r="M233" i="55"/>
  <c r="M234" i="55"/>
  <c r="M235" i="55"/>
  <c r="M236" i="55"/>
  <c r="M237" i="55"/>
  <c r="M238" i="55"/>
  <c r="M239" i="55"/>
  <c r="M240" i="55"/>
  <c r="M241" i="55"/>
  <c r="M242" i="55"/>
  <c r="M243" i="55"/>
  <c r="M244" i="55"/>
  <c r="M245" i="55"/>
  <c r="M246" i="55"/>
  <c r="M247" i="55"/>
  <c r="M248" i="55"/>
  <c r="M249" i="55"/>
  <c r="M250" i="55"/>
  <c r="M251" i="55"/>
  <c r="M252" i="55"/>
  <c r="M253" i="55"/>
  <c r="M254" i="55"/>
  <c r="M255" i="55"/>
  <c r="M256" i="55"/>
  <c r="M257" i="55"/>
  <c r="M10" i="55"/>
  <c r="AB17" i="55"/>
  <c r="AB18" i="55"/>
  <c r="AB19" i="55"/>
  <c r="AB20" i="55"/>
  <c r="AB21" i="55"/>
  <c r="AB22" i="55"/>
  <c r="AB23" i="55"/>
  <c r="AB24" i="55"/>
  <c r="AB25" i="55"/>
  <c r="AB26" i="55"/>
  <c r="AB27" i="55"/>
  <c r="AB28" i="55"/>
  <c r="AB29" i="55"/>
  <c r="AB30" i="55"/>
  <c r="AB31" i="55"/>
  <c r="AB32" i="55"/>
  <c r="AB33" i="55"/>
  <c r="AB34" i="55"/>
  <c r="AB35" i="55"/>
  <c r="AB36" i="55"/>
  <c r="AB37" i="55"/>
  <c r="AB38" i="55"/>
  <c r="AB39" i="55"/>
  <c r="AB40" i="55"/>
  <c r="AB41" i="55"/>
  <c r="AB42" i="55"/>
  <c r="AB43" i="55"/>
  <c r="AB44" i="55"/>
  <c r="AB45" i="55"/>
  <c r="AB46" i="55"/>
  <c r="AB47" i="55"/>
  <c r="AB48" i="55"/>
  <c r="AB49" i="55"/>
  <c r="AB50" i="55"/>
  <c r="AB51" i="55"/>
  <c r="AB52" i="55"/>
  <c r="AB53" i="55"/>
  <c r="AB54" i="55"/>
  <c r="AB55" i="55"/>
  <c r="AB56" i="55"/>
  <c r="AB57" i="55"/>
  <c r="AB58" i="55"/>
  <c r="AB59" i="55"/>
  <c r="AB60" i="55"/>
  <c r="AB61" i="55"/>
  <c r="AB62" i="55"/>
  <c r="AB63" i="55"/>
  <c r="AB64" i="55"/>
  <c r="AB65" i="55"/>
  <c r="AB66" i="55"/>
  <c r="AB67" i="55"/>
  <c r="AB68" i="55"/>
  <c r="AB69" i="55"/>
  <c r="AB70" i="55"/>
  <c r="AB71" i="55"/>
  <c r="AB72" i="55"/>
  <c r="AB73" i="55"/>
  <c r="AB74" i="55"/>
  <c r="AB75" i="55"/>
  <c r="AB76" i="55"/>
  <c r="AB77" i="55"/>
  <c r="AB78" i="55"/>
  <c r="AB79" i="55"/>
  <c r="AB80" i="55"/>
  <c r="AB81" i="55"/>
  <c r="AB82" i="55"/>
  <c r="AB83" i="55"/>
  <c r="AB84" i="55"/>
  <c r="AB85" i="55"/>
  <c r="AB86" i="55"/>
  <c r="AB87" i="55"/>
  <c r="AB88" i="55"/>
  <c r="AB89" i="55"/>
  <c r="AB90" i="55"/>
  <c r="AB91" i="55"/>
  <c r="AB92" i="55"/>
  <c r="AB93" i="55"/>
  <c r="AB94" i="55"/>
  <c r="AB95" i="55"/>
  <c r="AB96" i="55"/>
  <c r="AB97" i="55"/>
  <c r="AB98" i="55"/>
  <c r="AB99" i="55"/>
  <c r="AB100" i="55"/>
  <c r="AB101" i="55"/>
  <c r="AB102" i="55"/>
  <c r="AB103" i="55"/>
  <c r="AB104" i="55"/>
  <c r="AB105" i="55"/>
  <c r="AB106" i="55"/>
  <c r="AB107" i="55"/>
  <c r="AB108" i="55"/>
  <c r="AB109" i="55"/>
  <c r="AB110" i="55"/>
  <c r="AB111" i="55"/>
  <c r="AB112" i="55"/>
  <c r="AB113" i="55"/>
  <c r="AB114" i="55"/>
  <c r="AB115" i="55"/>
  <c r="AB116" i="55"/>
  <c r="AB117" i="55"/>
  <c r="AB118" i="55"/>
  <c r="AB119" i="55"/>
  <c r="AB120" i="55"/>
  <c r="AB121" i="55"/>
  <c r="AB122" i="55"/>
  <c r="AB123" i="55"/>
  <c r="AB124" i="55"/>
  <c r="AB125" i="55"/>
  <c r="AB126" i="55"/>
  <c r="AB127" i="55"/>
  <c r="AB128" i="55"/>
  <c r="AB129" i="55"/>
  <c r="AB130" i="55"/>
  <c r="AB131" i="55"/>
  <c r="AB132" i="55"/>
  <c r="AB133" i="55"/>
  <c r="AB134" i="55"/>
  <c r="AB135" i="55"/>
  <c r="AB136" i="55"/>
  <c r="AB137" i="55"/>
  <c r="AB138" i="55"/>
  <c r="AB139" i="55"/>
  <c r="AB140" i="55"/>
  <c r="AB141" i="55"/>
  <c r="AB142" i="55"/>
  <c r="AB143" i="55"/>
  <c r="AB144" i="55"/>
  <c r="AB145" i="55"/>
  <c r="AB146" i="55"/>
  <c r="AB147" i="55"/>
  <c r="AB148" i="55"/>
  <c r="AB149" i="55"/>
  <c r="AB150" i="55"/>
  <c r="AB151" i="55"/>
  <c r="AB152" i="55"/>
  <c r="AB153" i="55"/>
  <c r="AB154" i="55"/>
  <c r="AB155" i="55"/>
  <c r="AB156" i="55"/>
  <c r="AB157" i="55"/>
  <c r="AB158" i="55"/>
  <c r="AB159" i="55"/>
  <c r="AB160" i="55"/>
  <c r="AB161" i="55"/>
  <c r="AB162" i="55"/>
  <c r="AB163" i="55"/>
  <c r="AB164" i="55"/>
  <c r="AB165" i="55"/>
  <c r="AB166" i="55"/>
  <c r="AB167" i="55"/>
  <c r="AB168" i="55"/>
  <c r="AB169" i="55"/>
  <c r="AB170" i="55"/>
  <c r="AB171" i="55"/>
  <c r="AB172" i="55"/>
  <c r="AB173" i="55"/>
  <c r="AB174" i="55"/>
  <c r="AB175" i="55"/>
  <c r="AB176" i="55"/>
  <c r="AB177" i="55"/>
  <c r="AB178" i="55"/>
  <c r="AB179" i="55"/>
  <c r="AB180" i="55"/>
  <c r="AB181" i="55"/>
  <c r="AB182" i="55"/>
  <c r="AB183" i="55"/>
  <c r="AB184" i="55"/>
  <c r="AB185" i="55"/>
  <c r="AB186" i="55"/>
  <c r="AB187" i="55"/>
  <c r="AB188" i="55"/>
  <c r="AB189" i="55"/>
  <c r="AB190" i="55"/>
  <c r="AB191" i="55"/>
  <c r="AB192" i="55"/>
  <c r="AB193" i="55"/>
  <c r="AB194" i="55"/>
  <c r="AB195" i="55"/>
  <c r="AB196" i="55"/>
  <c r="AB197" i="55"/>
  <c r="AB198" i="55"/>
  <c r="AB199" i="55"/>
  <c r="AB200" i="55"/>
  <c r="AB201" i="55"/>
  <c r="AB202" i="55"/>
  <c r="AB203" i="55"/>
  <c r="AB204" i="55"/>
  <c r="AB205" i="55"/>
  <c r="AB206" i="55"/>
  <c r="AB207" i="55"/>
  <c r="AB208" i="55"/>
  <c r="AB209" i="55"/>
  <c r="AB210" i="55"/>
  <c r="AB211" i="55"/>
  <c r="AB212" i="55"/>
  <c r="AB213" i="55"/>
  <c r="AB214" i="55"/>
  <c r="AB215" i="55"/>
  <c r="AB216" i="55"/>
  <c r="AB217" i="55"/>
  <c r="AB218" i="55"/>
  <c r="AB219" i="55"/>
  <c r="AB220" i="55"/>
  <c r="AB221" i="55"/>
  <c r="AB222" i="55"/>
  <c r="AB223" i="55"/>
  <c r="AB224" i="55"/>
  <c r="AB225" i="55"/>
  <c r="AB226" i="55"/>
  <c r="AB227" i="55"/>
  <c r="AB228" i="55"/>
  <c r="AB229" i="55"/>
  <c r="AB230" i="55"/>
  <c r="AB231" i="55"/>
  <c r="AB232" i="55"/>
  <c r="AB233" i="55"/>
  <c r="AB234" i="55"/>
  <c r="AB235" i="55"/>
  <c r="AB236" i="55"/>
  <c r="AB237" i="55"/>
  <c r="AB238" i="55"/>
  <c r="AB239" i="55"/>
  <c r="AB240" i="55"/>
  <c r="AB241" i="55"/>
  <c r="AB242" i="55"/>
  <c r="AB243" i="55"/>
  <c r="AB244" i="55"/>
  <c r="AB245" i="55"/>
  <c r="AB246" i="55"/>
  <c r="AB247" i="55"/>
  <c r="AB248" i="55"/>
  <c r="AB249" i="55"/>
  <c r="AB250" i="55"/>
  <c r="AB251" i="55"/>
  <c r="AB252" i="55"/>
  <c r="AB253" i="55"/>
  <c r="AB254" i="55"/>
  <c r="AB255" i="55"/>
  <c r="AB256" i="55"/>
  <c r="AB257" i="55"/>
  <c r="AB11" i="55"/>
  <c r="AB12" i="55"/>
  <c r="AB13" i="55"/>
  <c r="AB14" i="55"/>
  <c r="AB15" i="55"/>
  <c r="AB16" i="55"/>
  <c r="AB10" i="55"/>
  <c r="AV40" i="65" l="1"/>
  <c r="Z17" i="64"/>
  <c r="Z18" i="64"/>
  <c r="Z19" i="64"/>
  <c r="Z20" i="64"/>
  <c r="Z21" i="64"/>
  <c r="Z22" i="64"/>
  <c r="Z23" i="64"/>
  <c r="Z24" i="64"/>
  <c r="Z25" i="64"/>
  <c r="Z26" i="64"/>
  <c r="Z27" i="64"/>
  <c r="Z28" i="64"/>
  <c r="Z29" i="64"/>
  <c r="Z30" i="64"/>
  <c r="Z31" i="64"/>
  <c r="Z32" i="64"/>
  <c r="Z33" i="64"/>
  <c r="Z34" i="64"/>
  <c r="Z35" i="64"/>
  <c r="Z36" i="64"/>
  <c r="Z37" i="64"/>
  <c r="Z38" i="64"/>
  <c r="Z39" i="64"/>
  <c r="Z40" i="64"/>
  <c r="Z41" i="64"/>
  <c r="Z42" i="64"/>
  <c r="Z43" i="64"/>
  <c r="Z45" i="64"/>
  <c r="Z46" i="64"/>
  <c r="Z47" i="64"/>
  <c r="Z48" i="64"/>
  <c r="Z49" i="64"/>
  <c r="Z50" i="64"/>
  <c r="Z51" i="64"/>
  <c r="Z52" i="64"/>
  <c r="Z53" i="64"/>
  <c r="Z54" i="64"/>
  <c r="Z55" i="64"/>
  <c r="Z56" i="64"/>
  <c r="Z57" i="64"/>
  <c r="Z58" i="64"/>
  <c r="Z59" i="64"/>
  <c r="Z60" i="64"/>
  <c r="Z61" i="64"/>
  <c r="Z62" i="64"/>
  <c r="Z63" i="64"/>
  <c r="Z64" i="64"/>
  <c r="Z65" i="64"/>
  <c r="Z66" i="64"/>
  <c r="Z67" i="64"/>
  <c r="Z68" i="64"/>
  <c r="Z69" i="64"/>
  <c r="Z70" i="64"/>
  <c r="Z71" i="64"/>
  <c r="Z72" i="64"/>
  <c r="Z73" i="64"/>
  <c r="Z74" i="64"/>
  <c r="Z75" i="64"/>
  <c r="Z76" i="64"/>
  <c r="Z77" i="64"/>
  <c r="Z78" i="64"/>
  <c r="Z79" i="64"/>
  <c r="Z80" i="64"/>
  <c r="Z81" i="64"/>
  <c r="Z82" i="64"/>
  <c r="Z83" i="64"/>
  <c r="Z84" i="64"/>
  <c r="Z85" i="64"/>
  <c r="Z86" i="64"/>
  <c r="Z87" i="64"/>
  <c r="Z88" i="64"/>
  <c r="Z89" i="64"/>
  <c r="Z90" i="64"/>
  <c r="Z91" i="64"/>
  <c r="Z92" i="64"/>
  <c r="Z93" i="64"/>
  <c r="Z94" i="64"/>
  <c r="Z95" i="64"/>
  <c r="Z96" i="64"/>
  <c r="Z97" i="64"/>
  <c r="Z98" i="64"/>
  <c r="Z99" i="64"/>
  <c r="Z100" i="64"/>
  <c r="Z101" i="64"/>
  <c r="Z102" i="64"/>
  <c r="Z103" i="64"/>
  <c r="Z104" i="64"/>
  <c r="Z105" i="64"/>
  <c r="Z106" i="64"/>
  <c r="Z107" i="64"/>
  <c r="Z108" i="64"/>
  <c r="Z109" i="64"/>
  <c r="Z110" i="64"/>
  <c r="Z111" i="64"/>
  <c r="Z112" i="64"/>
  <c r="Z113" i="64"/>
  <c r="Z114" i="64"/>
  <c r="Z115" i="64"/>
  <c r="Z116" i="64"/>
  <c r="Z117" i="64"/>
  <c r="Z118" i="64"/>
  <c r="Z119" i="64"/>
  <c r="Z120" i="64"/>
  <c r="Z121" i="64"/>
  <c r="Z122" i="64"/>
  <c r="Z123" i="64"/>
  <c r="Z124" i="64"/>
  <c r="Z125" i="64"/>
  <c r="Z126" i="64"/>
  <c r="Z127" i="64"/>
  <c r="Z128" i="64"/>
  <c r="Z129" i="64"/>
  <c r="Z130" i="64"/>
  <c r="Z131" i="64"/>
  <c r="Z132" i="64"/>
  <c r="Z133" i="64"/>
  <c r="Z134" i="64"/>
  <c r="Z135" i="64"/>
  <c r="Z136" i="64"/>
  <c r="Z137" i="64"/>
  <c r="Z138" i="64"/>
  <c r="Z139" i="64"/>
  <c r="Z140" i="64"/>
  <c r="Z141" i="64"/>
  <c r="Z142" i="64"/>
  <c r="Z143" i="64"/>
  <c r="Z144" i="64"/>
  <c r="Z145" i="64"/>
  <c r="Z146" i="64"/>
  <c r="Z147" i="64"/>
  <c r="Z148" i="64"/>
  <c r="Z149" i="64"/>
  <c r="Z150" i="64"/>
  <c r="Z151" i="64"/>
  <c r="Z152" i="64"/>
  <c r="Z153" i="64"/>
  <c r="Z154" i="64"/>
  <c r="Z155" i="64"/>
  <c r="Z156" i="64"/>
  <c r="Z157" i="64"/>
  <c r="Z158" i="64"/>
  <c r="Z159" i="64"/>
  <c r="Z160" i="64"/>
  <c r="Z161" i="64"/>
  <c r="Z162" i="64"/>
  <c r="Z163" i="64"/>
  <c r="Z164" i="64"/>
  <c r="Z165" i="64"/>
  <c r="Z166" i="64"/>
  <c r="Z167" i="64"/>
  <c r="Z168" i="64"/>
  <c r="Z169" i="64"/>
  <c r="Z170" i="64"/>
  <c r="Z171" i="64"/>
  <c r="Z172" i="64"/>
  <c r="Z173" i="64"/>
  <c r="Z174" i="64"/>
  <c r="Z175" i="64"/>
  <c r="Z176" i="64"/>
  <c r="Z177" i="64"/>
  <c r="Z178" i="64"/>
  <c r="Z179" i="64"/>
  <c r="Z180" i="64"/>
  <c r="Z181" i="64"/>
  <c r="Z182" i="64"/>
  <c r="Z183" i="64"/>
  <c r="Z184" i="64"/>
  <c r="Z185" i="64"/>
  <c r="Z186" i="64"/>
  <c r="Z187" i="64"/>
  <c r="Z188" i="64"/>
  <c r="Z189" i="64"/>
  <c r="Z190" i="64"/>
  <c r="Z191" i="64"/>
  <c r="Z192" i="64"/>
  <c r="Z193" i="64"/>
  <c r="Z194" i="64"/>
  <c r="Z195" i="64"/>
  <c r="Z196" i="64"/>
  <c r="Z197" i="64"/>
  <c r="Z198" i="64"/>
  <c r="Z199" i="64"/>
  <c r="Z200" i="64"/>
  <c r="Z201" i="64"/>
  <c r="Z202" i="64"/>
  <c r="Z203" i="64"/>
  <c r="Z204" i="64"/>
  <c r="Z205" i="64"/>
  <c r="Z206" i="64"/>
  <c r="Z207" i="64"/>
  <c r="Z208" i="64"/>
  <c r="Z209" i="64"/>
  <c r="Z210" i="64"/>
  <c r="Z211" i="64"/>
  <c r="Z212" i="64"/>
  <c r="Z213" i="64"/>
  <c r="Z214" i="64"/>
  <c r="Z215" i="64"/>
  <c r="Z216" i="64"/>
  <c r="Z217" i="64"/>
  <c r="Z218" i="64"/>
  <c r="Z219" i="64"/>
  <c r="Z220" i="64"/>
  <c r="Z221" i="64"/>
  <c r="Z222" i="64"/>
  <c r="Z223" i="64"/>
  <c r="Z224" i="64"/>
  <c r="Z225" i="64"/>
  <c r="Z226" i="64"/>
  <c r="Z227" i="64"/>
  <c r="Z228" i="64"/>
  <c r="Z229" i="64"/>
  <c r="Z230" i="64"/>
  <c r="Z231" i="64"/>
  <c r="Z232" i="64"/>
  <c r="Z233" i="64"/>
  <c r="Z234" i="64"/>
  <c r="Z235" i="64"/>
  <c r="Z236" i="64"/>
  <c r="Z237" i="64"/>
  <c r="Z238" i="64"/>
  <c r="Z239" i="64"/>
  <c r="Z240" i="64"/>
  <c r="Z241" i="64"/>
  <c r="Z242" i="64"/>
  <c r="Z243" i="64"/>
  <c r="Z244" i="64"/>
  <c r="Z245" i="64"/>
  <c r="Z246" i="64"/>
  <c r="Z247" i="64"/>
  <c r="Z248" i="64"/>
  <c r="Z249" i="64"/>
  <c r="Z250" i="64"/>
  <c r="Z251" i="64"/>
  <c r="Z252" i="64"/>
  <c r="Z253" i="64"/>
  <c r="Z254" i="64"/>
  <c r="Z255" i="64"/>
  <c r="Z256" i="64"/>
  <c r="Z257" i="64"/>
  <c r="Z258" i="64"/>
  <c r="Z259" i="64"/>
  <c r="AH13" i="64"/>
  <c r="AH14" i="64"/>
  <c r="AH15" i="64"/>
  <c r="AH16" i="64"/>
  <c r="AH17" i="64"/>
  <c r="AH18" i="64"/>
  <c r="AH19" i="64"/>
  <c r="AH20" i="64"/>
  <c r="AH21" i="64"/>
  <c r="AH22" i="64"/>
  <c r="AH23" i="64"/>
  <c r="AH24" i="64"/>
  <c r="AH25" i="64"/>
  <c r="AH26" i="64"/>
  <c r="AH27" i="64"/>
  <c r="AH28" i="64"/>
  <c r="AH29" i="64"/>
  <c r="AH30" i="64"/>
  <c r="AH31" i="64"/>
  <c r="AH32" i="64"/>
  <c r="AH33" i="64"/>
  <c r="AH34" i="64"/>
  <c r="AH35" i="64"/>
  <c r="AH36" i="64"/>
  <c r="AH37" i="64"/>
  <c r="AH38" i="64"/>
  <c r="AH39" i="64"/>
  <c r="AH40" i="64"/>
  <c r="AH41" i="64"/>
  <c r="AH42" i="64"/>
  <c r="AH43" i="64"/>
  <c r="AH44" i="64"/>
  <c r="AH45" i="64"/>
  <c r="AH46" i="64"/>
  <c r="AH47" i="64"/>
  <c r="AH48" i="64"/>
  <c r="AH49" i="64"/>
  <c r="AH50" i="64"/>
  <c r="AH51" i="64"/>
  <c r="AH52" i="64"/>
  <c r="AH53" i="64"/>
  <c r="AH54" i="64"/>
  <c r="AH55" i="64"/>
  <c r="AH56" i="64"/>
  <c r="AH57" i="64"/>
  <c r="AH58" i="64"/>
  <c r="AH59" i="64"/>
  <c r="AH60" i="64"/>
  <c r="AH61" i="64"/>
  <c r="AH62" i="64"/>
  <c r="AH63" i="64"/>
  <c r="AH64" i="64"/>
  <c r="AH65" i="64"/>
  <c r="AH66" i="64"/>
  <c r="AH67" i="64"/>
  <c r="AH68" i="64"/>
  <c r="AH69" i="64"/>
  <c r="AH70" i="64"/>
  <c r="AH71" i="64"/>
  <c r="AH72" i="64"/>
  <c r="AH73" i="64"/>
  <c r="AH74" i="64"/>
  <c r="AH75" i="64"/>
  <c r="AH76" i="64"/>
  <c r="AH77" i="64"/>
  <c r="AH78" i="64"/>
  <c r="AH79" i="64"/>
  <c r="AH80" i="64"/>
  <c r="AH81" i="64"/>
  <c r="AH82" i="64"/>
  <c r="AH83" i="64"/>
  <c r="AH84" i="64"/>
  <c r="AH85" i="64"/>
  <c r="AH86" i="64"/>
  <c r="AH87" i="64"/>
  <c r="AH88" i="64"/>
  <c r="AH89" i="64"/>
  <c r="AH90" i="64"/>
  <c r="AH91" i="64"/>
  <c r="AH92" i="64"/>
  <c r="AH93" i="64"/>
  <c r="AH94" i="64"/>
  <c r="AH95" i="64"/>
  <c r="AH96" i="64"/>
  <c r="AH97" i="64"/>
  <c r="AH98" i="64"/>
  <c r="AH99" i="64"/>
  <c r="AH100" i="64"/>
  <c r="AH101" i="64"/>
  <c r="AH102" i="64"/>
  <c r="AH103" i="64"/>
  <c r="AH104" i="64"/>
  <c r="AH105" i="64"/>
  <c r="AH106" i="64"/>
  <c r="AH107" i="64"/>
  <c r="AH108" i="64"/>
  <c r="AH109" i="64"/>
  <c r="AH110" i="64"/>
  <c r="AH111" i="64"/>
  <c r="AH112" i="64"/>
  <c r="AH113" i="64"/>
  <c r="AH114" i="64"/>
  <c r="AH115" i="64"/>
  <c r="AH116" i="64"/>
  <c r="AH117" i="64"/>
  <c r="AH118" i="64"/>
  <c r="AH119" i="64"/>
  <c r="AH120" i="64"/>
  <c r="AH121" i="64"/>
  <c r="AH122" i="64"/>
  <c r="AH123" i="64"/>
  <c r="AH124" i="64"/>
  <c r="AH125" i="64"/>
  <c r="AH126" i="64"/>
  <c r="AH127" i="64"/>
  <c r="AH128" i="64"/>
  <c r="AH129" i="64"/>
  <c r="AH130" i="64"/>
  <c r="AH131" i="64"/>
  <c r="AH132" i="64"/>
  <c r="AH133" i="64"/>
  <c r="AH134" i="64"/>
  <c r="AH135" i="64"/>
  <c r="AH136" i="64"/>
  <c r="AH137" i="64"/>
  <c r="AH138" i="64"/>
  <c r="AH139" i="64"/>
  <c r="AH140" i="64"/>
  <c r="AH141" i="64"/>
  <c r="AH142" i="64"/>
  <c r="AH143" i="64"/>
  <c r="AH144" i="64"/>
  <c r="AH145" i="64"/>
  <c r="AH146" i="64"/>
  <c r="AH147" i="64"/>
  <c r="AH148" i="64"/>
  <c r="AH149" i="64"/>
  <c r="AH150" i="64"/>
  <c r="AH151" i="64"/>
  <c r="AH152" i="64"/>
  <c r="AH153" i="64"/>
  <c r="AH154" i="64"/>
  <c r="AH155" i="64"/>
  <c r="AH156" i="64"/>
  <c r="AH157" i="64"/>
  <c r="AH158" i="64"/>
  <c r="AH159" i="64"/>
  <c r="AH160" i="64"/>
  <c r="AH161" i="64"/>
  <c r="AH162" i="64"/>
  <c r="AH163" i="64"/>
  <c r="AH164" i="64"/>
  <c r="AH165" i="64"/>
  <c r="AH166" i="64"/>
  <c r="AH167" i="64"/>
  <c r="AH168" i="64"/>
  <c r="AH169" i="64"/>
  <c r="AH170" i="64"/>
  <c r="AH171" i="64"/>
  <c r="AH172" i="64"/>
  <c r="AH173" i="64"/>
  <c r="AH174" i="64"/>
  <c r="AH175" i="64"/>
  <c r="AH176" i="64"/>
  <c r="AH177" i="64"/>
  <c r="AH178" i="64"/>
  <c r="AH179" i="64"/>
  <c r="AH180" i="64"/>
  <c r="AH181" i="64"/>
  <c r="AH182" i="64"/>
  <c r="AH183" i="64"/>
  <c r="AH184" i="64"/>
  <c r="AH185" i="64"/>
  <c r="AH186" i="64"/>
  <c r="AH187" i="64"/>
  <c r="AH188" i="64"/>
  <c r="AH189" i="64"/>
  <c r="AH190" i="64"/>
  <c r="AH191" i="64"/>
  <c r="AH192" i="64"/>
  <c r="AH193" i="64"/>
  <c r="AH194" i="64"/>
  <c r="AH195" i="64"/>
  <c r="AH196" i="64"/>
  <c r="AH197" i="64"/>
  <c r="AH198" i="64"/>
  <c r="AH199" i="64"/>
  <c r="AH200" i="64"/>
  <c r="AH201" i="64"/>
  <c r="AH202" i="64"/>
  <c r="AH203" i="64"/>
  <c r="AH204" i="64"/>
  <c r="AH205" i="64"/>
  <c r="AH206" i="64"/>
  <c r="AH207" i="64"/>
  <c r="AH208" i="64"/>
  <c r="AH209" i="64"/>
  <c r="AH210" i="64"/>
  <c r="AH211" i="64"/>
  <c r="AH212" i="64"/>
  <c r="AH213" i="64"/>
  <c r="AH214" i="64"/>
  <c r="AH215" i="64"/>
  <c r="AH216" i="64"/>
  <c r="AH217" i="64"/>
  <c r="AH218" i="64"/>
  <c r="AH219" i="64"/>
  <c r="AH220" i="64"/>
  <c r="AH221" i="64"/>
  <c r="AH222" i="64"/>
  <c r="AH223" i="64"/>
  <c r="AH224" i="64"/>
  <c r="AH225" i="64"/>
  <c r="AH226" i="64"/>
  <c r="AH227" i="64"/>
  <c r="AH228" i="64"/>
  <c r="AH229" i="64"/>
  <c r="AH230" i="64"/>
  <c r="AH231" i="64"/>
  <c r="AH232" i="64"/>
  <c r="AH233" i="64"/>
  <c r="AH234" i="64"/>
  <c r="AH235" i="64"/>
  <c r="AH236" i="64"/>
  <c r="AH237" i="64"/>
  <c r="AH238" i="64"/>
  <c r="AH239" i="64"/>
  <c r="AH240" i="64"/>
  <c r="AH241" i="64"/>
  <c r="AH242" i="64"/>
  <c r="AH243" i="64"/>
  <c r="AH244" i="64"/>
  <c r="AH245" i="64"/>
  <c r="AH246" i="64"/>
  <c r="AH247" i="64"/>
  <c r="AH248" i="64"/>
  <c r="AH249" i="64"/>
  <c r="AH250" i="64"/>
  <c r="AH251" i="64"/>
  <c r="AH252" i="64"/>
  <c r="AH253" i="64"/>
  <c r="AH254" i="64"/>
  <c r="AH255" i="64"/>
  <c r="AH256" i="64"/>
  <c r="AH257" i="64"/>
  <c r="AH258" i="64"/>
  <c r="AH259" i="64"/>
  <c r="AH12" i="64"/>
  <c r="R33" i="63"/>
  <c r="R34" i="63"/>
  <c r="R35" i="63"/>
  <c r="R36" i="63"/>
  <c r="R37" i="63"/>
  <c r="R39" i="63"/>
  <c r="R40" i="63"/>
  <c r="R41" i="63"/>
  <c r="R42" i="63"/>
  <c r="R43" i="63"/>
  <c r="R44" i="63"/>
  <c r="R45" i="63"/>
  <c r="R46" i="63"/>
  <c r="R48" i="63"/>
  <c r="R49" i="63"/>
  <c r="R50" i="63"/>
  <c r="R51" i="63"/>
  <c r="R52" i="63"/>
  <c r="R53" i="63"/>
  <c r="R54" i="63"/>
  <c r="R55" i="63"/>
  <c r="R56" i="63"/>
  <c r="R57" i="63"/>
  <c r="R58" i="63"/>
  <c r="R59" i="63"/>
  <c r="R60" i="63"/>
  <c r="R61" i="63"/>
  <c r="R62" i="63"/>
  <c r="R63" i="63"/>
  <c r="R64" i="63"/>
  <c r="R65" i="63"/>
  <c r="R66" i="63"/>
  <c r="R67" i="63"/>
  <c r="R68" i="63"/>
  <c r="R69" i="63"/>
  <c r="R70" i="63"/>
  <c r="R71" i="63"/>
  <c r="R72" i="63"/>
  <c r="R73" i="63"/>
  <c r="R74" i="63"/>
  <c r="R75" i="63"/>
  <c r="R76" i="63"/>
  <c r="R77" i="63"/>
  <c r="R78" i="63"/>
  <c r="R79" i="63"/>
  <c r="R80" i="63"/>
  <c r="R81" i="63"/>
  <c r="R82" i="63"/>
  <c r="R83" i="63"/>
  <c r="R84" i="63"/>
  <c r="R85" i="63"/>
  <c r="R86" i="63"/>
  <c r="R87" i="63"/>
  <c r="R88" i="63"/>
  <c r="R89" i="63"/>
  <c r="R90" i="63"/>
  <c r="R91" i="63"/>
  <c r="R92" i="63"/>
  <c r="R93" i="63"/>
  <c r="R94" i="63"/>
  <c r="R95" i="63"/>
  <c r="R96" i="63"/>
  <c r="R97" i="63"/>
  <c r="R98" i="63"/>
  <c r="R99" i="63"/>
  <c r="R100" i="63"/>
  <c r="R101" i="63"/>
  <c r="R102" i="63"/>
  <c r="R103" i="63"/>
  <c r="R104" i="63"/>
  <c r="R105" i="63"/>
  <c r="R106" i="63"/>
  <c r="R107" i="63"/>
  <c r="R108" i="63"/>
  <c r="R109" i="63"/>
  <c r="R110" i="63"/>
  <c r="R111" i="63"/>
  <c r="R112" i="63"/>
  <c r="R113" i="63"/>
  <c r="R114" i="63"/>
  <c r="R115" i="63"/>
  <c r="R116" i="63"/>
  <c r="R117" i="63"/>
  <c r="R118" i="63"/>
  <c r="R119" i="63"/>
  <c r="R120" i="63"/>
  <c r="R121" i="63"/>
  <c r="R122" i="63"/>
  <c r="R123" i="63"/>
  <c r="R124" i="63"/>
  <c r="R125" i="63"/>
  <c r="R126" i="63"/>
  <c r="R127" i="63"/>
  <c r="R128" i="63"/>
  <c r="R129" i="63"/>
  <c r="R130" i="63"/>
  <c r="R131" i="63"/>
  <c r="R132" i="63"/>
  <c r="R133" i="63"/>
  <c r="R134" i="63"/>
  <c r="R135" i="63"/>
  <c r="R136" i="63"/>
  <c r="R137" i="63"/>
  <c r="R138" i="63"/>
  <c r="R139" i="63"/>
  <c r="R140" i="63"/>
  <c r="R141" i="63"/>
  <c r="R142" i="63"/>
  <c r="R143" i="63"/>
  <c r="R144" i="63"/>
  <c r="R145" i="63"/>
  <c r="R146" i="63"/>
  <c r="R147" i="63"/>
  <c r="R148" i="63"/>
  <c r="R149" i="63"/>
  <c r="R150" i="63"/>
  <c r="R151" i="63"/>
  <c r="R152" i="63"/>
  <c r="R153" i="63"/>
  <c r="R154" i="63"/>
  <c r="R155" i="63"/>
  <c r="R156" i="63"/>
  <c r="R157" i="63"/>
  <c r="R158" i="63"/>
  <c r="R159" i="63"/>
  <c r="R160" i="63"/>
  <c r="R161" i="63"/>
  <c r="R162" i="63"/>
  <c r="R163" i="63"/>
  <c r="R164" i="63"/>
  <c r="R165" i="63"/>
  <c r="R166" i="63"/>
  <c r="R167" i="63"/>
  <c r="R168" i="63"/>
  <c r="R169" i="63"/>
  <c r="R170" i="63"/>
  <c r="R171" i="63"/>
  <c r="R172" i="63"/>
  <c r="R173" i="63"/>
  <c r="R174" i="63"/>
  <c r="R175" i="63"/>
  <c r="R176" i="63"/>
  <c r="R177" i="63"/>
  <c r="R178" i="63"/>
  <c r="R179" i="63"/>
  <c r="R180" i="63"/>
  <c r="R181" i="63"/>
  <c r="R182" i="63"/>
  <c r="R183" i="63"/>
  <c r="R184" i="63"/>
  <c r="R185" i="63"/>
  <c r="R186" i="63"/>
  <c r="R187" i="63"/>
  <c r="R188" i="63"/>
  <c r="R189" i="63"/>
  <c r="R190" i="63"/>
  <c r="R191" i="63"/>
  <c r="R192" i="63"/>
  <c r="R193" i="63"/>
  <c r="R194" i="63"/>
  <c r="R195" i="63"/>
  <c r="R196" i="63"/>
  <c r="R197" i="63"/>
  <c r="R198" i="63"/>
  <c r="R199" i="63"/>
  <c r="R200" i="63"/>
  <c r="R201" i="63"/>
  <c r="R202" i="63"/>
  <c r="R203" i="63"/>
  <c r="R204" i="63"/>
  <c r="R205" i="63"/>
  <c r="R206" i="63"/>
  <c r="R207" i="63"/>
  <c r="R208" i="63"/>
  <c r="R209" i="63"/>
  <c r="R210" i="63"/>
  <c r="R211" i="63"/>
  <c r="R212" i="63"/>
  <c r="R213" i="63"/>
  <c r="R214" i="63"/>
  <c r="R215" i="63"/>
  <c r="R216" i="63"/>
  <c r="R217" i="63"/>
  <c r="R218" i="63"/>
  <c r="R219" i="63"/>
  <c r="R220" i="63"/>
  <c r="R221" i="63"/>
  <c r="R222" i="63"/>
  <c r="R223" i="63"/>
  <c r="R224" i="63"/>
  <c r="R225" i="63"/>
  <c r="R226" i="63"/>
  <c r="R227" i="63"/>
  <c r="R228" i="63"/>
  <c r="R229" i="63"/>
  <c r="R230" i="63"/>
  <c r="R231" i="63"/>
  <c r="R232" i="63"/>
  <c r="R233" i="63"/>
  <c r="R234" i="63"/>
  <c r="R235" i="63"/>
  <c r="R236" i="63"/>
  <c r="R237" i="63"/>
  <c r="R238" i="63"/>
  <c r="R239" i="63"/>
  <c r="R240" i="63"/>
  <c r="R241" i="63"/>
  <c r="R242" i="63"/>
  <c r="R243" i="63"/>
  <c r="R244" i="63"/>
  <c r="R245" i="63"/>
  <c r="R246" i="63"/>
  <c r="R247" i="63"/>
  <c r="R249" i="63"/>
  <c r="R250" i="63"/>
  <c r="R251" i="63"/>
  <c r="R252" i="63"/>
  <c r="R253" i="63"/>
  <c r="R254" i="63"/>
  <c r="R255" i="63"/>
  <c r="R257" i="63"/>
  <c r="AP19" i="63"/>
  <c r="AP20" i="63"/>
  <c r="AP21" i="63"/>
  <c r="AP22" i="63"/>
  <c r="AP23" i="63"/>
  <c r="AP24" i="63"/>
  <c r="AP25" i="63"/>
  <c r="AP26" i="63"/>
  <c r="AP27" i="63"/>
  <c r="AP28" i="63"/>
  <c r="AP29" i="63"/>
  <c r="AP30" i="63"/>
  <c r="AP31" i="63"/>
  <c r="AP32" i="63"/>
  <c r="AP33" i="63"/>
  <c r="AP34" i="63"/>
  <c r="AP35" i="63"/>
  <c r="AP36" i="63"/>
  <c r="AP37" i="63"/>
  <c r="AP38" i="63"/>
  <c r="AP39" i="63"/>
  <c r="AP40" i="63"/>
  <c r="AP41" i="63"/>
  <c r="AP42" i="63"/>
  <c r="AP43" i="63"/>
  <c r="AP44" i="63"/>
  <c r="AP45" i="63"/>
  <c r="AP46" i="63"/>
  <c r="AP47" i="63"/>
  <c r="AP48" i="63"/>
  <c r="AP49" i="63"/>
  <c r="AP50" i="63"/>
  <c r="AP51" i="63"/>
  <c r="AP52" i="63"/>
  <c r="AP53" i="63"/>
  <c r="AP54" i="63"/>
  <c r="AP55" i="63"/>
  <c r="AP56" i="63"/>
  <c r="AP57" i="63"/>
  <c r="AP58" i="63"/>
  <c r="AP59" i="63"/>
  <c r="AP60" i="63"/>
  <c r="AP61" i="63"/>
  <c r="AP62" i="63"/>
  <c r="AP63" i="63"/>
  <c r="AP64" i="63"/>
  <c r="AP65" i="63"/>
  <c r="AP66" i="63"/>
  <c r="AP67" i="63"/>
  <c r="AP68" i="63"/>
  <c r="AP69" i="63"/>
  <c r="AP70" i="63"/>
  <c r="AP71" i="63"/>
  <c r="AP72" i="63"/>
  <c r="AP73" i="63"/>
  <c r="AP74" i="63"/>
  <c r="AP75" i="63"/>
  <c r="AP76" i="63"/>
  <c r="AP77" i="63"/>
  <c r="AP78" i="63"/>
  <c r="AP79" i="63"/>
  <c r="AP80" i="63"/>
  <c r="AP81" i="63"/>
  <c r="AP82" i="63"/>
  <c r="AP83" i="63"/>
  <c r="AP84" i="63"/>
  <c r="AP85" i="63"/>
  <c r="AP86" i="63"/>
  <c r="AP87" i="63"/>
  <c r="AP88" i="63"/>
  <c r="AP89" i="63"/>
  <c r="AP90" i="63"/>
  <c r="AP91" i="63"/>
  <c r="AP92" i="63"/>
  <c r="AP93" i="63"/>
  <c r="AP94" i="63"/>
  <c r="AP95" i="63"/>
  <c r="AP96" i="63"/>
  <c r="AP97" i="63"/>
  <c r="AP98" i="63"/>
  <c r="AP99" i="63"/>
  <c r="AP100" i="63"/>
  <c r="AP101" i="63"/>
  <c r="AP102" i="63"/>
  <c r="AP103" i="63"/>
  <c r="AP104" i="63"/>
  <c r="AP105" i="63"/>
  <c r="AP106" i="63"/>
  <c r="AP107" i="63"/>
  <c r="AP108" i="63"/>
  <c r="AP109" i="63"/>
  <c r="AP110" i="63"/>
  <c r="AP111" i="63"/>
  <c r="AP112" i="63"/>
  <c r="AP113" i="63"/>
  <c r="AP114" i="63"/>
  <c r="AP115" i="63"/>
  <c r="AP116" i="63"/>
  <c r="AP117" i="63"/>
  <c r="AP118" i="63"/>
  <c r="AP119" i="63"/>
  <c r="AP120" i="63"/>
  <c r="AP121" i="63"/>
  <c r="AP122" i="63"/>
  <c r="AP123" i="63"/>
  <c r="AP124" i="63"/>
  <c r="AP125" i="63"/>
  <c r="AP126" i="63"/>
  <c r="AP127" i="63"/>
  <c r="AP128" i="63"/>
  <c r="AP129" i="63"/>
  <c r="AP130" i="63"/>
  <c r="AP131" i="63"/>
  <c r="AP132" i="63"/>
  <c r="AP133" i="63"/>
  <c r="AP134" i="63"/>
  <c r="AP135" i="63"/>
  <c r="AP136" i="63"/>
  <c r="AP137" i="63"/>
  <c r="AP138" i="63"/>
  <c r="AP139" i="63"/>
  <c r="AP140" i="63"/>
  <c r="AP141" i="63"/>
  <c r="AP142" i="63"/>
  <c r="AP143" i="63"/>
  <c r="AP144" i="63"/>
  <c r="AP145" i="63"/>
  <c r="AP146" i="63"/>
  <c r="AP147" i="63"/>
  <c r="AP148" i="63"/>
  <c r="AP149" i="63"/>
  <c r="AP150" i="63"/>
  <c r="AP151" i="63"/>
  <c r="AP152" i="63"/>
  <c r="AP153" i="63"/>
  <c r="AP154" i="63"/>
  <c r="AP155" i="63"/>
  <c r="AP156" i="63"/>
  <c r="AP157" i="63"/>
  <c r="AP158" i="63"/>
  <c r="AP159" i="63"/>
  <c r="AP160" i="63"/>
  <c r="AP161" i="63"/>
  <c r="AP162" i="63"/>
  <c r="AP163" i="63"/>
  <c r="AP164" i="63"/>
  <c r="AP165" i="63"/>
  <c r="AP166" i="63"/>
  <c r="AP167" i="63"/>
  <c r="AP168" i="63"/>
  <c r="AP169" i="63"/>
  <c r="AP170" i="63"/>
  <c r="AP171" i="63"/>
  <c r="AP172" i="63"/>
  <c r="AP173" i="63"/>
  <c r="AP174" i="63"/>
  <c r="AP175" i="63"/>
  <c r="AP176" i="63"/>
  <c r="AP177" i="63"/>
  <c r="AP178" i="63"/>
  <c r="AP179" i="63"/>
  <c r="AP180" i="63"/>
  <c r="AP181" i="63"/>
  <c r="AP182" i="63"/>
  <c r="AP183" i="63"/>
  <c r="AP184" i="63"/>
  <c r="AP185" i="63"/>
  <c r="AP186" i="63"/>
  <c r="AP187" i="63"/>
  <c r="AP188" i="63"/>
  <c r="AP189" i="63"/>
  <c r="AP190" i="63"/>
  <c r="AP191" i="63"/>
  <c r="AP192" i="63"/>
  <c r="AP193" i="63"/>
  <c r="AP194" i="63"/>
  <c r="AP195" i="63"/>
  <c r="AP196" i="63"/>
  <c r="AP197" i="63"/>
  <c r="AP198" i="63"/>
  <c r="AP199" i="63"/>
  <c r="AP200" i="63"/>
  <c r="AP201" i="63"/>
  <c r="AP202" i="63"/>
  <c r="AP203" i="63"/>
  <c r="AP204" i="63"/>
  <c r="AP205" i="63"/>
  <c r="AP206" i="63"/>
  <c r="AP207" i="63"/>
  <c r="AP208" i="63"/>
  <c r="AP209" i="63"/>
  <c r="AP210" i="63"/>
  <c r="AP211" i="63"/>
  <c r="AP212" i="63"/>
  <c r="AP213" i="63"/>
  <c r="AP214" i="63"/>
  <c r="AP215" i="63"/>
  <c r="AP216" i="63"/>
  <c r="AP217" i="63"/>
  <c r="AP218" i="63"/>
  <c r="AP219" i="63"/>
  <c r="AP220" i="63"/>
  <c r="AP221" i="63"/>
  <c r="AP222" i="63"/>
  <c r="AP223" i="63"/>
  <c r="AP224" i="63"/>
  <c r="AP225" i="63"/>
  <c r="AP226" i="63"/>
  <c r="AP227" i="63"/>
  <c r="AP228" i="63"/>
  <c r="AP229" i="63"/>
  <c r="AP230" i="63"/>
  <c r="AP231" i="63"/>
  <c r="AP232" i="63"/>
  <c r="AP233" i="63"/>
  <c r="AP234" i="63"/>
  <c r="AP235" i="63"/>
  <c r="AP236" i="63"/>
  <c r="AP237" i="63"/>
  <c r="AP238" i="63"/>
  <c r="AP239" i="63"/>
  <c r="AP240" i="63"/>
  <c r="AP241" i="63"/>
  <c r="AP242" i="63"/>
  <c r="AP243" i="63"/>
  <c r="AP244" i="63"/>
  <c r="AP245" i="63"/>
  <c r="AP246" i="63"/>
  <c r="AP247" i="63"/>
  <c r="AP248" i="63"/>
  <c r="AP249" i="63"/>
  <c r="AP250" i="63"/>
  <c r="AP251" i="63"/>
  <c r="AP252" i="63"/>
  <c r="AP253" i="63"/>
  <c r="AP254" i="63"/>
  <c r="AP255" i="63"/>
  <c r="AP256" i="63"/>
  <c r="AP257" i="63"/>
  <c r="AP11" i="63"/>
  <c r="AP12" i="63"/>
  <c r="AP13" i="63"/>
  <c r="AP15" i="63"/>
  <c r="AP16" i="63"/>
  <c r="AP17" i="63"/>
  <c r="AP18" i="63"/>
  <c r="AP10" i="63"/>
  <c r="AL10" i="52"/>
  <c r="T13" i="53"/>
  <c r="T14" i="53"/>
  <c r="T15" i="53"/>
  <c r="T16" i="53"/>
  <c r="T17" i="53"/>
  <c r="T18" i="53"/>
  <c r="T19" i="53"/>
  <c r="T20" i="53"/>
  <c r="T21" i="53"/>
  <c r="T22" i="53"/>
  <c r="T23" i="53"/>
  <c r="T24" i="53"/>
  <c r="T25" i="53"/>
  <c r="T26" i="53"/>
  <c r="T27" i="53"/>
  <c r="T28" i="53"/>
  <c r="T29" i="53"/>
  <c r="T30" i="53"/>
  <c r="T31" i="53"/>
  <c r="T32" i="53"/>
  <c r="T33" i="53"/>
  <c r="T34" i="53"/>
  <c r="T35" i="53"/>
  <c r="T36" i="53"/>
  <c r="T37" i="53"/>
  <c r="T38" i="53"/>
  <c r="T39" i="53"/>
  <c r="T40" i="53"/>
  <c r="T41" i="53"/>
  <c r="T42" i="53"/>
  <c r="T43" i="53"/>
  <c r="T44" i="53"/>
  <c r="T45" i="53"/>
  <c r="T46" i="53"/>
  <c r="T47" i="53"/>
  <c r="T48" i="53"/>
  <c r="T49" i="53"/>
  <c r="T50" i="53"/>
  <c r="T51" i="53"/>
  <c r="T52" i="53"/>
  <c r="T53" i="53"/>
  <c r="T54" i="53"/>
  <c r="T55" i="53"/>
  <c r="T56" i="53"/>
  <c r="T57" i="53"/>
  <c r="T58" i="53"/>
  <c r="T59" i="53"/>
  <c r="T60" i="53"/>
  <c r="T61" i="53"/>
  <c r="T62" i="53"/>
  <c r="T63" i="53"/>
  <c r="T64" i="53"/>
  <c r="T65" i="53"/>
  <c r="T66" i="53"/>
  <c r="T67" i="53"/>
  <c r="T68" i="53"/>
  <c r="T69" i="53"/>
  <c r="T70" i="53"/>
  <c r="T71" i="53"/>
  <c r="T72" i="53"/>
  <c r="T73" i="53"/>
  <c r="T74" i="53"/>
  <c r="T75" i="53"/>
  <c r="T76" i="53"/>
  <c r="T77" i="53"/>
  <c r="T78" i="53"/>
  <c r="T79" i="53"/>
  <c r="T80" i="53"/>
  <c r="T81" i="53"/>
  <c r="T82" i="53"/>
  <c r="T83" i="53"/>
  <c r="T84" i="53"/>
  <c r="T85" i="53"/>
  <c r="T86" i="53"/>
  <c r="T87" i="53"/>
  <c r="T88" i="53"/>
  <c r="T89" i="53"/>
  <c r="T90" i="53"/>
  <c r="T91" i="53"/>
  <c r="T92" i="53"/>
  <c r="T93" i="53"/>
  <c r="T94" i="53"/>
  <c r="T95" i="53"/>
  <c r="T96" i="53"/>
  <c r="T97" i="53"/>
  <c r="T98" i="53"/>
  <c r="T99" i="53"/>
  <c r="T100" i="53"/>
  <c r="T101" i="53"/>
  <c r="T102" i="53"/>
  <c r="T103" i="53"/>
  <c r="T104" i="53"/>
  <c r="T105" i="53"/>
  <c r="T106" i="53"/>
  <c r="T107" i="53"/>
  <c r="T108" i="53"/>
  <c r="T109" i="53"/>
  <c r="T110" i="53"/>
  <c r="T111" i="53"/>
  <c r="T112" i="53"/>
  <c r="T113" i="53"/>
  <c r="T114" i="53"/>
  <c r="T115" i="53"/>
  <c r="T116" i="53"/>
  <c r="T117" i="53"/>
  <c r="T118" i="53"/>
  <c r="T119" i="53"/>
  <c r="T120" i="53"/>
  <c r="T121" i="53"/>
  <c r="T122" i="53"/>
  <c r="T123" i="53"/>
  <c r="T124" i="53"/>
  <c r="T125" i="53"/>
  <c r="T126" i="53"/>
  <c r="T127" i="53"/>
  <c r="T128" i="53"/>
  <c r="T129" i="53"/>
  <c r="T130" i="53"/>
  <c r="T131" i="53"/>
  <c r="T132" i="53"/>
  <c r="T133" i="53"/>
  <c r="T134" i="53"/>
  <c r="T135" i="53"/>
  <c r="T136" i="53"/>
  <c r="T137" i="53"/>
  <c r="T138" i="53"/>
  <c r="T139" i="53"/>
  <c r="T140" i="53"/>
  <c r="T141" i="53"/>
  <c r="T142" i="53"/>
  <c r="T143" i="53"/>
  <c r="T144" i="53"/>
  <c r="T145" i="53"/>
  <c r="T146" i="53"/>
  <c r="T147" i="53"/>
  <c r="T148" i="53"/>
  <c r="T149" i="53"/>
  <c r="T150" i="53"/>
  <c r="T151" i="53"/>
  <c r="T152" i="53"/>
  <c r="T153" i="53"/>
  <c r="T154" i="53"/>
  <c r="T155" i="53"/>
  <c r="T156" i="53"/>
  <c r="T157" i="53"/>
  <c r="T158" i="53"/>
  <c r="T159" i="53"/>
  <c r="T160" i="53"/>
  <c r="T161" i="53"/>
  <c r="T162" i="53"/>
  <c r="T163" i="53"/>
  <c r="T164" i="53"/>
  <c r="T165" i="53"/>
  <c r="T166" i="53"/>
  <c r="T167" i="53"/>
  <c r="T168" i="53"/>
  <c r="T169" i="53"/>
  <c r="T170" i="53"/>
  <c r="T171" i="53"/>
  <c r="T172" i="53"/>
  <c r="T173" i="53"/>
  <c r="T174" i="53"/>
  <c r="T175" i="53"/>
  <c r="T176" i="53"/>
  <c r="T177" i="53"/>
  <c r="T178" i="53"/>
  <c r="T179" i="53"/>
  <c r="T180" i="53"/>
  <c r="T181" i="53"/>
  <c r="T182" i="53"/>
  <c r="T183" i="53"/>
  <c r="T184" i="53"/>
  <c r="T185" i="53"/>
  <c r="T186" i="53"/>
  <c r="T187" i="53"/>
  <c r="T188" i="53"/>
  <c r="T189" i="53"/>
  <c r="T190" i="53"/>
  <c r="T191" i="53"/>
  <c r="T192" i="53"/>
  <c r="T193" i="53"/>
  <c r="T194" i="53"/>
  <c r="T195" i="53"/>
  <c r="T196" i="53"/>
  <c r="T197" i="53"/>
  <c r="T198" i="53"/>
  <c r="T199" i="53"/>
  <c r="T200" i="53"/>
  <c r="T201" i="53"/>
  <c r="T202" i="53"/>
  <c r="T203" i="53"/>
  <c r="T204" i="53"/>
  <c r="T205" i="53"/>
  <c r="T206" i="53"/>
  <c r="T207" i="53"/>
  <c r="T208" i="53"/>
  <c r="T209" i="53"/>
  <c r="T210" i="53"/>
  <c r="T211" i="53"/>
  <c r="T212" i="53"/>
  <c r="T213" i="53"/>
  <c r="T214" i="53"/>
  <c r="T215" i="53"/>
  <c r="T216" i="53"/>
  <c r="T217" i="53"/>
  <c r="T218" i="53"/>
  <c r="T219" i="53"/>
  <c r="T220" i="53"/>
  <c r="T221" i="53"/>
  <c r="T222" i="53"/>
  <c r="T223" i="53"/>
  <c r="T224" i="53"/>
  <c r="T225" i="53"/>
  <c r="T226" i="53"/>
  <c r="T227" i="53"/>
  <c r="T228" i="53"/>
  <c r="T229" i="53"/>
  <c r="T230" i="53"/>
  <c r="T231" i="53"/>
  <c r="T232" i="53"/>
  <c r="T233" i="53"/>
  <c r="T234" i="53"/>
  <c r="T235" i="53"/>
  <c r="T236" i="53"/>
  <c r="T237" i="53"/>
  <c r="T238" i="53"/>
  <c r="T239" i="53"/>
  <c r="T240" i="53"/>
  <c r="T241" i="53"/>
  <c r="T242" i="53"/>
  <c r="T243" i="53"/>
  <c r="T244" i="53"/>
  <c r="T245" i="53"/>
  <c r="T246" i="53"/>
  <c r="T247" i="53"/>
  <c r="T248" i="53"/>
  <c r="T249" i="53"/>
  <c r="T250" i="53"/>
  <c r="T251" i="53"/>
  <c r="T252" i="53"/>
  <c r="T253" i="53"/>
  <c r="T254" i="53"/>
  <c r="T255" i="53"/>
  <c r="T256" i="53"/>
  <c r="T257" i="53"/>
  <c r="T12" i="53"/>
  <c r="AG12" i="42"/>
  <c r="I13" i="42" l="1"/>
  <c r="I14" i="42"/>
  <c r="I15" i="42"/>
  <c r="I16" i="42"/>
  <c r="I17" i="42"/>
  <c r="I18" i="42"/>
  <c r="I19" i="42"/>
  <c r="I20" i="42"/>
  <c r="I21" i="42"/>
  <c r="I22" i="42"/>
  <c r="I23" i="42"/>
  <c r="I24" i="42"/>
  <c r="I25" i="42"/>
  <c r="I26" i="42"/>
  <c r="I27" i="42"/>
  <c r="I28" i="42"/>
  <c r="I29" i="42"/>
  <c r="I30" i="42"/>
  <c r="I31" i="42"/>
  <c r="I32" i="42"/>
  <c r="I33" i="42"/>
  <c r="I34" i="42"/>
  <c r="I35" i="42"/>
  <c r="I36" i="42"/>
  <c r="I37" i="42"/>
  <c r="I38" i="42"/>
  <c r="I39" i="42"/>
  <c r="I40" i="42"/>
  <c r="I41" i="42"/>
  <c r="I42" i="42"/>
  <c r="I43" i="42"/>
  <c r="I44" i="42"/>
  <c r="I45" i="42"/>
  <c r="I46" i="42"/>
  <c r="I47" i="42"/>
  <c r="I48" i="42"/>
  <c r="I49" i="42"/>
  <c r="I50" i="42"/>
  <c r="I51" i="42"/>
  <c r="I52" i="42"/>
  <c r="I53" i="42"/>
  <c r="I54" i="42"/>
  <c r="I55" i="42"/>
  <c r="I56" i="42"/>
  <c r="I57" i="42"/>
  <c r="I58" i="42"/>
  <c r="I59" i="42"/>
  <c r="I60" i="42"/>
  <c r="I61" i="42"/>
  <c r="I62" i="42"/>
  <c r="I63" i="42"/>
  <c r="I64" i="42"/>
  <c r="I65" i="42"/>
  <c r="I66" i="42"/>
  <c r="I67" i="42"/>
  <c r="I68" i="42"/>
  <c r="I69" i="42"/>
  <c r="I70" i="42"/>
  <c r="I71" i="42"/>
  <c r="I72" i="42"/>
  <c r="I73" i="42"/>
  <c r="I74" i="42"/>
  <c r="I75" i="42"/>
  <c r="I76" i="42"/>
  <c r="I77" i="42"/>
  <c r="I78" i="42"/>
  <c r="I79" i="42"/>
  <c r="I80" i="42"/>
  <c r="I81" i="42"/>
  <c r="I82" i="42"/>
  <c r="I83" i="42"/>
  <c r="I84" i="42"/>
  <c r="I85" i="42"/>
  <c r="I86" i="42"/>
  <c r="I87" i="42"/>
  <c r="I88" i="42"/>
  <c r="I89" i="42"/>
  <c r="I90" i="42"/>
  <c r="I91" i="42"/>
  <c r="I92" i="42"/>
  <c r="I93" i="42"/>
  <c r="I94" i="42"/>
  <c r="I95" i="42"/>
  <c r="I96" i="42"/>
  <c r="I97" i="42"/>
  <c r="I98" i="42"/>
  <c r="I99" i="42"/>
  <c r="I100" i="42"/>
  <c r="I101" i="42"/>
  <c r="I102" i="42"/>
  <c r="I103" i="42"/>
  <c r="I104" i="42"/>
  <c r="I105" i="42"/>
  <c r="I106" i="42"/>
  <c r="I107" i="42"/>
  <c r="I108" i="42"/>
  <c r="I109" i="42"/>
  <c r="I110" i="42"/>
  <c r="I111" i="42"/>
  <c r="I112" i="42"/>
  <c r="I113" i="42"/>
  <c r="I114" i="42"/>
  <c r="I115" i="42"/>
  <c r="I116" i="42"/>
  <c r="I117" i="42"/>
  <c r="I118" i="42"/>
  <c r="I119" i="42"/>
  <c r="I120" i="42"/>
  <c r="I121" i="42"/>
  <c r="I122" i="42"/>
  <c r="I123" i="42"/>
  <c r="I124" i="42"/>
  <c r="I125" i="42"/>
  <c r="I126" i="42"/>
  <c r="I127" i="42"/>
  <c r="I128" i="42"/>
  <c r="I129" i="42"/>
  <c r="I130" i="42"/>
  <c r="I131" i="42"/>
  <c r="I132" i="42"/>
  <c r="I133" i="42"/>
  <c r="I134" i="42"/>
  <c r="I135" i="42"/>
  <c r="I136" i="42"/>
  <c r="I137" i="42"/>
  <c r="I138" i="42"/>
  <c r="I139" i="42"/>
  <c r="I140" i="42"/>
  <c r="I141" i="42"/>
  <c r="I142" i="42"/>
  <c r="I143" i="42"/>
  <c r="I144" i="42"/>
  <c r="I145" i="42"/>
  <c r="I146" i="42"/>
  <c r="I147" i="42"/>
  <c r="I148" i="42"/>
  <c r="I149" i="42"/>
  <c r="I150" i="42"/>
  <c r="I151" i="42"/>
  <c r="I152" i="42"/>
  <c r="I153" i="42"/>
  <c r="I154" i="42"/>
  <c r="I155" i="42"/>
  <c r="I156" i="42"/>
  <c r="I157" i="42"/>
  <c r="I158" i="42"/>
  <c r="I159" i="42"/>
  <c r="I160" i="42"/>
  <c r="I161" i="42"/>
  <c r="I162" i="42"/>
  <c r="I163" i="42"/>
  <c r="I164" i="42"/>
  <c r="I165" i="42"/>
  <c r="I166" i="42"/>
  <c r="I167" i="42"/>
  <c r="I168" i="42"/>
  <c r="I169" i="42"/>
  <c r="I170" i="42"/>
  <c r="I171" i="42"/>
  <c r="I172" i="42"/>
  <c r="I173" i="42"/>
  <c r="I174" i="42"/>
  <c r="I175" i="42"/>
  <c r="I176" i="42"/>
  <c r="I177" i="42"/>
  <c r="I178" i="42"/>
  <c r="I179" i="42"/>
  <c r="I180" i="42"/>
  <c r="I181" i="42"/>
  <c r="I182" i="42"/>
  <c r="I183" i="42"/>
  <c r="I184" i="42"/>
  <c r="I185" i="42"/>
  <c r="I186" i="42"/>
  <c r="I187" i="42"/>
  <c r="I188" i="42"/>
  <c r="I189" i="42"/>
  <c r="I190" i="42"/>
  <c r="I191" i="42"/>
  <c r="I192" i="42"/>
  <c r="I193" i="42"/>
  <c r="I194" i="42"/>
  <c r="I195" i="42"/>
  <c r="I196" i="42"/>
  <c r="I197" i="42"/>
  <c r="I198" i="42"/>
  <c r="I199" i="42"/>
  <c r="I200" i="42"/>
  <c r="I201" i="42"/>
  <c r="I202" i="42"/>
  <c r="I203" i="42"/>
  <c r="I204" i="42"/>
  <c r="I205" i="42"/>
  <c r="I206" i="42"/>
  <c r="I207" i="42"/>
  <c r="I208" i="42"/>
  <c r="I209" i="42"/>
  <c r="I210" i="42"/>
  <c r="I211" i="42"/>
  <c r="I212" i="42"/>
  <c r="I213" i="42"/>
  <c r="I214" i="42"/>
  <c r="I215" i="42"/>
  <c r="I216" i="42"/>
  <c r="I217" i="42"/>
  <c r="I218" i="42"/>
  <c r="I219" i="42"/>
  <c r="I220" i="42"/>
  <c r="I221" i="42"/>
  <c r="I222" i="42"/>
  <c r="I223" i="42"/>
  <c r="I224" i="42"/>
  <c r="I225" i="42"/>
  <c r="I226" i="42"/>
  <c r="I227" i="42"/>
  <c r="I228" i="42"/>
  <c r="I229" i="42"/>
  <c r="I230" i="42"/>
  <c r="I231" i="42"/>
  <c r="I232" i="42"/>
  <c r="I233" i="42"/>
  <c r="I234" i="42"/>
  <c r="I235" i="42"/>
  <c r="I236" i="42"/>
  <c r="I237" i="42"/>
  <c r="I238" i="42"/>
  <c r="I239" i="42"/>
  <c r="I240" i="42"/>
  <c r="I241" i="42"/>
  <c r="I242" i="42"/>
  <c r="I243" i="42"/>
  <c r="I244" i="42"/>
  <c r="I245" i="42"/>
  <c r="I246" i="42"/>
  <c r="I247" i="42"/>
  <c r="I248" i="42"/>
  <c r="I249" i="42"/>
  <c r="I250" i="42"/>
  <c r="I251" i="42"/>
  <c r="I252" i="42"/>
  <c r="I253" i="42"/>
  <c r="I254" i="42"/>
  <c r="I255" i="42"/>
  <c r="I256" i="42"/>
  <c r="I257" i="42"/>
  <c r="I258" i="42"/>
  <c r="I259" i="42"/>
  <c r="I12" i="42"/>
  <c r="AG13" i="42"/>
  <c r="AG14" i="42"/>
  <c r="AG15" i="42"/>
  <c r="AG16" i="42"/>
  <c r="AG17" i="42"/>
  <c r="AG18" i="42"/>
  <c r="AG19" i="42"/>
  <c r="AG20" i="42"/>
  <c r="AG21" i="42"/>
  <c r="AG22" i="42"/>
  <c r="AG23" i="42"/>
  <c r="AG24" i="42"/>
  <c r="AG25" i="42"/>
  <c r="AG26" i="42"/>
  <c r="AG27" i="42"/>
  <c r="AG28" i="42"/>
  <c r="AG29" i="42"/>
  <c r="AG30" i="42"/>
  <c r="AG31" i="42"/>
  <c r="AG32" i="42"/>
  <c r="AG33" i="42"/>
  <c r="AG34" i="42"/>
  <c r="AG35" i="42"/>
  <c r="AG36" i="42"/>
  <c r="AG37" i="42"/>
  <c r="AG38" i="42"/>
  <c r="AG39" i="42"/>
  <c r="AG40" i="42"/>
  <c r="AG41" i="42"/>
  <c r="AG42" i="42"/>
  <c r="AG43" i="42"/>
  <c r="AG44" i="42"/>
  <c r="AG45" i="42"/>
  <c r="AG46" i="42"/>
  <c r="AG47" i="42"/>
  <c r="AG48" i="42"/>
  <c r="AG49" i="42"/>
  <c r="AG50" i="42"/>
  <c r="AG51" i="42"/>
  <c r="AG52" i="42"/>
  <c r="AG53" i="42"/>
  <c r="AG54" i="42"/>
  <c r="AG55" i="42"/>
  <c r="AG56" i="42"/>
  <c r="AG57" i="42"/>
  <c r="AG58" i="42"/>
  <c r="AG59" i="42"/>
  <c r="AG60" i="42"/>
  <c r="AG61" i="42"/>
  <c r="AG62" i="42"/>
  <c r="AG63" i="42"/>
  <c r="AG64" i="42"/>
  <c r="AG65" i="42"/>
  <c r="AG66" i="42"/>
  <c r="AG67" i="42"/>
  <c r="AG68" i="42"/>
  <c r="AG69" i="42"/>
  <c r="AG70" i="42"/>
  <c r="AG71" i="42"/>
  <c r="AG72" i="42"/>
  <c r="AG73" i="42"/>
  <c r="AG74" i="42"/>
  <c r="AG75" i="42"/>
  <c r="AG76" i="42"/>
  <c r="AG77" i="42"/>
  <c r="AG78" i="42"/>
  <c r="AG79" i="42"/>
  <c r="AG80" i="42"/>
  <c r="AG81" i="42"/>
  <c r="AG82" i="42"/>
  <c r="AG83" i="42"/>
  <c r="AG84" i="42"/>
  <c r="AG85" i="42"/>
  <c r="AG86" i="42"/>
  <c r="AG87" i="42"/>
  <c r="AG88" i="42"/>
  <c r="AG89" i="42"/>
  <c r="AG90" i="42"/>
  <c r="AG91" i="42"/>
  <c r="AG92" i="42"/>
  <c r="AG93" i="42"/>
  <c r="AG94" i="42"/>
  <c r="AG95" i="42"/>
  <c r="AG96" i="42"/>
  <c r="AG97" i="42"/>
  <c r="AG98" i="42"/>
  <c r="AG99" i="42"/>
  <c r="AG100" i="42"/>
  <c r="AG101" i="42"/>
  <c r="AG102" i="42"/>
  <c r="AG103" i="42"/>
  <c r="AG104" i="42"/>
  <c r="AG105" i="42"/>
  <c r="AG106" i="42"/>
  <c r="AG107" i="42"/>
  <c r="AG108" i="42"/>
  <c r="AG109" i="42"/>
  <c r="AG110" i="42"/>
  <c r="AG111" i="42"/>
  <c r="AG112" i="42"/>
  <c r="AG113" i="42"/>
  <c r="AG114" i="42"/>
  <c r="AG115" i="42"/>
  <c r="AG116" i="42"/>
  <c r="AG117" i="42"/>
  <c r="AG118" i="42"/>
  <c r="AG119" i="42"/>
  <c r="AG120" i="42"/>
  <c r="AG121" i="42"/>
  <c r="AG122" i="42"/>
  <c r="AG123" i="42"/>
  <c r="AG124" i="42"/>
  <c r="AG125" i="42"/>
  <c r="AG126" i="42"/>
  <c r="AG127" i="42"/>
  <c r="AG128" i="42"/>
  <c r="AG129" i="42"/>
  <c r="AG130" i="42"/>
  <c r="AG131" i="42"/>
  <c r="AG132" i="42"/>
  <c r="AG133" i="42"/>
  <c r="AG134" i="42"/>
  <c r="AG135" i="42"/>
  <c r="AG136" i="42"/>
  <c r="AG137" i="42"/>
  <c r="AG138" i="42"/>
  <c r="AG139" i="42"/>
  <c r="AG140" i="42"/>
  <c r="AG141" i="42"/>
  <c r="AG142" i="42"/>
  <c r="AG143" i="42"/>
  <c r="AG144" i="42"/>
  <c r="AG145" i="42"/>
  <c r="AG146" i="42"/>
  <c r="AG147" i="42"/>
  <c r="AG148" i="42"/>
  <c r="AG149" i="42"/>
  <c r="AG150" i="42"/>
  <c r="AG151" i="42"/>
  <c r="AG152" i="42"/>
  <c r="AG153" i="42"/>
  <c r="AG154" i="42"/>
  <c r="AG155" i="42"/>
  <c r="AG156" i="42"/>
  <c r="AG157" i="42"/>
  <c r="AG158" i="42"/>
  <c r="AG159" i="42"/>
  <c r="AG160" i="42"/>
  <c r="AG161" i="42"/>
  <c r="AG162" i="42"/>
  <c r="AG163" i="42"/>
  <c r="AG164" i="42"/>
  <c r="AG165" i="42"/>
  <c r="AG166" i="42"/>
  <c r="AG167" i="42"/>
  <c r="AG168" i="42"/>
  <c r="AG169" i="42"/>
  <c r="AG170" i="42"/>
  <c r="AG171" i="42"/>
  <c r="AG172" i="42"/>
  <c r="AG173" i="42"/>
  <c r="AG174" i="42"/>
  <c r="AG175" i="42"/>
  <c r="AG176" i="42"/>
  <c r="AG177" i="42"/>
  <c r="AG178" i="42"/>
  <c r="AG179" i="42"/>
  <c r="AG180" i="42"/>
  <c r="AG181" i="42"/>
  <c r="AG182" i="42"/>
  <c r="AG183" i="42"/>
  <c r="AG184" i="42"/>
  <c r="AG185" i="42"/>
  <c r="AG186" i="42"/>
  <c r="AG187" i="42"/>
  <c r="AG188" i="42"/>
  <c r="AG189" i="42"/>
  <c r="AG190" i="42"/>
  <c r="AG191" i="42"/>
  <c r="AG192" i="42"/>
  <c r="AG193" i="42"/>
  <c r="AG194" i="42"/>
  <c r="AG195" i="42"/>
  <c r="AG196" i="42"/>
  <c r="AG197" i="42"/>
  <c r="AG198" i="42"/>
  <c r="AG199" i="42"/>
  <c r="AG200" i="42"/>
  <c r="AG201" i="42"/>
  <c r="AG202" i="42"/>
  <c r="AG203" i="42"/>
  <c r="AG204" i="42"/>
  <c r="AG205" i="42"/>
  <c r="AG206" i="42"/>
  <c r="AG207" i="42"/>
  <c r="AG208" i="42"/>
  <c r="AG209" i="42"/>
  <c r="AG210" i="42"/>
  <c r="AG211" i="42"/>
  <c r="AG212" i="42"/>
  <c r="AG213" i="42"/>
  <c r="AG214" i="42"/>
  <c r="AG215" i="42"/>
  <c r="AG216" i="42"/>
  <c r="AG217" i="42"/>
  <c r="AG218" i="42"/>
  <c r="AG219" i="42"/>
  <c r="AG220" i="42"/>
  <c r="AG221" i="42"/>
  <c r="AG222" i="42"/>
  <c r="AG223" i="42"/>
  <c r="AG224" i="42"/>
  <c r="AG225" i="42"/>
  <c r="AG226" i="42"/>
  <c r="AG227" i="42"/>
  <c r="AG228" i="42"/>
  <c r="AG229" i="42"/>
  <c r="AG230" i="42"/>
  <c r="AG231" i="42"/>
  <c r="AG232" i="42"/>
  <c r="AG233" i="42"/>
  <c r="AG234" i="42"/>
  <c r="AG235" i="42"/>
  <c r="AG236" i="42"/>
  <c r="AG237" i="42"/>
  <c r="AG238" i="42"/>
  <c r="AG239" i="42"/>
  <c r="AG240" i="42"/>
  <c r="AG241" i="42"/>
  <c r="AG242" i="42"/>
  <c r="AG243" i="42"/>
  <c r="AG244" i="42"/>
  <c r="AG245" i="42"/>
  <c r="AG246" i="42"/>
  <c r="AG247" i="42"/>
  <c r="AG248" i="42"/>
  <c r="AG249" i="42"/>
  <c r="AG250" i="42"/>
  <c r="AG251" i="42"/>
  <c r="AG252" i="42"/>
  <c r="AG253" i="42"/>
  <c r="AG254" i="42"/>
  <c r="AG255" i="42"/>
  <c r="AG256" i="42"/>
  <c r="AG257" i="42"/>
  <c r="AG258" i="42"/>
  <c r="AG259" i="42"/>
  <c r="I11" i="52"/>
  <c r="I12" i="52"/>
  <c r="I13" i="52"/>
  <c r="I14" i="52"/>
  <c r="I15" i="52"/>
  <c r="I16" i="52"/>
  <c r="I17" i="52"/>
  <c r="I18" i="52"/>
  <c r="I19" i="52"/>
  <c r="I20" i="52"/>
  <c r="I21" i="52"/>
  <c r="I22" i="52"/>
  <c r="I23" i="52"/>
  <c r="I24" i="52"/>
  <c r="I25" i="52"/>
  <c r="I26" i="52"/>
  <c r="I27" i="52"/>
  <c r="I28" i="52"/>
  <c r="I29" i="52"/>
  <c r="I30" i="52"/>
  <c r="I31" i="52"/>
  <c r="I32" i="52"/>
  <c r="I33" i="52"/>
  <c r="I34" i="52"/>
  <c r="I35" i="52"/>
  <c r="I36" i="52"/>
  <c r="I37" i="52"/>
  <c r="I38" i="52"/>
  <c r="I39" i="52"/>
  <c r="I40" i="52"/>
  <c r="I41" i="52"/>
  <c r="I42" i="52"/>
  <c r="I43" i="52"/>
  <c r="I44" i="52"/>
  <c r="I45" i="52"/>
  <c r="I46" i="52"/>
  <c r="I47" i="52"/>
  <c r="I48" i="52"/>
  <c r="I49" i="52"/>
  <c r="I50" i="52"/>
  <c r="I51" i="52"/>
  <c r="I52" i="52"/>
  <c r="I53" i="52"/>
  <c r="I54" i="52"/>
  <c r="I55" i="52"/>
  <c r="I56" i="52"/>
  <c r="I57" i="52"/>
  <c r="I58" i="52"/>
  <c r="I59" i="52"/>
  <c r="I60" i="52"/>
  <c r="I61" i="52"/>
  <c r="I62" i="52"/>
  <c r="I63" i="52"/>
  <c r="I64" i="52"/>
  <c r="I65" i="52"/>
  <c r="I66" i="52"/>
  <c r="I67" i="52"/>
  <c r="I68" i="52"/>
  <c r="I69" i="52"/>
  <c r="I70" i="52"/>
  <c r="I71" i="52"/>
  <c r="I72" i="52"/>
  <c r="I73" i="52"/>
  <c r="I74" i="52"/>
  <c r="I75" i="52"/>
  <c r="I76" i="52"/>
  <c r="I77" i="52"/>
  <c r="I78" i="52"/>
  <c r="I79" i="52"/>
  <c r="I80" i="52"/>
  <c r="I81" i="52"/>
  <c r="I82" i="52"/>
  <c r="I83" i="52"/>
  <c r="I84" i="52"/>
  <c r="I85" i="52"/>
  <c r="I86" i="52"/>
  <c r="I87" i="52"/>
  <c r="I88" i="52"/>
  <c r="I89" i="52"/>
  <c r="I90" i="52"/>
  <c r="I91" i="52"/>
  <c r="I92" i="52"/>
  <c r="I93" i="52"/>
  <c r="I94" i="52"/>
  <c r="I95" i="52"/>
  <c r="I96" i="52"/>
  <c r="I97" i="52"/>
  <c r="I98" i="52"/>
  <c r="I99" i="52"/>
  <c r="I100" i="52"/>
  <c r="I101" i="52"/>
  <c r="I102" i="52"/>
  <c r="I103" i="52"/>
  <c r="I104" i="52"/>
  <c r="I105" i="52"/>
  <c r="I106" i="52"/>
  <c r="I107" i="52"/>
  <c r="I108" i="52"/>
  <c r="I109" i="52"/>
  <c r="I110" i="52"/>
  <c r="I111" i="52"/>
  <c r="I112" i="52"/>
  <c r="I113" i="52"/>
  <c r="I114" i="52"/>
  <c r="I115" i="52"/>
  <c r="I116" i="52"/>
  <c r="I117" i="52"/>
  <c r="I118" i="52"/>
  <c r="I119" i="52"/>
  <c r="I120" i="52"/>
  <c r="I121" i="52"/>
  <c r="I122" i="52"/>
  <c r="I123" i="52"/>
  <c r="I124" i="52"/>
  <c r="I125" i="52"/>
  <c r="I126" i="52"/>
  <c r="I127" i="52"/>
  <c r="I128" i="52"/>
  <c r="I129" i="52"/>
  <c r="I130" i="52"/>
  <c r="I131" i="52"/>
  <c r="I132" i="52"/>
  <c r="I133" i="52"/>
  <c r="I134" i="52"/>
  <c r="I135" i="52"/>
  <c r="I136" i="52"/>
  <c r="I137" i="52"/>
  <c r="I138" i="52"/>
  <c r="I139" i="52"/>
  <c r="I140" i="52"/>
  <c r="I141" i="52"/>
  <c r="I142" i="52"/>
  <c r="I143" i="52"/>
  <c r="I144" i="52"/>
  <c r="I145" i="52"/>
  <c r="I146" i="52"/>
  <c r="I147" i="52"/>
  <c r="I148" i="52"/>
  <c r="I149" i="52"/>
  <c r="I150" i="52"/>
  <c r="I151" i="52"/>
  <c r="I152" i="52"/>
  <c r="I153" i="52"/>
  <c r="I154" i="52"/>
  <c r="I155" i="52"/>
  <c r="I156" i="52"/>
  <c r="I157" i="52"/>
  <c r="I158" i="52"/>
  <c r="I159" i="52"/>
  <c r="I160" i="52"/>
  <c r="I161" i="52"/>
  <c r="I162" i="52"/>
  <c r="I163" i="52"/>
  <c r="I164" i="52"/>
  <c r="I165" i="52"/>
  <c r="I166" i="52"/>
  <c r="I167" i="52"/>
  <c r="I168" i="52"/>
  <c r="I169" i="52"/>
  <c r="I170" i="52"/>
  <c r="I171" i="52"/>
  <c r="I172" i="52"/>
  <c r="I173" i="52"/>
  <c r="I174" i="52"/>
  <c r="I175" i="52"/>
  <c r="I176" i="52"/>
  <c r="I177" i="52"/>
  <c r="I178" i="52"/>
  <c r="I179" i="52"/>
  <c r="I180" i="52"/>
  <c r="I181" i="52"/>
  <c r="I182" i="52"/>
  <c r="I183" i="52"/>
  <c r="I184" i="52"/>
  <c r="I185" i="52"/>
  <c r="I186" i="52"/>
  <c r="I187" i="52"/>
  <c r="I188" i="52"/>
  <c r="I189" i="52"/>
  <c r="I190" i="52"/>
  <c r="I191" i="52"/>
  <c r="I192" i="52"/>
  <c r="I193" i="52"/>
  <c r="I194" i="52"/>
  <c r="I195" i="52"/>
  <c r="I196" i="52"/>
  <c r="I197" i="52"/>
  <c r="I198" i="52"/>
  <c r="I199" i="52"/>
  <c r="I200" i="52"/>
  <c r="I201" i="52"/>
  <c r="I202" i="52"/>
  <c r="I203" i="52"/>
  <c r="I204" i="52"/>
  <c r="I205" i="52"/>
  <c r="I206" i="52"/>
  <c r="I207" i="52"/>
  <c r="I208" i="52"/>
  <c r="I209" i="52"/>
  <c r="I210" i="52"/>
  <c r="I211" i="52"/>
  <c r="I212" i="52"/>
  <c r="I213" i="52"/>
  <c r="I214" i="52"/>
  <c r="I215" i="52"/>
  <c r="I216" i="52"/>
  <c r="I217" i="52"/>
  <c r="I218" i="52"/>
  <c r="I219" i="52"/>
  <c r="I220" i="52"/>
  <c r="I221" i="52"/>
  <c r="I222" i="52"/>
  <c r="I223" i="52"/>
  <c r="I224" i="52"/>
  <c r="I225" i="52"/>
  <c r="I226" i="52"/>
  <c r="I227" i="52"/>
  <c r="I228" i="52"/>
  <c r="I229" i="52"/>
  <c r="I230" i="52"/>
  <c r="I231" i="52"/>
  <c r="I232" i="52"/>
  <c r="I233" i="52"/>
  <c r="I234" i="52"/>
  <c r="I235" i="52"/>
  <c r="I236" i="52"/>
  <c r="I237" i="52"/>
  <c r="I238" i="52"/>
  <c r="I239" i="52"/>
  <c r="I240" i="52"/>
  <c r="I241" i="52"/>
  <c r="I242" i="52"/>
  <c r="I243" i="52"/>
  <c r="I244" i="52"/>
  <c r="I245" i="52"/>
  <c r="I246" i="52"/>
  <c r="I247" i="52"/>
  <c r="I248" i="52"/>
  <c r="I249" i="52"/>
  <c r="I250" i="52"/>
  <c r="I251" i="52"/>
  <c r="I252" i="52"/>
  <c r="I253" i="52"/>
  <c r="I254" i="52"/>
  <c r="I255" i="52"/>
  <c r="I256" i="52"/>
  <c r="I257" i="52"/>
  <c r="I10" i="52"/>
  <c r="AL11" i="52"/>
  <c r="AL12" i="52"/>
  <c r="AL13" i="52"/>
  <c r="AL14" i="52"/>
  <c r="AL15" i="52"/>
  <c r="AL16" i="52"/>
  <c r="AL17" i="52"/>
  <c r="AL18" i="52"/>
  <c r="AL19" i="52"/>
  <c r="AL20" i="52"/>
  <c r="AL21" i="52"/>
  <c r="AL22" i="52"/>
  <c r="AL23" i="52"/>
  <c r="AL24" i="52"/>
  <c r="AL25" i="52"/>
  <c r="AL26" i="52"/>
  <c r="AL27" i="52"/>
  <c r="AL28" i="52"/>
  <c r="AL29" i="52"/>
  <c r="AL30" i="52"/>
  <c r="AL31" i="52"/>
  <c r="AL32" i="52"/>
  <c r="AL33" i="52"/>
  <c r="AL34" i="52"/>
  <c r="AL35" i="52"/>
  <c r="AL36" i="52"/>
  <c r="AL37" i="52"/>
  <c r="AL38" i="52"/>
  <c r="AL39" i="52"/>
  <c r="AL40" i="52"/>
  <c r="AL41" i="52"/>
  <c r="AL42" i="52"/>
  <c r="AL43" i="52"/>
  <c r="AL44" i="52"/>
  <c r="AL45" i="52"/>
  <c r="AL46" i="52"/>
  <c r="AL47" i="52"/>
  <c r="AL48" i="52"/>
  <c r="AL49" i="52"/>
  <c r="AL50" i="52"/>
  <c r="AL51" i="52"/>
  <c r="AL52" i="52"/>
  <c r="AL53" i="52"/>
  <c r="AL54" i="52"/>
  <c r="AL55" i="52"/>
  <c r="AL56" i="52"/>
  <c r="AL57" i="52"/>
  <c r="AL58" i="52"/>
  <c r="AL59" i="52"/>
  <c r="AL60" i="52"/>
  <c r="AL61" i="52"/>
  <c r="AL62" i="52"/>
  <c r="AL63" i="52"/>
  <c r="AL64" i="52"/>
  <c r="AL65" i="52"/>
  <c r="AL66" i="52"/>
  <c r="AL67" i="52"/>
  <c r="AL68" i="52"/>
  <c r="AL69" i="52"/>
  <c r="AL70" i="52"/>
  <c r="AL71" i="52"/>
  <c r="AL72" i="52"/>
  <c r="AL73" i="52"/>
  <c r="AL74" i="52"/>
  <c r="AL75" i="52"/>
  <c r="AL76" i="52"/>
  <c r="AL77" i="52"/>
  <c r="AL78" i="52"/>
  <c r="AL79" i="52"/>
  <c r="AL80" i="52"/>
  <c r="AL81" i="52"/>
  <c r="AL82" i="52"/>
  <c r="AL83" i="52"/>
  <c r="AL84" i="52"/>
  <c r="AL85" i="52"/>
  <c r="AL86" i="52"/>
  <c r="AL87" i="52"/>
  <c r="AL88" i="52"/>
  <c r="AL89" i="52"/>
  <c r="AL90" i="52"/>
  <c r="AL91" i="52"/>
  <c r="AL92" i="52"/>
  <c r="AL93" i="52"/>
  <c r="AL94" i="52"/>
  <c r="AL95" i="52"/>
  <c r="AL96" i="52"/>
  <c r="AL97" i="52"/>
  <c r="AL98" i="52"/>
  <c r="AL99" i="52"/>
  <c r="AL100" i="52"/>
  <c r="AL101" i="52"/>
  <c r="AL102" i="52"/>
  <c r="AL103" i="52"/>
  <c r="AL104" i="52"/>
  <c r="AL105" i="52"/>
  <c r="AL106" i="52"/>
  <c r="AL107" i="52"/>
  <c r="AL108" i="52"/>
  <c r="AL109" i="52"/>
  <c r="AL110" i="52"/>
  <c r="AL111" i="52"/>
  <c r="AL112" i="52"/>
  <c r="AL113" i="52"/>
  <c r="AL114" i="52"/>
  <c r="AL115" i="52"/>
  <c r="AL116" i="52"/>
  <c r="AL117" i="52"/>
  <c r="AL118" i="52"/>
  <c r="AL119" i="52"/>
  <c r="AL120" i="52"/>
  <c r="AL121" i="52"/>
  <c r="AL122" i="52"/>
  <c r="AL123" i="52"/>
  <c r="AL124" i="52"/>
  <c r="AL125" i="52"/>
  <c r="AL126" i="52"/>
  <c r="AL127" i="52"/>
  <c r="AL128" i="52"/>
  <c r="AL129" i="52"/>
  <c r="AL130" i="52"/>
  <c r="AL131" i="52"/>
  <c r="AL132" i="52"/>
  <c r="AL133" i="52"/>
  <c r="AL134" i="52"/>
  <c r="AL135" i="52"/>
  <c r="AL136" i="52"/>
  <c r="AL137" i="52"/>
  <c r="AL138" i="52"/>
  <c r="AL139" i="52"/>
  <c r="AL140" i="52"/>
  <c r="AL141" i="52"/>
  <c r="AL142" i="52"/>
  <c r="AL143" i="52"/>
  <c r="AL144" i="52"/>
  <c r="AL145" i="52"/>
  <c r="AL146" i="52"/>
  <c r="AL147" i="52"/>
  <c r="AL148" i="52"/>
  <c r="AL149" i="52"/>
  <c r="AL150" i="52"/>
  <c r="AL151" i="52"/>
  <c r="AL152" i="52"/>
  <c r="AL153" i="52"/>
  <c r="AL154" i="52"/>
  <c r="AL155" i="52"/>
  <c r="AL156" i="52"/>
  <c r="AL157" i="52"/>
  <c r="AL158" i="52"/>
  <c r="AL159" i="52"/>
  <c r="AL160" i="52"/>
  <c r="AL161" i="52"/>
  <c r="AL162" i="52"/>
  <c r="AL163" i="52"/>
  <c r="AL164" i="52"/>
  <c r="AL165" i="52"/>
  <c r="AL166" i="52"/>
  <c r="AL167" i="52"/>
  <c r="AL168" i="52"/>
  <c r="AL169" i="52"/>
  <c r="AL170" i="52"/>
  <c r="AL171" i="52"/>
  <c r="AL172" i="52"/>
  <c r="AL173" i="52"/>
  <c r="AL174" i="52"/>
  <c r="AL175" i="52"/>
  <c r="AL176" i="52"/>
  <c r="AL177" i="52"/>
  <c r="AL178" i="52"/>
  <c r="AL179" i="52"/>
  <c r="AL180" i="52"/>
  <c r="AL181" i="52"/>
  <c r="AL182" i="52"/>
  <c r="AL183" i="52"/>
  <c r="AL184" i="52"/>
  <c r="AL185" i="52"/>
  <c r="AL186" i="52"/>
  <c r="AL187" i="52"/>
  <c r="AL188" i="52"/>
  <c r="AL189" i="52"/>
  <c r="AL190" i="52"/>
  <c r="AL191" i="52"/>
  <c r="AL192" i="52"/>
  <c r="AL193" i="52"/>
  <c r="AL194" i="52"/>
  <c r="AL195" i="52"/>
  <c r="AL196" i="52"/>
  <c r="AL197" i="52"/>
  <c r="AL198" i="52"/>
  <c r="AL199" i="52"/>
  <c r="AL200" i="52"/>
  <c r="AL201" i="52"/>
  <c r="AL202" i="52"/>
  <c r="AL203" i="52"/>
  <c r="AL204" i="52"/>
  <c r="AL205" i="52"/>
  <c r="AL206" i="52"/>
  <c r="AL207" i="52"/>
  <c r="AL208" i="52"/>
  <c r="AL209" i="52"/>
  <c r="AL210" i="52"/>
  <c r="AL211" i="52"/>
  <c r="AL212" i="52"/>
  <c r="AL213" i="52"/>
  <c r="AL214" i="52"/>
  <c r="AL215" i="52"/>
  <c r="AL216" i="52"/>
  <c r="AL217" i="52"/>
  <c r="AL218" i="52"/>
  <c r="AL219" i="52"/>
  <c r="AL220" i="52"/>
  <c r="AL221" i="52"/>
  <c r="AL222" i="52"/>
  <c r="AL223" i="52"/>
  <c r="AL224" i="52"/>
  <c r="AL225" i="52"/>
  <c r="AL226" i="52"/>
  <c r="AL227" i="52"/>
  <c r="AL228" i="52"/>
  <c r="AL229" i="52"/>
  <c r="AL230" i="52"/>
  <c r="AL231" i="52"/>
  <c r="AL232" i="52"/>
  <c r="AL233" i="52"/>
  <c r="AL234" i="52"/>
  <c r="AL235" i="52"/>
  <c r="AL236" i="52"/>
  <c r="AL237" i="52"/>
  <c r="AL238" i="52"/>
  <c r="AL239" i="52"/>
  <c r="AL240" i="52"/>
  <c r="AL241" i="52"/>
  <c r="AL242" i="52"/>
  <c r="AL243" i="52"/>
  <c r="AL244" i="52"/>
  <c r="AL245" i="52"/>
  <c r="AL246" i="52"/>
  <c r="AL247" i="52"/>
  <c r="AL248" i="52"/>
  <c r="AL249" i="52"/>
  <c r="AL250" i="52"/>
  <c r="AL251" i="52"/>
  <c r="AL252" i="52"/>
  <c r="AL253" i="52"/>
  <c r="AL254" i="52"/>
  <c r="AL255" i="52"/>
  <c r="AL256" i="52"/>
  <c r="AL257" i="52"/>
  <c r="AH40" i="65" l="1"/>
  <c r="I5" i="99"/>
  <c r="I6" i="99"/>
  <c r="I7" i="99"/>
  <c r="I8" i="99"/>
  <c r="I9" i="99"/>
  <c r="I10" i="99"/>
  <c r="I11" i="99"/>
  <c r="I12" i="99"/>
  <c r="I13" i="99"/>
  <c r="I14" i="99"/>
  <c r="I15" i="99"/>
  <c r="I16" i="99"/>
  <c r="I17" i="99"/>
  <c r="I18" i="99"/>
  <c r="I19" i="99"/>
  <c r="I20" i="99"/>
  <c r="I21" i="99"/>
  <c r="I22" i="99"/>
  <c r="I23" i="99"/>
  <c r="I24" i="99"/>
  <c r="I25" i="99"/>
  <c r="I26" i="99"/>
  <c r="I27" i="99"/>
  <c r="I28" i="99"/>
  <c r="I29" i="99"/>
  <c r="I30" i="99"/>
  <c r="I31" i="99"/>
  <c r="I32" i="99"/>
  <c r="I33" i="99"/>
  <c r="I34" i="99"/>
  <c r="I35" i="99"/>
  <c r="I36" i="99"/>
  <c r="I37" i="99"/>
  <c r="I38" i="99"/>
  <c r="I39" i="99"/>
  <c r="I40" i="99"/>
  <c r="I41" i="99"/>
  <c r="I42" i="99"/>
  <c r="I43" i="99"/>
  <c r="I44" i="99"/>
  <c r="I45" i="99"/>
  <c r="I46" i="99"/>
  <c r="I47" i="99"/>
  <c r="I48" i="99"/>
  <c r="I49" i="99"/>
  <c r="I50" i="99"/>
  <c r="I51" i="99"/>
  <c r="I52" i="99"/>
  <c r="I53" i="99"/>
  <c r="I54" i="99"/>
  <c r="I55" i="99"/>
  <c r="I56" i="99"/>
  <c r="I57" i="99"/>
  <c r="I58" i="99"/>
  <c r="I59" i="99"/>
  <c r="I60" i="99"/>
  <c r="I61" i="99"/>
  <c r="I62" i="99"/>
  <c r="I63" i="99"/>
  <c r="I64" i="99"/>
  <c r="I65" i="99"/>
  <c r="I66" i="99"/>
  <c r="I67" i="99"/>
  <c r="I68" i="99"/>
  <c r="I69" i="99"/>
  <c r="I70" i="99"/>
  <c r="I71" i="99"/>
  <c r="I72" i="99"/>
  <c r="I74" i="99"/>
  <c r="I75" i="99"/>
  <c r="I76" i="99"/>
  <c r="I77" i="99"/>
  <c r="I78" i="99"/>
  <c r="I79" i="99"/>
  <c r="I80" i="99"/>
  <c r="I81" i="99"/>
  <c r="I82" i="99"/>
  <c r="I83" i="99"/>
  <c r="I84" i="99"/>
  <c r="I85" i="99"/>
  <c r="I86" i="99"/>
  <c r="I88" i="99"/>
  <c r="I89" i="99"/>
  <c r="I90" i="99"/>
  <c r="I91" i="99"/>
  <c r="I92" i="99"/>
  <c r="I93" i="99"/>
  <c r="I94" i="99"/>
  <c r="I95" i="99"/>
  <c r="I96" i="99"/>
  <c r="I97" i="99"/>
  <c r="I98" i="99"/>
  <c r="I99" i="99"/>
  <c r="I100" i="99"/>
  <c r="I101" i="99"/>
  <c r="I102" i="99"/>
  <c r="I103" i="99"/>
  <c r="I104" i="99"/>
  <c r="I105" i="99"/>
  <c r="I106" i="99"/>
  <c r="I107" i="99"/>
  <c r="I108" i="99"/>
  <c r="I109" i="99"/>
  <c r="I110" i="99"/>
  <c r="I111" i="99"/>
  <c r="I112" i="99"/>
  <c r="I113" i="99"/>
  <c r="I114" i="99"/>
  <c r="I115" i="99"/>
  <c r="I116" i="99"/>
  <c r="I117" i="99"/>
  <c r="I118" i="99"/>
  <c r="I119" i="99"/>
  <c r="I120" i="99"/>
  <c r="I121" i="99"/>
  <c r="I122" i="99"/>
  <c r="I123" i="99"/>
  <c r="I124" i="99"/>
  <c r="I125" i="99"/>
  <c r="I126" i="99"/>
  <c r="I127" i="99"/>
  <c r="I128" i="99"/>
  <c r="I129" i="99"/>
  <c r="I130" i="99"/>
  <c r="I4" i="99"/>
  <c r="R13" i="68"/>
  <c r="R14" i="68"/>
  <c r="R15" i="68"/>
  <c r="R16" i="68"/>
  <c r="R17" i="68"/>
  <c r="R18" i="68"/>
  <c r="R19" i="68"/>
  <c r="R20" i="68"/>
  <c r="R21" i="68"/>
  <c r="R22" i="68"/>
  <c r="R23" i="68"/>
  <c r="R24" i="68"/>
  <c r="R25" i="68"/>
  <c r="R26" i="68"/>
  <c r="R27" i="68"/>
  <c r="R28" i="68"/>
  <c r="R29" i="68"/>
  <c r="R30" i="68"/>
  <c r="R31" i="68"/>
  <c r="R32" i="68"/>
  <c r="R33" i="68"/>
  <c r="R34" i="68"/>
  <c r="R35" i="68"/>
  <c r="R36" i="68"/>
  <c r="R37" i="68"/>
  <c r="R38" i="68"/>
  <c r="R39" i="68"/>
  <c r="R40" i="68"/>
  <c r="R41" i="68"/>
  <c r="R42" i="68"/>
  <c r="R43" i="68"/>
  <c r="R44" i="68"/>
  <c r="R45" i="68"/>
  <c r="R46" i="68"/>
  <c r="R47" i="68"/>
  <c r="R48" i="68"/>
  <c r="R49" i="68"/>
  <c r="R50" i="68"/>
  <c r="R51" i="68"/>
  <c r="R52" i="68"/>
  <c r="R53" i="68"/>
  <c r="R54" i="68"/>
  <c r="R55" i="68"/>
  <c r="R56" i="68"/>
  <c r="R57" i="68"/>
  <c r="R58" i="68"/>
  <c r="R59" i="68"/>
  <c r="R60" i="68"/>
  <c r="R61" i="68"/>
  <c r="R62" i="68"/>
  <c r="R63" i="68"/>
  <c r="R64" i="68"/>
  <c r="R65" i="68"/>
  <c r="R66" i="68"/>
  <c r="R67" i="68"/>
  <c r="R68" i="68"/>
  <c r="R69" i="68"/>
  <c r="R70" i="68"/>
  <c r="R71" i="68"/>
  <c r="R72" i="68"/>
  <c r="R73" i="68"/>
  <c r="R74" i="68"/>
  <c r="R75" i="68"/>
  <c r="R76" i="68"/>
  <c r="R77" i="68"/>
  <c r="R78" i="68"/>
  <c r="R79" i="68"/>
  <c r="R80" i="68"/>
  <c r="R81" i="68"/>
  <c r="R82" i="68"/>
  <c r="R83" i="68"/>
  <c r="R84" i="68"/>
  <c r="R85" i="68"/>
  <c r="R86" i="68"/>
  <c r="R87" i="68"/>
  <c r="R88" i="68"/>
  <c r="R89" i="68"/>
  <c r="R90" i="68"/>
  <c r="R91" i="68"/>
  <c r="R92" i="68"/>
  <c r="R93" i="68"/>
  <c r="R94" i="68"/>
  <c r="R95" i="68"/>
  <c r="R96" i="68"/>
  <c r="R97" i="68"/>
  <c r="R98" i="68"/>
  <c r="R99" i="68"/>
  <c r="R100" i="68"/>
  <c r="R101" i="68"/>
  <c r="R102" i="68"/>
  <c r="R103" i="68"/>
  <c r="R104" i="68"/>
  <c r="R105" i="68"/>
  <c r="R106" i="68"/>
  <c r="R107" i="68"/>
  <c r="R108" i="68"/>
  <c r="R109" i="68"/>
  <c r="R110" i="68"/>
  <c r="R111" i="68"/>
  <c r="R112" i="68"/>
  <c r="R113" i="68"/>
  <c r="R114" i="68"/>
  <c r="R115" i="68"/>
  <c r="R116" i="68"/>
  <c r="R117" i="68"/>
  <c r="R118" i="68"/>
  <c r="R119" i="68"/>
  <c r="R120" i="68"/>
  <c r="R121" i="68"/>
  <c r="R122" i="68"/>
  <c r="R123" i="68"/>
  <c r="R124" i="68"/>
  <c r="R125" i="68"/>
  <c r="R126" i="68"/>
  <c r="R127" i="68"/>
  <c r="R128" i="68"/>
  <c r="R129" i="68"/>
  <c r="R130" i="68"/>
  <c r="R131" i="68"/>
  <c r="R132" i="68"/>
  <c r="R133" i="68"/>
  <c r="R134" i="68"/>
  <c r="R135" i="68"/>
  <c r="R136" i="68"/>
  <c r="R137" i="68"/>
  <c r="R138" i="68"/>
  <c r="R139" i="68"/>
  <c r="R140" i="68"/>
  <c r="R141" i="68"/>
  <c r="R142" i="68"/>
  <c r="R143" i="68"/>
  <c r="R144" i="68"/>
  <c r="R145" i="68"/>
  <c r="R146" i="68"/>
  <c r="R147" i="68"/>
  <c r="R148" i="68"/>
  <c r="R149" i="68"/>
  <c r="R150" i="68"/>
  <c r="R151" i="68"/>
  <c r="R152" i="68"/>
  <c r="R153" i="68"/>
  <c r="R154" i="68"/>
  <c r="R155" i="68"/>
  <c r="R156" i="68"/>
  <c r="R157" i="68"/>
  <c r="R158" i="68"/>
  <c r="R159" i="68"/>
  <c r="R160" i="68"/>
  <c r="R161" i="68"/>
  <c r="R162" i="68"/>
  <c r="R163" i="68"/>
  <c r="R164" i="68"/>
  <c r="R165" i="68"/>
  <c r="R166" i="68"/>
  <c r="R167" i="68"/>
  <c r="R168" i="68"/>
  <c r="R169" i="68"/>
  <c r="R170" i="68"/>
  <c r="R171" i="68"/>
  <c r="R172" i="68"/>
  <c r="R173" i="68"/>
  <c r="R174" i="68"/>
  <c r="R175" i="68"/>
  <c r="R176" i="68"/>
  <c r="R177" i="68"/>
  <c r="R178" i="68"/>
  <c r="R179" i="68"/>
  <c r="R180" i="68"/>
  <c r="R181" i="68"/>
  <c r="R182" i="68"/>
  <c r="R183" i="68"/>
  <c r="R184" i="68"/>
  <c r="R185" i="68"/>
  <c r="R186" i="68"/>
  <c r="R187" i="68"/>
  <c r="R188" i="68"/>
  <c r="R189" i="68"/>
  <c r="R190" i="68"/>
  <c r="R191" i="68"/>
  <c r="R192" i="68"/>
  <c r="R193" i="68"/>
  <c r="R194" i="68"/>
  <c r="R195" i="68"/>
  <c r="R196" i="68"/>
  <c r="R197" i="68"/>
  <c r="R198" i="68"/>
  <c r="R199" i="68"/>
  <c r="R200" i="68"/>
  <c r="R201" i="68"/>
  <c r="R202" i="68"/>
  <c r="R203" i="68"/>
  <c r="R204" i="68"/>
  <c r="R205" i="68"/>
  <c r="R206" i="68"/>
  <c r="R207" i="68"/>
  <c r="R208" i="68"/>
  <c r="R209" i="68"/>
  <c r="R210" i="68"/>
  <c r="R211" i="68"/>
  <c r="R212" i="68"/>
  <c r="R213" i="68"/>
  <c r="R214" i="68"/>
  <c r="R215" i="68"/>
  <c r="R216" i="68"/>
  <c r="R217" i="68"/>
  <c r="R218" i="68"/>
  <c r="R219" i="68"/>
  <c r="R220" i="68"/>
  <c r="R221" i="68"/>
  <c r="R222" i="68"/>
  <c r="R223" i="68"/>
  <c r="R224" i="68"/>
  <c r="R225" i="68"/>
  <c r="R226" i="68"/>
  <c r="R227" i="68"/>
  <c r="R228" i="68"/>
  <c r="R229" i="68"/>
  <c r="R230" i="68"/>
  <c r="R231" i="68"/>
  <c r="R232" i="68"/>
  <c r="R233" i="68"/>
  <c r="R234" i="68"/>
  <c r="R235" i="68"/>
  <c r="R236" i="68"/>
  <c r="R237" i="68"/>
  <c r="R238" i="68"/>
  <c r="R239" i="68"/>
  <c r="R240" i="68"/>
  <c r="R241" i="68"/>
  <c r="R242" i="68"/>
  <c r="R243" i="68"/>
  <c r="R244" i="68"/>
  <c r="R245" i="68"/>
  <c r="R246" i="68"/>
  <c r="R247" i="68"/>
  <c r="R248" i="68"/>
  <c r="R249" i="68"/>
  <c r="R250" i="68"/>
  <c r="R251" i="68"/>
  <c r="R252" i="68"/>
  <c r="R253" i="68"/>
  <c r="R254" i="68"/>
  <c r="R255" i="68"/>
  <c r="R256" i="68"/>
  <c r="R257" i="68"/>
  <c r="R258" i="68"/>
  <c r="R259" i="68"/>
  <c r="R12" i="68"/>
  <c r="R13" i="64"/>
  <c r="R14" i="64"/>
  <c r="U14" i="64" s="1"/>
  <c r="R15" i="64"/>
  <c r="R16" i="64"/>
  <c r="U16" i="64" s="1"/>
  <c r="R17" i="64"/>
  <c r="U17" i="64"/>
  <c r="R18" i="64"/>
  <c r="U18" i="64"/>
  <c r="R19" i="64"/>
  <c r="U19" i="64"/>
  <c r="R20" i="64"/>
  <c r="U20" i="64"/>
  <c r="R21" i="64"/>
  <c r="U21" i="64"/>
  <c r="R22" i="64"/>
  <c r="U22" i="64"/>
  <c r="R23" i="64"/>
  <c r="U23" i="64"/>
  <c r="R24" i="64"/>
  <c r="U24" i="64"/>
  <c r="R25" i="64"/>
  <c r="U25" i="64"/>
  <c r="R26" i="64"/>
  <c r="U26" i="64"/>
  <c r="R27" i="64"/>
  <c r="U27" i="64"/>
  <c r="R28" i="64"/>
  <c r="U28" i="64"/>
  <c r="R29" i="64"/>
  <c r="U29" i="64"/>
  <c r="R30" i="64"/>
  <c r="U30" i="64"/>
  <c r="R31" i="64"/>
  <c r="U31" i="64"/>
  <c r="R32" i="64"/>
  <c r="U32" i="64"/>
  <c r="R33" i="64"/>
  <c r="U33" i="64"/>
  <c r="R34" i="64"/>
  <c r="U34" i="64"/>
  <c r="R35" i="64"/>
  <c r="U35" i="64"/>
  <c r="R36" i="64"/>
  <c r="U36" i="64"/>
  <c r="R37" i="64"/>
  <c r="U37" i="64"/>
  <c r="R38" i="64"/>
  <c r="U38" i="64"/>
  <c r="R39" i="64"/>
  <c r="U39" i="64"/>
  <c r="R40" i="64"/>
  <c r="U40" i="64"/>
  <c r="R41" i="64"/>
  <c r="U41" i="64"/>
  <c r="R42" i="64"/>
  <c r="U42" i="64"/>
  <c r="R43" i="64"/>
  <c r="U43" i="64"/>
  <c r="R44" i="64"/>
  <c r="U44" i="64" s="1"/>
  <c r="R45" i="64"/>
  <c r="U45" i="64"/>
  <c r="R46" i="64"/>
  <c r="U46" i="64"/>
  <c r="R47" i="64"/>
  <c r="U47" i="64"/>
  <c r="R48" i="64"/>
  <c r="U48" i="64"/>
  <c r="R49" i="64"/>
  <c r="U49" i="64"/>
  <c r="R50" i="64"/>
  <c r="U50" i="64"/>
  <c r="R51" i="64"/>
  <c r="U51" i="64"/>
  <c r="R52" i="64"/>
  <c r="U52" i="64"/>
  <c r="R53" i="64"/>
  <c r="U53" i="64"/>
  <c r="R54" i="64"/>
  <c r="U54" i="64"/>
  <c r="R55" i="64"/>
  <c r="U55" i="64"/>
  <c r="R56" i="64"/>
  <c r="U56" i="64"/>
  <c r="R57" i="64"/>
  <c r="U57" i="64"/>
  <c r="R58" i="64"/>
  <c r="U58" i="64"/>
  <c r="R59" i="64"/>
  <c r="U59" i="64"/>
  <c r="R60" i="64"/>
  <c r="U60" i="64"/>
  <c r="R61" i="64"/>
  <c r="U61" i="64"/>
  <c r="R62" i="64"/>
  <c r="U62" i="64"/>
  <c r="R63" i="64"/>
  <c r="U63" i="64"/>
  <c r="R64" i="64"/>
  <c r="U64" i="64"/>
  <c r="R65" i="64"/>
  <c r="U65" i="64"/>
  <c r="R66" i="64"/>
  <c r="U66" i="64"/>
  <c r="R67" i="64"/>
  <c r="U67" i="64"/>
  <c r="R68" i="64"/>
  <c r="U68" i="64"/>
  <c r="R69" i="64"/>
  <c r="U69" i="64"/>
  <c r="R70" i="64"/>
  <c r="U70" i="64"/>
  <c r="R71" i="64"/>
  <c r="U71" i="64"/>
  <c r="R72" i="64"/>
  <c r="U72" i="64"/>
  <c r="R73" i="64"/>
  <c r="U73" i="64"/>
  <c r="R74" i="64"/>
  <c r="U74" i="64"/>
  <c r="R75" i="64"/>
  <c r="U75" i="64"/>
  <c r="R76" i="64"/>
  <c r="U76" i="64"/>
  <c r="R77" i="64"/>
  <c r="U77" i="64"/>
  <c r="R78" i="64"/>
  <c r="U78" i="64"/>
  <c r="R79" i="64"/>
  <c r="U79" i="64"/>
  <c r="R80" i="64"/>
  <c r="U80" i="64"/>
  <c r="R81" i="64"/>
  <c r="U81" i="64"/>
  <c r="R82" i="64"/>
  <c r="U82" i="64"/>
  <c r="R83" i="64"/>
  <c r="U83" i="64"/>
  <c r="R84" i="64"/>
  <c r="U84" i="64"/>
  <c r="R85" i="64"/>
  <c r="U85" i="64"/>
  <c r="R86" i="64"/>
  <c r="U86" i="64"/>
  <c r="R87" i="64"/>
  <c r="U87" i="64"/>
  <c r="R88" i="64"/>
  <c r="U88" i="64"/>
  <c r="R89" i="64"/>
  <c r="U89" i="64"/>
  <c r="R90" i="64"/>
  <c r="U90" i="64"/>
  <c r="R91" i="64"/>
  <c r="U91" i="64"/>
  <c r="R92" i="64"/>
  <c r="U92" i="64"/>
  <c r="R93" i="64"/>
  <c r="U93" i="64"/>
  <c r="R94" i="64"/>
  <c r="U94" i="64"/>
  <c r="R95" i="64"/>
  <c r="U95" i="64"/>
  <c r="R96" i="64"/>
  <c r="U96" i="64"/>
  <c r="R97" i="64"/>
  <c r="U97" i="64"/>
  <c r="R98" i="64"/>
  <c r="U98" i="64"/>
  <c r="R99" i="64"/>
  <c r="U99" i="64"/>
  <c r="R100" i="64"/>
  <c r="U100" i="64"/>
  <c r="R101" i="64"/>
  <c r="U101" i="64"/>
  <c r="R102" i="64"/>
  <c r="U102" i="64"/>
  <c r="R103" i="64"/>
  <c r="U103" i="64"/>
  <c r="R104" i="64"/>
  <c r="U104" i="64"/>
  <c r="R105" i="64"/>
  <c r="U105" i="64"/>
  <c r="R106" i="64"/>
  <c r="U106" i="64"/>
  <c r="R107" i="64"/>
  <c r="U107" i="64"/>
  <c r="R108" i="64"/>
  <c r="U108" i="64"/>
  <c r="R109" i="64"/>
  <c r="U109" i="64"/>
  <c r="R110" i="64"/>
  <c r="U110" i="64"/>
  <c r="R111" i="64"/>
  <c r="U111" i="64"/>
  <c r="R112" i="64"/>
  <c r="U112" i="64"/>
  <c r="R113" i="64"/>
  <c r="U113" i="64"/>
  <c r="R114" i="64"/>
  <c r="U114" i="64"/>
  <c r="R115" i="64"/>
  <c r="U115" i="64"/>
  <c r="R116" i="64"/>
  <c r="U116" i="64"/>
  <c r="R117" i="64"/>
  <c r="U117" i="64"/>
  <c r="R118" i="64"/>
  <c r="U118" i="64"/>
  <c r="R119" i="64"/>
  <c r="U119" i="64"/>
  <c r="R120" i="64"/>
  <c r="U120" i="64"/>
  <c r="R121" i="64"/>
  <c r="U121" i="64"/>
  <c r="R122" i="64"/>
  <c r="U122" i="64"/>
  <c r="R123" i="64"/>
  <c r="U123" i="64"/>
  <c r="R124" i="64"/>
  <c r="U124" i="64"/>
  <c r="R125" i="64"/>
  <c r="U125" i="64"/>
  <c r="R126" i="64"/>
  <c r="U126" i="64"/>
  <c r="R127" i="64"/>
  <c r="U127" i="64"/>
  <c r="R128" i="64"/>
  <c r="U128" i="64"/>
  <c r="R129" i="64"/>
  <c r="U129" i="64"/>
  <c r="R130" i="64"/>
  <c r="U130" i="64"/>
  <c r="R131" i="64"/>
  <c r="U131" i="64"/>
  <c r="R132" i="64"/>
  <c r="U132" i="64"/>
  <c r="R133" i="64"/>
  <c r="U133" i="64"/>
  <c r="R134" i="64"/>
  <c r="U134" i="64"/>
  <c r="R135" i="64"/>
  <c r="U135" i="64"/>
  <c r="R136" i="64"/>
  <c r="U136" i="64"/>
  <c r="R137" i="64"/>
  <c r="U137" i="64"/>
  <c r="R138" i="64"/>
  <c r="U138" i="64"/>
  <c r="R139" i="64"/>
  <c r="U139" i="64"/>
  <c r="R140" i="64"/>
  <c r="U140" i="64"/>
  <c r="R141" i="64"/>
  <c r="U141" i="64"/>
  <c r="R142" i="64"/>
  <c r="U142" i="64"/>
  <c r="R143" i="64"/>
  <c r="U143" i="64"/>
  <c r="R144" i="64"/>
  <c r="U144" i="64"/>
  <c r="R145" i="64"/>
  <c r="U145" i="64"/>
  <c r="R146" i="64"/>
  <c r="U146" i="64"/>
  <c r="R147" i="64"/>
  <c r="U147" i="64"/>
  <c r="R148" i="64"/>
  <c r="U148" i="64"/>
  <c r="R149" i="64"/>
  <c r="U149" i="64"/>
  <c r="R150" i="64"/>
  <c r="U150" i="64"/>
  <c r="R151" i="64"/>
  <c r="U151" i="64"/>
  <c r="R152" i="64"/>
  <c r="U152" i="64"/>
  <c r="R153" i="64"/>
  <c r="U153" i="64"/>
  <c r="R154" i="64"/>
  <c r="U154" i="64"/>
  <c r="R155" i="64"/>
  <c r="U155" i="64"/>
  <c r="R156" i="64"/>
  <c r="U156" i="64"/>
  <c r="R157" i="64"/>
  <c r="U157" i="64"/>
  <c r="R158" i="64"/>
  <c r="U158" i="64"/>
  <c r="R159" i="64"/>
  <c r="U159" i="64"/>
  <c r="R160" i="64"/>
  <c r="U160" i="64"/>
  <c r="R161" i="64"/>
  <c r="U161" i="64"/>
  <c r="R162" i="64"/>
  <c r="U162" i="64"/>
  <c r="R163" i="64"/>
  <c r="U163" i="64"/>
  <c r="R164" i="64"/>
  <c r="U164" i="64"/>
  <c r="R165" i="64"/>
  <c r="U165" i="64"/>
  <c r="R166" i="64"/>
  <c r="U166" i="64"/>
  <c r="R167" i="64"/>
  <c r="U167" i="64"/>
  <c r="R168" i="64"/>
  <c r="U168" i="64"/>
  <c r="R169" i="64"/>
  <c r="U169" i="64"/>
  <c r="R170" i="64"/>
  <c r="U170" i="64"/>
  <c r="R171" i="64"/>
  <c r="U171" i="64"/>
  <c r="R172" i="64"/>
  <c r="U172" i="64"/>
  <c r="R173" i="64"/>
  <c r="U173" i="64"/>
  <c r="R174" i="64"/>
  <c r="U174" i="64"/>
  <c r="R175" i="64"/>
  <c r="U175" i="64"/>
  <c r="R176" i="64"/>
  <c r="U176" i="64"/>
  <c r="R177" i="64"/>
  <c r="U177" i="64"/>
  <c r="R178" i="64"/>
  <c r="U178" i="64"/>
  <c r="R179" i="64"/>
  <c r="U179" i="64"/>
  <c r="R180" i="64"/>
  <c r="U180" i="64"/>
  <c r="R181" i="64"/>
  <c r="U181" i="64"/>
  <c r="R182" i="64"/>
  <c r="U182" i="64"/>
  <c r="R183" i="64"/>
  <c r="U183" i="64"/>
  <c r="R184" i="64"/>
  <c r="U184" i="64"/>
  <c r="R185" i="64"/>
  <c r="U185" i="64"/>
  <c r="R186" i="64"/>
  <c r="U186" i="64"/>
  <c r="R187" i="64"/>
  <c r="U187" i="64"/>
  <c r="R188" i="64"/>
  <c r="U188" i="64"/>
  <c r="R189" i="64"/>
  <c r="U189" i="64"/>
  <c r="R190" i="64"/>
  <c r="U190" i="64"/>
  <c r="R191" i="64"/>
  <c r="U191" i="64"/>
  <c r="R192" i="64"/>
  <c r="U192" i="64"/>
  <c r="R193" i="64"/>
  <c r="U193" i="64"/>
  <c r="R194" i="64"/>
  <c r="U194" i="64"/>
  <c r="R195" i="64"/>
  <c r="U195" i="64"/>
  <c r="R196" i="64"/>
  <c r="U196" i="64"/>
  <c r="R197" i="64"/>
  <c r="U197" i="64"/>
  <c r="R198" i="64"/>
  <c r="U198" i="64"/>
  <c r="R199" i="64"/>
  <c r="U199" i="64"/>
  <c r="R200" i="64"/>
  <c r="U200" i="64"/>
  <c r="R201" i="64"/>
  <c r="U201" i="64"/>
  <c r="R202" i="64"/>
  <c r="U202" i="64"/>
  <c r="R203" i="64"/>
  <c r="U203" i="64"/>
  <c r="R204" i="64"/>
  <c r="U204" i="64"/>
  <c r="R205" i="64"/>
  <c r="U205" i="64"/>
  <c r="R206" i="64"/>
  <c r="U206" i="64"/>
  <c r="R207" i="64"/>
  <c r="U207" i="64"/>
  <c r="R208" i="64"/>
  <c r="U208" i="64"/>
  <c r="R209" i="64"/>
  <c r="U209" i="64"/>
  <c r="R210" i="64"/>
  <c r="U210" i="64"/>
  <c r="R211" i="64"/>
  <c r="U211" i="64"/>
  <c r="R212" i="64"/>
  <c r="U212" i="64"/>
  <c r="R213" i="64"/>
  <c r="U213" i="64"/>
  <c r="R214" i="64"/>
  <c r="U214" i="64"/>
  <c r="R215" i="64"/>
  <c r="U215" i="64"/>
  <c r="R216" i="64"/>
  <c r="U216" i="64"/>
  <c r="R217" i="64"/>
  <c r="U217" i="64"/>
  <c r="R218" i="64"/>
  <c r="U218" i="64"/>
  <c r="R219" i="64"/>
  <c r="U219" i="64"/>
  <c r="R220" i="64"/>
  <c r="U220" i="64"/>
  <c r="R221" i="64"/>
  <c r="U221" i="64"/>
  <c r="R222" i="64"/>
  <c r="U222" i="64"/>
  <c r="R223" i="64"/>
  <c r="U223" i="64"/>
  <c r="R224" i="64"/>
  <c r="U224" i="64"/>
  <c r="R225" i="64"/>
  <c r="U225" i="64"/>
  <c r="R226" i="64"/>
  <c r="U226" i="64"/>
  <c r="R227" i="64"/>
  <c r="U227" i="64"/>
  <c r="R228" i="64"/>
  <c r="U228" i="64"/>
  <c r="R229" i="64"/>
  <c r="U229" i="64"/>
  <c r="R230" i="64"/>
  <c r="U230" i="64"/>
  <c r="R231" i="64"/>
  <c r="U231" i="64"/>
  <c r="R232" i="64"/>
  <c r="U232" i="64"/>
  <c r="R233" i="64"/>
  <c r="U233" i="64"/>
  <c r="R234" i="64"/>
  <c r="U234" i="64"/>
  <c r="R235" i="64"/>
  <c r="U235" i="64"/>
  <c r="R236" i="64"/>
  <c r="U236" i="64"/>
  <c r="R237" i="64"/>
  <c r="U237" i="64"/>
  <c r="R238" i="64"/>
  <c r="U238" i="64"/>
  <c r="R239" i="64"/>
  <c r="U239" i="64"/>
  <c r="R240" i="64"/>
  <c r="U240" i="64"/>
  <c r="R241" i="64"/>
  <c r="U241" i="64"/>
  <c r="R242" i="64"/>
  <c r="U242" i="64"/>
  <c r="R243" i="64"/>
  <c r="U243" i="64"/>
  <c r="R244" i="64"/>
  <c r="U244" i="64"/>
  <c r="R245" i="64"/>
  <c r="U245" i="64"/>
  <c r="R246" i="64"/>
  <c r="U246" i="64"/>
  <c r="R247" i="64"/>
  <c r="U247" i="64"/>
  <c r="R248" i="64"/>
  <c r="U248" i="64"/>
  <c r="R249" i="64"/>
  <c r="U249" i="64"/>
  <c r="R250" i="64"/>
  <c r="U250" i="64"/>
  <c r="R251" i="64"/>
  <c r="U251" i="64"/>
  <c r="R252" i="64"/>
  <c r="U252" i="64"/>
  <c r="R253" i="64"/>
  <c r="U253" i="64"/>
  <c r="R254" i="64"/>
  <c r="U254" i="64"/>
  <c r="R255" i="64"/>
  <c r="U255" i="64"/>
  <c r="R256" i="64"/>
  <c r="U256" i="64"/>
  <c r="R257" i="64"/>
  <c r="U257" i="64"/>
  <c r="R258" i="64"/>
  <c r="U258" i="64"/>
  <c r="R259" i="64"/>
  <c r="U259" i="64"/>
  <c r="R12" i="64"/>
  <c r="U15" i="64" l="1"/>
  <c r="U13" i="64"/>
  <c r="U13" i="58"/>
  <c r="U14" i="58"/>
  <c r="U15" i="58"/>
  <c r="U16" i="58"/>
  <c r="U17" i="58"/>
  <c r="U18" i="58"/>
  <c r="U19" i="58"/>
  <c r="U20" i="58"/>
  <c r="U21" i="58"/>
  <c r="U22" i="58"/>
  <c r="U23" i="58"/>
  <c r="U24" i="58"/>
  <c r="U25" i="58"/>
  <c r="U26" i="58"/>
  <c r="U27" i="58"/>
  <c r="U28" i="58"/>
  <c r="U29" i="58"/>
  <c r="U30" i="58"/>
  <c r="U31" i="58"/>
  <c r="U32" i="58"/>
  <c r="U33" i="58"/>
  <c r="U34" i="58"/>
  <c r="U35" i="58"/>
  <c r="U36" i="58"/>
  <c r="U37" i="58"/>
  <c r="U38" i="58"/>
  <c r="U39" i="58"/>
  <c r="U40" i="58"/>
  <c r="U41" i="58"/>
  <c r="U42" i="58"/>
  <c r="U43" i="58"/>
  <c r="U44" i="58"/>
  <c r="U45" i="58"/>
  <c r="U46" i="58"/>
  <c r="U47" i="58"/>
  <c r="U48" i="58"/>
  <c r="U49" i="58"/>
  <c r="U50" i="58"/>
  <c r="U51" i="58"/>
  <c r="U52" i="58"/>
  <c r="U53" i="58"/>
  <c r="U54" i="58"/>
  <c r="U55" i="58"/>
  <c r="U56" i="58"/>
  <c r="U57" i="58"/>
  <c r="U58" i="58"/>
  <c r="U59" i="58"/>
  <c r="U60" i="58"/>
  <c r="U61" i="58"/>
  <c r="U62" i="58"/>
  <c r="U63" i="58"/>
  <c r="U64" i="58"/>
  <c r="U65" i="58"/>
  <c r="U66" i="58"/>
  <c r="U67" i="58"/>
  <c r="U68" i="58"/>
  <c r="U69" i="58"/>
  <c r="U70" i="58"/>
  <c r="U71" i="58"/>
  <c r="U72" i="58"/>
  <c r="U73" i="58"/>
  <c r="U74" i="58"/>
  <c r="U75" i="58"/>
  <c r="U76" i="58"/>
  <c r="U77" i="58"/>
  <c r="U78" i="58"/>
  <c r="U79" i="58"/>
  <c r="U80" i="58"/>
  <c r="U81" i="58"/>
  <c r="U82" i="58"/>
  <c r="U83" i="58"/>
  <c r="U84" i="58"/>
  <c r="U85" i="58"/>
  <c r="U86" i="58"/>
  <c r="U87" i="58"/>
  <c r="U88" i="58"/>
  <c r="U89" i="58"/>
  <c r="U90" i="58"/>
  <c r="U91" i="58"/>
  <c r="U92" i="58"/>
  <c r="U93" i="58"/>
  <c r="U94" i="58"/>
  <c r="U95" i="58"/>
  <c r="U96" i="58"/>
  <c r="U97" i="58"/>
  <c r="U98" i="58"/>
  <c r="U99" i="58"/>
  <c r="U100" i="58"/>
  <c r="U101" i="58"/>
  <c r="U102" i="58"/>
  <c r="U103" i="58"/>
  <c r="U104" i="58"/>
  <c r="U105" i="58"/>
  <c r="U106" i="58"/>
  <c r="U107" i="58"/>
  <c r="U108" i="58"/>
  <c r="U109" i="58"/>
  <c r="U110" i="58"/>
  <c r="U111" i="58"/>
  <c r="U112" i="58"/>
  <c r="U113" i="58"/>
  <c r="U114" i="58"/>
  <c r="U115" i="58"/>
  <c r="U116" i="58"/>
  <c r="U117" i="58"/>
  <c r="U118" i="58"/>
  <c r="U119" i="58"/>
  <c r="U120" i="58"/>
  <c r="U121" i="58"/>
  <c r="U122" i="58"/>
  <c r="U123" i="58"/>
  <c r="U124" i="58"/>
  <c r="U125" i="58"/>
  <c r="U126" i="58"/>
  <c r="U127" i="58"/>
  <c r="U128" i="58"/>
  <c r="U129" i="58"/>
  <c r="U130" i="58"/>
  <c r="U131" i="58"/>
  <c r="U132" i="58"/>
  <c r="U133" i="58"/>
  <c r="U134" i="58"/>
  <c r="U135" i="58"/>
  <c r="U136" i="58"/>
  <c r="U137" i="58"/>
  <c r="U138" i="58"/>
  <c r="U139" i="58"/>
  <c r="U140" i="58"/>
  <c r="U141" i="58"/>
  <c r="U142" i="58"/>
  <c r="U143" i="58"/>
  <c r="U144" i="58"/>
  <c r="U145" i="58"/>
  <c r="U146" i="58"/>
  <c r="U147" i="58"/>
  <c r="U148" i="58"/>
  <c r="U149" i="58"/>
  <c r="U150" i="58"/>
  <c r="U151" i="58"/>
  <c r="U152" i="58"/>
  <c r="U153" i="58"/>
  <c r="U154" i="58"/>
  <c r="U155" i="58"/>
  <c r="U156" i="58"/>
  <c r="U157" i="58"/>
  <c r="U158" i="58"/>
  <c r="U159" i="58"/>
  <c r="U160" i="58"/>
  <c r="U161" i="58"/>
  <c r="U162" i="58"/>
  <c r="U163" i="58"/>
  <c r="U164" i="58"/>
  <c r="U165" i="58"/>
  <c r="U166" i="58"/>
  <c r="U167" i="58"/>
  <c r="U168" i="58"/>
  <c r="U169" i="58"/>
  <c r="U170" i="58"/>
  <c r="U171" i="58"/>
  <c r="U172" i="58"/>
  <c r="U173" i="58"/>
  <c r="U174" i="58"/>
  <c r="U175" i="58"/>
  <c r="U176" i="58"/>
  <c r="U177" i="58"/>
  <c r="U178" i="58"/>
  <c r="U179" i="58"/>
  <c r="U180" i="58"/>
  <c r="U181" i="58"/>
  <c r="U182" i="58"/>
  <c r="U183" i="58"/>
  <c r="U184" i="58"/>
  <c r="U185" i="58"/>
  <c r="U186" i="58"/>
  <c r="U187" i="58"/>
  <c r="U188" i="58"/>
  <c r="U189" i="58"/>
  <c r="U190" i="58"/>
  <c r="U191" i="58"/>
  <c r="U192" i="58"/>
  <c r="U193" i="58"/>
  <c r="U194" i="58"/>
  <c r="U195" i="58"/>
  <c r="U196" i="58"/>
  <c r="U197" i="58"/>
  <c r="U198" i="58"/>
  <c r="U199" i="58"/>
  <c r="U200" i="58"/>
  <c r="U201" i="58"/>
  <c r="U202" i="58"/>
  <c r="U203" i="58"/>
  <c r="U204" i="58"/>
  <c r="U205" i="58"/>
  <c r="U206" i="58"/>
  <c r="U207" i="58"/>
  <c r="U208" i="58"/>
  <c r="U209" i="58"/>
  <c r="U210" i="58"/>
  <c r="U211" i="58"/>
  <c r="U212" i="58"/>
  <c r="U213" i="58"/>
  <c r="U214" i="58"/>
  <c r="U215" i="58"/>
  <c r="U216" i="58"/>
  <c r="U217" i="58"/>
  <c r="U218" i="58"/>
  <c r="U219" i="58"/>
  <c r="U220" i="58"/>
  <c r="U221" i="58"/>
  <c r="U222" i="58"/>
  <c r="U223" i="58"/>
  <c r="U224" i="58"/>
  <c r="U225" i="58"/>
  <c r="U226" i="58"/>
  <c r="U227" i="58"/>
  <c r="U228" i="58"/>
  <c r="U229" i="58"/>
  <c r="U230" i="58"/>
  <c r="U231" i="58"/>
  <c r="U232" i="58"/>
  <c r="U233" i="58"/>
  <c r="U234" i="58"/>
  <c r="U235" i="58"/>
  <c r="U236" i="58"/>
  <c r="U237" i="58"/>
  <c r="U238" i="58"/>
  <c r="U239" i="58"/>
  <c r="U240" i="58"/>
  <c r="U241" i="58"/>
  <c r="U242" i="58"/>
  <c r="U243" i="58"/>
  <c r="U244" i="58"/>
  <c r="U245" i="58"/>
  <c r="U246" i="58"/>
  <c r="U247" i="58"/>
  <c r="U248" i="58"/>
  <c r="U249" i="58"/>
  <c r="U250" i="58"/>
  <c r="U251" i="58"/>
  <c r="U252" i="58"/>
  <c r="U253" i="58"/>
  <c r="U254" i="58"/>
  <c r="U255" i="58"/>
  <c r="U256" i="58"/>
  <c r="U257" i="58"/>
  <c r="U258" i="58"/>
  <c r="W258" i="58" s="1"/>
  <c r="U259" i="58"/>
  <c r="U12" i="58"/>
  <c r="S13" i="42"/>
  <c r="V13" i="42" s="1"/>
  <c r="S14" i="42"/>
  <c r="V14" i="42" s="1"/>
  <c r="S15" i="42"/>
  <c r="V15" i="42" s="1"/>
  <c r="S16" i="42"/>
  <c r="V16" i="42" s="1"/>
  <c r="S17" i="42"/>
  <c r="V17" i="42"/>
  <c r="S18" i="42"/>
  <c r="V18" i="42"/>
  <c r="S19" i="42"/>
  <c r="V19" i="42"/>
  <c r="S20" i="42"/>
  <c r="V20" i="42"/>
  <c r="S21" i="42"/>
  <c r="V21" i="42"/>
  <c r="S22" i="42"/>
  <c r="V22" i="42"/>
  <c r="S23" i="42"/>
  <c r="V23" i="42"/>
  <c r="S24" i="42"/>
  <c r="V24" i="42"/>
  <c r="S25" i="42"/>
  <c r="V25" i="42"/>
  <c r="S26" i="42"/>
  <c r="V26" i="42"/>
  <c r="S27" i="42"/>
  <c r="V27" i="42"/>
  <c r="S28" i="42"/>
  <c r="V28" i="42"/>
  <c r="S29" i="42"/>
  <c r="V29" i="42"/>
  <c r="S30" i="42"/>
  <c r="V30" i="42"/>
  <c r="S31" i="42"/>
  <c r="V31" i="42"/>
  <c r="S32" i="42"/>
  <c r="V32" i="42"/>
  <c r="S33" i="42"/>
  <c r="V33" i="42"/>
  <c r="S34" i="42"/>
  <c r="V34" i="42"/>
  <c r="S35" i="42"/>
  <c r="V35" i="42"/>
  <c r="S36" i="42"/>
  <c r="V36" i="42"/>
  <c r="S37" i="42"/>
  <c r="V37" i="42"/>
  <c r="S38" i="42"/>
  <c r="V38" i="42"/>
  <c r="S39" i="42"/>
  <c r="V39" i="42"/>
  <c r="S40" i="42"/>
  <c r="V40" i="42"/>
  <c r="S41" i="42"/>
  <c r="V41" i="42"/>
  <c r="S42" i="42"/>
  <c r="V42" i="42"/>
  <c r="S43" i="42"/>
  <c r="V43" i="42"/>
  <c r="S44" i="42"/>
  <c r="V44" i="42"/>
  <c r="S45" i="42"/>
  <c r="V45" i="42"/>
  <c r="S46" i="42"/>
  <c r="V46" i="42"/>
  <c r="S47" i="42"/>
  <c r="V47" i="42"/>
  <c r="S48" i="42"/>
  <c r="V48" i="42"/>
  <c r="S49" i="42"/>
  <c r="V49" i="42"/>
  <c r="S50" i="42"/>
  <c r="V50" i="42"/>
  <c r="S51" i="42"/>
  <c r="V51" i="42"/>
  <c r="S52" i="42"/>
  <c r="V52" i="42"/>
  <c r="S53" i="42"/>
  <c r="V53" i="42"/>
  <c r="S54" i="42"/>
  <c r="V54" i="42"/>
  <c r="S55" i="42"/>
  <c r="V55" i="42"/>
  <c r="S56" i="42"/>
  <c r="V56" i="42"/>
  <c r="S57" i="42"/>
  <c r="V57" i="42"/>
  <c r="S58" i="42"/>
  <c r="V58" i="42"/>
  <c r="S59" i="42"/>
  <c r="V59" i="42"/>
  <c r="S60" i="42"/>
  <c r="V60" i="42"/>
  <c r="S61" i="42"/>
  <c r="V61" i="42"/>
  <c r="S62" i="42"/>
  <c r="V62" i="42"/>
  <c r="S63" i="42"/>
  <c r="V63" i="42"/>
  <c r="S64" i="42"/>
  <c r="V64" i="42"/>
  <c r="S65" i="42"/>
  <c r="V65" i="42"/>
  <c r="S66" i="42"/>
  <c r="V66" i="42"/>
  <c r="S67" i="42"/>
  <c r="V67" i="42"/>
  <c r="S68" i="42"/>
  <c r="V68" i="42"/>
  <c r="S69" i="42"/>
  <c r="V69" i="42"/>
  <c r="S70" i="42"/>
  <c r="V70" i="42"/>
  <c r="S71" i="42"/>
  <c r="V71" i="42"/>
  <c r="S72" i="42"/>
  <c r="V72" i="42"/>
  <c r="S73" i="42"/>
  <c r="V73" i="42"/>
  <c r="S74" i="42"/>
  <c r="V74" i="42"/>
  <c r="S75" i="42"/>
  <c r="V75" i="42"/>
  <c r="S76" i="42"/>
  <c r="V76" i="42"/>
  <c r="S77" i="42"/>
  <c r="V77" i="42"/>
  <c r="S78" i="42"/>
  <c r="V78" i="42"/>
  <c r="S79" i="42"/>
  <c r="V79" i="42"/>
  <c r="S80" i="42"/>
  <c r="V80" i="42"/>
  <c r="S81" i="42"/>
  <c r="V81" i="42"/>
  <c r="S82" i="42"/>
  <c r="V82" i="42"/>
  <c r="S83" i="42"/>
  <c r="V83" i="42"/>
  <c r="S84" i="42"/>
  <c r="V84" i="42"/>
  <c r="S85" i="42"/>
  <c r="V85" i="42"/>
  <c r="S86" i="42"/>
  <c r="V86" i="42"/>
  <c r="S87" i="42"/>
  <c r="V87" i="42"/>
  <c r="S88" i="42"/>
  <c r="V88" i="42"/>
  <c r="S89" i="42"/>
  <c r="V89" i="42"/>
  <c r="S90" i="42"/>
  <c r="V90" i="42"/>
  <c r="S91" i="42"/>
  <c r="V91" i="42"/>
  <c r="S92" i="42"/>
  <c r="V92" i="42"/>
  <c r="S93" i="42"/>
  <c r="V93" i="42"/>
  <c r="S94" i="42"/>
  <c r="V94" i="42"/>
  <c r="S95" i="42"/>
  <c r="V95" i="42"/>
  <c r="S96" i="42"/>
  <c r="V96" i="42"/>
  <c r="S97" i="42"/>
  <c r="V97" i="42"/>
  <c r="S98" i="42"/>
  <c r="V98" i="42"/>
  <c r="S99" i="42"/>
  <c r="V99" i="42"/>
  <c r="S100" i="42"/>
  <c r="V100" i="42"/>
  <c r="S101" i="42"/>
  <c r="V101" i="42"/>
  <c r="S102" i="42"/>
  <c r="V102" i="42"/>
  <c r="S103" i="42"/>
  <c r="V103" i="42"/>
  <c r="S104" i="42"/>
  <c r="V104" i="42"/>
  <c r="S105" i="42"/>
  <c r="V105" i="42"/>
  <c r="S106" i="42"/>
  <c r="V106" i="42"/>
  <c r="S107" i="42"/>
  <c r="V107" i="42"/>
  <c r="S108" i="42"/>
  <c r="V108" i="42"/>
  <c r="S109" i="42"/>
  <c r="V109" i="42"/>
  <c r="S110" i="42"/>
  <c r="V110" i="42"/>
  <c r="S111" i="42"/>
  <c r="V111" i="42"/>
  <c r="S112" i="42"/>
  <c r="V112" i="42"/>
  <c r="S113" i="42"/>
  <c r="V113" i="42"/>
  <c r="S114" i="42"/>
  <c r="V114" i="42"/>
  <c r="S115" i="42"/>
  <c r="V115" i="42"/>
  <c r="S116" i="42"/>
  <c r="V116" i="42"/>
  <c r="S117" i="42"/>
  <c r="V117" i="42"/>
  <c r="S118" i="42"/>
  <c r="V118" i="42"/>
  <c r="S119" i="42"/>
  <c r="V119" i="42"/>
  <c r="S120" i="42"/>
  <c r="V120" i="42"/>
  <c r="S121" i="42"/>
  <c r="V121" i="42"/>
  <c r="S122" i="42"/>
  <c r="V122" i="42"/>
  <c r="S123" i="42"/>
  <c r="V123" i="42"/>
  <c r="S124" i="42"/>
  <c r="V124" i="42"/>
  <c r="S125" i="42"/>
  <c r="V125" i="42"/>
  <c r="S126" i="42"/>
  <c r="V126" i="42"/>
  <c r="S127" i="42"/>
  <c r="V127" i="42"/>
  <c r="S128" i="42"/>
  <c r="V128" i="42"/>
  <c r="S129" i="42"/>
  <c r="V129" i="42"/>
  <c r="S130" i="42"/>
  <c r="V130" i="42"/>
  <c r="S131" i="42"/>
  <c r="V131" i="42"/>
  <c r="S132" i="42"/>
  <c r="V132" i="42"/>
  <c r="S133" i="42"/>
  <c r="V133" i="42"/>
  <c r="S134" i="42"/>
  <c r="V134" i="42"/>
  <c r="S135" i="42"/>
  <c r="V135" i="42"/>
  <c r="S136" i="42"/>
  <c r="V136" i="42"/>
  <c r="S137" i="42"/>
  <c r="V137" i="42"/>
  <c r="S138" i="42"/>
  <c r="V138" i="42"/>
  <c r="S139" i="42"/>
  <c r="V139" i="42"/>
  <c r="S140" i="42"/>
  <c r="V140" i="42"/>
  <c r="S141" i="42"/>
  <c r="V141" i="42"/>
  <c r="S142" i="42"/>
  <c r="V142" i="42"/>
  <c r="S143" i="42"/>
  <c r="V143" i="42"/>
  <c r="S144" i="42"/>
  <c r="V144" i="42"/>
  <c r="S145" i="42"/>
  <c r="V145" i="42"/>
  <c r="S146" i="42"/>
  <c r="V146" i="42"/>
  <c r="S147" i="42"/>
  <c r="V147" i="42"/>
  <c r="S148" i="42"/>
  <c r="V148" i="42"/>
  <c r="S149" i="42"/>
  <c r="V149" i="42"/>
  <c r="S150" i="42"/>
  <c r="V150" i="42"/>
  <c r="S151" i="42"/>
  <c r="V151" i="42"/>
  <c r="S152" i="42"/>
  <c r="V152" i="42"/>
  <c r="S153" i="42"/>
  <c r="V153" i="42"/>
  <c r="S154" i="42"/>
  <c r="V154" i="42"/>
  <c r="S155" i="42"/>
  <c r="V155" i="42"/>
  <c r="S156" i="42"/>
  <c r="V156" i="42"/>
  <c r="S157" i="42"/>
  <c r="V157" i="42"/>
  <c r="S158" i="42"/>
  <c r="V158" i="42"/>
  <c r="S159" i="42"/>
  <c r="V159" i="42"/>
  <c r="S160" i="42"/>
  <c r="V160" i="42"/>
  <c r="S161" i="42"/>
  <c r="V161" i="42"/>
  <c r="S162" i="42"/>
  <c r="V162" i="42"/>
  <c r="S163" i="42"/>
  <c r="V163" i="42"/>
  <c r="S164" i="42"/>
  <c r="V164" i="42"/>
  <c r="S165" i="42"/>
  <c r="V165" i="42"/>
  <c r="S166" i="42"/>
  <c r="V166" i="42"/>
  <c r="S167" i="42"/>
  <c r="V167" i="42"/>
  <c r="S168" i="42"/>
  <c r="V168" i="42"/>
  <c r="S169" i="42"/>
  <c r="V169" i="42"/>
  <c r="S170" i="42"/>
  <c r="V170" i="42"/>
  <c r="S171" i="42"/>
  <c r="V171" i="42"/>
  <c r="S172" i="42"/>
  <c r="V172" i="42"/>
  <c r="S173" i="42"/>
  <c r="V173" i="42"/>
  <c r="S174" i="42"/>
  <c r="V174" i="42"/>
  <c r="S175" i="42"/>
  <c r="V175" i="42"/>
  <c r="S176" i="42"/>
  <c r="V176" i="42"/>
  <c r="S177" i="42"/>
  <c r="V177" i="42"/>
  <c r="S178" i="42"/>
  <c r="V178" i="42"/>
  <c r="S179" i="42"/>
  <c r="V179" i="42"/>
  <c r="S180" i="42"/>
  <c r="V180" i="42"/>
  <c r="S181" i="42"/>
  <c r="V181" i="42"/>
  <c r="S182" i="42"/>
  <c r="V182" i="42"/>
  <c r="S183" i="42"/>
  <c r="V183" i="42"/>
  <c r="S184" i="42"/>
  <c r="V184" i="42"/>
  <c r="S185" i="42"/>
  <c r="V185" i="42"/>
  <c r="S186" i="42"/>
  <c r="V186" i="42"/>
  <c r="S187" i="42"/>
  <c r="V187" i="42"/>
  <c r="S188" i="42"/>
  <c r="V188" i="42"/>
  <c r="S189" i="42"/>
  <c r="V189" i="42"/>
  <c r="S190" i="42"/>
  <c r="V190" i="42"/>
  <c r="S191" i="42"/>
  <c r="V191" i="42"/>
  <c r="S192" i="42"/>
  <c r="V192" i="42"/>
  <c r="S193" i="42"/>
  <c r="V193" i="42"/>
  <c r="S194" i="42"/>
  <c r="V194" i="42"/>
  <c r="S195" i="42"/>
  <c r="V195" i="42"/>
  <c r="S196" i="42"/>
  <c r="V196" i="42"/>
  <c r="S197" i="42"/>
  <c r="V197" i="42"/>
  <c r="S198" i="42"/>
  <c r="V198" i="42"/>
  <c r="S199" i="42"/>
  <c r="V199" i="42"/>
  <c r="S200" i="42"/>
  <c r="V200" i="42"/>
  <c r="S201" i="42"/>
  <c r="V201" i="42"/>
  <c r="S202" i="42"/>
  <c r="V202" i="42"/>
  <c r="S203" i="42"/>
  <c r="V203" i="42"/>
  <c r="S204" i="42"/>
  <c r="V204" i="42"/>
  <c r="S205" i="42"/>
  <c r="V205" i="42"/>
  <c r="S206" i="42"/>
  <c r="V206" i="42"/>
  <c r="S207" i="42"/>
  <c r="V207" i="42"/>
  <c r="S208" i="42"/>
  <c r="V208" i="42"/>
  <c r="S209" i="42"/>
  <c r="V209" i="42"/>
  <c r="S210" i="42"/>
  <c r="V210" i="42"/>
  <c r="S211" i="42"/>
  <c r="V211" i="42"/>
  <c r="S212" i="42"/>
  <c r="V212" i="42"/>
  <c r="S213" i="42"/>
  <c r="V213" i="42"/>
  <c r="S214" i="42"/>
  <c r="V214" i="42"/>
  <c r="S215" i="42"/>
  <c r="V215" i="42"/>
  <c r="S216" i="42"/>
  <c r="V216" i="42"/>
  <c r="S217" i="42"/>
  <c r="V217" i="42"/>
  <c r="S218" i="42"/>
  <c r="V218" i="42"/>
  <c r="S219" i="42"/>
  <c r="V219" i="42"/>
  <c r="S220" i="42"/>
  <c r="V220" i="42"/>
  <c r="S221" i="42"/>
  <c r="V221" i="42"/>
  <c r="S222" i="42"/>
  <c r="V222" i="42"/>
  <c r="S223" i="42"/>
  <c r="V223" i="42"/>
  <c r="S224" i="42"/>
  <c r="V224" i="42"/>
  <c r="S225" i="42"/>
  <c r="V225" i="42"/>
  <c r="S226" i="42"/>
  <c r="V226" i="42"/>
  <c r="S227" i="42"/>
  <c r="V227" i="42"/>
  <c r="S228" i="42"/>
  <c r="V228" i="42"/>
  <c r="S229" i="42"/>
  <c r="V229" i="42"/>
  <c r="S230" i="42"/>
  <c r="V230" i="42"/>
  <c r="S231" i="42"/>
  <c r="V231" i="42"/>
  <c r="S232" i="42"/>
  <c r="V232" i="42"/>
  <c r="S233" i="42"/>
  <c r="V233" i="42"/>
  <c r="S234" i="42"/>
  <c r="V234" i="42"/>
  <c r="S235" i="42"/>
  <c r="V235" i="42"/>
  <c r="S236" i="42"/>
  <c r="V236" i="42"/>
  <c r="S237" i="42"/>
  <c r="V237" i="42"/>
  <c r="S238" i="42"/>
  <c r="V238" i="42"/>
  <c r="S239" i="42"/>
  <c r="V239" i="42"/>
  <c r="S240" i="42"/>
  <c r="V240" i="42"/>
  <c r="S241" i="42"/>
  <c r="V241" i="42"/>
  <c r="S242" i="42"/>
  <c r="V242" i="42"/>
  <c r="S243" i="42"/>
  <c r="V243" i="42"/>
  <c r="S244" i="42"/>
  <c r="V244" i="42"/>
  <c r="S245" i="42"/>
  <c r="V245" i="42"/>
  <c r="S246" i="42"/>
  <c r="V246" i="42"/>
  <c r="S247" i="42"/>
  <c r="V247" i="42"/>
  <c r="S248" i="42"/>
  <c r="V248" i="42"/>
  <c r="S249" i="42"/>
  <c r="V249" i="42"/>
  <c r="S250" i="42"/>
  <c r="V250" i="42"/>
  <c r="S251" i="42"/>
  <c r="V251" i="42"/>
  <c r="S252" i="42"/>
  <c r="V252" i="42"/>
  <c r="S253" i="42"/>
  <c r="V253" i="42"/>
  <c r="S254" i="42"/>
  <c r="V254" i="42"/>
  <c r="S255" i="42"/>
  <c r="V255" i="42"/>
  <c r="S256" i="42"/>
  <c r="V256" i="42"/>
  <c r="S257" i="42"/>
  <c r="V257" i="42"/>
  <c r="S258" i="42"/>
  <c r="V258" i="42"/>
  <c r="S259" i="42"/>
  <c r="V259" i="42"/>
  <c r="I158" i="22" l="1"/>
  <c r="I150" i="22"/>
  <c r="I149" i="22"/>
  <c r="I148" i="22"/>
  <c r="I147" i="22" l="1"/>
  <c r="I151" i="22"/>
  <c r="I152" i="22"/>
  <c r="I156" i="22"/>
  <c r="C79" i="72"/>
  <c r="B79" i="72"/>
  <c r="C78" i="72"/>
  <c r="B78" i="72"/>
  <c r="C113" i="72"/>
  <c r="B113" i="72"/>
  <c r="C112" i="72"/>
  <c r="B112" i="72"/>
  <c r="C111" i="72"/>
  <c r="B111" i="72"/>
  <c r="C131" i="72"/>
  <c r="B131" i="72"/>
  <c r="B132" i="72"/>
  <c r="C130" i="72"/>
  <c r="B130" i="72"/>
  <c r="C148" i="72"/>
  <c r="B148" i="72"/>
  <c r="C135" i="72"/>
  <c r="B135" i="72"/>
  <c r="C123" i="72"/>
  <c r="C102" i="72"/>
  <c r="B102" i="72"/>
  <c r="C91" i="72"/>
  <c r="C90" i="72"/>
  <c r="B91" i="72"/>
  <c r="C16" i="71" l="1"/>
  <c r="F16" i="71"/>
  <c r="V16" i="71" s="1"/>
  <c r="C17" i="71"/>
  <c r="F17" i="71"/>
  <c r="V17" i="71" s="1"/>
  <c r="C18" i="71"/>
  <c r="F18" i="71"/>
  <c r="V18" i="71" s="1"/>
  <c r="C19" i="71"/>
  <c r="F19" i="71"/>
  <c r="V19" i="71" s="1"/>
  <c r="C20" i="71"/>
  <c r="F20" i="71"/>
  <c r="V20" i="71" s="1"/>
  <c r="C21" i="71"/>
  <c r="F21" i="71"/>
  <c r="V21" i="71" s="1"/>
  <c r="C22" i="71"/>
  <c r="F22" i="71"/>
  <c r="V22" i="71" s="1"/>
  <c r="C23" i="71"/>
  <c r="F23" i="71"/>
  <c r="V23" i="71" s="1"/>
  <c r="C24" i="71"/>
  <c r="F24" i="71"/>
  <c r="V24" i="71" s="1"/>
  <c r="C25" i="71"/>
  <c r="F25" i="71"/>
  <c r="V25" i="71" s="1"/>
  <c r="C26" i="71"/>
  <c r="F26" i="71"/>
  <c r="V26" i="71" s="1"/>
  <c r="C27" i="71"/>
  <c r="F27" i="71"/>
  <c r="C28" i="71"/>
  <c r="F28" i="71"/>
  <c r="V28" i="71" s="1"/>
  <c r="C29" i="71"/>
  <c r="F29" i="71"/>
  <c r="V29" i="71" s="1"/>
  <c r="C30" i="71"/>
  <c r="F30" i="71"/>
  <c r="V30" i="71" s="1"/>
  <c r="C31" i="71"/>
  <c r="F31" i="71"/>
  <c r="V31" i="71" s="1"/>
  <c r="C32" i="71"/>
  <c r="F32" i="71"/>
  <c r="V32" i="71" s="1"/>
  <c r="C33" i="71"/>
  <c r="F33" i="71"/>
  <c r="V33" i="71" s="1"/>
  <c r="C34" i="71"/>
  <c r="F34" i="71"/>
  <c r="V34" i="71" s="1"/>
  <c r="C35" i="71"/>
  <c r="F35" i="71"/>
  <c r="V35" i="71" s="1"/>
  <c r="C36" i="71"/>
  <c r="F36" i="71"/>
  <c r="V36" i="71" s="1"/>
  <c r="C37" i="71"/>
  <c r="F37" i="71"/>
  <c r="V37" i="71" s="1"/>
  <c r="C38" i="71"/>
  <c r="F38" i="71"/>
  <c r="V38" i="71" s="1"/>
  <c r="C39" i="71"/>
  <c r="F39" i="71"/>
  <c r="V39" i="71" s="1"/>
  <c r="C40" i="71"/>
  <c r="F40" i="71"/>
  <c r="V40" i="71" s="1"/>
  <c r="C41" i="71"/>
  <c r="F41" i="71"/>
  <c r="V41" i="71" s="1"/>
  <c r="C42" i="71"/>
  <c r="F42" i="71"/>
  <c r="V42" i="71" s="1"/>
  <c r="C43" i="71"/>
  <c r="F43" i="71"/>
  <c r="V43" i="71" s="1"/>
  <c r="C44" i="71"/>
  <c r="F44" i="71"/>
  <c r="V44" i="71" s="1"/>
  <c r="C45" i="71"/>
  <c r="F45" i="71"/>
  <c r="V45" i="71" s="1"/>
  <c r="C46" i="71"/>
  <c r="F46" i="71"/>
  <c r="V46" i="71" s="1"/>
  <c r="C47" i="71"/>
  <c r="F47" i="71"/>
  <c r="V47" i="71" s="1"/>
  <c r="C48" i="71"/>
  <c r="F48" i="71"/>
  <c r="V48" i="71" s="1"/>
  <c r="C49" i="71"/>
  <c r="F49" i="71"/>
  <c r="V49" i="71" s="1"/>
  <c r="C50" i="71"/>
  <c r="F50" i="71"/>
  <c r="V50" i="71" s="1"/>
  <c r="C51" i="71"/>
  <c r="F51" i="71"/>
  <c r="V51" i="71" s="1"/>
  <c r="C52" i="71"/>
  <c r="F52" i="71"/>
  <c r="V52" i="71" s="1"/>
  <c r="C53" i="71"/>
  <c r="F53" i="71"/>
  <c r="V53" i="71" s="1"/>
  <c r="C54" i="71"/>
  <c r="F54" i="71"/>
  <c r="V54" i="71" s="1"/>
  <c r="C55" i="71"/>
  <c r="F55" i="71"/>
  <c r="V55" i="71" s="1"/>
  <c r="C56" i="71"/>
  <c r="F56" i="71"/>
  <c r="V56" i="71" s="1"/>
  <c r="C57" i="71"/>
  <c r="F57" i="71"/>
  <c r="V57" i="71" s="1"/>
  <c r="C58" i="71"/>
  <c r="F58" i="71"/>
  <c r="V58" i="71" s="1"/>
  <c r="C59" i="71"/>
  <c r="F59" i="71"/>
  <c r="V59" i="71" s="1"/>
  <c r="C60" i="71"/>
  <c r="F60" i="71"/>
  <c r="V60" i="71" s="1"/>
  <c r="C61" i="71"/>
  <c r="F61" i="71"/>
  <c r="V61" i="71" s="1"/>
  <c r="C62" i="71"/>
  <c r="F62" i="71"/>
  <c r="V62" i="71" s="1"/>
  <c r="C63" i="71"/>
  <c r="F63" i="71"/>
  <c r="V63" i="71" s="1"/>
  <c r="C64" i="71"/>
  <c r="F64" i="71"/>
  <c r="V64" i="71" s="1"/>
  <c r="C65" i="71"/>
  <c r="F65" i="71"/>
  <c r="V65" i="71" s="1"/>
  <c r="C66" i="71"/>
  <c r="F66" i="71"/>
  <c r="V66" i="71" s="1"/>
  <c r="C67" i="71"/>
  <c r="F67" i="71"/>
  <c r="V67" i="71" s="1"/>
  <c r="C68" i="71"/>
  <c r="F68" i="71"/>
  <c r="V68" i="71" s="1"/>
  <c r="C69" i="71"/>
  <c r="F69" i="71"/>
  <c r="V69" i="71" s="1"/>
  <c r="C70" i="71"/>
  <c r="F70" i="71"/>
  <c r="V70" i="71" s="1"/>
  <c r="C71" i="71"/>
  <c r="F71" i="71"/>
  <c r="V71" i="71" s="1"/>
  <c r="C72" i="71"/>
  <c r="F72" i="71"/>
  <c r="V72" i="71" s="1"/>
  <c r="C73" i="71"/>
  <c r="F73" i="71"/>
  <c r="V73" i="71" s="1"/>
  <c r="C74" i="71"/>
  <c r="F74" i="71"/>
  <c r="V74" i="71" s="1"/>
  <c r="C75" i="71"/>
  <c r="F75" i="71"/>
  <c r="V75" i="71" s="1"/>
  <c r="C76" i="71"/>
  <c r="F76" i="71"/>
  <c r="V76" i="71" s="1"/>
  <c r="C77" i="71"/>
  <c r="F77" i="71"/>
  <c r="V77" i="71" s="1"/>
  <c r="C78" i="71"/>
  <c r="F78" i="71"/>
  <c r="V78" i="71" s="1"/>
  <c r="C79" i="71"/>
  <c r="F79" i="71"/>
  <c r="V79" i="71" s="1"/>
  <c r="C80" i="71"/>
  <c r="F80" i="71"/>
  <c r="V80" i="71" s="1"/>
  <c r="C81" i="71"/>
  <c r="F81" i="71"/>
  <c r="V81" i="71" s="1"/>
  <c r="C82" i="71"/>
  <c r="F82" i="71"/>
  <c r="V82" i="71" s="1"/>
  <c r="C83" i="71"/>
  <c r="F83" i="71"/>
  <c r="V83" i="71" s="1"/>
  <c r="C84" i="71"/>
  <c r="F84" i="71"/>
  <c r="V84" i="71" s="1"/>
  <c r="C85" i="71"/>
  <c r="F85" i="71"/>
  <c r="V85" i="71" s="1"/>
  <c r="C86" i="71"/>
  <c r="F86" i="71"/>
  <c r="V86" i="71" s="1"/>
  <c r="C87" i="71"/>
  <c r="F87" i="71"/>
  <c r="V87" i="71" s="1"/>
  <c r="C88" i="71"/>
  <c r="F88" i="71"/>
  <c r="V88" i="71" s="1"/>
  <c r="C89" i="71"/>
  <c r="F89" i="71"/>
  <c r="V89" i="71" s="1"/>
  <c r="C90" i="71"/>
  <c r="F90" i="71"/>
  <c r="V90" i="71" s="1"/>
  <c r="C91" i="71"/>
  <c r="F91" i="71"/>
  <c r="V91" i="71" s="1"/>
  <c r="C92" i="71"/>
  <c r="F92" i="71"/>
  <c r="V92" i="71" s="1"/>
  <c r="C93" i="71"/>
  <c r="F93" i="71"/>
  <c r="V93" i="71" s="1"/>
  <c r="C94" i="71"/>
  <c r="F94" i="71"/>
  <c r="V94" i="71" s="1"/>
  <c r="C95" i="71"/>
  <c r="F95" i="71"/>
  <c r="V95" i="71" s="1"/>
  <c r="C96" i="71"/>
  <c r="F96" i="71"/>
  <c r="V96" i="71" s="1"/>
  <c r="C97" i="71"/>
  <c r="F97" i="71"/>
  <c r="V97" i="71" s="1"/>
  <c r="C98" i="71"/>
  <c r="F98" i="71"/>
  <c r="V98" i="71" s="1"/>
  <c r="C99" i="71"/>
  <c r="F99" i="71"/>
  <c r="V99" i="71" s="1"/>
  <c r="C100" i="71"/>
  <c r="F100" i="71"/>
  <c r="V100" i="71" s="1"/>
  <c r="C101" i="71"/>
  <c r="F101" i="71"/>
  <c r="V101" i="71" s="1"/>
  <c r="C102" i="71"/>
  <c r="F102" i="71"/>
  <c r="V102" i="71" s="1"/>
  <c r="C103" i="71"/>
  <c r="F103" i="71"/>
  <c r="V103" i="71" s="1"/>
  <c r="C104" i="71"/>
  <c r="F104" i="71"/>
  <c r="V104" i="71" s="1"/>
  <c r="C105" i="71"/>
  <c r="F105" i="71"/>
  <c r="V105" i="71" s="1"/>
  <c r="C106" i="71"/>
  <c r="F106" i="71"/>
  <c r="V106" i="71" s="1"/>
  <c r="C107" i="71"/>
  <c r="F107" i="71"/>
  <c r="V107" i="71" s="1"/>
  <c r="C108" i="71"/>
  <c r="F108" i="71"/>
  <c r="V108" i="71" s="1"/>
  <c r="C109" i="71"/>
  <c r="F109" i="71"/>
  <c r="V109" i="71" s="1"/>
  <c r="C110" i="71"/>
  <c r="F110" i="71"/>
  <c r="V110" i="71" s="1"/>
  <c r="C111" i="71"/>
  <c r="F111" i="71"/>
  <c r="V111" i="71" s="1"/>
  <c r="C112" i="71"/>
  <c r="F112" i="71"/>
  <c r="V112" i="71" s="1"/>
  <c r="C113" i="71"/>
  <c r="F113" i="71"/>
  <c r="V113" i="71" s="1"/>
  <c r="C114" i="71"/>
  <c r="F114" i="71"/>
  <c r="V114" i="71" s="1"/>
  <c r="C115" i="71"/>
  <c r="F115" i="71"/>
  <c r="V115" i="71" s="1"/>
  <c r="C116" i="71"/>
  <c r="F116" i="71"/>
  <c r="V116" i="71" s="1"/>
  <c r="C117" i="71"/>
  <c r="F117" i="71"/>
  <c r="V117" i="71" s="1"/>
  <c r="C118" i="71"/>
  <c r="F118" i="71"/>
  <c r="V118" i="71" s="1"/>
  <c r="C119" i="71"/>
  <c r="F119" i="71"/>
  <c r="V119" i="71" s="1"/>
  <c r="C120" i="71"/>
  <c r="F120" i="71"/>
  <c r="V120" i="71" s="1"/>
  <c r="C121" i="71"/>
  <c r="F121" i="71"/>
  <c r="V121" i="71" s="1"/>
  <c r="C122" i="71"/>
  <c r="F122" i="71"/>
  <c r="V122" i="71" s="1"/>
  <c r="C123" i="71"/>
  <c r="F123" i="71"/>
  <c r="V123" i="71" s="1"/>
  <c r="C124" i="71"/>
  <c r="F124" i="71"/>
  <c r="V124" i="71" s="1"/>
  <c r="C125" i="71"/>
  <c r="F125" i="71"/>
  <c r="V125" i="71" s="1"/>
  <c r="C126" i="71"/>
  <c r="F126" i="71"/>
  <c r="V126" i="71" s="1"/>
  <c r="C127" i="71"/>
  <c r="F127" i="71"/>
  <c r="V127" i="71" s="1"/>
  <c r="C128" i="71"/>
  <c r="F128" i="71"/>
  <c r="V128" i="71" s="1"/>
  <c r="C129" i="71"/>
  <c r="F129" i="71"/>
  <c r="V129" i="71" s="1"/>
  <c r="C130" i="71"/>
  <c r="F130" i="71"/>
  <c r="V130" i="71" s="1"/>
  <c r="C131" i="71"/>
  <c r="F131" i="71"/>
  <c r="V131" i="71" s="1"/>
  <c r="C132" i="71"/>
  <c r="F132" i="71"/>
  <c r="V132" i="71" s="1"/>
  <c r="C133" i="71"/>
  <c r="F133" i="71"/>
  <c r="V133" i="71" s="1"/>
  <c r="C134" i="71"/>
  <c r="F134" i="71"/>
  <c r="V134" i="71" s="1"/>
  <c r="C135" i="71"/>
  <c r="F135" i="71"/>
  <c r="V135" i="71" s="1"/>
  <c r="C136" i="71"/>
  <c r="F136" i="71"/>
  <c r="V136" i="71" s="1"/>
  <c r="C137" i="71"/>
  <c r="F137" i="71"/>
  <c r="V137" i="71" s="1"/>
  <c r="C138" i="71"/>
  <c r="F138" i="71"/>
  <c r="V138" i="71" s="1"/>
  <c r="C139" i="71"/>
  <c r="F139" i="71"/>
  <c r="V139" i="71" s="1"/>
  <c r="C140" i="71"/>
  <c r="F140" i="71"/>
  <c r="V140" i="71" s="1"/>
  <c r="C141" i="71"/>
  <c r="F141" i="71"/>
  <c r="V141" i="71" s="1"/>
  <c r="C142" i="71"/>
  <c r="F142" i="71"/>
  <c r="V142" i="71" s="1"/>
  <c r="C143" i="71"/>
  <c r="F143" i="71"/>
  <c r="V143" i="71" s="1"/>
  <c r="C144" i="71"/>
  <c r="F144" i="71"/>
  <c r="V144" i="71" s="1"/>
  <c r="C145" i="71"/>
  <c r="F145" i="71"/>
  <c r="V145" i="71" s="1"/>
  <c r="C146" i="71"/>
  <c r="F146" i="71"/>
  <c r="V146" i="71" s="1"/>
  <c r="C147" i="71"/>
  <c r="F147" i="71"/>
  <c r="V147" i="71" s="1"/>
  <c r="C148" i="71"/>
  <c r="F148" i="71"/>
  <c r="V148" i="71" s="1"/>
  <c r="C149" i="71"/>
  <c r="F149" i="71"/>
  <c r="V149" i="71" s="1"/>
  <c r="C150" i="71"/>
  <c r="F150" i="71"/>
  <c r="V150" i="71" s="1"/>
  <c r="C151" i="71"/>
  <c r="F151" i="71"/>
  <c r="V151" i="71" s="1"/>
  <c r="C152" i="71"/>
  <c r="F152" i="71"/>
  <c r="V152" i="71" s="1"/>
  <c r="C153" i="71"/>
  <c r="F153" i="71"/>
  <c r="V153" i="71" s="1"/>
  <c r="C154" i="71"/>
  <c r="F154" i="71"/>
  <c r="V154" i="71" s="1"/>
  <c r="C155" i="71"/>
  <c r="F155" i="71"/>
  <c r="V155" i="71" s="1"/>
  <c r="C156" i="71"/>
  <c r="F156" i="71"/>
  <c r="V156" i="71" s="1"/>
  <c r="C157" i="71"/>
  <c r="F157" i="71"/>
  <c r="V157" i="71" s="1"/>
  <c r="C158" i="71"/>
  <c r="F158" i="71"/>
  <c r="V158" i="71" s="1"/>
  <c r="C159" i="71"/>
  <c r="F159" i="71"/>
  <c r="V159" i="71" s="1"/>
  <c r="C160" i="71"/>
  <c r="F160" i="71"/>
  <c r="V160" i="71" s="1"/>
  <c r="C161" i="71"/>
  <c r="F161" i="71"/>
  <c r="V161" i="71" s="1"/>
  <c r="C162" i="71"/>
  <c r="F162" i="71"/>
  <c r="V162" i="71" s="1"/>
  <c r="C163" i="71"/>
  <c r="F163" i="71"/>
  <c r="V163" i="71" s="1"/>
  <c r="C164" i="71"/>
  <c r="F164" i="71"/>
  <c r="V164" i="71" s="1"/>
  <c r="C165" i="71"/>
  <c r="F165" i="71"/>
  <c r="V165" i="71" s="1"/>
  <c r="C166" i="71"/>
  <c r="F166" i="71"/>
  <c r="V166" i="71" s="1"/>
  <c r="C167" i="71"/>
  <c r="F167" i="71"/>
  <c r="V167" i="71" s="1"/>
  <c r="C168" i="71"/>
  <c r="F168" i="71"/>
  <c r="V168" i="71" s="1"/>
  <c r="C169" i="71"/>
  <c r="F169" i="71"/>
  <c r="V169" i="71" s="1"/>
  <c r="C170" i="71"/>
  <c r="F170" i="71"/>
  <c r="V170" i="71" s="1"/>
  <c r="C171" i="71"/>
  <c r="F171" i="71"/>
  <c r="V171" i="71" s="1"/>
  <c r="C172" i="71"/>
  <c r="F172" i="71"/>
  <c r="V172" i="71" s="1"/>
  <c r="C173" i="71"/>
  <c r="F173" i="71"/>
  <c r="V173" i="71" s="1"/>
  <c r="C174" i="71"/>
  <c r="F174" i="71"/>
  <c r="V174" i="71" s="1"/>
  <c r="C175" i="71"/>
  <c r="F175" i="71"/>
  <c r="V175" i="71" s="1"/>
  <c r="C176" i="71"/>
  <c r="F176" i="71"/>
  <c r="V176" i="71" s="1"/>
  <c r="C177" i="71"/>
  <c r="F177" i="71"/>
  <c r="V177" i="71" s="1"/>
  <c r="C178" i="71"/>
  <c r="F178" i="71"/>
  <c r="V178" i="71" s="1"/>
  <c r="C179" i="71"/>
  <c r="F179" i="71"/>
  <c r="V179" i="71" s="1"/>
  <c r="C180" i="71"/>
  <c r="F180" i="71"/>
  <c r="V180" i="71" s="1"/>
  <c r="C181" i="71"/>
  <c r="F181" i="71"/>
  <c r="V181" i="71" s="1"/>
  <c r="C182" i="71"/>
  <c r="F182" i="71"/>
  <c r="V182" i="71" s="1"/>
  <c r="C183" i="71"/>
  <c r="F183" i="71"/>
  <c r="V183" i="71" s="1"/>
  <c r="C184" i="71"/>
  <c r="F184" i="71"/>
  <c r="V184" i="71" s="1"/>
  <c r="C185" i="71"/>
  <c r="F185" i="71"/>
  <c r="V185" i="71" s="1"/>
  <c r="C186" i="71"/>
  <c r="F186" i="71"/>
  <c r="V186" i="71" s="1"/>
  <c r="C187" i="71"/>
  <c r="F187" i="71"/>
  <c r="V187" i="71" s="1"/>
  <c r="C188" i="71"/>
  <c r="F188" i="71"/>
  <c r="V188" i="71" s="1"/>
  <c r="C189" i="71"/>
  <c r="F189" i="71"/>
  <c r="V189" i="71" s="1"/>
  <c r="C190" i="71"/>
  <c r="F190" i="71"/>
  <c r="V190" i="71" s="1"/>
  <c r="C191" i="71"/>
  <c r="F191" i="71"/>
  <c r="V191" i="71" s="1"/>
  <c r="C192" i="71"/>
  <c r="F192" i="71"/>
  <c r="V192" i="71" s="1"/>
  <c r="C193" i="71"/>
  <c r="F193" i="71"/>
  <c r="V193" i="71" s="1"/>
  <c r="C194" i="71"/>
  <c r="F194" i="71"/>
  <c r="V194" i="71" s="1"/>
  <c r="C195" i="71"/>
  <c r="F195" i="71"/>
  <c r="V195" i="71" s="1"/>
  <c r="C196" i="71"/>
  <c r="F196" i="71"/>
  <c r="V196" i="71" s="1"/>
  <c r="C197" i="71"/>
  <c r="F197" i="71"/>
  <c r="V197" i="71" s="1"/>
  <c r="C198" i="71"/>
  <c r="F198" i="71"/>
  <c r="V198" i="71" s="1"/>
  <c r="C199" i="71"/>
  <c r="F199" i="71"/>
  <c r="V199" i="71" s="1"/>
  <c r="C200" i="71"/>
  <c r="F200" i="71"/>
  <c r="V200" i="71" s="1"/>
  <c r="C201" i="71"/>
  <c r="F201" i="71"/>
  <c r="V201" i="71" s="1"/>
  <c r="C202" i="71"/>
  <c r="F202" i="71"/>
  <c r="V202" i="71" s="1"/>
  <c r="C203" i="71"/>
  <c r="F203" i="71"/>
  <c r="V203" i="71" s="1"/>
  <c r="C204" i="71"/>
  <c r="F204" i="71"/>
  <c r="V204" i="71" s="1"/>
  <c r="C205" i="71"/>
  <c r="F205" i="71"/>
  <c r="V205" i="71" s="1"/>
  <c r="C206" i="71"/>
  <c r="F206" i="71"/>
  <c r="V206" i="71" s="1"/>
  <c r="C207" i="71"/>
  <c r="F207" i="71"/>
  <c r="V207" i="71" s="1"/>
  <c r="C208" i="71"/>
  <c r="F208" i="71"/>
  <c r="V208" i="71" s="1"/>
  <c r="C209" i="71"/>
  <c r="F209" i="71"/>
  <c r="V209" i="71" s="1"/>
  <c r="C210" i="71"/>
  <c r="F210" i="71"/>
  <c r="V210" i="71" s="1"/>
  <c r="C211" i="71"/>
  <c r="F211" i="71"/>
  <c r="V211" i="71" s="1"/>
  <c r="C212" i="71"/>
  <c r="F212" i="71"/>
  <c r="V212" i="71" s="1"/>
  <c r="C213" i="71"/>
  <c r="F213" i="71"/>
  <c r="V213" i="71" s="1"/>
  <c r="C214" i="71"/>
  <c r="F214" i="71"/>
  <c r="V214" i="71" s="1"/>
  <c r="C215" i="71"/>
  <c r="F215" i="71"/>
  <c r="V215" i="71" s="1"/>
  <c r="C216" i="71"/>
  <c r="F216" i="71"/>
  <c r="V216" i="71" s="1"/>
  <c r="C217" i="71"/>
  <c r="F217" i="71"/>
  <c r="V217" i="71" s="1"/>
  <c r="C218" i="71"/>
  <c r="F218" i="71"/>
  <c r="V218" i="71" s="1"/>
  <c r="C219" i="71"/>
  <c r="F219" i="71"/>
  <c r="V219" i="71" s="1"/>
  <c r="C220" i="71"/>
  <c r="F220" i="71"/>
  <c r="V220" i="71" s="1"/>
  <c r="C221" i="71"/>
  <c r="F221" i="71"/>
  <c r="V221" i="71" s="1"/>
  <c r="C222" i="71"/>
  <c r="F222" i="71"/>
  <c r="V222" i="71" s="1"/>
  <c r="C223" i="71"/>
  <c r="F223" i="71"/>
  <c r="V223" i="71" s="1"/>
  <c r="C224" i="71"/>
  <c r="F224" i="71"/>
  <c r="V224" i="71" s="1"/>
  <c r="C225" i="71"/>
  <c r="F225" i="71"/>
  <c r="V225" i="71" s="1"/>
  <c r="C226" i="71"/>
  <c r="F226" i="71"/>
  <c r="V226" i="71" s="1"/>
  <c r="C227" i="71"/>
  <c r="F227" i="71"/>
  <c r="V227" i="71" s="1"/>
  <c r="C228" i="71"/>
  <c r="F228" i="71"/>
  <c r="V228" i="71" s="1"/>
  <c r="C229" i="71"/>
  <c r="F229" i="71"/>
  <c r="V229" i="71" s="1"/>
  <c r="C230" i="71"/>
  <c r="F230" i="71"/>
  <c r="V230" i="71" s="1"/>
  <c r="C231" i="71"/>
  <c r="F231" i="71"/>
  <c r="V231" i="71" s="1"/>
  <c r="C232" i="71"/>
  <c r="F232" i="71"/>
  <c r="V232" i="71" s="1"/>
  <c r="C233" i="71"/>
  <c r="F233" i="71"/>
  <c r="V233" i="71" s="1"/>
  <c r="C234" i="71"/>
  <c r="F234" i="71"/>
  <c r="V234" i="71" s="1"/>
  <c r="C235" i="71"/>
  <c r="F235" i="71"/>
  <c r="V235" i="71" s="1"/>
  <c r="C236" i="71"/>
  <c r="F236" i="71"/>
  <c r="V236" i="71" s="1"/>
  <c r="C237" i="71"/>
  <c r="F237" i="71"/>
  <c r="V237" i="71" s="1"/>
  <c r="C238" i="71"/>
  <c r="F238" i="71"/>
  <c r="V238" i="71" s="1"/>
  <c r="C239" i="71"/>
  <c r="F239" i="71"/>
  <c r="V239" i="71" s="1"/>
  <c r="C240" i="71"/>
  <c r="F240" i="71"/>
  <c r="V240" i="71" s="1"/>
  <c r="C241" i="71"/>
  <c r="F241" i="71"/>
  <c r="V241" i="71" s="1"/>
  <c r="C242" i="71"/>
  <c r="F242" i="71"/>
  <c r="V242" i="71" s="1"/>
  <c r="C243" i="71"/>
  <c r="F243" i="71"/>
  <c r="V243" i="71" s="1"/>
  <c r="C244" i="71"/>
  <c r="F244" i="71"/>
  <c r="V244" i="71" s="1"/>
  <c r="C245" i="71"/>
  <c r="F245" i="71"/>
  <c r="V245" i="71" s="1"/>
  <c r="C246" i="71"/>
  <c r="F246" i="71"/>
  <c r="V246" i="71" s="1"/>
  <c r="C247" i="71"/>
  <c r="F247" i="71"/>
  <c r="V247" i="71" s="1"/>
  <c r="C248" i="71"/>
  <c r="F248" i="71"/>
  <c r="V248" i="71" s="1"/>
  <c r="C249" i="71"/>
  <c r="F249" i="71"/>
  <c r="V249" i="71" s="1"/>
  <c r="C250" i="71"/>
  <c r="F250" i="71"/>
  <c r="V250" i="71" s="1"/>
  <c r="C251" i="71"/>
  <c r="F251" i="71"/>
  <c r="V251" i="71" s="1"/>
  <c r="C252" i="71"/>
  <c r="F252" i="71"/>
  <c r="V252" i="71" s="1"/>
  <c r="C253" i="71"/>
  <c r="F253" i="71"/>
  <c r="V253" i="71" s="1"/>
  <c r="C254" i="71"/>
  <c r="F254" i="71"/>
  <c r="V254" i="71" s="1"/>
  <c r="C255" i="71"/>
  <c r="F255" i="71"/>
  <c r="V255" i="71" s="1"/>
  <c r="C256" i="71"/>
  <c r="F256" i="71"/>
  <c r="V256" i="71" s="1"/>
  <c r="F15" i="71"/>
  <c r="V15" i="71" s="1"/>
  <c r="C15" i="71"/>
  <c r="F14" i="71"/>
  <c r="V14" i="71" s="1"/>
  <c r="C14" i="71"/>
  <c r="F13" i="71"/>
  <c r="V13" i="71" s="1"/>
  <c r="C13" i="71"/>
  <c r="F12" i="71"/>
  <c r="C12" i="71"/>
  <c r="F11" i="71"/>
  <c r="C11" i="71"/>
  <c r="A16" i="59"/>
  <c r="G16" i="59"/>
  <c r="A17" i="59"/>
  <c r="G17" i="59"/>
  <c r="A18" i="59"/>
  <c r="G18" i="59"/>
  <c r="A19" i="59"/>
  <c r="G19" i="59"/>
  <c r="A20" i="59"/>
  <c r="G20" i="59"/>
  <c r="A21" i="59"/>
  <c r="G21" i="59"/>
  <c r="A22" i="59"/>
  <c r="G22" i="59"/>
  <c r="A23" i="59"/>
  <c r="G23" i="59"/>
  <c r="A24" i="59"/>
  <c r="G24" i="59"/>
  <c r="A25" i="59"/>
  <c r="G25" i="59"/>
  <c r="A26" i="59"/>
  <c r="G26" i="59"/>
  <c r="A27" i="59"/>
  <c r="G27" i="59"/>
  <c r="A28" i="59"/>
  <c r="G28" i="59"/>
  <c r="A29" i="59"/>
  <c r="G29" i="59"/>
  <c r="A30" i="59"/>
  <c r="G30" i="59"/>
  <c r="A31" i="59"/>
  <c r="G31" i="59"/>
  <c r="A32" i="59"/>
  <c r="G32" i="59"/>
  <c r="A33" i="59"/>
  <c r="G33" i="59"/>
  <c r="A34" i="59"/>
  <c r="G34" i="59"/>
  <c r="A35" i="59"/>
  <c r="G35" i="59"/>
  <c r="A36" i="59"/>
  <c r="G36" i="59"/>
  <c r="A37" i="59"/>
  <c r="G37" i="59"/>
  <c r="A38" i="59"/>
  <c r="G38" i="59"/>
  <c r="A39" i="59"/>
  <c r="G39" i="59"/>
  <c r="A40" i="59"/>
  <c r="G40" i="59"/>
  <c r="A41" i="59"/>
  <c r="G41" i="59"/>
  <c r="A42" i="59"/>
  <c r="G42" i="59"/>
  <c r="A43" i="59"/>
  <c r="G43" i="59"/>
  <c r="A44" i="59"/>
  <c r="G44" i="59"/>
  <c r="A45" i="59"/>
  <c r="G45" i="59"/>
  <c r="A46" i="59"/>
  <c r="G46" i="59"/>
  <c r="A47" i="59"/>
  <c r="G47" i="59"/>
  <c r="A48" i="59"/>
  <c r="G48" i="59"/>
  <c r="A49" i="59"/>
  <c r="G49" i="59"/>
  <c r="A50" i="59"/>
  <c r="G50" i="59"/>
  <c r="A51" i="59"/>
  <c r="G51" i="59"/>
  <c r="A52" i="59"/>
  <c r="G52" i="59"/>
  <c r="A53" i="59"/>
  <c r="G53" i="59"/>
  <c r="A54" i="59"/>
  <c r="G54" i="59"/>
  <c r="A55" i="59"/>
  <c r="G55" i="59"/>
  <c r="A56" i="59"/>
  <c r="G56" i="59"/>
  <c r="A57" i="59"/>
  <c r="G57" i="59"/>
  <c r="A58" i="59"/>
  <c r="G58" i="59"/>
  <c r="A59" i="59"/>
  <c r="G59" i="59"/>
  <c r="A60" i="59"/>
  <c r="G60" i="59"/>
  <c r="A61" i="59"/>
  <c r="G61" i="59"/>
  <c r="A62" i="59"/>
  <c r="G62" i="59"/>
  <c r="A63" i="59"/>
  <c r="G63" i="59"/>
  <c r="A64" i="59"/>
  <c r="G64" i="59"/>
  <c r="A65" i="59"/>
  <c r="G65" i="59"/>
  <c r="A66" i="59"/>
  <c r="G66" i="59"/>
  <c r="A67" i="59"/>
  <c r="G67" i="59"/>
  <c r="A68" i="59"/>
  <c r="G68" i="59"/>
  <c r="A69" i="59"/>
  <c r="G69" i="59"/>
  <c r="A70" i="59"/>
  <c r="G70" i="59"/>
  <c r="A71" i="59"/>
  <c r="G71" i="59"/>
  <c r="A72" i="59"/>
  <c r="G72" i="59"/>
  <c r="A73" i="59"/>
  <c r="G73" i="59"/>
  <c r="A74" i="59"/>
  <c r="G74" i="59"/>
  <c r="A75" i="59"/>
  <c r="G75" i="59"/>
  <c r="A76" i="59"/>
  <c r="G76" i="59"/>
  <c r="A77" i="59"/>
  <c r="G77" i="59"/>
  <c r="A78" i="59"/>
  <c r="G78" i="59"/>
  <c r="A79" i="59"/>
  <c r="G79" i="59"/>
  <c r="A80" i="59"/>
  <c r="G80" i="59"/>
  <c r="A81" i="59"/>
  <c r="G81" i="59"/>
  <c r="A82" i="59"/>
  <c r="G82" i="59"/>
  <c r="A83" i="59"/>
  <c r="G83" i="59"/>
  <c r="A84" i="59"/>
  <c r="G84" i="59"/>
  <c r="A85" i="59"/>
  <c r="G85" i="59"/>
  <c r="A86" i="59"/>
  <c r="G86" i="59"/>
  <c r="A87" i="59"/>
  <c r="G87" i="59"/>
  <c r="A88" i="59"/>
  <c r="G88" i="59"/>
  <c r="A89" i="59"/>
  <c r="G89" i="59"/>
  <c r="A90" i="59"/>
  <c r="G90" i="59"/>
  <c r="A91" i="59"/>
  <c r="G91" i="59"/>
  <c r="A92" i="59"/>
  <c r="G92" i="59"/>
  <c r="A93" i="59"/>
  <c r="G93" i="59"/>
  <c r="A94" i="59"/>
  <c r="G94" i="59"/>
  <c r="A95" i="59"/>
  <c r="G95" i="59"/>
  <c r="A96" i="59"/>
  <c r="G96" i="59"/>
  <c r="A97" i="59"/>
  <c r="G97" i="59"/>
  <c r="A98" i="59"/>
  <c r="G98" i="59"/>
  <c r="A99" i="59"/>
  <c r="G99" i="59"/>
  <c r="A100" i="59"/>
  <c r="G100" i="59"/>
  <c r="A101" i="59"/>
  <c r="G101" i="59"/>
  <c r="A102" i="59"/>
  <c r="G102" i="59"/>
  <c r="A103" i="59"/>
  <c r="G103" i="59"/>
  <c r="A104" i="59"/>
  <c r="G104" i="59"/>
  <c r="A105" i="59"/>
  <c r="G105" i="59"/>
  <c r="A106" i="59"/>
  <c r="G106" i="59"/>
  <c r="A107" i="59"/>
  <c r="G107" i="59"/>
  <c r="A108" i="59"/>
  <c r="G108" i="59"/>
  <c r="A109" i="59"/>
  <c r="G109" i="59"/>
  <c r="A110" i="59"/>
  <c r="G110" i="59"/>
  <c r="A111" i="59"/>
  <c r="G111" i="59"/>
  <c r="A112" i="59"/>
  <c r="G112" i="59"/>
  <c r="A113" i="59"/>
  <c r="G113" i="59"/>
  <c r="A114" i="59"/>
  <c r="G114" i="59"/>
  <c r="A115" i="59"/>
  <c r="G115" i="59"/>
  <c r="A116" i="59"/>
  <c r="G116" i="59"/>
  <c r="A117" i="59"/>
  <c r="G117" i="59"/>
  <c r="A118" i="59"/>
  <c r="G118" i="59"/>
  <c r="A119" i="59"/>
  <c r="G119" i="59"/>
  <c r="A120" i="59"/>
  <c r="G120" i="59"/>
  <c r="A121" i="59"/>
  <c r="G121" i="59"/>
  <c r="A122" i="59"/>
  <c r="G122" i="59"/>
  <c r="A123" i="59"/>
  <c r="G123" i="59"/>
  <c r="A124" i="59"/>
  <c r="G124" i="59"/>
  <c r="A125" i="59"/>
  <c r="G125" i="59"/>
  <c r="A126" i="59"/>
  <c r="G126" i="59"/>
  <c r="A127" i="59"/>
  <c r="G127" i="59"/>
  <c r="A128" i="59"/>
  <c r="G128" i="59"/>
  <c r="A129" i="59"/>
  <c r="G129" i="59"/>
  <c r="A130" i="59"/>
  <c r="G130" i="59"/>
  <c r="A131" i="59"/>
  <c r="G131" i="59"/>
  <c r="A132" i="59"/>
  <c r="G132" i="59"/>
  <c r="A133" i="59"/>
  <c r="G133" i="59"/>
  <c r="A134" i="59"/>
  <c r="G134" i="59"/>
  <c r="A135" i="59"/>
  <c r="G135" i="59"/>
  <c r="A136" i="59"/>
  <c r="G136" i="59"/>
  <c r="A137" i="59"/>
  <c r="G137" i="59"/>
  <c r="A138" i="59"/>
  <c r="G138" i="59"/>
  <c r="A139" i="59"/>
  <c r="G139" i="59"/>
  <c r="A140" i="59"/>
  <c r="G140" i="59"/>
  <c r="A141" i="59"/>
  <c r="G141" i="59"/>
  <c r="A142" i="59"/>
  <c r="G142" i="59"/>
  <c r="A143" i="59"/>
  <c r="G143" i="59"/>
  <c r="A144" i="59"/>
  <c r="G144" i="59"/>
  <c r="A145" i="59"/>
  <c r="G145" i="59"/>
  <c r="A146" i="59"/>
  <c r="G146" i="59"/>
  <c r="A147" i="59"/>
  <c r="G147" i="59"/>
  <c r="A148" i="59"/>
  <c r="G148" i="59"/>
  <c r="A149" i="59"/>
  <c r="G149" i="59"/>
  <c r="A150" i="59"/>
  <c r="G150" i="59"/>
  <c r="A151" i="59"/>
  <c r="G151" i="59"/>
  <c r="A152" i="59"/>
  <c r="G152" i="59"/>
  <c r="A153" i="59"/>
  <c r="G153" i="59"/>
  <c r="A154" i="59"/>
  <c r="G154" i="59"/>
  <c r="A155" i="59"/>
  <c r="G155" i="59"/>
  <c r="A156" i="59"/>
  <c r="G156" i="59"/>
  <c r="A157" i="59"/>
  <c r="G157" i="59"/>
  <c r="A158" i="59"/>
  <c r="G158" i="59"/>
  <c r="A159" i="59"/>
  <c r="G159" i="59"/>
  <c r="A160" i="59"/>
  <c r="G160" i="59"/>
  <c r="A161" i="59"/>
  <c r="G161" i="59"/>
  <c r="A162" i="59"/>
  <c r="G162" i="59"/>
  <c r="A163" i="59"/>
  <c r="G163" i="59"/>
  <c r="A164" i="59"/>
  <c r="G164" i="59"/>
  <c r="A165" i="59"/>
  <c r="G165" i="59"/>
  <c r="A166" i="59"/>
  <c r="G166" i="59"/>
  <c r="A167" i="59"/>
  <c r="G167" i="59"/>
  <c r="A168" i="59"/>
  <c r="G168" i="59"/>
  <c r="A169" i="59"/>
  <c r="G169" i="59"/>
  <c r="A170" i="59"/>
  <c r="G170" i="59"/>
  <c r="A171" i="59"/>
  <c r="G171" i="59"/>
  <c r="A172" i="59"/>
  <c r="G172" i="59"/>
  <c r="A173" i="59"/>
  <c r="G173" i="59"/>
  <c r="A174" i="59"/>
  <c r="G174" i="59"/>
  <c r="A175" i="59"/>
  <c r="G175" i="59"/>
  <c r="A176" i="59"/>
  <c r="G176" i="59"/>
  <c r="A177" i="59"/>
  <c r="G177" i="59"/>
  <c r="A178" i="59"/>
  <c r="G178" i="59"/>
  <c r="A179" i="59"/>
  <c r="G179" i="59"/>
  <c r="A180" i="59"/>
  <c r="G180" i="59"/>
  <c r="A181" i="59"/>
  <c r="G181" i="59"/>
  <c r="A182" i="59"/>
  <c r="G182" i="59"/>
  <c r="A183" i="59"/>
  <c r="G183" i="59"/>
  <c r="A184" i="59"/>
  <c r="G184" i="59"/>
  <c r="A185" i="59"/>
  <c r="G185" i="59"/>
  <c r="A186" i="59"/>
  <c r="G186" i="59"/>
  <c r="A187" i="59"/>
  <c r="G187" i="59"/>
  <c r="A188" i="59"/>
  <c r="G188" i="59"/>
  <c r="A189" i="59"/>
  <c r="G189" i="59"/>
  <c r="A190" i="59"/>
  <c r="G190" i="59"/>
  <c r="A191" i="59"/>
  <c r="G191" i="59"/>
  <c r="A192" i="59"/>
  <c r="G192" i="59"/>
  <c r="A193" i="59"/>
  <c r="G193" i="59"/>
  <c r="A194" i="59"/>
  <c r="G194" i="59"/>
  <c r="A195" i="59"/>
  <c r="G195" i="59"/>
  <c r="A196" i="59"/>
  <c r="G196" i="59"/>
  <c r="A197" i="59"/>
  <c r="G197" i="59"/>
  <c r="A198" i="59"/>
  <c r="G198" i="59"/>
  <c r="A199" i="59"/>
  <c r="G199" i="59"/>
  <c r="A200" i="59"/>
  <c r="G200" i="59"/>
  <c r="A201" i="59"/>
  <c r="G201" i="59"/>
  <c r="A202" i="59"/>
  <c r="G202" i="59"/>
  <c r="A203" i="59"/>
  <c r="G203" i="59"/>
  <c r="A204" i="59"/>
  <c r="G204" i="59"/>
  <c r="A205" i="59"/>
  <c r="G205" i="59"/>
  <c r="A206" i="59"/>
  <c r="G206" i="59"/>
  <c r="A207" i="59"/>
  <c r="G207" i="59"/>
  <c r="A208" i="59"/>
  <c r="G208" i="59"/>
  <c r="A209" i="59"/>
  <c r="G209" i="59"/>
  <c r="A210" i="59"/>
  <c r="G210" i="59"/>
  <c r="A211" i="59"/>
  <c r="G211" i="59"/>
  <c r="A212" i="59"/>
  <c r="G212" i="59"/>
  <c r="A213" i="59"/>
  <c r="G213" i="59"/>
  <c r="A214" i="59"/>
  <c r="G214" i="59"/>
  <c r="A215" i="59"/>
  <c r="G215" i="59"/>
  <c r="A216" i="59"/>
  <c r="G216" i="59"/>
  <c r="A217" i="59"/>
  <c r="G217" i="59"/>
  <c r="A218" i="59"/>
  <c r="G218" i="59"/>
  <c r="A219" i="59"/>
  <c r="G219" i="59"/>
  <c r="A220" i="59"/>
  <c r="G220" i="59"/>
  <c r="A221" i="59"/>
  <c r="G221" i="59"/>
  <c r="A222" i="59"/>
  <c r="G222" i="59"/>
  <c r="A223" i="59"/>
  <c r="G223" i="59"/>
  <c r="A224" i="59"/>
  <c r="G224" i="59"/>
  <c r="A225" i="59"/>
  <c r="G225" i="59"/>
  <c r="A226" i="59"/>
  <c r="G226" i="59"/>
  <c r="A227" i="59"/>
  <c r="G227" i="59"/>
  <c r="A228" i="59"/>
  <c r="G228" i="59"/>
  <c r="A229" i="59"/>
  <c r="G229" i="59"/>
  <c r="A230" i="59"/>
  <c r="G230" i="59"/>
  <c r="A231" i="59"/>
  <c r="G231" i="59"/>
  <c r="A232" i="59"/>
  <c r="G232" i="59"/>
  <c r="A233" i="59"/>
  <c r="G233" i="59"/>
  <c r="A234" i="59"/>
  <c r="G234" i="59"/>
  <c r="A235" i="59"/>
  <c r="G235" i="59"/>
  <c r="A236" i="59"/>
  <c r="G236" i="59"/>
  <c r="A237" i="59"/>
  <c r="G237" i="59"/>
  <c r="A238" i="59"/>
  <c r="G238" i="59"/>
  <c r="A239" i="59"/>
  <c r="G239" i="59"/>
  <c r="A240" i="59"/>
  <c r="G240" i="59"/>
  <c r="A241" i="59"/>
  <c r="G241" i="59"/>
  <c r="A242" i="59"/>
  <c r="G242" i="59"/>
  <c r="A243" i="59"/>
  <c r="G243" i="59"/>
  <c r="A244" i="59"/>
  <c r="G244" i="59"/>
  <c r="A245" i="59"/>
  <c r="G245" i="59"/>
  <c r="A246" i="59"/>
  <c r="G246" i="59"/>
  <c r="A247" i="59"/>
  <c r="G247" i="59"/>
  <c r="A248" i="59"/>
  <c r="G248" i="59"/>
  <c r="A249" i="59"/>
  <c r="G249" i="59"/>
  <c r="A250" i="59"/>
  <c r="G250" i="59"/>
  <c r="A251" i="59"/>
  <c r="G251" i="59"/>
  <c r="A252" i="59"/>
  <c r="G252" i="59"/>
  <c r="A253" i="59"/>
  <c r="G253" i="59"/>
  <c r="A254" i="59"/>
  <c r="G254" i="59"/>
  <c r="A255" i="59"/>
  <c r="G255" i="59"/>
  <c r="A256" i="59"/>
  <c r="G256" i="59"/>
  <c r="A257" i="59"/>
  <c r="G257" i="59"/>
  <c r="A258" i="59"/>
  <c r="G258" i="59"/>
  <c r="G14" i="59"/>
  <c r="G15" i="59"/>
  <c r="A12" i="59"/>
  <c r="G12" i="59"/>
  <c r="P12" i="59" s="1"/>
  <c r="A13" i="59"/>
  <c r="G13" i="59"/>
  <c r="A14" i="59"/>
  <c r="A15" i="59"/>
  <c r="G11" i="59"/>
  <c r="A11" i="59"/>
  <c r="C11" i="46"/>
  <c r="D3" i="46"/>
  <c r="C12" i="46"/>
  <c r="C13" i="46"/>
  <c r="C14" i="46"/>
  <c r="C15" i="46"/>
  <c r="C16" i="46"/>
  <c r="F16" i="46"/>
  <c r="C17" i="46"/>
  <c r="F17" i="46"/>
  <c r="C18" i="46"/>
  <c r="F18" i="46"/>
  <c r="V18" i="46" s="1"/>
  <c r="C19" i="46"/>
  <c r="F19" i="46"/>
  <c r="V19" i="46" s="1"/>
  <c r="C20" i="46"/>
  <c r="F20" i="46"/>
  <c r="V20" i="46" s="1"/>
  <c r="C21" i="46"/>
  <c r="F21" i="46"/>
  <c r="V21" i="46" s="1"/>
  <c r="C22" i="46"/>
  <c r="F22" i="46"/>
  <c r="V22" i="46" s="1"/>
  <c r="C23" i="46"/>
  <c r="F23" i="46"/>
  <c r="V23" i="46" s="1"/>
  <c r="C24" i="46"/>
  <c r="F24" i="46"/>
  <c r="V24" i="46" s="1"/>
  <c r="C25" i="46"/>
  <c r="F25" i="46"/>
  <c r="V25" i="46" s="1"/>
  <c r="C26" i="46"/>
  <c r="F26" i="46"/>
  <c r="V26" i="46" s="1"/>
  <c r="C27" i="46"/>
  <c r="F27" i="46"/>
  <c r="V27" i="46" s="1"/>
  <c r="C28" i="46"/>
  <c r="F28" i="46"/>
  <c r="V28" i="46" s="1"/>
  <c r="C29" i="46"/>
  <c r="F29" i="46"/>
  <c r="V29" i="46" s="1"/>
  <c r="C30" i="46"/>
  <c r="F30" i="46"/>
  <c r="V30" i="46" s="1"/>
  <c r="C31" i="46"/>
  <c r="F31" i="46"/>
  <c r="V31" i="46" s="1"/>
  <c r="C32" i="46"/>
  <c r="F32" i="46"/>
  <c r="V32" i="46" s="1"/>
  <c r="C33" i="46"/>
  <c r="F33" i="46"/>
  <c r="V33" i="46" s="1"/>
  <c r="C34" i="46"/>
  <c r="F34" i="46"/>
  <c r="V34" i="46" s="1"/>
  <c r="C35" i="46"/>
  <c r="F35" i="46"/>
  <c r="V35" i="46" s="1"/>
  <c r="C36" i="46"/>
  <c r="F36" i="46"/>
  <c r="V36" i="46" s="1"/>
  <c r="C37" i="46"/>
  <c r="F37" i="46"/>
  <c r="V37" i="46" s="1"/>
  <c r="C38" i="46"/>
  <c r="F38" i="46"/>
  <c r="V38" i="46" s="1"/>
  <c r="C39" i="46"/>
  <c r="F39" i="46"/>
  <c r="V39" i="46" s="1"/>
  <c r="C40" i="46"/>
  <c r="F40" i="46"/>
  <c r="V40" i="46" s="1"/>
  <c r="C41" i="46"/>
  <c r="F41" i="46"/>
  <c r="V41" i="46" s="1"/>
  <c r="C42" i="46"/>
  <c r="F42" i="46"/>
  <c r="V42" i="46" s="1"/>
  <c r="C43" i="46"/>
  <c r="F43" i="46"/>
  <c r="V43" i="46" s="1"/>
  <c r="C44" i="46"/>
  <c r="F44" i="46"/>
  <c r="V44" i="46" s="1"/>
  <c r="C45" i="46"/>
  <c r="F45" i="46"/>
  <c r="V45" i="46" s="1"/>
  <c r="C46" i="46"/>
  <c r="F46" i="46"/>
  <c r="V46" i="46" s="1"/>
  <c r="C47" i="46"/>
  <c r="F47" i="46"/>
  <c r="V47" i="46" s="1"/>
  <c r="C48" i="46"/>
  <c r="F48" i="46"/>
  <c r="V48" i="46" s="1"/>
  <c r="C49" i="46"/>
  <c r="F49" i="46"/>
  <c r="V49" i="46" s="1"/>
  <c r="C50" i="46"/>
  <c r="F50" i="46"/>
  <c r="V50" i="46" s="1"/>
  <c r="C51" i="46"/>
  <c r="F51" i="46"/>
  <c r="V51" i="46" s="1"/>
  <c r="C52" i="46"/>
  <c r="F52" i="46"/>
  <c r="V52" i="46" s="1"/>
  <c r="C53" i="46"/>
  <c r="F53" i="46"/>
  <c r="V53" i="46" s="1"/>
  <c r="C54" i="46"/>
  <c r="F54" i="46"/>
  <c r="V54" i="46" s="1"/>
  <c r="C55" i="46"/>
  <c r="F55" i="46"/>
  <c r="V55" i="46" s="1"/>
  <c r="C56" i="46"/>
  <c r="F56" i="46"/>
  <c r="V56" i="46" s="1"/>
  <c r="C57" i="46"/>
  <c r="F57" i="46"/>
  <c r="V57" i="46" s="1"/>
  <c r="C58" i="46"/>
  <c r="F58" i="46"/>
  <c r="V58" i="46" s="1"/>
  <c r="C59" i="46"/>
  <c r="F59" i="46"/>
  <c r="V59" i="46" s="1"/>
  <c r="C60" i="46"/>
  <c r="F60" i="46"/>
  <c r="V60" i="46" s="1"/>
  <c r="C61" i="46"/>
  <c r="F61" i="46"/>
  <c r="V61" i="46" s="1"/>
  <c r="C62" i="46"/>
  <c r="F62" i="46"/>
  <c r="V62" i="46" s="1"/>
  <c r="C63" i="46"/>
  <c r="F63" i="46"/>
  <c r="V63" i="46" s="1"/>
  <c r="C64" i="46"/>
  <c r="F64" i="46"/>
  <c r="V64" i="46" s="1"/>
  <c r="C65" i="46"/>
  <c r="F65" i="46"/>
  <c r="V65" i="46" s="1"/>
  <c r="C66" i="46"/>
  <c r="F66" i="46"/>
  <c r="V66" i="46" s="1"/>
  <c r="C67" i="46"/>
  <c r="F67" i="46"/>
  <c r="V67" i="46" s="1"/>
  <c r="C68" i="46"/>
  <c r="F68" i="46"/>
  <c r="V68" i="46" s="1"/>
  <c r="C69" i="46"/>
  <c r="F69" i="46"/>
  <c r="V69" i="46" s="1"/>
  <c r="C70" i="46"/>
  <c r="F70" i="46"/>
  <c r="V70" i="46" s="1"/>
  <c r="C71" i="46"/>
  <c r="F71" i="46"/>
  <c r="V71" i="46" s="1"/>
  <c r="C72" i="46"/>
  <c r="F72" i="46"/>
  <c r="V72" i="46" s="1"/>
  <c r="C73" i="46"/>
  <c r="F73" i="46"/>
  <c r="V73" i="46" s="1"/>
  <c r="C74" i="46"/>
  <c r="F74" i="46"/>
  <c r="V74" i="46" s="1"/>
  <c r="C75" i="46"/>
  <c r="F75" i="46"/>
  <c r="V75" i="46" s="1"/>
  <c r="C76" i="46"/>
  <c r="F76" i="46"/>
  <c r="V76" i="46" s="1"/>
  <c r="C77" i="46"/>
  <c r="F77" i="46"/>
  <c r="V77" i="46" s="1"/>
  <c r="C78" i="46"/>
  <c r="F78" i="46"/>
  <c r="V78" i="46" s="1"/>
  <c r="C79" i="46"/>
  <c r="F79" i="46"/>
  <c r="V79" i="46" s="1"/>
  <c r="C80" i="46"/>
  <c r="F80" i="46"/>
  <c r="V80" i="46" s="1"/>
  <c r="C81" i="46"/>
  <c r="F81" i="46"/>
  <c r="V81" i="46" s="1"/>
  <c r="C82" i="46"/>
  <c r="F82" i="46"/>
  <c r="V82" i="46" s="1"/>
  <c r="C83" i="46"/>
  <c r="F83" i="46"/>
  <c r="V83" i="46" s="1"/>
  <c r="C84" i="46"/>
  <c r="F84" i="46"/>
  <c r="V84" i="46" s="1"/>
  <c r="C85" i="46"/>
  <c r="F85" i="46"/>
  <c r="V85" i="46" s="1"/>
  <c r="C86" i="46"/>
  <c r="F86" i="46"/>
  <c r="V86" i="46" s="1"/>
  <c r="C87" i="46"/>
  <c r="F87" i="46"/>
  <c r="V87" i="46" s="1"/>
  <c r="C88" i="46"/>
  <c r="F88" i="46"/>
  <c r="V88" i="46" s="1"/>
  <c r="C89" i="46"/>
  <c r="F89" i="46"/>
  <c r="V89" i="46" s="1"/>
  <c r="C90" i="46"/>
  <c r="F90" i="46"/>
  <c r="V90" i="46" s="1"/>
  <c r="C91" i="46"/>
  <c r="F91" i="46"/>
  <c r="V91" i="46" s="1"/>
  <c r="C92" i="46"/>
  <c r="F92" i="46"/>
  <c r="V92" i="46" s="1"/>
  <c r="C93" i="46"/>
  <c r="F93" i="46"/>
  <c r="V93" i="46" s="1"/>
  <c r="C94" i="46"/>
  <c r="F94" i="46"/>
  <c r="V94" i="46" s="1"/>
  <c r="C95" i="46"/>
  <c r="F95" i="46"/>
  <c r="V95" i="46" s="1"/>
  <c r="C96" i="46"/>
  <c r="F96" i="46"/>
  <c r="V96" i="46" s="1"/>
  <c r="C97" i="46"/>
  <c r="F97" i="46"/>
  <c r="V97" i="46" s="1"/>
  <c r="C98" i="46"/>
  <c r="F98" i="46"/>
  <c r="V98" i="46" s="1"/>
  <c r="C99" i="46"/>
  <c r="F99" i="46"/>
  <c r="V99" i="46" s="1"/>
  <c r="C100" i="46"/>
  <c r="F100" i="46"/>
  <c r="V100" i="46" s="1"/>
  <c r="C101" i="46"/>
  <c r="F101" i="46"/>
  <c r="V101" i="46" s="1"/>
  <c r="C102" i="46"/>
  <c r="F102" i="46"/>
  <c r="V102" i="46" s="1"/>
  <c r="C103" i="46"/>
  <c r="F103" i="46"/>
  <c r="V103" i="46" s="1"/>
  <c r="C104" i="46"/>
  <c r="F104" i="46"/>
  <c r="V104" i="46" s="1"/>
  <c r="C105" i="46"/>
  <c r="F105" i="46"/>
  <c r="V105" i="46" s="1"/>
  <c r="C106" i="46"/>
  <c r="F106" i="46"/>
  <c r="V106" i="46" s="1"/>
  <c r="C107" i="46"/>
  <c r="F107" i="46"/>
  <c r="V107" i="46" s="1"/>
  <c r="C108" i="46"/>
  <c r="F108" i="46"/>
  <c r="V108" i="46" s="1"/>
  <c r="C109" i="46"/>
  <c r="F109" i="46"/>
  <c r="V109" i="46" s="1"/>
  <c r="C110" i="46"/>
  <c r="F110" i="46"/>
  <c r="V110" i="46" s="1"/>
  <c r="C111" i="46"/>
  <c r="F111" i="46"/>
  <c r="V111" i="46" s="1"/>
  <c r="C112" i="46"/>
  <c r="F112" i="46"/>
  <c r="V112" i="46" s="1"/>
  <c r="C113" i="46"/>
  <c r="F113" i="46"/>
  <c r="V113" i="46" s="1"/>
  <c r="C114" i="46"/>
  <c r="F114" i="46"/>
  <c r="V114" i="46" s="1"/>
  <c r="C115" i="46"/>
  <c r="F115" i="46"/>
  <c r="V115" i="46" s="1"/>
  <c r="C116" i="46"/>
  <c r="F116" i="46"/>
  <c r="V116" i="46" s="1"/>
  <c r="C117" i="46"/>
  <c r="F117" i="46"/>
  <c r="V117" i="46" s="1"/>
  <c r="C118" i="46"/>
  <c r="F118" i="46"/>
  <c r="V118" i="46" s="1"/>
  <c r="C119" i="46"/>
  <c r="F119" i="46"/>
  <c r="V119" i="46" s="1"/>
  <c r="C120" i="46"/>
  <c r="F120" i="46"/>
  <c r="V120" i="46" s="1"/>
  <c r="C121" i="46"/>
  <c r="F121" i="46"/>
  <c r="V121" i="46" s="1"/>
  <c r="C122" i="46"/>
  <c r="F122" i="46"/>
  <c r="V122" i="46" s="1"/>
  <c r="C123" i="46"/>
  <c r="F123" i="46"/>
  <c r="V123" i="46" s="1"/>
  <c r="C124" i="46"/>
  <c r="F124" i="46"/>
  <c r="V124" i="46" s="1"/>
  <c r="C125" i="46"/>
  <c r="F125" i="46"/>
  <c r="V125" i="46" s="1"/>
  <c r="C126" i="46"/>
  <c r="F126" i="46"/>
  <c r="V126" i="46" s="1"/>
  <c r="C127" i="46"/>
  <c r="F127" i="46"/>
  <c r="V127" i="46" s="1"/>
  <c r="C128" i="46"/>
  <c r="F128" i="46"/>
  <c r="V128" i="46" s="1"/>
  <c r="C129" i="46"/>
  <c r="F129" i="46"/>
  <c r="V129" i="46" s="1"/>
  <c r="C130" i="46"/>
  <c r="F130" i="46"/>
  <c r="V130" i="46" s="1"/>
  <c r="C131" i="46"/>
  <c r="F131" i="46"/>
  <c r="V131" i="46" s="1"/>
  <c r="C132" i="46"/>
  <c r="F132" i="46"/>
  <c r="V132" i="46" s="1"/>
  <c r="C133" i="46"/>
  <c r="F133" i="46"/>
  <c r="V133" i="46" s="1"/>
  <c r="C134" i="46"/>
  <c r="F134" i="46"/>
  <c r="V134" i="46" s="1"/>
  <c r="C135" i="46"/>
  <c r="F135" i="46"/>
  <c r="V135" i="46" s="1"/>
  <c r="C136" i="46"/>
  <c r="F136" i="46"/>
  <c r="V136" i="46" s="1"/>
  <c r="C137" i="46"/>
  <c r="F137" i="46"/>
  <c r="V137" i="46" s="1"/>
  <c r="C138" i="46"/>
  <c r="F138" i="46"/>
  <c r="V138" i="46" s="1"/>
  <c r="C139" i="46"/>
  <c r="F139" i="46"/>
  <c r="V139" i="46" s="1"/>
  <c r="C140" i="46"/>
  <c r="F140" i="46"/>
  <c r="V140" i="46" s="1"/>
  <c r="C141" i="46"/>
  <c r="F141" i="46"/>
  <c r="V141" i="46" s="1"/>
  <c r="C142" i="46"/>
  <c r="F142" i="46"/>
  <c r="V142" i="46" s="1"/>
  <c r="C143" i="46"/>
  <c r="F143" i="46"/>
  <c r="V143" i="46" s="1"/>
  <c r="C144" i="46"/>
  <c r="F144" i="46"/>
  <c r="V144" i="46" s="1"/>
  <c r="C145" i="46"/>
  <c r="F145" i="46"/>
  <c r="V145" i="46" s="1"/>
  <c r="C146" i="46"/>
  <c r="F146" i="46"/>
  <c r="V146" i="46" s="1"/>
  <c r="C147" i="46"/>
  <c r="F147" i="46"/>
  <c r="V147" i="46" s="1"/>
  <c r="C148" i="46"/>
  <c r="F148" i="46"/>
  <c r="V148" i="46" s="1"/>
  <c r="C149" i="46"/>
  <c r="F149" i="46"/>
  <c r="V149" i="46" s="1"/>
  <c r="C150" i="46"/>
  <c r="F150" i="46"/>
  <c r="V150" i="46" s="1"/>
  <c r="C151" i="46"/>
  <c r="F151" i="46"/>
  <c r="V151" i="46" s="1"/>
  <c r="C152" i="46"/>
  <c r="F152" i="46"/>
  <c r="V152" i="46" s="1"/>
  <c r="C153" i="46"/>
  <c r="F153" i="46"/>
  <c r="V153" i="46" s="1"/>
  <c r="C154" i="46"/>
  <c r="F154" i="46"/>
  <c r="V154" i="46" s="1"/>
  <c r="C155" i="46"/>
  <c r="F155" i="46"/>
  <c r="V155" i="46" s="1"/>
  <c r="C156" i="46"/>
  <c r="F156" i="46"/>
  <c r="V156" i="46" s="1"/>
  <c r="C157" i="46"/>
  <c r="F157" i="46"/>
  <c r="V157" i="46" s="1"/>
  <c r="C158" i="46"/>
  <c r="F158" i="46"/>
  <c r="V158" i="46" s="1"/>
  <c r="C159" i="46"/>
  <c r="F159" i="46"/>
  <c r="V159" i="46" s="1"/>
  <c r="C160" i="46"/>
  <c r="F160" i="46"/>
  <c r="V160" i="46" s="1"/>
  <c r="C161" i="46"/>
  <c r="F161" i="46"/>
  <c r="V161" i="46" s="1"/>
  <c r="C162" i="46"/>
  <c r="F162" i="46"/>
  <c r="V162" i="46" s="1"/>
  <c r="C163" i="46"/>
  <c r="F163" i="46"/>
  <c r="V163" i="46" s="1"/>
  <c r="C164" i="46"/>
  <c r="F164" i="46"/>
  <c r="V164" i="46" s="1"/>
  <c r="C165" i="46"/>
  <c r="F165" i="46"/>
  <c r="V165" i="46" s="1"/>
  <c r="C166" i="46"/>
  <c r="F166" i="46"/>
  <c r="V166" i="46" s="1"/>
  <c r="C167" i="46"/>
  <c r="F167" i="46"/>
  <c r="V167" i="46" s="1"/>
  <c r="C168" i="46"/>
  <c r="F168" i="46"/>
  <c r="V168" i="46" s="1"/>
  <c r="C169" i="46"/>
  <c r="F169" i="46"/>
  <c r="V169" i="46" s="1"/>
  <c r="C170" i="46"/>
  <c r="F170" i="46"/>
  <c r="V170" i="46" s="1"/>
  <c r="C171" i="46"/>
  <c r="F171" i="46"/>
  <c r="V171" i="46" s="1"/>
  <c r="C172" i="46"/>
  <c r="F172" i="46"/>
  <c r="V172" i="46" s="1"/>
  <c r="C173" i="46"/>
  <c r="F173" i="46"/>
  <c r="V173" i="46" s="1"/>
  <c r="C174" i="46"/>
  <c r="F174" i="46"/>
  <c r="V174" i="46" s="1"/>
  <c r="C175" i="46"/>
  <c r="F175" i="46"/>
  <c r="V175" i="46" s="1"/>
  <c r="C176" i="46"/>
  <c r="F176" i="46"/>
  <c r="V176" i="46" s="1"/>
  <c r="C177" i="46"/>
  <c r="F177" i="46"/>
  <c r="V177" i="46" s="1"/>
  <c r="C178" i="46"/>
  <c r="F178" i="46"/>
  <c r="V178" i="46" s="1"/>
  <c r="C179" i="46"/>
  <c r="F179" i="46"/>
  <c r="V179" i="46" s="1"/>
  <c r="C180" i="46"/>
  <c r="F180" i="46"/>
  <c r="V180" i="46" s="1"/>
  <c r="C181" i="46"/>
  <c r="F181" i="46"/>
  <c r="V181" i="46" s="1"/>
  <c r="C182" i="46"/>
  <c r="F182" i="46"/>
  <c r="V182" i="46" s="1"/>
  <c r="C183" i="46"/>
  <c r="F183" i="46"/>
  <c r="V183" i="46" s="1"/>
  <c r="C184" i="46"/>
  <c r="F184" i="46"/>
  <c r="V184" i="46" s="1"/>
  <c r="C185" i="46"/>
  <c r="F185" i="46"/>
  <c r="V185" i="46" s="1"/>
  <c r="C186" i="46"/>
  <c r="F186" i="46"/>
  <c r="V186" i="46" s="1"/>
  <c r="C187" i="46"/>
  <c r="F187" i="46"/>
  <c r="V187" i="46" s="1"/>
  <c r="C188" i="46"/>
  <c r="F188" i="46"/>
  <c r="V188" i="46" s="1"/>
  <c r="C189" i="46"/>
  <c r="F189" i="46"/>
  <c r="V189" i="46" s="1"/>
  <c r="C190" i="46"/>
  <c r="F190" i="46"/>
  <c r="V190" i="46" s="1"/>
  <c r="C191" i="46"/>
  <c r="F191" i="46"/>
  <c r="V191" i="46" s="1"/>
  <c r="C192" i="46"/>
  <c r="F192" i="46"/>
  <c r="V192" i="46" s="1"/>
  <c r="C193" i="46"/>
  <c r="F193" i="46"/>
  <c r="V193" i="46" s="1"/>
  <c r="C194" i="46"/>
  <c r="F194" i="46"/>
  <c r="V194" i="46" s="1"/>
  <c r="C195" i="46"/>
  <c r="F195" i="46"/>
  <c r="V195" i="46" s="1"/>
  <c r="C196" i="46"/>
  <c r="F196" i="46"/>
  <c r="V196" i="46" s="1"/>
  <c r="C197" i="46"/>
  <c r="F197" i="46"/>
  <c r="V197" i="46" s="1"/>
  <c r="C198" i="46"/>
  <c r="F198" i="46"/>
  <c r="V198" i="46" s="1"/>
  <c r="C199" i="46"/>
  <c r="F199" i="46"/>
  <c r="V199" i="46" s="1"/>
  <c r="C200" i="46"/>
  <c r="F200" i="46"/>
  <c r="V200" i="46" s="1"/>
  <c r="C201" i="46"/>
  <c r="F201" i="46"/>
  <c r="V201" i="46" s="1"/>
  <c r="C202" i="46"/>
  <c r="F202" i="46"/>
  <c r="V202" i="46" s="1"/>
  <c r="C203" i="46"/>
  <c r="F203" i="46"/>
  <c r="V203" i="46" s="1"/>
  <c r="C204" i="46"/>
  <c r="F204" i="46"/>
  <c r="V204" i="46" s="1"/>
  <c r="C205" i="46"/>
  <c r="F205" i="46"/>
  <c r="V205" i="46" s="1"/>
  <c r="C206" i="46"/>
  <c r="F206" i="46"/>
  <c r="V206" i="46" s="1"/>
  <c r="C207" i="46"/>
  <c r="F207" i="46"/>
  <c r="V207" i="46" s="1"/>
  <c r="C208" i="46"/>
  <c r="F208" i="46"/>
  <c r="V208" i="46" s="1"/>
  <c r="C209" i="46"/>
  <c r="F209" i="46"/>
  <c r="V209" i="46" s="1"/>
  <c r="C210" i="46"/>
  <c r="F210" i="46"/>
  <c r="V210" i="46" s="1"/>
  <c r="C211" i="46"/>
  <c r="F211" i="46"/>
  <c r="V211" i="46" s="1"/>
  <c r="C212" i="46"/>
  <c r="F212" i="46"/>
  <c r="V212" i="46" s="1"/>
  <c r="C213" i="46"/>
  <c r="F213" i="46"/>
  <c r="V213" i="46" s="1"/>
  <c r="C214" i="46"/>
  <c r="F214" i="46"/>
  <c r="V214" i="46" s="1"/>
  <c r="C215" i="46"/>
  <c r="F215" i="46"/>
  <c r="V215" i="46" s="1"/>
  <c r="C216" i="46"/>
  <c r="F216" i="46"/>
  <c r="V216" i="46" s="1"/>
  <c r="C217" i="46"/>
  <c r="F217" i="46"/>
  <c r="V217" i="46" s="1"/>
  <c r="C218" i="46"/>
  <c r="F218" i="46"/>
  <c r="V218" i="46" s="1"/>
  <c r="C219" i="46"/>
  <c r="F219" i="46"/>
  <c r="V219" i="46" s="1"/>
  <c r="C220" i="46"/>
  <c r="F220" i="46"/>
  <c r="V220" i="46" s="1"/>
  <c r="C221" i="46"/>
  <c r="F221" i="46"/>
  <c r="V221" i="46" s="1"/>
  <c r="C222" i="46"/>
  <c r="F222" i="46"/>
  <c r="V222" i="46" s="1"/>
  <c r="C223" i="46"/>
  <c r="F223" i="46"/>
  <c r="V223" i="46" s="1"/>
  <c r="C224" i="46"/>
  <c r="F224" i="46"/>
  <c r="V224" i="46" s="1"/>
  <c r="C225" i="46"/>
  <c r="F225" i="46"/>
  <c r="V225" i="46" s="1"/>
  <c r="C226" i="46"/>
  <c r="F226" i="46"/>
  <c r="V226" i="46" s="1"/>
  <c r="C227" i="46"/>
  <c r="F227" i="46"/>
  <c r="V227" i="46" s="1"/>
  <c r="C228" i="46"/>
  <c r="F228" i="46"/>
  <c r="V228" i="46" s="1"/>
  <c r="C229" i="46"/>
  <c r="F229" i="46"/>
  <c r="V229" i="46" s="1"/>
  <c r="C230" i="46"/>
  <c r="F230" i="46"/>
  <c r="V230" i="46" s="1"/>
  <c r="C231" i="46"/>
  <c r="F231" i="46"/>
  <c r="V231" i="46" s="1"/>
  <c r="C232" i="46"/>
  <c r="F232" i="46"/>
  <c r="V232" i="46" s="1"/>
  <c r="C233" i="46"/>
  <c r="F233" i="46"/>
  <c r="V233" i="46" s="1"/>
  <c r="C234" i="46"/>
  <c r="F234" i="46"/>
  <c r="V234" i="46" s="1"/>
  <c r="C235" i="46"/>
  <c r="F235" i="46"/>
  <c r="V235" i="46" s="1"/>
  <c r="C236" i="46"/>
  <c r="F236" i="46"/>
  <c r="V236" i="46" s="1"/>
  <c r="C237" i="46"/>
  <c r="F237" i="46"/>
  <c r="V237" i="46" s="1"/>
  <c r="C238" i="46"/>
  <c r="F238" i="46"/>
  <c r="V238" i="46" s="1"/>
  <c r="C239" i="46"/>
  <c r="F239" i="46"/>
  <c r="V239" i="46" s="1"/>
  <c r="C240" i="46"/>
  <c r="F240" i="46"/>
  <c r="V240" i="46" s="1"/>
  <c r="C241" i="46"/>
  <c r="F241" i="46"/>
  <c r="V241" i="46" s="1"/>
  <c r="C242" i="46"/>
  <c r="F242" i="46"/>
  <c r="V242" i="46" s="1"/>
  <c r="C243" i="46"/>
  <c r="F243" i="46"/>
  <c r="V243" i="46" s="1"/>
  <c r="C244" i="46"/>
  <c r="F244" i="46"/>
  <c r="V244" i="46" s="1"/>
  <c r="C245" i="46"/>
  <c r="F245" i="46"/>
  <c r="V245" i="46" s="1"/>
  <c r="C246" i="46"/>
  <c r="F246" i="46"/>
  <c r="V246" i="46" s="1"/>
  <c r="C247" i="46"/>
  <c r="F247" i="46"/>
  <c r="V247" i="46" s="1"/>
  <c r="C248" i="46"/>
  <c r="F248" i="46"/>
  <c r="V248" i="46" s="1"/>
  <c r="C249" i="46"/>
  <c r="F249" i="46"/>
  <c r="V249" i="46" s="1"/>
  <c r="C250" i="46"/>
  <c r="F250" i="46"/>
  <c r="V250" i="46" s="1"/>
  <c r="C251" i="46"/>
  <c r="F251" i="46"/>
  <c r="V251" i="46" s="1"/>
  <c r="C252" i="46"/>
  <c r="F252" i="46"/>
  <c r="V252" i="46" s="1"/>
  <c r="C253" i="46"/>
  <c r="F253" i="46"/>
  <c r="V253" i="46" s="1"/>
  <c r="C254" i="46"/>
  <c r="F254" i="46"/>
  <c r="V254" i="46" s="1"/>
  <c r="C255" i="46"/>
  <c r="F255" i="46"/>
  <c r="V255" i="46" s="1"/>
  <c r="C256" i="46"/>
  <c r="F256" i="46"/>
  <c r="V256" i="46" s="1"/>
  <c r="A14" i="11"/>
  <c r="A15" i="11"/>
  <c r="A16" i="11"/>
  <c r="G16" i="11"/>
  <c r="A17" i="11"/>
  <c r="G17" i="11"/>
  <c r="A18" i="11"/>
  <c r="G18" i="11"/>
  <c r="P18" i="11" s="1"/>
  <c r="W18" i="11" s="1"/>
  <c r="A19" i="11"/>
  <c r="G19" i="11"/>
  <c r="A20" i="11"/>
  <c r="G20" i="11"/>
  <c r="A21" i="11"/>
  <c r="G21" i="11"/>
  <c r="A22" i="11"/>
  <c r="G22" i="11"/>
  <c r="I22" i="11" s="1"/>
  <c r="A23" i="11"/>
  <c r="G23" i="11"/>
  <c r="A24" i="11"/>
  <c r="G24" i="11"/>
  <c r="A25" i="11"/>
  <c r="G25" i="11"/>
  <c r="A26" i="11"/>
  <c r="G26" i="11"/>
  <c r="A27" i="11"/>
  <c r="G27" i="11"/>
  <c r="A28" i="11"/>
  <c r="G28" i="11"/>
  <c r="A29" i="11"/>
  <c r="G29" i="11"/>
  <c r="A30" i="11"/>
  <c r="G30" i="11"/>
  <c r="A31" i="11"/>
  <c r="G31" i="11"/>
  <c r="A32" i="11"/>
  <c r="G32" i="11"/>
  <c r="A33" i="11"/>
  <c r="G33" i="11"/>
  <c r="A34" i="11"/>
  <c r="G34" i="11"/>
  <c r="A35" i="11"/>
  <c r="G35" i="11"/>
  <c r="A36" i="11"/>
  <c r="G36" i="11"/>
  <c r="A37" i="11"/>
  <c r="G37" i="11"/>
  <c r="A38" i="11"/>
  <c r="G38" i="11"/>
  <c r="A39" i="11"/>
  <c r="G39" i="11"/>
  <c r="A40" i="11"/>
  <c r="G40" i="11"/>
  <c r="A41" i="11"/>
  <c r="G41" i="11"/>
  <c r="A42" i="11"/>
  <c r="G42" i="11"/>
  <c r="A43" i="11"/>
  <c r="G43" i="11"/>
  <c r="A44" i="11"/>
  <c r="G44" i="11"/>
  <c r="A45" i="11"/>
  <c r="G45" i="11"/>
  <c r="A46" i="11"/>
  <c r="G46" i="11"/>
  <c r="A47" i="11"/>
  <c r="G47" i="11"/>
  <c r="A48" i="11"/>
  <c r="G48" i="11"/>
  <c r="A49" i="11"/>
  <c r="G49" i="11"/>
  <c r="A50" i="11"/>
  <c r="G50" i="11"/>
  <c r="A51" i="11"/>
  <c r="G51" i="11"/>
  <c r="A52" i="11"/>
  <c r="G52" i="11"/>
  <c r="A53" i="11"/>
  <c r="G53" i="11"/>
  <c r="A54" i="11"/>
  <c r="G54" i="11"/>
  <c r="A55" i="11"/>
  <c r="G55" i="11"/>
  <c r="A56" i="11"/>
  <c r="G56" i="11"/>
  <c r="A57" i="11"/>
  <c r="G57" i="11"/>
  <c r="A58" i="11"/>
  <c r="G58" i="11"/>
  <c r="A59" i="11"/>
  <c r="G59" i="11"/>
  <c r="A60" i="11"/>
  <c r="G60" i="11"/>
  <c r="A61" i="11"/>
  <c r="G61" i="11"/>
  <c r="A62" i="11"/>
  <c r="G62" i="11"/>
  <c r="A63" i="11"/>
  <c r="G63" i="11"/>
  <c r="A64" i="11"/>
  <c r="G64" i="11"/>
  <c r="A65" i="11"/>
  <c r="G65" i="11"/>
  <c r="A66" i="11"/>
  <c r="G66" i="11"/>
  <c r="A67" i="11"/>
  <c r="G67" i="11"/>
  <c r="A68" i="11"/>
  <c r="G68" i="11"/>
  <c r="A69" i="11"/>
  <c r="G69" i="11"/>
  <c r="A70" i="11"/>
  <c r="G70" i="11"/>
  <c r="A71" i="11"/>
  <c r="G71" i="11"/>
  <c r="A72" i="11"/>
  <c r="G72" i="11"/>
  <c r="A73" i="11"/>
  <c r="G73" i="11"/>
  <c r="A74" i="11"/>
  <c r="G74" i="11"/>
  <c r="A75" i="11"/>
  <c r="G75" i="11"/>
  <c r="A76" i="11"/>
  <c r="G76" i="11"/>
  <c r="A77" i="11"/>
  <c r="G77" i="11"/>
  <c r="A78" i="11"/>
  <c r="G78" i="11"/>
  <c r="A79" i="11"/>
  <c r="G79" i="11"/>
  <c r="A80" i="11"/>
  <c r="G80" i="11"/>
  <c r="A81" i="11"/>
  <c r="G81" i="11"/>
  <c r="A82" i="11"/>
  <c r="G82" i="11"/>
  <c r="A83" i="11"/>
  <c r="G83" i="11"/>
  <c r="A84" i="11"/>
  <c r="G84" i="11"/>
  <c r="A85" i="11"/>
  <c r="G85" i="11"/>
  <c r="A86" i="11"/>
  <c r="G86" i="11"/>
  <c r="A87" i="11"/>
  <c r="G87" i="11"/>
  <c r="A88" i="11"/>
  <c r="G88" i="11"/>
  <c r="A89" i="11"/>
  <c r="G89" i="11"/>
  <c r="A90" i="11"/>
  <c r="G90" i="11"/>
  <c r="A91" i="11"/>
  <c r="G91" i="11"/>
  <c r="A92" i="11"/>
  <c r="G92" i="11"/>
  <c r="A93" i="11"/>
  <c r="G93" i="11"/>
  <c r="A94" i="11"/>
  <c r="G94" i="11"/>
  <c r="A95" i="11"/>
  <c r="G95" i="11"/>
  <c r="A96" i="11"/>
  <c r="G96" i="11"/>
  <c r="A97" i="11"/>
  <c r="G97" i="11"/>
  <c r="A98" i="11"/>
  <c r="G98" i="11"/>
  <c r="A99" i="11"/>
  <c r="G99" i="11"/>
  <c r="A100" i="11"/>
  <c r="G100" i="11"/>
  <c r="A101" i="11"/>
  <c r="G101" i="11"/>
  <c r="A102" i="11"/>
  <c r="G102" i="11"/>
  <c r="A103" i="11"/>
  <c r="G103" i="11"/>
  <c r="A104" i="11"/>
  <c r="G104" i="11"/>
  <c r="A105" i="11"/>
  <c r="G105" i="11"/>
  <c r="A106" i="11"/>
  <c r="G106" i="11"/>
  <c r="A107" i="11"/>
  <c r="G107" i="11"/>
  <c r="A108" i="11"/>
  <c r="G108" i="11"/>
  <c r="A109" i="11"/>
  <c r="G109" i="11"/>
  <c r="A110" i="11"/>
  <c r="G110" i="11"/>
  <c r="A111" i="11"/>
  <c r="G111" i="11"/>
  <c r="A112" i="11"/>
  <c r="G112" i="11"/>
  <c r="A113" i="11"/>
  <c r="G113" i="11"/>
  <c r="A114" i="11"/>
  <c r="G114" i="11"/>
  <c r="A115" i="11"/>
  <c r="G115" i="11"/>
  <c r="A116" i="11"/>
  <c r="G116" i="11"/>
  <c r="A117" i="11"/>
  <c r="G117" i="11"/>
  <c r="A118" i="11"/>
  <c r="G118" i="11"/>
  <c r="A119" i="11"/>
  <c r="G119" i="11"/>
  <c r="A120" i="11"/>
  <c r="G120" i="11"/>
  <c r="A121" i="11"/>
  <c r="G121" i="11"/>
  <c r="A122" i="11"/>
  <c r="G122" i="11"/>
  <c r="A123" i="11"/>
  <c r="G123" i="11"/>
  <c r="A124" i="11"/>
  <c r="G124" i="11"/>
  <c r="A125" i="11"/>
  <c r="G125" i="11"/>
  <c r="A126" i="11"/>
  <c r="G126" i="11"/>
  <c r="A127" i="11"/>
  <c r="G127" i="11"/>
  <c r="A128" i="11"/>
  <c r="G128" i="11"/>
  <c r="A129" i="11"/>
  <c r="G129" i="11"/>
  <c r="A130" i="11"/>
  <c r="G130" i="11"/>
  <c r="A131" i="11"/>
  <c r="G131" i="11"/>
  <c r="A132" i="11"/>
  <c r="G132" i="11"/>
  <c r="A133" i="11"/>
  <c r="G133" i="11"/>
  <c r="A134" i="11"/>
  <c r="G134" i="11"/>
  <c r="A135" i="11"/>
  <c r="G135" i="11"/>
  <c r="A136" i="11"/>
  <c r="G136" i="11"/>
  <c r="A137" i="11"/>
  <c r="G137" i="11"/>
  <c r="A138" i="11"/>
  <c r="G138" i="11"/>
  <c r="A139" i="11"/>
  <c r="G139" i="11"/>
  <c r="A140" i="11"/>
  <c r="G140" i="11"/>
  <c r="A141" i="11"/>
  <c r="G141" i="11"/>
  <c r="A142" i="11"/>
  <c r="G142" i="11"/>
  <c r="A143" i="11"/>
  <c r="G143" i="11"/>
  <c r="A144" i="11"/>
  <c r="G144" i="11"/>
  <c r="A145" i="11"/>
  <c r="G145" i="11"/>
  <c r="A146" i="11"/>
  <c r="G146" i="11"/>
  <c r="A147" i="11"/>
  <c r="G147" i="11"/>
  <c r="A148" i="11"/>
  <c r="G148" i="11"/>
  <c r="A149" i="11"/>
  <c r="G149" i="11"/>
  <c r="A150" i="11"/>
  <c r="G150" i="11"/>
  <c r="A151" i="11"/>
  <c r="G151" i="11"/>
  <c r="A152" i="11"/>
  <c r="G152" i="11"/>
  <c r="A153" i="11"/>
  <c r="G153" i="11"/>
  <c r="A154" i="11"/>
  <c r="G154" i="11"/>
  <c r="A155" i="11"/>
  <c r="G155" i="11"/>
  <c r="A156" i="11"/>
  <c r="G156" i="11"/>
  <c r="A157" i="11"/>
  <c r="G157" i="11"/>
  <c r="A158" i="11"/>
  <c r="G158" i="11"/>
  <c r="A159" i="11"/>
  <c r="G159" i="11"/>
  <c r="A160" i="11"/>
  <c r="G160" i="11"/>
  <c r="A161" i="11"/>
  <c r="G161" i="11"/>
  <c r="A162" i="11"/>
  <c r="G162" i="11"/>
  <c r="A163" i="11"/>
  <c r="G163" i="11"/>
  <c r="A164" i="11"/>
  <c r="G164" i="11"/>
  <c r="A165" i="11"/>
  <c r="G165" i="11"/>
  <c r="A166" i="11"/>
  <c r="G166" i="11"/>
  <c r="A167" i="11"/>
  <c r="G167" i="11"/>
  <c r="A168" i="11"/>
  <c r="G168" i="11"/>
  <c r="A169" i="11"/>
  <c r="G169" i="11"/>
  <c r="A170" i="11"/>
  <c r="G170" i="11"/>
  <c r="A171" i="11"/>
  <c r="G171" i="11"/>
  <c r="A172" i="11"/>
  <c r="G172" i="11"/>
  <c r="A173" i="11"/>
  <c r="G173" i="11"/>
  <c r="A174" i="11"/>
  <c r="G174" i="11"/>
  <c r="A175" i="11"/>
  <c r="G175" i="11"/>
  <c r="A176" i="11"/>
  <c r="G176" i="11"/>
  <c r="A177" i="11"/>
  <c r="G177" i="11"/>
  <c r="A178" i="11"/>
  <c r="G178" i="11"/>
  <c r="A179" i="11"/>
  <c r="G179" i="11"/>
  <c r="A180" i="11"/>
  <c r="G180" i="11"/>
  <c r="A181" i="11"/>
  <c r="G181" i="11"/>
  <c r="A182" i="11"/>
  <c r="G182" i="11"/>
  <c r="A183" i="11"/>
  <c r="G183" i="11"/>
  <c r="A184" i="11"/>
  <c r="G184" i="11"/>
  <c r="A185" i="11"/>
  <c r="G185" i="11"/>
  <c r="A186" i="11"/>
  <c r="G186" i="11"/>
  <c r="A187" i="11"/>
  <c r="G187" i="11"/>
  <c r="A188" i="11"/>
  <c r="G188" i="11"/>
  <c r="A189" i="11"/>
  <c r="G189" i="11"/>
  <c r="A190" i="11"/>
  <c r="G190" i="11"/>
  <c r="A191" i="11"/>
  <c r="G191" i="11"/>
  <c r="A192" i="11"/>
  <c r="G192" i="11"/>
  <c r="A193" i="11"/>
  <c r="G193" i="11"/>
  <c r="A194" i="11"/>
  <c r="G194" i="11"/>
  <c r="A195" i="11"/>
  <c r="G195" i="11"/>
  <c r="A196" i="11"/>
  <c r="G196" i="11"/>
  <c r="A197" i="11"/>
  <c r="G197" i="11"/>
  <c r="A198" i="11"/>
  <c r="G198" i="11"/>
  <c r="A199" i="11"/>
  <c r="G199" i="11"/>
  <c r="A200" i="11"/>
  <c r="G200" i="11"/>
  <c r="A201" i="11"/>
  <c r="G201" i="11"/>
  <c r="A202" i="11"/>
  <c r="G202" i="11"/>
  <c r="A203" i="11"/>
  <c r="G203" i="11"/>
  <c r="A204" i="11"/>
  <c r="G204" i="11"/>
  <c r="A205" i="11"/>
  <c r="G205" i="11"/>
  <c r="A206" i="11"/>
  <c r="G206" i="11"/>
  <c r="A207" i="11"/>
  <c r="G207" i="11"/>
  <c r="A208" i="11"/>
  <c r="G208" i="11"/>
  <c r="A209" i="11"/>
  <c r="G209" i="11"/>
  <c r="A210" i="11"/>
  <c r="G210" i="11"/>
  <c r="A211" i="11"/>
  <c r="G211" i="11"/>
  <c r="A212" i="11"/>
  <c r="G212" i="11"/>
  <c r="A213" i="11"/>
  <c r="G213" i="11"/>
  <c r="A214" i="11"/>
  <c r="G214" i="11"/>
  <c r="A215" i="11"/>
  <c r="G215" i="11"/>
  <c r="A216" i="11"/>
  <c r="G216" i="11"/>
  <c r="A217" i="11"/>
  <c r="G217" i="11"/>
  <c r="A218" i="11"/>
  <c r="G218" i="11"/>
  <c r="A219" i="11"/>
  <c r="G219" i="11"/>
  <c r="A220" i="11"/>
  <c r="G220" i="11"/>
  <c r="A221" i="11"/>
  <c r="G221" i="11"/>
  <c r="A222" i="11"/>
  <c r="G222" i="11"/>
  <c r="A223" i="11"/>
  <c r="G223" i="11"/>
  <c r="A224" i="11"/>
  <c r="G224" i="11"/>
  <c r="A225" i="11"/>
  <c r="G225" i="11"/>
  <c r="A226" i="11"/>
  <c r="G226" i="11"/>
  <c r="A227" i="11"/>
  <c r="G227" i="11"/>
  <c r="A228" i="11"/>
  <c r="G228" i="11"/>
  <c r="A229" i="11"/>
  <c r="G229" i="11"/>
  <c r="A230" i="11"/>
  <c r="G230" i="11"/>
  <c r="A231" i="11"/>
  <c r="G231" i="11"/>
  <c r="A232" i="11"/>
  <c r="G232" i="11"/>
  <c r="A233" i="11"/>
  <c r="G233" i="11"/>
  <c r="A234" i="11"/>
  <c r="G234" i="11"/>
  <c r="A235" i="11"/>
  <c r="G235" i="11"/>
  <c r="A236" i="11"/>
  <c r="G236" i="11"/>
  <c r="A237" i="11"/>
  <c r="G237" i="11"/>
  <c r="A238" i="11"/>
  <c r="G238" i="11"/>
  <c r="A239" i="11"/>
  <c r="G239" i="11"/>
  <c r="A240" i="11"/>
  <c r="G240" i="11"/>
  <c r="A241" i="11"/>
  <c r="G241" i="11"/>
  <c r="A242" i="11"/>
  <c r="G242" i="11"/>
  <c r="A243" i="11"/>
  <c r="G243" i="11"/>
  <c r="A244" i="11"/>
  <c r="G244" i="11"/>
  <c r="A245" i="11"/>
  <c r="G245" i="11"/>
  <c r="A246" i="11"/>
  <c r="G246" i="11"/>
  <c r="A247" i="11"/>
  <c r="G247" i="11"/>
  <c r="A248" i="11"/>
  <c r="G248" i="11"/>
  <c r="A249" i="11"/>
  <c r="G249" i="11"/>
  <c r="A250" i="11"/>
  <c r="G250" i="11"/>
  <c r="A251" i="11"/>
  <c r="G251" i="11"/>
  <c r="A252" i="11"/>
  <c r="G252" i="11"/>
  <c r="A253" i="11"/>
  <c r="G253" i="11"/>
  <c r="A254" i="11"/>
  <c r="G254" i="11"/>
  <c r="A255" i="11"/>
  <c r="G255" i="11"/>
  <c r="A256" i="11"/>
  <c r="G256" i="11"/>
  <c r="A257" i="11"/>
  <c r="G257" i="11"/>
  <c r="A258" i="11"/>
  <c r="G258" i="11"/>
  <c r="W12" i="59" l="1"/>
  <c r="Q12" i="59"/>
  <c r="U256" i="71"/>
  <c r="U251" i="71"/>
  <c r="U243" i="71"/>
  <c r="U235" i="71"/>
  <c r="U227" i="71"/>
  <c r="U219" i="71"/>
  <c r="U211" i="71"/>
  <c r="U203" i="71"/>
  <c r="U195" i="71"/>
  <c r="U187" i="71"/>
  <c r="U179" i="71"/>
  <c r="U171" i="71"/>
  <c r="U163" i="71"/>
  <c r="U155" i="71"/>
  <c r="U147" i="71"/>
  <c r="U139" i="71"/>
  <c r="U131" i="71"/>
  <c r="U127" i="71"/>
  <c r="U123" i="71"/>
  <c r="U119" i="71"/>
  <c r="U115" i="71"/>
  <c r="U107" i="71"/>
  <c r="U103" i="71"/>
  <c r="U99" i="71"/>
  <c r="U95" i="71"/>
  <c r="U91" i="71"/>
  <c r="U87" i="71"/>
  <c r="U83" i="71"/>
  <c r="U79" i="71"/>
  <c r="U75" i="71"/>
  <c r="U71" i="71"/>
  <c r="U67" i="71"/>
  <c r="U63" i="71"/>
  <c r="U59" i="71"/>
  <c r="U55" i="71"/>
  <c r="U51" i="71"/>
  <c r="U47" i="71"/>
  <c r="U43" i="71"/>
  <c r="U39" i="71"/>
  <c r="U35" i="71"/>
  <c r="U31" i="71"/>
  <c r="U27" i="71"/>
  <c r="U23" i="71"/>
  <c r="U19" i="71"/>
  <c r="U255" i="71"/>
  <c r="U247" i="71"/>
  <c r="U239" i="71"/>
  <c r="U231" i="71"/>
  <c r="U223" i="71"/>
  <c r="U215" i="71"/>
  <c r="U207" i="71"/>
  <c r="U199" i="71"/>
  <c r="U191" i="71"/>
  <c r="U183" i="71"/>
  <c r="U175" i="71"/>
  <c r="U167" i="71"/>
  <c r="U159" i="71"/>
  <c r="U151" i="71"/>
  <c r="U143" i="71"/>
  <c r="U135" i="71"/>
  <c r="U111" i="71"/>
  <c r="U13" i="71"/>
  <c r="U250" i="71"/>
  <c r="U242" i="71"/>
  <c r="U234" i="71"/>
  <c r="U226" i="71"/>
  <c r="U218" i="71"/>
  <c r="U210" i="71"/>
  <c r="U202" i="71"/>
  <c r="U194" i="71"/>
  <c r="U182" i="71"/>
  <c r="U174" i="71"/>
  <c r="U166" i="71"/>
  <c r="U158" i="71"/>
  <c r="U150" i="71"/>
  <c r="U142" i="71"/>
  <c r="U138" i="71"/>
  <c r="U130" i="71"/>
  <c r="U126" i="71"/>
  <c r="U122" i="71"/>
  <c r="U118" i="71"/>
  <c r="U114" i="71"/>
  <c r="U106" i="71"/>
  <c r="U102" i="71"/>
  <c r="U98" i="71"/>
  <c r="U94" i="71"/>
  <c r="U90" i="71"/>
  <c r="U86" i="71"/>
  <c r="U82" i="71"/>
  <c r="U78" i="71"/>
  <c r="U74" i="71"/>
  <c r="U70" i="71"/>
  <c r="U66" i="71"/>
  <c r="U62" i="71"/>
  <c r="U58" i="71"/>
  <c r="U54" i="71"/>
  <c r="U50" i="71"/>
  <c r="U46" i="71"/>
  <c r="U42" i="71"/>
  <c r="U38" i="71"/>
  <c r="U34" i="71"/>
  <c r="U30" i="71"/>
  <c r="U26" i="71"/>
  <c r="U22" i="71"/>
  <c r="U18" i="71"/>
  <c r="U246" i="71"/>
  <c r="U238" i="71"/>
  <c r="U230" i="71"/>
  <c r="U222" i="71"/>
  <c r="U214" i="71"/>
  <c r="U206" i="71"/>
  <c r="U198" i="71"/>
  <c r="U190" i="71"/>
  <c r="U186" i="71"/>
  <c r="U178" i="71"/>
  <c r="U170" i="71"/>
  <c r="U162" i="71"/>
  <c r="U154" i="71"/>
  <c r="U146" i="71"/>
  <c r="U134" i="71"/>
  <c r="U110" i="71"/>
  <c r="U14" i="71"/>
  <c r="U249" i="71"/>
  <c r="U241" i="71"/>
  <c r="U233" i="71"/>
  <c r="U225" i="71"/>
  <c r="U217" i="71"/>
  <c r="U209" i="71"/>
  <c r="U201" i="71"/>
  <c r="U193" i="71"/>
  <c r="U185" i="71"/>
  <c r="U177" i="71"/>
  <c r="U169" i="71"/>
  <c r="U161" i="71"/>
  <c r="U153" i="71"/>
  <c r="U145" i="71"/>
  <c r="U137" i="71"/>
  <c r="U129" i="71"/>
  <c r="U125" i="71"/>
  <c r="U121" i="71"/>
  <c r="U117" i="71"/>
  <c r="U113" i="71"/>
  <c r="U105" i="71"/>
  <c r="U101" i="71"/>
  <c r="U97" i="71"/>
  <c r="U93" i="71"/>
  <c r="U89" i="71"/>
  <c r="U85" i="71"/>
  <c r="U81" i="71"/>
  <c r="U77" i="71"/>
  <c r="U73" i="71"/>
  <c r="U69" i="71"/>
  <c r="U65" i="71"/>
  <c r="U61" i="71"/>
  <c r="U57" i="71"/>
  <c r="U53" i="71"/>
  <c r="U49" i="71"/>
  <c r="U45" i="71"/>
  <c r="U41" i="71"/>
  <c r="U37" i="71"/>
  <c r="U33" i="71"/>
  <c r="U29" i="71"/>
  <c r="U25" i="71"/>
  <c r="U21" i="71"/>
  <c r="U17" i="71"/>
  <c r="U253" i="71"/>
  <c r="U245" i="71"/>
  <c r="U237" i="71"/>
  <c r="U229" i="71"/>
  <c r="U221" i="71"/>
  <c r="U213" i="71"/>
  <c r="U205" i="71"/>
  <c r="U197" i="71"/>
  <c r="U189" i="71"/>
  <c r="U181" i="71"/>
  <c r="U173" i="71"/>
  <c r="U165" i="71"/>
  <c r="U157" i="71"/>
  <c r="U149" i="71"/>
  <c r="U141" i="71"/>
  <c r="U133" i="71"/>
  <c r="U109" i="71"/>
  <c r="U15" i="71"/>
  <c r="U252" i="71"/>
  <c r="U244" i="71"/>
  <c r="U236" i="71"/>
  <c r="U228" i="71"/>
  <c r="U220" i="71"/>
  <c r="U212" i="71"/>
  <c r="U204" i="71"/>
  <c r="U196" i="71"/>
  <c r="U188" i="71"/>
  <c r="U180" i="71"/>
  <c r="U172" i="71"/>
  <c r="U164" i="71"/>
  <c r="U156" i="71"/>
  <c r="U148" i="71"/>
  <c r="U144" i="71"/>
  <c r="U136" i="71"/>
  <c r="U128" i="71"/>
  <c r="U124" i="71"/>
  <c r="U120" i="71"/>
  <c r="U116" i="71"/>
  <c r="U112" i="71"/>
  <c r="U104" i="71"/>
  <c r="U100" i="71"/>
  <c r="U96" i="71"/>
  <c r="U92" i="71"/>
  <c r="U88" i="71"/>
  <c r="U84" i="71"/>
  <c r="U80" i="71"/>
  <c r="U76" i="71"/>
  <c r="U72" i="71"/>
  <c r="U68" i="71"/>
  <c r="U64" i="71"/>
  <c r="U60" i="71"/>
  <c r="U56" i="71"/>
  <c r="U52" i="71"/>
  <c r="U48" i="71"/>
  <c r="U44" i="71"/>
  <c r="U40" i="71"/>
  <c r="U36" i="71"/>
  <c r="U32" i="71"/>
  <c r="U28" i="71"/>
  <c r="U24" i="71"/>
  <c r="U20" i="71"/>
  <c r="U16" i="71"/>
  <c r="U248" i="71"/>
  <c r="U240" i="71"/>
  <c r="U232" i="71"/>
  <c r="U224" i="71"/>
  <c r="U216" i="71"/>
  <c r="U208" i="71"/>
  <c r="U200" i="71"/>
  <c r="U192" i="71"/>
  <c r="U184" i="71"/>
  <c r="U176" i="71"/>
  <c r="U168" i="71"/>
  <c r="U160" i="71"/>
  <c r="U152" i="71"/>
  <c r="U140" i="71"/>
  <c r="U132" i="71"/>
  <c r="U108" i="71"/>
  <c r="U12" i="71"/>
  <c r="U254" i="71"/>
  <c r="U250" i="46"/>
  <c r="U242" i="46"/>
  <c r="U234" i="46"/>
  <c r="U226" i="46"/>
  <c r="U218" i="46"/>
  <c r="U210" i="46"/>
  <c r="U202" i="46"/>
  <c r="U194" i="46"/>
  <c r="U186" i="46"/>
  <c r="U178" i="46"/>
  <c r="U170" i="46"/>
  <c r="U166" i="46"/>
  <c r="U162" i="46"/>
  <c r="U154" i="46"/>
  <c r="U150" i="46"/>
  <c r="U146" i="46"/>
  <c r="U142" i="46"/>
  <c r="U138" i="46"/>
  <c r="U134" i="46"/>
  <c r="U130" i="46"/>
  <c r="U126" i="46"/>
  <c r="U122" i="46"/>
  <c r="U118" i="46"/>
  <c r="U114" i="46"/>
  <c r="U110" i="46"/>
  <c r="U106" i="46"/>
  <c r="U102" i="46"/>
  <c r="U98" i="46"/>
  <c r="U94" i="46"/>
  <c r="U90" i="46"/>
  <c r="U86" i="46"/>
  <c r="U82" i="46"/>
  <c r="U78" i="46"/>
  <c r="U74" i="46"/>
  <c r="U70" i="46"/>
  <c r="U66" i="46"/>
  <c r="U62" i="46"/>
  <c r="U58" i="46"/>
  <c r="U54" i="46"/>
  <c r="U50" i="46"/>
  <c r="U46" i="46"/>
  <c r="U42" i="46"/>
  <c r="U38" i="46"/>
  <c r="U254" i="46"/>
  <c r="U246" i="46"/>
  <c r="U238" i="46"/>
  <c r="U230" i="46"/>
  <c r="U222" i="46"/>
  <c r="U214" i="46"/>
  <c r="U206" i="46"/>
  <c r="U198" i="46"/>
  <c r="U190" i="46"/>
  <c r="U182" i="46"/>
  <c r="U174" i="46"/>
  <c r="U158" i="46"/>
  <c r="U245" i="46"/>
  <c r="U237" i="46"/>
  <c r="U229" i="46"/>
  <c r="U221" i="46"/>
  <c r="U213" i="46"/>
  <c r="U205" i="46"/>
  <c r="U197" i="46"/>
  <c r="U189" i="46"/>
  <c r="U181" i="46"/>
  <c r="U173" i="46"/>
  <c r="U169" i="46"/>
  <c r="U161" i="46"/>
  <c r="U157" i="46"/>
  <c r="U153" i="46"/>
  <c r="U149" i="46"/>
  <c r="U145" i="46"/>
  <c r="U141" i="46"/>
  <c r="U137" i="46"/>
  <c r="U133" i="46"/>
  <c r="U129" i="46"/>
  <c r="U125" i="46"/>
  <c r="U121" i="46"/>
  <c r="U117" i="46"/>
  <c r="U113" i="46"/>
  <c r="U109" i="46"/>
  <c r="U105" i="46"/>
  <c r="U101" i="46"/>
  <c r="U97" i="46"/>
  <c r="U93" i="46"/>
  <c r="U89" i="46"/>
  <c r="U85" i="46"/>
  <c r="U81" i="46"/>
  <c r="U77" i="46"/>
  <c r="U73" i="46"/>
  <c r="U69" i="46"/>
  <c r="U65" i="46"/>
  <c r="U61" i="46"/>
  <c r="U57" i="46"/>
  <c r="U53" i="46"/>
  <c r="U49" i="46"/>
  <c r="U45" i="46"/>
  <c r="U41" i="46"/>
  <c r="U37" i="46"/>
  <c r="U253" i="46"/>
  <c r="U249" i="46"/>
  <c r="U241" i="46"/>
  <c r="U233" i="46"/>
  <c r="U225" i="46"/>
  <c r="U217" i="46"/>
  <c r="U209" i="46"/>
  <c r="U201" i="46"/>
  <c r="U193" i="46"/>
  <c r="U185" i="46"/>
  <c r="U177" i="46"/>
  <c r="U165" i="46"/>
  <c r="U252" i="46"/>
  <c r="U244" i="46"/>
  <c r="U236" i="46"/>
  <c r="U228" i="46"/>
  <c r="U220" i="46"/>
  <c r="U212" i="46"/>
  <c r="U204" i="46"/>
  <c r="U196" i="46"/>
  <c r="U188" i="46"/>
  <c r="U180" i="46"/>
  <c r="U172" i="46"/>
  <c r="U168" i="46"/>
  <c r="U164" i="46"/>
  <c r="U156" i="46"/>
  <c r="U152" i="46"/>
  <c r="U148" i="46"/>
  <c r="U144" i="46"/>
  <c r="U140" i="46"/>
  <c r="U136" i="46"/>
  <c r="U132" i="46"/>
  <c r="U128" i="46"/>
  <c r="U124" i="46"/>
  <c r="U120" i="46"/>
  <c r="U116" i="46"/>
  <c r="U112" i="46"/>
  <c r="U108" i="46"/>
  <c r="U104" i="46"/>
  <c r="U100" i="46"/>
  <c r="U96" i="46"/>
  <c r="U92" i="46"/>
  <c r="U88" i="46"/>
  <c r="U84" i="46"/>
  <c r="U80" i="46"/>
  <c r="U76" i="46"/>
  <c r="U72" i="46"/>
  <c r="U68" i="46"/>
  <c r="U64" i="46"/>
  <c r="U60" i="46"/>
  <c r="U56" i="46"/>
  <c r="U52" i="46"/>
  <c r="U48" i="46"/>
  <c r="U44" i="46"/>
  <c r="U40" i="46"/>
  <c r="U36" i="46"/>
  <c r="U256" i="46"/>
  <c r="U248" i="46"/>
  <c r="U240" i="46"/>
  <c r="U232" i="46"/>
  <c r="U224" i="46"/>
  <c r="U216" i="46"/>
  <c r="U208" i="46"/>
  <c r="U200" i="46"/>
  <c r="U192" i="46"/>
  <c r="U184" i="46"/>
  <c r="U176" i="46"/>
  <c r="U160" i="46"/>
  <c r="U255" i="46"/>
  <c r="U247" i="46"/>
  <c r="U239" i="46"/>
  <c r="U231" i="46"/>
  <c r="U223" i="46"/>
  <c r="U215" i="46"/>
  <c r="U203" i="46"/>
  <c r="U195" i="46"/>
  <c r="U187" i="46"/>
  <c r="U179" i="46"/>
  <c r="U171" i="46"/>
  <c r="U167" i="46"/>
  <c r="U163" i="46"/>
  <c r="U155" i="46"/>
  <c r="U151" i="46"/>
  <c r="U147" i="46"/>
  <c r="U143" i="46"/>
  <c r="U139" i="46"/>
  <c r="U135" i="46"/>
  <c r="U131" i="46"/>
  <c r="U127" i="46"/>
  <c r="U123" i="46"/>
  <c r="U119" i="46"/>
  <c r="U115" i="46"/>
  <c r="U111" i="46"/>
  <c r="U107" i="46"/>
  <c r="U103" i="46"/>
  <c r="U99" i="46"/>
  <c r="U95" i="46"/>
  <c r="U91" i="46"/>
  <c r="U87" i="46"/>
  <c r="U83" i="46"/>
  <c r="U79" i="46"/>
  <c r="U75" i="46"/>
  <c r="U71" i="46"/>
  <c r="U67" i="46"/>
  <c r="U63" i="46"/>
  <c r="U59" i="46"/>
  <c r="U55" i="46"/>
  <c r="U51" i="46"/>
  <c r="U47" i="46"/>
  <c r="U43" i="46"/>
  <c r="U39" i="46"/>
  <c r="U251" i="46"/>
  <c r="U243" i="46"/>
  <c r="U235" i="46"/>
  <c r="U227" i="46"/>
  <c r="U219" i="46"/>
  <c r="U211" i="46"/>
  <c r="U207" i="46"/>
  <c r="U199" i="46"/>
  <c r="U191" i="46"/>
  <c r="U183" i="46"/>
  <c r="U175" i="46"/>
  <c r="U159" i="46"/>
  <c r="J148" i="22"/>
  <c r="J155" i="22"/>
  <c r="J157" i="22"/>
  <c r="J151" i="22"/>
  <c r="J149" i="22"/>
  <c r="J150" i="22"/>
  <c r="J147" i="22"/>
  <c r="J154" i="22"/>
  <c r="J158" i="22"/>
  <c r="J152" i="22"/>
  <c r="J156" i="22"/>
  <c r="J153" i="22"/>
  <c r="P253" i="59"/>
  <c r="Q253" i="59" s="1"/>
  <c r="P245" i="59"/>
  <c r="Q245" i="59" s="1"/>
  <c r="P237" i="59"/>
  <c r="Q237" i="59" s="1"/>
  <c r="P229" i="59"/>
  <c r="Q229" i="59" s="1"/>
  <c r="P221" i="59"/>
  <c r="Q221" i="59" s="1"/>
  <c r="P213" i="59"/>
  <c r="Q213" i="59" s="1"/>
  <c r="P205" i="59"/>
  <c r="Q205" i="59" s="1"/>
  <c r="P201" i="59"/>
  <c r="Q201" i="59" s="1"/>
  <c r="P197" i="59"/>
  <c r="Q197" i="59" s="1"/>
  <c r="P189" i="59"/>
  <c r="Q189" i="59" s="1"/>
  <c r="P185" i="59"/>
  <c r="Q185" i="59" s="1"/>
  <c r="P181" i="59"/>
  <c r="Q181" i="59" s="1"/>
  <c r="P177" i="59"/>
  <c r="Q177" i="59" s="1"/>
  <c r="P173" i="59"/>
  <c r="Q173" i="59" s="1"/>
  <c r="P169" i="59"/>
  <c r="Q169" i="59" s="1"/>
  <c r="P165" i="59"/>
  <c r="Q165" i="59" s="1"/>
  <c r="P161" i="59"/>
  <c r="Q161" i="59" s="1"/>
  <c r="P157" i="59"/>
  <c r="Q157" i="59" s="1"/>
  <c r="P153" i="59"/>
  <c r="Q153" i="59" s="1"/>
  <c r="P149" i="59"/>
  <c r="Q149" i="59" s="1"/>
  <c r="P145" i="59"/>
  <c r="Q145" i="59" s="1"/>
  <c r="P141" i="59"/>
  <c r="Q141" i="59" s="1"/>
  <c r="P137" i="59"/>
  <c r="Q137" i="59" s="1"/>
  <c r="P133" i="59"/>
  <c r="Q133" i="59" s="1"/>
  <c r="P129" i="59"/>
  <c r="Q129" i="59" s="1"/>
  <c r="P125" i="59"/>
  <c r="Q125" i="59" s="1"/>
  <c r="P121" i="59"/>
  <c r="Q121" i="59" s="1"/>
  <c r="P117" i="59"/>
  <c r="Q117" i="59" s="1"/>
  <c r="P113" i="59"/>
  <c r="Q113" i="59" s="1"/>
  <c r="P109" i="59"/>
  <c r="Q109" i="59" s="1"/>
  <c r="P105" i="59"/>
  <c r="Q105" i="59" s="1"/>
  <c r="P101" i="59"/>
  <c r="Q101" i="59" s="1"/>
  <c r="P97" i="59"/>
  <c r="Q97" i="59" s="1"/>
  <c r="P93" i="59"/>
  <c r="Q93" i="59" s="1"/>
  <c r="P89" i="59"/>
  <c r="Q89" i="59" s="1"/>
  <c r="P85" i="59"/>
  <c r="Q85" i="59" s="1"/>
  <c r="P81" i="59"/>
  <c r="Q81" i="59" s="1"/>
  <c r="P77" i="59"/>
  <c r="Q77" i="59" s="1"/>
  <c r="P73" i="59"/>
  <c r="Q73" i="59" s="1"/>
  <c r="P69" i="59"/>
  <c r="Q69" i="59" s="1"/>
  <c r="P65" i="59"/>
  <c r="Q65" i="59" s="1"/>
  <c r="P61" i="59"/>
  <c r="Q61" i="59" s="1"/>
  <c r="P57" i="59"/>
  <c r="Q57" i="59" s="1"/>
  <c r="P53" i="59"/>
  <c r="Q53" i="59" s="1"/>
  <c r="P49" i="59"/>
  <c r="Q49" i="59" s="1"/>
  <c r="P45" i="59"/>
  <c r="Q45" i="59" s="1"/>
  <c r="P41" i="59"/>
  <c r="Q41" i="59" s="1"/>
  <c r="P37" i="59"/>
  <c r="Q37" i="59" s="1"/>
  <c r="P33" i="59"/>
  <c r="Q33" i="59" s="1"/>
  <c r="P29" i="59"/>
  <c r="Q29" i="59" s="1"/>
  <c r="P25" i="59"/>
  <c r="Q25" i="59" s="1"/>
  <c r="P257" i="59"/>
  <c r="Q257" i="59" s="1"/>
  <c r="P249" i="59"/>
  <c r="Q249" i="59" s="1"/>
  <c r="P241" i="59"/>
  <c r="Q241" i="59" s="1"/>
  <c r="P233" i="59"/>
  <c r="Q233" i="59" s="1"/>
  <c r="P225" i="59"/>
  <c r="Q225" i="59" s="1"/>
  <c r="P217" i="59"/>
  <c r="Q217" i="59" s="1"/>
  <c r="P209" i="59"/>
  <c r="Q209" i="59" s="1"/>
  <c r="P193" i="59"/>
  <c r="Q193" i="59" s="1"/>
  <c r="P252" i="59"/>
  <c r="Q252" i="59" s="1"/>
  <c r="P244" i="59"/>
  <c r="Q244" i="59" s="1"/>
  <c r="P236" i="59"/>
  <c r="Q236" i="59" s="1"/>
  <c r="P228" i="59"/>
  <c r="Q228" i="59" s="1"/>
  <c r="P220" i="59"/>
  <c r="Q220" i="59" s="1"/>
  <c r="P212" i="59"/>
  <c r="Q212" i="59" s="1"/>
  <c r="P204" i="59"/>
  <c r="Q204" i="59" s="1"/>
  <c r="P196" i="59"/>
  <c r="Q196" i="59" s="1"/>
  <c r="P192" i="59"/>
  <c r="Q192" i="59" s="1"/>
  <c r="P188" i="59"/>
  <c r="Q188" i="59" s="1"/>
  <c r="P180" i="59"/>
  <c r="Q180" i="59" s="1"/>
  <c r="P176" i="59"/>
  <c r="Q176" i="59" s="1"/>
  <c r="P172" i="59"/>
  <c r="Q172" i="59" s="1"/>
  <c r="P168" i="59"/>
  <c r="Q168" i="59" s="1"/>
  <c r="P164" i="59"/>
  <c r="Q164" i="59" s="1"/>
  <c r="P160" i="59"/>
  <c r="Q160" i="59" s="1"/>
  <c r="P156" i="59"/>
  <c r="Q156" i="59" s="1"/>
  <c r="P152" i="59"/>
  <c r="Q152" i="59" s="1"/>
  <c r="P148" i="59"/>
  <c r="Q148" i="59" s="1"/>
  <c r="P144" i="59"/>
  <c r="Q144" i="59" s="1"/>
  <c r="P140" i="59"/>
  <c r="Q140" i="59" s="1"/>
  <c r="P136" i="59"/>
  <c r="Q136" i="59" s="1"/>
  <c r="P132" i="59"/>
  <c r="Q132" i="59" s="1"/>
  <c r="P128" i="59"/>
  <c r="Q128" i="59" s="1"/>
  <c r="P124" i="59"/>
  <c r="Q124" i="59" s="1"/>
  <c r="P120" i="59"/>
  <c r="Q120" i="59" s="1"/>
  <c r="P116" i="59"/>
  <c r="Q116" i="59" s="1"/>
  <c r="P112" i="59"/>
  <c r="Q112" i="59" s="1"/>
  <c r="P108" i="59"/>
  <c r="Q108" i="59" s="1"/>
  <c r="P104" i="59"/>
  <c r="Q104" i="59" s="1"/>
  <c r="P100" i="59"/>
  <c r="Q100" i="59" s="1"/>
  <c r="P96" i="59"/>
  <c r="Q96" i="59" s="1"/>
  <c r="P92" i="59"/>
  <c r="Q92" i="59" s="1"/>
  <c r="P88" i="59"/>
  <c r="Q88" i="59" s="1"/>
  <c r="P84" i="59"/>
  <c r="Q84" i="59" s="1"/>
  <c r="P80" i="59"/>
  <c r="Q80" i="59" s="1"/>
  <c r="P76" i="59"/>
  <c r="Q76" i="59" s="1"/>
  <c r="P72" i="59"/>
  <c r="Q72" i="59" s="1"/>
  <c r="P68" i="59"/>
  <c r="Q68" i="59" s="1"/>
  <c r="P64" i="59"/>
  <c r="Q64" i="59" s="1"/>
  <c r="P60" i="59"/>
  <c r="Q60" i="59" s="1"/>
  <c r="P56" i="59"/>
  <c r="Q56" i="59" s="1"/>
  <c r="P52" i="59"/>
  <c r="Q52" i="59" s="1"/>
  <c r="P48" i="59"/>
  <c r="Q48" i="59" s="1"/>
  <c r="P44" i="59"/>
  <c r="Q44" i="59" s="1"/>
  <c r="P40" i="59"/>
  <c r="Q40" i="59" s="1"/>
  <c r="P36" i="59"/>
  <c r="Q36" i="59" s="1"/>
  <c r="P32" i="59"/>
  <c r="Q32" i="59" s="1"/>
  <c r="P28" i="59"/>
  <c r="Q28" i="59" s="1"/>
  <c r="P24" i="59"/>
  <c r="Q24" i="59" s="1"/>
  <c r="P256" i="59"/>
  <c r="Q256" i="59" s="1"/>
  <c r="P248" i="59"/>
  <c r="Q248" i="59" s="1"/>
  <c r="P240" i="59"/>
  <c r="Q240" i="59" s="1"/>
  <c r="P232" i="59"/>
  <c r="Q232" i="59" s="1"/>
  <c r="P224" i="59"/>
  <c r="Q224" i="59" s="1"/>
  <c r="P216" i="59"/>
  <c r="Q216" i="59" s="1"/>
  <c r="P208" i="59"/>
  <c r="Q208" i="59" s="1"/>
  <c r="P200" i="59"/>
  <c r="Q200" i="59" s="1"/>
  <c r="P184" i="59"/>
  <c r="Q184" i="59" s="1"/>
  <c r="P255" i="59"/>
  <c r="Q255" i="59" s="1"/>
  <c r="P247" i="59"/>
  <c r="Q247" i="59" s="1"/>
  <c r="P239" i="59"/>
  <c r="Q239" i="59" s="1"/>
  <c r="P231" i="59"/>
  <c r="Q231" i="59" s="1"/>
  <c r="P223" i="59"/>
  <c r="Q223" i="59" s="1"/>
  <c r="P215" i="59"/>
  <c r="Q215" i="59" s="1"/>
  <c r="P207" i="59"/>
  <c r="Q207" i="59" s="1"/>
  <c r="P203" i="59"/>
  <c r="Q203" i="59" s="1"/>
  <c r="P199" i="59"/>
  <c r="Q199" i="59" s="1"/>
  <c r="P191" i="59"/>
  <c r="Q191" i="59" s="1"/>
  <c r="P187" i="59"/>
  <c r="Q187" i="59" s="1"/>
  <c r="P183" i="59"/>
  <c r="Q183" i="59" s="1"/>
  <c r="P179" i="59"/>
  <c r="Q179" i="59" s="1"/>
  <c r="P175" i="59"/>
  <c r="Q175" i="59" s="1"/>
  <c r="P171" i="59"/>
  <c r="Q171" i="59" s="1"/>
  <c r="P167" i="59"/>
  <c r="Q167" i="59" s="1"/>
  <c r="P163" i="59"/>
  <c r="Q163" i="59" s="1"/>
  <c r="P159" i="59"/>
  <c r="Q159" i="59" s="1"/>
  <c r="P155" i="59"/>
  <c r="Q155" i="59" s="1"/>
  <c r="P151" i="59"/>
  <c r="Q151" i="59" s="1"/>
  <c r="P147" i="59"/>
  <c r="Q147" i="59" s="1"/>
  <c r="P143" i="59"/>
  <c r="Q143" i="59" s="1"/>
  <c r="P139" i="59"/>
  <c r="Q139" i="59" s="1"/>
  <c r="P135" i="59"/>
  <c r="Q135" i="59" s="1"/>
  <c r="P131" i="59"/>
  <c r="Q131" i="59" s="1"/>
  <c r="P127" i="59"/>
  <c r="Q127" i="59" s="1"/>
  <c r="P123" i="59"/>
  <c r="Q123" i="59" s="1"/>
  <c r="P119" i="59"/>
  <c r="Q119" i="59" s="1"/>
  <c r="P115" i="59"/>
  <c r="Q115" i="59" s="1"/>
  <c r="P111" i="59"/>
  <c r="Q111" i="59" s="1"/>
  <c r="P107" i="59"/>
  <c r="Q107" i="59" s="1"/>
  <c r="P103" i="59"/>
  <c r="Q103" i="59" s="1"/>
  <c r="P99" i="59"/>
  <c r="Q99" i="59" s="1"/>
  <c r="P95" i="59"/>
  <c r="Q95" i="59" s="1"/>
  <c r="P91" i="59"/>
  <c r="Q91" i="59" s="1"/>
  <c r="P87" i="59"/>
  <c r="Q87" i="59" s="1"/>
  <c r="P83" i="59"/>
  <c r="Q83" i="59" s="1"/>
  <c r="P79" i="59"/>
  <c r="Q79" i="59" s="1"/>
  <c r="P75" i="59"/>
  <c r="Q75" i="59" s="1"/>
  <c r="P71" i="59"/>
  <c r="Q71" i="59" s="1"/>
  <c r="P67" i="59"/>
  <c r="Q67" i="59" s="1"/>
  <c r="P63" i="59"/>
  <c r="Q63" i="59" s="1"/>
  <c r="P59" i="59"/>
  <c r="Q59" i="59" s="1"/>
  <c r="P55" i="59"/>
  <c r="Q55" i="59" s="1"/>
  <c r="P51" i="59"/>
  <c r="Q51" i="59" s="1"/>
  <c r="P47" i="59"/>
  <c r="Q47" i="59" s="1"/>
  <c r="P43" i="59"/>
  <c r="Q43" i="59" s="1"/>
  <c r="P39" i="59"/>
  <c r="Q39" i="59" s="1"/>
  <c r="P35" i="59"/>
  <c r="Q35" i="59" s="1"/>
  <c r="P31" i="59"/>
  <c r="Q31" i="59" s="1"/>
  <c r="P27" i="59"/>
  <c r="Q27" i="59" s="1"/>
  <c r="P251" i="59"/>
  <c r="Q251" i="59" s="1"/>
  <c r="P243" i="59"/>
  <c r="Q243" i="59" s="1"/>
  <c r="P235" i="59"/>
  <c r="Q235" i="59" s="1"/>
  <c r="P227" i="59"/>
  <c r="Q227" i="59" s="1"/>
  <c r="P219" i="59"/>
  <c r="Q219" i="59" s="1"/>
  <c r="P211" i="59"/>
  <c r="Q211" i="59" s="1"/>
  <c r="P195" i="59"/>
  <c r="Q195" i="59" s="1"/>
  <c r="P254" i="59"/>
  <c r="Q254" i="59" s="1"/>
  <c r="P246" i="59"/>
  <c r="Q246" i="59" s="1"/>
  <c r="P238" i="59"/>
  <c r="Q238" i="59" s="1"/>
  <c r="P230" i="59"/>
  <c r="Q230" i="59" s="1"/>
  <c r="P222" i="59"/>
  <c r="Q222" i="59" s="1"/>
  <c r="P214" i="59"/>
  <c r="Q214" i="59" s="1"/>
  <c r="P206" i="59"/>
  <c r="Q206" i="59" s="1"/>
  <c r="P198" i="59"/>
  <c r="Q198" i="59" s="1"/>
  <c r="P194" i="59"/>
  <c r="Q194" i="59" s="1"/>
  <c r="P190" i="59"/>
  <c r="Q190" i="59" s="1"/>
  <c r="P182" i="59"/>
  <c r="Q182" i="59" s="1"/>
  <c r="P178" i="59"/>
  <c r="Q178" i="59" s="1"/>
  <c r="P174" i="59"/>
  <c r="Q174" i="59" s="1"/>
  <c r="P170" i="59"/>
  <c r="Q170" i="59" s="1"/>
  <c r="P166" i="59"/>
  <c r="Q166" i="59" s="1"/>
  <c r="P162" i="59"/>
  <c r="Q162" i="59" s="1"/>
  <c r="P158" i="59"/>
  <c r="Q158" i="59" s="1"/>
  <c r="P154" i="59"/>
  <c r="Q154" i="59" s="1"/>
  <c r="P150" i="59"/>
  <c r="Q150" i="59" s="1"/>
  <c r="P146" i="59"/>
  <c r="Q146" i="59" s="1"/>
  <c r="P142" i="59"/>
  <c r="Q142" i="59" s="1"/>
  <c r="P138" i="59"/>
  <c r="Q138" i="59" s="1"/>
  <c r="P134" i="59"/>
  <c r="Q134" i="59" s="1"/>
  <c r="P130" i="59"/>
  <c r="Q130" i="59" s="1"/>
  <c r="P126" i="59"/>
  <c r="Q126" i="59" s="1"/>
  <c r="P122" i="59"/>
  <c r="Q122" i="59" s="1"/>
  <c r="P118" i="59"/>
  <c r="Q118" i="59" s="1"/>
  <c r="P114" i="59"/>
  <c r="Q114" i="59" s="1"/>
  <c r="P110" i="59"/>
  <c r="Q110" i="59" s="1"/>
  <c r="P106" i="59"/>
  <c r="Q106" i="59" s="1"/>
  <c r="P102" i="59"/>
  <c r="Q102" i="59" s="1"/>
  <c r="P98" i="59"/>
  <c r="Q98" i="59" s="1"/>
  <c r="P94" i="59"/>
  <c r="Q94" i="59" s="1"/>
  <c r="P90" i="59"/>
  <c r="Q90" i="59" s="1"/>
  <c r="P86" i="59"/>
  <c r="Q86" i="59" s="1"/>
  <c r="P82" i="59"/>
  <c r="Q82" i="59" s="1"/>
  <c r="P78" i="59"/>
  <c r="Q78" i="59" s="1"/>
  <c r="P74" i="59"/>
  <c r="Q74" i="59" s="1"/>
  <c r="P70" i="59"/>
  <c r="Q70" i="59" s="1"/>
  <c r="P66" i="59"/>
  <c r="Q66" i="59" s="1"/>
  <c r="P62" i="59"/>
  <c r="Q62" i="59" s="1"/>
  <c r="P58" i="59"/>
  <c r="Q58" i="59" s="1"/>
  <c r="P54" i="59"/>
  <c r="Q54" i="59" s="1"/>
  <c r="P50" i="59"/>
  <c r="Q50" i="59" s="1"/>
  <c r="P46" i="59"/>
  <c r="Q46" i="59" s="1"/>
  <c r="P42" i="59"/>
  <c r="Q42" i="59" s="1"/>
  <c r="P38" i="59"/>
  <c r="Q38" i="59" s="1"/>
  <c r="P34" i="59"/>
  <c r="Q34" i="59" s="1"/>
  <c r="P30" i="59"/>
  <c r="Q30" i="59" s="1"/>
  <c r="P26" i="59"/>
  <c r="Q26" i="59" s="1"/>
  <c r="P258" i="59"/>
  <c r="Q258" i="59" s="1"/>
  <c r="P250" i="59"/>
  <c r="Q250" i="59" s="1"/>
  <c r="P242" i="59"/>
  <c r="Q242" i="59" s="1"/>
  <c r="P234" i="59"/>
  <c r="Q234" i="59" s="1"/>
  <c r="P226" i="59"/>
  <c r="Q226" i="59" s="1"/>
  <c r="P218" i="59"/>
  <c r="Q218" i="59" s="1"/>
  <c r="P210" i="59"/>
  <c r="Q210" i="59" s="1"/>
  <c r="P202" i="59"/>
  <c r="Q202" i="59" s="1"/>
  <c r="P186" i="59"/>
  <c r="Q186" i="59" s="1"/>
  <c r="P23" i="59"/>
  <c r="Q23" i="59" s="1"/>
  <c r="P22" i="59"/>
  <c r="Q22" i="59" s="1"/>
  <c r="P21" i="59"/>
  <c r="Q21" i="59" s="1"/>
  <c r="P20" i="59"/>
  <c r="Q20" i="59" s="1"/>
  <c r="P19" i="59"/>
  <c r="Q19" i="59" s="1"/>
  <c r="P18" i="59"/>
  <c r="Q18" i="59" s="1"/>
  <c r="P17" i="59"/>
  <c r="Q17" i="59" s="1"/>
  <c r="P16" i="59"/>
  <c r="Q16" i="59" s="1"/>
  <c r="P15" i="59"/>
  <c r="Q15" i="59" s="1"/>
  <c r="P14" i="59"/>
  <c r="Q14" i="59" s="1"/>
  <c r="P13" i="59"/>
  <c r="Q13" i="59" s="1"/>
  <c r="L259" i="58"/>
  <c r="K259" i="58"/>
  <c r="F259" i="58"/>
  <c r="I259" i="58" s="1"/>
  <c r="L258" i="58"/>
  <c r="K258" i="58"/>
  <c r="F258" i="58"/>
  <c r="I258" i="58" s="1"/>
  <c r="L257" i="58"/>
  <c r="K257" i="58"/>
  <c r="F257" i="58"/>
  <c r="I257" i="58" s="1"/>
  <c r="L256" i="58"/>
  <c r="K256" i="58"/>
  <c r="F256" i="58"/>
  <c r="I256" i="58" s="1"/>
  <c r="L255" i="58"/>
  <c r="K255" i="58"/>
  <c r="F255" i="58"/>
  <c r="I255" i="58" s="1"/>
  <c r="L254" i="58"/>
  <c r="K254" i="58"/>
  <c r="F254" i="58"/>
  <c r="I254" i="58" s="1"/>
  <c r="L253" i="58"/>
  <c r="K253" i="58"/>
  <c r="F253" i="58"/>
  <c r="I253" i="58" s="1"/>
  <c r="L252" i="58"/>
  <c r="K252" i="58"/>
  <c r="F252" i="58"/>
  <c r="I252" i="58" s="1"/>
  <c r="L251" i="58"/>
  <c r="K251" i="58"/>
  <c r="F251" i="58"/>
  <c r="L250" i="58"/>
  <c r="K250" i="58"/>
  <c r="F250" i="58"/>
  <c r="I250" i="58" s="1"/>
  <c r="L249" i="58"/>
  <c r="K249" i="58"/>
  <c r="F249" i="58"/>
  <c r="I249" i="58" s="1"/>
  <c r="L248" i="58"/>
  <c r="K248" i="58"/>
  <c r="F248" i="58"/>
  <c r="I248" i="58" s="1"/>
  <c r="L247" i="58"/>
  <c r="K247" i="58"/>
  <c r="F247" i="58"/>
  <c r="I247" i="58" s="1"/>
  <c r="L246" i="58"/>
  <c r="K246" i="58"/>
  <c r="F246" i="58"/>
  <c r="I246" i="58" s="1"/>
  <c r="L245" i="58"/>
  <c r="K245" i="58"/>
  <c r="F245" i="58"/>
  <c r="L244" i="58"/>
  <c r="K244" i="58"/>
  <c r="F244" i="58"/>
  <c r="L243" i="58"/>
  <c r="K243" i="58"/>
  <c r="F243" i="58"/>
  <c r="I243" i="58" s="1"/>
  <c r="L242" i="58"/>
  <c r="K242" i="58"/>
  <c r="F242" i="58"/>
  <c r="I242" i="58" s="1"/>
  <c r="L241" i="58"/>
  <c r="K241" i="58"/>
  <c r="F241" i="58"/>
  <c r="I241" i="58" s="1"/>
  <c r="L240" i="58"/>
  <c r="K240" i="58"/>
  <c r="F240" i="58"/>
  <c r="I240" i="58" s="1"/>
  <c r="L239" i="58"/>
  <c r="K239" i="58"/>
  <c r="F239" i="58"/>
  <c r="I239" i="58" s="1"/>
  <c r="L238" i="58"/>
  <c r="K238" i="58"/>
  <c r="F238" i="58"/>
  <c r="I238" i="58" s="1"/>
  <c r="L237" i="58"/>
  <c r="K237" i="58"/>
  <c r="F237" i="58"/>
  <c r="L236" i="58"/>
  <c r="K236" i="58"/>
  <c r="F236" i="58"/>
  <c r="I236" i="58" s="1"/>
  <c r="L235" i="58"/>
  <c r="K235" i="58"/>
  <c r="F235" i="58"/>
  <c r="L234" i="58"/>
  <c r="K234" i="58"/>
  <c r="F234" i="58"/>
  <c r="I234" i="58" s="1"/>
  <c r="L233" i="58"/>
  <c r="K233" i="58"/>
  <c r="F233" i="58"/>
  <c r="I233" i="58" s="1"/>
  <c r="L232" i="58"/>
  <c r="K232" i="58"/>
  <c r="F232" i="58"/>
  <c r="I232" i="58" s="1"/>
  <c r="L231" i="58"/>
  <c r="K231" i="58"/>
  <c r="F231" i="58"/>
  <c r="I231" i="58" s="1"/>
  <c r="L230" i="58"/>
  <c r="K230" i="58"/>
  <c r="F230" i="58"/>
  <c r="I230" i="58" s="1"/>
  <c r="L229" i="58"/>
  <c r="K229" i="58"/>
  <c r="F229" i="58"/>
  <c r="L228" i="58"/>
  <c r="K228" i="58"/>
  <c r="F228" i="58"/>
  <c r="L227" i="58"/>
  <c r="K227" i="58"/>
  <c r="F227" i="58"/>
  <c r="I227" i="58" s="1"/>
  <c r="L226" i="58"/>
  <c r="K226" i="58"/>
  <c r="F226" i="58"/>
  <c r="I226" i="58" s="1"/>
  <c r="L225" i="58"/>
  <c r="K225" i="58"/>
  <c r="F225" i="58"/>
  <c r="I225" i="58" s="1"/>
  <c r="L224" i="58"/>
  <c r="K224" i="58"/>
  <c r="F224" i="58"/>
  <c r="I224" i="58" s="1"/>
  <c r="L223" i="58"/>
  <c r="K223" i="58"/>
  <c r="F223" i="58"/>
  <c r="I223" i="58" s="1"/>
  <c r="L222" i="58"/>
  <c r="K222" i="58"/>
  <c r="F222" i="58"/>
  <c r="I222" i="58" s="1"/>
  <c r="L221" i="58"/>
  <c r="K221" i="58"/>
  <c r="F221" i="58"/>
  <c r="L220" i="58"/>
  <c r="K220" i="58"/>
  <c r="F220" i="58"/>
  <c r="I220" i="58" s="1"/>
  <c r="L219" i="58"/>
  <c r="K219" i="58"/>
  <c r="F219" i="58"/>
  <c r="L218" i="58"/>
  <c r="K218" i="58"/>
  <c r="F218" i="58"/>
  <c r="I218" i="58" s="1"/>
  <c r="L217" i="58"/>
  <c r="K217" i="58"/>
  <c r="F217" i="58"/>
  <c r="I217" i="58" s="1"/>
  <c r="L216" i="58"/>
  <c r="K216" i="58"/>
  <c r="F216" i="58"/>
  <c r="I216" i="58" s="1"/>
  <c r="L215" i="58"/>
  <c r="K215" i="58"/>
  <c r="F215" i="58"/>
  <c r="I215" i="58" s="1"/>
  <c r="L214" i="58"/>
  <c r="K214" i="58"/>
  <c r="F214" i="58"/>
  <c r="I214" i="58" s="1"/>
  <c r="L213" i="58"/>
  <c r="K213" i="58"/>
  <c r="F213" i="58"/>
  <c r="L212" i="58"/>
  <c r="K212" i="58"/>
  <c r="F212" i="58"/>
  <c r="L211" i="58"/>
  <c r="K211" i="58"/>
  <c r="F211" i="58"/>
  <c r="I211" i="58" s="1"/>
  <c r="L210" i="58"/>
  <c r="K210" i="58"/>
  <c r="F210" i="58"/>
  <c r="I210" i="58" s="1"/>
  <c r="L209" i="58"/>
  <c r="K209" i="58"/>
  <c r="F209" i="58"/>
  <c r="I209" i="58" s="1"/>
  <c r="L208" i="58"/>
  <c r="K208" i="58"/>
  <c r="F208" i="58"/>
  <c r="I208" i="58" s="1"/>
  <c r="L207" i="58"/>
  <c r="K207" i="58"/>
  <c r="F207" i="58"/>
  <c r="I207" i="58" s="1"/>
  <c r="L206" i="58"/>
  <c r="K206" i="58"/>
  <c r="F206" i="58"/>
  <c r="I206" i="58" s="1"/>
  <c r="L205" i="58"/>
  <c r="K205" i="58"/>
  <c r="F205" i="58"/>
  <c r="L204" i="58"/>
  <c r="K204" i="58"/>
  <c r="F204" i="58"/>
  <c r="I204" i="58" s="1"/>
  <c r="L203" i="58"/>
  <c r="K203" i="58"/>
  <c r="F203" i="58"/>
  <c r="L202" i="58"/>
  <c r="K202" i="58"/>
  <c r="F202" i="58"/>
  <c r="I202" i="58" s="1"/>
  <c r="L201" i="58"/>
  <c r="K201" i="58"/>
  <c r="F201" i="58"/>
  <c r="I201" i="58" s="1"/>
  <c r="L200" i="58"/>
  <c r="K200" i="58"/>
  <c r="F200" i="58"/>
  <c r="I200" i="58" s="1"/>
  <c r="L199" i="58"/>
  <c r="K199" i="58"/>
  <c r="F199" i="58"/>
  <c r="I199" i="58" s="1"/>
  <c r="L198" i="58"/>
  <c r="K198" i="58"/>
  <c r="F198" i="58"/>
  <c r="I198" i="58" s="1"/>
  <c r="L197" i="58"/>
  <c r="K197" i="58"/>
  <c r="F197" i="58"/>
  <c r="L196" i="58"/>
  <c r="K196" i="58"/>
  <c r="F196" i="58"/>
  <c r="L195" i="58"/>
  <c r="K195" i="58"/>
  <c r="F195" i="58"/>
  <c r="I195" i="58" s="1"/>
  <c r="L194" i="58"/>
  <c r="K194" i="58"/>
  <c r="F194" i="58"/>
  <c r="I194" i="58" s="1"/>
  <c r="L193" i="58"/>
  <c r="K193" i="58"/>
  <c r="F193" i="58"/>
  <c r="I193" i="58" s="1"/>
  <c r="L192" i="58"/>
  <c r="K192" i="58"/>
  <c r="F192" i="58"/>
  <c r="I192" i="58" s="1"/>
  <c r="L191" i="58"/>
  <c r="K191" i="58"/>
  <c r="F191" i="58"/>
  <c r="I191" i="58" s="1"/>
  <c r="L190" i="58"/>
  <c r="K190" i="58"/>
  <c r="F190" i="58"/>
  <c r="L189" i="58"/>
  <c r="K189" i="58"/>
  <c r="F189" i="58"/>
  <c r="L188" i="58"/>
  <c r="K188" i="58"/>
  <c r="F188" i="58"/>
  <c r="I188" i="58" s="1"/>
  <c r="L187" i="58"/>
  <c r="K187" i="58"/>
  <c r="F187" i="58"/>
  <c r="L186" i="58"/>
  <c r="K186" i="58"/>
  <c r="F186" i="58"/>
  <c r="I186" i="58" s="1"/>
  <c r="L185" i="58"/>
  <c r="K185" i="58"/>
  <c r="F185" i="58"/>
  <c r="I185" i="58" s="1"/>
  <c r="L184" i="58"/>
  <c r="K184" i="58"/>
  <c r="F184" i="58"/>
  <c r="I184" i="58" s="1"/>
  <c r="L183" i="58"/>
  <c r="K183" i="58"/>
  <c r="F183" i="58"/>
  <c r="I183" i="58" s="1"/>
  <c r="L182" i="58"/>
  <c r="K182" i="58"/>
  <c r="F182" i="58"/>
  <c r="I182" i="58" s="1"/>
  <c r="L181" i="58"/>
  <c r="K181" i="58"/>
  <c r="F181" i="58"/>
  <c r="L180" i="58"/>
  <c r="K180" i="58"/>
  <c r="F180" i="58"/>
  <c r="L179" i="58"/>
  <c r="K179" i="58"/>
  <c r="F179" i="58"/>
  <c r="I179" i="58" s="1"/>
  <c r="L178" i="58"/>
  <c r="K178" i="58"/>
  <c r="F178" i="58"/>
  <c r="I178" i="58" s="1"/>
  <c r="L177" i="58"/>
  <c r="K177" i="58"/>
  <c r="F177" i="58"/>
  <c r="I177" i="58" s="1"/>
  <c r="L176" i="58"/>
  <c r="K176" i="58"/>
  <c r="F176" i="58"/>
  <c r="I176" i="58" s="1"/>
  <c r="L175" i="58"/>
  <c r="K175" i="58"/>
  <c r="F175" i="58"/>
  <c r="I175" i="58" s="1"/>
  <c r="L174" i="58"/>
  <c r="K174" i="58"/>
  <c r="F174" i="58"/>
  <c r="I174" i="58" s="1"/>
  <c r="L173" i="58"/>
  <c r="K173" i="58"/>
  <c r="F173" i="58"/>
  <c r="L172" i="58"/>
  <c r="K172" i="58"/>
  <c r="F172" i="58"/>
  <c r="L171" i="58"/>
  <c r="K171" i="58"/>
  <c r="F171" i="58"/>
  <c r="L170" i="58"/>
  <c r="K170" i="58"/>
  <c r="F170" i="58"/>
  <c r="I170" i="58" s="1"/>
  <c r="L169" i="58"/>
  <c r="K169" i="58"/>
  <c r="F169" i="58"/>
  <c r="I169" i="58" s="1"/>
  <c r="L168" i="58"/>
  <c r="K168" i="58"/>
  <c r="F168" i="58"/>
  <c r="L167" i="58"/>
  <c r="K167" i="58"/>
  <c r="F167" i="58"/>
  <c r="I167" i="58" s="1"/>
  <c r="L166" i="58"/>
  <c r="K166" i="58"/>
  <c r="F166" i="58"/>
  <c r="I166" i="58" s="1"/>
  <c r="L165" i="58"/>
  <c r="K165" i="58"/>
  <c r="F165" i="58"/>
  <c r="I165" i="58" s="1"/>
  <c r="L164" i="58"/>
  <c r="K164" i="58"/>
  <c r="F164" i="58"/>
  <c r="L163" i="58"/>
  <c r="K163" i="58"/>
  <c r="F163" i="58"/>
  <c r="I163" i="58" s="1"/>
  <c r="L162" i="58"/>
  <c r="K162" i="58"/>
  <c r="F162" i="58"/>
  <c r="I162" i="58" s="1"/>
  <c r="L161" i="58"/>
  <c r="K161" i="58"/>
  <c r="F161" i="58"/>
  <c r="I161" i="58" s="1"/>
  <c r="L160" i="58"/>
  <c r="K160" i="58"/>
  <c r="F160" i="58"/>
  <c r="L159" i="58"/>
  <c r="K159" i="58"/>
  <c r="F159" i="58"/>
  <c r="I159" i="58" s="1"/>
  <c r="L158" i="58"/>
  <c r="K158" i="58"/>
  <c r="F158" i="58"/>
  <c r="L157" i="58"/>
  <c r="K157" i="58"/>
  <c r="F157" i="58"/>
  <c r="I157" i="58" s="1"/>
  <c r="L156" i="58"/>
  <c r="K156" i="58"/>
  <c r="F156" i="58"/>
  <c r="L155" i="58"/>
  <c r="K155" i="58"/>
  <c r="F155" i="58"/>
  <c r="I155" i="58" s="1"/>
  <c r="L154" i="58"/>
  <c r="K154" i="58"/>
  <c r="F154" i="58"/>
  <c r="I154" i="58" s="1"/>
  <c r="L153" i="58"/>
  <c r="K153" i="58"/>
  <c r="F153" i="58"/>
  <c r="I153" i="58" s="1"/>
  <c r="L152" i="58"/>
  <c r="K152" i="58"/>
  <c r="F152" i="58"/>
  <c r="L151" i="58"/>
  <c r="K151" i="58"/>
  <c r="F151" i="58"/>
  <c r="I151" i="58" s="1"/>
  <c r="L150" i="58"/>
  <c r="K150" i="58"/>
  <c r="F150" i="58"/>
  <c r="I150" i="58" s="1"/>
  <c r="L149" i="58"/>
  <c r="K149" i="58"/>
  <c r="F149" i="58"/>
  <c r="I149" i="58" s="1"/>
  <c r="L148" i="58"/>
  <c r="K148" i="58"/>
  <c r="F148" i="58"/>
  <c r="L147" i="58"/>
  <c r="K147" i="58"/>
  <c r="F147" i="58"/>
  <c r="I147" i="58" s="1"/>
  <c r="L146" i="58"/>
  <c r="K146" i="58"/>
  <c r="F146" i="58"/>
  <c r="I146" i="58" s="1"/>
  <c r="L145" i="58"/>
  <c r="K145" i="58"/>
  <c r="F145" i="58"/>
  <c r="I145" i="58" s="1"/>
  <c r="L144" i="58"/>
  <c r="K144" i="58"/>
  <c r="F144" i="58"/>
  <c r="L143" i="58"/>
  <c r="K143" i="58"/>
  <c r="F143" i="58"/>
  <c r="I143" i="58" s="1"/>
  <c r="L142" i="58"/>
  <c r="K142" i="58"/>
  <c r="F142" i="58"/>
  <c r="I142" i="58" s="1"/>
  <c r="L141" i="58"/>
  <c r="K141" i="58"/>
  <c r="F141" i="58"/>
  <c r="L140" i="58"/>
  <c r="K140" i="58"/>
  <c r="F140" i="58"/>
  <c r="L139" i="58"/>
  <c r="K139" i="58"/>
  <c r="F139" i="58"/>
  <c r="L138" i="58"/>
  <c r="K138" i="58"/>
  <c r="F138" i="58"/>
  <c r="I138" i="58" s="1"/>
  <c r="L137" i="58"/>
  <c r="K137" i="58"/>
  <c r="F137" i="58"/>
  <c r="I137" i="58" s="1"/>
  <c r="L136" i="58"/>
  <c r="K136" i="58"/>
  <c r="F136" i="58"/>
  <c r="L135" i="58"/>
  <c r="K135" i="58"/>
  <c r="F135" i="58"/>
  <c r="L134" i="58"/>
  <c r="K134" i="58"/>
  <c r="F134" i="58"/>
  <c r="I134" i="58" s="1"/>
  <c r="L133" i="58"/>
  <c r="K133" i="58"/>
  <c r="F133" i="58"/>
  <c r="I133" i="58" s="1"/>
  <c r="L132" i="58"/>
  <c r="K132" i="58"/>
  <c r="F132" i="58"/>
  <c r="L131" i="58"/>
  <c r="K131" i="58"/>
  <c r="F131" i="58"/>
  <c r="I131" i="58" s="1"/>
  <c r="L130" i="58"/>
  <c r="K130" i="58"/>
  <c r="F130" i="58"/>
  <c r="I130" i="58" s="1"/>
  <c r="L129" i="58"/>
  <c r="K129" i="58"/>
  <c r="F129" i="58"/>
  <c r="I129" i="58" s="1"/>
  <c r="L128" i="58"/>
  <c r="K128" i="58"/>
  <c r="F128" i="58"/>
  <c r="L127" i="58"/>
  <c r="K127" i="58"/>
  <c r="F127" i="58"/>
  <c r="I127" i="58" s="1"/>
  <c r="L126" i="58"/>
  <c r="K126" i="58"/>
  <c r="F126" i="58"/>
  <c r="L125" i="58"/>
  <c r="K125" i="58"/>
  <c r="F125" i="58"/>
  <c r="I125" i="58" s="1"/>
  <c r="L124" i="58"/>
  <c r="K124" i="58"/>
  <c r="F124" i="58"/>
  <c r="L123" i="58"/>
  <c r="K123" i="58"/>
  <c r="F123" i="58"/>
  <c r="I123" i="58" s="1"/>
  <c r="L122" i="58"/>
  <c r="K122" i="58"/>
  <c r="F122" i="58"/>
  <c r="I122" i="58" s="1"/>
  <c r="L121" i="58"/>
  <c r="K121" i="58"/>
  <c r="F121" i="58"/>
  <c r="I121" i="58" s="1"/>
  <c r="L120" i="58"/>
  <c r="K120" i="58"/>
  <c r="F120" i="58"/>
  <c r="L119" i="58"/>
  <c r="K119" i="58"/>
  <c r="F119" i="58"/>
  <c r="I119" i="58" s="1"/>
  <c r="L118" i="58"/>
  <c r="K118" i="58"/>
  <c r="F118" i="58"/>
  <c r="I118" i="58" s="1"/>
  <c r="L117" i="58"/>
  <c r="K117" i="58"/>
  <c r="F117" i="58"/>
  <c r="I117" i="58" s="1"/>
  <c r="L116" i="58"/>
  <c r="K116" i="58"/>
  <c r="F116" i="58"/>
  <c r="L115" i="58"/>
  <c r="K115" i="58"/>
  <c r="F115" i="58"/>
  <c r="I115" i="58" s="1"/>
  <c r="L114" i="58"/>
  <c r="K114" i="58"/>
  <c r="F114" i="58"/>
  <c r="I114" i="58" s="1"/>
  <c r="L113" i="58"/>
  <c r="K113" i="58"/>
  <c r="F113" i="58"/>
  <c r="I113" i="58" s="1"/>
  <c r="L112" i="58"/>
  <c r="K112" i="58"/>
  <c r="F112" i="58"/>
  <c r="L111" i="58"/>
  <c r="K111" i="58"/>
  <c r="F111" i="58"/>
  <c r="I111" i="58" s="1"/>
  <c r="L110" i="58"/>
  <c r="K110" i="58"/>
  <c r="F110" i="58"/>
  <c r="I110" i="58" s="1"/>
  <c r="L109" i="58"/>
  <c r="K109" i="58"/>
  <c r="F109" i="58"/>
  <c r="L108" i="58"/>
  <c r="K108" i="58"/>
  <c r="F108" i="58"/>
  <c r="L107" i="58"/>
  <c r="K107" i="58"/>
  <c r="F107" i="58"/>
  <c r="L106" i="58"/>
  <c r="K106" i="58"/>
  <c r="F106" i="58"/>
  <c r="I106" i="58" s="1"/>
  <c r="L105" i="58"/>
  <c r="K105" i="58"/>
  <c r="F105" i="58"/>
  <c r="I105" i="58" s="1"/>
  <c r="L104" i="58"/>
  <c r="K104" i="58"/>
  <c r="F104" i="58"/>
  <c r="I104" i="58" s="1"/>
  <c r="L103" i="58"/>
  <c r="K103" i="58"/>
  <c r="F103" i="58"/>
  <c r="I103" i="58" s="1"/>
  <c r="L102" i="58"/>
  <c r="K102" i="58"/>
  <c r="F102" i="58"/>
  <c r="I102" i="58" s="1"/>
  <c r="L101" i="58"/>
  <c r="K101" i="58"/>
  <c r="F101" i="58"/>
  <c r="I101" i="58" s="1"/>
  <c r="L100" i="58"/>
  <c r="K100" i="58"/>
  <c r="F100" i="58"/>
  <c r="I100" i="58" s="1"/>
  <c r="L99" i="58"/>
  <c r="K99" i="58"/>
  <c r="F99" i="58"/>
  <c r="I99" i="58" s="1"/>
  <c r="L98" i="58"/>
  <c r="K98" i="58"/>
  <c r="F98" i="58"/>
  <c r="I98" i="58" s="1"/>
  <c r="L97" i="58"/>
  <c r="K97" i="58"/>
  <c r="F97" i="58"/>
  <c r="I97" i="58" s="1"/>
  <c r="L96" i="58"/>
  <c r="K96" i="58"/>
  <c r="F96" i="58"/>
  <c r="I96" i="58" s="1"/>
  <c r="L95" i="58"/>
  <c r="K95" i="58"/>
  <c r="F95" i="58"/>
  <c r="I95" i="58" s="1"/>
  <c r="L94" i="58"/>
  <c r="K94" i="58"/>
  <c r="F94" i="58"/>
  <c r="I94" i="58" s="1"/>
  <c r="L93" i="58"/>
  <c r="K93" i="58"/>
  <c r="F93" i="58"/>
  <c r="I93" i="58" s="1"/>
  <c r="L92" i="58"/>
  <c r="K92" i="58"/>
  <c r="F92" i="58"/>
  <c r="I92" i="58" s="1"/>
  <c r="L91" i="58"/>
  <c r="K91" i="58"/>
  <c r="F91" i="58"/>
  <c r="L90" i="58"/>
  <c r="K90" i="58"/>
  <c r="F90" i="58"/>
  <c r="I90" i="58" s="1"/>
  <c r="L89" i="58"/>
  <c r="K89" i="58"/>
  <c r="F89" i="58"/>
  <c r="I89" i="58" s="1"/>
  <c r="L88" i="58"/>
  <c r="K88" i="58"/>
  <c r="F88" i="58"/>
  <c r="I88" i="58" s="1"/>
  <c r="L87" i="58"/>
  <c r="K87" i="58"/>
  <c r="F87" i="58"/>
  <c r="I87" i="58" s="1"/>
  <c r="L86" i="58"/>
  <c r="K86" i="58"/>
  <c r="F86" i="58"/>
  <c r="I86" i="58" s="1"/>
  <c r="L85" i="58"/>
  <c r="K85" i="58"/>
  <c r="F85" i="58"/>
  <c r="I85" i="58" s="1"/>
  <c r="L84" i="58"/>
  <c r="K84" i="58"/>
  <c r="F84" i="58"/>
  <c r="I84" i="58" s="1"/>
  <c r="L83" i="58"/>
  <c r="K83" i="58"/>
  <c r="F83" i="58"/>
  <c r="I83" i="58" s="1"/>
  <c r="L82" i="58"/>
  <c r="K82" i="58"/>
  <c r="F82" i="58"/>
  <c r="I82" i="58" s="1"/>
  <c r="L81" i="58"/>
  <c r="K81" i="58"/>
  <c r="F81" i="58"/>
  <c r="I81" i="58" s="1"/>
  <c r="L80" i="58"/>
  <c r="K80" i="58"/>
  <c r="F80" i="58"/>
  <c r="I80" i="58" s="1"/>
  <c r="L79" i="58"/>
  <c r="K79" i="58"/>
  <c r="F79" i="58"/>
  <c r="I79" i="58" s="1"/>
  <c r="L78" i="58"/>
  <c r="K78" i="58"/>
  <c r="F78" i="58"/>
  <c r="I78" i="58" s="1"/>
  <c r="L77" i="58"/>
  <c r="K77" i="58"/>
  <c r="F77" i="58"/>
  <c r="I77" i="58" s="1"/>
  <c r="L76" i="58"/>
  <c r="K76" i="58"/>
  <c r="F76" i="58"/>
  <c r="I76" i="58" s="1"/>
  <c r="L75" i="58"/>
  <c r="K75" i="58"/>
  <c r="F75" i="58"/>
  <c r="I75" i="58" s="1"/>
  <c r="L74" i="58"/>
  <c r="K74" i="58"/>
  <c r="F74" i="58"/>
  <c r="I74" i="58" s="1"/>
  <c r="L73" i="58"/>
  <c r="K73" i="58"/>
  <c r="F73" i="58"/>
  <c r="I73" i="58" s="1"/>
  <c r="L72" i="58"/>
  <c r="K72" i="58"/>
  <c r="F72" i="58"/>
  <c r="I72" i="58" s="1"/>
  <c r="L71" i="58"/>
  <c r="K71" i="58"/>
  <c r="F71" i="58"/>
  <c r="I71" i="58" s="1"/>
  <c r="L70" i="58"/>
  <c r="K70" i="58"/>
  <c r="F70" i="58"/>
  <c r="I70" i="58" s="1"/>
  <c r="L69" i="58"/>
  <c r="K69" i="58"/>
  <c r="F69" i="58"/>
  <c r="L68" i="58"/>
  <c r="K68" i="58"/>
  <c r="F68" i="58"/>
  <c r="I68" i="58" s="1"/>
  <c r="L67" i="58"/>
  <c r="K67" i="58"/>
  <c r="F67" i="58"/>
  <c r="I67" i="58" s="1"/>
  <c r="L66" i="58"/>
  <c r="K66" i="58"/>
  <c r="F66" i="58"/>
  <c r="I66" i="58" s="1"/>
  <c r="L65" i="58"/>
  <c r="K65" i="58"/>
  <c r="F65" i="58"/>
  <c r="I65" i="58" s="1"/>
  <c r="L64" i="58"/>
  <c r="K64" i="58"/>
  <c r="F64" i="58"/>
  <c r="I64" i="58" s="1"/>
  <c r="L63" i="58"/>
  <c r="K63" i="58"/>
  <c r="F63" i="58"/>
  <c r="I63" i="58" s="1"/>
  <c r="L62" i="58"/>
  <c r="K62" i="58"/>
  <c r="F62" i="58"/>
  <c r="I62" i="58" s="1"/>
  <c r="L61" i="58"/>
  <c r="K61" i="58"/>
  <c r="F61" i="58"/>
  <c r="I61" i="58" s="1"/>
  <c r="L60" i="58"/>
  <c r="K60" i="58"/>
  <c r="F60" i="58"/>
  <c r="I60" i="58" s="1"/>
  <c r="L59" i="58"/>
  <c r="K59" i="58"/>
  <c r="F59" i="58"/>
  <c r="I59" i="58" s="1"/>
  <c r="L58" i="58"/>
  <c r="K58" i="58"/>
  <c r="F58" i="58"/>
  <c r="I58" i="58" s="1"/>
  <c r="L57" i="58"/>
  <c r="K57" i="58"/>
  <c r="F57" i="58"/>
  <c r="I57" i="58" s="1"/>
  <c r="L56" i="58"/>
  <c r="K56" i="58"/>
  <c r="F56" i="58"/>
  <c r="I56" i="58" s="1"/>
  <c r="L55" i="58"/>
  <c r="K55" i="58"/>
  <c r="F55" i="58"/>
  <c r="I55" i="58" s="1"/>
  <c r="L54" i="58"/>
  <c r="K54" i="58"/>
  <c r="F54" i="58"/>
  <c r="I54" i="58" s="1"/>
  <c r="L53" i="58"/>
  <c r="K53" i="58"/>
  <c r="F53" i="58"/>
  <c r="L52" i="58"/>
  <c r="K52" i="58"/>
  <c r="F52" i="58"/>
  <c r="I52" i="58" s="1"/>
  <c r="L51" i="58"/>
  <c r="K51" i="58"/>
  <c r="F51" i="58"/>
  <c r="I51" i="58" s="1"/>
  <c r="L50" i="58"/>
  <c r="K50" i="58"/>
  <c r="F50" i="58"/>
  <c r="I50" i="58" s="1"/>
  <c r="L49" i="58"/>
  <c r="K49" i="58"/>
  <c r="F49" i="58"/>
  <c r="I49" i="58" s="1"/>
  <c r="L48" i="58"/>
  <c r="K48" i="58"/>
  <c r="F48" i="58"/>
  <c r="I48" i="58" s="1"/>
  <c r="L47" i="58"/>
  <c r="K47" i="58"/>
  <c r="F47" i="58"/>
  <c r="I47" i="58" s="1"/>
  <c r="L46" i="58"/>
  <c r="K46" i="58"/>
  <c r="F46" i="58"/>
  <c r="I46" i="58" s="1"/>
  <c r="L45" i="58"/>
  <c r="K45" i="58"/>
  <c r="F45" i="58"/>
  <c r="I45" i="58" s="1"/>
  <c r="L44" i="58"/>
  <c r="K44" i="58"/>
  <c r="F44" i="58"/>
  <c r="I44" i="58" s="1"/>
  <c r="L43" i="58"/>
  <c r="K43" i="58"/>
  <c r="F43" i="58"/>
  <c r="I43" i="58" s="1"/>
  <c r="L42" i="58"/>
  <c r="K42" i="58"/>
  <c r="F42" i="58"/>
  <c r="I42" i="58" s="1"/>
  <c r="L41" i="58"/>
  <c r="K41" i="58"/>
  <c r="F41" i="58"/>
  <c r="I41" i="58" s="1"/>
  <c r="L40" i="58"/>
  <c r="K40" i="58"/>
  <c r="F40" i="58"/>
  <c r="I40" i="58" s="1"/>
  <c r="L39" i="58"/>
  <c r="K39" i="58"/>
  <c r="F39" i="58"/>
  <c r="I39" i="58" s="1"/>
  <c r="L38" i="58"/>
  <c r="K38" i="58"/>
  <c r="F38" i="58"/>
  <c r="I38" i="58" s="1"/>
  <c r="L37" i="58"/>
  <c r="K37" i="58"/>
  <c r="F37" i="58"/>
  <c r="L36" i="58"/>
  <c r="K36" i="58"/>
  <c r="F36" i="58"/>
  <c r="I36" i="58" s="1"/>
  <c r="L35" i="58"/>
  <c r="K35" i="58"/>
  <c r="F35" i="58"/>
  <c r="I35" i="58" s="1"/>
  <c r="L34" i="58"/>
  <c r="K34" i="58"/>
  <c r="F34" i="58"/>
  <c r="I34" i="58" s="1"/>
  <c r="L33" i="58"/>
  <c r="K33" i="58"/>
  <c r="F33" i="58"/>
  <c r="I33" i="58" s="1"/>
  <c r="L32" i="58"/>
  <c r="K32" i="58"/>
  <c r="F32" i="58"/>
  <c r="I32" i="58" s="1"/>
  <c r="L31" i="58"/>
  <c r="K31" i="58"/>
  <c r="F31" i="58"/>
  <c r="I31" i="58" s="1"/>
  <c r="L30" i="58"/>
  <c r="K30" i="58"/>
  <c r="F30" i="58"/>
  <c r="I30" i="58" s="1"/>
  <c r="L29" i="58"/>
  <c r="K29" i="58"/>
  <c r="F29" i="58"/>
  <c r="I29" i="58" s="1"/>
  <c r="L28" i="58"/>
  <c r="K28" i="58"/>
  <c r="F28" i="58"/>
  <c r="I28" i="58" s="1"/>
  <c r="L27" i="58"/>
  <c r="K27" i="58"/>
  <c r="F27" i="58"/>
  <c r="I27" i="58" s="1"/>
  <c r="L26" i="58"/>
  <c r="K26" i="58"/>
  <c r="F26" i="58"/>
  <c r="I26" i="58" s="1"/>
  <c r="L25" i="58"/>
  <c r="K25" i="58"/>
  <c r="F25" i="58"/>
  <c r="I25" i="58" s="1"/>
  <c r="L24" i="58"/>
  <c r="K24" i="58"/>
  <c r="F24" i="58"/>
  <c r="I24" i="58" s="1"/>
  <c r="L23" i="58"/>
  <c r="K23" i="58"/>
  <c r="F23" i="58"/>
  <c r="I23" i="58" s="1"/>
  <c r="L22" i="58"/>
  <c r="K22" i="58"/>
  <c r="F22" i="58"/>
  <c r="I22" i="58" s="1"/>
  <c r="L21" i="58"/>
  <c r="K21" i="58"/>
  <c r="F21" i="58"/>
  <c r="L20" i="58"/>
  <c r="K20" i="58"/>
  <c r="F20" i="58"/>
  <c r="I20" i="58" s="1"/>
  <c r="L19" i="58"/>
  <c r="K19" i="58"/>
  <c r="F19" i="58"/>
  <c r="I19" i="58" s="1"/>
  <c r="L18" i="58"/>
  <c r="K18" i="58"/>
  <c r="F18" i="58"/>
  <c r="I18" i="58" s="1"/>
  <c r="L17" i="58"/>
  <c r="K17" i="58"/>
  <c r="F17" i="58"/>
  <c r="I17" i="58" s="1"/>
  <c r="L16" i="58"/>
  <c r="K16" i="58"/>
  <c r="F16" i="58"/>
  <c r="I16" i="58" s="1"/>
  <c r="L15" i="58"/>
  <c r="K15" i="58"/>
  <c r="F15" i="58"/>
  <c r="I15" i="58" s="1"/>
  <c r="L14" i="58"/>
  <c r="K14" i="58"/>
  <c r="F14" i="58"/>
  <c r="I14" i="58" s="1"/>
  <c r="L13" i="58"/>
  <c r="K13" i="58"/>
  <c r="F13" i="58"/>
  <c r="I13" i="58" s="1"/>
  <c r="X112" i="58" l="1"/>
  <c r="I112" i="58"/>
  <c r="X120" i="58"/>
  <c r="I120" i="58"/>
  <c r="X128" i="58"/>
  <c r="I128" i="58"/>
  <c r="X136" i="58"/>
  <c r="I136" i="58"/>
  <c r="X144" i="58"/>
  <c r="I144" i="58"/>
  <c r="X152" i="58"/>
  <c r="I152" i="58"/>
  <c r="X160" i="58"/>
  <c r="I160" i="58"/>
  <c r="X168" i="58"/>
  <c r="I168" i="58"/>
  <c r="X91" i="58"/>
  <c r="I91" i="58"/>
  <c r="X107" i="58"/>
  <c r="I107" i="58"/>
  <c r="X139" i="58"/>
  <c r="I139" i="58"/>
  <c r="X171" i="58"/>
  <c r="I171" i="58"/>
  <c r="X187" i="58"/>
  <c r="I187" i="58"/>
  <c r="X203" i="58"/>
  <c r="I203" i="58"/>
  <c r="X219" i="58"/>
  <c r="I219" i="58"/>
  <c r="X235" i="58"/>
  <c r="I235" i="58"/>
  <c r="X251" i="58"/>
  <c r="I251" i="58"/>
  <c r="X126" i="58"/>
  <c r="I126" i="58"/>
  <c r="X158" i="58"/>
  <c r="I158" i="58"/>
  <c r="X190" i="58"/>
  <c r="I190" i="58"/>
  <c r="X108" i="58"/>
  <c r="I108" i="58"/>
  <c r="X116" i="58"/>
  <c r="I116" i="58"/>
  <c r="X124" i="58"/>
  <c r="I124" i="58"/>
  <c r="X132" i="58"/>
  <c r="I132" i="58"/>
  <c r="X140" i="58"/>
  <c r="I140" i="58"/>
  <c r="X148" i="58"/>
  <c r="I148" i="58"/>
  <c r="X156" i="58"/>
  <c r="I156" i="58"/>
  <c r="X164" i="58"/>
  <c r="I164" i="58"/>
  <c r="X172" i="58"/>
  <c r="I172" i="58"/>
  <c r="X180" i="58"/>
  <c r="I180" i="58"/>
  <c r="X196" i="58"/>
  <c r="I196" i="58"/>
  <c r="X212" i="58"/>
  <c r="I212" i="58"/>
  <c r="X228" i="58"/>
  <c r="I228" i="58"/>
  <c r="X244" i="58"/>
  <c r="I244" i="58"/>
  <c r="X135" i="58"/>
  <c r="I135" i="58"/>
  <c r="X21" i="58"/>
  <c r="I21" i="58"/>
  <c r="X37" i="58"/>
  <c r="I37" i="58"/>
  <c r="X53" i="58"/>
  <c r="I53" i="58"/>
  <c r="X69" i="58"/>
  <c r="I69" i="58"/>
  <c r="X109" i="58"/>
  <c r="I109" i="58"/>
  <c r="X141" i="58"/>
  <c r="I141" i="58"/>
  <c r="X173" i="58"/>
  <c r="I173" i="58"/>
  <c r="X181" i="58"/>
  <c r="I181" i="58"/>
  <c r="X189" i="58"/>
  <c r="I189" i="58"/>
  <c r="X197" i="58"/>
  <c r="I197" i="58"/>
  <c r="X205" i="58"/>
  <c r="I205" i="58"/>
  <c r="X213" i="58"/>
  <c r="I213" i="58"/>
  <c r="X221" i="58"/>
  <c r="I221" i="58"/>
  <c r="X229" i="58"/>
  <c r="I229" i="58"/>
  <c r="X237" i="58"/>
  <c r="I237" i="58"/>
  <c r="X245" i="58"/>
  <c r="I245" i="58"/>
  <c r="W38" i="58"/>
  <c r="W174" i="58"/>
  <c r="W198" i="58"/>
  <c r="W214" i="58"/>
  <c r="W17" i="58"/>
  <c r="W25" i="58"/>
  <c r="W33" i="58"/>
  <c r="W41" i="58"/>
  <c r="W49" i="58"/>
  <c r="W57" i="58"/>
  <c r="W65" i="58"/>
  <c r="W73" i="58"/>
  <c r="W81" i="58"/>
  <c r="W89" i="58"/>
  <c r="W97" i="58"/>
  <c r="W105" i="58"/>
  <c r="W113" i="58"/>
  <c r="W121" i="58"/>
  <c r="W129" i="58"/>
  <c r="W137" i="58"/>
  <c r="W145" i="58"/>
  <c r="W153" i="58"/>
  <c r="W161" i="58"/>
  <c r="W169" i="58"/>
  <c r="W177" i="58"/>
  <c r="W185" i="58"/>
  <c r="W193" i="58"/>
  <c r="W201" i="58"/>
  <c r="W209" i="58"/>
  <c r="W217" i="58"/>
  <c r="W225" i="58"/>
  <c r="W233" i="58"/>
  <c r="W241" i="58"/>
  <c r="W249" i="58"/>
  <c r="W257" i="58"/>
  <c r="W54" i="58"/>
  <c r="W102" i="58"/>
  <c r="W134" i="58"/>
  <c r="W182" i="58"/>
  <c r="W206" i="58"/>
  <c r="W222" i="58"/>
  <c r="W19" i="58"/>
  <c r="W27" i="58"/>
  <c r="W35" i="58"/>
  <c r="W43" i="58"/>
  <c r="W51" i="58"/>
  <c r="W59" i="58"/>
  <c r="W67" i="58"/>
  <c r="W75" i="58"/>
  <c r="W83" i="58"/>
  <c r="W91" i="58"/>
  <c r="W99" i="58"/>
  <c r="W107" i="58"/>
  <c r="W115" i="58"/>
  <c r="W123" i="58"/>
  <c r="W131" i="58"/>
  <c r="W139" i="58"/>
  <c r="W147" i="58"/>
  <c r="W155" i="58"/>
  <c r="W163" i="58"/>
  <c r="W171" i="58"/>
  <c r="W179" i="58"/>
  <c r="W187" i="58"/>
  <c r="W195" i="58"/>
  <c r="W203" i="58"/>
  <c r="W211" i="58"/>
  <c r="W219" i="58"/>
  <c r="W227" i="58"/>
  <c r="W235" i="58"/>
  <c r="W243" i="58"/>
  <c r="W251" i="58"/>
  <c r="W259" i="58"/>
  <c r="W22" i="58"/>
  <c r="W46" i="58"/>
  <c r="W86" i="58"/>
  <c r="W118" i="58"/>
  <c r="W166" i="58"/>
  <c r="W16" i="58"/>
  <c r="W24" i="58"/>
  <c r="W32" i="58"/>
  <c r="W40" i="58"/>
  <c r="W48" i="58"/>
  <c r="W56" i="58"/>
  <c r="W64" i="58"/>
  <c r="W72" i="58"/>
  <c r="W80" i="58"/>
  <c r="W88" i="58"/>
  <c r="W96" i="58"/>
  <c r="W104" i="58"/>
  <c r="W112" i="58"/>
  <c r="W120" i="58"/>
  <c r="W128" i="58"/>
  <c r="W136" i="58"/>
  <c r="W144" i="58"/>
  <c r="W152" i="58"/>
  <c r="W160" i="58"/>
  <c r="W168" i="58"/>
  <c r="W176" i="58"/>
  <c r="W184" i="58"/>
  <c r="W192" i="58"/>
  <c r="W200" i="58"/>
  <c r="W208" i="58"/>
  <c r="W216" i="58"/>
  <c r="W224" i="58"/>
  <c r="W232" i="58"/>
  <c r="W240" i="58"/>
  <c r="W248" i="58"/>
  <c r="W256" i="58"/>
  <c r="W70" i="58"/>
  <c r="W158" i="58"/>
  <c r="W230" i="58"/>
  <c r="W254" i="58"/>
  <c r="W13" i="58"/>
  <c r="W21" i="58"/>
  <c r="W29" i="58"/>
  <c r="W37" i="58"/>
  <c r="W45" i="58"/>
  <c r="W53" i="58"/>
  <c r="W61" i="58"/>
  <c r="W69" i="58"/>
  <c r="W77" i="58"/>
  <c r="W85" i="58"/>
  <c r="W93" i="58"/>
  <c r="W101" i="58"/>
  <c r="W109" i="58"/>
  <c r="W117" i="58"/>
  <c r="W125" i="58"/>
  <c r="W133" i="58"/>
  <c r="W141" i="58"/>
  <c r="W149" i="58"/>
  <c r="W157" i="58"/>
  <c r="W165" i="58"/>
  <c r="W173" i="58"/>
  <c r="W181" i="58"/>
  <c r="W189" i="58"/>
  <c r="W197" i="58"/>
  <c r="W205" i="58"/>
  <c r="W213" i="58"/>
  <c r="W221" i="58"/>
  <c r="W229" i="58"/>
  <c r="W237" i="58"/>
  <c r="W245" i="58"/>
  <c r="W253" i="58"/>
  <c r="W62" i="58"/>
  <c r="W142" i="58"/>
  <c r="W190" i="58"/>
  <c r="W18" i="58"/>
  <c r="W26" i="58"/>
  <c r="W34" i="58"/>
  <c r="W42" i="58"/>
  <c r="W50" i="58"/>
  <c r="W58" i="58"/>
  <c r="W66" i="58"/>
  <c r="W74" i="58"/>
  <c r="W82" i="58"/>
  <c r="W90" i="58"/>
  <c r="W98" i="58"/>
  <c r="W106" i="58"/>
  <c r="W114" i="58"/>
  <c r="W122" i="58"/>
  <c r="W130" i="58"/>
  <c r="W138" i="58"/>
  <c r="W146" i="58"/>
  <c r="W154" i="58"/>
  <c r="W162" i="58"/>
  <c r="W170" i="58"/>
  <c r="W178" i="58"/>
  <c r="W186" i="58"/>
  <c r="W194" i="58"/>
  <c r="W202" i="58"/>
  <c r="W210" i="58"/>
  <c r="W218" i="58"/>
  <c r="W226" i="58"/>
  <c r="W234" i="58"/>
  <c r="W242" i="58"/>
  <c r="W250" i="58"/>
  <c r="W78" i="58"/>
  <c r="W94" i="58"/>
  <c r="W126" i="58"/>
  <c r="W150" i="58"/>
  <c r="W238" i="58"/>
  <c r="W15" i="58"/>
  <c r="W23" i="58"/>
  <c r="W31" i="58"/>
  <c r="W39" i="58"/>
  <c r="W47" i="58"/>
  <c r="W55" i="58"/>
  <c r="W63" i="58"/>
  <c r="W71" i="58"/>
  <c r="W79" i="58"/>
  <c r="W87" i="58"/>
  <c r="W95" i="58"/>
  <c r="W103" i="58"/>
  <c r="W111" i="58"/>
  <c r="W119" i="58"/>
  <c r="W127" i="58"/>
  <c r="W135" i="58"/>
  <c r="W143" i="58"/>
  <c r="W151" i="58"/>
  <c r="W159" i="58"/>
  <c r="W167" i="58"/>
  <c r="W175" i="58"/>
  <c r="W183" i="58"/>
  <c r="W191" i="58"/>
  <c r="W199" i="58"/>
  <c r="W207" i="58"/>
  <c r="W215" i="58"/>
  <c r="W223" i="58"/>
  <c r="W231" i="58"/>
  <c r="W239" i="58"/>
  <c r="W247" i="58"/>
  <c r="W255" i="58"/>
  <c r="W14" i="58"/>
  <c r="W30" i="58"/>
  <c r="W110" i="58"/>
  <c r="W246" i="58"/>
  <c r="W20" i="58"/>
  <c r="W28" i="58"/>
  <c r="W36" i="58"/>
  <c r="W44" i="58"/>
  <c r="W52" i="58"/>
  <c r="W60" i="58"/>
  <c r="W68" i="58"/>
  <c r="W76" i="58"/>
  <c r="W84" i="58"/>
  <c r="W92" i="58"/>
  <c r="W100" i="58"/>
  <c r="W108" i="58"/>
  <c r="W116" i="58"/>
  <c r="W124" i="58"/>
  <c r="W132" i="58"/>
  <c r="W140" i="58"/>
  <c r="W148" i="58"/>
  <c r="W156" i="58"/>
  <c r="W164" i="58"/>
  <c r="W172" i="58"/>
  <c r="W180" i="58"/>
  <c r="W188" i="58"/>
  <c r="W196" i="58"/>
  <c r="W204" i="58"/>
  <c r="W212" i="58"/>
  <c r="W220" i="58"/>
  <c r="W228" i="58"/>
  <c r="W236" i="58"/>
  <c r="W244" i="58"/>
  <c r="W252" i="58"/>
  <c r="X15" i="58"/>
  <c r="X17" i="58"/>
  <c r="X14" i="58"/>
  <c r="X16" i="58"/>
  <c r="X13" i="58"/>
  <c r="X29" i="58"/>
  <c r="X45" i="58"/>
  <c r="X56" i="58"/>
  <c r="X64" i="58"/>
  <c r="X72" i="58"/>
  <c r="X80" i="58"/>
  <c r="X99" i="58"/>
  <c r="X115" i="58"/>
  <c r="X123" i="58"/>
  <c r="X131" i="58"/>
  <c r="Y131" i="58" s="1"/>
  <c r="X150" i="58"/>
  <c r="X175" i="58"/>
  <c r="X183" i="58"/>
  <c r="X211" i="58"/>
  <c r="X222" i="58"/>
  <c r="X230" i="58"/>
  <c r="X241" i="58"/>
  <c r="X249" i="58"/>
  <c r="X257" i="58"/>
  <c r="X18" i="58"/>
  <c r="X26" i="58"/>
  <c r="X34" i="58"/>
  <c r="X42" i="58"/>
  <c r="X61" i="58"/>
  <c r="X77" i="58"/>
  <c r="X88" i="58"/>
  <c r="X96" i="58"/>
  <c r="X104" i="58"/>
  <c r="X147" i="58"/>
  <c r="X161" i="58"/>
  <c r="X169" i="58"/>
  <c r="X188" i="58"/>
  <c r="X194" i="58"/>
  <c r="X202" i="58"/>
  <c r="Y202" i="58" s="1"/>
  <c r="X208" i="58"/>
  <c r="X227" i="58"/>
  <c r="X238" i="58"/>
  <c r="X246" i="58"/>
  <c r="X254" i="58"/>
  <c r="X23" i="58"/>
  <c r="X31" i="58"/>
  <c r="X39" i="58"/>
  <c r="X47" i="58"/>
  <c r="X50" i="58"/>
  <c r="X58" i="58"/>
  <c r="X66" i="58"/>
  <c r="Y66" i="58" s="1"/>
  <c r="X74" i="58"/>
  <c r="X82" i="58"/>
  <c r="X85" i="58"/>
  <c r="X93" i="58"/>
  <c r="X101" i="58"/>
  <c r="X117" i="58"/>
  <c r="X125" i="58"/>
  <c r="X133" i="58"/>
  <c r="X155" i="58"/>
  <c r="X166" i="58"/>
  <c r="X177" i="58"/>
  <c r="X185" i="58"/>
  <c r="X191" i="58"/>
  <c r="X199" i="58"/>
  <c r="X216" i="58"/>
  <c r="X224" i="58"/>
  <c r="X232" i="58"/>
  <c r="X243" i="58"/>
  <c r="X259" i="58"/>
  <c r="X20" i="58"/>
  <c r="X28" i="58"/>
  <c r="X36" i="58"/>
  <c r="X44" i="58"/>
  <c r="X55" i="58"/>
  <c r="X63" i="58"/>
  <c r="X71" i="58"/>
  <c r="X79" i="58"/>
  <c r="X90" i="58"/>
  <c r="X98" i="58"/>
  <c r="X106" i="58"/>
  <c r="X114" i="58"/>
  <c r="X122" i="58"/>
  <c r="X130" i="58"/>
  <c r="X138" i="58"/>
  <c r="X149" i="58"/>
  <c r="X163" i="58"/>
  <c r="X174" i="58"/>
  <c r="X182" i="58"/>
  <c r="X210" i="58"/>
  <c r="X240" i="58"/>
  <c r="X248" i="58"/>
  <c r="X256" i="58"/>
  <c r="X25" i="58"/>
  <c r="X33" i="58"/>
  <c r="X41" i="58"/>
  <c r="X49" i="58"/>
  <c r="X52" i="58"/>
  <c r="X60" i="58"/>
  <c r="X68" i="58"/>
  <c r="X76" i="58"/>
  <c r="X87" i="58"/>
  <c r="X95" i="58"/>
  <c r="X103" i="58"/>
  <c r="X111" i="58"/>
  <c r="X119" i="58"/>
  <c r="X127" i="58"/>
  <c r="X146" i="58"/>
  <c r="X154" i="58"/>
  <c r="X157" i="58"/>
  <c r="X179" i="58"/>
  <c r="X193" i="58"/>
  <c r="X201" i="58"/>
  <c r="X204" i="58"/>
  <c r="X207" i="58"/>
  <c r="X218" i="58"/>
  <c r="X226" i="58"/>
  <c r="X234" i="58"/>
  <c r="X253" i="58"/>
  <c r="X22" i="58"/>
  <c r="X30" i="58"/>
  <c r="X38" i="58"/>
  <c r="X46" i="58"/>
  <c r="X57" i="58"/>
  <c r="X65" i="58"/>
  <c r="X73" i="58"/>
  <c r="X81" i="58"/>
  <c r="X84" i="58"/>
  <c r="X92" i="58"/>
  <c r="X100" i="58"/>
  <c r="X143" i="58"/>
  <c r="X151" i="58"/>
  <c r="X165" i="58"/>
  <c r="X176" i="58"/>
  <c r="X184" i="58"/>
  <c r="X198" i="58"/>
  <c r="X215" i="58"/>
  <c r="X223" i="58"/>
  <c r="X231" i="58"/>
  <c r="X242" i="58"/>
  <c r="X250" i="58"/>
  <c r="X258" i="58"/>
  <c r="X19" i="58"/>
  <c r="X27" i="58"/>
  <c r="X35" i="58"/>
  <c r="X43" i="58"/>
  <c r="X54" i="58"/>
  <c r="X62" i="58"/>
  <c r="X70" i="58"/>
  <c r="X78" i="58"/>
  <c r="X89" i="58"/>
  <c r="X97" i="58"/>
  <c r="X105" i="58"/>
  <c r="X113" i="58"/>
  <c r="X121" i="58"/>
  <c r="X129" i="58"/>
  <c r="X137" i="58"/>
  <c r="X159" i="58"/>
  <c r="X162" i="58"/>
  <c r="X195" i="58"/>
  <c r="X206" i="58"/>
  <c r="X209" i="58"/>
  <c r="X220" i="58"/>
  <c r="X239" i="58"/>
  <c r="X247" i="58"/>
  <c r="X255" i="58"/>
  <c r="X24" i="58"/>
  <c r="X32" i="58"/>
  <c r="X40" i="58"/>
  <c r="X48" i="58"/>
  <c r="X51" i="58"/>
  <c r="X59" i="58"/>
  <c r="X67" i="58"/>
  <c r="X75" i="58"/>
  <c r="X83" i="58"/>
  <c r="X86" i="58"/>
  <c r="X94" i="58"/>
  <c r="X102" i="58"/>
  <c r="X110" i="58"/>
  <c r="X118" i="58"/>
  <c r="X134" i="58"/>
  <c r="X142" i="58"/>
  <c r="X145" i="58"/>
  <c r="X153" i="58"/>
  <c r="X167" i="58"/>
  <c r="X170" i="58"/>
  <c r="X178" i="58"/>
  <c r="X186" i="58"/>
  <c r="X192" i="58"/>
  <c r="X200" i="58"/>
  <c r="X214" i="58"/>
  <c r="X217" i="58"/>
  <c r="X225" i="58"/>
  <c r="X233" i="58"/>
  <c r="X236" i="58"/>
  <c r="X252" i="58"/>
  <c r="Y185" i="58" l="1"/>
  <c r="Y161" i="58"/>
  <c r="Y249" i="58"/>
  <c r="Y33" i="58"/>
  <c r="Y20" i="58"/>
  <c r="Y240" i="58"/>
  <c r="Y127" i="58"/>
  <c r="Y133" i="58"/>
  <c r="Y95" i="58"/>
  <c r="Y50" i="58"/>
  <c r="Y49" i="58"/>
  <c r="Y40" i="58"/>
  <c r="Y36" i="58"/>
  <c r="Y166" i="58"/>
  <c r="Y85" i="58"/>
  <c r="Y100" i="58"/>
  <c r="Y87" i="58"/>
  <c r="Y204" i="58"/>
  <c r="Y198" i="58"/>
  <c r="Y134" i="58"/>
  <c r="Y163" i="58"/>
  <c r="Y82" i="58"/>
  <c r="Y153" i="58"/>
  <c r="Y162" i="58"/>
  <c r="Y138" i="58"/>
  <c r="Y214" i="58"/>
  <c r="Y83" i="58"/>
  <c r="Y64" i="58"/>
  <c r="Y89" i="58"/>
  <c r="Y256" i="58"/>
  <c r="Y24" i="58"/>
  <c r="Y188" i="58"/>
  <c r="Y121" i="58"/>
  <c r="Y106" i="58"/>
  <c r="Y230" i="58"/>
  <c r="Y84" i="58"/>
  <c r="Y130" i="58"/>
  <c r="X148" i="22" s="1"/>
  <c r="Y257" i="58"/>
  <c r="Y241" i="58"/>
  <c r="Y194" i="58"/>
  <c r="Y17" i="58"/>
  <c r="Y125" i="58"/>
  <c r="Y79" i="58"/>
  <c r="Y258" i="58"/>
  <c r="Y182" i="58"/>
  <c r="Y38" i="58"/>
  <c r="Y22" i="58"/>
  <c r="Y80" i="58"/>
  <c r="Y55" i="58"/>
  <c r="Y39" i="58"/>
  <c r="Y23" i="58"/>
  <c r="Y243" i="58"/>
  <c r="Y179" i="58"/>
  <c r="Y61" i="58"/>
  <c r="Y218" i="58"/>
  <c r="Y192" i="58"/>
  <c r="Y175" i="58"/>
  <c r="Y111" i="58"/>
  <c r="Y247" i="58"/>
  <c r="Y81" i="58"/>
  <c r="Y71" i="58"/>
  <c r="Y246" i="58"/>
  <c r="Y234" i="58"/>
  <c r="Y67" i="58"/>
  <c r="Y51" i="58"/>
  <c r="Y35" i="58"/>
  <c r="Y19" i="58"/>
  <c r="Y211" i="58"/>
  <c r="Y117" i="58"/>
  <c r="Y115" i="58"/>
  <c r="Y122" i="58"/>
  <c r="Y224" i="58"/>
  <c r="Y45" i="58"/>
  <c r="Y199" i="58"/>
  <c r="Y73" i="58"/>
  <c r="Y129" i="58"/>
  <c r="Y242" i="58"/>
  <c r="Y238" i="58"/>
  <c r="Y154" i="58"/>
  <c r="Y78" i="58"/>
  <c r="Y190" i="58"/>
  <c r="Y200" i="58"/>
  <c r="Y30" i="58"/>
  <c r="Y62" i="58"/>
  <c r="Y46" i="58"/>
  <c r="Y72" i="58"/>
  <c r="Y43" i="58"/>
  <c r="Y27" i="58"/>
  <c r="Y26" i="58"/>
  <c r="Y195" i="58"/>
  <c r="Y254" i="58"/>
  <c r="Y98" i="58"/>
  <c r="Y99" i="58"/>
  <c r="Y248" i="58"/>
  <c r="Y63" i="58"/>
  <c r="Y165" i="58"/>
  <c r="Y65" i="58"/>
  <c r="Y222" i="58"/>
  <c r="Y58" i="58"/>
  <c r="Y42" i="58"/>
  <c r="Y56" i="58"/>
  <c r="Y259" i="58"/>
  <c r="Y184" i="58"/>
  <c r="Y226" i="58"/>
  <c r="Y74" i="58"/>
  <c r="Y77" i="58"/>
  <c r="Y123" i="58"/>
  <c r="Y96" i="58"/>
  <c r="Y68" i="58"/>
  <c r="Y52" i="58"/>
  <c r="Y149" i="58"/>
  <c r="Y147" i="58"/>
  <c r="Y86" i="58"/>
  <c r="Y207" i="58"/>
  <c r="Y101" i="58"/>
  <c r="Y183" i="58"/>
  <c r="Y119" i="58"/>
  <c r="X150" i="22" s="1"/>
  <c r="Y114" i="58"/>
  <c r="Y90" i="58"/>
  <c r="Y151" i="58"/>
  <c r="Y209" i="58"/>
  <c r="Y146" i="58"/>
  <c r="Y193" i="58"/>
  <c r="Y103" i="58"/>
  <c r="Y57" i="58"/>
  <c r="Y41" i="58"/>
  <c r="Y118" i="58"/>
  <c r="Y253" i="58"/>
  <c r="Y25" i="58"/>
  <c r="Y97" i="58"/>
  <c r="Y236" i="58"/>
  <c r="Y142" i="58"/>
  <c r="Y159" i="58"/>
  <c r="Y169" i="58"/>
  <c r="Y206" i="58"/>
  <c r="Y14" i="58"/>
  <c r="Y16" i="58"/>
  <c r="Y13" i="58"/>
  <c r="Y105" i="58"/>
  <c r="Y48" i="58"/>
  <c r="Y32" i="58"/>
  <c r="Y186" i="58"/>
  <c r="Y239" i="58"/>
  <c r="Y155" i="58"/>
  <c r="Y201" i="58"/>
  <c r="Y34" i="58"/>
  <c r="Y76" i="58"/>
  <c r="Y60" i="58"/>
  <c r="Y44" i="58"/>
  <c r="Y28" i="58"/>
  <c r="Y150" i="58"/>
  <c r="Y255" i="58"/>
  <c r="Y220" i="58"/>
  <c r="Y92" i="58"/>
  <c r="Y208" i="58"/>
  <c r="Y225" i="58"/>
  <c r="Y170" i="58"/>
  <c r="Y216" i="58"/>
  <c r="Y47" i="58"/>
  <c r="Y31" i="58"/>
  <c r="Y157" i="58"/>
  <c r="Y70" i="58"/>
  <c r="Y59" i="58"/>
  <c r="Y93" i="58"/>
  <c r="Y54" i="58"/>
  <c r="Y177" i="58"/>
  <c r="Y233" i="58"/>
  <c r="Y18" i="58"/>
  <c r="Y227" i="58"/>
  <c r="Y231" i="58"/>
  <c r="Y210" i="58"/>
  <c r="Y232" i="58"/>
  <c r="Y88" i="58"/>
  <c r="Y29" i="58"/>
  <c r="Y252" i="58"/>
  <c r="Y215" i="58"/>
  <c r="Y104" i="58"/>
  <c r="Y191" i="58"/>
  <c r="Y174" i="58"/>
  <c r="Y75" i="58"/>
  <c r="Y217" i="58"/>
  <c r="Y250" i="58"/>
  <c r="Y143" i="58"/>
  <c r="Y178" i="58"/>
  <c r="Y107" i="58"/>
  <c r="Y110" i="58"/>
  <c r="Y145" i="58"/>
  <c r="Y223" i="58"/>
  <c r="Y102" i="58"/>
  <c r="Y137" i="58"/>
  <c r="Y94" i="58"/>
  <c r="Y176" i="58"/>
  <c r="Y113" i="58"/>
  <c r="Y189" i="58"/>
  <c r="Y167" i="58"/>
  <c r="Y173" i="58"/>
  <c r="Y237" i="58"/>
  <c r="Y245" i="58"/>
  <c r="Y181" i="58"/>
  <c r="Y112" i="58"/>
  <c r="Y205" i="58"/>
  <c r="Y221" i="58"/>
  <c r="Y244" i="58"/>
  <c r="Y197" i="58"/>
  <c r="Y158" i="58"/>
  <c r="Y124" i="58"/>
  <c r="Y91" i="58"/>
  <c r="Y212" i="58"/>
  <c r="Y141" i="58"/>
  <c r="Y203" i="58"/>
  <c r="Y172" i="58"/>
  <c r="Y53" i="58"/>
  <c r="Y126" i="58"/>
  <c r="Y37" i="58"/>
  <c r="Y171" i="58"/>
  <c r="Y21" i="58"/>
  <c r="Y135" i="58"/>
  <c r="Y140" i="58"/>
  <c r="Y213" i="58"/>
  <c r="Y196" i="58"/>
  <c r="Y156" i="58"/>
  <c r="Y229" i="58"/>
  <c r="Y228" i="58"/>
  <c r="Y251" i="58"/>
  <c r="Y139" i="58"/>
  <c r="Y109" i="58"/>
  <c r="Y219" i="58"/>
  <c r="Y69" i="58"/>
  <c r="Y187" i="58"/>
  <c r="Y235" i="58"/>
  <c r="Y148" i="58"/>
  <c r="Y116" i="58"/>
  <c r="Y128" i="58"/>
  <c r="Y152" i="58"/>
  <c r="Y120" i="58"/>
  <c r="Y144" i="58"/>
  <c r="Y164" i="58"/>
  <c r="Y132" i="58"/>
  <c r="Y108" i="58"/>
  <c r="Y168" i="58"/>
  <c r="Y136" i="58"/>
  <c r="Y180" i="58"/>
  <c r="Y160" i="58"/>
  <c r="Y15" i="58" l="1"/>
  <c r="S12" i="42"/>
  <c r="F13" i="42"/>
  <c r="F14" i="42"/>
  <c r="F15" i="42"/>
  <c r="F16" i="42"/>
  <c r="F17" i="42"/>
  <c r="F18" i="42"/>
  <c r="F19" i="42"/>
  <c r="F20" i="42"/>
  <c r="F21" i="42"/>
  <c r="F22" i="42"/>
  <c r="F23" i="42"/>
  <c r="F24" i="42"/>
  <c r="F25" i="42"/>
  <c r="F26" i="42"/>
  <c r="F27" i="42"/>
  <c r="F28" i="42"/>
  <c r="F29" i="42"/>
  <c r="F30" i="42"/>
  <c r="F31" i="42"/>
  <c r="F32" i="42"/>
  <c r="F33" i="42"/>
  <c r="F34" i="42"/>
  <c r="F35" i="42"/>
  <c r="F36" i="42"/>
  <c r="F37" i="42"/>
  <c r="F38" i="42"/>
  <c r="F39" i="42"/>
  <c r="F40" i="42"/>
  <c r="F41" i="42"/>
  <c r="F42" i="42"/>
  <c r="F43" i="42"/>
  <c r="F44" i="42"/>
  <c r="F45" i="42"/>
  <c r="F46" i="42"/>
  <c r="F47" i="42"/>
  <c r="F48" i="42"/>
  <c r="F49" i="42"/>
  <c r="F50" i="42"/>
  <c r="F51" i="42"/>
  <c r="F52" i="42"/>
  <c r="F53" i="42"/>
  <c r="F54" i="42"/>
  <c r="F55" i="42"/>
  <c r="F56" i="42"/>
  <c r="F57" i="42"/>
  <c r="F58" i="42"/>
  <c r="F59" i="42"/>
  <c r="F60" i="42"/>
  <c r="F61" i="42"/>
  <c r="F62" i="42"/>
  <c r="F63" i="42"/>
  <c r="F64" i="42"/>
  <c r="F65" i="42"/>
  <c r="F66" i="42"/>
  <c r="F67" i="42"/>
  <c r="F68" i="42"/>
  <c r="F69" i="42"/>
  <c r="F70" i="42"/>
  <c r="F71" i="42"/>
  <c r="F72" i="42"/>
  <c r="F73" i="42"/>
  <c r="F74" i="42"/>
  <c r="F75" i="42"/>
  <c r="F76" i="42"/>
  <c r="F77" i="42"/>
  <c r="F78" i="42"/>
  <c r="F79" i="42"/>
  <c r="F80" i="42"/>
  <c r="F81" i="42"/>
  <c r="F82" i="42"/>
  <c r="F83" i="42"/>
  <c r="F84" i="42"/>
  <c r="F85" i="42"/>
  <c r="F86" i="42"/>
  <c r="F87" i="42"/>
  <c r="F88" i="42"/>
  <c r="F89" i="42"/>
  <c r="F90" i="42"/>
  <c r="F91" i="42"/>
  <c r="F92" i="42"/>
  <c r="F93" i="42"/>
  <c r="F94" i="42"/>
  <c r="F95" i="42"/>
  <c r="F96" i="42"/>
  <c r="F97" i="42"/>
  <c r="F98" i="42"/>
  <c r="F99" i="42"/>
  <c r="F100" i="42"/>
  <c r="F101" i="42"/>
  <c r="F102" i="42"/>
  <c r="F103" i="42"/>
  <c r="F104" i="42"/>
  <c r="F105" i="42"/>
  <c r="F106" i="42"/>
  <c r="F107" i="42"/>
  <c r="F108" i="42"/>
  <c r="F109" i="42"/>
  <c r="F110" i="42"/>
  <c r="F111" i="42"/>
  <c r="F112" i="42"/>
  <c r="F113" i="42"/>
  <c r="F114" i="42"/>
  <c r="F115" i="42"/>
  <c r="F116" i="42"/>
  <c r="F117" i="42"/>
  <c r="F118" i="42"/>
  <c r="F119" i="42"/>
  <c r="F120" i="42"/>
  <c r="F121" i="42"/>
  <c r="F122" i="42"/>
  <c r="F123" i="42"/>
  <c r="F124" i="42"/>
  <c r="F125" i="42"/>
  <c r="F126" i="42"/>
  <c r="F127" i="42"/>
  <c r="F128" i="42"/>
  <c r="F129" i="42"/>
  <c r="F130" i="42"/>
  <c r="F131" i="42"/>
  <c r="F132" i="42"/>
  <c r="F133" i="42"/>
  <c r="F134" i="42"/>
  <c r="F135" i="42"/>
  <c r="F136" i="42"/>
  <c r="F137" i="42"/>
  <c r="F138" i="42"/>
  <c r="F139" i="42"/>
  <c r="F140" i="42"/>
  <c r="F141" i="42"/>
  <c r="F142" i="42"/>
  <c r="F143" i="42"/>
  <c r="F144" i="42"/>
  <c r="F145" i="42"/>
  <c r="F146" i="42"/>
  <c r="F147" i="42"/>
  <c r="F148" i="42"/>
  <c r="F149" i="42"/>
  <c r="F150" i="42"/>
  <c r="F151" i="42"/>
  <c r="F152" i="42"/>
  <c r="F153" i="42"/>
  <c r="F154" i="42"/>
  <c r="F155" i="42"/>
  <c r="F156" i="42"/>
  <c r="F157" i="42"/>
  <c r="F158" i="42"/>
  <c r="F159" i="42"/>
  <c r="F160" i="42"/>
  <c r="F161" i="42"/>
  <c r="F162" i="42"/>
  <c r="F163" i="42"/>
  <c r="F164" i="42"/>
  <c r="F165" i="42"/>
  <c r="F166" i="42"/>
  <c r="F167" i="42"/>
  <c r="F168" i="42"/>
  <c r="F169" i="42"/>
  <c r="F170" i="42"/>
  <c r="F171" i="42"/>
  <c r="F172" i="42"/>
  <c r="F173" i="42"/>
  <c r="F174" i="42"/>
  <c r="F175" i="42"/>
  <c r="F176" i="42"/>
  <c r="F177" i="42"/>
  <c r="F178" i="42"/>
  <c r="F179" i="42"/>
  <c r="F180" i="42"/>
  <c r="F181" i="42"/>
  <c r="F182" i="42"/>
  <c r="F183" i="42"/>
  <c r="F184" i="42"/>
  <c r="F185" i="42"/>
  <c r="F186" i="42"/>
  <c r="F187" i="42"/>
  <c r="F188" i="42"/>
  <c r="F189" i="42"/>
  <c r="F190" i="42"/>
  <c r="F191" i="42"/>
  <c r="F192" i="42"/>
  <c r="F193" i="42"/>
  <c r="F194" i="42"/>
  <c r="F195" i="42"/>
  <c r="F196" i="42"/>
  <c r="F197" i="42"/>
  <c r="F198" i="42"/>
  <c r="F199" i="42"/>
  <c r="F200" i="42"/>
  <c r="F201" i="42"/>
  <c r="F202" i="42"/>
  <c r="F203" i="42"/>
  <c r="F204" i="42"/>
  <c r="F205" i="42"/>
  <c r="F206" i="42"/>
  <c r="F207" i="42"/>
  <c r="F208" i="42"/>
  <c r="F209" i="42"/>
  <c r="F210" i="42"/>
  <c r="F211" i="42"/>
  <c r="F212" i="42"/>
  <c r="F213" i="42"/>
  <c r="F214" i="42"/>
  <c r="F215" i="42"/>
  <c r="F216" i="42"/>
  <c r="F217" i="42"/>
  <c r="F218" i="42"/>
  <c r="F219" i="42"/>
  <c r="F220" i="42"/>
  <c r="F221" i="42"/>
  <c r="F222" i="42"/>
  <c r="F223" i="42"/>
  <c r="F224" i="42"/>
  <c r="F225" i="42"/>
  <c r="F226" i="42"/>
  <c r="F227" i="42"/>
  <c r="F228" i="42"/>
  <c r="F229" i="42"/>
  <c r="F230" i="42"/>
  <c r="F231" i="42"/>
  <c r="F232" i="42"/>
  <c r="F233" i="42"/>
  <c r="F234" i="42"/>
  <c r="F235" i="42"/>
  <c r="F236" i="42"/>
  <c r="F237" i="42"/>
  <c r="F238" i="42"/>
  <c r="F239" i="42"/>
  <c r="F240" i="42"/>
  <c r="F241" i="42"/>
  <c r="F242" i="42"/>
  <c r="F243" i="42"/>
  <c r="F244" i="42"/>
  <c r="F245" i="42"/>
  <c r="F246" i="42"/>
  <c r="F247" i="42"/>
  <c r="F248" i="42"/>
  <c r="F249" i="42"/>
  <c r="F250" i="42"/>
  <c r="F251" i="42"/>
  <c r="F252" i="42"/>
  <c r="F253" i="42"/>
  <c r="F254" i="42"/>
  <c r="F255" i="42"/>
  <c r="F256" i="42"/>
  <c r="F257" i="42"/>
  <c r="F258" i="42"/>
  <c r="F259" i="42"/>
  <c r="M11" i="52"/>
  <c r="M12" i="52"/>
  <c r="M13" i="52"/>
  <c r="M14" i="52"/>
  <c r="M15" i="52"/>
  <c r="M16" i="52"/>
  <c r="M17" i="52"/>
  <c r="M18" i="52"/>
  <c r="M19" i="52"/>
  <c r="M20" i="52"/>
  <c r="M21" i="52"/>
  <c r="M22" i="52"/>
  <c r="M23" i="52"/>
  <c r="M24" i="52"/>
  <c r="M25" i="52"/>
  <c r="M26" i="52"/>
  <c r="M27" i="52"/>
  <c r="M28" i="52"/>
  <c r="M29" i="52"/>
  <c r="M30" i="52"/>
  <c r="M31" i="52"/>
  <c r="M32" i="52"/>
  <c r="M33" i="52"/>
  <c r="M34" i="52"/>
  <c r="M35" i="52"/>
  <c r="M36" i="52"/>
  <c r="M37" i="52"/>
  <c r="M38" i="52"/>
  <c r="M39" i="52"/>
  <c r="M40" i="52"/>
  <c r="M41" i="52"/>
  <c r="M42" i="52"/>
  <c r="M43" i="52"/>
  <c r="M44" i="52"/>
  <c r="M45" i="52"/>
  <c r="M46" i="52"/>
  <c r="M47" i="52"/>
  <c r="M48" i="52"/>
  <c r="M49" i="52"/>
  <c r="M50" i="52"/>
  <c r="M51" i="52"/>
  <c r="M52" i="52"/>
  <c r="M53" i="52"/>
  <c r="M54" i="52"/>
  <c r="M55" i="52"/>
  <c r="M56" i="52"/>
  <c r="M57" i="52"/>
  <c r="M58" i="52"/>
  <c r="M59" i="52"/>
  <c r="M60" i="52"/>
  <c r="M61" i="52"/>
  <c r="M62" i="52"/>
  <c r="M63" i="52"/>
  <c r="M64" i="52"/>
  <c r="M65" i="52"/>
  <c r="M66" i="52"/>
  <c r="M67" i="52"/>
  <c r="M68" i="52"/>
  <c r="M69" i="52"/>
  <c r="M70" i="52"/>
  <c r="M71" i="52"/>
  <c r="M72" i="52"/>
  <c r="M73" i="52"/>
  <c r="M74" i="52"/>
  <c r="M75" i="52"/>
  <c r="M76" i="52"/>
  <c r="M77" i="52"/>
  <c r="M78" i="52"/>
  <c r="M79" i="52"/>
  <c r="M80" i="52"/>
  <c r="M81" i="52"/>
  <c r="M82" i="52"/>
  <c r="M83" i="52"/>
  <c r="M84" i="52"/>
  <c r="M85" i="52"/>
  <c r="M86" i="52"/>
  <c r="M87" i="52"/>
  <c r="M88" i="52"/>
  <c r="M89" i="52"/>
  <c r="M90" i="52"/>
  <c r="M91" i="52"/>
  <c r="M92" i="52"/>
  <c r="M93" i="52"/>
  <c r="M94" i="52"/>
  <c r="M95" i="52"/>
  <c r="M96" i="52"/>
  <c r="M97" i="52"/>
  <c r="M98" i="52"/>
  <c r="M99" i="52"/>
  <c r="M100" i="52"/>
  <c r="M101" i="52"/>
  <c r="M102" i="52"/>
  <c r="M103" i="52"/>
  <c r="M104" i="52"/>
  <c r="M105" i="52"/>
  <c r="M106" i="52"/>
  <c r="M107" i="52"/>
  <c r="M108" i="52"/>
  <c r="M109" i="52"/>
  <c r="M110" i="52"/>
  <c r="M111" i="52"/>
  <c r="M112" i="52"/>
  <c r="M113" i="52"/>
  <c r="M114" i="52"/>
  <c r="M115" i="52"/>
  <c r="M116" i="52"/>
  <c r="M117" i="52"/>
  <c r="M118" i="52"/>
  <c r="M119" i="52"/>
  <c r="M120" i="52"/>
  <c r="M121" i="52"/>
  <c r="M122" i="52"/>
  <c r="M123" i="52"/>
  <c r="M124" i="52"/>
  <c r="M125" i="52"/>
  <c r="M126" i="52"/>
  <c r="M127" i="52"/>
  <c r="M128" i="52"/>
  <c r="M129" i="52"/>
  <c r="M130" i="52"/>
  <c r="M131" i="52"/>
  <c r="M132" i="52"/>
  <c r="M133" i="52"/>
  <c r="M134" i="52"/>
  <c r="M135" i="52"/>
  <c r="M136" i="52"/>
  <c r="M137" i="52"/>
  <c r="M138" i="52"/>
  <c r="M139" i="52"/>
  <c r="M140" i="52"/>
  <c r="M141" i="52"/>
  <c r="M142" i="52"/>
  <c r="M143" i="52"/>
  <c r="M144" i="52"/>
  <c r="M145" i="52"/>
  <c r="M146" i="52"/>
  <c r="M147" i="52"/>
  <c r="M148" i="52"/>
  <c r="M149" i="52"/>
  <c r="M150" i="52"/>
  <c r="M151" i="52"/>
  <c r="M152" i="52"/>
  <c r="M153" i="52"/>
  <c r="M154" i="52"/>
  <c r="M155" i="52"/>
  <c r="M156" i="52"/>
  <c r="M157" i="52"/>
  <c r="M158" i="52"/>
  <c r="M159" i="52"/>
  <c r="M160" i="52"/>
  <c r="M161" i="52"/>
  <c r="M162" i="52"/>
  <c r="M163" i="52"/>
  <c r="M164" i="52"/>
  <c r="M165" i="52"/>
  <c r="M166" i="52"/>
  <c r="M167" i="52"/>
  <c r="M168" i="52"/>
  <c r="M169" i="52"/>
  <c r="M170" i="52"/>
  <c r="M171" i="52"/>
  <c r="M172" i="52"/>
  <c r="M173" i="52"/>
  <c r="M174" i="52"/>
  <c r="M175" i="52"/>
  <c r="M176" i="52"/>
  <c r="M177" i="52"/>
  <c r="M178" i="52"/>
  <c r="M179" i="52"/>
  <c r="M180" i="52"/>
  <c r="M181" i="52"/>
  <c r="M182" i="52"/>
  <c r="M183" i="52"/>
  <c r="M184" i="52"/>
  <c r="M185" i="52"/>
  <c r="M186" i="52"/>
  <c r="M187" i="52"/>
  <c r="M188" i="52"/>
  <c r="M189" i="52"/>
  <c r="M190" i="52"/>
  <c r="M191" i="52"/>
  <c r="M192" i="52"/>
  <c r="M193" i="52"/>
  <c r="M194" i="52"/>
  <c r="M195" i="52"/>
  <c r="M196" i="52"/>
  <c r="M197" i="52"/>
  <c r="M198" i="52"/>
  <c r="M199" i="52"/>
  <c r="M200" i="52"/>
  <c r="M201" i="52"/>
  <c r="M202" i="52"/>
  <c r="M203" i="52"/>
  <c r="M204" i="52"/>
  <c r="M205" i="52"/>
  <c r="M206" i="52"/>
  <c r="M207" i="52"/>
  <c r="M208" i="52"/>
  <c r="M209" i="52"/>
  <c r="M210" i="52"/>
  <c r="M211" i="52"/>
  <c r="M212" i="52"/>
  <c r="M213" i="52"/>
  <c r="M214" i="52"/>
  <c r="M215" i="52"/>
  <c r="M216" i="52"/>
  <c r="M217" i="52"/>
  <c r="M218" i="52"/>
  <c r="M219" i="52"/>
  <c r="M220" i="52"/>
  <c r="M221" i="52"/>
  <c r="M222" i="52"/>
  <c r="M223" i="52"/>
  <c r="M224" i="52"/>
  <c r="M225" i="52"/>
  <c r="M226" i="52"/>
  <c r="M227" i="52"/>
  <c r="M228" i="52"/>
  <c r="M229" i="52"/>
  <c r="M230" i="52"/>
  <c r="M231" i="52"/>
  <c r="M232" i="52"/>
  <c r="M233" i="52"/>
  <c r="M234" i="52"/>
  <c r="M235" i="52"/>
  <c r="M236" i="52"/>
  <c r="M237" i="52"/>
  <c r="M238" i="52"/>
  <c r="M239" i="52"/>
  <c r="M240" i="52"/>
  <c r="M241" i="52"/>
  <c r="M242" i="52"/>
  <c r="M243" i="52"/>
  <c r="M244" i="52"/>
  <c r="M245" i="52"/>
  <c r="M246" i="52"/>
  <c r="M247" i="52"/>
  <c r="M248" i="52"/>
  <c r="M249" i="52"/>
  <c r="M250" i="52"/>
  <c r="M251" i="52"/>
  <c r="M252" i="52"/>
  <c r="M253" i="52"/>
  <c r="M254" i="52"/>
  <c r="M255" i="52"/>
  <c r="M256" i="52"/>
  <c r="M257" i="52"/>
  <c r="M10" i="52"/>
  <c r="F11" i="52"/>
  <c r="F12" i="52"/>
  <c r="F13" i="52"/>
  <c r="F14" i="52"/>
  <c r="F15" i="52"/>
  <c r="F16" i="52"/>
  <c r="F17" i="52"/>
  <c r="F18" i="52"/>
  <c r="F19" i="52"/>
  <c r="F20" i="52"/>
  <c r="F21" i="52"/>
  <c r="F22" i="52"/>
  <c r="F23" i="52"/>
  <c r="F24" i="52"/>
  <c r="F25" i="52"/>
  <c r="F26" i="52"/>
  <c r="F27" i="52"/>
  <c r="F28" i="52"/>
  <c r="F29" i="52"/>
  <c r="F30" i="52"/>
  <c r="F31" i="52"/>
  <c r="F32" i="52"/>
  <c r="F33" i="52"/>
  <c r="F34" i="52"/>
  <c r="F35" i="52"/>
  <c r="F36" i="52"/>
  <c r="F37" i="52"/>
  <c r="F38" i="52"/>
  <c r="F39" i="52"/>
  <c r="F40" i="52"/>
  <c r="F41" i="52"/>
  <c r="F42" i="52"/>
  <c r="F43" i="52"/>
  <c r="F44" i="52"/>
  <c r="F45" i="52"/>
  <c r="F46" i="52"/>
  <c r="F47" i="52"/>
  <c r="F48" i="52"/>
  <c r="F49" i="52"/>
  <c r="F50" i="52"/>
  <c r="F51" i="52"/>
  <c r="F52" i="52"/>
  <c r="F53" i="52"/>
  <c r="F54" i="52"/>
  <c r="F55" i="52"/>
  <c r="F56" i="52"/>
  <c r="F57" i="52"/>
  <c r="F58" i="52"/>
  <c r="F59" i="52"/>
  <c r="F60" i="52"/>
  <c r="F61" i="52"/>
  <c r="F62" i="52"/>
  <c r="F63" i="52"/>
  <c r="F64" i="52"/>
  <c r="F65" i="52"/>
  <c r="F66" i="52"/>
  <c r="F67" i="52"/>
  <c r="F68" i="52"/>
  <c r="F69" i="52"/>
  <c r="F70" i="52"/>
  <c r="F71" i="52"/>
  <c r="F72" i="52"/>
  <c r="F73" i="52"/>
  <c r="F74" i="52"/>
  <c r="F75" i="52"/>
  <c r="F76" i="52"/>
  <c r="F77" i="52"/>
  <c r="F78" i="52"/>
  <c r="F79" i="52"/>
  <c r="F80" i="52"/>
  <c r="F81" i="52"/>
  <c r="F82" i="52"/>
  <c r="F83" i="52"/>
  <c r="F84" i="52"/>
  <c r="F85" i="52"/>
  <c r="F86" i="52"/>
  <c r="F87" i="52"/>
  <c r="F88" i="52"/>
  <c r="F89" i="52"/>
  <c r="F90" i="52"/>
  <c r="F91" i="52"/>
  <c r="F92" i="52"/>
  <c r="F93" i="52"/>
  <c r="F94" i="52"/>
  <c r="F95" i="52"/>
  <c r="F96" i="52"/>
  <c r="F97" i="52"/>
  <c r="F98" i="52"/>
  <c r="F99" i="52"/>
  <c r="F100" i="52"/>
  <c r="F101" i="52"/>
  <c r="F102" i="52"/>
  <c r="F103" i="52"/>
  <c r="F104" i="52"/>
  <c r="F105" i="52"/>
  <c r="F106" i="52"/>
  <c r="F107" i="52"/>
  <c r="F108" i="52"/>
  <c r="F109" i="52"/>
  <c r="F110" i="52"/>
  <c r="F111" i="52"/>
  <c r="F112" i="52"/>
  <c r="F113" i="52"/>
  <c r="F114" i="52"/>
  <c r="F115" i="52"/>
  <c r="F116" i="52"/>
  <c r="F117" i="52"/>
  <c r="F118" i="52"/>
  <c r="F119" i="52"/>
  <c r="F120" i="52"/>
  <c r="F121" i="52"/>
  <c r="F122" i="52"/>
  <c r="F123" i="52"/>
  <c r="F124" i="52"/>
  <c r="F125" i="52"/>
  <c r="F126" i="52"/>
  <c r="F127" i="52"/>
  <c r="F128" i="52"/>
  <c r="F129" i="52"/>
  <c r="F130" i="52"/>
  <c r="F131" i="52"/>
  <c r="F132" i="52"/>
  <c r="F133" i="52"/>
  <c r="F134" i="52"/>
  <c r="F135" i="52"/>
  <c r="F136" i="52"/>
  <c r="F137" i="52"/>
  <c r="F138" i="52"/>
  <c r="F139" i="52"/>
  <c r="F140" i="52"/>
  <c r="F141" i="52"/>
  <c r="F142" i="52"/>
  <c r="F143" i="52"/>
  <c r="F144" i="52"/>
  <c r="F145" i="52"/>
  <c r="F146" i="52"/>
  <c r="F147" i="52"/>
  <c r="F148" i="52"/>
  <c r="F149" i="52"/>
  <c r="F150" i="52"/>
  <c r="F151" i="52"/>
  <c r="F152" i="52"/>
  <c r="F153" i="52"/>
  <c r="F154" i="52"/>
  <c r="F155" i="52"/>
  <c r="F156" i="52"/>
  <c r="F157" i="52"/>
  <c r="F158" i="52"/>
  <c r="F159" i="52"/>
  <c r="F160" i="52"/>
  <c r="F161" i="52"/>
  <c r="F162" i="52"/>
  <c r="F163" i="52"/>
  <c r="F164" i="52"/>
  <c r="F165" i="52"/>
  <c r="F166" i="52"/>
  <c r="F167" i="52"/>
  <c r="F168" i="52"/>
  <c r="F169" i="52"/>
  <c r="F170" i="52"/>
  <c r="F171" i="52"/>
  <c r="F172" i="52"/>
  <c r="F173" i="52"/>
  <c r="F174" i="52"/>
  <c r="F175" i="52"/>
  <c r="F176" i="52"/>
  <c r="F177" i="52"/>
  <c r="F178" i="52"/>
  <c r="F179" i="52"/>
  <c r="F180" i="52"/>
  <c r="F181" i="52"/>
  <c r="F182" i="52"/>
  <c r="F183" i="52"/>
  <c r="F184" i="52"/>
  <c r="F185" i="52"/>
  <c r="F186" i="52"/>
  <c r="F187" i="52"/>
  <c r="F188" i="52"/>
  <c r="F189" i="52"/>
  <c r="F190" i="52"/>
  <c r="F191" i="52"/>
  <c r="F192" i="52"/>
  <c r="F193" i="52"/>
  <c r="F194" i="52"/>
  <c r="F195" i="52"/>
  <c r="F196" i="52"/>
  <c r="F197" i="52"/>
  <c r="F198" i="52"/>
  <c r="F199" i="52"/>
  <c r="F200" i="52"/>
  <c r="F201" i="52"/>
  <c r="F202" i="52"/>
  <c r="F203" i="52"/>
  <c r="F204" i="52"/>
  <c r="F205" i="52"/>
  <c r="F206" i="52"/>
  <c r="F207" i="52"/>
  <c r="F208" i="52"/>
  <c r="F209" i="52"/>
  <c r="F210" i="52"/>
  <c r="F211" i="52"/>
  <c r="F212" i="52"/>
  <c r="F213" i="52"/>
  <c r="F214" i="52"/>
  <c r="F215" i="52"/>
  <c r="F216" i="52"/>
  <c r="F217" i="52"/>
  <c r="F218" i="52"/>
  <c r="F219" i="52"/>
  <c r="F220" i="52"/>
  <c r="F221" i="52"/>
  <c r="F222" i="52"/>
  <c r="F223" i="52"/>
  <c r="F224" i="52"/>
  <c r="F225" i="52"/>
  <c r="F226" i="52"/>
  <c r="F227" i="52"/>
  <c r="F228" i="52"/>
  <c r="F229" i="52"/>
  <c r="F230" i="52"/>
  <c r="F231" i="52"/>
  <c r="F232" i="52"/>
  <c r="F233" i="52"/>
  <c r="F234" i="52"/>
  <c r="F235" i="52"/>
  <c r="F236" i="52"/>
  <c r="F237" i="52"/>
  <c r="F238" i="52"/>
  <c r="F239" i="52"/>
  <c r="F240" i="52"/>
  <c r="F241" i="52"/>
  <c r="F242" i="52"/>
  <c r="F243" i="52"/>
  <c r="F244" i="52"/>
  <c r="F245" i="52"/>
  <c r="F246" i="52"/>
  <c r="F247" i="52"/>
  <c r="F248" i="52"/>
  <c r="F249" i="52"/>
  <c r="F250" i="52"/>
  <c r="F251" i="52"/>
  <c r="F252" i="52"/>
  <c r="F253" i="52"/>
  <c r="F254" i="52"/>
  <c r="F255" i="52"/>
  <c r="F256" i="52"/>
  <c r="F257" i="52"/>
  <c r="B3" i="57"/>
  <c r="L12" i="58"/>
  <c r="K12" i="58"/>
  <c r="B2" i="58"/>
  <c r="E260" i="58"/>
  <c r="B3" i="58"/>
  <c r="F11" i="55"/>
  <c r="I11" i="55" s="1"/>
  <c r="F12" i="55"/>
  <c r="I12" i="55" s="1"/>
  <c r="F13" i="55"/>
  <c r="I13" i="55" s="1"/>
  <c r="F14" i="55"/>
  <c r="I14" i="55" s="1"/>
  <c r="F15" i="55"/>
  <c r="I15" i="55" s="1"/>
  <c r="F16" i="55"/>
  <c r="I16" i="55" s="1"/>
  <c r="F17" i="55"/>
  <c r="I17" i="55" s="1"/>
  <c r="F18" i="55"/>
  <c r="I18" i="55" s="1"/>
  <c r="F19" i="55"/>
  <c r="I19" i="55" s="1"/>
  <c r="F20" i="55"/>
  <c r="I20" i="55" s="1"/>
  <c r="F21" i="55"/>
  <c r="I21" i="55" s="1"/>
  <c r="F22" i="55"/>
  <c r="I22" i="55" s="1"/>
  <c r="F23" i="55"/>
  <c r="I23" i="55" s="1"/>
  <c r="F24" i="55"/>
  <c r="I24" i="55" s="1"/>
  <c r="F25" i="55"/>
  <c r="I25" i="55" s="1"/>
  <c r="F26" i="55"/>
  <c r="I26" i="55" s="1"/>
  <c r="F27" i="55"/>
  <c r="I27" i="55" s="1"/>
  <c r="F28" i="55"/>
  <c r="I28" i="55" s="1"/>
  <c r="F29" i="55"/>
  <c r="I29" i="55" s="1"/>
  <c r="F30" i="55"/>
  <c r="I30" i="55" s="1"/>
  <c r="F31" i="55"/>
  <c r="I31" i="55" s="1"/>
  <c r="F32" i="55"/>
  <c r="I32" i="55" s="1"/>
  <c r="F33" i="55"/>
  <c r="I33" i="55" s="1"/>
  <c r="F34" i="55"/>
  <c r="I34" i="55" s="1"/>
  <c r="F35" i="55"/>
  <c r="I35" i="55" s="1"/>
  <c r="F36" i="55"/>
  <c r="I36" i="55" s="1"/>
  <c r="F37" i="55"/>
  <c r="I37" i="55" s="1"/>
  <c r="F38" i="55"/>
  <c r="I38" i="55" s="1"/>
  <c r="F39" i="55"/>
  <c r="I39" i="55" s="1"/>
  <c r="F40" i="55"/>
  <c r="I40" i="55" s="1"/>
  <c r="F41" i="55"/>
  <c r="I41" i="55" s="1"/>
  <c r="F42" i="55"/>
  <c r="I42" i="55" s="1"/>
  <c r="F43" i="55"/>
  <c r="I43" i="55" s="1"/>
  <c r="F44" i="55"/>
  <c r="I44" i="55" s="1"/>
  <c r="F45" i="55"/>
  <c r="I45" i="55" s="1"/>
  <c r="F46" i="55"/>
  <c r="I46" i="55" s="1"/>
  <c r="F47" i="55"/>
  <c r="I47" i="55" s="1"/>
  <c r="F48" i="55"/>
  <c r="I48" i="55" s="1"/>
  <c r="F49" i="55"/>
  <c r="I49" i="55" s="1"/>
  <c r="F50" i="55"/>
  <c r="I50" i="55" s="1"/>
  <c r="F51" i="55"/>
  <c r="I51" i="55" s="1"/>
  <c r="F52" i="55"/>
  <c r="I52" i="55" s="1"/>
  <c r="F53" i="55"/>
  <c r="I53" i="55" s="1"/>
  <c r="F54" i="55"/>
  <c r="I54" i="55" s="1"/>
  <c r="F55" i="55"/>
  <c r="I55" i="55" s="1"/>
  <c r="F56" i="55"/>
  <c r="I56" i="55" s="1"/>
  <c r="F57" i="55"/>
  <c r="I57" i="55" s="1"/>
  <c r="F58" i="55"/>
  <c r="I58" i="55" s="1"/>
  <c r="F59" i="55"/>
  <c r="I59" i="55" s="1"/>
  <c r="F60" i="55"/>
  <c r="I60" i="55" s="1"/>
  <c r="F61" i="55"/>
  <c r="I61" i="55" s="1"/>
  <c r="F62" i="55"/>
  <c r="I62" i="55" s="1"/>
  <c r="F63" i="55"/>
  <c r="I63" i="55" s="1"/>
  <c r="F64" i="55"/>
  <c r="I64" i="55" s="1"/>
  <c r="F65" i="55"/>
  <c r="I65" i="55" s="1"/>
  <c r="F66" i="55"/>
  <c r="I66" i="55" s="1"/>
  <c r="F67" i="55"/>
  <c r="I67" i="55" s="1"/>
  <c r="F68" i="55"/>
  <c r="I68" i="55" s="1"/>
  <c r="F69" i="55"/>
  <c r="I69" i="55" s="1"/>
  <c r="F70" i="55"/>
  <c r="I70" i="55" s="1"/>
  <c r="F71" i="55"/>
  <c r="I71" i="55" s="1"/>
  <c r="F72" i="55"/>
  <c r="I72" i="55" s="1"/>
  <c r="F73" i="55"/>
  <c r="I73" i="55" s="1"/>
  <c r="F74" i="55"/>
  <c r="I74" i="55" s="1"/>
  <c r="F75" i="55"/>
  <c r="I75" i="55" s="1"/>
  <c r="F76" i="55"/>
  <c r="I76" i="55" s="1"/>
  <c r="F77" i="55"/>
  <c r="I77" i="55" s="1"/>
  <c r="F78" i="55"/>
  <c r="I78" i="55" s="1"/>
  <c r="F79" i="55"/>
  <c r="I79" i="55" s="1"/>
  <c r="F80" i="55"/>
  <c r="I80" i="55" s="1"/>
  <c r="F81" i="55"/>
  <c r="I81" i="55" s="1"/>
  <c r="F82" i="55"/>
  <c r="I82" i="55" s="1"/>
  <c r="F83" i="55"/>
  <c r="I83" i="55" s="1"/>
  <c r="F84" i="55"/>
  <c r="I84" i="55" s="1"/>
  <c r="F85" i="55"/>
  <c r="I85" i="55" s="1"/>
  <c r="F86" i="55"/>
  <c r="I86" i="55" s="1"/>
  <c r="F87" i="55"/>
  <c r="I87" i="55" s="1"/>
  <c r="F88" i="55"/>
  <c r="I88" i="55" s="1"/>
  <c r="F89" i="55"/>
  <c r="I89" i="55" s="1"/>
  <c r="F90" i="55"/>
  <c r="I90" i="55" s="1"/>
  <c r="F91" i="55"/>
  <c r="I91" i="55" s="1"/>
  <c r="F92" i="55"/>
  <c r="I92" i="55" s="1"/>
  <c r="F93" i="55"/>
  <c r="I93" i="55" s="1"/>
  <c r="F94" i="55"/>
  <c r="I94" i="55" s="1"/>
  <c r="F95" i="55"/>
  <c r="I95" i="55" s="1"/>
  <c r="F96" i="55"/>
  <c r="I96" i="55" s="1"/>
  <c r="F97" i="55"/>
  <c r="I97" i="55" s="1"/>
  <c r="F98" i="55"/>
  <c r="I98" i="55" s="1"/>
  <c r="F99" i="55"/>
  <c r="I99" i="55" s="1"/>
  <c r="F100" i="55"/>
  <c r="I100" i="55" s="1"/>
  <c r="F101" i="55"/>
  <c r="I101" i="55" s="1"/>
  <c r="F102" i="55"/>
  <c r="I102" i="55" s="1"/>
  <c r="F103" i="55"/>
  <c r="I103" i="55" s="1"/>
  <c r="F104" i="55"/>
  <c r="I104" i="55" s="1"/>
  <c r="F105" i="55"/>
  <c r="I105" i="55" s="1"/>
  <c r="F106" i="55"/>
  <c r="I106" i="55" s="1"/>
  <c r="F107" i="55"/>
  <c r="I107" i="55" s="1"/>
  <c r="F108" i="55"/>
  <c r="I108" i="55" s="1"/>
  <c r="F109" i="55"/>
  <c r="I109" i="55" s="1"/>
  <c r="F110" i="55"/>
  <c r="I110" i="55" s="1"/>
  <c r="F111" i="55"/>
  <c r="I111" i="55" s="1"/>
  <c r="F112" i="55"/>
  <c r="I112" i="55" s="1"/>
  <c r="F113" i="55"/>
  <c r="I113" i="55" s="1"/>
  <c r="F114" i="55"/>
  <c r="I114" i="55" s="1"/>
  <c r="F115" i="55"/>
  <c r="I115" i="55" s="1"/>
  <c r="F116" i="55"/>
  <c r="I116" i="55" s="1"/>
  <c r="F117" i="55"/>
  <c r="I117" i="55" s="1"/>
  <c r="F118" i="55"/>
  <c r="I118" i="55" s="1"/>
  <c r="F119" i="55"/>
  <c r="I119" i="55" s="1"/>
  <c r="F120" i="55"/>
  <c r="I120" i="55" s="1"/>
  <c r="F121" i="55"/>
  <c r="I121" i="55" s="1"/>
  <c r="F122" i="55"/>
  <c r="I122" i="55" s="1"/>
  <c r="F123" i="55"/>
  <c r="I123" i="55" s="1"/>
  <c r="F124" i="55"/>
  <c r="I124" i="55" s="1"/>
  <c r="F125" i="55"/>
  <c r="I125" i="55" s="1"/>
  <c r="F126" i="55"/>
  <c r="I126" i="55" s="1"/>
  <c r="F127" i="55"/>
  <c r="I127" i="55" s="1"/>
  <c r="F128" i="55"/>
  <c r="I128" i="55" s="1"/>
  <c r="F129" i="55"/>
  <c r="I129" i="55" s="1"/>
  <c r="F130" i="55"/>
  <c r="I130" i="55" s="1"/>
  <c r="F131" i="55"/>
  <c r="I131" i="55" s="1"/>
  <c r="F132" i="55"/>
  <c r="I132" i="55" s="1"/>
  <c r="F133" i="55"/>
  <c r="I133" i="55" s="1"/>
  <c r="F134" i="55"/>
  <c r="I134" i="55" s="1"/>
  <c r="F135" i="55"/>
  <c r="I135" i="55" s="1"/>
  <c r="F136" i="55"/>
  <c r="I136" i="55" s="1"/>
  <c r="F137" i="55"/>
  <c r="I137" i="55" s="1"/>
  <c r="F138" i="55"/>
  <c r="I138" i="55" s="1"/>
  <c r="F139" i="55"/>
  <c r="I139" i="55" s="1"/>
  <c r="F140" i="55"/>
  <c r="I140" i="55" s="1"/>
  <c r="F141" i="55"/>
  <c r="I141" i="55" s="1"/>
  <c r="F142" i="55"/>
  <c r="I142" i="55" s="1"/>
  <c r="F143" i="55"/>
  <c r="I143" i="55" s="1"/>
  <c r="F144" i="55"/>
  <c r="I144" i="55" s="1"/>
  <c r="F145" i="55"/>
  <c r="I145" i="55" s="1"/>
  <c r="F146" i="55"/>
  <c r="I146" i="55" s="1"/>
  <c r="F147" i="55"/>
  <c r="I147" i="55" s="1"/>
  <c r="F148" i="55"/>
  <c r="I148" i="55" s="1"/>
  <c r="F149" i="55"/>
  <c r="I149" i="55" s="1"/>
  <c r="F150" i="55"/>
  <c r="I150" i="55" s="1"/>
  <c r="F151" i="55"/>
  <c r="I151" i="55" s="1"/>
  <c r="F152" i="55"/>
  <c r="I152" i="55" s="1"/>
  <c r="F153" i="55"/>
  <c r="I153" i="55" s="1"/>
  <c r="F154" i="55"/>
  <c r="I154" i="55" s="1"/>
  <c r="F155" i="55"/>
  <c r="I155" i="55" s="1"/>
  <c r="F156" i="55"/>
  <c r="I156" i="55" s="1"/>
  <c r="F157" i="55"/>
  <c r="I157" i="55" s="1"/>
  <c r="F158" i="55"/>
  <c r="I158" i="55" s="1"/>
  <c r="F159" i="55"/>
  <c r="I159" i="55" s="1"/>
  <c r="F160" i="55"/>
  <c r="I160" i="55" s="1"/>
  <c r="F161" i="55"/>
  <c r="I161" i="55" s="1"/>
  <c r="F162" i="55"/>
  <c r="I162" i="55" s="1"/>
  <c r="F163" i="55"/>
  <c r="I163" i="55" s="1"/>
  <c r="F164" i="55"/>
  <c r="I164" i="55" s="1"/>
  <c r="F165" i="55"/>
  <c r="I165" i="55" s="1"/>
  <c r="F166" i="55"/>
  <c r="I166" i="55" s="1"/>
  <c r="F167" i="55"/>
  <c r="I167" i="55" s="1"/>
  <c r="F168" i="55"/>
  <c r="I168" i="55" s="1"/>
  <c r="F169" i="55"/>
  <c r="I169" i="55" s="1"/>
  <c r="F170" i="55"/>
  <c r="I170" i="55" s="1"/>
  <c r="F171" i="55"/>
  <c r="I171" i="55" s="1"/>
  <c r="F172" i="55"/>
  <c r="I172" i="55" s="1"/>
  <c r="F173" i="55"/>
  <c r="I173" i="55" s="1"/>
  <c r="F174" i="55"/>
  <c r="I174" i="55" s="1"/>
  <c r="F175" i="55"/>
  <c r="I175" i="55" s="1"/>
  <c r="F176" i="55"/>
  <c r="I176" i="55" s="1"/>
  <c r="F177" i="55"/>
  <c r="I177" i="55" s="1"/>
  <c r="F178" i="55"/>
  <c r="I178" i="55" s="1"/>
  <c r="F179" i="55"/>
  <c r="I179" i="55" s="1"/>
  <c r="F180" i="55"/>
  <c r="I180" i="55" s="1"/>
  <c r="F181" i="55"/>
  <c r="I181" i="55" s="1"/>
  <c r="F182" i="55"/>
  <c r="I182" i="55" s="1"/>
  <c r="F183" i="55"/>
  <c r="I183" i="55" s="1"/>
  <c r="F184" i="55"/>
  <c r="I184" i="55" s="1"/>
  <c r="F185" i="55"/>
  <c r="I185" i="55" s="1"/>
  <c r="F186" i="55"/>
  <c r="I186" i="55" s="1"/>
  <c r="F187" i="55"/>
  <c r="I187" i="55" s="1"/>
  <c r="F188" i="55"/>
  <c r="I188" i="55" s="1"/>
  <c r="F189" i="55"/>
  <c r="I189" i="55" s="1"/>
  <c r="F190" i="55"/>
  <c r="I190" i="55" s="1"/>
  <c r="F191" i="55"/>
  <c r="I191" i="55" s="1"/>
  <c r="F192" i="55"/>
  <c r="I192" i="55" s="1"/>
  <c r="F193" i="55"/>
  <c r="I193" i="55" s="1"/>
  <c r="F194" i="55"/>
  <c r="I194" i="55" s="1"/>
  <c r="F195" i="55"/>
  <c r="I195" i="55" s="1"/>
  <c r="F196" i="55"/>
  <c r="I196" i="55" s="1"/>
  <c r="F197" i="55"/>
  <c r="I197" i="55" s="1"/>
  <c r="F198" i="55"/>
  <c r="I198" i="55" s="1"/>
  <c r="F199" i="55"/>
  <c r="I199" i="55" s="1"/>
  <c r="F200" i="55"/>
  <c r="I200" i="55" s="1"/>
  <c r="F201" i="55"/>
  <c r="I201" i="55" s="1"/>
  <c r="F202" i="55"/>
  <c r="I202" i="55" s="1"/>
  <c r="F203" i="55"/>
  <c r="I203" i="55" s="1"/>
  <c r="F204" i="55"/>
  <c r="I204" i="55" s="1"/>
  <c r="F205" i="55"/>
  <c r="I205" i="55" s="1"/>
  <c r="F206" i="55"/>
  <c r="I206" i="55" s="1"/>
  <c r="F207" i="55"/>
  <c r="I207" i="55" s="1"/>
  <c r="F208" i="55"/>
  <c r="I208" i="55" s="1"/>
  <c r="F209" i="55"/>
  <c r="I209" i="55" s="1"/>
  <c r="F210" i="55"/>
  <c r="I210" i="55" s="1"/>
  <c r="F211" i="55"/>
  <c r="I211" i="55" s="1"/>
  <c r="F212" i="55"/>
  <c r="I212" i="55" s="1"/>
  <c r="F213" i="55"/>
  <c r="I213" i="55" s="1"/>
  <c r="F214" i="55"/>
  <c r="I214" i="55" s="1"/>
  <c r="F215" i="55"/>
  <c r="I215" i="55" s="1"/>
  <c r="F216" i="55"/>
  <c r="I216" i="55" s="1"/>
  <c r="F217" i="55"/>
  <c r="I217" i="55" s="1"/>
  <c r="F218" i="55"/>
  <c r="I218" i="55" s="1"/>
  <c r="F219" i="55"/>
  <c r="I219" i="55" s="1"/>
  <c r="F220" i="55"/>
  <c r="I220" i="55" s="1"/>
  <c r="F221" i="55"/>
  <c r="I221" i="55" s="1"/>
  <c r="F222" i="55"/>
  <c r="I222" i="55" s="1"/>
  <c r="F223" i="55"/>
  <c r="I223" i="55" s="1"/>
  <c r="F224" i="55"/>
  <c r="I224" i="55" s="1"/>
  <c r="F225" i="55"/>
  <c r="I225" i="55" s="1"/>
  <c r="F226" i="55"/>
  <c r="I226" i="55" s="1"/>
  <c r="F227" i="55"/>
  <c r="I227" i="55" s="1"/>
  <c r="F228" i="55"/>
  <c r="I228" i="55" s="1"/>
  <c r="F229" i="55"/>
  <c r="I229" i="55" s="1"/>
  <c r="F230" i="55"/>
  <c r="I230" i="55" s="1"/>
  <c r="F231" i="55"/>
  <c r="I231" i="55" s="1"/>
  <c r="F232" i="55"/>
  <c r="I232" i="55" s="1"/>
  <c r="F233" i="55"/>
  <c r="I233" i="55" s="1"/>
  <c r="F234" i="55"/>
  <c r="I234" i="55" s="1"/>
  <c r="F235" i="55"/>
  <c r="I235" i="55" s="1"/>
  <c r="F236" i="55"/>
  <c r="I236" i="55" s="1"/>
  <c r="F237" i="55"/>
  <c r="I237" i="55" s="1"/>
  <c r="F238" i="55"/>
  <c r="I238" i="55" s="1"/>
  <c r="F239" i="55"/>
  <c r="I239" i="55" s="1"/>
  <c r="F240" i="55"/>
  <c r="I240" i="55" s="1"/>
  <c r="F241" i="55"/>
  <c r="I241" i="55" s="1"/>
  <c r="F242" i="55"/>
  <c r="I242" i="55" s="1"/>
  <c r="F243" i="55"/>
  <c r="I243" i="55" s="1"/>
  <c r="F244" i="55"/>
  <c r="I244" i="55" s="1"/>
  <c r="F245" i="55"/>
  <c r="I245" i="55" s="1"/>
  <c r="F246" i="55"/>
  <c r="I246" i="55" s="1"/>
  <c r="F247" i="55"/>
  <c r="I247" i="55" s="1"/>
  <c r="F248" i="55"/>
  <c r="I248" i="55" s="1"/>
  <c r="F249" i="55"/>
  <c r="I249" i="55" s="1"/>
  <c r="F250" i="55"/>
  <c r="I250" i="55" s="1"/>
  <c r="F251" i="55"/>
  <c r="I251" i="55" s="1"/>
  <c r="F252" i="55"/>
  <c r="I252" i="55" s="1"/>
  <c r="F253" i="55"/>
  <c r="I253" i="55" s="1"/>
  <c r="F254" i="55"/>
  <c r="I254" i="55" s="1"/>
  <c r="F255" i="55"/>
  <c r="I255" i="55" s="1"/>
  <c r="F256" i="55"/>
  <c r="I256" i="55" s="1"/>
  <c r="F257" i="55"/>
  <c r="I257" i="55" s="1"/>
  <c r="B2" i="55"/>
  <c r="Q258" i="55"/>
  <c r="P258" i="55"/>
  <c r="E258" i="55"/>
  <c r="AF257" i="55"/>
  <c r="AE257" i="55"/>
  <c r="AF256" i="55"/>
  <c r="AE256" i="55"/>
  <c r="AF255" i="55"/>
  <c r="AE255" i="55"/>
  <c r="AF254" i="55"/>
  <c r="AE254" i="55"/>
  <c r="AF253" i="55"/>
  <c r="AE253" i="55"/>
  <c r="AF252" i="55"/>
  <c r="AE252" i="55"/>
  <c r="AF251" i="55"/>
  <c r="AE251" i="55"/>
  <c r="AF250" i="55"/>
  <c r="AE250" i="55"/>
  <c r="AF249" i="55"/>
  <c r="AE249" i="55"/>
  <c r="AF248" i="55"/>
  <c r="AE248" i="55"/>
  <c r="AF247" i="55"/>
  <c r="AE247" i="55"/>
  <c r="AF246" i="55"/>
  <c r="AE246" i="55"/>
  <c r="AF245" i="55"/>
  <c r="AE245" i="55"/>
  <c r="AF244" i="55"/>
  <c r="AE244" i="55"/>
  <c r="AF243" i="55"/>
  <c r="AE243" i="55"/>
  <c r="AF242" i="55"/>
  <c r="AE242" i="55"/>
  <c r="AF241" i="55"/>
  <c r="AE241" i="55"/>
  <c r="AF240" i="55"/>
  <c r="AE240" i="55"/>
  <c r="AF239" i="55"/>
  <c r="AE239" i="55"/>
  <c r="AF238" i="55"/>
  <c r="AE238" i="55"/>
  <c r="AF237" i="55"/>
  <c r="AE237" i="55"/>
  <c r="AF236" i="55"/>
  <c r="AE236" i="55"/>
  <c r="AF235" i="55"/>
  <c r="AE235" i="55"/>
  <c r="AF234" i="55"/>
  <c r="AE234" i="55"/>
  <c r="AF233" i="55"/>
  <c r="AE233" i="55"/>
  <c r="AF232" i="55"/>
  <c r="AE232" i="55"/>
  <c r="AF231" i="55"/>
  <c r="AE231" i="55"/>
  <c r="AF230" i="55"/>
  <c r="AE230" i="55"/>
  <c r="AF229" i="55"/>
  <c r="AE229" i="55"/>
  <c r="AF228" i="55"/>
  <c r="AE228" i="55"/>
  <c r="AF227" i="55"/>
  <c r="AE227" i="55"/>
  <c r="AF226" i="55"/>
  <c r="AE226" i="55"/>
  <c r="AF225" i="55"/>
  <c r="AE225" i="55"/>
  <c r="AF224" i="55"/>
  <c r="AE224" i="55"/>
  <c r="AF223" i="55"/>
  <c r="AE223" i="55"/>
  <c r="AF222" i="55"/>
  <c r="AE222" i="55"/>
  <c r="AF221" i="55"/>
  <c r="AE221" i="55"/>
  <c r="AF220" i="55"/>
  <c r="AE220" i="55"/>
  <c r="AF219" i="55"/>
  <c r="AE219" i="55"/>
  <c r="AF218" i="55"/>
  <c r="AE218" i="55"/>
  <c r="AF217" i="55"/>
  <c r="AE217" i="55"/>
  <c r="AF216" i="55"/>
  <c r="AE216" i="55"/>
  <c r="AF215" i="55"/>
  <c r="AE215" i="55"/>
  <c r="AF214" i="55"/>
  <c r="AE214" i="55"/>
  <c r="AF213" i="55"/>
  <c r="AE213" i="55"/>
  <c r="AF212" i="55"/>
  <c r="AE212" i="55"/>
  <c r="AF211" i="55"/>
  <c r="AE211" i="55"/>
  <c r="AF210" i="55"/>
  <c r="AE210" i="55"/>
  <c r="AF209" i="55"/>
  <c r="AE209" i="55"/>
  <c r="AF208" i="55"/>
  <c r="AE208" i="55"/>
  <c r="AF207" i="55"/>
  <c r="AE207" i="55"/>
  <c r="AF206" i="55"/>
  <c r="AE206" i="55"/>
  <c r="AF205" i="55"/>
  <c r="AE205" i="55"/>
  <c r="AF204" i="55"/>
  <c r="AE204" i="55"/>
  <c r="AF203" i="55"/>
  <c r="AE203" i="55"/>
  <c r="AF202" i="55"/>
  <c r="AE202" i="55"/>
  <c r="AF201" i="55"/>
  <c r="AE201" i="55"/>
  <c r="AF200" i="55"/>
  <c r="AE200" i="55"/>
  <c r="AF199" i="55"/>
  <c r="AE199" i="55"/>
  <c r="AF198" i="55"/>
  <c r="AE198" i="55"/>
  <c r="AF197" i="55"/>
  <c r="AE197" i="55"/>
  <c r="AF196" i="55"/>
  <c r="AE196" i="55"/>
  <c r="AF195" i="55"/>
  <c r="AE195" i="55"/>
  <c r="AF194" i="55"/>
  <c r="AE194" i="55"/>
  <c r="AF193" i="55"/>
  <c r="AE193" i="55"/>
  <c r="AF192" i="55"/>
  <c r="AE192" i="55"/>
  <c r="AF191" i="55"/>
  <c r="AE191" i="55"/>
  <c r="AF190" i="55"/>
  <c r="AE190" i="55"/>
  <c r="AF189" i="55"/>
  <c r="AE189" i="55"/>
  <c r="AF188" i="55"/>
  <c r="AE188" i="55"/>
  <c r="AF187" i="55"/>
  <c r="AE187" i="55"/>
  <c r="AF186" i="55"/>
  <c r="AE186" i="55"/>
  <c r="AF185" i="55"/>
  <c r="AE185" i="55"/>
  <c r="AF184" i="55"/>
  <c r="AE184" i="55"/>
  <c r="AF183" i="55"/>
  <c r="AE183" i="55"/>
  <c r="AF182" i="55"/>
  <c r="AE182" i="55"/>
  <c r="AF181" i="55"/>
  <c r="AE181" i="55"/>
  <c r="AF180" i="55"/>
  <c r="AE180" i="55"/>
  <c r="AF179" i="55"/>
  <c r="AE179" i="55"/>
  <c r="AF178" i="55"/>
  <c r="AE178" i="55"/>
  <c r="AF177" i="55"/>
  <c r="AE177" i="55"/>
  <c r="AF176" i="55"/>
  <c r="AE176" i="55"/>
  <c r="AF175" i="55"/>
  <c r="AE175" i="55"/>
  <c r="AF174" i="55"/>
  <c r="AE174" i="55"/>
  <c r="AF173" i="55"/>
  <c r="AE173" i="55"/>
  <c r="AF172" i="55"/>
  <c r="AE172" i="55"/>
  <c r="AF171" i="55"/>
  <c r="AE171" i="55"/>
  <c r="AF170" i="55"/>
  <c r="AE170" i="55"/>
  <c r="AF169" i="55"/>
  <c r="AE169" i="55"/>
  <c r="AF168" i="55"/>
  <c r="AE168" i="55"/>
  <c r="AF167" i="55"/>
  <c r="AE167" i="55"/>
  <c r="AF166" i="55"/>
  <c r="AE166" i="55"/>
  <c r="AF165" i="55"/>
  <c r="AE165" i="55"/>
  <c r="AF164" i="55"/>
  <c r="AE164" i="55"/>
  <c r="AF163" i="55"/>
  <c r="AE163" i="55"/>
  <c r="AF162" i="55"/>
  <c r="AE162" i="55"/>
  <c r="AF161" i="55"/>
  <c r="AE161" i="55"/>
  <c r="AF160" i="55"/>
  <c r="AE160" i="55"/>
  <c r="AF159" i="55"/>
  <c r="AE159" i="55"/>
  <c r="AF158" i="55"/>
  <c r="AE158" i="55"/>
  <c r="AF157" i="55"/>
  <c r="AE157" i="55"/>
  <c r="AF156" i="55"/>
  <c r="AE156" i="55"/>
  <c r="AF155" i="55"/>
  <c r="AE155" i="55"/>
  <c r="AF154" i="55"/>
  <c r="AE154" i="55"/>
  <c r="AF153" i="55"/>
  <c r="AE153" i="55"/>
  <c r="AF152" i="55"/>
  <c r="AE152" i="55"/>
  <c r="AF151" i="55"/>
  <c r="AE151" i="55"/>
  <c r="AF150" i="55"/>
  <c r="AE150" i="55"/>
  <c r="AF149" i="55"/>
  <c r="AE149" i="55"/>
  <c r="AF148" i="55"/>
  <c r="AE148" i="55"/>
  <c r="AF147" i="55"/>
  <c r="AE147" i="55"/>
  <c r="AF146" i="55"/>
  <c r="AE146" i="55"/>
  <c r="AF145" i="55"/>
  <c r="AE145" i="55"/>
  <c r="AF144" i="55"/>
  <c r="AE144" i="55"/>
  <c r="AF143" i="55"/>
  <c r="AE143" i="55"/>
  <c r="AF142" i="55"/>
  <c r="AE142" i="55"/>
  <c r="AF141" i="55"/>
  <c r="AE141" i="55"/>
  <c r="AF140" i="55"/>
  <c r="AE140" i="55"/>
  <c r="AF139" i="55"/>
  <c r="AE139" i="55"/>
  <c r="AF138" i="55"/>
  <c r="AE138" i="55"/>
  <c r="AF137" i="55"/>
  <c r="AE137" i="55"/>
  <c r="AF136" i="55"/>
  <c r="AE136" i="55"/>
  <c r="AF135" i="55"/>
  <c r="AE135" i="55"/>
  <c r="AF134" i="55"/>
  <c r="AE134" i="55"/>
  <c r="AF133" i="55"/>
  <c r="AE133" i="55"/>
  <c r="AF132" i="55"/>
  <c r="AE132" i="55"/>
  <c r="AF131" i="55"/>
  <c r="AE131" i="55"/>
  <c r="AF130" i="55"/>
  <c r="AE130" i="55"/>
  <c r="AF129" i="55"/>
  <c r="AE129" i="55"/>
  <c r="AF128" i="55"/>
  <c r="AE128" i="55"/>
  <c r="AF127" i="55"/>
  <c r="AE127" i="55"/>
  <c r="AF126" i="55"/>
  <c r="AE126" i="55"/>
  <c r="AF125" i="55"/>
  <c r="AE125" i="55"/>
  <c r="AF124" i="55"/>
  <c r="AE124" i="55"/>
  <c r="AF123" i="55"/>
  <c r="AE123" i="55"/>
  <c r="AF122" i="55"/>
  <c r="AE122" i="55"/>
  <c r="AF121" i="55"/>
  <c r="AE121" i="55"/>
  <c r="AF120" i="55"/>
  <c r="AE120" i="55"/>
  <c r="AF119" i="55"/>
  <c r="AE119" i="55"/>
  <c r="AF118" i="55"/>
  <c r="AE118" i="55"/>
  <c r="AF117" i="55"/>
  <c r="AE117" i="55"/>
  <c r="AF116" i="55"/>
  <c r="AE116" i="55"/>
  <c r="AF115" i="55"/>
  <c r="AE115" i="55"/>
  <c r="AF114" i="55"/>
  <c r="AE114" i="55"/>
  <c r="AF113" i="55"/>
  <c r="AE113" i="55"/>
  <c r="AF112" i="55"/>
  <c r="AE112" i="55"/>
  <c r="AF111" i="55"/>
  <c r="AE111" i="55"/>
  <c r="AF110" i="55"/>
  <c r="AE110" i="55"/>
  <c r="AF109" i="55"/>
  <c r="AE109" i="55"/>
  <c r="AF108" i="55"/>
  <c r="AE108" i="55"/>
  <c r="AF107" i="55"/>
  <c r="AE107" i="55"/>
  <c r="AF106" i="55"/>
  <c r="AE106" i="55"/>
  <c r="AF105" i="55"/>
  <c r="AE105" i="55"/>
  <c r="AF104" i="55"/>
  <c r="AE104" i="55"/>
  <c r="AF103" i="55"/>
  <c r="AE103" i="55"/>
  <c r="AF102" i="55"/>
  <c r="AE102" i="55"/>
  <c r="AF101" i="55"/>
  <c r="AE101" i="55"/>
  <c r="AF100" i="55"/>
  <c r="AE100" i="55"/>
  <c r="AF99" i="55"/>
  <c r="AE99" i="55"/>
  <c r="AF98" i="55"/>
  <c r="AE98" i="55"/>
  <c r="AF97" i="55"/>
  <c r="AE97" i="55"/>
  <c r="AF96" i="55"/>
  <c r="AE96" i="55"/>
  <c r="AF95" i="55"/>
  <c r="AE95" i="55"/>
  <c r="AF94" i="55"/>
  <c r="AE94" i="55"/>
  <c r="AF93" i="55"/>
  <c r="AE93" i="55"/>
  <c r="AF92" i="55"/>
  <c r="AE92" i="55"/>
  <c r="AF91" i="55"/>
  <c r="AE91" i="55"/>
  <c r="AF90" i="55"/>
  <c r="AE90" i="55"/>
  <c r="AF89" i="55"/>
  <c r="AE89" i="55"/>
  <c r="AF88" i="55"/>
  <c r="AE88" i="55"/>
  <c r="AF87" i="55"/>
  <c r="AE87" i="55"/>
  <c r="AF86" i="55"/>
  <c r="AE86" i="55"/>
  <c r="AF85" i="55"/>
  <c r="AE85" i="55"/>
  <c r="AF84" i="55"/>
  <c r="AE84" i="55"/>
  <c r="AF83" i="55"/>
  <c r="AE83" i="55"/>
  <c r="AF82" i="55"/>
  <c r="AE82" i="55"/>
  <c r="AF81" i="55"/>
  <c r="AE81" i="55"/>
  <c r="AF80" i="55"/>
  <c r="AE80" i="55"/>
  <c r="AF79" i="55"/>
  <c r="AE79" i="55"/>
  <c r="AF78" i="55"/>
  <c r="AE78" i="55"/>
  <c r="AF77" i="55"/>
  <c r="AE77" i="55"/>
  <c r="AF76" i="55"/>
  <c r="AE76" i="55"/>
  <c r="AF75" i="55"/>
  <c r="AE75" i="55"/>
  <c r="AF74" i="55"/>
  <c r="AE74" i="55"/>
  <c r="AF73" i="55"/>
  <c r="AE73" i="55"/>
  <c r="AF72" i="55"/>
  <c r="AE72" i="55"/>
  <c r="AF71" i="55"/>
  <c r="AE71" i="55"/>
  <c r="AF70" i="55"/>
  <c r="AE70" i="55"/>
  <c r="AF69" i="55"/>
  <c r="AE69" i="55"/>
  <c r="AF68" i="55"/>
  <c r="AE68" i="55"/>
  <c r="AF67" i="55"/>
  <c r="AE67" i="55"/>
  <c r="AF66" i="55"/>
  <c r="AE66" i="55"/>
  <c r="AF65" i="55"/>
  <c r="AE65" i="55"/>
  <c r="AF64" i="55"/>
  <c r="AE64" i="55"/>
  <c r="AF63" i="55"/>
  <c r="AE63" i="55"/>
  <c r="AF62" i="55"/>
  <c r="AE62" i="55"/>
  <c r="AF61" i="55"/>
  <c r="AE61" i="55"/>
  <c r="AF60" i="55"/>
  <c r="AE60" i="55"/>
  <c r="AF59" i="55"/>
  <c r="AE59" i="55"/>
  <c r="AF58" i="55"/>
  <c r="AE58" i="55"/>
  <c r="AF57" i="55"/>
  <c r="AE57" i="55"/>
  <c r="AF56" i="55"/>
  <c r="AE56" i="55"/>
  <c r="AF55" i="55"/>
  <c r="AE55" i="55"/>
  <c r="AF54" i="55"/>
  <c r="AE54" i="55"/>
  <c r="AF53" i="55"/>
  <c r="AE53" i="55"/>
  <c r="AF52" i="55"/>
  <c r="AE52" i="55"/>
  <c r="AF51" i="55"/>
  <c r="AE51" i="55"/>
  <c r="AF50" i="55"/>
  <c r="AE50" i="55"/>
  <c r="AF49" i="55"/>
  <c r="AE49" i="55"/>
  <c r="AF48" i="55"/>
  <c r="AE48" i="55"/>
  <c r="AF47" i="55"/>
  <c r="AE47" i="55"/>
  <c r="AF46" i="55"/>
  <c r="AE46" i="55"/>
  <c r="AF45" i="55"/>
  <c r="AE45" i="55"/>
  <c r="AF44" i="55"/>
  <c r="AE44" i="55"/>
  <c r="AF43" i="55"/>
  <c r="AE43" i="55"/>
  <c r="AF42" i="55"/>
  <c r="AE42" i="55"/>
  <c r="AF41" i="55"/>
  <c r="AE41" i="55"/>
  <c r="AF40" i="55"/>
  <c r="AE40" i="55"/>
  <c r="AF39" i="55"/>
  <c r="AE39" i="55"/>
  <c r="AF38" i="55"/>
  <c r="AE38" i="55"/>
  <c r="AF37" i="55"/>
  <c r="AE37" i="55"/>
  <c r="AF36" i="55"/>
  <c r="AE36" i="55"/>
  <c r="AF35" i="55"/>
  <c r="AE35" i="55"/>
  <c r="AF34" i="55"/>
  <c r="AE34" i="55"/>
  <c r="AF33" i="55"/>
  <c r="AE33" i="55"/>
  <c r="AF32" i="55"/>
  <c r="AE32" i="55"/>
  <c r="AF31" i="55"/>
  <c r="AE31" i="55"/>
  <c r="AF30" i="55"/>
  <c r="AE30" i="55"/>
  <c r="AF29" i="55"/>
  <c r="AE29" i="55"/>
  <c r="AF28" i="55"/>
  <c r="AE28" i="55"/>
  <c r="AF27" i="55"/>
  <c r="AE27" i="55"/>
  <c r="AF26" i="55"/>
  <c r="AE26" i="55"/>
  <c r="AF25" i="55"/>
  <c r="AE25" i="55"/>
  <c r="AF24" i="55"/>
  <c r="AE24" i="55"/>
  <c r="AF23" i="55"/>
  <c r="AE23" i="55"/>
  <c r="AF22" i="55"/>
  <c r="AE22" i="55"/>
  <c r="AF21" i="55"/>
  <c r="AE21" i="55"/>
  <c r="AF20" i="55"/>
  <c r="AE20" i="55"/>
  <c r="AF19" i="55"/>
  <c r="AE19" i="55"/>
  <c r="AF18" i="55"/>
  <c r="AE18" i="55"/>
  <c r="AF17" i="55"/>
  <c r="AE17" i="55"/>
  <c r="AF16" i="55"/>
  <c r="AE16" i="55"/>
  <c r="AF15" i="55"/>
  <c r="AE15" i="55"/>
  <c r="AF14" i="55"/>
  <c r="AE14" i="55"/>
  <c r="AF13" i="55"/>
  <c r="AE13" i="55"/>
  <c r="AF12" i="55"/>
  <c r="AE12" i="55"/>
  <c r="AF11" i="55"/>
  <c r="AE11" i="55"/>
  <c r="AF10" i="55"/>
  <c r="AE10" i="55"/>
  <c r="B3" i="55"/>
  <c r="B2" i="53"/>
  <c r="B3" i="53"/>
  <c r="M13" i="42"/>
  <c r="M14" i="42"/>
  <c r="M15" i="42"/>
  <c r="M16" i="42"/>
  <c r="M17" i="42"/>
  <c r="M18" i="42"/>
  <c r="M19" i="42"/>
  <c r="M20" i="42"/>
  <c r="M21" i="42"/>
  <c r="M22" i="42"/>
  <c r="M23" i="42"/>
  <c r="M24" i="42"/>
  <c r="M25" i="42"/>
  <c r="M26" i="42"/>
  <c r="M27" i="42"/>
  <c r="M28" i="42"/>
  <c r="M29" i="42"/>
  <c r="M30" i="42"/>
  <c r="M31" i="42"/>
  <c r="M32" i="42"/>
  <c r="M33" i="42"/>
  <c r="M34" i="42"/>
  <c r="M35" i="42"/>
  <c r="M36" i="42"/>
  <c r="M37" i="42"/>
  <c r="M38" i="42"/>
  <c r="M39" i="42"/>
  <c r="M40" i="42"/>
  <c r="M41" i="42"/>
  <c r="M42" i="42"/>
  <c r="M43" i="42"/>
  <c r="M44" i="42"/>
  <c r="M45" i="42"/>
  <c r="M46" i="42"/>
  <c r="M47" i="42"/>
  <c r="M48" i="42"/>
  <c r="M49" i="42"/>
  <c r="M50" i="42"/>
  <c r="M51" i="42"/>
  <c r="M52" i="42"/>
  <c r="M53" i="42"/>
  <c r="M54" i="42"/>
  <c r="M55" i="42"/>
  <c r="M56" i="42"/>
  <c r="M57" i="42"/>
  <c r="M58" i="42"/>
  <c r="M59" i="42"/>
  <c r="M60" i="42"/>
  <c r="M61" i="42"/>
  <c r="M62" i="42"/>
  <c r="M63" i="42"/>
  <c r="M64" i="42"/>
  <c r="M65" i="42"/>
  <c r="M66" i="42"/>
  <c r="M67" i="42"/>
  <c r="M68" i="42"/>
  <c r="M69" i="42"/>
  <c r="M70" i="42"/>
  <c r="M71" i="42"/>
  <c r="M72" i="42"/>
  <c r="M73" i="42"/>
  <c r="M74" i="42"/>
  <c r="M75" i="42"/>
  <c r="M76" i="42"/>
  <c r="M77" i="42"/>
  <c r="M78" i="42"/>
  <c r="M79" i="42"/>
  <c r="M80" i="42"/>
  <c r="M81" i="42"/>
  <c r="M82" i="42"/>
  <c r="M83" i="42"/>
  <c r="M84" i="42"/>
  <c r="M85" i="42"/>
  <c r="M86" i="42"/>
  <c r="M87" i="42"/>
  <c r="M88" i="42"/>
  <c r="M89" i="42"/>
  <c r="M90" i="42"/>
  <c r="M91" i="42"/>
  <c r="M92" i="42"/>
  <c r="M93" i="42"/>
  <c r="M94" i="42"/>
  <c r="M95" i="42"/>
  <c r="M96" i="42"/>
  <c r="M97" i="42"/>
  <c r="M98" i="42"/>
  <c r="M99" i="42"/>
  <c r="M100" i="42"/>
  <c r="M101" i="42"/>
  <c r="M102" i="42"/>
  <c r="M103" i="42"/>
  <c r="M104" i="42"/>
  <c r="M105" i="42"/>
  <c r="M106" i="42"/>
  <c r="M107" i="42"/>
  <c r="M108" i="42"/>
  <c r="M109" i="42"/>
  <c r="M110" i="42"/>
  <c r="M111" i="42"/>
  <c r="M112" i="42"/>
  <c r="M113" i="42"/>
  <c r="M114" i="42"/>
  <c r="M115" i="42"/>
  <c r="M116" i="42"/>
  <c r="M117" i="42"/>
  <c r="M118" i="42"/>
  <c r="M119" i="42"/>
  <c r="M120" i="42"/>
  <c r="M121" i="42"/>
  <c r="M122" i="42"/>
  <c r="M123" i="42"/>
  <c r="M124" i="42"/>
  <c r="M125" i="42"/>
  <c r="M126" i="42"/>
  <c r="M127" i="42"/>
  <c r="M128" i="42"/>
  <c r="M129" i="42"/>
  <c r="M130" i="42"/>
  <c r="M131" i="42"/>
  <c r="M132" i="42"/>
  <c r="M133" i="42"/>
  <c r="M134" i="42"/>
  <c r="M135" i="42"/>
  <c r="M136" i="42"/>
  <c r="M137" i="42"/>
  <c r="M138" i="42"/>
  <c r="M139" i="42"/>
  <c r="M140" i="42"/>
  <c r="M141" i="42"/>
  <c r="M142" i="42"/>
  <c r="M143" i="42"/>
  <c r="M144" i="42"/>
  <c r="M145" i="42"/>
  <c r="M146" i="42"/>
  <c r="M147" i="42"/>
  <c r="M148" i="42"/>
  <c r="M149" i="42"/>
  <c r="M150" i="42"/>
  <c r="M151" i="42"/>
  <c r="M152" i="42"/>
  <c r="M153" i="42"/>
  <c r="M154" i="42"/>
  <c r="M155" i="42"/>
  <c r="M156" i="42"/>
  <c r="M157" i="42"/>
  <c r="M158" i="42"/>
  <c r="M159" i="42"/>
  <c r="M160" i="42"/>
  <c r="M161" i="42"/>
  <c r="M162" i="42"/>
  <c r="M163" i="42"/>
  <c r="M164" i="42"/>
  <c r="M165" i="42"/>
  <c r="M166" i="42"/>
  <c r="M167" i="42"/>
  <c r="M168" i="42"/>
  <c r="M169" i="42"/>
  <c r="M170" i="42"/>
  <c r="M171" i="42"/>
  <c r="M172" i="42"/>
  <c r="M173" i="42"/>
  <c r="M174" i="42"/>
  <c r="M175" i="42"/>
  <c r="M176" i="42"/>
  <c r="M177" i="42"/>
  <c r="M178" i="42"/>
  <c r="M179" i="42"/>
  <c r="M180" i="42"/>
  <c r="M181" i="42"/>
  <c r="M182" i="42"/>
  <c r="M183" i="42"/>
  <c r="M184" i="42"/>
  <c r="M185" i="42"/>
  <c r="M186" i="42"/>
  <c r="M187" i="42"/>
  <c r="M188" i="42"/>
  <c r="M189" i="42"/>
  <c r="M190" i="42"/>
  <c r="M191" i="42"/>
  <c r="M192" i="42"/>
  <c r="M193" i="42"/>
  <c r="M194" i="42"/>
  <c r="M195" i="42"/>
  <c r="M196" i="42"/>
  <c r="M197" i="42"/>
  <c r="M198" i="42"/>
  <c r="M199" i="42"/>
  <c r="M200" i="42"/>
  <c r="M201" i="42"/>
  <c r="M202" i="42"/>
  <c r="M203" i="42"/>
  <c r="M204" i="42"/>
  <c r="M205" i="42"/>
  <c r="M206" i="42"/>
  <c r="M207" i="42"/>
  <c r="M208" i="42"/>
  <c r="M209" i="42"/>
  <c r="M210" i="42"/>
  <c r="M211" i="42"/>
  <c r="M212" i="42"/>
  <c r="M213" i="42"/>
  <c r="M214" i="42"/>
  <c r="M215" i="42"/>
  <c r="M216" i="42"/>
  <c r="M217" i="42"/>
  <c r="M218" i="42"/>
  <c r="M219" i="42"/>
  <c r="M220" i="42"/>
  <c r="M221" i="42"/>
  <c r="M222" i="42"/>
  <c r="M223" i="42"/>
  <c r="M224" i="42"/>
  <c r="M225" i="42"/>
  <c r="M226" i="42"/>
  <c r="M227" i="42"/>
  <c r="M228" i="42"/>
  <c r="M229" i="42"/>
  <c r="M230" i="42"/>
  <c r="M231" i="42"/>
  <c r="M232" i="42"/>
  <c r="M233" i="42"/>
  <c r="M234" i="42"/>
  <c r="M235" i="42"/>
  <c r="M236" i="42"/>
  <c r="M237" i="42"/>
  <c r="M238" i="42"/>
  <c r="M239" i="42"/>
  <c r="M240" i="42"/>
  <c r="M241" i="42"/>
  <c r="M242" i="42"/>
  <c r="M243" i="42"/>
  <c r="M244" i="42"/>
  <c r="M245" i="42"/>
  <c r="M246" i="42"/>
  <c r="M247" i="42"/>
  <c r="M248" i="42"/>
  <c r="M249" i="42"/>
  <c r="M250" i="42"/>
  <c r="M251" i="42"/>
  <c r="M252" i="42"/>
  <c r="M253" i="42"/>
  <c r="M254" i="42"/>
  <c r="M255" i="42"/>
  <c r="M256" i="42"/>
  <c r="M257" i="42"/>
  <c r="M258" i="42"/>
  <c r="M259" i="42"/>
  <c r="E260" i="42"/>
  <c r="B3" i="42"/>
  <c r="B2" i="42"/>
  <c r="K11" i="52"/>
  <c r="K12" i="52"/>
  <c r="K13" i="52"/>
  <c r="K14" i="52"/>
  <c r="K15" i="52"/>
  <c r="K16" i="52"/>
  <c r="K17" i="52"/>
  <c r="K18" i="52"/>
  <c r="K19" i="52"/>
  <c r="K20" i="52"/>
  <c r="K21" i="52"/>
  <c r="K22" i="52"/>
  <c r="K23" i="52"/>
  <c r="K24" i="52"/>
  <c r="K25" i="52"/>
  <c r="K26" i="52"/>
  <c r="K27" i="52"/>
  <c r="K28" i="52"/>
  <c r="K29" i="52"/>
  <c r="K30" i="52"/>
  <c r="K31" i="52"/>
  <c r="K32" i="52"/>
  <c r="K33" i="52"/>
  <c r="K34" i="52"/>
  <c r="K35" i="52"/>
  <c r="K36" i="52"/>
  <c r="K37" i="52"/>
  <c r="K38" i="52"/>
  <c r="K39" i="52"/>
  <c r="K40" i="52"/>
  <c r="K41" i="52"/>
  <c r="K42" i="52"/>
  <c r="K43" i="52"/>
  <c r="K44" i="52"/>
  <c r="K45" i="52"/>
  <c r="K46" i="52"/>
  <c r="K47" i="52"/>
  <c r="K48" i="52"/>
  <c r="K49" i="52"/>
  <c r="K50" i="52"/>
  <c r="K51" i="52"/>
  <c r="K52" i="52"/>
  <c r="K53" i="52"/>
  <c r="K54" i="52"/>
  <c r="K55" i="52"/>
  <c r="K56" i="52"/>
  <c r="K57" i="52"/>
  <c r="K58" i="52"/>
  <c r="K59" i="52"/>
  <c r="K60" i="52"/>
  <c r="K61" i="52"/>
  <c r="K62" i="52"/>
  <c r="K63" i="52"/>
  <c r="K64" i="52"/>
  <c r="K65" i="52"/>
  <c r="K66" i="52"/>
  <c r="K67" i="52"/>
  <c r="K68" i="52"/>
  <c r="K69" i="52"/>
  <c r="K70" i="52"/>
  <c r="K71" i="52"/>
  <c r="K72" i="52"/>
  <c r="K73" i="52"/>
  <c r="K74" i="52"/>
  <c r="K75" i="52"/>
  <c r="K76" i="52"/>
  <c r="K77" i="52"/>
  <c r="K78" i="52"/>
  <c r="K79" i="52"/>
  <c r="K80" i="52"/>
  <c r="K81" i="52"/>
  <c r="K82" i="52"/>
  <c r="K83" i="52"/>
  <c r="K84" i="52"/>
  <c r="K85" i="52"/>
  <c r="K86" i="52"/>
  <c r="K87" i="52"/>
  <c r="K88" i="52"/>
  <c r="K89" i="52"/>
  <c r="K90" i="52"/>
  <c r="K91" i="52"/>
  <c r="K92" i="52"/>
  <c r="K93" i="52"/>
  <c r="K94" i="52"/>
  <c r="K95" i="52"/>
  <c r="K96" i="52"/>
  <c r="K97" i="52"/>
  <c r="K98" i="52"/>
  <c r="K99" i="52"/>
  <c r="K100" i="52"/>
  <c r="K101" i="52"/>
  <c r="K102" i="52"/>
  <c r="K103" i="52"/>
  <c r="K104" i="52"/>
  <c r="K105" i="52"/>
  <c r="K106" i="52"/>
  <c r="K107" i="52"/>
  <c r="K108" i="52"/>
  <c r="K109" i="52"/>
  <c r="K110" i="52"/>
  <c r="K111" i="52"/>
  <c r="K112" i="52"/>
  <c r="K113" i="52"/>
  <c r="K114" i="52"/>
  <c r="K115" i="52"/>
  <c r="K116" i="52"/>
  <c r="K117" i="52"/>
  <c r="K118" i="52"/>
  <c r="K119" i="52"/>
  <c r="K120" i="52"/>
  <c r="K121" i="52"/>
  <c r="K122" i="52"/>
  <c r="K123" i="52"/>
  <c r="K124" i="52"/>
  <c r="K125" i="52"/>
  <c r="K126" i="52"/>
  <c r="K127" i="52"/>
  <c r="K128" i="52"/>
  <c r="K129" i="52"/>
  <c r="K130" i="52"/>
  <c r="K131" i="52"/>
  <c r="K132" i="52"/>
  <c r="K133" i="52"/>
  <c r="K134" i="52"/>
  <c r="K135" i="52"/>
  <c r="K136" i="52"/>
  <c r="K137" i="52"/>
  <c r="K138" i="52"/>
  <c r="K139" i="52"/>
  <c r="K140" i="52"/>
  <c r="K141" i="52"/>
  <c r="K142" i="52"/>
  <c r="K143" i="52"/>
  <c r="K144" i="52"/>
  <c r="K145" i="52"/>
  <c r="K146" i="52"/>
  <c r="K147" i="52"/>
  <c r="K148" i="52"/>
  <c r="K149" i="52"/>
  <c r="K150" i="52"/>
  <c r="K151" i="52"/>
  <c r="K152" i="52"/>
  <c r="K153" i="52"/>
  <c r="K154" i="52"/>
  <c r="K155" i="52"/>
  <c r="K156" i="52"/>
  <c r="K157" i="52"/>
  <c r="K158" i="52"/>
  <c r="K159" i="52"/>
  <c r="K160" i="52"/>
  <c r="K161" i="52"/>
  <c r="K162" i="52"/>
  <c r="K163" i="52"/>
  <c r="K164" i="52"/>
  <c r="K165" i="52"/>
  <c r="K166" i="52"/>
  <c r="K167" i="52"/>
  <c r="K168" i="52"/>
  <c r="K169" i="52"/>
  <c r="K170" i="52"/>
  <c r="K171" i="52"/>
  <c r="K172" i="52"/>
  <c r="K173" i="52"/>
  <c r="K174" i="52"/>
  <c r="K175" i="52"/>
  <c r="K176" i="52"/>
  <c r="K177" i="52"/>
  <c r="K178" i="52"/>
  <c r="K179" i="52"/>
  <c r="K180" i="52"/>
  <c r="K181" i="52"/>
  <c r="K182" i="52"/>
  <c r="K183" i="52"/>
  <c r="K184" i="52"/>
  <c r="K185" i="52"/>
  <c r="K186" i="52"/>
  <c r="K187" i="52"/>
  <c r="K188" i="52"/>
  <c r="K189" i="52"/>
  <c r="K190" i="52"/>
  <c r="K191" i="52"/>
  <c r="K192" i="52"/>
  <c r="K193" i="52"/>
  <c r="K194" i="52"/>
  <c r="K195" i="52"/>
  <c r="K196" i="52"/>
  <c r="K197" i="52"/>
  <c r="K198" i="52"/>
  <c r="K199" i="52"/>
  <c r="K200" i="52"/>
  <c r="K201" i="52"/>
  <c r="K202" i="52"/>
  <c r="K203" i="52"/>
  <c r="K204" i="52"/>
  <c r="K205" i="52"/>
  <c r="K206" i="52"/>
  <c r="K207" i="52"/>
  <c r="K208" i="52"/>
  <c r="K209" i="52"/>
  <c r="K210" i="52"/>
  <c r="K10" i="52"/>
  <c r="Q258" i="52"/>
  <c r="P258" i="52"/>
  <c r="E258" i="52"/>
  <c r="AF257" i="52"/>
  <c r="AE257" i="52"/>
  <c r="AF256" i="52"/>
  <c r="AE256" i="52"/>
  <c r="AF255" i="52"/>
  <c r="AE255" i="52"/>
  <c r="AF254" i="52"/>
  <c r="AE254" i="52"/>
  <c r="AF253" i="52"/>
  <c r="AE253" i="52"/>
  <c r="AF252" i="52"/>
  <c r="AE252" i="52"/>
  <c r="AF251" i="52"/>
  <c r="AE251" i="52"/>
  <c r="AF250" i="52"/>
  <c r="AE250" i="52"/>
  <c r="AF249" i="52"/>
  <c r="AE249" i="52"/>
  <c r="AF248" i="52"/>
  <c r="AE248" i="52"/>
  <c r="AF247" i="52"/>
  <c r="AE247" i="52"/>
  <c r="AF246" i="52"/>
  <c r="AE246" i="52"/>
  <c r="AF245" i="52"/>
  <c r="AE245" i="52"/>
  <c r="AF244" i="52"/>
  <c r="AE244" i="52"/>
  <c r="AF243" i="52"/>
  <c r="AE243" i="52"/>
  <c r="AF242" i="52"/>
  <c r="AE242" i="52"/>
  <c r="AF241" i="52"/>
  <c r="AE241" i="52"/>
  <c r="AF240" i="52"/>
  <c r="AE240" i="52"/>
  <c r="AF239" i="52"/>
  <c r="AE239" i="52"/>
  <c r="AF238" i="52"/>
  <c r="AE238" i="52"/>
  <c r="AF237" i="52"/>
  <c r="AE237" i="52"/>
  <c r="AF236" i="52"/>
  <c r="AE236" i="52"/>
  <c r="AF235" i="52"/>
  <c r="AE235" i="52"/>
  <c r="AF234" i="52"/>
  <c r="AE234" i="52"/>
  <c r="AF233" i="52"/>
  <c r="AE233" i="52"/>
  <c r="AF232" i="52"/>
  <c r="AE232" i="52"/>
  <c r="AF231" i="52"/>
  <c r="AE231" i="52"/>
  <c r="AF230" i="52"/>
  <c r="AE230" i="52"/>
  <c r="AF229" i="52"/>
  <c r="AE229" i="52"/>
  <c r="AF228" i="52"/>
  <c r="AE228" i="52"/>
  <c r="AF227" i="52"/>
  <c r="AE227" i="52"/>
  <c r="AF226" i="52"/>
  <c r="AE226" i="52"/>
  <c r="AF225" i="52"/>
  <c r="AE225" i="52"/>
  <c r="AF224" i="52"/>
  <c r="AE224" i="52"/>
  <c r="AF223" i="52"/>
  <c r="AE223" i="52"/>
  <c r="AF222" i="52"/>
  <c r="AE222" i="52"/>
  <c r="AF221" i="52"/>
  <c r="AE221" i="52"/>
  <c r="AF220" i="52"/>
  <c r="AE220" i="52"/>
  <c r="AF219" i="52"/>
  <c r="AE219" i="52"/>
  <c r="AF218" i="52"/>
  <c r="AE218" i="52"/>
  <c r="AF217" i="52"/>
  <c r="AE217" i="52"/>
  <c r="AF216" i="52"/>
  <c r="AE216" i="52"/>
  <c r="AF215" i="52"/>
  <c r="AE215" i="52"/>
  <c r="AF214" i="52"/>
  <c r="AE214" i="52"/>
  <c r="AF213" i="52"/>
  <c r="AE213" i="52"/>
  <c r="AF212" i="52"/>
  <c r="AE212" i="52"/>
  <c r="AF211" i="52"/>
  <c r="AE211" i="52"/>
  <c r="AF210" i="52"/>
  <c r="AE210" i="52"/>
  <c r="AF209" i="52"/>
  <c r="AE209" i="52"/>
  <c r="AF208" i="52"/>
  <c r="AE208" i="52"/>
  <c r="AF207" i="52"/>
  <c r="AE207" i="52"/>
  <c r="AF206" i="52"/>
  <c r="AE206" i="52"/>
  <c r="AF205" i="52"/>
  <c r="AE205" i="52"/>
  <c r="AF204" i="52"/>
  <c r="AE204" i="52"/>
  <c r="AF203" i="52"/>
  <c r="AE203" i="52"/>
  <c r="AF202" i="52"/>
  <c r="AE202" i="52"/>
  <c r="AF201" i="52"/>
  <c r="AE201" i="52"/>
  <c r="AF200" i="52"/>
  <c r="AE200" i="52"/>
  <c r="AF199" i="52"/>
  <c r="AE199" i="52"/>
  <c r="AF198" i="52"/>
  <c r="AE198" i="52"/>
  <c r="AF197" i="52"/>
  <c r="AE197" i="52"/>
  <c r="AF196" i="52"/>
  <c r="AE196" i="52"/>
  <c r="AF195" i="52"/>
  <c r="AE195" i="52"/>
  <c r="AF194" i="52"/>
  <c r="AE194" i="52"/>
  <c r="AF193" i="52"/>
  <c r="AE193" i="52"/>
  <c r="AF192" i="52"/>
  <c r="AE192" i="52"/>
  <c r="AF191" i="52"/>
  <c r="AE191" i="52"/>
  <c r="AF190" i="52"/>
  <c r="AE190" i="52"/>
  <c r="AF189" i="52"/>
  <c r="AE189" i="52"/>
  <c r="AF188" i="52"/>
  <c r="AE188" i="52"/>
  <c r="AF187" i="52"/>
  <c r="AE187" i="52"/>
  <c r="AF186" i="52"/>
  <c r="AE186" i="52"/>
  <c r="AF185" i="52"/>
  <c r="AE185" i="52"/>
  <c r="AF184" i="52"/>
  <c r="AE184" i="52"/>
  <c r="AF183" i="52"/>
  <c r="AE183" i="52"/>
  <c r="AF182" i="52"/>
  <c r="AE182" i="52"/>
  <c r="AF181" i="52"/>
  <c r="AE181" i="52"/>
  <c r="AF180" i="52"/>
  <c r="AE180" i="52"/>
  <c r="AF179" i="52"/>
  <c r="AE179" i="52"/>
  <c r="AF178" i="52"/>
  <c r="AE178" i="52"/>
  <c r="AF177" i="52"/>
  <c r="AE177" i="52"/>
  <c r="AF176" i="52"/>
  <c r="AE176" i="52"/>
  <c r="AF175" i="52"/>
  <c r="AE175" i="52"/>
  <c r="AF174" i="52"/>
  <c r="AE174" i="52"/>
  <c r="AF173" i="52"/>
  <c r="AE173" i="52"/>
  <c r="AF172" i="52"/>
  <c r="AE172" i="52"/>
  <c r="AF171" i="52"/>
  <c r="AE171" i="52"/>
  <c r="AF170" i="52"/>
  <c r="AE170" i="52"/>
  <c r="AF169" i="52"/>
  <c r="AE169" i="52"/>
  <c r="AF168" i="52"/>
  <c r="AE168" i="52"/>
  <c r="AF167" i="52"/>
  <c r="AE167" i="52"/>
  <c r="AF166" i="52"/>
  <c r="AE166" i="52"/>
  <c r="AF165" i="52"/>
  <c r="AE165" i="52"/>
  <c r="AF164" i="52"/>
  <c r="AE164" i="52"/>
  <c r="AF163" i="52"/>
  <c r="AE163" i="52"/>
  <c r="AF162" i="52"/>
  <c r="AE162" i="52"/>
  <c r="AF161" i="52"/>
  <c r="AE161" i="52"/>
  <c r="AF160" i="52"/>
  <c r="AE160" i="52"/>
  <c r="AF159" i="52"/>
  <c r="AE159" i="52"/>
  <c r="AF158" i="52"/>
  <c r="AE158" i="52"/>
  <c r="AF157" i="52"/>
  <c r="AE157" i="52"/>
  <c r="AF156" i="52"/>
  <c r="AE156" i="52"/>
  <c r="AF155" i="52"/>
  <c r="AE155" i="52"/>
  <c r="AF154" i="52"/>
  <c r="AE154" i="52"/>
  <c r="AF153" i="52"/>
  <c r="AE153" i="52"/>
  <c r="AF152" i="52"/>
  <c r="AE152" i="52"/>
  <c r="AF151" i="52"/>
  <c r="AE151" i="52"/>
  <c r="AF150" i="52"/>
  <c r="AE150" i="52"/>
  <c r="AF149" i="52"/>
  <c r="AE149" i="52"/>
  <c r="AF148" i="52"/>
  <c r="AE148" i="52"/>
  <c r="AF147" i="52"/>
  <c r="AE147" i="52"/>
  <c r="AF146" i="52"/>
  <c r="AE146" i="52"/>
  <c r="AF145" i="52"/>
  <c r="AE145" i="52"/>
  <c r="AF144" i="52"/>
  <c r="AE144" i="52"/>
  <c r="AF143" i="52"/>
  <c r="AE143" i="52"/>
  <c r="AF142" i="52"/>
  <c r="AE142" i="52"/>
  <c r="AF141" i="52"/>
  <c r="AE141" i="52"/>
  <c r="AF140" i="52"/>
  <c r="AE140" i="52"/>
  <c r="AF139" i="52"/>
  <c r="AE139" i="52"/>
  <c r="AF138" i="52"/>
  <c r="AE138" i="52"/>
  <c r="AF137" i="52"/>
  <c r="AE137" i="52"/>
  <c r="AF136" i="52"/>
  <c r="AE136" i="52"/>
  <c r="AF135" i="52"/>
  <c r="AE135" i="52"/>
  <c r="AF134" i="52"/>
  <c r="AE134" i="52"/>
  <c r="AF133" i="52"/>
  <c r="AE133" i="52"/>
  <c r="AF132" i="52"/>
  <c r="AE132" i="52"/>
  <c r="AF131" i="52"/>
  <c r="AE131" i="52"/>
  <c r="AF130" i="52"/>
  <c r="AE130" i="52"/>
  <c r="AF129" i="52"/>
  <c r="AE129" i="52"/>
  <c r="AF128" i="52"/>
  <c r="AE128" i="52"/>
  <c r="AF127" i="52"/>
  <c r="AE127" i="52"/>
  <c r="AF126" i="52"/>
  <c r="AE126" i="52"/>
  <c r="AF125" i="52"/>
  <c r="AE125" i="52"/>
  <c r="AF124" i="52"/>
  <c r="AE124" i="52"/>
  <c r="AF123" i="52"/>
  <c r="AE123" i="52"/>
  <c r="AF122" i="52"/>
  <c r="AE122" i="52"/>
  <c r="AF121" i="52"/>
  <c r="AE121" i="52"/>
  <c r="AF120" i="52"/>
  <c r="AE120" i="52"/>
  <c r="AF119" i="52"/>
  <c r="AE119" i="52"/>
  <c r="AF118" i="52"/>
  <c r="AE118" i="52"/>
  <c r="AF117" i="52"/>
  <c r="AE117" i="52"/>
  <c r="AF116" i="52"/>
  <c r="AE116" i="52"/>
  <c r="AF115" i="52"/>
  <c r="AE115" i="52"/>
  <c r="AF114" i="52"/>
  <c r="AE114" i="52"/>
  <c r="AF113" i="52"/>
  <c r="AE113" i="52"/>
  <c r="AF112" i="52"/>
  <c r="AE112" i="52"/>
  <c r="AF111" i="52"/>
  <c r="AE111" i="52"/>
  <c r="AF110" i="52"/>
  <c r="AE110" i="52"/>
  <c r="AF109" i="52"/>
  <c r="AE109" i="52"/>
  <c r="AF108" i="52"/>
  <c r="AE108" i="52"/>
  <c r="AF107" i="52"/>
  <c r="AE107" i="52"/>
  <c r="AF106" i="52"/>
  <c r="AE106" i="52"/>
  <c r="AF105" i="52"/>
  <c r="AE105" i="52"/>
  <c r="AF104" i="52"/>
  <c r="AE104" i="52"/>
  <c r="AF103" i="52"/>
  <c r="AE103" i="52"/>
  <c r="AF102" i="52"/>
  <c r="AE102" i="52"/>
  <c r="AF101" i="52"/>
  <c r="AE101" i="52"/>
  <c r="AF100" i="52"/>
  <c r="AE100" i="52"/>
  <c r="AF99" i="52"/>
  <c r="AE99" i="52"/>
  <c r="AF98" i="52"/>
  <c r="AE98" i="52"/>
  <c r="AF97" i="52"/>
  <c r="AE97" i="52"/>
  <c r="AF96" i="52"/>
  <c r="AE96" i="52"/>
  <c r="AF95" i="52"/>
  <c r="AE95" i="52"/>
  <c r="AF94" i="52"/>
  <c r="AE94" i="52"/>
  <c r="AF93" i="52"/>
  <c r="AE93" i="52"/>
  <c r="AF92" i="52"/>
  <c r="AE92" i="52"/>
  <c r="AF91" i="52"/>
  <c r="AE91" i="52"/>
  <c r="AF90" i="52"/>
  <c r="AE90" i="52"/>
  <c r="AF89" i="52"/>
  <c r="AE89" i="52"/>
  <c r="AF88" i="52"/>
  <c r="AE88" i="52"/>
  <c r="AF87" i="52"/>
  <c r="AE87" i="52"/>
  <c r="AF86" i="52"/>
  <c r="AE86" i="52"/>
  <c r="AF85" i="52"/>
  <c r="AE85" i="52"/>
  <c r="AF84" i="52"/>
  <c r="AE84" i="52"/>
  <c r="AF83" i="52"/>
  <c r="AE83" i="52"/>
  <c r="AF82" i="52"/>
  <c r="AE82" i="52"/>
  <c r="AF81" i="52"/>
  <c r="AE81" i="52"/>
  <c r="AF80" i="52"/>
  <c r="AE80" i="52"/>
  <c r="AF79" i="52"/>
  <c r="AE79" i="52"/>
  <c r="AF78" i="52"/>
  <c r="AE78" i="52"/>
  <c r="AF77" i="52"/>
  <c r="AE77" i="52"/>
  <c r="AF76" i="52"/>
  <c r="AE76" i="52"/>
  <c r="AF75" i="52"/>
  <c r="AE75" i="52"/>
  <c r="AF74" i="52"/>
  <c r="AE74" i="52"/>
  <c r="AF73" i="52"/>
  <c r="AE73" i="52"/>
  <c r="AF72" i="52"/>
  <c r="AE72" i="52"/>
  <c r="AF71" i="52"/>
  <c r="AE71" i="52"/>
  <c r="AF70" i="52"/>
  <c r="AE70" i="52"/>
  <c r="AF69" i="52"/>
  <c r="AE69" i="52"/>
  <c r="AF68" i="52"/>
  <c r="AE68" i="52"/>
  <c r="AF67" i="52"/>
  <c r="AE67" i="52"/>
  <c r="AF66" i="52"/>
  <c r="AE66" i="52"/>
  <c r="AF65" i="52"/>
  <c r="AE65" i="52"/>
  <c r="AF64" i="52"/>
  <c r="AE64" i="52"/>
  <c r="AF63" i="52"/>
  <c r="AE63" i="52"/>
  <c r="AF62" i="52"/>
  <c r="AE62" i="52"/>
  <c r="AF61" i="52"/>
  <c r="AE61" i="52"/>
  <c r="AF60" i="52"/>
  <c r="AE60" i="52"/>
  <c r="AF59" i="52"/>
  <c r="AE59" i="52"/>
  <c r="AF58" i="52"/>
  <c r="AE58" i="52"/>
  <c r="AF57" i="52"/>
  <c r="AE57" i="52"/>
  <c r="AF56" i="52"/>
  <c r="AE56" i="52"/>
  <c r="AF55" i="52"/>
  <c r="AE55" i="52"/>
  <c r="AF54" i="52"/>
  <c r="AE54" i="52"/>
  <c r="AF53" i="52"/>
  <c r="AE53" i="52"/>
  <c r="AF52" i="52"/>
  <c r="AE52" i="52"/>
  <c r="AF51" i="52"/>
  <c r="AE51" i="52"/>
  <c r="AF50" i="52"/>
  <c r="AE50" i="52"/>
  <c r="AF49" i="52"/>
  <c r="AE49" i="52"/>
  <c r="AF48" i="52"/>
  <c r="AE48" i="52"/>
  <c r="AF47" i="52"/>
  <c r="AE47" i="52"/>
  <c r="AF46" i="52"/>
  <c r="AE46" i="52"/>
  <c r="AF45" i="52"/>
  <c r="AE45" i="52"/>
  <c r="AF44" i="52"/>
  <c r="AE44" i="52"/>
  <c r="AF43" i="52"/>
  <c r="AE43" i="52"/>
  <c r="AF42" i="52"/>
  <c r="AE42" i="52"/>
  <c r="AF41" i="52"/>
  <c r="AE41" i="52"/>
  <c r="AF40" i="52"/>
  <c r="AE40" i="52"/>
  <c r="AF39" i="52"/>
  <c r="AE39" i="52"/>
  <c r="AF38" i="52"/>
  <c r="AE38" i="52"/>
  <c r="AF37" i="52"/>
  <c r="AE37" i="52"/>
  <c r="AF36" i="52"/>
  <c r="AE36" i="52"/>
  <c r="AF35" i="52"/>
  <c r="AE35" i="52"/>
  <c r="AF34" i="52"/>
  <c r="AE34" i="52"/>
  <c r="AF33" i="52"/>
  <c r="AE33" i="52"/>
  <c r="AF32" i="52"/>
  <c r="AE32" i="52"/>
  <c r="AF31" i="52"/>
  <c r="AE31" i="52"/>
  <c r="AF30" i="52"/>
  <c r="AE30" i="52"/>
  <c r="AF29" i="52"/>
  <c r="AE29" i="52"/>
  <c r="AF28" i="52"/>
  <c r="AE28" i="52"/>
  <c r="AF27" i="52"/>
  <c r="AE27" i="52"/>
  <c r="AF26" i="52"/>
  <c r="AE26" i="52"/>
  <c r="AF25" i="52"/>
  <c r="AE25" i="52"/>
  <c r="AF24" i="52"/>
  <c r="AE24" i="52"/>
  <c r="AF23" i="52"/>
  <c r="AE23" i="52"/>
  <c r="AF22" i="52"/>
  <c r="AE22" i="52"/>
  <c r="AF21" i="52"/>
  <c r="AE21" i="52"/>
  <c r="AF20" i="52"/>
  <c r="AE20" i="52"/>
  <c r="AF19" i="52"/>
  <c r="AE19" i="52"/>
  <c r="AF18" i="52"/>
  <c r="AE18" i="52"/>
  <c r="AF17" i="52"/>
  <c r="AE17" i="52"/>
  <c r="AF16" i="52"/>
  <c r="AE16" i="52"/>
  <c r="AF15" i="52"/>
  <c r="AE15" i="52"/>
  <c r="AF14" i="52"/>
  <c r="AE14" i="52"/>
  <c r="AF13" i="52"/>
  <c r="AE13" i="52"/>
  <c r="AF12" i="52"/>
  <c r="AE12" i="52"/>
  <c r="AF11" i="52"/>
  <c r="AE11" i="52"/>
  <c r="AF10" i="52"/>
  <c r="AE10" i="52"/>
  <c r="B3" i="52"/>
  <c r="B2" i="52"/>
  <c r="F24" i="36" l="1"/>
  <c r="Q173" i="42"/>
  <c r="U173" i="42" s="1"/>
  <c r="R173" i="42"/>
  <c r="P173" i="42"/>
  <c r="Q234" i="42"/>
  <c r="U234" i="42" s="1"/>
  <c r="R234" i="42"/>
  <c r="P234" i="42"/>
  <c r="Q256" i="42"/>
  <c r="U256" i="42" s="1"/>
  <c r="R256" i="42"/>
  <c r="P256" i="42"/>
  <c r="Q248" i="42"/>
  <c r="U248" i="42" s="1"/>
  <c r="R248" i="42"/>
  <c r="P248" i="42"/>
  <c r="Q240" i="42"/>
  <c r="U240" i="42" s="1"/>
  <c r="R240" i="42"/>
  <c r="P240" i="42"/>
  <c r="Q232" i="42"/>
  <c r="U232" i="42" s="1"/>
  <c r="R232" i="42"/>
  <c r="P232" i="42"/>
  <c r="Q224" i="42"/>
  <c r="U224" i="42" s="1"/>
  <c r="R224" i="42"/>
  <c r="P224" i="42"/>
  <c r="Q216" i="42"/>
  <c r="U216" i="42" s="1"/>
  <c r="R216" i="42"/>
  <c r="P216" i="42"/>
  <c r="Q208" i="42"/>
  <c r="U208" i="42" s="1"/>
  <c r="R208" i="42"/>
  <c r="P208" i="42"/>
  <c r="Q200" i="42"/>
  <c r="U200" i="42" s="1"/>
  <c r="R200" i="42"/>
  <c r="P200" i="42"/>
  <c r="Q192" i="42"/>
  <c r="U192" i="42" s="1"/>
  <c r="R192" i="42"/>
  <c r="P192" i="42"/>
  <c r="Q184" i="42"/>
  <c r="U184" i="42" s="1"/>
  <c r="R184" i="42"/>
  <c r="P184" i="42"/>
  <c r="Q176" i="42"/>
  <c r="U176" i="42" s="1"/>
  <c r="R176" i="42"/>
  <c r="P176" i="42"/>
  <c r="Q168" i="42"/>
  <c r="U168" i="42" s="1"/>
  <c r="P168" i="42"/>
  <c r="R168" i="42"/>
  <c r="Q160" i="42"/>
  <c r="U160" i="42" s="1"/>
  <c r="P160" i="42"/>
  <c r="R160" i="42"/>
  <c r="Q152" i="42"/>
  <c r="U152" i="42" s="1"/>
  <c r="P152" i="42"/>
  <c r="R152" i="42"/>
  <c r="Q144" i="42"/>
  <c r="U144" i="42" s="1"/>
  <c r="P144" i="42"/>
  <c r="R144" i="42"/>
  <c r="Q136" i="42"/>
  <c r="U136" i="42" s="1"/>
  <c r="P136" i="42"/>
  <c r="R136" i="42"/>
  <c r="Q128" i="42"/>
  <c r="U128" i="42" s="1"/>
  <c r="P128" i="42"/>
  <c r="R128" i="42"/>
  <c r="Q120" i="42"/>
  <c r="U120" i="42" s="1"/>
  <c r="P120" i="42"/>
  <c r="R120" i="42"/>
  <c r="Q112" i="42"/>
  <c r="U112" i="42" s="1"/>
  <c r="P112" i="42"/>
  <c r="R112" i="42"/>
  <c r="W112" i="42" s="1"/>
  <c r="Q104" i="42"/>
  <c r="U104" i="42" s="1"/>
  <c r="P104" i="42"/>
  <c r="R104" i="42"/>
  <c r="W104" i="42" s="1"/>
  <c r="Q96" i="42"/>
  <c r="U96" i="42" s="1"/>
  <c r="P96" i="42"/>
  <c r="R96" i="42"/>
  <c r="W96" i="42" s="1"/>
  <c r="Q88" i="42"/>
  <c r="U88" i="42" s="1"/>
  <c r="P88" i="42"/>
  <c r="R88" i="42"/>
  <c r="Q80" i="42"/>
  <c r="U80" i="42" s="1"/>
  <c r="P80" i="42"/>
  <c r="R80" i="42"/>
  <c r="W80" i="42" s="1"/>
  <c r="Q72" i="42"/>
  <c r="U72" i="42" s="1"/>
  <c r="P72" i="42"/>
  <c r="R72" i="42"/>
  <c r="Q64" i="42"/>
  <c r="U64" i="42" s="1"/>
  <c r="P64" i="42"/>
  <c r="R64" i="42"/>
  <c r="W64" i="42" s="1"/>
  <c r="Q56" i="42"/>
  <c r="U56" i="42" s="1"/>
  <c r="P56" i="42"/>
  <c r="R56" i="42"/>
  <c r="Q48" i="42"/>
  <c r="U48" i="42" s="1"/>
  <c r="P48" i="42"/>
  <c r="R48" i="42"/>
  <c r="W48" i="42" s="1"/>
  <c r="Q40" i="42"/>
  <c r="U40" i="42" s="1"/>
  <c r="P40" i="42"/>
  <c r="R40" i="42"/>
  <c r="Q32" i="42"/>
  <c r="U32" i="42" s="1"/>
  <c r="P32" i="42"/>
  <c r="R32" i="42"/>
  <c r="W32" i="42" s="1"/>
  <c r="Q24" i="42"/>
  <c r="U24" i="42" s="1"/>
  <c r="P24" i="42"/>
  <c r="R24" i="42"/>
  <c r="Q16" i="42"/>
  <c r="U16" i="42" s="1"/>
  <c r="P16" i="42"/>
  <c r="R16" i="42"/>
  <c r="Q213" i="42"/>
  <c r="U213" i="42" s="1"/>
  <c r="R213" i="42"/>
  <c r="P213" i="42"/>
  <c r="Q141" i="42"/>
  <c r="U141" i="42" s="1"/>
  <c r="R141" i="42"/>
  <c r="P141" i="42"/>
  <c r="Q93" i="42"/>
  <c r="U93" i="42" s="1"/>
  <c r="R93" i="42"/>
  <c r="P93" i="42"/>
  <c r="Q45" i="42"/>
  <c r="U45" i="42" s="1"/>
  <c r="R45" i="42"/>
  <c r="P45" i="42"/>
  <c r="Q255" i="42"/>
  <c r="U255" i="42" s="1"/>
  <c r="R255" i="42"/>
  <c r="P255" i="42"/>
  <c r="Q247" i="42"/>
  <c r="U247" i="42" s="1"/>
  <c r="R247" i="42"/>
  <c r="P247" i="42"/>
  <c r="Q239" i="42"/>
  <c r="U239" i="42" s="1"/>
  <c r="P239" i="42"/>
  <c r="R239" i="42"/>
  <c r="Q231" i="42"/>
  <c r="U231" i="42" s="1"/>
  <c r="P231" i="42"/>
  <c r="R231" i="42"/>
  <c r="Q223" i="42"/>
  <c r="U223" i="42" s="1"/>
  <c r="P223" i="42"/>
  <c r="R223" i="42"/>
  <c r="Q215" i="42"/>
  <c r="U215" i="42" s="1"/>
  <c r="P215" i="42"/>
  <c r="R215" i="42"/>
  <c r="Q207" i="42"/>
  <c r="U207" i="42" s="1"/>
  <c r="P207" i="42"/>
  <c r="R207" i="42"/>
  <c r="Q199" i="42"/>
  <c r="U199" i="42" s="1"/>
  <c r="P199" i="42"/>
  <c r="R199" i="42"/>
  <c r="Q191" i="42"/>
  <c r="U191" i="42" s="1"/>
  <c r="P191" i="42"/>
  <c r="R191" i="42"/>
  <c r="Q183" i="42"/>
  <c r="U183" i="42" s="1"/>
  <c r="P183" i="42"/>
  <c r="R183" i="42"/>
  <c r="Q175" i="42"/>
  <c r="U175" i="42" s="1"/>
  <c r="P175" i="42"/>
  <c r="R175" i="42"/>
  <c r="Q167" i="42"/>
  <c r="U167" i="42" s="1"/>
  <c r="P167" i="42"/>
  <c r="R167" i="42"/>
  <c r="Q159" i="42"/>
  <c r="U159" i="42" s="1"/>
  <c r="P159" i="42"/>
  <c r="R159" i="42"/>
  <c r="Q151" i="42"/>
  <c r="U151" i="42" s="1"/>
  <c r="P151" i="42"/>
  <c r="R151" i="42"/>
  <c r="Q143" i="42"/>
  <c r="U143" i="42" s="1"/>
  <c r="P143" i="42"/>
  <c r="R143" i="42"/>
  <c r="Q135" i="42"/>
  <c r="U135" i="42" s="1"/>
  <c r="P135" i="42"/>
  <c r="R135" i="42"/>
  <c r="Q127" i="42"/>
  <c r="U127" i="42" s="1"/>
  <c r="P127" i="42"/>
  <c r="R127" i="42"/>
  <c r="Q119" i="42"/>
  <c r="U119" i="42" s="1"/>
  <c r="P119" i="42"/>
  <c r="R119" i="42"/>
  <c r="Q111" i="42"/>
  <c r="U111" i="42" s="1"/>
  <c r="P111" i="42"/>
  <c r="R111" i="42"/>
  <c r="Q103" i="42"/>
  <c r="U103" i="42" s="1"/>
  <c r="P103" i="42"/>
  <c r="R103" i="42"/>
  <c r="Q95" i="42"/>
  <c r="U95" i="42" s="1"/>
  <c r="P95" i="42"/>
  <c r="R95" i="42"/>
  <c r="Q87" i="42"/>
  <c r="U87" i="42" s="1"/>
  <c r="P87" i="42"/>
  <c r="R87" i="42"/>
  <c r="Q79" i="42"/>
  <c r="U79" i="42" s="1"/>
  <c r="P79" i="42"/>
  <c r="R79" i="42"/>
  <c r="Q71" i="42"/>
  <c r="U71" i="42" s="1"/>
  <c r="P71" i="42"/>
  <c r="R71" i="42"/>
  <c r="Q63" i="42"/>
  <c r="U63" i="42" s="1"/>
  <c r="P63" i="42"/>
  <c r="R63" i="42"/>
  <c r="Q55" i="42"/>
  <c r="U55" i="42" s="1"/>
  <c r="P55" i="42"/>
  <c r="R55" i="42"/>
  <c r="Q47" i="42"/>
  <c r="U47" i="42" s="1"/>
  <c r="P47" i="42"/>
  <c r="R47" i="42"/>
  <c r="Q39" i="42"/>
  <c r="U39" i="42" s="1"/>
  <c r="P39" i="42"/>
  <c r="R39" i="42"/>
  <c r="Q31" i="42"/>
  <c r="U31" i="42" s="1"/>
  <c r="P31" i="42"/>
  <c r="R31" i="42"/>
  <c r="Q23" i="42"/>
  <c r="U23" i="42" s="1"/>
  <c r="P23" i="42"/>
  <c r="R23" i="42"/>
  <c r="P15" i="42"/>
  <c r="Q15" i="42" s="1"/>
  <c r="Q221" i="42"/>
  <c r="U221" i="42" s="1"/>
  <c r="R221" i="42"/>
  <c r="P221" i="42"/>
  <c r="Q165" i="42"/>
  <c r="U165" i="42" s="1"/>
  <c r="R165" i="42"/>
  <c r="P165" i="42"/>
  <c r="Q109" i="42"/>
  <c r="U109" i="42" s="1"/>
  <c r="R109" i="42"/>
  <c r="P109" i="42"/>
  <c r="Q37" i="42"/>
  <c r="U37" i="42" s="1"/>
  <c r="R37" i="42"/>
  <c r="P37" i="42"/>
  <c r="Q254" i="42"/>
  <c r="U254" i="42" s="1"/>
  <c r="R254" i="42"/>
  <c r="P254" i="42"/>
  <c r="Q246" i="42"/>
  <c r="U246" i="42" s="1"/>
  <c r="R246" i="42"/>
  <c r="P246" i="42"/>
  <c r="Q238" i="42"/>
  <c r="U238" i="42" s="1"/>
  <c r="R238" i="42"/>
  <c r="P238" i="42"/>
  <c r="Q230" i="42"/>
  <c r="U230" i="42" s="1"/>
  <c r="R230" i="42"/>
  <c r="P230" i="42"/>
  <c r="Q222" i="42"/>
  <c r="U222" i="42" s="1"/>
  <c r="R222" i="42"/>
  <c r="P222" i="42"/>
  <c r="Q214" i="42"/>
  <c r="U214" i="42" s="1"/>
  <c r="R214" i="42"/>
  <c r="P214" i="42"/>
  <c r="Q206" i="42"/>
  <c r="U206" i="42" s="1"/>
  <c r="R206" i="42"/>
  <c r="P206" i="42"/>
  <c r="Q198" i="42"/>
  <c r="U198" i="42" s="1"/>
  <c r="R198" i="42"/>
  <c r="P198" i="42"/>
  <c r="Q190" i="42"/>
  <c r="U190" i="42" s="1"/>
  <c r="R190" i="42"/>
  <c r="P190" i="42"/>
  <c r="Q182" i="42"/>
  <c r="U182" i="42" s="1"/>
  <c r="R182" i="42"/>
  <c r="P182" i="42"/>
  <c r="Q174" i="42"/>
  <c r="U174" i="42" s="1"/>
  <c r="R174" i="42"/>
  <c r="P174" i="42"/>
  <c r="Q166" i="42"/>
  <c r="U166" i="42" s="1"/>
  <c r="R166" i="42"/>
  <c r="P166" i="42"/>
  <c r="Q158" i="42"/>
  <c r="U158" i="42" s="1"/>
  <c r="R158" i="42"/>
  <c r="P158" i="42"/>
  <c r="Q150" i="42"/>
  <c r="R150" i="42"/>
  <c r="P150" i="42"/>
  <c r="U150" i="42"/>
  <c r="Q142" i="42"/>
  <c r="R142" i="42"/>
  <c r="P142" i="42"/>
  <c r="U142" i="42"/>
  <c r="Q134" i="42"/>
  <c r="R134" i="42"/>
  <c r="P134" i="42"/>
  <c r="U134" i="42"/>
  <c r="Q126" i="42"/>
  <c r="R126" i="42"/>
  <c r="P126" i="42"/>
  <c r="U126" i="42"/>
  <c r="Q118" i="42"/>
  <c r="R118" i="42"/>
  <c r="W118" i="42" s="1"/>
  <c r="P118" i="42"/>
  <c r="U118" i="42"/>
  <c r="Q110" i="42"/>
  <c r="R110" i="42"/>
  <c r="P110" i="42"/>
  <c r="U110" i="42"/>
  <c r="Q102" i="42"/>
  <c r="R102" i="42"/>
  <c r="W102" i="42" s="1"/>
  <c r="P102" i="42"/>
  <c r="U102" i="42"/>
  <c r="Q94" i="42"/>
  <c r="R94" i="42"/>
  <c r="W94" i="42" s="1"/>
  <c r="P94" i="42"/>
  <c r="U94" i="42"/>
  <c r="Q86" i="42"/>
  <c r="R86" i="42"/>
  <c r="W86" i="42" s="1"/>
  <c r="P86" i="42"/>
  <c r="U86" i="42"/>
  <c r="Q78" i="42"/>
  <c r="R78" i="42"/>
  <c r="W78" i="42" s="1"/>
  <c r="P78" i="42"/>
  <c r="U78" i="42"/>
  <c r="Q70" i="42"/>
  <c r="R70" i="42"/>
  <c r="W70" i="42" s="1"/>
  <c r="P70" i="42"/>
  <c r="U70" i="42"/>
  <c r="Q62" i="42"/>
  <c r="R62" i="42"/>
  <c r="W62" i="42" s="1"/>
  <c r="P62" i="42"/>
  <c r="U62" i="42"/>
  <c r="Q54" i="42"/>
  <c r="R54" i="42"/>
  <c r="W54" i="42" s="1"/>
  <c r="P54" i="42"/>
  <c r="U54" i="42"/>
  <c r="Q46" i="42"/>
  <c r="R46" i="42"/>
  <c r="W46" i="42" s="1"/>
  <c r="P46" i="42"/>
  <c r="U46" i="42"/>
  <c r="Q38" i="42"/>
  <c r="R38" i="42"/>
  <c r="W38" i="42" s="1"/>
  <c r="P38" i="42"/>
  <c r="U38" i="42"/>
  <c r="Q30" i="42"/>
  <c r="R30" i="42"/>
  <c r="P30" i="42"/>
  <c r="U30" i="42"/>
  <c r="Q22" i="42"/>
  <c r="R22" i="42"/>
  <c r="P22" i="42"/>
  <c r="U22" i="42"/>
  <c r="Q14" i="42"/>
  <c r="T14" i="42" s="1"/>
  <c r="U14" i="42" s="1"/>
  <c r="P14" i="42"/>
  <c r="R14" i="42" s="1"/>
  <c r="Q245" i="42"/>
  <c r="R245" i="42"/>
  <c r="P245" i="42"/>
  <c r="U245" i="42"/>
  <c r="Q181" i="42"/>
  <c r="R181" i="42"/>
  <c r="P181" i="42"/>
  <c r="U181" i="42"/>
  <c r="Q101" i="42"/>
  <c r="R101" i="42"/>
  <c r="P101" i="42"/>
  <c r="U101" i="42"/>
  <c r="Q69" i="42"/>
  <c r="R69" i="42"/>
  <c r="P69" i="42"/>
  <c r="U69" i="42"/>
  <c r="Q61" i="42"/>
  <c r="R61" i="42"/>
  <c r="P61" i="42"/>
  <c r="U61" i="42"/>
  <c r="P13" i="42"/>
  <c r="Q13" i="42" s="1"/>
  <c r="T13" i="42" s="1"/>
  <c r="U13" i="42" s="1"/>
  <c r="Q252" i="42"/>
  <c r="U252" i="42" s="1"/>
  <c r="R252" i="42"/>
  <c r="P252" i="42"/>
  <c r="Q244" i="42"/>
  <c r="U244" i="42" s="1"/>
  <c r="R244" i="42"/>
  <c r="P244" i="42"/>
  <c r="Q236" i="42"/>
  <c r="U236" i="42" s="1"/>
  <c r="P236" i="42"/>
  <c r="R236" i="42"/>
  <c r="Q228" i="42"/>
  <c r="U228" i="42" s="1"/>
  <c r="P228" i="42"/>
  <c r="R228" i="42"/>
  <c r="Q220" i="42"/>
  <c r="U220" i="42" s="1"/>
  <c r="P220" i="42"/>
  <c r="R220" i="42"/>
  <c r="Q212" i="42"/>
  <c r="P212" i="42"/>
  <c r="R212" i="42"/>
  <c r="U212" i="42"/>
  <c r="Q204" i="42"/>
  <c r="P204" i="42"/>
  <c r="R204" i="42"/>
  <c r="U204" i="42"/>
  <c r="Q196" i="42"/>
  <c r="P196" i="42"/>
  <c r="R196" i="42"/>
  <c r="U196" i="42"/>
  <c r="Q188" i="42"/>
  <c r="P188" i="42"/>
  <c r="R188" i="42"/>
  <c r="U188" i="42"/>
  <c r="Q180" i="42"/>
  <c r="P180" i="42"/>
  <c r="R180" i="42"/>
  <c r="U180" i="42"/>
  <c r="Q172" i="42"/>
  <c r="P172" i="42"/>
  <c r="R172" i="42"/>
  <c r="U172" i="42"/>
  <c r="Q164" i="42"/>
  <c r="P164" i="42"/>
  <c r="R164" i="42"/>
  <c r="U164" i="42"/>
  <c r="Q156" i="42"/>
  <c r="P156" i="42"/>
  <c r="R156" i="42"/>
  <c r="U156" i="42"/>
  <c r="Q148" i="42"/>
  <c r="P148" i="42"/>
  <c r="R148" i="42"/>
  <c r="U148" i="42"/>
  <c r="Q140" i="42"/>
  <c r="P140" i="42"/>
  <c r="R140" i="42"/>
  <c r="U140" i="42"/>
  <c r="Q132" i="42"/>
  <c r="P132" i="42"/>
  <c r="R132" i="42"/>
  <c r="U132" i="42"/>
  <c r="Q124" i="42"/>
  <c r="P124" i="42"/>
  <c r="R124" i="42"/>
  <c r="U124" i="42"/>
  <c r="Q116" i="42"/>
  <c r="P116" i="42"/>
  <c r="R116" i="42"/>
  <c r="U116" i="42"/>
  <c r="Q108" i="42"/>
  <c r="P108" i="42"/>
  <c r="R108" i="42"/>
  <c r="U108" i="42"/>
  <c r="Q100" i="42"/>
  <c r="P100" i="42"/>
  <c r="R100" i="42"/>
  <c r="U100" i="42"/>
  <c r="Q92" i="42"/>
  <c r="P92" i="42"/>
  <c r="R92" i="42"/>
  <c r="U92" i="42"/>
  <c r="Q84" i="42"/>
  <c r="P84" i="42"/>
  <c r="R84" i="42"/>
  <c r="U84" i="42"/>
  <c r="Q76" i="42"/>
  <c r="P76" i="42"/>
  <c r="R76" i="42"/>
  <c r="U76" i="42"/>
  <c r="Q68" i="42"/>
  <c r="P68" i="42"/>
  <c r="R68" i="42"/>
  <c r="U68" i="42"/>
  <c r="Q60" i="42"/>
  <c r="P60" i="42"/>
  <c r="R60" i="42"/>
  <c r="U60" i="42"/>
  <c r="Q52" i="42"/>
  <c r="P52" i="42"/>
  <c r="R52" i="42"/>
  <c r="U52" i="42"/>
  <c r="Q44" i="42"/>
  <c r="P44" i="42"/>
  <c r="R44" i="42"/>
  <c r="U44" i="42"/>
  <c r="Q36" i="42"/>
  <c r="P36" i="42"/>
  <c r="R36" i="42"/>
  <c r="U36" i="42"/>
  <c r="Q28" i="42"/>
  <c r="P28" i="42"/>
  <c r="R28" i="42"/>
  <c r="U28" i="42"/>
  <c r="Q20" i="42"/>
  <c r="P20" i="42"/>
  <c r="R20" i="42"/>
  <c r="U20" i="42"/>
  <c r="Q253" i="42"/>
  <c r="R253" i="42"/>
  <c r="P253" i="42"/>
  <c r="U253" i="42"/>
  <c r="Q205" i="42"/>
  <c r="R205" i="42"/>
  <c r="P205" i="42"/>
  <c r="U205" i="42"/>
  <c r="Q157" i="42"/>
  <c r="R157" i="42"/>
  <c r="P157" i="42"/>
  <c r="U157" i="42"/>
  <c r="Q125" i="42"/>
  <c r="R125" i="42"/>
  <c r="P125" i="42"/>
  <c r="U125" i="42"/>
  <c r="Q85" i="42"/>
  <c r="R85" i="42"/>
  <c r="P85" i="42"/>
  <c r="U85" i="42"/>
  <c r="Q21" i="42"/>
  <c r="R21" i="42"/>
  <c r="P21" i="42"/>
  <c r="U21" i="42"/>
  <c r="Q259" i="42"/>
  <c r="P259" i="42"/>
  <c r="R259" i="42"/>
  <c r="W259" i="42" s="1"/>
  <c r="U259" i="42"/>
  <c r="Q251" i="42"/>
  <c r="P251" i="42"/>
  <c r="R251" i="42"/>
  <c r="W251" i="42" s="1"/>
  <c r="U251" i="42"/>
  <c r="Q243" i="42"/>
  <c r="P243" i="42"/>
  <c r="R243" i="42"/>
  <c r="W243" i="42" s="1"/>
  <c r="U243" i="42"/>
  <c r="Q235" i="42"/>
  <c r="P235" i="42"/>
  <c r="R235" i="42"/>
  <c r="W235" i="42" s="1"/>
  <c r="U235" i="42"/>
  <c r="Q227" i="42"/>
  <c r="P227" i="42"/>
  <c r="R227" i="42"/>
  <c r="W227" i="42" s="1"/>
  <c r="U227" i="42"/>
  <c r="Q219" i="42"/>
  <c r="P219" i="42"/>
  <c r="R219" i="42"/>
  <c r="W219" i="42" s="1"/>
  <c r="U219" i="42"/>
  <c r="Q211" i="42"/>
  <c r="P211" i="42"/>
  <c r="R211" i="42"/>
  <c r="W211" i="42" s="1"/>
  <c r="U211" i="42"/>
  <c r="Q203" i="42"/>
  <c r="P203" i="42"/>
  <c r="R203" i="42"/>
  <c r="W203" i="42" s="1"/>
  <c r="U203" i="42"/>
  <c r="Q195" i="42"/>
  <c r="P195" i="42"/>
  <c r="R195" i="42"/>
  <c r="W195" i="42" s="1"/>
  <c r="U195" i="42"/>
  <c r="Q187" i="42"/>
  <c r="P187" i="42"/>
  <c r="R187" i="42"/>
  <c r="W187" i="42" s="1"/>
  <c r="U187" i="42"/>
  <c r="Q179" i="42"/>
  <c r="P179" i="42"/>
  <c r="R179" i="42"/>
  <c r="W179" i="42" s="1"/>
  <c r="U179" i="42"/>
  <c r="Q171" i="42"/>
  <c r="P171" i="42"/>
  <c r="R171" i="42"/>
  <c r="W171" i="42" s="1"/>
  <c r="U171" i="42"/>
  <c r="Q163" i="42"/>
  <c r="P163" i="42"/>
  <c r="R163" i="42"/>
  <c r="W163" i="42" s="1"/>
  <c r="U163" i="42"/>
  <c r="Q155" i="42"/>
  <c r="P155" i="42"/>
  <c r="R155" i="42"/>
  <c r="W155" i="42" s="1"/>
  <c r="U155" i="42"/>
  <c r="Q147" i="42"/>
  <c r="P147" i="42"/>
  <c r="R147" i="42"/>
  <c r="W147" i="42" s="1"/>
  <c r="U147" i="42"/>
  <c r="Q139" i="42"/>
  <c r="P139" i="42"/>
  <c r="R139" i="42"/>
  <c r="W139" i="42" s="1"/>
  <c r="U139" i="42"/>
  <c r="Q131" i="42"/>
  <c r="P131" i="42"/>
  <c r="R131" i="42"/>
  <c r="W131" i="42" s="1"/>
  <c r="U131" i="42"/>
  <c r="Q123" i="42"/>
  <c r="P123" i="42"/>
  <c r="R123" i="42"/>
  <c r="W123" i="42" s="1"/>
  <c r="U123" i="42"/>
  <c r="Q115" i="42"/>
  <c r="P115" i="42"/>
  <c r="R115" i="42"/>
  <c r="W115" i="42" s="1"/>
  <c r="U115" i="42"/>
  <c r="Q107" i="42"/>
  <c r="P107" i="42"/>
  <c r="R107" i="42"/>
  <c r="W107" i="42" s="1"/>
  <c r="U107" i="42"/>
  <c r="Q99" i="42"/>
  <c r="P99" i="42"/>
  <c r="R99" i="42"/>
  <c r="W99" i="42" s="1"/>
  <c r="U99" i="42"/>
  <c r="Q91" i="42"/>
  <c r="P91" i="42"/>
  <c r="R91" i="42"/>
  <c r="W91" i="42" s="1"/>
  <c r="U91" i="42"/>
  <c r="Q83" i="42"/>
  <c r="P83" i="42"/>
  <c r="R83" i="42"/>
  <c r="W83" i="42" s="1"/>
  <c r="U83" i="42"/>
  <c r="Q75" i="42"/>
  <c r="P75" i="42"/>
  <c r="R75" i="42"/>
  <c r="W75" i="42" s="1"/>
  <c r="U75" i="42"/>
  <c r="Q67" i="42"/>
  <c r="P67" i="42"/>
  <c r="R67" i="42"/>
  <c r="W67" i="42" s="1"/>
  <c r="U67" i="42"/>
  <c r="Q59" i="42"/>
  <c r="P59" i="42"/>
  <c r="R59" i="42"/>
  <c r="W59" i="42" s="1"/>
  <c r="U59" i="42"/>
  <c r="Q51" i="42"/>
  <c r="P51" i="42"/>
  <c r="R51" i="42"/>
  <c r="W51" i="42" s="1"/>
  <c r="U51" i="42"/>
  <c r="Q43" i="42"/>
  <c r="P43" i="42"/>
  <c r="R43" i="42"/>
  <c r="W43" i="42" s="1"/>
  <c r="U43" i="42"/>
  <c r="Q35" i="42"/>
  <c r="P35" i="42"/>
  <c r="R35" i="42"/>
  <c r="W35" i="42" s="1"/>
  <c r="U35" i="42"/>
  <c r="Q27" i="42"/>
  <c r="P27" i="42"/>
  <c r="R27" i="42"/>
  <c r="W27" i="42" s="1"/>
  <c r="U27" i="42"/>
  <c r="Q19" i="42"/>
  <c r="P19" i="42"/>
  <c r="R19" i="42"/>
  <c r="W19" i="42" s="1"/>
  <c r="U19" i="42"/>
  <c r="Q229" i="42"/>
  <c r="R229" i="42"/>
  <c r="P229" i="42"/>
  <c r="U229" i="42"/>
  <c r="Q189" i="42"/>
  <c r="R189" i="42"/>
  <c r="P189" i="42"/>
  <c r="U189" i="42"/>
  <c r="Q133" i="42"/>
  <c r="R133" i="42"/>
  <c r="P133" i="42"/>
  <c r="U133" i="42"/>
  <c r="Q29" i="42"/>
  <c r="R29" i="42"/>
  <c r="P29" i="42"/>
  <c r="U29" i="42"/>
  <c r="Q250" i="42"/>
  <c r="R250" i="42"/>
  <c r="P250" i="42"/>
  <c r="U250" i="42"/>
  <c r="Q226" i="42"/>
  <c r="R226" i="42"/>
  <c r="P226" i="42"/>
  <c r="U226" i="42"/>
  <c r="Q210" i="42"/>
  <c r="R210" i="42"/>
  <c r="P210" i="42"/>
  <c r="U210" i="42"/>
  <c r="Q202" i="42"/>
  <c r="R202" i="42"/>
  <c r="P202" i="42"/>
  <c r="U202" i="42"/>
  <c r="Q186" i="42"/>
  <c r="P186" i="42"/>
  <c r="R186" i="42"/>
  <c r="U186" i="42"/>
  <c r="Q178" i="42"/>
  <c r="P178" i="42"/>
  <c r="R178" i="42"/>
  <c r="U178" i="42"/>
  <c r="Q170" i="42"/>
  <c r="P170" i="42"/>
  <c r="R170" i="42"/>
  <c r="U170" i="42"/>
  <c r="Q162" i="42"/>
  <c r="P162" i="42"/>
  <c r="R162" i="42"/>
  <c r="U162" i="42"/>
  <c r="Q154" i="42"/>
  <c r="P154" i="42"/>
  <c r="R154" i="42"/>
  <c r="U154" i="42"/>
  <c r="Q146" i="42"/>
  <c r="P146" i="42"/>
  <c r="R146" i="42"/>
  <c r="U146" i="42"/>
  <c r="Q138" i="42"/>
  <c r="P138" i="42"/>
  <c r="R138" i="42"/>
  <c r="U138" i="42"/>
  <c r="Q130" i="42"/>
  <c r="P130" i="42"/>
  <c r="R130" i="42"/>
  <c r="U130" i="42"/>
  <c r="Q122" i="42"/>
  <c r="P122" i="42"/>
  <c r="R122" i="42"/>
  <c r="W122" i="42" s="1"/>
  <c r="U122" i="42"/>
  <c r="Q114" i="42"/>
  <c r="P114" i="42"/>
  <c r="R114" i="42"/>
  <c r="W114" i="42" s="1"/>
  <c r="U114" i="42"/>
  <c r="Q106" i="42"/>
  <c r="P106" i="42"/>
  <c r="R106" i="42"/>
  <c r="W106" i="42" s="1"/>
  <c r="U106" i="42"/>
  <c r="Q98" i="42"/>
  <c r="P98" i="42"/>
  <c r="R98" i="42"/>
  <c r="W98" i="42" s="1"/>
  <c r="U98" i="42"/>
  <c r="Q90" i="42"/>
  <c r="P90" i="42"/>
  <c r="R90" i="42"/>
  <c r="W90" i="42" s="1"/>
  <c r="U90" i="42"/>
  <c r="Q82" i="42"/>
  <c r="P82" i="42"/>
  <c r="R82" i="42"/>
  <c r="W82" i="42" s="1"/>
  <c r="U82" i="42"/>
  <c r="Q74" i="42"/>
  <c r="P74" i="42"/>
  <c r="R74" i="42"/>
  <c r="W74" i="42" s="1"/>
  <c r="U74" i="42"/>
  <c r="Q66" i="42"/>
  <c r="P66" i="42"/>
  <c r="R66" i="42"/>
  <c r="W66" i="42" s="1"/>
  <c r="U66" i="42"/>
  <c r="Q58" i="42"/>
  <c r="P58" i="42"/>
  <c r="R58" i="42"/>
  <c r="W58" i="42" s="1"/>
  <c r="U58" i="42"/>
  <c r="Q50" i="42"/>
  <c r="P50" i="42"/>
  <c r="R50" i="42"/>
  <c r="W50" i="42" s="1"/>
  <c r="U50" i="42"/>
  <c r="Q42" i="42"/>
  <c r="P42" i="42"/>
  <c r="R42" i="42"/>
  <c r="W42" i="42" s="1"/>
  <c r="U42" i="42"/>
  <c r="Q34" i="42"/>
  <c r="P34" i="42"/>
  <c r="R34" i="42"/>
  <c r="W34" i="42" s="1"/>
  <c r="U34" i="42"/>
  <c r="Q26" i="42"/>
  <c r="P26" i="42"/>
  <c r="R26" i="42"/>
  <c r="U26" i="42"/>
  <c r="Q18" i="42"/>
  <c r="P18" i="42"/>
  <c r="R18" i="42"/>
  <c r="W18" i="42" s="1"/>
  <c r="U18" i="42"/>
  <c r="Q237" i="42"/>
  <c r="R237" i="42"/>
  <c r="P237" i="42"/>
  <c r="U237" i="42"/>
  <c r="Q197" i="42"/>
  <c r="R197" i="42"/>
  <c r="P197" i="42"/>
  <c r="U197" i="42"/>
  <c r="Q149" i="42"/>
  <c r="R149" i="42"/>
  <c r="P149" i="42"/>
  <c r="U149" i="42"/>
  <c r="Q117" i="42"/>
  <c r="R117" i="42"/>
  <c r="P117" i="42"/>
  <c r="U117" i="42"/>
  <c r="Q77" i="42"/>
  <c r="R77" i="42"/>
  <c r="P77" i="42"/>
  <c r="U77" i="42"/>
  <c r="Q53" i="42"/>
  <c r="R53" i="42"/>
  <c r="P53" i="42"/>
  <c r="U53" i="42"/>
  <c r="Q258" i="42"/>
  <c r="R258" i="42"/>
  <c r="P258" i="42"/>
  <c r="U258" i="42"/>
  <c r="Q242" i="42"/>
  <c r="R242" i="42"/>
  <c r="P242" i="42"/>
  <c r="U242" i="42"/>
  <c r="Q218" i="42"/>
  <c r="R218" i="42"/>
  <c r="P218" i="42"/>
  <c r="U218" i="42"/>
  <c r="Q194" i="42"/>
  <c r="P194" i="42"/>
  <c r="R194" i="42"/>
  <c r="U194" i="42"/>
  <c r="Q257" i="42"/>
  <c r="R257" i="42"/>
  <c r="W257" i="42" s="1"/>
  <c r="P257" i="42"/>
  <c r="U257" i="42"/>
  <c r="Q249" i="42"/>
  <c r="R249" i="42"/>
  <c r="W249" i="42" s="1"/>
  <c r="P249" i="42"/>
  <c r="U249" i="42"/>
  <c r="Q241" i="42"/>
  <c r="R241" i="42"/>
  <c r="P241" i="42"/>
  <c r="U241" i="42"/>
  <c r="Q233" i="42"/>
  <c r="R233" i="42"/>
  <c r="W233" i="42" s="1"/>
  <c r="P233" i="42"/>
  <c r="U233" i="42"/>
  <c r="Q225" i="42"/>
  <c r="R225" i="42"/>
  <c r="W225" i="42" s="1"/>
  <c r="P225" i="42"/>
  <c r="U225" i="42"/>
  <c r="Q217" i="42"/>
  <c r="R217" i="42"/>
  <c r="W217" i="42" s="1"/>
  <c r="P217" i="42"/>
  <c r="U217" i="42"/>
  <c r="Q209" i="42"/>
  <c r="R209" i="42"/>
  <c r="W209" i="42" s="1"/>
  <c r="P209" i="42"/>
  <c r="U209" i="42"/>
  <c r="Q201" i="42"/>
  <c r="R201" i="42"/>
  <c r="W201" i="42" s="1"/>
  <c r="P201" i="42"/>
  <c r="U201" i="42"/>
  <c r="Q193" i="42"/>
  <c r="P193" i="42"/>
  <c r="R193" i="42"/>
  <c r="W193" i="42" s="1"/>
  <c r="U193" i="42"/>
  <c r="Q185" i="42"/>
  <c r="P185" i="42"/>
  <c r="R185" i="42"/>
  <c r="W185" i="42" s="1"/>
  <c r="U185" i="42"/>
  <c r="Q177" i="42"/>
  <c r="P177" i="42"/>
  <c r="R177" i="42"/>
  <c r="W177" i="42" s="1"/>
  <c r="U177" i="42"/>
  <c r="Q169" i="42"/>
  <c r="P169" i="42"/>
  <c r="R169" i="42"/>
  <c r="W169" i="42" s="1"/>
  <c r="U169" i="42"/>
  <c r="Q161" i="42"/>
  <c r="P161" i="42"/>
  <c r="R161" i="42"/>
  <c r="W161" i="42" s="1"/>
  <c r="U161" i="42"/>
  <c r="Q153" i="42"/>
  <c r="P153" i="42"/>
  <c r="R153" i="42"/>
  <c r="W153" i="42" s="1"/>
  <c r="U153" i="42"/>
  <c r="Q145" i="42"/>
  <c r="P145" i="42"/>
  <c r="R145" i="42"/>
  <c r="W145" i="42" s="1"/>
  <c r="U145" i="42"/>
  <c r="Q137" i="42"/>
  <c r="P137" i="42"/>
  <c r="R137" i="42"/>
  <c r="W137" i="42" s="1"/>
  <c r="U137" i="42"/>
  <c r="Q129" i="42"/>
  <c r="P129" i="42"/>
  <c r="R129" i="42"/>
  <c r="W129" i="42" s="1"/>
  <c r="U129" i="42"/>
  <c r="Q121" i="42"/>
  <c r="P121" i="42"/>
  <c r="R121" i="42"/>
  <c r="W121" i="42" s="1"/>
  <c r="U121" i="42"/>
  <c r="Q113" i="42"/>
  <c r="P113" i="42"/>
  <c r="R113" i="42"/>
  <c r="W113" i="42" s="1"/>
  <c r="U113" i="42"/>
  <c r="Q105" i="42"/>
  <c r="P105" i="42"/>
  <c r="R105" i="42"/>
  <c r="W105" i="42" s="1"/>
  <c r="U105" i="42"/>
  <c r="Q97" i="42"/>
  <c r="P97" i="42"/>
  <c r="R97" i="42"/>
  <c r="W97" i="42" s="1"/>
  <c r="U97" i="42"/>
  <c r="Q89" i="42"/>
  <c r="P89" i="42"/>
  <c r="R89" i="42"/>
  <c r="W89" i="42" s="1"/>
  <c r="U89" i="42"/>
  <c r="Q81" i="42"/>
  <c r="P81" i="42"/>
  <c r="R81" i="42"/>
  <c r="W81" i="42" s="1"/>
  <c r="U81" i="42"/>
  <c r="Q73" i="42"/>
  <c r="P73" i="42"/>
  <c r="R73" i="42"/>
  <c r="W73" i="42" s="1"/>
  <c r="U73" i="42"/>
  <c r="Q65" i="42"/>
  <c r="P65" i="42"/>
  <c r="R65" i="42"/>
  <c r="W65" i="42" s="1"/>
  <c r="U65" i="42"/>
  <c r="Q57" i="42"/>
  <c r="P57" i="42"/>
  <c r="R57" i="42"/>
  <c r="W57" i="42" s="1"/>
  <c r="U57" i="42"/>
  <c r="Q49" i="42"/>
  <c r="P49" i="42"/>
  <c r="R49" i="42"/>
  <c r="W49" i="42" s="1"/>
  <c r="U49" i="42"/>
  <c r="Q41" i="42"/>
  <c r="P41" i="42"/>
  <c r="R41" i="42"/>
  <c r="W41" i="42" s="1"/>
  <c r="U41" i="42"/>
  <c r="Q33" i="42"/>
  <c r="P33" i="42"/>
  <c r="R33" i="42"/>
  <c r="W33" i="42" s="1"/>
  <c r="U33" i="42"/>
  <c r="Q25" i="42"/>
  <c r="P25" i="42"/>
  <c r="R25" i="42"/>
  <c r="W25" i="42" s="1"/>
  <c r="U25" i="42"/>
  <c r="Q17" i="42"/>
  <c r="P17" i="42"/>
  <c r="R17" i="42"/>
  <c r="W17" i="42" s="1"/>
  <c r="U17" i="42"/>
  <c r="P12" i="42"/>
  <c r="Q12" i="42" s="1"/>
  <c r="V12" i="42"/>
  <c r="N238" i="52"/>
  <c r="U238" i="52" s="1"/>
  <c r="N154" i="52"/>
  <c r="U154" i="52" s="1"/>
  <c r="N174" i="52"/>
  <c r="U174" i="52" s="1"/>
  <c r="N90" i="52"/>
  <c r="U90" i="52" s="1"/>
  <c r="K100" i="36"/>
  <c r="N110" i="52"/>
  <c r="U110" i="52" s="1"/>
  <c r="N26" i="52"/>
  <c r="U26" i="52" s="1"/>
  <c r="N218" i="52"/>
  <c r="U218" i="52" s="1"/>
  <c r="N46" i="52"/>
  <c r="U46" i="52" s="1"/>
  <c r="N100" i="52"/>
  <c r="U100" i="52" s="1"/>
  <c r="N214" i="52"/>
  <c r="U214" i="52" s="1"/>
  <c r="N204" i="52"/>
  <c r="U204" i="52" s="1"/>
  <c r="N194" i="52"/>
  <c r="U194" i="52" s="1"/>
  <c r="N150" i="52"/>
  <c r="U150" i="52" s="1"/>
  <c r="N140" i="52"/>
  <c r="U140" i="52" s="1"/>
  <c r="N130" i="52"/>
  <c r="U130" i="52" s="1"/>
  <c r="N228" i="52"/>
  <c r="U228" i="52" s="1"/>
  <c r="N164" i="52"/>
  <c r="U164" i="52" s="1"/>
  <c r="N36" i="52"/>
  <c r="U36" i="52" s="1"/>
  <c r="N208" i="52"/>
  <c r="U208" i="52" s="1"/>
  <c r="N144" i="52"/>
  <c r="U144" i="52" s="1"/>
  <c r="N80" i="52"/>
  <c r="U80" i="52" s="1"/>
  <c r="N250" i="52"/>
  <c r="U250" i="52" s="1"/>
  <c r="N240" i="52"/>
  <c r="U240" i="52" s="1"/>
  <c r="N206" i="52"/>
  <c r="U206" i="52" s="1"/>
  <c r="N196" i="52"/>
  <c r="U196" i="52" s="1"/>
  <c r="N186" i="52"/>
  <c r="U186" i="52" s="1"/>
  <c r="N176" i="52"/>
  <c r="U176" i="52" s="1"/>
  <c r="N142" i="52"/>
  <c r="U142" i="52" s="1"/>
  <c r="N132" i="52"/>
  <c r="U132" i="52" s="1"/>
  <c r="N122" i="52"/>
  <c r="U122" i="52" s="1"/>
  <c r="N112" i="52"/>
  <c r="U112" i="52" s="1"/>
  <c r="N78" i="52"/>
  <c r="U78" i="52" s="1"/>
  <c r="N68" i="52"/>
  <c r="U68" i="52" s="1"/>
  <c r="N58" i="52"/>
  <c r="U58" i="52" s="1"/>
  <c r="N48" i="52"/>
  <c r="U48" i="52" s="1"/>
  <c r="N236" i="52"/>
  <c r="U236" i="52" s="1"/>
  <c r="N226" i="52"/>
  <c r="U226" i="52" s="1"/>
  <c r="N10" i="52"/>
  <c r="F155" i="22" s="1"/>
  <c r="D108" i="36" s="1"/>
  <c r="D148" i="36" s="1"/>
  <c r="I146" i="22"/>
  <c r="K108" i="36"/>
  <c r="K106" i="36"/>
  <c r="K104" i="36"/>
  <c r="K102" i="36"/>
  <c r="N16" i="52"/>
  <c r="U16" i="52" s="1"/>
  <c r="F21" i="36"/>
  <c r="N216" i="52"/>
  <c r="U216" i="52" s="1"/>
  <c r="N184" i="52"/>
  <c r="U184" i="52" s="1"/>
  <c r="N152" i="52"/>
  <c r="U152" i="52" s="1"/>
  <c r="N120" i="52"/>
  <c r="U120" i="52" s="1"/>
  <c r="N88" i="52"/>
  <c r="U88" i="52" s="1"/>
  <c r="N66" i="52"/>
  <c r="U66" i="52" s="1"/>
  <c r="N56" i="52"/>
  <c r="U56" i="52" s="1"/>
  <c r="N24" i="52"/>
  <c r="U24" i="52" s="1"/>
  <c r="N224" i="52"/>
  <c r="U224" i="52" s="1"/>
  <c r="N192" i="52"/>
  <c r="U192" i="52" s="1"/>
  <c r="N160" i="52"/>
  <c r="U160" i="52" s="1"/>
  <c r="N128" i="52"/>
  <c r="U128" i="52" s="1"/>
  <c r="N96" i="52"/>
  <c r="U96" i="52" s="1"/>
  <c r="N64" i="52"/>
  <c r="U64" i="52" s="1"/>
  <c r="N42" i="52"/>
  <c r="U42" i="52" s="1"/>
  <c r="N32" i="52"/>
  <c r="U32" i="52" s="1"/>
  <c r="N248" i="52"/>
  <c r="U248" i="52" s="1"/>
  <c r="N256" i="52"/>
  <c r="U256" i="52" s="1"/>
  <c r="N232" i="52"/>
  <c r="U232" i="52" s="1"/>
  <c r="N200" i="52"/>
  <c r="U200" i="52" s="1"/>
  <c r="N168" i="52"/>
  <c r="U168" i="52" s="1"/>
  <c r="N136" i="52"/>
  <c r="U136" i="52" s="1"/>
  <c r="N104" i="52"/>
  <c r="U104" i="52" s="1"/>
  <c r="N72" i="52"/>
  <c r="U72" i="52" s="1"/>
  <c r="N40" i="52"/>
  <c r="U40" i="52" s="1"/>
  <c r="W253" i="42"/>
  <c r="W241" i="42"/>
  <c r="W221" i="42"/>
  <c r="W120" i="42"/>
  <c r="W88" i="42"/>
  <c r="W72" i="42"/>
  <c r="W56" i="42"/>
  <c r="W40" i="42"/>
  <c r="W126" i="42"/>
  <c r="W110" i="42"/>
  <c r="N86" i="52"/>
  <c r="U86" i="52" s="1"/>
  <c r="N76" i="52"/>
  <c r="U76" i="52" s="1"/>
  <c r="N22" i="52"/>
  <c r="U22" i="52" s="1"/>
  <c r="N254" i="52"/>
  <c r="U254" i="52" s="1"/>
  <c r="N244" i="52"/>
  <c r="U244" i="52" s="1"/>
  <c r="N234" i="52"/>
  <c r="U234" i="52" s="1"/>
  <c r="N190" i="52"/>
  <c r="U190" i="52" s="1"/>
  <c r="N180" i="52"/>
  <c r="U180" i="52" s="1"/>
  <c r="N170" i="52"/>
  <c r="U170" i="52" s="1"/>
  <c r="N126" i="52"/>
  <c r="U126" i="52" s="1"/>
  <c r="N116" i="52"/>
  <c r="U116" i="52" s="1"/>
  <c r="N106" i="52"/>
  <c r="U106" i="52" s="1"/>
  <c r="N62" i="52"/>
  <c r="U62" i="52" s="1"/>
  <c r="N52" i="52"/>
  <c r="U52" i="52" s="1"/>
  <c r="N246" i="52"/>
  <c r="U246" i="52" s="1"/>
  <c r="N182" i="52"/>
  <c r="U182" i="52" s="1"/>
  <c r="N172" i="52"/>
  <c r="U172" i="52" s="1"/>
  <c r="N162" i="52"/>
  <c r="U162" i="52" s="1"/>
  <c r="N118" i="52"/>
  <c r="U118" i="52" s="1"/>
  <c r="N108" i="52"/>
  <c r="U108" i="52" s="1"/>
  <c r="N98" i="52"/>
  <c r="U98" i="52" s="1"/>
  <c r="N54" i="52"/>
  <c r="U54" i="52" s="1"/>
  <c r="N44" i="52"/>
  <c r="U44" i="52" s="1"/>
  <c r="N34" i="52"/>
  <c r="U34" i="52" s="1"/>
  <c r="N252" i="52"/>
  <c r="U252" i="52" s="1"/>
  <c r="N242" i="52"/>
  <c r="U242" i="52" s="1"/>
  <c r="N198" i="52"/>
  <c r="U198" i="52" s="1"/>
  <c r="N188" i="52"/>
  <c r="U188" i="52" s="1"/>
  <c r="N178" i="52"/>
  <c r="U178" i="52" s="1"/>
  <c r="N134" i="52"/>
  <c r="U134" i="52" s="1"/>
  <c r="N124" i="52"/>
  <c r="U124" i="52" s="1"/>
  <c r="N114" i="52"/>
  <c r="U114" i="52" s="1"/>
  <c r="N70" i="52"/>
  <c r="U70" i="52" s="1"/>
  <c r="N60" i="52"/>
  <c r="U60" i="52" s="1"/>
  <c r="N50" i="52"/>
  <c r="U50" i="52" s="1"/>
  <c r="N230" i="52"/>
  <c r="U230" i="52" s="1"/>
  <c r="N220" i="52"/>
  <c r="U220" i="52" s="1"/>
  <c r="N210" i="52"/>
  <c r="U210" i="52" s="1"/>
  <c r="N166" i="52"/>
  <c r="U166" i="52" s="1"/>
  <c r="N156" i="52"/>
  <c r="U156" i="52" s="1"/>
  <c r="N146" i="52"/>
  <c r="U146" i="52" s="1"/>
  <c r="N102" i="52"/>
  <c r="U102" i="52" s="1"/>
  <c r="N92" i="52"/>
  <c r="U92" i="52" s="1"/>
  <c r="N82" i="52"/>
  <c r="U82" i="52" s="1"/>
  <c r="N38" i="52"/>
  <c r="U38" i="52" s="1"/>
  <c r="N28" i="52"/>
  <c r="U28" i="52" s="1"/>
  <c r="N18" i="52"/>
  <c r="U18" i="52" s="1"/>
  <c r="N222" i="52"/>
  <c r="U222" i="52" s="1"/>
  <c r="N212" i="52"/>
  <c r="U212" i="52" s="1"/>
  <c r="N202" i="52"/>
  <c r="U202" i="52" s="1"/>
  <c r="N158" i="52"/>
  <c r="U158" i="52" s="1"/>
  <c r="N148" i="52"/>
  <c r="U148" i="52" s="1"/>
  <c r="N138" i="52"/>
  <c r="U138" i="52" s="1"/>
  <c r="N94" i="52"/>
  <c r="U94" i="52" s="1"/>
  <c r="N84" i="52"/>
  <c r="U84" i="52" s="1"/>
  <c r="N74" i="52"/>
  <c r="U74" i="52" s="1"/>
  <c r="N30" i="52"/>
  <c r="U30" i="52" s="1"/>
  <c r="N20" i="52"/>
  <c r="U20" i="52" s="1"/>
  <c r="F27" i="36"/>
  <c r="N12" i="52"/>
  <c r="U12" i="52" s="1"/>
  <c r="N11" i="52"/>
  <c r="N14" i="52"/>
  <c r="U14" i="52" s="1"/>
  <c r="R227" i="55"/>
  <c r="X12" i="58"/>
  <c r="W175" i="42"/>
  <c r="S238" i="52"/>
  <c r="R238" i="52"/>
  <c r="S206" i="52"/>
  <c r="R206" i="52"/>
  <c r="S158" i="52"/>
  <c r="R158" i="52"/>
  <c r="S142" i="52"/>
  <c r="R142" i="52"/>
  <c r="S250" i="52"/>
  <c r="R250" i="52"/>
  <c r="S234" i="52"/>
  <c r="R234" i="52"/>
  <c r="S218" i="52"/>
  <c r="R218" i="52"/>
  <c r="S202" i="52"/>
  <c r="R202" i="52"/>
  <c r="S186" i="52"/>
  <c r="R186" i="52"/>
  <c r="S170" i="52"/>
  <c r="R170" i="52"/>
  <c r="S154" i="52"/>
  <c r="R154" i="52"/>
  <c r="S138" i="52"/>
  <c r="R138" i="52"/>
  <c r="S122" i="52"/>
  <c r="R122" i="52"/>
  <c r="S106" i="52"/>
  <c r="R106" i="52"/>
  <c r="S90" i="52"/>
  <c r="R90" i="52"/>
  <c r="S74" i="52"/>
  <c r="R74" i="52"/>
  <c r="S58" i="52"/>
  <c r="R58" i="52"/>
  <c r="S42" i="52"/>
  <c r="R42" i="52"/>
  <c r="S26" i="52"/>
  <c r="R26" i="52"/>
  <c r="S144" i="52"/>
  <c r="R144" i="52"/>
  <c r="S80" i="52"/>
  <c r="R80" i="52"/>
  <c r="S64" i="52"/>
  <c r="R64" i="52"/>
  <c r="S224" i="52"/>
  <c r="R224" i="52"/>
  <c r="S48" i="52"/>
  <c r="R48" i="52"/>
  <c r="S32" i="52"/>
  <c r="R32" i="52"/>
  <c r="S16" i="52"/>
  <c r="R16" i="52"/>
  <c r="S246" i="52"/>
  <c r="R246" i="52"/>
  <c r="S230" i="52"/>
  <c r="R230" i="52"/>
  <c r="S214" i="52"/>
  <c r="R214" i="52"/>
  <c r="S198" i="52"/>
  <c r="R198" i="52"/>
  <c r="S182" i="52"/>
  <c r="R182" i="52"/>
  <c r="S166" i="52"/>
  <c r="R166" i="52"/>
  <c r="S150" i="52"/>
  <c r="R150" i="52"/>
  <c r="S134" i="52"/>
  <c r="R134" i="52"/>
  <c r="S118" i="52"/>
  <c r="R118" i="52"/>
  <c r="S102" i="52"/>
  <c r="R102" i="52"/>
  <c r="S86" i="52"/>
  <c r="R86" i="52"/>
  <c r="S70" i="52"/>
  <c r="R70" i="52"/>
  <c r="S54" i="52"/>
  <c r="R54" i="52"/>
  <c r="S38" i="52"/>
  <c r="R38" i="52"/>
  <c r="S22" i="52"/>
  <c r="R22" i="52"/>
  <c r="S236" i="52"/>
  <c r="R236" i="52"/>
  <c r="S220" i="52"/>
  <c r="R220" i="52"/>
  <c r="S204" i="52"/>
  <c r="R204" i="52"/>
  <c r="S188" i="52"/>
  <c r="R188" i="52"/>
  <c r="S172" i="52"/>
  <c r="R172" i="52"/>
  <c r="S156" i="52"/>
  <c r="R156" i="52"/>
  <c r="S140" i="52"/>
  <c r="R140" i="52"/>
  <c r="S124" i="52"/>
  <c r="R124" i="52"/>
  <c r="S108" i="52"/>
  <c r="R108" i="52"/>
  <c r="S92" i="52"/>
  <c r="R92" i="52"/>
  <c r="S76" i="52"/>
  <c r="R76" i="52"/>
  <c r="S60" i="52"/>
  <c r="R60" i="52"/>
  <c r="S44" i="52"/>
  <c r="R44" i="52"/>
  <c r="R28" i="52"/>
  <c r="S28" i="52"/>
  <c r="S12" i="52"/>
  <c r="R12" i="52"/>
  <c r="S240" i="52"/>
  <c r="R240" i="52"/>
  <c r="S208" i="52"/>
  <c r="R208" i="52"/>
  <c r="S112" i="52"/>
  <c r="R112" i="52"/>
  <c r="S96" i="52"/>
  <c r="R96" i="52"/>
  <c r="S252" i="52"/>
  <c r="R252" i="52"/>
  <c r="S242" i="52"/>
  <c r="R242" i="52"/>
  <c r="S226" i="52"/>
  <c r="R226" i="52"/>
  <c r="S210" i="52"/>
  <c r="R210" i="52"/>
  <c r="S194" i="52"/>
  <c r="R194" i="52"/>
  <c r="S178" i="52"/>
  <c r="R178" i="52"/>
  <c r="S162" i="52"/>
  <c r="R162" i="52"/>
  <c r="S146" i="52"/>
  <c r="R146" i="52"/>
  <c r="S130" i="52"/>
  <c r="R130" i="52"/>
  <c r="S114" i="52"/>
  <c r="R114" i="52"/>
  <c r="S98" i="52"/>
  <c r="R98" i="52"/>
  <c r="S82" i="52"/>
  <c r="R82" i="52"/>
  <c r="S66" i="52"/>
  <c r="R66" i="52"/>
  <c r="S50" i="52"/>
  <c r="R50" i="52"/>
  <c r="S34" i="52"/>
  <c r="R34" i="52"/>
  <c r="S18" i="52"/>
  <c r="R18" i="52"/>
  <c r="S192" i="52"/>
  <c r="R192" i="52"/>
  <c r="S128" i="52"/>
  <c r="R128" i="52"/>
  <c r="S248" i="52"/>
  <c r="R248" i="52"/>
  <c r="S232" i="52"/>
  <c r="R232" i="52"/>
  <c r="S216" i="52"/>
  <c r="R216" i="52"/>
  <c r="S200" i="52"/>
  <c r="R200" i="52"/>
  <c r="S184" i="52"/>
  <c r="R184" i="52"/>
  <c r="S168" i="52"/>
  <c r="R168" i="52"/>
  <c r="S152" i="52"/>
  <c r="R152" i="52"/>
  <c r="S136" i="52"/>
  <c r="R136" i="52"/>
  <c r="S120" i="52"/>
  <c r="R120" i="52"/>
  <c r="S104" i="52"/>
  <c r="R104" i="52"/>
  <c r="S88" i="52"/>
  <c r="R88" i="52"/>
  <c r="S72" i="52"/>
  <c r="R72" i="52"/>
  <c r="S56" i="52"/>
  <c r="R56" i="52"/>
  <c r="S40" i="52"/>
  <c r="R40" i="52"/>
  <c r="S24" i="52"/>
  <c r="R24" i="52"/>
  <c r="S256" i="52"/>
  <c r="R256" i="52"/>
  <c r="S176" i="52"/>
  <c r="R176" i="52"/>
  <c r="S254" i="52"/>
  <c r="R254" i="52"/>
  <c r="S222" i="52"/>
  <c r="R222" i="52"/>
  <c r="S190" i="52"/>
  <c r="R190" i="52"/>
  <c r="S126" i="52"/>
  <c r="R126" i="52"/>
  <c r="S110" i="52"/>
  <c r="R110" i="52"/>
  <c r="S94" i="52"/>
  <c r="R94" i="52"/>
  <c r="S78" i="52"/>
  <c r="R78" i="52"/>
  <c r="S62" i="52"/>
  <c r="R62" i="52"/>
  <c r="S46" i="52"/>
  <c r="R46" i="52"/>
  <c r="S30" i="52"/>
  <c r="R30" i="52"/>
  <c r="S14" i="52"/>
  <c r="R14" i="52"/>
  <c r="H150" i="22" s="1"/>
  <c r="S160" i="52"/>
  <c r="R160" i="52"/>
  <c r="S174" i="52"/>
  <c r="R174" i="52"/>
  <c r="S244" i="52"/>
  <c r="R244" i="52"/>
  <c r="S228" i="52"/>
  <c r="R228" i="52"/>
  <c r="S212" i="52"/>
  <c r="R212" i="52"/>
  <c r="S196" i="52"/>
  <c r="R196" i="52"/>
  <c r="S180" i="52"/>
  <c r="R180" i="52"/>
  <c r="S164" i="52"/>
  <c r="R164" i="52"/>
  <c r="S148" i="52"/>
  <c r="R148" i="52"/>
  <c r="S132" i="52"/>
  <c r="R132" i="52"/>
  <c r="S116" i="52"/>
  <c r="R116" i="52"/>
  <c r="S100" i="52"/>
  <c r="R100" i="52"/>
  <c r="S84" i="52"/>
  <c r="R84" i="52"/>
  <c r="S68" i="52"/>
  <c r="R68" i="52"/>
  <c r="S52" i="52"/>
  <c r="R52" i="52"/>
  <c r="S36" i="52"/>
  <c r="R36" i="52"/>
  <c r="S20" i="52"/>
  <c r="R20" i="52"/>
  <c r="R245" i="55"/>
  <c r="R224" i="55"/>
  <c r="R197" i="55"/>
  <c r="N165" i="55"/>
  <c r="U165" i="55" s="1"/>
  <c r="R133" i="55"/>
  <c r="N108" i="55"/>
  <c r="U108" i="55" s="1"/>
  <c r="R88" i="55"/>
  <c r="S65" i="55"/>
  <c r="R44" i="55"/>
  <c r="N24" i="55"/>
  <c r="U24" i="55" s="1"/>
  <c r="R244" i="55"/>
  <c r="S221" i="55"/>
  <c r="S193" i="55"/>
  <c r="S161" i="55"/>
  <c r="S129" i="55"/>
  <c r="S105" i="55"/>
  <c r="R84" i="55"/>
  <c r="N64" i="55"/>
  <c r="U64" i="55" s="1"/>
  <c r="R41" i="55"/>
  <c r="N20" i="55"/>
  <c r="U20" i="55" s="1"/>
  <c r="R240" i="55"/>
  <c r="R217" i="55"/>
  <c r="R189" i="55"/>
  <c r="S157" i="55"/>
  <c r="R125" i="55"/>
  <c r="R104" i="55"/>
  <c r="N81" i="55"/>
  <c r="U81" i="55" s="1"/>
  <c r="R60" i="55"/>
  <c r="S40" i="55"/>
  <c r="N17" i="55"/>
  <c r="U17" i="55" s="1"/>
  <c r="R237" i="55"/>
  <c r="R216" i="55"/>
  <c r="R185" i="55"/>
  <c r="S153" i="55"/>
  <c r="N121" i="55"/>
  <c r="U121" i="55" s="1"/>
  <c r="R100" i="55"/>
  <c r="R80" i="55"/>
  <c r="N57" i="55"/>
  <c r="U57" i="55" s="1"/>
  <c r="S36" i="55"/>
  <c r="R16" i="55"/>
  <c r="R213" i="55"/>
  <c r="R181" i="55"/>
  <c r="S149" i="55"/>
  <c r="N120" i="55"/>
  <c r="U120" i="55" s="1"/>
  <c r="S97" i="55"/>
  <c r="N76" i="55"/>
  <c r="U76" i="55" s="1"/>
  <c r="R56" i="55"/>
  <c r="N33" i="55"/>
  <c r="U33" i="55" s="1"/>
  <c r="R232" i="55"/>
  <c r="S209" i="55"/>
  <c r="N177" i="55"/>
  <c r="U177" i="55" s="1"/>
  <c r="S145" i="55"/>
  <c r="N116" i="55"/>
  <c r="U116" i="55" s="1"/>
  <c r="S96" i="55"/>
  <c r="S73" i="55"/>
  <c r="N52" i="55"/>
  <c r="U52" i="55" s="1"/>
  <c r="S32" i="55"/>
  <c r="R256" i="55"/>
  <c r="R229" i="55"/>
  <c r="N205" i="55"/>
  <c r="U205" i="55" s="1"/>
  <c r="S173" i="55"/>
  <c r="N141" i="55"/>
  <c r="U141" i="55" s="1"/>
  <c r="N113" i="55"/>
  <c r="U113" i="55" s="1"/>
  <c r="R92" i="55"/>
  <c r="N72" i="55"/>
  <c r="U72" i="55" s="1"/>
  <c r="R49" i="55"/>
  <c r="S28" i="55"/>
  <c r="R249" i="55"/>
  <c r="R228" i="55"/>
  <c r="N201" i="55"/>
  <c r="U201" i="55" s="1"/>
  <c r="N169" i="55"/>
  <c r="U169" i="55" s="1"/>
  <c r="S137" i="55"/>
  <c r="N112" i="55"/>
  <c r="U112" i="55" s="1"/>
  <c r="S89" i="55"/>
  <c r="R68" i="55"/>
  <c r="S48" i="55"/>
  <c r="N25" i="55"/>
  <c r="U25" i="55" s="1"/>
  <c r="N248" i="55"/>
  <c r="U248" i="55" s="1"/>
  <c r="S253" i="55"/>
  <c r="R252" i="55"/>
  <c r="R236" i="55"/>
  <c r="R220" i="55"/>
  <c r="R212" i="55"/>
  <c r="S257" i="55"/>
  <c r="R241" i="55"/>
  <c r="S117" i="55"/>
  <c r="S109" i="55"/>
  <c r="N101" i="55"/>
  <c r="U101" i="55" s="1"/>
  <c r="R93" i="55"/>
  <c r="S85" i="55"/>
  <c r="S77" i="55"/>
  <c r="R69" i="55"/>
  <c r="R61" i="55"/>
  <c r="R53" i="55"/>
  <c r="R45" i="55"/>
  <c r="N37" i="55"/>
  <c r="U37" i="55" s="1"/>
  <c r="S29" i="55"/>
  <c r="R21" i="55"/>
  <c r="V156" i="22" s="1"/>
  <c r="N239" i="55"/>
  <c r="U239" i="55" s="1"/>
  <c r="N235" i="55"/>
  <c r="U235" i="55" s="1"/>
  <c r="N115" i="55"/>
  <c r="U115" i="55" s="1"/>
  <c r="S111" i="55"/>
  <c r="S107" i="55"/>
  <c r="S103" i="55"/>
  <c r="N99" i="55"/>
  <c r="U99" i="55" s="1"/>
  <c r="S95" i="55"/>
  <c r="S91" i="55"/>
  <c r="S87" i="55"/>
  <c r="S83" i="55"/>
  <c r="N79" i="55"/>
  <c r="U79" i="55" s="1"/>
  <c r="N75" i="55"/>
  <c r="U75" i="55" s="1"/>
  <c r="S71" i="55"/>
  <c r="S67" i="55"/>
  <c r="N63" i="55"/>
  <c r="U63" i="55" s="1"/>
  <c r="S59" i="55"/>
  <c r="S55" i="55"/>
  <c r="R51" i="55"/>
  <c r="R47" i="55"/>
  <c r="R43" i="55"/>
  <c r="N39" i="55"/>
  <c r="U39" i="55" s="1"/>
  <c r="R35" i="55"/>
  <c r="N31" i="55"/>
  <c r="U31" i="55" s="1"/>
  <c r="R27" i="55"/>
  <c r="N23" i="55"/>
  <c r="U23" i="55" s="1"/>
  <c r="R19" i="55"/>
  <c r="R15" i="55"/>
  <c r="N254" i="55"/>
  <c r="U254" i="55" s="1"/>
  <c r="R250" i="55"/>
  <c r="N234" i="55"/>
  <c r="U234" i="55" s="1"/>
  <c r="S222" i="55"/>
  <c r="R218" i="55"/>
  <c r="R214" i="55"/>
  <c r="R210" i="55"/>
  <c r="R206" i="55"/>
  <c r="S202" i="55"/>
  <c r="R198" i="55"/>
  <c r="R194" i="55"/>
  <c r="S190" i="55"/>
  <c r="R186" i="55"/>
  <c r="N182" i="55"/>
  <c r="U182" i="55" s="1"/>
  <c r="R178" i="55"/>
  <c r="R174" i="55"/>
  <c r="N170" i="55"/>
  <c r="U170" i="55" s="1"/>
  <c r="R166" i="55"/>
  <c r="R162" i="55"/>
  <c r="S158" i="55"/>
  <c r="R154" i="55"/>
  <c r="R150" i="55"/>
  <c r="R146" i="55"/>
  <c r="R142" i="55"/>
  <c r="S138" i="55"/>
  <c r="R134" i="55"/>
  <c r="R130" i="55"/>
  <c r="S126" i="55"/>
  <c r="R122" i="55"/>
  <c r="N255" i="52"/>
  <c r="U255" i="52" s="1"/>
  <c r="N251" i="52"/>
  <c r="U251" i="52" s="1"/>
  <c r="N247" i="52"/>
  <c r="U247" i="52" s="1"/>
  <c r="N243" i="52"/>
  <c r="U243" i="52" s="1"/>
  <c r="N239" i="52"/>
  <c r="U239" i="52" s="1"/>
  <c r="N235" i="52"/>
  <c r="U235" i="52" s="1"/>
  <c r="N231" i="52"/>
  <c r="U231" i="52" s="1"/>
  <c r="N227" i="52"/>
  <c r="U227" i="52" s="1"/>
  <c r="N223" i="52"/>
  <c r="U223" i="52" s="1"/>
  <c r="N219" i="52"/>
  <c r="U219" i="52" s="1"/>
  <c r="N215" i="52"/>
  <c r="U215" i="52" s="1"/>
  <c r="N211" i="52"/>
  <c r="U211" i="52" s="1"/>
  <c r="N207" i="52"/>
  <c r="U207" i="52" s="1"/>
  <c r="N203" i="52"/>
  <c r="U203" i="52" s="1"/>
  <c r="N199" i="52"/>
  <c r="U199" i="52" s="1"/>
  <c r="N195" i="52"/>
  <c r="U195" i="52" s="1"/>
  <c r="N191" i="52"/>
  <c r="U191" i="52" s="1"/>
  <c r="N187" i="52"/>
  <c r="U187" i="52" s="1"/>
  <c r="N183" i="52"/>
  <c r="U183" i="52" s="1"/>
  <c r="N179" i="52"/>
  <c r="U179" i="52" s="1"/>
  <c r="N175" i="52"/>
  <c r="U175" i="52" s="1"/>
  <c r="N171" i="52"/>
  <c r="U171" i="52" s="1"/>
  <c r="N167" i="52"/>
  <c r="U167" i="52" s="1"/>
  <c r="N163" i="52"/>
  <c r="U163" i="52" s="1"/>
  <c r="N159" i="52"/>
  <c r="U159" i="52" s="1"/>
  <c r="N155" i="52"/>
  <c r="U155" i="52" s="1"/>
  <c r="N151" i="52"/>
  <c r="U151" i="52" s="1"/>
  <c r="N147" i="52"/>
  <c r="U147" i="52" s="1"/>
  <c r="N143" i="52"/>
  <c r="U143" i="52" s="1"/>
  <c r="N139" i="52"/>
  <c r="U139" i="52" s="1"/>
  <c r="N135" i="52"/>
  <c r="U135" i="52" s="1"/>
  <c r="N131" i="52"/>
  <c r="U131" i="52" s="1"/>
  <c r="N127" i="52"/>
  <c r="U127" i="52" s="1"/>
  <c r="N123" i="52"/>
  <c r="U123" i="52" s="1"/>
  <c r="N119" i="52"/>
  <c r="U119" i="52" s="1"/>
  <c r="N115" i="52"/>
  <c r="U115" i="52" s="1"/>
  <c r="N111" i="52"/>
  <c r="U111" i="52" s="1"/>
  <c r="N107" i="52"/>
  <c r="U107" i="52" s="1"/>
  <c r="N103" i="52"/>
  <c r="U103" i="52" s="1"/>
  <c r="N99" i="52"/>
  <c r="U99" i="52" s="1"/>
  <c r="N95" i="52"/>
  <c r="U95" i="52" s="1"/>
  <c r="N91" i="52"/>
  <c r="U91" i="52" s="1"/>
  <c r="N87" i="52"/>
  <c r="U87" i="52" s="1"/>
  <c r="N83" i="52"/>
  <c r="U83" i="52" s="1"/>
  <c r="N79" i="52"/>
  <c r="U79" i="52" s="1"/>
  <c r="N75" i="52"/>
  <c r="U75" i="52" s="1"/>
  <c r="N71" i="52"/>
  <c r="U71" i="52" s="1"/>
  <c r="N67" i="52"/>
  <c r="U67" i="52" s="1"/>
  <c r="N63" i="52"/>
  <c r="U63" i="52" s="1"/>
  <c r="N59" i="52"/>
  <c r="U59" i="52" s="1"/>
  <c r="N55" i="52"/>
  <c r="U55" i="52" s="1"/>
  <c r="N51" i="52"/>
  <c r="U51" i="52" s="1"/>
  <c r="N47" i="52"/>
  <c r="U47" i="52" s="1"/>
  <c r="N43" i="52"/>
  <c r="U43" i="52" s="1"/>
  <c r="N39" i="52"/>
  <c r="U39" i="52" s="1"/>
  <c r="N35" i="52"/>
  <c r="U35" i="52" s="1"/>
  <c r="N31" i="52"/>
  <c r="U31" i="52" s="1"/>
  <c r="N27" i="52"/>
  <c r="U27" i="52" s="1"/>
  <c r="N23" i="52"/>
  <c r="U23" i="52" s="1"/>
  <c r="N19" i="52"/>
  <c r="U19" i="52" s="1"/>
  <c r="N15" i="52"/>
  <c r="U15" i="52" s="1"/>
  <c r="N257" i="52"/>
  <c r="U257" i="52" s="1"/>
  <c r="N253" i="52"/>
  <c r="U253" i="52" s="1"/>
  <c r="N249" i="52"/>
  <c r="U249" i="52" s="1"/>
  <c r="N245" i="52"/>
  <c r="U245" i="52" s="1"/>
  <c r="N241" i="52"/>
  <c r="U241" i="52" s="1"/>
  <c r="N237" i="52"/>
  <c r="U237" i="52" s="1"/>
  <c r="N233" i="52"/>
  <c r="U233" i="52" s="1"/>
  <c r="N229" i="52"/>
  <c r="U229" i="52" s="1"/>
  <c r="N225" i="52"/>
  <c r="U225" i="52" s="1"/>
  <c r="N221" i="52"/>
  <c r="U221" i="52" s="1"/>
  <c r="N217" i="52"/>
  <c r="U217" i="52" s="1"/>
  <c r="N213" i="52"/>
  <c r="U213" i="52" s="1"/>
  <c r="N209" i="52"/>
  <c r="U209" i="52" s="1"/>
  <c r="N205" i="52"/>
  <c r="U205" i="52" s="1"/>
  <c r="N201" i="52"/>
  <c r="U201" i="52" s="1"/>
  <c r="N197" i="52"/>
  <c r="U197" i="52" s="1"/>
  <c r="N193" i="52"/>
  <c r="U193" i="52" s="1"/>
  <c r="N189" i="52"/>
  <c r="U189" i="52" s="1"/>
  <c r="N185" i="52"/>
  <c r="U185" i="52" s="1"/>
  <c r="N181" i="52"/>
  <c r="U181" i="52" s="1"/>
  <c r="N177" i="52"/>
  <c r="U177" i="52" s="1"/>
  <c r="N173" i="52"/>
  <c r="U173" i="52" s="1"/>
  <c r="N169" i="52"/>
  <c r="U169" i="52" s="1"/>
  <c r="N165" i="52"/>
  <c r="U165" i="52" s="1"/>
  <c r="N161" i="52"/>
  <c r="U161" i="52" s="1"/>
  <c r="N157" i="52"/>
  <c r="U157" i="52" s="1"/>
  <c r="N153" i="52"/>
  <c r="U153" i="52" s="1"/>
  <c r="N149" i="52"/>
  <c r="U149" i="52" s="1"/>
  <c r="N145" i="52"/>
  <c r="U145" i="52" s="1"/>
  <c r="N141" i="52"/>
  <c r="U141" i="52" s="1"/>
  <c r="N137" i="52"/>
  <c r="U137" i="52" s="1"/>
  <c r="N133" i="52"/>
  <c r="U133" i="52" s="1"/>
  <c r="N129" i="52"/>
  <c r="U129" i="52" s="1"/>
  <c r="N125" i="52"/>
  <c r="U125" i="52" s="1"/>
  <c r="N121" i="52"/>
  <c r="U121" i="52" s="1"/>
  <c r="N117" i="52"/>
  <c r="U117" i="52" s="1"/>
  <c r="N113" i="52"/>
  <c r="U113" i="52" s="1"/>
  <c r="N109" i="52"/>
  <c r="U109" i="52" s="1"/>
  <c r="N105" i="52"/>
  <c r="U105" i="52" s="1"/>
  <c r="N101" i="52"/>
  <c r="U101" i="52" s="1"/>
  <c r="N97" i="52"/>
  <c r="U97" i="52" s="1"/>
  <c r="N93" i="52"/>
  <c r="U93" i="52" s="1"/>
  <c r="N89" i="52"/>
  <c r="U89" i="52" s="1"/>
  <c r="N85" i="52"/>
  <c r="U85" i="52" s="1"/>
  <c r="N81" i="52"/>
  <c r="U81" i="52" s="1"/>
  <c r="N77" i="52"/>
  <c r="U77" i="52" s="1"/>
  <c r="N73" i="52"/>
  <c r="U73" i="52" s="1"/>
  <c r="N69" i="52"/>
  <c r="U69" i="52" s="1"/>
  <c r="N65" i="52"/>
  <c r="U65" i="52" s="1"/>
  <c r="N61" i="52"/>
  <c r="U61" i="52" s="1"/>
  <c r="N57" i="52"/>
  <c r="U57" i="52" s="1"/>
  <c r="N53" i="52"/>
  <c r="U53" i="52" s="1"/>
  <c r="N49" i="52"/>
  <c r="U49" i="52" s="1"/>
  <c r="N45" i="52"/>
  <c r="U45" i="52" s="1"/>
  <c r="N41" i="52"/>
  <c r="U41" i="52" s="1"/>
  <c r="N37" i="52"/>
  <c r="U37" i="52" s="1"/>
  <c r="N33" i="52"/>
  <c r="U33" i="52" s="1"/>
  <c r="N29" i="52"/>
  <c r="U29" i="52" s="1"/>
  <c r="N25" i="52"/>
  <c r="U25" i="52" s="1"/>
  <c r="N21" i="52"/>
  <c r="U21" i="52" s="1"/>
  <c r="N17" i="52"/>
  <c r="U17" i="52" s="1"/>
  <c r="N13" i="52"/>
  <c r="U13" i="52" s="1"/>
  <c r="R14" i="55"/>
  <c r="R13" i="55"/>
  <c r="S12" i="55"/>
  <c r="N11" i="55"/>
  <c r="U11" i="55" s="1"/>
  <c r="N10" i="55"/>
  <c r="R11" i="52"/>
  <c r="AK10" i="55" a="1"/>
  <c r="AK10" i="55" s="1"/>
  <c r="B12" i="57" s="1"/>
  <c r="AK10" i="52" a="1"/>
  <c r="AK10" i="52" s="1"/>
  <c r="B12" i="53" s="1"/>
  <c r="AJ10" i="55" a="1"/>
  <c r="AJ10" i="55" s="1"/>
  <c r="AJ11" i="55" s="1" a="1"/>
  <c r="AJ11" i="55" s="1"/>
  <c r="T258" i="55"/>
  <c r="AJ10" i="52" a="1"/>
  <c r="AJ10" i="52" s="1"/>
  <c r="AJ11" i="52" s="1" a="1"/>
  <c r="AJ11" i="52" s="1"/>
  <c r="T258" i="52"/>
  <c r="R15" i="42" l="1"/>
  <c r="T15" i="42"/>
  <c r="U15" i="42" s="1"/>
  <c r="R13" i="42"/>
  <c r="M3" i="42"/>
  <c r="F153" i="22"/>
  <c r="D106" i="36" s="1"/>
  <c r="D146" i="36" s="1"/>
  <c r="F154" i="22"/>
  <c r="D107" i="36" s="1"/>
  <c r="D147" i="36" s="1"/>
  <c r="W146" i="22"/>
  <c r="W147" i="22"/>
  <c r="L12" i="53"/>
  <c r="P12" i="57"/>
  <c r="C12" i="57"/>
  <c r="M12" i="57" s="1"/>
  <c r="T12" i="42"/>
  <c r="U12" i="42" s="1"/>
  <c r="Y12" i="58"/>
  <c r="W158" i="22"/>
  <c r="W153" i="22"/>
  <c r="F146" i="22"/>
  <c r="D99" i="36" s="1"/>
  <c r="W14" i="42"/>
  <c r="W15" i="42"/>
  <c r="W255" i="42"/>
  <c r="R10" i="52"/>
  <c r="H148" i="22"/>
  <c r="T146" i="22"/>
  <c r="D119" i="36" s="1"/>
  <c r="T147" i="22"/>
  <c r="D120" i="36" s="1"/>
  <c r="S10" i="52"/>
  <c r="W242" i="42"/>
  <c r="W250" i="42"/>
  <c r="W26" i="42"/>
  <c r="W226" i="42"/>
  <c r="W258" i="42"/>
  <c r="W63" i="42"/>
  <c r="W127" i="42"/>
  <c r="W150" i="42"/>
  <c r="W238" i="42"/>
  <c r="W246" i="42"/>
  <c r="W234" i="42"/>
  <c r="W236" i="42"/>
  <c r="W87" i="42"/>
  <c r="W191" i="42"/>
  <c r="F148" i="22"/>
  <c r="D101" i="36" s="1"/>
  <c r="D141" i="36" s="1"/>
  <c r="F149" i="22"/>
  <c r="D102" i="36" s="1"/>
  <c r="D142" i="36" s="1"/>
  <c r="W183" i="42"/>
  <c r="W124" i="42"/>
  <c r="F150" i="22"/>
  <c r="D103" i="36" s="1"/>
  <c r="D143" i="36" s="1"/>
  <c r="W239" i="42"/>
  <c r="F147" i="22"/>
  <c r="D100" i="36" s="1"/>
  <c r="F156" i="22"/>
  <c r="D109" i="36" s="1"/>
  <c r="W109" i="42"/>
  <c r="W199" i="42"/>
  <c r="S227" i="55"/>
  <c r="W84" i="42"/>
  <c r="W45" i="42"/>
  <c r="W245" i="42"/>
  <c r="W247" i="42"/>
  <c r="W39" i="42"/>
  <c r="W79" i="42"/>
  <c r="W160" i="42"/>
  <c r="W215" i="42"/>
  <c r="W197" i="42"/>
  <c r="W77" i="42"/>
  <c r="W103" i="42"/>
  <c r="L104" i="36"/>
  <c r="L106" i="36"/>
  <c r="L100" i="36"/>
  <c r="F152" i="22"/>
  <c r="D105" i="36" s="1"/>
  <c r="D145" i="36" s="1"/>
  <c r="L102" i="36"/>
  <c r="L108" i="36"/>
  <c r="F158" i="22"/>
  <c r="D111" i="36" s="1"/>
  <c r="F151" i="22"/>
  <c r="D104" i="36" s="1"/>
  <c r="D144" i="36" s="1"/>
  <c r="N227" i="55"/>
  <c r="U227" i="55" s="1"/>
  <c r="W231" i="42"/>
  <c r="W189" i="42"/>
  <c r="W136" i="42"/>
  <c r="W144" i="42"/>
  <c r="W168" i="42"/>
  <c r="W240" i="42"/>
  <c r="W125" i="42"/>
  <c r="W142" i="42"/>
  <c r="W166" i="42"/>
  <c r="W206" i="42"/>
  <c r="W230" i="42"/>
  <c r="W29" i="42"/>
  <c r="W37" i="42"/>
  <c r="W52" i="42"/>
  <c r="W71" i="42"/>
  <c r="W92" i="42"/>
  <c r="W213" i="42"/>
  <c r="W93" i="42"/>
  <c r="W111" i="42"/>
  <c r="W146" i="42"/>
  <c r="W218" i="42"/>
  <c r="W149" i="42"/>
  <c r="W68" i="42"/>
  <c r="W95" i="42"/>
  <c r="W207" i="42"/>
  <c r="W205" i="42"/>
  <c r="W101" i="42"/>
  <c r="W119" i="42"/>
  <c r="W20" i="42"/>
  <c r="W158" i="42"/>
  <c r="W214" i="42"/>
  <c r="W181" i="42"/>
  <c r="W31" i="42"/>
  <c r="W55" i="42"/>
  <c r="W116" i="42"/>
  <c r="W223" i="42"/>
  <c r="W141" i="42"/>
  <c r="W173" i="42"/>
  <c r="W69" i="42"/>
  <c r="W108" i="42"/>
  <c r="W134" i="42"/>
  <c r="W198" i="42"/>
  <c r="W53" i="42"/>
  <c r="W229" i="42"/>
  <c r="W159" i="42"/>
  <c r="W21" i="42"/>
  <c r="W36" i="42"/>
  <c r="W167" i="42"/>
  <c r="W76" i="42"/>
  <c r="W165" i="42"/>
  <c r="F30" i="36"/>
  <c r="L12" i="57"/>
  <c r="N245" i="55"/>
  <c r="U245" i="55" s="1"/>
  <c r="N197" i="55"/>
  <c r="U197" i="55" s="1"/>
  <c r="S133" i="55"/>
  <c r="N65" i="55"/>
  <c r="U65" i="55" s="1"/>
  <c r="N193" i="55"/>
  <c r="U193" i="55" s="1"/>
  <c r="R96" i="55"/>
  <c r="N105" i="55"/>
  <c r="U105" i="55" s="1"/>
  <c r="S213" i="55"/>
  <c r="W16" i="42"/>
  <c r="S245" i="55"/>
  <c r="R149" i="55"/>
  <c r="R157" i="55"/>
  <c r="R72" i="55"/>
  <c r="R173" i="55"/>
  <c r="R37" i="55"/>
  <c r="N237" i="55"/>
  <c r="U237" i="55" s="1"/>
  <c r="S69" i="55"/>
  <c r="R221" i="55"/>
  <c r="R120" i="55"/>
  <c r="N44" i="55"/>
  <c r="U44" i="55" s="1"/>
  <c r="S101" i="55"/>
  <c r="S237" i="55"/>
  <c r="W47" i="42"/>
  <c r="W60" i="42"/>
  <c r="W117" i="42"/>
  <c r="W157" i="42"/>
  <c r="W133" i="42"/>
  <c r="W85" i="42"/>
  <c r="W151" i="42"/>
  <c r="W61" i="42"/>
  <c r="W237" i="42"/>
  <c r="W23" i="42"/>
  <c r="W44" i="42"/>
  <c r="W135" i="42"/>
  <c r="W100" i="42"/>
  <c r="W143" i="42"/>
  <c r="S25" i="52"/>
  <c r="R25" i="52"/>
  <c r="S57" i="52"/>
  <c r="R57" i="52"/>
  <c r="S89" i="52"/>
  <c r="R89" i="52"/>
  <c r="S121" i="52"/>
  <c r="R121" i="52"/>
  <c r="S153" i="52"/>
  <c r="R153" i="52"/>
  <c r="S185" i="52"/>
  <c r="R185" i="52"/>
  <c r="S217" i="52"/>
  <c r="R217" i="52"/>
  <c r="S249" i="52"/>
  <c r="R249" i="52"/>
  <c r="S35" i="52"/>
  <c r="R35" i="52"/>
  <c r="S67" i="52"/>
  <c r="R67" i="52"/>
  <c r="S99" i="52"/>
  <c r="R99" i="52"/>
  <c r="S131" i="52"/>
  <c r="R131" i="52"/>
  <c r="S163" i="52"/>
  <c r="R163" i="52"/>
  <c r="S195" i="52"/>
  <c r="R195" i="52"/>
  <c r="S227" i="52"/>
  <c r="R227" i="52"/>
  <c r="W132" i="42"/>
  <c r="W148" i="42"/>
  <c r="W164" i="42"/>
  <c r="W180" i="42"/>
  <c r="W196" i="42"/>
  <c r="W212" i="42"/>
  <c r="W228" i="42"/>
  <c r="W244" i="42"/>
  <c r="R246" i="55"/>
  <c r="S246" i="55"/>
  <c r="S225" i="55"/>
  <c r="R225" i="55"/>
  <c r="S123" i="55"/>
  <c r="R123" i="55"/>
  <c r="S139" i="55"/>
  <c r="R139" i="55"/>
  <c r="S159" i="55"/>
  <c r="R159" i="55"/>
  <c r="S179" i="55"/>
  <c r="R179" i="55"/>
  <c r="S203" i="55"/>
  <c r="R203" i="55"/>
  <c r="S26" i="55"/>
  <c r="R26" i="55"/>
  <c r="R70" i="55"/>
  <c r="S70" i="55"/>
  <c r="S175" i="55"/>
  <c r="R175" i="55"/>
  <c r="S223" i="55"/>
  <c r="R223" i="55"/>
  <c r="N153" i="55"/>
  <c r="U153" i="55" s="1"/>
  <c r="R29" i="55"/>
  <c r="S61" i="55"/>
  <c r="S93" i="55"/>
  <c r="S125" i="55"/>
  <c r="S189" i="55"/>
  <c r="R24" i="55"/>
  <c r="S56" i="55"/>
  <c r="S88" i="55"/>
  <c r="S120" i="55"/>
  <c r="S11" i="55"/>
  <c r="S43" i="55"/>
  <c r="R75" i="55"/>
  <c r="R107" i="55"/>
  <c r="S248" i="55"/>
  <c r="R126" i="55"/>
  <c r="R158" i="55"/>
  <c r="R190" i="55"/>
  <c r="R222" i="55"/>
  <c r="S17" i="55"/>
  <c r="S49" i="55"/>
  <c r="R81" i="55"/>
  <c r="R113" i="55"/>
  <c r="R145" i="55"/>
  <c r="R177" i="55"/>
  <c r="R209" i="55"/>
  <c r="R12" i="55"/>
  <c r="S44" i="55"/>
  <c r="R76" i="55"/>
  <c r="R108" i="55"/>
  <c r="S241" i="55"/>
  <c r="S15" i="55"/>
  <c r="S47" i="55"/>
  <c r="R79" i="55"/>
  <c r="R111" i="55"/>
  <c r="S252" i="55"/>
  <c r="R138" i="55"/>
  <c r="R170" i="55"/>
  <c r="R202" i="55"/>
  <c r="S165" i="52"/>
  <c r="R165" i="52"/>
  <c r="S47" i="52"/>
  <c r="R47" i="52"/>
  <c r="W186" i="42"/>
  <c r="S29" i="52"/>
  <c r="R29" i="52"/>
  <c r="S61" i="52"/>
  <c r="R61" i="52"/>
  <c r="S93" i="52"/>
  <c r="R93" i="52"/>
  <c r="S125" i="52"/>
  <c r="R125" i="52"/>
  <c r="S157" i="52"/>
  <c r="R157" i="52"/>
  <c r="S189" i="52"/>
  <c r="R189" i="52"/>
  <c r="S221" i="52"/>
  <c r="R221" i="52"/>
  <c r="S253" i="52"/>
  <c r="R253" i="52"/>
  <c r="S39" i="52"/>
  <c r="R39" i="52"/>
  <c r="S71" i="52"/>
  <c r="R71" i="52"/>
  <c r="S103" i="52"/>
  <c r="R103" i="52"/>
  <c r="S135" i="52"/>
  <c r="R135" i="52"/>
  <c r="S167" i="52"/>
  <c r="R167" i="52"/>
  <c r="S199" i="52"/>
  <c r="R199" i="52"/>
  <c r="S231" i="52"/>
  <c r="R231" i="52"/>
  <c r="W22" i="42"/>
  <c r="W182" i="42"/>
  <c r="S255" i="55"/>
  <c r="R255" i="55"/>
  <c r="S247" i="55"/>
  <c r="R247" i="55"/>
  <c r="S38" i="55"/>
  <c r="R38" i="55"/>
  <c r="R58" i="55"/>
  <c r="S58" i="55"/>
  <c r="R102" i="55"/>
  <c r="S102" i="55"/>
  <c r="R132" i="55"/>
  <c r="S132" i="55"/>
  <c r="R148" i="55"/>
  <c r="S148" i="55"/>
  <c r="R164" i="55"/>
  <c r="S164" i="55"/>
  <c r="R180" i="55"/>
  <c r="S180" i="55"/>
  <c r="R196" i="55"/>
  <c r="S196" i="55"/>
  <c r="R98" i="55"/>
  <c r="S98" i="55"/>
  <c r="N161" i="55"/>
  <c r="U161" i="55" s="1"/>
  <c r="R233" i="55"/>
  <c r="S233" i="55"/>
  <c r="S37" i="55"/>
  <c r="R101" i="55"/>
  <c r="R165" i="55"/>
  <c r="S197" i="55"/>
  <c r="S234" i="55"/>
  <c r="S24" i="55"/>
  <c r="R11" i="55"/>
  <c r="S75" i="55"/>
  <c r="R248" i="55"/>
  <c r="S134" i="55"/>
  <c r="S166" i="55"/>
  <c r="S198" i="55"/>
  <c r="R17" i="55"/>
  <c r="S81" i="55"/>
  <c r="S113" i="55"/>
  <c r="S177" i="55"/>
  <c r="R20" i="55"/>
  <c r="R52" i="55"/>
  <c r="S84" i="55"/>
  <c r="S116" i="55"/>
  <c r="S249" i="55"/>
  <c r="S79" i="55"/>
  <c r="S146" i="55"/>
  <c r="S178" i="55"/>
  <c r="S210" i="55"/>
  <c r="S33" i="52"/>
  <c r="R33" i="52"/>
  <c r="S65" i="52"/>
  <c r="R65" i="52"/>
  <c r="S97" i="52"/>
  <c r="R97" i="52"/>
  <c r="S129" i="52"/>
  <c r="R129" i="52"/>
  <c r="S161" i="52"/>
  <c r="R161" i="52"/>
  <c r="S193" i="52"/>
  <c r="R193" i="52"/>
  <c r="S225" i="52"/>
  <c r="R225" i="52"/>
  <c r="S257" i="52"/>
  <c r="R257" i="52"/>
  <c r="S43" i="52"/>
  <c r="R43" i="52"/>
  <c r="S75" i="52"/>
  <c r="R75" i="52"/>
  <c r="S107" i="52"/>
  <c r="R107" i="52"/>
  <c r="S139" i="52"/>
  <c r="R139" i="52"/>
  <c r="S171" i="52"/>
  <c r="R171" i="52"/>
  <c r="S203" i="52"/>
  <c r="R203" i="52"/>
  <c r="S235" i="52"/>
  <c r="R235" i="52"/>
  <c r="W24" i="42"/>
  <c r="W152" i="42"/>
  <c r="W184" i="42"/>
  <c r="W200" i="42"/>
  <c r="W216" i="42"/>
  <c r="W232" i="42"/>
  <c r="W248" i="42"/>
  <c r="R226" i="55"/>
  <c r="S226" i="55"/>
  <c r="R230" i="55"/>
  <c r="S230" i="55"/>
  <c r="S127" i="55"/>
  <c r="R127" i="55"/>
  <c r="S143" i="55"/>
  <c r="R143" i="55"/>
  <c r="S163" i="55"/>
  <c r="R163" i="55"/>
  <c r="S183" i="55"/>
  <c r="R183" i="55"/>
  <c r="S207" i="55"/>
  <c r="R207" i="55"/>
  <c r="S30" i="55"/>
  <c r="R30" i="55"/>
  <c r="R74" i="55"/>
  <c r="S74" i="55"/>
  <c r="S191" i="55"/>
  <c r="R191" i="55"/>
  <c r="S165" i="55"/>
  <c r="R234" i="55"/>
  <c r="R32" i="55"/>
  <c r="S64" i="55"/>
  <c r="S216" i="55"/>
  <c r="S19" i="55"/>
  <c r="S51" i="55"/>
  <c r="R83" i="55"/>
  <c r="R115" i="55"/>
  <c r="S256" i="55"/>
  <c r="S25" i="55"/>
  <c r="R57" i="55"/>
  <c r="R89" i="55"/>
  <c r="R121" i="55"/>
  <c r="R153" i="55"/>
  <c r="S185" i="55"/>
  <c r="S217" i="55"/>
  <c r="S20" i="55"/>
  <c r="S52" i="55"/>
  <c r="R116" i="55"/>
  <c r="S23" i="55"/>
  <c r="R55" i="55"/>
  <c r="R87" i="55"/>
  <c r="S228" i="55"/>
  <c r="N217" i="55"/>
  <c r="U217" i="55" s="1"/>
  <c r="S13" i="55"/>
  <c r="S45" i="55"/>
  <c r="R77" i="55"/>
  <c r="R109" i="55"/>
  <c r="R141" i="55"/>
  <c r="R205" i="55"/>
  <c r="S250" i="55"/>
  <c r="R64" i="55"/>
  <c r="S115" i="55"/>
  <c r="S142" i="55"/>
  <c r="S174" i="55"/>
  <c r="S206" i="55"/>
  <c r="R235" i="55"/>
  <c r="R25" i="55"/>
  <c r="S57" i="55"/>
  <c r="S121" i="55"/>
  <c r="R28" i="55"/>
  <c r="S60" i="55"/>
  <c r="S92" i="55"/>
  <c r="S212" i="55"/>
  <c r="R257" i="55"/>
  <c r="R23" i="55"/>
  <c r="S122" i="55"/>
  <c r="S154" i="55"/>
  <c r="S186" i="55"/>
  <c r="S218" i="55"/>
  <c r="S69" i="52"/>
  <c r="R69" i="52"/>
  <c r="S197" i="52"/>
  <c r="R197" i="52"/>
  <c r="S79" i="52"/>
  <c r="R79" i="52"/>
  <c r="S143" i="52"/>
  <c r="R143" i="52"/>
  <c r="S207" i="52"/>
  <c r="R207" i="52"/>
  <c r="W138" i="42"/>
  <c r="W170" i="42"/>
  <c r="W202" i="42"/>
  <c r="S251" i="55"/>
  <c r="R251" i="55"/>
  <c r="S46" i="55"/>
  <c r="R46" i="55"/>
  <c r="R62" i="55"/>
  <c r="S62" i="55"/>
  <c r="R106" i="55"/>
  <c r="S106" i="55"/>
  <c r="R136" i="55"/>
  <c r="S136" i="55"/>
  <c r="R152" i="55"/>
  <c r="S152" i="55"/>
  <c r="R168" i="55"/>
  <c r="S168" i="55"/>
  <c r="R184" i="55"/>
  <c r="S184" i="55"/>
  <c r="R200" i="55"/>
  <c r="S200" i="55"/>
  <c r="S231" i="55"/>
  <c r="R231" i="55"/>
  <c r="S34" i="55"/>
  <c r="R34" i="55"/>
  <c r="R118" i="55"/>
  <c r="S118" i="55"/>
  <c r="S41" i="52"/>
  <c r="R41" i="52"/>
  <c r="S73" i="52"/>
  <c r="R73" i="52"/>
  <c r="S105" i="52"/>
  <c r="R105" i="52"/>
  <c r="S137" i="52"/>
  <c r="R137" i="52"/>
  <c r="S169" i="52"/>
  <c r="R169" i="52"/>
  <c r="S201" i="52"/>
  <c r="R201" i="52"/>
  <c r="S233" i="52"/>
  <c r="R233" i="52"/>
  <c r="R19" i="52"/>
  <c r="S19" i="52"/>
  <c r="S51" i="52"/>
  <c r="R51" i="52"/>
  <c r="S83" i="52"/>
  <c r="R83" i="52"/>
  <c r="S115" i="52"/>
  <c r="R115" i="52"/>
  <c r="S147" i="52"/>
  <c r="R147" i="52"/>
  <c r="S179" i="52"/>
  <c r="R179" i="52"/>
  <c r="S211" i="52"/>
  <c r="R211" i="52"/>
  <c r="S243" i="52"/>
  <c r="R243" i="52"/>
  <c r="W28" i="42"/>
  <c r="W140" i="42"/>
  <c r="W156" i="42"/>
  <c r="W172" i="42"/>
  <c r="W188" i="42"/>
  <c r="W204" i="42"/>
  <c r="W220" i="42"/>
  <c r="W252" i="42"/>
  <c r="R238" i="55"/>
  <c r="S238" i="55"/>
  <c r="S131" i="55"/>
  <c r="R131" i="55"/>
  <c r="S147" i="55"/>
  <c r="R147" i="55"/>
  <c r="S167" i="55"/>
  <c r="R167" i="55"/>
  <c r="S187" i="55"/>
  <c r="R187" i="55"/>
  <c r="S211" i="55"/>
  <c r="R211" i="55"/>
  <c r="S42" i="55"/>
  <c r="R42" i="55"/>
  <c r="R78" i="55"/>
  <c r="S78" i="55"/>
  <c r="S195" i="55"/>
  <c r="R195" i="55"/>
  <c r="S141" i="55"/>
  <c r="S205" i="55"/>
  <c r="R40" i="55"/>
  <c r="S72" i="55"/>
  <c r="S104" i="55"/>
  <c r="S224" i="55"/>
  <c r="R253" i="55"/>
  <c r="S27" i="55"/>
  <c r="R59" i="55"/>
  <c r="R91" i="55"/>
  <c r="S232" i="55"/>
  <c r="S235" i="55"/>
  <c r="S33" i="55"/>
  <c r="R65" i="55"/>
  <c r="R97" i="55"/>
  <c r="R129" i="55"/>
  <c r="R161" i="55"/>
  <c r="R193" i="55"/>
  <c r="S254" i="55"/>
  <c r="S31" i="55"/>
  <c r="R63" i="55"/>
  <c r="R95" i="55"/>
  <c r="S236" i="55"/>
  <c r="S37" i="52"/>
  <c r="R37" i="52"/>
  <c r="S133" i="52"/>
  <c r="R133" i="52"/>
  <c r="S229" i="52"/>
  <c r="R229" i="52"/>
  <c r="S111" i="52"/>
  <c r="R111" i="52"/>
  <c r="S175" i="52"/>
  <c r="R175" i="52"/>
  <c r="S239" i="52"/>
  <c r="R239" i="52"/>
  <c r="R13" i="52"/>
  <c r="H149" i="22" s="1"/>
  <c r="S13" i="52"/>
  <c r="S45" i="52"/>
  <c r="R45" i="52"/>
  <c r="S77" i="52"/>
  <c r="R77" i="52"/>
  <c r="S109" i="52"/>
  <c r="R109" i="52"/>
  <c r="S141" i="52"/>
  <c r="R141" i="52"/>
  <c r="S173" i="52"/>
  <c r="R173" i="52"/>
  <c r="S205" i="52"/>
  <c r="R205" i="52"/>
  <c r="S237" i="52"/>
  <c r="R237" i="52"/>
  <c r="S23" i="52"/>
  <c r="R23" i="52"/>
  <c r="S55" i="52"/>
  <c r="R55" i="52"/>
  <c r="S87" i="52"/>
  <c r="R87" i="52"/>
  <c r="S119" i="52"/>
  <c r="R119" i="52"/>
  <c r="S151" i="52"/>
  <c r="R151" i="52"/>
  <c r="S183" i="52"/>
  <c r="R183" i="52"/>
  <c r="S215" i="52"/>
  <c r="R215" i="52"/>
  <c r="S247" i="52"/>
  <c r="R247" i="52"/>
  <c r="W30" i="42"/>
  <c r="W174" i="42"/>
  <c r="W190" i="42"/>
  <c r="W222" i="42"/>
  <c r="W254" i="42"/>
  <c r="S18" i="55"/>
  <c r="R18" i="55"/>
  <c r="S50" i="55"/>
  <c r="R50" i="55"/>
  <c r="R86" i="55"/>
  <c r="S86" i="55"/>
  <c r="R110" i="55"/>
  <c r="S110" i="55"/>
  <c r="R124" i="55"/>
  <c r="S124" i="55"/>
  <c r="R140" i="55"/>
  <c r="S140" i="55"/>
  <c r="R156" i="55"/>
  <c r="S156" i="55"/>
  <c r="R172" i="55"/>
  <c r="S172" i="55"/>
  <c r="R188" i="55"/>
  <c r="S188" i="55"/>
  <c r="R204" i="55"/>
  <c r="S204" i="55"/>
  <c r="R82" i="55"/>
  <c r="S82" i="55"/>
  <c r="S243" i="55"/>
  <c r="R243" i="55"/>
  <c r="S21" i="55"/>
  <c r="S53" i="55"/>
  <c r="R85" i="55"/>
  <c r="R117" i="55"/>
  <c r="S181" i="55"/>
  <c r="S14" i="55"/>
  <c r="S150" i="55"/>
  <c r="S182" i="55"/>
  <c r="S214" i="55"/>
  <c r="R33" i="55"/>
  <c r="R254" i="55"/>
  <c r="S11" i="52"/>
  <c r="U11" i="52" s="1"/>
  <c r="R36" i="55"/>
  <c r="S68" i="55"/>
  <c r="S100" i="55"/>
  <c r="S220" i="55"/>
  <c r="R31" i="55"/>
  <c r="S63" i="55"/>
  <c r="S130" i="55"/>
  <c r="S162" i="55"/>
  <c r="S194" i="55"/>
  <c r="R239" i="55"/>
  <c r="S101" i="52"/>
  <c r="R101" i="52"/>
  <c r="S15" i="52"/>
  <c r="R15" i="52"/>
  <c r="H151" i="22" s="1"/>
  <c r="W154" i="42"/>
  <c r="R17" i="52"/>
  <c r="S17" i="52"/>
  <c r="S49" i="52"/>
  <c r="R49" i="52"/>
  <c r="S81" i="52"/>
  <c r="R81" i="52"/>
  <c r="S113" i="52"/>
  <c r="R113" i="52"/>
  <c r="S145" i="52"/>
  <c r="R145" i="52"/>
  <c r="S177" i="52"/>
  <c r="R177" i="52"/>
  <c r="S209" i="52"/>
  <c r="R209" i="52"/>
  <c r="S241" i="52"/>
  <c r="R241" i="52"/>
  <c r="S27" i="52"/>
  <c r="R27" i="52"/>
  <c r="S59" i="52"/>
  <c r="R59" i="52"/>
  <c r="S91" i="52"/>
  <c r="R91" i="52"/>
  <c r="S123" i="52"/>
  <c r="R123" i="52"/>
  <c r="S155" i="52"/>
  <c r="R155" i="52"/>
  <c r="S187" i="52"/>
  <c r="R187" i="52"/>
  <c r="S219" i="52"/>
  <c r="R219" i="52"/>
  <c r="S251" i="52"/>
  <c r="R251" i="52"/>
  <c r="W128" i="42"/>
  <c r="W176" i="42"/>
  <c r="W192" i="42"/>
  <c r="W208" i="42"/>
  <c r="W224" i="42"/>
  <c r="W256" i="42"/>
  <c r="R242" i="55"/>
  <c r="S242" i="55"/>
  <c r="S119" i="55"/>
  <c r="R119" i="55"/>
  <c r="S135" i="55"/>
  <c r="R135" i="55"/>
  <c r="S151" i="55"/>
  <c r="R151" i="55"/>
  <c r="S171" i="55"/>
  <c r="R171" i="55"/>
  <c r="S199" i="55"/>
  <c r="R199" i="55"/>
  <c r="S215" i="55"/>
  <c r="R215" i="55"/>
  <c r="R66" i="55"/>
  <c r="S66" i="55"/>
  <c r="S155" i="55"/>
  <c r="R155" i="55"/>
  <c r="S219" i="55"/>
  <c r="R219" i="55"/>
  <c r="S16" i="55"/>
  <c r="R48" i="55"/>
  <c r="S80" i="55"/>
  <c r="S112" i="55"/>
  <c r="S229" i="55"/>
  <c r="S35" i="55"/>
  <c r="R67" i="55"/>
  <c r="R99" i="55"/>
  <c r="S240" i="55"/>
  <c r="R182" i="55"/>
  <c r="S41" i="55"/>
  <c r="R73" i="55"/>
  <c r="R105" i="55"/>
  <c r="R137" i="55"/>
  <c r="R169" i="55"/>
  <c r="S201" i="55"/>
  <c r="S39" i="55"/>
  <c r="R71" i="55"/>
  <c r="R103" i="55"/>
  <c r="S244" i="55"/>
  <c r="S239" i="55"/>
  <c r="R21" i="52"/>
  <c r="S21" i="52"/>
  <c r="S53" i="52"/>
  <c r="R53" i="52"/>
  <c r="S85" i="52"/>
  <c r="R85" i="52"/>
  <c r="S117" i="52"/>
  <c r="R117" i="52"/>
  <c r="S149" i="52"/>
  <c r="R149" i="52"/>
  <c r="S181" i="52"/>
  <c r="R181" i="52"/>
  <c r="S213" i="52"/>
  <c r="R213" i="52"/>
  <c r="S245" i="52"/>
  <c r="R245" i="52"/>
  <c r="S31" i="52"/>
  <c r="R31" i="52"/>
  <c r="S63" i="52"/>
  <c r="R63" i="52"/>
  <c r="S95" i="52"/>
  <c r="R95" i="52"/>
  <c r="S127" i="52"/>
  <c r="R127" i="52"/>
  <c r="S159" i="52"/>
  <c r="R159" i="52"/>
  <c r="S191" i="52"/>
  <c r="R191" i="52"/>
  <c r="S223" i="52"/>
  <c r="R223" i="52"/>
  <c r="S255" i="52"/>
  <c r="R255" i="52"/>
  <c r="W130" i="42"/>
  <c r="W162" i="42"/>
  <c r="W178" i="42"/>
  <c r="W194" i="42"/>
  <c r="W210" i="42"/>
  <c r="S22" i="55"/>
  <c r="R22" i="55"/>
  <c r="S54" i="55"/>
  <c r="R54" i="55"/>
  <c r="R90" i="55"/>
  <c r="S90" i="55"/>
  <c r="R114" i="55"/>
  <c r="S114" i="55"/>
  <c r="R128" i="55"/>
  <c r="S128" i="55"/>
  <c r="R144" i="55"/>
  <c r="S144" i="55"/>
  <c r="R160" i="55"/>
  <c r="S160" i="55"/>
  <c r="R176" i="55"/>
  <c r="S176" i="55"/>
  <c r="R192" i="55"/>
  <c r="S192" i="55"/>
  <c r="R208" i="55"/>
  <c r="S208" i="55"/>
  <c r="R94" i="55"/>
  <c r="S94" i="55"/>
  <c r="R112" i="55"/>
  <c r="S99" i="55"/>
  <c r="S169" i="55"/>
  <c r="R201" i="55"/>
  <c r="S76" i="55"/>
  <c r="S108" i="55"/>
  <c r="R39" i="55"/>
  <c r="S170" i="55"/>
  <c r="N97" i="55"/>
  <c r="U97" i="55" s="1"/>
  <c r="N73" i="55"/>
  <c r="U73" i="55" s="1"/>
  <c r="N166" i="55"/>
  <c r="U166" i="55" s="1"/>
  <c r="N36" i="55"/>
  <c r="U36" i="55" s="1"/>
  <c r="N146" i="55"/>
  <c r="U146" i="55" s="1"/>
  <c r="N117" i="55"/>
  <c r="U117" i="55" s="1"/>
  <c r="N240" i="55"/>
  <c r="U240" i="55" s="1"/>
  <c r="N80" i="55"/>
  <c r="U80" i="55" s="1"/>
  <c r="N67" i="55"/>
  <c r="U67" i="55" s="1"/>
  <c r="N137" i="55"/>
  <c r="U137" i="55" s="1"/>
  <c r="N174" i="55"/>
  <c r="U174" i="55" s="1"/>
  <c r="N145" i="55"/>
  <c r="U145" i="55" s="1"/>
  <c r="N68" i="55"/>
  <c r="U68" i="55" s="1"/>
  <c r="N210" i="55"/>
  <c r="U210" i="55" s="1"/>
  <c r="N133" i="55"/>
  <c r="U133" i="55" s="1"/>
  <c r="N96" i="55"/>
  <c r="U96" i="55" s="1"/>
  <c r="N47" i="55"/>
  <c r="U47" i="55" s="1"/>
  <c r="N107" i="55"/>
  <c r="U107" i="55" s="1"/>
  <c r="N49" i="55"/>
  <c r="U49" i="55" s="1"/>
  <c r="N71" i="55"/>
  <c r="U71" i="55" s="1"/>
  <c r="N40" i="55"/>
  <c r="U40" i="55" s="1"/>
  <c r="N198" i="55"/>
  <c r="U198" i="55" s="1"/>
  <c r="N89" i="55"/>
  <c r="U89" i="55" s="1"/>
  <c r="N157" i="55"/>
  <c r="U157" i="55" s="1"/>
  <c r="N92" i="55"/>
  <c r="U92" i="55" s="1"/>
  <c r="N221" i="55"/>
  <c r="U221" i="55" s="1"/>
  <c r="N56" i="55"/>
  <c r="U56" i="55" s="1"/>
  <c r="N51" i="55"/>
  <c r="U51" i="55" s="1"/>
  <c r="N249" i="55"/>
  <c r="U249" i="55" s="1"/>
  <c r="N224" i="55"/>
  <c r="U224" i="55" s="1"/>
  <c r="N134" i="55"/>
  <c r="U134" i="55" s="1"/>
  <c r="N129" i="55"/>
  <c r="U129" i="55" s="1"/>
  <c r="N53" i="55"/>
  <c r="U53" i="55" s="1"/>
  <c r="N251" i="55"/>
  <c r="U251" i="55" s="1"/>
  <c r="N46" i="55"/>
  <c r="U46" i="55" s="1"/>
  <c r="N62" i="55"/>
  <c r="U62" i="55" s="1"/>
  <c r="N106" i="55"/>
  <c r="U106" i="55" s="1"/>
  <c r="N136" i="55"/>
  <c r="U136" i="55" s="1"/>
  <c r="N152" i="55"/>
  <c r="U152" i="55" s="1"/>
  <c r="N168" i="55"/>
  <c r="U168" i="55" s="1"/>
  <c r="N184" i="55"/>
  <c r="U184" i="55" s="1"/>
  <c r="N200" i="55"/>
  <c r="U200" i="55" s="1"/>
  <c r="N231" i="55"/>
  <c r="U231" i="55" s="1"/>
  <c r="N34" i="55"/>
  <c r="U34" i="55" s="1"/>
  <c r="N118" i="55"/>
  <c r="U118" i="55" s="1"/>
  <c r="N35" i="55"/>
  <c r="U35" i="55" s="1"/>
  <c r="N14" i="55"/>
  <c r="U14" i="55" s="1"/>
  <c r="N142" i="55"/>
  <c r="U142" i="55" s="1"/>
  <c r="N206" i="55"/>
  <c r="U206" i="55" s="1"/>
  <c r="N12" i="55"/>
  <c r="U12" i="55" s="1"/>
  <c r="N100" i="55"/>
  <c r="U100" i="55" s="1"/>
  <c r="N55" i="55"/>
  <c r="U55" i="55" s="1"/>
  <c r="N130" i="55"/>
  <c r="U130" i="55" s="1"/>
  <c r="N154" i="55"/>
  <c r="U154" i="55" s="1"/>
  <c r="N194" i="55"/>
  <c r="U194" i="55" s="1"/>
  <c r="N218" i="55"/>
  <c r="U218" i="55" s="1"/>
  <c r="N61" i="55"/>
  <c r="U61" i="55" s="1"/>
  <c r="N238" i="55"/>
  <c r="U238" i="55" s="1"/>
  <c r="N131" i="55"/>
  <c r="U131" i="55" s="1"/>
  <c r="N147" i="55"/>
  <c r="U147" i="55" s="1"/>
  <c r="N167" i="55"/>
  <c r="U167" i="55" s="1"/>
  <c r="N187" i="55"/>
  <c r="U187" i="55" s="1"/>
  <c r="N211" i="55"/>
  <c r="U211" i="55" s="1"/>
  <c r="N42" i="55"/>
  <c r="U42" i="55" s="1"/>
  <c r="N78" i="55"/>
  <c r="U78" i="55" s="1"/>
  <c r="N195" i="55"/>
  <c r="U195" i="55" s="1"/>
  <c r="N59" i="55"/>
  <c r="U59" i="55" s="1"/>
  <c r="N232" i="55"/>
  <c r="U232" i="55" s="1"/>
  <c r="N41" i="55"/>
  <c r="U41" i="55" s="1"/>
  <c r="N212" i="55"/>
  <c r="U212" i="55" s="1"/>
  <c r="N15" i="55"/>
  <c r="U15" i="55" s="1"/>
  <c r="N103" i="55"/>
  <c r="U103" i="55" s="1"/>
  <c r="N233" i="55"/>
  <c r="U233" i="55" s="1"/>
  <c r="N252" i="55"/>
  <c r="U252" i="55" s="1"/>
  <c r="N21" i="55"/>
  <c r="N125" i="55"/>
  <c r="U125" i="55" s="1"/>
  <c r="N149" i="55"/>
  <c r="U149" i="55" s="1"/>
  <c r="N189" i="55"/>
  <c r="U189" i="55" s="1"/>
  <c r="N213" i="55"/>
  <c r="U213" i="55" s="1"/>
  <c r="N48" i="55"/>
  <c r="U48" i="55" s="1"/>
  <c r="N88" i="55"/>
  <c r="U88" i="55" s="1"/>
  <c r="N18" i="55"/>
  <c r="U18" i="55" s="1"/>
  <c r="N50" i="55"/>
  <c r="U50" i="55" s="1"/>
  <c r="N86" i="55"/>
  <c r="U86" i="55" s="1"/>
  <c r="N110" i="55"/>
  <c r="U110" i="55" s="1"/>
  <c r="N124" i="55"/>
  <c r="U124" i="55" s="1"/>
  <c r="N140" i="55"/>
  <c r="U140" i="55" s="1"/>
  <c r="N156" i="55"/>
  <c r="U156" i="55" s="1"/>
  <c r="N172" i="55"/>
  <c r="U172" i="55" s="1"/>
  <c r="N188" i="55"/>
  <c r="U188" i="55" s="1"/>
  <c r="N204" i="55"/>
  <c r="U204" i="55" s="1"/>
  <c r="N82" i="55"/>
  <c r="U82" i="55" s="1"/>
  <c r="N243" i="55"/>
  <c r="U243" i="55" s="1"/>
  <c r="N19" i="55"/>
  <c r="U19" i="55" s="1"/>
  <c r="N83" i="55"/>
  <c r="U83" i="55" s="1"/>
  <c r="N253" i="55"/>
  <c r="U253" i="55" s="1"/>
  <c r="N126" i="55"/>
  <c r="U126" i="55" s="1"/>
  <c r="N190" i="55"/>
  <c r="U190" i="55" s="1"/>
  <c r="N256" i="55"/>
  <c r="U256" i="55" s="1"/>
  <c r="N60" i="55"/>
  <c r="U60" i="55" s="1"/>
  <c r="N84" i="55"/>
  <c r="U84" i="55" s="1"/>
  <c r="N241" i="55"/>
  <c r="U241" i="55" s="1"/>
  <c r="N138" i="55"/>
  <c r="U138" i="55" s="1"/>
  <c r="N178" i="55"/>
  <c r="U178" i="55" s="1"/>
  <c r="N202" i="55"/>
  <c r="U202" i="55" s="1"/>
  <c r="N45" i="55"/>
  <c r="U45" i="55" s="1"/>
  <c r="N85" i="55"/>
  <c r="U85" i="55" s="1"/>
  <c r="N109" i="55"/>
  <c r="U109" i="55" s="1"/>
  <c r="N173" i="55"/>
  <c r="U173" i="55" s="1"/>
  <c r="N250" i="55"/>
  <c r="U250" i="55" s="1"/>
  <c r="K12" i="53"/>
  <c r="P12" i="53"/>
  <c r="N242" i="55"/>
  <c r="U242" i="55" s="1"/>
  <c r="N119" i="55"/>
  <c r="U119" i="55" s="1"/>
  <c r="N135" i="55"/>
  <c r="U135" i="55" s="1"/>
  <c r="N151" i="55"/>
  <c r="U151" i="55" s="1"/>
  <c r="N171" i="55"/>
  <c r="U171" i="55" s="1"/>
  <c r="N199" i="55"/>
  <c r="U199" i="55" s="1"/>
  <c r="N215" i="55"/>
  <c r="U215" i="55" s="1"/>
  <c r="N66" i="55"/>
  <c r="U66" i="55" s="1"/>
  <c r="N155" i="55"/>
  <c r="U155" i="55" s="1"/>
  <c r="N219" i="55"/>
  <c r="U219" i="55" s="1"/>
  <c r="J12" i="57"/>
  <c r="N43" i="55"/>
  <c r="U43" i="55" s="1"/>
  <c r="N150" i="55"/>
  <c r="U150" i="55" s="1"/>
  <c r="N214" i="55"/>
  <c r="U214" i="55" s="1"/>
  <c r="N87" i="55"/>
  <c r="U87" i="55" s="1"/>
  <c r="N111" i="55"/>
  <c r="U111" i="55" s="1"/>
  <c r="N162" i="55"/>
  <c r="U162" i="55" s="1"/>
  <c r="N236" i="55"/>
  <c r="U236" i="55" s="1"/>
  <c r="N32" i="55"/>
  <c r="U32" i="55" s="1"/>
  <c r="N22" i="55"/>
  <c r="U22" i="55" s="1"/>
  <c r="N54" i="55"/>
  <c r="U54" i="55" s="1"/>
  <c r="N90" i="55"/>
  <c r="U90" i="55" s="1"/>
  <c r="N114" i="55"/>
  <c r="U114" i="55" s="1"/>
  <c r="N128" i="55"/>
  <c r="U128" i="55" s="1"/>
  <c r="N144" i="55"/>
  <c r="U144" i="55" s="1"/>
  <c r="N160" i="55"/>
  <c r="U160" i="55" s="1"/>
  <c r="N176" i="55"/>
  <c r="U176" i="55" s="1"/>
  <c r="N192" i="55"/>
  <c r="U192" i="55" s="1"/>
  <c r="N208" i="55"/>
  <c r="U208" i="55" s="1"/>
  <c r="N94" i="55"/>
  <c r="U94" i="55" s="1"/>
  <c r="K12" i="57"/>
  <c r="N220" i="55"/>
  <c r="U220" i="55" s="1"/>
  <c r="N29" i="55"/>
  <c r="U29" i="55" s="1"/>
  <c r="N69" i="55"/>
  <c r="U69" i="55" s="1"/>
  <c r="N93" i="55"/>
  <c r="U93" i="55" s="1"/>
  <c r="N229" i="55"/>
  <c r="U229" i="55" s="1"/>
  <c r="N246" i="55"/>
  <c r="U246" i="55" s="1"/>
  <c r="N225" i="55"/>
  <c r="U225" i="55" s="1"/>
  <c r="N123" i="55"/>
  <c r="U123" i="55" s="1"/>
  <c r="N139" i="55"/>
  <c r="U139" i="55" s="1"/>
  <c r="N159" i="55"/>
  <c r="U159" i="55" s="1"/>
  <c r="N179" i="55"/>
  <c r="U179" i="55" s="1"/>
  <c r="N203" i="55"/>
  <c r="U203" i="55" s="1"/>
  <c r="N26" i="55"/>
  <c r="U26" i="55" s="1"/>
  <c r="N70" i="55"/>
  <c r="U70" i="55" s="1"/>
  <c r="N175" i="55"/>
  <c r="U175" i="55" s="1"/>
  <c r="N223" i="55"/>
  <c r="U223" i="55" s="1"/>
  <c r="N27" i="55"/>
  <c r="U27" i="55" s="1"/>
  <c r="N91" i="55"/>
  <c r="U91" i="55" s="1"/>
  <c r="N95" i="55"/>
  <c r="U95" i="55" s="1"/>
  <c r="N122" i="55"/>
  <c r="U122" i="55" s="1"/>
  <c r="N186" i="55"/>
  <c r="U186" i="55" s="1"/>
  <c r="N181" i="55"/>
  <c r="U181" i="55" s="1"/>
  <c r="N16" i="55"/>
  <c r="U16" i="55" s="1"/>
  <c r="N255" i="55"/>
  <c r="U255" i="55" s="1"/>
  <c r="N247" i="55"/>
  <c r="U247" i="55" s="1"/>
  <c r="N38" i="55"/>
  <c r="U38" i="55" s="1"/>
  <c r="N58" i="55"/>
  <c r="U58" i="55" s="1"/>
  <c r="N102" i="55"/>
  <c r="U102" i="55" s="1"/>
  <c r="N132" i="55"/>
  <c r="U132" i="55" s="1"/>
  <c r="N148" i="55"/>
  <c r="U148" i="55" s="1"/>
  <c r="N164" i="55"/>
  <c r="U164" i="55" s="1"/>
  <c r="N180" i="55"/>
  <c r="U180" i="55" s="1"/>
  <c r="N196" i="55"/>
  <c r="U196" i="55" s="1"/>
  <c r="N98" i="55"/>
  <c r="U98" i="55" s="1"/>
  <c r="N158" i="55"/>
  <c r="U158" i="55" s="1"/>
  <c r="N222" i="55"/>
  <c r="U222" i="55" s="1"/>
  <c r="N185" i="55"/>
  <c r="U185" i="55" s="1"/>
  <c r="N209" i="55"/>
  <c r="U209" i="55" s="1"/>
  <c r="N28" i="55"/>
  <c r="U28" i="55" s="1"/>
  <c r="N228" i="55"/>
  <c r="U228" i="55" s="1"/>
  <c r="N244" i="55"/>
  <c r="U244" i="55" s="1"/>
  <c r="N13" i="55"/>
  <c r="U13" i="55" s="1"/>
  <c r="N77" i="55"/>
  <c r="U77" i="55" s="1"/>
  <c r="N104" i="55"/>
  <c r="U104" i="55" s="1"/>
  <c r="N216" i="55"/>
  <c r="U216" i="55" s="1"/>
  <c r="N226" i="55"/>
  <c r="U226" i="55" s="1"/>
  <c r="N230" i="55"/>
  <c r="U230" i="55" s="1"/>
  <c r="N127" i="55"/>
  <c r="U127" i="55" s="1"/>
  <c r="N143" i="55"/>
  <c r="U143" i="55" s="1"/>
  <c r="N163" i="55"/>
  <c r="U163" i="55" s="1"/>
  <c r="N183" i="55"/>
  <c r="U183" i="55" s="1"/>
  <c r="N207" i="55"/>
  <c r="U207" i="55" s="1"/>
  <c r="N30" i="55"/>
  <c r="U30" i="55" s="1"/>
  <c r="N74" i="55"/>
  <c r="U74" i="55" s="1"/>
  <c r="N191" i="55"/>
  <c r="U191" i="55" s="1"/>
  <c r="I12" i="57"/>
  <c r="N257" i="55"/>
  <c r="U257" i="55" s="1"/>
  <c r="R10" i="55"/>
  <c r="V146" i="22" s="1"/>
  <c r="S10" i="55"/>
  <c r="J12" i="53"/>
  <c r="I12" i="53"/>
  <c r="AK11" i="55" a="1"/>
  <c r="AK11" i="55" s="1"/>
  <c r="B13" i="57" s="1"/>
  <c r="H12" i="57"/>
  <c r="G12" i="57"/>
  <c r="F12" i="57"/>
  <c r="E12" i="57"/>
  <c r="D12" i="57"/>
  <c r="D12" i="53"/>
  <c r="AK11" i="52" a="1"/>
  <c r="AK11" i="52" s="1"/>
  <c r="B13" i="53" s="1"/>
  <c r="H12" i="53"/>
  <c r="E12" i="53"/>
  <c r="F12" i="53"/>
  <c r="C12" i="53"/>
  <c r="M12" i="53" s="1"/>
  <c r="G12" i="53"/>
  <c r="AJ12" i="55" a="1"/>
  <c r="AJ12" i="55" s="1"/>
  <c r="AJ13" i="55" s="1" a="1"/>
  <c r="AJ13" i="55" s="1"/>
  <c r="AJ12" i="52" a="1"/>
  <c r="AJ12" i="52" s="1"/>
  <c r="H154" i="22" l="1"/>
  <c r="H155" i="22"/>
  <c r="H146" i="22"/>
  <c r="H153" i="22"/>
  <c r="X146" i="22"/>
  <c r="X147" i="22"/>
  <c r="U21" i="55"/>
  <c r="T156" i="22"/>
  <c r="D129" i="36" s="1"/>
  <c r="D149" i="36" s="1"/>
  <c r="T158" i="22"/>
  <c r="D131" i="36" s="1"/>
  <c r="D151" i="36" s="1"/>
  <c r="N12" i="57"/>
  <c r="U10" i="55"/>
  <c r="N12" i="53"/>
  <c r="U10" i="52"/>
  <c r="H147" i="22"/>
  <c r="L13" i="57"/>
  <c r="AH12" i="53"/>
  <c r="Q12" i="57"/>
  <c r="T12" i="57" s="1"/>
  <c r="R12" i="42"/>
  <c r="W12" i="42" s="1"/>
  <c r="R12" i="53"/>
  <c r="Q12" i="53"/>
  <c r="R12" i="57"/>
  <c r="W12" i="58"/>
  <c r="X158" i="22"/>
  <c r="X153" i="22"/>
  <c r="V147" i="22"/>
  <c r="V158" i="22"/>
  <c r="H158" i="22"/>
  <c r="D139" i="36"/>
  <c r="D140" i="36"/>
  <c r="H152" i="22"/>
  <c r="H156" i="22"/>
  <c r="J146" i="22"/>
  <c r="AP12" i="57"/>
  <c r="W13" i="42"/>
  <c r="L152" i="22" s="1"/>
  <c r="L13" i="53"/>
  <c r="K13" i="53"/>
  <c r="I13" i="53"/>
  <c r="H13" i="53"/>
  <c r="G13" i="53"/>
  <c r="C13" i="53"/>
  <c r="P13" i="53"/>
  <c r="E13" i="53"/>
  <c r="D13" i="53"/>
  <c r="F13" i="53"/>
  <c r="J13" i="53"/>
  <c r="I13" i="57"/>
  <c r="G13" i="57"/>
  <c r="K13" i="57"/>
  <c r="D13" i="57"/>
  <c r="P13" i="57"/>
  <c r="F13" i="57"/>
  <c r="J13" i="57"/>
  <c r="C13" i="57"/>
  <c r="M13" i="57" s="1"/>
  <c r="H13" i="57"/>
  <c r="E13" i="57"/>
  <c r="Y260" i="58"/>
  <c r="AK12" i="55" a="1"/>
  <c r="AK12" i="55" s="1"/>
  <c r="B14" i="57" s="1"/>
  <c r="N258" i="52"/>
  <c r="H9" i="73" s="1"/>
  <c r="AK12" i="52" a="1"/>
  <c r="AK12" i="52" s="1"/>
  <c r="B14" i="53" s="1"/>
  <c r="AJ14" i="55" a="1"/>
  <c r="AJ14" i="55" s="1"/>
  <c r="AJ15" i="55" s="1" a="1"/>
  <c r="AJ15" i="55" s="1"/>
  <c r="AJ16" i="55" s="1" a="1"/>
  <c r="AJ16" i="55" s="1"/>
  <c r="R258" i="55"/>
  <c r="S258" i="55"/>
  <c r="N258" i="55"/>
  <c r="H21" i="73" s="1"/>
  <c r="S258" i="52"/>
  <c r="R258" i="52"/>
  <c r="AJ13" i="52" a="1"/>
  <c r="AJ13" i="52" s="1"/>
  <c r="L151" i="22" l="1"/>
  <c r="L148" i="22"/>
  <c r="L155" i="22"/>
  <c r="O12" i="57"/>
  <c r="X12" i="57" s="1"/>
  <c r="AA12" i="57" s="1"/>
  <c r="O12" i="53"/>
  <c r="X12" i="53" s="1"/>
  <c r="AA12" i="53" s="1"/>
  <c r="AE12" i="53" s="1"/>
  <c r="L14" i="57"/>
  <c r="AC13" i="57"/>
  <c r="L156" i="22"/>
  <c r="L147" i="22"/>
  <c r="R13" i="57"/>
  <c r="L146" i="22"/>
  <c r="L158" i="22"/>
  <c r="F22" i="36"/>
  <c r="F28" i="36"/>
  <c r="F25" i="36"/>
  <c r="M13" i="53"/>
  <c r="AD12" i="53"/>
  <c r="U258" i="55"/>
  <c r="AT12" i="53"/>
  <c r="W260" i="42"/>
  <c r="U258" i="52"/>
  <c r="AD12" i="57"/>
  <c r="E14" i="53"/>
  <c r="H14" i="53"/>
  <c r="D14" i="53"/>
  <c r="G14" i="53"/>
  <c r="P14" i="53"/>
  <c r="F14" i="53"/>
  <c r="I14" i="53"/>
  <c r="K14" i="53"/>
  <c r="C14" i="53"/>
  <c r="M14" i="53" s="1"/>
  <c r="J14" i="53"/>
  <c r="L14" i="53"/>
  <c r="K14" i="57"/>
  <c r="I14" i="57"/>
  <c r="H14" i="57"/>
  <c r="G14" i="57"/>
  <c r="E14" i="57"/>
  <c r="P14" i="57"/>
  <c r="D14" i="57"/>
  <c r="C14" i="57"/>
  <c r="M14" i="57" s="1"/>
  <c r="F14" i="57"/>
  <c r="J14" i="57"/>
  <c r="AK13" i="55" a="1"/>
  <c r="AK13" i="55" s="1"/>
  <c r="B15" i="57" s="1"/>
  <c r="AK13" i="52" a="1"/>
  <c r="AK13" i="52" s="1"/>
  <c r="AJ17" i="55" a="1"/>
  <c r="AJ17" i="55" s="1"/>
  <c r="AJ14" i="52" a="1"/>
  <c r="AJ14" i="52" s="1"/>
  <c r="AJ15" i="52" s="1" a="1"/>
  <c r="AJ15" i="52" s="1"/>
  <c r="AB12" i="53" l="1"/>
  <c r="AC12" i="53" s="1"/>
  <c r="AF12" i="53"/>
  <c r="L15" i="57"/>
  <c r="AC14" i="53"/>
  <c r="AC14" i="57"/>
  <c r="AB12" i="57"/>
  <c r="AC12" i="57" s="1"/>
  <c r="AE12" i="57"/>
  <c r="AF12" i="57" s="1"/>
  <c r="R14" i="57"/>
  <c r="R13" i="53"/>
  <c r="R14" i="53"/>
  <c r="F31" i="36"/>
  <c r="AD13" i="57"/>
  <c r="AP14" i="57"/>
  <c r="Q13" i="57"/>
  <c r="T13" i="57" s="1"/>
  <c r="AP13" i="57"/>
  <c r="N13" i="57"/>
  <c r="N14" i="57"/>
  <c r="AT13" i="53"/>
  <c r="N14" i="53"/>
  <c r="O14" i="53" s="1"/>
  <c r="AT14" i="53"/>
  <c r="AD13" i="53"/>
  <c r="Q13" i="53"/>
  <c r="N13" i="53"/>
  <c r="AD14" i="57"/>
  <c r="AD14" i="53"/>
  <c r="Q14" i="57"/>
  <c r="T14" i="57" s="1"/>
  <c r="Q14" i="53"/>
  <c r="AK14" i="52" a="1"/>
  <c r="AK14" i="52" s="1"/>
  <c r="B16" i="53" s="1"/>
  <c r="B15" i="53"/>
  <c r="K15" i="57"/>
  <c r="I15" i="57"/>
  <c r="F15" i="57"/>
  <c r="C15" i="57"/>
  <c r="M15" i="57" s="1"/>
  <c r="P15" i="57"/>
  <c r="H15" i="57"/>
  <c r="D15" i="57"/>
  <c r="G15" i="57"/>
  <c r="E15" i="57"/>
  <c r="J15" i="57"/>
  <c r="AK14" i="55" a="1"/>
  <c r="AK14" i="55" s="1"/>
  <c r="B16" i="57" s="1"/>
  <c r="AJ18" i="55" a="1"/>
  <c r="AJ18" i="55" s="1"/>
  <c r="AJ16" i="52" a="1"/>
  <c r="AJ16" i="52" s="1"/>
  <c r="O13" i="53" l="1"/>
  <c r="X13" i="53" s="1"/>
  <c r="AA13" i="53" s="1"/>
  <c r="AE13" i="53" s="1"/>
  <c r="O13" i="57"/>
  <c r="X13" i="57" s="1"/>
  <c r="AA13" i="57" s="1"/>
  <c r="O14" i="57"/>
  <c r="X14" i="57" s="1"/>
  <c r="L16" i="57"/>
  <c r="X14" i="53"/>
  <c r="AC15" i="57"/>
  <c r="R15" i="57"/>
  <c r="AG12" i="53"/>
  <c r="AK15" i="52" a="1"/>
  <c r="AK15" i="52" s="1"/>
  <c r="B17" i="53" s="1"/>
  <c r="H16" i="57"/>
  <c r="G16" i="57"/>
  <c r="E16" i="57"/>
  <c r="P16" i="57"/>
  <c r="D16" i="57"/>
  <c r="C16" i="57"/>
  <c r="M16" i="57" s="1"/>
  <c r="K16" i="57"/>
  <c r="I16" i="57"/>
  <c r="F16" i="57"/>
  <c r="J16" i="57"/>
  <c r="K15" i="53"/>
  <c r="I15" i="53"/>
  <c r="H15" i="53"/>
  <c r="G15" i="53"/>
  <c r="P15" i="53"/>
  <c r="E15" i="53"/>
  <c r="L15" i="53"/>
  <c r="D15" i="53"/>
  <c r="C15" i="53"/>
  <c r="J15" i="53"/>
  <c r="F15" i="53"/>
  <c r="P16" i="53"/>
  <c r="H16" i="53"/>
  <c r="K16" i="53"/>
  <c r="G16" i="53"/>
  <c r="F16" i="53"/>
  <c r="J16" i="53"/>
  <c r="D16" i="53"/>
  <c r="C16" i="53"/>
  <c r="L16" i="53"/>
  <c r="I16" i="53"/>
  <c r="E16" i="53"/>
  <c r="AK15" i="55" a="1"/>
  <c r="AK15" i="55" s="1"/>
  <c r="B17" i="57" s="1"/>
  <c r="AJ19" i="55" a="1"/>
  <c r="AJ19" i="55" s="1"/>
  <c r="AJ17" i="52" a="1"/>
  <c r="AJ17" i="52" s="1"/>
  <c r="AB14" i="57" l="1"/>
  <c r="AA14" i="57"/>
  <c r="AF13" i="53"/>
  <c r="AB13" i="53"/>
  <c r="AC13" i="53" s="1"/>
  <c r="AA14" i="53"/>
  <c r="AE14" i="53" s="1"/>
  <c r="AF14" i="53" s="1"/>
  <c r="AB14" i="53"/>
  <c r="AE13" i="57"/>
  <c r="AF13" i="57" s="1"/>
  <c r="AB13" i="57"/>
  <c r="AE14" i="57"/>
  <c r="AF14" i="57" s="1"/>
  <c r="AC16" i="57"/>
  <c r="R16" i="57"/>
  <c r="L17" i="57"/>
  <c r="AP15" i="57"/>
  <c r="AG12" i="57"/>
  <c r="AD15" i="57"/>
  <c r="Q15" i="57"/>
  <c r="T15" i="57" s="1"/>
  <c r="N15" i="57"/>
  <c r="AG13" i="57"/>
  <c r="AP16" i="57"/>
  <c r="M16" i="53"/>
  <c r="M15" i="53"/>
  <c r="AG13" i="53"/>
  <c r="C17" i="53"/>
  <c r="M17" i="53" s="1"/>
  <c r="K17" i="53"/>
  <c r="G17" i="53"/>
  <c r="E17" i="53"/>
  <c r="I17" i="53"/>
  <c r="D17" i="53"/>
  <c r="H17" i="53"/>
  <c r="L17" i="53"/>
  <c r="P17" i="53"/>
  <c r="F17" i="53"/>
  <c r="J17" i="53"/>
  <c r="AK16" i="52" a="1"/>
  <c r="AK16" i="52" s="1"/>
  <c r="B18" i="53" s="1"/>
  <c r="K17" i="57"/>
  <c r="J17" i="57"/>
  <c r="E17" i="57"/>
  <c r="C17" i="57"/>
  <c r="M17" i="57" s="1"/>
  <c r="P17" i="57"/>
  <c r="I17" i="57"/>
  <c r="H17" i="57"/>
  <c r="F17" i="57"/>
  <c r="D17" i="57"/>
  <c r="G17" i="57"/>
  <c r="AK16" i="55" a="1"/>
  <c r="AK16" i="55" s="1"/>
  <c r="B18" i="57" s="1"/>
  <c r="AJ20" i="55" a="1"/>
  <c r="AJ20" i="55" s="1"/>
  <c r="AJ18" i="52" a="1"/>
  <c r="AJ18" i="52" s="1"/>
  <c r="AJ19" i="52" s="1" a="1"/>
  <c r="AJ19" i="52" s="1"/>
  <c r="O15" i="57" l="1"/>
  <c r="X15" i="57" s="1"/>
  <c r="N17" i="57"/>
  <c r="N17" i="53"/>
  <c r="O17" i="53" s="1"/>
  <c r="AG17" i="53" s="1"/>
  <c r="AC17" i="53"/>
  <c r="AC15" i="53"/>
  <c r="R16" i="53"/>
  <c r="AC16" i="53"/>
  <c r="AC17" i="57"/>
  <c r="R17" i="57"/>
  <c r="R15" i="53"/>
  <c r="R17" i="53"/>
  <c r="Q16" i="53"/>
  <c r="AD15" i="53"/>
  <c r="L18" i="57"/>
  <c r="AJ17" i="57"/>
  <c r="AP17" i="57"/>
  <c r="AJ13" i="57"/>
  <c r="AG14" i="57"/>
  <c r="N16" i="57"/>
  <c r="AD16" i="57"/>
  <c r="Q16" i="57"/>
  <c r="T16" i="57" s="1"/>
  <c r="AT15" i="53"/>
  <c r="Q15" i="53"/>
  <c r="N15" i="53"/>
  <c r="O15" i="53" s="1"/>
  <c r="AT16" i="53"/>
  <c r="AD16" i="53"/>
  <c r="N16" i="53"/>
  <c r="O16" i="53" s="1"/>
  <c r="AH17" i="53"/>
  <c r="AT17" i="53"/>
  <c r="AG14" i="53"/>
  <c r="AD17" i="57"/>
  <c r="AD17" i="53"/>
  <c r="G18" i="57"/>
  <c r="E18" i="57"/>
  <c r="P18" i="57"/>
  <c r="D18" i="57"/>
  <c r="C18" i="57"/>
  <c r="M18" i="57" s="1"/>
  <c r="K18" i="57"/>
  <c r="I18" i="57"/>
  <c r="H18" i="57"/>
  <c r="F18" i="57"/>
  <c r="J18" i="57"/>
  <c r="P18" i="53"/>
  <c r="H18" i="53"/>
  <c r="K18" i="53"/>
  <c r="C18" i="53"/>
  <c r="F18" i="53"/>
  <c r="I18" i="53"/>
  <c r="E18" i="53"/>
  <c r="G18" i="53"/>
  <c r="J18" i="53"/>
  <c r="L18" i="53"/>
  <c r="D18" i="53"/>
  <c r="Q17" i="57"/>
  <c r="T17" i="57" s="1"/>
  <c r="Q17" i="53"/>
  <c r="AK17" i="52" a="1"/>
  <c r="AK17" i="52" s="1"/>
  <c r="B19" i="53" s="1"/>
  <c r="AK17" i="55" a="1"/>
  <c r="AK17" i="55" s="1"/>
  <c r="B19" i="57" s="1"/>
  <c r="AJ21" i="55" a="1"/>
  <c r="AJ21" i="55" s="1"/>
  <c r="AJ22" i="55" s="1" a="1"/>
  <c r="AJ22" i="55" s="1"/>
  <c r="AJ23" i="55" s="1" a="1"/>
  <c r="AJ23" i="55" s="1"/>
  <c r="AJ24" i="55" s="1" a="1"/>
  <c r="AJ24" i="55" s="1"/>
  <c r="AJ25" i="55" s="1" a="1"/>
  <c r="AJ25" i="55" s="1"/>
  <c r="AJ26" i="55" s="1" a="1"/>
  <c r="AJ26" i="55" s="1"/>
  <c r="AJ27" i="55" s="1" a="1"/>
  <c r="AJ27" i="55" s="1"/>
  <c r="AJ28" i="55" s="1" a="1"/>
  <c r="AJ28" i="55" s="1"/>
  <c r="AJ29" i="55" s="1" a="1"/>
  <c r="AJ29" i="55" s="1"/>
  <c r="AJ30" i="55" s="1" a="1"/>
  <c r="AJ30" i="55" s="1"/>
  <c r="AJ31" i="55" s="1" a="1"/>
  <c r="AJ31" i="55" s="1"/>
  <c r="AJ32" i="55" s="1" a="1"/>
  <c r="AJ32" i="55" s="1"/>
  <c r="AJ33" i="55" s="1" a="1"/>
  <c r="AJ33" i="55" s="1"/>
  <c r="AJ34" i="55" s="1" a="1"/>
  <c r="AJ34" i="55" s="1"/>
  <c r="AJ35" i="55" s="1" a="1"/>
  <c r="AJ35" i="55" s="1"/>
  <c r="AJ36" i="55" s="1" a="1"/>
  <c r="AJ36" i="55" s="1"/>
  <c r="AJ37" i="55" s="1" a="1"/>
  <c r="AJ37" i="55" s="1"/>
  <c r="AJ38" i="55" s="1" a="1"/>
  <c r="AJ38" i="55" s="1"/>
  <c r="AJ39" i="55" s="1" a="1"/>
  <c r="AJ39" i="55" s="1"/>
  <c r="AJ40" i="55" s="1" a="1"/>
  <c r="AJ40" i="55" s="1"/>
  <c r="AJ41" i="55" s="1" a="1"/>
  <c r="AJ41" i="55" s="1"/>
  <c r="AJ42" i="55" s="1" a="1"/>
  <c r="AJ42" i="55" s="1"/>
  <c r="AJ43" i="55" s="1" a="1"/>
  <c r="AJ43" i="55" s="1"/>
  <c r="AJ44" i="55" s="1" a="1"/>
  <c r="AJ44" i="55" s="1"/>
  <c r="AJ45" i="55" s="1" a="1"/>
  <c r="AJ45" i="55" s="1"/>
  <c r="AJ46" i="55" s="1" a="1"/>
  <c r="AJ46" i="55" s="1"/>
  <c r="AJ47" i="55" s="1" a="1"/>
  <c r="AJ47" i="55" s="1"/>
  <c r="AJ48" i="55" s="1" a="1"/>
  <c r="AJ48" i="55" s="1"/>
  <c r="AJ49" i="55" s="1" a="1"/>
  <c r="AJ49" i="55" s="1"/>
  <c r="AJ50" i="55" s="1" a="1"/>
  <c r="AJ50" i="55" s="1"/>
  <c r="AJ51" i="55" s="1" a="1"/>
  <c r="AJ51" i="55" s="1"/>
  <c r="AJ52" i="55" s="1" a="1"/>
  <c r="AJ52" i="55" s="1"/>
  <c r="AJ53" i="55" s="1" a="1"/>
  <c r="AJ53" i="55" s="1"/>
  <c r="AJ54" i="55" s="1" a="1"/>
  <c r="AJ54" i="55" s="1"/>
  <c r="AJ55" i="55" s="1" a="1"/>
  <c r="AJ55" i="55" s="1"/>
  <c r="AJ56" i="55" s="1" a="1"/>
  <c r="AJ56" i="55" s="1"/>
  <c r="AJ57" i="55" s="1" a="1"/>
  <c r="AJ57" i="55" s="1"/>
  <c r="AJ58" i="55" s="1" a="1"/>
  <c r="AJ58" i="55" s="1"/>
  <c r="AJ59" i="55" s="1" a="1"/>
  <c r="AJ59" i="55" s="1"/>
  <c r="AJ60" i="55" s="1" a="1"/>
  <c r="AJ60" i="55" s="1"/>
  <c r="AJ61" i="55" s="1" a="1"/>
  <c r="AJ61" i="55" s="1"/>
  <c r="AJ62" i="55" s="1" a="1"/>
  <c r="AJ62" i="55" s="1"/>
  <c r="AJ63" i="55" s="1" a="1"/>
  <c r="AJ63" i="55" s="1"/>
  <c r="AJ64" i="55" s="1" a="1"/>
  <c r="AJ64" i="55" s="1"/>
  <c r="AJ65" i="55" s="1" a="1"/>
  <c r="AJ65" i="55" s="1"/>
  <c r="AJ66" i="55" s="1" a="1"/>
  <c r="AJ66" i="55" s="1"/>
  <c r="AJ67" i="55" s="1" a="1"/>
  <c r="AJ67" i="55" s="1"/>
  <c r="AJ68" i="55" s="1" a="1"/>
  <c r="AJ68" i="55" s="1"/>
  <c r="AJ69" i="55" s="1" a="1"/>
  <c r="AJ69" i="55" s="1"/>
  <c r="AJ70" i="55" s="1" a="1"/>
  <c r="AJ70" i="55" s="1"/>
  <c r="AJ71" i="55" s="1" a="1"/>
  <c r="AJ71" i="55" s="1"/>
  <c r="AJ72" i="55" s="1" a="1"/>
  <c r="AJ72" i="55" s="1"/>
  <c r="AJ73" i="55" s="1" a="1"/>
  <c r="AJ73" i="55" s="1"/>
  <c r="AJ74" i="55" s="1" a="1"/>
  <c r="AJ74" i="55" s="1"/>
  <c r="AJ75" i="55" s="1" a="1"/>
  <c r="AJ75" i="55" s="1"/>
  <c r="AJ76" i="55" s="1" a="1"/>
  <c r="AJ76" i="55" s="1"/>
  <c r="AJ77" i="55" s="1" a="1"/>
  <c r="AJ77" i="55" s="1"/>
  <c r="AJ78" i="55" s="1" a="1"/>
  <c r="AJ78" i="55" s="1"/>
  <c r="AJ79" i="55" s="1" a="1"/>
  <c r="AJ79" i="55" s="1"/>
  <c r="AJ80" i="55" s="1" a="1"/>
  <c r="AJ80" i="55" s="1"/>
  <c r="AJ81" i="55" s="1" a="1"/>
  <c r="AJ81" i="55" s="1"/>
  <c r="AJ82" i="55" s="1" a="1"/>
  <c r="AJ82" i="55" s="1"/>
  <c r="AJ83" i="55" s="1" a="1"/>
  <c r="AJ83" i="55" s="1"/>
  <c r="AJ84" i="55" s="1" a="1"/>
  <c r="AJ84" i="55" s="1"/>
  <c r="AJ85" i="55" s="1" a="1"/>
  <c r="AJ85" i="55" s="1"/>
  <c r="AJ86" i="55" s="1" a="1"/>
  <c r="AJ86" i="55" s="1"/>
  <c r="AJ87" i="55" s="1" a="1"/>
  <c r="AJ87" i="55" s="1"/>
  <c r="AJ88" i="55" s="1" a="1"/>
  <c r="AJ88" i="55" s="1"/>
  <c r="AJ89" i="55" s="1" a="1"/>
  <c r="AJ89" i="55" s="1"/>
  <c r="AJ90" i="55" s="1" a="1"/>
  <c r="AJ90" i="55" s="1"/>
  <c r="AJ91" i="55" s="1" a="1"/>
  <c r="AJ91" i="55" s="1"/>
  <c r="AJ92" i="55" s="1" a="1"/>
  <c r="AJ92" i="55" s="1"/>
  <c r="AJ93" i="55" s="1" a="1"/>
  <c r="AJ93" i="55" s="1"/>
  <c r="AJ94" i="55" s="1" a="1"/>
  <c r="AJ94" i="55" s="1"/>
  <c r="AJ95" i="55" s="1" a="1"/>
  <c r="AJ95" i="55" s="1"/>
  <c r="AJ96" i="55" s="1" a="1"/>
  <c r="AJ96" i="55" s="1"/>
  <c r="AJ97" i="55" s="1" a="1"/>
  <c r="AJ97" i="55" s="1"/>
  <c r="AJ98" i="55" s="1" a="1"/>
  <c r="AJ98" i="55" s="1"/>
  <c r="AJ99" i="55" s="1" a="1"/>
  <c r="AJ99" i="55" s="1"/>
  <c r="AJ100" i="55" s="1" a="1"/>
  <c r="AJ100" i="55" s="1"/>
  <c r="AJ101" i="55" s="1" a="1"/>
  <c r="AJ101" i="55" s="1"/>
  <c r="AJ102" i="55" s="1" a="1"/>
  <c r="AJ102" i="55" s="1"/>
  <c r="AJ103" i="55" s="1" a="1"/>
  <c r="AJ103" i="55" s="1"/>
  <c r="AJ104" i="55" s="1" a="1"/>
  <c r="AJ104" i="55" s="1"/>
  <c r="AJ105" i="55" s="1" a="1"/>
  <c r="AJ105" i="55" s="1"/>
  <c r="AJ106" i="55" s="1" a="1"/>
  <c r="AJ106" i="55" s="1"/>
  <c r="AJ107" i="55" s="1" a="1"/>
  <c r="AJ107" i="55" s="1"/>
  <c r="AJ108" i="55" s="1" a="1"/>
  <c r="AJ108" i="55" s="1"/>
  <c r="AJ109" i="55" s="1" a="1"/>
  <c r="AJ109" i="55" s="1"/>
  <c r="AJ110" i="55" s="1" a="1"/>
  <c r="AJ110" i="55" s="1"/>
  <c r="AJ111" i="55" s="1" a="1"/>
  <c r="AJ111" i="55" s="1"/>
  <c r="AJ112" i="55" s="1" a="1"/>
  <c r="AJ112" i="55" s="1"/>
  <c r="AJ113" i="55" s="1" a="1"/>
  <c r="AJ113" i="55" s="1"/>
  <c r="AJ114" i="55" s="1" a="1"/>
  <c r="AJ114" i="55" s="1"/>
  <c r="AJ115" i="55" s="1" a="1"/>
  <c r="AJ115" i="55" s="1"/>
  <c r="AJ116" i="55" s="1" a="1"/>
  <c r="AJ116" i="55" s="1"/>
  <c r="AJ117" i="55" s="1" a="1"/>
  <c r="AJ117" i="55" s="1"/>
  <c r="AJ118" i="55" s="1" a="1"/>
  <c r="AJ118" i="55" s="1"/>
  <c r="AJ119" i="55" s="1" a="1"/>
  <c r="AJ119" i="55" s="1"/>
  <c r="AJ120" i="55" s="1" a="1"/>
  <c r="AJ120" i="55" s="1"/>
  <c r="AJ121" i="55" s="1" a="1"/>
  <c r="AJ121" i="55" s="1"/>
  <c r="AJ122" i="55" s="1" a="1"/>
  <c r="AJ122" i="55" s="1"/>
  <c r="AJ123" i="55" s="1" a="1"/>
  <c r="AJ123" i="55" s="1"/>
  <c r="AJ124" i="55" s="1" a="1"/>
  <c r="AJ124" i="55" s="1"/>
  <c r="AJ125" i="55" s="1" a="1"/>
  <c r="AJ125" i="55" s="1"/>
  <c r="AJ126" i="55" s="1" a="1"/>
  <c r="AJ126" i="55" s="1"/>
  <c r="AJ127" i="55" s="1" a="1"/>
  <c r="AJ127" i="55" s="1"/>
  <c r="AJ128" i="55" s="1" a="1"/>
  <c r="AJ128" i="55" s="1"/>
  <c r="AJ129" i="55" s="1" a="1"/>
  <c r="AJ129" i="55" s="1"/>
  <c r="AJ130" i="55" s="1" a="1"/>
  <c r="AJ130" i="55" s="1"/>
  <c r="AJ131" i="55" s="1" a="1"/>
  <c r="AJ131" i="55" s="1"/>
  <c r="AJ132" i="55" s="1" a="1"/>
  <c r="AJ132" i="55" s="1"/>
  <c r="AJ133" i="55" s="1" a="1"/>
  <c r="AJ133" i="55" s="1"/>
  <c r="AJ134" i="55" s="1" a="1"/>
  <c r="AJ134" i="55" s="1"/>
  <c r="AJ135" i="55" s="1" a="1"/>
  <c r="AJ135" i="55" s="1"/>
  <c r="AJ136" i="55" s="1" a="1"/>
  <c r="AJ136" i="55" s="1"/>
  <c r="AJ137" i="55" s="1" a="1"/>
  <c r="AJ137" i="55" s="1"/>
  <c r="AJ138" i="55" s="1" a="1"/>
  <c r="AJ138" i="55" s="1"/>
  <c r="AJ139" i="55" s="1" a="1"/>
  <c r="AJ139" i="55" s="1"/>
  <c r="AJ140" i="55" s="1" a="1"/>
  <c r="AJ140" i="55" s="1"/>
  <c r="AJ141" i="55" s="1" a="1"/>
  <c r="AJ141" i="55" s="1"/>
  <c r="AJ142" i="55" s="1" a="1"/>
  <c r="AJ142" i="55" s="1"/>
  <c r="AJ143" i="55" s="1" a="1"/>
  <c r="AJ143" i="55" s="1"/>
  <c r="AJ144" i="55" s="1" a="1"/>
  <c r="AJ144" i="55" s="1"/>
  <c r="AJ145" i="55" s="1" a="1"/>
  <c r="AJ145" i="55" s="1"/>
  <c r="AJ146" i="55" s="1" a="1"/>
  <c r="AJ146" i="55" s="1"/>
  <c r="AJ147" i="55" s="1" a="1"/>
  <c r="AJ147" i="55" s="1"/>
  <c r="AJ148" i="55" s="1" a="1"/>
  <c r="AJ148" i="55" s="1"/>
  <c r="AJ149" i="55" s="1" a="1"/>
  <c r="AJ149" i="55" s="1"/>
  <c r="AJ150" i="55" s="1" a="1"/>
  <c r="AJ150" i="55" s="1"/>
  <c r="AJ151" i="55" s="1" a="1"/>
  <c r="AJ151" i="55" s="1"/>
  <c r="AJ152" i="55" s="1" a="1"/>
  <c r="AJ152" i="55" s="1"/>
  <c r="AJ153" i="55" s="1" a="1"/>
  <c r="AJ153" i="55" s="1"/>
  <c r="AJ154" i="55" s="1" a="1"/>
  <c r="AJ154" i="55" s="1"/>
  <c r="AJ155" i="55" s="1" a="1"/>
  <c r="AJ155" i="55" s="1"/>
  <c r="AJ156" i="55" s="1" a="1"/>
  <c r="AJ156" i="55" s="1"/>
  <c r="AJ157" i="55" s="1" a="1"/>
  <c r="AJ157" i="55" s="1"/>
  <c r="AJ158" i="55" s="1" a="1"/>
  <c r="AJ158" i="55" s="1"/>
  <c r="AJ159" i="55" s="1" a="1"/>
  <c r="AJ159" i="55" s="1"/>
  <c r="AJ160" i="55" s="1" a="1"/>
  <c r="AJ160" i="55" s="1"/>
  <c r="AJ161" i="55" s="1" a="1"/>
  <c r="AJ161" i="55" s="1"/>
  <c r="AJ162" i="55" s="1" a="1"/>
  <c r="AJ162" i="55" s="1"/>
  <c r="AJ163" i="55" s="1" a="1"/>
  <c r="AJ163" i="55" s="1"/>
  <c r="AJ164" i="55" s="1" a="1"/>
  <c r="AJ164" i="55" s="1"/>
  <c r="AJ165" i="55" s="1" a="1"/>
  <c r="AJ165" i="55" s="1"/>
  <c r="AJ166" i="55" s="1" a="1"/>
  <c r="AJ166" i="55" s="1"/>
  <c r="AJ167" i="55" s="1" a="1"/>
  <c r="AJ167" i="55" s="1"/>
  <c r="AJ168" i="55" s="1" a="1"/>
  <c r="AJ168" i="55" s="1"/>
  <c r="AJ169" i="55" s="1" a="1"/>
  <c r="AJ169" i="55" s="1"/>
  <c r="AJ170" i="55" s="1" a="1"/>
  <c r="AJ170" i="55" s="1"/>
  <c r="AJ171" i="55" s="1" a="1"/>
  <c r="AJ171" i="55" s="1"/>
  <c r="AJ172" i="55" s="1" a="1"/>
  <c r="AJ172" i="55" s="1"/>
  <c r="AJ173" i="55" s="1" a="1"/>
  <c r="AJ173" i="55" s="1"/>
  <c r="AJ174" i="55" s="1" a="1"/>
  <c r="AJ174" i="55" s="1"/>
  <c r="AJ175" i="55" s="1" a="1"/>
  <c r="AJ175" i="55" s="1"/>
  <c r="AJ176" i="55" s="1" a="1"/>
  <c r="AJ176" i="55" s="1"/>
  <c r="AJ177" i="55" s="1" a="1"/>
  <c r="AJ177" i="55" s="1"/>
  <c r="AJ178" i="55" s="1" a="1"/>
  <c r="AJ178" i="55" s="1"/>
  <c r="AJ179" i="55" s="1" a="1"/>
  <c r="AJ179" i="55" s="1"/>
  <c r="AJ180" i="55" s="1" a="1"/>
  <c r="AJ180" i="55" s="1"/>
  <c r="AJ181" i="55" s="1" a="1"/>
  <c r="AJ181" i="55" s="1"/>
  <c r="AJ182" i="55" s="1" a="1"/>
  <c r="AJ182" i="55" s="1"/>
  <c r="AJ183" i="55" s="1" a="1"/>
  <c r="AJ183" i="55" s="1"/>
  <c r="AJ184" i="55" s="1" a="1"/>
  <c r="AJ184" i="55" s="1"/>
  <c r="AJ185" i="55" s="1" a="1"/>
  <c r="AJ185" i="55" s="1"/>
  <c r="AJ186" i="55" s="1" a="1"/>
  <c r="AJ186" i="55" s="1"/>
  <c r="AJ187" i="55" s="1" a="1"/>
  <c r="AJ187" i="55" s="1"/>
  <c r="AJ188" i="55" s="1" a="1"/>
  <c r="AJ188" i="55" s="1"/>
  <c r="AJ189" i="55" s="1" a="1"/>
  <c r="AJ189" i="55" s="1"/>
  <c r="AJ190" i="55" s="1" a="1"/>
  <c r="AJ190" i="55" s="1"/>
  <c r="AJ191" i="55" s="1" a="1"/>
  <c r="AJ191" i="55" s="1"/>
  <c r="AJ192" i="55" s="1" a="1"/>
  <c r="AJ192" i="55" s="1"/>
  <c r="AJ193" i="55" s="1" a="1"/>
  <c r="AJ193" i="55" s="1"/>
  <c r="AJ194" i="55" s="1" a="1"/>
  <c r="AJ194" i="55" s="1"/>
  <c r="AJ195" i="55" s="1" a="1"/>
  <c r="AJ195" i="55" s="1"/>
  <c r="AJ196" i="55" s="1" a="1"/>
  <c r="AJ196" i="55" s="1"/>
  <c r="AJ197" i="55" s="1" a="1"/>
  <c r="AJ197" i="55" s="1"/>
  <c r="AJ198" i="55" s="1" a="1"/>
  <c r="AJ198" i="55" s="1"/>
  <c r="AJ199" i="55" s="1" a="1"/>
  <c r="AJ199" i="55" s="1"/>
  <c r="AJ200" i="55" s="1" a="1"/>
  <c r="AJ200" i="55" s="1"/>
  <c r="AJ201" i="55" s="1" a="1"/>
  <c r="AJ201" i="55" s="1"/>
  <c r="AJ202" i="55" s="1" a="1"/>
  <c r="AJ202" i="55" s="1"/>
  <c r="AJ203" i="55" s="1" a="1"/>
  <c r="AJ203" i="55" s="1"/>
  <c r="AJ204" i="55" s="1" a="1"/>
  <c r="AJ204" i="55" s="1"/>
  <c r="AJ205" i="55" s="1" a="1"/>
  <c r="AJ205" i="55" s="1"/>
  <c r="AJ206" i="55" s="1" a="1"/>
  <c r="AJ206" i="55" s="1"/>
  <c r="AJ207" i="55" s="1" a="1"/>
  <c r="AJ207" i="55" s="1"/>
  <c r="AJ208" i="55" s="1" a="1"/>
  <c r="AJ208" i="55" s="1"/>
  <c r="AJ209" i="55" s="1" a="1"/>
  <c r="AJ209" i="55" s="1"/>
  <c r="AJ210" i="55" s="1" a="1"/>
  <c r="AJ210" i="55" s="1"/>
  <c r="AJ211" i="55" s="1" a="1"/>
  <c r="AJ211" i="55" s="1"/>
  <c r="AJ212" i="55" s="1" a="1"/>
  <c r="AJ212" i="55" s="1"/>
  <c r="AJ213" i="55" s="1" a="1"/>
  <c r="AJ213" i="55" s="1"/>
  <c r="AJ214" i="55" s="1" a="1"/>
  <c r="AJ214" i="55" s="1"/>
  <c r="AJ215" i="55" s="1" a="1"/>
  <c r="AJ215" i="55" s="1"/>
  <c r="AJ216" i="55" s="1" a="1"/>
  <c r="AJ216" i="55" s="1"/>
  <c r="AJ217" i="55" s="1" a="1"/>
  <c r="AJ217" i="55" s="1"/>
  <c r="AJ218" i="55" s="1" a="1"/>
  <c r="AJ218" i="55" s="1"/>
  <c r="AJ219" i="55" s="1" a="1"/>
  <c r="AJ219" i="55" s="1"/>
  <c r="AJ220" i="55" s="1" a="1"/>
  <c r="AJ220" i="55" s="1"/>
  <c r="AJ221" i="55" s="1" a="1"/>
  <c r="AJ221" i="55" s="1"/>
  <c r="AJ222" i="55" s="1" a="1"/>
  <c r="AJ222" i="55" s="1"/>
  <c r="AJ223" i="55" s="1" a="1"/>
  <c r="AJ223" i="55" s="1"/>
  <c r="AJ224" i="55" s="1" a="1"/>
  <c r="AJ224" i="55" s="1"/>
  <c r="AJ225" i="55" s="1" a="1"/>
  <c r="AJ225" i="55" s="1"/>
  <c r="AJ226" i="55" s="1" a="1"/>
  <c r="AJ226" i="55" s="1"/>
  <c r="AJ227" i="55" s="1" a="1"/>
  <c r="AJ227" i="55" s="1"/>
  <c r="AJ228" i="55" s="1" a="1"/>
  <c r="AJ228" i="55" s="1"/>
  <c r="AJ229" i="55" s="1" a="1"/>
  <c r="AJ229" i="55" s="1"/>
  <c r="AJ230" i="55" s="1" a="1"/>
  <c r="AJ230" i="55" s="1"/>
  <c r="AJ231" i="55" s="1" a="1"/>
  <c r="AJ231" i="55" s="1"/>
  <c r="AJ232" i="55" s="1" a="1"/>
  <c r="AJ232" i="55" s="1"/>
  <c r="AJ233" i="55" s="1" a="1"/>
  <c r="AJ233" i="55" s="1"/>
  <c r="AJ234" i="55" s="1" a="1"/>
  <c r="AJ234" i="55" s="1"/>
  <c r="AJ235" i="55" s="1" a="1"/>
  <c r="AJ235" i="55" s="1"/>
  <c r="AJ236" i="55" s="1" a="1"/>
  <c r="AJ236" i="55" s="1"/>
  <c r="AJ237" i="55" s="1" a="1"/>
  <c r="AJ237" i="55" s="1"/>
  <c r="AJ238" i="55" s="1" a="1"/>
  <c r="AJ238" i="55" s="1"/>
  <c r="AJ239" i="55" s="1" a="1"/>
  <c r="AJ239" i="55" s="1"/>
  <c r="AJ240" i="55" s="1" a="1"/>
  <c r="AJ240" i="55" s="1"/>
  <c r="AJ241" i="55" s="1" a="1"/>
  <c r="AJ241" i="55" s="1"/>
  <c r="AJ242" i="55" s="1" a="1"/>
  <c r="AJ242" i="55" s="1"/>
  <c r="AJ243" i="55" s="1" a="1"/>
  <c r="AJ243" i="55" s="1"/>
  <c r="AJ244" i="55" s="1" a="1"/>
  <c r="AJ244" i="55" s="1"/>
  <c r="AJ245" i="55" s="1" a="1"/>
  <c r="AJ245" i="55" s="1"/>
  <c r="AJ246" i="55" s="1" a="1"/>
  <c r="AJ246" i="55" s="1"/>
  <c r="AJ247" i="55" s="1" a="1"/>
  <c r="AJ247" i="55" s="1"/>
  <c r="AJ248" i="55" s="1" a="1"/>
  <c r="AJ248" i="55" s="1"/>
  <c r="AJ249" i="55" s="1" a="1"/>
  <c r="AJ249" i="55" s="1"/>
  <c r="AJ250" i="55" s="1" a="1"/>
  <c r="AJ250" i="55" s="1"/>
  <c r="AJ251" i="55" s="1" a="1"/>
  <c r="AJ251" i="55" s="1"/>
  <c r="AJ252" i="55" s="1" a="1"/>
  <c r="AJ252" i="55" s="1"/>
  <c r="AJ253" i="55" s="1" a="1"/>
  <c r="AJ253" i="55" s="1"/>
  <c r="AJ254" i="55" s="1" a="1"/>
  <c r="AJ254" i="55" s="1"/>
  <c r="AJ255" i="55" s="1" a="1"/>
  <c r="AJ255" i="55" s="1"/>
  <c r="AJ256" i="55" s="1" a="1"/>
  <c r="AJ256" i="55" s="1"/>
  <c r="AJ257" i="55" s="1" a="1"/>
  <c r="AJ257" i="55" s="1"/>
  <c r="AJ20" i="52" a="1"/>
  <c r="AJ20" i="52" s="1"/>
  <c r="AJ21" i="52" s="1" a="1"/>
  <c r="AJ21" i="52" s="1"/>
  <c r="AJ22" i="52" s="1" a="1"/>
  <c r="AJ22" i="52" s="1"/>
  <c r="AJ23" i="52" s="1" a="1"/>
  <c r="AJ23" i="52" s="1"/>
  <c r="AJ24" i="52" s="1" a="1"/>
  <c r="AJ24" i="52" s="1"/>
  <c r="AJ25" i="52" s="1" a="1"/>
  <c r="AJ25" i="52" s="1"/>
  <c r="AJ26" i="52" s="1" a="1"/>
  <c r="AJ26" i="52" s="1"/>
  <c r="AJ27" i="52" s="1" a="1"/>
  <c r="AJ27" i="52" s="1"/>
  <c r="AJ28" i="52" s="1" a="1"/>
  <c r="AJ28" i="52" s="1"/>
  <c r="AJ29" i="52" s="1" a="1"/>
  <c r="AJ29" i="52" s="1"/>
  <c r="AJ30" i="52" s="1" a="1"/>
  <c r="AJ30" i="52" s="1"/>
  <c r="AJ31" i="52" s="1" a="1"/>
  <c r="AJ31" i="52" s="1"/>
  <c r="AJ32" i="52" s="1" a="1"/>
  <c r="AJ32" i="52" s="1"/>
  <c r="AJ33" i="52" s="1" a="1"/>
  <c r="AJ33" i="52" s="1"/>
  <c r="AJ34" i="52" s="1" a="1"/>
  <c r="AJ34" i="52" s="1"/>
  <c r="AJ35" i="52" s="1" a="1"/>
  <c r="AJ35" i="52" s="1"/>
  <c r="AJ36" i="52" s="1" a="1"/>
  <c r="AJ36" i="52" s="1"/>
  <c r="AJ37" i="52" s="1" a="1"/>
  <c r="AJ37" i="52" s="1"/>
  <c r="AJ38" i="52" s="1" a="1"/>
  <c r="AJ38" i="52" s="1"/>
  <c r="AJ39" i="52" s="1" a="1"/>
  <c r="AJ39" i="52" s="1"/>
  <c r="AJ40" i="52" s="1" a="1"/>
  <c r="AJ40" i="52" s="1"/>
  <c r="AJ41" i="52" s="1" a="1"/>
  <c r="AJ41" i="52" s="1"/>
  <c r="AJ42" i="52" s="1" a="1"/>
  <c r="AJ42" i="52" s="1"/>
  <c r="AJ43" i="52" s="1" a="1"/>
  <c r="AJ43" i="52" s="1"/>
  <c r="AJ44" i="52" s="1" a="1"/>
  <c r="AJ44" i="52" s="1"/>
  <c r="AJ45" i="52" s="1" a="1"/>
  <c r="AJ45" i="52" s="1"/>
  <c r="AJ46" i="52" s="1" a="1"/>
  <c r="AJ46" i="52" s="1"/>
  <c r="AJ47" i="52" s="1" a="1"/>
  <c r="AJ47" i="52" s="1"/>
  <c r="AJ48" i="52" s="1" a="1"/>
  <c r="AJ48" i="52" s="1"/>
  <c r="AJ49" i="52" s="1" a="1"/>
  <c r="AJ49" i="52" s="1"/>
  <c r="AJ50" i="52" s="1" a="1"/>
  <c r="AJ50" i="52" s="1"/>
  <c r="AJ51" i="52" s="1" a="1"/>
  <c r="AJ51" i="52" s="1"/>
  <c r="AJ52" i="52" s="1" a="1"/>
  <c r="AJ52" i="52" s="1"/>
  <c r="AJ53" i="52" s="1" a="1"/>
  <c r="AJ53" i="52" s="1"/>
  <c r="AJ54" i="52" s="1" a="1"/>
  <c r="AJ54" i="52" s="1"/>
  <c r="AJ55" i="52" s="1" a="1"/>
  <c r="AJ55" i="52" s="1"/>
  <c r="AJ56" i="52" s="1" a="1"/>
  <c r="AJ56" i="52" s="1"/>
  <c r="AJ57" i="52" s="1" a="1"/>
  <c r="AJ57" i="52" s="1"/>
  <c r="AJ58" i="52" s="1" a="1"/>
  <c r="AJ58" i="52" s="1"/>
  <c r="AJ59" i="52" s="1" a="1"/>
  <c r="AJ59" i="52" s="1"/>
  <c r="AJ60" i="52" s="1" a="1"/>
  <c r="AJ60" i="52" s="1"/>
  <c r="AJ61" i="52" s="1" a="1"/>
  <c r="AJ61" i="52" s="1"/>
  <c r="AJ62" i="52" s="1" a="1"/>
  <c r="AJ62" i="52" s="1"/>
  <c r="AJ63" i="52" s="1" a="1"/>
  <c r="AJ63" i="52" s="1"/>
  <c r="AJ64" i="52" s="1" a="1"/>
  <c r="AJ64" i="52" s="1"/>
  <c r="AJ65" i="52" s="1" a="1"/>
  <c r="AJ65" i="52" s="1"/>
  <c r="AJ66" i="52" s="1" a="1"/>
  <c r="AJ66" i="52" s="1"/>
  <c r="AJ67" i="52" s="1" a="1"/>
  <c r="AJ67" i="52" s="1"/>
  <c r="AJ68" i="52" s="1" a="1"/>
  <c r="AJ68" i="52" s="1"/>
  <c r="AJ69" i="52" s="1" a="1"/>
  <c r="AJ69" i="52" s="1"/>
  <c r="AJ70" i="52" s="1" a="1"/>
  <c r="AJ70" i="52" s="1"/>
  <c r="AJ71" i="52" s="1" a="1"/>
  <c r="AJ71" i="52" s="1"/>
  <c r="AJ72" i="52" s="1" a="1"/>
  <c r="AJ72" i="52" s="1"/>
  <c r="AJ73" i="52" s="1" a="1"/>
  <c r="AJ73" i="52" s="1"/>
  <c r="AJ74" i="52" s="1" a="1"/>
  <c r="AJ74" i="52" s="1"/>
  <c r="AJ75" i="52" s="1" a="1"/>
  <c r="AJ75" i="52" s="1"/>
  <c r="AJ76" i="52" s="1" a="1"/>
  <c r="AJ76" i="52" s="1"/>
  <c r="AJ77" i="52" s="1" a="1"/>
  <c r="AJ77" i="52" s="1"/>
  <c r="AJ78" i="52" s="1" a="1"/>
  <c r="AJ78" i="52" s="1"/>
  <c r="AJ79" i="52" s="1" a="1"/>
  <c r="AJ79" i="52" s="1"/>
  <c r="AJ80" i="52" s="1" a="1"/>
  <c r="AJ80" i="52" s="1"/>
  <c r="AJ81" i="52" s="1" a="1"/>
  <c r="AJ81" i="52" s="1"/>
  <c r="AJ82" i="52" s="1" a="1"/>
  <c r="AJ82" i="52" s="1"/>
  <c r="AJ83" i="52" s="1" a="1"/>
  <c r="AJ83" i="52" s="1"/>
  <c r="AJ84" i="52" s="1" a="1"/>
  <c r="AJ84" i="52" s="1"/>
  <c r="AJ85" i="52" s="1" a="1"/>
  <c r="AJ85" i="52" s="1"/>
  <c r="AJ86" i="52" s="1" a="1"/>
  <c r="AJ86" i="52" s="1"/>
  <c r="AJ87" i="52" s="1" a="1"/>
  <c r="AJ87" i="52" s="1"/>
  <c r="AJ88" i="52" s="1" a="1"/>
  <c r="AJ88" i="52" s="1"/>
  <c r="AJ89" i="52" s="1" a="1"/>
  <c r="AJ89" i="52" s="1"/>
  <c r="AJ90" i="52" s="1" a="1"/>
  <c r="AJ90" i="52" s="1"/>
  <c r="AJ91" i="52" s="1" a="1"/>
  <c r="AJ91" i="52" s="1"/>
  <c r="AJ92" i="52" s="1" a="1"/>
  <c r="AJ92" i="52" s="1"/>
  <c r="AJ93" i="52" s="1" a="1"/>
  <c r="AJ93" i="52" s="1"/>
  <c r="AJ94" i="52" s="1" a="1"/>
  <c r="AJ94" i="52" s="1"/>
  <c r="AJ95" i="52" s="1" a="1"/>
  <c r="AJ95" i="52" s="1"/>
  <c r="AJ96" i="52" s="1" a="1"/>
  <c r="AJ96" i="52" s="1"/>
  <c r="AJ97" i="52" s="1" a="1"/>
  <c r="AJ97" i="52" s="1"/>
  <c r="AJ98" i="52" s="1" a="1"/>
  <c r="AJ98" i="52" s="1"/>
  <c r="AJ99" i="52" s="1" a="1"/>
  <c r="AJ99" i="52" s="1"/>
  <c r="AJ100" i="52" s="1" a="1"/>
  <c r="AJ100" i="52" s="1"/>
  <c r="AJ101" i="52" s="1" a="1"/>
  <c r="AJ101" i="52" s="1"/>
  <c r="AJ102" i="52" s="1" a="1"/>
  <c r="AJ102" i="52" s="1"/>
  <c r="AJ103" i="52" s="1" a="1"/>
  <c r="AJ103" i="52" s="1"/>
  <c r="AJ104" i="52" s="1" a="1"/>
  <c r="AJ104" i="52" s="1"/>
  <c r="AE15" i="57" l="1"/>
  <c r="AF15" i="57" s="1"/>
  <c r="AA15" i="57"/>
  <c r="O16" i="57"/>
  <c r="X16" i="57" s="1"/>
  <c r="AA16" i="57" s="1"/>
  <c r="O17" i="57"/>
  <c r="AG17" i="57" s="1"/>
  <c r="N18" i="57"/>
  <c r="M18" i="53"/>
  <c r="N18" i="53" s="1"/>
  <c r="X17" i="53"/>
  <c r="AA17" i="53" s="1"/>
  <c r="AE17" i="53" s="1"/>
  <c r="AF17" i="53" s="1"/>
  <c r="X16" i="53"/>
  <c r="AB16" i="53" s="1"/>
  <c r="X15" i="53"/>
  <c r="AB15" i="57"/>
  <c r="AC18" i="57"/>
  <c r="R18" i="57"/>
  <c r="L19" i="57"/>
  <c r="AJ18" i="57"/>
  <c r="AP18" i="57"/>
  <c r="AJ12" i="57"/>
  <c r="AH13" i="53"/>
  <c r="AD18" i="57"/>
  <c r="Q18" i="57"/>
  <c r="T18" i="57" s="1"/>
  <c r="AK18" i="52" a="1"/>
  <c r="AK18" i="52" s="1"/>
  <c r="B20" i="53" s="1"/>
  <c r="I19" i="57"/>
  <c r="F19" i="57"/>
  <c r="E19" i="57"/>
  <c r="C19" i="57"/>
  <c r="M19" i="57" s="1"/>
  <c r="K19" i="57"/>
  <c r="J19" i="57"/>
  <c r="G19" i="57"/>
  <c r="P19" i="57"/>
  <c r="H19" i="57"/>
  <c r="D19" i="57"/>
  <c r="L19" i="53"/>
  <c r="K19" i="53"/>
  <c r="I19" i="53"/>
  <c r="H19" i="53"/>
  <c r="G19" i="53"/>
  <c r="C19" i="53"/>
  <c r="P19" i="53"/>
  <c r="E19" i="53"/>
  <c r="D19" i="53"/>
  <c r="F19" i="53"/>
  <c r="J19" i="53"/>
  <c r="AK18" i="55" a="1"/>
  <c r="AK18" i="55" s="1"/>
  <c r="B20" i="57" s="1"/>
  <c r="AJ105" i="52" a="1"/>
  <c r="AJ105" i="52" s="1"/>
  <c r="AJ106" i="52" s="1" a="1"/>
  <c r="AJ106" i="52" s="1"/>
  <c r="AJ107" i="52" s="1" a="1"/>
  <c r="AJ107" i="52" s="1"/>
  <c r="AJ108" i="52" s="1" a="1"/>
  <c r="AJ108" i="52" s="1"/>
  <c r="AJ109" i="52" s="1" a="1"/>
  <c r="AJ109" i="52" s="1"/>
  <c r="AJ110" i="52" s="1" a="1"/>
  <c r="AJ110" i="52" s="1"/>
  <c r="AJ111" i="52" s="1" a="1"/>
  <c r="AJ111" i="52" s="1"/>
  <c r="AJ112" i="52" s="1" a="1"/>
  <c r="AJ112" i="52" s="1"/>
  <c r="AJ113" i="52" s="1" a="1"/>
  <c r="AJ113" i="52" s="1"/>
  <c r="AJ114" i="52" s="1" a="1"/>
  <c r="AJ114" i="52" s="1"/>
  <c r="AJ115" i="52" s="1" a="1"/>
  <c r="AJ115" i="52" s="1"/>
  <c r="AJ116" i="52" s="1" a="1"/>
  <c r="AJ116" i="52" s="1"/>
  <c r="AJ117" i="52" s="1" a="1"/>
  <c r="AJ117" i="52" s="1"/>
  <c r="AJ118" i="52" s="1" a="1"/>
  <c r="AJ118" i="52" s="1"/>
  <c r="AJ119" i="52" s="1" a="1"/>
  <c r="AJ119" i="52" s="1"/>
  <c r="AJ120" i="52" s="1" a="1"/>
  <c r="AJ120" i="52" s="1"/>
  <c r="AJ121" i="52" s="1" a="1"/>
  <c r="AJ121" i="52" s="1"/>
  <c r="AJ122" i="52" s="1" a="1"/>
  <c r="AJ122" i="52" s="1"/>
  <c r="AJ123" i="52" s="1" a="1"/>
  <c r="AJ123" i="52" s="1"/>
  <c r="AJ124" i="52" s="1" a="1"/>
  <c r="AJ124" i="52" s="1"/>
  <c r="AJ125" i="52" s="1" a="1"/>
  <c r="AJ125" i="52" s="1"/>
  <c r="AJ126" i="52" s="1" a="1"/>
  <c r="AJ126" i="52" s="1"/>
  <c r="AJ127" i="52" s="1" a="1"/>
  <c r="AJ127" i="52" s="1"/>
  <c r="AJ128" i="52" s="1" a="1"/>
  <c r="AJ128" i="52" s="1"/>
  <c r="AJ129" i="52" s="1" a="1"/>
  <c r="AJ129" i="52" s="1"/>
  <c r="AJ130" i="52" s="1" a="1"/>
  <c r="AJ130" i="52" s="1"/>
  <c r="AJ131" i="52" s="1" a="1"/>
  <c r="AJ131" i="52" s="1"/>
  <c r="AJ132" i="52" s="1" a="1"/>
  <c r="AJ132" i="52" s="1"/>
  <c r="AJ133" i="52" s="1" a="1"/>
  <c r="AJ133" i="52" s="1"/>
  <c r="AJ134" i="52" s="1" a="1"/>
  <c r="AJ134" i="52" s="1"/>
  <c r="AJ135" i="52" s="1" a="1"/>
  <c r="AJ135" i="52" s="1"/>
  <c r="AJ136" i="52" s="1" a="1"/>
  <c r="AJ136" i="52" s="1"/>
  <c r="AJ137" i="52" s="1" a="1"/>
  <c r="AJ137" i="52" s="1"/>
  <c r="AJ138" i="52" s="1" a="1"/>
  <c r="AJ138" i="52" s="1"/>
  <c r="AJ139" i="52" s="1" a="1"/>
  <c r="AJ139" i="52" s="1"/>
  <c r="AJ140" i="52" s="1" a="1"/>
  <c r="AJ140" i="52" s="1"/>
  <c r="AJ141" i="52" s="1" a="1"/>
  <c r="AJ141" i="52" s="1"/>
  <c r="AJ142" i="52" s="1" a="1"/>
  <c r="AJ142" i="52" s="1"/>
  <c r="AJ143" i="52" s="1" a="1"/>
  <c r="AJ143" i="52" s="1"/>
  <c r="AJ144" i="52" s="1" a="1"/>
  <c r="AJ144" i="52" s="1"/>
  <c r="AJ145" i="52" s="1" a="1"/>
  <c r="AJ145" i="52" s="1"/>
  <c r="AJ146" i="52" s="1" a="1"/>
  <c r="AJ146" i="52" s="1"/>
  <c r="AJ147" i="52" s="1" a="1"/>
  <c r="AJ147" i="52" s="1"/>
  <c r="AJ148" i="52" s="1" a="1"/>
  <c r="AJ148" i="52" s="1"/>
  <c r="AJ149" i="52" s="1" a="1"/>
  <c r="AJ149" i="52" s="1"/>
  <c r="AJ150" i="52" s="1" a="1"/>
  <c r="AJ150" i="52" s="1"/>
  <c r="AJ151" i="52" s="1" a="1"/>
  <c r="AJ151" i="52" s="1"/>
  <c r="AJ152" i="52" s="1" a="1"/>
  <c r="AJ152" i="52" s="1"/>
  <c r="AJ153" i="52" s="1" a="1"/>
  <c r="AJ153" i="52" s="1"/>
  <c r="AJ154" i="52" s="1" a="1"/>
  <c r="AJ154" i="52" s="1"/>
  <c r="AJ155" i="52" s="1" a="1"/>
  <c r="AJ155" i="52" s="1"/>
  <c r="AJ156" i="52" s="1" a="1"/>
  <c r="AJ156" i="52" s="1"/>
  <c r="AJ157" i="52" s="1" a="1"/>
  <c r="AJ157" i="52" s="1"/>
  <c r="AJ158" i="52" s="1" a="1"/>
  <c r="AJ158" i="52" s="1"/>
  <c r="AJ159" i="52" s="1" a="1"/>
  <c r="AJ159" i="52" s="1"/>
  <c r="AJ160" i="52" s="1" a="1"/>
  <c r="AJ160" i="52" s="1"/>
  <c r="AJ161" i="52" s="1" a="1"/>
  <c r="AJ161" i="52" s="1"/>
  <c r="AJ162" i="52" s="1" a="1"/>
  <c r="AJ162" i="52" s="1"/>
  <c r="AJ163" i="52" s="1" a="1"/>
  <c r="AJ163" i="52" s="1"/>
  <c r="AJ164" i="52" s="1" a="1"/>
  <c r="AJ164" i="52" s="1"/>
  <c r="AJ165" i="52" s="1" a="1"/>
  <c r="AJ165" i="52" s="1"/>
  <c r="AJ166" i="52" s="1" a="1"/>
  <c r="AJ166" i="52" s="1"/>
  <c r="AJ167" i="52" s="1" a="1"/>
  <c r="AJ167" i="52" s="1"/>
  <c r="AJ168" i="52" s="1" a="1"/>
  <c r="AJ168" i="52" s="1"/>
  <c r="AJ169" i="52" s="1" a="1"/>
  <c r="AJ169" i="52" s="1"/>
  <c r="AJ170" i="52" s="1" a="1"/>
  <c r="AJ170" i="52" s="1"/>
  <c r="AJ171" i="52" s="1" a="1"/>
  <c r="AJ171" i="52" s="1"/>
  <c r="AJ172" i="52" s="1" a="1"/>
  <c r="AJ172" i="52" s="1"/>
  <c r="AJ173" i="52" s="1" a="1"/>
  <c r="AJ173" i="52" s="1"/>
  <c r="AJ174" i="52" s="1" a="1"/>
  <c r="AJ174" i="52" s="1"/>
  <c r="AJ175" i="52" s="1" a="1"/>
  <c r="AJ175" i="52" s="1"/>
  <c r="AJ176" i="52" s="1" a="1"/>
  <c r="AJ176" i="52" s="1"/>
  <c r="AJ177" i="52" s="1" a="1"/>
  <c r="AJ177" i="52" s="1"/>
  <c r="AJ178" i="52" s="1" a="1"/>
  <c r="AJ178" i="52" s="1"/>
  <c r="AJ179" i="52" s="1" a="1"/>
  <c r="AJ179" i="52" s="1"/>
  <c r="AJ180" i="52" s="1" a="1"/>
  <c r="AJ180" i="52" s="1"/>
  <c r="AJ181" i="52" s="1" a="1"/>
  <c r="AJ181" i="52" s="1"/>
  <c r="AJ182" i="52" s="1" a="1"/>
  <c r="AJ182" i="52" s="1"/>
  <c r="AJ183" i="52" s="1" a="1"/>
  <c r="AJ183" i="52" s="1"/>
  <c r="AJ184" i="52" s="1" a="1"/>
  <c r="AJ184" i="52" s="1"/>
  <c r="AJ185" i="52" s="1" a="1"/>
  <c r="AJ185" i="52" s="1"/>
  <c r="AJ186" i="52" s="1" a="1"/>
  <c r="AJ186" i="52" s="1"/>
  <c r="AJ187" i="52" s="1" a="1"/>
  <c r="AJ187" i="52" s="1"/>
  <c r="AJ188" i="52" s="1" a="1"/>
  <c r="AJ188" i="52" s="1"/>
  <c r="AJ189" i="52" s="1" a="1"/>
  <c r="AJ189" i="52" s="1"/>
  <c r="AJ190" i="52" s="1" a="1"/>
  <c r="AJ190" i="52" s="1"/>
  <c r="AJ191" i="52" s="1" a="1"/>
  <c r="AJ191" i="52" s="1"/>
  <c r="AJ192" i="52" s="1" a="1"/>
  <c r="AJ192" i="52" s="1"/>
  <c r="AJ193" i="52" s="1" a="1"/>
  <c r="AJ193" i="52" s="1"/>
  <c r="AJ194" i="52" s="1" a="1"/>
  <c r="AJ194" i="52" s="1"/>
  <c r="AJ195" i="52" s="1" a="1"/>
  <c r="AJ195" i="52" s="1"/>
  <c r="AJ196" i="52" s="1" a="1"/>
  <c r="AJ196" i="52" s="1"/>
  <c r="AJ197" i="52" s="1" a="1"/>
  <c r="AJ197" i="52" s="1"/>
  <c r="AJ198" i="52" s="1" a="1"/>
  <c r="AJ198" i="52" s="1"/>
  <c r="AJ199" i="52" s="1" a="1"/>
  <c r="AJ199" i="52" s="1"/>
  <c r="AJ200" i="52" s="1" a="1"/>
  <c r="AJ200" i="52" s="1"/>
  <c r="AJ201" i="52" s="1" a="1"/>
  <c r="AJ201" i="52" s="1"/>
  <c r="AJ202" i="52" s="1" a="1"/>
  <c r="AJ202" i="52" s="1"/>
  <c r="AJ203" i="52" s="1" a="1"/>
  <c r="AJ203" i="52" s="1"/>
  <c r="AJ204" i="52" s="1" a="1"/>
  <c r="AJ204" i="52" s="1"/>
  <c r="AJ205" i="52" s="1" a="1"/>
  <c r="AJ205" i="52" s="1"/>
  <c r="AJ206" i="52" s="1" a="1"/>
  <c r="AJ206" i="52" s="1"/>
  <c r="AJ207" i="52" s="1" a="1"/>
  <c r="AJ207" i="52" s="1"/>
  <c r="AJ208" i="52" s="1" a="1"/>
  <c r="AJ208" i="52" s="1"/>
  <c r="AJ209" i="52" s="1" a="1"/>
  <c r="AJ209" i="52" s="1"/>
  <c r="AJ210" i="52" s="1" a="1"/>
  <c r="AJ210" i="52" s="1"/>
  <c r="AJ211" i="52" s="1" a="1"/>
  <c r="AJ211" i="52" s="1"/>
  <c r="AJ212" i="52" s="1" a="1"/>
  <c r="AJ212" i="52" s="1"/>
  <c r="AJ213" i="52" s="1" a="1"/>
  <c r="AJ213" i="52" s="1"/>
  <c r="AJ214" i="52" s="1" a="1"/>
  <c r="AJ214" i="52" s="1"/>
  <c r="AJ215" i="52" s="1" a="1"/>
  <c r="AJ215" i="52" s="1"/>
  <c r="AJ216" i="52" s="1" a="1"/>
  <c r="AJ216" i="52" s="1"/>
  <c r="AJ217" i="52" s="1" a="1"/>
  <c r="AJ217" i="52" s="1"/>
  <c r="AJ218" i="52" s="1" a="1"/>
  <c r="AJ218" i="52" s="1"/>
  <c r="AJ219" i="52" s="1" a="1"/>
  <c r="AJ219" i="52" s="1"/>
  <c r="AJ220" i="52" s="1" a="1"/>
  <c r="AJ220" i="52" s="1"/>
  <c r="AJ221" i="52" s="1" a="1"/>
  <c r="AJ221" i="52" s="1"/>
  <c r="AJ222" i="52" s="1" a="1"/>
  <c r="AJ222" i="52" s="1"/>
  <c r="AJ223" i="52" s="1" a="1"/>
  <c r="AJ223" i="52" s="1"/>
  <c r="AJ224" i="52" s="1" a="1"/>
  <c r="AJ224" i="52" s="1"/>
  <c r="AJ225" i="52" s="1" a="1"/>
  <c r="AJ225" i="52" s="1"/>
  <c r="AJ226" i="52" s="1" a="1"/>
  <c r="AJ226" i="52" s="1"/>
  <c r="AJ227" i="52" s="1" a="1"/>
  <c r="AJ227" i="52" s="1"/>
  <c r="AJ228" i="52" s="1" a="1"/>
  <c r="AJ228" i="52" s="1"/>
  <c r="AJ229" i="52" s="1" a="1"/>
  <c r="AJ229" i="52" s="1"/>
  <c r="AJ230" i="52" s="1" a="1"/>
  <c r="AJ230" i="52" s="1"/>
  <c r="AJ231" i="52" s="1" a="1"/>
  <c r="AJ231" i="52" s="1"/>
  <c r="AJ232" i="52" s="1" a="1"/>
  <c r="AJ232" i="52" s="1"/>
  <c r="AJ233" i="52" s="1" a="1"/>
  <c r="AJ233" i="52" s="1"/>
  <c r="AJ234" i="52" s="1" a="1"/>
  <c r="AJ234" i="52" s="1"/>
  <c r="AJ235" i="52" s="1" a="1"/>
  <c r="AJ235" i="52" s="1"/>
  <c r="AJ236" i="52" s="1" a="1"/>
  <c r="AJ236" i="52" s="1"/>
  <c r="AJ237" i="52" s="1" a="1"/>
  <c r="AJ237" i="52" s="1"/>
  <c r="AJ238" i="52" s="1" a="1"/>
  <c r="AJ238" i="52" s="1"/>
  <c r="AJ239" i="52" s="1" a="1"/>
  <c r="AJ239" i="52" s="1"/>
  <c r="AJ240" i="52" s="1" a="1"/>
  <c r="AJ240" i="52" s="1"/>
  <c r="AJ241" i="52" s="1" a="1"/>
  <c r="AJ241" i="52" s="1"/>
  <c r="AJ242" i="52" s="1" a="1"/>
  <c r="AJ242" i="52" s="1"/>
  <c r="AJ243" i="52" s="1" a="1"/>
  <c r="AJ243" i="52" s="1"/>
  <c r="AJ244" i="52" s="1" a="1"/>
  <c r="AJ244" i="52" s="1"/>
  <c r="AJ245" i="52" s="1" a="1"/>
  <c r="AJ245" i="52" s="1"/>
  <c r="AJ246" i="52" s="1" a="1"/>
  <c r="AJ246" i="52" s="1"/>
  <c r="AJ247" i="52" s="1" a="1"/>
  <c r="AJ247" i="52" s="1"/>
  <c r="AJ248" i="52" s="1" a="1"/>
  <c r="AJ248" i="52" s="1"/>
  <c r="AJ249" i="52" s="1" a="1"/>
  <c r="AJ249" i="52" s="1"/>
  <c r="AJ250" i="52" s="1" a="1"/>
  <c r="AJ250" i="52" s="1"/>
  <c r="AJ251" i="52" s="1" a="1"/>
  <c r="AJ251" i="52" s="1"/>
  <c r="AJ252" i="52" s="1" a="1"/>
  <c r="AJ252" i="52" s="1"/>
  <c r="AJ253" i="52" s="1" a="1"/>
  <c r="AJ253" i="52" s="1"/>
  <c r="AJ254" i="52" s="1" a="1"/>
  <c r="AJ254" i="52" s="1"/>
  <c r="AJ255" i="52" s="1" a="1"/>
  <c r="AJ255" i="52" s="1"/>
  <c r="AJ256" i="52" s="1" a="1"/>
  <c r="AJ256" i="52" s="1"/>
  <c r="AJ257" i="52" s="1" a="1"/>
  <c r="AJ257" i="52" s="1"/>
  <c r="R18" i="53" l="1"/>
  <c r="Q18" i="53"/>
  <c r="AT18" i="53"/>
  <c r="X17" i="57"/>
  <c r="N19" i="57"/>
  <c r="O18" i="57"/>
  <c r="AG18" i="57" s="1"/>
  <c r="AD18" i="53"/>
  <c r="AC18" i="53"/>
  <c r="N19" i="53"/>
  <c r="O19" i="53" s="1"/>
  <c r="AG19" i="53" s="1"/>
  <c r="M19" i="53"/>
  <c r="AC19" i="53" s="1"/>
  <c r="AH18" i="53"/>
  <c r="AB17" i="53"/>
  <c r="O18" i="53"/>
  <c r="AG18" i="53" s="1"/>
  <c r="AA16" i="53"/>
  <c r="AE16" i="53" s="1"/>
  <c r="AF16" i="53" s="1"/>
  <c r="AA15" i="53"/>
  <c r="AE15" i="53" s="1"/>
  <c r="AF15" i="53" s="1"/>
  <c r="AB15" i="53"/>
  <c r="AE16" i="57"/>
  <c r="AF16" i="57" s="1"/>
  <c r="AB16" i="57"/>
  <c r="AC19" i="57"/>
  <c r="R19" i="57"/>
  <c r="L20" i="57"/>
  <c r="AJ19" i="57"/>
  <c r="AP19" i="57"/>
  <c r="AG15" i="57"/>
  <c r="AJ14" i="57"/>
  <c r="AG16" i="57"/>
  <c r="AG15" i="53"/>
  <c r="AG16" i="53"/>
  <c r="AD19" i="57"/>
  <c r="L20" i="53"/>
  <c r="P20" i="53"/>
  <c r="H20" i="53"/>
  <c r="F20" i="53"/>
  <c r="D20" i="53"/>
  <c r="E20" i="53"/>
  <c r="J20" i="53"/>
  <c r="K20" i="53"/>
  <c r="G20" i="53"/>
  <c r="C20" i="53"/>
  <c r="I20" i="53"/>
  <c r="AK19" i="52" a="1"/>
  <c r="AK19" i="52" s="1"/>
  <c r="B21" i="53" s="1"/>
  <c r="I20" i="57"/>
  <c r="H20" i="57"/>
  <c r="G20" i="57"/>
  <c r="E20" i="57"/>
  <c r="P20" i="57"/>
  <c r="D20" i="57"/>
  <c r="C20" i="57"/>
  <c r="M20" i="57" s="1"/>
  <c r="K20" i="57"/>
  <c r="F20" i="57"/>
  <c r="J20" i="57"/>
  <c r="Q19" i="57"/>
  <c r="T19" i="57" s="1"/>
  <c r="AK19" i="55" a="1"/>
  <c r="AK19" i="55" s="1"/>
  <c r="B21" i="57" s="1"/>
  <c r="P258" i="11"/>
  <c r="Q258" i="11" s="1"/>
  <c r="P257" i="11"/>
  <c r="Q257" i="11" s="1"/>
  <c r="P256" i="11"/>
  <c r="Q256" i="11" s="1"/>
  <c r="P255" i="11"/>
  <c r="Q255" i="11" s="1"/>
  <c r="P254" i="11"/>
  <c r="Q254" i="11" s="1"/>
  <c r="P253" i="11"/>
  <c r="Q253" i="11" s="1"/>
  <c r="P252" i="11"/>
  <c r="Q252" i="11" s="1"/>
  <c r="P251" i="11"/>
  <c r="Q251" i="11" s="1"/>
  <c r="P250" i="11"/>
  <c r="Q250" i="11" s="1"/>
  <c r="P249" i="11"/>
  <c r="Q249" i="11" s="1"/>
  <c r="P248" i="11"/>
  <c r="Q248" i="11" s="1"/>
  <c r="P247" i="11"/>
  <c r="Q247" i="11" s="1"/>
  <c r="P246" i="11"/>
  <c r="Q246" i="11" s="1"/>
  <c r="P245" i="11"/>
  <c r="Q245" i="11" s="1"/>
  <c r="P244" i="11"/>
  <c r="Q244" i="11" s="1"/>
  <c r="P243" i="11"/>
  <c r="Q243" i="11" s="1"/>
  <c r="P242" i="11"/>
  <c r="Q242" i="11" s="1"/>
  <c r="P241" i="11"/>
  <c r="Q241" i="11" s="1"/>
  <c r="P240" i="11"/>
  <c r="Q240" i="11" s="1"/>
  <c r="P239" i="11"/>
  <c r="Q239" i="11" s="1"/>
  <c r="P238" i="11"/>
  <c r="Q238" i="11" s="1"/>
  <c r="P237" i="11"/>
  <c r="Q237" i="11" s="1"/>
  <c r="P236" i="11"/>
  <c r="Q236" i="11" s="1"/>
  <c r="P235" i="11"/>
  <c r="Q235" i="11" s="1"/>
  <c r="P234" i="11"/>
  <c r="Q234" i="11" s="1"/>
  <c r="P233" i="11"/>
  <c r="Q233" i="11" s="1"/>
  <c r="P232" i="11"/>
  <c r="Q232" i="11" s="1"/>
  <c r="P231" i="11"/>
  <c r="Q231" i="11" s="1"/>
  <c r="P230" i="11"/>
  <c r="Q230" i="11" s="1"/>
  <c r="P229" i="11"/>
  <c r="Q229" i="11" s="1"/>
  <c r="P228" i="11"/>
  <c r="Q228" i="11" s="1"/>
  <c r="P227" i="11"/>
  <c r="Q227" i="11" s="1"/>
  <c r="P226" i="11"/>
  <c r="Q226" i="11" s="1"/>
  <c r="P225" i="11"/>
  <c r="Q225" i="11" s="1"/>
  <c r="P224" i="11"/>
  <c r="Q224" i="11" s="1"/>
  <c r="P223" i="11"/>
  <c r="Q223" i="11" s="1"/>
  <c r="P222" i="11"/>
  <c r="Q222" i="11" s="1"/>
  <c r="P221" i="11"/>
  <c r="Q221" i="11" s="1"/>
  <c r="P220" i="11"/>
  <c r="Q220" i="11" s="1"/>
  <c r="P219" i="11"/>
  <c r="Q219" i="11" s="1"/>
  <c r="P218" i="11"/>
  <c r="Q218" i="11" s="1"/>
  <c r="P217" i="11"/>
  <c r="Q217" i="11" s="1"/>
  <c r="P216" i="11"/>
  <c r="Q216" i="11" s="1"/>
  <c r="P215" i="11"/>
  <c r="Q215" i="11" s="1"/>
  <c r="P214" i="11"/>
  <c r="Q214" i="11" s="1"/>
  <c r="P213" i="11"/>
  <c r="Q213" i="11" s="1"/>
  <c r="P212" i="11"/>
  <c r="Q212" i="11" s="1"/>
  <c r="P211" i="11"/>
  <c r="Q211" i="11" s="1"/>
  <c r="P210" i="11"/>
  <c r="Q210" i="11" s="1"/>
  <c r="P209" i="11"/>
  <c r="Q209" i="11" s="1"/>
  <c r="P208" i="11"/>
  <c r="Q208" i="11" s="1"/>
  <c r="P207" i="11"/>
  <c r="Q207" i="11" s="1"/>
  <c r="P206" i="11"/>
  <c r="Q206" i="11" s="1"/>
  <c r="P205" i="11"/>
  <c r="Q205" i="11" s="1"/>
  <c r="P204" i="11"/>
  <c r="Q204" i="11" s="1"/>
  <c r="P203" i="11"/>
  <c r="Q203" i="11" s="1"/>
  <c r="P202" i="11"/>
  <c r="Q202" i="11" s="1"/>
  <c r="P201" i="11"/>
  <c r="Q201" i="11" s="1"/>
  <c r="P200" i="11"/>
  <c r="Q200" i="11" s="1"/>
  <c r="P199" i="11"/>
  <c r="Q199" i="11" s="1"/>
  <c r="P198" i="11"/>
  <c r="Q198" i="11" s="1"/>
  <c r="P197" i="11"/>
  <c r="Q197" i="11" s="1"/>
  <c r="P196" i="11"/>
  <c r="Q196" i="11" s="1"/>
  <c r="P195" i="11"/>
  <c r="Q195" i="11" s="1"/>
  <c r="P194" i="11"/>
  <c r="Q194" i="11" s="1"/>
  <c r="P193" i="11"/>
  <c r="Q193" i="11" s="1"/>
  <c r="P192" i="11"/>
  <c r="Q192" i="11" s="1"/>
  <c r="P191" i="11"/>
  <c r="Q191" i="11" s="1"/>
  <c r="P190" i="11"/>
  <c r="Q190" i="11" s="1"/>
  <c r="P189" i="11"/>
  <c r="Q189" i="11" s="1"/>
  <c r="P188" i="11"/>
  <c r="Q188" i="11" s="1"/>
  <c r="P187" i="11"/>
  <c r="Q187" i="11" s="1"/>
  <c r="P186" i="11"/>
  <c r="Q186" i="11" s="1"/>
  <c r="P185" i="11"/>
  <c r="Q185" i="11" s="1"/>
  <c r="P184" i="11"/>
  <c r="Q184" i="11" s="1"/>
  <c r="P183" i="11"/>
  <c r="Q183" i="11" s="1"/>
  <c r="P182" i="11"/>
  <c r="Q182" i="11" s="1"/>
  <c r="P181" i="11"/>
  <c r="Q181" i="11" s="1"/>
  <c r="P180" i="11"/>
  <c r="Q180" i="11" s="1"/>
  <c r="P179" i="11"/>
  <c r="Q179" i="11" s="1"/>
  <c r="P178" i="11"/>
  <c r="Q178" i="11" s="1"/>
  <c r="P177" i="11"/>
  <c r="Q177" i="11" s="1"/>
  <c r="P176" i="11"/>
  <c r="Q176" i="11" s="1"/>
  <c r="P175" i="11"/>
  <c r="Q175" i="11" s="1"/>
  <c r="P174" i="11"/>
  <c r="Q174" i="11" s="1"/>
  <c r="P173" i="11"/>
  <c r="Q173" i="11" s="1"/>
  <c r="P172" i="11"/>
  <c r="Q172" i="11" s="1"/>
  <c r="P171" i="11"/>
  <c r="Q171" i="11" s="1"/>
  <c r="P170" i="11"/>
  <c r="Q170" i="11" s="1"/>
  <c r="P169" i="11"/>
  <c r="Q169" i="11" s="1"/>
  <c r="P168" i="11"/>
  <c r="Q168" i="11" s="1"/>
  <c r="P167" i="11"/>
  <c r="Q167" i="11" s="1"/>
  <c r="P166" i="11"/>
  <c r="Q166" i="11" s="1"/>
  <c r="P165" i="11"/>
  <c r="Q165" i="11" s="1"/>
  <c r="P164" i="11"/>
  <c r="Q164" i="11" s="1"/>
  <c r="P163" i="11"/>
  <c r="Q163" i="11" s="1"/>
  <c r="P162" i="11"/>
  <c r="Q162" i="11" s="1"/>
  <c r="P161" i="11"/>
  <c r="Q161" i="11" s="1"/>
  <c r="P160" i="11"/>
  <c r="Q160" i="11" s="1"/>
  <c r="P159" i="11"/>
  <c r="Q159" i="11" s="1"/>
  <c r="P158" i="11"/>
  <c r="Q158" i="11" s="1"/>
  <c r="P157" i="11"/>
  <c r="Q157" i="11" s="1"/>
  <c r="P156" i="11"/>
  <c r="Q156" i="11" s="1"/>
  <c r="P155" i="11"/>
  <c r="Q155" i="11" s="1"/>
  <c r="P154" i="11"/>
  <c r="Q154" i="11" s="1"/>
  <c r="P153" i="11"/>
  <c r="Q153" i="11" s="1"/>
  <c r="P152" i="11"/>
  <c r="Q152" i="11" s="1"/>
  <c r="P151" i="11"/>
  <c r="Q151" i="11" s="1"/>
  <c r="P150" i="11"/>
  <c r="Q150" i="11" s="1"/>
  <c r="P149" i="11"/>
  <c r="Q149" i="11" s="1"/>
  <c r="P148" i="11"/>
  <c r="Q148" i="11" s="1"/>
  <c r="P147" i="11"/>
  <c r="Q147" i="11" s="1"/>
  <c r="P146" i="11"/>
  <c r="Q146" i="11" s="1"/>
  <c r="P145" i="11"/>
  <c r="Q145" i="11" s="1"/>
  <c r="P144" i="11"/>
  <c r="Q144" i="11" s="1"/>
  <c r="H256" i="71"/>
  <c r="H255" i="71"/>
  <c r="H254" i="71"/>
  <c r="H253" i="71"/>
  <c r="H252" i="71"/>
  <c r="H251" i="71"/>
  <c r="H250" i="71"/>
  <c r="H249" i="71"/>
  <c r="H248" i="71"/>
  <c r="H247" i="71"/>
  <c r="H246" i="71"/>
  <c r="H245" i="71"/>
  <c r="H244" i="71"/>
  <c r="H243" i="71"/>
  <c r="H242" i="71"/>
  <c r="H241" i="71"/>
  <c r="H240" i="71"/>
  <c r="H239" i="71"/>
  <c r="H238" i="71"/>
  <c r="H237" i="71"/>
  <c r="H236" i="71"/>
  <c r="H235" i="71"/>
  <c r="H234" i="71"/>
  <c r="H233" i="71"/>
  <c r="H232" i="71"/>
  <c r="H231" i="71"/>
  <c r="H230" i="71"/>
  <c r="H229" i="71"/>
  <c r="H228" i="71"/>
  <c r="H227" i="71"/>
  <c r="H226" i="71"/>
  <c r="H225" i="71"/>
  <c r="H224" i="71"/>
  <c r="H223" i="71"/>
  <c r="H222" i="71"/>
  <c r="H221" i="71"/>
  <c r="H220" i="71"/>
  <c r="H219" i="71"/>
  <c r="H218" i="71"/>
  <c r="H217" i="71"/>
  <c r="H216" i="71"/>
  <c r="H215" i="71"/>
  <c r="H214" i="71"/>
  <c r="H213" i="71"/>
  <c r="H212" i="71"/>
  <c r="H211" i="71"/>
  <c r="H210" i="71"/>
  <c r="H209" i="71"/>
  <c r="H208" i="71"/>
  <c r="H207" i="71"/>
  <c r="H206" i="71"/>
  <c r="H205" i="71"/>
  <c r="H204" i="71"/>
  <c r="H203" i="71"/>
  <c r="H202" i="71"/>
  <c r="H201" i="71"/>
  <c r="H200" i="71"/>
  <c r="H199" i="71"/>
  <c r="H198" i="71"/>
  <c r="H197" i="71"/>
  <c r="H196" i="71"/>
  <c r="H195" i="71"/>
  <c r="H194" i="71"/>
  <c r="H193" i="71"/>
  <c r="H192" i="71"/>
  <c r="H191" i="71"/>
  <c r="H190" i="71"/>
  <c r="H189" i="71"/>
  <c r="H188" i="71"/>
  <c r="H187" i="71"/>
  <c r="H186" i="71"/>
  <c r="H185" i="71"/>
  <c r="H184" i="71"/>
  <c r="H183" i="71"/>
  <c r="H182" i="71"/>
  <c r="H181" i="71"/>
  <c r="H180" i="71"/>
  <c r="H179" i="71"/>
  <c r="H178" i="71"/>
  <c r="H177" i="71"/>
  <c r="H176" i="71"/>
  <c r="H175" i="71"/>
  <c r="H174" i="71"/>
  <c r="H173" i="71"/>
  <c r="H172" i="71"/>
  <c r="H171" i="71"/>
  <c r="H170" i="71"/>
  <c r="H169" i="71"/>
  <c r="H168" i="71"/>
  <c r="H167" i="71"/>
  <c r="H166" i="71"/>
  <c r="H165" i="71"/>
  <c r="H164" i="71"/>
  <c r="H163" i="71"/>
  <c r="H162" i="71"/>
  <c r="H161" i="71"/>
  <c r="H160" i="71"/>
  <c r="H159" i="71"/>
  <c r="H158" i="71"/>
  <c r="H157" i="71"/>
  <c r="H156" i="71"/>
  <c r="H155" i="71"/>
  <c r="H154" i="71"/>
  <c r="H153" i="71"/>
  <c r="H152" i="71"/>
  <c r="H151" i="71"/>
  <c r="H150" i="71"/>
  <c r="H149" i="71"/>
  <c r="H148" i="71"/>
  <c r="H147" i="71"/>
  <c r="H146" i="71"/>
  <c r="H145" i="71"/>
  <c r="H144" i="71"/>
  <c r="H143" i="71"/>
  <c r="H142" i="71"/>
  <c r="H141" i="71"/>
  <c r="H140" i="71"/>
  <c r="H139" i="71"/>
  <c r="H138" i="71"/>
  <c r="H137" i="71"/>
  <c r="H136" i="71"/>
  <c r="H135" i="71"/>
  <c r="H134" i="71"/>
  <c r="H133" i="71"/>
  <c r="H132" i="71"/>
  <c r="H131" i="71"/>
  <c r="H130" i="71"/>
  <c r="H129" i="71"/>
  <c r="H128" i="71"/>
  <c r="H127" i="71"/>
  <c r="H126" i="71"/>
  <c r="H125" i="71"/>
  <c r="H124" i="71"/>
  <c r="H123" i="71"/>
  <c r="H122" i="71"/>
  <c r="H121" i="71"/>
  <c r="H120" i="71"/>
  <c r="H119" i="71"/>
  <c r="H118" i="71"/>
  <c r="H117" i="71"/>
  <c r="H116" i="71"/>
  <c r="H115" i="71"/>
  <c r="H114" i="71"/>
  <c r="H113" i="71"/>
  <c r="H112" i="71"/>
  <c r="H111" i="71"/>
  <c r="H110" i="71"/>
  <c r="H109" i="71"/>
  <c r="H108" i="71"/>
  <c r="H107" i="71"/>
  <c r="H106" i="71"/>
  <c r="H105" i="71"/>
  <c r="H104" i="71"/>
  <c r="H103" i="71"/>
  <c r="H102" i="71"/>
  <c r="H101" i="71"/>
  <c r="H100" i="71"/>
  <c r="H99" i="71"/>
  <c r="H98" i="71"/>
  <c r="H97" i="71"/>
  <c r="H96" i="71"/>
  <c r="H95" i="71"/>
  <c r="H94" i="71"/>
  <c r="H93" i="71"/>
  <c r="H92" i="71"/>
  <c r="H91" i="71"/>
  <c r="H90" i="71"/>
  <c r="H89" i="71"/>
  <c r="H88" i="71"/>
  <c r="H87" i="71"/>
  <c r="H86" i="71"/>
  <c r="H85" i="71"/>
  <c r="H84" i="71"/>
  <c r="H83" i="71"/>
  <c r="H82" i="71"/>
  <c r="H81" i="71"/>
  <c r="H80" i="71"/>
  <c r="H79" i="71"/>
  <c r="H78" i="71"/>
  <c r="H77" i="71"/>
  <c r="H76" i="71"/>
  <c r="H75" i="71"/>
  <c r="H74" i="71"/>
  <c r="H73" i="71"/>
  <c r="H72" i="71"/>
  <c r="H71" i="71"/>
  <c r="H70" i="71"/>
  <c r="H69" i="71"/>
  <c r="H68" i="71"/>
  <c r="H67" i="71"/>
  <c r="H66" i="71"/>
  <c r="H65" i="71"/>
  <c r="H64" i="71"/>
  <c r="H63" i="71"/>
  <c r="H62" i="71"/>
  <c r="H61" i="71"/>
  <c r="H60" i="71"/>
  <c r="H59" i="71"/>
  <c r="H58" i="71"/>
  <c r="H57" i="71"/>
  <c r="H56" i="71"/>
  <c r="H55" i="71"/>
  <c r="H54" i="71"/>
  <c r="H53" i="71"/>
  <c r="H52" i="71"/>
  <c r="H51" i="71"/>
  <c r="H50" i="71"/>
  <c r="H49" i="71"/>
  <c r="H48" i="71"/>
  <c r="H47" i="71"/>
  <c r="H46" i="71"/>
  <c r="H45" i="71"/>
  <c r="H44" i="71"/>
  <c r="H43" i="71"/>
  <c r="H42" i="71"/>
  <c r="H41" i="71"/>
  <c r="H40" i="71"/>
  <c r="H39" i="71"/>
  <c r="H38" i="71"/>
  <c r="H37" i="71"/>
  <c r="H36" i="71"/>
  <c r="H35" i="71"/>
  <c r="H34" i="71"/>
  <c r="H33" i="71"/>
  <c r="H32" i="71"/>
  <c r="H31" i="71"/>
  <c r="H30" i="71"/>
  <c r="H29" i="71"/>
  <c r="H28" i="71"/>
  <c r="H27" i="71"/>
  <c r="H26" i="71"/>
  <c r="H25" i="71"/>
  <c r="H24" i="71"/>
  <c r="H23" i="71"/>
  <c r="H22" i="71"/>
  <c r="H21" i="71"/>
  <c r="H20" i="71"/>
  <c r="H19" i="71"/>
  <c r="H18" i="71"/>
  <c r="H17" i="71"/>
  <c r="H16" i="71"/>
  <c r="H15" i="71"/>
  <c r="H14" i="71"/>
  <c r="H13" i="71"/>
  <c r="H12" i="71"/>
  <c r="H11" i="71"/>
  <c r="I258" i="59"/>
  <c r="I257" i="59"/>
  <c r="I256" i="59"/>
  <c r="I255" i="59"/>
  <c r="I254" i="59"/>
  <c r="I253" i="59"/>
  <c r="I252" i="59"/>
  <c r="I251" i="59"/>
  <c r="I250" i="59"/>
  <c r="I249" i="59"/>
  <c r="I248" i="59"/>
  <c r="I247" i="59"/>
  <c r="I246" i="59"/>
  <c r="I245" i="59"/>
  <c r="I244" i="59"/>
  <c r="I243" i="59"/>
  <c r="I242" i="59"/>
  <c r="I241" i="59"/>
  <c r="I240" i="59"/>
  <c r="I239" i="59"/>
  <c r="I238" i="59"/>
  <c r="I237" i="59"/>
  <c r="I236" i="59"/>
  <c r="I235" i="59"/>
  <c r="I234" i="59"/>
  <c r="I233" i="59"/>
  <c r="I232" i="59"/>
  <c r="I231" i="59"/>
  <c r="I230" i="59"/>
  <c r="I229" i="59"/>
  <c r="I228" i="59"/>
  <c r="I227" i="59"/>
  <c r="I226" i="59"/>
  <c r="I225" i="59"/>
  <c r="I224" i="59"/>
  <c r="I223" i="59"/>
  <c r="I222" i="59"/>
  <c r="I221" i="59"/>
  <c r="I220" i="59"/>
  <c r="I219" i="59"/>
  <c r="I218" i="59"/>
  <c r="I217" i="59"/>
  <c r="I216" i="59"/>
  <c r="I215" i="59"/>
  <c r="I214" i="59"/>
  <c r="I213" i="59"/>
  <c r="I212" i="59"/>
  <c r="I211" i="59"/>
  <c r="I210" i="59"/>
  <c r="I209" i="59"/>
  <c r="I208" i="59"/>
  <c r="I207" i="59"/>
  <c r="I206" i="59"/>
  <c r="I205" i="59"/>
  <c r="I204" i="59"/>
  <c r="I203" i="59"/>
  <c r="I202" i="59"/>
  <c r="I201" i="59"/>
  <c r="I200" i="59"/>
  <c r="I199" i="59"/>
  <c r="I198" i="59"/>
  <c r="I197" i="59"/>
  <c r="I196" i="59"/>
  <c r="I195" i="59"/>
  <c r="I194" i="59"/>
  <c r="I193" i="59"/>
  <c r="I192" i="59"/>
  <c r="I191" i="59"/>
  <c r="I190" i="59"/>
  <c r="I189" i="59"/>
  <c r="I188" i="59"/>
  <c r="I187" i="59"/>
  <c r="I186" i="59"/>
  <c r="I185" i="59"/>
  <c r="I184" i="59"/>
  <c r="I183" i="59"/>
  <c r="I182" i="59"/>
  <c r="I181" i="59"/>
  <c r="I180" i="59"/>
  <c r="I179" i="59"/>
  <c r="I178" i="59"/>
  <c r="I177" i="59"/>
  <c r="I176" i="59"/>
  <c r="I175" i="59"/>
  <c r="I174" i="59"/>
  <c r="I173" i="59"/>
  <c r="I172" i="59"/>
  <c r="I171" i="59"/>
  <c r="I170" i="59"/>
  <c r="I169" i="59"/>
  <c r="I168" i="59"/>
  <c r="I167" i="59"/>
  <c r="I166" i="59"/>
  <c r="I165" i="59"/>
  <c r="I164" i="59"/>
  <c r="I163" i="59"/>
  <c r="I162" i="59"/>
  <c r="I161" i="59"/>
  <c r="I160" i="59"/>
  <c r="I159" i="59"/>
  <c r="I158" i="59"/>
  <c r="I157" i="59"/>
  <c r="I156" i="59"/>
  <c r="I155" i="59"/>
  <c r="I154" i="59"/>
  <c r="I153" i="59"/>
  <c r="I152" i="59"/>
  <c r="I151" i="59"/>
  <c r="I150" i="59"/>
  <c r="I149" i="59"/>
  <c r="I148" i="59"/>
  <c r="I147" i="59"/>
  <c r="I146" i="59"/>
  <c r="I145" i="59"/>
  <c r="I144" i="59"/>
  <c r="I143" i="59"/>
  <c r="I142" i="59"/>
  <c r="I141" i="59"/>
  <c r="I140" i="59"/>
  <c r="I139" i="59"/>
  <c r="I138" i="59"/>
  <c r="I137" i="59"/>
  <c r="I136" i="59"/>
  <c r="I135" i="59"/>
  <c r="I134" i="59"/>
  <c r="I133" i="59"/>
  <c r="I132" i="59"/>
  <c r="I131" i="59"/>
  <c r="I130" i="59"/>
  <c r="I129" i="59"/>
  <c r="I128" i="59"/>
  <c r="I127" i="59"/>
  <c r="I126" i="59"/>
  <c r="I125" i="59"/>
  <c r="I124" i="59"/>
  <c r="I123" i="59"/>
  <c r="I122" i="59"/>
  <c r="I121" i="59"/>
  <c r="I120" i="59"/>
  <c r="I119" i="59"/>
  <c r="I118" i="59"/>
  <c r="I117" i="59"/>
  <c r="I116" i="59"/>
  <c r="I115" i="59"/>
  <c r="I114" i="59"/>
  <c r="I113" i="59"/>
  <c r="I112" i="59"/>
  <c r="I111" i="59"/>
  <c r="I110" i="59"/>
  <c r="I109" i="59"/>
  <c r="I108" i="59"/>
  <c r="I107" i="59"/>
  <c r="I106" i="59"/>
  <c r="I105" i="59"/>
  <c r="I104" i="59"/>
  <c r="I103" i="59"/>
  <c r="I102" i="59"/>
  <c r="I101" i="59"/>
  <c r="I100" i="59"/>
  <c r="I99" i="59"/>
  <c r="I98" i="59"/>
  <c r="I97" i="59"/>
  <c r="I96" i="59"/>
  <c r="I95" i="59"/>
  <c r="I94" i="59"/>
  <c r="I93" i="59"/>
  <c r="I92" i="59"/>
  <c r="I91" i="59"/>
  <c r="I90" i="59"/>
  <c r="I89" i="59"/>
  <c r="I88" i="59"/>
  <c r="I87" i="59"/>
  <c r="I86" i="59"/>
  <c r="I85" i="59"/>
  <c r="I84" i="59"/>
  <c r="I83" i="59"/>
  <c r="I82" i="59"/>
  <c r="I81" i="59"/>
  <c r="I80" i="59"/>
  <c r="I79" i="59"/>
  <c r="I78" i="59"/>
  <c r="I77" i="59"/>
  <c r="I76" i="59"/>
  <c r="I75" i="59"/>
  <c r="I74" i="59"/>
  <c r="I73" i="59"/>
  <c r="I72" i="59"/>
  <c r="I71" i="59"/>
  <c r="I70" i="59"/>
  <c r="I69" i="59"/>
  <c r="I68" i="59"/>
  <c r="I67" i="59"/>
  <c r="I66" i="59"/>
  <c r="I65" i="59"/>
  <c r="I64" i="59"/>
  <c r="I63" i="59"/>
  <c r="I62" i="59"/>
  <c r="I61" i="59"/>
  <c r="I60" i="59"/>
  <c r="I59" i="59"/>
  <c r="I58" i="59"/>
  <c r="I57" i="59"/>
  <c r="I56" i="59"/>
  <c r="I55" i="59"/>
  <c r="I54" i="59"/>
  <c r="I53" i="59"/>
  <c r="I52" i="59"/>
  <c r="I51" i="59"/>
  <c r="I50" i="59"/>
  <c r="I49" i="59"/>
  <c r="I48" i="59"/>
  <c r="I47" i="59"/>
  <c r="I46" i="59"/>
  <c r="I45" i="59"/>
  <c r="I44" i="59"/>
  <c r="I43" i="59"/>
  <c r="I42" i="59"/>
  <c r="I41" i="59"/>
  <c r="I40" i="59"/>
  <c r="I39" i="59"/>
  <c r="I38" i="59"/>
  <c r="I37" i="59"/>
  <c r="I36" i="59"/>
  <c r="I35" i="59"/>
  <c r="I34" i="59"/>
  <c r="I33" i="59"/>
  <c r="I32" i="59"/>
  <c r="I31" i="59"/>
  <c r="I30" i="59"/>
  <c r="I29" i="59"/>
  <c r="I28" i="59"/>
  <c r="I27" i="59"/>
  <c r="I26" i="59"/>
  <c r="I25" i="59"/>
  <c r="I24" i="59"/>
  <c r="I23" i="59"/>
  <c r="I22" i="59"/>
  <c r="I21" i="59"/>
  <c r="I20" i="59"/>
  <c r="I19" i="59"/>
  <c r="I18" i="59"/>
  <c r="I17" i="59"/>
  <c r="I16" i="59"/>
  <c r="I15" i="59"/>
  <c r="I14" i="59"/>
  <c r="I13" i="59"/>
  <c r="I12" i="59"/>
  <c r="I11" i="59"/>
  <c r="H256" i="46"/>
  <c r="H255" i="46"/>
  <c r="H254" i="46"/>
  <c r="H253" i="46"/>
  <c r="H252" i="46"/>
  <c r="H251" i="46"/>
  <c r="H250" i="46"/>
  <c r="H249" i="46"/>
  <c r="H248" i="46"/>
  <c r="H247" i="46"/>
  <c r="H246" i="46"/>
  <c r="H245" i="46"/>
  <c r="H244" i="46"/>
  <c r="H243" i="46"/>
  <c r="H242" i="46"/>
  <c r="H241" i="46"/>
  <c r="H240" i="46"/>
  <c r="H239" i="46"/>
  <c r="H238" i="46"/>
  <c r="H237" i="46"/>
  <c r="H236" i="46"/>
  <c r="H235" i="46"/>
  <c r="H234" i="46"/>
  <c r="H233" i="46"/>
  <c r="H232" i="46"/>
  <c r="H231" i="46"/>
  <c r="H230" i="46"/>
  <c r="H229" i="46"/>
  <c r="H228" i="46"/>
  <c r="H227" i="46"/>
  <c r="H226" i="46"/>
  <c r="H225" i="46"/>
  <c r="H224" i="46"/>
  <c r="H223" i="46"/>
  <c r="H222" i="46"/>
  <c r="H221" i="46"/>
  <c r="H220" i="46"/>
  <c r="H219" i="46"/>
  <c r="H218" i="46"/>
  <c r="H217" i="46"/>
  <c r="H216" i="46"/>
  <c r="H215" i="46"/>
  <c r="H214" i="46"/>
  <c r="H213" i="46"/>
  <c r="H212" i="46"/>
  <c r="H211" i="46"/>
  <c r="H210" i="46"/>
  <c r="H209" i="46"/>
  <c r="H208" i="46"/>
  <c r="H207" i="46"/>
  <c r="H206" i="46"/>
  <c r="H205" i="46"/>
  <c r="H204" i="46"/>
  <c r="H203" i="46"/>
  <c r="H202" i="46"/>
  <c r="H201" i="46"/>
  <c r="H200" i="46"/>
  <c r="H199" i="46"/>
  <c r="H198" i="46"/>
  <c r="H197" i="46"/>
  <c r="H196" i="46"/>
  <c r="H195" i="46"/>
  <c r="H194" i="46"/>
  <c r="H193" i="46"/>
  <c r="H192" i="46"/>
  <c r="H191" i="46"/>
  <c r="H190" i="46"/>
  <c r="H189" i="46"/>
  <c r="H188" i="46"/>
  <c r="H187" i="46"/>
  <c r="H186" i="46"/>
  <c r="H185" i="46"/>
  <c r="H184" i="46"/>
  <c r="H183" i="46"/>
  <c r="H182" i="46"/>
  <c r="H181" i="46"/>
  <c r="H180" i="46"/>
  <c r="H179" i="46"/>
  <c r="H178" i="46"/>
  <c r="H177" i="46"/>
  <c r="H176" i="46"/>
  <c r="H175" i="46"/>
  <c r="H174" i="46"/>
  <c r="H173" i="46"/>
  <c r="H172" i="46"/>
  <c r="H171" i="46"/>
  <c r="H170" i="46"/>
  <c r="H169" i="46"/>
  <c r="H168" i="46"/>
  <c r="H167" i="46"/>
  <c r="H166" i="46"/>
  <c r="H165" i="46"/>
  <c r="H164" i="46"/>
  <c r="H163" i="46"/>
  <c r="H162" i="46"/>
  <c r="H161" i="46"/>
  <c r="H160" i="46"/>
  <c r="H159" i="46"/>
  <c r="H158" i="46"/>
  <c r="H157" i="46"/>
  <c r="H156" i="46"/>
  <c r="H155" i="46"/>
  <c r="H154" i="46"/>
  <c r="H153" i="46"/>
  <c r="H152" i="46"/>
  <c r="H151" i="46"/>
  <c r="H150" i="46"/>
  <c r="H149" i="46"/>
  <c r="H148" i="46"/>
  <c r="H147" i="46"/>
  <c r="H146" i="46"/>
  <c r="H145" i="46"/>
  <c r="H144" i="46"/>
  <c r="H143" i="46"/>
  <c r="H142" i="46"/>
  <c r="H141" i="46"/>
  <c r="H140" i="46"/>
  <c r="H139" i="46"/>
  <c r="H138" i="46"/>
  <c r="H137" i="46"/>
  <c r="H136" i="46"/>
  <c r="H135" i="46"/>
  <c r="H134" i="46"/>
  <c r="H133" i="46"/>
  <c r="H132" i="46"/>
  <c r="H131" i="46"/>
  <c r="H130" i="46"/>
  <c r="H129" i="46"/>
  <c r="H128" i="46"/>
  <c r="H127" i="46"/>
  <c r="H126" i="46"/>
  <c r="H125" i="46"/>
  <c r="H124" i="46"/>
  <c r="H123" i="46"/>
  <c r="H122" i="46"/>
  <c r="H121" i="46"/>
  <c r="H120" i="46"/>
  <c r="H119" i="46"/>
  <c r="H118" i="46"/>
  <c r="H117" i="46"/>
  <c r="H116" i="46"/>
  <c r="H115" i="46"/>
  <c r="H114" i="46"/>
  <c r="H113" i="46"/>
  <c r="H112" i="46"/>
  <c r="H111" i="46"/>
  <c r="H110" i="46"/>
  <c r="H109" i="46"/>
  <c r="H108" i="46"/>
  <c r="H107" i="46"/>
  <c r="H106" i="46"/>
  <c r="H105" i="46"/>
  <c r="H104" i="46"/>
  <c r="H103" i="46"/>
  <c r="H102" i="46"/>
  <c r="H101" i="46"/>
  <c r="H100" i="46"/>
  <c r="H99" i="46"/>
  <c r="H98" i="46"/>
  <c r="H97" i="46"/>
  <c r="H96" i="46"/>
  <c r="H95" i="46"/>
  <c r="H94" i="46"/>
  <c r="H93" i="46"/>
  <c r="H92" i="46"/>
  <c r="H91" i="46"/>
  <c r="H90" i="46"/>
  <c r="H89" i="46"/>
  <c r="H88" i="46"/>
  <c r="H87" i="46"/>
  <c r="H86" i="46"/>
  <c r="H85" i="46"/>
  <c r="H84" i="46"/>
  <c r="H83" i="46"/>
  <c r="H82" i="46"/>
  <c r="H81" i="46"/>
  <c r="H80" i="46"/>
  <c r="H79" i="46"/>
  <c r="H78" i="46"/>
  <c r="H77" i="46"/>
  <c r="H76" i="46"/>
  <c r="H75" i="46"/>
  <c r="H74" i="46"/>
  <c r="H73" i="46"/>
  <c r="H72" i="46"/>
  <c r="H71" i="46"/>
  <c r="H70" i="46"/>
  <c r="H69" i="46"/>
  <c r="H68" i="46"/>
  <c r="H67" i="46"/>
  <c r="H66" i="46"/>
  <c r="H65" i="46"/>
  <c r="H64" i="46"/>
  <c r="H63" i="46"/>
  <c r="H62" i="46"/>
  <c r="H61" i="46"/>
  <c r="H60" i="46"/>
  <c r="H59" i="46"/>
  <c r="H58" i="46"/>
  <c r="H57" i="46"/>
  <c r="H56" i="46"/>
  <c r="H55" i="46"/>
  <c r="H54" i="46"/>
  <c r="H53" i="46"/>
  <c r="H52" i="46"/>
  <c r="H51" i="46"/>
  <c r="H50" i="46"/>
  <c r="H49" i="46"/>
  <c r="H48" i="46"/>
  <c r="H47" i="46"/>
  <c r="H46" i="46"/>
  <c r="H45" i="46"/>
  <c r="H44" i="46"/>
  <c r="H43" i="46"/>
  <c r="H42" i="46"/>
  <c r="H41" i="46"/>
  <c r="H40" i="46"/>
  <c r="H39" i="46"/>
  <c r="H38" i="46"/>
  <c r="H37" i="46"/>
  <c r="H36" i="46"/>
  <c r="H35" i="46"/>
  <c r="H34" i="46"/>
  <c r="H33" i="46"/>
  <c r="H32" i="46"/>
  <c r="H31" i="46"/>
  <c r="H30" i="46"/>
  <c r="H29" i="46"/>
  <c r="H28" i="46"/>
  <c r="H27" i="46"/>
  <c r="H26" i="46"/>
  <c r="H25" i="46"/>
  <c r="H24" i="46"/>
  <c r="H23" i="46"/>
  <c r="H22" i="46"/>
  <c r="H21" i="46"/>
  <c r="H20" i="46"/>
  <c r="H19" i="46"/>
  <c r="H18" i="46"/>
  <c r="H17" i="46"/>
  <c r="H16" i="46"/>
  <c r="H15" i="46"/>
  <c r="H14" i="46"/>
  <c r="H13" i="46"/>
  <c r="H12" i="46"/>
  <c r="H11" i="46"/>
  <c r="I258" i="11"/>
  <c r="I257" i="11"/>
  <c r="I256" i="11"/>
  <c r="I255" i="11"/>
  <c r="I254" i="11"/>
  <c r="I253" i="11"/>
  <c r="I252" i="11"/>
  <c r="I251" i="11"/>
  <c r="I250" i="11"/>
  <c r="I249" i="11"/>
  <c r="I248" i="11"/>
  <c r="I247" i="11"/>
  <c r="I246" i="11"/>
  <c r="I245" i="11"/>
  <c r="I244" i="11"/>
  <c r="I243" i="11"/>
  <c r="I242" i="11"/>
  <c r="I241" i="11"/>
  <c r="I240" i="11"/>
  <c r="I239" i="11"/>
  <c r="I238" i="11"/>
  <c r="I237" i="11"/>
  <c r="I236" i="11"/>
  <c r="I235" i="11"/>
  <c r="I234" i="11"/>
  <c r="I233" i="11"/>
  <c r="I232" i="11"/>
  <c r="I231" i="11"/>
  <c r="I230" i="11"/>
  <c r="I229" i="11"/>
  <c r="I228" i="11"/>
  <c r="I227" i="11"/>
  <c r="I226" i="11"/>
  <c r="I225" i="11"/>
  <c r="I224" i="11"/>
  <c r="I223" i="11"/>
  <c r="I222" i="11"/>
  <c r="I221" i="11"/>
  <c r="I220" i="11"/>
  <c r="I219" i="11"/>
  <c r="I218" i="11"/>
  <c r="I217" i="11"/>
  <c r="I216" i="11"/>
  <c r="I215" i="11"/>
  <c r="I214" i="11"/>
  <c r="I213" i="11"/>
  <c r="I212" i="11"/>
  <c r="I211" i="11"/>
  <c r="I210" i="11"/>
  <c r="I209" i="11"/>
  <c r="I208" i="11"/>
  <c r="I207" i="11"/>
  <c r="I206" i="11"/>
  <c r="I205" i="11"/>
  <c r="I204" i="11"/>
  <c r="I203" i="11"/>
  <c r="I202" i="11"/>
  <c r="I201" i="11"/>
  <c r="I200" i="11"/>
  <c r="I199" i="11"/>
  <c r="I198" i="11"/>
  <c r="I197" i="11"/>
  <c r="I196" i="11"/>
  <c r="I195" i="11"/>
  <c r="I194" i="11"/>
  <c r="I193" i="11"/>
  <c r="I192" i="11"/>
  <c r="I191" i="11"/>
  <c r="I190" i="11"/>
  <c r="I189" i="11"/>
  <c r="I188" i="11"/>
  <c r="I187" i="11"/>
  <c r="I186" i="11"/>
  <c r="I185" i="11"/>
  <c r="I184" i="11"/>
  <c r="I183" i="11"/>
  <c r="I182" i="11"/>
  <c r="I181" i="11"/>
  <c r="I180" i="11"/>
  <c r="I179" i="11"/>
  <c r="I178" i="11"/>
  <c r="I177" i="11"/>
  <c r="I176" i="11"/>
  <c r="I175" i="11"/>
  <c r="I174" i="11"/>
  <c r="I173" i="11"/>
  <c r="I172" i="11"/>
  <c r="I171" i="11"/>
  <c r="I170" i="11"/>
  <c r="I169" i="11"/>
  <c r="I168" i="11"/>
  <c r="I167" i="11"/>
  <c r="I166" i="11"/>
  <c r="I165" i="11"/>
  <c r="I164" i="11"/>
  <c r="I163" i="11"/>
  <c r="I162" i="11"/>
  <c r="I161" i="11"/>
  <c r="I160" i="11"/>
  <c r="I159" i="11"/>
  <c r="I158" i="11"/>
  <c r="I157" i="11"/>
  <c r="I156" i="11"/>
  <c r="I155" i="11"/>
  <c r="I154" i="11"/>
  <c r="I153" i="11"/>
  <c r="I152" i="11"/>
  <c r="I151" i="11"/>
  <c r="I150" i="11"/>
  <c r="I149" i="11"/>
  <c r="I148" i="11"/>
  <c r="I147" i="11"/>
  <c r="I146" i="11"/>
  <c r="I145" i="11"/>
  <c r="I144" i="11"/>
  <c r="I143" i="11"/>
  <c r="I142" i="11"/>
  <c r="I141" i="11"/>
  <c r="I140" i="11"/>
  <c r="I139" i="11"/>
  <c r="I138" i="11"/>
  <c r="I137" i="11"/>
  <c r="I136" i="11"/>
  <c r="I135" i="11"/>
  <c r="I134" i="11"/>
  <c r="I133" i="11"/>
  <c r="I132" i="11"/>
  <c r="I131" i="11"/>
  <c r="I130" i="11"/>
  <c r="I129" i="11"/>
  <c r="I128" i="11"/>
  <c r="I127" i="11"/>
  <c r="I126" i="11"/>
  <c r="I125" i="11"/>
  <c r="I124" i="11"/>
  <c r="I123" i="11"/>
  <c r="I122" i="11"/>
  <c r="I121" i="11"/>
  <c r="I120" i="11"/>
  <c r="I119" i="11"/>
  <c r="I118" i="11"/>
  <c r="I117" i="11"/>
  <c r="I116" i="11"/>
  <c r="I115" i="11"/>
  <c r="I114" i="11"/>
  <c r="I113" i="11"/>
  <c r="I112" i="11"/>
  <c r="I111" i="11"/>
  <c r="I110" i="11"/>
  <c r="I109" i="11"/>
  <c r="I108" i="11"/>
  <c r="I107" i="11"/>
  <c r="I106" i="11"/>
  <c r="I105" i="11"/>
  <c r="I104" i="11"/>
  <c r="I103" i="11"/>
  <c r="I102" i="11"/>
  <c r="I101" i="11"/>
  <c r="I100" i="11"/>
  <c r="I99" i="11"/>
  <c r="I98" i="11"/>
  <c r="I97" i="11"/>
  <c r="I96" i="11"/>
  <c r="I95" i="11"/>
  <c r="I94" i="11"/>
  <c r="I93" i="11"/>
  <c r="I92" i="11"/>
  <c r="I91" i="11"/>
  <c r="I90" i="11"/>
  <c r="I89" i="11"/>
  <c r="I88" i="11"/>
  <c r="I87" i="11"/>
  <c r="I86" i="11"/>
  <c r="I85" i="11"/>
  <c r="I84" i="11"/>
  <c r="I83" i="11"/>
  <c r="I82" i="11"/>
  <c r="I81" i="11"/>
  <c r="I80" i="11"/>
  <c r="I79" i="11"/>
  <c r="I78" i="11"/>
  <c r="I77" i="11"/>
  <c r="I76" i="11"/>
  <c r="I75" i="11"/>
  <c r="I74" i="11"/>
  <c r="I73" i="11"/>
  <c r="I72" i="11"/>
  <c r="I71" i="11"/>
  <c r="I70" i="11"/>
  <c r="I69" i="11"/>
  <c r="I68" i="11"/>
  <c r="I67" i="11"/>
  <c r="I66" i="11"/>
  <c r="I65" i="11"/>
  <c r="I64" i="11"/>
  <c r="I63" i="11"/>
  <c r="I62" i="11"/>
  <c r="I61" i="11"/>
  <c r="I60" i="11"/>
  <c r="I59" i="11"/>
  <c r="I58" i="11"/>
  <c r="I57" i="11"/>
  <c r="I56" i="11"/>
  <c r="I55" i="11"/>
  <c r="I54" i="11"/>
  <c r="I53" i="11"/>
  <c r="I52" i="11"/>
  <c r="I51" i="11"/>
  <c r="I50" i="11"/>
  <c r="I49" i="11"/>
  <c r="I48" i="11"/>
  <c r="I47" i="11"/>
  <c r="I46" i="11"/>
  <c r="I45" i="11"/>
  <c r="I44" i="11"/>
  <c r="I43" i="11"/>
  <c r="I42" i="11"/>
  <c r="I41" i="11"/>
  <c r="I40" i="11"/>
  <c r="I39" i="11"/>
  <c r="I38" i="11"/>
  <c r="I37" i="11"/>
  <c r="I36" i="11"/>
  <c r="I35" i="11"/>
  <c r="I34" i="11"/>
  <c r="I33" i="11"/>
  <c r="I32" i="11"/>
  <c r="I31" i="11"/>
  <c r="I30" i="11"/>
  <c r="I29" i="11"/>
  <c r="I28" i="11"/>
  <c r="I27" i="11"/>
  <c r="I26" i="11"/>
  <c r="I25" i="11"/>
  <c r="I24" i="11"/>
  <c r="I23" i="11"/>
  <c r="I21" i="11"/>
  <c r="I20" i="11"/>
  <c r="I19" i="11"/>
  <c r="I18" i="11"/>
  <c r="I17" i="11"/>
  <c r="I16" i="11"/>
  <c r="I15" i="11"/>
  <c r="I14" i="11"/>
  <c r="I13" i="11"/>
  <c r="I12" i="11"/>
  <c r="I11" i="11"/>
  <c r="A130" i="99"/>
  <c r="A129" i="99"/>
  <c r="A128" i="99"/>
  <c r="A127" i="99"/>
  <c r="A126" i="99"/>
  <c r="A121" i="99"/>
  <c r="A120" i="99"/>
  <c r="A116" i="99"/>
  <c r="A113" i="99"/>
  <c r="C128" i="33"/>
  <c r="C127" i="33"/>
  <c r="C131" i="33"/>
  <c r="C130" i="33"/>
  <c r="C129" i="33"/>
  <c r="C122" i="33"/>
  <c r="C121" i="33"/>
  <c r="C117" i="33"/>
  <c r="C114" i="33"/>
  <c r="F130" i="20"/>
  <c r="F129" i="20"/>
  <c r="F128" i="20"/>
  <c r="F127" i="20"/>
  <c r="F126" i="20"/>
  <c r="F121" i="20"/>
  <c r="F120" i="20"/>
  <c r="F116" i="20"/>
  <c r="F113" i="20"/>
  <c r="D129" i="28"/>
  <c r="B129" i="28"/>
  <c r="A129" i="28"/>
  <c r="D128" i="28"/>
  <c r="B128" i="28"/>
  <c r="A128" i="28"/>
  <c r="D127" i="28"/>
  <c r="B127" i="28"/>
  <c r="A127" i="28"/>
  <c r="D126" i="28"/>
  <c r="B126" i="28"/>
  <c r="A126" i="28"/>
  <c r="D125" i="28"/>
  <c r="B125" i="28"/>
  <c r="A125" i="28"/>
  <c r="D124" i="28"/>
  <c r="B124" i="28"/>
  <c r="A124" i="28"/>
  <c r="D123" i="28"/>
  <c r="B123" i="28"/>
  <c r="A123" i="28"/>
  <c r="D122" i="28"/>
  <c r="B122" i="28"/>
  <c r="A122" i="28"/>
  <c r="A121" i="28"/>
  <c r="C121" i="22"/>
  <c r="B121" i="22"/>
  <c r="A121" i="22"/>
  <c r="F121" i="22" s="1"/>
  <c r="C120" i="22"/>
  <c r="B120" i="22"/>
  <c r="A120" i="22"/>
  <c r="F120" i="22" s="1"/>
  <c r="C113" i="22"/>
  <c r="B113" i="22"/>
  <c r="A113" i="22"/>
  <c r="F113" i="22" s="1"/>
  <c r="C112" i="22"/>
  <c r="B112" i="22"/>
  <c r="A112" i="22"/>
  <c r="F112" i="22" s="1"/>
  <c r="C116" i="22"/>
  <c r="B116" i="22"/>
  <c r="A116" i="22"/>
  <c r="F116" i="22" s="1"/>
  <c r="L115" i="29"/>
  <c r="M115" i="29"/>
  <c r="D116" i="22" s="1"/>
  <c r="Q115" i="29"/>
  <c r="E127" i="28" s="1"/>
  <c r="O115" i="29"/>
  <c r="C127" i="28" s="1"/>
  <c r="Q109" i="29"/>
  <c r="E126" i="28" s="1"/>
  <c r="O109" i="29"/>
  <c r="C126" i="28" s="1"/>
  <c r="Q129" i="29"/>
  <c r="E125" i="28" s="1"/>
  <c r="O129" i="29"/>
  <c r="C125" i="28" s="1"/>
  <c r="Q128" i="29"/>
  <c r="E124" i="28" s="1"/>
  <c r="O128" i="29"/>
  <c r="C124" i="28" s="1"/>
  <c r="Q127" i="29"/>
  <c r="E123" i="28" s="1"/>
  <c r="O127" i="29"/>
  <c r="C123" i="28" s="1"/>
  <c r="Q126" i="29"/>
  <c r="E122" i="28" s="1"/>
  <c r="O126" i="29"/>
  <c r="C122" i="28" s="1"/>
  <c r="M126" i="29"/>
  <c r="P62" i="11" s="1"/>
  <c r="Q62" i="11" s="1"/>
  <c r="L126" i="29"/>
  <c r="M120" i="29"/>
  <c r="D121" i="22" s="1"/>
  <c r="M119" i="29"/>
  <c r="D120" i="22" s="1"/>
  <c r="Q120" i="29"/>
  <c r="E129" i="28" s="1"/>
  <c r="Q119" i="29"/>
  <c r="E128" i="28" s="1"/>
  <c r="O120" i="29"/>
  <c r="C129" i="28" s="1"/>
  <c r="O119" i="29"/>
  <c r="C128" i="28" s="1"/>
  <c r="Q125" i="29"/>
  <c r="O125" i="29"/>
  <c r="AB17" i="57" l="1"/>
  <c r="AA17" i="57"/>
  <c r="Q19" i="53"/>
  <c r="AD19" i="53"/>
  <c r="AT19" i="53"/>
  <c r="R19" i="53"/>
  <c r="X19" i="53" s="1"/>
  <c r="AB19" i="53" s="1"/>
  <c r="AH19" i="53"/>
  <c r="AE17" i="57"/>
  <c r="AF17" i="57" s="1"/>
  <c r="O19" i="57"/>
  <c r="AG19" i="57" s="1"/>
  <c r="X18" i="57"/>
  <c r="N20" i="57"/>
  <c r="N20" i="53"/>
  <c r="M20" i="53"/>
  <c r="AH20" i="53" s="1"/>
  <c r="X18" i="53"/>
  <c r="AC20" i="57"/>
  <c r="R20" i="57"/>
  <c r="S116" i="22"/>
  <c r="E116" i="22"/>
  <c r="E120" i="22"/>
  <c r="S120" i="22"/>
  <c r="S112" i="22"/>
  <c r="E112" i="22"/>
  <c r="E121" i="22"/>
  <c r="S121" i="22"/>
  <c r="S113" i="22"/>
  <c r="E113" i="22"/>
  <c r="P54" i="11"/>
  <c r="Q54" i="11" s="1"/>
  <c r="P56" i="11"/>
  <c r="Q56" i="11" s="1"/>
  <c r="P57" i="11"/>
  <c r="Q57" i="11" s="1"/>
  <c r="L21" i="57"/>
  <c r="AJ20" i="57"/>
  <c r="AP20" i="57"/>
  <c r="AJ15" i="57"/>
  <c r="AH14" i="53"/>
  <c r="AD20" i="57"/>
  <c r="AK20" i="52" a="1"/>
  <c r="AK20" i="52" s="1"/>
  <c r="B22" i="53" s="1"/>
  <c r="G21" i="57"/>
  <c r="J21" i="57"/>
  <c r="F21" i="57"/>
  <c r="K21" i="57"/>
  <c r="P21" i="57"/>
  <c r="C21" i="57"/>
  <c r="M21" i="57" s="1"/>
  <c r="H21" i="57"/>
  <c r="E21" i="57"/>
  <c r="I21" i="57"/>
  <c r="D21" i="57"/>
  <c r="Q20" i="57"/>
  <c r="T20" i="57" s="1"/>
  <c r="K21" i="53"/>
  <c r="I21" i="53"/>
  <c r="G21" i="53"/>
  <c r="E21" i="53"/>
  <c r="C21" i="53"/>
  <c r="H21" i="53"/>
  <c r="L21" i="53"/>
  <c r="P21" i="53"/>
  <c r="D21" i="53"/>
  <c r="J21" i="53"/>
  <c r="F21" i="53"/>
  <c r="AK20" i="55" a="1"/>
  <c r="AK20" i="55" s="1"/>
  <c r="B22" i="57" s="1"/>
  <c r="W120" i="22"/>
  <c r="W121" i="22"/>
  <c r="T120" i="22"/>
  <c r="X120" i="22"/>
  <c r="T121" i="22"/>
  <c r="X121" i="22"/>
  <c r="G120" i="22"/>
  <c r="K120" i="22"/>
  <c r="U120" i="22"/>
  <c r="G121" i="22"/>
  <c r="K121" i="22"/>
  <c r="U121" i="22"/>
  <c r="L120" i="22"/>
  <c r="V120" i="22"/>
  <c r="L121" i="22"/>
  <c r="V121" i="22"/>
  <c r="K112" i="22"/>
  <c r="U112" i="22"/>
  <c r="K113" i="22"/>
  <c r="U113" i="22"/>
  <c r="V112" i="22"/>
  <c r="L113" i="22"/>
  <c r="G113" i="22"/>
  <c r="G112" i="22"/>
  <c r="T112" i="22"/>
  <c r="W113" i="22"/>
  <c r="X113" i="22"/>
  <c r="W112" i="22"/>
  <c r="I116" i="22"/>
  <c r="W116" i="22"/>
  <c r="T116" i="22"/>
  <c r="G116" i="22"/>
  <c r="K116" i="22"/>
  <c r="U116" i="22"/>
  <c r="V116" i="22"/>
  <c r="AB18" i="57" l="1"/>
  <c r="AA18" i="57"/>
  <c r="AD20" i="53"/>
  <c r="R20" i="53"/>
  <c r="Q20" i="53"/>
  <c r="X19" i="57"/>
  <c r="AE18" i="57"/>
  <c r="AF18" i="57" s="1"/>
  <c r="O20" i="57"/>
  <c r="AG20" i="57" s="1"/>
  <c r="N21" i="57"/>
  <c r="AT20" i="53"/>
  <c r="N21" i="53"/>
  <c r="M21" i="53"/>
  <c r="AH21" i="53" s="1"/>
  <c r="AA19" i="53"/>
  <c r="AE19" i="53" s="1"/>
  <c r="AF19" i="53" s="1"/>
  <c r="AB18" i="53"/>
  <c r="AA18" i="53"/>
  <c r="AE18" i="53" s="1"/>
  <c r="AF18" i="53" s="1"/>
  <c r="O20" i="53"/>
  <c r="AG20" i="53" s="1"/>
  <c r="AC20" i="53"/>
  <c r="AC21" i="57"/>
  <c r="R21" i="57"/>
  <c r="I120" i="22"/>
  <c r="I121" i="22"/>
  <c r="AH16" i="53"/>
  <c r="L22" i="57"/>
  <c r="AJ21" i="57"/>
  <c r="AP21" i="57"/>
  <c r="AJ16" i="57"/>
  <c r="AD21" i="57"/>
  <c r="AK21" i="52" a="1"/>
  <c r="AK21" i="52" s="1"/>
  <c r="B23" i="53" s="1"/>
  <c r="O23" i="53" s="1"/>
  <c r="Q21" i="57"/>
  <c r="T21" i="57" s="1"/>
  <c r="L22" i="53"/>
  <c r="P22" i="53"/>
  <c r="H22" i="53"/>
  <c r="F22" i="53"/>
  <c r="D22" i="53"/>
  <c r="G22" i="53"/>
  <c r="C22" i="53"/>
  <c r="J22" i="53"/>
  <c r="M22" i="53"/>
  <c r="N22" i="53" s="1"/>
  <c r="I22" i="53"/>
  <c r="E22" i="53"/>
  <c r="K22" i="53"/>
  <c r="K22" i="57"/>
  <c r="I22" i="57"/>
  <c r="H22" i="57"/>
  <c r="G22" i="57"/>
  <c r="E22" i="57"/>
  <c r="P22" i="57"/>
  <c r="D22" i="57"/>
  <c r="C22" i="57"/>
  <c r="M22" i="57" s="1"/>
  <c r="F22" i="57"/>
  <c r="J22" i="57"/>
  <c r="AK21" i="55" a="1"/>
  <c r="AK21" i="55" s="1"/>
  <c r="B23" i="57" s="1"/>
  <c r="AE19" i="57" l="1"/>
  <c r="AF19" i="57" s="1"/>
  <c r="AA19" i="57"/>
  <c r="AB19" i="57"/>
  <c r="X20" i="57"/>
  <c r="O21" i="57"/>
  <c r="AG21" i="57" s="1"/>
  <c r="N22" i="57"/>
  <c r="AT21" i="53"/>
  <c r="Q21" i="53"/>
  <c r="AC21" i="53"/>
  <c r="R21" i="53"/>
  <c r="AD21" i="53"/>
  <c r="X20" i="53"/>
  <c r="AC22" i="53"/>
  <c r="AC22" i="57"/>
  <c r="R22" i="57"/>
  <c r="R22" i="53"/>
  <c r="O22" i="53" s="1"/>
  <c r="AG22" i="53" s="1"/>
  <c r="L23" i="57"/>
  <c r="AJ22" i="57"/>
  <c r="AP22" i="57"/>
  <c r="AH15" i="53"/>
  <c r="AH22" i="53"/>
  <c r="AT22" i="53"/>
  <c r="N23" i="53"/>
  <c r="AD22" i="57"/>
  <c r="AD22" i="53"/>
  <c r="K23" i="57"/>
  <c r="I23" i="57"/>
  <c r="F23" i="57"/>
  <c r="C23" i="57"/>
  <c r="M23" i="57" s="1"/>
  <c r="P23" i="57"/>
  <c r="H23" i="57"/>
  <c r="D23" i="57"/>
  <c r="E23" i="57"/>
  <c r="G23" i="57"/>
  <c r="J23" i="57"/>
  <c r="Q22" i="53"/>
  <c r="Q22" i="57"/>
  <c r="T22" i="57" s="1"/>
  <c r="AK22" i="52" a="1"/>
  <c r="AK22" i="52" s="1"/>
  <c r="B24" i="53" s="1"/>
  <c r="O24" i="53" s="1"/>
  <c r="H23" i="53"/>
  <c r="G23" i="53"/>
  <c r="P23" i="53"/>
  <c r="E23" i="53"/>
  <c r="D23" i="53"/>
  <c r="M23" i="53"/>
  <c r="C23" i="53"/>
  <c r="K23" i="53"/>
  <c r="I23" i="53"/>
  <c r="L23" i="53"/>
  <c r="F23" i="53"/>
  <c r="J23" i="53"/>
  <c r="AK22" i="55" a="1"/>
  <c r="AK22" i="55" s="1"/>
  <c r="B24" i="57" s="1"/>
  <c r="O24" i="57" s="1"/>
  <c r="L13" i="68"/>
  <c r="O13" i="68" s="1"/>
  <c r="P13" i="68" s="1"/>
  <c r="L14" i="68"/>
  <c r="L15" i="68"/>
  <c r="L16" i="68"/>
  <c r="L17" i="68"/>
  <c r="L18" i="68"/>
  <c r="L19" i="68"/>
  <c r="L20" i="68"/>
  <c r="L21" i="68"/>
  <c r="L22" i="68"/>
  <c r="L23" i="68"/>
  <c r="L24" i="68"/>
  <c r="L25" i="68"/>
  <c r="L26" i="68"/>
  <c r="L27" i="68"/>
  <c r="L28" i="68"/>
  <c r="L29" i="68"/>
  <c r="L30" i="68"/>
  <c r="L31" i="68"/>
  <c r="L32" i="68"/>
  <c r="L33" i="68"/>
  <c r="L34" i="68"/>
  <c r="L35" i="68"/>
  <c r="L36" i="68"/>
  <c r="L37" i="68"/>
  <c r="L38" i="68"/>
  <c r="L39" i="68"/>
  <c r="L40" i="68"/>
  <c r="L41" i="68"/>
  <c r="L42" i="68"/>
  <c r="L43" i="68"/>
  <c r="L44" i="68"/>
  <c r="L45" i="68"/>
  <c r="L46" i="68"/>
  <c r="L47" i="68"/>
  <c r="L48" i="68"/>
  <c r="L49" i="68"/>
  <c r="L50" i="68"/>
  <c r="L51" i="68"/>
  <c r="L52" i="68"/>
  <c r="L53" i="68"/>
  <c r="L54" i="68"/>
  <c r="L55" i="68"/>
  <c r="L56" i="68"/>
  <c r="L57" i="68"/>
  <c r="L58" i="68"/>
  <c r="L59" i="68"/>
  <c r="L60" i="68"/>
  <c r="L61" i="68"/>
  <c r="L62" i="68"/>
  <c r="L63" i="68"/>
  <c r="L64" i="68"/>
  <c r="L65" i="68"/>
  <c r="L66" i="68"/>
  <c r="L67" i="68"/>
  <c r="L68" i="68"/>
  <c r="L69" i="68"/>
  <c r="L70" i="68"/>
  <c r="L71" i="68"/>
  <c r="L72" i="68"/>
  <c r="L73" i="68"/>
  <c r="L74" i="68"/>
  <c r="L75" i="68"/>
  <c r="L76" i="68"/>
  <c r="L77" i="68"/>
  <c r="L78" i="68"/>
  <c r="L79" i="68"/>
  <c r="L80" i="68"/>
  <c r="L81" i="68"/>
  <c r="L82" i="68"/>
  <c r="L83" i="68"/>
  <c r="L84" i="68"/>
  <c r="L85" i="68"/>
  <c r="L86" i="68"/>
  <c r="L87" i="68"/>
  <c r="L88" i="68"/>
  <c r="L89" i="68"/>
  <c r="L90" i="68"/>
  <c r="L91" i="68"/>
  <c r="L92" i="68"/>
  <c r="L93" i="68"/>
  <c r="L94" i="68"/>
  <c r="L95" i="68"/>
  <c r="L96" i="68"/>
  <c r="L97" i="68"/>
  <c r="L98" i="68"/>
  <c r="L99" i="68"/>
  <c r="L100" i="68"/>
  <c r="L101" i="68"/>
  <c r="L102" i="68"/>
  <c r="L103" i="68"/>
  <c r="L104" i="68"/>
  <c r="L105" i="68"/>
  <c r="L106" i="68"/>
  <c r="L107" i="68"/>
  <c r="L108" i="68"/>
  <c r="L109" i="68"/>
  <c r="L110" i="68"/>
  <c r="L111" i="68"/>
  <c r="L112" i="68"/>
  <c r="L113" i="68"/>
  <c r="L114" i="68"/>
  <c r="L115" i="68"/>
  <c r="L116" i="68"/>
  <c r="L117" i="68"/>
  <c r="L118" i="68"/>
  <c r="L119" i="68"/>
  <c r="L120" i="68"/>
  <c r="L121" i="68"/>
  <c r="L122" i="68"/>
  <c r="L123" i="68"/>
  <c r="L124" i="68"/>
  <c r="L125" i="68"/>
  <c r="L126" i="68"/>
  <c r="L127" i="68"/>
  <c r="L128" i="68"/>
  <c r="L129" i="68"/>
  <c r="L130" i="68"/>
  <c r="L131" i="68"/>
  <c r="L132" i="68"/>
  <c r="L133" i="68"/>
  <c r="L134" i="68"/>
  <c r="L135" i="68"/>
  <c r="L136" i="68"/>
  <c r="L137" i="68"/>
  <c r="L138" i="68"/>
  <c r="L139" i="68"/>
  <c r="L140" i="68"/>
  <c r="L141" i="68"/>
  <c r="L142" i="68"/>
  <c r="L143" i="68"/>
  <c r="L144" i="68"/>
  <c r="L145" i="68"/>
  <c r="L146" i="68"/>
  <c r="L147" i="68"/>
  <c r="L148" i="68"/>
  <c r="L149" i="68"/>
  <c r="L150" i="68"/>
  <c r="L151" i="68"/>
  <c r="L152" i="68"/>
  <c r="L153" i="68"/>
  <c r="L154" i="68"/>
  <c r="L155" i="68"/>
  <c r="L156" i="68"/>
  <c r="L157" i="68"/>
  <c r="L158" i="68"/>
  <c r="L159" i="68"/>
  <c r="L160" i="68"/>
  <c r="L161" i="68"/>
  <c r="L162" i="68"/>
  <c r="L163" i="68"/>
  <c r="L164" i="68"/>
  <c r="L165" i="68"/>
  <c r="L166" i="68"/>
  <c r="L167" i="68"/>
  <c r="L168" i="68"/>
  <c r="L169" i="68"/>
  <c r="L170" i="68"/>
  <c r="L171" i="68"/>
  <c r="L172" i="68"/>
  <c r="L173" i="68"/>
  <c r="L174" i="68"/>
  <c r="L175" i="68"/>
  <c r="L176" i="68"/>
  <c r="L177" i="68"/>
  <c r="L178" i="68"/>
  <c r="L179" i="68"/>
  <c r="L180" i="68"/>
  <c r="L181" i="68"/>
  <c r="L182" i="68"/>
  <c r="L183" i="68"/>
  <c r="L184" i="68"/>
  <c r="L185" i="68"/>
  <c r="L186" i="68"/>
  <c r="L187" i="68"/>
  <c r="L188" i="68"/>
  <c r="L189" i="68"/>
  <c r="L190" i="68"/>
  <c r="L191" i="68"/>
  <c r="L192" i="68"/>
  <c r="L193" i="68"/>
  <c r="L194" i="68"/>
  <c r="L195" i="68"/>
  <c r="L196" i="68"/>
  <c r="L197" i="68"/>
  <c r="L198" i="68"/>
  <c r="L199" i="68"/>
  <c r="L200" i="68"/>
  <c r="L201" i="68"/>
  <c r="L202" i="68"/>
  <c r="L203" i="68"/>
  <c r="L204" i="68"/>
  <c r="L205" i="68"/>
  <c r="L206" i="68"/>
  <c r="L207" i="68"/>
  <c r="L208" i="68"/>
  <c r="L209" i="68"/>
  <c r="L210" i="68"/>
  <c r="L211" i="68"/>
  <c r="L212" i="68"/>
  <c r="L213" i="68"/>
  <c r="L214" i="68"/>
  <c r="L215" i="68"/>
  <c r="L216" i="68"/>
  <c r="L217" i="68"/>
  <c r="L218" i="68"/>
  <c r="L219" i="68"/>
  <c r="L220" i="68"/>
  <c r="L221" i="68"/>
  <c r="L222" i="68"/>
  <c r="L223" i="68"/>
  <c r="L224" i="68"/>
  <c r="L225" i="68"/>
  <c r="L226" i="68"/>
  <c r="L227" i="68"/>
  <c r="L228" i="68"/>
  <c r="L229" i="68"/>
  <c r="L230" i="68"/>
  <c r="L231" i="68"/>
  <c r="L232" i="68"/>
  <c r="L233" i="68"/>
  <c r="L234" i="68"/>
  <c r="L235" i="68"/>
  <c r="L236" i="68"/>
  <c r="L237" i="68"/>
  <c r="L238" i="68"/>
  <c r="L239" i="68"/>
  <c r="L240" i="68"/>
  <c r="L241" i="68"/>
  <c r="L242" i="68"/>
  <c r="L243" i="68"/>
  <c r="L244" i="68"/>
  <c r="L245" i="68"/>
  <c r="L246" i="68"/>
  <c r="L247" i="68"/>
  <c r="L248" i="68"/>
  <c r="L249" i="68"/>
  <c r="L250" i="68"/>
  <c r="L251" i="68"/>
  <c r="L252" i="68"/>
  <c r="L253" i="68"/>
  <c r="L254" i="68"/>
  <c r="L255" i="68"/>
  <c r="L256" i="68"/>
  <c r="L257" i="68"/>
  <c r="L258" i="68"/>
  <c r="L259" i="68"/>
  <c r="AE20" i="57" l="1"/>
  <c r="AF20" i="57" s="1"/>
  <c r="AA20" i="57"/>
  <c r="O15" i="68"/>
  <c r="P15" i="68" s="1"/>
  <c r="Q15" i="68" s="1"/>
  <c r="T15" i="68"/>
  <c r="O14" i="68"/>
  <c r="P14" i="68" s="1"/>
  <c r="Q14" i="68" s="1"/>
  <c r="T14" i="68"/>
  <c r="O16" i="68"/>
  <c r="P16" i="68" s="1"/>
  <c r="Q16" i="68" s="1"/>
  <c r="T16" i="68"/>
  <c r="O259" i="68"/>
  <c r="P259" i="68" s="1"/>
  <c r="Q259" i="68" s="1"/>
  <c r="T259" i="68"/>
  <c r="T255" i="68"/>
  <c r="O255" i="68"/>
  <c r="P255" i="68" s="1"/>
  <c r="Q255" i="68" s="1"/>
  <c r="T251" i="68"/>
  <c r="O251" i="68"/>
  <c r="P251" i="68" s="1"/>
  <c r="Q251" i="68" s="1"/>
  <c r="T247" i="68"/>
  <c r="O247" i="68"/>
  <c r="P247" i="68" s="1"/>
  <c r="Q247" i="68" s="1"/>
  <c r="O243" i="68"/>
  <c r="P243" i="68" s="1"/>
  <c r="Q243" i="68" s="1"/>
  <c r="T243" i="68"/>
  <c r="T239" i="68"/>
  <c r="O239" i="68"/>
  <c r="P239" i="68" s="1"/>
  <c r="Q239" i="68" s="1"/>
  <c r="T235" i="68"/>
  <c r="O235" i="68"/>
  <c r="P235" i="68" s="1"/>
  <c r="Q235" i="68" s="1"/>
  <c r="T231" i="68"/>
  <c r="O231" i="68"/>
  <c r="P231" i="68" s="1"/>
  <c r="Q231" i="68" s="1"/>
  <c r="O227" i="68"/>
  <c r="P227" i="68" s="1"/>
  <c r="Q227" i="68" s="1"/>
  <c r="T227" i="68"/>
  <c r="T223" i="68"/>
  <c r="O223" i="68"/>
  <c r="P223" i="68" s="1"/>
  <c r="Q223" i="68" s="1"/>
  <c r="T219" i="68"/>
  <c r="O219" i="68"/>
  <c r="P219" i="68" s="1"/>
  <c r="Q219" i="68" s="1"/>
  <c r="T215" i="68"/>
  <c r="O215" i="68"/>
  <c r="P215" i="68" s="1"/>
  <c r="Q215" i="68" s="1"/>
  <c r="O211" i="68"/>
  <c r="P211" i="68" s="1"/>
  <c r="Q211" i="68" s="1"/>
  <c r="T211" i="68"/>
  <c r="T207" i="68"/>
  <c r="O207" i="68"/>
  <c r="P207" i="68" s="1"/>
  <c r="Q207" i="68" s="1"/>
  <c r="T203" i="68"/>
  <c r="O203" i="68"/>
  <c r="P203" i="68" s="1"/>
  <c r="Q203" i="68" s="1"/>
  <c r="T199" i="68"/>
  <c r="O199" i="68"/>
  <c r="P199" i="68" s="1"/>
  <c r="Q199" i="68" s="1"/>
  <c r="O195" i="68"/>
  <c r="P195" i="68" s="1"/>
  <c r="Q195" i="68" s="1"/>
  <c r="T195" i="68"/>
  <c r="T191" i="68"/>
  <c r="O191" i="68"/>
  <c r="P191" i="68" s="1"/>
  <c r="Q191" i="68" s="1"/>
  <c r="T187" i="68"/>
  <c r="O187" i="68"/>
  <c r="P187" i="68" s="1"/>
  <c r="Q187" i="68" s="1"/>
  <c r="T183" i="68"/>
  <c r="O183" i="68"/>
  <c r="P183" i="68" s="1"/>
  <c r="Q183" i="68" s="1"/>
  <c r="O179" i="68"/>
  <c r="P179" i="68" s="1"/>
  <c r="Q179" i="68" s="1"/>
  <c r="T179" i="68"/>
  <c r="T175" i="68"/>
  <c r="O175" i="68"/>
  <c r="P175" i="68" s="1"/>
  <c r="Q175" i="68" s="1"/>
  <c r="T171" i="68"/>
  <c r="O171" i="68"/>
  <c r="P171" i="68" s="1"/>
  <c r="Q171" i="68" s="1"/>
  <c r="T167" i="68"/>
  <c r="O167" i="68"/>
  <c r="P167" i="68" s="1"/>
  <c r="Q167" i="68" s="1"/>
  <c r="O163" i="68"/>
  <c r="P163" i="68" s="1"/>
  <c r="Q163" i="68" s="1"/>
  <c r="T163" i="68"/>
  <c r="T159" i="68"/>
  <c r="O159" i="68"/>
  <c r="P159" i="68" s="1"/>
  <c r="Q159" i="68" s="1"/>
  <c r="T155" i="68"/>
  <c r="O155" i="68"/>
  <c r="P155" i="68" s="1"/>
  <c r="Q155" i="68" s="1"/>
  <c r="O151" i="68"/>
  <c r="P151" i="68" s="1"/>
  <c r="Q151" i="68" s="1"/>
  <c r="T151" i="68"/>
  <c r="T147" i="68"/>
  <c r="O147" i="68"/>
  <c r="P147" i="68" s="1"/>
  <c r="Q147" i="68" s="1"/>
  <c r="T143" i="68"/>
  <c r="O143" i="68"/>
  <c r="P143" i="68" s="1"/>
  <c r="Q143" i="68" s="1"/>
  <c r="T139" i="68"/>
  <c r="O139" i="68"/>
  <c r="P139" i="68" s="1"/>
  <c r="Q139" i="68" s="1"/>
  <c r="T135" i="68"/>
  <c r="O135" i="68"/>
  <c r="P135" i="68" s="1"/>
  <c r="Q135" i="68" s="1"/>
  <c r="T131" i="68"/>
  <c r="O131" i="68"/>
  <c r="P131" i="68" s="1"/>
  <c r="Q131" i="68" s="1"/>
  <c r="T127" i="68"/>
  <c r="O127" i="68"/>
  <c r="P127" i="68" s="1"/>
  <c r="Q127" i="68" s="1"/>
  <c r="T123" i="68"/>
  <c r="O123" i="68"/>
  <c r="P123" i="68" s="1"/>
  <c r="Q123" i="68" s="1"/>
  <c r="T119" i="68"/>
  <c r="O119" i="68"/>
  <c r="P119" i="68" s="1"/>
  <c r="Q119" i="68" s="1"/>
  <c r="T115" i="68"/>
  <c r="O115" i="68"/>
  <c r="P115" i="68" s="1"/>
  <c r="Q115" i="68" s="1"/>
  <c r="T111" i="68"/>
  <c r="O111" i="68"/>
  <c r="P111" i="68" s="1"/>
  <c r="Q111" i="68" s="1"/>
  <c r="T107" i="68"/>
  <c r="O107" i="68"/>
  <c r="P107" i="68" s="1"/>
  <c r="Q107" i="68" s="1"/>
  <c r="O103" i="68"/>
  <c r="P103" i="68" s="1"/>
  <c r="Q103" i="68" s="1"/>
  <c r="T103" i="68"/>
  <c r="T99" i="68"/>
  <c r="O99" i="68"/>
  <c r="P99" i="68" s="1"/>
  <c r="Q99" i="68" s="1"/>
  <c r="T95" i="68"/>
  <c r="O95" i="68"/>
  <c r="P95" i="68" s="1"/>
  <c r="Q95" i="68" s="1"/>
  <c r="T91" i="68"/>
  <c r="O91" i="68"/>
  <c r="P91" i="68" s="1"/>
  <c r="Q91" i="68" s="1"/>
  <c r="O87" i="68"/>
  <c r="P87" i="68" s="1"/>
  <c r="Q87" i="68" s="1"/>
  <c r="T87" i="68"/>
  <c r="T83" i="68"/>
  <c r="O83" i="68"/>
  <c r="P83" i="68" s="1"/>
  <c r="Q83" i="68" s="1"/>
  <c r="T79" i="68"/>
  <c r="O79" i="68"/>
  <c r="P79" i="68" s="1"/>
  <c r="Q79" i="68" s="1"/>
  <c r="T75" i="68"/>
  <c r="O75" i="68"/>
  <c r="P75" i="68" s="1"/>
  <c r="Q75" i="68" s="1"/>
  <c r="T71" i="68"/>
  <c r="O71" i="68"/>
  <c r="P71" i="68" s="1"/>
  <c r="Q71" i="68" s="1"/>
  <c r="T67" i="68"/>
  <c r="O67" i="68"/>
  <c r="P67" i="68" s="1"/>
  <c r="Q67" i="68" s="1"/>
  <c r="T63" i="68"/>
  <c r="O63" i="68"/>
  <c r="P63" i="68" s="1"/>
  <c r="Q63" i="68" s="1"/>
  <c r="T59" i="68"/>
  <c r="O59" i="68"/>
  <c r="P59" i="68" s="1"/>
  <c r="Q59" i="68" s="1"/>
  <c r="T55" i="68"/>
  <c r="O55" i="68"/>
  <c r="P55" i="68" s="1"/>
  <c r="Q55" i="68" s="1"/>
  <c r="T51" i="68"/>
  <c r="O51" i="68"/>
  <c r="P51" i="68" s="1"/>
  <c r="Q51" i="68" s="1"/>
  <c r="T47" i="68"/>
  <c r="O47" i="68"/>
  <c r="P47" i="68" s="1"/>
  <c r="Q47" i="68" s="1"/>
  <c r="T43" i="68"/>
  <c r="O43" i="68"/>
  <c r="P43" i="68" s="1"/>
  <c r="Q43" i="68" s="1"/>
  <c r="O39" i="68"/>
  <c r="P39" i="68" s="1"/>
  <c r="Q39" i="68" s="1"/>
  <c r="T39" i="68"/>
  <c r="T35" i="68"/>
  <c r="O35" i="68"/>
  <c r="P35" i="68" s="1"/>
  <c r="Q35" i="68" s="1"/>
  <c r="T31" i="68"/>
  <c r="O31" i="68"/>
  <c r="P31" i="68" s="1"/>
  <c r="Q31" i="68" s="1"/>
  <c r="T27" i="68"/>
  <c r="O27" i="68"/>
  <c r="P27" i="68" s="1"/>
  <c r="Q27" i="68" s="1"/>
  <c r="T23" i="68"/>
  <c r="O23" i="68"/>
  <c r="P23" i="68" s="1"/>
  <c r="Q23" i="68" s="1"/>
  <c r="T19" i="68"/>
  <c r="O19" i="68"/>
  <c r="P19" i="68" s="1"/>
  <c r="Q19" i="68" s="1"/>
  <c r="O258" i="68"/>
  <c r="P258" i="68" s="1"/>
  <c r="Q258" i="68" s="1"/>
  <c r="T258" i="68"/>
  <c r="O254" i="68"/>
  <c r="P254" i="68" s="1"/>
  <c r="Q254" i="68" s="1"/>
  <c r="T254" i="68"/>
  <c r="O250" i="68"/>
  <c r="P250" i="68" s="1"/>
  <c r="Q250" i="68" s="1"/>
  <c r="T250" i="68"/>
  <c r="O246" i="68"/>
  <c r="P246" i="68" s="1"/>
  <c r="Q246" i="68" s="1"/>
  <c r="T246" i="68"/>
  <c r="O242" i="68"/>
  <c r="P242" i="68" s="1"/>
  <c r="Q242" i="68" s="1"/>
  <c r="T242" i="68"/>
  <c r="O238" i="68"/>
  <c r="P238" i="68" s="1"/>
  <c r="Q238" i="68" s="1"/>
  <c r="T238" i="68"/>
  <c r="O234" i="68"/>
  <c r="P234" i="68" s="1"/>
  <c r="Q234" i="68" s="1"/>
  <c r="T234" i="68"/>
  <c r="O230" i="68"/>
  <c r="P230" i="68" s="1"/>
  <c r="Q230" i="68" s="1"/>
  <c r="T230" i="68"/>
  <c r="O226" i="68"/>
  <c r="P226" i="68" s="1"/>
  <c r="Q226" i="68" s="1"/>
  <c r="T226" i="68"/>
  <c r="O222" i="68"/>
  <c r="P222" i="68" s="1"/>
  <c r="Q222" i="68" s="1"/>
  <c r="T222" i="68"/>
  <c r="O218" i="68"/>
  <c r="P218" i="68" s="1"/>
  <c r="Q218" i="68" s="1"/>
  <c r="T218" i="68"/>
  <c r="O214" i="68"/>
  <c r="P214" i="68" s="1"/>
  <c r="Q214" i="68" s="1"/>
  <c r="T214" i="68"/>
  <c r="O210" i="68"/>
  <c r="P210" i="68" s="1"/>
  <c r="Q210" i="68" s="1"/>
  <c r="T210" i="68"/>
  <c r="O206" i="68"/>
  <c r="P206" i="68" s="1"/>
  <c r="Q206" i="68" s="1"/>
  <c r="T206" i="68"/>
  <c r="O202" i="68"/>
  <c r="P202" i="68" s="1"/>
  <c r="Q202" i="68" s="1"/>
  <c r="T202" i="68"/>
  <c r="O198" i="68"/>
  <c r="P198" i="68" s="1"/>
  <c r="Q198" i="68" s="1"/>
  <c r="T198" i="68"/>
  <c r="O194" i="68"/>
  <c r="P194" i="68" s="1"/>
  <c r="Q194" i="68" s="1"/>
  <c r="T194" i="68"/>
  <c r="O190" i="68"/>
  <c r="P190" i="68" s="1"/>
  <c r="Q190" i="68" s="1"/>
  <c r="T190" i="68"/>
  <c r="O186" i="68"/>
  <c r="P186" i="68" s="1"/>
  <c r="Q186" i="68" s="1"/>
  <c r="T186" i="68"/>
  <c r="O182" i="68"/>
  <c r="P182" i="68" s="1"/>
  <c r="Q182" i="68" s="1"/>
  <c r="T182" i="68"/>
  <c r="O178" i="68"/>
  <c r="P178" i="68" s="1"/>
  <c r="Q178" i="68" s="1"/>
  <c r="T178" i="68"/>
  <c r="O174" i="68"/>
  <c r="P174" i="68" s="1"/>
  <c r="Q174" i="68" s="1"/>
  <c r="T174" i="68"/>
  <c r="O170" i="68"/>
  <c r="P170" i="68" s="1"/>
  <c r="Q170" i="68" s="1"/>
  <c r="T170" i="68"/>
  <c r="O166" i="68"/>
  <c r="P166" i="68" s="1"/>
  <c r="Q166" i="68" s="1"/>
  <c r="T166" i="68"/>
  <c r="O162" i="68"/>
  <c r="P162" i="68" s="1"/>
  <c r="Q162" i="68" s="1"/>
  <c r="T162" i="68"/>
  <c r="O158" i="68"/>
  <c r="P158" i="68" s="1"/>
  <c r="Q158" i="68" s="1"/>
  <c r="T158" i="68"/>
  <c r="O154" i="68"/>
  <c r="P154" i="68" s="1"/>
  <c r="Q154" i="68" s="1"/>
  <c r="T154" i="68"/>
  <c r="O150" i="68"/>
  <c r="P150" i="68" s="1"/>
  <c r="Q150" i="68" s="1"/>
  <c r="T150" i="68"/>
  <c r="O146" i="68"/>
  <c r="P146" i="68" s="1"/>
  <c r="Q146" i="68" s="1"/>
  <c r="T146" i="68"/>
  <c r="O142" i="68"/>
  <c r="P142" i="68" s="1"/>
  <c r="Q142" i="68" s="1"/>
  <c r="T142" i="68"/>
  <c r="O138" i="68"/>
  <c r="P138" i="68" s="1"/>
  <c r="Q138" i="68" s="1"/>
  <c r="T138" i="68"/>
  <c r="O134" i="68"/>
  <c r="P134" i="68" s="1"/>
  <c r="Q134" i="68" s="1"/>
  <c r="T134" i="68"/>
  <c r="O130" i="68"/>
  <c r="P130" i="68" s="1"/>
  <c r="Q130" i="68" s="1"/>
  <c r="T130" i="68"/>
  <c r="O126" i="68"/>
  <c r="P126" i="68" s="1"/>
  <c r="Q126" i="68" s="1"/>
  <c r="T126" i="68"/>
  <c r="O122" i="68"/>
  <c r="P122" i="68" s="1"/>
  <c r="Q122" i="68" s="1"/>
  <c r="T122" i="68"/>
  <c r="O118" i="68"/>
  <c r="P118" i="68" s="1"/>
  <c r="Q118" i="68" s="1"/>
  <c r="T118" i="68"/>
  <c r="O114" i="68"/>
  <c r="P114" i="68" s="1"/>
  <c r="Q114" i="68" s="1"/>
  <c r="T114" i="68"/>
  <c r="O110" i="68"/>
  <c r="P110" i="68" s="1"/>
  <c r="Q110" i="68" s="1"/>
  <c r="T110" i="68"/>
  <c r="O106" i="68"/>
  <c r="P106" i="68" s="1"/>
  <c r="Q106" i="68" s="1"/>
  <c r="T106" i="68"/>
  <c r="O102" i="68"/>
  <c r="P102" i="68" s="1"/>
  <c r="Q102" i="68" s="1"/>
  <c r="T102" i="68"/>
  <c r="O98" i="68"/>
  <c r="P98" i="68" s="1"/>
  <c r="Q98" i="68" s="1"/>
  <c r="T98" i="68"/>
  <c r="O94" i="68"/>
  <c r="P94" i="68" s="1"/>
  <c r="Q94" i="68" s="1"/>
  <c r="T94" i="68"/>
  <c r="O90" i="68"/>
  <c r="P90" i="68" s="1"/>
  <c r="Q90" i="68" s="1"/>
  <c r="T90" i="68"/>
  <c r="O86" i="68"/>
  <c r="P86" i="68" s="1"/>
  <c r="Q86" i="68" s="1"/>
  <c r="T86" i="68"/>
  <c r="O82" i="68"/>
  <c r="P82" i="68" s="1"/>
  <c r="Q82" i="68" s="1"/>
  <c r="T82" i="68"/>
  <c r="O78" i="68"/>
  <c r="P78" i="68" s="1"/>
  <c r="Q78" i="68" s="1"/>
  <c r="T78" i="68"/>
  <c r="O74" i="68"/>
  <c r="P74" i="68" s="1"/>
  <c r="Q74" i="68" s="1"/>
  <c r="T74" i="68"/>
  <c r="O70" i="68"/>
  <c r="P70" i="68" s="1"/>
  <c r="Q70" i="68" s="1"/>
  <c r="T70" i="68"/>
  <c r="O66" i="68"/>
  <c r="P66" i="68" s="1"/>
  <c r="Q66" i="68" s="1"/>
  <c r="T66" i="68"/>
  <c r="O62" i="68"/>
  <c r="P62" i="68" s="1"/>
  <c r="Q62" i="68" s="1"/>
  <c r="T62" i="68"/>
  <c r="O58" i="68"/>
  <c r="P58" i="68" s="1"/>
  <c r="Q58" i="68" s="1"/>
  <c r="T58" i="68"/>
  <c r="O54" i="68"/>
  <c r="P54" i="68" s="1"/>
  <c r="Q54" i="68" s="1"/>
  <c r="T54" i="68"/>
  <c r="O50" i="68"/>
  <c r="P50" i="68" s="1"/>
  <c r="Q50" i="68" s="1"/>
  <c r="T50" i="68"/>
  <c r="O46" i="68"/>
  <c r="P46" i="68" s="1"/>
  <c r="Q46" i="68" s="1"/>
  <c r="T46" i="68"/>
  <c r="O42" i="68"/>
  <c r="P42" i="68" s="1"/>
  <c r="Q42" i="68" s="1"/>
  <c r="T42" i="68"/>
  <c r="O38" i="68"/>
  <c r="P38" i="68" s="1"/>
  <c r="Q38" i="68" s="1"/>
  <c r="T38" i="68"/>
  <c r="O34" i="68"/>
  <c r="P34" i="68" s="1"/>
  <c r="Q34" i="68" s="1"/>
  <c r="T34" i="68"/>
  <c r="O30" i="68"/>
  <c r="P30" i="68" s="1"/>
  <c r="Q30" i="68" s="1"/>
  <c r="T30" i="68"/>
  <c r="O26" i="68"/>
  <c r="P26" i="68" s="1"/>
  <c r="Q26" i="68" s="1"/>
  <c r="T26" i="68"/>
  <c r="O22" i="68"/>
  <c r="P22" i="68" s="1"/>
  <c r="Q22" i="68" s="1"/>
  <c r="T22" i="68"/>
  <c r="O18" i="68"/>
  <c r="P18" i="68" s="1"/>
  <c r="Q18" i="68" s="1"/>
  <c r="T18" i="68"/>
  <c r="O257" i="68"/>
  <c r="P257" i="68" s="1"/>
  <c r="Q257" i="68" s="1"/>
  <c r="T257" i="68"/>
  <c r="O253" i="68"/>
  <c r="P253" i="68" s="1"/>
  <c r="Q253" i="68" s="1"/>
  <c r="T253" i="68"/>
  <c r="O249" i="68"/>
  <c r="P249" i="68" s="1"/>
  <c r="Q249" i="68" s="1"/>
  <c r="T249" i="68"/>
  <c r="O245" i="68"/>
  <c r="P245" i="68" s="1"/>
  <c r="Q245" i="68" s="1"/>
  <c r="T245" i="68"/>
  <c r="O241" i="68"/>
  <c r="P241" i="68" s="1"/>
  <c r="Q241" i="68" s="1"/>
  <c r="T241" i="68"/>
  <c r="O237" i="68"/>
  <c r="P237" i="68" s="1"/>
  <c r="Q237" i="68" s="1"/>
  <c r="T237" i="68"/>
  <c r="O233" i="68"/>
  <c r="P233" i="68" s="1"/>
  <c r="Q233" i="68" s="1"/>
  <c r="T233" i="68"/>
  <c r="O229" i="68"/>
  <c r="P229" i="68" s="1"/>
  <c r="Q229" i="68" s="1"/>
  <c r="T229" i="68"/>
  <c r="O225" i="68"/>
  <c r="P225" i="68" s="1"/>
  <c r="Q225" i="68" s="1"/>
  <c r="T225" i="68"/>
  <c r="O221" i="68"/>
  <c r="P221" i="68" s="1"/>
  <c r="Q221" i="68" s="1"/>
  <c r="T221" i="68"/>
  <c r="O217" i="68"/>
  <c r="P217" i="68" s="1"/>
  <c r="Q217" i="68" s="1"/>
  <c r="T217" i="68"/>
  <c r="O213" i="68"/>
  <c r="P213" i="68" s="1"/>
  <c r="Q213" i="68" s="1"/>
  <c r="T213" i="68"/>
  <c r="O209" i="68"/>
  <c r="P209" i="68" s="1"/>
  <c r="Q209" i="68" s="1"/>
  <c r="T209" i="68"/>
  <c r="O205" i="68"/>
  <c r="P205" i="68" s="1"/>
  <c r="Q205" i="68" s="1"/>
  <c r="T205" i="68"/>
  <c r="O201" i="68"/>
  <c r="P201" i="68" s="1"/>
  <c r="Q201" i="68" s="1"/>
  <c r="T201" i="68"/>
  <c r="O197" i="68"/>
  <c r="P197" i="68" s="1"/>
  <c r="Q197" i="68" s="1"/>
  <c r="T197" i="68"/>
  <c r="O193" i="68"/>
  <c r="P193" i="68" s="1"/>
  <c r="Q193" i="68" s="1"/>
  <c r="T193" i="68"/>
  <c r="O189" i="68"/>
  <c r="P189" i="68" s="1"/>
  <c r="Q189" i="68" s="1"/>
  <c r="T189" i="68"/>
  <c r="O185" i="68"/>
  <c r="P185" i="68" s="1"/>
  <c r="Q185" i="68" s="1"/>
  <c r="T185" i="68"/>
  <c r="O181" i="68"/>
  <c r="P181" i="68" s="1"/>
  <c r="Q181" i="68" s="1"/>
  <c r="T181" i="68"/>
  <c r="O177" i="68"/>
  <c r="P177" i="68" s="1"/>
  <c r="Q177" i="68" s="1"/>
  <c r="T177" i="68"/>
  <c r="O173" i="68"/>
  <c r="P173" i="68" s="1"/>
  <c r="Q173" i="68" s="1"/>
  <c r="T173" i="68"/>
  <c r="O169" i="68"/>
  <c r="P169" i="68" s="1"/>
  <c r="Q169" i="68" s="1"/>
  <c r="T169" i="68"/>
  <c r="O165" i="68"/>
  <c r="P165" i="68" s="1"/>
  <c r="Q165" i="68" s="1"/>
  <c r="T165" i="68"/>
  <c r="O161" i="68"/>
  <c r="P161" i="68" s="1"/>
  <c r="Q161" i="68" s="1"/>
  <c r="T161" i="68"/>
  <c r="O157" i="68"/>
  <c r="P157" i="68" s="1"/>
  <c r="Q157" i="68" s="1"/>
  <c r="T157" i="68"/>
  <c r="O153" i="68"/>
  <c r="P153" i="68" s="1"/>
  <c r="Q153" i="68" s="1"/>
  <c r="T153" i="68"/>
  <c r="O149" i="68"/>
  <c r="P149" i="68" s="1"/>
  <c r="Q149" i="68" s="1"/>
  <c r="T149" i="68"/>
  <c r="O145" i="68"/>
  <c r="P145" i="68" s="1"/>
  <c r="Q145" i="68" s="1"/>
  <c r="T145" i="68"/>
  <c r="O141" i="68"/>
  <c r="P141" i="68" s="1"/>
  <c r="Q141" i="68" s="1"/>
  <c r="T141" i="68"/>
  <c r="O137" i="68"/>
  <c r="P137" i="68" s="1"/>
  <c r="Q137" i="68" s="1"/>
  <c r="T137" i="68"/>
  <c r="O133" i="68"/>
  <c r="P133" i="68" s="1"/>
  <c r="Q133" i="68" s="1"/>
  <c r="T133" i="68"/>
  <c r="O129" i="68"/>
  <c r="P129" i="68" s="1"/>
  <c r="Q129" i="68" s="1"/>
  <c r="T129" i="68"/>
  <c r="O125" i="68"/>
  <c r="P125" i="68" s="1"/>
  <c r="Q125" i="68" s="1"/>
  <c r="T125" i="68"/>
  <c r="O121" i="68"/>
  <c r="P121" i="68" s="1"/>
  <c r="Q121" i="68" s="1"/>
  <c r="T121" i="68"/>
  <c r="O117" i="68"/>
  <c r="P117" i="68" s="1"/>
  <c r="Q117" i="68" s="1"/>
  <c r="T117" i="68"/>
  <c r="O113" i="68"/>
  <c r="P113" i="68" s="1"/>
  <c r="Q113" i="68" s="1"/>
  <c r="T113" i="68"/>
  <c r="O109" i="68"/>
  <c r="P109" i="68" s="1"/>
  <c r="Q109" i="68" s="1"/>
  <c r="T109" i="68"/>
  <c r="O105" i="68"/>
  <c r="P105" i="68" s="1"/>
  <c r="Q105" i="68" s="1"/>
  <c r="T105" i="68"/>
  <c r="O101" i="68"/>
  <c r="P101" i="68" s="1"/>
  <c r="Q101" i="68" s="1"/>
  <c r="T101" i="68"/>
  <c r="O97" i="68"/>
  <c r="P97" i="68" s="1"/>
  <c r="Q97" i="68" s="1"/>
  <c r="T97" i="68"/>
  <c r="O93" i="68"/>
  <c r="P93" i="68" s="1"/>
  <c r="Q93" i="68" s="1"/>
  <c r="T93" i="68"/>
  <c r="O89" i="68"/>
  <c r="P89" i="68" s="1"/>
  <c r="Q89" i="68" s="1"/>
  <c r="T89" i="68"/>
  <c r="O85" i="68"/>
  <c r="P85" i="68" s="1"/>
  <c r="Q85" i="68" s="1"/>
  <c r="T85" i="68"/>
  <c r="O81" i="68"/>
  <c r="P81" i="68" s="1"/>
  <c r="Q81" i="68" s="1"/>
  <c r="T81" i="68"/>
  <c r="O77" i="68"/>
  <c r="P77" i="68" s="1"/>
  <c r="Q77" i="68" s="1"/>
  <c r="T77" i="68"/>
  <c r="O73" i="68"/>
  <c r="P73" i="68" s="1"/>
  <c r="Q73" i="68" s="1"/>
  <c r="T73" i="68"/>
  <c r="O69" i="68"/>
  <c r="P69" i="68" s="1"/>
  <c r="Q69" i="68" s="1"/>
  <c r="T69" i="68"/>
  <c r="O65" i="68"/>
  <c r="P65" i="68" s="1"/>
  <c r="Q65" i="68" s="1"/>
  <c r="T65" i="68"/>
  <c r="O61" i="68"/>
  <c r="P61" i="68" s="1"/>
  <c r="Q61" i="68" s="1"/>
  <c r="T61" i="68"/>
  <c r="O57" i="68"/>
  <c r="P57" i="68" s="1"/>
  <c r="Q57" i="68" s="1"/>
  <c r="T57" i="68"/>
  <c r="O53" i="68"/>
  <c r="P53" i="68" s="1"/>
  <c r="Q53" i="68" s="1"/>
  <c r="T53" i="68"/>
  <c r="O49" i="68"/>
  <c r="P49" i="68" s="1"/>
  <c r="Q49" i="68" s="1"/>
  <c r="T49" i="68"/>
  <c r="O45" i="68"/>
  <c r="P45" i="68" s="1"/>
  <c r="Q45" i="68" s="1"/>
  <c r="T45" i="68"/>
  <c r="O41" i="68"/>
  <c r="P41" i="68" s="1"/>
  <c r="Q41" i="68" s="1"/>
  <c r="T41" i="68"/>
  <c r="O37" i="68"/>
  <c r="P37" i="68" s="1"/>
  <c r="Q37" i="68" s="1"/>
  <c r="T37" i="68"/>
  <c r="O33" i="68"/>
  <c r="P33" i="68" s="1"/>
  <c r="Q33" i="68" s="1"/>
  <c r="T33" i="68"/>
  <c r="O29" i="68"/>
  <c r="P29" i="68" s="1"/>
  <c r="Q29" i="68" s="1"/>
  <c r="T29" i="68"/>
  <c r="O25" i="68"/>
  <c r="P25" i="68" s="1"/>
  <c r="Q25" i="68" s="1"/>
  <c r="T25" i="68"/>
  <c r="O21" i="68"/>
  <c r="P21" i="68" s="1"/>
  <c r="Q21" i="68" s="1"/>
  <c r="T21" i="68"/>
  <c r="O17" i="68"/>
  <c r="P17" i="68" s="1"/>
  <c r="Q17" i="68" s="1"/>
  <c r="T17" i="68"/>
  <c r="O256" i="68"/>
  <c r="P256" i="68" s="1"/>
  <c r="Q256" i="68" s="1"/>
  <c r="T256" i="68"/>
  <c r="O252" i="68"/>
  <c r="P252" i="68" s="1"/>
  <c r="Q252" i="68" s="1"/>
  <c r="T252" i="68"/>
  <c r="O248" i="68"/>
  <c r="P248" i="68" s="1"/>
  <c r="Q248" i="68" s="1"/>
  <c r="T248" i="68"/>
  <c r="O244" i="68"/>
  <c r="P244" i="68" s="1"/>
  <c r="Q244" i="68" s="1"/>
  <c r="T244" i="68"/>
  <c r="O240" i="68"/>
  <c r="P240" i="68" s="1"/>
  <c r="Q240" i="68" s="1"/>
  <c r="T240" i="68"/>
  <c r="O236" i="68"/>
  <c r="P236" i="68" s="1"/>
  <c r="Q236" i="68" s="1"/>
  <c r="T236" i="68"/>
  <c r="O232" i="68"/>
  <c r="P232" i="68" s="1"/>
  <c r="Q232" i="68" s="1"/>
  <c r="T232" i="68"/>
  <c r="O228" i="68"/>
  <c r="P228" i="68" s="1"/>
  <c r="Q228" i="68" s="1"/>
  <c r="T228" i="68"/>
  <c r="O224" i="68"/>
  <c r="P224" i="68" s="1"/>
  <c r="Q224" i="68" s="1"/>
  <c r="T224" i="68"/>
  <c r="O220" i="68"/>
  <c r="P220" i="68" s="1"/>
  <c r="Q220" i="68" s="1"/>
  <c r="T220" i="68"/>
  <c r="O216" i="68"/>
  <c r="P216" i="68" s="1"/>
  <c r="Q216" i="68" s="1"/>
  <c r="T216" i="68"/>
  <c r="O212" i="68"/>
  <c r="P212" i="68" s="1"/>
  <c r="Q212" i="68" s="1"/>
  <c r="T212" i="68"/>
  <c r="O208" i="68"/>
  <c r="P208" i="68" s="1"/>
  <c r="Q208" i="68" s="1"/>
  <c r="T208" i="68"/>
  <c r="O204" i="68"/>
  <c r="P204" i="68" s="1"/>
  <c r="Q204" i="68" s="1"/>
  <c r="T204" i="68"/>
  <c r="O200" i="68"/>
  <c r="P200" i="68" s="1"/>
  <c r="Q200" i="68" s="1"/>
  <c r="T200" i="68"/>
  <c r="O196" i="68"/>
  <c r="P196" i="68" s="1"/>
  <c r="Q196" i="68" s="1"/>
  <c r="T196" i="68"/>
  <c r="O192" i="68"/>
  <c r="P192" i="68" s="1"/>
  <c r="Q192" i="68" s="1"/>
  <c r="T192" i="68"/>
  <c r="O188" i="68"/>
  <c r="P188" i="68" s="1"/>
  <c r="Q188" i="68" s="1"/>
  <c r="T188" i="68"/>
  <c r="O184" i="68"/>
  <c r="P184" i="68" s="1"/>
  <c r="Q184" i="68" s="1"/>
  <c r="T184" i="68"/>
  <c r="O180" i="68"/>
  <c r="P180" i="68" s="1"/>
  <c r="Q180" i="68" s="1"/>
  <c r="T180" i="68"/>
  <c r="O176" i="68"/>
  <c r="P176" i="68" s="1"/>
  <c r="Q176" i="68" s="1"/>
  <c r="T176" i="68"/>
  <c r="O172" i="68"/>
  <c r="P172" i="68" s="1"/>
  <c r="Q172" i="68" s="1"/>
  <c r="T172" i="68"/>
  <c r="O168" i="68"/>
  <c r="P168" i="68" s="1"/>
  <c r="Q168" i="68" s="1"/>
  <c r="T168" i="68"/>
  <c r="O164" i="68"/>
  <c r="P164" i="68" s="1"/>
  <c r="Q164" i="68" s="1"/>
  <c r="T164" i="68"/>
  <c r="O160" i="68"/>
  <c r="P160" i="68" s="1"/>
  <c r="Q160" i="68" s="1"/>
  <c r="T160" i="68"/>
  <c r="O156" i="68"/>
  <c r="P156" i="68" s="1"/>
  <c r="Q156" i="68" s="1"/>
  <c r="T156" i="68"/>
  <c r="O152" i="68"/>
  <c r="P152" i="68" s="1"/>
  <c r="Q152" i="68" s="1"/>
  <c r="T152" i="68"/>
  <c r="O148" i="68"/>
  <c r="P148" i="68" s="1"/>
  <c r="Q148" i="68" s="1"/>
  <c r="T148" i="68"/>
  <c r="O144" i="68"/>
  <c r="P144" i="68" s="1"/>
  <c r="Q144" i="68" s="1"/>
  <c r="T144" i="68"/>
  <c r="O140" i="68"/>
  <c r="P140" i="68" s="1"/>
  <c r="Q140" i="68" s="1"/>
  <c r="T140" i="68"/>
  <c r="O136" i="68"/>
  <c r="P136" i="68" s="1"/>
  <c r="Q136" i="68" s="1"/>
  <c r="T136" i="68"/>
  <c r="O132" i="68"/>
  <c r="P132" i="68" s="1"/>
  <c r="Q132" i="68" s="1"/>
  <c r="T132" i="68"/>
  <c r="O128" i="68"/>
  <c r="P128" i="68" s="1"/>
  <c r="Q128" i="68" s="1"/>
  <c r="T128" i="68"/>
  <c r="O124" i="68"/>
  <c r="P124" i="68" s="1"/>
  <c r="Q124" i="68" s="1"/>
  <c r="T124" i="68"/>
  <c r="O120" i="68"/>
  <c r="P120" i="68" s="1"/>
  <c r="Q120" i="68" s="1"/>
  <c r="T120" i="68"/>
  <c r="O116" i="68"/>
  <c r="P116" i="68" s="1"/>
  <c r="Q116" i="68" s="1"/>
  <c r="T116" i="68"/>
  <c r="O112" i="68"/>
  <c r="P112" i="68" s="1"/>
  <c r="Q112" i="68" s="1"/>
  <c r="T112" i="68"/>
  <c r="O108" i="68"/>
  <c r="P108" i="68" s="1"/>
  <c r="Q108" i="68" s="1"/>
  <c r="T108" i="68"/>
  <c r="O104" i="68"/>
  <c r="P104" i="68" s="1"/>
  <c r="Q104" i="68" s="1"/>
  <c r="T104" i="68"/>
  <c r="O100" i="68"/>
  <c r="P100" i="68" s="1"/>
  <c r="Q100" i="68" s="1"/>
  <c r="T100" i="68"/>
  <c r="O96" i="68"/>
  <c r="P96" i="68" s="1"/>
  <c r="Q96" i="68" s="1"/>
  <c r="T96" i="68"/>
  <c r="O92" i="68"/>
  <c r="P92" i="68" s="1"/>
  <c r="Q92" i="68" s="1"/>
  <c r="T92" i="68"/>
  <c r="O88" i="68"/>
  <c r="P88" i="68" s="1"/>
  <c r="Q88" i="68" s="1"/>
  <c r="T88" i="68"/>
  <c r="O84" i="68"/>
  <c r="P84" i="68" s="1"/>
  <c r="Q84" i="68" s="1"/>
  <c r="T84" i="68"/>
  <c r="O80" i="68"/>
  <c r="P80" i="68" s="1"/>
  <c r="Q80" i="68" s="1"/>
  <c r="T80" i="68"/>
  <c r="O76" i="68"/>
  <c r="P76" i="68" s="1"/>
  <c r="Q76" i="68" s="1"/>
  <c r="T76" i="68"/>
  <c r="O72" i="68"/>
  <c r="P72" i="68" s="1"/>
  <c r="Q72" i="68" s="1"/>
  <c r="T72" i="68"/>
  <c r="O68" i="68"/>
  <c r="P68" i="68" s="1"/>
  <c r="Q68" i="68" s="1"/>
  <c r="T68" i="68"/>
  <c r="O64" i="68"/>
  <c r="P64" i="68" s="1"/>
  <c r="Q64" i="68" s="1"/>
  <c r="T64" i="68"/>
  <c r="O60" i="68"/>
  <c r="P60" i="68" s="1"/>
  <c r="Q60" i="68" s="1"/>
  <c r="T60" i="68"/>
  <c r="O56" i="68"/>
  <c r="P56" i="68" s="1"/>
  <c r="Q56" i="68" s="1"/>
  <c r="T56" i="68"/>
  <c r="O52" i="68"/>
  <c r="P52" i="68" s="1"/>
  <c r="Q52" i="68" s="1"/>
  <c r="T52" i="68"/>
  <c r="O48" i="68"/>
  <c r="P48" i="68" s="1"/>
  <c r="Q48" i="68" s="1"/>
  <c r="T48" i="68"/>
  <c r="O44" i="68"/>
  <c r="P44" i="68" s="1"/>
  <c r="Q44" i="68" s="1"/>
  <c r="T44" i="68"/>
  <c r="O40" i="68"/>
  <c r="P40" i="68" s="1"/>
  <c r="Q40" i="68" s="1"/>
  <c r="T40" i="68"/>
  <c r="O36" i="68"/>
  <c r="P36" i="68" s="1"/>
  <c r="Q36" i="68" s="1"/>
  <c r="T36" i="68"/>
  <c r="O32" i="68"/>
  <c r="P32" i="68" s="1"/>
  <c r="Q32" i="68" s="1"/>
  <c r="T32" i="68"/>
  <c r="O28" i="68"/>
  <c r="P28" i="68" s="1"/>
  <c r="Q28" i="68" s="1"/>
  <c r="T28" i="68"/>
  <c r="O24" i="68"/>
  <c r="P24" i="68" s="1"/>
  <c r="Q24" i="68" s="1"/>
  <c r="T24" i="68"/>
  <c r="O20" i="68"/>
  <c r="P20" i="68" s="1"/>
  <c r="Q20" i="68" s="1"/>
  <c r="T20" i="68"/>
  <c r="S13" i="68"/>
  <c r="T13" i="68" s="1"/>
  <c r="Q13" i="68"/>
  <c r="AB20" i="57"/>
  <c r="X21" i="57"/>
  <c r="O22" i="57"/>
  <c r="AG22" i="57" s="1"/>
  <c r="N23" i="57"/>
  <c r="AB20" i="53"/>
  <c r="AA20" i="53"/>
  <c r="AE20" i="53" s="1"/>
  <c r="AF20" i="53" s="1"/>
  <c r="X22" i="53"/>
  <c r="AA22" i="53" s="1"/>
  <c r="AE22" i="53" s="1"/>
  <c r="AF22" i="53" s="1"/>
  <c r="O21" i="53"/>
  <c r="AG21" i="53" s="1"/>
  <c r="AE23" i="53"/>
  <c r="AC23" i="53"/>
  <c r="AC23" i="57"/>
  <c r="R23" i="57"/>
  <c r="R23" i="53"/>
  <c r="X23" i="53" s="1"/>
  <c r="AG24" i="57"/>
  <c r="L24" i="57"/>
  <c r="AJ23" i="57"/>
  <c r="AP23" i="57"/>
  <c r="AH23" i="53"/>
  <c r="AT23" i="53"/>
  <c r="AG23" i="53"/>
  <c r="N24" i="57"/>
  <c r="N24" i="53"/>
  <c r="AD23" i="57"/>
  <c r="AD23" i="53"/>
  <c r="AK23" i="52" a="1"/>
  <c r="AK23" i="52" s="1"/>
  <c r="B25" i="53" s="1"/>
  <c r="O25" i="53" s="1"/>
  <c r="H24" i="57"/>
  <c r="G24" i="57"/>
  <c r="E24" i="57"/>
  <c r="P24" i="57"/>
  <c r="D24" i="57"/>
  <c r="C24" i="57"/>
  <c r="M24" i="57" s="1"/>
  <c r="K24" i="57"/>
  <c r="I24" i="57"/>
  <c r="F24" i="57"/>
  <c r="J24" i="57"/>
  <c r="Q23" i="53"/>
  <c r="Q23" i="57"/>
  <c r="T23" i="57" s="1"/>
  <c r="L24" i="53"/>
  <c r="H24" i="53"/>
  <c r="F24" i="53"/>
  <c r="D24" i="53"/>
  <c r="P24" i="53"/>
  <c r="G24" i="53"/>
  <c r="C24" i="53"/>
  <c r="I24" i="53"/>
  <c r="M24" i="53"/>
  <c r="E24" i="53"/>
  <c r="J24" i="53"/>
  <c r="K24" i="53"/>
  <c r="AK23" i="55" a="1"/>
  <c r="AK23" i="55" s="1"/>
  <c r="B25" i="57" s="1"/>
  <c r="O25" i="57" s="1"/>
  <c r="L12" i="64"/>
  <c r="O12" i="64" s="1"/>
  <c r="P12" i="64" s="1"/>
  <c r="L13" i="64"/>
  <c r="O13" i="64" s="1"/>
  <c r="L14" i="64"/>
  <c r="O14" i="64" s="1"/>
  <c r="L15" i="64"/>
  <c r="O15" i="64" s="1"/>
  <c r="L16" i="64"/>
  <c r="O16" i="64" s="1"/>
  <c r="L17" i="64"/>
  <c r="O17" i="64" s="1"/>
  <c r="L18" i="64"/>
  <c r="O18" i="64" s="1"/>
  <c r="L19" i="64"/>
  <c r="O19" i="64" s="1"/>
  <c r="L20" i="64"/>
  <c r="O20" i="64" s="1"/>
  <c r="L21" i="64"/>
  <c r="O21" i="64" s="1"/>
  <c r="L22" i="64"/>
  <c r="O22" i="64" s="1"/>
  <c r="L23" i="64"/>
  <c r="O23" i="64" s="1"/>
  <c r="L24" i="64"/>
  <c r="O24" i="64" s="1"/>
  <c r="L25" i="64"/>
  <c r="O25" i="64" s="1"/>
  <c r="L26" i="64"/>
  <c r="O26" i="64" s="1"/>
  <c r="L27" i="64"/>
  <c r="O27" i="64" s="1"/>
  <c r="L28" i="64"/>
  <c r="O28" i="64" s="1"/>
  <c r="L29" i="64"/>
  <c r="O29" i="64" s="1"/>
  <c r="L30" i="64"/>
  <c r="O30" i="64" s="1"/>
  <c r="L31" i="64"/>
  <c r="O31" i="64" s="1"/>
  <c r="L32" i="64"/>
  <c r="O32" i="64" s="1"/>
  <c r="L33" i="64"/>
  <c r="O33" i="64" s="1"/>
  <c r="L34" i="64"/>
  <c r="O34" i="64" s="1"/>
  <c r="L35" i="64"/>
  <c r="O35" i="64" s="1"/>
  <c r="L36" i="64"/>
  <c r="O36" i="64" s="1"/>
  <c r="L37" i="64"/>
  <c r="O37" i="64" s="1"/>
  <c r="L38" i="64"/>
  <c r="O38" i="64" s="1"/>
  <c r="L39" i="64"/>
  <c r="O39" i="64" s="1"/>
  <c r="L40" i="64"/>
  <c r="O40" i="64" s="1"/>
  <c r="L41" i="64"/>
  <c r="O41" i="64" s="1"/>
  <c r="L42" i="64"/>
  <c r="O42" i="64" s="1"/>
  <c r="L43" i="64"/>
  <c r="O43" i="64" s="1"/>
  <c r="L44" i="64"/>
  <c r="O44" i="64" s="1"/>
  <c r="L45" i="64"/>
  <c r="O45" i="64" s="1"/>
  <c r="L46" i="64"/>
  <c r="O46" i="64" s="1"/>
  <c r="L47" i="64"/>
  <c r="O47" i="64" s="1"/>
  <c r="L48" i="64"/>
  <c r="O48" i="64" s="1"/>
  <c r="L49" i="64"/>
  <c r="O49" i="64" s="1"/>
  <c r="L50" i="64"/>
  <c r="O50" i="64" s="1"/>
  <c r="L51" i="64"/>
  <c r="O51" i="64" s="1"/>
  <c r="L52" i="64"/>
  <c r="O52" i="64" s="1"/>
  <c r="L53" i="64"/>
  <c r="O53" i="64" s="1"/>
  <c r="L54" i="64"/>
  <c r="O54" i="64" s="1"/>
  <c r="L55" i="64"/>
  <c r="O55" i="64" s="1"/>
  <c r="L56" i="64"/>
  <c r="O56" i="64" s="1"/>
  <c r="L57" i="64"/>
  <c r="O57" i="64" s="1"/>
  <c r="L58" i="64"/>
  <c r="O58" i="64" s="1"/>
  <c r="L59" i="64"/>
  <c r="O59" i="64" s="1"/>
  <c r="L60" i="64"/>
  <c r="O60" i="64" s="1"/>
  <c r="L61" i="64"/>
  <c r="O61" i="64" s="1"/>
  <c r="L62" i="64"/>
  <c r="O62" i="64" s="1"/>
  <c r="L63" i="64"/>
  <c r="O63" i="64" s="1"/>
  <c r="L64" i="64"/>
  <c r="O64" i="64" s="1"/>
  <c r="L65" i="64"/>
  <c r="O65" i="64" s="1"/>
  <c r="L66" i="64"/>
  <c r="O66" i="64" s="1"/>
  <c r="L67" i="64"/>
  <c r="O67" i="64" s="1"/>
  <c r="L68" i="64"/>
  <c r="O68" i="64" s="1"/>
  <c r="L69" i="64"/>
  <c r="O69" i="64" s="1"/>
  <c r="L70" i="64"/>
  <c r="O70" i="64" s="1"/>
  <c r="L71" i="64"/>
  <c r="O71" i="64" s="1"/>
  <c r="L72" i="64"/>
  <c r="O72" i="64" s="1"/>
  <c r="L73" i="64"/>
  <c r="O73" i="64" s="1"/>
  <c r="L74" i="64"/>
  <c r="O74" i="64" s="1"/>
  <c r="L75" i="64"/>
  <c r="O75" i="64" s="1"/>
  <c r="L76" i="64"/>
  <c r="O76" i="64" s="1"/>
  <c r="L77" i="64"/>
  <c r="O77" i="64" s="1"/>
  <c r="L78" i="64"/>
  <c r="O78" i="64" s="1"/>
  <c r="L79" i="64"/>
  <c r="O79" i="64" s="1"/>
  <c r="L80" i="64"/>
  <c r="O80" i="64" s="1"/>
  <c r="L81" i="64"/>
  <c r="O81" i="64" s="1"/>
  <c r="L82" i="64"/>
  <c r="O82" i="64" s="1"/>
  <c r="L83" i="64"/>
  <c r="O83" i="64" s="1"/>
  <c r="L84" i="64"/>
  <c r="O84" i="64" s="1"/>
  <c r="L85" i="64"/>
  <c r="O85" i="64" s="1"/>
  <c r="L86" i="64"/>
  <c r="O86" i="64" s="1"/>
  <c r="L87" i="64"/>
  <c r="O87" i="64" s="1"/>
  <c r="L88" i="64"/>
  <c r="O88" i="64" s="1"/>
  <c r="L89" i="64"/>
  <c r="O89" i="64" s="1"/>
  <c r="L90" i="64"/>
  <c r="O90" i="64" s="1"/>
  <c r="L91" i="64"/>
  <c r="O91" i="64" s="1"/>
  <c r="L92" i="64"/>
  <c r="O92" i="64" s="1"/>
  <c r="L93" i="64"/>
  <c r="O93" i="64" s="1"/>
  <c r="L94" i="64"/>
  <c r="O94" i="64" s="1"/>
  <c r="L95" i="64"/>
  <c r="O95" i="64" s="1"/>
  <c r="L96" i="64"/>
  <c r="O96" i="64" s="1"/>
  <c r="L97" i="64"/>
  <c r="O97" i="64" s="1"/>
  <c r="L98" i="64"/>
  <c r="O98" i="64" s="1"/>
  <c r="L99" i="64"/>
  <c r="O99" i="64" s="1"/>
  <c r="L100" i="64"/>
  <c r="O100" i="64" s="1"/>
  <c r="L101" i="64"/>
  <c r="O101" i="64" s="1"/>
  <c r="L102" i="64"/>
  <c r="O102" i="64" s="1"/>
  <c r="L103" i="64"/>
  <c r="O103" i="64" s="1"/>
  <c r="L104" i="64"/>
  <c r="O104" i="64" s="1"/>
  <c r="L105" i="64"/>
  <c r="O105" i="64" s="1"/>
  <c r="L106" i="64"/>
  <c r="O106" i="64" s="1"/>
  <c r="L107" i="64"/>
  <c r="O107" i="64" s="1"/>
  <c r="L108" i="64"/>
  <c r="O108" i="64" s="1"/>
  <c r="L109" i="64"/>
  <c r="O109" i="64" s="1"/>
  <c r="L110" i="64"/>
  <c r="O110" i="64" s="1"/>
  <c r="L111" i="64"/>
  <c r="O111" i="64" s="1"/>
  <c r="L112" i="64"/>
  <c r="O112" i="64" s="1"/>
  <c r="L113" i="64"/>
  <c r="O113" i="64" s="1"/>
  <c r="L114" i="64"/>
  <c r="O114" i="64" s="1"/>
  <c r="L115" i="64"/>
  <c r="O115" i="64" s="1"/>
  <c r="L116" i="64"/>
  <c r="O116" i="64" s="1"/>
  <c r="L117" i="64"/>
  <c r="O117" i="64" s="1"/>
  <c r="L118" i="64"/>
  <c r="O118" i="64" s="1"/>
  <c r="L119" i="64"/>
  <c r="O119" i="64" s="1"/>
  <c r="L120" i="64"/>
  <c r="O120" i="64" s="1"/>
  <c r="L121" i="64"/>
  <c r="O121" i="64" s="1"/>
  <c r="L122" i="64"/>
  <c r="O122" i="64" s="1"/>
  <c r="L123" i="64"/>
  <c r="O123" i="64" s="1"/>
  <c r="L124" i="64"/>
  <c r="O124" i="64" s="1"/>
  <c r="L125" i="64"/>
  <c r="O125" i="64" s="1"/>
  <c r="L126" i="64"/>
  <c r="O126" i="64" s="1"/>
  <c r="L127" i="64"/>
  <c r="O127" i="64" s="1"/>
  <c r="L128" i="64"/>
  <c r="O128" i="64" s="1"/>
  <c r="L129" i="64"/>
  <c r="O129" i="64" s="1"/>
  <c r="L130" i="64"/>
  <c r="O130" i="64" s="1"/>
  <c r="L131" i="64"/>
  <c r="O131" i="64" s="1"/>
  <c r="L132" i="64"/>
  <c r="O132" i="64" s="1"/>
  <c r="L133" i="64"/>
  <c r="O133" i="64" s="1"/>
  <c r="L134" i="64"/>
  <c r="O134" i="64" s="1"/>
  <c r="L135" i="64"/>
  <c r="O135" i="64" s="1"/>
  <c r="L136" i="64"/>
  <c r="O136" i="64" s="1"/>
  <c r="L137" i="64"/>
  <c r="O137" i="64" s="1"/>
  <c r="L138" i="64"/>
  <c r="O138" i="64" s="1"/>
  <c r="L139" i="64"/>
  <c r="O139" i="64" s="1"/>
  <c r="L140" i="64"/>
  <c r="O140" i="64" s="1"/>
  <c r="L141" i="64"/>
  <c r="O141" i="64" s="1"/>
  <c r="L142" i="64"/>
  <c r="O142" i="64" s="1"/>
  <c r="L143" i="64"/>
  <c r="O143" i="64" s="1"/>
  <c r="L144" i="64"/>
  <c r="O144" i="64" s="1"/>
  <c r="L145" i="64"/>
  <c r="O145" i="64" s="1"/>
  <c r="L146" i="64"/>
  <c r="O146" i="64" s="1"/>
  <c r="L147" i="64"/>
  <c r="O147" i="64" s="1"/>
  <c r="L148" i="64"/>
  <c r="O148" i="64" s="1"/>
  <c r="L149" i="64"/>
  <c r="O149" i="64" s="1"/>
  <c r="L150" i="64"/>
  <c r="O150" i="64" s="1"/>
  <c r="L151" i="64"/>
  <c r="O151" i="64" s="1"/>
  <c r="L152" i="64"/>
  <c r="O152" i="64" s="1"/>
  <c r="L153" i="64"/>
  <c r="O153" i="64" s="1"/>
  <c r="L154" i="64"/>
  <c r="O154" i="64" s="1"/>
  <c r="L155" i="64"/>
  <c r="O155" i="64" s="1"/>
  <c r="L156" i="64"/>
  <c r="O156" i="64" s="1"/>
  <c r="L157" i="64"/>
  <c r="O157" i="64" s="1"/>
  <c r="L158" i="64"/>
  <c r="O158" i="64" s="1"/>
  <c r="L159" i="64"/>
  <c r="O159" i="64" s="1"/>
  <c r="L160" i="64"/>
  <c r="O160" i="64" s="1"/>
  <c r="L161" i="64"/>
  <c r="O161" i="64" s="1"/>
  <c r="L162" i="64"/>
  <c r="O162" i="64" s="1"/>
  <c r="L163" i="64"/>
  <c r="O163" i="64" s="1"/>
  <c r="L164" i="64"/>
  <c r="O164" i="64" s="1"/>
  <c r="L165" i="64"/>
  <c r="O165" i="64" s="1"/>
  <c r="L166" i="64"/>
  <c r="O166" i="64" s="1"/>
  <c r="L167" i="64"/>
  <c r="O167" i="64" s="1"/>
  <c r="L168" i="64"/>
  <c r="O168" i="64" s="1"/>
  <c r="L169" i="64"/>
  <c r="O169" i="64" s="1"/>
  <c r="L170" i="64"/>
  <c r="O170" i="64" s="1"/>
  <c r="L171" i="64"/>
  <c r="O171" i="64" s="1"/>
  <c r="L172" i="64"/>
  <c r="O172" i="64" s="1"/>
  <c r="L173" i="64"/>
  <c r="O173" i="64" s="1"/>
  <c r="L174" i="64"/>
  <c r="O174" i="64" s="1"/>
  <c r="L175" i="64"/>
  <c r="O175" i="64" s="1"/>
  <c r="L176" i="64"/>
  <c r="O176" i="64" s="1"/>
  <c r="L177" i="64"/>
  <c r="O177" i="64" s="1"/>
  <c r="L178" i="64"/>
  <c r="O178" i="64" s="1"/>
  <c r="L179" i="64"/>
  <c r="O179" i="64" s="1"/>
  <c r="L180" i="64"/>
  <c r="O180" i="64" s="1"/>
  <c r="L181" i="64"/>
  <c r="O181" i="64" s="1"/>
  <c r="L182" i="64"/>
  <c r="O182" i="64" s="1"/>
  <c r="L183" i="64"/>
  <c r="O183" i="64" s="1"/>
  <c r="L184" i="64"/>
  <c r="O184" i="64" s="1"/>
  <c r="L185" i="64"/>
  <c r="O185" i="64" s="1"/>
  <c r="L186" i="64"/>
  <c r="O186" i="64" s="1"/>
  <c r="L187" i="64"/>
  <c r="O187" i="64" s="1"/>
  <c r="L188" i="64"/>
  <c r="O188" i="64" s="1"/>
  <c r="L189" i="64"/>
  <c r="O189" i="64" s="1"/>
  <c r="L190" i="64"/>
  <c r="O190" i="64" s="1"/>
  <c r="L191" i="64"/>
  <c r="O191" i="64" s="1"/>
  <c r="L192" i="64"/>
  <c r="O192" i="64" s="1"/>
  <c r="L193" i="64"/>
  <c r="O193" i="64" s="1"/>
  <c r="L194" i="64"/>
  <c r="O194" i="64" s="1"/>
  <c r="L195" i="64"/>
  <c r="O195" i="64" s="1"/>
  <c r="L196" i="64"/>
  <c r="O196" i="64" s="1"/>
  <c r="L197" i="64"/>
  <c r="O197" i="64" s="1"/>
  <c r="L198" i="64"/>
  <c r="O198" i="64" s="1"/>
  <c r="L199" i="64"/>
  <c r="O199" i="64" s="1"/>
  <c r="L200" i="64"/>
  <c r="O200" i="64" s="1"/>
  <c r="L201" i="64"/>
  <c r="O201" i="64" s="1"/>
  <c r="L202" i="64"/>
  <c r="O202" i="64" s="1"/>
  <c r="L203" i="64"/>
  <c r="O203" i="64" s="1"/>
  <c r="L204" i="64"/>
  <c r="O204" i="64" s="1"/>
  <c r="L205" i="64"/>
  <c r="O205" i="64" s="1"/>
  <c r="L206" i="64"/>
  <c r="O206" i="64" s="1"/>
  <c r="L207" i="64"/>
  <c r="O207" i="64" s="1"/>
  <c r="L208" i="64"/>
  <c r="O208" i="64" s="1"/>
  <c r="L209" i="64"/>
  <c r="O209" i="64" s="1"/>
  <c r="L210" i="64"/>
  <c r="O210" i="64" s="1"/>
  <c r="L211" i="64"/>
  <c r="O211" i="64" s="1"/>
  <c r="L212" i="64"/>
  <c r="O212" i="64" s="1"/>
  <c r="L213" i="64"/>
  <c r="O213" i="64" s="1"/>
  <c r="L214" i="64"/>
  <c r="O214" i="64" s="1"/>
  <c r="L215" i="64"/>
  <c r="O215" i="64" s="1"/>
  <c r="L216" i="64"/>
  <c r="O216" i="64" s="1"/>
  <c r="L217" i="64"/>
  <c r="O217" i="64" s="1"/>
  <c r="L218" i="64"/>
  <c r="O218" i="64" s="1"/>
  <c r="L219" i="64"/>
  <c r="O219" i="64" s="1"/>
  <c r="L220" i="64"/>
  <c r="O220" i="64" s="1"/>
  <c r="L221" i="64"/>
  <c r="O221" i="64" s="1"/>
  <c r="L222" i="64"/>
  <c r="O222" i="64" s="1"/>
  <c r="L223" i="64"/>
  <c r="O223" i="64" s="1"/>
  <c r="L224" i="64"/>
  <c r="O224" i="64" s="1"/>
  <c r="L225" i="64"/>
  <c r="O225" i="64" s="1"/>
  <c r="L226" i="64"/>
  <c r="O226" i="64" s="1"/>
  <c r="L227" i="64"/>
  <c r="O227" i="64" s="1"/>
  <c r="L228" i="64"/>
  <c r="O228" i="64" s="1"/>
  <c r="L229" i="64"/>
  <c r="O229" i="64" s="1"/>
  <c r="L230" i="64"/>
  <c r="O230" i="64" s="1"/>
  <c r="L231" i="64"/>
  <c r="O231" i="64" s="1"/>
  <c r="L232" i="64"/>
  <c r="O232" i="64" s="1"/>
  <c r="L233" i="64"/>
  <c r="O233" i="64" s="1"/>
  <c r="L234" i="64"/>
  <c r="O234" i="64" s="1"/>
  <c r="L235" i="64"/>
  <c r="O235" i="64" s="1"/>
  <c r="L236" i="64"/>
  <c r="O236" i="64" s="1"/>
  <c r="L237" i="64"/>
  <c r="O237" i="64" s="1"/>
  <c r="L238" i="64"/>
  <c r="O238" i="64" s="1"/>
  <c r="L239" i="64"/>
  <c r="O239" i="64" s="1"/>
  <c r="L240" i="64"/>
  <c r="O240" i="64" s="1"/>
  <c r="L241" i="64"/>
  <c r="O241" i="64" s="1"/>
  <c r="L242" i="64"/>
  <c r="O242" i="64" s="1"/>
  <c r="L243" i="64"/>
  <c r="O243" i="64" s="1"/>
  <c r="L244" i="64"/>
  <c r="O244" i="64" s="1"/>
  <c r="L245" i="64"/>
  <c r="O245" i="64" s="1"/>
  <c r="L246" i="64"/>
  <c r="O246" i="64" s="1"/>
  <c r="L247" i="64"/>
  <c r="O247" i="64" s="1"/>
  <c r="L248" i="64"/>
  <c r="O248" i="64" s="1"/>
  <c r="L249" i="64"/>
  <c r="O249" i="64" s="1"/>
  <c r="L250" i="64"/>
  <c r="O250" i="64" s="1"/>
  <c r="L251" i="64"/>
  <c r="O251" i="64" s="1"/>
  <c r="L252" i="64"/>
  <c r="O252" i="64" s="1"/>
  <c r="L253" i="64"/>
  <c r="O253" i="64" s="1"/>
  <c r="L254" i="64"/>
  <c r="O254" i="64" s="1"/>
  <c r="L255" i="64"/>
  <c r="O255" i="64" s="1"/>
  <c r="L256" i="64"/>
  <c r="O256" i="64" s="1"/>
  <c r="L257" i="64"/>
  <c r="O257" i="64" s="1"/>
  <c r="AN13" i="69"/>
  <c r="AN14" i="69"/>
  <c r="AN15" i="69"/>
  <c r="AN16" i="69"/>
  <c r="AN17" i="69"/>
  <c r="AN18" i="69"/>
  <c r="AN19" i="69"/>
  <c r="AN20" i="69"/>
  <c r="AN21" i="69"/>
  <c r="AN22" i="69"/>
  <c r="AN23" i="69"/>
  <c r="AN24" i="69"/>
  <c r="AN25" i="69"/>
  <c r="AN26" i="69"/>
  <c r="AN27" i="69"/>
  <c r="AN28" i="69"/>
  <c r="AN29" i="69"/>
  <c r="AN30" i="69"/>
  <c r="AN31" i="69"/>
  <c r="AN32" i="69"/>
  <c r="AN33" i="69"/>
  <c r="AN34" i="69"/>
  <c r="AN35" i="69"/>
  <c r="AN36" i="69"/>
  <c r="AN37" i="69"/>
  <c r="AN38" i="69"/>
  <c r="AN39" i="69"/>
  <c r="AN40" i="69"/>
  <c r="AN41" i="69"/>
  <c r="AN42" i="69"/>
  <c r="AN43" i="69"/>
  <c r="AN44" i="69"/>
  <c r="AN45" i="69"/>
  <c r="AN46" i="69"/>
  <c r="AN47" i="69"/>
  <c r="AN48" i="69"/>
  <c r="AN49" i="69"/>
  <c r="AN50" i="69"/>
  <c r="AN51" i="69"/>
  <c r="AN52" i="69"/>
  <c r="AN53" i="69"/>
  <c r="AN54" i="69"/>
  <c r="AN55" i="69"/>
  <c r="AN56" i="69"/>
  <c r="AN57" i="69"/>
  <c r="AN58" i="69"/>
  <c r="AN59" i="69"/>
  <c r="AN60" i="69"/>
  <c r="AN61" i="69"/>
  <c r="AN62" i="69"/>
  <c r="AN63" i="69"/>
  <c r="AN64" i="69"/>
  <c r="AN65" i="69"/>
  <c r="AN66" i="69"/>
  <c r="AN67" i="69"/>
  <c r="AN68" i="69"/>
  <c r="AN69" i="69"/>
  <c r="AN70" i="69"/>
  <c r="AN71" i="69"/>
  <c r="AN72" i="69"/>
  <c r="AN73" i="69"/>
  <c r="AN74" i="69"/>
  <c r="AN75" i="69"/>
  <c r="AN76" i="69"/>
  <c r="AN77" i="69"/>
  <c r="AN78" i="69"/>
  <c r="AN79" i="69"/>
  <c r="AN80" i="69"/>
  <c r="AN81" i="69"/>
  <c r="AN82" i="69"/>
  <c r="AN83" i="69"/>
  <c r="AN84" i="69"/>
  <c r="AN85" i="69"/>
  <c r="AN86" i="69"/>
  <c r="AN87" i="69"/>
  <c r="AN88" i="69"/>
  <c r="AN89" i="69"/>
  <c r="AN90" i="69"/>
  <c r="AN91" i="69"/>
  <c r="AN92" i="69"/>
  <c r="AN93" i="69"/>
  <c r="AN94" i="69"/>
  <c r="AN95" i="69"/>
  <c r="AN96" i="69"/>
  <c r="AN97" i="69"/>
  <c r="AN98" i="69"/>
  <c r="AN99" i="69"/>
  <c r="AN100" i="69"/>
  <c r="AN101" i="69"/>
  <c r="AN102" i="69"/>
  <c r="AN103" i="69"/>
  <c r="AN104" i="69"/>
  <c r="AN105" i="69"/>
  <c r="AN106" i="69"/>
  <c r="AN107" i="69"/>
  <c r="AN108" i="69"/>
  <c r="AN109" i="69"/>
  <c r="AN110" i="69"/>
  <c r="AN111" i="69"/>
  <c r="AN112" i="69"/>
  <c r="AN113" i="69"/>
  <c r="AN114" i="69"/>
  <c r="AN115" i="69"/>
  <c r="AN116" i="69"/>
  <c r="AN117" i="69"/>
  <c r="AN118" i="69"/>
  <c r="AN119" i="69"/>
  <c r="AN120" i="69"/>
  <c r="AN121" i="69"/>
  <c r="AN122" i="69"/>
  <c r="AN123" i="69"/>
  <c r="AN124" i="69"/>
  <c r="AN125" i="69"/>
  <c r="AN126" i="69"/>
  <c r="AN127" i="69"/>
  <c r="AN128" i="69"/>
  <c r="AN129" i="69"/>
  <c r="AN130" i="69"/>
  <c r="AN131" i="69"/>
  <c r="AN132" i="69"/>
  <c r="AN133" i="69"/>
  <c r="AN134" i="69"/>
  <c r="AN135" i="69"/>
  <c r="AN136" i="69"/>
  <c r="AN137" i="69"/>
  <c r="AN138" i="69"/>
  <c r="AN139" i="69"/>
  <c r="AN140" i="69"/>
  <c r="AN141" i="69"/>
  <c r="AN142" i="69"/>
  <c r="AN143" i="69"/>
  <c r="AN144" i="69"/>
  <c r="AN145" i="69"/>
  <c r="AN146" i="69"/>
  <c r="AN147" i="69"/>
  <c r="AN148" i="69"/>
  <c r="AN149" i="69"/>
  <c r="AN150" i="69"/>
  <c r="AN151" i="69"/>
  <c r="AN152" i="69"/>
  <c r="AN153" i="69"/>
  <c r="AN154" i="69"/>
  <c r="AN155" i="69"/>
  <c r="AN156" i="69"/>
  <c r="AN157" i="69"/>
  <c r="AN158" i="69"/>
  <c r="AN159" i="69"/>
  <c r="AN160" i="69"/>
  <c r="AN161" i="69"/>
  <c r="AN162" i="69"/>
  <c r="AN163" i="69"/>
  <c r="AN164" i="69"/>
  <c r="AN165" i="69"/>
  <c r="AN166" i="69"/>
  <c r="AN167" i="69"/>
  <c r="AN168" i="69"/>
  <c r="AN169" i="69"/>
  <c r="AN170" i="69"/>
  <c r="AN171" i="69"/>
  <c r="AN172" i="69"/>
  <c r="AN173" i="69"/>
  <c r="AN174" i="69"/>
  <c r="AN175" i="69"/>
  <c r="AN176" i="69"/>
  <c r="AN177" i="69"/>
  <c r="AN178" i="69"/>
  <c r="AN179" i="69"/>
  <c r="AN180" i="69"/>
  <c r="AN181" i="69"/>
  <c r="AN182" i="69"/>
  <c r="AN183" i="69"/>
  <c r="AN184" i="69"/>
  <c r="AN185" i="69"/>
  <c r="AN186" i="69"/>
  <c r="AN187" i="69"/>
  <c r="AN188" i="69"/>
  <c r="AN189" i="69"/>
  <c r="AN190" i="69"/>
  <c r="AN191" i="69"/>
  <c r="AN192" i="69"/>
  <c r="AN193" i="69"/>
  <c r="AN194" i="69"/>
  <c r="AN195" i="69"/>
  <c r="AN196" i="69"/>
  <c r="AN197" i="69"/>
  <c r="AN198" i="69"/>
  <c r="AN199" i="69"/>
  <c r="AN200" i="69"/>
  <c r="AN201" i="69"/>
  <c r="AN202" i="69"/>
  <c r="AN203" i="69"/>
  <c r="AN204" i="69"/>
  <c r="AN205" i="69"/>
  <c r="AN206" i="69"/>
  <c r="AN207" i="69"/>
  <c r="AN208" i="69"/>
  <c r="AN209" i="69"/>
  <c r="AN210" i="69"/>
  <c r="AN211" i="69"/>
  <c r="AN212" i="69"/>
  <c r="AN213" i="69"/>
  <c r="AN214" i="69"/>
  <c r="AN215" i="69"/>
  <c r="AN216" i="69"/>
  <c r="AN217" i="69"/>
  <c r="AN218" i="69"/>
  <c r="AN219" i="69"/>
  <c r="AN220" i="69"/>
  <c r="AN221" i="69"/>
  <c r="AN222" i="69"/>
  <c r="AN223" i="69"/>
  <c r="AN224" i="69"/>
  <c r="AN225" i="69"/>
  <c r="AN226" i="69"/>
  <c r="AN227" i="69"/>
  <c r="AN228" i="69"/>
  <c r="AN229" i="69"/>
  <c r="AN230" i="69"/>
  <c r="AN231" i="69"/>
  <c r="AN232" i="69"/>
  <c r="AN233" i="69"/>
  <c r="AN234" i="69"/>
  <c r="AN235" i="69"/>
  <c r="AN236" i="69"/>
  <c r="AN237" i="69"/>
  <c r="AN238" i="69"/>
  <c r="AN239" i="69"/>
  <c r="AN240" i="69"/>
  <c r="AN241" i="69"/>
  <c r="AN242" i="69"/>
  <c r="AN243" i="69"/>
  <c r="AN244" i="69"/>
  <c r="AN245" i="69"/>
  <c r="AN246" i="69"/>
  <c r="AN247" i="69"/>
  <c r="AN248" i="69"/>
  <c r="AN249" i="69"/>
  <c r="AN250" i="69"/>
  <c r="AN251" i="69"/>
  <c r="AN252" i="69"/>
  <c r="AN253" i="69"/>
  <c r="AN254" i="69"/>
  <c r="AN255" i="69"/>
  <c r="AN256" i="69"/>
  <c r="AN257" i="69"/>
  <c r="AN12" i="69"/>
  <c r="E13" i="68"/>
  <c r="F13" i="68" s="1"/>
  <c r="H13" i="68"/>
  <c r="U13" i="68"/>
  <c r="AA13" i="68"/>
  <c r="E14" i="68"/>
  <c r="F14" i="68" s="1"/>
  <c r="H14" i="68"/>
  <c r="U14" i="68"/>
  <c r="AA14" i="68"/>
  <c r="E15" i="68"/>
  <c r="F15" i="68" s="1"/>
  <c r="H15" i="68"/>
  <c r="U15" i="68"/>
  <c r="AA15" i="68"/>
  <c r="E16" i="68"/>
  <c r="F16" i="68" s="1"/>
  <c r="H16" i="68"/>
  <c r="U16" i="68"/>
  <c r="AA16" i="68"/>
  <c r="E17" i="68"/>
  <c r="F17" i="68" s="1"/>
  <c r="H17" i="68"/>
  <c r="U17" i="68"/>
  <c r="AA17" i="68"/>
  <c r="E18" i="68"/>
  <c r="F18" i="68" s="1"/>
  <c r="H18" i="68"/>
  <c r="U18" i="68"/>
  <c r="AA18" i="68"/>
  <c r="E19" i="68"/>
  <c r="F19" i="68" s="1"/>
  <c r="H19" i="68"/>
  <c r="U19" i="68"/>
  <c r="AA19" i="68"/>
  <c r="E20" i="68"/>
  <c r="F20" i="68" s="1"/>
  <c r="H20" i="68"/>
  <c r="U20" i="68"/>
  <c r="AA20" i="68"/>
  <c r="E21" i="68"/>
  <c r="F21" i="68" s="1"/>
  <c r="H21" i="68"/>
  <c r="U21" i="68"/>
  <c r="AA21" i="68"/>
  <c r="E22" i="68"/>
  <c r="F22" i="68" s="1"/>
  <c r="H22" i="68"/>
  <c r="U22" i="68"/>
  <c r="AA22" i="68"/>
  <c r="E23" i="68"/>
  <c r="F23" i="68" s="1"/>
  <c r="H23" i="68"/>
  <c r="U23" i="68"/>
  <c r="AA23" i="68"/>
  <c r="E24" i="68"/>
  <c r="F24" i="68" s="1"/>
  <c r="H24" i="68"/>
  <c r="U24" i="68"/>
  <c r="AA24" i="68"/>
  <c r="E25" i="68"/>
  <c r="F25" i="68" s="1"/>
  <c r="H25" i="68"/>
  <c r="U25" i="68"/>
  <c r="AA25" i="68"/>
  <c r="E26" i="68"/>
  <c r="F26" i="68" s="1"/>
  <c r="H26" i="68"/>
  <c r="U26" i="68"/>
  <c r="AA26" i="68"/>
  <c r="E27" i="68"/>
  <c r="F27" i="68" s="1"/>
  <c r="H27" i="68"/>
  <c r="U27" i="68"/>
  <c r="AA27" i="68"/>
  <c r="E28" i="68"/>
  <c r="F28" i="68" s="1"/>
  <c r="H28" i="68"/>
  <c r="U28" i="68"/>
  <c r="AA28" i="68"/>
  <c r="E29" i="68"/>
  <c r="F29" i="68" s="1"/>
  <c r="H29" i="68"/>
  <c r="U29" i="68"/>
  <c r="AA29" i="68"/>
  <c r="E30" i="68"/>
  <c r="F30" i="68" s="1"/>
  <c r="H30" i="68"/>
  <c r="U30" i="68"/>
  <c r="AA30" i="68"/>
  <c r="E31" i="68"/>
  <c r="F31" i="68" s="1"/>
  <c r="H31" i="68"/>
  <c r="U31" i="68"/>
  <c r="AA31" i="68"/>
  <c r="E32" i="68"/>
  <c r="F32" i="68" s="1"/>
  <c r="H32" i="68"/>
  <c r="U32" i="68"/>
  <c r="AA32" i="68"/>
  <c r="E33" i="68"/>
  <c r="F33" i="68" s="1"/>
  <c r="H33" i="68"/>
  <c r="U33" i="68"/>
  <c r="AA33" i="68"/>
  <c r="E34" i="68"/>
  <c r="F34" i="68" s="1"/>
  <c r="H34" i="68"/>
  <c r="U34" i="68"/>
  <c r="AA34" i="68"/>
  <c r="E35" i="68"/>
  <c r="F35" i="68" s="1"/>
  <c r="H35" i="68"/>
  <c r="U35" i="68"/>
  <c r="AA35" i="68"/>
  <c r="E36" i="68"/>
  <c r="F36" i="68" s="1"/>
  <c r="H36" i="68"/>
  <c r="U36" i="68"/>
  <c r="AA36" i="68"/>
  <c r="E37" i="68"/>
  <c r="F37" i="68" s="1"/>
  <c r="H37" i="68"/>
  <c r="U37" i="68"/>
  <c r="AA37" i="68"/>
  <c r="E38" i="68"/>
  <c r="F38" i="68" s="1"/>
  <c r="H38" i="68"/>
  <c r="U38" i="68"/>
  <c r="AA38" i="68"/>
  <c r="E39" i="68"/>
  <c r="F39" i="68" s="1"/>
  <c r="H39" i="68"/>
  <c r="U39" i="68"/>
  <c r="AA39" i="68"/>
  <c r="E40" i="68"/>
  <c r="F40" i="68" s="1"/>
  <c r="H40" i="68"/>
  <c r="U40" i="68"/>
  <c r="AA40" i="68"/>
  <c r="E41" i="68"/>
  <c r="F41" i="68" s="1"/>
  <c r="H41" i="68"/>
  <c r="U41" i="68"/>
  <c r="AA41" i="68"/>
  <c r="E42" i="68"/>
  <c r="F42" i="68" s="1"/>
  <c r="H42" i="68"/>
  <c r="U42" i="68"/>
  <c r="AA42" i="68"/>
  <c r="E43" i="68"/>
  <c r="F43" i="68" s="1"/>
  <c r="H43" i="68"/>
  <c r="U43" i="68"/>
  <c r="AA43" i="68"/>
  <c r="E44" i="68"/>
  <c r="F44" i="68" s="1"/>
  <c r="H44" i="68"/>
  <c r="U44" i="68"/>
  <c r="AA44" i="68"/>
  <c r="E45" i="68"/>
  <c r="F45" i="68" s="1"/>
  <c r="H45" i="68"/>
  <c r="U45" i="68"/>
  <c r="AA45" i="68"/>
  <c r="E46" i="68"/>
  <c r="F46" i="68" s="1"/>
  <c r="H46" i="68"/>
  <c r="U46" i="68"/>
  <c r="AA46" i="68"/>
  <c r="E47" i="68"/>
  <c r="F47" i="68" s="1"/>
  <c r="H47" i="68"/>
  <c r="U47" i="68"/>
  <c r="AA47" i="68"/>
  <c r="E48" i="68"/>
  <c r="F48" i="68" s="1"/>
  <c r="H48" i="68"/>
  <c r="U48" i="68"/>
  <c r="AA48" i="68"/>
  <c r="E49" i="68"/>
  <c r="F49" i="68" s="1"/>
  <c r="H49" i="68"/>
  <c r="U49" i="68"/>
  <c r="AA49" i="68"/>
  <c r="E50" i="68"/>
  <c r="F50" i="68" s="1"/>
  <c r="H50" i="68"/>
  <c r="U50" i="68"/>
  <c r="AA50" i="68"/>
  <c r="E51" i="68"/>
  <c r="F51" i="68" s="1"/>
  <c r="H51" i="68"/>
  <c r="U51" i="68"/>
  <c r="AA51" i="68"/>
  <c r="E52" i="68"/>
  <c r="F52" i="68" s="1"/>
  <c r="H52" i="68"/>
  <c r="U52" i="68"/>
  <c r="AA52" i="68"/>
  <c r="E53" i="68"/>
  <c r="F53" i="68" s="1"/>
  <c r="H53" i="68"/>
  <c r="U53" i="68"/>
  <c r="AA53" i="68"/>
  <c r="E54" i="68"/>
  <c r="F54" i="68" s="1"/>
  <c r="H54" i="68"/>
  <c r="U54" i="68"/>
  <c r="AA54" i="68"/>
  <c r="E55" i="68"/>
  <c r="F55" i="68" s="1"/>
  <c r="H55" i="68"/>
  <c r="U55" i="68"/>
  <c r="AA55" i="68"/>
  <c r="E56" i="68"/>
  <c r="F56" i="68" s="1"/>
  <c r="H56" i="68"/>
  <c r="U56" i="68"/>
  <c r="AA56" i="68"/>
  <c r="E57" i="68"/>
  <c r="F57" i="68" s="1"/>
  <c r="H57" i="68"/>
  <c r="U57" i="68"/>
  <c r="AA57" i="68"/>
  <c r="E58" i="68"/>
  <c r="F58" i="68" s="1"/>
  <c r="H58" i="68"/>
  <c r="U58" i="68"/>
  <c r="AA58" i="68"/>
  <c r="E59" i="68"/>
  <c r="F59" i="68" s="1"/>
  <c r="H59" i="68"/>
  <c r="U59" i="68"/>
  <c r="AA59" i="68"/>
  <c r="E60" i="68"/>
  <c r="F60" i="68" s="1"/>
  <c r="H60" i="68"/>
  <c r="U60" i="68"/>
  <c r="AA60" i="68"/>
  <c r="E61" i="68"/>
  <c r="F61" i="68" s="1"/>
  <c r="H61" i="68"/>
  <c r="U61" i="68"/>
  <c r="AA61" i="68"/>
  <c r="E62" i="68"/>
  <c r="F62" i="68" s="1"/>
  <c r="H62" i="68"/>
  <c r="U62" i="68"/>
  <c r="AA62" i="68"/>
  <c r="E63" i="68"/>
  <c r="F63" i="68" s="1"/>
  <c r="H63" i="68"/>
  <c r="U63" i="68"/>
  <c r="AA63" i="68"/>
  <c r="E64" i="68"/>
  <c r="F64" i="68" s="1"/>
  <c r="H64" i="68"/>
  <c r="U64" i="68"/>
  <c r="AA64" i="68"/>
  <c r="E65" i="68"/>
  <c r="F65" i="68" s="1"/>
  <c r="H65" i="68"/>
  <c r="U65" i="68"/>
  <c r="AA65" i="68"/>
  <c r="E66" i="68"/>
  <c r="F66" i="68" s="1"/>
  <c r="H66" i="68"/>
  <c r="U66" i="68"/>
  <c r="AA66" i="68"/>
  <c r="E67" i="68"/>
  <c r="F67" i="68" s="1"/>
  <c r="H67" i="68"/>
  <c r="U67" i="68"/>
  <c r="AA67" i="68"/>
  <c r="E68" i="68"/>
  <c r="F68" i="68" s="1"/>
  <c r="H68" i="68"/>
  <c r="U68" i="68"/>
  <c r="AA68" i="68"/>
  <c r="E69" i="68"/>
  <c r="F69" i="68" s="1"/>
  <c r="H69" i="68"/>
  <c r="U69" i="68"/>
  <c r="AA69" i="68"/>
  <c r="E70" i="68"/>
  <c r="F70" i="68" s="1"/>
  <c r="H70" i="68"/>
  <c r="U70" i="68"/>
  <c r="AA70" i="68"/>
  <c r="E71" i="68"/>
  <c r="F71" i="68" s="1"/>
  <c r="H71" i="68"/>
  <c r="U71" i="68"/>
  <c r="AA71" i="68"/>
  <c r="E72" i="68"/>
  <c r="F72" i="68" s="1"/>
  <c r="H72" i="68"/>
  <c r="U72" i="68"/>
  <c r="AA72" i="68"/>
  <c r="E73" i="68"/>
  <c r="F73" i="68" s="1"/>
  <c r="H73" i="68"/>
  <c r="U73" i="68"/>
  <c r="AA73" i="68"/>
  <c r="E74" i="68"/>
  <c r="F74" i="68" s="1"/>
  <c r="H74" i="68"/>
  <c r="U74" i="68"/>
  <c r="AA74" i="68"/>
  <c r="E75" i="68"/>
  <c r="F75" i="68" s="1"/>
  <c r="H75" i="68"/>
  <c r="U75" i="68"/>
  <c r="AA75" i="68"/>
  <c r="E76" i="68"/>
  <c r="F76" i="68" s="1"/>
  <c r="H76" i="68"/>
  <c r="U76" i="68"/>
  <c r="AA76" i="68"/>
  <c r="E77" i="68"/>
  <c r="F77" i="68" s="1"/>
  <c r="H77" i="68"/>
  <c r="U77" i="68"/>
  <c r="AA77" i="68"/>
  <c r="E78" i="68"/>
  <c r="F78" i="68" s="1"/>
  <c r="H78" i="68"/>
  <c r="U78" i="68"/>
  <c r="AA78" i="68"/>
  <c r="E79" i="68"/>
  <c r="F79" i="68" s="1"/>
  <c r="H79" i="68"/>
  <c r="U79" i="68"/>
  <c r="AA79" i="68"/>
  <c r="E80" i="68"/>
  <c r="F80" i="68" s="1"/>
  <c r="H80" i="68"/>
  <c r="U80" i="68"/>
  <c r="AA80" i="68"/>
  <c r="E81" i="68"/>
  <c r="F81" i="68" s="1"/>
  <c r="H81" i="68"/>
  <c r="U81" i="68"/>
  <c r="AA81" i="68"/>
  <c r="E82" i="68"/>
  <c r="F82" i="68" s="1"/>
  <c r="H82" i="68"/>
  <c r="U82" i="68"/>
  <c r="AA82" i="68"/>
  <c r="E83" i="68"/>
  <c r="F83" i="68" s="1"/>
  <c r="H83" i="68"/>
  <c r="U83" i="68"/>
  <c r="AA83" i="68"/>
  <c r="E84" i="68"/>
  <c r="F84" i="68" s="1"/>
  <c r="H84" i="68"/>
  <c r="U84" i="68"/>
  <c r="AA84" i="68"/>
  <c r="E85" i="68"/>
  <c r="F85" i="68" s="1"/>
  <c r="H85" i="68"/>
  <c r="U85" i="68"/>
  <c r="AA85" i="68"/>
  <c r="E86" i="68"/>
  <c r="F86" i="68" s="1"/>
  <c r="H86" i="68"/>
  <c r="U86" i="68"/>
  <c r="AA86" i="68"/>
  <c r="E87" i="68"/>
  <c r="F87" i="68" s="1"/>
  <c r="H87" i="68"/>
  <c r="U87" i="68"/>
  <c r="AA87" i="68"/>
  <c r="E88" i="68"/>
  <c r="F88" i="68" s="1"/>
  <c r="H88" i="68"/>
  <c r="U88" i="68"/>
  <c r="AA88" i="68"/>
  <c r="E89" i="68"/>
  <c r="F89" i="68" s="1"/>
  <c r="H89" i="68"/>
  <c r="U89" i="68"/>
  <c r="AA89" i="68"/>
  <c r="E90" i="68"/>
  <c r="F90" i="68" s="1"/>
  <c r="H90" i="68"/>
  <c r="U90" i="68"/>
  <c r="AA90" i="68"/>
  <c r="E91" i="68"/>
  <c r="F91" i="68" s="1"/>
  <c r="H91" i="68"/>
  <c r="U91" i="68"/>
  <c r="AA91" i="68"/>
  <c r="E92" i="68"/>
  <c r="F92" i="68" s="1"/>
  <c r="H92" i="68"/>
  <c r="U92" i="68"/>
  <c r="AA92" i="68"/>
  <c r="E93" i="68"/>
  <c r="F93" i="68" s="1"/>
  <c r="H93" i="68"/>
  <c r="U93" i="68"/>
  <c r="AA93" i="68"/>
  <c r="E94" i="68"/>
  <c r="F94" i="68" s="1"/>
  <c r="H94" i="68"/>
  <c r="U94" i="68"/>
  <c r="AA94" i="68"/>
  <c r="E95" i="68"/>
  <c r="F95" i="68" s="1"/>
  <c r="H95" i="68"/>
  <c r="U95" i="68"/>
  <c r="AA95" i="68"/>
  <c r="E96" i="68"/>
  <c r="F96" i="68" s="1"/>
  <c r="H96" i="68"/>
  <c r="U96" i="68"/>
  <c r="AA96" i="68"/>
  <c r="E97" i="68"/>
  <c r="F97" i="68" s="1"/>
  <c r="H97" i="68"/>
  <c r="U97" i="68"/>
  <c r="AA97" i="68"/>
  <c r="E98" i="68"/>
  <c r="F98" i="68" s="1"/>
  <c r="H98" i="68"/>
  <c r="U98" i="68"/>
  <c r="AA98" i="68"/>
  <c r="E99" i="68"/>
  <c r="F99" i="68" s="1"/>
  <c r="H99" i="68"/>
  <c r="U99" i="68"/>
  <c r="AA99" i="68"/>
  <c r="E100" i="68"/>
  <c r="F100" i="68" s="1"/>
  <c r="H100" i="68"/>
  <c r="U100" i="68"/>
  <c r="AA100" i="68"/>
  <c r="E101" i="68"/>
  <c r="F101" i="68" s="1"/>
  <c r="H101" i="68"/>
  <c r="U101" i="68"/>
  <c r="AA101" i="68"/>
  <c r="E102" i="68"/>
  <c r="F102" i="68" s="1"/>
  <c r="H102" i="68"/>
  <c r="U102" i="68"/>
  <c r="AA102" i="68"/>
  <c r="E103" i="68"/>
  <c r="F103" i="68" s="1"/>
  <c r="H103" i="68"/>
  <c r="U103" i="68"/>
  <c r="AA103" i="68"/>
  <c r="E104" i="68"/>
  <c r="F104" i="68" s="1"/>
  <c r="H104" i="68"/>
  <c r="U104" i="68"/>
  <c r="AA104" i="68"/>
  <c r="E105" i="68"/>
  <c r="F105" i="68" s="1"/>
  <c r="H105" i="68"/>
  <c r="U105" i="68"/>
  <c r="AA105" i="68"/>
  <c r="E106" i="68"/>
  <c r="F106" i="68" s="1"/>
  <c r="H106" i="68"/>
  <c r="U106" i="68"/>
  <c r="AA106" i="68"/>
  <c r="E107" i="68"/>
  <c r="F107" i="68" s="1"/>
  <c r="H107" i="68"/>
  <c r="U107" i="68"/>
  <c r="AA107" i="68"/>
  <c r="E108" i="68"/>
  <c r="F108" i="68" s="1"/>
  <c r="H108" i="68"/>
  <c r="U108" i="68"/>
  <c r="AA108" i="68"/>
  <c r="E109" i="68"/>
  <c r="F109" i="68" s="1"/>
  <c r="H109" i="68"/>
  <c r="U109" i="68"/>
  <c r="AA109" i="68"/>
  <c r="E110" i="68"/>
  <c r="F110" i="68" s="1"/>
  <c r="H110" i="68"/>
  <c r="U110" i="68"/>
  <c r="AA110" i="68"/>
  <c r="E111" i="68"/>
  <c r="F111" i="68" s="1"/>
  <c r="H111" i="68"/>
  <c r="U111" i="68"/>
  <c r="AA111" i="68"/>
  <c r="E112" i="68"/>
  <c r="F112" i="68" s="1"/>
  <c r="H112" i="68"/>
  <c r="U112" i="68"/>
  <c r="AA112" i="68"/>
  <c r="E113" i="68"/>
  <c r="F113" i="68" s="1"/>
  <c r="H113" i="68"/>
  <c r="U113" i="68"/>
  <c r="AA113" i="68"/>
  <c r="E114" i="68"/>
  <c r="F114" i="68" s="1"/>
  <c r="H114" i="68"/>
  <c r="U114" i="68"/>
  <c r="AA114" i="68"/>
  <c r="E115" i="68"/>
  <c r="F115" i="68" s="1"/>
  <c r="H115" i="68"/>
  <c r="U115" i="68"/>
  <c r="AA115" i="68"/>
  <c r="E116" i="68"/>
  <c r="F116" i="68" s="1"/>
  <c r="H116" i="68"/>
  <c r="U116" i="68"/>
  <c r="AA116" i="68"/>
  <c r="E117" i="68"/>
  <c r="F117" i="68" s="1"/>
  <c r="H117" i="68"/>
  <c r="U117" i="68"/>
  <c r="AA117" i="68"/>
  <c r="E118" i="68"/>
  <c r="F118" i="68" s="1"/>
  <c r="H118" i="68"/>
  <c r="U118" i="68"/>
  <c r="AA118" i="68"/>
  <c r="E119" i="68"/>
  <c r="F119" i="68" s="1"/>
  <c r="H119" i="68"/>
  <c r="U119" i="68"/>
  <c r="AA119" i="68"/>
  <c r="E120" i="68"/>
  <c r="F120" i="68" s="1"/>
  <c r="H120" i="68"/>
  <c r="U120" i="68"/>
  <c r="AA120" i="68"/>
  <c r="E121" i="68"/>
  <c r="F121" i="68" s="1"/>
  <c r="H121" i="68"/>
  <c r="U121" i="68"/>
  <c r="AA121" i="68"/>
  <c r="E122" i="68"/>
  <c r="F122" i="68" s="1"/>
  <c r="H122" i="68"/>
  <c r="U122" i="68"/>
  <c r="AA122" i="68"/>
  <c r="E123" i="68"/>
  <c r="F123" i="68" s="1"/>
  <c r="H123" i="68"/>
  <c r="U123" i="68"/>
  <c r="AA123" i="68"/>
  <c r="E124" i="68"/>
  <c r="F124" i="68" s="1"/>
  <c r="H124" i="68"/>
  <c r="U124" i="68"/>
  <c r="AA124" i="68"/>
  <c r="E125" i="68"/>
  <c r="F125" i="68" s="1"/>
  <c r="H125" i="68"/>
  <c r="U125" i="68"/>
  <c r="AA125" i="68"/>
  <c r="E126" i="68"/>
  <c r="F126" i="68" s="1"/>
  <c r="H126" i="68"/>
  <c r="U126" i="68"/>
  <c r="AA126" i="68"/>
  <c r="E127" i="68"/>
  <c r="F127" i="68" s="1"/>
  <c r="H127" i="68"/>
  <c r="U127" i="68"/>
  <c r="AA127" i="68"/>
  <c r="E128" i="68"/>
  <c r="F128" i="68" s="1"/>
  <c r="H128" i="68"/>
  <c r="U128" i="68"/>
  <c r="AA128" i="68"/>
  <c r="E129" i="68"/>
  <c r="F129" i="68" s="1"/>
  <c r="H129" i="68"/>
  <c r="U129" i="68"/>
  <c r="AA129" i="68"/>
  <c r="E130" i="68"/>
  <c r="F130" i="68" s="1"/>
  <c r="H130" i="68"/>
  <c r="U130" i="68"/>
  <c r="AA130" i="68"/>
  <c r="E131" i="68"/>
  <c r="F131" i="68" s="1"/>
  <c r="H131" i="68"/>
  <c r="U131" i="68"/>
  <c r="AA131" i="68"/>
  <c r="E132" i="68"/>
  <c r="F132" i="68" s="1"/>
  <c r="H132" i="68"/>
  <c r="U132" i="68"/>
  <c r="AA132" i="68"/>
  <c r="E133" i="68"/>
  <c r="F133" i="68" s="1"/>
  <c r="H133" i="68"/>
  <c r="U133" i="68"/>
  <c r="AA133" i="68"/>
  <c r="E134" i="68"/>
  <c r="F134" i="68" s="1"/>
  <c r="H134" i="68"/>
  <c r="U134" i="68"/>
  <c r="AA134" i="68"/>
  <c r="E135" i="68"/>
  <c r="F135" i="68" s="1"/>
  <c r="H135" i="68"/>
  <c r="U135" i="68"/>
  <c r="AA135" i="68"/>
  <c r="E136" i="68"/>
  <c r="F136" i="68" s="1"/>
  <c r="H136" i="68"/>
  <c r="U136" i="68"/>
  <c r="AA136" i="68"/>
  <c r="E137" i="68"/>
  <c r="F137" i="68" s="1"/>
  <c r="H137" i="68"/>
  <c r="U137" i="68"/>
  <c r="AA137" i="68"/>
  <c r="E138" i="68"/>
  <c r="F138" i="68" s="1"/>
  <c r="H138" i="68"/>
  <c r="U138" i="68"/>
  <c r="AA138" i="68"/>
  <c r="E139" i="68"/>
  <c r="F139" i="68" s="1"/>
  <c r="H139" i="68"/>
  <c r="U139" i="68"/>
  <c r="AA139" i="68"/>
  <c r="E140" i="68"/>
  <c r="F140" i="68" s="1"/>
  <c r="H140" i="68"/>
  <c r="U140" i="68"/>
  <c r="AA140" i="68"/>
  <c r="E141" i="68"/>
  <c r="F141" i="68" s="1"/>
  <c r="H141" i="68"/>
  <c r="U141" i="68"/>
  <c r="AA141" i="68"/>
  <c r="E142" i="68"/>
  <c r="F142" i="68" s="1"/>
  <c r="H142" i="68"/>
  <c r="U142" i="68"/>
  <c r="AA142" i="68"/>
  <c r="E143" i="68"/>
  <c r="F143" i="68" s="1"/>
  <c r="H143" i="68"/>
  <c r="U143" i="68"/>
  <c r="AA143" i="68"/>
  <c r="E144" i="68"/>
  <c r="F144" i="68" s="1"/>
  <c r="H144" i="68"/>
  <c r="U144" i="68"/>
  <c r="AA144" i="68"/>
  <c r="E145" i="68"/>
  <c r="F145" i="68" s="1"/>
  <c r="H145" i="68"/>
  <c r="U145" i="68"/>
  <c r="AA145" i="68"/>
  <c r="E146" i="68"/>
  <c r="F146" i="68" s="1"/>
  <c r="H146" i="68"/>
  <c r="U146" i="68"/>
  <c r="AA146" i="68"/>
  <c r="E147" i="68"/>
  <c r="F147" i="68" s="1"/>
  <c r="H147" i="68"/>
  <c r="U147" i="68"/>
  <c r="AA147" i="68"/>
  <c r="E148" i="68"/>
  <c r="F148" i="68" s="1"/>
  <c r="H148" i="68"/>
  <c r="U148" i="68"/>
  <c r="AA148" i="68"/>
  <c r="E149" i="68"/>
  <c r="F149" i="68" s="1"/>
  <c r="H149" i="68"/>
  <c r="U149" i="68"/>
  <c r="AA149" i="68"/>
  <c r="E150" i="68"/>
  <c r="F150" i="68" s="1"/>
  <c r="H150" i="68"/>
  <c r="U150" i="68"/>
  <c r="AA150" i="68"/>
  <c r="E151" i="68"/>
  <c r="F151" i="68" s="1"/>
  <c r="H151" i="68"/>
  <c r="U151" i="68"/>
  <c r="AA151" i="68"/>
  <c r="E152" i="68"/>
  <c r="F152" i="68" s="1"/>
  <c r="H152" i="68"/>
  <c r="U152" i="68"/>
  <c r="AA152" i="68"/>
  <c r="E153" i="68"/>
  <c r="F153" i="68" s="1"/>
  <c r="H153" i="68"/>
  <c r="U153" i="68"/>
  <c r="AA153" i="68"/>
  <c r="E154" i="68"/>
  <c r="F154" i="68" s="1"/>
  <c r="H154" i="68"/>
  <c r="U154" i="68"/>
  <c r="AA154" i="68"/>
  <c r="E155" i="68"/>
  <c r="F155" i="68" s="1"/>
  <c r="H155" i="68"/>
  <c r="U155" i="68"/>
  <c r="AA155" i="68"/>
  <c r="E156" i="68"/>
  <c r="F156" i="68" s="1"/>
  <c r="H156" i="68"/>
  <c r="U156" i="68"/>
  <c r="AA156" i="68"/>
  <c r="E157" i="68"/>
  <c r="F157" i="68" s="1"/>
  <c r="H157" i="68"/>
  <c r="U157" i="68"/>
  <c r="AA157" i="68"/>
  <c r="E158" i="68"/>
  <c r="F158" i="68" s="1"/>
  <c r="H158" i="68"/>
  <c r="U158" i="68"/>
  <c r="AA158" i="68"/>
  <c r="E159" i="68"/>
  <c r="F159" i="68" s="1"/>
  <c r="H159" i="68"/>
  <c r="U159" i="68"/>
  <c r="AA159" i="68"/>
  <c r="E160" i="68"/>
  <c r="F160" i="68" s="1"/>
  <c r="H160" i="68"/>
  <c r="U160" i="68"/>
  <c r="AA160" i="68"/>
  <c r="E161" i="68"/>
  <c r="F161" i="68" s="1"/>
  <c r="H161" i="68"/>
  <c r="U161" i="68"/>
  <c r="AA161" i="68"/>
  <c r="E162" i="68"/>
  <c r="F162" i="68" s="1"/>
  <c r="H162" i="68"/>
  <c r="U162" i="68"/>
  <c r="AA162" i="68"/>
  <c r="E163" i="68"/>
  <c r="F163" i="68" s="1"/>
  <c r="H163" i="68"/>
  <c r="U163" i="68"/>
  <c r="AA163" i="68"/>
  <c r="E164" i="68"/>
  <c r="F164" i="68" s="1"/>
  <c r="H164" i="68"/>
  <c r="U164" i="68"/>
  <c r="AA164" i="68"/>
  <c r="E165" i="68"/>
  <c r="F165" i="68" s="1"/>
  <c r="H165" i="68"/>
  <c r="U165" i="68"/>
  <c r="AA165" i="68"/>
  <c r="E166" i="68"/>
  <c r="F166" i="68" s="1"/>
  <c r="H166" i="68"/>
  <c r="U166" i="68"/>
  <c r="AA166" i="68"/>
  <c r="E167" i="68"/>
  <c r="F167" i="68" s="1"/>
  <c r="H167" i="68"/>
  <c r="U167" i="68"/>
  <c r="AA167" i="68"/>
  <c r="E168" i="68"/>
  <c r="F168" i="68" s="1"/>
  <c r="H168" i="68"/>
  <c r="U168" i="68"/>
  <c r="AA168" i="68"/>
  <c r="E169" i="68"/>
  <c r="F169" i="68" s="1"/>
  <c r="H169" i="68"/>
  <c r="U169" i="68"/>
  <c r="AA169" i="68"/>
  <c r="E170" i="68"/>
  <c r="F170" i="68" s="1"/>
  <c r="H170" i="68"/>
  <c r="U170" i="68"/>
  <c r="AA170" i="68"/>
  <c r="E171" i="68"/>
  <c r="F171" i="68" s="1"/>
  <c r="H171" i="68"/>
  <c r="U171" i="68"/>
  <c r="AA171" i="68"/>
  <c r="E172" i="68"/>
  <c r="F172" i="68" s="1"/>
  <c r="H172" i="68"/>
  <c r="U172" i="68"/>
  <c r="AA172" i="68"/>
  <c r="E173" i="68"/>
  <c r="F173" i="68" s="1"/>
  <c r="H173" i="68"/>
  <c r="U173" i="68"/>
  <c r="AA173" i="68"/>
  <c r="E174" i="68"/>
  <c r="F174" i="68" s="1"/>
  <c r="H174" i="68"/>
  <c r="U174" i="68"/>
  <c r="AA174" i="68"/>
  <c r="E175" i="68"/>
  <c r="F175" i="68" s="1"/>
  <c r="H175" i="68"/>
  <c r="U175" i="68"/>
  <c r="AA175" i="68"/>
  <c r="E176" i="68"/>
  <c r="F176" i="68" s="1"/>
  <c r="H176" i="68"/>
  <c r="U176" i="68"/>
  <c r="AA176" i="68"/>
  <c r="E177" i="68"/>
  <c r="F177" i="68" s="1"/>
  <c r="H177" i="68"/>
  <c r="U177" i="68"/>
  <c r="AA177" i="68"/>
  <c r="E178" i="68"/>
  <c r="F178" i="68" s="1"/>
  <c r="H178" i="68"/>
  <c r="U178" i="68"/>
  <c r="AA178" i="68"/>
  <c r="E179" i="68"/>
  <c r="F179" i="68" s="1"/>
  <c r="H179" i="68"/>
  <c r="U179" i="68"/>
  <c r="AA179" i="68"/>
  <c r="E180" i="68"/>
  <c r="F180" i="68" s="1"/>
  <c r="H180" i="68"/>
  <c r="U180" i="68"/>
  <c r="AA180" i="68"/>
  <c r="E181" i="68"/>
  <c r="F181" i="68" s="1"/>
  <c r="H181" i="68"/>
  <c r="U181" i="68"/>
  <c r="AA181" i="68"/>
  <c r="E182" i="68"/>
  <c r="F182" i="68" s="1"/>
  <c r="H182" i="68"/>
  <c r="U182" i="68"/>
  <c r="AA182" i="68"/>
  <c r="E183" i="68"/>
  <c r="F183" i="68" s="1"/>
  <c r="H183" i="68"/>
  <c r="U183" i="68"/>
  <c r="AA183" i="68"/>
  <c r="E184" i="68"/>
  <c r="F184" i="68" s="1"/>
  <c r="H184" i="68"/>
  <c r="U184" i="68"/>
  <c r="AA184" i="68"/>
  <c r="E185" i="68"/>
  <c r="F185" i="68" s="1"/>
  <c r="H185" i="68"/>
  <c r="U185" i="68"/>
  <c r="AA185" i="68"/>
  <c r="E186" i="68"/>
  <c r="F186" i="68" s="1"/>
  <c r="H186" i="68"/>
  <c r="U186" i="68"/>
  <c r="AA186" i="68"/>
  <c r="E187" i="68"/>
  <c r="F187" i="68" s="1"/>
  <c r="H187" i="68"/>
  <c r="U187" i="68"/>
  <c r="AA187" i="68"/>
  <c r="E188" i="68"/>
  <c r="F188" i="68" s="1"/>
  <c r="H188" i="68"/>
  <c r="U188" i="68"/>
  <c r="AA188" i="68"/>
  <c r="E189" i="68"/>
  <c r="F189" i="68" s="1"/>
  <c r="H189" i="68"/>
  <c r="U189" i="68"/>
  <c r="AA189" i="68"/>
  <c r="E190" i="68"/>
  <c r="F190" i="68" s="1"/>
  <c r="H190" i="68"/>
  <c r="U190" i="68"/>
  <c r="AA190" i="68"/>
  <c r="E191" i="68"/>
  <c r="F191" i="68" s="1"/>
  <c r="H191" i="68"/>
  <c r="U191" i="68"/>
  <c r="AA191" i="68"/>
  <c r="E192" i="68"/>
  <c r="F192" i="68" s="1"/>
  <c r="H192" i="68"/>
  <c r="U192" i="68"/>
  <c r="AA192" i="68"/>
  <c r="E193" i="68"/>
  <c r="F193" i="68" s="1"/>
  <c r="H193" i="68"/>
  <c r="U193" i="68"/>
  <c r="AA193" i="68"/>
  <c r="E194" i="68"/>
  <c r="F194" i="68" s="1"/>
  <c r="H194" i="68"/>
  <c r="U194" i="68"/>
  <c r="AA194" i="68"/>
  <c r="E195" i="68"/>
  <c r="F195" i="68" s="1"/>
  <c r="H195" i="68"/>
  <c r="U195" i="68"/>
  <c r="AA195" i="68"/>
  <c r="E196" i="68"/>
  <c r="F196" i="68" s="1"/>
  <c r="H196" i="68"/>
  <c r="U196" i="68"/>
  <c r="AA196" i="68"/>
  <c r="E197" i="68"/>
  <c r="F197" i="68" s="1"/>
  <c r="H197" i="68"/>
  <c r="U197" i="68"/>
  <c r="AA197" i="68"/>
  <c r="E198" i="68"/>
  <c r="F198" i="68" s="1"/>
  <c r="H198" i="68"/>
  <c r="U198" i="68"/>
  <c r="AA198" i="68"/>
  <c r="E199" i="68"/>
  <c r="F199" i="68" s="1"/>
  <c r="H199" i="68"/>
  <c r="U199" i="68"/>
  <c r="AA199" i="68"/>
  <c r="E200" i="68"/>
  <c r="F200" i="68" s="1"/>
  <c r="H200" i="68"/>
  <c r="U200" i="68"/>
  <c r="AA200" i="68"/>
  <c r="E201" i="68"/>
  <c r="F201" i="68" s="1"/>
  <c r="H201" i="68"/>
  <c r="U201" i="68"/>
  <c r="AA201" i="68"/>
  <c r="E202" i="68"/>
  <c r="F202" i="68" s="1"/>
  <c r="H202" i="68"/>
  <c r="U202" i="68"/>
  <c r="AA202" i="68"/>
  <c r="E203" i="68"/>
  <c r="F203" i="68" s="1"/>
  <c r="H203" i="68"/>
  <c r="U203" i="68"/>
  <c r="AA203" i="68"/>
  <c r="E204" i="68"/>
  <c r="F204" i="68" s="1"/>
  <c r="H204" i="68"/>
  <c r="U204" i="68"/>
  <c r="AA204" i="68"/>
  <c r="E205" i="68"/>
  <c r="F205" i="68" s="1"/>
  <c r="H205" i="68"/>
  <c r="U205" i="68"/>
  <c r="AA205" i="68"/>
  <c r="E206" i="68"/>
  <c r="F206" i="68" s="1"/>
  <c r="H206" i="68"/>
  <c r="U206" i="68"/>
  <c r="AA206" i="68"/>
  <c r="E207" i="68"/>
  <c r="F207" i="68" s="1"/>
  <c r="H207" i="68"/>
  <c r="U207" i="68"/>
  <c r="AA207" i="68"/>
  <c r="E208" i="68"/>
  <c r="F208" i="68" s="1"/>
  <c r="H208" i="68"/>
  <c r="U208" i="68"/>
  <c r="AA208" i="68"/>
  <c r="E209" i="68"/>
  <c r="F209" i="68" s="1"/>
  <c r="H209" i="68"/>
  <c r="U209" i="68"/>
  <c r="AA209" i="68"/>
  <c r="E210" i="68"/>
  <c r="F210" i="68" s="1"/>
  <c r="H210" i="68"/>
  <c r="U210" i="68"/>
  <c r="AA210" i="68"/>
  <c r="E211" i="68"/>
  <c r="F211" i="68" s="1"/>
  <c r="H211" i="68"/>
  <c r="U211" i="68"/>
  <c r="AA211" i="68"/>
  <c r="E212" i="68"/>
  <c r="F212" i="68" s="1"/>
  <c r="H212" i="68"/>
  <c r="U212" i="68"/>
  <c r="AA212" i="68"/>
  <c r="E213" i="68"/>
  <c r="F213" i="68" s="1"/>
  <c r="H213" i="68"/>
  <c r="U213" i="68"/>
  <c r="AA213" i="68"/>
  <c r="E214" i="68"/>
  <c r="F214" i="68" s="1"/>
  <c r="H214" i="68"/>
  <c r="U214" i="68"/>
  <c r="AA214" i="68"/>
  <c r="E215" i="68"/>
  <c r="F215" i="68" s="1"/>
  <c r="H215" i="68"/>
  <c r="U215" i="68"/>
  <c r="AA215" i="68"/>
  <c r="E216" i="68"/>
  <c r="F216" i="68" s="1"/>
  <c r="H216" i="68"/>
  <c r="U216" i="68"/>
  <c r="AA216" i="68"/>
  <c r="E217" i="68"/>
  <c r="F217" i="68" s="1"/>
  <c r="H217" i="68"/>
  <c r="U217" i="68"/>
  <c r="AA217" i="68"/>
  <c r="E218" i="68"/>
  <c r="F218" i="68" s="1"/>
  <c r="H218" i="68"/>
  <c r="U218" i="68"/>
  <c r="AA218" i="68"/>
  <c r="E219" i="68"/>
  <c r="F219" i="68" s="1"/>
  <c r="H219" i="68"/>
  <c r="U219" i="68"/>
  <c r="AA219" i="68"/>
  <c r="E220" i="68"/>
  <c r="F220" i="68" s="1"/>
  <c r="H220" i="68"/>
  <c r="U220" i="68"/>
  <c r="AA220" i="68"/>
  <c r="E221" i="68"/>
  <c r="F221" i="68" s="1"/>
  <c r="H221" i="68"/>
  <c r="U221" i="68"/>
  <c r="AA221" i="68"/>
  <c r="E222" i="68"/>
  <c r="F222" i="68" s="1"/>
  <c r="H222" i="68"/>
  <c r="U222" i="68"/>
  <c r="AA222" i="68"/>
  <c r="E223" i="68"/>
  <c r="F223" i="68" s="1"/>
  <c r="H223" i="68"/>
  <c r="U223" i="68"/>
  <c r="AA223" i="68"/>
  <c r="E224" i="68"/>
  <c r="F224" i="68" s="1"/>
  <c r="H224" i="68"/>
  <c r="U224" i="68"/>
  <c r="AA224" i="68"/>
  <c r="E225" i="68"/>
  <c r="F225" i="68" s="1"/>
  <c r="H225" i="68"/>
  <c r="U225" i="68"/>
  <c r="AA225" i="68"/>
  <c r="E226" i="68"/>
  <c r="F226" i="68" s="1"/>
  <c r="H226" i="68"/>
  <c r="U226" i="68"/>
  <c r="AA226" i="68"/>
  <c r="E227" i="68"/>
  <c r="F227" i="68" s="1"/>
  <c r="H227" i="68"/>
  <c r="U227" i="68"/>
  <c r="AA227" i="68"/>
  <c r="E228" i="68"/>
  <c r="F228" i="68" s="1"/>
  <c r="H228" i="68"/>
  <c r="U228" i="68"/>
  <c r="AA228" i="68"/>
  <c r="E229" i="68"/>
  <c r="F229" i="68" s="1"/>
  <c r="H229" i="68"/>
  <c r="U229" i="68"/>
  <c r="AA229" i="68"/>
  <c r="E230" i="68"/>
  <c r="F230" i="68" s="1"/>
  <c r="H230" i="68"/>
  <c r="U230" i="68"/>
  <c r="AA230" i="68"/>
  <c r="E231" i="68"/>
  <c r="F231" i="68" s="1"/>
  <c r="H231" i="68"/>
  <c r="U231" i="68"/>
  <c r="AA231" i="68"/>
  <c r="E232" i="68"/>
  <c r="F232" i="68" s="1"/>
  <c r="H232" i="68"/>
  <c r="U232" i="68"/>
  <c r="AA232" i="68"/>
  <c r="E233" i="68"/>
  <c r="F233" i="68" s="1"/>
  <c r="H233" i="68"/>
  <c r="U233" i="68"/>
  <c r="AA233" i="68"/>
  <c r="E234" i="68"/>
  <c r="F234" i="68" s="1"/>
  <c r="H234" i="68"/>
  <c r="U234" i="68"/>
  <c r="AA234" i="68"/>
  <c r="E235" i="68"/>
  <c r="F235" i="68" s="1"/>
  <c r="H235" i="68"/>
  <c r="U235" i="68"/>
  <c r="AA235" i="68"/>
  <c r="E236" i="68"/>
  <c r="F236" i="68" s="1"/>
  <c r="H236" i="68"/>
  <c r="U236" i="68"/>
  <c r="AA236" i="68"/>
  <c r="E237" i="68"/>
  <c r="F237" i="68" s="1"/>
  <c r="H237" i="68"/>
  <c r="U237" i="68"/>
  <c r="AA237" i="68"/>
  <c r="E238" i="68"/>
  <c r="F238" i="68" s="1"/>
  <c r="H238" i="68"/>
  <c r="U238" i="68"/>
  <c r="AA238" i="68"/>
  <c r="E239" i="68"/>
  <c r="F239" i="68" s="1"/>
  <c r="H239" i="68"/>
  <c r="U239" i="68"/>
  <c r="AA239" i="68"/>
  <c r="E240" i="68"/>
  <c r="F240" i="68" s="1"/>
  <c r="H240" i="68"/>
  <c r="U240" i="68"/>
  <c r="AA240" i="68"/>
  <c r="E241" i="68"/>
  <c r="F241" i="68" s="1"/>
  <c r="H241" i="68"/>
  <c r="U241" i="68"/>
  <c r="AA241" i="68"/>
  <c r="E242" i="68"/>
  <c r="F242" i="68" s="1"/>
  <c r="H242" i="68"/>
  <c r="U242" i="68"/>
  <c r="AA242" i="68"/>
  <c r="E243" i="68"/>
  <c r="F243" i="68" s="1"/>
  <c r="H243" i="68"/>
  <c r="U243" i="68"/>
  <c r="AA243" i="68"/>
  <c r="E244" i="68"/>
  <c r="F244" i="68" s="1"/>
  <c r="H244" i="68"/>
  <c r="U244" i="68"/>
  <c r="AA244" i="68"/>
  <c r="E245" i="68"/>
  <c r="F245" i="68" s="1"/>
  <c r="H245" i="68"/>
  <c r="U245" i="68"/>
  <c r="AA245" i="68"/>
  <c r="E246" i="68"/>
  <c r="F246" i="68" s="1"/>
  <c r="H246" i="68"/>
  <c r="U246" i="68"/>
  <c r="AA246" i="68"/>
  <c r="E247" i="68"/>
  <c r="F247" i="68" s="1"/>
  <c r="H247" i="68"/>
  <c r="U247" i="68"/>
  <c r="AA247" i="68"/>
  <c r="E248" i="68"/>
  <c r="F248" i="68" s="1"/>
  <c r="H248" i="68"/>
  <c r="U248" i="68"/>
  <c r="AA248" i="68"/>
  <c r="E249" i="68"/>
  <c r="F249" i="68" s="1"/>
  <c r="H249" i="68"/>
  <c r="U249" i="68"/>
  <c r="AA249" i="68"/>
  <c r="E250" i="68"/>
  <c r="F250" i="68" s="1"/>
  <c r="H250" i="68"/>
  <c r="U250" i="68"/>
  <c r="AA250" i="68"/>
  <c r="E251" i="68"/>
  <c r="F251" i="68" s="1"/>
  <c r="H251" i="68"/>
  <c r="U251" i="68"/>
  <c r="AA251" i="68"/>
  <c r="E252" i="68"/>
  <c r="F252" i="68" s="1"/>
  <c r="H252" i="68"/>
  <c r="U252" i="68"/>
  <c r="AA252" i="68"/>
  <c r="E253" i="68"/>
  <c r="F253" i="68" s="1"/>
  <c r="H253" i="68"/>
  <c r="U253" i="68"/>
  <c r="AA253" i="68"/>
  <c r="E254" i="68"/>
  <c r="F254" i="68" s="1"/>
  <c r="H254" i="68"/>
  <c r="U254" i="68"/>
  <c r="AA254" i="68"/>
  <c r="E255" i="68"/>
  <c r="F255" i="68" s="1"/>
  <c r="H255" i="68"/>
  <c r="U255" i="68"/>
  <c r="AA255" i="68"/>
  <c r="E256" i="68"/>
  <c r="F256" i="68" s="1"/>
  <c r="H256" i="68"/>
  <c r="U256" i="68"/>
  <c r="AA256" i="68"/>
  <c r="E257" i="68"/>
  <c r="F257" i="68" s="1"/>
  <c r="H257" i="68"/>
  <c r="U257" i="68"/>
  <c r="AA257" i="68"/>
  <c r="E258" i="68"/>
  <c r="F258" i="68" s="1"/>
  <c r="H258" i="68"/>
  <c r="U258" i="68"/>
  <c r="AA258" i="68"/>
  <c r="E259" i="68"/>
  <c r="F259" i="68" s="1"/>
  <c r="H259" i="68"/>
  <c r="U259" i="68"/>
  <c r="AA259" i="68"/>
  <c r="AA12" i="68"/>
  <c r="L12" i="68"/>
  <c r="O12" i="68" s="1"/>
  <c r="P12" i="68" s="1"/>
  <c r="H12" i="68"/>
  <c r="E12" i="68"/>
  <c r="F12" i="68" s="1"/>
  <c r="Q11" i="67"/>
  <c r="Q12" i="67"/>
  <c r="Q13" i="67"/>
  <c r="Q14" i="67"/>
  <c r="Q15" i="67"/>
  <c r="Q16" i="67"/>
  <c r="Q17" i="67"/>
  <c r="Q18" i="67"/>
  <c r="Q19" i="67"/>
  <c r="Q20" i="67"/>
  <c r="Q21" i="67"/>
  <c r="Q22" i="67"/>
  <c r="Q23" i="67"/>
  <c r="Q24" i="67"/>
  <c r="Q25" i="67"/>
  <c r="Q26" i="67"/>
  <c r="Q27" i="67"/>
  <c r="Q28" i="67"/>
  <c r="Q29" i="67"/>
  <c r="Q30" i="67"/>
  <c r="Q31" i="67"/>
  <c r="Q32" i="67"/>
  <c r="Q33" i="67"/>
  <c r="Q34" i="67"/>
  <c r="Q35" i="67"/>
  <c r="Q36" i="67"/>
  <c r="Q37" i="67"/>
  <c r="Q38" i="67"/>
  <c r="Q39" i="67"/>
  <c r="Q40" i="67"/>
  <c r="Q41" i="67"/>
  <c r="Q42" i="67"/>
  <c r="Q43" i="67"/>
  <c r="Q44" i="67"/>
  <c r="Q45" i="67"/>
  <c r="Q46" i="67"/>
  <c r="Q47" i="67"/>
  <c r="Q48" i="67"/>
  <c r="Q49" i="67"/>
  <c r="Q50" i="67"/>
  <c r="Q51" i="67"/>
  <c r="Q52" i="67"/>
  <c r="Q53" i="67"/>
  <c r="Q54" i="67"/>
  <c r="Q55" i="67"/>
  <c r="Q56" i="67"/>
  <c r="Q57" i="67"/>
  <c r="Q58" i="67"/>
  <c r="Q59" i="67"/>
  <c r="Q60" i="67"/>
  <c r="Q61" i="67"/>
  <c r="Q62" i="67"/>
  <c r="Q63" i="67"/>
  <c r="Q64" i="67"/>
  <c r="Q65" i="67"/>
  <c r="Q66" i="67"/>
  <c r="Q67" i="67"/>
  <c r="Q68" i="67"/>
  <c r="Q69" i="67"/>
  <c r="Q70" i="67"/>
  <c r="Q71" i="67"/>
  <c r="Q72" i="67"/>
  <c r="Q73" i="67"/>
  <c r="Q74" i="67"/>
  <c r="Q75" i="67"/>
  <c r="Q76" i="67"/>
  <c r="Q77" i="67"/>
  <c r="Q78" i="67"/>
  <c r="Q79" i="67"/>
  <c r="Q80" i="67"/>
  <c r="Q81" i="67"/>
  <c r="Q82" i="67"/>
  <c r="Q83" i="67"/>
  <c r="Q84" i="67"/>
  <c r="Q85" i="67"/>
  <c r="Q86" i="67"/>
  <c r="Q87" i="67"/>
  <c r="Q88" i="67"/>
  <c r="Q89" i="67"/>
  <c r="Q90" i="67"/>
  <c r="Q91" i="67"/>
  <c r="Q92" i="67"/>
  <c r="Q93" i="67"/>
  <c r="Q94" i="67"/>
  <c r="Q95" i="67"/>
  <c r="Q96" i="67"/>
  <c r="Q97" i="67"/>
  <c r="Q98" i="67"/>
  <c r="Q99" i="67"/>
  <c r="Q100" i="67"/>
  <c r="Q101" i="67"/>
  <c r="Q102" i="67"/>
  <c r="Q103" i="67"/>
  <c r="Q104" i="67"/>
  <c r="Q105" i="67"/>
  <c r="Q106" i="67"/>
  <c r="Q107" i="67"/>
  <c r="Q108" i="67"/>
  <c r="Q109" i="67"/>
  <c r="Q110" i="67"/>
  <c r="Q111" i="67"/>
  <c r="Q112" i="67"/>
  <c r="Q113" i="67"/>
  <c r="Q114" i="67"/>
  <c r="Q115" i="67"/>
  <c r="Q116" i="67"/>
  <c r="Q117" i="67"/>
  <c r="Q118" i="67"/>
  <c r="Q119" i="67"/>
  <c r="Q120" i="67"/>
  <c r="Q121" i="67"/>
  <c r="Q122" i="67"/>
  <c r="Q123" i="67"/>
  <c r="Q124" i="67"/>
  <c r="Q125" i="67"/>
  <c r="Q126" i="67"/>
  <c r="Q127" i="67"/>
  <c r="Q128" i="67"/>
  <c r="Q129" i="67"/>
  <c r="Q130" i="67"/>
  <c r="Q131" i="67"/>
  <c r="Q132" i="67"/>
  <c r="Q133" i="67"/>
  <c r="Q134" i="67"/>
  <c r="Q135" i="67"/>
  <c r="Q136" i="67"/>
  <c r="Q137" i="67"/>
  <c r="Q138" i="67"/>
  <c r="Q139" i="67"/>
  <c r="Q140" i="67"/>
  <c r="Q141" i="67"/>
  <c r="Q142" i="67"/>
  <c r="Q143" i="67"/>
  <c r="Q144" i="67"/>
  <c r="Q145" i="67"/>
  <c r="Q146" i="67"/>
  <c r="Q147" i="67"/>
  <c r="Q148" i="67"/>
  <c r="Q149" i="67"/>
  <c r="Q150" i="67"/>
  <c r="Q151" i="67"/>
  <c r="Q152" i="67"/>
  <c r="Q153" i="67"/>
  <c r="Q154" i="67"/>
  <c r="Q155" i="67"/>
  <c r="Q156" i="67"/>
  <c r="Q157" i="67"/>
  <c r="Q158" i="67"/>
  <c r="Q159" i="67"/>
  <c r="Q160" i="67"/>
  <c r="Q161" i="67"/>
  <c r="Q162" i="67"/>
  <c r="Q163" i="67"/>
  <c r="Q164" i="67"/>
  <c r="Q165" i="67"/>
  <c r="Q166" i="67"/>
  <c r="Q167" i="67"/>
  <c r="Q168" i="67"/>
  <c r="Q169" i="67"/>
  <c r="Q170" i="67"/>
  <c r="Q171" i="67"/>
  <c r="Q172" i="67"/>
  <c r="Q173" i="67"/>
  <c r="Q174" i="67"/>
  <c r="Q175" i="67"/>
  <c r="Q176" i="67"/>
  <c r="Q177" i="67"/>
  <c r="Q178" i="67"/>
  <c r="Q179" i="67"/>
  <c r="Q180" i="67"/>
  <c r="Q181" i="67"/>
  <c r="Q182" i="67"/>
  <c r="Q183" i="67"/>
  <c r="Q184" i="67"/>
  <c r="Q185" i="67"/>
  <c r="Q186" i="67"/>
  <c r="Q187" i="67"/>
  <c r="Q188" i="67"/>
  <c r="Q189" i="67"/>
  <c r="Q190" i="67"/>
  <c r="Q191" i="67"/>
  <c r="Q192" i="67"/>
  <c r="Q193" i="67"/>
  <c r="Q194" i="67"/>
  <c r="Q195" i="67"/>
  <c r="Q196" i="67"/>
  <c r="Q197" i="67"/>
  <c r="Q198" i="67"/>
  <c r="Q199" i="67"/>
  <c r="Q200" i="67"/>
  <c r="Q201" i="67"/>
  <c r="Q202" i="67"/>
  <c r="Q203" i="67"/>
  <c r="Q204" i="67"/>
  <c r="Q205" i="67"/>
  <c r="Q206" i="67"/>
  <c r="Q207" i="67"/>
  <c r="Q208" i="67"/>
  <c r="Q209" i="67"/>
  <c r="Q210" i="67"/>
  <c r="Q211" i="67"/>
  <c r="Q212" i="67"/>
  <c r="Q213" i="67"/>
  <c r="Q214" i="67"/>
  <c r="Q215" i="67"/>
  <c r="Q216" i="67"/>
  <c r="Q217" i="67"/>
  <c r="Q218" i="67"/>
  <c r="Q219" i="67"/>
  <c r="Q220" i="67"/>
  <c r="Q221" i="67"/>
  <c r="Q222" i="67"/>
  <c r="Q223" i="67"/>
  <c r="Q224" i="67"/>
  <c r="Q225" i="67"/>
  <c r="Q226" i="67"/>
  <c r="Q227" i="67"/>
  <c r="Q228" i="67"/>
  <c r="Q229" i="67"/>
  <c r="Q230" i="67"/>
  <c r="Q231" i="67"/>
  <c r="Q232" i="67"/>
  <c r="Q233" i="67"/>
  <c r="Q234" i="67"/>
  <c r="Q235" i="67"/>
  <c r="Q236" i="67"/>
  <c r="Q237" i="67"/>
  <c r="Q238" i="67"/>
  <c r="Q239" i="67"/>
  <c r="Q240" i="67"/>
  <c r="Q241" i="67"/>
  <c r="Q242" i="67"/>
  <c r="Q243" i="67"/>
  <c r="Q244" i="67"/>
  <c r="Q245" i="67"/>
  <c r="Q246" i="67"/>
  <c r="Q247" i="67"/>
  <c r="Q248" i="67"/>
  <c r="Q249" i="67"/>
  <c r="Q250" i="67"/>
  <c r="Q251" i="67"/>
  <c r="Q252" i="67"/>
  <c r="Q253" i="67"/>
  <c r="Q254" i="67"/>
  <c r="Q255" i="67"/>
  <c r="Q256" i="67"/>
  <c r="Q257" i="67"/>
  <c r="Q10" i="67"/>
  <c r="I11" i="67"/>
  <c r="I12" i="67"/>
  <c r="I13" i="67"/>
  <c r="I14" i="67"/>
  <c r="I15" i="67"/>
  <c r="I16" i="67"/>
  <c r="I17" i="67"/>
  <c r="I18" i="67"/>
  <c r="I19" i="67"/>
  <c r="I20" i="67"/>
  <c r="I21" i="67"/>
  <c r="I22" i="67"/>
  <c r="I23" i="67"/>
  <c r="I24" i="67"/>
  <c r="I25" i="67"/>
  <c r="I26" i="67"/>
  <c r="I27" i="67"/>
  <c r="I28" i="67"/>
  <c r="I29" i="67"/>
  <c r="I30" i="67"/>
  <c r="I31" i="67"/>
  <c r="I32" i="67"/>
  <c r="I33" i="67"/>
  <c r="I34" i="67"/>
  <c r="I35" i="67"/>
  <c r="I36" i="67"/>
  <c r="I37" i="67"/>
  <c r="I38" i="67"/>
  <c r="I39" i="67"/>
  <c r="I40" i="67"/>
  <c r="I41" i="67"/>
  <c r="I42" i="67"/>
  <c r="I43" i="67"/>
  <c r="I44" i="67"/>
  <c r="I45" i="67"/>
  <c r="I46" i="67"/>
  <c r="I47" i="67"/>
  <c r="I48" i="67"/>
  <c r="I49" i="67"/>
  <c r="I50" i="67"/>
  <c r="I51" i="67"/>
  <c r="I52" i="67"/>
  <c r="I53" i="67"/>
  <c r="I54" i="67"/>
  <c r="I55" i="67"/>
  <c r="I56" i="67"/>
  <c r="I57" i="67"/>
  <c r="I58" i="67"/>
  <c r="I59" i="67"/>
  <c r="I60" i="67"/>
  <c r="I61" i="67"/>
  <c r="I62" i="67"/>
  <c r="I63" i="67"/>
  <c r="I64" i="67"/>
  <c r="I65" i="67"/>
  <c r="I66" i="67"/>
  <c r="I67" i="67"/>
  <c r="I68" i="67"/>
  <c r="I69" i="67"/>
  <c r="I70" i="67"/>
  <c r="I71" i="67"/>
  <c r="I72" i="67"/>
  <c r="I73" i="67"/>
  <c r="I74" i="67"/>
  <c r="I75" i="67"/>
  <c r="I76" i="67"/>
  <c r="I77" i="67"/>
  <c r="I78" i="67"/>
  <c r="I79" i="67"/>
  <c r="I80" i="67"/>
  <c r="I81" i="67"/>
  <c r="I82" i="67"/>
  <c r="I83" i="67"/>
  <c r="I84" i="67"/>
  <c r="I85" i="67"/>
  <c r="I86" i="67"/>
  <c r="I87" i="67"/>
  <c r="I88" i="67"/>
  <c r="I89" i="67"/>
  <c r="I90" i="67"/>
  <c r="I91" i="67"/>
  <c r="I92" i="67"/>
  <c r="I93" i="67"/>
  <c r="I94" i="67"/>
  <c r="I95" i="67"/>
  <c r="I96" i="67"/>
  <c r="I97" i="67"/>
  <c r="I98" i="67"/>
  <c r="I99" i="67"/>
  <c r="I100" i="67"/>
  <c r="I101" i="67"/>
  <c r="I102" i="67"/>
  <c r="I103" i="67"/>
  <c r="I104" i="67"/>
  <c r="I105" i="67"/>
  <c r="I106" i="67"/>
  <c r="I107" i="67"/>
  <c r="I108" i="67"/>
  <c r="I109" i="67"/>
  <c r="I110" i="67"/>
  <c r="I111" i="67"/>
  <c r="I112" i="67"/>
  <c r="I113" i="67"/>
  <c r="I114" i="67"/>
  <c r="I115" i="67"/>
  <c r="I116" i="67"/>
  <c r="I117" i="67"/>
  <c r="I118" i="67"/>
  <c r="I119" i="67"/>
  <c r="I120" i="67"/>
  <c r="I121" i="67"/>
  <c r="I122" i="67"/>
  <c r="I123" i="67"/>
  <c r="I124" i="67"/>
  <c r="I125" i="67"/>
  <c r="I126" i="67"/>
  <c r="I127" i="67"/>
  <c r="I128" i="67"/>
  <c r="I129" i="67"/>
  <c r="I130" i="67"/>
  <c r="I131" i="67"/>
  <c r="I132" i="67"/>
  <c r="I133" i="67"/>
  <c r="I134" i="67"/>
  <c r="I135" i="67"/>
  <c r="I136" i="67"/>
  <c r="I137" i="67"/>
  <c r="I138" i="67"/>
  <c r="I139" i="67"/>
  <c r="I140" i="67"/>
  <c r="I141" i="67"/>
  <c r="I142" i="67"/>
  <c r="I143" i="67"/>
  <c r="I144" i="67"/>
  <c r="I145" i="67"/>
  <c r="I146" i="67"/>
  <c r="I147" i="67"/>
  <c r="I148" i="67"/>
  <c r="I149" i="67"/>
  <c r="I150" i="67"/>
  <c r="I151" i="67"/>
  <c r="I152" i="67"/>
  <c r="I153" i="67"/>
  <c r="I154" i="67"/>
  <c r="I155" i="67"/>
  <c r="I156" i="67"/>
  <c r="I157" i="67"/>
  <c r="I158" i="67"/>
  <c r="I159" i="67"/>
  <c r="I160" i="67"/>
  <c r="I161" i="67"/>
  <c r="I162" i="67"/>
  <c r="I163" i="67"/>
  <c r="I164" i="67"/>
  <c r="I165" i="67"/>
  <c r="I166" i="67"/>
  <c r="I167" i="67"/>
  <c r="I168" i="67"/>
  <c r="I169" i="67"/>
  <c r="I170" i="67"/>
  <c r="I171" i="67"/>
  <c r="I172" i="67"/>
  <c r="I173" i="67"/>
  <c r="I174" i="67"/>
  <c r="I175" i="67"/>
  <c r="I176" i="67"/>
  <c r="I177" i="67"/>
  <c r="I178" i="67"/>
  <c r="I179" i="67"/>
  <c r="I180" i="67"/>
  <c r="I181" i="67"/>
  <c r="I182" i="67"/>
  <c r="I183" i="67"/>
  <c r="I184" i="67"/>
  <c r="I185" i="67"/>
  <c r="I186" i="67"/>
  <c r="I187" i="67"/>
  <c r="I188" i="67"/>
  <c r="I189" i="67"/>
  <c r="I190" i="67"/>
  <c r="I191" i="67"/>
  <c r="I192" i="67"/>
  <c r="I193" i="67"/>
  <c r="I194" i="67"/>
  <c r="I195" i="67"/>
  <c r="I196" i="67"/>
  <c r="I197" i="67"/>
  <c r="I198" i="67"/>
  <c r="I199" i="67"/>
  <c r="I200" i="67"/>
  <c r="I201" i="67"/>
  <c r="I202" i="67"/>
  <c r="I203" i="67"/>
  <c r="I204" i="67"/>
  <c r="I205" i="67"/>
  <c r="I206" i="67"/>
  <c r="I207" i="67"/>
  <c r="I208" i="67"/>
  <c r="I209" i="67"/>
  <c r="I210" i="67"/>
  <c r="I211" i="67"/>
  <c r="I212" i="67"/>
  <c r="I213" i="67"/>
  <c r="I214" i="67"/>
  <c r="I215" i="67"/>
  <c r="I216" i="67"/>
  <c r="I217" i="67"/>
  <c r="I218" i="67"/>
  <c r="I219" i="67"/>
  <c r="I220" i="67"/>
  <c r="I221" i="67"/>
  <c r="I222" i="67"/>
  <c r="I223" i="67"/>
  <c r="I224" i="67"/>
  <c r="I225" i="67"/>
  <c r="I226" i="67"/>
  <c r="I227" i="67"/>
  <c r="I228" i="67"/>
  <c r="I229" i="67"/>
  <c r="I230" i="67"/>
  <c r="I231" i="67"/>
  <c r="I232" i="67"/>
  <c r="I233" i="67"/>
  <c r="I234" i="67"/>
  <c r="I235" i="67"/>
  <c r="I236" i="67"/>
  <c r="I237" i="67"/>
  <c r="I238" i="67"/>
  <c r="I239" i="67"/>
  <c r="I240" i="67"/>
  <c r="I241" i="67"/>
  <c r="I242" i="67"/>
  <c r="I243" i="67"/>
  <c r="I244" i="67"/>
  <c r="I245" i="67"/>
  <c r="I246" i="67"/>
  <c r="I247" i="67"/>
  <c r="I248" i="67"/>
  <c r="I249" i="67"/>
  <c r="I250" i="67"/>
  <c r="I251" i="67"/>
  <c r="I252" i="67"/>
  <c r="I253" i="67"/>
  <c r="I254" i="67"/>
  <c r="I255" i="67"/>
  <c r="I256" i="67"/>
  <c r="I257" i="67"/>
  <c r="F11" i="67"/>
  <c r="G11" i="67" s="1"/>
  <c r="F12" i="67"/>
  <c r="G12" i="67" s="1"/>
  <c r="V12" i="67" s="1"/>
  <c r="F13" i="67"/>
  <c r="G13" i="67" s="1"/>
  <c r="F14" i="67"/>
  <c r="G14" i="67" s="1"/>
  <c r="F15" i="67"/>
  <c r="G15" i="67" s="1"/>
  <c r="F16" i="67"/>
  <c r="G16" i="67" s="1"/>
  <c r="F17" i="67"/>
  <c r="G17" i="67" s="1"/>
  <c r="F18" i="67"/>
  <c r="G18" i="67" s="1"/>
  <c r="F19" i="67"/>
  <c r="G19" i="67" s="1"/>
  <c r="F20" i="67"/>
  <c r="G20" i="67" s="1"/>
  <c r="V20" i="67" s="1"/>
  <c r="F21" i="67"/>
  <c r="G21" i="67" s="1"/>
  <c r="F22" i="67"/>
  <c r="G22" i="67" s="1"/>
  <c r="F23" i="67"/>
  <c r="G23" i="67" s="1"/>
  <c r="F24" i="67"/>
  <c r="G24" i="67" s="1"/>
  <c r="F25" i="67"/>
  <c r="G25" i="67" s="1"/>
  <c r="F26" i="67"/>
  <c r="G26" i="67" s="1"/>
  <c r="F27" i="67"/>
  <c r="G27" i="67" s="1"/>
  <c r="F28" i="67"/>
  <c r="G28" i="67" s="1"/>
  <c r="V28" i="67" s="1"/>
  <c r="F29" i="67"/>
  <c r="G29" i="67" s="1"/>
  <c r="F30" i="67"/>
  <c r="G30" i="67" s="1"/>
  <c r="F31" i="67"/>
  <c r="G31" i="67" s="1"/>
  <c r="F32" i="67"/>
  <c r="G32" i="67" s="1"/>
  <c r="F33" i="67"/>
  <c r="G33" i="67" s="1"/>
  <c r="F34" i="67"/>
  <c r="G34" i="67" s="1"/>
  <c r="F35" i="67"/>
  <c r="G35" i="67" s="1"/>
  <c r="F36" i="67"/>
  <c r="G36" i="67" s="1"/>
  <c r="V36" i="67" s="1"/>
  <c r="F37" i="67"/>
  <c r="G37" i="67" s="1"/>
  <c r="F38" i="67"/>
  <c r="G38" i="67" s="1"/>
  <c r="F39" i="67"/>
  <c r="G39" i="67" s="1"/>
  <c r="F40" i="67"/>
  <c r="G40" i="67" s="1"/>
  <c r="F41" i="67"/>
  <c r="G41" i="67" s="1"/>
  <c r="F42" i="67"/>
  <c r="G42" i="67" s="1"/>
  <c r="F43" i="67"/>
  <c r="G43" i="67" s="1"/>
  <c r="F44" i="67"/>
  <c r="G44" i="67" s="1"/>
  <c r="V44" i="67" s="1"/>
  <c r="F45" i="67"/>
  <c r="G45" i="67" s="1"/>
  <c r="F46" i="67"/>
  <c r="G46" i="67" s="1"/>
  <c r="F47" i="67"/>
  <c r="G47" i="67" s="1"/>
  <c r="F48" i="67"/>
  <c r="G48" i="67" s="1"/>
  <c r="F49" i="67"/>
  <c r="G49" i="67" s="1"/>
  <c r="F50" i="67"/>
  <c r="G50" i="67" s="1"/>
  <c r="F51" i="67"/>
  <c r="G51" i="67" s="1"/>
  <c r="F52" i="67"/>
  <c r="G52" i="67" s="1"/>
  <c r="V52" i="67" s="1"/>
  <c r="F53" i="67"/>
  <c r="G53" i="67" s="1"/>
  <c r="F54" i="67"/>
  <c r="G54" i="67" s="1"/>
  <c r="F55" i="67"/>
  <c r="G55" i="67" s="1"/>
  <c r="F56" i="67"/>
  <c r="G56" i="67" s="1"/>
  <c r="F57" i="67"/>
  <c r="G57" i="67" s="1"/>
  <c r="F58" i="67"/>
  <c r="G58" i="67" s="1"/>
  <c r="F59" i="67"/>
  <c r="G59" i="67" s="1"/>
  <c r="F60" i="67"/>
  <c r="G60" i="67" s="1"/>
  <c r="V60" i="67" s="1"/>
  <c r="F61" i="67"/>
  <c r="G61" i="67" s="1"/>
  <c r="F62" i="67"/>
  <c r="G62" i="67" s="1"/>
  <c r="F63" i="67"/>
  <c r="G63" i="67" s="1"/>
  <c r="F64" i="67"/>
  <c r="G64" i="67" s="1"/>
  <c r="F65" i="67"/>
  <c r="G65" i="67" s="1"/>
  <c r="F66" i="67"/>
  <c r="G66" i="67" s="1"/>
  <c r="F67" i="67"/>
  <c r="G67" i="67" s="1"/>
  <c r="F68" i="67"/>
  <c r="G68" i="67" s="1"/>
  <c r="V68" i="67" s="1"/>
  <c r="F69" i="67"/>
  <c r="G69" i="67" s="1"/>
  <c r="F70" i="67"/>
  <c r="G70" i="67" s="1"/>
  <c r="F71" i="67"/>
  <c r="G71" i="67" s="1"/>
  <c r="F72" i="67"/>
  <c r="G72" i="67" s="1"/>
  <c r="F73" i="67"/>
  <c r="G73" i="67" s="1"/>
  <c r="F74" i="67"/>
  <c r="G74" i="67" s="1"/>
  <c r="F75" i="67"/>
  <c r="G75" i="67" s="1"/>
  <c r="F76" i="67"/>
  <c r="G76" i="67" s="1"/>
  <c r="V76" i="67" s="1"/>
  <c r="F77" i="67"/>
  <c r="G77" i="67" s="1"/>
  <c r="F78" i="67"/>
  <c r="G78" i="67" s="1"/>
  <c r="F79" i="67"/>
  <c r="G79" i="67" s="1"/>
  <c r="F80" i="67"/>
  <c r="G80" i="67" s="1"/>
  <c r="F81" i="67"/>
  <c r="G81" i="67" s="1"/>
  <c r="F82" i="67"/>
  <c r="G82" i="67" s="1"/>
  <c r="F83" i="67"/>
  <c r="G83" i="67" s="1"/>
  <c r="F84" i="67"/>
  <c r="G84" i="67" s="1"/>
  <c r="V84" i="67" s="1"/>
  <c r="F85" i="67"/>
  <c r="G85" i="67" s="1"/>
  <c r="F86" i="67"/>
  <c r="G86" i="67" s="1"/>
  <c r="F87" i="67"/>
  <c r="G87" i="67" s="1"/>
  <c r="F88" i="67"/>
  <c r="G88" i="67" s="1"/>
  <c r="F89" i="67"/>
  <c r="G89" i="67" s="1"/>
  <c r="F90" i="67"/>
  <c r="G90" i="67" s="1"/>
  <c r="F91" i="67"/>
  <c r="G91" i="67" s="1"/>
  <c r="F92" i="67"/>
  <c r="G92" i="67" s="1"/>
  <c r="V92" i="67" s="1"/>
  <c r="F93" i="67"/>
  <c r="G93" i="67" s="1"/>
  <c r="F94" i="67"/>
  <c r="G94" i="67" s="1"/>
  <c r="F95" i="67"/>
  <c r="G95" i="67" s="1"/>
  <c r="F96" i="67"/>
  <c r="G96" i="67" s="1"/>
  <c r="F97" i="67"/>
  <c r="G97" i="67" s="1"/>
  <c r="F98" i="67"/>
  <c r="G98" i="67" s="1"/>
  <c r="F99" i="67"/>
  <c r="G99" i="67" s="1"/>
  <c r="F100" i="67"/>
  <c r="G100" i="67" s="1"/>
  <c r="V100" i="67" s="1"/>
  <c r="F101" i="67"/>
  <c r="G101" i="67" s="1"/>
  <c r="F102" i="67"/>
  <c r="G102" i="67" s="1"/>
  <c r="F103" i="67"/>
  <c r="G103" i="67" s="1"/>
  <c r="F104" i="67"/>
  <c r="G104" i="67" s="1"/>
  <c r="F105" i="67"/>
  <c r="G105" i="67" s="1"/>
  <c r="F106" i="67"/>
  <c r="G106" i="67" s="1"/>
  <c r="F107" i="67"/>
  <c r="G107" i="67" s="1"/>
  <c r="F108" i="67"/>
  <c r="G108" i="67" s="1"/>
  <c r="V108" i="67" s="1"/>
  <c r="F109" i="67"/>
  <c r="G109" i="67" s="1"/>
  <c r="F110" i="67"/>
  <c r="G110" i="67" s="1"/>
  <c r="F111" i="67"/>
  <c r="G111" i="67" s="1"/>
  <c r="F112" i="67"/>
  <c r="G112" i="67" s="1"/>
  <c r="F113" i="67"/>
  <c r="G113" i="67" s="1"/>
  <c r="F114" i="67"/>
  <c r="G114" i="67" s="1"/>
  <c r="F115" i="67"/>
  <c r="G115" i="67" s="1"/>
  <c r="F116" i="67"/>
  <c r="G116" i="67" s="1"/>
  <c r="V116" i="67" s="1"/>
  <c r="F117" i="67"/>
  <c r="G117" i="67" s="1"/>
  <c r="F118" i="67"/>
  <c r="G118" i="67" s="1"/>
  <c r="F119" i="67"/>
  <c r="G119" i="67" s="1"/>
  <c r="F120" i="67"/>
  <c r="G120" i="67" s="1"/>
  <c r="F121" i="67"/>
  <c r="G121" i="67" s="1"/>
  <c r="F122" i="67"/>
  <c r="G122" i="67" s="1"/>
  <c r="F123" i="67"/>
  <c r="G123" i="67" s="1"/>
  <c r="F124" i="67"/>
  <c r="G124" i="67" s="1"/>
  <c r="V124" i="67" s="1"/>
  <c r="F125" i="67"/>
  <c r="G125" i="67" s="1"/>
  <c r="F126" i="67"/>
  <c r="G126" i="67" s="1"/>
  <c r="F127" i="67"/>
  <c r="G127" i="67" s="1"/>
  <c r="F128" i="67"/>
  <c r="G128" i="67" s="1"/>
  <c r="F129" i="67"/>
  <c r="G129" i="67" s="1"/>
  <c r="F130" i="67"/>
  <c r="G130" i="67" s="1"/>
  <c r="F131" i="67"/>
  <c r="G131" i="67" s="1"/>
  <c r="F132" i="67"/>
  <c r="G132" i="67" s="1"/>
  <c r="V132" i="67" s="1"/>
  <c r="F133" i="67"/>
  <c r="G133" i="67" s="1"/>
  <c r="F134" i="67"/>
  <c r="G134" i="67" s="1"/>
  <c r="F135" i="67"/>
  <c r="G135" i="67" s="1"/>
  <c r="F136" i="67"/>
  <c r="G136" i="67" s="1"/>
  <c r="F137" i="67"/>
  <c r="G137" i="67" s="1"/>
  <c r="F138" i="67"/>
  <c r="G138" i="67" s="1"/>
  <c r="F139" i="67"/>
  <c r="G139" i="67" s="1"/>
  <c r="F140" i="67"/>
  <c r="G140" i="67" s="1"/>
  <c r="V140" i="67" s="1"/>
  <c r="F141" i="67"/>
  <c r="G141" i="67" s="1"/>
  <c r="F142" i="67"/>
  <c r="G142" i="67" s="1"/>
  <c r="F143" i="67"/>
  <c r="G143" i="67" s="1"/>
  <c r="F144" i="67"/>
  <c r="G144" i="67" s="1"/>
  <c r="F145" i="67"/>
  <c r="G145" i="67" s="1"/>
  <c r="F146" i="67"/>
  <c r="G146" i="67" s="1"/>
  <c r="F147" i="67"/>
  <c r="G147" i="67" s="1"/>
  <c r="F148" i="67"/>
  <c r="G148" i="67" s="1"/>
  <c r="V148" i="67" s="1"/>
  <c r="F149" i="67"/>
  <c r="G149" i="67" s="1"/>
  <c r="F150" i="67"/>
  <c r="G150" i="67" s="1"/>
  <c r="F151" i="67"/>
  <c r="G151" i="67" s="1"/>
  <c r="F152" i="67"/>
  <c r="G152" i="67" s="1"/>
  <c r="F153" i="67"/>
  <c r="G153" i="67" s="1"/>
  <c r="F154" i="67"/>
  <c r="G154" i="67" s="1"/>
  <c r="F155" i="67"/>
  <c r="G155" i="67" s="1"/>
  <c r="F156" i="67"/>
  <c r="G156" i="67" s="1"/>
  <c r="V156" i="67" s="1"/>
  <c r="F157" i="67"/>
  <c r="G157" i="67" s="1"/>
  <c r="F158" i="67"/>
  <c r="G158" i="67" s="1"/>
  <c r="F159" i="67"/>
  <c r="G159" i="67" s="1"/>
  <c r="F160" i="67"/>
  <c r="G160" i="67" s="1"/>
  <c r="F161" i="67"/>
  <c r="G161" i="67" s="1"/>
  <c r="F162" i="67"/>
  <c r="G162" i="67" s="1"/>
  <c r="F163" i="67"/>
  <c r="G163" i="67" s="1"/>
  <c r="F164" i="67"/>
  <c r="G164" i="67" s="1"/>
  <c r="V164" i="67" s="1"/>
  <c r="F165" i="67"/>
  <c r="G165" i="67" s="1"/>
  <c r="F166" i="67"/>
  <c r="G166" i="67" s="1"/>
  <c r="F167" i="67"/>
  <c r="G167" i="67" s="1"/>
  <c r="F168" i="67"/>
  <c r="G168" i="67" s="1"/>
  <c r="F169" i="67"/>
  <c r="G169" i="67" s="1"/>
  <c r="F170" i="67"/>
  <c r="G170" i="67" s="1"/>
  <c r="F171" i="67"/>
  <c r="G171" i="67" s="1"/>
  <c r="F172" i="67"/>
  <c r="G172" i="67" s="1"/>
  <c r="V172" i="67" s="1"/>
  <c r="F173" i="67"/>
  <c r="G173" i="67" s="1"/>
  <c r="F174" i="67"/>
  <c r="G174" i="67" s="1"/>
  <c r="F175" i="67"/>
  <c r="G175" i="67" s="1"/>
  <c r="F176" i="67"/>
  <c r="G176" i="67" s="1"/>
  <c r="F177" i="67"/>
  <c r="G177" i="67" s="1"/>
  <c r="F178" i="67"/>
  <c r="G178" i="67" s="1"/>
  <c r="F179" i="67"/>
  <c r="G179" i="67" s="1"/>
  <c r="F180" i="67"/>
  <c r="G180" i="67" s="1"/>
  <c r="V180" i="67" s="1"/>
  <c r="F181" i="67"/>
  <c r="G181" i="67" s="1"/>
  <c r="F182" i="67"/>
  <c r="G182" i="67" s="1"/>
  <c r="F183" i="67"/>
  <c r="G183" i="67" s="1"/>
  <c r="F184" i="67"/>
  <c r="G184" i="67" s="1"/>
  <c r="F185" i="67"/>
  <c r="G185" i="67" s="1"/>
  <c r="F186" i="67"/>
  <c r="G186" i="67" s="1"/>
  <c r="F187" i="67"/>
  <c r="G187" i="67" s="1"/>
  <c r="F188" i="67"/>
  <c r="G188" i="67" s="1"/>
  <c r="V188" i="67" s="1"/>
  <c r="F189" i="67"/>
  <c r="G189" i="67" s="1"/>
  <c r="F190" i="67"/>
  <c r="G190" i="67" s="1"/>
  <c r="F191" i="67"/>
  <c r="G191" i="67" s="1"/>
  <c r="F192" i="67"/>
  <c r="G192" i="67" s="1"/>
  <c r="F193" i="67"/>
  <c r="G193" i="67" s="1"/>
  <c r="F194" i="67"/>
  <c r="G194" i="67" s="1"/>
  <c r="F195" i="67"/>
  <c r="G195" i="67" s="1"/>
  <c r="F196" i="67"/>
  <c r="G196" i="67" s="1"/>
  <c r="V196" i="67" s="1"/>
  <c r="F197" i="67"/>
  <c r="G197" i="67" s="1"/>
  <c r="F198" i="67"/>
  <c r="G198" i="67" s="1"/>
  <c r="F199" i="67"/>
  <c r="G199" i="67" s="1"/>
  <c r="F200" i="67"/>
  <c r="G200" i="67" s="1"/>
  <c r="F201" i="67"/>
  <c r="G201" i="67" s="1"/>
  <c r="F202" i="67"/>
  <c r="G202" i="67" s="1"/>
  <c r="F203" i="67"/>
  <c r="G203" i="67" s="1"/>
  <c r="F204" i="67"/>
  <c r="G204" i="67" s="1"/>
  <c r="V204" i="67" s="1"/>
  <c r="F205" i="67"/>
  <c r="G205" i="67" s="1"/>
  <c r="F206" i="67"/>
  <c r="G206" i="67" s="1"/>
  <c r="F207" i="67"/>
  <c r="G207" i="67" s="1"/>
  <c r="F208" i="67"/>
  <c r="G208" i="67" s="1"/>
  <c r="F209" i="67"/>
  <c r="G209" i="67" s="1"/>
  <c r="F210" i="67"/>
  <c r="G210" i="67" s="1"/>
  <c r="F211" i="67"/>
  <c r="G211" i="67" s="1"/>
  <c r="F212" i="67"/>
  <c r="G212" i="67" s="1"/>
  <c r="V212" i="67" s="1"/>
  <c r="F213" i="67"/>
  <c r="G213" i="67" s="1"/>
  <c r="F214" i="67"/>
  <c r="G214" i="67" s="1"/>
  <c r="F215" i="67"/>
  <c r="G215" i="67" s="1"/>
  <c r="F216" i="67"/>
  <c r="G216" i="67" s="1"/>
  <c r="F217" i="67"/>
  <c r="G217" i="67" s="1"/>
  <c r="F218" i="67"/>
  <c r="G218" i="67" s="1"/>
  <c r="F219" i="67"/>
  <c r="G219" i="67" s="1"/>
  <c r="F220" i="67"/>
  <c r="G220" i="67" s="1"/>
  <c r="V220" i="67" s="1"/>
  <c r="F221" i="67"/>
  <c r="G221" i="67" s="1"/>
  <c r="F222" i="67"/>
  <c r="G222" i="67" s="1"/>
  <c r="F223" i="67"/>
  <c r="G223" i="67" s="1"/>
  <c r="F224" i="67"/>
  <c r="G224" i="67" s="1"/>
  <c r="F225" i="67"/>
  <c r="G225" i="67" s="1"/>
  <c r="F226" i="67"/>
  <c r="G226" i="67" s="1"/>
  <c r="F227" i="67"/>
  <c r="G227" i="67" s="1"/>
  <c r="F228" i="67"/>
  <c r="G228" i="67" s="1"/>
  <c r="V228" i="67" s="1"/>
  <c r="F229" i="67"/>
  <c r="G229" i="67" s="1"/>
  <c r="F230" i="67"/>
  <c r="G230" i="67" s="1"/>
  <c r="F231" i="67"/>
  <c r="G231" i="67" s="1"/>
  <c r="F232" i="67"/>
  <c r="G232" i="67" s="1"/>
  <c r="F233" i="67"/>
  <c r="G233" i="67" s="1"/>
  <c r="F234" i="67"/>
  <c r="G234" i="67" s="1"/>
  <c r="F235" i="67"/>
  <c r="G235" i="67" s="1"/>
  <c r="F236" i="67"/>
  <c r="G236" i="67" s="1"/>
  <c r="V236" i="67" s="1"/>
  <c r="F237" i="67"/>
  <c r="G237" i="67" s="1"/>
  <c r="F238" i="67"/>
  <c r="G238" i="67" s="1"/>
  <c r="F239" i="67"/>
  <c r="G239" i="67" s="1"/>
  <c r="F240" i="67"/>
  <c r="G240" i="67" s="1"/>
  <c r="F241" i="67"/>
  <c r="G241" i="67" s="1"/>
  <c r="F242" i="67"/>
  <c r="G242" i="67" s="1"/>
  <c r="F243" i="67"/>
  <c r="G243" i="67" s="1"/>
  <c r="F244" i="67"/>
  <c r="G244" i="67" s="1"/>
  <c r="V244" i="67" s="1"/>
  <c r="F245" i="67"/>
  <c r="G245" i="67" s="1"/>
  <c r="F246" i="67"/>
  <c r="G246" i="67" s="1"/>
  <c r="F247" i="67"/>
  <c r="G247" i="67" s="1"/>
  <c r="F248" i="67"/>
  <c r="G248" i="67" s="1"/>
  <c r="F249" i="67"/>
  <c r="G249" i="67" s="1"/>
  <c r="F250" i="67"/>
  <c r="G250" i="67" s="1"/>
  <c r="F251" i="67"/>
  <c r="G251" i="67" s="1"/>
  <c r="F252" i="67"/>
  <c r="G252" i="67" s="1"/>
  <c r="V252" i="67" s="1"/>
  <c r="F253" i="67"/>
  <c r="G253" i="67" s="1"/>
  <c r="F254" i="67"/>
  <c r="G254" i="67" s="1"/>
  <c r="F255" i="67"/>
  <c r="G255" i="67" s="1"/>
  <c r="F256" i="67"/>
  <c r="G256" i="67" s="1"/>
  <c r="F257" i="67"/>
  <c r="G257" i="67" s="1"/>
  <c r="F10" i="67"/>
  <c r="G10" i="67" s="1"/>
  <c r="AB21" i="57" l="1"/>
  <c r="AA21" i="57"/>
  <c r="W54" i="67"/>
  <c r="P16" i="64"/>
  <c r="Q16" i="64" s="1"/>
  <c r="T16" i="64"/>
  <c r="P15" i="64"/>
  <c r="Q15" i="64" s="1"/>
  <c r="T15" i="64"/>
  <c r="P14" i="64"/>
  <c r="Q14" i="64" s="1"/>
  <c r="T14" i="64"/>
  <c r="P13" i="64"/>
  <c r="P257" i="64"/>
  <c r="Q257" i="64" s="1"/>
  <c r="T257" i="64"/>
  <c r="P249" i="64"/>
  <c r="Q249" i="64" s="1"/>
  <c r="T249" i="64"/>
  <c r="P241" i="64"/>
  <c r="Q241" i="64" s="1"/>
  <c r="T241" i="64"/>
  <c r="P233" i="64"/>
  <c r="Q233" i="64" s="1"/>
  <c r="T233" i="64"/>
  <c r="P225" i="64"/>
  <c r="Q225" i="64" s="1"/>
  <c r="T225" i="64"/>
  <c r="P217" i="64"/>
  <c r="Q217" i="64" s="1"/>
  <c r="T217" i="64"/>
  <c r="P209" i="64"/>
  <c r="Q209" i="64" s="1"/>
  <c r="T209" i="64"/>
  <c r="P201" i="64"/>
  <c r="Q201" i="64" s="1"/>
  <c r="T201" i="64"/>
  <c r="P193" i="64"/>
  <c r="Q193" i="64" s="1"/>
  <c r="T193" i="64"/>
  <c r="P185" i="64"/>
  <c r="Q185" i="64" s="1"/>
  <c r="T185" i="64"/>
  <c r="P177" i="64"/>
  <c r="Q177" i="64" s="1"/>
  <c r="T177" i="64"/>
  <c r="P169" i="64"/>
  <c r="Q169" i="64" s="1"/>
  <c r="T169" i="64"/>
  <c r="P161" i="64"/>
  <c r="Q161" i="64" s="1"/>
  <c r="T161" i="64"/>
  <c r="P153" i="64"/>
  <c r="Q153" i="64" s="1"/>
  <c r="T153" i="64"/>
  <c r="P145" i="64"/>
  <c r="Q145" i="64" s="1"/>
  <c r="T145" i="64"/>
  <c r="P137" i="64"/>
  <c r="Q137" i="64" s="1"/>
  <c r="T137" i="64"/>
  <c r="P129" i="64"/>
  <c r="Q129" i="64" s="1"/>
  <c r="T129" i="64"/>
  <c r="P121" i="64"/>
  <c r="Q121" i="64" s="1"/>
  <c r="T121" i="64"/>
  <c r="P113" i="64"/>
  <c r="Q113" i="64" s="1"/>
  <c r="T113" i="64"/>
  <c r="P105" i="64"/>
  <c r="Q105" i="64" s="1"/>
  <c r="T105" i="64"/>
  <c r="P97" i="64"/>
  <c r="Q97" i="64" s="1"/>
  <c r="T97" i="64"/>
  <c r="P89" i="64"/>
  <c r="Q89" i="64" s="1"/>
  <c r="T89" i="64"/>
  <c r="P81" i="64"/>
  <c r="Q81" i="64" s="1"/>
  <c r="T81" i="64"/>
  <c r="P73" i="64"/>
  <c r="Q73" i="64" s="1"/>
  <c r="T73" i="64"/>
  <c r="P65" i="64"/>
  <c r="Q65" i="64" s="1"/>
  <c r="T65" i="64"/>
  <c r="P57" i="64"/>
  <c r="Q57" i="64" s="1"/>
  <c r="T57" i="64"/>
  <c r="P49" i="64"/>
  <c r="Q49" i="64" s="1"/>
  <c r="T49" i="64"/>
  <c r="P41" i="64"/>
  <c r="Q41" i="64" s="1"/>
  <c r="T41" i="64"/>
  <c r="P33" i="64"/>
  <c r="Q33" i="64" s="1"/>
  <c r="T33" i="64"/>
  <c r="P25" i="64"/>
  <c r="Q25" i="64" s="1"/>
  <c r="T25" i="64"/>
  <c r="P17" i="64"/>
  <c r="Q17" i="64" s="1"/>
  <c r="T17" i="64"/>
  <c r="P256" i="64"/>
  <c r="Q256" i="64" s="1"/>
  <c r="T256" i="64"/>
  <c r="P248" i="64"/>
  <c r="Q248" i="64" s="1"/>
  <c r="T248" i="64"/>
  <c r="P240" i="64"/>
  <c r="Q240" i="64" s="1"/>
  <c r="T240" i="64"/>
  <c r="P232" i="64"/>
  <c r="Q232" i="64" s="1"/>
  <c r="T232" i="64"/>
  <c r="P224" i="64"/>
  <c r="Q224" i="64" s="1"/>
  <c r="T224" i="64"/>
  <c r="P216" i="64"/>
  <c r="Q216" i="64" s="1"/>
  <c r="T216" i="64"/>
  <c r="P208" i="64"/>
  <c r="Q208" i="64" s="1"/>
  <c r="T208" i="64"/>
  <c r="P200" i="64"/>
  <c r="Q200" i="64" s="1"/>
  <c r="T200" i="64"/>
  <c r="P192" i="64"/>
  <c r="Q192" i="64" s="1"/>
  <c r="T192" i="64"/>
  <c r="P184" i="64"/>
  <c r="Q184" i="64" s="1"/>
  <c r="T184" i="64"/>
  <c r="P176" i="64"/>
  <c r="Q176" i="64" s="1"/>
  <c r="T176" i="64"/>
  <c r="P168" i="64"/>
  <c r="Q168" i="64" s="1"/>
  <c r="T168" i="64"/>
  <c r="P160" i="64"/>
  <c r="Q160" i="64" s="1"/>
  <c r="T160" i="64"/>
  <c r="P152" i="64"/>
  <c r="Q152" i="64" s="1"/>
  <c r="T152" i="64"/>
  <c r="P144" i="64"/>
  <c r="Q144" i="64" s="1"/>
  <c r="T144" i="64"/>
  <c r="P136" i="64"/>
  <c r="Q136" i="64" s="1"/>
  <c r="T136" i="64"/>
  <c r="P128" i="64"/>
  <c r="Q128" i="64" s="1"/>
  <c r="T128" i="64"/>
  <c r="P120" i="64"/>
  <c r="Q120" i="64" s="1"/>
  <c r="T120" i="64"/>
  <c r="P112" i="64"/>
  <c r="Q112" i="64" s="1"/>
  <c r="T112" i="64"/>
  <c r="P104" i="64"/>
  <c r="Q104" i="64" s="1"/>
  <c r="T104" i="64"/>
  <c r="P96" i="64"/>
  <c r="Q96" i="64" s="1"/>
  <c r="T96" i="64"/>
  <c r="P88" i="64"/>
  <c r="Q88" i="64" s="1"/>
  <c r="T88" i="64"/>
  <c r="P80" i="64"/>
  <c r="Q80" i="64" s="1"/>
  <c r="T80" i="64"/>
  <c r="P72" i="64"/>
  <c r="Q72" i="64" s="1"/>
  <c r="T72" i="64"/>
  <c r="P64" i="64"/>
  <c r="Q64" i="64" s="1"/>
  <c r="T64" i="64"/>
  <c r="P56" i="64"/>
  <c r="Q56" i="64" s="1"/>
  <c r="T56" i="64"/>
  <c r="P48" i="64"/>
  <c r="Q48" i="64" s="1"/>
  <c r="T48" i="64"/>
  <c r="P40" i="64"/>
  <c r="Q40" i="64" s="1"/>
  <c r="T40" i="64"/>
  <c r="P32" i="64"/>
  <c r="Q32" i="64" s="1"/>
  <c r="T32" i="64"/>
  <c r="P24" i="64"/>
  <c r="Q24" i="64" s="1"/>
  <c r="T24" i="64"/>
  <c r="P255" i="64"/>
  <c r="Q255" i="64" s="1"/>
  <c r="T255" i="64"/>
  <c r="P247" i="64"/>
  <c r="Q247" i="64" s="1"/>
  <c r="T247" i="64"/>
  <c r="P239" i="64"/>
  <c r="Q239" i="64" s="1"/>
  <c r="T239" i="64"/>
  <c r="P231" i="64"/>
  <c r="Q231" i="64" s="1"/>
  <c r="T231" i="64"/>
  <c r="P223" i="64"/>
  <c r="Q223" i="64" s="1"/>
  <c r="T223" i="64"/>
  <c r="P215" i="64"/>
  <c r="Q215" i="64" s="1"/>
  <c r="T215" i="64"/>
  <c r="P207" i="64"/>
  <c r="Q207" i="64" s="1"/>
  <c r="T207" i="64"/>
  <c r="P199" i="64"/>
  <c r="Q199" i="64" s="1"/>
  <c r="T199" i="64"/>
  <c r="P191" i="64"/>
  <c r="Q191" i="64" s="1"/>
  <c r="T191" i="64"/>
  <c r="P183" i="64"/>
  <c r="Q183" i="64" s="1"/>
  <c r="T183" i="64"/>
  <c r="P175" i="64"/>
  <c r="Q175" i="64" s="1"/>
  <c r="T175" i="64"/>
  <c r="P167" i="64"/>
  <c r="Q167" i="64" s="1"/>
  <c r="T167" i="64"/>
  <c r="P159" i="64"/>
  <c r="Q159" i="64" s="1"/>
  <c r="T159" i="64"/>
  <c r="P151" i="64"/>
  <c r="Q151" i="64" s="1"/>
  <c r="T151" i="64"/>
  <c r="P143" i="64"/>
  <c r="Q143" i="64" s="1"/>
  <c r="T143" i="64"/>
  <c r="P135" i="64"/>
  <c r="Q135" i="64" s="1"/>
  <c r="T135" i="64"/>
  <c r="P127" i="64"/>
  <c r="Q127" i="64" s="1"/>
  <c r="T127" i="64"/>
  <c r="P119" i="64"/>
  <c r="Q119" i="64" s="1"/>
  <c r="T119" i="64"/>
  <c r="P111" i="64"/>
  <c r="Q111" i="64" s="1"/>
  <c r="T111" i="64"/>
  <c r="P103" i="64"/>
  <c r="Q103" i="64" s="1"/>
  <c r="T103" i="64"/>
  <c r="P95" i="64"/>
  <c r="Q95" i="64" s="1"/>
  <c r="T95" i="64"/>
  <c r="P87" i="64"/>
  <c r="Q87" i="64" s="1"/>
  <c r="T87" i="64"/>
  <c r="P79" i="64"/>
  <c r="Q79" i="64" s="1"/>
  <c r="T79" i="64"/>
  <c r="P71" i="64"/>
  <c r="Q71" i="64" s="1"/>
  <c r="T71" i="64"/>
  <c r="P63" i="64"/>
  <c r="Q63" i="64" s="1"/>
  <c r="T63" i="64"/>
  <c r="P55" i="64"/>
  <c r="Q55" i="64" s="1"/>
  <c r="T55" i="64"/>
  <c r="P47" i="64"/>
  <c r="Q47" i="64" s="1"/>
  <c r="T47" i="64"/>
  <c r="P39" i="64"/>
  <c r="Q39" i="64" s="1"/>
  <c r="T39" i="64"/>
  <c r="P31" i="64"/>
  <c r="Q31" i="64" s="1"/>
  <c r="T31" i="64"/>
  <c r="P23" i="64"/>
  <c r="Q23" i="64" s="1"/>
  <c r="T23" i="64"/>
  <c r="P254" i="64"/>
  <c r="Q254" i="64" s="1"/>
  <c r="T254" i="64"/>
  <c r="P246" i="64"/>
  <c r="Q246" i="64" s="1"/>
  <c r="T246" i="64"/>
  <c r="P238" i="64"/>
  <c r="Q238" i="64" s="1"/>
  <c r="T238" i="64"/>
  <c r="P230" i="64"/>
  <c r="Q230" i="64" s="1"/>
  <c r="T230" i="64"/>
  <c r="P222" i="64"/>
  <c r="Q222" i="64" s="1"/>
  <c r="T222" i="64"/>
  <c r="P214" i="64"/>
  <c r="Q214" i="64" s="1"/>
  <c r="T214" i="64"/>
  <c r="P206" i="64"/>
  <c r="Q206" i="64" s="1"/>
  <c r="T206" i="64"/>
  <c r="P198" i="64"/>
  <c r="Q198" i="64" s="1"/>
  <c r="T198" i="64"/>
  <c r="P190" i="64"/>
  <c r="Q190" i="64" s="1"/>
  <c r="T190" i="64"/>
  <c r="P182" i="64"/>
  <c r="Q182" i="64" s="1"/>
  <c r="T182" i="64"/>
  <c r="P174" i="64"/>
  <c r="Q174" i="64" s="1"/>
  <c r="T174" i="64"/>
  <c r="P166" i="64"/>
  <c r="Q166" i="64" s="1"/>
  <c r="T166" i="64"/>
  <c r="P158" i="64"/>
  <c r="Q158" i="64" s="1"/>
  <c r="T158" i="64"/>
  <c r="P150" i="64"/>
  <c r="Q150" i="64" s="1"/>
  <c r="T150" i="64"/>
  <c r="P142" i="64"/>
  <c r="Q142" i="64" s="1"/>
  <c r="T142" i="64"/>
  <c r="P134" i="64"/>
  <c r="Q134" i="64" s="1"/>
  <c r="T134" i="64"/>
  <c r="P126" i="64"/>
  <c r="Q126" i="64" s="1"/>
  <c r="T126" i="64"/>
  <c r="P118" i="64"/>
  <c r="Q118" i="64" s="1"/>
  <c r="T118" i="64"/>
  <c r="P110" i="64"/>
  <c r="Q110" i="64" s="1"/>
  <c r="T110" i="64"/>
  <c r="P102" i="64"/>
  <c r="Q102" i="64" s="1"/>
  <c r="T102" i="64"/>
  <c r="P94" i="64"/>
  <c r="Q94" i="64" s="1"/>
  <c r="T94" i="64"/>
  <c r="P86" i="64"/>
  <c r="Q86" i="64" s="1"/>
  <c r="T86" i="64"/>
  <c r="P78" i="64"/>
  <c r="Q78" i="64" s="1"/>
  <c r="T78" i="64"/>
  <c r="P70" i="64"/>
  <c r="Q70" i="64" s="1"/>
  <c r="T70" i="64"/>
  <c r="P62" i="64"/>
  <c r="Q62" i="64" s="1"/>
  <c r="T62" i="64"/>
  <c r="P54" i="64"/>
  <c r="Q54" i="64" s="1"/>
  <c r="T54" i="64"/>
  <c r="P46" i="64"/>
  <c r="Q46" i="64" s="1"/>
  <c r="T46" i="64"/>
  <c r="P38" i="64"/>
  <c r="Q38" i="64" s="1"/>
  <c r="T38" i="64"/>
  <c r="P30" i="64"/>
  <c r="Q30" i="64" s="1"/>
  <c r="T30" i="64"/>
  <c r="P22" i="64"/>
  <c r="Q22" i="64" s="1"/>
  <c r="T22" i="64"/>
  <c r="P253" i="64"/>
  <c r="Q253" i="64" s="1"/>
  <c r="T253" i="64"/>
  <c r="P245" i="64"/>
  <c r="Q245" i="64" s="1"/>
  <c r="T245" i="64"/>
  <c r="P237" i="64"/>
  <c r="Q237" i="64" s="1"/>
  <c r="T237" i="64"/>
  <c r="P229" i="64"/>
  <c r="Q229" i="64" s="1"/>
  <c r="T229" i="64"/>
  <c r="P221" i="64"/>
  <c r="Q221" i="64" s="1"/>
  <c r="T221" i="64"/>
  <c r="P213" i="64"/>
  <c r="Q213" i="64" s="1"/>
  <c r="T213" i="64"/>
  <c r="P205" i="64"/>
  <c r="Q205" i="64" s="1"/>
  <c r="T205" i="64"/>
  <c r="P197" i="64"/>
  <c r="Q197" i="64" s="1"/>
  <c r="T197" i="64"/>
  <c r="P189" i="64"/>
  <c r="Q189" i="64" s="1"/>
  <c r="T189" i="64"/>
  <c r="P181" i="64"/>
  <c r="Q181" i="64" s="1"/>
  <c r="T181" i="64"/>
  <c r="P173" i="64"/>
  <c r="Q173" i="64" s="1"/>
  <c r="T173" i="64"/>
  <c r="P165" i="64"/>
  <c r="Q165" i="64" s="1"/>
  <c r="T165" i="64"/>
  <c r="P157" i="64"/>
  <c r="Q157" i="64" s="1"/>
  <c r="T157" i="64"/>
  <c r="P149" i="64"/>
  <c r="Q149" i="64" s="1"/>
  <c r="T149" i="64"/>
  <c r="P141" i="64"/>
  <c r="Q141" i="64" s="1"/>
  <c r="T141" i="64"/>
  <c r="P133" i="64"/>
  <c r="Q133" i="64" s="1"/>
  <c r="T133" i="64"/>
  <c r="P125" i="64"/>
  <c r="Q125" i="64" s="1"/>
  <c r="T125" i="64"/>
  <c r="P117" i="64"/>
  <c r="Q117" i="64" s="1"/>
  <c r="T117" i="64"/>
  <c r="P109" i="64"/>
  <c r="Q109" i="64" s="1"/>
  <c r="T109" i="64"/>
  <c r="P101" i="64"/>
  <c r="Q101" i="64" s="1"/>
  <c r="T101" i="64"/>
  <c r="P93" i="64"/>
  <c r="Q93" i="64" s="1"/>
  <c r="T93" i="64"/>
  <c r="P85" i="64"/>
  <c r="Q85" i="64" s="1"/>
  <c r="T85" i="64"/>
  <c r="P77" i="64"/>
  <c r="Q77" i="64" s="1"/>
  <c r="T77" i="64"/>
  <c r="P69" i="64"/>
  <c r="Q69" i="64" s="1"/>
  <c r="T69" i="64"/>
  <c r="P61" i="64"/>
  <c r="Q61" i="64" s="1"/>
  <c r="T61" i="64"/>
  <c r="P53" i="64"/>
  <c r="Q53" i="64" s="1"/>
  <c r="T53" i="64"/>
  <c r="P45" i="64"/>
  <c r="Q45" i="64" s="1"/>
  <c r="T45" i="64"/>
  <c r="P37" i="64"/>
  <c r="Q37" i="64" s="1"/>
  <c r="T37" i="64"/>
  <c r="P29" i="64"/>
  <c r="Q29" i="64" s="1"/>
  <c r="T29" i="64"/>
  <c r="P21" i="64"/>
  <c r="Q21" i="64" s="1"/>
  <c r="T21" i="64"/>
  <c r="P252" i="64"/>
  <c r="Q252" i="64" s="1"/>
  <c r="T252" i="64"/>
  <c r="P244" i="64"/>
  <c r="Q244" i="64" s="1"/>
  <c r="T244" i="64"/>
  <c r="P236" i="64"/>
  <c r="Q236" i="64" s="1"/>
  <c r="T236" i="64"/>
  <c r="P228" i="64"/>
  <c r="Q228" i="64" s="1"/>
  <c r="T228" i="64"/>
  <c r="P220" i="64"/>
  <c r="Q220" i="64" s="1"/>
  <c r="T220" i="64"/>
  <c r="P212" i="64"/>
  <c r="Q212" i="64" s="1"/>
  <c r="T212" i="64"/>
  <c r="P204" i="64"/>
  <c r="Q204" i="64" s="1"/>
  <c r="T204" i="64"/>
  <c r="P196" i="64"/>
  <c r="Q196" i="64" s="1"/>
  <c r="T196" i="64"/>
  <c r="P188" i="64"/>
  <c r="Q188" i="64" s="1"/>
  <c r="T188" i="64"/>
  <c r="P180" i="64"/>
  <c r="Q180" i="64" s="1"/>
  <c r="T180" i="64"/>
  <c r="P172" i="64"/>
  <c r="Q172" i="64" s="1"/>
  <c r="T172" i="64"/>
  <c r="P164" i="64"/>
  <c r="Q164" i="64" s="1"/>
  <c r="T164" i="64"/>
  <c r="P156" i="64"/>
  <c r="Q156" i="64" s="1"/>
  <c r="T156" i="64"/>
  <c r="P148" i="64"/>
  <c r="Q148" i="64" s="1"/>
  <c r="T148" i="64"/>
  <c r="P140" i="64"/>
  <c r="Q140" i="64" s="1"/>
  <c r="T140" i="64"/>
  <c r="P132" i="64"/>
  <c r="Q132" i="64" s="1"/>
  <c r="T132" i="64"/>
  <c r="P124" i="64"/>
  <c r="Q124" i="64" s="1"/>
  <c r="T124" i="64"/>
  <c r="P116" i="64"/>
  <c r="Q116" i="64" s="1"/>
  <c r="T116" i="64"/>
  <c r="P108" i="64"/>
  <c r="Q108" i="64" s="1"/>
  <c r="T108" i="64"/>
  <c r="P100" i="64"/>
  <c r="Q100" i="64" s="1"/>
  <c r="T100" i="64"/>
  <c r="P92" i="64"/>
  <c r="Q92" i="64" s="1"/>
  <c r="T92" i="64"/>
  <c r="P84" i="64"/>
  <c r="Q84" i="64" s="1"/>
  <c r="T84" i="64"/>
  <c r="P76" i="64"/>
  <c r="Q76" i="64" s="1"/>
  <c r="T76" i="64"/>
  <c r="P68" i="64"/>
  <c r="Q68" i="64" s="1"/>
  <c r="T68" i="64"/>
  <c r="P60" i="64"/>
  <c r="Q60" i="64" s="1"/>
  <c r="T60" i="64"/>
  <c r="P52" i="64"/>
  <c r="Q52" i="64" s="1"/>
  <c r="T52" i="64"/>
  <c r="P44" i="64"/>
  <c r="P36" i="64"/>
  <c r="Q36" i="64" s="1"/>
  <c r="T36" i="64"/>
  <c r="P28" i="64"/>
  <c r="Q28" i="64" s="1"/>
  <c r="T28" i="64"/>
  <c r="P20" i="64"/>
  <c r="Q20" i="64" s="1"/>
  <c r="T20" i="64"/>
  <c r="P251" i="64"/>
  <c r="Q251" i="64" s="1"/>
  <c r="T251" i="64"/>
  <c r="P243" i="64"/>
  <c r="Q243" i="64" s="1"/>
  <c r="T243" i="64"/>
  <c r="P235" i="64"/>
  <c r="Q235" i="64" s="1"/>
  <c r="T235" i="64"/>
  <c r="P227" i="64"/>
  <c r="Q227" i="64" s="1"/>
  <c r="T227" i="64"/>
  <c r="P219" i="64"/>
  <c r="Q219" i="64" s="1"/>
  <c r="T219" i="64"/>
  <c r="P211" i="64"/>
  <c r="Q211" i="64" s="1"/>
  <c r="T211" i="64"/>
  <c r="P203" i="64"/>
  <c r="Q203" i="64" s="1"/>
  <c r="T203" i="64"/>
  <c r="P195" i="64"/>
  <c r="Q195" i="64" s="1"/>
  <c r="T195" i="64"/>
  <c r="P187" i="64"/>
  <c r="Q187" i="64" s="1"/>
  <c r="T187" i="64"/>
  <c r="P179" i="64"/>
  <c r="Q179" i="64" s="1"/>
  <c r="T179" i="64"/>
  <c r="P171" i="64"/>
  <c r="Q171" i="64" s="1"/>
  <c r="T171" i="64"/>
  <c r="P163" i="64"/>
  <c r="Q163" i="64" s="1"/>
  <c r="T163" i="64"/>
  <c r="P155" i="64"/>
  <c r="Q155" i="64" s="1"/>
  <c r="T155" i="64"/>
  <c r="P147" i="64"/>
  <c r="Q147" i="64" s="1"/>
  <c r="T147" i="64"/>
  <c r="P139" i="64"/>
  <c r="Q139" i="64" s="1"/>
  <c r="T139" i="64"/>
  <c r="P131" i="64"/>
  <c r="Q131" i="64" s="1"/>
  <c r="T131" i="64"/>
  <c r="P123" i="64"/>
  <c r="Q123" i="64" s="1"/>
  <c r="T123" i="64"/>
  <c r="P115" i="64"/>
  <c r="Q115" i="64" s="1"/>
  <c r="T115" i="64"/>
  <c r="P107" i="64"/>
  <c r="Q107" i="64" s="1"/>
  <c r="T107" i="64"/>
  <c r="P99" i="64"/>
  <c r="Q99" i="64" s="1"/>
  <c r="T99" i="64"/>
  <c r="P91" i="64"/>
  <c r="Q91" i="64" s="1"/>
  <c r="T91" i="64"/>
  <c r="P83" i="64"/>
  <c r="Q83" i="64" s="1"/>
  <c r="T83" i="64"/>
  <c r="P75" i="64"/>
  <c r="Q75" i="64" s="1"/>
  <c r="T75" i="64"/>
  <c r="P67" i="64"/>
  <c r="Q67" i="64" s="1"/>
  <c r="T67" i="64"/>
  <c r="P59" i="64"/>
  <c r="Q59" i="64" s="1"/>
  <c r="T59" i="64"/>
  <c r="P51" i="64"/>
  <c r="Q51" i="64" s="1"/>
  <c r="T51" i="64"/>
  <c r="P43" i="64"/>
  <c r="Q43" i="64" s="1"/>
  <c r="T43" i="64"/>
  <c r="P35" i="64"/>
  <c r="Q35" i="64" s="1"/>
  <c r="T35" i="64"/>
  <c r="P27" i="64"/>
  <c r="Q27" i="64" s="1"/>
  <c r="T27" i="64"/>
  <c r="P19" i="64"/>
  <c r="Q19" i="64" s="1"/>
  <c r="T19" i="64"/>
  <c r="P250" i="64"/>
  <c r="Q250" i="64" s="1"/>
  <c r="T250" i="64"/>
  <c r="P242" i="64"/>
  <c r="Q242" i="64" s="1"/>
  <c r="T242" i="64"/>
  <c r="P234" i="64"/>
  <c r="Q234" i="64" s="1"/>
  <c r="T234" i="64"/>
  <c r="P226" i="64"/>
  <c r="Q226" i="64" s="1"/>
  <c r="T226" i="64"/>
  <c r="P218" i="64"/>
  <c r="Q218" i="64" s="1"/>
  <c r="T218" i="64"/>
  <c r="P210" i="64"/>
  <c r="Q210" i="64" s="1"/>
  <c r="T210" i="64"/>
  <c r="P202" i="64"/>
  <c r="Q202" i="64" s="1"/>
  <c r="T202" i="64"/>
  <c r="P194" i="64"/>
  <c r="Q194" i="64" s="1"/>
  <c r="T194" i="64"/>
  <c r="P186" i="64"/>
  <c r="Q186" i="64" s="1"/>
  <c r="T186" i="64"/>
  <c r="P178" i="64"/>
  <c r="Q178" i="64" s="1"/>
  <c r="T178" i="64"/>
  <c r="P170" i="64"/>
  <c r="Q170" i="64" s="1"/>
  <c r="T170" i="64"/>
  <c r="P162" i="64"/>
  <c r="Q162" i="64" s="1"/>
  <c r="T162" i="64"/>
  <c r="P154" i="64"/>
  <c r="Q154" i="64" s="1"/>
  <c r="T154" i="64"/>
  <c r="P146" i="64"/>
  <c r="Q146" i="64" s="1"/>
  <c r="T146" i="64"/>
  <c r="P138" i="64"/>
  <c r="Q138" i="64" s="1"/>
  <c r="T138" i="64"/>
  <c r="P130" i="64"/>
  <c r="Q130" i="64" s="1"/>
  <c r="T130" i="64"/>
  <c r="P122" i="64"/>
  <c r="Q122" i="64" s="1"/>
  <c r="T122" i="64"/>
  <c r="P114" i="64"/>
  <c r="Q114" i="64" s="1"/>
  <c r="T114" i="64"/>
  <c r="P106" i="64"/>
  <c r="Q106" i="64" s="1"/>
  <c r="T106" i="64"/>
  <c r="P98" i="64"/>
  <c r="Q98" i="64" s="1"/>
  <c r="T98" i="64"/>
  <c r="P90" i="64"/>
  <c r="Q90" i="64" s="1"/>
  <c r="T90" i="64"/>
  <c r="P82" i="64"/>
  <c r="Q82" i="64" s="1"/>
  <c r="T82" i="64"/>
  <c r="P74" i="64"/>
  <c r="Q74" i="64" s="1"/>
  <c r="T74" i="64"/>
  <c r="P66" i="64"/>
  <c r="Q66" i="64" s="1"/>
  <c r="T66" i="64"/>
  <c r="P58" i="64"/>
  <c r="Q58" i="64" s="1"/>
  <c r="T58" i="64"/>
  <c r="P50" i="64"/>
  <c r="Q50" i="64" s="1"/>
  <c r="T50" i="64"/>
  <c r="P42" i="64"/>
  <c r="Q42" i="64" s="1"/>
  <c r="T42" i="64"/>
  <c r="P34" i="64"/>
  <c r="Q34" i="64" s="1"/>
  <c r="T34" i="64"/>
  <c r="P26" i="64"/>
  <c r="Q26" i="64" s="1"/>
  <c r="T26" i="64"/>
  <c r="P18" i="64"/>
  <c r="Q18" i="64" s="1"/>
  <c r="T18" i="64"/>
  <c r="S12" i="68"/>
  <c r="T12" i="68" s="1"/>
  <c r="Q12" i="68"/>
  <c r="AB22" i="53"/>
  <c r="V242" i="67"/>
  <c r="V202" i="67"/>
  <c r="V194" i="67"/>
  <c r="V186" i="67"/>
  <c r="V178" i="67"/>
  <c r="V170" i="67"/>
  <c r="V210" i="67"/>
  <c r="V226" i="67"/>
  <c r="V218" i="67"/>
  <c r="V234" i="67"/>
  <c r="V11" i="67"/>
  <c r="V250" i="67"/>
  <c r="V251" i="67"/>
  <c r="V195" i="67"/>
  <c r="V179" i="67"/>
  <c r="V171" i="67"/>
  <c r="V163" i="67"/>
  <c r="V155" i="67"/>
  <c r="V147" i="67"/>
  <c r="V139" i="67"/>
  <c r="V131" i="67"/>
  <c r="V123" i="67"/>
  <c r="V115" i="67"/>
  <c r="V107" i="67"/>
  <c r="V99" i="67"/>
  <c r="V91" i="67"/>
  <c r="V83" i="67"/>
  <c r="V75" i="67"/>
  <c r="V67" i="67"/>
  <c r="V59" i="67"/>
  <c r="V51" i="67"/>
  <c r="V43" i="67"/>
  <c r="V35" i="67"/>
  <c r="V27" i="67"/>
  <c r="V19" i="67"/>
  <c r="V243" i="67"/>
  <c r="V187" i="67"/>
  <c r="V235" i="67"/>
  <c r="V211" i="67"/>
  <c r="V227" i="67"/>
  <c r="V219" i="67"/>
  <c r="V203" i="67"/>
  <c r="X22" i="57"/>
  <c r="AE21" i="57"/>
  <c r="AF21" i="57" s="1"/>
  <c r="O23" i="57"/>
  <c r="AG23" i="57" s="1"/>
  <c r="X21" i="53"/>
  <c r="AB23" i="53"/>
  <c r="AA23" i="53"/>
  <c r="AF23" i="53"/>
  <c r="AE24" i="53"/>
  <c r="AC24" i="53"/>
  <c r="AE24" i="57"/>
  <c r="AC24" i="57"/>
  <c r="V257" i="67"/>
  <c r="V249" i="67"/>
  <c r="V241" i="67"/>
  <c r="V233" i="67"/>
  <c r="V225" i="67"/>
  <c r="V217" i="67"/>
  <c r="V209" i="67"/>
  <c r="V201" i="67"/>
  <c r="V193" i="67"/>
  <c r="V185" i="67"/>
  <c r="V177" i="67"/>
  <c r="V169" i="67"/>
  <c r="V161" i="67"/>
  <c r="V153" i="67"/>
  <c r="V145" i="67"/>
  <c r="V137" i="67"/>
  <c r="V129" i="67"/>
  <c r="V121" i="67"/>
  <c r="V113" i="67"/>
  <c r="V105" i="67"/>
  <c r="V97" i="67"/>
  <c r="V89" i="67"/>
  <c r="V81" i="67"/>
  <c r="V73" i="67"/>
  <c r="V65" i="67"/>
  <c r="V57" i="67"/>
  <c r="V49" i="67"/>
  <c r="V41" i="67"/>
  <c r="V33" i="67"/>
  <c r="V25" i="67"/>
  <c r="V17" i="67"/>
  <c r="V232" i="67"/>
  <c r="V208" i="67"/>
  <c r="V176" i="67"/>
  <c r="V144" i="67"/>
  <c r="V112" i="67"/>
  <c r="V72" i="67"/>
  <c r="V32" i="67"/>
  <c r="V240" i="67"/>
  <c r="V200" i="67"/>
  <c r="V168" i="67"/>
  <c r="V136" i="67"/>
  <c r="V104" i="67"/>
  <c r="V80" i="67"/>
  <c r="V48" i="67"/>
  <c r="V16" i="67"/>
  <c r="V255" i="67"/>
  <c r="V247" i="67"/>
  <c r="V239" i="67"/>
  <c r="V231" i="67"/>
  <c r="V223" i="67"/>
  <c r="V215" i="67"/>
  <c r="V207" i="67"/>
  <c r="V199" i="67"/>
  <c r="V191" i="67"/>
  <c r="V183" i="67"/>
  <c r="V175" i="67"/>
  <c r="V167" i="67"/>
  <c r="V159" i="67"/>
  <c r="V151" i="67"/>
  <c r="V143" i="67"/>
  <c r="V135" i="67"/>
  <c r="V127" i="67"/>
  <c r="V119" i="67"/>
  <c r="V111" i="67"/>
  <c r="V103" i="67"/>
  <c r="V95" i="67"/>
  <c r="V87" i="67"/>
  <c r="V79" i="67"/>
  <c r="V71" i="67"/>
  <c r="V63" i="67"/>
  <c r="V55" i="67"/>
  <c r="V47" i="67"/>
  <c r="V39" i="67"/>
  <c r="V31" i="67"/>
  <c r="V23" i="67"/>
  <c r="V15" i="67"/>
  <c r="V248" i="67"/>
  <c r="V216" i="67"/>
  <c r="V184" i="67"/>
  <c r="V160" i="67"/>
  <c r="V128" i="67"/>
  <c r="V96" i="67"/>
  <c r="V64" i="67"/>
  <c r="V40" i="67"/>
  <c r="V254" i="67"/>
  <c r="V246" i="67"/>
  <c r="V238" i="67"/>
  <c r="V230" i="67"/>
  <c r="V222" i="67"/>
  <c r="V214" i="67"/>
  <c r="V206" i="67"/>
  <c r="V198" i="67"/>
  <c r="V190" i="67"/>
  <c r="V182" i="67"/>
  <c r="V174" i="67"/>
  <c r="V166" i="67"/>
  <c r="V158" i="67"/>
  <c r="V150" i="67"/>
  <c r="V142" i="67"/>
  <c r="V134" i="67"/>
  <c r="V126" i="67"/>
  <c r="V118" i="67"/>
  <c r="V110" i="67"/>
  <c r="V102" i="67"/>
  <c r="V94" i="67"/>
  <c r="V86" i="67"/>
  <c r="V78" i="67"/>
  <c r="V70" i="67"/>
  <c r="V62" i="67"/>
  <c r="V54" i="67"/>
  <c r="V46" i="67"/>
  <c r="V38" i="67"/>
  <c r="V30" i="67"/>
  <c r="V22" i="67"/>
  <c r="V14" i="67"/>
  <c r="V256" i="67"/>
  <c r="V224" i="67"/>
  <c r="V192" i="67"/>
  <c r="V152" i="67"/>
  <c r="V120" i="67"/>
  <c r="V88" i="67"/>
  <c r="V56" i="67"/>
  <c r="V24" i="67"/>
  <c r="V253" i="67"/>
  <c r="V245" i="67"/>
  <c r="V237" i="67"/>
  <c r="V229" i="67"/>
  <c r="V221" i="67"/>
  <c r="V213" i="67"/>
  <c r="V205" i="67"/>
  <c r="V197" i="67"/>
  <c r="V189" i="67"/>
  <c r="V181" i="67"/>
  <c r="V173" i="67"/>
  <c r="V165" i="67"/>
  <c r="V157" i="67"/>
  <c r="V149" i="67"/>
  <c r="V141" i="67"/>
  <c r="V133" i="67"/>
  <c r="V125" i="67"/>
  <c r="V117" i="67"/>
  <c r="V109" i="67"/>
  <c r="V101" i="67"/>
  <c r="V93" i="67"/>
  <c r="V85" i="67"/>
  <c r="V77" i="67"/>
  <c r="V69" i="67"/>
  <c r="V61" i="67"/>
  <c r="V53" i="67"/>
  <c r="V45" i="67"/>
  <c r="V37" i="67"/>
  <c r="V29" i="67"/>
  <c r="V21" i="67"/>
  <c r="V13" i="67"/>
  <c r="V162" i="67"/>
  <c r="V154" i="67"/>
  <c r="V146" i="67"/>
  <c r="V138" i="67"/>
  <c r="V130" i="67"/>
  <c r="V122" i="67"/>
  <c r="V114" i="67"/>
  <c r="V106" i="67"/>
  <c r="V98" i="67"/>
  <c r="V90" i="67"/>
  <c r="V82" i="67"/>
  <c r="V74" i="67"/>
  <c r="V66" i="67"/>
  <c r="V58" i="67"/>
  <c r="V50" i="67"/>
  <c r="V42" i="67"/>
  <c r="V34" i="67"/>
  <c r="V26" i="67"/>
  <c r="V18" i="67"/>
  <c r="R24" i="57"/>
  <c r="R24" i="53"/>
  <c r="X24" i="53" s="1"/>
  <c r="V10" i="67"/>
  <c r="W10" i="67"/>
  <c r="R250" i="67"/>
  <c r="R242" i="67"/>
  <c r="R234" i="67"/>
  <c r="R226" i="67"/>
  <c r="R218" i="67"/>
  <c r="R210" i="67"/>
  <c r="R202" i="67"/>
  <c r="R194" i="67"/>
  <c r="R186" i="67"/>
  <c r="R178" i="67"/>
  <c r="R170" i="67"/>
  <c r="R162" i="67"/>
  <c r="R154" i="67"/>
  <c r="R146" i="67"/>
  <c r="R138" i="67"/>
  <c r="R130" i="67"/>
  <c r="R122" i="67"/>
  <c r="R114" i="67"/>
  <c r="R106" i="67"/>
  <c r="R98" i="67"/>
  <c r="R90" i="67"/>
  <c r="R82" i="67"/>
  <c r="R74" i="67"/>
  <c r="R66" i="67"/>
  <c r="R58" i="67"/>
  <c r="R50" i="67"/>
  <c r="R42" i="67"/>
  <c r="R34" i="67"/>
  <c r="R26" i="67"/>
  <c r="R18" i="67"/>
  <c r="R10" i="67"/>
  <c r="R255" i="67"/>
  <c r="R251" i="67"/>
  <c r="R247" i="67"/>
  <c r="R243" i="67"/>
  <c r="R239" i="67"/>
  <c r="R235" i="67"/>
  <c r="R231" i="67"/>
  <c r="R227" i="67"/>
  <c r="R223" i="67"/>
  <c r="R219" i="67"/>
  <c r="R215" i="67"/>
  <c r="R211" i="67"/>
  <c r="R207" i="67"/>
  <c r="R203" i="67"/>
  <c r="R199" i="67"/>
  <c r="R195" i="67"/>
  <c r="R191" i="67"/>
  <c r="R187" i="67"/>
  <c r="R183" i="67"/>
  <c r="R179" i="67"/>
  <c r="R175" i="67"/>
  <c r="R171" i="67"/>
  <c r="R167" i="67"/>
  <c r="R163" i="67"/>
  <c r="R159" i="67"/>
  <c r="R155" i="67"/>
  <c r="R151" i="67"/>
  <c r="R147" i="67"/>
  <c r="R143" i="67"/>
  <c r="R139" i="67"/>
  <c r="R135" i="67"/>
  <c r="R131" i="67"/>
  <c r="R127" i="67"/>
  <c r="R123" i="67"/>
  <c r="R119" i="67"/>
  <c r="R115" i="67"/>
  <c r="R111" i="67"/>
  <c r="R107" i="67"/>
  <c r="R103" i="67"/>
  <c r="R99" i="67"/>
  <c r="R95" i="67"/>
  <c r="R91" i="67"/>
  <c r="R87" i="67"/>
  <c r="R83" i="67"/>
  <c r="R79" i="67"/>
  <c r="R75" i="67"/>
  <c r="R71" i="67"/>
  <c r="R67" i="67"/>
  <c r="R63" i="67"/>
  <c r="R59" i="67"/>
  <c r="R55" i="67"/>
  <c r="R51" i="67"/>
  <c r="R47" i="67"/>
  <c r="R43" i="67"/>
  <c r="R39" i="67"/>
  <c r="R35" i="67"/>
  <c r="R31" i="67"/>
  <c r="R27" i="67"/>
  <c r="R23" i="67"/>
  <c r="R19" i="67"/>
  <c r="R15" i="67"/>
  <c r="R257" i="67"/>
  <c r="R249" i="67"/>
  <c r="R241" i="67"/>
  <c r="R233" i="67"/>
  <c r="R225" i="67"/>
  <c r="R217" i="67"/>
  <c r="R209" i="67"/>
  <c r="R201" i="67"/>
  <c r="R193" i="67"/>
  <c r="R185" i="67"/>
  <c r="R177" i="67"/>
  <c r="R169" i="67"/>
  <c r="R161" i="67"/>
  <c r="R153" i="67"/>
  <c r="R145" i="67"/>
  <c r="R137" i="67"/>
  <c r="R129" i="67"/>
  <c r="R121" i="67"/>
  <c r="R113" i="67"/>
  <c r="R105" i="67"/>
  <c r="R97" i="67"/>
  <c r="R89" i="67"/>
  <c r="R81" i="67"/>
  <c r="R73" i="67"/>
  <c r="R65" i="67"/>
  <c r="R57" i="67"/>
  <c r="R49" i="67"/>
  <c r="R41" i="67"/>
  <c r="R33" i="67"/>
  <c r="R252" i="67"/>
  <c r="R244" i="67"/>
  <c r="R236" i="67"/>
  <c r="R228" i="67"/>
  <c r="R220" i="67"/>
  <c r="R212" i="67"/>
  <c r="R204" i="67"/>
  <c r="R196" i="67"/>
  <c r="R188" i="67"/>
  <c r="R180" i="67"/>
  <c r="R172" i="67"/>
  <c r="R164" i="67"/>
  <c r="R156" i="67"/>
  <c r="R148" i="67"/>
  <c r="R140" i="67"/>
  <c r="R132" i="67"/>
  <c r="R124" i="67"/>
  <c r="R116" i="67"/>
  <c r="R108" i="67"/>
  <c r="R100" i="67"/>
  <c r="R92" i="67"/>
  <c r="R84" i="67"/>
  <c r="R76" i="67"/>
  <c r="R68" i="67"/>
  <c r="R60" i="67"/>
  <c r="R52" i="67"/>
  <c r="R44" i="67"/>
  <c r="R36" i="67"/>
  <c r="R28" i="67"/>
  <c r="R20" i="67"/>
  <c r="R12" i="67"/>
  <c r="R25" i="67"/>
  <c r="R17" i="67"/>
  <c r="AB259" i="68"/>
  <c r="AB258" i="68"/>
  <c r="AB257" i="68"/>
  <c r="AB256" i="68"/>
  <c r="AB255" i="68"/>
  <c r="AB254" i="68"/>
  <c r="AB253" i="68"/>
  <c r="AB252" i="68"/>
  <c r="AB251" i="68"/>
  <c r="AB250" i="68"/>
  <c r="AB249" i="68"/>
  <c r="AB248" i="68"/>
  <c r="AB247" i="68"/>
  <c r="AB246" i="68"/>
  <c r="AB245" i="68"/>
  <c r="AB244" i="68"/>
  <c r="AB243" i="68"/>
  <c r="AB242" i="68"/>
  <c r="AB241" i="68"/>
  <c r="AB240" i="68"/>
  <c r="AB239" i="68"/>
  <c r="AB238" i="68"/>
  <c r="AB237" i="68"/>
  <c r="AB236" i="68"/>
  <c r="AB235" i="68"/>
  <c r="AB234" i="68"/>
  <c r="AB233" i="68"/>
  <c r="AB232" i="68"/>
  <c r="AB231" i="68"/>
  <c r="AB230" i="68"/>
  <c r="AB229" i="68"/>
  <c r="AB228" i="68"/>
  <c r="AB227" i="68"/>
  <c r="AB226" i="68"/>
  <c r="AB225" i="68"/>
  <c r="AB224" i="68"/>
  <c r="AB223" i="68"/>
  <c r="AB222" i="68"/>
  <c r="AB221" i="68"/>
  <c r="AB220" i="68"/>
  <c r="AB219" i="68"/>
  <c r="AB218" i="68"/>
  <c r="AB217" i="68"/>
  <c r="AB216" i="68"/>
  <c r="AB215" i="68"/>
  <c r="AB214" i="68"/>
  <c r="AB213" i="68"/>
  <c r="AB212" i="68"/>
  <c r="AB211" i="68"/>
  <c r="AB210" i="68"/>
  <c r="AB209" i="68"/>
  <c r="AB208" i="68"/>
  <c r="AB207" i="68"/>
  <c r="AB206" i="68"/>
  <c r="AB205" i="68"/>
  <c r="AB204" i="68"/>
  <c r="AB203" i="68"/>
  <c r="AB202" i="68"/>
  <c r="AB201" i="68"/>
  <c r="AB200" i="68"/>
  <c r="AB199" i="68"/>
  <c r="AB198" i="68"/>
  <c r="AB197" i="68"/>
  <c r="AB196" i="68"/>
  <c r="AB195" i="68"/>
  <c r="AB194" i="68"/>
  <c r="AB193" i="68"/>
  <c r="AB192" i="68"/>
  <c r="AB191" i="68"/>
  <c r="AB190" i="68"/>
  <c r="AB189" i="68"/>
  <c r="AB188" i="68"/>
  <c r="AB187" i="68"/>
  <c r="AB186" i="68"/>
  <c r="AB185" i="68"/>
  <c r="AB184" i="68"/>
  <c r="AB183" i="68"/>
  <c r="AB182" i="68"/>
  <c r="AB181" i="68"/>
  <c r="AB180" i="68"/>
  <c r="AB179" i="68"/>
  <c r="AB178" i="68"/>
  <c r="AB177" i="68"/>
  <c r="AB176" i="68"/>
  <c r="AB175" i="68"/>
  <c r="AB174" i="68"/>
  <c r="AB173" i="68"/>
  <c r="AB172" i="68"/>
  <c r="AB171" i="68"/>
  <c r="AB170" i="68"/>
  <c r="AB169" i="68"/>
  <c r="AB168" i="68"/>
  <c r="AB167" i="68"/>
  <c r="AB166" i="68"/>
  <c r="AB165" i="68"/>
  <c r="AB164" i="68"/>
  <c r="AB163" i="68"/>
  <c r="AB162" i="68"/>
  <c r="AB161" i="68"/>
  <c r="AB160" i="68"/>
  <c r="AB159" i="68"/>
  <c r="AB158" i="68"/>
  <c r="AB157" i="68"/>
  <c r="AB156" i="68"/>
  <c r="AB155" i="68"/>
  <c r="AB154" i="68"/>
  <c r="AB153" i="68"/>
  <c r="AB152" i="68"/>
  <c r="AB151" i="68"/>
  <c r="AB150" i="68"/>
  <c r="AB149" i="68"/>
  <c r="AB148" i="68"/>
  <c r="AB147" i="68"/>
  <c r="AB146" i="68"/>
  <c r="AB145" i="68"/>
  <c r="AB144" i="68"/>
  <c r="AB143" i="68"/>
  <c r="AB142" i="68"/>
  <c r="AB141" i="68"/>
  <c r="AB140" i="68"/>
  <c r="AB139" i="68"/>
  <c r="AB138" i="68"/>
  <c r="AB137" i="68"/>
  <c r="AB136" i="68"/>
  <c r="AB135" i="68"/>
  <c r="AB134" i="68"/>
  <c r="AB133" i="68"/>
  <c r="AB132" i="68"/>
  <c r="AB131" i="68"/>
  <c r="AB130" i="68"/>
  <c r="AB129" i="68"/>
  <c r="AB128" i="68"/>
  <c r="AB127" i="68"/>
  <c r="AB126" i="68"/>
  <c r="AB125" i="68"/>
  <c r="AB124" i="68"/>
  <c r="AB123" i="68"/>
  <c r="AB122" i="68"/>
  <c r="AB121" i="68"/>
  <c r="AB120" i="68"/>
  <c r="AB119" i="68"/>
  <c r="AB118" i="68"/>
  <c r="AB117" i="68"/>
  <c r="AB116" i="68"/>
  <c r="AB115" i="68"/>
  <c r="AB114" i="68"/>
  <c r="AB113" i="68"/>
  <c r="AB112" i="68"/>
  <c r="AB111" i="68"/>
  <c r="AB110" i="68"/>
  <c r="AB109" i="68"/>
  <c r="AB108" i="68"/>
  <c r="AB107" i="68"/>
  <c r="AB106" i="68"/>
  <c r="AB105" i="68"/>
  <c r="AB104" i="68"/>
  <c r="AB103" i="68"/>
  <c r="AB102" i="68"/>
  <c r="AB101" i="68"/>
  <c r="AB100" i="68"/>
  <c r="AB99" i="68"/>
  <c r="AB98" i="68"/>
  <c r="AB97" i="68"/>
  <c r="AB96" i="68"/>
  <c r="AB95" i="68"/>
  <c r="AB94" i="68"/>
  <c r="AB93" i="68"/>
  <c r="AB92" i="68"/>
  <c r="AB91" i="68"/>
  <c r="AB90" i="68"/>
  <c r="AB89" i="68"/>
  <c r="AB88" i="68"/>
  <c r="AB87" i="68"/>
  <c r="AB86" i="68"/>
  <c r="AB85" i="68"/>
  <c r="AB84" i="68"/>
  <c r="AB83" i="68"/>
  <c r="AB82" i="68"/>
  <c r="AB81" i="68"/>
  <c r="AB80" i="68"/>
  <c r="AB79" i="68"/>
  <c r="AB78" i="68"/>
  <c r="AB77" i="68"/>
  <c r="AB76" i="68"/>
  <c r="AB75" i="68"/>
  <c r="AB74" i="68"/>
  <c r="AB73" i="68"/>
  <c r="AB72" i="68"/>
  <c r="AB71" i="68"/>
  <c r="AB70" i="68"/>
  <c r="AB69" i="68"/>
  <c r="AB68" i="68"/>
  <c r="AB67" i="68"/>
  <c r="AB66" i="68"/>
  <c r="AB65" i="68"/>
  <c r="AB64" i="68"/>
  <c r="AB63" i="68"/>
  <c r="AB62" i="68"/>
  <c r="AB61" i="68"/>
  <c r="AB60" i="68"/>
  <c r="AB59" i="68"/>
  <c r="AB58" i="68"/>
  <c r="AB57" i="68"/>
  <c r="AB56" i="68"/>
  <c r="AB55" i="68"/>
  <c r="AB54" i="68"/>
  <c r="AB53" i="68"/>
  <c r="AB52" i="68"/>
  <c r="AB51" i="68"/>
  <c r="AB50" i="68"/>
  <c r="AB49" i="68"/>
  <c r="AB48" i="68"/>
  <c r="AB47" i="68"/>
  <c r="AB46" i="68"/>
  <c r="AB45" i="68"/>
  <c r="AB44" i="68"/>
  <c r="AB43" i="68"/>
  <c r="AB42" i="68"/>
  <c r="AB41" i="68"/>
  <c r="AB40" i="68"/>
  <c r="AB39" i="68"/>
  <c r="AB38" i="68"/>
  <c r="AB37" i="68"/>
  <c r="AB36" i="68"/>
  <c r="AB35" i="68"/>
  <c r="AB34" i="68"/>
  <c r="AB33" i="68"/>
  <c r="AB32" i="68"/>
  <c r="AB31" i="68"/>
  <c r="AB30" i="68"/>
  <c r="AB29" i="68"/>
  <c r="AB28" i="68"/>
  <c r="AB27" i="68"/>
  <c r="AB26" i="68"/>
  <c r="AB25" i="68"/>
  <c r="AB24" i="68"/>
  <c r="AB23" i="68"/>
  <c r="AB22" i="68"/>
  <c r="AB21" i="68"/>
  <c r="AB20" i="68"/>
  <c r="AB19" i="68"/>
  <c r="AB18" i="68"/>
  <c r="AB17" i="68"/>
  <c r="R256" i="67"/>
  <c r="R248" i="67"/>
  <c r="R240" i="67"/>
  <c r="R232" i="67"/>
  <c r="R224" i="67"/>
  <c r="R216" i="67"/>
  <c r="R208" i="67"/>
  <c r="R200" i="67"/>
  <c r="R192" i="67"/>
  <c r="R184" i="67"/>
  <c r="R176" i="67"/>
  <c r="R168" i="67"/>
  <c r="R160" i="67"/>
  <c r="R152" i="67"/>
  <c r="R144" i="67"/>
  <c r="R136" i="67"/>
  <c r="R128" i="67"/>
  <c r="R120" i="67"/>
  <c r="R112" i="67"/>
  <c r="R104" i="67"/>
  <c r="R96" i="67"/>
  <c r="R88" i="67"/>
  <c r="R80" i="67"/>
  <c r="R72" i="67"/>
  <c r="R64" i="67"/>
  <c r="R56" i="67"/>
  <c r="R48" i="67"/>
  <c r="R40" i="67"/>
  <c r="R32" i="67"/>
  <c r="R24" i="67"/>
  <c r="R16" i="67"/>
  <c r="R174" i="67"/>
  <c r="R166" i="67"/>
  <c r="R158" i="67"/>
  <c r="R150" i="67"/>
  <c r="R142" i="67"/>
  <c r="R134" i="67"/>
  <c r="R126" i="67"/>
  <c r="R118" i="67"/>
  <c r="R110" i="67"/>
  <c r="R102" i="67"/>
  <c r="R94" i="67"/>
  <c r="R86" i="67"/>
  <c r="R78" i="67"/>
  <c r="R70" i="67"/>
  <c r="R62" i="67"/>
  <c r="R54" i="67"/>
  <c r="T169" i="22" s="1"/>
  <c r="D183" i="36" s="1"/>
  <c r="H183" i="36" s="1"/>
  <c r="R46" i="67"/>
  <c r="R38" i="67"/>
  <c r="R30" i="67"/>
  <c r="R22" i="67"/>
  <c r="R14" i="67"/>
  <c r="R238" i="67"/>
  <c r="R214" i="67"/>
  <c r="R198" i="67"/>
  <c r="R190" i="67"/>
  <c r="R182" i="67"/>
  <c r="R253" i="67"/>
  <c r="R245" i="67"/>
  <c r="R237" i="67"/>
  <c r="R229" i="67"/>
  <c r="R221" i="67"/>
  <c r="R213" i="67"/>
  <c r="R205" i="67"/>
  <c r="R197" i="67"/>
  <c r="R189" i="67"/>
  <c r="R181" i="67"/>
  <c r="R173" i="67"/>
  <c r="R165" i="67"/>
  <c r="R157" i="67"/>
  <c r="R149" i="67"/>
  <c r="R141" i="67"/>
  <c r="R133" i="67"/>
  <c r="R125" i="67"/>
  <c r="R117" i="67"/>
  <c r="R109" i="67"/>
  <c r="R101" i="67"/>
  <c r="R93" i="67"/>
  <c r="R85" i="67"/>
  <c r="R77" i="67"/>
  <c r="R69" i="67"/>
  <c r="R61" i="67"/>
  <c r="R53" i="67"/>
  <c r="R45" i="67"/>
  <c r="R37" i="67"/>
  <c r="R29" i="67"/>
  <c r="R21" i="67"/>
  <c r="R246" i="67"/>
  <c r="R222" i="67"/>
  <c r="R254" i="67"/>
  <c r="R230" i="67"/>
  <c r="R206" i="67"/>
  <c r="R11" i="67"/>
  <c r="AB16" i="68"/>
  <c r="AB15" i="68"/>
  <c r="AB14" i="68"/>
  <c r="AB13" i="68"/>
  <c r="R13" i="67"/>
  <c r="L2" i="68"/>
  <c r="AG25" i="57"/>
  <c r="L25" i="57"/>
  <c r="AJ24" i="57"/>
  <c r="AP24" i="57"/>
  <c r="AH24" i="53"/>
  <c r="AT24" i="53"/>
  <c r="AG24" i="53"/>
  <c r="N25" i="57"/>
  <c r="N25" i="53"/>
  <c r="AD24" i="57"/>
  <c r="AD24" i="53"/>
  <c r="AK24" i="52" a="1"/>
  <c r="AK24" i="52" s="1"/>
  <c r="B26" i="53" s="1"/>
  <c r="O26" i="53" s="1"/>
  <c r="K25" i="57"/>
  <c r="J25" i="57"/>
  <c r="E25" i="57"/>
  <c r="P25" i="57"/>
  <c r="H25" i="57"/>
  <c r="F25" i="57"/>
  <c r="D25" i="57"/>
  <c r="G25" i="57"/>
  <c r="C25" i="57"/>
  <c r="M25" i="57" s="1"/>
  <c r="I25" i="57"/>
  <c r="Q24" i="53"/>
  <c r="Q24" i="57"/>
  <c r="T24" i="57" s="1"/>
  <c r="E25" i="53"/>
  <c r="C25" i="53"/>
  <c r="M25" i="53"/>
  <c r="K25" i="53"/>
  <c r="I25" i="53"/>
  <c r="G25" i="53"/>
  <c r="L25" i="53"/>
  <c r="F25" i="53"/>
  <c r="P25" i="53"/>
  <c r="J25" i="53"/>
  <c r="H25" i="53"/>
  <c r="D25" i="53"/>
  <c r="AK24" i="55" a="1"/>
  <c r="AK24" i="55" s="1"/>
  <c r="B26" i="57" s="1"/>
  <c r="O26" i="57" s="1"/>
  <c r="U40" i="65"/>
  <c r="Q40" i="65"/>
  <c r="R40" i="65"/>
  <c r="S40" i="65" s="1"/>
  <c r="U12" i="64"/>
  <c r="L258" i="64"/>
  <c r="O258" i="64" s="1"/>
  <c r="L259" i="64"/>
  <c r="O259" i="64" s="1"/>
  <c r="H13" i="64"/>
  <c r="H14" i="64"/>
  <c r="H15" i="64"/>
  <c r="H16" i="64"/>
  <c r="H17" i="64"/>
  <c r="H18" i="64"/>
  <c r="H19" i="64"/>
  <c r="H20" i="64"/>
  <c r="H21" i="64"/>
  <c r="H22" i="64"/>
  <c r="H23" i="64"/>
  <c r="H24" i="64"/>
  <c r="H25" i="64"/>
  <c r="H26" i="64"/>
  <c r="H27" i="64"/>
  <c r="H28" i="64"/>
  <c r="H29" i="64"/>
  <c r="H30" i="64"/>
  <c r="H31" i="64"/>
  <c r="H32" i="64"/>
  <c r="H33" i="64"/>
  <c r="H34" i="64"/>
  <c r="H35" i="64"/>
  <c r="H36" i="64"/>
  <c r="H37" i="64"/>
  <c r="H38" i="64"/>
  <c r="H39" i="64"/>
  <c r="H40" i="64"/>
  <c r="H41" i="64"/>
  <c r="H42" i="64"/>
  <c r="H43" i="64"/>
  <c r="H44" i="64"/>
  <c r="H45" i="64"/>
  <c r="H46" i="64"/>
  <c r="H47" i="64"/>
  <c r="H48" i="64"/>
  <c r="H49" i="64"/>
  <c r="H50" i="64"/>
  <c r="H51" i="64"/>
  <c r="H52" i="64"/>
  <c r="H53" i="64"/>
  <c r="H54" i="64"/>
  <c r="H55" i="64"/>
  <c r="H56" i="64"/>
  <c r="H57" i="64"/>
  <c r="H58" i="64"/>
  <c r="H59" i="64"/>
  <c r="H60" i="64"/>
  <c r="H61" i="64"/>
  <c r="H62" i="64"/>
  <c r="H63" i="64"/>
  <c r="H64" i="64"/>
  <c r="H65" i="64"/>
  <c r="H66" i="64"/>
  <c r="H67" i="64"/>
  <c r="H68" i="64"/>
  <c r="H69" i="64"/>
  <c r="H70" i="64"/>
  <c r="H71" i="64"/>
  <c r="H72" i="64"/>
  <c r="H73" i="64"/>
  <c r="H74" i="64"/>
  <c r="H75" i="64"/>
  <c r="H76" i="64"/>
  <c r="H77" i="64"/>
  <c r="H78" i="64"/>
  <c r="H79" i="64"/>
  <c r="H80" i="64"/>
  <c r="H81" i="64"/>
  <c r="H82" i="64"/>
  <c r="H83" i="64"/>
  <c r="H84" i="64"/>
  <c r="H85" i="64"/>
  <c r="H86" i="64"/>
  <c r="H87" i="64"/>
  <c r="H88" i="64"/>
  <c r="H89" i="64"/>
  <c r="H90" i="64"/>
  <c r="H91" i="64"/>
  <c r="H92" i="64"/>
  <c r="H93" i="64"/>
  <c r="H94" i="64"/>
  <c r="H95" i="64"/>
  <c r="H96" i="64"/>
  <c r="H97" i="64"/>
  <c r="H98" i="64"/>
  <c r="H99" i="64"/>
  <c r="H100" i="64"/>
  <c r="H101" i="64"/>
  <c r="H102" i="64"/>
  <c r="H103" i="64"/>
  <c r="H104" i="64"/>
  <c r="H105" i="64"/>
  <c r="H106" i="64"/>
  <c r="H107" i="64"/>
  <c r="H108" i="64"/>
  <c r="H109" i="64"/>
  <c r="H110" i="64"/>
  <c r="H111" i="64"/>
  <c r="H112" i="64"/>
  <c r="H113" i="64"/>
  <c r="H114" i="64"/>
  <c r="H115" i="64"/>
  <c r="H116" i="64"/>
  <c r="H117" i="64"/>
  <c r="H118" i="64"/>
  <c r="H119" i="64"/>
  <c r="H120" i="64"/>
  <c r="H121" i="64"/>
  <c r="H122" i="64"/>
  <c r="H123" i="64"/>
  <c r="H124" i="64"/>
  <c r="H125" i="64"/>
  <c r="H126" i="64"/>
  <c r="H127" i="64"/>
  <c r="H128" i="64"/>
  <c r="H129" i="64"/>
  <c r="H130" i="64"/>
  <c r="H131" i="64"/>
  <c r="H132" i="64"/>
  <c r="H133" i="64"/>
  <c r="H134" i="64"/>
  <c r="H135" i="64"/>
  <c r="H136" i="64"/>
  <c r="H137" i="64"/>
  <c r="H138" i="64"/>
  <c r="H139" i="64"/>
  <c r="H140" i="64"/>
  <c r="H141" i="64"/>
  <c r="H142" i="64"/>
  <c r="H143" i="64"/>
  <c r="H144" i="64"/>
  <c r="H145" i="64"/>
  <c r="H146" i="64"/>
  <c r="H147" i="64"/>
  <c r="H148" i="64"/>
  <c r="H149" i="64"/>
  <c r="H150" i="64"/>
  <c r="H151" i="64"/>
  <c r="H152" i="64"/>
  <c r="H153" i="64"/>
  <c r="H154" i="64"/>
  <c r="H155" i="64"/>
  <c r="H156" i="64"/>
  <c r="H157" i="64"/>
  <c r="H158" i="64"/>
  <c r="H159" i="64"/>
  <c r="H160" i="64"/>
  <c r="H161" i="64"/>
  <c r="H162" i="64"/>
  <c r="H163" i="64"/>
  <c r="H164" i="64"/>
  <c r="H165" i="64"/>
  <c r="H166" i="64"/>
  <c r="H167" i="64"/>
  <c r="H168" i="64"/>
  <c r="H169" i="64"/>
  <c r="H170" i="64"/>
  <c r="H171" i="64"/>
  <c r="H172" i="64"/>
  <c r="H173" i="64"/>
  <c r="H174" i="64"/>
  <c r="H175" i="64"/>
  <c r="H176" i="64"/>
  <c r="H177" i="64"/>
  <c r="H178" i="64"/>
  <c r="H179" i="64"/>
  <c r="H180" i="64"/>
  <c r="H181" i="64"/>
  <c r="H182" i="64"/>
  <c r="H183" i="64"/>
  <c r="H184" i="64"/>
  <c r="H185" i="64"/>
  <c r="H186" i="64"/>
  <c r="H187" i="64"/>
  <c r="H188" i="64"/>
  <c r="H189" i="64"/>
  <c r="H190" i="64"/>
  <c r="H191" i="64"/>
  <c r="H192" i="64"/>
  <c r="H193" i="64"/>
  <c r="H194" i="64"/>
  <c r="H195" i="64"/>
  <c r="H196" i="64"/>
  <c r="H197" i="64"/>
  <c r="H198" i="64"/>
  <c r="H199" i="64"/>
  <c r="H200" i="64"/>
  <c r="H201" i="64"/>
  <c r="H202" i="64"/>
  <c r="H203" i="64"/>
  <c r="H204" i="64"/>
  <c r="H205" i="64"/>
  <c r="H206" i="64"/>
  <c r="H207" i="64"/>
  <c r="H208" i="64"/>
  <c r="H209" i="64"/>
  <c r="H210" i="64"/>
  <c r="H211" i="64"/>
  <c r="H212" i="64"/>
  <c r="H213" i="64"/>
  <c r="H214" i="64"/>
  <c r="H215" i="64"/>
  <c r="H216" i="64"/>
  <c r="H217" i="64"/>
  <c r="H218" i="64"/>
  <c r="H219" i="64"/>
  <c r="H220" i="64"/>
  <c r="H221" i="64"/>
  <c r="H222" i="64"/>
  <c r="H223" i="64"/>
  <c r="H224" i="64"/>
  <c r="H225" i="64"/>
  <c r="H226" i="64"/>
  <c r="H227" i="64"/>
  <c r="H228" i="64"/>
  <c r="H229" i="64"/>
  <c r="H230" i="64"/>
  <c r="H231" i="64"/>
  <c r="H232" i="64"/>
  <c r="H233" i="64"/>
  <c r="H234" i="64"/>
  <c r="H235" i="64"/>
  <c r="H236" i="64"/>
  <c r="H237" i="64"/>
  <c r="H238" i="64"/>
  <c r="H239" i="64"/>
  <c r="H240" i="64"/>
  <c r="H241" i="64"/>
  <c r="H242" i="64"/>
  <c r="H243" i="64"/>
  <c r="H244" i="64"/>
  <c r="H245" i="64"/>
  <c r="H246" i="64"/>
  <c r="H247" i="64"/>
  <c r="H248" i="64"/>
  <c r="H249" i="64"/>
  <c r="H250" i="64"/>
  <c r="H251" i="64"/>
  <c r="H252" i="64"/>
  <c r="H253" i="64"/>
  <c r="H254" i="64"/>
  <c r="H255" i="64"/>
  <c r="H256" i="64"/>
  <c r="H257" i="64"/>
  <c r="H258" i="64"/>
  <c r="H259" i="64"/>
  <c r="H12" i="64"/>
  <c r="E13" i="64"/>
  <c r="E14" i="64"/>
  <c r="E15" i="64"/>
  <c r="E16" i="64"/>
  <c r="E17" i="64"/>
  <c r="E18" i="64"/>
  <c r="E19" i="64"/>
  <c r="E20" i="64"/>
  <c r="E21" i="64"/>
  <c r="E22" i="64"/>
  <c r="E23" i="64"/>
  <c r="E24" i="64"/>
  <c r="E25" i="64"/>
  <c r="E26" i="64"/>
  <c r="E27" i="64"/>
  <c r="E28" i="64"/>
  <c r="E29" i="64"/>
  <c r="E30" i="64"/>
  <c r="E31" i="64"/>
  <c r="E32" i="64"/>
  <c r="E33" i="64"/>
  <c r="E34" i="64"/>
  <c r="E35" i="64"/>
  <c r="E36" i="64"/>
  <c r="E37" i="64"/>
  <c r="E38" i="64"/>
  <c r="E39" i="64"/>
  <c r="E40" i="64"/>
  <c r="E41" i="64"/>
  <c r="E42" i="64"/>
  <c r="E43" i="64"/>
  <c r="E44" i="64"/>
  <c r="E45" i="64"/>
  <c r="E46" i="64"/>
  <c r="E47" i="64"/>
  <c r="E48" i="64"/>
  <c r="E49" i="64"/>
  <c r="E50" i="64"/>
  <c r="E51" i="64"/>
  <c r="E52" i="64"/>
  <c r="E53" i="64"/>
  <c r="E54" i="64"/>
  <c r="E55" i="64"/>
  <c r="E56" i="64"/>
  <c r="E57" i="64"/>
  <c r="E58" i="64"/>
  <c r="E59" i="64"/>
  <c r="E60" i="64"/>
  <c r="E61" i="64"/>
  <c r="E62" i="64"/>
  <c r="E63" i="64"/>
  <c r="E64" i="64"/>
  <c r="E65" i="64"/>
  <c r="E66" i="64"/>
  <c r="E67" i="64"/>
  <c r="E68" i="64"/>
  <c r="E69" i="64"/>
  <c r="E70" i="64"/>
  <c r="E71" i="64"/>
  <c r="E72" i="64"/>
  <c r="E73" i="64"/>
  <c r="E74" i="64"/>
  <c r="E75" i="64"/>
  <c r="E76" i="64"/>
  <c r="E77" i="64"/>
  <c r="E78" i="64"/>
  <c r="E79" i="64"/>
  <c r="E80" i="64"/>
  <c r="E81" i="64"/>
  <c r="E82" i="64"/>
  <c r="E83" i="64"/>
  <c r="E84" i="64"/>
  <c r="E85" i="64"/>
  <c r="E86" i="64"/>
  <c r="E87" i="64"/>
  <c r="E88" i="64"/>
  <c r="E89" i="64"/>
  <c r="E90" i="64"/>
  <c r="E91" i="64"/>
  <c r="E92" i="64"/>
  <c r="E93" i="64"/>
  <c r="E94" i="64"/>
  <c r="E95" i="64"/>
  <c r="E96" i="64"/>
  <c r="E97" i="64"/>
  <c r="E98" i="64"/>
  <c r="E99" i="64"/>
  <c r="E100" i="64"/>
  <c r="E101" i="64"/>
  <c r="E102" i="64"/>
  <c r="E103" i="64"/>
  <c r="E104" i="64"/>
  <c r="E105" i="64"/>
  <c r="E106" i="64"/>
  <c r="E107" i="64"/>
  <c r="E108" i="64"/>
  <c r="E109" i="64"/>
  <c r="E110" i="64"/>
  <c r="E111" i="64"/>
  <c r="E112" i="64"/>
  <c r="E113" i="64"/>
  <c r="E114" i="64"/>
  <c r="E115" i="64"/>
  <c r="E116" i="64"/>
  <c r="E117" i="64"/>
  <c r="E118" i="64"/>
  <c r="E119" i="64"/>
  <c r="E120" i="64"/>
  <c r="E121" i="64"/>
  <c r="E122" i="64"/>
  <c r="E123" i="64"/>
  <c r="E124" i="64"/>
  <c r="E125" i="64"/>
  <c r="E126" i="64"/>
  <c r="E127" i="64"/>
  <c r="E128" i="64"/>
  <c r="E129" i="64"/>
  <c r="E130" i="64"/>
  <c r="E131" i="64"/>
  <c r="E132" i="64"/>
  <c r="E133" i="64"/>
  <c r="E134" i="64"/>
  <c r="E135" i="64"/>
  <c r="E136" i="64"/>
  <c r="E137" i="64"/>
  <c r="E138" i="64"/>
  <c r="E139" i="64"/>
  <c r="E140" i="64"/>
  <c r="E141" i="64"/>
  <c r="E142" i="64"/>
  <c r="E143" i="64"/>
  <c r="E144" i="64"/>
  <c r="E145" i="64"/>
  <c r="E146" i="64"/>
  <c r="E147" i="64"/>
  <c r="E148" i="64"/>
  <c r="E149" i="64"/>
  <c r="E150" i="64"/>
  <c r="E151" i="64"/>
  <c r="E152" i="64"/>
  <c r="E153" i="64"/>
  <c r="E154" i="64"/>
  <c r="E155" i="64"/>
  <c r="E156" i="64"/>
  <c r="E157" i="64"/>
  <c r="E158" i="64"/>
  <c r="E159" i="64"/>
  <c r="E160" i="64"/>
  <c r="E161" i="64"/>
  <c r="E162" i="64"/>
  <c r="E163" i="64"/>
  <c r="E164" i="64"/>
  <c r="E165" i="64"/>
  <c r="E166" i="64"/>
  <c r="E167" i="64"/>
  <c r="E168" i="64"/>
  <c r="E169" i="64"/>
  <c r="E170" i="64"/>
  <c r="E171" i="64"/>
  <c r="E172" i="64"/>
  <c r="E173" i="64"/>
  <c r="E174" i="64"/>
  <c r="E175" i="64"/>
  <c r="E176" i="64"/>
  <c r="E177" i="64"/>
  <c r="E178" i="64"/>
  <c r="E179" i="64"/>
  <c r="E180" i="64"/>
  <c r="E181" i="64"/>
  <c r="E182" i="64"/>
  <c r="E183" i="64"/>
  <c r="E184" i="64"/>
  <c r="E185" i="64"/>
  <c r="E186" i="64"/>
  <c r="E187" i="64"/>
  <c r="E188" i="64"/>
  <c r="E189" i="64"/>
  <c r="E190" i="64"/>
  <c r="E191" i="64"/>
  <c r="E192" i="64"/>
  <c r="E193" i="64"/>
  <c r="E194" i="64"/>
  <c r="E195" i="64"/>
  <c r="E196" i="64"/>
  <c r="E197" i="64"/>
  <c r="E198" i="64"/>
  <c r="E199" i="64"/>
  <c r="E200" i="64"/>
  <c r="E201" i="64"/>
  <c r="E202" i="64"/>
  <c r="E203" i="64"/>
  <c r="E204" i="64"/>
  <c r="E205" i="64"/>
  <c r="E206" i="64"/>
  <c r="E207" i="64"/>
  <c r="E208" i="64"/>
  <c r="E209" i="64"/>
  <c r="E210" i="64"/>
  <c r="E211" i="64"/>
  <c r="E212" i="64"/>
  <c r="E213" i="64"/>
  <c r="E214" i="64"/>
  <c r="E215" i="64"/>
  <c r="E216" i="64"/>
  <c r="E217" i="64"/>
  <c r="E218" i="64"/>
  <c r="E219" i="64"/>
  <c r="E220" i="64"/>
  <c r="E221" i="64"/>
  <c r="E222" i="64"/>
  <c r="E223" i="64"/>
  <c r="E224" i="64"/>
  <c r="E225" i="64"/>
  <c r="E226" i="64"/>
  <c r="E227" i="64"/>
  <c r="E228" i="64"/>
  <c r="E229" i="64"/>
  <c r="E230" i="64"/>
  <c r="E231" i="64"/>
  <c r="E232" i="64"/>
  <c r="E233" i="64"/>
  <c r="E234" i="64"/>
  <c r="E235" i="64"/>
  <c r="E236" i="64"/>
  <c r="E237" i="64"/>
  <c r="E238" i="64"/>
  <c r="E239" i="64"/>
  <c r="E240" i="64"/>
  <c r="E241" i="64"/>
  <c r="E242" i="64"/>
  <c r="E243" i="64"/>
  <c r="E244" i="64"/>
  <c r="E245" i="64"/>
  <c r="E246" i="64"/>
  <c r="E247" i="64"/>
  <c r="E248" i="64"/>
  <c r="E249" i="64"/>
  <c r="E250" i="64"/>
  <c r="E251" i="64"/>
  <c r="E252" i="64"/>
  <c r="E253" i="64"/>
  <c r="E254" i="64"/>
  <c r="E255" i="64"/>
  <c r="E256" i="64"/>
  <c r="E257" i="64"/>
  <c r="E258" i="64"/>
  <c r="F258" i="64" s="1"/>
  <c r="E259" i="64"/>
  <c r="F259" i="64" s="1"/>
  <c r="E12" i="64"/>
  <c r="Q11" i="63"/>
  <c r="Q12" i="63"/>
  <c r="Q13" i="63"/>
  <c r="Q15" i="63"/>
  <c r="Q16" i="63"/>
  <c r="Q17" i="63"/>
  <c r="Q18" i="63"/>
  <c r="Q19" i="63"/>
  <c r="Q20" i="63"/>
  <c r="Q21" i="63"/>
  <c r="Q22" i="63"/>
  <c r="Q23" i="63"/>
  <c r="Q24" i="63"/>
  <c r="Q25" i="63"/>
  <c r="Q26" i="63"/>
  <c r="Q27" i="63"/>
  <c r="Q28" i="63"/>
  <c r="Q29" i="63"/>
  <c r="Q30" i="63"/>
  <c r="Q31" i="63"/>
  <c r="Q32" i="63"/>
  <c r="Q33" i="63"/>
  <c r="Q34" i="63"/>
  <c r="Q35" i="63"/>
  <c r="Q36" i="63"/>
  <c r="Q37" i="63"/>
  <c r="Q38" i="63"/>
  <c r="Q39" i="63"/>
  <c r="Q40" i="63"/>
  <c r="Q41" i="63"/>
  <c r="Q42" i="63"/>
  <c r="Q43" i="63"/>
  <c r="Q44" i="63"/>
  <c r="Q45" i="63"/>
  <c r="Q46" i="63"/>
  <c r="Q47" i="63"/>
  <c r="Q48" i="63"/>
  <c r="Q49" i="63"/>
  <c r="Q50" i="63"/>
  <c r="Q51" i="63"/>
  <c r="Q52" i="63"/>
  <c r="Q53" i="63"/>
  <c r="Q54" i="63"/>
  <c r="Q55" i="63"/>
  <c r="Q56" i="63"/>
  <c r="Q57" i="63"/>
  <c r="Q58" i="63"/>
  <c r="Q59" i="63"/>
  <c r="Q60" i="63"/>
  <c r="Q61" i="63"/>
  <c r="Q62" i="63"/>
  <c r="Q63" i="63"/>
  <c r="Q64" i="63"/>
  <c r="Q65" i="63"/>
  <c r="Q66" i="63"/>
  <c r="Q67" i="63"/>
  <c r="Q68" i="63"/>
  <c r="Q69" i="63"/>
  <c r="Q70" i="63"/>
  <c r="Q71" i="63"/>
  <c r="Q72" i="63"/>
  <c r="Q73" i="63"/>
  <c r="Q74" i="63"/>
  <c r="Q75" i="63"/>
  <c r="Q76" i="63"/>
  <c r="Q77" i="63"/>
  <c r="Q78" i="63"/>
  <c r="Q79" i="63"/>
  <c r="Q80" i="63"/>
  <c r="Q81" i="63"/>
  <c r="Q82" i="63"/>
  <c r="Q83" i="63"/>
  <c r="Q84" i="63"/>
  <c r="Q85" i="63"/>
  <c r="Q86" i="63"/>
  <c r="Q87" i="63"/>
  <c r="Q88" i="63"/>
  <c r="Q89" i="63"/>
  <c r="Q90" i="63"/>
  <c r="Q91" i="63"/>
  <c r="Q92" i="63"/>
  <c r="Q93" i="63"/>
  <c r="Q94" i="63"/>
  <c r="Q95" i="63"/>
  <c r="Q96" i="63"/>
  <c r="Q97" i="63"/>
  <c r="Q98" i="63"/>
  <c r="Q99" i="63"/>
  <c r="Q100" i="63"/>
  <c r="Q101" i="63"/>
  <c r="Q102" i="63"/>
  <c r="Q103" i="63"/>
  <c r="Q104" i="63"/>
  <c r="Q105" i="63"/>
  <c r="Q106" i="63"/>
  <c r="Q107" i="63"/>
  <c r="Q108" i="63"/>
  <c r="Q109" i="63"/>
  <c r="Q110" i="63"/>
  <c r="Q111" i="63"/>
  <c r="Q112" i="63"/>
  <c r="Q113" i="63"/>
  <c r="Q114" i="63"/>
  <c r="Q115" i="63"/>
  <c r="Q116" i="63"/>
  <c r="Q117" i="63"/>
  <c r="Q118" i="63"/>
  <c r="Q119" i="63"/>
  <c r="Q120" i="63"/>
  <c r="Q121" i="63"/>
  <c r="Q122" i="63"/>
  <c r="Q123" i="63"/>
  <c r="Q124" i="63"/>
  <c r="Q125" i="63"/>
  <c r="Q126" i="63"/>
  <c r="Q127" i="63"/>
  <c r="Q128" i="63"/>
  <c r="Q129" i="63"/>
  <c r="Q130" i="63"/>
  <c r="Q131" i="63"/>
  <c r="Q132" i="63"/>
  <c r="Q133" i="63"/>
  <c r="Q134" i="63"/>
  <c r="Q135" i="63"/>
  <c r="Q136" i="63"/>
  <c r="Q137" i="63"/>
  <c r="Q138" i="63"/>
  <c r="Q139" i="63"/>
  <c r="Q140" i="63"/>
  <c r="Q141" i="63"/>
  <c r="Q142" i="63"/>
  <c r="Q143" i="63"/>
  <c r="Q144" i="63"/>
  <c r="Q145" i="63"/>
  <c r="Q146" i="63"/>
  <c r="Q147" i="63"/>
  <c r="Q148" i="63"/>
  <c r="Q149" i="63"/>
  <c r="Q150" i="63"/>
  <c r="Q151" i="63"/>
  <c r="Q152" i="63"/>
  <c r="Q153" i="63"/>
  <c r="Q154" i="63"/>
  <c r="Q155" i="63"/>
  <c r="Q156" i="63"/>
  <c r="Q157" i="63"/>
  <c r="Q158" i="63"/>
  <c r="Q159" i="63"/>
  <c r="Q160" i="63"/>
  <c r="Q161" i="63"/>
  <c r="Q162" i="63"/>
  <c r="Q163" i="63"/>
  <c r="Q164" i="63"/>
  <c r="Q165" i="63"/>
  <c r="Q166" i="63"/>
  <c r="Q167" i="63"/>
  <c r="Q168" i="63"/>
  <c r="Q169" i="63"/>
  <c r="Q170" i="63"/>
  <c r="Q171" i="63"/>
  <c r="Q172" i="63"/>
  <c r="Q173" i="63"/>
  <c r="Q174" i="63"/>
  <c r="Q175" i="63"/>
  <c r="Q176" i="63"/>
  <c r="Q177" i="63"/>
  <c r="Q178" i="63"/>
  <c r="Q179" i="63"/>
  <c r="Q180" i="63"/>
  <c r="Q181" i="63"/>
  <c r="Q182" i="63"/>
  <c r="Q183" i="63"/>
  <c r="Q184" i="63"/>
  <c r="Q185" i="63"/>
  <c r="Q186" i="63"/>
  <c r="Q187" i="63"/>
  <c r="Q188" i="63"/>
  <c r="Q189" i="63"/>
  <c r="Q190" i="63"/>
  <c r="Q191" i="63"/>
  <c r="Q192" i="63"/>
  <c r="Q193" i="63"/>
  <c r="Q194" i="63"/>
  <c r="Q195" i="63"/>
  <c r="Q196" i="63"/>
  <c r="Q197" i="63"/>
  <c r="Q198" i="63"/>
  <c r="Q199" i="63"/>
  <c r="Q200" i="63"/>
  <c r="Q201" i="63"/>
  <c r="Q202" i="63"/>
  <c r="Q203" i="63"/>
  <c r="Q204" i="63"/>
  <c r="Q205" i="63"/>
  <c r="Q206" i="63"/>
  <c r="Q207" i="63"/>
  <c r="Q208" i="63"/>
  <c r="Q209" i="63"/>
  <c r="Q210" i="63"/>
  <c r="Q211" i="63"/>
  <c r="Q212" i="63"/>
  <c r="Q213" i="63"/>
  <c r="Q214" i="63"/>
  <c r="Q215" i="63"/>
  <c r="Q216" i="63"/>
  <c r="Q217" i="63"/>
  <c r="Q218" i="63"/>
  <c r="Q219" i="63"/>
  <c r="Q220" i="63"/>
  <c r="Q221" i="63"/>
  <c r="Q222" i="63"/>
  <c r="Q223" i="63"/>
  <c r="Q224" i="63"/>
  <c r="Q225" i="63"/>
  <c r="Q226" i="63"/>
  <c r="Q227" i="63"/>
  <c r="Q228" i="63"/>
  <c r="Q229" i="63"/>
  <c r="Q230" i="63"/>
  <c r="Q231" i="63"/>
  <c r="Q232" i="63"/>
  <c r="Q233" i="63"/>
  <c r="Q234" i="63"/>
  <c r="Q235" i="63"/>
  <c r="Q236" i="63"/>
  <c r="Q237" i="63"/>
  <c r="Q238" i="63"/>
  <c r="Q239" i="63"/>
  <c r="Q240" i="63"/>
  <c r="Q241" i="63"/>
  <c r="Q242" i="63"/>
  <c r="Q243" i="63"/>
  <c r="Q244" i="63"/>
  <c r="Q245" i="63"/>
  <c r="Q246" i="63"/>
  <c r="Q247" i="63"/>
  <c r="Q248" i="63"/>
  <c r="Q249" i="63"/>
  <c r="Q250" i="63"/>
  <c r="Q251" i="63"/>
  <c r="Q252" i="63"/>
  <c r="Q253" i="63"/>
  <c r="Q254" i="63"/>
  <c r="Q255" i="63"/>
  <c r="Q256" i="63"/>
  <c r="Q257" i="63"/>
  <c r="Q10" i="63"/>
  <c r="I11" i="63"/>
  <c r="I12" i="63"/>
  <c r="I13" i="63"/>
  <c r="I15" i="63"/>
  <c r="I16" i="63"/>
  <c r="I17" i="63"/>
  <c r="I18" i="63"/>
  <c r="I19" i="63"/>
  <c r="I20" i="63"/>
  <c r="I21" i="63"/>
  <c r="I22" i="63"/>
  <c r="I23" i="63"/>
  <c r="I24" i="63"/>
  <c r="I25" i="63"/>
  <c r="I26" i="63"/>
  <c r="I27" i="63"/>
  <c r="I28" i="63"/>
  <c r="I29" i="63"/>
  <c r="I30" i="63"/>
  <c r="I31" i="63"/>
  <c r="I32" i="63"/>
  <c r="I33" i="63"/>
  <c r="I34" i="63"/>
  <c r="I35" i="63"/>
  <c r="I36" i="63"/>
  <c r="I37" i="63"/>
  <c r="I38" i="63"/>
  <c r="I39" i="63"/>
  <c r="I40" i="63"/>
  <c r="I41" i="63"/>
  <c r="I42" i="63"/>
  <c r="I43" i="63"/>
  <c r="I44" i="63"/>
  <c r="I45" i="63"/>
  <c r="I46" i="63"/>
  <c r="I47" i="63"/>
  <c r="I48" i="63"/>
  <c r="I49" i="63"/>
  <c r="I50" i="63"/>
  <c r="I51" i="63"/>
  <c r="I52" i="63"/>
  <c r="I53" i="63"/>
  <c r="I54" i="63"/>
  <c r="I55" i="63"/>
  <c r="I56" i="63"/>
  <c r="I57" i="63"/>
  <c r="I58" i="63"/>
  <c r="I59" i="63"/>
  <c r="I60" i="63"/>
  <c r="I61" i="63"/>
  <c r="I62" i="63"/>
  <c r="I63" i="63"/>
  <c r="I64" i="63"/>
  <c r="I65" i="63"/>
  <c r="I66" i="63"/>
  <c r="I67" i="63"/>
  <c r="I68" i="63"/>
  <c r="I69" i="63"/>
  <c r="I70" i="63"/>
  <c r="I71" i="63"/>
  <c r="I72" i="63"/>
  <c r="I73" i="63"/>
  <c r="I74" i="63"/>
  <c r="I75" i="63"/>
  <c r="I76" i="63"/>
  <c r="I77" i="63"/>
  <c r="I78" i="63"/>
  <c r="I79" i="63"/>
  <c r="I80" i="63"/>
  <c r="I81" i="63"/>
  <c r="I82" i="63"/>
  <c r="I83" i="63"/>
  <c r="I84" i="63"/>
  <c r="I85" i="63"/>
  <c r="I86" i="63"/>
  <c r="I87" i="63"/>
  <c r="I88" i="63"/>
  <c r="I89" i="63"/>
  <c r="I90" i="63"/>
  <c r="I91" i="63"/>
  <c r="I92" i="63"/>
  <c r="I93" i="63"/>
  <c r="I94" i="63"/>
  <c r="I95" i="63"/>
  <c r="I96" i="63"/>
  <c r="I97" i="63"/>
  <c r="I98" i="63"/>
  <c r="I99" i="63"/>
  <c r="I100" i="63"/>
  <c r="I101" i="63"/>
  <c r="I102" i="63"/>
  <c r="I103" i="63"/>
  <c r="I104" i="63"/>
  <c r="I105" i="63"/>
  <c r="I106" i="63"/>
  <c r="I107" i="63"/>
  <c r="I108" i="63"/>
  <c r="I109" i="63"/>
  <c r="I110" i="63"/>
  <c r="I111" i="63"/>
  <c r="I112" i="63"/>
  <c r="I113" i="63"/>
  <c r="I114" i="63"/>
  <c r="I115" i="63"/>
  <c r="I116" i="63"/>
  <c r="I117" i="63"/>
  <c r="I118" i="63"/>
  <c r="I119" i="63"/>
  <c r="I120" i="63"/>
  <c r="I121" i="63"/>
  <c r="I122" i="63"/>
  <c r="I123" i="63"/>
  <c r="I124" i="63"/>
  <c r="I125" i="63"/>
  <c r="I126" i="63"/>
  <c r="I127" i="63"/>
  <c r="I128" i="63"/>
  <c r="I129" i="63"/>
  <c r="I130" i="63"/>
  <c r="I131" i="63"/>
  <c r="I132" i="63"/>
  <c r="I133" i="63"/>
  <c r="I134" i="63"/>
  <c r="I135" i="63"/>
  <c r="I136" i="63"/>
  <c r="I137" i="63"/>
  <c r="I138" i="63"/>
  <c r="I139" i="63"/>
  <c r="I140" i="63"/>
  <c r="I141" i="63"/>
  <c r="I142" i="63"/>
  <c r="I143" i="63"/>
  <c r="I144" i="63"/>
  <c r="I145" i="63"/>
  <c r="I146" i="63"/>
  <c r="I147" i="63"/>
  <c r="I148" i="63"/>
  <c r="I149" i="63"/>
  <c r="I150" i="63"/>
  <c r="I151" i="63"/>
  <c r="I152" i="63"/>
  <c r="I153" i="63"/>
  <c r="I154" i="63"/>
  <c r="I155" i="63"/>
  <c r="I156" i="63"/>
  <c r="I157" i="63"/>
  <c r="I158" i="63"/>
  <c r="I159" i="63"/>
  <c r="I160" i="63"/>
  <c r="I161" i="63"/>
  <c r="I162" i="63"/>
  <c r="I163" i="63"/>
  <c r="I164" i="63"/>
  <c r="I165" i="63"/>
  <c r="I166" i="63"/>
  <c r="I167" i="63"/>
  <c r="I168" i="63"/>
  <c r="I169" i="63"/>
  <c r="I170" i="63"/>
  <c r="I171" i="63"/>
  <c r="I172" i="63"/>
  <c r="I173" i="63"/>
  <c r="I174" i="63"/>
  <c r="I175" i="63"/>
  <c r="I176" i="63"/>
  <c r="I177" i="63"/>
  <c r="I178" i="63"/>
  <c r="I179" i="63"/>
  <c r="I180" i="63"/>
  <c r="I181" i="63"/>
  <c r="I182" i="63"/>
  <c r="I183" i="63"/>
  <c r="I184" i="63"/>
  <c r="I185" i="63"/>
  <c r="I186" i="63"/>
  <c r="I187" i="63"/>
  <c r="I188" i="63"/>
  <c r="I189" i="63"/>
  <c r="I190" i="63"/>
  <c r="I191" i="63"/>
  <c r="I192" i="63"/>
  <c r="I193" i="63"/>
  <c r="I194" i="63"/>
  <c r="I195" i="63"/>
  <c r="I196" i="63"/>
  <c r="I197" i="63"/>
  <c r="I198" i="63"/>
  <c r="I199" i="63"/>
  <c r="I200" i="63"/>
  <c r="I201" i="63"/>
  <c r="I202" i="63"/>
  <c r="I203" i="63"/>
  <c r="I204" i="63"/>
  <c r="I205" i="63"/>
  <c r="I206" i="63"/>
  <c r="I207" i="63"/>
  <c r="I208" i="63"/>
  <c r="I209" i="63"/>
  <c r="I210" i="63"/>
  <c r="I211" i="63"/>
  <c r="I212" i="63"/>
  <c r="I213" i="63"/>
  <c r="I214" i="63"/>
  <c r="I215" i="63"/>
  <c r="I216" i="63"/>
  <c r="I217" i="63"/>
  <c r="I218" i="63"/>
  <c r="I219" i="63"/>
  <c r="I220" i="63"/>
  <c r="I221" i="63"/>
  <c r="I222" i="63"/>
  <c r="I223" i="63"/>
  <c r="I224" i="63"/>
  <c r="I225" i="63"/>
  <c r="I226" i="63"/>
  <c r="I227" i="63"/>
  <c r="I228" i="63"/>
  <c r="I229" i="63"/>
  <c r="I230" i="63"/>
  <c r="I231" i="63"/>
  <c r="I232" i="63"/>
  <c r="I233" i="63"/>
  <c r="I234" i="63"/>
  <c r="I235" i="63"/>
  <c r="I236" i="63"/>
  <c r="I237" i="63"/>
  <c r="I238" i="63"/>
  <c r="I239" i="63"/>
  <c r="I240" i="63"/>
  <c r="I241" i="63"/>
  <c r="I242" i="63"/>
  <c r="I243" i="63"/>
  <c r="I244" i="63"/>
  <c r="I245" i="63"/>
  <c r="I246" i="63"/>
  <c r="I247" i="63"/>
  <c r="I248" i="63"/>
  <c r="I249" i="63"/>
  <c r="I250" i="63"/>
  <c r="I251" i="63"/>
  <c r="I252" i="63"/>
  <c r="I253" i="63"/>
  <c r="I254" i="63"/>
  <c r="I255" i="63"/>
  <c r="I256" i="63"/>
  <c r="I257" i="63"/>
  <c r="I10" i="63"/>
  <c r="F11" i="63"/>
  <c r="G11" i="63" s="1"/>
  <c r="F12" i="63"/>
  <c r="G12" i="63" s="1"/>
  <c r="F13" i="63"/>
  <c r="G13" i="63" s="1"/>
  <c r="F15" i="63"/>
  <c r="G15" i="63" s="1"/>
  <c r="F16" i="63"/>
  <c r="G16" i="63" s="1"/>
  <c r="F17" i="63"/>
  <c r="G17" i="63" s="1"/>
  <c r="F18" i="63"/>
  <c r="G18" i="63" s="1"/>
  <c r="F19" i="63"/>
  <c r="G19" i="63" s="1"/>
  <c r="F20" i="63"/>
  <c r="G20" i="63" s="1"/>
  <c r="F21" i="63"/>
  <c r="G21" i="63" s="1"/>
  <c r="F22" i="63"/>
  <c r="G22" i="63" s="1"/>
  <c r="F23" i="63"/>
  <c r="G23" i="63" s="1"/>
  <c r="F24" i="63"/>
  <c r="G24" i="63" s="1"/>
  <c r="F25" i="63"/>
  <c r="G25" i="63" s="1"/>
  <c r="F26" i="63"/>
  <c r="G26" i="63" s="1"/>
  <c r="F27" i="63"/>
  <c r="G27" i="63" s="1"/>
  <c r="F28" i="63"/>
  <c r="G28" i="63" s="1"/>
  <c r="F29" i="63"/>
  <c r="G29" i="63" s="1"/>
  <c r="F30" i="63"/>
  <c r="G30" i="63" s="1"/>
  <c r="F31" i="63"/>
  <c r="G31" i="63" s="1"/>
  <c r="F32" i="63"/>
  <c r="G32" i="63" s="1"/>
  <c r="F33" i="63"/>
  <c r="G33" i="63" s="1"/>
  <c r="F34" i="63"/>
  <c r="G34" i="63" s="1"/>
  <c r="F35" i="63"/>
  <c r="G35" i="63" s="1"/>
  <c r="V35" i="63" s="1"/>
  <c r="F36" i="63"/>
  <c r="G36" i="63" s="1"/>
  <c r="F37" i="63"/>
  <c r="G37" i="63" s="1"/>
  <c r="V37" i="63" s="1"/>
  <c r="F38" i="63"/>
  <c r="G38" i="63" s="1"/>
  <c r="F39" i="63"/>
  <c r="G39" i="63" s="1"/>
  <c r="V39" i="63" s="1"/>
  <c r="F40" i="63"/>
  <c r="G40" i="63" s="1"/>
  <c r="F41" i="63"/>
  <c r="G41" i="63" s="1"/>
  <c r="F42" i="63"/>
  <c r="G42" i="63" s="1"/>
  <c r="F43" i="63"/>
  <c r="G43" i="63" s="1"/>
  <c r="V43" i="63" s="1"/>
  <c r="F44" i="63"/>
  <c r="G44" i="63" s="1"/>
  <c r="F45" i="63"/>
  <c r="G45" i="63" s="1"/>
  <c r="V45" i="63" s="1"/>
  <c r="F46" i="63"/>
  <c r="G46" i="63" s="1"/>
  <c r="F47" i="63"/>
  <c r="G47" i="63" s="1"/>
  <c r="F48" i="63"/>
  <c r="G48" i="63" s="1"/>
  <c r="F49" i="63"/>
  <c r="G49" i="63" s="1"/>
  <c r="F50" i="63"/>
  <c r="G50" i="63" s="1"/>
  <c r="F51" i="63"/>
  <c r="G51" i="63" s="1"/>
  <c r="V51" i="63" s="1"/>
  <c r="F52" i="63"/>
  <c r="G52" i="63" s="1"/>
  <c r="F53" i="63"/>
  <c r="G53" i="63" s="1"/>
  <c r="V53" i="63" s="1"/>
  <c r="F54" i="63"/>
  <c r="G54" i="63" s="1"/>
  <c r="F55" i="63"/>
  <c r="G55" i="63" s="1"/>
  <c r="V55" i="63" s="1"/>
  <c r="F56" i="63"/>
  <c r="G56" i="63" s="1"/>
  <c r="F57" i="63"/>
  <c r="G57" i="63" s="1"/>
  <c r="F58" i="63"/>
  <c r="G58" i="63" s="1"/>
  <c r="F59" i="63"/>
  <c r="G59" i="63" s="1"/>
  <c r="V59" i="63" s="1"/>
  <c r="F60" i="63"/>
  <c r="G60" i="63" s="1"/>
  <c r="F61" i="63"/>
  <c r="G61" i="63" s="1"/>
  <c r="V61" i="63" s="1"/>
  <c r="F62" i="63"/>
  <c r="G62" i="63" s="1"/>
  <c r="F63" i="63"/>
  <c r="G63" i="63" s="1"/>
  <c r="V63" i="63" s="1"/>
  <c r="F64" i="63"/>
  <c r="G64" i="63" s="1"/>
  <c r="F65" i="63"/>
  <c r="G65" i="63" s="1"/>
  <c r="F66" i="63"/>
  <c r="G66" i="63" s="1"/>
  <c r="F67" i="63"/>
  <c r="G67" i="63" s="1"/>
  <c r="V67" i="63" s="1"/>
  <c r="F68" i="63"/>
  <c r="G68" i="63" s="1"/>
  <c r="F69" i="63"/>
  <c r="G69" i="63" s="1"/>
  <c r="V69" i="63" s="1"/>
  <c r="F70" i="63"/>
  <c r="G70" i="63" s="1"/>
  <c r="F71" i="63"/>
  <c r="G71" i="63" s="1"/>
  <c r="V71" i="63" s="1"/>
  <c r="F72" i="63"/>
  <c r="G72" i="63" s="1"/>
  <c r="F73" i="63"/>
  <c r="G73" i="63" s="1"/>
  <c r="F74" i="63"/>
  <c r="G74" i="63" s="1"/>
  <c r="F75" i="63"/>
  <c r="G75" i="63" s="1"/>
  <c r="V75" i="63" s="1"/>
  <c r="F76" i="63"/>
  <c r="G76" i="63" s="1"/>
  <c r="F77" i="63"/>
  <c r="G77" i="63" s="1"/>
  <c r="V77" i="63" s="1"/>
  <c r="F78" i="63"/>
  <c r="G78" i="63" s="1"/>
  <c r="F79" i="63"/>
  <c r="G79" i="63" s="1"/>
  <c r="V79" i="63" s="1"/>
  <c r="F80" i="63"/>
  <c r="G80" i="63" s="1"/>
  <c r="F81" i="63"/>
  <c r="G81" i="63" s="1"/>
  <c r="F82" i="63"/>
  <c r="G82" i="63" s="1"/>
  <c r="F83" i="63"/>
  <c r="G83" i="63" s="1"/>
  <c r="V83" i="63" s="1"/>
  <c r="F84" i="63"/>
  <c r="G84" i="63" s="1"/>
  <c r="F85" i="63"/>
  <c r="G85" i="63" s="1"/>
  <c r="V85" i="63" s="1"/>
  <c r="F86" i="63"/>
  <c r="G86" i="63" s="1"/>
  <c r="F87" i="63"/>
  <c r="G87" i="63" s="1"/>
  <c r="V87" i="63" s="1"/>
  <c r="F88" i="63"/>
  <c r="G88" i="63" s="1"/>
  <c r="F89" i="63"/>
  <c r="G89" i="63" s="1"/>
  <c r="F90" i="63"/>
  <c r="G90" i="63" s="1"/>
  <c r="F91" i="63"/>
  <c r="G91" i="63" s="1"/>
  <c r="V91" i="63" s="1"/>
  <c r="F92" i="63"/>
  <c r="G92" i="63" s="1"/>
  <c r="F93" i="63"/>
  <c r="G93" i="63" s="1"/>
  <c r="V93" i="63" s="1"/>
  <c r="F94" i="63"/>
  <c r="G94" i="63" s="1"/>
  <c r="F95" i="63"/>
  <c r="G95" i="63" s="1"/>
  <c r="V95" i="63" s="1"/>
  <c r="F96" i="63"/>
  <c r="G96" i="63" s="1"/>
  <c r="F97" i="63"/>
  <c r="G97" i="63" s="1"/>
  <c r="F98" i="63"/>
  <c r="G98" i="63" s="1"/>
  <c r="F99" i="63"/>
  <c r="G99" i="63" s="1"/>
  <c r="V99" i="63" s="1"/>
  <c r="F100" i="63"/>
  <c r="G100" i="63" s="1"/>
  <c r="F101" i="63"/>
  <c r="G101" i="63" s="1"/>
  <c r="V101" i="63" s="1"/>
  <c r="F102" i="63"/>
  <c r="G102" i="63" s="1"/>
  <c r="F103" i="63"/>
  <c r="G103" i="63" s="1"/>
  <c r="V103" i="63" s="1"/>
  <c r="F104" i="63"/>
  <c r="G104" i="63" s="1"/>
  <c r="F105" i="63"/>
  <c r="G105" i="63" s="1"/>
  <c r="F106" i="63"/>
  <c r="G106" i="63" s="1"/>
  <c r="F107" i="63"/>
  <c r="G107" i="63" s="1"/>
  <c r="V107" i="63" s="1"/>
  <c r="F108" i="63"/>
  <c r="G108" i="63" s="1"/>
  <c r="F109" i="63"/>
  <c r="G109" i="63" s="1"/>
  <c r="V109" i="63" s="1"/>
  <c r="F110" i="63"/>
  <c r="G110" i="63" s="1"/>
  <c r="F111" i="63"/>
  <c r="G111" i="63" s="1"/>
  <c r="V111" i="63" s="1"/>
  <c r="F112" i="63"/>
  <c r="G112" i="63" s="1"/>
  <c r="F113" i="63"/>
  <c r="G113" i="63" s="1"/>
  <c r="F114" i="63"/>
  <c r="G114" i="63" s="1"/>
  <c r="F115" i="63"/>
  <c r="G115" i="63" s="1"/>
  <c r="V115" i="63" s="1"/>
  <c r="F116" i="63"/>
  <c r="G116" i="63" s="1"/>
  <c r="F117" i="63"/>
  <c r="G117" i="63" s="1"/>
  <c r="V117" i="63" s="1"/>
  <c r="F118" i="63"/>
  <c r="G118" i="63" s="1"/>
  <c r="F119" i="63"/>
  <c r="G119" i="63" s="1"/>
  <c r="V119" i="63" s="1"/>
  <c r="F120" i="63"/>
  <c r="G120" i="63" s="1"/>
  <c r="F121" i="63"/>
  <c r="G121" i="63" s="1"/>
  <c r="F122" i="63"/>
  <c r="G122" i="63" s="1"/>
  <c r="F123" i="63"/>
  <c r="G123" i="63" s="1"/>
  <c r="V123" i="63" s="1"/>
  <c r="F124" i="63"/>
  <c r="G124" i="63" s="1"/>
  <c r="F125" i="63"/>
  <c r="G125" i="63" s="1"/>
  <c r="V125" i="63" s="1"/>
  <c r="F126" i="63"/>
  <c r="G126" i="63" s="1"/>
  <c r="F127" i="63"/>
  <c r="G127" i="63" s="1"/>
  <c r="V127" i="63" s="1"/>
  <c r="F128" i="63"/>
  <c r="G128" i="63" s="1"/>
  <c r="F129" i="63"/>
  <c r="G129" i="63" s="1"/>
  <c r="F130" i="63"/>
  <c r="G130" i="63" s="1"/>
  <c r="F131" i="63"/>
  <c r="G131" i="63" s="1"/>
  <c r="V131" i="63" s="1"/>
  <c r="F132" i="63"/>
  <c r="G132" i="63" s="1"/>
  <c r="F133" i="63"/>
  <c r="G133" i="63" s="1"/>
  <c r="V133" i="63" s="1"/>
  <c r="F134" i="63"/>
  <c r="G134" i="63" s="1"/>
  <c r="F135" i="63"/>
  <c r="G135" i="63" s="1"/>
  <c r="V135" i="63" s="1"/>
  <c r="F136" i="63"/>
  <c r="G136" i="63" s="1"/>
  <c r="F137" i="63"/>
  <c r="G137" i="63" s="1"/>
  <c r="F138" i="63"/>
  <c r="G138" i="63" s="1"/>
  <c r="F139" i="63"/>
  <c r="G139" i="63" s="1"/>
  <c r="V139" i="63" s="1"/>
  <c r="F140" i="63"/>
  <c r="G140" i="63" s="1"/>
  <c r="F141" i="63"/>
  <c r="G141" i="63" s="1"/>
  <c r="V141" i="63" s="1"/>
  <c r="F142" i="63"/>
  <c r="G142" i="63" s="1"/>
  <c r="F143" i="63"/>
  <c r="G143" i="63" s="1"/>
  <c r="V143" i="63" s="1"/>
  <c r="F144" i="63"/>
  <c r="G144" i="63" s="1"/>
  <c r="F145" i="63"/>
  <c r="G145" i="63" s="1"/>
  <c r="F146" i="63"/>
  <c r="G146" i="63" s="1"/>
  <c r="F147" i="63"/>
  <c r="G147" i="63" s="1"/>
  <c r="V147" i="63" s="1"/>
  <c r="F148" i="63"/>
  <c r="G148" i="63" s="1"/>
  <c r="F149" i="63"/>
  <c r="G149" i="63" s="1"/>
  <c r="V149" i="63" s="1"/>
  <c r="F150" i="63"/>
  <c r="G150" i="63" s="1"/>
  <c r="F151" i="63"/>
  <c r="G151" i="63" s="1"/>
  <c r="V151" i="63" s="1"/>
  <c r="F152" i="63"/>
  <c r="G152" i="63" s="1"/>
  <c r="F153" i="63"/>
  <c r="G153" i="63" s="1"/>
  <c r="F154" i="63"/>
  <c r="G154" i="63" s="1"/>
  <c r="F155" i="63"/>
  <c r="G155" i="63" s="1"/>
  <c r="V155" i="63" s="1"/>
  <c r="F156" i="63"/>
  <c r="G156" i="63" s="1"/>
  <c r="F157" i="63"/>
  <c r="G157" i="63" s="1"/>
  <c r="V157" i="63" s="1"/>
  <c r="F158" i="63"/>
  <c r="G158" i="63" s="1"/>
  <c r="F159" i="63"/>
  <c r="G159" i="63" s="1"/>
  <c r="V159" i="63" s="1"/>
  <c r="F160" i="63"/>
  <c r="G160" i="63" s="1"/>
  <c r="F161" i="63"/>
  <c r="G161" i="63" s="1"/>
  <c r="F162" i="63"/>
  <c r="G162" i="63" s="1"/>
  <c r="F163" i="63"/>
  <c r="G163" i="63" s="1"/>
  <c r="V163" i="63" s="1"/>
  <c r="F164" i="63"/>
  <c r="G164" i="63" s="1"/>
  <c r="F165" i="63"/>
  <c r="G165" i="63" s="1"/>
  <c r="V165" i="63" s="1"/>
  <c r="F166" i="63"/>
  <c r="G166" i="63" s="1"/>
  <c r="F167" i="63"/>
  <c r="G167" i="63" s="1"/>
  <c r="V167" i="63" s="1"/>
  <c r="F168" i="63"/>
  <c r="G168" i="63" s="1"/>
  <c r="F169" i="63"/>
  <c r="G169" i="63" s="1"/>
  <c r="F170" i="63"/>
  <c r="G170" i="63" s="1"/>
  <c r="F171" i="63"/>
  <c r="G171" i="63" s="1"/>
  <c r="V171" i="63" s="1"/>
  <c r="F172" i="63"/>
  <c r="G172" i="63" s="1"/>
  <c r="F173" i="63"/>
  <c r="G173" i="63" s="1"/>
  <c r="V173" i="63" s="1"/>
  <c r="F174" i="63"/>
  <c r="G174" i="63" s="1"/>
  <c r="F175" i="63"/>
  <c r="G175" i="63" s="1"/>
  <c r="V175" i="63" s="1"/>
  <c r="F176" i="63"/>
  <c r="G176" i="63" s="1"/>
  <c r="F177" i="63"/>
  <c r="G177" i="63" s="1"/>
  <c r="F178" i="63"/>
  <c r="G178" i="63" s="1"/>
  <c r="F179" i="63"/>
  <c r="G179" i="63" s="1"/>
  <c r="V179" i="63" s="1"/>
  <c r="F180" i="63"/>
  <c r="G180" i="63" s="1"/>
  <c r="F181" i="63"/>
  <c r="G181" i="63" s="1"/>
  <c r="V181" i="63" s="1"/>
  <c r="F182" i="63"/>
  <c r="G182" i="63" s="1"/>
  <c r="F183" i="63"/>
  <c r="G183" i="63" s="1"/>
  <c r="V183" i="63" s="1"/>
  <c r="F184" i="63"/>
  <c r="G184" i="63" s="1"/>
  <c r="F185" i="63"/>
  <c r="G185" i="63" s="1"/>
  <c r="F186" i="63"/>
  <c r="G186" i="63" s="1"/>
  <c r="F187" i="63"/>
  <c r="G187" i="63" s="1"/>
  <c r="V187" i="63" s="1"/>
  <c r="F188" i="63"/>
  <c r="G188" i="63" s="1"/>
  <c r="F189" i="63"/>
  <c r="G189" i="63" s="1"/>
  <c r="V189" i="63" s="1"/>
  <c r="F190" i="63"/>
  <c r="G190" i="63" s="1"/>
  <c r="F191" i="63"/>
  <c r="G191" i="63" s="1"/>
  <c r="V191" i="63" s="1"/>
  <c r="F192" i="63"/>
  <c r="G192" i="63" s="1"/>
  <c r="F193" i="63"/>
  <c r="G193" i="63" s="1"/>
  <c r="F194" i="63"/>
  <c r="G194" i="63" s="1"/>
  <c r="F195" i="63"/>
  <c r="G195" i="63" s="1"/>
  <c r="V195" i="63" s="1"/>
  <c r="F196" i="63"/>
  <c r="G196" i="63" s="1"/>
  <c r="F197" i="63"/>
  <c r="G197" i="63" s="1"/>
  <c r="V197" i="63" s="1"/>
  <c r="F198" i="63"/>
  <c r="G198" i="63" s="1"/>
  <c r="F199" i="63"/>
  <c r="G199" i="63" s="1"/>
  <c r="V199" i="63" s="1"/>
  <c r="F200" i="63"/>
  <c r="G200" i="63" s="1"/>
  <c r="F201" i="63"/>
  <c r="G201" i="63" s="1"/>
  <c r="F202" i="63"/>
  <c r="G202" i="63" s="1"/>
  <c r="F203" i="63"/>
  <c r="G203" i="63" s="1"/>
  <c r="V203" i="63" s="1"/>
  <c r="F204" i="63"/>
  <c r="G204" i="63" s="1"/>
  <c r="F205" i="63"/>
  <c r="G205" i="63" s="1"/>
  <c r="V205" i="63" s="1"/>
  <c r="F206" i="63"/>
  <c r="G206" i="63" s="1"/>
  <c r="F207" i="63"/>
  <c r="G207" i="63" s="1"/>
  <c r="V207" i="63" s="1"/>
  <c r="F208" i="63"/>
  <c r="G208" i="63" s="1"/>
  <c r="F209" i="63"/>
  <c r="G209" i="63" s="1"/>
  <c r="F210" i="63"/>
  <c r="G210" i="63" s="1"/>
  <c r="F211" i="63"/>
  <c r="G211" i="63" s="1"/>
  <c r="V211" i="63" s="1"/>
  <c r="F212" i="63"/>
  <c r="G212" i="63" s="1"/>
  <c r="F213" i="63"/>
  <c r="G213" i="63" s="1"/>
  <c r="V213" i="63" s="1"/>
  <c r="F214" i="63"/>
  <c r="G214" i="63" s="1"/>
  <c r="F215" i="63"/>
  <c r="G215" i="63" s="1"/>
  <c r="V215" i="63" s="1"/>
  <c r="F216" i="63"/>
  <c r="G216" i="63" s="1"/>
  <c r="F217" i="63"/>
  <c r="G217" i="63" s="1"/>
  <c r="F218" i="63"/>
  <c r="G218" i="63" s="1"/>
  <c r="F219" i="63"/>
  <c r="G219" i="63" s="1"/>
  <c r="V219" i="63" s="1"/>
  <c r="F220" i="63"/>
  <c r="G220" i="63" s="1"/>
  <c r="F221" i="63"/>
  <c r="G221" i="63" s="1"/>
  <c r="V221" i="63" s="1"/>
  <c r="F222" i="63"/>
  <c r="G222" i="63" s="1"/>
  <c r="F223" i="63"/>
  <c r="G223" i="63" s="1"/>
  <c r="V223" i="63" s="1"/>
  <c r="F224" i="63"/>
  <c r="G224" i="63" s="1"/>
  <c r="F225" i="63"/>
  <c r="G225" i="63" s="1"/>
  <c r="F226" i="63"/>
  <c r="G226" i="63" s="1"/>
  <c r="F227" i="63"/>
  <c r="G227" i="63" s="1"/>
  <c r="V227" i="63" s="1"/>
  <c r="F228" i="63"/>
  <c r="G228" i="63" s="1"/>
  <c r="F229" i="63"/>
  <c r="G229" i="63" s="1"/>
  <c r="V229" i="63" s="1"/>
  <c r="F230" i="63"/>
  <c r="G230" i="63" s="1"/>
  <c r="F231" i="63"/>
  <c r="G231" i="63" s="1"/>
  <c r="V231" i="63" s="1"/>
  <c r="F232" i="63"/>
  <c r="G232" i="63" s="1"/>
  <c r="F233" i="63"/>
  <c r="G233" i="63" s="1"/>
  <c r="F234" i="63"/>
  <c r="G234" i="63" s="1"/>
  <c r="F235" i="63"/>
  <c r="G235" i="63" s="1"/>
  <c r="V235" i="63" s="1"/>
  <c r="F236" i="63"/>
  <c r="G236" i="63" s="1"/>
  <c r="F237" i="63"/>
  <c r="G237" i="63" s="1"/>
  <c r="V237" i="63" s="1"/>
  <c r="F238" i="63"/>
  <c r="G238" i="63" s="1"/>
  <c r="F239" i="63"/>
  <c r="G239" i="63" s="1"/>
  <c r="V239" i="63" s="1"/>
  <c r="F240" i="63"/>
  <c r="G240" i="63" s="1"/>
  <c r="F241" i="63"/>
  <c r="G241" i="63" s="1"/>
  <c r="F242" i="63"/>
  <c r="G242" i="63" s="1"/>
  <c r="F243" i="63"/>
  <c r="G243" i="63" s="1"/>
  <c r="V243" i="63" s="1"/>
  <c r="F244" i="63"/>
  <c r="G244" i="63" s="1"/>
  <c r="F245" i="63"/>
  <c r="G245" i="63" s="1"/>
  <c r="V245" i="63" s="1"/>
  <c r="F246" i="63"/>
  <c r="G246" i="63" s="1"/>
  <c r="F247" i="63"/>
  <c r="G247" i="63" s="1"/>
  <c r="V247" i="63" s="1"/>
  <c r="F248" i="63"/>
  <c r="G248" i="63" s="1"/>
  <c r="F249" i="63"/>
  <c r="G249" i="63" s="1"/>
  <c r="F250" i="63"/>
  <c r="G250" i="63" s="1"/>
  <c r="F251" i="63"/>
  <c r="G251" i="63" s="1"/>
  <c r="V251" i="63" s="1"/>
  <c r="F252" i="63"/>
  <c r="G252" i="63" s="1"/>
  <c r="F253" i="63"/>
  <c r="G253" i="63" s="1"/>
  <c r="V253" i="63" s="1"/>
  <c r="F254" i="63"/>
  <c r="G254" i="63" s="1"/>
  <c r="F255" i="63"/>
  <c r="G255" i="63" s="1"/>
  <c r="V255" i="63" s="1"/>
  <c r="F256" i="63"/>
  <c r="G256" i="63" s="1"/>
  <c r="F257" i="63"/>
  <c r="G257" i="63" s="1"/>
  <c r="F10" i="63"/>
  <c r="AJ259" i="69"/>
  <c r="AJ258" i="69"/>
  <c r="B3" i="69"/>
  <c r="B2" i="69"/>
  <c r="D260" i="68"/>
  <c r="U12" i="68"/>
  <c r="B3" i="68"/>
  <c r="B2" i="68"/>
  <c r="U258" i="67"/>
  <c r="T258" i="67"/>
  <c r="E258" i="67"/>
  <c r="AI257" i="67"/>
  <c r="AH257" i="67"/>
  <c r="AI256" i="67"/>
  <c r="AH256" i="67"/>
  <c r="AI255" i="67"/>
  <c r="AH255" i="67"/>
  <c r="AI254" i="67"/>
  <c r="AH254" i="67"/>
  <c r="AI253" i="67"/>
  <c r="AH253" i="67"/>
  <c r="AI252" i="67"/>
  <c r="AH252" i="67"/>
  <c r="AI251" i="67"/>
  <c r="AH251" i="67"/>
  <c r="AI250" i="67"/>
  <c r="AH250" i="67"/>
  <c r="AI249" i="67"/>
  <c r="AH249" i="67"/>
  <c r="AI248" i="67"/>
  <c r="AH248" i="67"/>
  <c r="AI247" i="67"/>
  <c r="AH247" i="67"/>
  <c r="AI246" i="67"/>
  <c r="AH246" i="67"/>
  <c r="AI245" i="67"/>
  <c r="AH245" i="67"/>
  <c r="AI244" i="67"/>
  <c r="AH244" i="67"/>
  <c r="AI243" i="67"/>
  <c r="AH243" i="67"/>
  <c r="AI242" i="67"/>
  <c r="AH242" i="67"/>
  <c r="AI241" i="67"/>
  <c r="AH241" i="67"/>
  <c r="AI240" i="67"/>
  <c r="AH240" i="67"/>
  <c r="AI239" i="67"/>
  <c r="AH239" i="67"/>
  <c r="AI238" i="67"/>
  <c r="AH238" i="67"/>
  <c r="AI237" i="67"/>
  <c r="AH237" i="67"/>
  <c r="AI236" i="67"/>
  <c r="AH236" i="67"/>
  <c r="AI235" i="67"/>
  <c r="AH235" i="67"/>
  <c r="AI234" i="67"/>
  <c r="AH234" i="67"/>
  <c r="AI233" i="67"/>
  <c r="AH233" i="67"/>
  <c r="AI232" i="67"/>
  <c r="AH232" i="67"/>
  <c r="AI231" i="67"/>
  <c r="AH231" i="67"/>
  <c r="AI230" i="67"/>
  <c r="AH230" i="67"/>
  <c r="AI229" i="67"/>
  <c r="AH229" i="67"/>
  <c r="AI228" i="67"/>
  <c r="AH228" i="67"/>
  <c r="AI227" i="67"/>
  <c r="AH227" i="67"/>
  <c r="AI226" i="67"/>
  <c r="AH226" i="67"/>
  <c r="AI225" i="67"/>
  <c r="AH225" i="67"/>
  <c r="AI224" i="67"/>
  <c r="AH224" i="67"/>
  <c r="AI223" i="67"/>
  <c r="AH223" i="67"/>
  <c r="AI222" i="67"/>
  <c r="AH222" i="67"/>
  <c r="AI221" i="67"/>
  <c r="AH221" i="67"/>
  <c r="AI220" i="67"/>
  <c r="AH220" i="67"/>
  <c r="AI219" i="67"/>
  <c r="AH219" i="67"/>
  <c r="AI218" i="67"/>
  <c r="AH218" i="67"/>
  <c r="AI217" i="67"/>
  <c r="AH217" i="67"/>
  <c r="AI216" i="67"/>
  <c r="AH216" i="67"/>
  <c r="AI215" i="67"/>
  <c r="AH215" i="67"/>
  <c r="AI214" i="67"/>
  <c r="AH214" i="67"/>
  <c r="AI213" i="67"/>
  <c r="AH213" i="67"/>
  <c r="AI212" i="67"/>
  <c r="AH212" i="67"/>
  <c r="AI211" i="67"/>
  <c r="AH211" i="67"/>
  <c r="AI210" i="67"/>
  <c r="AH210" i="67"/>
  <c r="AI209" i="67"/>
  <c r="AH209" i="67"/>
  <c r="AI208" i="67"/>
  <c r="AH208" i="67"/>
  <c r="AI207" i="67"/>
  <c r="AH207" i="67"/>
  <c r="AI206" i="67"/>
  <c r="AH206" i="67"/>
  <c r="AI205" i="67"/>
  <c r="AH205" i="67"/>
  <c r="AI204" i="67"/>
  <c r="AH204" i="67"/>
  <c r="AI203" i="67"/>
  <c r="AH203" i="67"/>
  <c r="AI202" i="67"/>
  <c r="AH202" i="67"/>
  <c r="AI201" i="67"/>
  <c r="AH201" i="67"/>
  <c r="AI200" i="67"/>
  <c r="AH200" i="67"/>
  <c r="AI199" i="67"/>
  <c r="AH199" i="67"/>
  <c r="AI198" i="67"/>
  <c r="AH198" i="67"/>
  <c r="AI197" i="67"/>
  <c r="AH197" i="67"/>
  <c r="AI196" i="67"/>
  <c r="AH196" i="67"/>
  <c r="AI195" i="67"/>
  <c r="AH195" i="67"/>
  <c r="AI194" i="67"/>
  <c r="AH194" i="67"/>
  <c r="AI193" i="67"/>
  <c r="AH193" i="67"/>
  <c r="AI192" i="67"/>
  <c r="AH192" i="67"/>
  <c r="AI191" i="67"/>
  <c r="AH191" i="67"/>
  <c r="AI190" i="67"/>
  <c r="AH190" i="67"/>
  <c r="AI189" i="67"/>
  <c r="AH189" i="67"/>
  <c r="AI188" i="67"/>
  <c r="AH188" i="67"/>
  <c r="AI187" i="67"/>
  <c r="AH187" i="67"/>
  <c r="AI186" i="67"/>
  <c r="AH186" i="67"/>
  <c r="AI185" i="67"/>
  <c r="AH185" i="67"/>
  <c r="AI184" i="67"/>
  <c r="AH184" i="67"/>
  <c r="AI183" i="67"/>
  <c r="AH183" i="67"/>
  <c r="AI182" i="67"/>
  <c r="AH182" i="67"/>
  <c r="AI181" i="67"/>
  <c r="AH181" i="67"/>
  <c r="AI180" i="67"/>
  <c r="AH180" i="67"/>
  <c r="AI179" i="67"/>
  <c r="AH179" i="67"/>
  <c r="AI178" i="67"/>
  <c r="AH178" i="67"/>
  <c r="AI177" i="67"/>
  <c r="AH177" i="67"/>
  <c r="AI176" i="67"/>
  <c r="AH176" i="67"/>
  <c r="AI175" i="67"/>
  <c r="AH175" i="67"/>
  <c r="AI174" i="67"/>
  <c r="AH174" i="67"/>
  <c r="AI173" i="67"/>
  <c r="AH173" i="67"/>
  <c r="AI172" i="67"/>
  <c r="AH172" i="67"/>
  <c r="AI171" i="67"/>
  <c r="AH171" i="67"/>
  <c r="AI170" i="67"/>
  <c r="AH170" i="67"/>
  <c r="AI169" i="67"/>
  <c r="AH169" i="67"/>
  <c r="AI168" i="67"/>
  <c r="AH168" i="67"/>
  <c r="AI167" i="67"/>
  <c r="AH167" i="67"/>
  <c r="AI166" i="67"/>
  <c r="AH166" i="67"/>
  <c r="AI165" i="67"/>
  <c r="AH165" i="67"/>
  <c r="AI164" i="67"/>
  <c r="AH164" i="67"/>
  <c r="AI163" i="67"/>
  <c r="AH163" i="67"/>
  <c r="AI162" i="67"/>
  <c r="AH162" i="67"/>
  <c r="AI161" i="67"/>
  <c r="AH161" i="67"/>
  <c r="AI160" i="67"/>
  <c r="AH160" i="67"/>
  <c r="AI159" i="67"/>
  <c r="AH159" i="67"/>
  <c r="AI158" i="67"/>
  <c r="AH158" i="67"/>
  <c r="AI157" i="67"/>
  <c r="AH157" i="67"/>
  <c r="AI156" i="67"/>
  <c r="AH156" i="67"/>
  <c r="AI155" i="67"/>
  <c r="AH155" i="67"/>
  <c r="AI154" i="67"/>
  <c r="AH154" i="67"/>
  <c r="AI153" i="67"/>
  <c r="AH153" i="67"/>
  <c r="AI152" i="67"/>
  <c r="AH152" i="67"/>
  <c r="AI151" i="67"/>
  <c r="AH151" i="67"/>
  <c r="AI150" i="67"/>
  <c r="AH150" i="67"/>
  <c r="AI149" i="67"/>
  <c r="AH149" i="67"/>
  <c r="AI148" i="67"/>
  <c r="AH148" i="67"/>
  <c r="AI147" i="67"/>
  <c r="AH147" i="67"/>
  <c r="AI146" i="67"/>
  <c r="AH146" i="67"/>
  <c r="AI145" i="67"/>
  <c r="AH145" i="67"/>
  <c r="AI144" i="67"/>
  <c r="AH144" i="67"/>
  <c r="AI143" i="67"/>
  <c r="AH143" i="67"/>
  <c r="AI142" i="67"/>
  <c r="AH142" i="67"/>
  <c r="AI141" i="67"/>
  <c r="AH141" i="67"/>
  <c r="AI140" i="67"/>
  <c r="AH140" i="67"/>
  <c r="AI139" i="67"/>
  <c r="AH139" i="67"/>
  <c r="AI138" i="67"/>
  <c r="AH138" i="67"/>
  <c r="AI137" i="67"/>
  <c r="AH137" i="67"/>
  <c r="AI136" i="67"/>
  <c r="AH136" i="67"/>
  <c r="AI135" i="67"/>
  <c r="AH135" i="67"/>
  <c r="AI134" i="67"/>
  <c r="AH134" i="67"/>
  <c r="AI133" i="67"/>
  <c r="AH133" i="67"/>
  <c r="AI132" i="67"/>
  <c r="AH132" i="67"/>
  <c r="AI131" i="67"/>
  <c r="AH131" i="67"/>
  <c r="AI130" i="67"/>
  <c r="AH130" i="67"/>
  <c r="AI129" i="67"/>
  <c r="AH129" i="67"/>
  <c r="AI128" i="67"/>
  <c r="AH128" i="67"/>
  <c r="AI127" i="67"/>
  <c r="AH127" i="67"/>
  <c r="AI126" i="67"/>
  <c r="AH126" i="67"/>
  <c r="AI125" i="67"/>
  <c r="AH125" i="67"/>
  <c r="AI124" i="67"/>
  <c r="AH124" i="67"/>
  <c r="AI123" i="67"/>
  <c r="AH123" i="67"/>
  <c r="AI122" i="67"/>
  <c r="AH122" i="67"/>
  <c r="AI121" i="67"/>
  <c r="AH121" i="67"/>
  <c r="AI120" i="67"/>
  <c r="AH120" i="67"/>
  <c r="AI119" i="67"/>
  <c r="AH119" i="67"/>
  <c r="AI118" i="67"/>
  <c r="AH118" i="67"/>
  <c r="AI117" i="67"/>
  <c r="AH117" i="67"/>
  <c r="AI116" i="67"/>
  <c r="AH116" i="67"/>
  <c r="AI115" i="67"/>
  <c r="AH115" i="67"/>
  <c r="AI114" i="67"/>
  <c r="AH114" i="67"/>
  <c r="AI113" i="67"/>
  <c r="AH113" i="67"/>
  <c r="AI112" i="67"/>
  <c r="AH112" i="67"/>
  <c r="AI111" i="67"/>
  <c r="AH111" i="67"/>
  <c r="AI110" i="67"/>
  <c r="AH110" i="67"/>
  <c r="AI109" i="67"/>
  <c r="AH109" i="67"/>
  <c r="AI108" i="67"/>
  <c r="AH108" i="67"/>
  <c r="AI107" i="67"/>
  <c r="AH107" i="67"/>
  <c r="AI106" i="67"/>
  <c r="AH106" i="67"/>
  <c r="AI105" i="67"/>
  <c r="AH105" i="67"/>
  <c r="AI104" i="67"/>
  <c r="AH104" i="67"/>
  <c r="AI103" i="67"/>
  <c r="AH103" i="67"/>
  <c r="AI102" i="67"/>
  <c r="AH102" i="67"/>
  <c r="AI101" i="67"/>
  <c r="AH101" i="67"/>
  <c r="AI100" i="67"/>
  <c r="AH100" i="67"/>
  <c r="AI99" i="67"/>
  <c r="AH99" i="67"/>
  <c r="AI98" i="67"/>
  <c r="AH98" i="67"/>
  <c r="AI97" i="67"/>
  <c r="AH97" i="67"/>
  <c r="AI96" i="67"/>
  <c r="AH96" i="67"/>
  <c r="AI95" i="67"/>
  <c r="AH95" i="67"/>
  <c r="AI94" i="67"/>
  <c r="AH94" i="67"/>
  <c r="AI93" i="67"/>
  <c r="AH93" i="67"/>
  <c r="AI92" i="67"/>
  <c r="AH92" i="67"/>
  <c r="AI91" i="67"/>
  <c r="AH91" i="67"/>
  <c r="AI90" i="67"/>
  <c r="AH90" i="67"/>
  <c r="AI89" i="67"/>
  <c r="AH89" i="67"/>
  <c r="AI88" i="67"/>
  <c r="AH88" i="67"/>
  <c r="AI87" i="67"/>
  <c r="AH87" i="67"/>
  <c r="AI86" i="67"/>
  <c r="AH86" i="67"/>
  <c r="AI85" i="67"/>
  <c r="AH85" i="67"/>
  <c r="AI84" i="67"/>
  <c r="AH84" i="67"/>
  <c r="AI83" i="67"/>
  <c r="AH83" i="67"/>
  <c r="AI82" i="67"/>
  <c r="AH82" i="67"/>
  <c r="AI81" i="67"/>
  <c r="AH81" i="67"/>
  <c r="AI80" i="67"/>
  <c r="AH80" i="67"/>
  <c r="AI79" i="67"/>
  <c r="AH79" i="67"/>
  <c r="AI78" i="67"/>
  <c r="AH78" i="67"/>
  <c r="AI77" i="67"/>
  <c r="AH77" i="67"/>
  <c r="AI76" i="67"/>
  <c r="AH76" i="67"/>
  <c r="AI75" i="67"/>
  <c r="AH75" i="67"/>
  <c r="AI74" i="67"/>
  <c r="AH74" i="67"/>
  <c r="AI73" i="67"/>
  <c r="AH73" i="67"/>
  <c r="AI72" i="67"/>
  <c r="AH72" i="67"/>
  <c r="AI71" i="67"/>
  <c r="AH71" i="67"/>
  <c r="AI70" i="67"/>
  <c r="AH70" i="67"/>
  <c r="AI69" i="67"/>
  <c r="AH69" i="67"/>
  <c r="AI68" i="67"/>
  <c r="AH68" i="67"/>
  <c r="AI67" i="67"/>
  <c r="AH67" i="67"/>
  <c r="AI66" i="67"/>
  <c r="AH66" i="67"/>
  <c r="AI65" i="67"/>
  <c r="AH65" i="67"/>
  <c r="AI64" i="67"/>
  <c r="AH64" i="67"/>
  <c r="AI63" i="67"/>
  <c r="AH63" i="67"/>
  <c r="AI62" i="67"/>
  <c r="AH62" i="67"/>
  <c r="AI61" i="67"/>
  <c r="AH61" i="67"/>
  <c r="AI60" i="67"/>
  <c r="AH60" i="67"/>
  <c r="AI59" i="67"/>
  <c r="AH59" i="67"/>
  <c r="AI58" i="67"/>
  <c r="AH58" i="67"/>
  <c r="AI57" i="67"/>
  <c r="AH57" i="67"/>
  <c r="AI56" i="67"/>
  <c r="AH56" i="67"/>
  <c r="AI55" i="67"/>
  <c r="AH55" i="67"/>
  <c r="AI54" i="67"/>
  <c r="AH54" i="67"/>
  <c r="AI53" i="67"/>
  <c r="AH53" i="67"/>
  <c r="AI52" i="67"/>
  <c r="AH52" i="67"/>
  <c r="AI51" i="67"/>
  <c r="AH51" i="67"/>
  <c r="AI50" i="67"/>
  <c r="AH50" i="67"/>
  <c r="AI49" i="67"/>
  <c r="AH49" i="67"/>
  <c r="AI48" i="67"/>
  <c r="AH48" i="67"/>
  <c r="AI47" i="67"/>
  <c r="AH47" i="67"/>
  <c r="AI46" i="67"/>
  <c r="AH46" i="67"/>
  <c r="AI45" i="67"/>
  <c r="AH45" i="67"/>
  <c r="AI44" i="67"/>
  <c r="AH44" i="67"/>
  <c r="AI43" i="67"/>
  <c r="AH43" i="67"/>
  <c r="AI42" i="67"/>
  <c r="AH42" i="67"/>
  <c r="AI41" i="67"/>
  <c r="AH41" i="67"/>
  <c r="AI40" i="67"/>
  <c r="AH40" i="67"/>
  <c r="AI39" i="67"/>
  <c r="AH39" i="67"/>
  <c r="AI38" i="67"/>
  <c r="AH38" i="67"/>
  <c r="AI37" i="67"/>
  <c r="AH37" i="67"/>
  <c r="AI36" i="67"/>
  <c r="AH36" i="67"/>
  <c r="AI35" i="67"/>
  <c r="AH35" i="67"/>
  <c r="AI34" i="67"/>
  <c r="AH34" i="67"/>
  <c r="AI33" i="67"/>
  <c r="AH33" i="67"/>
  <c r="AI32" i="67"/>
  <c r="AH32" i="67"/>
  <c r="AI31" i="67"/>
  <c r="AH31" i="67"/>
  <c r="AI30" i="67"/>
  <c r="AH30" i="67"/>
  <c r="AI29" i="67"/>
  <c r="AH29" i="67"/>
  <c r="AI28" i="67"/>
  <c r="AH28" i="67"/>
  <c r="AI27" i="67"/>
  <c r="AH27" i="67"/>
  <c r="AI26" i="67"/>
  <c r="AH26" i="67"/>
  <c r="AI25" i="67"/>
  <c r="AH25" i="67"/>
  <c r="AI24" i="67"/>
  <c r="AH24" i="67"/>
  <c r="AI23" i="67"/>
  <c r="AH23" i="67"/>
  <c r="AI22" i="67"/>
  <c r="AH22" i="67"/>
  <c r="AI21" i="67"/>
  <c r="AH21" i="67"/>
  <c r="AI20" i="67"/>
  <c r="AH20" i="67"/>
  <c r="AI19" i="67"/>
  <c r="AH19" i="67"/>
  <c r="AI18" i="67"/>
  <c r="AH18" i="67"/>
  <c r="AI17" i="67"/>
  <c r="AH17" i="67"/>
  <c r="AI16" i="67"/>
  <c r="AH16" i="67"/>
  <c r="AI15" i="67"/>
  <c r="AH15" i="67"/>
  <c r="AI14" i="67"/>
  <c r="AH14" i="67"/>
  <c r="AI13" i="67"/>
  <c r="AH13" i="67"/>
  <c r="AI12" i="67"/>
  <c r="AH12" i="67"/>
  <c r="AI11" i="67"/>
  <c r="AH11" i="67"/>
  <c r="AI10" i="67"/>
  <c r="AH10" i="67"/>
  <c r="B3" i="67"/>
  <c r="B2" i="67"/>
  <c r="AJ259" i="65"/>
  <c r="B3" i="65"/>
  <c r="B2" i="65"/>
  <c r="D260" i="64"/>
  <c r="B3" i="64"/>
  <c r="B2" i="64"/>
  <c r="U258" i="63"/>
  <c r="T258" i="63"/>
  <c r="E258" i="63"/>
  <c r="AI257" i="63"/>
  <c r="AH257" i="63"/>
  <c r="AI256" i="63"/>
  <c r="AH256" i="63"/>
  <c r="AI255" i="63"/>
  <c r="AH255" i="63"/>
  <c r="AI254" i="63"/>
  <c r="AH254" i="63"/>
  <c r="AI253" i="63"/>
  <c r="AH253" i="63"/>
  <c r="AI252" i="63"/>
  <c r="AH252" i="63"/>
  <c r="AI251" i="63"/>
  <c r="AH251" i="63"/>
  <c r="AI250" i="63"/>
  <c r="AH250" i="63"/>
  <c r="AI249" i="63"/>
  <c r="AH249" i="63"/>
  <c r="AI248" i="63"/>
  <c r="AH248" i="63"/>
  <c r="AI247" i="63"/>
  <c r="AH247" i="63"/>
  <c r="AI246" i="63"/>
  <c r="AH246" i="63"/>
  <c r="AI245" i="63"/>
  <c r="AH245" i="63"/>
  <c r="AI244" i="63"/>
  <c r="AH244" i="63"/>
  <c r="AI243" i="63"/>
  <c r="AH243" i="63"/>
  <c r="AI242" i="63"/>
  <c r="AH242" i="63"/>
  <c r="AI241" i="63"/>
  <c r="AH241" i="63"/>
  <c r="AI240" i="63"/>
  <c r="AH240" i="63"/>
  <c r="AI239" i="63"/>
  <c r="AH239" i="63"/>
  <c r="AI238" i="63"/>
  <c r="AH238" i="63"/>
  <c r="AI237" i="63"/>
  <c r="AH237" i="63"/>
  <c r="AI236" i="63"/>
  <c r="AH236" i="63"/>
  <c r="AI235" i="63"/>
  <c r="AH235" i="63"/>
  <c r="AI234" i="63"/>
  <c r="AH234" i="63"/>
  <c r="AI233" i="63"/>
  <c r="AH233" i="63"/>
  <c r="AI232" i="63"/>
  <c r="AH232" i="63"/>
  <c r="AI231" i="63"/>
  <c r="AH231" i="63"/>
  <c r="AI230" i="63"/>
  <c r="AH230" i="63"/>
  <c r="AI229" i="63"/>
  <c r="AH229" i="63"/>
  <c r="AI228" i="63"/>
  <c r="AH228" i="63"/>
  <c r="AI227" i="63"/>
  <c r="AH227" i="63"/>
  <c r="AI226" i="63"/>
  <c r="AH226" i="63"/>
  <c r="AI225" i="63"/>
  <c r="AH225" i="63"/>
  <c r="AI224" i="63"/>
  <c r="AH224" i="63"/>
  <c r="AI223" i="63"/>
  <c r="AH223" i="63"/>
  <c r="AI222" i="63"/>
  <c r="AH222" i="63"/>
  <c r="AI221" i="63"/>
  <c r="AH221" i="63"/>
  <c r="AI220" i="63"/>
  <c r="AH220" i="63"/>
  <c r="AI219" i="63"/>
  <c r="AH219" i="63"/>
  <c r="AI218" i="63"/>
  <c r="AH218" i="63"/>
  <c r="AI217" i="63"/>
  <c r="AH217" i="63"/>
  <c r="AI216" i="63"/>
  <c r="AH216" i="63"/>
  <c r="AI215" i="63"/>
  <c r="AH215" i="63"/>
  <c r="AI214" i="63"/>
  <c r="AH214" i="63"/>
  <c r="AI213" i="63"/>
  <c r="AH213" i="63"/>
  <c r="AI212" i="63"/>
  <c r="AH212" i="63"/>
  <c r="AI211" i="63"/>
  <c r="AH211" i="63"/>
  <c r="AI210" i="63"/>
  <c r="AH210" i="63"/>
  <c r="AI209" i="63"/>
  <c r="AH209" i="63"/>
  <c r="AI208" i="63"/>
  <c r="AH208" i="63"/>
  <c r="AI207" i="63"/>
  <c r="AH207" i="63"/>
  <c r="AI206" i="63"/>
  <c r="AH206" i="63"/>
  <c r="AI205" i="63"/>
  <c r="AH205" i="63"/>
  <c r="AI204" i="63"/>
  <c r="AH204" i="63"/>
  <c r="AI203" i="63"/>
  <c r="AH203" i="63"/>
  <c r="AI202" i="63"/>
  <c r="AH202" i="63"/>
  <c r="AI201" i="63"/>
  <c r="AH201" i="63"/>
  <c r="AI200" i="63"/>
  <c r="AH200" i="63"/>
  <c r="AI199" i="63"/>
  <c r="AH199" i="63"/>
  <c r="AI198" i="63"/>
  <c r="AH198" i="63"/>
  <c r="AI197" i="63"/>
  <c r="AH197" i="63"/>
  <c r="AI196" i="63"/>
  <c r="AH196" i="63"/>
  <c r="AI195" i="63"/>
  <c r="AH195" i="63"/>
  <c r="AI194" i="63"/>
  <c r="AH194" i="63"/>
  <c r="AI193" i="63"/>
  <c r="AH193" i="63"/>
  <c r="AI192" i="63"/>
  <c r="AH192" i="63"/>
  <c r="AI191" i="63"/>
  <c r="AH191" i="63"/>
  <c r="AI190" i="63"/>
  <c r="AH190" i="63"/>
  <c r="AI189" i="63"/>
  <c r="AH189" i="63"/>
  <c r="AI188" i="63"/>
  <c r="AH188" i="63"/>
  <c r="AI187" i="63"/>
  <c r="AH187" i="63"/>
  <c r="AI186" i="63"/>
  <c r="AH186" i="63"/>
  <c r="AI185" i="63"/>
  <c r="AH185" i="63"/>
  <c r="AI184" i="63"/>
  <c r="AH184" i="63"/>
  <c r="AI183" i="63"/>
  <c r="AH183" i="63"/>
  <c r="AI182" i="63"/>
  <c r="AH182" i="63"/>
  <c r="AI181" i="63"/>
  <c r="AH181" i="63"/>
  <c r="AI180" i="63"/>
  <c r="AH180" i="63"/>
  <c r="AI179" i="63"/>
  <c r="AH179" i="63"/>
  <c r="AI178" i="63"/>
  <c r="AH178" i="63"/>
  <c r="AI177" i="63"/>
  <c r="AH177" i="63"/>
  <c r="AI176" i="63"/>
  <c r="AH176" i="63"/>
  <c r="AI175" i="63"/>
  <c r="AH175" i="63"/>
  <c r="AI174" i="63"/>
  <c r="AH174" i="63"/>
  <c r="AI173" i="63"/>
  <c r="AH173" i="63"/>
  <c r="AI172" i="63"/>
  <c r="AH172" i="63"/>
  <c r="AI171" i="63"/>
  <c r="AH171" i="63"/>
  <c r="AI170" i="63"/>
  <c r="AH170" i="63"/>
  <c r="AI169" i="63"/>
  <c r="AH169" i="63"/>
  <c r="AI168" i="63"/>
  <c r="AH168" i="63"/>
  <c r="AI167" i="63"/>
  <c r="AH167" i="63"/>
  <c r="AI166" i="63"/>
  <c r="AH166" i="63"/>
  <c r="AI165" i="63"/>
  <c r="AH165" i="63"/>
  <c r="AI164" i="63"/>
  <c r="AH164" i="63"/>
  <c r="AI163" i="63"/>
  <c r="AH163" i="63"/>
  <c r="AI162" i="63"/>
  <c r="AH162" i="63"/>
  <c r="AI161" i="63"/>
  <c r="AH161" i="63"/>
  <c r="AI160" i="63"/>
  <c r="AH160" i="63"/>
  <c r="AI159" i="63"/>
  <c r="AH159" i="63"/>
  <c r="AI158" i="63"/>
  <c r="AH158" i="63"/>
  <c r="AI157" i="63"/>
  <c r="AH157" i="63"/>
  <c r="AI156" i="63"/>
  <c r="AH156" i="63"/>
  <c r="AI155" i="63"/>
  <c r="AH155" i="63"/>
  <c r="AI154" i="63"/>
  <c r="AH154" i="63"/>
  <c r="AI153" i="63"/>
  <c r="AH153" i="63"/>
  <c r="AI152" i="63"/>
  <c r="AH152" i="63"/>
  <c r="AI151" i="63"/>
  <c r="AH151" i="63"/>
  <c r="AI150" i="63"/>
  <c r="AH150" i="63"/>
  <c r="AI149" i="63"/>
  <c r="AH149" i="63"/>
  <c r="AI148" i="63"/>
  <c r="AH148" i="63"/>
  <c r="AI147" i="63"/>
  <c r="AH147" i="63"/>
  <c r="AI146" i="63"/>
  <c r="AH146" i="63"/>
  <c r="AI145" i="63"/>
  <c r="AH145" i="63"/>
  <c r="AI144" i="63"/>
  <c r="AH144" i="63"/>
  <c r="AI143" i="63"/>
  <c r="AH143" i="63"/>
  <c r="AI142" i="63"/>
  <c r="AH142" i="63"/>
  <c r="AI141" i="63"/>
  <c r="AH141" i="63"/>
  <c r="AI140" i="63"/>
  <c r="AH140" i="63"/>
  <c r="AI139" i="63"/>
  <c r="AH139" i="63"/>
  <c r="AI138" i="63"/>
  <c r="AH138" i="63"/>
  <c r="AI137" i="63"/>
  <c r="AH137" i="63"/>
  <c r="AI136" i="63"/>
  <c r="AH136" i="63"/>
  <c r="AI135" i="63"/>
  <c r="AH135" i="63"/>
  <c r="AI134" i="63"/>
  <c r="AH134" i="63"/>
  <c r="AI133" i="63"/>
  <c r="AH133" i="63"/>
  <c r="AI132" i="63"/>
  <c r="AH132" i="63"/>
  <c r="AI131" i="63"/>
  <c r="AH131" i="63"/>
  <c r="AI130" i="63"/>
  <c r="AH130" i="63"/>
  <c r="AI129" i="63"/>
  <c r="AH129" i="63"/>
  <c r="AI128" i="63"/>
  <c r="AH128" i="63"/>
  <c r="AI127" i="63"/>
  <c r="AH127" i="63"/>
  <c r="AI126" i="63"/>
  <c r="AH126" i="63"/>
  <c r="AI125" i="63"/>
  <c r="AH125" i="63"/>
  <c r="AI124" i="63"/>
  <c r="AH124" i="63"/>
  <c r="AI123" i="63"/>
  <c r="AH123" i="63"/>
  <c r="AI122" i="63"/>
  <c r="AH122" i="63"/>
  <c r="AI121" i="63"/>
  <c r="AH121" i="63"/>
  <c r="AI120" i="63"/>
  <c r="AH120" i="63"/>
  <c r="AI119" i="63"/>
  <c r="AH119" i="63"/>
  <c r="AI118" i="63"/>
  <c r="AH118" i="63"/>
  <c r="AI117" i="63"/>
  <c r="AH117" i="63"/>
  <c r="AI116" i="63"/>
  <c r="AH116" i="63"/>
  <c r="AI115" i="63"/>
  <c r="AH115" i="63"/>
  <c r="AI114" i="63"/>
  <c r="AH114" i="63"/>
  <c r="AI113" i="63"/>
  <c r="AH113" i="63"/>
  <c r="AI112" i="63"/>
  <c r="AH112" i="63"/>
  <c r="AI111" i="63"/>
  <c r="AH111" i="63"/>
  <c r="AI110" i="63"/>
  <c r="AH110" i="63"/>
  <c r="AI109" i="63"/>
  <c r="AH109" i="63"/>
  <c r="AI108" i="63"/>
  <c r="AH108" i="63"/>
  <c r="AI107" i="63"/>
  <c r="AH107" i="63"/>
  <c r="AI106" i="63"/>
  <c r="AH106" i="63"/>
  <c r="AI105" i="63"/>
  <c r="AH105" i="63"/>
  <c r="AI104" i="63"/>
  <c r="AH104" i="63"/>
  <c r="AI103" i="63"/>
  <c r="AH103" i="63"/>
  <c r="AI102" i="63"/>
  <c r="AH102" i="63"/>
  <c r="AI101" i="63"/>
  <c r="AH101" i="63"/>
  <c r="AI100" i="63"/>
  <c r="AH100" i="63"/>
  <c r="AI99" i="63"/>
  <c r="AH99" i="63"/>
  <c r="AI98" i="63"/>
  <c r="AH98" i="63"/>
  <c r="AI97" i="63"/>
  <c r="AH97" i="63"/>
  <c r="AI96" i="63"/>
  <c r="AH96" i="63"/>
  <c r="AI95" i="63"/>
  <c r="AH95" i="63"/>
  <c r="AI94" i="63"/>
  <c r="AH94" i="63"/>
  <c r="AI93" i="63"/>
  <c r="AH93" i="63"/>
  <c r="AI92" i="63"/>
  <c r="AH92" i="63"/>
  <c r="AI91" i="63"/>
  <c r="AH91" i="63"/>
  <c r="AI90" i="63"/>
  <c r="AH90" i="63"/>
  <c r="AI89" i="63"/>
  <c r="AH89" i="63"/>
  <c r="AI88" i="63"/>
  <c r="AH88" i="63"/>
  <c r="AI87" i="63"/>
  <c r="AH87" i="63"/>
  <c r="AI86" i="63"/>
  <c r="AH86" i="63"/>
  <c r="AI85" i="63"/>
  <c r="AH85" i="63"/>
  <c r="AI84" i="63"/>
  <c r="AH84" i="63"/>
  <c r="AI83" i="63"/>
  <c r="AH83" i="63"/>
  <c r="AI82" i="63"/>
  <c r="AH82" i="63"/>
  <c r="AI81" i="63"/>
  <c r="AH81" i="63"/>
  <c r="AI80" i="63"/>
  <c r="AH80" i="63"/>
  <c r="AI79" i="63"/>
  <c r="AH79" i="63"/>
  <c r="AI78" i="63"/>
  <c r="AH78" i="63"/>
  <c r="AI77" i="63"/>
  <c r="AH77" i="63"/>
  <c r="AI76" i="63"/>
  <c r="AH76" i="63"/>
  <c r="AI75" i="63"/>
  <c r="AH75" i="63"/>
  <c r="AI74" i="63"/>
  <c r="AH74" i="63"/>
  <c r="AI73" i="63"/>
  <c r="AH73" i="63"/>
  <c r="AI72" i="63"/>
  <c r="AH72" i="63"/>
  <c r="AI71" i="63"/>
  <c r="AH71" i="63"/>
  <c r="AI70" i="63"/>
  <c r="AH70" i="63"/>
  <c r="AI69" i="63"/>
  <c r="AH69" i="63"/>
  <c r="AI68" i="63"/>
  <c r="AH68" i="63"/>
  <c r="AI67" i="63"/>
  <c r="AH67" i="63"/>
  <c r="AI66" i="63"/>
  <c r="AH66" i="63"/>
  <c r="AI65" i="63"/>
  <c r="AH65" i="63"/>
  <c r="AI64" i="63"/>
  <c r="AH64" i="63"/>
  <c r="AI63" i="63"/>
  <c r="AH63" i="63"/>
  <c r="AI62" i="63"/>
  <c r="AH62" i="63"/>
  <c r="AI61" i="63"/>
  <c r="AH61" i="63"/>
  <c r="AI60" i="63"/>
  <c r="AH60" i="63"/>
  <c r="AI59" i="63"/>
  <c r="AH59" i="63"/>
  <c r="AI58" i="63"/>
  <c r="AH58" i="63"/>
  <c r="AI57" i="63"/>
  <c r="AH57" i="63"/>
  <c r="AI56" i="63"/>
  <c r="AH56" i="63"/>
  <c r="AI55" i="63"/>
  <c r="AH55" i="63"/>
  <c r="AI54" i="63"/>
  <c r="AH54" i="63"/>
  <c r="AI53" i="63"/>
  <c r="AH53" i="63"/>
  <c r="AI52" i="63"/>
  <c r="AH52" i="63"/>
  <c r="AI51" i="63"/>
  <c r="AH51" i="63"/>
  <c r="AI50" i="63"/>
  <c r="AH50" i="63"/>
  <c r="AI49" i="63"/>
  <c r="AH49" i="63"/>
  <c r="AI48" i="63"/>
  <c r="AH48" i="63"/>
  <c r="AI47" i="63"/>
  <c r="AH47" i="63"/>
  <c r="AI46" i="63"/>
  <c r="AH46" i="63"/>
  <c r="AI45" i="63"/>
  <c r="AH45" i="63"/>
  <c r="AI44" i="63"/>
  <c r="AH44" i="63"/>
  <c r="AI43" i="63"/>
  <c r="AH43" i="63"/>
  <c r="AI42" i="63"/>
  <c r="AH42" i="63"/>
  <c r="AI41" i="63"/>
  <c r="AH41" i="63"/>
  <c r="AI40" i="63"/>
  <c r="AH40" i="63"/>
  <c r="AI39" i="63"/>
  <c r="AH39" i="63"/>
  <c r="AI38" i="63"/>
  <c r="AH38" i="63"/>
  <c r="AI37" i="63"/>
  <c r="AH37" i="63"/>
  <c r="AI36" i="63"/>
  <c r="AH36" i="63"/>
  <c r="AI35" i="63"/>
  <c r="AH35" i="63"/>
  <c r="AI34" i="63"/>
  <c r="AH34" i="63"/>
  <c r="AI33" i="63"/>
  <c r="AH33" i="63"/>
  <c r="AI32" i="63"/>
  <c r="AH32" i="63"/>
  <c r="AI31" i="63"/>
  <c r="AH31" i="63"/>
  <c r="AI30" i="63"/>
  <c r="AH30" i="63"/>
  <c r="AI29" i="63"/>
  <c r="AH29" i="63"/>
  <c r="AI28" i="63"/>
  <c r="AH28" i="63"/>
  <c r="AI27" i="63"/>
  <c r="AH27" i="63"/>
  <c r="AI26" i="63"/>
  <c r="AH26" i="63"/>
  <c r="AI25" i="63"/>
  <c r="AH25" i="63"/>
  <c r="AI24" i="63"/>
  <c r="AH24" i="63"/>
  <c r="AI23" i="63"/>
  <c r="AH23" i="63"/>
  <c r="AI22" i="63"/>
  <c r="AH22" i="63"/>
  <c r="AI21" i="63"/>
  <c r="AH21" i="63"/>
  <c r="AI20" i="63"/>
  <c r="AH20" i="63"/>
  <c r="AI19" i="63"/>
  <c r="AH19" i="63"/>
  <c r="AI18" i="63"/>
  <c r="AH18" i="63"/>
  <c r="AI17" i="63"/>
  <c r="AH17" i="63"/>
  <c r="AI16" i="63"/>
  <c r="AH16" i="63"/>
  <c r="AI15" i="63"/>
  <c r="AH15" i="63"/>
  <c r="AI13" i="63"/>
  <c r="AH13" i="63"/>
  <c r="AI12" i="63"/>
  <c r="AH12" i="63"/>
  <c r="AI11" i="63"/>
  <c r="AH11" i="63"/>
  <c r="AI10" i="63"/>
  <c r="AH10" i="63"/>
  <c r="B3" i="63"/>
  <c r="B2" i="63"/>
  <c r="AB22" i="57" l="1"/>
  <c r="AA22" i="57"/>
  <c r="V254" i="63"/>
  <c r="V250" i="63"/>
  <c r="V246" i="63"/>
  <c r="V242" i="63"/>
  <c r="V238" i="63"/>
  <c r="V234" i="63"/>
  <c r="V230" i="63"/>
  <c r="V226" i="63"/>
  <c r="V222" i="63"/>
  <c r="V218" i="63"/>
  <c r="V214" i="63"/>
  <c r="V210" i="63"/>
  <c r="V206" i="63"/>
  <c r="V202" i="63"/>
  <c r="V198" i="63"/>
  <c r="V194" i="63"/>
  <c r="V190" i="63"/>
  <c r="V186" i="63"/>
  <c r="V182" i="63"/>
  <c r="V178" i="63"/>
  <c r="V174" i="63"/>
  <c r="V170" i="63"/>
  <c r="V166" i="63"/>
  <c r="V162" i="63"/>
  <c r="V158" i="63"/>
  <c r="V154" i="63"/>
  <c r="V150" i="63"/>
  <c r="V146" i="63"/>
  <c r="V142" i="63"/>
  <c r="V138" i="63"/>
  <c r="V134" i="63"/>
  <c r="V130" i="63"/>
  <c r="V126" i="63"/>
  <c r="V122" i="63"/>
  <c r="V118" i="63"/>
  <c r="V114" i="63"/>
  <c r="V110" i="63"/>
  <c r="V106" i="63"/>
  <c r="V102" i="63"/>
  <c r="V98" i="63"/>
  <c r="V94" i="63"/>
  <c r="V90" i="63"/>
  <c r="V86" i="63"/>
  <c r="V82" i="63"/>
  <c r="V78" i="63"/>
  <c r="V74" i="63"/>
  <c r="V70" i="63"/>
  <c r="V66" i="63"/>
  <c r="V62" i="63"/>
  <c r="V58" i="63"/>
  <c r="V54" i="63"/>
  <c r="V50" i="63"/>
  <c r="V46" i="63"/>
  <c r="V42" i="63"/>
  <c r="V34" i="63"/>
  <c r="V252" i="63"/>
  <c r="V244" i="63"/>
  <c r="V240" i="63"/>
  <c r="V236" i="63"/>
  <c r="V232" i="63"/>
  <c r="V228" i="63"/>
  <c r="V224" i="63"/>
  <c r="V220" i="63"/>
  <c r="V216" i="63"/>
  <c r="V212" i="63"/>
  <c r="V208" i="63"/>
  <c r="V204" i="63"/>
  <c r="V200" i="63"/>
  <c r="V196" i="63"/>
  <c r="V192" i="63"/>
  <c r="V188" i="63"/>
  <c r="V184" i="63"/>
  <c r="V180" i="63"/>
  <c r="V176" i="63"/>
  <c r="V172" i="63"/>
  <c r="V168" i="63"/>
  <c r="V164" i="63"/>
  <c r="V160" i="63"/>
  <c r="V156" i="63"/>
  <c r="V152" i="63"/>
  <c r="V148" i="63"/>
  <c r="V144" i="63"/>
  <c r="V140" i="63"/>
  <c r="V136" i="63"/>
  <c r="V132" i="63"/>
  <c r="V128" i="63"/>
  <c r="V124" i="63"/>
  <c r="V120" i="63"/>
  <c r="V116" i="63"/>
  <c r="V112" i="63"/>
  <c r="V108" i="63"/>
  <c r="V104" i="63"/>
  <c r="V100" i="63"/>
  <c r="V96" i="63"/>
  <c r="V92" i="63"/>
  <c r="V88" i="63"/>
  <c r="V84" i="63"/>
  <c r="V80" i="63"/>
  <c r="V76" i="63"/>
  <c r="V72" i="63"/>
  <c r="V68" i="63"/>
  <c r="V64" i="63"/>
  <c r="V60" i="63"/>
  <c r="V56" i="63"/>
  <c r="V52" i="63"/>
  <c r="V48" i="63"/>
  <c r="V44" i="63"/>
  <c r="V40" i="63"/>
  <c r="V36" i="63"/>
  <c r="Q44" i="64"/>
  <c r="S44" i="64"/>
  <c r="T44" i="64" s="1"/>
  <c r="V169" i="22"/>
  <c r="Y54" i="67"/>
  <c r="Q13" i="64"/>
  <c r="S13" i="64"/>
  <c r="T13" i="64" s="1"/>
  <c r="V32" i="63"/>
  <c r="W32" i="63"/>
  <c r="R32" i="63"/>
  <c r="V31" i="63"/>
  <c r="W31" i="63"/>
  <c r="R31" i="63"/>
  <c r="V30" i="63"/>
  <c r="W30" i="63"/>
  <c r="R30" i="63"/>
  <c r="V29" i="63"/>
  <c r="W29" i="63"/>
  <c r="R29" i="63"/>
  <c r="V28" i="63"/>
  <c r="W28" i="63"/>
  <c r="R28" i="63"/>
  <c r="V27" i="63"/>
  <c r="W27" i="63"/>
  <c r="R27" i="63"/>
  <c r="V26" i="63"/>
  <c r="W26" i="63"/>
  <c r="R26" i="63"/>
  <c r="W25" i="63"/>
  <c r="R25" i="63"/>
  <c r="V24" i="63"/>
  <c r="W24" i="63"/>
  <c r="R24" i="63"/>
  <c r="V23" i="63"/>
  <c r="W23" i="63"/>
  <c r="R23" i="63"/>
  <c r="V22" i="63"/>
  <c r="W22" i="63"/>
  <c r="R22" i="63"/>
  <c r="V21" i="63"/>
  <c r="W21" i="63"/>
  <c r="R21" i="63"/>
  <c r="V20" i="63"/>
  <c r="W20" i="63"/>
  <c r="R20" i="63"/>
  <c r="V19" i="63"/>
  <c r="W19" i="63"/>
  <c r="R19" i="63"/>
  <c r="V18" i="63"/>
  <c r="W18" i="63"/>
  <c r="R18" i="63"/>
  <c r="W17" i="63"/>
  <c r="R17" i="63"/>
  <c r="V16" i="63"/>
  <c r="W16" i="63"/>
  <c r="R16" i="63"/>
  <c r="V256" i="63"/>
  <c r="W256" i="63"/>
  <c r="R256" i="63"/>
  <c r="V47" i="63"/>
  <c r="W47" i="63"/>
  <c r="R47" i="63"/>
  <c r="V38" i="63"/>
  <c r="W38" i="63"/>
  <c r="R38" i="63"/>
  <c r="P259" i="64"/>
  <c r="Q259" i="64" s="1"/>
  <c r="T259" i="64"/>
  <c r="P258" i="64"/>
  <c r="Q258" i="64" s="1"/>
  <c r="T258" i="64"/>
  <c r="S12" i="64"/>
  <c r="T12" i="64" s="1"/>
  <c r="Q12" i="64"/>
  <c r="V15" i="63"/>
  <c r="W15" i="63"/>
  <c r="R15" i="63"/>
  <c r="Y10" i="67"/>
  <c r="T171" i="22"/>
  <c r="D185" i="36" s="1"/>
  <c r="H185" i="36" s="1"/>
  <c r="T168" i="22"/>
  <c r="D182" i="36" s="1"/>
  <c r="H182" i="36" s="1"/>
  <c r="V171" i="22"/>
  <c r="V168" i="22"/>
  <c r="V13" i="63"/>
  <c r="W13" i="63"/>
  <c r="V12" i="63"/>
  <c r="W12" i="63"/>
  <c r="V11" i="63"/>
  <c r="AE22" i="57"/>
  <c r="AF22" i="57" s="1"/>
  <c r="X23" i="57"/>
  <c r="AA21" i="53"/>
  <c r="AE21" i="53" s="1"/>
  <c r="AF21" i="53" s="1"/>
  <c r="AB21" i="53"/>
  <c r="X24" i="57"/>
  <c r="AA24" i="57" s="1"/>
  <c r="AB24" i="53"/>
  <c r="AA24" i="53"/>
  <c r="AF24" i="53"/>
  <c r="AE25" i="53"/>
  <c r="AC25" i="53"/>
  <c r="AE25" i="57"/>
  <c r="AC25" i="57"/>
  <c r="V248" i="63"/>
  <c r="W248" i="63"/>
  <c r="R248" i="63"/>
  <c r="H24" i="36"/>
  <c r="V257" i="63"/>
  <c r="V249" i="63"/>
  <c r="V241" i="63"/>
  <c r="V233" i="63"/>
  <c r="V225" i="63"/>
  <c r="V217" i="63"/>
  <c r="V209" i="63"/>
  <c r="V201" i="63"/>
  <c r="V193" i="63"/>
  <c r="V185" i="63"/>
  <c r="V177" i="63"/>
  <c r="V169" i="63"/>
  <c r="V161" i="63"/>
  <c r="V153" i="63"/>
  <c r="V145" i="63"/>
  <c r="V137" i="63"/>
  <c r="V129" i="63"/>
  <c r="V121" i="63"/>
  <c r="V113" i="63"/>
  <c r="V105" i="63"/>
  <c r="V97" i="63"/>
  <c r="V89" i="63"/>
  <c r="V81" i="63"/>
  <c r="V73" i="63"/>
  <c r="V65" i="63"/>
  <c r="V57" i="63"/>
  <c r="V49" i="63"/>
  <c r="V41" i="63"/>
  <c r="V33" i="63"/>
  <c r="V25" i="63"/>
  <c r="V17" i="63"/>
  <c r="Y17" i="63" s="1"/>
  <c r="R25" i="57"/>
  <c r="R25" i="53"/>
  <c r="X25" i="53" s="1"/>
  <c r="R13" i="63"/>
  <c r="W11" i="63"/>
  <c r="H27" i="36"/>
  <c r="R12" i="63"/>
  <c r="R11" i="63"/>
  <c r="G10" i="63"/>
  <c r="H21" i="36"/>
  <c r="AB12" i="68"/>
  <c r="X169" i="22" s="1"/>
  <c r="AG26" i="57"/>
  <c r="L26" i="57"/>
  <c r="AJ25" i="57"/>
  <c r="AP25" i="57"/>
  <c r="AG25" i="53"/>
  <c r="AH25" i="53"/>
  <c r="AT25" i="53"/>
  <c r="N26" i="57"/>
  <c r="N26" i="53"/>
  <c r="AD25" i="57"/>
  <c r="AD25" i="53"/>
  <c r="Q25" i="53"/>
  <c r="Q25" i="57"/>
  <c r="T25" i="57" s="1"/>
  <c r="AK25" i="52" a="1"/>
  <c r="AK25" i="52" s="1"/>
  <c r="B27" i="53" s="1"/>
  <c r="O27" i="53" s="1"/>
  <c r="G26" i="57"/>
  <c r="E26" i="57"/>
  <c r="P26" i="57"/>
  <c r="D26" i="57"/>
  <c r="C26" i="57"/>
  <c r="M26" i="57" s="1"/>
  <c r="K26" i="57"/>
  <c r="I26" i="57"/>
  <c r="H26" i="57"/>
  <c r="F26" i="57"/>
  <c r="J26" i="57"/>
  <c r="P26" i="53"/>
  <c r="L26" i="53"/>
  <c r="H26" i="53"/>
  <c r="D26" i="53"/>
  <c r="F26" i="53"/>
  <c r="I26" i="53"/>
  <c r="E26" i="53"/>
  <c r="K26" i="53"/>
  <c r="J26" i="53"/>
  <c r="M26" i="53"/>
  <c r="G26" i="53"/>
  <c r="C26" i="53"/>
  <c r="AK25" i="55" a="1"/>
  <c r="AK25" i="55" s="1"/>
  <c r="B27" i="57" s="1"/>
  <c r="O27" i="57" s="1"/>
  <c r="F255" i="64"/>
  <c r="F247" i="64"/>
  <c r="F239" i="64"/>
  <c r="F231" i="64"/>
  <c r="F223" i="64"/>
  <c r="F215" i="64"/>
  <c r="F207" i="64"/>
  <c r="F199" i="64"/>
  <c r="F191" i="64"/>
  <c r="F183" i="64"/>
  <c r="F175" i="64"/>
  <c r="F167" i="64"/>
  <c r="F159" i="64"/>
  <c r="F151" i="64"/>
  <c r="F143" i="64"/>
  <c r="F135" i="64"/>
  <c r="F127" i="64"/>
  <c r="F119" i="64"/>
  <c r="F111" i="64"/>
  <c r="F103" i="64"/>
  <c r="F95" i="64"/>
  <c r="F87" i="64"/>
  <c r="F79" i="64"/>
  <c r="F71" i="64"/>
  <c r="F63" i="64"/>
  <c r="F55" i="64"/>
  <c r="F47" i="64"/>
  <c r="F39" i="64"/>
  <c r="F31" i="64"/>
  <c r="F23" i="64"/>
  <c r="F15" i="64"/>
  <c r="F254" i="64"/>
  <c r="F246" i="64"/>
  <c r="F238" i="64"/>
  <c r="F230" i="64"/>
  <c r="F222" i="64"/>
  <c r="F214" i="64"/>
  <c r="F206" i="64"/>
  <c r="F198" i="64"/>
  <c r="F190" i="64"/>
  <c r="F182" i="64"/>
  <c r="F174" i="64"/>
  <c r="F166" i="64"/>
  <c r="F158" i="64"/>
  <c r="F150" i="64"/>
  <c r="F142" i="64"/>
  <c r="F134" i="64"/>
  <c r="F126" i="64"/>
  <c r="F118" i="64"/>
  <c r="F110" i="64"/>
  <c r="F102" i="64"/>
  <c r="F94" i="64"/>
  <c r="F86" i="64"/>
  <c r="F78" i="64"/>
  <c r="F70" i="64"/>
  <c r="F62" i="64"/>
  <c r="F54" i="64"/>
  <c r="F46" i="64"/>
  <c r="F38" i="64"/>
  <c r="F30" i="64"/>
  <c r="F22" i="64"/>
  <c r="F14" i="64"/>
  <c r="F253" i="64"/>
  <c r="F245" i="64"/>
  <c r="F237" i="64"/>
  <c r="F229" i="64"/>
  <c r="F221" i="64"/>
  <c r="F213" i="64"/>
  <c r="F205" i="64"/>
  <c r="F197" i="64"/>
  <c r="F189" i="64"/>
  <c r="F181" i="64"/>
  <c r="F173" i="64"/>
  <c r="F165" i="64"/>
  <c r="F157" i="64"/>
  <c r="F149" i="64"/>
  <c r="F141" i="64"/>
  <c r="F133" i="64"/>
  <c r="F125" i="64"/>
  <c r="F117" i="64"/>
  <c r="F109" i="64"/>
  <c r="F101" i="64"/>
  <c r="F93" i="64"/>
  <c r="F85" i="64"/>
  <c r="F77" i="64"/>
  <c r="F69" i="64"/>
  <c r="F61" i="64"/>
  <c r="F53" i="64"/>
  <c r="F45" i="64"/>
  <c r="F37" i="64"/>
  <c r="F29" i="64"/>
  <c r="F21" i="64"/>
  <c r="F13" i="64"/>
  <c r="F12" i="64"/>
  <c r="F252" i="64"/>
  <c r="F244" i="64"/>
  <c r="F236" i="64"/>
  <c r="F228" i="64"/>
  <c r="F220" i="64"/>
  <c r="F212" i="64"/>
  <c r="F204" i="64"/>
  <c r="F196" i="64"/>
  <c r="F188" i="64"/>
  <c r="F180" i="64"/>
  <c r="F172" i="64"/>
  <c r="F164" i="64"/>
  <c r="F156" i="64"/>
  <c r="F148" i="64"/>
  <c r="F140" i="64"/>
  <c r="F132" i="64"/>
  <c r="F124" i="64"/>
  <c r="F116" i="64"/>
  <c r="F108" i="64"/>
  <c r="F100" i="64"/>
  <c r="F92" i="64"/>
  <c r="F84" i="64"/>
  <c r="F76" i="64"/>
  <c r="F68" i="64"/>
  <c r="F60" i="64"/>
  <c r="F52" i="64"/>
  <c r="F44" i="64"/>
  <c r="F36" i="64"/>
  <c r="F28" i="64"/>
  <c r="F20" i="64"/>
  <c r="F251" i="64"/>
  <c r="F243" i="64"/>
  <c r="F235" i="64"/>
  <c r="F227" i="64"/>
  <c r="F219" i="64"/>
  <c r="F211" i="64"/>
  <c r="F203" i="64"/>
  <c r="F195" i="64"/>
  <c r="F187" i="64"/>
  <c r="F179" i="64"/>
  <c r="F171" i="64"/>
  <c r="F163" i="64"/>
  <c r="F155" i="64"/>
  <c r="F147" i="64"/>
  <c r="F139" i="64"/>
  <c r="F131" i="64"/>
  <c r="F123" i="64"/>
  <c r="F115" i="64"/>
  <c r="F107" i="64"/>
  <c r="F99" i="64"/>
  <c r="F91" i="64"/>
  <c r="F83" i="64"/>
  <c r="F75" i="64"/>
  <c r="F67" i="64"/>
  <c r="F59" i="64"/>
  <c r="F51" i="64"/>
  <c r="F43" i="64"/>
  <c r="F35" i="64"/>
  <c r="F27" i="64"/>
  <c r="F19" i="64"/>
  <c r="F250" i="64"/>
  <c r="F242" i="64"/>
  <c r="F234" i="64"/>
  <c r="F226" i="64"/>
  <c r="F218" i="64"/>
  <c r="F210" i="64"/>
  <c r="F202" i="64"/>
  <c r="F194" i="64"/>
  <c r="F186" i="64"/>
  <c r="F178" i="64"/>
  <c r="F170" i="64"/>
  <c r="F162" i="64"/>
  <c r="F154" i="64"/>
  <c r="F146" i="64"/>
  <c r="F138" i="64"/>
  <c r="F130" i="64"/>
  <c r="F122" i="64"/>
  <c r="F114" i="64"/>
  <c r="F106" i="64"/>
  <c r="F98" i="64"/>
  <c r="F90" i="64"/>
  <c r="F82" i="64"/>
  <c r="F74" i="64"/>
  <c r="F66" i="64"/>
  <c r="F58" i="64"/>
  <c r="F50" i="64"/>
  <c r="F42" i="64"/>
  <c r="F34" i="64"/>
  <c r="F26" i="64"/>
  <c r="F18" i="64"/>
  <c r="F257" i="64"/>
  <c r="F249" i="64"/>
  <c r="F241" i="64"/>
  <c r="F233" i="64"/>
  <c r="F225" i="64"/>
  <c r="F217" i="64"/>
  <c r="F209" i="64"/>
  <c r="F201" i="64"/>
  <c r="F193" i="64"/>
  <c r="F185" i="64"/>
  <c r="F177" i="64"/>
  <c r="F169" i="64"/>
  <c r="F161" i="64"/>
  <c r="F153" i="64"/>
  <c r="F145" i="64"/>
  <c r="F137" i="64"/>
  <c r="F129" i="64"/>
  <c r="F121" i="64"/>
  <c r="F113" i="64"/>
  <c r="F105" i="64"/>
  <c r="F97" i="64"/>
  <c r="F89" i="64"/>
  <c r="F81" i="64"/>
  <c r="F73" i="64"/>
  <c r="F65" i="64"/>
  <c r="F57" i="64"/>
  <c r="F49" i="64"/>
  <c r="F41" i="64"/>
  <c r="F33" i="64"/>
  <c r="F25" i="64"/>
  <c r="F17" i="64"/>
  <c r="F256" i="64"/>
  <c r="F248" i="64"/>
  <c r="F240" i="64"/>
  <c r="F232" i="64"/>
  <c r="F224" i="64"/>
  <c r="F216" i="64"/>
  <c r="F208" i="64"/>
  <c r="F200" i="64"/>
  <c r="F192" i="64"/>
  <c r="F184" i="64"/>
  <c r="F176" i="64"/>
  <c r="F168" i="64"/>
  <c r="F160" i="64"/>
  <c r="F152" i="64"/>
  <c r="F144" i="64"/>
  <c r="F136" i="64"/>
  <c r="F128" i="64"/>
  <c r="F120" i="64"/>
  <c r="F112" i="64"/>
  <c r="F104" i="64"/>
  <c r="F96" i="64"/>
  <c r="F88" i="64"/>
  <c r="F80" i="64"/>
  <c r="F72" i="64"/>
  <c r="F64" i="64"/>
  <c r="F56" i="64"/>
  <c r="F48" i="64"/>
  <c r="F40" i="64"/>
  <c r="F32" i="64"/>
  <c r="F24" i="64"/>
  <c r="F16" i="64"/>
  <c r="Z16" i="64" s="1"/>
  <c r="AM10" i="67" a="1"/>
  <c r="AM10" i="67" s="1"/>
  <c r="AM11" i="67" s="1" a="1"/>
  <c r="AM11" i="67" s="1"/>
  <c r="AM12" i="67" s="1" a="1"/>
  <c r="AM12" i="67" s="1"/>
  <c r="AN10" i="67" a="1"/>
  <c r="AN10" i="67" s="1"/>
  <c r="X258" i="67"/>
  <c r="AE23" i="57" l="1"/>
  <c r="AF23" i="57" s="1"/>
  <c r="AA23" i="57"/>
  <c r="L3" i="64"/>
  <c r="Z44" i="64"/>
  <c r="Y31" i="63"/>
  <c r="Y18" i="63"/>
  <c r="Y28" i="63"/>
  <c r="Y27" i="63"/>
  <c r="Y25" i="63"/>
  <c r="Y24" i="63"/>
  <c r="Y21" i="63"/>
  <c r="Y20" i="63"/>
  <c r="Y30" i="63"/>
  <c r="Y32" i="63"/>
  <c r="Y16" i="63"/>
  <c r="Y19" i="63"/>
  <c r="Y22" i="63"/>
  <c r="Y23" i="63"/>
  <c r="Y26" i="63"/>
  <c r="Y29" i="63"/>
  <c r="Y256" i="63"/>
  <c r="Y47" i="63"/>
  <c r="Y38" i="63"/>
  <c r="Y15" i="63"/>
  <c r="AB260" i="68"/>
  <c r="X168" i="22"/>
  <c r="Y13" i="63"/>
  <c r="Y12" i="63"/>
  <c r="Y11" i="63"/>
  <c r="AB23" i="57"/>
  <c r="X25" i="57"/>
  <c r="AA25" i="57" s="1"/>
  <c r="AB24" i="57"/>
  <c r="AF24" i="57"/>
  <c r="AA25" i="53"/>
  <c r="AB25" i="53"/>
  <c r="AE26" i="53"/>
  <c r="AC26" i="53"/>
  <c r="AF25" i="53"/>
  <c r="AE26" i="57"/>
  <c r="AC26" i="57"/>
  <c r="R26" i="57"/>
  <c r="R26" i="53"/>
  <c r="X26" i="53" s="1"/>
  <c r="R10" i="63"/>
  <c r="V10" i="63"/>
  <c r="W10" i="63"/>
  <c r="Z15" i="64"/>
  <c r="Z14" i="64"/>
  <c r="Z13" i="64"/>
  <c r="Z12" i="64"/>
  <c r="L171" i="22" s="1"/>
  <c r="AG27" i="57"/>
  <c r="L27" i="57"/>
  <c r="AJ26" i="57"/>
  <c r="AP26" i="57"/>
  <c r="AH26" i="53"/>
  <c r="AT26" i="53"/>
  <c r="AG26" i="53"/>
  <c r="N27" i="57"/>
  <c r="N27" i="53"/>
  <c r="AD26" i="57"/>
  <c r="AD26" i="53"/>
  <c r="AK26" i="52" a="1"/>
  <c r="AK26" i="52" s="1"/>
  <c r="B28" i="53" s="1"/>
  <c r="O28" i="53" s="1"/>
  <c r="Q26" i="53"/>
  <c r="H27" i="53"/>
  <c r="G27" i="53"/>
  <c r="P27" i="53"/>
  <c r="E27" i="53"/>
  <c r="D27" i="53"/>
  <c r="M27" i="53"/>
  <c r="C27" i="53"/>
  <c r="L27" i="53"/>
  <c r="K27" i="53"/>
  <c r="I27" i="53"/>
  <c r="F27" i="53"/>
  <c r="J27" i="53"/>
  <c r="I27" i="57"/>
  <c r="F27" i="57"/>
  <c r="E27" i="57"/>
  <c r="C27" i="57"/>
  <c r="M27" i="57" s="1"/>
  <c r="K27" i="57"/>
  <c r="J27" i="57"/>
  <c r="P27" i="57"/>
  <c r="H27" i="57"/>
  <c r="D27" i="57"/>
  <c r="G27" i="57"/>
  <c r="Q26" i="57"/>
  <c r="T26" i="57" s="1"/>
  <c r="AK26" i="55" a="1"/>
  <c r="AK26" i="55" s="1"/>
  <c r="B28" i="57" s="1"/>
  <c r="O28" i="57" s="1"/>
  <c r="AN11" i="67" a="1"/>
  <c r="AN11" i="67" s="1"/>
  <c r="B12" i="69"/>
  <c r="R258" i="67"/>
  <c r="H22" i="73" s="1"/>
  <c r="V258" i="67"/>
  <c r="AM13" i="67" a="1"/>
  <c r="AM13" i="67" s="1"/>
  <c r="W258" i="67"/>
  <c r="L169" i="22" l="1"/>
  <c r="Y10" i="63"/>
  <c r="Y258" i="67"/>
  <c r="L12" i="69"/>
  <c r="O12" i="69"/>
  <c r="AB25" i="57"/>
  <c r="AF25" i="57"/>
  <c r="AB26" i="53"/>
  <c r="AA26" i="53"/>
  <c r="AF26" i="53"/>
  <c r="AE27" i="53"/>
  <c r="AC27" i="53"/>
  <c r="X26" i="57"/>
  <c r="AA26" i="57" s="1"/>
  <c r="AE27" i="57"/>
  <c r="AC27" i="57"/>
  <c r="L168" i="22"/>
  <c r="L172" i="22"/>
  <c r="R27" i="57"/>
  <c r="R27" i="53"/>
  <c r="X27" i="53" s="1"/>
  <c r="Z260" i="64"/>
  <c r="AG28" i="57"/>
  <c r="L28" i="57"/>
  <c r="AJ27" i="57"/>
  <c r="AP27" i="57"/>
  <c r="AG27" i="53"/>
  <c r="AH27" i="53"/>
  <c r="AT27" i="53"/>
  <c r="N28" i="57"/>
  <c r="P28" i="53"/>
  <c r="N28" i="53"/>
  <c r="AD27" i="57"/>
  <c r="AD27" i="53"/>
  <c r="F28" i="53"/>
  <c r="K28" i="53"/>
  <c r="E28" i="53"/>
  <c r="I28" i="53"/>
  <c r="M28" i="53"/>
  <c r="J28" i="53"/>
  <c r="G28" i="53"/>
  <c r="AK27" i="52" a="1"/>
  <c r="AK27" i="52" s="1"/>
  <c r="B29" i="53" s="1"/>
  <c r="O29" i="53" s="1"/>
  <c r="C28" i="53"/>
  <c r="H28" i="53"/>
  <c r="D28" i="53"/>
  <c r="L28" i="53"/>
  <c r="Q27" i="57"/>
  <c r="T27" i="57" s="1"/>
  <c r="Q27" i="53"/>
  <c r="I28" i="57"/>
  <c r="H28" i="57"/>
  <c r="G28" i="57"/>
  <c r="E28" i="57"/>
  <c r="P28" i="57"/>
  <c r="D28" i="57"/>
  <c r="C28" i="57"/>
  <c r="M28" i="57" s="1"/>
  <c r="K28" i="57"/>
  <c r="F28" i="57"/>
  <c r="J28" i="57"/>
  <c r="AK27" i="55" a="1"/>
  <c r="AK27" i="55" s="1"/>
  <c r="B29" i="57" s="1"/>
  <c r="O29" i="57" s="1"/>
  <c r="B13" i="69"/>
  <c r="AN12" i="67" a="1"/>
  <c r="AN12" i="67" s="1"/>
  <c r="B14" i="69" s="1"/>
  <c r="C12" i="69"/>
  <c r="P12" i="69" s="1"/>
  <c r="AM14" i="67" a="1"/>
  <c r="AM14" i="67" s="1"/>
  <c r="AM15" i="67" s="1" a="1"/>
  <c r="AM15" i="67" s="1"/>
  <c r="L120" i="29"/>
  <c r="L119" i="29"/>
  <c r="M127" i="29"/>
  <c r="L127" i="29"/>
  <c r="M128" i="29"/>
  <c r="P66" i="11" s="1"/>
  <c r="Q66" i="11" s="1"/>
  <c r="L128" i="29"/>
  <c r="M129" i="29"/>
  <c r="L129" i="29"/>
  <c r="L14" i="69" l="1"/>
  <c r="O14" i="69"/>
  <c r="L13" i="69"/>
  <c r="O13" i="69"/>
  <c r="X27" i="57"/>
  <c r="AA27" i="57" s="1"/>
  <c r="AB27" i="53"/>
  <c r="AA27" i="53"/>
  <c r="AF27" i="53"/>
  <c r="AE28" i="53"/>
  <c r="AC28" i="53"/>
  <c r="AF26" i="57"/>
  <c r="AB26" i="57"/>
  <c r="AC28" i="57"/>
  <c r="AE28" i="57"/>
  <c r="R28" i="57"/>
  <c r="R28" i="53"/>
  <c r="X28" i="53" s="1"/>
  <c r="N12" i="69"/>
  <c r="P72" i="11"/>
  <c r="Q72" i="11" s="1"/>
  <c r="P71" i="11"/>
  <c r="Q71" i="11" s="1"/>
  <c r="D113" i="22"/>
  <c r="P51" i="11"/>
  <c r="Q51" i="11" s="1"/>
  <c r="L29" i="57"/>
  <c r="AG29" i="57"/>
  <c r="AJ28" i="57"/>
  <c r="AP28" i="57"/>
  <c r="AG28" i="53"/>
  <c r="AH28" i="53"/>
  <c r="AT28" i="53"/>
  <c r="N29" i="57"/>
  <c r="N29" i="53"/>
  <c r="AD28" i="57"/>
  <c r="Q28" i="53"/>
  <c r="AD28" i="53"/>
  <c r="H29" i="53"/>
  <c r="F29" i="53"/>
  <c r="K29" i="53"/>
  <c r="C29" i="53"/>
  <c r="L29" i="53"/>
  <c r="G29" i="53"/>
  <c r="E29" i="53"/>
  <c r="D29" i="53"/>
  <c r="P29" i="53"/>
  <c r="M29" i="53"/>
  <c r="AK28" i="52" a="1"/>
  <c r="AK28" i="52" s="1"/>
  <c r="B30" i="53" s="1"/>
  <c r="O30" i="53" s="1"/>
  <c r="J29" i="53"/>
  <c r="I29" i="53"/>
  <c r="P29" i="57"/>
  <c r="J29" i="57"/>
  <c r="G29" i="57"/>
  <c r="H29" i="57"/>
  <c r="D29" i="57"/>
  <c r="C29" i="57"/>
  <c r="M29" i="57" s="1"/>
  <c r="F29" i="57"/>
  <c r="E29" i="57"/>
  <c r="K29" i="57"/>
  <c r="I29" i="57"/>
  <c r="Q28" i="57"/>
  <c r="T28" i="57" s="1"/>
  <c r="AK28" i="55" a="1"/>
  <c r="AK28" i="55" s="1"/>
  <c r="B30" i="57" s="1"/>
  <c r="O30" i="57" s="1"/>
  <c r="AN13" i="67" a="1"/>
  <c r="AN13" i="67" s="1"/>
  <c r="D12" i="69"/>
  <c r="C14" i="69"/>
  <c r="C13" i="69"/>
  <c r="AM16" i="67" a="1"/>
  <c r="AM16" i="67" s="1"/>
  <c r="AM17" i="67" s="1" a="1"/>
  <c r="AM17" i="67" s="1"/>
  <c r="M125" i="29"/>
  <c r="L125" i="29"/>
  <c r="A130" i="22"/>
  <c r="F130" i="22" s="1"/>
  <c r="A129" i="22"/>
  <c r="F129" i="22" s="1"/>
  <c r="A128" i="22"/>
  <c r="D136" i="22"/>
  <c r="C136" i="22"/>
  <c r="B136" i="22"/>
  <c r="A136" i="22"/>
  <c r="F136" i="22" s="1"/>
  <c r="D135" i="22"/>
  <c r="C135" i="22"/>
  <c r="B135" i="22"/>
  <c r="A135" i="22"/>
  <c r="F135" i="22" s="1"/>
  <c r="D134" i="22"/>
  <c r="C134" i="22"/>
  <c r="B134" i="22"/>
  <c r="A134" i="22"/>
  <c r="F134" i="22" s="1"/>
  <c r="D133" i="22"/>
  <c r="C133" i="22"/>
  <c r="B133" i="22"/>
  <c r="A133" i="22"/>
  <c r="F133" i="22" s="1"/>
  <c r="D132" i="22"/>
  <c r="C132" i="22"/>
  <c r="B132" i="22"/>
  <c r="A132" i="22"/>
  <c r="F132" i="22" s="1"/>
  <c r="D131" i="22"/>
  <c r="C131" i="22"/>
  <c r="B131" i="22"/>
  <c r="A131" i="22"/>
  <c r="F131" i="22" s="1"/>
  <c r="D130" i="22"/>
  <c r="C130" i="22"/>
  <c r="B130" i="22"/>
  <c r="D129" i="22"/>
  <c r="C129" i="22"/>
  <c r="B129" i="22"/>
  <c r="A127" i="22"/>
  <c r="F127" i="22" s="1"/>
  <c r="A126" i="22"/>
  <c r="F126" i="22" s="1"/>
  <c r="B126" i="22"/>
  <c r="C126" i="22"/>
  <c r="AO13" i="69" l="1"/>
  <c r="P13" i="69"/>
  <c r="AO14" i="69"/>
  <c r="P14" i="69"/>
  <c r="U12" i="69"/>
  <c r="AF12" i="69"/>
  <c r="AF27" i="57"/>
  <c r="AB27" i="57"/>
  <c r="AB28" i="53"/>
  <c r="AA28" i="53"/>
  <c r="AE29" i="53"/>
  <c r="AC29" i="53"/>
  <c r="AF28" i="53"/>
  <c r="X28" i="57"/>
  <c r="AE29" i="57"/>
  <c r="AC29" i="57"/>
  <c r="R29" i="57"/>
  <c r="R29" i="53"/>
  <c r="X29" i="53" s="1"/>
  <c r="AE12" i="69"/>
  <c r="AH12" i="69" s="1"/>
  <c r="AX12" i="69"/>
  <c r="E126" i="22"/>
  <c r="S126" i="22"/>
  <c r="S130" i="22"/>
  <c r="E130" i="22"/>
  <c r="S132" i="22"/>
  <c r="E132" i="22"/>
  <c r="E134" i="22"/>
  <c r="S134" i="22"/>
  <c r="E136" i="22"/>
  <c r="S136" i="22"/>
  <c r="S131" i="22"/>
  <c r="E131" i="22"/>
  <c r="E133" i="22"/>
  <c r="S133" i="22"/>
  <c r="E135" i="22"/>
  <c r="S135" i="22"/>
  <c r="E129" i="22"/>
  <c r="S129" i="22"/>
  <c r="D126" i="22"/>
  <c r="P67" i="11"/>
  <c r="Q67" i="11" s="1"/>
  <c r="I129" i="22"/>
  <c r="I131" i="22"/>
  <c r="W132" i="22"/>
  <c r="I134" i="22"/>
  <c r="AG30" i="57"/>
  <c r="L30" i="57"/>
  <c r="AJ29" i="57"/>
  <c r="AP29" i="57"/>
  <c r="AH29" i="53"/>
  <c r="AT29" i="53"/>
  <c r="AG29" i="53"/>
  <c r="N30" i="57"/>
  <c r="L30" i="53"/>
  <c r="N30" i="53"/>
  <c r="AD29" i="57"/>
  <c r="AD29" i="53"/>
  <c r="Q29" i="53"/>
  <c r="AK29" i="52" a="1"/>
  <c r="AK29" i="52" s="1"/>
  <c r="B31" i="53" s="1"/>
  <c r="O31" i="53" s="1"/>
  <c r="G30" i="53"/>
  <c r="I30" i="53"/>
  <c r="P30" i="53"/>
  <c r="M30" i="53"/>
  <c r="J30" i="53"/>
  <c r="D30" i="53"/>
  <c r="E30" i="53"/>
  <c r="K30" i="53"/>
  <c r="C30" i="53"/>
  <c r="F30" i="53"/>
  <c r="H30" i="53"/>
  <c r="K30" i="57"/>
  <c r="I30" i="57"/>
  <c r="H30" i="57"/>
  <c r="G30" i="57"/>
  <c r="E30" i="57"/>
  <c r="P30" i="57"/>
  <c r="D30" i="57"/>
  <c r="C30" i="57"/>
  <c r="M30" i="57" s="1"/>
  <c r="F30" i="57"/>
  <c r="J30" i="57"/>
  <c r="Q29" i="57"/>
  <c r="T29" i="57" s="1"/>
  <c r="AK29" i="55" a="1"/>
  <c r="AK29" i="55" s="1"/>
  <c r="B31" i="57" s="1"/>
  <c r="O31" i="57" s="1"/>
  <c r="X126" i="22"/>
  <c r="AN14" i="67" a="1"/>
  <c r="AN14" i="67" s="1"/>
  <c r="B16" i="69" s="1"/>
  <c r="B15" i="69"/>
  <c r="D13" i="69"/>
  <c r="E13" i="69" s="1"/>
  <c r="F13" i="69" s="1"/>
  <c r="G13" i="69" s="1"/>
  <c r="H13" i="69" s="1"/>
  <c r="I13" i="69" s="1"/>
  <c r="J13" i="69" s="1"/>
  <c r="K13" i="69" s="1"/>
  <c r="M13" i="69" s="1"/>
  <c r="N13" i="69"/>
  <c r="AF13" i="69" s="1"/>
  <c r="D14" i="69"/>
  <c r="E14" i="69" s="1"/>
  <c r="F14" i="69" s="1"/>
  <c r="G14" i="69" s="1"/>
  <c r="H14" i="69" s="1"/>
  <c r="I14" i="69" s="1"/>
  <c r="J14" i="69" s="1"/>
  <c r="K14" i="69" s="1"/>
  <c r="M14" i="69" s="1"/>
  <c r="N14" i="69"/>
  <c r="AF14" i="69" s="1"/>
  <c r="R12" i="69"/>
  <c r="S12" i="69" s="1"/>
  <c r="Q12" i="69"/>
  <c r="E12" i="69"/>
  <c r="F12" i="69" s="1"/>
  <c r="AM18" i="67" a="1"/>
  <c r="AM18" i="67" s="1"/>
  <c r="W131" i="22"/>
  <c r="W126" i="22"/>
  <c r="L126" i="22"/>
  <c r="I133" i="22"/>
  <c r="V126" i="22"/>
  <c r="W130" i="22"/>
  <c r="I132" i="22"/>
  <c r="W133" i="22"/>
  <c r="W129" i="22"/>
  <c r="V135" i="22"/>
  <c r="L135" i="22"/>
  <c r="H135" i="22"/>
  <c r="U135" i="22"/>
  <c r="K135" i="22"/>
  <c r="G135" i="22"/>
  <c r="V136" i="22"/>
  <c r="L136" i="22"/>
  <c r="H136" i="22"/>
  <c r="U136" i="22"/>
  <c r="K136" i="22"/>
  <c r="G136" i="22"/>
  <c r="V129" i="22"/>
  <c r="V131" i="22"/>
  <c r="L131" i="22"/>
  <c r="H131" i="22"/>
  <c r="J131" i="22"/>
  <c r="X131" i="22"/>
  <c r="V132" i="22"/>
  <c r="L132" i="22"/>
  <c r="H132" i="22"/>
  <c r="J132" i="22"/>
  <c r="X132" i="22"/>
  <c r="V133" i="22"/>
  <c r="L133" i="22"/>
  <c r="H133" i="22"/>
  <c r="J133" i="22"/>
  <c r="X133" i="22"/>
  <c r="V134" i="22"/>
  <c r="L134" i="22"/>
  <c r="H134" i="22"/>
  <c r="U134" i="22"/>
  <c r="J134" i="22"/>
  <c r="T134" i="22"/>
  <c r="T135" i="22"/>
  <c r="T136" i="22"/>
  <c r="K129" i="22"/>
  <c r="T129" i="22"/>
  <c r="K130" i="22"/>
  <c r="K131" i="22"/>
  <c r="T131" i="22"/>
  <c r="K132" i="22"/>
  <c r="T132" i="22"/>
  <c r="K133" i="22"/>
  <c r="T133" i="22"/>
  <c r="K134" i="22"/>
  <c r="W134" i="22"/>
  <c r="I135" i="22"/>
  <c r="W135" i="22"/>
  <c r="I136" i="22"/>
  <c r="W136" i="22"/>
  <c r="G129" i="22"/>
  <c r="U129" i="22"/>
  <c r="G130" i="22"/>
  <c r="U130" i="22"/>
  <c r="G131" i="22"/>
  <c r="U131" i="22"/>
  <c r="G132" i="22"/>
  <c r="U132" i="22"/>
  <c r="G133" i="22"/>
  <c r="U133" i="22"/>
  <c r="G134" i="22"/>
  <c r="X134" i="22"/>
  <c r="J135" i="22"/>
  <c r="X135" i="22"/>
  <c r="J136" i="22"/>
  <c r="X136" i="22"/>
  <c r="U126" i="22"/>
  <c r="K126" i="22"/>
  <c r="G126" i="22"/>
  <c r="T126" i="22"/>
  <c r="AB28" i="57" l="1"/>
  <c r="AA28" i="57"/>
  <c r="L15" i="69"/>
  <c r="O15" i="69"/>
  <c r="G12" i="69"/>
  <c r="H12" i="69" s="1"/>
  <c r="I12" i="69" s="1"/>
  <c r="J12" i="69" s="1"/>
  <c r="K12" i="69" s="1"/>
  <c r="M12" i="69" s="1"/>
  <c r="L16" i="69"/>
  <c r="O16" i="69"/>
  <c r="X29" i="57"/>
  <c r="AA29" i="57" s="1"/>
  <c r="AA29" i="53"/>
  <c r="AB29" i="53"/>
  <c r="AE30" i="53"/>
  <c r="AC30" i="53"/>
  <c r="AF29" i="53"/>
  <c r="AF28" i="57"/>
  <c r="AE30" i="57"/>
  <c r="AC30" i="57"/>
  <c r="R30" i="57"/>
  <c r="R30" i="53"/>
  <c r="X30" i="53" s="1"/>
  <c r="AX14" i="69"/>
  <c r="I126" i="22"/>
  <c r="AX13" i="69"/>
  <c r="AG31" i="57"/>
  <c r="L31" i="57"/>
  <c r="AJ30" i="57"/>
  <c r="AP30" i="57"/>
  <c r="AH30" i="53"/>
  <c r="AT30" i="53"/>
  <c r="AG30" i="53"/>
  <c r="N31" i="57"/>
  <c r="N31" i="53"/>
  <c r="AD30" i="57"/>
  <c r="AD30" i="53"/>
  <c r="Q30" i="53"/>
  <c r="AK30" i="52" a="1"/>
  <c r="AK30" i="52" s="1"/>
  <c r="B32" i="53" s="1"/>
  <c r="O32" i="53" s="1"/>
  <c r="F31" i="53"/>
  <c r="K31" i="53"/>
  <c r="M31" i="53"/>
  <c r="P31" i="53"/>
  <c r="H31" i="53"/>
  <c r="L31" i="53"/>
  <c r="J31" i="53"/>
  <c r="I31" i="53"/>
  <c r="C31" i="53"/>
  <c r="E31" i="53"/>
  <c r="G31" i="53"/>
  <c r="D31" i="53"/>
  <c r="Q30" i="57"/>
  <c r="T30" i="57" s="1"/>
  <c r="K31" i="57"/>
  <c r="I31" i="57"/>
  <c r="F31" i="57"/>
  <c r="C31" i="57"/>
  <c r="M31" i="57" s="1"/>
  <c r="E31" i="57"/>
  <c r="P31" i="57"/>
  <c r="J31" i="57"/>
  <c r="H31" i="57"/>
  <c r="D31" i="57"/>
  <c r="G31" i="57"/>
  <c r="AK30" i="55" a="1"/>
  <c r="AK30" i="55" s="1"/>
  <c r="B32" i="57" s="1"/>
  <c r="O32" i="57" s="1"/>
  <c r="AE14" i="69"/>
  <c r="AH14" i="69" s="1"/>
  <c r="Q14" i="69"/>
  <c r="U14" i="69"/>
  <c r="R14" i="69"/>
  <c r="S14" i="69" s="1"/>
  <c r="Y14" i="69" s="1"/>
  <c r="AB14" i="69" s="1"/>
  <c r="AC14" i="69" s="1"/>
  <c r="AD14" i="69" s="1"/>
  <c r="AN15" i="67" a="1"/>
  <c r="AN15" i="67" s="1"/>
  <c r="AE13" i="69"/>
  <c r="AH13" i="69" s="1"/>
  <c r="R13" i="69"/>
  <c r="S13" i="69" s="1"/>
  <c r="Y13" i="69" s="1"/>
  <c r="Q13" i="69"/>
  <c r="U13" i="69"/>
  <c r="C15" i="69"/>
  <c r="P15" i="69" s="1"/>
  <c r="C16" i="69"/>
  <c r="AM19" i="67" a="1"/>
  <c r="AM19" i="67" s="1"/>
  <c r="E121" i="28"/>
  <c r="D121" i="28"/>
  <c r="C121" i="28"/>
  <c r="B121" i="28"/>
  <c r="D128" i="22"/>
  <c r="C128" i="22"/>
  <c r="B128" i="22"/>
  <c r="Y12" i="69" l="1"/>
  <c r="AG12" i="69" s="1"/>
  <c r="AB13" i="69"/>
  <c r="AC13" i="69" s="1"/>
  <c r="AD13" i="69" s="1"/>
  <c r="AG13" i="69"/>
  <c r="AG14" i="69"/>
  <c r="AO16" i="69"/>
  <c r="P16" i="69"/>
  <c r="AF29" i="57"/>
  <c r="AB29" i="57"/>
  <c r="AE31" i="53"/>
  <c r="AC31" i="53"/>
  <c r="AF30" i="53"/>
  <c r="AB30" i="53"/>
  <c r="AA30" i="53"/>
  <c r="X30" i="57"/>
  <c r="AE31" i="57"/>
  <c r="AC31" i="57"/>
  <c r="R31" i="57"/>
  <c r="R31" i="53"/>
  <c r="X31" i="53" s="1"/>
  <c r="N15" i="69"/>
  <c r="AF15" i="69" s="1"/>
  <c r="AO15" i="69"/>
  <c r="E128" i="22"/>
  <c r="S128" i="22"/>
  <c r="AG32" i="57"/>
  <c r="L32" i="57"/>
  <c r="AJ31" i="57"/>
  <c r="AP31" i="57"/>
  <c r="AG31" i="53"/>
  <c r="AH31" i="53"/>
  <c r="AT31" i="53"/>
  <c r="N32" i="57"/>
  <c r="N32" i="53"/>
  <c r="AD31" i="57"/>
  <c r="AD31" i="53"/>
  <c r="AK31" i="52" a="1"/>
  <c r="AK31" i="52" s="1"/>
  <c r="B33" i="53" s="1"/>
  <c r="O33" i="53" s="1"/>
  <c r="L32" i="53"/>
  <c r="C32" i="53"/>
  <c r="G32" i="53"/>
  <c r="P32" i="53"/>
  <c r="E32" i="53"/>
  <c r="F32" i="53"/>
  <c r="Q31" i="53"/>
  <c r="J32" i="53"/>
  <c r="M32" i="53"/>
  <c r="I32" i="53"/>
  <c r="H32" i="53"/>
  <c r="D32" i="53"/>
  <c r="K32" i="53"/>
  <c r="H32" i="57"/>
  <c r="G32" i="57"/>
  <c r="E32" i="57"/>
  <c r="P32" i="57"/>
  <c r="D32" i="57"/>
  <c r="C32" i="57"/>
  <c r="M32" i="57" s="1"/>
  <c r="K32" i="57"/>
  <c r="I32" i="57"/>
  <c r="F32" i="57"/>
  <c r="J32" i="57"/>
  <c r="Q31" i="57"/>
  <c r="T31" i="57" s="1"/>
  <c r="AK31" i="55" a="1"/>
  <c r="AK31" i="55" s="1"/>
  <c r="B33" i="57" s="1"/>
  <c r="O33" i="57" s="1"/>
  <c r="AN16" i="67" a="1"/>
  <c r="AN16" i="67" s="1"/>
  <c r="B18" i="69" s="1"/>
  <c r="B17" i="69"/>
  <c r="D16" i="69"/>
  <c r="E16" i="69" s="1"/>
  <c r="F16" i="69" s="1"/>
  <c r="G16" i="69" s="1"/>
  <c r="H16" i="69" s="1"/>
  <c r="I16" i="69" s="1"/>
  <c r="J16" i="69" s="1"/>
  <c r="K16" i="69" s="1"/>
  <c r="M16" i="69" s="1"/>
  <c r="N16" i="69"/>
  <c r="AF16" i="69" s="1"/>
  <c r="D15" i="69"/>
  <c r="AM20" i="67" a="1"/>
  <c r="AM20" i="67" s="1"/>
  <c r="W128" i="22"/>
  <c r="T128" i="22"/>
  <c r="G128" i="22"/>
  <c r="K128" i="22"/>
  <c r="U128" i="22"/>
  <c r="L128" i="22"/>
  <c r="V128" i="22"/>
  <c r="Y4" i="28"/>
  <c r="Z4" i="28" s="1"/>
  <c r="Y5" i="28"/>
  <c r="Z5" i="28" s="1"/>
  <c r="Y6" i="28"/>
  <c r="Z6" i="28" s="1"/>
  <c r="A3" i="28"/>
  <c r="B3" i="28"/>
  <c r="D3" i="28"/>
  <c r="A4" i="28"/>
  <c r="B4" i="28"/>
  <c r="D4" i="28"/>
  <c r="A5" i="28"/>
  <c r="B5" i="28"/>
  <c r="D5" i="28"/>
  <c r="A6" i="28"/>
  <c r="B6" i="28"/>
  <c r="D6" i="28"/>
  <c r="A7" i="28"/>
  <c r="B7" i="28"/>
  <c r="D7" i="28"/>
  <c r="A8" i="28"/>
  <c r="B8" i="28"/>
  <c r="D8" i="28"/>
  <c r="A9" i="28"/>
  <c r="B9" i="28"/>
  <c r="D9" i="28"/>
  <c r="A10" i="28"/>
  <c r="B10" i="28"/>
  <c r="D10" i="28"/>
  <c r="A11" i="28"/>
  <c r="B11" i="28"/>
  <c r="D11" i="28"/>
  <c r="A12" i="28"/>
  <c r="B12" i="28"/>
  <c r="D12" i="28"/>
  <c r="A13" i="28"/>
  <c r="B13" i="28"/>
  <c r="D13" i="28"/>
  <c r="A14" i="28"/>
  <c r="B14" i="28"/>
  <c r="D14" i="28"/>
  <c r="A15" i="28"/>
  <c r="B15" i="28"/>
  <c r="D15" i="28"/>
  <c r="A16" i="28"/>
  <c r="B16" i="28"/>
  <c r="D16" i="28"/>
  <c r="A17" i="28"/>
  <c r="B17" i="28"/>
  <c r="D17" i="28"/>
  <c r="A18" i="28"/>
  <c r="B18" i="28"/>
  <c r="D18" i="28"/>
  <c r="A19" i="28"/>
  <c r="B19" i="28"/>
  <c r="D19" i="28"/>
  <c r="A20" i="28"/>
  <c r="B20" i="28"/>
  <c r="D20" i="28"/>
  <c r="A21" i="28"/>
  <c r="B21" i="28"/>
  <c r="D21" i="28"/>
  <c r="A22" i="28"/>
  <c r="B22" i="28"/>
  <c r="D22" i="28"/>
  <c r="A23" i="28"/>
  <c r="B23" i="28"/>
  <c r="D23" i="28"/>
  <c r="A24" i="28"/>
  <c r="B24" i="28"/>
  <c r="D24" i="28"/>
  <c r="A25" i="28"/>
  <c r="B25" i="28"/>
  <c r="D25" i="28"/>
  <c r="A26" i="28"/>
  <c r="B26" i="28"/>
  <c r="D26" i="28"/>
  <c r="A27" i="28"/>
  <c r="B27" i="28"/>
  <c r="D27" i="28"/>
  <c r="A28" i="28"/>
  <c r="B28" i="28"/>
  <c r="D28" i="28"/>
  <c r="A29" i="28"/>
  <c r="B29" i="28"/>
  <c r="D29" i="28"/>
  <c r="A30" i="28"/>
  <c r="B30" i="28"/>
  <c r="D30" i="28"/>
  <c r="A31" i="28"/>
  <c r="B31" i="28"/>
  <c r="D31" i="28"/>
  <c r="A32" i="28"/>
  <c r="A33" i="28"/>
  <c r="B33" i="28"/>
  <c r="D33" i="28"/>
  <c r="A34" i="28"/>
  <c r="B34" i="28"/>
  <c r="D34" i="28"/>
  <c r="A35" i="28"/>
  <c r="B35" i="28"/>
  <c r="D35" i="28"/>
  <c r="A36" i="28"/>
  <c r="B36" i="28"/>
  <c r="D36" i="28"/>
  <c r="A37" i="28"/>
  <c r="B37" i="28"/>
  <c r="D37" i="28"/>
  <c r="A38" i="28"/>
  <c r="B38" i="28"/>
  <c r="D38" i="28"/>
  <c r="A39" i="28"/>
  <c r="B39" i="28"/>
  <c r="D39" i="28"/>
  <c r="A40" i="28"/>
  <c r="B40" i="28"/>
  <c r="D40" i="28"/>
  <c r="A41" i="28"/>
  <c r="B41" i="28"/>
  <c r="D41" i="28"/>
  <c r="A42" i="28"/>
  <c r="B42" i="28"/>
  <c r="D42" i="28"/>
  <c r="A43" i="28"/>
  <c r="B43" i="28"/>
  <c r="D43" i="28"/>
  <c r="A44" i="28"/>
  <c r="B44" i="28"/>
  <c r="D44" i="28"/>
  <c r="A45" i="28"/>
  <c r="B45" i="28"/>
  <c r="D45" i="28"/>
  <c r="A46" i="28"/>
  <c r="B46" i="28"/>
  <c r="D46" i="28"/>
  <c r="A47" i="28"/>
  <c r="B47" i="28"/>
  <c r="D47" i="28"/>
  <c r="A48" i="28"/>
  <c r="B48" i="28"/>
  <c r="D48" i="28"/>
  <c r="A49" i="28"/>
  <c r="B49" i="28"/>
  <c r="D49" i="28"/>
  <c r="A50" i="28"/>
  <c r="B50" i="28"/>
  <c r="D50" i="28"/>
  <c r="B51" i="28"/>
  <c r="D51" i="28"/>
  <c r="A52" i="28"/>
  <c r="B52" i="28"/>
  <c r="D52" i="28"/>
  <c r="A53" i="28"/>
  <c r="B53" i="28"/>
  <c r="D53" i="28"/>
  <c r="A54" i="28"/>
  <c r="B54" i="28"/>
  <c r="D54" i="28"/>
  <c r="A55" i="28"/>
  <c r="B55" i="28"/>
  <c r="D55" i="28"/>
  <c r="A56" i="28"/>
  <c r="B56" i="28"/>
  <c r="D56" i="28"/>
  <c r="A57" i="28"/>
  <c r="B57" i="28"/>
  <c r="D57" i="28"/>
  <c r="A58" i="28"/>
  <c r="B58" i="28"/>
  <c r="D58" i="28"/>
  <c r="A59" i="28"/>
  <c r="B59" i="28"/>
  <c r="D59" i="28"/>
  <c r="A60" i="28"/>
  <c r="B60" i="28"/>
  <c r="D60" i="28"/>
  <c r="A61" i="28"/>
  <c r="B61" i="28"/>
  <c r="D61" i="28"/>
  <c r="A62" i="28"/>
  <c r="B62" i="28"/>
  <c r="D62" i="28"/>
  <c r="A63" i="28"/>
  <c r="B63" i="28"/>
  <c r="D63" i="28"/>
  <c r="A64" i="28"/>
  <c r="B64" i="28"/>
  <c r="D64" i="28"/>
  <c r="A65" i="28"/>
  <c r="B65" i="28"/>
  <c r="D65" i="28"/>
  <c r="A66" i="28"/>
  <c r="B66" i="28"/>
  <c r="D66" i="28"/>
  <c r="A67" i="28"/>
  <c r="B67" i="28"/>
  <c r="D67" i="28"/>
  <c r="A68" i="28"/>
  <c r="B68" i="28"/>
  <c r="D68" i="28"/>
  <c r="A69" i="28"/>
  <c r="B69" i="28"/>
  <c r="D69" i="28"/>
  <c r="A70" i="28"/>
  <c r="B70" i="28"/>
  <c r="D70" i="28"/>
  <c r="A71" i="28"/>
  <c r="B71" i="28"/>
  <c r="D71" i="28"/>
  <c r="A72" i="28"/>
  <c r="B72" i="28"/>
  <c r="D72" i="28"/>
  <c r="A73" i="28"/>
  <c r="B73" i="28"/>
  <c r="D73" i="28"/>
  <c r="A74" i="28"/>
  <c r="B74" i="28"/>
  <c r="D74" i="28"/>
  <c r="A75" i="28"/>
  <c r="B75" i="28"/>
  <c r="D75" i="28"/>
  <c r="A76" i="28"/>
  <c r="B76" i="28"/>
  <c r="D76" i="28"/>
  <c r="A77" i="28"/>
  <c r="B77" i="28"/>
  <c r="D77" i="28"/>
  <c r="A78" i="28"/>
  <c r="B78" i="28"/>
  <c r="D78" i="28"/>
  <c r="A79" i="28"/>
  <c r="B79" i="28"/>
  <c r="D79" i="28"/>
  <c r="A80" i="28"/>
  <c r="B80" i="28"/>
  <c r="D80" i="28"/>
  <c r="A81" i="28"/>
  <c r="B81" i="28"/>
  <c r="D81" i="28"/>
  <c r="A82" i="28"/>
  <c r="B82" i="28"/>
  <c r="D82" i="28"/>
  <c r="A83" i="28"/>
  <c r="B83" i="28"/>
  <c r="D83" i="28"/>
  <c r="A84" i="28"/>
  <c r="B84" i="28"/>
  <c r="D84" i="28"/>
  <c r="A85" i="28"/>
  <c r="B85" i="28"/>
  <c r="D85" i="28"/>
  <c r="A86" i="28"/>
  <c r="B86" i="28"/>
  <c r="D86" i="28"/>
  <c r="A87" i="28"/>
  <c r="B87" i="28"/>
  <c r="D87" i="28"/>
  <c r="A88" i="28"/>
  <c r="B88" i="28"/>
  <c r="D88" i="28"/>
  <c r="A89" i="28"/>
  <c r="B89" i="28"/>
  <c r="D89" i="28"/>
  <c r="A90" i="28"/>
  <c r="B90" i="28"/>
  <c r="D90" i="28"/>
  <c r="A91" i="28"/>
  <c r="B91" i="28"/>
  <c r="D91" i="28"/>
  <c r="A92" i="28"/>
  <c r="B92" i="28"/>
  <c r="D92" i="28"/>
  <c r="A93" i="28"/>
  <c r="B93" i="28"/>
  <c r="D93" i="28"/>
  <c r="A94" i="28"/>
  <c r="B94" i="28"/>
  <c r="D94" i="28"/>
  <c r="A95" i="28"/>
  <c r="B95" i="28"/>
  <c r="D95" i="28"/>
  <c r="A96" i="28"/>
  <c r="B96" i="28"/>
  <c r="D96" i="28"/>
  <c r="A97" i="28"/>
  <c r="B97" i="28"/>
  <c r="D97" i="28"/>
  <c r="A98" i="28"/>
  <c r="B98" i="28"/>
  <c r="D98" i="28"/>
  <c r="A99" i="28"/>
  <c r="D99" i="28"/>
  <c r="A100" i="28"/>
  <c r="B100" i="28"/>
  <c r="D100" i="28"/>
  <c r="A101" i="28"/>
  <c r="B101" i="28"/>
  <c r="D101" i="28"/>
  <c r="A102" i="28"/>
  <c r="B102" i="28"/>
  <c r="D102" i="28"/>
  <c r="A103" i="28"/>
  <c r="B103" i="28"/>
  <c r="D103" i="28"/>
  <c r="A104" i="28"/>
  <c r="B104" i="28"/>
  <c r="D104" i="28"/>
  <c r="A105" i="28"/>
  <c r="B105" i="28"/>
  <c r="D105" i="28"/>
  <c r="A106" i="28"/>
  <c r="B106" i="28"/>
  <c r="D106" i="28"/>
  <c r="A107" i="28"/>
  <c r="B107" i="28"/>
  <c r="D107" i="28"/>
  <c r="A108" i="28"/>
  <c r="D108" i="28"/>
  <c r="A109" i="28"/>
  <c r="B109" i="28"/>
  <c r="D109" i="28"/>
  <c r="A110" i="28"/>
  <c r="B110" i="28"/>
  <c r="D110" i="28"/>
  <c r="A111" i="28"/>
  <c r="B111" i="28"/>
  <c r="D111" i="28"/>
  <c r="A112" i="28"/>
  <c r="B112" i="28"/>
  <c r="D112" i="28"/>
  <c r="A113" i="28"/>
  <c r="B113" i="28"/>
  <c r="D113" i="28"/>
  <c r="A114" i="28"/>
  <c r="B114" i="28"/>
  <c r="D114" i="28"/>
  <c r="A115" i="28"/>
  <c r="B115" i="28"/>
  <c r="D115" i="28"/>
  <c r="A116" i="28"/>
  <c r="B116" i="28"/>
  <c r="D116" i="28"/>
  <c r="A117" i="28"/>
  <c r="B117" i="28"/>
  <c r="D117" i="28"/>
  <c r="A118" i="28"/>
  <c r="B118" i="28"/>
  <c r="D118" i="28"/>
  <c r="A119" i="28"/>
  <c r="B119" i="28"/>
  <c r="D119" i="28"/>
  <c r="A120" i="28"/>
  <c r="B120" i="28"/>
  <c r="D120" i="28"/>
  <c r="AB30" i="57" l="1"/>
  <c r="AA30" i="57"/>
  <c r="AB12" i="69"/>
  <c r="AC12" i="69" s="1"/>
  <c r="AD12" i="69" s="1"/>
  <c r="L18" i="69"/>
  <c r="O18" i="69"/>
  <c r="L17" i="69"/>
  <c r="O17" i="69"/>
  <c r="W8" i="78"/>
  <c r="U8" i="78"/>
  <c r="W7" i="78"/>
  <c r="U7" i="78"/>
  <c r="W6" i="78"/>
  <c r="U6" i="78"/>
  <c r="U9" i="78" s="1"/>
  <c r="U11" i="71"/>
  <c r="AB31" i="53"/>
  <c r="AA31" i="53"/>
  <c r="AE32" i="53"/>
  <c r="AC32" i="53"/>
  <c r="AF31" i="53"/>
  <c r="AF30" i="57"/>
  <c r="X31" i="57"/>
  <c r="AC32" i="57"/>
  <c r="AE32" i="57"/>
  <c r="AX15" i="69"/>
  <c r="R32" i="57"/>
  <c r="R32" i="53"/>
  <c r="X32" i="53" s="1"/>
  <c r="AO12" i="69"/>
  <c r="U12" i="46"/>
  <c r="U15" i="46"/>
  <c r="U14" i="46"/>
  <c r="U19" i="46"/>
  <c r="U34" i="46"/>
  <c r="U16" i="46"/>
  <c r="U33" i="46"/>
  <c r="U22" i="46"/>
  <c r="U25" i="46"/>
  <c r="U18" i="46"/>
  <c r="U17" i="46"/>
  <c r="U32" i="46"/>
  <c r="U35" i="46"/>
  <c r="U28" i="46"/>
  <c r="U31" i="46"/>
  <c r="U24" i="46"/>
  <c r="U27" i="46"/>
  <c r="U26" i="46"/>
  <c r="U23" i="46"/>
  <c r="U13" i="46"/>
  <c r="U11" i="46"/>
  <c r="U30" i="46"/>
  <c r="U20" i="46"/>
  <c r="U29" i="46"/>
  <c r="U21" i="46"/>
  <c r="AX16" i="69"/>
  <c r="AG33" i="57"/>
  <c r="L33" i="57"/>
  <c r="AJ32" i="57"/>
  <c r="AP32" i="57"/>
  <c r="AG32" i="53"/>
  <c r="AH32" i="53"/>
  <c r="AT32" i="53"/>
  <c r="N33" i="57"/>
  <c r="K33" i="53"/>
  <c r="N33" i="53"/>
  <c r="AD32" i="57"/>
  <c r="AD32" i="53"/>
  <c r="AK32" i="52" a="1"/>
  <c r="AK32" i="52" s="1"/>
  <c r="B34" i="53" s="1"/>
  <c r="O34" i="53" s="1"/>
  <c r="H33" i="53"/>
  <c r="G33" i="53"/>
  <c r="Q32" i="53"/>
  <c r="L33" i="53"/>
  <c r="F33" i="53"/>
  <c r="I33" i="53"/>
  <c r="J33" i="53"/>
  <c r="E33" i="53"/>
  <c r="M33" i="53"/>
  <c r="P33" i="53"/>
  <c r="D33" i="53"/>
  <c r="C33" i="53"/>
  <c r="K33" i="57"/>
  <c r="J33" i="57"/>
  <c r="E33" i="57"/>
  <c r="P33" i="57"/>
  <c r="C33" i="57"/>
  <c r="M33" i="57" s="1"/>
  <c r="H33" i="57"/>
  <c r="I33" i="57"/>
  <c r="D33" i="57"/>
  <c r="F33" i="57"/>
  <c r="G33" i="57"/>
  <c r="Q32" i="57"/>
  <c r="T32" i="57" s="1"/>
  <c r="AK32" i="55" a="1"/>
  <c r="AK32" i="55" s="1"/>
  <c r="B34" i="57" s="1"/>
  <c r="O34" i="57" s="1"/>
  <c r="AN17" i="67" a="1"/>
  <c r="AN17" i="67" s="1"/>
  <c r="B19" i="69" s="1"/>
  <c r="O19" i="69" s="1"/>
  <c r="C17" i="69"/>
  <c r="C18" i="69"/>
  <c r="Q16" i="69"/>
  <c r="AE16" i="69"/>
  <c r="AH16" i="69" s="1"/>
  <c r="U16" i="69"/>
  <c r="R16" i="69"/>
  <c r="S16" i="69" s="1"/>
  <c r="Y16" i="69" s="1"/>
  <c r="AB16" i="69" s="1"/>
  <c r="AC16" i="69" s="1"/>
  <c r="AD16" i="69" s="1"/>
  <c r="AE15" i="69"/>
  <c r="AH15" i="69" s="1"/>
  <c r="R15" i="69"/>
  <c r="S15" i="69" s="1"/>
  <c r="Q15" i="69"/>
  <c r="U15" i="69"/>
  <c r="E15" i="69"/>
  <c r="F15" i="69" s="1"/>
  <c r="AM21" i="67" a="1"/>
  <c r="AM21" i="67" s="1"/>
  <c r="AM22" i="67" s="1" a="1"/>
  <c r="AM22" i="67" s="1"/>
  <c r="AM23" i="67" s="1" a="1"/>
  <c r="AM23" i="67" s="1"/>
  <c r="AM24" i="67" s="1" a="1"/>
  <c r="AM24" i="67" s="1"/>
  <c r="AM25" i="67" s="1" a="1"/>
  <c r="AM25" i="67" s="1"/>
  <c r="AM26" i="67" s="1" a="1"/>
  <c r="AM26" i="67" s="1"/>
  <c r="AM27" i="67" s="1" a="1"/>
  <c r="AM27" i="67" s="1"/>
  <c r="AM28" i="67" s="1" a="1"/>
  <c r="AM28" i="67" s="1"/>
  <c r="AM29" i="67" s="1" a="1"/>
  <c r="AM29" i="67" s="1"/>
  <c r="AM30" i="67" s="1" a="1"/>
  <c r="AM30" i="67" s="1"/>
  <c r="AM31" i="67" s="1" a="1"/>
  <c r="AM31" i="67" s="1"/>
  <c r="AM32" i="67" s="1" a="1"/>
  <c r="AM32" i="67" s="1"/>
  <c r="AM33" i="67" s="1" a="1"/>
  <c r="AM33" i="67" s="1"/>
  <c r="AM34" i="67" s="1" a="1"/>
  <c r="AM34" i="67" s="1"/>
  <c r="AM35" i="67" s="1" a="1"/>
  <c r="AM35" i="67" s="1"/>
  <c r="AM36" i="67" s="1" a="1"/>
  <c r="AM36" i="67" s="1"/>
  <c r="AM37" i="67" s="1" a="1"/>
  <c r="AM37" i="67" s="1"/>
  <c r="AM38" i="67" s="1" a="1"/>
  <c r="AM38" i="67" s="1"/>
  <c r="AM39" i="67" s="1" a="1"/>
  <c r="AM39" i="67" s="1"/>
  <c r="AM40" i="67" s="1" a="1"/>
  <c r="AM40" i="67" s="1"/>
  <c r="AM41" i="67" s="1" a="1"/>
  <c r="AM41" i="67" s="1"/>
  <c r="AM42" i="67" s="1" a="1"/>
  <c r="AM42" i="67" s="1"/>
  <c r="AM43" i="67" s="1" a="1"/>
  <c r="AM43" i="67" s="1"/>
  <c r="AM44" i="67" s="1" a="1"/>
  <c r="AM44" i="67" s="1"/>
  <c r="AM45" i="67" s="1" a="1"/>
  <c r="AM45" i="67" s="1"/>
  <c r="AM46" i="67" s="1" a="1"/>
  <c r="AM46" i="67" s="1"/>
  <c r="AM47" i="67" s="1" a="1"/>
  <c r="AM47" i="67" s="1"/>
  <c r="AM48" i="67" s="1" a="1"/>
  <c r="AM48" i="67" s="1"/>
  <c r="AM49" i="67" s="1" a="1"/>
  <c r="AM49" i="67" s="1"/>
  <c r="AM50" i="67" s="1" a="1"/>
  <c r="AM50" i="67" s="1"/>
  <c r="AM51" i="67" s="1" a="1"/>
  <c r="AM51" i="67" s="1"/>
  <c r="AM52" i="67" s="1" a="1"/>
  <c r="AM52" i="67" s="1"/>
  <c r="AM53" i="67" s="1" a="1"/>
  <c r="AM53" i="67" s="1"/>
  <c r="AM54" i="67" s="1" a="1"/>
  <c r="AM54" i="67" s="1"/>
  <c r="AM55" i="67" s="1" a="1"/>
  <c r="AM55" i="67" s="1"/>
  <c r="AM56" i="67" s="1" a="1"/>
  <c r="AM56" i="67" s="1"/>
  <c r="AM57" i="67" s="1" a="1"/>
  <c r="AM57" i="67" s="1"/>
  <c r="AM58" i="67" s="1" a="1"/>
  <c r="AM58" i="67" s="1"/>
  <c r="AM59" i="67" s="1" a="1"/>
  <c r="AM59" i="67" s="1"/>
  <c r="AM60" i="67" s="1" a="1"/>
  <c r="AM60" i="67" s="1"/>
  <c r="AM61" i="67" s="1" a="1"/>
  <c r="AM61" i="67" s="1"/>
  <c r="AM62" i="67" s="1" a="1"/>
  <c r="AM62" i="67" s="1"/>
  <c r="AM63" i="67" s="1" a="1"/>
  <c r="AM63" i="67" s="1"/>
  <c r="AM64" i="67" s="1" a="1"/>
  <c r="AM64" i="67" s="1"/>
  <c r="AM65" i="67" s="1" a="1"/>
  <c r="AM65" i="67" s="1"/>
  <c r="AM66" i="67" s="1" a="1"/>
  <c r="AM66" i="67" s="1"/>
  <c r="AM67" i="67" s="1" a="1"/>
  <c r="AM67" i="67" s="1"/>
  <c r="AM68" i="67" s="1" a="1"/>
  <c r="AM68" i="67" s="1"/>
  <c r="AM69" i="67" s="1" a="1"/>
  <c r="AM69" i="67" s="1"/>
  <c r="AM70" i="67" s="1" a="1"/>
  <c r="AM70" i="67" s="1"/>
  <c r="AM71" i="67" s="1" a="1"/>
  <c r="AM71" i="67" s="1"/>
  <c r="AM72" i="67" s="1" a="1"/>
  <c r="AM72" i="67" s="1"/>
  <c r="AM73" i="67" s="1" a="1"/>
  <c r="AM73" i="67" s="1"/>
  <c r="AM74" i="67" s="1" a="1"/>
  <c r="AM74" i="67" s="1"/>
  <c r="AM75" i="67" s="1" a="1"/>
  <c r="AM75" i="67" s="1"/>
  <c r="AM76" i="67" s="1" a="1"/>
  <c r="AM76" i="67" s="1"/>
  <c r="AM77" i="67" s="1" a="1"/>
  <c r="AM77" i="67" s="1"/>
  <c r="AM78" i="67" s="1" a="1"/>
  <c r="AM78" i="67" s="1"/>
  <c r="AM79" i="67" s="1" a="1"/>
  <c r="AM79" i="67" s="1"/>
  <c r="AM80" i="67" s="1" a="1"/>
  <c r="AM80" i="67" s="1"/>
  <c r="AM81" i="67" s="1" a="1"/>
  <c r="AM81" i="67" s="1"/>
  <c r="AM82" i="67" s="1" a="1"/>
  <c r="AM82" i="67" s="1"/>
  <c r="AM83" i="67" s="1" a="1"/>
  <c r="AM83" i="67" s="1"/>
  <c r="AM84" i="67" s="1" a="1"/>
  <c r="AM84" i="67" s="1"/>
  <c r="AM85" i="67" s="1" a="1"/>
  <c r="AM85" i="67" s="1"/>
  <c r="AM86" i="67" s="1" a="1"/>
  <c r="AM86" i="67" s="1"/>
  <c r="AM87" i="67" s="1" a="1"/>
  <c r="AM87" i="67" s="1"/>
  <c r="AM88" i="67" s="1" a="1"/>
  <c r="AM88" i="67" s="1"/>
  <c r="AM89" i="67" s="1" a="1"/>
  <c r="AM89" i="67" s="1"/>
  <c r="AM90" i="67" s="1" a="1"/>
  <c r="AM90" i="67" s="1"/>
  <c r="AM91" i="67" s="1" a="1"/>
  <c r="AM91" i="67" s="1"/>
  <c r="AM92" i="67" s="1" a="1"/>
  <c r="AM92" i="67" s="1"/>
  <c r="AM93" i="67" s="1" a="1"/>
  <c r="AM93" i="67" s="1"/>
  <c r="AM94" i="67" s="1" a="1"/>
  <c r="AM94" i="67" s="1"/>
  <c r="AM95" i="67" s="1" a="1"/>
  <c r="AM95" i="67" s="1"/>
  <c r="AM96" i="67" s="1" a="1"/>
  <c r="AM96" i="67" s="1"/>
  <c r="AM97" i="67" s="1" a="1"/>
  <c r="AM97" i="67" s="1"/>
  <c r="AM98" i="67" s="1" a="1"/>
  <c r="AM98" i="67" s="1"/>
  <c r="AM99" i="67" s="1" a="1"/>
  <c r="AM99" i="67" s="1"/>
  <c r="AM100" i="67" s="1" a="1"/>
  <c r="AM100" i="67" s="1"/>
  <c r="AM101" i="67" s="1" a="1"/>
  <c r="AM101" i="67" s="1"/>
  <c r="AM102" i="67" s="1" a="1"/>
  <c r="AM102" i="67" s="1"/>
  <c r="AM103" i="67" s="1" a="1"/>
  <c r="AM103" i="67" s="1"/>
  <c r="AM104" i="67" s="1" a="1"/>
  <c r="AM104" i="67" s="1"/>
  <c r="AM105" i="67" s="1" a="1"/>
  <c r="AM105" i="67" s="1"/>
  <c r="AM106" i="67" s="1" a="1"/>
  <c r="AM106" i="67" s="1"/>
  <c r="AM107" i="67" s="1" a="1"/>
  <c r="AM107" i="67" s="1"/>
  <c r="AM108" i="67" s="1" a="1"/>
  <c r="AM108" i="67" s="1"/>
  <c r="AM109" i="67" s="1" a="1"/>
  <c r="AM109" i="67" s="1"/>
  <c r="AM110" i="67" s="1" a="1"/>
  <c r="AM110" i="67" s="1"/>
  <c r="AM111" i="67" s="1" a="1"/>
  <c r="AM111" i="67" s="1"/>
  <c r="AM112" i="67" s="1" a="1"/>
  <c r="AM112" i="67" s="1"/>
  <c r="AM113" i="67" s="1" a="1"/>
  <c r="AM113" i="67" s="1"/>
  <c r="AM114" i="67" s="1" a="1"/>
  <c r="AM114" i="67" s="1"/>
  <c r="AM115" i="67" s="1" a="1"/>
  <c r="AM115" i="67" s="1"/>
  <c r="AM116" i="67" s="1" a="1"/>
  <c r="AM116" i="67" s="1"/>
  <c r="AM117" i="67" s="1" a="1"/>
  <c r="AM117" i="67" s="1"/>
  <c r="AM118" i="67" s="1" a="1"/>
  <c r="AM118" i="67" s="1"/>
  <c r="AM119" i="67" s="1" a="1"/>
  <c r="AM119" i="67" s="1"/>
  <c r="AM120" i="67" s="1" a="1"/>
  <c r="AM120" i="67" s="1"/>
  <c r="AM121" i="67" s="1" a="1"/>
  <c r="AM121" i="67" s="1"/>
  <c r="AM122" i="67" s="1" a="1"/>
  <c r="AM122" i="67" s="1"/>
  <c r="AM123" i="67" s="1" a="1"/>
  <c r="AM123" i="67" s="1"/>
  <c r="AM124" i="67" s="1" a="1"/>
  <c r="AM124" i="67" s="1"/>
  <c r="AM125" i="67" s="1" a="1"/>
  <c r="AM125" i="67" s="1"/>
  <c r="AM126" i="67" s="1" a="1"/>
  <c r="AM126" i="67" s="1"/>
  <c r="AM127" i="67" s="1" a="1"/>
  <c r="AM127" i="67" s="1"/>
  <c r="AM128" i="67" s="1" a="1"/>
  <c r="AM128" i="67" s="1"/>
  <c r="AM129" i="67" s="1" a="1"/>
  <c r="AM129" i="67" s="1"/>
  <c r="AM130" i="67" s="1" a="1"/>
  <c r="AM130" i="67" s="1"/>
  <c r="AM131" i="67" s="1" a="1"/>
  <c r="AM131" i="67" s="1"/>
  <c r="AM132" i="67" s="1" a="1"/>
  <c r="AM132" i="67" s="1"/>
  <c r="AM133" i="67" s="1" a="1"/>
  <c r="AM133" i="67" s="1"/>
  <c r="AM134" i="67" s="1" a="1"/>
  <c r="AM134" i="67" s="1"/>
  <c r="AM135" i="67" s="1" a="1"/>
  <c r="AM135" i="67" s="1"/>
  <c r="AM136" i="67" s="1" a="1"/>
  <c r="AM136" i="67" s="1"/>
  <c r="AM137" i="67" s="1" a="1"/>
  <c r="AM137" i="67" s="1"/>
  <c r="AM138" i="67" s="1" a="1"/>
  <c r="AM138" i="67" s="1"/>
  <c r="AM139" i="67" s="1" a="1"/>
  <c r="AM139" i="67" s="1"/>
  <c r="AM140" i="67" s="1" a="1"/>
  <c r="AM140" i="67" s="1"/>
  <c r="AM141" i="67" s="1" a="1"/>
  <c r="AM141" i="67" s="1"/>
  <c r="AM142" i="67" s="1" a="1"/>
  <c r="AM142" i="67" s="1"/>
  <c r="AM143" i="67" s="1" a="1"/>
  <c r="AM143" i="67" s="1"/>
  <c r="AM144" i="67" s="1" a="1"/>
  <c r="AM144" i="67" s="1"/>
  <c r="AM145" i="67" s="1" a="1"/>
  <c r="AM145" i="67" s="1"/>
  <c r="AM146" i="67" s="1" a="1"/>
  <c r="AM146" i="67" s="1"/>
  <c r="AM147" i="67" s="1" a="1"/>
  <c r="AM147" i="67" s="1"/>
  <c r="AM148" i="67" s="1" a="1"/>
  <c r="AM148" i="67" s="1"/>
  <c r="AM149" i="67" s="1" a="1"/>
  <c r="AM149" i="67" s="1"/>
  <c r="AM150" i="67" s="1" a="1"/>
  <c r="AM150" i="67" s="1"/>
  <c r="AM151" i="67" s="1" a="1"/>
  <c r="AM151" i="67" s="1"/>
  <c r="AM152" i="67" s="1" a="1"/>
  <c r="AM152" i="67" s="1"/>
  <c r="AM153" i="67" s="1" a="1"/>
  <c r="AM153" i="67" s="1"/>
  <c r="AM154" i="67" s="1" a="1"/>
  <c r="AM154" i="67" s="1"/>
  <c r="AM155" i="67" s="1" a="1"/>
  <c r="AM155" i="67" s="1"/>
  <c r="AM156" i="67" s="1" a="1"/>
  <c r="AM156" i="67" s="1"/>
  <c r="AM157" i="67" s="1" a="1"/>
  <c r="AM157" i="67" s="1"/>
  <c r="AM158" i="67" s="1" a="1"/>
  <c r="AM158" i="67" s="1"/>
  <c r="AM159" i="67" s="1" a="1"/>
  <c r="AM159" i="67" s="1"/>
  <c r="AM160" i="67" s="1" a="1"/>
  <c r="AM160" i="67" s="1"/>
  <c r="AM161" i="67" s="1" a="1"/>
  <c r="AM161" i="67" s="1"/>
  <c r="AM162" i="67" s="1" a="1"/>
  <c r="AM162" i="67" s="1"/>
  <c r="AM163" i="67" s="1" a="1"/>
  <c r="AM163" i="67" s="1"/>
  <c r="AM164" i="67" s="1" a="1"/>
  <c r="AM164" i="67" s="1"/>
  <c r="AM165" i="67" s="1" a="1"/>
  <c r="AM165" i="67" s="1"/>
  <c r="AM166" i="67" s="1" a="1"/>
  <c r="AM166" i="67" s="1"/>
  <c r="AM167" i="67" s="1" a="1"/>
  <c r="AM167" i="67" s="1"/>
  <c r="AM168" i="67" s="1" a="1"/>
  <c r="AM168" i="67" s="1"/>
  <c r="AM169" i="67" s="1" a="1"/>
  <c r="AM169" i="67" s="1"/>
  <c r="AM170" i="67" s="1" a="1"/>
  <c r="AM170" i="67" s="1"/>
  <c r="AM171" i="67" s="1" a="1"/>
  <c r="AM171" i="67" s="1"/>
  <c r="AM172" i="67" s="1" a="1"/>
  <c r="AM172" i="67" s="1"/>
  <c r="AM173" i="67" s="1" a="1"/>
  <c r="AM173" i="67" s="1"/>
  <c r="AM174" i="67" s="1" a="1"/>
  <c r="AM174" i="67" s="1"/>
  <c r="AM175" i="67" s="1" a="1"/>
  <c r="AM175" i="67" s="1"/>
  <c r="AM176" i="67" s="1" a="1"/>
  <c r="AM176" i="67" s="1"/>
  <c r="AM177" i="67" s="1" a="1"/>
  <c r="AM177" i="67" s="1"/>
  <c r="AM178" i="67" s="1" a="1"/>
  <c r="AM178" i="67" s="1"/>
  <c r="AM179" i="67" s="1" a="1"/>
  <c r="AM179" i="67" s="1"/>
  <c r="AM180" i="67" s="1" a="1"/>
  <c r="AM180" i="67" s="1"/>
  <c r="AM181" i="67" s="1" a="1"/>
  <c r="AM181" i="67" s="1"/>
  <c r="AM182" i="67" s="1" a="1"/>
  <c r="AM182" i="67" s="1"/>
  <c r="AM183" i="67" s="1" a="1"/>
  <c r="AM183" i="67" s="1"/>
  <c r="AM184" i="67" s="1" a="1"/>
  <c r="AM184" i="67" s="1"/>
  <c r="AM185" i="67" s="1" a="1"/>
  <c r="AM185" i="67" s="1"/>
  <c r="AM186" i="67" s="1" a="1"/>
  <c r="AM186" i="67" s="1"/>
  <c r="AM187" i="67" s="1" a="1"/>
  <c r="AM187" i="67" s="1"/>
  <c r="AM188" i="67" s="1" a="1"/>
  <c r="AM188" i="67" s="1"/>
  <c r="AM189" i="67" s="1" a="1"/>
  <c r="AM189" i="67" s="1"/>
  <c r="AM190" i="67" s="1" a="1"/>
  <c r="AM190" i="67" s="1"/>
  <c r="AM191" i="67" s="1" a="1"/>
  <c r="AM191" i="67" s="1"/>
  <c r="AM192" i="67" s="1" a="1"/>
  <c r="AM192" i="67" s="1"/>
  <c r="AM193" i="67" s="1" a="1"/>
  <c r="AM193" i="67" s="1"/>
  <c r="AM194" i="67" s="1" a="1"/>
  <c r="AM194" i="67" s="1"/>
  <c r="AM195" i="67" s="1" a="1"/>
  <c r="AM195" i="67" s="1"/>
  <c r="AM196" i="67" s="1" a="1"/>
  <c r="AM196" i="67" s="1"/>
  <c r="AM197" i="67" s="1" a="1"/>
  <c r="AM197" i="67" s="1"/>
  <c r="AM198" i="67" s="1" a="1"/>
  <c r="AM198" i="67" s="1"/>
  <c r="AM199" i="67" s="1" a="1"/>
  <c r="AM199" i="67" s="1"/>
  <c r="AM200" i="67" s="1" a="1"/>
  <c r="AM200" i="67" s="1"/>
  <c r="AM201" i="67" s="1" a="1"/>
  <c r="AM201" i="67" s="1"/>
  <c r="AM202" i="67" s="1" a="1"/>
  <c r="AM202" i="67" s="1"/>
  <c r="AM203" i="67" s="1" a="1"/>
  <c r="AM203" i="67" s="1"/>
  <c r="AM204" i="67" s="1" a="1"/>
  <c r="AM204" i="67" s="1"/>
  <c r="AM205" i="67" s="1" a="1"/>
  <c r="AM205" i="67" s="1"/>
  <c r="AM206" i="67" s="1" a="1"/>
  <c r="AM206" i="67" s="1"/>
  <c r="AM207" i="67" s="1" a="1"/>
  <c r="AM207" i="67" s="1"/>
  <c r="AM208" i="67" s="1" a="1"/>
  <c r="AM208" i="67" s="1"/>
  <c r="AM209" i="67" s="1" a="1"/>
  <c r="AM209" i="67" s="1"/>
  <c r="AM210" i="67" s="1" a="1"/>
  <c r="AM210" i="67" s="1"/>
  <c r="AM211" i="67" s="1" a="1"/>
  <c r="AM211" i="67" s="1"/>
  <c r="AM212" i="67" s="1" a="1"/>
  <c r="AM212" i="67" s="1"/>
  <c r="AM213" i="67" s="1" a="1"/>
  <c r="AM213" i="67" s="1"/>
  <c r="AM214" i="67" s="1" a="1"/>
  <c r="AM214" i="67" s="1"/>
  <c r="AM215" i="67" s="1" a="1"/>
  <c r="AM215" i="67" s="1"/>
  <c r="AM216" i="67" s="1" a="1"/>
  <c r="AM216" i="67" s="1"/>
  <c r="AM217" i="67" s="1" a="1"/>
  <c r="AM217" i="67" s="1"/>
  <c r="AM218" i="67" s="1" a="1"/>
  <c r="AM218" i="67" s="1"/>
  <c r="AM219" i="67" s="1" a="1"/>
  <c r="AM219" i="67" s="1"/>
  <c r="AM220" i="67" s="1" a="1"/>
  <c r="AM220" i="67" s="1"/>
  <c r="AM221" i="67" s="1" a="1"/>
  <c r="AM221" i="67" s="1"/>
  <c r="AM222" i="67" s="1" a="1"/>
  <c r="AM222" i="67" s="1"/>
  <c r="AM223" i="67" s="1" a="1"/>
  <c r="AM223" i="67" s="1"/>
  <c r="AM224" i="67" s="1" a="1"/>
  <c r="AM224" i="67" s="1"/>
  <c r="AM225" i="67" s="1" a="1"/>
  <c r="AM225" i="67" s="1"/>
  <c r="AM226" i="67" s="1" a="1"/>
  <c r="AM226" i="67" s="1"/>
  <c r="AM227" i="67" s="1" a="1"/>
  <c r="AM227" i="67" s="1"/>
  <c r="AM228" i="67" s="1" a="1"/>
  <c r="AM228" i="67" s="1"/>
  <c r="AM229" i="67" s="1" a="1"/>
  <c r="AM229" i="67" s="1"/>
  <c r="AM230" i="67" s="1" a="1"/>
  <c r="AM230" i="67" s="1"/>
  <c r="AM231" i="67" s="1" a="1"/>
  <c r="AM231" i="67" s="1"/>
  <c r="AM232" i="67" s="1" a="1"/>
  <c r="AM232" i="67" s="1"/>
  <c r="AM233" i="67" s="1" a="1"/>
  <c r="AM233" i="67" s="1"/>
  <c r="AM234" i="67" s="1" a="1"/>
  <c r="AM234" i="67" s="1"/>
  <c r="AM235" i="67" s="1" a="1"/>
  <c r="AM235" i="67" s="1"/>
  <c r="AM236" i="67" s="1" a="1"/>
  <c r="AM236" i="67" s="1"/>
  <c r="AM237" i="67" s="1" a="1"/>
  <c r="AM237" i="67" s="1"/>
  <c r="AM238" i="67" s="1" a="1"/>
  <c r="AM238" i="67" s="1"/>
  <c r="AM239" i="67" s="1" a="1"/>
  <c r="AM239" i="67" s="1"/>
  <c r="AM240" i="67" s="1" a="1"/>
  <c r="AM240" i="67" s="1"/>
  <c r="AM241" i="67" s="1" a="1"/>
  <c r="AM241" i="67" s="1"/>
  <c r="AM242" i="67" s="1" a="1"/>
  <c r="AM242" i="67" s="1"/>
  <c r="AM243" i="67" s="1" a="1"/>
  <c r="AM243" i="67" s="1"/>
  <c r="AM244" i="67" s="1" a="1"/>
  <c r="AM244" i="67" s="1"/>
  <c r="AM245" i="67" s="1" a="1"/>
  <c r="AM245" i="67" s="1"/>
  <c r="AM246" i="67" s="1" a="1"/>
  <c r="AM246" i="67" s="1"/>
  <c r="AM247" i="67" s="1" a="1"/>
  <c r="AM247" i="67" s="1"/>
  <c r="AM248" i="67" s="1" a="1"/>
  <c r="AM248" i="67" s="1"/>
  <c r="AM249" i="67" s="1" a="1"/>
  <c r="AM249" i="67" s="1"/>
  <c r="AM250" i="67" s="1" a="1"/>
  <c r="AM250" i="67" s="1"/>
  <c r="AM251" i="67" s="1" a="1"/>
  <c r="AM251" i="67" s="1"/>
  <c r="AM252" i="67" s="1" a="1"/>
  <c r="AM252" i="67" s="1"/>
  <c r="AM253" i="67" s="1" a="1"/>
  <c r="AM253" i="67" s="1"/>
  <c r="AM254" i="67" s="1" a="1"/>
  <c r="AM254" i="67" s="1"/>
  <c r="AM255" i="67" s="1" a="1"/>
  <c r="AM255" i="67" s="1"/>
  <c r="AM256" i="67" s="1" a="1"/>
  <c r="AM256" i="67" s="1"/>
  <c r="AM257" i="67" s="1" a="1"/>
  <c r="AM257" i="67" s="1"/>
  <c r="C71" i="33"/>
  <c r="D2" i="61"/>
  <c r="D3" i="61"/>
  <c r="D4" i="61"/>
  <c r="D5" i="61"/>
  <c r="D6" i="61"/>
  <c r="D7" i="61"/>
  <c r="D8" i="61"/>
  <c r="D9" i="61"/>
  <c r="D10" i="61"/>
  <c r="D11" i="61"/>
  <c r="D12" i="61"/>
  <c r="D13" i="61"/>
  <c r="D14" i="61"/>
  <c r="D15" i="61"/>
  <c r="D16" i="61"/>
  <c r="D17" i="61"/>
  <c r="D18" i="61"/>
  <c r="D19" i="61"/>
  <c r="D20" i="61"/>
  <c r="D21" i="61"/>
  <c r="D22" i="61"/>
  <c r="D23" i="61"/>
  <c r="D24" i="61"/>
  <c r="D25" i="61"/>
  <c r="D26" i="61"/>
  <c r="D27" i="61"/>
  <c r="D28" i="61"/>
  <c r="D29" i="61"/>
  <c r="D30" i="61"/>
  <c r="D31" i="61"/>
  <c r="D32" i="61"/>
  <c r="D33" i="61"/>
  <c r="D34" i="61"/>
  <c r="D35" i="61"/>
  <c r="D36" i="61"/>
  <c r="D37" i="61"/>
  <c r="D38" i="61"/>
  <c r="D39" i="61"/>
  <c r="D40" i="61"/>
  <c r="D41" i="61"/>
  <c r="D42" i="61"/>
  <c r="D43" i="61"/>
  <c r="D44" i="61"/>
  <c r="D45" i="61"/>
  <c r="D46" i="61"/>
  <c r="D47" i="61"/>
  <c r="D48" i="61"/>
  <c r="D49" i="61"/>
  <c r="D50" i="61"/>
  <c r="D51" i="61"/>
  <c r="D52" i="61"/>
  <c r="D53" i="61"/>
  <c r="D54" i="61"/>
  <c r="D55" i="61"/>
  <c r="D56" i="61"/>
  <c r="D57" i="61"/>
  <c r="D58" i="61"/>
  <c r="D59" i="61"/>
  <c r="D60" i="61"/>
  <c r="D61" i="61"/>
  <c r="D62" i="61"/>
  <c r="D63" i="61"/>
  <c r="D64" i="61"/>
  <c r="D65" i="61"/>
  <c r="D66" i="61"/>
  <c r="D67" i="61"/>
  <c r="D68" i="61"/>
  <c r="D69" i="61"/>
  <c r="D70" i="61"/>
  <c r="D71" i="61"/>
  <c r="D72" i="61"/>
  <c r="D73" i="61"/>
  <c r="D74" i="61"/>
  <c r="D75" i="61"/>
  <c r="D76" i="61"/>
  <c r="D77" i="61"/>
  <c r="D78" i="61"/>
  <c r="D79" i="61"/>
  <c r="D80" i="61"/>
  <c r="D81" i="61"/>
  <c r="D82" i="61"/>
  <c r="D83" i="61"/>
  <c r="D84" i="61"/>
  <c r="D85" i="61"/>
  <c r="D86" i="61"/>
  <c r="D87" i="61"/>
  <c r="D88" i="61"/>
  <c r="D89" i="61"/>
  <c r="D90" i="61"/>
  <c r="D91" i="61"/>
  <c r="D92" i="61"/>
  <c r="D93" i="61"/>
  <c r="D94" i="61"/>
  <c r="D95" i="61"/>
  <c r="D96" i="61"/>
  <c r="D97" i="61"/>
  <c r="D98" i="61"/>
  <c r="D99" i="61"/>
  <c r="D100" i="61"/>
  <c r="D101" i="61"/>
  <c r="D102" i="61"/>
  <c r="D103" i="61"/>
  <c r="D104" i="61"/>
  <c r="D105" i="61"/>
  <c r="D106" i="61"/>
  <c r="D107" i="61"/>
  <c r="D108" i="61"/>
  <c r="D109" i="61"/>
  <c r="D110" i="61"/>
  <c r="D111" i="61"/>
  <c r="D112" i="61"/>
  <c r="D113" i="61"/>
  <c r="D114" i="61"/>
  <c r="D115" i="61"/>
  <c r="D116" i="61"/>
  <c r="D117" i="61"/>
  <c r="D118" i="61"/>
  <c r="D119" i="61"/>
  <c r="D120" i="61"/>
  <c r="D121" i="61"/>
  <c r="D122" i="61"/>
  <c r="D123" i="61"/>
  <c r="D124" i="61"/>
  <c r="D125" i="61"/>
  <c r="D126" i="61"/>
  <c r="D127" i="61"/>
  <c r="D128" i="61"/>
  <c r="D129" i="61"/>
  <c r="D130" i="61"/>
  <c r="D131" i="61"/>
  <c r="D132" i="61"/>
  <c r="D133" i="61"/>
  <c r="D134" i="61"/>
  <c r="D135" i="61"/>
  <c r="D136" i="61"/>
  <c r="D137" i="61"/>
  <c r="D138" i="61"/>
  <c r="D139" i="61"/>
  <c r="D140" i="61"/>
  <c r="D141" i="61"/>
  <c r="D142" i="61"/>
  <c r="D143" i="61"/>
  <c r="D144" i="61"/>
  <c r="D145" i="61"/>
  <c r="D146" i="61"/>
  <c r="D147" i="61"/>
  <c r="D148" i="61"/>
  <c r="D149" i="61"/>
  <c r="D150" i="61"/>
  <c r="D151" i="61"/>
  <c r="D152" i="61"/>
  <c r="D153" i="61"/>
  <c r="D154" i="61"/>
  <c r="D155" i="61"/>
  <c r="D156" i="61"/>
  <c r="AB31" i="57" l="1"/>
  <c r="AA31" i="57"/>
  <c r="AO18" i="69"/>
  <c r="P18" i="69"/>
  <c r="AO17" i="69"/>
  <c r="P17" i="69"/>
  <c r="AG16" i="69"/>
  <c r="G15" i="69"/>
  <c r="H15" i="69" s="1"/>
  <c r="I15" i="69" s="1"/>
  <c r="J15" i="69" s="1"/>
  <c r="K15" i="69" s="1"/>
  <c r="M15" i="69" s="1"/>
  <c r="X32" i="57"/>
  <c r="W9" i="78"/>
  <c r="AB32" i="53"/>
  <c r="AA32" i="53"/>
  <c r="AE33" i="53"/>
  <c r="AC33" i="53"/>
  <c r="AF32" i="53"/>
  <c r="AF31" i="57"/>
  <c r="AE33" i="57"/>
  <c r="AC33" i="57"/>
  <c r="R33" i="57"/>
  <c r="R33" i="53"/>
  <c r="X33" i="53" s="1"/>
  <c r="C19" i="69"/>
  <c r="P19" i="69" s="1"/>
  <c r="L19" i="69"/>
  <c r="AG34" i="57"/>
  <c r="L34" i="57"/>
  <c r="AJ33" i="57"/>
  <c r="AP33" i="57"/>
  <c r="AG33" i="53"/>
  <c r="AH33" i="53"/>
  <c r="AT33" i="53"/>
  <c r="N34" i="57"/>
  <c r="N34" i="53"/>
  <c r="AD33" i="57"/>
  <c r="AD33" i="53"/>
  <c r="AK33" i="52" a="1"/>
  <c r="AK33" i="52" s="1"/>
  <c r="B35" i="53" s="1"/>
  <c r="O35" i="53" s="1"/>
  <c r="Q33" i="53"/>
  <c r="F34" i="53"/>
  <c r="H34" i="53"/>
  <c r="D34" i="53"/>
  <c r="C34" i="53"/>
  <c r="M34" i="53"/>
  <c r="L34" i="53"/>
  <c r="I34" i="53"/>
  <c r="G34" i="53"/>
  <c r="P34" i="53"/>
  <c r="K34" i="53"/>
  <c r="J34" i="53"/>
  <c r="E34" i="53"/>
  <c r="Q33" i="57"/>
  <c r="T33" i="57" s="1"/>
  <c r="G34" i="57"/>
  <c r="E34" i="57"/>
  <c r="P34" i="57"/>
  <c r="D34" i="57"/>
  <c r="C34" i="57"/>
  <c r="M34" i="57" s="1"/>
  <c r="K34" i="57"/>
  <c r="I34" i="57"/>
  <c r="H34" i="57"/>
  <c r="F34" i="57"/>
  <c r="J34" i="57"/>
  <c r="AK33" i="55" a="1"/>
  <c r="AK33" i="55" s="1"/>
  <c r="B35" i="57" s="1"/>
  <c r="O35" i="57" s="1"/>
  <c r="AN18" i="67" a="1"/>
  <c r="AN18" i="67" s="1"/>
  <c r="B20" i="69" s="1"/>
  <c r="O20" i="69" s="1"/>
  <c r="D18" i="69"/>
  <c r="E18" i="69" s="1"/>
  <c r="F18" i="69" s="1"/>
  <c r="G18" i="69" s="1"/>
  <c r="H18" i="69" s="1"/>
  <c r="I18" i="69" s="1"/>
  <c r="J18" i="69" s="1"/>
  <c r="K18" i="69" s="1"/>
  <c r="M18" i="69" s="1"/>
  <c r="N18" i="69"/>
  <c r="AF18" i="69" s="1"/>
  <c r="N17" i="69"/>
  <c r="AF17" i="69" s="1"/>
  <c r="D17" i="69"/>
  <c r="AF32" i="57" l="1"/>
  <c r="AA32" i="57"/>
  <c r="Y15" i="69"/>
  <c r="X33" i="57"/>
  <c r="AB32" i="57"/>
  <c r="AA33" i="53"/>
  <c r="AB33" i="53"/>
  <c r="AE34" i="53"/>
  <c r="AC34" i="53"/>
  <c r="AF33" i="53"/>
  <c r="AE34" i="57"/>
  <c r="AC34" i="57"/>
  <c r="R34" i="57"/>
  <c r="R34" i="53"/>
  <c r="X34" i="53" s="1"/>
  <c r="N19" i="69"/>
  <c r="AF19" i="69" s="1"/>
  <c r="AO19" i="69"/>
  <c r="D19" i="69"/>
  <c r="E19" i="69" s="1"/>
  <c r="F19" i="69" s="1"/>
  <c r="G19" i="69" s="1"/>
  <c r="H19" i="69" s="1"/>
  <c r="I19" i="69" s="1"/>
  <c r="J19" i="69" s="1"/>
  <c r="K19" i="69" s="1"/>
  <c r="M19" i="69"/>
  <c r="AX18" i="69"/>
  <c r="L20" i="69"/>
  <c r="AX17" i="69"/>
  <c r="AG35" i="57"/>
  <c r="L35" i="57"/>
  <c r="AJ34" i="57"/>
  <c r="AP34" i="57"/>
  <c r="AH34" i="53"/>
  <c r="AT34" i="53"/>
  <c r="AG34" i="53"/>
  <c r="N35" i="57"/>
  <c r="E35" i="53"/>
  <c r="N35" i="53"/>
  <c r="AH18" i="69"/>
  <c r="AH17" i="69"/>
  <c r="AD34" i="57"/>
  <c r="AD34" i="53"/>
  <c r="Q34" i="53"/>
  <c r="J35" i="53"/>
  <c r="K35" i="53"/>
  <c r="M35" i="53"/>
  <c r="P35" i="53"/>
  <c r="F35" i="53"/>
  <c r="D35" i="53"/>
  <c r="G35" i="53"/>
  <c r="H35" i="53"/>
  <c r="L35" i="53"/>
  <c r="AK34" i="52" a="1"/>
  <c r="AK34" i="52" s="1"/>
  <c r="B36" i="53" s="1"/>
  <c r="O36" i="53" s="1"/>
  <c r="I35" i="53"/>
  <c r="C35" i="53"/>
  <c r="I35" i="57"/>
  <c r="F35" i="57"/>
  <c r="E35" i="57"/>
  <c r="C35" i="57"/>
  <c r="M35" i="57" s="1"/>
  <c r="K35" i="57"/>
  <c r="J35" i="57"/>
  <c r="H35" i="57"/>
  <c r="D35" i="57"/>
  <c r="G35" i="57"/>
  <c r="P35" i="57"/>
  <c r="Q34" i="57"/>
  <c r="T34" i="57" s="1"/>
  <c r="AK34" i="55" a="1"/>
  <c r="AK34" i="55" s="1"/>
  <c r="B36" i="57" s="1"/>
  <c r="O36" i="57" s="1"/>
  <c r="AN19" i="67" a="1"/>
  <c r="AN19" i="67" s="1"/>
  <c r="B21" i="69" s="1"/>
  <c r="O21" i="69" s="1"/>
  <c r="C20" i="69"/>
  <c r="P20" i="69" s="1"/>
  <c r="E17" i="69"/>
  <c r="F17" i="69" s="1"/>
  <c r="G17" i="69" s="1"/>
  <c r="H17" i="69" s="1"/>
  <c r="I17" i="69" s="1"/>
  <c r="J17" i="69" s="1"/>
  <c r="K17" i="69" s="1"/>
  <c r="M17" i="69" s="1"/>
  <c r="AE17" i="69"/>
  <c r="R17" i="69"/>
  <c r="S17" i="69" s="1"/>
  <c r="Q17" i="69"/>
  <c r="U17" i="69"/>
  <c r="AE18" i="69"/>
  <c r="R18" i="69"/>
  <c r="S18" i="69" s="1"/>
  <c r="Y18" i="69" s="1"/>
  <c r="U18" i="69"/>
  <c r="Q18" i="69"/>
  <c r="J40" i="36"/>
  <c r="J42" i="36"/>
  <c r="J44" i="36"/>
  <c r="J46" i="36"/>
  <c r="J48" i="36"/>
  <c r="AF33" i="57" l="1"/>
  <c r="AA33" i="57"/>
  <c r="AB18" i="69"/>
  <c r="AC18" i="69" s="1"/>
  <c r="AD18" i="69" s="1"/>
  <c r="AG18" i="69"/>
  <c r="Y17" i="69"/>
  <c r="AB15" i="69"/>
  <c r="AC15" i="69" s="1"/>
  <c r="AD15" i="69" s="1"/>
  <c r="AG15" i="69"/>
  <c r="AB33" i="57"/>
  <c r="X34" i="57"/>
  <c r="AA34" i="57" s="1"/>
  <c r="AB34" i="53"/>
  <c r="AA34" i="53"/>
  <c r="AF34" i="53"/>
  <c r="AE35" i="53"/>
  <c r="AC35" i="53"/>
  <c r="AE35" i="57"/>
  <c r="AC35" i="57"/>
  <c r="R35" i="57"/>
  <c r="R35" i="53"/>
  <c r="X35" i="53" s="1"/>
  <c r="AH19" i="69"/>
  <c r="U19" i="69"/>
  <c r="Q19" i="69"/>
  <c r="R19" i="69"/>
  <c r="S19" i="69" s="1"/>
  <c r="Y19" i="69" s="1"/>
  <c r="AE19" i="69"/>
  <c r="AX19" i="69"/>
  <c r="D20" i="69"/>
  <c r="E20" i="69" s="1"/>
  <c r="F20" i="69" s="1"/>
  <c r="G20" i="69" s="1"/>
  <c r="H20" i="69" s="1"/>
  <c r="I20" i="69" s="1"/>
  <c r="J20" i="69" s="1"/>
  <c r="K20" i="69" s="1"/>
  <c r="AO20" i="69"/>
  <c r="M20" i="69"/>
  <c r="L21" i="69"/>
  <c r="AG36" i="57"/>
  <c r="L36" i="57"/>
  <c r="AJ35" i="57"/>
  <c r="AP35" i="57"/>
  <c r="AH35" i="53"/>
  <c r="AT35" i="53"/>
  <c r="AG35" i="53"/>
  <c r="N36" i="57"/>
  <c r="L36" i="53"/>
  <c r="N36" i="53"/>
  <c r="AD35" i="57"/>
  <c r="Q35" i="53"/>
  <c r="AD35" i="53"/>
  <c r="AK35" i="52" a="1"/>
  <c r="AK35" i="52" s="1"/>
  <c r="B37" i="53" s="1"/>
  <c r="O37" i="53" s="1"/>
  <c r="C36" i="53"/>
  <c r="J36" i="53"/>
  <c r="F36" i="53"/>
  <c r="I36" i="53"/>
  <c r="G36" i="53"/>
  <c r="D36" i="53"/>
  <c r="H36" i="53"/>
  <c r="E36" i="53"/>
  <c r="K36" i="53"/>
  <c r="P36" i="53"/>
  <c r="M36" i="53"/>
  <c r="I36" i="57"/>
  <c r="H36" i="57"/>
  <c r="G36" i="57"/>
  <c r="E36" i="57"/>
  <c r="P36" i="57"/>
  <c r="D36" i="57"/>
  <c r="C36" i="57"/>
  <c r="M36" i="57" s="1"/>
  <c r="K36" i="57"/>
  <c r="F36" i="57"/>
  <c r="J36" i="57"/>
  <c r="Q35" i="57"/>
  <c r="T35" i="57" s="1"/>
  <c r="AK35" i="55" a="1"/>
  <c r="AK35" i="55" s="1"/>
  <c r="B37" i="57" s="1"/>
  <c r="O37" i="57" s="1"/>
  <c r="N20" i="69"/>
  <c r="AF20" i="69" s="1"/>
  <c r="AN20" i="67" a="1"/>
  <c r="AN20" i="67" s="1"/>
  <c r="AN21" i="67" s="1" a="1"/>
  <c r="AN21" i="67" s="1"/>
  <c r="C21" i="69"/>
  <c r="P21" i="69" s="1"/>
  <c r="C157" i="72"/>
  <c r="B157" i="72"/>
  <c r="C156" i="72"/>
  <c r="B156" i="72"/>
  <c r="C155" i="72"/>
  <c r="B155" i="72"/>
  <c r="C154" i="72"/>
  <c r="B154" i="72"/>
  <c r="C153" i="72"/>
  <c r="B153" i="72"/>
  <c r="C152" i="72"/>
  <c r="B152" i="72"/>
  <c r="C151" i="72"/>
  <c r="B151" i="72"/>
  <c r="C150" i="72"/>
  <c r="B150" i="72"/>
  <c r="C149" i="72"/>
  <c r="B149" i="72"/>
  <c r="C80" i="72"/>
  <c r="C77" i="72"/>
  <c r="C76" i="72"/>
  <c r="C75" i="72"/>
  <c r="C73" i="72"/>
  <c r="C72" i="72"/>
  <c r="C71" i="72"/>
  <c r="B80" i="72"/>
  <c r="B77" i="72"/>
  <c r="B76" i="72"/>
  <c r="B75" i="72"/>
  <c r="B73" i="72"/>
  <c r="B72" i="72"/>
  <c r="B71" i="72"/>
  <c r="B31" i="72"/>
  <c r="B30" i="72"/>
  <c r="B29" i="72"/>
  <c r="B28" i="72"/>
  <c r="B27" i="72"/>
  <c r="I256" i="71"/>
  <c r="I255" i="71"/>
  <c r="I254" i="71"/>
  <c r="I253" i="71"/>
  <c r="I252" i="71"/>
  <c r="I251" i="71"/>
  <c r="I250" i="71"/>
  <c r="I249" i="71"/>
  <c r="I248" i="71"/>
  <c r="I247" i="71"/>
  <c r="I246" i="71"/>
  <c r="I245" i="71"/>
  <c r="I244" i="71"/>
  <c r="I243" i="71"/>
  <c r="I242" i="71"/>
  <c r="I241" i="71"/>
  <c r="I240" i="71"/>
  <c r="I239" i="71"/>
  <c r="I238" i="71"/>
  <c r="I237" i="71"/>
  <c r="I236" i="71"/>
  <c r="I235" i="71"/>
  <c r="I234" i="71"/>
  <c r="I233" i="71"/>
  <c r="I232" i="71"/>
  <c r="I231" i="71"/>
  <c r="I230" i="71"/>
  <c r="I229" i="71"/>
  <c r="I228" i="71"/>
  <c r="I227" i="71"/>
  <c r="I226" i="71"/>
  <c r="I225" i="71"/>
  <c r="I224" i="71"/>
  <c r="I223" i="71"/>
  <c r="I222" i="71"/>
  <c r="I221" i="71"/>
  <c r="I220" i="71"/>
  <c r="I219" i="71"/>
  <c r="I218" i="71"/>
  <c r="I217" i="71"/>
  <c r="I216" i="71"/>
  <c r="I215" i="71"/>
  <c r="I214" i="71"/>
  <c r="I213" i="71"/>
  <c r="I212" i="71"/>
  <c r="I211" i="71"/>
  <c r="I210" i="71"/>
  <c r="I209" i="71"/>
  <c r="I208" i="71"/>
  <c r="I207" i="71"/>
  <c r="I206" i="71"/>
  <c r="I205" i="71"/>
  <c r="I204" i="71"/>
  <c r="I203" i="71"/>
  <c r="I202" i="71"/>
  <c r="I201" i="71"/>
  <c r="I200" i="71"/>
  <c r="I199" i="71"/>
  <c r="I198" i="71"/>
  <c r="I197" i="71"/>
  <c r="I196" i="71"/>
  <c r="I195" i="71"/>
  <c r="I194" i="71"/>
  <c r="I193" i="71"/>
  <c r="I192" i="71"/>
  <c r="I191" i="71"/>
  <c r="I190" i="71"/>
  <c r="I189" i="71"/>
  <c r="I188" i="71"/>
  <c r="I187" i="71"/>
  <c r="I186" i="71"/>
  <c r="I185" i="71"/>
  <c r="I184" i="71"/>
  <c r="I183" i="71"/>
  <c r="I182" i="71"/>
  <c r="I181" i="71"/>
  <c r="I180" i="71"/>
  <c r="I179" i="71"/>
  <c r="I178" i="71"/>
  <c r="I177" i="71"/>
  <c r="I176" i="71"/>
  <c r="I175" i="71"/>
  <c r="I174" i="71"/>
  <c r="I173" i="71"/>
  <c r="I172" i="71"/>
  <c r="I171" i="71"/>
  <c r="I170" i="71"/>
  <c r="I169" i="71"/>
  <c r="I168" i="71"/>
  <c r="I167" i="71"/>
  <c r="I166" i="71"/>
  <c r="I165" i="71"/>
  <c r="I164" i="71"/>
  <c r="I163" i="71"/>
  <c r="I162" i="71"/>
  <c r="I161" i="71"/>
  <c r="I160" i="71"/>
  <c r="I159" i="71"/>
  <c r="I158" i="71"/>
  <c r="I157" i="71"/>
  <c r="I156" i="71"/>
  <c r="I155" i="71"/>
  <c r="I154" i="71"/>
  <c r="I153" i="71"/>
  <c r="I152" i="71"/>
  <c r="I151" i="71"/>
  <c r="I150" i="71"/>
  <c r="I149" i="71"/>
  <c r="I148" i="71"/>
  <c r="I147" i="71"/>
  <c r="I146" i="71"/>
  <c r="I145" i="71"/>
  <c r="I144" i="71"/>
  <c r="I143" i="71"/>
  <c r="I142" i="71"/>
  <c r="I141" i="71"/>
  <c r="I140" i="71"/>
  <c r="I139" i="71"/>
  <c r="I138" i="71"/>
  <c r="I137" i="71"/>
  <c r="I136" i="71"/>
  <c r="I135" i="71"/>
  <c r="I134" i="71"/>
  <c r="I133" i="71"/>
  <c r="I132" i="71"/>
  <c r="I131" i="71"/>
  <c r="I130" i="71"/>
  <c r="I129" i="71"/>
  <c r="I128" i="71"/>
  <c r="I127" i="71"/>
  <c r="I126" i="71"/>
  <c r="I125" i="71"/>
  <c r="I124" i="71"/>
  <c r="I123" i="71"/>
  <c r="I122" i="71"/>
  <c r="I121" i="71"/>
  <c r="I120" i="71"/>
  <c r="I119" i="71"/>
  <c r="I118" i="71"/>
  <c r="I117" i="71"/>
  <c r="I116" i="71"/>
  <c r="I115" i="71"/>
  <c r="I114" i="71"/>
  <c r="I113" i="71"/>
  <c r="I112" i="71"/>
  <c r="I111" i="71"/>
  <c r="I110" i="71"/>
  <c r="I109" i="71"/>
  <c r="I108" i="71"/>
  <c r="I107" i="71"/>
  <c r="I106" i="71"/>
  <c r="I105" i="71"/>
  <c r="I104" i="71"/>
  <c r="I103" i="71"/>
  <c r="I102" i="71"/>
  <c r="I101" i="71"/>
  <c r="I100" i="71"/>
  <c r="I99" i="71"/>
  <c r="I98" i="71"/>
  <c r="I97" i="71"/>
  <c r="I96" i="71"/>
  <c r="I95" i="71"/>
  <c r="I94" i="71"/>
  <c r="I93" i="71"/>
  <c r="I92" i="71"/>
  <c r="I91" i="71"/>
  <c r="I90" i="71"/>
  <c r="I89" i="71"/>
  <c r="I88" i="71"/>
  <c r="I87" i="71"/>
  <c r="I86" i="71"/>
  <c r="I85" i="71"/>
  <c r="I84" i="71"/>
  <c r="I83" i="71"/>
  <c r="I82" i="71"/>
  <c r="I81" i="71"/>
  <c r="I80" i="71"/>
  <c r="I79" i="71"/>
  <c r="I78" i="71"/>
  <c r="I77" i="71"/>
  <c r="I76" i="71"/>
  <c r="I75" i="71"/>
  <c r="I74" i="71"/>
  <c r="I73" i="71"/>
  <c r="I72" i="71"/>
  <c r="I71" i="71"/>
  <c r="I70" i="71"/>
  <c r="I69" i="71"/>
  <c r="I68" i="71"/>
  <c r="I67" i="71"/>
  <c r="I66" i="71"/>
  <c r="I65" i="71"/>
  <c r="I64" i="71"/>
  <c r="I63" i="71"/>
  <c r="I62" i="71"/>
  <c r="I61" i="71"/>
  <c r="I60" i="71"/>
  <c r="I59" i="71"/>
  <c r="I58" i="71"/>
  <c r="I57" i="71"/>
  <c r="I56" i="71"/>
  <c r="I55" i="71"/>
  <c r="I54" i="71"/>
  <c r="I53" i="71"/>
  <c r="I52" i="71"/>
  <c r="I51" i="71"/>
  <c r="I50" i="71"/>
  <c r="I49" i="71"/>
  <c r="I48" i="71"/>
  <c r="I47" i="71"/>
  <c r="I46" i="71"/>
  <c r="I45" i="71"/>
  <c r="I44" i="71"/>
  <c r="I43" i="71"/>
  <c r="I42" i="71"/>
  <c r="I41" i="71"/>
  <c r="I40" i="71"/>
  <c r="I39" i="71"/>
  <c r="I38" i="71"/>
  <c r="I37" i="71"/>
  <c r="I36" i="71"/>
  <c r="I35" i="71"/>
  <c r="I34" i="71"/>
  <c r="I33" i="71"/>
  <c r="I32" i="71"/>
  <c r="I31" i="71"/>
  <c r="I30" i="71"/>
  <c r="I29" i="71"/>
  <c r="I28" i="71"/>
  <c r="I27" i="71"/>
  <c r="I26" i="71"/>
  <c r="I25" i="71"/>
  <c r="I24" i="71"/>
  <c r="I23" i="71"/>
  <c r="I22" i="71"/>
  <c r="I21" i="71"/>
  <c r="I20" i="71"/>
  <c r="I19" i="71"/>
  <c r="I18" i="71"/>
  <c r="I17" i="71"/>
  <c r="I16" i="71"/>
  <c r="I15" i="71"/>
  <c r="I14" i="71"/>
  <c r="I13" i="71"/>
  <c r="I12" i="71"/>
  <c r="J258" i="59"/>
  <c r="J257" i="59"/>
  <c r="J256" i="59"/>
  <c r="J255" i="59"/>
  <c r="J254" i="59"/>
  <c r="J253" i="59"/>
  <c r="J252" i="59"/>
  <c r="J251" i="59"/>
  <c r="J250" i="59"/>
  <c r="J249" i="59"/>
  <c r="J248" i="59"/>
  <c r="J247" i="59"/>
  <c r="J246" i="59"/>
  <c r="J245" i="59"/>
  <c r="J244" i="59"/>
  <c r="J243" i="59"/>
  <c r="J242" i="59"/>
  <c r="J241" i="59"/>
  <c r="J240" i="59"/>
  <c r="J239" i="59"/>
  <c r="J238" i="59"/>
  <c r="J237" i="59"/>
  <c r="J236" i="59"/>
  <c r="J235" i="59"/>
  <c r="J234" i="59"/>
  <c r="J233" i="59"/>
  <c r="J232" i="59"/>
  <c r="J231" i="59"/>
  <c r="J230" i="59"/>
  <c r="J229" i="59"/>
  <c r="J228" i="59"/>
  <c r="J227" i="59"/>
  <c r="J226" i="59"/>
  <c r="J225" i="59"/>
  <c r="J224" i="59"/>
  <c r="J223" i="59"/>
  <c r="J222" i="59"/>
  <c r="J221" i="59"/>
  <c r="J220" i="59"/>
  <c r="J219" i="59"/>
  <c r="J218" i="59"/>
  <c r="J217" i="59"/>
  <c r="J216" i="59"/>
  <c r="J215" i="59"/>
  <c r="J214" i="59"/>
  <c r="J213" i="59"/>
  <c r="J212" i="59"/>
  <c r="J211" i="59"/>
  <c r="J210" i="59"/>
  <c r="J209" i="59"/>
  <c r="J208" i="59"/>
  <c r="J207" i="59"/>
  <c r="J206" i="59"/>
  <c r="J205" i="59"/>
  <c r="J204" i="59"/>
  <c r="J203" i="59"/>
  <c r="J202" i="59"/>
  <c r="J201" i="59"/>
  <c r="J200" i="59"/>
  <c r="J199" i="59"/>
  <c r="J198" i="59"/>
  <c r="J197" i="59"/>
  <c r="J196" i="59"/>
  <c r="J195" i="59"/>
  <c r="J194" i="59"/>
  <c r="J193" i="59"/>
  <c r="J192" i="59"/>
  <c r="J191" i="59"/>
  <c r="J190" i="59"/>
  <c r="J189" i="59"/>
  <c r="J188" i="59"/>
  <c r="J187" i="59"/>
  <c r="J186" i="59"/>
  <c r="J185" i="59"/>
  <c r="J184" i="59"/>
  <c r="J183" i="59"/>
  <c r="J182" i="59"/>
  <c r="J181" i="59"/>
  <c r="J180" i="59"/>
  <c r="J179" i="59"/>
  <c r="J178" i="59"/>
  <c r="J177" i="59"/>
  <c r="J176" i="59"/>
  <c r="J175" i="59"/>
  <c r="J174" i="59"/>
  <c r="J173" i="59"/>
  <c r="J172" i="59"/>
  <c r="J171" i="59"/>
  <c r="J170" i="59"/>
  <c r="J169" i="59"/>
  <c r="J168" i="59"/>
  <c r="J167" i="59"/>
  <c r="J166" i="59"/>
  <c r="J165" i="59"/>
  <c r="J164" i="59"/>
  <c r="J163" i="59"/>
  <c r="J162" i="59"/>
  <c r="J161" i="59"/>
  <c r="J160" i="59"/>
  <c r="J159" i="59"/>
  <c r="J158" i="59"/>
  <c r="J157" i="59"/>
  <c r="J156" i="59"/>
  <c r="J155" i="59"/>
  <c r="J154" i="59"/>
  <c r="J153" i="59"/>
  <c r="J152" i="59"/>
  <c r="J151" i="59"/>
  <c r="J150" i="59"/>
  <c r="J149" i="59"/>
  <c r="J148" i="59"/>
  <c r="J147" i="59"/>
  <c r="J146" i="59"/>
  <c r="J145" i="59"/>
  <c r="J144" i="59"/>
  <c r="J143" i="59"/>
  <c r="J142" i="59"/>
  <c r="J141" i="59"/>
  <c r="J140" i="59"/>
  <c r="J139" i="59"/>
  <c r="J138" i="59"/>
  <c r="J137" i="59"/>
  <c r="J136" i="59"/>
  <c r="J135" i="59"/>
  <c r="J134" i="59"/>
  <c r="J133" i="59"/>
  <c r="J132" i="59"/>
  <c r="J131" i="59"/>
  <c r="J130" i="59"/>
  <c r="J129" i="59"/>
  <c r="J128" i="59"/>
  <c r="J127" i="59"/>
  <c r="J126" i="59"/>
  <c r="J125" i="59"/>
  <c r="J124" i="59"/>
  <c r="J123" i="59"/>
  <c r="J122" i="59"/>
  <c r="J121" i="59"/>
  <c r="J120" i="59"/>
  <c r="J119" i="59"/>
  <c r="J118" i="59"/>
  <c r="J117" i="59"/>
  <c r="J116" i="59"/>
  <c r="J115" i="59"/>
  <c r="J114" i="59"/>
  <c r="J113" i="59"/>
  <c r="J112" i="59"/>
  <c r="J111" i="59"/>
  <c r="J110" i="59"/>
  <c r="J109" i="59"/>
  <c r="J108" i="59"/>
  <c r="J107" i="59"/>
  <c r="J106" i="59"/>
  <c r="J105" i="59"/>
  <c r="J104" i="59"/>
  <c r="J103" i="59"/>
  <c r="J102" i="59"/>
  <c r="J101" i="59"/>
  <c r="J100" i="59"/>
  <c r="J99" i="59"/>
  <c r="J98" i="59"/>
  <c r="J97" i="59"/>
  <c r="J96" i="59"/>
  <c r="J95" i="59"/>
  <c r="J94" i="59"/>
  <c r="J93" i="59"/>
  <c r="J92" i="59"/>
  <c r="J91" i="59"/>
  <c r="J90" i="59"/>
  <c r="J89" i="59"/>
  <c r="J88" i="59"/>
  <c r="J87" i="59"/>
  <c r="J86" i="59"/>
  <c r="J85" i="59"/>
  <c r="J84" i="59"/>
  <c r="J83" i="59"/>
  <c r="J82" i="59"/>
  <c r="J81" i="59"/>
  <c r="J80" i="59"/>
  <c r="J79" i="59"/>
  <c r="J78" i="59"/>
  <c r="J77" i="59"/>
  <c r="J76" i="59"/>
  <c r="J75" i="59"/>
  <c r="J74" i="59"/>
  <c r="J73" i="59"/>
  <c r="J72" i="59"/>
  <c r="J71" i="59"/>
  <c r="J70" i="59"/>
  <c r="J69" i="59"/>
  <c r="J68" i="59"/>
  <c r="J67" i="59"/>
  <c r="J66" i="59"/>
  <c r="J65" i="59"/>
  <c r="J64" i="59"/>
  <c r="J63" i="59"/>
  <c r="J62" i="59"/>
  <c r="J61" i="59"/>
  <c r="J60" i="59"/>
  <c r="J59" i="59"/>
  <c r="J58" i="59"/>
  <c r="J57" i="59"/>
  <c r="J56" i="59"/>
  <c r="J55" i="59"/>
  <c r="J54" i="59"/>
  <c r="J53" i="59"/>
  <c r="J52" i="59"/>
  <c r="J51" i="59"/>
  <c r="J50" i="59"/>
  <c r="J49" i="59"/>
  <c r="J48" i="59"/>
  <c r="J47" i="59"/>
  <c r="J46" i="59"/>
  <c r="J45" i="59"/>
  <c r="J44" i="59"/>
  <c r="J43" i="59"/>
  <c r="J42" i="59"/>
  <c r="J41" i="59"/>
  <c r="J40" i="59"/>
  <c r="J39" i="59"/>
  <c r="J38" i="59"/>
  <c r="J37" i="59"/>
  <c r="J36" i="59"/>
  <c r="J35" i="59"/>
  <c r="J34" i="59"/>
  <c r="J33" i="59"/>
  <c r="J32" i="59"/>
  <c r="J31" i="59"/>
  <c r="J30" i="59"/>
  <c r="J29" i="59"/>
  <c r="J28" i="59"/>
  <c r="J27" i="59"/>
  <c r="J26" i="59"/>
  <c r="J25" i="59"/>
  <c r="J24" i="59"/>
  <c r="J23" i="59"/>
  <c r="J22" i="59"/>
  <c r="J21" i="59"/>
  <c r="J20" i="59"/>
  <c r="J19" i="59"/>
  <c r="J18" i="59"/>
  <c r="J17" i="59"/>
  <c r="J16" i="59"/>
  <c r="J15" i="59"/>
  <c r="J14" i="59"/>
  <c r="J13" i="59"/>
  <c r="J12" i="59"/>
  <c r="M256" i="46"/>
  <c r="I256" i="46"/>
  <c r="M255" i="46"/>
  <c r="I255" i="46"/>
  <c r="M254" i="46"/>
  <c r="I254" i="46"/>
  <c r="M253" i="46"/>
  <c r="I253" i="46"/>
  <c r="M252" i="46"/>
  <c r="I252" i="46"/>
  <c r="M251" i="46"/>
  <c r="I251" i="46"/>
  <c r="M250" i="46"/>
  <c r="I250" i="46"/>
  <c r="M249" i="46"/>
  <c r="I249" i="46"/>
  <c r="M248" i="46"/>
  <c r="I248" i="46"/>
  <c r="M247" i="46"/>
  <c r="I247" i="46"/>
  <c r="M246" i="46"/>
  <c r="I246" i="46"/>
  <c r="M245" i="46"/>
  <c r="I245" i="46"/>
  <c r="M244" i="46"/>
  <c r="I244" i="46"/>
  <c r="M243" i="46"/>
  <c r="I243" i="46"/>
  <c r="M242" i="46"/>
  <c r="I242" i="46"/>
  <c r="M241" i="46"/>
  <c r="I241" i="46"/>
  <c r="M240" i="46"/>
  <c r="I240" i="46"/>
  <c r="M239" i="46"/>
  <c r="I239" i="46"/>
  <c r="M238" i="46"/>
  <c r="I238" i="46"/>
  <c r="M237" i="46"/>
  <c r="I237" i="46"/>
  <c r="M236" i="46"/>
  <c r="I236" i="46"/>
  <c r="M235" i="46"/>
  <c r="I235" i="46"/>
  <c r="M234" i="46"/>
  <c r="I234" i="46"/>
  <c r="M233" i="46"/>
  <c r="I233" i="46"/>
  <c r="M232" i="46"/>
  <c r="I232" i="46"/>
  <c r="M231" i="46"/>
  <c r="I231" i="46"/>
  <c r="M230" i="46"/>
  <c r="I230" i="46"/>
  <c r="M229" i="46"/>
  <c r="I229" i="46"/>
  <c r="M228" i="46"/>
  <c r="I228" i="46"/>
  <c r="M227" i="46"/>
  <c r="I227" i="46"/>
  <c r="M226" i="46"/>
  <c r="I226" i="46"/>
  <c r="M225" i="46"/>
  <c r="I225" i="46"/>
  <c r="M224" i="46"/>
  <c r="I224" i="46"/>
  <c r="M223" i="46"/>
  <c r="I223" i="46"/>
  <c r="M222" i="46"/>
  <c r="I222" i="46"/>
  <c r="M221" i="46"/>
  <c r="I221" i="46"/>
  <c r="M220" i="46"/>
  <c r="I220" i="46"/>
  <c r="M219" i="46"/>
  <c r="I219" i="46"/>
  <c r="M218" i="46"/>
  <c r="I218" i="46"/>
  <c r="M217" i="46"/>
  <c r="I217" i="46"/>
  <c r="M216" i="46"/>
  <c r="I216" i="46"/>
  <c r="M215" i="46"/>
  <c r="I215" i="46"/>
  <c r="M214" i="46"/>
  <c r="I214" i="46"/>
  <c r="M213" i="46"/>
  <c r="I213" i="46"/>
  <c r="M212" i="46"/>
  <c r="I212" i="46"/>
  <c r="M211" i="46"/>
  <c r="I211" i="46"/>
  <c r="M210" i="46"/>
  <c r="I210" i="46"/>
  <c r="M209" i="46"/>
  <c r="I209" i="46"/>
  <c r="M208" i="46"/>
  <c r="I208" i="46"/>
  <c r="M207" i="46"/>
  <c r="I207" i="46"/>
  <c r="M206" i="46"/>
  <c r="I206" i="46"/>
  <c r="M205" i="46"/>
  <c r="I205" i="46"/>
  <c r="M204" i="46"/>
  <c r="I204" i="46"/>
  <c r="M203" i="46"/>
  <c r="I203" i="46"/>
  <c r="M202" i="46"/>
  <c r="I202" i="46"/>
  <c r="M201" i="46"/>
  <c r="I201" i="46"/>
  <c r="M200" i="46"/>
  <c r="I200" i="46"/>
  <c r="M199" i="46"/>
  <c r="I199" i="46"/>
  <c r="M198" i="46"/>
  <c r="I198" i="46"/>
  <c r="M197" i="46"/>
  <c r="I197" i="46"/>
  <c r="M196" i="46"/>
  <c r="I196" i="46"/>
  <c r="M195" i="46"/>
  <c r="I195" i="46"/>
  <c r="M194" i="46"/>
  <c r="I194" i="46"/>
  <c r="M193" i="46"/>
  <c r="I193" i="46"/>
  <c r="M192" i="46"/>
  <c r="I192" i="46"/>
  <c r="M191" i="46"/>
  <c r="I191" i="46"/>
  <c r="M190" i="46"/>
  <c r="I190" i="46"/>
  <c r="M189" i="46"/>
  <c r="I189" i="46"/>
  <c r="M188" i="46"/>
  <c r="I188" i="46"/>
  <c r="M187" i="46"/>
  <c r="I187" i="46"/>
  <c r="M186" i="46"/>
  <c r="I186" i="46"/>
  <c r="M185" i="46"/>
  <c r="I185" i="46"/>
  <c r="M184" i="46"/>
  <c r="I184" i="46"/>
  <c r="M183" i="46"/>
  <c r="I183" i="46"/>
  <c r="M182" i="46"/>
  <c r="I182" i="46"/>
  <c r="M181" i="46"/>
  <c r="I181" i="46"/>
  <c r="M180" i="46"/>
  <c r="I180" i="46"/>
  <c r="M179" i="46"/>
  <c r="I179" i="46"/>
  <c r="M178" i="46"/>
  <c r="I178" i="46"/>
  <c r="M177" i="46"/>
  <c r="I177" i="46"/>
  <c r="M176" i="46"/>
  <c r="I176" i="46"/>
  <c r="M175" i="46"/>
  <c r="I175" i="46"/>
  <c r="M174" i="46"/>
  <c r="I174" i="46"/>
  <c r="M173" i="46"/>
  <c r="I173" i="46"/>
  <c r="M172" i="46"/>
  <c r="I172" i="46"/>
  <c r="M171" i="46"/>
  <c r="I171" i="46"/>
  <c r="M170" i="46"/>
  <c r="I170" i="46"/>
  <c r="M169" i="46"/>
  <c r="I169" i="46"/>
  <c r="M168" i="46"/>
  <c r="I168" i="46"/>
  <c r="M167" i="46"/>
  <c r="I167" i="46"/>
  <c r="M166" i="46"/>
  <c r="I166" i="46"/>
  <c r="M165" i="46"/>
  <c r="I165" i="46"/>
  <c r="M164" i="46"/>
  <c r="I164" i="46"/>
  <c r="M163" i="46"/>
  <c r="I163" i="46"/>
  <c r="M162" i="46"/>
  <c r="I162" i="46"/>
  <c r="M161" i="46"/>
  <c r="I161" i="46"/>
  <c r="M160" i="46"/>
  <c r="I160" i="46"/>
  <c r="M159" i="46"/>
  <c r="I159" i="46"/>
  <c r="M158" i="46"/>
  <c r="I158" i="46"/>
  <c r="M157" i="46"/>
  <c r="I157" i="46"/>
  <c r="M156" i="46"/>
  <c r="I156" i="46"/>
  <c r="M155" i="46"/>
  <c r="I155" i="46"/>
  <c r="M154" i="46"/>
  <c r="I154" i="46"/>
  <c r="M153" i="46"/>
  <c r="I153" i="46"/>
  <c r="M152" i="46"/>
  <c r="I152" i="46"/>
  <c r="M151" i="46"/>
  <c r="I151" i="46"/>
  <c r="M150" i="46"/>
  <c r="I150" i="46"/>
  <c r="M149" i="46"/>
  <c r="I149" i="46"/>
  <c r="M148" i="46"/>
  <c r="I148" i="46"/>
  <c r="M147" i="46"/>
  <c r="I147" i="46"/>
  <c r="M146" i="46"/>
  <c r="I146" i="46"/>
  <c r="M145" i="46"/>
  <c r="I145" i="46"/>
  <c r="M144" i="46"/>
  <c r="I144" i="46"/>
  <c r="M143" i="46"/>
  <c r="I143" i="46"/>
  <c r="M142" i="46"/>
  <c r="I142" i="46"/>
  <c r="M141" i="46"/>
  <c r="I141" i="46"/>
  <c r="M140" i="46"/>
  <c r="I140" i="46"/>
  <c r="M139" i="46"/>
  <c r="I139" i="46"/>
  <c r="M138" i="46"/>
  <c r="I138" i="46"/>
  <c r="M137" i="46"/>
  <c r="I137" i="46"/>
  <c r="M136" i="46"/>
  <c r="I136" i="46"/>
  <c r="M135" i="46"/>
  <c r="I135" i="46"/>
  <c r="M134" i="46"/>
  <c r="I134" i="46"/>
  <c r="M133" i="46"/>
  <c r="I133" i="46"/>
  <c r="M132" i="46"/>
  <c r="I132" i="46"/>
  <c r="M131" i="46"/>
  <c r="I131" i="46"/>
  <c r="M130" i="46"/>
  <c r="I130" i="46"/>
  <c r="M129" i="46"/>
  <c r="I129" i="46"/>
  <c r="M128" i="46"/>
  <c r="I128" i="46"/>
  <c r="M127" i="46"/>
  <c r="I127" i="46"/>
  <c r="M126" i="46"/>
  <c r="I126" i="46"/>
  <c r="M125" i="46"/>
  <c r="I125" i="46"/>
  <c r="M124" i="46"/>
  <c r="I124" i="46"/>
  <c r="M123" i="46"/>
  <c r="I123" i="46"/>
  <c r="M122" i="46"/>
  <c r="I122" i="46"/>
  <c r="M121" i="46"/>
  <c r="I121" i="46"/>
  <c r="M120" i="46"/>
  <c r="I120" i="46"/>
  <c r="M119" i="46"/>
  <c r="I119" i="46"/>
  <c r="M118" i="46"/>
  <c r="I118" i="46"/>
  <c r="M117" i="46"/>
  <c r="I117" i="46"/>
  <c r="M116" i="46"/>
  <c r="I116" i="46"/>
  <c r="M115" i="46"/>
  <c r="I115" i="46"/>
  <c r="M114" i="46"/>
  <c r="I114" i="46"/>
  <c r="M113" i="46"/>
  <c r="I113" i="46"/>
  <c r="M112" i="46"/>
  <c r="I112" i="46"/>
  <c r="M111" i="46"/>
  <c r="I111" i="46"/>
  <c r="M110" i="46"/>
  <c r="I110" i="46"/>
  <c r="M109" i="46"/>
  <c r="I109" i="46"/>
  <c r="M108" i="46"/>
  <c r="I108" i="46"/>
  <c r="M107" i="46"/>
  <c r="I107" i="46"/>
  <c r="M106" i="46"/>
  <c r="I106" i="46"/>
  <c r="M105" i="46"/>
  <c r="I105" i="46"/>
  <c r="M104" i="46"/>
  <c r="I104" i="46"/>
  <c r="M103" i="46"/>
  <c r="I103" i="46"/>
  <c r="M102" i="46"/>
  <c r="I102" i="46"/>
  <c r="M101" i="46"/>
  <c r="I101" i="46"/>
  <c r="M100" i="46"/>
  <c r="I100" i="46"/>
  <c r="M99" i="46"/>
  <c r="I99" i="46"/>
  <c r="M98" i="46"/>
  <c r="I98" i="46"/>
  <c r="M97" i="46"/>
  <c r="I97" i="46"/>
  <c r="M96" i="46"/>
  <c r="I96" i="46"/>
  <c r="M95" i="46"/>
  <c r="I95" i="46"/>
  <c r="M94" i="46"/>
  <c r="I94" i="46"/>
  <c r="M93" i="46"/>
  <c r="I93" i="46"/>
  <c r="M92" i="46"/>
  <c r="I92" i="46"/>
  <c r="M91" i="46"/>
  <c r="I91" i="46"/>
  <c r="M90" i="46"/>
  <c r="I90" i="46"/>
  <c r="M89" i="46"/>
  <c r="I89" i="46"/>
  <c r="M88" i="46"/>
  <c r="I88" i="46"/>
  <c r="M87" i="46"/>
  <c r="I87" i="46"/>
  <c r="M86" i="46"/>
  <c r="I86" i="46"/>
  <c r="M85" i="46"/>
  <c r="I85" i="46"/>
  <c r="M84" i="46"/>
  <c r="I84" i="46"/>
  <c r="M83" i="46"/>
  <c r="I83" i="46"/>
  <c r="M82" i="46"/>
  <c r="I82" i="46"/>
  <c r="M81" i="46"/>
  <c r="I81" i="46"/>
  <c r="M80" i="46"/>
  <c r="I80" i="46"/>
  <c r="M79" i="46"/>
  <c r="I79" i="46"/>
  <c r="M78" i="46"/>
  <c r="I78" i="46"/>
  <c r="M77" i="46"/>
  <c r="I77" i="46"/>
  <c r="M76" i="46"/>
  <c r="I76" i="46"/>
  <c r="M75" i="46"/>
  <c r="I75" i="46"/>
  <c r="M74" i="46"/>
  <c r="I74" i="46"/>
  <c r="M73" i="46"/>
  <c r="I73" i="46"/>
  <c r="M72" i="46"/>
  <c r="I72" i="46"/>
  <c r="M71" i="46"/>
  <c r="I71" i="46"/>
  <c r="M70" i="46"/>
  <c r="I70" i="46"/>
  <c r="M69" i="46"/>
  <c r="I69" i="46"/>
  <c r="M68" i="46"/>
  <c r="I68" i="46"/>
  <c r="M67" i="46"/>
  <c r="I67" i="46"/>
  <c r="M66" i="46"/>
  <c r="I66" i="46"/>
  <c r="M65" i="46"/>
  <c r="I65" i="46"/>
  <c r="M64" i="46"/>
  <c r="I64" i="46"/>
  <c r="M63" i="46"/>
  <c r="I63" i="46"/>
  <c r="M62" i="46"/>
  <c r="I62" i="46"/>
  <c r="M61" i="46"/>
  <c r="I61" i="46"/>
  <c r="M60" i="46"/>
  <c r="I60" i="46"/>
  <c r="M59" i="46"/>
  <c r="I59" i="46"/>
  <c r="M58" i="46"/>
  <c r="I58" i="46"/>
  <c r="M57" i="46"/>
  <c r="I57" i="46"/>
  <c r="M56" i="46"/>
  <c r="I56" i="46"/>
  <c r="M55" i="46"/>
  <c r="I55" i="46"/>
  <c r="M54" i="46"/>
  <c r="I54" i="46"/>
  <c r="M53" i="46"/>
  <c r="I53" i="46"/>
  <c r="M52" i="46"/>
  <c r="I52" i="46"/>
  <c r="M51" i="46"/>
  <c r="I51" i="46"/>
  <c r="M50" i="46"/>
  <c r="I50" i="46"/>
  <c r="M49" i="46"/>
  <c r="I49" i="46"/>
  <c r="M48" i="46"/>
  <c r="I48" i="46"/>
  <c r="M47" i="46"/>
  <c r="I47" i="46"/>
  <c r="M46" i="46"/>
  <c r="I46" i="46"/>
  <c r="M45" i="46"/>
  <c r="I45" i="46"/>
  <c r="M44" i="46"/>
  <c r="I44" i="46"/>
  <c r="M43" i="46"/>
  <c r="I43" i="46"/>
  <c r="M42" i="46"/>
  <c r="I42" i="46"/>
  <c r="M41" i="46"/>
  <c r="I41" i="46"/>
  <c r="M40" i="46"/>
  <c r="I40" i="46"/>
  <c r="M39" i="46"/>
  <c r="I39" i="46"/>
  <c r="M38" i="46"/>
  <c r="I38" i="46"/>
  <c r="M37" i="46"/>
  <c r="I37" i="46"/>
  <c r="M36" i="46"/>
  <c r="I36" i="46"/>
  <c r="M35" i="46"/>
  <c r="I35" i="46"/>
  <c r="M34" i="46"/>
  <c r="I34" i="46"/>
  <c r="M33" i="46"/>
  <c r="I33" i="46"/>
  <c r="M32" i="46"/>
  <c r="I32" i="46"/>
  <c r="M31" i="46"/>
  <c r="I31" i="46"/>
  <c r="M30" i="46"/>
  <c r="I30" i="46"/>
  <c r="M29" i="46"/>
  <c r="I29" i="46"/>
  <c r="M28" i="46"/>
  <c r="I28" i="46"/>
  <c r="M27" i="46"/>
  <c r="I27" i="46"/>
  <c r="M26" i="46"/>
  <c r="I26" i="46"/>
  <c r="M25" i="46"/>
  <c r="I25" i="46"/>
  <c r="M24" i="46"/>
  <c r="I24" i="46"/>
  <c r="M23" i="46"/>
  <c r="I23" i="46"/>
  <c r="M22" i="46"/>
  <c r="I22" i="46"/>
  <c r="M21" i="46"/>
  <c r="I21" i="46"/>
  <c r="M20" i="46"/>
  <c r="I20" i="46"/>
  <c r="M19" i="46"/>
  <c r="I19" i="46"/>
  <c r="M18" i="46"/>
  <c r="I18" i="46"/>
  <c r="M17" i="46"/>
  <c r="I17" i="46"/>
  <c r="M16" i="46"/>
  <c r="I16" i="46"/>
  <c r="M15" i="46"/>
  <c r="I15" i="46"/>
  <c r="M14" i="46"/>
  <c r="I14" i="46"/>
  <c r="M13" i="46"/>
  <c r="I13" i="46"/>
  <c r="M12" i="46"/>
  <c r="I12" i="46"/>
  <c r="J258" i="11"/>
  <c r="J257" i="11"/>
  <c r="J256" i="11"/>
  <c r="J255" i="11"/>
  <c r="J254" i="11"/>
  <c r="J253" i="11"/>
  <c r="J252" i="11"/>
  <c r="J251" i="11"/>
  <c r="J250" i="11"/>
  <c r="J249" i="11"/>
  <c r="J248" i="11"/>
  <c r="J247" i="11"/>
  <c r="J246" i="11"/>
  <c r="J245" i="11"/>
  <c r="J244" i="11"/>
  <c r="J243" i="11"/>
  <c r="J242" i="11"/>
  <c r="J241" i="11"/>
  <c r="J240" i="11"/>
  <c r="J239" i="11"/>
  <c r="J238" i="11"/>
  <c r="J237" i="11"/>
  <c r="J236" i="11"/>
  <c r="J235" i="11"/>
  <c r="J234" i="11"/>
  <c r="J233" i="11"/>
  <c r="J232" i="11"/>
  <c r="J231" i="11"/>
  <c r="J230" i="11"/>
  <c r="J229" i="11"/>
  <c r="J228" i="11"/>
  <c r="J227" i="11"/>
  <c r="J226" i="11"/>
  <c r="J225" i="11"/>
  <c r="J224" i="11"/>
  <c r="J223" i="11"/>
  <c r="J222" i="11"/>
  <c r="J221" i="11"/>
  <c r="J220" i="11"/>
  <c r="J219" i="11"/>
  <c r="J218" i="11"/>
  <c r="J217" i="11"/>
  <c r="J216" i="11"/>
  <c r="J215" i="11"/>
  <c r="J214" i="11"/>
  <c r="J213" i="11"/>
  <c r="J212" i="11"/>
  <c r="J211" i="11"/>
  <c r="J210" i="11"/>
  <c r="J209" i="11"/>
  <c r="J208" i="11"/>
  <c r="J207" i="11"/>
  <c r="J206" i="11"/>
  <c r="J205" i="11"/>
  <c r="J204" i="11"/>
  <c r="J203" i="11"/>
  <c r="J202" i="11"/>
  <c r="J201" i="11"/>
  <c r="J200" i="11"/>
  <c r="J199" i="11"/>
  <c r="J198" i="11"/>
  <c r="J197" i="11"/>
  <c r="J196" i="11"/>
  <c r="J195" i="11"/>
  <c r="J194" i="11"/>
  <c r="J193" i="11"/>
  <c r="J192" i="11"/>
  <c r="J191" i="11"/>
  <c r="J190" i="11"/>
  <c r="J189" i="11"/>
  <c r="J188" i="11"/>
  <c r="J187" i="11"/>
  <c r="J186" i="11"/>
  <c r="J185" i="11"/>
  <c r="J184" i="11"/>
  <c r="J183" i="11"/>
  <c r="J182" i="11"/>
  <c r="J181" i="11"/>
  <c r="J180" i="11"/>
  <c r="J179" i="11"/>
  <c r="J178" i="11"/>
  <c r="J177" i="11"/>
  <c r="J176" i="11"/>
  <c r="J175" i="11"/>
  <c r="J174" i="11"/>
  <c r="J173" i="11"/>
  <c r="J172" i="11"/>
  <c r="J171" i="11"/>
  <c r="J170" i="11"/>
  <c r="J169" i="11"/>
  <c r="J168" i="11"/>
  <c r="J167" i="11"/>
  <c r="J166" i="11"/>
  <c r="J165" i="11"/>
  <c r="J164" i="11"/>
  <c r="J163" i="11"/>
  <c r="J162" i="11"/>
  <c r="J161" i="11"/>
  <c r="J160" i="11"/>
  <c r="J159" i="11"/>
  <c r="J158" i="11"/>
  <c r="J157" i="11"/>
  <c r="J156" i="11"/>
  <c r="J155" i="11"/>
  <c r="J154" i="11"/>
  <c r="J153" i="11"/>
  <c r="J152" i="11"/>
  <c r="J151" i="11"/>
  <c r="J150" i="11"/>
  <c r="J149" i="11"/>
  <c r="J148" i="11"/>
  <c r="J147" i="11"/>
  <c r="J146" i="11"/>
  <c r="J145" i="11"/>
  <c r="J144" i="11"/>
  <c r="J143" i="11"/>
  <c r="J142" i="11"/>
  <c r="J141" i="11"/>
  <c r="J140" i="11"/>
  <c r="J139" i="11"/>
  <c r="J138" i="11"/>
  <c r="J137" i="11"/>
  <c r="J136" i="11"/>
  <c r="J135" i="11"/>
  <c r="J134" i="11"/>
  <c r="J133" i="11"/>
  <c r="J132" i="11"/>
  <c r="J131" i="11"/>
  <c r="J130" i="11"/>
  <c r="J129" i="11"/>
  <c r="J128" i="11"/>
  <c r="J127" i="11"/>
  <c r="J126" i="11"/>
  <c r="J125" i="11"/>
  <c r="J124" i="11"/>
  <c r="J123" i="11"/>
  <c r="J122" i="11"/>
  <c r="J121" i="11"/>
  <c r="J120" i="11"/>
  <c r="J119" i="11"/>
  <c r="J118" i="11"/>
  <c r="J117" i="11"/>
  <c r="J116" i="11"/>
  <c r="J115" i="11"/>
  <c r="J114" i="11"/>
  <c r="J113" i="11"/>
  <c r="J112" i="11"/>
  <c r="J111" i="11"/>
  <c r="J110" i="11"/>
  <c r="J109" i="11"/>
  <c r="J108" i="11"/>
  <c r="J107" i="11"/>
  <c r="J106" i="11"/>
  <c r="J105" i="11"/>
  <c r="J104" i="11"/>
  <c r="J103" i="11"/>
  <c r="J102" i="11"/>
  <c r="J101" i="11"/>
  <c r="J100" i="11"/>
  <c r="J99" i="11"/>
  <c r="J98" i="11"/>
  <c r="J97" i="11"/>
  <c r="J96" i="11"/>
  <c r="J95" i="11"/>
  <c r="J94" i="11"/>
  <c r="J93" i="11"/>
  <c r="J92" i="11"/>
  <c r="J91" i="11"/>
  <c r="J90" i="11"/>
  <c r="J89" i="11"/>
  <c r="J88" i="11"/>
  <c r="J87" i="11"/>
  <c r="J86" i="11"/>
  <c r="J85" i="11"/>
  <c r="J84" i="11"/>
  <c r="J83" i="11"/>
  <c r="J82" i="11"/>
  <c r="J81" i="11"/>
  <c r="J80" i="11"/>
  <c r="J79" i="11"/>
  <c r="J78" i="11"/>
  <c r="J77" i="11"/>
  <c r="J76" i="11"/>
  <c r="J75" i="11"/>
  <c r="J74" i="11"/>
  <c r="J73" i="11"/>
  <c r="J72" i="11"/>
  <c r="J71" i="11"/>
  <c r="J70" i="11"/>
  <c r="J69" i="11"/>
  <c r="J68" i="11"/>
  <c r="J67" i="11"/>
  <c r="J66" i="11"/>
  <c r="J65" i="11"/>
  <c r="J64" i="11"/>
  <c r="J63" i="11"/>
  <c r="J62" i="11"/>
  <c r="J61" i="11"/>
  <c r="J60" i="11"/>
  <c r="J59" i="11"/>
  <c r="J58" i="11"/>
  <c r="J57" i="11"/>
  <c r="J56" i="11"/>
  <c r="J55" i="11"/>
  <c r="J54" i="11"/>
  <c r="J53" i="11"/>
  <c r="J52" i="11"/>
  <c r="J51" i="11"/>
  <c r="J50" i="11"/>
  <c r="J49" i="11"/>
  <c r="J48" i="11"/>
  <c r="J47" i="11"/>
  <c r="J46" i="11"/>
  <c r="J45" i="11"/>
  <c r="J44" i="11"/>
  <c r="J43" i="11"/>
  <c r="J42" i="11"/>
  <c r="J41" i="11"/>
  <c r="J40" i="11"/>
  <c r="J39" i="11"/>
  <c r="J38" i="11"/>
  <c r="J37" i="11"/>
  <c r="J36" i="11"/>
  <c r="J35" i="11"/>
  <c r="J34" i="11"/>
  <c r="J33" i="11"/>
  <c r="J32" i="11"/>
  <c r="J31" i="11"/>
  <c r="J30" i="11"/>
  <c r="J29" i="11"/>
  <c r="J28" i="11"/>
  <c r="J27" i="11"/>
  <c r="J26" i="11"/>
  <c r="J25" i="11"/>
  <c r="J24" i="11"/>
  <c r="J23" i="11"/>
  <c r="J22" i="11"/>
  <c r="J21" i="11"/>
  <c r="J20" i="11"/>
  <c r="J19" i="11"/>
  <c r="J18" i="11"/>
  <c r="J17" i="11"/>
  <c r="J16" i="11"/>
  <c r="J15" i="11"/>
  <c r="J14" i="11"/>
  <c r="J13" i="11"/>
  <c r="J12" i="11"/>
  <c r="Q99" i="29"/>
  <c r="E3" i="28" s="1"/>
  <c r="Q124" i="29"/>
  <c r="E40" i="28" s="1"/>
  <c r="O124" i="29"/>
  <c r="C40" i="28" s="1"/>
  <c r="M124" i="29"/>
  <c r="P49" i="11" s="1"/>
  <c r="Q49" i="11" s="1"/>
  <c r="L124" i="29"/>
  <c r="Q123" i="29"/>
  <c r="E44" i="28" s="1"/>
  <c r="O123" i="29"/>
  <c r="C44" i="28" s="1"/>
  <c r="M123" i="29"/>
  <c r="P59" i="11" s="1"/>
  <c r="Q59" i="11" s="1"/>
  <c r="L123" i="29"/>
  <c r="Q122" i="29"/>
  <c r="E42" i="28" s="1"/>
  <c r="O122" i="29"/>
  <c r="C42" i="28" s="1"/>
  <c r="M122" i="29"/>
  <c r="P55" i="11" s="1"/>
  <c r="Q55" i="11" s="1"/>
  <c r="L122" i="29"/>
  <c r="Q121" i="29"/>
  <c r="E43" i="28" s="1"/>
  <c r="O121" i="29"/>
  <c r="C43" i="28" s="1"/>
  <c r="M121" i="29"/>
  <c r="P53" i="11" s="1"/>
  <c r="Q53" i="11" s="1"/>
  <c r="L121" i="29"/>
  <c r="Q118" i="29"/>
  <c r="E41" i="28" s="1"/>
  <c r="O118" i="29"/>
  <c r="C41" i="28" s="1"/>
  <c r="M118" i="29"/>
  <c r="P50" i="11" s="1"/>
  <c r="Q50" i="11" s="1"/>
  <c r="L118" i="29"/>
  <c r="Q117" i="29"/>
  <c r="E45" i="28" s="1"/>
  <c r="O117" i="29"/>
  <c r="C45" i="28" s="1"/>
  <c r="M117" i="29"/>
  <c r="P60" i="11" s="1"/>
  <c r="Q60" i="11" s="1"/>
  <c r="L117" i="29"/>
  <c r="Q116" i="29"/>
  <c r="E46" i="28" s="1"/>
  <c r="O116" i="29"/>
  <c r="C46" i="28" s="1"/>
  <c r="M116" i="29"/>
  <c r="P58" i="11" s="1"/>
  <c r="Q58" i="11" s="1"/>
  <c r="L116" i="29"/>
  <c r="Q114" i="29"/>
  <c r="E51" i="28" s="1"/>
  <c r="O114" i="29"/>
  <c r="C51" i="28" s="1"/>
  <c r="M114" i="29"/>
  <c r="P65" i="11" s="1"/>
  <c r="Q65" i="11" s="1"/>
  <c r="L114" i="29"/>
  <c r="Q113" i="29"/>
  <c r="E50" i="28" s="1"/>
  <c r="O113" i="29"/>
  <c r="C50" i="28" s="1"/>
  <c r="M113" i="29"/>
  <c r="P68" i="11" s="1"/>
  <c r="Q68" i="11" s="1"/>
  <c r="L113" i="29"/>
  <c r="Q108" i="29"/>
  <c r="E4" i="28" s="1"/>
  <c r="O108" i="29"/>
  <c r="C4" i="28" s="1"/>
  <c r="Q112" i="29"/>
  <c r="E48" i="28" s="1"/>
  <c r="O112" i="29"/>
  <c r="C48" i="28" s="1"/>
  <c r="M112" i="29"/>
  <c r="P64" i="11" s="1"/>
  <c r="Q64" i="11" s="1"/>
  <c r="L112" i="29"/>
  <c r="Q111" i="29"/>
  <c r="E49" i="28" s="1"/>
  <c r="O111" i="29"/>
  <c r="C49" i="28" s="1"/>
  <c r="M111" i="29"/>
  <c r="P61" i="11" s="1"/>
  <c r="Q61" i="11" s="1"/>
  <c r="L111" i="29"/>
  <c r="Q110" i="29"/>
  <c r="E47" i="28" s="1"/>
  <c r="O110" i="29"/>
  <c r="C47" i="28" s="1"/>
  <c r="M110" i="29"/>
  <c r="P63" i="11" s="1"/>
  <c r="Q63" i="11" s="1"/>
  <c r="L110" i="29"/>
  <c r="Q107" i="29"/>
  <c r="E64" i="28" s="1"/>
  <c r="O107" i="29"/>
  <c r="C64" i="28" s="1"/>
  <c r="P44" i="11"/>
  <c r="Q44" i="11" s="1"/>
  <c r="Q106" i="29"/>
  <c r="E63" i="28" s="1"/>
  <c r="O106" i="29"/>
  <c r="C63" i="28" s="1"/>
  <c r="P43" i="11"/>
  <c r="Q43" i="11" s="1"/>
  <c r="Q105" i="29"/>
  <c r="E68" i="28" s="1"/>
  <c r="O105" i="29"/>
  <c r="C68" i="28" s="1"/>
  <c r="P48" i="11"/>
  <c r="Q48" i="11" s="1"/>
  <c r="Q104" i="29"/>
  <c r="E67" i="28" s="1"/>
  <c r="O104" i="29"/>
  <c r="C67" i="28" s="1"/>
  <c r="P47" i="11"/>
  <c r="Q47" i="11" s="1"/>
  <c r="Q103" i="29"/>
  <c r="E70" i="28" s="1"/>
  <c r="O103" i="29"/>
  <c r="C70" i="28" s="1"/>
  <c r="P46" i="11"/>
  <c r="Q46" i="11" s="1"/>
  <c r="Q102" i="29"/>
  <c r="E69" i="28" s="1"/>
  <c r="O102" i="29"/>
  <c r="C69" i="28" s="1"/>
  <c r="P45" i="11"/>
  <c r="Q45" i="11" s="1"/>
  <c r="Q101" i="29"/>
  <c r="E66" i="28" s="1"/>
  <c r="O101" i="29"/>
  <c r="C66" i="28" s="1"/>
  <c r="P42" i="11"/>
  <c r="Q42" i="11" s="1"/>
  <c r="Q100" i="29"/>
  <c r="E65" i="28" s="1"/>
  <c r="O100" i="29"/>
  <c r="C65" i="28" s="1"/>
  <c r="P41" i="11"/>
  <c r="Q41" i="11" s="1"/>
  <c r="O99" i="29"/>
  <c r="C3" i="28" s="1"/>
  <c r="P38" i="11"/>
  <c r="Q38" i="11" s="1"/>
  <c r="AB19" i="69" l="1"/>
  <c r="AC19" i="69" s="1"/>
  <c r="AD19" i="69" s="1"/>
  <c r="AG19" i="69"/>
  <c r="AB17" i="69"/>
  <c r="AC17" i="69" s="1"/>
  <c r="AD17" i="69" s="1"/>
  <c r="AG17" i="69"/>
  <c r="AF34" i="57"/>
  <c r="AB34" i="57"/>
  <c r="X35" i="57"/>
  <c r="AB35" i="53"/>
  <c r="AA35" i="53"/>
  <c r="AE36" i="53"/>
  <c r="AC36" i="53"/>
  <c r="AF35" i="53"/>
  <c r="AC36" i="57"/>
  <c r="AE36" i="57"/>
  <c r="R36" i="57"/>
  <c r="R36" i="53"/>
  <c r="X36" i="53" s="1"/>
  <c r="D21" i="69"/>
  <c r="E21" i="69" s="1"/>
  <c r="F21" i="69" s="1"/>
  <c r="G21" i="69" s="1"/>
  <c r="H21" i="69" s="1"/>
  <c r="I21" i="69" s="1"/>
  <c r="J21" i="69" s="1"/>
  <c r="K21" i="69" s="1"/>
  <c r="AO21" i="69"/>
  <c r="D112" i="22"/>
  <c r="P52" i="11"/>
  <c r="Q52" i="11" s="1"/>
  <c r="M21" i="69"/>
  <c r="AX20" i="69"/>
  <c r="L37" i="57"/>
  <c r="AG37" i="57"/>
  <c r="AJ36" i="57"/>
  <c r="AP36" i="57"/>
  <c r="AG36" i="53"/>
  <c r="AH36" i="53"/>
  <c r="AT36" i="53"/>
  <c r="N37" i="57"/>
  <c r="N37" i="53"/>
  <c r="AH20" i="69"/>
  <c r="AD36" i="57"/>
  <c r="Q36" i="53"/>
  <c r="AD36" i="53"/>
  <c r="I37" i="53"/>
  <c r="C37" i="53"/>
  <c r="F37" i="53"/>
  <c r="L37" i="53"/>
  <c r="K37" i="53"/>
  <c r="E37" i="53"/>
  <c r="P37" i="53"/>
  <c r="H37" i="53"/>
  <c r="M37" i="53"/>
  <c r="G37" i="53"/>
  <c r="AK36" i="52" a="1"/>
  <c r="AK36" i="52" s="1"/>
  <c r="B38" i="53" s="1"/>
  <c r="O38" i="53" s="1"/>
  <c r="J37" i="53"/>
  <c r="D37" i="53"/>
  <c r="Q36" i="57"/>
  <c r="T36" i="57" s="1"/>
  <c r="G37" i="57"/>
  <c r="I37" i="57"/>
  <c r="J37" i="57"/>
  <c r="F37" i="57"/>
  <c r="P37" i="57"/>
  <c r="K37" i="57"/>
  <c r="H37" i="57"/>
  <c r="E37" i="57"/>
  <c r="D37" i="57"/>
  <c r="C37" i="57"/>
  <c r="M37" i="57" s="1"/>
  <c r="AK36" i="55" a="1"/>
  <c r="AK36" i="55" s="1"/>
  <c r="B38" i="57" s="1"/>
  <c r="O38" i="57" s="1"/>
  <c r="AE20" i="69"/>
  <c r="Q20" i="69"/>
  <c r="R20" i="69"/>
  <c r="S20" i="69" s="1"/>
  <c r="Y20" i="69" s="1"/>
  <c r="AB20" i="69" s="1"/>
  <c r="AC20" i="69" s="1"/>
  <c r="AD20" i="69" s="1"/>
  <c r="N21" i="69"/>
  <c r="AF21" i="69" s="1"/>
  <c r="U20" i="69"/>
  <c r="B22" i="69"/>
  <c r="O22" i="69" s="1"/>
  <c r="AN22" i="67" a="1"/>
  <c r="AN22" i="67" s="1"/>
  <c r="B23" i="69"/>
  <c r="AB35" i="57" l="1"/>
  <c r="AA35" i="57"/>
  <c r="L23" i="69"/>
  <c r="O23" i="69"/>
  <c r="AG20" i="69"/>
  <c r="AF35" i="57"/>
  <c r="AB36" i="53"/>
  <c r="AA36" i="53"/>
  <c r="AF36" i="53"/>
  <c r="AE37" i="53"/>
  <c r="AC37" i="53"/>
  <c r="X36" i="57"/>
  <c r="AE37" i="57"/>
  <c r="AC37" i="57"/>
  <c r="R37" i="57"/>
  <c r="R37" i="53"/>
  <c r="X37" i="53" s="1"/>
  <c r="L22" i="69"/>
  <c r="AX21" i="69"/>
  <c r="AG38" i="57"/>
  <c r="L38" i="57"/>
  <c r="AJ37" i="57"/>
  <c r="AP37" i="57"/>
  <c r="AG37" i="53"/>
  <c r="AH37" i="53"/>
  <c r="AT37" i="53"/>
  <c r="N38" i="57"/>
  <c r="H38" i="53"/>
  <c r="N38" i="53"/>
  <c r="Q21" i="69"/>
  <c r="AH21" i="69"/>
  <c r="AD37" i="57"/>
  <c r="Q37" i="53"/>
  <c r="AD37" i="53"/>
  <c r="AK37" i="52" a="1"/>
  <c r="AK37" i="52" s="1"/>
  <c r="B39" i="53" s="1"/>
  <c r="O39" i="53" s="1"/>
  <c r="K38" i="53"/>
  <c r="D38" i="53"/>
  <c r="C38" i="53"/>
  <c r="G38" i="53"/>
  <c r="I38" i="53"/>
  <c r="F38" i="53"/>
  <c r="M38" i="53"/>
  <c r="P38" i="53"/>
  <c r="L38" i="53"/>
  <c r="E38" i="53"/>
  <c r="J38" i="53"/>
  <c r="P38" i="57"/>
  <c r="D38" i="57"/>
  <c r="K38" i="57"/>
  <c r="I38" i="57"/>
  <c r="H38" i="57"/>
  <c r="G38" i="57"/>
  <c r="E38" i="57"/>
  <c r="C38" i="57"/>
  <c r="M38" i="57" s="1"/>
  <c r="F38" i="57"/>
  <c r="J38" i="57"/>
  <c r="Q37" i="57"/>
  <c r="T37" i="57" s="1"/>
  <c r="AK37" i="55" a="1"/>
  <c r="AK37" i="55" s="1"/>
  <c r="B39" i="57" s="1"/>
  <c r="O39" i="57" s="1"/>
  <c r="U21" i="69"/>
  <c r="R21" i="69"/>
  <c r="S21" i="69" s="1"/>
  <c r="Y21" i="69" s="1"/>
  <c r="AE21" i="69"/>
  <c r="C22" i="69"/>
  <c r="P22" i="69" s="1"/>
  <c r="C23" i="69"/>
  <c r="AN23" i="67" a="1"/>
  <c r="AN23" i="67" s="1"/>
  <c r="B24" i="69"/>
  <c r="A125" i="99"/>
  <c r="A124" i="99"/>
  <c r="A123" i="99"/>
  <c r="A122" i="99"/>
  <c r="A119" i="99"/>
  <c r="A118" i="99"/>
  <c r="A117" i="99"/>
  <c r="A115" i="99"/>
  <c r="A114" i="99"/>
  <c r="A112" i="99"/>
  <c r="A111" i="99"/>
  <c r="A110" i="99"/>
  <c r="A109" i="99"/>
  <c r="A108" i="99"/>
  <c r="A107" i="99"/>
  <c r="A106" i="99"/>
  <c r="A105" i="99"/>
  <c r="A104" i="99"/>
  <c r="A103" i="99"/>
  <c r="A102" i="99"/>
  <c r="A101" i="99"/>
  <c r="A100" i="99"/>
  <c r="C126" i="33"/>
  <c r="C125" i="33"/>
  <c r="C124" i="33"/>
  <c r="C123" i="33"/>
  <c r="C120" i="33"/>
  <c r="C119" i="33"/>
  <c r="C118" i="33"/>
  <c r="C116" i="33"/>
  <c r="C115" i="33"/>
  <c r="C113" i="33"/>
  <c r="C112" i="33"/>
  <c r="C111" i="33"/>
  <c r="C110" i="33"/>
  <c r="C109" i="33"/>
  <c r="C108" i="33"/>
  <c r="C107" i="33"/>
  <c r="C106" i="33"/>
  <c r="C105" i="33"/>
  <c r="C104" i="33"/>
  <c r="C103" i="33"/>
  <c r="C102" i="33"/>
  <c r="C101" i="33"/>
  <c r="F125" i="20"/>
  <c r="F124" i="20"/>
  <c r="F123" i="20"/>
  <c r="F122" i="20"/>
  <c r="F119" i="20"/>
  <c r="F118" i="20"/>
  <c r="F117" i="20"/>
  <c r="F115" i="20"/>
  <c r="F114" i="20"/>
  <c r="F112" i="20"/>
  <c r="F111" i="20"/>
  <c r="F110" i="20"/>
  <c r="F109" i="20"/>
  <c r="F108" i="20"/>
  <c r="F107" i="20"/>
  <c r="F106" i="20"/>
  <c r="F105" i="20"/>
  <c r="F104" i="20"/>
  <c r="F103" i="20"/>
  <c r="F102" i="20"/>
  <c r="F101" i="20"/>
  <c r="F100" i="20"/>
  <c r="D127" i="22"/>
  <c r="C127" i="22"/>
  <c r="B127" i="22"/>
  <c r="D125" i="22"/>
  <c r="C125" i="22"/>
  <c r="B125" i="22"/>
  <c r="A125" i="22"/>
  <c r="F125" i="22" s="1"/>
  <c r="D124" i="22"/>
  <c r="C124" i="22"/>
  <c r="B124" i="22"/>
  <c r="A124" i="22"/>
  <c r="F124" i="22" s="1"/>
  <c r="D123" i="22"/>
  <c r="C123" i="22"/>
  <c r="B123" i="22"/>
  <c r="A123" i="22"/>
  <c r="F123" i="22" s="1"/>
  <c r="D122" i="22"/>
  <c r="C122" i="22"/>
  <c r="B122" i="22"/>
  <c r="A122" i="22"/>
  <c r="F122" i="22" s="1"/>
  <c r="D119" i="22"/>
  <c r="C119" i="22"/>
  <c r="B119" i="22"/>
  <c r="A119" i="22"/>
  <c r="F119" i="22" s="1"/>
  <c r="D118" i="22"/>
  <c r="C118" i="22"/>
  <c r="B118" i="22"/>
  <c r="A118" i="22"/>
  <c r="F118" i="22" s="1"/>
  <c r="D117" i="22"/>
  <c r="C117" i="22"/>
  <c r="B117" i="22"/>
  <c r="A117" i="22"/>
  <c r="F117" i="22" s="1"/>
  <c r="D115" i="22"/>
  <c r="C115" i="22"/>
  <c r="B115" i="22"/>
  <c r="A115" i="22"/>
  <c r="F115" i="22" s="1"/>
  <c r="D114" i="22"/>
  <c r="C114" i="22"/>
  <c r="B114" i="22"/>
  <c r="A114" i="22"/>
  <c r="F114" i="22" s="1"/>
  <c r="D111" i="22"/>
  <c r="C111" i="22"/>
  <c r="B111" i="22"/>
  <c r="A111" i="22"/>
  <c r="F111" i="22" s="1"/>
  <c r="D110" i="22"/>
  <c r="C110" i="22"/>
  <c r="B110" i="22"/>
  <c r="A110" i="22"/>
  <c r="F110" i="22" s="1"/>
  <c r="D109" i="22"/>
  <c r="C109" i="22"/>
  <c r="B109" i="22"/>
  <c r="A109" i="22"/>
  <c r="F109" i="22" s="1"/>
  <c r="D108" i="22"/>
  <c r="C108" i="22"/>
  <c r="B108" i="22"/>
  <c r="A108" i="22"/>
  <c r="F108" i="22" s="1"/>
  <c r="D107" i="22"/>
  <c r="C107" i="22"/>
  <c r="B107" i="22"/>
  <c r="A107" i="22"/>
  <c r="F107" i="22" s="1"/>
  <c r="D106" i="22"/>
  <c r="C106" i="22"/>
  <c r="B106" i="22"/>
  <c r="A106" i="22"/>
  <c r="D105" i="22"/>
  <c r="C105" i="22"/>
  <c r="B105" i="22"/>
  <c r="A105" i="22"/>
  <c r="F105" i="22" s="1"/>
  <c r="D104" i="22"/>
  <c r="C104" i="22"/>
  <c r="B104" i="22"/>
  <c r="A104" i="22"/>
  <c r="F104" i="22" s="1"/>
  <c r="D103" i="22"/>
  <c r="C103" i="22"/>
  <c r="B103" i="22"/>
  <c r="A103" i="22"/>
  <c r="F103" i="22" s="1"/>
  <c r="D102" i="22"/>
  <c r="C102" i="22"/>
  <c r="B102" i="22"/>
  <c r="A102" i="22"/>
  <c r="F102" i="22" s="1"/>
  <c r="D101" i="22"/>
  <c r="C101" i="22"/>
  <c r="B101" i="22"/>
  <c r="A101" i="22"/>
  <c r="F101" i="22" s="1"/>
  <c r="D100" i="22"/>
  <c r="C100" i="22"/>
  <c r="B100" i="22"/>
  <c r="A100" i="22"/>
  <c r="F100" i="22" s="1"/>
  <c r="AB36" i="57" l="1"/>
  <c r="AA36" i="57"/>
  <c r="AB21" i="69"/>
  <c r="AC21" i="69" s="1"/>
  <c r="AD21" i="69" s="1"/>
  <c r="AG21" i="69"/>
  <c r="L24" i="69"/>
  <c r="O24" i="69"/>
  <c r="AO23" i="69"/>
  <c r="P23" i="69"/>
  <c r="AA37" i="53"/>
  <c r="AB37" i="53"/>
  <c r="AE38" i="53"/>
  <c r="AC38" i="53"/>
  <c r="AF37" i="53"/>
  <c r="X37" i="57"/>
  <c r="AF36" i="57"/>
  <c r="AE38" i="57"/>
  <c r="AC38" i="57"/>
  <c r="R38" i="57"/>
  <c r="R38" i="53"/>
  <c r="X38" i="53" s="1"/>
  <c r="AO22" i="69"/>
  <c r="S100" i="22"/>
  <c r="E100" i="22"/>
  <c r="S102" i="22"/>
  <c r="E102" i="22"/>
  <c r="S104" i="22"/>
  <c r="E104" i="22"/>
  <c r="S108" i="22"/>
  <c r="E108" i="22"/>
  <c r="S110" i="22"/>
  <c r="E110" i="22"/>
  <c r="S114" i="22"/>
  <c r="E114" i="22"/>
  <c r="E117" i="22"/>
  <c r="S117" i="22"/>
  <c r="S127" i="22"/>
  <c r="E127" i="22"/>
  <c r="S101" i="22"/>
  <c r="E101" i="22"/>
  <c r="S103" i="22"/>
  <c r="E103" i="22"/>
  <c r="E105" i="22"/>
  <c r="S105" i="22"/>
  <c r="S107" i="22"/>
  <c r="E107" i="22"/>
  <c r="S109" i="22"/>
  <c r="E109" i="22"/>
  <c r="S111" i="22"/>
  <c r="E111" i="22"/>
  <c r="E115" i="22"/>
  <c r="S115" i="22"/>
  <c r="S118" i="22"/>
  <c r="E118" i="22"/>
  <c r="E122" i="22"/>
  <c r="S122" i="22"/>
  <c r="E124" i="22"/>
  <c r="S124" i="22"/>
  <c r="E106" i="22"/>
  <c r="S106" i="22"/>
  <c r="E119" i="22"/>
  <c r="S119" i="22"/>
  <c r="S123" i="22"/>
  <c r="E123" i="22"/>
  <c r="S125" i="22"/>
  <c r="E125" i="22"/>
  <c r="AG39" i="57"/>
  <c r="L39" i="57"/>
  <c r="AJ38" i="57"/>
  <c r="AP38" i="57"/>
  <c r="AH38" i="53"/>
  <c r="AT38" i="53"/>
  <c r="AG38" i="53"/>
  <c r="N39" i="57"/>
  <c r="C39" i="53"/>
  <c r="N39" i="53"/>
  <c r="AD38" i="57"/>
  <c r="AD38" i="53"/>
  <c r="Q38" i="53"/>
  <c r="F39" i="53"/>
  <c r="G39" i="53"/>
  <c r="K39" i="53"/>
  <c r="M39" i="53"/>
  <c r="D39" i="53"/>
  <c r="H39" i="53"/>
  <c r="L39" i="53"/>
  <c r="AK38" i="52" a="1"/>
  <c r="AK38" i="52" s="1"/>
  <c r="B40" i="53" s="1"/>
  <c r="O40" i="53" s="1"/>
  <c r="P39" i="53"/>
  <c r="J39" i="53"/>
  <c r="E39" i="53"/>
  <c r="I39" i="53"/>
  <c r="F39" i="57"/>
  <c r="K39" i="57"/>
  <c r="I39" i="57"/>
  <c r="C39" i="57"/>
  <c r="M39" i="57" s="1"/>
  <c r="P39" i="57"/>
  <c r="H39" i="57"/>
  <c r="D39" i="57"/>
  <c r="E39" i="57"/>
  <c r="G39" i="57"/>
  <c r="J39" i="57"/>
  <c r="Q38" i="57"/>
  <c r="T38" i="57" s="1"/>
  <c r="AK38" i="55" a="1"/>
  <c r="AK38" i="55" s="1"/>
  <c r="B40" i="57" s="1"/>
  <c r="O40" i="57" s="1"/>
  <c r="N22" i="69"/>
  <c r="AF22" i="69" s="1"/>
  <c r="D22" i="69"/>
  <c r="E22" i="69" s="1"/>
  <c r="F22" i="69" s="1"/>
  <c r="G22" i="69" s="1"/>
  <c r="H22" i="69" s="1"/>
  <c r="I22" i="69" s="1"/>
  <c r="J22" i="69" s="1"/>
  <c r="K22" i="69" s="1"/>
  <c r="M22" i="69" s="1"/>
  <c r="AN24" i="67" a="1"/>
  <c r="AN24" i="67" s="1"/>
  <c r="B25" i="69"/>
  <c r="D23" i="69"/>
  <c r="E23" i="69" s="1"/>
  <c r="F23" i="69" s="1"/>
  <c r="G23" i="69" s="1"/>
  <c r="H23" i="69" s="1"/>
  <c r="I23" i="69" s="1"/>
  <c r="J23" i="69" s="1"/>
  <c r="K23" i="69" s="1"/>
  <c r="M23" i="69" s="1"/>
  <c r="N23" i="69"/>
  <c r="AF23" i="69" s="1"/>
  <c r="C24" i="69"/>
  <c r="V105" i="22"/>
  <c r="U105" i="22"/>
  <c r="W109" i="22"/>
  <c r="V109" i="22"/>
  <c r="U109" i="22"/>
  <c r="U107" i="22"/>
  <c r="V107" i="22"/>
  <c r="W110" i="22"/>
  <c r="U110" i="22"/>
  <c r="V124" i="22"/>
  <c r="U124" i="22"/>
  <c r="U100" i="22"/>
  <c r="U102" i="22"/>
  <c r="V102" i="22"/>
  <c r="U104" i="22"/>
  <c r="V104" i="22"/>
  <c r="V106" i="22"/>
  <c r="U106" i="22"/>
  <c r="V108" i="22"/>
  <c r="U108" i="22"/>
  <c r="U111" i="22"/>
  <c r="V111" i="22"/>
  <c r="I114" i="22"/>
  <c r="U114" i="22"/>
  <c r="V114" i="22"/>
  <c r="U117" i="22"/>
  <c r="V117" i="22"/>
  <c r="U118" i="22"/>
  <c r="V123" i="22"/>
  <c r="U123" i="22"/>
  <c r="U125" i="22"/>
  <c r="U127" i="22"/>
  <c r="V127" i="22"/>
  <c r="U103" i="22"/>
  <c r="V115" i="22"/>
  <c r="U115" i="22"/>
  <c r="V122" i="22"/>
  <c r="U122" i="22"/>
  <c r="V101" i="22"/>
  <c r="U101" i="22"/>
  <c r="V119" i="22"/>
  <c r="U119" i="22"/>
  <c r="W115" i="22"/>
  <c r="X103" i="22"/>
  <c r="X106" i="22"/>
  <c r="W107" i="22"/>
  <c r="X104" i="22"/>
  <c r="L107" i="22"/>
  <c r="W103" i="22"/>
  <c r="G105" i="22"/>
  <c r="L105" i="22"/>
  <c r="X105" i="22"/>
  <c r="G103" i="22"/>
  <c r="G107" i="22"/>
  <c r="G115" i="22"/>
  <c r="L118" i="22"/>
  <c r="G123" i="22"/>
  <c r="W105" i="22"/>
  <c r="X118" i="22"/>
  <c r="T106" i="22"/>
  <c r="T123" i="22"/>
  <c r="X124" i="22"/>
  <c r="X127" i="22"/>
  <c r="K102" i="22"/>
  <c r="T102" i="22"/>
  <c r="K115" i="22"/>
  <c r="T115" i="22"/>
  <c r="L117" i="22"/>
  <c r="G102" i="22"/>
  <c r="L102" i="22"/>
  <c r="K110" i="22"/>
  <c r="K109" i="22"/>
  <c r="T109" i="22"/>
  <c r="X101" i="22"/>
  <c r="K103" i="22"/>
  <c r="K105" i="22"/>
  <c r="T105" i="22"/>
  <c r="K107" i="22"/>
  <c r="T107" i="22"/>
  <c r="G109" i="22"/>
  <c r="L109" i="22"/>
  <c r="G110" i="22"/>
  <c r="T117" i="22"/>
  <c r="I119" i="22"/>
  <c r="W100" i="22"/>
  <c r="G100" i="22"/>
  <c r="K100" i="22"/>
  <c r="W111" i="22"/>
  <c r="K111" i="22"/>
  <c r="G111" i="22"/>
  <c r="L108" i="22"/>
  <c r="T108" i="22"/>
  <c r="L111" i="22"/>
  <c r="T111" i="22"/>
  <c r="W114" i="22"/>
  <c r="K114" i="22"/>
  <c r="G114" i="22"/>
  <c r="W108" i="22"/>
  <c r="K108" i="22"/>
  <c r="G108" i="22"/>
  <c r="X108" i="22"/>
  <c r="X111" i="22"/>
  <c r="T114" i="22"/>
  <c r="T122" i="22"/>
  <c r="W122" i="22"/>
  <c r="K122" i="22"/>
  <c r="G122" i="22"/>
  <c r="L122" i="22"/>
  <c r="I122" i="22"/>
  <c r="X122" i="22"/>
  <c r="T101" i="22"/>
  <c r="W104" i="22"/>
  <c r="K104" i="22"/>
  <c r="G104" i="22"/>
  <c r="G101" i="22"/>
  <c r="K101" i="22"/>
  <c r="W101" i="22"/>
  <c r="W102" i="22"/>
  <c r="X102" i="22"/>
  <c r="T104" i="22"/>
  <c r="W106" i="22"/>
  <c r="K106" i="22"/>
  <c r="G106" i="22"/>
  <c r="I111" i="22"/>
  <c r="I117" i="22"/>
  <c r="I118" i="22"/>
  <c r="L119" i="22"/>
  <c r="T119" i="22"/>
  <c r="W119" i="22"/>
  <c r="K119" i="22"/>
  <c r="G119" i="22"/>
  <c r="I103" i="22"/>
  <c r="I105" i="22"/>
  <c r="I107" i="22"/>
  <c r="I110" i="22"/>
  <c r="G117" i="22"/>
  <c r="K117" i="22"/>
  <c r="W117" i="22"/>
  <c r="G118" i="22"/>
  <c r="K118" i="22"/>
  <c r="W118" i="22"/>
  <c r="X119" i="22"/>
  <c r="I123" i="22"/>
  <c r="G124" i="22"/>
  <c r="K124" i="22"/>
  <c r="W124" i="22"/>
  <c r="I125" i="22"/>
  <c r="G127" i="22"/>
  <c r="K127" i="22"/>
  <c r="W127" i="22"/>
  <c r="K123" i="22"/>
  <c r="W123" i="22"/>
  <c r="G125" i="22"/>
  <c r="K125" i="22"/>
  <c r="W125" i="22"/>
  <c r="I127" i="22"/>
  <c r="L123" i="22"/>
  <c r="X123" i="22"/>
  <c r="T124" i="22"/>
  <c r="L125" i="22"/>
  <c r="X125" i="22"/>
  <c r="T127" i="22"/>
  <c r="AF37" i="57" l="1"/>
  <c r="AA37" i="57"/>
  <c r="AO24" i="69"/>
  <c r="P24" i="69"/>
  <c r="L25" i="69"/>
  <c r="O25" i="69"/>
  <c r="AB38" i="53"/>
  <c r="AA38" i="53"/>
  <c r="AE39" i="53"/>
  <c r="AC39" i="53"/>
  <c r="AF38" i="53"/>
  <c r="AB37" i="57"/>
  <c r="X38" i="57"/>
  <c r="AE39" i="57"/>
  <c r="AC39" i="57"/>
  <c r="R39" i="57"/>
  <c r="R39" i="53"/>
  <c r="X39" i="53" s="1"/>
  <c r="AX22" i="69"/>
  <c r="AX23" i="69"/>
  <c r="AG40" i="57"/>
  <c r="L40" i="57"/>
  <c r="AJ39" i="57"/>
  <c r="AP39" i="57"/>
  <c r="AH39" i="53"/>
  <c r="AT39" i="53"/>
  <c r="AG39" i="53"/>
  <c r="N40" i="57"/>
  <c r="H40" i="53"/>
  <c r="N40" i="53"/>
  <c r="AH22" i="69"/>
  <c r="AH23" i="69"/>
  <c r="AD39" i="57"/>
  <c r="AD39" i="53"/>
  <c r="AK39" i="52" a="1"/>
  <c r="AK39" i="52" s="1"/>
  <c r="B41" i="53" s="1"/>
  <c r="O41" i="53" s="1"/>
  <c r="G40" i="53"/>
  <c r="E40" i="53"/>
  <c r="D40" i="53"/>
  <c r="J40" i="53"/>
  <c r="M40" i="53"/>
  <c r="F40" i="53"/>
  <c r="P40" i="53"/>
  <c r="Q39" i="53"/>
  <c r="K40" i="53"/>
  <c r="L40" i="53"/>
  <c r="I40" i="53"/>
  <c r="C40" i="53"/>
  <c r="K40" i="57"/>
  <c r="G40" i="57"/>
  <c r="E40" i="57"/>
  <c r="P40" i="57"/>
  <c r="D40" i="57"/>
  <c r="C40" i="57"/>
  <c r="M40" i="57" s="1"/>
  <c r="H40" i="57"/>
  <c r="I40" i="57"/>
  <c r="F40" i="57"/>
  <c r="J40" i="57"/>
  <c r="Q39" i="57"/>
  <c r="T39" i="57" s="1"/>
  <c r="AK39" i="55" a="1"/>
  <c r="AK39" i="55" s="1"/>
  <c r="B41" i="57" s="1"/>
  <c r="O41" i="57" s="1"/>
  <c r="U22" i="69"/>
  <c r="Q22" i="69"/>
  <c r="AE22" i="69"/>
  <c r="R22" i="69"/>
  <c r="S22" i="69" s="1"/>
  <c r="Y22" i="69" s="1"/>
  <c r="AB22" i="69" s="1"/>
  <c r="AC22" i="69" s="1"/>
  <c r="AD22" i="69" s="1"/>
  <c r="D24" i="69"/>
  <c r="E24" i="69" s="1"/>
  <c r="F24" i="69" s="1"/>
  <c r="G24" i="69" s="1"/>
  <c r="H24" i="69" s="1"/>
  <c r="I24" i="69" s="1"/>
  <c r="J24" i="69" s="1"/>
  <c r="K24" i="69" s="1"/>
  <c r="M24" i="69" s="1"/>
  <c r="N24" i="69"/>
  <c r="AF24" i="69" s="1"/>
  <c r="R23" i="69"/>
  <c r="S23" i="69" s="1"/>
  <c r="Y23" i="69" s="1"/>
  <c r="Q23" i="69"/>
  <c r="U23" i="69"/>
  <c r="AE23" i="69"/>
  <c r="C25" i="69"/>
  <c r="AN25" i="67" a="1"/>
  <c r="AN25" i="67" s="1"/>
  <c r="B26" i="69"/>
  <c r="X39" i="57" l="1"/>
  <c r="AA39" i="57" s="1"/>
  <c r="AB38" i="57"/>
  <c r="AA38" i="57"/>
  <c r="AB23" i="69"/>
  <c r="AC23" i="69" s="1"/>
  <c r="AD23" i="69" s="1"/>
  <c r="AG23" i="69"/>
  <c r="L26" i="69"/>
  <c r="O26" i="69"/>
  <c r="AO25" i="69"/>
  <c r="P25" i="69"/>
  <c r="AG22" i="69"/>
  <c r="AB39" i="53"/>
  <c r="AA39" i="53"/>
  <c r="AF39" i="53"/>
  <c r="AE40" i="53"/>
  <c r="AC40" i="53"/>
  <c r="AF38" i="57"/>
  <c r="AE40" i="57"/>
  <c r="AC40" i="57"/>
  <c r="R40" i="57"/>
  <c r="R40" i="53"/>
  <c r="X40" i="53" s="1"/>
  <c r="AX24" i="69"/>
  <c r="AG41" i="57"/>
  <c r="L41" i="57"/>
  <c r="AJ40" i="57"/>
  <c r="AP40" i="57"/>
  <c r="AG40" i="53"/>
  <c r="AH40" i="53"/>
  <c r="AT40" i="53"/>
  <c r="N41" i="57"/>
  <c r="I41" i="53"/>
  <c r="N41" i="53"/>
  <c r="AH24" i="69"/>
  <c r="AD40" i="57"/>
  <c r="AD40" i="53"/>
  <c r="D41" i="53"/>
  <c r="K41" i="53"/>
  <c r="P41" i="53"/>
  <c r="J41" i="53"/>
  <c r="E41" i="53"/>
  <c r="M41" i="53"/>
  <c r="L41" i="53"/>
  <c r="F41" i="53"/>
  <c r="G41" i="53"/>
  <c r="Q40" i="53"/>
  <c r="AK40" i="52" a="1"/>
  <c r="AK40" i="52" s="1"/>
  <c r="B42" i="53" s="1"/>
  <c r="O42" i="53" s="1"/>
  <c r="H41" i="53"/>
  <c r="C41" i="53"/>
  <c r="Q40" i="57"/>
  <c r="T40" i="57" s="1"/>
  <c r="K41" i="57"/>
  <c r="J41" i="57"/>
  <c r="E41" i="57"/>
  <c r="C41" i="57"/>
  <c r="M41" i="57" s="1"/>
  <c r="I41" i="57"/>
  <c r="P41" i="57"/>
  <c r="H41" i="57"/>
  <c r="D41" i="57"/>
  <c r="G41" i="57"/>
  <c r="F41" i="57"/>
  <c r="AK40" i="55" a="1"/>
  <c r="AK40" i="55" s="1"/>
  <c r="B42" i="57" s="1"/>
  <c r="O42" i="57" s="1"/>
  <c r="AN26" i="67" a="1"/>
  <c r="AN26" i="67" s="1"/>
  <c r="B27" i="69"/>
  <c r="N25" i="69"/>
  <c r="AF25" i="69" s="1"/>
  <c r="D25" i="69"/>
  <c r="E25" i="69" s="1"/>
  <c r="F25" i="69" s="1"/>
  <c r="G25" i="69" s="1"/>
  <c r="H25" i="69" s="1"/>
  <c r="I25" i="69" s="1"/>
  <c r="J25" i="69" s="1"/>
  <c r="K25" i="69" s="1"/>
  <c r="M25" i="69" s="1"/>
  <c r="AE24" i="69"/>
  <c r="R24" i="69"/>
  <c r="S24" i="69" s="1"/>
  <c r="Y24" i="69" s="1"/>
  <c r="AB24" i="69" s="1"/>
  <c r="AC24" i="69" s="1"/>
  <c r="AD24" i="69" s="1"/>
  <c r="Q24" i="69"/>
  <c r="U24" i="69"/>
  <c r="C26" i="69"/>
  <c r="AB39" i="57" l="1"/>
  <c r="AF39" i="57"/>
  <c r="L27" i="69"/>
  <c r="O27" i="69"/>
  <c r="AG24" i="69"/>
  <c r="AO26" i="69"/>
  <c r="P26" i="69"/>
  <c r="X40" i="57"/>
  <c r="AB40" i="53"/>
  <c r="AA40" i="53"/>
  <c r="AE41" i="53"/>
  <c r="AC41" i="53"/>
  <c r="AF40" i="53"/>
  <c r="AE41" i="57"/>
  <c r="AC41" i="57"/>
  <c r="R41" i="57"/>
  <c r="R41" i="53"/>
  <c r="X41" i="53" s="1"/>
  <c r="AX25" i="69"/>
  <c r="AG42" i="57"/>
  <c r="L42" i="57"/>
  <c r="AJ41" i="57"/>
  <c r="AP41" i="57"/>
  <c r="AG41" i="53"/>
  <c r="AH41" i="53"/>
  <c r="AT41" i="53"/>
  <c r="N42" i="57"/>
  <c r="D42" i="53"/>
  <c r="N42" i="53"/>
  <c r="AH25" i="69"/>
  <c r="AD41" i="57"/>
  <c r="AD41" i="53"/>
  <c r="K42" i="53"/>
  <c r="L42" i="53"/>
  <c r="H42" i="53"/>
  <c r="J42" i="53"/>
  <c r="M42" i="53"/>
  <c r="P42" i="53"/>
  <c r="Q41" i="53"/>
  <c r="C42" i="53"/>
  <c r="G42" i="53"/>
  <c r="F42" i="53"/>
  <c r="AK41" i="52" a="1"/>
  <c r="AK41" i="52" s="1"/>
  <c r="B43" i="53" s="1"/>
  <c r="O43" i="53" s="1"/>
  <c r="I42" i="53"/>
  <c r="E42" i="53"/>
  <c r="Q41" i="57"/>
  <c r="T41" i="57" s="1"/>
  <c r="I42" i="57"/>
  <c r="E42" i="57"/>
  <c r="P42" i="57"/>
  <c r="D42" i="57"/>
  <c r="C42" i="57"/>
  <c r="M42" i="57" s="1"/>
  <c r="K42" i="57"/>
  <c r="H42" i="57"/>
  <c r="G42" i="57"/>
  <c r="F42" i="57"/>
  <c r="J42" i="57"/>
  <c r="AK41" i="55" a="1"/>
  <c r="AK41" i="55" s="1"/>
  <c r="B43" i="57" s="1"/>
  <c r="O43" i="57" s="1"/>
  <c r="AN27" i="67" a="1"/>
  <c r="AN27" i="67" s="1"/>
  <c r="B28" i="69"/>
  <c r="R25" i="69"/>
  <c r="S25" i="69" s="1"/>
  <c r="Y25" i="69" s="1"/>
  <c r="AE25" i="69"/>
  <c r="Q25" i="69"/>
  <c r="U25" i="69"/>
  <c r="D26" i="69"/>
  <c r="E26" i="69" s="1"/>
  <c r="F26" i="69" s="1"/>
  <c r="G26" i="69" s="1"/>
  <c r="H26" i="69" s="1"/>
  <c r="I26" i="69" s="1"/>
  <c r="J26" i="69" s="1"/>
  <c r="K26" i="69" s="1"/>
  <c r="M26" i="69" s="1"/>
  <c r="N26" i="69"/>
  <c r="AF26" i="69" s="1"/>
  <c r="C27" i="69"/>
  <c r="X41" i="57" l="1"/>
  <c r="AA41" i="57" s="1"/>
  <c r="AB40" i="57"/>
  <c r="AA40" i="57"/>
  <c r="AB25" i="69"/>
  <c r="AC25" i="69" s="1"/>
  <c r="AD25" i="69" s="1"/>
  <c r="AG25" i="69"/>
  <c r="L28" i="69"/>
  <c r="O28" i="69"/>
  <c r="AO27" i="69"/>
  <c r="P27" i="69"/>
  <c r="AF40" i="57"/>
  <c r="AE42" i="53"/>
  <c r="AC42" i="53"/>
  <c r="AF41" i="53"/>
  <c r="AA41" i="53"/>
  <c r="AB41" i="53"/>
  <c r="AE42" i="57"/>
  <c r="AC42" i="57"/>
  <c r="R42" i="57"/>
  <c r="R42" i="53"/>
  <c r="X42" i="53" s="1"/>
  <c r="AX26" i="69"/>
  <c r="AG43" i="57"/>
  <c r="L43" i="57"/>
  <c r="AJ42" i="57"/>
  <c r="AP42" i="57"/>
  <c r="AH42" i="53"/>
  <c r="AT42" i="53"/>
  <c r="AG42" i="53"/>
  <c r="N43" i="57"/>
  <c r="L43" i="53"/>
  <c r="N43" i="53"/>
  <c r="AH26" i="69"/>
  <c r="AD42" i="57"/>
  <c r="AD42" i="53"/>
  <c r="Q42" i="53"/>
  <c r="P43" i="53"/>
  <c r="K43" i="53"/>
  <c r="F43" i="53"/>
  <c r="E43" i="53"/>
  <c r="I43" i="53"/>
  <c r="C43" i="53"/>
  <c r="J43" i="53"/>
  <c r="G43" i="53"/>
  <c r="M43" i="53"/>
  <c r="AK42" i="52" a="1"/>
  <c r="AK42" i="52" s="1"/>
  <c r="B44" i="53" s="1"/>
  <c r="O44" i="53" s="1"/>
  <c r="D43" i="53"/>
  <c r="H43" i="53"/>
  <c r="K43" i="57"/>
  <c r="F43" i="57"/>
  <c r="E43" i="57"/>
  <c r="C43" i="57"/>
  <c r="M43" i="57" s="1"/>
  <c r="J43" i="57"/>
  <c r="I43" i="57"/>
  <c r="P43" i="57"/>
  <c r="H43" i="57"/>
  <c r="D43" i="57"/>
  <c r="G43" i="57"/>
  <c r="Q42" i="57"/>
  <c r="T42" i="57" s="1"/>
  <c r="AK42" i="55" a="1"/>
  <c r="AK42" i="55" s="1"/>
  <c r="B44" i="57" s="1"/>
  <c r="O44" i="57" s="1"/>
  <c r="D27" i="69"/>
  <c r="E27" i="69" s="1"/>
  <c r="F27" i="69" s="1"/>
  <c r="G27" i="69" s="1"/>
  <c r="H27" i="69" s="1"/>
  <c r="I27" i="69" s="1"/>
  <c r="J27" i="69" s="1"/>
  <c r="K27" i="69" s="1"/>
  <c r="M27" i="69" s="1"/>
  <c r="N27" i="69"/>
  <c r="AF27" i="69" s="1"/>
  <c r="Q26" i="69"/>
  <c r="AE26" i="69"/>
  <c r="R26" i="69"/>
  <c r="S26" i="69" s="1"/>
  <c r="Y26" i="69" s="1"/>
  <c r="U26" i="69"/>
  <c r="C28" i="69"/>
  <c r="AN28" i="67" a="1"/>
  <c r="AN28" i="67" s="1"/>
  <c r="B29" i="69"/>
  <c r="AF41" i="57" l="1"/>
  <c r="AB41" i="57"/>
  <c r="AB26" i="69"/>
  <c r="AC26" i="69" s="1"/>
  <c r="AD26" i="69" s="1"/>
  <c r="AG26" i="69"/>
  <c r="AO28" i="69"/>
  <c r="P28" i="69"/>
  <c r="L29" i="69"/>
  <c r="O29" i="69"/>
  <c r="AF42" i="53"/>
  <c r="AB42" i="53"/>
  <c r="AA42" i="53"/>
  <c r="AE43" i="53"/>
  <c r="AC43" i="53"/>
  <c r="X42" i="57"/>
  <c r="AA42" i="57" s="1"/>
  <c r="AE43" i="57"/>
  <c r="AC43" i="57"/>
  <c r="R43" i="57"/>
  <c r="R43" i="53"/>
  <c r="X43" i="53" s="1"/>
  <c r="AX27" i="69"/>
  <c r="AG44" i="57"/>
  <c r="L44" i="57"/>
  <c r="AJ43" i="57"/>
  <c r="AP43" i="57"/>
  <c r="AG43" i="53"/>
  <c r="AH43" i="53"/>
  <c r="AT43" i="53"/>
  <c r="N44" i="57"/>
  <c r="E44" i="53"/>
  <c r="N44" i="53"/>
  <c r="AH27" i="69"/>
  <c r="AD43" i="57"/>
  <c r="Q43" i="53"/>
  <c r="AD43" i="53"/>
  <c r="AK43" i="52" a="1"/>
  <c r="AK43" i="52" s="1"/>
  <c r="B45" i="53" s="1"/>
  <c r="O45" i="53" s="1"/>
  <c r="H44" i="53"/>
  <c r="D44" i="53"/>
  <c r="P44" i="53"/>
  <c r="F44" i="53"/>
  <c r="K44" i="53"/>
  <c r="I44" i="53"/>
  <c r="M44" i="53"/>
  <c r="J44" i="53"/>
  <c r="C44" i="53"/>
  <c r="G44" i="53"/>
  <c r="L44" i="53"/>
  <c r="Q43" i="57"/>
  <c r="T43" i="57" s="1"/>
  <c r="H44" i="57"/>
  <c r="G44" i="57"/>
  <c r="E44" i="57"/>
  <c r="P44" i="57"/>
  <c r="D44" i="57"/>
  <c r="C44" i="57"/>
  <c r="M44" i="57" s="1"/>
  <c r="K44" i="57"/>
  <c r="I44" i="57"/>
  <c r="F44" i="57"/>
  <c r="J44" i="57"/>
  <c r="AK43" i="55" a="1"/>
  <c r="AK43" i="55" s="1"/>
  <c r="B45" i="57" s="1"/>
  <c r="O45" i="57" s="1"/>
  <c r="AN29" i="67" a="1"/>
  <c r="AN29" i="67" s="1"/>
  <c r="B30" i="69"/>
  <c r="C29" i="69"/>
  <c r="N28" i="69"/>
  <c r="AF28" i="69" s="1"/>
  <c r="D28" i="69"/>
  <c r="E28" i="69" s="1"/>
  <c r="F28" i="69" s="1"/>
  <c r="G28" i="69" s="1"/>
  <c r="H28" i="69" s="1"/>
  <c r="I28" i="69" s="1"/>
  <c r="J28" i="69" s="1"/>
  <c r="K28" i="69" s="1"/>
  <c r="M28" i="69" s="1"/>
  <c r="Q27" i="69"/>
  <c r="AE27" i="69"/>
  <c r="R27" i="69"/>
  <c r="S27" i="69" s="1"/>
  <c r="Y27" i="69" s="1"/>
  <c r="AB27" i="69" s="1"/>
  <c r="AC27" i="69" s="1"/>
  <c r="AD27" i="69" s="1"/>
  <c r="U27" i="69"/>
  <c r="C40" i="33"/>
  <c r="L30" i="69" l="1"/>
  <c r="O30" i="69"/>
  <c r="AG27" i="69"/>
  <c r="AO29" i="69"/>
  <c r="P29" i="69"/>
  <c r="AB43" i="53"/>
  <c r="AA43" i="53"/>
  <c r="AE44" i="53"/>
  <c r="AC44" i="53"/>
  <c r="AF43" i="53"/>
  <c r="X43" i="57"/>
  <c r="AF42" i="57"/>
  <c r="AB42" i="57"/>
  <c r="AC44" i="57"/>
  <c r="AE44" i="57"/>
  <c r="R44" i="57"/>
  <c r="R44" i="53"/>
  <c r="X44" i="53" s="1"/>
  <c r="AX28" i="69"/>
  <c r="L45" i="57"/>
  <c r="AG45" i="57"/>
  <c r="AJ44" i="57"/>
  <c r="AP44" i="57"/>
  <c r="AH44" i="53"/>
  <c r="AT44" i="53"/>
  <c r="AG44" i="53"/>
  <c r="N45" i="57"/>
  <c r="M45" i="53"/>
  <c r="N45" i="53"/>
  <c r="AH28" i="69"/>
  <c r="AD44" i="57"/>
  <c r="Q44" i="53"/>
  <c r="AD44" i="53"/>
  <c r="AK44" i="52" a="1"/>
  <c r="AK44" i="52" s="1"/>
  <c r="B46" i="53" s="1"/>
  <c r="O46" i="53" s="1"/>
  <c r="L45" i="53"/>
  <c r="C45" i="53"/>
  <c r="I45" i="53"/>
  <c r="F45" i="53"/>
  <c r="K45" i="53"/>
  <c r="J45" i="53"/>
  <c r="D45" i="53"/>
  <c r="G45" i="53"/>
  <c r="P45" i="53"/>
  <c r="H45" i="53"/>
  <c r="E45" i="53"/>
  <c r="C45" i="57"/>
  <c r="M45" i="57" s="1"/>
  <c r="J45" i="57"/>
  <c r="F45" i="57"/>
  <c r="P45" i="57"/>
  <c r="I45" i="57"/>
  <c r="K45" i="57"/>
  <c r="H45" i="57"/>
  <c r="D45" i="57"/>
  <c r="G45" i="57"/>
  <c r="E45" i="57"/>
  <c r="Q44" i="57"/>
  <c r="T44" i="57" s="1"/>
  <c r="AK44" i="55" a="1"/>
  <c r="AK44" i="55" s="1"/>
  <c r="B46" i="57" s="1"/>
  <c r="O46" i="57" s="1"/>
  <c r="N29" i="69"/>
  <c r="AF29" i="69" s="1"/>
  <c r="D29" i="69"/>
  <c r="E29" i="69" s="1"/>
  <c r="F29" i="69" s="1"/>
  <c r="G29" i="69" s="1"/>
  <c r="H29" i="69" s="1"/>
  <c r="I29" i="69" s="1"/>
  <c r="J29" i="69" s="1"/>
  <c r="K29" i="69" s="1"/>
  <c r="M29" i="69" s="1"/>
  <c r="U28" i="69"/>
  <c r="AE28" i="69"/>
  <c r="R28" i="69"/>
  <c r="S28" i="69" s="1"/>
  <c r="Y28" i="69" s="1"/>
  <c r="Q28" i="69"/>
  <c r="C30" i="69"/>
  <c r="AN30" i="67" a="1"/>
  <c r="AN30" i="67" s="1"/>
  <c r="B31" i="69"/>
  <c r="B2" i="73"/>
  <c r="B2" i="36"/>
  <c r="AF43" i="57" l="1"/>
  <c r="AA43" i="57"/>
  <c r="AB28" i="69"/>
  <c r="AC28" i="69" s="1"/>
  <c r="AD28" i="69" s="1"/>
  <c r="AG28" i="69"/>
  <c r="AO30" i="69"/>
  <c r="P30" i="69"/>
  <c r="L31" i="69"/>
  <c r="O31" i="69"/>
  <c r="AB43" i="57"/>
  <c r="AF44" i="53"/>
  <c r="AE45" i="53"/>
  <c r="AC45" i="53"/>
  <c r="AB44" i="53"/>
  <c r="AA44" i="53"/>
  <c r="X44" i="57"/>
  <c r="AE45" i="57"/>
  <c r="AC45" i="57"/>
  <c r="R45" i="57"/>
  <c r="R45" i="53"/>
  <c r="X45" i="53" s="1"/>
  <c r="AX29" i="69"/>
  <c r="AG46" i="57"/>
  <c r="L46" i="57"/>
  <c r="AJ45" i="57"/>
  <c r="AP45" i="57"/>
  <c r="AG45" i="53"/>
  <c r="AD45" i="53"/>
  <c r="AH45" i="53"/>
  <c r="AT45" i="53"/>
  <c r="N46" i="57"/>
  <c r="Q45" i="53"/>
  <c r="H46" i="53"/>
  <c r="N46" i="53"/>
  <c r="AH29" i="69"/>
  <c r="AD45" i="57"/>
  <c r="AK45" i="52" a="1"/>
  <c r="AK45" i="52" s="1"/>
  <c r="B47" i="53" s="1"/>
  <c r="O47" i="53" s="1"/>
  <c r="K46" i="53"/>
  <c r="G46" i="53"/>
  <c r="M46" i="53"/>
  <c r="D46" i="53"/>
  <c r="E46" i="53"/>
  <c r="J46" i="53"/>
  <c r="C46" i="53"/>
  <c r="P46" i="53"/>
  <c r="F46" i="53"/>
  <c r="I46" i="53"/>
  <c r="L46" i="53"/>
  <c r="Q45" i="57"/>
  <c r="T45" i="57" s="1"/>
  <c r="P46" i="57"/>
  <c r="D46" i="57"/>
  <c r="K46" i="57"/>
  <c r="I46" i="57"/>
  <c r="H46" i="57"/>
  <c r="G46" i="57"/>
  <c r="E46" i="57"/>
  <c r="C46" i="57"/>
  <c r="M46" i="57" s="1"/>
  <c r="F46" i="57"/>
  <c r="J46" i="57"/>
  <c r="AK45" i="55" a="1"/>
  <c r="AK45" i="55" s="1"/>
  <c r="B47" i="57" s="1"/>
  <c r="O47" i="57" s="1"/>
  <c r="AN31" i="67" a="1"/>
  <c r="AN31" i="67" s="1"/>
  <c r="B32" i="69"/>
  <c r="U29" i="69"/>
  <c r="Q29" i="69"/>
  <c r="R29" i="69"/>
  <c r="S29" i="69" s="1"/>
  <c r="Y29" i="69" s="1"/>
  <c r="AE29" i="69"/>
  <c r="D30" i="69"/>
  <c r="E30" i="69" s="1"/>
  <c r="F30" i="69" s="1"/>
  <c r="G30" i="69" s="1"/>
  <c r="H30" i="69" s="1"/>
  <c r="I30" i="69" s="1"/>
  <c r="J30" i="69" s="1"/>
  <c r="K30" i="69" s="1"/>
  <c r="M30" i="69" s="1"/>
  <c r="N30" i="69"/>
  <c r="AF30" i="69" s="1"/>
  <c r="C31" i="69"/>
  <c r="E2" i="50"/>
  <c r="D2" i="11"/>
  <c r="AB44" i="57" l="1"/>
  <c r="AA44" i="57"/>
  <c r="AB29" i="69"/>
  <c r="AC29" i="69" s="1"/>
  <c r="AD29" i="69" s="1"/>
  <c r="AG29" i="69"/>
  <c r="AO31" i="69"/>
  <c r="P31" i="69"/>
  <c r="L32" i="69"/>
  <c r="O32" i="69"/>
  <c r="AE46" i="53"/>
  <c r="AC46" i="53"/>
  <c r="AB45" i="53"/>
  <c r="AA45" i="53"/>
  <c r="AF45" i="53"/>
  <c r="X45" i="57"/>
  <c r="AF44" i="57"/>
  <c r="AE46" i="57"/>
  <c r="AC46" i="57"/>
  <c r="R46" i="57"/>
  <c r="R46" i="53"/>
  <c r="X46" i="53" s="1"/>
  <c r="AX30" i="69"/>
  <c r="AG47" i="57"/>
  <c r="L47" i="57"/>
  <c r="AJ46" i="57"/>
  <c r="AP46" i="57"/>
  <c r="AH46" i="53"/>
  <c r="AT46" i="53"/>
  <c r="AG46" i="53"/>
  <c r="N47" i="57"/>
  <c r="K47" i="53"/>
  <c r="N47" i="53"/>
  <c r="AH30" i="69"/>
  <c r="AD46" i="57"/>
  <c r="AD46" i="53"/>
  <c r="Q46" i="53"/>
  <c r="J47" i="53"/>
  <c r="C47" i="53"/>
  <c r="G47" i="53"/>
  <c r="D47" i="53"/>
  <c r="H47" i="53"/>
  <c r="M47" i="53"/>
  <c r="E47" i="53"/>
  <c r="I47" i="53"/>
  <c r="AK46" i="52" a="1"/>
  <c r="AK46" i="52" s="1"/>
  <c r="B48" i="53" s="1"/>
  <c r="O48" i="53" s="1"/>
  <c r="L47" i="53"/>
  <c r="F47" i="53"/>
  <c r="P47" i="53"/>
  <c r="Q46" i="57"/>
  <c r="T46" i="57" s="1"/>
  <c r="F47" i="57"/>
  <c r="K47" i="57"/>
  <c r="I47" i="57"/>
  <c r="C47" i="57"/>
  <c r="M47" i="57" s="1"/>
  <c r="E47" i="57"/>
  <c r="P47" i="57"/>
  <c r="J47" i="57"/>
  <c r="H47" i="57"/>
  <c r="D47" i="57"/>
  <c r="G47" i="57"/>
  <c r="AK46" i="55" a="1"/>
  <c r="AK46" i="55" s="1"/>
  <c r="B48" i="57" s="1"/>
  <c r="O48" i="57" s="1"/>
  <c r="AN32" i="67" a="1"/>
  <c r="AN32" i="67" s="1"/>
  <c r="B33" i="69"/>
  <c r="C32" i="69"/>
  <c r="R30" i="69"/>
  <c r="S30" i="69" s="1"/>
  <c r="Y30" i="69" s="1"/>
  <c r="AB30" i="69" s="1"/>
  <c r="AC30" i="69" s="1"/>
  <c r="AD30" i="69" s="1"/>
  <c r="U30" i="69"/>
  <c r="AE30" i="69"/>
  <c r="Q30" i="69"/>
  <c r="N31" i="69"/>
  <c r="AF31" i="69" s="1"/>
  <c r="D31" i="69"/>
  <c r="E31" i="69" s="1"/>
  <c r="F31" i="69" s="1"/>
  <c r="G31" i="69" s="1"/>
  <c r="H31" i="69" s="1"/>
  <c r="I31" i="69" s="1"/>
  <c r="J31" i="69" s="1"/>
  <c r="K31" i="69" s="1"/>
  <c r="M31" i="69" s="1"/>
  <c r="D2" i="46"/>
  <c r="H4" i="32"/>
  <c r="E2" i="32"/>
  <c r="AF45" i="57" l="1"/>
  <c r="AA45" i="57"/>
  <c r="AO32" i="69"/>
  <c r="P32" i="69"/>
  <c r="AG30" i="69"/>
  <c r="L33" i="69"/>
  <c r="O33" i="69"/>
  <c r="AB45" i="57"/>
  <c r="AB46" i="53"/>
  <c r="AA46" i="53"/>
  <c r="AF46" i="53"/>
  <c r="AE47" i="53"/>
  <c r="AC47" i="53"/>
  <c r="X46" i="57"/>
  <c r="AE47" i="57"/>
  <c r="AC47" i="57"/>
  <c r="R47" i="57"/>
  <c r="R47" i="53"/>
  <c r="X47" i="53" s="1"/>
  <c r="AX31" i="69"/>
  <c r="AG48" i="57"/>
  <c r="L48" i="57"/>
  <c r="AJ47" i="57"/>
  <c r="AP47" i="57"/>
  <c r="AG47" i="53"/>
  <c r="AH47" i="53"/>
  <c r="AT47" i="53"/>
  <c r="N48" i="57"/>
  <c r="N48" i="53"/>
  <c r="AH31" i="69"/>
  <c r="AD47" i="57"/>
  <c r="AD47" i="53"/>
  <c r="AK47" i="52" a="1"/>
  <c r="AK47" i="52" s="1"/>
  <c r="B49" i="53" s="1"/>
  <c r="O49" i="53" s="1"/>
  <c r="M48" i="53"/>
  <c r="F48" i="53"/>
  <c r="C48" i="53"/>
  <c r="P48" i="53"/>
  <c r="Q47" i="53"/>
  <c r="L48" i="53"/>
  <c r="J48" i="53"/>
  <c r="K48" i="53"/>
  <c r="H48" i="53"/>
  <c r="G48" i="53"/>
  <c r="I48" i="53"/>
  <c r="D48" i="53"/>
  <c r="E48" i="53"/>
  <c r="Q47" i="57"/>
  <c r="T47" i="57" s="1"/>
  <c r="K48" i="57"/>
  <c r="G48" i="57"/>
  <c r="E48" i="57"/>
  <c r="P48" i="57"/>
  <c r="D48" i="57"/>
  <c r="C48" i="57"/>
  <c r="M48" i="57" s="1"/>
  <c r="I48" i="57"/>
  <c r="H48" i="57"/>
  <c r="F48" i="57"/>
  <c r="J48" i="57"/>
  <c r="AK47" i="55" a="1"/>
  <c r="AK47" i="55" s="1"/>
  <c r="B49" i="57" s="1"/>
  <c r="O49" i="57" s="1"/>
  <c r="AN33" i="67" a="1"/>
  <c r="AN33" i="67" s="1"/>
  <c r="B34" i="69"/>
  <c r="D32" i="69"/>
  <c r="E32" i="69" s="1"/>
  <c r="F32" i="69" s="1"/>
  <c r="G32" i="69" s="1"/>
  <c r="H32" i="69" s="1"/>
  <c r="I32" i="69" s="1"/>
  <c r="J32" i="69" s="1"/>
  <c r="K32" i="69" s="1"/>
  <c r="M32" i="69" s="1"/>
  <c r="N32" i="69"/>
  <c r="AF32" i="69" s="1"/>
  <c r="U31" i="69"/>
  <c r="Q31" i="69"/>
  <c r="AE31" i="69"/>
  <c r="R31" i="69"/>
  <c r="S31" i="69" s="1"/>
  <c r="Y31" i="69" s="1"/>
  <c r="C33" i="69"/>
  <c r="AB46" i="57" l="1"/>
  <c r="AA46" i="57"/>
  <c r="AB31" i="69"/>
  <c r="AC31" i="69" s="1"/>
  <c r="AD31" i="69" s="1"/>
  <c r="AG31" i="69"/>
  <c r="AO33" i="69"/>
  <c r="P33" i="69"/>
  <c r="L34" i="69"/>
  <c r="O34" i="69"/>
  <c r="AB47" i="53"/>
  <c r="AA47" i="53"/>
  <c r="AF47" i="53"/>
  <c r="AE48" i="53"/>
  <c r="AC48" i="53"/>
  <c r="X47" i="57"/>
  <c r="AF46" i="57"/>
  <c r="AC48" i="57"/>
  <c r="AE48" i="57"/>
  <c r="R48" i="57"/>
  <c r="R48" i="53"/>
  <c r="X48" i="53" s="1"/>
  <c r="AX32" i="69"/>
  <c r="AG49" i="57"/>
  <c r="L49" i="57"/>
  <c r="AJ48" i="57"/>
  <c r="AP48" i="57"/>
  <c r="AG48" i="53"/>
  <c r="AH48" i="53"/>
  <c r="AT48" i="53"/>
  <c r="N49" i="57"/>
  <c r="N49" i="53"/>
  <c r="AH32" i="69"/>
  <c r="AD48" i="57"/>
  <c r="AD48" i="53"/>
  <c r="Q48" i="53"/>
  <c r="F49" i="53"/>
  <c r="H49" i="53"/>
  <c r="I49" i="53"/>
  <c r="C49" i="53"/>
  <c r="D49" i="53"/>
  <c r="K49" i="53"/>
  <c r="P49" i="53"/>
  <c r="E49" i="53"/>
  <c r="M49" i="53"/>
  <c r="AK48" i="52" a="1"/>
  <c r="AK48" i="52" s="1"/>
  <c r="B50" i="53" s="1"/>
  <c r="O50" i="53" s="1"/>
  <c r="J49" i="53"/>
  <c r="L49" i="53"/>
  <c r="G49" i="53"/>
  <c r="E49" i="57"/>
  <c r="G49" i="57"/>
  <c r="F49" i="57"/>
  <c r="I49" i="57"/>
  <c r="P49" i="57"/>
  <c r="H49" i="57"/>
  <c r="D49" i="57"/>
  <c r="C49" i="57"/>
  <c r="M49" i="57" s="1"/>
  <c r="K49" i="57"/>
  <c r="J49" i="57"/>
  <c r="Q48" i="57"/>
  <c r="T48" i="57" s="1"/>
  <c r="AK48" i="55" a="1"/>
  <c r="AK48" i="55" s="1"/>
  <c r="B50" i="57" s="1"/>
  <c r="O50" i="57" s="1"/>
  <c r="AE32" i="69"/>
  <c r="R32" i="69"/>
  <c r="S32" i="69" s="1"/>
  <c r="Y32" i="69" s="1"/>
  <c r="U32" i="69"/>
  <c r="Q32" i="69"/>
  <c r="D33" i="69"/>
  <c r="E33" i="69" s="1"/>
  <c r="F33" i="69" s="1"/>
  <c r="G33" i="69" s="1"/>
  <c r="H33" i="69" s="1"/>
  <c r="I33" i="69" s="1"/>
  <c r="J33" i="69" s="1"/>
  <c r="K33" i="69" s="1"/>
  <c r="M33" i="69" s="1"/>
  <c r="N33" i="69"/>
  <c r="AF33" i="69" s="1"/>
  <c r="C34" i="69"/>
  <c r="AN34" i="67" a="1"/>
  <c r="AN34" i="67" s="1"/>
  <c r="B35" i="69"/>
  <c r="D2" i="71"/>
  <c r="D3" i="71"/>
  <c r="D3" i="59"/>
  <c r="D2" i="59"/>
  <c r="AB47" i="57" l="1"/>
  <c r="AA47" i="57"/>
  <c r="AB32" i="69"/>
  <c r="AC32" i="69" s="1"/>
  <c r="AD32" i="69" s="1"/>
  <c r="AG32" i="69"/>
  <c r="AO34" i="69"/>
  <c r="P34" i="69"/>
  <c r="L35" i="69"/>
  <c r="O35" i="69"/>
  <c r="X48" i="57"/>
  <c r="AF47" i="57"/>
  <c r="AF48" i="53"/>
  <c r="AE49" i="53"/>
  <c r="AC49" i="53"/>
  <c r="AB48" i="53"/>
  <c r="AA48" i="53"/>
  <c r="AE49" i="57"/>
  <c r="AC49" i="57"/>
  <c r="R49" i="57"/>
  <c r="R49" i="53"/>
  <c r="X49" i="53" s="1"/>
  <c r="AX33" i="69"/>
  <c r="AG50" i="57"/>
  <c r="L50" i="57"/>
  <c r="AJ49" i="57"/>
  <c r="AP49" i="57"/>
  <c r="AH49" i="53"/>
  <c r="AT49" i="53"/>
  <c r="AG49" i="53"/>
  <c r="N50" i="57"/>
  <c r="H50" i="53"/>
  <c r="N50" i="53"/>
  <c r="AH33" i="69"/>
  <c r="AD49" i="57"/>
  <c r="Q49" i="53"/>
  <c r="AD49" i="53"/>
  <c r="F50" i="53"/>
  <c r="K50" i="53"/>
  <c r="P50" i="53"/>
  <c r="L50" i="53"/>
  <c r="C50" i="53"/>
  <c r="E50" i="53"/>
  <c r="J50" i="53"/>
  <c r="AK49" i="52" a="1"/>
  <c r="AK49" i="52" s="1"/>
  <c r="B51" i="53" s="1"/>
  <c r="O51" i="53" s="1"/>
  <c r="M50" i="53"/>
  <c r="G50" i="53"/>
  <c r="I50" i="53"/>
  <c r="D50" i="53"/>
  <c r="H50" i="57"/>
  <c r="G50" i="57"/>
  <c r="E50" i="57"/>
  <c r="P50" i="57"/>
  <c r="D50" i="57"/>
  <c r="C50" i="57"/>
  <c r="M50" i="57" s="1"/>
  <c r="K50" i="57"/>
  <c r="I50" i="57"/>
  <c r="F50" i="57"/>
  <c r="J50" i="57"/>
  <c r="Q49" i="57"/>
  <c r="T49" i="57" s="1"/>
  <c r="AK49" i="55" a="1"/>
  <c r="AK49" i="55" s="1"/>
  <c r="B51" i="57" s="1"/>
  <c r="O51" i="57" s="1"/>
  <c r="AN35" i="67" a="1"/>
  <c r="AN35" i="67" s="1"/>
  <c r="B36" i="69"/>
  <c r="D34" i="69"/>
  <c r="E34" i="69" s="1"/>
  <c r="F34" i="69" s="1"/>
  <c r="G34" i="69" s="1"/>
  <c r="H34" i="69" s="1"/>
  <c r="I34" i="69" s="1"/>
  <c r="J34" i="69" s="1"/>
  <c r="K34" i="69" s="1"/>
  <c r="M34" i="69" s="1"/>
  <c r="N34" i="69"/>
  <c r="AF34" i="69" s="1"/>
  <c r="C35" i="69"/>
  <c r="AE33" i="69"/>
  <c r="U33" i="69"/>
  <c r="R33" i="69"/>
  <c r="S33" i="69" s="1"/>
  <c r="Y33" i="69" s="1"/>
  <c r="AB33" i="69" s="1"/>
  <c r="AC33" i="69" s="1"/>
  <c r="AD33" i="69" s="1"/>
  <c r="Q33" i="69"/>
  <c r="AB48" i="57" l="1"/>
  <c r="AA48" i="57"/>
  <c r="AO35" i="69"/>
  <c r="P35" i="69"/>
  <c r="L36" i="69"/>
  <c r="O36" i="69"/>
  <c r="AG33" i="69"/>
  <c r="AF48" i="57"/>
  <c r="AB49" i="53"/>
  <c r="AA49" i="53"/>
  <c r="AE50" i="53"/>
  <c r="AC50" i="53"/>
  <c r="AF49" i="53"/>
  <c r="X49" i="57"/>
  <c r="AE50" i="57"/>
  <c r="AC50" i="57"/>
  <c r="R50" i="57"/>
  <c r="R50" i="53"/>
  <c r="X50" i="53" s="1"/>
  <c r="AX34" i="69"/>
  <c r="AG51" i="57"/>
  <c r="L51" i="57"/>
  <c r="AJ50" i="57"/>
  <c r="AP50" i="57"/>
  <c r="AH50" i="53"/>
  <c r="AT50" i="53"/>
  <c r="AG50" i="53"/>
  <c r="N51" i="57"/>
  <c r="N51" i="53"/>
  <c r="AH34" i="69"/>
  <c r="AD50" i="57"/>
  <c r="Q50" i="53"/>
  <c r="AD50" i="53"/>
  <c r="AK50" i="52" a="1"/>
  <c r="AK50" i="52" s="1"/>
  <c r="B52" i="53" s="1"/>
  <c r="O52" i="53" s="1"/>
  <c r="P51" i="53"/>
  <c r="M51" i="53"/>
  <c r="I51" i="53"/>
  <c r="F51" i="53"/>
  <c r="E51" i="53"/>
  <c r="H51" i="53"/>
  <c r="L51" i="53"/>
  <c r="C51" i="53"/>
  <c r="K51" i="53"/>
  <c r="J51" i="53"/>
  <c r="D51" i="53"/>
  <c r="G51" i="53"/>
  <c r="Q50" i="57"/>
  <c r="T50" i="57" s="1"/>
  <c r="P51" i="57"/>
  <c r="K51" i="57"/>
  <c r="I51" i="57"/>
  <c r="G51" i="57"/>
  <c r="E51" i="57"/>
  <c r="C51" i="57"/>
  <c r="M51" i="57" s="1"/>
  <c r="J51" i="57"/>
  <c r="D51" i="57"/>
  <c r="H51" i="57"/>
  <c r="F51" i="57"/>
  <c r="AK50" i="55" a="1"/>
  <c r="AK50" i="55" s="1"/>
  <c r="B52" i="57" s="1"/>
  <c r="O52" i="57" s="1"/>
  <c r="AN36" i="67" a="1"/>
  <c r="AN36" i="67" s="1"/>
  <c r="B37" i="69"/>
  <c r="R34" i="69"/>
  <c r="S34" i="69" s="1"/>
  <c r="Y34" i="69" s="1"/>
  <c r="AB34" i="69" s="1"/>
  <c r="AC34" i="69" s="1"/>
  <c r="AD34" i="69" s="1"/>
  <c r="AE34" i="69"/>
  <c r="Q34" i="69"/>
  <c r="U34" i="69"/>
  <c r="D35" i="69"/>
  <c r="E35" i="69" s="1"/>
  <c r="F35" i="69" s="1"/>
  <c r="G35" i="69" s="1"/>
  <c r="H35" i="69" s="1"/>
  <c r="I35" i="69" s="1"/>
  <c r="J35" i="69" s="1"/>
  <c r="K35" i="69" s="1"/>
  <c r="M35" i="69" s="1"/>
  <c r="N35" i="69"/>
  <c r="AF35" i="69" s="1"/>
  <c r="C36" i="69"/>
  <c r="R9" i="78"/>
  <c r="AB49" i="57" l="1"/>
  <c r="AA49" i="57"/>
  <c r="L37" i="69"/>
  <c r="O37" i="69"/>
  <c r="AO36" i="69"/>
  <c r="P36" i="69"/>
  <c r="AG34" i="69"/>
  <c r="AB50" i="53"/>
  <c r="AA50" i="53"/>
  <c r="AF50" i="53"/>
  <c r="AE51" i="53"/>
  <c r="AC51" i="53"/>
  <c r="X50" i="57"/>
  <c r="AA50" i="57" s="1"/>
  <c r="AF49" i="57"/>
  <c r="AE51" i="57"/>
  <c r="AC51" i="57"/>
  <c r="R51" i="57"/>
  <c r="R51" i="53"/>
  <c r="X51" i="53" s="1"/>
  <c r="AX35" i="69"/>
  <c r="AG52" i="57"/>
  <c r="L52" i="57"/>
  <c r="AJ51" i="57"/>
  <c r="AP51" i="57"/>
  <c r="AG51" i="53"/>
  <c r="AH51" i="53"/>
  <c r="AT51" i="53"/>
  <c r="N52" i="57"/>
  <c r="N52" i="53"/>
  <c r="AH35" i="69"/>
  <c r="AD51" i="57"/>
  <c r="AD51" i="53"/>
  <c r="Q51" i="53"/>
  <c r="I52" i="53"/>
  <c r="K52" i="53"/>
  <c r="H52" i="53"/>
  <c r="L52" i="53"/>
  <c r="M52" i="53"/>
  <c r="E52" i="53"/>
  <c r="C52" i="53"/>
  <c r="D52" i="53"/>
  <c r="P52" i="53"/>
  <c r="AK51" i="52" a="1"/>
  <c r="AK51" i="52" s="1"/>
  <c r="B53" i="53" s="1"/>
  <c r="O53" i="53" s="1"/>
  <c r="J52" i="53"/>
  <c r="G52" i="53"/>
  <c r="F52" i="53"/>
  <c r="Q51" i="57"/>
  <c r="T51" i="57" s="1"/>
  <c r="H52" i="57"/>
  <c r="G52" i="57"/>
  <c r="E52" i="57"/>
  <c r="P52" i="57"/>
  <c r="D52" i="57"/>
  <c r="C52" i="57"/>
  <c r="M52" i="57" s="1"/>
  <c r="K52" i="57"/>
  <c r="I52" i="57"/>
  <c r="J52" i="57"/>
  <c r="F52" i="57"/>
  <c r="AK51" i="55" a="1"/>
  <c r="AK51" i="55" s="1"/>
  <c r="B53" i="57" s="1"/>
  <c r="O53" i="57" s="1"/>
  <c r="Q35" i="69"/>
  <c r="U35" i="69"/>
  <c r="AE35" i="69"/>
  <c r="R35" i="69"/>
  <c r="S35" i="69" s="1"/>
  <c r="Y35" i="69" s="1"/>
  <c r="D36" i="69"/>
  <c r="E36" i="69" s="1"/>
  <c r="F36" i="69" s="1"/>
  <c r="G36" i="69" s="1"/>
  <c r="H36" i="69" s="1"/>
  <c r="I36" i="69" s="1"/>
  <c r="J36" i="69" s="1"/>
  <c r="K36" i="69" s="1"/>
  <c r="M36" i="69" s="1"/>
  <c r="N36" i="69"/>
  <c r="AF36" i="69" s="1"/>
  <c r="C37" i="69"/>
  <c r="AN37" i="67" a="1"/>
  <c r="AN37" i="67" s="1"/>
  <c r="B38" i="69"/>
  <c r="A99" i="99"/>
  <c r="A98" i="99"/>
  <c r="A97" i="99"/>
  <c r="A96" i="99"/>
  <c r="A95" i="99"/>
  <c r="A94" i="99"/>
  <c r="A93" i="99"/>
  <c r="A92" i="99"/>
  <c r="A91" i="99"/>
  <c r="A90" i="99"/>
  <c r="A89" i="99"/>
  <c r="A88" i="99"/>
  <c r="A87" i="99"/>
  <c r="A86" i="99"/>
  <c r="A85" i="99"/>
  <c r="A84" i="99"/>
  <c r="A83" i="99"/>
  <c r="A82" i="99"/>
  <c r="A81" i="99"/>
  <c r="A80" i="99"/>
  <c r="A79" i="99"/>
  <c r="A78" i="99"/>
  <c r="A77" i="99"/>
  <c r="A76" i="99"/>
  <c r="A75" i="99"/>
  <c r="A74" i="99"/>
  <c r="A73" i="99"/>
  <c r="A72" i="99"/>
  <c r="A71" i="99"/>
  <c r="A70" i="99"/>
  <c r="A69" i="99"/>
  <c r="A68" i="99"/>
  <c r="A67" i="99"/>
  <c r="A66" i="99"/>
  <c r="A65" i="99"/>
  <c r="A64" i="99"/>
  <c r="A63" i="99"/>
  <c r="A62" i="99"/>
  <c r="A61" i="99"/>
  <c r="A60" i="99"/>
  <c r="A59" i="99"/>
  <c r="A58" i="99"/>
  <c r="A57" i="99"/>
  <c r="A56" i="99"/>
  <c r="A55" i="99"/>
  <c r="A54" i="99"/>
  <c r="A53" i="99"/>
  <c r="A52" i="99"/>
  <c r="A51" i="99"/>
  <c r="A50" i="99"/>
  <c r="A49" i="99"/>
  <c r="A48" i="99"/>
  <c r="A47" i="99"/>
  <c r="A46" i="99"/>
  <c r="A45" i="99"/>
  <c r="A44" i="99"/>
  <c r="A43" i="99"/>
  <c r="A42" i="99"/>
  <c r="A41" i="99"/>
  <c r="A40" i="99"/>
  <c r="A39" i="99"/>
  <c r="A38" i="99"/>
  <c r="A37" i="99"/>
  <c r="A36" i="99"/>
  <c r="A35" i="99"/>
  <c r="A34" i="99"/>
  <c r="A33" i="99"/>
  <c r="A32" i="99"/>
  <c r="A31" i="99"/>
  <c r="A30" i="99"/>
  <c r="A29" i="99"/>
  <c r="A28" i="99"/>
  <c r="A27" i="99"/>
  <c r="A26" i="99"/>
  <c r="A25" i="99"/>
  <c r="A24" i="99"/>
  <c r="A23" i="99"/>
  <c r="A22" i="99"/>
  <c r="A21" i="99"/>
  <c r="A20" i="99"/>
  <c r="A19" i="99"/>
  <c r="A18" i="99"/>
  <c r="A17" i="99"/>
  <c r="A16" i="99"/>
  <c r="A15" i="99"/>
  <c r="A14" i="99"/>
  <c r="A13" i="99"/>
  <c r="A12" i="99"/>
  <c r="A11" i="99"/>
  <c r="A10" i="99"/>
  <c r="A9" i="99"/>
  <c r="A8" i="99"/>
  <c r="A7" i="99"/>
  <c r="A6" i="99"/>
  <c r="A5" i="99"/>
  <c r="A4" i="99"/>
  <c r="X51" i="57" l="1"/>
  <c r="AB35" i="69"/>
  <c r="AC35" i="69" s="1"/>
  <c r="AD35" i="69" s="1"/>
  <c r="AG35" i="69"/>
  <c r="AO37" i="69"/>
  <c r="P37" i="69"/>
  <c r="L38" i="69"/>
  <c r="O38" i="69"/>
  <c r="K11" i="46"/>
  <c r="L11" i="59"/>
  <c r="AB50" i="57"/>
  <c r="AF50" i="57"/>
  <c r="AB51" i="53"/>
  <c r="AA51" i="53"/>
  <c r="AE52" i="53"/>
  <c r="AC52" i="53"/>
  <c r="AF51" i="53"/>
  <c r="AC52" i="57"/>
  <c r="AE52" i="57"/>
  <c r="B11" i="11"/>
  <c r="R52" i="57"/>
  <c r="R52" i="53"/>
  <c r="X52" i="53" s="1"/>
  <c r="AX36" i="69"/>
  <c r="L53" i="57"/>
  <c r="AG53" i="57"/>
  <c r="AJ52" i="57"/>
  <c r="AP52" i="57"/>
  <c r="AH52" i="53"/>
  <c r="AT52" i="53"/>
  <c r="AG52" i="53"/>
  <c r="A11" i="46"/>
  <c r="A244" i="46"/>
  <c r="B123" i="11"/>
  <c r="B91" i="11"/>
  <c r="B59" i="11"/>
  <c r="B27" i="11"/>
  <c r="B223" i="11"/>
  <c r="B146" i="11"/>
  <c r="B78" i="11"/>
  <c r="B18" i="11"/>
  <c r="A195" i="46"/>
  <c r="B151" i="11"/>
  <c r="B114" i="11"/>
  <c r="B50" i="11"/>
  <c r="A227" i="46"/>
  <c r="B227" i="11"/>
  <c r="B154" i="11"/>
  <c r="B193" i="11"/>
  <c r="B129" i="11"/>
  <c r="B187" i="11"/>
  <c r="B245" i="11"/>
  <c r="B181" i="11"/>
  <c r="B117" i="11"/>
  <c r="B242" i="11"/>
  <c r="B236" i="11"/>
  <c r="B172" i="11"/>
  <c r="B108" i="11"/>
  <c r="B214" i="11"/>
  <c r="B224" i="11"/>
  <c r="B247" i="11"/>
  <c r="B119" i="11"/>
  <c r="B87" i="11"/>
  <c r="B55" i="11"/>
  <c r="B23" i="11"/>
  <c r="B195" i="11"/>
  <c r="B134" i="11"/>
  <c r="B70" i="11"/>
  <c r="A255" i="46"/>
  <c r="A187" i="46"/>
  <c r="B250" i="11"/>
  <c r="B106" i="11"/>
  <c r="B42" i="11"/>
  <c r="A223" i="46"/>
  <c r="B199" i="11"/>
  <c r="B249" i="11"/>
  <c r="B185" i="11"/>
  <c r="B121" i="11"/>
  <c r="B163" i="11"/>
  <c r="B237" i="11"/>
  <c r="B173" i="11"/>
  <c r="B105" i="11"/>
  <c r="B218" i="11"/>
  <c r="B228" i="11"/>
  <c r="B164" i="11"/>
  <c r="B100" i="11"/>
  <c r="B190" i="11"/>
  <c r="B216" i="11"/>
  <c r="B152" i="11"/>
  <c r="A236" i="46"/>
  <c r="A176" i="46"/>
  <c r="A120" i="46"/>
  <c r="A88" i="46"/>
  <c r="A56" i="46"/>
  <c r="A24" i="46"/>
  <c r="B245" i="59"/>
  <c r="B213" i="59"/>
  <c r="B181" i="59"/>
  <c r="B149" i="59"/>
  <c r="B117" i="59"/>
  <c r="A212" i="46"/>
  <c r="A148" i="46"/>
  <c r="A127" i="46"/>
  <c r="A59" i="46"/>
  <c r="B232" i="59"/>
  <c r="B200" i="59"/>
  <c r="B168" i="59"/>
  <c r="B136" i="59"/>
  <c r="B104" i="59"/>
  <c r="B72" i="59"/>
  <c r="A107" i="46"/>
  <c r="A51" i="46"/>
  <c r="A19" i="46"/>
  <c r="B37" i="11"/>
  <c r="A218" i="46"/>
  <c r="A126" i="46"/>
  <c r="A58" i="46"/>
  <c r="B255" i="59"/>
  <c r="B215" i="59"/>
  <c r="B183" i="59"/>
  <c r="B151" i="59"/>
  <c r="B119" i="59"/>
  <c r="B49" i="11"/>
  <c r="A230" i="46"/>
  <c r="A170" i="46"/>
  <c r="A130" i="46"/>
  <c r="A70" i="46"/>
  <c r="B219" i="59"/>
  <c r="B32" i="11"/>
  <c r="A217" i="46"/>
  <c r="A121" i="46"/>
  <c r="A61" i="46"/>
  <c r="B250" i="59"/>
  <c r="B214" i="59"/>
  <c r="B182" i="59"/>
  <c r="B150" i="59"/>
  <c r="B118" i="59"/>
  <c r="B44" i="11"/>
  <c r="A221" i="46"/>
  <c r="A169" i="46"/>
  <c r="A125" i="46"/>
  <c r="A57" i="46"/>
  <c r="A13" i="71"/>
  <c r="B219" i="11"/>
  <c r="B115" i="11"/>
  <c r="B83" i="11"/>
  <c r="B51" i="11"/>
  <c r="B19" i="11"/>
  <c r="B155" i="11"/>
  <c r="B126" i="11"/>
  <c r="B62" i="11"/>
  <c r="A247" i="46"/>
  <c r="A183" i="46"/>
  <c r="B226" i="11"/>
  <c r="B98" i="11"/>
  <c r="B34" i="11"/>
  <c r="A215" i="46"/>
  <c r="B171" i="11"/>
  <c r="B241" i="11"/>
  <c r="B177" i="11"/>
  <c r="B113" i="11"/>
  <c r="B258" i="11"/>
  <c r="B229" i="11"/>
  <c r="B165" i="11"/>
  <c r="B97" i="11"/>
  <c r="B194" i="11"/>
  <c r="B220" i="11"/>
  <c r="B156" i="11"/>
  <c r="B243" i="11"/>
  <c r="B170" i="11"/>
  <c r="B208" i="11"/>
  <c r="B191" i="11"/>
  <c r="B111" i="11"/>
  <c r="B79" i="11"/>
  <c r="B47" i="11"/>
  <c r="B15" i="11"/>
  <c r="B254" i="11"/>
  <c r="B118" i="11"/>
  <c r="B54" i="11"/>
  <c r="A239" i="46"/>
  <c r="A175" i="46"/>
  <c r="B198" i="11"/>
  <c r="B90" i="11"/>
  <c r="B22" i="11"/>
  <c r="A207" i="46"/>
  <c r="B143" i="11"/>
  <c r="B233" i="11"/>
  <c r="B169" i="11"/>
  <c r="B109" i="11"/>
  <c r="B238" i="11"/>
  <c r="B221" i="11"/>
  <c r="B157" i="11"/>
  <c r="B255" i="11"/>
  <c r="B174" i="11"/>
  <c r="B212" i="11"/>
  <c r="B148" i="11"/>
  <c r="B215" i="11"/>
  <c r="B138" i="11"/>
  <c r="B200" i="11"/>
  <c r="B136" i="11"/>
  <c r="A224" i="46"/>
  <c r="A160" i="46"/>
  <c r="A112" i="46"/>
  <c r="A80" i="46"/>
  <c r="A48" i="46"/>
  <c r="A16" i="46"/>
  <c r="B237" i="59"/>
  <c r="B205" i="59"/>
  <c r="B173" i="59"/>
  <c r="B141" i="59"/>
  <c r="B109" i="59"/>
  <c r="A196" i="46"/>
  <c r="A124" i="46"/>
  <c r="A111" i="46"/>
  <c r="B256" i="59"/>
  <c r="B224" i="59"/>
  <c r="B192" i="59"/>
  <c r="B160" i="59"/>
  <c r="B128" i="59"/>
  <c r="B96" i="59"/>
  <c r="A155" i="46"/>
  <c r="A91" i="46"/>
  <c r="A43" i="46"/>
  <c r="B85" i="11"/>
  <c r="B21" i="11"/>
  <c r="A202" i="46"/>
  <c r="A110" i="46"/>
  <c r="A46" i="46"/>
  <c r="B247" i="59"/>
  <c r="B207" i="59"/>
  <c r="B175" i="59"/>
  <c r="B143" i="59"/>
  <c r="B111" i="59"/>
  <c r="B33" i="11"/>
  <c r="A214" i="46"/>
  <c r="A162" i="46"/>
  <c r="A114" i="46"/>
  <c r="A50" i="46"/>
  <c r="B84" i="11"/>
  <c r="B20" i="11"/>
  <c r="A201" i="46"/>
  <c r="A105" i="46"/>
  <c r="A45" i="46"/>
  <c r="B242" i="59"/>
  <c r="B206" i="59"/>
  <c r="B174" i="59"/>
  <c r="B142" i="59"/>
  <c r="B88" i="11"/>
  <c r="B24" i="11"/>
  <c r="A205" i="46"/>
  <c r="A161" i="46"/>
  <c r="A109" i="46"/>
  <c r="A41" i="46"/>
  <c r="B64" i="59"/>
  <c r="B32" i="59"/>
  <c r="A242" i="71"/>
  <c r="B167" i="11"/>
  <c r="B107" i="11"/>
  <c r="B75" i="11"/>
  <c r="B43" i="11"/>
  <c r="A256" i="46"/>
  <c r="B230" i="11"/>
  <c r="B110" i="11"/>
  <c r="B46" i="11"/>
  <c r="A231" i="46"/>
  <c r="A167" i="46"/>
  <c r="B166" i="11"/>
  <c r="B82" i="11"/>
  <c r="B14" i="11"/>
  <c r="A199" i="46"/>
  <c r="B246" i="11"/>
  <c r="B225" i="11"/>
  <c r="B161" i="11"/>
  <c r="B101" i="11"/>
  <c r="B210" i="11"/>
  <c r="B213" i="11"/>
  <c r="B149" i="11"/>
  <c r="B231" i="11"/>
  <c r="B150" i="11"/>
  <c r="B204" i="11"/>
  <c r="B140" i="11"/>
  <c r="B183" i="11"/>
  <c r="B256" i="11"/>
  <c r="B147" i="11"/>
  <c r="B103" i="11"/>
  <c r="B71" i="11"/>
  <c r="B39" i="11"/>
  <c r="A252" i="46"/>
  <c r="B206" i="11"/>
  <c r="B102" i="11"/>
  <c r="B38" i="11"/>
  <c r="A219" i="46"/>
  <c r="B235" i="11"/>
  <c r="B142" i="11"/>
  <c r="B74" i="11"/>
  <c r="A251" i="46"/>
  <c r="A191" i="46"/>
  <c r="B222" i="11"/>
  <c r="B217" i="11"/>
  <c r="B153" i="11"/>
  <c r="B93" i="11"/>
  <c r="B186" i="11"/>
  <c r="B205" i="11"/>
  <c r="B141" i="11"/>
  <c r="B203" i="11"/>
  <c r="B253" i="11"/>
  <c r="B196" i="11"/>
  <c r="B132" i="11"/>
  <c r="B159" i="11"/>
  <c r="B248" i="11"/>
  <c r="B184" i="11"/>
  <c r="B120" i="11"/>
  <c r="A208" i="46"/>
  <c r="A144" i="46"/>
  <c r="A104" i="46"/>
  <c r="A72" i="46"/>
  <c r="A40" i="46"/>
  <c r="B13" i="59"/>
  <c r="B229" i="59"/>
  <c r="B197" i="59"/>
  <c r="B165" i="59"/>
  <c r="B133" i="59"/>
  <c r="B101" i="59"/>
  <c r="A180" i="46"/>
  <c r="A159" i="46"/>
  <c r="A95" i="46"/>
  <c r="B248" i="59"/>
  <c r="B216" i="59"/>
  <c r="B184" i="59"/>
  <c r="B152" i="59"/>
  <c r="B120" i="59"/>
  <c r="B88" i="59"/>
  <c r="A139" i="46"/>
  <c r="A75" i="46"/>
  <c r="A35" i="46"/>
  <c r="B69" i="11"/>
  <c r="A250" i="46"/>
  <c r="A186" i="46"/>
  <c r="A90" i="46"/>
  <c r="A30" i="46"/>
  <c r="B239" i="59"/>
  <c r="B199" i="59"/>
  <c r="B167" i="59"/>
  <c r="B135" i="59"/>
  <c r="B81" i="11"/>
  <c r="B17" i="11"/>
  <c r="A198" i="46"/>
  <c r="A154" i="46"/>
  <c r="A98" i="46"/>
  <c r="A34" i="46"/>
  <c r="B68" i="11"/>
  <c r="A245" i="46"/>
  <c r="A185" i="46"/>
  <c r="A93" i="46"/>
  <c r="A29" i="46"/>
  <c r="B230" i="59"/>
  <c r="B198" i="59"/>
  <c r="B166" i="59"/>
  <c r="B134" i="59"/>
  <c r="B72" i="11"/>
  <c r="A253" i="46"/>
  <c r="A189" i="46"/>
  <c r="A153" i="46"/>
  <c r="A89" i="46"/>
  <c r="A25" i="46"/>
  <c r="B56" i="59"/>
  <c r="B131" i="11"/>
  <c r="B99" i="11"/>
  <c r="B67" i="11"/>
  <c r="B35" i="11"/>
  <c r="A248" i="46"/>
  <c r="B182" i="11"/>
  <c r="B94" i="11"/>
  <c r="B30" i="11"/>
  <c r="A211" i="46"/>
  <c r="B207" i="11"/>
  <c r="B130" i="11"/>
  <c r="B66" i="11"/>
  <c r="A243" i="46"/>
  <c r="A179" i="46"/>
  <c r="B202" i="11"/>
  <c r="B209" i="11"/>
  <c r="B145" i="11"/>
  <c r="B239" i="11"/>
  <c r="B158" i="11"/>
  <c r="B197" i="11"/>
  <c r="B133" i="11"/>
  <c r="B175" i="11"/>
  <c r="B252" i="11"/>
  <c r="B188" i="11"/>
  <c r="B124" i="11"/>
  <c r="B135" i="11"/>
  <c r="B240" i="11"/>
  <c r="B127" i="11"/>
  <c r="B95" i="11"/>
  <c r="B63" i="11"/>
  <c r="B31" i="11"/>
  <c r="B251" i="11"/>
  <c r="B162" i="11"/>
  <c r="B86" i="11"/>
  <c r="B26" i="11"/>
  <c r="A203" i="46"/>
  <c r="B179" i="11"/>
  <c r="B122" i="11"/>
  <c r="B58" i="11"/>
  <c r="A235" i="46"/>
  <c r="A171" i="46"/>
  <c r="B178" i="11"/>
  <c r="B201" i="11"/>
  <c r="B137" i="11"/>
  <c r="B211" i="11"/>
  <c r="B257" i="11"/>
  <c r="B189" i="11"/>
  <c r="B125" i="11"/>
  <c r="B139" i="11"/>
  <c r="B244" i="11"/>
  <c r="B180" i="11"/>
  <c r="B116" i="11"/>
  <c r="B234" i="11"/>
  <c r="B232" i="11"/>
  <c r="B168" i="11"/>
  <c r="B104" i="11"/>
  <c r="A192" i="46"/>
  <c r="A132" i="46"/>
  <c r="A96" i="46"/>
  <c r="A64" i="46"/>
  <c r="A32" i="46"/>
  <c r="B253" i="59"/>
  <c r="B221" i="59"/>
  <c r="B189" i="59"/>
  <c r="B157" i="59"/>
  <c r="B125" i="59"/>
  <c r="A228" i="46"/>
  <c r="A164" i="46"/>
  <c r="A143" i="46"/>
  <c r="A79" i="46"/>
  <c r="B240" i="59"/>
  <c r="B208" i="59"/>
  <c r="B176" i="59"/>
  <c r="B144" i="59"/>
  <c r="B112" i="59"/>
  <c r="B80" i="59"/>
  <c r="A123" i="46"/>
  <c r="A63" i="46"/>
  <c r="A27" i="46"/>
  <c r="B53" i="11"/>
  <c r="A234" i="46"/>
  <c r="A142" i="46"/>
  <c r="A74" i="46"/>
  <c r="A14" i="46"/>
  <c r="B227" i="59"/>
  <c r="B191" i="59"/>
  <c r="B159" i="59"/>
  <c r="B127" i="59"/>
  <c r="B65" i="11"/>
  <c r="A246" i="46"/>
  <c r="A182" i="46"/>
  <c r="A146" i="46"/>
  <c r="A86" i="46"/>
  <c r="A18" i="46"/>
  <c r="B52" i="11"/>
  <c r="A233" i="46"/>
  <c r="A141" i="46"/>
  <c r="A77" i="46"/>
  <c r="A13" i="46"/>
  <c r="B222" i="59"/>
  <c r="B190" i="59"/>
  <c r="B158" i="59"/>
  <c r="B126" i="59"/>
  <c r="B56" i="11"/>
  <c r="A241" i="46"/>
  <c r="A177" i="46"/>
  <c r="A137" i="46"/>
  <c r="A73" i="46"/>
  <c r="B258" i="59"/>
  <c r="B48" i="59"/>
  <c r="B16" i="59"/>
  <c r="A226" i="71"/>
  <c r="A194" i="71"/>
  <c r="B192" i="11"/>
  <c r="A216" i="46"/>
  <c r="A108" i="46"/>
  <c r="A44" i="46"/>
  <c r="B233" i="59"/>
  <c r="B169" i="59"/>
  <c r="B105" i="59"/>
  <c r="B252" i="59"/>
  <c r="B188" i="59"/>
  <c r="B124" i="59"/>
  <c r="A147" i="46"/>
  <c r="A39" i="46"/>
  <c r="B13" i="11"/>
  <c r="A102" i="46"/>
  <c r="B243" i="59"/>
  <c r="B171" i="59"/>
  <c r="B89" i="11"/>
  <c r="A206" i="46"/>
  <c r="A106" i="46"/>
  <c r="B76" i="11"/>
  <c r="A193" i="46"/>
  <c r="A37" i="46"/>
  <c r="B202" i="59"/>
  <c r="B138" i="59"/>
  <c r="B16" i="11"/>
  <c r="A157" i="46"/>
  <c r="A33" i="46"/>
  <c r="B36" i="59"/>
  <c r="A234" i="71"/>
  <c r="A198" i="71"/>
  <c r="A162" i="71"/>
  <c r="A130" i="71"/>
  <c r="A98" i="71"/>
  <c r="A66" i="71"/>
  <c r="A34" i="71"/>
  <c r="B99" i="59"/>
  <c r="B67" i="59"/>
  <c r="B35" i="59"/>
  <c r="A241" i="71"/>
  <c r="A209" i="71"/>
  <c r="A177" i="71"/>
  <c r="A145" i="71"/>
  <c r="A113" i="71"/>
  <c r="A81" i="71"/>
  <c r="A49" i="71"/>
  <c r="A17" i="71"/>
  <c r="B94" i="59"/>
  <c r="B62" i="59"/>
  <c r="B30" i="59"/>
  <c r="A240" i="71"/>
  <c r="A208" i="71"/>
  <c r="A176" i="71"/>
  <c r="A144" i="71"/>
  <c r="A112" i="71"/>
  <c r="A80" i="71"/>
  <c r="A48" i="71"/>
  <c r="A16" i="71"/>
  <c r="B73" i="59"/>
  <c r="B41" i="59"/>
  <c r="A251" i="71"/>
  <c r="A219" i="71"/>
  <c r="A187" i="71"/>
  <c r="A155" i="71"/>
  <c r="A123" i="71"/>
  <c r="A91" i="71"/>
  <c r="A59" i="71"/>
  <c r="A27" i="71"/>
  <c r="B176" i="11"/>
  <c r="A200" i="46"/>
  <c r="A100" i="46"/>
  <c r="A36" i="46"/>
  <c r="B225" i="59"/>
  <c r="B161" i="59"/>
  <c r="A240" i="46"/>
  <c r="A151" i="46"/>
  <c r="B244" i="59"/>
  <c r="B180" i="59"/>
  <c r="B116" i="59"/>
  <c r="A131" i="46"/>
  <c r="A31" i="46"/>
  <c r="A242" i="46"/>
  <c r="A82" i="46"/>
  <c r="B231" i="59"/>
  <c r="B163" i="59"/>
  <c r="B73" i="11"/>
  <c r="A190" i="46"/>
  <c r="A94" i="46"/>
  <c r="B60" i="11"/>
  <c r="A149" i="46"/>
  <c r="A21" i="46"/>
  <c r="B194" i="59"/>
  <c r="B130" i="59"/>
  <c r="A249" i="46"/>
  <c r="A145" i="46"/>
  <c r="A17" i="46"/>
  <c r="B28" i="59"/>
  <c r="A230" i="71"/>
  <c r="A190" i="71"/>
  <c r="A158" i="71"/>
  <c r="A126" i="71"/>
  <c r="A94" i="71"/>
  <c r="A62" i="71"/>
  <c r="A30" i="71"/>
  <c r="B95" i="59"/>
  <c r="B63" i="59"/>
  <c r="B31" i="59"/>
  <c r="A237" i="71"/>
  <c r="A205" i="71"/>
  <c r="A173" i="71"/>
  <c r="A141" i="71"/>
  <c r="A109" i="71"/>
  <c r="A77" i="71"/>
  <c r="A45" i="71"/>
  <c r="B11" i="59"/>
  <c r="B90" i="59"/>
  <c r="B58" i="59"/>
  <c r="B26" i="59"/>
  <c r="A236" i="71"/>
  <c r="A204" i="71"/>
  <c r="A172" i="71"/>
  <c r="A140" i="71"/>
  <c r="A108" i="71"/>
  <c r="A76" i="71"/>
  <c r="A44" i="71"/>
  <c r="A12" i="71"/>
  <c r="B69" i="59"/>
  <c r="B37" i="59"/>
  <c r="A247" i="71"/>
  <c r="A215" i="71"/>
  <c r="A183" i="71"/>
  <c r="A151" i="71"/>
  <c r="A119" i="71"/>
  <c r="A87" i="71"/>
  <c r="A55" i="71"/>
  <c r="A23" i="71"/>
  <c r="B160" i="11"/>
  <c r="A184" i="46"/>
  <c r="A92" i="46"/>
  <c r="A28" i="46"/>
  <c r="B217" i="59"/>
  <c r="B153" i="59"/>
  <c r="A220" i="46"/>
  <c r="A135" i="46"/>
  <c r="B236" i="59"/>
  <c r="B172" i="59"/>
  <c r="B108" i="59"/>
  <c r="A115" i="46"/>
  <c r="A23" i="46"/>
  <c r="A226" i="46"/>
  <c r="A66" i="46"/>
  <c r="B223" i="59"/>
  <c r="B155" i="59"/>
  <c r="B57" i="11"/>
  <c r="A174" i="46"/>
  <c r="A78" i="46"/>
  <c r="B40" i="11"/>
  <c r="A133" i="46"/>
  <c r="B254" i="59"/>
  <c r="B186" i="59"/>
  <c r="B122" i="59"/>
  <c r="A229" i="46"/>
  <c r="A129" i="46"/>
  <c r="B238" i="59"/>
  <c r="B24" i="59"/>
  <c r="A222" i="71"/>
  <c r="A186" i="71"/>
  <c r="A154" i="71"/>
  <c r="A122" i="71"/>
  <c r="A90" i="71"/>
  <c r="A58" i="71"/>
  <c r="A26" i="71"/>
  <c r="B91" i="59"/>
  <c r="B59" i="59"/>
  <c r="B27" i="59"/>
  <c r="A233" i="71"/>
  <c r="A201" i="71"/>
  <c r="A169" i="71"/>
  <c r="A137" i="71"/>
  <c r="A105" i="71"/>
  <c r="A73" i="71"/>
  <c r="A41" i="71"/>
  <c r="B14" i="59"/>
  <c r="B86" i="59"/>
  <c r="B54" i="59"/>
  <c r="B22" i="59"/>
  <c r="A232" i="71"/>
  <c r="A200" i="71"/>
  <c r="A168" i="71"/>
  <c r="A136" i="71"/>
  <c r="A104" i="71"/>
  <c r="A72" i="71"/>
  <c r="A40" i="71"/>
  <c r="B97" i="59"/>
  <c r="B65" i="59"/>
  <c r="B33" i="59"/>
  <c r="A243" i="71"/>
  <c r="A211" i="71"/>
  <c r="A179" i="71"/>
  <c r="A147" i="71"/>
  <c r="A115" i="71"/>
  <c r="A83" i="71"/>
  <c r="A51" i="71"/>
  <c r="A19" i="71"/>
  <c r="B144" i="11"/>
  <c r="A168" i="46"/>
  <c r="A84" i="46"/>
  <c r="A20" i="46"/>
  <c r="B209" i="59"/>
  <c r="B145" i="59"/>
  <c r="A204" i="46"/>
  <c r="A119" i="46"/>
  <c r="B228" i="59"/>
  <c r="B164" i="59"/>
  <c r="B100" i="59"/>
  <c r="A99" i="46"/>
  <c r="A15" i="46"/>
  <c r="A210" i="46"/>
  <c r="A54" i="46"/>
  <c r="B211" i="59"/>
  <c r="B147" i="59"/>
  <c r="B41" i="11"/>
  <c r="A166" i="46"/>
  <c r="A62" i="46"/>
  <c r="B28" i="11"/>
  <c r="A113" i="46"/>
  <c r="B246" i="59"/>
  <c r="B178" i="59"/>
  <c r="B114" i="59"/>
  <c r="A213" i="46"/>
  <c r="A117" i="46"/>
  <c r="B68" i="59"/>
  <c r="B20" i="59"/>
  <c r="A218" i="71"/>
  <c r="A182" i="71"/>
  <c r="A150" i="71"/>
  <c r="A118" i="71"/>
  <c r="A86" i="71"/>
  <c r="A54" i="71"/>
  <c r="A22" i="71"/>
  <c r="B87" i="59"/>
  <c r="B55" i="59"/>
  <c r="B23" i="59"/>
  <c r="A229" i="71"/>
  <c r="A197" i="71"/>
  <c r="A165" i="71"/>
  <c r="A133" i="71"/>
  <c r="A101" i="71"/>
  <c r="A69" i="71"/>
  <c r="A37" i="71"/>
  <c r="A15" i="71"/>
  <c r="B82" i="59"/>
  <c r="B50" i="59"/>
  <c r="B18" i="59"/>
  <c r="A228" i="71"/>
  <c r="A196" i="71"/>
  <c r="A164" i="71"/>
  <c r="A132" i="71"/>
  <c r="A100" i="71"/>
  <c r="A68" i="71"/>
  <c r="A36" i="71"/>
  <c r="B93" i="59"/>
  <c r="B61" i="59"/>
  <c r="B29" i="59"/>
  <c r="A239" i="71"/>
  <c r="A207" i="71"/>
  <c r="A175" i="71"/>
  <c r="A143" i="71"/>
  <c r="A111" i="71"/>
  <c r="A79" i="71"/>
  <c r="A47" i="71"/>
  <c r="A11" i="71"/>
  <c r="B128" i="11"/>
  <c r="A152" i="46"/>
  <c r="A76" i="46"/>
  <c r="A12" i="46"/>
  <c r="B201" i="59"/>
  <c r="B137" i="59"/>
  <c r="A188" i="46"/>
  <c r="A103" i="46"/>
  <c r="B220" i="59"/>
  <c r="B156" i="59"/>
  <c r="B92" i="59"/>
  <c r="A83" i="46"/>
  <c r="B77" i="11"/>
  <c r="A194" i="46"/>
  <c r="A38" i="46"/>
  <c r="B203" i="59"/>
  <c r="B139" i="59"/>
  <c r="B25" i="11"/>
  <c r="A158" i="46"/>
  <c r="A42" i="46"/>
  <c r="B12" i="11"/>
  <c r="A97" i="46"/>
  <c r="B234" i="59"/>
  <c r="B170" i="59"/>
  <c r="B80" i="11"/>
  <c r="A197" i="46"/>
  <c r="A101" i="46"/>
  <c r="B60" i="59"/>
  <c r="A254" i="71"/>
  <c r="A214" i="71"/>
  <c r="A178" i="71"/>
  <c r="A146" i="71"/>
  <c r="A114" i="71"/>
  <c r="A82" i="71"/>
  <c r="A50" i="71"/>
  <c r="A18" i="71"/>
  <c r="B83" i="59"/>
  <c r="B51" i="59"/>
  <c r="B19" i="59"/>
  <c r="A225" i="71"/>
  <c r="A193" i="71"/>
  <c r="A161" i="71"/>
  <c r="A129" i="71"/>
  <c r="A97" i="71"/>
  <c r="A65" i="71"/>
  <c r="A33" i="71"/>
  <c r="B110" i="59"/>
  <c r="B78" i="59"/>
  <c r="B46" i="59"/>
  <c r="A256" i="71"/>
  <c r="A224" i="71"/>
  <c r="A192" i="71"/>
  <c r="A160" i="71"/>
  <c r="A128" i="71"/>
  <c r="A96" i="71"/>
  <c r="A64" i="71"/>
  <c r="A32" i="71"/>
  <c r="B89" i="59"/>
  <c r="B57" i="59"/>
  <c r="B25" i="59"/>
  <c r="A235" i="71"/>
  <c r="A203" i="71"/>
  <c r="A171" i="71"/>
  <c r="A139" i="71"/>
  <c r="A107" i="71"/>
  <c r="A75" i="71"/>
  <c r="A43" i="71"/>
  <c r="B112" i="11"/>
  <c r="A136" i="46"/>
  <c r="A68" i="46"/>
  <c r="B257" i="59"/>
  <c r="B193" i="59"/>
  <c r="B129" i="59"/>
  <c r="A172" i="46"/>
  <c r="A87" i="46"/>
  <c r="B212" i="59"/>
  <c r="B148" i="59"/>
  <c r="B84" i="59"/>
  <c r="A67" i="46"/>
  <c r="B61" i="11"/>
  <c r="A178" i="46"/>
  <c r="A22" i="46"/>
  <c r="B195" i="59"/>
  <c r="B131" i="59"/>
  <c r="A254" i="46"/>
  <c r="A150" i="46"/>
  <c r="A26" i="46"/>
  <c r="A237" i="46"/>
  <c r="A85" i="46"/>
  <c r="B226" i="59"/>
  <c r="B162" i="59"/>
  <c r="B64" i="11"/>
  <c r="A181" i="46"/>
  <c r="A81" i="46"/>
  <c r="B52" i="59"/>
  <c r="A250" i="71"/>
  <c r="A210" i="71"/>
  <c r="A174" i="71"/>
  <c r="A142" i="71"/>
  <c r="A110" i="71"/>
  <c r="A78" i="71"/>
  <c r="A46" i="71"/>
  <c r="A14" i="71"/>
  <c r="B79" i="59"/>
  <c r="B47" i="59"/>
  <c r="A253" i="71"/>
  <c r="A221" i="71"/>
  <c r="A189" i="71"/>
  <c r="A157" i="71"/>
  <c r="A125" i="71"/>
  <c r="A93" i="71"/>
  <c r="A61" i="71"/>
  <c r="A29" i="71"/>
  <c r="B106" i="59"/>
  <c r="B74" i="59"/>
  <c r="B42" i="59"/>
  <c r="A252" i="71"/>
  <c r="A220" i="71"/>
  <c r="A188" i="71"/>
  <c r="A156" i="71"/>
  <c r="A124" i="71"/>
  <c r="A92" i="71"/>
  <c r="A60" i="71"/>
  <c r="A28" i="71"/>
  <c r="B85" i="59"/>
  <c r="B53" i="59"/>
  <c r="B21" i="59"/>
  <c r="A231" i="71"/>
  <c r="A199" i="71"/>
  <c r="A167" i="71"/>
  <c r="A135" i="71"/>
  <c r="A103" i="71"/>
  <c r="A71" i="71"/>
  <c r="A39" i="71"/>
  <c r="B96" i="11"/>
  <c r="A128" i="46"/>
  <c r="A60" i="46"/>
  <c r="B249" i="59"/>
  <c r="B185" i="59"/>
  <c r="B121" i="59"/>
  <c r="A156" i="46"/>
  <c r="A71" i="46"/>
  <c r="B204" i="59"/>
  <c r="B140" i="59"/>
  <c r="B76" i="59"/>
  <c r="A55" i="46"/>
  <c r="B45" i="11"/>
  <c r="A134" i="46"/>
  <c r="B15" i="59"/>
  <c r="B187" i="59"/>
  <c r="B123" i="59"/>
  <c r="A238" i="46"/>
  <c r="A138" i="46"/>
  <c r="B235" i="59"/>
  <c r="A225" i="46"/>
  <c r="A69" i="46"/>
  <c r="B218" i="59"/>
  <c r="B154" i="59"/>
  <c r="B48" i="11"/>
  <c r="A173" i="46"/>
  <c r="A65" i="46"/>
  <c r="B44" i="59"/>
  <c r="A246" i="71"/>
  <c r="A206" i="71"/>
  <c r="A170" i="71"/>
  <c r="A138" i="71"/>
  <c r="A106" i="71"/>
  <c r="A74" i="71"/>
  <c r="A42" i="71"/>
  <c r="B107" i="59"/>
  <c r="B75" i="59"/>
  <c r="B43" i="59"/>
  <c r="A249" i="71"/>
  <c r="A217" i="71"/>
  <c r="A185" i="71"/>
  <c r="A153" i="71"/>
  <c r="A121" i="71"/>
  <c r="A89" i="71"/>
  <c r="A57" i="71"/>
  <c r="A25" i="71"/>
  <c r="B102" i="59"/>
  <c r="B70" i="59"/>
  <c r="B38" i="59"/>
  <c r="A248" i="71"/>
  <c r="A216" i="71"/>
  <c r="A184" i="71"/>
  <c r="A152" i="71"/>
  <c r="A120" i="71"/>
  <c r="A88" i="71"/>
  <c r="A56" i="71"/>
  <c r="A24" i="71"/>
  <c r="B81" i="59"/>
  <c r="B49" i="59"/>
  <c r="B17" i="59"/>
  <c r="A227" i="71"/>
  <c r="A195" i="71"/>
  <c r="A163" i="71"/>
  <c r="A131" i="71"/>
  <c r="A99" i="71"/>
  <c r="A67" i="71"/>
  <c r="A35" i="71"/>
  <c r="A232" i="46"/>
  <c r="A116" i="46"/>
  <c r="A52" i="46"/>
  <c r="B241" i="59"/>
  <c r="B177" i="59"/>
  <c r="B113" i="59"/>
  <c r="A140" i="46"/>
  <c r="B12" i="59"/>
  <c r="B196" i="59"/>
  <c r="B132" i="59"/>
  <c r="A163" i="46"/>
  <c r="A47" i="46"/>
  <c r="B29" i="11"/>
  <c r="A118" i="46"/>
  <c r="B251" i="59"/>
  <c r="B179" i="59"/>
  <c r="B115" i="59"/>
  <c r="A222" i="46"/>
  <c r="A122" i="46"/>
  <c r="B92" i="11"/>
  <c r="A209" i="46"/>
  <c r="A53" i="46"/>
  <c r="B210" i="59"/>
  <c r="B146" i="59"/>
  <c r="B36" i="11"/>
  <c r="A165" i="46"/>
  <c r="A49" i="46"/>
  <c r="B40" i="59"/>
  <c r="A238" i="71"/>
  <c r="A202" i="71"/>
  <c r="A166" i="71"/>
  <c r="A134" i="71"/>
  <c r="A102" i="71"/>
  <c r="A70" i="71"/>
  <c r="A38" i="71"/>
  <c r="B103" i="59"/>
  <c r="B71" i="59"/>
  <c r="B39" i="59"/>
  <c r="A245" i="71"/>
  <c r="A213" i="71"/>
  <c r="A181" i="71"/>
  <c r="A149" i="71"/>
  <c r="A117" i="71"/>
  <c r="A85" i="71"/>
  <c r="A53" i="71"/>
  <c r="A21" i="71"/>
  <c r="B98" i="59"/>
  <c r="B66" i="59"/>
  <c r="B34" i="59"/>
  <c r="A244" i="71"/>
  <c r="A212" i="71"/>
  <c r="A180" i="71"/>
  <c r="A148" i="71"/>
  <c r="A116" i="71"/>
  <c r="A84" i="71"/>
  <c r="A52" i="71"/>
  <c r="A20" i="71"/>
  <c r="B77" i="59"/>
  <c r="B45" i="59"/>
  <c r="A255" i="71"/>
  <c r="A223" i="71"/>
  <c r="A191" i="71"/>
  <c r="A159" i="71"/>
  <c r="A127" i="71"/>
  <c r="A95" i="71"/>
  <c r="A63" i="71"/>
  <c r="A31" i="71"/>
  <c r="N53" i="57"/>
  <c r="N53" i="53"/>
  <c r="AH36" i="69"/>
  <c r="AD52" i="57"/>
  <c r="AD52" i="53"/>
  <c r="Q52" i="53"/>
  <c r="C53" i="53"/>
  <c r="K53" i="53"/>
  <c r="AK52" i="52" a="1"/>
  <c r="AK52" i="52" s="1"/>
  <c r="B54" i="53" s="1"/>
  <c r="O54" i="53" s="1"/>
  <c r="D53" i="53"/>
  <c r="H53" i="53"/>
  <c r="I53" i="53"/>
  <c r="F53" i="53"/>
  <c r="P53" i="53"/>
  <c r="E53" i="53"/>
  <c r="M53" i="53"/>
  <c r="J53" i="53"/>
  <c r="L53" i="53"/>
  <c r="G53" i="53"/>
  <c r="P53" i="57"/>
  <c r="K53" i="57"/>
  <c r="I53" i="57"/>
  <c r="G53" i="57"/>
  <c r="E53" i="57"/>
  <c r="C53" i="57"/>
  <c r="M53" i="57" s="1"/>
  <c r="D53" i="57"/>
  <c r="F53" i="57"/>
  <c r="H53" i="57"/>
  <c r="J53" i="57"/>
  <c r="Q52" i="57"/>
  <c r="T52" i="57" s="1"/>
  <c r="AK52" i="55" a="1"/>
  <c r="AK52" i="55" s="1"/>
  <c r="B54" i="57" s="1"/>
  <c r="O54" i="57" s="1"/>
  <c r="K253" i="71"/>
  <c r="K245" i="71"/>
  <c r="K237" i="71"/>
  <c r="K229" i="71"/>
  <c r="K221" i="71"/>
  <c r="K213" i="71"/>
  <c r="K205" i="71"/>
  <c r="K197" i="71"/>
  <c r="K189" i="71"/>
  <c r="K181" i="71"/>
  <c r="K173" i="71"/>
  <c r="K165" i="71"/>
  <c r="K157" i="71"/>
  <c r="K149" i="71"/>
  <c r="K141" i="71"/>
  <c r="K133" i="71"/>
  <c r="K125" i="71"/>
  <c r="K117" i="71"/>
  <c r="K109" i="71"/>
  <c r="K101" i="71"/>
  <c r="K93" i="71"/>
  <c r="K85" i="71"/>
  <c r="K77" i="71"/>
  <c r="K69" i="71"/>
  <c r="K61" i="71"/>
  <c r="K53" i="71"/>
  <c r="K45" i="71"/>
  <c r="K37" i="71"/>
  <c r="K29" i="71"/>
  <c r="K21" i="71"/>
  <c r="K13" i="71"/>
  <c r="L253" i="59"/>
  <c r="L245" i="59"/>
  <c r="L237" i="59"/>
  <c r="L229" i="59"/>
  <c r="L221" i="59"/>
  <c r="L213" i="59"/>
  <c r="L205" i="59"/>
  <c r="L197" i="59"/>
  <c r="L189" i="59"/>
  <c r="L181" i="59"/>
  <c r="L173" i="59"/>
  <c r="L165" i="59"/>
  <c r="L157" i="59"/>
  <c r="L149" i="59"/>
  <c r="L141" i="59"/>
  <c r="L133" i="59"/>
  <c r="L125" i="59"/>
  <c r="L117" i="59"/>
  <c r="L109" i="59"/>
  <c r="L101" i="59"/>
  <c r="L93" i="59"/>
  <c r="L85" i="59"/>
  <c r="L77" i="59"/>
  <c r="L69" i="59"/>
  <c r="L61" i="59"/>
  <c r="L53" i="59"/>
  <c r="L45" i="59"/>
  <c r="L37" i="59"/>
  <c r="L29" i="59"/>
  <c r="L21" i="59"/>
  <c r="L13" i="59"/>
  <c r="K251" i="46"/>
  <c r="K243" i="46"/>
  <c r="K235" i="46"/>
  <c r="K227" i="46"/>
  <c r="K219" i="46"/>
  <c r="K211" i="46"/>
  <c r="K203" i="46"/>
  <c r="K195" i="46"/>
  <c r="K187" i="46"/>
  <c r="K179" i="46"/>
  <c r="K171" i="46"/>
  <c r="K163" i="46"/>
  <c r="K155" i="46"/>
  <c r="K147" i="46"/>
  <c r="K139" i="46"/>
  <c r="K131" i="46"/>
  <c r="K123" i="46"/>
  <c r="K115" i="46"/>
  <c r="K107" i="46"/>
  <c r="K99" i="46"/>
  <c r="K91" i="46"/>
  <c r="K251" i="71"/>
  <c r="K243" i="71"/>
  <c r="K235" i="71"/>
  <c r="K227" i="71"/>
  <c r="K219" i="71"/>
  <c r="K211" i="71"/>
  <c r="K203" i="71"/>
  <c r="K195" i="71"/>
  <c r="K187" i="71"/>
  <c r="K179" i="71"/>
  <c r="K171" i="71"/>
  <c r="K163" i="71"/>
  <c r="K155" i="71"/>
  <c r="K147" i="71"/>
  <c r="K139" i="71"/>
  <c r="K131" i="71"/>
  <c r="K123" i="71"/>
  <c r="K115" i="71"/>
  <c r="K107" i="71"/>
  <c r="K99" i="71"/>
  <c r="K91" i="71"/>
  <c r="K83" i="71"/>
  <c r="K75" i="71"/>
  <c r="K67" i="71"/>
  <c r="K59" i="71"/>
  <c r="K250" i="71"/>
  <c r="K242" i="71"/>
  <c r="K234" i="71"/>
  <c r="K226" i="71"/>
  <c r="K218" i="71"/>
  <c r="K210" i="71"/>
  <c r="K202" i="71"/>
  <c r="K194" i="71"/>
  <c r="K186" i="71"/>
  <c r="K178" i="71"/>
  <c r="K170" i="71"/>
  <c r="K162" i="71"/>
  <c r="K154" i="71"/>
  <c r="K146" i="71"/>
  <c r="K138" i="71"/>
  <c r="K130" i="71"/>
  <c r="K122" i="71"/>
  <c r="K114" i="71"/>
  <c r="K106" i="71"/>
  <c r="K98" i="71"/>
  <c r="K90" i="71"/>
  <c r="K82" i="71"/>
  <c r="K74" i="71"/>
  <c r="K66" i="71"/>
  <c r="K58" i="71"/>
  <c r="K50" i="71"/>
  <c r="K42" i="71"/>
  <c r="K34" i="71"/>
  <c r="K26" i="71"/>
  <c r="K18" i="71"/>
  <c r="L258" i="59"/>
  <c r="L250" i="59"/>
  <c r="L242" i="59"/>
  <c r="L234" i="59"/>
  <c r="L226" i="59"/>
  <c r="L218" i="59"/>
  <c r="L210" i="59"/>
  <c r="L202" i="59"/>
  <c r="L194" i="59"/>
  <c r="L186" i="59"/>
  <c r="L178" i="59"/>
  <c r="L170" i="59"/>
  <c r="L162" i="59"/>
  <c r="L154" i="59"/>
  <c r="L146" i="59"/>
  <c r="L138" i="59"/>
  <c r="L130" i="59"/>
  <c r="L122" i="59"/>
  <c r="L114" i="59"/>
  <c r="L106" i="59"/>
  <c r="L98" i="59"/>
  <c r="L90" i="59"/>
  <c r="L82" i="59"/>
  <c r="L74" i="59"/>
  <c r="L66" i="59"/>
  <c r="L58" i="59"/>
  <c r="L50" i="59"/>
  <c r="L42" i="59"/>
  <c r="L34" i="59"/>
  <c r="L26" i="59"/>
  <c r="L18" i="59"/>
  <c r="K256" i="46"/>
  <c r="K248" i="46"/>
  <c r="K240" i="46"/>
  <c r="K232" i="46"/>
  <c r="K224" i="46"/>
  <c r="K216" i="46"/>
  <c r="K208" i="46"/>
  <c r="K200" i="46"/>
  <c r="K192" i="46"/>
  <c r="K184" i="46"/>
  <c r="K176" i="46"/>
  <c r="K168" i="46"/>
  <c r="K160" i="46"/>
  <c r="K152" i="46"/>
  <c r="K144" i="46"/>
  <c r="K136" i="46"/>
  <c r="K128" i="46"/>
  <c r="K120" i="46"/>
  <c r="K112" i="46"/>
  <c r="K104" i="46"/>
  <c r="K96" i="46"/>
  <c r="K88" i="46"/>
  <c r="K80" i="46"/>
  <c r="K249" i="71"/>
  <c r="K241" i="71"/>
  <c r="K233" i="71"/>
  <c r="K225" i="71"/>
  <c r="K217" i="71"/>
  <c r="K209" i="71"/>
  <c r="K201" i="71"/>
  <c r="K193" i="71"/>
  <c r="K185" i="71"/>
  <c r="K177" i="71"/>
  <c r="K169" i="71"/>
  <c r="K161" i="71"/>
  <c r="K153" i="71"/>
  <c r="K145" i="71"/>
  <c r="K137" i="71"/>
  <c r="K129" i="71"/>
  <c r="K121" i="71"/>
  <c r="K113" i="71"/>
  <c r="K105" i="71"/>
  <c r="K97" i="71"/>
  <c r="K89" i="71"/>
  <c r="K81" i="71"/>
  <c r="K73" i="71"/>
  <c r="K65" i="71"/>
  <c r="K57" i="71"/>
  <c r="K49" i="71"/>
  <c r="K41" i="71"/>
  <c r="K33" i="71"/>
  <c r="K25" i="71"/>
  <c r="K17" i="71"/>
  <c r="L257" i="59"/>
  <c r="L249" i="59"/>
  <c r="L241" i="59"/>
  <c r="L233" i="59"/>
  <c r="L225" i="59"/>
  <c r="L217" i="59"/>
  <c r="L209" i="59"/>
  <c r="L201" i="59"/>
  <c r="L193" i="59"/>
  <c r="L185" i="59"/>
  <c r="L177" i="59"/>
  <c r="L169" i="59"/>
  <c r="L161" i="59"/>
  <c r="L153" i="59"/>
  <c r="L145" i="59"/>
  <c r="L137" i="59"/>
  <c r="L129" i="59"/>
  <c r="L121" i="59"/>
  <c r="L113" i="59"/>
  <c r="L105" i="59"/>
  <c r="L97" i="59"/>
  <c r="L89" i="59"/>
  <c r="L81" i="59"/>
  <c r="L73" i="59"/>
  <c r="L65" i="59"/>
  <c r="L57" i="59"/>
  <c r="L49" i="59"/>
  <c r="L41" i="59"/>
  <c r="L33" i="59"/>
  <c r="L25" i="59"/>
  <c r="L17" i="59"/>
  <c r="K255" i="46"/>
  <c r="K247" i="46"/>
  <c r="K239" i="46"/>
  <c r="K231" i="46"/>
  <c r="K223" i="46"/>
  <c r="K215" i="46"/>
  <c r="K207" i="46"/>
  <c r="K199" i="46"/>
  <c r="K191" i="46"/>
  <c r="K183" i="46"/>
  <c r="K175" i="46"/>
  <c r="K167" i="46"/>
  <c r="K159" i="46"/>
  <c r="K151" i="46"/>
  <c r="K143" i="46"/>
  <c r="K135" i="46"/>
  <c r="K127" i="46"/>
  <c r="K119" i="46"/>
  <c r="K111" i="46"/>
  <c r="K103" i="46"/>
  <c r="K95" i="46"/>
  <c r="K87" i="46"/>
  <c r="K256" i="71"/>
  <c r="K248" i="71"/>
  <c r="K240" i="71"/>
  <c r="K232" i="71"/>
  <c r="K224" i="71"/>
  <c r="K216" i="71"/>
  <c r="K208" i="71"/>
  <c r="K200" i="71"/>
  <c r="K192" i="71"/>
  <c r="K184" i="71"/>
  <c r="K176" i="71"/>
  <c r="K168" i="71"/>
  <c r="K160" i="71"/>
  <c r="K152" i="71"/>
  <c r="K144" i="71"/>
  <c r="K136" i="71"/>
  <c r="K128" i="71"/>
  <c r="K120" i="71"/>
  <c r="K112" i="71"/>
  <c r="K104" i="71"/>
  <c r="K96" i="71"/>
  <c r="K88" i="71"/>
  <c r="K80" i="71"/>
  <c r="K72" i="71"/>
  <c r="K64" i="71"/>
  <c r="K56" i="71"/>
  <c r="K48" i="71"/>
  <c r="K40" i="71"/>
  <c r="K32" i="71"/>
  <c r="K24" i="71"/>
  <c r="K16" i="71"/>
  <c r="L256" i="59"/>
  <c r="L248" i="59"/>
  <c r="L240" i="59"/>
  <c r="L232" i="59"/>
  <c r="L224" i="59"/>
  <c r="L216" i="59"/>
  <c r="L208" i="59"/>
  <c r="L200" i="59"/>
  <c r="L192" i="59"/>
  <c r="L184" i="59"/>
  <c r="L176" i="59"/>
  <c r="L168" i="59"/>
  <c r="L160" i="59"/>
  <c r="L152" i="59"/>
  <c r="L144" i="59"/>
  <c r="L136" i="59"/>
  <c r="L128" i="59"/>
  <c r="L120" i="59"/>
  <c r="L112" i="59"/>
  <c r="L104" i="59"/>
  <c r="L96" i="59"/>
  <c r="L88" i="59"/>
  <c r="L80" i="59"/>
  <c r="L72" i="59"/>
  <c r="L64" i="59"/>
  <c r="L56" i="59"/>
  <c r="L48" i="59"/>
  <c r="L40" i="59"/>
  <c r="L32" i="59"/>
  <c r="L24" i="59"/>
  <c r="L16" i="59"/>
  <c r="K254" i="46"/>
  <c r="K246" i="46"/>
  <c r="K238" i="46"/>
  <c r="K230" i="46"/>
  <c r="K222" i="46"/>
  <c r="K214" i="46"/>
  <c r="K206" i="46"/>
  <c r="K198" i="46"/>
  <c r="K190" i="46"/>
  <c r="K182" i="46"/>
  <c r="K174" i="46"/>
  <c r="K166" i="46"/>
  <c r="K158" i="46"/>
  <c r="K150" i="46"/>
  <c r="K142" i="46"/>
  <c r="K134" i="46"/>
  <c r="K126" i="46"/>
  <c r="K118" i="46"/>
  <c r="K110" i="46"/>
  <c r="K102" i="46"/>
  <c r="K94" i="46"/>
  <c r="K255" i="71"/>
  <c r="K247" i="71"/>
  <c r="K239" i="71"/>
  <c r="K231" i="71"/>
  <c r="K223" i="71"/>
  <c r="K215" i="71"/>
  <c r="K207" i="71"/>
  <c r="K199" i="71"/>
  <c r="K191" i="71"/>
  <c r="K183" i="71"/>
  <c r="K175" i="71"/>
  <c r="K167" i="71"/>
  <c r="K159" i="71"/>
  <c r="K151" i="71"/>
  <c r="K143" i="71"/>
  <c r="K135" i="71"/>
  <c r="K127" i="71"/>
  <c r="K119" i="71"/>
  <c r="K111" i="71"/>
  <c r="K103" i="71"/>
  <c r="K95" i="71"/>
  <c r="K87" i="71"/>
  <c r="K79" i="71"/>
  <c r="K71" i="71"/>
  <c r="K252" i="71"/>
  <c r="K220" i="71"/>
  <c r="K188" i="71"/>
  <c r="K156" i="71"/>
  <c r="K124" i="71"/>
  <c r="K92" i="71"/>
  <c r="K62" i="71"/>
  <c r="K44" i="71"/>
  <c r="K28" i="71"/>
  <c r="K12" i="71"/>
  <c r="L244" i="59"/>
  <c r="L228" i="59"/>
  <c r="L212" i="59"/>
  <c r="L196" i="59"/>
  <c r="L180" i="59"/>
  <c r="L164" i="59"/>
  <c r="L148" i="59"/>
  <c r="L132" i="59"/>
  <c r="L116" i="59"/>
  <c r="L100" i="59"/>
  <c r="L84" i="59"/>
  <c r="L68" i="59"/>
  <c r="L52" i="59"/>
  <c r="L36" i="59"/>
  <c r="L20" i="59"/>
  <c r="K250" i="46"/>
  <c r="K234" i="46"/>
  <c r="K218" i="46"/>
  <c r="K202" i="46"/>
  <c r="K186" i="46"/>
  <c r="K170" i="46"/>
  <c r="K154" i="46"/>
  <c r="K138" i="46"/>
  <c r="K122" i="46"/>
  <c r="K106" i="46"/>
  <c r="K90" i="46"/>
  <c r="K79" i="46"/>
  <c r="K71" i="46"/>
  <c r="K63" i="46"/>
  <c r="K55" i="46"/>
  <c r="K47" i="46"/>
  <c r="K39" i="46"/>
  <c r="K31" i="46"/>
  <c r="K23" i="46"/>
  <c r="K15" i="46"/>
  <c r="L255" i="11"/>
  <c r="L247" i="11"/>
  <c r="L239" i="11"/>
  <c r="L231" i="11"/>
  <c r="L223" i="11"/>
  <c r="L215" i="11"/>
  <c r="L207" i="11"/>
  <c r="L199" i="11"/>
  <c r="L191" i="11"/>
  <c r="L183" i="11"/>
  <c r="L175" i="11"/>
  <c r="L167" i="11"/>
  <c r="L159" i="11"/>
  <c r="L151" i="11"/>
  <c r="L143" i="11"/>
  <c r="L135" i="11"/>
  <c r="L127" i="11"/>
  <c r="L119" i="11"/>
  <c r="L111" i="11"/>
  <c r="L103" i="11"/>
  <c r="L95" i="11"/>
  <c r="L87" i="11"/>
  <c r="L79" i="11"/>
  <c r="L71" i="11"/>
  <c r="L63" i="11"/>
  <c r="L55" i="11"/>
  <c r="L47" i="11"/>
  <c r="L39" i="11"/>
  <c r="L31" i="11"/>
  <c r="L23" i="11"/>
  <c r="L15" i="11"/>
  <c r="K246" i="71"/>
  <c r="K214" i="71"/>
  <c r="K182" i="71"/>
  <c r="K150" i="71"/>
  <c r="K118" i="71"/>
  <c r="K86" i="71"/>
  <c r="K60" i="71"/>
  <c r="K43" i="71"/>
  <c r="K27" i="71"/>
  <c r="K11" i="71"/>
  <c r="L243" i="59"/>
  <c r="L227" i="59"/>
  <c r="L211" i="59"/>
  <c r="L195" i="59"/>
  <c r="L179" i="59"/>
  <c r="L163" i="59"/>
  <c r="L147" i="59"/>
  <c r="L131" i="59"/>
  <c r="L115" i="59"/>
  <c r="L99" i="59"/>
  <c r="L83" i="59"/>
  <c r="L67" i="59"/>
  <c r="L51" i="59"/>
  <c r="L35" i="59"/>
  <c r="L19" i="59"/>
  <c r="K249" i="46"/>
  <c r="K233" i="46"/>
  <c r="K217" i="46"/>
  <c r="K201" i="46"/>
  <c r="K185" i="46"/>
  <c r="K169" i="46"/>
  <c r="K153" i="46"/>
  <c r="K137" i="46"/>
  <c r="K121" i="46"/>
  <c r="K105" i="46"/>
  <c r="K89" i="46"/>
  <c r="K78" i="46"/>
  <c r="K70" i="46"/>
  <c r="K62" i="46"/>
  <c r="K54" i="46"/>
  <c r="K46" i="46"/>
  <c r="K38" i="46"/>
  <c r="K30" i="46"/>
  <c r="K22" i="46"/>
  <c r="K14" i="46"/>
  <c r="L254" i="11"/>
  <c r="L246" i="11"/>
  <c r="L238" i="11"/>
  <c r="L230" i="11"/>
  <c r="L222" i="11"/>
  <c r="L214" i="11"/>
  <c r="L206" i="11"/>
  <c r="L198" i="11"/>
  <c r="L190" i="11"/>
  <c r="L182" i="11"/>
  <c r="L174" i="11"/>
  <c r="L166" i="11"/>
  <c r="L158" i="11"/>
  <c r="L150" i="11"/>
  <c r="L142" i="11"/>
  <c r="L134" i="11"/>
  <c r="L126" i="11"/>
  <c r="L118" i="11"/>
  <c r="L110" i="11"/>
  <c r="L102" i="11"/>
  <c r="L94" i="11"/>
  <c r="L86" i="11"/>
  <c r="L78" i="11"/>
  <c r="L70" i="11"/>
  <c r="L62" i="11"/>
  <c r="L54" i="11"/>
  <c r="L46" i="11"/>
  <c r="L38" i="11"/>
  <c r="L30" i="11"/>
  <c r="L22" i="11"/>
  <c r="L14" i="11"/>
  <c r="K244" i="71"/>
  <c r="K212" i="71"/>
  <c r="K180" i="71"/>
  <c r="K148" i="71"/>
  <c r="K116" i="71"/>
  <c r="K84" i="71"/>
  <c r="K55" i="71"/>
  <c r="K39" i="71"/>
  <c r="K23" i="71"/>
  <c r="L255" i="59"/>
  <c r="L239" i="59"/>
  <c r="L223" i="59"/>
  <c r="L207" i="59"/>
  <c r="L191" i="59"/>
  <c r="L175" i="59"/>
  <c r="L159" i="59"/>
  <c r="L143" i="59"/>
  <c r="L127" i="59"/>
  <c r="L111" i="59"/>
  <c r="L95" i="59"/>
  <c r="L79" i="59"/>
  <c r="L63" i="59"/>
  <c r="L47" i="59"/>
  <c r="L31" i="59"/>
  <c r="L15" i="59"/>
  <c r="K245" i="46"/>
  <c r="K229" i="46"/>
  <c r="K213" i="46"/>
  <c r="K197" i="46"/>
  <c r="K181" i="46"/>
  <c r="K165" i="46"/>
  <c r="K149" i="46"/>
  <c r="K133" i="46"/>
  <c r="K117" i="46"/>
  <c r="K101" i="46"/>
  <c r="K86" i="46"/>
  <c r="K77" i="46"/>
  <c r="K69" i="46"/>
  <c r="K61" i="46"/>
  <c r="K53" i="46"/>
  <c r="K45" i="46"/>
  <c r="K37" i="46"/>
  <c r="K29" i="46"/>
  <c r="K21" i="46"/>
  <c r="K13" i="46"/>
  <c r="L253" i="11"/>
  <c r="L245" i="11"/>
  <c r="L237" i="11"/>
  <c r="L229" i="11"/>
  <c r="L221" i="11"/>
  <c r="L213" i="11"/>
  <c r="L205" i="11"/>
  <c r="L197" i="11"/>
  <c r="L189" i="11"/>
  <c r="L181" i="11"/>
  <c r="L173" i="11"/>
  <c r="L165" i="11"/>
  <c r="L157" i="11"/>
  <c r="L149" i="11"/>
  <c r="L141" i="11"/>
  <c r="L133" i="11"/>
  <c r="L125" i="11"/>
  <c r="L117" i="11"/>
  <c r="L109" i="11"/>
  <c r="L101" i="11"/>
  <c r="L93" i="11"/>
  <c r="L85" i="11"/>
  <c r="L77" i="11"/>
  <c r="L69" i="11"/>
  <c r="L61" i="11"/>
  <c r="L53" i="11"/>
  <c r="L45" i="11"/>
  <c r="L37" i="11"/>
  <c r="L29" i="11"/>
  <c r="L21" i="11"/>
  <c r="L13" i="11"/>
  <c r="K238" i="71"/>
  <c r="K206" i="71"/>
  <c r="K174" i="71"/>
  <c r="K142" i="71"/>
  <c r="K110" i="71"/>
  <c r="K78" i="71"/>
  <c r="K54" i="71"/>
  <c r="K38" i="71"/>
  <c r="K22" i="71"/>
  <c r="L254" i="59"/>
  <c r="L238" i="59"/>
  <c r="L222" i="59"/>
  <c r="L206" i="59"/>
  <c r="L190" i="59"/>
  <c r="L174" i="59"/>
  <c r="L158" i="59"/>
  <c r="L142" i="59"/>
  <c r="L126" i="59"/>
  <c r="L110" i="59"/>
  <c r="L94" i="59"/>
  <c r="L78" i="59"/>
  <c r="L62" i="59"/>
  <c r="L46" i="59"/>
  <c r="L30" i="59"/>
  <c r="L14" i="59"/>
  <c r="K244" i="46"/>
  <c r="K228" i="46"/>
  <c r="K212" i="46"/>
  <c r="K196" i="46"/>
  <c r="K180" i="46"/>
  <c r="K164" i="46"/>
  <c r="K148" i="46"/>
  <c r="K132" i="46"/>
  <c r="K116" i="46"/>
  <c r="K100" i="46"/>
  <c r="K85" i="46"/>
  <c r="K76" i="46"/>
  <c r="K68" i="46"/>
  <c r="K60" i="46"/>
  <c r="K52" i="46"/>
  <c r="K44" i="46"/>
  <c r="K36" i="46"/>
  <c r="K28" i="46"/>
  <c r="K20" i="46"/>
  <c r="K12" i="46"/>
  <c r="L252" i="11"/>
  <c r="L244" i="11"/>
  <c r="L236" i="11"/>
  <c r="L228" i="11"/>
  <c r="L220" i="11"/>
  <c r="L212" i="11"/>
  <c r="L204" i="11"/>
  <c r="L196" i="11"/>
  <c r="L188" i="11"/>
  <c r="L180" i="11"/>
  <c r="L172" i="11"/>
  <c r="L164" i="11"/>
  <c r="L156" i="11"/>
  <c r="L148" i="11"/>
  <c r="L140" i="11"/>
  <c r="L132" i="11"/>
  <c r="L124" i="11"/>
  <c r="L116" i="11"/>
  <c r="L108" i="11"/>
  <c r="L100" i="11"/>
  <c r="L92" i="11"/>
  <c r="L84" i="11"/>
  <c r="L76" i="11"/>
  <c r="L68" i="11"/>
  <c r="L60" i="11"/>
  <c r="L52" i="11"/>
  <c r="L44" i="11"/>
  <c r="L36" i="11"/>
  <c r="L28" i="11"/>
  <c r="L20" i="11"/>
  <c r="L12" i="11"/>
  <c r="K236" i="71"/>
  <c r="K204" i="71"/>
  <c r="K172" i="71"/>
  <c r="K140" i="71"/>
  <c r="K108" i="71"/>
  <c r="K76" i="71"/>
  <c r="K52" i="71"/>
  <c r="K36" i="71"/>
  <c r="K20" i="71"/>
  <c r="L252" i="59"/>
  <c r="L236" i="59"/>
  <c r="L220" i="59"/>
  <c r="L204" i="59"/>
  <c r="L188" i="59"/>
  <c r="L172" i="59"/>
  <c r="L156" i="59"/>
  <c r="L140" i="59"/>
  <c r="L124" i="59"/>
  <c r="L108" i="59"/>
  <c r="L92" i="59"/>
  <c r="L76" i="59"/>
  <c r="L60" i="59"/>
  <c r="L44" i="59"/>
  <c r="L28" i="59"/>
  <c r="L12" i="59"/>
  <c r="K242" i="46"/>
  <c r="K226" i="46"/>
  <c r="K210" i="46"/>
  <c r="K194" i="46"/>
  <c r="K178" i="46"/>
  <c r="K162" i="46"/>
  <c r="K146" i="46"/>
  <c r="K130" i="46"/>
  <c r="K114" i="46"/>
  <c r="K98" i="46"/>
  <c r="K84" i="46"/>
  <c r="K75" i="46"/>
  <c r="K67" i="46"/>
  <c r="K59" i="46"/>
  <c r="K51" i="46"/>
  <c r="K43" i="46"/>
  <c r="K35" i="46"/>
  <c r="K27" i="46"/>
  <c r="K19" i="46"/>
  <c r="L251" i="11"/>
  <c r="L243" i="11"/>
  <c r="L235" i="11"/>
  <c r="L227" i="11"/>
  <c r="L219" i="11"/>
  <c r="L211" i="11"/>
  <c r="L203" i="11"/>
  <c r="L195" i="11"/>
  <c r="L187" i="11"/>
  <c r="L179" i="11"/>
  <c r="L171" i="11"/>
  <c r="L163" i="11"/>
  <c r="L155" i="11"/>
  <c r="L147" i="11"/>
  <c r="L139" i="11"/>
  <c r="L131" i="11"/>
  <c r="L123" i="11"/>
  <c r="L115" i="11"/>
  <c r="L107" i="11"/>
  <c r="L99" i="11"/>
  <c r="L91" i="11"/>
  <c r="L83" i="11"/>
  <c r="L75" i="11"/>
  <c r="L67" i="11"/>
  <c r="L59" i="11"/>
  <c r="L51" i="11"/>
  <c r="L43" i="11"/>
  <c r="L35" i="11"/>
  <c r="L27" i="11"/>
  <c r="L19" i="11"/>
  <c r="L11" i="11"/>
  <c r="K230" i="71"/>
  <c r="K198" i="71"/>
  <c r="K166" i="71"/>
  <c r="K134" i="71"/>
  <c r="K102" i="71"/>
  <c r="K70" i="71"/>
  <c r="K51" i="71"/>
  <c r="K35" i="71"/>
  <c r="K19" i="71"/>
  <c r="L251" i="59"/>
  <c r="L235" i="59"/>
  <c r="L219" i="59"/>
  <c r="L203" i="59"/>
  <c r="L187" i="59"/>
  <c r="L171" i="59"/>
  <c r="L155" i="59"/>
  <c r="L139" i="59"/>
  <c r="L123" i="59"/>
  <c r="L107" i="59"/>
  <c r="L91" i="59"/>
  <c r="L75" i="59"/>
  <c r="L59" i="59"/>
  <c r="L43" i="59"/>
  <c r="L27" i="59"/>
  <c r="K241" i="46"/>
  <c r="K225" i="46"/>
  <c r="K209" i="46"/>
  <c r="K193" i="46"/>
  <c r="K177" i="46"/>
  <c r="K161" i="46"/>
  <c r="K145" i="46"/>
  <c r="K129" i="46"/>
  <c r="K113" i="46"/>
  <c r="K97" i="46"/>
  <c r="K83" i="46"/>
  <c r="K74" i="46"/>
  <c r="K66" i="46"/>
  <c r="K58" i="46"/>
  <c r="K50" i="46"/>
  <c r="K42" i="46"/>
  <c r="K34" i="46"/>
  <c r="K26" i="46"/>
  <c r="K18" i="46"/>
  <c r="L258" i="11"/>
  <c r="L250" i="11"/>
  <c r="L242" i="11"/>
  <c r="L234" i="11"/>
  <c r="L226" i="11"/>
  <c r="L218" i="11"/>
  <c r="L210" i="11"/>
  <c r="L202" i="11"/>
  <c r="L194" i="11"/>
  <c r="L186" i="11"/>
  <c r="L178" i="11"/>
  <c r="L170" i="11"/>
  <c r="L162" i="11"/>
  <c r="L154" i="11"/>
  <c r="L146" i="11"/>
  <c r="L138" i="11"/>
  <c r="L130" i="11"/>
  <c r="L122" i="11"/>
  <c r="L114" i="11"/>
  <c r="L106" i="11"/>
  <c r="L98" i="11"/>
  <c r="L90" i="11"/>
  <c r="L82" i="11"/>
  <c r="L74" i="11"/>
  <c r="L66" i="11"/>
  <c r="L58" i="11"/>
  <c r="L50" i="11"/>
  <c r="L42" i="11"/>
  <c r="L34" i="11"/>
  <c r="L26" i="11"/>
  <c r="L18" i="11"/>
  <c r="K228" i="71"/>
  <c r="K196" i="71"/>
  <c r="K164" i="71"/>
  <c r="K132" i="71"/>
  <c r="K100" i="71"/>
  <c r="K68" i="71"/>
  <c r="K47" i="71"/>
  <c r="K31" i="71"/>
  <c r="K15" i="71"/>
  <c r="L247" i="59"/>
  <c r="L231" i="59"/>
  <c r="L215" i="59"/>
  <c r="L199" i="59"/>
  <c r="L183" i="59"/>
  <c r="L167" i="59"/>
  <c r="L151" i="59"/>
  <c r="L135" i="59"/>
  <c r="L119" i="59"/>
  <c r="L103" i="59"/>
  <c r="L87" i="59"/>
  <c r="L71" i="59"/>
  <c r="L55" i="59"/>
  <c r="L39" i="59"/>
  <c r="L23" i="59"/>
  <c r="K253" i="46"/>
  <c r="K237" i="46"/>
  <c r="K221" i="46"/>
  <c r="K205" i="46"/>
  <c r="K189" i="46"/>
  <c r="K173" i="46"/>
  <c r="K157" i="46"/>
  <c r="K141" i="46"/>
  <c r="K125" i="46"/>
  <c r="K109" i="46"/>
  <c r="K93" i="46"/>
  <c r="K82" i="46"/>
  <c r="K73" i="46"/>
  <c r="K65" i="46"/>
  <c r="K57" i="46"/>
  <c r="K49" i="46"/>
  <c r="K41" i="46"/>
  <c r="K33" i="46"/>
  <c r="K25" i="46"/>
  <c r="K17" i="46"/>
  <c r="L257" i="11"/>
  <c r="L249" i="11"/>
  <c r="L241" i="11"/>
  <c r="L233" i="11"/>
  <c r="L225" i="11"/>
  <c r="L217" i="11"/>
  <c r="L209" i="11"/>
  <c r="L201" i="11"/>
  <c r="L193" i="11"/>
  <c r="L185" i="11"/>
  <c r="L177" i="11"/>
  <c r="L169" i="11"/>
  <c r="L161" i="11"/>
  <c r="L153" i="11"/>
  <c r="L145" i="11"/>
  <c r="L137" i="11"/>
  <c r="L129" i="11"/>
  <c r="L121" i="11"/>
  <c r="L113" i="11"/>
  <c r="L105" i="11"/>
  <c r="L97" i="11"/>
  <c r="L89" i="11"/>
  <c r="L81" i="11"/>
  <c r="L73" i="11"/>
  <c r="L65" i="11"/>
  <c r="L57" i="11"/>
  <c r="L49" i="11"/>
  <c r="L41" i="11"/>
  <c r="L33" i="11"/>
  <c r="L25" i="11"/>
  <c r="L17" i="11"/>
  <c r="K254" i="71"/>
  <c r="K222" i="71"/>
  <c r="K190" i="71"/>
  <c r="K158" i="71"/>
  <c r="K126" i="71"/>
  <c r="K94" i="71"/>
  <c r="K63" i="71"/>
  <c r="K46" i="71"/>
  <c r="K30" i="71"/>
  <c r="K14" i="71"/>
  <c r="L246" i="59"/>
  <c r="L230" i="59"/>
  <c r="L214" i="59"/>
  <c r="L198" i="59"/>
  <c r="L182" i="59"/>
  <c r="L166" i="59"/>
  <c r="L150" i="59"/>
  <c r="L134" i="59"/>
  <c r="L118" i="59"/>
  <c r="L102" i="59"/>
  <c r="L86" i="59"/>
  <c r="L70" i="59"/>
  <c r="L54" i="59"/>
  <c r="L38" i="59"/>
  <c r="L22" i="59"/>
  <c r="K252" i="46"/>
  <c r="K236" i="46"/>
  <c r="K220" i="46"/>
  <c r="K204" i="46"/>
  <c r="K188" i="46"/>
  <c r="K172" i="46"/>
  <c r="K156" i="46"/>
  <c r="K140" i="46"/>
  <c r="K124" i="46"/>
  <c r="K108" i="46"/>
  <c r="K92" i="46"/>
  <c r="K81" i="46"/>
  <c r="K72" i="46"/>
  <c r="K64" i="46"/>
  <c r="K56" i="46"/>
  <c r="K48" i="46"/>
  <c r="K40" i="46"/>
  <c r="K32" i="46"/>
  <c r="K24" i="46"/>
  <c r="K16" i="46"/>
  <c r="L256" i="11"/>
  <c r="L248" i="11"/>
  <c r="L240" i="11"/>
  <c r="L232" i="11"/>
  <c r="L224" i="11"/>
  <c r="L216" i="11"/>
  <c r="L208" i="11"/>
  <c r="L200" i="11"/>
  <c r="L192" i="11"/>
  <c r="L184" i="11"/>
  <c r="L176" i="11"/>
  <c r="L168" i="11"/>
  <c r="L160" i="11"/>
  <c r="L152" i="11"/>
  <c r="L144" i="11"/>
  <c r="L136" i="11"/>
  <c r="L128" i="11"/>
  <c r="L120" i="11"/>
  <c r="L112" i="11"/>
  <c r="L104" i="11"/>
  <c r="L96" i="11"/>
  <c r="L88" i="11"/>
  <c r="L80" i="11"/>
  <c r="L72" i="11"/>
  <c r="L64" i="11"/>
  <c r="L56" i="11"/>
  <c r="L48" i="11"/>
  <c r="L40" i="11"/>
  <c r="L32" i="11"/>
  <c r="L24" i="11"/>
  <c r="L16" i="11"/>
  <c r="AN38" i="67" a="1"/>
  <c r="AN38" i="67" s="1"/>
  <c r="B39" i="69"/>
  <c r="D37" i="69"/>
  <c r="E37" i="69" s="1"/>
  <c r="F37" i="69" s="1"/>
  <c r="G37" i="69" s="1"/>
  <c r="H37" i="69" s="1"/>
  <c r="I37" i="69" s="1"/>
  <c r="J37" i="69" s="1"/>
  <c r="K37" i="69" s="1"/>
  <c r="M37" i="69" s="1"/>
  <c r="N37" i="69"/>
  <c r="AF37" i="69" s="1"/>
  <c r="AE36" i="69"/>
  <c r="R36" i="69"/>
  <c r="S36" i="69" s="1"/>
  <c r="Y36" i="69" s="1"/>
  <c r="Q36" i="69"/>
  <c r="U36" i="69"/>
  <c r="C38" i="69"/>
  <c r="AB51" i="57" l="1"/>
  <c r="AA51" i="57"/>
  <c r="AF51" i="57"/>
  <c r="AB36" i="69"/>
  <c r="AC36" i="69" s="1"/>
  <c r="AD36" i="69" s="1"/>
  <c r="AG36" i="69"/>
  <c r="L39" i="69"/>
  <c r="O39" i="69"/>
  <c r="AO38" i="69"/>
  <c r="P38" i="69"/>
  <c r="AF52" i="53"/>
  <c r="AE53" i="53"/>
  <c r="AC53" i="53"/>
  <c r="AB52" i="53"/>
  <c r="AA52" i="53"/>
  <c r="X52" i="57"/>
  <c r="AE53" i="57"/>
  <c r="AC53" i="57"/>
  <c r="R53" i="57"/>
  <c r="R53" i="53"/>
  <c r="X53" i="53" s="1"/>
  <c r="U12" i="59"/>
  <c r="V12" i="59"/>
  <c r="V15" i="59"/>
  <c r="U15" i="59"/>
  <c r="V13" i="59"/>
  <c r="U13" i="59"/>
  <c r="V14" i="59"/>
  <c r="U14" i="59"/>
  <c r="V150" i="59"/>
  <c r="U150" i="59"/>
  <c r="V87" i="59"/>
  <c r="U87" i="59"/>
  <c r="V215" i="59"/>
  <c r="U215" i="59"/>
  <c r="V43" i="59"/>
  <c r="U43" i="59"/>
  <c r="V171" i="59"/>
  <c r="U171" i="59"/>
  <c r="V108" i="59"/>
  <c r="U108" i="59"/>
  <c r="V236" i="59"/>
  <c r="U236" i="59"/>
  <c r="V46" i="59"/>
  <c r="U46" i="59"/>
  <c r="V174" i="59"/>
  <c r="U174" i="59"/>
  <c r="V111" i="59"/>
  <c r="U111" i="59"/>
  <c r="V239" i="59"/>
  <c r="U239" i="59"/>
  <c r="V51" i="59"/>
  <c r="U51" i="59"/>
  <c r="V179" i="59"/>
  <c r="U179" i="59"/>
  <c r="V116" i="59"/>
  <c r="U116" i="59"/>
  <c r="V244" i="59"/>
  <c r="U244" i="59"/>
  <c r="V16" i="59"/>
  <c r="U16" i="59"/>
  <c r="U80" i="59"/>
  <c r="V80" i="59"/>
  <c r="V144" i="59"/>
  <c r="U144" i="59"/>
  <c r="U208" i="59"/>
  <c r="V208" i="59"/>
  <c r="U49" i="59"/>
  <c r="V49" i="59"/>
  <c r="U113" i="59"/>
  <c r="V113" i="59"/>
  <c r="V177" i="59"/>
  <c r="U177" i="59"/>
  <c r="V241" i="59"/>
  <c r="U241" i="59"/>
  <c r="V18" i="59"/>
  <c r="U18" i="59"/>
  <c r="V82" i="59"/>
  <c r="U82" i="59"/>
  <c r="V146" i="59"/>
  <c r="U146" i="59"/>
  <c r="V210" i="59"/>
  <c r="U210" i="59"/>
  <c r="U53" i="59"/>
  <c r="V53" i="59"/>
  <c r="U117" i="59"/>
  <c r="V117" i="59"/>
  <c r="V181" i="59"/>
  <c r="U181" i="59"/>
  <c r="V245" i="59"/>
  <c r="U245" i="59"/>
  <c r="V86" i="59"/>
  <c r="U86" i="59"/>
  <c r="V166" i="59"/>
  <c r="U166" i="59"/>
  <c r="U103" i="59"/>
  <c r="V103" i="59"/>
  <c r="U231" i="59"/>
  <c r="V231" i="59"/>
  <c r="V59" i="59"/>
  <c r="U59" i="59"/>
  <c r="U187" i="59"/>
  <c r="V187" i="59"/>
  <c r="V124" i="59"/>
  <c r="U124" i="59"/>
  <c r="V252" i="59"/>
  <c r="U252" i="59"/>
  <c r="V62" i="59"/>
  <c r="U62" i="59"/>
  <c r="V190" i="59"/>
  <c r="U190" i="59"/>
  <c r="V127" i="59"/>
  <c r="U127" i="59"/>
  <c r="V67" i="59"/>
  <c r="U67" i="59"/>
  <c r="V195" i="59"/>
  <c r="U195" i="59"/>
  <c r="V132" i="59"/>
  <c r="U132" i="59"/>
  <c r="V24" i="59"/>
  <c r="U24" i="59"/>
  <c r="U88" i="59"/>
  <c r="V88" i="59"/>
  <c r="U152" i="59"/>
  <c r="V152" i="59"/>
  <c r="U216" i="59"/>
  <c r="V216" i="59"/>
  <c r="U57" i="59"/>
  <c r="V57" i="59"/>
  <c r="U121" i="59"/>
  <c r="V121" i="59"/>
  <c r="V185" i="59"/>
  <c r="U185" i="59"/>
  <c r="V249" i="59"/>
  <c r="U249" i="59"/>
  <c r="U26" i="59"/>
  <c r="V26" i="59"/>
  <c r="U90" i="59"/>
  <c r="V90" i="59"/>
  <c r="U154" i="59"/>
  <c r="V154" i="59"/>
  <c r="V218" i="59"/>
  <c r="U218" i="59"/>
  <c r="U61" i="59"/>
  <c r="V61" i="59"/>
  <c r="U125" i="59"/>
  <c r="V125" i="59"/>
  <c r="V189" i="59"/>
  <c r="U189" i="59"/>
  <c r="V253" i="59"/>
  <c r="U253" i="59"/>
  <c r="V38" i="59"/>
  <c r="U38" i="59"/>
  <c r="V54" i="59"/>
  <c r="U54" i="59"/>
  <c r="V182" i="59"/>
  <c r="U182" i="59"/>
  <c r="V119" i="59"/>
  <c r="U119" i="59"/>
  <c r="V247" i="59"/>
  <c r="U247" i="59"/>
  <c r="V75" i="59"/>
  <c r="U75" i="59"/>
  <c r="V203" i="59"/>
  <c r="U203" i="59"/>
  <c r="V140" i="59"/>
  <c r="U140" i="59"/>
  <c r="V78" i="59"/>
  <c r="U78" i="59"/>
  <c r="V206" i="59"/>
  <c r="U206" i="59"/>
  <c r="V143" i="59"/>
  <c r="U143" i="59"/>
  <c r="V83" i="59"/>
  <c r="U83" i="59"/>
  <c r="V211" i="59"/>
  <c r="U211" i="59"/>
  <c r="V20" i="59"/>
  <c r="U20" i="59"/>
  <c r="V148" i="59"/>
  <c r="U148" i="59"/>
  <c r="V32" i="59"/>
  <c r="U32" i="59"/>
  <c r="U96" i="59"/>
  <c r="V96" i="59"/>
  <c r="U160" i="59"/>
  <c r="V160" i="59"/>
  <c r="U224" i="59"/>
  <c r="V224" i="59"/>
  <c r="U65" i="59"/>
  <c r="V65" i="59"/>
  <c r="U129" i="59"/>
  <c r="V129" i="59"/>
  <c r="V193" i="59"/>
  <c r="U193" i="59"/>
  <c r="U257" i="59"/>
  <c r="V257" i="59"/>
  <c r="V34" i="59"/>
  <c r="U34" i="59"/>
  <c r="V98" i="59"/>
  <c r="U98" i="59"/>
  <c r="V162" i="59"/>
  <c r="U162" i="59"/>
  <c r="V226" i="59"/>
  <c r="U226" i="59"/>
  <c r="U69" i="59"/>
  <c r="V69" i="59"/>
  <c r="V133" i="59"/>
  <c r="U133" i="59"/>
  <c r="U197" i="59"/>
  <c r="V197" i="59"/>
  <c r="U22" i="59"/>
  <c r="V22" i="59"/>
  <c r="V70" i="59"/>
  <c r="U70" i="59"/>
  <c r="V198" i="59"/>
  <c r="U198" i="59"/>
  <c r="U135" i="59"/>
  <c r="V135" i="59"/>
  <c r="U91" i="59"/>
  <c r="V91" i="59"/>
  <c r="V219" i="59"/>
  <c r="U219" i="59"/>
  <c r="V28" i="59"/>
  <c r="U28" i="59"/>
  <c r="V156" i="59"/>
  <c r="U156" i="59"/>
  <c r="V94" i="59"/>
  <c r="U94" i="59"/>
  <c r="V222" i="59"/>
  <c r="U222" i="59"/>
  <c r="U31" i="59"/>
  <c r="V31" i="59"/>
  <c r="V159" i="59"/>
  <c r="U159" i="59"/>
  <c r="V99" i="59"/>
  <c r="U99" i="59"/>
  <c r="V227" i="59"/>
  <c r="U227" i="59"/>
  <c r="V36" i="59"/>
  <c r="U36" i="59"/>
  <c r="V164" i="59"/>
  <c r="U164" i="59"/>
  <c r="V40" i="59"/>
  <c r="U40" i="59"/>
  <c r="U104" i="59"/>
  <c r="V104" i="59"/>
  <c r="U168" i="59"/>
  <c r="V168" i="59"/>
  <c r="U232" i="59"/>
  <c r="V232" i="59"/>
  <c r="U73" i="59"/>
  <c r="V73" i="59"/>
  <c r="U137" i="59"/>
  <c r="V137" i="59"/>
  <c r="V201" i="59"/>
  <c r="U201" i="59"/>
  <c r="U42" i="59"/>
  <c r="V42" i="59"/>
  <c r="V106" i="59"/>
  <c r="U106" i="59"/>
  <c r="V170" i="59"/>
  <c r="U170" i="59"/>
  <c r="V234" i="59"/>
  <c r="U234" i="59"/>
  <c r="U77" i="59"/>
  <c r="V77" i="59"/>
  <c r="U141" i="59"/>
  <c r="V141" i="59"/>
  <c r="V205" i="59"/>
  <c r="U205" i="59"/>
  <c r="V214" i="59"/>
  <c r="U214" i="59"/>
  <c r="V23" i="59"/>
  <c r="U23" i="59"/>
  <c r="V151" i="59"/>
  <c r="U151" i="59"/>
  <c r="V107" i="59"/>
  <c r="U107" i="59"/>
  <c r="V235" i="59"/>
  <c r="U235" i="59"/>
  <c r="V44" i="59"/>
  <c r="U44" i="59"/>
  <c r="V172" i="59"/>
  <c r="U172" i="59"/>
  <c r="V110" i="59"/>
  <c r="U110" i="59"/>
  <c r="V238" i="59"/>
  <c r="U238" i="59"/>
  <c r="V47" i="59"/>
  <c r="U47" i="59"/>
  <c r="V175" i="59"/>
  <c r="U175" i="59"/>
  <c r="V115" i="59"/>
  <c r="U115" i="59"/>
  <c r="V243" i="59"/>
  <c r="U243" i="59"/>
  <c r="V52" i="59"/>
  <c r="U52" i="59"/>
  <c r="U180" i="59"/>
  <c r="V180" i="59"/>
  <c r="V48" i="59"/>
  <c r="U48" i="59"/>
  <c r="U112" i="59"/>
  <c r="V112" i="59"/>
  <c r="V176" i="59"/>
  <c r="U176" i="59"/>
  <c r="V240" i="59"/>
  <c r="U240" i="59"/>
  <c r="V17" i="59"/>
  <c r="U17" i="59"/>
  <c r="U81" i="59"/>
  <c r="V81" i="59"/>
  <c r="U145" i="59"/>
  <c r="V145" i="59"/>
  <c r="V209" i="59"/>
  <c r="U209" i="59"/>
  <c r="U50" i="59"/>
  <c r="V50" i="59"/>
  <c r="V114" i="59"/>
  <c r="U114" i="59"/>
  <c r="V178" i="59"/>
  <c r="U178" i="59"/>
  <c r="V242" i="59"/>
  <c r="U242" i="59"/>
  <c r="V21" i="59"/>
  <c r="U21" i="59"/>
  <c r="U85" i="59"/>
  <c r="V85" i="59"/>
  <c r="U149" i="59"/>
  <c r="V149" i="59"/>
  <c r="V213" i="59"/>
  <c r="U213" i="59"/>
  <c r="V230" i="59"/>
  <c r="U230" i="59"/>
  <c r="V39" i="59"/>
  <c r="U39" i="59"/>
  <c r="V167" i="59"/>
  <c r="U167" i="59"/>
  <c r="V123" i="59"/>
  <c r="U123" i="59"/>
  <c r="V251" i="59"/>
  <c r="U251" i="59"/>
  <c r="V60" i="59"/>
  <c r="U60" i="59"/>
  <c r="V188" i="59"/>
  <c r="U188" i="59"/>
  <c r="V126" i="59"/>
  <c r="U126" i="59"/>
  <c r="V254" i="59"/>
  <c r="U254" i="59"/>
  <c r="U63" i="59"/>
  <c r="V63" i="59"/>
  <c r="V191" i="59"/>
  <c r="U191" i="59"/>
  <c r="V131" i="59"/>
  <c r="U131" i="59"/>
  <c r="V68" i="59"/>
  <c r="U68" i="59"/>
  <c r="V196" i="59"/>
  <c r="U196" i="59"/>
  <c r="V56" i="59"/>
  <c r="U56" i="59"/>
  <c r="U120" i="59"/>
  <c r="V120" i="59"/>
  <c r="U184" i="59"/>
  <c r="V184" i="59"/>
  <c r="U248" i="59"/>
  <c r="V248" i="59"/>
  <c r="V25" i="59"/>
  <c r="U25" i="59"/>
  <c r="U89" i="59"/>
  <c r="V89" i="59"/>
  <c r="U153" i="59"/>
  <c r="V153" i="59"/>
  <c r="V217" i="59"/>
  <c r="U217" i="59"/>
  <c r="V58" i="59"/>
  <c r="U58" i="59"/>
  <c r="V122" i="59"/>
  <c r="U122" i="59"/>
  <c r="V186" i="59"/>
  <c r="U186" i="59"/>
  <c r="U250" i="59"/>
  <c r="V250" i="59"/>
  <c r="V29" i="59"/>
  <c r="U29" i="59"/>
  <c r="U93" i="59"/>
  <c r="V93" i="59"/>
  <c r="V157" i="59"/>
  <c r="U157" i="59"/>
  <c r="V221" i="59"/>
  <c r="U221" i="59"/>
  <c r="V102" i="59"/>
  <c r="U102" i="59"/>
  <c r="V246" i="59"/>
  <c r="U246" i="59"/>
  <c r="V55" i="59"/>
  <c r="U55" i="59"/>
  <c r="V183" i="59"/>
  <c r="U183" i="59"/>
  <c r="V139" i="59"/>
  <c r="U139" i="59"/>
  <c r="V76" i="59"/>
  <c r="U76" i="59"/>
  <c r="V204" i="59"/>
  <c r="U204" i="59"/>
  <c r="V142" i="59"/>
  <c r="U142" i="59"/>
  <c r="V79" i="59"/>
  <c r="U79" i="59"/>
  <c r="V207" i="59"/>
  <c r="U207" i="59"/>
  <c r="V19" i="59"/>
  <c r="U19" i="59"/>
  <c r="V147" i="59"/>
  <c r="U147" i="59"/>
  <c r="V84" i="59"/>
  <c r="U84" i="59"/>
  <c r="U212" i="59"/>
  <c r="V212" i="59"/>
  <c r="V64" i="59"/>
  <c r="U64" i="59"/>
  <c r="U128" i="59"/>
  <c r="V128" i="59"/>
  <c r="U192" i="59"/>
  <c r="V192" i="59"/>
  <c r="V256" i="59"/>
  <c r="U256" i="59"/>
  <c r="U33" i="59"/>
  <c r="V33" i="59"/>
  <c r="U97" i="59"/>
  <c r="V97" i="59"/>
  <c r="V161" i="59"/>
  <c r="U161" i="59"/>
  <c r="V225" i="59"/>
  <c r="U225" i="59"/>
  <c r="V66" i="59"/>
  <c r="U66" i="59"/>
  <c r="V130" i="59"/>
  <c r="U130" i="59"/>
  <c r="V194" i="59"/>
  <c r="U194" i="59"/>
  <c r="V258" i="59"/>
  <c r="U258" i="59"/>
  <c r="V37" i="59"/>
  <c r="U37" i="59"/>
  <c r="U101" i="59"/>
  <c r="V101" i="59"/>
  <c r="V165" i="59"/>
  <c r="U165" i="59"/>
  <c r="U229" i="59"/>
  <c r="V229" i="59"/>
  <c r="V118" i="59"/>
  <c r="U118" i="59"/>
  <c r="V134" i="59"/>
  <c r="U134" i="59"/>
  <c r="V71" i="59"/>
  <c r="U71" i="59"/>
  <c r="V199" i="59"/>
  <c r="U199" i="59"/>
  <c r="V27" i="59"/>
  <c r="U27" i="59"/>
  <c r="V155" i="59"/>
  <c r="U155" i="59"/>
  <c r="V92" i="59"/>
  <c r="U92" i="59"/>
  <c r="V220" i="59"/>
  <c r="U220" i="59"/>
  <c r="U30" i="59"/>
  <c r="V30" i="59"/>
  <c r="V158" i="59"/>
  <c r="U158" i="59"/>
  <c r="V95" i="59"/>
  <c r="U95" i="59"/>
  <c r="V223" i="59"/>
  <c r="U223" i="59"/>
  <c r="U35" i="59"/>
  <c r="V35" i="59"/>
  <c r="V163" i="59"/>
  <c r="U163" i="59"/>
  <c r="V100" i="59"/>
  <c r="U100" i="59"/>
  <c r="V228" i="59"/>
  <c r="U228" i="59"/>
  <c r="V72" i="59"/>
  <c r="U72" i="59"/>
  <c r="U136" i="59"/>
  <c r="V136" i="59"/>
  <c r="U200" i="59"/>
  <c r="V200" i="59"/>
  <c r="U41" i="59"/>
  <c r="V41" i="59"/>
  <c r="U105" i="59"/>
  <c r="V105" i="59"/>
  <c r="V169" i="59"/>
  <c r="U169" i="59"/>
  <c r="V233" i="59"/>
  <c r="U233" i="59"/>
  <c r="U74" i="59"/>
  <c r="V74" i="59"/>
  <c r="V138" i="59"/>
  <c r="U138" i="59"/>
  <c r="V202" i="59"/>
  <c r="U202" i="59"/>
  <c r="U45" i="59"/>
  <c r="V45" i="59"/>
  <c r="U109" i="59"/>
  <c r="V109" i="59"/>
  <c r="V173" i="59"/>
  <c r="U173" i="59"/>
  <c r="V237" i="59"/>
  <c r="U237" i="59"/>
  <c r="U255" i="59"/>
  <c r="V255" i="59"/>
  <c r="AX37" i="69"/>
  <c r="AG54" i="57"/>
  <c r="L54" i="57"/>
  <c r="AJ53" i="57"/>
  <c r="AP53" i="57"/>
  <c r="AG53" i="53"/>
  <c r="AH53" i="53"/>
  <c r="AT53" i="53"/>
  <c r="N54" i="57"/>
  <c r="L54" i="53"/>
  <c r="N54" i="53"/>
  <c r="AH37" i="69"/>
  <c r="AD53" i="57"/>
  <c r="AD53" i="53"/>
  <c r="Q53" i="53"/>
  <c r="G54" i="53"/>
  <c r="D54" i="53"/>
  <c r="J54" i="53"/>
  <c r="AK53" i="52" a="1"/>
  <c r="AK53" i="52" s="1"/>
  <c r="B55" i="53" s="1"/>
  <c r="O55" i="53" s="1"/>
  <c r="M54" i="53"/>
  <c r="H54" i="53"/>
  <c r="C54" i="53"/>
  <c r="E54" i="53"/>
  <c r="P54" i="53"/>
  <c r="K54" i="53"/>
  <c r="I54" i="53"/>
  <c r="F54" i="53"/>
  <c r="V81" i="11"/>
  <c r="U81" i="11"/>
  <c r="V91" i="11"/>
  <c r="U91" i="11"/>
  <c r="V252" i="11"/>
  <c r="U252" i="11"/>
  <c r="V29" i="11"/>
  <c r="U29" i="11"/>
  <c r="V190" i="11"/>
  <c r="U190" i="11"/>
  <c r="V120" i="11"/>
  <c r="U120" i="11"/>
  <c r="V153" i="11"/>
  <c r="U153" i="11"/>
  <c r="V194" i="11"/>
  <c r="U194" i="11"/>
  <c r="V227" i="11"/>
  <c r="U227" i="11"/>
  <c r="V132" i="11"/>
  <c r="U132" i="11"/>
  <c r="V165" i="11"/>
  <c r="U165" i="11"/>
  <c r="V198" i="11"/>
  <c r="U198" i="11"/>
  <c r="V167" i="11"/>
  <c r="U167" i="11"/>
  <c r="V16" i="11"/>
  <c r="U16" i="11"/>
  <c r="V80" i="11"/>
  <c r="U80" i="11"/>
  <c r="V144" i="11"/>
  <c r="U144" i="11"/>
  <c r="V208" i="11"/>
  <c r="U208" i="11"/>
  <c r="V49" i="11"/>
  <c r="U49" i="11"/>
  <c r="H125" i="22" s="1"/>
  <c r="V113" i="11"/>
  <c r="U113" i="11"/>
  <c r="V177" i="11"/>
  <c r="U177" i="11"/>
  <c r="V241" i="11"/>
  <c r="U241" i="11"/>
  <c r="V26" i="11"/>
  <c r="U26" i="11"/>
  <c r="U90" i="11"/>
  <c r="V90" i="11"/>
  <c r="V154" i="11"/>
  <c r="U154" i="11"/>
  <c r="V218" i="11"/>
  <c r="U218" i="11"/>
  <c r="V59" i="11"/>
  <c r="U59" i="11"/>
  <c r="V123" i="11"/>
  <c r="U123" i="11"/>
  <c r="V187" i="11"/>
  <c r="U187" i="11"/>
  <c r="V251" i="11"/>
  <c r="U251" i="11"/>
  <c r="V28" i="11"/>
  <c r="U28" i="11"/>
  <c r="V92" i="11"/>
  <c r="U92" i="11"/>
  <c r="V156" i="11"/>
  <c r="U156" i="11"/>
  <c r="V220" i="11"/>
  <c r="U220" i="11"/>
  <c r="V61" i="11"/>
  <c r="U61" i="11"/>
  <c r="V125" i="11"/>
  <c r="U125" i="11"/>
  <c r="V189" i="11"/>
  <c r="U189" i="11"/>
  <c r="V253" i="11"/>
  <c r="U253" i="11"/>
  <c r="V30" i="11"/>
  <c r="U30" i="11"/>
  <c r="V94" i="11"/>
  <c r="U94" i="11"/>
  <c r="V158" i="11"/>
  <c r="U158" i="11"/>
  <c r="V222" i="11"/>
  <c r="U222" i="11"/>
  <c r="U63" i="11"/>
  <c r="V63" i="11"/>
  <c r="V127" i="11"/>
  <c r="U127" i="11"/>
  <c r="V191" i="11"/>
  <c r="U191" i="11"/>
  <c r="U255" i="11"/>
  <c r="V255" i="11"/>
  <c r="V176" i="11"/>
  <c r="U176" i="11"/>
  <c r="U17" i="11"/>
  <c r="V17" i="11"/>
  <c r="V186" i="11"/>
  <c r="U186" i="11"/>
  <c r="V60" i="11"/>
  <c r="U60" i="11"/>
  <c r="H118" i="22" s="1"/>
  <c r="V221" i="11"/>
  <c r="U221" i="11"/>
  <c r="V95" i="11"/>
  <c r="U95" i="11"/>
  <c r="V56" i="11"/>
  <c r="U56" i="11"/>
  <c r="H120" i="22" s="1"/>
  <c r="V89" i="11"/>
  <c r="U89" i="11"/>
  <c r="U130" i="11"/>
  <c r="V130" i="11"/>
  <c r="V99" i="11"/>
  <c r="U99" i="11"/>
  <c r="V24" i="11"/>
  <c r="U24" i="11"/>
  <c r="V88" i="11"/>
  <c r="U88" i="11"/>
  <c r="V152" i="11"/>
  <c r="U152" i="11"/>
  <c r="V216" i="11"/>
  <c r="U216" i="11"/>
  <c r="V57" i="11"/>
  <c r="U57" i="11"/>
  <c r="H116" i="22" s="1"/>
  <c r="U121" i="11"/>
  <c r="V121" i="11"/>
  <c r="V185" i="11"/>
  <c r="U185" i="11"/>
  <c r="V249" i="11"/>
  <c r="U249" i="11"/>
  <c r="U34" i="11"/>
  <c r="V34" i="11"/>
  <c r="V98" i="11"/>
  <c r="U98" i="11"/>
  <c r="V162" i="11"/>
  <c r="U162" i="11"/>
  <c r="U226" i="11"/>
  <c r="V226" i="11"/>
  <c r="V67" i="11"/>
  <c r="U67" i="11"/>
  <c r="H126" i="22" s="1"/>
  <c r="V131" i="11"/>
  <c r="U131" i="11"/>
  <c r="V195" i="11"/>
  <c r="U195" i="11"/>
  <c r="V36" i="11"/>
  <c r="U36" i="11"/>
  <c r="V100" i="11"/>
  <c r="U100" i="11"/>
  <c r="V164" i="11"/>
  <c r="U164" i="11"/>
  <c r="V228" i="11"/>
  <c r="U228" i="11"/>
  <c r="V69" i="11"/>
  <c r="U69" i="11"/>
  <c r="V133" i="11"/>
  <c r="U133" i="11"/>
  <c r="V197" i="11"/>
  <c r="U197" i="11"/>
  <c r="V38" i="11"/>
  <c r="U38" i="11"/>
  <c r="V102" i="11"/>
  <c r="U102" i="11"/>
  <c r="V166" i="11"/>
  <c r="U166" i="11"/>
  <c r="V230" i="11"/>
  <c r="U230" i="11"/>
  <c r="V71" i="11"/>
  <c r="U71" i="11"/>
  <c r="V135" i="11"/>
  <c r="U135" i="11"/>
  <c r="V199" i="11"/>
  <c r="U199" i="11"/>
  <c r="V32" i="11"/>
  <c r="U32" i="11"/>
  <c r="V96" i="11"/>
  <c r="U96" i="11"/>
  <c r="V160" i="11"/>
  <c r="U160" i="11"/>
  <c r="V224" i="11"/>
  <c r="U224" i="11"/>
  <c r="V65" i="11"/>
  <c r="U65" i="11"/>
  <c r="V129" i="11"/>
  <c r="U129" i="11"/>
  <c r="V193" i="11"/>
  <c r="U193" i="11"/>
  <c r="V257" i="11"/>
  <c r="U257" i="11"/>
  <c r="U42" i="11"/>
  <c r="V42" i="11"/>
  <c r="U106" i="11"/>
  <c r="V106" i="11"/>
  <c r="U170" i="11"/>
  <c r="V170" i="11"/>
  <c r="U234" i="11"/>
  <c r="V234" i="11"/>
  <c r="V75" i="11"/>
  <c r="U75" i="11"/>
  <c r="V139" i="11"/>
  <c r="U139" i="11"/>
  <c r="V203" i="11"/>
  <c r="U203" i="11"/>
  <c r="V44" i="11"/>
  <c r="U44" i="11"/>
  <c r="V108" i="11"/>
  <c r="U108" i="11"/>
  <c r="V172" i="11"/>
  <c r="U172" i="11"/>
  <c r="V236" i="11"/>
  <c r="U236" i="11"/>
  <c r="V13" i="11"/>
  <c r="U13" i="11"/>
  <c r="V77" i="11"/>
  <c r="U77" i="11"/>
  <c r="V141" i="11"/>
  <c r="U141" i="11"/>
  <c r="V205" i="11"/>
  <c r="U205" i="11"/>
  <c r="V46" i="11"/>
  <c r="U46" i="11"/>
  <c r="V110" i="11"/>
  <c r="U110" i="11"/>
  <c r="V174" i="11"/>
  <c r="U174" i="11"/>
  <c r="V238" i="11"/>
  <c r="U238" i="11"/>
  <c r="V15" i="11"/>
  <c r="U15" i="11"/>
  <c r="V79" i="11"/>
  <c r="U79" i="11"/>
  <c r="V143" i="11"/>
  <c r="U143" i="11"/>
  <c r="V207" i="11"/>
  <c r="U207" i="11"/>
  <c r="V40" i="11"/>
  <c r="U40" i="11"/>
  <c r="V104" i="11"/>
  <c r="U104" i="11"/>
  <c r="V168" i="11"/>
  <c r="U168" i="11"/>
  <c r="V232" i="11"/>
  <c r="U232" i="11"/>
  <c r="V73" i="11"/>
  <c r="U73" i="11"/>
  <c r="V137" i="11"/>
  <c r="U137" i="11"/>
  <c r="V201" i="11"/>
  <c r="U201" i="11"/>
  <c r="V50" i="11"/>
  <c r="U50" i="11"/>
  <c r="H119" i="22" s="1"/>
  <c r="V114" i="11"/>
  <c r="U114" i="11"/>
  <c r="V178" i="11"/>
  <c r="U178" i="11"/>
  <c r="V242" i="11"/>
  <c r="U242" i="11"/>
  <c r="V19" i="11"/>
  <c r="U19" i="11"/>
  <c r="V83" i="11"/>
  <c r="U83" i="11"/>
  <c r="V147" i="11"/>
  <c r="U147" i="11"/>
  <c r="V211" i="11"/>
  <c r="U211" i="11"/>
  <c r="V52" i="11"/>
  <c r="U52" i="11"/>
  <c r="V116" i="11"/>
  <c r="U116" i="11"/>
  <c r="V180" i="11"/>
  <c r="U180" i="11"/>
  <c r="V244" i="11"/>
  <c r="U244" i="11"/>
  <c r="V21" i="11"/>
  <c r="U21" i="11"/>
  <c r="V85" i="11"/>
  <c r="U85" i="11"/>
  <c r="V149" i="11"/>
  <c r="U149" i="11"/>
  <c r="V213" i="11"/>
  <c r="U213" i="11"/>
  <c r="V54" i="11"/>
  <c r="U54" i="11"/>
  <c r="H121" i="22" s="1"/>
  <c r="V118" i="11"/>
  <c r="U118" i="11"/>
  <c r="V182" i="11"/>
  <c r="U182" i="11"/>
  <c r="V246" i="11"/>
  <c r="U246" i="11"/>
  <c r="V23" i="11"/>
  <c r="U23" i="11"/>
  <c r="V87" i="11"/>
  <c r="U87" i="11"/>
  <c r="V151" i="11"/>
  <c r="U151" i="11"/>
  <c r="V215" i="11"/>
  <c r="U215" i="11"/>
  <c r="Q53" i="57"/>
  <c r="T53" i="57" s="1"/>
  <c r="V145" i="11"/>
  <c r="U145" i="11"/>
  <c r="U250" i="11"/>
  <c r="V250" i="11"/>
  <c r="V27" i="11"/>
  <c r="U27" i="11"/>
  <c r="V188" i="11"/>
  <c r="U188" i="11"/>
  <c r="V126" i="11"/>
  <c r="U126" i="11"/>
  <c r="U31" i="11"/>
  <c r="V31" i="11"/>
  <c r="V48" i="11"/>
  <c r="U48" i="11"/>
  <c r="V209" i="11"/>
  <c r="U209" i="11"/>
  <c r="V155" i="11"/>
  <c r="U155" i="11"/>
  <c r="V93" i="11"/>
  <c r="U93" i="11"/>
  <c r="V254" i="11"/>
  <c r="U254" i="11"/>
  <c r="V223" i="11"/>
  <c r="U223" i="11"/>
  <c r="V184" i="11"/>
  <c r="U184" i="11"/>
  <c r="V217" i="11"/>
  <c r="U217" i="11"/>
  <c r="V35" i="11"/>
  <c r="U35" i="11"/>
  <c r="V196" i="11"/>
  <c r="U196" i="11"/>
  <c r="V229" i="11"/>
  <c r="U229" i="11"/>
  <c r="V39" i="11"/>
  <c r="U39" i="11"/>
  <c r="E54" i="57"/>
  <c r="K54" i="57"/>
  <c r="I54" i="57"/>
  <c r="H54" i="57"/>
  <c r="G54" i="57"/>
  <c r="D54" i="57"/>
  <c r="C54" i="57"/>
  <c r="M54" i="57" s="1"/>
  <c r="P54" i="57"/>
  <c r="F54" i="57"/>
  <c r="J54" i="57"/>
  <c r="V240" i="11"/>
  <c r="U240" i="11"/>
  <c r="V122" i="11"/>
  <c r="U122" i="11"/>
  <c r="U124" i="11"/>
  <c r="V124" i="11"/>
  <c r="V62" i="11"/>
  <c r="U62" i="11"/>
  <c r="H127" i="22" s="1"/>
  <c r="V159" i="11"/>
  <c r="U159" i="11"/>
  <c r="V25" i="11"/>
  <c r="U25" i="11"/>
  <c r="V66" i="11"/>
  <c r="U66" i="11"/>
  <c r="H129" i="22" s="1"/>
  <c r="V163" i="11"/>
  <c r="U163" i="11"/>
  <c r="V68" i="11"/>
  <c r="U68" i="11"/>
  <c r="H114" i="22" s="1"/>
  <c r="V37" i="11"/>
  <c r="U37" i="11"/>
  <c r="V70" i="11"/>
  <c r="U70" i="11"/>
  <c r="V103" i="11"/>
  <c r="U103" i="11"/>
  <c r="V64" i="11"/>
  <c r="U64" i="11"/>
  <c r="V128" i="11"/>
  <c r="U128" i="11"/>
  <c r="V192" i="11"/>
  <c r="U192" i="11"/>
  <c r="V256" i="11"/>
  <c r="U256" i="11"/>
  <c r="V33" i="11"/>
  <c r="U33" i="11"/>
  <c r="V97" i="11"/>
  <c r="U97" i="11"/>
  <c r="V161" i="11"/>
  <c r="U161" i="11"/>
  <c r="V225" i="11"/>
  <c r="U225" i="11"/>
  <c r="U74" i="11"/>
  <c r="V74" i="11"/>
  <c r="U138" i="11"/>
  <c r="V138" i="11"/>
  <c r="U202" i="11"/>
  <c r="V202" i="11"/>
  <c r="V43" i="11"/>
  <c r="U43" i="11"/>
  <c r="H107" i="22" s="1"/>
  <c r="V107" i="11"/>
  <c r="U107" i="11"/>
  <c r="V171" i="11"/>
  <c r="U171" i="11"/>
  <c r="V235" i="11"/>
  <c r="U235" i="11"/>
  <c r="V12" i="11"/>
  <c r="U12" i="11"/>
  <c r="V76" i="11"/>
  <c r="U76" i="11"/>
  <c r="V140" i="11"/>
  <c r="U140" i="11"/>
  <c r="V204" i="11"/>
  <c r="U204" i="11"/>
  <c r="V45" i="11"/>
  <c r="U45" i="11"/>
  <c r="V109" i="11"/>
  <c r="U109" i="11"/>
  <c r="V173" i="11"/>
  <c r="U173" i="11"/>
  <c r="V237" i="11"/>
  <c r="U237" i="11"/>
  <c r="V14" i="11"/>
  <c r="U14" i="11"/>
  <c r="V78" i="11"/>
  <c r="U78" i="11"/>
  <c r="V142" i="11"/>
  <c r="U142" i="11"/>
  <c r="V206" i="11"/>
  <c r="U206" i="11"/>
  <c r="V47" i="11"/>
  <c r="U47" i="11"/>
  <c r="V111" i="11"/>
  <c r="U111" i="11"/>
  <c r="V175" i="11"/>
  <c r="U175" i="11"/>
  <c r="V239" i="11"/>
  <c r="U239" i="11"/>
  <c r="V112" i="11"/>
  <c r="U112" i="11"/>
  <c r="V58" i="11"/>
  <c r="U58" i="11"/>
  <c r="H117" i="22" s="1"/>
  <c r="V219" i="11"/>
  <c r="U219" i="11"/>
  <c r="V157" i="11"/>
  <c r="U157" i="11"/>
  <c r="V248" i="11"/>
  <c r="U248" i="11"/>
  <c r="V258" i="11"/>
  <c r="U258" i="11"/>
  <c r="V101" i="11"/>
  <c r="U101" i="11"/>
  <c r="V134" i="11"/>
  <c r="U134" i="11"/>
  <c r="V231" i="11"/>
  <c r="U231" i="11"/>
  <c r="V72" i="11"/>
  <c r="U72" i="11"/>
  <c r="V136" i="11"/>
  <c r="U136" i="11"/>
  <c r="V200" i="11"/>
  <c r="U200" i="11"/>
  <c r="V41" i="11"/>
  <c r="U41" i="11"/>
  <c r="V105" i="11"/>
  <c r="U105" i="11"/>
  <c r="V169" i="11"/>
  <c r="U169" i="11"/>
  <c r="V233" i="11"/>
  <c r="U233" i="11"/>
  <c r="V18" i="11"/>
  <c r="U18" i="11"/>
  <c r="V82" i="11"/>
  <c r="U82" i="11"/>
  <c r="V146" i="11"/>
  <c r="U146" i="11"/>
  <c r="V210" i="11"/>
  <c r="U210" i="11"/>
  <c r="V51" i="11"/>
  <c r="U51" i="11"/>
  <c r="V115" i="11"/>
  <c r="U115" i="11"/>
  <c r="V179" i="11"/>
  <c r="U179" i="11"/>
  <c r="V243" i="11"/>
  <c r="U243" i="11"/>
  <c r="V20" i="11"/>
  <c r="U20" i="11"/>
  <c r="U84" i="11"/>
  <c r="V84" i="11"/>
  <c r="V148" i="11"/>
  <c r="U148" i="11"/>
  <c r="V212" i="11"/>
  <c r="U212" i="11"/>
  <c r="V53" i="11"/>
  <c r="U53" i="11"/>
  <c r="H122" i="22" s="1"/>
  <c r="V117" i="11"/>
  <c r="U117" i="11"/>
  <c r="V181" i="11"/>
  <c r="U181" i="11"/>
  <c r="V245" i="11"/>
  <c r="U245" i="11"/>
  <c r="V22" i="11"/>
  <c r="U22" i="11"/>
  <c r="V86" i="11"/>
  <c r="U86" i="11"/>
  <c r="V150" i="11"/>
  <c r="U150" i="11"/>
  <c r="V214" i="11"/>
  <c r="U214" i="11"/>
  <c r="V55" i="11"/>
  <c r="U55" i="11"/>
  <c r="H123" i="22" s="1"/>
  <c r="V119" i="11"/>
  <c r="U119" i="11"/>
  <c r="V183" i="11"/>
  <c r="U183" i="11"/>
  <c r="V247" i="11"/>
  <c r="U247" i="11"/>
  <c r="AK53" i="55" a="1"/>
  <c r="AK53" i="55" s="1"/>
  <c r="B55" i="57" s="1"/>
  <c r="O55" i="57" s="1"/>
  <c r="AE37" i="69"/>
  <c r="Q37" i="69"/>
  <c r="U37" i="69"/>
  <c r="R37" i="69"/>
  <c r="S37" i="69" s="1"/>
  <c r="Y37" i="69" s="1"/>
  <c r="D38" i="69"/>
  <c r="E38" i="69" s="1"/>
  <c r="F38" i="69" s="1"/>
  <c r="G38" i="69" s="1"/>
  <c r="H38" i="69" s="1"/>
  <c r="I38" i="69" s="1"/>
  <c r="J38" i="69" s="1"/>
  <c r="K38" i="69" s="1"/>
  <c r="M38" i="69" s="1"/>
  <c r="N38" i="69"/>
  <c r="AF38" i="69" s="1"/>
  <c r="C39" i="69"/>
  <c r="AN39" i="67" a="1"/>
  <c r="AN39" i="67" s="1"/>
  <c r="B40" i="69"/>
  <c r="B26" i="72"/>
  <c r="B25" i="72"/>
  <c r="B24" i="72"/>
  <c r="B23" i="72"/>
  <c r="B22" i="72"/>
  <c r="B21" i="72"/>
  <c r="B20" i="72"/>
  <c r="B19" i="72"/>
  <c r="B18" i="72"/>
  <c r="B17" i="72"/>
  <c r="AB52" i="57" l="1"/>
  <c r="AA52" i="57"/>
  <c r="AB37" i="69"/>
  <c r="AC37" i="69" s="1"/>
  <c r="AD37" i="69" s="1"/>
  <c r="AG37" i="69"/>
  <c r="L40" i="69"/>
  <c r="O40" i="69"/>
  <c r="AO39" i="69"/>
  <c r="P39" i="69"/>
  <c r="AB53" i="53"/>
  <c r="AA53" i="53"/>
  <c r="AF53" i="53"/>
  <c r="AE54" i="53"/>
  <c r="AC54" i="53"/>
  <c r="X53" i="57"/>
  <c r="AF52" i="57"/>
  <c r="AE54" i="57"/>
  <c r="AC54" i="57"/>
  <c r="R54" i="57"/>
  <c r="R54" i="53"/>
  <c r="X54" i="53" s="1"/>
  <c r="H109" i="22"/>
  <c r="H102" i="22"/>
  <c r="H104" i="22"/>
  <c r="H108" i="22"/>
  <c r="H115" i="22"/>
  <c r="V110" i="22"/>
  <c r="V113" i="22"/>
  <c r="V103" i="22"/>
  <c r="V100" i="22"/>
  <c r="H111" i="22"/>
  <c r="H103" i="22"/>
  <c r="H110" i="22"/>
  <c r="AX38" i="69"/>
  <c r="AG55" i="57"/>
  <c r="L55" i="57"/>
  <c r="AJ54" i="57"/>
  <c r="AP54" i="57"/>
  <c r="AG54" i="53"/>
  <c r="AH54" i="53"/>
  <c r="AT54" i="53"/>
  <c r="H105" i="22"/>
  <c r="N55" i="57"/>
  <c r="G55" i="53"/>
  <c r="N55" i="53"/>
  <c r="AH38" i="69"/>
  <c r="AD54" i="57"/>
  <c r="Q54" i="53"/>
  <c r="AD54" i="53"/>
  <c r="AK54" i="52" a="1"/>
  <c r="AK54" i="52" s="1"/>
  <c r="B56" i="53" s="1"/>
  <c r="O56" i="53" s="1"/>
  <c r="F55" i="53"/>
  <c r="H55" i="53"/>
  <c r="I55" i="53"/>
  <c r="C55" i="53"/>
  <c r="E55" i="53"/>
  <c r="K55" i="53"/>
  <c r="M55" i="53"/>
  <c r="P55" i="53"/>
  <c r="J55" i="53"/>
  <c r="L55" i="53"/>
  <c r="D55" i="53"/>
  <c r="P55" i="57"/>
  <c r="G55" i="57"/>
  <c r="K55" i="57"/>
  <c r="I55" i="57"/>
  <c r="C55" i="57"/>
  <c r="M55" i="57" s="1"/>
  <c r="E55" i="57"/>
  <c r="F55" i="57"/>
  <c r="J55" i="57"/>
  <c r="D55" i="57"/>
  <c r="H55" i="57"/>
  <c r="Q54" i="57"/>
  <c r="T54" i="57" s="1"/>
  <c r="AK54" i="55" a="1"/>
  <c r="AK54" i="55" s="1"/>
  <c r="B56" i="57" s="1"/>
  <c r="O56" i="57" s="1"/>
  <c r="AN40" i="67" a="1"/>
  <c r="AN40" i="67" s="1"/>
  <c r="B41" i="69"/>
  <c r="D39" i="69"/>
  <c r="E39" i="69" s="1"/>
  <c r="F39" i="69" s="1"/>
  <c r="G39" i="69" s="1"/>
  <c r="H39" i="69" s="1"/>
  <c r="I39" i="69" s="1"/>
  <c r="J39" i="69" s="1"/>
  <c r="K39" i="69" s="1"/>
  <c r="M39" i="69" s="1"/>
  <c r="N39" i="69"/>
  <c r="AF39" i="69" s="1"/>
  <c r="Q38" i="69"/>
  <c r="R38" i="69"/>
  <c r="S38" i="69" s="1"/>
  <c r="Y38" i="69" s="1"/>
  <c r="AE38" i="69"/>
  <c r="U38" i="69"/>
  <c r="C40" i="69"/>
  <c r="L15" i="29"/>
  <c r="AF53" i="57" l="1"/>
  <c r="AA53" i="57"/>
  <c r="X54" i="57"/>
  <c r="AA54" i="57" s="1"/>
  <c r="AB38" i="69"/>
  <c r="AC38" i="69" s="1"/>
  <c r="AD38" i="69" s="1"/>
  <c r="AG38" i="69"/>
  <c r="L41" i="69"/>
  <c r="O41" i="69"/>
  <c r="AO40" i="69"/>
  <c r="P40" i="69"/>
  <c r="AB54" i="53"/>
  <c r="AA54" i="53"/>
  <c r="AF54" i="53"/>
  <c r="AE55" i="53"/>
  <c r="AC55" i="53"/>
  <c r="AB53" i="57"/>
  <c r="AE55" i="57"/>
  <c r="AC55" i="57"/>
  <c r="R55" i="57"/>
  <c r="R55" i="53"/>
  <c r="X55" i="53" s="1"/>
  <c r="AX39" i="69"/>
  <c r="AG56" i="57"/>
  <c r="L56" i="57"/>
  <c r="AJ55" i="57"/>
  <c r="AP55" i="57"/>
  <c r="AG55" i="53"/>
  <c r="AH55" i="53"/>
  <c r="AT55" i="53"/>
  <c r="N56" i="57"/>
  <c r="F56" i="53"/>
  <c r="N56" i="53"/>
  <c r="AH39" i="69"/>
  <c r="AD55" i="57"/>
  <c r="AD55" i="53"/>
  <c r="Q55" i="53"/>
  <c r="AK55" i="52" a="1"/>
  <c r="AK55" i="52" s="1"/>
  <c r="B57" i="53" s="1"/>
  <c r="O57" i="53" s="1"/>
  <c r="M56" i="53"/>
  <c r="D56" i="53"/>
  <c r="L56" i="53"/>
  <c r="I56" i="53"/>
  <c r="C56" i="53"/>
  <c r="G56" i="53"/>
  <c r="E56" i="53"/>
  <c r="P56" i="53"/>
  <c r="H56" i="53"/>
  <c r="J56" i="53"/>
  <c r="K56" i="53"/>
  <c r="Q55" i="57"/>
  <c r="T55" i="57" s="1"/>
  <c r="I56" i="57"/>
  <c r="C56" i="57"/>
  <c r="M56" i="57" s="1"/>
  <c r="K56" i="57"/>
  <c r="J56" i="57"/>
  <c r="F56" i="57"/>
  <c r="E56" i="57"/>
  <c r="P56" i="57"/>
  <c r="H56" i="57"/>
  <c r="D56" i="57"/>
  <c r="G56" i="57"/>
  <c r="AK55" i="55" a="1"/>
  <c r="AK55" i="55" s="1"/>
  <c r="B57" i="57" s="1"/>
  <c r="O57" i="57" s="1"/>
  <c r="AN41" i="67" a="1"/>
  <c r="AN41" i="67" s="1"/>
  <c r="B42" i="69"/>
  <c r="C41" i="69"/>
  <c r="N40" i="69"/>
  <c r="AF40" i="69" s="1"/>
  <c r="D40" i="69"/>
  <c r="E40" i="69" s="1"/>
  <c r="F40" i="69" s="1"/>
  <c r="G40" i="69" s="1"/>
  <c r="H40" i="69" s="1"/>
  <c r="I40" i="69" s="1"/>
  <c r="J40" i="69" s="1"/>
  <c r="K40" i="69" s="1"/>
  <c r="M40" i="69" s="1"/>
  <c r="U39" i="69"/>
  <c r="Q39" i="69"/>
  <c r="R39" i="69"/>
  <c r="S39" i="69" s="1"/>
  <c r="Y39" i="69" s="1"/>
  <c r="AE39" i="69"/>
  <c r="AB54" i="57" l="1"/>
  <c r="AF54" i="57"/>
  <c r="AB39" i="69"/>
  <c r="AC39" i="69" s="1"/>
  <c r="AD39" i="69" s="1"/>
  <c r="AG39" i="69"/>
  <c r="AO41" i="69"/>
  <c r="P41" i="69"/>
  <c r="L42" i="69"/>
  <c r="O42" i="69"/>
  <c r="AB55" i="53"/>
  <c r="AA55" i="53"/>
  <c r="AE56" i="53"/>
  <c r="AC56" i="53"/>
  <c r="AF55" i="53"/>
  <c r="X55" i="57"/>
  <c r="AE56" i="57"/>
  <c r="AC56" i="57"/>
  <c r="R56" i="57"/>
  <c r="R56" i="53"/>
  <c r="X56" i="53" s="1"/>
  <c r="AX40" i="69"/>
  <c r="AG57" i="57"/>
  <c r="L57" i="57"/>
  <c r="AJ56" i="57"/>
  <c r="AP56" i="57"/>
  <c r="AG56" i="53"/>
  <c r="AH56" i="53"/>
  <c r="AT56" i="53"/>
  <c r="N57" i="57"/>
  <c r="C57" i="53"/>
  <c r="N57" i="53"/>
  <c r="AH40" i="69"/>
  <c r="AD56" i="57"/>
  <c r="Q56" i="53"/>
  <c r="AD56" i="53"/>
  <c r="H57" i="53"/>
  <c r="F57" i="53"/>
  <c r="K57" i="53"/>
  <c r="E57" i="53"/>
  <c r="L57" i="53"/>
  <c r="M57" i="53"/>
  <c r="J57" i="53"/>
  <c r="G57" i="53"/>
  <c r="AK56" i="52" a="1"/>
  <c r="AK56" i="52" s="1"/>
  <c r="B58" i="53" s="1"/>
  <c r="O58" i="53" s="1"/>
  <c r="D57" i="53"/>
  <c r="P57" i="53"/>
  <c r="I57" i="53"/>
  <c r="I57" i="57"/>
  <c r="E57" i="57"/>
  <c r="P57" i="57"/>
  <c r="D57" i="57"/>
  <c r="C57" i="57"/>
  <c r="M57" i="57" s="1"/>
  <c r="K57" i="57"/>
  <c r="H57" i="57"/>
  <c r="G57" i="57"/>
  <c r="F57" i="57"/>
  <c r="J57" i="57"/>
  <c r="Q56" i="57"/>
  <c r="T56" i="57" s="1"/>
  <c r="AK56" i="55" a="1"/>
  <c r="AK56" i="55" s="1"/>
  <c r="B58" i="57" s="1"/>
  <c r="O58" i="57" s="1"/>
  <c r="Q40" i="69"/>
  <c r="AE40" i="69"/>
  <c r="R40" i="69"/>
  <c r="S40" i="69" s="1"/>
  <c r="Y40" i="69" s="1"/>
  <c r="U40" i="69"/>
  <c r="D41" i="69"/>
  <c r="E41" i="69" s="1"/>
  <c r="F41" i="69" s="1"/>
  <c r="G41" i="69" s="1"/>
  <c r="H41" i="69" s="1"/>
  <c r="I41" i="69" s="1"/>
  <c r="J41" i="69" s="1"/>
  <c r="K41" i="69" s="1"/>
  <c r="M41" i="69" s="1"/>
  <c r="N41" i="69"/>
  <c r="AF41" i="69" s="1"/>
  <c r="C42" i="69"/>
  <c r="AN42" i="67" a="1"/>
  <c r="AN42" i="67" s="1"/>
  <c r="B43" i="69"/>
  <c r="B3" i="73"/>
  <c r="AB55" i="57" l="1"/>
  <c r="AA55" i="57"/>
  <c r="AB40" i="69"/>
  <c r="AC40" i="69" s="1"/>
  <c r="AD40" i="69" s="1"/>
  <c r="AG40" i="69"/>
  <c r="L43" i="69"/>
  <c r="O43" i="69"/>
  <c r="AO42" i="69"/>
  <c r="P42" i="69"/>
  <c r="AE57" i="53"/>
  <c r="AC57" i="53"/>
  <c r="AF56" i="53"/>
  <c r="AB56" i="53"/>
  <c r="AA56" i="53"/>
  <c r="X56" i="57"/>
  <c r="AA56" i="57" s="1"/>
  <c r="AF55" i="57"/>
  <c r="AE57" i="57"/>
  <c r="AC57" i="57"/>
  <c r="R57" i="57"/>
  <c r="R57" i="53"/>
  <c r="X57" i="53" s="1"/>
  <c r="AX41" i="69"/>
  <c r="AG58" i="57"/>
  <c r="L58" i="57"/>
  <c r="AJ57" i="57"/>
  <c r="AP57" i="57"/>
  <c r="AG57" i="53"/>
  <c r="AH57" i="53"/>
  <c r="AT57" i="53"/>
  <c r="N58" i="57"/>
  <c r="N58" i="53"/>
  <c r="AH41" i="69"/>
  <c r="AD57" i="57"/>
  <c r="AD57" i="53"/>
  <c r="Q57" i="53"/>
  <c r="K58" i="53"/>
  <c r="P58" i="53"/>
  <c r="I58" i="53"/>
  <c r="E58" i="53"/>
  <c r="H58" i="53"/>
  <c r="AK57" i="52" a="1"/>
  <c r="AK57" i="52" s="1"/>
  <c r="B59" i="53" s="1"/>
  <c r="O59" i="53" s="1"/>
  <c r="J58" i="53"/>
  <c r="M58" i="53"/>
  <c r="D58" i="53"/>
  <c r="L58" i="53"/>
  <c r="C58" i="53"/>
  <c r="G58" i="53"/>
  <c r="F58" i="53"/>
  <c r="Q57" i="57"/>
  <c r="T57" i="57" s="1"/>
  <c r="D58" i="57"/>
  <c r="G58" i="57"/>
  <c r="K58" i="57"/>
  <c r="F58" i="57"/>
  <c r="E58" i="57"/>
  <c r="I58" i="57"/>
  <c r="P58" i="57"/>
  <c r="C58" i="57"/>
  <c r="M58" i="57" s="1"/>
  <c r="H58" i="57"/>
  <c r="J58" i="57"/>
  <c r="AK57" i="55" a="1"/>
  <c r="AK57" i="55" s="1"/>
  <c r="B59" i="57" s="1"/>
  <c r="O59" i="57" s="1"/>
  <c r="C43" i="69"/>
  <c r="N42" i="69"/>
  <c r="AF42" i="69" s="1"/>
  <c r="D42" i="69"/>
  <c r="E42" i="69" s="1"/>
  <c r="F42" i="69" s="1"/>
  <c r="G42" i="69" s="1"/>
  <c r="H42" i="69" s="1"/>
  <c r="I42" i="69" s="1"/>
  <c r="J42" i="69" s="1"/>
  <c r="K42" i="69" s="1"/>
  <c r="M42" i="69" s="1"/>
  <c r="Q41" i="69"/>
  <c r="R41" i="69"/>
  <c r="S41" i="69" s="1"/>
  <c r="Y41" i="69" s="1"/>
  <c r="U41" i="69"/>
  <c r="AE41" i="69"/>
  <c r="AN43" i="67" a="1"/>
  <c r="AN43" i="67" s="1"/>
  <c r="B44" i="69"/>
  <c r="AB41" i="69" l="1"/>
  <c r="AC41" i="69" s="1"/>
  <c r="AD41" i="69" s="1"/>
  <c r="AG41" i="69"/>
  <c r="L44" i="69"/>
  <c r="O44" i="69"/>
  <c r="AO43" i="69"/>
  <c r="P43" i="69"/>
  <c r="AB57" i="53"/>
  <c r="AA57" i="53"/>
  <c r="AE58" i="53"/>
  <c r="AC58" i="53"/>
  <c r="AF57" i="53"/>
  <c r="AF56" i="57"/>
  <c r="AB56" i="57"/>
  <c r="X57" i="57"/>
  <c r="AE58" i="57"/>
  <c r="AC58" i="57"/>
  <c r="R58" i="57"/>
  <c r="R58" i="53"/>
  <c r="X58" i="53" s="1"/>
  <c r="AX42" i="69"/>
  <c r="AG59" i="57"/>
  <c r="L59" i="57"/>
  <c r="AJ58" i="57"/>
  <c r="AP58" i="57"/>
  <c r="AG58" i="53"/>
  <c r="AH58" i="53"/>
  <c r="AT58" i="53"/>
  <c r="N59" i="57"/>
  <c r="H59" i="53"/>
  <c r="N59" i="53"/>
  <c r="AH42" i="69"/>
  <c r="AD58" i="57"/>
  <c r="Q58" i="53"/>
  <c r="AD58" i="53"/>
  <c r="AK58" i="52" a="1"/>
  <c r="AK58" i="52" s="1"/>
  <c r="B60" i="53" s="1"/>
  <c r="O60" i="53" s="1"/>
  <c r="K59" i="53"/>
  <c r="P59" i="53"/>
  <c r="I59" i="53"/>
  <c r="C59" i="53"/>
  <c r="E59" i="53"/>
  <c r="M59" i="53"/>
  <c r="J59" i="53"/>
  <c r="L59" i="53"/>
  <c r="D59" i="53"/>
  <c r="G59" i="53"/>
  <c r="F59" i="53"/>
  <c r="Q58" i="57"/>
  <c r="T58" i="57" s="1"/>
  <c r="K59" i="57"/>
  <c r="G59" i="57"/>
  <c r="E59" i="57"/>
  <c r="P59" i="57"/>
  <c r="D59" i="57"/>
  <c r="C59" i="57"/>
  <c r="M59" i="57" s="1"/>
  <c r="I59" i="57"/>
  <c r="H59" i="57"/>
  <c r="F59" i="57"/>
  <c r="J59" i="57"/>
  <c r="AK58" i="55" a="1"/>
  <c r="AK58" i="55" s="1"/>
  <c r="B60" i="57" s="1"/>
  <c r="O60" i="57" s="1"/>
  <c r="C44" i="69"/>
  <c r="D43" i="69"/>
  <c r="E43" i="69" s="1"/>
  <c r="F43" i="69" s="1"/>
  <c r="G43" i="69" s="1"/>
  <c r="H43" i="69" s="1"/>
  <c r="I43" i="69" s="1"/>
  <c r="J43" i="69" s="1"/>
  <c r="K43" i="69" s="1"/>
  <c r="M43" i="69" s="1"/>
  <c r="N43" i="69"/>
  <c r="AF43" i="69" s="1"/>
  <c r="Q42" i="69"/>
  <c r="R42" i="69"/>
  <c r="S42" i="69" s="1"/>
  <c r="Y42" i="69" s="1"/>
  <c r="AE42" i="69"/>
  <c r="U42" i="69"/>
  <c r="AN44" i="67" a="1"/>
  <c r="AN44" i="67" s="1"/>
  <c r="B45" i="69"/>
  <c r="AB57" i="57" l="1"/>
  <c r="AA57" i="57"/>
  <c r="AB42" i="69"/>
  <c r="AC42" i="69" s="1"/>
  <c r="AD42" i="69" s="1"/>
  <c r="AG42" i="69"/>
  <c r="AO44" i="69"/>
  <c r="P44" i="69"/>
  <c r="L45" i="69"/>
  <c r="O45" i="69"/>
  <c r="X58" i="57"/>
  <c r="AA58" i="57" s="1"/>
  <c r="AB58" i="53"/>
  <c r="AA58" i="53"/>
  <c r="AE59" i="53"/>
  <c r="AC59" i="53"/>
  <c r="AF58" i="53"/>
  <c r="AF57" i="57"/>
  <c r="AE59" i="57"/>
  <c r="AC59" i="57"/>
  <c r="R59" i="57"/>
  <c r="R59" i="53"/>
  <c r="X59" i="53" s="1"/>
  <c r="AX43" i="69"/>
  <c r="AG60" i="57"/>
  <c r="L60" i="57"/>
  <c r="AJ59" i="57"/>
  <c r="AP59" i="57"/>
  <c r="AG59" i="53"/>
  <c r="AH59" i="53"/>
  <c r="AT59" i="53"/>
  <c r="N60" i="57"/>
  <c r="N60" i="53"/>
  <c r="AH43" i="69"/>
  <c r="AD59" i="57"/>
  <c r="Q59" i="53"/>
  <c r="AD59" i="53"/>
  <c r="J60" i="53"/>
  <c r="M60" i="53"/>
  <c r="K60" i="53"/>
  <c r="E60" i="53"/>
  <c r="F60" i="53"/>
  <c r="P60" i="53"/>
  <c r="I60" i="53"/>
  <c r="L60" i="53"/>
  <c r="C60" i="53"/>
  <c r="AK59" i="52" a="1"/>
  <c r="AK59" i="52" s="1"/>
  <c r="B61" i="53" s="1"/>
  <c r="O61" i="53" s="1"/>
  <c r="D60" i="53"/>
  <c r="H60" i="53"/>
  <c r="G60" i="53"/>
  <c r="K60" i="57"/>
  <c r="I60" i="57"/>
  <c r="F60" i="57"/>
  <c r="C60" i="57"/>
  <c r="M60" i="57" s="1"/>
  <c r="P60" i="57"/>
  <c r="H60" i="57"/>
  <c r="D60" i="57"/>
  <c r="G60" i="57"/>
  <c r="E60" i="57"/>
  <c r="J60" i="57"/>
  <c r="Q59" i="57"/>
  <c r="T59" i="57" s="1"/>
  <c r="AK59" i="55" a="1"/>
  <c r="AK59" i="55" s="1"/>
  <c r="B61" i="57" s="1"/>
  <c r="O61" i="57" s="1"/>
  <c r="Q43" i="69"/>
  <c r="R43" i="69"/>
  <c r="S43" i="69" s="1"/>
  <c r="Y43" i="69" s="1"/>
  <c r="AB43" i="69" s="1"/>
  <c r="AC43" i="69" s="1"/>
  <c r="AD43" i="69" s="1"/>
  <c r="U43" i="69"/>
  <c r="AE43" i="69"/>
  <c r="C45" i="69"/>
  <c r="AN45" i="67" a="1"/>
  <c r="AN45" i="67" s="1"/>
  <c r="B46" i="69"/>
  <c r="D44" i="69"/>
  <c r="E44" i="69" s="1"/>
  <c r="F44" i="69" s="1"/>
  <c r="G44" i="69" s="1"/>
  <c r="H44" i="69" s="1"/>
  <c r="I44" i="69" s="1"/>
  <c r="J44" i="69" s="1"/>
  <c r="K44" i="69" s="1"/>
  <c r="M44" i="69" s="1"/>
  <c r="N44" i="69"/>
  <c r="AF44" i="69" s="1"/>
  <c r="L46" i="69" l="1"/>
  <c r="O46" i="69"/>
  <c r="AO45" i="69"/>
  <c r="P45" i="69"/>
  <c r="AG43" i="69"/>
  <c r="AF58" i="57"/>
  <c r="AB58" i="57"/>
  <c r="AF59" i="53"/>
  <c r="AE60" i="53"/>
  <c r="AC60" i="53"/>
  <c r="AB59" i="53"/>
  <c r="AA59" i="53"/>
  <c r="X59" i="57"/>
  <c r="AA59" i="57" s="1"/>
  <c r="AC60" i="57"/>
  <c r="AE60" i="57"/>
  <c r="R60" i="57"/>
  <c r="R60" i="53"/>
  <c r="X60" i="53" s="1"/>
  <c r="AX44" i="69"/>
  <c r="L61" i="57"/>
  <c r="AG61" i="57"/>
  <c r="AJ60" i="57"/>
  <c r="AP60" i="57"/>
  <c r="AT60" i="53"/>
  <c r="AH60" i="53"/>
  <c r="AG60" i="53"/>
  <c r="N61" i="57"/>
  <c r="N61" i="53"/>
  <c r="AH44" i="69"/>
  <c r="AD60" i="57"/>
  <c r="AD60" i="53"/>
  <c r="Q60" i="53"/>
  <c r="AK60" i="52" a="1"/>
  <c r="AK60" i="52" s="1"/>
  <c r="B62" i="53" s="1"/>
  <c r="O62" i="53" s="1"/>
  <c r="H61" i="53"/>
  <c r="F61" i="53"/>
  <c r="I61" i="53"/>
  <c r="C61" i="53"/>
  <c r="L61" i="53"/>
  <c r="P61" i="53"/>
  <c r="K61" i="53"/>
  <c r="E61" i="53"/>
  <c r="D61" i="53"/>
  <c r="M61" i="53"/>
  <c r="J61" i="53"/>
  <c r="G61" i="53"/>
  <c r="G61" i="57"/>
  <c r="C61" i="57"/>
  <c r="M61" i="57" s="1"/>
  <c r="K61" i="57"/>
  <c r="I61" i="57"/>
  <c r="H61" i="57"/>
  <c r="E61" i="57"/>
  <c r="D61" i="57"/>
  <c r="P61" i="57"/>
  <c r="J61" i="57"/>
  <c r="F61" i="57"/>
  <c r="Q60" i="57"/>
  <c r="T60" i="57" s="1"/>
  <c r="AK60" i="55" a="1"/>
  <c r="AK60" i="55" s="1"/>
  <c r="B62" i="57" s="1"/>
  <c r="O62" i="57" s="1"/>
  <c r="R44" i="69"/>
  <c r="S44" i="69" s="1"/>
  <c r="Y44" i="69" s="1"/>
  <c r="U44" i="69"/>
  <c r="AE44" i="69"/>
  <c r="Q44" i="69"/>
  <c r="C46" i="69"/>
  <c r="AN46" i="67" a="1"/>
  <c r="AN46" i="67" s="1"/>
  <c r="B47" i="69"/>
  <c r="D45" i="69"/>
  <c r="E45" i="69" s="1"/>
  <c r="F45" i="69" s="1"/>
  <c r="G45" i="69" s="1"/>
  <c r="H45" i="69" s="1"/>
  <c r="I45" i="69" s="1"/>
  <c r="J45" i="69" s="1"/>
  <c r="K45" i="69" s="1"/>
  <c r="M45" i="69" s="1"/>
  <c r="N45" i="69"/>
  <c r="AF45" i="69" s="1"/>
  <c r="AB44" i="69" l="1"/>
  <c r="AC44" i="69" s="1"/>
  <c r="AD44" i="69" s="1"/>
  <c r="AG44" i="69"/>
  <c r="L47" i="69"/>
  <c r="O47" i="69"/>
  <c r="AO46" i="69"/>
  <c r="P46" i="69"/>
  <c r="AB60" i="53"/>
  <c r="AA60" i="53"/>
  <c r="AE61" i="53"/>
  <c r="AC61" i="53"/>
  <c r="AF60" i="53"/>
  <c r="AF59" i="57"/>
  <c r="AB59" i="57"/>
  <c r="X60" i="57"/>
  <c r="AE61" i="57"/>
  <c r="AC61" i="57"/>
  <c r="R61" i="57"/>
  <c r="R61" i="53"/>
  <c r="X61" i="53" s="1"/>
  <c r="AX45" i="69"/>
  <c r="AG62" i="57"/>
  <c r="L62" i="57"/>
  <c r="AJ61" i="57"/>
  <c r="AP61" i="57"/>
  <c r="AG61" i="53"/>
  <c r="AH61" i="53"/>
  <c r="AT61" i="53"/>
  <c r="N62" i="57"/>
  <c r="H62" i="53"/>
  <c r="N62" i="53"/>
  <c r="AH45" i="69"/>
  <c r="AD61" i="57"/>
  <c r="AD61" i="53"/>
  <c r="Q61" i="53"/>
  <c r="F62" i="53"/>
  <c r="E62" i="53"/>
  <c r="I62" i="53"/>
  <c r="C62" i="53"/>
  <c r="G62" i="53"/>
  <c r="K62" i="53"/>
  <c r="J62" i="53"/>
  <c r="AK61" i="52" a="1"/>
  <c r="AK61" i="52" s="1"/>
  <c r="B63" i="53" s="1"/>
  <c r="O63" i="53" s="1"/>
  <c r="L62" i="53"/>
  <c r="M62" i="53"/>
  <c r="P62" i="53"/>
  <c r="D62" i="53"/>
  <c r="Q61" i="57"/>
  <c r="T61" i="57" s="1"/>
  <c r="E62" i="57"/>
  <c r="J62" i="57"/>
  <c r="G62" i="57"/>
  <c r="C62" i="57"/>
  <c r="M62" i="57" s="1"/>
  <c r="K62" i="57"/>
  <c r="P62" i="57"/>
  <c r="F62" i="57"/>
  <c r="H62" i="57"/>
  <c r="D62" i="57"/>
  <c r="I62" i="57"/>
  <c r="AK61" i="55" a="1"/>
  <c r="AK61" i="55" s="1"/>
  <c r="B63" i="57" s="1"/>
  <c r="O63" i="57" s="1"/>
  <c r="AN47" i="67" a="1"/>
  <c r="AN47" i="67" s="1"/>
  <c r="B48" i="69"/>
  <c r="U45" i="69"/>
  <c r="R45" i="69"/>
  <c r="S45" i="69" s="1"/>
  <c r="Y45" i="69" s="1"/>
  <c r="Q45" i="69"/>
  <c r="AE45" i="69"/>
  <c r="C47" i="69"/>
  <c r="D46" i="69"/>
  <c r="E46" i="69" s="1"/>
  <c r="F46" i="69" s="1"/>
  <c r="G46" i="69" s="1"/>
  <c r="H46" i="69" s="1"/>
  <c r="I46" i="69" s="1"/>
  <c r="J46" i="69" s="1"/>
  <c r="K46" i="69" s="1"/>
  <c r="M46" i="69" s="1"/>
  <c r="N46" i="69"/>
  <c r="AF46" i="69" s="1"/>
  <c r="B147" i="72"/>
  <c r="C147" i="72"/>
  <c r="B144" i="72"/>
  <c r="C144" i="72"/>
  <c r="B145" i="72"/>
  <c r="C145" i="72"/>
  <c r="B146" i="72"/>
  <c r="C146" i="72"/>
  <c r="B137" i="72"/>
  <c r="C137" i="72"/>
  <c r="B138" i="72"/>
  <c r="C138" i="72"/>
  <c r="B139" i="72"/>
  <c r="C139" i="72"/>
  <c r="B141" i="72"/>
  <c r="C141" i="72"/>
  <c r="B142" i="72"/>
  <c r="C142" i="72"/>
  <c r="B143" i="72"/>
  <c r="C143" i="72"/>
  <c r="B124" i="72"/>
  <c r="C124" i="72"/>
  <c r="B125" i="72"/>
  <c r="C125" i="72"/>
  <c r="B126" i="72"/>
  <c r="C126" i="72"/>
  <c r="B127" i="72"/>
  <c r="C127" i="72"/>
  <c r="B129" i="72"/>
  <c r="C129" i="72"/>
  <c r="B133" i="72"/>
  <c r="B134" i="72"/>
  <c r="C134" i="72"/>
  <c r="B105" i="72"/>
  <c r="C105" i="72"/>
  <c r="B106" i="72"/>
  <c r="C106" i="72"/>
  <c r="B108" i="72"/>
  <c r="C108" i="72"/>
  <c r="B109" i="72"/>
  <c r="C109" i="72"/>
  <c r="B110" i="72"/>
  <c r="C110" i="72"/>
  <c r="B96" i="72"/>
  <c r="C96" i="72"/>
  <c r="B97" i="72"/>
  <c r="C97" i="72"/>
  <c r="B98" i="72"/>
  <c r="C98" i="72"/>
  <c r="B99" i="72"/>
  <c r="C99" i="72"/>
  <c r="B100" i="72"/>
  <c r="C100" i="72"/>
  <c r="B101" i="72"/>
  <c r="C101" i="72"/>
  <c r="B103" i="72"/>
  <c r="C103" i="72"/>
  <c r="B104" i="72"/>
  <c r="C104" i="72"/>
  <c r="B90" i="72"/>
  <c r="B92" i="72"/>
  <c r="C92" i="72"/>
  <c r="B93" i="72"/>
  <c r="C93" i="72"/>
  <c r="B94" i="72"/>
  <c r="C94" i="72"/>
  <c r="B95" i="72"/>
  <c r="C95" i="72"/>
  <c r="C89" i="72"/>
  <c r="B89" i="72"/>
  <c r="B70" i="72"/>
  <c r="C70" i="72"/>
  <c r="B42" i="72"/>
  <c r="C42" i="72"/>
  <c r="B43" i="72"/>
  <c r="C43" i="72"/>
  <c r="B44" i="72"/>
  <c r="C44" i="72"/>
  <c r="B45" i="72"/>
  <c r="C45" i="72"/>
  <c r="B46" i="72"/>
  <c r="C46" i="72"/>
  <c r="B47" i="72"/>
  <c r="C47" i="72"/>
  <c r="B48" i="72"/>
  <c r="C48" i="72"/>
  <c r="B49" i="72"/>
  <c r="C49" i="72"/>
  <c r="B50" i="72"/>
  <c r="C50" i="72"/>
  <c r="B51" i="72"/>
  <c r="C51" i="72"/>
  <c r="B52" i="72"/>
  <c r="C52" i="72"/>
  <c r="B53" i="72"/>
  <c r="C53" i="72"/>
  <c r="B54" i="72"/>
  <c r="C54" i="72"/>
  <c r="B55" i="72"/>
  <c r="C55" i="72"/>
  <c r="B56" i="72"/>
  <c r="C56" i="72"/>
  <c r="B57" i="72"/>
  <c r="C57" i="72"/>
  <c r="B58" i="72"/>
  <c r="C58" i="72"/>
  <c r="B59" i="72"/>
  <c r="C59" i="72"/>
  <c r="B60" i="72"/>
  <c r="C60" i="72"/>
  <c r="B61" i="72"/>
  <c r="C61" i="72"/>
  <c r="B63" i="72"/>
  <c r="C63" i="72"/>
  <c r="B64" i="72"/>
  <c r="C64" i="72"/>
  <c r="B65" i="72"/>
  <c r="C65" i="72"/>
  <c r="B66" i="72"/>
  <c r="C66" i="72"/>
  <c r="B67" i="72"/>
  <c r="C67" i="72"/>
  <c r="B68" i="72"/>
  <c r="C68" i="72"/>
  <c r="B69" i="72"/>
  <c r="C69" i="72"/>
  <c r="C41" i="72"/>
  <c r="B41" i="72"/>
  <c r="B14" i="72"/>
  <c r="B15" i="72"/>
  <c r="B16" i="72"/>
  <c r="C13" i="72"/>
  <c r="B13" i="72"/>
  <c r="AB60" i="57" l="1"/>
  <c r="AA60" i="57"/>
  <c r="AB45" i="69"/>
  <c r="AC45" i="69" s="1"/>
  <c r="AD45" i="69" s="1"/>
  <c r="AG45" i="69"/>
  <c r="AO47" i="69"/>
  <c r="P47" i="69"/>
  <c r="L48" i="69"/>
  <c r="O48" i="69"/>
  <c r="X61" i="57"/>
  <c r="AB61" i="53"/>
  <c r="AA61" i="53"/>
  <c r="AF61" i="53"/>
  <c r="AE62" i="53"/>
  <c r="AC62" i="53"/>
  <c r="AF60" i="57"/>
  <c r="AE62" i="57"/>
  <c r="AC62" i="57"/>
  <c r="R62" i="57"/>
  <c r="R62" i="53"/>
  <c r="X62" i="53" s="1"/>
  <c r="AX46" i="69"/>
  <c r="AG63" i="57"/>
  <c r="L63" i="57"/>
  <c r="AJ62" i="57"/>
  <c r="AP62" i="57"/>
  <c r="AG62" i="53"/>
  <c r="AH62" i="53"/>
  <c r="AT62" i="53"/>
  <c r="N63" i="57"/>
  <c r="P63" i="53"/>
  <c r="N63" i="53"/>
  <c r="AH46" i="69"/>
  <c r="AD62" i="57"/>
  <c r="Q62" i="53"/>
  <c r="AD62" i="53"/>
  <c r="AK62" i="52" a="1"/>
  <c r="AK62" i="52" s="1"/>
  <c r="B64" i="53" s="1"/>
  <c r="O64" i="53" s="1"/>
  <c r="J63" i="53"/>
  <c r="I63" i="53"/>
  <c r="C63" i="53"/>
  <c r="E63" i="53"/>
  <c r="G63" i="53"/>
  <c r="D63" i="53"/>
  <c r="H63" i="53"/>
  <c r="L63" i="53"/>
  <c r="F63" i="53"/>
  <c r="K63" i="53"/>
  <c r="M63" i="53"/>
  <c r="Q62" i="57"/>
  <c r="T62" i="57" s="1"/>
  <c r="P63" i="57"/>
  <c r="D63" i="57"/>
  <c r="K63" i="57"/>
  <c r="I63" i="57"/>
  <c r="H63" i="57"/>
  <c r="G63" i="57"/>
  <c r="E63" i="57"/>
  <c r="C63" i="57"/>
  <c r="M63" i="57" s="1"/>
  <c r="F63" i="57"/>
  <c r="J63" i="57"/>
  <c r="AK62" i="55" a="1"/>
  <c r="AK62" i="55" s="1"/>
  <c r="B64" i="57" s="1"/>
  <c r="O64" i="57" s="1"/>
  <c r="AN48" i="67" a="1"/>
  <c r="AN48" i="67" s="1"/>
  <c r="B49" i="69"/>
  <c r="Q46" i="69"/>
  <c r="R46" i="69"/>
  <c r="S46" i="69" s="1"/>
  <c r="Y46" i="69" s="1"/>
  <c r="AE46" i="69"/>
  <c r="U46" i="69"/>
  <c r="C48" i="69"/>
  <c r="D47" i="69"/>
  <c r="E47" i="69" s="1"/>
  <c r="F47" i="69" s="1"/>
  <c r="G47" i="69" s="1"/>
  <c r="H47" i="69" s="1"/>
  <c r="I47" i="69" s="1"/>
  <c r="J47" i="69" s="1"/>
  <c r="K47" i="69" s="1"/>
  <c r="M47" i="69" s="1"/>
  <c r="N47" i="69"/>
  <c r="AF47" i="69" s="1"/>
  <c r="AF61" i="57" l="1"/>
  <c r="AA61" i="57"/>
  <c r="AB46" i="69"/>
  <c r="AC46" i="69" s="1"/>
  <c r="AD46" i="69" s="1"/>
  <c r="AG46" i="69"/>
  <c r="AO48" i="69"/>
  <c r="P48" i="69"/>
  <c r="L49" i="69"/>
  <c r="O49" i="69"/>
  <c r="AB61" i="57"/>
  <c r="X62" i="57"/>
  <c r="AF62" i="53"/>
  <c r="AB62" i="53"/>
  <c r="AA62" i="53"/>
  <c r="AE63" i="53"/>
  <c r="AC63" i="53"/>
  <c r="AE63" i="57"/>
  <c r="AC63" i="57"/>
  <c r="R63" i="57"/>
  <c r="R63" i="53"/>
  <c r="X63" i="53" s="1"/>
  <c r="AX47" i="69"/>
  <c r="AG64" i="57"/>
  <c r="L64" i="57"/>
  <c r="AJ63" i="57"/>
  <c r="AP63" i="57"/>
  <c r="AG63" i="53"/>
  <c r="AH63" i="53"/>
  <c r="AT63" i="53"/>
  <c r="N64" i="57"/>
  <c r="P64" i="53"/>
  <c r="N64" i="53"/>
  <c r="AH47" i="69"/>
  <c r="AD63" i="57"/>
  <c r="Q63" i="53"/>
  <c r="AD63" i="53"/>
  <c r="G64" i="53"/>
  <c r="E64" i="53"/>
  <c r="C64" i="53"/>
  <c r="L64" i="53"/>
  <c r="M64" i="53"/>
  <c r="H64" i="53"/>
  <c r="AK63" i="52" a="1"/>
  <c r="AK63" i="52" s="1"/>
  <c r="B65" i="53" s="1"/>
  <c r="O65" i="53" s="1"/>
  <c r="F64" i="53"/>
  <c r="J64" i="53"/>
  <c r="I64" i="53"/>
  <c r="D64" i="53"/>
  <c r="K64" i="53"/>
  <c r="Q63" i="57"/>
  <c r="T63" i="57" s="1"/>
  <c r="E64" i="57"/>
  <c r="K64" i="57"/>
  <c r="J64" i="57"/>
  <c r="I64" i="57"/>
  <c r="F64" i="57"/>
  <c r="C64" i="57"/>
  <c r="M64" i="57" s="1"/>
  <c r="P64" i="57"/>
  <c r="H64" i="57"/>
  <c r="D64" i="57"/>
  <c r="G64" i="57"/>
  <c r="AK63" i="55" a="1"/>
  <c r="AK63" i="55" s="1"/>
  <c r="B65" i="57" s="1"/>
  <c r="O65" i="57" s="1"/>
  <c r="N48" i="69"/>
  <c r="AF48" i="69" s="1"/>
  <c r="D48" i="69"/>
  <c r="E48" i="69" s="1"/>
  <c r="F48" i="69" s="1"/>
  <c r="G48" i="69" s="1"/>
  <c r="H48" i="69" s="1"/>
  <c r="I48" i="69" s="1"/>
  <c r="J48" i="69" s="1"/>
  <c r="K48" i="69" s="1"/>
  <c r="M48" i="69" s="1"/>
  <c r="AE47" i="69"/>
  <c r="R47" i="69"/>
  <c r="S47" i="69" s="1"/>
  <c r="Y47" i="69" s="1"/>
  <c r="U47" i="69"/>
  <c r="Q47" i="69"/>
  <c r="C49" i="69"/>
  <c r="AN49" i="67" a="1"/>
  <c r="AN49" i="67" s="1"/>
  <c r="B50" i="69"/>
  <c r="M15" i="29"/>
  <c r="A93" i="22"/>
  <c r="B93" i="22"/>
  <c r="C93" i="22"/>
  <c r="A94" i="22"/>
  <c r="B94" i="22"/>
  <c r="C94" i="22"/>
  <c r="A95" i="22"/>
  <c r="F95" i="22" s="1"/>
  <c r="B95" i="22"/>
  <c r="C95" i="22"/>
  <c r="A96" i="22"/>
  <c r="F96" i="22" s="1"/>
  <c r="B96" i="22"/>
  <c r="C96" i="22"/>
  <c r="A97" i="22"/>
  <c r="F97" i="22" s="1"/>
  <c r="B97" i="22"/>
  <c r="C97" i="22"/>
  <c r="A98" i="22"/>
  <c r="F98" i="22" s="1"/>
  <c r="B98" i="22"/>
  <c r="C98" i="22"/>
  <c r="A99" i="22"/>
  <c r="F99" i="22" s="1"/>
  <c r="B99" i="22"/>
  <c r="C99" i="22"/>
  <c r="A5" i="22"/>
  <c r="F5" i="22" s="1"/>
  <c r="B5" i="22"/>
  <c r="C5" i="22"/>
  <c r="A6" i="22"/>
  <c r="F6" i="22" s="1"/>
  <c r="B6" i="22"/>
  <c r="C6" i="22"/>
  <c r="A7" i="22"/>
  <c r="F7" i="22" s="1"/>
  <c r="B7" i="22"/>
  <c r="C7" i="22"/>
  <c r="A8" i="22"/>
  <c r="B8" i="22"/>
  <c r="C8" i="22"/>
  <c r="A9" i="22"/>
  <c r="B9" i="22"/>
  <c r="C9" i="22"/>
  <c r="A10" i="22"/>
  <c r="F10" i="22" s="1"/>
  <c r="B10" i="22"/>
  <c r="C10" i="22"/>
  <c r="A11" i="22"/>
  <c r="B11" i="22"/>
  <c r="C11" i="22"/>
  <c r="A12" i="22"/>
  <c r="F12" i="22" s="1"/>
  <c r="B12" i="22"/>
  <c r="C12" i="22"/>
  <c r="A13" i="22"/>
  <c r="F13" i="22" s="1"/>
  <c r="B13" i="22"/>
  <c r="C13" i="22"/>
  <c r="A14" i="22"/>
  <c r="B14" i="22"/>
  <c r="C14" i="22"/>
  <c r="A15" i="22"/>
  <c r="B15" i="22"/>
  <c r="C15" i="22"/>
  <c r="A16" i="22"/>
  <c r="F16" i="22" s="1"/>
  <c r="B16" i="22"/>
  <c r="C16" i="22"/>
  <c r="A17" i="22"/>
  <c r="F17" i="22" s="1"/>
  <c r="B17" i="22"/>
  <c r="C17" i="22"/>
  <c r="A18" i="22"/>
  <c r="B18" i="22"/>
  <c r="C18" i="22"/>
  <c r="A19" i="22"/>
  <c r="B19" i="22"/>
  <c r="C19" i="22"/>
  <c r="A20" i="22"/>
  <c r="B20" i="22"/>
  <c r="C20" i="22"/>
  <c r="A21" i="22"/>
  <c r="F21" i="22" s="1"/>
  <c r="B21" i="22"/>
  <c r="C21" i="22"/>
  <c r="A22" i="22"/>
  <c r="F22" i="22" s="1"/>
  <c r="B22" i="22"/>
  <c r="C22" i="22"/>
  <c r="A23" i="22"/>
  <c r="B23" i="22"/>
  <c r="C23" i="22"/>
  <c r="A24" i="22"/>
  <c r="F24" i="22" s="1"/>
  <c r="B24" i="22"/>
  <c r="C24" i="22"/>
  <c r="A25" i="22"/>
  <c r="F25" i="22" s="1"/>
  <c r="B25" i="22"/>
  <c r="C25" i="22"/>
  <c r="A26" i="22"/>
  <c r="B26" i="22"/>
  <c r="C26" i="22"/>
  <c r="A27" i="22"/>
  <c r="F27" i="22" s="1"/>
  <c r="B27" i="22"/>
  <c r="C27" i="22"/>
  <c r="A28" i="22"/>
  <c r="B28" i="22"/>
  <c r="C28" i="22"/>
  <c r="A29" i="22"/>
  <c r="B29" i="22"/>
  <c r="C29" i="22"/>
  <c r="A30" i="22"/>
  <c r="F30" i="22" s="1"/>
  <c r="B30" i="22"/>
  <c r="C30" i="22"/>
  <c r="A31" i="22"/>
  <c r="F31" i="22" s="1"/>
  <c r="B31" i="22"/>
  <c r="C31" i="22"/>
  <c r="A32" i="22"/>
  <c r="F32" i="22" s="1"/>
  <c r="B32" i="22"/>
  <c r="C32" i="22"/>
  <c r="A33" i="22"/>
  <c r="F33" i="22" s="1"/>
  <c r="B33" i="22"/>
  <c r="C33" i="22"/>
  <c r="A34" i="22"/>
  <c r="B34" i="22"/>
  <c r="C34" i="22"/>
  <c r="A35" i="22"/>
  <c r="F35" i="22" s="1"/>
  <c r="B35" i="22"/>
  <c r="C35" i="22"/>
  <c r="A36" i="22"/>
  <c r="F36" i="22" s="1"/>
  <c r="B36" i="22"/>
  <c r="C36" i="22"/>
  <c r="A37" i="22"/>
  <c r="F37" i="22" s="1"/>
  <c r="B37" i="22"/>
  <c r="C37" i="22"/>
  <c r="A38" i="22"/>
  <c r="F38" i="22" s="1"/>
  <c r="B38" i="22"/>
  <c r="C38" i="22"/>
  <c r="A39" i="22"/>
  <c r="F39" i="22" s="1"/>
  <c r="B39" i="22"/>
  <c r="C39" i="22"/>
  <c r="A41" i="22"/>
  <c r="F41" i="22" s="1"/>
  <c r="B41" i="22"/>
  <c r="C41" i="22"/>
  <c r="A42" i="22"/>
  <c r="F42" i="22" s="1"/>
  <c r="B42" i="22"/>
  <c r="C42" i="22"/>
  <c r="A43" i="22"/>
  <c r="F43" i="22" s="1"/>
  <c r="B43" i="22"/>
  <c r="C43" i="22"/>
  <c r="A44" i="22"/>
  <c r="F44" i="22" s="1"/>
  <c r="B44" i="22"/>
  <c r="C44" i="22"/>
  <c r="A45" i="22"/>
  <c r="F45" i="22" s="1"/>
  <c r="B45" i="22"/>
  <c r="C45" i="22"/>
  <c r="A46" i="22"/>
  <c r="B46" i="22"/>
  <c r="C46" i="22"/>
  <c r="A47" i="22"/>
  <c r="F47" i="22" s="1"/>
  <c r="B47" i="22"/>
  <c r="C47" i="22"/>
  <c r="A48" i="22"/>
  <c r="F48" i="22" s="1"/>
  <c r="B48" i="22"/>
  <c r="C48" i="22"/>
  <c r="A49" i="22"/>
  <c r="F49" i="22" s="1"/>
  <c r="B49" i="22"/>
  <c r="C49" i="22"/>
  <c r="A50" i="22"/>
  <c r="F50" i="22" s="1"/>
  <c r="B50" i="22"/>
  <c r="C50" i="22"/>
  <c r="A51" i="22"/>
  <c r="F51" i="22" s="1"/>
  <c r="B51" i="22"/>
  <c r="C51" i="22"/>
  <c r="A52" i="22"/>
  <c r="F52" i="22" s="1"/>
  <c r="B52" i="22"/>
  <c r="C52" i="22"/>
  <c r="A53" i="22"/>
  <c r="B53" i="22"/>
  <c r="C53" i="22"/>
  <c r="A54" i="22"/>
  <c r="F54" i="22" s="1"/>
  <c r="B54" i="22"/>
  <c r="C54" i="22"/>
  <c r="A55" i="22"/>
  <c r="F55" i="22" s="1"/>
  <c r="B55" i="22"/>
  <c r="C55" i="22"/>
  <c r="A56" i="22"/>
  <c r="F56" i="22" s="1"/>
  <c r="B56" i="22"/>
  <c r="C56" i="22"/>
  <c r="A57" i="22"/>
  <c r="B57" i="22"/>
  <c r="C57" i="22"/>
  <c r="A58" i="22"/>
  <c r="F58" i="22" s="1"/>
  <c r="B58" i="22"/>
  <c r="C58" i="22"/>
  <c r="A40" i="22"/>
  <c r="F40" i="22" s="1"/>
  <c r="B40" i="22"/>
  <c r="C40" i="22"/>
  <c r="A59" i="22"/>
  <c r="F59" i="22" s="1"/>
  <c r="B59" i="22"/>
  <c r="C59" i="22"/>
  <c r="A60" i="22"/>
  <c r="B60" i="22"/>
  <c r="C60" i="22"/>
  <c r="A61" i="22"/>
  <c r="B61" i="22"/>
  <c r="C61" i="22"/>
  <c r="A62" i="22"/>
  <c r="F62" i="22" s="1"/>
  <c r="B62" i="22"/>
  <c r="C62" i="22"/>
  <c r="A63" i="22"/>
  <c r="F63" i="22" s="1"/>
  <c r="B63" i="22"/>
  <c r="C63" i="22"/>
  <c r="A64" i="22"/>
  <c r="B64" i="22"/>
  <c r="C64" i="22"/>
  <c r="A65" i="22"/>
  <c r="B65" i="22"/>
  <c r="C65" i="22"/>
  <c r="A66" i="22"/>
  <c r="F66" i="22" s="1"/>
  <c r="B66" i="22"/>
  <c r="C66" i="22"/>
  <c r="A67" i="22"/>
  <c r="F67" i="22" s="1"/>
  <c r="B67" i="22"/>
  <c r="C67" i="22"/>
  <c r="A68" i="22"/>
  <c r="F68" i="22" s="1"/>
  <c r="B68" i="22"/>
  <c r="C68" i="22"/>
  <c r="A69" i="22"/>
  <c r="B69" i="22"/>
  <c r="C69" i="22"/>
  <c r="A70" i="22"/>
  <c r="F70" i="22" s="1"/>
  <c r="B70" i="22"/>
  <c r="C70" i="22"/>
  <c r="A71" i="22"/>
  <c r="B71" i="22"/>
  <c r="C71" i="22"/>
  <c r="A72" i="22"/>
  <c r="F72" i="22" s="1"/>
  <c r="B72" i="22"/>
  <c r="C72" i="22"/>
  <c r="A73" i="22"/>
  <c r="B73" i="22"/>
  <c r="C73" i="22"/>
  <c r="A74" i="22"/>
  <c r="B74" i="22"/>
  <c r="C74" i="22"/>
  <c r="A75" i="22"/>
  <c r="F75" i="22" s="1"/>
  <c r="B75" i="22"/>
  <c r="C75" i="22"/>
  <c r="A76" i="22"/>
  <c r="F76" i="22" s="1"/>
  <c r="B76" i="22"/>
  <c r="C76" i="22"/>
  <c r="A77" i="22"/>
  <c r="B77" i="22"/>
  <c r="C77" i="22"/>
  <c r="A78" i="22"/>
  <c r="F78" i="22" s="1"/>
  <c r="B78" i="22"/>
  <c r="C78" i="22"/>
  <c r="A79" i="22"/>
  <c r="F79" i="22" s="1"/>
  <c r="B79" i="22"/>
  <c r="C79" i="22"/>
  <c r="A80" i="22"/>
  <c r="F80" i="22" s="1"/>
  <c r="B80" i="22"/>
  <c r="C80" i="22"/>
  <c r="A81" i="22"/>
  <c r="F81" i="22" s="1"/>
  <c r="B81" i="22"/>
  <c r="C81" i="22"/>
  <c r="A82" i="22"/>
  <c r="F82" i="22" s="1"/>
  <c r="B82" i="22"/>
  <c r="C82" i="22"/>
  <c r="A83" i="22"/>
  <c r="F83" i="22" s="1"/>
  <c r="B83" i="22"/>
  <c r="C83" i="22"/>
  <c r="A84" i="22"/>
  <c r="B84" i="22"/>
  <c r="C84" i="22"/>
  <c r="A85" i="22"/>
  <c r="B85" i="22"/>
  <c r="C85" i="22"/>
  <c r="A86" i="22"/>
  <c r="F86" i="22" s="1"/>
  <c r="B86" i="22"/>
  <c r="C86" i="22"/>
  <c r="A87" i="22"/>
  <c r="B87" i="22"/>
  <c r="C87" i="22"/>
  <c r="A88" i="22"/>
  <c r="F88" i="22" s="1"/>
  <c r="B88" i="22"/>
  <c r="C88" i="22"/>
  <c r="A89" i="22"/>
  <c r="F89" i="22" s="1"/>
  <c r="B89" i="22"/>
  <c r="C89" i="22"/>
  <c r="A90" i="22"/>
  <c r="F90" i="22" s="1"/>
  <c r="B90" i="22"/>
  <c r="C90" i="22"/>
  <c r="A91" i="22"/>
  <c r="B91" i="22"/>
  <c r="C91" i="22"/>
  <c r="A92" i="22"/>
  <c r="F92" i="22" s="1"/>
  <c r="B92" i="22"/>
  <c r="C92" i="22"/>
  <c r="C4" i="22"/>
  <c r="B4" i="22"/>
  <c r="A4" i="22"/>
  <c r="AB62" i="57" l="1"/>
  <c r="AA62" i="57"/>
  <c r="AB47" i="69"/>
  <c r="AC47" i="69" s="1"/>
  <c r="AD47" i="69" s="1"/>
  <c r="AG47" i="69"/>
  <c r="L50" i="69"/>
  <c r="O50" i="69"/>
  <c r="AO49" i="69"/>
  <c r="P49" i="69"/>
  <c r="U4" i="22"/>
  <c r="S4" i="22"/>
  <c r="X63" i="57"/>
  <c r="AF62" i="57"/>
  <c r="AB63" i="53"/>
  <c r="AA63" i="53"/>
  <c r="AF63" i="53"/>
  <c r="AE64" i="53"/>
  <c r="AC64" i="53"/>
  <c r="AC64" i="57"/>
  <c r="AE64" i="57"/>
  <c r="R64" i="57"/>
  <c r="R64" i="53"/>
  <c r="X64" i="53" s="1"/>
  <c r="E71" i="22"/>
  <c r="S71" i="22"/>
  <c r="E56" i="22"/>
  <c r="S56" i="22"/>
  <c r="S48" i="22"/>
  <c r="E48" i="22"/>
  <c r="S39" i="22"/>
  <c r="E39" i="22"/>
  <c r="E31" i="22"/>
  <c r="S31" i="22"/>
  <c r="E23" i="22"/>
  <c r="S23" i="22"/>
  <c r="E15" i="22"/>
  <c r="S15" i="22"/>
  <c r="S8" i="22"/>
  <c r="E8" i="22"/>
  <c r="S95" i="22"/>
  <c r="E95" i="22"/>
  <c r="S88" i="22"/>
  <c r="E88" i="22"/>
  <c r="E90" i="22"/>
  <c r="S90" i="22"/>
  <c r="S82" i="22"/>
  <c r="E82" i="22"/>
  <c r="E4" i="22"/>
  <c r="S87" i="22"/>
  <c r="E87" i="22"/>
  <c r="S63" i="22"/>
  <c r="E63" i="22"/>
  <c r="E92" i="22"/>
  <c r="S92" i="22"/>
  <c r="E84" i="22"/>
  <c r="S84" i="22"/>
  <c r="S76" i="22"/>
  <c r="E76" i="22"/>
  <c r="S68" i="22"/>
  <c r="E68" i="22"/>
  <c r="E60" i="22"/>
  <c r="S60" i="22"/>
  <c r="S53" i="22"/>
  <c r="E53" i="22"/>
  <c r="S45" i="22"/>
  <c r="E45" i="22"/>
  <c r="S36" i="22"/>
  <c r="E36" i="22"/>
  <c r="S28" i="22"/>
  <c r="E28" i="22"/>
  <c r="S20" i="22"/>
  <c r="E20" i="22"/>
  <c r="S12" i="22"/>
  <c r="E12" i="22"/>
  <c r="S5" i="22"/>
  <c r="E5" i="22"/>
  <c r="E79" i="22"/>
  <c r="S79" i="22"/>
  <c r="S89" i="22"/>
  <c r="E89" i="22"/>
  <c r="E81" i="22"/>
  <c r="S81" i="22"/>
  <c r="S73" i="22"/>
  <c r="E73" i="22"/>
  <c r="E65" i="22"/>
  <c r="S65" i="22"/>
  <c r="E58" i="22"/>
  <c r="S58" i="22"/>
  <c r="S50" i="22"/>
  <c r="E50" i="22"/>
  <c r="S42" i="22"/>
  <c r="E42" i="22"/>
  <c r="S33" i="22"/>
  <c r="E33" i="22"/>
  <c r="S25" i="22"/>
  <c r="E25" i="22"/>
  <c r="E17" i="22"/>
  <c r="S17" i="22"/>
  <c r="S9" i="22"/>
  <c r="E9" i="22"/>
  <c r="S97" i="22"/>
  <c r="E97" i="22"/>
  <c r="E86" i="22"/>
  <c r="S86" i="22"/>
  <c r="E78" i="22"/>
  <c r="S78" i="22"/>
  <c r="E70" i="22"/>
  <c r="S70" i="22"/>
  <c r="E62" i="22"/>
  <c r="S62" i="22"/>
  <c r="E55" i="22"/>
  <c r="S55" i="22"/>
  <c r="S47" i="22"/>
  <c r="E47" i="22"/>
  <c r="S38" i="22"/>
  <c r="E38" i="22"/>
  <c r="E30" i="22"/>
  <c r="S30" i="22"/>
  <c r="E22" i="22"/>
  <c r="S22" i="22"/>
  <c r="E14" i="22"/>
  <c r="S14" i="22"/>
  <c r="E7" i="22"/>
  <c r="S7" i="22"/>
  <c r="S94" i="22"/>
  <c r="E94" i="22"/>
  <c r="AW97" i="22" s="1"/>
  <c r="E91" i="22"/>
  <c r="S91" i="22"/>
  <c r="E83" i="22"/>
  <c r="S83" i="22"/>
  <c r="E75" i="22"/>
  <c r="S75" i="22"/>
  <c r="S67" i="22"/>
  <c r="E67" i="22"/>
  <c r="S59" i="22"/>
  <c r="E59" i="22"/>
  <c r="E52" i="22"/>
  <c r="S52" i="22"/>
  <c r="S44" i="22"/>
  <c r="E44" i="22"/>
  <c r="S35" i="22"/>
  <c r="E35" i="22"/>
  <c r="E27" i="22"/>
  <c r="S27" i="22"/>
  <c r="S19" i="22"/>
  <c r="E19" i="22"/>
  <c r="S11" i="22"/>
  <c r="E11" i="22"/>
  <c r="S99" i="22"/>
  <c r="E99" i="22"/>
  <c r="AW19" i="22" s="1"/>
  <c r="S80" i="22"/>
  <c r="E80" i="22"/>
  <c r="E72" i="22"/>
  <c r="S72" i="22"/>
  <c r="E64" i="22"/>
  <c r="S64" i="22"/>
  <c r="E57" i="22"/>
  <c r="S57" i="22"/>
  <c r="E49" i="22"/>
  <c r="S49" i="22"/>
  <c r="S41" i="22"/>
  <c r="E41" i="22"/>
  <c r="S32" i="22"/>
  <c r="E32" i="22"/>
  <c r="E24" i="22"/>
  <c r="S24" i="22"/>
  <c r="E16" i="22"/>
  <c r="S16" i="22"/>
  <c r="E96" i="22"/>
  <c r="S96" i="22"/>
  <c r="E85" i="22"/>
  <c r="S85" i="22"/>
  <c r="E77" i="22"/>
  <c r="S77" i="22"/>
  <c r="E69" i="22"/>
  <c r="S69" i="22"/>
  <c r="E61" i="22"/>
  <c r="AW146" i="22" s="1"/>
  <c r="S61" i="22"/>
  <c r="S54" i="22"/>
  <c r="E54" i="22"/>
  <c r="S46" i="22"/>
  <c r="E46" i="22"/>
  <c r="S37" i="22"/>
  <c r="E37" i="22"/>
  <c r="S29" i="22"/>
  <c r="E29" i="22"/>
  <c r="S21" i="22"/>
  <c r="E21" i="22"/>
  <c r="S13" i="22"/>
  <c r="E13" i="22"/>
  <c r="S6" i="22"/>
  <c r="E6" i="22"/>
  <c r="E93" i="22"/>
  <c r="AW96" i="22" s="1"/>
  <c r="S93" i="22"/>
  <c r="S74" i="22"/>
  <c r="E74" i="22"/>
  <c r="S66" i="22"/>
  <c r="E66" i="22"/>
  <c r="S40" i="22"/>
  <c r="E40" i="22"/>
  <c r="S51" i="22"/>
  <c r="E51" i="22"/>
  <c r="S43" i="22"/>
  <c r="E43" i="22"/>
  <c r="E34" i="22"/>
  <c r="S34" i="22"/>
  <c r="S26" i="22"/>
  <c r="E26" i="22"/>
  <c r="S18" i="22"/>
  <c r="E18" i="22"/>
  <c r="E10" i="22"/>
  <c r="S10" i="22"/>
  <c r="E98" i="22"/>
  <c r="S98" i="22"/>
  <c r="AW69" i="22"/>
  <c r="AW68" i="22"/>
  <c r="AW64" i="22"/>
  <c r="AW60" i="22"/>
  <c r="AW67" i="22"/>
  <c r="AW63" i="22"/>
  <c r="AW70" i="22"/>
  <c r="AW66" i="22"/>
  <c r="AW62" i="22"/>
  <c r="AW65" i="22"/>
  <c r="AW61" i="22"/>
  <c r="BG24" i="22"/>
  <c r="AW24" i="22"/>
  <c r="D16" i="22"/>
  <c r="P87" i="11"/>
  <c r="Q87" i="11" s="1"/>
  <c r="U29" i="22"/>
  <c r="U13" i="22"/>
  <c r="U22" i="22"/>
  <c r="U15" i="22"/>
  <c r="U8" i="22"/>
  <c r="U20" i="22"/>
  <c r="U19" i="22"/>
  <c r="AW100" i="22"/>
  <c r="AX48" i="69"/>
  <c r="AG65" i="57"/>
  <c r="L65" i="57"/>
  <c r="AJ64" i="57"/>
  <c r="AP64" i="57"/>
  <c r="AG64" i="53"/>
  <c r="Q64" i="53"/>
  <c r="AH64" i="53"/>
  <c r="AT64" i="53"/>
  <c r="N65" i="57"/>
  <c r="I65" i="53"/>
  <c r="N65" i="53"/>
  <c r="AH48" i="69"/>
  <c r="AD64" i="57"/>
  <c r="AD64" i="53"/>
  <c r="AK64" i="52" a="1"/>
  <c r="AK64" i="52" s="1"/>
  <c r="B66" i="53" s="1"/>
  <c r="O66" i="53" s="1"/>
  <c r="J65" i="53"/>
  <c r="E65" i="53"/>
  <c r="H65" i="53"/>
  <c r="M65" i="53"/>
  <c r="G65" i="53"/>
  <c r="P65" i="53"/>
  <c r="D65" i="53"/>
  <c r="C65" i="53"/>
  <c r="K65" i="53"/>
  <c r="L65" i="53"/>
  <c r="F65" i="53"/>
  <c r="Q64" i="57"/>
  <c r="T64" i="57" s="1"/>
  <c r="G65" i="57"/>
  <c r="C65" i="57"/>
  <c r="M65" i="57" s="1"/>
  <c r="K65" i="57"/>
  <c r="I65" i="57"/>
  <c r="H65" i="57"/>
  <c r="E65" i="57"/>
  <c r="D65" i="57"/>
  <c r="P65" i="57"/>
  <c r="F65" i="57"/>
  <c r="J65" i="57"/>
  <c r="AW135" i="22"/>
  <c r="AW99" i="22"/>
  <c r="AW98" i="22"/>
  <c r="AK16" i="22"/>
  <c r="C51" i="36" s="1"/>
  <c r="AK32" i="22"/>
  <c r="C70" i="36" s="1"/>
  <c r="AK64" i="55" a="1"/>
  <c r="AK64" i="55" s="1"/>
  <c r="B66" i="57" s="1"/>
  <c r="O66" i="57" s="1"/>
  <c r="D49" i="69"/>
  <c r="E49" i="69" s="1"/>
  <c r="F49" i="69" s="1"/>
  <c r="G49" i="69" s="1"/>
  <c r="H49" i="69" s="1"/>
  <c r="I49" i="69" s="1"/>
  <c r="J49" i="69" s="1"/>
  <c r="K49" i="69" s="1"/>
  <c r="M49" i="69" s="1"/>
  <c r="N49" i="69"/>
  <c r="AF49" i="69" s="1"/>
  <c r="C50" i="69"/>
  <c r="AN50" i="67" a="1"/>
  <c r="AN50" i="67" s="1"/>
  <c r="B51" i="69"/>
  <c r="AE48" i="69"/>
  <c r="Q48" i="69"/>
  <c r="R48" i="69"/>
  <c r="S48" i="69" s="1"/>
  <c r="Y48" i="69" s="1"/>
  <c r="U48" i="69"/>
  <c r="V94" i="22"/>
  <c r="U94" i="22"/>
  <c r="V48" i="22"/>
  <c r="U48" i="22"/>
  <c r="U78" i="22"/>
  <c r="V78" i="22"/>
  <c r="U58" i="22"/>
  <c r="V58" i="22"/>
  <c r="U42" i="22"/>
  <c r="V42" i="22"/>
  <c r="AK29" i="22"/>
  <c r="C67" i="36" s="1"/>
  <c r="AK31" i="22"/>
  <c r="C69" i="36" s="1"/>
  <c r="AK28" i="22"/>
  <c r="C66" i="36" s="1"/>
  <c r="AK30" i="22"/>
  <c r="C68" i="36" s="1"/>
  <c r="V21" i="22"/>
  <c r="U21" i="22"/>
  <c r="U6" i="22"/>
  <c r="U85" i="22"/>
  <c r="U65" i="22"/>
  <c r="U34" i="22"/>
  <c r="G98" i="22"/>
  <c r="V98" i="22"/>
  <c r="U98" i="22"/>
  <c r="V90" i="22"/>
  <c r="U90" i="22"/>
  <c r="V82" i="22"/>
  <c r="U82" i="22"/>
  <c r="V75" i="22"/>
  <c r="U75" i="22"/>
  <c r="V70" i="22"/>
  <c r="U70" i="22"/>
  <c r="V62" i="22"/>
  <c r="U62" i="22"/>
  <c r="V55" i="22"/>
  <c r="U55" i="22"/>
  <c r="U87" i="22"/>
  <c r="V87" i="22"/>
  <c r="U79" i="22"/>
  <c r="V79" i="22"/>
  <c r="U67" i="22"/>
  <c r="V67" i="22"/>
  <c r="U59" i="22"/>
  <c r="U52" i="22"/>
  <c r="V52" i="22"/>
  <c r="V36" i="22"/>
  <c r="U36" i="22"/>
  <c r="V5" i="22"/>
  <c r="U5" i="22"/>
  <c r="V45" i="22"/>
  <c r="U45" i="22"/>
  <c r="V26" i="22"/>
  <c r="U26" i="22"/>
  <c r="U18" i="22"/>
  <c r="U10" i="22"/>
  <c r="V47" i="22"/>
  <c r="U47" i="22"/>
  <c r="V39" i="22"/>
  <c r="U39" i="22"/>
  <c r="U31" i="22"/>
  <c r="V23" i="22"/>
  <c r="U23" i="22"/>
  <c r="V95" i="22"/>
  <c r="U95" i="22"/>
  <c r="U93" i="22"/>
  <c r="V93" i="22"/>
  <c r="U92" i="22"/>
  <c r="V92" i="22"/>
  <c r="U84" i="22"/>
  <c r="V84" i="22"/>
  <c r="U77" i="22"/>
  <c r="V77" i="22"/>
  <c r="U71" i="22"/>
  <c r="V71" i="22"/>
  <c r="U64" i="22"/>
  <c r="V64" i="22"/>
  <c r="U57" i="22"/>
  <c r="V57" i="22"/>
  <c r="U49" i="22"/>
  <c r="V49" i="22"/>
  <c r="U41" i="22"/>
  <c r="V41" i="22"/>
  <c r="U33" i="22"/>
  <c r="U25" i="22"/>
  <c r="V25" i="22"/>
  <c r="U17" i="22"/>
  <c r="U9" i="22"/>
  <c r="K97" i="22"/>
  <c r="V97" i="22"/>
  <c r="U97" i="22"/>
  <c r="V91" i="22"/>
  <c r="U91" i="22"/>
  <c r="V83" i="22"/>
  <c r="U83" i="22"/>
  <c r="V76" i="22"/>
  <c r="U76" i="22"/>
  <c r="V63" i="22"/>
  <c r="U63" i="22"/>
  <c r="U24" i="22"/>
  <c r="V24" i="22"/>
  <c r="U16" i="22"/>
  <c r="V16" i="22"/>
  <c r="V88" i="22"/>
  <c r="U88" i="22"/>
  <c r="V74" i="22"/>
  <c r="U74" i="22"/>
  <c r="V60" i="22"/>
  <c r="U60" i="22"/>
  <c r="U37" i="22"/>
  <c r="V73" i="22"/>
  <c r="U73" i="22"/>
  <c r="U44" i="22"/>
  <c r="V44" i="22"/>
  <c r="U28" i="22"/>
  <c r="U12" i="22"/>
  <c r="V12" i="22"/>
  <c r="V89" i="22"/>
  <c r="U89" i="22"/>
  <c r="U81" i="22"/>
  <c r="V81" i="22"/>
  <c r="U69" i="22"/>
  <c r="U61" i="22"/>
  <c r="V54" i="22"/>
  <c r="U54" i="22"/>
  <c r="U46" i="22"/>
  <c r="V46" i="22"/>
  <c r="V38" i="22"/>
  <c r="U38" i="22"/>
  <c r="U30" i="22"/>
  <c r="V30" i="22"/>
  <c r="U14" i="22"/>
  <c r="V14" i="22"/>
  <c r="U7" i="22"/>
  <c r="V56" i="22"/>
  <c r="U56" i="22"/>
  <c r="U32" i="22"/>
  <c r="U96" i="22"/>
  <c r="V96" i="22"/>
  <c r="V80" i="22"/>
  <c r="U80" i="22"/>
  <c r="U68" i="22"/>
  <c r="V53" i="22"/>
  <c r="U53" i="22"/>
  <c r="U50" i="22"/>
  <c r="V50" i="22"/>
  <c r="V86" i="22"/>
  <c r="U86" i="22"/>
  <c r="V72" i="22"/>
  <c r="U72" i="22"/>
  <c r="U66" i="22"/>
  <c r="V40" i="22"/>
  <c r="U40" i="22"/>
  <c r="V51" i="22"/>
  <c r="U51" i="22"/>
  <c r="V43" i="22"/>
  <c r="U43" i="22"/>
  <c r="U35" i="22"/>
  <c r="V27" i="22"/>
  <c r="U27" i="22"/>
  <c r="V11" i="22"/>
  <c r="U11" i="22"/>
  <c r="K99" i="22"/>
  <c r="U99" i="22"/>
  <c r="V99" i="22"/>
  <c r="AW21" i="22"/>
  <c r="BG21" i="22"/>
  <c r="BG23" i="22"/>
  <c r="BG22" i="22"/>
  <c r="AW143" i="22"/>
  <c r="AW142" i="22"/>
  <c r="AW23" i="22"/>
  <c r="AW144" i="22"/>
  <c r="AW140" i="22"/>
  <c r="AW22" i="22"/>
  <c r="AW136" i="22"/>
  <c r="AW141" i="22"/>
  <c r="AW139" i="22"/>
  <c r="AW137" i="22"/>
  <c r="AW138" i="22"/>
  <c r="AW20" i="22"/>
  <c r="AK12" i="22"/>
  <c r="AK13" i="22"/>
  <c r="AK14" i="22"/>
  <c r="AK15" i="22"/>
  <c r="K96" i="22"/>
  <c r="G95" i="22"/>
  <c r="W94" i="22"/>
  <c r="K94" i="22"/>
  <c r="G93" i="22"/>
  <c r="G99" i="22"/>
  <c r="W98" i="22"/>
  <c r="K98" i="22"/>
  <c r="G97" i="22"/>
  <c r="W96" i="22"/>
  <c r="W99" i="22"/>
  <c r="G96" i="22"/>
  <c r="W95" i="22"/>
  <c r="K95" i="22"/>
  <c r="G94" i="22"/>
  <c r="W93" i="22"/>
  <c r="K93" i="22"/>
  <c r="W97" i="22"/>
  <c r="Q4" i="29"/>
  <c r="E6" i="28" s="1"/>
  <c r="Q5" i="29"/>
  <c r="E7" i="28" s="1"/>
  <c r="Q6" i="29"/>
  <c r="E8" i="28" s="1"/>
  <c r="Q7" i="29"/>
  <c r="E9" i="28" s="1"/>
  <c r="Q8" i="29"/>
  <c r="E10" i="28" s="1"/>
  <c r="Q9" i="29"/>
  <c r="E11" i="28" s="1"/>
  <c r="Q10" i="29"/>
  <c r="E12" i="28" s="1"/>
  <c r="Q11" i="29"/>
  <c r="E13" i="28" s="1"/>
  <c r="Q12" i="29"/>
  <c r="E14" i="28" s="1"/>
  <c r="Q13" i="29"/>
  <c r="E15" i="28" s="1"/>
  <c r="Q14" i="29"/>
  <c r="E16" i="28" s="1"/>
  <c r="Q15" i="29"/>
  <c r="E17" i="28" s="1"/>
  <c r="Q16" i="29"/>
  <c r="E18" i="28" s="1"/>
  <c r="Q17" i="29"/>
  <c r="E19" i="28" s="1"/>
  <c r="Q18" i="29"/>
  <c r="E20" i="28" s="1"/>
  <c r="Q19" i="29"/>
  <c r="E21" i="28" s="1"/>
  <c r="Q20" i="29"/>
  <c r="E22" i="28" s="1"/>
  <c r="Q21" i="29"/>
  <c r="E23" i="28" s="1"/>
  <c r="Q22" i="29"/>
  <c r="E24" i="28" s="1"/>
  <c r="Q23" i="29"/>
  <c r="E25" i="28" s="1"/>
  <c r="Q24" i="29"/>
  <c r="E26" i="28" s="1"/>
  <c r="Q25" i="29"/>
  <c r="E27" i="28" s="1"/>
  <c r="Q26" i="29"/>
  <c r="E28" i="28" s="1"/>
  <c r="Q27" i="29"/>
  <c r="E29" i="28" s="1"/>
  <c r="Q28" i="29"/>
  <c r="E30" i="28" s="1"/>
  <c r="Q29" i="29"/>
  <c r="E31" i="28" s="1"/>
  <c r="Q30" i="29"/>
  <c r="E32" i="28" s="1"/>
  <c r="Q31" i="29"/>
  <c r="E33" i="28" s="1"/>
  <c r="Q32" i="29"/>
  <c r="E34" i="28" s="1"/>
  <c r="Q33" i="29"/>
  <c r="E35" i="28" s="1"/>
  <c r="Q34" i="29"/>
  <c r="E36" i="28" s="1"/>
  <c r="Q35" i="29"/>
  <c r="E37" i="28" s="1"/>
  <c r="Q36" i="29"/>
  <c r="E38" i="28" s="1"/>
  <c r="Q37" i="29"/>
  <c r="E39" i="28" s="1"/>
  <c r="Q38" i="29"/>
  <c r="E52" i="28" s="1"/>
  <c r="Q40" i="29"/>
  <c r="E54" i="28" s="1"/>
  <c r="Q41" i="29"/>
  <c r="E55" i="28" s="1"/>
  <c r="Q42" i="29"/>
  <c r="E56" i="28" s="1"/>
  <c r="Q43" i="29"/>
  <c r="E57" i="28" s="1"/>
  <c r="Q44" i="29"/>
  <c r="E58" i="28" s="1"/>
  <c r="Q45" i="29"/>
  <c r="E60" i="28" s="1"/>
  <c r="Q46" i="29"/>
  <c r="E59" i="28" s="1"/>
  <c r="Q47" i="29"/>
  <c r="E61" i="28" s="1"/>
  <c r="Q48" i="29"/>
  <c r="E62" i="28" s="1"/>
  <c r="Q49" i="29"/>
  <c r="E71" i="28" s="1"/>
  <c r="Q50" i="29"/>
  <c r="E72" i="28" s="1"/>
  <c r="Q51" i="29"/>
  <c r="E73" i="28" s="1"/>
  <c r="Q52" i="29"/>
  <c r="E78" i="28" s="1"/>
  <c r="Q53" i="29"/>
  <c r="E74" i="28" s="1"/>
  <c r="Q54" i="29"/>
  <c r="E75" i="28" s="1"/>
  <c r="Q55" i="29"/>
  <c r="E76" i="28" s="1"/>
  <c r="Q56" i="29"/>
  <c r="E77" i="28" s="1"/>
  <c r="Q57" i="29"/>
  <c r="E80" i="28" s="1"/>
  <c r="Q39" i="29"/>
  <c r="E53" i="28" s="1"/>
  <c r="Q58" i="29"/>
  <c r="E81" i="28" s="1"/>
  <c r="Q59" i="29"/>
  <c r="E82" i="28" s="1"/>
  <c r="Q60" i="29"/>
  <c r="E83" i="28" s="1"/>
  <c r="Q61" i="29"/>
  <c r="E84" i="28" s="1"/>
  <c r="Q62" i="29"/>
  <c r="E85" i="28" s="1"/>
  <c r="Q63" i="29"/>
  <c r="E86" i="28" s="1"/>
  <c r="Q64" i="29"/>
  <c r="E87" i="28" s="1"/>
  <c r="Q65" i="29"/>
  <c r="E88" i="28" s="1"/>
  <c r="Q66" i="29"/>
  <c r="E89" i="28" s="1"/>
  <c r="Q67" i="29"/>
  <c r="E90" i="28" s="1"/>
  <c r="Q68" i="29"/>
  <c r="E91" i="28" s="1"/>
  <c r="Q69" i="29"/>
  <c r="E92" i="28" s="1"/>
  <c r="Q70" i="29"/>
  <c r="E93" i="28" s="1"/>
  <c r="Q71" i="29"/>
  <c r="E94" i="28" s="1"/>
  <c r="Q72" i="29"/>
  <c r="E95" i="28" s="1"/>
  <c r="Q73" i="29"/>
  <c r="E96" i="28" s="1"/>
  <c r="Q74" i="29"/>
  <c r="E97" i="28" s="1"/>
  <c r="Q75" i="29"/>
  <c r="E98" i="28" s="1"/>
  <c r="Q76" i="29"/>
  <c r="E79" i="28" s="1"/>
  <c r="Q77" i="29"/>
  <c r="E99" i="28" s="1"/>
  <c r="Q78" i="29"/>
  <c r="E100" i="28" s="1"/>
  <c r="Q79" i="29"/>
  <c r="E101" i="28" s="1"/>
  <c r="Q80" i="29"/>
  <c r="E102" i="28" s="1"/>
  <c r="Q81" i="29"/>
  <c r="E103" i="28" s="1"/>
  <c r="Q82" i="29"/>
  <c r="E104" i="28" s="1"/>
  <c r="Q83" i="29"/>
  <c r="E105" i="28" s="1"/>
  <c r="Q84" i="29"/>
  <c r="E106" i="28" s="1"/>
  <c r="Q85" i="29"/>
  <c r="E107" i="28" s="1"/>
  <c r="Q86" i="29"/>
  <c r="E108" i="28" s="1"/>
  <c r="Q87" i="29"/>
  <c r="E109" i="28" s="1"/>
  <c r="Q88" i="29"/>
  <c r="E110" i="28" s="1"/>
  <c r="Q89" i="29"/>
  <c r="E111" i="28" s="1"/>
  <c r="Q90" i="29"/>
  <c r="E112" i="28" s="1"/>
  <c r="Q91" i="29"/>
  <c r="E113" i="28" s="1"/>
  <c r="Q92" i="29"/>
  <c r="E114" i="28" s="1"/>
  <c r="Q93" i="29"/>
  <c r="E115" i="28" s="1"/>
  <c r="Q94" i="29"/>
  <c r="E116" i="28" s="1"/>
  <c r="Q95" i="29"/>
  <c r="E117" i="28" s="1"/>
  <c r="Q96" i="29"/>
  <c r="E118" i="28" s="1"/>
  <c r="Q97" i="29"/>
  <c r="E119" i="28" s="1"/>
  <c r="Q98" i="29"/>
  <c r="E120" i="28" s="1"/>
  <c r="Q3" i="29"/>
  <c r="O4" i="29"/>
  <c r="C6" i="28" s="1"/>
  <c r="O5" i="29"/>
  <c r="C7" i="28" s="1"/>
  <c r="O6" i="29"/>
  <c r="C8" i="28" s="1"/>
  <c r="O7" i="29"/>
  <c r="O8" i="29"/>
  <c r="C10" i="28" s="1"/>
  <c r="O9" i="29"/>
  <c r="C11" i="28" s="1"/>
  <c r="O10" i="29"/>
  <c r="C12" i="28" s="1"/>
  <c r="O11" i="29"/>
  <c r="C13" i="28" s="1"/>
  <c r="O12" i="29"/>
  <c r="C14" i="28" s="1"/>
  <c r="O13" i="29"/>
  <c r="C15" i="28" s="1"/>
  <c r="O14" i="29"/>
  <c r="C16" i="28" s="1"/>
  <c r="O15" i="29"/>
  <c r="C17" i="28" s="1"/>
  <c r="O16" i="29"/>
  <c r="O17" i="29"/>
  <c r="C19" i="28" s="1"/>
  <c r="O18" i="29"/>
  <c r="C20" i="28" s="1"/>
  <c r="O19" i="29"/>
  <c r="C21" i="28" s="1"/>
  <c r="O20" i="29"/>
  <c r="C22" i="28" s="1"/>
  <c r="O21" i="29"/>
  <c r="C23" i="28" s="1"/>
  <c r="O22" i="29"/>
  <c r="C24" i="28" s="1"/>
  <c r="O23" i="29"/>
  <c r="C25" i="28" s="1"/>
  <c r="O24" i="29"/>
  <c r="C26" i="28" s="1"/>
  <c r="O25" i="29"/>
  <c r="C27" i="28" s="1"/>
  <c r="O26" i="29"/>
  <c r="C28" i="28" s="1"/>
  <c r="O27" i="29"/>
  <c r="C29" i="28" s="1"/>
  <c r="O28" i="29"/>
  <c r="C30" i="28" s="1"/>
  <c r="O29" i="29"/>
  <c r="C31" i="28" s="1"/>
  <c r="O30" i="29"/>
  <c r="C32" i="28" s="1"/>
  <c r="O31" i="29"/>
  <c r="C33" i="28" s="1"/>
  <c r="O32" i="29"/>
  <c r="C34" i="28" s="1"/>
  <c r="O33" i="29"/>
  <c r="C35" i="28" s="1"/>
  <c r="O34" i="29"/>
  <c r="C36" i="28" s="1"/>
  <c r="O35" i="29"/>
  <c r="C37" i="28" s="1"/>
  <c r="O36" i="29"/>
  <c r="C38" i="28" s="1"/>
  <c r="O37" i="29"/>
  <c r="C39" i="28" s="1"/>
  <c r="O38" i="29"/>
  <c r="C52" i="28" s="1"/>
  <c r="O40" i="29"/>
  <c r="C54" i="28" s="1"/>
  <c r="O41" i="29"/>
  <c r="C55" i="28" s="1"/>
  <c r="O42" i="29"/>
  <c r="C56" i="28" s="1"/>
  <c r="O43" i="29"/>
  <c r="C57" i="28" s="1"/>
  <c r="O44" i="29"/>
  <c r="C58" i="28" s="1"/>
  <c r="O45" i="29"/>
  <c r="C60" i="28" s="1"/>
  <c r="O46" i="29"/>
  <c r="C59" i="28" s="1"/>
  <c r="O47" i="29"/>
  <c r="C61" i="28" s="1"/>
  <c r="O48" i="29"/>
  <c r="C62" i="28" s="1"/>
  <c r="O49" i="29"/>
  <c r="C71" i="28" s="1"/>
  <c r="O50" i="29"/>
  <c r="C72" i="28" s="1"/>
  <c r="O51" i="29"/>
  <c r="C73" i="28" s="1"/>
  <c r="O52" i="29"/>
  <c r="C78" i="28" s="1"/>
  <c r="O53" i="29"/>
  <c r="C74" i="28" s="1"/>
  <c r="O54" i="29"/>
  <c r="C75" i="28" s="1"/>
  <c r="O55" i="29"/>
  <c r="C76" i="28" s="1"/>
  <c r="O56" i="29"/>
  <c r="C77" i="28" s="1"/>
  <c r="O57" i="29"/>
  <c r="C80" i="28" s="1"/>
  <c r="O39" i="29"/>
  <c r="C53" i="28" s="1"/>
  <c r="O58" i="29"/>
  <c r="C81" i="28" s="1"/>
  <c r="O59" i="29"/>
  <c r="C82" i="28" s="1"/>
  <c r="O60" i="29"/>
  <c r="C83" i="28" s="1"/>
  <c r="O61" i="29"/>
  <c r="C84" i="28" s="1"/>
  <c r="O62" i="29"/>
  <c r="C85" i="28" s="1"/>
  <c r="O63" i="29"/>
  <c r="C86" i="28" s="1"/>
  <c r="O64" i="29"/>
  <c r="C87" i="28" s="1"/>
  <c r="O65" i="29"/>
  <c r="C88" i="28" s="1"/>
  <c r="O66" i="29"/>
  <c r="C89" i="28" s="1"/>
  <c r="O67" i="29"/>
  <c r="C90" i="28" s="1"/>
  <c r="O68" i="29"/>
  <c r="C91" i="28" s="1"/>
  <c r="O69" i="29"/>
  <c r="C92" i="28" s="1"/>
  <c r="O70" i="29"/>
  <c r="C93" i="28" s="1"/>
  <c r="O71" i="29"/>
  <c r="C94" i="28" s="1"/>
  <c r="O72" i="29"/>
  <c r="C95" i="28" s="1"/>
  <c r="O73" i="29"/>
  <c r="C96" i="28" s="1"/>
  <c r="O74" i="29"/>
  <c r="C97" i="28" s="1"/>
  <c r="O75" i="29"/>
  <c r="C98" i="28" s="1"/>
  <c r="O76" i="29"/>
  <c r="C79" i="28" s="1"/>
  <c r="O77" i="29"/>
  <c r="C99" i="28" s="1"/>
  <c r="O78" i="29"/>
  <c r="C100" i="28" s="1"/>
  <c r="O79" i="29"/>
  <c r="C101" i="28" s="1"/>
  <c r="O80" i="29"/>
  <c r="C102" i="28" s="1"/>
  <c r="O81" i="29"/>
  <c r="C103" i="28" s="1"/>
  <c r="O82" i="29"/>
  <c r="C104" i="28" s="1"/>
  <c r="O83" i="29"/>
  <c r="C105" i="28" s="1"/>
  <c r="O84" i="29"/>
  <c r="C106" i="28" s="1"/>
  <c r="O85" i="29"/>
  <c r="C107" i="28" s="1"/>
  <c r="O86" i="29"/>
  <c r="C108" i="28" s="1"/>
  <c r="O87" i="29"/>
  <c r="C109" i="28" s="1"/>
  <c r="O88" i="29"/>
  <c r="C110" i="28" s="1"/>
  <c r="O89" i="29"/>
  <c r="C111" i="28" s="1"/>
  <c r="O90" i="29"/>
  <c r="C112" i="28" s="1"/>
  <c r="O91" i="29"/>
  <c r="C113" i="28" s="1"/>
  <c r="O92" i="29"/>
  <c r="C114" i="28" s="1"/>
  <c r="O93" i="29"/>
  <c r="C115" i="28" s="1"/>
  <c r="O94" i="29"/>
  <c r="C116" i="28" s="1"/>
  <c r="O95" i="29"/>
  <c r="C117" i="28" s="1"/>
  <c r="O96" i="29"/>
  <c r="C118" i="28" s="1"/>
  <c r="O97" i="29"/>
  <c r="C119" i="28" s="1"/>
  <c r="O98" i="29"/>
  <c r="C120" i="28" s="1"/>
  <c r="O3" i="29"/>
  <c r="C6" i="33"/>
  <c r="C7" i="33"/>
  <c r="C8" i="33"/>
  <c r="C9" i="33"/>
  <c r="C10" i="33"/>
  <c r="C11" i="33"/>
  <c r="C12" i="33"/>
  <c r="C13" i="33"/>
  <c r="C14" i="33"/>
  <c r="C15" i="33"/>
  <c r="C16" i="33"/>
  <c r="C17" i="33"/>
  <c r="C18" i="33"/>
  <c r="C19" i="33"/>
  <c r="C20" i="33"/>
  <c r="C21" i="33"/>
  <c r="C22" i="33"/>
  <c r="C23" i="33"/>
  <c r="C24" i="33"/>
  <c r="C25" i="33"/>
  <c r="C26" i="33"/>
  <c r="C27" i="33"/>
  <c r="C28" i="33"/>
  <c r="C29" i="33"/>
  <c r="C30" i="33"/>
  <c r="C31" i="33"/>
  <c r="C32" i="33"/>
  <c r="C33" i="33"/>
  <c r="C34" i="33"/>
  <c r="C35" i="33"/>
  <c r="C36" i="33"/>
  <c r="C37" i="33"/>
  <c r="C38" i="33"/>
  <c r="C39" i="33"/>
  <c r="C41" i="33"/>
  <c r="C42" i="33"/>
  <c r="C43" i="33"/>
  <c r="C44" i="33"/>
  <c r="C45" i="33"/>
  <c r="C46" i="33"/>
  <c r="C47" i="33"/>
  <c r="C48" i="33"/>
  <c r="C49" i="33"/>
  <c r="C50" i="33"/>
  <c r="C51" i="33"/>
  <c r="C52" i="33"/>
  <c r="C53" i="33"/>
  <c r="C54" i="33"/>
  <c r="C55" i="33"/>
  <c r="C56" i="33"/>
  <c r="C57" i="33"/>
  <c r="C58" i="33"/>
  <c r="C59" i="33"/>
  <c r="C60" i="33"/>
  <c r="C61" i="33"/>
  <c r="C62" i="33"/>
  <c r="C63" i="33"/>
  <c r="C64" i="33"/>
  <c r="C65" i="33"/>
  <c r="C66" i="33"/>
  <c r="C67" i="33"/>
  <c r="C68" i="33"/>
  <c r="C69" i="33"/>
  <c r="C70" i="33"/>
  <c r="C72" i="33"/>
  <c r="C73" i="33"/>
  <c r="C74" i="33"/>
  <c r="C75" i="33"/>
  <c r="C76" i="33"/>
  <c r="C77" i="33"/>
  <c r="C78" i="33"/>
  <c r="C79" i="33"/>
  <c r="C80" i="33"/>
  <c r="C81" i="33"/>
  <c r="C82" i="33"/>
  <c r="C83" i="33"/>
  <c r="C84" i="33"/>
  <c r="C85" i="33"/>
  <c r="C86" i="33"/>
  <c r="C87" i="33"/>
  <c r="C88" i="33"/>
  <c r="C89" i="33"/>
  <c r="C90" i="33"/>
  <c r="C91" i="33"/>
  <c r="C92" i="33"/>
  <c r="C93" i="33"/>
  <c r="C94" i="33"/>
  <c r="C95" i="33"/>
  <c r="C96" i="33"/>
  <c r="C97" i="33"/>
  <c r="C98" i="33"/>
  <c r="C99" i="33"/>
  <c r="C100" i="33"/>
  <c r="C5" i="33"/>
  <c r="F95" i="20"/>
  <c r="F96" i="20"/>
  <c r="F97" i="20"/>
  <c r="F98" i="20"/>
  <c r="F99" i="20"/>
  <c r="F5" i="20"/>
  <c r="F6" i="20"/>
  <c r="F7" i="20"/>
  <c r="F8" i="20"/>
  <c r="F9" i="20"/>
  <c r="F10" i="20"/>
  <c r="F11" i="20"/>
  <c r="F12" i="20"/>
  <c r="F13" i="20"/>
  <c r="F14" i="20"/>
  <c r="F15" i="20"/>
  <c r="F16" i="20"/>
  <c r="F17" i="20"/>
  <c r="F18" i="20"/>
  <c r="F19" i="20"/>
  <c r="F20" i="20"/>
  <c r="F21" i="20"/>
  <c r="F22" i="20"/>
  <c r="F23" i="20"/>
  <c r="F24" i="20"/>
  <c r="F25" i="20"/>
  <c r="F26" i="20"/>
  <c r="F27" i="20"/>
  <c r="F28" i="20"/>
  <c r="F29" i="20"/>
  <c r="F30" i="20"/>
  <c r="F31" i="20"/>
  <c r="F32" i="20"/>
  <c r="F33" i="20"/>
  <c r="F34" i="20"/>
  <c r="F35" i="20"/>
  <c r="F36" i="20"/>
  <c r="F37" i="20"/>
  <c r="F38" i="20"/>
  <c r="F39" i="20"/>
  <c r="F40" i="20"/>
  <c r="F41" i="20"/>
  <c r="F42" i="20"/>
  <c r="F43" i="20"/>
  <c r="F44" i="20"/>
  <c r="F45" i="20"/>
  <c r="F46" i="20"/>
  <c r="F47" i="20"/>
  <c r="F48" i="20"/>
  <c r="F49" i="20"/>
  <c r="F50" i="20"/>
  <c r="F51" i="20"/>
  <c r="F52" i="20"/>
  <c r="F53" i="20"/>
  <c r="F54" i="20"/>
  <c r="F55" i="20"/>
  <c r="F56" i="20"/>
  <c r="F57" i="20"/>
  <c r="F58" i="20"/>
  <c r="F59" i="20"/>
  <c r="F60" i="20"/>
  <c r="F61" i="20"/>
  <c r="F62" i="20"/>
  <c r="F63" i="20"/>
  <c r="F64" i="20"/>
  <c r="F65" i="20"/>
  <c r="F66" i="20"/>
  <c r="F67" i="20"/>
  <c r="F68" i="20"/>
  <c r="F69" i="20"/>
  <c r="F70" i="20"/>
  <c r="F71" i="20"/>
  <c r="F72" i="20"/>
  <c r="F73" i="20"/>
  <c r="F74" i="20"/>
  <c r="F75" i="20"/>
  <c r="F76" i="20"/>
  <c r="F77" i="20"/>
  <c r="F78" i="20"/>
  <c r="F79" i="20"/>
  <c r="F80" i="20"/>
  <c r="F81" i="20"/>
  <c r="F82" i="20"/>
  <c r="F83" i="20"/>
  <c r="F84" i="20"/>
  <c r="F85" i="20"/>
  <c r="F86" i="20"/>
  <c r="F87" i="20"/>
  <c r="F88" i="20"/>
  <c r="F89" i="20"/>
  <c r="F90" i="20"/>
  <c r="F91" i="20"/>
  <c r="F92" i="20"/>
  <c r="F93" i="20"/>
  <c r="F94" i="20"/>
  <c r="F4" i="20"/>
  <c r="O11" i="71" s="1"/>
  <c r="L40" i="29"/>
  <c r="M40" i="29"/>
  <c r="L41" i="29"/>
  <c r="M41" i="29"/>
  <c r="L42" i="29"/>
  <c r="M42" i="29"/>
  <c r="L43" i="29"/>
  <c r="M43" i="29"/>
  <c r="L44" i="29"/>
  <c r="M44" i="29"/>
  <c r="L45" i="29"/>
  <c r="M45" i="29"/>
  <c r="L36" i="29"/>
  <c r="M36" i="29"/>
  <c r="AB63" i="57" l="1"/>
  <c r="AA63" i="57"/>
  <c r="AB48" i="69"/>
  <c r="AC48" i="69" s="1"/>
  <c r="AD48" i="69" s="1"/>
  <c r="AG48" i="69"/>
  <c r="L51" i="69"/>
  <c r="O51" i="69"/>
  <c r="AO50" i="69"/>
  <c r="P50" i="69"/>
  <c r="AF63" i="57"/>
  <c r="O187" i="71"/>
  <c r="S187" i="71" s="1"/>
  <c r="T187" i="71" s="1"/>
  <c r="O91" i="71"/>
  <c r="S91" i="71" s="1"/>
  <c r="T91" i="71" s="1"/>
  <c r="O75" i="71"/>
  <c r="S75" i="71" s="1"/>
  <c r="T75" i="71" s="1"/>
  <c r="O59" i="71"/>
  <c r="S59" i="71" s="1"/>
  <c r="T59" i="71" s="1"/>
  <c r="O43" i="71"/>
  <c r="S43" i="71" s="1"/>
  <c r="T43" i="71" s="1"/>
  <c r="O27" i="71"/>
  <c r="O147" i="71"/>
  <c r="S147" i="71" s="1"/>
  <c r="T147" i="71" s="1"/>
  <c r="O114" i="71"/>
  <c r="S114" i="71" s="1"/>
  <c r="T114" i="71" s="1"/>
  <c r="O154" i="71"/>
  <c r="S154" i="71" s="1"/>
  <c r="T154" i="71" s="1"/>
  <c r="O106" i="71"/>
  <c r="S106" i="71" s="1"/>
  <c r="T106" i="71" s="1"/>
  <c r="O252" i="71"/>
  <c r="S252" i="71" s="1"/>
  <c r="T252" i="71" s="1"/>
  <c r="O220" i="71"/>
  <c r="S220" i="71" s="1"/>
  <c r="T220" i="71" s="1"/>
  <c r="O188" i="71"/>
  <c r="S188" i="71" s="1"/>
  <c r="T188" i="71" s="1"/>
  <c r="O88" i="71"/>
  <c r="S88" i="71" s="1"/>
  <c r="T88" i="71" s="1"/>
  <c r="O72" i="71"/>
  <c r="S72" i="71" s="1"/>
  <c r="T72" i="71" s="1"/>
  <c r="O56" i="71"/>
  <c r="S56" i="71" s="1"/>
  <c r="T56" i="71" s="1"/>
  <c r="O40" i="71"/>
  <c r="S40" i="71" s="1"/>
  <c r="T40" i="71" s="1"/>
  <c r="O24" i="71"/>
  <c r="S24" i="71" s="1"/>
  <c r="T24" i="71" s="1"/>
  <c r="O248" i="71"/>
  <c r="S248" i="71" s="1"/>
  <c r="T248" i="71" s="1"/>
  <c r="O216" i="71"/>
  <c r="S216" i="71" s="1"/>
  <c r="T216" i="71" s="1"/>
  <c r="O184" i="71"/>
  <c r="S184" i="71" s="1"/>
  <c r="T184" i="71" s="1"/>
  <c r="O152" i="71"/>
  <c r="S152" i="71" s="1"/>
  <c r="T152" i="71" s="1"/>
  <c r="O104" i="71"/>
  <c r="S104" i="71" s="1"/>
  <c r="T104" i="71" s="1"/>
  <c r="O251" i="71"/>
  <c r="S251" i="71" s="1"/>
  <c r="T251" i="71" s="1"/>
  <c r="O219" i="71"/>
  <c r="S219" i="71" s="1"/>
  <c r="T219" i="71" s="1"/>
  <c r="O159" i="71"/>
  <c r="S159" i="71" s="1"/>
  <c r="T159" i="71" s="1"/>
  <c r="O127" i="71"/>
  <c r="S127" i="71" s="1"/>
  <c r="T127" i="71" s="1"/>
  <c r="O111" i="71"/>
  <c r="S111" i="71" s="1"/>
  <c r="T111" i="71" s="1"/>
  <c r="O247" i="71"/>
  <c r="S247" i="71" s="1"/>
  <c r="T247" i="71" s="1"/>
  <c r="O215" i="71"/>
  <c r="S215" i="71" s="1"/>
  <c r="T215" i="71" s="1"/>
  <c r="O183" i="71"/>
  <c r="S183" i="71" s="1"/>
  <c r="T183" i="71" s="1"/>
  <c r="O13" i="71"/>
  <c r="S13" i="71" s="1"/>
  <c r="T13" i="71" s="1"/>
  <c r="O230" i="71"/>
  <c r="S230" i="71" s="1"/>
  <c r="T230" i="71" s="1"/>
  <c r="O198" i="71"/>
  <c r="S198" i="71" s="1"/>
  <c r="T198" i="71" s="1"/>
  <c r="O166" i="71"/>
  <c r="S166" i="71" s="1"/>
  <c r="T166" i="71" s="1"/>
  <c r="O134" i="71"/>
  <c r="S134" i="71" s="1"/>
  <c r="T134" i="71" s="1"/>
  <c r="O94" i="71"/>
  <c r="S94" i="71" s="1"/>
  <c r="T94" i="71" s="1"/>
  <c r="O78" i="71"/>
  <c r="S78" i="71" s="1"/>
  <c r="T78" i="71" s="1"/>
  <c r="O62" i="71"/>
  <c r="S62" i="71" s="1"/>
  <c r="T62" i="71" s="1"/>
  <c r="O46" i="71"/>
  <c r="S46" i="71" s="1"/>
  <c r="T46" i="71" s="1"/>
  <c r="O30" i="71"/>
  <c r="S30" i="71" s="1"/>
  <c r="T30" i="71" s="1"/>
  <c r="O250" i="71"/>
  <c r="S250" i="71" s="1"/>
  <c r="T250" i="71" s="1"/>
  <c r="O218" i="71"/>
  <c r="S218" i="71" s="1"/>
  <c r="T218" i="71" s="1"/>
  <c r="O190" i="71"/>
  <c r="S190" i="71" s="1"/>
  <c r="T190" i="71" s="1"/>
  <c r="O233" i="71"/>
  <c r="S233" i="71" s="1"/>
  <c r="T233" i="71" s="1"/>
  <c r="O201" i="71"/>
  <c r="S201" i="71" s="1"/>
  <c r="T201" i="71" s="1"/>
  <c r="O169" i="71"/>
  <c r="S169" i="71" s="1"/>
  <c r="T169" i="71" s="1"/>
  <c r="O141" i="71"/>
  <c r="S141" i="71" s="1"/>
  <c r="T141" i="71" s="1"/>
  <c r="O117" i="71"/>
  <c r="S117" i="71" s="1"/>
  <c r="T117" i="71" s="1"/>
  <c r="O97" i="71"/>
  <c r="S97" i="71" s="1"/>
  <c r="T97" i="71" s="1"/>
  <c r="O81" i="71"/>
  <c r="S81" i="71" s="1"/>
  <c r="T81" i="71" s="1"/>
  <c r="O65" i="71"/>
  <c r="S65" i="71" s="1"/>
  <c r="T65" i="71" s="1"/>
  <c r="O49" i="71"/>
  <c r="S49" i="71" s="1"/>
  <c r="T49" i="71" s="1"/>
  <c r="O33" i="71"/>
  <c r="S33" i="71" s="1"/>
  <c r="T33" i="71" s="1"/>
  <c r="O17" i="71"/>
  <c r="S17" i="71" s="1"/>
  <c r="T17" i="71" s="1"/>
  <c r="O229" i="71"/>
  <c r="S229" i="71" s="1"/>
  <c r="T229" i="71" s="1"/>
  <c r="O197" i="71"/>
  <c r="S197" i="71" s="1"/>
  <c r="T197" i="71" s="1"/>
  <c r="O161" i="71"/>
  <c r="S161" i="71" s="1"/>
  <c r="T161" i="71" s="1"/>
  <c r="O129" i="71"/>
  <c r="S129" i="71" s="1"/>
  <c r="T129" i="71" s="1"/>
  <c r="O148" i="71"/>
  <c r="S148" i="71" s="1"/>
  <c r="T148" i="71" s="1"/>
  <c r="O100" i="71"/>
  <c r="S100" i="71" s="1"/>
  <c r="T100" i="71" s="1"/>
  <c r="O84" i="71"/>
  <c r="S84" i="71" s="1"/>
  <c r="T84" i="71" s="1"/>
  <c r="O68" i="71"/>
  <c r="S68" i="71" s="1"/>
  <c r="T68" i="71" s="1"/>
  <c r="O52" i="71"/>
  <c r="S52" i="71" s="1"/>
  <c r="T52" i="71" s="1"/>
  <c r="O36" i="71"/>
  <c r="S36" i="71" s="1"/>
  <c r="T36" i="71" s="1"/>
  <c r="O20" i="71"/>
  <c r="S20" i="71" s="1"/>
  <c r="T20" i="71" s="1"/>
  <c r="O12" i="71"/>
  <c r="O179" i="71"/>
  <c r="S179" i="71" s="1"/>
  <c r="T179" i="71" s="1"/>
  <c r="O123" i="71"/>
  <c r="S123" i="71" s="1"/>
  <c r="T123" i="71" s="1"/>
  <c r="O139" i="71"/>
  <c r="S139" i="71" s="1"/>
  <c r="T139" i="71" s="1"/>
  <c r="O90" i="71"/>
  <c r="S90" i="71" s="1"/>
  <c r="T90" i="71" s="1"/>
  <c r="O74" i="71"/>
  <c r="S74" i="71" s="1"/>
  <c r="T74" i="71" s="1"/>
  <c r="O58" i="71"/>
  <c r="S58" i="71" s="1"/>
  <c r="T58" i="71" s="1"/>
  <c r="O42" i="71"/>
  <c r="S42" i="71" s="1"/>
  <c r="T42" i="71" s="1"/>
  <c r="O26" i="71"/>
  <c r="S26" i="71" s="1"/>
  <c r="T26" i="71" s="1"/>
  <c r="O146" i="71"/>
  <c r="S146" i="71" s="1"/>
  <c r="T146" i="71" s="1"/>
  <c r="O244" i="71"/>
  <c r="S244" i="71" s="1"/>
  <c r="T244" i="71" s="1"/>
  <c r="O212" i="71"/>
  <c r="S212" i="71" s="1"/>
  <c r="T212" i="71" s="1"/>
  <c r="O180" i="71"/>
  <c r="S180" i="71" s="1"/>
  <c r="T180" i="71" s="1"/>
  <c r="O120" i="71"/>
  <c r="S120" i="71" s="1"/>
  <c r="T120" i="71" s="1"/>
  <c r="O240" i="71"/>
  <c r="S240" i="71" s="1"/>
  <c r="T240" i="71" s="1"/>
  <c r="O208" i="71"/>
  <c r="S208" i="71" s="1"/>
  <c r="T208" i="71" s="1"/>
  <c r="O176" i="71"/>
  <c r="S176" i="71" s="1"/>
  <c r="T176" i="71" s="1"/>
  <c r="O144" i="71"/>
  <c r="S144" i="71" s="1"/>
  <c r="T144" i="71" s="1"/>
  <c r="O243" i="71"/>
  <c r="S243" i="71" s="1"/>
  <c r="T243" i="71" s="1"/>
  <c r="O211" i="71"/>
  <c r="S211" i="71" s="1"/>
  <c r="T211" i="71" s="1"/>
  <c r="O151" i="71"/>
  <c r="S151" i="71" s="1"/>
  <c r="T151" i="71" s="1"/>
  <c r="O103" i="71"/>
  <c r="S103" i="71" s="1"/>
  <c r="T103" i="71" s="1"/>
  <c r="O87" i="71"/>
  <c r="S87" i="71" s="1"/>
  <c r="T87" i="71" s="1"/>
  <c r="O71" i="71"/>
  <c r="S71" i="71" s="1"/>
  <c r="T71" i="71" s="1"/>
  <c r="O55" i="71"/>
  <c r="S55" i="71" s="1"/>
  <c r="T55" i="71" s="1"/>
  <c r="O39" i="71"/>
  <c r="S39" i="71" s="1"/>
  <c r="T39" i="71" s="1"/>
  <c r="O23" i="71"/>
  <c r="S23" i="71" s="1"/>
  <c r="T23" i="71" s="1"/>
  <c r="O239" i="71"/>
  <c r="S239" i="71" s="1"/>
  <c r="T239" i="71" s="1"/>
  <c r="O207" i="71"/>
  <c r="S207" i="71" s="1"/>
  <c r="T207" i="71" s="1"/>
  <c r="O175" i="71"/>
  <c r="S175" i="71" s="1"/>
  <c r="T175" i="71" s="1"/>
  <c r="O254" i="71"/>
  <c r="S254" i="71" s="1"/>
  <c r="T254" i="71" s="1"/>
  <c r="O222" i="71"/>
  <c r="S222" i="71" s="1"/>
  <c r="T222" i="71" s="1"/>
  <c r="O186" i="71"/>
  <c r="S186" i="71" s="1"/>
  <c r="T186" i="71" s="1"/>
  <c r="O158" i="71"/>
  <c r="S158" i="71" s="1"/>
  <c r="T158" i="71" s="1"/>
  <c r="O126" i="71"/>
  <c r="S126" i="71" s="1"/>
  <c r="T126" i="71" s="1"/>
  <c r="O110" i="71"/>
  <c r="S110" i="71" s="1"/>
  <c r="T110" i="71" s="1"/>
  <c r="O242" i="71"/>
  <c r="S242" i="71" s="1"/>
  <c r="T242" i="71" s="1"/>
  <c r="O210" i="71"/>
  <c r="S210" i="71" s="1"/>
  <c r="T210" i="71" s="1"/>
  <c r="O182" i="71"/>
  <c r="S182" i="71" s="1"/>
  <c r="T182" i="71" s="1"/>
  <c r="O14" i="71"/>
  <c r="S14" i="71" s="1"/>
  <c r="T14" i="71" s="1"/>
  <c r="O225" i="71"/>
  <c r="S225" i="71" s="1"/>
  <c r="T225" i="71" s="1"/>
  <c r="O193" i="71"/>
  <c r="S193" i="71" s="1"/>
  <c r="T193" i="71" s="1"/>
  <c r="O165" i="71"/>
  <c r="S165" i="71" s="1"/>
  <c r="T165" i="71" s="1"/>
  <c r="O133" i="71"/>
  <c r="S133" i="71" s="1"/>
  <c r="T133" i="71" s="1"/>
  <c r="O113" i="71"/>
  <c r="S113" i="71" s="1"/>
  <c r="T113" i="71" s="1"/>
  <c r="O93" i="71"/>
  <c r="S93" i="71" s="1"/>
  <c r="T93" i="71" s="1"/>
  <c r="O77" i="71"/>
  <c r="S77" i="71" s="1"/>
  <c r="T77" i="71" s="1"/>
  <c r="O61" i="71"/>
  <c r="S61" i="71" s="1"/>
  <c r="T61" i="71" s="1"/>
  <c r="O45" i="71"/>
  <c r="S45" i="71" s="1"/>
  <c r="T45" i="71" s="1"/>
  <c r="O29" i="71"/>
  <c r="S29" i="71" s="1"/>
  <c r="T29" i="71" s="1"/>
  <c r="O253" i="71"/>
  <c r="S253" i="71" s="1"/>
  <c r="T253" i="71" s="1"/>
  <c r="O221" i="71"/>
  <c r="S221" i="71" s="1"/>
  <c r="T221" i="71" s="1"/>
  <c r="O189" i="71"/>
  <c r="S189" i="71" s="1"/>
  <c r="T189" i="71" s="1"/>
  <c r="O153" i="71"/>
  <c r="S153" i="71" s="1"/>
  <c r="T153" i="71" s="1"/>
  <c r="O105" i="71"/>
  <c r="S105" i="71" s="1"/>
  <c r="T105" i="71" s="1"/>
  <c r="O172" i="71"/>
  <c r="S172" i="71" s="1"/>
  <c r="T172" i="71" s="1"/>
  <c r="O140" i="71"/>
  <c r="S140" i="71" s="1"/>
  <c r="T140" i="71" s="1"/>
  <c r="O116" i="71"/>
  <c r="S116" i="71" s="1"/>
  <c r="T116" i="71" s="1"/>
  <c r="O203" i="71"/>
  <c r="S203" i="71" s="1"/>
  <c r="T203" i="71" s="1"/>
  <c r="O171" i="71"/>
  <c r="S171" i="71" s="1"/>
  <c r="T171" i="71" s="1"/>
  <c r="O99" i="71"/>
  <c r="S99" i="71" s="1"/>
  <c r="T99" i="71" s="1"/>
  <c r="O83" i="71"/>
  <c r="S83" i="71" s="1"/>
  <c r="T83" i="71" s="1"/>
  <c r="O67" i="71"/>
  <c r="S67" i="71" s="1"/>
  <c r="T67" i="71" s="1"/>
  <c r="O51" i="71"/>
  <c r="S51" i="71" s="1"/>
  <c r="T51" i="71" s="1"/>
  <c r="O35" i="71"/>
  <c r="S35" i="71" s="1"/>
  <c r="T35" i="71" s="1"/>
  <c r="O19" i="71"/>
  <c r="S19" i="71" s="1"/>
  <c r="T19" i="71" s="1"/>
  <c r="O163" i="71"/>
  <c r="S163" i="71" s="1"/>
  <c r="T163" i="71" s="1"/>
  <c r="O131" i="71"/>
  <c r="S131" i="71" s="1"/>
  <c r="T131" i="71" s="1"/>
  <c r="O122" i="71"/>
  <c r="S122" i="71" s="1"/>
  <c r="T122" i="71" s="1"/>
  <c r="O138" i="71"/>
  <c r="S138" i="71" s="1"/>
  <c r="T138" i="71" s="1"/>
  <c r="O236" i="71"/>
  <c r="S236" i="71" s="1"/>
  <c r="T236" i="71" s="1"/>
  <c r="O204" i="71"/>
  <c r="S204" i="71" s="1"/>
  <c r="T204" i="71" s="1"/>
  <c r="O96" i="71"/>
  <c r="S96" i="71" s="1"/>
  <c r="T96" i="71" s="1"/>
  <c r="O80" i="71"/>
  <c r="S80" i="71" s="1"/>
  <c r="T80" i="71" s="1"/>
  <c r="O64" i="71"/>
  <c r="S64" i="71" s="1"/>
  <c r="T64" i="71" s="1"/>
  <c r="O48" i="71"/>
  <c r="S48" i="71" s="1"/>
  <c r="T48" i="71" s="1"/>
  <c r="O32" i="71"/>
  <c r="S32" i="71" s="1"/>
  <c r="T32" i="71" s="1"/>
  <c r="O16" i="71"/>
  <c r="S16" i="71" s="1"/>
  <c r="T16" i="71" s="1"/>
  <c r="O232" i="71"/>
  <c r="S232" i="71" s="1"/>
  <c r="T232" i="71" s="1"/>
  <c r="O200" i="71"/>
  <c r="S200" i="71" s="1"/>
  <c r="T200" i="71" s="1"/>
  <c r="O168" i="71"/>
  <c r="S168" i="71" s="1"/>
  <c r="T168" i="71" s="1"/>
  <c r="O136" i="71"/>
  <c r="S136" i="71" s="1"/>
  <c r="T136" i="71" s="1"/>
  <c r="O235" i="71"/>
  <c r="S235" i="71" s="1"/>
  <c r="T235" i="71" s="1"/>
  <c r="O143" i="71"/>
  <c r="S143" i="71" s="1"/>
  <c r="T143" i="71" s="1"/>
  <c r="O119" i="71"/>
  <c r="S119" i="71" s="1"/>
  <c r="T119" i="71" s="1"/>
  <c r="O231" i="71"/>
  <c r="S231" i="71" s="1"/>
  <c r="T231" i="71" s="1"/>
  <c r="O199" i="71"/>
  <c r="S199" i="71" s="1"/>
  <c r="T199" i="71" s="1"/>
  <c r="O246" i="71"/>
  <c r="S246" i="71" s="1"/>
  <c r="T246" i="71" s="1"/>
  <c r="O214" i="71"/>
  <c r="S214" i="71" s="1"/>
  <c r="T214" i="71" s="1"/>
  <c r="O178" i="71"/>
  <c r="S178" i="71" s="1"/>
  <c r="T178" i="71" s="1"/>
  <c r="O150" i="71"/>
  <c r="S150" i="71" s="1"/>
  <c r="T150" i="71" s="1"/>
  <c r="O102" i="71"/>
  <c r="S102" i="71" s="1"/>
  <c r="T102" i="71" s="1"/>
  <c r="O86" i="71"/>
  <c r="S86" i="71" s="1"/>
  <c r="T86" i="71" s="1"/>
  <c r="O70" i="71"/>
  <c r="S70" i="71" s="1"/>
  <c r="T70" i="71" s="1"/>
  <c r="O54" i="71"/>
  <c r="S54" i="71" s="1"/>
  <c r="T54" i="71" s="1"/>
  <c r="O38" i="71"/>
  <c r="S38" i="71" s="1"/>
  <c r="T38" i="71" s="1"/>
  <c r="O22" i="71"/>
  <c r="S22" i="71" s="1"/>
  <c r="T22" i="71" s="1"/>
  <c r="O234" i="71"/>
  <c r="S234" i="71" s="1"/>
  <c r="T234" i="71" s="1"/>
  <c r="O202" i="71"/>
  <c r="S202" i="71" s="1"/>
  <c r="T202" i="71" s="1"/>
  <c r="O174" i="71"/>
  <c r="S174" i="71" s="1"/>
  <c r="T174" i="71" s="1"/>
  <c r="O249" i="71"/>
  <c r="S249" i="71" s="1"/>
  <c r="T249" i="71" s="1"/>
  <c r="O217" i="71"/>
  <c r="S217" i="71" s="1"/>
  <c r="T217" i="71" s="1"/>
  <c r="O185" i="71"/>
  <c r="S185" i="71" s="1"/>
  <c r="T185" i="71" s="1"/>
  <c r="O157" i="71"/>
  <c r="S157" i="71" s="1"/>
  <c r="T157" i="71" s="1"/>
  <c r="O125" i="71"/>
  <c r="S125" i="71" s="1"/>
  <c r="T125" i="71" s="1"/>
  <c r="O109" i="71"/>
  <c r="S109" i="71" s="1"/>
  <c r="T109" i="71" s="1"/>
  <c r="O89" i="71"/>
  <c r="S89" i="71" s="1"/>
  <c r="T89" i="71" s="1"/>
  <c r="O73" i="71"/>
  <c r="S73" i="71" s="1"/>
  <c r="T73" i="71" s="1"/>
  <c r="O57" i="71"/>
  <c r="S57" i="71" s="1"/>
  <c r="T57" i="71" s="1"/>
  <c r="O41" i="71"/>
  <c r="S41" i="71" s="1"/>
  <c r="T41" i="71" s="1"/>
  <c r="O25" i="71"/>
  <c r="S25" i="71" s="1"/>
  <c r="T25" i="71" s="1"/>
  <c r="O245" i="71"/>
  <c r="S245" i="71" s="1"/>
  <c r="T245" i="71" s="1"/>
  <c r="O213" i="71"/>
  <c r="S213" i="71" s="1"/>
  <c r="T213" i="71" s="1"/>
  <c r="O181" i="71"/>
  <c r="S181" i="71" s="1"/>
  <c r="T181" i="71" s="1"/>
  <c r="O145" i="71"/>
  <c r="S145" i="71" s="1"/>
  <c r="T145" i="71" s="1"/>
  <c r="O164" i="71"/>
  <c r="S164" i="71" s="1"/>
  <c r="T164" i="71" s="1"/>
  <c r="O132" i="71"/>
  <c r="S132" i="71" s="1"/>
  <c r="T132" i="71" s="1"/>
  <c r="O92" i="71"/>
  <c r="S92" i="71" s="1"/>
  <c r="T92" i="71" s="1"/>
  <c r="O76" i="71"/>
  <c r="S76" i="71" s="1"/>
  <c r="T76" i="71" s="1"/>
  <c r="O60" i="71"/>
  <c r="S60" i="71" s="1"/>
  <c r="T60" i="71" s="1"/>
  <c r="O44" i="71"/>
  <c r="S44" i="71" s="1"/>
  <c r="T44" i="71" s="1"/>
  <c r="O28" i="71"/>
  <c r="S28" i="71" s="1"/>
  <c r="T28" i="71" s="1"/>
  <c r="O195" i="71"/>
  <c r="S195" i="71" s="1"/>
  <c r="T195" i="71" s="1"/>
  <c r="O115" i="71"/>
  <c r="S115" i="71" s="1"/>
  <c r="T115" i="71" s="1"/>
  <c r="O155" i="71"/>
  <c r="S155" i="71" s="1"/>
  <c r="T155" i="71" s="1"/>
  <c r="O107" i="71"/>
  <c r="S107" i="71" s="1"/>
  <c r="T107" i="71" s="1"/>
  <c r="O170" i="71"/>
  <c r="S170" i="71" s="1"/>
  <c r="T170" i="71" s="1"/>
  <c r="O98" i="71"/>
  <c r="S98" i="71" s="1"/>
  <c r="T98" i="71" s="1"/>
  <c r="O82" i="71"/>
  <c r="S82" i="71" s="1"/>
  <c r="T82" i="71" s="1"/>
  <c r="O66" i="71"/>
  <c r="S66" i="71" s="1"/>
  <c r="T66" i="71" s="1"/>
  <c r="O50" i="71"/>
  <c r="S50" i="71" s="1"/>
  <c r="T50" i="71" s="1"/>
  <c r="O34" i="71"/>
  <c r="S34" i="71" s="1"/>
  <c r="T34" i="71" s="1"/>
  <c r="O18" i="71"/>
  <c r="S18" i="71" s="1"/>
  <c r="T18" i="71" s="1"/>
  <c r="O162" i="71"/>
  <c r="S162" i="71" s="1"/>
  <c r="T162" i="71" s="1"/>
  <c r="O130" i="71"/>
  <c r="S130" i="71" s="1"/>
  <c r="T130" i="71" s="1"/>
  <c r="O15" i="71"/>
  <c r="S15" i="71" s="1"/>
  <c r="T15" i="71" s="1"/>
  <c r="O228" i="71"/>
  <c r="S228" i="71" s="1"/>
  <c r="T228" i="71" s="1"/>
  <c r="O196" i="71"/>
  <c r="S196" i="71" s="1"/>
  <c r="T196" i="71" s="1"/>
  <c r="O112" i="71"/>
  <c r="S112" i="71" s="1"/>
  <c r="T112" i="71" s="1"/>
  <c r="O256" i="71"/>
  <c r="S256" i="71" s="1"/>
  <c r="T256" i="71" s="1"/>
  <c r="O224" i="71"/>
  <c r="S224" i="71" s="1"/>
  <c r="T224" i="71" s="1"/>
  <c r="O192" i="71"/>
  <c r="S192" i="71" s="1"/>
  <c r="T192" i="71" s="1"/>
  <c r="O160" i="71"/>
  <c r="S160" i="71" s="1"/>
  <c r="T160" i="71" s="1"/>
  <c r="O128" i="71"/>
  <c r="S128" i="71" s="1"/>
  <c r="T128" i="71" s="1"/>
  <c r="O227" i="71"/>
  <c r="S227" i="71" s="1"/>
  <c r="T227" i="71" s="1"/>
  <c r="O167" i="71"/>
  <c r="S167" i="71" s="1"/>
  <c r="T167" i="71" s="1"/>
  <c r="O135" i="71"/>
  <c r="S135" i="71" s="1"/>
  <c r="T135" i="71" s="1"/>
  <c r="O95" i="71"/>
  <c r="S95" i="71" s="1"/>
  <c r="T95" i="71" s="1"/>
  <c r="O79" i="71"/>
  <c r="S79" i="71" s="1"/>
  <c r="T79" i="71" s="1"/>
  <c r="O63" i="71"/>
  <c r="S63" i="71" s="1"/>
  <c r="T63" i="71" s="1"/>
  <c r="O47" i="71"/>
  <c r="S47" i="71" s="1"/>
  <c r="T47" i="71" s="1"/>
  <c r="O31" i="71"/>
  <c r="S31" i="71" s="1"/>
  <c r="T31" i="71" s="1"/>
  <c r="O255" i="71"/>
  <c r="S255" i="71" s="1"/>
  <c r="T255" i="71" s="1"/>
  <c r="O223" i="71"/>
  <c r="S223" i="71" s="1"/>
  <c r="T223" i="71" s="1"/>
  <c r="O191" i="71"/>
  <c r="S191" i="71" s="1"/>
  <c r="T191" i="71" s="1"/>
  <c r="O238" i="71"/>
  <c r="S238" i="71" s="1"/>
  <c r="T238" i="71" s="1"/>
  <c r="O206" i="71"/>
  <c r="S206" i="71" s="1"/>
  <c r="T206" i="71" s="1"/>
  <c r="O142" i="71"/>
  <c r="S142" i="71" s="1"/>
  <c r="T142" i="71" s="1"/>
  <c r="O118" i="71"/>
  <c r="S118" i="71" s="1"/>
  <c r="T118" i="71" s="1"/>
  <c r="O226" i="71"/>
  <c r="S226" i="71" s="1"/>
  <c r="T226" i="71" s="1"/>
  <c r="O194" i="71"/>
  <c r="S194" i="71" s="1"/>
  <c r="T194" i="71" s="1"/>
  <c r="O241" i="71"/>
  <c r="S241" i="71" s="1"/>
  <c r="T241" i="71" s="1"/>
  <c r="O209" i="71"/>
  <c r="S209" i="71" s="1"/>
  <c r="T209" i="71" s="1"/>
  <c r="O177" i="71"/>
  <c r="S177" i="71" s="1"/>
  <c r="T177" i="71" s="1"/>
  <c r="O149" i="71"/>
  <c r="S149" i="71" s="1"/>
  <c r="T149" i="71" s="1"/>
  <c r="O121" i="71"/>
  <c r="S121" i="71" s="1"/>
  <c r="T121" i="71" s="1"/>
  <c r="O101" i="71"/>
  <c r="S101" i="71" s="1"/>
  <c r="T101" i="71" s="1"/>
  <c r="O85" i="71"/>
  <c r="S85" i="71" s="1"/>
  <c r="T85" i="71" s="1"/>
  <c r="O69" i="71"/>
  <c r="S69" i="71" s="1"/>
  <c r="T69" i="71" s="1"/>
  <c r="O53" i="71"/>
  <c r="S53" i="71" s="1"/>
  <c r="T53" i="71" s="1"/>
  <c r="O37" i="71"/>
  <c r="S37" i="71" s="1"/>
  <c r="T37" i="71" s="1"/>
  <c r="O21" i="71"/>
  <c r="S21" i="71" s="1"/>
  <c r="T21" i="71" s="1"/>
  <c r="O237" i="71"/>
  <c r="S237" i="71" s="1"/>
  <c r="T237" i="71" s="1"/>
  <c r="O205" i="71"/>
  <c r="S205" i="71" s="1"/>
  <c r="T205" i="71" s="1"/>
  <c r="O173" i="71"/>
  <c r="S173" i="71" s="1"/>
  <c r="T173" i="71" s="1"/>
  <c r="O137" i="71"/>
  <c r="S137" i="71" s="1"/>
  <c r="T137" i="71" s="1"/>
  <c r="O156" i="71"/>
  <c r="S156" i="71" s="1"/>
  <c r="T156" i="71" s="1"/>
  <c r="O124" i="71"/>
  <c r="S124" i="71" s="1"/>
  <c r="T124" i="71" s="1"/>
  <c r="O108" i="71"/>
  <c r="S108" i="71" s="1"/>
  <c r="T108" i="71" s="1"/>
  <c r="X64" i="57"/>
  <c r="AB64" i="53"/>
  <c r="AA64" i="53"/>
  <c r="AE65" i="53"/>
  <c r="AC65" i="53"/>
  <c r="AF64" i="53"/>
  <c r="AE65" i="57"/>
  <c r="AC65" i="57"/>
  <c r="R65" i="57"/>
  <c r="R65" i="53"/>
  <c r="X65" i="53" s="1"/>
  <c r="AW59" i="22"/>
  <c r="D45" i="22"/>
  <c r="P114" i="11"/>
  <c r="Q114" i="11" s="1"/>
  <c r="D41" i="22"/>
  <c r="P109" i="11"/>
  <c r="Q109" i="11" s="1"/>
  <c r="D44" i="22"/>
  <c r="P116" i="11"/>
  <c r="Q116" i="11" s="1"/>
  <c r="D37" i="22"/>
  <c r="P106" i="11"/>
  <c r="Q106" i="11" s="1"/>
  <c r="D43" i="22"/>
  <c r="P115" i="11"/>
  <c r="Q115" i="11" s="1"/>
  <c r="D46" i="22"/>
  <c r="P120" i="11"/>
  <c r="Q120" i="11" s="1"/>
  <c r="D42" i="22"/>
  <c r="P110" i="11"/>
  <c r="Q110" i="11" s="1"/>
  <c r="AE13" i="46"/>
  <c r="AE12" i="46"/>
  <c r="AE15" i="46"/>
  <c r="AE14" i="46"/>
  <c r="AE11" i="46"/>
  <c r="AE226" i="46"/>
  <c r="AE150" i="46"/>
  <c r="AE130" i="46"/>
  <c r="AE118" i="46"/>
  <c r="AE98" i="46"/>
  <c r="AE86" i="46"/>
  <c r="AE66" i="46"/>
  <c r="AE54" i="46"/>
  <c r="AE22" i="46"/>
  <c r="AE246" i="46"/>
  <c r="AE182" i="46"/>
  <c r="AE205" i="46"/>
  <c r="AE169" i="46"/>
  <c r="AE57" i="46"/>
  <c r="AE25" i="46"/>
  <c r="AE241" i="46"/>
  <c r="AE177" i="46"/>
  <c r="AE204" i="46"/>
  <c r="AE128" i="46"/>
  <c r="AE96" i="46"/>
  <c r="AE76" i="46"/>
  <c r="AE64" i="46"/>
  <c r="AE44" i="46"/>
  <c r="AE32" i="46"/>
  <c r="AE224" i="46"/>
  <c r="AE255" i="46"/>
  <c r="AE155" i="46"/>
  <c r="AE143" i="46"/>
  <c r="AE123" i="46"/>
  <c r="AE111" i="46"/>
  <c r="AE91" i="46"/>
  <c r="AE79" i="46"/>
  <c r="AE47" i="46"/>
  <c r="AE211" i="46"/>
  <c r="AE191" i="46"/>
  <c r="AE202" i="46"/>
  <c r="AE42" i="46"/>
  <c r="AE222" i="46"/>
  <c r="AE245" i="46"/>
  <c r="AE181" i="46"/>
  <c r="AE153" i="46"/>
  <c r="AE141" i="46"/>
  <c r="AE121" i="46"/>
  <c r="AE109" i="46"/>
  <c r="AE89" i="46"/>
  <c r="AE77" i="46"/>
  <c r="AE45" i="46"/>
  <c r="AE253" i="46"/>
  <c r="AE217" i="46"/>
  <c r="AE244" i="46"/>
  <c r="AE180" i="46"/>
  <c r="AE140" i="46"/>
  <c r="AE108" i="46"/>
  <c r="AE200" i="46"/>
  <c r="AE231" i="46"/>
  <c r="AE187" i="46"/>
  <c r="AE167" i="46"/>
  <c r="AE67" i="46"/>
  <c r="AE35" i="46"/>
  <c r="AE251" i="46"/>
  <c r="AE159" i="46"/>
  <c r="AE16" i="46"/>
  <c r="AE242" i="46"/>
  <c r="AE178" i="46"/>
  <c r="AE138" i="46"/>
  <c r="AE126" i="46"/>
  <c r="AE106" i="46"/>
  <c r="AE94" i="46"/>
  <c r="AE74" i="46"/>
  <c r="AE62" i="46"/>
  <c r="AE30" i="46"/>
  <c r="AE198" i="46"/>
  <c r="AE221" i="46"/>
  <c r="AE33" i="46"/>
  <c r="AE193" i="46"/>
  <c r="AE165" i="46"/>
  <c r="AE220" i="46"/>
  <c r="AE164" i="46"/>
  <c r="AE136" i="46"/>
  <c r="AE104" i="46"/>
  <c r="AE84" i="46"/>
  <c r="AE72" i="46"/>
  <c r="AE52" i="46"/>
  <c r="AE40" i="46"/>
  <c r="AE20" i="46"/>
  <c r="AE240" i="46"/>
  <c r="AE176" i="46"/>
  <c r="AE151" i="46"/>
  <c r="AE131" i="46"/>
  <c r="AE119" i="46"/>
  <c r="AE99" i="46"/>
  <c r="AE87" i="46"/>
  <c r="AE55" i="46"/>
  <c r="AE23" i="46"/>
  <c r="AE227" i="46"/>
  <c r="AE207" i="46"/>
  <c r="AE218" i="46"/>
  <c r="AE162" i="46"/>
  <c r="AE50" i="46"/>
  <c r="AE18" i="46"/>
  <c r="AE238" i="46"/>
  <c r="AE174" i="46"/>
  <c r="AE197" i="46"/>
  <c r="AE161" i="46"/>
  <c r="AE149" i="46"/>
  <c r="AE129" i="46"/>
  <c r="AE117" i="46"/>
  <c r="AE97" i="46"/>
  <c r="AE85" i="46"/>
  <c r="AE65" i="46"/>
  <c r="AE53" i="46"/>
  <c r="AE21" i="46"/>
  <c r="AE233" i="46"/>
  <c r="AE196" i="46"/>
  <c r="AE148" i="46"/>
  <c r="AE116" i="46"/>
  <c r="AE216" i="46"/>
  <c r="AE247" i="46"/>
  <c r="AE203" i="46"/>
  <c r="AE75" i="46"/>
  <c r="AE43" i="46"/>
  <c r="AE183" i="46"/>
  <c r="AE194" i="46"/>
  <c r="AE146" i="46"/>
  <c r="AE134" i="46"/>
  <c r="AE114" i="46"/>
  <c r="AE102" i="46"/>
  <c r="AE82" i="46"/>
  <c r="AE70" i="46"/>
  <c r="AE38" i="46"/>
  <c r="AE214" i="46"/>
  <c r="AE237" i="46"/>
  <c r="AE173" i="46"/>
  <c r="AE41" i="46"/>
  <c r="AE209" i="46"/>
  <c r="AE236" i="46"/>
  <c r="AE172" i="46"/>
  <c r="AE144" i="46"/>
  <c r="AE112" i="46"/>
  <c r="AE80" i="46"/>
  <c r="AE60" i="46"/>
  <c r="AE48" i="46"/>
  <c r="AE28" i="46"/>
  <c r="AE256" i="46"/>
  <c r="AE192" i="46"/>
  <c r="AE223" i="46"/>
  <c r="AE179" i="46"/>
  <c r="AE139" i="46"/>
  <c r="AE127" i="46"/>
  <c r="AE107" i="46"/>
  <c r="AE95" i="46"/>
  <c r="AE63" i="46"/>
  <c r="AE31" i="46"/>
  <c r="AE243" i="46"/>
  <c r="AE234" i="46"/>
  <c r="AE170" i="46"/>
  <c r="AE58" i="46"/>
  <c r="AE26" i="46"/>
  <c r="AE254" i="46"/>
  <c r="AE190" i="46"/>
  <c r="AE213" i="46"/>
  <c r="AE157" i="46"/>
  <c r="AE137" i="46"/>
  <c r="AE125" i="46"/>
  <c r="AE105" i="46"/>
  <c r="AE93" i="46"/>
  <c r="AE73" i="46"/>
  <c r="AE61" i="46"/>
  <c r="AE29" i="46"/>
  <c r="AE249" i="46"/>
  <c r="AE185" i="46"/>
  <c r="AE212" i="46"/>
  <c r="AE168" i="46"/>
  <c r="AE156" i="46"/>
  <c r="AE124" i="46"/>
  <c r="AE92" i="46"/>
  <c r="AE232" i="46"/>
  <c r="AE160" i="46"/>
  <c r="AE163" i="46"/>
  <c r="AE83" i="46"/>
  <c r="AE51" i="46"/>
  <c r="AE19" i="46"/>
  <c r="AE219" i="46"/>
  <c r="AE199" i="46"/>
  <c r="AE210" i="46"/>
  <c r="AE154" i="46"/>
  <c r="AE142" i="46"/>
  <c r="AE122" i="46"/>
  <c r="AE110" i="46"/>
  <c r="AE90" i="46"/>
  <c r="AE78" i="46"/>
  <c r="AE46" i="46"/>
  <c r="AE230" i="46"/>
  <c r="AE158" i="46"/>
  <c r="AE189" i="46"/>
  <c r="AE49" i="46"/>
  <c r="AE17" i="46"/>
  <c r="AE225" i="46"/>
  <c r="AE252" i="46"/>
  <c r="AE188" i="46"/>
  <c r="AE152" i="46"/>
  <c r="AE120" i="46"/>
  <c r="AE88" i="46"/>
  <c r="AE68" i="46"/>
  <c r="AE56" i="46"/>
  <c r="AE36" i="46"/>
  <c r="AE24" i="46"/>
  <c r="AE208" i="46"/>
  <c r="AE239" i="46"/>
  <c r="AE195" i="46"/>
  <c r="AE147" i="46"/>
  <c r="AE135" i="46"/>
  <c r="AE115" i="46"/>
  <c r="AE103" i="46"/>
  <c r="AE71" i="46"/>
  <c r="AE39" i="46"/>
  <c r="AE175" i="46"/>
  <c r="AE250" i="46"/>
  <c r="AE186" i="46"/>
  <c r="AE166" i="46"/>
  <c r="AE34" i="46"/>
  <c r="AE206" i="46"/>
  <c r="AE229" i="46"/>
  <c r="AE145" i="46"/>
  <c r="AE133" i="46"/>
  <c r="AE113" i="46"/>
  <c r="AE101" i="46"/>
  <c r="AE81" i="46"/>
  <c r="AE69" i="46"/>
  <c r="AE37" i="46"/>
  <c r="AE201" i="46"/>
  <c r="AE228" i="46"/>
  <c r="AE132" i="46"/>
  <c r="AE100" i="46"/>
  <c r="AE248" i="46"/>
  <c r="AE184" i="46"/>
  <c r="AE215" i="46"/>
  <c r="AE171" i="46"/>
  <c r="AE59" i="46"/>
  <c r="AE27" i="46"/>
  <c r="AE235" i="46"/>
  <c r="AX49" i="69"/>
  <c r="AG66" i="57"/>
  <c r="L66" i="57"/>
  <c r="AJ65" i="57"/>
  <c r="AP65" i="57"/>
  <c r="AG65" i="53"/>
  <c r="AH65" i="53"/>
  <c r="AT65" i="53"/>
  <c r="N66" i="57"/>
  <c r="P66" i="53"/>
  <c r="N66" i="53"/>
  <c r="AH49" i="69"/>
  <c r="AD65" i="57"/>
  <c r="AD65" i="53"/>
  <c r="Q65" i="53"/>
  <c r="G66" i="53"/>
  <c r="I66" i="53"/>
  <c r="AK65" i="52" a="1"/>
  <c r="AK65" i="52" s="1"/>
  <c r="B67" i="53" s="1"/>
  <c r="O67" i="53" s="1"/>
  <c r="C66" i="53"/>
  <c r="F66" i="53"/>
  <c r="H66" i="53"/>
  <c r="L66" i="53"/>
  <c r="E66" i="53"/>
  <c r="K66" i="53"/>
  <c r="J66" i="53"/>
  <c r="D66" i="53"/>
  <c r="M66" i="53"/>
  <c r="Q65" i="57"/>
  <c r="T65" i="57" s="1"/>
  <c r="X65" i="57" s="1"/>
  <c r="AA65" i="57" s="1"/>
  <c r="E66" i="57"/>
  <c r="J66" i="57"/>
  <c r="H66" i="57"/>
  <c r="D66" i="57"/>
  <c r="K66" i="57"/>
  <c r="F66" i="57"/>
  <c r="I66" i="57"/>
  <c r="P66" i="57"/>
  <c r="C66" i="57"/>
  <c r="M66" i="57" s="1"/>
  <c r="G66" i="57"/>
  <c r="C89" i="36"/>
  <c r="AK65" i="55" a="1"/>
  <c r="AK65" i="55" s="1"/>
  <c r="B67" i="57" s="1"/>
  <c r="O67" i="57" s="1"/>
  <c r="O11" i="46"/>
  <c r="C51" i="69"/>
  <c r="AN51" i="67" a="1"/>
  <c r="AN51" i="67" s="1"/>
  <c r="B52" i="69"/>
  <c r="D50" i="69"/>
  <c r="E50" i="69" s="1"/>
  <c r="F50" i="69" s="1"/>
  <c r="G50" i="69" s="1"/>
  <c r="H50" i="69" s="1"/>
  <c r="I50" i="69" s="1"/>
  <c r="J50" i="69" s="1"/>
  <c r="K50" i="69" s="1"/>
  <c r="M50" i="69" s="1"/>
  <c r="N50" i="69"/>
  <c r="AF50" i="69" s="1"/>
  <c r="Q49" i="69"/>
  <c r="U49" i="69"/>
  <c r="R49" i="69"/>
  <c r="S49" i="69" s="1"/>
  <c r="Y49" i="69" s="1"/>
  <c r="AE49" i="69"/>
  <c r="C18" i="28"/>
  <c r="E5" i="28"/>
  <c r="C9" i="28"/>
  <c r="C5" i="28"/>
  <c r="O106" i="46"/>
  <c r="S106" i="46" s="1"/>
  <c r="T106" i="46" s="1"/>
  <c r="O90" i="46"/>
  <c r="S90" i="46" s="1"/>
  <c r="T90" i="46" s="1"/>
  <c r="O74" i="46"/>
  <c r="S74" i="46" s="1"/>
  <c r="T74" i="46" s="1"/>
  <c r="O58" i="46"/>
  <c r="S58" i="46" s="1"/>
  <c r="T58" i="46" s="1"/>
  <c r="O251" i="46"/>
  <c r="S251" i="46" s="1"/>
  <c r="T251" i="46" s="1"/>
  <c r="O217" i="46"/>
  <c r="S217" i="46" s="1"/>
  <c r="T217" i="46" s="1"/>
  <c r="O185" i="46"/>
  <c r="S185" i="46" s="1"/>
  <c r="T185" i="46" s="1"/>
  <c r="O153" i="46"/>
  <c r="S153" i="46" s="1"/>
  <c r="T153" i="46" s="1"/>
  <c r="O121" i="46"/>
  <c r="S121" i="46" s="1"/>
  <c r="T121" i="46" s="1"/>
  <c r="O71" i="46"/>
  <c r="S71" i="46" s="1"/>
  <c r="T71" i="46" s="1"/>
  <c r="O26" i="46"/>
  <c r="S26" i="46" s="1"/>
  <c r="T26" i="46" s="1"/>
  <c r="O253" i="46"/>
  <c r="S253" i="46" s="1"/>
  <c r="T253" i="46" s="1"/>
  <c r="O214" i="46"/>
  <c r="S214" i="46" s="1"/>
  <c r="T214" i="46" s="1"/>
  <c r="O182" i="46"/>
  <c r="S182" i="46" s="1"/>
  <c r="T182" i="46" s="1"/>
  <c r="O150" i="46"/>
  <c r="S150" i="46" s="1"/>
  <c r="T150" i="46" s="1"/>
  <c r="O118" i="46"/>
  <c r="S118" i="46" s="1"/>
  <c r="T118" i="46" s="1"/>
  <c r="O73" i="46"/>
  <c r="S73" i="46" s="1"/>
  <c r="T73" i="46" s="1"/>
  <c r="O23" i="46"/>
  <c r="S23" i="46" s="1"/>
  <c r="T23" i="46" s="1"/>
  <c r="O236" i="46"/>
  <c r="S236" i="46" s="1"/>
  <c r="T236" i="46" s="1"/>
  <c r="O173" i="46"/>
  <c r="S173" i="46" s="1"/>
  <c r="T173" i="46" s="1"/>
  <c r="O109" i="46"/>
  <c r="S109" i="46" s="1"/>
  <c r="T109" i="46" s="1"/>
  <c r="O14" i="46"/>
  <c r="O197" i="46"/>
  <c r="S197" i="46" s="1"/>
  <c r="T197" i="46" s="1"/>
  <c r="O159" i="46"/>
  <c r="S159" i="46" s="1"/>
  <c r="T159" i="46" s="1"/>
  <c r="O85" i="46"/>
  <c r="S85" i="46" s="1"/>
  <c r="T85" i="46" s="1"/>
  <c r="O215" i="46"/>
  <c r="S215" i="46" s="1"/>
  <c r="T215" i="46" s="1"/>
  <c r="O151" i="46"/>
  <c r="S151" i="46" s="1"/>
  <c r="T151" i="46" s="1"/>
  <c r="O61" i="46"/>
  <c r="S61" i="46" s="1"/>
  <c r="T61" i="46" s="1"/>
  <c r="O160" i="46"/>
  <c r="S160" i="46" s="1"/>
  <c r="T160" i="46" s="1"/>
  <c r="O22" i="46"/>
  <c r="S22" i="46" s="1"/>
  <c r="T22" i="46" s="1"/>
  <c r="O175" i="46"/>
  <c r="S175" i="46" s="1"/>
  <c r="T175" i="46" s="1"/>
  <c r="O104" i="46"/>
  <c r="S104" i="46" s="1"/>
  <c r="T104" i="46" s="1"/>
  <c r="O88" i="46"/>
  <c r="S88" i="46" s="1"/>
  <c r="T88" i="46" s="1"/>
  <c r="O72" i="46"/>
  <c r="S72" i="46" s="1"/>
  <c r="T72" i="46" s="1"/>
  <c r="O56" i="46"/>
  <c r="S56" i="46" s="1"/>
  <c r="T56" i="46" s="1"/>
  <c r="O248" i="46"/>
  <c r="S248" i="46" s="1"/>
  <c r="T248" i="46" s="1"/>
  <c r="O212" i="46"/>
  <c r="S212" i="46" s="1"/>
  <c r="T212" i="46" s="1"/>
  <c r="O180" i="46"/>
  <c r="S180" i="46" s="1"/>
  <c r="T180" i="46" s="1"/>
  <c r="O148" i="46"/>
  <c r="S148" i="46" s="1"/>
  <c r="T148" i="46" s="1"/>
  <c r="O116" i="46"/>
  <c r="S116" i="46" s="1"/>
  <c r="T116" i="46" s="1"/>
  <c r="O63" i="46"/>
  <c r="S63" i="46" s="1"/>
  <c r="T63" i="46" s="1"/>
  <c r="O21" i="46"/>
  <c r="S21" i="46" s="1"/>
  <c r="T21" i="46" s="1"/>
  <c r="O250" i="46"/>
  <c r="S250" i="46" s="1"/>
  <c r="T250" i="46" s="1"/>
  <c r="O211" i="46"/>
  <c r="S211" i="46" s="1"/>
  <c r="T211" i="46" s="1"/>
  <c r="O179" i="46"/>
  <c r="S179" i="46" s="1"/>
  <c r="T179" i="46" s="1"/>
  <c r="O147" i="46"/>
  <c r="S147" i="46" s="1"/>
  <c r="T147" i="46" s="1"/>
  <c r="O115" i="46"/>
  <c r="S115" i="46" s="1"/>
  <c r="T115" i="46" s="1"/>
  <c r="O65" i="46"/>
  <c r="S65" i="46" s="1"/>
  <c r="T65" i="46" s="1"/>
  <c r="O20" i="46"/>
  <c r="S20" i="46" s="1"/>
  <c r="T20" i="46" s="1"/>
  <c r="O226" i="46"/>
  <c r="S226" i="46" s="1"/>
  <c r="T226" i="46" s="1"/>
  <c r="O168" i="46"/>
  <c r="S168" i="46" s="1"/>
  <c r="T168" i="46" s="1"/>
  <c r="O99" i="46"/>
  <c r="S99" i="46" s="1"/>
  <c r="T99" i="46" s="1"/>
  <c r="O181" i="46"/>
  <c r="S181" i="46" s="1"/>
  <c r="T181" i="46" s="1"/>
  <c r="O154" i="46"/>
  <c r="S154" i="46" s="1"/>
  <c r="T154" i="46" s="1"/>
  <c r="O16" i="46"/>
  <c r="O210" i="46"/>
  <c r="S210" i="46" s="1"/>
  <c r="T210" i="46" s="1"/>
  <c r="O146" i="46"/>
  <c r="S146" i="46" s="1"/>
  <c r="T146" i="46" s="1"/>
  <c r="O45" i="46"/>
  <c r="S45" i="46" s="1"/>
  <c r="T45" i="46" s="1"/>
  <c r="O149" i="46"/>
  <c r="S149" i="46" s="1"/>
  <c r="T149" i="46" s="1"/>
  <c r="O17" i="46"/>
  <c r="O170" i="46"/>
  <c r="S170" i="46" s="1"/>
  <c r="T170" i="46" s="1"/>
  <c r="O102" i="46"/>
  <c r="S102" i="46" s="1"/>
  <c r="T102" i="46" s="1"/>
  <c r="O86" i="46"/>
  <c r="S86" i="46" s="1"/>
  <c r="T86" i="46" s="1"/>
  <c r="O70" i="46"/>
  <c r="S70" i="46" s="1"/>
  <c r="T70" i="46" s="1"/>
  <c r="O54" i="46"/>
  <c r="S54" i="46" s="1"/>
  <c r="T54" i="46" s="1"/>
  <c r="O243" i="46"/>
  <c r="S243" i="46" s="1"/>
  <c r="T243" i="46" s="1"/>
  <c r="O209" i="46"/>
  <c r="S209" i="46" s="1"/>
  <c r="T209" i="46" s="1"/>
  <c r="O177" i="46"/>
  <c r="S177" i="46" s="1"/>
  <c r="T177" i="46" s="1"/>
  <c r="O100" i="46"/>
  <c r="S100" i="46" s="1"/>
  <c r="T100" i="46" s="1"/>
  <c r="O84" i="46"/>
  <c r="S84" i="46" s="1"/>
  <c r="T84" i="46" s="1"/>
  <c r="O68" i="46"/>
  <c r="S68" i="46" s="1"/>
  <c r="T68" i="46" s="1"/>
  <c r="O52" i="46"/>
  <c r="S52" i="46" s="1"/>
  <c r="T52" i="46" s="1"/>
  <c r="O240" i="46"/>
  <c r="S240" i="46" s="1"/>
  <c r="T240" i="46" s="1"/>
  <c r="O204" i="46"/>
  <c r="S204" i="46" s="1"/>
  <c r="T204" i="46" s="1"/>
  <c r="O172" i="46"/>
  <c r="S172" i="46" s="1"/>
  <c r="T172" i="46" s="1"/>
  <c r="O140" i="46"/>
  <c r="S140" i="46" s="1"/>
  <c r="T140" i="46" s="1"/>
  <c r="O108" i="46"/>
  <c r="S108" i="46" s="1"/>
  <c r="T108" i="46" s="1"/>
  <c r="O47" i="46"/>
  <c r="S47" i="46" s="1"/>
  <c r="T47" i="46" s="1"/>
  <c r="O13" i="46"/>
  <c r="O242" i="46"/>
  <c r="S242" i="46" s="1"/>
  <c r="T242" i="46" s="1"/>
  <c r="O203" i="46"/>
  <c r="S203" i="46" s="1"/>
  <c r="T203" i="46" s="1"/>
  <c r="O171" i="46"/>
  <c r="S171" i="46" s="1"/>
  <c r="T171" i="46" s="1"/>
  <c r="O139" i="46"/>
  <c r="S139" i="46" s="1"/>
  <c r="T139" i="46" s="1"/>
  <c r="O107" i="46"/>
  <c r="S107" i="46" s="1"/>
  <c r="T107" i="46" s="1"/>
  <c r="O49" i="46"/>
  <c r="S49" i="46" s="1"/>
  <c r="T49" i="46" s="1"/>
  <c r="O12" i="46"/>
  <c r="O216" i="46"/>
  <c r="S216" i="46" s="1"/>
  <c r="T216" i="46" s="1"/>
  <c r="O152" i="46"/>
  <c r="S152" i="46" s="1"/>
  <c r="T152" i="46" s="1"/>
  <c r="O67" i="46"/>
  <c r="S67" i="46" s="1"/>
  <c r="T67" i="46" s="1"/>
  <c r="O133" i="46"/>
  <c r="S133" i="46" s="1"/>
  <c r="T133" i="46" s="1"/>
  <c r="O254" i="46"/>
  <c r="S254" i="46" s="1"/>
  <c r="T254" i="46" s="1"/>
  <c r="O138" i="46"/>
  <c r="S138" i="46" s="1"/>
  <c r="T138" i="46" s="1"/>
  <c r="O194" i="46"/>
  <c r="S194" i="46" s="1"/>
  <c r="T194" i="46" s="1"/>
  <c r="O130" i="46"/>
  <c r="S130" i="46" s="1"/>
  <c r="T130" i="46" s="1"/>
  <c r="O35" i="46"/>
  <c r="S35" i="46" s="1"/>
  <c r="T35" i="46" s="1"/>
  <c r="O239" i="46"/>
  <c r="S239" i="46" s="1"/>
  <c r="T239" i="46" s="1"/>
  <c r="O117" i="46"/>
  <c r="S117" i="46" s="1"/>
  <c r="T117" i="46" s="1"/>
  <c r="O238" i="46"/>
  <c r="S238" i="46" s="1"/>
  <c r="T238" i="46" s="1"/>
  <c r="O53" i="46"/>
  <c r="S53" i="46" s="1"/>
  <c r="T53" i="46" s="1"/>
  <c r="O229" i="46"/>
  <c r="S229" i="46" s="1"/>
  <c r="T229" i="46" s="1"/>
  <c r="O94" i="46"/>
  <c r="S94" i="46" s="1"/>
  <c r="T94" i="46" s="1"/>
  <c r="O78" i="46"/>
  <c r="S78" i="46" s="1"/>
  <c r="T78" i="46" s="1"/>
  <c r="O62" i="46"/>
  <c r="S62" i="46" s="1"/>
  <c r="T62" i="46" s="1"/>
  <c r="O46" i="46"/>
  <c r="S46" i="46" s="1"/>
  <c r="T46" i="46" s="1"/>
  <c r="O225" i="46"/>
  <c r="S225" i="46" s="1"/>
  <c r="T225" i="46" s="1"/>
  <c r="O193" i="46"/>
  <c r="S193" i="46" s="1"/>
  <c r="T193" i="46" s="1"/>
  <c r="O161" i="46"/>
  <c r="S161" i="46" s="1"/>
  <c r="T161" i="46" s="1"/>
  <c r="O129" i="46"/>
  <c r="S129" i="46" s="1"/>
  <c r="T129" i="46" s="1"/>
  <c r="O87" i="46"/>
  <c r="S87" i="46" s="1"/>
  <c r="T87" i="46" s="1"/>
  <c r="O34" i="46"/>
  <c r="S34" i="46" s="1"/>
  <c r="T34" i="46" s="1"/>
  <c r="O227" i="46"/>
  <c r="S227" i="46" s="1"/>
  <c r="T227" i="46" s="1"/>
  <c r="O92" i="46"/>
  <c r="S92" i="46" s="1"/>
  <c r="T92" i="46" s="1"/>
  <c r="O76" i="46"/>
  <c r="S76" i="46" s="1"/>
  <c r="T76" i="46" s="1"/>
  <c r="O60" i="46"/>
  <c r="S60" i="46" s="1"/>
  <c r="T60" i="46" s="1"/>
  <c r="O44" i="46"/>
  <c r="S44" i="46" s="1"/>
  <c r="T44" i="46" s="1"/>
  <c r="O256" i="46"/>
  <c r="S256" i="46" s="1"/>
  <c r="T256" i="46" s="1"/>
  <c r="O220" i="46"/>
  <c r="S220" i="46" s="1"/>
  <c r="T220" i="46" s="1"/>
  <c r="O188" i="46"/>
  <c r="S188" i="46" s="1"/>
  <c r="T188" i="46" s="1"/>
  <c r="O156" i="46"/>
  <c r="S156" i="46" s="1"/>
  <c r="T156" i="46" s="1"/>
  <c r="O124" i="46"/>
  <c r="S124" i="46" s="1"/>
  <c r="T124" i="46" s="1"/>
  <c r="O79" i="46"/>
  <c r="S79" i="46" s="1"/>
  <c r="T79" i="46" s="1"/>
  <c r="O29" i="46"/>
  <c r="S29" i="46" s="1"/>
  <c r="T29" i="46" s="1"/>
  <c r="O219" i="46"/>
  <c r="S219" i="46" s="1"/>
  <c r="T219" i="46" s="1"/>
  <c r="O187" i="46"/>
  <c r="S187" i="46" s="1"/>
  <c r="T187" i="46" s="1"/>
  <c r="O155" i="46"/>
  <c r="S155" i="46" s="1"/>
  <c r="T155" i="46" s="1"/>
  <c r="O123" i="46"/>
  <c r="S123" i="46" s="1"/>
  <c r="T123" i="46" s="1"/>
  <c r="O81" i="46"/>
  <c r="S81" i="46" s="1"/>
  <c r="T81" i="46" s="1"/>
  <c r="O28" i="46"/>
  <c r="S28" i="46" s="1"/>
  <c r="T28" i="46" s="1"/>
  <c r="O247" i="46"/>
  <c r="S247" i="46" s="1"/>
  <c r="T247" i="46" s="1"/>
  <c r="O184" i="46"/>
  <c r="S184" i="46" s="1"/>
  <c r="T184" i="46" s="1"/>
  <c r="O120" i="46"/>
  <c r="S120" i="46" s="1"/>
  <c r="T120" i="46" s="1"/>
  <c r="O25" i="46"/>
  <c r="S25" i="46" s="1"/>
  <c r="T25" i="46" s="1"/>
  <c r="O224" i="46"/>
  <c r="S224" i="46" s="1"/>
  <c r="T224" i="46" s="1"/>
  <c r="O33" i="46"/>
  <c r="S33" i="46" s="1"/>
  <c r="T33" i="46" s="1"/>
  <c r="O202" i="46"/>
  <c r="S202" i="46" s="1"/>
  <c r="T202" i="46" s="1"/>
  <c r="O101" i="46"/>
  <c r="S101" i="46" s="1"/>
  <c r="T101" i="46" s="1"/>
  <c r="O241" i="46"/>
  <c r="S241" i="46" s="1"/>
  <c r="T241" i="46" s="1"/>
  <c r="O162" i="46"/>
  <c r="S162" i="46" s="1"/>
  <c r="T162" i="46" s="1"/>
  <c r="O77" i="46"/>
  <c r="S77" i="46" s="1"/>
  <c r="T77" i="46" s="1"/>
  <c r="O165" i="46"/>
  <c r="S165" i="46" s="1"/>
  <c r="T165" i="46" s="1"/>
  <c r="O38" i="46"/>
  <c r="S38" i="46" s="1"/>
  <c r="T38" i="46" s="1"/>
  <c r="O186" i="46"/>
  <c r="S186" i="46" s="1"/>
  <c r="T186" i="46" s="1"/>
  <c r="O66" i="46"/>
  <c r="S66" i="46" s="1"/>
  <c r="T66" i="46" s="1"/>
  <c r="O169" i="46"/>
  <c r="S169" i="46" s="1"/>
  <c r="T169" i="46" s="1"/>
  <c r="O55" i="46"/>
  <c r="S55" i="46" s="1"/>
  <c r="T55" i="46" s="1"/>
  <c r="O198" i="46"/>
  <c r="S198" i="46" s="1"/>
  <c r="T198" i="46" s="1"/>
  <c r="O134" i="46"/>
  <c r="S134" i="46" s="1"/>
  <c r="T134" i="46" s="1"/>
  <c r="O39" i="46"/>
  <c r="S39" i="46" s="1"/>
  <c r="T39" i="46" s="1"/>
  <c r="O205" i="46"/>
  <c r="S205" i="46" s="1"/>
  <c r="T205" i="46" s="1"/>
  <c r="O51" i="46"/>
  <c r="S51" i="46" s="1"/>
  <c r="T51" i="46" s="1"/>
  <c r="O128" i="46"/>
  <c r="S128" i="46" s="1"/>
  <c r="T128" i="46" s="1"/>
  <c r="O127" i="46"/>
  <c r="S127" i="46" s="1"/>
  <c r="T127" i="46" s="1"/>
  <c r="O183" i="46"/>
  <c r="S183" i="46" s="1"/>
  <c r="T183" i="46" s="1"/>
  <c r="O24" i="46"/>
  <c r="S24" i="46" s="1"/>
  <c r="T24" i="46" s="1"/>
  <c r="O112" i="46"/>
  <c r="S112" i="46" s="1"/>
  <c r="T112" i="46" s="1"/>
  <c r="O32" i="46"/>
  <c r="S32" i="46" s="1"/>
  <c r="T32" i="46" s="1"/>
  <c r="O64" i="46"/>
  <c r="S64" i="46" s="1"/>
  <c r="T64" i="46" s="1"/>
  <c r="O164" i="46"/>
  <c r="S164" i="46" s="1"/>
  <c r="T164" i="46" s="1"/>
  <c r="O42" i="46"/>
  <c r="S42" i="46" s="1"/>
  <c r="T42" i="46" s="1"/>
  <c r="O195" i="46"/>
  <c r="S195" i="46" s="1"/>
  <c r="T195" i="46" s="1"/>
  <c r="O131" i="46"/>
  <c r="S131" i="46" s="1"/>
  <c r="T131" i="46" s="1"/>
  <c r="O36" i="46"/>
  <c r="S36" i="46" s="1"/>
  <c r="T36" i="46" s="1"/>
  <c r="O200" i="46"/>
  <c r="S200" i="46" s="1"/>
  <c r="T200" i="46" s="1"/>
  <c r="O41" i="46"/>
  <c r="S41" i="46" s="1"/>
  <c r="T41" i="46" s="1"/>
  <c r="O91" i="46"/>
  <c r="S91" i="46" s="1"/>
  <c r="T91" i="46" s="1"/>
  <c r="O122" i="46"/>
  <c r="S122" i="46" s="1"/>
  <c r="T122" i="46" s="1"/>
  <c r="O178" i="46"/>
  <c r="S178" i="46" s="1"/>
  <c r="T178" i="46" s="1"/>
  <c r="O19" i="46"/>
  <c r="S19" i="46" s="1"/>
  <c r="T19" i="46" s="1"/>
  <c r="O59" i="46"/>
  <c r="S59" i="46" s="1"/>
  <c r="T59" i="46" s="1"/>
  <c r="O27" i="46"/>
  <c r="S27" i="46" s="1"/>
  <c r="T27" i="46" s="1"/>
  <c r="O233" i="46"/>
  <c r="S233" i="46" s="1"/>
  <c r="T233" i="46" s="1"/>
  <c r="O50" i="46"/>
  <c r="S50" i="46" s="1"/>
  <c r="T50" i="46" s="1"/>
  <c r="O145" i="46"/>
  <c r="S145" i="46" s="1"/>
  <c r="T145" i="46" s="1"/>
  <c r="O37" i="46"/>
  <c r="S37" i="46" s="1"/>
  <c r="T37" i="46" s="1"/>
  <c r="O190" i="46"/>
  <c r="S190" i="46" s="1"/>
  <c r="T190" i="46" s="1"/>
  <c r="O126" i="46"/>
  <c r="S126" i="46" s="1"/>
  <c r="T126" i="46" s="1"/>
  <c r="O31" i="46"/>
  <c r="S31" i="46" s="1"/>
  <c r="T31" i="46" s="1"/>
  <c r="O189" i="46"/>
  <c r="S189" i="46" s="1"/>
  <c r="T189" i="46" s="1"/>
  <c r="O30" i="46"/>
  <c r="S30" i="46" s="1"/>
  <c r="T30" i="46" s="1"/>
  <c r="O75" i="46"/>
  <c r="S75" i="46" s="1"/>
  <c r="T75" i="46" s="1"/>
  <c r="O111" i="46"/>
  <c r="S111" i="46" s="1"/>
  <c r="T111" i="46" s="1"/>
  <c r="O167" i="46"/>
  <c r="S167" i="46" s="1"/>
  <c r="T167" i="46" s="1"/>
  <c r="O43" i="46"/>
  <c r="S43" i="46" s="1"/>
  <c r="T43" i="46" s="1"/>
  <c r="O231" i="46"/>
  <c r="S231" i="46" s="1"/>
  <c r="T231" i="46" s="1"/>
  <c r="O48" i="46"/>
  <c r="S48" i="46" s="1"/>
  <c r="T48" i="46" s="1"/>
  <c r="O137" i="46"/>
  <c r="S137" i="46" s="1"/>
  <c r="T137" i="46" s="1"/>
  <c r="O18" i="46"/>
  <c r="S18" i="46" s="1"/>
  <c r="T18" i="46" s="1"/>
  <c r="O245" i="46"/>
  <c r="S245" i="46" s="1"/>
  <c r="T245" i="46" s="1"/>
  <c r="O174" i="46"/>
  <c r="S174" i="46" s="1"/>
  <c r="T174" i="46" s="1"/>
  <c r="O110" i="46"/>
  <c r="S110" i="46" s="1"/>
  <c r="T110" i="46" s="1"/>
  <c r="O15" i="46"/>
  <c r="R15" i="46" s="1"/>
  <c r="V15" i="46" s="1"/>
  <c r="O157" i="46"/>
  <c r="S157" i="46" s="1"/>
  <c r="T157" i="46" s="1"/>
  <c r="O135" i="46"/>
  <c r="S135" i="46" s="1"/>
  <c r="T135" i="46" s="1"/>
  <c r="O244" i="46"/>
  <c r="S244" i="46" s="1"/>
  <c r="T244" i="46" s="1"/>
  <c r="O98" i="46"/>
  <c r="S98" i="46" s="1"/>
  <c r="T98" i="46" s="1"/>
  <c r="O235" i="46"/>
  <c r="S235" i="46" s="1"/>
  <c r="T235" i="46" s="1"/>
  <c r="O132" i="46"/>
  <c r="S132" i="46" s="1"/>
  <c r="T132" i="46" s="1"/>
  <c r="O237" i="46"/>
  <c r="S237" i="46" s="1"/>
  <c r="T237" i="46" s="1"/>
  <c r="O166" i="46"/>
  <c r="S166" i="46" s="1"/>
  <c r="T166" i="46" s="1"/>
  <c r="O105" i="46"/>
  <c r="S105" i="46" s="1"/>
  <c r="T105" i="46" s="1"/>
  <c r="O141" i="46"/>
  <c r="S141" i="46" s="1"/>
  <c r="T141" i="46" s="1"/>
  <c r="O249" i="46"/>
  <c r="S249" i="46" s="1"/>
  <c r="T249" i="46" s="1"/>
  <c r="O119" i="46"/>
  <c r="S119" i="46" s="1"/>
  <c r="T119" i="46" s="1"/>
  <c r="O213" i="46"/>
  <c r="S213" i="46" s="1"/>
  <c r="T213" i="46" s="1"/>
  <c r="O223" i="46"/>
  <c r="S223" i="46" s="1"/>
  <c r="T223" i="46" s="1"/>
  <c r="O82" i="46"/>
  <c r="S82" i="46" s="1"/>
  <c r="T82" i="46" s="1"/>
  <c r="O201" i="46"/>
  <c r="S201" i="46" s="1"/>
  <c r="T201" i="46" s="1"/>
  <c r="O103" i="46"/>
  <c r="S103" i="46" s="1"/>
  <c r="T103" i="46" s="1"/>
  <c r="O222" i="46"/>
  <c r="S222" i="46" s="1"/>
  <c r="T222" i="46" s="1"/>
  <c r="O158" i="46"/>
  <c r="S158" i="46" s="1"/>
  <c r="T158" i="46" s="1"/>
  <c r="O89" i="46"/>
  <c r="S89" i="46" s="1"/>
  <c r="T89" i="46" s="1"/>
  <c r="O252" i="46"/>
  <c r="S252" i="46" s="1"/>
  <c r="T252" i="46" s="1"/>
  <c r="O125" i="46"/>
  <c r="S125" i="46" s="1"/>
  <c r="T125" i="46" s="1"/>
  <c r="O234" i="46"/>
  <c r="S234" i="46" s="1"/>
  <c r="T234" i="46" s="1"/>
  <c r="O207" i="46"/>
  <c r="S207" i="46" s="1"/>
  <c r="T207" i="46" s="1"/>
  <c r="O246" i="46"/>
  <c r="S246" i="46" s="1"/>
  <c r="T246" i="46" s="1"/>
  <c r="O93" i="46"/>
  <c r="S93" i="46" s="1"/>
  <c r="T93" i="46" s="1"/>
  <c r="O192" i="46"/>
  <c r="S192" i="46" s="1"/>
  <c r="T192" i="46" s="1"/>
  <c r="O191" i="46"/>
  <c r="S191" i="46" s="1"/>
  <c r="T191" i="46" s="1"/>
  <c r="O221" i="46"/>
  <c r="S221" i="46" s="1"/>
  <c r="T221" i="46" s="1"/>
  <c r="O199" i="46"/>
  <c r="S199" i="46" s="1"/>
  <c r="T199" i="46" s="1"/>
  <c r="O232" i="46"/>
  <c r="S232" i="46" s="1"/>
  <c r="T232" i="46" s="1"/>
  <c r="O136" i="46"/>
  <c r="S136" i="46" s="1"/>
  <c r="T136" i="46" s="1"/>
  <c r="O114" i="46"/>
  <c r="S114" i="46" s="1"/>
  <c r="T114" i="46" s="1"/>
  <c r="O206" i="46"/>
  <c r="S206" i="46" s="1"/>
  <c r="T206" i="46" s="1"/>
  <c r="O83" i="46"/>
  <c r="S83" i="46" s="1"/>
  <c r="T83" i="46" s="1"/>
  <c r="O40" i="46"/>
  <c r="S40" i="46" s="1"/>
  <c r="T40" i="46" s="1"/>
  <c r="O230" i="46"/>
  <c r="S230" i="46" s="1"/>
  <c r="T230" i="46" s="1"/>
  <c r="O163" i="46"/>
  <c r="S163" i="46" s="1"/>
  <c r="T163" i="46" s="1"/>
  <c r="O255" i="46"/>
  <c r="S255" i="46" s="1"/>
  <c r="T255" i="46" s="1"/>
  <c r="O208" i="46"/>
  <c r="S208" i="46" s="1"/>
  <c r="T208" i="46" s="1"/>
  <c r="O96" i="46"/>
  <c r="S96" i="46" s="1"/>
  <c r="T96" i="46" s="1"/>
  <c r="O113" i="46"/>
  <c r="S113" i="46" s="1"/>
  <c r="T113" i="46" s="1"/>
  <c r="O97" i="46"/>
  <c r="S97" i="46" s="1"/>
  <c r="T97" i="46" s="1"/>
  <c r="O228" i="46"/>
  <c r="S228" i="46" s="1"/>
  <c r="T228" i="46" s="1"/>
  <c r="O218" i="46"/>
  <c r="S218" i="46" s="1"/>
  <c r="T218" i="46" s="1"/>
  <c r="O80" i="46"/>
  <c r="S80" i="46" s="1"/>
  <c r="T80" i="46" s="1"/>
  <c r="O95" i="46"/>
  <c r="S95" i="46" s="1"/>
  <c r="T95" i="46" s="1"/>
  <c r="O57" i="46"/>
  <c r="S57" i="46" s="1"/>
  <c r="T57" i="46" s="1"/>
  <c r="O143" i="46"/>
  <c r="S143" i="46" s="1"/>
  <c r="T143" i="46" s="1"/>
  <c r="O69" i="46"/>
  <c r="S69" i="46" s="1"/>
  <c r="T69" i="46" s="1"/>
  <c r="O176" i="46"/>
  <c r="S176" i="46" s="1"/>
  <c r="T176" i="46" s="1"/>
  <c r="O144" i="46"/>
  <c r="S144" i="46" s="1"/>
  <c r="T144" i="46" s="1"/>
  <c r="O142" i="46"/>
  <c r="S142" i="46" s="1"/>
  <c r="T142" i="46" s="1"/>
  <c r="O196" i="46"/>
  <c r="S196" i="46" s="1"/>
  <c r="T196" i="46" s="1"/>
  <c r="M4" i="29"/>
  <c r="M5" i="29"/>
  <c r="M6" i="29"/>
  <c r="M7" i="29"/>
  <c r="M8" i="29"/>
  <c r="M9" i="29"/>
  <c r="M10" i="29"/>
  <c r="M11" i="29"/>
  <c r="P84" i="11" s="1"/>
  <c r="Q84" i="11" s="1"/>
  <c r="M12" i="29"/>
  <c r="M13" i="29"/>
  <c r="P95" i="11" s="1"/>
  <c r="Q95" i="11" s="1"/>
  <c r="M14" i="29"/>
  <c r="M16" i="29"/>
  <c r="P88" i="11" s="1"/>
  <c r="Q88" i="11" s="1"/>
  <c r="M17" i="29"/>
  <c r="P11" i="11" s="1"/>
  <c r="W11" i="11" s="1"/>
  <c r="M18" i="29"/>
  <c r="M19" i="29"/>
  <c r="M20" i="29"/>
  <c r="M21" i="29"/>
  <c r="M22" i="29"/>
  <c r="M23" i="29"/>
  <c r="M24" i="29"/>
  <c r="M25" i="29"/>
  <c r="M26" i="29"/>
  <c r="M27" i="29"/>
  <c r="M28" i="29"/>
  <c r="M29" i="29"/>
  <c r="M30" i="29"/>
  <c r="P103" i="11" s="1"/>
  <c r="Q103" i="11" s="1"/>
  <c r="M31" i="29"/>
  <c r="M32" i="29"/>
  <c r="M33" i="29"/>
  <c r="M34" i="29"/>
  <c r="M35" i="29"/>
  <c r="M37" i="29"/>
  <c r="M38" i="29"/>
  <c r="M46" i="29"/>
  <c r="M47" i="29"/>
  <c r="M48" i="29"/>
  <c r="M49" i="29"/>
  <c r="M50" i="29"/>
  <c r="M51" i="29"/>
  <c r="M52" i="29"/>
  <c r="M53" i="29"/>
  <c r="M54" i="29"/>
  <c r="M55" i="29"/>
  <c r="M56" i="29"/>
  <c r="M57" i="29"/>
  <c r="M39" i="29"/>
  <c r="M58" i="29"/>
  <c r="M59" i="29"/>
  <c r="M60" i="29"/>
  <c r="M61" i="29"/>
  <c r="M62" i="29"/>
  <c r="M63" i="29"/>
  <c r="M64" i="29"/>
  <c r="M65" i="29"/>
  <c r="D66" i="22" s="1"/>
  <c r="M66" i="29"/>
  <c r="M67" i="29"/>
  <c r="M68" i="29"/>
  <c r="M69" i="29"/>
  <c r="M70" i="29"/>
  <c r="M71" i="29"/>
  <c r="M72" i="29"/>
  <c r="M73" i="29"/>
  <c r="M74" i="29"/>
  <c r="M75" i="29"/>
  <c r="M76" i="29"/>
  <c r="M77" i="29"/>
  <c r="M78" i="29"/>
  <c r="M79" i="29"/>
  <c r="M80" i="29"/>
  <c r="M81" i="29"/>
  <c r="P28" i="11" s="1"/>
  <c r="Q28" i="11" s="1"/>
  <c r="M82" i="29"/>
  <c r="D83" i="22" s="1"/>
  <c r="M83" i="29"/>
  <c r="M84" i="29"/>
  <c r="M85" i="29"/>
  <c r="M86" i="29"/>
  <c r="M87" i="29"/>
  <c r="D88" i="22" s="1"/>
  <c r="M88" i="29"/>
  <c r="M89" i="29"/>
  <c r="M90" i="29"/>
  <c r="M91" i="29"/>
  <c r="D92" i="22" s="1"/>
  <c r="M92" i="29"/>
  <c r="P33" i="11" s="1"/>
  <c r="Q33" i="11" s="1"/>
  <c r="M93" i="29"/>
  <c r="M94" i="29"/>
  <c r="M95" i="29"/>
  <c r="D96" i="22" s="1"/>
  <c r="M96" i="29"/>
  <c r="M97" i="29"/>
  <c r="M98" i="29"/>
  <c r="T11" i="22"/>
  <c r="T12" i="22"/>
  <c r="T76" i="22"/>
  <c r="T78" i="22"/>
  <c r="T87" i="22"/>
  <c r="W5" i="22"/>
  <c r="W6" i="22"/>
  <c r="W7" i="22"/>
  <c r="W8" i="22"/>
  <c r="W9" i="22"/>
  <c r="W10" i="22"/>
  <c r="W11" i="22"/>
  <c r="W12" i="22"/>
  <c r="W13" i="22"/>
  <c r="W14" i="22"/>
  <c r="W15" i="22"/>
  <c r="W16" i="22"/>
  <c r="W17" i="22"/>
  <c r="W18" i="22"/>
  <c r="W19" i="22"/>
  <c r="W20" i="22"/>
  <c r="W21" i="22"/>
  <c r="W22" i="22"/>
  <c r="W23" i="22"/>
  <c r="W24" i="22"/>
  <c r="W25" i="22"/>
  <c r="W26" i="22"/>
  <c r="W27" i="22"/>
  <c r="W28" i="22"/>
  <c r="W29" i="22"/>
  <c r="W30" i="22"/>
  <c r="W31" i="22"/>
  <c r="W32" i="22"/>
  <c r="W33" i="22"/>
  <c r="W34" i="22"/>
  <c r="W35" i="22"/>
  <c r="W36" i="22"/>
  <c r="W37" i="22"/>
  <c r="W38" i="22"/>
  <c r="W39" i="22"/>
  <c r="W41" i="22"/>
  <c r="W42" i="22"/>
  <c r="W43" i="22"/>
  <c r="W44" i="22"/>
  <c r="W45" i="22"/>
  <c r="W46" i="22"/>
  <c r="W47" i="22"/>
  <c r="W48" i="22"/>
  <c r="W49" i="22"/>
  <c r="W50" i="22"/>
  <c r="W51" i="22"/>
  <c r="W52" i="22"/>
  <c r="W53" i="22"/>
  <c r="W54" i="22"/>
  <c r="W55" i="22"/>
  <c r="W56" i="22"/>
  <c r="W57" i="22"/>
  <c r="W58" i="22"/>
  <c r="W40" i="22"/>
  <c r="W59" i="22"/>
  <c r="W60" i="22"/>
  <c r="W61" i="22"/>
  <c r="W62" i="22"/>
  <c r="W63" i="22"/>
  <c r="W64" i="22"/>
  <c r="W65" i="22"/>
  <c r="W66" i="22"/>
  <c r="W67" i="22"/>
  <c r="W68" i="22"/>
  <c r="W69" i="22"/>
  <c r="W70" i="22"/>
  <c r="W71" i="22"/>
  <c r="W72" i="22"/>
  <c r="W73" i="22"/>
  <c r="W74" i="22"/>
  <c r="W75" i="22"/>
  <c r="W76" i="22"/>
  <c r="W77" i="22"/>
  <c r="W78" i="22"/>
  <c r="W79" i="22"/>
  <c r="W80" i="22"/>
  <c r="W81" i="22"/>
  <c r="W82" i="22"/>
  <c r="W83" i="22"/>
  <c r="W84" i="22"/>
  <c r="W85" i="22"/>
  <c r="W86" i="22"/>
  <c r="W87" i="22"/>
  <c r="W88" i="22"/>
  <c r="W89" i="22"/>
  <c r="W90" i="22"/>
  <c r="W91" i="22"/>
  <c r="W92" i="22"/>
  <c r="W4" i="22"/>
  <c r="AW78" i="22"/>
  <c r="G5" i="22"/>
  <c r="K5" i="22"/>
  <c r="AW79" i="22"/>
  <c r="G6" i="22"/>
  <c r="K6" i="22"/>
  <c r="AW80" i="22"/>
  <c r="G7" i="22"/>
  <c r="K7" i="22"/>
  <c r="G8" i="22"/>
  <c r="K8" i="22"/>
  <c r="AW115" i="22"/>
  <c r="G9" i="22"/>
  <c r="K9" i="22"/>
  <c r="AW111" i="22"/>
  <c r="G10" i="22"/>
  <c r="K10" i="22"/>
  <c r="AW112" i="22"/>
  <c r="G11" i="22"/>
  <c r="K11" i="22"/>
  <c r="AW113" i="22"/>
  <c r="G12" i="22"/>
  <c r="K12" i="22"/>
  <c r="AW114" i="22"/>
  <c r="G13" i="22"/>
  <c r="K13" i="22"/>
  <c r="AW30" i="22"/>
  <c r="G14" i="22"/>
  <c r="K14" i="22"/>
  <c r="AW117" i="22"/>
  <c r="G15" i="22"/>
  <c r="K15" i="22"/>
  <c r="AW31" i="22"/>
  <c r="G16" i="22"/>
  <c r="K16" i="22"/>
  <c r="AW32" i="22"/>
  <c r="G17" i="22"/>
  <c r="K17" i="22"/>
  <c r="G18" i="22"/>
  <c r="K18" i="22"/>
  <c r="G19" i="22"/>
  <c r="K19" i="22"/>
  <c r="AW116" i="22"/>
  <c r="G20" i="22"/>
  <c r="K20" i="22"/>
  <c r="AW81" i="22"/>
  <c r="G21" i="22"/>
  <c r="K21" i="22"/>
  <c r="AW82" i="22"/>
  <c r="G22" i="22"/>
  <c r="K22" i="22"/>
  <c r="G23" i="22"/>
  <c r="K23" i="22"/>
  <c r="AW83" i="22"/>
  <c r="G24" i="22"/>
  <c r="K24" i="22"/>
  <c r="AW34" i="22"/>
  <c r="G25" i="22"/>
  <c r="K25" i="22"/>
  <c r="G26" i="22"/>
  <c r="K26" i="22"/>
  <c r="G27" i="22"/>
  <c r="K27" i="22"/>
  <c r="AW85" i="22"/>
  <c r="G28" i="22"/>
  <c r="K28" i="22"/>
  <c r="G29" i="22"/>
  <c r="K29" i="22"/>
  <c r="G30" i="22"/>
  <c r="K30" i="22"/>
  <c r="G31" i="22"/>
  <c r="K31" i="22"/>
  <c r="G32" i="22"/>
  <c r="K32" i="22"/>
  <c r="G33" i="22"/>
  <c r="K33" i="22"/>
  <c r="G34" i="22"/>
  <c r="K34" i="22"/>
  <c r="AW118" i="22"/>
  <c r="G35" i="22"/>
  <c r="K35" i="22"/>
  <c r="G36" i="22"/>
  <c r="K36" i="22"/>
  <c r="AW145" i="22"/>
  <c r="G37" i="22"/>
  <c r="K37" i="22"/>
  <c r="G38" i="22"/>
  <c r="K38" i="22"/>
  <c r="G39" i="22"/>
  <c r="K39" i="22"/>
  <c r="G41" i="22"/>
  <c r="K41" i="22"/>
  <c r="G42" i="22"/>
  <c r="K42" i="22"/>
  <c r="G43" i="22"/>
  <c r="K43" i="22"/>
  <c r="G44" i="22"/>
  <c r="K44" i="22"/>
  <c r="G45" i="22"/>
  <c r="K45" i="22"/>
  <c r="G46" i="22"/>
  <c r="K46" i="22"/>
  <c r="AW90" i="22"/>
  <c r="G47" i="22"/>
  <c r="K47" i="22"/>
  <c r="G48" i="22"/>
  <c r="K48" i="22"/>
  <c r="G49" i="22"/>
  <c r="K49" i="22"/>
  <c r="G50" i="22"/>
  <c r="K50" i="22"/>
  <c r="G51" i="22"/>
  <c r="K51" i="22"/>
  <c r="G52" i="22"/>
  <c r="K52" i="22"/>
  <c r="G53" i="22"/>
  <c r="K53" i="22"/>
  <c r="G54" i="22"/>
  <c r="K54" i="22"/>
  <c r="G55" i="22"/>
  <c r="K55" i="22"/>
  <c r="G56" i="22"/>
  <c r="K56" i="22"/>
  <c r="G57" i="22"/>
  <c r="K57" i="22"/>
  <c r="AW122" i="22"/>
  <c r="G58" i="22"/>
  <c r="K58" i="22"/>
  <c r="G40" i="22"/>
  <c r="K40" i="22"/>
  <c r="G59" i="22"/>
  <c r="K59" i="22"/>
  <c r="AW121" i="22"/>
  <c r="G60" i="22"/>
  <c r="K60" i="22"/>
  <c r="G61" i="22"/>
  <c r="K61" i="22"/>
  <c r="G62" i="22"/>
  <c r="K62" i="22"/>
  <c r="G63" i="22"/>
  <c r="K63" i="22"/>
  <c r="G64" i="22"/>
  <c r="K64" i="22"/>
  <c r="G65" i="22"/>
  <c r="K65" i="22"/>
  <c r="G66" i="22"/>
  <c r="K66" i="22"/>
  <c r="G67" i="22"/>
  <c r="K67" i="22"/>
  <c r="G68" i="22"/>
  <c r="K68" i="22"/>
  <c r="G69" i="22"/>
  <c r="K69" i="22"/>
  <c r="G70" i="22"/>
  <c r="K70" i="22"/>
  <c r="AW55" i="22"/>
  <c r="G71" i="22"/>
  <c r="K71" i="22"/>
  <c r="AW128" i="22"/>
  <c r="G72" i="22"/>
  <c r="K72" i="22"/>
  <c r="G73" i="22"/>
  <c r="K73" i="22"/>
  <c r="AW130" i="22"/>
  <c r="G74" i="22"/>
  <c r="K74" i="22"/>
  <c r="G75" i="22"/>
  <c r="K75" i="22"/>
  <c r="AW155" i="22"/>
  <c r="G76" i="22"/>
  <c r="K76" i="22"/>
  <c r="G77" i="22"/>
  <c r="K77" i="22"/>
  <c r="G78" i="22"/>
  <c r="K78" i="22"/>
  <c r="G79" i="22"/>
  <c r="K79" i="22"/>
  <c r="AW9" i="22"/>
  <c r="K80" i="22"/>
  <c r="G81" i="22"/>
  <c r="K81" i="22"/>
  <c r="G82" i="22"/>
  <c r="K82" i="22"/>
  <c r="G83" i="22"/>
  <c r="K83" i="22"/>
  <c r="G84" i="22"/>
  <c r="K84" i="22"/>
  <c r="AW56" i="22"/>
  <c r="G85" i="22"/>
  <c r="K85" i="22"/>
  <c r="G86" i="22"/>
  <c r="K86" i="22"/>
  <c r="AW51" i="22"/>
  <c r="G87" i="22"/>
  <c r="K87" i="22"/>
  <c r="AW58" i="22"/>
  <c r="G88" i="22"/>
  <c r="K88" i="22"/>
  <c r="G89" i="22"/>
  <c r="K89" i="22"/>
  <c r="G90" i="22"/>
  <c r="K90" i="22"/>
  <c r="G91" i="22"/>
  <c r="K91" i="22"/>
  <c r="AW95" i="22"/>
  <c r="G92" i="22"/>
  <c r="K92" i="22"/>
  <c r="K4" i="22"/>
  <c r="R17" i="46" l="1"/>
  <c r="V17" i="46" s="1"/>
  <c r="W17" i="46" s="1"/>
  <c r="X17" i="46" s="1"/>
  <c r="R16" i="46"/>
  <c r="V16" i="46" s="1"/>
  <c r="W16" i="46" s="1"/>
  <c r="X16" i="46" s="1"/>
  <c r="S15" i="46"/>
  <c r="T15" i="46" s="1"/>
  <c r="W15" i="46"/>
  <c r="X15" i="46" s="1"/>
  <c r="AB64" i="57"/>
  <c r="AA64" i="57"/>
  <c r="R13" i="46"/>
  <c r="V13" i="46" s="1"/>
  <c r="W13" i="46" s="1"/>
  <c r="X13" i="46" s="1"/>
  <c r="R27" i="71"/>
  <c r="V27" i="71" s="1"/>
  <c r="W27" i="71" s="1"/>
  <c r="R12" i="71"/>
  <c r="AB49" i="69"/>
  <c r="AC49" i="69" s="1"/>
  <c r="AD49" i="69" s="1"/>
  <c r="AG49" i="69"/>
  <c r="AO51" i="69"/>
  <c r="P51" i="69"/>
  <c r="L52" i="69"/>
  <c r="O52" i="69"/>
  <c r="R14" i="46"/>
  <c r="V14" i="46" s="1"/>
  <c r="W14" i="46" s="1"/>
  <c r="X14" i="46" s="1"/>
  <c r="R12" i="46"/>
  <c r="V12" i="46" s="1"/>
  <c r="W12" i="46" s="1"/>
  <c r="X12" i="46" s="1"/>
  <c r="AF64" i="57"/>
  <c r="AF65" i="53"/>
  <c r="AE66" i="53"/>
  <c r="AC66" i="53"/>
  <c r="AB65" i="53"/>
  <c r="AA65" i="53"/>
  <c r="AB65" i="57"/>
  <c r="AF65" i="57"/>
  <c r="AE66" i="57"/>
  <c r="AC66" i="57"/>
  <c r="W210" i="46"/>
  <c r="AA247" i="71"/>
  <c r="Y79" i="46"/>
  <c r="AA226" i="71"/>
  <c r="AA156" i="71"/>
  <c r="Y143" i="46"/>
  <c r="AA249" i="71"/>
  <c r="Y232" i="46"/>
  <c r="AA43" i="71"/>
  <c r="AA31" i="71"/>
  <c r="Y235" i="46"/>
  <c r="AA250" i="71"/>
  <c r="Y48" i="46"/>
  <c r="Y91" i="46"/>
  <c r="Y164" i="46"/>
  <c r="AA185" i="71"/>
  <c r="Y205" i="46"/>
  <c r="AA39" i="71"/>
  <c r="Y124" i="46"/>
  <c r="AA203" i="71"/>
  <c r="Y227" i="46"/>
  <c r="AA165" i="71"/>
  <c r="AA146" i="71"/>
  <c r="Y193" i="46"/>
  <c r="AA215" i="71"/>
  <c r="Y194" i="46"/>
  <c r="Y216" i="46"/>
  <c r="AA58" i="71"/>
  <c r="AA65" i="71"/>
  <c r="Y209" i="46"/>
  <c r="AA120" i="71"/>
  <c r="AA100" i="71"/>
  <c r="AA51" i="71"/>
  <c r="AA228" i="71"/>
  <c r="AA173" i="71"/>
  <c r="Y160" i="46"/>
  <c r="Y197" i="46"/>
  <c r="Y150" i="46"/>
  <c r="Y153" i="46"/>
  <c r="AA175" i="71"/>
  <c r="Y69" i="46"/>
  <c r="AA93" i="71"/>
  <c r="Y190" i="46"/>
  <c r="Y186" i="46"/>
  <c r="AA81" i="71"/>
  <c r="Y118" i="46"/>
  <c r="Y196" i="46"/>
  <c r="Y57" i="46"/>
  <c r="Y96" i="46"/>
  <c r="Y207" i="46"/>
  <c r="Y103" i="46"/>
  <c r="AA198" i="71"/>
  <c r="Y141" i="46"/>
  <c r="AA134" i="71"/>
  <c r="Y231" i="46"/>
  <c r="Y111" i="46"/>
  <c r="Y37" i="46"/>
  <c r="AA117" i="71"/>
  <c r="Y41" i="46"/>
  <c r="AA160" i="71"/>
  <c r="Y165" i="46"/>
  <c r="Y224" i="46"/>
  <c r="Y155" i="46"/>
  <c r="Y156" i="46"/>
  <c r="AA29" i="71"/>
  <c r="Y225" i="46"/>
  <c r="AA162" i="71"/>
  <c r="AA119" i="71"/>
  <c r="AA75" i="71"/>
  <c r="AA244" i="71"/>
  <c r="AA211" i="71"/>
  <c r="Y68" i="46"/>
  <c r="AA246" i="71"/>
  <c r="AA148" i="71"/>
  <c r="Y243" i="46"/>
  <c r="AA208" i="71"/>
  <c r="AA133" i="71"/>
  <c r="Y154" i="46"/>
  <c r="Y65" i="46"/>
  <c r="Y63" i="46"/>
  <c r="AA73" i="71"/>
  <c r="Y88" i="46"/>
  <c r="AA109" i="71"/>
  <c r="Y182" i="46"/>
  <c r="Y185" i="46"/>
  <c r="AA71" i="71"/>
  <c r="AA67" i="71"/>
  <c r="AA204" i="71"/>
  <c r="Y51" i="46"/>
  <c r="AA235" i="71"/>
  <c r="Y152" i="46"/>
  <c r="AA212" i="71"/>
  <c r="AA140" i="71"/>
  <c r="Y83" i="46"/>
  <c r="AA131" i="71"/>
  <c r="AA218" i="71"/>
  <c r="Y201" i="46"/>
  <c r="AA222" i="71"/>
  <c r="Y244" i="46"/>
  <c r="Y174" i="46"/>
  <c r="Y75" i="46"/>
  <c r="Y145" i="46"/>
  <c r="AA158" i="71"/>
  <c r="Y134" i="46"/>
  <c r="AA44" i="71"/>
  <c r="AA155" i="71"/>
  <c r="Y187" i="46"/>
  <c r="Y188" i="46"/>
  <c r="AA210" i="71"/>
  <c r="Y46" i="46"/>
  <c r="AA178" i="71"/>
  <c r="AA107" i="71"/>
  <c r="Y49" i="46"/>
  <c r="Y47" i="46"/>
  <c r="AA53" i="71"/>
  <c r="Y84" i="46"/>
  <c r="AA99" i="71"/>
  <c r="AA201" i="71"/>
  <c r="AA123" i="71"/>
  <c r="AA49" i="71"/>
  <c r="Y115" i="46"/>
  <c r="Y116" i="46"/>
  <c r="AA183" i="71"/>
  <c r="Y61" i="46"/>
  <c r="Y109" i="46"/>
  <c r="Y214" i="46"/>
  <c r="Y217" i="46"/>
  <c r="AA150" i="71"/>
  <c r="Y97" i="46"/>
  <c r="Y132" i="46"/>
  <c r="Y202" i="46"/>
  <c r="Y161" i="46"/>
  <c r="Y56" i="46"/>
  <c r="AA190" i="71"/>
  <c r="AA88" i="71"/>
  <c r="Y142" i="46"/>
  <c r="Y80" i="46"/>
  <c r="Y208" i="46"/>
  <c r="Y125" i="46"/>
  <c r="AA48" i="71"/>
  <c r="Y223" i="46"/>
  <c r="Y105" i="46"/>
  <c r="Y98" i="46"/>
  <c r="AA40" i="71"/>
  <c r="Y64" i="46"/>
  <c r="Y198" i="46"/>
  <c r="AA237" i="71"/>
  <c r="Y77" i="46"/>
  <c r="Y220" i="46"/>
  <c r="AA152" i="71"/>
  <c r="AA116" i="71"/>
  <c r="AA240" i="71"/>
  <c r="AA127" i="71"/>
  <c r="Y238" i="46"/>
  <c r="Y107" i="46"/>
  <c r="Y108" i="46"/>
  <c r="AA144" i="71"/>
  <c r="Y100" i="46"/>
  <c r="Y70" i="46"/>
  <c r="AA248" i="71"/>
  <c r="AA168" i="71"/>
  <c r="Y149" i="46"/>
  <c r="Y181" i="46"/>
  <c r="Y147" i="46"/>
  <c r="AA202" i="71"/>
  <c r="AA170" i="71"/>
  <c r="Y173" i="46"/>
  <c r="Y253" i="46"/>
  <c r="AA101" i="71"/>
  <c r="AA37" i="71"/>
  <c r="Y157" i="46"/>
  <c r="Y42" i="46"/>
  <c r="AA86" i="71"/>
  <c r="Y106" i="46"/>
  <c r="AA221" i="71"/>
  <c r="AA195" i="71"/>
  <c r="AA42" i="71"/>
  <c r="Y221" i="46"/>
  <c r="Y213" i="46"/>
  <c r="AA125" i="71"/>
  <c r="AA245" i="71"/>
  <c r="AA113" i="71"/>
  <c r="Y131" i="46"/>
  <c r="AA41" i="71"/>
  <c r="Y183" i="46"/>
  <c r="AA46" i="71"/>
  <c r="AA243" i="71"/>
  <c r="Y256" i="46"/>
  <c r="Y44" i="46"/>
  <c r="AA161" i="71"/>
  <c r="AA102" i="71"/>
  <c r="AA35" i="71"/>
  <c r="Y78" i="46"/>
  <c r="Y117" i="46"/>
  <c r="Y133" i="46"/>
  <c r="Y139" i="46"/>
  <c r="Y140" i="46"/>
  <c r="AA236" i="71"/>
  <c r="AA188" i="71"/>
  <c r="AA59" i="71"/>
  <c r="Y86" i="46"/>
  <c r="AA106" i="71"/>
  <c r="AA207" i="71"/>
  <c r="AA47" i="71"/>
  <c r="AA187" i="71"/>
  <c r="Y179" i="46"/>
  <c r="AA62" i="71"/>
  <c r="AA60" i="71"/>
  <c r="AA200" i="71"/>
  <c r="Y215" i="46"/>
  <c r="Y236" i="46"/>
  <c r="AA89" i="71"/>
  <c r="Y58" i="46"/>
  <c r="AA214" i="71"/>
  <c r="AA129" i="71"/>
  <c r="Y222" i="46"/>
  <c r="AA167" i="71"/>
  <c r="AA172" i="71"/>
  <c r="AA121" i="71"/>
  <c r="Y177" i="46"/>
  <c r="Y226" i="46"/>
  <c r="Y121" i="46"/>
  <c r="Y218" i="46"/>
  <c r="Y163" i="46"/>
  <c r="AA85" i="71"/>
  <c r="AA61" i="71"/>
  <c r="Y191" i="46"/>
  <c r="Y89" i="46"/>
  <c r="Y82" i="46"/>
  <c r="Y119" i="46"/>
  <c r="Y237" i="46"/>
  <c r="AA132" i="71"/>
  <c r="AA33" i="71"/>
  <c r="Y137" i="46"/>
  <c r="AA157" i="71"/>
  <c r="Y50" i="46"/>
  <c r="Y195" i="46"/>
  <c r="AA230" i="71"/>
  <c r="Y127" i="46"/>
  <c r="Y55" i="46"/>
  <c r="AA145" i="71"/>
  <c r="Y241" i="46"/>
  <c r="Y247" i="46"/>
  <c r="AA141" i="71"/>
  <c r="AA115" i="71"/>
  <c r="Y60" i="46"/>
  <c r="AA216" i="71"/>
  <c r="AA130" i="71"/>
  <c r="Y87" i="46"/>
  <c r="AA91" i="71"/>
  <c r="Y94" i="46"/>
  <c r="AA128" i="71"/>
  <c r="AA238" i="71"/>
  <c r="Y239" i="46"/>
  <c r="AA45" i="71"/>
  <c r="Y171" i="46"/>
  <c r="Y172" i="46"/>
  <c r="AA52" i="71"/>
  <c r="AA54" i="71"/>
  <c r="AA253" i="71"/>
  <c r="AA192" i="71"/>
  <c r="AA147" i="71"/>
  <c r="Y102" i="46"/>
  <c r="AA138" i="71"/>
  <c r="AA256" i="71"/>
  <c r="Y45" i="46"/>
  <c r="Y99" i="46"/>
  <c r="Y211" i="46"/>
  <c r="Y212" i="46"/>
  <c r="AA137" i="71"/>
  <c r="AA103" i="71"/>
  <c r="AA55" i="71"/>
  <c r="AA234" i="71"/>
  <c r="Y85" i="46"/>
  <c r="AA25" i="71"/>
  <c r="Y74" i="46"/>
  <c r="AA66" i="71"/>
  <c r="AA179" i="71"/>
  <c r="AA122" i="71"/>
  <c r="Y249" i="46"/>
  <c r="Y122" i="46"/>
  <c r="Y81" i="46"/>
  <c r="Y242" i="46"/>
  <c r="AA56" i="71"/>
  <c r="AA70" i="71"/>
  <c r="AA92" i="71"/>
  <c r="Y176" i="46"/>
  <c r="Y228" i="46"/>
  <c r="Y230" i="46"/>
  <c r="Y114" i="46"/>
  <c r="AA108" i="71"/>
  <c r="Y192" i="46"/>
  <c r="Y158" i="46"/>
  <c r="AA94" i="71"/>
  <c r="AA143" i="71"/>
  <c r="AA220" i="71"/>
  <c r="AA83" i="71"/>
  <c r="AA149" i="71"/>
  <c r="Y43" i="46"/>
  <c r="Y126" i="46"/>
  <c r="Y233" i="46"/>
  <c r="Y178" i="46"/>
  <c r="AA34" i="71"/>
  <c r="AA232" i="71"/>
  <c r="Y128" i="46"/>
  <c r="Y169" i="46"/>
  <c r="AA186" i="71"/>
  <c r="Y101" i="46"/>
  <c r="AA30" i="71"/>
  <c r="Y76" i="46"/>
  <c r="AA78" i="71"/>
  <c r="AA182" i="71"/>
  <c r="Y129" i="46"/>
  <c r="AA217" i="71"/>
  <c r="Y229" i="46"/>
  <c r="AA166" i="71"/>
  <c r="AA151" i="71"/>
  <c r="Y67" i="46"/>
  <c r="Y203" i="46"/>
  <c r="Y204" i="46"/>
  <c r="AA114" i="71"/>
  <c r="AA97" i="71"/>
  <c r="AA50" i="71"/>
  <c r="AA227" i="71"/>
  <c r="AA251" i="71"/>
  <c r="AA193" i="71"/>
  <c r="AA164" i="71"/>
  <c r="Y146" i="46"/>
  <c r="Y168" i="46"/>
  <c r="Y250" i="46"/>
  <c r="Y248" i="46"/>
  <c r="AA213" i="71"/>
  <c r="AA154" i="71"/>
  <c r="AA96" i="71"/>
  <c r="Y175" i="46"/>
  <c r="Y159" i="46"/>
  <c r="Y73" i="46"/>
  <c r="Y71" i="46"/>
  <c r="AA77" i="71"/>
  <c r="Y90" i="46"/>
  <c r="AA110" i="71"/>
  <c r="AA225" i="71"/>
  <c r="R66" i="57"/>
  <c r="R66" i="53"/>
  <c r="X66" i="53" s="1"/>
  <c r="AW11" i="22"/>
  <c r="AW6" i="22"/>
  <c r="AW10" i="22"/>
  <c r="AW123" i="22"/>
  <c r="D85" i="22"/>
  <c r="P26" i="11"/>
  <c r="Q26" i="11" s="1"/>
  <c r="D77" i="22"/>
  <c r="P23" i="11"/>
  <c r="Q23" i="11" s="1"/>
  <c r="D69" i="22"/>
  <c r="P16" i="11"/>
  <c r="W16" i="11" s="1"/>
  <c r="D61" i="22"/>
  <c r="P130" i="11"/>
  <c r="Q130" i="11" s="1"/>
  <c r="D54" i="22"/>
  <c r="P122" i="11"/>
  <c r="Q122" i="11" s="1"/>
  <c r="D39" i="22"/>
  <c r="P112" i="11"/>
  <c r="Q112" i="11" s="1"/>
  <c r="D30" i="22"/>
  <c r="P98" i="11"/>
  <c r="Q98" i="11" s="1"/>
  <c r="D22" i="22"/>
  <c r="P89" i="11"/>
  <c r="Q89" i="11" s="1"/>
  <c r="D13" i="22"/>
  <c r="P81" i="11"/>
  <c r="Q81" i="11" s="1"/>
  <c r="D6" i="22"/>
  <c r="P73" i="11"/>
  <c r="Q73" i="11" s="1"/>
  <c r="D84" i="22"/>
  <c r="P25" i="11"/>
  <c r="Q25" i="11" s="1"/>
  <c r="D76" i="22"/>
  <c r="P17" i="11"/>
  <c r="W17" i="11" s="1"/>
  <c r="P139" i="11"/>
  <c r="Q139" i="11" s="1"/>
  <c r="P140" i="11"/>
  <c r="Q140" i="11" s="1"/>
  <c r="D60" i="22"/>
  <c r="P129" i="11"/>
  <c r="Q129" i="11" s="1"/>
  <c r="D53" i="22"/>
  <c r="P126" i="11"/>
  <c r="Q126" i="11" s="1"/>
  <c r="D38" i="22"/>
  <c r="P111" i="11"/>
  <c r="Q111" i="11" s="1"/>
  <c r="D29" i="22"/>
  <c r="P97" i="11"/>
  <c r="Q97" i="11" s="1"/>
  <c r="D21" i="22"/>
  <c r="P92" i="11"/>
  <c r="Q92" i="11" s="1"/>
  <c r="D5" i="22"/>
  <c r="P76" i="11"/>
  <c r="Q76" i="11" s="1"/>
  <c r="D99" i="22"/>
  <c r="P37" i="11"/>
  <c r="Q37" i="11" s="1"/>
  <c r="D91" i="22"/>
  <c r="P36" i="11"/>
  <c r="Q36" i="11" s="1"/>
  <c r="D75" i="22"/>
  <c r="P141" i="11"/>
  <c r="Q141" i="11" s="1"/>
  <c r="D67" i="22"/>
  <c r="P15" i="11"/>
  <c r="W15" i="11" s="1"/>
  <c r="D59" i="22"/>
  <c r="P132" i="11"/>
  <c r="Q132" i="11" s="1"/>
  <c r="D52" i="22"/>
  <c r="P121" i="11"/>
  <c r="Q121" i="11" s="1"/>
  <c r="D36" i="22"/>
  <c r="P105" i="11"/>
  <c r="Q105" i="11" s="1"/>
  <c r="D28" i="22"/>
  <c r="P100" i="11"/>
  <c r="Q100" i="11" s="1"/>
  <c r="D20" i="22"/>
  <c r="P91" i="11"/>
  <c r="Q91" i="11" s="1"/>
  <c r="D11" i="22"/>
  <c r="P83" i="11"/>
  <c r="Q83" i="11" s="1"/>
  <c r="D98" i="22"/>
  <c r="P14" i="11"/>
  <c r="W14" i="11" s="1"/>
  <c r="D90" i="22"/>
  <c r="P35" i="11"/>
  <c r="Q35" i="11" s="1"/>
  <c r="AQ28" i="11"/>
  <c r="D40" i="22"/>
  <c r="P113" i="11"/>
  <c r="Q113" i="11" s="1"/>
  <c r="D51" i="22"/>
  <c r="P124" i="11"/>
  <c r="Q124" i="11" s="1"/>
  <c r="D35" i="22"/>
  <c r="P108" i="11"/>
  <c r="Q108" i="11" s="1"/>
  <c r="D27" i="22"/>
  <c r="P99" i="11"/>
  <c r="Q99" i="11" s="1"/>
  <c r="D19" i="22"/>
  <c r="P86" i="11"/>
  <c r="Q86" i="11" s="1"/>
  <c r="D10" i="22"/>
  <c r="P78" i="11"/>
  <c r="Q78" i="11" s="1"/>
  <c r="D97" i="22"/>
  <c r="P40" i="11"/>
  <c r="Q40" i="11" s="1"/>
  <c r="D89" i="22"/>
  <c r="P30" i="11"/>
  <c r="Q30" i="11" s="1"/>
  <c r="D81" i="22"/>
  <c r="P27" i="11"/>
  <c r="Q27" i="11" s="1"/>
  <c r="D73" i="22"/>
  <c r="P20" i="11"/>
  <c r="D65" i="22"/>
  <c r="P134" i="11"/>
  <c r="Q134" i="11" s="1"/>
  <c r="D58" i="22"/>
  <c r="P131" i="11"/>
  <c r="Q131" i="11" s="1"/>
  <c r="D50" i="22"/>
  <c r="P123" i="11"/>
  <c r="Q123" i="11" s="1"/>
  <c r="D34" i="22"/>
  <c r="P11" i="59"/>
  <c r="P107" i="11"/>
  <c r="Q107" i="11" s="1"/>
  <c r="D26" i="22"/>
  <c r="P94" i="11"/>
  <c r="Q94" i="11" s="1"/>
  <c r="D18" i="22"/>
  <c r="P85" i="11"/>
  <c r="Q85" i="11" s="1"/>
  <c r="D9" i="22"/>
  <c r="P77" i="11"/>
  <c r="Q77" i="11" s="1"/>
  <c r="D80" i="22"/>
  <c r="P22" i="11"/>
  <c r="Q22" i="11" s="1"/>
  <c r="D72" i="22"/>
  <c r="P19" i="11"/>
  <c r="D64" i="22"/>
  <c r="P133" i="11"/>
  <c r="Q133" i="11" s="1"/>
  <c r="D57" i="22"/>
  <c r="P125" i="11"/>
  <c r="Q125" i="11" s="1"/>
  <c r="D49" i="22"/>
  <c r="P118" i="11"/>
  <c r="Q118" i="11" s="1"/>
  <c r="D33" i="22"/>
  <c r="P102" i="11"/>
  <c r="Q102" i="11" s="1"/>
  <c r="D25" i="22"/>
  <c r="P93" i="11"/>
  <c r="Q93" i="11" s="1"/>
  <c r="P80" i="11"/>
  <c r="Q80" i="11" s="1"/>
  <c r="D95" i="22"/>
  <c r="P39" i="11"/>
  <c r="Q39" i="11" s="1"/>
  <c r="D87" i="22"/>
  <c r="P29" i="11"/>
  <c r="Q29" i="11" s="1"/>
  <c r="D79" i="22"/>
  <c r="P21" i="11"/>
  <c r="Q21" i="11" s="1"/>
  <c r="D71" i="22"/>
  <c r="P138" i="11"/>
  <c r="Q138" i="11" s="1"/>
  <c r="D63" i="22"/>
  <c r="P136" i="11"/>
  <c r="Q136" i="11" s="1"/>
  <c r="D56" i="22"/>
  <c r="P128" i="11"/>
  <c r="Q128" i="11" s="1"/>
  <c r="D48" i="22"/>
  <c r="P117" i="11"/>
  <c r="Q117" i="11" s="1"/>
  <c r="D32" i="22"/>
  <c r="P104" i="11"/>
  <c r="Q104" i="11" s="1"/>
  <c r="P101" i="11"/>
  <c r="Q101" i="11" s="1"/>
  <c r="D24" i="22"/>
  <c r="P96" i="11"/>
  <c r="Q96" i="11" s="1"/>
  <c r="D15" i="22"/>
  <c r="P82" i="11"/>
  <c r="Q82" i="11" s="1"/>
  <c r="D8" i="22"/>
  <c r="P79" i="11"/>
  <c r="Q79" i="11" s="1"/>
  <c r="D94" i="22"/>
  <c r="P34" i="11"/>
  <c r="Q34" i="11" s="1"/>
  <c r="D86" i="22"/>
  <c r="P32" i="11"/>
  <c r="Q32" i="11" s="1"/>
  <c r="P31" i="11"/>
  <c r="Q31" i="11" s="1"/>
  <c r="D78" i="22"/>
  <c r="P24" i="11"/>
  <c r="Q24" i="11" s="1"/>
  <c r="D70" i="22"/>
  <c r="P137" i="11"/>
  <c r="Q137" i="11" s="1"/>
  <c r="D62" i="22"/>
  <c r="P135" i="11"/>
  <c r="Q135" i="11" s="1"/>
  <c r="D55" i="22"/>
  <c r="P127" i="11"/>
  <c r="Q127" i="11" s="1"/>
  <c r="D47" i="22"/>
  <c r="P119" i="11"/>
  <c r="Q119" i="11" s="1"/>
  <c r="D23" i="22"/>
  <c r="P90" i="11"/>
  <c r="Q90" i="11" s="1"/>
  <c r="D7" i="22"/>
  <c r="P74" i="11"/>
  <c r="Q74" i="11" s="1"/>
  <c r="D82" i="22"/>
  <c r="D93" i="22"/>
  <c r="P13" i="11"/>
  <c r="W13" i="11" s="1"/>
  <c r="AA105" i="71"/>
  <c r="AA24" i="71"/>
  <c r="AA36" i="71"/>
  <c r="AA224" i="71"/>
  <c r="AA176" i="71"/>
  <c r="AA194" i="71"/>
  <c r="AA95" i="71"/>
  <c r="AA219" i="71"/>
  <c r="AA74" i="71"/>
  <c r="AA241" i="71"/>
  <c r="AA98" i="71"/>
  <c r="AA171" i="71"/>
  <c r="AA184" i="71"/>
  <c r="AA84" i="71"/>
  <c r="AA72" i="71"/>
  <c r="AA68" i="71"/>
  <c r="AA205" i="71"/>
  <c r="AA153" i="71"/>
  <c r="AA136" i="71"/>
  <c r="AA104" i="71"/>
  <c r="AA64" i="71"/>
  <c r="AA239" i="71"/>
  <c r="AA169" i="71"/>
  <c r="AA177" i="71"/>
  <c r="AA69" i="71"/>
  <c r="AA229" i="71"/>
  <c r="AA139" i="71"/>
  <c r="AA135" i="71"/>
  <c r="AA197" i="71"/>
  <c r="AA252" i="71"/>
  <c r="AA242" i="71"/>
  <c r="AA159" i="71"/>
  <c r="AA82" i="71"/>
  <c r="AA112" i="71"/>
  <c r="AA231" i="71"/>
  <c r="AA79" i="71"/>
  <c r="AA189" i="71"/>
  <c r="AA163" i="71"/>
  <c r="AA76" i="71"/>
  <c r="AA223" i="71"/>
  <c r="AA191" i="71"/>
  <c r="AA142" i="71"/>
  <c r="AA38" i="71"/>
  <c r="AA180" i="71"/>
  <c r="AA206" i="71"/>
  <c r="AA126" i="71"/>
  <c r="AA87" i="71"/>
  <c r="AA57" i="71"/>
  <c r="AA255" i="71"/>
  <c r="AA199" i="71"/>
  <c r="AA124" i="71"/>
  <c r="AA111" i="71"/>
  <c r="AA174" i="71"/>
  <c r="AA28" i="71"/>
  <c r="AA181" i="71"/>
  <c r="AA90" i="71"/>
  <c r="AA80" i="71"/>
  <c r="AA32" i="71"/>
  <c r="AA196" i="71"/>
  <c r="AA118" i="71"/>
  <c r="AA233" i="71"/>
  <c r="AA63" i="71"/>
  <c r="AA26" i="71"/>
  <c r="AA209" i="71"/>
  <c r="Y40" i="46"/>
  <c r="Y110" i="46"/>
  <c r="Y39" i="46"/>
  <c r="Y66" i="46"/>
  <c r="Y170" i="46"/>
  <c r="Y95" i="46"/>
  <c r="Y234" i="46"/>
  <c r="Y200" i="46"/>
  <c r="Y112" i="46"/>
  <c r="Y53" i="46"/>
  <c r="Y138" i="46"/>
  <c r="Y54" i="46"/>
  <c r="Y104" i="46"/>
  <c r="Y206" i="46"/>
  <c r="Y199" i="46"/>
  <c r="Y135" i="46"/>
  <c r="Y245" i="46"/>
  <c r="Y120" i="46"/>
  <c r="Y219" i="46"/>
  <c r="Y62" i="46"/>
  <c r="Y148" i="46"/>
  <c r="Y151" i="46"/>
  <c r="Y251" i="46"/>
  <c r="Y252" i="46"/>
  <c r="Y166" i="46"/>
  <c r="Y189" i="46"/>
  <c r="Y59" i="46"/>
  <c r="Y162" i="46"/>
  <c r="Y184" i="46"/>
  <c r="Y180" i="46"/>
  <c r="Y144" i="46"/>
  <c r="Y136" i="46"/>
  <c r="Y93" i="46"/>
  <c r="Y92" i="46"/>
  <c r="Y130" i="46"/>
  <c r="Y240" i="46"/>
  <c r="Y113" i="46"/>
  <c r="Y246" i="46"/>
  <c r="Y167" i="46"/>
  <c r="Y38" i="46"/>
  <c r="Y123" i="46"/>
  <c r="Y52" i="46"/>
  <c r="Y72" i="46"/>
  <c r="AX50" i="69"/>
  <c r="AG67" i="57"/>
  <c r="L67" i="57"/>
  <c r="AJ66" i="57"/>
  <c r="AP66" i="57"/>
  <c r="AG66" i="53"/>
  <c r="AH66" i="53"/>
  <c r="AT66" i="53"/>
  <c r="N67" i="57"/>
  <c r="G67" i="53"/>
  <c r="N67" i="53"/>
  <c r="AH50" i="69"/>
  <c r="AD66" i="57"/>
  <c r="AD66" i="53"/>
  <c r="D17" i="22"/>
  <c r="Q66" i="53"/>
  <c r="H67" i="53"/>
  <c r="C67" i="53"/>
  <c r="E67" i="53"/>
  <c r="J67" i="53"/>
  <c r="I67" i="53"/>
  <c r="M67" i="53"/>
  <c r="P67" i="53"/>
  <c r="AK66" i="52" a="1"/>
  <c r="AK66" i="52" s="1"/>
  <c r="B68" i="53" s="1"/>
  <c r="O68" i="53" s="1"/>
  <c r="L67" i="53"/>
  <c r="F67" i="53"/>
  <c r="K67" i="53"/>
  <c r="D67" i="53"/>
  <c r="L114" i="22"/>
  <c r="D31" i="22"/>
  <c r="D14" i="22"/>
  <c r="P12" i="11"/>
  <c r="W12" i="11" s="1"/>
  <c r="Q66" i="57"/>
  <c r="T66" i="57" s="1"/>
  <c r="P67" i="57"/>
  <c r="D67" i="57"/>
  <c r="K67" i="57"/>
  <c r="I67" i="57"/>
  <c r="H67" i="57"/>
  <c r="G67" i="57"/>
  <c r="E67" i="57"/>
  <c r="C67" i="57"/>
  <c r="M67" i="57" s="1"/>
  <c r="F67" i="57"/>
  <c r="J67" i="57"/>
  <c r="AK66" i="55" a="1"/>
  <c r="AK66" i="55" s="1"/>
  <c r="B68" i="57" s="1"/>
  <c r="O68" i="57" s="1"/>
  <c r="Q50" i="69"/>
  <c r="R50" i="69"/>
  <c r="S50" i="69" s="1"/>
  <c r="Y50" i="69" s="1"/>
  <c r="AE50" i="69"/>
  <c r="U50" i="69"/>
  <c r="C52" i="69"/>
  <c r="AN52" i="67" a="1"/>
  <c r="AN52" i="67" s="1"/>
  <c r="B53" i="69"/>
  <c r="D51" i="69"/>
  <c r="E51" i="69" s="1"/>
  <c r="F51" i="69" s="1"/>
  <c r="G51" i="69" s="1"/>
  <c r="H51" i="69" s="1"/>
  <c r="I51" i="69" s="1"/>
  <c r="J51" i="69" s="1"/>
  <c r="K51" i="69" s="1"/>
  <c r="M51" i="69" s="1"/>
  <c r="N51" i="69"/>
  <c r="AF51" i="69" s="1"/>
  <c r="D68" i="22"/>
  <c r="AK26" i="22"/>
  <c r="C64" i="36" s="1"/>
  <c r="AK23" i="22"/>
  <c r="C61" i="36" s="1"/>
  <c r="AK22" i="22"/>
  <c r="C60" i="36" s="1"/>
  <c r="AK21" i="22"/>
  <c r="C59" i="36" s="1"/>
  <c r="AK27" i="22"/>
  <c r="C65" i="36" s="1"/>
  <c r="AK20" i="22"/>
  <c r="C58" i="36" s="1"/>
  <c r="AK25" i="22"/>
  <c r="C63" i="36" s="1"/>
  <c r="AK24" i="22"/>
  <c r="C62" i="36" s="1"/>
  <c r="AK8" i="22"/>
  <c r="AK7" i="22"/>
  <c r="AW84" i="22"/>
  <c r="AK6" i="22"/>
  <c r="AK5" i="22"/>
  <c r="AK9" i="22"/>
  <c r="AK10" i="22"/>
  <c r="AK11" i="22"/>
  <c r="AW12" i="22"/>
  <c r="D74" i="22"/>
  <c r="D12" i="22"/>
  <c r="AW54" i="22"/>
  <c r="AW93" i="22"/>
  <c r="AW33" i="22"/>
  <c r="AW15" i="22"/>
  <c r="AW94" i="22"/>
  <c r="AW8" i="22"/>
  <c r="AW53" i="22"/>
  <c r="AW52" i="22"/>
  <c r="AW47" i="22"/>
  <c r="AW42" i="22"/>
  <c r="AW39" i="22"/>
  <c r="AW38" i="22"/>
  <c r="AW57" i="22"/>
  <c r="AW14" i="22"/>
  <c r="AW50" i="22"/>
  <c r="AW49" i="22"/>
  <c r="AW18" i="22"/>
  <c r="AW48" i="22"/>
  <c r="AW46" i="22"/>
  <c r="AW44" i="22"/>
  <c r="AW43" i="22"/>
  <c r="AW7" i="22"/>
  <c r="AW17" i="22"/>
  <c r="AW36" i="22"/>
  <c r="AW35" i="22"/>
  <c r="AW16" i="22"/>
  <c r="AW13" i="22"/>
  <c r="AW45" i="22"/>
  <c r="AW41" i="22"/>
  <c r="AW40" i="22"/>
  <c r="AW153" i="22"/>
  <c r="AW152" i="22"/>
  <c r="AW131" i="22"/>
  <c r="AW154" i="22"/>
  <c r="AW133" i="22"/>
  <c r="AW129" i="22"/>
  <c r="AW134" i="22"/>
  <c r="AW127" i="22"/>
  <c r="AW89" i="22"/>
  <c r="AW126" i="22"/>
  <c r="AW88" i="22"/>
  <c r="AW124" i="22"/>
  <c r="AW86" i="22"/>
  <c r="AW120" i="22"/>
  <c r="AW92" i="22"/>
  <c r="AW91" i="22"/>
  <c r="AW37" i="22"/>
  <c r="AW125" i="22"/>
  <c r="AW87" i="22"/>
  <c r="AW119" i="22"/>
  <c r="AW132" i="22"/>
  <c r="I11" i="71"/>
  <c r="R11" i="71" s="1"/>
  <c r="S17" i="46" l="1"/>
  <c r="T17" i="46" s="1"/>
  <c r="S16" i="46"/>
  <c r="T16" i="46" s="1"/>
  <c r="S13" i="46"/>
  <c r="T13" i="46" s="1"/>
  <c r="W11" i="59"/>
  <c r="S27" i="71"/>
  <c r="T27" i="71" s="1"/>
  <c r="AA27" i="71" s="1"/>
  <c r="W20" i="11"/>
  <c r="W19" i="11"/>
  <c r="V12" i="71"/>
  <c r="W12" i="71" s="1"/>
  <c r="S11" i="71"/>
  <c r="T11" i="71" s="1"/>
  <c r="V11" i="71"/>
  <c r="W11" i="71" s="1"/>
  <c r="S12" i="71"/>
  <c r="T12" i="71" s="1"/>
  <c r="AB50" i="69"/>
  <c r="AC50" i="69" s="1"/>
  <c r="AD50" i="69" s="1"/>
  <c r="AG50" i="69"/>
  <c r="L53" i="69"/>
  <c r="O53" i="69"/>
  <c r="AO52" i="69"/>
  <c r="P52" i="69"/>
  <c r="X66" i="57"/>
  <c r="S14" i="46"/>
  <c r="T14" i="46" s="1"/>
  <c r="S12" i="46"/>
  <c r="T12" i="46" s="1"/>
  <c r="AB66" i="53"/>
  <c r="AA66" i="53"/>
  <c r="AE67" i="53"/>
  <c r="AC67" i="53"/>
  <c r="AF66" i="53"/>
  <c r="AE67" i="57"/>
  <c r="AC67" i="57"/>
  <c r="Y210" i="46"/>
  <c r="R67" i="57"/>
  <c r="R67" i="53"/>
  <c r="X67" i="53" s="1"/>
  <c r="AQ127" i="11"/>
  <c r="AA254" i="71"/>
  <c r="Y255" i="46"/>
  <c r="Y254" i="46"/>
  <c r="AA23" i="71"/>
  <c r="X128" i="22" s="1"/>
  <c r="AA22" i="71"/>
  <c r="X109" i="22" s="1"/>
  <c r="AA21" i="71"/>
  <c r="AA20" i="71"/>
  <c r="X107" i="22" s="1"/>
  <c r="AA19" i="71"/>
  <c r="X100" i="22" s="1"/>
  <c r="AA18" i="71"/>
  <c r="X90" i="22" s="1"/>
  <c r="AA17" i="71"/>
  <c r="AA16" i="71"/>
  <c r="AA14" i="71"/>
  <c r="AA13" i="71"/>
  <c r="X31" i="22" s="1"/>
  <c r="AX51" i="69"/>
  <c r="AG68" i="57"/>
  <c r="L68" i="57"/>
  <c r="AJ67" i="57"/>
  <c r="AP67" i="57"/>
  <c r="AG67" i="53"/>
  <c r="AH67" i="53"/>
  <c r="AT67" i="53"/>
  <c r="N68" i="57"/>
  <c r="H68" i="53"/>
  <c r="N68" i="53"/>
  <c r="AH51" i="69"/>
  <c r="AD67" i="57"/>
  <c r="Q67" i="53"/>
  <c r="AD67" i="53"/>
  <c r="C68" i="53"/>
  <c r="P68" i="53"/>
  <c r="E68" i="53"/>
  <c r="G68" i="53"/>
  <c r="L68" i="53"/>
  <c r="AK67" i="52" a="1"/>
  <c r="AK67" i="52" s="1"/>
  <c r="B69" i="53" s="1"/>
  <c r="O69" i="53" s="1"/>
  <c r="I68" i="53"/>
  <c r="K68" i="53"/>
  <c r="F68" i="53"/>
  <c r="J68" i="53"/>
  <c r="M68" i="53"/>
  <c r="D68" i="53"/>
  <c r="F68" i="57"/>
  <c r="K68" i="57"/>
  <c r="I68" i="57"/>
  <c r="C68" i="57"/>
  <c r="M68" i="57" s="1"/>
  <c r="D68" i="57"/>
  <c r="G68" i="57"/>
  <c r="P68" i="57"/>
  <c r="E68" i="57"/>
  <c r="J68" i="57"/>
  <c r="H68" i="57"/>
  <c r="Q67" i="57"/>
  <c r="T67" i="57" s="1"/>
  <c r="AK67" i="55" a="1"/>
  <c r="AK67" i="55" s="1"/>
  <c r="B69" i="57" s="1"/>
  <c r="O69" i="57" s="1"/>
  <c r="L115" i="22"/>
  <c r="L127" i="22"/>
  <c r="R51" i="69"/>
  <c r="S51" i="69" s="1"/>
  <c r="Y51" i="69" s="1"/>
  <c r="Q51" i="69"/>
  <c r="U51" i="69"/>
  <c r="AE51" i="69"/>
  <c r="C53" i="69"/>
  <c r="AN53" i="67" a="1"/>
  <c r="AN53" i="67" s="1"/>
  <c r="B54" i="69"/>
  <c r="D52" i="69"/>
  <c r="E52" i="69" s="1"/>
  <c r="F52" i="69" s="1"/>
  <c r="G52" i="69" s="1"/>
  <c r="H52" i="69" s="1"/>
  <c r="I52" i="69" s="1"/>
  <c r="J52" i="69" s="1"/>
  <c r="K52" i="69" s="1"/>
  <c r="M52" i="69" s="1"/>
  <c r="N52" i="69"/>
  <c r="AF52" i="69" s="1"/>
  <c r="X24" i="22"/>
  <c r="X28" i="22"/>
  <c r="X36" i="22"/>
  <c r="X46" i="22"/>
  <c r="X48" i="22"/>
  <c r="X50" i="22"/>
  <c r="X43" i="22"/>
  <c r="X51" i="22"/>
  <c r="X55" i="22"/>
  <c r="X40" i="22"/>
  <c r="X80" i="22"/>
  <c r="X86" i="22"/>
  <c r="X7" i="22"/>
  <c r="AF66" i="57" l="1"/>
  <c r="AA66" i="57"/>
  <c r="O2" i="71"/>
  <c r="AA12" i="71"/>
  <c r="X67" i="57"/>
  <c r="X30" i="22"/>
  <c r="AB51" i="69"/>
  <c r="AC51" i="69" s="1"/>
  <c r="AD51" i="69" s="1"/>
  <c r="AG51" i="69"/>
  <c r="L54" i="69"/>
  <c r="O54" i="69"/>
  <c r="AO53" i="69"/>
  <c r="P53" i="69"/>
  <c r="AB66" i="57"/>
  <c r="AB67" i="53"/>
  <c r="AA67" i="53"/>
  <c r="AE68" i="53"/>
  <c r="AC68" i="53"/>
  <c r="AF67" i="53"/>
  <c r="AC68" i="57"/>
  <c r="AE68" i="57"/>
  <c r="Y32" i="46"/>
  <c r="Y17" i="46"/>
  <c r="L106" i="22" s="1"/>
  <c r="Y33" i="46"/>
  <c r="Y30" i="46"/>
  <c r="Y26" i="46"/>
  <c r="Y20" i="46"/>
  <c r="L103" i="22" s="1"/>
  <c r="Y29" i="46"/>
  <c r="Y36" i="46"/>
  <c r="Y27" i="46"/>
  <c r="Y28" i="46"/>
  <c r="Y34" i="46"/>
  <c r="Y16" i="46"/>
  <c r="L104" i="22" s="1"/>
  <c r="Y35" i="46"/>
  <c r="Y19" i="46"/>
  <c r="Y25" i="46"/>
  <c r="Y22" i="46"/>
  <c r="L110" i="22" s="1"/>
  <c r="Y31" i="46"/>
  <c r="Y23" i="46"/>
  <c r="Y18" i="46"/>
  <c r="Y24" i="46"/>
  <c r="Y21" i="46"/>
  <c r="AE51" i="65"/>
  <c r="AH51" i="65" s="1"/>
  <c r="R68" i="57"/>
  <c r="R68" i="53"/>
  <c r="X68" i="53" s="1"/>
  <c r="L100" i="22"/>
  <c r="L112" i="22"/>
  <c r="L116" i="22"/>
  <c r="Y14" i="46"/>
  <c r="Y15" i="46"/>
  <c r="Y12" i="46"/>
  <c r="Y13" i="46"/>
  <c r="I112" i="22"/>
  <c r="AX52" i="69"/>
  <c r="L69" i="57"/>
  <c r="AG69" i="57"/>
  <c r="AJ68" i="57"/>
  <c r="AP68" i="57"/>
  <c r="AV51" i="65"/>
  <c r="AG68" i="53"/>
  <c r="AH68" i="53"/>
  <c r="AT68" i="53"/>
  <c r="N69" i="57"/>
  <c r="C69" i="53"/>
  <c r="N69" i="53"/>
  <c r="AH52" i="69"/>
  <c r="X62" i="22"/>
  <c r="AD68" i="57"/>
  <c r="Q68" i="53"/>
  <c r="AD68" i="53"/>
  <c r="P69" i="53"/>
  <c r="L69" i="53"/>
  <c r="I69" i="53"/>
  <c r="E69" i="53"/>
  <c r="F69" i="53"/>
  <c r="H69" i="53"/>
  <c r="K69" i="53"/>
  <c r="G69" i="53"/>
  <c r="J69" i="53"/>
  <c r="D69" i="53"/>
  <c r="AK68" i="52" a="1"/>
  <c r="AK68" i="52" s="1"/>
  <c r="B70" i="53" s="1"/>
  <c r="O70" i="53" s="1"/>
  <c r="M69" i="53"/>
  <c r="Q68" i="57"/>
  <c r="T68" i="57" s="1"/>
  <c r="I69" i="57"/>
  <c r="E69" i="57"/>
  <c r="P69" i="57"/>
  <c r="D69" i="57"/>
  <c r="C69" i="57"/>
  <c r="M69" i="57" s="1"/>
  <c r="K69" i="57"/>
  <c r="H69" i="57"/>
  <c r="G69" i="57"/>
  <c r="J69" i="57"/>
  <c r="F69" i="57"/>
  <c r="AK68" i="55" a="1"/>
  <c r="AK68" i="55" s="1"/>
  <c r="B70" i="57" s="1"/>
  <c r="O70" i="57" s="1"/>
  <c r="X5" i="22"/>
  <c r="X130" i="22"/>
  <c r="AN54" i="67" a="1"/>
  <c r="AN54" i="67" s="1"/>
  <c r="B55" i="69"/>
  <c r="D53" i="69"/>
  <c r="E53" i="69" s="1"/>
  <c r="F53" i="69" s="1"/>
  <c r="G53" i="69" s="1"/>
  <c r="H53" i="69" s="1"/>
  <c r="I53" i="69" s="1"/>
  <c r="J53" i="69" s="1"/>
  <c r="K53" i="69" s="1"/>
  <c r="M53" i="69" s="1"/>
  <c r="N53" i="69"/>
  <c r="AF53" i="69" s="1"/>
  <c r="C54" i="69"/>
  <c r="U52" i="69"/>
  <c r="R52" i="69"/>
  <c r="S52" i="69" s="1"/>
  <c r="Y52" i="69" s="1"/>
  <c r="AB52" i="69" s="1"/>
  <c r="AC52" i="69" s="1"/>
  <c r="AD52" i="69" s="1"/>
  <c r="AE52" i="69"/>
  <c r="Q52" i="69"/>
  <c r="R51" i="65"/>
  <c r="S51" i="65" s="1"/>
  <c r="U51" i="65"/>
  <c r="X98" i="22"/>
  <c r="X96" i="22"/>
  <c r="X35" i="22"/>
  <c r="X70" i="22"/>
  <c r="X44" i="22"/>
  <c r="X99" i="22"/>
  <c r="X23" i="22"/>
  <c r="X19" i="22"/>
  <c r="X12" i="22"/>
  <c r="X11" i="22"/>
  <c r="X91" i="22"/>
  <c r="X83" i="22"/>
  <c r="X76" i="22"/>
  <c r="X63" i="22"/>
  <c r="X56" i="22"/>
  <c r="X41" i="22"/>
  <c r="X71" i="22"/>
  <c r="X89" i="22"/>
  <c r="X81" i="22"/>
  <c r="X38" i="22"/>
  <c r="X53" i="22"/>
  <c r="X37" i="22"/>
  <c r="X39" i="22"/>
  <c r="X29" i="22"/>
  <c r="X77" i="22"/>
  <c r="X79" i="22"/>
  <c r="X73" i="22"/>
  <c r="X67" i="22"/>
  <c r="X59" i="22"/>
  <c r="X52" i="22"/>
  <c r="X49" i="22"/>
  <c r="X25" i="22"/>
  <c r="X92" i="22"/>
  <c r="X84" i="22"/>
  <c r="X74" i="22"/>
  <c r="X68" i="22"/>
  <c r="X60" i="22"/>
  <c r="X45" i="22"/>
  <c r="X85" i="22"/>
  <c r="X78" i="22"/>
  <c r="X58" i="22"/>
  <c r="X42" i="22"/>
  <c r="X34" i="22"/>
  <c r="X26" i="22"/>
  <c r="X75" i="22"/>
  <c r="X47" i="22"/>
  <c r="X33" i="22"/>
  <c r="X21" i="22"/>
  <c r="X6" i="22"/>
  <c r="X14" i="22"/>
  <c r="X10" i="22"/>
  <c r="X13" i="22"/>
  <c r="X15" i="22"/>
  <c r="X9" i="22"/>
  <c r="X66" i="22"/>
  <c r="X72" i="22"/>
  <c r="X64" i="22"/>
  <c r="X57" i="22"/>
  <c r="AB67" i="57" l="1"/>
  <c r="AA67" i="57"/>
  <c r="AF67" i="57"/>
  <c r="AO54" i="69"/>
  <c r="P54" i="69"/>
  <c r="AG52" i="69"/>
  <c r="L55" i="69"/>
  <c r="O55" i="69"/>
  <c r="AB68" i="53"/>
  <c r="AA68" i="53"/>
  <c r="AF68" i="53"/>
  <c r="AE69" i="53"/>
  <c r="AC69" i="53"/>
  <c r="X68" i="57"/>
  <c r="AE69" i="57"/>
  <c r="AC69" i="57"/>
  <c r="AA11" i="71"/>
  <c r="X112" i="22" s="1"/>
  <c r="R69" i="57"/>
  <c r="R69" i="53"/>
  <c r="X69" i="53" s="1"/>
  <c r="X129" i="22"/>
  <c r="X82" i="22"/>
  <c r="X32" i="22"/>
  <c r="AX53" i="69"/>
  <c r="AG70" i="57"/>
  <c r="L70" i="57"/>
  <c r="X93" i="22"/>
  <c r="AA15" i="71"/>
  <c r="AJ69" i="57"/>
  <c r="AP69" i="57"/>
  <c r="X88" i="22"/>
  <c r="X94" i="22"/>
  <c r="AH69" i="53"/>
  <c r="AT69" i="53"/>
  <c r="AG69" i="53"/>
  <c r="X27" i="22"/>
  <c r="X95" i="22"/>
  <c r="X97" i="22"/>
  <c r="N70" i="57"/>
  <c r="P70" i="53"/>
  <c r="N70" i="53"/>
  <c r="AH53" i="69"/>
  <c r="AD69" i="57"/>
  <c r="AD69" i="53"/>
  <c r="Q69" i="53"/>
  <c r="C70" i="53"/>
  <c r="D70" i="53"/>
  <c r="J70" i="53"/>
  <c r="E70" i="53"/>
  <c r="H70" i="53"/>
  <c r="F70" i="53"/>
  <c r="G70" i="53"/>
  <c r="I70" i="53"/>
  <c r="L70" i="53"/>
  <c r="AK69" i="52" a="1"/>
  <c r="AK69" i="52" s="1"/>
  <c r="B71" i="53" s="1"/>
  <c r="O71" i="53" s="1"/>
  <c r="K70" i="53"/>
  <c r="M70" i="53"/>
  <c r="Q69" i="57"/>
  <c r="T69" i="57" s="1"/>
  <c r="P70" i="57"/>
  <c r="F70" i="57"/>
  <c r="E70" i="57"/>
  <c r="H70" i="57"/>
  <c r="J70" i="57"/>
  <c r="D70" i="57"/>
  <c r="I70" i="57"/>
  <c r="C70" i="57"/>
  <c r="M70" i="57" s="1"/>
  <c r="K70" i="57"/>
  <c r="G70" i="57"/>
  <c r="AK69" i="55" a="1"/>
  <c r="AK69" i="55" s="1"/>
  <c r="B71" i="57" s="1"/>
  <c r="O71" i="57" s="1"/>
  <c r="N54" i="69"/>
  <c r="AF54" i="69" s="1"/>
  <c r="D54" i="69"/>
  <c r="E54" i="69" s="1"/>
  <c r="F54" i="69" s="1"/>
  <c r="G54" i="69" s="1"/>
  <c r="H54" i="69" s="1"/>
  <c r="I54" i="69" s="1"/>
  <c r="J54" i="69" s="1"/>
  <c r="K54" i="69" s="1"/>
  <c r="M54" i="69" s="1"/>
  <c r="R53" i="69"/>
  <c r="S53" i="69" s="1"/>
  <c r="Y53" i="69" s="1"/>
  <c r="AB53" i="69" s="1"/>
  <c r="AC53" i="69" s="1"/>
  <c r="AD53" i="69" s="1"/>
  <c r="Q53" i="69"/>
  <c r="AE53" i="69"/>
  <c r="U53" i="69"/>
  <c r="C55" i="69"/>
  <c r="AN55" i="67" a="1"/>
  <c r="AN55" i="67" s="1"/>
  <c r="B56" i="69"/>
  <c r="AG258" i="59"/>
  <c r="AF258" i="59"/>
  <c r="AG257" i="59"/>
  <c r="AF257" i="59"/>
  <c r="AG256" i="59"/>
  <c r="AF256" i="59"/>
  <c r="AG255" i="59"/>
  <c r="AF255" i="59"/>
  <c r="AC255" i="59"/>
  <c r="AG254" i="59"/>
  <c r="AF254" i="59"/>
  <c r="AG253" i="59"/>
  <c r="AF253" i="59"/>
  <c r="AG252" i="59"/>
  <c r="AF252" i="59"/>
  <c r="AG251" i="59"/>
  <c r="AF251" i="59"/>
  <c r="AC251" i="59"/>
  <c r="AD251" i="59" s="1"/>
  <c r="AG250" i="59"/>
  <c r="AF250" i="59"/>
  <c r="AG249" i="59"/>
  <c r="AF249" i="59"/>
  <c r="AG248" i="59"/>
  <c r="AF248" i="59"/>
  <c r="AG247" i="59"/>
  <c r="AF247" i="59"/>
  <c r="AC247" i="59"/>
  <c r="AD247" i="59" s="1"/>
  <c r="AG246" i="59"/>
  <c r="AF246" i="59"/>
  <c r="AG245" i="59"/>
  <c r="AF245" i="59"/>
  <c r="AG244" i="59"/>
  <c r="AF244" i="59"/>
  <c r="AG243" i="59"/>
  <c r="AF243" i="59"/>
  <c r="AC243" i="59"/>
  <c r="AD243" i="59" s="1"/>
  <c r="AG242" i="59"/>
  <c r="AF242" i="59"/>
  <c r="AG241" i="59"/>
  <c r="AF241" i="59"/>
  <c r="AG240" i="59"/>
  <c r="AF240" i="59"/>
  <c r="AG239" i="59"/>
  <c r="AF239" i="59"/>
  <c r="AC239" i="59"/>
  <c r="AD239" i="59" s="1"/>
  <c r="AG238" i="59"/>
  <c r="AF238" i="59"/>
  <c r="AG237" i="59"/>
  <c r="AF237" i="59"/>
  <c r="AG236" i="59"/>
  <c r="AF236" i="59"/>
  <c r="AG235" i="59"/>
  <c r="AF235" i="59"/>
  <c r="AC235" i="59"/>
  <c r="AD235" i="59" s="1"/>
  <c r="AG234" i="59"/>
  <c r="AF234" i="59"/>
  <c r="AG233" i="59"/>
  <c r="AF233" i="59"/>
  <c r="AG232" i="59"/>
  <c r="AF232" i="59"/>
  <c r="AG231" i="59"/>
  <c r="AF231" i="59"/>
  <c r="AC231" i="59"/>
  <c r="AD231" i="59" s="1"/>
  <c r="AG230" i="59"/>
  <c r="AF230" i="59"/>
  <c r="AG229" i="59"/>
  <c r="AF229" i="59"/>
  <c r="AG228" i="59"/>
  <c r="AF228" i="59"/>
  <c r="AG227" i="59"/>
  <c r="AF227" i="59"/>
  <c r="AC227" i="59"/>
  <c r="AD227" i="59" s="1"/>
  <c r="AG226" i="59"/>
  <c r="AF226" i="59"/>
  <c r="AG225" i="59"/>
  <c r="AF225" i="59"/>
  <c r="AG224" i="59"/>
  <c r="AF224" i="59"/>
  <c r="AC224" i="59"/>
  <c r="AD224" i="59" s="1"/>
  <c r="AG223" i="59"/>
  <c r="AF223" i="59"/>
  <c r="AC223" i="59"/>
  <c r="AD223" i="59" s="1"/>
  <c r="AG222" i="59"/>
  <c r="AF222" i="59"/>
  <c r="AG221" i="59"/>
  <c r="AF221" i="59"/>
  <c r="AG220" i="59"/>
  <c r="AF220" i="59"/>
  <c r="AC220" i="59"/>
  <c r="AD220" i="59" s="1"/>
  <c r="AG219" i="59"/>
  <c r="AF219" i="59"/>
  <c r="AC219" i="59"/>
  <c r="AD219" i="59" s="1"/>
  <c r="AG218" i="59"/>
  <c r="AF218" i="59"/>
  <c r="AG217" i="59"/>
  <c r="AF217" i="59"/>
  <c r="AG216" i="59"/>
  <c r="AF216" i="59"/>
  <c r="AG215" i="59"/>
  <c r="AF215" i="59"/>
  <c r="AC215" i="59"/>
  <c r="AD215" i="59" s="1"/>
  <c r="AG214" i="59"/>
  <c r="AF214" i="59"/>
  <c r="AG213" i="59"/>
  <c r="AF213" i="59"/>
  <c r="AG212" i="59"/>
  <c r="AF212" i="59"/>
  <c r="AG211" i="59"/>
  <c r="AF211" i="59"/>
  <c r="AC211" i="59"/>
  <c r="AD211" i="59" s="1"/>
  <c r="AG210" i="59"/>
  <c r="AF210" i="59"/>
  <c r="AG209" i="59"/>
  <c r="AF209" i="59"/>
  <c r="AG208" i="59"/>
  <c r="AF208" i="59"/>
  <c r="AC208" i="59"/>
  <c r="AD208" i="59" s="1"/>
  <c r="AG207" i="59"/>
  <c r="AF207" i="59"/>
  <c r="AC207" i="59"/>
  <c r="AD207" i="59" s="1"/>
  <c r="AG206" i="59"/>
  <c r="AF206" i="59"/>
  <c r="AG205" i="59"/>
  <c r="AF205" i="59"/>
  <c r="AG204" i="59"/>
  <c r="AF204" i="59"/>
  <c r="AC204" i="59"/>
  <c r="AD204" i="59" s="1"/>
  <c r="AG203" i="59"/>
  <c r="AF203" i="59"/>
  <c r="AG202" i="59"/>
  <c r="AF202" i="59"/>
  <c r="AG201" i="59"/>
  <c r="AF201" i="59"/>
  <c r="AG200" i="59"/>
  <c r="AF200" i="59"/>
  <c r="AG199" i="59"/>
  <c r="AF199" i="59"/>
  <c r="AC199" i="59"/>
  <c r="AD199" i="59" s="1"/>
  <c r="AG198" i="59"/>
  <c r="AF198" i="59"/>
  <c r="AG197" i="59"/>
  <c r="AF197" i="59"/>
  <c r="AG196" i="59"/>
  <c r="AF196" i="59"/>
  <c r="AG195" i="59"/>
  <c r="AF195" i="59"/>
  <c r="AC195" i="59"/>
  <c r="AD195" i="59" s="1"/>
  <c r="AG194" i="59"/>
  <c r="AF194" i="59"/>
  <c r="AG193" i="59"/>
  <c r="AF193" i="59"/>
  <c r="AG192" i="59"/>
  <c r="AF192" i="59"/>
  <c r="AG191" i="59"/>
  <c r="AF191" i="59"/>
  <c r="AC191" i="59"/>
  <c r="AD191" i="59" s="1"/>
  <c r="AG190" i="59"/>
  <c r="AF190" i="59"/>
  <c r="AG189" i="59"/>
  <c r="AF189" i="59"/>
  <c r="AG188" i="59"/>
  <c r="AF188" i="59"/>
  <c r="AG187" i="59"/>
  <c r="AF187" i="59"/>
  <c r="AG186" i="59"/>
  <c r="AF186" i="59"/>
  <c r="AG185" i="59"/>
  <c r="AF185" i="59"/>
  <c r="AG184" i="59"/>
  <c r="AF184" i="59"/>
  <c r="AC184" i="59"/>
  <c r="AD184" i="59" s="1"/>
  <c r="AG183" i="59"/>
  <c r="AF183" i="59"/>
  <c r="AG182" i="59"/>
  <c r="AF182" i="59"/>
  <c r="AC182" i="59"/>
  <c r="AD182" i="59" s="1"/>
  <c r="AG181" i="59"/>
  <c r="AF181" i="59"/>
  <c r="AG180" i="59"/>
  <c r="AF180" i="59"/>
  <c r="AC180" i="59"/>
  <c r="AD180" i="59" s="1"/>
  <c r="AG179" i="59"/>
  <c r="AF179" i="59"/>
  <c r="AG178" i="59"/>
  <c r="AF178" i="59"/>
  <c r="AG177" i="59"/>
  <c r="AF177" i="59"/>
  <c r="AG176" i="59"/>
  <c r="AF176" i="59"/>
  <c r="AC176" i="59"/>
  <c r="AD176" i="59" s="1"/>
  <c r="AG175" i="59"/>
  <c r="AF175" i="59"/>
  <c r="AG174" i="59"/>
  <c r="AF174" i="59"/>
  <c r="AG173" i="59"/>
  <c r="AF173" i="59"/>
  <c r="AG172" i="59"/>
  <c r="AF172" i="59"/>
  <c r="AC172" i="59"/>
  <c r="AD172" i="59" s="1"/>
  <c r="AG171" i="59"/>
  <c r="AF171" i="59"/>
  <c r="AG170" i="59"/>
  <c r="AF170" i="59"/>
  <c r="AG169" i="59"/>
  <c r="AF169" i="59"/>
  <c r="AG168" i="59"/>
  <c r="AF168" i="59"/>
  <c r="AG167" i="59"/>
  <c r="AF167" i="59"/>
  <c r="AG166" i="59"/>
  <c r="AF166" i="59"/>
  <c r="AG165" i="59"/>
  <c r="AF165" i="59"/>
  <c r="AG164" i="59"/>
  <c r="AF164" i="59"/>
  <c r="AG163" i="59"/>
  <c r="AF163" i="59"/>
  <c r="AG162" i="59"/>
  <c r="AF162" i="59"/>
  <c r="AC162" i="59"/>
  <c r="AD162" i="59" s="1"/>
  <c r="AG161" i="59"/>
  <c r="AF161" i="59"/>
  <c r="AC161" i="59"/>
  <c r="AD161" i="59" s="1"/>
  <c r="AG160" i="59"/>
  <c r="AF160" i="59"/>
  <c r="AG159" i="59"/>
  <c r="AF159" i="59"/>
  <c r="AG158" i="59"/>
  <c r="AF158" i="59"/>
  <c r="AG157" i="59"/>
  <c r="AF157" i="59"/>
  <c r="AC157" i="59"/>
  <c r="AD157" i="59" s="1"/>
  <c r="AG156" i="59"/>
  <c r="AF156" i="59"/>
  <c r="AG155" i="59"/>
  <c r="AF155" i="59"/>
  <c r="AG154" i="59"/>
  <c r="AF154" i="59"/>
  <c r="AC154" i="59"/>
  <c r="AD154" i="59" s="1"/>
  <c r="AG153" i="59"/>
  <c r="AF153" i="59"/>
  <c r="AC153" i="59"/>
  <c r="AD153" i="59" s="1"/>
  <c r="AG152" i="59"/>
  <c r="AF152" i="59"/>
  <c r="AG151" i="59"/>
  <c r="AF151" i="59"/>
  <c r="AG150" i="59"/>
  <c r="AF150" i="59"/>
  <c r="AG149" i="59"/>
  <c r="AF149" i="59"/>
  <c r="AC149" i="59"/>
  <c r="AD149" i="59" s="1"/>
  <c r="AG148" i="59"/>
  <c r="AF148" i="59"/>
  <c r="AG147" i="59"/>
  <c r="AF147" i="59"/>
  <c r="AG146" i="59"/>
  <c r="AF146" i="59"/>
  <c r="AG145" i="59"/>
  <c r="AF145" i="59"/>
  <c r="AC145" i="59"/>
  <c r="AD145" i="59" s="1"/>
  <c r="AG144" i="59"/>
  <c r="AF144" i="59"/>
  <c r="AG143" i="59"/>
  <c r="AF143" i="59"/>
  <c r="AC143" i="59"/>
  <c r="AD143" i="59" s="1"/>
  <c r="AG142" i="59"/>
  <c r="AF142" i="59"/>
  <c r="AG141" i="59"/>
  <c r="AF141" i="59"/>
  <c r="AG140" i="59"/>
  <c r="AF140" i="59"/>
  <c r="AG139" i="59"/>
  <c r="AF139" i="59"/>
  <c r="AG138" i="59"/>
  <c r="AF138" i="59"/>
  <c r="AG137" i="59"/>
  <c r="AF137" i="59"/>
  <c r="AC137" i="59"/>
  <c r="AD137" i="59" s="1"/>
  <c r="AG136" i="59"/>
  <c r="AF136" i="59"/>
  <c r="AG135" i="59"/>
  <c r="AF135" i="59"/>
  <c r="AG134" i="59"/>
  <c r="AF134" i="59"/>
  <c r="AG133" i="59"/>
  <c r="AF133" i="59"/>
  <c r="AC133" i="59"/>
  <c r="AD133" i="59" s="1"/>
  <c r="AG132" i="59"/>
  <c r="AF132" i="59"/>
  <c r="AG131" i="59"/>
  <c r="AF131" i="59"/>
  <c r="AG130" i="59"/>
  <c r="AF130" i="59"/>
  <c r="AG129" i="59"/>
  <c r="AF129" i="59"/>
  <c r="AG128" i="59"/>
  <c r="AF128" i="59"/>
  <c r="AC128" i="59"/>
  <c r="AD128" i="59" s="1"/>
  <c r="AG127" i="59"/>
  <c r="AF127" i="59"/>
  <c r="AG126" i="59"/>
  <c r="AF126" i="59"/>
  <c r="AG125" i="59"/>
  <c r="AF125" i="59"/>
  <c r="AC125" i="59"/>
  <c r="AD125" i="59" s="1"/>
  <c r="AG124" i="59"/>
  <c r="AF124" i="59"/>
  <c r="AG123" i="59"/>
  <c r="AF123" i="59"/>
  <c r="AG122" i="59"/>
  <c r="AF122" i="59"/>
  <c r="AG121" i="59"/>
  <c r="AF121" i="59"/>
  <c r="AC121" i="59"/>
  <c r="AD121" i="59" s="1"/>
  <c r="AG120" i="59"/>
  <c r="AF120" i="59"/>
  <c r="AG119" i="59"/>
  <c r="AF119" i="59"/>
  <c r="AG118" i="59"/>
  <c r="AF118" i="59"/>
  <c r="AG117" i="59"/>
  <c r="AF117" i="59"/>
  <c r="AC117" i="59"/>
  <c r="AD117" i="59" s="1"/>
  <c r="AG116" i="59"/>
  <c r="AF116" i="59"/>
  <c r="AG115" i="59"/>
  <c r="AF115" i="59"/>
  <c r="AG114" i="59"/>
  <c r="AF114" i="59"/>
  <c r="AG113" i="59"/>
  <c r="AF113" i="59"/>
  <c r="AC113" i="59"/>
  <c r="AD113" i="59" s="1"/>
  <c r="AG112" i="59"/>
  <c r="AF112" i="59"/>
  <c r="AG111" i="59"/>
  <c r="AF111" i="59"/>
  <c r="AC111" i="59"/>
  <c r="AD111" i="59" s="1"/>
  <c r="AG110" i="59"/>
  <c r="AF110" i="59"/>
  <c r="AG109" i="59"/>
  <c r="AF109" i="59"/>
  <c r="AG108" i="59"/>
  <c r="AF108" i="59"/>
  <c r="AG107" i="59"/>
  <c r="AF107" i="59"/>
  <c r="AG106" i="59"/>
  <c r="AF106" i="59"/>
  <c r="AG105" i="59"/>
  <c r="AF105" i="59"/>
  <c r="AC105" i="59"/>
  <c r="AD105" i="59" s="1"/>
  <c r="AG104" i="59"/>
  <c r="AF104" i="59"/>
  <c r="AG103" i="59"/>
  <c r="AF103" i="59"/>
  <c r="AG102" i="59"/>
  <c r="AF102" i="59"/>
  <c r="AG101" i="59"/>
  <c r="AF101" i="59"/>
  <c r="AC101" i="59"/>
  <c r="AD101" i="59" s="1"/>
  <c r="AG100" i="59"/>
  <c r="AF100" i="59"/>
  <c r="AG99" i="59"/>
  <c r="AF99" i="59"/>
  <c r="AG98" i="59"/>
  <c r="AF98" i="59"/>
  <c r="AG97" i="59"/>
  <c r="AF97" i="59"/>
  <c r="AC97" i="59"/>
  <c r="AD97" i="59" s="1"/>
  <c r="AG96" i="59"/>
  <c r="AF96" i="59"/>
  <c r="AG95" i="59"/>
  <c r="AF95" i="59"/>
  <c r="AG94" i="59"/>
  <c r="AF94" i="59"/>
  <c r="AG93" i="59"/>
  <c r="AF93" i="59"/>
  <c r="AC93" i="59"/>
  <c r="AD93" i="59" s="1"/>
  <c r="AG92" i="59"/>
  <c r="AF92" i="59"/>
  <c r="AG91" i="59"/>
  <c r="AF91" i="59"/>
  <c r="AC91" i="59"/>
  <c r="AD91" i="59" s="1"/>
  <c r="AG90" i="59"/>
  <c r="AF90" i="59"/>
  <c r="AG89" i="59"/>
  <c r="AF89" i="59"/>
  <c r="AC89" i="59"/>
  <c r="AD89" i="59" s="1"/>
  <c r="AG88" i="59"/>
  <c r="AF88" i="59"/>
  <c r="AG87" i="59"/>
  <c r="AF87" i="59"/>
  <c r="AC87" i="59"/>
  <c r="AD87" i="59" s="1"/>
  <c r="AG86" i="59"/>
  <c r="AF86" i="59"/>
  <c r="AG85" i="59"/>
  <c r="AF85" i="59"/>
  <c r="AC85" i="59"/>
  <c r="AD85" i="59" s="1"/>
  <c r="AG84" i="59"/>
  <c r="AF84" i="59"/>
  <c r="AG83" i="59"/>
  <c r="AF83" i="59"/>
  <c r="AG82" i="59"/>
  <c r="AF82" i="59"/>
  <c r="AG81" i="59"/>
  <c r="AF81" i="59"/>
  <c r="AC81" i="59"/>
  <c r="AD81" i="59" s="1"/>
  <c r="AG80" i="59"/>
  <c r="AF80" i="59"/>
  <c r="AG79" i="59"/>
  <c r="AF79" i="59"/>
  <c r="AG78" i="59"/>
  <c r="AF78" i="59"/>
  <c r="AG77" i="59"/>
  <c r="AF77" i="59"/>
  <c r="AC77" i="59"/>
  <c r="AD77" i="59" s="1"/>
  <c r="AG76" i="59"/>
  <c r="AF76" i="59"/>
  <c r="AG75" i="59"/>
  <c r="AF75" i="59"/>
  <c r="AG74" i="59"/>
  <c r="AF74" i="59"/>
  <c r="AG73" i="59"/>
  <c r="AF73" i="59"/>
  <c r="AG72" i="59"/>
  <c r="AF72" i="59"/>
  <c r="AG71" i="59"/>
  <c r="AF71" i="59"/>
  <c r="AG70" i="59"/>
  <c r="AF70" i="59"/>
  <c r="AC70" i="59"/>
  <c r="AD70" i="59" s="1"/>
  <c r="AG69" i="59"/>
  <c r="AF69" i="59"/>
  <c r="AC69" i="59"/>
  <c r="AD69" i="59" s="1"/>
  <c r="AG68" i="59"/>
  <c r="AF68" i="59"/>
  <c r="AG67" i="59"/>
  <c r="AF67" i="59"/>
  <c r="AG66" i="59"/>
  <c r="AF66" i="59"/>
  <c r="AG65" i="59"/>
  <c r="AF65" i="59"/>
  <c r="AG64" i="59"/>
  <c r="AF64" i="59"/>
  <c r="AG63" i="59"/>
  <c r="AF63" i="59"/>
  <c r="AG62" i="59"/>
  <c r="AF62" i="59"/>
  <c r="AG61" i="59"/>
  <c r="AF61" i="59"/>
  <c r="AG60" i="59"/>
  <c r="AF60" i="59"/>
  <c r="AG59" i="59"/>
  <c r="AF59" i="59"/>
  <c r="AC59" i="59"/>
  <c r="AD59" i="59" s="1"/>
  <c r="AG58" i="59"/>
  <c r="AF58" i="59"/>
  <c r="AG57" i="59"/>
  <c r="AF57" i="59"/>
  <c r="AG56" i="59"/>
  <c r="AF56" i="59"/>
  <c r="AG55" i="59"/>
  <c r="AF55" i="59"/>
  <c r="AG54" i="59"/>
  <c r="AF54" i="59"/>
  <c r="AG53" i="59"/>
  <c r="AF53" i="59"/>
  <c r="AC53" i="59"/>
  <c r="AD53" i="59" s="1"/>
  <c r="AG52" i="59"/>
  <c r="AF52" i="59"/>
  <c r="AG51" i="59"/>
  <c r="AF51" i="59"/>
  <c r="AG50" i="59"/>
  <c r="AF50" i="59"/>
  <c r="AG49" i="59"/>
  <c r="AF49" i="59"/>
  <c r="AG48" i="59"/>
  <c r="AF48" i="59"/>
  <c r="AC48" i="59"/>
  <c r="AD48" i="59" s="1"/>
  <c r="AG47" i="59"/>
  <c r="AF47" i="59"/>
  <c r="AC47" i="59"/>
  <c r="AD47" i="59" s="1"/>
  <c r="AG46" i="59"/>
  <c r="AF46" i="59"/>
  <c r="AG45" i="59"/>
  <c r="AF45" i="59"/>
  <c r="AG44" i="59"/>
  <c r="AF44" i="59"/>
  <c r="AG43" i="59"/>
  <c r="AF43" i="59"/>
  <c r="AG42" i="59"/>
  <c r="AF42" i="59"/>
  <c r="AC42" i="59"/>
  <c r="AD42" i="59" s="1"/>
  <c r="AG41" i="59"/>
  <c r="AF41" i="59"/>
  <c r="AG40" i="59"/>
  <c r="AF40" i="59"/>
  <c r="AG39" i="59"/>
  <c r="AF39" i="59"/>
  <c r="AG38" i="59"/>
  <c r="AF38" i="59"/>
  <c r="AC38" i="59"/>
  <c r="AD38" i="59" s="1"/>
  <c r="AG37" i="59"/>
  <c r="AF37" i="59"/>
  <c r="AG36" i="59"/>
  <c r="AF36" i="59"/>
  <c r="AG35" i="59"/>
  <c r="AF35" i="59"/>
  <c r="AG34" i="59"/>
  <c r="AF34" i="59"/>
  <c r="AC34" i="59"/>
  <c r="AD34" i="59" s="1"/>
  <c r="AG33" i="59"/>
  <c r="AF33" i="59"/>
  <c r="AG32" i="59"/>
  <c r="AF32" i="59"/>
  <c r="AG31" i="59"/>
  <c r="AF31" i="59"/>
  <c r="AG30" i="59"/>
  <c r="AF30" i="59"/>
  <c r="AC30" i="59"/>
  <c r="AD30" i="59" s="1"/>
  <c r="AG29" i="59"/>
  <c r="AF29" i="59"/>
  <c r="AG28" i="59"/>
  <c r="AF28" i="59"/>
  <c r="AG27" i="59"/>
  <c r="AF27" i="59"/>
  <c r="AG26" i="59"/>
  <c r="AF26" i="59"/>
  <c r="AC26" i="59"/>
  <c r="AD26" i="59" s="1"/>
  <c r="AG25" i="59"/>
  <c r="AF25" i="59"/>
  <c r="AG24" i="59"/>
  <c r="AF24" i="59"/>
  <c r="AG23" i="59"/>
  <c r="AF23" i="59"/>
  <c r="AG22" i="59"/>
  <c r="AF22" i="59"/>
  <c r="AC22" i="59"/>
  <c r="AG21" i="59"/>
  <c r="AF21" i="59"/>
  <c r="AG20" i="59"/>
  <c r="AF20" i="59"/>
  <c r="AC20" i="59"/>
  <c r="AG19" i="59"/>
  <c r="AF19" i="59"/>
  <c r="AG18" i="59"/>
  <c r="AF18" i="59"/>
  <c r="AC18" i="59"/>
  <c r="AG17" i="59"/>
  <c r="AF17" i="59"/>
  <c r="AG16" i="59"/>
  <c r="AF16" i="59"/>
  <c r="AG15" i="59"/>
  <c r="AF15" i="59"/>
  <c r="AG14" i="59"/>
  <c r="AF14" i="59"/>
  <c r="AG13" i="59"/>
  <c r="AF13" i="59"/>
  <c r="AG12" i="59"/>
  <c r="AF12" i="59"/>
  <c r="AC12" i="59"/>
  <c r="AG11" i="59"/>
  <c r="AF11" i="59"/>
  <c r="AB68" i="57" l="1"/>
  <c r="AA68" i="57"/>
  <c r="X114" i="22"/>
  <c r="X117" i="22"/>
  <c r="X115" i="22"/>
  <c r="X116" i="22"/>
  <c r="X4" i="22"/>
  <c r="X110" i="22"/>
  <c r="AO55" i="69"/>
  <c r="P55" i="69"/>
  <c r="L56" i="69"/>
  <c r="O56" i="69"/>
  <c r="AG53" i="69"/>
  <c r="X18" i="22"/>
  <c r="X20" i="22"/>
  <c r="AE70" i="53"/>
  <c r="AC70" i="53"/>
  <c r="AF69" i="53"/>
  <c r="AB69" i="53"/>
  <c r="AA69" i="53"/>
  <c r="AF68" i="57"/>
  <c r="X69" i="57"/>
  <c r="AE70" i="57"/>
  <c r="AC70" i="57"/>
  <c r="X69" i="22"/>
  <c r="X65" i="22"/>
  <c r="X22" i="22"/>
  <c r="X61" i="22"/>
  <c r="X8" i="22"/>
  <c r="X17" i="22"/>
  <c r="X16" i="22"/>
  <c r="X87" i="22"/>
  <c r="R70" i="57"/>
  <c r="R70" i="53"/>
  <c r="X70" i="53" s="1"/>
  <c r="AD255" i="59"/>
  <c r="AA257" i="71"/>
  <c r="X54" i="22"/>
  <c r="AD22" i="59"/>
  <c r="AD20" i="59"/>
  <c r="AD18" i="59"/>
  <c r="AX54" i="69"/>
  <c r="AG71" i="57"/>
  <c r="L71" i="57"/>
  <c r="AJ70" i="57"/>
  <c r="AP70" i="57"/>
  <c r="Q70" i="53"/>
  <c r="AH70" i="53"/>
  <c r="AT70" i="53"/>
  <c r="AG70" i="53"/>
  <c r="N71" i="57"/>
  <c r="L71" i="53"/>
  <c r="N71" i="53"/>
  <c r="AH54" i="69"/>
  <c r="AD70" i="57"/>
  <c r="AD70" i="53"/>
  <c r="AD12" i="59"/>
  <c r="J71" i="53"/>
  <c r="D71" i="53"/>
  <c r="I71" i="53"/>
  <c r="C71" i="53"/>
  <c r="F71" i="53"/>
  <c r="K71" i="53"/>
  <c r="M71" i="53"/>
  <c r="E71" i="53"/>
  <c r="P71" i="53"/>
  <c r="AK70" i="52" a="1"/>
  <c r="AK70" i="52" s="1"/>
  <c r="B72" i="53" s="1"/>
  <c r="O72" i="53" s="1"/>
  <c r="G71" i="53"/>
  <c r="H71" i="53"/>
  <c r="Q70" i="57"/>
  <c r="T70" i="57" s="1"/>
  <c r="K71" i="57"/>
  <c r="G71" i="57"/>
  <c r="E71" i="57"/>
  <c r="P71" i="57"/>
  <c r="D71" i="57"/>
  <c r="C71" i="57"/>
  <c r="M71" i="57" s="1"/>
  <c r="I71" i="57"/>
  <c r="H71" i="57"/>
  <c r="F71" i="57"/>
  <c r="J71" i="57"/>
  <c r="AK70" i="55" a="1"/>
  <c r="AK70" i="55" s="1"/>
  <c r="B72" i="57" s="1"/>
  <c r="O72" i="57" s="1"/>
  <c r="N55" i="69"/>
  <c r="AF55" i="69" s="1"/>
  <c r="D55" i="69"/>
  <c r="E55" i="69" s="1"/>
  <c r="F55" i="69" s="1"/>
  <c r="G55" i="69" s="1"/>
  <c r="H55" i="69" s="1"/>
  <c r="I55" i="69" s="1"/>
  <c r="J55" i="69" s="1"/>
  <c r="K55" i="69" s="1"/>
  <c r="M55" i="69" s="1"/>
  <c r="Q54" i="69"/>
  <c r="AE54" i="69"/>
  <c r="R54" i="69"/>
  <c r="S54" i="69" s="1"/>
  <c r="Y54" i="69" s="1"/>
  <c r="AB54" i="69" s="1"/>
  <c r="AC54" i="69" s="1"/>
  <c r="AD54" i="69" s="1"/>
  <c r="U54" i="69"/>
  <c r="C56" i="69"/>
  <c r="AN56" i="67" a="1"/>
  <c r="AN56" i="67" s="1"/>
  <c r="B57" i="69"/>
  <c r="AC65" i="59"/>
  <c r="AD65" i="59" s="1"/>
  <c r="AC61" i="59"/>
  <c r="AD61" i="59" s="1"/>
  <c r="AC57" i="59"/>
  <c r="AD57" i="59" s="1"/>
  <c r="AC92" i="59"/>
  <c r="AD92" i="59" s="1"/>
  <c r="AK11" i="59" a="1"/>
  <c r="AK11" i="59" s="1"/>
  <c r="AK12" i="59" s="1" a="1"/>
  <c r="AK12" i="59" s="1"/>
  <c r="AK13" i="59" s="1" a="1"/>
  <c r="AK13" i="59" s="1"/>
  <c r="AL11" i="59" a="1"/>
  <c r="AL11" i="59" s="1"/>
  <c r="AC150" i="59"/>
  <c r="AD150" i="59" s="1"/>
  <c r="AC19" i="59"/>
  <c r="AC216" i="59"/>
  <c r="AD216" i="59" s="1"/>
  <c r="AC217" i="59"/>
  <c r="AD217" i="59" s="1"/>
  <c r="AC55" i="59"/>
  <c r="AD55" i="59" s="1"/>
  <c r="AC86" i="59"/>
  <c r="AD86" i="59" s="1"/>
  <c r="AC103" i="59"/>
  <c r="AD103" i="59" s="1"/>
  <c r="AC17" i="59"/>
  <c r="AC119" i="59"/>
  <c r="AD119" i="59" s="1"/>
  <c r="AC15" i="59"/>
  <c r="AC132" i="59"/>
  <c r="AD132" i="59" s="1"/>
  <c r="AC156" i="59"/>
  <c r="AD156" i="59" s="1"/>
  <c r="AC252" i="59"/>
  <c r="AD252" i="59" s="1"/>
  <c r="AC66" i="59"/>
  <c r="AD66" i="59" s="1"/>
  <c r="AC75" i="59"/>
  <c r="AD75" i="59" s="1"/>
  <c r="AC160" i="59"/>
  <c r="AD160" i="59" s="1"/>
  <c r="AC248" i="59"/>
  <c r="AD248" i="59" s="1"/>
  <c r="AC54" i="59"/>
  <c r="AD54" i="59" s="1"/>
  <c r="AC21" i="59"/>
  <c r="AC64" i="59"/>
  <c r="AD64" i="59" s="1"/>
  <c r="AC107" i="59"/>
  <c r="AD107" i="59" s="1"/>
  <c r="AC130" i="59"/>
  <c r="AD130" i="59" s="1"/>
  <c r="AC139" i="59"/>
  <c r="AD139" i="59" s="1"/>
  <c r="AC178" i="59"/>
  <c r="AD178" i="59" s="1"/>
  <c r="AC52" i="59"/>
  <c r="AD52" i="59" s="1"/>
  <c r="AC83" i="59"/>
  <c r="AD83" i="59" s="1"/>
  <c r="AC122" i="59"/>
  <c r="AD122" i="59" s="1"/>
  <c r="AC166" i="59"/>
  <c r="AD166" i="59" s="1"/>
  <c r="AC181" i="59"/>
  <c r="AD181" i="59" s="1"/>
  <c r="AC185" i="59"/>
  <c r="AD185" i="59" s="1"/>
  <c r="AC13" i="59"/>
  <c r="AQ13" i="59" s="1"/>
  <c r="AC96" i="59"/>
  <c r="AD96" i="59" s="1"/>
  <c r="AC147" i="59"/>
  <c r="AD147" i="59" s="1"/>
  <c r="AC14" i="59"/>
  <c r="AC62" i="59"/>
  <c r="AD62" i="59" s="1"/>
  <c r="AC16" i="59"/>
  <c r="AC27" i="59"/>
  <c r="AD27" i="59" s="1"/>
  <c r="AC49" i="59"/>
  <c r="AD49" i="59" s="1"/>
  <c r="AC84" i="59"/>
  <c r="AD84" i="59" s="1"/>
  <c r="AC114" i="59"/>
  <c r="AD114" i="59" s="1"/>
  <c r="AC51" i="59"/>
  <c r="AD51" i="59" s="1"/>
  <c r="AC58" i="59"/>
  <c r="AD58" i="59" s="1"/>
  <c r="AC151" i="59"/>
  <c r="AD151" i="59" s="1"/>
  <c r="AC11" i="59"/>
  <c r="Q11" i="59" s="1"/>
  <c r="AC23" i="59"/>
  <c r="AC31" i="59"/>
  <c r="AD31" i="59" s="1"/>
  <c r="AC79" i="59"/>
  <c r="AD79" i="59" s="1"/>
  <c r="AC129" i="59"/>
  <c r="AD129" i="59" s="1"/>
  <c r="AC165" i="59"/>
  <c r="AD165" i="59" s="1"/>
  <c r="AC90" i="59"/>
  <c r="AD90" i="59" s="1"/>
  <c r="AC98" i="59"/>
  <c r="AD98" i="59" s="1"/>
  <c r="AC158" i="59"/>
  <c r="AD158" i="59" s="1"/>
  <c r="AC100" i="59"/>
  <c r="AD100" i="59" s="1"/>
  <c r="AC118" i="59"/>
  <c r="AD118" i="59" s="1"/>
  <c r="AC124" i="59"/>
  <c r="AD124" i="59" s="1"/>
  <c r="AC212" i="59"/>
  <c r="AD212" i="59" s="1"/>
  <c r="AC170" i="59"/>
  <c r="AD170" i="59" s="1"/>
  <c r="AC179" i="59"/>
  <c r="AD179" i="59" s="1"/>
  <c r="AC228" i="59"/>
  <c r="AD228" i="59" s="1"/>
  <c r="AC186" i="59"/>
  <c r="AD186" i="59" s="1"/>
  <c r="AC190" i="59"/>
  <c r="AD190" i="59" s="1"/>
  <c r="AC200" i="59"/>
  <c r="AD200" i="59" s="1"/>
  <c r="AC213" i="59"/>
  <c r="AD213" i="59" s="1"/>
  <c r="AC229" i="59"/>
  <c r="AD229" i="59" s="1"/>
  <c r="AC240" i="59"/>
  <c r="AD240" i="59" s="1"/>
  <c r="AC135" i="59"/>
  <c r="AD135" i="59" s="1"/>
  <c r="AC146" i="59"/>
  <c r="AD146" i="59" s="1"/>
  <c r="AC197" i="59"/>
  <c r="AD197" i="59" s="1"/>
  <c r="AC201" i="59"/>
  <c r="AD201" i="59" s="1"/>
  <c r="AC174" i="59"/>
  <c r="AD174" i="59" s="1"/>
  <c r="AC187" i="59"/>
  <c r="AD187" i="59" s="1"/>
  <c r="AC232" i="59"/>
  <c r="AD232" i="59" s="1"/>
  <c r="AC244" i="59"/>
  <c r="AD244" i="59" s="1"/>
  <c r="AC36" i="59"/>
  <c r="AD36" i="59" s="1"/>
  <c r="AC39" i="59"/>
  <c r="AD39" i="59" s="1"/>
  <c r="AC40" i="59"/>
  <c r="AD40" i="59" s="1"/>
  <c r="AC43" i="59"/>
  <c r="AD43" i="59" s="1"/>
  <c r="AC44" i="59"/>
  <c r="AD44" i="59" s="1"/>
  <c r="AC63" i="59"/>
  <c r="AD63" i="59" s="1"/>
  <c r="AC25" i="59"/>
  <c r="AD25" i="59" s="1"/>
  <c r="AC46" i="59"/>
  <c r="AD46" i="59" s="1"/>
  <c r="AC29" i="59"/>
  <c r="AD29" i="59" s="1"/>
  <c r="AC24" i="59"/>
  <c r="AD24" i="59" s="1"/>
  <c r="AC33" i="59"/>
  <c r="AD33" i="59" s="1"/>
  <c r="AC50" i="59"/>
  <c r="AD50" i="59" s="1"/>
  <c r="AC28" i="59"/>
  <c r="AD28" i="59" s="1"/>
  <c r="AC37" i="59"/>
  <c r="AD37" i="59" s="1"/>
  <c r="AC72" i="59"/>
  <c r="AD72" i="59" s="1"/>
  <c r="AC73" i="59"/>
  <c r="AD73" i="59" s="1"/>
  <c r="AC74" i="59"/>
  <c r="AD74" i="59" s="1"/>
  <c r="AC94" i="59"/>
  <c r="AD94" i="59" s="1"/>
  <c r="AC32" i="59"/>
  <c r="AD32" i="59" s="1"/>
  <c r="AC35" i="59"/>
  <c r="AD35" i="59" s="1"/>
  <c r="AC41" i="59"/>
  <c r="AD41" i="59" s="1"/>
  <c r="AC45" i="59"/>
  <c r="AD45" i="59" s="1"/>
  <c r="AC76" i="59"/>
  <c r="AD76" i="59" s="1"/>
  <c r="AC56" i="59"/>
  <c r="AD56" i="59" s="1"/>
  <c r="AC67" i="59"/>
  <c r="AD67" i="59" s="1"/>
  <c r="AC78" i="59"/>
  <c r="AD78" i="59" s="1"/>
  <c r="AC88" i="59"/>
  <c r="AD88" i="59" s="1"/>
  <c r="AC99" i="59"/>
  <c r="AD99" i="59" s="1"/>
  <c r="AC169" i="59"/>
  <c r="AD169" i="59" s="1"/>
  <c r="AC68" i="59"/>
  <c r="AD68" i="59" s="1"/>
  <c r="AC80" i="59"/>
  <c r="AD80" i="59" s="1"/>
  <c r="AC140" i="59"/>
  <c r="AD140" i="59" s="1"/>
  <c r="AC141" i="59"/>
  <c r="AD141" i="59" s="1"/>
  <c r="AC142" i="59"/>
  <c r="AD142" i="59" s="1"/>
  <c r="AC60" i="59"/>
  <c r="AD60" i="59" s="1"/>
  <c r="AC71" i="59"/>
  <c r="AD71" i="59" s="1"/>
  <c r="AC82" i="59"/>
  <c r="AD82" i="59" s="1"/>
  <c r="AC95" i="59"/>
  <c r="AD95" i="59" s="1"/>
  <c r="AC108" i="59"/>
  <c r="AD108" i="59" s="1"/>
  <c r="AC109" i="59"/>
  <c r="AD109" i="59" s="1"/>
  <c r="AC110" i="59"/>
  <c r="AD110" i="59" s="1"/>
  <c r="AC131" i="59"/>
  <c r="AD131" i="59" s="1"/>
  <c r="AC163" i="59"/>
  <c r="AD163" i="59" s="1"/>
  <c r="AC102" i="59"/>
  <c r="AD102" i="59" s="1"/>
  <c r="AC112" i="59"/>
  <c r="AD112" i="59" s="1"/>
  <c r="AC123" i="59"/>
  <c r="AD123" i="59" s="1"/>
  <c r="AC134" i="59"/>
  <c r="AD134" i="59" s="1"/>
  <c r="AC144" i="59"/>
  <c r="AD144" i="59" s="1"/>
  <c r="AC155" i="59"/>
  <c r="AD155" i="59" s="1"/>
  <c r="AC104" i="59"/>
  <c r="AD104" i="59" s="1"/>
  <c r="AC115" i="59"/>
  <c r="AD115" i="59" s="1"/>
  <c r="AC126" i="59"/>
  <c r="AD126" i="59" s="1"/>
  <c r="AC136" i="59"/>
  <c r="AD136" i="59" s="1"/>
  <c r="AC167" i="59"/>
  <c r="AD167" i="59" s="1"/>
  <c r="AC106" i="59"/>
  <c r="AD106" i="59" s="1"/>
  <c r="AC116" i="59"/>
  <c r="AD116" i="59" s="1"/>
  <c r="AC127" i="59"/>
  <c r="AD127" i="59" s="1"/>
  <c r="AC138" i="59"/>
  <c r="AD138" i="59" s="1"/>
  <c r="AC148" i="59"/>
  <c r="AD148" i="59" s="1"/>
  <c r="AC159" i="59"/>
  <c r="AD159" i="59" s="1"/>
  <c r="AC168" i="59"/>
  <c r="AD168" i="59" s="1"/>
  <c r="AC120" i="59"/>
  <c r="AD120" i="59" s="1"/>
  <c r="AC152" i="59"/>
  <c r="AD152" i="59" s="1"/>
  <c r="AC164" i="59"/>
  <c r="AD164" i="59" s="1"/>
  <c r="AC177" i="59"/>
  <c r="AD177" i="59" s="1"/>
  <c r="AC205" i="59"/>
  <c r="AD205" i="59" s="1"/>
  <c r="AC206" i="59"/>
  <c r="AD206" i="59" s="1"/>
  <c r="AC188" i="59"/>
  <c r="AD188" i="59" s="1"/>
  <c r="AC171" i="59"/>
  <c r="AD171" i="59" s="1"/>
  <c r="AC192" i="59"/>
  <c r="AD192" i="59" s="1"/>
  <c r="AC173" i="59"/>
  <c r="AD173" i="59" s="1"/>
  <c r="AC183" i="59"/>
  <c r="AD183" i="59" s="1"/>
  <c r="AC189" i="59"/>
  <c r="AD189" i="59" s="1"/>
  <c r="AC175" i="59"/>
  <c r="AD175" i="59" s="1"/>
  <c r="AC203" i="59"/>
  <c r="AD203" i="59" s="1"/>
  <c r="AC194" i="59"/>
  <c r="AD194" i="59" s="1"/>
  <c r="AC210" i="59"/>
  <c r="AD210" i="59" s="1"/>
  <c r="AC221" i="59"/>
  <c r="AD221" i="59" s="1"/>
  <c r="AC226" i="59"/>
  <c r="AD226" i="59" s="1"/>
  <c r="AC253" i="59"/>
  <c r="AD253" i="59" s="1"/>
  <c r="AC256" i="59"/>
  <c r="AD256" i="59" s="1"/>
  <c r="AC234" i="59"/>
  <c r="AD234" i="59" s="1"/>
  <c r="AC257" i="59"/>
  <c r="AD257" i="59" s="1"/>
  <c r="AC222" i="59"/>
  <c r="AD222" i="59" s="1"/>
  <c r="AC238" i="59"/>
  <c r="AD238" i="59" s="1"/>
  <c r="AC233" i="59"/>
  <c r="AD233" i="59" s="1"/>
  <c r="AC236" i="59"/>
  <c r="AD236" i="59" s="1"/>
  <c r="AC242" i="59"/>
  <c r="AD242" i="59" s="1"/>
  <c r="AC196" i="59"/>
  <c r="AD196" i="59" s="1"/>
  <c r="AC202" i="59"/>
  <c r="AD202" i="59" s="1"/>
  <c r="AC218" i="59"/>
  <c r="AD218" i="59" s="1"/>
  <c r="AC237" i="59"/>
  <c r="AD237" i="59" s="1"/>
  <c r="AC246" i="59"/>
  <c r="AD246" i="59" s="1"/>
  <c r="AC241" i="59"/>
  <c r="AD241" i="59" s="1"/>
  <c r="AC250" i="59"/>
  <c r="AD250" i="59" s="1"/>
  <c r="AC193" i="59"/>
  <c r="AD193" i="59" s="1"/>
  <c r="AC198" i="59"/>
  <c r="AD198" i="59" s="1"/>
  <c r="AC209" i="59"/>
  <c r="AD209" i="59" s="1"/>
  <c r="AC214" i="59"/>
  <c r="AD214" i="59" s="1"/>
  <c r="AC225" i="59"/>
  <c r="AD225" i="59" s="1"/>
  <c r="AC230" i="59"/>
  <c r="AD230" i="59" s="1"/>
  <c r="AC245" i="59"/>
  <c r="AD245" i="59" s="1"/>
  <c r="AC254" i="59"/>
  <c r="AD254" i="59" s="1"/>
  <c r="AC249" i="59"/>
  <c r="AD249" i="59" s="1"/>
  <c r="AC258" i="59"/>
  <c r="AD258" i="59" s="1"/>
  <c r="S7" i="78"/>
  <c r="S8" i="78"/>
  <c r="S6" i="78"/>
  <c r="AB69" i="57" l="1"/>
  <c r="AA69" i="57"/>
  <c r="AO56" i="69"/>
  <c r="P56" i="69"/>
  <c r="AG54" i="69"/>
  <c r="L57" i="69"/>
  <c r="O57" i="69"/>
  <c r="X70" i="57"/>
  <c r="AF70" i="53"/>
  <c r="AE71" i="53"/>
  <c r="AC71" i="53"/>
  <c r="AB70" i="53"/>
  <c r="AA70" i="53"/>
  <c r="AF69" i="57"/>
  <c r="AE71" i="57"/>
  <c r="AC71" i="57"/>
  <c r="R71" i="57"/>
  <c r="R71" i="53"/>
  <c r="X71" i="53" s="1"/>
  <c r="T64" i="22"/>
  <c r="AQ14" i="59"/>
  <c r="T14" i="22"/>
  <c r="AQ255" i="59"/>
  <c r="T103" i="22"/>
  <c r="AL30" i="22" s="1"/>
  <c r="T110" i="22"/>
  <c r="AD23" i="59"/>
  <c r="AD21" i="59"/>
  <c r="AD19" i="59"/>
  <c r="AD17" i="59"/>
  <c r="AD16" i="59"/>
  <c r="AX55" i="69"/>
  <c r="AG72" i="57"/>
  <c r="L72" i="57"/>
  <c r="AJ71" i="57"/>
  <c r="AP71" i="57"/>
  <c r="AG71" i="53"/>
  <c r="AH71" i="53"/>
  <c r="AT71" i="53"/>
  <c r="AD15" i="59"/>
  <c r="AD14" i="59"/>
  <c r="T62" i="22"/>
  <c r="N72" i="57"/>
  <c r="L72" i="53"/>
  <c r="N72" i="53"/>
  <c r="AH55" i="69"/>
  <c r="AD13" i="59"/>
  <c r="AD71" i="57"/>
  <c r="AD71" i="53"/>
  <c r="Q71" i="53"/>
  <c r="AK71" i="52" a="1"/>
  <c r="AK71" i="52" s="1"/>
  <c r="B73" i="53" s="1"/>
  <c r="O73" i="53" s="1"/>
  <c r="P72" i="53"/>
  <c r="E72" i="53"/>
  <c r="D72" i="53"/>
  <c r="M72" i="53"/>
  <c r="C72" i="53"/>
  <c r="F72" i="53"/>
  <c r="K72" i="53"/>
  <c r="H72" i="53"/>
  <c r="G72" i="53"/>
  <c r="J72" i="53"/>
  <c r="I72" i="53"/>
  <c r="Q71" i="57"/>
  <c r="T71" i="57" s="1"/>
  <c r="I72" i="57"/>
  <c r="F72" i="57"/>
  <c r="E72" i="57"/>
  <c r="C72" i="57"/>
  <c r="M72" i="57" s="1"/>
  <c r="K72" i="57"/>
  <c r="J72" i="57"/>
  <c r="P72" i="57"/>
  <c r="H72" i="57"/>
  <c r="D72" i="57"/>
  <c r="G72" i="57"/>
  <c r="AK71" i="55" a="1"/>
  <c r="AK71" i="55" s="1"/>
  <c r="B73" i="57" s="1"/>
  <c r="O73" i="57" s="1"/>
  <c r="C57" i="69"/>
  <c r="D56" i="69"/>
  <c r="E56" i="69" s="1"/>
  <c r="F56" i="69" s="1"/>
  <c r="G56" i="69" s="1"/>
  <c r="H56" i="69" s="1"/>
  <c r="I56" i="69" s="1"/>
  <c r="J56" i="69" s="1"/>
  <c r="K56" i="69" s="1"/>
  <c r="M56" i="69" s="1"/>
  <c r="N56" i="69"/>
  <c r="AF56" i="69" s="1"/>
  <c r="AN57" i="67" a="1"/>
  <c r="AN57" i="67" s="1"/>
  <c r="B58" i="69"/>
  <c r="AE55" i="69"/>
  <c r="R55" i="69"/>
  <c r="S55" i="69" s="1"/>
  <c r="Y55" i="69" s="1"/>
  <c r="U55" i="69"/>
  <c r="Q55" i="69"/>
  <c r="T125" i="22"/>
  <c r="S9" i="78"/>
  <c r="AL12" i="59" a="1"/>
  <c r="AL12" i="59" s="1"/>
  <c r="E13" i="50" s="1"/>
  <c r="E12" i="50"/>
  <c r="AK14" i="59" a="1"/>
  <c r="AK14" i="59" s="1"/>
  <c r="L7" i="29"/>
  <c r="AB70" i="57" l="1"/>
  <c r="AA70" i="57"/>
  <c r="AB55" i="69"/>
  <c r="AC55" i="69" s="1"/>
  <c r="AD55" i="69" s="1"/>
  <c r="AG55" i="69"/>
  <c r="AO57" i="69"/>
  <c r="P57" i="69"/>
  <c r="L58" i="69"/>
  <c r="O58" i="69"/>
  <c r="O12" i="50"/>
  <c r="AF70" i="57"/>
  <c r="X71" i="57"/>
  <c r="AB71" i="53"/>
  <c r="AA71" i="53"/>
  <c r="AE72" i="53"/>
  <c r="AC72" i="53"/>
  <c r="AF71" i="53"/>
  <c r="AE72" i="57"/>
  <c r="AC72" i="57"/>
  <c r="R72" i="57"/>
  <c r="R72" i="53"/>
  <c r="X72" i="53" s="1"/>
  <c r="AQ12" i="59"/>
  <c r="T113" i="22"/>
  <c r="AL29" i="22" s="1"/>
  <c r="T100" i="22"/>
  <c r="AL31" i="22" s="1"/>
  <c r="O13" i="50"/>
  <c r="AX56" i="69"/>
  <c r="AG73" i="57"/>
  <c r="L73" i="57"/>
  <c r="AJ72" i="57"/>
  <c r="AP72" i="57"/>
  <c r="AH72" i="53"/>
  <c r="AT72" i="53"/>
  <c r="AG72" i="53"/>
  <c r="N73" i="57"/>
  <c r="M73" i="53"/>
  <c r="N73" i="53"/>
  <c r="AH56" i="69"/>
  <c r="AD72" i="57"/>
  <c r="Q72" i="53"/>
  <c r="AD72" i="53"/>
  <c r="P73" i="53"/>
  <c r="J73" i="53"/>
  <c r="G73" i="53"/>
  <c r="L73" i="53"/>
  <c r="F73" i="53"/>
  <c r="I73" i="53"/>
  <c r="AK72" i="52" a="1"/>
  <c r="AK72" i="52" s="1"/>
  <c r="B74" i="53" s="1"/>
  <c r="O74" i="53" s="1"/>
  <c r="H73" i="53"/>
  <c r="C73" i="53"/>
  <c r="K73" i="53"/>
  <c r="D73" i="53"/>
  <c r="E73" i="53"/>
  <c r="A13" i="50"/>
  <c r="Q13" i="50" s="1"/>
  <c r="I13" i="50"/>
  <c r="M13" i="50"/>
  <c r="G13" i="50"/>
  <c r="B13" i="50"/>
  <c r="R13" i="50" s="1"/>
  <c r="K13" i="50"/>
  <c r="J13" i="50"/>
  <c r="N13" i="50"/>
  <c r="H13" i="50"/>
  <c r="L13" i="50"/>
  <c r="F13" i="50"/>
  <c r="F12" i="50"/>
  <c r="B12" i="50"/>
  <c r="R12" i="50" s="1"/>
  <c r="A12" i="50"/>
  <c r="J12" i="50"/>
  <c r="H12" i="50"/>
  <c r="K12" i="50"/>
  <c r="G12" i="50"/>
  <c r="Q72" i="57"/>
  <c r="T72" i="57" s="1"/>
  <c r="C73" i="57"/>
  <c r="M73" i="57" s="1"/>
  <c r="I73" i="57"/>
  <c r="H73" i="57"/>
  <c r="G73" i="57"/>
  <c r="E73" i="57"/>
  <c r="P73" i="57"/>
  <c r="D73" i="57"/>
  <c r="K73" i="57"/>
  <c r="F73" i="57"/>
  <c r="J73" i="57"/>
  <c r="AK72" i="55" a="1"/>
  <c r="AK72" i="55" s="1"/>
  <c r="B74" i="57" s="1"/>
  <c r="O74" i="57" s="1"/>
  <c r="Q56" i="69"/>
  <c r="R56" i="69"/>
  <c r="S56" i="69" s="1"/>
  <c r="Y56" i="69" s="1"/>
  <c r="AB56" i="69" s="1"/>
  <c r="AC56" i="69" s="1"/>
  <c r="AD56" i="69" s="1"/>
  <c r="U56" i="69"/>
  <c r="AE56" i="69"/>
  <c r="D57" i="69"/>
  <c r="E57" i="69" s="1"/>
  <c r="F57" i="69" s="1"/>
  <c r="G57" i="69" s="1"/>
  <c r="H57" i="69" s="1"/>
  <c r="I57" i="69" s="1"/>
  <c r="J57" i="69" s="1"/>
  <c r="K57" i="69" s="1"/>
  <c r="M57" i="69" s="1"/>
  <c r="N57" i="69"/>
  <c r="AF57" i="69" s="1"/>
  <c r="C58" i="69"/>
  <c r="AN58" i="67" a="1"/>
  <c r="AN58" i="67" s="1"/>
  <c r="B59" i="69"/>
  <c r="AL13" i="59" a="1"/>
  <c r="AL13" i="59" s="1"/>
  <c r="E14" i="50" s="1"/>
  <c r="AK15" i="59" a="1"/>
  <c r="AK15" i="59" s="1"/>
  <c r="AB71" i="57" l="1"/>
  <c r="AA71" i="57"/>
  <c r="AG56" i="69"/>
  <c r="L59" i="69"/>
  <c r="O59" i="69"/>
  <c r="AO58" i="69"/>
  <c r="P58" i="69"/>
  <c r="T14" i="50"/>
  <c r="AK14" i="50"/>
  <c r="AF71" i="57"/>
  <c r="X72" i="57"/>
  <c r="AA72" i="57" s="1"/>
  <c r="AB72" i="53"/>
  <c r="AA72" i="53"/>
  <c r="AF72" i="53"/>
  <c r="AE73" i="53"/>
  <c r="AC73" i="53"/>
  <c r="AE73" i="57"/>
  <c r="AC73" i="57"/>
  <c r="Q12" i="50"/>
  <c r="AD5" i="50" s="1"/>
  <c r="R73" i="57"/>
  <c r="R73" i="53"/>
  <c r="X73" i="53" s="1"/>
  <c r="O14" i="50"/>
  <c r="AX57" i="69"/>
  <c r="AG74" i="57"/>
  <c r="L74" i="57"/>
  <c r="AJ73" i="57"/>
  <c r="AP73" i="57"/>
  <c r="P13" i="50"/>
  <c r="AG73" i="53"/>
  <c r="AH73" i="53"/>
  <c r="AT73" i="53"/>
  <c r="Q73" i="53"/>
  <c r="N74" i="57"/>
  <c r="AD73" i="53"/>
  <c r="D74" i="53"/>
  <c r="N74" i="53"/>
  <c r="AH57" i="69"/>
  <c r="AD73" i="57"/>
  <c r="S13" i="50"/>
  <c r="S12" i="50"/>
  <c r="Z12" i="50" s="1"/>
  <c r="I74" i="53"/>
  <c r="G74" i="53"/>
  <c r="F74" i="53"/>
  <c r="P74" i="53"/>
  <c r="M74" i="53"/>
  <c r="K74" i="53"/>
  <c r="L74" i="53"/>
  <c r="AK73" i="52" a="1"/>
  <c r="AK73" i="52" s="1"/>
  <c r="B75" i="53" s="1"/>
  <c r="O75" i="53" s="1"/>
  <c r="C74" i="53"/>
  <c r="E74" i="53"/>
  <c r="H74" i="53"/>
  <c r="J74" i="53"/>
  <c r="I14" i="50"/>
  <c r="B14" i="50"/>
  <c r="R14" i="50" s="1"/>
  <c r="H14" i="50"/>
  <c r="N14" i="50"/>
  <c r="F14" i="50"/>
  <c r="L14" i="50"/>
  <c r="M14" i="50"/>
  <c r="A14" i="50"/>
  <c r="G14" i="50"/>
  <c r="K14" i="50"/>
  <c r="J14" i="50"/>
  <c r="J74" i="57"/>
  <c r="G74" i="57"/>
  <c r="D74" i="57"/>
  <c r="K74" i="57"/>
  <c r="F74" i="57"/>
  <c r="E74" i="57"/>
  <c r="I74" i="57"/>
  <c r="P74" i="57"/>
  <c r="C74" i="57"/>
  <c r="M74" i="57" s="1"/>
  <c r="H74" i="57"/>
  <c r="Q73" i="57"/>
  <c r="T73" i="57" s="1"/>
  <c r="AK73" i="55" a="1"/>
  <c r="AK73" i="55" s="1"/>
  <c r="B75" i="57" s="1"/>
  <c r="O75" i="57" s="1"/>
  <c r="AN59" i="67" a="1"/>
  <c r="AN59" i="67" s="1"/>
  <c r="B60" i="69"/>
  <c r="D58" i="69"/>
  <c r="E58" i="69" s="1"/>
  <c r="F58" i="69" s="1"/>
  <c r="G58" i="69" s="1"/>
  <c r="H58" i="69" s="1"/>
  <c r="I58" i="69" s="1"/>
  <c r="J58" i="69" s="1"/>
  <c r="K58" i="69" s="1"/>
  <c r="M58" i="69" s="1"/>
  <c r="N58" i="69"/>
  <c r="AF58" i="69" s="1"/>
  <c r="AE57" i="69"/>
  <c r="Q57" i="69"/>
  <c r="R57" i="69"/>
  <c r="S57" i="69" s="1"/>
  <c r="Y57" i="69" s="1"/>
  <c r="U57" i="69"/>
  <c r="C59" i="69"/>
  <c r="AL14" i="59" a="1"/>
  <c r="AL14" i="59" s="1"/>
  <c r="E15" i="50" s="1"/>
  <c r="AK16" i="59" a="1"/>
  <c r="AK16" i="59" s="1"/>
  <c r="AK17" i="59" s="1" a="1"/>
  <c r="AK17" i="59" s="1"/>
  <c r="AB57" i="69" l="1"/>
  <c r="AC57" i="69" s="1"/>
  <c r="AD57" i="69" s="1"/>
  <c r="AG57" i="69"/>
  <c r="AO59" i="69"/>
  <c r="P59" i="69"/>
  <c r="L60" i="69"/>
  <c r="O60" i="69"/>
  <c r="AK15" i="50"/>
  <c r="T15" i="50"/>
  <c r="AF72" i="57"/>
  <c r="AB72" i="57"/>
  <c r="AB73" i="53"/>
  <c r="AA73" i="53"/>
  <c r="AF73" i="53"/>
  <c r="AE74" i="53"/>
  <c r="AC74" i="53"/>
  <c r="X73" i="57"/>
  <c r="AE74" i="57"/>
  <c r="AC74" i="57"/>
  <c r="AM14" i="50"/>
  <c r="U14" i="50"/>
  <c r="P12" i="50"/>
  <c r="R74" i="57"/>
  <c r="R74" i="53"/>
  <c r="X74" i="53" s="1"/>
  <c r="C12" i="50"/>
  <c r="O15" i="50"/>
  <c r="Q14" i="50"/>
  <c r="P14" i="50" s="1"/>
  <c r="AX58" i="69"/>
  <c r="AG75" i="57"/>
  <c r="L75" i="57"/>
  <c r="AJ74" i="57"/>
  <c r="AP74" i="57"/>
  <c r="AH74" i="53"/>
  <c r="AT74" i="53"/>
  <c r="AG74" i="53"/>
  <c r="N75" i="57"/>
  <c r="E75" i="53"/>
  <c r="N75" i="53"/>
  <c r="AH58" i="69"/>
  <c r="AJ13" i="50"/>
  <c r="C13" i="50"/>
  <c r="AJ12" i="50"/>
  <c r="AD74" i="57"/>
  <c r="AD74" i="53"/>
  <c r="Q74" i="53"/>
  <c r="W12" i="50"/>
  <c r="V12" i="50"/>
  <c r="V13" i="50"/>
  <c r="S14" i="50"/>
  <c r="F75" i="53"/>
  <c r="H75" i="53"/>
  <c r="M75" i="53"/>
  <c r="P75" i="53"/>
  <c r="J75" i="53"/>
  <c r="I75" i="53"/>
  <c r="D75" i="53"/>
  <c r="G75" i="53"/>
  <c r="K75" i="53"/>
  <c r="L75" i="53"/>
  <c r="AK74" i="52" a="1"/>
  <c r="AK74" i="52" s="1"/>
  <c r="B76" i="53" s="1"/>
  <c r="O76" i="53" s="1"/>
  <c r="C75" i="53"/>
  <c r="K15" i="50"/>
  <c r="B15" i="50"/>
  <c r="R15" i="50" s="1"/>
  <c r="A15" i="50"/>
  <c r="F15" i="50"/>
  <c r="M15" i="50"/>
  <c r="H15" i="50"/>
  <c r="I15" i="50"/>
  <c r="J15" i="50"/>
  <c r="N15" i="50"/>
  <c r="G15" i="50"/>
  <c r="L15" i="50"/>
  <c r="P75" i="57"/>
  <c r="D75" i="57"/>
  <c r="K75" i="57"/>
  <c r="I75" i="57"/>
  <c r="H75" i="57"/>
  <c r="G75" i="57"/>
  <c r="E75" i="57"/>
  <c r="C75" i="57"/>
  <c r="M75" i="57" s="1"/>
  <c r="F75" i="57"/>
  <c r="J75" i="57"/>
  <c r="W13" i="50"/>
  <c r="X13" i="50" s="1"/>
  <c r="T13" i="50" s="1"/>
  <c r="Z13" i="50"/>
  <c r="Q74" i="57"/>
  <c r="T74" i="57" s="1"/>
  <c r="X74" i="57" s="1"/>
  <c r="AA74" i="57" s="1"/>
  <c r="AK74" i="55" a="1"/>
  <c r="AK74" i="55" s="1"/>
  <c r="B76" i="57" s="1"/>
  <c r="O76" i="57" s="1"/>
  <c r="AN60" i="67" a="1"/>
  <c r="AN60" i="67" s="1"/>
  <c r="B61" i="69"/>
  <c r="D59" i="69"/>
  <c r="E59" i="69" s="1"/>
  <c r="F59" i="69" s="1"/>
  <c r="G59" i="69" s="1"/>
  <c r="H59" i="69" s="1"/>
  <c r="I59" i="69" s="1"/>
  <c r="J59" i="69" s="1"/>
  <c r="K59" i="69" s="1"/>
  <c r="M59" i="69" s="1"/>
  <c r="N59" i="69"/>
  <c r="AF59" i="69" s="1"/>
  <c r="AE58" i="69"/>
  <c r="U58" i="69"/>
  <c r="Q58" i="69"/>
  <c r="R58" i="69"/>
  <c r="S58" i="69" s="1"/>
  <c r="Y58" i="69" s="1"/>
  <c r="AB58" i="69" s="1"/>
  <c r="AC58" i="69" s="1"/>
  <c r="AD58" i="69" s="1"/>
  <c r="C60" i="69"/>
  <c r="AL15" i="59" a="1"/>
  <c r="AL15" i="59" s="1"/>
  <c r="E16" i="50" s="1"/>
  <c r="AK18" i="59" a="1"/>
  <c r="AK18" i="59" s="1"/>
  <c r="AB73" i="57" l="1"/>
  <c r="AA73" i="57"/>
  <c r="U13" i="50"/>
  <c r="AD13" i="50" s="1"/>
  <c r="AG13" i="50" s="1"/>
  <c r="AH13" i="50" s="1"/>
  <c r="AG58" i="69"/>
  <c r="AO60" i="69"/>
  <c r="P60" i="69"/>
  <c r="L61" i="69"/>
  <c r="O61" i="69"/>
  <c r="AK16" i="50"/>
  <c r="T16" i="50"/>
  <c r="AB74" i="53"/>
  <c r="AA74" i="53"/>
  <c r="AE75" i="53"/>
  <c r="AC75" i="53"/>
  <c r="AF74" i="53"/>
  <c r="AF73" i="57"/>
  <c r="AB74" i="57"/>
  <c r="AF74" i="57"/>
  <c r="AE75" i="57"/>
  <c r="AC75" i="57"/>
  <c r="AD14" i="50"/>
  <c r="AG14" i="50" s="1"/>
  <c r="AH14" i="50" s="1"/>
  <c r="AI14" i="50" s="1"/>
  <c r="AM15" i="50"/>
  <c r="U15" i="50"/>
  <c r="R75" i="57"/>
  <c r="R75" i="53"/>
  <c r="X75" i="53" s="1"/>
  <c r="O16" i="50"/>
  <c r="Q15" i="50"/>
  <c r="P15" i="50" s="1"/>
  <c r="AX59" i="69"/>
  <c r="AG76" i="57"/>
  <c r="L76" i="57"/>
  <c r="AJ75" i="57"/>
  <c r="AP75" i="57"/>
  <c r="AG75" i="53"/>
  <c r="AH75" i="53"/>
  <c r="AT75" i="53"/>
  <c r="N76" i="57"/>
  <c r="N76" i="53"/>
  <c r="AH59" i="69"/>
  <c r="AJ14" i="50"/>
  <c r="C14" i="50"/>
  <c r="AD75" i="57"/>
  <c r="AD75" i="53"/>
  <c r="V14" i="50"/>
  <c r="S15" i="50"/>
  <c r="Q75" i="53"/>
  <c r="H76" i="53"/>
  <c r="P76" i="53"/>
  <c r="E76" i="53"/>
  <c r="K76" i="53"/>
  <c r="C76" i="53"/>
  <c r="I76" i="53"/>
  <c r="D76" i="53"/>
  <c r="F76" i="53"/>
  <c r="L76" i="53"/>
  <c r="AK75" i="52" a="1"/>
  <c r="AK75" i="52" s="1"/>
  <c r="B77" i="53" s="1"/>
  <c r="O77" i="53" s="1"/>
  <c r="G76" i="53"/>
  <c r="M76" i="53"/>
  <c r="J76" i="53"/>
  <c r="B16" i="50"/>
  <c r="R16" i="50" s="1"/>
  <c r="M16" i="50"/>
  <c r="L16" i="50"/>
  <c r="K16" i="50"/>
  <c r="G16" i="50"/>
  <c r="N16" i="50"/>
  <c r="A16" i="50"/>
  <c r="F16" i="50"/>
  <c r="H16" i="50"/>
  <c r="I16" i="50"/>
  <c r="J16" i="50"/>
  <c r="F76" i="57"/>
  <c r="K76" i="57"/>
  <c r="I76" i="57"/>
  <c r="C76" i="57"/>
  <c r="M76" i="57" s="1"/>
  <c r="P76" i="57"/>
  <c r="H76" i="57"/>
  <c r="D76" i="57"/>
  <c r="G76" i="57"/>
  <c r="E76" i="57"/>
  <c r="J76" i="57"/>
  <c r="Z14" i="50"/>
  <c r="W14" i="50"/>
  <c r="X14" i="50" s="1"/>
  <c r="Q75" i="57"/>
  <c r="T75" i="57" s="1"/>
  <c r="AK75" i="55" a="1"/>
  <c r="AK75" i="55" s="1"/>
  <c r="B77" i="57" s="1"/>
  <c r="O77" i="57" s="1"/>
  <c r="D60" i="69"/>
  <c r="E60" i="69" s="1"/>
  <c r="F60" i="69" s="1"/>
  <c r="G60" i="69" s="1"/>
  <c r="H60" i="69" s="1"/>
  <c r="I60" i="69" s="1"/>
  <c r="J60" i="69" s="1"/>
  <c r="K60" i="69" s="1"/>
  <c r="M60" i="69" s="1"/>
  <c r="N60" i="69"/>
  <c r="AF60" i="69" s="1"/>
  <c r="AE59" i="69"/>
  <c r="R59" i="69"/>
  <c r="S59" i="69" s="1"/>
  <c r="Y59" i="69" s="1"/>
  <c r="Q59" i="69"/>
  <c r="U59" i="69"/>
  <c r="C61" i="69"/>
  <c r="AN61" i="67" a="1"/>
  <c r="AN61" i="67" s="1"/>
  <c r="B62" i="69"/>
  <c r="AL16" i="59" a="1"/>
  <c r="AL16" i="59" s="1"/>
  <c r="E17" i="50" s="1"/>
  <c r="AK19" i="59" a="1"/>
  <c r="AK19" i="59" s="1"/>
  <c r="AK13" i="50" l="1"/>
  <c r="AI13" i="50"/>
  <c r="AB59" i="69"/>
  <c r="AC59" i="69" s="1"/>
  <c r="AD59" i="69" s="1"/>
  <c r="AG59" i="69"/>
  <c r="AO61" i="69"/>
  <c r="P61" i="69"/>
  <c r="L62" i="69"/>
  <c r="O62" i="69"/>
  <c r="T17" i="50"/>
  <c r="AK17" i="50"/>
  <c r="X75" i="57"/>
  <c r="AB75" i="53"/>
  <c r="AA75" i="53"/>
  <c r="AE76" i="53"/>
  <c r="AC76" i="53"/>
  <c r="AF75" i="53"/>
  <c r="AC76" i="57"/>
  <c r="AE76" i="57"/>
  <c r="AD15" i="50"/>
  <c r="AM16" i="50"/>
  <c r="U16" i="50"/>
  <c r="R76" i="57"/>
  <c r="R76" i="53"/>
  <c r="X76" i="53" s="1"/>
  <c r="Q16" i="50"/>
  <c r="P16" i="50" s="1"/>
  <c r="AX60" i="69"/>
  <c r="L77" i="57"/>
  <c r="AG77" i="57"/>
  <c r="O17" i="50"/>
  <c r="AJ76" i="57"/>
  <c r="AP76" i="57"/>
  <c r="AL14" i="50"/>
  <c r="AH76" i="53"/>
  <c r="AT76" i="53"/>
  <c r="AG76" i="53"/>
  <c r="N77" i="57"/>
  <c r="C77" i="53"/>
  <c r="N77" i="53"/>
  <c r="AH60" i="69"/>
  <c r="AJ15" i="50"/>
  <c r="C15" i="50"/>
  <c r="AD76" i="57"/>
  <c r="AD76" i="53"/>
  <c r="V15" i="50"/>
  <c r="S16" i="50"/>
  <c r="Q76" i="53"/>
  <c r="L77" i="53"/>
  <c r="I77" i="53"/>
  <c r="M77" i="53"/>
  <c r="J77" i="53"/>
  <c r="D77" i="53"/>
  <c r="K77" i="53"/>
  <c r="F77" i="53"/>
  <c r="G77" i="53"/>
  <c r="AK76" i="52" a="1"/>
  <c r="AK76" i="52" s="1"/>
  <c r="B78" i="53" s="1"/>
  <c r="O78" i="53" s="1"/>
  <c r="P77" i="53"/>
  <c r="H77" i="53"/>
  <c r="E77" i="53"/>
  <c r="M17" i="50"/>
  <c r="K17" i="50"/>
  <c r="H17" i="50"/>
  <c r="N17" i="50"/>
  <c r="B17" i="50"/>
  <c r="R17" i="50" s="1"/>
  <c r="L17" i="50"/>
  <c r="G17" i="50"/>
  <c r="I17" i="50"/>
  <c r="A17" i="50"/>
  <c r="Q17" i="50" s="1"/>
  <c r="P17" i="50" s="1"/>
  <c r="J17" i="50"/>
  <c r="F17" i="50"/>
  <c r="K77" i="57"/>
  <c r="G77" i="57"/>
  <c r="E77" i="57"/>
  <c r="P77" i="57"/>
  <c r="D77" i="57"/>
  <c r="C77" i="57"/>
  <c r="M77" i="57" s="1"/>
  <c r="I77" i="57"/>
  <c r="H77" i="57"/>
  <c r="F77" i="57"/>
  <c r="J77" i="57"/>
  <c r="Q76" i="57"/>
  <c r="T76" i="57" s="1"/>
  <c r="Z15" i="50"/>
  <c r="W15" i="50"/>
  <c r="X15" i="50" s="1"/>
  <c r="AK76" i="55" a="1"/>
  <c r="AK76" i="55" s="1"/>
  <c r="B78" i="57" s="1"/>
  <c r="O78" i="57" s="1"/>
  <c r="AN62" i="67" a="1"/>
  <c r="AN62" i="67" s="1"/>
  <c r="B63" i="69"/>
  <c r="AE60" i="69"/>
  <c r="R60" i="69"/>
  <c r="S60" i="69" s="1"/>
  <c r="Y60" i="69" s="1"/>
  <c r="U60" i="69"/>
  <c r="Q60" i="69"/>
  <c r="C62" i="69"/>
  <c r="N61" i="69"/>
  <c r="AF61" i="69" s="1"/>
  <c r="D61" i="69"/>
  <c r="E61" i="69" s="1"/>
  <c r="F61" i="69" s="1"/>
  <c r="G61" i="69" s="1"/>
  <c r="H61" i="69" s="1"/>
  <c r="I61" i="69" s="1"/>
  <c r="J61" i="69" s="1"/>
  <c r="K61" i="69" s="1"/>
  <c r="M61" i="69" s="1"/>
  <c r="AL17" i="59" a="1"/>
  <c r="AL17" i="59" s="1"/>
  <c r="E18" i="50" s="1"/>
  <c r="AK20" i="59" a="1"/>
  <c r="AK20" i="59" s="1"/>
  <c r="AK21" i="59" s="1" a="1"/>
  <c r="AK21" i="59" s="1"/>
  <c r="AK22" i="59" s="1" a="1"/>
  <c r="AK22" i="59" s="1"/>
  <c r="AK23" i="59" s="1" a="1"/>
  <c r="AK23" i="59" s="1"/>
  <c r="AK24" i="59" s="1" a="1"/>
  <c r="AK24" i="59" s="1"/>
  <c r="AK25" i="59" s="1" a="1"/>
  <c r="AK25" i="59" s="1"/>
  <c r="AK26" i="59" s="1" a="1"/>
  <c r="AK26" i="59" s="1"/>
  <c r="AK27" i="59" s="1" a="1"/>
  <c r="AK27" i="59" s="1"/>
  <c r="AK28" i="59" s="1" a="1"/>
  <c r="AK28" i="59" s="1"/>
  <c r="AK29" i="59" s="1" a="1"/>
  <c r="AK29" i="59" s="1"/>
  <c r="AK30" i="59" s="1" a="1"/>
  <c r="AK30" i="59" s="1"/>
  <c r="AK31" i="59" s="1" a="1"/>
  <c r="AK31" i="59" s="1"/>
  <c r="AK32" i="59" s="1" a="1"/>
  <c r="AK32" i="59" s="1"/>
  <c r="AK33" i="59" s="1" a="1"/>
  <c r="AK33" i="59" s="1"/>
  <c r="AK34" i="59" s="1" a="1"/>
  <c r="AK34" i="59" s="1"/>
  <c r="AK35" i="59" s="1" a="1"/>
  <c r="AK35" i="59" s="1"/>
  <c r="AK36" i="59" s="1" a="1"/>
  <c r="AK36" i="59" s="1"/>
  <c r="AK37" i="59" s="1" a="1"/>
  <c r="AK37" i="59" s="1"/>
  <c r="AK38" i="59" s="1" a="1"/>
  <c r="AK38" i="59" s="1"/>
  <c r="AK39" i="59" s="1" a="1"/>
  <c r="AK39" i="59" s="1"/>
  <c r="AK40" i="59" s="1" a="1"/>
  <c r="AK40" i="59" s="1"/>
  <c r="AK41" i="59" s="1" a="1"/>
  <c r="AK41" i="59" s="1"/>
  <c r="AK42" i="59" s="1" a="1"/>
  <c r="AK42" i="59" s="1"/>
  <c r="AK43" i="59" s="1" a="1"/>
  <c r="AK43" i="59" s="1"/>
  <c r="AK44" i="59" s="1" a="1"/>
  <c r="AK44" i="59" s="1"/>
  <c r="AK45" i="59" s="1" a="1"/>
  <c r="AK45" i="59" s="1"/>
  <c r="AK46" i="59" s="1" a="1"/>
  <c r="AK46" i="59" s="1"/>
  <c r="AK47" i="59" s="1" a="1"/>
  <c r="AK47" i="59" s="1"/>
  <c r="AK48" i="59" s="1" a="1"/>
  <c r="AK48" i="59" s="1"/>
  <c r="AK49" i="59" s="1" a="1"/>
  <c r="AK49" i="59" s="1"/>
  <c r="AK50" i="59" s="1" a="1"/>
  <c r="AK50" i="59" s="1"/>
  <c r="AK51" i="59" s="1" a="1"/>
  <c r="AK51" i="59" s="1"/>
  <c r="AK52" i="59" s="1" a="1"/>
  <c r="AK52" i="59" s="1"/>
  <c r="AK53" i="59" s="1" a="1"/>
  <c r="AK53" i="59" s="1"/>
  <c r="AK54" i="59" s="1" a="1"/>
  <c r="AK54" i="59" s="1"/>
  <c r="AK55" i="59" s="1" a="1"/>
  <c r="AK55" i="59" s="1"/>
  <c r="AK56" i="59" s="1" a="1"/>
  <c r="AK56" i="59" s="1"/>
  <c r="AK57" i="59" s="1" a="1"/>
  <c r="AK57" i="59" s="1"/>
  <c r="AK58" i="59" s="1" a="1"/>
  <c r="AK58" i="59" s="1"/>
  <c r="AK59" i="59" s="1" a="1"/>
  <c r="AK59" i="59" s="1"/>
  <c r="AK60" i="59" s="1" a="1"/>
  <c r="AK60" i="59" s="1"/>
  <c r="AK61" i="59" s="1" a="1"/>
  <c r="AK61" i="59" s="1"/>
  <c r="AK62" i="59" s="1" a="1"/>
  <c r="AK62" i="59" s="1"/>
  <c r="AK63" i="59" s="1" a="1"/>
  <c r="AK63" i="59" s="1"/>
  <c r="AK64" i="59" s="1" a="1"/>
  <c r="AK64" i="59" s="1"/>
  <c r="AK65" i="59" s="1" a="1"/>
  <c r="AK65" i="59" s="1"/>
  <c r="AK66" i="59" s="1" a="1"/>
  <c r="AK66" i="59" s="1"/>
  <c r="AK67" i="59" s="1" a="1"/>
  <c r="AK67" i="59" s="1"/>
  <c r="AK68" i="59" s="1" a="1"/>
  <c r="AK68" i="59" s="1"/>
  <c r="AK69" i="59" s="1" a="1"/>
  <c r="AK69" i="59" s="1"/>
  <c r="AK70" i="59" s="1" a="1"/>
  <c r="AK70" i="59" s="1"/>
  <c r="AK71" i="59" s="1" a="1"/>
  <c r="AK71" i="59" s="1"/>
  <c r="AK72" i="59" s="1" a="1"/>
  <c r="AK72" i="59" s="1"/>
  <c r="AK73" i="59" s="1" a="1"/>
  <c r="AK73" i="59" s="1"/>
  <c r="AK74" i="59" s="1" a="1"/>
  <c r="AK74" i="59" s="1"/>
  <c r="AK75" i="59" s="1" a="1"/>
  <c r="AK75" i="59" s="1"/>
  <c r="AK76" i="59" s="1" a="1"/>
  <c r="AK76" i="59" s="1"/>
  <c r="AK77" i="59" s="1" a="1"/>
  <c r="AK77" i="59" s="1"/>
  <c r="AK78" i="59" s="1" a="1"/>
  <c r="AK78" i="59" s="1"/>
  <c r="AK79" i="59" s="1" a="1"/>
  <c r="AK79" i="59" s="1"/>
  <c r="AK80" i="59" s="1" a="1"/>
  <c r="AK80" i="59" s="1"/>
  <c r="AK81" i="59" s="1" a="1"/>
  <c r="AK81" i="59" s="1"/>
  <c r="AK82" i="59" s="1" a="1"/>
  <c r="AK82" i="59" s="1"/>
  <c r="AK83" i="59" s="1" a="1"/>
  <c r="AK83" i="59" s="1"/>
  <c r="AK84" i="59" s="1" a="1"/>
  <c r="AK84" i="59" s="1"/>
  <c r="AK85" i="59" s="1" a="1"/>
  <c r="AK85" i="59" s="1"/>
  <c r="AK86" i="59" s="1" a="1"/>
  <c r="AK86" i="59" s="1"/>
  <c r="AK87" i="59" s="1" a="1"/>
  <c r="AK87" i="59" s="1"/>
  <c r="AK88" i="59" s="1" a="1"/>
  <c r="AK88" i="59" s="1"/>
  <c r="AK89" i="59" s="1" a="1"/>
  <c r="AK89" i="59" s="1"/>
  <c r="AK90" i="59" s="1" a="1"/>
  <c r="AK90" i="59" s="1"/>
  <c r="AK91" i="59" s="1" a="1"/>
  <c r="AK91" i="59" s="1"/>
  <c r="AK92" i="59" s="1" a="1"/>
  <c r="AK92" i="59" s="1"/>
  <c r="AK93" i="59" s="1" a="1"/>
  <c r="AK93" i="59" s="1"/>
  <c r="AK94" i="59" s="1" a="1"/>
  <c r="AK94" i="59" s="1"/>
  <c r="AK95" i="59" s="1" a="1"/>
  <c r="AK95" i="59" s="1"/>
  <c r="AK96" i="59" s="1" a="1"/>
  <c r="AK96" i="59" s="1"/>
  <c r="AK97" i="59" s="1" a="1"/>
  <c r="AK97" i="59" s="1"/>
  <c r="AK98" i="59" s="1" a="1"/>
  <c r="AK98" i="59" s="1"/>
  <c r="AK99" i="59" s="1" a="1"/>
  <c r="AK99" i="59" s="1"/>
  <c r="AK100" i="59" s="1" a="1"/>
  <c r="AK100" i="59" s="1"/>
  <c r="AK101" i="59" s="1" a="1"/>
  <c r="AK101" i="59" s="1"/>
  <c r="AK102" i="59" s="1" a="1"/>
  <c r="AK102" i="59" s="1"/>
  <c r="AK103" i="59" s="1" a="1"/>
  <c r="AK103" i="59" s="1"/>
  <c r="AK104" i="59" s="1" a="1"/>
  <c r="AK104" i="59" s="1"/>
  <c r="AK105" i="59" s="1" a="1"/>
  <c r="AK105" i="59" s="1"/>
  <c r="AK106" i="59" s="1" a="1"/>
  <c r="AK106" i="59" s="1"/>
  <c r="AK107" i="59" s="1" a="1"/>
  <c r="AK107" i="59" s="1"/>
  <c r="AK108" i="59" s="1" a="1"/>
  <c r="AK108" i="59" s="1"/>
  <c r="AK109" i="59" s="1" a="1"/>
  <c r="AK109" i="59" s="1"/>
  <c r="AK110" i="59" s="1" a="1"/>
  <c r="AK110" i="59" s="1"/>
  <c r="AK111" i="59" s="1" a="1"/>
  <c r="AK111" i="59" s="1"/>
  <c r="AK112" i="59" s="1" a="1"/>
  <c r="AK112" i="59" s="1"/>
  <c r="AK113" i="59" s="1" a="1"/>
  <c r="AK113" i="59" s="1"/>
  <c r="AK114" i="59" s="1" a="1"/>
  <c r="AK114" i="59" s="1"/>
  <c r="AK115" i="59" s="1" a="1"/>
  <c r="AK115" i="59" s="1"/>
  <c r="AK116" i="59" s="1" a="1"/>
  <c r="AK116" i="59" s="1"/>
  <c r="AK117" i="59" s="1" a="1"/>
  <c r="AK117" i="59" s="1"/>
  <c r="AK118" i="59" s="1" a="1"/>
  <c r="AK118" i="59" s="1"/>
  <c r="AK119" i="59" s="1" a="1"/>
  <c r="AK119" i="59" s="1"/>
  <c r="AK120" i="59" s="1" a="1"/>
  <c r="AK120" i="59" s="1"/>
  <c r="AK121" i="59" s="1" a="1"/>
  <c r="AK121" i="59" s="1"/>
  <c r="AK122" i="59" s="1" a="1"/>
  <c r="AK122" i="59" s="1"/>
  <c r="AK123" i="59" s="1" a="1"/>
  <c r="AK123" i="59" s="1"/>
  <c r="AK124" i="59" s="1" a="1"/>
  <c r="AK124" i="59" s="1"/>
  <c r="AK125" i="59" s="1" a="1"/>
  <c r="AK125" i="59" s="1"/>
  <c r="AK126" i="59" s="1" a="1"/>
  <c r="AK126" i="59" s="1"/>
  <c r="AK127" i="59" s="1" a="1"/>
  <c r="AK127" i="59" s="1"/>
  <c r="AK128" i="59" s="1" a="1"/>
  <c r="AK128" i="59" s="1"/>
  <c r="AK129" i="59" s="1" a="1"/>
  <c r="AK129" i="59" s="1"/>
  <c r="AK130" i="59" s="1" a="1"/>
  <c r="AK130" i="59" s="1"/>
  <c r="AK131" i="59" s="1" a="1"/>
  <c r="AK131" i="59" s="1"/>
  <c r="AK132" i="59" s="1" a="1"/>
  <c r="AK132" i="59" s="1"/>
  <c r="AK133" i="59" s="1" a="1"/>
  <c r="AK133" i="59" s="1"/>
  <c r="AK134" i="59" s="1" a="1"/>
  <c r="AK134" i="59" s="1"/>
  <c r="AK135" i="59" s="1" a="1"/>
  <c r="AK135" i="59" s="1"/>
  <c r="AK136" i="59" s="1" a="1"/>
  <c r="AK136" i="59" s="1"/>
  <c r="AK137" i="59" s="1" a="1"/>
  <c r="AK137" i="59" s="1"/>
  <c r="AK138" i="59" s="1" a="1"/>
  <c r="AK138" i="59" s="1"/>
  <c r="AK139" i="59" s="1" a="1"/>
  <c r="AK139" i="59" s="1"/>
  <c r="AK140" i="59" s="1" a="1"/>
  <c r="AK140" i="59" s="1"/>
  <c r="AK141" i="59" s="1" a="1"/>
  <c r="AK141" i="59" s="1"/>
  <c r="AK142" i="59" s="1" a="1"/>
  <c r="AK142" i="59" s="1"/>
  <c r="AK143" i="59" s="1" a="1"/>
  <c r="AK143" i="59" s="1"/>
  <c r="AK144" i="59" s="1" a="1"/>
  <c r="AK144" i="59" s="1"/>
  <c r="AK145" i="59" s="1" a="1"/>
  <c r="AK145" i="59" s="1"/>
  <c r="AK146" i="59" s="1" a="1"/>
  <c r="AK146" i="59" s="1"/>
  <c r="AK147" i="59" s="1" a="1"/>
  <c r="AK147" i="59" s="1"/>
  <c r="AK148" i="59" s="1" a="1"/>
  <c r="AK148" i="59" s="1"/>
  <c r="AK149" i="59" s="1" a="1"/>
  <c r="AK149" i="59" s="1"/>
  <c r="AK150" i="59" s="1" a="1"/>
  <c r="AK150" i="59" s="1"/>
  <c r="AK151" i="59" s="1" a="1"/>
  <c r="AK151" i="59" s="1"/>
  <c r="AK152" i="59" s="1" a="1"/>
  <c r="AK152" i="59" s="1"/>
  <c r="AK153" i="59" s="1" a="1"/>
  <c r="AK153" i="59" s="1"/>
  <c r="AK154" i="59" s="1" a="1"/>
  <c r="AK154" i="59" s="1"/>
  <c r="AK155" i="59" s="1" a="1"/>
  <c r="AK155" i="59" s="1"/>
  <c r="AK156" i="59" s="1" a="1"/>
  <c r="AK156" i="59" s="1"/>
  <c r="AK157" i="59" s="1" a="1"/>
  <c r="AK157" i="59" s="1"/>
  <c r="AK158" i="59" s="1" a="1"/>
  <c r="AK158" i="59" s="1"/>
  <c r="AK159" i="59" s="1" a="1"/>
  <c r="AK159" i="59" s="1"/>
  <c r="AK160" i="59" s="1" a="1"/>
  <c r="AK160" i="59" s="1"/>
  <c r="AK161" i="59" s="1" a="1"/>
  <c r="AK161" i="59" s="1"/>
  <c r="AK162" i="59" s="1" a="1"/>
  <c r="AK162" i="59" s="1"/>
  <c r="AK163" i="59" s="1" a="1"/>
  <c r="AK163" i="59" s="1"/>
  <c r="AK164" i="59" s="1" a="1"/>
  <c r="AK164" i="59" s="1"/>
  <c r="AK165" i="59" s="1" a="1"/>
  <c r="AK165" i="59" s="1"/>
  <c r="AK166" i="59" s="1" a="1"/>
  <c r="AK166" i="59" s="1"/>
  <c r="AK167" i="59" s="1" a="1"/>
  <c r="AK167" i="59" s="1"/>
  <c r="AK168" i="59" s="1" a="1"/>
  <c r="AK168" i="59" s="1"/>
  <c r="AK169" i="59" s="1" a="1"/>
  <c r="AK169" i="59" s="1"/>
  <c r="AK170" i="59" s="1" a="1"/>
  <c r="AK170" i="59" s="1"/>
  <c r="AK171" i="59" s="1" a="1"/>
  <c r="AK171" i="59" s="1"/>
  <c r="AK172" i="59" s="1" a="1"/>
  <c r="AK172" i="59" s="1"/>
  <c r="AK173" i="59" s="1" a="1"/>
  <c r="AK173" i="59" s="1"/>
  <c r="AK174" i="59" s="1" a="1"/>
  <c r="AK174" i="59" s="1"/>
  <c r="AK175" i="59" s="1" a="1"/>
  <c r="AK175" i="59" s="1"/>
  <c r="AK176" i="59" s="1" a="1"/>
  <c r="AK176" i="59" s="1"/>
  <c r="AK177" i="59" s="1" a="1"/>
  <c r="AK177" i="59" s="1"/>
  <c r="AK178" i="59" s="1" a="1"/>
  <c r="AK178" i="59" s="1"/>
  <c r="AK179" i="59" s="1" a="1"/>
  <c r="AK179" i="59" s="1"/>
  <c r="AK180" i="59" s="1" a="1"/>
  <c r="AK180" i="59" s="1"/>
  <c r="AK181" i="59" s="1" a="1"/>
  <c r="AK181" i="59" s="1"/>
  <c r="AK182" i="59" s="1" a="1"/>
  <c r="AK182" i="59" s="1"/>
  <c r="AK183" i="59" s="1" a="1"/>
  <c r="AK183" i="59" s="1"/>
  <c r="AK184" i="59" s="1" a="1"/>
  <c r="AK184" i="59" s="1"/>
  <c r="AK185" i="59" s="1" a="1"/>
  <c r="AK185" i="59" s="1"/>
  <c r="AK186" i="59" s="1" a="1"/>
  <c r="AK186" i="59" s="1"/>
  <c r="AK187" i="59" s="1" a="1"/>
  <c r="AK187" i="59" s="1"/>
  <c r="AK188" i="59" s="1" a="1"/>
  <c r="AK188" i="59" s="1"/>
  <c r="AK189" i="59" s="1" a="1"/>
  <c r="AK189" i="59" s="1"/>
  <c r="AK190" i="59" s="1" a="1"/>
  <c r="AK190" i="59" s="1"/>
  <c r="AK191" i="59" s="1" a="1"/>
  <c r="AK191" i="59" s="1"/>
  <c r="AK192" i="59" s="1" a="1"/>
  <c r="AK192" i="59" s="1"/>
  <c r="AK193" i="59" s="1" a="1"/>
  <c r="AK193" i="59" s="1"/>
  <c r="AK194" i="59" s="1" a="1"/>
  <c r="AK194" i="59" s="1"/>
  <c r="AK195" i="59" s="1" a="1"/>
  <c r="AK195" i="59" s="1"/>
  <c r="AK196" i="59" s="1" a="1"/>
  <c r="AK196" i="59" s="1"/>
  <c r="AK197" i="59" s="1" a="1"/>
  <c r="AK197" i="59" s="1"/>
  <c r="AK198" i="59" s="1" a="1"/>
  <c r="AK198" i="59" s="1"/>
  <c r="AK199" i="59" s="1" a="1"/>
  <c r="AK199" i="59" s="1"/>
  <c r="AK200" i="59" s="1" a="1"/>
  <c r="AK200" i="59" s="1"/>
  <c r="AK201" i="59" s="1" a="1"/>
  <c r="AK201" i="59" s="1"/>
  <c r="AK202" i="59" s="1" a="1"/>
  <c r="AK202" i="59" s="1"/>
  <c r="AK203" i="59" s="1" a="1"/>
  <c r="AK203" i="59" s="1"/>
  <c r="AK204" i="59" s="1" a="1"/>
  <c r="AK204" i="59" s="1"/>
  <c r="AK205" i="59" s="1" a="1"/>
  <c r="AK205" i="59" s="1"/>
  <c r="AK206" i="59" s="1" a="1"/>
  <c r="AK206" i="59" s="1"/>
  <c r="AK207" i="59" s="1" a="1"/>
  <c r="AK207" i="59" s="1"/>
  <c r="AK208" i="59" s="1" a="1"/>
  <c r="AK208" i="59" s="1"/>
  <c r="AK209" i="59" s="1" a="1"/>
  <c r="AK209" i="59" s="1"/>
  <c r="AK210" i="59" s="1" a="1"/>
  <c r="AK210" i="59" s="1"/>
  <c r="AK211" i="59" s="1" a="1"/>
  <c r="AK211" i="59" s="1"/>
  <c r="AK212" i="59" s="1" a="1"/>
  <c r="AK212" i="59" s="1"/>
  <c r="AK213" i="59" s="1" a="1"/>
  <c r="AK213" i="59" s="1"/>
  <c r="AK214" i="59" s="1" a="1"/>
  <c r="AK214" i="59" s="1"/>
  <c r="AK215" i="59" s="1" a="1"/>
  <c r="AK215" i="59" s="1"/>
  <c r="AK216" i="59" s="1" a="1"/>
  <c r="AK216" i="59" s="1"/>
  <c r="AK217" i="59" s="1" a="1"/>
  <c r="AK217" i="59" s="1"/>
  <c r="AK218" i="59" s="1" a="1"/>
  <c r="AK218" i="59" s="1"/>
  <c r="AK219" i="59" s="1" a="1"/>
  <c r="AK219" i="59" s="1"/>
  <c r="AK220" i="59" s="1" a="1"/>
  <c r="AK220" i="59" s="1"/>
  <c r="AK221" i="59" s="1" a="1"/>
  <c r="AK221" i="59" s="1"/>
  <c r="AK222" i="59" s="1" a="1"/>
  <c r="AK222" i="59" s="1"/>
  <c r="AK223" i="59" s="1" a="1"/>
  <c r="AK223" i="59" s="1"/>
  <c r="AK224" i="59" s="1" a="1"/>
  <c r="AK224" i="59" s="1"/>
  <c r="AK225" i="59" s="1" a="1"/>
  <c r="AK225" i="59" s="1"/>
  <c r="AK226" i="59" s="1" a="1"/>
  <c r="AK226" i="59" s="1"/>
  <c r="AK227" i="59" s="1" a="1"/>
  <c r="AK227" i="59" s="1"/>
  <c r="AK228" i="59" s="1" a="1"/>
  <c r="AK228" i="59" s="1"/>
  <c r="AK229" i="59" s="1" a="1"/>
  <c r="AK229" i="59" s="1"/>
  <c r="AK230" i="59" s="1" a="1"/>
  <c r="AK230" i="59" s="1"/>
  <c r="AK231" i="59" s="1" a="1"/>
  <c r="AK231" i="59" s="1"/>
  <c r="AK232" i="59" s="1" a="1"/>
  <c r="AK232" i="59" s="1"/>
  <c r="AK233" i="59" s="1" a="1"/>
  <c r="AK233" i="59" s="1"/>
  <c r="AK234" i="59" s="1" a="1"/>
  <c r="AK234" i="59" s="1"/>
  <c r="AK235" i="59" s="1" a="1"/>
  <c r="AK235" i="59" s="1"/>
  <c r="AK236" i="59" s="1" a="1"/>
  <c r="AK236" i="59" s="1"/>
  <c r="AK237" i="59" s="1" a="1"/>
  <c r="AK237" i="59" s="1"/>
  <c r="AK238" i="59" s="1" a="1"/>
  <c r="AK238" i="59" s="1"/>
  <c r="AK239" i="59" s="1" a="1"/>
  <c r="AK239" i="59" s="1"/>
  <c r="AK240" i="59" s="1" a="1"/>
  <c r="AK240" i="59" s="1"/>
  <c r="AK241" i="59" s="1" a="1"/>
  <c r="AK241" i="59" s="1"/>
  <c r="AK242" i="59" s="1" a="1"/>
  <c r="AK242" i="59" s="1"/>
  <c r="AK243" i="59" s="1" a="1"/>
  <c r="AK243" i="59" s="1"/>
  <c r="AK244" i="59" s="1" a="1"/>
  <c r="AK244" i="59" s="1"/>
  <c r="AK245" i="59" s="1" a="1"/>
  <c r="AK245" i="59" s="1"/>
  <c r="AK246" i="59" s="1" a="1"/>
  <c r="AK246" i="59" s="1"/>
  <c r="AK247" i="59" s="1" a="1"/>
  <c r="AK247" i="59" s="1"/>
  <c r="AK248" i="59" s="1" a="1"/>
  <c r="AK248" i="59" s="1"/>
  <c r="AK249" i="59" s="1" a="1"/>
  <c r="AK249" i="59" s="1"/>
  <c r="AK250" i="59" s="1" a="1"/>
  <c r="AK250" i="59" s="1"/>
  <c r="AK251" i="59" s="1" a="1"/>
  <c r="AK251" i="59" s="1"/>
  <c r="AK252" i="59" s="1" a="1"/>
  <c r="AK252" i="59" s="1"/>
  <c r="AK253" i="59" s="1" a="1"/>
  <c r="AK253" i="59" s="1"/>
  <c r="AK254" i="59" s="1" a="1"/>
  <c r="AK254" i="59" s="1"/>
  <c r="AK255" i="59" s="1" a="1"/>
  <c r="AK255" i="59" s="1"/>
  <c r="AK256" i="59" s="1" a="1"/>
  <c r="AK256" i="59" s="1"/>
  <c r="AK257" i="59" s="1" a="1"/>
  <c r="AK257" i="59" s="1"/>
  <c r="AK258" i="59" s="1" a="1"/>
  <c r="AK258" i="59" s="1"/>
  <c r="I101" i="22"/>
  <c r="AF75" i="57" l="1"/>
  <c r="AA75" i="57"/>
  <c r="AB60" i="69"/>
  <c r="AC60" i="69" s="1"/>
  <c r="AD60" i="69" s="1"/>
  <c r="AG60" i="69"/>
  <c r="AO62" i="69"/>
  <c r="P62" i="69"/>
  <c r="L63" i="69"/>
  <c r="O63" i="69"/>
  <c r="T18" i="50"/>
  <c r="AK18" i="50"/>
  <c r="X76" i="57"/>
  <c r="AB75" i="57"/>
  <c r="AE77" i="53"/>
  <c r="AC77" i="53"/>
  <c r="AF76" i="53"/>
  <c r="AB76" i="53"/>
  <c r="AA76" i="53"/>
  <c r="AE77" i="57"/>
  <c r="AC77" i="57"/>
  <c r="AD16" i="50"/>
  <c r="AG16" i="50" s="1"/>
  <c r="AH16" i="50" s="1"/>
  <c r="AI16" i="50" s="1"/>
  <c r="AM17" i="50"/>
  <c r="U17" i="50"/>
  <c r="AG15" i="50"/>
  <c r="AH15" i="50" s="1"/>
  <c r="AI15" i="50" s="1"/>
  <c r="R77" i="57"/>
  <c r="R77" i="53"/>
  <c r="X77" i="53" s="1"/>
  <c r="D4" i="22"/>
  <c r="P143" i="11"/>
  <c r="Q143" i="11" s="1"/>
  <c r="P142" i="11"/>
  <c r="P70" i="11"/>
  <c r="P69" i="11"/>
  <c r="P75" i="11"/>
  <c r="Q75" i="11" s="1"/>
  <c r="AX61" i="69"/>
  <c r="AG78" i="57"/>
  <c r="L78" i="57"/>
  <c r="O18" i="50"/>
  <c r="AJ77" i="57"/>
  <c r="AP77" i="57"/>
  <c r="AL15" i="50"/>
  <c r="AG77" i="53"/>
  <c r="AH77" i="53"/>
  <c r="AT77" i="53"/>
  <c r="N78" i="57"/>
  <c r="P78" i="53"/>
  <c r="N78" i="53"/>
  <c r="AH61" i="69"/>
  <c r="AJ16" i="50"/>
  <c r="C16" i="50"/>
  <c r="AD77" i="57"/>
  <c r="AD77" i="53"/>
  <c r="Q77" i="53"/>
  <c r="V16" i="50"/>
  <c r="S17" i="50"/>
  <c r="J78" i="53"/>
  <c r="C78" i="53"/>
  <c r="F78" i="53"/>
  <c r="G78" i="53"/>
  <c r="K78" i="53"/>
  <c r="L78" i="53"/>
  <c r="M78" i="53"/>
  <c r="E78" i="53"/>
  <c r="D78" i="53"/>
  <c r="AK77" i="52" a="1"/>
  <c r="AK77" i="52" s="1"/>
  <c r="B79" i="53" s="1"/>
  <c r="O79" i="53" s="1"/>
  <c r="H78" i="53"/>
  <c r="I78" i="53"/>
  <c r="F18" i="50"/>
  <c r="L18" i="50"/>
  <c r="M18" i="50"/>
  <c r="B18" i="50"/>
  <c r="R18" i="50" s="1"/>
  <c r="A18" i="50"/>
  <c r="Q18" i="50" s="1"/>
  <c r="P18" i="50" s="1"/>
  <c r="J18" i="50"/>
  <c r="H18" i="50"/>
  <c r="I18" i="50"/>
  <c r="N18" i="50"/>
  <c r="K18" i="50"/>
  <c r="G18" i="50"/>
  <c r="Q77" i="57"/>
  <c r="T77" i="57" s="1"/>
  <c r="J78" i="57"/>
  <c r="E78" i="57"/>
  <c r="D78" i="57"/>
  <c r="G78" i="57"/>
  <c r="I78" i="57"/>
  <c r="C78" i="57"/>
  <c r="M78" i="57" s="1"/>
  <c r="K78" i="57"/>
  <c r="P78" i="57"/>
  <c r="F78" i="57"/>
  <c r="H78" i="57"/>
  <c r="Z16" i="50"/>
  <c r="W16" i="50"/>
  <c r="X16" i="50" s="1"/>
  <c r="AK77" i="55" a="1"/>
  <c r="AK77" i="55" s="1"/>
  <c r="B79" i="57" s="1"/>
  <c r="O79" i="57" s="1"/>
  <c r="AE61" i="69"/>
  <c r="R61" i="69"/>
  <c r="S61" i="69" s="1"/>
  <c r="Y61" i="69" s="1"/>
  <c r="U61" i="69"/>
  <c r="Q61" i="69"/>
  <c r="D62" i="69"/>
  <c r="E62" i="69" s="1"/>
  <c r="F62" i="69" s="1"/>
  <c r="G62" i="69" s="1"/>
  <c r="H62" i="69" s="1"/>
  <c r="I62" i="69" s="1"/>
  <c r="J62" i="69" s="1"/>
  <c r="K62" i="69" s="1"/>
  <c r="M62" i="69" s="1"/>
  <c r="N62" i="69"/>
  <c r="AF62" i="69" s="1"/>
  <c r="C63" i="69"/>
  <c r="AN63" i="67" a="1"/>
  <c r="AN63" i="67" s="1"/>
  <c r="B64" i="69"/>
  <c r="I100" i="22"/>
  <c r="I43" i="22"/>
  <c r="I15" i="22"/>
  <c r="I30" i="22"/>
  <c r="I54" i="22"/>
  <c r="I27" i="22"/>
  <c r="I47" i="22"/>
  <c r="I44" i="22"/>
  <c r="I63" i="22"/>
  <c r="I67" i="22"/>
  <c r="I76" i="22"/>
  <c r="I91" i="22"/>
  <c r="I38" i="22"/>
  <c r="I42" i="22"/>
  <c r="I65" i="22"/>
  <c r="I69" i="22"/>
  <c r="I78" i="22"/>
  <c r="I96" i="22"/>
  <c r="I35" i="22"/>
  <c r="I62" i="22"/>
  <c r="I66" i="22"/>
  <c r="I70" i="22"/>
  <c r="I72" i="22"/>
  <c r="I75" i="22"/>
  <c r="I90" i="22"/>
  <c r="I29" i="22"/>
  <c r="I41" i="22"/>
  <c r="I77" i="22"/>
  <c r="I88" i="22"/>
  <c r="I95" i="22"/>
  <c r="I59" i="22"/>
  <c r="AL18" i="59" a="1"/>
  <c r="AL18" i="59" s="1"/>
  <c r="E19" i="50" s="1"/>
  <c r="AC17" i="11"/>
  <c r="Q17" i="11" s="1"/>
  <c r="AC14" i="11"/>
  <c r="Q14" i="11" s="1"/>
  <c r="AC20" i="11"/>
  <c r="Q20" i="11" s="1"/>
  <c r="X20" i="11" s="1"/>
  <c r="AC32" i="11"/>
  <c r="AC44" i="11"/>
  <c r="AC60" i="11"/>
  <c r="AC76" i="11"/>
  <c r="AC92" i="11"/>
  <c r="AC108" i="11"/>
  <c r="AC120" i="11"/>
  <c r="AC136" i="11"/>
  <c r="AC148" i="11"/>
  <c r="AC164" i="11"/>
  <c r="AC184" i="11"/>
  <c r="AC192" i="11"/>
  <c r="AC208" i="11"/>
  <c r="AC224" i="11"/>
  <c r="AC244" i="11"/>
  <c r="AC256" i="11"/>
  <c r="AC16" i="11"/>
  <c r="AC25" i="11"/>
  <c r="AC29" i="11"/>
  <c r="AC33" i="11"/>
  <c r="AQ33" i="11" s="1"/>
  <c r="AC37" i="11"/>
  <c r="AC41" i="11"/>
  <c r="AC45" i="11"/>
  <c r="AC49" i="11"/>
  <c r="AC53" i="11"/>
  <c r="AC57" i="11"/>
  <c r="AC61" i="11"/>
  <c r="AC65" i="11"/>
  <c r="AC73" i="11"/>
  <c r="AC77" i="11"/>
  <c r="AC81" i="11"/>
  <c r="AC85" i="11"/>
  <c r="AC89" i="11"/>
  <c r="AC97" i="11"/>
  <c r="AC101" i="11"/>
  <c r="AQ101" i="11" s="1"/>
  <c r="AC105" i="11"/>
  <c r="AC109" i="11"/>
  <c r="AC113" i="11"/>
  <c r="AC117" i="11"/>
  <c r="AC121" i="11"/>
  <c r="AC125" i="11"/>
  <c r="AC129" i="11"/>
  <c r="AC133" i="11"/>
  <c r="AQ133" i="11" s="1"/>
  <c r="AC137" i="11"/>
  <c r="AC141" i="11"/>
  <c r="AC145" i="11"/>
  <c r="AC149" i="11"/>
  <c r="AC153" i="11"/>
  <c r="AC157" i="11"/>
  <c r="AC161" i="11"/>
  <c r="AC165" i="11"/>
  <c r="AC169" i="11"/>
  <c r="AC173" i="11"/>
  <c r="AC177" i="11"/>
  <c r="AC181" i="11"/>
  <c r="AC185" i="11"/>
  <c r="AC189" i="11"/>
  <c r="AC193" i="11"/>
  <c r="AC197" i="11"/>
  <c r="AC201" i="11"/>
  <c r="AC205" i="11"/>
  <c r="AC209" i="11"/>
  <c r="AC213" i="11"/>
  <c r="AC217" i="11"/>
  <c r="AC221" i="11"/>
  <c r="AC225" i="11"/>
  <c r="AC229" i="11"/>
  <c r="AC233" i="11"/>
  <c r="AC237" i="11"/>
  <c r="AC241" i="11"/>
  <c r="AC245" i="11"/>
  <c r="AC249" i="11"/>
  <c r="AC253" i="11"/>
  <c r="AC257" i="11"/>
  <c r="AC28" i="11"/>
  <c r="AC48" i="11"/>
  <c r="AC56" i="11"/>
  <c r="AC72" i="11"/>
  <c r="AQ72" i="11" s="1"/>
  <c r="AC88" i="11"/>
  <c r="AC104" i="11"/>
  <c r="AQ104" i="11" s="1"/>
  <c r="AC116" i="11"/>
  <c r="AC132" i="11"/>
  <c r="AC152" i="11"/>
  <c r="AC168" i="11"/>
  <c r="AC180" i="11"/>
  <c r="AC196" i="11"/>
  <c r="AC212" i="11"/>
  <c r="AC228" i="11"/>
  <c r="AC240" i="11"/>
  <c r="AC252" i="11"/>
  <c r="AC26" i="11"/>
  <c r="AQ26" i="11" s="1"/>
  <c r="AC34" i="11"/>
  <c r="AC46" i="11"/>
  <c r="AC58" i="11"/>
  <c r="AC66" i="11"/>
  <c r="AC74" i="11"/>
  <c r="AC78" i="11"/>
  <c r="AC82" i="11"/>
  <c r="AC86" i="11"/>
  <c r="AC90" i="11"/>
  <c r="AC94" i="11"/>
  <c r="AC98" i="11"/>
  <c r="AC102" i="11"/>
  <c r="AC106" i="11"/>
  <c r="AQ106" i="11" s="1"/>
  <c r="AC110" i="11"/>
  <c r="AC114" i="11"/>
  <c r="AC118" i="11"/>
  <c r="AC122" i="11"/>
  <c r="AC126" i="11"/>
  <c r="AC130" i="11"/>
  <c r="AQ130" i="11" s="1"/>
  <c r="AC134" i="11"/>
  <c r="AQ134" i="11" s="1"/>
  <c r="AC138" i="11"/>
  <c r="AC146" i="11"/>
  <c r="AC150" i="11"/>
  <c r="AC154" i="11"/>
  <c r="AC158" i="11"/>
  <c r="AC162" i="11"/>
  <c r="AC166" i="11"/>
  <c r="AC170" i="11"/>
  <c r="AC174" i="11"/>
  <c r="AC178" i="11"/>
  <c r="AC182" i="11"/>
  <c r="AC186" i="11"/>
  <c r="AC190" i="11"/>
  <c r="AC194" i="11"/>
  <c r="AC198" i="11"/>
  <c r="AC202" i="11"/>
  <c r="AC206" i="11"/>
  <c r="AC210" i="11"/>
  <c r="AC214" i="11"/>
  <c r="AC218" i="11"/>
  <c r="AC222" i="11"/>
  <c r="AC226" i="11"/>
  <c r="AC230" i="11"/>
  <c r="AC234" i="11"/>
  <c r="AC238" i="11"/>
  <c r="AC242" i="11"/>
  <c r="AC246" i="11"/>
  <c r="AC250" i="11"/>
  <c r="AC254" i="11"/>
  <c r="AC258" i="11"/>
  <c r="AC19" i="11"/>
  <c r="Q19" i="11" s="1"/>
  <c r="X19" i="11" s="1"/>
  <c r="AC24" i="11"/>
  <c r="AC36" i="11"/>
  <c r="AC40" i="11"/>
  <c r="AC52" i="11"/>
  <c r="AC64" i="11"/>
  <c r="AC68" i="11"/>
  <c r="AC80" i="11"/>
  <c r="AC84" i="11"/>
  <c r="AC96" i="11"/>
  <c r="AC100" i="11"/>
  <c r="AC112" i="11"/>
  <c r="AC124" i="11"/>
  <c r="AC128" i="11"/>
  <c r="AC140" i="11"/>
  <c r="AQ140" i="11" s="1"/>
  <c r="AC144" i="11"/>
  <c r="AC156" i="11"/>
  <c r="AC160" i="11"/>
  <c r="AC172" i="11"/>
  <c r="AC176" i="11"/>
  <c r="AC188" i="11"/>
  <c r="AC200" i="11"/>
  <c r="AC204" i="11"/>
  <c r="AC216" i="11"/>
  <c r="AC220" i="11"/>
  <c r="AC232" i="11"/>
  <c r="AC236" i="11"/>
  <c r="AC248" i="11"/>
  <c r="AC22" i="11"/>
  <c r="AC30" i="11"/>
  <c r="AC38" i="11"/>
  <c r="AC42" i="11"/>
  <c r="AC50" i="11"/>
  <c r="AC54" i="11"/>
  <c r="AC62" i="11"/>
  <c r="AC23" i="11"/>
  <c r="AC27" i="11"/>
  <c r="AC31" i="11"/>
  <c r="AC35" i="11"/>
  <c r="AC39" i="11"/>
  <c r="AC43" i="11"/>
  <c r="AC47" i="11"/>
  <c r="AC51" i="11"/>
  <c r="AC55" i="11"/>
  <c r="AC59" i="11"/>
  <c r="AC63" i="11"/>
  <c r="AC67" i="11"/>
  <c r="AC71" i="11"/>
  <c r="AC79" i="11"/>
  <c r="AC83" i="11"/>
  <c r="AC87" i="11"/>
  <c r="AC91" i="11"/>
  <c r="AQ91" i="11" s="1"/>
  <c r="AC95" i="11"/>
  <c r="AQ95" i="11" s="1"/>
  <c r="AC99" i="11"/>
  <c r="AC103" i="11"/>
  <c r="AC107" i="11"/>
  <c r="AC111" i="11"/>
  <c r="AC115" i="11"/>
  <c r="AC119" i="11"/>
  <c r="AC123" i="11"/>
  <c r="AC127" i="11"/>
  <c r="AC131" i="11"/>
  <c r="AC135" i="11"/>
  <c r="AQ135" i="11" s="1"/>
  <c r="AC139" i="11"/>
  <c r="AC147" i="11"/>
  <c r="AC151" i="11"/>
  <c r="AC155" i="11"/>
  <c r="AC159" i="11"/>
  <c r="AC163" i="11"/>
  <c r="AC167" i="11"/>
  <c r="AC171" i="11"/>
  <c r="AC175" i="11"/>
  <c r="AC179" i="11"/>
  <c r="AC183" i="11"/>
  <c r="AC187" i="11"/>
  <c r="AC191" i="11"/>
  <c r="AC195" i="11"/>
  <c r="AC199" i="11"/>
  <c r="AC203" i="11"/>
  <c r="AC207" i="11"/>
  <c r="AC211" i="11"/>
  <c r="AC215" i="11"/>
  <c r="AC219" i="11"/>
  <c r="AC223" i="11"/>
  <c r="AC227" i="11"/>
  <c r="AC231" i="11"/>
  <c r="AC235" i="11"/>
  <c r="AC239" i="11"/>
  <c r="AC243" i="11"/>
  <c r="AC247" i="11"/>
  <c r="AC251" i="11"/>
  <c r="AC255" i="11"/>
  <c r="AC18" i="11"/>
  <c r="Q18" i="11" s="1"/>
  <c r="X18" i="11" s="1"/>
  <c r="AB76" i="57" l="1"/>
  <c r="AA76" i="57"/>
  <c r="F85" i="22"/>
  <c r="X17" i="11"/>
  <c r="AQ17" i="11" s="1"/>
  <c r="F53" i="22"/>
  <c r="X14" i="11"/>
  <c r="AQ14" i="11" s="1"/>
  <c r="AB61" i="69"/>
  <c r="AC61" i="69" s="1"/>
  <c r="AD61" i="69" s="1"/>
  <c r="AG61" i="69"/>
  <c r="AO63" i="69"/>
  <c r="P63" i="69"/>
  <c r="L64" i="69"/>
  <c r="O64" i="69"/>
  <c r="Q16" i="11"/>
  <c r="X16" i="11" s="1"/>
  <c r="AQ16" i="11" s="1"/>
  <c r="T19" i="50"/>
  <c r="AK19" i="50"/>
  <c r="AF76" i="57"/>
  <c r="X77" i="57"/>
  <c r="AA77" i="57" s="1"/>
  <c r="AB77" i="53"/>
  <c r="AA77" i="53"/>
  <c r="AE78" i="53"/>
  <c r="AC78" i="53"/>
  <c r="AF77" i="53"/>
  <c r="AC142" i="11"/>
  <c r="AQ142" i="11" s="1"/>
  <c r="Q142" i="11"/>
  <c r="AC69" i="11"/>
  <c r="Q69" i="11"/>
  <c r="AC70" i="11"/>
  <c r="AQ70" i="11" s="1"/>
  <c r="Q70" i="11"/>
  <c r="AE78" i="57"/>
  <c r="AC78" i="57"/>
  <c r="AD17" i="50"/>
  <c r="AG17" i="50" s="1"/>
  <c r="AH17" i="50" s="1"/>
  <c r="AI17" i="50" s="1"/>
  <c r="AM18" i="50"/>
  <c r="U18" i="50"/>
  <c r="AC75" i="11"/>
  <c r="R78" i="57"/>
  <c r="R78" i="53"/>
  <c r="X78" i="53" s="1"/>
  <c r="AC143" i="11"/>
  <c r="AQ40" i="11"/>
  <c r="AQ114" i="11"/>
  <c r="AQ82" i="11"/>
  <c r="AQ76" i="11"/>
  <c r="AQ23" i="11"/>
  <c r="AQ83" i="11"/>
  <c r="AQ36" i="11"/>
  <c r="AQ110" i="11"/>
  <c r="AQ78" i="11"/>
  <c r="AQ97" i="11"/>
  <c r="AQ29" i="11"/>
  <c r="AQ87" i="11"/>
  <c r="AQ51" i="11"/>
  <c r="AQ100" i="11"/>
  <c r="AQ111" i="11"/>
  <c r="AQ79" i="11"/>
  <c r="AQ47" i="11"/>
  <c r="AQ96" i="11"/>
  <c r="AQ24" i="11"/>
  <c r="AQ138" i="11"/>
  <c r="AQ74" i="11"/>
  <c r="AQ89" i="11"/>
  <c r="AQ84" i="11"/>
  <c r="AQ19" i="11"/>
  <c r="AQ102" i="11"/>
  <c r="AQ85" i="11"/>
  <c r="AQ32" i="11"/>
  <c r="AQ112" i="11"/>
  <c r="AQ103" i="11"/>
  <c r="AQ39" i="11"/>
  <c r="I102" i="22"/>
  <c r="AQ80" i="11"/>
  <c r="AQ98" i="11"/>
  <c r="AQ88" i="11"/>
  <c r="AQ81" i="11"/>
  <c r="AQ136" i="11"/>
  <c r="AQ20" i="11"/>
  <c r="AQ99" i="11"/>
  <c r="AQ35" i="11"/>
  <c r="AQ94" i="11"/>
  <c r="AQ113" i="11"/>
  <c r="AQ77" i="11"/>
  <c r="AQ45" i="11"/>
  <c r="AQ38" i="11"/>
  <c r="AQ63" i="11"/>
  <c r="AQ31" i="11"/>
  <c r="AQ30" i="11"/>
  <c r="AQ64" i="11"/>
  <c r="AQ90" i="11"/>
  <c r="I104" i="22"/>
  <c r="AQ141" i="11"/>
  <c r="AQ109" i="11"/>
  <c r="AQ73" i="11"/>
  <c r="AQ41" i="11"/>
  <c r="AQ108" i="11"/>
  <c r="AQ131" i="11"/>
  <c r="AQ123" i="11"/>
  <c r="AQ59" i="11"/>
  <c r="AQ27" i="11"/>
  <c r="AQ22" i="11"/>
  <c r="AQ52" i="11"/>
  <c r="AQ86" i="11"/>
  <c r="AQ34" i="11"/>
  <c r="AQ137" i="11"/>
  <c r="AQ105" i="11"/>
  <c r="AQ37" i="11"/>
  <c r="AQ92" i="11"/>
  <c r="AQ107" i="11"/>
  <c r="AQ25" i="11"/>
  <c r="AQ144" i="11"/>
  <c r="AQ139" i="11"/>
  <c r="I115" i="22"/>
  <c r="I99" i="22"/>
  <c r="I108" i="22"/>
  <c r="AQ121" i="11"/>
  <c r="AQ117" i="11"/>
  <c r="AQ119" i="11"/>
  <c r="AQ115" i="11"/>
  <c r="AQ126" i="11"/>
  <c r="AQ120" i="11"/>
  <c r="AQ122" i="11"/>
  <c r="AQ128" i="11"/>
  <c r="AQ124" i="11"/>
  <c r="AQ118" i="11"/>
  <c r="AQ69" i="11"/>
  <c r="AQ132" i="11"/>
  <c r="AQ129" i="11"/>
  <c r="AQ116" i="11"/>
  <c r="AQ125" i="11"/>
  <c r="AQ18" i="11"/>
  <c r="K48" i="36"/>
  <c r="J111" i="22"/>
  <c r="AX65" i="22" s="1"/>
  <c r="J103" i="22"/>
  <c r="AX61" i="22" s="1"/>
  <c r="AX62" i="69"/>
  <c r="AG79" i="57"/>
  <c r="L79" i="57"/>
  <c r="O19" i="50"/>
  <c r="AJ78" i="57"/>
  <c r="AP78" i="57"/>
  <c r="AG78" i="53"/>
  <c r="AH78" i="53"/>
  <c r="AT78" i="53"/>
  <c r="N79" i="57"/>
  <c r="N79" i="53"/>
  <c r="AH62" i="69"/>
  <c r="AJ17" i="50"/>
  <c r="C17" i="50"/>
  <c r="AD78" i="57"/>
  <c r="AD78" i="53"/>
  <c r="S18" i="50"/>
  <c r="V17" i="50"/>
  <c r="H79" i="53"/>
  <c r="K79" i="53"/>
  <c r="M79" i="53"/>
  <c r="AK78" i="52" a="1"/>
  <c r="AK78" i="52" s="1"/>
  <c r="B80" i="53" s="1"/>
  <c r="O80" i="53" s="1"/>
  <c r="Q78" i="53"/>
  <c r="F79" i="53"/>
  <c r="E79" i="53"/>
  <c r="D79" i="53"/>
  <c r="G79" i="53"/>
  <c r="I79" i="53"/>
  <c r="C79" i="53"/>
  <c r="J79" i="53"/>
  <c r="P79" i="53"/>
  <c r="L79" i="53"/>
  <c r="F19" i="50"/>
  <c r="M19" i="50"/>
  <c r="K19" i="50"/>
  <c r="A19" i="50"/>
  <c r="Q19" i="50" s="1"/>
  <c r="P19" i="50" s="1"/>
  <c r="L19" i="50"/>
  <c r="H19" i="50"/>
  <c r="N19" i="50"/>
  <c r="I19" i="50"/>
  <c r="J19" i="50"/>
  <c r="G19" i="50"/>
  <c r="B19" i="50"/>
  <c r="R19" i="50" s="1"/>
  <c r="W17" i="50"/>
  <c r="X17" i="50" s="1"/>
  <c r="Z17" i="50"/>
  <c r="Q78" i="57"/>
  <c r="T78" i="57" s="1"/>
  <c r="H79" i="57"/>
  <c r="P79" i="57"/>
  <c r="D79" i="57"/>
  <c r="C79" i="57"/>
  <c r="M79" i="57" s="1"/>
  <c r="K79" i="57"/>
  <c r="I79" i="57"/>
  <c r="G79" i="57"/>
  <c r="E79" i="57"/>
  <c r="F79" i="57"/>
  <c r="J79" i="57"/>
  <c r="AK78" i="55" a="1"/>
  <c r="AK78" i="55" s="1"/>
  <c r="B80" i="57" s="1"/>
  <c r="O80" i="57" s="1"/>
  <c r="N63" i="69"/>
  <c r="AF63" i="69" s="1"/>
  <c r="D63" i="69"/>
  <c r="E63" i="69" s="1"/>
  <c r="F63" i="69" s="1"/>
  <c r="G63" i="69" s="1"/>
  <c r="H63" i="69" s="1"/>
  <c r="I63" i="69" s="1"/>
  <c r="J63" i="69" s="1"/>
  <c r="K63" i="69" s="1"/>
  <c r="M63" i="69" s="1"/>
  <c r="AE62" i="69"/>
  <c r="U62" i="69"/>
  <c r="R62" i="69"/>
  <c r="S62" i="69" s="1"/>
  <c r="Y62" i="69" s="1"/>
  <c r="AB62" i="69" s="1"/>
  <c r="AC62" i="69" s="1"/>
  <c r="AD62" i="69" s="1"/>
  <c r="Q62" i="69"/>
  <c r="C64" i="69"/>
  <c r="AN64" i="67" a="1"/>
  <c r="AN64" i="67" s="1"/>
  <c r="B65" i="69"/>
  <c r="I21" i="22"/>
  <c r="AC11" i="11"/>
  <c r="I39" i="22"/>
  <c r="I53" i="22"/>
  <c r="I46" i="22"/>
  <c r="AL19" i="59" a="1"/>
  <c r="AL19" i="59" s="1"/>
  <c r="E20" i="50" s="1"/>
  <c r="I89" i="22"/>
  <c r="I49" i="22"/>
  <c r="I33" i="22"/>
  <c r="I24" i="22"/>
  <c r="I92" i="22"/>
  <c r="I71" i="22"/>
  <c r="I40" i="22"/>
  <c r="AC15" i="11"/>
  <c r="AC13" i="11"/>
  <c r="Q13" i="11" s="1"/>
  <c r="AC12" i="11"/>
  <c r="Q12" i="11" s="1"/>
  <c r="F29" i="22" s="1"/>
  <c r="X13" i="11" l="1"/>
  <c r="F94" i="22"/>
  <c r="L65" i="69"/>
  <c r="O65" i="69"/>
  <c r="AO64" i="69"/>
  <c r="P64" i="69"/>
  <c r="AG62" i="69"/>
  <c r="Q15" i="11"/>
  <c r="F11" i="22"/>
  <c r="F46" i="22"/>
  <c r="F8" i="22"/>
  <c r="X12" i="11"/>
  <c r="T20" i="50"/>
  <c r="AK20" i="50"/>
  <c r="AF77" i="57"/>
  <c r="AB77" i="57"/>
  <c r="X78" i="57"/>
  <c r="AB78" i="53"/>
  <c r="AA78" i="53"/>
  <c r="AF78" i="53"/>
  <c r="AE79" i="53"/>
  <c r="AC79" i="53"/>
  <c r="AE79" i="57"/>
  <c r="AC79" i="57"/>
  <c r="AM19" i="50"/>
  <c r="U19" i="50"/>
  <c r="AD18" i="50"/>
  <c r="I87" i="22"/>
  <c r="I106" i="22"/>
  <c r="F91" i="22"/>
  <c r="I128" i="22"/>
  <c r="I73" i="22"/>
  <c r="R79" i="57"/>
  <c r="R79" i="53"/>
  <c r="X79" i="53" s="1"/>
  <c r="J108" i="22"/>
  <c r="AX23" i="22" s="1"/>
  <c r="AQ44" i="11"/>
  <c r="J115" i="22"/>
  <c r="AX24" i="22" s="1"/>
  <c r="AQ65" i="11"/>
  <c r="AQ71" i="11"/>
  <c r="J120" i="22"/>
  <c r="AX137" i="22" s="1"/>
  <c r="AQ56" i="11"/>
  <c r="J126" i="22"/>
  <c r="AX99" i="22" s="1"/>
  <c r="AQ67" i="11"/>
  <c r="AQ58" i="11"/>
  <c r="J117" i="22"/>
  <c r="AX68" i="22" s="1"/>
  <c r="AQ43" i="11"/>
  <c r="J107" i="22"/>
  <c r="AX63" i="22" s="1"/>
  <c r="J116" i="22"/>
  <c r="AX67" i="22" s="1"/>
  <c r="AQ57" i="11"/>
  <c r="AQ62" i="11"/>
  <c r="J127" i="22"/>
  <c r="AX70" i="22" s="1"/>
  <c r="AQ48" i="11"/>
  <c r="AQ60" i="11"/>
  <c r="J118" i="22"/>
  <c r="AX69" i="22" s="1"/>
  <c r="J104" i="22"/>
  <c r="AX21" i="22" s="1"/>
  <c r="AQ46" i="11"/>
  <c r="AQ68" i="11"/>
  <c r="J114" i="22"/>
  <c r="AQ66" i="11"/>
  <c r="J129" i="22"/>
  <c r="AX144" i="22" s="1"/>
  <c r="AQ53" i="11"/>
  <c r="J122" i="22"/>
  <c r="AX139" i="22" s="1"/>
  <c r="AQ55" i="11"/>
  <c r="J123" i="22"/>
  <c r="AX140" i="22" s="1"/>
  <c r="J121" i="22"/>
  <c r="AX138" i="22" s="1"/>
  <c r="AQ54" i="11"/>
  <c r="J102" i="22"/>
  <c r="AX20" i="22" s="1"/>
  <c r="AQ42" i="11"/>
  <c r="I81" i="22"/>
  <c r="AQ49" i="11"/>
  <c r="J125" i="22"/>
  <c r="AX142" i="22" s="1"/>
  <c r="AQ50" i="11"/>
  <c r="J119" i="22"/>
  <c r="AX136" i="22" s="1"/>
  <c r="AQ61" i="11"/>
  <c r="J110" i="22"/>
  <c r="AX64" i="22" s="1"/>
  <c r="AQ143" i="11"/>
  <c r="BG19" i="22"/>
  <c r="BG20" i="22"/>
  <c r="AQ75" i="11"/>
  <c r="I61" i="22"/>
  <c r="AQ13" i="11"/>
  <c r="I28" i="22"/>
  <c r="K46" i="36"/>
  <c r="I93" i="22"/>
  <c r="K42" i="36"/>
  <c r="I98" i="22"/>
  <c r="K44" i="36"/>
  <c r="I22" i="22"/>
  <c r="AP14" i="50"/>
  <c r="I109" i="22"/>
  <c r="AX63" i="69"/>
  <c r="AG80" i="57"/>
  <c r="L80" i="57"/>
  <c r="O20" i="50"/>
  <c r="AJ79" i="57"/>
  <c r="AP79" i="57"/>
  <c r="AL16" i="50"/>
  <c r="AG79" i="53"/>
  <c r="AH79" i="53"/>
  <c r="AT79" i="53"/>
  <c r="N80" i="57"/>
  <c r="P80" i="53"/>
  <c r="N80" i="53"/>
  <c r="AH63" i="69"/>
  <c r="AJ18" i="50"/>
  <c r="C18" i="50"/>
  <c r="AD79" i="57"/>
  <c r="AD79" i="53"/>
  <c r="Q79" i="53"/>
  <c r="S19" i="50"/>
  <c r="V18" i="50"/>
  <c r="AK79" i="52" a="1"/>
  <c r="AK79" i="52" s="1"/>
  <c r="B81" i="53" s="1"/>
  <c r="O81" i="53" s="1"/>
  <c r="K80" i="53"/>
  <c r="J80" i="53"/>
  <c r="F80" i="53"/>
  <c r="M80" i="53"/>
  <c r="I80" i="53"/>
  <c r="H80" i="53"/>
  <c r="G80" i="53"/>
  <c r="D80" i="53"/>
  <c r="C80" i="53"/>
  <c r="L80" i="53"/>
  <c r="E80" i="53"/>
  <c r="I20" i="50"/>
  <c r="F20" i="50"/>
  <c r="H20" i="50"/>
  <c r="M20" i="50"/>
  <c r="N20" i="50"/>
  <c r="G20" i="50"/>
  <c r="A20" i="50"/>
  <c r="Q20" i="50" s="1"/>
  <c r="P20" i="50" s="1"/>
  <c r="J20" i="50"/>
  <c r="B20" i="50"/>
  <c r="R20" i="50" s="1"/>
  <c r="K20" i="50"/>
  <c r="L20" i="50"/>
  <c r="J105" i="22"/>
  <c r="AX62" i="22" s="1"/>
  <c r="Z18" i="50"/>
  <c r="W18" i="50"/>
  <c r="X18" i="50" s="1"/>
  <c r="J80" i="57"/>
  <c r="E80" i="57"/>
  <c r="C80" i="57"/>
  <c r="M80" i="57" s="1"/>
  <c r="K80" i="57"/>
  <c r="I80" i="57"/>
  <c r="F80" i="57"/>
  <c r="P80" i="57"/>
  <c r="H80" i="57"/>
  <c r="D80" i="57"/>
  <c r="G80" i="57"/>
  <c r="Q79" i="57"/>
  <c r="T79" i="57" s="1"/>
  <c r="I85" i="22"/>
  <c r="AK79" i="55" a="1"/>
  <c r="AK79" i="55" s="1"/>
  <c r="B81" i="57" s="1"/>
  <c r="O81" i="57" s="1"/>
  <c r="AN65" i="67" a="1"/>
  <c r="AN65" i="67" s="1"/>
  <c r="B66" i="69"/>
  <c r="D64" i="69"/>
  <c r="E64" i="69" s="1"/>
  <c r="F64" i="69" s="1"/>
  <c r="G64" i="69" s="1"/>
  <c r="H64" i="69" s="1"/>
  <c r="I64" i="69" s="1"/>
  <c r="J64" i="69" s="1"/>
  <c r="K64" i="69" s="1"/>
  <c r="M64" i="69" s="1"/>
  <c r="N64" i="69"/>
  <c r="AF64" i="69" s="1"/>
  <c r="AE63" i="69"/>
  <c r="Q63" i="69"/>
  <c r="R63" i="69"/>
  <c r="S63" i="69" s="1"/>
  <c r="Y63" i="69" s="1"/>
  <c r="U63" i="69"/>
  <c r="C65" i="69"/>
  <c r="I124" i="22"/>
  <c r="I32" i="22"/>
  <c r="I31" i="22"/>
  <c r="I25" i="22"/>
  <c r="I37" i="22"/>
  <c r="I74" i="22"/>
  <c r="I12" i="22"/>
  <c r="I11" i="22"/>
  <c r="I9" i="22"/>
  <c r="I6" i="22"/>
  <c r="I86" i="22"/>
  <c r="I18" i="22"/>
  <c r="BG5" i="22" s="1"/>
  <c r="I8" i="22"/>
  <c r="I34" i="22"/>
  <c r="I36" i="22"/>
  <c r="I94" i="22"/>
  <c r="I14" i="22"/>
  <c r="I82" i="22"/>
  <c r="I55" i="22"/>
  <c r="AL20" i="59" a="1"/>
  <c r="AL20" i="59" s="1"/>
  <c r="E21" i="50" s="1"/>
  <c r="I58" i="22"/>
  <c r="AF12" i="11"/>
  <c r="AG12" i="11"/>
  <c r="AF13" i="11"/>
  <c r="AG13" i="11"/>
  <c r="AF14" i="11"/>
  <c r="AG14" i="11"/>
  <c r="AF15" i="11"/>
  <c r="AG15" i="11"/>
  <c r="AF16" i="11"/>
  <c r="AG16" i="11"/>
  <c r="AF17" i="11"/>
  <c r="AG17" i="11"/>
  <c r="AF18" i="11"/>
  <c r="AG18" i="11"/>
  <c r="AF19" i="11"/>
  <c r="AG19" i="11"/>
  <c r="AF20" i="11"/>
  <c r="AG20" i="11"/>
  <c r="AF21" i="11"/>
  <c r="AG21" i="11"/>
  <c r="AF22" i="11"/>
  <c r="AG22" i="11"/>
  <c r="AF23" i="11"/>
  <c r="AG23" i="11"/>
  <c r="AF24" i="11"/>
  <c r="AG24" i="11"/>
  <c r="AF25" i="11"/>
  <c r="AG25" i="11"/>
  <c r="AF26" i="11"/>
  <c r="AG26" i="11"/>
  <c r="AF27" i="11"/>
  <c r="AG27" i="11"/>
  <c r="AF28" i="11"/>
  <c r="AG28" i="11"/>
  <c r="AF29" i="11"/>
  <c r="AG29" i="11"/>
  <c r="AF30" i="11"/>
  <c r="AG30" i="11"/>
  <c r="AF31" i="11"/>
  <c r="AG31" i="11"/>
  <c r="AF32" i="11"/>
  <c r="AG32" i="11"/>
  <c r="AF33" i="11"/>
  <c r="AG33" i="11"/>
  <c r="AF34" i="11"/>
  <c r="AG34" i="11"/>
  <c r="AF35" i="11"/>
  <c r="AG35" i="11"/>
  <c r="AF36" i="11"/>
  <c r="AG36" i="11"/>
  <c r="AF37" i="11"/>
  <c r="AG37" i="11"/>
  <c r="AF38" i="11"/>
  <c r="AG38" i="11"/>
  <c r="AF39" i="11"/>
  <c r="AG39" i="11"/>
  <c r="AF40" i="11"/>
  <c r="AG40" i="11"/>
  <c r="AF41" i="11"/>
  <c r="AG41" i="11"/>
  <c r="AF42" i="11"/>
  <c r="AG42" i="11"/>
  <c r="AF43" i="11"/>
  <c r="AG43" i="11"/>
  <c r="AF44" i="11"/>
  <c r="AG44" i="11"/>
  <c r="AF45" i="11"/>
  <c r="AG45" i="11"/>
  <c r="AF46" i="11"/>
  <c r="AG46" i="11"/>
  <c r="AF47" i="11"/>
  <c r="AG47" i="11"/>
  <c r="AF48" i="11"/>
  <c r="AG48" i="11"/>
  <c r="AF49" i="11"/>
  <c r="AG49" i="11"/>
  <c r="AF50" i="11"/>
  <c r="AG50" i="11"/>
  <c r="AF51" i="11"/>
  <c r="AG51" i="11"/>
  <c r="AF52" i="11"/>
  <c r="AG52" i="11"/>
  <c r="AF53" i="11"/>
  <c r="AG53" i="11"/>
  <c r="AF54" i="11"/>
  <c r="AG54" i="11"/>
  <c r="AF55" i="11"/>
  <c r="AG55" i="11"/>
  <c r="AF56" i="11"/>
  <c r="AG56" i="11"/>
  <c r="AF57" i="11"/>
  <c r="AG57" i="11"/>
  <c r="AF58" i="11"/>
  <c r="AG58" i="11"/>
  <c r="AF59" i="11"/>
  <c r="AG59" i="11"/>
  <c r="AF60" i="11"/>
  <c r="AG60" i="11"/>
  <c r="AF61" i="11"/>
  <c r="AG61" i="11"/>
  <c r="AF62" i="11"/>
  <c r="AG62" i="11"/>
  <c r="AF63" i="11"/>
  <c r="AG63" i="11"/>
  <c r="AF64" i="11"/>
  <c r="AG64" i="11"/>
  <c r="AF65" i="11"/>
  <c r="AG65" i="11"/>
  <c r="AF66" i="11"/>
  <c r="AG66" i="11"/>
  <c r="AF67" i="11"/>
  <c r="AG67" i="11"/>
  <c r="AF68" i="11"/>
  <c r="AG68" i="11"/>
  <c r="AF69" i="11"/>
  <c r="AG69" i="11"/>
  <c r="AF70" i="11"/>
  <c r="AG70" i="11"/>
  <c r="AF71" i="11"/>
  <c r="AG71" i="11"/>
  <c r="AF72" i="11"/>
  <c r="AG72" i="11"/>
  <c r="AF73" i="11"/>
  <c r="AG73" i="11"/>
  <c r="AF74" i="11"/>
  <c r="AG74" i="11"/>
  <c r="AF75" i="11"/>
  <c r="AG75" i="11"/>
  <c r="AF76" i="11"/>
  <c r="AG76" i="11"/>
  <c r="AF77" i="11"/>
  <c r="AG77" i="11"/>
  <c r="AF78" i="11"/>
  <c r="AG78" i="11"/>
  <c r="AF79" i="11"/>
  <c r="AG79" i="11"/>
  <c r="AF80" i="11"/>
  <c r="AG80" i="11"/>
  <c r="AF81" i="11"/>
  <c r="AG81" i="11"/>
  <c r="AF82" i="11"/>
  <c r="AG82" i="11"/>
  <c r="AF83" i="11"/>
  <c r="AG83" i="11"/>
  <c r="AF84" i="11"/>
  <c r="AG84" i="11"/>
  <c r="AF85" i="11"/>
  <c r="AG85" i="11"/>
  <c r="AF86" i="11"/>
  <c r="AG86" i="11"/>
  <c r="AF87" i="11"/>
  <c r="AG87" i="11"/>
  <c r="AF88" i="11"/>
  <c r="AG88" i="11"/>
  <c r="AF89" i="11"/>
  <c r="AG89" i="11"/>
  <c r="AF90" i="11"/>
  <c r="AG90" i="11"/>
  <c r="AF91" i="11"/>
  <c r="AG91" i="11"/>
  <c r="AF92" i="11"/>
  <c r="AG92" i="11"/>
  <c r="AG93" i="11"/>
  <c r="AF94" i="11"/>
  <c r="AG94" i="11"/>
  <c r="AF95" i="11"/>
  <c r="AG95" i="11"/>
  <c r="AF96" i="11"/>
  <c r="AG96" i="11"/>
  <c r="AF97" i="11"/>
  <c r="AG97" i="11"/>
  <c r="AF98" i="11"/>
  <c r="AG98" i="11"/>
  <c r="AF99" i="11"/>
  <c r="AG99" i="11"/>
  <c r="AF100" i="11"/>
  <c r="AG100" i="11"/>
  <c r="AF101" i="11"/>
  <c r="AG101" i="11"/>
  <c r="AF102" i="11"/>
  <c r="AG102" i="11"/>
  <c r="AF103" i="11"/>
  <c r="AG103" i="11"/>
  <c r="AF104" i="11"/>
  <c r="AG104" i="11"/>
  <c r="AF105" i="11"/>
  <c r="AG105" i="11"/>
  <c r="AF106" i="11"/>
  <c r="AG106" i="11"/>
  <c r="AF107" i="11"/>
  <c r="AG107" i="11"/>
  <c r="AF108" i="11"/>
  <c r="AG108" i="11"/>
  <c r="AF109" i="11"/>
  <c r="AG109" i="11"/>
  <c r="AF110" i="11"/>
  <c r="AG110" i="11"/>
  <c r="AF111" i="11"/>
  <c r="AG111" i="11"/>
  <c r="AF112" i="11"/>
  <c r="AG112" i="11"/>
  <c r="AF113" i="11"/>
  <c r="AG113" i="11"/>
  <c r="AF114" i="11"/>
  <c r="AG114" i="11"/>
  <c r="AF115" i="11"/>
  <c r="AG115" i="11"/>
  <c r="AF116" i="11"/>
  <c r="AG116" i="11"/>
  <c r="AF117" i="11"/>
  <c r="AG117" i="11"/>
  <c r="AF118" i="11"/>
  <c r="AG118" i="11"/>
  <c r="AF119" i="11"/>
  <c r="AG119" i="11"/>
  <c r="AF120" i="11"/>
  <c r="AG120" i="11"/>
  <c r="AF121" i="11"/>
  <c r="AG121" i="11"/>
  <c r="AF122" i="11"/>
  <c r="AG122" i="11"/>
  <c r="AF123" i="11"/>
  <c r="AG123" i="11"/>
  <c r="AF124" i="11"/>
  <c r="AG124" i="11"/>
  <c r="AF125" i="11"/>
  <c r="AG125" i="11"/>
  <c r="AF126" i="11"/>
  <c r="AG126" i="11"/>
  <c r="AF127" i="11"/>
  <c r="AG127" i="11"/>
  <c r="AF128" i="11"/>
  <c r="AG128" i="11"/>
  <c r="AF129" i="11"/>
  <c r="AG129" i="11"/>
  <c r="AF130" i="11"/>
  <c r="AG130" i="11"/>
  <c r="AF131" i="11"/>
  <c r="AG131" i="11"/>
  <c r="AF132" i="11"/>
  <c r="AG132" i="11"/>
  <c r="AF133" i="11"/>
  <c r="AG133" i="11"/>
  <c r="AF134" i="11"/>
  <c r="AG134" i="11"/>
  <c r="AF135" i="11"/>
  <c r="AG135" i="11"/>
  <c r="AF136" i="11"/>
  <c r="AG136" i="11"/>
  <c r="AF137" i="11"/>
  <c r="AG137" i="11"/>
  <c r="AF138" i="11"/>
  <c r="AG138" i="11"/>
  <c r="AF139" i="11"/>
  <c r="AG139" i="11"/>
  <c r="AF140" i="11"/>
  <c r="AG140" i="11"/>
  <c r="AF141" i="11"/>
  <c r="AG141" i="11"/>
  <c r="AF142" i="11"/>
  <c r="AG142" i="11"/>
  <c r="AF143" i="11"/>
  <c r="AG143" i="11"/>
  <c r="AF144" i="11"/>
  <c r="AG144" i="11"/>
  <c r="AF145" i="11"/>
  <c r="AG145" i="11"/>
  <c r="AF146" i="11"/>
  <c r="AG146" i="11"/>
  <c r="AF147" i="11"/>
  <c r="AG147" i="11"/>
  <c r="AF148" i="11"/>
  <c r="AG148" i="11"/>
  <c r="AF149" i="11"/>
  <c r="AG149" i="11"/>
  <c r="AF150" i="11"/>
  <c r="AG150" i="11"/>
  <c r="AF151" i="11"/>
  <c r="AG151" i="11"/>
  <c r="AF152" i="11"/>
  <c r="AG152" i="11"/>
  <c r="AF153" i="11"/>
  <c r="AG153" i="11"/>
  <c r="AF154" i="11"/>
  <c r="AG154" i="11"/>
  <c r="AF155" i="11"/>
  <c r="AG155" i="11"/>
  <c r="AF156" i="11"/>
  <c r="AG156" i="11"/>
  <c r="AF157" i="11"/>
  <c r="AG157" i="11"/>
  <c r="AF158" i="11"/>
  <c r="AG158" i="11"/>
  <c r="AF159" i="11"/>
  <c r="AG159" i="11"/>
  <c r="AF160" i="11"/>
  <c r="AG160" i="11"/>
  <c r="AF161" i="11"/>
  <c r="AG161" i="11"/>
  <c r="AF162" i="11"/>
  <c r="AG162" i="11"/>
  <c r="AF163" i="11"/>
  <c r="AG163" i="11"/>
  <c r="AF164" i="11"/>
  <c r="AG164" i="11"/>
  <c r="AF165" i="11"/>
  <c r="AG165" i="11"/>
  <c r="AF166" i="11"/>
  <c r="AG166" i="11"/>
  <c r="AF167" i="11"/>
  <c r="AG167" i="11"/>
  <c r="AF168" i="11"/>
  <c r="AG168" i="11"/>
  <c r="AF169" i="11"/>
  <c r="AG169" i="11"/>
  <c r="AF170" i="11"/>
  <c r="AG170" i="11"/>
  <c r="AF171" i="11"/>
  <c r="AG171" i="11"/>
  <c r="AF172" i="11"/>
  <c r="AG172" i="11"/>
  <c r="AF173" i="11"/>
  <c r="AG173" i="11"/>
  <c r="AF174" i="11"/>
  <c r="AG174" i="11"/>
  <c r="AF175" i="11"/>
  <c r="AG175" i="11"/>
  <c r="AF176" i="11"/>
  <c r="AG176" i="11"/>
  <c r="AF177" i="11"/>
  <c r="AG177" i="11"/>
  <c r="AF178" i="11"/>
  <c r="AG178" i="11"/>
  <c r="AF179" i="11"/>
  <c r="AG179" i="11"/>
  <c r="AF180" i="11"/>
  <c r="AG180" i="11"/>
  <c r="AF181" i="11"/>
  <c r="AG181" i="11"/>
  <c r="AF182" i="11"/>
  <c r="AG182" i="11"/>
  <c r="AF183" i="11"/>
  <c r="AG183" i="11"/>
  <c r="AF184" i="11"/>
  <c r="AG184" i="11"/>
  <c r="AF185" i="11"/>
  <c r="AG185" i="11"/>
  <c r="AF186" i="11"/>
  <c r="AG186" i="11"/>
  <c r="AF187" i="11"/>
  <c r="AG187" i="11"/>
  <c r="AF188" i="11"/>
  <c r="AG188" i="11"/>
  <c r="AF189" i="11"/>
  <c r="AG189" i="11"/>
  <c r="AF190" i="11"/>
  <c r="AG190" i="11"/>
  <c r="AF191" i="11"/>
  <c r="AG191" i="11"/>
  <c r="AF192" i="11"/>
  <c r="AG192" i="11"/>
  <c r="AF193" i="11"/>
  <c r="AG193" i="11"/>
  <c r="AF194" i="11"/>
  <c r="AG194" i="11"/>
  <c r="AF195" i="11"/>
  <c r="AG195" i="11"/>
  <c r="AF196" i="11"/>
  <c r="AG196" i="11"/>
  <c r="AF197" i="11"/>
  <c r="AG197" i="11"/>
  <c r="AF198" i="11"/>
  <c r="AG198" i="11"/>
  <c r="AF199" i="11"/>
  <c r="AG199" i="11"/>
  <c r="AF200" i="11"/>
  <c r="AG200" i="11"/>
  <c r="AF201" i="11"/>
  <c r="AG201" i="11"/>
  <c r="AF202" i="11"/>
  <c r="AG202" i="11"/>
  <c r="AF203" i="11"/>
  <c r="AG203" i="11"/>
  <c r="AF204" i="11"/>
  <c r="AG204" i="11"/>
  <c r="AF205" i="11"/>
  <c r="AG205" i="11"/>
  <c r="AF206" i="11"/>
  <c r="AG206" i="11"/>
  <c r="AF207" i="11"/>
  <c r="AG207" i="11"/>
  <c r="AF208" i="11"/>
  <c r="AG208" i="11"/>
  <c r="AF209" i="11"/>
  <c r="AG209" i="11"/>
  <c r="AF210" i="11"/>
  <c r="AG210" i="11"/>
  <c r="AF211" i="11"/>
  <c r="AG211" i="11"/>
  <c r="AF212" i="11"/>
  <c r="AG212" i="11"/>
  <c r="AF213" i="11"/>
  <c r="AG213" i="11"/>
  <c r="AF214" i="11"/>
  <c r="AG214" i="11"/>
  <c r="AF215" i="11"/>
  <c r="AG215" i="11"/>
  <c r="AF216" i="11"/>
  <c r="AG216" i="11"/>
  <c r="AF217" i="11"/>
  <c r="AG217" i="11"/>
  <c r="AF218" i="11"/>
  <c r="AG218" i="11"/>
  <c r="AF219" i="11"/>
  <c r="AG219" i="11"/>
  <c r="AF220" i="11"/>
  <c r="AG220" i="11"/>
  <c r="AF221" i="11"/>
  <c r="AG221" i="11"/>
  <c r="AF222" i="11"/>
  <c r="AG222" i="11"/>
  <c r="AF223" i="11"/>
  <c r="AG223" i="11"/>
  <c r="AF224" i="11"/>
  <c r="AG224" i="11"/>
  <c r="AF225" i="11"/>
  <c r="AG225" i="11"/>
  <c r="AF226" i="11"/>
  <c r="AG226" i="11"/>
  <c r="AF227" i="11"/>
  <c r="AG227" i="11"/>
  <c r="AF228" i="11"/>
  <c r="AG228" i="11"/>
  <c r="AF229" i="11"/>
  <c r="AG229" i="11"/>
  <c r="AF230" i="11"/>
  <c r="AG230" i="11"/>
  <c r="AF231" i="11"/>
  <c r="AG231" i="11"/>
  <c r="AF232" i="11"/>
  <c r="AG232" i="11"/>
  <c r="AF233" i="11"/>
  <c r="AG233" i="11"/>
  <c r="AF234" i="11"/>
  <c r="AG234" i="11"/>
  <c r="AF235" i="11"/>
  <c r="AG235" i="11"/>
  <c r="AF236" i="11"/>
  <c r="AG236" i="11"/>
  <c r="AF237" i="11"/>
  <c r="AG237" i="11"/>
  <c r="AF238" i="11"/>
  <c r="AG238" i="11"/>
  <c r="AF239" i="11"/>
  <c r="AG239" i="11"/>
  <c r="AF240" i="11"/>
  <c r="AG240" i="11"/>
  <c r="AF241" i="11"/>
  <c r="AG241" i="11"/>
  <c r="AF242" i="11"/>
  <c r="AG242" i="11"/>
  <c r="AF243" i="11"/>
  <c r="AG243" i="11"/>
  <c r="AF244" i="11"/>
  <c r="AG244" i="11"/>
  <c r="AF245" i="11"/>
  <c r="AG245" i="11"/>
  <c r="AF246" i="11"/>
  <c r="AG246" i="11"/>
  <c r="AF247" i="11"/>
  <c r="AG247" i="11"/>
  <c r="AF248" i="11"/>
  <c r="AG248" i="11"/>
  <c r="AF249" i="11"/>
  <c r="AG249" i="11"/>
  <c r="AF250" i="11"/>
  <c r="AG250" i="11"/>
  <c r="AF251" i="11"/>
  <c r="AG251" i="11"/>
  <c r="AF252" i="11"/>
  <c r="AG252" i="11"/>
  <c r="AF253" i="11"/>
  <c r="AG253" i="11"/>
  <c r="AF254" i="11"/>
  <c r="AG254" i="11"/>
  <c r="AF255" i="11"/>
  <c r="AG255" i="11"/>
  <c r="AF256" i="11"/>
  <c r="AG256" i="11"/>
  <c r="AF257" i="11"/>
  <c r="AG257" i="11"/>
  <c r="AF258" i="11"/>
  <c r="AG258" i="11"/>
  <c r="AG11" i="11"/>
  <c r="AF11" i="11"/>
  <c r="AB78" i="57" l="1"/>
  <c r="AA78" i="57"/>
  <c r="F84" i="22"/>
  <c r="X15" i="11"/>
  <c r="AQ15" i="11" s="1"/>
  <c r="AB63" i="69"/>
  <c r="AC63" i="69" s="1"/>
  <c r="AD63" i="69" s="1"/>
  <c r="AG63" i="69"/>
  <c r="AO65" i="69"/>
  <c r="P65" i="69"/>
  <c r="L66" i="69"/>
  <c r="O66" i="69"/>
  <c r="T21" i="50"/>
  <c r="AK21" i="50"/>
  <c r="I60" i="22"/>
  <c r="AF78" i="57"/>
  <c r="AB79" i="53"/>
  <c r="AA79" i="53"/>
  <c r="AE80" i="53"/>
  <c r="AC80" i="53"/>
  <c r="AF79" i="53"/>
  <c r="X79" i="57"/>
  <c r="AC80" i="57"/>
  <c r="AE80" i="57"/>
  <c r="AG18" i="50"/>
  <c r="AH18" i="50" s="1"/>
  <c r="AI18" i="50" s="1"/>
  <c r="AM20" i="50"/>
  <c r="U20" i="50"/>
  <c r="AD19" i="50"/>
  <c r="AG19" i="50" s="1"/>
  <c r="AH19" i="50" s="1"/>
  <c r="AI19" i="50" s="1"/>
  <c r="R80" i="57"/>
  <c r="R80" i="53"/>
  <c r="X80" i="53" s="1"/>
  <c r="AL17" i="50"/>
  <c r="BG14" i="22"/>
  <c r="BG11" i="22"/>
  <c r="AQ12" i="11"/>
  <c r="I83" i="22"/>
  <c r="AP15" i="50"/>
  <c r="J109" i="22"/>
  <c r="AX98" i="22" s="1"/>
  <c r="AX64" i="69"/>
  <c r="AG81" i="57"/>
  <c r="L81" i="57"/>
  <c r="O21" i="50"/>
  <c r="AJ80" i="57"/>
  <c r="AP80" i="57"/>
  <c r="AG80" i="53"/>
  <c r="AH80" i="53"/>
  <c r="AT80" i="53"/>
  <c r="I19" i="22"/>
  <c r="BG15" i="22" s="1"/>
  <c r="N81" i="57"/>
  <c r="N81" i="53"/>
  <c r="AH64" i="69"/>
  <c r="AJ19" i="50"/>
  <c r="C19" i="50"/>
  <c r="AD80" i="57"/>
  <c r="Q80" i="53"/>
  <c r="AD80" i="53"/>
  <c r="S20" i="50"/>
  <c r="V19" i="50"/>
  <c r="AK80" i="52" a="1"/>
  <c r="AK80" i="52" s="1"/>
  <c r="B82" i="53" s="1"/>
  <c r="O82" i="53" s="1"/>
  <c r="F81" i="53"/>
  <c r="H81" i="53"/>
  <c r="I81" i="53"/>
  <c r="P81" i="53"/>
  <c r="K81" i="53"/>
  <c r="E81" i="53"/>
  <c r="J81" i="53"/>
  <c r="L81" i="53"/>
  <c r="M81" i="53"/>
  <c r="G81" i="53"/>
  <c r="D81" i="53"/>
  <c r="C81" i="53"/>
  <c r="F21" i="50"/>
  <c r="K21" i="50"/>
  <c r="A21" i="50"/>
  <c r="Q21" i="50" s="1"/>
  <c r="P21" i="50" s="1"/>
  <c r="H21" i="50"/>
  <c r="B21" i="50"/>
  <c r="R21" i="50" s="1"/>
  <c r="L21" i="50"/>
  <c r="I21" i="50"/>
  <c r="M21" i="50"/>
  <c r="G21" i="50"/>
  <c r="J21" i="50"/>
  <c r="N21" i="50"/>
  <c r="Z19" i="50"/>
  <c r="W19" i="50"/>
  <c r="X19" i="50" s="1"/>
  <c r="Q80" i="57"/>
  <c r="T80" i="57" s="1"/>
  <c r="K81" i="57"/>
  <c r="G81" i="57"/>
  <c r="E81" i="57"/>
  <c r="P81" i="57"/>
  <c r="D81" i="57"/>
  <c r="C81" i="57"/>
  <c r="M81" i="57" s="1"/>
  <c r="I81" i="57"/>
  <c r="H81" i="57"/>
  <c r="F81" i="57"/>
  <c r="J81" i="57"/>
  <c r="I130" i="22"/>
  <c r="I113" i="22"/>
  <c r="AK80" i="55" a="1"/>
  <c r="AK80" i="55" s="1"/>
  <c r="B82" i="57" s="1"/>
  <c r="O82" i="57" s="1"/>
  <c r="D65" i="69"/>
  <c r="E65" i="69" s="1"/>
  <c r="F65" i="69" s="1"/>
  <c r="G65" i="69" s="1"/>
  <c r="H65" i="69" s="1"/>
  <c r="I65" i="69" s="1"/>
  <c r="J65" i="69" s="1"/>
  <c r="K65" i="69" s="1"/>
  <c r="M65" i="69" s="1"/>
  <c r="N65" i="69"/>
  <c r="AF65" i="69" s="1"/>
  <c r="Q64" i="69"/>
  <c r="R64" i="69"/>
  <c r="S64" i="69" s="1"/>
  <c r="Y64" i="69" s="1"/>
  <c r="U64" i="69"/>
  <c r="AE64" i="69"/>
  <c r="C66" i="69"/>
  <c r="AN66" i="67" a="1"/>
  <c r="AN66" i="67" s="1"/>
  <c r="B67" i="69"/>
  <c r="I68" i="22"/>
  <c r="I17" i="22"/>
  <c r="I97" i="22"/>
  <c r="I51" i="22"/>
  <c r="I84" i="22"/>
  <c r="I52" i="22"/>
  <c r="I50" i="22"/>
  <c r="J39" i="22"/>
  <c r="AX9" i="22" s="1"/>
  <c r="I16" i="22"/>
  <c r="I20" i="22"/>
  <c r="J86" i="22"/>
  <c r="AX18" i="22" s="1"/>
  <c r="AL21" i="59" a="1"/>
  <c r="AL21" i="59" s="1"/>
  <c r="E22" i="50" s="1"/>
  <c r="AL11" i="11" a="1"/>
  <c r="AL11" i="11" s="1"/>
  <c r="E12" i="32" s="1"/>
  <c r="AB79" i="57" l="1"/>
  <c r="AA79" i="57"/>
  <c r="AB64" i="69"/>
  <c r="AC64" i="69" s="1"/>
  <c r="AD64" i="69" s="1"/>
  <c r="AG64" i="69"/>
  <c r="L67" i="69"/>
  <c r="O67" i="69"/>
  <c r="AO66" i="69"/>
  <c r="P66" i="69"/>
  <c r="T22" i="50"/>
  <c r="AK22" i="50"/>
  <c r="AE81" i="53"/>
  <c r="AC81" i="53"/>
  <c r="AF80" i="53"/>
  <c r="AB80" i="53"/>
  <c r="AA80" i="53"/>
  <c r="AF79" i="57"/>
  <c r="X80" i="57"/>
  <c r="AE81" i="57"/>
  <c r="AC81" i="57"/>
  <c r="AM21" i="50"/>
  <c r="U21" i="50"/>
  <c r="AD20" i="50"/>
  <c r="AG20" i="50" s="1"/>
  <c r="AH20" i="50" s="1"/>
  <c r="AI20" i="50" s="1"/>
  <c r="R81" i="57"/>
  <c r="R81" i="53"/>
  <c r="X81" i="53" s="1"/>
  <c r="AL18" i="50"/>
  <c r="BG18" i="22"/>
  <c r="BG10" i="22"/>
  <c r="BG17" i="22"/>
  <c r="BG6" i="22"/>
  <c r="AX65" i="69"/>
  <c r="AG82" i="57"/>
  <c r="L82" i="57"/>
  <c r="O22" i="50"/>
  <c r="AJ81" i="57"/>
  <c r="AP81" i="57"/>
  <c r="AG81" i="53"/>
  <c r="AH81" i="53"/>
  <c r="AT81" i="53"/>
  <c r="N82" i="57"/>
  <c r="H82" i="53"/>
  <c r="N82" i="53"/>
  <c r="AH65" i="69"/>
  <c r="AJ20" i="50"/>
  <c r="C20" i="50"/>
  <c r="AD81" i="57"/>
  <c r="AD81" i="53"/>
  <c r="Q81" i="53"/>
  <c r="V20" i="50"/>
  <c r="S21" i="50"/>
  <c r="AK81" i="52" a="1"/>
  <c r="AK81" i="52" s="1"/>
  <c r="B83" i="53" s="1"/>
  <c r="O83" i="53" s="1"/>
  <c r="K82" i="53"/>
  <c r="I82" i="53"/>
  <c r="P82" i="53"/>
  <c r="D82" i="53"/>
  <c r="F82" i="53"/>
  <c r="M82" i="53"/>
  <c r="L82" i="53"/>
  <c r="G82" i="53"/>
  <c r="J82" i="53"/>
  <c r="C82" i="53"/>
  <c r="E82" i="53"/>
  <c r="I22" i="50"/>
  <c r="B22" i="50"/>
  <c r="R22" i="50" s="1"/>
  <c r="H22" i="50"/>
  <c r="G22" i="50"/>
  <c r="A22" i="50"/>
  <c r="Q22" i="50" s="1"/>
  <c r="P22" i="50" s="1"/>
  <c r="M22" i="50"/>
  <c r="N22" i="50"/>
  <c r="K22" i="50"/>
  <c r="L22" i="50"/>
  <c r="F22" i="50"/>
  <c r="J22" i="50"/>
  <c r="Q81" i="57"/>
  <c r="T81" i="57" s="1"/>
  <c r="Z20" i="50"/>
  <c r="W20" i="50"/>
  <c r="X20" i="50" s="1"/>
  <c r="J82" i="57"/>
  <c r="G82" i="57"/>
  <c r="E82" i="57"/>
  <c r="H82" i="57"/>
  <c r="D82" i="57"/>
  <c r="K82" i="57"/>
  <c r="F82" i="57"/>
  <c r="I82" i="57"/>
  <c r="P82" i="57"/>
  <c r="C82" i="57"/>
  <c r="M82" i="57" s="1"/>
  <c r="AK81" i="55" a="1"/>
  <c r="AK81" i="55" s="1"/>
  <c r="B83" i="57" s="1"/>
  <c r="O83" i="57" s="1"/>
  <c r="AN67" i="67" a="1"/>
  <c r="AN67" i="67" s="1"/>
  <c r="B68" i="69"/>
  <c r="C67" i="69"/>
  <c r="AE65" i="69"/>
  <c r="Q65" i="69"/>
  <c r="U65" i="69"/>
  <c r="R65" i="69"/>
  <c r="S65" i="69" s="1"/>
  <c r="Y65" i="69" s="1"/>
  <c r="AB65" i="69" s="1"/>
  <c r="AC65" i="69" s="1"/>
  <c r="AD65" i="69" s="1"/>
  <c r="D66" i="69"/>
  <c r="E66" i="69" s="1"/>
  <c r="F66" i="69" s="1"/>
  <c r="G66" i="69" s="1"/>
  <c r="H66" i="69" s="1"/>
  <c r="I66" i="69" s="1"/>
  <c r="J66" i="69" s="1"/>
  <c r="K66" i="69" s="1"/>
  <c r="M66" i="69" s="1"/>
  <c r="N66" i="69"/>
  <c r="AF66" i="69" s="1"/>
  <c r="AL22" i="59" a="1"/>
  <c r="AL22" i="59" s="1"/>
  <c r="E23" i="50" s="1"/>
  <c r="AL12" i="11" a="1"/>
  <c r="AL12" i="11" s="1"/>
  <c r="E13" i="32" s="1"/>
  <c r="AB80" i="57" l="1"/>
  <c r="AA80" i="57"/>
  <c r="AG65" i="69"/>
  <c r="L68" i="69"/>
  <c r="O68" i="69"/>
  <c r="AO67" i="69"/>
  <c r="P67" i="69"/>
  <c r="AK23" i="50"/>
  <c r="T23" i="50"/>
  <c r="X81" i="57"/>
  <c r="AB81" i="53"/>
  <c r="AA81" i="53"/>
  <c r="AE82" i="53"/>
  <c r="AC82" i="53"/>
  <c r="AF81" i="53"/>
  <c r="AF80" i="57"/>
  <c r="AE82" i="57"/>
  <c r="AC82" i="57"/>
  <c r="AD21" i="50"/>
  <c r="AG21" i="50" s="1"/>
  <c r="AH21" i="50" s="1"/>
  <c r="AI21" i="50" s="1"/>
  <c r="AM22" i="50"/>
  <c r="U22" i="50"/>
  <c r="AP17" i="50"/>
  <c r="R82" i="57"/>
  <c r="R82" i="53"/>
  <c r="X82" i="53" s="1"/>
  <c r="AL19" i="50"/>
  <c r="AP16" i="50"/>
  <c r="AX66" i="69"/>
  <c r="AG83" i="57"/>
  <c r="L83" i="57"/>
  <c r="O23" i="50"/>
  <c r="AJ82" i="57"/>
  <c r="AP82" i="57"/>
  <c r="AH82" i="53"/>
  <c r="AT82" i="53"/>
  <c r="AG82" i="53"/>
  <c r="N83" i="57"/>
  <c r="E83" i="53"/>
  <c r="N83" i="53"/>
  <c r="AH66" i="69"/>
  <c r="AJ21" i="50"/>
  <c r="C21" i="50"/>
  <c r="AD82" i="57"/>
  <c r="AD82" i="53"/>
  <c r="Q82" i="53"/>
  <c r="V21" i="50"/>
  <c r="S22" i="50"/>
  <c r="F83" i="53"/>
  <c r="K83" i="53"/>
  <c r="M83" i="53"/>
  <c r="P83" i="53"/>
  <c r="G83" i="53"/>
  <c r="D83" i="53"/>
  <c r="H83" i="53"/>
  <c r="L83" i="53"/>
  <c r="AK82" i="52" a="1"/>
  <c r="AK82" i="52" s="1"/>
  <c r="B84" i="53" s="1"/>
  <c r="O84" i="53" s="1"/>
  <c r="J83" i="53"/>
  <c r="I83" i="53"/>
  <c r="C83" i="53"/>
  <c r="B23" i="50"/>
  <c r="R23" i="50" s="1"/>
  <c r="N23" i="50"/>
  <c r="M23" i="50"/>
  <c r="A23" i="50"/>
  <c r="Q23" i="50" s="1"/>
  <c r="P23" i="50" s="1"/>
  <c r="L23" i="50"/>
  <c r="G23" i="50"/>
  <c r="K23" i="50"/>
  <c r="J23" i="50"/>
  <c r="I23" i="50"/>
  <c r="F23" i="50"/>
  <c r="H23" i="50"/>
  <c r="Z21" i="50"/>
  <c r="W21" i="50"/>
  <c r="X21" i="50" s="1"/>
  <c r="H83" i="57"/>
  <c r="P83" i="57"/>
  <c r="D83" i="57"/>
  <c r="C83" i="57"/>
  <c r="M83" i="57" s="1"/>
  <c r="K83" i="57"/>
  <c r="I83" i="57"/>
  <c r="G83" i="57"/>
  <c r="E83" i="57"/>
  <c r="F83" i="57"/>
  <c r="J83" i="57"/>
  <c r="Q82" i="57"/>
  <c r="T82" i="57" s="1"/>
  <c r="AK82" i="55" a="1"/>
  <c r="AK82" i="55" s="1"/>
  <c r="B84" i="57" s="1"/>
  <c r="O84" i="57" s="1"/>
  <c r="N67" i="69"/>
  <c r="AF67" i="69" s="1"/>
  <c r="D67" i="69"/>
  <c r="E67" i="69" s="1"/>
  <c r="F67" i="69" s="1"/>
  <c r="G67" i="69" s="1"/>
  <c r="H67" i="69" s="1"/>
  <c r="I67" i="69" s="1"/>
  <c r="J67" i="69" s="1"/>
  <c r="K67" i="69" s="1"/>
  <c r="M67" i="69" s="1"/>
  <c r="Q66" i="69"/>
  <c r="R66" i="69"/>
  <c r="S66" i="69" s="1"/>
  <c r="Y66" i="69" s="1"/>
  <c r="AB66" i="69" s="1"/>
  <c r="AC66" i="69" s="1"/>
  <c r="AD66" i="69" s="1"/>
  <c r="U66" i="69"/>
  <c r="AE66" i="69"/>
  <c r="C68" i="69"/>
  <c r="AN68" i="67" a="1"/>
  <c r="AN68" i="67" s="1"/>
  <c r="B69" i="69"/>
  <c r="AL23" i="59" a="1"/>
  <c r="AL23" i="59" s="1"/>
  <c r="E24" i="50" s="1"/>
  <c r="AL13" i="11" a="1"/>
  <c r="AL13" i="11" s="1"/>
  <c r="E14" i="32" s="1"/>
  <c r="AB81" i="57" l="1"/>
  <c r="AA81" i="57"/>
  <c r="AO68" i="69"/>
  <c r="P68" i="69"/>
  <c r="L69" i="69"/>
  <c r="O69" i="69"/>
  <c r="AG66" i="69"/>
  <c r="AF81" i="57"/>
  <c r="AK24" i="50"/>
  <c r="T24" i="50"/>
  <c r="X82" i="57"/>
  <c r="AA82" i="57" s="1"/>
  <c r="AB82" i="53"/>
  <c r="AA82" i="53"/>
  <c r="AF82" i="53"/>
  <c r="AE83" i="53"/>
  <c r="AC83" i="53"/>
  <c r="AE83" i="57"/>
  <c r="AC83" i="57"/>
  <c r="AD22" i="50"/>
  <c r="AG22" i="50" s="1"/>
  <c r="AH22" i="50" s="1"/>
  <c r="AI22" i="50" s="1"/>
  <c r="AM23" i="50"/>
  <c r="U23" i="50"/>
  <c r="R83" i="57"/>
  <c r="R83" i="53"/>
  <c r="X83" i="53" s="1"/>
  <c r="AL20" i="50"/>
  <c r="AP18" i="50"/>
  <c r="AX67" i="69"/>
  <c r="AG84" i="57"/>
  <c r="L84" i="57"/>
  <c r="O24" i="50"/>
  <c r="AJ83" i="57"/>
  <c r="AP83" i="57"/>
  <c r="AG83" i="53"/>
  <c r="AH83" i="53"/>
  <c r="AT83" i="53"/>
  <c r="N84" i="57"/>
  <c r="D84" i="53"/>
  <c r="N84" i="53"/>
  <c r="AH67" i="69"/>
  <c r="AJ22" i="50"/>
  <c r="C22" i="50"/>
  <c r="AD83" i="57"/>
  <c r="AD83" i="53"/>
  <c r="S23" i="50"/>
  <c r="V22" i="50"/>
  <c r="Q83" i="53"/>
  <c r="G84" i="53"/>
  <c r="P84" i="53"/>
  <c r="H84" i="53"/>
  <c r="F84" i="53"/>
  <c r="AK83" i="52" a="1"/>
  <c r="AK83" i="52" s="1"/>
  <c r="B85" i="53" s="1"/>
  <c r="O85" i="53" s="1"/>
  <c r="K84" i="53"/>
  <c r="E84" i="53"/>
  <c r="L84" i="53"/>
  <c r="C84" i="53"/>
  <c r="M84" i="53"/>
  <c r="J84" i="53"/>
  <c r="I84" i="53"/>
  <c r="F24" i="50"/>
  <c r="J24" i="50"/>
  <c r="I24" i="50"/>
  <c r="M24" i="50"/>
  <c r="L24" i="50"/>
  <c r="B24" i="50"/>
  <c r="R24" i="50" s="1"/>
  <c r="K24" i="50"/>
  <c r="A24" i="50"/>
  <c r="Q24" i="50" s="1"/>
  <c r="P24" i="50" s="1"/>
  <c r="G24" i="50"/>
  <c r="N24" i="50"/>
  <c r="H24" i="50"/>
  <c r="Q83" i="57"/>
  <c r="T83" i="57" s="1"/>
  <c r="F84" i="57"/>
  <c r="C84" i="57"/>
  <c r="M84" i="57" s="1"/>
  <c r="K84" i="57"/>
  <c r="I84" i="57"/>
  <c r="H84" i="57"/>
  <c r="D84" i="57"/>
  <c r="G84" i="57"/>
  <c r="E84" i="57"/>
  <c r="J84" i="57"/>
  <c r="P84" i="57"/>
  <c r="Z22" i="50"/>
  <c r="W22" i="50"/>
  <c r="X22" i="50" s="1"/>
  <c r="AK83" i="55" a="1"/>
  <c r="AK83" i="55" s="1"/>
  <c r="B85" i="57" s="1"/>
  <c r="O85" i="57" s="1"/>
  <c r="AN69" i="67" a="1"/>
  <c r="AN69" i="67" s="1"/>
  <c r="B70" i="69"/>
  <c r="AE67" i="69"/>
  <c r="Q67" i="69"/>
  <c r="R67" i="69"/>
  <c r="S67" i="69" s="1"/>
  <c r="Y67" i="69" s="1"/>
  <c r="U67" i="69"/>
  <c r="C69" i="69"/>
  <c r="D68" i="69"/>
  <c r="E68" i="69" s="1"/>
  <c r="F68" i="69" s="1"/>
  <c r="G68" i="69" s="1"/>
  <c r="H68" i="69" s="1"/>
  <c r="I68" i="69" s="1"/>
  <c r="J68" i="69" s="1"/>
  <c r="K68" i="69" s="1"/>
  <c r="M68" i="69" s="1"/>
  <c r="N68" i="69"/>
  <c r="AF68" i="69" s="1"/>
  <c r="AL24" i="59" a="1"/>
  <c r="AL24" i="59" s="1"/>
  <c r="E25" i="50" s="1"/>
  <c r="AL14" i="11" a="1"/>
  <c r="AL14" i="11" s="1"/>
  <c r="E15" i="32" s="1"/>
  <c r="AB67" i="69" l="1"/>
  <c r="AC67" i="69" s="1"/>
  <c r="AD67" i="69" s="1"/>
  <c r="AG67" i="69"/>
  <c r="L70" i="69"/>
  <c r="O70" i="69"/>
  <c r="AO69" i="69"/>
  <c r="P69" i="69"/>
  <c r="X83" i="57"/>
  <c r="T25" i="50"/>
  <c r="AK25" i="50"/>
  <c r="AF82" i="57"/>
  <c r="AB82" i="57"/>
  <c r="AB83" i="53"/>
  <c r="AA83" i="53"/>
  <c r="AF83" i="53"/>
  <c r="AE84" i="53"/>
  <c r="AC84" i="53"/>
  <c r="AC84" i="57"/>
  <c r="AE84" i="57"/>
  <c r="AD23" i="50"/>
  <c r="AG23" i="50" s="1"/>
  <c r="AH23" i="50" s="1"/>
  <c r="AI23" i="50" s="1"/>
  <c r="AM24" i="50"/>
  <c r="U24" i="50"/>
  <c r="AP19" i="50"/>
  <c r="R84" i="57"/>
  <c r="R84" i="53"/>
  <c r="X84" i="53" s="1"/>
  <c r="AL21" i="50"/>
  <c r="AX68" i="69"/>
  <c r="L85" i="57"/>
  <c r="AG85" i="57"/>
  <c r="O25" i="50"/>
  <c r="AJ84" i="57"/>
  <c r="AP84" i="57"/>
  <c r="AG84" i="53"/>
  <c r="AH84" i="53"/>
  <c r="AT84" i="53"/>
  <c r="N85" i="57"/>
  <c r="J85" i="53"/>
  <c r="N85" i="53"/>
  <c r="AH68" i="69"/>
  <c r="AJ23" i="50"/>
  <c r="C23" i="50"/>
  <c r="AD84" i="57"/>
  <c r="AD84" i="53"/>
  <c r="Q84" i="53"/>
  <c r="S24" i="50"/>
  <c r="V23" i="50"/>
  <c r="E85" i="53"/>
  <c r="D85" i="53"/>
  <c r="P85" i="53"/>
  <c r="C85" i="53"/>
  <c r="AK84" i="52" a="1"/>
  <c r="AK84" i="52" s="1"/>
  <c r="B86" i="53" s="1"/>
  <c r="O86" i="53" s="1"/>
  <c r="M85" i="53"/>
  <c r="G85" i="53"/>
  <c r="H85" i="53"/>
  <c r="F85" i="53"/>
  <c r="L85" i="53"/>
  <c r="K85" i="53"/>
  <c r="I85" i="53"/>
  <c r="M25" i="50"/>
  <c r="J25" i="50"/>
  <c r="G25" i="50"/>
  <c r="L25" i="50"/>
  <c r="H25" i="50"/>
  <c r="I25" i="50"/>
  <c r="K25" i="50"/>
  <c r="B25" i="50"/>
  <c r="R25" i="50" s="1"/>
  <c r="F25" i="50"/>
  <c r="A25" i="50"/>
  <c r="Q25" i="50" s="1"/>
  <c r="P25" i="50" s="1"/>
  <c r="N25" i="50"/>
  <c r="Z23" i="50"/>
  <c r="W23" i="50"/>
  <c r="X23" i="50" s="1"/>
  <c r="Q84" i="57"/>
  <c r="T84" i="57" s="1"/>
  <c r="C85" i="57"/>
  <c r="M85" i="57" s="1"/>
  <c r="I85" i="57"/>
  <c r="H85" i="57"/>
  <c r="G85" i="57"/>
  <c r="E85" i="57"/>
  <c r="P85" i="57"/>
  <c r="D85" i="57"/>
  <c r="K85" i="57"/>
  <c r="F85" i="57"/>
  <c r="J85" i="57"/>
  <c r="AK84" i="55" a="1"/>
  <c r="AK84" i="55" s="1"/>
  <c r="B86" i="57" s="1"/>
  <c r="O86" i="57" s="1"/>
  <c r="D69" i="69"/>
  <c r="E69" i="69" s="1"/>
  <c r="F69" i="69" s="1"/>
  <c r="G69" i="69" s="1"/>
  <c r="H69" i="69" s="1"/>
  <c r="I69" i="69" s="1"/>
  <c r="J69" i="69" s="1"/>
  <c r="K69" i="69" s="1"/>
  <c r="M69" i="69" s="1"/>
  <c r="N69" i="69"/>
  <c r="AF69" i="69" s="1"/>
  <c r="AE68" i="69"/>
  <c r="U68" i="69"/>
  <c r="Q68" i="69"/>
  <c r="R68" i="69"/>
  <c r="S68" i="69" s="1"/>
  <c r="Y68" i="69" s="1"/>
  <c r="AB68" i="69" s="1"/>
  <c r="AC68" i="69" s="1"/>
  <c r="AD68" i="69" s="1"/>
  <c r="C70" i="69"/>
  <c r="AN70" i="67" a="1"/>
  <c r="AN70" i="67" s="1"/>
  <c r="B71" i="69"/>
  <c r="AL25" i="59" a="1"/>
  <c r="AL25" i="59" s="1"/>
  <c r="E26" i="50" s="1"/>
  <c r="AL15" i="11" a="1"/>
  <c r="AL15" i="11" s="1"/>
  <c r="E16" i="32" s="1"/>
  <c r="AB83" i="57" l="1"/>
  <c r="AA83" i="57"/>
  <c r="L71" i="69"/>
  <c r="O71" i="69"/>
  <c r="AG68" i="69"/>
  <c r="AO70" i="69"/>
  <c r="P70" i="69"/>
  <c r="AF83" i="57"/>
  <c r="T26" i="50"/>
  <c r="AK26" i="50"/>
  <c r="AB84" i="53"/>
  <c r="AA84" i="53"/>
  <c r="AE85" i="53"/>
  <c r="AC85" i="53"/>
  <c r="AF84" i="53"/>
  <c r="X84" i="57"/>
  <c r="AE85" i="57"/>
  <c r="AC85" i="57"/>
  <c r="AD24" i="50"/>
  <c r="AG24" i="50" s="1"/>
  <c r="AH24" i="50" s="1"/>
  <c r="AI24" i="50" s="1"/>
  <c r="AM25" i="50"/>
  <c r="U25" i="50"/>
  <c r="AP20" i="50"/>
  <c r="R85" i="57"/>
  <c r="R85" i="53"/>
  <c r="X85" i="53" s="1"/>
  <c r="AL22" i="50"/>
  <c r="AX69" i="69"/>
  <c r="AG86" i="57"/>
  <c r="L86" i="57"/>
  <c r="O26" i="50"/>
  <c r="AJ85" i="57"/>
  <c r="AP85" i="57"/>
  <c r="AH85" i="53"/>
  <c r="AT85" i="53"/>
  <c r="AG85" i="53"/>
  <c r="N86" i="57"/>
  <c r="N86" i="53"/>
  <c r="AH69" i="69"/>
  <c r="AJ24" i="50"/>
  <c r="C24" i="50"/>
  <c r="AD85" i="57"/>
  <c r="AD85" i="53"/>
  <c r="Q85" i="53"/>
  <c r="S25" i="50"/>
  <c r="V24" i="50"/>
  <c r="C86" i="53"/>
  <c r="H86" i="53"/>
  <c r="AK85" i="52" a="1"/>
  <c r="AK85" i="52" s="1"/>
  <c r="B87" i="53" s="1"/>
  <c r="O87" i="53" s="1"/>
  <c r="J86" i="53"/>
  <c r="E86" i="53"/>
  <c r="I86" i="53"/>
  <c r="F86" i="53"/>
  <c r="L86" i="53"/>
  <c r="P86" i="53"/>
  <c r="K86" i="53"/>
  <c r="D86" i="53"/>
  <c r="M86" i="53"/>
  <c r="G86" i="53"/>
  <c r="A26" i="50"/>
  <c r="Q26" i="50" s="1"/>
  <c r="P26" i="50" s="1"/>
  <c r="H26" i="50"/>
  <c r="J26" i="50"/>
  <c r="M26" i="50"/>
  <c r="G26" i="50"/>
  <c r="K26" i="50"/>
  <c r="N26" i="50"/>
  <c r="F26" i="50"/>
  <c r="L26" i="50"/>
  <c r="B26" i="50"/>
  <c r="R26" i="50" s="1"/>
  <c r="I26" i="50"/>
  <c r="Q85" i="57"/>
  <c r="T85" i="57" s="1"/>
  <c r="X85" i="57" s="1"/>
  <c r="AA85" i="57" s="1"/>
  <c r="Z24" i="50"/>
  <c r="W24" i="50"/>
  <c r="X24" i="50" s="1"/>
  <c r="J86" i="57"/>
  <c r="G86" i="57"/>
  <c r="E86" i="57"/>
  <c r="H86" i="57"/>
  <c r="D86" i="57"/>
  <c r="I86" i="57"/>
  <c r="C86" i="57"/>
  <c r="M86" i="57" s="1"/>
  <c r="K86" i="57"/>
  <c r="P86" i="57"/>
  <c r="F86" i="57"/>
  <c r="AK85" i="55" a="1"/>
  <c r="AK85" i="55" s="1"/>
  <c r="B87" i="57" s="1"/>
  <c r="O87" i="57" s="1"/>
  <c r="AN71" i="67" a="1"/>
  <c r="AN71" i="67" s="1"/>
  <c r="B72" i="69"/>
  <c r="C71" i="69"/>
  <c r="D70" i="69"/>
  <c r="E70" i="69" s="1"/>
  <c r="F70" i="69" s="1"/>
  <c r="G70" i="69" s="1"/>
  <c r="H70" i="69" s="1"/>
  <c r="I70" i="69" s="1"/>
  <c r="J70" i="69" s="1"/>
  <c r="K70" i="69" s="1"/>
  <c r="M70" i="69" s="1"/>
  <c r="N70" i="69"/>
  <c r="AF70" i="69" s="1"/>
  <c r="AE69" i="69"/>
  <c r="Q69" i="69"/>
  <c r="U69" i="69"/>
  <c r="R69" i="69"/>
  <c r="S69" i="69" s="1"/>
  <c r="Y69" i="69" s="1"/>
  <c r="AL26" i="59" a="1"/>
  <c r="AL26" i="59" s="1"/>
  <c r="E27" i="50" s="1"/>
  <c r="AL16" i="11" a="1"/>
  <c r="AL16" i="11" s="1"/>
  <c r="E17" i="32" s="1"/>
  <c r="AB84" i="57" l="1"/>
  <c r="AA84" i="57"/>
  <c r="AB69" i="69"/>
  <c r="AC69" i="69" s="1"/>
  <c r="AD69" i="69" s="1"/>
  <c r="AG69" i="69"/>
  <c r="AO71" i="69"/>
  <c r="P71" i="69"/>
  <c r="L72" i="69"/>
  <c r="O72" i="69"/>
  <c r="T27" i="50"/>
  <c r="AK27" i="50"/>
  <c r="AB85" i="53"/>
  <c r="AA85" i="53"/>
  <c r="AE86" i="53"/>
  <c r="AC86" i="53"/>
  <c r="AF85" i="53"/>
  <c r="AF84" i="57"/>
  <c r="AB85" i="57"/>
  <c r="AF85" i="57"/>
  <c r="AE86" i="57"/>
  <c r="AC86" i="57"/>
  <c r="AM26" i="50"/>
  <c r="U26" i="50"/>
  <c r="AD25" i="50"/>
  <c r="AG25" i="50" s="1"/>
  <c r="AH25" i="50" s="1"/>
  <c r="AI25" i="50" s="1"/>
  <c r="AP21" i="50"/>
  <c r="R86" i="57"/>
  <c r="R86" i="53"/>
  <c r="X86" i="53" s="1"/>
  <c r="AL23" i="50"/>
  <c r="AX70" i="69"/>
  <c r="AG87" i="57"/>
  <c r="L87" i="57"/>
  <c r="O27" i="50"/>
  <c r="AJ86" i="57"/>
  <c r="AP86" i="57"/>
  <c r="AH86" i="53"/>
  <c r="AT86" i="53"/>
  <c r="AG86" i="53"/>
  <c r="N87" i="57"/>
  <c r="J87" i="53"/>
  <c r="N87" i="53"/>
  <c r="AH70" i="69"/>
  <c r="AJ25" i="50"/>
  <c r="C25" i="50"/>
  <c r="AD86" i="57"/>
  <c r="AD86" i="53"/>
  <c r="S26" i="50"/>
  <c r="V25" i="50"/>
  <c r="Q86" i="53"/>
  <c r="C87" i="53"/>
  <c r="D87" i="53"/>
  <c r="AK86" i="52" a="1"/>
  <c r="AK86" i="52" s="1"/>
  <c r="B88" i="53" s="1"/>
  <c r="O88" i="53" s="1"/>
  <c r="L87" i="53"/>
  <c r="I87" i="53"/>
  <c r="G87" i="53"/>
  <c r="P87" i="53"/>
  <c r="M87" i="53"/>
  <c r="K87" i="53"/>
  <c r="E87" i="53"/>
  <c r="H87" i="53"/>
  <c r="F87" i="53"/>
  <c r="F27" i="50"/>
  <c r="A27" i="50"/>
  <c r="Q27" i="50" s="1"/>
  <c r="P27" i="50" s="1"/>
  <c r="K27" i="50"/>
  <c r="M27" i="50"/>
  <c r="L27" i="50"/>
  <c r="B27" i="50"/>
  <c r="R27" i="50" s="1"/>
  <c r="I27" i="50"/>
  <c r="H27" i="50"/>
  <c r="J27" i="50"/>
  <c r="G27" i="50"/>
  <c r="N27" i="50"/>
  <c r="Q86" i="57"/>
  <c r="T86" i="57" s="1"/>
  <c r="Z25" i="50"/>
  <c r="W25" i="50"/>
  <c r="X25" i="50" s="1"/>
  <c r="P87" i="57"/>
  <c r="D87" i="57"/>
  <c r="C87" i="57"/>
  <c r="M87" i="57" s="1"/>
  <c r="K87" i="57"/>
  <c r="I87" i="57"/>
  <c r="H87" i="57"/>
  <c r="G87" i="57"/>
  <c r="E87" i="57"/>
  <c r="F87" i="57"/>
  <c r="J87" i="57"/>
  <c r="AK86" i="55" a="1"/>
  <c r="AK86" i="55" s="1"/>
  <c r="B88" i="57" s="1"/>
  <c r="O88" i="57" s="1"/>
  <c r="AN72" i="67" a="1"/>
  <c r="AN72" i="67" s="1"/>
  <c r="B73" i="69"/>
  <c r="D71" i="69"/>
  <c r="E71" i="69" s="1"/>
  <c r="F71" i="69" s="1"/>
  <c r="G71" i="69" s="1"/>
  <c r="H71" i="69" s="1"/>
  <c r="I71" i="69" s="1"/>
  <c r="J71" i="69" s="1"/>
  <c r="K71" i="69" s="1"/>
  <c r="M71" i="69" s="1"/>
  <c r="N71" i="69"/>
  <c r="AF71" i="69" s="1"/>
  <c r="AE70" i="69"/>
  <c r="R70" i="69"/>
  <c r="S70" i="69" s="1"/>
  <c r="Y70" i="69" s="1"/>
  <c r="U70" i="69"/>
  <c r="Q70" i="69"/>
  <c r="C72" i="69"/>
  <c r="AL27" i="59" a="1"/>
  <c r="AL27" i="59" s="1"/>
  <c r="E28" i="50" s="1"/>
  <c r="AL17" i="11" a="1"/>
  <c r="AL17" i="11" s="1"/>
  <c r="E18" i="32" s="1"/>
  <c r="AB70" i="69" l="1"/>
  <c r="AC70" i="69" s="1"/>
  <c r="AD70" i="69" s="1"/>
  <c r="AG70" i="69"/>
  <c r="L73" i="69"/>
  <c r="O73" i="69"/>
  <c r="AO72" i="69"/>
  <c r="P72" i="69"/>
  <c r="T28" i="50"/>
  <c r="AK28" i="50"/>
  <c r="AB86" i="53"/>
  <c r="AA86" i="53"/>
  <c r="AF86" i="53"/>
  <c r="AE87" i="53"/>
  <c r="AC87" i="53"/>
  <c r="X86" i="57"/>
  <c r="AE87" i="57"/>
  <c r="AC87" i="57"/>
  <c r="AD26" i="50"/>
  <c r="AG26" i="50" s="1"/>
  <c r="AH26" i="50" s="1"/>
  <c r="AI26" i="50" s="1"/>
  <c r="AM27" i="50"/>
  <c r="U27" i="50"/>
  <c r="AP22" i="50"/>
  <c r="R87" i="57"/>
  <c r="R87" i="53"/>
  <c r="X87" i="53" s="1"/>
  <c r="AL24" i="50"/>
  <c r="AL25" i="50"/>
  <c r="AX71" i="69"/>
  <c r="AG88" i="57"/>
  <c r="L88" i="57"/>
  <c r="O28" i="50"/>
  <c r="AJ87" i="57"/>
  <c r="AP87" i="57"/>
  <c r="AG87" i="53"/>
  <c r="AH87" i="53"/>
  <c r="AT87" i="53"/>
  <c r="N88" i="57"/>
  <c r="K88" i="53"/>
  <c r="N88" i="53"/>
  <c r="AH71" i="69"/>
  <c r="AJ26" i="50"/>
  <c r="C26" i="50"/>
  <c r="AD87" i="57"/>
  <c r="AD87" i="53"/>
  <c r="S27" i="50"/>
  <c r="V26" i="50"/>
  <c r="Q87" i="53"/>
  <c r="P88" i="53"/>
  <c r="D88" i="53"/>
  <c r="C88" i="53"/>
  <c r="E88" i="53"/>
  <c r="H88" i="53"/>
  <c r="F88" i="53"/>
  <c r="AK87" i="52" a="1"/>
  <c r="AK87" i="52" s="1"/>
  <c r="B89" i="53" s="1"/>
  <c r="O89" i="53" s="1"/>
  <c r="M88" i="53"/>
  <c r="L88" i="53"/>
  <c r="I88" i="53"/>
  <c r="G88" i="53"/>
  <c r="J88" i="53"/>
  <c r="I28" i="50"/>
  <c r="N28" i="50"/>
  <c r="H28" i="50"/>
  <c r="M28" i="50"/>
  <c r="L28" i="50"/>
  <c r="K28" i="50"/>
  <c r="G28" i="50"/>
  <c r="F28" i="50"/>
  <c r="J28" i="50"/>
  <c r="B28" i="50"/>
  <c r="R28" i="50" s="1"/>
  <c r="A28" i="50"/>
  <c r="Q28" i="50" s="1"/>
  <c r="P28" i="50" s="1"/>
  <c r="W26" i="50"/>
  <c r="X26" i="50" s="1"/>
  <c r="Z26" i="50"/>
  <c r="E88" i="57"/>
  <c r="C88" i="57"/>
  <c r="M88" i="57" s="1"/>
  <c r="K88" i="57"/>
  <c r="J88" i="57"/>
  <c r="I88" i="57"/>
  <c r="F88" i="57"/>
  <c r="P88" i="57"/>
  <c r="H88" i="57"/>
  <c r="D88" i="57"/>
  <c r="G88" i="57"/>
  <c r="Q87" i="57"/>
  <c r="T87" i="57" s="1"/>
  <c r="AK87" i="55" a="1"/>
  <c r="AK87" i="55" s="1"/>
  <c r="B89" i="57" s="1"/>
  <c r="O89" i="57" s="1"/>
  <c r="AE71" i="69"/>
  <c r="Q71" i="69"/>
  <c r="U71" i="69"/>
  <c r="R71" i="69"/>
  <c r="S71" i="69" s="1"/>
  <c r="Y71" i="69" s="1"/>
  <c r="AB71" i="69" s="1"/>
  <c r="AC71" i="69" s="1"/>
  <c r="AD71" i="69" s="1"/>
  <c r="D72" i="69"/>
  <c r="E72" i="69" s="1"/>
  <c r="F72" i="69" s="1"/>
  <c r="G72" i="69" s="1"/>
  <c r="H72" i="69" s="1"/>
  <c r="I72" i="69" s="1"/>
  <c r="J72" i="69" s="1"/>
  <c r="K72" i="69" s="1"/>
  <c r="M72" i="69" s="1"/>
  <c r="N72" i="69"/>
  <c r="AF72" i="69" s="1"/>
  <c r="C73" i="69"/>
  <c r="AN73" i="67" a="1"/>
  <c r="AN73" i="67" s="1"/>
  <c r="B74" i="69"/>
  <c r="AL28" i="59" a="1"/>
  <c r="AL28" i="59" s="1"/>
  <c r="E29" i="50" s="1"/>
  <c r="AL18" i="11" a="1"/>
  <c r="AL18" i="11" s="1"/>
  <c r="E19" i="32" s="1"/>
  <c r="AB86" i="57" l="1"/>
  <c r="AA86" i="57"/>
  <c r="L74" i="69"/>
  <c r="O74" i="69"/>
  <c r="AO73" i="69"/>
  <c r="P73" i="69"/>
  <c r="AG71" i="69"/>
  <c r="T29" i="50"/>
  <c r="AK29" i="50"/>
  <c r="AB87" i="53"/>
  <c r="AA87" i="53"/>
  <c r="AE88" i="53"/>
  <c r="AC88" i="53"/>
  <c r="AF87" i="53"/>
  <c r="AF86" i="57"/>
  <c r="X87" i="57"/>
  <c r="AE88" i="57"/>
  <c r="AC88" i="57"/>
  <c r="AD27" i="50"/>
  <c r="AG27" i="50" s="1"/>
  <c r="AH27" i="50" s="1"/>
  <c r="AI27" i="50" s="1"/>
  <c r="AM28" i="50"/>
  <c r="U28" i="50"/>
  <c r="AP25" i="50"/>
  <c r="R88" i="57"/>
  <c r="R88" i="53"/>
  <c r="X88" i="53" s="1"/>
  <c r="AL26" i="50"/>
  <c r="AP23" i="50"/>
  <c r="AX72" i="69"/>
  <c r="AG89" i="57"/>
  <c r="L89" i="57"/>
  <c r="O29" i="50"/>
  <c r="AJ88" i="57"/>
  <c r="AP88" i="57"/>
  <c r="AG88" i="53"/>
  <c r="AH88" i="53"/>
  <c r="AT88" i="53"/>
  <c r="N89" i="57"/>
  <c r="J89" i="53"/>
  <c r="N89" i="53"/>
  <c r="AH72" i="69"/>
  <c r="AJ27" i="50"/>
  <c r="C27" i="50"/>
  <c r="AD88" i="57"/>
  <c r="AD88" i="53"/>
  <c r="S28" i="50"/>
  <c r="V27" i="50"/>
  <c r="Q88" i="53"/>
  <c r="E89" i="53"/>
  <c r="L89" i="53"/>
  <c r="K89" i="53"/>
  <c r="C89" i="53"/>
  <c r="G89" i="53"/>
  <c r="D89" i="53"/>
  <c r="P89" i="53"/>
  <c r="H89" i="53"/>
  <c r="AK88" i="52" a="1"/>
  <c r="AK88" i="52" s="1"/>
  <c r="B90" i="53" s="1"/>
  <c r="O90" i="53" s="1"/>
  <c r="I89" i="53"/>
  <c r="M89" i="53"/>
  <c r="F89" i="53"/>
  <c r="B29" i="50"/>
  <c r="R29" i="50" s="1"/>
  <c r="I29" i="50"/>
  <c r="A29" i="50"/>
  <c r="Q29" i="50" s="1"/>
  <c r="P29" i="50" s="1"/>
  <c r="M29" i="50"/>
  <c r="H29" i="50"/>
  <c r="K29" i="50"/>
  <c r="G29" i="50"/>
  <c r="F29" i="50"/>
  <c r="J29" i="50"/>
  <c r="N29" i="50"/>
  <c r="L29" i="50"/>
  <c r="G89" i="57"/>
  <c r="E89" i="57"/>
  <c r="P89" i="57"/>
  <c r="D89" i="57"/>
  <c r="C89" i="57"/>
  <c r="M89" i="57" s="1"/>
  <c r="K89" i="57"/>
  <c r="I89" i="57"/>
  <c r="H89" i="57"/>
  <c r="F89" i="57"/>
  <c r="J89" i="57"/>
  <c r="Z27" i="50"/>
  <c r="W27" i="50"/>
  <c r="X27" i="50" s="1"/>
  <c r="Q88" i="57"/>
  <c r="T88" i="57" s="1"/>
  <c r="AK88" i="55" a="1"/>
  <c r="AK88" i="55" s="1"/>
  <c r="B90" i="57" s="1"/>
  <c r="O90" i="57" s="1"/>
  <c r="AN74" i="67" a="1"/>
  <c r="AN74" i="67" s="1"/>
  <c r="B75" i="69"/>
  <c r="AE72" i="69"/>
  <c r="U72" i="69"/>
  <c r="Q72" i="69"/>
  <c r="R72" i="69"/>
  <c r="S72" i="69" s="1"/>
  <c r="Y72" i="69" s="1"/>
  <c r="D73" i="69"/>
  <c r="E73" i="69" s="1"/>
  <c r="F73" i="69" s="1"/>
  <c r="G73" i="69" s="1"/>
  <c r="H73" i="69" s="1"/>
  <c r="I73" i="69" s="1"/>
  <c r="J73" i="69" s="1"/>
  <c r="K73" i="69" s="1"/>
  <c r="M73" i="69" s="1"/>
  <c r="N73" i="69"/>
  <c r="AF73" i="69" s="1"/>
  <c r="C74" i="69"/>
  <c r="AL29" i="59" a="1"/>
  <c r="AL29" i="59" s="1"/>
  <c r="E30" i="50" s="1"/>
  <c r="AL19" i="11" a="1"/>
  <c r="AL19" i="11" s="1"/>
  <c r="E20" i="32" s="1"/>
  <c r="AB87" i="57" l="1"/>
  <c r="AA87" i="57"/>
  <c r="AB72" i="69"/>
  <c r="AC72" i="69" s="1"/>
  <c r="AD72" i="69" s="1"/>
  <c r="AG72" i="69"/>
  <c r="AO74" i="69"/>
  <c r="P74" i="69"/>
  <c r="L75" i="69"/>
  <c r="O75" i="69"/>
  <c r="T30" i="50"/>
  <c r="AK30" i="50"/>
  <c r="AB88" i="53"/>
  <c r="AA88" i="53"/>
  <c r="AF88" i="53"/>
  <c r="AE89" i="53"/>
  <c r="AC89" i="53"/>
  <c r="AF87" i="57"/>
  <c r="X88" i="57"/>
  <c r="AE89" i="57"/>
  <c r="AC89" i="57"/>
  <c r="AD28" i="50"/>
  <c r="AG28" i="50" s="1"/>
  <c r="AH28" i="50" s="1"/>
  <c r="AI28" i="50" s="1"/>
  <c r="AM29" i="50"/>
  <c r="U29" i="50"/>
  <c r="AP26" i="50"/>
  <c r="AP24" i="50"/>
  <c r="R89" i="57"/>
  <c r="R89" i="53"/>
  <c r="X89" i="53" s="1"/>
  <c r="AL27" i="50"/>
  <c r="AX73" i="69"/>
  <c r="AG90" i="57"/>
  <c r="L90" i="57"/>
  <c r="O30" i="50"/>
  <c r="AJ89" i="57"/>
  <c r="AP89" i="57"/>
  <c r="AG89" i="53"/>
  <c r="AH89" i="53"/>
  <c r="AT89" i="53"/>
  <c r="N90" i="57"/>
  <c r="P90" i="53"/>
  <c r="N90" i="53"/>
  <c r="AH73" i="69"/>
  <c r="AJ28" i="50"/>
  <c r="C28" i="50"/>
  <c r="AD89" i="57"/>
  <c r="AD89" i="53"/>
  <c r="S29" i="50"/>
  <c r="V28" i="50"/>
  <c r="Q89" i="53"/>
  <c r="F90" i="53"/>
  <c r="L90" i="53"/>
  <c r="D90" i="53"/>
  <c r="G90" i="53"/>
  <c r="H90" i="53"/>
  <c r="I90" i="53"/>
  <c r="C90" i="53"/>
  <c r="E90" i="53"/>
  <c r="AK89" i="52" a="1"/>
  <c r="AK89" i="52" s="1"/>
  <c r="B91" i="53" s="1"/>
  <c r="O91" i="53" s="1"/>
  <c r="J90" i="53"/>
  <c r="K90" i="53"/>
  <c r="M90" i="53"/>
  <c r="G30" i="50"/>
  <c r="B30" i="50"/>
  <c r="R30" i="50" s="1"/>
  <c r="M30" i="50"/>
  <c r="L30" i="50"/>
  <c r="F30" i="50"/>
  <c r="A30" i="50"/>
  <c r="Q30" i="50" s="1"/>
  <c r="P30" i="50" s="1"/>
  <c r="N30" i="50"/>
  <c r="H30" i="50"/>
  <c r="K30" i="50"/>
  <c r="J30" i="50"/>
  <c r="I30" i="50"/>
  <c r="Q89" i="57"/>
  <c r="T89" i="57" s="1"/>
  <c r="Z28" i="50"/>
  <c r="W28" i="50"/>
  <c r="X28" i="50" s="1"/>
  <c r="P90" i="57"/>
  <c r="C90" i="57"/>
  <c r="M90" i="57" s="1"/>
  <c r="H90" i="57"/>
  <c r="J90" i="57"/>
  <c r="D90" i="57"/>
  <c r="G90" i="57"/>
  <c r="K90" i="57"/>
  <c r="E90" i="57"/>
  <c r="F90" i="57"/>
  <c r="I90" i="57"/>
  <c r="AK89" i="55" a="1"/>
  <c r="AK89" i="55" s="1"/>
  <c r="B91" i="57" s="1"/>
  <c r="O91" i="57" s="1"/>
  <c r="N74" i="69"/>
  <c r="AF74" i="69" s="1"/>
  <c r="D74" i="69"/>
  <c r="E74" i="69" s="1"/>
  <c r="F74" i="69" s="1"/>
  <c r="G74" i="69" s="1"/>
  <c r="H74" i="69" s="1"/>
  <c r="I74" i="69" s="1"/>
  <c r="J74" i="69" s="1"/>
  <c r="K74" i="69" s="1"/>
  <c r="M74" i="69" s="1"/>
  <c r="AE73" i="69"/>
  <c r="Q73" i="69"/>
  <c r="R73" i="69"/>
  <c r="S73" i="69" s="1"/>
  <c r="Y73" i="69" s="1"/>
  <c r="U73" i="69"/>
  <c r="C75" i="69"/>
  <c r="AN75" i="67" a="1"/>
  <c r="AN75" i="67" s="1"/>
  <c r="B76" i="69"/>
  <c r="AL30" i="59" a="1"/>
  <c r="AL30" i="59" s="1"/>
  <c r="E31" i="50" s="1"/>
  <c r="AL20" i="11" a="1"/>
  <c r="AL20" i="11" s="1"/>
  <c r="E21" i="32" s="1"/>
  <c r="AB88" i="57" l="1"/>
  <c r="AA88" i="57"/>
  <c r="AB73" i="69"/>
  <c r="AC73" i="69" s="1"/>
  <c r="AD73" i="69" s="1"/>
  <c r="AG73" i="69"/>
  <c r="L76" i="69"/>
  <c r="O76" i="69"/>
  <c r="AO75" i="69"/>
  <c r="P75" i="69"/>
  <c r="AK31" i="50"/>
  <c r="T31" i="50"/>
  <c r="AB89" i="53"/>
  <c r="AA89" i="53"/>
  <c r="AE90" i="53"/>
  <c r="AC90" i="53"/>
  <c r="AF89" i="53"/>
  <c r="X89" i="57"/>
  <c r="AA89" i="57" s="1"/>
  <c r="AF88" i="57"/>
  <c r="AE90" i="57"/>
  <c r="AC90" i="57"/>
  <c r="AM30" i="50"/>
  <c r="U30" i="50"/>
  <c r="AD29" i="50"/>
  <c r="AG29" i="50" s="1"/>
  <c r="AH29" i="50" s="1"/>
  <c r="AI29" i="50" s="1"/>
  <c r="AP27" i="50"/>
  <c r="R90" i="57"/>
  <c r="R90" i="53"/>
  <c r="X90" i="53" s="1"/>
  <c r="AL28" i="50"/>
  <c r="AX74" i="69"/>
  <c r="AG91" i="57"/>
  <c r="L91" i="57"/>
  <c r="O31" i="50"/>
  <c r="AJ90" i="57"/>
  <c r="AP90" i="57"/>
  <c r="AH90" i="53"/>
  <c r="AT90" i="53"/>
  <c r="AG90" i="53"/>
  <c r="N91" i="57"/>
  <c r="G91" i="53"/>
  <c r="N91" i="53"/>
  <c r="AH74" i="69"/>
  <c r="AJ29" i="50"/>
  <c r="C29" i="50"/>
  <c r="AD90" i="57"/>
  <c r="AD90" i="53"/>
  <c r="S30" i="50"/>
  <c r="V29" i="50"/>
  <c r="Q90" i="53"/>
  <c r="F91" i="53"/>
  <c r="H91" i="53"/>
  <c r="E91" i="53"/>
  <c r="M91" i="53"/>
  <c r="J91" i="53"/>
  <c r="C91" i="53"/>
  <c r="I91" i="53"/>
  <c r="D91" i="53"/>
  <c r="AK90" i="52" a="1"/>
  <c r="AK90" i="52" s="1"/>
  <c r="B92" i="53" s="1"/>
  <c r="O92" i="53" s="1"/>
  <c r="P91" i="53"/>
  <c r="L91" i="53"/>
  <c r="K91" i="53"/>
  <c r="M31" i="50"/>
  <c r="H31" i="50"/>
  <c r="I31" i="50"/>
  <c r="J31" i="50"/>
  <c r="N31" i="50"/>
  <c r="F31" i="50"/>
  <c r="G31" i="50"/>
  <c r="K31" i="50"/>
  <c r="A31" i="50"/>
  <c r="Q31" i="50" s="1"/>
  <c r="P31" i="50" s="1"/>
  <c r="L31" i="50"/>
  <c r="B31" i="50"/>
  <c r="R31" i="50" s="1"/>
  <c r="Q90" i="57"/>
  <c r="T90" i="57" s="1"/>
  <c r="Z29" i="50"/>
  <c r="W29" i="50"/>
  <c r="X29" i="50" s="1"/>
  <c r="H91" i="57"/>
  <c r="G91" i="57"/>
  <c r="E91" i="57"/>
  <c r="P91" i="57"/>
  <c r="D91" i="57"/>
  <c r="C91" i="57"/>
  <c r="M91" i="57" s="1"/>
  <c r="K91" i="57"/>
  <c r="I91" i="57"/>
  <c r="F91" i="57"/>
  <c r="J91" i="57"/>
  <c r="AK90" i="55" a="1"/>
  <c r="AK90" i="55" s="1"/>
  <c r="B92" i="57" s="1"/>
  <c r="O92" i="57" s="1"/>
  <c r="AN76" i="67" a="1"/>
  <c r="AN76" i="67" s="1"/>
  <c r="B77" i="69"/>
  <c r="AE74" i="69"/>
  <c r="Q74" i="69"/>
  <c r="R74" i="69"/>
  <c r="S74" i="69" s="1"/>
  <c r="Y74" i="69" s="1"/>
  <c r="U74" i="69"/>
  <c r="C76" i="69"/>
  <c r="N75" i="69"/>
  <c r="AF75" i="69" s="1"/>
  <c r="D75" i="69"/>
  <c r="E75" i="69" s="1"/>
  <c r="F75" i="69" s="1"/>
  <c r="G75" i="69" s="1"/>
  <c r="H75" i="69" s="1"/>
  <c r="I75" i="69" s="1"/>
  <c r="J75" i="69" s="1"/>
  <c r="K75" i="69" s="1"/>
  <c r="M75" i="69" s="1"/>
  <c r="AL31" i="59" a="1"/>
  <c r="AL31" i="59" s="1"/>
  <c r="E32" i="50" s="1"/>
  <c r="AL21" i="11" a="1"/>
  <c r="AL21" i="11" s="1"/>
  <c r="E22" i="32" s="1"/>
  <c r="X90" i="57" l="1"/>
  <c r="AA90" i="57" s="1"/>
  <c r="AB74" i="69"/>
  <c r="AC74" i="69" s="1"/>
  <c r="AD74" i="69" s="1"/>
  <c r="AG74" i="69"/>
  <c r="L77" i="69"/>
  <c r="O77" i="69"/>
  <c r="AO76" i="69"/>
  <c r="P76" i="69"/>
  <c r="AK32" i="50"/>
  <c r="T32" i="50"/>
  <c r="AB89" i="57"/>
  <c r="AB90" i="53"/>
  <c r="AA90" i="53"/>
  <c r="AF90" i="53"/>
  <c r="AE91" i="53"/>
  <c r="AC91" i="53"/>
  <c r="AK22" i="32"/>
  <c r="T22" i="32"/>
  <c r="AF89" i="57"/>
  <c r="AE91" i="57"/>
  <c r="AC91" i="57"/>
  <c r="AD30" i="50"/>
  <c r="AG30" i="50" s="1"/>
  <c r="AH30" i="50" s="1"/>
  <c r="AI30" i="50" s="1"/>
  <c r="AM31" i="50"/>
  <c r="U31" i="50"/>
  <c r="AP28" i="50"/>
  <c r="R91" i="57"/>
  <c r="R91" i="53"/>
  <c r="X91" i="53" s="1"/>
  <c r="AL29" i="50"/>
  <c r="AX75" i="69"/>
  <c r="AG92" i="57"/>
  <c r="L92" i="57"/>
  <c r="O32" i="50"/>
  <c r="AJ91" i="57"/>
  <c r="AP91" i="57"/>
  <c r="AG91" i="53"/>
  <c r="AH91" i="53"/>
  <c r="AT91" i="53"/>
  <c r="N92" i="57"/>
  <c r="I92" i="53"/>
  <c r="N92" i="53"/>
  <c r="AH75" i="69"/>
  <c r="AJ30" i="50"/>
  <c r="C30" i="50"/>
  <c r="AD91" i="57"/>
  <c r="Q91" i="53"/>
  <c r="AD91" i="53"/>
  <c r="S31" i="50"/>
  <c r="V30" i="50"/>
  <c r="G92" i="53"/>
  <c r="L92" i="53"/>
  <c r="J92" i="53"/>
  <c r="E92" i="53"/>
  <c r="H92" i="53"/>
  <c r="C92" i="53"/>
  <c r="M92" i="53"/>
  <c r="P92" i="53"/>
  <c r="K92" i="53"/>
  <c r="F92" i="53"/>
  <c r="AK91" i="52" a="1"/>
  <c r="AK91" i="52" s="1"/>
  <c r="B93" i="53" s="1"/>
  <c r="O93" i="53" s="1"/>
  <c r="D92" i="53"/>
  <c r="F32" i="50"/>
  <c r="I32" i="50"/>
  <c r="J32" i="50"/>
  <c r="L32" i="50"/>
  <c r="M32" i="50"/>
  <c r="K32" i="50"/>
  <c r="N32" i="50"/>
  <c r="B32" i="50"/>
  <c r="R32" i="50" s="1"/>
  <c r="A32" i="50"/>
  <c r="Q32" i="50" s="1"/>
  <c r="P32" i="50" s="1"/>
  <c r="G32" i="50"/>
  <c r="H32" i="50"/>
  <c r="K92" i="57"/>
  <c r="I92" i="57"/>
  <c r="F92" i="57"/>
  <c r="C92" i="57"/>
  <c r="M92" i="57" s="1"/>
  <c r="G92" i="57"/>
  <c r="P92" i="57"/>
  <c r="H92" i="57"/>
  <c r="E92" i="57"/>
  <c r="D92" i="57"/>
  <c r="J92" i="57"/>
  <c r="Q91" i="57"/>
  <c r="T91" i="57" s="1"/>
  <c r="W30" i="50"/>
  <c r="X30" i="50" s="1"/>
  <c r="Z30" i="50"/>
  <c r="AK91" i="55" a="1"/>
  <c r="AK91" i="55" s="1"/>
  <c r="B93" i="57" s="1"/>
  <c r="O93" i="57" s="1"/>
  <c r="C77" i="69"/>
  <c r="AE75" i="69"/>
  <c r="R75" i="69"/>
  <c r="S75" i="69" s="1"/>
  <c r="Y75" i="69" s="1"/>
  <c r="Q75" i="69"/>
  <c r="U75" i="69"/>
  <c r="D76" i="69"/>
  <c r="E76" i="69" s="1"/>
  <c r="F76" i="69" s="1"/>
  <c r="G76" i="69" s="1"/>
  <c r="H76" i="69" s="1"/>
  <c r="I76" i="69" s="1"/>
  <c r="J76" i="69" s="1"/>
  <c r="K76" i="69" s="1"/>
  <c r="M76" i="69" s="1"/>
  <c r="N76" i="69"/>
  <c r="AF76" i="69" s="1"/>
  <c r="AN77" i="67" a="1"/>
  <c r="AN77" i="67" s="1"/>
  <c r="B78" i="69"/>
  <c r="AL32" i="59" a="1"/>
  <c r="AL32" i="59" s="1"/>
  <c r="E33" i="50" s="1"/>
  <c r="AL22" i="11" a="1"/>
  <c r="AL22" i="11" s="1"/>
  <c r="E23" i="32" s="1"/>
  <c r="AB90" i="57" l="1"/>
  <c r="AF90" i="57"/>
  <c r="AB75" i="69"/>
  <c r="AC75" i="69" s="1"/>
  <c r="AD75" i="69" s="1"/>
  <c r="AG75" i="69"/>
  <c r="L78" i="69"/>
  <c r="O78" i="69"/>
  <c r="AO77" i="69"/>
  <c r="P77" i="69"/>
  <c r="T33" i="50"/>
  <c r="AK33" i="50"/>
  <c r="AB91" i="53"/>
  <c r="AA91" i="53"/>
  <c r="AE92" i="53"/>
  <c r="AC92" i="53"/>
  <c r="AF91" i="53"/>
  <c r="AK23" i="32"/>
  <c r="T23" i="32"/>
  <c r="X91" i="57"/>
  <c r="AA91" i="57" s="1"/>
  <c r="AC92" i="57"/>
  <c r="AE92" i="57"/>
  <c r="AD31" i="50"/>
  <c r="AG31" i="50" s="1"/>
  <c r="AH31" i="50" s="1"/>
  <c r="AI31" i="50" s="1"/>
  <c r="AM32" i="50"/>
  <c r="U32" i="50"/>
  <c r="AP29" i="50"/>
  <c r="R92" i="57"/>
  <c r="R92" i="53"/>
  <c r="X92" i="53" s="1"/>
  <c r="AL30" i="50"/>
  <c r="AX76" i="69"/>
  <c r="L93" i="57"/>
  <c r="AG93" i="57"/>
  <c r="O33" i="50"/>
  <c r="AJ92" i="57"/>
  <c r="AP92" i="57"/>
  <c r="AG92" i="53"/>
  <c r="AH92" i="53"/>
  <c r="AT92" i="53"/>
  <c r="N93" i="57"/>
  <c r="C93" i="53"/>
  <c r="N93" i="53"/>
  <c r="AH76" i="69"/>
  <c r="AJ31" i="50"/>
  <c r="C31" i="50"/>
  <c r="AD92" i="57"/>
  <c r="AD92" i="53"/>
  <c r="Q92" i="53"/>
  <c r="V31" i="50"/>
  <c r="S32" i="50"/>
  <c r="M93" i="53"/>
  <c r="G93" i="53"/>
  <c r="F93" i="53"/>
  <c r="P93" i="53"/>
  <c r="I93" i="53"/>
  <c r="J93" i="53"/>
  <c r="K93" i="53"/>
  <c r="H93" i="53"/>
  <c r="E93" i="53"/>
  <c r="AK92" i="52" a="1"/>
  <c r="AK92" i="52" s="1"/>
  <c r="B94" i="53" s="1"/>
  <c r="O94" i="53" s="1"/>
  <c r="L93" i="53"/>
  <c r="D93" i="53"/>
  <c r="M33" i="50"/>
  <c r="F33" i="50"/>
  <c r="A33" i="50"/>
  <c r="Q33" i="50" s="1"/>
  <c r="P33" i="50" s="1"/>
  <c r="B33" i="50"/>
  <c r="R33" i="50" s="1"/>
  <c r="L33" i="50"/>
  <c r="G33" i="50"/>
  <c r="H33" i="50"/>
  <c r="I33" i="50"/>
  <c r="K33" i="50"/>
  <c r="J33" i="50"/>
  <c r="N33" i="50"/>
  <c r="W31" i="50"/>
  <c r="X31" i="50" s="1"/>
  <c r="Z31" i="50"/>
  <c r="Q92" i="57"/>
  <c r="T92" i="57" s="1"/>
  <c r="P93" i="57"/>
  <c r="D93" i="57"/>
  <c r="C93" i="57"/>
  <c r="M93" i="57" s="1"/>
  <c r="K93" i="57"/>
  <c r="I93" i="57"/>
  <c r="H93" i="57"/>
  <c r="G93" i="57"/>
  <c r="E93" i="57"/>
  <c r="F93" i="57"/>
  <c r="J93" i="57"/>
  <c r="AK92" i="55" a="1"/>
  <c r="AK92" i="55" s="1"/>
  <c r="B94" i="57" s="1"/>
  <c r="O94" i="57" s="1"/>
  <c r="AN78" i="67" a="1"/>
  <c r="AN78" i="67" s="1"/>
  <c r="B79" i="69"/>
  <c r="D77" i="69"/>
  <c r="E77" i="69" s="1"/>
  <c r="F77" i="69" s="1"/>
  <c r="G77" i="69" s="1"/>
  <c r="H77" i="69" s="1"/>
  <c r="I77" i="69" s="1"/>
  <c r="J77" i="69" s="1"/>
  <c r="K77" i="69" s="1"/>
  <c r="M77" i="69" s="1"/>
  <c r="N77" i="69"/>
  <c r="AF77" i="69" s="1"/>
  <c r="C78" i="69"/>
  <c r="AE76" i="69"/>
  <c r="Q76" i="69"/>
  <c r="R76" i="69"/>
  <c r="S76" i="69" s="1"/>
  <c r="Y76" i="69" s="1"/>
  <c r="U76" i="69"/>
  <c r="AL23" i="11" a="1"/>
  <c r="AL23" i="11" s="1"/>
  <c r="E24" i="32" s="1"/>
  <c r="AL33" i="59" a="1"/>
  <c r="AL33" i="59" s="1"/>
  <c r="E34" i="50" s="1"/>
  <c r="AB76" i="69" l="1"/>
  <c r="AC76" i="69" s="1"/>
  <c r="AD76" i="69" s="1"/>
  <c r="AG76" i="69"/>
  <c r="L79" i="69"/>
  <c r="O79" i="69"/>
  <c r="AO78" i="69"/>
  <c r="P78" i="69"/>
  <c r="T34" i="50"/>
  <c r="AK34" i="50"/>
  <c r="AB92" i="53"/>
  <c r="AA92" i="53"/>
  <c r="AE93" i="53"/>
  <c r="AC93" i="53"/>
  <c r="AF92" i="53"/>
  <c r="T24" i="32"/>
  <c r="AK24" i="32"/>
  <c r="AB91" i="57"/>
  <c r="AF91" i="57"/>
  <c r="X92" i="57"/>
  <c r="AA92" i="57" s="1"/>
  <c r="AE93" i="57"/>
  <c r="AC93" i="57"/>
  <c r="AD32" i="50"/>
  <c r="AG32" i="50" s="1"/>
  <c r="AH32" i="50" s="1"/>
  <c r="AI32" i="50" s="1"/>
  <c r="AM33" i="50"/>
  <c r="U33" i="50"/>
  <c r="AP30" i="50"/>
  <c r="R93" i="57"/>
  <c r="R93" i="53"/>
  <c r="X93" i="53" s="1"/>
  <c r="AL31" i="50"/>
  <c r="AX77" i="69"/>
  <c r="AG94" i="57"/>
  <c r="L94" i="57"/>
  <c r="O34" i="50"/>
  <c r="AJ93" i="57"/>
  <c r="AP93" i="57"/>
  <c r="AH93" i="53"/>
  <c r="AT93" i="53"/>
  <c r="AG93" i="53"/>
  <c r="N94" i="57"/>
  <c r="N94" i="53"/>
  <c r="AH77" i="69"/>
  <c r="AJ32" i="50"/>
  <c r="C32" i="50"/>
  <c r="AD93" i="57"/>
  <c r="AD93" i="53"/>
  <c r="Q93" i="53"/>
  <c r="V32" i="50"/>
  <c r="S33" i="50"/>
  <c r="F94" i="53"/>
  <c r="K94" i="53"/>
  <c r="M94" i="53"/>
  <c r="P94" i="53"/>
  <c r="H94" i="53"/>
  <c r="J94" i="53"/>
  <c r="G94" i="53"/>
  <c r="C94" i="53"/>
  <c r="E94" i="53"/>
  <c r="AK93" i="52" a="1"/>
  <c r="AK93" i="52" s="1"/>
  <c r="B95" i="53" s="1"/>
  <c r="O95" i="53" s="1"/>
  <c r="I94" i="53"/>
  <c r="L94" i="53"/>
  <c r="D94" i="53"/>
  <c r="A34" i="50"/>
  <c r="Q34" i="50" s="1"/>
  <c r="P34" i="50" s="1"/>
  <c r="M34" i="50"/>
  <c r="J34" i="50"/>
  <c r="N34" i="50"/>
  <c r="H34" i="50"/>
  <c r="B34" i="50"/>
  <c r="R34" i="50" s="1"/>
  <c r="I34" i="50"/>
  <c r="F34" i="50"/>
  <c r="K34" i="50"/>
  <c r="L34" i="50"/>
  <c r="G34" i="50"/>
  <c r="Q93" i="57"/>
  <c r="T93" i="57" s="1"/>
  <c r="W32" i="50"/>
  <c r="X32" i="50" s="1"/>
  <c r="Z32" i="50"/>
  <c r="J94" i="57"/>
  <c r="G94" i="57"/>
  <c r="E94" i="57"/>
  <c r="D94" i="57"/>
  <c r="I94" i="57"/>
  <c r="C94" i="57"/>
  <c r="M94" i="57" s="1"/>
  <c r="K94" i="57"/>
  <c r="P94" i="57"/>
  <c r="F94" i="57"/>
  <c r="H94" i="57"/>
  <c r="AK93" i="55" a="1"/>
  <c r="AK93" i="55" s="1"/>
  <c r="B95" i="57" s="1"/>
  <c r="O95" i="57" s="1"/>
  <c r="C79" i="69"/>
  <c r="N78" i="69"/>
  <c r="AF78" i="69" s="1"/>
  <c r="D78" i="69"/>
  <c r="E78" i="69" s="1"/>
  <c r="F78" i="69" s="1"/>
  <c r="G78" i="69" s="1"/>
  <c r="H78" i="69" s="1"/>
  <c r="I78" i="69" s="1"/>
  <c r="J78" i="69" s="1"/>
  <c r="K78" i="69" s="1"/>
  <c r="M78" i="69" s="1"/>
  <c r="AE77" i="69"/>
  <c r="Q77" i="69"/>
  <c r="R77" i="69"/>
  <c r="S77" i="69" s="1"/>
  <c r="Y77" i="69" s="1"/>
  <c r="U77" i="69"/>
  <c r="AN79" i="67" a="1"/>
  <c r="AN79" i="67" s="1"/>
  <c r="B80" i="69"/>
  <c r="AL24" i="11" a="1"/>
  <c r="AL24" i="11" s="1"/>
  <c r="E25" i="32" s="1"/>
  <c r="AL34" i="59" a="1"/>
  <c r="AL34" i="59" s="1"/>
  <c r="E35" i="50" s="1"/>
  <c r="AB77" i="69" l="1"/>
  <c r="AC77" i="69" s="1"/>
  <c r="AD77" i="69" s="1"/>
  <c r="AG77" i="69"/>
  <c r="L80" i="69"/>
  <c r="O80" i="69"/>
  <c r="AO79" i="69"/>
  <c r="P79" i="69"/>
  <c r="T35" i="50"/>
  <c r="AK35" i="50"/>
  <c r="AB92" i="57"/>
  <c r="AB93" i="53"/>
  <c r="AA93" i="53"/>
  <c r="AE94" i="53"/>
  <c r="AC94" i="53"/>
  <c r="AF93" i="53"/>
  <c r="AK25" i="32"/>
  <c r="T25" i="32"/>
  <c r="AF92" i="57"/>
  <c r="X93" i="57"/>
  <c r="AE94" i="57"/>
  <c r="AC94" i="57"/>
  <c r="AD33" i="50"/>
  <c r="AG33" i="50" s="1"/>
  <c r="AH33" i="50" s="1"/>
  <c r="AI33" i="50" s="1"/>
  <c r="U34" i="50"/>
  <c r="AM34" i="50"/>
  <c r="AP31" i="50"/>
  <c r="R94" i="57"/>
  <c r="R94" i="53"/>
  <c r="X94" i="53" s="1"/>
  <c r="AL32" i="50"/>
  <c r="AX78" i="69"/>
  <c r="AG95" i="57"/>
  <c r="L95" i="57"/>
  <c r="O35" i="50"/>
  <c r="AJ94" i="57"/>
  <c r="AP94" i="57"/>
  <c r="AH94" i="53"/>
  <c r="AT94" i="53"/>
  <c r="AG94" i="53"/>
  <c r="N95" i="57"/>
  <c r="G95" i="53"/>
  <c r="N95" i="53"/>
  <c r="AH78" i="69"/>
  <c r="AJ33" i="50"/>
  <c r="C33" i="50"/>
  <c r="AD94" i="57"/>
  <c r="AD94" i="53"/>
  <c r="V33" i="50"/>
  <c r="S34" i="50"/>
  <c r="Q94" i="53"/>
  <c r="I95" i="53"/>
  <c r="L95" i="53"/>
  <c r="M95" i="53"/>
  <c r="F95" i="53"/>
  <c r="E95" i="53"/>
  <c r="AK94" i="52" a="1"/>
  <c r="AK94" i="52" s="1"/>
  <c r="B96" i="53" s="1"/>
  <c r="O96" i="53" s="1"/>
  <c r="H95" i="53"/>
  <c r="K95" i="53"/>
  <c r="J95" i="53"/>
  <c r="C95" i="53"/>
  <c r="D95" i="53"/>
  <c r="P95" i="53"/>
  <c r="F35" i="50"/>
  <c r="A35" i="50"/>
  <c r="Q35" i="50" s="1"/>
  <c r="P35" i="50" s="1"/>
  <c r="M35" i="50"/>
  <c r="K35" i="50"/>
  <c r="L35" i="50"/>
  <c r="J35" i="50"/>
  <c r="I35" i="50"/>
  <c r="H35" i="50"/>
  <c r="N35" i="50"/>
  <c r="B35" i="50"/>
  <c r="R35" i="50" s="1"/>
  <c r="G35" i="50"/>
  <c r="Z33" i="50"/>
  <c r="W33" i="50"/>
  <c r="X33" i="50" s="1"/>
  <c r="E95" i="57"/>
  <c r="C95" i="57"/>
  <c r="M95" i="57" s="1"/>
  <c r="K95" i="57"/>
  <c r="G95" i="57"/>
  <c r="H95" i="57"/>
  <c r="D95" i="57"/>
  <c r="P95" i="57"/>
  <c r="I95" i="57"/>
  <c r="F95" i="57"/>
  <c r="J95" i="57"/>
  <c r="Q94" i="57"/>
  <c r="T94" i="57" s="1"/>
  <c r="AK94" i="55" a="1"/>
  <c r="AK94" i="55" s="1"/>
  <c r="B96" i="57" s="1"/>
  <c r="O96" i="57" s="1"/>
  <c r="AN80" i="67" a="1"/>
  <c r="AN80" i="67" s="1"/>
  <c r="B81" i="69"/>
  <c r="D79" i="69"/>
  <c r="E79" i="69" s="1"/>
  <c r="F79" i="69" s="1"/>
  <c r="G79" i="69" s="1"/>
  <c r="H79" i="69" s="1"/>
  <c r="I79" i="69" s="1"/>
  <c r="J79" i="69" s="1"/>
  <c r="K79" i="69" s="1"/>
  <c r="M79" i="69" s="1"/>
  <c r="N79" i="69"/>
  <c r="AF79" i="69" s="1"/>
  <c r="C80" i="69"/>
  <c r="R78" i="69"/>
  <c r="S78" i="69" s="1"/>
  <c r="Y78" i="69" s="1"/>
  <c r="U78" i="69"/>
  <c r="AE78" i="69"/>
  <c r="Q78" i="69"/>
  <c r="AL25" i="11" a="1"/>
  <c r="AL25" i="11" s="1"/>
  <c r="E26" i="32" s="1"/>
  <c r="AL35" i="59" a="1"/>
  <c r="AL35" i="59" s="1"/>
  <c r="E36" i="50" s="1"/>
  <c r="AB93" i="57" l="1"/>
  <c r="AA93" i="57"/>
  <c r="AB78" i="69"/>
  <c r="AC78" i="69" s="1"/>
  <c r="AD78" i="69" s="1"/>
  <c r="AG78" i="69"/>
  <c r="AO80" i="69"/>
  <c r="P80" i="69"/>
  <c r="L81" i="69"/>
  <c r="O81" i="69"/>
  <c r="T36" i="50"/>
  <c r="AK36" i="50"/>
  <c r="X94" i="57"/>
  <c r="AA94" i="57" s="1"/>
  <c r="AB94" i="53"/>
  <c r="AA94" i="53"/>
  <c r="AF94" i="53"/>
  <c r="AE95" i="53"/>
  <c r="AC95" i="53"/>
  <c r="AK26" i="32"/>
  <c r="T26" i="32"/>
  <c r="AF93" i="57"/>
  <c r="AE95" i="57"/>
  <c r="AC95" i="57"/>
  <c r="AM35" i="50"/>
  <c r="U35" i="50"/>
  <c r="AD34" i="50"/>
  <c r="AG34" i="50" s="1"/>
  <c r="AH34" i="50" s="1"/>
  <c r="AI34" i="50" s="1"/>
  <c r="AP32" i="50"/>
  <c r="R95" i="57"/>
  <c r="R95" i="53"/>
  <c r="X95" i="53" s="1"/>
  <c r="AL33" i="50"/>
  <c r="AX79" i="69"/>
  <c r="AG96" i="57"/>
  <c r="L96" i="57"/>
  <c r="O36" i="50"/>
  <c r="AJ95" i="57"/>
  <c r="AP95" i="57"/>
  <c r="AG95" i="53"/>
  <c r="AH95" i="53"/>
  <c r="AT95" i="53"/>
  <c r="N96" i="57"/>
  <c r="N96" i="53"/>
  <c r="AH79" i="69"/>
  <c r="AJ34" i="50"/>
  <c r="C34" i="50"/>
  <c r="AD95" i="57"/>
  <c r="AD95" i="53"/>
  <c r="V34" i="50"/>
  <c r="S35" i="50"/>
  <c r="J96" i="53"/>
  <c r="F96" i="53"/>
  <c r="M96" i="53"/>
  <c r="H96" i="53"/>
  <c r="I96" i="53"/>
  <c r="P96" i="53"/>
  <c r="G96" i="53"/>
  <c r="E96" i="53"/>
  <c r="K96" i="53"/>
  <c r="Q95" i="53"/>
  <c r="AK95" i="52" a="1"/>
  <c r="AK95" i="52" s="1"/>
  <c r="B97" i="53" s="1"/>
  <c r="O97" i="53" s="1"/>
  <c r="L96" i="53"/>
  <c r="D96" i="53"/>
  <c r="C96" i="53"/>
  <c r="F36" i="50"/>
  <c r="H36" i="50"/>
  <c r="M36" i="50"/>
  <c r="N36" i="50"/>
  <c r="G36" i="50"/>
  <c r="L36" i="50"/>
  <c r="K36" i="50"/>
  <c r="I36" i="50"/>
  <c r="J36" i="50"/>
  <c r="B36" i="50"/>
  <c r="R36" i="50" s="1"/>
  <c r="A36" i="50"/>
  <c r="Q36" i="50" s="1"/>
  <c r="P36" i="50" s="1"/>
  <c r="Z34" i="50"/>
  <c r="W34" i="50"/>
  <c r="X34" i="50" s="1"/>
  <c r="Q95" i="57"/>
  <c r="T95" i="57" s="1"/>
  <c r="F96" i="57"/>
  <c r="E96" i="57"/>
  <c r="C96" i="57"/>
  <c r="M96" i="57" s="1"/>
  <c r="I96" i="57"/>
  <c r="J96" i="57"/>
  <c r="K96" i="57"/>
  <c r="P96" i="57"/>
  <c r="H96" i="57"/>
  <c r="D96" i="57"/>
  <c r="G96" i="57"/>
  <c r="AK95" i="55" a="1"/>
  <c r="AK95" i="55" s="1"/>
  <c r="B97" i="57" s="1"/>
  <c r="O97" i="57" s="1"/>
  <c r="AN81" i="67" a="1"/>
  <c r="AN81" i="67" s="1"/>
  <c r="B82" i="69"/>
  <c r="C81" i="69"/>
  <c r="D80" i="69"/>
  <c r="E80" i="69" s="1"/>
  <c r="F80" i="69" s="1"/>
  <c r="G80" i="69" s="1"/>
  <c r="H80" i="69" s="1"/>
  <c r="I80" i="69" s="1"/>
  <c r="J80" i="69" s="1"/>
  <c r="K80" i="69" s="1"/>
  <c r="M80" i="69" s="1"/>
  <c r="N80" i="69"/>
  <c r="AF80" i="69" s="1"/>
  <c r="AE79" i="69"/>
  <c r="Q79" i="69"/>
  <c r="R79" i="69"/>
  <c r="S79" i="69" s="1"/>
  <c r="Y79" i="69" s="1"/>
  <c r="AB79" i="69" s="1"/>
  <c r="AC79" i="69" s="1"/>
  <c r="AD79" i="69" s="1"/>
  <c r="U79" i="69"/>
  <c r="AL26" i="11" a="1"/>
  <c r="AL26" i="11" s="1"/>
  <c r="E27" i="32" s="1"/>
  <c r="AL36" i="59" a="1"/>
  <c r="AL36" i="59" s="1"/>
  <c r="E37" i="50" s="1"/>
  <c r="L82" i="69" l="1"/>
  <c r="O82" i="69"/>
  <c r="AO81" i="69"/>
  <c r="P81" i="69"/>
  <c r="AG79" i="69"/>
  <c r="T37" i="50"/>
  <c r="AK37" i="50"/>
  <c r="AF94" i="57"/>
  <c r="AB94" i="57"/>
  <c r="AB95" i="53"/>
  <c r="AA95" i="53"/>
  <c r="AF95" i="53"/>
  <c r="AE96" i="53"/>
  <c r="AC96" i="53"/>
  <c r="AK27" i="32"/>
  <c r="T27" i="32"/>
  <c r="X95" i="57"/>
  <c r="AE96" i="57"/>
  <c r="AC96" i="57"/>
  <c r="AM36" i="50"/>
  <c r="U36" i="50"/>
  <c r="AD35" i="50"/>
  <c r="AG35" i="50" s="1"/>
  <c r="AH35" i="50" s="1"/>
  <c r="AI35" i="50" s="1"/>
  <c r="AP33" i="50"/>
  <c r="R96" i="57"/>
  <c r="R96" i="53"/>
  <c r="X96" i="53" s="1"/>
  <c r="AL34" i="50"/>
  <c r="AX80" i="69"/>
  <c r="AG97" i="57"/>
  <c r="L97" i="57"/>
  <c r="O37" i="50"/>
  <c r="AJ96" i="57"/>
  <c r="AP96" i="57"/>
  <c r="AG96" i="53"/>
  <c r="AH96" i="53"/>
  <c r="AT96" i="53"/>
  <c r="N97" i="57"/>
  <c r="J97" i="53"/>
  <c r="N97" i="53"/>
  <c r="AH80" i="69"/>
  <c r="AJ35" i="50"/>
  <c r="C35" i="50"/>
  <c r="AD96" i="57"/>
  <c r="AD96" i="53"/>
  <c r="Q96" i="53"/>
  <c r="S36" i="50"/>
  <c r="V35" i="50"/>
  <c r="C97" i="53"/>
  <c r="M97" i="53"/>
  <c r="E97" i="53"/>
  <c r="P97" i="53"/>
  <c r="G97" i="53"/>
  <c r="K97" i="53"/>
  <c r="F97" i="53"/>
  <c r="L97" i="53"/>
  <c r="H97" i="53"/>
  <c r="AK96" i="52" a="1"/>
  <c r="AK96" i="52" s="1"/>
  <c r="B98" i="53" s="1"/>
  <c r="O98" i="53" s="1"/>
  <c r="I97" i="53"/>
  <c r="D97" i="53"/>
  <c r="B37" i="50"/>
  <c r="R37" i="50" s="1"/>
  <c r="K37" i="50"/>
  <c r="M37" i="50"/>
  <c r="I37" i="50"/>
  <c r="A37" i="50"/>
  <c r="Q37" i="50" s="1"/>
  <c r="P37" i="50" s="1"/>
  <c r="H37" i="50"/>
  <c r="G37" i="50"/>
  <c r="F37" i="50"/>
  <c r="N37" i="50"/>
  <c r="J37" i="50"/>
  <c r="L37" i="50"/>
  <c r="Q96" i="57"/>
  <c r="T96" i="57" s="1"/>
  <c r="Z35" i="50"/>
  <c r="W35" i="50"/>
  <c r="X35" i="50" s="1"/>
  <c r="H97" i="57"/>
  <c r="G97" i="57"/>
  <c r="E97" i="57"/>
  <c r="P97" i="57"/>
  <c r="D97" i="57"/>
  <c r="C97" i="57"/>
  <c r="M97" i="57" s="1"/>
  <c r="I97" i="57"/>
  <c r="K97" i="57"/>
  <c r="F97" i="57"/>
  <c r="J97" i="57"/>
  <c r="AK96" i="55" a="1"/>
  <c r="AK96" i="55" s="1"/>
  <c r="B98" i="57" s="1"/>
  <c r="O98" i="57" s="1"/>
  <c r="AE80" i="69"/>
  <c r="R80" i="69"/>
  <c r="S80" i="69" s="1"/>
  <c r="Y80" i="69" s="1"/>
  <c r="AB80" i="69" s="1"/>
  <c r="AC80" i="69" s="1"/>
  <c r="AD80" i="69" s="1"/>
  <c r="U80" i="69"/>
  <c r="Q80" i="69"/>
  <c r="D81" i="69"/>
  <c r="E81" i="69" s="1"/>
  <c r="F81" i="69" s="1"/>
  <c r="G81" i="69" s="1"/>
  <c r="H81" i="69" s="1"/>
  <c r="I81" i="69" s="1"/>
  <c r="J81" i="69" s="1"/>
  <c r="K81" i="69" s="1"/>
  <c r="M81" i="69" s="1"/>
  <c r="N81" i="69"/>
  <c r="AF81" i="69" s="1"/>
  <c r="C82" i="69"/>
  <c r="AN82" i="67" a="1"/>
  <c r="AN82" i="67" s="1"/>
  <c r="B83" i="69"/>
  <c r="AL27" i="11" a="1"/>
  <c r="AL27" i="11" s="1"/>
  <c r="E28" i="32" s="1"/>
  <c r="AL37" i="59" a="1"/>
  <c r="AL37" i="59" s="1"/>
  <c r="E38" i="50" s="1"/>
  <c r="X96" i="57" l="1"/>
  <c r="AA96" i="57" s="1"/>
  <c r="AB95" i="57"/>
  <c r="AA95" i="57"/>
  <c r="L83" i="69"/>
  <c r="O83" i="69"/>
  <c r="AO82" i="69"/>
  <c r="P82" i="69"/>
  <c r="AG80" i="69"/>
  <c r="T38" i="50"/>
  <c r="AK38" i="50"/>
  <c r="AB96" i="53"/>
  <c r="AA96" i="53"/>
  <c r="AE97" i="53"/>
  <c r="AC97" i="53"/>
  <c r="AF96" i="53"/>
  <c r="T28" i="32"/>
  <c r="AK28" i="32"/>
  <c r="AF95" i="57"/>
  <c r="AE97" i="57"/>
  <c r="AC97" i="57"/>
  <c r="AF96" i="57"/>
  <c r="AM37" i="50"/>
  <c r="U37" i="50"/>
  <c r="AD36" i="50"/>
  <c r="AG36" i="50" s="1"/>
  <c r="AH36" i="50" s="1"/>
  <c r="AI36" i="50" s="1"/>
  <c r="AP34" i="50"/>
  <c r="R97" i="57"/>
  <c r="R97" i="53"/>
  <c r="X97" i="53" s="1"/>
  <c r="AL35" i="50"/>
  <c r="AX81" i="69"/>
  <c r="AG98" i="57"/>
  <c r="L98" i="57"/>
  <c r="O38" i="50"/>
  <c r="AJ97" i="57"/>
  <c r="AP97" i="57"/>
  <c r="AG97" i="53"/>
  <c r="AH97" i="53"/>
  <c r="AT97" i="53"/>
  <c r="N98" i="57"/>
  <c r="G98" i="53"/>
  <c r="N98" i="53"/>
  <c r="AH81" i="69"/>
  <c r="AJ36" i="50"/>
  <c r="C36" i="50"/>
  <c r="AD97" i="57"/>
  <c r="AD97" i="53"/>
  <c r="S37" i="50"/>
  <c r="V36" i="50"/>
  <c r="Q97" i="53"/>
  <c r="J98" i="53"/>
  <c r="M98" i="53"/>
  <c r="E98" i="53"/>
  <c r="I98" i="53"/>
  <c r="AK97" i="52" a="1"/>
  <c r="AK97" i="52" s="1"/>
  <c r="B99" i="53" s="1"/>
  <c r="O99" i="53" s="1"/>
  <c r="K98" i="53"/>
  <c r="P98" i="53"/>
  <c r="F98" i="53"/>
  <c r="L98" i="53"/>
  <c r="H98" i="53"/>
  <c r="C98" i="53"/>
  <c r="D98" i="53"/>
  <c r="G38" i="50"/>
  <c r="F38" i="50"/>
  <c r="M38" i="50"/>
  <c r="L38" i="50"/>
  <c r="K38" i="50"/>
  <c r="H38" i="50"/>
  <c r="B38" i="50"/>
  <c r="R38" i="50" s="1"/>
  <c r="N38" i="50"/>
  <c r="A38" i="50"/>
  <c r="Q38" i="50" s="1"/>
  <c r="P38" i="50" s="1"/>
  <c r="J38" i="50"/>
  <c r="I38" i="50"/>
  <c r="Q97" i="57"/>
  <c r="T97" i="57" s="1"/>
  <c r="J98" i="57"/>
  <c r="E98" i="57"/>
  <c r="H98" i="57"/>
  <c r="G98" i="57"/>
  <c r="D98" i="57"/>
  <c r="K98" i="57"/>
  <c r="F98" i="57"/>
  <c r="I98" i="57"/>
  <c r="C98" i="57"/>
  <c r="M98" i="57" s="1"/>
  <c r="P98" i="57"/>
  <c r="W36" i="50"/>
  <c r="X36" i="50" s="1"/>
  <c r="Z36" i="50"/>
  <c r="AK97" i="55" a="1"/>
  <c r="AK97" i="55" s="1"/>
  <c r="B99" i="57" s="1"/>
  <c r="O99" i="57" s="1"/>
  <c r="D82" i="69"/>
  <c r="E82" i="69" s="1"/>
  <c r="F82" i="69" s="1"/>
  <c r="G82" i="69" s="1"/>
  <c r="H82" i="69" s="1"/>
  <c r="I82" i="69" s="1"/>
  <c r="J82" i="69" s="1"/>
  <c r="K82" i="69" s="1"/>
  <c r="M82" i="69" s="1"/>
  <c r="N82" i="69"/>
  <c r="AF82" i="69" s="1"/>
  <c r="U81" i="69"/>
  <c r="Q81" i="69"/>
  <c r="R81" i="69"/>
  <c r="S81" i="69" s="1"/>
  <c r="Y81" i="69" s="1"/>
  <c r="AE81" i="69"/>
  <c r="C83" i="69"/>
  <c r="AN83" i="67" a="1"/>
  <c r="AN83" i="67" s="1"/>
  <c r="B84" i="69"/>
  <c r="AL28" i="11" a="1"/>
  <c r="AL28" i="11" s="1"/>
  <c r="E29" i="32" s="1"/>
  <c r="AL38" i="59" a="1"/>
  <c r="AL38" i="59" s="1"/>
  <c r="E39" i="50" s="1"/>
  <c r="AB96" i="57" l="1"/>
  <c r="X97" i="57"/>
  <c r="AA97" i="57" s="1"/>
  <c r="AB81" i="69"/>
  <c r="AC81" i="69" s="1"/>
  <c r="AD81" i="69" s="1"/>
  <c r="AG81" i="69"/>
  <c r="AO83" i="69"/>
  <c r="P83" i="69"/>
  <c r="L84" i="69"/>
  <c r="O84" i="69"/>
  <c r="AK39" i="50"/>
  <c r="T39" i="50"/>
  <c r="AF97" i="53"/>
  <c r="AB97" i="53"/>
  <c r="AA97" i="53"/>
  <c r="AE98" i="53"/>
  <c r="AC98" i="53"/>
  <c r="AK29" i="32"/>
  <c r="T29" i="32"/>
  <c r="AE98" i="57"/>
  <c r="AC98" i="57"/>
  <c r="AD37" i="50"/>
  <c r="AG37" i="50" s="1"/>
  <c r="AH37" i="50" s="1"/>
  <c r="AI37" i="50" s="1"/>
  <c r="AM38" i="50"/>
  <c r="U38" i="50"/>
  <c r="AP35" i="50"/>
  <c r="R98" i="57"/>
  <c r="R98" i="53"/>
  <c r="X98" i="53" s="1"/>
  <c r="AL36" i="50"/>
  <c r="AX82" i="69"/>
  <c r="AG99" i="57"/>
  <c r="L99" i="57"/>
  <c r="O39" i="50"/>
  <c r="AJ98" i="57"/>
  <c r="AP98" i="57"/>
  <c r="AH98" i="53"/>
  <c r="AT98" i="53"/>
  <c r="AG98" i="53"/>
  <c r="N99" i="57"/>
  <c r="L99" i="53"/>
  <c r="N99" i="53"/>
  <c r="AH82" i="69"/>
  <c r="AJ37" i="50"/>
  <c r="C37" i="50"/>
  <c r="AD98" i="57"/>
  <c r="Q98" i="53"/>
  <c r="AD98" i="53"/>
  <c r="S38" i="50"/>
  <c r="V37" i="50"/>
  <c r="G99" i="53"/>
  <c r="C99" i="53"/>
  <c r="P99" i="53"/>
  <c r="I99" i="53"/>
  <c r="D99" i="53"/>
  <c r="J99" i="53"/>
  <c r="F99" i="53"/>
  <c r="H99" i="53"/>
  <c r="AK98" i="52" a="1"/>
  <c r="AK98" i="52" s="1"/>
  <c r="B100" i="53" s="1"/>
  <c r="O100" i="53" s="1"/>
  <c r="K99" i="53"/>
  <c r="E99" i="53"/>
  <c r="M99" i="53"/>
  <c r="J39" i="50"/>
  <c r="M39" i="50"/>
  <c r="F39" i="50"/>
  <c r="N39" i="50"/>
  <c r="G39" i="50"/>
  <c r="K39" i="50"/>
  <c r="I39" i="50"/>
  <c r="A39" i="50"/>
  <c r="Q39" i="50" s="1"/>
  <c r="P39" i="50" s="1"/>
  <c r="L39" i="50"/>
  <c r="H39" i="50"/>
  <c r="B39" i="50"/>
  <c r="R39" i="50" s="1"/>
  <c r="Z37" i="50"/>
  <c r="W37" i="50"/>
  <c r="X37" i="50" s="1"/>
  <c r="E99" i="57"/>
  <c r="P99" i="57"/>
  <c r="D99" i="57"/>
  <c r="C99" i="57"/>
  <c r="M99" i="57" s="1"/>
  <c r="K99" i="57"/>
  <c r="G99" i="57"/>
  <c r="I99" i="57"/>
  <c r="H99" i="57"/>
  <c r="F99" i="57"/>
  <c r="J99" i="57"/>
  <c r="Q98" i="57"/>
  <c r="T98" i="57" s="1"/>
  <c r="AK98" i="55" a="1"/>
  <c r="AK98" i="55" s="1"/>
  <c r="B100" i="57" s="1"/>
  <c r="O100" i="57" s="1"/>
  <c r="AN84" i="67" a="1"/>
  <c r="AN84" i="67" s="1"/>
  <c r="B85" i="69"/>
  <c r="AE82" i="69"/>
  <c r="Q82" i="69"/>
  <c r="R82" i="69"/>
  <c r="S82" i="69" s="1"/>
  <c r="Y82" i="69" s="1"/>
  <c r="U82" i="69"/>
  <c r="C84" i="69"/>
  <c r="D83" i="69"/>
  <c r="E83" i="69" s="1"/>
  <c r="F83" i="69" s="1"/>
  <c r="G83" i="69" s="1"/>
  <c r="H83" i="69" s="1"/>
  <c r="I83" i="69" s="1"/>
  <c r="J83" i="69" s="1"/>
  <c r="K83" i="69" s="1"/>
  <c r="M83" i="69" s="1"/>
  <c r="N83" i="69"/>
  <c r="AF83" i="69" s="1"/>
  <c r="AL29" i="11" a="1"/>
  <c r="AL29" i="11" s="1"/>
  <c r="E30" i="32" s="1"/>
  <c r="AL39" i="59" a="1"/>
  <c r="AL39" i="59" s="1"/>
  <c r="E40" i="50" s="1"/>
  <c r="AB97" i="57" l="1"/>
  <c r="AF97" i="57"/>
  <c r="AB82" i="69"/>
  <c r="AC82" i="69" s="1"/>
  <c r="AD82" i="69" s="1"/>
  <c r="AG82" i="69"/>
  <c r="L85" i="69"/>
  <c r="O85" i="69"/>
  <c r="AO84" i="69"/>
  <c r="P84" i="69"/>
  <c r="AK40" i="50"/>
  <c r="T40" i="50"/>
  <c r="X98" i="57"/>
  <c r="AA98" i="57" s="1"/>
  <c r="AE99" i="53"/>
  <c r="AC99" i="53"/>
  <c r="AF98" i="53"/>
  <c r="AB98" i="53"/>
  <c r="AA98" i="53"/>
  <c r="AK30" i="32"/>
  <c r="T30" i="32"/>
  <c r="AE99" i="57"/>
  <c r="AC99" i="57"/>
  <c r="AD38" i="50"/>
  <c r="AG38" i="50" s="1"/>
  <c r="AH38" i="50" s="1"/>
  <c r="AI38" i="50" s="1"/>
  <c r="AM39" i="50"/>
  <c r="U39" i="50"/>
  <c r="AP36" i="50"/>
  <c r="R99" i="57"/>
  <c r="R99" i="53"/>
  <c r="X99" i="53" s="1"/>
  <c r="AL37" i="50"/>
  <c r="AX83" i="69"/>
  <c r="AG100" i="57"/>
  <c r="L100" i="57"/>
  <c r="O40" i="50"/>
  <c r="AJ99" i="57"/>
  <c r="AP99" i="57"/>
  <c r="AH99" i="53"/>
  <c r="AT99" i="53"/>
  <c r="AG99" i="53"/>
  <c r="N100" i="57"/>
  <c r="K100" i="53"/>
  <c r="N100" i="53"/>
  <c r="AH83" i="69"/>
  <c r="AJ38" i="50"/>
  <c r="C38" i="50"/>
  <c r="AD99" i="57"/>
  <c r="Q99" i="53"/>
  <c r="AD99" i="53"/>
  <c r="V38" i="50"/>
  <c r="S39" i="50"/>
  <c r="L100" i="53"/>
  <c r="D100" i="53"/>
  <c r="G100" i="53"/>
  <c r="P100" i="53"/>
  <c r="F100" i="53"/>
  <c r="E100" i="53"/>
  <c r="M100" i="53"/>
  <c r="J100" i="53"/>
  <c r="C100" i="53"/>
  <c r="I100" i="53"/>
  <c r="AK99" i="52" a="1"/>
  <c r="AK99" i="52" s="1"/>
  <c r="B101" i="53" s="1"/>
  <c r="O101" i="53" s="1"/>
  <c r="H100" i="53"/>
  <c r="N40" i="50"/>
  <c r="I40" i="50"/>
  <c r="J40" i="50"/>
  <c r="G40" i="50"/>
  <c r="B40" i="50"/>
  <c r="R40" i="50" s="1"/>
  <c r="A40" i="50"/>
  <c r="Q40" i="50" s="1"/>
  <c r="P40" i="50" s="1"/>
  <c r="H40" i="50"/>
  <c r="M40" i="50"/>
  <c r="K40" i="50"/>
  <c r="F40" i="50"/>
  <c r="L40" i="50"/>
  <c r="I100" i="57"/>
  <c r="F100" i="57"/>
  <c r="C100" i="57"/>
  <c r="M100" i="57" s="1"/>
  <c r="K100" i="57"/>
  <c r="P100" i="57"/>
  <c r="H100" i="57"/>
  <c r="D100" i="57"/>
  <c r="G100" i="57"/>
  <c r="E100" i="57"/>
  <c r="J100" i="57"/>
  <c r="Q99" i="57"/>
  <c r="T99" i="57" s="1"/>
  <c r="Z38" i="50"/>
  <c r="W38" i="50"/>
  <c r="X38" i="50" s="1"/>
  <c r="AK99" i="55" a="1"/>
  <c r="AK99" i="55" s="1"/>
  <c r="B101" i="57" s="1"/>
  <c r="O101" i="57" s="1"/>
  <c r="Q83" i="69"/>
  <c r="R83" i="69"/>
  <c r="S83" i="69" s="1"/>
  <c r="Y83" i="69" s="1"/>
  <c r="AB83" i="69" s="1"/>
  <c r="AC83" i="69" s="1"/>
  <c r="AD83" i="69" s="1"/>
  <c r="U83" i="69"/>
  <c r="AE83" i="69"/>
  <c r="D84" i="69"/>
  <c r="E84" i="69" s="1"/>
  <c r="F84" i="69" s="1"/>
  <c r="G84" i="69" s="1"/>
  <c r="H84" i="69" s="1"/>
  <c r="I84" i="69" s="1"/>
  <c r="J84" i="69" s="1"/>
  <c r="K84" i="69" s="1"/>
  <c r="M84" i="69" s="1"/>
  <c r="N84" i="69"/>
  <c r="AF84" i="69" s="1"/>
  <c r="C85" i="69"/>
  <c r="AN85" i="67" a="1"/>
  <c r="AN85" i="67" s="1"/>
  <c r="B86" i="69"/>
  <c r="AL30" i="11" a="1"/>
  <c r="AL30" i="11" s="1"/>
  <c r="E31" i="32" s="1"/>
  <c r="AL40" i="59" a="1"/>
  <c r="AL40" i="59" s="1"/>
  <c r="E41" i="50" s="1"/>
  <c r="L86" i="69" l="1"/>
  <c r="O86" i="69"/>
  <c r="AG83" i="69"/>
  <c r="AO85" i="69"/>
  <c r="P85" i="69"/>
  <c r="T41" i="50"/>
  <c r="AK41" i="50"/>
  <c r="AF98" i="57"/>
  <c r="AB98" i="57"/>
  <c r="AB99" i="53"/>
  <c r="AA99" i="53"/>
  <c r="AE100" i="53"/>
  <c r="AC100" i="53"/>
  <c r="AF99" i="53"/>
  <c r="AK31" i="32"/>
  <c r="T31" i="32"/>
  <c r="X99" i="57"/>
  <c r="AA99" i="57" s="1"/>
  <c r="AC100" i="57"/>
  <c r="AE100" i="57"/>
  <c r="AD39" i="50"/>
  <c r="AG39" i="50" s="1"/>
  <c r="AH39" i="50" s="1"/>
  <c r="AI39" i="50" s="1"/>
  <c r="AM40" i="50"/>
  <c r="U40" i="50"/>
  <c r="AP37" i="50"/>
  <c r="R100" i="57"/>
  <c r="R100" i="53"/>
  <c r="X100" i="53" s="1"/>
  <c r="AL38" i="50"/>
  <c r="AX84" i="69"/>
  <c r="L101" i="57"/>
  <c r="AG101" i="57"/>
  <c r="O41" i="50"/>
  <c r="AJ100" i="57"/>
  <c r="AP100" i="57"/>
  <c r="AH100" i="53"/>
  <c r="AT100" i="53"/>
  <c r="AG100" i="53"/>
  <c r="N101" i="57"/>
  <c r="N101" i="53"/>
  <c r="AH84" i="69"/>
  <c r="AJ39" i="50"/>
  <c r="C39" i="50"/>
  <c r="AD100" i="57"/>
  <c r="AD100" i="53"/>
  <c r="S40" i="50"/>
  <c r="V39" i="50"/>
  <c r="Q100" i="53"/>
  <c r="K101" i="53"/>
  <c r="L101" i="53"/>
  <c r="M101" i="53"/>
  <c r="C101" i="53"/>
  <c r="P101" i="53"/>
  <c r="AK100" i="52" a="1"/>
  <c r="AK100" i="52" s="1"/>
  <c r="B102" i="53" s="1"/>
  <c r="O102" i="53" s="1"/>
  <c r="I101" i="53"/>
  <c r="F101" i="53"/>
  <c r="E101" i="53"/>
  <c r="D101" i="53"/>
  <c r="J101" i="53"/>
  <c r="G101" i="53"/>
  <c r="H101" i="53"/>
  <c r="M41" i="50"/>
  <c r="K41" i="50"/>
  <c r="H41" i="50"/>
  <c r="N41" i="50"/>
  <c r="I41" i="50"/>
  <c r="A41" i="50"/>
  <c r="Q41" i="50" s="1"/>
  <c r="P41" i="50" s="1"/>
  <c r="B41" i="50"/>
  <c r="R41" i="50" s="1"/>
  <c r="L41" i="50"/>
  <c r="G41" i="50"/>
  <c r="J41" i="50"/>
  <c r="F41" i="50"/>
  <c r="Q100" i="57"/>
  <c r="T100" i="57" s="1"/>
  <c r="K101" i="57"/>
  <c r="I101" i="57"/>
  <c r="H101" i="57"/>
  <c r="G101" i="57"/>
  <c r="E101" i="57"/>
  <c r="P101" i="57"/>
  <c r="D101" i="57"/>
  <c r="C101" i="57"/>
  <c r="M101" i="57" s="1"/>
  <c r="F101" i="57"/>
  <c r="J101" i="57"/>
  <c r="Z39" i="50"/>
  <c r="W39" i="50"/>
  <c r="X39" i="50" s="1"/>
  <c r="AK100" i="55" a="1"/>
  <c r="AK100" i="55" s="1"/>
  <c r="B102" i="57" s="1"/>
  <c r="O102" i="57" s="1"/>
  <c r="AN86" i="67" a="1"/>
  <c r="AN86" i="67" s="1"/>
  <c r="B87" i="69"/>
  <c r="N85" i="69"/>
  <c r="AF85" i="69" s="1"/>
  <c r="D85" i="69"/>
  <c r="E85" i="69" s="1"/>
  <c r="F85" i="69" s="1"/>
  <c r="G85" i="69" s="1"/>
  <c r="H85" i="69" s="1"/>
  <c r="I85" i="69" s="1"/>
  <c r="J85" i="69" s="1"/>
  <c r="K85" i="69" s="1"/>
  <c r="M85" i="69" s="1"/>
  <c r="C86" i="69"/>
  <c r="AE84" i="69"/>
  <c r="Q84" i="69"/>
  <c r="U84" i="69"/>
  <c r="R84" i="69"/>
  <c r="S84" i="69" s="1"/>
  <c r="Y84" i="69" s="1"/>
  <c r="AL31" i="11" a="1"/>
  <c r="AL31" i="11" s="1"/>
  <c r="E32" i="32" s="1"/>
  <c r="AL41" i="59" a="1"/>
  <c r="AL41" i="59" s="1"/>
  <c r="E42" i="50" s="1"/>
  <c r="AB84" i="69" l="1"/>
  <c r="AC84" i="69" s="1"/>
  <c r="AD84" i="69" s="1"/>
  <c r="AG84" i="69"/>
  <c r="L87" i="69"/>
  <c r="O87" i="69"/>
  <c r="AO86" i="69"/>
  <c r="P86" i="69"/>
  <c r="T42" i="50"/>
  <c r="AK42" i="50"/>
  <c r="AC101" i="53"/>
  <c r="AE101" i="53"/>
  <c r="AF100" i="53"/>
  <c r="AB100" i="53"/>
  <c r="AA100" i="53"/>
  <c r="AK32" i="32"/>
  <c r="T32" i="32"/>
  <c r="X100" i="57"/>
  <c r="AF99" i="57"/>
  <c r="AB99" i="57"/>
  <c r="AE101" i="57"/>
  <c r="AC101" i="57"/>
  <c r="AD40" i="50"/>
  <c r="AG40" i="50" s="1"/>
  <c r="AH40" i="50" s="1"/>
  <c r="AI40" i="50" s="1"/>
  <c r="AM41" i="50"/>
  <c r="U41" i="50"/>
  <c r="AP38" i="50"/>
  <c r="R101" i="57"/>
  <c r="R101" i="53"/>
  <c r="X101" i="53" s="1"/>
  <c r="AL39" i="50"/>
  <c r="AX85" i="69"/>
  <c r="AG102" i="57"/>
  <c r="L102" i="57"/>
  <c r="O42" i="50"/>
  <c r="AJ101" i="57"/>
  <c r="AP101" i="57"/>
  <c r="AH101" i="53"/>
  <c r="AT101" i="53"/>
  <c r="AG101" i="53"/>
  <c r="N102" i="57"/>
  <c r="N102" i="53"/>
  <c r="AH85" i="69"/>
  <c r="AJ40" i="50"/>
  <c r="C40" i="50"/>
  <c r="AD101" i="57"/>
  <c r="AD101" i="53"/>
  <c r="S41" i="50"/>
  <c r="V40" i="50"/>
  <c r="Q101" i="53"/>
  <c r="G102" i="53"/>
  <c r="I102" i="53"/>
  <c r="C102" i="53"/>
  <c r="H102" i="53"/>
  <c r="M102" i="53"/>
  <c r="J102" i="53"/>
  <c r="E102" i="53"/>
  <c r="K102" i="53"/>
  <c r="D102" i="53"/>
  <c r="AK101" i="52" a="1"/>
  <c r="AK101" i="52" s="1"/>
  <c r="B103" i="53" s="1"/>
  <c r="O103" i="53" s="1"/>
  <c r="F102" i="53"/>
  <c r="P102" i="53"/>
  <c r="L102" i="53"/>
  <c r="A42" i="50"/>
  <c r="Q42" i="50" s="1"/>
  <c r="P42" i="50" s="1"/>
  <c r="M42" i="50"/>
  <c r="B42" i="50"/>
  <c r="R42" i="50" s="1"/>
  <c r="L42" i="50"/>
  <c r="K42" i="50"/>
  <c r="I42" i="50"/>
  <c r="F42" i="50"/>
  <c r="H42" i="50"/>
  <c r="N42" i="50"/>
  <c r="J42" i="50"/>
  <c r="G42" i="50"/>
  <c r="Z40" i="50"/>
  <c r="W40" i="50"/>
  <c r="X40" i="50" s="1"/>
  <c r="Q101" i="57"/>
  <c r="T101" i="57" s="1"/>
  <c r="I102" i="57"/>
  <c r="C102" i="57"/>
  <c r="M102" i="57" s="1"/>
  <c r="E102" i="57"/>
  <c r="K102" i="57"/>
  <c r="G102" i="57"/>
  <c r="P102" i="57"/>
  <c r="F102" i="57"/>
  <c r="H102" i="57"/>
  <c r="J102" i="57"/>
  <c r="D102" i="57"/>
  <c r="AK101" i="55" a="1"/>
  <c r="AK101" i="55" s="1"/>
  <c r="B103" i="57" s="1"/>
  <c r="O103" i="57" s="1"/>
  <c r="AN87" i="67" a="1"/>
  <c r="AN87" i="67" s="1"/>
  <c r="B88" i="69"/>
  <c r="D86" i="69"/>
  <c r="E86" i="69" s="1"/>
  <c r="F86" i="69" s="1"/>
  <c r="G86" i="69" s="1"/>
  <c r="H86" i="69" s="1"/>
  <c r="I86" i="69" s="1"/>
  <c r="J86" i="69" s="1"/>
  <c r="K86" i="69" s="1"/>
  <c r="M86" i="69" s="1"/>
  <c r="N86" i="69"/>
  <c r="AF86" i="69" s="1"/>
  <c r="AE85" i="69"/>
  <c r="R85" i="69"/>
  <c r="S85" i="69" s="1"/>
  <c r="Y85" i="69" s="1"/>
  <c r="U85" i="69"/>
  <c r="Q85" i="69"/>
  <c r="C87" i="69"/>
  <c r="AL32" i="11" a="1"/>
  <c r="AL32" i="11" s="1"/>
  <c r="E33" i="32" s="1"/>
  <c r="AL42" i="59" a="1"/>
  <c r="AL42" i="59" s="1"/>
  <c r="E43" i="50" s="1"/>
  <c r="AB100" i="57" l="1"/>
  <c r="AA100" i="57"/>
  <c r="AB85" i="69"/>
  <c r="AC85" i="69" s="1"/>
  <c r="AD85" i="69" s="1"/>
  <c r="AG85" i="69"/>
  <c r="L88" i="69"/>
  <c r="O88" i="69"/>
  <c r="AO87" i="69"/>
  <c r="P87" i="69"/>
  <c r="T43" i="50"/>
  <c r="AK43" i="50"/>
  <c r="AF100" i="57"/>
  <c r="AB101" i="53"/>
  <c r="AA101" i="53"/>
  <c r="AF101" i="53"/>
  <c r="AE102" i="53"/>
  <c r="AC102" i="53"/>
  <c r="AK33" i="32"/>
  <c r="T33" i="32"/>
  <c r="X101" i="57"/>
  <c r="AA101" i="57" s="1"/>
  <c r="AE102" i="57"/>
  <c r="AC102" i="57"/>
  <c r="AD41" i="50"/>
  <c r="AG41" i="50" s="1"/>
  <c r="AH41" i="50" s="1"/>
  <c r="AI41" i="50" s="1"/>
  <c r="AM42" i="50"/>
  <c r="U42" i="50"/>
  <c r="AP39" i="50"/>
  <c r="R102" i="57"/>
  <c r="R102" i="53"/>
  <c r="X102" i="53" s="1"/>
  <c r="AL40" i="50"/>
  <c r="AX86" i="69"/>
  <c r="AG103" i="57"/>
  <c r="L103" i="57"/>
  <c r="O43" i="50"/>
  <c r="AJ102" i="57"/>
  <c r="AP102" i="57"/>
  <c r="AG102" i="53"/>
  <c r="AH102" i="53"/>
  <c r="AT102" i="53"/>
  <c r="N103" i="57"/>
  <c r="N103" i="53"/>
  <c r="AH86" i="69"/>
  <c r="AJ41" i="50"/>
  <c r="C41" i="50"/>
  <c r="AD102" i="57"/>
  <c r="Q102" i="53"/>
  <c r="AD102" i="53"/>
  <c r="S42" i="50"/>
  <c r="V41" i="50"/>
  <c r="J103" i="53"/>
  <c r="E103" i="53"/>
  <c r="AK102" i="52" a="1"/>
  <c r="AK102" i="52" s="1"/>
  <c r="B104" i="53" s="1"/>
  <c r="O104" i="53" s="1"/>
  <c r="F103" i="53"/>
  <c r="M103" i="53"/>
  <c r="D103" i="53"/>
  <c r="G103" i="53"/>
  <c r="K103" i="53"/>
  <c r="C103" i="53"/>
  <c r="P103" i="53"/>
  <c r="H103" i="53"/>
  <c r="I103" i="53"/>
  <c r="L103" i="53"/>
  <c r="F43" i="50"/>
  <c r="M43" i="50"/>
  <c r="K43" i="50"/>
  <c r="J43" i="50"/>
  <c r="A43" i="50"/>
  <c r="Q43" i="50" s="1"/>
  <c r="P43" i="50" s="1"/>
  <c r="N43" i="50"/>
  <c r="L43" i="50"/>
  <c r="B43" i="50"/>
  <c r="R43" i="50" s="1"/>
  <c r="I43" i="50"/>
  <c r="H43" i="50"/>
  <c r="G43" i="50"/>
  <c r="Z41" i="50"/>
  <c r="W41" i="50"/>
  <c r="X41" i="50" s="1"/>
  <c r="Q102" i="57"/>
  <c r="T102" i="57" s="1"/>
  <c r="K103" i="57"/>
  <c r="I103" i="57"/>
  <c r="H103" i="57"/>
  <c r="G103" i="57"/>
  <c r="C103" i="57"/>
  <c r="M103" i="57" s="1"/>
  <c r="P103" i="57"/>
  <c r="E103" i="57"/>
  <c r="D103" i="57"/>
  <c r="F103" i="57"/>
  <c r="J103" i="57"/>
  <c r="AK102" i="55" a="1"/>
  <c r="AK102" i="55" s="1"/>
  <c r="B104" i="57" s="1"/>
  <c r="O104" i="57" s="1"/>
  <c r="AN88" i="67" a="1"/>
  <c r="AN88" i="67" s="1"/>
  <c r="B89" i="69"/>
  <c r="D87" i="69"/>
  <c r="E87" i="69" s="1"/>
  <c r="F87" i="69" s="1"/>
  <c r="G87" i="69" s="1"/>
  <c r="H87" i="69" s="1"/>
  <c r="I87" i="69" s="1"/>
  <c r="J87" i="69" s="1"/>
  <c r="K87" i="69" s="1"/>
  <c r="M87" i="69" s="1"/>
  <c r="N87" i="69"/>
  <c r="AF87" i="69" s="1"/>
  <c r="C88" i="69"/>
  <c r="AE86" i="69"/>
  <c r="R86" i="69"/>
  <c r="S86" i="69" s="1"/>
  <c r="Y86" i="69" s="1"/>
  <c r="AB86" i="69" s="1"/>
  <c r="AC86" i="69" s="1"/>
  <c r="AD86" i="69" s="1"/>
  <c r="Q86" i="69"/>
  <c r="U86" i="69"/>
  <c r="AL33" i="11" a="1"/>
  <c r="AL33" i="11" s="1"/>
  <c r="E34" i="32" s="1"/>
  <c r="AL43" i="59" a="1"/>
  <c r="AL43" i="59" s="1"/>
  <c r="E44" i="50" s="1"/>
  <c r="AG86" i="69" l="1"/>
  <c r="AO88" i="69"/>
  <c r="P88" i="69"/>
  <c r="L89" i="69"/>
  <c r="O89" i="69"/>
  <c r="T44" i="50"/>
  <c r="AK44" i="50"/>
  <c r="AB102" i="53"/>
  <c r="AA102" i="53"/>
  <c r="AE103" i="53"/>
  <c r="AC103" i="53"/>
  <c r="AF102" i="53"/>
  <c r="AK34" i="32"/>
  <c r="T34" i="32"/>
  <c r="AF101" i="57"/>
  <c r="AB101" i="57"/>
  <c r="X102" i="57"/>
  <c r="AA102" i="57" s="1"/>
  <c r="AE103" i="57"/>
  <c r="AC103" i="57"/>
  <c r="AM43" i="50"/>
  <c r="U43" i="50"/>
  <c r="AD42" i="50"/>
  <c r="AG42" i="50" s="1"/>
  <c r="AH42" i="50" s="1"/>
  <c r="AI42" i="50" s="1"/>
  <c r="AP40" i="50"/>
  <c r="R103" i="57"/>
  <c r="R103" i="53"/>
  <c r="X103" i="53" s="1"/>
  <c r="AL41" i="50"/>
  <c r="AX87" i="69"/>
  <c r="AG104" i="57"/>
  <c r="L104" i="57"/>
  <c r="O44" i="50"/>
  <c r="AJ103" i="57"/>
  <c r="AP103" i="57"/>
  <c r="AG103" i="53"/>
  <c r="AH103" i="53"/>
  <c r="AT103" i="53"/>
  <c r="N104" i="57"/>
  <c r="I104" i="53"/>
  <c r="N104" i="53"/>
  <c r="AH87" i="69"/>
  <c r="AJ42" i="50"/>
  <c r="C42" i="50"/>
  <c r="AD103" i="57"/>
  <c r="AD103" i="53"/>
  <c r="V42" i="50"/>
  <c r="S43" i="50"/>
  <c r="Q103" i="53"/>
  <c r="D104" i="53"/>
  <c r="L104" i="53"/>
  <c r="M104" i="53"/>
  <c r="H104" i="53"/>
  <c r="G104" i="53"/>
  <c r="AK103" i="52" a="1"/>
  <c r="AK103" i="52" s="1"/>
  <c r="B105" i="53" s="1"/>
  <c r="O105" i="53" s="1"/>
  <c r="P104" i="53"/>
  <c r="K104" i="53"/>
  <c r="J104" i="53"/>
  <c r="E104" i="53"/>
  <c r="F104" i="53"/>
  <c r="C104" i="53"/>
  <c r="H44" i="50"/>
  <c r="F44" i="50"/>
  <c r="M44" i="50"/>
  <c r="K44" i="50"/>
  <c r="J44" i="50"/>
  <c r="N44" i="50"/>
  <c r="A44" i="50"/>
  <c r="Q44" i="50" s="1"/>
  <c r="P44" i="50" s="1"/>
  <c r="L44" i="50"/>
  <c r="B44" i="50"/>
  <c r="R44" i="50" s="1"/>
  <c r="I44" i="50"/>
  <c r="G44" i="50"/>
  <c r="K104" i="57"/>
  <c r="J104" i="57"/>
  <c r="I104" i="57"/>
  <c r="C104" i="57"/>
  <c r="M104" i="57" s="1"/>
  <c r="F104" i="57"/>
  <c r="E104" i="57"/>
  <c r="P104" i="57"/>
  <c r="H104" i="57"/>
  <c r="D104" i="57"/>
  <c r="G104" i="57"/>
  <c r="Z42" i="50"/>
  <c r="W42" i="50"/>
  <c r="X42" i="50" s="1"/>
  <c r="Q103" i="57"/>
  <c r="T103" i="57" s="1"/>
  <c r="AK103" i="55" a="1"/>
  <c r="AK103" i="55" s="1"/>
  <c r="B105" i="57" s="1"/>
  <c r="O105" i="57" s="1"/>
  <c r="AE87" i="69"/>
  <c r="U87" i="69"/>
  <c r="R87" i="69"/>
  <c r="S87" i="69" s="1"/>
  <c r="Y87" i="69" s="1"/>
  <c r="Q87" i="69"/>
  <c r="N88" i="69"/>
  <c r="AF88" i="69" s="1"/>
  <c r="D88" i="69"/>
  <c r="E88" i="69" s="1"/>
  <c r="F88" i="69" s="1"/>
  <c r="G88" i="69" s="1"/>
  <c r="H88" i="69" s="1"/>
  <c r="I88" i="69" s="1"/>
  <c r="J88" i="69" s="1"/>
  <c r="K88" i="69" s="1"/>
  <c r="M88" i="69" s="1"/>
  <c r="C89" i="69"/>
  <c r="AN89" i="67" a="1"/>
  <c r="AN89" i="67" s="1"/>
  <c r="B90" i="69"/>
  <c r="AL34" i="11" a="1"/>
  <c r="AL34" i="11" s="1"/>
  <c r="E35" i="32" s="1"/>
  <c r="AL44" i="59" a="1"/>
  <c r="AL44" i="59" s="1"/>
  <c r="E45" i="50" s="1"/>
  <c r="AB87" i="69" l="1"/>
  <c r="AC87" i="69" s="1"/>
  <c r="AD87" i="69" s="1"/>
  <c r="AG87" i="69"/>
  <c r="AO89" i="69"/>
  <c r="P89" i="69"/>
  <c r="L90" i="69"/>
  <c r="O90" i="69"/>
  <c r="T45" i="50"/>
  <c r="AK45" i="50"/>
  <c r="AB103" i="53"/>
  <c r="AA103" i="53"/>
  <c r="AC104" i="53"/>
  <c r="AE104" i="53"/>
  <c r="AF103" i="53"/>
  <c r="AK35" i="32"/>
  <c r="T35" i="32"/>
  <c r="AF102" i="57"/>
  <c r="AB102" i="57"/>
  <c r="X103" i="57"/>
  <c r="AC104" i="57"/>
  <c r="AE104" i="57"/>
  <c r="AD43" i="50"/>
  <c r="AG43" i="50" s="1"/>
  <c r="AH43" i="50" s="1"/>
  <c r="AI43" i="50" s="1"/>
  <c r="AM44" i="50"/>
  <c r="U44" i="50"/>
  <c r="AP41" i="50"/>
  <c r="R104" i="57"/>
  <c r="R104" i="53"/>
  <c r="X104" i="53" s="1"/>
  <c r="AL42" i="50"/>
  <c r="AX88" i="69"/>
  <c r="AG105" i="57"/>
  <c r="L105" i="57"/>
  <c r="O45" i="50"/>
  <c r="AJ104" i="57"/>
  <c r="AP104" i="57"/>
  <c r="AH104" i="53"/>
  <c r="AT104" i="53"/>
  <c r="AG104" i="53"/>
  <c r="N105" i="57"/>
  <c r="F105" i="53"/>
  <c r="N105" i="53"/>
  <c r="AH88" i="69"/>
  <c r="AJ43" i="50"/>
  <c r="C43" i="50"/>
  <c r="AD104" i="57"/>
  <c r="AD104" i="53"/>
  <c r="V43" i="50"/>
  <c r="S44" i="50"/>
  <c r="D105" i="53"/>
  <c r="E105" i="53"/>
  <c r="C105" i="53"/>
  <c r="G105" i="53"/>
  <c r="AK104" i="52" a="1"/>
  <c r="AK104" i="52" s="1"/>
  <c r="B106" i="53" s="1"/>
  <c r="O106" i="53" s="1"/>
  <c r="P105" i="53"/>
  <c r="I105" i="53"/>
  <c r="Q104" i="53"/>
  <c r="L105" i="53"/>
  <c r="M105" i="53"/>
  <c r="H105" i="53"/>
  <c r="K105" i="53"/>
  <c r="J105" i="53"/>
  <c r="M45" i="50"/>
  <c r="B45" i="50"/>
  <c r="R45" i="50" s="1"/>
  <c r="I45" i="50"/>
  <c r="A45" i="50"/>
  <c r="Q45" i="50" s="1"/>
  <c r="P45" i="50" s="1"/>
  <c r="H45" i="50"/>
  <c r="G45" i="50"/>
  <c r="K45" i="50"/>
  <c r="J45" i="50"/>
  <c r="F45" i="50"/>
  <c r="N45" i="50"/>
  <c r="L45" i="50"/>
  <c r="Q104" i="57"/>
  <c r="T104" i="57" s="1"/>
  <c r="W43" i="50"/>
  <c r="X43" i="50" s="1"/>
  <c r="Z43" i="50"/>
  <c r="P105" i="57"/>
  <c r="D105" i="57"/>
  <c r="C105" i="57"/>
  <c r="M105" i="57" s="1"/>
  <c r="K105" i="57"/>
  <c r="I105" i="57"/>
  <c r="E105" i="57"/>
  <c r="G105" i="57"/>
  <c r="H105" i="57"/>
  <c r="F105" i="57"/>
  <c r="J105" i="57"/>
  <c r="AK104" i="55" a="1"/>
  <c r="AK104" i="55" s="1"/>
  <c r="B106" i="57" s="1"/>
  <c r="O106" i="57" s="1"/>
  <c r="AN90" i="67" a="1"/>
  <c r="AN90" i="67" s="1"/>
  <c r="B91" i="69"/>
  <c r="AE88" i="69"/>
  <c r="R88" i="69"/>
  <c r="S88" i="69" s="1"/>
  <c r="Y88" i="69" s="1"/>
  <c r="Q88" i="69"/>
  <c r="U88" i="69"/>
  <c r="C90" i="69"/>
  <c r="N89" i="69"/>
  <c r="AF89" i="69" s="1"/>
  <c r="D89" i="69"/>
  <c r="E89" i="69" s="1"/>
  <c r="F89" i="69" s="1"/>
  <c r="G89" i="69" s="1"/>
  <c r="H89" i="69" s="1"/>
  <c r="I89" i="69" s="1"/>
  <c r="J89" i="69" s="1"/>
  <c r="K89" i="69" s="1"/>
  <c r="M89" i="69" s="1"/>
  <c r="AL35" i="11" a="1"/>
  <c r="AL35" i="11" s="1"/>
  <c r="E36" i="32" s="1"/>
  <c r="AL45" i="59" a="1"/>
  <c r="AL45" i="59" s="1"/>
  <c r="E46" i="50" s="1"/>
  <c r="AB103" i="57" l="1"/>
  <c r="AA103" i="57"/>
  <c r="AB88" i="69"/>
  <c r="AC88" i="69" s="1"/>
  <c r="AD88" i="69" s="1"/>
  <c r="AG88" i="69"/>
  <c r="L91" i="69"/>
  <c r="O91" i="69"/>
  <c r="AO90" i="69"/>
  <c r="P90" i="69"/>
  <c r="T46" i="50"/>
  <c r="AK46" i="50"/>
  <c r="AF104" i="53"/>
  <c r="AC105" i="53"/>
  <c r="AE105" i="53"/>
  <c r="AB104" i="53"/>
  <c r="AA104" i="53"/>
  <c r="AK36" i="32"/>
  <c r="T36" i="32"/>
  <c r="X104" i="57"/>
  <c r="AF103" i="57"/>
  <c r="AC105" i="57"/>
  <c r="AE105" i="57"/>
  <c r="AM45" i="50"/>
  <c r="U45" i="50"/>
  <c r="AD44" i="50"/>
  <c r="AG44" i="50" s="1"/>
  <c r="AH44" i="50" s="1"/>
  <c r="AI44" i="50" s="1"/>
  <c r="AP42" i="50"/>
  <c r="R105" i="57"/>
  <c r="R105" i="53"/>
  <c r="X105" i="53" s="1"/>
  <c r="AL43" i="50"/>
  <c r="AX89" i="69"/>
  <c r="AG106" i="57"/>
  <c r="L106" i="57"/>
  <c r="O46" i="50"/>
  <c r="AJ105" i="57"/>
  <c r="AP105" i="57"/>
  <c r="AH105" i="53"/>
  <c r="AT105" i="53"/>
  <c r="AG105" i="53"/>
  <c r="N106" i="57"/>
  <c r="N106" i="53"/>
  <c r="AH89" i="69"/>
  <c r="AJ44" i="50"/>
  <c r="C44" i="50"/>
  <c r="AD105" i="57"/>
  <c r="AD105" i="53"/>
  <c r="S45" i="50"/>
  <c r="V44" i="50"/>
  <c r="Q105" i="53"/>
  <c r="K106" i="53"/>
  <c r="D106" i="53"/>
  <c r="G106" i="53"/>
  <c r="J106" i="53"/>
  <c r="L106" i="53"/>
  <c r="H106" i="53"/>
  <c r="AK105" i="52" a="1"/>
  <c r="AK105" i="52" s="1"/>
  <c r="B107" i="53" s="1"/>
  <c r="O107" i="53" s="1"/>
  <c r="F106" i="53"/>
  <c r="M106" i="53"/>
  <c r="E106" i="53"/>
  <c r="I106" i="53"/>
  <c r="C106" i="53"/>
  <c r="P106" i="53"/>
  <c r="G46" i="50"/>
  <c r="H46" i="50"/>
  <c r="N46" i="50"/>
  <c r="M46" i="50"/>
  <c r="F46" i="50"/>
  <c r="L46" i="50"/>
  <c r="A46" i="50"/>
  <c r="Q46" i="50" s="1"/>
  <c r="P46" i="50" s="1"/>
  <c r="J46" i="50"/>
  <c r="K46" i="50"/>
  <c r="B46" i="50"/>
  <c r="R46" i="50" s="1"/>
  <c r="I46" i="50"/>
  <c r="J106" i="57"/>
  <c r="G106" i="57"/>
  <c r="P106" i="57"/>
  <c r="C106" i="57"/>
  <c r="M106" i="57" s="1"/>
  <c r="H106" i="57"/>
  <c r="D106" i="57"/>
  <c r="K106" i="57"/>
  <c r="F106" i="57"/>
  <c r="E106" i="57"/>
  <c r="I106" i="57"/>
  <c r="Q105" i="57"/>
  <c r="T105" i="57" s="1"/>
  <c r="Z44" i="50"/>
  <c r="W44" i="50"/>
  <c r="X44" i="50" s="1"/>
  <c r="AK105" i="55" a="1"/>
  <c r="AK105" i="55" s="1"/>
  <c r="B107" i="57" s="1"/>
  <c r="O107" i="57" s="1"/>
  <c r="AN91" i="67" a="1"/>
  <c r="AN91" i="67" s="1"/>
  <c r="B92" i="69"/>
  <c r="D90" i="69"/>
  <c r="E90" i="69" s="1"/>
  <c r="F90" i="69" s="1"/>
  <c r="G90" i="69" s="1"/>
  <c r="H90" i="69" s="1"/>
  <c r="I90" i="69" s="1"/>
  <c r="J90" i="69" s="1"/>
  <c r="K90" i="69" s="1"/>
  <c r="M90" i="69" s="1"/>
  <c r="N90" i="69"/>
  <c r="AF90" i="69" s="1"/>
  <c r="AE89" i="69"/>
  <c r="U89" i="69"/>
  <c r="Q89" i="69"/>
  <c r="R89" i="69"/>
  <c r="S89" i="69" s="1"/>
  <c r="Y89" i="69" s="1"/>
  <c r="C91" i="69"/>
  <c r="AL36" i="11" a="1"/>
  <c r="AL36" i="11" s="1"/>
  <c r="E37" i="32" s="1"/>
  <c r="AL46" i="59" a="1"/>
  <c r="AL46" i="59" s="1"/>
  <c r="E47" i="50" s="1"/>
  <c r="AB104" i="57" l="1"/>
  <c r="AA104" i="57"/>
  <c r="AB89" i="69"/>
  <c r="AC89" i="69" s="1"/>
  <c r="AD89" i="69" s="1"/>
  <c r="AG89" i="69"/>
  <c r="L92" i="69"/>
  <c r="O92" i="69"/>
  <c r="AO91" i="69"/>
  <c r="P91" i="69"/>
  <c r="AK47" i="50"/>
  <c r="T47" i="50"/>
  <c r="X105" i="57"/>
  <c r="AC106" i="53"/>
  <c r="AE106" i="53"/>
  <c r="AF105" i="53"/>
  <c r="AB105" i="53"/>
  <c r="AA105" i="53"/>
  <c r="AK37" i="32"/>
  <c r="T37" i="32"/>
  <c r="AF104" i="57"/>
  <c r="AE106" i="57"/>
  <c r="AC106" i="57"/>
  <c r="AD45" i="50"/>
  <c r="AG45" i="50" s="1"/>
  <c r="AH45" i="50" s="1"/>
  <c r="AI45" i="50" s="1"/>
  <c r="AM46" i="50"/>
  <c r="U46" i="50"/>
  <c r="AP43" i="50"/>
  <c r="R106" i="57"/>
  <c r="R106" i="53"/>
  <c r="X106" i="53" s="1"/>
  <c r="AL44" i="50"/>
  <c r="AX90" i="69"/>
  <c r="AG107" i="57"/>
  <c r="L107" i="57"/>
  <c r="O47" i="50"/>
  <c r="AJ106" i="57"/>
  <c r="AP106" i="57"/>
  <c r="AH106" i="53"/>
  <c r="AT106" i="53"/>
  <c r="AG106" i="53"/>
  <c r="N107" i="57"/>
  <c r="H107" i="53"/>
  <c r="N107" i="53"/>
  <c r="AH90" i="69"/>
  <c r="AJ45" i="50"/>
  <c r="C45" i="50"/>
  <c r="AD106" i="57"/>
  <c r="AD106" i="53"/>
  <c r="V45" i="50"/>
  <c r="S46" i="50"/>
  <c r="Q106" i="53"/>
  <c r="C107" i="53"/>
  <c r="J107" i="53"/>
  <c r="AK106" i="52" a="1"/>
  <c r="AK106" i="52" s="1"/>
  <c r="B108" i="53" s="1"/>
  <c r="O108" i="53" s="1"/>
  <c r="G107" i="53"/>
  <c r="E107" i="53"/>
  <c r="F107" i="53"/>
  <c r="I107" i="53"/>
  <c r="D107" i="53"/>
  <c r="L107" i="53"/>
  <c r="M107" i="53"/>
  <c r="K107" i="53"/>
  <c r="P107" i="53"/>
  <c r="G47" i="50"/>
  <c r="I47" i="50"/>
  <c r="M47" i="50"/>
  <c r="J47" i="50"/>
  <c r="F47" i="50"/>
  <c r="N47" i="50"/>
  <c r="L47" i="50"/>
  <c r="B47" i="50"/>
  <c r="R47" i="50" s="1"/>
  <c r="H47" i="50"/>
  <c r="A47" i="50"/>
  <c r="Q47" i="50" s="1"/>
  <c r="P47" i="50" s="1"/>
  <c r="K47" i="50"/>
  <c r="Z45" i="50"/>
  <c r="W45" i="50"/>
  <c r="X45" i="50" s="1"/>
  <c r="E107" i="57"/>
  <c r="P107" i="57"/>
  <c r="D107" i="57"/>
  <c r="C107" i="57"/>
  <c r="M107" i="57" s="1"/>
  <c r="K107" i="57"/>
  <c r="G107" i="57"/>
  <c r="I107" i="57"/>
  <c r="H107" i="57"/>
  <c r="F107" i="57"/>
  <c r="J107" i="57"/>
  <c r="Q106" i="57"/>
  <c r="T106" i="57" s="1"/>
  <c r="AK106" i="55" a="1"/>
  <c r="AK106" i="55" s="1"/>
  <c r="B108" i="57" s="1"/>
  <c r="O108" i="57" s="1"/>
  <c r="AN92" i="67" a="1"/>
  <c r="AN92" i="67" s="1"/>
  <c r="B93" i="69"/>
  <c r="C92" i="69"/>
  <c r="D91" i="69"/>
  <c r="E91" i="69" s="1"/>
  <c r="F91" i="69" s="1"/>
  <c r="G91" i="69" s="1"/>
  <c r="H91" i="69" s="1"/>
  <c r="I91" i="69" s="1"/>
  <c r="J91" i="69" s="1"/>
  <c r="K91" i="69" s="1"/>
  <c r="M91" i="69" s="1"/>
  <c r="N91" i="69"/>
  <c r="AF91" i="69" s="1"/>
  <c r="Q90" i="69"/>
  <c r="AE90" i="69"/>
  <c r="U90" i="69"/>
  <c r="R90" i="69"/>
  <c r="S90" i="69" s="1"/>
  <c r="Y90" i="69" s="1"/>
  <c r="AL37" i="11" a="1"/>
  <c r="AL37" i="11" s="1"/>
  <c r="E38" i="32" s="1"/>
  <c r="AL47" i="59" a="1"/>
  <c r="AL47" i="59" s="1"/>
  <c r="E48" i="50" s="1"/>
  <c r="AF105" i="57" l="1"/>
  <c r="AA105" i="57"/>
  <c r="AB90" i="69"/>
  <c r="AC90" i="69" s="1"/>
  <c r="AD90" i="69" s="1"/>
  <c r="AG90" i="69"/>
  <c r="L93" i="69"/>
  <c r="O93" i="69"/>
  <c r="AO92" i="69"/>
  <c r="P92" i="69"/>
  <c r="AK48" i="50"/>
  <c r="T48" i="50"/>
  <c r="AB105" i="57"/>
  <c r="X106" i="57"/>
  <c r="AA106" i="57" s="1"/>
  <c r="AB106" i="53"/>
  <c r="AA106" i="53"/>
  <c r="AF106" i="53"/>
  <c r="AE107" i="53"/>
  <c r="AC107" i="53"/>
  <c r="AK38" i="32"/>
  <c r="T38" i="32"/>
  <c r="AE107" i="57"/>
  <c r="AC107" i="57"/>
  <c r="AM47" i="50"/>
  <c r="U47" i="50"/>
  <c r="AD46" i="50"/>
  <c r="AG46" i="50" s="1"/>
  <c r="AH46" i="50" s="1"/>
  <c r="AI46" i="50" s="1"/>
  <c r="AP44" i="50"/>
  <c r="R107" i="57"/>
  <c r="R107" i="53"/>
  <c r="X107" i="53" s="1"/>
  <c r="AL45" i="50"/>
  <c r="AX91" i="69"/>
  <c r="AG108" i="57"/>
  <c r="L108" i="57"/>
  <c r="O48" i="50"/>
  <c r="AJ107" i="57"/>
  <c r="AP107" i="57"/>
  <c r="AG107" i="53"/>
  <c r="AH107" i="53"/>
  <c r="AT107" i="53"/>
  <c r="N108" i="57"/>
  <c r="E108" i="53"/>
  <c r="N108" i="53"/>
  <c r="AH91" i="69"/>
  <c r="AJ46" i="50"/>
  <c r="C46" i="50"/>
  <c r="AD107" i="57"/>
  <c r="AD107" i="53"/>
  <c r="S47" i="50"/>
  <c r="V46" i="50"/>
  <c r="H108" i="53"/>
  <c r="P108" i="53"/>
  <c r="M108" i="53"/>
  <c r="G108" i="53"/>
  <c r="Q107" i="53"/>
  <c r="J108" i="53"/>
  <c r="L108" i="53"/>
  <c r="F108" i="53"/>
  <c r="I108" i="53"/>
  <c r="C108" i="53"/>
  <c r="AK107" i="52" a="1"/>
  <c r="AK107" i="52" s="1"/>
  <c r="B109" i="53" s="1"/>
  <c r="O109" i="53" s="1"/>
  <c r="D108" i="53"/>
  <c r="K108" i="53"/>
  <c r="B48" i="50"/>
  <c r="R48" i="50" s="1"/>
  <c r="F48" i="50"/>
  <c r="H48" i="50"/>
  <c r="L48" i="50"/>
  <c r="I48" i="50"/>
  <c r="N48" i="50"/>
  <c r="M48" i="50"/>
  <c r="J48" i="50"/>
  <c r="K48" i="50"/>
  <c r="G48" i="50"/>
  <c r="A48" i="50"/>
  <c r="Q48" i="50" s="1"/>
  <c r="P48" i="50" s="1"/>
  <c r="I108" i="57"/>
  <c r="F108" i="57"/>
  <c r="C108" i="57"/>
  <c r="M108" i="57" s="1"/>
  <c r="K108" i="57"/>
  <c r="H108" i="57"/>
  <c r="D108" i="57"/>
  <c r="G108" i="57"/>
  <c r="P108" i="57"/>
  <c r="E108" i="57"/>
  <c r="J108" i="57"/>
  <c r="Z46" i="50"/>
  <c r="W46" i="50"/>
  <c r="X46" i="50" s="1"/>
  <c r="Q107" i="57"/>
  <c r="T107" i="57" s="1"/>
  <c r="AK107" i="55" a="1"/>
  <c r="AK107" i="55" s="1"/>
  <c r="B109" i="57" s="1"/>
  <c r="O109" i="57" s="1"/>
  <c r="C93" i="69"/>
  <c r="Q91" i="69"/>
  <c r="AE91" i="69"/>
  <c r="U91" i="69"/>
  <c r="R91" i="69"/>
  <c r="S91" i="69" s="1"/>
  <c r="Y91" i="69" s="1"/>
  <c r="D92" i="69"/>
  <c r="E92" i="69" s="1"/>
  <c r="F92" i="69" s="1"/>
  <c r="G92" i="69" s="1"/>
  <c r="H92" i="69" s="1"/>
  <c r="I92" i="69" s="1"/>
  <c r="J92" i="69" s="1"/>
  <c r="K92" i="69" s="1"/>
  <c r="M92" i="69" s="1"/>
  <c r="N92" i="69"/>
  <c r="AF92" i="69" s="1"/>
  <c r="AN93" i="67" a="1"/>
  <c r="AN93" i="67" s="1"/>
  <c r="B94" i="69"/>
  <c r="AL38" i="11" a="1"/>
  <c r="AL38" i="11" s="1"/>
  <c r="E39" i="32" s="1"/>
  <c r="AL48" i="59" a="1"/>
  <c r="AL48" i="59" s="1"/>
  <c r="E49" i="50" s="1"/>
  <c r="AB91" i="69" l="1"/>
  <c r="AC91" i="69" s="1"/>
  <c r="AD91" i="69" s="1"/>
  <c r="AG91" i="69"/>
  <c r="L94" i="69"/>
  <c r="O94" i="69"/>
  <c r="AO93" i="69"/>
  <c r="P93" i="69"/>
  <c r="T49" i="50"/>
  <c r="AK49" i="50"/>
  <c r="X107" i="57"/>
  <c r="AF106" i="57"/>
  <c r="AB106" i="57"/>
  <c r="AB107" i="53"/>
  <c r="AA107" i="53"/>
  <c r="AF107" i="53"/>
  <c r="AC108" i="53"/>
  <c r="AE108" i="53"/>
  <c r="AK39" i="32"/>
  <c r="T39" i="32"/>
  <c r="AC108" i="57"/>
  <c r="AE108" i="57"/>
  <c r="AD47" i="50"/>
  <c r="AG47" i="50" s="1"/>
  <c r="AH47" i="50" s="1"/>
  <c r="AI47" i="50" s="1"/>
  <c r="AM48" i="50"/>
  <c r="U48" i="50"/>
  <c r="AP45" i="50"/>
  <c r="R108" i="57"/>
  <c r="R108" i="53"/>
  <c r="X108" i="53" s="1"/>
  <c r="AL46" i="50"/>
  <c r="AX92" i="69"/>
  <c r="L109" i="57"/>
  <c r="AG109" i="57"/>
  <c r="O49" i="50"/>
  <c r="AJ108" i="57"/>
  <c r="AP108" i="57"/>
  <c r="AH108" i="53"/>
  <c r="AT108" i="53"/>
  <c r="AG108" i="53"/>
  <c r="N109" i="57"/>
  <c r="P109" i="53"/>
  <c r="N109" i="53"/>
  <c r="AH92" i="69"/>
  <c r="AJ47" i="50"/>
  <c r="C47" i="50"/>
  <c r="AD108" i="57"/>
  <c r="Q108" i="53"/>
  <c r="AD108" i="53"/>
  <c r="S48" i="50"/>
  <c r="V47" i="50"/>
  <c r="I109" i="53"/>
  <c r="G109" i="53"/>
  <c r="M109" i="53"/>
  <c r="D109" i="53"/>
  <c r="L109" i="53"/>
  <c r="K109" i="53"/>
  <c r="J109" i="53"/>
  <c r="F109" i="53"/>
  <c r="AK108" i="52" a="1"/>
  <c r="AK108" i="52" s="1"/>
  <c r="B110" i="53" s="1"/>
  <c r="O110" i="53" s="1"/>
  <c r="E109" i="53"/>
  <c r="C109" i="53"/>
  <c r="H109" i="53"/>
  <c r="M49" i="50"/>
  <c r="B49" i="50"/>
  <c r="R49" i="50" s="1"/>
  <c r="I49" i="50"/>
  <c r="H49" i="50"/>
  <c r="J49" i="50"/>
  <c r="K49" i="50"/>
  <c r="L49" i="50"/>
  <c r="F49" i="50"/>
  <c r="G49" i="50"/>
  <c r="A49" i="50"/>
  <c r="Q49" i="50" s="1"/>
  <c r="P49" i="50" s="1"/>
  <c r="N49" i="50"/>
  <c r="K109" i="57"/>
  <c r="I109" i="57"/>
  <c r="H109" i="57"/>
  <c r="G109" i="57"/>
  <c r="C109" i="57"/>
  <c r="M109" i="57" s="1"/>
  <c r="P109" i="57"/>
  <c r="E109" i="57"/>
  <c r="D109" i="57"/>
  <c r="F109" i="57"/>
  <c r="J109" i="57"/>
  <c r="Q108" i="57"/>
  <c r="T108" i="57" s="1"/>
  <c r="Z47" i="50"/>
  <c r="W47" i="50"/>
  <c r="X47" i="50" s="1"/>
  <c r="AK108" i="55" a="1"/>
  <c r="AK108" i="55" s="1"/>
  <c r="B110" i="57" s="1"/>
  <c r="O110" i="57" s="1"/>
  <c r="AN94" i="67" a="1"/>
  <c r="AN94" i="67" s="1"/>
  <c r="B95" i="69"/>
  <c r="D93" i="69"/>
  <c r="E93" i="69" s="1"/>
  <c r="F93" i="69" s="1"/>
  <c r="G93" i="69" s="1"/>
  <c r="H93" i="69" s="1"/>
  <c r="I93" i="69" s="1"/>
  <c r="J93" i="69" s="1"/>
  <c r="K93" i="69" s="1"/>
  <c r="M93" i="69" s="1"/>
  <c r="N93" i="69"/>
  <c r="AF93" i="69" s="1"/>
  <c r="AE92" i="69"/>
  <c r="Q92" i="69"/>
  <c r="R92" i="69"/>
  <c r="S92" i="69" s="1"/>
  <c r="Y92" i="69" s="1"/>
  <c r="U92" i="69"/>
  <c r="C94" i="69"/>
  <c r="AL39" i="11" a="1"/>
  <c r="AL39" i="11" s="1"/>
  <c r="E40" i="32" s="1"/>
  <c r="AL49" i="59" a="1"/>
  <c r="AL49" i="59" s="1"/>
  <c r="E50" i="50" s="1"/>
  <c r="AF107" i="57" l="1"/>
  <c r="AA107" i="57"/>
  <c r="AB92" i="69"/>
  <c r="AC92" i="69" s="1"/>
  <c r="AD92" i="69" s="1"/>
  <c r="AG92" i="69"/>
  <c r="AO94" i="69"/>
  <c r="P94" i="69"/>
  <c r="L95" i="69"/>
  <c r="O95" i="69"/>
  <c r="T50" i="50"/>
  <c r="AK50" i="50"/>
  <c r="AB107" i="57"/>
  <c r="AB108" i="53"/>
  <c r="AA108" i="53"/>
  <c r="AF108" i="53"/>
  <c r="AC109" i="53"/>
  <c r="AE109" i="53"/>
  <c r="AK40" i="32"/>
  <c r="T40" i="32"/>
  <c r="X108" i="57"/>
  <c r="AC109" i="57"/>
  <c r="AE109" i="57"/>
  <c r="AM49" i="50"/>
  <c r="U49" i="50"/>
  <c r="AD48" i="50"/>
  <c r="AG48" i="50" s="1"/>
  <c r="AH48" i="50" s="1"/>
  <c r="AI48" i="50" s="1"/>
  <c r="AP46" i="50"/>
  <c r="R109" i="57"/>
  <c r="R109" i="53"/>
  <c r="X109" i="53" s="1"/>
  <c r="AL47" i="50"/>
  <c r="AX93" i="69"/>
  <c r="AG110" i="57"/>
  <c r="L110" i="57"/>
  <c r="O50" i="50"/>
  <c r="AJ109" i="57"/>
  <c r="AP109" i="57"/>
  <c r="AG109" i="53"/>
  <c r="AH109" i="53"/>
  <c r="AT109" i="53"/>
  <c r="N110" i="57"/>
  <c r="I110" i="53"/>
  <c r="N110" i="53"/>
  <c r="AH93" i="69"/>
  <c r="AJ48" i="50"/>
  <c r="C48" i="50"/>
  <c r="AD109" i="57"/>
  <c r="AD109" i="53"/>
  <c r="S49" i="50"/>
  <c r="V48" i="50"/>
  <c r="Q109" i="53"/>
  <c r="C110" i="53"/>
  <c r="D110" i="53"/>
  <c r="G110" i="53"/>
  <c r="AK109" i="52" a="1"/>
  <c r="AK109" i="52" s="1"/>
  <c r="B111" i="53" s="1"/>
  <c r="O111" i="53" s="1"/>
  <c r="K110" i="53"/>
  <c r="H110" i="53"/>
  <c r="F110" i="53"/>
  <c r="M110" i="53"/>
  <c r="P110" i="53"/>
  <c r="J110" i="53"/>
  <c r="L110" i="53"/>
  <c r="E110" i="53"/>
  <c r="I50" i="50"/>
  <c r="F50" i="50"/>
  <c r="G50" i="50"/>
  <c r="M50" i="50"/>
  <c r="A50" i="50"/>
  <c r="Q50" i="50" s="1"/>
  <c r="P50" i="50" s="1"/>
  <c r="N50" i="50"/>
  <c r="H50" i="50"/>
  <c r="J50" i="50"/>
  <c r="K50" i="50"/>
  <c r="L50" i="50"/>
  <c r="B50" i="50"/>
  <c r="R50" i="50" s="1"/>
  <c r="J110" i="57"/>
  <c r="E110" i="57"/>
  <c r="H110" i="57"/>
  <c r="D110" i="57"/>
  <c r="I110" i="57"/>
  <c r="G110" i="57"/>
  <c r="C110" i="57"/>
  <c r="M110" i="57" s="1"/>
  <c r="K110" i="57"/>
  <c r="P110" i="57"/>
  <c r="F110" i="57"/>
  <c r="Q109" i="57"/>
  <c r="T109" i="57" s="1"/>
  <c r="W48" i="50"/>
  <c r="X48" i="50" s="1"/>
  <c r="Z48" i="50"/>
  <c r="AK109" i="55" a="1"/>
  <c r="AK109" i="55" s="1"/>
  <c r="B111" i="57" s="1"/>
  <c r="O111" i="57" s="1"/>
  <c r="AN95" i="67" a="1"/>
  <c r="AN95" i="67" s="1"/>
  <c r="B96" i="69"/>
  <c r="AE93" i="69"/>
  <c r="U93" i="69"/>
  <c r="Q93" i="69"/>
  <c r="R93" i="69"/>
  <c r="S93" i="69" s="1"/>
  <c r="Y93" i="69" s="1"/>
  <c r="AB93" i="69" s="1"/>
  <c r="AC93" i="69" s="1"/>
  <c r="AD93" i="69" s="1"/>
  <c r="N94" i="69"/>
  <c r="AF94" i="69" s="1"/>
  <c r="D94" i="69"/>
  <c r="E94" i="69" s="1"/>
  <c r="F94" i="69" s="1"/>
  <c r="G94" i="69" s="1"/>
  <c r="H94" i="69" s="1"/>
  <c r="I94" i="69" s="1"/>
  <c r="J94" i="69" s="1"/>
  <c r="K94" i="69" s="1"/>
  <c r="M94" i="69" s="1"/>
  <c r="C95" i="69"/>
  <c r="AL40" i="11" a="1"/>
  <c r="AL40" i="11" s="1"/>
  <c r="E41" i="32" s="1"/>
  <c r="AL50" i="59" a="1"/>
  <c r="AL50" i="59" s="1"/>
  <c r="E51" i="50" s="1"/>
  <c r="AB108" i="57" l="1"/>
  <c r="AA108" i="57"/>
  <c r="AG93" i="69"/>
  <c r="L96" i="69"/>
  <c r="O96" i="69"/>
  <c r="AO95" i="69"/>
  <c r="P95" i="69"/>
  <c r="T51" i="50"/>
  <c r="AK51" i="50"/>
  <c r="AB109" i="53"/>
  <c r="AA109" i="53"/>
  <c r="AF109" i="53"/>
  <c r="AC110" i="53"/>
  <c r="AE110" i="53"/>
  <c r="AK41" i="32"/>
  <c r="T41" i="32"/>
  <c r="AF108" i="57"/>
  <c r="X109" i="57"/>
  <c r="AE110" i="57"/>
  <c r="AC110" i="57"/>
  <c r="AD49" i="50"/>
  <c r="AG49" i="50" s="1"/>
  <c r="AH49" i="50" s="1"/>
  <c r="AI49" i="50" s="1"/>
  <c r="AM50" i="50"/>
  <c r="U50" i="50"/>
  <c r="AP47" i="50"/>
  <c r="R110" i="57"/>
  <c r="R110" i="53"/>
  <c r="X110" i="53" s="1"/>
  <c r="AL48" i="50"/>
  <c r="AX94" i="69"/>
  <c r="AG111" i="57"/>
  <c r="L111" i="57"/>
  <c r="O51" i="50"/>
  <c r="AJ110" i="57"/>
  <c r="AP110" i="57"/>
  <c r="AH110" i="53"/>
  <c r="AT110" i="53"/>
  <c r="AG110" i="53"/>
  <c r="N111" i="57"/>
  <c r="M111" i="53"/>
  <c r="N111" i="53"/>
  <c r="AH94" i="69"/>
  <c r="AJ49" i="50"/>
  <c r="C49" i="50"/>
  <c r="AD110" i="57"/>
  <c r="Q110" i="53"/>
  <c r="AD110" i="53"/>
  <c r="S50" i="50"/>
  <c r="V49" i="50"/>
  <c r="AK110" i="52" a="1"/>
  <c r="AK110" i="52" s="1"/>
  <c r="B112" i="53" s="1"/>
  <c r="O112" i="53" s="1"/>
  <c r="D111" i="53"/>
  <c r="G111" i="53"/>
  <c r="H111" i="53"/>
  <c r="L111" i="53"/>
  <c r="P111" i="53"/>
  <c r="K111" i="53"/>
  <c r="E111" i="53"/>
  <c r="J111" i="53"/>
  <c r="I111" i="53"/>
  <c r="C111" i="53"/>
  <c r="F111" i="53"/>
  <c r="F51" i="50"/>
  <c r="A51" i="50"/>
  <c r="Q51" i="50" s="1"/>
  <c r="P51" i="50" s="1"/>
  <c r="M51" i="50"/>
  <c r="K51" i="50"/>
  <c r="H51" i="50"/>
  <c r="L51" i="50"/>
  <c r="B51" i="50"/>
  <c r="R51" i="50" s="1"/>
  <c r="G51" i="50"/>
  <c r="N51" i="50"/>
  <c r="J51" i="50"/>
  <c r="I51" i="50"/>
  <c r="W49" i="50"/>
  <c r="X49" i="50" s="1"/>
  <c r="Z49" i="50"/>
  <c r="Q110" i="57"/>
  <c r="T110" i="57" s="1"/>
  <c r="I111" i="57"/>
  <c r="H111" i="57"/>
  <c r="G111" i="57"/>
  <c r="E111" i="57"/>
  <c r="P111" i="57"/>
  <c r="D111" i="57"/>
  <c r="K111" i="57"/>
  <c r="C111" i="57"/>
  <c r="M111" i="57" s="1"/>
  <c r="F111" i="57"/>
  <c r="J111" i="57"/>
  <c r="AK110" i="55" a="1"/>
  <c r="AK110" i="55" s="1"/>
  <c r="B112" i="57" s="1"/>
  <c r="O112" i="57" s="1"/>
  <c r="AN96" i="67" a="1"/>
  <c r="AN96" i="67" s="1"/>
  <c r="B97" i="69"/>
  <c r="N95" i="69"/>
  <c r="AF95" i="69" s="1"/>
  <c r="D95" i="69"/>
  <c r="E95" i="69" s="1"/>
  <c r="F95" i="69" s="1"/>
  <c r="G95" i="69" s="1"/>
  <c r="H95" i="69" s="1"/>
  <c r="I95" i="69" s="1"/>
  <c r="J95" i="69" s="1"/>
  <c r="K95" i="69" s="1"/>
  <c r="M95" i="69" s="1"/>
  <c r="U94" i="69"/>
  <c r="R94" i="69"/>
  <c r="S94" i="69" s="1"/>
  <c r="Y94" i="69" s="1"/>
  <c r="AE94" i="69"/>
  <c r="Q94" i="69"/>
  <c r="C96" i="69"/>
  <c r="AL41" i="11" a="1"/>
  <c r="AL41" i="11" s="1"/>
  <c r="E42" i="32" s="1"/>
  <c r="AL51" i="59" a="1"/>
  <c r="AL51" i="59" s="1"/>
  <c r="E52" i="50" s="1"/>
  <c r="AB109" i="57" l="1"/>
  <c r="AA109" i="57"/>
  <c r="AB94" i="69"/>
  <c r="AC94" i="69" s="1"/>
  <c r="AD94" i="69" s="1"/>
  <c r="AG94" i="69"/>
  <c r="AO96" i="69"/>
  <c r="P96" i="69"/>
  <c r="L97" i="69"/>
  <c r="O97" i="69"/>
  <c r="T52" i="50"/>
  <c r="AK52" i="50"/>
  <c r="AE111" i="53"/>
  <c r="AC111" i="53"/>
  <c r="AB110" i="53"/>
  <c r="AA110" i="53"/>
  <c r="AF110" i="53"/>
  <c r="AK42" i="32"/>
  <c r="T42" i="32"/>
  <c r="AF109" i="57"/>
  <c r="X110" i="57"/>
  <c r="AE111" i="57"/>
  <c r="AC111" i="57"/>
  <c r="AM51" i="50"/>
  <c r="U51" i="50"/>
  <c r="AD50" i="50"/>
  <c r="AG50" i="50" s="1"/>
  <c r="AH50" i="50" s="1"/>
  <c r="AI50" i="50" s="1"/>
  <c r="AP48" i="50"/>
  <c r="R111" i="57"/>
  <c r="R111" i="53"/>
  <c r="X111" i="53" s="1"/>
  <c r="AL49" i="50"/>
  <c r="AX95" i="69"/>
  <c r="AG112" i="57"/>
  <c r="L112" i="57"/>
  <c r="O52" i="50"/>
  <c r="AJ111" i="57"/>
  <c r="AP111" i="57"/>
  <c r="AG111" i="53"/>
  <c r="Q111" i="53"/>
  <c r="AH111" i="53"/>
  <c r="AT111" i="53"/>
  <c r="N112" i="57"/>
  <c r="E112" i="53"/>
  <c r="N112" i="53"/>
  <c r="AD111" i="53"/>
  <c r="AH95" i="69"/>
  <c r="AJ50" i="50"/>
  <c r="C50" i="50"/>
  <c r="AD111" i="57"/>
  <c r="S51" i="50"/>
  <c r="V50" i="50"/>
  <c r="H112" i="53"/>
  <c r="M112" i="53"/>
  <c r="G112" i="53"/>
  <c r="J112" i="53"/>
  <c r="P112" i="53"/>
  <c r="L112" i="53"/>
  <c r="I112" i="53"/>
  <c r="C112" i="53"/>
  <c r="AK111" i="52" a="1"/>
  <c r="AK111" i="52" s="1"/>
  <c r="B113" i="53" s="1"/>
  <c r="O113" i="53" s="1"/>
  <c r="F112" i="53"/>
  <c r="D112" i="53"/>
  <c r="K112" i="53"/>
  <c r="H52" i="50"/>
  <c r="N52" i="50"/>
  <c r="M52" i="50"/>
  <c r="F52" i="50"/>
  <c r="L52" i="50"/>
  <c r="B52" i="50"/>
  <c r="R52" i="50" s="1"/>
  <c r="J52" i="50"/>
  <c r="I52" i="50"/>
  <c r="A52" i="50"/>
  <c r="Q52" i="50" s="1"/>
  <c r="P52" i="50" s="1"/>
  <c r="G52" i="50"/>
  <c r="K52" i="50"/>
  <c r="K112" i="57"/>
  <c r="I112" i="57"/>
  <c r="F112" i="57"/>
  <c r="E112" i="57"/>
  <c r="C112" i="57"/>
  <c r="M112" i="57" s="1"/>
  <c r="P112" i="57"/>
  <c r="H112" i="57"/>
  <c r="D112" i="57"/>
  <c r="J112" i="57"/>
  <c r="G112" i="57"/>
  <c r="Z50" i="50"/>
  <c r="W50" i="50"/>
  <c r="X50" i="50" s="1"/>
  <c r="Q111" i="57"/>
  <c r="T111" i="57" s="1"/>
  <c r="AK111" i="55" a="1"/>
  <c r="AK111" i="55" s="1"/>
  <c r="B113" i="57" s="1"/>
  <c r="O113" i="57" s="1"/>
  <c r="D96" i="69"/>
  <c r="E96" i="69" s="1"/>
  <c r="F96" i="69" s="1"/>
  <c r="G96" i="69" s="1"/>
  <c r="H96" i="69" s="1"/>
  <c r="I96" i="69" s="1"/>
  <c r="J96" i="69" s="1"/>
  <c r="K96" i="69" s="1"/>
  <c r="M96" i="69" s="1"/>
  <c r="N96" i="69"/>
  <c r="AF96" i="69" s="1"/>
  <c r="U95" i="69"/>
  <c r="Q95" i="69"/>
  <c r="AE95" i="69"/>
  <c r="R95" i="69"/>
  <c r="S95" i="69" s="1"/>
  <c r="Y95" i="69" s="1"/>
  <c r="C97" i="69"/>
  <c r="AN97" i="67" a="1"/>
  <c r="AN97" i="67" s="1"/>
  <c r="B98" i="69"/>
  <c r="AL42" i="11" a="1"/>
  <c r="AL42" i="11" s="1"/>
  <c r="E43" i="32" s="1"/>
  <c r="AL52" i="59" a="1"/>
  <c r="AL52" i="59" s="1"/>
  <c r="E53" i="50" s="1"/>
  <c r="AB110" i="57" l="1"/>
  <c r="AA110" i="57"/>
  <c r="AB95" i="69"/>
  <c r="AC95" i="69" s="1"/>
  <c r="AD95" i="69" s="1"/>
  <c r="AG95" i="69"/>
  <c r="AO97" i="69"/>
  <c r="P97" i="69"/>
  <c r="L98" i="69"/>
  <c r="O98" i="69"/>
  <c r="T53" i="50"/>
  <c r="AK53" i="50"/>
  <c r="X111" i="57"/>
  <c r="AC112" i="53"/>
  <c r="AE112" i="53"/>
  <c r="AF111" i="53"/>
  <c r="AB111" i="53"/>
  <c r="AA111" i="53"/>
  <c r="AK43" i="32"/>
  <c r="T43" i="32"/>
  <c r="AF110" i="57"/>
  <c r="AC112" i="57"/>
  <c r="AE112" i="57"/>
  <c r="AM52" i="50"/>
  <c r="U52" i="50"/>
  <c r="AD51" i="50"/>
  <c r="AG51" i="50" s="1"/>
  <c r="AH51" i="50" s="1"/>
  <c r="AI51" i="50" s="1"/>
  <c r="AP49" i="50"/>
  <c r="R112" i="57"/>
  <c r="R112" i="53"/>
  <c r="X112" i="53" s="1"/>
  <c r="AL50" i="50"/>
  <c r="AX96" i="69"/>
  <c r="AG113" i="57"/>
  <c r="L113" i="57"/>
  <c r="O53" i="50"/>
  <c r="AJ112" i="57"/>
  <c r="AP112" i="57"/>
  <c r="AH112" i="53"/>
  <c r="AT112" i="53"/>
  <c r="AG112" i="53"/>
  <c r="N113" i="57"/>
  <c r="E113" i="53"/>
  <c r="N113" i="53"/>
  <c r="AH96" i="69"/>
  <c r="AJ51" i="50"/>
  <c r="C51" i="50"/>
  <c r="AD112" i="57"/>
  <c r="AD112" i="53"/>
  <c r="Q112" i="53"/>
  <c r="S52" i="50"/>
  <c r="V51" i="50"/>
  <c r="H113" i="53"/>
  <c r="F113" i="53"/>
  <c r="D113" i="53"/>
  <c r="P113" i="53"/>
  <c r="AK112" i="52" a="1"/>
  <c r="AK112" i="52" s="1"/>
  <c r="B114" i="53" s="1"/>
  <c r="O114" i="53" s="1"/>
  <c r="I113" i="53"/>
  <c r="K113" i="53"/>
  <c r="L113" i="53"/>
  <c r="C113" i="53"/>
  <c r="M113" i="53"/>
  <c r="J113" i="53"/>
  <c r="G113" i="53"/>
  <c r="B53" i="50"/>
  <c r="R53" i="50" s="1"/>
  <c r="I53" i="50"/>
  <c r="H53" i="50"/>
  <c r="A53" i="50"/>
  <c r="Q53" i="50" s="1"/>
  <c r="P53" i="50" s="1"/>
  <c r="G53" i="50"/>
  <c r="K53" i="50"/>
  <c r="J53" i="50"/>
  <c r="L53" i="50"/>
  <c r="N53" i="50"/>
  <c r="F53" i="50"/>
  <c r="M53" i="50"/>
  <c r="W51" i="50"/>
  <c r="X51" i="50" s="1"/>
  <c r="Z51" i="50"/>
  <c r="Q112" i="57"/>
  <c r="T112" i="57" s="1"/>
  <c r="P113" i="57"/>
  <c r="D113" i="57"/>
  <c r="C113" i="57"/>
  <c r="M113" i="57" s="1"/>
  <c r="K113" i="57"/>
  <c r="I113" i="57"/>
  <c r="E113" i="57"/>
  <c r="H113" i="57"/>
  <c r="G113" i="57"/>
  <c r="F113" i="57"/>
  <c r="J113" i="57"/>
  <c r="AK112" i="55" a="1"/>
  <c r="AK112" i="55" s="1"/>
  <c r="B114" i="57" s="1"/>
  <c r="O114" i="57" s="1"/>
  <c r="AN98" i="67" a="1"/>
  <c r="AN98" i="67" s="1"/>
  <c r="B99" i="69"/>
  <c r="AE96" i="69"/>
  <c r="Q96" i="69"/>
  <c r="U96" i="69"/>
  <c r="R96" i="69"/>
  <c r="S96" i="69" s="1"/>
  <c r="Y96" i="69" s="1"/>
  <c r="C98" i="69"/>
  <c r="D97" i="69"/>
  <c r="E97" i="69" s="1"/>
  <c r="F97" i="69" s="1"/>
  <c r="G97" i="69" s="1"/>
  <c r="H97" i="69" s="1"/>
  <c r="I97" i="69" s="1"/>
  <c r="J97" i="69" s="1"/>
  <c r="K97" i="69" s="1"/>
  <c r="M97" i="69" s="1"/>
  <c r="N97" i="69"/>
  <c r="AF97" i="69" s="1"/>
  <c r="AL43" i="11" a="1"/>
  <c r="AL43" i="11" s="1"/>
  <c r="E44" i="32" s="1"/>
  <c r="AL53" i="59" a="1"/>
  <c r="AL53" i="59" s="1"/>
  <c r="E54" i="50" s="1"/>
  <c r="AB111" i="57" l="1"/>
  <c r="AA111" i="57"/>
  <c r="AB96" i="69"/>
  <c r="AC96" i="69" s="1"/>
  <c r="AD96" i="69" s="1"/>
  <c r="AG96" i="69"/>
  <c r="L99" i="69"/>
  <c r="O99" i="69"/>
  <c r="AO98" i="69"/>
  <c r="P98" i="69"/>
  <c r="T54" i="50"/>
  <c r="AK54" i="50"/>
  <c r="X112" i="57"/>
  <c r="AF111" i="57"/>
  <c r="AB112" i="53"/>
  <c r="AA112" i="53"/>
  <c r="AC113" i="53"/>
  <c r="AE113" i="53"/>
  <c r="AF112" i="53"/>
  <c r="AK44" i="32"/>
  <c r="T44" i="32"/>
  <c r="AC113" i="57"/>
  <c r="AE113" i="57"/>
  <c r="AD52" i="50"/>
  <c r="AG52" i="50" s="1"/>
  <c r="AH52" i="50" s="1"/>
  <c r="AI52" i="50" s="1"/>
  <c r="AM53" i="50"/>
  <c r="U53" i="50"/>
  <c r="AL51" i="50"/>
  <c r="AP50" i="50"/>
  <c r="R113" i="57"/>
  <c r="R113" i="53"/>
  <c r="X113" i="53" s="1"/>
  <c r="AX97" i="69"/>
  <c r="AG114" i="57"/>
  <c r="L114" i="57"/>
  <c r="O54" i="50"/>
  <c r="AJ113" i="57"/>
  <c r="AP113" i="57"/>
  <c r="AH113" i="53"/>
  <c r="AT113" i="53"/>
  <c r="AG113" i="53"/>
  <c r="N114" i="57"/>
  <c r="G114" i="53"/>
  <c r="N114" i="53"/>
  <c r="AH97" i="69"/>
  <c r="AJ52" i="50"/>
  <c r="C52" i="50"/>
  <c r="AD113" i="57"/>
  <c r="AD113" i="53"/>
  <c r="Q113" i="53"/>
  <c r="S53" i="50"/>
  <c r="V52" i="50"/>
  <c r="F114" i="53"/>
  <c r="L114" i="53"/>
  <c r="H114" i="53"/>
  <c r="E114" i="53"/>
  <c r="I114" i="53"/>
  <c r="M114" i="53"/>
  <c r="P114" i="53"/>
  <c r="AK113" i="52" a="1"/>
  <c r="AK113" i="52" s="1"/>
  <c r="B115" i="53" s="1"/>
  <c r="O115" i="53" s="1"/>
  <c r="C114" i="53"/>
  <c r="J114" i="53"/>
  <c r="K114" i="53"/>
  <c r="D114" i="53"/>
  <c r="F54" i="50"/>
  <c r="G54" i="50"/>
  <c r="H54" i="50"/>
  <c r="L54" i="50"/>
  <c r="J54" i="50"/>
  <c r="K54" i="50"/>
  <c r="M54" i="50"/>
  <c r="A54" i="50"/>
  <c r="Q54" i="50" s="1"/>
  <c r="P54" i="50" s="1"/>
  <c r="I54" i="50"/>
  <c r="B54" i="50"/>
  <c r="R54" i="50" s="1"/>
  <c r="N54" i="50"/>
  <c r="P114" i="57"/>
  <c r="E114" i="57"/>
  <c r="C114" i="57"/>
  <c r="M114" i="57" s="1"/>
  <c r="G114" i="57"/>
  <c r="I114" i="57"/>
  <c r="K114" i="57"/>
  <c r="F114" i="57"/>
  <c r="J114" i="57"/>
  <c r="D114" i="57"/>
  <c r="H114" i="57"/>
  <c r="Z52" i="50"/>
  <c r="W52" i="50"/>
  <c r="X52" i="50" s="1"/>
  <c r="Q113" i="57"/>
  <c r="T113" i="57" s="1"/>
  <c r="AK113" i="55" a="1"/>
  <c r="AK113" i="55" s="1"/>
  <c r="B115" i="57" s="1"/>
  <c r="O115" i="57" s="1"/>
  <c r="C99" i="69"/>
  <c r="D98" i="69"/>
  <c r="E98" i="69" s="1"/>
  <c r="F98" i="69" s="1"/>
  <c r="G98" i="69" s="1"/>
  <c r="H98" i="69" s="1"/>
  <c r="I98" i="69" s="1"/>
  <c r="J98" i="69" s="1"/>
  <c r="K98" i="69" s="1"/>
  <c r="M98" i="69" s="1"/>
  <c r="N98" i="69"/>
  <c r="AF98" i="69" s="1"/>
  <c r="Q97" i="69"/>
  <c r="R97" i="69"/>
  <c r="S97" i="69" s="1"/>
  <c r="Y97" i="69" s="1"/>
  <c r="AB97" i="69" s="1"/>
  <c r="AC97" i="69" s="1"/>
  <c r="AD97" i="69" s="1"/>
  <c r="AE97" i="69"/>
  <c r="U97" i="69"/>
  <c r="AN99" i="67" a="1"/>
  <c r="AN99" i="67" s="1"/>
  <c r="B100" i="69"/>
  <c r="AL44" i="11" a="1"/>
  <c r="AL44" i="11" s="1"/>
  <c r="E45" i="32" s="1"/>
  <c r="AL54" i="59" a="1"/>
  <c r="AL54" i="59" s="1"/>
  <c r="E55" i="50" s="1"/>
  <c r="AB112" i="57" l="1"/>
  <c r="AA112" i="57"/>
  <c r="L100" i="69"/>
  <c r="O100" i="69"/>
  <c r="AO99" i="69"/>
  <c r="P99" i="69"/>
  <c r="AG97" i="69"/>
  <c r="AK55" i="50"/>
  <c r="T55" i="50"/>
  <c r="X113" i="57"/>
  <c r="AA113" i="57" s="1"/>
  <c r="AF112" i="57"/>
  <c r="AB113" i="53"/>
  <c r="AA113" i="53"/>
  <c r="AF113" i="53"/>
  <c r="AC114" i="53"/>
  <c r="AE114" i="53"/>
  <c r="AK45" i="32"/>
  <c r="T45" i="32"/>
  <c r="AE114" i="57"/>
  <c r="AC114" i="57"/>
  <c r="AM54" i="50"/>
  <c r="U54" i="50"/>
  <c r="AD53" i="50"/>
  <c r="AG53" i="50" s="1"/>
  <c r="AH53" i="50" s="1"/>
  <c r="AI53" i="50" s="1"/>
  <c r="R114" i="57"/>
  <c r="R114" i="53"/>
  <c r="X114" i="53" s="1"/>
  <c r="AL52" i="50"/>
  <c r="AP51" i="50"/>
  <c r="AX98" i="69"/>
  <c r="AG115" i="57"/>
  <c r="L115" i="57"/>
  <c r="O55" i="50"/>
  <c r="AJ114" i="57"/>
  <c r="AP114" i="57"/>
  <c r="AG114" i="53"/>
  <c r="AH114" i="53"/>
  <c r="AT114" i="53"/>
  <c r="N115" i="57"/>
  <c r="N115" i="53"/>
  <c r="AH98" i="69"/>
  <c r="AJ53" i="50"/>
  <c r="C53" i="50"/>
  <c r="AD114" i="57"/>
  <c r="AD114" i="53"/>
  <c r="Q114" i="53"/>
  <c r="S54" i="50"/>
  <c r="V53" i="50"/>
  <c r="G115" i="53"/>
  <c r="H115" i="53"/>
  <c r="E115" i="53"/>
  <c r="I115" i="53"/>
  <c r="K115" i="53"/>
  <c r="L115" i="53"/>
  <c r="F115" i="53"/>
  <c r="M115" i="53"/>
  <c r="P115" i="53"/>
  <c r="AK114" i="52" a="1"/>
  <c r="AK114" i="52" s="1"/>
  <c r="B116" i="53" s="1"/>
  <c r="O116" i="53" s="1"/>
  <c r="J115" i="53"/>
  <c r="C115" i="53"/>
  <c r="D115" i="53"/>
  <c r="J55" i="50"/>
  <c r="M55" i="50"/>
  <c r="I55" i="50"/>
  <c r="N55" i="50"/>
  <c r="G55" i="50"/>
  <c r="F55" i="50"/>
  <c r="K55" i="50"/>
  <c r="B55" i="50"/>
  <c r="R55" i="50" s="1"/>
  <c r="H55" i="50"/>
  <c r="L55" i="50"/>
  <c r="A55" i="50"/>
  <c r="Q55" i="50" s="1"/>
  <c r="P55" i="50" s="1"/>
  <c r="Z53" i="50"/>
  <c r="W53" i="50"/>
  <c r="X53" i="50" s="1"/>
  <c r="E115" i="57"/>
  <c r="P115" i="57"/>
  <c r="D115" i="57"/>
  <c r="C115" i="57"/>
  <c r="M115" i="57" s="1"/>
  <c r="K115" i="57"/>
  <c r="G115" i="57"/>
  <c r="I115" i="57"/>
  <c r="H115" i="57"/>
  <c r="F115" i="57"/>
  <c r="J115" i="57"/>
  <c r="Q114" i="57"/>
  <c r="T114" i="57" s="1"/>
  <c r="AK114" i="55" a="1"/>
  <c r="AK114" i="55" s="1"/>
  <c r="B116" i="57" s="1"/>
  <c r="O116" i="57" s="1"/>
  <c r="AN100" i="67" a="1"/>
  <c r="AN100" i="67" s="1"/>
  <c r="B101" i="69"/>
  <c r="D99" i="69"/>
  <c r="E99" i="69" s="1"/>
  <c r="F99" i="69" s="1"/>
  <c r="G99" i="69" s="1"/>
  <c r="H99" i="69" s="1"/>
  <c r="I99" i="69" s="1"/>
  <c r="J99" i="69" s="1"/>
  <c r="K99" i="69" s="1"/>
  <c r="M99" i="69" s="1"/>
  <c r="N99" i="69"/>
  <c r="AF99" i="69" s="1"/>
  <c r="C100" i="69"/>
  <c r="U98" i="69"/>
  <c r="R98" i="69"/>
  <c r="S98" i="69" s="1"/>
  <c r="Y98" i="69" s="1"/>
  <c r="AB98" i="69" s="1"/>
  <c r="AC98" i="69" s="1"/>
  <c r="AD98" i="69" s="1"/>
  <c r="AE98" i="69"/>
  <c r="Q98" i="69"/>
  <c r="AL45" i="11" a="1"/>
  <c r="AL45" i="11" s="1"/>
  <c r="E46" i="32" s="1"/>
  <c r="AL55" i="59" a="1"/>
  <c r="AL55" i="59" s="1"/>
  <c r="E56" i="50" s="1"/>
  <c r="AO100" i="69" l="1"/>
  <c r="P100" i="69"/>
  <c r="L101" i="69"/>
  <c r="O101" i="69"/>
  <c r="AG98" i="69"/>
  <c r="AK56" i="50"/>
  <c r="T56" i="50"/>
  <c r="AB113" i="57"/>
  <c r="X114" i="57"/>
  <c r="AF113" i="57"/>
  <c r="AB114" i="53"/>
  <c r="AA114" i="53"/>
  <c r="AE115" i="53"/>
  <c r="AC115" i="53"/>
  <c r="AF114" i="53"/>
  <c r="AK46" i="32"/>
  <c r="T46" i="32"/>
  <c r="AE115" i="57"/>
  <c r="AC115" i="57"/>
  <c r="AM55" i="50"/>
  <c r="U55" i="50"/>
  <c r="AD54" i="50"/>
  <c r="AG54" i="50" s="1"/>
  <c r="AH54" i="50" s="1"/>
  <c r="AI54" i="50" s="1"/>
  <c r="AP52" i="50"/>
  <c r="R115" i="57"/>
  <c r="R115" i="53"/>
  <c r="X115" i="53" s="1"/>
  <c r="AL53" i="50"/>
  <c r="AX99" i="69"/>
  <c r="AG116" i="57"/>
  <c r="L116" i="57"/>
  <c r="O56" i="50"/>
  <c r="AJ115" i="57"/>
  <c r="AP115" i="57"/>
  <c r="AG115" i="53"/>
  <c r="AH115" i="53"/>
  <c r="AT115" i="53"/>
  <c r="N116" i="57"/>
  <c r="G116" i="53"/>
  <c r="N116" i="53"/>
  <c r="AH99" i="69"/>
  <c r="AJ54" i="50"/>
  <c r="C54" i="50"/>
  <c r="AD115" i="57"/>
  <c r="AD115" i="53"/>
  <c r="Q115" i="53"/>
  <c r="V54" i="50"/>
  <c r="S55" i="50"/>
  <c r="P116" i="53"/>
  <c r="F116" i="53"/>
  <c r="C116" i="53"/>
  <c r="K116" i="53"/>
  <c r="AK115" i="52" a="1"/>
  <c r="AK115" i="52" s="1"/>
  <c r="B117" i="53" s="1"/>
  <c r="O117" i="53" s="1"/>
  <c r="H116" i="53"/>
  <c r="E116" i="53"/>
  <c r="L116" i="53"/>
  <c r="J116" i="53"/>
  <c r="I116" i="53"/>
  <c r="D116" i="53"/>
  <c r="M116" i="53"/>
  <c r="F56" i="50"/>
  <c r="L56" i="50"/>
  <c r="B56" i="50"/>
  <c r="R56" i="50" s="1"/>
  <c r="J56" i="50"/>
  <c r="M56" i="50"/>
  <c r="I56" i="50"/>
  <c r="H56" i="50"/>
  <c r="N56" i="50"/>
  <c r="G56" i="50"/>
  <c r="K56" i="50"/>
  <c r="A56" i="50"/>
  <c r="Q56" i="50" s="1"/>
  <c r="P56" i="50" s="1"/>
  <c r="P116" i="57"/>
  <c r="G116" i="57"/>
  <c r="E116" i="57"/>
  <c r="C116" i="57"/>
  <c r="M116" i="57" s="1"/>
  <c r="I116" i="57"/>
  <c r="K116" i="57"/>
  <c r="J116" i="57"/>
  <c r="F116" i="57"/>
  <c r="D116" i="57"/>
  <c r="H116" i="57"/>
  <c r="Q115" i="57"/>
  <c r="T115" i="57" s="1"/>
  <c r="Z54" i="50"/>
  <c r="W54" i="50"/>
  <c r="X54" i="50" s="1"/>
  <c r="AK115" i="55" a="1"/>
  <c r="AK115" i="55" s="1"/>
  <c r="B117" i="57" s="1"/>
  <c r="O117" i="57" s="1"/>
  <c r="R99" i="69"/>
  <c r="S99" i="69" s="1"/>
  <c r="Y99" i="69" s="1"/>
  <c r="AE99" i="69"/>
  <c r="U99" i="69"/>
  <c r="Q99" i="69"/>
  <c r="C101" i="69"/>
  <c r="D100" i="69"/>
  <c r="E100" i="69" s="1"/>
  <c r="F100" i="69" s="1"/>
  <c r="G100" i="69" s="1"/>
  <c r="H100" i="69" s="1"/>
  <c r="I100" i="69" s="1"/>
  <c r="J100" i="69" s="1"/>
  <c r="K100" i="69" s="1"/>
  <c r="M100" i="69" s="1"/>
  <c r="N100" i="69"/>
  <c r="AF100" i="69" s="1"/>
  <c r="AN101" i="67" a="1"/>
  <c r="AN101" i="67" s="1"/>
  <c r="B102" i="69"/>
  <c r="AL46" i="11" a="1"/>
  <c r="AL46" i="11" s="1"/>
  <c r="E47" i="32" s="1"/>
  <c r="AL56" i="59" a="1"/>
  <c r="AL56" i="59" s="1"/>
  <c r="E57" i="50" s="1"/>
  <c r="AB114" i="57" l="1"/>
  <c r="AA114" i="57"/>
  <c r="AB99" i="69"/>
  <c r="AC99" i="69" s="1"/>
  <c r="AD99" i="69" s="1"/>
  <c r="AG99" i="69"/>
  <c r="AO101" i="69"/>
  <c r="P101" i="69"/>
  <c r="L102" i="69"/>
  <c r="O102" i="69"/>
  <c r="X115" i="57"/>
  <c r="T57" i="50"/>
  <c r="AK57" i="50"/>
  <c r="AF114" i="57"/>
  <c r="AB115" i="53"/>
  <c r="AA115" i="53"/>
  <c r="AF115" i="53"/>
  <c r="AC116" i="53"/>
  <c r="AE116" i="53"/>
  <c r="AK47" i="32"/>
  <c r="T47" i="32"/>
  <c r="AC116" i="57"/>
  <c r="AE116" i="57"/>
  <c r="AM56" i="50"/>
  <c r="U56" i="50"/>
  <c r="AD55" i="50"/>
  <c r="AG55" i="50" s="1"/>
  <c r="AH55" i="50" s="1"/>
  <c r="AI55" i="50" s="1"/>
  <c r="AP53" i="50"/>
  <c r="R116" i="57"/>
  <c r="R116" i="53"/>
  <c r="X116" i="53" s="1"/>
  <c r="AL54" i="50"/>
  <c r="AX100" i="69"/>
  <c r="L117" i="57"/>
  <c r="AG117" i="57"/>
  <c r="O57" i="50"/>
  <c r="AJ116" i="57"/>
  <c r="AP116" i="57"/>
  <c r="AH116" i="53"/>
  <c r="AT116" i="53"/>
  <c r="AG116" i="53"/>
  <c r="N117" i="57"/>
  <c r="L117" i="53"/>
  <c r="N117" i="53"/>
  <c r="AH100" i="69"/>
  <c r="AJ55" i="50"/>
  <c r="C55" i="50"/>
  <c r="AD116" i="57"/>
  <c r="AD116" i="53"/>
  <c r="S56" i="50"/>
  <c r="V55" i="50"/>
  <c r="Q116" i="53"/>
  <c r="AK116" i="52" a="1"/>
  <c r="AK116" i="52" s="1"/>
  <c r="B118" i="53" s="1"/>
  <c r="O118" i="53" s="1"/>
  <c r="K117" i="53"/>
  <c r="M117" i="53"/>
  <c r="P117" i="53"/>
  <c r="D117" i="53"/>
  <c r="G117" i="53"/>
  <c r="E117" i="53"/>
  <c r="J117" i="53"/>
  <c r="H117" i="53"/>
  <c r="C117" i="53"/>
  <c r="I117" i="53"/>
  <c r="F117" i="53"/>
  <c r="M57" i="50"/>
  <c r="J57" i="50"/>
  <c r="G57" i="50"/>
  <c r="L57" i="50"/>
  <c r="H57" i="50"/>
  <c r="I57" i="50"/>
  <c r="K57" i="50"/>
  <c r="B57" i="50"/>
  <c r="R57" i="50" s="1"/>
  <c r="F57" i="50"/>
  <c r="A57" i="50"/>
  <c r="Q57" i="50" s="1"/>
  <c r="P57" i="50" s="1"/>
  <c r="N57" i="50"/>
  <c r="Z55" i="50"/>
  <c r="W55" i="50"/>
  <c r="X55" i="50" s="1"/>
  <c r="G117" i="57"/>
  <c r="E117" i="57"/>
  <c r="P117" i="57"/>
  <c r="D117" i="57"/>
  <c r="C117" i="57"/>
  <c r="M117" i="57" s="1"/>
  <c r="H117" i="57"/>
  <c r="K117" i="57"/>
  <c r="I117" i="57"/>
  <c r="F117" i="57"/>
  <c r="J117" i="57"/>
  <c r="Q116" i="57"/>
  <c r="T116" i="57" s="1"/>
  <c r="AK116" i="55" a="1"/>
  <c r="AK116" i="55" s="1"/>
  <c r="B118" i="57" s="1"/>
  <c r="O118" i="57" s="1"/>
  <c r="C102" i="69"/>
  <c r="AE100" i="69"/>
  <c r="U100" i="69"/>
  <c r="Q100" i="69"/>
  <c r="R100" i="69"/>
  <c r="S100" i="69" s="1"/>
  <c r="Y100" i="69" s="1"/>
  <c r="AB100" i="69" s="1"/>
  <c r="AC100" i="69" s="1"/>
  <c r="AD100" i="69" s="1"/>
  <c r="AN102" i="67" a="1"/>
  <c r="AN102" i="67" s="1"/>
  <c r="B103" i="69"/>
  <c r="N101" i="69"/>
  <c r="AF101" i="69" s="1"/>
  <c r="D101" i="69"/>
  <c r="E101" i="69" s="1"/>
  <c r="F101" i="69" s="1"/>
  <c r="G101" i="69" s="1"/>
  <c r="H101" i="69" s="1"/>
  <c r="I101" i="69" s="1"/>
  <c r="J101" i="69" s="1"/>
  <c r="K101" i="69" s="1"/>
  <c r="M101" i="69" s="1"/>
  <c r="AL47" i="11" a="1"/>
  <c r="AL47" i="11" s="1"/>
  <c r="E48" i="32" s="1"/>
  <c r="AL57" i="59" a="1"/>
  <c r="AL57" i="59" s="1"/>
  <c r="E58" i="50" s="1"/>
  <c r="AB115" i="57" l="1"/>
  <c r="AA115" i="57"/>
  <c r="L103" i="69"/>
  <c r="O103" i="69"/>
  <c r="AG100" i="69"/>
  <c r="AO102" i="69"/>
  <c r="P102" i="69"/>
  <c r="AF115" i="57"/>
  <c r="T58" i="50"/>
  <c r="AK58" i="50"/>
  <c r="X116" i="57"/>
  <c r="AA116" i="57" s="1"/>
  <c r="AB116" i="53"/>
  <c r="AA116" i="53"/>
  <c r="AC117" i="53"/>
  <c r="AE117" i="53"/>
  <c r="AF116" i="53"/>
  <c r="AK48" i="32"/>
  <c r="T48" i="32"/>
  <c r="AC117" i="57"/>
  <c r="AE117" i="57"/>
  <c r="AM57" i="50"/>
  <c r="U57" i="50"/>
  <c r="AD56" i="50"/>
  <c r="AG56" i="50" s="1"/>
  <c r="AH56" i="50" s="1"/>
  <c r="AI56" i="50" s="1"/>
  <c r="AP54" i="50"/>
  <c r="R117" i="57"/>
  <c r="R117" i="53"/>
  <c r="X117" i="53" s="1"/>
  <c r="AL55" i="50"/>
  <c r="AX101" i="69"/>
  <c r="AG118" i="57"/>
  <c r="L118" i="57"/>
  <c r="O58" i="50"/>
  <c r="AJ117" i="57"/>
  <c r="AP117" i="57"/>
  <c r="AH117" i="53"/>
  <c r="AT117" i="53"/>
  <c r="AG117" i="53"/>
  <c r="N118" i="57"/>
  <c r="M118" i="53"/>
  <c r="N118" i="53"/>
  <c r="AH101" i="69"/>
  <c r="AJ56" i="50"/>
  <c r="C56" i="50"/>
  <c r="AD117" i="57"/>
  <c r="AD117" i="53"/>
  <c r="S57" i="50"/>
  <c r="V56" i="50"/>
  <c r="Q117" i="53"/>
  <c r="L118" i="53"/>
  <c r="J118" i="53"/>
  <c r="E118" i="53"/>
  <c r="G118" i="53"/>
  <c r="C118" i="53"/>
  <c r="AK117" i="52" a="1"/>
  <c r="AK117" i="52" s="1"/>
  <c r="B119" i="53" s="1"/>
  <c r="O119" i="53" s="1"/>
  <c r="P118" i="53"/>
  <c r="K118" i="53"/>
  <c r="D118" i="53"/>
  <c r="F118" i="53"/>
  <c r="H118" i="53"/>
  <c r="I118" i="53"/>
  <c r="I58" i="50"/>
  <c r="J58" i="50"/>
  <c r="K58" i="50"/>
  <c r="M58" i="50"/>
  <c r="L58" i="50"/>
  <c r="N58" i="50"/>
  <c r="G58" i="50"/>
  <c r="F58" i="50"/>
  <c r="A58" i="50"/>
  <c r="Q58" i="50" s="1"/>
  <c r="P58" i="50" s="1"/>
  <c r="H58" i="50"/>
  <c r="B58" i="50"/>
  <c r="R58" i="50" s="1"/>
  <c r="P118" i="57"/>
  <c r="I118" i="57"/>
  <c r="G118" i="57"/>
  <c r="E118" i="57"/>
  <c r="C118" i="57"/>
  <c r="M118" i="57" s="1"/>
  <c r="K118" i="57"/>
  <c r="F118" i="57"/>
  <c r="J118" i="57"/>
  <c r="D118" i="57"/>
  <c r="H118" i="57"/>
  <c r="Q117" i="57"/>
  <c r="T117" i="57" s="1"/>
  <c r="Z56" i="50"/>
  <c r="W56" i="50"/>
  <c r="X56" i="50" s="1"/>
  <c r="AK117" i="55" a="1"/>
  <c r="AK117" i="55" s="1"/>
  <c r="B119" i="57" s="1"/>
  <c r="O119" i="57" s="1"/>
  <c r="C103" i="69"/>
  <c r="U101" i="69"/>
  <c r="R101" i="69"/>
  <c r="S101" i="69" s="1"/>
  <c r="Y101" i="69" s="1"/>
  <c r="AE101" i="69"/>
  <c r="Q101" i="69"/>
  <c r="AN103" i="67" a="1"/>
  <c r="AN103" i="67" s="1"/>
  <c r="B104" i="69"/>
  <c r="D102" i="69"/>
  <c r="E102" i="69" s="1"/>
  <c r="F102" i="69" s="1"/>
  <c r="G102" i="69" s="1"/>
  <c r="H102" i="69" s="1"/>
  <c r="I102" i="69" s="1"/>
  <c r="J102" i="69" s="1"/>
  <c r="K102" i="69" s="1"/>
  <c r="M102" i="69" s="1"/>
  <c r="N102" i="69"/>
  <c r="AF102" i="69" s="1"/>
  <c r="AL48" i="11" a="1"/>
  <c r="AL48" i="11" s="1"/>
  <c r="E49" i="32" s="1"/>
  <c r="AL58" i="59" a="1"/>
  <c r="AL58" i="59" s="1"/>
  <c r="E59" i="50" s="1"/>
  <c r="AB101" i="69" l="1"/>
  <c r="AC101" i="69" s="1"/>
  <c r="AD101" i="69" s="1"/>
  <c r="AG101" i="69"/>
  <c r="AO103" i="69"/>
  <c r="P103" i="69"/>
  <c r="L104" i="69"/>
  <c r="O104" i="69"/>
  <c r="AB116" i="57"/>
  <c r="T59" i="50"/>
  <c r="AK59" i="50"/>
  <c r="X117" i="57"/>
  <c r="AA117" i="57" s="1"/>
  <c r="AF116" i="57"/>
  <c r="AF117" i="53"/>
  <c r="AC118" i="53"/>
  <c r="AE118" i="53"/>
  <c r="AB117" i="53"/>
  <c r="AA117" i="53"/>
  <c r="AK49" i="32"/>
  <c r="T49" i="32"/>
  <c r="AE118" i="57"/>
  <c r="AC118" i="57"/>
  <c r="AM58" i="50"/>
  <c r="U58" i="50"/>
  <c r="AD57" i="50"/>
  <c r="AG57" i="50" s="1"/>
  <c r="AH57" i="50" s="1"/>
  <c r="AI57" i="50" s="1"/>
  <c r="AP55" i="50"/>
  <c r="R118" i="57"/>
  <c r="R118" i="53"/>
  <c r="X118" i="53" s="1"/>
  <c r="AL56" i="50"/>
  <c r="AX102" i="69"/>
  <c r="AG119" i="57"/>
  <c r="L119" i="57"/>
  <c r="O59" i="50"/>
  <c r="AJ118" i="57"/>
  <c r="AP118" i="57"/>
  <c r="AH118" i="53"/>
  <c r="AT118" i="53"/>
  <c r="AG118" i="53"/>
  <c r="N119" i="57"/>
  <c r="N119" i="53"/>
  <c r="Q118" i="53"/>
  <c r="AD118" i="53"/>
  <c r="AH102" i="69"/>
  <c r="AJ57" i="50"/>
  <c r="C57" i="50"/>
  <c r="AD118" i="57"/>
  <c r="V57" i="50"/>
  <c r="S58" i="50"/>
  <c r="AK118" i="52" a="1"/>
  <c r="AK118" i="52" s="1"/>
  <c r="B120" i="53" s="1"/>
  <c r="O120" i="53" s="1"/>
  <c r="G119" i="53"/>
  <c r="E119" i="53"/>
  <c r="F119" i="53"/>
  <c r="K119" i="53"/>
  <c r="H119" i="53"/>
  <c r="I119" i="53"/>
  <c r="C119" i="53"/>
  <c r="P119" i="53"/>
  <c r="D119" i="53"/>
  <c r="M119" i="53"/>
  <c r="L119" i="53"/>
  <c r="J119" i="53"/>
  <c r="F59" i="50"/>
  <c r="M59" i="50"/>
  <c r="I59" i="50"/>
  <c r="K59" i="50"/>
  <c r="A59" i="50"/>
  <c r="Q59" i="50" s="1"/>
  <c r="P59" i="50" s="1"/>
  <c r="J59" i="50"/>
  <c r="L59" i="50"/>
  <c r="B59" i="50"/>
  <c r="R59" i="50" s="1"/>
  <c r="H59" i="50"/>
  <c r="G59" i="50"/>
  <c r="N59" i="50"/>
  <c r="Z57" i="50"/>
  <c r="W57" i="50"/>
  <c r="X57" i="50" s="1"/>
  <c r="Q118" i="57"/>
  <c r="T118" i="57" s="1"/>
  <c r="H119" i="57"/>
  <c r="G119" i="57"/>
  <c r="E119" i="57"/>
  <c r="P119" i="57"/>
  <c r="D119" i="57"/>
  <c r="C119" i="57"/>
  <c r="M119" i="57" s="1"/>
  <c r="I119" i="57"/>
  <c r="K119" i="57"/>
  <c r="F119" i="57"/>
  <c r="J119" i="57"/>
  <c r="AK118" i="55" a="1"/>
  <c r="AK118" i="55" s="1"/>
  <c r="B120" i="57" s="1"/>
  <c r="O120" i="57" s="1"/>
  <c r="Q102" i="69"/>
  <c r="U102" i="69"/>
  <c r="R102" i="69"/>
  <c r="S102" i="69" s="1"/>
  <c r="Y102" i="69" s="1"/>
  <c r="AE102" i="69"/>
  <c r="C104" i="69"/>
  <c r="AN104" i="67" a="1"/>
  <c r="AN104" i="67" s="1"/>
  <c r="B105" i="69"/>
  <c r="D103" i="69"/>
  <c r="E103" i="69" s="1"/>
  <c r="F103" i="69" s="1"/>
  <c r="G103" i="69" s="1"/>
  <c r="H103" i="69" s="1"/>
  <c r="I103" i="69" s="1"/>
  <c r="J103" i="69" s="1"/>
  <c r="K103" i="69" s="1"/>
  <c r="M103" i="69" s="1"/>
  <c r="N103" i="69"/>
  <c r="AF103" i="69" s="1"/>
  <c r="AL49" i="11" a="1"/>
  <c r="AL49" i="11" s="1"/>
  <c r="E50" i="32" s="1"/>
  <c r="AL59" i="59" a="1"/>
  <c r="AL59" i="59" s="1"/>
  <c r="E60" i="50" s="1"/>
  <c r="AB102" i="69" l="1"/>
  <c r="AC102" i="69" s="1"/>
  <c r="AD102" i="69" s="1"/>
  <c r="AG102" i="69"/>
  <c r="AO104" i="69"/>
  <c r="P104" i="69"/>
  <c r="L105" i="69"/>
  <c r="O105" i="69"/>
  <c r="AF117" i="57"/>
  <c r="T60" i="50"/>
  <c r="AK60" i="50"/>
  <c r="AB117" i="57"/>
  <c r="X118" i="57"/>
  <c r="AE119" i="53"/>
  <c r="AC119" i="53"/>
  <c r="AF118" i="53"/>
  <c r="AB118" i="53"/>
  <c r="AA118" i="53"/>
  <c r="AK50" i="32"/>
  <c r="T50" i="32"/>
  <c r="AE119" i="57"/>
  <c r="AC119" i="57"/>
  <c r="AM59" i="50"/>
  <c r="U59" i="50"/>
  <c r="AD58" i="50"/>
  <c r="AG58" i="50" s="1"/>
  <c r="AH58" i="50" s="1"/>
  <c r="AI58" i="50" s="1"/>
  <c r="AP56" i="50"/>
  <c r="R119" i="57"/>
  <c r="R119" i="53"/>
  <c r="X119" i="53" s="1"/>
  <c r="AL57" i="50"/>
  <c r="AX103" i="69"/>
  <c r="AG120" i="57"/>
  <c r="L120" i="57"/>
  <c r="O60" i="50"/>
  <c r="AJ119" i="57"/>
  <c r="AP119" i="57"/>
  <c r="AG119" i="53"/>
  <c r="AH119" i="53"/>
  <c r="AT119" i="53"/>
  <c r="N120" i="57"/>
  <c r="N120" i="53"/>
  <c r="AH103" i="69"/>
  <c r="AJ58" i="50"/>
  <c r="C58" i="50"/>
  <c r="AD119" i="57"/>
  <c r="AD119" i="53"/>
  <c r="S59" i="50"/>
  <c r="V58" i="50"/>
  <c r="Q119" i="53"/>
  <c r="AK119" i="52" a="1"/>
  <c r="AK119" i="52" s="1"/>
  <c r="B121" i="53" s="1"/>
  <c r="O121" i="53" s="1"/>
  <c r="H120" i="53"/>
  <c r="J120" i="53"/>
  <c r="E120" i="53"/>
  <c r="D120" i="53"/>
  <c r="K120" i="53"/>
  <c r="G120" i="53"/>
  <c r="C120" i="53"/>
  <c r="M120" i="53"/>
  <c r="P120" i="53"/>
  <c r="I120" i="53"/>
  <c r="L120" i="53"/>
  <c r="F120" i="53"/>
  <c r="H60" i="50"/>
  <c r="N60" i="50"/>
  <c r="B60" i="50"/>
  <c r="R60" i="50" s="1"/>
  <c r="M60" i="50"/>
  <c r="L60" i="50"/>
  <c r="F60" i="50"/>
  <c r="I60" i="50"/>
  <c r="K60" i="50"/>
  <c r="J60" i="50"/>
  <c r="G60" i="50"/>
  <c r="A60" i="50"/>
  <c r="Q60" i="50" s="1"/>
  <c r="P60" i="50" s="1"/>
  <c r="P120" i="57"/>
  <c r="K120" i="57"/>
  <c r="I120" i="57"/>
  <c r="G120" i="57"/>
  <c r="E120" i="57"/>
  <c r="C120" i="57"/>
  <c r="M120" i="57" s="1"/>
  <c r="F120" i="57"/>
  <c r="J120" i="57"/>
  <c r="H120" i="57"/>
  <c r="D120" i="57"/>
  <c r="Q119" i="57"/>
  <c r="T119" i="57" s="1"/>
  <c r="X119" i="57" s="1"/>
  <c r="AA119" i="57" s="1"/>
  <c r="W58" i="50"/>
  <c r="X58" i="50" s="1"/>
  <c r="Z58" i="50"/>
  <c r="AK119" i="55" a="1"/>
  <c r="AK119" i="55" s="1"/>
  <c r="B121" i="57" s="1"/>
  <c r="O121" i="57" s="1"/>
  <c r="C105" i="69"/>
  <c r="AN105" i="67" a="1"/>
  <c r="AN105" i="67" s="1"/>
  <c r="B106" i="69"/>
  <c r="N104" i="69"/>
  <c r="AF104" i="69" s="1"/>
  <c r="D104" i="69"/>
  <c r="E104" i="69" s="1"/>
  <c r="F104" i="69" s="1"/>
  <c r="G104" i="69" s="1"/>
  <c r="H104" i="69" s="1"/>
  <c r="I104" i="69" s="1"/>
  <c r="J104" i="69" s="1"/>
  <c r="K104" i="69" s="1"/>
  <c r="M104" i="69" s="1"/>
  <c r="Q103" i="69"/>
  <c r="AE103" i="69"/>
  <c r="U103" i="69"/>
  <c r="R103" i="69"/>
  <c r="S103" i="69" s="1"/>
  <c r="Y103" i="69" s="1"/>
  <c r="AB103" i="69" s="1"/>
  <c r="AC103" i="69" s="1"/>
  <c r="AD103" i="69" s="1"/>
  <c r="AL50" i="11" a="1"/>
  <c r="AL50" i="11" s="1"/>
  <c r="E51" i="32" s="1"/>
  <c r="AL60" i="59" a="1"/>
  <c r="AL60" i="59" s="1"/>
  <c r="E61" i="50" s="1"/>
  <c r="AF118" i="57" l="1"/>
  <c r="AA118" i="57"/>
  <c r="AG103" i="69"/>
  <c r="AO105" i="69"/>
  <c r="P105" i="69"/>
  <c r="L106" i="69"/>
  <c r="O106" i="69"/>
  <c r="T61" i="50"/>
  <c r="AK61" i="50"/>
  <c r="AB118" i="57"/>
  <c r="AC120" i="53"/>
  <c r="AE120" i="53"/>
  <c r="AB119" i="53"/>
  <c r="AA119" i="53"/>
  <c r="AF119" i="53"/>
  <c r="AK51" i="32"/>
  <c r="T51" i="32"/>
  <c r="AB119" i="57"/>
  <c r="AC120" i="57"/>
  <c r="AE120" i="57"/>
  <c r="AF119" i="57"/>
  <c r="AD59" i="50"/>
  <c r="AG59" i="50" s="1"/>
  <c r="AH59" i="50" s="1"/>
  <c r="AI59" i="50" s="1"/>
  <c r="AM60" i="50"/>
  <c r="U60" i="50"/>
  <c r="AP57" i="50"/>
  <c r="R120" i="57"/>
  <c r="R120" i="53"/>
  <c r="X120" i="53" s="1"/>
  <c r="AL58" i="50"/>
  <c r="AX104" i="69"/>
  <c r="AG121" i="57"/>
  <c r="L121" i="57"/>
  <c r="O61" i="50"/>
  <c r="AJ120" i="57"/>
  <c r="AP120" i="57"/>
  <c r="AH120" i="53"/>
  <c r="AT120" i="53"/>
  <c r="AG120" i="53"/>
  <c r="N121" i="57"/>
  <c r="F121" i="53"/>
  <c r="N121" i="53"/>
  <c r="AH104" i="69"/>
  <c r="AJ59" i="50"/>
  <c r="C59" i="50"/>
  <c r="AD120" i="57"/>
  <c r="Q120" i="53"/>
  <c r="AD120" i="53"/>
  <c r="S60" i="50"/>
  <c r="V59" i="50"/>
  <c r="P121" i="53"/>
  <c r="M121" i="53"/>
  <c r="K121" i="53"/>
  <c r="L121" i="53"/>
  <c r="D121" i="53"/>
  <c r="J121" i="53"/>
  <c r="E121" i="53"/>
  <c r="I121" i="53"/>
  <c r="C121" i="53"/>
  <c r="AK120" i="52" a="1"/>
  <c r="AK120" i="52" s="1"/>
  <c r="B122" i="53" s="1"/>
  <c r="O122" i="53" s="1"/>
  <c r="H121" i="53"/>
  <c r="G121" i="53"/>
  <c r="B61" i="50"/>
  <c r="R61" i="50" s="1"/>
  <c r="A61" i="50"/>
  <c r="Q61" i="50" s="1"/>
  <c r="P61" i="50" s="1"/>
  <c r="H61" i="50"/>
  <c r="K61" i="50"/>
  <c r="M61" i="50"/>
  <c r="I61" i="50"/>
  <c r="G61" i="50"/>
  <c r="J61" i="50"/>
  <c r="L61" i="50"/>
  <c r="N61" i="50"/>
  <c r="F61" i="50"/>
  <c r="Q120" i="57"/>
  <c r="T120" i="57" s="1"/>
  <c r="Z59" i="50"/>
  <c r="W59" i="50"/>
  <c r="X59" i="50" s="1"/>
  <c r="I121" i="57"/>
  <c r="H121" i="57"/>
  <c r="G121" i="57"/>
  <c r="E121" i="57"/>
  <c r="P121" i="57"/>
  <c r="D121" i="57"/>
  <c r="K121" i="57"/>
  <c r="C121" i="57"/>
  <c r="M121" i="57" s="1"/>
  <c r="F121" i="57"/>
  <c r="J121" i="57"/>
  <c r="AK120" i="55" a="1"/>
  <c r="AK120" i="55" s="1"/>
  <c r="B122" i="57" s="1"/>
  <c r="O122" i="57" s="1"/>
  <c r="AN106" i="67" a="1"/>
  <c r="AN106" i="67" s="1"/>
  <c r="B107" i="69"/>
  <c r="D105" i="69"/>
  <c r="E105" i="69" s="1"/>
  <c r="F105" i="69" s="1"/>
  <c r="G105" i="69" s="1"/>
  <c r="H105" i="69" s="1"/>
  <c r="I105" i="69" s="1"/>
  <c r="J105" i="69" s="1"/>
  <c r="K105" i="69" s="1"/>
  <c r="M105" i="69" s="1"/>
  <c r="N105" i="69"/>
  <c r="AF105" i="69" s="1"/>
  <c r="U104" i="69"/>
  <c r="AE104" i="69"/>
  <c r="Q104" i="69"/>
  <c r="R104" i="69"/>
  <c r="S104" i="69" s="1"/>
  <c r="Y104" i="69" s="1"/>
  <c r="C106" i="69"/>
  <c r="AL51" i="11" a="1"/>
  <c r="AL51" i="11" s="1"/>
  <c r="E52" i="32" s="1"/>
  <c r="AL61" i="59" a="1"/>
  <c r="AL61" i="59" s="1"/>
  <c r="E62" i="50" s="1"/>
  <c r="X120" i="57" l="1"/>
  <c r="AB104" i="69"/>
  <c r="AC104" i="69" s="1"/>
  <c r="AD104" i="69" s="1"/>
  <c r="AG104" i="69"/>
  <c r="AO106" i="69"/>
  <c r="P106" i="69"/>
  <c r="L107" i="69"/>
  <c r="O107" i="69"/>
  <c r="T62" i="50"/>
  <c r="AK62" i="50"/>
  <c r="AB120" i="53"/>
  <c r="AA120" i="53"/>
  <c r="AC121" i="53"/>
  <c r="AE121" i="53"/>
  <c r="AF120" i="53"/>
  <c r="AK52" i="32"/>
  <c r="T52" i="32"/>
  <c r="AC121" i="57"/>
  <c r="AE121" i="57"/>
  <c r="AM61" i="50"/>
  <c r="U61" i="50"/>
  <c r="AD60" i="50"/>
  <c r="AG60" i="50" s="1"/>
  <c r="AH60" i="50" s="1"/>
  <c r="AI60" i="50" s="1"/>
  <c r="AP58" i="50"/>
  <c r="R121" i="57"/>
  <c r="R121" i="53"/>
  <c r="X121" i="53" s="1"/>
  <c r="AL59" i="50"/>
  <c r="AX105" i="69"/>
  <c r="AG122" i="57"/>
  <c r="L122" i="57"/>
  <c r="O62" i="50"/>
  <c r="AJ121" i="57"/>
  <c r="AP121" i="57"/>
  <c r="AH121" i="53"/>
  <c r="AT121" i="53"/>
  <c r="AG121" i="53"/>
  <c r="N122" i="57"/>
  <c r="P122" i="53"/>
  <c r="N122" i="53"/>
  <c r="AH105" i="69"/>
  <c r="AJ60" i="50"/>
  <c r="C60" i="50"/>
  <c r="AD121" i="57"/>
  <c r="AD121" i="53"/>
  <c r="S61" i="50"/>
  <c r="V60" i="50"/>
  <c r="Q121" i="53"/>
  <c r="C122" i="53"/>
  <c r="K122" i="53"/>
  <c r="D122" i="53"/>
  <c r="M122" i="53"/>
  <c r="J122" i="53"/>
  <c r="G122" i="53"/>
  <c r="I122" i="53"/>
  <c r="E122" i="53"/>
  <c r="AK121" i="52" a="1"/>
  <c r="AK121" i="52" s="1"/>
  <c r="B123" i="53" s="1"/>
  <c r="O123" i="53" s="1"/>
  <c r="F122" i="53"/>
  <c r="H122" i="53"/>
  <c r="L122" i="53"/>
  <c r="G62" i="50"/>
  <c r="L62" i="50"/>
  <c r="A62" i="50"/>
  <c r="Q62" i="50" s="1"/>
  <c r="P62" i="50" s="1"/>
  <c r="B62" i="50"/>
  <c r="R62" i="50" s="1"/>
  <c r="F62" i="50"/>
  <c r="H62" i="50"/>
  <c r="N62" i="50"/>
  <c r="K62" i="50"/>
  <c r="M62" i="50"/>
  <c r="J62" i="50"/>
  <c r="I62" i="50"/>
  <c r="P122" i="57"/>
  <c r="K122" i="57"/>
  <c r="I122" i="57"/>
  <c r="G122" i="57"/>
  <c r="E122" i="57"/>
  <c r="C122" i="57"/>
  <c r="M122" i="57" s="1"/>
  <c r="F122" i="57"/>
  <c r="J122" i="57"/>
  <c r="D122" i="57"/>
  <c r="H122" i="57"/>
  <c r="Z60" i="50"/>
  <c r="W60" i="50"/>
  <c r="X60" i="50" s="1"/>
  <c r="Q121" i="57"/>
  <c r="T121" i="57" s="1"/>
  <c r="X121" i="57" s="1"/>
  <c r="AA121" i="57" s="1"/>
  <c r="AK121" i="55" a="1"/>
  <c r="AK121" i="55" s="1"/>
  <c r="B123" i="57" s="1"/>
  <c r="O123" i="57" s="1"/>
  <c r="N106" i="69"/>
  <c r="AF106" i="69" s="1"/>
  <c r="D106" i="69"/>
  <c r="E106" i="69" s="1"/>
  <c r="F106" i="69" s="1"/>
  <c r="G106" i="69" s="1"/>
  <c r="H106" i="69" s="1"/>
  <c r="I106" i="69" s="1"/>
  <c r="J106" i="69" s="1"/>
  <c r="K106" i="69" s="1"/>
  <c r="M106" i="69" s="1"/>
  <c r="C107" i="69"/>
  <c r="Q105" i="69"/>
  <c r="R105" i="69"/>
  <c r="S105" i="69" s="1"/>
  <c r="Y105" i="69" s="1"/>
  <c r="U105" i="69"/>
  <c r="AE105" i="69"/>
  <c r="AN107" i="67" a="1"/>
  <c r="AN107" i="67" s="1"/>
  <c r="B108" i="69"/>
  <c r="AL52" i="11" a="1"/>
  <c r="AL52" i="11" s="1"/>
  <c r="E53" i="32" s="1"/>
  <c r="AL62" i="59" a="1"/>
  <c r="AL62" i="59" s="1"/>
  <c r="E63" i="50" s="1"/>
  <c r="AB120" i="57" l="1"/>
  <c r="AA120" i="57"/>
  <c r="AF120" i="57"/>
  <c r="AB105" i="69"/>
  <c r="AC105" i="69" s="1"/>
  <c r="AD105" i="69" s="1"/>
  <c r="AG105" i="69"/>
  <c r="L108" i="69"/>
  <c r="O108" i="69"/>
  <c r="AO107" i="69"/>
  <c r="P107" i="69"/>
  <c r="AK63" i="50"/>
  <c r="T63" i="50"/>
  <c r="AF121" i="53"/>
  <c r="AB121" i="53"/>
  <c r="AA121" i="53"/>
  <c r="AC122" i="53"/>
  <c r="AE122" i="53"/>
  <c r="AK53" i="32"/>
  <c r="T53" i="32"/>
  <c r="AB121" i="57"/>
  <c r="AF121" i="57"/>
  <c r="AE122" i="57"/>
  <c r="AC122" i="57"/>
  <c r="AD61" i="50"/>
  <c r="AG61" i="50" s="1"/>
  <c r="AH61" i="50" s="1"/>
  <c r="AI61" i="50" s="1"/>
  <c r="AM62" i="50"/>
  <c r="U62" i="50"/>
  <c r="AP59" i="50"/>
  <c r="R122" i="57"/>
  <c r="R122" i="53"/>
  <c r="X122" i="53" s="1"/>
  <c r="AL60" i="50"/>
  <c r="AX106" i="69"/>
  <c r="AG123" i="57"/>
  <c r="L123" i="57"/>
  <c r="O63" i="50"/>
  <c r="AJ122" i="57"/>
  <c r="AP122" i="57"/>
  <c r="AH122" i="53"/>
  <c r="AT122" i="53"/>
  <c r="AG122" i="53"/>
  <c r="N123" i="57"/>
  <c r="N123" i="53"/>
  <c r="AH106" i="69"/>
  <c r="AJ61" i="50"/>
  <c r="C61" i="50"/>
  <c r="AD122" i="57"/>
  <c r="Q122" i="53"/>
  <c r="AD122" i="53"/>
  <c r="S62" i="50"/>
  <c r="V61" i="50"/>
  <c r="C123" i="53"/>
  <c r="J123" i="53"/>
  <c r="M123" i="53"/>
  <c r="P123" i="53"/>
  <c r="F123" i="53"/>
  <c r="I123" i="53"/>
  <c r="G123" i="53"/>
  <c r="H123" i="53"/>
  <c r="D123" i="53"/>
  <c r="AK122" i="52" a="1"/>
  <c r="AK122" i="52" s="1"/>
  <c r="B124" i="53" s="1"/>
  <c r="O124" i="53" s="1"/>
  <c r="E123" i="53"/>
  <c r="K123" i="53"/>
  <c r="L123" i="53"/>
  <c r="I63" i="50"/>
  <c r="M63" i="50"/>
  <c r="G63" i="50"/>
  <c r="F63" i="50"/>
  <c r="L63" i="50"/>
  <c r="K63" i="50"/>
  <c r="A63" i="50"/>
  <c r="Q63" i="50" s="1"/>
  <c r="P63" i="50" s="1"/>
  <c r="H63" i="50"/>
  <c r="N63" i="50"/>
  <c r="J63" i="50"/>
  <c r="B63" i="50"/>
  <c r="R63" i="50" s="1"/>
  <c r="Z61" i="50"/>
  <c r="W61" i="50"/>
  <c r="X61" i="50" s="1"/>
  <c r="Q122" i="57"/>
  <c r="T122" i="57" s="1"/>
  <c r="K123" i="57"/>
  <c r="I123" i="57"/>
  <c r="H123" i="57"/>
  <c r="G123" i="57"/>
  <c r="E123" i="57"/>
  <c r="D123" i="57"/>
  <c r="C123" i="57"/>
  <c r="M123" i="57" s="1"/>
  <c r="P123" i="57"/>
  <c r="J123" i="57"/>
  <c r="F123" i="57"/>
  <c r="AK122" i="55" a="1"/>
  <c r="AK122" i="55" s="1"/>
  <c r="B124" i="57" s="1"/>
  <c r="O124" i="57" s="1"/>
  <c r="AN108" i="67" a="1"/>
  <c r="AN108" i="67" s="1"/>
  <c r="B109" i="69"/>
  <c r="N107" i="69"/>
  <c r="AF107" i="69" s="1"/>
  <c r="D107" i="69"/>
  <c r="E107" i="69" s="1"/>
  <c r="F107" i="69" s="1"/>
  <c r="G107" i="69" s="1"/>
  <c r="H107" i="69" s="1"/>
  <c r="I107" i="69" s="1"/>
  <c r="J107" i="69" s="1"/>
  <c r="K107" i="69" s="1"/>
  <c r="M107" i="69" s="1"/>
  <c r="AE106" i="69"/>
  <c r="R106" i="69"/>
  <c r="S106" i="69" s="1"/>
  <c r="Y106" i="69" s="1"/>
  <c r="AB106" i="69" s="1"/>
  <c r="AC106" i="69" s="1"/>
  <c r="AD106" i="69" s="1"/>
  <c r="U106" i="69"/>
  <c r="Q106" i="69"/>
  <c r="C108" i="69"/>
  <c r="AL53" i="11" a="1"/>
  <c r="AL53" i="11" s="1"/>
  <c r="E54" i="32" s="1"/>
  <c r="AL63" i="59" a="1"/>
  <c r="AL63" i="59" s="1"/>
  <c r="E64" i="50" s="1"/>
  <c r="AO108" i="69" l="1"/>
  <c r="P108" i="69"/>
  <c r="AG106" i="69"/>
  <c r="L109" i="69"/>
  <c r="O109" i="69"/>
  <c r="AK64" i="50"/>
  <c r="T64" i="50"/>
  <c r="AE123" i="53"/>
  <c r="AC123" i="53"/>
  <c r="AF122" i="53"/>
  <c r="AB122" i="53"/>
  <c r="AA122" i="53"/>
  <c r="AK54" i="32"/>
  <c r="T54" i="32"/>
  <c r="X122" i="57"/>
  <c r="AA122" i="57" s="1"/>
  <c r="AE123" i="57"/>
  <c r="AC123" i="57"/>
  <c r="AM63" i="50"/>
  <c r="U63" i="50"/>
  <c r="AD62" i="50"/>
  <c r="AG62" i="50" s="1"/>
  <c r="AH62" i="50" s="1"/>
  <c r="AI62" i="50" s="1"/>
  <c r="AP60" i="50"/>
  <c r="R123" i="57"/>
  <c r="R123" i="53"/>
  <c r="X123" i="53" s="1"/>
  <c r="AL61" i="50"/>
  <c r="AX107" i="69"/>
  <c r="AG124" i="57"/>
  <c r="L124" i="57"/>
  <c r="O64" i="50"/>
  <c r="AJ123" i="57"/>
  <c r="AP123" i="57"/>
  <c r="AG123" i="53"/>
  <c r="AH123" i="53"/>
  <c r="AT123" i="53"/>
  <c r="N124" i="57"/>
  <c r="K124" i="53"/>
  <c r="N124" i="53"/>
  <c r="AH107" i="69"/>
  <c r="AJ62" i="50"/>
  <c r="C62" i="50"/>
  <c r="AD123" i="57"/>
  <c r="Q123" i="53"/>
  <c r="AD123" i="53"/>
  <c r="S63" i="50"/>
  <c r="V62" i="50"/>
  <c r="P124" i="53"/>
  <c r="D124" i="53"/>
  <c r="M124" i="53"/>
  <c r="J124" i="53"/>
  <c r="H124" i="53"/>
  <c r="I124" i="53"/>
  <c r="F124" i="53"/>
  <c r="E124" i="53"/>
  <c r="G124" i="53"/>
  <c r="AK123" i="52" a="1"/>
  <c r="AK123" i="52" s="1"/>
  <c r="B125" i="53" s="1"/>
  <c r="O125" i="53" s="1"/>
  <c r="L124" i="53"/>
  <c r="C124" i="53"/>
  <c r="F64" i="50"/>
  <c r="H64" i="50"/>
  <c r="J64" i="50"/>
  <c r="L64" i="50"/>
  <c r="B64" i="50"/>
  <c r="R64" i="50" s="1"/>
  <c r="I64" i="50"/>
  <c r="G64" i="50"/>
  <c r="K64" i="50"/>
  <c r="M64" i="50"/>
  <c r="N64" i="50"/>
  <c r="A64" i="50"/>
  <c r="Q64" i="50" s="1"/>
  <c r="P64" i="50" s="1"/>
  <c r="W62" i="50"/>
  <c r="X62" i="50" s="1"/>
  <c r="Z62" i="50"/>
  <c r="P124" i="57"/>
  <c r="K124" i="57"/>
  <c r="I124" i="57"/>
  <c r="G124" i="57"/>
  <c r="E124" i="57"/>
  <c r="C124" i="57"/>
  <c r="M124" i="57" s="1"/>
  <c r="F124" i="57"/>
  <c r="J124" i="57"/>
  <c r="H124" i="57"/>
  <c r="D124" i="57"/>
  <c r="Q123" i="57"/>
  <c r="T123" i="57" s="1"/>
  <c r="AK123" i="55" a="1"/>
  <c r="AK123" i="55" s="1"/>
  <c r="B125" i="57" s="1"/>
  <c r="O125" i="57" s="1"/>
  <c r="C109" i="69"/>
  <c r="N108" i="69"/>
  <c r="AF108" i="69" s="1"/>
  <c r="D108" i="69"/>
  <c r="E108" i="69" s="1"/>
  <c r="F108" i="69" s="1"/>
  <c r="G108" i="69" s="1"/>
  <c r="H108" i="69" s="1"/>
  <c r="I108" i="69" s="1"/>
  <c r="J108" i="69" s="1"/>
  <c r="K108" i="69" s="1"/>
  <c r="M108" i="69" s="1"/>
  <c r="AE107" i="69"/>
  <c r="U107" i="69"/>
  <c r="Q107" i="69"/>
  <c r="R107" i="69"/>
  <c r="S107" i="69" s="1"/>
  <c r="Y107" i="69" s="1"/>
  <c r="AB107" i="69" s="1"/>
  <c r="AC107" i="69" s="1"/>
  <c r="AD107" i="69" s="1"/>
  <c r="AN109" i="67" a="1"/>
  <c r="AN109" i="67" s="1"/>
  <c r="B110" i="69"/>
  <c r="AL54" i="11" a="1"/>
  <c r="AL54" i="11" s="1"/>
  <c r="AL64" i="59" a="1"/>
  <c r="AL64" i="59" s="1"/>
  <c r="E65" i="50" s="1"/>
  <c r="AG107" i="69" l="1"/>
  <c r="L110" i="69"/>
  <c r="O110" i="69"/>
  <c r="AO109" i="69"/>
  <c r="P109" i="69"/>
  <c r="T65" i="50"/>
  <c r="AK65" i="50"/>
  <c r="X123" i="57"/>
  <c r="AA123" i="57" s="1"/>
  <c r="AB123" i="53"/>
  <c r="AA123" i="53"/>
  <c r="AC124" i="53"/>
  <c r="AE124" i="53"/>
  <c r="AF123" i="53"/>
  <c r="AB122" i="57"/>
  <c r="AF122" i="57"/>
  <c r="AE124" i="57"/>
  <c r="AC124" i="57"/>
  <c r="AM64" i="50"/>
  <c r="U64" i="50"/>
  <c r="AD63" i="50"/>
  <c r="AG63" i="50" s="1"/>
  <c r="AH63" i="50" s="1"/>
  <c r="AI63" i="50" s="1"/>
  <c r="R124" i="57"/>
  <c r="R124" i="53"/>
  <c r="X124" i="53" s="1"/>
  <c r="AL62" i="50"/>
  <c r="AP61" i="50"/>
  <c r="AX108" i="69"/>
  <c r="AG125" i="57"/>
  <c r="L125" i="57"/>
  <c r="O65" i="50"/>
  <c r="AJ124" i="57"/>
  <c r="AP124" i="57"/>
  <c r="AH124" i="53"/>
  <c r="AT124" i="53"/>
  <c r="AG124" i="53"/>
  <c r="N125" i="57"/>
  <c r="J125" i="53"/>
  <c r="N125" i="53"/>
  <c r="AH108" i="69"/>
  <c r="AJ63" i="50"/>
  <c r="C63" i="50"/>
  <c r="AD124" i="57"/>
  <c r="AD124" i="53"/>
  <c r="S64" i="50"/>
  <c r="V63" i="50"/>
  <c r="Q124" i="53"/>
  <c r="M125" i="53"/>
  <c r="E125" i="53"/>
  <c r="H125" i="53"/>
  <c r="G125" i="53"/>
  <c r="K125" i="53"/>
  <c r="D125" i="53"/>
  <c r="I125" i="53"/>
  <c r="C125" i="53"/>
  <c r="P125" i="53"/>
  <c r="AK124" i="52" a="1"/>
  <c r="AK124" i="52" s="1"/>
  <c r="B126" i="53" s="1"/>
  <c r="O126" i="53" s="1"/>
  <c r="L125" i="53"/>
  <c r="F125" i="53"/>
  <c r="M65" i="50"/>
  <c r="I65" i="50"/>
  <c r="B65" i="50"/>
  <c r="R65" i="50" s="1"/>
  <c r="J65" i="50"/>
  <c r="A65" i="50"/>
  <c r="Q65" i="50" s="1"/>
  <c r="P65" i="50" s="1"/>
  <c r="L65" i="50"/>
  <c r="F65" i="50"/>
  <c r="G65" i="50"/>
  <c r="N65" i="50"/>
  <c r="H65" i="50"/>
  <c r="K65" i="50"/>
  <c r="Q124" i="57"/>
  <c r="T124" i="57" s="1"/>
  <c r="K125" i="57"/>
  <c r="I125" i="57"/>
  <c r="H125" i="57"/>
  <c r="G125" i="57"/>
  <c r="C125" i="57"/>
  <c r="M125" i="57" s="1"/>
  <c r="P125" i="57"/>
  <c r="E125" i="57"/>
  <c r="D125" i="57"/>
  <c r="F125" i="57"/>
  <c r="J125" i="57"/>
  <c r="Z63" i="50"/>
  <c r="W63" i="50"/>
  <c r="X63" i="50" s="1"/>
  <c r="E55" i="32"/>
  <c r="AK124" i="55" a="1"/>
  <c r="AK124" i="55" s="1"/>
  <c r="B126" i="57" s="1"/>
  <c r="O126" i="57" s="1"/>
  <c r="AN110" i="67" a="1"/>
  <c r="AN110" i="67" s="1"/>
  <c r="B111" i="69"/>
  <c r="N109" i="69"/>
  <c r="AF109" i="69" s="1"/>
  <c r="D109" i="69"/>
  <c r="E109" i="69" s="1"/>
  <c r="F109" i="69" s="1"/>
  <c r="G109" i="69" s="1"/>
  <c r="H109" i="69" s="1"/>
  <c r="I109" i="69" s="1"/>
  <c r="J109" i="69" s="1"/>
  <c r="K109" i="69" s="1"/>
  <c r="M109" i="69" s="1"/>
  <c r="C110" i="69"/>
  <c r="Q108" i="69"/>
  <c r="U108" i="69"/>
  <c r="AE108" i="69"/>
  <c r="R108" i="69"/>
  <c r="S108" i="69" s="1"/>
  <c r="Y108" i="69" s="1"/>
  <c r="AL55" i="11" a="1"/>
  <c r="AL55" i="11" s="1"/>
  <c r="E56" i="32" s="1"/>
  <c r="AL65" i="59" a="1"/>
  <c r="AL65" i="59" s="1"/>
  <c r="E66" i="50" s="1"/>
  <c r="X124" i="57" l="1"/>
  <c r="AB108" i="69"/>
  <c r="AC108" i="69" s="1"/>
  <c r="AD108" i="69" s="1"/>
  <c r="AG108" i="69"/>
  <c r="L111" i="69"/>
  <c r="O111" i="69"/>
  <c r="AO110" i="69"/>
  <c r="P110" i="69"/>
  <c r="T66" i="50"/>
  <c r="AK66" i="50"/>
  <c r="AF123" i="57"/>
  <c r="AB123" i="57"/>
  <c r="AB124" i="53"/>
  <c r="AA124" i="53"/>
  <c r="AC125" i="53"/>
  <c r="AE125" i="53"/>
  <c r="AF124" i="53"/>
  <c r="AK55" i="32"/>
  <c r="T55" i="32"/>
  <c r="AK56" i="32"/>
  <c r="T56" i="32"/>
  <c r="AC125" i="57"/>
  <c r="AE125" i="57"/>
  <c r="AM65" i="50"/>
  <c r="U65" i="50"/>
  <c r="AD64" i="50"/>
  <c r="AG64" i="50" s="1"/>
  <c r="AH64" i="50" s="1"/>
  <c r="AI64" i="50" s="1"/>
  <c r="R125" i="57"/>
  <c r="R125" i="53"/>
  <c r="X125" i="53" s="1"/>
  <c r="AL63" i="50"/>
  <c r="AP62" i="50"/>
  <c r="AX109" i="69"/>
  <c r="AG126" i="57"/>
  <c r="L126" i="57"/>
  <c r="O66" i="50"/>
  <c r="AJ125" i="57"/>
  <c r="AP125" i="57"/>
  <c r="AH125" i="53"/>
  <c r="AT125" i="53"/>
  <c r="AG125" i="53"/>
  <c r="N126" i="57"/>
  <c r="J126" i="53"/>
  <c r="N126" i="53"/>
  <c r="AH109" i="69"/>
  <c r="AJ64" i="50"/>
  <c r="C64" i="50"/>
  <c r="AD125" i="57"/>
  <c r="Q125" i="53"/>
  <c r="AD125" i="53"/>
  <c r="S65" i="50"/>
  <c r="V64" i="50"/>
  <c r="I126" i="53"/>
  <c r="D126" i="53"/>
  <c r="M126" i="53"/>
  <c r="F126" i="53"/>
  <c r="E126" i="53"/>
  <c r="L126" i="53"/>
  <c r="C126" i="53"/>
  <c r="K126" i="53"/>
  <c r="H126" i="53"/>
  <c r="G126" i="53"/>
  <c r="AK125" i="52" a="1"/>
  <c r="AK125" i="52" s="1"/>
  <c r="B127" i="53" s="1"/>
  <c r="O127" i="53" s="1"/>
  <c r="P126" i="53"/>
  <c r="I66" i="50"/>
  <c r="A66" i="50"/>
  <c r="Q66" i="50" s="1"/>
  <c r="P66" i="50" s="1"/>
  <c r="L66" i="50"/>
  <c r="K66" i="50"/>
  <c r="G66" i="50"/>
  <c r="N66" i="50"/>
  <c r="B66" i="50"/>
  <c r="R66" i="50" s="1"/>
  <c r="H66" i="50"/>
  <c r="J66" i="50"/>
  <c r="F66" i="50"/>
  <c r="M66" i="50"/>
  <c r="Z64" i="50"/>
  <c r="W64" i="50"/>
  <c r="X64" i="50" s="1"/>
  <c r="P126" i="57"/>
  <c r="K126" i="57"/>
  <c r="I126" i="57"/>
  <c r="C126" i="57"/>
  <c r="M126" i="57" s="1"/>
  <c r="G126" i="57"/>
  <c r="E126" i="57"/>
  <c r="F126" i="57"/>
  <c r="J126" i="57"/>
  <c r="D126" i="57"/>
  <c r="H126" i="57"/>
  <c r="Q125" i="57"/>
  <c r="T125" i="57" s="1"/>
  <c r="AK125" i="55" a="1"/>
  <c r="AK125" i="55" s="1"/>
  <c r="B127" i="57" s="1"/>
  <c r="O127" i="57" s="1"/>
  <c r="C111" i="69"/>
  <c r="AE109" i="69"/>
  <c r="U109" i="69"/>
  <c r="R109" i="69"/>
  <c r="S109" i="69" s="1"/>
  <c r="Y109" i="69" s="1"/>
  <c r="AB109" i="69" s="1"/>
  <c r="AC109" i="69" s="1"/>
  <c r="AD109" i="69" s="1"/>
  <c r="Q109" i="69"/>
  <c r="N110" i="69"/>
  <c r="AF110" i="69" s="1"/>
  <c r="D110" i="69"/>
  <c r="E110" i="69" s="1"/>
  <c r="F110" i="69" s="1"/>
  <c r="G110" i="69" s="1"/>
  <c r="H110" i="69" s="1"/>
  <c r="I110" i="69" s="1"/>
  <c r="J110" i="69" s="1"/>
  <c r="K110" i="69" s="1"/>
  <c r="M110" i="69" s="1"/>
  <c r="AN111" i="67" a="1"/>
  <c r="AN111" i="67" s="1"/>
  <c r="B112" i="69"/>
  <c r="AL56" i="11" a="1"/>
  <c r="AL56" i="11" s="1"/>
  <c r="AL66" i="59" a="1"/>
  <c r="AL66" i="59" s="1"/>
  <c r="E67" i="50" s="1"/>
  <c r="AB124" i="57" l="1"/>
  <c r="AA124" i="57"/>
  <c r="AF124" i="57"/>
  <c r="AG109" i="69"/>
  <c r="L112" i="69"/>
  <c r="O112" i="69"/>
  <c r="AO111" i="69"/>
  <c r="P111" i="69"/>
  <c r="T67" i="50"/>
  <c r="AK67" i="50"/>
  <c r="X125" i="57"/>
  <c r="AC126" i="53"/>
  <c r="AE126" i="53"/>
  <c r="AF125" i="53"/>
  <c r="AB125" i="53"/>
  <c r="AA125" i="53"/>
  <c r="AE126" i="57"/>
  <c r="AC126" i="57"/>
  <c r="AD65" i="50"/>
  <c r="AG65" i="50" s="1"/>
  <c r="AH65" i="50" s="1"/>
  <c r="AI65" i="50" s="1"/>
  <c r="AM66" i="50"/>
  <c r="U66" i="50"/>
  <c r="AP63" i="50"/>
  <c r="R126" i="57"/>
  <c r="R126" i="53"/>
  <c r="X126" i="53" s="1"/>
  <c r="AL64" i="50"/>
  <c r="AX110" i="69"/>
  <c r="AG127" i="57"/>
  <c r="L127" i="57"/>
  <c r="O67" i="50"/>
  <c r="AJ126" i="57"/>
  <c r="AP126" i="57"/>
  <c r="AG126" i="53"/>
  <c r="AH126" i="53"/>
  <c r="AT126" i="53"/>
  <c r="N127" i="57"/>
  <c r="L127" i="53"/>
  <c r="N127" i="53"/>
  <c r="AH110" i="69"/>
  <c r="AJ65" i="50"/>
  <c r="C65" i="50"/>
  <c r="AD126" i="57"/>
  <c r="AD126" i="53"/>
  <c r="V65" i="50"/>
  <c r="S66" i="50"/>
  <c r="J127" i="53"/>
  <c r="G127" i="53"/>
  <c r="P127" i="53"/>
  <c r="Q126" i="53"/>
  <c r="H127" i="53"/>
  <c r="K127" i="53"/>
  <c r="D127" i="53"/>
  <c r="AK126" i="52" a="1"/>
  <c r="AK126" i="52" s="1"/>
  <c r="B128" i="53" s="1"/>
  <c r="O128" i="53" s="1"/>
  <c r="E127" i="53"/>
  <c r="F127" i="53"/>
  <c r="I127" i="53"/>
  <c r="M127" i="53"/>
  <c r="C127" i="53"/>
  <c r="F67" i="50"/>
  <c r="K67" i="50"/>
  <c r="M67" i="50"/>
  <c r="A67" i="50"/>
  <c r="Q67" i="50" s="1"/>
  <c r="P67" i="50" s="1"/>
  <c r="I67" i="50"/>
  <c r="G67" i="50"/>
  <c r="L67" i="50"/>
  <c r="B67" i="50"/>
  <c r="R67" i="50" s="1"/>
  <c r="H67" i="50"/>
  <c r="N67" i="50"/>
  <c r="J67" i="50"/>
  <c r="C127" i="57"/>
  <c r="M127" i="57" s="1"/>
  <c r="K127" i="57"/>
  <c r="I127" i="57"/>
  <c r="H127" i="57"/>
  <c r="P127" i="57"/>
  <c r="D127" i="57"/>
  <c r="G127" i="57"/>
  <c r="E127" i="57"/>
  <c r="J127" i="57"/>
  <c r="F127" i="57"/>
  <c r="Z65" i="50"/>
  <c r="W65" i="50"/>
  <c r="X65" i="50" s="1"/>
  <c r="Q126" i="57"/>
  <c r="T126" i="57" s="1"/>
  <c r="E57" i="32"/>
  <c r="AK126" i="55" a="1"/>
  <c r="AK126" i="55" s="1"/>
  <c r="B128" i="57" s="1"/>
  <c r="O128" i="57" s="1"/>
  <c r="AN112" i="67" a="1"/>
  <c r="AN112" i="67" s="1"/>
  <c r="B113" i="69"/>
  <c r="D111" i="69"/>
  <c r="E111" i="69" s="1"/>
  <c r="F111" i="69" s="1"/>
  <c r="G111" i="69" s="1"/>
  <c r="H111" i="69" s="1"/>
  <c r="I111" i="69" s="1"/>
  <c r="J111" i="69" s="1"/>
  <c r="K111" i="69" s="1"/>
  <c r="M111" i="69" s="1"/>
  <c r="N111" i="69"/>
  <c r="AF111" i="69" s="1"/>
  <c r="C112" i="69"/>
  <c r="Q110" i="69"/>
  <c r="R110" i="69"/>
  <c r="S110" i="69" s="1"/>
  <c r="Y110" i="69" s="1"/>
  <c r="AB110" i="69" s="1"/>
  <c r="AC110" i="69" s="1"/>
  <c r="AD110" i="69" s="1"/>
  <c r="U110" i="69"/>
  <c r="AE110" i="69"/>
  <c r="AL57" i="11" a="1"/>
  <c r="AL57" i="11" s="1"/>
  <c r="E58" i="32" s="1"/>
  <c r="AL67" i="59" a="1"/>
  <c r="AL67" i="59" s="1"/>
  <c r="E68" i="50" s="1"/>
  <c r="AB125" i="57" l="1"/>
  <c r="AA125" i="57"/>
  <c r="AG110" i="69"/>
  <c r="L113" i="69"/>
  <c r="O113" i="69"/>
  <c r="AO112" i="69"/>
  <c r="P112" i="69"/>
  <c r="T68" i="50"/>
  <c r="AK68" i="50"/>
  <c r="X126" i="57"/>
  <c r="AF125" i="57"/>
  <c r="AB126" i="53"/>
  <c r="AA126" i="53"/>
  <c r="AE127" i="53"/>
  <c r="AC127" i="53"/>
  <c r="AF126" i="53"/>
  <c r="AK58" i="32"/>
  <c r="T58" i="32"/>
  <c r="AK57" i="32"/>
  <c r="T57" i="32"/>
  <c r="AE127" i="57"/>
  <c r="AC127" i="57"/>
  <c r="AD66" i="50"/>
  <c r="AG66" i="50" s="1"/>
  <c r="AH66" i="50" s="1"/>
  <c r="AI66" i="50" s="1"/>
  <c r="AM67" i="50"/>
  <c r="U67" i="50"/>
  <c r="AP64" i="50"/>
  <c r="R127" i="57"/>
  <c r="R127" i="53"/>
  <c r="X127" i="53" s="1"/>
  <c r="AL65" i="50"/>
  <c r="AX111" i="69"/>
  <c r="AG128" i="57"/>
  <c r="L128" i="57"/>
  <c r="O68" i="50"/>
  <c r="AJ127" i="57"/>
  <c r="AP127" i="57"/>
  <c r="AH127" i="53"/>
  <c r="AT127" i="53"/>
  <c r="AG127" i="53"/>
  <c r="N128" i="57"/>
  <c r="N128" i="53"/>
  <c r="AH111" i="69"/>
  <c r="AJ66" i="50"/>
  <c r="C66" i="50"/>
  <c r="AD127" i="57"/>
  <c r="Q127" i="53"/>
  <c r="AD127" i="53"/>
  <c r="S67" i="50"/>
  <c r="V66" i="50"/>
  <c r="C128" i="53"/>
  <c r="I128" i="53"/>
  <c r="F128" i="53"/>
  <c r="G128" i="53"/>
  <c r="E128" i="53"/>
  <c r="J128" i="53"/>
  <c r="K128" i="53"/>
  <c r="L128" i="53"/>
  <c r="P128" i="53"/>
  <c r="AK127" i="52" a="1"/>
  <c r="AK127" i="52" s="1"/>
  <c r="B129" i="53" s="1"/>
  <c r="O129" i="53" s="1"/>
  <c r="H128" i="53"/>
  <c r="M128" i="53"/>
  <c r="D128" i="53"/>
  <c r="I68" i="50"/>
  <c r="N68" i="50"/>
  <c r="H68" i="50"/>
  <c r="M68" i="50"/>
  <c r="L68" i="50"/>
  <c r="F68" i="50"/>
  <c r="B68" i="50"/>
  <c r="R68" i="50" s="1"/>
  <c r="K68" i="50"/>
  <c r="A68" i="50"/>
  <c r="Q68" i="50" s="1"/>
  <c r="P68" i="50" s="1"/>
  <c r="J68" i="50"/>
  <c r="G68" i="50"/>
  <c r="P128" i="57"/>
  <c r="C128" i="57"/>
  <c r="M128" i="57" s="1"/>
  <c r="K128" i="57"/>
  <c r="E128" i="57"/>
  <c r="I128" i="57"/>
  <c r="G128" i="57"/>
  <c r="F128" i="57"/>
  <c r="J128" i="57"/>
  <c r="D128" i="57"/>
  <c r="H128" i="57"/>
  <c r="W66" i="50"/>
  <c r="X66" i="50" s="1"/>
  <c r="Z66" i="50"/>
  <c r="Q127" i="57"/>
  <c r="T127" i="57" s="1"/>
  <c r="AK127" i="55" a="1"/>
  <c r="AK127" i="55" s="1"/>
  <c r="B129" i="57" s="1"/>
  <c r="O129" i="57" s="1"/>
  <c r="AE111" i="69"/>
  <c r="Q111" i="69"/>
  <c r="R111" i="69"/>
  <c r="S111" i="69" s="1"/>
  <c r="Y111" i="69" s="1"/>
  <c r="AB111" i="69" s="1"/>
  <c r="AC111" i="69" s="1"/>
  <c r="AD111" i="69" s="1"/>
  <c r="U111" i="69"/>
  <c r="D112" i="69"/>
  <c r="E112" i="69" s="1"/>
  <c r="F112" i="69" s="1"/>
  <c r="G112" i="69" s="1"/>
  <c r="H112" i="69" s="1"/>
  <c r="I112" i="69" s="1"/>
  <c r="J112" i="69" s="1"/>
  <c r="K112" i="69" s="1"/>
  <c r="M112" i="69" s="1"/>
  <c r="N112" i="69"/>
  <c r="AF112" i="69" s="1"/>
  <c r="C113" i="69"/>
  <c r="AN113" i="67" a="1"/>
  <c r="AN113" i="67" s="1"/>
  <c r="B114" i="69"/>
  <c r="AL58" i="11" a="1"/>
  <c r="AL58" i="11" s="1"/>
  <c r="AL68" i="59" a="1"/>
  <c r="AL68" i="59" s="1"/>
  <c r="E69" i="50" s="1"/>
  <c r="AF126" i="57" l="1"/>
  <c r="AA126" i="57"/>
  <c r="AG111" i="69"/>
  <c r="L114" i="69"/>
  <c r="O114" i="69"/>
  <c r="AO113" i="69"/>
  <c r="P113" i="69"/>
  <c r="T69" i="50"/>
  <c r="AK69" i="50"/>
  <c r="X127" i="57"/>
  <c r="AB126" i="57"/>
  <c r="AB127" i="53"/>
  <c r="AA127" i="53"/>
  <c r="AC128" i="53"/>
  <c r="AE128" i="53"/>
  <c r="AF127" i="53"/>
  <c r="AE128" i="57"/>
  <c r="AC128" i="57"/>
  <c r="AM68" i="50"/>
  <c r="U68" i="50"/>
  <c r="AD67" i="50"/>
  <c r="AG67" i="50" s="1"/>
  <c r="AH67" i="50" s="1"/>
  <c r="AI67" i="50" s="1"/>
  <c r="AP65" i="50"/>
  <c r="R128" i="57"/>
  <c r="R128" i="53"/>
  <c r="X128" i="53" s="1"/>
  <c r="AL66" i="50"/>
  <c r="AX112" i="69"/>
  <c r="AG129" i="57"/>
  <c r="L129" i="57"/>
  <c r="O69" i="50"/>
  <c r="AJ128" i="57"/>
  <c r="AP128" i="57"/>
  <c r="AG128" i="53"/>
  <c r="AH128" i="53"/>
  <c r="AT128" i="53"/>
  <c r="N129" i="57"/>
  <c r="F129" i="53"/>
  <c r="N129" i="53"/>
  <c r="AH112" i="69"/>
  <c r="AJ67" i="50"/>
  <c r="C67" i="50"/>
  <c r="AD128" i="57"/>
  <c r="AD128" i="53"/>
  <c r="V67" i="50"/>
  <c r="S68" i="50"/>
  <c r="Q128" i="53"/>
  <c r="I129" i="53"/>
  <c r="L129" i="53"/>
  <c r="H129" i="53"/>
  <c r="E129" i="53"/>
  <c r="G129" i="53"/>
  <c r="M129" i="53"/>
  <c r="C129" i="53"/>
  <c r="P129" i="53"/>
  <c r="AK128" i="52" a="1"/>
  <c r="AK128" i="52" s="1"/>
  <c r="B130" i="53" s="1"/>
  <c r="O130" i="53" s="1"/>
  <c r="J129" i="53"/>
  <c r="D129" i="53"/>
  <c r="K129" i="53"/>
  <c r="B69" i="50"/>
  <c r="R69" i="50" s="1"/>
  <c r="I69" i="50"/>
  <c r="G69" i="50"/>
  <c r="A69" i="50"/>
  <c r="Q69" i="50" s="1"/>
  <c r="P69" i="50" s="1"/>
  <c r="M69" i="50"/>
  <c r="K69" i="50"/>
  <c r="H69" i="50"/>
  <c r="J69" i="50"/>
  <c r="F69" i="50"/>
  <c r="L69" i="50"/>
  <c r="N69" i="50"/>
  <c r="Z67" i="50"/>
  <c r="W67" i="50"/>
  <c r="X67" i="50" s="1"/>
  <c r="P129" i="57"/>
  <c r="D129" i="57"/>
  <c r="C129" i="57"/>
  <c r="M129" i="57" s="1"/>
  <c r="K129" i="57"/>
  <c r="I129" i="57"/>
  <c r="E129" i="57"/>
  <c r="H129" i="57"/>
  <c r="G129" i="57"/>
  <c r="F129" i="57"/>
  <c r="J129" i="57"/>
  <c r="Q128" i="57"/>
  <c r="T128" i="57" s="1"/>
  <c r="E59" i="32"/>
  <c r="AK128" i="55" a="1"/>
  <c r="AK128" i="55" s="1"/>
  <c r="B130" i="57" s="1"/>
  <c r="O130" i="57" s="1"/>
  <c r="AN114" i="67" a="1"/>
  <c r="AN114" i="67" s="1"/>
  <c r="B115" i="69"/>
  <c r="C114" i="69"/>
  <c r="D113" i="69"/>
  <c r="E113" i="69" s="1"/>
  <c r="F113" i="69" s="1"/>
  <c r="G113" i="69" s="1"/>
  <c r="H113" i="69" s="1"/>
  <c r="I113" i="69" s="1"/>
  <c r="J113" i="69" s="1"/>
  <c r="K113" i="69" s="1"/>
  <c r="M113" i="69" s="1"/>
  <c r="N113" i="69"/>
  <c r="AF113" i="69" s="1"/>
  <c r="AE112" i="69"/>
  <c r="Q112" i="69"/>
  <c r="R112" i="69"/>
  <c r="S112" i="69" s="1"/>
  <c r="Y112" i="69" s="1"/>
  <c r="U112" i="69"/>
  <c r="AL59" i="11" a="1"/>
  <c r="AL59" i="11" s="1"/>
  <c r="AL69" i="59" a="1"/>
  <c r="AL69" i="59" s="1"/>
  <c r="E70" i="50" s="1"/>
  <c r="AB127" i="57" l="1"/>
  <c r="AA127" i="57"/>
  <c r="AB112" i="69"/>
  <c r="AC112" i="69" s="1"/>
  <c r="AD112" i="69" s="1"/>
  <c r="AG112" i="69"/>
  <c r="L115" i="69"/>
  <c r="O115" i="69"/>
  <c r="AO114" i="69"/>
  <c r="P114" i="69"/>
  <c r="X128" i="57"/>
  <c r="AA128" i="57" s="1"/>
  <c r="T70" i="50"/>
  <c r="AK70" i="50"/>
  <c r="AF127" i="57"/>
  <c r="AC129" i="53"/>
  <c r="AE129" i="53"/>
  <c r="AF128" i="53"/>
  <c r="AB128" i="53"/>
  <c r="AA128" i="53"/>
  <c r="AK59" i="32"/>
  <c r="T59" i="32"/>
  <c r="AC129" i="57"/>
  <c r="AE129" i="57"/>
  <c r="AM69" i="50"/>
  <c r="U69" i="50"/>
  <c r="AD68" i="50"/>
  <c r="AG68" i="50" s="1"/>
  <c r="AH68" i="50" s="1"/>
  <c r="AI68" i="50" s="1"/>
  <c r="AP66" i="50"/>
  <c r="R129" i="57"/>
  <c r="R129" i="53"/>
  <c r="X129" i="53" s="1"/>
  <c r="AL67" i="50"/>
  <c r="AX113" i="69"/>
  <c r="AG130" i="57"/>
  <c r="L130" i="57"/>
  <c r="O70" i="50"/>
  <c r="AJ129" i="57"/>
  <c r="AP129" i="57"/>
  <c r="AG129" i="53"/>
  <c r="AH129" i="53"/>
  <c r="AT129" i="53"/>
  <c r="N130" i="57"/>
  <c r="G130" i="53"/>
  <c r="N130" i="53"/>
  <c r="AH113" i="69"/>
  <c r="AJ68" i="50"/>
  <c r="C68" i="50"/>
  <c r="AD129" i="57"/>
  <c r="Q129" i="53"/>
  <c r="AD129" i="53"/>
  <c r="S69" i="50"/>
  <c r="V68" i="50"/>
  <c r="I130" i="53"/>
  <c r="E130" i="53"/>
  <c r="L130" i="53"/>
  <c r="K130" i="53"/>
  <c r="C130" i="53"/>
  <c r="D130" i="53"/>
  <c r="H130" i="53"/>
  <c r="P130" i="53"/>
  <c r="J130" i="53"/>
  <c r="AK129" i="52" a="1"/>
  <c r="AK129" i="52" s="1"/>
  <c r="B131" i="53" s="1"/>
  <c r="O131" i="53" s="1"/>
  <c r="F130" i="53"/>
  <c r="M130" i="53"/>
  <c r="I70" i="50"/>
  <c r="G70" i="50"/>
  <c r="N70" i="50"/>
  <c r="A70" i="50"/>
  <c r="Q70" i="50" s="1"/>
  <c r="P70" i="50" s="1"/>
  <c r="L70" i="50"/>
  <c r="K70" i="50"/>
  <c r="F70" i="50"/>
  <c r="J70" i="50"/>
  <c r="M70" i="50"/>
  <c r="B70" i="50"/>
  <c r="R70" i="50" s="1"/>
  <c r="H70" i="50"/>
  <c r="P130" i="57"/>
  <c r="E130" i="57"/>
  <c r="C130" i="57"/>
  <c r="M130" i="57" s="1"/>
  <c r="G130" i="57"/>
  <c r="K130" i="57"/>
  <c r="I130" i="57"/>
  <c r="F130" i="57"/>
  <c r="J130" i="57"/>
  <c r="D130" i="57"/>
  <c r="H130" i="57"/>
  <c r="Q129" i="57"/>
  <c r="T129" i="57" s="1"/>
  <c r="W68" i="50"/>
  <c r="X68" i="50" s="1"/>
  <c r="Z68" i="50"/>
  <c r="E60" i="32"/>
  <c r="AK129" i="55" a="1"/>
  <c r="AK129" i="55" s="1"/>
  <c r="B131" i="57" s="1"/>
  <c r="O131" i="57" s="1"/>
  <c r="D114" i="69"/>
  <c r="E114" i="69" s="1"/>
  <c r="F114" i="69" s="1"/>
  <c r="G114" i="69" s="1"/>
  <c r="H114" i="69" s="1"/>
  <c r="I114" i="69" s="1"/>
  <c r="J114" i="69" s="1"/>
  <c r="K114" i="69" s="1"/>
  <c r="M114" i="69" s="1"/>
  <c r="N114" i="69"/>
  <c r="AF114" i="69" s="1"/>
  <c r="C115" i="69"/>
  <c r="R113" i="69"/>
  <c r="S113" i="69" s="1"/>
  <c r="Y113" i="69" s="1"/>
  <c r="AE113" i="69"/>
  <c r="U113" i="69"/>
  <c r="Q113" i="69"/>
  <c r="AN115" i="67" a="1"/>
  <c r="AN115" i="67" s="1"/>
  <c r="B116" i="69"/>
  <c r="AL60" i="11" a="1"/>
  <c r="AL60" i="11" s="1"/>
  <c r="E61" i="32" s="1"/>
  <c r="AL70" i="59" a="1"/>
  <c r="AL70" i="59" s="1"/>
  <c r="E71" i="50" s="1"/>
  <c r="AB113" i="69" l="1"/>
  <c r="AC113" i="69" s="1"/>
  <c r="AD113" i="69" s="1"/>
  <c r="AG113" i="69"/>
  <c r="L116" i="69"/>
  <c r="O116" i="69"/>
  <c r="AO115" i="69"/>
  <c r="P115" i="69"/>
  <c r="AB128" i="57"/>
  <c r="AF128" i="57"/>
  <c r="AK71" i="50"/>
  <c r="T71" i="50"/>
  <c r="X129" i="57"/>
  <c r="AC130" i="53"/>
  <c r="AE130" i="53"/>
  <c r="AB129" i="53"/>
  <c r="AA129" i="53"/>
  <c r="AF129" i="53"/>
  <c r="AK61" i="32"/>
  <c r="T61" i="32"/>
  <c r="T60" i="32"/>
  <c r="AK60" i="32"/>
  <c r="AE130" i="57"/>
  <c r="AC130" i="57"/>
  <c r="AD69" i="50"/>
  <c r="AG69" i="50" s="1"/>
  <c r="AH69" i="50" s="1"/>
  <c r="AI69" i="50" s="1"/>
  <c r="AM70" i="50"/>
  <c r="U70" i="50"/>
  <c r="AP67" i="50"/>
  <c r="R130" i="57"/>
  <c r="R130" i="53"/>
  <c r="X130" i="53" s="1"/>
  <c r="AL68" i="50"/>
  <c r="AX114" i="69"/>
  <c r="AG131" i="57"/>
  <c r="L131" i="57"/>
  <c r="O71" i="50"/>
  <c r="AJ130" i="57"/>
  <c r="AP130" i="57"/>
  <c r="AH130" i="53"/>
  <c r="AT130" i="53"/>
  <c r="AG130" i="53"/>
  <c r="N131" i="57"/>
  <c r="J131" i="53"/>
  <c r="N131" i="53"/>
  <c r="AH114" i="69"/>
  <c r="AJ69" i="50"/>
  <c r="C69" i="50"/>
  <c r="AD130" i="57"/>
  <c r="Q130" i="53"/>
  <c r="AD130" i="53"/>
  <c r="S70" i="50"/>
  <c r="V69" i="50"/>
  <c r="AK130" i="52" a="1"/>
  <c r="AK130" i="52" s="1"/>
  <c r="B132" i="53" s="1"/>
  <c r="O132" i="53" s="1"/>
  <c r="E131" i="53"/>
  <c r="H131" i="53"/>
  <c r="D131" i="53"/>
  <c r="L131" i="53"/>
  <c r="G131" i="53"/>
  <c r="C131" i="53"/>
  <c r="I131" i="53"/>
  <c r="F131" i="53"/>
  <c r="M131" i="53"/>
  <c r="K131" i="53"/>
  <c r="P131" i="53"/>
  <c r="F71" i="50"/>
  <c r="N71" i="50"/>
  <c r="H71" i="50"/>
  <c r="G71" i="50"/>
  <c r="A71" i="50"/>
  <c r="Q71" i="50" s="1"/>
  <c r="P71" i="50" s="1"/>
  <c r="K71" i="50"/>
  <c r="I71" i="50"/>
  <c r="B71" i="50"/>
  <c r="R71" i="50" s="1"/>
  <c r="L71" i="50"/>
  <c r="M71" i="50"/>
  <c r="J71" i="50"/>
  <c r="E131" i="57"/>
  <c r="P131" i="57"/>
  <c r="D131" i="57"/>
  <c r="C131" i="57"/>
  <c r="M131" i="57" s="1"/>
  <c r="K131" i="57"/>
  <c r="G131" i="57"/>
  <c r="I131" i="57"/>
  <c r="H131" i="57"/>
  <c r="F131" i="57"/>
  <c r="J131" i="57"/>
  <c r="Z69" i="50"/>
  <c r="W69" i="50"/>
  <c r="X69" i="50" s="1"/>
  <c r="Q130" i="57"/>
  <c r="T130" i="57" s="1"/>
  <c r="AK130" i="55" a="1"/>
  <c r="AK130" i="55" s="1"/>
  <c r="B132" i="57" s="1"/>
  <c r="O132" i="57" s="1"/>
  <c r="C116" i="69"/>
  <c r="Q114" i="69"/>
  <c r="R114" i="69"/>
  <c r="S114" i="69" s="1"/>
  <c r="Y114" i="69" s="1"/>
  <c r="AE114" i="69"/>
  <c r="U114" i="69"/>
  <c r="AN116" i="67" a="1"/>
  <c r="AN116" i="67" s="1"/>
  <c r="B117" i="69"/>
  <c r="N115" i="69"/>
  <c r="AF115" i="69" s="1"/>
  <c r="D115" i="69"/>
  <c r="E115" i="69" s="1"/>
  <c r="F115" i="69" s="1"/>
  <c r="G115" i="69" s="1"/>
  <c r="H115" i="69" s="1"/>
  <c r="I115" i="69" s="1"/>
  <c r="J115" i="69" s="1"/>
  <c r="K115" i="69" s="1"/>
  <c r="M115" i="69" s="1"/>
  <c r="AL61" i="11" a="1"/>
  <c r="AL61" i="11" s="1"/>
  <c r="E62" i="32" s="1"/>
  <c r="AL71" i="59" a="1"/>
  <c r="AL71" i="59" s="1"/>
  <c r="E72" i="50" s="1"/>
  <c r="AF129" i="57" l="1"/>
  <c r="AA129" i="57"/>
  <c r="AB114" i="69"/>
  <c r="AC114" i="69" s="1"/>
  <c r="AD114" i="69" s="1"/>
  <c r="AG114" i="69"/>
  <c r="AO116" i="69"/>
  <c r="P116" i="69"/>
  <c r="L117" i="69"/>
  <c r="O117" i="69"/>
  <c r="AK72" i="50"/>
  <c r="T72" i="50"/>
  <c r="AB129" i="57"/>
  <c r="X130" i="57"/>
  <c r="AB130" i="53"/>
  <c r="AA130" i="53"/>
  <c r="AE131" i="53"/>
  <c r="AC131" i="53"/>
  <c r="AF130" i="53"/>
  <c r="AK62" i="32"/>
  <c r="T62" i="32"/>
  <c r="AE131" i="57"/>
  <c r="AC131" i="57"/>
  <c r="AM71" i="50"/>
  <c r="U71" i="50"/>
  <c r="AD70" i="50"/>
  <c r="AG70" i="50" s="1"/>
  <c r="AH70" i="50" s="1"/>
  <c r="AI70" i="50" s="1"/>
  <c r="AP68" i="50"/>
  <c r="R131" i="57"/>
  <c r="R131" i="53"/>
  <c r="X131" i="53" s="1"/>
  <c r="AL69" i="50"/>
  <c r="AX115" i="69"/>
  <c r="AG132" i="57"/>
  <c r="L132" i="57"/>
  <c r="O72" i="50"/>
  <c r="AJ131" i="57"/>
  <c r="AP131" i="57"/>
  <c r="AG131" i="53"/>
  <c r="AH131" i="53"/>
  <c r="AT131" i="53"/>
  <c r="N132" i="57"/>
  <c r="N132" i="53"/>
  <c r="AH115" i="69"/>
  <c r="AJ70" i="50"/>
  <c r="C70" i="50"/>
  <c r="AD131" i="57"/>
  <c r="AD131" i="53"/>
  <c r="Q131" i="53"/>
  <c r="S71" i="50"/>
  <c r="V70" i="50"/>
  <c r="AK131" i="52" a="1"/>
  <c r="AK131" i="52" s="1"/>
  <c r="B133" i="53" s="1"/>
  <c r="O133" i="53" s="1"/>
  <c r="J132" i="53"/>
  <c r="E132" i="53"/>
  <c r="H132" i="53"/>
  <c r="D132" i="53"/>
  <c r="I132" i="53"/>
  <c r="P132" i="53"/>
  <c r="C132" i="53"/>
  <c r="G132" i="53"/>
  <c r="M132" i="53"/>
  <c r="F132" i="53"/>
  <c r="L132" i="53"/>
  <c r="K132" i="53"/>
  <c r="M72" i="50"/>
  <c r="B72" i="50"/>
  <c r="R72" i="50" s="1"/>
  <c r="G72" i="50"/>
  <c r="N72" i="50"/>
  <c r="I72" i="50"/>
  <c r="F72" i="50"/>
  <c r="L72" i="50"/>
  <c r="J72" i="50"/>
  <c r="A72" i="50"/>
  <c r="Q72" i="50" s="1"/>
  <c r="P72" i="50" s="1"/>
  <c r="H72" i="50"/>
  <c r="K72" i="50"/>
  <c r="P132" i="57"/>
  <c r="G132" i="57"/>
  <c r="E132" i="57"/>
  <c r="C132" i="57"/>
  <c r="M132" i="57" s="1"/>
  <c r="I132" i="57"/>
  <c r="K132" i="57"/>
  <c r="J132" i="57"/>
  <c r="D132" i="57"/>
  <c r="H132" i="57"/>
  <c r="F132" i="57"/>
  <c r="W70" i="50"/>
  <c r="X70" i="50" s="1"/>
  <c r="Z70" i="50"/>
  <c r="Q131" i="57"/>
  <c r="T131" i="57" s="1"/>
  <c r="AK131" i="55" a="1"/>
  <c r="AK131" i="55" s="1"/>
  <c r="B133" i="57" s="1"/>
  <c r="O133" i="57" s="1"/>
  <c r="AN117" i="67" a="1"/>
  <c r="AN117" i="67" s="1"/>
  <c r="B118" i="69"/>
  <c r="R115" i="69"/>
  <c r="S115" i="69" s="1"/>
  <c r="Y115" i="69" s="1"/>
  <c r="U115" i="69"/>
  <c r="Q115" i="69"/>
  <c r="AE115" i="69"/>
  <c r="D116" i="69"/>
  <c r="E116" i="69" s="1"/>
  <c r="F116" i="69" s="1"/>
  <c r="G116" i="69" s="1"/>
  <c r="H116" i="69" s="1"/>
  <c r="I116" i="69" s="1"/>
  <c r="J116" i="69" s="1"/>
  <c r="K116" i="69" s="1"/>
  <c r="M116" i="69" s="1"/>
  <c r="N116" i="69"/>
  <c r="AF116" i="69" s="1"/>
  <c r="C117" i="69"/>
  <c r="AL62" i="11" a="1"/>
  <c r="AL62" i="11" s="1"/>
  <c r="AL72" i="59" a="1"/>
  <c r="AL72" i="59" s="1"/>
  <c r="E73" i="50" s="1"/>
  <c r="AF130" i="57" l="1"/>
  <c r="AA130" i="57"/>
  <c r="X131" i="57"/>
  <c r="AB115" i="69"/>
  <c r="AC115" i="69" s="1"/>
  <c r="AD115" i="69" s="1"/>
  <c r="AG115" i="69"/>
  <c r="L118" i="69"/>
  <c r="O118" i="69"/>
  <c r="AO117" i="69"/>
  <c r="P117" i="69"/>
  <c r="T73" i="50"/>
  <c r="AK73" i="50"/>
  <c r="AB130" i="57"/>
  <c r="AC132" i="53"/>
  <c r="AE132" i="53"/>
  <c r="AF131" i="53"/>
  <c r="AB131" i="53"/>
  <c r="AA131" i="53"/>
  <c r="AE132" i="57"/>
  <c r="AC132" i="57"/>
  <c r="AM72" i="50"/>
  <c r="U72" i="50"/>
  <c r="AD71" i="50"/>
  <c r="AG71" i="50" s="1"/>
  <c r="AH71" i="50" s="1"/>
  <c r="AI71" i="50" s="1"/>
  <c r="AP69" i="50"/>
  <c r="R132" i="57"/>
  <c r="R132" i="53"/>
  <c r="X132" i="53" s="1"/>
  <c r="AL70" i="50"/>
  <c r="AX116" i="69"/>
  <c r="AG133" i="57"/>
  <c r="L133" i="57"/>
  <c r="O73" i="50"/>
  <c r="AJ132" i="57"/>
  <c r="AP132" i="57"/>
  <c r="AG132" i="53"/>
  <c r="AH132" i="53"/>
  <c r="AT132" i="53"/>
  <c r="N133" i="57"/>
  <c r="J133" i="53"/>
  <c r="N133" i="53"/>
  <c r="AH116" i="69"/>
  <c r="AJ71" i="50"/>
  <c r="C71" i="50"/>
  <c r="AD132" i="57"/>
  <c r="AD132" i="53"/>
  <c r="V71" i="50"/>
  <c r="S72" i="50"/>
  <c r="K133" i="53"/>
  <c r="C133" i="53"/>
  <c r="D133" i="53"/>
  <c r="L133" i="53"/>
  <c r="E133" i="53"/>
  <c r="Q132" i="53"/>
  <c r="P133" i="53"/>
  <c r="I133" i="53"/>
  <c r="H133" i="53"/>
  <c r="AK132" i="52" a="1"/>
  <c r="AK132" i="52" s="1"/>
  <c r="B134" i="53" s="1"/>
  <c r="O134" i="53" s="1"/>
  <c r="G133" i="53"/>
  <c r="F133" i="53"/>
  <c r="M133" i="53"/>
  <c r="G73" i="50"/>
  <c r="A73" i="50"/>
  <c r="Q73" i="50" s="1"/>
  <c r="P73" i="50" s="1"/>
  <c r="L73" i="50"/>
  <c r="H73" i="50"/>
  <c r="I73" i="50"/>
  <c r="K73" i="50"/>
  <c r="F73" i="50"/>
  <c r="N73" i="50"/>
  <c r="J73" i="50"/>
  <c r="B73" i="50"/>
  <c r="R73" i="50" s="1"/>
  <c r="M73" i="50"/>
  <c r="G133" i="57"/>
  <c r="E133" i="57"/>
  <c r="P133" i="57"/>
  <c r="D133" i="57"/>
  <c r="C133" i="57"/>
  <c r="M133" i="57" s="1"/>
  <c r="H133" i="57"/>
  <c r="I133" i="57"/>
  <c r="K133" i="57"/>
  <c r="F133" i="57"/>
  <c r="J133" i="57"/>
  <c r="Q132" i="57"/>
  <c r="T132" i="57" s="1"/>
  <c r="W71" i="50"/>
  <c r="X71" i="50" s="1"/>
  <c r="Z71" i="50"/>
  <c r="E63" i="32"/>
  <c r="AK132" i="55" a="1"/>
  <c r="AK132" i="55" s="1"/>
  <c r="B134" i="57" s="1"/>
  <c r="O134" i="57" s="1"/>
  <c r="AN118" i="67" a="1"/>
  <c r="AN118" i="67" s="1"/>
  <c r="B119" i="69"/>
  <c r="Q116" i="69"/>
  <c r="AE116" i="69"/>
  <c r="R116" i="69"/>
  <c r="S116" i="69" s="1"/>
  <c r="Y116" i="69" s="1"/>
  <c r="U116" i="69"/>
  <c r="D117" i="69"/>
  <c r="E117" i="69" s="1"/>
  <c r="F117" i="69" s="1"/>
  <c r="G117" i="69" s="1"/>
  <c r="H117" i="69" s="1"/>
  <c r="I117" i="69" s="1"/>
  <c r="J117" i="69" s="1"/>
  <c r="K117" i="69" s="1"/>
  <c r="M117" i="69" s="1"/>
  <c r="N117" i="69"/>
  <c r="AF117" i="69" s="1"/>
  <c r="C118" i="69"/>
  <c r="AL63" i="11" a="1"/>
  <c r="AL63" i="11" s="1"/>
  <c r="E64" i="32" s="1"/>
  <c r="AL73" i="59" a="1"/>
  <c r="AL73" i="59" s="1"/>
  <c r="E74" i="50" s="1"/>
  <c r="AB131" i="57" l="1"/>
  <c r="AA131" i="57"/>
  <c r="AF131" i="57"/>
  <c r="AB116" i="69"/>
  <c r="AC116" i="69" s="1"/>
  <c r="AD116" i="69" s="1"/>
  <c r="AG116" i="69"/>
  <c r="AO118" i="69"/>
  <c r="P118" i="69"/>
  <c r="L119" i="69"/>
  <c r="O119" i="69"/>
  <c r="T74" i="50"/>
  <c r="AK74" i="50"/>
  <c r="AB132" i="53"/>
  <c r="AA132" i="53"/>
  <c r="AF132" i="53"/>
  <c r="AC133" i="53"/>
  <c r="AE133" i="53"/>
  <c r="AK64" i="32"/>
  <c r="T64" i="32"/>
  <c r="AK63" i="32"/>
  <c r="T63" i="32"/>
  <c r="X132" i="57"/>
  <c r="AC133" i="57"/>
  <c r="AE133" i="57"/>
  <c r="AD72" i="50"/>
  <c r="AG72" i="50" s="1"/>
  <c r="AH72" i="50" s="1"/>
  <c r="AI72" i="50" s="1"/>
  <c r="AM73" i="50"/>
  <c r="U73" i="50"/>
  <c r="AP70" i="50"/>
  <c r="R133" i="57"/>
  <c r="R133" i="53"/>
  <c r="X133" i="53" s="1"/>
  <c r="AL71" i="50"/>
  <c r="AX117" i="69"/>
  <c r="AG134" i="57"/>
  <c r="L134" i="57"/>
  <c r="O74" i="50"/>
  <c r="AJ133" i="57"/>
  <c r="AP133" i="57"/>
  <c r="AG133" i="53"/>
  <c r="AH133" i="53"/>
  <c r="AT133" i="53"/>
  <c r="N134" i="57"/>
  <c r="L134" i="53"/>
  <c r="N134" i="53"/>
  <c r="AH117" i="69"/>
  <c r="AJ72" i="50"/>
  <c r="C72" i="50"/>
  <c r="AD133" i="57"/>
  <c r="AD133" i="53"/>
  <c r="S73" i="50"/>
  <c r="V72" i="50"/>
  <c r="Q133" i="53"/>
  <c r="I134" i="53"/>
  <c r="P134" i="53"/>
  <c r="H134" i="53"/>
  <c r="M134" i="53"/>
  <c r="K134" i="53"/>
  <c r="E134" i="53"/>
  <c r="C134" i="53"/>
  <c r="F134" i="53"/>
  <c r="AK133" i="52" a="1"/>
  <c r="AK133" i="52" s="1"/>
  <c r="B135" i="53" s="1"/>
  <c r="O135" i="53" s="1"/>
  <c r="G134" i="53"/>
  <c r="J134" i="53"/>
  <c r="D134" i="53"/>
  <c r="I74" i="50"/>
  <c r="N74" i="50"/>
  <c r="J74" i="50"/>
  <c r="H74" i="50"/>
  <c r="G74" i="50"/>
  <c r="K74" i="50"/>
  <c r="M74" i="50"/>
  <c r="B74" i="50"/>
  <c r="R74" i="50" s="1"/>
  <c r="F74" i="50"/>
  <c r="A74" i="50"/>
  <c r="Q74" i="50" s="1"/>
  <c r="P74" i="50" s="1"/>
  <c r="L74" i="50"/>
  <c r="Q133" i="57"/>
  <c r="T133" i="57" s="1"/>
  <c r="X133" i="57" s="1"/>
  <c r="AA133" i="57" s="1"/>
  <c r="P134" i="57"/>
  <c r="I134" i="57"/>
  <c r="G134" i="57"/>
  <c r="E134" i="57"/>
  <c r="C134" i="57"/>
  <c r="M134" i="57" s="1"/>
  <c r="K134" i="57"/>
  <c r="F134" i="57"/>
  <c r="J134" i="57"/>
  <c r="D134" i="57"/>
  <c r="H134" i="57"/>
  <c r="W72" i="50"/>
  <c r="X72" i="50" s="1"/>
  <c r="Z72" i="50"/>
  <c r="AK133" i="55" a="1"/>
  <c r="AK133" i="55" s="1"/>
  <c r="B135" i="57" s="1"/>
  <c r="O135" i="57" s="1"/>
  <c r="C119" i="69"/>
  <c r="D118" i="69"/>
  <c r="E118" i="69" s="1"/>
  <c r="F118" i="69" s="1"/>
  <c r="G118" i="69" s="1"/>
  <c r="H118" i="69" s="1"/>
  <c r="I118" i="69" s="1"/>
  <c r="J118" i="69" s="1"/>
  <c r="K118" i="69" s="1"/>
  <c r="M118" i="69" s="1"/>
  <c r="N118" i="69"/>
  <c r="AF118" i="69" s="1"/>
  <c r="AE117" i="69"/>
  <c r="Q117" i="69"/>
  <c r="U117" i="69"/>
  <c r="R117" i="69"/>
  <c r="S117" i="69" s="1"/>
  <c r="Y117" i="69" s="1"/>
  <c r="AN119" i="67" a="1"/>
  <c r="AN119" i="67" s="1"/>
  <c r="B120" i="69"/>
  <c r="AL64" i="11" a="1"/>
  <c r="AL64" i="11" s="1"/>
  <c r="AL74" i="59" a="1"/>
  <c r="AL74" i="59" s="1"/>
  <c r="E75" i="50" s="1"/>
  <c r="AB132" i="57" l="1"/>
  <c r="AA132" i="57"/>
  <c r="AB117" i="69"/>
  <c r="AC117" i="69" s="1"/>
  <c r="AD117" i="69" s="1"/>
  <c r="AG117" i="69"/>
  <c r="L120" i="69"/>
  <c r="O120" i="69"/>
  <c r="AO119" i="69"/>
  <c r="P119" i="69"/>
  <c r="T75" i="50"/>
  <c r="AK75" i="50"/>
  <c r="AB133" i="53"/>
  <c r="AA133" i="53"/>
  <c r="AC134" i="53"/>
  <c r="AE134" i="53"/>
  <c r="AF133" i="53"/>
  <c r="AF132" i="57"/>
  <c r="AB133" i="57"/>
  <c r="AF133" i="57"/>
  <c r="AE134" i="57"/>
  <c r="AC134" i="57"/>
  <c r="AM74" i="50"/>
  <c r="U74" i="50"/>
  <c r="AD73" i="50"/>
  <c r="AG73" i="50" s="1"/>
  <c r="AH73" i="50" s="1"/>
  <c r="AI73" i="50" s="1"/>
  <c r="AP71" i="50"/>
  <c r="R134" i="57"/>
  <c r="R134" i="53"/>
  <c r="X134" i="53" s="1"/>
  <c r="AL72" i="50"/>
  <c r="AX118" i="69"/>
  <c r="AG135" i="57"/>
  <c r="L135" i="57"/>
  <c r="O75" i="50"/>
  <c r="AJ134" i="57"/>
  <c r="AP134" i="57"/>
  <c r="AH134" i="53"/>
  <c r="AT134" i="53"/>
  <c r="AG134" i="53"/>
  <c r="N135" i="57"/>
  <c r="P135" i="53"/>
  <c r="N135" i="53"/>
  <c r="AH118" i="69"/>
  <c r="AJ73" i="50"/>
  <c r="C73" i="50"/>
  <c r="AD134" i="57"/>
  <c r="AD134" i="53"/>
  <c r="Q134" i="53"/>
  <c r="S74" i="50"/>
  <c r="V73" i="50"/>
  <c r="F135" i="53"/>
  <c r="K135" i="53"/>
  <c r="M135" i="53"/>
  <c r="I135" i="53"/>
  <c r="AK134" i="52" a="1"/>
  <c r="AK134" i="52" s="1"/>
  <c r="B136" i="53" s="1"/>
  <c r="O136" i="53" s="1"/>
  <c r="D135" i="53"/>
  <c r="L135" i="53"/>
  <c r="E135" i="53"/>
  <c r="J135" i="53"/>
  <c r="G135" i="53"/>
  <c r="C135" i="53"/>
  <c r="H135" i="53"/>
  <c r="I75" i="50"/>
  <c r="H75" i="50"/>
  <c r="M75" i="50"/>
  <c r="K75" i="50"/>
  <c r="A75" i="50"/>
  <c r="Q75" i="50" s="1"/>
  <c r="P75" i="50" s="1"/>
  <c r="L75" i="50"/>
  <c r="B75" i="50"/>
  <c r="R75" i="50" s="1"/>
  <c r="G75" i="50"/>
  <c r="J75" i="50"/>
  <c r="N75" i="50"/>
  <c r="F75" i="50"/>
  <c r="H135" i="57"/>
  <c r="G135" i="57"/>
  <c r="E135" i="57"/>
  <c r="P135" i="57"/>
  <c r="D135" i="57"/>
  <c r="C135" i="57"/>
  <c r="M135" i="57" s="1"/>
  <c r="I135" i="57"/>
  <c r="K135" i="57"/>
  <c r="F135" i="57"/>
  <c r="J135" i="57"/>
  <c r="Q134" i="57"/>
  <c r="T134" i="57" s="1"/>
  <c r="Z73" i="50"/>
  <c r="W73" i="50"/>
  <c r="X73" i="50" s="1"/>
  <c r="E65" i="32"/>
  <c r="AK134" i="55" a="1"/>
  <c r="AK134" i="55" s="1"/>
  <c r="B136" i="57" s="1"/>
  <c r="O136" i="57" s="1"/>
  <c r="AN120" i="67" a="1"/>
  <c r="AN120" i="67" s="1"/>
  <c r="B121" i="69"/>
  <c r="C120" i="69"/>
  <c r="Q118" i="69"/>
  <c r="U118" i="69"/>
  <c r="R118" i="69"/>
  <c r="S118" i="69" s="1"/>
  <c r="Y118" i="69" s="1"/>
  <c r="AE118" i="69"/>
  <c r="D119" i="69"/>
  <c r="E119" i="69" s="1"/>
  <c r="F119" i="69" s="1"/>
  <c r="G119" i="69" s="1"/>
  <c r="H119" i="69" s="1"/>
  <c r="I119" i="69" s="1"/>
  <c r="J119" i="69" s="1"/>
  <c r="K119" i="69" s="1"/>
  <c r="M119" i="69" s="1"/>
  <c r="N119" i="69"/>
  <c r="AF119" i="69" s="1"/>
  <c r="AL65" i="11" a="1"/>
  <c r="AL65" i="11" s="1"/>
  <c r="AL75" i="59" a="1"/>
  <c r="AL75" i="59" s="1"/>
  <c r="E76" i="50" s="1"/>
  <c r="AB118" i="69" l="1"/>
  <c r="AC118" i="69" s="1"/>
  <c r="AD118" i="69" s="1"/>
  <c r="AG118" i="69"/>
  <c r="AO120" i="69"/>
  <c r="P120" i="69"/>
  <c r="L121" i="69"/>
  <c r="O121" i="69"/>
  <c r="T76" i="50"/>
  <c r="AK76" i="50"/>
  <c r="X134" i="57"/>
  <c r="AB134" i="53"/>
  <c r="AA134" i="53"/>
  <c r="AF134" i="53"/>
  <c r="AE135" i="53"/>
  <c r="AC135" i="53"/>
  <c r="AK65" i="32"/>
  <c r="T65" i="32"/>
  <c r="AE135" i="57"/>
  <c r="AC135" i="57"/>
  <c r="AM75" i="50"/>
  <c r="U75" i="50"/>
  <c r="AD74" i="50"/>
  <c r="AG74" i="50" s="1"/>
  <c r="AH74" i="50" s="1"/>
  <c r="AI74" i="50" s="1"/>
  <c r="AP72" i="50"/>
  <c r="R135" i="57"/>
  <c r="R135" i="53"/>
  <c r="X135" i="53" s="1"/>
  <c r="AL73" i="50"/>
  <c r="AX119" i="69"/>
  <c r="AG136" i="57"/>
  <c r="L136" i="57"/>
  <c r="O76" i="50"/>
  <c r="AJ135" i="57"/>
  <c r="AP135" i="57"/>
  <c r="AG135" i="53"/>
  <c r="AH135" i="53"/>
  <c r="AT135" i="53"/>
  <c r="N136" i="57"/>
  <c r="J136" i="53"/>
  <c r="N136" i="53"/>
  <c r="AH119" i="69"/>
  <c r="AJ74" i="50"/>
  <c r="C74" i="50"/>
  <c r="AD135" i="57"/>
  <c r="Q135" i="53"/>
  <c r="AD135" i="53"/>
  <c r="V74" i="50"/>
  <c r="S75" i="50"/>
  <c r="AK135" i="52" a="1"/>
  <c r="AK135" i="52" s="1"/>
  <c r="B137" i="53" s="1"/>
  <c r="O137" i="53" s="1"/>
  <c r="P136" i="53"/>
  <c r="D136" i="53"/>
  <c r="F136" i="53"/>
  <c r="G136" i="53"/>
  <c r="E136" i="53"/>
  <c r="M136" i="53"/>
  <c r="L136" i="53"/>
  <c r="C136" i="53"/>
  <c r="K136" i="53"/>
  <c r="I136" i="53"/>
  <c r="H136" i="53"/>
  <c r="F76" i="50"/>
  <c r="M76" i="50"/>
  <c r="I76" i="50"/>
  <c r="K76" i="50"/>
  <c r="B76" i="50"/>
  <c r="R76" i="50" s="1"/>
  <c r="J76" i="50"/>
  <c r="G76" i="50"/>
  <c r="H76" i="50"/>
  <c r="N76" i="50"/>
  <c r="A76" i="50"/>
  <c r="Q76" i="50" s="1"/>
  <c r="P76" i="50" s="1"/>
  <c r="L76" i="50"/>
  <c r="P136" i="57"/>
  <c r="K136" i="57"/>
  <c r="I136" i="57"/>
  <c r="G136" i="57"/>
  <c r="E136" i="57"/>
  <c r="C136" i="57"/>
  <c r="M136" i="57" s="1"/>
  <c r="F136" i="57"/>
  <c r="J136" i="57"/>
  <c r="H136" i="57"/>
  <c r="D136" i="57"/>
  <c r="Q135" i="57"/>
  <c r="T135" i="57" s="1"/>
  <c r="Z74" i="50"/>
  <c r="W74" i="50"/>
  <c r="X74" i="50" s="1"/>
  <c r="E66" i="32"/>
  <c r="AK135" i="55" a="1"/>
  <c r="AK135" i="55" s="1"/>
  <c r="B137" i="57" s="1"/>
  <c r="O137" i="57" s="1"/>
  <c r="D120" i="69"/>
  <c r="E120" i="69" s="1"/>
  <c r="F120" i="69" s="1"/>
  <c r="G120" i="69" s="1"/>
  <c r="H120" i="69" s="1"/>
  <c r="I120" i="69" s="1"/>
  <c r="J120" i="69" s="1"/>
  <c r="K120" i="69" s="1"/>
  <c r="M120" i="69" s="1"/>
  <c r="N120" i="69"/>
  <c r="AF120" i="69" s="1"/>
  <c r="AE119" i="69"/>
  <c r="R119" i="69"/>
  <c r="S119" i="69" s="1"/>
  <c r="Y119" i="69" s="1"/>
  <c r="AB119" i="69" s="1"/>
  <c r="AC119" i="69" s="1"/>
  <c r="AD119" i="69" s="1"/>
  <c r="U119" i="69"/>
  <c r="Q119" i="69"/>
  <c r="C121" i="69"/>
  <c r="AN121" i="67" a="1"/>
  <c r="AN121" i="67" s="1"/>
  <c r="B122" i="69"/>
  <c r="AL66" i="11" a="1"/>
  <c r="AL66" i="11" s="1"/>
  <c r="E67" i="32" s="1"/>
  <c r="AL76" i="59" a="1"/>
  <c r="AL76" i="59" s="1"/>
  <c r="E77" i="50" s="1"/>
  <c r="AB134" i="57" l="1"/>
  <c r="AA134" i="57"/>
  <c r="L122" i="69"/>
  <c r="O122" i="69"/>
  <c r="AO121" i="69"/>
  <c r="P121" i="69"/>
  <c r="AG119" i="69"/>
  <c r="T77" i="50"/>
  <c r="AK77" i="50"/>
  <c r="AF134" i="57"/>
  <c r="X135" i="57"/>
  <c r="AA135" i="57" s="1"/>
  <c r="AF135" i="53"/>
  <c r="AC136" i="53"/>
  <c r="AE136" i="53"/>
  <c r="AB135" i="53"/>
  <c r="AA135" i="53"/>
  <c r="AK67" i="32"/>
  <c r="T67" i="32"/>
  <c r="AK66" i="32"/>
  <c r="T66" i="32"/>
  <c r="AE136" i="57"/>
  <c r="AC136" i="57"/>
  <c r="AD75" i="50"/>
  <c r="AG75" i="50" s="1"/>
  <c r="AH75" i="50" s="1"/>
  <c r="AI75" i="50" s="1"/>
  <c r="AM76" i="50"/>
  <c r="U76" i="50"/>
  <c r="AP73" i="50"/>
  <c r="R136" i="57"/>
  <c r="R136" i="53"/>
  <c r="X136" i="53" s="1"/>
  <c r="AL74" i="50"/>
  <c r="AX120" i="69"/>
  <c r="AG137" i="57"/>
  <c r="L137" i="57"/>
  <c r="O77" i="50"/>
  <c r="AJ136" i="57"/>
  <c r="AP136" i="57"/>
  <c r="Q136" i="53"/>
  <c r="AH136" i="53"/>
  <c r="AT136" i="53"/>
  <c r="AG136" i="53"/>
  <c r="N137" i="57"/>
  <c r="K137" i="53"/>
  <c r="N137" i="53"/>
  <c r="AH120" i="69"/>
  <c r="AJ75" i="50"/>
  <c r="C75" i="50"/>
  <c r="AD136" i="57"/>
  <c r="AD136" i="53"/>
  <c r="S76" i="50"/>
  <c r="V75" i="50"/>
  <c r="G137" i="53"/>
  <c r="C137" i="53"/>
  <c r="P137" i="53"/>
  <c r="D137" i="53"/>
  <c r="I137" i="53"/>
  <c r="E137" i="53"/>
  <c r="AK136" i="52" a="1"/>
  <c r="AK136" i="52" s="1"/>
  <c r="B138" i="53" s="1"/>
  <c r="O138" i="53" s="1"/>
  <c r="F137" i="53"/>
  <c r="L137" i="53"/>
  <c r="M137" i="53"/>
  <c r="H137" i="53"/>
  <c r="J137" i="53"/>
  <c r="G77" i="50"/>
  <c r="M77" i="50"/>
  <c r="K77" i="50"/>
  <c r="F77" i="50"/>
  <c r="H77" i="50"/>
  <c r="J77" i="50"/>
  <c r="I77" i="50"/>
  <c r="L77" i="50"/>
  <c r="B77" i="50"/>
  <c r="R77" i="50" s="1"/>
  <c r="A77" i="50"/>
  <c r="Q77" i="50" s="1"/>
  <c r="P77" i="50" s="1"/>
  <c r="N77" i="50"/>
  <c r="W75" i="50"/>
  <c r="X75" i="50" s="1"/>
  <c r="Z75" i="50"/>
  <c r="Q136" i="57"/>
  <c r="T136" i="57" s="1"/>
  <c r="I137" i="57"/>
  <c r="H137" i="57"/>
  <c r="G137" i="57"/>
  <c r="E137" i="57"/>
  <c r="P137" i="57"/>
  <c r="D137" i="57"/>
  <c r="K137" i="57"/>
  <c r="C137" i="57"/>
  <c r="M137" i="57" s="1"/>
  <c r="F137" i="57"/>
  <c r="J137" i="57"/>
  <c r="AK136" i="55" a="1"/>
  <c r="AK136" i="55" s="1"/>
  <c r="B138" i="57" s="1"/>
  <c r="O138" i="57" s="1"/>
  <c r="AN122" i="67" a="1"/>
  <c r="AN122" i="67" s="1"/>
  <c r="B123" i="69"/>
  <c r="Q120" i="69"/>
  <c r="R120" i="69"/>
  <c r="S120" i="69" s="1"/>
  <c r="Y120" i="69" s="1"/>
  <c r="AB120" i="69" s="1"/>
  <c r="AC120" i="69" s="1"/>
  <c r="AD120" i="69" s="1"/>
  <c r="AE120" i="69"/>
  <c r="U120" i="69"/>
  <c r="C122" i="69"/>
  <c r="D121" i="69"/>
  <c r="E121" i="69" s="1"/>
  <c r="F121" i="69" s="1"/>
  <c r="G121" i="69" s="1"/>
  <c r="H121" i="69" s="1"/>
  <c r="I121" i="69" s="1"/>
  <c r="J121" i="69" s="1"/>
  <c r="K121" i="69" s="1"/>
  <c r="M121" i="69" s="1"/>
  <c r="N121" i="69"/>
  <c r="AF121" i="69" s="1"/>
  <c r="AL67" i="11" a="1"/>
  <c r="AL67" i="11" s="1"/>
  <c r="E68" i="32" s="1"/>
  <c r="AL77" i="59" a="1"/>
  <c r="AL77" i="59" s="1"/>
  <c r="E78" i="50" s="1"/>
  <c r="AG120" i="69" l="1"/>
  <c r="L123" i="69"/>
  <c r="O123" i="69"/>
  <c r="AO122" i="69"/>
  <c r="P122" i="69"/>
  <c r="T78" i="50"/>
  <c r="AK78" i="50"/>
  <c r="AF135" i="57"/>
  <c r="AB135" i="57"/>
  <c r="AB136" i="53"/>
  <c r="AA136" i="53"/>
  <c r="AC137" i="53"/>
  <c r="AE137" i="53"/>
  <c r="AF136" i="53"/>
  <c r="AK68" i="32"/>
  <c r="T68" i="32"/>
  <c r="X136" i="57"/>
  <c r="AC137" i="57"/>
  <c r="AE137" i="57"/>
  <c r="AD76" i="50"/>
  <c r="AG76" i="50" s="1"/>
  <c r="AH76" i="50" s="1"/>
  <c r="AI76" i="50" s="1"/>
  <c r="AM77" i="50"/>
  <c r="U77" i="50"/>
  <c r="AP74" i="50"/>
  <c r="R137" i="57"/>
  <c r="R137" i="53"/>
  <c r="X137" i="53" s="1"/>
  <c r="AL75" i="50"/>
  <c r="AX121" i="69"/>
  <c r="AG138" i="57"/>
  <c r="L138" i="57"/>
  <c r="O78" i="50"/>
  <c r="AJ137" i="57"/>
  <c r="AP137" i="57"/>
  <c r="AH137" i="53"/>
  <c r="AT137" i="53"/>
  <c r="AG137" i="53"/>
  <c r="N138" i="57"/>
  <c r="I138" i="53"/>
  <c r="N138" i="53"/>
  <c r="AH121" i="69"/>
  <c r="AJ76" i="50"/>
  <c r="C76" i="50"/>
  <c r="AD137" i="57"/>
  <c r="Q137" i="53"/>
  <c r="AD137" i="53"/>
  <c r="S77" i="50"/>
  <c r="V76" i="50"/>
  <c r="AK137" i="52" a="1"/>
  <c r="AK137" i="52" s="1"/>
  <c r="B139" i="53" s="1"/>
  <c r="O139" i="53" s="1"/>
  <c r="G138" i="53"/>
  <c r="J138" i="53"/>
  <c r="P138" i="53"/>
  <c r="K138" i="53"/>
  <c r="H138" i="53"/>
  <c r="F138" i="53"/>
  <c r="L138" i="53"/>
  <c r="C138" i="53"/>
  <c r="D138" i="53"/>
  <c r="M138" i="53"/>
  <c r="E138" i="53"/>
  <c r="F78" i="50"/>
  <c r="A78" i="50"/>
  <c r="Q78" i="50" s="1"/>
  <c r="P78" i="50" s="1"/>
  <c r="K78" i="50"/>
  <c r="H78" i="50"/>
  <c r="L78" i="50"/>
  <c r="M78" i="50"/>
  <c r="B78" i="50"/>
  <c r="R78" i="50" s="1"/>
  <c r="G78" i="50"/>
  <c r="N78" i="50"/>
  <c r="I78" i="50"/>
  <c r="J78" i="50"/>
  <c r="P138" i="57"/>
  <c r="K138" i="57"/>
  <c r="I138" i="57"/>
  <c r="G138" i="57"/>
  <c r="E138" i="57"/>
  <c r="C138" i="57"/>
  <c r="M138" i="57" s="1"/>
  <c r="F138" i="57"/>
  <c r="J138" i="57"/>
  <c r="D138" i="57"/>
  <c r="H138" i="57"/>
  <c r="Q137" i="57"/>
  <c r="T137" i="57" s="1"/>
  <c r="W76" i="50"/>
  <c r="X76" i="50" s="1"/>
  <c r="Z76" i="50"/>
  <c r="AK137" i="55" a="1"/>
  <c r="AK137" i="55" s="1"/>
  <c r="B139" i="57" s="1"/>
  <c r="O139" i="57" s="1"/>
  <c r="D122" i="69"/>
  <c r="E122" i="69" s="1"/>
  <c r="F122" i="69" s="1"/>
  <c r="G122" i="69" s="1"/>
  <c r="H122" i="69" s="1"/>
  <c r="I122" i="69" s="1"/>
  <c r="J122" i="69" s="1"/>
  <c r="K122" i="69" s="1"/>
  <c r="M122" i="69" s="1"/>
  <c r="N122" i="69"/>
  <c r="AF122" i="69" s="1"/>
  <c r="C123" i="69"/>
  <c r="Q121" i="69"/>
  <c r="U121" i="69"/>
  <c r="AE121" i="69"/>
  <c r="R121" i="69"/>
  <c r="S121" i="69" s="1"/>
  <c r="Y121" i="69" s="1"/>
  <c r="AN123" i="67" a="1"/>
  <c r="AN123" i="67" s="1"/>
  <c r="B124" i="69"/>
  <c r="AL68" i="11" a="1"/>
  <c r="AL68" i="11" s="1"/>
  <c r="AL78" i="59" a="1"/>
  <c r="AL78" i="59" s="1"/>
  <c r="E79" i="50" s="1"/>
  <c r="AB136" i="57" l="1"/>
  <c r="AA136" i="57"/>
  <c r="AB121" i="69"/>
  <c r="AC121" i="69" s="1"/>
  <c r="AD121" i="69" s="1"/>
  <c r="AG121" i="69"/>
  <c r="AO123" i="69"/>
  <c r="P123" i="69"/>
  <c r="L124" i="69"/>
  <c r="O124" i="69"/>
  <c r="AK79" i="50"/>
  <c r="T79" i="50"/>
  <c r="AB137" i="53"/>
  <c r="AA137" i="53"/>
  <c r="AC138" i="53"/>
  <c r="AE138" i="53"/>
  <c r="AF137" i="53"/>
  <c r="AF136" i="57"/>
  <c r="X137" i="57"/>
  <c r="AE138" i="57"/>
  <c r="AC138" i="57"/>
  <c r="AD77" i="50"/>
  <c r="AG77" i="50" s="1"/>
  <c r="AH77" i="50" s="1"/>
  <c r="AI77" i="50" s="1"/>
  <c r="AM78" i="50"/>
  <c r="U78" i="50"/>
  <c r="AP75" i="50"/>
  <c r="R138" i="57"/>
  <c r="R138" i="53"/>
  <c r="X138" i="53" s="1"/>
  <c r="AL76" i="50"/>
  <c r="AX122" i="69"/>
  <c r="AG139" i="57"/>
  <c r="L139" i="57"/>
  <c r="O79" i="50"/>
  <c r="AJ138" i="57"/>
  <c r="AP138" i="57"/>
  <c r="AH138" i="53"/>
  <c r="AT138" i="53"/>
  <c r="AG138" i="53"/>
  <c r="N139" i="57"/>
  <c r="N139" i="53"/>
  <c r="AH122" i="69"/>
  <c r="AJ77" i="50"/>
  <c r="C77" i="50"/>
  <c r="AD138" i="57"/>
  <c r="AD138" i="53"/>
  <c r="S78" i="50"/>
  <c r="V77" i="50"/>
  <c r="Q138" i="53"/>
  <c r="AK138" i="52" a="1"/>
  <c r="AK138" i="52" s="1"/>
  <c r="B140" i="53" s="1"/>
  <c r="O140" i="53" s="1"/>
  <c r="J139" i="53"/>
  <c r="K139" i="53"/>
  <c r="M139" i="53"/>
  <c r="I139" i="53"/>
  <c r="L139" i="53"/>
  <c r="E139" i="53"/>
  <c r="G139" i="53"/>
  <c r="C139" i="53"/>
  <c r="H139" i="53"/>
  <c r="F139" i="53"/>
  <c r="D139" i="53"/>
  <c r="P139" i="53"/>
  <c r="A79" i="50"/>
  <c r="Q79" i="50" s="1"/>
  <c r="P79" i="50" s="1"/>
  <c r="M79" i="50"/>
  <c r="B79" i="50"/>
  <c r="R79" i="50" s="1"/>
  <c r="L79" i="50"/>
  <c r="J79" i="50"/>
  <c r="N79" i="50"/>
  <c r="F79" i="50"/>
  <c r="I79" i="50"/>
  <c r="G79" i="50"/>
  <c r="K79" i="50"/>
  <c r="H79" i="50"/>
  <c r="Q138" i="57"/>
  <c r="T138" i="57" s="1"/>
  <c r="K139" i="57"/>
  <c r="I139" i="57"/>
  <c r="H139" i="57"/>
  <c r="G139" i="57"/>
  <c r="E139" i="57"/>
  <c r="C139" i="57"/>
  <c r="M139" i="57" s="1"/>
  <c r="P139" i="57"/>
  <c r="D139" i="57"/>
  <c r="J139" i="57"/>
  <c r="F139" i="57"/>
  <c r="Z77" i="50"/>
  <c r="W77" i="50"/>
  <c r="X77" i="50" s="1"/>
  <c r="E69" i="32"/>
  <c r="AK138" i="55" a="1"/>
  <c r="AK138" i="55" s="1"/>
  <c r="B140" i="57" s="1"/>
  <c r="O140" i="57" s="1"/>
  <c r="AN124" i="67" a="1"/>
  <c r="AN124" i="67" s="1"/>
  <c r="B125" i="69"/>
  <c r="C124" i="69"/>
  <c r="D123" i="69"/>
  <c r="E123" i="69" s="1"/>
  <c r="F123" i="69" s="1"/>
  <c r="G123" i="69" s="1"/>
  <c r="H123" i="69" s="1"/>
  <c r="I123" i="69" s="1"/>
  <c r="J123" i="69" s="1"/>
  <c r="K123" i="69" s="1"/>
  <c r="M123" i="69" s="1"/>
  <c r="N123" i="69"/>
  <c r="AF123" i="69" s="1"/>
  <c r="R122" i="69"/>
  <c r="S122" i="69" s="1"/>
  <c r="Y122" i="69" s="1"/>
  <c r="Q122" i="69"/>
  <c r="U122" i="69"/>
  <c r="AE122" i="69"/>
  <c r="AL69" i="11" a="1"/>
  <c r="AL69" i="11" s="1"/>
  <c r="E70" i="32" s="1"/>
  <c r="AL79" i="59" a="1"/>
  <c r="AL79" i="59" s="1"/>
  <c r="E80" i="50" s="1"/>
  <c r="AB137" i="57" l="1"/>
  <c r="AA137" i="57"/>
  <c r="AB122" i="69"/>
  <c r="AC122" i="69" s="1"/>
  <c r="AD122" i="69" s="1"/>
  <c r="AG122" i="69"/>
  <c r="L125" i="69"/>
  <c r="O125" i="69"/>
  <c r="AO124" i="69"/>
  <c r="P124" i="69"/>
  <c r="AK80" i="50"/>
  <c r="T80" i="50"/>
  <c r="AB138" i="53"/>
  <c r="AA138" i="53"/>
  <c r="AE139" i="53"/>
  <c r="AC139" i="53"/>
  <c r="AF138" i="53"/>
  <c r="AK70" i="32"/>
  <c r="T70" i="32"/>
  <c r="AK69" i="32"/>
  <c r="T69" i="32"/>
  <c r="X138" i="57"/>
  <c r="AF137" i="57"/>
  <c r="AE139" i="57"/>
  <c r="AC139" i="57"/>
  <c r="AD78" i="50"/>
  <c r="AG78" i="50" s="1"/>
  <c r="AH78" i="50" s="1"/>
  <c r="AI78" i="50" s="1"/>
  <c r="AM79" i="50"/>
  <c r="U79" i="50"/>
  <c r="AP76" i="50"/>
  <c r="R139" i="57"/>
  <c r="R139" i="53"/>
  <c r="X139" i="53" s="1"/>
  <c r="AL77" i="50"/>
  <c r="AX123" i="69"/>
  <c r="AG140" i="57"/>
  <c r="L140" i="57"/>
  <c r="O80" i="50"/>
  <c r="AJ139" i="57"/>
  <c r="AP139" i="57"/>
  <c r="AG139" i="53"/>
  <c r="AH139" i="53"/>
  <c r="AT139" i="53"/>
  <c r="N140" i="57"/>
  <c r="N140" i="53"/>
  <c r="AH123" i="69"/>
  <c r="AJ78" i="50"/>
  <c r="C78" i="50"/>
  <c r="AD139" i="57"/>
  <c r="Q139" i="53"/>
  <c r="AD139" i="53"/>
  <c r="S79" i="50"/>
  <c r="V78" i="50"/>
  <c r="AK139" i="52" a="1"/>
  <c r="AK139" i="52" s="1"/>
  <c r="B141" i="53" s="1"/>
  <c r="O141" i="53" s="1"/>
  <c r="H140" i="53"/>
  <c r="G140" i="53"/>
  <c r="M140" i="53"/>
  <c r="I140" i="53"/>
  <c r="F140" i="53"/>
  <c r="P140" i="53"/>
  <c r="K140" i="53"/>
  <c r="E140" i="53"/>
  <c r="D140" i="53"/>
  <c r="C140" i="53"/>
  <c r="L140" i="53"/>
  <c r="J140" i="53"/>
  <c r="M80" i="50"/>
  <c r="A80" i="50"/>
  <c r="Q80" i="50" s="1"/>
  <c r="P80" i="50" s="1"/>
  <c r="N80" i="50"/>
  <c r="G80" i="50"/>
  <c r="I80" i="50"/>
  <c r="J80" i="50"/>
  <c r="K80" i="50"/>
  <c r="F80" i="50"/>
  <c r="L80" i="50"/>
  <c r="H80" i="50"/>
  <c r="B80" i="50"/>
  <c r="R80" i="50" s="1"/>
  <c r="P140" i="57"/>
  <c r="K140" i="57"/>
  <c r="I140" i="57"/>
  <c r="G140" i="57"/>
  <c r="E140" i="57"/>
  <c r="C140" i="57"/>
  <c r="M140" i="57" s="1"/>
  <c r="F140" i="57"/>
  <c r="J140" i="57"/>
  <c r="H140" i="57"/>
  <c r="D140" i="57"/>
  <c r="Z78" i="50"/>
  <c r="W78" i="50"/>
  <c r="X78" i="50" s="1"/>
  <c r="Q139" i="57"/>
  <c r="T139" i="57" s="1"/>
  <c r="AK139" i="55" a="1"/>
  <c r="AK139" i="55" s="1"/>
  <c r="B141" i="57" s="1"/>
  <c r="O141" i="57" s="1"/>
  <c r="R123" i="69"/>
  <c r="S123" i="69" s="1"/>
  <c r="Y123" i="69" s="1"/>
  <c r="U123" i="69"/>
  <c r="Q123" i="69"/>
  <c r="AE123" i="69"/>
  <c r="C125" i="69"/>
  <c r="D124" i="69"/>
  <c r="E124" i="69" s="1"/>
  <c r="F124" i="69" s="1"/>
  <c r="G124" i="69" s="1"/>
  <c r="H124" i="69" s="1"/>
  <c r="I124" i="69" s="1"/>
  <c r="J124" i="69" s="1"/>
  <c r="K124" i="69" s="1"/>
  <c r="M124" i="69" s="1"/>
  <c r="N124" i="69"/>
  <c r="AF124" i="69" s="1"/>
  <c r="AN125" i="67" a="1"/>
  <c r="AN125" i="67" s="1"/>
  <c r="B126" i="69"/>
  <c r="AL70" i="11" a="1"/>
  <c r="AL70" i="11" s="1"/>
  <c r="E71" i="32" s="1"/>
  <c r="AL80" i="59" a="1"/>
  <c r="AL80" i="59" s="1"/>
  <c r="E81" i="50" s="1"/>
  <c r="AF138" i="57" l="1"/>
  <c r="AA138" i="57"/>
  <c r="AB123" i="69"/>
  <c r="AC123" i="69" s="1"/>
  <c r="AD123" i="69" s="1"/>
  <c r="AG123" i="69"/>
  <c r="AO125" i="69"/>
  <c r="P125" i="69"/>
  <c r="L126" i="69"/>
  <c r="O126" i="69"/>
  <c r="T81" i="50"/>
  <c r="AK81" i="50"/>
  <c r="X139" i="57"/>
  <c r="AA139" i="57" s="1"/>
  <c r="AB138" i="57"/>
  <c r="AB139" i="53"/>
  <c r="AA139" i="53"/>
  <c r="AF139" i="53"/>
  <c r="AC140" i="53"/>
  <c r="AE140" i="53"/>
  <c r="AK71" i="32"/>
  <c r="T71" i="32"/>
  <c r="AE140" i="57"/>
  <c r="AC140" i="57"/>
  <c r="AD79" i="50"/>
  <c r="AG79" i="50" s="1"/>
  <c r="AH79" i="50" s="1"/>
  <c r="AI79" i="50" s="1"/>
  <c r="AM80" i="50"/>
  <c r="U80" i="50"/>
  <c r="AP77" i="50"/>
  <c r="R140" i="57"/>
  <c r="R140" i="53"/>
  <c r="X140" i="53" s="1"/>
  <c r="AL78" i="50"/>
  <c r="AX124" i="69"/>
  <c r="AG141" i="57"/>
  <c r="L141" i="57"/>
  <c r="O81" i="50"/>
  <c r="AJ140" i="57"/>
  <c r="AP140" i="57"/>
  <c r="AH140" i="53"/>
  <c r="AT140" i="53"/>
  <c r="AG140" i="53"/>
  <c r="N141" i="57"/>
  <c r="N141" i="53"/>
  <c r="AH124" i="69"/>
  <c r="AJ79" i="50"/>
  <c r="C79" i="50"/>
  <c r="AD140" i="57"/>
  <c r="Q140" i="53"/>
  <c r="AD140" i="53"/>
  <c r="S80" i="50"/>
  <c r="V79" i="50"/>
  <c r="J141" i="53"/>
  <c r="D141" i="53"/>
  <c r="G141" i="53"/>
  <c r="C141" i="53"/>
  <c r="H141" i="53"/>
  <c r="K141" i="53"/>
  <c r="F141" i="53"/>
  <c r="I141" i="53"/>
  <c r="L141" i="53"/>
  <c r="AK140" i="52" a="1"/>
  <c r="AK140" i="52" s="1"/>
  <c r="B142" i="53" s="1"/>
  <c r="O142" i="53" s="1"/>
  <c r="E141" i="53"/>
  <c r="M141" i="53"/>
  <c r="P141" i="53"/>
  <c r="F81" i="50"/>
  <c r="B81" i="50"/>
  <c r="R81" i="50" s="1"/>
  <c r="H81" i="50"/>
  <c r="I81" i="50"/>
  <c r="L81" i="50"/>
  <c r="K81" i="50"/>
  <c r="A81" i="50"/>
  <c r="Q81" i="50" s="1"/>
  <c r="P81" i="50" s="1"/>
  <c r="M81" i="50"/>
  <c r="J81" i="50"/>
  <c r="G81" i="50"/>
  <c r="N81" i="50"/>
  <c r="W79" i="50"/>
  <c r="X79" i="50" s="1"/>
  <c r="Z79" i="50"/>
  <c r="Q140" i="57"/>
  <c r="T140" i="57" s="1"/>
  <c r="K141" i="57"/>
  <c r="I141" i="57"/>
  <c r="H141" i="57"/>
  <c r="G141" i="57"/>
  <c r="E141" i="57"/>
  <c r="C141" i="57"/>
  <c r="M141" i="57" s="1"/>
  <c r="D141" i="57"/>
  <c r="P141" i="57"/>
  <c r="F141" i="57"/>
  <c r="J141" i="57"/>
  <c r="AK140" i="55" a="1"/>
  <c r="AK140" i="55" s="1"/>
  <c r="B142" i="57" s="1"/>
  <c r="O142" i="57" s="1"/>
  <c r="C126" i="69"/>
  <c r="AE124" i="69"/>
  <c r="U124" i="69"/>
  <c r="Q124" i="69"/>
  <c r="R124" i="69"/>
  <c r="S124" i="69" s="1"/>
  <c r="Y124" i="69" s="1"/>
  <c r="AB124" i="69" s="1"/>
  <c r="AC124" i="69" s="1"/>
  <c r="AD124" i="69" s="1"/>
  <c r="N125" i="69"/>
  <c r="AF125" i="69" s="1"/>
  <c r="D125" i="69"/>
  <c r="E125" i="69" s="1"/>
  <c r="F125" i="69" s="1"/>
  <c r="G125" i="69" s="1"/>
  <c r="H125" i="69" s="1"/>
  <c r="I125" i="69" s="1"/>
  <c r="J125" i="69" s="1"/>
  <c r="K125" i="69" s="1"/>
  <c r="M125" i="69" s="1"/>
  <c r="AN126" i="67" a="1"/>
  <c r="AN126" i="67" s="1"/>
  <c r="B127" i="69"/>
  <c r="AL71" i="11" a="1"/>
  <c r="AL71" i="11" s="1"/>
  <c r="E72" i="32" s="1"/>
  <c r="AL81" i="59" a="1"/>
  <c r="AL81" i="59" s="1"/>
  <c r="E82" i="50" s="1"/>
  <c r="L127" i="69" l="1"/>
  <c r="O127" i="69"/>
  <c r="AO126" i="69"/>
  <c r="P126" i="69"/>
  <c r="AG124" i="69"/>
  <c r="T82" i="50"/>
  <c r="AK82" i="50"/>
  <c r="AF139" i="57"/>
  <c r="AB139" i="57"/>
  <c r="AB140" i="53"/>
  <c r="AA140" i="53"/>
  <c r="AC141" i="53"/>
  <c r="AE141" i="53"/>
  <c r="AF140" i="53"/>
  <c r="AK72" i="32"/>
  <c r="T72" i="32"/>
  <c r="X140" i="57"/>
  <c r="AC141" i="57"/>
  <c r="AE141" i="57"/>
  <c r="AD80" i="50"/>
  <c r="AG80" i="50" s="1"/>
  <c r="AH80" i="50" s="1"/>
  <c r="AI80" i="50" s="1"/>
  <c r="AM81" i="50"/>
  <c r="U81" i="50"/>
  <c r="AP78" i="50"/>
  <c r="R141" i="57"/>
  <c r="R141" i="53"/>
  <c r="X141" i="53" s="1"/>
  <c r="AL79" i="50"/>
  <c r="AX125" i="69"/>
  <c r="AG142" i="57"/>
  <c r="L142" i="57"/>
  <c r="O82" i="50"/>
  <c r="AJ141" i="57"/>
  <c r="AP141" i="57"/>
  <c r="AG141" i="53"/>
  <c r="AH141" i="53"/>
  <c r="AT141" i="53"/>
  <c r="N142" i="57"/>
  <c r="N142" i="53"/>
  <c r="AH125" i="69"/>
  <c r="AJ80" i="50"/>
  <c r="C80" i="50"/>
  <c r="AD141" i="57"/>
  <c r="Q141" i="53"/>
  <c r="AD141" i="53"/>
  <c r="V80" i="50"/>
  <c r="S81" i="50"/>
  <c r="AK141" i="52" a="1"/>
  <c r="AK141" i="52" s="1"/>
  <c r="B143" i="53" s="1"/>
  <c r="O143" i="53" s="1"/>
  <c r="L142" i="53"/>
  <c r="I142" i="53"/>
  <c r="D142" i="53"/>
  <c r="P142" i="53"/>
  <c r="F142" i="53"/>
  <c r="K142" i="53"/>
  <c r="H142" i="53"/>
  <c r="C142" i="53"/>
  <c r="E142" i="53"/>
  <c r="G142" i="53"/>
  <c r="M142" i="53"/>
  <c r="J142" i="53"/>
  <c r="K82" i="50"/>
  <c r="B82" i="50"/>
  <c r="R82" i="50" s="1"/>
  <c r="M82" i="50"/>
  <c r="A82" i="50"/>
  <c r="Q82" i="50" s="1"/>
  <c r="P82" i="50" s="1"/>
  <c r="I82" i="50"/>
  <c r="F82" i="50"/>
  <c r="L82" i="50"/>
  <c r="H82" i="50"/>
  <c r="N82" i="50"/>
  <c r="J82" i="50"/>
  <c r="G82" i="50"/>
  <c r="W80" i="50"/>
  <c r="X80" i="50" s="1"/>
  <c r="Z80" i="50"/>
  <c r="P142" i="57"/>
  <c r="K142" i="57"/>
  <c r="I142" i="57"/>
  <c r="G142" i="57"/>
  <c r="C142" i="57"/>
  <c r="M142" i="57" s="1"/>
  <c r="E142" i="57"/>
  <c r="F142" i="57"/>
  <c r="D142" i="57"/>
  <c r="J142" i="57"/>
  <c r="H142" i="57"/>
  <c r="Q141" i="57"/>
  <c r="T141" i="57" s="1"/>
  <c r="AK141" i="55" a="1"/>
  <c r="AK141" i="55" s="1"/>
  <c r="B143" i="57" s="1"/>
  <c r="O143" i="57" s="1"/>
  <c r="Q125" i="69"/>
  <c r="AE125" i="69"/>
  <c r="U125" i="69"/>
  <c r="R125" i="69"/>
  <c r="S125" i="69" s="1"/>
  <c r="Y125" i="69" s="1"/>
  <c r="D126" i="69"/>
  <c r="E126" i="69" s="1"/>
  <c r="F126" i="69" s="1"/>
  <c r="G126" i="69" s="1"/>
  <c r="H126" i="69" s="1"/>
  <c r="I126" i="69" s="1"/>
  <c r="J126" i="69" s="1"/>
  <c r="K126" i="69" s="1"/>
  <c r="M126" i="69" s="1"/>
  <c r="N126" i="69"/>
  <c r="AF126" i="69" s="1"/>
  <c r="C127" i="69"/>
  <c r="AN127" i="67" a="1"/>
  <c r="AN127" i="67" s="1"/>
  <c r="B128" i="69"/>
  <c r="AL72" i="11" a="1"/>
  <c r="AL72" i="11" s="1"/>
  <c r="E73" i="32" s="1"/>
  <c r="AL82" i="59" a="1"/>
  <c r="AL82" i="59" s="1"/>
  <c r="E83" i="50" s="1"/>
  <c r="AB140" i="57" l="1"/>
  <c r="AA140" i="57"/>
  <c r="AB125" i="69"/>
  <c r="AC125" i="69" s="1"/>
  <c r="AD125" i="69" s="1"/>
  <c r="AG125" i="69"/>
  <c r="L128" i="69"/>
  <c r="O128" i="69"/>
  <c r="AO127" i="69"/>
  <c r="P127" i="69"/>
  <c r="T83" i="50"/>
  <c r="AK83" i="50"/>
  <c r="X141" i="57"/>
  <c r="AB141" i="53"/>
  <c r="AA141" i="53"/>
  <c r="AF141" i="53"/>
  <c r="AC142" i="53"/>
  <c r="AE142" i="53"/>
  <c r="AK73" i="32"/>
  <c r="T73" i="32"/>
  <c r="AF140" i="57"/>
  <c r="AE142" i="57"/>
  <c r="AC142" i="57"/>
  <c r="AM82" i="50"/>
  <c r="U82" i="50"/>
  <c r="AD81" i="50"/>
  <c r="AG81" i="50" s="1"/>
  <c r="AH81" i="50" s="1"/>
  <c r="AI81" i="50" s="1"/>
  <c r="AP79" i="50"/>
  <c r="R142" i="57"/>
  <c r="R142" i="53"/>
  <c r="X142" i="53" s="1"/>
  <c r="AL80" i="50"/>
  <c r="AX126" i="69"/>
  <c r="AG143" i="57"/>
  <c r="L143" i="57"/>
  <c r="O83" i="50"/>
  <c r="AJ142" i="57"/>
  <c r="AP142" i="57"/>
  <c r="AG142" i="53"/>
  <c r="AH142" i="53"/>
  <c r="AT142" i="53"/>
  <c r="N143" i="57"/>
  <c r="M143" i="53"/>
  <c r="N143" i="53"/>
  <c r="AH126" i="69"/>
  <c r="AJ81" i="50"/>
  <c r="C81" i="50"/>
  <c r="AD142" i="57"/>
  <c r="AD142" i="53"/>
  <c r="S82" i="50"/>
  <c r="V81" i="50"/>
  <c r="Q142" i="53"/>
  <c r="F143" i="53"/>
  <c r="E143" i="53"/>
  <c r="H143" i="53"/>
  <c r="D143" i="53"/>
  <c r="J143" i="53"/>
  <c r="G143" i="53"/>
  <c r="K143" i="53"/>
  <c r="P143" i="53"/>
  <c r="I143" i="53"/>
  <c r="C143" i="53"/>
  <c r="AK142" i="52" a="1"/>
  <c r="AK142" i="52" s="1"/>
  <c r="B144" i="53" s="1"/>
  <c r="O144" i="53" s="1"/>
  <c r="L143" i="53"/>
  <c r="B83" i="50"/>
  <c r="R83" i="50" s="1"/>
  <c r="J83" i="50"/>
  <c r="F83" i="50"/>
  <c r="K83" i="50"/>
  <c r="A83" i="50"/>
  <c r="Q83" i="50" s="1"/>
  <c r="P83" i="50" s="1"/>
  <c r="N83" i="50"/>
  <c r="I83" i="50"/>
  <c r="M83" i="50"/>
  <c r="H83" i="50"/>
  <c r="G83" i="50"/>
  <c r="L83" i="50"/>
  <c r="Q142" i="57"/>
  <c r="T142" i="57" s="1"/>
  <c r="Z81" i="50"/>
  <c r="W81" i="50"/>
  <c r="X81" i="50" s="1"/>
  <c r="C143" i="57"/>
  <c r="M143" i="57" s="1"/>
  <c r="K143" i="57"/>
  <c r="I143" i="57"/>
  <c r="H143" i="57"/>
  <c r="G143" i="57"/>
  <c r="P143" i="57"/>
  <c r="D143" i="57"/>
  <c r="E143" i="57"/>
  <c r="J143" i="57"/>
  <c r="F143" i="57"/>
  <c r="AK142" i="55" a="1"/>
  <c r="AK142" i="55" s="1"/>
  <c r="B144" i="57" s="1"/>
  <c r="O144" i="57" s="1"/>
  <c r="N127" i="69"/>
  <c r="AF127" i="69" s="1"/>
  <c r="D127" i="69"/>
  <c r="E127" i="69" s="1"/>
  <c r="F127" i="69" s="1"/>
  <c r="G127" i="69" s="1"/>
  <c r="H127" i="69" s="1"/>
  <c r="I127" i="69" s="1"/>
  <c r="J127" i="69" s="1"/>
  <c r="K127" i="69" s="1"/>
  <c r="M127" i="69" s="1"/>
  <c r="C128" i="69"/>
  <c r="AN128" i="67" a="1"/>
  <c r="AN128" i="67" s="1"/>
  <c r="B129" i="69"/>
  <c r="R126" i="69"/>
  <c r="S126" i="69" s="1"/>
  <c r="Y126" i="69" s="1"/>
  <c r="AE126" i="69"/>
  <c r="Q126" i="69"/>
  <c r="U126" i="69"/>
  <c r="AL73" i="11" a="1"/>
  <c r="AL73" i="11" s="1"/>
  <c r="AL83" i="59" a="1"/>
  <c r="AL83" i="59" s="1"/>
  <c r="E84" i="50" s="1"/>
  <c r="X142" i="57" l="1"/>
  <c r="AA142" i="57" s="1"/>
  <c r="AF141" i="57"/>
  <c r="AA141" i="57"/>
  <c r="AB126" i="69"/>
  <c r="AC126" i="69" s="1"/>
  <c r="AD126" i="69" s="1"/>
  <c r="AG126" i="69"/>
  <c r="AO128" i="69"/>
  <c r="P128" i="69"/>
  <c r="L129" i="69"/>
  <c r="O129" i="69"/>
  <c r="T84" i="50"/>
  <c r="AK84" i="50"/>
  <c r="AB141" i="57"/>
  <c r="AE143" i="53"/>
  <c r="AC143" i="53"/>
  <c r="AB142" i="53"/>
  <c r="AA142" i="53"/>
  <c r="AF142" i="53"/>
  <c r="AE143" i="57"/>
  <c r="AC143" i="57"/>
  <c r="AM83" i="50"/>
  <c r="U83" i="50"/>
  <c r="AD82" i="50"/>
  <c r="AG82" i="50" s="1"/>
  <c r="AH82" i="50" s="1"/>
  <c r="AI82" i="50" s="1"/>
  <c r="AP80" i="50"/>
  <c r="R143" i="57"/>
  <c r="R143" i="53"/>
  <c r="X143" i="53" s="1"/>
  <c r="AL81" i="50"/>
  <c r="AX127" i="69"/>
  <c r="AG144" i="57"/>
  <c r="L144" i="57"/>
  <c r="O84" i="50"/>
  <c r="AJ143" i="57"/>
  <c r="AP143" i="57"/>
  <c r="Q143" i="53"/>
  <c r="AH143" i="53"/>
  <c r="AT143" i="53"/>
  <c r="AG143" i="53"/>
  <c r="N144" i="57"/>
  <c r="D144" i="53"/>
  <c r="N144" i="53"/>
  <c r="AD143" i="53"/>
  <c r="AH127" i="69"/>
  <c r="AJ82" i="50"/>
  <c r="C82" i="50"/>
  <c r="AD143" i="57"/>
  <c r="S83" i="50"/>
  <c r="V82" i="50"/>
  <c r="AK143" i="52" a="1"/>
  <c r="AK143" i="52" s="1"/>
  <c r="B145" i="53" s="1"/>
  <c r="O145" i="53" s="1"/>
  <c r="F144" i="53"/>
  <c r="H144" i="53"/>
  <c r="P144" i="53"/>
  <c r="M144" i="53"/>
  <c r="E144" i="53"/>
  <c r="G144" i="53"/>
  <c r="J144" i="53"/>
  <c r="C144" i="53"/>
  <c r="L144" i="53"/>
  <c r="I144" i="53"/>
  <c r="K144" i="53"/>
  <c r="J84" i="50"/>
  <c r="M84" i="50"/>
  <c r="I84" i="50"/>
  <c r="K84" i="50"/>
  <c r="A84" i="50"/>
  <c r="Q84" i="50" s="1"/>
  <c r="P84" i="50" s="1"/>
  <c r="H84" i="50"/>
  <c r="F84" i="50"/>
  <c r="N84" i="50"/>
  <c r="L84" i="50"/>
  <c r="G84" i="50"/>
  <c r="B84" i="50"/>
  <c r="R84" i="50" s="1"/>
  <c r="Z82" i="50"/>
  <c r="W82" i="50"/>
  <c r="X82" i="50" s="1"/>
  <c r="P144" i="57"/>
  <c r="C144" i="57"/>
  <c r="M144" i="57" s="1"/>
  <c r="K144" i="57"/>
  <c r="I144" i="57"/>
  <c r="E144" i="57"/>
  <c r="G144" i="57"/>
  <c r="F144" i="57"/>
  <c r="J144" i="57"/>
  <c r="D144" i="57"/>
  <c r="H144" i="57"/>
  <c r="Q143" i="57"/>
  <c r="T143" i="57" s="1"/>
  <c r="E74" i="32"/>
  <c r="AK143" i="55" a="1"/>
  <c r="AK143" i="55" s="1"/>
  <c r="B145" i="57" s="1"/>
  <c r="O145" i="57" s="1"/>
  <c r="D128" i="69"/>
  <c r="E128" i="69" s="1"/>
  <c r="F128" i="69" s="1"/>
  <c r="G128" i="69" s="1"/>
  <c r="H128" i="69" s="1"/>
  <c r="I128" i="69" s="1"/>
  <c r="J128" i="69" s="1"/>
  <c r="K128" i="69" s="1"/>
  <c r="M128" i="69" s="1"/>
  <c r="N128" i="69"/>
  <c r="AF128" i="69" s="1"/>
  <c r="AN129" i="67" a="1"/>
  <c r="AN129" i="67" s="1"/>
  <c r="B130" i="69"/>
  <c r="C129" i="69"/>
  <c r="AE127" i="69"/>
  <c r="U127" i="69"/>
  <c r="Q127" i="69"/>
  <c r="R127" i="69"/>
  <c r="S127" i="69" s="1"/>
  <c r="Y127" i="69" s="1"/>
  <c r="AB127" i="69" s="1"/>
  <c r="AC127" i="69" s="1"/>
  <c r="AD127" i="69" s="1"/>
  <c r="AL74" i="11" a="1"/>
  <c r="AL74" i="11" s="1"/>
  <c r="AL84" i="59" a="1"/>
  <c r="AL84" i="59" s="1"/>
  <c r="E85" i="50" s="1"/>
  <c r="AB142" i="57" l="1"/>
  <c r="AF142" i="57"/>
  <c r="AO129" i="69"/>
  <c r="P129" i="69"/>
  <c r="L130" i="69"/>
  <c r="O130" i="69"/>
  <c r="AG127" i="69"/>
  <c r="T85" i="50"/>
  <c r="AK85" i="50"/>
  <c r="X143" i="57"/>
  <c r="AB143" i="53"/>
  <c r="AA143" i="53"/>
  <c r="AF143" i="53"/>
  <c r="AC144" i="53"/>
  <c r="AE144" i="53"/>
  <c r="AK74" i="32"/>
  <c r="T74" i="32"/>
  <c r="AE144" i="57"/>
  <c r="AC144" i="57"/>
  <c r="AM84" i="50"/>
  <c r="U84" i="50"/>
  <c r="AD83" i="50"/>
  <c r="AG83" i="50" s="1"/>
  <c r="AH83" i="50" s="1"/>
  <c r="AI83" i="50" s="1"/>
  <c r="AP81" i="50"/>
  <c r="R144" i="57"/>
  <c r="R144" i="53"/>
  <c r="X144" i="53" s="1"/>
  <c r="AL82" i="50"/>
  <c r="AX128" i="69"/>
  <c r="AG145" i="57"/>
  <c r="L145" i="57"/>
  <c r="O85" i="50"/>
  <c r="AJ144" i="57"/>
  <c r="AP144" i="57"/>
  <c r="AH144" i="53"/>
  <c r="AT144" i="53"/>
  <c r="AG144" i="53"/>
  <c r="N145" i="57"/>
  <c r="K145" i="53"/>
  <c r="N145" i="53"/>
  <c r="AH128" i="69"/>
  <c r="AJ83" i="50"/>
  <c r="C83" i="50"/>
  <c r="AD144" i="57"/>
  <c r="Q144" i="53"/>
  <c r="AD144" i="53"/>
  <c r="S84" i="50"/>
  <c r="V83" i="50"/>
  <c r="AK144" i="52" a="1"/>
  <c r="AK144" i="52" s="1"/>
  <c r="B146" i="53" s="1"/>
  <c r="O146" i="53" s="1"/>
  <c r="H145" i="53"/>
  <c r="J145" i="53"/>
  <c r="M145" i="53"/>
  <c r="F145" i="53"/>
  <c r="L145" i="53"/>
  <c r="E145" i="53"/>
  <c r="G145" i="53"/>
  <c r="P145" i="53"/>
  <c r="I145" i="53"/>
  <c r="D145" i="53"/>
  <c r="C145" i="53"/>
  <c r="M85" i="50"/>
  <c r="F85" i="50"/>
  <c r="N85" i="50"/>
  <c r="L85" i="50"/>
  <c r="G85" i="50"/>
  <c r="H85" i="50"/>
  <c r="B85" i="50"/>
  <c r="R85" i="50" s="1"/>
  <c r="J85" i="50"/>
  <c r="K85" i="50"/>
  <c r="A85" i="50"/>
  <c r="Q85" i="50" s="1"/>
  <c r="P85" i="50" s="1"/>
  <c r="I85" i="50"/>
  <c r="P145" i="57"/>
  <c r="D145" i="57"/>
  <c r="C145" i="57"/>
  <c r="M145" i="57" s="1"/>
  <c r="K145" i="57"/>
  <c r="I145" i="57"/>
  <c r="H145" i="57"/>
  <c r="E145" i="57"/>
  <c r="G145" i="57"/>
  <c r="F145" i="57"/>
  <c r="J145" i="57"/>
  <c r="Q144" i="57"/>
  <c r="T144" i="57" s="1"/>
  <c r="W83" i="50"/>
  <c r="X83" i="50" s="1"/>
  <c r="Z83" i="50"/>
  <c r="E75" i="32"/>
  <c r="AK144" i="55" a="1"/>
  <c r="AK144" i="55" s="1"/>
  <c r="B146" i="57" s="1"/>
  <c r="O146" i="57" s="1"/>
  <c r="U128" i="69"/>
  <c r="Q128" i="69"/>
  <c r="R128" i="69"/>
  <c r="S128" i="69" s="1"/>
  <c r="Y128" i="69" s="1"/>
  <c r="AE128" i="69"/>
  <c r="D129" i="69"/>
  <c r="E129" i="69" s="1"/>
  <c r="F129" i="69" s="1"/>
  <c r="G129" i="69" s="1"/>
  <c r="H129" i="69" s="1"/>
  <c r="I129" i="69" s="1"/>
  <c r="J129" i="69" s="1"/>
  <c r="K129" i="69" s="1"/>
  <c r="M129" i="69" s="1"/>
  <c r="N129" i="69"/>
  <c r="AF129" i="69" s="1"/>
  <c r="C130" i="69"/>
  <c r="AN130" i="67" a="1"/>
  <c r="AN130" i="67" s="1"/>
  <c r="B131" i="69"/>
  <c r="AL75" i="11" a="1"/>
  <c r="AL75" i="11" s="1"/>
  <c r="E76" i="32" s="1"/>
  <c r="AL85" i="59" a="1"/>
  <c r="AL85" i="59" s="1"/>
  <c r="E86" i="50" s="1"/>
  <c r="AB143" i="57" l="1"/>
  <c r="AA143" i="57"/>
  <c r="AB128" i="69"/>
  <c r="AC128" i="69" s="1"/>
  <c r="AD128" i="69" s="1"/>
  <c r="AG128" i="69"/>
  <c r="AO130" i="69"/>
  <c r="P130" i="69"/>
  <c r="L131" i="69"/>
  <c r="O131" i="69"/>
  <c r="T86" i="50"/>
  <c r="AK86" i="50"/>
  <c r="AF143" i="57"/>
  <c r="AB144" i="53"/>
  <c r="AA144" i="53"/>
  <c r="AF144" i="53"/>
  <c r="AC145" i="53"/>
  <c r="AE145" i="53"/>
  <c r="AK76" i="32"/>
  <c r="T76" i="32"/>
  <c r="AK75" i="32"/>
  <c r="T75" i="32"/>
  <c r="X144" i="57"/>
  <c r="AC145" i="57"/>
  <c r="AE145" i="57"/>
  <c r="AM85" i="50"/>
  <c r="U85" i="50"/>
  <c r="AD84" i="50"/>
  <c r="AG84" i="50" s="1"/>
  <c r="AH84" i="50" s="1"/>
  <c r="AI84" i="50" s="1"/>
  <c r="AP82" i="50"/>
  <c r="R145" i="57"/>
  <c r="R145" i="53"/>
  <c r="X145" i="53" s="1"/>
  <c r="AL83" i="50"/>
  <c r="AX129" i="69"/>
  <c r="AG146" i="57"/>
  <c r="L146" i="57"/>
  <c r="O86" i="50"/>
  <c r="AJ145" i="57"/>
  <c r="AP145" i="57"/>
  <c r="AH145" i="53"/>
  <c r="AT145" i="53"/>
  <c r="AG145" i="53"/>
  <c r="N146" i="57"/>
  <c r="M146" i="53"/>
  <c r="N146" i="53"/>
  <c r="AH129" i="69"/>
  <c r="AJ84" i="50"/>
  <c r="C84" i="50"/>
  <c r="AD145" i="57"/>
  <c r="AD145" i="53"/>
  <c r="S85" i="50"/>
  <c r="V84" i="50"/>
  <c r="Q145" i="53"/>
  <c r="AK145" i="52" a="1"/>
  <c r="AK145" i="52" s="1"/>
  <c r="B147" i="53" s="1"/>
  <c r="O147" i="53" s="1"/>
  <c r="G146" i="53"/>
  <c r="H146" i="53"/>
  <c r="P146" i="53"/>
  <c r="J146" i="53"/>
  <c r="E146" i="53"/>
  <c r="C146" i="53"/>
  <c r="F146" i="53"/>
  <c r="I146" i="53"/>
  <c r="L146" i="53"/>
  <c r="D146" i="53"/>
  <c r="K146" i="53"/>
  <c r="F86" i="50"/>
  <c r="G86" i="50"/>
  <c r="J86" i="50"/>
  <c r="A86" i="50"/>
  <c r="Q86" i="50" s="1"/>
  <c r="P86" i="50" s="1"/>
  <c r="H86" i="50"/>
  <c r="L86" i="50"/>
  <c r="N86" i="50"/>
  <c r="I86" i="50"/>
  <c r="M86" i="50"/>
  <c r="K86" i="50"/>
  <c r="B86" i="50"/>
  <c r="R86" i="50" s="1"/>
  <c r="P146" i="57"/>
  <c r="C146" i="57"/>
  <c r="M146" i="57" s="1"/>
  <c r="K146" i="57"/>
  <c r="I146" i="57"/>
  <c r="G146" i="57"/>
  <c r="E146" i="57"/>
  <c r="F146" i="57"/>
  <c r="J146" i="57"/>
  <c r="D146" i="57"/>
  <c r="H146" i="57"/>
  <c r="W84" i="50"/>
  <c r="X84" i="50" s="1"/>
  <c r="Z84" i="50"/>
  <c r="Q145" i="57"/>
  <c r="T145" i="57" s="1"/>
  <c r="AK145" i="55" a="1"/>
  <c r="AK145" i="55" s="1"/>
  <c r="B147" i="57" s="1"/>
  <c r="O147" i="57" s="1"/>
  <c r="D130" i="69"/>
  <c r="E130" i="69" s="1"/>
  <c r="F130" i="69" s="1"/>
  <c r="G130" i="69" s="1"/>
  <c r="H130" i="69" s="1"/>
  <c r="I130" i="69" s="1"/>
  <c r="J130" i="69" s="1"/>
  <c r="K130" i="69" s="1"/>
  <c r="M130" i="69" s="1"/>
  <c r="N130" i="69"/>
  <c r="AF130" i="69" s="1"/>
  <c r="C131" i="69"/>
  <c r="AN131" i="67" a="1"/>
  <c r="AN131" i="67" s="1"/>
  <c r="B132" i="69"/>
  <c r="U129" i="69"/>
  <c r="AE129" i="69"/>
  <c r="R129" i="69"/>
  <c r="S129" i="69" s="1"/>
  <c r="Y129" i="69" s="1"/>
  <c r="Q129" i="69"/>
  <c r="AL76" i="11" a="1"/>
  <c r="AL76" i="11" s="1"/>
  <c r="E77" i="32" s="1"/>
  <c r="AL86" i="59" a="1"/>
  <c r="AL86" i="59" s="1"/>
  <c r="E87" i="50" s="1"/>
  <c r="AB144" i="57" l="1"/>
  <c r="AA144" i="57"/>
  <c r="AB129" i="69"/>
  <c r="AC129" i="69" s="1"/>
  <c r="AD129" i="69" s="1"/>
  <c r="AG129" i="69"/>
  <c r="AO131" i="69"/>
  <c r="P131" i="69"/>
  <c r="L132" i="69"/>
  <c r="O132" i="69"/>
  <c r="AK87" i="50"/>
  <c r="T87" i="50"/>
  <c r="AB145" i="53"/>
  <c r="AA145" i="53"/>
  <c r="AC146" i="53"/>
  <c r="AE146" i="53"/>
  <c r="AF145" i="53"/>
  <c r="AK77" i="32"/>
  <c r="T77" i="32"/>
  <c r="X145" i="57"/>
  <c r="AF144" i="57"/>
  <c r="AE146" i="57"/>
  <c r="AC146" i="57"/>
  <c r="AD85" i="50"/>
  <c r="AG85" i="50" s="1"/>
  <c r="AH85" i="50" s="1"/>
  <c r="AI85" i="50" s="1"/>
  <c r="AM86" i="50"/>
  <c r="U86" i="50"/>
  <c r="AP83" i="50"/>
  <c r="R146" i="57"/>
  <c r="R146" i="53"/>
  <c r="X146" i="53" s="1"/>
  <c r="AL84" i="50"/>
  <c r="AX130" i="69"/>
  <c r="AG147" i="57"/>
  <c r="L147" i="57"/>
  <c r="O87" i="50"/>
  <c r="AJ146" i="57"/>
  <c r="AP146" i="57"/>
  <c r="AG146" i="53"/>
  <c r="Q146" i="53"/>
  <c r="AH146" i="53"/>
  <c r="AT146" i="53"/>
  <c r="N147" i="57"/>
  <c r="AD146" i="53"/>
  <c r="G147" i="53"/>
  <c r="N147" i="53"/>
  <c r="AH130" i="69"/>
  <c r="AJ85" i="50"/>
  <c r="C85" i="50"/>
  <c r="AD146" i="57"/>
  <c r="V85" i="50"/>
  <c r="S86" i="50"/>
  <c r="K147" i="53"/>
  <c r="M147" i="53"/>
  <c r="C147" i="53"/>
  <c r="P147" i="53"/>
  <c r="H147" i="53"/>
  <c r="E147" i="53"/>
  <c r="J147" i="53"/>
  <c r="F147" i="53"/>
  <c r="D147" i="53"/>
  <c r="L147" i="53"/>
  <c r="AK146" i="52" a="1"/>
  <c r="AK146" i="52" s="1"/>
  <c r="B148" i="53" s="1"/>
  <c r="O148" i="53" s="1"/>
  <c r="I147" i="53"/>
  <c r="J87" i="50"/>
  <c r="N87" i="50"/>
  <c r="B87" i="50"/>
  <c r="R87" i="50" s="1"/>
  <c r="M87" i="50"/>
  <c r="A87" i="50"/>
  <c r="Q87" i="50" s="1"/>
  <c r="P87" i="50" s="1"/>
  <c r="L87" i="50"/>
  <c r="F87" i="50"/>
  <c r="I87" i="50"/>
  <c r="K87" i="50"/>
  <c r="H87" i="50"/>
  <c r="G87" i="50"/>
  <c r="Z85" i="50"/>
  <c r="W85" i="50"/>
  <c r="X85" i="50" s="1"/>
  <c r="Q146" i="57"/>
  <c r="T146" i="57" s="1"/>
  <c r="P147" i="57"/>
  <c r="D147" i="57"/>
  <c r="C147" i="57"/>
  <c r="M147" i="57" s="1"/>
  <c r="K147" i="57"/>
  <c r="I147" i="57"/>
  <c r="H147" i="57"/>
  <c r="G147" i="57"/>
  <c r="E147" i="57"/>
  <c r="F147" i="57"/>
  <c r="J147" i="57"/>
  <c r="AK146" i="55" a="1"/>
  <c r="AK146" i="55" s="1"/>
  <c r="B148" i="57" s="1"/>
  <c r="O148" i="57" s="1"/>
  <c r="AN132" i="67" a="1"/>
  <c r="AN132" i="67" s="1"/>
  <c r="B133" i="69"/>
  <c r="C132" i="69"/>
  <c r="N131" i="69"/>
  <c r="AF131" i="69" s="1"/>
  <c r="D131" i="69"/>
  <c r="E131" i="69" s="1"/>
  <c r="F131" i="69" s="1"/>
  <c r="G131" i="69" s="1"/>
  <c r="H131" i="69" s="1"/>
  <c r="I131" i="69" s="1"/>
  <c r="J131" i="69" s="1"/>
  <c r="K131" i="69" s="1"/>
  <c r="M131" i="69" s="1"/>
  <c r="AE130" i="69"/>
  <c r="U130" i="69"/>
  <c r="Q130" i="69"/>
  <c r="R130" i="69"/>
  <c r="S130" i="69" s="1"/>
  <c r="Y130" i="69" s="1"/>
  <c r="AL77" i="11" a="1"/>
  <c r="AL77" i="11" s="1"/>
  <c r="E78" i="32" s="1"/>
  <c r="AL87" i="59" a="1"/>
  <c r="AL87" i="59" s="1"/>
  <c r="E88" i="50" s="1"/>
  <c r="AB145" i="57" l="1"/>
  <c r="AA145" i="57"/>
  <c r="AB130" i="69"/>
  <c r="AC130" i="69" s="1"/>
  <c r="AD130" i="69" s="1"/>
  <c r="AG130" i="69"/>
  <c r="L133" i="69"/>
  <c r="O133" i="69"/>
  <c r="AO132" i="69"/>
  <c r="P132" i="69"/>
  <c r="AK88" i="50"/>
  <c r="T88" i="50"/>
  <c r="AF145" i="57"/>
  <c r="AB146" i="53"/>
  <c r="AA146" i="53"/>
  <c r="AE147" i="53"/>
  <c r="AC147" i="53"/>
  <c r="AF146" i="53"/>
  <c r="AK78" i="32"/>
  <c r="T78" i="32"/>
  <c r="X146" i="57"/>
  <c r="AA146" i="57" s="1"/>
  <c r="AE147" i="57"/>
  <c r="AC147" i="57"/>
  <c r="AD86" i="50"/>
  <c r="AG86" i="50" s="1"/>
  <c r="AH86" i="50" s="1"/>
  <c r="AI86" i="50" s="1"/>
  <c r="AM87" i="50"/>
  <c r="U87" i="50"/>
  <c r="AP84" i="50"/>
  <c r="R147" i="57"/>
  <c r="R147" i="53"/>
  <c r="X147" i="53" s="1"/>
  <c r="AL85" i="50"/>
  <c r="AX131" i="69"/>
  <c r="AG148" i="57"/>
  <c r="L148" i="57"/>
  <c r="O88" i="50"/>
  <c r="AJ147" i="57"/>
  <c r="AP147" i="57"/>
  <c r="AH147" i="53"/>
  <c r="AT147" i="53"/>
  <c r="AG147" i="53"/>
  <c r="N148" i="57"/>
  <c r="J148" i="53"/>
  <c r="N148" i="53"/>
  <c r="AH131" i="69"/>
  <c r="AJ86" i="50"/>
  <c r="C86" i="50"/>
  <c r="AD147" i="57"/>
  <c r="AD147" i="53"/>
  <c r="S87" i="50"/>
  <c r="V86" i="50"/>
  <c r="Q147" i="53"/>
  <c r="D148" i="53"/>
  <c r="I148" i="53"/>
  <c r="E148" i="53"/>
  <c r="M148" i="53"/>
  <c r="L148" i="53"/>
  <c r="K148" i="53"/>
  <c r="G148" i="53"/>
  <c r="P148" i="53"/>
  <c r="F148" i="53"/>
  <c r="C148" i="53"/>
  <c r="AK147" i="52" a="1"/>
  <c r="AK147" i="52" s="1"/>
  <c r="B149" i="53" s="1"/>
  <c r="O149" i="53" s="1"/>
  <c r="H148" i="53"/>
  <c r="F88" i="50"/>
  <c r="L88" i="50"/>
  <c r="N88" i="50"/>
  <c r="M88" i="50"/>
  <c r="H88" i="50"/>
  <c r="I88" i="50"/>
  <c r="G88" i="50"/>
  <c r="A88" i="50"/>
  <c r="Q88" i="50" s="1"/>
  <c r="P88" i="50" s="1"/>
  <c r="K88" i="50"/>
  <c r="B88" i="50"/>
  <c r="R88" i="50" s="1"/>
  <c r="J88" i="50"/>
  <c r="W86" i="50"/>
  <c r="X86" i="50" s="1"/>
  <c r="Z86" i="50"/>
  <c r="Q147" i="57"/>
  <c r="T147" i="57" s="1"/>
  <c r="F148" i="57"/>
  <c r="C148" i="57"/>
  <c r="M148" i="57" s="1"/>
  <c r="P148" i="57"/>
  <c r="K148" i="57"/>
  <c r="H148" i="57"/>
  <c r="E148" i="57"/>
  <c r="G148" i="57"/>
  <c r="I148" i="57"/>
  <c r="D148" i="57"/>
  <c r="J148" i="57"/>
  <c r="AK147" i="55" a="1"/>
  <c r="AK147" i="55" s="1"/>
  <c r="B149" i="57" s="1"/>
  <c r="O149" i="57" s="1"/>
  <c r="AN133" i="67" a="1"/>
  <c r="AN133" i="67" s="1"/>
  <c r="B134" i="69"/>
  <c r="C133" i="69"/>
  <c r="Q131" i="69"/>
  <c r="R131" i="69"/>
  <c r="S131" i="69" s="1"/>
  <c r="Y131" i="69" s="1"/>
  <c r="U131" i="69"/>
  <c r="AE131" i="69"/>
  <c r="D132" i="69"/>
  <c r="E132" i="69" s="1"/>
  <c r="F132" i="69" s="1"/>
  <c r="G132" i="69" s="1"/>
  <c r="H132" i="69" s="1"/>
  <c r="I132" i="69" s="1"/>
  <c r="J132" i="69" s="1"/>
  <c r="K132" i="69" s="1"/>
  <c r="M132" i="69" s="1"/>
  <c r="N132" i="69"/>
  <c r="AF132" i="69" s="1"/>
  <c r="AL78" i="11" a="1"/>
  <c r="AL78" i="11" s="1"/>
  <c r="AL88" i="59" a="1"/>
  <c r="AL88" i="59" s="1"/>
  <c r="E89" i="50" s="1"/>
  <c r="AB131" i="69" l="1"/>
  <c r="AC131" i="69" s="1"/>
  <c r="AD131" i="69" s="1"/>
  <c r="AG131" i="69"/>
  <c r="AO133" i="69"/>
  <c r="P133" i="69"/>
  <c r="L134" i="69"/>
  <c r="O134" i="69"/>
  <c r="T89" i="50"/>
  <c r="AK89" i="50"/>
  <c r="AB147" i="53"/>
  <c r="AA147" i="53"/>
  <c r="AF147" i="53"/>
  <c r="AC148" i="53"/>
  <c r="AE148" i="53"/>
  <c r="AF146" i="57"/>
  <c r="X147" i="57"/>
  <c r="AA147" i="57" s="1"/>
  <c r="AB146" i="57"/>
  <c r="AE148" i="57"/>
  <c r="AC148" i="57"/>
  <c r="AM88" i="50"/>
  <c r="U88" i="50"/>
  <c r="AD87" i="50"/>
  <c r="AG87" i="50" s="1"/>
  <c r="AH87" i="50" s="1"/>
  <c r="AI87" i="50" s="1"/>
  <c r="R148" i="57"/>
  <c r="R148" i="53"/>
  <c r="X148" i="53" s="1"/>
  <c r="AL86" i="50"/>
  <c r="AP85" i="50"/>
  <c r="AX132" i="69"/>
  <c r="AG149" i="57"/>
  <c r="L149" i="57"/>
  <c r="O89" i="50"/>
  <c r="AJ148" i="57"/>
  <c r="AP148" i="57"/>
  <c r="AH148" i="53"/>
  <c r="AT148" i="53"/>
  <c r="AG148" i="53"/>
  <c r="N149" i="57"/>
  <c r="N149" i="53"/>
  <c r="AH132" i="69"/>
  <c r="AJ87" i="50"/>
  <c r="C87" i="50"/>
  <c r="AD148" i="57"/>
  <c r="AD148" i="53"/>
  <c r="Q148" i="53"/>
  <c r="S88" i="50"/>
  <c r="V87" i="50"/>
  <c r="AK148" i="52" a="1"/>
  <c r="AK148" i="52" s="1"/>
  <c r="B150" i="53" s="1"/>
  <c r="O150" i="53" s="1"/>
  <c r="I149" i="53"/>
  <c r="L149" i="53"/>
  <c r="K149" i="53"/>
  <c r="F149" i="53"/>
  <c r="C149" i="53"/>
  <c r="E149" i="53"/>
  <c r="P149" i="53"/>
  <c r="D149" i="53"/>
  <c r="M149" i="53"/>
  <c r="J149" i="53"/>
  <c r="H149" i="53"/>
  <c r="G149" i="53"/>
  <c r="I89" i="50"/>
  <c r="K89" i="50"/>
  <c r="A89" i="50"/>
  <c r="Q89" i="50" s="1"/>
  <c r="P89" i="50" s="1"/>
  <c r="L89" i="50"/>
  <c r="J89" i="50"/>
  <c r="B89" i="50"/>
  <c r="R89" i="50" s="1"/>
  <c r="M89" i="50"/>
  <c r="G89" i="50"/>
  <c r="N89" i="50"/>
  <c r="F89" i="50"/>
  <c r="H89" i="50"/>
  <c r="P149" i="57"/>
  <c r="J149" i="57"/>
  <c r="H149" i="57"/>
  <c r="E149" i="57"/>
  <c r="F149" i="57"/>
  <c r="K149" i="57"/>
  <c r="G149" i="57"/>
  <c r="C149" i="57"/>
  <c r="M149" i="57" s="1"/>
  <c r="I149" i="57"/>
  <c r="D149" i="57"/>
  <c r="Q148" i="57"/>
  <c r="T148" i="57" s="1"/>
  <c r="Z87" i="50"/>
  <c r="W87" i="50"/>
  <c r="X87" i="50" s="1"/>
  <c r="E79" i="32"/>
  <c r="AK148" i="55" a="1"/>
  <c r="AK148" i="55" s="1"/>
  <c r="B150" i="57" s="1"/>
  <c r="O150" i="57" s="1"/>
  <c r="AE132" i="69"/>
  <c r="R132" i="69"/>
  <c r="S132" i="69" s="1"/>
  <c r="Y132" i="69" s="1"/>
  <c r="AB132" i="69" s="1"/>
  <c r="AC132" i="69" s="1"/>
  <c r="AD132" i="69" s="1"/>
  <c r="Q132" i="69"/>
  <c r="U132" i="69"/>
  <c r="C134" i="69"/>
  <c r="N133" i="69"/>
  <c r="AF133" i="69" s="1"/>
  <c r="D133" i="69"/>
  <c r="E133" i="69" s="1"/>
  <c r="F133" i="69" s="1"/>
  <c r="G133" i="69" s="1"/>
  <c r="H133" i="69" s="1"/>
  <c r="I133" i="69" s="1"/>
  <c r="J133" i="69" s="1"/>
  <c r="K133" i="69" s="1"/>
  <c r="M133" i="69" s="1"/>
  <c r="AN134" i="67" a="1"/>
  <c r="AN134" i="67" s="1"/>
  <c r="B135" i="69"/>
  <c r="AL79" i="11" a="1"/>
  <c r="AL79" i="11" s="1"/>
  <c r="AL89" i="59" a="1"/>
  <c r="AL89" i="59" s="1"/>
  <c r="E90" i="50" s="1"/>
  <c r="AG132" i="69" l="1"/>
  <c r="L135" i="69"/>
  <c r="O135" i="69"/>
  <c r="AO134" i="69"/>
  <c r="P134" i="69"/>
  <c r="T90" i="50"/>
  <c r="AK90" i="50"/>
  <c r="X148" i="57"/>
  <c r="AB148" i="53"/>
  <c r="AA148" i="53"/>
  <c r="AC149" i="53"/>
  <c r="AE149" i="53"/>
  <c r="AF148" i="53"/>
  <c r="AK79" i="32"/>
  <c r="T79" i="32"/>
  <c r="AB147" i="57"/>
  <c r="AF147" i="57"/>
  <c r="AC149" i="57"/>
  <c r="AE149" i="57"/>
  <c r="AM89" i="50"/>
  <c r="U89" i="50"/>
  <c r="AD88" i="50"/>
  <c r="AG88" i="50" s="1"/>
  <c r="AH88" i="50" s="1"/>
  <c r="AI88" i="50" s="1"/>
  <c r="AP86" i="50"/>
  <c r="R149" i="57"/>
  <c r="R149" i="53"/>
  <c r="X149" i="53" s="1"/>
  <c r="AL87" i="50"/>
  <c r="AX133" i="69"/>
  <c r="AG150" i="57"/>
  <c r="L150" i="57"/>
  <c r="O90" i="50"/>
  <c r="AJ149" i="57"/>
  <c r="AP149" i="57"/>
  <c r="AG149" i="53"/>
  <c r="AH149" i="53"/>
  <c r="AT149" i="53"/>
  <c r="N150" i="57"/>
  <c r="N150" i="53"/>
  <c r="AH133" i="69"/>
  <c r="AJ88" i="50"/>
  <c r="C88" i="50"/>
  <c r="AD149" i="57"/>
  <c r="Q149" i="53"/>
  <c r="AD149" i="53"/>
  <c r="S89" i="50"/>
  <c r="V88" i="50"/>
  <c r="AK149" i="52" a="1"/>
  <c r="AK149" i="52" s="1"/>
  <c r="B151" i="53" s="1"/>
  <c r="O151" i="53" s="1"/>
  <c r="J150" i="53"/>
  <c r="G150" i="53"/>
  <c r="H150" i="53"/>
  <c r="D150" i="53"/>
  <c r="F150" i="53"/>
  <c r="I150" i="53"/>
  <c r="K150" i="53"/>
  <c r="E150" i="53"/>
  <c r="P150" i="53"/>
  <c r="M150" i="53"/>
  <c r="L150" i="53"/>
  <c r="C150" i="53"/>
  <c r="K90" i="50"/>
  <c r="M90" i="50"/>
  <c r="A90" i="50"/>
  <c r="Q90" i="50" s="1"/>
  <c r="P90" i="50" s="1"/>
  <c r="G90" i="50"/>
  <c r="F90" i="50"/>
  <c r="J90" i="50"/>
  <c r="L90" i="50"/>
  <c r="N90" i="50"/>
  <c r="H90" i="50"/>
  <c r="I90" i="50"/>
  <c r="B90" i="50"/>
  <c r="R90" i="50" s="1"/>
  <c r="Q149" i="57"/>
  <c r="T149" i="57" s="1"/>
  <c r="J150" i="57"/>
  <c r="D150" i="57"/>
  <c r="I150" i="57"/>
  <c r="E150" i="57"/>
  <c r="P150" i="57"/>
  <c r="G150" i="57"/>
  <c r="K150" i="57"/>
  <c r="F150" i="57"/>
  <c r="H150" i="57"/>
  <c r="C150" i="57"/>
  <c r="M150" i="57" s="1"/>
  <c r="Z88" i="50"/>
  <c r="W88" i="50"/>
  <c r="X88" i="50" s="1"/>
  <c r="E80" i="32"/>
  <c r="AK149" i="55" a="1"/>
  <c r="AK149" i="55" s="1"/>
  <c r="B151" i="57" s="1"/>
  <c r="O151" i="57" s="1"/>
  <c r="AN135" i="67" a="1"/>
  <c r="AN135" i="67" s="1"/>
  <c r="B136" i="69"/>
  <c r="C135" i="69"/>
  <c r="Q133" i="69"/>
  <c r="AE133" i="69"/>
  <c r="R133" i="69"/>
  <c r="S133" i="69" s="1"/>
  <c r="Y133" i="69" s="1"/>
  <c r="U133" i="69"/>
  <c r="D134" i="69"/>
  <c r="E134" i="69" s="1"/>
  <c r="F134" i="69" s="1"/>
  <c r="G134" i="69" s="1"/>
  <c r="H134" i="69" s="1"/>
  <c r="I134" i="69" s="1"/>
  <c r="J134" i="69" s="1"/>
  <c r="K134" i="69" s="1"/>
  <c r="M134" i="69" s="1"/>
  <c r="N134" i="69"/>
  <c r="AF134" i="69" s="1"/>
  <c r="AL80" i="11" a="1"/>
  <c r="AL80" i="11" s="1"/>
  <c r="E81" i="32" s="1"/>
  <c r="AL90" i="59" a="1"/>
  <c r="AL90" i="59" s="1"/>
  <c r="E91" i="50" s="1"/>
  <c r="AB148" i="57" l="1"/>
  <c r="AA148" i="57"/>
  <c r="AB133" i="69"/>
  <c r="AC133" i="69" s="1"/>
  <c r="AD133" i="69" s="1"/>
  <c r="AG133" i="69"/>
  <c r="AO135" i="69"/>
  <c r="P135" i="69"/>
  <c r="L136" i="69"/>
  <c r="O136" i="69"/>
  <c r="T91" i="50"/>
  <c r="AK91" i="50"/>
  <c r="AF148" i="57"/>
  <c r="AB149" i="53"/>
  <c r="AA149" i="53"/>
  <c r="AC150" i="53"/>
  <c r="AE150" i="53"/>
  <c r="AF149" i="53"/>
  <c r="AK81" i="32"/>
  <c r="T81" i="32"/>
  <c r="AK80" i="32"/>
  <c r="T80" i="32"/>
  <c r="X149" i="57"/>
  <c r="AE150" i="57"/>
  <c r="AC150" i="57"/>
  <c r="AM90" i="50"/>
  <c r="U90" i="50"/>
  <c r="AD89" i="50"/>
  <c r="AG89" i="50" s="1"/>
  <c r="AH89" i="50" s="1"/>
  <c r="AI89" i="50" s="1"/>
  <c r="AP87" i="50"/>
  <c r="R150" i="57"/>
  <c r="R150" i="53"/>
  <c r="X150" i="53" s="1"/>
  <c r="AL88" i="50"/>
  <c r="AX134" i="69"/>
  <c r="AG151" i="57"/>
  <c r="L151" i="57"/>
  <c r="O91" i="50"/>
  <c r="AJ150" i="57"/>
  <c r="AP150" i="57"/>
  <c r="AH150" i="53"/>
  <c r="AT150" i="53"/>
  <c r="AG150" i="53"/>
  <c r="N151" i="57"/>
  <c r="P151" i="53"/>
  <c r="N151" i="53"/>
  <c r="AH134" i="69"/>
  <c r="AJ89" i="50"/>
  <c r="C89" i="50"/>
  <c r="AD150" i="57"/>
  <c r="AD150" i="53"/>
  <c r="V89" i="50"/>
  <c r="S90" i="50"/>
  <c r="Q150" i="53"/>
  <c r="AK150" i="52" a="1"/>
  <c r="AK150" i="52" s="1"/>
  <c r="B152" i="53" s="1"/>
  <c r="O152" i="53" s="1"/>
  <c r="L151" i="53"/>
  <c r="I151" i="53"/>
  <c r="C151" i="53"/>
  <c r="F151" i="53"/>
  <c r="E151" i="53"/>
  <c r="J151" i="53"/>
  <c r="H151" i="53"/>
  <c r="G151" i="53"/>
  <c r="M151" i="53"/>
  <c r="K151" i="53"/>
  <c r="D151" i="53"/>
  <c r="I91" i="50"/>
  <c r="N91" i="50"/>
  <c r="H91" i="50"/>
  <c r="G91" i="50"/>
  <c r="B91" i="50"/>
  <c r="R91" i="50" s="1"/>
  <c r="A91" i="50"/>
  <c r="Q91" i="50" s="1"/>
  <c r="P91" i="50" s="1"/>
  <c r="K91" i="50"/>
  <c r="M91" i="50"/>
  <c r="F91" i="50"/>
  <c r="J91" i="50"/>
  <c r="L91" i="50"/>
  <c r="Z89" i="50"/>
  <c r="W89" i="50"/>
  <c r="X89" i="50" s="1"/>
  <c r="I151" i="57"/>
  <c r="F151" i="57"/>
  <c r="D151" i="57"/>
  <c r="K151" i="57"/>
  <c r="G151" i="57"/>
  <c r="C151" i="57"/>
  <c r="M151" i="57" s="1"/>
  <c r="P151" i="57"/>
  <c r="H151" i="57"/>
  <c r="E151" i="57"/>
  <c r="J151" i="57"/>
  <c r="Q150" i="57"/>
  <c r="T150" i="57" s="1"/>
  <c r="AK150" i="55" a="1"/>
  <c r="AK150" i="55" s="1"/>
  <c r="B152" i="57" s="1"/>
  <c r="O152" i="57" s="1"/>
  <c r="AN136" i="67" a="1"/>
  <c r="AN136" i="67" s="1"/>
  <c r="B137" i="69"/>
  <c r="C136" i="69"/>
  <c r="AE134" i="69"/>
  <c r="R134" i="69"/>
  <c r="S134" i="69" s="1"/>
  <c r="Y134" i="69" s="1"/>
  <c r="AB134" i="69" s="1"/>
  <c r="AC134" i="69" s="1"/>
  <c r="AD134" i="69" s="1"/>
  <c r="Q134" i="69"/>
  <c r="U134" i="69"/>
  <c r="D135" i="69"/>
  <c r="E135" i="69" s="1"/>
  <c r="F135" i="69" s="1"/>
  <c r="G135" i="69" s="1"/>
  <c r="H135" i="69" s="1"/>
  <c r="I135" i="69" s="1"/>
  <c r="J135" i="69" s="1"/>
  <c r="K135" i="69" s="1"/>
  <c r="M135" i="69" s="1"/>
  <c r="N135" i="69"/>
  <c r="AF135" i="69" s="1"/>
  <c r="AL81" i="11" a="1"/>
  <c r="AL81" i="11" s="1"/>
  <c r="E82" i="32" s="1"/>
  <c r="AL91" i="59" a="1"/>
  <c r="AL91" i="59" s="1"/>
  <c r="E92" i="50" s="1"/>
  <c r="AB149" i="57" l="1"/>
  <c r="AA149" i="57"/>
  <c r="AG134" i="69"/>
  <c r="L137" i="69"/>
  <c r="O137" i="69"/>
  <c r="AO136" i="69"/>
  <c r="P136" i="69"/>
  <c r="T92" i="50"/>
  <c r="AK92" i="50"/>
  <c r="AB150" i="53"/>
  <c r="AA150" i="53"/>
  <c r="AF150" i="53"/>
  <c r="AE151" i="53"/>
  <c r="AC151" i="53"/>
  <c r="AK82" i="32"/>
  <c r="T82" i="32"/>
  <c r="X150" i="57"/>
  <c r="AF149" i="57"/>
  <c r="AE151" i="57"/>
  <c r="AC151" i="57"/>
  <c r="AM91" i="50"/>
  <c r="U91" i="50"/>
  <c r="AD90" i="50"/>
  <c r="AG90" i="50" s="1"/>
  <c r="AH90" i="50" s="1"/>
  <c r="AI90" i="50" s="1"/>
  <c r="AP88" i="50"/>
  <c r="R151" i="57"/>
  <c r="R151" i="53"/>
  <c r="X151" i="53" s="1"/>
  <c r="AL89" i="50"/>
  <c r="AX135" i="69"/>
  <c r="AG152" i="57"/>
  <c r="L152" i="57"/>
  <c r="O92" i="50"/>
  <c r="AJ151" i="57"/>
  <c r="AP151" i="57"/>
  <c r="AH151" i="53"/>
  <c r="AT151" i="53"/>
  <c r="AG151" i="53"/>
  <c r="N152" i="57"/>
  <c r="C152" i="53"/>
  <c r="N152" i="53"/>
  <c r="AH135" i="69"/>
  <c r="AJ90" i="50"/>
  <c r="C90" i="50"/>
  <c r="AD151" i="57"/>
  <c r="Q151" i="53"/>
  <c r="AD151" i="53"/>
  <c r="S91" i="50"/>
  <c r="V90" i="50"/>
  <c r="D152" i="53"/>
  <c r="F152" i="53"/>
  <c r="E152" i="53"/>
  <c r="G152" i="53"/>
  <c r="K152" i="53"/>
  <c r="J152" i="53"/>
  <c r="H152" i="53"/>
  <c r="AK151" i="52" a="1"/>
  <c r="AK151" i="52" s="1"/>
  <c r="B153" i="53" s="1"/>
  <c r="O153" i="53" s="1"/>
  <c r="L152" i="53"/>
  <c r="I152" i="53"/>
  <c r="P152" i="53"/>
  <c r="M152" i="53"/>
  <c r="M92" i="50"/>
  <c r="I92" i="50"/>
  <c r="K92" i="50"/>
  <c r="G92" i="50"/>
  <c r="B92" i="50"/>
  <c r="R92" i="50" s="1"/>
  <c r="J92" i="50"/>
  <c r="A92" i="50"/>
  <c r="Q92" i="50" s="1"/>
  <c r="P92" i="50" s="1"/>
  <c r="F92" i="50"/>
  <c r="N92" i="50"/>
  <c r="H92" i="50"/>
  <c r="L92" i="50"/>
  <c r="K152" i="57"/>
  <c r="J152" i="57"/>
  <c r="H152" i="57"/>
  <c r="F152" i="57"/>
  <c r="P152" i="57"/>
  <c r="D152" i="57"/>
  <c r="C152" i="57"/>
  <c r="M152" i="57" s="1"/>
  <c r="I152" i="57"/>
  <c r="E152" i="57"/>
  <c r="G152" i="57"/>
  <c r="Q151" i="57"/>
  <c r="T151" i="57" s="1"/>
  <c r="W90" i="50"/>
  <c r="X90" i="50" s="1"/>
  <c r="Z90" i="50"/>
  <c r="AK151" i="55" a="1"/>
  <c r="AK151" i="55" s="1"/>
  <c r="B153" i="57" s="1"/>
  <c r="O153" i="57" s="1"/>
  <c r="AN137" i="67" a="1"/>
  <c r="AN137" i="67" s="1"/>
  <c r="B138" i="69"/>
  <c r="D136" i="69"/>
  <c r="E136" i="69" s="1"/>
  <c r="F136" i="69" s="1"/>
  <c r="G136" i="69" s="1"/>
  <c r="H136" i="69" s="1"/>
  <c r="I136" i="69" s="1"/>
  <c r="J136" i="69" s="1"/>
  <c r="K136" i="69" s="1"/>
  <c r="M136" i="69" s="1"/>
  <c r="N136" i="69"/>
  <c r="AF136" i="69" s="1"/>
  <c r="U135" i="69"/>
  <c r="AE135" i="69"/>
  <c r="Q135" i="69"/>
  <c r="R135" i="69"/>
  <c r="S135" i="69" s="1"/>
  <c r="Y135" i="69" s="1"/>
  <c r="AB135" i="69" s="1"/>
  <c r="AC135" i="69" s="1"/>
  <c r="AD135" i="69" s="1"/>
  <c r="C137" i="69"/>
  <c r="AL82" i="11" a="1"/>
  <c r="AL82" i="11" s="1"/>
  <c r="E83" i="32" s="1"/>
  <c r="AL92" i="59" a="1"/>
  <c r="AL92" i="59" s="1"/>
  <c r="E93" i="50" s="1"/>
  <c r="AB150" i="57" l="1"/>
  <c r="AA150" i="57"/>
  <c r="AG135" i="69"/>
  <c r="L138" i="69"/>
  <c r="O138" i="69"/>
  <c r="AO137" i="69"/>
  <c r="P137" i="69"/>
  <c r="T93" i="50"/>
  <c r="AK93" i="50"/>
  <c r="X151" i="57"/>
  <c r="AB151" i="53"/>
  <c r="AA151" i="53"/>
  <c r="AC152" i="53"/>
  <c r="AE152" i="53"/>
  <c r="AF151" i="53"/>
  <c r="AK83" i="32"/>
  <c r="T83" i="32"/>
  <c r="AF150" i="57"/>
  <c r="AE152" i="57"/>
  <c r="AC152" i="57"/>
  <c r="AD91" i="50"/>
  <c r="AG91" i="50" s="1"/>
  <c r="AH91" i="50" s="1"/>
  <c r="AI91" i="50" s="1"/>
  <c r="AM92" i="50"/>
  <c r="U92" i="50"/>
  <c r="AP89" i="50"/>
  <c r="R152" i="57"/>
  <c r="R152" i="53"/>
  <c r="X152" i="53" s="1"/>
  <c r="AL90" i="50"/>
  <c r="AX136" i="69"/>
  <c r="AG153" i="57"/>
  <c r="L153" i="57"/>
  <c r="O93" i="50"/>
  <c r="AJ152" i="57"/>
  <c r="AP152" i="57"/>
  <c r="AG152" i="53"/>
  <c r="AH152" i="53"/>
  <c r="AT152" i="53"/>
  <c r="N153" i="57"/>
  <c r="N153" i="53"/>
  <c r="AH136" i="69"/>
  <c r="AJ91" i="50"/>
  <c r="C91" i="50"/>
  <c r="AD152" i="57"/>
  <c r="AD152" i="53"/>
  <c r="V91" i="50"/>
  <c r="S92" i="50"/>
  <c r="Q152" i="53"/>
  <c r="D153" i="53"/>
  <c r="H153" i="53"/>
  <c r="F153" i="53"/>
  <c r="L153" i="53"/>
  <c r="I153" i="53"/>
  <c r="C153" i="53"/>
  <c r="K153" i="53"/>
  <c r="E153" i="53"/>
  <c r="J153" i="53"/>
  <c r="P153" i="53"/>
  <c r="AK152" i="52" a="1"/>
  <c r="AK152" i="52" s="1"/>
  <c r="B154" i="53" s="1"/>
  <c r="O154" i="53" s="1"/>
  <c r="M153" i="53"/>
  <c r="G153" i="53"/>
  <c r="J93" i="50"/>
  <c r="M93" i="50"/>
  <c r="I93" i="50"/>
  <c r="B93" i="50"/>
  <c r="R93" i="50" s="1"/>
  <c r="F93" i="50"/>
  <c r="N93" i="50"/>
  <c r="L93" i="50"/>
  <c r="G93" i="50"/>
  <c r="H93" i="50"/>
  <c r="K93" i="50"/>
  <c r="A93" i="50"/>
  <c r="Q93" i="50" s="1"/>
  <c r="P93" i="50" s="1"/>
  <c r="E153" i="57"/>
  <c r="P153" i="57"/>
  <c r="J153" i="57"/>
  <c r="I153" i="57"/>
  <c r="D153" i="57"/>
  <c r="K153" i="57"/>
  <c r="G153" i="57"/>
  <c r="H153" i="57"/>
  <c r="C153" i="57"/>
  <c r="M153" i="57" s="1"/>
  <c r="F153" i="57"/>
  <c r="Z91" i="50"/>
  <c r="W91" i="50"/>
  <c r="X91" i="50" s="1"/>
  <c r="Q152" i="57"/>
  <c r="T152" i="57" s="1"/>
  <c r="AK152" i="55" a="1"/>
  <c r="AK152" i="55" s="1"/>
  <c r="B154" i="57" s="1"/>
  <c r="O154" i="57" s="1"/>
  <c r="AE136" i="69"/>
  <c r="U136" i="69"/>
  <c r="R136" i="69"/>
  <c r="S136" i="69" s="1"/>
  <c r="Y136" i="69" s="1"/>
  <c r="Q136" i="69"/>
  <c r="C138" i="69"/>
  <c r="N137" i="69"/>
  <c r="AF137" i="69" s="1"/>
  <c r="D137" i="69"/>
  <c r="E137" i="69" s="1"/>
  <c r="F137" i="69" s="1"/>
  <c r="G137" i="69" s="1"/>
  <c r="H137" i="69" s="1"/>
  <c r="I137" i="69" s="1"/>
  <c r="J137" i="69" s="1"/>
  <c r="K137" i="69" s="1"/>
  <c r="M137" i="69" s="1"/>
  <c r="AN138" i="67" a="1"/>
  <c r="AN138" i="67" s="1"/>
  <c r="B139" i="69"/>
  <c r="AL83" i="11" a="1"/>
  <c r="AL83" i="11" s="1"/>
  <c r="E84" i="32" s="1"/>
  <c r="AL93" i="59" a="1"/>
  <c r="AL93" i="59" s="1"/>
  <c r="E94" i="50" s="1"/>
  <c r="AB151" i="57" l="1"/>
  <c r="AA151" i="57"/>
  <c r="AB136" i="69"/>
  <c r="AC136" i="69" s="1"/>
  <c r="AD136" i="69" s="1"/>
  <c r="AG136" i="69"/>
  <c r="AO138" i="69"/>
  <c r="P138" i="69"/>
  <c r="L139" i="69"/>
  <c r="O139" i="69"/>
  <c r="T94" i="50"/>
  <c r="AK94" i="50"/>
  <c r="AF151" i="57"/>
  <c r="X152" i="57"/>
  <c r="AB152" i="53"/>
  <c r="AA152" i="53"/>
  <c r="AF152" i="53"/>
  <c r="AC153" i="53"/>
  <c r="AE153" i="53"/>
  <c r="AK84" i="32"/>
  <c r="T84" i="32"/>
  <c r="AC153" i="57"/>
  <c r="AE153" i="57"/>
  <c r="AM93" i="50"/>
  <c r="U93" i="50"/>
  <c r="AD92" i="50"/>
  <c r="AG92" i="50" s="1"/>
  <c r="AH92" i="50" s="1"/>
  <c r="AI92" i="50" s="1"/>
  <c r="AP90" i="50"/>
  <c r="R153" i="57"/>
  <c r="R153" i="53"/>
  <c r="X153" i="53" s="1"/>
  <c r="AL91" i="50"/>
  <c r="AX137" i="69"/>
  <c r="AG154" i="57"/>
  <c r="L154" i="57"/>
  <c r="O94" i="50"/>
  <c r="AJ153" i="57"/>
  <c r="AP153" i="57"/>
  <c r="AG153" i="53"/>
  <c r="AH153" i="53"/>
  <c r="AT153" i="53"/>
  <c r="N154" i="57"/>
  <c r="P154" i="53"/>
  <c r="N154" i="53"/>
  <c r="AH137" i="69"/>
  <c r="AJ92" i="50"/>
  <c r="C92" i="50"/>
  <c r="AD153" i="57"/>
  <c r="AD153" i="53"/>
  <c r="V92" i="50"/>
  <c r="S93" i="50"/>
  <c r="Q153" i="53"/>
  <c r="AK153" i="52" a="1"/>
  <c r="AK153" i="52" s="1"/>
  <c r="B155" i="53" s="1"/>
  <c r="O155" i="53" s="1"/>
  <c r="D154" i="53"/>
  <c r="M154" i="53"/>
  <c r="H154" i="53"/>
  <c r="E154" i="53"/>
  <c r="F154" i="53"/>
  <c r="L154" i="53"/>
  <c r="C154" i="53"/>
  <c r="G154" i="53"/>
  <c r="J154" i="53"/>
  <c r="I154" i="53"/>
  <c r="K154" i="53"/>
  <c r="F94" i="50"/>
  <c r="J94" i="50"/>
  <c r="K94" i="50"/>
  <c r="M94" i="50"/>
  <c r="A94" i="50"/>
  <c r="Q94" i="50" s="1"/>
  <c r="P94" i="50" s="1"/>
  <c r="L94" i="50"/>
  <c r="B94" i="50"/>
  <c r="R94" i="50" s="1"/>
  <c r="H94" i="50"/>
  <c r="I94" i="50"/>
  <c r="G94" i="50"/>
  <c r="N94" i="50"/>
  <c r="J154" i="57"/>
  <c r="G154" i="57"/>
  <c r="D154" i="57"/>
  <c r="C154" i="57"/>
  <c r="M154" i="57" s="1"/>
  <c r="P154" i="57"/>
  <c r="K154" i="57"/>
  <c r="F154" i="57"/>
  <c r="I154" i="57"/>
  <c r="E154" i="57"/>
  <c r="H154" i="57"/>
  <c r="Q153" i="57"/>
  <c r="T153" i="57" s="1"/>
  <c r="W92" i="50"/>
  <c r="X92" i="50" s="1"/>
  <c r="Z92" i="50"/>
  <c r="AK153" i="55" a="1"/>
  <c r="AK153" i="55" s="1"/>
  <c r="B155" i="57" s="1"/>
  <c r="O155" i="57" s="1"/>
  <c r="C139" i="69"/>
  <c r="N138" i="69"/>
  <c r="AF138" i="69" s="1"/>
  <c r="D138" i="69"/>
  <c r="E138" i="69" s="1"/>
  <c r="F138" i="69" s="1"/>
  <c r="G138" i="69" s="1"/>
  <c r="H138" i="69" s="1"/>
  <c r="I138" i="69" s="1"/>
  <c r="J138" i="69" s="1"/>
  <c r="K138" i="69" s="1"/>
  <c r="M138" i="69" s="1"/>
  <c r="AN139" i="67" a="1"/>
  <c r="AN139" i="67" s="1"/>
  <c r="B140" i="69"/>
  <c r="R137" i="69"/>
  <c r="S137" i="69" s="1"/>
  <c r="Y137" i="69" s="1"/>
  <c r="AB137" i="69" s="1"/>
  <c r="AC137" i="69" s="1"/>
  <c r="AD137" i="69" s="1"/>
  <c r="U137" i="69"/>
  <c r="Q137" i="69"/>
  <c r="AE137" i="69"/>
  <c r="AL84" i="11" a="1"/>
  <c r="AL84" i="11" s="1"/>
  <c r="E85" i="32" s="1"/>
  <c r="AL94" i="59" a="1"/>
  <c r="AL94" i="59" s="1"/>
  <c r="E95" i="50" s="1"/>
  <c r="AF152" i="57" l="1"/>
  <c r="AA152" i="57"/>
  <c r="AG137" i="69"/>
  <c r="L140" i="69"/>
  <c r="O140" i="69"/>
  <c r="AO139" i="69"/>
  <c r="P139" i="69"/>
  <c r="AK95" i="50"/>
  <c r="T95" i="50"/>
  <c r="AB152" i="57"/>
  <c r="AC154" i="53"/>
  <c r="AE154" i="53"/>
  <c r="AF153" i="53"/>
  <c r="AB153" i="53"/>
  <c r="AA153" i="53"/>
  <c r="AK85" i="32"/>
  <c r="T85" i="32"/>
  <c r="X153" i="57"/>
  <c r="AE154" i="57"/>
  <c r="AC154" i="57"/>
  <c r="AM94" i="50"/>
  <c r="U94" i="50"/>
  <c r="AD93" i="50"/>
  <c r="AG93" i="50" s="1"/>
  <c r="AH93" i="50" s="1"/>
  <c r="AI93" i="50" s="1"/>
  <c r="AP91" i="50"/>
  <c r="R154" i="57"/>
  <c r="R154" i="53"/>
  <c r="X154" i="53" s="1"/>
  <c r="AL92" i="50"/>
  <c r="AX138" i="69"/>
  <c r="AG155" i="57"/>
  <c r="L155" i="57"/>
  <c r="O95" i="50"/>
  <c r="AJ154" i="57"/>
  <c r="AP154" i="57"/>
  <c r="AH154" i="53"/>
  <c r="AT154" i="53"/>
  <c r="AG154" i="53"/>
  <c r="N155" i="57"/>
  <c r="P155" i="53"/>
  <c r="N155" i="53"/>
  <c r="AH138" i="69"/>
  <c r="AJ93" i="50"/>
  <c r="C93" i="50"/>
  <c r="AD154" i="57"/>
  <c r="AD154" i="53"/>
  <c r="V93" i="50"/>
  <c r="S94" i="50"/>
  <c r="AK154" i="52" a="1"/>
  <c r="AK154" i="52" s="1"/>
  <c r="B156" i="53" s="1"/>
  <c r="O156" i="53" s="1"/>
  <c r="Q154" i="53"/>
  <c r="M155" i="53"/>
  <c r="C155" i="53"/>
  <c r="H155" i="53"/>
  <c r="I155" i="53"/>
  <c r="K155" i="53"/>
  <c r="E155" i="53"/>
  <c r="D155" i="53"/>
  <c r="L155" i="53"/>
  <c r="F155" i="53"/>
  <c r="J155" i="53"/>
  <c r="G155" i="53"/>
  <c r="B95" i="50"/>
  <c r="R95" i="50" s="1"/>
  <c r="L95" i="50"/>
  <c r="A95" i="50"/>
  <c r="Q95" i="50" s="1"/>
  <c r="P95" i="50" s="1"/>
  <c r="J95" i="50"/>
  <c r="F95" i="50"/>
  <c r="M95" i="50"/>
  <c r="N95" i="50"/>
  <c r="I95" i="50"/>
  <c r="K95" i="50"/>
  <c r="G95" i="50"/>
  <c r="H95" i="50"/>
  <c r="J155" i="57"/>
  <c r="I155" i="57"/>
  <c r="F155" i="57"/>
  <c r="E155" i="57"/>
  <c r="D155" i="57"/>
  <c r="P155" i="57"/>
  <c r="C155" i="57"/>
  <c r="M155" i="57" s="1"/>
  <c r="H155" i="57"/>
  <c r="K155" i="57"/>
  <c r="G155" i="57"/>
  <c r="Q154" i="57"/>
  <c r="T154" i="57" s="1"/>
  <c r="Z93" i="50"/>
  <c r="W93" i="50"/>
  <c r="X93" i="50" s="1"/>
  <c r="AK154" i="55" a="1"/>
  <c r="AK154" i="55" s="1"/>
  <c r="B156" i="57" s="1"/>
  <c r="O156" i="57" s="1"/>
  <c r="Q138" i="69"/>
  <c r="R138" i="69"/>
  <c r="S138" i="69" s="1"/>
  <c r="Y138" i="69" s="1"/>
  <c r="AE138" i="69"/>
  <c r="U138" i="69"/>
  <c r="AN140" i="67" a="1"/>
  <c r="AN140" i="67" s="1"/>
  <c r="B141" i="69"/>
  <c r="C140" i="69"/>
  <c r="D139" i="69"/>
  <c r="E139" i="69" s="1"/>
  <c r="F139" i="69" s="1"/>
  <c r="G139" i="69" s="1"/>
  <c r="H139" i="69" s="1"/>
  <c r="I139" i="69" s="1"/>
  <c r="J139" i="69" s="1"/>
  <c r="K139" i="69" s="1"/>
  <c r="M139" i="69" s="1"/>
  <c r="N139" i="69"/>
  <c r="AF139" i="69" s="1"/>
  <c r="AL85" i="11" a="1"/>
  <c r="AL85" i="11" s="1"/>
  <c r="E86" i="32" s="1"/>
  <c r="AL95" i="59" a="1"/>
  <c r="AL95" i="59" s="1"/>
  <c r="E96" i="50" s="1"/>
  <c r="AB153" i="57" l="1"/>
  <c r="AA153" i="57"/>
  <c r="AB138" i="69"/>
  <c r="AC138" i="69" s="1"/>
  <c r="AD138" i="69" s="1"/>
  <c r="AG138" i="69"/>
  <c r="AO140" i="69"/>
  <c r="P140" i="69"/>
  <c r="L141" i="69"/>
  <c r="O141" i="69"/>
  <c r="AK96" i="50"/>
  <c r="T96" i="50"/>
  <c r="AB154" i="53"/>
  <c r="AA154" i="53"/>
  <c r="AE155" i="53"/>
  <c r="AC155" i="53"/>
  <c r="AF154" i="53"/>
  <c r="AK86" i="32"/>
  <c r="T86" i="32"/>
  <c r="AF153" i="57"/>
  <c r="X154" i="57"/>
  <c r="AA154" i="57" s="1"/>
  <c r="AE155" i="57"/>
  <c r="AC155" i="57"/>
  <c r="AM95" i="50"/>
  <c r="U95" i="50"/>
  <c r="AD94" i="50"/>
  <c r="AG94" i="50" s="1"/>
  <c r="AH94" i="50" s="1"/>
  <c r="AI94" i="50" s="1"/>
  <c r="AP92" i="50"/>
  <c r="R155" i="57"/>
  <c r="R155" i="53"/>
  <c r="X155" i="53" s="1"/>
  <c r="AL93" i="50"/>
  <c r="AX139" i="69"/>
  <c r="AG156" i="57"/>
  <c r="L156" i="57"/>
  <c r="O96" i="50"/>
  <c r="AJ155" i="57"/>
  <c r="AP155" i="57"/>
  <c r="AH155" i="53"/>
  <c r="AT155" i="53"/>
  <c r="AG155" i="53"/>
  <c r="N156" i="57"/>
  <c r="M156" i="53"/>
  <c r="N156" i="53"/>
  <c r="AH139" i="69"/>
  <c r="AJ94" i="50"/>
  <c r="C94" i="50"/>
  <c r="AD155" i="57"/>
  <c r="Q155" i="53"/>
  <c r="AD155" i="53"/>
  <c r="V94" i="50"/>
  <c r="S95" i="50"/>
  <c r="L156" i="53"/>
  <c r="P156" i="53"/>
  <c r="C156" i="53"/>
  <c r="E156" i="53"/>
  <c r="G156" i="53"/>
  <c r="H156" i="53"/>
  <c r="D156" i="53"/>
  <c r="I156" i="53"/>
  <c r="K156" i="53"/>
  <c r="AK155" i="52" a="1"/>
  <c r="AK155" i="52" s="1"/>
  <c r="B157" i="53" s="1"/>
  <c r="O157" i="53" s="1"/>
  <c r="J156" i="53"/>
  <c r="F156" i="53"/>
  <c r="L96" i="50"/>
  <c r="H96" i="50"/>
  <c r="A96" i="50"/>
  <c r="Q96" i="50" s="1"/>
  <c r="P96" i="50" s="1"/>
  <c r="K96" i="50"/>
  <c r="B96" i="50"/>
  <c r="R96" i="50" s="1"/>
  <c r="I96" i="50"/>
  <c r="M96" i="50"/>
  <c r="F96" i="50"/>
  <c r="G96" i="50"/>
  <c r="J96" i="50"/>
  <c r="N96" i="50"/>
  <c r="Q155" i="57"/>
  <c r="T155" i="57" s="1"/>
  <c r="Z94" i="50"/>
  <c r="W94" i="50"/>
  <c r="X94" i="50" s="1"/>
  <c r="P156" i="57"/>
  <c r="K156" i="57"/>
  <c r="H156" i="57"/>
  <c r="F156" i="57"/>
  <c r="C156" i="57"/>
  <c r="M156" i="57" s="1"/>
  <c r="I156" i="57"/>
  <c r="E156" i="57"/>
  <c r="G156" i="57"/>
  <c r="D156" i="57"/>
  <c r="J156" i="57"/>
  <c r="AK155" i="55" a="1"/>
  <c r="AK155" i="55" s="1"/>
  <c r="B157" i="57" s="1"/>
  <c r="O157" i="57" s="1"/>
  <c r="C141" i="69"/>
  <c r="U139" i="69"/>
  <c r="Q139" i="69"/>
  <c r="AE139" i="69"/>
  <c r="R139" i="69"/>
  <c r="S139" i="69" s="1"/>
  <c r="Y139" i="69" s="1"/>
  <c r="AB139" i="69" s="1"/>
  <c r="AC139" i="69" s="1"/>
  <c r="AD139" i="69" s="1"/>
  <c r="D140" i="69"/>
  <c r="E140" i="69" s="1"/>
  <c r="F140" i="69" s="1"/>
  <c r="G140" i="69" s="1"/>
  <c r="H140" i="69" s="1"/>
  <c r="I140" i="69" s="1"/>
  <c r="J140" i="69" s="1"/>
  <c r="K140" i="69" s="1"/>
  <c r="M140" i="69" s="1"/>
  <c r="N140" i="69"/>
  <c r="AF140" i="69" s="1"/>
  <c r="AN141" i="67" a="1"/>
  <c r="AN141" i="67" s="1"/>
  <c r="B142" i="69"/>
  <c r="AL86" i="11" a="1"/>
  <c r="AL86" i="11" s="1"/>
  <c r="E87" i="32" s="1"/>
  <c r="AL96" i="59" a="1"/>
  <c r="AL96" i="59" s="1"/>
  <c r="E97" i="50" s="1"/>
  <c r="AG139" i="69" l="1"/>
  <c r="L142" i="69"/>
  <c r="O142" i="69"/>
  <c r="AO141" i="69"/>
  <c r="P141" i="69"/>
  <c r="T97" i="50"/>
  <c r="AK97" i="50"/>
  <c r="X155" i="57"/>
  <c r="AA155" i="57" s="1"/>
  <c r="AB155" i="53"/>
  <c r="AA155" i="53"/>
  <c r="AC156" i="53"/>
  <c r="AE156" i="53"/>
  <c r="AF155" i="53"/>
  <c r="AK87" i="32"/>
  <c r="T87" i="32"/>
  <c r="AB154" i="57"/>
  <c r="AF154" i="57"/>
  <c r="AE156" i="57"/>
  <c r="AC156" i="57"/>
  <c r="AM96" i="50"/>
  <c r="U96" i="50"/>
  <c r="AD95" i="50"/>
  <c r="AG95" i="50" s="1"/>
  <c r="AH95" i="50" s="1"/>
  <c r="AI95" i="50" s="1"/>
  <c r="AP93" i="50"/>
  <c r="R156" i="57"/>
  <c r="R156" i="53"/>
  <c r="X156" i="53" s="1"/>
  <c r="AL94" i="50"/>
  <c r="AX140" i="69"/>
  <c r="AG157" i="57"/>
  <c r="L157" i="57"/>
  <c r="O97" i="50"/>
  <c r="AJ156" i="57"/>
  <c r="AP156" i="57"/>
  <c r="AD156" i="53"/>
  <c r="AH156" i="53"/>
  <c r="AT156" i="53"/>
  <c r="AG156" i="53"/>
  <c r="N157" i="57"/>
  <c r="I157" i="53"/>
  <c r="N157" i="53"/>
  <c r="Q156" i="53"/>
  <c r="AH140" i="69"/>
  <c r="AJ95" i="50"/>
  <c r="C95" i="50"/>
  <c r="AD156" i="57"/>
  <c r="V95" i="50"/>
  <c r="S96" i="50"/>
  <c r="K157" i="53"/>
  <c r="P157" i="53"/>
  <c r="J157" i="53"/>
  <c r="F157" i="53"/>
  <c r="D157" i="53"/>
  <c r="E157" i="53"/>
  <c r="M157" i="53"/>
  <c r="C157" i="53"/>
  <c r="H157" i="53"/>
  <c r="AK156" i="52" a="1"/>
  <c r="AK156" i="52" s="1"/>
  <c r="B158" i="53" s="1"/>
  <c r="O158" i="53" s="1"/>
  <c r="G157" i="53"/>
  <c r="L157" i="53"/>
  <c r="I97" i="50"/>
  <c r="L97" i="50"/>
  <c r="K97" i="50"/>
  <c r="M97" i="50"/>
  <c r="H97" i="50"/>
  <c r="B97" i="50"/>
  <c r="R97" i="50" s="1"/>
  <c r="J97" i="50"/>
  <c r="A97" i="50"/>
  <c r="Q97" i="50" s="1"/>
  <c r="P97" i="50" s="1"/>
  <c r="N97" i="50"/>
  <c r="G97" i="50"/>
  <c r="F97" i="50"/>
  <c r="Z95" i="50"/>
  <c r="W95" i="50"/>
  <c r="X95" i="50" s="1"/>
  <c r="P157" i="57"/>
  <c r="J157" i="57"/>
  <c r="H157" i="57"/>
  <c r="E157" i="57"/>
  <c r="C157" i="57"/>
  <c r="M157" i="57" s="1"/>
  <c r="I157" i="57"/>
  <c r="D157" i="57"/>
  <c r="F157" i="57"/>
  <c r="K157" i="57"/>
  <c r="G157" i="57"/>
  <c r="Q156" i="57"/>
  <c r="T156" i="57" s="1"/>
  <c r="AK156" i="55" a="1"/>
  <c r="AK156" i="55" s="1"/>
  <c r="B158" i="57" s="1"/>
  <c r="O158" i="57" s="1"/>
  <c r="C142" i="69"/>
  <c r="N141" i="69"/>
  <c r="AF141" i="69" s="1"/>
  <c r="D141" i="69"/>
  <c r="E141" i="69" s="1"/>
  <c r="F141" i="69" s="1"/>
  <c r="G141" i="69" s="1"/>
  <c r="H141" i="69" s="1"/>
  <c r="I141" i="69" s="1"/>
  <c r="J141" i="69" s="1"/>
  <c r="K141" i="69" s="1"/>
  <c r="M141" i="69" s="1"/>
  <c r="U140" i="69"/>
  <c r="AE140" i="69"/>
  <c r="Q140" i="69"/>
  <c r="R140" i="69"/>
  <c r="S140" i="69" s="1"/>
  <c r="Y140" i="69" s="1"/>
  <c r="AN142" i="67" a="1"/>
  <c r="AN142" i="67" s="1"/>
  <c r="B143" i="69"/>
  <c r="AL87" i="11" a="1"/>
  <c r="AL87" i="11" s="1"/>
  <c r="E88" i="32" s="1"/>
  <c r="AL97" i="59" a="1"/>
  <c r="AL97" i="59" s="1"/>
  <c r="E98" i="50" s="1"/>
  <c r="B3" i="36"/>
  <c r="AB140" i="69" l="1"/>
  <c r="AC140" i="69" s="1"/>
  <c r="AD140" i="69" s="1"/>
  <c r="AG140" i="69"/>
  <c r="L143" i="69"/>
  <c r="O143" i="69"/>
  <c r="AO142" i="69"/>
  <c r="P142" i="69"/>
  <c r="T98" i="50"/>
  <c r="AK98" i="50"/>
  <c r="X156" i="57"/>
  <c r="AB155" i="57"/>
  <c r="AF155" i="57"/>
  <c r="AB156" i="53"/>
  <c r="AA156" i="53"/>
  <c r="AC157" i="53"/>
  <c r="AE157" i="53"/>
  <c r="AF156" i="53"/>
  <c r="AK88" i="32"/>
  <c r="T88" i="32"/>
  <c r="AC157" i="57"/>
  <c r="AE157" i="57"/>
  <c r="AM97" i="50"/>
  <c r="U97" i="50"/>
  <c r="AD96" i="50"/>
  <c r="AG96" i="50" s="1"/>
  <c r="AH96" i="50" s="1"/>
  <c r="AI96" i="50" s="1"/>
  <c r="AP94" i="50"/>
  <c r="R157" i="57"/>
  <c r="R157" i="53"/>
  <c r="X157" i="53" s="1"/>
  <c r="AL95" i="50"/>
  <c r="AX141" i="69"/>
  <c r="AG158" i="57"/>
  <c r="L158" i="57"/>
  <c r="O98" i="50"/>
  <c r="AJ157" i="57"/>
  <c r="AP157" i="57"/>
  <c r="AG157" i="53"/>
  <c r="AH157" i="53"/>
  <c r="AT157" i="53"/>
  <c r="N158" i="57"/>
  <c r="N158" i="53"/>
  <c r="AH141" i="69"/>
  <c r="AJ96" i="50"/>
  <c r="C96" i="50"/>
  <c r="AD157" i="57"/>
  <c r="AD157" i="53"/>
  <c r="V96" i="50"/>
  <c r="S97" i="50"/>
  <c r="Q157" i="53"/>
  <c r="I158" i="53"/>
  <c r="D158" i="53"/>
  <c r="H158" i="53"/>
  <c r="AK157" i="52" a="1"/>
  <c r="AK157" i="52" s="1"/>
  <c r="B159" i="53" s="1"/>
  <c r="O159" i="53" s="1"/>
  <c r="M158" i="53"/>
  <c r="G158" i="53"/>
  <c r="K158" i="53"/>
  <c r="F158" i="53"/>
  <c r="C158" i="53"/>
  <c r="P158" i="53"/>
  <c r="L158" i="53"/>
  <c r="J158" i="53"/>
  <c r="E158" i="53"/>
  <c r="K98" i="50"/>
  <c r="M98" i="50"/>
  <c r="A98" i="50"/>
  <c r="Q98" i="50" s="1"/>
  <c r="P98" i="50" s="1"/>
  <c r="G98" i="50"/>
  <c r="F98" i="50"/>
  <c r="J98" i="50"/>
  <c r="I98" i="50"/>
  <c r="B98" i="50"/>
  <c r="R98" i="50" s="1"/>
  <c r="L98" i="50"/>
  <c r="H98" i="50"/>
  <c r="N98" i="50"/>
  <c r="J158" i="57"/>
  <c r="D158" i="57"/>
  <c r="P158" i="57"/>
  <c r="K158" i="57"/>
  <c r="F158" i="57"/>
  <c r="H158" i="57"/>
  <c r="C158" i="57"/>
  <c r="M158" i="57" s="1"/>
  <c r="I158" i="57"/>
  <c r="G158" i="57"/>
  <c r="E158" i="57"/>
  <c r="W96" i="50"/>
  <c r="X96" i="50" s="1"/>
  <c r="Z96" i="50"/>
  <c r="Q157" i="57"/>
  <c r="T157" i="57" s="1"/>
  <c r="AK157" i="55" a="1"/>
  <c r="AK157" i="55" s="1"/>
  <c r="B159" i="57" s="1"/>
  <c r="O159" i="57" s="1"/>
  <c r="AN143" i="67" a="1"/>
  <c r="AN143" i="67" s="1"/>
  <c r="B144" i="69"/>
  <c r="AE141" i="69"/>
  <c r="U141" i="69"/>
  <c r="R141" i="69"/>
  <c r="S141" i="69" s="1"/>
  <c r="Y141" i="69" s="1"/>
  <c r="Q141" i="69"/>
  <c r="D142" i="69"/>
  <c r="E142" i="69" s="1"/>
  <c r="F142" i="69" s="1"/>
  <c r="G142" i="69" s="1"/>
  <c r="H142" i="69" s="1"/>
  <c r="I142" i="69" s="1"/>
  <c r="J142" i="69" s="1"/>
  <c r="K142" i="69" s="1"/>
  <c r="M142" i="69" s="1"/>
  <c r="N142" i="69"/>
  <c r="AF142" i="69" s="1"/>
  <c r="C143" i="69"/>
  <c r="AL88" i="11" a="1"/>
  <c r="AL88" i="11" s="1"/>
  <c r="E89" i="32" s="1"/>
  <c r="AL98" i="59" a="1"/>
  <c r="AL98" i="59" s="1"/>
  <c r="E99" i="50" s="1"/>
  <c r="E3" i="32"/>
  <c r="AB156" i="57" l="1"/>
  <c r="AA156" i="57"/>
  <c r="AB141" i="69"/>
  <c r="AC141" i="69" s="1"/>
  <c r="AD141" i="69" s="1"/>
  <c r="AG141" i="69"/>
  <c r="L144" i="69"/>
  <c r="O144" i="69"/>
  <c r="AO143" i="69"/>
  <c r="P143" i="69"/>
  <c r="T99" i="50"/>
  <c r="AK99" i="50"/>
  <c r="AF156" i="57"/>
  <c r="X157" i="57"/>
  <c r="AC158" i="53"/>
  <c r="AE158" i="53"/>
  <c r="AF157" i="53"/>
  <c r="AB157" i="53"/>
  <c r="AA157" i="53"/>
  <c r="AK89" i="32"/>
  <c r="T89" i="32"/>
  <c r="AE158" i="57"/>
  <c r="AC158" i="57"/>
  <c r="U98" i="50"/>
  <c r="AM98" i="50"/>
  <c r="AD97" i="50"/>
  <c r="AG97" i="50" s="1"/>
  <c r="AH97" i="50" s="1"/>
  <c r="AI97" i="50" s="1"/>
  <c r="AP95" i="50"/>
  <c r="R158" i="57"/>
  <c r="R158" i="53"/>
  <c r="X158" i="53" s="1"/>
  <c r="AL96" i="50"/>
  <c r="AX142" i="69"/>
  <c r="AG159" i="57"/>
  <c r="L159" i="57"/>
  <c r="O99" i="50"/>
  <c r="AJ158" i="57"/>
  <c r="AP158" i="57"/>
  <c r="AH158" i="53"/>
  <c r="AT158" i="53"/>
  <c r="AG158" i="53"/>
  <c r="N159" i="57"/>
  <c r="D159" i="53"/>
  <c r="N159" i="53"/>
  <c r="AH142" i="69"/>
  <c r="AJ97" i="50"/>
  <c r="C97" i="50"/>
  <c r="AD158" i="57"/>
  <c r="AD158" i="53"/>
  <c r="V97" i="50"/>
  <c r="S98" i="50"/>
  <c r="Q158" i="53"/>
  <c r="AK158" i="52" a="1"/>
  <c r="AK158" i="52" s="1"/>
  <c r="B160" i="53" s="1"/>
  <c r="O160" i="53" s="1"/>
  <c r="C159" i="53"/>
  <c r="I159" i="53"/>
  <c r="H159" i="53"/>
  <c r="L159" i="53"/>
  <c r="G159" i="53"/>
  <c r="E159" i="53"/>
  <c r="F159" i="53"/>
  <c r="K159" i="53"/>
  <c r="M159" i="53"/>
  <c r="P159" i="53"/>
  <c r="J159" i="53"/>
  <c r="K99" i="50"/>
  <c r="I99" i="50"/>
  <c r="N99" i="50"/>
  <c r="B99" i="50"/>
  <c r="R99" i="50" s="1"/>
  <c r="J99" i="50"/>
  <c r="G99" i="50"/>
  <c r="M99" i="50"/>
  <c r="H99" i="50"/>
  <c r="A99" i="50"/>
  <c r="Q99" i="50" s="1"/>
  <c r="P99" i="50" s="1"/>
  <c r="L99" i="50"/>
  <c r="F99" i="50"/>
  <c r="Q158" i="57"/>
  <c r="T158" i="57" s="1"/>
  <c r="D159" i="57"/>
  <c r="I159" i="57"/>
  <c r="F159" i="57"/>
  <c r="H159" i="57"/>
  <c r="K159" i="57"/>
  <c r="G159" i="57"/>
  <c r="C159" i="57"/>
  <c r="M159" i="57" s="1"/>
  <c r="J159" i="57"/>
  <c r="E159" i="57"/>
  <c r="P159" i="57"/>
  <c r="Z97" i="50"/>
  <c r="W97" i="50"/>
  <c r="X97" i="50" s="1"/>
  <c r="AK158" i="55" a="1"/>
  <c r="AK158" i="55" s="1"/>
  <c r="B160" i="57" s="1"/>
  <c r="O160" i="57" s="1"/>
  <c r="D143" i="69"/>
  <c r="E143" i="69" s="1"/>
  <c r="F143" i="69" s="1"/>
  <c r="G143" i="69" s="1"/>
  <c r="H143" i="69" s="1"/>
  <c r="I143" i="69" s="1"/>
  <c r="J143" i="69" s="1"/>
  <c r="K143" i="69" s="1"/>
  <c r="M143" i="69" s="1"/>
  <c r="N143" i="69"/>
  <c r="AF143" i="69" s="1"/>
  <c r="C144" i="69"/>
  <c r="Q142" i="69"/>
  <c r="AE142" i="69"/>
  <c r="U142" i="69"/>
  <c r="R142" i="69"/>
  <c r="S142" i="69" s="1"/>
  <c r="Y142" i="69" s="1"/>
  <c r="AB142" i="69" s="1"/>
  <c r="AC142" i="69" s="1"/>
  <c r="AD142" i="69" s="1"/>
  <c r="AN144" i="67" a="1"/>
  <c r="AN144" i="67" s="1"/>
  <c r="B145" i="69"/>
  <c r="AL89" i="11" a="1"/>
  <c r="AL89" i="11" s="1"/>
  <c r="E90" i="32" s="1"/>
  <c r="AL99" i="59" a="1"/>
  <c r="AL99" i="59" s="1"/>
  <c r="E100" i="50" s="1"/>
  <c r="AB157" i="57" l="1"/>
  <c r="AA157" i="57"/>
  <c r="X158" i="57"/>
  <c r="L145" i="69"/>
  <c r="O145" i="69"/>
  <c r="AO144" i="69"/>
  <c r="P144" i="69"/>
  <c r="AG142" i="69"/>
  <c r="T100" i="50"/>
  <c r="AK100" i="50"/>
  <c r="AF157" i="57"/>
  <c r="AB158" i="53"/>
  <c r="AA158" i="53"/>
  <c r="AE159" i="53"/>
  <c r="AC159" i="53"/>
  <c r="AF158" i="53"/>
  <c r="AK90" i="32"/>
  <c r="T90" i="32"/>
  <c r="AE159" i="57"/>
  <c r="AC159" i="57"/>
  <c r="AD98" i="50"/>
  <c r="AG98" i="50" s="1"/>
  <c r="AH98" i="50" s="1"/>
  <c r="AI98" i="50" s="1"/>
  <c r="AM99" i="50"/>
  <c r="U99" i="50"/>
  <c r="AP96" i="50"/>
  <c r="R159" i="57"/>
  <c r="R159" i="53"/>
  <c r="X159" i="53" s="1"/>
  <c r="AL97" i="50"/>
  <c r="AX143" i="69"/>
  <c r="AG160" i="57"/>
  <c r="L160" i="57"/>
  <c r="O100" i="50"/>
  <c r="AJ159" i="57"/>
  <c r="AP159" i="57"/>
  <c r="AG159" i="53"/>
  <c r="AH159" i="53"/>
  <c r="AT159" i="53"/>
  <c r="N160" i="57"/>
  <c r="N160" i="53"/>
  <c r="AH143" i="69"/>
  <c r="AJ98" i="50"/>
  <c r="C98" i="50"/>
  <c r="AD159" i="57"/>
  <c r="AD159" i="53"/>
  <c r="Q159" i="53"/>
  <c r="S99" i="50"/>
  <c r="V98" i="50"/>
  <c r="AK159" i="52" a="1"/>
  <c r="AK159" i="52" s="1"/>
  <c r="B161" i="53" s="1"/>
  <c r="O161" i="53" s="1"/>
  <c r="D160" i="53"/>
  <c r="E160" i="53"/>
  <c r="L160" i="53"/>
  <c r="J160" i="53"/>
  <c r="G160" i="53"/>
  <c r="K160" i="53"/>
  <c r="P160" i="53"/>
  <c r="C160" i="53"/>
  <c r="I160" i="53"/>
  <c r="H160" i="53"/>
  <c r="F160" i="53"/>
  <c r="M160" i="53"/>
  <c r="I100" i="50"/>
  <c r="M100" i="50"/>
  <c r="K100" i="50"/>
  <c r="G100" i="50"/>
  <c r="B100" i="50"/>
  <c r="R100" i="50" s="1"/>
  <c r="H100" i="50"/>
  <c r="A100" i="50"/>
  <c r="Q100" i="50" s="1"/>
  <c r="P100" i="50" s="1"/>
  <c r="J100" i="50"/>
  <c r="L100" i="50"/>
  <c r="N100" i="50"/>
  <c r="F100" i="50"/>
  <c r="Q159" i="57"/>
  <c r="T159" i="57" s="1"/>
  <c r="K160" i="57"/>
  <c r="J160" i="57"/>
  <c r="H160" i="57"/>
  <c r="F160" i="57"/>
  <c r="D160" i="57"/>
  <c r="P160" i="57"/>
  <c r="C160" i="57"/>
  <c r="M160" i="57" s="1"/>
  <c r="I160" i="57"/>
  <c r="E160" i="57"/>
  <c r="G160" i="57"/>
  <c r="Z98" i="50"/>
  <c r="W98" i="50"/>
  <c r="X98" i="50" s="1"/>
  <c r="AK159" i="55" a="1"/>
  <c r="AK159" i="55" s="1"/>
  <c r="B161" i="57" s="1"/>
  <c r="O161" i="57" s="1"/>
  <c r="C145" i="69"/>
  <c r="AE143" i="69"/>
  <c r="U143" i="69"/>
  <c r="Q143" i="69"/>
  <c r="R143" i="69"/>
  <c r="S143" i="69" s="1"/>
  <c r="Y143" i="69" s="1"/>
  <c r="AB143" i="69" s="1"/>
  <c r="AC143" i="69" s="1"/>
  <c r="AD143" i="69" s="1"/>
  <c r="AN145" i="67" a="1"/>
  <c r="AN145" i="67" s="1"/>
  <c r="B146" i="69"/>
  <c r="N144" i="69"/>
  <c r="AF144" i="69" s="1"/>
  <c r="D144" i="69"/>
  <c r="E144" i="69" s="1"/>
  <c r="F144" i="69" s="1"/>
  <c r="G144" i="69" s="1"/>
  <c r="H144" i="69" s="1"/>
  <c r="I144" i="69" s="1"/>
  <c r="J144" i="69" s="1"/>
  <c r="K144" i="69" s="1"/>
  <c r="M144" i="69" s="1"/>
  <c r="AL90" i="11" a="1"/>
  <c r="AL90" i="11" s="1"/>
  <c r="E91" i="32" s="1"/>
  <c r="AL100" i="59" a="1"/>
  <c r="AL100" i="59" s="1"/>
  <c r="E101" i="50" s="1"/>
  <c r="AB158" i="57" l="1"/>
  <c r="AA158" i="57"/>
  <c r="X159" i="57"/>
  <c r="AF158" i="57"/>
  <c r="L146" i="69"/>
  <c r="O146" i="69"/>
  <c r="AO145" i="69"/>
  <c r="P145" i="69"/>
  <c r="AG143" i="69"/>
  <c r="T101" i="50"/>
  <c r="AK101" i="50"/>
  <c r="AB159" i="53"/>
  <c r="AA159" i="53"/>
  <c r="AC160" i="53"/>
  <c r="AE160" i="53"/>
  <c r="AF159" i="53"/>
  <c r="AK91" i="32"/>
  <c r="T91" i="32"/>
  <c r="AE160" i="57"/>
  <c r="AC160" i="57"/>
  <c r="AD99" i="50"/>
  <c r="AG99" i="50" s="1"/>
  <c r="AH99" i="50" s="1"/>
  <c r="AI99" i="50" s="1"/>
  <c r="AM100" i="50"/>
  <c r="U100" i="50"/>
  <c r="AP97" i="50"/>
  <c r="R160" i="57"/>
  <c r="R160" i="53"/>
  <c r="X160" i="53" s="1"/>
  <c r="AL98" i="50"/>
  <c r="AX144" i="69"/>
  <c r="AG161" i="57"/>
  <c r="L161" i="57"/>
  <c r="O101" i="50"/>
  <c r="AJ160" i="57"/>
  <c r="AP160" i="57"/>
  <c r="AG160" i="53"/>
  <c r="AH160" i="53"/>
  <c r="AT160" i="53"/>
  <c r="N161" i="57"/>
  <c r="N161" i="53"/>
  <c r="AH144" i="69"/>
  <c r="AJ99" i="50"/>
  <c r="C99" i="50"/>
  <c r="AD160" i="57"/>
  <c r="AD160" i="53"/>
  <c r="Q160" i="53"/>
  <c r="V99" i="50"/>
  <c r="S100" i="50"/>
  <c r="M161" i="53"/>
  <c r="P161" i="53"/>
  <c r="F161" i="53"/>
  <c r="C161" i="53"/>
  <c r="J161" i="53"/>
  <c r="I161" i="53"/>
  <c r="G161" i="53"/>
  <c r="H161" i="53"/>
  <c r="D161" i="53"/>
  <c r="AK160" i="52" a="1"/>
  <c r="AK160" i="52" s="1"/>
  <c r="B162" i="53" s="1"/>
  <c r="O162" i="53" s="1"/>
  <c r="E161" i="53"/>
  <c r="K161" i="53"/>
  <c r="L161" i="53"/>
  <c r="J101" i="50"/>
  <c r="M101" i="50"/>
  <c r="I101" i="50"/>
  <c r="G101" i="50"/>
  <c r="F101" i="50"/>
  <c r="L101" i="50"/>
  <c r="N101" i="50"/>
  <c r="B101" i="50"/>
  <c r="R101" i="50" s="1"/>
  <c r="H101" i="50"/>
  <c r="K101" i="50"/>
  <c r="A101" i="50"/>
  <c r="Q101" i="50" s="1"/>
  <c r="P101" i="50" s="1"/>
  <c r="Z99" i="50"/>
  <c r="W99" i="50"/>
  <c r="X99" i="50" s="1"/>
  <c r="P161" i="57"/>
  <c r="J161" i="57"/>
  <c r="E161" i="57"/>
  <c r="K161" i="57"/>
  <c r="G161" i="57"/>
  <c r="C161" i="57"/>
  <c r="M161" i="57" s="1"/>
  <c r="F161" i="57"/>
  <c r="I161" i="57"/>
  <c r="H161" i="57"/>
  <c r="D161" i="57"/>
  <c r="Q160" i="57"/>
  <c r="T160" i="57" s="1"/>
  <c r="AK160" i="55" a="1"/>
  <c r="AK160" i="55" s="1"/>
  <c r="B162" i="57" s="1"/>
  <c r="O162" i="57" s="1"/>
  <c r="Q144" i="69"/>
  <c r="AE144" i="69"/>
  <c r="U144" i="69"/>
  <c r="R144" i="69"/>
  <c r="S144" i="69" s="1"/>
  <c r="Y144" i="69" s="1"/>
  <c r="C146" i="69"/>
  <c r="D145" i="69"/>
  <c r="E145" i="69" s="1"/>
  <c r="F145" i="69" s="1"/>
  <c r="G145" i="69" s="1"/>
  <c r="H145" i="69" s="1"/>
  <c r="I145" i="69" s="1"/>
  <c r="J145" i="69" s="1"/>
  <c r="K145" i="69" s="1"/>
  <c r="M145" i="69" s="1"/>
  <c r="N145" i="69"/>
  <c r="AF145" i="69" s="1"/>
  <c r="AN146" i="67" a="1"/>
  <c r="AN146" i="67" s="1"/>
  <c r="B147" i="69"/>
  <c r="AL91" i="11" a="1"/>
  <c r="AL91" i="11" s="1"/>
  <c r="E92" i="32" s="1"/>
  <c r="AL101" i="59" a="1"/>
  <c r="AL101" i="59" s="1"/>
  <c r="E102" i="50" s="1"/>
  <c r="E3" i="50"/>
  <c r="AB159" i="57" l="1"/>
  <c r="AA159" i="57"/>
  <c r="AF159" i="57"/>
  <c r="AB144" i="69"/>
  <c r="AC144" i="69" s="1"/>
  <c r="AD144" i="69" s="1"/>
  <c r="AG144" i="69"/>
  <c r="AO146" i="69"/>
  <c r="P146" i="69"/>
  <c r="L147" i="69"/>
  <c r="O147" i="69"/>
  <c r="T102" i="50"/>
  <c r="AK102" i="50"/>
  <c r="X160" i="57"/>
  <c r="AB160" i="53"/>
  <c r="AA160" i="53"/>
  <c r="AC161" i="53"/>
  <c r="AE161" i="53"/>
  <c r="AF160" i="53"/>
  <c r="T92" i="32"/>
  <c r="AK92" i="32"/>
  <c r="AC161" i="57"/>
  <c r="AE161" i="57"/>
  <c r="AM101" i="50"/>
  <c r="U101" i="50"/>
  <c r="AD100" i="50"/>
  <c r="AG100" i="50" s="1"/>
  <c r="AH100" i="50" s="1"/>
  <c r="AI100" i="50" s="1"/>
  <c r="AP98" i="50"/>
  <c r="R161" i="57"/>
  <c r="R161" i="53"/>
  <c r="X161" i="53" s="1"/>
  <c r="AL99" i="50"/>
  <c r="AX145" i="69"/>
  <c r="AG162" i="57"/>
  <c r="L162" i="57"/>
  <c r="O102" i="50"/>
  <c r="AJ161" i="57"/>
  <c r="AP161" i="57"/>
  <c r="AH161" i="53"/>
  <c r="AT161" i="53"/>
  <c r="AG161" i="53"/>
  <c r="N162" i="57"/>
  <c r="L162" i="53"/>
  <c r="N162" i="53"/>
  <c r="AH145" i="69"/>
  <c r="AJ100" i="50"/>
  <c r="C100" i="50"/>
  <c r="AD161" i="57"/>
  <c r="Q161" i="53"/>
  <c r="AD161" i="53"/>
  <c r="V100" i="50"/>
  <c r="S101" i="50"/>
  <c r="D162" i="53"/>
  <c r="M162" i="53"/>
  <c r="H162" i="53"/>
  <c r="AK161" i="52" a="1"/>
  <c r="AK161" i="52" s="1"/>
  <c r="B163" i="53" s="1"/>
  <c r="O163" i="53" s="1"/>
  <c r="F162" i="53"/>
  <c r="K162" i="53"/>
  <c r="C162" i="53"/>
  <c r="I162" i="53"/>
  <c r="P162" i="53"/>
  <c r="J162" i="53"/>
  <c r="G162" i="53"/>
  <c r="E162" i="53"/>
  <c r="I102" i="50"/>
  <c r="N102" i="50"/>
  <c r="F102" i="50"/>
  <c r="J102" i="50"/>
  <c r="K102" i="50"/>
  <c r="H102" i="50"/>
  <c r="A102" i="50"/>
  <c r="Q102" i="50" s="1"/>
  <c r="P102" i="50" s="1"/>
  <c r="G102" i="50"/>
  <c r="B102" i="50"/>
  <c r="R102" i="50" s="1"/>
  <c r="M102" i="50"/>
  <c r="L102" i="50"/>
  <c r="Q161" i="57"/>
  <c r="T161" i="57" s="1"/>
  <c r="J162" i="57"/>
  <c r="G162" i="57"/>
  <c r="D162" i="57"/>
  <c r="I162" i="57"/>
  <c r="E162" i="57"/>
  <c r="H162" i="57"/>
  <c r="C162" i="57"/>
  <c r="M162" i="57" s="1"/>
  <c r="P162" i="57"/>
  <c r="K162" i="57"/>
  <c r="F162" i="57"/>
  <c r="Z100" i="50"/>
  <c r="W100" i="50"/>
  <c r="X100" i="50" s="1"/>
  <c r="AK161" i="55" a="1"/>
  <c r="AK161" i="55" s="1"/>
  <c r="B163" i="57" s="1"/>
  <c r="O163" i="57" s="1"/>
  <c r="U145" i="69"/>
  <c r="R145" i="69"/>
  <c r="S145" i="69" s="1"/>
  <c r="Y145" i="69" s="1"/>
  <c r="Q145" i="69"/>
  <c r="AE145" i="69"/>
  <c r="D146" i="69"/>
  <c r="E146" i="69" s="1"/>
  <c r="F146" i="69" s="1"/>
  <c r="G146" i="69" s="1"/>
  <c r="H146" i="69" s="1"/>
  <c r="I146" i="69" s="1"/>
  <c r="J146" i="69" s="1"/>
  <c r="K146" i="69" s="1"/>
  <c r="M146" i="69" s="1"/>
  <c r="N146" i="69"/>
  <c r="AF146" i="69" s="1"/>
  <c r="C147" i="69"/>
  <c r="AN147" i="67" a="1"/>
  <c r="AN147" i="67" s="1"/>
  <c r="B148" i="69"/>
  <c r="AL92" i="11" a="1"/>
  <c r="AL92" i="11" s="1"/>
  <c r="E93" i="32" s="1"/>
  <c r="AL102" i="59" a="1"/>
  <c r="AL102" i="59" s="1"/>
  <c r="E103" i="50" s="1"/>
  <c r="D3" i="11"/>
  <c r="AB160" i="57" l="1"/>
  <c r="AA160" i="57"/>
  <c r="X161" i="57"/>
  <c r="AA161" i="57" s="1"/>
  <c r="A13" i="32"/>
  <c r="O12" i="32"/>
  <c r="AB145" i="69"/>
  <c r="AC145" i="69" s="1"/>
  <c r="AD145" i="69" s="1"/>
  <c r="AG145" i="69"/>
  <c r="AO147" i="69"/>
  <c r="P147" i="69"/>
  <c r="L148" i="69"/>
  <c r="O148" i="69"/>
  <c r="AF160" i="57"/>
  <c r="AK103" i="50"/>
  <c r="T103" i="50"/>
  <c r="AF161" i="53"/>
  <c r="AB161" i="53"/>
  <c r="AA161" i="53"/>
  <c r="AC162" i="53"/>
  <c r="AE162" i="53"/>
  <c r="AK93" i="32"/>
  <c r="T93" i="32"/>
  <c r="AE162" i="57"/>
  <c r="AC162" i="57"/>
  <c r="AD101" i="50"/>
  <c r="AG101" i="50" s="1"/>
  <c r="AH101" i="50" s="1"/>
  <c r="AI101" i="50" s="1"/>
  <c r="AM102" i="50"/>
  <c r="U102" i="50"/>
  <c r="AP99" i="50"/>
  <c r="R162" i="57"/>
  <c r="R162" i="53"/>
  <c r="X162" i="53" s="1"/>
  <c r="AL100" i="50"/>
  <c r="A12" i="32"/>
  <c r="F12" i="32"/>
  <c r="M92" i="32"/>
  <c r="O92" i="32"/>
  <c r="L92" i="32"/>
  <c r="I92" i="32"/>
  <c r="K92" i="32"/>
  <c r="G92" i="32"/>
  <c r="L25" i="32"/>
  <c r="K25" i="32"/>
  <c r="M25" i="32"/>
  <c r="J25" i="32"/>
  <c r="F25" i="32"/>
  <c r="AM25" i="32" s="1"/>
  <c r="A25" i="32"/>
  <c r="N25" i="32"/>
  <c r="B25" i="32"/>
  <c r="G25" i="32"/>
  <c r="O25" i="32"/>
  <c r="H25" i="32"/>
  <c r="I25" i="32"/>
  <c r="A26" i="32"/>
  <c r="M26" i="32"/>
  <c r="B26" i="32"/>
  <c r="F26" i="32"/>
  <c r="AM26" i="32" s="1"/>
  <c r="G26" i="32"/>
  <c r="O26" i="32"/>
  <c r="J26" i="32"/>
  <c r="H26" i="32"/>
  <c r="K26" i="32"/>
  <c r="I26" i="32"/>
  <c r="N26" i="32"/>
  <c r="L26" i="32"/>
  <c r="A27" i="32"/>
  <c r="F27" i="32"/>
  <c r="AM27" i="32" s="1"/>
  <c r="B27" i="32"/>
  <c r="L27" i="32"/>
  <c r="H27" i="32"/>
  <c r="G27" i="32"/>
  <c r="O27" i="32"/>
  <c r="I27" i="32"/>
  <c r="N27" i="32"/>
  <c r="M27" i="32"/>
  <c r="J27" i="32"/>
  <c r="K27" i="32"/>
  <c r="F28" i="32"/>
  <c r="AM28" i="32" s="1"/>
  <c r="M28" i="32"/>
  <c r="N28" i="32"/>
  <c r="L28" i="32"/>
  <c r="G28" i="32"/>
  <c r="A28" i="32"/>
  <c r="O28" i="32"/>
  <c r="B28" i="32"/>
  <c r="H28" i="32"/>
  <c r="J28" i="32"/>
  <c r="K28" i="32"/>
  <c r="I28" i="32"/>
  <c r="L29" i="32"/>
  <c r="M29" i="32"/>
  <c r="F29" i="32"/>
  <c r="AM29" i="32" s="1"/>
  <c r="A29" i="32"/>
  <c r="N29" i="32"/>
  <c r="K29" i="32"/>
  <c r="B29" i="32"/>
  <c r="G29" i="32"/>
  <c r="O29" i="32"/>
  <c r="H29" i="32"/>
  <c r="I29" i="32"/>
  <c r="J29" i="32"/>
  <c r="L30" i="32"/>
  <c r="H30" i="32"/>
  <c r="A30" i="32"/>
  <c r="M30" i="32"/>
  <c r="B30" i="32"/>
  <c r="F30" i="32"/>
  <c r="AM30" i="32" s="1"/>
  <c r="N30" i="32"/>
  <c r="G30" i="32"/>
  <c r="O30" i="32"/>
  <c r="J30" i="32"/>
  <c r="I30" i="32"/>
  <c r="K30" i="32"/>
  <c r="G31" i="32"/>
  <c r="H31" i="32"/>
  <c r="A31" i="32"/>
  <c r="L31" i="32"/>
  <c r="B31" i="32"/>
  <c r="I31" i="32"/>
  <c r="N31" i="32"/>
  <c r="J31" i="32"/>
  <c r="M31" i="32"/>
  <c r="O31" i="32"/>
  <c r="F31" i="32"/>
  <c r="AM31" i="32" s="1"/>
  <c r="K31" i="32"/>
  <c r="N32" i="32"/>
  <c r="M32" i="32"/>
  <c r="G32" i="32"/>
  <c r="K32" i="32"/>
  <c r="A32" i="32"/>
  <c r="O32" i="32"/>
  <c r="I32" i="32"/>
  <c r="F32" i="32"/>
  <c r="AM32" i="32" s="1"/>
  <c r="L32" i="32"/>
  <c r="B32" i="32"/>
  <c r="H32" i="32"/>
  <c r="J32" i="32"/>
  <c r="M33" i="32"/>
  <c r="F33" i="32"/>
  <c r="AM33" i="32" s="1"/>
  <c r="A33" i="32"/>
  <c r="N33" i="32"/>
  <c r="B33" i="32"/>
  <c r="G33" i="32"/>
  <c r="O33" i="32"/>
  <c r="H33" i="32"/>
  <c r="J33" i="32"/>
  <c r="I33" i="32"/>
  <c r="L33" i="32"/>
  <c r="K33" i="32"/>
  <c r="B34" i="32"/>
  <c r="F34" i="32"/>
  <c r="AM34" i="32" s="1"/>
  <c r="N34" i="32"/>
  <c r="G34" i="32"/>
  <c r="J34" i="32"/>
  <c r="K34" i="32"/>
  <c r="O34" i="32"/>
  <c r="I34" i="32"/>
  <c r="H34" i="32"/>
  <c r="L34" i="32"/>
  <c r="A34" i="32"/>
  <c r="M34" i="32"/>
  <c r="J35" i="32"/>
  <c r="B35" i="32"/>
  <c r="L35" i="32"/>
  <c r="M35" i="32"/>
  <c r="G35" i="32"/>
  <c r="F35" i="32"/>
  <c r="AM35" i="32" s="1"/>
  <c r="N35" i="32"/>
  <c r="O35" i="32"/>
  <c r="H35" i="32"/>
  <c r="I35" i="32"/>
  <c r="A35" i="32"/>
  <c r="K35" i="32"/>
  <c r="M36" i="32"/>
  <c r="L36" i="32"/>
  <c r="H36" i="32"/>
  <c r="G36" i="32"/>
  <c r="A36" i="32"/>
  <c r="O36" i="32"/>
  <c r="B36" i="32"/>
  <c r="I36" i="32"/>
  <c r="K36" i="32"/>
  <c r="J36" i="32"/>
  <c r="F36" i="32"/>
  <c r="AM36" i="32" s="1"/>
  <c r="N36" i="32"/>
  <c r="F37" i="32"/>
  <c r="AM37" i="32" s="1"/>
  <c r="A37" i="32"/>
  <c r="N37" i="32"/>
  <c r="B37" i="32"/>
  <c r="G37" i="32"/>
  <c r="O37" i="32"/>
  <c r="H37" i="32"/>
  <c r="K37" i="32"/>
  <c r="M37" i="32"/>
  <c r="I37" i="32"/>
  <c r="L37" i="32"/>
  <c r="J37" i="32"/>
  <c r="L38" i="32"/>
  <c r="A38" i="32"/>
  <c r="M38" i="32"/>
  <c r="B38" i="32"/>
  <c r="F38" i="32"/>
  <c r="AM38" i="32" s="1"/>
  <c r="N38" i="32"/>
  <c r="I38" i="32"/>
  <c r="G38" i="32"/>
  <c r="O38" i="32"/>
  <c r="J38" i="32"/>
  <c r="K38" i="32"/>
  <c r="H38" i="32"/>
  <c r="I39" i="32"/>
  <c r="N39" i="32"/>
  <c r="J39" i="32"/>
  <c r="A39" i="32"/>
  <c r="K39" i="32"/>
  <c r="L39" i="32"/>
  <c r="M39" i="32"/>
  <c r="F39" i="32"/>
  <c r="AM39" i="32" s="1"/>
  <c r="G39" i="32"/>
  <c r="H39" i="32"/>
  <c r="O39" i="32"/>
  <c r="B39" i="32"/>
  <c r="J40" i="32"/>
  <c r="L40" i="32"/>
  <c r="K40" i="32"/>
  <c r="F40" i="32"/>
  <c r="AM40" i="32" s="1"/>
  <c r="M40" i="32"/>
  <c r="N40" i="32"/>
  <c r="G40" i="32"/>
  <c r="A40" i="32"/>
  <c r="O40" i="32"/>
  <c r="B40" i="32"/>
  <c r="H40" i="32"/>
  <c r="I40" i="32"/>
  <c r="F41" i="32"/>
  <c r="AM41" i="32" s="1"/>
  <c r="A41" i="32"/>
  <c r="N41" i="32"/>
  <c r="B41" i="32"/>
  <c r="G41" i="32"/>
  <c r="H41" i="32"/>
  <c r="M41" i="32"/>
  <c r="O41" i="32"/>
  <c r="K41" i="32"/>
  <c r="I41" i="32"/>
  <c r="L41" i="32"/>
  <c r="J41" i="32"/>
  <c r="J42" i="32"/>
  <c r="M42" i="32"/>
  <c r="K42" i="32"/>
  <c r="I42" i="32"/>
  <c r="L42" i="32"/>
  <c r="B42" i="32"/>
  <c r="F42" i="32"/>
  <c r="AM42" i="32" s="1"/>
  <c r="N42" i="32"/>
  <c r="G42" i="32"/>
  <c r="A42" i="32"/>
  <c r="O42" i="32"/>
  <c r="H42" i="32"/>
  <c r="O43" i="32"/>
  <c r="H43" i="32"/>
  <c r="F43" i="32"/>
  <c r="AM43" i="32" s="1"/>
  <c r="I43" i="32"/>
  <c r="J43" i="32"/>
  <c r="A43" i="32"/>
  <c r="K43" i="32"/>
  <c r="B43" i="32"/>
  <c r="L43" i="32"/>
  <c r="M43" i="32"/>
  <c r="G43" i="32"/>
  <c r="N43" i="32"/>
  <c r="K44" i="32"/>
  <c r="N44" i="32"/>
  <c r="G44" i="32"/>
  <c r="A44" i="32"/>
  <c r="O44" i="32"/>
  <c r="B44" i="32"/>
  <c r="H44" i="32"/>
  <c r="J44" i="32"/>
  <c r="F44" i="32"/>
  <c r="AM44" i="32" s="1"/>
  <c r="I44" i="32"/>
  <c r="M44" i="32"/>
  <c r="L44" i="32"/>
  <c r="H45" i="32"/>
  <c r="I45" i="32"/>
  <c r="L45" i="32"/>
  <c r="M45" i="32"/>
  <c r="K45" i="32"/>
  <c r="F45" i="32"/>
  <c r="AM45" i="32" s="1"/>
  <c r="A45" i="32"/>
  <c r="N45" i="32"/>
  <c r="B45" i="32"/>
  <c r="G45" i="32"/>
  <c r="O45" i="32"/>
  <c r="J45" i="32"/>
  <c r="O46" i="32"/>
  <c r="J46" i="32"/>
  <c r="K46" i="32"/>
  <c r="L46" i="32"/>
  <c r="A46" i="32"/>
  <c r="M46" i="32"/>
  <c r="B46" i="32"/>
  <c r="F46" i="32"/>
  <c r="AM46" i="32" s="1"/>
  <c r="G46" i="32"/>
  <c r="H46" i="32"/>
  <c r="N46" i="32"/>
  <c r="I46" i="32"/>
  <c r="G47" i="32"/>
  <c r="F47" i="32"/>
  <c r="AM47" i="32" s="1"/>
  <c r="O47" i="32"/>
  <c r="H47" i="32"/>
  <c r="I47" i="32"/>
  <c r="N47" i="32"/>
  <c r="J47" i="32"/>
  <c r="A47" i="32"/>
  <c r="K47" i="32"/>
  <c r="B47" i="32"/>
  <c r="L47" i="32"/>
  <c r="M47" i="32"/>
  <c r="N48" i="32"/>
  <c r="M48" i="32"/>
  <c r="G48" i="32"/>
  <c r="A48" i="32"/>
  <c r="O48" i="32"/>
  <c r="B48" i="32"/>
  <c r="H48" i="32"/>
  <c r="I48" i="32"/>
  <c r="L48" i="32"/>
  <c r="J48" i="32"/>
  <c r="K48" i="32"/>
  <c r="F48" i="32"/>
  <c r="AM48" i="32" s="1"/>
  <c r="L49" i="32"/>
  <c r="J49" i="32"/>
  <c r="F49" i="32"/>
  <c r="AM49" i="32" s="1"/>
  <c r="A49" i="32"/>
  <c r="N49" i="32"/>
  <c r="B49" i="32"/>
  <c r="G49" i="32"/>
  <c r="O49" i="32"/>
  <c r="H49" i="32"/>
  <c r="M49" i="32"/>
  <c r="I49" i="32"/>
  <c r="K49" i="32"/>
  <c r="N50" i="32"/>
  <c r="O50" i="32"/>
  <c r="I50" i="32"/>
  <c r="B50" i="32"/>
  <c r="G50" i="32"/>
  <c r="J50" i="32"/>
  <c r="F50" i="32"/>
  <c r="AM50" i="32" s="1"/>
  <c r="K50" i="32"/>
  <c r="H50" i="32"/>
  <c r="L50" i="32"/>
  <c r="A50" i="32"/>
  <c r="M50" i="32"/>
  <c r="A51" i="32"/>
  <c r="K51" i="32"/>
  <c r="B51" i="32"/>
  <c r="L51" i="32"/>
  <c r="N51" i="32"/>
  <c r="O51" i="32"/>
  <c r="H51" i="32"/>
  <c r="J51" i="32"/>
  <c r="M51" i="32"/>
  <c r="G51" i="32"/>
  <c r="I51" i="32"/>
  <c r="F51" i="32"/>
  <c r="AM51" i="32" s="1"/>
  <c r="J52" i="32"/>
  <c r="M52" i="32"/>
  <c r="N52" i="32"/>
  <c r="B52" i="32"/>
  <c r="H52" i="32"/>
  <c r="I52" i="32"/>
  <c r="K52" i="32"/>
  <c r="F52" i="32"/>
  <c r="AM52" i="32" s="1"/>
  <c r="L52" i="32"/>
  <c r="G52" i="32"/>
  <c r="A52" i="32"/>
  <c r="O52" i="32"/>
  <c r="L53" i="32"/>
  <c r="K53" i="32"/>
  <c r="M53" i="32"/>
  <c r="J53" i="32"/>
  <c r="F53" i="32"/>
  <c r="AM53" i="32" s="1"/>
  <c r="A53" i="32"/>
  <c r="N53" i="32"/>
  <c r="B53" i="32"/>
  <c r="G53" i="32"/>
  <c r="O53" i="32"/>
  <c r="H53" i="32"/>
  <c r="I53" i="32"/>
  <c r="O54" i="32"/>
  <c r="J54" i="32"/>
  <c r="K54" i="32"/>
  <c r="L54" i="32"/>
  <c r="A54" i="32"/>
  <c r="M54" i="32"/>
  <c r="B54" i="32"/>
  <c r="F54" i="32"/>
  <c r="AM54" i="32" s="1"/>
  <c r="I54" i="32"/>
  <c r="H54" i="32"/>
  <c r="N54" i="32"/>
  <c r="G54" i="32"/>
  <c r="K56" i="32"/>
  <c r="M56" i="32"/>
  <c r="F55" i="32"/>
  <c r="AM55" i="32" s="1"/>
  <c r="A55" i="32"/>
  <c r="N56" i="32"/>
  <c r="L56" i="32"/>
  <c r="G55" i="32"/>
  <c r="I55" i="32"/>
  <c r="B55" i="32"/>
  <c r="G56" i="32"/>
  <c r="H55" i="32"/>
  <c r="O55" i="32"/>
  <c r="N55" i="32"/>
  <c r="I56" i="32"/>
  <c r="A56" i="32"/>
  <c r="O56" i="32"/>
  <c r="B56" i="32"/>
  <c r="H56" i="32"/>
  <c r="J55" i="32"/>
  <c r="J56" i="32"/>
  <c r="L55" i="32"/>
  <c r="M55" i="32"/>
  <c r="F56" i="32"/>
  <c r="AM56" i="32" s="1"/>
  <c r="K55" i="32"/>
  <c r="G58" i="32"/>
  <c r="G57" i="32"/>
  <c r="O58" i="32"/>
  <c r="O57" i="32"/>
  <c r="J58" i="32"/>
  <c r="H58" i="32"/>
  <c r="H57" i="32"/>
  <c r="L58" i="32"/>
  <c r="K57" i="32"/>
  <c r="M58" i="32"/>
  <c r="F58" i="32"/>
  <c r="AM58" i="32" s="1"/>
  <c r="B57" i="32"/>
  <c r="N57" i="32"/>
  <c r="A58" i="32"/>
  <c r="K58" i="32"/>
  <c r="I58" i="32"/>
  <c r="I57" i="32"/>
  <c r="B58" i="32"/>
  <c r="L57" i="32"/>
  <c r="A57" i="32"/>
  <c r="J57" i="32"/>
  <c r="F57" i="32"/>
  <c r="AM57" i="32" s="1"/>
  <c r="M57" i="32"/>
  <c r="N58" i="32"/>
  <c r="B59" i="32"/>
  <c r="J59" i="32"/>
  <c r="A59" i="32"/>
  <c r="G59" i="32"/>
  <c r="N59" i="32"/>
  <c r="F59" i="32"/>
  <c r="AM59" i="32" s="1"/>
  <c r="H59" i="32"/>
  <c r="O59" i="32"/>
  <c r="I59" i="32"/>
  <c r="K59" i="32"/>
  <c r="L59" i="32"/>
  <c r="M59" i="32"/>
  <c r="I61" i="32"/>
  <c r="O60" i="32"/>
  <c r="H61" i="32"/>
  <c r="J61" i="32"/>
  <c r="H60" i="32"/>
  <c r="O61" i="32"/>
  <c r="J60" i="32"/>
  <c r="L60" i="32"/>
  <c r="L61" i="32"/>
  <c r="G61" i="32"/>
  <c r="K60" i="32"/>
  <c r="M60" i="32"/>
  <c r="A61" i="32"/>
  <c r="M61" i="32"/>
  <c r="K61" i="32"/>
  <c r="B60" i="32"/>
  <c r="B61" i="32"/>
  <c r="F61" i="32"/>
  <c r="AM61" i="32" s="1"/>
  <c r="F60" i="32"/>
  <c r="AM60" i="32" s="1"/>
  <c r="G60" i="32"/>
  <c r="A60" i="32"/>
  <c r="N61" i="32"/>
  <c r="N60" i="32"/>
  <c r="I60" i="32"/>
  <c r="O62" i="32"/>
  <c r="M62" i="32"/>
  <c r="J62" i="32"/>
  <c r="I62" i="32"/>
  <c r="K62" i="32"/>
  <c r="H62" i="32"/>
  <c r="A62" i="32"/>
  <c r="F62" i="32"/>
  <c r="AM62" i="32" s="1"/>
  <c r="B62" i="32"/>
  <c r="N62" i="32"/>
  <c r="G62" i="32"/>
  <c r="L62" i="32"/>
  <c r="A63" i="32"/>
  <c r="O64" i="32"/>
  <c r="I63" i="32"/>
  <c r="N63" i="32"/>
  <c r="F64" i="32"/>
  <c r="AM64" i="32" s="1"/>
  <c r="B63" i="32"/>
  <c r="H64" i="32"/>
  <c r="J63" i="32"/>
  <c r="J64" i="32"/>
  <c r="L63" i="32"/>
  <c r="K64" i="32"/>
  <c r="M63" i="32"/>
  <c r="M64" i="32"/>
  <c r="F63" i="32"/>
  <c r="AM63" i="32" s="1"/>
  <c r="K63" i="32"/>
  <c r="L64" i="32"/>
  <c r="A64" i="32"/>
  <c r="N64" i="32"/>
  <c r="I64" i="32"/>
  <c r="O63" i="32"/>
  <c r="B64" i="32"/>
  <c r="G64" i="32"/>
  <c r="H63" i="32"/>
  <c r="G63" i="32"/>
  <c r="F65" i="32"/>
  <c r="AM65" i="32" s="1"/>
  <c r="A65" i="32"/>
  <c r="N65" i="32"/>
  <c r="K65" i="32"/>
  <c r="L65" i="32"/>
  <c r="B65" i="32"/>
  <c r="H65" i="32"/>
  <c r="I65" i="32"/>
  <c r="G65" i="32"/>
  <c r="J65" i="32"/>
  <c r="M65" i="32"/>
  <c r="O65" i="32"/>
  <c r="N67" i="32"/>
  <c r="G66" i="32"/>
  <c r="K67" i="32"/>
  <c r="J66" i="32"/>
  <c r="H67" i="32"/>
  <c r="L66" i="32"/>
  <c r="A67" i="32"/>
  <c r="I67" i="32"/>
  <c r="O67" i="32"/>
  <c r="H66" i="32"/>
  <c r="B67" i="32"/>
  <c r="M66" i="32"/>
  <c r="A66" i="32"/>
  <c r="L67" i="32"/>
  <c r="K66" i="32"/>
  <c r="I66" i="32"/>
  <c r="B66" i="32"/>
  <c r="F67" i="32"/>
  <c r="AM67" i="32" s="1"/>
  <c r="F66" i="32"/>
  <c r="AM66" i="32" s="1"/>
  <c r="O66" i="32"/>
  <c r="G67" i="32"/>
  <c r="N66" i="32"/>
  <c r="J67" i="32"/>
  <c r="M67" i="32"/>
  <c r="B68" i="32"/>
  <c r="G68" i="32"/>
  <c r="O68" i="32"/>
  <c r="J68" i="32"/>
  <c r="K68" i="32"/>
  <c r="H68" i="32"/>
  <c r="M68" i="32"/>
  <c r="I68" i="32"/>
  <c r="A68" i="32"/>
  <c r="N68" i="32"/>
  <c r="L68" i="32"/>
  <c r="F68" i="32"/>
  <c r="AM68" i="32" s="1"/>
  <c r="A70" i="32"/>
  <c r="F70" i="32"/>
  <c r="AM70" i="32" s="1"/>
  <c r="M69" i="32"/>
  <c r="K69" i="32"/>
  <c r="B70" i="32"/>
  <c r="N70" i="32"/>
  <c r="F69" i="32"/>
  <c r="AM69" i="32" s="1"/>
  <c r="G70" i="32"/>
  <c r="N69" i="32"/>
  <c r="J69" i="32"/>
  <c r="H69" i="32"/>
  <c r="I70" i="32"/>
  <c r="I69" i="32"/>
  <c r="J70" i="32"/>
  <c r="H70" i="32"/>
  <c r="G69" i="32"/>
  <c r="A69" i="32"/>
  <c r="K70" i="32"/>
  <c r="M70" i="32"/>
  <c r="B69" i="32"/>
  <c r="L70" i="32"/>
  <c r="L69" i="32"/>
  <c r="O69" i="32"/>
  <c r="O70" i="32"/>
  <c r="K71" i="32"/>
  <c r="M71" i="32"/>
  <c r="O71" i="32"/>
  <c r="H71" i="32"/>
  <c r="F71" i="32"/>
  <c r="AM71" i="32" s="1"/>
  <c r="N71" i="32"/>
  <c r="I71" i="32"/>
  <c r="J71" i="32"/>
  <c r="A71" i="32"/>
  <c r="L71" i="32"/>
  <c r="B71" i="32"/>
  <c r="G71" i="32"/>
  <c r="F72" i="32"/>
  <c r="AM72" i="32" s="1"/>
  <c r="M72" i="32"/>
  <c r="K72" i="32"/>
  <c r="N72" i="32"/>
  <c r="I72" i="32"/>
  <c r="J72" i="32"/>
  <c r="G72" i="32"/>
  <c r="A72" i="32"/>
  <c r="O72" i="32"/>
  <c r="B72" i="32"/>
  <c r="H72" i="32"/>
  <c r="L72" i="32"/>
  <c r="J73" i="32"/>
  <c r="K73" i="32"/>
  <c r="L73" i="32"/>
  <c r="O73" i="32"/>
  <c r="M73" i="32"/>
  <c r="G73" i="32"/>
  <c r="F73" i="32"/>
  <c r="AM73" i="32" s="1"/>
  <c r="A73" i="32"/>
  <c r="N73" i="32"/>
  <c r="I73" i="32"/>
  <c r="B73" i="32"/>
  <c r="H73" i="32"/>
  <c r="L74" i="32"/>
  <c r="A74" i="32"/>
  <c r="B74" i="32"/>
  <c r="N74" i="32"/>
  <c r="G74" i="32"/>
  <c r="F74" i="32"/>
  <c r="AM74" i="32" s="1"/>
  <c r="O74" i="32"/>
  <c r="H74" i="32"/>
  <c r="K74" i="32"/>
  <c r="J74" i="32"/>
  <c r="M74" i="32"/>
  <c r="I74" i="32"/>
  <c r="B75" i="32"/>
  <c r="G76" i="32"/>
  <c r="H75" i="32"/>
  <c r="O75" i="32"/>
  <c r="A76" i="32"/>
  <c r="O76" i="32"/>
  <c r="I75" i="32"/>
  <c r="F75" i="32"/>
  <c r="AM75" i="32" s="1"/>
  <c r="M76" i="32"/>
  <c r="N76" i="32"/>
  <c r="L76" i="32"/>
  <c r="B76" i="32"/>
  <c r="H76" i="32"/>
  <c r="J75" i="32"/>
  <c r="M75" i="32"/>
  <c r="I76" i="32"/>
  <c r="N75" i="32"/>
  <c r="G75" i="32"/>
  <c r="J76" i="32"/>
  <c r="L75" i="32"/>
  <c r="K76" i="32"/>
  <c r="K75" i="32"/>
  <c r="F76" i="32"/>
  <c r="AM76" i="32" s="1"/>
  <c r="A75" i="32"/>
  <c r="N77" i="32"/>
  <c r="L77" i="32"/>
  <c r="M77" i="32"/>
  <c r="H77" i="32"/>
  <c r="A77" i="32"/>
  <c r="I77" i="32"/>
  <c r="K77" i="32"/>
  <c r="G77" i="32"/>
  <c r="F77" i="32"/>
  <c r="AM77" i="32" s="1"/>
  <c r="B77" i="32"/>
  <c r="J77" i="32"/>
  <c r="O77" i="32"/>
  <c r="M78" i="32"/>
  <c r="K78" i="32"/>
  <c r="L78" i="32"/>
  <c r="I78" i="32"/>
  <c r="J78" i="32"/>
  <c r="H78" i="32"/>
  <c r="O78" i="32"/>
  <c r="F78" i="32"/>
  <c r="AM78" i="32" s="1"/>
  <c r="A78" i="32"/>
  <c r="N78" i="32"/>
  <c r="B78" i="32"/>
  <c r="G78" i="32"/>
  <c r="K79" i="32"/>
  <c r="A79" i="32"/>
  <c r="O79" i="32"/>
  <c r="B79" i="32"/>
  <c r="G79" i="32"/>
  <c r="H79" i="32"/>
  <c r="J79" i="32"/>
  <c r="I79" i="32"/>
  <c r="N79" i="32"/>
  <c r="L79" i="32"/>
  <c r="M79" i="32"/>
  <c r="F79" i="32"/>
  <c r="AM79" i="32" s="1"/>
  <c r="A81" i="32"/>
  <c r="M81" i="32"/>
  <c r="N81" i="32"/>
  <c r="M80" i="32"/>
  <c r="B81" i="32"/>
  <c r="H81" i="32"/>
  <c r="F80" i="32"/>
  <c r="AM80" i="32" s="1"/>
  <c r="I80" i="32"/>
  <c r="N80" i="32"/>
  <c r="B80" i="32"/>
  <c r="K81" i="32"/>
  <c r="O80" i="32"/>
  <c r="F81" i="32"/>
  <c r="AM81" i="32" s="1"/>
  <c r="J80" i="32"/>
  <c r="O81" i="32"/>
  <c r="K80" i="32"/>
  <c r="L81" i="32"/>
  <c r="J81" i="32"/>
  <c r="L80" i="32"/>
  <c r="A80" i="32"/>
  <c r="I81" i="32"/>
  <c r="H80" i="32"/>
  <c r="G81" i="32"/>
  <c r="G80" i="32"/>
  <c r="I82" i="32"/>
  <c r="H82" i="32"/>
  <c r="J82" i="32"/>
  <c r="M82" i="32"/>
  <c r="K82" i="32"/>
  <c r="L82" i="32"/>
  <c r="F82" i="32"/>
  <c r="AM82" i="32" s="1"/>
  <c r="A82" i="32"/>
  <c r="N82" i="32"/>
  <c r="B82" i="32"/>
  <c r="G82" i="32"/>
  <c r="O82" i="32"/>
  <c r="K83" i="32"/>
  <c r="H83" i="32"/>
  <c r="J83" i="32"/>
  <c r="L83" i="32"/>
  <c r="I83" i="32"/>
  <c r="F83" i="32"/>
  <c r="AM83" i="32" s="1"/>
  <c r="M83" i="32"/>
  <c r="B83" i="32"/>
  <c r="G83" i="32"/>
  <c r="O83" i="32"/>
  <c r="A83" i="32"/>
  <c r="L84" i="32"/>
  <c r="O84" i="32"/>
  <c r="F84" i="32"/>
  <c r="AM84" i="32" s="1"/>
  <c r="M84" i="32"/>
  <c r="I84" i="32"/>
  <c r="A84" i="32"/>
  <c r="N84" i="32"/>
  <c r="J84" i="32"/>
  <c r="B84" i="32"/>
  <c r="H84" i="32"/>
  <c r="G84" i="32"/>
  <c r="K84" i="32"/>
  <c r="M85" i="32"/>
  <c r="I85" i="32"/>
  <c r="G85" i="32"/>
  <c r="J85" i="32"/>
  <c r="O85" i="32"/>
  <c r="L85" i="32"/>
  <c r="K85" i="32"/>
  <c r="H85" i="32"/>
  <c r="A85" i="32"/>
  <c r="F85" i="32"/>
  <c r="AM85" i="32" s="1"/>
  <c r="B85" i="32"/>
  <c r="N85" i="32"/>
  <c r="A86" i="32"/>
  <c r="J86" i="32"/>
  <c r="B86" i="32"/>
  <c r="L86" i="32"/>
  <c r="I86" i="32"/>
  <c r="M86" i="32"/>
  <c r="K86" i="32"/>
  <c r="H86" i="32"/>
  <c r="F86" i="32"/>
  <c r="AM86" i="32" s="1"/>
  <c r="G86" i="32"/>
  <c r="O86" i="32"/>
  <c r="N86" i="32"/>
  <c r="G87" i="32"/>
  <c r="L87" i="32"/>
  <c r="B87" i="32"/>
  <c r="O87" i="32"/>
  <c r="M87" i="32"/>
  <c r="I87" i="32"/>
  <c r="N87" i="32"/>
  <c r="A87" i="32"/>
  <c r="H87" i="32"/>
  <c r="J87" i="32"/>
  <c r="F87" i="32"/>
  <c r="AM87" i="32" s="1"/>
  <c r="K87" i="32"/>
  <c r="L88" i="32"/>
  <c r="G88" i="32"/>
  <c r="F88" i="32"/>
  <c r="AM88" i="32" s="1"/>
  <c r="M88" i="32"/>
  <c r="I88" i="32"/>
  <c r="A88" i="32"/>
  <c r="N88" i="32"/>
  <c r="K88" i="32"/>
  <c r="B88" i="32"/>
  <c r="H88" i="32"/>
  <c r="J88" i="32"/>
  <c r="O88" i="32"/>
  <c r="A89" i="32"/>
  <c r="F89" i="32"/>
  <c r="AM89" i="32" s="1"/>
  <c r="H89" i="32"/>
  <c r="G89" i="32"/>
  <c r="M89" i="32"/>
  <c r="B89" i="32"/>
  <c r="N89" i="32"/>
  <c r="I89" i="32"/>
  <c r="J89" i="32"/>
  <c r="K89" i="32"/>
  <c r="O89" i="32"/>
  <c r="L89" i="32"/>
  <c r="G90" i="32"/>
  <c r="K90" i="32"/>
  <c r="H90" i="32"/>
  <c r="O90" i="32"/>
  <c r="M90" i="32"/>
  <c r="B90" i="32"/>
  <c r="L90" i="32"/>
  <c r="I90" i="32"/>
  <c r="N90" i="32"/>
  <c r="F90" i="32"/>
  <c r="AM90" i="32" s="1"/>
  <c r="A90" i="32"/>
  <c r="J90" i="32"/>
  <c r="F91" i="32"/>
  <c r="AM91" i="32" s="1"/>
  <c r="N91" i="32"/>
  <c r="A91" i="32"/>
  <c r="H91" i="32"/>
  <c r="B91" i="32"/>
  <c r="J91" i="32"/>
  <c r="O91" i="32"/>
  <c r="L91" i="32"/>
  <c r="K91" i="32"/>
  <c r="M91" i="32"/>
  <c r="I91" i="32"/>
  <c r="G91" i="32"/>
  <c r="N92" i="32"/>
  <c r="A92" i="32"/>
  <c r="J92" i="32"/>
  <c r="H92" i="32"/>
  <c r="B92" i="32"/>
  <c r="F92" i="32"/>
  <c r="AM92" i="32" s="1"/>
  <c r="I17" i="32"/>
  <c r="K17" i="32"/>
  <c r="L17" i="32"/>
  <c r="M17" i="32"/>
  <c r="J17" i="32"/>
  <c r="F17" i="32"/>
  <c r="AM17" i="32" s="1"/>
  <c r="G17" i="32"/>
  <c r="A17" i="32"/>
  <c r="N17" i="32"/>
  <c r="B17" i="32"/>
  <c r="O17" i="32"/>
  <c r="H17" i="32"/>
  <c r="G18" i="32"/>
  <c r="M18" i="32"/>
  <c r="O18" i="32"/>
  <c r="I18" i="32"/>
  <c r="J18" i="32"/>
  <c r="K18" i="32"/>
  <c r="H18" i="32"/>
  <c r="A18" i="32"/>
  <c r="L18" i="32"/>
  <c r="B18" i="32"/>
  <c r="F18" i="32"/>
  <c r="AM18" i="32" s="1"/>
  <c r="N18" i="32"/>
  <c r="N19" i="32"/>
  <c r="O19" i="32"/>
  <c r="H19" i="32"/>
  <c r="G19" i="32"/>
  <c r="I19" i="32"/>
  <c r="F19" i="32"/>
  <c r="AM19" i="32" s="1"/>
  <c r="J19" i="32"/>
  <c r="A19" i="32"/>
  <c r="K19" i="32"/>
  <c r="B19" i="32"/>
  <c r="L19" i="32"/>
  <c r="M19" i="32"/>
  <c r="J20" i="32"/>
  <c r="K20" i="32"/>
  <c r="M20" i="32"/>
  <c r="F20" i="32"/>
  <c r="AM20" i="32" s="1"/>
  <c r="N20" i="32"/>
  <c r="L20" i="32"/>
  <c r="G20" i="32"/>
  <c r="A20" i="32"/>
  <c r="O20" i="32"/>
  <c r="B20" i="32"/>
  <c r="I20" i="32"/>
  <c r="H20" i="32"/>
  <c r="L21" i="32"/>
  <c r="K21" i="32"/>
  <c r="M21" i="32"/>
  <c r="J21" i="32"/>
  <c r="F21" i="32"/>
  <c r="AM21" i="32" s="1"/>
  <c r="A21" i="32"/>
  <c r="N21" i="32"/>
  <c r="B21" i="32"/>
  <c r="G21" i="32"/>
  <c r="O21" i="32"/>
  <c r="H21" i="32"/>
  <c r="I21" i="32"/>
  <c r="O22" i="32"/>
  <c r="J22" i="32"/>
  <c r="I22" i="32"/>
  <c r="K22" i="32"/>
  <c r="H22" i="32"/>
  <c r="L22" i="32"/>
  <c r="A22" i="32"/>
  <c r="M22" i="32"/>
  <c r="B22" i="32"/>
  <c r="R22" i="32" s="1"/>
  <c r="F22" i="32"/>
  <c r="AM22" i="32" s="1"/>
  <c r="G22" i="32"/>
  <c r="F23" i="32"/>
  <c r="AM23" i="32" s="1"/>
  <c r="G23" i="32"/>
  <c r="H23" i="32"/>
  <c r="O23" i="32"/>
  <c r="I23" i="32"/>
  <c r="N23" i="32"/>
  <c r="J23" i="32"/>
  <c r="A23" i="32"/>
  <c r="K23" i="32"/>
  <c r="B23" i="32"/>
  <c r="R23" i="32" s="1"/>
  <c r="L23" i="32"/>
  <c r="M23" i="32"/>
  <c r="I24" i="32"/>
  <c r="J24" i="32"/>
  <c r="K24" i="32"/>
  <c r="F24" i="32"/>
  <c r="AM24" i="32" s="1"/>
  <c r="M24" i="32"/>
  <c r="N24" i="32"/>
  <c r="L24" i="32"/>
  <c r="G24" i="32"/>
  <c r="A24" i="32"/>
  <c r="O24" i="32"/>
  <c r="B24" i="32"/>
  <c r="R24" i="32" s="1"/>
  <c r="H24" i="32"/>
  <c r="AX146" i="69"/>
  <c r="AG163" i="57"/>
  <c r="L163" i="57"/>
  <c r="O103" i="50"/>
  <c r="AJ162" i="57"/>
  <c r="AP162" i="57"/>
  <c r="AH162" i="53"/>
  <c r="AT162" i="53"/>
  <c r="AG162" i="53"/>
  <c r="J16" i="32"/>
  <c r="K16" i="32"/>
  <c r="F16" i="32"/>
  <c r="AM16" i="32" s="1"/>
  <c r="L16" i="32"/>
  <c r="N16" i="32"/>
  <c r="M16" i="32"/>
  <c r="A16" i="32"/>
  <c r="Q16" i="32" s="1"/>
  <c r="G16" i="32"/>
  <c r="B16" i="32"/>
  <c r="O16" i="32"/>
  <c r="H16" i="32"/>
  <c r="I16" i="32"/>
  <c r="N163" i="57"/>
  <c r="N163" i="53"/>
  <c r="AH146" i="69"/>
  <c r="AJ101" i="50"/>
  <c r="C101" i="50"/>
  <c r="AD162" i="57"/>
  <c r="AD162" i="53"/>
  <c r="V101" i="50"/>
  <c r="S102" i="50"/>
  <c r="Q162" i="53"/>
  <c r="K163" i="53"/>
  <c r="E163" i="53"/>
  <c r="F163" i="53"/>
  <c r="C163" i="53"/>
  <c r="P163" i="53"/>
  <c r="I163" i="53"/>
  <c r="J163" i="53"/>
  <c r="M163" i="53"/>
  <c r="L163" i="53"/>
  <c r="AK162" i="52" a="1"/>
  <c r="AK162" i="52" s="1"/>
  <c r="B164" i="53" s="1"/>
  <c r="O164" i="53" s="1"/>
  <c r="G163" i="53"/>
  <c r="H163" i="53"/>
  <c r="D163" i="53"/>
  <c r="A93" i="32"/>
  <c r="B93" i="32"/>
  <c r="R93" i="32" s="1"/>
  <c r="L103" i="50"/>
  <c r="N103" i="50"/>
  <c r="A103" i="50"/>
  <c r="Q103" i="50" s="1"/>
  <c r="P103" i="50" s="1"/>
  <c r="J103" i="50"/>
  <c r="M103" i="50"/>
  <c r="B103" i="50"/>
  <c r="R103" i="50" s="1"/>
  <c r="F103" i="50"/>
  <c r="K103" i="50"/>
  <c r="G103" i="50"/>
  <c r="I103" i="50"/>
  <c r="H103" i="50"/>
  <c r="B12" i="32"/>
  <c r="B13" i="32"/>
  <c r="A14" i="32"/>
  <c r="B14" i="32"/>
  <c r="A15" i="32"/>
  <c r="Q15" i="32" s="1"/>
  <c r="B15" i="32"/>
  <c r="I93" i="32"/>
  <c r="J93" i="32"/>
  <c r="L93" i="32"/>
  <c r="F93" i="32"/>
  <c r="AM93" i="32" s="1"/>
  <c r="N93" i="32"/>
  <c r="K93" i="32"/>
  <c r="H93" i="32"/>
  <c r="G93" i="32"/>
  <c r="M93" i="32"/>
  <c r="O93" i="32"/>
  <c r="F13" i="32"/>
  <c r="AM13" i="32" s="1"/>
  <c r="N13" i="32"/>
  <c r="L14" i="32"/>
  <c r="J15" i="32"/>
  <c r="G13" i="32"/>
  <c r="O13" i="32"/>
  <c r="M14" i="32"/>
  <c r="K15" i="32"/>
  <c r="H13" i="32"/>
  <c r="F14" i="32"/>
  <c r="AM14" i="32" s="1"/>
  <c r="N14" i="32"/>
  <c r="L15" i="32"/>
  <c r="I13" i="32"/>
  <c r="G14" i="32"/>
  <c r="O14" i="32"/>
  <c r="M15" i="32"/>
  <c r="H15" i="32"/>
  <c r="J13" i="32"/>
  <c r="H14" i="32"/>
  <c r="F15" i="32"/>
  <c r="AM15" i="32" s="1"/>
  <c r="N15" i="32"/>
  <c r="J14" i="32"/>
  <c r="K13" i="32"/>
  <c r="I14" i="32"/>
  <c r="G15" i="32"/>
  <c r="O15" i="32"/>
  <c r="L13" i="32"/>
  <c r="M13" i="32"/>
  <c r="K14" i="32"/>
  <c r="I15" i="32"/>
  <c r="J12" i="32"/>
  <c r="K12" i="32"/>
  <c r="H12" i="32"/>
  <c r="G12" i="32"/>
  <c r="Q162" i="57"/>
  <c r="T162" i="57" s="1"/>
  <c r="I163" i="57"/>
  <c r="F163" i="57"/>
  <c r="E163" i="57"/>
  <c r="D163" i="57"/>
  <c r="P163" i="57"/>
  <c r="J163" i="57"/>
  <c r="H163" i="57"/>
  <c r="G163" i="57"/>
  <c r="C163" i="57"/>
  <c r="M163" i="57" s="1"/>
  <c r="K163" i="57"/>
  <c r="W101" i="50"/>
  <c r="X101" i="50" s="1"/>
  <c r="Z101" i="50"/>
  <c r="AK162" i="55" a="1"/>
  <c r="AK162" i="55" s="1"/>
  <c r="B164" i="57" s="1"/>
  <c r="O164" i="57" s="1"/>
  <c r="C148" i="69"/>
  <c r="AN148" i="67" a="1"/>
  <c r="AN148" i="67" s="1"/>
  <c r="B149" i="69"/>
  <c r="N147" i="69"/>
  <c r="AF147" i="69" s="1"/>
  <c r="D147" i="69"/>
  <c r="E147" i="69" s="1"/>
  <c r="F147" i="69" s="1"/>
  <c r="G147" i="69" s="1"/>
  <c r="H147" i="69" s="1"/>
  <c r="I147" i="69" s="1"/>
  <c r="J147" i="69" s="1"/>
  <c r="K147" i="69" s="1"/>
  <c r="M147" i="69" s="1"/>
  <c r="Q146" i="69"/>
  <c r="AE146" i="69"/>
  <c r="R146" i="69"/>
  <c r="S146" i="69" s="1"/>
  <c r="Y146" i="69" s="1"/>
  <c r="U146" i="69"/>
  <c r="AL93" i="11" a="1"/>
  <c r="AL93" i="11" s="1"/>
  <c r="E94" i="32" s="1"/>
  <c r="AL103" i="59" a="1"/>
  <c r="AL103" i="59" s="1"/>
  <c r="E104" i="50" s="1"/>
  <c r="AB161" i="57" l="1"/>
  <c r="X162" i="57"/>
  <c r="AA162" i="57" s="1"/>
  <c r="AF161" i="57"/>
  <c r="AB146" i="69"/>
  <c r="AC146" i="69" s="1"/>
  <c r="AD146" i="69" s="1"/>
  <c r="AG146" i="69"/>
  <c r="AO148" i="69"/>
  <c r="P148" i="69"/>
  <c r="L149" i="69"/>
  <c r="O149" i="69"/>
  <c r="AK104" i="50"/>
  <c r="T104" i="50"/>
  <c r="AE163" i="53"/>
  <c r="AC163" i="53"/>
  <c r="AF162" i="53"/>
  <c r="AB162" i="53"/>
  <c r="AA162" i="53"/>
  <c r="AK94" i="32"/>
  <c r="T94" i="32"/>
  <c r="AE163" i="57"/>
  <c r="AC163" i="57"/>
  <c r="AM103" i="50"/>
  <c r="U103" i="50"/>
  <c r="AD102" i="50"/>
  <c r="AG102" i="50" s="1"/>
  <c r="AH102" i="50" s="1"/>
  <c r="AI102" i="50" s="1"/>
  <c r="U93" i="32"/>
  <c r="U23" i="32"/>
  <c r="U92" i="32"/>
  <c r="U90" i="32"/>
  <c r="U89" i="32"/>
  <c r="U85" i="32"/>
  <c r="U81" i="32"/>
  <c r="U77" i="32"/>
  <c r="U72" i="32"/>
  <c r="U71" i="32"/>
  <c r="U65" i="32"/>
  <c r="U64" i="32"/>
  <c r="U53" i="32"/>
  <c r="U44" i="32"/>
  <c r="U41" i="32"/>
  <c r="U38" i="32"/>
  <c r="U37" i="32"/>
  <c r="U28" i="32"/>
  <c r="U25" i="32"/>
  <c r="U88" i="32"/>
  <c r="U24" i="32"/>
  <c r="U91" i="32"/>
  <c r="U86" i="32"/>
  <c r="U79" i="32"/>
  <c r="U78" i="32"/>
  <c r="U75" i="32"/>
  <c r="U68" i="32"/>
  <c r="U62" i="32"/>
  <c r="U54" i="32"/>
  <c r="U52" i="32"/>
  <c r="U51" i="32"/>
  <c r="U48" i="32"/>
  <c r="U46" i="32"/>
  <c r="U40" i="32"/>
  <c r="U39" i="32"/>
  <c r="U32" i="32"/>
  <c r="U26" i="32"/>
  <c r="U22" i="32"/>
  <c r="U82" i="32"/>
  <c r="U80" i="32"/>
  <c r="U76" i="32"/>
  <c r="U73" i="32"/>
  <c r="U69" i="32"/>
  <c r="U66" i="32"/>
  <c r="U60" i="32"/>
  <c r="U58" i="32"/>
  <c r="U56" i="32"/>
  <c r="U55" i="32"/>
  <c r="U50" i="32"/>
  <c r="U49" i="32"/>
  <c r="U43" i="32"/>
  <c r="U42" i="32"/>
  <c r="U36" i="32"/>
  <c r="U31" i="32"/>
  <c r="U29" i="32"/>
  <c r="U87" i="32"/>
  <c r="U84" i="32"/>
  <c r="U83" i="32"/>
  <c r="U74" i="32"/>
  <c r="U70" i="32"/>
  <c r="U67" i="32"/>
  <c r="U63" i="32"/>
  <c r="U61" i="32"/>
  <c r="U59" i="32"/>
  <c r="U57" i="32"/>
  <c r="U47" i="32"/>
  <c r="U45" i="32"/>
  <c r="U35" i="32"/>
  <c r="U34" i="32"/>
  <c r="U33" i="32"/>
  <c r="U30" i="32"/>
  <c r="U27" i="32"/>
  <c r="AD5" i="32"/>
  <c r="AP100" i="50"/>
  <c r="R163" i="57"/>
  <c r="R163" i="53"/>
  <c r="X163" i="53" s="1"/>
  <c r="R87" i="32"/>
  <c r="S87" i="32" s="1"/>
  <c r="R85" i="32"/>
  <c r="S85" i="32" s="1"/>
  <c r="R77" i="32"/>
  <c r="S77" i="32" s="1"/>
  <c r="R58" i="32"/>
  <c r="S58" i="32" s="1"/>
  <c r="R48" i="32"/>
  <c r="S48" i="32" s="1"/>
  <c r="R47" i="32"/>
  <c r="S47" i="32" s="1"/>
  <c r="R44" i="32"/>
  <c r="S44" i="32" s="1"/>
  <c r="R42" i="32"/>
  <c r="S42" i="32" s="1"/>
  <c r="R35" i="32"/>
  <c r="S35" i="32" s="1"/>
  <c r="R90" i="32"/>
  <c r="S90" i="32" s="1"/>
  <c r="R81" i="32"/>
  <c r="S81" i="32" s="1"/>
  <c r="R75" i="32"/>
  <c r="S75" i="32" s="1"/>
  <c r="R59" i="32"/>
  <c r="S59" i="32" s="1"/>
  <c r="R56" i="32"/>
  <c r="S56" i="32" s="1"/>
  <c r="R55" i="32"/>
  <c r="S55" i="32" s="1"/>
  <c r="R45" i="32"/>
  <c r="S45" i="32" s="1"/>
  <c r="R30" i="32"/>
  <c r="S30" i="32" s="1"/>
  <c r="R92" i="32"/>
  <c r="S92" i="32" s="1"/>
  <c r="R83" i="32"/>
  <c r="S83" i="32" s="1"/>
  <c r="R53" i="32"/>
  <c r="S53" i="32" s="1"/>
  <c r="R52" i="32"/>
  <c r="S52" i="32" s="1"/>
  <c r="R50" i="32"/>
  <c r="S50" i="32" s="1"/>
  <c r="R43" i="32"/>
  <c r="S43" i="32" s="1"/>
  <c r="R38" i="32"/>
  <c r="S38" i="32" s="1"/>
  <c r="R25" i="32"/>
  <c r="S25" i="32" s="1"/>
  <c r="R78" i="32"/>
  <c r="S78" i="32" s="1"/>
  <c r="R74" i="32"/>
  <c r="S74" i="32" s="1"/>
  <c r="R67" i="32"/>
  <c r="S67" i="32" s="1"/>
  <c r="R29" i="32"/>
  <c r="S29" i="32" s="1"/>
  <c r="R26" i="32"/>
  <c r="S26" i="32" s="1"/>
  <c r="R86" i="32"/>
  <c r="S86" i="32" s="1"/>
  <c r="R82" i="32"/>
  <c r="S82" i="32" s="1"/>
  <c r="R80" i="32"/>
  <c r="S80" i="32" s="1"/>
  <c r="R72" i="32"/>
  <c r="S72" i="32" s="1"/>
  <c r="R65" i="32"/>
  <c r="S65" i="32" s="1"/>
  <c r="R63" i="32"/>
  <c r="S63" i="32" s="1"/>
  <c r="R49" i="32"/>
  <c r="S49" i="32" s="1"/>
  <c r="R40" i="32"/>
  <c r="S40" i="32" s="1"/>
  <c r="R32" i="32"/>
  <c r="S32" i="32" s="1"/>
  <c r="R89" i="32"/>
  <c r="S89" i="32" s="1"/>
  <c r="R70" i="32"/>
  <c r="S70" i="32" s="1"/>
  <c r="R68" i="32"/>
  <c r="S68" i="32" s="1"/>
  <c r="R66" i="32"/>
  <c r="S66" i="32" s="1"/>
  <c r="R64" i="32"/>
  <c r="S64" i="32" s="1"/>
  <c r="R62" i="32"/>
  <c r="S62" i="32" s="1"/>
  <c r="R61" i="32"/>
  <c r="S61" i="32" s="1"/>
  <c r="R34" i="32"/>
  <c r="S34" i="32" s="1"/>
  <c r="R33" i="32"/>
  <c r="S33" i="32" s="1"/>
  <c r="R31" i="32"/>
  <c r="S31" i="32" s="1"/>
  <c r="R91" i="32"/>
  <c r="S91" i="32" s="1"/>
  <c r="R88" i="32"/>
  <c r="S88" i="32" s="1"/>
  <c r="R84" i="32"/>
  <c r="S84" i="32" s="1"/>
  <c r="R79" i="32"/>
  <c r="S79" i="32" s="1"/>
  <c r="R76" i="32"/>
  <c r="S76" i="32" s="1"/>
  <c r="R69" i="32"/>
  <c r="S69" i="32" s="1"/>
  <c r="R60" i="32"/>
  <c r="S60" i="32" s="1"/>
  <c r="R57" i="32"/>
  <c r="S57" i="32" s="1"/>
  <c r="R41" i="32"/>
  <c r="S41" i="32" s="1"/>
  <c r="R39" i="32"/>
  <c r="S39" i="32" s="1"/>
  <c r="R37" i="32"/>
  <c r="S37" i="32" s="1"/>
  <c r="R28" i="32"/>
  <c r="S28" i="32" s="1"/>
  <c r="R73" i="32"/>
  <c r="S73" i="32" s="1"/>
  <c r="R71" i="32"/>
  <c r="S71" i="32" s="1"/>
  <c r="R54" i="32"/>
  <c r="S54" i="32" s="1"/>
  <c r="R51" i="32"/>
  <c r="S51" i="32" s="1"/>
  <c r="R46" i="32"/>
  <c r="S46" i="32" s="1"/>
  <c r="R36" i="32"/>
  <c r="S36" i="32" s="1"/>
  <c r="R27" i="32"/>
  <c r="S27" i="32" s="1"/>
  <c r="AL101" i="50"/>
  <c r="Q79" i="32"/>
  <c r="P79" i="32" s="1"/>
  <c r="Q80" i="32"/>
  <c r="P80" i="32" s="1"/>
  <c r="Q75" i="32"/>
  <c r="P75" i="32" s="1"/>
  <c r="Q73" i="32"/>
  <c r="P73" i="32" s="1"/>
  <c r="Q48" i="32"/>
  <c r="P48" i="32" s="1"/>
  <c r="Q47" i="32"/>
  <c r="P47" i="32" s="1"/>
  <c r="Q44" i="32"/>
  <c r="P44" i="32" s="1"/>
  <c r="Q93" i="32"/>
  <c r="P93" i="32" s="1"/>
  <c r="Q21" i="32"/>
  <c r="P21" i="32" s="1"/>
  <c r="Q87" i="32"/>
  <c r="P87" i="32" s="1"/>
  <c r="Q56" i="32"/>
  <c r="P56" i="32" s="1"/>
  <c r="Q52" i="32"/>
  <c r="P52" i="32" s="1"/>
  <c r="Q50" i="32"/>
  <c r="P50" i="32" s="1"/>
  <c r="Q45" i="32"/>
  <c r="P45" i="32" s="1"/>
  <c r="Q34" i="32"/>
  <c r="P34" i="32" s="1"/>
  <c r="Q30" i="32"/>
  <c r="P30" i="32" s="1"/>
  <c r="Q23" i="32"/>
  <c r="P23" i="32" s="1"/>
  <c r="Q89" i="32"/>
  <c r="P89" i="32" s="1"/>
  <c r="Q85" i="32"/>
  <c r="P85" i="32" s="1"/>
  <c r="Q90" i="32"/>
  <c r="P90" i="32" s="1"/>
  <c r="Q74" i="32"/>
  <c r="P74" i="32" s="1"/>
  <c r="Q58" i="32"/>
  <c r="P58" i="32" s="1"/>
  <c r="Q53" i="32"/>
  <c r="P53" i="32" s="1"/>
  <c r="Q43" i="32"/>
  <c r="P43" i="32" s="1"/>
  <c r="Q42" i="32"/>
  <c r="P42" i="32" s="1"/>
  <c r="Q38" i="32"/>
  <c r="P38" i="32" s="1"/>
  <c r="Q25" i="32"/>
  <c r="P25" i="32" s="1"/>
  <c r="Q24" i="32"/>
  <c r="P24" i="32" s="1"/>
  <c r="Q20" i="32"/>
  <c r="P20" i="32" s="1"/>
  <c r="Q18" i="32"/>
  <c r="P18" i="32" s="1"/>
  <c r="Q92" i="32"/>
  <c r="P92" i="32" s="1"/>
  <c r="Q81" i="32"/>
  <c r="P81" i="32" s="1"/>
  <c r="Q78" i="32"/>
  <c r="P78" i="32" s="1"/>
  <c r="Q77" i="32"/>
  <c r="P77" i="32" s="1"/>
  <c r="Q76" i="32"/>
  <c r="P76" i="32" s="1"/>
  <c r="Q68" i="32"/>
  <c r="P68" i="32" s="1"/>
  <c r="Q26" i="32"/>
  <c r="P26" i="32" s="1"/>
  <c r="Q91" i="32"/>
  <c r="P91" i="32" s="1"/>
  <c r="Q22" i="32"/>
  <c r="P22" i="32" s="1"/>
  <c r="Q86" i="32"/>
  <c r="P86" i="32" s="1"/>
  <c r="Q82" i="32"/>
  <c r="P82" i="32" s="1"/>
  <c r="Q72" i="32"/>
  <c r="P72" i="32" s="1"/>
  <c r="Q57" i="32"/>
  <c r="P57" i="32" s="1"/>
  <c r="Q55" i="32"/>
  <c r="P55" i="32" s="1"/>
  <c r="Q49" i="32"/>
  <c r="P49" i="32" s="1"/>
  <c r="Q40" i="32"/>
  <c r="P40" i="32" s="1"/>
  <c r="Q39" i="32"/>
  <c r="P39" i="32" s="1"/>
  <c r="Q29" i="32"/>
  <c r="P29" i="32" s="1"/>
  <c r="Q83" i="32"/>
  <c r="P83" i="32" s="1"/>
  <c r="Q67" i="32"/>
  <c r="P67" i="32" s="1"/>
  <c r="Q62" i="32"/>
  <c r="P62" i="32" s="1"/>
  <c r="Q59" i="32"/>
  <c r="P59" i="32" s="1"/>
  <c r="Q35" i="32"/>
  <c r="P35" i="32" s="1"/>
  <c r="Q33" i="32"/>
  <c r="P33" i="32" s="1"/>
  <c r="Q31" i="32"/>
  <c r="P31" i="32" s="1"/>
  <c r="Q41" i="32"/>
  <c r="P41" i="32" s="1"/>
  <c r="Q37" i="32"/>
  <c r="P37" i="32" s="1"/>
  <c r="Q28" i="32"/>
  <c r="P28" i="32" s="1"/>
  <c r="Q65" i="32"/>
  <c r="P65" i="32" s="1"/>
  <c r="Q19" i="32"/>
  <c r="P19" i="32" s="1"/>
  <c r="Q17" i="32"/>
  <c r="P17" i="32" s="1"/>
  <c r="Q88" i="32"/>
  <c r="P88" i="32" s="1"/>
  <c r="Q84" i="32"/>
  <c r="P84" i="32" s="1"/>
  <c r="Q71" i="32"/>
  <c r="P71" i="32" s="1"/>
  <c r="Q69" i="32"/>
  <c r="P69" i="32" s="1"/>
  <c r="Q70" i="32"/>
  <c r="P70" i="32" s="1"/>
  <c r="Q66" i="32"/>
  <c r="P66" i="32" s="1"/>
  <c r="Q64" i="32"/>
  <c r="P64" i="32" s="1"/>
  <c r="Q63" i="32"/>
  <c r="P63" i="32" s="1"/>
  <c r="Q60" i="32"/>
  <c r="P60" i="32" s="1"/>
  <c r="Q61" i="32"/>
  <c r="P61" i="32" s="1"/>
  <c r="Q54" i="32"/>
  <c r="P54" i="32" s="1"/>
  <c r="Q51" i="32"/>
  <c r="P51" i="32" s="1"/>
  <c r="Q46" i="32"/>
  <c r="P46" i="32" s="1"/>
  <c r="Q36" i="32"/>
  <c r="P36" i="32" s="1"/>
  <c r="Q32" i="32"/>
  <c r="P32" i="32" s="1"/>
  <c r="Q27" i="32"/>
  <c r="P27" i="32" s="1"/>
  <c r="P16" i="32"/>
  <c r="P15" i="32"/>
  <c r="S14" i="32"/>
  <c r="V14" i="32" s="1"/>
  <c r="S21" i="32"/>
  <c r="S24" i="32"/>
  <c r="S20" i="32"/>
  <c r="S18" i="32"/>
  <c r="S22" i="32"/>
  <c r="S23" i="32"/>
  <c r="S19" i="32"/>
  <c r="S17" i="32"/>
  <c r="AX147" i="69"/>
  <c r="AG164" i="57"/>
  <c r="L164" i="57"/>
  <c r="O104" i="50"/>
  <c r="AJ163" i="57"/>
  <c r="AP163" i="57"/>
  <c r="P14" i="32"/>
  <c r="AG163" i="53"/>
  <c r="AH163" i="53"/>
  <c r="AT163" i="53"/>
  <c r="S16" i="32"/>
  <c r="N164" i="57"/>
  <c r="K164" i="53"/>
  <c r="N164" i="53"/>
  <c r="AH147" i="69"/>
  <c r="AJ102" i="50"/>
  <c r="C102" i="50"/>
  <c r="AD163" i="57"/>
  <c r="Q163" i="53"/>
  <c r="AD163" i="53"/>
  <c r="P13" i="32"/>
  <c r="V102" i="50"/>
  <c r="S103" i="50"/>
  <c r="P12" i="32"/>
  <c r="S93" i="32"/>
  <c r="P164" i="53"/>
  <c r="J164" i="53"/>
  <c r="D164" i="53"/>
  <c r="C164" i="53"/>
  <c r="AK163" i="52" a="1"/>
  <c r="AK163" i="52" s="1"/>
  <c r="B165" i="53" s="1"/>
  <c r="O165" i="53" s="1"/>
  <c r="H164" i="53"/>
  <c r="M164" i="53"/>
  <c r="L164" i="53"/>
  <c r="E164" i="53"/>
  <c r="G164" i="53"/>
  <c r="F164" i="53"/>
  <c r="I164" i="53"/>
  <c r="A94" i="32"/>
  <c r="B94" i="32"/>
  <c r="R94" i="32" s="1"/>
  <c r="G104" i="50"/>
  <c r="M104" i="50"/>
  <c r="B104" i="50"/>
  <c r="R104" i="50" s="1"/>
  <c r="I104" i="50"/>
  <c r="N104" i="50"/>
  <c r="K104" i="50"/>
  <c r="L104" i="50"/>
  <c r="F104" i="50"/>
  <c r="H104" i="50"/>
  <c r="A104" i="50"/>
  <c r="Q104" i="50" s="1"/>
  <c r="P104" i="50" s="1"/>
  <c r="J104" i="50"/>
  <c r="G94" i="32"/>
  <c r="O94" i="32"/>
  <c r="H94" i="32"/>
  <c r="J94" i="32"/>
  <c r="L94" i="32"/>
  <c r="F94" i="32"/>
  <c r="AM94" i="32" s="1"/>
  <c r="I94" i="32"/>
  <c r="N94" i="32"/>
  <c r="M94" i="32"/>
  <c r="K94" i="32"/>
  <c r="Q163" i="57"/>
  <c r="T163" i="57" s="1"/>
  <c r="W102" i="50"/>
  <c r="X102" i="50" s="1"/>
  <c r="Z102" i="50"/>
  <c r="P164" i="57"/>
  <c r="K164" i="57"/>
  <c r="H164" i="57"/>
  <c r="F164" i="57"/>
  <c r="C164" i="57"/>
  <c r="M164" i="57" s="1"/>
  <c r="I164" i="57"/>
  <c r="E164" i="57"/>
  <c r="G164" i="57"/>
  <c r="D164" i="57"/>
  <c r="J164" i="57"/>
  <c r="AK163" i="55" a="1"/>
  <c r="AK163" i="55" s="1"/>
  <c r="B165" i="57" s="1"/>
  <c r="O165" i="57" s="1"/>
  <c r="AN149" i="67" a="1"/>
  <c r="AN149" i="67" s="1"/>
  <c r="B150" i="69"/>
  <c r="D148" i="69"/>
  <c r="E148" i="69" s="1"/>
  <c r="F148" i="69" s="1"/>
  <c r="G148" i="69" s="1"/>
  <c r="H148" i="69" s="1"/>
  <c r="I148" i="69" s="1"/>
  <c r="J148" i="69" s="1"/>
  <c r="K148" i="69" s="1"/>
  <c r="M148" i="69" s="1"/>
  <c r="N148" i="69"/>
  <c r="AF148" i="69" s="1"/>
  <c r="U147" i="69"/>
  <c r="AE147" i="69"/>
  <c r="Q147" i="69"/>
  <c r="R147" i="69"/>
  <c r="S147" i="69" s="1"/>
  <c r="Y147" i="69" s="1"/>
  <c r="C149" i="69"/>
  <c r="AL94" i="11" a="1"/>
  <c r="AL94" i="11" s="1"/>
  <c r="AL104" i="59" a="1"/>
  <c r="AL104" i="59" s="1"/>
  <c r="E105" i="50" s="1"/>
  <c r="AF162" i="57" l="1"/>
  <c r="AB162" i="57"/>
  <c r="AB147" i="69"/>
  <c r="AC147" i="69" s="1"/>
  <c r="AD147" i="69" s="1"/>
  <c r="AG147" i="69"/>
  <c r="L150" i="69"/>
  <c r="O150" i="69"/>
  <c r="AO149" i="69"/>
  <c r="P149" i="69"/>
  <c r="T105" i="50"/>
  <c r="AK105" i="50"/>
  <c r="X163" i="57"/>
  <c r="AA163" i="57" s="1"/>
  <c r="AB163" i="53"/>
  <c r="AA163" i="53"/>
  <c r="AF163" i="53"/>
  <c r="AC164" i="53"/>
  <c r="AE164" i="53"/>
  <c r="AD30" i="32"/>
  <c r="AG30" i="32" s="1"/>
  <c r="AH30" i="32" s="1"/>
  <c r="AD45" i="32"/>
  <c r="AG45" i="32" s="1"/>
  <c r="AH45" i="32" s="1"/>
  <c r="AD57" i="32"/>
  <c r="AD61" i="32"/>
  <c r="AG61" i="32" s="1"/>
  <c r="AH61" i="32" s="1"/>
  <c r="AD67" i="32"/>
  <c r="AG67" i="32" s="1"/>
  <c r="AH67" i="32" s="1"/>
  <c r="AD84" i="32"/>
  <c r="AG84" i="32" s="1"/>
  <c r="AH84" i="32" s="1"/>
  <c r="AD29" i="32"/>
  <c r="AG29" i="32" s="1"/>
  <c r="AH29" i="32" s="1"/>
  <c r="AD50" i="32"/>
  <c r="AG50" i="32" s="1"/>
  <c r="AH50" i="32" s="1"/>
  <c r="AD56" i="32"/>
  <c r="AG56" i="32" s="1"/>
  <c r="AH56" i="32" s="1"/>
  <c r="AD60" i="32"/>
  <c r="AG60" i="32" s="1"/>
  <c r="AH60" i="32" s="1"/>
  <c r="AD82" i="32"/>
  <c r="AG82" i="32" s="1"/>
  <c r="AH82" i="32" s="1"/>
  <c r="AD76" i="32"/>
  <c r="AG76" i="32" s="1"/>
  <c r="AH76" i="32" s="1"/>
  <c r="AD26" i="32"/>
  <c r="AG26" i="32" s="1"/>
  <c r="AH26" i="32" s="1"/>
  <c r="AD46" i="32"/>
  <c r="AG46" i="32" s="1"/>
  <c r="AH46" i="32" s="1"/>
  <c r="AD51" i="32"/>
  <c r="AG51" i="32" s="1"/>
  <c r="AH51" i="32" s="1"/>
  <c r="AD54" i="32"/>
  <c r="AG54" i="32" s="1"/>
  <c r="AH54" i="32" s="1"/>
  <c r="AD68" i="32"/>
  <c r="AG68" i="32" s="1"/>
  <c r="AH68" i="32" s="1"/>
  <c r="AD78" i="32"/>
  <c r="AG78" i="32" s="1"/>
  <c r="AH78" i="32" s="1"/>
  <c r="AD28" i="32"/>
  <c r="AD38" i="32"/>
  <c r="AG38" i="32" s="1"/>
  <c r="AH38" i="32" s="1"/>
  <c r="AD64" i="32"/>
  <c r="AG64" i="32" s="1"/>
  <c r="AH64" i="32" s="1"/>
  <c r="AD85" i="32"/>
  <c r="AG85" i="32" s="1"/>
  <c r="AH85" i="32" s="1"/>
  <c r="AD90" i="32"/>
  <c r="AG90" i="32" s="1"/>
  <c r="AH90" i="32" s="1"/>
  <c r="AD47" i="32"/>
  <c r="AG47" i="32" s="1"/>
  <c r="AH47" i="32" s="1"/>
  <c r="AD34" i="32"/>
  <c r="AG34" i="32" s="1"/>
  <c r="AH34" i="32" s="1"/>
  <c r="AD74" i="32"/>
  <c r="AG74" i="32" s="1"/>
  <c r="AH74" i="32" s="1"/>
  <c r="AD69" i="32"/>
  <c r="AG69" i="32" s="1"/>
  <c r="AH69" i="32" s="1"/>
  <c r="AD44" i="32"/>
  <c r="AD71" i="32"/>
  <c r="AD77" i="32"/>
  <c r="AD36" i="32"/>
  <c r="AD43" i="32"/>
  <c r="AD86" i="32"/>
  <c r="AD39" i="32"/>
  <c r="AD27" i="32"/>
  <c r="AG27" i="32" s="1"/>
  <c r="AH27" i="32" s="1"/>
  <c r="AD33" i="32"/>
  <c r="AG33" i="32" s="1"/>
  <c r="AH33" i="32" s="1"/>
  <c r="AD35" i="32"/>
  <c r="AG35" i="32" s="1"/>
  <c r="AH35" i="32" s="1"/>
  <c r="AD59" i="32"/>
  <c r="AG59" i="32" s="1"/>
  <c r="AH59" i="32" s="1"/>
  <c r="AD63" i="32"/>
  <c r="AG63" i="32" s="1"/>
  <c r="AH63" i="32" s="1"/>
  <c r="AD70" i="32"/>
  <c r="AG70" i="32" s="1"/>
  <c r="AH70" i="32" s="1"/>
  <c r="AD83" i="32"/>
  <c r="AD87" i="32"/>
  <c r="AG87" i="32" s="1"/>
  <c r="AH87" i="32" s="1"/>
  <c r="AD31" i="32"/>
  <c r="AG31" i="32" s="1"/>
  <c r="AH31" i="32" s="1"/>
  <c r="AD42" i="32"/>
  <c r="AG42" i="32" s="1"/>
  <c r="AH42" i="32" s="1"/>
  <c r="AD49" i="32"/>
  <c r="AG49" i="32" s="1"/>
  <c r="AH49" i="32" s="1"/>
  <c r="AD55" i="32"/>
  <c r="AG55" i="32" s="1"/>
  <c r="AH55" i="32" s="1"/>
  <c r="AD58" i="32"/>
  <c r="AG58" i="32" s="1"/>
  <c r="AH58" i="32" s="1"/>
  <c r="AD66" i="32"/>
  <c r="AG66" i="32" s="1"/>
  <c r="AH66" i="32" s="1"/>
  <c r="AD73" i="32"/>
  <c r="AG73" i="32" s="1"/>
  <c r="AH73" i="32" s="1"/>
  <c r="AD80" i="32"/>
  <c r="AG80" i="32" s="1"/>
  <c r="AH80" i="32" s="1"/>
  <c r="AD22" i="32"/>
  <c r="AD32" i="32"/>
  <c r="AG32" i="32" s="1"/>
  <c r="AH32" i="32" s="1"/>
  <c r="AD40" i="32"/>
  <c r="AG40" i="32" s="1"/>
  <c r="AH40" i="32" s="1"/>
  <c r="AD48" i="32"/>
  <c r="AG48" i="32" s="1"/>
  <c r="AH48" i="32" s="1"/>
  <c r="AD52" i="32"/>
  <c r="AG52" i="32" s="1"/>
  <c r="AH52" i="32" s="1"/>
  <c r="AD62" i="32"/>
  <c r="AD75" i="32"/>
  <c r="AG75" i="32" s="1"/>
  <c r="AH75" i="32" s="1"/>
  <c r="AD79" i="32"/>
  <c r="AG79" i="32" s="1"/>
  <c r="AH79" i="32" s="1"/>
  <c r="AD91" i="32"/>
  <c r="AG91" i="32" s="1"/>
  <c r="AH91" i="32" s="1"/>
  <c r="AD24" i="32"/>
  <c r="AD88" i="32"/>
  <c r="AG88" i="32" s="1"/>
  <c r="AH88" i="32" s="1"/>
  <c r="AD25" i="32"/>
  <c r="AG25" i="32" s="1"/>
  <c r="AH25" i="32" s="1"/>
  <c r="AD37" i="32"/>
  <c r="AG37" i="32" s="1"/>
  <c r="AH37" i="32" s="1"/>
  <c r="AD41" i="32"/>
  <c r="AG41" i="32" s="1"/>
  <c r="AH41" i="32" s="1"/>
  <c r="AD53" i="32"/>
  <c r="AG53" i="32" s="1"/>
  <c r="AH53" i="32" s="1"/>
  <c r="AD65" i="32"/>
  <c r="AD72" i="32"/>
  <c r="AG72" i="32" s="1"/>
  <c r="AH72" i="32" s="1"/>
  <c r="AD81" i="32"/>
  <c r="AD89" i="32"/>
  <c r="AG89" i="32" s="1"/>
  <c r="AH89" i="32" s="1"/>
  <c r="AD92" i="32"/>
  <c r="AD23" i="32"/>
  <c r="AD93" i="32"/>
  <c r="AE164" i="57"/>
  <c r="AC164" i="57"/>
  <c r="AM104" i="50"/>
  <c r="U104" i="50"/>
  <c r="AD103" i="50"/>
  <c r="AG103" i="50" s="1"/>
  <c r="AH103" i="50" s="1"/>
  <c r="AI103" i="50" s="1"/>
  <c r="U94" i="32"/>
  <c r="AP101" i="50"/>
  <c r="R164" i="57"/>
  <c r="R164" i="53"/>
  <c r="X164" i="53" s="1"/>
  <c r="W54" i="32"/>
  <c r="X54" i="32" s="1"/>
  <c r="V54" i="32"/>
  <c r="AJ54" i="32"/>
  <c r="C54" i="32"/>
  <c r="Z54" i="32"/>
  <c r="C60" i="32"/>
  <c r="Z60" i="32"/>
  <c r="V60" i="32"/>
  <c r="AJ60" i="32"/>
  <c r="W60" i="32"/>
  <c r="X60" i="32" s="1"/>
  <c r="Z33" i="32"/>
  <c r="V33" i="32"/>
  <c r="AJ33" i="32"/>
  <c r="C33" i="32"/>
  <c r="W33" i="32"/>
  <c r="X33" i="32" s="1"/>
  <c r="AJ89" i="32"/>
  <c r="C89" i="32"/>
  <c r="Z89" i="32"/>
  <c r="W89" i="32"/>
  <c r="X89" i="32" s="1"/>
  <c r="V89" i="32"/>
  <c r="W82" i="32"/>
  <c r="X82" i="32" s="1"/>
  <c r="V82" i="32"/>
  <c r="C82" i="32"/>
  <c r="AJ82" i="32"/>
  <c r="Z82" i="32"/>
  <c r="Z38" i="32"/>
  <c r="AJ38" i="32"/>
  <c r="C38" i="32"/>
  <c r="W38" i="32"/>
  <c r="X38" i="32" s="1"/>
  <c r="V38" i="32"/>
  <c r="Z45" i="32"/>
  <c r="V45" i="32"/>
  <c r="AJ45" i="32"/>
  <c r="AL45" i="32" s="1"/>
  <c r="C45" i="32"/>
  <c r="W45" i="32"/>
  <c r="X45" i="32" s="1"/>
  <c r="W42" i="32"/>
  <c r="X42" i="32" s="1"/>
  <c r="V42" i="32"/>
  <c r="AJ42" i="32"/>
  <c r="Z42" i="32"/>
  <c r="C42" i="32"/>
  <c r="AJ34" i="32"/>
  <c r="C34" i="32"/>
  <c r="W34" i="32"/>
  <c r="X34" i="32" s="1"/>
  <c r="Z34" i="32"/>
  <c r="V34" i="32"/>
  <c r="V43" i="32"/>
  <c r="AJ43" i="32"/>
  <c r="C43" i="32"/>
  <c r="W43" i="32"/>
  <c r="X43" i="32" s="1"/>
  <c r="Z43" i="32"/>
  <c r="Z55" i="32"/>
  <c r="V55" i="32"/>
  <c r="C55" i="32"/>
  <c r="W55" i="32"/>
  <c r="X55" i="32" s="1"/>
  <c r="AJ55" i="32"/>
  <c r="AJ44" i="32"/>
  <c r="C44" i="32"/>
  <c r="W44" i="32"/>
  <c r="X44" i="32" s="1"/>
  <c r="Z44" i="32"/>
  <c r="V44" i="32"/>
  <c r="AJ32" i="32"/>
  <c r="C32" i="32"/>
  <c r="V32" i="32"/>
  <c r="W32" i="32"/>
  <c r="X32" i="32" s="1"/>
  <c r="Z32" i="32"/>
  <c r="Z73" i="32"/>
  <c r="W73" i="32"/>
  <c r="X73" i="32" s="1"/>
  <c r="AJ73" i="32"/>
  <c r="C73" i="32"/>
  <c r="V73" i="32"/>
  <c r="V76" i="32"/>
  <c r="AJ76" i="32"/>
  <c r="C76" i="32"/>
  <c r="W76" i="32"/>
  <c r="X76" i="32" s="1"/>
  <c r="Z76" i="32"/>
  <c r="V61" i="32"/>
  <c r="AJ61" i="32"/>
  <c r="C61" i="32"/>
  <c r="W61" i="32"/>
  <c r="X61" i="32" s="1"/>
  <c r="Z61" i="32"/>
  <c r="W40" i="32"/>
  <c r="X40" i="32" s="1"/>
  <c r="AJ40" i="32"/>
  <c r="C40" i="32"/>
  <c r="Z40" i="32"/>
  <c r="V40" i="32"/>
  <c r="C26" i="32"/>
  <c r="W26" i="32"/>
  <c r="X26" i="32" s="1"/>
  <c r="Z26" i="32"/>
  <c r="V26" i="32"/>
  <c r="AJ26" i="32"/>
  <c r="V50" i="32"/>
  <c r="Z50" i="32"/>
  <c r="AJ50" i="32"/>
  <c r="C50" i="32"/>
  <c r="W50" i="32"/>
  <c r="X50" i="32" s="1"/>
  <c r="AJ56" i="32"/>
  <c r="W56" i="32"/>
  <c r="X56" i="32" s="1"/>
  <c r="C56" i="32"/>
  <c r="Z56" i="32"/>
  <c r="V56" i="32"/>
  <c r="V47" i="32"/>
  <c r="AJ47" i="32"/>
  <c r="W47" i="32"/>
  <c r="X47" i="32" s="1"/>
  <c r="Z47" i="32"/>
  <c r="C47" i="32"/>
  <c r="W86" i="32"/>
  <c r="X86" i="32" s="1"/>
  <c r="Z86" i="32"/>
  <c r="AJ86" i="32"/>
  <c r="C86" i="32"/>
  <c r="V86" i="32"/>
  <c r="AJ28" i="32"/>
  <c r="V28" i="32"/>
  <c r="C28" i="32"/>
  <c r="W28" i="32"/>
  <c r="X28" i="32" s="1"/>
  <c r="Z28" i="32"/>
  <c r="C79" i="32"/>
  <c r="W79" i="32"/>
  <c r="X79" i="32" s="1"/>
  <c r="V79" i="32"/>
  <c r="Z79" i="32"/>
  <c r="AJ79" i="32"/>
  <c r="C62" i="32"/>
  <c r="W62" i="32"/>
  <c r="X62" i="32" s="1"/>
  <c r="V62" i="32"/>
  <c r="Z62" i="32"/>
  <c r="AJ62" i="32"/>
  <c r="V49" i="32"/>
  <c r="W49" i="32"/>
  <c r="X49" i="32" s="1"/>
  <c r="Z49" i="32"/>
  <c r="AJ49" i="32"/>
  <c r="C49" i="32"/>
  <c r="V29" i="32"/>
  <c r="Z29" i="32"/>
  <c r="AJ29" i="32"/>
  <c r="C29" i="32"/>
  <c r="W29" i="32"/>
  <c r="X29" i="32" s="1"/>
  <c r="W52" i="32"/>
  <c r="X52" i="32" s="1"/>
  <c r="Z52" i="32"/>
  <c r="V52" i="32"/>
  <c r="AJ52" i="32"/>
  <c r="C52" i="32"/>
  <c r="V59" i="32"/>
  <c r="AJ59" i="32"/>
  <c r="C59" i="32"/>
  <c r="Z59" i="32"/>
  <c r="W59" i="32"/>
  <c r="X59" i="32" s="1"/>
  <c r="AJ48" i="32"/>
  <c r="C48" i="32"/>
  <c r="V48" i="32"/>
  <c r="W48" i="32"/>
  <c r="X48" i="32" s="1"/>
  <c r="Z48" i="32"/>
  <c r="V27" i="32"/>
  <c r="Z27" i="32"/>
  <c r="AJ27" i="32"/>
  <c r="C27" i="32"/>
  <c r="W27" i="32"/>
  <c r="X27" i="32" s="1"/>
  <c r="W37" i="32"/>
  <c r="X37" i="32" s="1"/>
  <c r="Z37" i="32"/>
  <c r="AJ37" i="32"/>
  <c r="V37" i="32"/>
  <c r="C37" i="32"/>
  <c r="AJ84" i="32"/>
  <c r="C84" i="32"/>
  <c r="W84" i="32"/>
  <c r="X84" i="32" s="1"/>
  <c r="Z84" i="32"/>
  <c r="V84" i="32"/>
  <c r="V64" i="32"/>
  <c r="W64" i="32"/>
  <c r="X64" i="32" s="1"/>
  <c r="AJ64" i="32"/>
  <c r="Z64" i="32"/>
  <c r="C64" i="32"/>
  <c r="V63" i="32"/>
  <c r="AJ63" i="32"/>
  <c r="C63" i="32"/>
  <c r="W63" i="32"/>
  <c r="X63" i="32" s="1"/>
  <c r="Z63" i="32"/>
  <c r="W67" i="32"/>
  <c r="X67" i="32" s="1"/>
  <c r="Z67" i="32"/>
  <c r="AJ67" i="32"/>
  <c r="V67" i="32"/>
  <c r="C67" i="32"/>
  <c r="V53" i="32"/>
  <c r="Z53" i="32"/>
  <c r="AJ53" i="32"/>
  <c r="C53" i="32"/>
  <c r="W53" i="32"/>
  <c r="X53" i="32" s="1"/>
  <c r="AJ75" i="32"/>
  <c r="C75" i="32"/>
  <c r="V75" i="32"/>
  <c r="Z75" i="32"/>
  <c r="W75" i="32"/>
  <c r="X75" i="32" s="1"/>
  <c r="V58" i="32"/>
  <c r="AJ58" i="32"/>
  <c r="W58" i="32"/>
  <c r="X58" i="32" s="1"/>
  <c r="Z58" i="32"/>
  <c r="C58" i="32"/>
  <c r="C71" i="32"/>
  <c r="Z71" i="32"/>
  <c r="AJ71" i="32"/>
  <c r="W71" i="32"/>
  <c r="X71" i="32" s="1"/>
  <c r="V71" i="32"/>
  <c r="V36" i="32"/>
  <c r="W36" i="32"/>
  <c r="X36" i="32" s="1"/>
  <c r="Z36" i="32"/>
  <c r="AJ36" i="32"/>
  <c r="C36" i="32"/>
  <c r="V39" i="32"/>
  <c r="AJ39" i="32"/>
  <c r="W39" i="32"/>
  <c r="X39" i="32" s="1"/>
  <c r="C39" i="32"/>
  <c r="Z39" i="32"/>
  <c r="V88" i="32"/>
  <c r="Z88" i="32"/>
  <c r="AJ88" i="32"/>
  <c r="C88" i="32"/>
  <c r="W88" i="32"/>
  <c r="X88" i="32" s="1"/>
  <c r="V66" i="32"/>
  <c r="AJ66" i="32"/>
  <c r="C66" i="32"/>
  <c r="W66" i="32"/>
  <c r="X66" i="32" s="1"/>
  <c r="Z66" i="32"/>
  <c r="C65" i="32"/>
  <c r="V65" i="32"/>
  <c r="Z65" i="32"/>
  <c r="W65" i="32"/>
  <c r="X65" i="32" s="1"/>
  <c r="AJ65" i="32"/>
  <c r="V74" i="32"/>
  <c r="AJ74" i="32"/>
  <c r="C74" i="32"/>
  <c r="W74" i="32"/>
  <c r="X74" i="32" s="1"/>
  <c r="Z74" i="32"/>
  <c r="V83" i="32"/>
  <c r="Z83" i="32"/>
  <c r="AJ83" i="32"/>
  <c r="C83" i="32"/>
  <c r="W83" i="32"/>
  <c r="X83" i="32" s="1"/>
  <c r="V81" i="32"/>
  <c r="Z81" i="32"/>
  <c r="C81" i="32"/>
  <c r="W81" i="32"/>
  <c r="X81" i="32" s="1"/>
  <c r="AJ81" i="32"/>
  <c r="W77" i="32"/>
  <c r="X77" i="32" s="1"/>
  <c r="Z77" i="32"/>
  <c r="AJ77" i="32"/>
  <c r="V77" i="32"/>
  <c r="C77" i="32"/>
  <c r="V69" i="32"/>
  <c r="C69" i="32"/>
  <c r="Z69" i="32"/>
  <c r="W69" i="32"/>
  <c r="X69" i="32" s="1"/>
  <c r="AJ69" i="32"/>
  <c r="Z46" i="32"/>
  <c r="C46" i="32"/>
  <c r="AJ46" i="32"/>
  <c r="V46" i="32"/>
  <c r="W46" i="32"/>
  <c r="X46" i="32" s="1"/>
  <c r="V41" i="32"/>
  <c r="AJ41" i="32"/>
  <c r="W41" i="32"/>
  <c r="X41" i="32" s="1"/>
  <c r="C41" i="32"/>
  <c r="Z41" i="32"/>
  <c r="V91" i="32"/>
  <c r="AJ91" i="32"/>
  <c r="C91" i="32"/>
  <c r="Z91" i="32"/>
  <c r="W91" i="32"/>
  <c r="X91" i="32" s="1"/>
  <c r="C68" i="32"/>
  <c r="Z68" i="32"/>
  <c r="W68" i="32"/>
  <c r="X68" i="32" s="1"/>
  <c r="V68" i="32"/>
  <c r="AJ68" i="32"/>
  <c r="AJ72" i="32"/>
  <c r="C72" i="32"/>
  <c r="W72" i="32"/>
  <c r="X72" i="32" s="1"/>
  <c r="Z72" i="32"/>
  <c r="V72" i="32"/>
  <c r="Z78" i="32"/>
  <c r="AJ78" i="32"/>
  <c r="AL78" i="32" s="1"/>
  <c r="V78" i="32"/>
  <c r="C78" i="32"/>
  <c r="W78" i="32"/>
  <c r="X78" i="32" s="1"/>
  <c r="V92" i="32"/>
  <c r="W92" i="32"/>
  <c r="X92" i="32" s="1"/>
  <c r="Z92" i="32"/>
  <c r="AJ92" i="32"/>
  <c r="C92" i="32"/>
  <c r="W90" i="32"/>
  <c r="X90" i="32" s="1"/>
  <c r="V90" i="32"/>
  <c r="AJ90" i="32"/>
  <c r="C90" i="32"/>
  <c r="Z90" i="32"/>
  <c r="V85" i="32"/>
  <c r="AJ85" i="32"/>
  <c r="C85" i="32"/>
  <c r="W85" i="32"/>
  <c r="X85" i="32" s="1"/>
  <c r="Z85" i="32"/>
  <c r="V51" i="32"/>
  <c r="C51" i="32"/>
  <c r="Z51" i="32"/>
  <c r="W51" i="32"/>
  <c r="X51" i="32" s="1"/>
  <c r="AJ51" i="32"/>
  <c r="W57" i="32"/>
  <c r="X57" i="32" s="1"/>
  <c r="C57" i="32"/>
  <c r="AJ57" i="32"/>
  <c r="V57" i="32"/>
  <c r="Z57" i="32"/>
  <c r="V31" i="32"/>
  <c r="AJ31" i="32"/>
  <c r="W31" i="32"/>
  <c r="X31" i="32" s="1"/>
  <c r="C31" i="32"/>
  <c r="Z31" i="32"/>
  <c r="V70" i="32"/>
  <c r="Z70" i="32"/>
  <c r="W70" i="32"/>
  <c r="X70" i="32" s="1"/>
  <c r="AJ70" i="32"/>
  <c r="C70" i="32"/>
  <c r="V80" i="32"/>
  <c r="C80" i="32"/>
  <c r="Z80" i="32"/>
  <c r="W80" i="32"/>
  <c r="X80" i="32" s="1"/>
  <c r="AJ80" i="32"/>
  <c r="Z25" i="32"/>
  <c r="V25" i="32"/>
  <c r="AJ25" i="32"/>
  <c r="C25" i="32"/>
  <c r="W25" i="32"/>
  <c r="X25" i="32" s="1"/>
  <c r="V30" i="32"/>
  <c r="Z30" i="32"/>
  <c r="W30" i="32"/>
  <c r="X30" i="32" s="1"/>
  <c r="AJ30" i="32"/>
  <c r="C30" i="32"/>
  <c r="V35" i="32"/>
  <c r="AJ35" i="32"/>
  <c r="AL35" i="32" s="1"/>
  <c r="C35" i="32"/>
  <c r="W35" i="32"/>
  <c r="X35" i="32" s="1"/>
  <c r="Z35" i="32"/>
  <c r="V87" i="32"/>
  <c r="W87" i="32"/>
  <c r="X87" i="32" s="1"/>
  <c r="Z87" i="32"/>
  <c r="AJ87" i="32"/>
  <c r="C87" i="32"/>
  <c r="AL102" i="50"/>
  <c r="Q94" i="32"/>
  <c r="P94" i="32" s="1"/>
  <c r="S15" i="32"/>
  <c r="V20" i="32"/>
  <c r="C20" i="32"/>
  <c r="W20" i="32"/>
  <c r="X20" i="32" s="1"/>
  <c r="T20" i="32" s="1"/>
  <c r="Z20" i="32"/>
  <c r="AJ20" i="32"/>
  <c r="V18" i="32"/>
  <c r="AJ18" i="32"/>
  <c r="C18" i="32"/>
  <c r="W18" i="32"/>
  <c r="X18" i="32" s="1"/>
  <c r="T18" i="32" s="1"/>
  <c r="Z18" i="32"/>
  <c r="V17" i="32"/>
  <c r="AJ17" i="32"/>
  <c r="C17" i="32"/>
  <c r="W17" i="32"/>
  <c r="X17" i="32" s="1"/>
  <c r="T17" i="32" s="1"/>
  <c r="Z17" i="32"/>
  <c r="V22" i="32"/>
  <c r="AJ22" i="32"/>
  <c r="C22" i="32"/>
  <c r="W22" i="32"/>
  <c r="X22" i="32" s="1"/>
  <c r="Z22" i="32"/>
  <c r="V23" i="32"/>
  <c r="AJ23" i="32"/>
  <c r="C23" i="32"/>
  <c r="W23" i="32"/>
  <c r="X23" i="32" s="1"/>
  <c r="Z23" i="32"/>
  <c r="V21" i="32"/>
  <c r="AJ21" i="32"/>
  <c r="C21" i="32"/>
  <c r="W21" i="32"/>
  <c r="X21" i="32" s="1"/>
  <c r="T21" i="32" s="1"/>
  <c r="Z21" i="32"/>
  <c r="V19" i="32"/>
  <c r="W19" i="32"/>
  <c r="X19" i="32" s="1"/>
  <c r="T19" i="32" s="1"/>
  <c r="Z19" i="32"/>
  <c r="AJ19" i="32"/>
  <c r="C19" i="32"/>
  <c r="V24" i="32"/>
  <c r="Z24" i="32"/>
  <c r="AJ24" i="32"/>
  <c r="C24" i="32"/>
  <c r="W24" i="32"/>
  <c r="X24" i="32" s="1"/>
  <c r="AX148" i="69"/>
  <c r="AG165" i="57"/>
  <c r="L165" i="57"/>
  <c r="O105" i="50"/>
  <c r="AJ164" i="57"/>
  <c r="AP164" i="57"/>
  <c r="AH164" i="53"/>
  <c r="AT164" i="53"/>
  <c r="AG164" i="53"/>
  <c r="V16" i="32"/>
  <c r="Z16" i="32"/>
  <c r="W16" i="32"/>
  <c r="X16" i="32" s="1"/>
  <c r="T16" i="32" s="1"/>
  <c r="AJ16" i="32"/>
  <c r="C16" i="32"/>
  <c r="N165" i="57"/>
  <c r="K165" i="53"/>
  <c r="N165" i="53"/>
  <c r="AH148" i="69"/>
  <c r="C93" i="32"/>
  <c r="V93" i="32"/>
  <c r="AJ103" i="50"/>
  <c r="C103" i="50"/>
  <c r="AJ14" i="32"/>
  <c r="C14" i="32"/>
  <c r="AD164" i="57"/>
  <c r="Q164" i="53"/>
  <c r="AD164" i="53"/>
  <c r="S12" i="32"/>
  <c r="AJ93" i="32"/>
  <c r="V103" i="50"/>
  <c r="S104" i="50"/>
  <c r="S94" i="32"/>
  <c r="V94" i="32" s="1"/>
  <c r="S13" i="32"/>
  <c r="E165" i="53"/>
  <c r="H165" i="53"/>
  <c r="J165" i="53"/>
  <c r="M165" i="53"/>
  <c r="D165" i="53"/>
  <c r="P165" i="53"/>
  <c r="C165" i="53"/>
  <c r="L165" i="53"/>
  <c r="I165" i="53"/>
  <c r="G165" i="53"/>
  <c r="F165" i="53"/>
  <c r="AK164" i="52" a="1"/>
  <c r="AK164" i="52" s="1"/>
  <c r="B166" i="53" s="1"/>
  <c r="O166" i="53" s="1"/>
  <c r="H105" i="50"/>
  <c r="I105" i="50"/>
  <c r="J105" i="50"/>
  <c r="B105" i="50"/>
  <c r="R105" i="50" s="1"/>
  <c r="L105" i="50"/>
  <c r="M105" i="50"/>
  <c r="A105" i="50"/>
  <c r="Q105" i="50" s="1"/>
  <c r="P105" i="50" s="1"/>
  <c r="G105" i="50"/>
  <c r="F105" i="50"/>
  <c r="K105" i="50"/>
  <c r="N105" i="50"/>
  <c r="W14" i="32"/>
  <c r="X14" i="32" s="1"/>
  <c r="T14" i="32" s="1"/>
  <c r="Z14" i="32"/>
  <c r="Z103" i="50"/>
  <c r="W103" i="50"/>
  <c r="X103" i="50" s="1"/>
  <c r="Q164" i="57"/>
  <c r="T164" i="57" s="1"/>
  <c r="H165" i="57"/>
  <c r="E165" i="57"/>
  <c r="P165" i="57"/>
  <c r="J165" i="57"/>
  <c r="F165" i="57"/>
  <c r="K165" i="57"/>
  <c r="G165" i="57"/>
  <c r="C165" i="57"/>
  <c r="M165" i="57" s="1"/>
  <c r="I165" i="57"/>
  <c r="D165" i="57"/>
  <c r="E95" i="32"/>
  <c r="AK164" i="55" a="1"/>
  <c r="AK164" i="55" s="1"/>
  <c r="B166" i="57" s="1"/>
  <c r="O166" i="57" s="1"/>
  <c r="W93" i="32"/>
  <c r="X93" i="32" s="1"/>
  <c r="Z93" i="32"/>
  <c r="AN150" i="67" a="1"/>
  <c r="AN150" i="67" s="1"/>
  <c r="B151" i="69"/>
  <c r="Q148" i="69"/>
  <c r="AE148" i="69"/>
  <c r="R148" i="69"/>
  <c r="S148" i="69" s="1"/>
  <c r="Y148" i="69" s="1"/>
  <c r="U148" i="69"/>
  <c r="D149" i="69"/>
  <c r="E149" i="69" s="1"/>
  <c r="F149" i="69" s="1"/>
  <c r="G149" i="69" s="1"/>
  <c r="H149" i="69" s="1"/>
  <c r="I149" i="69" s="1"/>
  <c r="J149" i="69" s="1"/>
  <c r="K149" i="69" s="1"/>
  <c r="M149" i="69" s="1"/>
  <c r="N149" i="69"/>
  <c r="AF149" i="69" s="1"/>
  <c r="C150" i="69"/>
  <c r="AL95" i="11" a="1"/>
  <c r="AL95" i="11" s="1"/>
  <c r="E96" i="32" s="1"/>
  <c r="AL105" i="59" a="1"/>
  <c r="AL105" i="59" s="1"/>
  <c r="E106" i="50" s="1"/>
  <c r="AL49" i="32" l="1"/>
  <c r="AL54" i="32"/>
  <c r="AL56" i="32"/>
  <c r="AL30" i="32"/>
  <c r="AL68" i="32"/>
  <c r="AL90" i="32"/>
  <c r="U14" i="32"/>
  <c r="AD14" i="32" s="1"/>
  <c r="U21" i="32"/>
  <c r="AD21" i="32" s="1"/>
  <c r="U20" i="32"/>
  <c r="AD20" i="32" s="1"/>
  <c r="U18" i="32"/>
  <c r="AD18" i="32" s="1"/>
  <c r="U19" i="32"/>
  <c r="AD19" i="32" s="1"/>
  <c r="U17" i="32"/>
  <c r="AD17" i="32" s="1"/>
  <c r="U16" i="32"/>
  <c r="AD16" i="32" s="1"/>
  <c r="V15" i="32"/>
  <c r="AL60" i="32"/>
  <c r="AL85" i="32"/>
  <c r="AB148" i="69"/>
  <c r="AC148" i="69" s="1"/>
  <c r="AD148" i="69" s="1"/>
  <c r="AG148" i="69"/>
  <c r="AO150" i="69"/>
  <c r="P150" i="69"/>
  <c r="L151" i="69"/>
  <c r="O151" i="69"/>
  <c r="AF163" i="57"/>
  <c r="AB163" i="57"/>
  <c r="AL32" i="32"/>
  <c r="T106" i="50"/>
  <c r="AK106" i="50"/>
  <c r="AL72" i="32"/>
  <c r="AL91" i="32"/>
  <c r="AL42" i="32"/>
  <c r="AL74" i="32"/>
  <c r="AL52" i="32"/>
  <c r="AL70" i="32"/>
  <c r="AL67" i="32"/>
  <c r="AL66" i="32"/>
  <c r="AL37" i="32"/>
  <c r="AL33" i="32"/>
  <c r="AL48" i="32"/>
  <c r="AL69" i="32"/>
  <c r="AL26" i="32"/>
  <c r="AL84" i="32"/>
  <c r="AL73" i="32"/>
  <c r="AL41" i="32"/>
  <c r="X164" i="57"/>
  <c r="AL46" i="32"/>
  <c r="AL29" i="32"/>
  <c r="AL80" i="32"/>
  <c r="AC165" i="53"/>
  <c r="AE165" i="53"/>
  <c r="AB164" i="53"/>
  <c r="AA164" i="53"/>
  <c r="AF164" i="53"/>
  <c r="AL82" i="32"/>
  <c r="AK96" i="32"/>
  <c r="T96" i="32"/>
  <c r="AL27" i="32"/>
  <c r="AL50" i="32"/>
  <c r="AL61" i="32"/>
  <c r="AL34" i="32"/>
  <c r="AK95" i="32"/>
  <c r="T95" i="32"/>
  <c r="AL51" i="32"/>
  <c r="AL58" i="32"/>
  <c r="AL63" i="32"/>
  <c r="AL64" i="32"/>
  <c r="AL79" i="32"/>
  <c r="AL76" i="32"/>
  <c r="AL25" i="32"/>
  <c r="AL31" i="32"/>
  <c r="AL89" i="32"/>
  <c r="AL87" i="32"/>
  <c r="AL53" i="32"/>
  <c r="AL55" i="32"/>
  <c r="AL38" i="32"/>
  <c r="AL75" i="32"/>
  <c r="AL59" i="32"/>
  <c r="AL47" i="32"/>
  <c r="AL40" i="32"/>
  <c r="AL88" i="32"/>
  <c r="AD94" i="32"/>
  <c r="AC165" i="57"/>
  <c r="AE165" i="57"/>
  <c r="AM105" i="50"/>
  <c r="U105" i="50"/>
  <c r="AD104" i="50"/>
  <c r="AG104" i="50" s="1"/>
  <c r="AH104" i="50" s="1"/>
  <c r="AI104" i="50" s="1"/>
  <c r="AG28" i="32"/>
  <c r="AH28" i="32" s="1"/>
  <c r="AI28" i="32" s="1"/>
  <c r="AL28" i="32"/>
  <c r="AG65" i="32"/>
  <c r="AH65" i="32" s="1"/>
  <c r="AI65" i="32" s="1"/>
  <c r="AL65" i="32"/>
  <c r="AG62" i="32"/>
  <c r="AH62" i="32" s="1"/>
  <c r="AI62" i="32" s="1"/>
  <c r="AL62" i="32"/>
  <c r="AG43" i="32"/>
  <c r="AH43" i="32" s="1"/>
  <c r="AI43" i="32" s="1"/>
  <c r="AL43" i="32"/>
  <c r="AG77" i="32"/>
  <c r="AH77" i="32" s="1"/>
  <c r="AI77" i="32" s="1"/>
  <c r="AL77" i="32"/>
  <c r="AG39" i="32"/>
  <c r="AH39" i="32" s="1"/>
  <c r="AI39" i="32" s="1"/>
  <c r="AL39" i="32"/>
  <c r="AG57" i="32"/>
  <c r="AH57" i="32" s="1"/>
  <c r="AI57" i="32" s="1"/>
  <c r="AL57" i="32"/>
  <c r="AG93" i="32"/>
  <c r="AH93" i="32" s="1"/>
  <c r="AL93" i="32"/>
  <c r="AG44" i="32"/>
  <c r="AH44" i="32" s="1"/>
  <c r="AI44" i="32" s="1"/>
  <c r="AL44" i="32"/>
  <c r="AG81" i="32"/>
  <c r="AH81" i="32" s="1"/>
  <c r="AI81" i="32" s="1"/>
  <c r="AL81" i="32"/>
  <c r="AG36" i="32"/>
  <c r="AH36" i="32" s="1"/>
  <c r="AI36" i="32" s="1"/>
  <c r="AL36" i="32"/>
  <c r="AG71" i="32"/>
  <c r="AH71" i="32" s="1"/>
  <c r="AL71" i="32"/>
  <c r="AG83" i="32"/>
  <c r="AH83" i="32" s="1"/>
  <c r="AI83" i="32" s="1"/>
  <c r="AL83" i="32"/>
  <c r="AG86" i="32"/>
  <c r="AH86" i="32" s="1"/>
  <c r="AI86" i="32" s="1"/>
  <c r="AL86" i="32"/>
  <c r="V12" i="32"/>
  <c r="Z12" i="32"/>
  <c r="AP102" i="50"/>
  <c r="R165" i="57"/>
  <c r="R165" i="53"/>
  <c r="X165" i="53" s="1"/>
  <c r="AI35" i="32"/>
  <c r="AL103" i="50"/>
  <c r="AI41" i="32"/>
  <c r="AI40" i="32"/>
  <c r="AI80" i="32"/>
  <c r="AI37" i="32"/>
  <c r="AI31" i="32"/>
  <c r="AI45" i="32"/>
  <c r="AI69" i="32"/>
  <c r="AI51" i="32"/>
  <c r="AI60" i="32"/>
  <c r="AI72" i="32"/>
  <c r="AI78" i="32"/>
  <c r="AI47" i="32"/>
  <c r="AI26" i="32"/>
  <c r="AI46" i="32"/>
  <c r="AI38" i="32"/>
  <c r="AI52" i="32"/>
  <c r="AI76" i="32"/>
  <c r="AI89" i="32"/>
  <c r="AI30" i="32"/>
  <c r="AI82" i="32"/>
  <c r="AI75" i="32"/>
  <c r="AI58" i="32"/>
  <c r="AI32" i="32"/>
  <c r="AI54" i="32"/>
  <c r="AI53" i="32"/>
  <c r="AI63" i="32"/>
  <c r="AI49" i="32"/>
  <c r="AI74" i="32"/>
  <c r="AI29" i="32"/>
  <c r="AI70" i="32"/>
  <c r="AI61" i="32"/>
  <c r="AI88" i="32"/>
  <c r="AI59" i="32"/>
  <c r="AI48" i="32"/>
  <c r="AI64" i="32"/>
  <c r="AI67" i="32"/>
  <c r="AI27" i="32"/>
  <c r="AI84" i="32"/>
  <c r="AI85" i="32"/>
  <c r="AI55" i="32"/>
  <c r="AI91" i="32"/>
  <c r="AI34" i="32"/>
  <c r="AI79" i="32"/>
  <c r="AI25" i="32"/>
  <c r="AI56" i="32"/>
  <c r="AI87" i="32"/>
  <c r="C15" i="32"/>
  <c r="Z15" i="32"/>
  <c r="W15" i="32"/>
  <c r="X15" i="32" s="1"/>
  <c r="T15" i="32" s="1"/>
  <c r="AJ15" i="32"/>
  <c r="AX149" i="69"/>
  <c r="AG166" i="57"/>
  <c r="L166" i="57"/>
  <c r="W12" i="32"/>
  <c r="X12" i="32" s="1"/>
  <c r="AJ12" i="32"/>
  <c r="O106" i="50"/>
  <c r="AJ165" i="57"/>
  <c r="AP165" i="57"/>
  <c r="V13" i="32"/>
  <c r="AH165" i="53"/>
  <c r="AT165" i="53"/>
  <c r="AG165" i="53"/>
  <c r="N166" i="57"/>
  <c r="P166" i="53"/>
  <c r="N166" i="53"/>
  <c r="AH149" i="69"/>
  <c r="C13" i="32"/>
  <c r="AJ104" i="50"/>
  <c r="C104" i="50"/>
  <c r="AJ94" i="32"/>
  <c r="C94" i="32"/>
  <c r="C12" i="32"/>
  <c r="AD165" i="57"/>
  <c r="AD165" i="53"/>
  <c r="S105" i="50"/>
  <c r="V104" i="50"/>
  <c r="AJ13" i="32"/>
  <c r="W13" i="32"/>
  <c r="X13" i="32" s="1"/>
  <c r="T13" i="32" s="1"/>
  <c r="Z13" i="32"/>
  <c r="Q165" i="53"/>
  <c r="AK165" i="52" a="1"/>
  <c r="AK165" i="52" s="1"/>
  <c r="B167" i="53" s="1"/>
  <c r="O167" i="53" s="1"/>
  <c r="K166" i="53"/>
  <c r="E166" i="53"/>
  <c r="J166" i="53"/>
  <c r="D166" i="53"/>
  <c r="C166" i="53"/>
  <c r="H166" i="53"/>
  <c r="F166" i="53"/>
  <c r="G166" i="53"/>
  <c r="M166" i="53"/>
  <c r="I166" i="53"/>
  <c r="L166" i="53"/>
  <c r="A96" i="32"/>
  <c r="B96" i="32"/>
  <c r="R96" i="32" s="1"/>
  <c r="A95" i="32"/>
  <c r="B95" i="32"/>
  <c r="R95" i="32" s="1"/>
  <c r="K106" i="50"/>
  <c r="A106" i="50"/>
  <c r="Q106" i="50" s="1"/>
  <c r="P106" i="50" s="1"/>
  <c r="M106" i="50"/>
  <c r="G106" i="50"/>
  <c r="F106" i="50"/>
  <c r="N106" i="50"/>
  <c r="J106" i="50"/>
  <c r="L106" i="50"/>
  <c r="H106" i="50"/>
  <c r="B106" i="50"/>
  <c r="R106" i="50" s="1"/>
  <c r="I106" i="50"/>
  <c r="K96" i="32"/>
  <c r="L96" i="32"/>
  <c r="F96" i="32"/>
  <c r="AM96" i="32" s="1"/>
  <c r="N96" i="32"/>
  <c r="H96" i="32"/>
  <c r="M96" i="32"/>
  <c r="J96" i="32"/>
  <c r="I96" i="32"/>
  <c r="O96" i="32"/>
  <c r="G96" i="32"/>
  <c r="M95" i="32"/>
  <c r="F95" i="32"/>
  <c r="AM95" i="32" s="1"/>
  <c r="N95" i="32"/>
  <c r="H95" i="32"/>
  <c r="J95" i="32"/>
  <c r="G95" i="32"/>
  <c r="L95" i="32"/>
  <c r="O95" i="32"/>
  <c r="I95" i="32"/>
  <c r="K95" i="32"/>
  <c r="Q165" i="57"/>
  <c r="T165" i="57" s="1"/>
  <c r="Z104" i="50"/>
  <c r="W104" i="50"/>
  <c r="X104" i="50" s="1"/>
  <c r="J166" i="57"/>
  <c r="D166" i="57"/>
  <c r="F166" i="57"/>
  <c r="H166" i="57"/>
  <c r="G166" i="57"/>
  <c r="C166" i="57"/>
  <c r="M166" i="57" s="1"/>
  <c r="I166" i="57"/>
  <c r="E166" i="57"/>
  <c r="P166" i="57"/>
  <c r="K166" i="57"/>
  <c r="AK165" i="55" a="1"/>
  <c r="AK165" i="55" s="1"/>
  <c r="B167" i="57" s="1"/>
  <c r="O167" i="57" s="1"/>
  <c r="W94" i="32"/>
  <c r="X94" i="32" s="1"/>
  <c r="Z94" i="32"/>
  <c r="AN151" i="67" a="1"/>
  <c r="AN151" i="67" s="1"/>
  <c r="B152" i="69"/>
  <c r="R149" i="69"/>
  <c r="S149" i="69" s="1"/>
  <c r="Y149" i="69" s="1"/>
  <c r="U149" i="69"/>
  <c r="AE149" i="69"/>
  <c r="Q149" i="69"/>
  <c r="C151" i="69"/>
  <c r="D150" i="69"/>
  <c r="E150" i="69" s="1"/>
  <c r="F150" i="69" s="1"/>
  <c r="G150" i="69" s="1"/>
  <c r="H150" i="69" s="1"/>
  <c r="I150" i="69" s="1"/>
  <c r="J150" i="69" s="1"/>
  <c r="K150" i="69" s="1"/>
  <c r="M150" i="69" s="1"/>
  <c r="N150" i="69"/>
  <c r="AF150" i="69" s="1"/>
  <c r="AL96" i="11" a="1"/>
  <c r="AL96" i="11" s="1"/>
  <c r="AL106" i="59" a="1"/>
  <c r="AL106" i="59" s="1"/>
  <c r="E107" i="50" s="1"/>
  <c r="G4" i="22"/>
  <c r="L8" i="29"/>
  <c r="L5" i="29"/>
  <c r="L4" i="29"/>
  <c r="L3" i="29"/>
  <c r="AB164" i="57" l="1"/>
  <c r="AA164" i="57"/>
  <c r="U15" i="32"/>
  <c r="AD15" i="32" s="1"/>
  <c r="U13" i="32"/>
  <c r="AD13" i="32" s="1"/>
  <c r="AB149" i="69"/>
  <c r="AC149" i="69" s="1"/>
  <c r="AD149" i="69" s="1"/>
  <c r="AG149" i="69"/>
  <c r="AO151" i="69"/>
  <c r="P151" i="69"/>
  <c r="L152" i="69"/>
  <c r="O152" i="69"/>
  <c r="T107" i="50"/>
  <c r="AK107" i="50"/>
  <c r="AF164" i="57"/>
  <c r="AC166" i="53"/>
  <c r="AE166" i="53"/>
  <c r="AF165" i="53"/>
  <c r="AB165" i="53"/>
  <c r="AA165" i="53"/>
  <c r="X165" i="57"/>
  <c r="AE166" i="57"/>
  <c r="AC166" i="57"/>
  <c r="AD105" i="50"/>
  <c r="AG105" i="50" s="1"/>
  <c r="AH105" i="50" s="1"/>
  <c r="AI105" i="50" s="1"/>
  <c r="AM106" i="50"/>
  <c r="U106" i="50"/>
  <c r="U95" i="32"/>
  <c r="AG22" i="32"/>
  <c r="AH22" i="32" s="1"/>
  <c r="AL22" i="32"/>
  <c r="AG14" i="32"/>
  <c r="AG24" i="32"/>
  <c r="AH24" i="32" s="1"/>
  <c r="AL24" i="32"/>
  <c r="AG17" i="32"/>
  <c r="AG16" i="32"/>
  <c r="AG19" i="32"/>
  <c r="AG92" i="32"/>
  <c r="AH92" i="32" s="1"/>
  <c r="AI92" i="32" s="1"/>
  <c r="AN92" i="32" s="1"/>
  <c r="AL92" i="32"/>
  <c r="AG18" i="32"/>
  <c r="U96" i="32"/>
  <c r="AG23" i="32"/>
  <c r="AH23" i="32" s="1"/>
  <c r="AL23" i="32"/>
  <c r="AG20" i="32"/>
  <c r="AG21" i="32"/>
  <c r="AI93" i="32"/>
  <c r="AI66" i="32"/>
  <c r="AN66" i="32" s="1"/>
  <c r="AI50" i="32"/>
  <c r="AN50" i="32" s="1"/>
  <c r="AI33" i="32"/>
  <c r="AN33" i="32" s="1"/>
  <c r="AI68" i="32"/>
  <c r="AN68" i="32" s="1"/>
  <c r="AI90" i="32"/>
  <c r="AN90" i="32" s="1"/>
  <c r="AI71" i="32"/>
  <c r="AN71" i="32" s="1"/>
  <c r="AI42" i="32"/>
  <c r="AN42" i="32" s="1"/>
  <c r="AI73" i="32"/>
  <c r="AN73" i="32" s="1"/>
  <c r="AP103" i="50"/>
  <c r="AE149" i="65"/>
  <c r="AH149" i="65" s="1"/>
  <c r="R166" i="57"/>
  <c r="R166" i="53"/>
  <c r="X166" i="53" s="1"/>
  <c r="AL104" i="50"/>
  <c r="Q95" i="32"/>
  <c r="P95" i="32" s="1"/>
  <c r="Q96" i="32"/>
  <c r="P96" i="32" s="1"/>
  <c r="AN63" i="32"/>
  <c r="AN62" i="32"/>
  <c r="AN82" i="32"/>
  <c r="AN76" i="32"/>
  <c r="AN46" i="32"/>
  <c r="AN78" i="32"/>
  <c r="AN39" i="32"/>
  <c r="AN31" i="32"/>
  <c r="AN25" i="32"/>
  <c r="AN54" i="32"/>
  <c r="AN89" i="32"/>
  <c r="AN81" i="32"/>
  <c r="AN53" i="32"/>
  <c r="AN87" i="32"/>
  <c r="AN79" i="32"/>
  <c r="AN77" i="32"/>
  <c r="AN55" i="32"/>
  <c r="AN67" i="32"/>
  <c r="AN44" i="32"/>
  <c r="AN83" i="32"/>
  <c r="AN36" i="32"/>
  <c r="AN64" i="32"/>
  <c r="AN61" i="32"/>
  <c r="AN74" i="32"/>
  <c r="AN26" i="32"/>
  <c r="AN72" i="32"/>
  <c r="AN69" i="32"/>
  <c r="AN37" i="32"/>
  <c r="AN28" i="32"/>
  <c r="AN56" i="32"/>
  <c r="AN86" i="32"/>
  <c r="AN91" i="32"/>
  <c r="AN85" i="32"/>
  <c r="AN84" i="32"/>
  <c r="AN48" i="32"/>
  <c r="AN70" i="32"/>
  <c r="AN49" i="32"/>
  <c r="AN47" i="32"/>
  <c r="AN60" i="32"/>
  <c r="AN35" i="32"/>
  <c r="AN80" i="32"/>
  <c r="AN41" i="32"/>
  <c r="AN32" i="32"/>
  <c r="AN75" i="32"/>
  <c r="AN65" i="32"/>
  <c r="AN34" i="32"/>
  <c r="AN27" i="32"/>
  <c r="AN59" i="32"/>
  <c r="AN29" i="32"/>
  <c r="AN38" i="32"/>
  <c r="AN43" i="32"/>
  <c r="AN51" i="32"/>
  <c r="AN45" i="32"/>
  <c r="AN40" i="32"/>
  <c r="AN57" i="32"/>
  <c r="AN88" i="32"/>
  <c r="AN58" i="32"/>
  <c r="AN30" i="32"/>
  <c r="AN52" i="32"/>
  <c r="AX150" i="69"/>
  <c r="AG167" i="57"/>
  <c r="L167" i="57"/>
  <c r="O107" i="50"/>
  <c r="AJ166" i="57"/>
  <c r="AP166" i="57"/>
  <c r="AV149" i="65"/>
  <c r="AH166" i="53"/>
  <c r="AT166" i="53"/>
  <c r="AG166" i="53"/>
  <c r="N167" i="57"/>
  <c r="I167" i="53"/>
  <c r="N167" i="53"/>
  <c r="AH150" i="69"/>
  <c r="AJ105" i="50"/>
  <c r="C105" i="50"/>
  <c r="AD166" i="57"/>
  <c r="Q166" i="53"/>
  <c r="AD166" i="53"/>
  <c r="V105" i="50"/>
  <c r="S106" i="50"/>
  <c r="S96" i="32"/>
  <c r="V96" i="32" s="1"/>
  <c r="S95" i="32"/>
  <c r="C167" i="53"/>
  <c r="L167" i="53"/>
  <c r="P167" i="53"/>
  <c r="K167" i="53"/>
  <c r="E167" i="53"/>
  <c r="M167" i="53"/>
  <c r="J167" i="53"/>
  <c r="H167" i="53"/>
  <c r="F167" i="53"/>
  <c r="D167" i="53"/>
  <c r="AK166" i="52" a="1"/>
  <c r="AK166" i="52" s="1"/>
  <c r="B168" i="53" s="1"/>
  <c r="O168" i="53" s="1"/>
  <c r="G167" i="53"/>
  <c r="H107" i="50"/>
  <c r="A107" i="50"/>
  <c r="Q107" i="50" s="1"/>
  <c r="P107" i="50" s="1"/>
  <c r="B107" i="50"/>
  <c r="R107" i="50" s="1"/>
  <c r="J107" i="50"/>
  <c r="G107" i="50"/>
  <c r="F107" i="50"/>
  <c r="K107" i="50"/>
  <c r="N107" i="50"/>
  <c r="I107" i="50"/>
  <c r="M107" i="50"/>
  <c r="L107" i="50"/>
  <c r="I167" i="57"/>
  <c r="F167" i="57"/>
  <c r="D167" i="57"/>
  <c r="C167" i="57"/>
  <c r="M167" i="57" s="1"/>
  <c r="H167" i="57"/>
  <c r="K167" i="57"/>
  <c r="G167" i="57"/>
  <c r="E167" i="57"/>
  <c r="P167" i="57"/>
  <c r="J167" i="57"/>
  <c r="W105" i="50"/>
  <c r="X105" i="50" s="1"/>
  <c r="Z105" i="50"/>
  <c r="Q166" i="57"/>
  <c r="T166" i="57" s="1"/>
  <c r="E97" i="32"/>
  <c r="AK166" i="55" a="1"/>
  <c r="AK166" i="55" s="1"/>
  <c r="B168" i="57" s="1"/>
  <c r="O168" i="57" s="1"/>
  <c r="AN152" i="67" a="1"/>
  <c r="AN152" i="67" s="1"/>
  <c r="B153" i="69"/>
  <c r="C152" i="69"/>
  <c r="R150" i="69"/>
  <c r="S150" i="69" s="1"/>
  <c r="Y150" i="69" s="1"/>
  <c r="U150" i="69"/>
  <c r="AE150" i="69"/>
  <c r="Q150" i="69"/>
  <c r="D151" i="69"/>
  <c r="E151" i="69" s="1"/>
  <c r="F151" i="69" s="1"/>
  <c r="G151" i="69" s="1"/>
  <c r="H151" i="69" s="1"/>
  <c r="I151" i="69" s="1"/>
  <c r="J151" i="69" s="1"/>
  <c r="K151" i="69" s="1"/>
  <c r="M151" i="69" s="1"/>
  <c r="N151" i="69"/>
  <c r="AF151" i="69" s="1"/>
  <c r="R149" i="65"/>
  <c r="S149" i="65" s="1"/>
  <c r="U149" i="65"/>
  <c r="AW77" i="22"/>
  <c r="AK4" i="22"/>
  <c r="AL97" i="11" a="1"/>
  <c r="AL97" i="11" s="1"/>
  <c r="E98" i="32" s="1"/>
  <c r="AL107" i="59" a="1"/>
  <c r="AL107" i="59" s="1"/>
  <c r="E108" i="50" s="1"/>
  <c r="AB165" i="57" l="1"/>
  <c r="AA165" i="57"/>
  <c r="AH21" i="32"/>
  <c r="AI21" i="32" s="1"/>
  <c r="AK21" i="32"/>
  <c r="AL21" i="32" s="1"/>
  <c r="AH20" i="32"/>
  <c r="AI20" i="32" s="1"/>
  <c r="AK20" i="32"/>
  <c r="AL20" i="32" s="1"/>
  <c r="AH19" i="32"/>
  <c r="AI19" i="32" s="1"/>
  <c r="AK19" i="32"/>
  <c r="AL19" i="32" s="1"/>
  <c r="AH18" i="32"/>
  <c r="AI18" i="32" s="1"/>
  <c r="AK18" i="32"/>
  <c r="AL18" i="32" s="1"/>
  <c r="AH17" i="32"/>
  <c r="AI17" i="32" s="1"/>
  <c r="AK17" i="32"/>
  <c r="AL17" i="32" s="1"/>
  <c r="AH16" i="32"/>
  <c r="AI16" i="32" s="1"/>
  <c r="AK16" i="32"/>
  <c r="AL16" i="32" s="1"/>
  <c r="AH14" i="32"/>
  <c r="AK14" i="32"/>
  <c r="AL14" i="32" s="1"/>
  <c r="AB150" i="69"/>
  <c r="AC150" i="69" s="1"/>
  <c r="AD150" i="69" s="1"/>
  <c r="AG150" i="69"/>
  <c r="AO152" i="69"/>
  <c r="P152" i="69"/>
  <c r="L153" i="69"/>
  <c r="O153" i="69"/>
  <c r="T108" i="50"/>
  <c r="AK108" i="50"/>
  <c r="X166" i="57"/>
  <c r="AB166" i="53"/>
  <c r="AA166" i="53"/>
  <c r="AE167" i="53"/>
  <c r="AC167" i="53"/>
  <c r="AF166" i="53"/>
  <c r="AK98" i="32"/>
  <c r="T98" i="32"/>
  <c r="AK97" i="32"/>
  <c r="T97" i="32"/>
  <c r="AD95" i="32"/>
  <c r="AD96" i="32"/>
  <c r="AF165" i="57"/>
  <c r="AE167" i="57"/>
  <c r="AC167" i="57"/>
  <c r="AM107" i="50"/>
  <c r="U107" i="50"/>
  <c r="AD106" i="50"/>
  <c r="AG106" i="50" s="1"/>
  <c r="AH106" i="50" s="1"/>
  <c r="AI106" i="50" s="1"/>
  <c r="AG13" i="32"/>
  <c r="AG94" i="32"/>
  <c r="AH94" i="32" s="1"/>
  <c r="AL94" i="32"/>
  <c r="AI23" i="32"/>
  <c r="AN23" i="32" s="1"/>
  <c r="AI22" i="32"/>
  <c r="AN22" i="32" s="1"/>
  <c r="AN93" i="32"/>
  <c r="AP104" i="50"/>
  <c r="R167" i="57"/>
  <c r="R167" i="53"/>
  <c r="X167" i="53" s="1"/>
  <c r="AL105" i="50"/>
  <c r="AI24" i="32"/>
  <c r="AX151" i="69"/>
  <c r="AG168" i="57"/>
  <c r="L168" i="57"/>
  <c r="O108" i="50"/>
  <c r="AJ167" i="57"/>
  <c r="AP167" i="57"/>
  <c r="AG167" i="53"/>
  <c r="AH167" i="53"/>
  <c r="AT167" i="53"/>
  <c r="N168" i="57"/>
  <c r="E168" i="53"/>
  <c r="N168" i="53"/>
  <c r="AH151" i="69"/>
  <c r="C95" i="32"/>
  <c r="V95" i="32"/>
  <c r="AJ106" i="50"/>
  <c r="C106" i="50"/>
  <c r="AJ96" i="32"/>
  <c r="C96" i="32"/>
  <c r="AD167" i="57"/>
  <c r="AD167" i="53"/>
  <c r="AJ95" i="32"/>
  <c r="V106" i="50"/>
  <c r="S107" i="50"/>
  <c r="AK167" i="52" a="1"/>
  <c r="AK167" i="52" s="1"/>
  <c r="B169" i="53" s="1"/>
  <c r="O169" i="53" s="1"/>
  <c r="J168" i="53"/>
  <c r="Q167" i="53"/>
  <c r="F168" i="53"/>
  <c r="L168" i="53"/>
  <c r="M168" i="53"/>
  <c r="I168" i="53"/>
  <c r="D168" i="53"/>
  <c r="H168" i="53"/>
  <c r="C168" i="53"/>
  <c r="G168" i="53"/>
  <c r="P168" i="53"/>
  <c r="K168" i="53"/>
  <c r="A97" i="32"/>
  <c r="B97" i="32"/>
  <c r="R97" i="32" s="1"/>
  <c r="A98" i="32"/>
  <c r="B98" i="32"/>
  <c r="R98" i="32" s="1"/>
  <c r="K108" i="50"/>
  <c r="M108" i="50"/>
  <c r="I108" i="50"/>
  <c r="G108" i="50"/>
  <c r="B108" i="50"/>
  <c r="R108" i="50" s="1"/>
  <c r="L108" i="50"/>
  <c r="F108" i="50"/>
  <c r="H108" i="50"/>
  <c r="J108" i="50"/>
  <c r="A108" i="50"/>
  <c r="Q108" i="50" s="1"/>
  <c r="P108" i="50" s="1"/>
  <c r="N108" i="50"/>
  <c r="I97" i="32"/>
  <c r="J97" i="32"/>
  <c r="L97" i="32"/>
  <c r="F97" i="32"/>
  <c r="AM97" i="32" s="1"/>
  <c r="N97" i="32"/>
  <c r="H97" i="32"/>
  <c r="K97" i="32"/>
  <c r="O97" i="32"/>
  <c r="G97" i="32"/>
  <c r="M97" i="32"/>
  <c r="G98" i="32"/>
  <c r="O98" i="32"/>
  <c r="H98" i="32"/>
  <c r="J98" i="32"/>
  <c r="L98" i="32"/>
  <c r="I98" i="32"/>
  <c r="N98" i="32"/>
  <c r="F98" i="32"/>
  <c r="AM98" i="32" s="1"/>
  <c r="K98" i="32"/>
  <c r="M98" i="32"/>
  <c r="Z95" i="32"/>
  <c r="W95" i="32"/>
  <c r="X95" i="32" s="1"/>
  <c r="Q167" i="57"/>
  <c r="T167" i="57" s="1"/>
  <c r="H168" i="57"/>
  <c r="F168" i="57"/>
  <c r="D168" i="57"/>
  <c r="P168" i="57"/>
  <c r="C168" i="57"/>
  <c r="M168" i="57" s="1"/>
  <c r="K168" i="57"/>
  <c r="J168" i="57"/>
  <c r="E168" i="57"/>
  <c r="G168" i="57"/>
  <c r="I168" i="57"/>
  <c r="Z106" i="50"/>
  <c r="W106" i="50"/>
  <c r="X106" i="50" s="1"/>
  <c r="AK167" i="55" a="1"/>
  <c r="AK167" i="55" s="1"/>
  <c r="B169" i="57" s="1"/>
  <c r="O169" i="57" s="1"/>
  <c r="W96" i="32"/>
  <c r="X96" i="32" s="1"/>
  <c r="Z96" i="32"/>
  <c r="C153" i="69"/>
  <c r="AE151" i="69"/>
  <c r="U151" i="69"/>
  <c r="R151" i="69"/>
  <c r="S151" i="69" s="1"/>
  <c r="Y151" i="69" s="1"/>
  <c r="Q151" i="69"/>
  <c r="D152" i="69"/>
  <c r="E152" i="69" s="1"/>
  <c r="F152" i="69" s="1"/>
  <c r="G152" i="69" s="1"/>
  <c r="H152" i="69" s="1"/>
  <c r="I152" i="69" s="1"/>
  <c r="J152" i="69" s="1"/>
  <c r="K152" i="69" s="1"/>
  <c r="M152" i="69" s="1"/>
  <c r="N152" i="69"/>
  <c r="AF152" i="69" s="1"/>
  <c r="AN153" i="67" a="1"/>
  <c r="AN153" i="67" s="1"/>
  <c r="B154" i="69"/>
  <c r="AL98" i="11" a="1"/>
  <c r="AL98" i="11" s="1"/>
  <c r="E99" i="32" s="1"/>
  <c r="AL108" i="59" a="1"/>
  <c r="AL108" i="59" s="1"/>
  <c r="E109" i="50" s="1"/>
  <c r="AB166" i="57" l="1"/>
  <c r="AA166" i="57"/>
  <c r="AN21" i="32"/>
  <c r="AN20" i="32"/>
  <c r="AN19" i="32"/>
  <c r="AN18" i="32"/>
  <c r="AN17" i="32"/>
  <c r="AN16" i="32"/>
  <c r="X167" i="57"/>
  <c r="AH13" i="32"/>
  <c r="AK13" i="32"/>
  <c r="AL13" i="32" s="1"/>
  <c r="AB151" i="69"/>
  <c r="AC151" i="69" s="1"/>
  <c r="AD151" i="69" s="1"/>
  <c r="AG151" i="69"/>
  <c r="AO153" i="69"/>
  <c r="P153" i="69"/>
  <c r="L154" i="69"/>
  <c r="O154" i="69"/>
  <c r="T109" i="50"/>
  <c r="AK109" i="50"/>
  <c r="AF166" i="57"/>
  <c r="AC168" i="53"/>
  <c r="AE168" i="53"/>
  <c r="AB167" i="53"/>
  <c r="AA167" i="53"/>
  <c r="AF167" i="53"/>
  <c r="AK99" i="32"/>
  <c r="T99" i="32"/>
  <c r="AE168" i="57"/>
  <c r="AC168" i="57"/>
  <c r="AD107" i="50"/>
  <c r="AG107" i="50" s="1"/>
  <c r="AH107" i="50" s="1"/>
  <c r="AI107" i="50" s="1"/>
  <c r="AM108" i="50"/>
  <c r="U108" i="50"/>
  <c r="AG96" i="32"/>
  <c r="AH96" i="32" s="1"/>
  <c r="AL96" i="32"/>
  <c r="U98" i="32"/>
  <c r="U97" i="32"/>
  <c r="AG15" i="32"/>
  <c r="AI94" i="32"/>
  <c r="AN94" i="32" s="1"/>
  <c r="AP105" i="50"/>
  <c r="R168" i="57"/>
  <c r="R168" i="53"/>
  <c r="X168" i="53" s="1"/>
  <c r="AL106" i="50"/>
  <c r="Q98" i="32"/>
  <c r="P98" i="32" s="1"/>
  <c r="Q97" i="32"/>
  <c r="P97" i="32" s="1"/>
  <c r="AI14" i="32"/>
  <c r="AN24" i="32"/>
  <c r="AX152" i="69"/>
  <c r="AG169" i="57"/>
  <c r="L169" i="57"/>
  <c r="O109" i="50"/>
  <c r="AJ168" i="57"/>
  <c r="AP168" i="57"/>
  <c r="AH168" i="53"/>
  <c r="AT168" i="53"/>
  <c r="AG168" i="53"/>
  <c r="N169" i="57"/>
  <c r="K169" i="53"/>
  <c r="N169" i="53"/>
  <c r="AH152" i="69"/>
  <c r="AJ107" i="50"/>
  <c r="C107" i="50"/>
  <c r="AD168" i="57"/>
  <c r="Q168" i="53"/>
  <c r="AD168" i="53"/>
  <c r="S108" i="50"/>
  <c r="V107" i="50"/>
  <c r="S98" i="32"/>
  <c r="V98" i="32" s="1"/>
  <c r="S97" i="32"/>
  <c r="AK168" i="52" a="1"/>
  <c r="AK168" i="52" s="1"/>
  <c r="B170" i="53" s="1"/>
  <c r="O170" i="53" s="1"/>
  <c r="I169" i="53"/>
  <c r="P169" i="53"/>
  <c r="D169" i="53"/>
  <c r="M169" i="53"/>
  <c r="G169" i="53"/>
  <c r="J169" i="53"/>
  <c r="H169" i="53"/>
  <c r="F169" i="53"/>
  <c r="L169" i="53"/>
  <c r="E169" i="53"/>
  <c r="C169" i="53"/>
  <c r="A99" i="32"/>
  <c r="B99" i="32"/>
  <c r="R99" i="32" s="1"/>
  <c r="N109" i="50"/>
  <c r="M109" i="50"/>
  <c r="F109" i="50"/>
  <c r="G109" i="50"/>
  <c r="H109" i="50"/>
  <c r="L109" i="50"/>
  <c r="B109" i="50"/>
  <c r="R109" i="50" s="1"/>
  <c r="J109" i="50"/>
  <c r="I109" i="50"/>
  <c r="A109" i="50"/>
  <c r="Q109" i="50" s="1"/>
  <c r="P109" i="50" s="1"/>
  <c r="K109" i="50"/>
  <c r="M99" i="32"/>
  <c r="F99" i="32"/>
  <c r="AM99" i="32" s="1"/>
  <c r="N99" i="32"/>
  <c r="H99" i="32"/>
  <c r="J99" i="32"/>
  <c r="O99" i="32"/>
  <c r="G99" i="32"/>
  <c r="L99" i="32"/>
  <c r="K99" i="32"/>
  <c r="I99" i="32"/>
  <c r="W107" i="50"/>
  <c r="X107" i="50" s="1"/>
  <c r="Z107" i="50"/>
  <c r="Q168" i="57"/>
  <c r="T168" i="57" s="1"/>
  <c r="P169" i="57"/>
  <c r="J169" i="57"/>
  <c r="E169" i="57"/>
  <c r="C169" i="57"/>
  <c r="M169" i="57" s="1"/>
  <c r="F169" i="57"/>
  <c r="H169" i="57"/>
  <c r="I169" i="57"/>
  <c r="D169" i="57"/>
  <c r="K169" i="57"/>
  <c r="G169" i="57"/>
  <c r="AK168" i="55" a="1"/>
  <c r="AK168" i="55" s="1"/>
  <c r="B170" i="57" s="1"/>
  <c r="O170" i="57" s="1"/>
  <c r="AN154" i="67" a="1"/>
  <c r="AN154" i="67" s="1"/>
  <c r="B155" i="69"/>
  <c r="U152" i="69"/>
  <c r="AE152" i="69"/>
  <c r="Q152" i="69"/>
  <c r="R152" i="69"/>
  <c r="S152" i="69" s="1"/>
  <c r="Y152" i="69" s="1"/>
  <c r="C154" i="69"/>
  <c r="D153" i="69"/>
  <c r="E153" i="69" s="1"/>
  <c r="F153" i="69" s="1"/>
  <c r="G153" i="69" s="1"/>
  <c r="H153" i="69" s="1"/>
  <c r="I153" i="69" s="1"/>
  <c r="J153" i="69" s="1"/>
  <c r="K153" i="69" s="1"/>
  <c r="M153" i="69" s="1"/>
  <c r="N153" i="69"/>
  <c r="AF153" i="69" s="1"/>
  <c r="AL99" i="11" a="1"/>
  <c r="AL99" i="11" s="1"/>
  <c r="E100" i="32" s="1"/>
  <c r="AL109" i="59" a="1"/>
  <c r="AL109" i="59" s="1"/>
  <c r="E110" i="50" s="1"/>
  <c r="AB167" i="57" l="1"/>
  <c r="AA167" i="57"/>
  <c r="AH15" i="32"/>
  <c r="AK15" i="32"/>
  <c r="AL15" i="32" s="1"/>
  <c r="AF167" i="57"/>
  <c r="AB152" i="69"/>
  <c r="AC152" i="69" s="1"/>
  <c r="AD152" i="69" s="1"/>
  <c r="AG152" i="69"/>
  <c r="AO154" i="69"/>
  <c r="P154" i="69"/>
  <c r="L155" i="69"/>
  <c r="O155" i="69"/>
  <c r="X168" i="57"/>
  <c r="AA168" i="57" s="1"/>
  <c r="T110" i="50"/>
  <c r="AK110" i="50"/>
  <c r="AC169" i="53"/>
  <c r="AE169" i="53"/>
  <c r="AF168" i="53"/>
  <c r="AB168" i="53"/>
  <c r="AA168" i="53"/>
  <c r="AK100" i="32"/>
  <c r="T100" i="32"/>
  <c r="AD98" i="32"/>
  <c r="AD97" i="32"/>
  <c r="AC169" i="57"/>
  <c r="AE169" i="57"/>
  <c r="AM109" i="50"/>
  <c r="U109" i="50"/>
  <c r="AD108" i="50"/>
  <c r="AG108" i="50" s="1"/>
  <c r="AH108" i="50" s="1"/>
  <c r="AI108" i="50" s="1"/>
  <c r="AG95" i="32"/>
  <c r="AH95" i="32" s="1"/>
  <c r="AL95" i="32"/>
  <c r="U99" i="32"/>
  <c r="AI96" i="32"/>
  <c r="AP106" i="50"/>
  <c r="AI13" i="32"/>
  <c r="R169" i="57"/>
  <c r="R169" i="53"/>
  <c r="X169" i="53" s="1"/>
  <c r="AL107" i="50"/>
  <c r="Q99" i="32"/>
  <c r="P99" i="32" s="1"/>
  <c r="AN14" i="32"/>
  <c r="AX153" i="69"/>
  <c r="AG170" i="57"/>
  <c r="L170" i="57"/>
  <c r="O110" i="50"/>
  <c r="AJ169" i="57"/>
  <c r="AP169" i="57"/>
  <c r="AG169" i="53"/>
  <c r="AH169" i="53"/>
  <c r="AT169" i="53"/>
  <c r="N170" i="57"/>
  <c r="N170" i="53"/>
  <c r="AH153" i="69"/>
  <c r="C97" i="32"/>
  <c r="V97" i="32"/>
  <c r="AJ108" i="50"/>
  <c r="C108" i="50"/>
  <c r="AJ98" i="32"/>
  <c r="C98" i="32"/>
  <c r="AD169" i="57"/>
  <c r="AD169" i="53"/>
  <c r="Q169" i="53"/>
  <c r="AJ97" i="32"/>
  <c r="S109" i="50"/>
  <c r="V108" i="50"/>
  <c r="S99" i="32"/>
  <c r="V99" i="32" s="1"/>
  <c r="AK169" i="52" a="1"/>
  <c r="AK169" i="52" s="1"/>
  <c r="B171" i="53" s="1"/>
  <c r="O171" i="53" s="1"/>
  <c r="G170" i="53"/>
  <c r="P170" i="53"/>
  <c r="K170" i="53"/>
  <c r="J170" i="53"/>
  <c r="H170" i="53"/>
  <c r="D170" i="53"/>
  <c r="L170" i="53"/>
  <c r="E170" i="53"/>
  <c r="M170" i="53"/>
  <c r="F170" i="53"/>
  <c r="C170" i="53"/>
  <c r="I170" i="53"/>
  <c r="A100" i="32"/>
  <c r="B100" i="32"/>
  <c r="R100" i="32" s="1"/>
  <c r="A110" i="50"/>
  <c r="Q110" i="50" s="1"/>
  <c r="P110" i="50" s="1"/>
  <c r="N110" i="50"/>
  <c r="J110" i="50"/>
  <c r="K110" i="50"/>
  <c r="F110" i="50"/>
  <c r="I110" i="50"/>
  <c r="H110" i="50"/>
  <c r="G110" i="50"/>
  <c r="M110" i="50"/>
  <c r="L110" i="50"/>
  <c r="B110" i="50"/>
  <c r="R110" i="50" s="1"/>
  <c r="K100" i="32"/>
  <c r="L100" i="32"/>
  <c r="F100" i="32"/>
  <c r="AM100" i="32" s="1"/>
  <c r="N100" i="32"/>
  <c r="H100" i="32"/>
  <c r="J100" i="32"/>
  <c r="M100" i="32"/>
  <c r="G100" i="32"/>
  <c r="I100" i="32"/>
  <c r="O100" i="32"/>
  <c r="W97" i="32"/>
  <c r="X97" i="32" s="1"/>
  <c r="Z97" i="32"/>
  <c r="J170" i="57"/>
  <c r="G170" i="57"/>
  <c r="D170" i="57"/>
  <c r="P170" i="57"/>
  <c r="H170" i="57"/>
  <c r="C170" i="57"/>
  <c r="M170" i="57" s="1"/>
  <c r="I170" i="57"/>
  <c r="F170" i="57"/>
  <c r="E170" i="57"/>
  <c r="K170" i="57"/>
  <c r="Q169" i="57"/>
  <c r="T169" i="57" s="1"/>
  <c r="W108" i="50"/>
  <c r="X108" i="50" s="1"/>
  <c r="Z108" i="50"/>
  <c r="AK169" i="55" a="1"/>
  <c r="AK169" i="55" s="1"/>
  <c r="B171" i="57" s="1"/>
  <c r="O171" i="57" s="1"/>
  <c r="W98" i="32"/>
  <c r="X98" i="32" s="1"/>
  <c r="Z98" i="32"/>
  <c r="C155" i="69"/>
  <c r="D154" i="69"/>
  <c r="E154" i="69" s="1"/>
  <c r="F154" i="69" s="1"/>
  <c r="G154" i="69" s="1"/>
  <c r="H154" i="69" s="1"/>
  <c r="I154" i="69" s="1"/>
  <c r="J154" i="69" s="1"/>
  <c r="K154" i="69" s="1"/>
  <c r="M154" i="69" s="1"/>
  <c r="N154" i="69"/>
  <c r="AF154" i="69" s="1"/>
  <c r="Q153" i="69"/>
  <c r="AE153" i="69"/>
  <c r="U153" i="69"/>
  <c r="R153" i="69"/>
  <c r="S153" i="69" s="1"/>
  <c r="Y153" i="69" s="1"/>
  <c r="AN155" i="67" a="1"/>
  <c r="AN155" i="67" s="1"/>
  <c r="B156" i="69"/>
  <c r="AL100" i="11" a="1"/>
  <c r="AL100" i="11" s="1"/>
  <c r="E101" i="32" s="1"/>
  <c r="AL110" i="59" a="1"/>
  <c r="AL110" i="59" s="1"/>
  <c r="E111" i="50" s="1"/>
  <c r="AI15" i="32" l="1"/>
  <c r="AB153" i="69"/>
  <c r="AC153" i="69" s="1"/>
  <c r="AD153" i="69" s="1"/>
  <c r="AG153" i="69"/>
  <c r="L156" i="69"/>
  <c r="O156" i="69"/>
  <c r="AO155" i="69"/>
  <c r="P155" i="69"/>
  <c r="AB168" i="57"/>
  <c r="AF168" i="57"/>
  <c r="AK111" i="50"/>
  <c r="T111" i="50"/>
  <c r="AB169" i="53"/>
  <c r="AA169" i="53"/>
  <c r="AC170" i="53"/>
  <c r="AE170" i="53"/>
  <c r="AF169" i="53"/>
  <c r="AK101" i="32"/>
  <c r="T101" i="32"/>
  <c r="AD99" i="32"/>
  <c r="X169" i="57"/>
  <c r="AE170" i="57"/>
  <c r="AC170" i="57"/>
  <c r="AD109" i="50"/>
  <c r="AG109" i="50" s="1"/>
  <c r="AH109" i="50" s="1"/>
  <c r="AI109" i="50" s="1"/>
  <c r="AM110" i="50"/>
  <c r="U110" i="50"/>
  <c r="U100" i="32"/>
  <c r="AN96" i="32"/>
  <c r="AI95" i="32"/>
  <c r="AN95" i="32" s="1"/>
  <c r="AP107" i="50"/>
  <c r="R170" i="57"/>
  <c r="R170" i="53"/>
  <c r="X170" i="53" s="1"/>
  <c r="AL108" i="50"/>
  <c r="Q100" i="32"/>
  <c r="P100" i="32" s="1"/>
  <c r="AN13" i="32"/>
  <c r="AX154" i="69"/>
  <c r="AG171" i="57"/>
  <c r="L171" i="57"/>
  <c r="O111" i="50"/>
  <c r="AJ170" i="57"/>
  <c r="AP170" i="57"/>
  <c r="AG170" i="53"/>
  <c r="AH170" i="53"/>
  <c r="AT170" i="53"/>
  <c r="N171" i="57"/>
  <c r="N171" i="53"/>
  <c r="AH154" i="69"/>
  <c r="AJ109" i="50"/>
  <c r="C109" i="50"/>
  <c r="AJ99" i="32"/>
  <c r="C99" i="32"/>
  <c r="AD170" i="57"/>
  <c r="AD170" i="53"/>
  <c r="V109" i="50"/>
  <c r="S110" i="50"/>
  <c r="S100" i="32"/>
  <c r="V100" i="32" s="1"/>
  <c r="AK170" i="52" a="1"/>
  <c r="AK170" i="52" s="1"/>
  <c r="B172" i="53" s="1"/>
  <c r="O172" i="53" s="1"/>
  <c r="Q170" i="53"/>
  <c r="I171" i="53"/>
  <c r="G171" i="53"/>
  <c r="M171" i="53"/>
  <c r="C171" i="53"/>
  <c r="K171" i="53"/>
  <c r="E171" i="53"/>
  <c r="J171" i="53"/>
  <c r="F171" i="53"/>
  <c r="H171" i="53"/>
  <c r="D171" i="53"/>
  <c r="L171" i="53"/>
  <c r="P171" i="53"/>
  <c r="A101" i="32"/>
  <c r="B101" i="32"/>
  <c r="R101" i="32" s="1"/>
  <c r="A111" i="50"/>
  <c r="Q111" i="50" s="1"/>
  <c r="P111" i="50" s="1"/>
  <c r="M111" i="50"/>
  <c r="J111" i="50"/>
  <c r="L111" i="50"/>
  <c r="N111" i="50"/>
  <c r="F111" i="50"/>
  <c r="G111" i="50"/>
  <c r="B111" i="50"/>
  <c r="R111" i="50" s="1"/>
  <c r="K111" i="50"/>
  <c r="I111" i="50"/>
  <c r="H111" i="50"/>
  <c r="I101" i="32"/>
  <c r="J101" i="32"/>
  <c r="L101" i="32"/>
  <c r="F101" i="32"/>
  <c r="AM101" i="32" s="1"/>
  <c r="N101" i="32"/>
  <c r="K101" i="32"/>
  <c r="H101" i="32"/>
  <c r="M101" i="32"/>
  <c r="G101" i="32"/>
  <c r="O101" i="32"/>
  <c r="Z109" i="50"/>
  <c r="W109" i="50"/>
  <c r="X109" i="50" s="1"/>
  <c r="Q170" i="57"/>
  <c r="T170" i="57" s="1"/>
  <c r="H171" i="57"/>
  <c r="D171" i="57"/>
  <c r="P171" i="57"/>
  <c r="J171" i="57"/>
  <c r="K171" i="57"/>
  <c r="G171" i="57"/>
  <c r="C171" i="57"/>
  <c r="M171" i="57" s="1"/>
  <c r="I171" i="57"/>
  <c r="F171" i="57"/>
  <c r="E171" i="57"/>
  <c r="AK170" i="55" a="1"/>
  <c r="AK170" i="55" s="1"/>
  <c r="B172" i="57" s="1"/>
  <c r="O172" i="57" s="1"/>
  <c r="W99" i="32"/>
  <c r="X99" i="32" s="1"/>
  <c r="Z99" i="32"/>
  <c r="AN156" i="67" a="1"/>
  <c r="AN156" i="67" s="1"/>
  <c r="B157" i="69"/>
  <c r="N155" i="69"/>
  <c r="AF155" i="69" s="1"/>
  <c r="D155" i="69"/>
  <c r="E155" i="69" s="1"/>
  <c r="F155" i="69" s="1"/>
  <c r="G155" i="69" s="1"/>
  <c r="H155" i="69" s="1"/>
  <c r="I155" i="69" s="1"/>
  <c r="J155" i="69" s="1"/>
  <c r="K155" i="69" s="1"/>
  <c r="M155" i="69" s="1"/>
  <c r="C156" i="69"/>
  <c r="R154" i="69"/>
  <c r="S154" i="69" s="1"/>
  <c r="Y154" i="69" s="1"/>
  <c r="U154" i="69"/>
  <c r="Q154" i="69"/>
  <c r="AE154" i="69"/>
  <c r="AL101" i="11" a="1"/>
  <c r="AL101" i="11" s="1"/>
  <c r="E102" i="32" s="1"/>
  <c r="AL111" i="59" a="1"/>
  <c r="AL111" i="59" s="1"/>
  <c r="E112" i="50" s="1"/>
  <c r="AB169" i="57" l="1"/>
  <c r="AA169" i="57"/>
  <c r="AN15" i="32"/>
  <c r="AB154" i="69"/>
  <c r="AC154" i="69" s="1"/>
  <c r="AD154" i="69" s="1"/>
  <c r="AG154" i="69"/>
  <c r="L157" i="69"/>
  <c r="O157" i="69"/>
  <c r="AO156" i="69"/>
  <c r="P156" i="69"/>
  <c r="AK112" i="50"/>
  <c r="T112" i="50"/>
  <c r="X170" i="57"/>
  <c r="AB170" i="53"/>
  <c r="AA170" i="53"/>
  <c r="AF170" i="53"/>
  <c r="AE171" i="53"/>
  <c r="AC171" i="53"/>
  <c r="AK102" i="32"/>
  <c r="T102" i="32"/>
  <c r="AD100" i="32"/>
  <c r="AF169" i="57"/>
  <c r="AE171" i="57"/>
  <c r="AC171" i="57"/>
  <c r="AM111" i="50"/>
  <c r="U111" i="50"/>
  <c r="AD110" i="50"/>
  <c r="AG110" i="50" s="1"/>
  <c r="AH110" i="50" s="1"/>
  <c r="AI110" i="50" s="1"/>
  <c r="U101" i="32"/>
  <c r="AG98" i="32"/>
  <c r="AH98" i="32" s="1"/>
  <c r="AL98" i="32"/>
  <c r="AG97" i="32"/>
  <c r="AH97" i="32" s="1"/>
  <c r="AL97" i="32"/>
  <c r="AP108" i="50"/>
  <c r="R171" i="57"/>
  <c r="R171" i="53"/>
  <c r="X171" i="53" s="1"/>
  <c r="AL109" i="50"/>
  <c r="Q101" i="32"/>
  <c r="P101" i="32" s="1"/>
  <c r="AX155" i="69"/>
  <c r="AG172" i="57"/>
  <c r="L172" i="57"/>
  <c r="O112" i="50"/>
  <c r="AJ171" i="57"/>
  <c r="AP171" i="57"/>
  <c r="AG171" i="53"/>
  <c r="AH171" i="53"/>
  <c r="AT171" i="53"/>
  <c r="N172" i="57"/>
  <c r="N172" i="53"/>
  <c r="AH155" i="69"/>
  <c r="AJ110" i="50"/>
  <c r="C110" i="50"/>
  <c r="AJ100" i="32"/>
  <c r="C100" i="32"/>
  <c r="AD171" i="57"/>
  <c r="AD171" i="53"/>
  <c r="V110" i="50"/>
  <c r="S111" i="50"/>
  <c r="S101" i="32"/>
  <c r="V101" i="32" s="1"/>
  <c r="Q171" i="53"/>
  <c r="AK171" i="52" a="1"/>
  <c r="AK171" i="52" s="1"/>
  <c r="B173" i="53" s="1"/>
  <c r="O173" i="53" s="1"/>
  <c r="H172" i="53"/>
  <c r="L172" i="53"/>
  <c r="F172" i="53"/>
  <c r="G172" i="53"/>
  <c r="C172" i="53"/>
  <c r="E172" i="53"/>
  <c r="J172" i="53"/>
  <c r="I172" i="53"/>
  <c r="K172" i="53"/>
  <c r="D172" i="53"/>
  <c r="P172" i="53"/>
  <c r="M172" i="53"/>
  <c r="A102" i="32"/>
  <c r="B102" i="32"/>
  <c r="R102" i="32" s="1"/>
  <c r="G112" i="50"/>
  <c r="I112" i="50"/>
  <c r="M112" i="50"/>
  <c r="L112" i="50"/>
  <c r="J112" i="50"/>
  <c r="H112" i="50"/>
  <c r="A112" i="50"/>
  <c r="Q112" i="50" s="1"/>
  <c r="P112" i="50" s="1"/>
  <c r="B112" i="50"/>
  <c r="R112" i="50" s="1"/>
  <c r="N112" i="50"/>
  <c r="F112" i="50"/>
  <c r="K112" i="50"/>
  <c r="G102" i="32"/>
  <c r="O102" i="32"/>
  <c r="H102" i="32"/>
  <c r="J102" i="32"/>
  <c r="L102" i="32"/>
  <c r="F102" i="32"/>
  <c r="AM102" i="32" s="1"/>
  <c r="I102" i="32"/>
  <c r="N102" i="32"/>
  <c r="M102" i="32"/>
  <c r="K102" i="32"/>
  <c r="W110" i="50"/>
  <c r="X110" i="50" s="1"/>
  <c r="Z110" i="50"/>
  <c r="Q171" i="57"/>
  <c r="T171" i="57" s="1"/>
  <c r="F172" i="57"/>
  <c r="P172" i="57"/>
  <c r="K172" i="57"/>
  <c r="J172" i="57"/>
  <c r="E172" i="57"/>
  <c r="G172" i="57"/>
  <c r="C172" i="57"/>
  <c r="M172" i="57" s="1"/>
  <c r="I172" i="57"/>
  <c r="D172" i="57"/>
  <c r="H172" i="57"/>
  <c r="AK171" i="55" a="1"/>
  <c r="AK171" i="55" s="1"/>
  <c r="B173" i="57" s="1"/>
  <c r="O173" i="57" s="1"/>
  <c r="W100" i="32"/>
  <c r="X100" i="32" s="1"/>
  <c r="Z100" i="32"/>
  <c r="AN157" i="67" a="1"/>
  <c r="AN157" i="67" s="1"/>
  <c r="B158" i="69"/>
  <c r="AE155" i="69"/>
  <c r="Q155" i="69"/>
  <c r="R155" i="69"/>
  <c r="S155" i="69" s="1"/>
  <c r="Y155" i="69" s="1"/>
  <c r="U155" i="69"/>
  <c r="D156" i="69"/>
  <c r="E156" i="69" s="1"/>
  <c r="F156" i="69" s="1"/>
  <c r="G156" i="69" s="1"/>
  <c r="H156" i="69" s="1"/>
  <c r="I156" i="69" s="1"/>
  <c r="J156" i="69" s="1"/>
  <c r="K156" i="69" s="1"/>
  <c r="M156" i="69" s="1"/>
  <c r="N156" i="69"/>
  <c r="AF156" i="69" s="1"/>
  <c r="C157" i="69"/>
  <c r="AL102" i="11" a="1"/>
  <c r="AL102" i="11" s="1"/>
  <c r="AL112" i="59" a="1"/>
  <c r="AL112" i="59" s="1"/>
  <c r="E113" i="50" s="1"/>
  <c r="AB170" i="57" l="1"/>
  <c r="AA170" i="57"/>
  <c r="AB155" i="69"/>
  <c r="AC155" i="69" s="1"/>
  <c r="AD155" i="69" s="1"/>
  <c r="AG155" i="69"/>
  <c r="L158" i="69"/>
  <c r="O158" i="69"/>
  <c r="AO157" i="69"/>
  <c r="P157" i="69"/>
  <c r="T113" i="50"/>
  <c r="AK113" i="50"/>
  <c r="AF170" i="57"/>
  <c r="AC172" i="53"/>
  <c r="AE172" i="53"/>
  <c r="AF171" i="53"/>
  <c r="AB171" i="53"/>
  <c r="AA171" i="53"/>
  <c r="AD101" i="32"/>
  <c r="X171" i="57"/>
  <c r="AA171" i="57" s="1"/>
  <c r="AE172" i="57"/>
  <c r="AC172" i="57"/>
  <c r="AD111" i="50"/>
  <c r="AG111" i="50" s="1"/>
  <c r="AH111" i="50" s="1"/>
  <c r="AI111" i="50" s="1"/>
  <c r="AM112" i="50"/>
  <c r="U112" i="50"/>
  <c r="U102" i="32"/>
  <c r="AG99" i="32"/>
  <c r="AH99" i="32" s="1"/>
  <c r="AL99" i="32"/>
  <c r="AI98" i="32"/>
  <c r="AN98" i="32" s="1"/>
  <c r="AP109" i="50"/>
  <c r="R172" i="57"/>
  <c r="R172" i="53"/>
  <c r="X172" i="53" s="1"/>
  <c r="AL110" i="50"/>
  <c r="Q102" i="32"/>
  <c r="P102" i="32" s="1"/>
  <c r="AI97" i="32"/>
  <c r="AX156" i="69"/>
  <c r="AG173" i="57"/>
  <c r="L173" i="57"/>
  <c r="O113" i="50"/>
  <c r="AJ172" i="57"/>
  <c r="AP172" i="57"/>
  <c r="AG172" i="53"/>
  <c r="AH172" i="53"/>
  <c r="AT172" i="53"/>
  <c r="N173" i="57"/>
  <c r="J173" i="53"/>
  <c r="N173" i="53"/>
  <c r="AH156" i="69"/>
  <c r="AJ111" i="50"/>
  <c r="C111" i="50"/>
  <c r="AJ101" i="32"/>
  <c r="C101" i="32"/>
  <c r="AD172" i="57"/>
  <c r="AD172" i="53"/>
  <c r="V111" i="50"/>
  <c r="S112" i="50"/>
  <c r="S102" i="32"/>
  <c r="V102" i="32" s="1"/>
  <c r="Q172" i="53"/>
  <c r="M173" i="53"/>
  <c r="E173" i="53"/>
  <c r="P173" i="53"/>
  <c r="I173" i="53"/>
  <c r="F173" i="53"/>
  <c r="G173" i="53"/>
  <c r="H173" i="53"/>
  <c r="AK172" i="52" a="1"/>
  <c r="AK172" i="52" s="1"/>
  <c r="B174" i="53" s="1"/>
  <c r="O174" i="53" s="1"/>
  <c r="K173" i="53"/>
  <c r="D173" i="53"/>
  <c r="C173" i="53"/>
  <c r="L173" i="53"/>
  <c r="I113" i="50"/>
  <c r="M113" i="50"/>
  <c r="L113" i="50"/>
  <c r="J113" i="50"/>
  <c r="H113" i="50"/>
  <c r="B113" i="50"/>
  <c r="R113" i="50" s="1"/>
  <c r="K113" i="50"/>
  <c r="F113" i="50"/>
  <c r="G113" i="50"/>
  <c r="N113" i="50"/>
  <c r="A113" i="50"/>
  <c r="Q113" i="50" s="1"/>
  <c r="P113" i="50" s="1"/>
  <c r="Q172" i="57"/>
  <c r="T172" i="57" s="1"/>
  <c r="P173" i="57"/>
  <c r="E173" i="57"/>
  <c r="J173" i="57"/>
  <c r="F173" i="57"/>
  <c r="K173" i="57"/>
  <c r="G173" i="57"/>
  <c r="C173" i="57"/>
  <c r="M173" i="57" s="1"/>
  <c r="I173" i="57"/>
  <c r="H173" i="57"/>
  <c r="D173" i="57"/>
  <c r="W111" i="50"/>
  <c r="X111" i="50" s="1"/>
  <c r="Z111" i="50"/>
  <c r="E103" i="32"/>
  <c r="AK172" i="55" a="1"/>
  <c r="AK172" i="55" s="1"/>
  <c r="B174" i="57" s="1"/>
  <c r="O174" i="57" s="1"/>
  <c r="W101" i="32"/>
  <c r="X101" i="32" s="1"/>
  <c r="Z101" i="32"/>
  <c r="AN158" i="67" a="1"/>
  <c r="AN158" i="67" s="1"/>
  <c r="B159" i="69"/>
  <c r="Q156" i="69"/>
  <c r="R156" i="69"/>
  <c r="S156" i="69" s="1"/>
  <c r="Y156" i="69" s="1"/>
  <c r="AE156" i="69"/>
  <c r="U156" i="69"/>
  <c r="C158" i="69"/>
  <c r="D157" i="69"/>
  <c r="E157" i="69" s="1"/>
  <c r="F157" i="69" s="1"/>
  <c r="G157" i="69" s="1"/>
  <c r="H157" i="69" s="1"/>
  <c r="I157" i="69" s="1"/>
  <c r="J157" i="69" s="1"/>
  <c r="K157" i="69" s="1"/>
  <c r="M157" i="69" s="1"/>
  <c r="N157" i="69"/>
  <c r="AF157" i="69" s="1"/>
  <c r="AL103" i="11" a="1"/>
  <c r="AL103" i="11" s="1"/>
  <c r="AL113" i="59" a="1"/>
  <c r="AL113" i="59" s="1"/>
  <c r="E114" i="50" s="1"/>
  <c r="AB156" i="69" l="1"/>
  <c r="AC156" i="69" s="1"/>
  <c r="AD156" i="69" s="1"/>
  <c r="AG156" i="69"/>
  <c r="L159" i="69"/>
  <c r="O159" i="69"/>
  <c r="AO158" i="69"/>
  <c r="P158" i="69"/>
  <c r="T114" i="50"/>
  <c r="AK114" i="50"/>
  <c r="AC173" i="53"/>
  <c r="AE173" i="53"/>
  <c r="AB172" i="53"/>
  <c r="AA172" i="53"/>
  <c r="AF172" i="53"/>
  <c r="AK103" i="32"/>
  <c r="T103" i="32"/>
  <c r="AD102" i="32"/>
  <c r="AF171" i="57"/>
  <c r="AB171" i="57"/>
  <c r="X172" i="57"/>
  <c r="AE173" i="57"/>
  <c r="AC173" i="57"/>
  <c r="AM113" i="50"/>
  <c r="U113" i="50"/>
  <c r="AD112" i="50"/>
  <c r="AG112" i="50" s="1"/>
  <c r="AH112" i="50" s="1"/>
  <c r="AI112" i="50" s="1"/>
  <c r="AG100" i="32"/>
  <c r="AH100" i="32" s="1"/>
  <c r="AL100" i="32"/>
  <c r="AP110" i="50"/>
  <c r="R173" i="57"/>
  <c r="R173" i="53"/>
  <c r="X173" i="53" s="1"/>
  <c r="AL111" i="50"/>
  <c r="AI99" i="32"/>
  <c r="AN97" i="32"/>
  <c r="AX157" i="69"/>
  <c r="AG174" i="57"/>
  <c r="L174" i="57"/>
  <c r="O114" i="50"/>
  <c r="AJ173" i="57"/>
  <c r="AP173" i="57"/>
  <c r="AG173" i="53"/>
  <c r="AH173" i="53"/>
  <c r="AT173" i="53"/>
  <c r="N174" i="57"/>
  <c r="N174" i="53"/>
  <c r="AH157" i="69"/>
  <c r="AJ112" i="50"/>
  <c r="C112" i="50"/>
  <c r="AJ102" i="32"/>
  <c r="C102" i="32"/>
  <c r="AD173" i="57"/>
  <c r="Q173" i="53"/>
  <c r="AD173" i="53"/>
  <c r="S113" i="50"/>
  <c r="V112" i="50"/>
  <c r="G174" i="53"/>
  <c r="I174" i="53"/>
  <c r="L174" i="53"/>
  <c r="M174" i="53"/>
  <c r="H174" i="53"/>
  <c r="AK173" i="52" a="1"/>
  <c r="AK173" i="52" s="1"/>
  <c r="B175" i="53" s="1"/>
  <c r="O175" i="53" s="1"/>
  <c r="J174" i="53"/>
  <c r="P174" i="53"/>
  <c r="C174" i="53"/>
  <c r="K174" i="53"/>
  <c r="F174" i="53"/>
  <c r="E174" i="53"/>
  <c r="D174" i="53"/>
  <c r="A103" i="32"/>
  <c r="B103" i="32"/>
  <c r="R103" i="32" s="1"/>
  <c r="G114" i="50"/>
  <c r="K114" i="50"/>
  <c r="M114" i="50"/>
  <c r="I114" i="50"/>
  <c r="J114" i="50"/>
  <c r="L114" i="50"/>
  <c r="A114" i="50"/>
  <c r="Q114" i="50" s="1"/>
  <c r="P114" i="50" s="1"/>
  <c r="F114" i="50"/>
  <c r="N114" i="50"/>
  <c r="H114" i="50"/>
  <c r="B114" i="50"/>
  <c r="R114" i="50" s="1"/>
  <c r="M103" i="32"/>
  <c r="F103" i="32"/>
  <c r="AM103" i="32" s="1"/>
  <c r="N103" i="32"/>
  <c r="H103" i="32"/>
  <c r="J103" i="32"/>
  <c r="G103" i="32"/>
  <c r="L103" i="32"/>
  <c r="O103" i="32"/>
  <c r="I103" i="32"/>
  <c r="K103" i="32"/>
  <c r="W112" i="50"/>
  <c r="X112" i="50" s="1"/>
  <c r="Z112" i="50"/>
  <c r="J174" i="57"/>
  <c r="G174" i="57"/>
  <c r="D174" i="57"/>
  <c r="P174" i="57"/>
  <c r="K174" i="57"/>
  <c r="F174" i="57"/>
  <c r="H174" i="57"/>
  <c r="I174" i="57"/>
  <c r="E174" i="57"/>
  <c r="C174" i="57"/>
  <c r="M174" i="57" s="1"/>
  <c r="Q173" i="57"/>
  <c r="T173" i="57" s="1"/>
  <c r="E104" i="32"/>
  <c r="AK173" i="55" a="1"/>
  <c r="AK173" i="55" s="1"/>
  <c r="B175" i="57" s="1"/>
  <c r="O175" i="57" s="1"/>
  <c r="W102" i="32"/>
  <c r="X102" i="32" s="1"/>
  <c r="Z102" i="32"/>
  <c r="AN159" i="67" a="1"/>
  <c r="AN159" i="67" s="1"/>
  <c r="B160" i="69"/>
  <c r="C159" i="69"/>
  <c r="R157" i="69"/>
  <c r="S157" i="69" s="1"/>
  <c r="Y157" i="69" s="1"/>
  <c r="Q157" i="69"/>
  <c r="U157" i="69"/>
  <c r="AE157" i="69"/>
  <c r="D158" i="69"/>
  <c r="E158" i="69" s="1"/>
  <c r="F158" i="69" s="1"/>
  <c r="G158" i="69" s="1"/>
  <c r="H158" i="69" s="1"/>
  <c r="I158" i="69" s="1"/>
  <c r="J158" i="69" s="1"/>
  <c r="K158" i="69" s="1"/>
  <c r="M158" i="69" s="1"/>
  <c r="N158" i="69"/>
  <c r="AF158" i="69" s="1"/>
  <c r="AL104" i="11" a="1"/>
  <c r="AL104" i="11" s="1"/>
  <c r="E105" i="32" s="1"/>
  <c r="AL114" i="59" a="1"/>
  <c r="AL114" i="59" s="1"/>
  <c r="E115" i="50" s="1"/>
  <c r="AB172" i="57" l="1"/>
  <c r="AA172" i="57"/>
  <c r="AB157" i="69"/>
  <c r="AC157" i="69" s="1"/>
  <c r="AD157" i="69" s="1"/>
  <c r="AG157" i="69"/>
  <c r="AO159" i="69"/>
  <c r="P159" i="69"/>
  <c r="L160" i="69"/>
  <c r="O160" i="69"/>
  <c r="T115" i="50"/>
  <c r="AK115" i="50"/>
  <c r="X173" i="57"/>
  <c r="AA173" i="57" s="1"/>
  <c r="AB173" i="53"/>
  <c r="AA173" i="53"/>
  <c r="AC174" i="53"/>
  <c r="AE174" i="53"/>
  <c r="AF173" i="53"/>
  <c r="AK105" i="32"/>
  <c r="T105" i="32"/>
  <c r="AK104" i="32"/>
  <c r="T104" i="32"/>
  <c r="AF172" i="57"/>
  <c r="AE174" i="57"/>
  <c r="AC174" i="57"/>
  <c r="AM114" i="50"/>
  <c r="U114" i="50"/>
  <c r="AD113" i="50"/>
  <c r="AG113" i="50" s="1"/>
  <c r="AH113" i="50" s="1"/>
  <c r="AI113" i="50" s="1"/>
  <c r="AG101" i="32"/>
  <c r="AH101" i="32" s="1"/>
  <c r="AL101" i="32"/>
  <c r="U103" i="32"/>
  <c r="AI100" i="32"/>
  <c r="AN100" i="32" s="1"/>
  <c r="AP111" i="50"/>
  <c r="R174" i="57"/>
  <c r="R174" i="53"/>
  <c r="X174" i="53" s="1"/>
  <c r="AL112" i="50"/>
  <c r="Q103" i="32"/>
  <c r="P103" i="32" s="1"/>
  <c r="AN99" i="32"/>
  <c r="AX158" i="69"/>
  <c r="AG175" i="57"/>
  <c r="L175" i="57"/>
  <c r="O115" i="50"/>
  <c r="AJ174" i="57"/>
  <c r="AP174" i="57"/>
  <c r="AH174" i="53"/>
  <c r="AT174" i="53"/>
  <c r="AG174" i="53"/>
  <c r="N175" i="57"/>
  <c r="L175" i="53"/>
  <c r="N175" i="53"/>
  <c r="AH158" i="69"/>
  <c r="AJ113" i="50"/>
  <c r="C113" i="50"/>
  <c r="AD174" i="57"/>
  <c r="AD174" i="53"/>
  <c r="S114" i="50"/>
  <c r="V113" i="50"/>
  <c r="S103" i="32"/>
  <c r="V103" i="32" s="1"/>
  <c r="Q174" i="53"/>
  <c r="G175" i="53"/>
  <c r="I175" i="53"/>
  <c r="P175" i="53"/>
  <c r="K175" i="53"/>
  <c r="M175" i="53"/>
  <c r="D175" i="53"/>
  <c r="C175" i="53"/>
  <c r="H175" i="53"/>
  <c r="AK174" i="52" a="1"/>
  <c r="AK174" i="52" s="1"/>
  <c r="B176" i="53" s="1"/>
  <c r="O176" i="53" s="1"/>
  <c r="J175" i="53"/>
  <c r="E175" i="53"/>
  <c r="F175" i="53"/>
  <c r="A105" i="32"/>
  <c r="B105" i="32"/>
  <c r="R105" i="32" s="1"/>
  <c r="A104" i="32"/>
  <c r="B104" i="32"/>
  <c r="R104" i="32" s="1"/>
  <c r="B115" i="50"/>
  <c r="R115" i="50" s="1"/>
  <c r="K115" i="50"/>
  <c r="A115" i="50"/>
  <c r="Q115" i="50" s="1"/>
  <c r="P115" i="50" s="1"/>
  <c r="G115" i="50"/>
  <c r="M115" i="50"/>
  <c r="N115" i="50"/>
  <c r="H115" i="50"/>
  <c r="F115" i="50"/>
  <c r="J115" i="50"/>
  <c r="I115" i="50"/>
  <c r="L115" i="50"/>
  <c r="I105" i="32"/>
  <c r="J105" i="32"/>
  <c r="L105" i="32"/>
  <c r="F105" i="32"/>
  <c r="AM105" i="32" s="1"/>
  <c r="N105" i="32"/>
  <c r="H105" i="32"/>
  <c r="K105" i="32"/>
  <c r="O105" i="32"/>
  <c r="G105" i="32"/>
  <c r="M105" i="32"/>
  <c r="K104" i="32"/>
  <c r="L104" i="32"/>
  <c r="F104" i="32"/>
  <c r="AM104" i="32" s="1"/>
  <c r="N104" i="32"/>
  <c r="H104" i="32"/>
  <c r="M104" i="32"/>
  <c r="J104" i="32"/>
  <c r="O104" i="32"/>
  <c r="I104" i="32"/>
  <c r="G104" i="32"/>
  <c r="Z113" i="50"/>
  <c r="W113" i="50"/>
  <c r="X113" i="50" s="1"/>
  <c r="I175" i="57"/>
  <c r="F175" i="57"/>
  <c r="D175" i="57"/>
  <c r="K175" i="57"/>
  <c r="G175" i="57"/>
  <c r="C175" i="57"/>
  <c r="M175" i="57" s="1"/>
  <c r="J175" i="57"/>
  <c r="P175" i="57"/>
  <c r="H175" i="57"/>
  <c r="E175" i="57"/>
  <c r="Q174" i="57"/>
  <c r="T174" i="57" s="1"/>
  <c r="AK174" i="55" a="1"/>
  <c r="AK174" i="55" s="1"/>
  <c r="B176" i="57" s="1"/>
  <c r="O176" i="57" s="1"/>
  <c r="AN160" i="67" a="1"/>
  <c r="AN160" i="67" s="1"/>
  <c r="B161" i="69"/>
  <c r="U158" i="69"/>
  <c r="R158" i="69"/>
  <c r="S158" i="69" s="1"/>
  <c r="Y158" i="69" s="1"/>
  <c r="Q158" i="69"/>
  <c r="AE158" i="69"/>
  <c r="N159" i="69"/>
  <c r="AF159" i="69" s="1"/>
  <c r="D159" i="69"/>
  <c r="E159" i="69" s="1"/>
  <c r="F159" i="69" s="1"/>
  <c r="G159" i="69" s="1"/>
  <c r="H159" i="69" s="1"/>
  <c r="I159" i="69" s="1"/>
  <c r="J159" i="69" s="1"/>
  <c r="K159" i="69" s="1"/>
  <c r="M159" i="69" s="1"/>
  <c r="C160" i="69"/>
  <c r="AL105" i="11" a="1"/>
  <c r="AL105" i="11" s="1"/>
  <c r="E106" i="32" s="1"/>
  <c r="AL115" i="59" a="1"/>
  <c r="AL115" i="59" s="1"/>
  <c r="E116" i="50" s="1"/>
  <c r="L73" i="29"/>
  <c r="AB158" i="69" l="1"/>
  <c r="AC158" i="69" s="1"/>
  <c r="AD158" i="69" s="1"/>
  <c r="AG158" i="69"/>
  <c r="L161" i="69"/>
  <c r="O161" i="69"/>
  <c r="AO160" i="69"/>
  <c r="P160" i="69"/>
  <c r="T116" i="50"/>
  <c r="AK116" i="50"/>
  <c r="AB173" i="57"/>
  <c r="AF173" i="57"/>
  <c r="X174" i="57"/>
  <c r="AB174" i="53"/>
  <c r="AA174" i="53"/>
  <c r="AF174" i="53"/>
  <c r="AE175" i="53"/>
  <c r="AC175" i="53"/>
  <c r="AK106" i="32"/>
  <c r="T106" i="32"/>
  <c r="AD103" i="32"/>
  <c r="AE175" i="57"/>
  <c r="AC175" i="57"/>
  <c r="AM115" i="50"/>
  <c r="U115" i="50"/>
  <c r="AD114" i="50"/>
  <c r="AG114" i="50" s="1"/>
  <c r="AH114" i="50" s="1"/>
  <c r="AI114" i="50" s="1"/>
  <c r="U104" i="32"/>
  <c r="AG102" i="32"/>
  <c r="AH102" i="32" s="1"/>
  <c r="AL102" i="32"/>
  <c r="U105" i="32"/>
  <c r="AI101" i="32"/>
  <c r="AN101" i="32" s="1"/>
  <c r="AP112" i="50"/>
  <c r="R175" i="57"/>
  <c r="R175" i="53"/>
  <c r="X175" i="53" s="1"/>
  <c r="AL113" i="50"/>
  <c r="Q104" i="32"/>
  <c r="P104" i="32" s="1"/>
  <c r="Q105" i="32"/>
  <c r="P105" i="32" s="1"/>
  <c r="AX159" i="69"/>
  <c r="AG176" i="57"/>
  <c r="L176" i="57"/>
  <c r="O116" i="50"/>
  <c r="AJ175" i="57"/>
  <c r="AP175" i="57"/>
  <c r="AH175" i="53"/>
  <c r="AT175" i="53"/>
  <c r="AG175" i="53"/>
  <c r="N176" i="57"/>
  <c r="I176" i="53"/>
  <c r="N176" i="53"/>
  <c r="AH159" i="69"/>
  <c r="AJ114" i="50"/>
  <c r="C114" i="50"/>
  <c r="AJ103" i="32"/>
  <c r="C103" i="32"/>
  <c r="AD175" i="57"/>
  <c r="AD175" i="53"/>
  <c r="Z103" i="32"/>
  <c r="S115" i="50"/>
  <c r="V114" i="50"/>
  <c r="S105" i="32"/>
  <c r="V105" i="32" s="1"/>
  <c r="S104" i="32"/>
  <c r="Q175" i="53"/>
  <c r="L176" i="53"/>
  <c r="D176" i="53"/>
  <c r="AK175" i="52" a="1"/>
  <c r="AK175" i="52" s="1"/>
  <c r="B177" i="53" s="1"/>
  <c r="O177" i="53" s="1"/>
  <c r="J176" i="53"/>
  <c r="G176" i="53"/>
  <c r="E176" i="53"/>
  <c r="P176" i="53"/>
  <c r="F176" i="53"/>
  <c r="K176" i="53"/>
  <c r="M176" i="53"/>
  <c r="H176" i="53"/>
  <c r="C176" i="53"/>
  <c r="A106" i="32"/>
  <c r="B106" i="32"/>
  <c r="R106" i="32" s="1"/>
  <c r="F116" i="50"/>
  <c r="I116" i="50"/>
  <c r="K116" i="50"/>
  <c r="M116" i="50"/>
  <c r="B116" i="50"/>
  <c r="R116" i="50" s="1"/>
  <c r="N116" i="50"/>
  <c r="G116" i="50"/>
  <c r="A116" i="50"/>
  <c r="Q116" i="50" s="1"/>
  <c r="P116" i="50" s="1"/>
  <c r="L116" i="50"/>
  <c r="H116" i="50"/>
  <c r="J116" i="50"/>
  <c r="G106" i="32"/>
  <c r="O106" i="32"/>
  <c r="H106" i="32"/>
  <c r="J106" i="32"/>
  <c r="L106" i="32"/>
  <c r="I106" i="32"/>
  <c r="N106" i="32"/>
  <c r="F106" i="32"/>
  <c r="AM106" i="32" s="1"/>
  <c r="K106" i="32"/>
  <c r="M106" i="32"/>
  <c r="Q175" i="57"/>
  <c r="T175" i="57" s="1"/>
  <c r="Z114" i="50"/>
  <c r="W114" i="50"/>
  <c r="X114" i="50" s="1"/>
  <c r="D176" i="57"/>
  <c r="P176" i="57"/>
  <c r="C176" i="57"/>
  <c r="M176" i="57" s="1"/>
  <c r="K176" i="57"/>
  <c r="J176" i="57"/>
  <c r="H176" i="57"/>
  <c r="F176" i="57"/>
  <c r="I176" i="57"/>
  <c r="E176" i="57"/>
  <c r="G176" i="57"/>
  <c r="W103" i="32"/>
  <c r="X103" i="32" s="1"/>
  <c r="AK175" i="55" a="1"/>
  <c r="AK175" i="55" s="1"/>
  <c r="B177" i="57" s="1"/>
  <c r="O177" i="57" s="1"/>
  <c r="AN161" i="67" a="1"/>
  <c r="AN161" i="67" s="1"/>
  <c r="B162" i="69"/>
  <c r="N160" i="69"/>
  <c r="AF160" i="69" s="1"/>
  <c r="D160" i="69"/>
  <c r="E160" i="69" s="1"/>
  <c r="F160" i="69" s="1"/>
  <c r="G160" i="69" s="1"/>
  <c r="H160" i="69" s="1"/>
  <c r="I160" i="69" s="1"/>
  <c r="J160" i="69" s="1"/>
  <c r="K160" i="69" s="1"/>
  <c r="M160" i="69" s="1"/>
  <c r="C161" i="69"/>
  <c r="AE159" i="69"/>
  <c r="Q159" i="69"/>
  <c r="R159" i="69"/>
  <c r="S159" i="69" s="1"/>
  <c r="Y159" i="69" s="1"/>
  <c r="U159" i="69"/>
  <c r="AL106" i="11" a="1"/>
  <c r="AL106" i="11" s="1"/>
  <c r="E107" i="32" s="1"/>
  <c r="AL116" i="59" a="1"/>
  <c r="AL116" i="59" s="1"/>
  <c r="E117" i="50" s="1"/>
  <c r="AB174" i="57" l="1"/>
  <c r="AA174" i="57"/>
  <c r="AB159" i="69"/>
  <c r="AC159" i="69" s="1"/>
  <c r="AD159" i="69" s="1"/>
  <c r="AG159" i="69"/>
  <c r="AO161" i="69"/>
  <c r="P161" i="69"/>
  <c r="L162" i="69"/>
  <c r="O162" i="69"/>
  <c r="X175" i="57"/>
  <c r="T117" i="50"/>
  <c r="AK117" i="50"/>
  <c r="AF174" i="57"/>
  <c r="AB175" i="53"/>
  <c r="AA175" i="53"/>
  <c r="AF175" i="53"/>
  <c r="AC176" i="53"/>
  <c r="AE176" i="53"/>
  <c r="AK107" i="32"/>
  <c r="T107" i="32"/>
  <c r="AD105" i="32"/>
  <c r="AD104" i="32"/>
  <c r="AE176" i="57"/>
  <c r="AC176" i="57"/>
  <c r="AM116" i="50"/>
  <c r="U116" i="50"/>
  <c r="AD115" i="50"/>
  <c r="AG115" i="50" s="1"/>
  <c r="AH115" i="50" s="1"/>
  <c r="AI115" i="50" s="1"/>
  <c r="U106" i="32"/>
  <c r="AI102" i="32"/>
  <c r="AN102" i="32" s="1"/>
  <c r="AP113" i="50"/>
  <c r="R176" i="57"/>
  <c r="R176" i="53"/>
  <c r="X176" i="53" s="1"/>
  <c r="AL114" i="50"/>
  <c r="Q106" i="32"/>
  <c r="P106" i="32" s="1"/>
  <c r="AX160" i="69"/>
  <c r="AG177" i="57"/>
  <c r="L177" i="57"/>
  <c r="O117" i="50"/>
  <c r="AJ176" i="57"/>
  <c r="AP176" i="57"/>
  <c r="AH176" i="53"/>
  <c r="AT176" i="53"/>
  <c r="AG176" i="53"/>
  <c r="N177" i="57"/>
  <c r="N177" i="53"/>
  <c r="AH160" i="69"/>
  <c r="C104" i="32"/>
  <c r="V104" i="32"/>
  <c r="AJ115" i="50"/>
  <c r="C115" i="50"/>
  <c r="AJ105" i="32"/>
  <c r="C105" i="32"/>
  <c r="AD176" i="57"/>
  <c r="AD176" i="53"/>
  <c r="AJ104" i="32"/>
  <c r="V115" i="50"/>
  <c r="S116" i="50"/>
  <c r="S106" i="32"/>
  <c r="V106" i="32" s="1"/>
  <c r="Q176" i="53"/>
  <c r="AK176" i="52" a="1"/>
  <c r="AK176" i="52" s="1"/>
  <c r="B178" i="53" s="1"/>
  <c r="O178" i="53" s="1"/>
  <c r="E177" i="53"/>
  <c r="C177" i="53"/>
  <c r="P177" i="53"/>
  <c r="D177" i="53"/>
  <c r="I177" i="53"/>
  <c r="K177" i="53"/>
  <c r="H177" i="53"/>
  <c r="M177" i="53"/>
  <c r="L177" i="53"/>
  <c r="J177" i="53"/>
  <c r="G177" i="53"/>
  <c r="F177" i="53"/>
  <c r="A107" i="32"/>
  <c r="B107" i="32"/>
  <c r="R107" i="32" s="1"/>
  <c r="J117" i="50"/>
  <c r="G117" i="50"/>
  <c r="N117" i="50"/>
  <c r="M117" i="50"/>
  <c r="B117" i="50"/>
  <c r="R117" i="50" s="1"/>
  <c r="H117" i="50"/>
  <c r="F117" i="50"/>
  <c r="I117" i="50"/>
  <c r="L117" i="50"/>
  <c r="K117" i="50"/>
  <c r="A117" i="50"/>
  <c r="Q117" i="50" s="1"/>
  <c r="P117" i="50" s="1"/>
  <c r="M107" i="32"/>
  <c r="F107" i="32"/>
  <c r="AM107" i="32" s="1"/>
  <c r="N107" i="32"/>
  <c r="H107" i="32"/>
  <c r="J107" i="32"/>
  <c r="O107" i="32"/>
  <c r="G107" i="32"/>
  <c r="L107" i="32"/>
  <c r="K107" i="32"/>
  <c r="I107" i="32"/>
  <c r="Z104" i="32"/>
  <c r="W104" i="32"/>
  <c r="X104" i="32" s="1"/>
  <c r="J177" i="57"/>
  <c r="H177" i="57"/>
  <c r="E177" i="57"/>
  <c r="P177" i="57"/>
  <c r="K177" i="57"/>
  <c r="G177" i="57"/>
  <c r="C177" i="57"/>
  <c r="M177" i="57" s="1"/>
  <c r="F177" i="57"/>
  <c r="I177" i="57"/>
  <c r="D177" i="57"/>
  <c r="Z115" i="50"/>
  <c r="W115" i="50"/>
  <c r="X115" i="50" s="1"/>
  <c r="Q176" i="57"/>
  <c r="T176" i="57" s="1"/>
  <c r="AK176" i="55" a="1"/>
  <c r="AK176" i="55" s="1"/>
  <c r="B178" i="57" s="1"/>
  <c r="O178" i="57" s="1"/>
  <c r="W105" i="32"/>
  <c r="X105" i="32" s="1"/>
  <c r="Z105" i="32"/>
  <c r="AN162" i="67" a="1"/>
  <c r="AN162" i="67" s="1"/>
  <c r="B163" i="69"/>
  <c r="U160" i="69"/>
  <c r="AE160" i="69"/>
  <c r="Q160" i="69"/>
  <c r="R160" i="69"/>
  <c r="S160" i="69" s="1"/>
  <c r="Y160" i="69" s="1"/>
  <c r="N161" i="69"/>
  <c r="AF161" i="69" s="1"/>
  <c r="D161" i="69"/>
  <c r="E161" i="69" s="1"/>
  <c r="F161" i="69" s="1"/>
  <c r="G161" i="69" s="1"/>
  <c r="H161" i="69" s="1"/>
  <c r="I161" i="69" s="1"/>
  <c r="J161" i="69" s="1"/>
  <c r="K161" i="69" s="1"/>
  <c r="M161" i="69" s="1"/>
  <c r="C162" i="69"/>
  <c r="AL107" i="11" a="1"/>
  <c r="AL107" i="11" s="1"/>
  <c r="E108" i="32" s="1"/>
  <c r="AL117" i="59" a="1"/>
  <c r="AL117" i="59" s="1"/>
  <c r="E118" i="50" s="1"/>
  <c r="AB175" i="57" l="1"/>
  <c r="AA175" i="57"/>
  <c r="AB160" i="69"/>
  <c r="AC160" i="69" s="1"/>
  <c r="AD160" i="69" s="1"/>
  <c r="AG160" i="69"/>
  <c r="AO162" i="69"/>
  <c r="P162" i="69"/>
  <c r="L163" i="69"/>
  <c r="O163" i="69"/>
  <c r="AF175" i="57"/>
  <c r="T118" i="50"/>
  <c r="AK118" i="50"/>
  <c r="X176" i="57"/>
  <c r="AA176" i="57" s="1"/>
  <c r="AB176" i="53"/>
  <c r="AA176" i="53"/>
  <c r="AC177" i="53"/>
  <c r="AE177" i="53"/>
  <c r="AF176" i="53"/>
  <c r="AK108" i="32"/>
  <c r="T108" i="32"/>
  <c r="AD106" i="32"/>
  <c r="AE177" i="57"/>
  <c r="AC177" i="57"/>
  <c r="AM117" i="50"/>
  <c r="U117" i="50"/>
  <c r="AD116" i="50"/>
  <c r="AG116" i="50" s="1"/>
  <c r="AH116" i="50" s="1"/>
  <c r="AI116" i="50" s="1"/>
  <c r="U107" i="32"/>
  <c r="AG103" i="32"/>
  <c r="AH103" i="32" s="1"/>
  <c r="AL103" i="32"/>
  <c r="AP114" i="50"/>
  <c r="R177" i="57"/>
  <c r="R177" i="53"/>
  <c r="X177" i="53" s="1"/>
  <c r="AL115" i="50"/>
  <c r="Q107" i="32"/>
  <c r="P107" i="32" s="1"/>
  <c r="AX161" i="69"/>
  <c r="AG178" i="57"/>
  <c r="L178" i="57"/>
  <c r="O118" i="50"/>
  <c r="AJ177" i="57"/>
  <c r="AP177" i="57"/>
  <c r="AG177" i="53"/>
  <c r="AH177" i="53"/>
  <c r="AT177" i="53"/>
  <c r="N178" i="57"/>
  <c r="K178" i="53"/>
  <c r="N178" i="53"/>
  <c r="AH161" i="69"/>
  <c r="AJ116" i="50"/>
  <c r="C116" i="50"/>
  <c r="AJ106" i="32"/>
  <c r="C106" i="32"/>
  <c r="AD177" i="57"/>
  <c r="AD177" i="53"/>
  <c r="S117" i="50"/>
  <c r="V116" i="50"/>
  <c r="S107" i="32"/>
  <c r="V107" i="32" s="1"/>
  <c r="Q177" i="53"/>
  <c r="AK177" i="52" a="1"/>
  <c r="AK177" i="52" s="1"/>
  <c r="B179" i="53" s="1"/>
  <c r="O179" i="53" s="1"/>
  <c r="F178" i="53"/>
  <c r="D178" i="53"/>
  <c r="C178" i="53"/>
  <c r="J178" i="53"/>
  <c r="E178" i="53"/>
  <c r="M178" i="53"/>
  <c r="G178" i="53"/>
  <c r="I178" i="53"/>
  <c r="H178" i="53"/>
  <c r="P178" i="53"/>
  <c r="L178" i="53"/>
  <c r="A108" i="32"/>
  <c r="B108" i="32"/>
  <c r="R108" i="32" s="1"/>
  <c r="I118" i="50"/>
  <c r="M118" i="50"/>
  <c r="L118" i="50"/>
  <c r="H118" i="50"/>
  <c r="J118" i="50"/>
  <c r="A118" i="50"/>
  <c r="Q118" i="50" s="1"/>
  <c r="P118" i="50" s="1"/>
  <c r="B118" i="50"/>
  <c r="R118" i="50" s="1"/>
  <c r="N118" i="50"/>
  <c r="K118" i="50"/>
  <c r="G118" i="50"/>
  <c r="F118" i="50"/>
  <c r="K108" i="32"/>
  <c r="L108" i="32"/>
  <c r="F108" i="32"/>
  <c r="AM108" i="32" s="1"/>
  <c r="N108" i="32"/>
  <c r="H108" i="32"/>
  <c r="J108" i="32"/>
  <c r="M108" i="32"/>
  <c r="G108" i="32"/>
  <c r="I108" i="32"/>
  <c r="O108" i="32"/>
  <c r="Q177" i="57"/>
  <c r="T177" i="57" s="1"/>
  <c r="D178" i="57"/>
  <c r="J178" i="57"/>
  <c r="K178" i="57"/>
  <c r="F178" i="57"/>
  <c r="I178" i="57"/>
  <c r="E178" i="57"/>
  <c r="H178" i="57"/>
  <c r="C178" i="57"/>
  <c r="M178" i="57" s="1"/>
  <c r="G178" i="57"/>
  <c r="P178" i="57"/>
  <c r="W116" i="50"/>
  <c r="X116" i="50" s="1"/>
  <c r="Z116" i="50"/>
  <c r="AK177" i="55" a="1"/>
  <c r="AK177" i="55" s="1"/>
  <c r="B179" i="57" s="1"/>
  <c r="O179" i="57" s="1"/>
  <c r="W106" i="32"/>
  <c r="X106" i="32" s="1"/>
  <c r="Z106" i="32"/>
  <c r="Q161" i="69"/>
  <c r="R161" i="69"/>
  <c r="S161" i="69" s="1"/>
  <c r="Y161" i="69" s="1"/>
  <c r="U161" i="69"/>
  <c r="AE161" i="69"/>
  <c r="C163" i="69"/>
  <c r="N162" i="69"/>
  <c r="AF162" i="69" s="1"/>
  <c r="D162" i="69"/>
  <c r="E162" i="69" s="1"/>
  <c r="F162" i="69" s="1"/>
  <c r="G162" i="69" s="1"/>
  <c r="H162" i="69" s="1"/>
  <c r="I162" i="69" s="1"/>
  <c r="J162" i="69" s="1"/>
  <c r="K162" i="69" s="1"/>
  <c r="M162" i="69" s="1"/>
  <c r="AN163" i="67" a="1"/>
  <c r="AN163" i="67" s="1"/>
  <c r="B164" i="69"/>
  <c r="AL108" i="11" a="1"/>
  <c r="AL108" i="11" s="1"/>
  <c r="E109" i="32" s="1"/>
  <c r="AL118" i="59" a="1"/>
  <c r="AL118" i="59" s="1"/>
  <c r="E119" i="50" s="1"/>
  <c r="X177" i="57" l="1"/>
  <c r="AB161" i="69"/>
  <c r="AC161" i="69" s="1"/>
  <c r="AD161" i="69" s="1"/>
  <c r="AG161" i="69"/>
  <c r="AO163" i="69"/>
  <c r="P163" i="69"/>
  <c r="L164" i="69"/>
  <c r="O164" i="69"/>
  <c r="AK119" i="50"/>
  <c r="T119" i="50"/>
  <c r="AF176" i="57"/>
  <c r="AB176" i="57"/>
  <c r="AF177" i="53"/>
  <c r="AC178" i="53"/>
  <c r="AE178" i="53"/>
  <c r="AB177" i="53"/>
  <c r="AA177" i="53"/>
  <c r="AK109" i="32"/>
  <c r="T109" i="32"/>
  <c r="AD107" i="32"/>
  <c r="AE178" i="57"/>
  <c r="AC178" i="57"/>
  <c r="AD117" i="50"/>
  <c r="AG117" i="50" s="1"/>
  <c r="AH117" i="50" s="1"/>
  <c r="AI117" i="50" s="1"/>
  <c r="AM118" i="50"/>
  <c r="U118" i="50"/>
  <c r="AG104" i="32"/>
  <c r="AH104" i="32" s="1"/>
  <c r="AL104" i="32"/>
  <c r="U108" i="32"/>
  <c r="AG105" i="32"/>
  <c r="AH105" i="32" s="1"/>
  <c r="AL105" i="32"/>
  <c r="AI103" i="32"/>
  <c r="AN103" i="32" s="1"/>
  <c r="AP115" i="50"/>
  <c r="R178" i="57"/>
  <c r="R178" i="53"/>
  <c r="X178" i="53" s="1"/>
  <c r="AL116" i="50"/>
  <c r="Q108" i="32"/>
  <c r="P108" i="32" s="1"/>
  <c r="AX162" i="69"/>
  <c r="AG179" i="57"/>
  <c r="L179" i="57"/>
  <c r="O119" i="50"/>
  <c r="AJ178" i="57"/>
  <c r="AP178" i="57"/>
  <c r="AH178" i="53"/>
  <c r="AT178" i="53"/>
  <c r="AG178" i="53"/>
  <c r="N179" i="57"/>
  <c r="D179" i="53"/>
  <c r="N179" i="53"/>
  <c r="AH162" i="69"/>
  <c r="AJ117" i="50"/>
  <c r="C117" i="50"/>
  <c r="AJ107" i="32"/>
  <c r="C107" i="32"/>
  <c r="AD178" i="57"/>
  <c r="AD178" i="53"/>
  <c r="S118" i="50"/>
  <c r="V117" i="50"/>
  <c r="S108" i="32"/>
  <c r="Q178" i="53"/>
  <c r="AK178" i="52" a="1"/>
  <c r="AK178" i="52" s="1"/>
  <c r="B180" i="53" s="1"/>
  <c r="O180" i="53" s="1"/>
  <c r="C179" i="53"/>
  <c r="P179" i="53"/>
  <c r="J179" i="53"/>
  <c r="H179" i="53"/>
  <c r="G179" i="53"/>
  <c r="E179" i="53"/>
  <c r="M179" i="53"/>
  <c r="F179" i="53"/>
  <c r="K179" i="53"/>
  <c r="I179" i="53"/>
  <c r="L179" i="53"/>
  <c r="A109" i="32"/>
  <c r="B109" i="32"/>
  <c r="R109" i="32" s="1"/>
  <c r="J119" i="50"/>
  <c r="F119" i="50"/>
  <c r="G119" i="50"/>
  <c r="M119" i="50"/>
  <c r="A119" i="50"/>
  <c r="Q119" i="50" s="1"/>
  <c r="P119" i="50" s="1"/>
  <c r="N119" i="50"/>
  <c r="B119" i="50"/>
  <c r="R119" i="50" s="1"/>
  <c r="L119" i="50"/>
  <c r="I119" i="50"/>
  <c r="K119" i="50"/>
  <c r="H119" i="50"/>
  <c r="I109" i="32"/>
  <c r="J109" i="32"/>
  <c r="L109" i="32"/>
  <c r="F109" i="32"/>
  <c r="AM109" i="32" s="1"/>
  <c r="N109" i="32"/>
  <c r="K109" i="32"/>
  <c r="H109" i="32"/>
  <c r="G109" i="32"/>
  <c r="M109" i="32"/>
  <c r="O109" i="32"/>
  <c r="Z117" i="50"/>
  <c r="W117" i="50"/>
  <c r="X117" i="50" s="1"/>
  <c r="P179" i="57"/>
  <c r="J179" i="57"/>
  <c r="I179" i="57"/>
  <c r="F179" i="57"/>
  <c r="D179" i="57"/>
  <c r="E179" i="57"/>
  <c r="H179" i="57"/>
  <c r="G179" i="57"/>
  <c r="K179" i="57"/>
  <c r="C179" i="57"/>
  <c r="M179" i="57" s="1"/>
  <c r="Q178" i="57"/>
  <c r="T178" i="57" s="1"/>
  <c r="AK178" i="55" a="1"/>
  <c r="AK178" i="55" s="1"/>
  <c r="B180" i="57" s="1"/>
  <c r="O180" i="57" s="1"/>
  <c r="W107" i="32"/>
  <c r="X107" i="32" s="1"/>
  <c r="Z107" i="32"/>
  <c r="R162" i="69"/>
  <c r="S162" i="69" s="1"/>
  <c r="Y162" i="69" s="1"/>
  <c r="U162" i="69"/>
  <c r="Q162" i="69"/>
  <c r="AE162" i="69"/>
  <c r="N163" i="69"/>
  <c r="AF163" i="69" s="1"/>
  <c r="D163" i="69"/>
  <c r="E163" i="69" s="1"/>
  <c r="F163" i="69" s="1"/>
  <c r="G163" i="69" s="1"/>
  <c r="H163" i="69" s="1"/>
  <c r="I163" i="69" s="1"/>
  <c r="J163" i="69" s="1"/>
  <c r="K163" i="69" s="1"/>
  <c r="M163" i="69" s="1"/>
  <c r="C164" i="69"/>
  <c r="AN164" i="67" a="1"/>
  <c r="AN164" i="67" s="1"/>
  <c r="B165" i="69"/>
  <c r="AL109" i="11" a="1"/>
  <c r="AL109" i="11" s="1"/>
  <c r="AL119" i="59" a="1"/>
  <c r="AL119" i="59" s="1"/>
  <c r="E120" i="50" s="1"/>
  <c r="L12" i="50"/>
  <c r="AB177" i="57" l="1"/>
  <c r="AA177" i="57"/>
  <c r="AF177" i="57"/>
  <c r="AB162" i="69"/>
  <c r="AC162" i="69" s="1"/>
  <c r="AD162" i="69" s="1"/>
  <c r="AG162" i="69"/>
  <c r="AO164" i="69"/>
  <c r="P164" i="69"/>
  <c r="L165" i="69"/>
  <c r="O165" i="69"/>
  <c r="AK120" i="50"/>
  <c r="T120" i="50"/>
  <c r="AB178" i="53"/>
  <c r="AA178" i="53"/>
  <c r="AE179" i="53"/>
  <c r="AC179" i="53"/>
  <c r="AF178" i="53"/>
  <c r="AD108" i="32"/>
  <c r="X178" i="57"/>
  <c r="AA178" i="57" s="1"/>
  <c r="AE179" i="57"/>
  <c r="AC179" i="57"/>
  <c r="AD118" i="50"/>
  <c r="AG118" i="50" s="1"/>
  <c r="AH118" i="50" s="1"/>
  <c r="AI118" i="50" s="1"/>
  <c r="AM119" i="50"/>
  <c r="U119" i="50"/>
  <c r="U109" i="32"/>
  <c r="AG106" i="32"/>
  <c r="AH106" i="32" s="1"/>
  <c r="AL106" i="32"/>
  <c r="AI104" i="32"/>
  <c r="AN104" i="32" s="1"/>
  <c r="AP116" i="50"/>
  <c r="R179" i="57"/>
  <c r="R179" i="53"/>
  <c r="X179" i="53" s="1"/>
  <c r="AL117" i="50"/>
  <c r="Q109" i="32"/>
  <c r="P109" i="32" s="1"/>
  <c r="V108" i="32"/>
  <c r="AI105" i="32"/>
  <c r="M12" i="50"/>
  <c r="AX163" i="69"/>
  <c r="AG180" i="57"/>
  <c r="L180" i="57"/>
  <c r="O120" i="50"/>
  <c r="AJ179" i="57"/>
  <c r="AP179" i="57"/>
  <c r="AG179" i="53"/>
  <c r="AH179" i="53"/>
  <c r="AT179" i="53"/>
  <c r="N180" i="57"/>
  <c r="N180" i="53"/>
  <c r="AH163" i="69"/>
  <c r="AJ118" i="50"/>
  <c r="C118" i="50"/>
  <c r="AJ108" i="32"/>
  <c r="C108" i="32"/>
  <c r="AD179" i="57"/>
  <c r="AD179" i="53"/>
  <c r="Q179" i="53"/>
  <c r="V118" i="50"/>
  <c r="S119" i="50"/>
  <c r="S109" i="32"/>
  <c r="V109" i="32" s="1"/>
  <c r="P180" i="53"/>
  <c r="M180" i="53"/>
  <c r="C180" i="53"/>
  <c r="L180" i="53"/>
  <c r="J180" i="53"/>
  <c r="E180" i="53"/>
  <c r="H180" i="53"/>
  <c r="I180" i="53"/>
  <c r="K180" i="53"/>
  <c r="AK179" i="52" a="1"/>
  <c r="AK179" i="52" s="1"/>
  <c r="B181" i="53" s="1"/>
  <c r="O181" i="53" s="1"/>
  <c r="F180" i="53"/>
  <c r="D180" i="53"/>
  <c r="G180" i="53"/>
  <c r="I120" i="50"/>
  <c r="M120" i="50"/>
  <c r="G120" i="50"/>
  <c r="H120" i="50"/>
  <c r="J120" i="50"/>
  <c r="A120" i="50"/>
  <c r="Q120" i="50" s="1"/>
  <c r="P120" i="50" s="1"/>
  <c r="K120" i="50"/>
  <c r="N120" i="50"/>
  <c r="B120" i="50"/>
  <c r="R120" i="50" s="1"/>
  <c r="L120" i="50"/>
  <c r="F120" i="50"/>
  <c r="Q179" i="57"/>
  <c r="T179" i="57" s="1"/>
  <c r="Z118" i="50"/>
  <c r="W118" i="50"/>
  <c r="X118" i="50" s="1"/>
  <c r="F180" i="57"/>
  <c r="C180" i="57"/>
  <c r="M180" i="57" s="1"/>
  <c r="P180" i="57"/>
  <c r="K180" i="57"/>
  <c r="H180" i="57"/>
  <c r="G180" i="57"/>
  <c r="D180" i="57"/>
  <c r="J180" i="57"/>
  <c r="I180" i="57"/>
  <c r="E180" i="57"/>
  <c r="E110" i="32"/>
  <c r="AK179" i="55" a="1"/>
  <c r="AK179" i="55" s="1"/>
  <c r="B181" i="57" s="1"/>
  <c r="O181" i="57" s="1"/>
  <c r="W108" i="32"/>
  <c r="X108" i="32" s="1"/>
  <c r="Z108" i="32"/>
  <c r="D164" i="69"/>
  <c r="E164" i="69" s="1"/>
  <c r="F164" i="69" s="1"/>
  <c r="G164" i="69" s="1"/>
  <c r="H164" i="69" s="1"/>
  <c r="I164" i="69" s="1"/>
  <c r="J164" i="69" s="1"/>
  <c r="K164" i="69" s="1"/>
  <c r="M164" i="69" s="1"/>
  <c r="N164" i="69"/>
  <c r="AF164" i="69" s="1"/>
  <c r="AE163" i="69"/>
  <c r="U163" i="69"/>
  <c r="Q163" i="69"/>
  <c r="R163" i="69"/>
  <c r="S163" i="69" s="1"/>
  <c r="Y163" i="69" s="1"/>
  <c r="AB163" i="69" s="1"/>
  <c r="AC163" i="69" s="1"/>
  <c r="AD163" i="69" s="1"/>
  <c r="C165" i="69"/>
  <c r="AN165" i="67" a="1"/>
  <c r="AN165" i="67" s="1"/>
  <c r="B166" i="69"/>
  <c r="AL110" i="11" a="1"/>
  <c r="AL110" i="11" s="1"/>
  <c r="E111" i="32" s="1"/>
  <c r="AH11" i="59"/>
  <c r="J11" i="59"/>
  <c r="AL120" i="59" a="1"/>
  <c r="AL120" i="59" s="1"/>
  <c r="E121" i="50" s="1"/>
  <c r="AH12" i="59"/>
  <c r="AH13" i="59"/>
  <c r="AH21" i="59"/>
  <c r="AH29" i="59"/>
  <c r="AH37" i="59"/>
  <c r="AH45" i="59"/>
  <c r="AH53" i="59"/>
  <c r="AH61" i="59"/>
  <c r="AH69" i="59"/>
  <c r="AH76" i="59"/>
  <c r="AH84" i="59"/>
  <c r="AH92" i="59"/>
  <c r="AH100" i="59"/>
  <c r="AH108" i="59"/>
  <c r="AH116" i="59"/>
  <c r="AH124" i="59"/>
  <c r="AH132" i="59"/>
  <c r="AH140" i="59"/>
  <c r="AH148" i="59"/>
  <c r="AH156" i="59"/>
  <c r="AH164" i="59"/>
  <c r="AH172" i="59"/>
  <c r="AH180" i="59"/>
  <c r="AH188" i="59"/>
  <c r="AH196" i="59"/>
  <c r="AH204" i="59"/>
  <c r="AH212" i="59"/>
  <c r="AH220" i="59"/>
  <c r="AH228" i="59"/>
  <c r="AH236" i="59"/>
  <c r="AH244" i="59"/>
  <c r="AH252" i="59"/>
  <c r="AH20" i="59"/>
  <c r="AH28" i="59"/>
  <c r="AH36" i="59"/>
  <c r="AH44" i="59"/>
  <c r="AH52" i="59"/>
  <c r="AH60" i="59"/>
  <c r="AH68" i="59"/>
  <c r="AH83" i="59"/>
  <c r="AH91" i="59"/>
  <c r="AH99" i="59"/>
  <c r="AH107" i="59"/>
  <c r="AH115" i="59"/>
  <c r="AH123" i="59"/>
  <c r="AH131" i="59"/>
  <c r="AH139" i="59"/>
  <c r="AH147" i="59"/>
  <c r="AH155" i="59"/>
  <c r="AH163" i="59"/>
  <c r="AH171" i="59"/>
  <c r="AH179" i="59"/>
  <c r="AH187" i="59"/>
  <c r="AH195" i="59"/>
  <c r="AH203" i="59"/>
  <c r="AH211" i="59"/>
  <c r="AH219" i="59"/>
  <c r="AH227" i="59"/>
  <c r="AH235" i="59"/>
  <c r="AH243" i="59"/>
  <c r="AH251" i="59"/>
  <c r="AH19" i="59"/>
  <c r="AH27" i="59"/>
  <c r="AH35" i="59"/>
  <c r="AH43" i="59"/>
  <c r="AH51" i="59"/>
  <c r="AH59" i="59"/>
  <c r="AH67" i="59"/>
  <c r="AH75" i="59"/>
  <c r="AH82" i="59"/>
  <c r="AH90" i="59"/>
  <c r="AH98" i="59"/>
  <c r="AH106" i="59"/>
  <c r="AH114" i="59"/>
  <c r="AH122" i="59"/>
  <c r="AH130" i="59"/>
  <c r="AH138" i="59"/>
  <c r="AH146" i="59"/>
  <c r="AH154" i="59"/>
  <c r="AH162" i="59"/>
  <c r="AH170" i="59"/>
  <c r="AH178" i="59"/>
  <c r="AH186" i="59"/>
  <c r="AH194" i="59"/>
  <c r="AH202" i="59"/>
  <c r="AH210" i="59"/>
  <c r="AH218" i="59"/>
  <c r="AH226" i="59"/>
  <c r="AH234" i="59"/>
  <c r="AH242" i="59"/>
  <c r="AH250" i="59"/>
  <c r="AH258" i="59"/>
  <c r="AH18" i="59"/>
  <c r="AH26" i="59"/>
  <c r="AH34" i="59"/>
  <c r="AH42" i="59"/>
  <c r="AH50" i="59"/>
  <c r="AH58" i="59"/>
  <c r="AH66" i="59"/>
  <c r="AH74" i="59"/>
  <c r="AH81" i="59"/>
  <c r="AH89" i="59"/>
  <c r="AH97" i="59"/>
  <c r="AH105" i="59"/>
  <c r="AH113" i="59"/>
  <c r="AH121" i="59"/>
  <c r="AH129" i="59"/>
  <c r="AH137" i="59"/>
  <c r="AH145" i="59"/>
  <c r="AH153" i="59"/>
  <c r="AH161" i="59"/>
  <c r="AH169" i="59"/>
  <c r="AH177" i="59"/>
  <c r="AH185" i="59"/>
  <c r="AH193" i="59"/>
  <c r="AH201" i="59"/>
  <c r="AH209" i="59"/>
  <c r="AH217" i="59"/>
  <c r="AH225" i="59"/>
  <c r="AH233" i="59"/>
  <c r="AH241" i="59"/>
  <c r="AH249" i="59"/>
  <c r="AH257" i="59"/>
  <c r="AH17" i="59"/>
  <c r="AH25" i="59"/>
  <c r="AH33" i="59"/>
  <c r="AH41" i="59"/>
  <c r="AH49" i="59"/>
  <c r="AH57" i="59"/>
  <c r="AH65" i="59"/>
  <c r="AH73" i="59"/>
  <c r="AH80" i="59"/>
  <c r="AH88" i="59"/>
  <c r="AH96" i="59"/>
  <c r="AH104" i="59"/>
  <c r="AH112" i="59"/>
  <c r="AH120" i="59"/>
  <c r="AH128" i="59"/>
  <c r="AH136" i="59"/>
  <c r="AH144" i="59"/>
  <c r="AH152" i="59"/>
  <c r="AH160" i="59"/>
  <c r="AH168" i="59"/>
  <c r="AH176" i="59"/>
  <c r="AH184" i="59"/>
  <c r="AH192" i="59"/>
  <c r="AH200" i="59"/>
  <c r="AH208" i="59"/>
  <c r="AH216" i="59"/>
  <c r="AH224" i="59"/>
  <c r="AH232" i="59"/>
  <c r="AH240" i="59"/>
  <c r="AH248" i="59"/>
  <c r="AH256" i="59"/>
  <c r="AH16" i="59"/>
  <c r="AH24" i="59"/>
  <c r="AH32" i="59"/>
  <c r="AH40" i="59"/>
  <c r="AH48" i="59"/>
  <c r="AH56" i="59"/>
  <c r="AH64" i="59"/>
  <c r="AH72" i="59"/>
  <c r="AH79" i="59"/>
  <c r="AH87" i="59"/>
  <c r="AH95" i="59"/>
  <c r="AH103" i="59"/>
  <c r="AH111" i="59"/>
  <c r="AH119" i="59"/>
  <c r="AH127" i="59"/>
  <c r="AH135" i="59"/>
  <c r="AH143" i="59"/>
  <c r="AH151" i="59"/>
  <c r="AH159" i="59"/>
  <c r="AH167" i="59"/>
  <c r="AH175" i="59"/>
  <c r="AH183" i="59"/>
  <c r="AH191" i="59"/>
  <c r="AH199" i="59"/>
  <c r="AH207" i="59"/>
  <c r="AH215" i="59"/>
  <c r="AH223" i="59"/>
  <c r="AH231" i="59"/>
  <c r="AH239" i="59"/>
  <c r="AH247" i="59"/>
  <c r="AH255" i="59"/>
  <c r="AH15" i="59"/>
  <c r="AH23" i="59"/>
  <c r="AH31" i="59"/>
  <c r="AH39" i="59"/>
  <c r="AH47" i="59"/>
  <c r="AH55" i="59"/>
  <c r="AH63" i="59"/>
  <c r="AH71" i="59"/>
  <c r="AH78" i="59"/>
  <c r="AH86" i="59"/>
  <c r="AH94" i="59"/>
  <c r="AH102" i="59"/>
  <c r="AH110" i="59"/>
  <c r="AH118" i="59"/>
  <c r="AH126" i="59"/>
  <c r="AH134" i="59"/>
  <c r="AH142" i="59"/>
  <c r="AH150" i="59"/>
  <c r="AH158" i="59"/>
  <c r="AH166" i="59"/>
  <c r="AH174" i="59"/>
  <c r="AH182" i="59"/>
  <c r="AH190" i="59"/>
  <c r="AH198" i="59"/>
  <c r="AH206" i="59"/>
  <c r="AH214" i="59"/>
  <c r="AH222" i="59"/>
  <c r="AH230" i="59"/>
  <c r="AH238" i="59"/>
  <c r="AH246" i="59"/>
  <c r="AH254" i="59"/>
  <c r="AH14" i="59"/>
  <c r="AH22" i="59"/>
  <c r="AH30" i="59"/>
  <c r="AH38" i="59"/>
  <c r="AH46" i="59"/>
  <c r="AH54" i="59"/>
  <c r="AH62" i="59"/>
  <c r="AH70" i="59"/>
  <c r="AH77" i="59"/>
  <c r="AH85" i="59"/>
  <c r="AH93" i="59"/>
  <c r="AH101" i="59"/>
  <c r="AH109" i="59"/>
  <c r="AH117" i="59"/>
  <c r="AH125" i="59"/>
  <c r="AH133" i="59"/>
  <c r="AH141" i="59"/>
  <c r="AH149" i="59"/>
  <c r="AH157" i="59"/>
  <c r="AH165" i="59"/>
  <c r="AH173" i="59"/>
  <c r="AH181" i="59"/>
  <c r="AH189" i="59"/>
  <c r="AH197" i="59"/>
  <c r="AH205" i="59"/>
  <c r="AH213" i="59"/>
  <c r="AH221" i="59"/>
  <c r="AH229" i="59"/>
  <c r="AH237" i="59"/>
  <c r="AH245" i="59"/>
  <c r="AH253" i="59"/>
  <c r="L166" i="69" l="1"/>
  <c r="O166" i="69"/>
  <c r="AO165" i="69"/>
  <c r="P165" i="69"/>
  <c r="AG163" i="69"/>
  <c r="T10" i="22"/>
  <c r="T4" i="22"/>
  <c r="T121" i="50"/>
  <c r="AK121" i="50"/>
  <c r="X179" i="57"/>
  <c r="AA179" i="57" s="1"/>
  <c r="AB179" i="53"/>
  <c r="AA179" i="53"/>
  <c r="AF179" i="53"/>
  <c r="AC180" i="53"/>
  <c r="AE180" i="53"/>
  <c r="AK111" i="32"/>
  <c r="T111" i="32"/>
  <c r="AK110" i="32"/>
  <c r="T110" i="32"/>
  <c r="AD109" i="32"/>
  <c r="AF178" i="57"/>
  <c r="AB178" i="57"/>
  <c r="AE180" i="57"/>
  <c r="AC180" i="57"/>
  <c r="AD119" i="50"/>
  <c r="AG119" i="50" s="1"/>
  <c r="AH119" i="50" s="1"/>
  <c r="AI119" i="50" s="1"/>
  <c r="AM120" i="50"/>
  <c r="U120" i="50"/>
  <c r="AG107" i="32"/>
  <c r="AH107" i="32" s="1"/>
  <c r="AL107" i="32"/>
  <c r="AI106" i="32"/>
  <c r="AN106" i="32" s="1"/>
  <c r="AP117" i="50"/>
  <c r="R180" i="57"/>
  <c r="R180" i="53"/>
  <c r="X180" i="53" s="1"/>
  <c r="AL118" i="50"/>
  <c r="AN105" i="32"/>
  <c r="U11" i="59"/>
  <c r="V11" i="59"/>
  <c r="T59" i="22"/>
  <c r="AX164" i="69"/>
  <c r="AG181" i="57"/>
  <c r="L181" i="57"/>
  <c r="O121" i="50"/>
  <c r="AJ180" i="57"/>
  <c r="AP180" i="57"/>
  <c r="AG180" i="53"/>
  <c r="AH180" i="53"/>
  <c r="AT180" i="53"/>
  <c r="N181" i="57"/>
  <c r="N181" i="53"/>
  <c r="AH164" i="69"/>
  <c r="AJ119" i="50"/>
  <c r="C119" i="50"/>
  <c r="AJ109" i="32"/>
  <c r="C109" i="32"/>
  <c r="AD11" i="59"/>
  <c r="I12" i="50"/>
  <c r="AD180" i="57"/>
  <c r="AD180" i="53"/>
  <c r="S120" i="50"/>
  <c r="V119" i="50"/>
  <c r="Q180" i="53"/>
  <c r="I181" i="53"/>
  <c r="C181" i="53"/>
  <c r="AK180" i="52" a="1"/>
  <c r="AK180" i="52" s="1"/>
  <c r="B182" i="53" s="1"/>
  <c r="O182" i="53" s="1"/>
  <c r="E181" i="53"/>
  <c r="H181" i="53"/>
  <c r="J181" i="53"/>
  <c r="F181" i="53"/>
  <c r="P181" i="53"/>
  <c r="K181" i="53"/>
  <c r="L181" i="53"/>
  <c r="M181" i="53"/>
  <c r="G181" i="53"/>
  <c r="D181" i="53"/>
  <c r="A111" i="32"/>
  <c r="B111" i="32"/>
  <c r="R111" i="32" s="1"/>
  <c r="A110" i="32"/>
  <c r="B110" i="32"/>
  <c r="R110" i="32" s="1"/>
  <c r="K121" i="50"/>
  <c r="M121" i="50"/>
  <c r="H121" i="50"/>
  <c r="J121" i="50"/>
  <c r="L121" i="50"/>
  <c r="A121" i="50"/>
  <c r="Q121" i="50" s="1"/>
  <c r="P121" i="50" s="1"/>
  <c r="G121" i="50"/>
  <c r="N121" i="50"/>
  <c r="B121" i="50"/>
  <c r="R121" i="50" s="1"/>
  <c r="F121" i="50"/>
  <c r="I121" i="50"/>
  <c r="G110" i="32"/>
  <c r="O110" i="32"/>
  <c r="H110" i="32"/>
  <c r="J110" i="32"/>
  <c r="L110" i="32"/>
  <c r="F110" i="32"/>
  <c r="AM110" i="32" s="1"/>
  <c r="I110" i="32"/>
  <c r="N110" i="32"/>
  <c r="M110" i="32"/>
  <c r="K110" i="32"/>
  <c r="M111" i="32"/>
  <c r="F111" i="32"/>
  <c r="AM111" i="32" s="1"/>
  <c r="N111" i="32"/>
  <c r="H111" i="32"/>
  <c r="J111" i="32"/>
  <c r="G111" i="32"/>
  <c r="L111" i="32"/>
  <c r="O111" i="32"/>
  <c r="I111" i="32"/>
  <c r="K111" i="32"/>
  <c r="Q180" i="57"/>
  <c r="T180" i="57" s="1"/>
  <c r="X180" i="57" s="1"/>
  <c r="AA180" i="57" s="1"/>
  <c r="V68" i="22"/>
  <c r="Z119" i="50"/>
  <c r="W119" i="50"/>
  <c r="X119" i="50" s="1"/>
  <c r="P181" i="57"/>
  <c r="J181" i="57"/>
  <c r="E181" i="57"/>
  <c r="I181" i="57"/>
  <c r="D181" i="57"/>
  <c r="F181" i="57"/>
  <c r="K181" i="57"/>
  <c r="G181" i="57"/>
  <c r="C181" i="57"/>
  <c r="M181" i="57" s="1"/>
  <c r="H181" i="57"/>
  <c r="AK180" i="55" a="1"/>
  <c r="AK180" i="55" s="1"/>
  <c r="B182" i="57" s="1"/>
  <c r="O182" i="57" s="1"/>
  <c r="W109" i="32"/>
  <c r="X109" i="32" s="1"/>
  <c r="Z109" i="32"/>
  <c r="D165" i="69"/>
  <c r="E165" i="69" s="1"/>
  <c r="F165" i="69" s="1"/>
  <c r="G165" i="69" s="1"/>
  <c r="H165" i="69" s="1"/>
  <c r="I165" i="69" s="1"/>
  <c r="J165" i="69" s="1"/>
  <c r="K165" i="69" s="1"/>
  <c r="M165" i="69" s="1"/>
  <c r="N165" i="69"/>
  <c r="AF165" i="69" s="1"/>
  <c r="C166" i="69"/>
  <c r="AN166" i="67" a="1"/>
  <c r="AN166" i="67" s="1"/>
  <c r="B167" i="69"/>
  <c r="U164" i="69"/>
  <c r="Q164" i="69"/>
  <c r="R164" i="69"/>
  <c r="S164" i="69" s="1"/>
  <c r="Y164" i="69" s="1"/>
  <c r="AE164" i="69"/>
  <c r="AL111" i="11" a="1"/>
  <c r="AL111" i="11" s="1"/>
  <c r="E112" i="32" s="1"/>
  <c r="AL121" i="59" a="1"/>
  <c r="AL121" i="59" s="1"/>
  <c r="E122" i="50" s="1"/>
  <c r="AM11" i="59" a="1"/>
  <c r="AM11" i="59" s="1"/>
  <c r="V125" i="22"/>
  <c r="T55" i="22"/>
  <c r="AW5" i="22"/>
  <c r="X12" i="50"/>
  <c r="X11" i="59" l="1"/>
  <c r="AQ11" i="59" s="1"/>
  <c r="AQ259" i="59" s="1"/>
  <c r="T12" i="50"/>
  <c r="U12" i="50" s="1"/>
  <c r="AD12" i="50" s="1"/>
  <c r="AG12" i="50" s="1"/>
  <c r="AH12" i="50" s="1"/>
  <c r="V10" i="22"/>
  <c r="V28" i="22"/>
  <c r="AB164" i="69"/>
  <c r="AC164" i="69" s="1"/>
  <c r="AD164" i="69" s="1"/>
  <c r="AG164" i="69"/>
  <c r="L167" i="69"/>
  <c r="O167" i="69"/>
  <c r="AO166" i="69"/>
  <c r="P166" i="69"/>
  <c r="T122" i="50"/>
  <c r="AK122" i="50"/>
  <c r="AF179" i="57"/>
  <c r="AB179" i="57"/>
  <c r="AC181" i="53"/>
  <c r="AE181" i="53"/>
  <c r="AF180" i="53"/>
  <c r="AB180" i="53"/>
  <c r="AA180" i="53"/>
  <c r="AK112" i="32"/>
  <c r="T112" i="32"/>
  <c r="AB180" i="57"/>
  <c r="AE181" i="57"/>
  <c r="AC181" i="57"/>
  <c r="AF180" i="57"/>
  <c r="AM121" i="50"/>
  <c r="U121" i="50"/>
  <c r="AD120" i="50"/>
  <c r="AG120" i="50" s="1"/>
  <c r="AH120" i="50" s="1"/>
  <c r="AI120" i="50" s="1"/>
  <c r="U111" i="32"/>
  <c r="U110" i="32"/>
  <c r="AG108" i="32"/>
  <c r="AH108" i="32" s="1"/>
  <c r="AL108" i="32"/>
  <c r="V61" i="22"/>
  <c r="V6" i="22"/>
  <c r="V9" i="22"/>
  <c r="AI107" i="32"/>
  <c r="AN107" i="32" s="1"/>
  <c r="V35" i="22"/>
  <c r="V18" i="22"/>
  <c r="AP118" i="50"/>
  <c r="R181" i="57"/>
  <c r="R181" i="53"/>
  <c r="X181" i="53" s="1"/>
  <c r="AL119" i="50"/>
  <c r="Q111" i="32"/>
  <c r="P111" i="32" s="1"/>
  <c r="Q110" i="32"/>
  <c r="P110" i="32" s="1"/>
  <c r="T34" i="22"/>
  <c r="V33" i="22"/>
  <c r="V37" i="22"/>
  <c r="V32" i="22"/>
  <c r="V34" i="22"/>
  <c r="V69" i="22"/>
  <c r="V66" i="22"/>
  <c r="V20" i="22"/>
  <c r="V65" i="22"/>
  <c r="V4" i="22"/>
  <c r="V59" i="22"/>
  <c r="AX165" i="69"/>
  <c r="AG182" i="57"/>
  <c r="L182" i="57"/>
  <c r="O122" i="50"/>
  <c r="AJ181" i="57"/>
  <c r="AP181" i="57"/>
  <c r="AH181" i="53"/>
  <c r="AT181" i="53"/>
  <c r="AG181" i="53"/>
  <c r="N182" i="57"/>
  <c r="N182" i="53"/>
  <c r="AH165" i="69"/>
  <c r="AJ120" i="50"/>
  <c r="C120" i="50"/>
  <c r="AD181" i="57"/>
  <c r="AD181" i="53"/>
  <c r="V130" i="22"/>
  <c r="V17" i="22"/>
  <c r="V120" i="50"/>
  <c r="S121" i="50"/>
  <c r="S111" i="32"/>
  <c r="V111" i="32" s="1"/>
  <c r="S110" i="32"/>
  <c r="Q181" i="53"/>
  <c r="AK181" i="52" a="1"/>
  <c r="AK181" i="52" s="1"/>
  <c r="B183" i="53" s="1"/>
  <c r="O183" i="53" s="1"/>
  <c r="C182" i="53"/>
  <c r="E182" i="53"/>
  <c r="H182" i="53"/>
  <c r="G182" i="53"/>
  <c r="J182" i="53"/>
  <c r="M182" i="53"/>
  <c r="K182" i="53"/>
  <c r="I182" i="53"/>
  <c r="L182" i="53"/>
  <c r="F182" i="53"/>
  <c r="P182" i="53"/>
  <c r="D182" i="53"/>
  <c r="A112" i="32"/>
  <c r="B112" i="32"/>
  <c r="R112" i="32" s="1"/>
  <c r="H122" i="50"/>
  <c r="A122" i="50"/>
  <c r="Q122" i="50" s="1"/>
  <c r="P122" i="50" s="1"/>
  <c r="M122" i="50"/>
  <c r="K122" i="50"/>
  <c r="G122" i="50"/>
  <c r="F122" i="50"/>
  <c r="N122" i="50"/>
  <c r="B122" i="50"/>
  <c r="R122" i="50" s="1"/>
  <c r="J122" i="50"/>
  <c r="I122" i="50"/>
  <c r="L122" i="50"/>
  <c r="V31" i="22"/>
  <c r="V85" i="22"/>
  <c r="K112" i="32"/>
  <c r="L112" i="32"/>
  <c r="F112" i="32"/>
  <c r="AM112" i="32" s="1"/>
  <c r="N112" i="32"/>
  <c r="H112" i="32"/>
  <c r="M112" i="32"/>
  <c r="J112" i="32"/>
  <c r="I112" i="32"/>
  <c r="O112" i="32"/>
  <c r="G112" i="32"/>
  <c r="W120" i="50"/>
  <c r="X120" i="50" s="1"/>
  <c r="Z120" i="50"/>
  <c r="J182" i="57"/>
  <c r="G182" i="57"/>
  <c r="D182" i="57"/>
  <c r="P182" i="57"/>
  <c r="K182" i="57"/>
  <c r="F182" i="57"/>
  <c r="H182" i="57"/>
  <c r="I182" i="57"/>
  <c r="E182" i="57"/>
  <c r="C182" i="57"/>
  <c r="M182" i="57" s="1"/>
  <c r="Q181" i="57"/>
  <c r="T181" i="57" s="1"/>
  <c r="AK181" i="55" a="1"/>
  <c r="AK181" i="55" s="1"/>
  <c r="B183" i="57" s="1"/>
  <c r="O183" i="57" s="1"/>
  <c r="T7" i="22"/>
  <c r="T130" i="22"/>
  <c r="AL32" i="22" s="1"/>
  <c r="D70" i="36" s="1"/>
  <c r="V118" i="22"/>
  <c r="V7" i="22"/>
  <c r="D166" i="69"/>
  <c r="E166" i="69" s="1"/>
  <c r="F166" i="69" s="1"/>
  <c r="G166" i="69" s="1"/>
  <c r="H166" i="69" s="1"/>
  <c r="I166" i="69" s="1"/>
  <c r="J166" i="69" s="1"/>
  <c r="K166" i="69" s="1"/>
  <c r="M166" i="69" s="1"/>
  <c r="N166" i="69"/>
  <c r="AF166" i="69" s="1"/>
  <c r="C167" i="69"/>
  <c r="AN167" i="67" a="1"/>
  <c r="AN167" i="67" s="1"/>
  <c r="B168" i="69"/>
  <c r="U165" i="69"/>
  <c r="AE165" i="69"/>
  <c r="Q165" i="69"/>
  <c r="R165" i="69"/>
  <c r="S165" i="69" s="1"/>
  <c r="Y165" i="69" s="1"/>
  <c r="V15" i="22"/>
  <c r="V29" i="22"/>
  <c r="V8" i="22"/>
  <c r="V13" i="22"/>
  <c r="V19" i="22"/>
  <c r="V22" i="22"/>
  <c r="T16" i="22"/>
  <c r="T118" i="22"/>
  <c r="AL28" i="22" s="1"/>
  <c r="AL112" i="11" a="1"/>
  <c r="AL112" i="11" s="1"/>
  <c r="E113" i="32" s="1"/>
  <c r="T81" i="22"/>
  <c r="T17" i="22"/>
  <c r="T86" i="22"/>
  <c r="T26" i="22"/>
  <c r="T83" i="22"/>
  <c r="T19" i="22"/>
  <c r="T37" i="22"/>
  <c r="T97" i="22"/>
  <c r="T33" i="22"/>
  <c r="T52" i="22"/>
  <c r="T31" i="22"/>
  <c r="T77" i="22"/>
  <c r="T57" i="22"/>
  <c r="T20" i="22"/>
  <c r="T27" i="22"/>
  <c r="T93" i="22"/>
  <c r="T42" i="22"/>
  <c r="T91" i="22"/>
  <c r="T54" i="22"/>
  <c r="T32" i="22"/>
  <c r="T63" i="22"/>
  <c r="T39" i="22"/>
  <c r="T96" i="22"/>
  <c r="T74" i="22"/>
  <c r="T25" i="22"/>
  <c r="T49" i="22"/>
  <c r="T24" i="22"/>
  <c r="T43" i="22"/>
  <c r="T50" i="22"/>
  <c r="T90" i="22"/>
  <c r="T69" i="22"/>
  <c r="T46" i="22"/>
  <c r="T56" i="22"/>
  <c r="T47" i="22"/>
  <c r="T60" i="22"/>
  <c r="T65" i="22"/>
  <c r="T68" i="22"/>
  <c r="T79" i="22"/>
  <c r="T36" i="22"/>
  <c r="T72" i="22"/>
  <c r="T40" i="22"/>
  <c r="T85" i="22"/>
  <c r="T41" i="22"/>
  <c r="T98" i="22"/>
  <c r="T48" i="22"/>
  <c r="T75" i="22"/>
  <c r="T15" i="22"/>
  <c r="T73" i="22"/>
  <c r="T94" i="22"/>
  <c r="T66" i="22"/>
  <c r="T71" i="22"/>
  <c r="T82" i="22"/>
  <c r="T28" i="22"/>
  <c r="T95" i="22"/>
  <c r="T45" i="22"/>
  <c r="T88" i="22"/>
  <c r="T44" i="22"/>
  <c r="T58" i="22"/>
  <c r="T30" i="22"/>
  <c r="T21" i="22"/>
  <c r="T70" i="22"/>
  <c r="T89" i="22"/>
  <c r="T80" i="22"/>
  <c r="T18" i="22"/>
  <c r="T53" i="22"/>
  <c r="T61" i="22"/>
  <c r="T23" i="22"/>
  <c r="T67" i="22"/>
  <c r="T35" i="22"/>
  <c r="T51" i="22"/>
  <c r="T38" i="22"/>
  <c r="T29" i="22"/>
  <c r="AL122" i="59" a="1"/>
  <c r="AL122" i="59" s="1"/>
  <c r="E123" i="50" s="1"/>
  <c r="T22" i="22"/>
  <c r="T84" i="22"/>
  <c r="T6" i="22"/>
  <c r="T9" i="22"/>
  <c r="T5" i="22"/>
  <c r="AM12" i="59" a="1"/>
  <c r="AM12" i="59" s="1"/>
  <c r="T92" i="22"/>
  <c r="T99" i="22"/>
  <c r="T8" i="22"/>
  <c r="T13" i="22"/>
  <c r="AK12" i="50" l="1"/>
  <c r="AL12" i="50" s="1"/>
  <c r="AM12" i="50" s="1"/>
  <c r="AI12" i="50"/>
  <c r="AB165" i="69"/>
  <c r="AC165" i="69" s="1"/>
  <c r="AD165" i="69" s="1"/>
  <c r="AG165" i="69"/>
  <c r="L168" i="69"/>
  <c r="O168" i="69"/>
  <c r="AO167" i="69"/>
  <c r="P167" i="69"/>
  <c r="X181" i="57"/>
  <c r="AA181" i="57" s="1"/>
  <c r="T123" i="50"/>
  <c r="AK123" i="50"/>
  <c r="AB181" i="53"/>
  <c r="AA181" i="53"/>
  <c r="AC182" i="53"/>
  <c r="AE182" i="53"/>
  <c r="AF181" i="53"/>
  <c r="AK113" i="32"/>
  <c r="T113" i="32"/>
  <c r="AD111" i="32"/>
  <c r="AD110" i="32"/>
  <c r="AE182" i="57"/>
  <c r="AC182" i="57"/>
  <c r="AD121" i="50"/>
  <c r="AG121" i="50" s="1"/>
  <c r="AH121" i="50" s="1"/>
  <c r="AI121" i="50" s="1"/>
  <c r="AM122" i="50"/>
  <c r="U122" i="50"/>
  <c r="U112" i="32"/>
  <c r="AG109" i="32"/>
  <c r="AH109" i="32" s="1"/>
  <c r="AL109" i="32"/>
  <c r="AI108" i="32"/>
  <c r="AN108" i="32" s="1"/>
  <c r="AP119" i="50"/>
  <c r="R182" i="57"/>
  <c r="R182" i="53"/>
  <c r="X182" i="53" s="1"/>
  <c r="AL120" i="50"/>
  <c r="Q112" i="32"/>
  <c r="P112" i="32" s="1"/>
  <c r="N12" i="50"/>
  <c r="AX166" i="69"/>
  <c r="AG183" i="57"/>
  <c r="L183" i="57"/>
  <c r="O123" i="50"/>
  <c r="AJ182" i="57"/>
  <c r="AP182" i="57"/>
  <c r="AG182" i="53"/>
  <c r="AH182" i="53"/>
  <c r="AT182" i="53"/>
  <c r="N183" i="57"/>
  <c r="D183" i="53"/>
  <c r="N183" i="53"/>
  <c r="AH166" i="69"/>
  <c r="C110" i="32"/>
  <c r="V110" i="32"/>
  <c r="AJ121" i="50"/>
  <c r="C121" i="50"/>
  <c r="AJ111" i="32"/>
  <c r="C111" i="32"/>
  <c r="AD182" i="57"/>
  <c r="Q182" i="53"/>
  <c r="AD182" i="53"/>
  <c r="AJ110" i="32"/>
  <c r="V121" i="50"/>
  <c r="S122" i="50"/>
  <c r="S112" i="32"/>
  <c r="V112" i="32" s="1"/>
  <c r="C183" i="53"/>
  <c r="L183" i="53"/>
  <c r="F183" i="53"/>
  <c r="P183" i="53"/>
  <c r="I183" i="53"/>
  <c r="K183" i="53"/>
  <c r="E183" i="53"/>
  <c r="AK182" i="52" a="1"/>
  <c r="AK182" i="52" s="1"/>
  <c r="B184" i="53" s="1"/>
  <c r="O184" i="53" s="1"/>
  <c r="G183" i="53"/>
  <c r="J183" i="53"/>
  <c r="M183" i="53"/>
  <c r="H183" i="53"/>
  <c r="A113" i="32"/>
  <c r="B113" i="32"/>
  <c r="R113" i="32" s="1"/>
  <c r="B123" i="50"/>
  <c r="R123" i="50" s="1"/>
  <c r="G123" i="50"/>
  <c r="A123" i="50"/>
  <c r="Q123" i="50" s="1"/>
  <c r="P123" i="50" s="1"/>
  <c r="N123" i="50"/>
  <c r="H123" i="50"/>
  <c r="K123" i="50"/>
  <c r="M123" i="50"/>
  <c r="I123" i="50"/>
  <c r="J123" i="50"/>
  <c r="F123" i="50"/>
  <c r="L123" i="50"/>
  <c r="I113" i="32"/>
  <c r="J113" i="32"/>
  <c r="L113" i="32"/>
  <c r="F113" i="32"/>
  <c r="AM113" i="32" s="1"/>
  <c r="N113" i="32"/>
  <c r="H113" i="32"/>
  <c r="K113" i="32"/>
  <c r="O113" i="32"/>
  <c r="G113" i="32"/>
  <c r="M113" i="32"/>
  <c r="Z110" i="32"/>
  <c r="W110" i="32"/>
  <c r="X110" i="32" s="1"/>
  <c r="I183" i="57"/>
  <c r="F183" i="57"/>
  <c r="D183" i="57"/>
  <c r="K183" i="57"/>
  <c r="G183" i="57"/>
  <c r="E183" i="57"/>
  <c r="H183" i="57"/>
  <c r="P183" i="57"/>
  <c r="C183" i="57"/>
  <c r="M183" i="57" s="1"/>
  <c r="J183" i="57"/>
  <c r="W121" i="50"/>
  <c r="X121" i="50" s="1"/>
  <c r="Z121" i="50"/>
  <c r="Q182" i="57"/>
  <c r="T182" i="57" s="1"/>
  <c r="AK182" i="55" a="1"/>
  <c r="AK182" i="55" s="1"/>
  <c r="B184" i="57" s="1"/>
  <c r="O184" i="57" s="1"/>
  <c r="W111" i="32"/>
  <c r="X111" i="32" s="1"/>
  <c r="Z111" i="32"/>
  <c r="C168" i="69"/>
  <c r="AN168" i="67" a="1"/>
  <c r="AN168" i="67" s="1"/>
  <c r="B169" i="69"/>
  <c r="N167" i="69"/>
  <c r="AF167" i="69" s="1"/>
  <c r="D167" i="69"/>
  <c r="E167" i="69" s="1"/>
  <c r="F167" i="69" s="1"/>
  <c r="G167" i="69" s="1"/>
  <c r="H167" i="69" s="1"/>
  <c r="I167" i="69" s="1"/>
  <c r="J167" i="69" s="1"/>
  <c r="K167" i="69" s="1"/>
  <c r="M167" i="69" s="1"/>
  <c r="Q166" i="69"/>
  <c r="AE166" i="69"/>
  <c r="U166" i="69"/>
  <c r="R166" i="69"/>
  <c r="S166" i="69" s="1"/>
  <c r="Y166" i="69" s="1"/>
  <c r="AL23" i="22"/>
  <c r="AL22" i="22"/>
  <c r="AL26" i="22"/>
  <c r="AL21" i="22"/>
  <c r="AL25" i="22"/>
  <c r="AL27" i="22"/>
  <c r="AL24" i="22"/>
  <c r="AL20" i="22"/>
  <c r="D58" i="36" s="1"/>
  <c r="AL113" i="11" a="1"/>
  <c r="AL113" i="11" s="1"/>
  <c r="E114" i="32" s="1"/>
  <c r="AL123" i="59" a="1"/>
  <c r="AL123" i="59" s="1"/>
  <c r="E124" i="50" s="1"/>
  <c r="AM13" i="59" a="1"/>
  <c r="AM13" i="59" s="1"/>
  <c r="AB166" i="69" l="1"/>
  <c r="AC166" i="69" s="1"/>
  <c r="AD166" i="69" s="1"/>
  <c r="AG166" i="69"/>
  <c r="L169" i="69"/>
  <c r="O169" i="69"/>
  <c r="AO168" i="69"/>
  <c r="P168" i="69"/>
  <c r="AB181" i="57"/>
  <c r="AF181" i="57"/>
  <c r="T124" i="50"/>
  <c r="AK124" i="50"/>
  <c r="X182" i="57"/>
  <c r="AB182" i="53"/>
  <c r="AA182" i="53"/>
  <c r="AF182" i="53"/>
  <c r="AE183" i="53"/>
  <c r="AC183" i="53"/>
  <c r="AK114" i="32"/>
  <c r="T114" i="32"/>
  <c r="AD112" i="32"/>
  <c r="AE183" i="57"/>
  <c r="AC183" i="57"/>
  <c r="AM123" i="50"/>
  <c r="U123" i="50"/>
  <c r="AD122" i="50"/>
  <c r="AG122" i="50" s="1"/>
  <c r="AH122" i="50" s="1"/>
  <c r="AI122" i="50" s="1"/>
  <c r="U113" i="32"/>
  <c r="AG111" i="32"/>
  <c r="AH111" i="32" s="1"/>
  <c r="AL111" i="32"/>
  <c r="AP120" i="50"/>
  <c r="R183" i="57"/>
  <c r="R183" i="53"/>
  <c r="X183" i="53" s="1"/>
  <c r="AL121" i="50"/>
  <c r="Q113" i="32"/>
  <c r="P113" i="32" s="1"/>
  <c r="AI109" i="32"/>
  <c r="AX167" i="69"/>
  <c r="AG184" i="57"/>
  <c r="L184" i="57"/>
  <c r="O124" i="50"/>
  <c r="AJ183" i="57"/>
  <c r="AP183" i="57"/>
  <c r="AH183" i="53"/>
  <c r="AT183" i="53"/>
  <c r="AG183" i="53"/>
  <c r="N184" i="57"/>
  <c r="N184" i="53"/>
  <c r="AH167" i="69"/>
  <c r="AJ122" i="50"/>
  <c r="C122" i="50"/>
  <c r="AJ112" i="32"/>
  <c r="C112" i="32"/>
  <c r="AD183" i="57"/>
  <c r="AD183" i="53"/>
  <c r="Q183" i="53"/>
  <c r="S123" i="50"/>
  <c r="V122" i="50"/>
  <c r="S113" i="32"/>
  <c r="P184" i="53"/>
  <c r="C184" i="53"/>
  <c r="D184" i="53"/>
  <c r="F184" i="53"/>
  <c r="I184" i="53"/>
  <c r="L184" i="53"/>
  <c r="E184" i="53"/>
  <c r="M184" i="53"/>
  <c r="AK183" i="52" a="1"/>
  <c r="AK183" i="52" s="1"/>
  <c r="B185" i="53" s="1"/>
  <c r="O185" i="53" s="1"/>
  <c r="G184" i="53"/>
  <c r="J184" i="53"/>
  <c r="H184" i="53"/>
  <c r="K184" i="53"/>
  <c r="A114" i="32"/>
  <c r="B114" i="32"/>
  <c r="R114" i="32" s="1"/>
  <c r="F124" i="50"/>
  <c r="N124" i="50"/>
  <c r="A124" i="50"/>
  <c r="Q124" i="50" s="1"/>
  <c r="P124" i="50" s="1"/>
  <c r="I124" i="50"/>
  <c r="K124" i="50"/>
  <c r="H124" i="50"/>
  <c r="M124" i="50"/>
  <c r="L124" i="50"/>
  <c r="J124" i="50"/>
  <c r="B124" i="50"/>
  <c r="R124" i="50" s="1"/>
  <c r="G124" i="50"/>
  <c r="G114" i="32"/>
  <c r="O114" i="32"/>
  <c r="H114" i="32"/>
  <c r="J114" i="32"/>
  <c r="L114" i="32"/>
  <c r="I114" i="32"/>
  <c r="N114" i="32"/>
  <c r="F114" i="32"/>
  <c r="AM114" i="32" s="1"/>
  <c r="K114" i="32"/>
  <c r="M114" i="32"/>
  <c r="K184" i="57"/>
  <c r="J184" i="57"/>
  <c r="H184" i="57"/>
  <c r="F184" i="57"/>
  <c r="C184" i="57"/>
  <c r="M184" i="57" s="1"/>
  <c r="D184" i="57"/>
  <c r="P184" i="57"/>
  <c r="E184" i="57"/>
  <c r="G184" i="57"/>
  <c r="I184" i="57"/>
  <c r="W122" i="50"/>
  <c r="X122" i="50" s="1"/>
  <c r="Z122" i="50"/>
  <c r="Q183" i="57"/>
  <c r="T183" i="57" s="1"/>
  <c r="AK183" i="55" a="1"/>
  <c r="AK183" i="55" s="1"/>
  <c r="B185" i="57" s="1"/>
  <c r="O185" i="57" s="1"/>
  <c r="W112" i="32"/>
  <c r="X112" i="32" s="1"/>
  <c r="Z112" i="32"/>
  <c r="Q167" i="69"/>
  <c r="AE167" i="69"/>
  <c r="U167" i="69"/>
  <c r="R167" i="69"/>
  <c r="S167" i="69" s="1"/>
  <c r="Y167" i="69" s="1"/>
  <c r="C169" i="69"/>
  <c r="AN169" i="67" a="1"/>
  <c r="AN169" i="67" s="1"/>
  <c r="B170" i="69"/>
  <c r="D168" i="69"/>
  <c r="E168" i="69" s="1"/>
  <c r="F168" i="69" s="1"/>
  <c r="G168" i="69" s="1"/>
  <c r="H168" i="69" s="1"/>
  <c r="I168" i="69" s="1"/>
  <c r="J168" i="69" s="1"/>
  <c r="K168" i="69" s="1"/>
  <c r="M168" i="69" s="1"/>
  <c r="N168" i="69"/>
  <c r="AF168" i="69" s="1"/>
  <c r="AL114" i="11" a="1"/>
  <c r="AL114" i="11" s="1"/>
  <c r="E115" i="32" s="1"/>
  <c r="AL124" i="59" a="1"/>
  <c r="AL124" i="59" s="1"/>
  <c r="E125" i="50" s="1"/>
  <c r="AM14" i="59" a="1"/>
  <c r="AM14" i="59" s="1"/>
  <c r="M11" i="46"/>
  <c r="I11" i="46"/>
  <c r="R11" i="46" s="1"/>
  <c r="AF182" i="57" l="1"/>
  <c r="AA182" i="57"/>
  <c r="AB167" i="69"/>
  <c r="AC167" i="69" s="1"/>
  <c r="AD167" i="69" s="1"/>
  <c r="AG167" i="69"/>
  <c r="AO169" i="69"/>
  <c r="P169" i="69"/>
  <c r="L170" i="69"/>
  <c r="O170" i="69"/>
  <c r="S11" i="46"/>
  <c r="T11" i="46" s="1"/>
  <c r="V11" i="46"/>
  <c r="W11" i="46" s="1"/>
  <c r="X11" i="46" s="1"/>
  <c r="T125" i="50"/>
  <c r="AK125" i="50"/>
  <c r="AB182" i="57"/>
  <c r="X183" i="57"/>
  <c r="AB183" i="53"/>
  <c r="AA183" i="53"/>
  <c r="AC184" i="53"/>
  <c r="AE184" i="53"/>
  <c r="AF183" i="53"/>
  <c r="AK115" i="32"/>
  <c r="T115" i="32"/>
  <c r="AD113" i="32"/>
  <c r="AE184" i="57"/>
  <c r="AC184" i="57"/>
  <c r="AM124" i="50"/>
  <c r="U124" i="50"/>
  <c r="AD123" i="50"/>
  <c r="AG123" i="50" s="1"/>
  <c r="AH123" i="50" s="1"/>
  <c r="AI123" i="50" s="1"/>
  <c r="U114" i="32"/>
  <c r="AG110" i="32"/>
  <c r="AH110" i="32" s="1"/>
  <c r="AL110" i="32"/>
  <c r="AG112" i="32"/>
  <c r="AH112" i="32" s="1"/>
  <c r="AL112" i="32"/>
  <c r="AI111" i="32"/>
  <c r="AN111" i="32" s="1"/>
  <c r="AL13" i="50"/>
  <c r="AM13" i="50" s="1"/>
  <c r="AP121" i="50"/>
  <c r="R184" i="57"/>
  <c r="R184" i="53"/>
  <c r="X184" i="53" s="1"/>
  <c r="AL122" i="50"/>
  <c r="Q114" i="32"/>
  <c r="P114" i="32" s="1"/>
  <c r="V113" i="32"/>
  <c r="AN109" i="32"/>
  <c r="AX168" i="69"/>
  <c r="AG185" i="57"/>
  <c r="L185" i="57"/>
  <c r="O125" i="50"/>
  <c r="AJ184" i="57"/>
  <c r="AP184" i="57"/>
  <c r="AH184" i="53"/>
  <c r="AT184" i="53"/>
  <c r="AG184" i="53"/>
  <c r="N185" i="57"/>
  <c r="N185" i="53"/>
  <c r="AH168" i="69"/>
  <c r="AJ123" i="50"/>
  <c r="C123" i="50"/>
  <c r="AJ113" i="32"/>
  <c r="C113" i="32"/>
  <c r="AD184" i="57"/>
  <c r="Q184" i="53"/>
  <c r="AD184" i="53"/>
  <c r="S124" i="50"/>
  <c r="V123" i="50"/>
  <c r="S114" i="32"/>
  <c r="V114" i="32" s="1"/>
  <c r="AK184" i="52" a="1"/>
  <c r="AK184" i="52" s="1"/>
  <c r="B186" i="53" s="1"/>
  <c r="O186" i="53" s="1"/>
  <c r="M185" i="53"/>
  <c r="G185" i="53"/>
  <c r="E185" i="53"/>
  <c r="C185" i="53"/>
  <c r="K185" i="53"/>
  <c r="P185" i="53"/>
  <c r="J185" i="53"/>
  <c r="F185" i="53"/>
  <c r="L185" i="53"/>
  <c r="I185" i="53"/>
  <c r="D185" i="53"/>
  <c r="H185" i="53"/>
  <c r="A115" i="32"/>
  <c r="B115" i="32"/>
  <c r="R115" i="32" s="1"/>
  <c r="H125" i="50"/>
  <c r="F125" i="50"/>
  <c r="G125" i="50"/>
  <c r="M125" i="50"/>
  <c r="B125" i="50"/>
  <c r="R125" i="50" s="1"/>
  <c r="L125" i="50"/>
  <c r="K125" i="50"/>
  <c r="J125" i="50"/>
  <c r="N125" i="50"/>
  <c r="I125" i="50"/>
  <c r="A125" i="50"/>
  <c r="Q125" i="50" s="1"/>
  <c r="P125" i="50" s="1"/>
  <c r="M115" i="32"/>
  <c r="F115" i="32"/>
  <c r="AM115" i="32" s="1"/>
  <c r="N115" i="32"/>
  <c r="H115" i="32"/>
  <c r="J115" i="32"/>
  <c r="O115" i="32"/>
  <c r="G115" i="32"/>
  <c r="L115" i="32"/>
  <c r="K115" i="32"/>
  <c r="I115" i="32"/>
  <c r="W123" i="50"/>
  <c r="X123" i="50" s="1"/>
  <c r="Z123" i="50"/>
  <c r="Q184" i="57"/>
  <c r="T184" i="57" s="1"/>
  <c r="E185" i="57"/>
  <c r="P185" i="57"/>
  <c r="H185" i="57"/>
  <c r="J185" i="57"/>
  <c r="K185" i="57"/>
  <c r="G185" i="57"/>
  <c r="C185" i="57"/>
  <c r="M185" i="57" s="1"/>
  <c r="F185" i="57"/>
  <c r="I185" i="57"/>
  <c r="D185" i="57"/>
  <c r="L130" i="22"/>
  <c r="AK184" i="55" a="1"/>
  <c r="AK184" i="55" s="1"/>
  <c r="B186" i="57" s="1"/>
  <c r="O186" i="57" s="1"/>
  <c r="W113" i="32"/>
  <c r="X113" i="32" s="1"/>
  <c r="Z113" i="32"/>
  <c r="C170" i="69"/>
  <c r="AN170" i="67" a="1"/>
  <c r="AN170" i="67" s="1"/>
  <c r="B171" i="69"/>
  <c r="D169" i="69"/>
  <c r="E169" i="69" s="1"/>
  <c r="F169" i="69" s="1"/>
  <c r="G169" i="69" s="1"/>
  <c r="H169" i="69" s="1"/>
  <c r="I169" i="69" s="1"/>
  <c r="J169" i="69" s="1"/>
  <c r="K169" i="69" s="1"/>
  <c r="M169" i="69" s="1"/>
  <c r="N169" i="69"/>
  <c r="AF169" i="69" s="1"/>
  <c r="U168" i="69"/>
  <c r="AE168" i="69"/>
  <c r="Q168" i="69"/>
  <c r="R168" i="69"/>
  <c r="S168" i="69" s="1"/>
  <c r="Y168" i="69" s="1"/>
  <c r="AL115" i="11" a="1"/>
  <c r="AL115" i="11" s="1"/>
  <c r="E116" i="32" s="1"/>
  <c r="AL125" i="59" a="1"/>
  <c r="AL125" i="59" s="1"/>
  <c r="E126" i="50" s="1"/>
  <c r="AM15" i="59" a="1"/>
  <c r="AM15" i="59" s="1"/>
  <c r="AF183" i="57" l="1"/>
  <c r="AA183" i="57"/>
  <c r="AB168" i="69"/>
  <c r="AC168" i="69" s="1"/>
  <c r="AD168" i="69" s="1"/>
  <c r="AG168" i="69"/>
  <c r="AO170" i="69"/>
  <c r="P170" i="69"/>
  <c r="L171" i="69"/>
  <c r="O171" i="69"/>
  <c r="T126" i="50"/>
  <c r="AK126" i="50"/>
  <c r="AB183" i="57"/>
  <c r="X184" i="57"/>
  <c r="AB184" i="53"/>
  <c r="AA184" i="53"/>
  <c r="AF184" i="53"/>
  <c r="AC185" i="53"/>
  <c r="AE185" i="53"/>
  <c r="T116" i="32"/>
  <c r="AK116" i="32"/>
  <c r="AD114" i="32"/>
  <c r="AE185" i="57"/>
  <c r="AC185" i="57"/>
  <c r="AD124" i="50"/>
  <c r="AG124" i="50" s="1"/>
  <c r="AH124" i="50" s="1"/>
  <c r="AI124" i="50" s="1"/>
  <c r="AM125" i="50"/>
  <c r="U125" i="50"/>
  <c r="U115" i="32"/>
  <c r="AG113" i="32"/>
  <c r="AH113" i="32" s="1"/>
  <c r="AL113" i="32"/>
  <c r="Y11" i="46"/>
  <c r="L129" i="22" s="1"/>
  <c r="AI112" i="32"/>
  <c r="AN112" i="32" s="1"/>
  <c r="AP122" i="50"/>
  <c r="R185" i="57"/>
  <c r="R185" i="53"/>
  <c r="X185" i="53" s="1"/>
  <c r="AL123" i="50"/>
  <c r="Q115" i="32"/>
  <c r="P115" i="32" s="1"/>
  <c r="AI110" i="32"/>
  <c r="AP13" i="50"/>
  <c r="P2" i="46"/>
  <c r="AX169" i="69"/>
  <c r="AG186" i="57"/>
  <c r="L186" i="57"/>
  <c r="O126" i="50"/>
  <c r="AJ185" i="57"/>
  <c r="AP185" i="57"/>
  <c r="AH185" i="53"/>
  <c r="AT185" i="53"/>
  <c r="AG185" i="53"/>
  <c r="N186" i="57"/>
  <c r="E186" i="53"/>
  <c r="N186" i="53"/>
  <c r="AH169" i="69"/>
  <c r="AJ124" i="50"/>
  <c r="C124" i="50"/>
  <c r="AJ114" i="32"/>
  <c r="C114" i="32"/>
  <c r="AD185" i="57"/>
  <c r="Q185" i="53"/>
  <c r="AD185" i="53"/>
  <c r="S125" i="50"/>
  <c r="V124" i="50"/>
  <c r="S115" i="32"/>
  <c r="D186" i="53"/>
  <c r="I186" i="53"/>
  <c r="L186" i="53"/>
  <c r="P186" i="53"/>
  <c r="K186" i="53"/>
  <c r="H186" i="53"/>
  <c r="M186" i="53"/>
  <c r="C186" i="53"/>
  <c r="J186" i="53"/>
  <c r="AK185" i="52" a="1"/>
  <c r="AK185" i="52" s="1"/>
  <c r="B187" i="53" s="1"/>
  <c r="O187" i="53" s="1"/>
  <c r="G186" i="53"/>
  <c r="F186" i="53"/>
  <c r="A116" i="32"/>
  <c r="B116" i="32"/>
  <c r="R116" i="32" s="1"/>
  <c r="F126" i="50"/>
  <c r="N126" i="50"/>
  <c r="M126" i="50"/>
  <c r="L126" i="50"/>
  <c r="G126" i="50"/>
  <c r="A126" i="50"/>
  <c r="Q126" i="50" s="1"/>
  <c r="P126" i="50" s="1"/>
  <c r="I126" i="50"/>
  <c r="K126" i="50"/>
  <c r="B126" i="50"/>
  <c r="R126" i="50" s="1"/>
  <c r="J126" i="50"/>
  <c r="H126" i="50"/>
  <c r="K116" i="32"/>
  <c r="L116" i="32"/>
  <c r="F116" i="32"/>
  <c r="AM116" i="32" s="1"/>
  <c r="N116" i="32"/>
  <c r="H116" i="32"/>
  <c r="J116" i="32"/>
  <c r="M116" i="32"/>
  <c r="G116" i="32"/>
  <c r="I116" i="32"/>
  <c r="O116" i="32"/>
  <c r="Q185" i="57"/>
  <c r="T185" i="57" s="1"/>
  <c r="J186" i="57"/>
  <c r="D186" i="57"/>
  <c r="C186" i="57"/>
  <c r="M186" i="57" s="1"/>
  <c r="P186" i="57"/>
  <c r="K186" i="57"/>
  <c r="F186" i="57"/>
  <c r="I186" i="57"/>
  <c r="E186" i="57"/>
  <c r="H186" i="57"/>
  <c r="G186" i="57"/>
  <c r="W124" i="50"/>
  <c r="X124" i="50" s="1"/>
  <c r="Z124" i="50"/>
  <c r="AK185" i="55" a="1"/>
  <c r="AK185" i="55" s="1"/>
  <c r="B187" i="57" s="1"/>
  <c r="O187" i="57" s="1"/>
  <c r="W114" i="32"/>
  <c r="X114" i="32" s="1"/>
  <c r="Z114" i="32"/>
  <c r="Q169" i="69"/>
  <c r="U169" i="69"/>
  <c r="AE169" i="69"/>
  <c r="R169" i="69"/>
  <c r="S169" i="69" s="1"/>
  <c r="Y169" i="69" s="1"/>
  <c r="C171" i="69"/>
  <c r="AN171" i="67" a="1"/>
  <c r="AN171" i="67" s="1"/>
  <c r="B172" i="69"/>
  <c r="D170" i="69"/>
  <c r="E170" i="69" s="1"/>
  <c r="F170" i="69" s="1"/>
  <c r="G170" i="69" s="1"/>
  <c r="H170" i="69" s="1"/>
  <c r="I170" i="69" s="1"/>
  <c r="J170" i="69" s="1"/>
  <c r="K170" i="69" s="1"/>
  <c r="M170" i="69" s="1"/>
  <c r="N170" i="69"/>
  <c r="AF170" i="69" s="1"/>
  <c r="AL116" i="11" a="1"/>
  <c r="AL116" i="11" s="1"/>
  <c r="E117" i="32" s="1"/>
  <c r="AL126" i="59" a="1"/>
  <c r="AL126" i="59" s="1"/>
  <c r="E127" i="50" s="1"/>
  <c r="AM16" i="59" a="1"/>
  <c r="AM16" i="59" s="1"/>
  <c r="AF184" i="57" l="1"/>
  <c r="AA184" i="57"/>
  <c r="AB169" i="69"/>
  <c r="AC169" i="69" s="1"/>
  <c r="AD169" i="69" s="1"/>
  <c r="AG169" i="69"/>
  <c r="L172" i="69"/>
  <c r="O172" i="69"/>
  <c r="AO171" i="69"/>
  <c r="P171" i="69"/>
  <c r="AK127" i="50"/>
  <c r="T127" i="50"/>
  <c r="X185" i="57"/>
  <c r="AB184" i="57"/>
  <c r="AB185" i="53"/>
  <c r="AA185" i="53"/>
  <c r="AC186" i="53"/>
  <c r="AE186" i="53"/>
  <c r="AF185" i="53"/>
  <c r="AK117" i="32"/>
  <c r="T117" i="32"/>
  <c r="AD115" i="32"/>
  <c r="AE186" i="57"/>
  <c r="AC186" i="57"/>
  <c r="AM126" i="50"/>
  <c r="U126" i="50"/>
  <c r="AD125" i="50"/>
  <c r="AG125" i="50" s="1"/>
  <c r="AH125" i="50" s="1"/>
  <c r="AI125" i="50" s="1"/>
  <c r="U116" i="32"/>
  <c r="AG114" i="32"/>
  <c r="AH114" i="32" s="1"/>
  <c r="AL114" i="32"/>
  <c r="AI113" i="32"/>
  <c r="AN113" i="32" s="1"/>
  <c r="AP123" i="50"/>
  <c r="R186" i="57"/>
  <c r="R186" i="53"/>
  <c r="X186" i="53" s="1"/>
  <c r="AL124" i="50"/>
  <c r="Q116" i="32"/>
  <c r="P116" i="32" s="1"/>
  <c r="V115" i="32"/>
  <c r="AN110" i="32"/>
  <c r="Y257" i="46"/>
  <c r="L101" i="22"/>
  <c r="AX170" i="69"/>
  <c r="AG187" i="57"/>
  <c r="L187" i="57"/>
  <c r="O127" i="50"/>
  <c r="AJ186" i="57"/>
  <c r="AP186" i="57"/>
  <c r="AG186" i="53"/>
  <c r="AH186" i="53"/>
  <c r="AT186" i="53"/>
  <c r="N187" i="57"/>
  <c r="I187" i="53"/>
  <c r="N187" i="53"/>
  <c r="AH170" i="69"/>
  <c r="AJ125" i="50"/>
  <c r="C125" i="50"/>
  <c r="AJ115" i="32"/>
  <c r="C115" i="32"/>
  <c r="AD186" i="57"/>
  <c r="Q186" i="53"/>
  <c r="AD186" i="53"/>
  <c r="V125" i="50"/>
  <c r="S126" i="50"/>
  <c r="S116" i="32"/>
  <c r="V116" i="32" s="1"/>
  <c r="AK186" i="52" a="1"/>
  <c r="AK186" i="52" s="1"/>
  <c r="B188" i="53" s="1"/>
  <c r="O188" i="53" s="1"/>
  <c r="E187" i="53"/>
  <c r="C187" i="53"/>
  <c r="F187" i="53"/>
  <c r="M187" i="53"/>
  <c r="P187" i="53"/>
  <c r="H187" i="53"/>
  <c r="G187" i="53"/>
  <c r="J187" i="53"/>
  <c r="L187" i="53"/>
  <c r="K187" i="53"/>
  <c r="D187" i="53"/>
  <c r="A117" i="32"/>
  <c r="B117" i="32"/>
  <c r="R117" i="32" s="1"/>
  <c r="J127" i="50"/>
  <c r="F127" i="50"/>
  <c r="G127" i="50"/>
  <c r="M127" i="50"/>
  <c r="A127" i="50"/>
  <c r="Q127" i="50" s="1"/>
  <c r="P127" i="50" s="1"/>
  <c r="N127" i="50"/>
  <c r="H127" i="50"/>
  <c r="B127" i="50"/>
  <c r="R127" i="50" s="1"/>
  <c r="I127" i="50"/>
  <c r="L127" i="50"/>
  <c r="K127" i="50"/>
  <c r="I117" i="32"/>
  <c r="J117" i="32"/>
  <c r="L117" i="32"/>
  <c r="F117" i="32"/>
  <c r="AM117" i="32" s="1"/>
  <c r="N117" i="32"/>
  <c r="K117" i="32"/>
  <c r="H117" i="32"/>
  <c r="M117" i="32"/>
  <c r="G117" i="32"/>
  <c r="O117" i="32"/>
  <c r="Q186" i="57"/>
  <c r="T186" i="57" s="1"/>
  <c r="J187" i="57"/>
  <c r="I187" i="57"/>
  <c r="F187" i="57"/>
  <c r="E187" i="57"/>
  <c r="D187" i="57"/>
  <c r="P187" i="57"/>
  <c r="K187" i="57"/>
  <c r="C187" i="57"/>
  <c r="M187" i="57" s="1"/>
  <c r="G187" i="57"/>
  <c r="H187" i="57"/>
  <c r="Z125" i="50"/>
  <c r="W125" i="50"/>
  <c r="X125" i="50" s="1"/>
  <c r="AK186" i="55" a="1"/>
  <c r="AK186" i="55" s="1"/>
  <c r="B188" i="57" s="1"/>
  <c r="O188" i="57" s="1"/>
  <c r="W115" i="32"/>
  <c r="X115" i="32" s="1"/>
  <c r="Z115" i="32"/>
  <c r="R170" i="69"/>
  <c r="S170" i="69" s="1"/>
  <c r="Y170" i="69" s="1"/>
  <c r="AE170" i="69"/>
  <c r="Q170" i="69"/>
  <c r="U170" i="69"/>
  <c r="C172" i="69"/>
  <c r="AN172" i="67" a="1"/>
  <c r="AN172" i="67" s="1"/>
  <c r="B173" i="69"/>
  <c r="D171" i="69"/>
  <c r="E171" i="69" s="1"/>
  <c r="F171" i="69" s="1"/>
  <c r="G171" i="69" s="1"/>
  <c r="H171" i="69" s="1"/>
  <c r="I171" i="69" s="1"/>
  <c r="J171" i="69" s="1"/>
  <c r="K171" i="69" s="1"/>
  <c r="M171" i="69" s="1"/>
  <c r="N171" i="69"/>
  <c r="AF171" i="69" s="1"/>
  <c r="AL117" i="11" a="1"/>
  <c r="AL117" i="11" s="1"/>
  <c r="E118" i="32" s="1"/>
  <c r="AL127" i="59" a="1"/>
  <c r="AL127" i="59" s="1"/>
  <c r="E128" i="50" s="1"/>
  <c r="AM17" i="59" a="1"/>
  <c r="AM17" i="59" s="1"/>
  <c r="AF185" i="57" l="1"/>
  <c r="AA185" i="57"/>
  <c r="AB170" i="69"/>
  <c r="AC170" i="69" s="1"/>
  <c r="AD170" i="69" s="1"/>
  <c r="AG170" i="69"/>
  <c r="L173" i="69"/>
  <c r="O173" i="69"/>
  <c r="AO172" i="69"/>
  <c r="P172" i="69"/>
  <c r="AK128" i="50"/>
  <c r="T128" i="50"/>
  <c r="AB185" i="57"/>
  <c r="AB186" i="53"/>
  <c r="AA186" i="53"/>
  <c r="AF186" i="53"/>
  <c r="AE187" i="53"/>
  <c r="AC187" i="53"/>
  <c r="AK118" i="32"/>
  <c r="T118" i="32"/>
  <c r="AD116" i="32"/>
  <c r="X186" i="57"/>
  <c r="AA186" i="57" s="1"/>
  <c r="AE187" i="57"/>
  <c r="AC187" i="57"/>
  <c r="AM127" i="50"/>
  <c r="U127" i="50"/>
  <c r="AD126" i="50"/>
  <c r="AG126" i="50" s="1"/>
  <c r="AH126" i="50" s="1"/>
  <c r="AI126" i="50" s="1"/>
  <c r="U117" i="32"/>
  <c r="AG115" i="32"/>
  <c r="AH115" i="32" s="1"/>
  <c r="AL115" i="32"/>
  <c r="AI114" i="32"/>
  <c r="AN114" i="32" s="1"/>
  <c r="AP124" i="50"/>
  <c r="R187" i="57"/>
  <c r="R187" i="53"/>
  <c r="X187" i="53" s="1"/>
  <c r="AL125" i="50"/>
  <c r="Q117" i="32"/>
  <c r="P117" i="32" s="1"/>
  <c r="AX171" i="69"/>
  <c r="AG188" i="57"/>
  <c r="L188" i="57"/>
  <c r="O128" i="50"/>
  <c r="AJ187" i="57"/>
  <c r="AP187" i="57"/>
  <c r="AG187" i="53"/>
  <c r="AH187" i="53"/>
  <c r="AT187" i="53"/>
  <c r="N188" i="57"/>
  <c r="C188" i="53"/>
  <c r="N188" i="53"/>
  <c r="AH171" i="69"/>
  <c r="AJ126" i="50"/>
  <c r="C126" i="50"/>
  <c r="AJ116" i="32"/>
  <c r="C116" i="32"/>
  <c r="AD187" i="57"/>
  <c r="AD187" i="53"/>
  <c r="S127" i="50"/>
  <c r="V126" i="50"/>
  <c r="S117" i="32"/>
  <c r="V117" i="32" s="1"/>
  <c r="J188" i="53"/>
  <c r="D188" i="53"/>
  <c r="H188" i="53"/>
  <c r="G188" i="53"/>
  <c r="E188" i="53"/>
  <c r="M188" i="53"/>
  <c r="F188" i="53"/>
  <c r="L188" i="53"/>
  <c r="P188" i="53"/>
  <c r="Q187" i="53"/>
  <c r="AK187" i="52" a="1"/>
  <c r="AK187" i="52" s="1"/>
  <c r="B189" i="53" s="1"/>
  <c r="O189" i="53" s="1"/>
  <c r="K188" i="53"/>
  <c r="I188" i="53"/>
  <c r="A118" i="32"/>
  <c r="B118" i="32"/>
  <c r="R118" i="32" s="1"/>
  <c r="N128" i="50"/>
  <c r="J128" i="50"/>
  <c r="F128" i="50"/>
  <c r="I128" i="50"/>
  <c r="H128" i="50"/>
  <c r="M128" i="50"/>
  <c r="K128" i="50"/>
  <c r="B128" i="50"/>
  <c r="R128" i="50" s="1"/>
  <c r="L128" i="50"/>
  <c r="G128" i="50"/>
  <c r="A128" i="50"/>
  <c r="Q128" i="50" s="1"/>
  <c r="P128" i="50" s="1"/>
  <c r="G118" i="32"/>
  <c r="O118" i="32"/>
  <c r="H118" i="32"/>
  <c r="J118" i="32"/>
  <c r="L118" i="32"/>
  <c r="F118" i="32"/>
  <c r="AM118" i="32" s="1"/>
  <c r="I118" i="32"/>
  <c r="N118" i="32"/>
  <c r="M118" i="32"/>
  <c r="K118" i="32"/>
  <c r="P188" i="57"/>
  <c r="K188" i="57"/>
  <c r="H188" i="57"/>
  <c r="F188" i="57"/>
  <c r="C188" i="57"/>
  <c r="M188" i="57" s="1"/>
  <c r="E188" i="57"/>
  <c r="D188" i="57"/>
  <c r="G188" i="57"/>
  <c r="J188" i="57"/>
  <c r="I188" i="57"/>
  <c r="Q187" i="57"/>
  <c r="T187" i="57" s="1"/>
  <c r="Z126" i="50"/>
  <c r="W126" i="50"/>
  <c r="X126" i="50" s="1"/>
  <c r="AK187" i="55" a="1"/>
  <c r="AK187" i="55" s="1"/>
  <c r="B189" i="57" s="1"/>
  <c r="O189" i="57" s="1"/>
  <c r="W116" i="32"/>
  <c r="X116" i="32" s="1"/>
  <c r="Z116" i="32"/>
  <c r="C173" i="69"/>
  <c r="AN173" i="67" a="1"/>
  <c r="AN173" i="67" s="1"/>
  <c r="B174" i="69"/>
  <c r="R171" i="69"/>
  <c r="S171" i="69" s="1"/>
  <c r="Y171" i="69" s="1"/>
  <c r="Q171" i="69"/>
  <c r="U171" i="69"/>
  <c r="AE171" i="69"/>
  <c r="N172" i="69"/>
  <c r="AF172" i="69" s="1"/>
  <c r="D172" i="69"/>
  <c r="E172" i="69" s="1"/>
  <c r="F172" i="69" s="1"/>
  <c r="G172" i="69" s="1"/>
  <c r="H172" i="69" s="1"/>
  <c r="I172" i="69" s="1"/>
  <c r="J172" i="69" s="1"/>
  <c r="K172" i="69" s="1"/>
  <c r="M172" i="69" s="1"/>
  <c r="AL118" i="11" a="1"/>
  <c r="AL118" i="11" s="1"/>
  <c r="E119" i="32" s="1"/>
  <c r="AL128" i="59" a="1"/>
  <c r="AL128" i="59" s="1"/>
  <c r="E129" i="50" s="1"/>
  <c r="AM18" i="59" a="1"/>
  <c r="AM18" i="59" s="1"/>
  <c r="AB171" i="69" l="1"/>
  <c r="AC171" i="69" s="1"/>
  <c r="AD171" i="69" s="1"/>
  <c r="AG171" i="69"/>
  <c r="AO173" i="69"/>
  <c r="P173" i="69"/>
  <c r="L174" i="69"/>
  <c r="O174" i="69"/>
  <c r="T129" i="50"/>
  <c r="AK129" i="50"/>
  <c r="X187" i="57"/>
  <c r="AA187" i="57" s="1"/>
  <c r="AC188" i="53"/>
  <c r="AE188" i="53"/>
  <c r="AF187" i="53"/>
  <c r="AB187" i="53"/>
  <c r="AA187" i="53"/>
  <c r="AK119" i="32"/>
  <c r="T119" i="32"/>
  <c r="AD117" i="32"/>
  <c r="AF186" i="57"/>
  <c r="AB186" i="57"/>
  <c r="AE188" i="57"/>
  <c r="AC188" i="57"/>
  <c r="AD127" i="50"/>
  <c r="AG127" i="50" s="1"/>
  <c r="AH127" i="50" s="1"/>
  <c r="AI127" i="50" s="1"/>
  <c r="AM128" i="50"/>
  <c r="U128" i="50"/>
  <c r="U118" i="32"/>
  <c r="AG116" i="32"/>
  <c r="AH116" i="32" s="1"/>
  <c r="AL116" i="32"/>
  <c r="AI115" i="32"/>
  <c r="AN115" i="32" s="1"/>
  <c r="AP125" i="50"/>
  <c r="R188" i="57"/>
  <c r="R188" i="53"/>
  <c r="X188" i="53" s="1"/>
  <c r="AL126" i="50"/>
  <c r="Q118" i="32"/>
  <c r="P118" i="32" s="1"/>
  <c r="AX172" i="69"/>
  <c r="AG189" i="57"/>
  <c r="L189" i="57"/>
  <c r="O129" i="50"/>
  <c r="AJ188" i="57"/>
  <c r="AP188" i="57"/>
  <c r="AH188" i="53"/>
  <c r="AT188" i="53"/>
  <c r="AG188" i="53"/>
  <c r="N189" i="57"/>
  <c r="M189" i="53"/>
  <c r="N189" i="53"/>
  <c r="AH172" i="69"/>
  <c r="AJ127" i="50"/>
  <c r="C127" i="50"/>
  <c r="AJ117" i="32"/>
  <c r="C117" i="32"/>
  <c r="AD188" i="57"/>
  <c r="AD188" i="53"/>
  <c r="S128" i="50"/>
  <c r="V127" i="50"/>
  <c r="S118" i="32"/>
  <c r="Q188" i="53"/>
  <c r="AK188" i="52" a="1"/>
  <c r="AK188" i="52" s="1"/>
  <c r="B190" i="53" s="1"/>
  <c r="O190" i="53" s="1"/>
  <c r="P189" i="53"/>
  <c r="J189" i="53"/>
  <c r="I189" i="53"/>
  <c r="E189" i="53"/>
  <c r="H189" i="53"/>
  <c r="F189" i="53"/>
  <c r="K189" i="53"/>
  <c r="G189" i="53"/>
  <c r="L189" i="53"/>
  <c r="D189" i="53"/>
  <c r="C189" i="53"/>
  <c r="A119" i="32"/>
  <c r="B119" i="32"/>
  <c r="R119" i="32" s="1"/>
  <c r="K129" i="50"/>
  <c r="L129" i="50"/>
  <c r="J129" i="50"/>
  <c r="M129" i="50"/>
  <c r="I129" i="50"/>
  <c r="A129" i="50"/>
  <c r="Q129" i="50" s="1"/>
  <c r="P129" i="50" s="1"/>
  <c r="G129" i="50"/>
  <c r="N129" i="50"/>
  <c r="B129" i="50"/>
  <c r="R129" i="50" s="1"/>
  <c r="H129" i="50"/>
  <c r="F129" i="50"/>
  <c r="M119" i="32"/>
  <c r="F119" i="32"/>
  <c r="AM119" i="32" s="1"/>
  <c r="N119" i="32"/>
  <c r="H119" i="32"/>
  <c r="J119" i="32"/>
  <c r="G119" i="32"/>
  <c r="L119" i="32"/>
  <c r="O119" i="32"/>
  <c r="I119" i="32"/>
  <c r="K119" i="32"/>
  <c r="W127" i="50"/>
  <c r="X127" i="50" s="1"/>
  <c r="Z127" i="50"/>
  <c r="P189" i="57"/>
  <c r="J189" i="57"/>
  <c r="E189" i="57"/>
  <c r="C189" i="57"/>
  <c r="M189" i="57" s="1"/>
  <c r="I189" i="57"/>
  <c r="D189" i="57"/>
  <c r="F189" i="57"/>
  <c r="K189" i="57"/>
  <c r="G189" i="57"/>
  <c r="H189" i="57"/>
  <c r="Q188" i="57"/>
  <c r="T188" i="57" s="1"/>
  <c r="AK188" i="55" a="1"/>
  <c r="AK188" i="55" s="1"/>
  <c r="B190" i="57" s="1"/>
  <c r="O190" i="57" s="1"/>
  <c r="W117" i="32"/>
  <c r="X117" i="32" s="1"/>
  <c r="Z117" i="32"/>
  <c r="AN174" i="67" a="1"/>
  <c r="AN174" i="67" s="1"/>
  <c r="B175" i="69"/>
  <c r="C174" i="69"/>
  <c r="Q172" i="69"/>
  <c r="AE172" i="69"/>
  <c r="U172" i="69"/>
  <c r="R172" i="69"/>
  <c r="S172" i="69" s="1"/>
  <c r="Y172" i="69" s="1"/>
  <c r="N173" i="69"/>
  <c r="AF173" i="69" s="1"/>
  <c r="D173" i="69"/>
  <c r="E173" i="69" s="1"/>
  <c r="F173" i="69" s="1"/>
  <c r="G173" i="69" s="1"/>
  <c r="H173" i="69" s="1"/>
  <c r="I173" i="69" s="1"/>
  <c r="J173" i="69" s="1"/>
  <c r="K173" i="69" s="1"/>
  <c r="M173" i="69" s="1"/>
  <c r="AL119" i="11" a="1"/>
  <c r="AL119" i="11" s="1"/>
  <c r="E120" i="32" s="1"/>
  <c r="AL129" i="59" a="1"/>
  <c r="AL129" i="59" s="1"/>
  <c r="E130" i="50" s="1"/>
  <c r="AM19" i="59" a="1"/>
  <c r="AM19" i="59" s="1"/>
  <c r="L12" i="32"/>
  <c r="L6" i="29"/>
  <c r="L98" i="29"/>
  <c r="L97" i="29"/>
  <c r="L96" i="29"/>
  <c r="L95" i="29"/>
  <c r="L94" i="29"/>
  <c r="L93" i="29"/>
  <c r="L92" i="29"/>
  <c r="L91" i="29"/>
  <c r="L90" i="29"/>
  <c r="L89" i="29"/>
  <c r="L88" i="29"/>
  <c r="L87" i="29"/>
  <c r="L86" i="29"/>
  <c r="L85" i="29"/>
  <c r="L84" i="29"/>
  <c r="L83" i="29"/>
  <c r="L82" i="29"/>
  <c r="L81" i="29"/>
  <c r="L80" i="29"/>
  <c r="L79" i="29"/>
  <c r="L78" i="29"/>
  <c r="L77" i="29"/>
  <c r="L76" i="29"/>
  <c r="L75" i="29"/>
  <c r="L74" i="29"/>
  <c r="L72" i="29"/>
  <c r="L71" i="29"/>
  <c r="L70" i="29"/>
  <c r="L69" i="29"/>
  <c r="L68" i="29"/>
  <c r="L67" i="29"/>
  <c r="L66" i="29"/>
  <c r="L65" i="29"/>
  <c r="L64" i="29"/>
  <c r="L63" i="29"/>
  <c r="L62" i="29"/>
  <c r="L61" i="29"/>
  <c r="L60" i="29"/>
  <c r="L59" i="29"/>
  <c r="L58" i="29"/>
  <c r="L39" i="29"/>
  <c r="L57" i="29"/>
  <c r="L56" i="29"/>
  <c r="L55" i="29"/>
  <c r="L54" i="29"/>
  <c r="L53" i="29"/>
  <c r="L52" i="29"/>
  <c r="L51" i="29"/>
  <c r="L50" i="29"/>
  <c r="L49" i="29"/>
  <c r="L48" i="29"/>
  <c r="L47" i="29"/>
  <c r="L46" i="29"/>
  <c r="L38" i="29"/>
  <c r="L37" i="29"/>
  <c r="L35" i="29"/>
  <c r="L34" i="29"/>
  <c r="L33" i="29"/>
  <c r="L32" i="29"/>
  <c r="L31" i="29"/>
  <c r="L30" i="29"/>
  <c r="L29" i="29"/>
  <c r="L28" i="29"/>
  <c r="L27" i="29"/>
  <c r="L26" i="29"/>
  <c r="L25" i="29"/>
  <c r="L24" i="29"/>
  <c r="L23" i="29"/>
  <c r="L22" i="29"/>
  <c r="L21" i="29"/>
  <c r="L20" i="29"/>
  <c r="L19" i="29"/>
  <c r="L18" i="29"/>
  <c r="L17" i="29"/>
  <c r="L16" i="29"/>
  <c r="L14" i="29"/>
  <c r="L13" i="29"/>
  <c r="L12" i="29"/>
  <c r="L11" i="29"/>
  <c r="L10" i="29"/>
  <c r="L9" i="29"/>
  <c r="AB172" i="69" l="1"/>
  <c r="AC172" i="69" s="1"/>
  <c r="AD172" i="69" s="1"/>
  <c r="AG172" i="69"/>
  <c r="AO174" i="69"/>
  <c r="P174" i="69"/>
  <c r="L175" i="69"/>
  <c r="O175" i="69"/>
  <c r="T130" i="50"/>
  <c r="AK130" i="50"/>
  <c r="AB187" i="57"/>
  <c r="AF187" i="57"/>
  <c r="AB188" i="53"/>
  <c r="AA188" i="53"/>
  <c r="AC189" i="53"/>
  <c r="AE189" i="53"/>
  <c r="AF188" i="53"/>
  <c r="AK120" i="32"/>
  <c r="T120" i="32"/>
  <c r="AD118" i="32"/>
  <c r="X188" i="57"/>
  <c r="AE189" i="57"/>
  <c r="AC189" i="57"/>
  <c r="AM129" i="50"/>
  <c r="U129" i="50"/>
  <c r="AD128" i="50"/>
  <c r="AG128" i="50" s="1"/>
  <c r="AH128" i="50" s="1"/>
  <c r="AI128" i="50" s="1"/>
  <c r="U119" i="32"/>
  <c r="AG117" i="32"/>
  <c r="AH117" i="32" s="1"/>
  <c r="AL117" i="32"/>
  <c r="AP126" i="50"/>
  <c r="R189" i="57"/>
  <c r="R189" i="53"/>
  <c r="X189" i="53" s="1"/>
  <c r="AL127" i="50"/>
  <c r="Q119" i="32"/>
  <c r="P119" i="32" s="1"/>
  <c r="V118" i="32"/>
  <c r="AI116" i="32"/>
  <c r="AN116" i="32" s="1"/>
  <c r="AX173" i="69"/>
  <c r="AG190" i="57"/>
  <c r="L190" i="57"/>
  <c r="O130" i="50"/>
  <c r="AJ189" i="57"/>
  <c r="AP189" i="57"/>
  <c r="AG189" i="53"/>
  <c r="AH189" i="53"/>
  <c r="AT189" i="53"/>
  <c r="N190" i="57"/>
  <c r="Q189" i="53"/>
  <c r="AD189" i="53"/>
  <c r="N190" i="53"/>
  <c r="AH173" i="69"/>
  <c r="AJ128" i="50"/>
  <c r="C128" i="50"/>
  <c r="AJ118" i="32"/>
  <c r="C118" i="32"/>
  <c r="AD189" i="57"/>
  <c r="S129" i="50"/>
  <c r="V128" i="50"/>
  <c r="S119" i="32"/>
  <c r="V119" i="32" s="1"/>
  <c r="AK189" i="52" a="1"/>
  <c r="AK189" i="52" s="1"/>
  <c r="B191" i="53" s="1"/>
  <c r="O191" i="53" s="1"/>
  <c r="G190" i="53"/>
  <c r="F190" i="53"/>
  <c r="C190" i="53"/>
  <c r="L190" i="53"/>
  <c r="P190" i="53"/>
  <c r="J190" i="53"/>
  <c r="D190" i="53"/>
  <c r="H190" i="53"/>
  <c r="I190" i="53"/>
  <c r="M190" i="53"/>
  <c r="K190" i="53"/>
  <c r="E190" i="53"/>
  <c r="A120" i="32"/>
  <c r="B120" i="32"/>
  <c r="R120" i="32" s="1"/>
  <c r="G130" i="50"/>
  <c r="F130" i="50"/>
  <c r="H130" i="50"/>
  <c r="L130" i="50"/>
  <c r="K130" i="50"/>
  <c r="B130" i="50"/>
  <c r="R130" i="50" s="1"/>
  <c r="J130" i="50"/>
  <c r="I130" i="50"/>
  <c r="M130" i="50"/>
  <c r="N130" i="50"/>
  <c r="A130" i="50"/>
  <c r="Q130" i="50" s="1"/>
  <c r="P130" i="50" s="1"/>
  <c r="K120" i="32"/>
  <c r="L120" i="32"/>
  <c r="F120" i="32"/>
  <c r="AM120" i="32" s="1"/>
  <c r="N120" i="32"/>
  <c r="H120" i="32"/>
  <c r="M120" i="32"/>
  <c r="J120" i="32"/>
  <c r="O120" i="32"/>
  <c r="I120" i="32"/>
  <c r="G120" i="32"/>
  <c r="Z128" i="50"/>
  <c r="W128" i="50"/>
  <c r="X128" i="50" s="1"/>
  <c r="J190" i="57"/>
  <c r="G190" i="57"/>
  <c r="D190" i="57"/>
  <c r="P190" i="57"/>
  <c r="K190" i="57"/>
  <c r="F190" i="57"/>
  <c r="H190" i="57"/>
  <c r="I190" i="57"/>
  <c r="C190" i="57"/>
  <c r="M190" i="57" s="1"/>
  <c r="E190" i="57"/>
  <c r="Q189" i="57"/>
  <c r="T189" i="57" s="1"/>
  <c r="AK189" i="55" a="1"/>
  <c r="AK189" i="55" s="1"/>
  <c r="B191" i="57" s="1"/>
  <c r="O191" i="57" s="1"/>
  <c r="W118" i="32"/>
  <c r="X118" i="32" s="1"/>
  <c r="Z118" i="32"/>
  <c r="C175" i="69"/>
  <c r="AE173" i="69"/>
  <c r="R173" i="69"/>
  <c r="S173" i="69" s="1"/>
  <c r="Y173" i="69" s="1"/>
  <c r="Q173" i="69"/>
  <c r="U173" i="69"/>
  <c r="D174" i="69"/>
  <c r="E174" i="69" s="1"/>
  <c r="F174" i="69" s="1"/>
  <c r="G174" i="69" s="1"/>
  <c r="H174" i="69" s="1"/>
  <c r="I174" i="69" s="1"/>
  <c r="J174" i="69" s="1"/>
  <c r="K174" i="69" s="1"/>
  <c r="M174" i="69" s="1"/>
  <c r="N174" i="69"/>
  <c r="AF174" i="69" s="1"/>
  <c r="AN175" i="67" a="1"/>
  <c r="AN175" i="67" s="1"/>
  <c r="B176" i="69"/>
  <c r="AL120" i="11" a="1"/>
  <c r="AL120" i="11" s="1"/>
  <c r="E121" i="32" s="1"/>
  <c r="AL130" i="59" a="1"/>
  <c r="AL130" i="59" s="1"/>
  <c r="E131" i="50" s="1"/>
  <c r="AM20" i="59" a="1"/>
  <c r="AM20" i="59" s="1"/>
  <c r="AB188" i="57" l="1"/>
  <c r="AA188" i="57"/>
  <c r="AB173" i="69"/>
  <c r="AC173" i="69" s="1"/>
  <c r="AD173" i="69" s="1"/>
  <c r="AG173" i="69"/>
  <c r="L176" i="69"/>
  <c r="O176" i="69"/>
  <c r="AO175" i="69"/>
  <c r="P175" i="69"/>
  <c r="T131" i="50"/>
  <c r="AK131" i="50"/>
  <c r="X189" i="57"/>
  <c r="AB189" i="53"/>
  <c r="AA189" i="53"/>
  <c r="AF189" i="53"/>
  <c r="AC190" i="53"/>
  <c r="AE190" i="53"/>
  <c r="AK121" i="32"/>
  <c r="T121" i="32"/>
  <c r="AD119" i="32"/>
  <c r="AF188" i="57"/>
  <c r="AE190" i="57"/>
  <c r="AC190" i="57"/>
  <c r="AD129" i="50"/>
  <c r="AG129" i="50" s="1"/>
  <c r="AH129" i="50" s="1"/>
  <c r="AI129" i="50" s="1"/>
  <c r="AM130" i="50"/>
  <c r="U130" i="50"/>
  <c r="U120" i="32"/>
  <c r="AG118" i="32"/>
  <c r="AH118" i="32" s="1"/>
  <c r="AL118" i="32"/>
  <c r="AI117" i="32"/>
  <c r="AN117" i="32" s="1"/>
  <c r="AP127" i="50"/>
  <c r="R190" i="57"/>
  <c r="R190" i="53"/>
  <c r="X190" i="53" s="1"/>
  <c r="AL128" i="50"/>
  <c r="Q120" i="32"/>
  <c r="P120" i="32" s="1"/>
  <c r="AX174" i="69"/>
  <c r="AG191" i="57"/>
  <c r="L191" i="57"/>
  <c r="O131" i="50"/>
  <c r="AJ190" i="57"/>
  <c r="AP190" i="57"/>
  <c r="AH190" i="53"/>
  <c r="AT190" i="53"/>
  <c r="AG190" i="53"/>
  <c r="N191" i="57"/>
  <c r="N191" i="53"/>
  <c r="AH174" i="69"/>
  <c r="AJ129" i="50"/>
  <c r="C129" i="50"/>
  <c r="AJ119" i="32"/>
  <c r="C119" i="32"/>
  <c r="AD190" i="57"/>
  <c r="AD190" i="53"/>
  <c r="Q190" i="53"/>
  <c r="S130" i="50"/>
  <c r="V129" i="50"/>
  <c r="S120" i="32"/>
  <c r="V120" i="32" s="1"/>
  <c r="AK190" i="52" a="1"/>
  <c r="AK190" i="52" s="1"/>
  <c r="B192" i="53" s="1"/>
  <c r="O192" i="53" s="1"/>
  <c r="E191" i="53"/>
  <c r="D191" i="53"/>
  <c r="G191" i="53"/>
  <c r="C191" i="53"/>
  <c r="F191" i="53"/>
  <c r="I191" i="53"/>
  <c r="H191" i="53"/>
  <c r="M191" i="53"/>
  <c r="J191" i="53"/>
  <c r="L191" i="53"/>
  <c r="P191" i="53"/>
  <c r="K191" i="53"/>
  <c r="A121" i="32"/>
  <c r="B121" i="32"/>
  <c r="R121" i="32" s="1"/>
  <c r="B131" i="50"/>
  <c r="R131" i="50" s="1"/>
  <c r="A131" i="50"/>
  <c r="Q131" i="50" s="1"/>
  <c r="P131" i="50" s="1"/>
  <c r="K131" i="50"/>
  <c r="G131" i="50"/>
  <c r="H131" i="50"/>
  <c r="M131" i="50"/>
  <c r="N131" i="50"/>
  <c r="I131" i="50"/>
  <c r="J131" i="50"/>
  <c r="L131" i="50"/>
  <c r="F131" i="50"/>
  <c r="I121" i="32"/>
  <c r="J121" i="32"/>
  <c r="L121" i="32"/>
  <c r="F121" i="32"/>
  <c r="AM121" i="32" s="1"/>
  <c r="N121" i="32"/>
  <c r="H121" i="32"/>
  <c r="K121" i="32"/>
  <c r="O121" i="32"/>
  <c r="G121" i="32"/>
  <c r="M121" i="32"/>
  <c r="Z129" i="50"/>
  <c r="W129" i="50"/>
  <c r="X129" i="50" s="1"/>
  <c r="D191" i="57"/>
  <c r="F191" i="57"/>
  <c r="I191" i="57"/>
  <c r="E191" i="57"/>
  <c r="K191" i="57"/>
  <c r="J191" i="57"/>
  <c r="C191" i="57"/>
  <c r="M191" i="57" s="1"/>
  <c r="G191" i="57"/>
  <c r="H191" i="57"/>
  <c r="P191" i="57"/>
  <c r="Q190" i="57"/>
  <c r="T190" i="57" s="1"/>
  <c r="AK190" i="55" a="1"/>
  <c r="AK190" i="55" s="1"/>
  <c r="B192" i="57" s="1"/>
  <c r="O192" i="57" s="1"/>
  <c r="W119" i="32"/>
  <c r="X119" i="32" s="1"/>
  <c r="Z119" i="32"/>
  <c r="AN176" i="67" a="1"/>
  <c r="AN176" i="67" s="1"/>
  <c r="B177" i="69"/>
  <c r="D175" i="69"/>
  <c r="E175" i="69" s="1"/>
  <c r="F175" i="69" s="1"/>
  <c r="G175" i="69" s="1"/>
  <c r="H175" i="69" s="1"/>
  <c r="I175" i="69" s="1"/>
  <c r="J175" i="69" s="1"/>
  <c r="K175" i="69" s="1"/>
  <c r="M175" i="69" s="1"/>
  <c r="N175" i="69"/>
  <c r="AF175" i="69" s="1"/>
  <c r="C176" i="69"/>
  <c r="U174" i="69"/>
  <c r="R174" i="69"/>
  <c r="S174" i="69" s="1"/>
  <c r="Y174" i="69" s="1"/>
  <c r="AE174" i="69"/>
  <c r="Q174" i="69"/>
  <c r="AL121" i="11" a="1"/>
  <c r="AL121" i="11" s="1"/>
  <c r="AL131" i="59" a="1"/>
  <c r="AL131" i="59" s="1"/>
  <c r="E132" i="50" s="1"/>
  <c r="AM21" i="59" a="1"/>
  <c r="AM21" i="59" s="1"/>
  <c r="AB189" i="57" l="1"/>
  <c r="AA189" i="57"/>
  <c r="AB174" i="69"/>
  <c r="AC174" i="69" s="1"/>
  <c r="AD174" i="69" s="1"/>
  <c r="AG174" i="69"/>
  <c r="L177" i="69"/>
  <c r="O177" i="69"/>
  <c r="AO176" i="69"/>
  <c r="P176" i="69"/>
  <c r="AF189" i="57"/>
  <c r="T132" i="50"/>
  <c r="AK132" i="50"/>
  <c r="X190" i="57"/>
  <c r="AE191" i="53"/>
  <c r="AC191" i="53"/>
  <c r="AB190" i="53"/>
  <c r="AA190" i="53"/>
  <c r="AF190" i="53"/>
  <c r="AD120" i="32"/>
  <c r="AE191" i="57"/>
  <c r="AC191" i="57"/>
  <c r="AM131" i="50"/>
  <c r="U131" i="50"/>
  <c r="AD130" i="50"/>
  <c r="AG130" i="50" s="1"/>
  <c r="AH130" i="50" s="1"/>
  <c r="AI130" i="50" s="1"/>
  <c r="U121" i="32"/>
  <c r="AG119" i="32"/>
  <c r="AH119" i="32" s="1"/>
  <c r="AL119" i="32"/>
  <c r="AI118" i="32"/>
  <c r="AN118" i="32" s="1"/>
  <c r="AP128" i="50"/>
  <c r="R191" i="57"/>
  <c r="R191" i="53"/>
  <c r="X191" i="53" s="1"/>
  <c r="AL129" i="50"/>
  <c r="Q121" i="32"/>
  <c r="P121" i="32" s="1"/>
  <c r="AX175" i="69"/>
  <c r="AG192" i="57"/>
  <c r="L192" i="57"/>
  <c r="O132" i="50"/>
  <c r="AJ191" i="57"/>
  <c r="AP191" i="57"/>
  <c r="AH191" i="53"/>
  <c r="AT191" i="53"/>
  <c r="AG191" i="53"/>
  <c r="N192" i="57"/>
  <c r="P192" i="53"/>
  <c r="N192" i="53"/>
  <c r="AH175" i="69"/>
  <c r="AJ130" i="50"/>
  <c r="C130" i="50"/>
  <c r="AJ120" i="32"/>
  <c r="C120" i="32"/>
  <c r="AD191" i="57"/>
  <c r="AD191" i="53"/>
  <c r="M12" i="32"/>
  <c r="S131" i="50"/>
  <c r="V130" i="50"/>
  <c r="S121" i="32"/>
  <c r="V121" i="32" s="1"/>
  <c r="J192" i="53"/>
  <c r="G192" i="53"/>
  <c r="H192" i="53"/>
  <c r="M192" i="53"/>
  <c r="K192" i="53"/>
  <c r="L192" i="53"/>
  <c r="Q191" i="53"/>
  <c r="I192" i="53"/>
  <c r="C192" i="53"/>
  <c r="D192" i="53"/>
  <c r="AK191" i="52" a="1"/>
  <c r="AK191" i="52" s="1"/>
  <c r="B193" i="53" s="1"/>
  <c r="O193" i="53" s="1"/>
  <c r="F192" i="53"/>
  <c r="E192" i="53"/>
  <c r="K132" i="50"/>
  <c r="I132" i="50"/>
  <c r="L132" i="50"/>
  <c r="A132" i="50"/>
  <c r="Q132" i="50" s="1"/>
  <c r="P132" i="50" s="1"/>
  <c r="J132" i="50"/>
  <c r="N132" i="50"/>
  <c r="B132" i="50"/>
  <c r="R132" i="50" s="1"/>
  <c r="M132" i="50"/>
  <c r="F132" i="50"/>
  <c r="G132" i="50"/>
  <c r="H132" i="50"/>
  <c r="Q191" i="57"/>
  <c r="T191" i="57" s="1"/>
  <c r="K192" i="57"/>
  <c r="J192" i="57"/>
  <c r="H192" i="57"/>
  <c r="F192" i="57"/>
  <c r="D192" i="57"/>
  <c r="P192" i="57"/>
  <c r="C192" i="57"/>
  <c r="M192" i="57" s="1"/>
  <c r="G192" i="57"/>
  <c r="I192" i="57"/>
  <c r="E192" i="57"/>
  <c r="W130" i="50"/>
  <c r="X130" i="50" s="1"/>
  <c r="Z130" i="50"/>
  <c r="E122" i="32"/>
  <c r="AK191" i="55" a="1"/>
  <c r="AK191" i="55" s="1"/>
  <c r="B193" i="57" s="1"/>
  <c r="O193" i="57" s="1"/>
  <c r="W120" i="32"/>
  <c r="X120" i="32" s="1"/>
  <c r="Z120" i="32"/>
  <c r="AN177" i="67" a="1"/>
  <c r="AN177" i="67" s="1"/>
  <c r="B178" i="69"/>
  <c r="N176" i="69"/>
  <c r="AF176" i="69" s="1"/>
  <c r="D176" i="69"/>
  <c r="E176" i="69" s="1"/>
  <c r="F176" i="69" s="1"/>
  <c r="G176" i="69" s="1"/>
  <c r="H176" i="69" s="1"/>
  <c r="I176" i="69" s="1"/>
  <c r="J176" i="69" s="1"/>
  <c r="K176" i="69" s="1"/>
  <c r="M176" i="69" s="1"/>
  <c r="C177" i="69"/>
  <c r="U175" i="69"/>
  <c r="AE175" i="69"/>
  <c r="Q175" i="69"/>
  <c r="R175" i="69"/>
  <c r="S175" i="69" s="1"/>
  <c r="Y175" i="69" s="1"/>
  <c r="AL122" i="11" a="1"/>
  <c r="AL122" i="11" s="1"/>
  <c r="E123" i="32" s="1"/>
  <c r="AL132" i="59" a="1"/>
  <c r="AL132" i="59" s="1"/>
  <c r="E133" i="50" s="1"/>
  <c r="AM22" i="59" a="1"/>
  <c r="AM22" i="59" s="1"/>
  <c r="AB190" i="57" l="1"/>
  <c r="AA190" i="57"/>
  <c r="AB175" i="69"/>
  <c r="AC175" i="69" s="1"/>
  <c r="AD175" i="69" s="1"/>
  <c r="AG175" i="69"/>
  <c r="AO177" i="69"/>
  <c r="P177" i="69"/>
  <c r="L178" i="69"/>
  <c r="O178" i="69"/>
  <c r="T133" i="50"/>
  <c r="AK133" i="50"/>
  <c r="AF190" i="57"/>
  <c r="X191" i="57"/>
  <c r="AB191" i="53"/>
  <c r="AA191" i="53"/>
  <c r="AC192" i="53"/>
  <c r="AE192" i="53"/>
  <c r="AF191" i="53"/>
  <c r="AK123" i="32"/>
  <c r="T123" i="32"/>
  <c r="AK122" i="32"/>
  <c r="T122" i="32"/>
  <c r="AD121" i="32"/>
  <c r="AE192" i="57"/>
  <c r="AC192" i="57"/>
  <c r="AM132" i="50"/>
  <c r="U132" i="50"/>
  <c r="AD131" i="50"/>
  <c r="AG131" i="50" s="1"/>
  <c r="AH131" i="50" s="1"/>
  <c r="AI131" i="50" s="1"/>
  <c r="AG120" i="32"/>
  <c r="AH120" i="32" s="1"/>
  <c r="AL120" i="32"/>
  <c r="AP129" i="50"/>
  <c r="R192" i="57"/>
  <c r="R192" i="53"/>
  <c r="X192" i="53" s="1"/>
  <c r="AL130" i="50"/>
  <c r="AI119" i="32"/>
  <c r="AN119" i="32" s="1"/>
  <c r="AX176" i="69"/>
  <c r="AG193" i="57"/>
  <c r="L193" i="57"/>
  <c r="O133" i="50"/>
  <c r="AJ192" i="57"/>
  <c r="AP192" i="57"/>
  <c r="AH192" i="53"/>
  <c r="AT192" i="53"/>
  <c r="AG192" i="53"/>
  <c r="N193" i="57"/>
  <c r="K193" i="53"/>
  <c r="N193" i="53"/>
  <c r="AH176" i="69"/>
  <c r="AJ131" i="50"/>
  <c r="C131" i="50"/>
  <c r="AJ121" i="32"/>
  <c r="C121" i="32"/>
  <c r="AD192" i="57"/>
  <c r="AD192" i="53"/>
  <c r="Q192" i="53"/>
  <c r="V131" i="50"/>
  <c r="S132" i="50"/>
  <c r="AK192" i="52" a="1"/>
  <c r="AK192" i="52" s="1"/>
  <c r="B194" i="53" s="1"/>
  <c r="O194" i="53" s="1"/>
  <c r="J193" i="53"/>
  <c r="D193" i="53"/>
  <c r="I193" i="53"/>
  <c r="C193" i="53"/>
  <c r="P193" i="53"/>
  <c r="E193" i="53"/>
  <c r="F193" i="53"/>
  <c r="H193" i="53"/>
  <c r="G193" i="53"/>
  <c r="L193" i="53"/>
  <c r="M193" i="53"/>
  <c r="A123" i="32"/>
  <c r="B123" i="32"/>
  <c r="R123" i="32" s="1"/>
  <c r="A122" i="32"/>
  <c r="B122" i="32"/>
  <c r="R122" i="32" s="1"/>
  <c r="M133" i="50"/>
  <c r="F133" i="50"/>
  <c r="H133" i="50"/>
  <c r="G133" i="50"/>
  <c r="I133" i="50"/>
  <c r="L133" i="50"/>
  <c r="N133" i="50"/>
  <c r="A133" i="50"/>
  <c r="Q133" i="50" s="1"/>
  <c r="P133" i="50" s="1"/>
  <c r="J133" i="50"/>
  <c r="K133" i="50"/>
  <c r="B133" i="50"/>
  <c r="R133" i="50" s="1"/>
  <c r="M123" i="32"/>
  <c r="F123" i="32"/>
  <c r="AM123" i="32" s="1"/>
  <c r="N123" i="32"/>
  <c r="H123" i="32"/>
  <c r="J123" i="32"/>
  <c r="O123" i="32"/>
  <c r="G123" i="32"/>
  <c r="L123" i="32"/>
  <c r="K123" i="32"/>
  <c r="I123" i="32"/>
  <c r="G122" i="32"/>
  <c r="O122" i="32"/>
  <c r="H122" i="32"/>
  <c r="J122" i="32"/>
  <c r="L122" i="32"/>
  <c r="I122" i="32"/>
  <c r="N122" i="32"/>
  <c r="F122" i="32"/>
  <c r="AM122" i="32" s="1"/>
  <c r="K122" i="32"/>
  <c r="M122" i="32"/>
  <c r="W131" i="50"/>
  <c r="X131" i="50" s="1"/>
  <c r="Z131" i="50"/>
  <c r="P193" i="57"/>
  <c r="J193" i="57"/>
  <c r="H193" i="57"/>
  <c r="E193" i="57"/>
  <c r="K193" i="57"/>
  <c r="G193" i="57"/>
  <c r="C193" i="57"/>
  <c r="M193" i="57" s="1"/>
  <c r="F193" i="57"/>
  <c r="I193" i="57"/>
  <c r="D193" i="57"/>
  <c r="Q192" i="57"/>
  <c r="T192" i="57" s="1"/>
  <c r="AK192" i="55" a="1"/>
  <c r="AK192" i="55" s="1"/>
  <c r="B194" i="57" s="1"/>
  <c r="O194" i="57" s="1"/>
  <c r="W121" i="32"/>
  <c r="X121" i="32" s="1"/>
  <c r="Z121" i="32"/>
  <c r="AN178" i="67" a="1"/>
  <c r="AN178" i="67" s="1"/>
  <c r="B179" i="69"/>
  <c r="R176" i="69"/>
  <c r="S176" i="69" s="1"/>
  <c r="Y176" i="69" s="1"/>
  <c r="AE176" i="69"/>
  <c r="Q176" i="69"/>
  <c r="U176" i="69"/>
  <c r="D177" i="69"/>
  <c r="E177" i="69" s="1"/>
  <c r="F177" i="69" s="1"/>
  <c r="G177" i="69" s="1"/>
  <c r="H177" i="69" s="1"/>
  <c r="I177" i="69" s="1"/>
  <c r="J177" i="69" s="1"/>
  <c r="K177" i="69" s="1"/>
  <c r="M177" i="69" s="1"/>
  <c r="N177" i="69"/>
  <c r="AF177" i="69" s="1"/>
  <c r="C178" i="69"/>
  <c r="AL123" i="11" a="1"/>
  <c r="AL123" i="11" s="1"/>
  <c r="E124" i="32" s="1"/>
  <c r="AL133" i="59" a="1"/>
  <c r="AL133" i="59" s="1"/>
  <c r="E134" i="50" s="1"/>
  <c r="AM23" i="59" a="1"/>
  <c r="AM23" i="59" s="1"/>
  <c r="AF191" i="57" l="1"/>
  <c r="AA191" i="57"/>
  <c r="AB176" i="69"/>
  <c r="AC176" i="69" s="1"/>
  <c r="AD176" i="69" s="1"/>
  <c r="AG176" i="69"/>
  <c r="AO178" i="69"/>
  <c r="P178" i="69"/>
  <c r="L179" i="69"/>
  <c r="O179" i="69"/>
  <c r="X192" i="57"/>
  <c r="T134" i="50"/>
  <c r="AK134" i="50"/>
  <c r="AB191" i="57"/>
  <c r="AB192" i="53"/>
  <c r="AA192" i="53"/>
  <c r="AC193" i="53"/>
  <c r="AE193" i="53"/>
  <c r="AF192" i="53"/>
  <c r="T124" i="32"/>
  <c r="AK124" i="32"/>
  <c r="AE193" i="57"/>
  <c r="AC193" i="57"/>
  <c r="AD132" i="50"/>
  <c r="AG132" i="50" s="1"/>
  <c r="AH132" i="50" s="1"/>
  <c r="AI132" i="50" s="1"/>
  <c r="AM133" i="50"/>
  <c r="U133" i="50"/>
  <c r="U122" i="32"/>
  <c r="U123" i="32"/>
  <c r="AG121" i="32"/>
  <c r="AH121" i="32" s="1"/>
  <c r="AL121" i="32"/>
  <c r="AI120" i="32"/>
  <c r="AN120" i="32" s="1"/>
  <c r="AP130" i="50"/>
  <c r="R193" i="57"/>
  <c r="R193" i="53"/>
  <c r="X193" i="53" s="1"/>
  <c r="AL131" i="50"/>
  <c r="Q122" i="32"/>
  <c r="P122" i="32" s="1"/>
  <c r="Q123" i="32"/>
  <c r="P123" i="32" s="1"/>
  <c r="AX177" i="69"/>
  <c r="AG194" i="57"/>
  <c r="L194" i="57"/>
  <c r="O134" i="50"/>
  <c r="AJ193" i="57"/>
  <c r="AP193" i="57"/>
  <c r="AH193" i="53"/>
  <c r="AT193" i="53"/>
  <c r="AG193" i="53"/>
  <c r="N194" i="57"/>
  <c r="L194" i="53"/>
  <c r="N194" i="53"/>
  <c r="AH177" i="69"/>
  <c r="AJ132" i="50"/>
  <c r="C132" i="50"/>
  <c r="AD193" i="57"/>
  <c r="AD193" i="53"/>
  <c r="Q193" i="53"/>
  <c r="V132" i="50"/>
  <c r="S133" i="50"/>
  <c r="S123" i="32"/>
  <c r="V123" i="32" s="1"/>
  <c r="S122" i="32"/>
  <c r="V122" i="32" s="1"/>
  <c r="AK193" i="52" a="1"/>
  <c r="AK193" i="52" s="1"/>
  <c r="B195" i="53" s="1"/>
  <c r="O195" i="53" s="1"/>
  <c r="F194" i="53"/>
  <c r="E194" i="53"/>
  <c r="P194" i="53"/>
  <c r="J194" i="53"/>
  <c r="I194" i="53"/>
  <c r="D194" i="53"/>
  <c r="C194" i="53"/>
  <c r="H194" i="53"/>
  <c r="G194" i="53"/>
  <c r="M194" i="53"/>
  <c r="K194" i="53"/>
  <c r="A124" i="32"/>
  <c r="B124" i="32"/>
  <c r="R124" i="32" s="1"/>
  <c r="F134" i="50"/>
  <c r="G134" i="50"/>
  <c r="B134" i="50"/>
  <c r="R134" i="50" s="1"/>
  <c r="L134" i="50"/>
  <c r="K134" i="50"/>
  <c r="I134" i="50"/>
  <c r="A134" i="50"/>
  <c r="Q134" i="50" s="1"/>
  <c r="P134" i="50" s="1"/>
  <c r="M134" i="50"/>
  <c r="J134" i="50"/>
  <c r="N134" i="50"/>
  <c r="H134" i="50"/>
  <c r="K124" i="32"/>
  <c r="L124" i="32"/>
  <c r="F124" i="32"/>
  <c r="AM124" i="32" s="1"/>
  <c r="N124" i="32"/>
  <c r="H124" i="32"/>
  <c r="J124" i="32"/>
  <c r="M124" i="32"/>
  <c r="G124" i="32"/>
  <c r="I124" i="32"/>
  <c r="O124" i="32"/>
  <c r="J194" i="57"/>
  <c r="D194" i="57"/>
  <c r="H194" i="57"/>
  <c r="C194" i="57"/>
  <c r="M194" i="57" s="1"/>
  <c r="P194" i="57"/>
  <c r="K194" i="57"/>
  <c r="F194" i="57"/>
  <c r="I194" i="57"/>
  <c r="G194" i="57"/>
  <c r="E194" i="57"/>
  <c r="Q193" i="57"/>
  <c r="T193" i="57" s="1"/>
  <c r="W132" i="50"/>
  <c r="X132" i="50" s="1"/>
  <c r="Z132" i="50"/>
  <c r="AK193" i="55" a="1"/>
  <c r="AK193" i="55" s="1"/>
  <c r="B195" i="57" s="1"/>
  <c r="O195" i="57" s="1"/>
  <c r="AN179" i="67" a="1"/>
  <c r="AN179" i="67" s="1"/>
  <c r="B180" i="69"/>
  <c r="U177" i="69"/>
  <c r="Q177" i="69"/>
  <c r="R177" i="69"/>
  <c r="S177" i="69" s="1"/>
  <c r="Y177" i="69" s="1"/>
  <c r="AE177" i="69"/>
  <c r="C179" i="69"/>
  <c r="D178" i="69"/>
  <c r="E178" i="69" s="1"/>
  <c r="F178" i="69" s="1"/>
  <c r="G178" i="69" s="1"/>
  <c r="H178" i="69" s="1"/>
  <c r="I178" i="69" s="1"/>
  <c r="J178" i="69" s="1"/>
  <c r="K178" i="69" s="1"/>
  <c r="M178" i="69" s="1"/>
  <c r="N178" i="69"/>
  <c r="AF178" i="69" s="1"/>
  <c r="AL124" i="11" a="1"/>
  <c r="AL124" i="11" s="1"/>
  <c r="E125" i="32" s="1"/>
  <c r="AL134" i="59" a="1"/>
  <c r="AL134" i="59" s="1"/>
  <c r="E135" i="50" s="1"/>
  <c r="AM24" i="59" a="1"/>
  <c r="AM24" i="59" s="1"/>
  <c r="AC21" i="11"/>
  <c r="AB192" i="57" l="1"/>
  <c r="AA192" i="57"/>
  <c r="AB177" i="69"/>
  <c r="AC177" i="69" s="1"/>
  <c r="AD177" i="69" s="1"/>
  <c r="AG177" i="69"/>
  <c r="L180" i="69"/>
  <c r="O180" i="69"/>
  <c r="AO179" i="69"/>
  <c r="P179" i="69"/>
  <c r="X193" i="57"/>
  <c r="AF192" i="57"/>
  <c r="AK135" i="50"/>
  <c r="T135" i="50"/>
  <c r="AB193" i="53"/>
  <c r="AA193" i="53"/>
  <c r="AF193" i="53"/>
  <c r="AC194" i="53"/>
  <c r="AE194" i="53"/>
  <c r="AK125" i="32"/>
  <c r="T125" i="32"/>
  <c r="AD123" i="32"/>
  <c r="AD122" i="32"/>
  <c r="AE194" i="57"/>
  <c r="AC194" i="57"/>
  <c r="AM134" i="50"/>
  <c r="U134" i="50"/>
  <c r="AD133" i="50"/>
  <c r="AG133" i="50" s="1"/>
  <c r="AH133" i="50" s="1"/>
  <c r="AI133" i="50" s="1"/>
  <c r="U124" i="32"/>
  <c r="AI121" i="32"/>
  <c r="AN121" i="32" s="1"/>
  <c r="AP131" i="50"/>
  <c r="R194" i="57"/>
  <c r="R194" i="53"/>
  <c r="X194" i="53" s="1"/>
  <c r="AL132" i="50"/>
  <c r="Q124" i="32"/>
  <c r="P124" i="32" s="1"/>
  <c r="K40" i="36"/>
  <c r="I79" i="22"/>
  <c r="N22" i="32"/>
  <c r="AX178" i="69"/>
  <c r="AG195" i="57"/>
  <c r="L195" i="57"/>
  <c r="O135" i="50"/>
  <c r="AJ194" i="57"/>
  <c r="AP194" i="57"/>
  <c r="AG194" i="53"/>
  <c r="AH194" i="53"/>
  <c r="AT194" i="53"/>
  <c r="N195" i="57"/>
  <c r="N195" i="53"/>
  <c r="AH178" i="69"/>
  <c r="AJ133" i="50"/>
  <c r="C133" i="50"/>
  <c r="AJ123" i="32"/>
  <c r="C123" i="32"/>
  <c r="AJ122" i="32"/>
  <c r="C122" i="32"/>
  <c r="AD194" i="57"/>
  <c r="Q194" i="53"/>
  <c r="AD194" i="53"/>
  <c r="S134" i="50"/>
  <c r="V133" i="50"/>
  <c r="S124" i="32"/>
  <c r="V124" i="32" s="1"/>
  <c r="AK194" i="52" a="1"/>
  <c r="AK194" i="52" s="1"/>
  <c r="B196" i="53" s="1"/>
  <c r="O196" i="53" s="1"/>
  <c r="J195" i="53"/>
  <c r="E195" i="53"/>
  <c r="H195" i="53"/>
  <c r="G195" i="53"/>
  <c r="M195" i="53"/>
  <c r="K195" i="53"/>
  <c r="D195" i="53"/>
  <c r="F195" i="53"/>
  <c r="P195" i="53"/>
  <c r="C195" i="53"/>
  <c r="I195" i="53"/>
  <c r="L195" i="53"/>
  <c r="A125" i="32"/>
  <c r="B125" i="32"/>
  <c r="R125" i="32" s="1"/>
  <c r="M135" i="50"/>
  <c r="G135" i="50"/>
  <c r="A135" i="50"/>
  <c r="Q135" i="50" s="1"/>
  <c r="P135" i="50" s="1"/>
  <c r="L135" i="50"/>
  <c r="J135" i="50"/>
  <c r="K135" i="50"/>
  <c r="F135" i="50"/>
  <c r="I135" i="50"/>
  <c r="B135" i="50"/>
  <c r="R135" i="50" s="1"/>
  <c r="N135" i="50"/>
  <c r="H135" i="50"/>
  <c r="I125" i="32"/>
  <c r="J125" i="32"/>
  <c r="L125" i="32"/>
  <c r="F125" i="32"/>
  <c r="AM125" i="32" s="1"/>
  <c r="N125" i="32"/>
  <c r="K125" i="32"/>
  <c r="H125" i="32"/>
  <c r="G125" i="32"/>
  <c r="M125" i="32"/>
  <c r="O125" i="32"/>
  <c r="Z133" i="50"/>
  <c r="W133" i="50"/>
  <c r="X133" i="50" s="1"/>
  <c r="Q194" i="57"/>
  <c r="T194" i="57" s="1"/>
  <c r="I195" i="57"/>
  <c r="F195" i="57"/>
  <c r="E195" i="57"/>
  <c r="D195" i="57"/>
  <c r="P195" i="57"/>
  <c r="J195" i="57"/>
  <c r="K195" i="57"/>
  <c r="G195" i="57"/>
  <c r="H195" i="57"/>
  <c r="C195" i="57"/>
  <c r="M195" i="57" s="1"/>
  <c r="W122" i="32"/>
  <c r="X122" i="32" s="1"/>
  <c r="Z122" i="32"/>
  <c r="AK194" i="55" a="1"/>
  <c r="AK194" i="55" s="1"/>
  <c r="B196" i="57" s="1"/>
  <c r="O196" i="57" s="1"/>
  <c r="W123" i="32"/>
  <c r="X123" i="32" s="1"/>
  <c r="Z123" i="32"/>
  <c r="AN180" i="67" a="1"/>
  <c r="AN180" i="67" s="1"/>
  <c r="B181" i="69"/>
  <c r="Q178" i="69"/>
  <c r="R178" i="69"/>
  <c r="S178" i="69" s="1"/>
  <c r="Y178" i="69" s="1"/>
  <c r="U178" i="69"/>
  <c r="AE178" i="69"/>
  <c r="N179" i="69"/>
  <c r="AF179" i="69" s="1"/>
  <c r="D179" i="69"/>
  <c r="E179" i="69" s="1"/>
  <c r="F179" i="69" s="1"/>
  <c r="G179" i="69" s="1"/>
  <c r="H179" i="69" s="1"/>
  <c r="I179" i="69" s="1"/>
  <c r="J179" i="69" s="1"/>
  <c r="K179" i="69" s="1"/>
  <c r="M179" i="69" s="1"/>
  <c r="C180" i="69"/>
  <c r="AL125" i="11" a="1"/>
  <c r="AL125" i="11" s="1"/>
  <c r="E126" i="32" s="1"/>
  <c r="AL135" i="59" a="1"/>
  <c r="AL135" i="59" s="1"/>
  <c r="E136" i="50" s="1"/>
  <c r="I4" i="22"/>
  <c r="I13" i="22"/>
  <c r="AM25" i="59" a="1"/>
  <c r="AM25" i="59" s="1"/>
  <c r="I64" i="22"/>
  <c r="I7" i="22"/>
  <c r="I57" i="22"/>
  <c r="I10" i="22"/>
  <c r="AH13" i="11"/>
  <c r="AH15" i="11"/>
  <c r="AH16" i="11"/>
  <c r="AH17" i="11"/>
  <c r="AH19" i="11"/>
  <c r="AF193" i="57" l="1"/>
  <c r="AA193" i="57"/>
  <c r="AB178" i="69"/>
  <c r="AC178" i="69" s="1"/>
  <c r="AD178" i="69" s="1"/>
  <c r="AG178" i="69"/>
  <c r="L181" i="69"/>
  <c r="O181" i="69"/>
  <c r="AO180" i="69"/>
  <c r="P180" i="69"/>
  <c r="AB193" i="57"/>
  <c r="AK136" i="50"/>
  <c r="T136" i="50"/>
  <c r="X194" i="57"/>
  <c r="AA194" i="57" s="1"/>
  <c r="AB194" i="53"/>
  <c r="AA194" i="53"/>
  <c r="AE195" i="53"/>
  <c r="AC195" i="53"/>
  <c r="AF194" i="53"/>
  <c r="AK126" i="32"/>
  <c r="T126" i="32"/>
  <c r="AD124" i="32"/>
  <c r="AE195" i="57"/>
  <c r="AC195" i="57"/>
  <c r="U259" i="59"/>
  <c r="X259" i="59"/>
  <c r="T259" i="59"/>
  <c r="W259" i="59"/>
  <c r="S259" i="59"/>
  <c r="H259" i="59"/>
  <c r="D21" i="36" s="1"/>
  <c r="V259" i="59"/>
  <c r="Q259" i="59"/>
  <c r="H20" i="73" s="1"/>
  <c r="AM135" i="50"/>
  <c r="U135" i="50"/>
  <c r="AD134" i="50"/>
  <c r="AG134" i="50" s="1"/>
  <c r="AH134" i="50" s="1"/>
  <c r="AI134" i="50" s="1"/>
  <c r="U125" i="32"/>
  <c r="AG123" i="32"/>
  <c r="AH123" i="32" s="1"/>
  <c r="AL123" i="32"/>
  <c r="AG122" i="32"/>
  <c r="AH122" i="32" s="1"/>
  <c r="AL122" i="32"/>
  <c r="W261" i="59"/>
  <c r="G259" i="71"/>
  <c r="G259" i="46"/>
  <c r="W261" i="11"/>
  <c r="AP132" i="50"/>
  <c r="R195" i="57"/>
  <c r="R195" i="53"/>
  <c r="X195" i="53" s="1"/>
  <c r="AP133" i="50"/>
  <c r="AL133" i="50"/>
  <c r="Q125" i="32"/>
  <c r="P125" i="32" s="1"/>
  <c r="AQ21" i="11"/>
  <c r="BG8" i="22"/>
  <c r="BG12" i="22"/>
  <c r="G257" i="71"/>
  <c r="S259" i="11"/>
  <c r="L48" i="36"/>
  <c r="L42" i="36"/>
  <c r="L46" i="36"/>
  <c r="L44" i="36"/>
  <c r="W259" i="11"/>
  <c r="T259" i="11"/>
  <c r="L40" i="36"/>
  <c r="AX179" i="69"/>
  <c r="AG196" i="57"/>
  <c r="L196" i="57"/>
  <c r="O136" i="50"/>
  <c r="AJ195" i="57"/>
  <c r="AP195" i="57"/>
  <c r="AH195" i="53"/>
  <c r="AT195" i="53"/>
  <c r="AG195" i="53"/>
  <c r="N196" i="57"/>
  <c r="I196" i="53"/>
  <c r="N196" i="53"/>
  <c r="AH179" i="69"/>
  <c r="AJ134" i="50"/>
  <c r="C134" i="50"/>
  <c r="AJ124" i="32"/>
  <c r="C124" i="32"/>
  <c r="AD195" i="57"/>
  <c r="AD195" i="53"/>
  <c r="S135" i="50"/>
  <c r="V134" i="50"/>
  <c r="S125" i="32"/>
  <c r="V125" i="32" s="1"/>
  <c r="Q195" i="53"/>
  <c r="L196" i="53"/>
  <c r="G196" i="53"/>
  <c r="H196" i="53"/>
  <c r="F196" i="53"/>
  <c r="D196" i="53"/>
  <c r="K196" i="53"/>
  <c r="E196" i="53"/>
  <c r="M196" i="53"/>
  <c r="P196" i="53"/>
  <c r="J196" i="53"/>
  <c r="AK195" i="52" a="1"/>
  <c r="AK195" i="52" s="1"/>
  <c r="B197" i="53" s="1"/>
  <c r="O197" i="53" s="1"/>
  <c r="C196" i="53"/>
  <c r="A126" i="32"/>
  <c r="B126" i="32"/>
  <c r="R126" i="32" s="1"/>
  <c r="F136" i="50"/>
  <c r="N136" i="50"/>
  <c r="G136" i="50"/>
  <c r="J136" i="50"/>
  <c r="H136" i="50"/>
  <c r="I136" i="50"/>
  <c r="B136" i="50"/>
  <c r="R136" i="50" s="1"/>
  <c r="M136" i="50"/>
  <c r="A136" i="50"/>
  <c r="Q136" i="50" s="1"/>
  <c r="P136" i="50" s="1"/>
  <c r="K136" i="50"/>
  <c r="L136" i="50"/>
  <c r="G126" i="32"/>
  <c r="O126" i="32"/>
  <c r="H126" i="32"/>
  <c r="J126" i="32"/>
  <c r="L126" i="32"/>
  <c r="F126" i="32"/>
  <c r="AM126" i="32" s="1"/>
  <c r="I126" i="32"/>
  <c r="N126" i="32"/>
  <c r="M126" i="32"/>
  <c r="K126" i="32"/>
  <c r="Q195" i="57"/>
  <c r="T195" i="57" s="1"/>
  <c r="Z134" i="50"/>
  <c r="W134" i="50"/>
  <c r="X134" i="50" s="1"/>
  <c r="P196" i="57"/>
  <c r="K196" i="57"/>
  <c r="H196" i="57"/>
  <c r="F196" i="57"/>
  <c r="C196" i="57"/>
  <c r="M196" i="57" s="1"/>
  <c r="I196" i="57"/>
  <c r="J196" i="57"/>
  <c r="E196" i="57"/>
  <c r="G196" i="57"/>
  <c r="D196" i="57"/>
  <c r="AK195" i="55" a="1"/>
  <c r="AK195" i="55" s="1"/>
  <c r="B197" i="57" s="1"/>
  <c r="O197" i="57" s="1"/>
  <c r="W124" i="32"/>
  <c r="X124" i="32" s="1"/>
  <c r="Z124" i="32"/>
  <c r="AN181" i="67" a="1"/>
  <c r="AN181" i="67" s="1"/>
  <c r="B182" i="69"/>
  <c r="U179" i="69"/>
  <c r="Q179" i="69"/>
  <c r="AE179" i="69"/>
  <c r="R179" i="69"/>
  <c r="S179" i="69" s="1"/>
  <c r="Y179" i="69" s="1"/>
  <c r="AB179" i="69" s="1"/>
  <c r="AC179" i="69" s="1"/>
  <c r="AD179" i="69" s="1"/>
  <c r="D180" i="69"/>
  <c r="E180" i="69" s="1"/>
  <c r="F180" i="69" s="1"/>
  <c r="G180" i="69" s="1"/>
  <c r="H180" i="69" s="1"/>
  <c r="I180" i="69" s="1"/>
  <c r="J180" i="69" s="1"/>
  <c r="K180" i="69" s="1"/>
  <c r="M180" i="69" s="1"/>
  <c r="N180" i="69"/>
  <c r="AF180" i="69" s="1"/>
  <c r="C181" i="69"/>
  <c r="AL126" i="11" a="1"/>
  <c r="AL126" i="11" s="1"/>
  <c r="E127" i="32" s="1"/>
  <c r="I26" i="22"/>
  <c r="AL136" i="59" a="1"/>
  <c r="AL136" i="59" s="1"/>
  <c r="E137" i="50" s="1"/>
  <c r="AH11" i="11"/>
  <c r="I5" i="22"/>
  <c r="I45" i="22"/>
  <c r="AM26" i="59" a="1"/>
  <c r="AM26" i="59" s="1"/>
  <c r="I56" i="22"/>
  <c r="I23" i="22"/>
  <c r="AH20" i="11"/>
  <c r="AH258" i="11"/>
  <c r="AH24" i="11"/>
  <c r="AH31" i="11"/>
  <c r="I48" i="22"/>
  <c r="AH22" i="11"/>
  <c r="AH21" i="11"/>
  <c r="AH18" i="11"/>
  <c r="AH14" i="11"/>
  <c r="AH23" i="11"/>
  <c r="AH12" i="11"/>
  <c r="AH25" i="11"/>
  <c r="AH233" i="11"/>
  <c r="AH256" i="11"/>
  <c r="AH240" i="11"/>
  <c r="AH216" i="11"/>
  <c r="AH200" i="11"/>
  <c r="AH184" i="11"/>
  <c r="AH168" i="11"/>
  <c r="AH152" i="11"/>
  <c r="AH136" i="11"/>
  <c r="AH120" i="11"/>
  <c r="AH104" i="11"/>
  <c r="AH88" i="11"/>
  <c r="AH72" i="11"/>
  <c r="AH56" i="11"/>
  <c r="AH40" i="11"/>
  <c r="AH255" i="11"/>
  <c r="AH247" i="11"/>
  <c r="AH239" i="11"/>
  <c r="AH231" i="11"/>
  <c r="AH223" i="11"/>
  <c r="AH215" i="11"/>
  <c r="AH207" i="11"/>
  <c r="AH199" i="11"/>
  <c r="AH191" i="11"/>
  <c r="AH183" i="11"/>
  <c r="AH175" i="11"/>
  <c r="AH167" i="11"/>
  <c r="AH159" i="11"/>
  <c r="AH151" i="11"/>
  <c r="AH143" i="11"/>
  <c r="AH135" i="11"/>
  <c r="AH127" i="11"/>
  <c r="AH119" i="11"/>
  <c r="AH111" i="11"/>
  <c r="AH103" i="11"/>
  <c r="AH95" i="11"/>
  <c r="AH87" i="11"/>
  <c r="AH79" i="11"/>
  <c r="AH71" i="11"/>
  <c r="AH63" i="11"/>
  <c r="AH55" i="11"/>
  <c r="AH47" i="11"/>
  <c r="AH39" i="11"/>
  <c r="AH226" i="11"/>
  <c r="AH178" i="11"/>
  <c r="AH130" i="11"/>
  <c r="AH66" i="11"/>
  <c r="AH254" i="11"/>
  <c r="AH230" i="11"/>
  <c r="AH222" i="11"/>
  <c r="AH214" i="11"/>
  <c r="AH206" i="11"/>
  <c r="AH198" i="11"/>
  <c r="AH190" i="11"/>
  <c r="AH182" i="11"/>
  <c r="AH174" i="11"/>
  <c r="AH166" i="11"/>
  <c r="AH158" i="11"/>
  <c r="AH150" i="11"/>
  <c r="AH142" i="11"/>
  <c r="AH134" i="11"/>
  <c r="AH126" i="11"/>
  <c r="AH118" i="11"/>
  <c r="AH110" i="11"/>
  <c r="AH102" i="11"/>
  <c r="AH94" i="11"/>
  <c r="AH86" i="11"/>
  <c r="AH78" i="11"/>
  <c r="AH70" i="11"/>
  <c r="AH62" i="11"/>
  <c r="AH54" i="11"/>
  <c r="AH46" i="11"/>
  <c r="AH38" i="11"/>
  <c r="AH30" i="11"/>
  <c r="AH210" i="11"/>
  <c r="AH162" i="11"/>
  <c r="AH114" i="11"/>
  <c r="AH74" i="11"/>
  <c r="AH34" i="11"/>
  <c r="AH253" i="11"/>
  <c r="AH237" i="11"/>
  <c r="AH221" i="11"/>
  <c r="AH213" i="11"/>
  <c r="AH205" i="11"/>
  <c r="AH197" i="11"/>
  <c r="AH189" i="11"/>
  <c r="AH181" i="11"/>
  <c r="AH173" i="11"/>
  <c r="AH165" i="11"/>
  <c r="AH157" i="11"/>
  <c r="AH149" i="11"/>
  <c r="AH141" i="11"/>
  <c r="AH133" i="11"/>
  <c r="AH125" i="11"/>
  <c r="AH117" i="11"/>
  <c r="AH109" i="11"/>
  <c r="AH101" i="11"/>
  <c r="AH93" i="11"/>
  <c r="AH85" i="11"/>
  <c r="AH77" i="11"/>
  <c r="AH69" i="11"/>
  <c r="AH61" i="11"/>
  <c r="AH53" i="11"/>
  <c r="AH45" i="11"/>
  <c r="AH37" i="11"/>
  <c r="AH29" i="11"/>
  <c r="AH250" i="11"/>
  <c r="AH218" i="11"/>
  <c r="AH186" i="11"/>
  <c r="AH154" i="11"/>
  <c r="AH122" i="11"/>
  <c r="AH90" i="11"/>
  <c r="AH42" i="11"/>
  <c r="AH238" i="11"/>
  <c r="AH245" i="11"/>
  <c r="AH244" i="11"/>
  <c r="AH220" i="11"/>
  <c r="AH204" i="11"/>
  <c r="AH188" i="11"/>
  <c r="AH172" i="11"/>
  <c r="AH148" i="11"/>
  <c r="AH132" i="11"/>
  <c r="AH116" i="11"/>
  <c r="AH100" i="11"/>
  <c r="AH84" i="11"/>
  <c r="AH68" i="11"/>
  <c r="AH52" i="11"/>
  <c r="AH44" i="11"/>
  <c r="AH36" i="11"/>
  <c r="AH28" i="11"/>
  <c r="AH242" i="11"/>
  <c r="AH194" i="11"/>
  <c r="AH146" i="11"/>
  <c r="AH106" i="11"/>
  <c r="AH82" i="11"/>
  <c r="AH50" i="11"/>
  <c r="AH26" i="11"/>
  <c r="AH246" i="11"/>
  <c r="AH229" i="11"/>
  <c r="AH252" i="11"/>
  <c r="AH236" i="11"/>
  <c r="AH228" i="11"/>
  <c r="AH212" i="11"/>
  <c r="AH196" i="11"/>
  <c r="AH180" i="11"/>
  <c r="AH164" i="11"/>
  <c r="AH156" i="11"/>
  <c r="AH140" i="11"/>
  <c r="AH124" i="11"/>
  <c r="AH108" i="11"/>
  <c r="AH92" i="11"/>
  <c r="AH76" i="11"/>
  <c r="AH60" i="11"/>
  <c r="AH251" i="11"/>
  <c r="AH243" i="11"/>
  <c r="AH235" i="11"/>
  <c r="AH227" i="11"/>
  <c r="AH219" i="11"/>
  <c r="AH211" i="11"/>
  <c r="AH203" i="11"/>
  <c r="AH195" i="11"/>
  <c r="AH187" i="11"/>
  <c r="AH179" i="11"/>
  <c r="AH171" i="11"/>
  <c r="AH163" i="11"/>
  <c r="AH155" i="11"/>
  <c r="AH147" i="11"/>
  <c r="AH139" i="11"/>
  <c r="AH131" i="11"/>
  <c r="AH123" i="11"/>
  <c r="AH115" i="11"/>
  <c r="AH107" i="11"/>
  <c r="AH99" i="11"/>
  <c r="AH91" i="11"/>
  <c r="AH83" i="11"/>
  <c r="AH75" i="11"/>
  <c r="AH67" i="11"/>
  <c r="AH59" i="11"/>
  <c r="AH51" i="11"/>
  <c r="AH43" i="11"/>
  <c r="AH35" i="11"/>
  <c r="AH27" i="11"/>
  <c r="AH257" i="11"/>
  <c r="AH249" i="11"/>
  <c r="AH225" i="11"/>
  <c r="AH217" i="11"/>
  <c r="AH209" i="11"/>
  <c r="AH201" i="11"/>
  <c r="AH193" i="11"/>
  <c r="AH185" i="11"/>
  <c r="AH177" i="11"/>
  <c r="AH169" i="11"/>
  <c r="AH161" i="11"/>
  <c r="AH153" i="11"/>
  <c r="AH145" i="11"/>
  <c r="AH137" i="11"/>
  <c r="AH129" i="11"/>
  <c r="AH121" i="11"/>
  <c r="AH113" i="11"/>
  <c r="AH105" i="11"/>
  <c r="AH97" i="11"/>
  <c r="AH89" i="11"/>
  <c r="AH81" i="11"/>
  <c r="AH73" i="11"/>
  <c r="AH65" i="11"/>
  <c r="AH57" i="11"/>
  <c r="AH49" i="11"/>
  <c r="AH41" i="11"/>
  <c r="AH33" i="11"/>
  <c r="AH234" i="11"/>
  <c r="AH202" i="11"/>
  <c r="AH170" i="11"/>
  <c r="AH138" i="11"/>
  <c r="AH98" i="11"/>
  <c r="AH58" i="11"/>
  <c r="AH241" i="11"/>
  <c r="AH248" i="11"/>
  <c r="AH232" i="11"/>
  <c r="AH224" i="11"/>
  <c r="AH208" i="11"/>
  <c r="AH192" i="11"/>
  <c r="AH176" i="11"/>
  <c r="AH160" i="11"/>
  <c r="AH144" i="11"/>
  <c r="AH128" i="11"/>
  <c r="AH112" i="11"/>
  <c r="AH96" i="11"/>
  <c r="AH80" i="11"/>
  <c r="AH64" i="11"/>
  <c r="AH48" i="11"/>
  <c r="AH32" i="11"/>
  <c r="L87" i="22"/>
  <c r="L56" i="22"/>
  <c r="L32" i="22"/>
  <c r="L28" i="22"/>
  <c r="L59" i="22"/>
  <c r="L46" i="22"/>
  <c r="L42" i="22"/>
  <c r="L39" i="22"/>
  <c r="L35" i="22"/>
  <c r="L82" i="22"/>
  <c r="L31" i="22"/>
  <c r="J11" i="11"/>
  <c r="Q11" i="11" s="1"/>
  <c r="D30" i="36" l="1"/>
  <c r="D24" i="36"/>
  <c r="F28" i="22"/>
  <c r="F57" i="22"/>
  <c r="AG179" i="69"/>
  <c r="AO181" i="69"/>
  <c r="P181" i="69"/>
  <c r="L182" i="69"/>
  <c r="O182" i="69"/>
  <c r="F4" i="22"/>
  <c r="F9" i="22"/>
  <c r="T137" i="50"/>
  <c r="AK137" i="50"/>
  <c r="D27" i="36"/>
  <c r="F60" i="22"/>
  <c r="AF194" i="57"/>
  <c r="AB194" i="57"/>
  <c r="AB195" i="53"/>
  <c r="AA195" i="53"/>
  <c r="AF195" i="53"/>
  <c r="AE196" i="53"/>
  <c r="AC196" i="53"/>
  <c r="AK127" i="32"/>
  <c r="T127" i="32"/>
  <c r="AD125" i="32"/>
  <c r="X195" i="57"/>
  <c r="AA195" i="57" s="1"/>
  <c r="AE196" i="57"/>
  <c r="AC196" i="57"/>
  <c r="AM136" i="50"/>
  <c r="U136" i="50"/>
  <c r="AD135" i="50"/>
  <c r="AG135" i="50" s="1"/>
  <c r="AH135" i="50" s="1"/>
  <c r="AI135" i="50" s="1"/>
  <c r="U126" i="32"/>
  <c r="AG124" i="32"/>
  <c r="AH124" i="32" s="1"/>
  <c r="AL124" i="32"/>
  <c r="O5" i="71"/>
  <c r="P5" i="46"/>
  <c r="AI122" i="32"/>
  <c r="AN122" i="32" s="1"/>
  <c r="R196" i="57"/>
  <c r="R196" i="53"/>
  <c r="X196" i="53" s="1"/>
  <c r="AL134" i="50"/>
  <c r="Q126" i="32"/>
  <c r="P126" i="32" s="1"/>
  <c r="BG16" i="22"/>
  <c r="BG7" i="22"/>
  <c r="AI123" i="32"/>
  <c r="AN123" i="32" s="1"/>
  <c r="AX180" i="69"/>
  <c r="AG197" i="57"/>
  <c r="L197" i="57"/>
  <c r="O137" i="50"/>
  <c r="AJ196" i="57"/>
  <c r="AP196" i="57"/>
  <c r="AH196" i="53"/>
  <c r="AT196" i="53"/>
  <c r="AG196" i="53"/>
  <c r="N197" i="57"/>
  <c r="E197" i="53"/>
  <c r="N197" i="53"/>
  <c r="AH180" i="69"/>
  <c r="AJ135" i="50"/>
  <c r="C135" i="50"/>
  <c r="AJ125" i="32"/>
  <c r="C125" i="32"/>
  <c r="AD196" i="57"/>
  <c r="AD196" i="53"/>
  <c r="I12" i="32"/>
  <c r="Q196" i="53"/>
  <c r="S136" i="50"/>
  <c r="V135" i="50"/>
  <c r="S126" i="32"/>
  <c r="V126" i="32" s="1"/>
  <c r="P197" i="53"/>
  <c r="H197" i="53"/>
  <c r="C197" i="53"/>
  <c r="I197" i="53"/>
  <c r="F197" i="53"/>
  <c r="K197" i="53"/>
  <c r="M197" i="53"/>
  <c r="L197" i="53"/>
  <c r="D197" i="53"/>
  <c r="AK196" i="52" a="1"/>
  <c r="AK196" i="52" s="1"/>
  <c r="B198" i="53" s="1"/>
  <c r="O198" i="53" s="1"/>
  <c r="J197" i="53"/>
  <c r="G197" i="53"/>
  <c r="A127" i="32"/>
  <c r="B127" i="32"/>
  <c r="R127" i="32" s="1"/>
  <c r="J137" i="50"/>
  <c r="F137" i="50"/>
  <c r="M137" i="50"/>
  <c r="H137" i="50"/>
  <c r="K137" i="50"/>
  <c r="I137" i="50"/>
  <c r="G137" i="50"/>
  <c r="A137" i="50"/>
  <c r="Q137" i="50" s="1"/>
  <c r="P137" i="50" s="1"/>
  <c r="N137" i="50"/>
  <c r="L137" i="50"/>
  <c r="B137" i="50"/>
  <c r="R137" i="50" s="1"/>
  <c r="M127" i="32"/>
  <c r="F127" i="32"/>
  <c r="AM127" i="32" s="1"/>
  <c r="N127" i="32"/>
  <c r="H127" i="32"/>
  <c r="J127" i="32"/>
  <c r="G127" i="32"/>
  <c r="L127" i="32"/>
  <c r="O127" i="32"/>
  <c r="I127" i="32"/>
  <c r="K127" i="32"/>
  <c r="V11" i="11"/>
  <c r="V259" i="11" s="1"/>
  <c r="D28" i="36" s="1"/>
  <c r="U11" i="11"/>
  <c r="Z135" i="50"/>
  <c r="W135" i="50"/>
  <c r="X135" i="50" s="1"/>
  <c r="J197" i="57"/>
  <c r="E197" i="57"/>
  <c r="P197" i="57"/>
  <c r="K197" i="57"/>
  <c r="G197" i="57"/>
  <c r="C197" i="57"/>
  <c r="M197" i="57" s="1"/>
  <c r="I197" i="57"/>
  <c r="D197" i="57"/>
  <c r="F197" i="57"/>
  <c r="H197" i="57"/>
  <c r="Q196" i="57"/>
  <c r="T196" i="57" s="1"/>
  <c r="AK196" i="55" a="1"/>
  <c r="AK196" i="55" s="1"/>
  <c r="B198" i="57" s="1"/>
  <c r="O198" i="57" s="1"/>
  <c r="W125" i="32"/>
  <c r="X125" i="32" s="1"/>
  <c r="Z125" i="32"/>
  <c r="Q180" i="69"/>
  <c r="R180" i="69"/>
  <c r="S180" i="69" s="1"/>
  <c r="Y180" i="69" s="1"/>
  <c r="U180" i="69"/>
  <c r="AE180" i="69"/>
  <c r="N181" i="69"/>
  <c r="AF181" i="69" s="1"/>
  <c r="D181" i="69"/>
  <c r="E181" i="69" s="1"/>
  <c r="F181" i="69" s="1"/>
  <c r="G181" i="69" s="1"/>
  <c r="H181" i="69" s="1"/>
  <c r="I181" i="69" s="1"/>
  <c r="J181" i="69" s="1"/>
  <c r="K181" i="69" s="1"/>
  <c r="M181" i="69" s="1"/>
  <c r="C182" i="69"/>
  <c r="AN182" i="67" a="1"/>
  <c r="AN182" i="67" s="1"/>
  <c r="B183" i="69"/>
  <c r="AL127" i="11" a="1"/>
  <c r="AL127" i="11" s="1"/>
  <c r="E128" i="32" s="1"/>
  <c r="L55" i="22"/>
  <c r="L52" i="22"/>
  <c r="L53" i="22"/>
  <c r="L14" i="22"/>
  <c r="L44" i="22"/>
  <c r="L58" i="22"/>
  <c r="L38" i="22"/>
  <c r="L97" i="22"/>
  <c r="L79" i="22"/>
  <c r="L67" i="22"/>
  <c r="L98" i="22"/>
  <c r="L60" i="22"/>
  <c r="L72" i="22"/>
  <c r="L70" i="22"/>
  <c r="L40" i="22"/>
  <c r="L36" i="22"/>
  <c r="L73" i="22"/>
  <c r="L23" i="22"/>
  <c r="L54" i="22"/>
  <c r="L69" i="22"/>
  <c r="L81" i="22"/>
  <c r="L96" i="22"/>
  <c r="L24" i="22"/>
  <c r="L83" i="22"/>
  <c r="L85" i="22"/>
  <c r="L77" i="22"/>
  <c r="L50" i="22"/>
  <c r="L95" i="22"/>
  <c r="L37" i="22"/>
  <c r="L27" i="22"/>
  <c r="L88" i="22"/>
  <c r="L61" i="22"/>
  <c r="L86" i="22"/>
  <c r="L18" i="22"/>
  <c r="L47" i="22"/>
  <c r="L90" i="22"/>
  <c r="L49" i="22"/>
  <c r="L26" i="22"/>
  <c r="L71" i="22"/>
  <c r="L84" i="22"/>
  <c r="L45" i="22"/>
  <c r="L25" i="22"/>
  <c r="L93" i="22"/>
  <c r="L65" i="22"/>
  <c r="L80" i="22"/>
  <c r="L16" i="22"/>
  <c r="L30" i="22"/>
  <c r="L48" i="22"/>
  <c r="L63" i="22"/>
  <c r="L41" i="22"/>
  <c r="L20" i="22"/>
  <c r="L21" i="22"/>
  <c r="L29" i="22"/>
  <c r="L43" i="22"/>
  <c r="L68" i="22"/>
  <c r="L19" i="22"/>
  <c r="L33" i="22"/>
  <c r="L51" i="22"/>
  <c r="L66" i="22"/>
  <c r="L94" i="22"/>
  <c r="L15" i="22"/>
  <c r="AL137" i="59" a="1"/>
  <c r="AL137" i="59" s="1"/>
  <c r="E138" i="50" s="1"/>
  <c r="AM27" i="59" a="1"/>
  <c r="AM27" i="59" s="1"/>
  <c r="L10" i="22"/>
  <c r="L34" i="22"/>
  <c r="L9" i="22"/>
  <c r="L11" i="22"/>
  <c r="L22" i="22"/>
  <c r="L12" i="22"/>
  <c r="AD258" i="11"/>
  <c r="AD13" i="11"/>
  <c r="AD17" i="11"/>
  <c r="AD24" i="11"/>
  <c r="AD22" i="11"/>
  <c r="AD31" i="11"/>
  <c r="AD32" i="11"/>
  <c r="AD64" i="11"/>
  <c r="AD96" i="11"/>
  <c r="AD128" i="11"/>
  <c r="AD160" i="11"/>
  <c r="AD192" i="11"/>
  <c r="AD224" i="11"/>
  <c r="AD248" i="11"/>
  <c r="AD58" i="11"/>
  <c r="AD138" i="11"/>
  <c r="AD202" i="11"/>
  <c r="AD33" i="11"/>
  <c r="AD49" i="11"/>
  <c r="AD65" i="11"/>
  <c r="AD81" i="11"/>
  <c r="AD97" i="11"/>
  <c r="AD113" i="11"/>
  <c r="AD129" i="11"/>
  <c r="AD145" i="11"/>
  <c r="AD161" i="11"/>
  <c r="AD177" i="11"/>
  <c r="AD193" i="11"/>
  <c r="AD209" i="11"/>
  <c r="AD225" i="11"/>
  <c r="AD257" i="11"/>
  <c r="AD35" i="11"/>
  <c r="AD51" i="11"/>
  <c r="AD67" i="11"/>
  <c r="AD83" i="11"/>
  <c r="AD99" i="11"/>
  <c r="AD115" i="11"/>
  <c r="AD131" i="11"/>
  <c r="AD147" i="11"/>
  <c r="AD163" i="11"/>
  <c r="AD179" i="11"/>
  <c r="AD195" i="11"/>
  <c r="AD211" i="11"/>
  <c r="AD227" i="11"/>
  <c r="AD243" i="11"/>
  <c r="AD60" i="11"/>
  <c r="AD92" i="11"/>
  <c r="AD124" i="11"/>
  <c r="AD156" i="11"/>
  <c r="AD180" i="11"/>
  <c r="AD212" i="11"/>
  <c r="AD236" i="11"/>
  <c r="AD229" i="11"/>
  <c r="AD26" i="11"/>
  <c r="AD82" i="11"/>
  <c r="AD146" i="11"/>
  <c r="AD242" i="11"/>
  <c r="AD36" i="11"/>
  <c r="AD52" i="11"/>
  <c r="AD84" i="11"/>
  <c r="AD116" i="11"/>
  <c r="AD148" i="11"/>
  <c r="AD188" i="11"/>
  <c r="AD220" i="11"/>
  <c r="AD245" i="11"/>
  <c r="AD42" i="11"/>
  <c r="AD122" i="11"/>
  <c r="AD186" i="11"/>
  <c r="AD250" i="11"/>
  <c r="AD37" i="11"/>
  <c r="AD53" i="11"/>
  <c r="AD69" i="11"/>
  <c r="AD85" i="11"/>
  <c r="AD101" i="11"/>
  <c r="AD117" i="11"/>
  <c r="AD133" i="11"/>
  <c r="AD149" i="11"/>
  <c r="AD165" i="11"/>
  <c r="AD181" i="11"/>
  <c r="AD197" i="11"/>
  <c r="AD213" i="11"/>
  <c r="AD237" i="11"/>
  <c r="AD34" i="11"/>
  <c r="AD114" i="11"/>
  <c r="AD210" i="11"/>
  <c r="AD38" i="11"/>
  <c r="AD54" i="11"/>
  <c r="AD70" i="11"/>
  <c r="AD86" i="11"/>
  <c r="AD102" i="11"/>
  <c r="AD118" i="11"/>
  <c r="AD134" i="11"/>
  <c r="AD150" i="11"/>
  <c r="AD166" i="11"/>
  <c r="AD182" i="11"/>
  <c r="AD198" i="11"/>
  <c r="AD214" i="11"/>
  <c r="AD230" i="11"/>
  <c r="AD66" i="11"/>
  <c r="AD178" i="11"/>
  <c r="AD39" i="11"/>
  <c r="AD55" i="11"/>
  <c r="AD71" i="11"/>
  <c r="AD87" i="11"/>
  <c r="AD103" i="11"/>
  <c r="AD119" i="11"/>
  <c r="AD135" i="11"/>
  <c r="AD151" i="11"/>
  <c r="AD167" i="11"/>
  <c r="AD183" i="11"/>
  <c r="AD199" i="11"/>
  <c r="AD215" i="11"/>
  <c r="AD231" i="11"/>
  <c r="AD247" i="11"/>
  <c r="AD40" i="11"/>
  <c r="AD72" i="11"/>
  <c r="AD104" i="11"/>
  <c r="AD136" i="11"/>
  <c r="AD168" i="11"/>
  <c r="AD200" i="11"/>
  <c r="AD240" i="11"/>
  <c r="AD233" i="11"/>
  <c r="AD12" i="11"/>
  <c r="AD11" i="11"/>
  <c r="AD16" i="11"/>
  <c r="AD14" i="11"/>
  <c r="AD19" i="11"/>
  <c r="AD20" i="11"/>
  <c r="AD21" i="11"/>
  <c r="AD15" i="11"/>
  <c r="AD48" i="11"/>
  <c r="AD80" i="11"/>
  <c r="AD112" i="11"/>
  <c r="AD144" i="11"/>
  <c r="AD176" i="11"/>
  <c r="AD208" i="11"/>
  <c r="AD232" i="11"/>
  <c r="AD241" i="11"/>
  <c r="AD98" i="11"/>
  <c r="AD170" i="11"/>
  <c r="AD234" i="11"/>
  <c r="AD41" i="11"/>
  <c r="AD57" i="11"/>
  <c r="AD73" i="11"/>
  <c r="AD89" i="11"/>
  <c r="AD105" i="11"/>
  <c r="AD121" i="11"/>
  <c r="AD137" i="11"/>
  <c r="AD153" i="11"/>
  <c r="AD169" i="11"/>
  <c r="AD185" i="11"/>
  <c r="AD201" i="11"/>
  <c r="AD217" i="11"/>
  <c r="AD249" i="11"/>
  <c r="H124" i="22"/>
  <c r="AD27" i="11"/>
  <c r="AD43" i="11"/>
  <c r="AD59" i="11"/>
  <c r="AD75" i="11"/>
  <c r="AD91" i="11"/>
  <c r="AD107" i="11"/>
  <c r="AD123" i="11"/>
  <c r="AD139" i="11"/>
  <c r="AD155" i="11"/>
  <c r="AD171" i="11"/>
  <c r="AD187" i="11"/>
  <c r="AD203" i="11"/>
  <c r="AD219" i="11"/>
  <c r="AD235" i="11"/>
  <c r="AD251" i="11"/>
  <c r="AD76" i="11"/>
  <c r="AD108" i="11"/>
  <c r="AD140" i="11"/>
  <c r="AD164" i="11"/>
  <c r="AD196" i="11"/>
  <c r="AD228" i="11"/>
  <c r="AD252" i="11"/>
  <c r="AD246" i="11"/>
  <c r="H42" i="22"/>
  <c r="AD50" i="11"/>
  <c r="AD106" i="11"/>
  <c r="AD194" i="11"/>
  <c r="AD28" i="11"/>
  <c r="AD44" i="11"/>
  <c r="AD68" i="11"/>
  <c r="AD100" i="11"/>
  <c r="AD132" i="11"/>
  <c r="AD172" i="11"/>
  <c r="AD204" i="11"/>
  <c r="AD244" i="11"/>
  <c r="AD238" i="11"/>
  <c r="AD90" i="11"/>
  <c r="AD154" i="11"/>
  <c r="AD218" i="11"/>
  <c r="AD29" i="11"/>
  <c r="AD45" i="11"/>
  <c r="AD61" i="11"/>
  <c r="AD77" i="11"/>
  <c r="AD109" i="11"/>
  <c r="AD125" i="11"/>
  <c r="AD141" i="11"/>
  <c r="AD157" i="11"/>
  <c r="AD173" i="11"/>
  <c r="AD189" i="11"/>
  <c r="AD205" i="11"/>
  <c r="AD221" i="11"/>
  <c r="AD253" i="11"/>
  <c r="AD74" i="11"/>
  <c r="AD162" i="11"/>
  <c r="H101" i="22"/>
  <c r="AD30" i="11"/>
  <c r="AD46" i="11"/>
  <c r="AD62" i="11"/>
  <c r="AD78" i="11"/>
  <c r="AD94" i="11"/>
  <c r="AD110" i="11"/>
  <c r="AD126" i="11"/>
  <c r="AD142" i="11"/>
  <c r="AD158" i="11"/>
  <c r="AD174" i="11"/>
  <c r="AD190" i="11"/>
  <c r="AD206" i="11"/>
  <c r="AD222" i="11"/>
  <c r="AD254" i="11"/>
  <c r="AD130" i="11"/>
  <c r="AD226" i="11"/>
  <c r="AD47" i="11"/>
  <c r="AD63" i="11"/>
  <c r="AD79" i="11"/>
  <c r="AD95" i="11"/>
  <c r="AD111" i="11"/>
  <c r="AD127" i="11"/>
  <c r="AD143" i="11"/>
  <c r="AD159" i="11"/>
  <c r="AD175" i="11"/>
  <c r="AD191" i="11"/>
  <c r="AD207" i="11"/>
  <c r="AD223" i="11"/>
  <c r="AD239" i="11"/>
  <c r="AD255" i="11"/>
  <c r="AD56" i="11"/>
  <c r="AD88" i="11"/>
  <c r="AD120" i="11"/>
  <c r="AD152" i="11"/>
  <c r="AD184" i="11"/>
  <c r="AD216" i="11"/>
  <c r="AD256" i="11"/>
  <c r="AD25" i="11"/>
  <c r="AD23" i="11"/>
  <c r="AM11" i="11" a="1"/>
  <c r="AM11" i="11" s="1"/>
  <c r="AD18" i="11"/>
  <c r="L13" i="22"/>
  <c r="T12" i="32" l="1"/>
  <c r="U12" i="32" s="1"/>
  <c r="AD12" i="32" s="1"/>
  <c r="AG12" i="32" s="1"/>
  <c r="AB180" i="69"/>
  <c r="AC180" i="69" s="1"/>
  <c r="AD180" i="69" s="1"/>
  <c r="AG180" i="69"/>
  <c r="L183" i="69"/>
  <c r="O183" i="69"/>
  <c r="AO182" i="69"/>
  <c r="P182" i="69"/>
  <c r="X11" i="11"/>
  <c r="T138" i="50"/>
  <c r="AK138" i="50"/>
  <c r="AB196" i="53"/>
  <c r="AA196" i="53"/>
  <c r="AE197" i="53"/>
  <c r="AC197" i="53"/>
  <c r="AF196" i="53"/>
  <c r="AK128" i="32"/>
  <c r="T128" i="32"/>
  <c r="AD126" i="32"/>
  <c r="X196" i="57"/>
  <c r="AB195" i="57"/>
  <c r="AF195" i="57"/>
  <c r="AE197" i="57"/>
  <c r="AC197" i="57"/>
  <c r="AM137" i="50"/>
  <c r="U137" i="50"/>
  <c r="AD136" i="50"/>
  <c r="AG136" i="50" s="1"/>
  <c r="AH136" i="50" s="1"/>
  <c r="AI136" i="50" s="1"/>
  <c r="U127" i="32"/>
  <c r="AG125" i="32"/>
  <c r="AH125" i="32" s="1"/>
  <c r="AL125" i="32"/>
  <c r="H128" i="22"/>
  <c r="H106" i="22"/>
  <c r="AP134" i="50"/>
  <c r="R197" i="57"/>
  <c r="R197" i="53"/>
  <c r="X197" i="53" s="1"/>
  <c r="AL135" i="50"/>
  <c r="Q127" i="32"/>
  <c r="P127" i="32" s="1"/>
  <c r="U259" i="11"/>
  <c r="D25" i="36" s="1"/>
  <c r="F18" i="22"/>
  <c r="F26" i="22"/>
  <c r="AI124" i="32"/>
  <c r="AN124" i="32" s="1"/>
  <c r="H112" i="22"/>
  <c r="AX181" i="69"/>
  <c r="AG198" i="57"/>
  <c r="L198" i="57"/>
  <c r="O138" i="50"/>
  <c r="AJ197" i="57"/>
  <c r="AP197" i="57"/>
  <c r="AG197" i="53"/>
  <c r="AH197" i="53"/>
  <c r="AT197" i="53"/>
  <c r="N198" i="57"/>
  <c r="G198" i="53"/>
  <c r="N198" i="53"/>
  <c r="AH181" i="69"/>
  <c r="AJ136" i="50"/>
  <c r="C136" i="50"/>
  <c r="AJ126" i="32"/>
  <c r="C126" i="32"/>
  <c r="AD197" i="57"/>
  <c r="AD197" i="53"/>
  <c r="S137" i="50"/>
  <c r="V136" i="50"/>
  <c r="S127" i="32"/>
  <c r="V127" i="32" s="1"/>
  <c r="Q197" i="53"/>
  <c r="F198" i="53"/>
  <c r="H198" i="53"/>
  <c r="AK197" i="52" a="1"/>
  <c r="AK197" i="52" s="1"/>
  <c r="B199" i="53" s="1"/>
  <c r="O199" i="53" s="1"/>
  <c r="K198" i="53"/>
  <c r="J198" i="53"/>
  <c r="D198" i="53"/>
  <c r="L198" i="53"/>
  <c r="I198" i="53"/>
  <c r="C198" i="53"/>
  <c r="P198" i="53"/>
  <c r="E198" i="53"/>
  <c r="M198" i="53"/>
  <c r="A128" i="32"/>
  <c r="B128" i="32"/>
  <c r="R128" i="32" s="1"/>
  <c r="H138" i="50"/>
  <c r="I138" i="50"/>
  <c r="M138" i="50"/>
  <c r="F138" i="50"/>
  <c r="G138" i="50"/>
  <c r="N138" i="50"/>
  <c r="J138" i="50"/>
  <c r="K138" i="50"/>
  <c r="B138" i="50"/>
  <c r="R138" i="50" s="1"/>
  <c r="A138" i="50"/>
  <c r="Q138" i="50" s="1"/>
  <c r="P138" i="50" s="1"/>
  <c r="L138" i="50"/>
  <c r="K128" i="32"/>
  <c r="L128" i="32"/>
  <c r="F128" i="32"/>
  <c r="AM128" i="32" s="1"/>
  <c r="N128" i="32"/>
  <c r="H128" i="32"/>
  <c r="M128" i="32"/>
  <c r="J128" i="32"/>
  <c r="I128" i="32"/>
  <c r="O128" i="32"/>
  <c r="G128" i="32"/>
  <c r="D198" i="57"/>
  <c r="J198" i="57"/>
  <c r="G198" i="57"/>
  <c r="P198" i="57"/>
  <c r="K198" i="57"/>
  <c r="F198" i="57"/>
  <c r="H198" i="57"/>
  <c r="I198" i="57"/>
  <c r="E198" i="57"/>
  <c r="C198" i="57"/>
  <c r="M198" i="57" s="1"/>
  <c r="Q197" i="57"/>
  <c r="T197" i="57" s="1"/>
  <c r="Z136" i="50"/>
  <c r="W136" i="50"/>
  <c r="X136" i="50" s="1"/>
  <c r="H130" i="22"/>
  <c r="H113" i="22"/>
  <c r="AK197" i="55" a="1"/>
  <c r="AK197" i="55" s="1"/>
  <c r="B199" i="57" s="1"/>
  <c r="O199" i="57" s="1"/>
  <c r="W126" i="32"/>
  <c r="X126" i="32" s="1"/>
  <c r="Z126" i="32"/>
  <c r="N182" i="69"/>
  <c r="AF182" i="69" s="1"/>
  <c r="D182" i="69"/>
  <c r="E182" i="69" s="1"/>
  <c r="F182" i="69" s="1"/>
  <c r="G182" i="69" s="1"/>
  <c r="H182" i="69" s="1"/>
  <c r="I182" i="69" s="1"/>
  <c r="J182" i="69" s="1"/>
  <c r="K182" i="69" s="1"/>
  <c r="M182" i="69" s="1"/>
  <c r="R181" i="69"/>
  <c r="S181" i="69" s="1"/>
  <c r="Y181" i="69" s="1"/>
  <c r="Q181" i="69"/>
  <c r="U181" i="69"/>
  <c r="AE181" i="69"/>
  <c r="C183" i="69"/>
  <c r="AN183" i="67" a="1"/>
  <c r="AN183" i="67" s="1"/>
  <c r="B184" i="69"/>
  <c r="L91" i="22"/>
  <c r="H100" i="22"/>
  <c r="L124" i="22"/>
  <c r="AL128" i="11" a="1"/>
  <c r="AL128" i="11" s="1"/>
  <c r="E129" i="32" s="1"/>
  <c r="H77" i="22"/>
  <c r="H67" i="22"/>
  <c r="H95" i="22"/>
  <c r="H98" i="22"/>
  <c r="H96" i="22"/>
  <c r="H38" i="22"/>
  <c r="H54" i="22"/>
  <c r="H65" i="22"/>
  <c r="H97" i="22"/>
  <c r="H93" i="22"/>
  <c r="H85" i="22"/>
  <c r="J59" i="22"/>
  <c r="AX152" i="22" s="1"/>
  <c r="H91" i="22"/>
  <c r="H90" i="22"/>
  <c r="H75" i="22"/>
  <c r="H70" i="22"/>
  <c r="H31" i="22"/>
  <c r="H43" i="22"/>
  <c r="H69" i="22"/>
  <c r="H66" i="22"/>
  <c r="H35" i="22"/>
  <c r="H30" i="22"/>
  <c r="H29" i="22"/>
  <c r="H22" i="22"/>
  <c r="H86" i="22"/>
  <c r="H83" i="22"/>
  <c r="H39" i="22"/>
  <c r="L74" i="22"/>
  <c r="L7" i="22"/>
  <c r="L8" i="22"/>
  <c r="L5" i="22"/>
  <c r="H15" i="22"/>
  <c r="H10" i="22"/>
  <c r="H73" i="22"/>
  <c r="H78" i="22"/>
  <c r="H88" i="22"/>
  <c r="H18" i="22"/>
  <c r="H9" i="22"/>
  <c r="H62" i="22"/>
  <c r="H28" i="22"/>
  <c r="H99" i="22"/>
  <c r="H41" i="22"/>
  <c r="H32" i="22"/>
  <c r="H47" i="22"/>
  <c r="H34" i="22"/>
  <c r="H76" i="22"/>
  <c r="H87" i="22"/>
  <c r="H12" i="22"/>
  <c r="H63" i="22"/>
  <c r="H61" i="22"/>
  <c r="H60" i="22"/>
  <c r="H44" i="22"/>
  <c r="H72" i="22"/>
  <c r="H27" i="22"/>
  <c r="AL138" i="59" a="1"/>
  <c r="AL138" i="59" s="1"/>
  <c r="E139" i="50" s="1"/>
  <c r="H6" i="22"/>
  <c r="H59" i="22"/>
  <c r="H21" i="22"/>
  <c r="H53" i="22"/>
  <c r="H11" i="22"/>
  <c r="H57" i="22"/>
  <c r="H13" i="22"/>
  <c r="H37" i="22"/>
  <c r="H14" i="22"/>
  <c r="H79" i="22"/>
  <c r="H16" i="22"/>
  <c r="H36" i="22"/>
  <c r="H81" i="22"/>
  <c r="H46" i="22"/>
  <c r="H23" i="22"/>
  <c r="H45" i="22"/>
  <c r="H82" i="22"/>
  <c r="H94" i="22"/>
  <c r="L6" i="22"/>
  <c r="L4" i="22"/>
  <c r="H5" i="22"/>
  <c r="H17" i="22"/>
  <c r="H55" i="22"/>
  <c r="AM28" i="59" a="1"/>
  <c r="AM28" i="59" s="1"/>
  <c r="H20" i="22"/>
  <c r="H89" i="22"/>
  <c r="H7" i="22"/>
  <c r="L76" i="22"/>
  <c r="L89" i="22"/>
  <c r="L62" i="22"/>
  <c r="L78" i="22"/>
  <c r="L75" i="22"/>
  <c r="H49" i="22"/>
  <c r="H33" i="22"/>
  <c r="H52" i="22"/>
  <c r="H24" i="22"/>
  <c r="H19" i="22"/>
  <c r="H26" i="22"/>
  <c r="H25" i="22"/>
  <c r="H84" i="22"/>
  <c r="H92" i="22"/>
  <c r="H68" i="22"/>
  <c r="H74" i="22"/>
  <c r="L92" i="22"/>
  <c r="L99" i="22"/>
  <c r="H58" i="22"/>
  <c r="H51" i="22"/>
  <c r="H40" i="22"/>
  <c r="H56" i="22"/>
  <c r="L64" i="22"/>
  <c r="H64" i="22"/>
  <c r="H71" i="22"/>
  <c r="L57" i="22"/>
  <c r="H50" i="22"/>
  <c r="H48" i="22"/>
  <c r="H8" i="22"/>
  <c r="AM12" i="11" a="1"/>
  <c r="AM12" i="11" s="1"/>
  <c r="AM13" i="11" s="1" a="1"/>
  <c r="AM13" i="11" s="1"/>
  <c r="H4" i="22"/>
  <c r="AB196" i="57" l="1"/>
  <c r="AA196" i="57"/>
  <c r="AH12" i="32"/>
  <c r="AK12" i="32"/>
  <c r="AL12" i="32" s="1"/>
  <c r="AB181" i="69"/>
  <c r="AC181" i="69" s="1"/>
  <c r="AD181" i="69" s="1"/>
  <c r="AG181" i="69"/>
  <c r="L184" i="69"/>
  <c r="O184" i="69"/>
  <c r="AO183" i="69"/>
  <c r="P183" i="69"/>
  <c r="T139" i="50"/>
  <c r="AK139" i="50"/>
  <c r="X197" i="57"/>
  <c r="AB197" i="53"/>
  <c r="AA197" i="53"/>
  <c r="AF197" i="53"/>
  <c r="AE198" i="53"/>
  <c r="AC198" i="53"/>
  <c r="AK129" i="32"/>
  <c r="T129" i="32"/>
  <c r="AD127" i="32"/>
  <c r="AF196" i="57"/>
  <c r="AE198" i="57"/>
  <c r="AC198" i="57"/>
  <c r="AM138" i="50"/>
  <c r="U138" i="50"/>
  <c r="AD137" i="50"/>
  <c r="AG137" i="50" s="1"/>
  <c r="AH137" i="50" s="1"/>
  <c r="AI137" i="50" s="1"/>
  <c r="U128" i="32"/>
  <c r="AG126" i="32"/>
  <c r="AH126" i="32" s="1"/>
  <c r="AL126" i="32"/>
  <c r="F71" i="22"/>
  <c r="F15" i="22"/>
  <c r="F77" i="22"/>
  <c r="F74" i="22"/>
  <c r="F61" i="22"/>
  <c r="F65" i="22"/>
  <c r="F64" i="22"/>
  <c r="F69" i="22"/>
  <c r="F87" i="22"/>
  <c r="F106" i="22"/>
  <c r="F14" i="22"/>
  <c r="F23" i="22"/>
  <c r="AI125" i="32"/>
  <c r="AN125" i="32" s="1"/>
  <c r="AP135" i="50"/>
  <c r="F128" i="22"/>
  <c r="F73" i="22"/>
  <c r="R198" i="57"/>
  <c r="R198" i="53"/>
  <c r="X198" i="53" s="1"/>
  <c r="F20" i="22"/>
  <c r="F93" i="22"/>
  <c r="AL136" i="50"/>
  <c r="Q128" i="32"/>
  <c r="P128" i="32" s="1"/>
  <c r="F34" i="22"/>
  <c r="F19" i="22"/>
  <c r="N12" i="32"/>
  <c r="J65" i="22"/>
  <c r="AX126" i="22" s="1"/>
  <c r="J83" i="22"/>
  <c r="AX16" i="22" s="1"/>
  <c r="J112" i="22"/>
  <c r="AX66" i="22" s="1"/>
  <c r="AX182" i="69"/>
  <c r="AG199" i="57"/>
  <c r="L199" i="57"/>
  <c r="O139" i="50"/>
  <c r="AJ198" i="57"/>
  <c r="AP198" i="57"/>
  <c r="AP12" i="50"/>
  <c r="AH198" i="53"/>
  <c r="AT198" i="53"/>
  <c r="AG198" i="53"/>
  <c r="N199" i="57"/>
  <c r="N199" i="53"/>
  <c r="AH182" i="69"/>
  <c r="AJ137" i="50"/>
  <c r="C137" i="50"/>
  <c r="AJ127" i="32"/>
  <c r="C127" i="32"/>
  <c r="AD198" i="57"/>
  <c r="Q198" i="53"/>
  <c r="AD198" i="53"/>
  <c r="S138" i="50"/>
  <c r="V137" i="50"/>
  <c r="S128" i="32"/>
  <c r="V128" i="32" s="1"/>
  <c r="AK198" i="52" a="1"/>
  <c r="AK198" i="52" s="1"/>
  <c r="B200" i="53" s="1"/>
  <c r="O200" i="53" s="1"/>
  <c r="G199" i="53"/>
  <c r="D199" i="53"/>
  <c r="J199" i="53"/>
  <c r="I199" i="53"/>
  <c r="C199" i="53"/>
  <c r="F199" i="53"/>
  <c r="L199" i="53"/>
  <c r="H199" i="53"/>
  <c r="M199" i="53"/>
  <c r="E199" i="53"/>
  <c r="P199" i="53"/>
  <c r="K199" i="53"/>
  <c r="A129" i="32"/>
  <c r="B129" i="32"/>
  <c r="R129" i="32" s="1"/>
  <c r="I139" i="50"/>
  <c r="N139" i="50"/>
  <c r="H139" i="50"/>
  <c r="A139" i="50"/>
  <c r="Q139" i="50" s="1"/>
  <c r="P139" i="50" s="1"/>
  <c r="L139" i="50"/>
  <c r="B139" i="50"/>
  <c r="R139" i="50" s="1"/>
  <c r="G139" i="50"/>
  <c r="F139" i="50"/>
  <c r="K139" i="50"/>
  <c r="M139" i="50"/>
  <c r="J139" i="50"/>
  <c r="I129" i="32"/>
  <c r="J129" i="32"/>
  <c r="L129" i="32"/>
  <c r="F129" i="32"/>
  <c r="AM129" i="32" s="1"/>
  <c r="N129" i="32"/>
  <c r="H129" i="32"/>
  <c r="K129" i="32"/>
  <c r="O129" i="32"/>
  <c r="G129" i="32"/>
  <c r="M129" i="32"/>
  <c r="Q198" i="57"/>
  <c r="T198" i="57" s="1"/>
  <c r="I199" i="57"/>
  <c r="F199" i="57"/>
  <c r="D199" i="57"/>
  <c r="H199" i="57"/>
  <c r="E199" i="57"/>
  <c r="J199" i="57"/>
  <c r="P199" i="57"/>
  <c r="G199" i="57"/>
  <c r="K199" i="57"/>
  <c r="C199" i="57"/>
  <c r="M199" i="57" s="1"/>
  <c r="W137" i="50"/>
  <c r="X137" i="50" s="1"/>
  <c r="Z137" i="50"/>
  <c r="AK198" i="55" a="1"/>
  <c r="AK198" i="55" s="1"/>
  <c r="B200" i="57" s="1"/>
  <c r="O200" i="57" s="1"/>
  <c r="W127" i="32"/>
  <c r="X127" i="32" s="1"/>
  <c r="Z127" i="32"/>
  <c r="AN184" i="67" a="1"/>
  <c r="AN184" i="67" s="1"/>
  <c r="B185" i="69"/>
  <c r="D183" i="69"/>
  <c r="E183" i="69" s="1"/>
  <c r="F183" i="69" s="1"/>
  <c r="G183" i="69" s="1"/>
  <c r="H183" i="69" s="1"/>
  <c r="I183" i="69" s="1"/>
  <c r="J183" i="69" s="1"/>
  <c r="K183" i="69" s="1"/>
  <c r="M183" i="69" s="1"/>
  <c r="N183" i="69"/>
  <c r="AF183" i="69" s="1"/>
  <c r="C184" i="69"/>
  <c r="R182" i="69"/>
  <c r="S182" i="69" s="1"/>
  <c r="Y182" i="69" s="1"/>
  <c r="AB182" i="69" s="1"/>
  <c r="AC182" i="69" s="1"/>
  <c r="AD182" i="69" s="1"/>
  <c r="U182" i="69"/>
  <c r="Q182" i="69"/>
  <c r="AE182" i="69"/>
  <c r="J101" i="22"/>
  <c r="AX60" i="22" s="1"/>
  <c r="D69" i="36"/>
  <c r="J100" i="22"/>
  <c r="AX59" i="22" s="1"/>
  <c r="D67" i="36"/>
  <c r="AL129" i="11" a="1"/>
  <c r="AL129" i="11" s="1"/>
  <c r="E130" i="32" s="1"/>
  <c r="J72" i="22"/>
  <c r="AX128" i="22" s="1"/>
  <c r="J44" i="22"/>
  <c r="AX41" i="22" s="1"/>
  <c r="J41" i="22"/>
  <c r="AX38" i="22" s="1"/>
  <c r="J69" i="22"/>
  <c r="AX94" i="22" s="1"/>
  <c r="J99" i="22"/>
  <c r="AX19" i="22" s="1"/>
  <c r="J66" i="22"/>
  <c r="AX123" i="22" s="1"/>
  <c r="J85" i="22"/>
  <c r="AX50" i="22" s="1"/>
  <c r="J62" i="22"/>
  <c r="AX153" i="22" s="1"/>
  <c r="J28" i="22"/>
  <c r="AX85" i="22" s="1"/>
  <c r="J18" i="22"/>
  <c r="AX5" i="22" s="1"/>
  <c r="J27" i="22"/>
  <c r="AX84" i="22" s="1"/>
  <c r="J47" i="22"/>
  <c r="AX90" i="22" s="1"/>
  <c r="J76" i="22"/>
  <c r="AX155" i="22" s="1"/>
  <c r="J63" i="22"/>
  <c r="AX93" i="22" s="1"/>
  <c r="J12" i="22"/>
  <c r="AX113" i="22" s="1"/>
  <c r="J21" i="22"/>
  <c r="AX81" i="22" s="1"/>
  <c r="J78" i="22"/>
  <c r="AX133" i="22" s="1"/>
  <c r="J60" i="22"/>
  <c r="AX121" i="22" s="1"/>
  <c r="J88" i="22"/>
  <c r="AX52" i="22" s="1"/>
  <c r="J91" i="22"/>
  <c r="AX134" i="22" s="1"/>
  <c r="J93" i="22"/>
  <c r="AX96" i="22" s="1"/>
  <c r="J95" i="22"/>
  <c r="AX55" i="22" s="1"/>
  <c r="J90" i="22"/>
  <c r="AX54" i="22" s="1"/>
  <c r="J96" i="22"/>
  <c r="AX56" i="22" s="1"/>
  <c r="J54" i="22"/>
  <c r="AX47" i="22" s="1"/>
  <c r="J67" i="22"/>
  <c r="AX124" i="22" s="1"/>
  <c r="J75" i="22"/>
  <c r="AX131" i="22" s="1"/>
  <c r="J70" i="22"/>
  <c r="AX127" i="22" s="1"/>
  <c r="J42" i="22"/>
  <c r="AX39" i="22" s="1"/>
  <c r="J38" i="22"/>
  <c r="AX37" i="22" s="1"/>
  <c r="J35" i="22"/>
  <c r="AX118" i="22" s="1"/>
  <c r="J30" i="22"/>
  <c r="AX87" i="22" s="1"/>
  <c r="J29" i="22"/>
  <c r="AX86" i="22" s="1"/>
  <c r="J22" i="22"/>
  <c r="AX82" i="22" s="1"/>
  <c r="AL139" i="59" a="1"/>
  <c r="AL139" i="59" s="1"/>
  <c r="E140" i="50" s="1"/>
  <c r="J98" i="22"/>
  <c r="AX58" i="22" s="1"/>
  <c r="J6" i="22"/>
  <c r="AX79" i="22" s="1"/>
  <c r="J11" i="22"/>
  <c r="AX112" i="22" s="1"/>
  <c r="J9" i="22"/>
  <c r="AX115" i="22" s="1"/>
  <c r="J79" i="22"/>
  <c r="AX12" i="22" s="1"/>
  <c r="J37" i="22"/>
  <c r="AX145" i="22" s="1"/>
  <c r="J36" i="22"/>
  <c r="AX36" i="22" s="1"/>
  <c r="J43" i="22"/>
  <c r="AX40" i="22" s="1"/>
  <c r="J46" i="22"/>
  <c r="AX43" i="22" s="1"/>
  <c r="J45" i="22"/>
  <c r="AX42" i="22" s="1"/>
  <c r="J94" i="22"/>
  <c r="AX97" i="22" s="1"/>
  <c r="J82" i="22"/>
  <c r="AX15" i="22" s="1"/>
  <c r="J55" i="22"/>
  <c r="AX11" i="22" s="1"/>
  <c r="AM29" i="59" a="1"/>
  <c r="AM29" i="59" s="1"/>
  <c r="J81" i="22"/>
  <c r="AX14" i="22" s="1"/>
  <c r="J53" i="22"/>
  <c r="AX120" i="22" s="1"/>
  <c r="J23" i="22"/>
  <c r="AX33" i="22" s="1"/>
  <c r="J7" i="22"/>
  <c r="AX80" i="22" s="1"/>
  <c r="J89" i="22"/>
  <c r="AX53" i="22" s="1"/>
  <c r="J33" i="22"/>
  <c r="AX89" i="22" s="1"/>
  <c r="J16" i="22"/>
  <c r="AX31" i="22" s="1"/>
  <c r="J19" i="22"/>
  <c r="AX6" i="22" s="1"/>
  <c r="J24" i="22"/>
  <c r="AX83" i="22" s="1"/>
  <c r="J26" i="22"/>
  <c r="AX7" i="22" s="1"/>
  <c r="J58" i="22"/>
  <c r="AX122" i="22" s="1"/>
  <c r="J74" i="22"/>
  <c r="AX130" i="22" s="1"/>
  <c r="J40" i="22"/>
  <c r="AX119" i="22" s="1"/>
  <c r="J56" i="22"/>
  <c r="AX48" i="22" s="1"/>
  <c r="J92" i="22"/>
  <c r="AX95" i="22" s="1"/>
  <c r="J71" i="22"/>
  <c r="AX49" i="22" s="1"/>
  <c r="J48" i="22"/>
  <c r="AX91" i="22" s="1"/>
  <c r="J8" i="22"/>
  <c r="AX110" i="22" s="1"/>
  <c r="J84" i="22"/>
  <c r="AX17" i="22" s="1"/>
  <c r="J68" i="22"/>
  <c r="AX125" i="22" s="1"/>
  <c r="J51" i="22"/>
  <c r="AX45" i="22" s="1"/>
  <c r="J57" i="22"/>
  <c r="AX92" i="22" s="1"/>
  <c r="J64" i="22"/>
  <c r="AX154" i="22" s="1"/>
  <c r="J49" i="22"/>
  <c r="AX44" i="22" s="1"/>
  <c r="AM14" i="11" a="1"/>
  <c r="AM14" i="11" s="1"/>
  <c r="AM12" i="32" l="1"/>
  <c r="AB197" i="57"/>
  <c r="AA197" i="57"/>
  <c r="AI12" i="32"/>
  <c r="AG182" i="69"/>
  <c r="AO184" i="69"/>
  <c r="P184" i="69"/>
  <c r="L185" i="69"/>
  <c r="O185" i="69"/>
  <c r="X198" i="57"/>
  <c r="T140" i="50"/>
  <c r="AK140" i="50"/>
  <c r="AF197" i="57"/>
  <c r="AB198" i="53"/>
  <c r="AA198" i="53"/>
  <c r="AE199" i="53"/>
  <c r="AC199" i="53"/>
  <c r="AF198" i="53"/>
  <c r="AK130" i="32"/>
  <c r="T130" i="32"/>
  <c r="AD128" i="32"/>
  <c r="AE199" i="57"/>
  <c r="AC199" i="57"/>
  <c r="AD138" i="50"/>
  <c r="AG138" i="50" s="1"/>
  <c r="AH138" i="50" s="1"/>
  <c r="AI138" i="50" s="1"/>
  <c r="AM139" i="50"/>
  <c r="U139" i="50"/>
  <c r="U129" i="32"/>
  <c r="AG127" i="32"/>
  <c r="AH127" i="32" s="1"/>
  <c r="AL127" i="32"/>
  <c r="J15" i="22"/>
  <c r="AX117" i="22" s="1"/>
  <c r="J73" i="22"/>
  <c r="AX129" i="22" s="1"/>
  <c r="J77" i="22"/>
  <c r="AX132" i="22" s="1"/>
  <c r="J61" i="22"/>
  <c r="AX146" i="22" s="1"/>
  <c r="J87" i="22"/>
  <c r="AX51" i="22" s="1"/>
  <c r="J106" i="22"/>
  <c r="AX22" i="22" s="1"/>
  <c r="AP136" i="50"/>
  <c r="R199" i="57"/>
  <c r="R199" i="53"/>
  <c r="X199" i="53" s="1"/>
  <c r="J34" i="22"/>
  <c r="AX8" i="22" s="1"/>
  <c r="J128" i="22"/>
  <c r="AX143" i="22" s="1"/>
  <c r="AL137" i="50"/>
  <c r="Q129" i="32"/>
  <c r="P129" i="32" s="1"/>
  <c r="AQ11" i="11"/>
  <c r="AI126" i="32"/>
  <c r="AN126" i="32" s="1"/>
  <c r="AX183" i="69"/>
  <c r="AG200" i="57"/>
  <c r="L200" i="57"/>
  <c r="O140" i="50"/>
  <c r="AJ199" i="57"/>
  <c r="AP199" i="57"/>
  <c r="AH199" i="53"/>
  <c r="AT199" i="53"/>
  <c r="AG199" i="53"/>
  <c r="N200" i="57"/>
  <c r="N200" i="53"/>
  <c r="AH183" i="69"/>
  <c r="AJ138" i="50"/>
  <c r="C138" i="50"/>
  <c r="AJ128" i="32"/>
  <c r="C128" i="32"/>
  <c r="AD199" i="57"/>
  <c r="AD199" i="53"/>
  <c r="S139" i="50"/>
  <c r="V138" i="50"/>
  <c r="S129" i="32"/>
  <c r="Q199" i="53"/>
  <c r="AK199" i="52" a="1"/>
  <c r="AK199" i="52" s="1"/>
  <c r="B201" i="53" s="1"/>
  <c r="O201" i="53" s="1"/>
  <c r="E200" i="53"/>
  <c r="C200" i="53"/>
  <c r="D200" i="53"/>
  <c r="G200" i="53"/>
  <c r="M200" i="53"/>
  <c r="H200" i="53"/>
  <c r="L200" i="53"/>
  <c r="J200" i="53"/>
  <c r="P200" i="53"/>
  <c r="K200" i="53"/>
  <c r="I200" i="53"/>
  <c r="F200" i="53"/>
  <c r="A130" i="32"/>
  <c r="B130" i="32"/>
  <c r="R130" i="32" s="1"/>
  <c r="H140" i="50"/>
  <c r="A140" i="50"/>
  <c r="Q140" i="50" s="1"/>
  <c r="P140" i="50" s="1"/>
  <c r="G140" i="50"/>
  <c r="N140" i="50"/>
  <c r="M140" i="50"/>
  <c r="F140" i="50"/>
  <c r="K140" i="50"/>
  <c r="I140" i="50"/>
  <c r="L140" i="50"/>
  <c r="B140" i="50"/>
  <c r="R140" i="50" s="1"/>
  <c r="J140" i="50"/>
  <c r="G130" i="32"/>
  <c r="H130" i="32"/>
  <c r="J130" i="32"/>
  <c r="L130" i="32"/>
  <c r="I130" i="32"/>
  <c r="N130" i="32"/>
  <c r="O130" i="32"/>
  <c r="F130" i="32"/>
  <c r="AM130" i="32" s="1"/>
  <c r="K130" i="32"/>
  <c r="M130" i="32"/>
  <c r="H200" i="57"/>
  <c r="F200" i="57"/>
  <c r="D200" i="57"/>
  <c r="P200" i="57"/>
  <c r="C200" i="57"/>
  <c r="M200" i="57" s="1"/>
  <c r="K200" i="57"/>
  <c r="J200" i="57"/>
  <c r="E200" i="57"/>
  <c r="I200" i="57"/>
  <c r="G200" i="57"/>
  <c r="Q199" i="57"/>
  <c r="T199" i="57" s="1"/>
  <c r="Z138" i="50"/>
  <c r="W138" i="50"/>
  <c r="X138" i="50" s="1"/>
  <c r="J113" i="22"/>
  <c r="AX135" i="22" s="1"/>
  <c r="J10" i="22"/>
  <c r="AX111" i="22" s="1"/>
  <c r="AK199" i="55" a="1"/>
  <c r="AK199" i="55" s="1"/>
  <c r="B201" i="57" s="1"/>
  <c r="O201" i="57" s="1"/>
  <c r="W128" i="32"/>
  <c r="X128" i="32" s="1"/>
  <c r="Z128" i="32"/>
  <c r="J130" i="22"/>
  <c r="AX100" i="22" s="1"/>
  <c r="U183" i="69"/>
  <c r="Q183" i="69"/>
  <c r="AE183" i="69"/>
  <c r="R183" i="69"/>
  <c r="S183" i="69" s="1"/>
  <c r="Y183" i="69" s="1"/>
  <c r="AB183" i="69" s="1"/>
  <c r="AC183" i="69" s="1"/>
  <c r="AD183" i="69" s="1"/>
  <c r="C185" i="69"/>
  <c r="N184" i="69"/>
  <c r="AF184" i="69" s="1"/>
  <c r="D184" i="69"/>
  <c r="E184" i="69" s="1"/>
  <c r="F184" i="69" s="1"/>
  <c r="G184" i="69" s="1"/>
  <c r="H184" i="69" s="1"/>
  <c r="I184" i="69" s="1"/>
  <c r="J184" i="69" s="1"/>
  <c r="K184" i="69" s="1"/>
  <c r="M184" i="69" s="1"/>
  <c r="AN185" i="67" a="1"/>
  <c r="AN185" i="67" s="1"/>
  <c r="B186" i="69"/>
  <c r="AL7" i="22"/>
  <c r="J97" i="22"/>
  <c r="AX57" i="22" s="1"/>
  <c r="J13" i="22"/>
  <c r="AX114" i="22" s="1"/>
  <c r="D68" i="36"/>
  <c r="D63" i="36"/>
  <c r="D65" i="36"/>
  <c r="D61" i="36"/>
  <c r="AL14" i="22"/>
  <c r="AL15" i="22"/>
  <c r="AL9" i="22"/>
  <c r="AL130" i="11" a="1"/>
  <c r="AL130" i="11" s="1"/>
  <c r="E131" i="32" s="1"/>
  <c r="J32" i="22"/>
  <c r="AX35" i="22" s="1"/>
  <c r="J124" i="22"/>
  <c r="AX141" i="22" s="1"/>
  <c r="J50" i="22"/>
  <c r="AX10" i="22" s="1"/>
  <c r="D62" i="36"/>
  <c r="J52" i="22"/>
  <c r="AX46" i="22" s="1"/>
  <c r="J31" i="22"/>
  <c r="AX88" i="22" s="1"/>
  <c r="J17" i="22"/>
  <c r="AX32" i="22" s="1"/>
  <c r="J4" i="22"/>
  <c r="AX77" i="22" s="1"/>
  <c r="J5" i="22"/>
  <c r="AX78" i="22" s="1"/>
  <c r="J14" i="22"/>
  <c r="AX30" i="22" s="1"/>
  <c r="AL140" i="59" a="1"/>
  <c r="AL140" i="59" s="1"/>
  <c r="E141" i="50" s="1"/>
  <c r="J20" i="22"/>
  <c r="AX116" i="22" s="1"/>
  <c r="AM30" i="59" a="1"/>
  <c r="AM30" i="59" s="1"/>
  <c r="AM15" i="11" a="1"/>
  <c r="AM15" i="11" s="1"/>
  <c r="AF198" i="57" l="1"/>
  <c r="AA198" i="57"/>
  <c r="AN12" i="32"/>
  <c r="L186" i="69"/>
  <c r="O186" i="69"/>
  <c r="AG183" i="69"/>
  <c r="AO185" i="69"/>
  <c r="P185" i="69"/>
  <c r="AB198" i="57"/>
  <c r="T141" i="50"/>
  <c r="AK141" i="50"/>
  <c r="X199" i="57"/>
  <c r="AE200" i="53"/>
  <c r="AC200" i="53"/>
  <c r="AF199" i="53"/>
  <c r="AB199" i="53"/>
  <c r="AA199" i="53"/>
  <c r="AK131" i="32"/>
  <c r="T131" i="32"/>
  <c r="AD129" i="32"/>
  <c r="AE200" i="57"/>
  <c r="AC200" i="57"/>
  <c r="AD139" i="50"/>
  <c r="AG139" i="50" s="1"/>
  <c r="AH139" i="50" s="1"/>
  <c r="AI139" i="50" s="1"/>
  <c r="AM140" i="50"/>
  <c r="U140" i="50"/>
  <c r="U130" i="32"/>
  <c r="AG128" i="32"/>
  <c r="AH128" i="32" s="1"/>
  <c r="AL128" i="32"/>
  <c r="AI127" i="32"/>
  <c r="AN127" i="32" s="1"/>
  <c r="AP137" i="50"/>
  <c r="R200" i="57"/>
  <c r="R200" i="53"/>
  <c r="X200" i="53" s="1"/>
  <c r="AL138" i="50"/>
  <c r="Q130" i="32"/>
  <c r="P130" i="32" s="1"/>
  <c r="AX184" i="69"/>
  <c r="AG201" i="57"/>
  <c r="L201" i="57"/>
  <c r="O141" i="50"/>
  <c r="AJ200" i="57"/>
  <c r="AP200" i="57"/>
  <c r="AG200" i="53"/>
  <c r="AH200" i="53"/>
  <c r="AT200" i="53"/>
  <c r="N201" i="57"/>
  <c r="E201" i="53"/>
  <c r="N201" i="53"/>
  <c r="AH184" i="69"/>
  <c r="C129" i="32"/>
  <c r="V129" i="32"/>
  <c r="AJ139" i="50"/>
  <c r="C139" i="50"/>
  <c r="AD200" i="57"/>
  <c r="AD200" i="53"/>
  <c r="AJ129" i="32"/>
  <c r="V139" i="50"/>
  <c r="S140" i="50"/>
  <c r="L17" i="22"/>
  <c r="S130" i="32"/>
  <c r="V130" i="32" s="1"/>
  <c r="Q200" i="53"/>
  <c r="AK200" i="52" a="1"/>
  <c r="AK200" i="52" s="1"/>
  <c r="B202" i="53" s="1"/>
  <c r="O202" i="53" s="1"/>
  <c r="H201" i="53"/>
  <c r="L201" i="53"/>
  <c r="F201" i="53"/>
  <c r="K201" i="53"/>
  <c r="I201" i="53"/>
  <c r="D201" i="53"/>
  <c r="P201" i="53"/>
  <c r="C201" i="53"/>
  <c r="M201" i="53"/>
  <c r="J201" i="53"/>
  <c r="G201" i="53"/>
  <c r="A131" i="32"/>
  <c r="B131" i="32"/>
  <c r="R131" i="32" s="1"/>
  <c r="M141" i="50"/>
  <c r="A141" i="50"/>
  <c r="Q141" i="50" s="1"/>
  <c r="P141" i="50" s="1"/>
  <c r="J141" i="50"/>
  <c r="F141" i="50"/>
  <c r="H141" i="50"/>
  <c r="I141" i="50"/>
  <c r="N141" i="50"/>
  <c r="B141" i="50"/>
  <c r="R141" i="50" s="1"/>
  <c r="G141" i="50"/>
  <c r="K141" i="50"/>
  <c r="L141" i="50"/>
  <c r="F131" i="32"/>
  <c r="AM131" i="32" s="1"/>
  <c r="J131" i="32"/>
  <c r="M131" i="32"/>
  <c r="N131" i="32"/>
  <c r="I131" i="32"/>
  <c r="H131" i="32"/>
  <c r="K131" i="32"/>
  <c r="G131" i="32"/>
  <c r="O131" i="32"/>
  <c r="L131" i="32"/>
  <c r="Q200" i="57"/>
  <c r="T200" i="57" s="1"/>
  <c r="P201" i="57"/>
  <c r="J201" i="57"/>
  <c r="H201" i="57"/>
  <c r="E201" i="57"/>
  <c r="K201" i="57"/>
  <c r="G201" i="57"/>
  <c r="C201" i="57"/>
  <c r="M201" i="57" s="1"/>
  <c r="F201" i="57"/>
  <c r="I201" i="57"/>
  <c r="D201" i="57"/>
  <c r="Z139" i="50"/>
  <c r="W139" i="50"/>
  <c r="X139" i="50" s="1"/>
  <c r="AL13" i="22"/>
  <c r="AL16" i="22"/>
  <c r="D51" i="36" s="1"/>
  <c r="D89" i="36" s="1"/>
  <c r="AK200" i="55" a="1"/>
  <c r="AK200" i="55" s="1"/>
  <c r="B202" i="57" s="1"/>
  <c r="O202" i="57" s="1"/>
  <c r="W129" i="32"/>
  <c r="X129" i="32" s="1"/>
  <c r="Z129" i="32"/>
  <c r="AN186" i="67" a="1"/>
  <c r="AN186" i="67" s="1"/>
  <c r="B187" i="69"/>
  <c r="C186" i="69"/>
  <c r="D185" i="69"/>
  <c r="E185" i="69" s="1"/>
  <c r="F185" i="69" s="1"/>
  <c r="G185" i="69" s="1"/>
  <c r="H185" i="69" s="1"/>
  <c r="I185" i="69" s="1"/>
  <c r="J185" i="69" s="1"/>
  <c r="K185" i="69" s="1"/>
  <c r="M185" i="69" s="1"/>
  <c r="N185" i="69"/>
  <c r="AF185" i="69" s="1"/>
  <c r="U184" i="69"/>
  <c r="R184" i="69"/>
  <c r="S184" i="69" s="1"/>
  <c r="Y184" i="69" s="1"/>
  <c r="Q184" i="69"/>
  <c r="AE184" i="69"/>
  <c r="AL11" i="22"/>
  <c r="D59" i="36"/>
  <c r="D60" i="36"/>
  <c r="D66" i="36"/>
  <c r="AL12" i="22"/>
  <c r="AL8" i="22"/>
  <c r="AL6" i="22"/>
  <c r="AL4" i="22"/>
  <c r="AL131" i="11" a="1"/>
  <c r="AL131" i="11" s="1"/>
  <c r="E132" i="32" s="1"/>
  <c r="AL141" i="59" a="1"/>
  <c r="AL141" i="59" s="1"/>
  <c r="E142" i="50" s="1"/>
  <c r="AM31" i="59" a="1"/>
  <c r="AM31" i="59" s="1"/>
  <c r="AM16" i="11" a="1"/>
  <c r="AM16" i="11" s="1"/>
  <c r="AB199" i="57" l="1"/>
  <c r="AA199" i="57"/>
  <c r="AB184" i="69"/>
  <c r="AC184" i="69" s="1"/>
  <c r="AD184" i="69" s="1"/>
  <c r="AG184" i="69"/>
  <c r="AO186" i="69"/>
  <c r="P186" i="69"/>
  <c r="L187" i="69"/>
  <c r="O187" i="69"/>
  <c r="T142" i="50"/>
  <c r="AK142" i="50"/>
  <c r="AF199" i="57"/>
  <c r="AB200" i="53"/>
  <c r="AA200" i="53"/>
  <c r="AE201" i="53"/>
  <c r="AC201" i="53"/>
  <c r="AF200" i="53"/>
  <c r="T132" i="32"/>
  <c r="AK132" i="32"/>
  <c r="AD130" i="32"/>
  <c r="X200" i="57"/>
  <c r="AE201" i="57"/>
  <c r="AC201" i="57"/>
  <c r="AM141" i="50"/>
  <c r="U141" i="50"/>
  <c r="AD140" i="50"/>
  <c r="AG140" i="50" s="1"/>
  <c r="AH140" i="50" s="1"/>
  <c r="AI140" i="50" s="1"/>
  <c r="U131" i="32"/>
  <c r="AG129" i="32"/>
  <c r="AH129" i="32" s="1"/>
  <c r="AL129" i="32"/>
  <c r="AI128" i="32"/>
  <c r="AN128" i="32" s="1"/>
  <c r="AP138" i="50"/>
  <c r="R201" i="57"/>
  <c r="R201" i="53"/>
  <c r="X201" i="53" s="1"/>
  <c r="AL139" i="50"/>
  <c r="Q131" i="32"/>
  <c r="P131" i="32" s="1"/>
  <c r="AX185" i="69"/>
  <c r="AG202" i="57"/>
  <c r="L202" i="57"/>
  <c r="O142" i="50"/>
  <c r="AJ201" i="57"/>
  <c r="AP201" i="57"/>
  <c r="AH201" i="53"/>
  <c r="AT201" i="53"/>
  <c r="AG201" i="53"/>
  <c r="N202" i="57"/>
  <c r="F202" i="53"/>
  <c r="N202" i="53"/>
  <c r="AH185" i="69"/>
  <c r="AJ140" i="50"/>
  <c r="C140" i="50"/>
  <c r="AJ130" i="32"/>
  <c r="C130" i="32"/>
  <c r="AD201" i="57"/>
  <c r="AD201" i="53"/>
  <c r="V140" i="50"/>
  <c r="S141" i="50"/>
  <c r="S131" i="32"/>
  <c r="V131" i="32" s="1"/>
  <c r="C202" i="53"/>
  <c r="D202" i="53"/>
  <c r="H202" i="53"/>
  <c r="AK201" i="52" a="1"/>
  <c r="AK201" i="52" s="1"/>
  <c r="B203" i="53" s="1"/>
  <c r="O203" i="53" s="1"/>
  <c r="K202" i="53"/>
  <c r="I202" i="53"/>
  <c r="Q201" i="53"/>
  <c r="M202" i="53"/>
  <c r="J202" i="53"/>
  <c r="P202" i="53"/>
  <c r="G202" i="53"/>
  <c r="E202" i="53"/>
  <c r="L202" i="53"/>
  <c r="A132" i="32"/>
  <c r="B132" i="32"/>
  <c r="R132" i="32" s="1"/>
  <c r="L142" i="50"/>
  <c r="I142" i="50"/>
  <c r="M142" i="50"/>
  <c r="J142" i="50"/>
  <c r="A142" i="50"/>
  <c r="Q142" i="50" s="1"/>
  <c r="P142" i="50" s="1"/>
  <c r="K142" i="50"/>
  <c r="F142" i="50"/>
  <c r="G142" i="50"/>
  <c r="B142" i="50"/>
  <c r="R142" i="50" s="1"/>
  <c r="N142" i="50"/>
  <c r="H142" i="50"/>
  <c r="H132" i="32"/>
  <c r="K132" i="32"/>
  <c r="L132" i="32"/>
  <c r="G132" i="32"/>
  <c r="O132" i="32"/>
  <c r="I132" i="32"/>
  <c r="N132" i="32"/>
  <c r="F132" i="32"/>
  <c r="AM132" i="32" s="1"/>
  <c r="J132" i="32"/>
  <c r="M132" i="32"/>
  <c r="J202" i="57"/>
  <c r="D202" i="57"/>
  <c r="I202" i="57"/>
  <c r="F202" i="57"/>
  <c r="E202" i="57"/>
  <c r="K202" i="57"/>
  <c r="P202" i="57"/>
  <c r="H202" i="57"/>
  <c r="C202" i="57"/>
  <c r="M202" i="57" s="1"/>
  <c r="G202" i="57"/>
  <c r="W140" i="50"/>
  <c r="X140" i="50" s="1"/>
  <c r="Z140" i="50"/>
  <c r="Q201" i="57"/>
  <c r="T201" i="57" s="1"/>
  <c r="AK201" i="55" a="1"/>
  <c r="AK201" i="55" s="1"/>
  <c r="B203" i="57" s="1"/>
  <c r="O203" i="57" s="1"/>
  <c r="W130" i="32"/>
  <c r="X130" i="32" s="1"/>
  <c r="Z130" i="32"/>
  <c r="AN187" i="67" a="1"/>
  <c r="AN187" i="67" s="1"/>
  <c r="B188" i="69"/>
  <c r="Q185" i="69"/>
  <c r="U185" i="69"/>
  <c r="AE185" i="69"/>
  <c r="R185" i="69"/>
  <c r="S185" i="69" s="1"/>
  <c r="Y185" i="69" s="1"/>
  <c r="C187" i="69"/>
  <c r="D186" i="69"/>
  <c r="E186" i="69" s="1"/>
  <c r="F186" i="69" s="1"/>
  <c r="G186" i="69" s="1"/>
  <c r="H186" i="69" s="1"/>
  <c r="I186" i="69" s="1"/>
  <c r="J186" i="69" s="1"/>
  <c r="K186" i="69" s="1"/>
  <c r="M186" i="69" s="1"/>
  <c r="N186" i="69"/>
  <c r="AF186" i="69" s="1"/>
  <c r="AL132" i="11" a="1"/>
  <c r="AL132" i="11" s="1"/>
  <c r="E133" i="32" s="1"/>
  <c r="AL142" i="59" a="1"/>
  <c r="AL142" i="59" s="1"/>
  <c r="E143" i="50" s="1"/>
  <c r="AM32" i="59" a="1"/>
  <c r="AM32" i="59" s="1"/>
  <c r="AM17" i="11" a="1"/>
  <c r="AM17" i="11" s="1"/>
  <c r="AB200" i="57" l="1"/>
  <c r="AA200" i="57"/>
  <c r="AB185" i="69"/>
  <c r="AC185" i="69" s="1"/>
  <c r="AD185" i="69" s="1"/>
  <c r="AG185" i="69"/>
  <c r="L188" i="69"/>
  <c r="O188" i="69"/>
  <c r="AO187" i="69"/>
  <c r="P187" i="69"/>
  <c r="AK143" i="50"/>
  <c r="T143" i="50"/>
  <c r="AB201" i="53"/>
  <c r="AA201" i="53"/>
  <c r="AF201" i="53"/>
  <c r="AE202" i="53"/>
  <c r="AC202" i="53"/>
  <c r="AK133" i="32"/>
  <c r="T133" i="32"/>
  <c r="AD131" i="32"/>
  <c r="X201" i="57"/>
  <c r="AF200" i="57"/>
  <c r="AE202" i="57"/>
  <c r="AC202" i="57"/>
  <c r="AM142" i="50"/>
  <c r="U142" i="50"/>
  <c r="AD141" i="50"/>
  <c r="AG141" i="50" s="1"/>
  <c r="AH141" i="50" s="1"/>
  <c r="AI141" i="50" s="1"/>
  <c r="U132" i="32"/>
  <c r="AG130" i="32"/>
  <c r="AH130" i="32" s="1"/>
  <c r="AL130" i="32"/>
  <c r="AI129" i="32"/>
  <c r="AN129" i="32" s="1"/>
  <c r="AP139" i="50"/>
  <c r="R202" i="57"/>
  <c r="R202" i="53"/>
  <c r="X202" i="53" s="1"/>
  <c r="AL140" i="50"/>
  <c r="Q132" i="32"/>
  <c r="P132" i="32" s="1"/>
  <c r="AX186" i="69"/>
  <c r="L203" i="57"/>
  <c r="AG203" i="57"/>
  <c r="O143" i="50"/>
  <c r="AJ202" i="57"/>
  <c r="AP202" i="57"/>
  <c r="AH202" i="53"/>
  <c r="AT202" i="53"/>
  <c r="AG202" i="53"/>
  <c r="N203" i="57"/>
  <c r="I203" i="53"/>
  <c r="N203" i="53"/>
  <c r="AH186" i="69"/>
  <c r="AJ141" i="50"/>
  <c r="C141" i="50"/>
  <c r="AJ131" i="32"/>
  <c r="C131" i="32"/>
  <c r="AD202" i="57"/>
  <c r="Q202" i="53"/>
  <c r="AD202" i="53"/>
  <c r="V141" i="50"/>
  <c r="S142" i="50"/>
  <c r="S132" i="32"/>
  <c r="V132" i="32" s="1"/>
  <c r="J203" i="53"/>
  <c r="D203" i="53"/>
  <c r="C203" i="53"/>
  <c r="F203" i="53"/>
  <c r="E203" i="53"/>
  <c r="M203" i="53"/>
  <c r="L203" i="53"/>
  <c r="H203" i="53"/>
  <c r="K203" i="53"/>
  <c r="G203" i="53"/>
  <c r="AK202" i="52" a="1"/>
  <c r="AK202" i="52" s="1"/>
  <c r="B204" i="53" s="1"/>
  <c r="O204" i="53" s="1"/>
  <c r="P203" i="53"/>
  <c r="A133" i="32"/>
  <c r="B133" i="32"/>
  <c r="R133" i="32" s="1"/>
  <c r="J143" i="50"/>
  <c r="I143" i="50"/>
  <c r="H143" i="50"/>
  <c r="N143" i="50"/>
  <c r="M143" i="50"/>
  <c r="F143" i="50"/>
  <c r="G143" i="50"/>
  <c r="A143" i="50"/>
  <c r="Q143" i="50" s="1"/>
  <c r="P143" i="50" s="1"/>
  <c r="K143" i="50"/>
  <c r="L143" i="50"/>
  <c r="B143" i="50"/>
  <c r="R143" i="50" s="1"/>
  <c r="F133" i="32"/>
  <c r="AM133" i="32" s="1"/>
  <c r="N133" i="32"/>
  <c r="I133" i="32"/>
  <c r="J133" i="32"/>
  <c r="M133" i="32"/>
  <c r="O133" i="32"/>
  <c r="G133" i="32"/>
  <c r="L133" i="32"/>
  <c r="H133" i="32"/>
  <c r="K133" i="32"/>
  <c r="Q202" i="57"/>
  <c r="T202" i="57" s="1"/>
  <c r="H203" i="57"/>
  <c r="D203" i="57"/>
  <c r="P203" i="57"/>
  <c r="F203" i="57"/>
  <c r="K203" i="57"/>
  <c r="G203" i="57"/>
  <c r="C203" i="57"/>
  <c r="M203" i="57" s="1"/>
  <c r="E203" i="57"/>
  <c r="J203" i="57"/>
  <c r="I203" i="57"/>
  <c r="W141" i="50"/>
  <c r="X141" i="50" s="1"/>
  <c r="Z141" i="50"/>
  <c r="AK202" i="55" a="1"/>
  <c r="AK202" i="55" s="1"/>
  <c r="B204" i="57" s="1"/>
  <c r="O204" i="57" s="1"/>
  <c r="W131" i="32"/>
  <c r="X131" i="32" s="1"/>
  <c r="Z131" i="32"/>
  <c r="AN188" i="67" a="1"/>
  <c r="AN188" i="67" s="1"/>
  <c r="B189" i="69"/>
  <c r="D187" i="69"/>
  <c r="E187" i="69" s="1"/>
  <c r="F187" i="69" s="1"/>
  <c r="G187" i="69" s="1"/>
  <c r="H187" i="69" s="1"/>
  <c r="I187" i="69" s="1"/>
  <c r="J187" i="69" s="1"/>
  <c r="K187" i="69" s="1"/>
  <c r="M187" i="69" s="1"/>
  <c r="N187" i="69"/>
  <c r="AF187" i="69" s="1"/>
  <c r="Q186" i="69"/>
  <c r="R186" i="69"/>
  <c r="S186" i="69" s="1"/>
  <c r="Y186" i="69" s="1"/>
  <c r="AE186" i="69"/>
  <c r="U186" i="69"/>
  <c r="C188" i="69"/>
  <c r="AL133" i="11" a="1"/>
  <c r="AL133" i="11" s="1"/>
  <c r="E134" i="32" s="1"/>
  <c r="AL143" i="59" a="1"/>
  <c r="AL143" i="59" s="1"/>
  <c r="E144" i="50" s="1"/>
  <c r="AM33" i="59" a="1"/>
  <c r="AM33" i="59" s="1"/>
  <c r="AM18" i="11" a="1"/>
  <c r="AM18" i="11" s="1"/>
  <c r="X202" i="57" l="1"/>
  <c r="AA202" i="57" s="1"/>
  <c r="AF201" i="57"/>
  <c r="AA201" i="57"/>
  <c r="AB186" i="69"/>
  <c r="AC186" i="69" s="1"/>
  <c r="AD186" i="69" s="1"/>
  <c r="AG186" i="69"/>
  <c r="L189" i="69"/>
  <c r="O189" i="69"/>
  <c r="AO188" i="69"/>
  <c r="P188" i="69"/>
  <c r="AK144" i="50"/>
  <c r="T144" i="50"/>
  <c r="AF202" i="53"/>
  <c r="AE203" i="53"/>
  <c r="AC203" i="53"/>
  <c r="AB202" i="53"/>
  <c r="AA202" i="53"/>
  <c r="AK134" i="32"/>
  <c r="T134" i="32"/>
  <c r="AD132" i="32"/>
  <c r="AB201" i="57"/>
  <c r="AE203" i="57"/>
  <c r="AC203" i="57"/>
  <c r="AM143" i="50"/>
  <c r="U143" i="50"/>
  <c r="AD142" i="50"/>
  <c r="AG142" i="50" s="1"/>
  <c r="AH142" i="50" s="1"/>
  <c r="AI142" i="50" s="1"/>
  <c r="AG131" i="32"/>
  <c r="AH131" i="32" s="1"/>
  <c r="AL131" i="32"/>
  <c r="U133" i="32"/>
  <c r="AP140" i="50"/>
  <c r="R203" i="57"/>
  <c r="R203" i="53"/>
  <c r="X203" i="53" s="1"/>
  <c r="AL141" i="50"/>
  <c r="Q133" i="32"/>
  <c r="P133" i="32" s="1"/>
  <c r="AI130" i="32"/>
  <c r="AN130" i="32" s="1"/>
  <c r="AX187" i="69"/>
  <c r="AG204" i="57"/>
  <c r="L204" i="57"/>
  <c r="O144" i="50"/>
  <c r="AJ203" i="57"/>
  <c r="AP203" i="57"/>
  <c r="AH203" i="53"/>
  <c r="AT203" i="53"/>
  <c r="AG203" i="53"/>
  <c r="N204" i="57"/>
  <c r="M204" i="53"/>
  <c r="N204" i="53"/>
  <c r="AH187" i="69"/>
  <c r="AJ142" i="50"/>
  <c r="C142" i="50"/>
  <c r="AJ132" i="32"/>
  <c r="C132" i="32"/>
  <c r="AD203" i="57"/>
  <c r="Q203" i="53"/>
  <c r="AD203" i="53"/>
  <c r="S143" i="50"/>
  <c r="V142" i="50"/>
  <c r="S133" i="32"/>
  <c r="V133" i="32" s="1"/>
  <c r="J204" i="53"/>
  <c r="H204" i="53"/>
  <c r="P204" i="53"/>
  <c r="F204" i="53"/>
  <c r="L204" i="53"/>
  <c r="G204" i="53"/>
  <c r="I204" i="53"/>
  <c r="AK203" i="52" a="1"/>
  <c r="AK203" i="52" s="1"/>
  <c r="B205" i="53" s="1"/>
  <c r="O205" i="53" s="1"/>
  <c r="D204" i="53"/>
  <c r="C204" i="53"/>
  <c r="K204" i="53"/>
  <c r="E204" i="53"/>
  <c r="A134" i="32"/>
  <c r="B134" i="32"/>
  <c r="R134" i="32" s="1"/>
  <c r="K144" i="50"/>
  <c r="B144" i="50"/>
  <c r="R144" i="50" s="1"/>
  <c r="F144" i="50"/>
  <c r="G144" i="50"/>
  <c r="N144" i="50"/>
  <c r="I144" i="50"/>
  <c r="J144" i="50"/>
  <c r="A144" i="50"/>
  <c r="Q144" i="50" s="1"/>
  <c r="P144" i="50" s="1"/>
  <c r="M144" i="50"/>
  <c r="H144" i="50"/>
  <c r="L144" i="50"/>
  <c r="L134" i="32"/>
  <c r="G134" i="32"/>
  <c r="O134" i="32"/>
  <c r="H134" i="32"/>
  <c r="K134" i="32"/>
  <c r="J134" i="32"/>
  <c r="M134" i="32"/>
  <c r="F134" i="32"/>
  <c r="AM134" i="32" s="1"/>
  <c r="I134" i="32"/>
  <c r="N134" i="32"/>
  <c r="Q203" i="57"/>
  <c r="T203" i="57" s="1"/>
  <c r="F204" i="57"/>
  <c r="D204" i="57"/>
  <c r="I204" i="57"/>
  <c r="P204" i="57"/>
  <c r="E204" i="57"/>
  <c r="H204" i="57"/>
  <c r="K204" i="57"/>
  <c r="G204" i="57"/>
  <c r="J204" i="57"/>
  <c r="C204" i="57"/>
  <c r="M204" i="57" s="1"/>
  <c r="W142" i="50"/>
  <c r="X142" i="50" s="1"/>
  <c r="Z142" i="50"/>
  <c r="AK203" i="55" a="1"/>
  <c r="AK203" i="55" s="1"/>
  <c r="B205" i="57" s="1"/>
  <c r="O205" i="57" s="1"/>
  <c r="W132" i="32"/>
  <c r="X132" i="32" s="1"/>
  <c r="Z132" i="32"/>
  <c r="AN189" i="67" a="1"/>
  <c r="AN189" i="67" s="1"/>
  <c r="B190" i="69"/>
  <c r="C189" i="69"/>
  <c r="AE187" i="69"/>
  <c r="U187" i="69"/>
  <c r="Q187" i="69"/>
  <c r="R187" i="69"/>
  <c r="S187" i="69" s="1"/>
  <c r="Y187" i="69" s="1"/>
  <c r="AB187" i="69" s="1"/>
  <c r="AC187" i="69" s="1"/>
  <c r="AD187" i="69" s="1"/>
  <c r="D188" i="69"/>
  <c r="E188" i="69" s="1"/>
  <c r="F188" i="69" s="1"/>
  <c r="G188" i="69" s="1"/>
  <c r="H188" i="69" s="1"/>
  <c r="I188" i="69" s="1"/>
  <c r="J188" i="69" s="1"/>
  <c r="K188" i="69" s="1"/>
  <c r="M188" i="69" s="1"/>
  <c r="N188" i="69"/>
  <c r="AF188" i="69" s="1"/>
  <c r="AL134" i="11" a="1"/>
  <c r="AL134" i="11" s="1"/>
  <c r="E135" i="32" s="1"/>
  <c r="AL144" i="59" a="1"/>
  <c r="AL144" i="59" s="1"/>
  <c r="E145" i="50" s="1"/>
  <c r="AM34" i="59" a="1"/>
  <c r="AM34" i="59" s="1"/>
  <c r="AM19" i="11" a="1"/>
  <c r="AM19" i="11" s="1"/>
  <c r="AF202" i="57" l="1"/>
  <c r="AB202" i="57"/>
  <c r="AG187" i="69"/>
  <c r="AO189" i="69"/>
  <c r="P189" i="69"/>
  <c r="L190" i="69"/>
  <c r="O190" i="69"/>
  <c r="X203" i="57"/>
  <c r="T145" i="50"/>
  <c r="AK145" i="50"/>
  <c r="AB203" i="53"/>
  <c r="AA203" i="53"/>
  <c r="AE204" i="53"/>
  <c r="AC204" i="53"/>
  <c r="AF203" i="53"/>
  <c r="AK135" i="32"/>
  <c r="T135" i="32"/>
  <c r="AD133" i="32"/>
  <c r="AE204" i="57"/>
  <c r="AC204" i="57"/>
  <c r="AD143" i="50"/>
  <c r="AG143" i="50" s="1"/>
  <c r="AH143" i="50" s="1"/>
  <c r="AI143" i="50" s="1"/>
  <c r="AM144" i="50"/>
  <c r="U144" i="50"/>
  <c r="U134" i="32"/>
  <c r="AG132" i="32"/>
  <c r="AH132" i="32" s="1"/>
  <c r="AL132" i="32"/>
  <c r="AI131" i="32"/>
  <c r="AN131" i="32" s="1"/>
  <c r="AP141" i="50"/>
  <c r="R204" i="57"/>
  <c r="R204" i="53"/>
  <c r="X204" i="53" s="1"/>
  <c r="AL142" i="50"/>
  <c r="Q134" i="32"/>
  <c r="P134" i="32" s="1"/>
  <c r="AX188" i="69"/>
  <c r="AG205" i="57"/>
  <c r="L205" i="57"/>
  <c r="O145" i="50"/>
  <c r="AJ204" i="57"/>
  <c r="AP204" i="57"/>
  <c r="AG204" i="53"/>
  <c r="AT204" i="53"/>
  <c r="AH204" i="53"/>
  <c r="AD204" i="53"/>
  <c r="N205" i="57"/>
  <c r="Q204" i="53"/>
  <c r="N205" i="53"/>
  <c r="AH188" i="69"/>
  <c r="AJ143" i="50"/>
  <c r="C143" i="50"/>
  <c r="AJ133" i="32"/>
  <c r="C133" i="32"/>
  <c r="AD204" i="57"/>
  <c r="S144" i="50"/>
  <c r="V143" i="50"/>
  <c r="S134" i="32"/>
  <c r="V134" i="32" s="1"/>
  <c r="H205" i="53"/>
  <c r="K205" i="53"/>
  <c r="L205" i="53"/>
  <c r="D205" i="53"/>
  <c r="M205" i="53"/>
  <c r="C205" i="53"/>
  <c r="AK204" i="52" a="1"/>
  <c r="AK204" i="52" s="1"/>
  <c r="B206" i="53" s="1"/>
  <c r="O206" i="53" s="1"/>
  <c r="P205" i="53"/>
  <c r="E205" i="53"/>
  <c r="G205" i="53"/>
  <c r="F205" i="53"/>
  <c r="J205" i="53"/>
  <c r="I205" i="53"/>
  <c r="A135" i="32"/>
  <c r="B135" i="32"/>
  <c r="R135" i="32" s="1"/>
  <c r="J145" i="50"/>
  <c r="M145" i="50"/>
  <c r="H145" i="50"/>
  <c r="F145" i="50"/>
  <c r="K145" i="50"/>
  <c r="L145" i="50"/>
  <c r="G145" i="50"/>
  <c r="A145" i="50"/>
  <c r="Q145" i="50" s="1"/>
  <c r="P145" i="50" s="1"/>
  <c r="B145" i="50"/>
  <c r="R145" i="50" s="1"/>
  <c r="N145" i="50"/>
  <c r="I145" i="50"/>
  <c r="J135" i="32"/>
  <c r="M135" i="32"/>
  <c r="F135" i="32"/>
  <c r="AM135" i="32" s="1"/>
  <c r="N135" i="32"/>
  <c r="I135" i="32"/>
  <c r="K135" i="32"/>
  <c r="H135" i="32"/>
  <c r="L135" i="32"/>
  <c r="O135" i="32"/>
  <c r="G135" i="32"/>
  <c r="Z143" i="50"/>
  <c r="W143" i="50"/>
  <c r="X143" i="50" s="1"/>
  <c r="Q204" i="57"/>
  <c r="T204" i="57" s="1"/>
  <c r="P205" i="57"/>
  <c r="C205" i="57"/>
  <c r="M205" i="57" s="1"/>
  <c r="K205" i="57"/>
  <c r="J205" i="57"/>
  <c r="H205" i="57"/>
  <c r="D205" i="57"/>
  <c r="F205" i="57"/>
  <c r="I205" i="57"/>
  <c r="G205" i="57"/>
  <c r="E205" i="57"/>
  <c r="AK204" i="55" a="1"/>
  <c r="AK204" i="55" s="1"/>
  <c r="B206" i="57" s="1"/>
  <c r="O206" i="57" s="1"/>
  <c r="W133" i="32"/>
  <c r="X133" i="32" s="1"/>
  <c r="Z133" i="32"/>
  <c r="AN190" i="67" a="1"/>
  <c r="AN190" i="67" s="1"/>
  <c r="B191" i="69"/>
  <c r="N189" i="69"/>
  <c r="AF189" i="69" s="1"/>
  <c r="D189" i="69"/>
  <c r="E189" i="69" s="1"/>
  <c r="F189" i="69" s="1"/>
  <c r="G189" i="69" s="1"/>
  <c r="H189" i="69" s="1"/>
  <c r="I189" i="69" s="1"/>
  <c r="J189" i="69" s="1"/>
  <c r="K189" i="69" s="1"/>
  <c r="M189" i="69" s="1"/>
  <c r="AE188" i="69"/>
  <c r="R188" i="69"/>
  <c r="S188" i="69" s="1"/>
  <c r="Y188" i="69" s="1"/>
  <c r="AB188" i="69" s="1"/>
  <c r="AC188" i="69" s="1"/>
  <c r="AD188" i="69" s="1"/>
  <c r="U188" i="69"/>
  <c r="Q188" i="69"/>
  <c r="C190" i="69"/>
  <c r="AL135" i="11" a="1"/>
  <c r="AL135" i="11" s="1"/>
  <c r="E136" i="32" s="1"/>
  <c r="AL145" i="59" a="1"/>
  <c r="AL145" i="59" s="1"/>
  <c r="E146" i="50" s="1"/>
  <c r="AM35" i="59" a="1"/>
  <c r="AM35" i="59" s="1"/>
  <c r="AM20" i="11" a="1"/>
  <c r="AM20" i="11" s="1"/>
  <c r="AF203" i="57" l="1"/>
  <c r="AA203" i="57"/>
  <c r="L191" i="69"/>
  <c r="O191" i="69"/>
  <c r="AG188" i="69"/>
  <c r="AO190" i="69"/>
  <c r="P190" i="69"/>
  <c r="AB203" i="57"/>
  <c r="T146" i="50"/>
  <c r="AK146" i="50"/>
  <c r="AB204" i="53"/>
  <c r="AA204" i="53"/>
  <c r="AF204" i="53"/>
  <c r="AE205" i="53"/>
  <c r="AC205" i="53"/>
  <c r="AK136" i="32"/>
  <c r="T136" i="32"/>
  <c r="AD134" i="32"/>
  <c r="X204" i="57"/>
  <c r="AE205" i="57"/>
  <c r="AC205" i="57"/>
  <c r="AD144" i="50"/>
  <c r="AG144" i="50" s="1"/>
  <c r="AH144" i="50" s="1"/>
  <c r="AI144" i="50" s="1"/>
  <c r="AM145" i="50"/>
  <c r="U145" i="50"/>
  <c r="U135" i="32"/>
  <c r="AG133" i="32"/>
  <c r="AH133" i="32" s="1"/>
  <c r="AL133" i="32"/>
  <c r="R205" i="57"/>
  <c r="R205" i="53"/>
  <c r="X205" i="53" s="1"/>
  <c r="AL143" i="50"/>
  <c r="Q135" i="32"/>
  <c r="P135" i="32" s="1"/>
  <c r="AP142" i="50"/>
  <c r="AI132" i="32"/>
  <c r="AN132" i="32" s="1"/>
  <c r="AX189" i="69"/>
  <c r="AG206" i="57"/>
  <c r="L206" i="57"/>
  <c r="O146" i="50"/>
  <c r="AJ205" i="57"/>
  <c r="AP205" i="57"/>
  <c r="AH205" i="53"/>
  <c r="AT205" i="53"/>
  <c r="AG205" i="53"/>
  <c r="N206" i="57"/>
  <c r="J206" i="53"/>
  <c r="N206" i="53"/>
  <c r="AH189" i="69"/>
  <c r="AJ144" i="50"/>
  <c r="C144" i="50"/>
  <c r="AJ134" i="32"/>
  <c r="C134" i="32"/>
  <c r="AD205" i="57"/>
  <c r="Q205" i="53"/>
  <c r="AD205" i="53"/>
  <c r="V144" i="50"/>
  <c r="S145" i="50"/>
  <c r="S135" i="32"/>
  <c r="V135" i="32" s="1"/>
  <c r="D206" i="53"/>
  <c r="P206" i="53"/>
  <c r="M206" i="53"/>
  <c r="F206" i="53"/>
  <c r="G206" i="53"/>
  <c r="K206" i="53"/>
  <c r="H206" i="53"/>
  <c r="E206" i="53"/>
  <c r="C206" i="53"/>
  <c r="AK205" i="52" a="1"/>
  <c r="AK205" i="52" s="1"/>
  <c r="B207" i="53" s="1"/>
  <c r="O207" i="53" s="1"/>
  <c r="L206" i="53"/>
  <c r="I206" i="53"/>
  <c r="A136" i="32"/>
  <c r="B136" i="32"/>
  <c r="R136" i="32" s="1"/>
  <c r="H146" i="50"/>
  <c r="I146" i="50"/>
  <c r="G146" i="50"/>
  <c r="N146" i="50"/>
  <c r="M146" i="50"/>
  <c r="J146" i="50"/>
  <c r="A146" i="50"/>
  <c r="Q146" i="50" s="1"/>
  <c r="P146" i="50" s="1"/>
  <c r="B146" i="50"/>
  <c r="R146" i="50" s="1"/>
  <c r="L146" i="50"/>
  <c r="F146" i="50"/>
  <c r="K146" i="50"/>
  <c r="H136" i="32"/>
  <c r="K136" i="32"/>
  <c r="L136" i="32"/>
  <c r="G136" i="32"/>
  <c r="O136" i="32"/>
  <c r="F136" i="32"/>
  <c r="AM136" i="32" s="1"/>
  <c r="I136" i="32"/>
  <c r="N136" i="32"/>
  <c r="J136" i="32"/>
  <c r="M136" i="32"/>
  <c r="Q205" i="57"/>
  <c r="T205" i="57" s="1"/>
  <c r="H206" i="57"/>
  <c r="F206" i="57"/>
  <c r="I206" i="57"/>
  <c r="D206" i="57"/>
  <c r="K206" i="57"/>
  <c r="J206" i="57"/>
  <c r="G206" i="57"/>
  <c r="P206" i="57"/>
  <c r="E206" i="57"/>
  <c r="C206" i="57"/>
  <c r="M206" i="57" s="1"/>
  <c r="W144" i="50"/>
  <c r="X144" i="50" s="1"/>
  <c r="Z144" i="50"/>
  <c r="AK205" i="55" a="1"/>
  <c r="AK205" i="55" s="1"/>
  <c r="B207" i="57" s="1"/>
  <c r="O207" i="57" s="1"/>
  <c r="W134" i="32"/>
  <c r="X134" i="32" s="1"/>
  <c r="Z134" i="32"/>
  <c r="AN191" i="67" a="1"/>
  <c r="AN191" i="67" s="1"/>
  <c r="B192" i="69"/>
  <c r="U189" i="69"/>
  <c r="AE189" i="69"/>
  <c r="R189" i="69"/>
  <c r="S189" i="69" s="1"/>
  <c r="Y189" i="69" s="1"/>
  <c r="Q189" i="69"/>
  <c r="C191" i="69"/>
  <c r="D190" i="69"/>
  <c r="E190" i="69" s="1"/>
  <c r="F190" i="69" s="1"/>
  <c r="G190" i="69" s="1"/>
  <c r="H190" i="69" s="1"/>
  <c r="I190" i="69" s="1"/>
  <c r="J190" i="69" s="1"/>
  <c r="K190" i="69" s="1"/>
  <c r="M190" i="69" s="1"/>
  <c r="N190" i="69"/>
  <c r="AF190" i="69" s="1"/>
  <c r="AL136" i="11" a="1"/>
  <c r="AL136" i="11" s="1"/>
  <c r="AL146" i="59" a="1"/>
  <c r="AL146" i="59" s="1"/>
  <c r="E147" i="50" s="1"/>
  <c r="AM36" i="59" a="1"/>
  <c r="AM36" i="59" s="1"/>
  <c r="AM21" i="11" a="1"/>
  <c r="AM21" i="11" s="1"/>
  <c r="AB204" i="57" l="1"/>
  <c r="AA204" i="57"/>
  <c r="AB189" i="69"/>
  <c r="AC189" i="69" s="1"/>
  <c r="AD189" i="69" s="1"/>
  <c r="AG189" i="69"/>
  <c r="L192" i="69"/>
  <c r="O192" i="69"/>
  <c r="AO191" i="69"/>
  <c r="P191" i="69"/>
  <c r="T147" i="50"/>
  <c r="AK147" i="50"/>
  <c r="AB205" i="53"/>
  <c r="AA205" i="53"/>
  <c r="AE206" i="53"/>
  <c r="AC206" i="53"/>
  <c r="AF205" i="53"/>
  <c r="AD135" i="32"/>
  <c r="AF204" i="57"/>
  <c r="X205" i="57"/>
  <c r="AA205" i="57" s="1"/>
  <c r="AE206" i="57"/>
  <c r="AC206" i="57"/>
  <c r="AM146" i="50"/>
  <c r="U146" i="50"/>
  <c r="AD145" i="50"/>
  <c r="AG145" i="50" s="1"/>
  <c r="AH145" i="50" s="1"/>
  <c r="AI145" i="50" s="1"/>
  <c r="U136" i="32"/>
  <c r="AG134" i="32"/>
  <c r="AH134" i="32" s="1"/>
  <c r="AL134" i="32"/>
  <c r="AP143" i="50"/>
  <c r="R206" i="57"/>
  <c r="R206" i="53"/>
  <c r="X206" i="53" s="1"/>
  <c r="AL144" i="50"/>
  <c r="Q136" i="32"/>
  <c r="P136" i="32" s="1"/>
  <c r="AI133" i="32"/>
  <c r="AN133" i="32" s="1"/>
  <c r="AX190" i="69"/>
  <c r="AG207" i="57"/>
  <c r="L207" i="57"/>
  <c r="O147" i="50"/>
  <c r="AJ206" i="57"/>
  <c r="AP206" i="57"/>
  <c r="AH206" i="53"/>
  <c r="AT206" i="53"/>
  <c r="AG206" i="53"/>
  <c r="N207" i="57"/>
  <c r="N207" i="53"/>
  <c r="AH190" i="69"/>
  <c r="AJ145" i="50"/>
  <c r="C145" i="50"/>
  <c r="AJ135" i="32"/>
  <c r="C135" i="32"/>
  <c r="AD206" i="57"/>
  <c r="AD206" i="53"/>
  <c r="V145" i="50"/>
  <c r="S146" i="50"/>
  <c r="S136" i="32"/>
  <c r="V136" i="32" s="1"/>
  <c r="Q206" i="53"/>
  <c r="F207" i="53"/>
  <c r="P207" i="53"/>
  <c r="C207" i="53"/>
  <c r="G207" i="53"/>
  <c r="I207" i="53"/>
  <c r="E207" i="53"/>
  <c r="M207" i="53"/>
  <c r="K207" i="53"/>
  <c r="H207" i="53"/>
  <c r="D207" i="53"/>
  <c r="AK206" i="52" a="1"/>
  <c r="AK206" i="52" s="1"/>
  <c r="B208" i="53" s="1"/>
  <c r="O208" i="53" s="1"/>
  <c r="J207" i="53"/>
  <c r="L207" i="53"/>
  <c r="M147" i="50"/>
  <c r="B147" i="50"/>
  <c r="R147" i="50" s="1"/>
  <c r="J147" i="50"/>
  <c r="I147" i="50"/>
  <c r="L147" i="50"/>
  <c r="N147" i="50"/>
  <c r="A147" i="50"/>
  <c r="Q147" i="50" s="1"/>
  <c r="P147" i="50" s="1"/>
  <c r="H147" i="50"/>
  <c r="F147" i="50"/>
  <c r="K147" i="50"/>
  <c r="G147" i="50"/>
  <c r="W145" i="50"/>
  <c r="X145" i="50" s="1"/>
  <c r="Z145" i="50"/>
  <c r="Q206" i="57"/>
  <c r="T206" i="57" s="1"/>
  <c r="G207" i="57"/>
  <c r="K207" i="57"/>
  <c r="F207" i="57"/>
  <c r="I207" i="57"/>
  <c r="E207" i="57"/>
  <c r="D207" i="57"/>
  <c r="J207" i="57"/>
  <c r="C207" i="57"/>
  <c r="M207" i="57" s="1"/>
  <c r="H207" i="57"/>
  <c r="P207" i="57"/>
  <c r="E137" i="32"/>
  <c r="AK206" i="55" a="1"/>
  <c r="AK206" i="55" s="1"/>
  <c r="B208" i="57" s="1"/>
  <c r="O208" i="57" s="1"/>
  <c r="W135" i="32"/>
  <c r="X135" i="32" s="1"/>
  <c r="Z135" i="32"/>
  <c r="AN192" i="67" a="1"/>
  <c r="AN192" i="67" s="1"/>
  <c r="B193" i="69"/>
  <c r="D191" i="69"/>
  <c r="E191" i="69" s="1"/>
  <c r="F191" i="69" s="1"/>
  <c r="G191" i="69" s="1"/>
  <c r="H191" i="69" s="1"/>
  <c r="I191" i="69" s="1"/>
  <c r="J191" i="69" s="1"/>
  <c r="K191" i="69" s="1"/>
  <c r="M191" i="69" s="1"/>
  <c r="N191" i="69"/>
  <c r="AF191" i="69" s="1"/>
  <c r="Q190" i="69"/>
  <c r="AE190" i="69"/>
  <c r="R190" i="69"/>
  <c r="S190" i="69" s="1"/>
  <c r="Y190" i="69" s="1"/>
  <c r="AB190" i="69" s="1"/>
  <c r="AC190" i="69" s="1"/>
  <c r="AD190" i="69" s="1"/>
  <c r="U190" i="69"/>
  <c r="C192" i="69"/>
  <c r="AL137" i="11" a="1"/>
  <c r="AL137" i="11" s="1"/>
  <c r="E138" i="32" s="1"/>
  <c r="AL147" i="59" a="1"/>
  <c r="AL147" i="59" s="1"/>
  <c r="E148" i="50" s="1"/>
  <c r="AM37" i="59" a="1"/>
  <c r="AM37" i="59" s="1"/>
  <c r="AM22" i="11" a="1"/>
  <c r="AM22" i="11" s="1"/>
  <c r="L193" i="69" l="1"/>
  <c r="O193" i="69"/>
  <c r="AO192" i="69"/>
  <c r="P192" i="69"/>
  <c r="AG190" i="69"/>
  <c r="T148" i="50"/>
  <c r="AK148" i="50"/>
  <c r="X206" i="57"/>
  <c r="AA206" i="57" s="1"/>
  <c r="AF206" i="53"/>
  <c r="AE207" i="53"/>
  <c r="AC207" i="53"/>
  <c r="AB206" i="53"/>
  <c r="AA206" i="53"/>
  <c r="AK137" i="32"/>
  <c r="T137" i="32"/>
  <c r="AK138" i="32"/>
  <c r="T138" i="32"/>
  <c r="AD136" i="32"/>
  <c r="AF205" i="57"/>
  <c r="AB205" i="57"/>
  <c r="AE207" i="57"/>
  <c r="AC207" i="57"/>
  <c r="AD146" i="50"/>
  <c r="AG146" i="50" s="1"/>
  <c r="AH146" i="50" s="1"/>
  <c r="AI146" i="50" s="1"/>
  <c r="AM147" i="50"/>
  <c r="U147" i="50"/>
  <c r="AG135" i="32"/>
  <c r="AH135" i="32" s="1"/>
  <c r="AL135" i="32"/>
  <c r="AI134" i="32"/>
  <c r="AN134" i="32" s="1"/>
  <c r="AP144" i="50"/>
  <c r="R207" i="57"/>
  <c r="R207" i="53"/>
  <c r="X207" i="53" s="1"/>
  <c r="AL145" i="50"/>
  <c r="AX191" i="69"/>
  <c r="AG208" i="57"/>
  <c r="L208" i="57"/>
  <c r="O148" i="50"/>
  <c r="AJ207" i="57"/>
  <c r="AP207" i="57"/>
  <c r="AH207" i="53"/>
  <c r="AT207" i="53"/>
  <c r="AG207" i="53"/>
  <c r="N208" i="57"/>
  <c r="L208" i="53"/>
  <c r="N208" i="53"/>
  <c r="AH191" i="69"/>
  <c r="AJ146" i="50"/>
  <c r="C146" i="50"/>
  <c r="AJ136" i="32"/>
  <c r="C136" i="32"/>
  <c r="AD207" i="57"/>
  <c r="AD207" i="53"/>
  <c r="V146" i="50"/>
  <c r="S147" i="50"/>
  <c r="Q207" i="53"/>
  <c r="AK207" i="52" a="1"/>
  <c r="AK207" i="52" s="1"/>
  <c r="B209" i="53" s="1"/>
  <c r="O209" i="53" s="1"/>
  <c r="C208" i="53"/>
  <c r="E208" i="53"/>
  <c r="P208" i="53"/>
  <c r="G208" i="53"/>
  <c r="H208" i="53"/>
  <c r="J208" i="53"/>
  <c r="K208" i="53"/>
  <c r="I208" i="53"/>
  <c r="D208" i="53"/>
  <c r="F208" i="53"/>
  <c r="M208" i="53"/>
  <c r="A138" i="32"/>
  <c r="B138" i="32"/>
  <c r="R138" i="32" s="1"/>
  <c r="A137" i="32"/>
  <c r="B137" i="32"/>
  <c r="R137" i="32" s="1"/>
  <c r="H148" i="50"/>
  <c r="J148" i="50"/>
  <c r="K148" i="50"/>
  <c r="F148" i="50"/>
  <c r="N148" i="50"/>
  <c r="M148" i="50"/>
  <c r="G148" i="50"/>
  <c r="A148" i="50"/>
  <c r="Q148" i="50" s="1"/>
  <c r="P148" i="50" s="1"/>
  <c r="B148" i="50"/>
  <c r="R148" i="50" s="1"/>
  <c r="I148" i="50"/>
  <c r="L148" i="50"/>
  <c r="L138" i="32"/>
  <c r="G138" i="32"/>
  <c r="O138" i="32"/>
  <c r="H138" i="32"/>
  <c r="K138" i="32"/>
  <c r="M138" i="32"/>
  <c r="J138" i="32"/>
  <c r="N138" i="32"/>
  <c r="F138" i="32"/>
  <c r="AM138" i="32" s="1"/>
  <c r="I138" i="32"/>
  <c r="F137" i="32"/>
  <c r="AM137" i="32" s="1"/>
  <c r="N137" i="32"/>
  <c r="I137" i="32"/>
  <c r="J137" i="32"/>
  <c r="M137" i="32"/>
  <c r="G137" i="32"/>
  <c r="L137" i="32"/>
  <c r="O137" i="32"/>
  <c r="H137" i="32"/>
  <c r="K137" i="32"/>
  <c r="Z146" i="50"/>
  <c r="W146" i="50"/>
  <c r="X146" i="50" s="1"/>
  <c r="Q207" i="57"/>
  <c r="T207" i="57" s="1"/>
  <c r="F208" i="57"/>
  <c r="E208" i="57"/>
  <c r="D208" i="57"/>
  <c r="P208" i="57"/>
  <c r="J208" i="57"/>
  <c r="I208" i="57"/>
  <c r="K208" i="57"/>
  <c r="G208" i="57"/>
  <c r="C208" i="57"/>
  <c r="M208" i="57" s="1"/>
  <c r="H208" i="57"/>
  <c r="AK207" i="55" a="1"/>
  <c r="AK207" i="55" s="1"/>
  <c r="B209" i="57" s="1"/>
  <c r="O209" i="57" s="1"/>
  <c r="W136" i="32"/>
  <c r="X136" i="32" s="1"/>
  <c r="Z136" i="32"/>
  <c r="AN193" i="67" a="1"/>
  <c r="AN193" i="67" s="1"/>
  <c r="B194" i="69"/>
  <c r="C193" i="69"/>
  <c r="N192" i="69"/>
  <c r="AF192" i="69" s="1"/>
  <c r="D192" i="69"/>
  <c r="E192" i="69" s="1"/>
  <c r="F192" i="69" s="1"/>
  <c r="G192" i="69" s="1"/>
  <c r="H192" i="69" s="1"/>
  <c r="I192" i="69" s="1"/>
  <c r="J192" i="69" s="1"/>
  <c r="K192" i="69" s="1"/>
  <c r="M192" i="69" s="1"/>
  <c r="AE191" i="69"/>
  <c r="U191" i="69"/>
  <c r="Q191" i="69"/>
  <c r="R191" i="69"/>
  <c r="S191" i="69" s="1"/>
  <c r="Y191" i="69" s="1"/>
  <c r="AL138" i="11" a="1"/>
  <c r="AL138" i="11" s="1"/>
  <c r="E139" i="32" s="1"/>
  <c r="AL148" i="59" a="1"/>
  <c r="AL148" i="59" s="1"/>
  <c r="E149" i="50" s="1"/>
  <c r="AM38" i="59" a="1"/>
  <c r="AM38" i="59" s="1"/>
  <c r="AM23" i="11" a="1"/>
  <c r="AM23" i="11" s="1"/>
  <c r="AB191" i="69" l="1"/>
  <c r="AC191" i="69" s="1"/>
  <c r="AD191" i="69" s="1"/>
  <c r="AG191" i="69"/>
  <c r="AO193" i="69"/>
  <c r="P193" i="69"/>
  <c r="L194" i="69"/>
  <c r="O194" i="69"/>
  <c r="X207" i="57"/>
  <c r="T149" i="50"/>
  <c r="AK149" i="50"/>
  <c r="AB206" i="57"/>
  <c r="AF206" i="57"/>
  <c r="AE208" i="53"/>
  <c r="AC208" i="53"/>
  <c r="AB207" i="53"/>
  <c r="AA207" i="53"/>
  <c r="AF207" i="53"/>
  <c r="AK139" i="32"/>
  <c r="T139" i="32"/>
  <c r="AE208" i="57"/>
  <c r="AC208" i="57"/>
  <c r="AM148" i="50"/>
  <c r="U148" i="50"/>
  <c r="AD147" i="50"/>
  <c r="AG147" i="50" s="1"/>
  <c r="AH147" i="50" s="1"/>
  <c r="AI147" i="50" s="1"/>
  <c r="U138" i="32"/>
  <c r="U137" i="32"/>
  <c r="AG136" i="32"/>
  <c r="AH136" i="32" s="1"/>
  <c r="AL136" i="32"/>
  <c r="AP145" i="50"/>
  <c r="R208" i="57"/>
  <c r="R208" i="53"/>
  <c r="X208" i="53" s="1"/>
  <c r="AL146" i="50"/>
  <c r="Q138" i="32"/>
  <c r="P138" i="32" s="1"/>
  <c r="Q137" i="32"/>
  <c r="P137" i="32" s="1"/>
  <c r="AI135" i="32"/>
  <c r="AN135" i="32" s="1"/>
  <c r="AX192" i="69"/>
  <c r="AG209" i="57"/>
  <c r="L209" i="57"/>
  <c r="O149" i="50"/>
  <c r="AJ208" i="57"/>
  <c r="AP208" i="57"/>
  <c r="AH208" i="53"/>
  <c r="AT208" i="53"/>
  <c r="AG208" i="53"/>
  <c r="N209" i="57"/>
  <c r="I209" i="53"/>
  <c r="N209" i="53"/>
  <c r="AH192" i="69"/>
  <c r="AJ147" i="50"/>
  <c r="C147" i="50"/>
  <c r="AD208" i="57"/>
  <c r="Q208" i="53"/>
  <c r="AD208" i="53"/>
  <c r="S148" i="50"/>
  <c r="V147" i="50"/>
  <c r="S137" i="32"/>
  <c r="V137" i="32" s="1"/>
  <c r="S138" i="32"/>
  <c r="V138" i="32" s="1"/>
  <c r="L209" i="53"/>
  <c r="G209" i="53"/>
  <c r="C209" i="53"/>
  <c r="M209" i="53"/>
  <c r="F209" i="53"/>
  <c r="E209" i="53"/>
  <c r="H209" i="53"/>
  <c r="P209" i="53"/>
  <c r="AK208" i="52" a="1"/>
  <c r="AK208" i="52" s="1"/>
  <c r="B210" i="53" s="1"/>
  <c r="O210" i="53" s="1"/>
  <c r="J209" i="53"/>
  <c r="D209" i="53"/>
  <c r="K209" i="53"/>
  <c r="A139" i="32"/>
  <c r="B139" i="32"/>
  <c r="R139" i="32" s="1"/>
  <c r="M149" i="50"/>
  <c r="F149" i="50"/>
  <c r="J149" i="50"/>
  <c r="H149" i="50"/>
  <c r="A149" i="50"/>
  <c r="Q149" i="50" s="1"/>
  <c r="P149" i="50" s="1"/>
  <c r="K149" i="50"/>
  <c r="N149" i="50"/>
  <c r="L149" i="50"/>
  <c r="I149" i="50"/>
  <c r="B149" i="50"/>
  <c r="R149" i="50" s="1"/>
  <c r="G149" i="50"/>
  <c r="J139" i="32"/>
  <c r="M139" i="32"/>
  <c r="F139" i="32"/>
  <c r="AM139" i="32" s="1"/>
  <c r="N139" i="32"/>
  <c r="I139" i="32"/>
  <c r="H139" i="32"/>
  <c r="K139" i="32"/>
  <c r="G139" i="32"/>
  <c r="L139" i="32"/>
  <c r="O139" i="32"/>
  <c r="K209" i="57"/>
  <c r="H209" i="57"/>
  <c r="F209" i="57"/>
  <c r="C209" i="57"/>
  <c r="M209" i="57" s="1"/>
  <c r="P209" i="57"/>
  <c r="E209" i="57"/>
  <c r="G209" i="57"/>
  <c r="J209" i="57"/>
  <c r="I209" i="57"/>
  <c r="D209" i="57"/>
  <c r="Q208" i="57"/>
  <c r="T208" i="57" s="1"/>
  <c r="Z147" i="50"/>
  <c r="W147" i="50"/>
  <c r="X147" i="50" s="1"/>
  <c r="AK208" i="55" a="1"/>
  <c r="AK208" i="55" s="1"/>
  <c r="B210" i="57" s="1"/>
  <c r="O210" i="57" s="1"/>
  <c r="AN194" i="67" a="1"/>
  <c r="AN194" i="67" s="1"/>
  <c r="B195" i="69"/>
  <c r="N193" i="69"/>
  <c r="AF193" i="69" s="1"/>
  <c r="D193" i="69"/>
  <c r="E193" i="69" s="1"/>
  <c r="F193" i="69" s="1"/>
  <c r="G193" i="69" s="1"/>
  <c r="H193" i="69" s="1"/>
  <c r="I193" i="69" s="1"/>
  <c r="J193" i="69" s="1"/>
  <c r="K193" i="69" s="1"/>
  <c r="M193" i="69" s="1"/>
  <c r="U192" i="69"/>
  <c r="Q192" i="69"/>
  <c r="R192" i="69"/>
  <c r="S192" i="69" s="1"/>
  <c r="Y192" i="69" s="1"/>
  <c r="AE192" i="69"/>
  <c r="C194" i="69"/>
  <c r="AL139" i="11" a="1"/>
  <c r="AL139" i="11" s="1"/>
  <c r="E140" i="32" s="1"/>
  <c r="AL149" i="59" a="1"/>
  <c r="AL149" i="59" s="1"/>
  <c r="E150" i="50" s="1"/>
  <c r="AM39" i="59" a="1"/>
  <c r="AM39" i="59" s="1"/>
  <c r="AM24" i="11" a="1"/>
  <c r="AM24" i="11" s="1"/>
  <c r="AB207" i="57" l="1"/>
  <c r="AA207" i="57"/>
  <c r="AB192" i="69"/>
  <c r="AC192" i="69" s="1"/>
  <c r="AD192" i="69" s="1"/>
  <c r="AG192" i="69"/>
  <c r="L195" i="69"/>
  <c r="O195" i="69"/>
  <c r="AO194" i="69"/>
  <c r="P194" i="69"/>
  <c r="AF207" i="57"/>
  <c r="X208" i="57"/>
  <c r="AA208" i="57" s="1"/>
  <c r="T150" i="50"/>
  <c r="AK150" i="50"/>
  <c r="AB208" i="53"/>
  <c r="AA208" i="53"/>
  <c r="AE209" i="53"/>
  <c r="AC209" i="53"/>
  <c r="AF208" i="53"/>
  <c r="AK140" i="32"/>
  <c r="T140" i="32"/>
  <c r="AD137" i="32"/>
  <c r="AD138" i="32"/>
  <c r="AE209" i="57"/>
  <c r="AC209" i="57"/>
  <c r="AM149" i="50"/>
  <c r="U149" i="50"/>
  <c r="AD148" i="50"/>
  <c r="AG148" i="50" s="1"/>
  <c r="AH148" i="50" s="1"/>
  <c r="AI148" i="50" s="1"/>
  <c r="U139" i="32"/>
  <c r="AI136" i="32"/>
  <c r="AN136" i="32" s="1"/>
  <c r="AP146" i="50"/>
  <c r="R209" i="57"/>
  <c r="R209" i="53"/>
  <c r="X209" i="53" s="1"/>
  <c r="AL147" i="50"/>
  <c r="Q139" i="32"/>
  <c r="P139" i="32" s="1"/>
  <c r="AX193" i="69"/>
  <c r="AG210" i="57"/>
  <c r="L210" i="57"/>
  <c r="O150" i="50"/>
  <c r="AJ209" i="57"/>
  <c r="AP209" i="57"/>
  <c r="AH209" i="53"/>
  <c r="AT209" i="53"/>
  <c r="AG209" i="53"/>
  <c r="N210" i="57"/>
  <c r="N210" i="53"/>
  <c r="AH193" i="69"/>
  <c r="AJ148" i="50"/>
  <c r="C148" i="50"/>
  <c r="AJ137" i="32"/>
  <c r="C137" i="32"/>
  <c r="AJ138" i="32"/>
  <c r="C138" i="32"/>
  <c r="AD209" i="57"/>
  <c r="AD209" i="53"/>
  <c r="S149" i="50"/>
  <c r="V148" i="50"/>
  <c r="S139" i="32"/>
  <c r="V139" i="32" s="1"/>
  <c r="Q209" i="53"/>
  <c r="K210" i="53"/>
  <c r="I210" i="53"/>
  <c r="M210" i="53"/>
  <c r="G210" i="53"/>
  <c r="AK209" i="52" a="1"/>
  <c r="AK209" i="52" s="1"/>
  <c r="B211" i="53" s="1"/>
  <c r="O211" i="53" s="1"/>
  <c r="F210" i="53"/>
  <c r="L210" i="53"/>
  <c r="E210" i="53"/>
  <c r="C210" i="53"/>
  <c r="H210" i="53"/>
  <c r="J210" i="53"/>
  <c r="P210" i="53"/>
  <c r="D210" i="53"/>
  <c r="A140" i="32"/>
  <c r="B140" i="32"/>
  <c r="R140" i="32" s="1"/>
  <c r="F150" i="50"/>
  <c r="L150" i="50"/>
  <c r="N150" i="50"/>
  <c r="M150" i="50"/>
  <c r="G150" i="50"/>
  <c r="A150" i="50"/>
  <c r="Q150" i="50" s="1"/>
  <c r="P150" i="50" s="1"/>
  <c r="B150" i="50"/>
  <c r="R150" i="50" s="1"/>
  <c r="H150" i="50"/>
  <c r="I150" i="50"/>
  <c r="J150" i="50"/>
  <c r="K150" i="50"/>
  <c r="H140" i="32"/>
  <c r="K140" i="32"/>
  <c r="L140" i="32"/>
  <c r="G140" i="32"/>
  <c r="O140" i="32"/>
  <c r="I140" i="32"/>
  <c r="N140" i="32"/>
  <c r="F140" i="32"/>
  <c r="AM140" i="32" s="1"/>
  <c r="J140" i="32"/>
  <c r="M140" i="32"/>
  <c r="Z137" i="32"/>
  <c r="W137" i="32"/>
  <c r="X137" i="32" s="1"/>
  <c r="Q209" i="57"/>
  <c r="T209" i="57" s="1"/>
  <c r="Z148" i="50"/>
  <c r="W148" i="50"/>
  <c r="X148" i="50" s="1"/>
  <c r="K210" i="57"/>
  <c r="P210" i="57"/>
  <c r="G210" i="57"/>
  <c r="E210" i="57"/>
  <c r="C210" i="57"/>
  <c r="M210" i="57" s="1"/>
  <c r="J210" i="57"/>
  <c r="H210" i="57"/>
  <c r="I210" i="57"/>
  <c r="D210" i="57"/>
  <c r="F210" i="57"/>
  <c r="AK209" i="55" a="1"/>
  <c r="AK209" i="55" s="1"/>
  <c r="B211" i="57" s="1"/>
  <c r="O211" i="57" s="1"/>
  <c r="W138" i="32"/>
  <c r="X138" i="32" s="1"/>
  <c r="Z138" i="32"/>
  <c r="C195" i="69"/>
  <c r="N194" i="69"/>
  <c r="AF194" i="69" s="1"/>
  <c r="D194" i="69"/>
  <c r="E194" i="69" s="1"/>
  <c r="F194" i="69" s="1"/>
  <c r="G194" i="69" s="1"/>
  <c r="H194" i="69" s="1"/>
  <c r="I194" i="69" s="1"/>
  <c r="J194" i="69" s="1"/>
  <c r="K194" i="69" s="1"/>
  <c r="M194" i="69" s="1"/>
  <c r="Q193" i="69"/>
  <c r="U193" i="69"/>
  <c r="AE193" i="69"/>
  <c r="R193" i="69"/>
  <c r="S193" i="69" s="1"/>
  <c r="Y193" i="69" s="1"/>
  <c r="AN195" i="67" a="1"/>
  <c r="AN195" i="67" s="1"/>
  <c r="B196" i="69"/>
  <c r="AL140" i="11" a="1"/>
  <c r="AL140" i="11" s="1"/>
  <c r="E141" i="32" s="1"/>
  <c r="AL150" i="59" a="1"/>
  <c r="AL150" i="59" s="1"/>
  <c r="E151" i="50" s="1"/>
  <c r="AM40" i="59" a="1"/>
  <c r="AM40" i="59" s="1"/>
  <c r="AM25" i="11" a="1"/>
  <c r="AM25" i="11" s="1"/>
  <c r="AB193" i="69" l="1"/>
  <c r="AC193" i="69" s="1"/>
  <c r="AD193" i="69" s="1"/>
  <c r="AG193" i="69"/>
  <c r="AO195" i="69"/>
  <c r="P195" i="69"/>
  <c r="L196" i="69"/>
  <c r="O196" i="69"/>
  <c r="AB208" i="57"/>
  <c r="AF208" i="57"/>
  <c r="AK151" i="50"/>
  <c r="T151" i="50"/>
  <c r="AB209" i="53"/>
  <c r="AA209" i="53"/>
  <c r="AF209" i="53"/>
  <c r="AE210" i="53"/>
  <c r="AC210" i="53"/>
  <c r="AK141" i="32"/>
  <c r="T141" i="32"/>
  <c r="AD139" i="32"/>
  <c r="X209" i="57"/>
  <c r="AE210" i="57"/>
  <c r="AC210" i="57"/>
  <c r="AD149" i="50"/>
  <c r="AG149" i="50" s="1"/>
  <c r="AH149" i="50" s="1"/>
  <c r="AI149" i="50" s="1"/>
  <c r="AM150" i="50"/>
  <c r="U150" i="50"/>
  <c r="U140" i="32"/>
  <c r="AG138" i="32"/>
  <c r="AH138" i="32" s="1"/>
  <c r="AL138" i="32"/>
  <c r="AG137" i="32"/>
  <c r="AH137" i="32" s="1"/>
  <c r="AL137" i="32"/>
  <c r="AP147" i="50"/>
  <c r="R210" i="57"/>
  <c r="R210" i="53"/>
  <c r="X210" i="53" s="1"/>
  <c r="AL148" i="50"/>
  <c r="Q140" i="32"/>
  <c r="P140" i="32" s="1"/>
  <c r="AX194" i="69"/>
  <c r="L211" i="57"/>
  <c r="AG211" i="57"/>
  <c r="O151" i="50"/>
  <c r="AJ210" i="57"/>
  <c r="AP210" i="57"/>
  <c r="AH210" i="53"/>
  <c r="AT210" i="53"/>
  <c r="AG210" i="53"/>
  <c r="N211" i="57"/>
  <c r="F211" i="53"/>
  <c r="N211" i="53"/>
  <c r="AH194" i="69"/>
  <c r="AJ149" i="50"/>
  <c r="C149" i="50"/>
  <c r="AJ139" i="32"/>
  <c r="C139" i="32"/>
  <c r="AD210" i="57"/>
  <c r="Q210" i="53"/>
  <c r="AD210" i="53"/>
  <c r="S150" i="50"/>
  <c r="V149" i="50"/>
  <c r="S140" i="32"/>
  <c r="V140" i="32" s="1"/>
  <c r="AK210" i="52" a="1"/>
  <c r="AK210" i="52" s="1"/>
  <c r="B212" i="53" s="1"/>
  <c r="O212" i="53" s="1"/>
  <c r="M211" i="53"/>
  <c r="K211" i="53"/>
  <c r="L211" i="53"/>
  <c r="J211" i="53"/>
  <c r="H211" i="53"/>
  <c r="I211" i="53"/>
  <c r="P211" i="53"/>
  <c r="C211" i="53"/>
  <c r="E211" i="53"/>
  <c r="G211" i="53"/>
  <c r="D211" i="53"/>
  <c r="A141" i="32"/>
  <c r="B141" i="32"/>
  <c r="R141" i="32" s="1"/>
  <c r="G151" i="50"/>
  <c r="M151" i="50"/>
  <c r="F151" i="50"/>
  <c r="I151" i="50"/>
  <c r="J151" i="50"/>
  <c r="A151" i="50"/>
  <c r="Q151" i="50" s="1"/>
  <c r="P151" i="50" s="1"/>
  <c r="L151" i="50"/>
  <c r="N151" i="50"/>
  <c r="H151" i="50"/>
  <c r="K151" i="50"/>
  <c r="B151" i="50"/>
  <c r="R151" i="50" s="1"/>
  <c r="F141" i="32"/>
  <c r="AM141" i="32" s="1"/>
  <c r="N141" i="32"/>
  <c r="I141" i="32"/>
  <c r="J141" i="32"/>
  <c r="M141" i="32"/>
  <c r="O141" i="32"/>
  <c r="G141" i="32"/>
  <c r="L141" i="32"/>
  <c r="H141" i="32"/>
  <c r="K141" i="32"/>
  <c r="P211" i="57"/>
  <c r="D211" i="57"/>
  <c r="K211" i="57"/>
  <c r="G211" i="57"/>
  <c r="F211" i="57"/>
  <c r="H211" i="57"/>
  <c r="C211" i="57"/>
  <c r="M211" i="57" s="1"/>
  <c r="I211" i="57"/>
  <c r="J211" i="57"/>
  <c r="E211" i="57"/>
  <c r="Q210" i="57"/>
  <c r="T210" i="57" s="1"/>
  <c r="W149" i="50"/>
  <c r="X149" i="50" s="1"/>
  <c r="Z149" i="50"/>
  <c r="AK210" i="55" a="1"/>
  <c r="AK210" i="55" s="1"/>
  <c r="B212" i="57" s="1"/>
  <c r="O212" i="57" s="1"/>
  <c r="W139" i="32"/>
  <c r="X139" i="32" s="1"/>
  <c r="Z139" i="32"/>
  <c r="AN196" i="67" a="1"/>
  <c r="AN196" i="67" s="1"/>
  <c r="B197" i="69"/>
  <c r="D195" i="69"/>
  <c r="E195" i="69" s="1"/>
  <c r="F195" i="69" s="1"/>
  <c r="G195" i="69" s="1"/>
  <c r="H195" i="69" s="1"/>
  <c r="I195" i="69" s="1"/>
  <c r="J195" i="69" s="1"/>
  <c r="K195" i="69" s="1"/>
  <c r="M195" i="69" s="1"/>
  <c r="N195" i="69"/>
  <c r="AF195" i="69" s="1"/>
  <c r="AE194" i="69"/>
  <c r="R194" i="69"/>
  <c r="S194" i="69" s="1"/>
  <c r="Y194" i="69" s="1"/>
  <c r="Q194" i="69"/>
  <c r="U194" i="69"/>
  <c r="C196" i="69"/>
  <c r="AL141" i="11" a="1"/>
  <c r="AL141" i="11" s="1"/>
  <c r="E142" i="32" s="1"/>
  <c r="AL151" i="59" a="1"/>
  <c r="AL151" i="59" s="1"/>
  <c r="E152" i="50" s="1"/>
  <c r="AM41" i="59" a="1"/>
  <c r="AM41" i="59" s="1"/>
  <c r="AM26" i="11" a="1"/>
  <c r="AM26" i="11" s="1"/>
  <c r="AB209" i="57" l="1"/>
  <c r="AA209" i="57"/>
  <c r="AB194" i="69"/>
  <c r="AC194" i="69" s="1"/>
  <c r="AD194" i="69" s="1"/>
  <c r="AG194" i="69"/>
  <c r="L197" i="69"/>
  <c r="O197" i="69"/>
  <c r="AO196" i="69"/>
  <c r="P196" i="69"/>
  <c r="AK152" i="50"/>
  <c r="T152" i="50"/>
  <c r="X210" i="57"/>
  <c r="AA210" i="57" s="1"/>
  <c r="AB210" i="53"/>
  <c r="AA210" i="53"/>
  <c r="AF210" i="53"/>
  <c r="AE211" i="53"/>
  <c r="AC211" i="53"/>
  <c r="AK142" i="32"/>
  <c r="T142" i="32"/>
  <c r="AD140" i="32"/>
  <c r="AF209" i="57"/>
  <c r="AE211" i="57"/>
  <c r="AC211" i="57"/>
  <c r="AD150" i="50"/>
  <c r="AG150" i="50" s="1"/>
  <c r="AH150" i="50" s="1"/>
  <c r="AI150" i="50" s="1"/>
  <c r="AM151" i="50"/>
  <c r="U151" i="50"/>
  <c r="U141" i="32"/>
  <c r="AG139" i="32"/>
  <c r="AH139" i="32" s="1"/>
  <c r="AL139" i="32"/>
  <c r="AI137" i="32"/>
  <c r="AN137" i="32" s="1"/>
  <c r="AI138" i="32"/>
  <c r="AN138" i="32" s="1"/>
  <c r="AP148" i="50"/>
  <c r="R211" i="57"/>
  <c r="R211" i="53"/>
  <c r="X211" i="53" s="1"/>
  <c r="AL149" i="50"/>
  <c r="Q141" i="32"/>
  <c r="P141" i="32" s="1"/>
  <c r="AX195" i="69"/>
  <c r="AG212" i="57"/>
  <c r="L212" i="57"/>
  <c r="O152" i="50"/>
  <c r="AJ211" i="57"/>
  <c r="AP211" i="57"/>
  <c r="AH211" i="53"/>
  <c r="AT211" i="53"/>
  <c r="AG211" i="53"/>
  <c r="N212" i="57"/>
  <c r="M212" i="53"/>
  <c r="N212" i="53"/>
  <c r="AH195" i="69"/>
  <c r="AJ150" i="50"/>
  <c r="C150" i="50"/>
  <c r="AJ140" i="32"/>
  <c r="C140" i="32"/>
  <c r="AD211" i="57"/>
  <c r="AD211" i="53"/>
  <c r="S151" i="50"/>
  <c r="V150" i="50"/>
  <c r="S141" i="32"/>
  <c r="V141" i="32" s="1"/>
  <c r="Q211" i="53"/>
  <c r="AK211" i="52" a="1"/>
  <c r="AK211" i="52" s="1"/>
  <c r="B213" i="53" s="1"/>
  <c r="O213" i="53" s="1"/>
  <c r="J212" i="53"/>
  <c r="L212" i="53"/>
  <c r="H212" i="53"/>
  <c r="C212" i="53"/>
  <c r="E212" i="53"/>
  <c r="D212" i="53"/>
  <c r="G212" i="53"/>
  <c r="K212" i="53"/>
  <c r="F212" i="53"/>
  <c r="P212" i="53"/>
  <c r="I212" i="53"/>
  <c r="A142" i="32"/>
  <c r="B142" i="32"/>
  <c r="R142" i="32" s="1"/>
  <c r="B152" i="50"/>
  <c r="R152" i="50" s="1"/>
  <c r="I152" i="50"/>
  <c r="N152" i="50"/>
  <c r="A152" i="50"/>
  <c r="Q152" i="50" s="1"/>
  <c r="P152" i="50" s="1"/>
  <c r="G152" i="50"/>
  <c r="J152" i="50"/>
  <c r="K152" i="50"/>
  <c r="M152" i="50"/>
  <c r="F152" i="50"/>
  <c r="H152" i="50"/>
  <c r="L152" i="50"/>
  <c r="L142" i="32"/>
  <c r="G142" i="32"/>
  <c r="O142" i="32"/>
  <c r="H142" i="32"/>
  <c r="K142" i="32"/>
  <c r="J142" i="32"/>
  <c r="M142" i="32"/>
  <c r="F142" i="32"/>
  <c r="AM142" i="32" s="1"/>
  <c r="I142" i="32"/>
  <c r="N142" i="32"/>
  <c r="Q211" i="57"/>
  <c r="T211" i="57" s="1"/>
  <c r="I212" i="57"/>
  <c r="F212" i="57"/>
  <c r="D212" i="57"/>
  <c r="E212" i="57"/>
  <c r="J212" i="57"/>
  <c r="P212" i="57"/>
  <c r="K212" i="57"/>
  <c r="C212" i="57"/>
  <c r="M212" i="57" s="1"/>
  <c r="G212" i="57"/>
  <c r="H212" i="57"/>
  <c r="W150" i="50"/>
  <c r="X150" i="50" s="1"/>
  <c r="Z150" i="50"/>
  <c r="AK211" i="55" a="1"/>
  <c r="AK211" i="55" s="1"/>
  <c r="B213" i="57" s="1"/>
  <c r="O213" i="57" s="1"/>
  <c r="W140" i="32"/>
  <c r="X140" i="32" s="1"/>
  <c r="Z140" i="32"/>
  <c r="AN197" i="67" a="1"/>
  <c r="AN197" i="67" s="1"/>
  <c r="B198" i="69"/>
  <c r="AE195" i="69"/>
  <c r="U195" i="69"/>
  <c r="R195" i="69"/>
  <c r="S195" i="69" s="1"/>
  <c r="Y195" i="69" s="1"/>
  <c r="Q195" i="69"/>
  <c r="C197" i="69"/>
  <c r="N196" i="69"/>
  <c r="AF196" i="69" s="1"/>
  <c r="D196" i="69"/>
  <c r="E196" i="69" s="1"/>
  <c r="F196" i="69" s="1"/>
  <c r="G196" i="69" s="1"/>
  <c r="H196" i="69" s="1"/>
  <c r="I196" i="69" s="1"/>
  <c r="J196" i="69" s="1"/>
  <c r="K196" i="69" s="1"/>
  <c r="M196" i="69" s="1"/>
  <c r="AL142" i="11" a="1"/>
  <c r="AL142" i="11" s="1"/>
  <c r="E143" i="32" s="1"/>
  <c r="AL152" i="59" a="1"/>
  <c r="AL152" i="59" s="1"/>
  <c r="E153" i="50" s="1"/>
  <c r="AM42" i="59" a="1"/>
  <c r="AM42" i="59" s="1"/>
  <c r="AM27" i="11" a="1"/>
  <c r="AM27" i="11" s="1"/>
  <c r="X211" i="57" l="1"/>
  <c r="AA211" i="57" s="1"/>
  <c r="AB195" i="69"/>
  <c r="AC195" i="69" s="1"/>
  <c r="AD195" i="69" s="1"/>
  <c r="AG195" i="69"/>
  <c r="AO197" i="69"/>
  <c r="P197" i="69"/>
  <c r="L198" i="69"/>
  <c r="O198" i="69"/>
  <c r="T153" i="50"/>
  <c r="AK153" i="50"/>
  <c r="AF210" i="57"/>
  <c r="AB210" i="57"/>
  <c r="AF211" i="53"/>
  <c r="AB211" i="53"/>
  <c r="AA211" i="53"/>
  <c r="AE212" i="53"/>
  <c r="AC212" i="53"/>
  <c r="AK143" i="32"/>
  <c r="T143" i="32"/>
  <c r="AD141" i="32"/>
  <c r="AE212" i="57"/>
  <c r="AC212" i="57"/>
  <c r="AD151" i="50"/>
  <c r="AG151" i="50" s="1"/>
  <c r="AH151" i="50" s="1"/>
  <c r="AI151" i="50" s="1"/>
  <c r="AM152" i="50"/>
  <c r="U152" i="50"/>
  <c r="U142" i="32"/>
  <c r="AG140" i="32"/>
  <c r="AH140" i="32" s="1"/>
  <c r="AL140" i="32"/>
  <c r="AI139" i="32"/>
  <c r="AN139" i="32" s="1"/>
  <c r="AP149" i="50"/>
  <c r="R212" i="57"/>
  <c r="R212" i="53"/>
  <c r="X212" i="53" s="1"/>
  <c r="AL150" i="50"/>
  <c r="Q142" i="32"/>
  <c r="P142" i="32" s="1"/>
  <c r="AX196" i="69"/>
  <c r="L213" i="57"/>
  <c r="AG213" i="57"/>
  <c r="O153" i="50"/>
  <c r="AJ212" i="57"/>
  <c r="AP212" i="57"/>
  <c r="AH212" i="53"/>
  <c r="AT212" i="53"/>
  <c r="AG212" i="53"/>
  <c r="Q212" i="53"/>
  <c r="N213" i="57"/>
  <c r="N213" i="53"/>
  <c r="AD212" i="53"/>
  <c r="AH196" i="69"/>
  <c r="AJ151" i="50"/>
  <c r="C151" i="50"/>
  <c r="AJ141" i="32"/>
  <c r="C141" i="32"/>
  <c r="AD212" i="57"/>
  <c r="S152" i="50"/>
  <c r="V151" i="50"/>
  <c r="S142" i="32"/>
  <c r="V142" i="32" s="1"/>
  <c r="L213" i="53"/>
  <c r="E213" i="53"/>
  <c r="M213" i="53"/>
  <c r="J213" i="53"/>
  <c r="H213" i="53"/>
  <c r="P213" i="53"/>
  <c r="I213" i="53"/>
  <c r="G213" i="53"/>
  <c r="K213" i="53"/>
  <c r="C213" i="53"/>
  <c r="AK212" i="52" a="1"/>
  <c r="AK212" i="52" s="1"/>
  <c r="B214" i="53" s="1"/>
  <c r="O214" i="53" s="1"/>
  <c r="D213" i="53"/>
  <c r="F213" i="53"/>
  <c r="A143" i="32"/>
  <c r="B143" i="32"/>
  <c r="R143" i="32" s="1"/>
  <c r="F153" i="50"/>
  <c r="L153" i="50"/>
  <c r="M153" i="50"/>
  <c r="I153" i="50"/>
  <c r="N153" i="50"/>
  <c r="J153" i="50"/>
  <c r="G153" i="50"/>
  <c r="H153" i="50"/>
  <c r="B153" i="50"/>
  <c r="R153" i="50" s="1"/>
  <c r="A153" i="50"/>
  <c r="Q153" i="50" s="1"/>
  <c r="P153" i="50" s="1"/>
  <c r="K153" i="50"/>
  <c r="J143" i="32"/>
  <c r="M143" i="32"/>
  <c r="F143" i="32"/>
  <c r="AM143" i="32" s="1"/>
  <c r="N143" i="32"/>
  <c r="I143" i="32"/>
  <c r="K143" i="32"/>
  <c r="H143" i="32"/>
  <c r="G143" i="32"/>
  <c r="L143" i="32"/>
  <c r="O143" i="32"/>
  <c r="Z151" i="50"/>
  <c r="W151" i="50"/>
  <c r="X151" i="50" s="1"/>
  <c r="Q212" i="57"/>
  <c r="T212" i="57" s="1"/>
  <c r="D213" i="57"/>
  <c r="P213" i="57"/>
  <c r="C213" i="57"/>
  <c r="M213" i="57" s="1"/>
  <c r="K213" i="57"/>
  <c r="J213" i="57"/>
  <c r="H213" i="57"/>
  <c r="F213" i="57"/>
  <c r="I213" i="57"/>
  <c r="E213" i="57"/>
  <c r="G213" i="57"/>
  <c r="AK212" i="55" a="1"/>
  <c r="AK212" i="55" s="1"/>
  <c r="B214" i="57" s="1"/>
  <c r="O214" i="57" s="1"/>
  <c r="W141" i="32"/>
  <c r="X141" i="32" s="1"/>
  <c r="Z141" i="32"/>
  <c r="AN198" i="67" a="1"/>
  <c r="AN198" i="67" s="1"/>
  <c r="B199" i="69"/>
  <c r="D197" i="69"/>
  <c r="E197" i="69" s="1"/>
  <c r="F197" i="69" s="1"/>
  <c r="G197" i="69" s="1"/>
  <c r="H197" i="69" s="1"/>
  <c r="I197" i="69" s="1"/>
  <c r="J197" i="69" s="1"/>
  <c r="K197" i="69" s="1"/>
  <c r="M197" i="69" s="1"/>
  <c r="N197" i="69"/>
  <c r="AF197" i="69" s="1"/>
  <c r="AE196" i="69"/>
  <c r="U196" i="69"/>
  <c r="Q196" i="69"/>
  <c r="R196" i="69"/>
  <c r="S196" i="69" s="1"/>
  <c r="Y196" i="69" s="1"/>
  <c r="C198" i="69"/>
  <c r="AL143" i="11" a="1"/>
  <c r="AL143" i="11" s="1"/>
  <c r="E144" i="32" s="1"/>
  <c r="AL153" i="59" a="1"/>
  <c r="AL153" i="59" s="1"/>
  <c r="E154" i="50" s="1"/>
  <c r="AM43" i="59" a="1"/>
  <c r="AM43" i="59" s="1"/>
  <c r="AM28" i="11" a="1"/>
  <c r="AM28" i="11" s="1"/>
  <c r="AB211" i="57" l="1"/>
  <c r="AF211" i="57"/>
  <c r="AB196" i="69"/>
  <c r="AC196" i="69" s="1"/>
  <c r="AD196" i="69" s="1"/>
  <c r="AG196" i="69"/>
  <c r="L199" i="69"/>
  <c r="O199" i="69"/>
  <c r="AO198" i="69"/>
  <c r="P198" i="69"/>
  <c r="T154" i="50"/>
  <c r="AK154" i="50"/>
  <c r="AB212" i="53"/>
  <c r="AA212" i="53"/>
  <c r="AE213" i="53"/>
  <c r="AC213" i="53"/>
  <c r="AF212" i="53"/>
  <c r="AK144" i="32"/>
  <c r="T144" i="32"/>
  <c r="AD142" i="32"/>
  <c r="X212" i="57"/>
  <c r="AE213" i="57"/>
  <c r="AC213" i="57"/>
  <c r="AM153" i="50"/>
  <c r="U153" i="50"/>
  <c r="AD152" i="50"/>
  <c r="AG152" i="50" s="1"/>
  <c r="AH152" i="50" s="1"/>
  <c r="AI152" i="50" s="1"/>
  <c r="U143" i="32"/>
  <c r="AG141" i="32"/>
  <c r="AH141" i="32" s="1"/>
  <c r="AL141" i="32"/>
  <c r="AI140" i="32"/>
  <c r="AN140" i="32" s="1"/>
  <c r="AP150" i="50"/>
  <c r="R213" i="57"/>
  <c r="R213" i="53"/>
  <c r="X213" i="53" s="1"/>
  <c r="AL151" i="50"/>
  <c r="Q143" i="32"/>
  <c r="P143" i="32" s="1"/>
  <c r="AX197" i="69"/>
  <c r="AG214" i="57"/>
  <c r="L214" i="57"/>
  <c r="O154" i="50"/>
  <c r="AJ213" i="57"/>
  <c r="AP213" i="57"/>
  <c r="AH213" i="53"/>
  <c r="AT213" i="53"/>
  <c r="AG213" i="53"/>
  <c r="N214" i="57"/>
  <c r="N214" i="53"/>
  <c r="AH197" i="69"/>
  <c r="AJ152" i="50"/>
  <c r="C152" i="50"/>
  <c r="AJ142" i="32"/>
  <c r="C142" i="32"/>
  <c r="AD213" i="57"/>
  <c r="AD213" i="53"/>
  <c r="S153" i="50"/>
  <c r="V152" i="50"/>
  <c r="S143" i="32"/>
  <c r="V143" i="32" s="1"/>
  <c r="Q213" i="53"/>
  <c r="F214" i="53"/>
  <c r="H214" i="53"/>
  <c r="C214" i="53"/>
  <c r="J214" i="53"/>
  <c r="M214" i="53"/>
  <c r="P214" i="53"/>
  <c r="E214" i="53"/>
  <c r="K214" i="53"/>
  <c r="L214" i="53"/>
  <c r="I214" i="53"/>
  <c r="AK213" i="52" a="1"/>
  <c r="AK213" i="52" s="1"/>
  <c r="B215" i="53" s="1"/>
  <c r="O215" i="53" s="1"/>
  <c r="D214" i="53"/>
  <c r="G214" i="53"/>
  <c r="A144" i="32"/>
  <c r="B144" i="32"/>
  <c r="R144" i="32" s="1"/>
  <c r="L154" i="50"/>
  <c r="M154" i="50"/>
  <c r="G154" i="50"/>
  <c r="H154" i="50"/>
  <c r="I154" i="50"/>
  <c r="K154" i="50"/>
  <c r="F154" i="50"/>
  <c r="N154" i="50"/>
  <c r="J154" i="50"/>
  <c r="B154" i="50"/>
  <c r="R154" i="50" s="1"/>
  <c r="A154" i="50"/>
  <c r="Q154" i="50" s="1"/>
  <c r="P154" i="50" s="1"/>
  <c r="H144" i="32"/>
  <c r="K144" i="32"/>
  <c r="L144" i="32"/>
  <c r="G144" i="32"/>
  <c r="O144" i="32"/>
  <c r="F144" i="32"/>
  <c r="AM144" i="32" s="1"/>
  <c r="I144" i="32"/>
  <c r="N144" i="32"/>
  <c r="J144" i="32"/>
  <c r="M144" i="32"/>
  <c r="Q213" i="57"/>
  <c r="T213" i="57" s="1"/>
  <c r="Z152" i="50"/>
  <c r="W152" i="50"/>
  <c r="X152" i="50" s="1"/>
  <c r="I214" i="57"/>
  <c r="D214" i="57"/>
  <c r="K214" i="57"/>
  <c r="J214" i="57"/>
  <c r="G214" i="57"/>
  <c r="P214" i="57"/>
  <c r="C214" i="57"/>
  <c r="M214" i="57" s="1"/>
  <c r="E214" i="57"/>
  <c r="H214" i="57"/>
  <c r="F214" i="57"/>
  <c r="AK213" i="55" a="1"/>
  <c r="AK213" i="55" s="1"/>
  <c r="B215" i="57" s="1"/>
  <c r="O215" i="57" s="1"/>
  <c r="W142" i="32"/>
  <c r="X142" i="32" s="1"/>
  <c r="Z142" i="32"/>
  <c r="AN199" i="67" a="1"/>
  <c r="AN199" i="67" s="1"/>
  <c r="B200" i="69"/>
  <c r="N198" i="69"/>
  <c r="AF198" i="69" s="1"/>
  <c r="D198" i="69"/>
  <c r="E198" i="69" s="1"/>
  <c r="F198" i="69" s="1"/>
  <c r="G198" i="69" s="1"/>
  <c r="H198" i="69" s="1"/>
  <c r="I198" i="69" s="1"/>
  <c r="J198" i="69" s="1"/>
  <c r="K198" i="69" s="1"/>
  <c r="M198" i="69" s="1"/>
  <c r="C199" i="69"/>
  <c r="U197" i="69"/>
  <c r="AE197" i="69"/>
  <c r="Q197" i="69"/>
  <c r="R197" i="69"/>
  <c r="S197" i="69" s="1"/>
  <c r="Y197" i="69" s="1"/>
  <c r="AL144" i="11" a="1"/>
  <c r="AL144" i="11" s="1"/>
  <c r="AL154" i="59" a="1"/>
  <c r="AL154" i="59" s="1"/>
  <c r="E155" i="50" s="1"/>
  <c r="AM44" i="59" a="1"/>
  <c r="AM44" i="59" s="1"/>
  <c r="AM29" i="11" a="1"/>
  <c r="AM29" i="11" s="1"/>
  <c r="AB212" i="57" l="1"/>
  <c r="AA212" i="57"/>
  <c r="X213" i="57"/>
  <c r="AB197" i="69"/>
  <c r="AC197" i="69" s="1"/>
  <c r="AD197" i="69" s="1"/>
  <c r="AG197" i="69"/>
  <c r="L200" i="69"/>
  <c r="O200" i="69"/>
  <c r="AO199" i="69"/>
  <c r="P199" i="69"/>
  <c r="T155" i="50"/>
  <c r="AK155" i="50"/>
  <c r="AE214" i="53"/>
  <c r="AC214" i="53"/>
  <c r="AF213" i="53"/>
  <c r="AB213" i="53"/>
  <c r="AA213" i="53"/>
  <c r="AD143" i="32"/>
  <c r="AF212" i="57"/>
  <c r="AE214" i="57"/>
  <c r="AC214" i="57"/>
  <c r="AD153" i="50"/>
  <c r="AG153" i="50" s="1"/>
  <c r="AH153" i="50" s="1"/>
  <c r="AI153" i="50" s="1"/>
  <c r="AM154" i="50"/>
  <c r="U154" i="50"/>
  <c r="U144" i="32"/>
  <c r="AG142" i="32"/>
  <c r="AH142" i="32" s="1"/>
  <c r="AL142" i="32"/>
  <c r="AP151" i="50"/>
  <c r="R214" i="57"/>
  <c r="R214" i="53"/>
  <c r="X214" i="53" s="1"/>
  <c r="AL152" i="50"/>
  <c r="Q144" i="32"/>
  <c r="P144" i="32" s="1"/>
  <c r="AI141" i="32"/>
  <c r="AN141" i="32" s="1"/>
  <c r="AX198" i="69"/>
  <c r="AG215" i="57"/>
  <c r="L215" i="57"/>
  <c r="O155" i="50"/>
  <c r="AJ214" i="57"/>
  <c r="AP214" i="57"/>
  <c r="AG214" i="53"/>
  <c r="AH214" i="53"/>
  <c r="AT214" i="53"/>
  <c r="N215" i="57"/>
  <c r="L215" i="53"/>
  <c r="N215" i="53"/>
  <c r="AH198" i="69"/>
  <c r="AJ153" i="50"/>
  <c r="C153" i="50"/>
  <c r="AJ143" i="32"/>
  <c r="C143" i="32"/>
  <c r="AD214" i="57"/>
  <c r="AD214" i="53"/>
  <c r="S154" i="50"/>
  <c r="V153" i="50"/>
  <c r="S144" i="32"/>
  <c r="V144" i="32" s="1"/>
  <c r="Q214" i="53"/>
  <c r="AK214" i="52" a="1"/>
  <c r="AK214" i="52" s="1"/>
  <c r="B216" i="53" s="1"/>
  <c r="O216" i="53" s="1"/>
  <c r="K215" i="53"/>
  <c r="I215" i="53"/>
  <c r="H215" i="53"/>
  <c r="M215" i="53"/>
  <c r="G215" i="53"/>
  <c r="F215" i="53"/>
  <c r="E215" i="53"/>
  <c r="D215" i="53"/>
  <c r="J215" i="53"/>
  <c r="C215" i="53"/>
  <c r="P215" i="53"/>
  <c r="K155" i="50"/>
  <c r="B155" i="50"/>
  <c r="R155" i="50" s="1"/>
  <c r="N155" i="50"/>
  <c r="A155" i="50"/>
  <c r="Q155" i="50" s="1"/>
  <c r="P155" i="50" s="1"/>
  <c r="I155" i="50"/>
  <c r="F155" i="50"/>
  <c r="M155" i="50"/>
  <c r="G155" i="50"/>
  <c r="J155" i="50"/>
  <c r="H155" i="50"/>
  <c r="L155" i="50"/>
  <c r="Q214" i="57"/>
  <c r="T214" i="57" s="1"/>
  <c r="F215" i="57"/>
  <c r="I215" i="57"/>
  <c r="E215" i="57"/>
  <c r="D215" i="57"/>
  <c r="J215" i="57"/>
  <c r="H215" i="57"/>
  <c r="G215" i="57"/>
  <c r="C215" i="57"/>
  <c r="M215" i="57" s="1"/>
  <c r="P215" i="57"/>
  <c r="K215" i="57"/>
  <c r="W153" i="50"/>
  <c r="X153" i="50" s="1"/>
  <c r="Z153" i="50"/>
  <c r="E145" i="32"/>
  <c r="AK214" i="55" a="1"/>
  <c r="AK214" i="55" s="1"/>
  <c r="B216" i="57" s="1"/>
  <c r="O216" i="57" s="1"/>
  <c r="W143" i="32"/>
  <c r="X143" i="32" s="1"/>
  <c r="Z143" i="32"/>
  <c r="AN200" i="67" a="1"/>
  <c r="AN200" i="67" s="1"/>
  <c r="B201" i="69"/>
  <c r="Q198" i="69"/>
  <c r="AE198" i="69"/>
  <c r="R198" i="69"/>
  <c r="S198" i="69" s="1"/>
  <c r="Y198" i="69" s="1"/>
  <c r="AB198" i="69" s="1"/>
  <c r="AC198" i="69" s="1"/>
  <c r="AD198" i="69" s="1"/>
  <c r="U198" i="69"/>
  <c r="D199" i="69"/>
  <c r="E199" i="69" s="1"/>
  <c r="F199" i="69" s="1"/>
  <c r="G199" i="69" s="1"/>
  <c r="H199" i="69" s="1"/>
  <c r="I199" i="69" s="1"/>
  <c r="J199" i="69" s="1"/>
  <c r="K199" i="69" s="1"/>
  <c r="M199" i="69" s="1"/>
  <c r="N199" i="69"/>
  <c r="AF199" i="69" s="1"/>
  <c r="C200" i="69"/>
  <c r="AL145" i="11" a="1"/>
  <c r="AL145" i="11" s="1"/>
  <c r="E146" i="32" s="1"/>
  <c r="AL155" i="59" a="1"/>
  <c r="AL155" i="59" s="1"/>
  <c r="E156" i="50" s="1"/>
  <c r="AM45" i="59" a="1"/>
  <c r="AM45" i="59" s="1"/>
  <c r="AM30" i="11" a="1"/>
  <c r="AM30" i="11" s="1"/>
  <c r="AB213" i="57" l="1"/>
  <c r="AA213" i="57"/>
  <c r="AF213" i="57"/>
  <c r="AO200" i="69"/>
  <c r="P200" i="69"/>
  <c r="AG198" i="69"/>
  <c r="L201" i="69"/>
  <c r="O201" i="69"/>
  <c r="T156" i="50"/>
  <c r="AK156" i="50"/>
  <c r="X214" i="57"/>
  <c r="AA214" i="57" s="1"/>
  <c r="AB214" i="53"/>
  <c r="AA214" i="53"/>
  <c r="AE215" i="53"/>
  <c r="AC215" i="53"/>
  <c r="AF214" i="53"/>
  <c r="AK146" i="32"/>
  <c r="T146" i="32"/>
  <c r="AK145" i="32"/>
  <c r="T145" i="32"/>
  <c r="AD144" i="32"/>
  <c r="AE215" i="57"/>
  <c r="AC215" i="57"/>
  <c r="AD154" i="50"/>
  <c r="AG154" i="50" s="1"/>
  <c r="AH154" i="50" s="1"/>
  <c r="AI154" i="50" s="1"/>
  <c r="AM155" i="50"/>
  <c r="U155" i="50"/>
  <c r="AG143" i="32"/>
  <c r="AH143" i="32" s="1"/>
  <c r="AL143" i="32"/>
  <c r="AI142" i="32"/>
  <c r="AN142" i="32" s="1"/>
  <c r="AP152" i="50"/>
  <c r="R215" i="57"/>
  <c r="R215" i="53"/>
  <c r="X215" i="53" s="1"/>
  <c r="AL153" i="50"/>
  <c r="AX199" i="69"/>
  <c r="AG216" i="57"/>
  <c r="L216" i="57"/>
  <c r="O156" i="50"/>
  <c r="AJ215" i="57"/>
  <c r="AP215" i="57"/>
  <c r="AG215" i="53"/>
  <c r="AH215" i="53"/>
  <c r="AT215" i="53"/>
  <c r="N216" i="57"/>
  <c r="N216" i="53"/>
  <c r="AH199" i="69"/>
  <c r="AJ154" i="50"/>
  <c r="C154" i="50"/>
  <c r="AJ144" i="32"/>
  <c r="C144" i="32"/>
  <c r="AD215" i="57"/>
  <c r="Q215" i="53"/>
  <c r="AD215" i="53"/>
  <c r="S155" i="50"/>
  <c r="V154" i="50"/>
  <c r="J216" i="53"/>
  <c r="M216" i="53"/>
  <c r="P216" i="53"/>
  <c r="AK215" i="52" a="1"/>
  <c r="AK215" i="52" s="1"/>
  <c r="B217" i="53" s="1"/>
  <c r="O217" i="53" s="1"/>
  <c r="F216" i="53"/>
  <c r="L216" i="53"/>
  <c r="D216" i="53"/>
  <c r="H216" i="53"/>
  <c r="K216" i="53"/>
  <c r="C216" i="53"/>
  <c r="E216" i="53"/>
  <c r="G216" i="53"/>
  <c r="I216" i="53"/>
  <c r="A146" i="32"/>
  <c r="B146" i="32"/>
  <c r="R146" i="32" s="1"/>
  <c r="A145" i="32"/>
  <c r="B145" i="32"/>
  <c r="R145" i="32" s="1"/>
  <c r="F156" i="50"/>
  <c r="I156" i="50"/>
  <c r="K156" i="50"/>
  <c r="M156" i="50"/>
  <c r="H156" i="50"/>
  <c r="A156" i="50"/>
  <c r="Q156" i="50" s="1"/>
  <c r="P156" i="50" s="1"/>
  <c r="J156" i="50"/>
  <c r="L156" i="50"/>
  <c r="G156" i="50"/>
  <c r="B156" i="50"/>
  <c r="R156" i="50" s="1"/>
  <c r="N156" i="50"/>
  <c r="L146" i="32"/>
  <c r="G146" i="32"/>
  <c r="O146" i="32"/>
  <c r="H146" i="32"/>
  <c r="K146" i="32"/>
  <c r="M146" i="32"/>
  <c r="J146" i="32"/>
  <c r="F146" i="32"/>
  <c r="AM146" i="32" s="1"/>
  <c r="I146" i="32"/>
  <c r="N146" i="32"/>
  <c r="F145" i="32"/>
  <c r="AM145" i="32" s="1"/>
  <c r="N145" i="32"/>
  <c r="I145" i="32"/>
  <c r="J145" i="32"/>
  <c r="M145" i="32"/>
  <c r="G145" i="32"/>
  <c r="L145" i="32"/>
  <c r="O145" i="32"/>
  <c r="H145" i="32"/>
  <c r="K145" i="32"/>
  <c r="Q215" i="57"/>
  <c r="T215" i="57" s="1"/>
  <c r="J216" i="57"/>
  <c r="I216" i="57"/>
  <c r="F216" i="57"/>
  <c r="E216" i="57"/>
  <c r="D216" i="57"/>
  <c r="P216" i="57"/>
  <c r="K216" i="57"/>
  <c r="G216" i="57"/>
  <c r="C216" i="57"/>
  <c r="M216" i="57" s="1"/>
  <c r="H216" i="57"/>
  <c r="W154" i="50"/>
  <c r="X154" i="50" s="1"/>
  <c r="Z154" i="50"/>
  <c r="AK215" i="55" a="1"/>
  <c r="AK215" i="55" s="1"/>
  <c r="B217" i="57" s="1"/>
  <c r="O217" i="57" s="1"/>
  <c r="W144" i="32"/>
  <c r="X144" i="32" s="1"/>
  <c r="Z144" i="32"/>
  <c r="AN201" i="67" a="1"/>
  <c r="AN201" i="67" s="1"/>
  <c r="B202" i="69"/>
  <c r="N200" i="69"/>
  <c r="AF200" i="69" s="1"/>
  <c r="D200" i="69"/>
  <c r="E200" i="69" s="1"/>
  <c r="F200" i="69" s="1"/>
  <c r="G200" i="69" s="1"/>
  <c r="H200" i="69" s="1"/>
  <c r="I200" i="69" s="1"/>
  <c r="J200" i="69" s="1"/>
  <c r="K200" i="69" s="1"/>
  <c r="M200" i="69" s="1"/>
  <c r="U199" i="69"/>
  <c r="AE199" i="69"/>
  <c r="R199" i="69"/>
  <c r="S199" i="69" s="1"/>
  <c r="Y199" i="69" s="1"/>
  <c r="Q199" i="69"/>
  <c r="C201" i="69"/>
  <c r="AL146" i="11" a="1"/>
  <c r="AL146" i="11" s="1"/>
  <c r="E147" i="32" s="1"/>
  <c r="AL156" i="59" a="1"/>
  <c r="AL156" i="59" s="1"/>
  <c r="E157" i="50" s="1"/>
  <c r="AM46" i="59" a="1"/>
  <c r="AM46" i="59" s="1"/>
  <c r="AM31" i="11" a="1"/>
  <c r="AM31" i="11" s="1"/>
  <c r="AB199" i="69" l="1"/>
  <c r="AC199" i="69" s="1"/>
  <c r="AD199" i="69" s="1"/>
  <c r="AG199" i="69"/>
  <c r="L202" i="69"/>
  <c r="O202" i="69"/>
  <c r="AO201" i="69"/>
  <c r="P201" i="69"/>
  <c r="T157" i="50"/>
  <c r="AK157" i="50"/>
  <c r="AB214" i="57"/>
  <c r="AF214" i="57"/>
  <c r="X215" i="57"/>
  <c r="AB215" i="53"/>
  <c r="AA215" i="53"/>
  <c r="AE216" i="53"/>
  <c r="AC216" i="53"/>
  <c r="AF215" i="53"/>
  <c r="AK147" i="32"/>
  <c r="T147" i="32"/>
  <c r="AE216" i="57"/>
  <c r="AC216" i="57"/>
  <c r="AD155" i="50"/>
  <c r="AG155" i="50" s="1"/>
  <c r="AH155" i="50" s="1"/>
  <c r="AI155" i="50" s="1"/>
  <c r="AM156" i="50"/>
  <c r="U156" i="50"/>
  <c r="U146" i="32"/>
  <c r="AG144" i="32"/>
  <c r="AH144" i="32" s="1"/>
  <c r="AL144" i="32"/>
  <c r="U145" i="32"/>
  <c r="AI143" i="32"/>
  <c r="AN143" i="32" s="1"/>
  <c r="AP153" i="50"/>
  <c r="R216" i="57"/>
  <c r="R216" i="53"/>
  <c r="X216" i="53" s="1"/>
  <c r="AL154" i="50"/>
  <c r="Q145" i="32"/>
  <c r="P145" i="32" s="1"/>
  <c r="Q146" i="32"/>
  <c r="P146" i="32" s="1"/>
  <c r="AX200" i="69"/>
  <c r="AG217" i="57"/>
  <c r="L217" i="57"/>
  <c r="O157" i="50"/>
  <c r="AJ216" i="57"/>
  <c r="AP216" i="57"/>
  <c r="AH216" i="53"/>
  <c r="AT216" i="53"/>
  <c r="AG216" i="53"/>
  <c r="N217" i="57"/>
  <c r="F217" i="53"/>
  <c r="N217" i="53"/>
  <c r="AH200" i="69"/>
  <c r="AJ155" i="50"/>
  <c r="C155" i="50"/>
  <c r="AD216" i="57"/>
  <c r="AD216" i="53"/>
  <c r="S156" i="50"/>
  <c r="V155" i="50"/>
  <c r="S145" i="32"/>
  <c r="V145" i="32" s="1"/>
  <c r="S146" i="32"/>
  <c r="V146" i="32" s="1"/>
  <c r="Q216" i="53"/>
  <c r="L217" i="53"/>
  <c r="G217" i="53"/>
  <c r="J217" i="53"/>
  <c r="P217" i="53"/>
  <c r="D217" i="53"/>
  <c r="K217" i="53"/>
  <c r="AK216" i="52" a="1"/>
  <c r="AK216" i="52" s="1"/>
  <c r="B218" i="53" s="1"/>
  <c r="O218" i="53" s="1"/>
  <c r="C217" i="53"/>
  <c r="I217" i="53"/>
  <c r="M217" i="53"/>
  <c r="H217" i="53"/>
  <c r="E217" i="53"/>
  <c r="A147" i="32"/>
  <c r="B147" i="32"/>
  <c r="R147" i="32" s="1"/>
  <c r="F157" i="50"/>
  <c r="J157" i="50"/>
  <c r="I157" i="50"/>
  <c r="G157" i="50"/>
  <c r="M157" i="50"/>
  <c r="K157" i="50"/>
  <c r="N157" i="50"/>
  <c r="H157" i="50"/>
  <c r="A157" i="50"/>
  <c r="Q157" i="50" s="1"/>
  <c r="P157" i="50" s="1"/>
  <c r="B157" i="50"/>
  <c r="R157" i="50" s="1"/>
  <c r="L157" i="50"/>
  <c r="J147" i="32"/>
  <c r="M147" i="32"/>
  <c r="F147" i="32"/>
  <c r="AM147" i="32" s="1"/>
  <c r="N147" i="32"/>
  <c r="I147" i="32"/>
  <c r="H147" i="32"/>
  <c r="K147" i="32"/>
  <c r="G147" i="32"/>
  <c r="L147" i="32"/>
  <c r="O147" i="32"/>
  <c r="Q216" i="57"/>
  <c r="T216" i="57" s="1"/>
  <c r="C217" i="57"/>
  <c r="M217" i="57" s="1"/>
  <c r="P217" i="57"/>
  <c r="K217" i="57"/>
  <c r="H217" i="57"/>
  <c r="F217" i="57"/>
  <c r="I217" i="57"/>
  <c r="E217" i="57"/>
  <c r="G217" i="57"/>
  <c r="D217" i="57"/>
  <c r="J217" i="57"/>
  <c r="Z155" i="50"/>
  <c r="W155" i="50"/>
  <c r="X155" i="50" s="1"/>
  <c r="AK216" i="55" a="1"/>
  <c r="AK216" i="55" s="1"/>
  <c r="B218" i="57" s="1"/>
  <c r="O218" i="57" s="1"/>
  <c r="AN202" i="67" a="1"/>
  <c r="AN202" i="67" s="1"/>
  <c r="B203" i="69"/>
  <c r="Q200" i="69"/>
  <c r="AE200" i="69"/>
  <c r="R200" i="69"/>
  <c r="S200" i="69" s="1"/>
  <c r="Y200" i="69" s="1"/>
  <c r="U200" i="69"/>
  <c r="N201" i="69"/>
  <c r="AF201" i="69" s="1"/>
  <c r="D201" i="69"/>
  <c r="E201" i="69" s="1"/>
  <c r="F201" i="69" s="1"/>
  <c r="G201" i="69" s="1"/>
  <c r="H201" i="69" s="1"/>
  <c r="I201" i="69" s="1"/>
  <c r="J201" i="69" s="1"/>
  <c r="K201" i="69" s="1"/>
  <c r="M201" i="69" s="1"/>
  <c r="C202" i="69"/>
  <c r="AL147" i="11" a="1"/>
  <c r="AL147" i="11" s="1"/>
  <c r="E148" i="32" s="1"/>
  <c r="AL157" i="59" a="1"/>
  <c r="AL157" i="59" s="1"/>
  <c r="E158" i="50" s="1"/>
  <c r="AM47" i="59" a="1"/>
  <c r="AM47" i="59" s="1"/>
  <c r="AM32" i="11" a="1"/>
  <c r="AM32" i="11" s="1"/>
  <c r="AB215" i="57" l="1"/>
  <c r="AA215" i="57"/>
  <c r="AB200" i="69"/>
  <c r="AC200" i="69" s="1"/>
  <c r="AD200" i="69" s="1"/>
  <c r="AG200" i="69"/>
  <c r="L203" i="69"/>
  <c r="O203" i="69"/>
  <c r="AO202" i="69"/>
  <c r="P202" i="69"/>
  <c r="T158" i="50"/>
  <c r="AK158" i="50"/>
  <c r="AF215" i="57"/>
  <c r="AB216" i="53"/>
  <c r="AA216" i="53"/>
  <c r="AF216" i="53"/>
  <c r="AE217" i="53"/>
  <c r="AC217" i="53"/>
  <c r="T148" i="32"/>
  <c r="AK148" i="32"/>
  <c r="AD145" i="32"/>
  <c r="AD146" i="32"/>
  <c r="X216" i="57"/>
  <c r="AE217" i="57"/>
  <c r="AC217" i="57"/>
  <c r="AD156" i="50"/>
  <c r="AG156" i="50" s="1"/>
  <c r="AH156" i="50" s="1"/>
  <c r="AI156" i="50" s="1"/>
  <c r="AM157" i="50"/>
  <c r="U157" i="50"/>
  <c r="U147" i="32"/>
  <c r="AI144" i="32"/>
  <c r="AN144" i="32" s="1"/>
  <c r="AP154" i="50"/>
  <c r="R217" i="57"/>
  <c r="R217" i="53"/>
  <c r="X217" i="53" s="1"/>
  <c r="AL155" i="50"/>
  <c r="Q147" i="32"/>
  <c r="P147" i="32" s="1"/>
  <c r="AX201" i="69"/>
  <c r="AG218" i="57"/>
  <c r="L218" i="57"/>
  <c r="O158" i="50"/>
  <c r="AJ217" i="57"/>
  <c r="AP217" i="57"/>
  <c r="AH217" i="53"/>
  <c r="AT217" i="53"/>
  <c r="AG217" i="53"/>
  <c r="N218" i="57"/>
  <c r="N218" i="53"/>
  <c r="AH201" i="69"/>
  <c r="AJ156" i="50"/>
  <c r="C156" i="50"/>
  <c r="AJ145" i="32"/>
  <c r="C145" i="32"/>
  <c r="AJ146" i="32"/>
  <c r="C146" i="32"/>
  <c r="AD217" i="57"/>
  <c r="AD217" i="53"/>
  <c r="Q217" i="53"/>
  <c r="S157" i="50"/>
  <c r="V156" i="50"/>
  <c r="S147" i="32"/>
  <c r="V147" i="32" s="1"/>
  <c r="L218" i="53"/>
  <c r="G218" i="53"/>
  <c r="M218" i="53"/>
  <c r="AK217" i="52" a="1"/>
  <c r="AK217" i="52" s="1"/>
  <c r="B219" i="53" s="1"/>
  <c r="O219" i="53" s="1"/>
  <c r="D218" i="53"/>
  <c r="I218" i="53"/>
  <c r="F218" i="53"/>
  <c r="H218" i="53"/>
  <c r="E218" i="53"/>
  <c r="C218" i="53"/>
  <c r="P218" i="53"/>
  <c r="J218" i="53"/>
  <c r="K218" i="53"/>
  <c r="A148" i="32"/>
  <c r="B148" i="32"/>
  <c r="R148" i="32" s="1"/>
  <c r="G158" i="50"/>
  <c r="K158" i="50"/>
  <c r="M158" i="50"/>
  <c r="L158" i="50"/>
  <c r="A158" i="50"/>
  <c r="Q158" i="50" s="1"/>
  <c r="P158" i="50" s="1"/>
  <c r="I158" i="50"/>
  <c r="H158" i="50"/>
  <c r="F158" i="50"/>
  <c r="N158" i="50"/>
  <c r="J158" i="50"/>
  <c r="B158" i="50"/>
  <c r="R158" i="50" s="1"/>
  <c r="H148" i="32"/>
  <c r="K148" i="32"/>
  <c r="L148" i="32"/>
  <c r="G148" i="32"/>
  <c r="O148" i="32"/>
  <c r="I148" i="32"/>
  <c r="N148" i="32"/>
  <c r="F148" i="32"/>
  <c r="AM148" i="32" s="1"/>
  <c r="J148" i="32"/>
  <c r="M148" i="32"/>
  <c r="Z145" i="32"/>
  <c r="W145" i="32"/>
  <c r="X145" i="32" s="1"/>
  <c r="H218" i="57"/>
  <c r="I218" i="57"/>
  <c r="D218" i="57"/>
  <c r="F218" i="57"/>
  <c r="K218" i="57"/>
  <c r="P218" i="57"/>
  <c r="G218" i="57"/>
  <c r="E218" i="57"/>
  <c r="C218" i="57"/>
  <c r="M218" i="57" s="1"/>
  <c r="J218" i="57"/>
  <c r="Q217" i="57"/>
  <c r="T217" i="57" s="1"/>
  <c r="W156" i="50"/>
  <c r="X156" i="50" s="1"/>
  <c r="Z156" i="50"/>
  <c r="AK217" i="55" a="1"/>
  <c r="AK217" i="55" s="1"/>
  <c r="B219" i="57" s="1"/>
  <c r="O219" i="57" s="1"/>
  <c r="W146" i="32"/>
  <c r="X146" i="32" s="1"/>
  <c r="Z146" i="32"/>
  <c r="C203" i="69"/>
  <c r="Q201" i="69"/>
  <c r="U201" i="69"/>
  <c r="AE201" i="69"/>
  <c r="R201" i="69"/>
  <c r="S201" i="69" s="1"/>
  <c r="Y201" i="69" s="1"/>
  <c r="D202" i="69"/>
  <c r="E202" i="69" s="1"/>
  <c r="F202" i="69" s="1"/>
  <c r="G202" i="69" s="1"/>
  <c r="H202" i="69" s="1"/>
  <c r="I202" i="69" s="1"/>
  <c r="J202" i="69" s="1"/>
  <c r="K202" i="69" s="1"/>
  <c r="M202" i="69" s="1"/>
  <c r="N202" i="69"/>
  <c r="AF202" i="69" s="1"/>
  <c r="AN203" i="67" a="1"/>
  <c r="AN203" i="67" s="1"/>
  <c r="B204" i="69"/>
  <c r="AL148" i="11" a="1"/>
  <c r="AL148" i="11" s="1"/>
  <c r="E149" i="32" s="1"/>
  <c r="AL158" i="59" a="1"/>
  <c r="AL158" i="59" s="1"/>
  <c r="E159" i="50" s="1"/>
  <c r="AM48" i="59" a="1"/>
  <c r="AM48" i="59" s="1"/>
  <c r="AM33" i="11" a="1"/>
  <c r="AM33" i="11" s="1"/>
  <c r="AB216" i="57" l="1"/>
  <c r="AA216" i="57"/>
  <c r="AB201" i="69"/>
  <c r="AC201" i="69" s="1"/>
  <c r="AD201" i="69" s="1"/>
  <c r="AG201" i="69"/>
  <c r="L204" i="69"/>
  <c r="O204" i="69"/>
  <c r="AO203" i="69"/>
  <c r="P203" i="69"/>
  <c r="AK159" i="50"/>
  <c r="T159" i="50"/>
  <c r="X217" i="57"/>
  <c r="AB217" i="53"/>
  <c r="AA217" i="53"/>
  <c r="AE218" i="53"/>
  <c r="AC218" i="53"/>
  <c r="AF217" i="53"/>
  <c r="AK149" i="32"/>
  <c r="T149" i="32"/>
  <c r="AD147" i="32"/>
  <c r="AF216" i="57"/>
  <c r="AE218" i="57"/>
  <c r="AC218" i="57"/>
  <c r="AD157" i="50"/>
  <c r="AG157" i="50" s="1"/>
  <c r="AH157" i="50" s="1"/>
  <c r="AI157" i="50" s="1"/>
  <c r="AM158" i="50"/>
  <c r="U158" i="50"/>
  <c r="AG146" i="32"/>
  <c r="AH146" i="32" s="1"/>
  <c r="AL146" i="32"/>
  <c r="AG145" i="32"/>
  <c r="AH145" i="32" s="1"/>
  <c r="AL145" i="32"/>
  <c r="U148" i="32"/>
  <c r="AP155" i="50"/>
  <c r="R218" i="57"/>
  <c r="R218" i="53"/>
  <c r="X218" i="53" s="1"/>
  <c r="AL156" i="50"/>
  <c r="Q148" i="32"/>
  <c r="P148" i="32" s="1"/>
  <c r="AX202" i="69"/>
  <c r="L219" i="57"/>
  <c r="AG219" i="57"/>
  <c r="O159" i="50"/>
  <c r="AJ218" i="57"/>
  <c r="AP218" i="57"/>
  <c r="AH218" i="53"/>
  <c r="AT218" i="53"/>
  <c r="AG218" i="53"/>
  <c r="N219" i="57"/>
  <c r="N219" i="53"/>
  <c r="AH202" i="69"/>
  <c r="AJ157" i="50"/>
  <c r="C157" i="50"/>
  <c r="AJ147" i="32"/>
  <c r="C147" i="32"/>
  <c r="AD218" i="57"/>
  <c r="Q218" i="53"/>
  <c r="AD218" i="53"/>
  <c r="S158" i="50"/>
  <c r="V157" i="50"/>
  <c r="S148" i="32"/>
  <c r="V148" i="32" s="1"/>
  <c r="H219" i="53"/>
  <c r="P219" i="53"/>
  <c r="L219" i="53"/>
  <c r="M219" i="53"/>
  <c r="K219" i="53"/>
  <c r="E219" i="53"/>
  <c r="F219" i="53"/>
  <c r="D219" i="53"/>
  <c r="I219" i="53"/>
  <c r="AK218" i="52" a="1"/>
  <c r="AK218" i="52" s="1"/>
  <c r="B220" i="53" s="1"/>
  <c r="O220" i="53" s="1"/>
  <c r="G219" i="53"/>
  <c r="J219" i="53"/>
  <c r="C219" i="53"/>
  <c r="A149" i="32"/>
  <c r="B149" i="32"/>
  <c r="R149" i="32" s="1"/>
  <c r="F159" i="50"/>
  <c r="A159" i="50"/>
  <c r="Q159" i="50" s="1"/>
  <c r="P159" i="50" s="1"/>
  <c r="L159" i="50"/>
  <c r="B159" i="50"/>
  <c r="R159" i="50" s="1"/>
  <c r="K159" i="50"/>
  <c r="J159" i="50"/>
  <c r="G159" i="50"/>
  <c r="N159" i="50"/>
  <c r="M159" i="50"/>
  <c r="I159" i="50"/>
  <c r="H159" i="50"/>
  <c r="F149" i="32"/>
  <c r="AM149" i="32" s="1"/>
  <c r="N149" i="32"/>
  <c r="I149" i="32"/>
  <c r="J149" i="32"/>
  <c r="M149" i="32"/>
  <c r="O149" i="32"/>
  <c r="G149" i="32"/>
  <c r="L149" i="32"/>
  <c r="H149" i="32"/>
  <c r="K149" i="32"/>
  <c r="G219" i="57"/>
  <c r="K219" i="57"/>
  <c r="F219" i="57"/>
  <c r="H219" i="57"/>
  <c r="C219" i="57"/>
  <c r="M219" i="57" s="1"/>
  <c r="E219" i="57"/>
  <c r="I219" i="57"/>
  <c r="P219" i="57"/>
  <c r="D219" i="57"/>
  <c r="J219" i="57"/>
  <c r="W157" i="50"/>
  <c r="X157" i="50" s="1"/>
  <c r="Z157" i="50"/>
  <c r="Q218" i="57"/>
  <c r="T218" i="57" s="1"/>
  <c r="AK218" i="55" a="1"/>
  <c r="AK218" i="55" s="1"/>
  <c r="B220" i="57" s="1"/>
  <c r="O220" i="57" s="1"/>
  <c r="W147" i="32"/>
  <c r="X147" i="32" s="1"/>
  <c r="Z147" i="32"/>
  <c r="AN204" i="67" a="1"/>
  <c r="AN204" i="67" s="1"/>
  <c r="B205" i="69"/>
  <c r="D203" i="69"/>
  <c r="E203" i="69" s="1"/>
  <c r="F203" i="69" s="1"/>
  <c r="G203" i="69" s="1"/>
  <c r="H203" i="69" s="1"/>
  <c r="I203" i="69" s="1"/>
  <c r="J203" i="69" s="1"/>
  <c r="K203" i="69" s="1"/>
  <c r="M203" i="69" s="1"/>
  <c r="N203" i="69"/>
  <c r="AF203" i="69" s="1"/>
  <c r="R202" i="69"/>
  <c r="S202" i="69" s="1"/>
  <c r="Y202" i="69" s="1"/>
  <c r="Q202" i="69"/>
  <c r="AE202" i="69"/>
  <c r="U202" i="69"/>
  <c r="C204" i="69"/>
  <c r="AL149" i="11" a="1"/>
  <c r="AL149" i="11" s="1"/>
  <c r="E150" i="32" s="1"/>
  <c r="AL159" i="59" a="1"/>
  <c r="AL159" i="59" s="1"/>
  <c r="E160" i="50" s="1"/>
  <c r="AM49" i="59" a="1"/>
  <c r="AM49" i="59" s="1"/>
  <c r="AM34" i="11" a="1"/>
  <c r="AM34" i="11" s="1"/>
  <c r="AF217" i="57" l="1"/>
  <c r="AA217" i="57"/>
  <c r="AB202" i="69"/>
  <c r="AC202" i="69" s="1"/>
  <c r="AD202" i="69" s="1"/>
  <c r="AG202" i="69"/>
  <c r="L205" i="69"/>
  <c r="O205" i="69"/>
  <c r="AO204" i="69"/>
  <c r="P204" i="69"/>
  <c r="X218" i="57"/>
  <c r="AK160" i="50"/>
  <c r="T160" i="50"/>
  <c r="AB217" i="57"/>
  <c r="AB218" i="53"/>
  <c r="AA218" i="53"/>
  <c r="AE219" i="53"/>
  <c r="AC219" i="53"/>
  <c r="AF218" i="53"/>
  <c r="AK150" i="32"/>
  <c r="T150" i="32"/>
  <c r="AD148" i="32"/>
  <c r="AE219" i="57"/>
  <c r="AC219" i="57"/>
  <c r="AM159" i="50"/>
  <c r="U159" i="50"/>
  <c r="AD158" i="50"/>
  <c r="AG158" i="50" s="1"/>
  <c r="AH158" i="50" s="1"/>
  <c r="AI158" i="50" s="1"/>
  <c r="U149" i="32"/>
  <c r="AG147" i="32"/>
  <c r="AH147" i="32" s="1"/>
  <c r="AL147" i="32"/>
  <c r="AI146" i="32"/>
  <c r="AN146" i="32" s="1"/>
  <c r="AP156" i="50"/>
  <c r="R219" i="57"/>
  <c r="R219" i="53"/>
  <c r="X219" i="53" s="1"/>
  <c r="AL157" i="50"/>
  <c r="Q149" i="32"/>
  <c r="P149" i="32" s="1"/>
  <c r="AI145" i="32"/>
  <c r="AN145" i="32" s="1"/>
  <c r="AX203" i="69"/>
  <c r="AG220" i="57"/>
  <c r="L220" i="57"/>
  <c r="O160" i="50"/>
  <c r="AJ219" i="57"/>
  <c r="AP219" i="57"/>
  <c r="AG219" i="53"/>
  <c r="AH219" i="53"/>
  <c r="AT219" i="53"/>
  <c r="N220" i="57"/>
  <c r="N220" i="53"/>
  <c r="AH203" i="69"/>
  <c r="AJ158" i="50"/>
  <c r="C158" i="50"/>
  <c r="AJ148" i="32"/>
  <c r="C148" i="32"/>
  <c r="AD219" i="57"/>
  <c r="AD219" i="53"/>
  <c r="S159" i="50"/>
  <c r="V158" i="50"/>
  <c r="S149" i="32"/>
  <c r="V149" i="32" s="1"/>
  <c r="AK219" i="52" a="1"/>
  <c r="AK219" i="52" s="1"/>
  <c r="B221" i="53" s="1"/>
  <c r="O221" i="53" s="1"/>
  <c r="G220" i="53"/>
  <c r="D220" i="53"/>
  <c r="K220" i="53"/>
  <c r="Q219" i="53"/>
  <c r="J220" i="53"/>
  <c r="L220" i="53"/>
  <c r="H220" i="53"/>
  <c r="C220" i="53"/>
  <c r="F220" i="53"/>
  <c r="P220" i="53"/>
  <c r="I220" i="53"/>
  <c r="M220" i="53"/>
  <c r="E220" i="53"/>
  <c r="A150" i="32"/>
  <c r="B150" i="32"/>
  <c r="R150" i="32" s="1"/>
  <c r="F160" i="50"/>
  <c r="J160" i="50"/>
  <c r="M160" i="50"/>
  <c r="G160" i="50"/>
  <c r="K160" i="50"/>
  <c r="B160" i="50"/>
  <c r="R160" i="50" s="1"/>
  <c r="N160" i="50"/>
  <c r="L160" i="50"/>
  <c r="H160" i="50"/>
  <c r="I160" i="50"/>
  <c r="A160" i="50"/>
  <c r="Q160" i="50" s="1"/>
  <c r="P160" i="50" s="1"/>
  <c r="L150" i="32"/>
  <c r="G150" i="32"/>
  <c r="O150" i="32"/>
  <c r="H150" i="32"/>
  <c r="K150" i="32"/>
  <c r="J150" i="32"/>
  <c r="M150" i="32"/>
  <c r="F150" i="32"/>
  <c r="AM150" i="32" s="1"/>
  <c r="I150" i="32"/>
  <c r="N150" i="32"/>
  <c r="I220" i="57"/>
  <c r="F220" i="57"/>
  <c r="D220" i="57"/>
  <c r="H220" i="57"/>
  <c r="J220" i="57"/>
  <c r="P220" i="57"/>
  <c r="G220" i="57"/>
  <c r="E220" i="57"/>
  <c r="C220" i="57"/>
  <c r="M220" i="57" s="1"/>
  <c r="K220" i="57"/>
  <c r="Z158" i="50"/>
  <c r="W158" i="50"/>
  <c r="X158" i="50" s="1"/>
  <c r="Q219" i="57"/>
  <c r="T219" i="57" s="1"/>
  <c r="AK219" i="55" a="1"/>
  <c r="AK219" i="55" s="1"/>
  <c r="B221" i="57" s="1"/>
  <c r="O221" i="57" s="1"/>
  <c r="W148" i="32"/>
  <c r="X148" i="32" s="1"/>
  <c r="Z148" i="32"/>
  <c r="AN205" i="67" a="1"/>
  <c r="AN205" i="67" s="1"/>
  <c r="B206" i="69"/>
  <c r="D204" i="69"/>
  <c r="E204" i="69" s="1"/>
  <c r="F204" i="69" s="1"/>
  <c r="G204" i="69" s="1"/>
  <c r="H204" i="69" s="1"/>
  <c r="I204" i="69" s="1"/>
  <c r="J204" i="69" s="1"/>
  <c r="K204" i="69" s="1"/>
  <c r="M204" i="69" s="1"/>
  <c r="N204" i="69"/>
  <c r="AF204" i="69" s="1"/>
  <c r="C205" i="69"/>
  <c r="AE203" i="69"/>
  <c r="U203" i="69"/>
  <c r="Q203" i="69"/>
  <c r="R203" i="69"/>
  <c r="S203" i="69" s="1"/>
  <c r="Y203" i="69" s="1"/>
  <c r="AL150" i="11" a="1"/>
  <c r="AL150" i="11" s="1"/>
  <c r="E151" i="32" s="1"/>
  <c r="AL160" i="59" a="1"/>
  <c r="AL160" i="59" s="1"/>
  <c r="E161" i="50" s="1"/>
  <c r="AM50" i="59" a="1"/>
  <c r="AM50" i="59" s="1"/>
  <c r="AM35" i="11" a="1"/>
  <c r="AM35" i="11" s="1"/>
  <c r="AF218" i="57" l="1"/>
  <c r="AA218" i="57"/>
  <c r="AB203" i="69"/>
  <c r="AC203" i="69" s="1"/>
  <c r="AD203" i="69" s="1"/>
  <c r="AG203" i="69"/>
  <c r="L206" i="69"/>
  <c r="O206" i="69"/>
  <c r="AO205" i="69"/>
  <c r="P205" i="69"/>
  <c r="AB218" i="57"/>
  <c r="T161" i="50"/>
  <c r="AK161" i="50"/>
  <c r="AB219" i="53"/>
  <c r="AA219" i="53"/>
  <c r="AF219" i="53"/>
  <c r="AE220" i="53"/>
  <c r="AC220" i="53"/>
  <c r="AK151" i="32"/>
  <c r="T151" i="32"/>
  <c r="AD149" i="32"/>
  <c r="X219" i="57"/>
  <c r="AA219" i="57" s="1"/>
  <c r="AE220" i="57"/>
  <c r="AC220" i="57"/>
  <c r="AM160" i="50"/>
  <c r="U160" i="50"/>
  <c r="AD159" i="50"/>
  <c r="AG159" i="50" s="1"/>
  <c r="AH159" i="50" s="1"/>
  <c r="AI159" i="50" s="1"/>
  <c r="U150" i="32"/>
  <c r="AG148" i="32"/>
  <c r="AH148" i="32" s="1"/>
  <c r="AL148" i="32"/>
  <c r="AI147" i="32"/>
  <c r="AN147" i="32" s="1"/>
  <c r="AP157" i="50"/>
  <c r="R220" i="57"/>
  <c r="R220" i="53"/>
  <c r="X220" i="53" s="1"/>
  <c r="AL158" i="50"/>
  <c r="Q150" i="32"/>
  <c r="P150" i="32" s="1"/>
  <c r="AX204" i="69"/>
  <c r="AG221" i="57"/>
  <c r="L221" i="57"/>
  <c r="O161" i="50"/>
  <c r="AJ220" i="57"/>
  <c r="AP220" i="57"/>
  <c r="AG220" i="53"/>
  <c r="AH220" i="53"/>
  <c r="AT220" i="53"/>
  <c r="N221" i="57"/>
  <c r="P221" i="53"/>
  <c r="N221" i="53"/>
  <c r="AH204" i="69"/>
  <c r="AJ159" i="50"/>
  <c r="C159" i="50"/>
  <c r="AJ149" i="32"/>
  <c r="C149" i="32"/>
  <c r="AD220" i="57"/>
  <c r="AD220" i="53"/>
  <c r="Q220" i="53"/>
  <c r="S160" i="50"/>
  <c r="V159" i="50"/>
  <c r="S150" i="32"/>
  <c r="V150" i="32" s="1"/>
  <c r="E221" i="53"/>
  <c r="C221" i="53"/>
  <c r="K221" i="53"/>
  <c r="I221" i="53"/>
  <c r="H221" i="53"/>
  <c r="L221" i="53"/>
  <c r="G221" i="53"/>
  <c r="M221" i="53"/>
  <c r="F221" i="53"/>
  <c r="AK220" i="52" a="1"/>
  <c r="AK220" i="52" s="1"/>
  <c r="B222" i="53" s="1"/>
  <c r="O222" i="53" s="1"/>
  <c r="J221" i="53"/>
  <c r="D221" i="53"/>
  <c r="A151" i="32"/>
  <c r="B151" i="32"/>
  <c r="R151" i="32" s="1"/>
  <c r="H161" i="50"/>
  <c r="I161" i="50"/>
  <c r="J161" i="50"/>
  <c r="F161" i="50"/>
  <c r="L161" i="50"/>
  <c r="M161" i="50"/>
  <c r="K161" i="50"/>
  <c r="N161" i="50"/>
  <c r="B161" i="50"/>
  <c r="R161" i="50" s="1"/>
  <c r="A161" i="50"/>
  <c r="Q161" i="50" s="1"/>
  <c r="P161" i="50" s="1"/>
  <c r="G161" i="50"/>
  <c r="J151" i="32"/>
  <c r="M151" i="32"/>
  <c r="F151" i="32"/>
  <c r="AM151" i="32" s="1"/>
  <c r="N151" i="32"/>
  <c r="I151" i="32"/>
  <c r="K151" i="32"/>
  <c r="H151" i="32"/>
  <c r="L151" i="32"/>
  <c r="O151" i="32"/>
  <c r="G151" i="32"/>
  <c r="Q220" i="57"/>
  <c r="T220" i="57" s="1"/>
  <c r="F221" i="57"/>
  <c r="D221" i="57"/>
  <c r="P221" i="57"/>
  <c r="C221" i="57"/>
  <c r="M221" i="57" s="1"/>
  <c r="K221" i="57"/>
  <c r="J221" i="57"/>
  <c r="H221" i="57"/>
  <c r="I221" i="57"/>
  <c r="E221" i="57"/>
  <c r="G221" i="57"/>
  <c r="W159" i="50"/>
  <c r="X159" i="50" s="1"/>
  <c r="Z159" i="50"/>
  <c r="AK220" i="55" a="1"/>
  <c r="AK220" i="55" s="1"/>
  <c r="B222" i="57" s="1"/>
  <c r="O222" i="57" s="1"/>
  <c r="W149" i="32"/>
  <c r="X149" i="32" s="1"/>
  <c r="Z149" i="32"/>
  <c r="AN206" i="67" a="1"/>
  <c r="AN206" i="67" s="1"/>
  <c r="B207" i="69"/>
  <c r="Q204" i="69"/>
  <c r="U204" i="69"/>
  <c r="AE204" i="69"/>
  <c r="R204" i="69"/>
  <c r="S204" i="69" s="1"/>
  <c r="Y204" i="69" s="1"/>
  <c r="N205" i="69"/>
  <c r="AF205" i="69" s="1"/>
  <c r="D205" i="69"/>
  <c r="E205" i="69" s="1"/>
  <c r="F205" i="69" s="1"/>
  <c r="G205" i="69" s="1"/>
  <c r="H205" i="69" s="1"/>
  <c r="I205" i="69" s="1"/>
  <c r="J205" i="69" s="1"/>
  <c r="K205" i="69" s="1"/>
  <c r="M205" i="69" s="1"/>
  <c r="C206" i="69"/>
  <c r="AL151" i="11" a="1"/>
  <c r="AL151" i="11" s="1"/>
  <c r="E152" i="32" s="1"/>
  <c r="AL161" i="59" a="1"/>
  <c r="AL161" i="59" s="1"/>
  <c r="E162" i="50" s="1"/>
  <c r="AM51" i="59" a="1"/>
  <c r="AM51" i="59" s="1"/>
  <c r="AM36" i="11" a="1"/>
  <c r="AM36" i="11" s="1"/>
  <c r="X220" i="57" l="1"/>
  <c r="AA220" i="57" s="1"/>
  <c r="AB204" i="69"/>
  <c r="AC204" i="69" s="1"/>
  <c r="AD204" i="69" s="1"/>
  <c r="AG204" i="69"/>
  <c r="AO206" i="69"/>
  <c r="P206" i="69"/>
  <c r="L207" i="69"/>
  <c r="O207" i="69"/>
  <c r="T162" i="50"/>
  <c r="AK162" i="50"/>
  <c r="AB220" i="53"/>
  <c r="AA220" i="53"/>
  <c r="AE221" i="53"/>
  <c r="AC221" i="53"/>
  <c r="AF220" i="53"/>
  <c r="AK152" i="32"/>
  <c r="T152" i="32"/>
  <c r="AD150" i="32"/>
  <c r="AF219" i="57"/>
  <c r="AB219" i="57"/>
  <c r="AE221" i="57"/>
  <c r="AC221" i="57"/>
  <c r="AM161" i="50"/>
  <c r="U161" i="50"/>
  <c r="AD160" i="50"/>
  <c r="AG160" i="50" s="1"/>
  <c r="AH160" i="50" s="1"/>
  <c r="AI160" i="50" s="1"/>
  <c r="U151" i="32"/>
  <c r="AG149" i="32"/>
  <c r="AH149" i="32" s="1"/>
  <c r="AL149" i="32"/>
  <c r="AI148" i="32"/>
  <c r="AN148" i="32" s="1"/>
  <c r="AP158" i="50"/>
  <c r="R221" i="57"/>
  <c r="R221" i="53"/>
  <c r="X221" i="53" s="1"/>
  <c r="AL159" i="50"/>
  <c r="Q151" i="32"/>
  <c r="P151" i="32" s="1"/>
  <c r="AX205" i="69"/>
  <c r="AG222" i="57"/>
  <c r="L222" i="57"/>
  <c r="O162" i="50"/>
  <c r="AJ221" i="57"/>
  <c r="AP221" i="57"/>
  <c r="AH221" i="53"/>
  <c r="AT221" i="53"/>
  <c r="AG221" i="53"/>
  <c r="N222" i="57"/>
  <c r="I222" i="53"/>
  <c r="N222" i="53"/>
  <c r="AH205" i="69"/>
  <c r="AJ160" i="50"/>
  <c r="C160" i="50"/>
  <c r="AJ150" i="32"/>
  <c r="C150" i="32"/>
  <c r="AD221" i="57"/>
  <c r="AD221" i="53"/>
  <c r="S161" i="50"/>
  <c r="V160" i="50"/>
  <c r="S151" i="32"/>
  <c r="V151" i="32" s="1"/>
  <c r="Q221" i="53"/>
  <c r="AK221" i="52" a="1"/>
  <c r="AK221" i="52" s="1"/>
  <c r="B223" i="53" s="1"/>
  <c r="O223" i="53" s="1"/>
  <c r="C222" i="53"/>
  <c r="G222" i="53"/>
  <c r="L222" i="53"/>
  <c r="F222" i="53"/>
  <c r="M222" i="53"/>
  <c r="D222" i="53"/>
  <c r="P222" i="53"/>
  <c r="E222" i="53"/>
  <c r="H222" i="53"/>
  <c r="J222" i="53"/>
  <c r="K222" i="53"/>
  <c r="A152" i="32"/>
  <c r="B152" i="32"/>
  <c r="R152" i="32" s="1"/>
  <c r="G162" i="50"/>
  <c r="K162" i="50"/>
  <c r="I162" i="50"/>
  <c r="L162" i="50"/>
  <c r="A162" i="50"/>
  <c r="Q162" i="50" s="1"/>
  <c r="P162" i="50" s="1"/>
  <c r="M162" i="50"/>
  <c r="J162" i="50"/>
  <c r="B162" i="50"/>
  <c r="R162" i="50" s="1"/>
  <c r="F162" i="50"/>
  <c r="N162" i="50"/>
  <c r="H162" i="50"/>
  <c r="H152" i="32"/>
  <c r="K152" i="32"/>
  <c r="L152" i="32"/>
  <c r="G152" i="32"/>
  <c r="O152" i="32"/>
  <c r="F152" i="32"/>
  <c r="AM152" i="32" s="1"/>
  <c r="I152" i="32"/>
  <c r="N152" i="32"/>
  <c r="J152" i="32"/>
  <c r="M152" i="32"/>
  <c r="H222" i="57"/>
  <c r="D222" i="57"/>
  <c r="K222" i="57"/>
  <c r="J222" i="57"/>
  <c r="G222" i="57"/>
  <c r="P222" i="57"/>
  <c r="C222" i="57"/>
  <c r="M222" i="57" s="1"/>
  <c r="E222" i="57"/>
  <c r="F222" i="57"/>
  <c r="I222" i="57"/>
  <c r="Q221" i="57"/>
  <c r="T221" i="57" s="1"/>
  <c r="W160" i="50"/>
  <c r="X160" i="50" s="1"/>
  <c r="Z160" i="50"/>
  <c r="AK221" i="55" a="1"/>
  <c r="AK221" i="55" s="1"/>
  <c r="B223" i="57" s="1"/>
  <c r="O223" i="57" s="1"/>
  <c r="W150" i="32"/>
  <c r="X150" i="32" s="1"/>
  <c r="Z150" i="32"/>
  <c r="C207" i="69"/>
  <c r="U205" i="69"/>
  <c r="R205" i="69"/>
  <c r="S205" i="69" s="1"/>
  <c r="Y205" i="69" s="1"/>
  <c r="AB205" i="69" s="1"/>
  <c r="AC205" i="69" s="1"/>
  <c r="AD205" i="69" s="1"/>
  <c r="AE205" i="69"/>
  <c r="Q205" i="69"/>
  <c r="D206" i="69"/>
  <c r="E206" i="69" s="1"/>
  <c r="F206" i="69" s="1"/>
  <c r="G206" i="69" s="1"/>
  <c r="H206" i="69" s="1"/>
  <c r="I206" i="69" s="1"/>
  <c r="J206" i="69" s="1"/>
  <c r="K206" i="69" s="1"/>
  <c r="M206" i="69" s="1"/>
  <c r="N206" i="69"/>
  <c r="AF206" i="69" s="1"/>
  <c r="AN207" i="67" a="1"/>
  <c r="AN207" i="67" s="1"/>
  <c r="B208" i="69"/>
  <c r="AL152" i="11" a="1"/>
  <c r="AL152" i="11" s="1"/>
  <c r="E153" i="32" s="1"/>
  <c r="AL162" i="59" a="1"/>
  <c r="AL162" i="59" s="1"/>
  <c r="E163" i="50" s="1"/>
  <c r="AM52" i="59" a="1"/>
  <c r="AM52" i="59" s="1"/>
  <c r="AM37" i="11" a="1"/>
  <c r="AM37" i="11" s="1"/>
  <c r="AF220" i="57" l="1"/>
  <c r="AB220" i="57"/>
  <c r="L208" i="69"/>
  <c r="O208" i="69"/>
  <c r="AO207" i="69"/>
  <c r="P207" i="69"/>
  <c r="AG205" i="69"/>
  <c r="T163" i="50"/>
  <c r="AK163" i="50"/>
  <c r="X221" i="57"/>
  <c r="AF221" i="53"/>
  <c r="AE222" i="53"/>
  <c r="AC222" i="53"/>
  <c r="AB221" i="53"/>
  <c r="AA221" i="53"/>
  <c r="AK153" i="32"/>
  <c r="T153" i="32"/>
  <c r="AD151" i="32"/>
  <c r="AE222" i="57"/>
  <c r="AC222" i="57"/>
  <c r="AM162" i="50"/>
  <c r="U162" i="50"/>
  <c r="AD161" i="50"/>
  <c r="AG161" i="50" s="1"/>
  <c r="AH161" i="50" s="1"/>
  <c r="AI161" i="50" s="1"/>
  <c r="U152" i="32"/>
  <c r="AG150" i="32"/>
  <c r="AH150" i="32" s="1"/>
  <c r="AL150" i="32"/>
  <c r="AI149" i="32"/>
  <c r="AN149" i="32" s="1"/>
  <c r="AP159" i="50"/>
  <c r="R222" i="57"/>
  <c r="R222" i="53"/>
  <c r="X222" i="53" s="1"/>
  <c r="AL160" i="50"/>
  <c r="Q152" i="32"/>
  <c r="P152" i="32" s="1"/>
  <c r="AX206" i="69"/>
  <c r="AG223" i="57"/>
  <c r="L223" i="57"/>
  <c r="O163" i="50"/>
  <c r="AJ222" i="57"/>
  <c r="AP222" i="57"/>
  <c r="AH222" i="53"/>
  <c r="AT222" i="53"/>
  <c r="AG222" i="53"/>
  <c r="N223" i="57"/>
  <c r="H223" i="53"/>
  <c r="N223" i="53"/>
  <c r="AH206" i="69"/>
  <c r="AJ161" i="50"/>
  <c r="C161" i="50"/>
  <c r="AJ151" i="32"/>
  <c r="C151" i="32"/>
  <c r="AD222" i="57"/>
  <c r="AD222" i="53"/>
  <c r="Q222" i="53"/>
  <c r="S162" i="50"/>
  <c r="V161" i="50"/>
  <c r="S152" i="32"/>
  <c r="V152" i="32" s="1"/>
  <c r="AK222" i="52" a="1"/>
  <c r="AK222" i="52" s="1"/>
  <c r="B224" i="53" s="1"/>
  <c r="O224" i="53" s="1"/>
  <c r="M223" i="53"/>
  <c r="J223" i="53"/>
  <c r="P223" i="53"/>
  <c r="G223" i="53"/>
  <c r="E223" i="53"/>
  <c r="L223" i="53"/>
  <c r="F223" i="53"/>
  <c r="K223" i="53"/>
  <c r="I223" i="53"/>
  <c r="C223" i="53"/>
  <c r="D223" i="53"/>
  <c r="A153" i="32"/>
  <c r="B153" i="32"/>
  <c r="R153" i="32" s="1"/>
  <c r="J163" i="50"/>
  <c r="M163" i="50"/>
  <c r="N163" i="50"/>
  <c r="I163" i="50"/>
  <c r="A163" i="50"/>
  <c r="Q163" i="50" s="1"/>
  <c r="P163" i="50" s="1"/>
  <c r="L163" i="50"/>
  <c r="K163" i="50"/>
  <c r="G163" i="50"/>
  <c r="B163" i="50"/>
  <c r="R163" i="50" s="1"/>
  <c r="F163" i="50"/>
  <c r="H163" i="50"/>
  <c r="F153" i="32"/>
  <c r="AM153" i="32" s="1"/>
  <c r="N153" i="32"/>
  <c r="I153" i="32"/>
  <c r="J153" i="32"/>
  <c r="M153" i="32"/>
  <c r="G153" i="32"/>
  <c r="L153" i="32"/>
  <c r="O153" i="32"/>
  <c r="H153" i="32"/>
  <c r="K153" i="32"/>
  <c r="Q222" i="57"/>
  <c r="T222" i="57" s="1"/>
  <c r="G223" i="57"/>
  <c r="I223" i="57"/>
  <c r="E223" i="57"/>
  <c r="D223" i="57"/>
  <c r="J223" i="57"/>
  <c r="H223" i="57"/>
  <c r="C223" i="57"/>
  <c r="M223" i="57" s="1"/>
  <c r="P223" i="57"/>
  <c r="K223" i="57"/>
  <c r="F223" i="57"/>
  <c r="W161" i="50"/>
  <c r="X161" i="50" s="1"/>
  <c r="Z161" i="50"/>
  <c r="AK222" i="55" a="1"/>
  <c r="AK222" i="55" s="1"/>
  <c r="B224" i="57" s="1"/>
  <c r="O224" i="57" s="1"/>
  <c r="Z151" i="32"/>
  <c r="W151" i="32"/>
  <c r="X151" i="32" s="1"/>
  <c r="AN208" i="67" a="1"/>
  <c r="AN208" i="67" s="1"/>
  <c r="B209" i="69"/>
  <c r="D207" i="69"/>
  <c r="E207" i="69" s="1"/>
  <c r="F207" i="69" s="1"/>
  <c r="G207" i="69" s="1"/>
  <c r="H207" i="69" s="1"/>
  <c r="I207" i="69" s="1"/>
  <c r="J207" i="69" s="1"/>
  <c r="K207" i="69" s="1"/>
  <c r="M207" i="69" s="1"/>
  <c r="N207" i="69"/>
  <c r="AF207" i="69" s="1"/>
  <c r="R206" i="69"/>
  <c r="S206" i="69" s="1"/>
  <c r="Y206" i="69" s="1"/>
  <c r="U206" i="69"/>
  <c r="Q206" i="69"/>
  <c r="AE206" i="69"/>
  <c r="C208" i="69"/>
  <c r="AL153" i="11" a="1"/>
  <c r="AL153" i="11" s="1"/>
  <c r="E154" i="32" s="1"/>
  <c r="AL163" i="59" a="1"/>
  <c r="AL163" i="59" s="1"/>
  <c r="E164" i="50" s="1"/>
  <c r="AM53" i="59" a="1"/>
  <c r="AM53" i="59" s="1"/>
  <c r="AM38" i="11" a="1"/>
  <c r="AM38" i="11" s="1"/>
  <c r="AF221" i="57" l="1"/>
  <c r="AA221" i="57"/>
  <c r="AB206" i="69"/>
  <c r="AC206" i="69" s="1"/>
  <c r="AD206" i="69" s="1"/>
  <c r="AG206" i="69"/>
  <c r="L209" i="69"/>
  <c r="O209" i="69"/>
  <c r="AO208" i="69"/>
  <c r="P208" i="69"/>
  <c r="T164" i="50"/>
  <c r="AK164" i="50"/>
  <c r="AB221" i="57"/>
  <c r="AB222" i="53"/>
  <c r="AA222" i="53"/>
  <c r="AE223" i="53"/>
  <c r="AC223" i="53"/>
  <c r="AF222" i="53"/>
  <c r="AK154" i="32"/>
  <c r="T154" i="32"/>
  <c r="AD152" i="32"/>
  <c r="X222" i="57"/>
  <c r="AA222" i="57" s="1"/>
  <c r="AE223" i="57"/>
  <c r="AC223" i="57"/>
  <c r="AM163" i="50"/>
  <c r="U163" i="50"/>
  <c r="AD162" i="50"/>
  <c r="AG162" i="50" s="1"/>
  <c r="AH162" i="50" s="1"/>
  <c r="AI162" i="50" s="1"/>
  <c r="U153" i="32"/>
  <c r="AG151" i="32"/>
  <c r="AH151" i="32" s="1"/>
  <c r="AL151" i="32"/>
  <c r="AI150" i="32"/>
  <c r="AN150" i="32" s="1"/>
  <c r="AP160" i="50"/>
  <c r="R223" i="57"/>
  <c r="R223" i="53"/>
  <c r="X223" i="53" s="1"/>
  <c r="AL161" i="50"/>
  <c r="Q153" i="32"/>
  <c r="P153" i="32" s="1"/>
  <c r="AX207" i="69"/>
  <c r="AG224" i="57"/>
  <c r="L224" i="57"/>
  <c r="O164" i="50"/>
  <c r="AJ223" i="57"/>
  <c r="AP223" i="57"/>
  <c r="AG223" i="53"/>
  <c r="AH223" i="53"/>
  <c r="AT223" i="53"/>
  <c r="N224" i="57"/>
  <c r="N224" i="53"/>
  <c r="AH207" i="69"/>
  <c r="AJ162" i="50"/>
  <c r="C162" i="50"/>
  <c r="AJ152" i="32"/>
  <c r="C152" i="32"/>
  <c r="AD223" i="57"/>
  <c r="AD223" i="53"/>
  <c r="S163" i="50"/>
  <c r="V162" i="50"/>
  <c r="S153" i="32"/>
  <c r="V153" i="32" s="1"/>
  <c r="Q223" i="53"/>
  <c r="D224" i="53"/>
  <c r="C224" i="53"/>
  <c r="I224" i="53"/>
  <c r="J224" i="53"/>
  <c r="E224" i="53"/>
  <c r="M224" i="53"/>
  <c r="F224" i="53"/>
  <c r="L224" i="53"/>
  <c r="AK223" i="52" a="1"/>
  <c r="AK223" i="52" s="1"/>
  <c r="B225" i="53" s="1"/>
  <c r="O225" i="53" s="1"/>
  <c r="G224" i="53"/>
  <c r="K224" i="53"/>
  <c r="P224" i="53"/>
  <c r="H224" i="53"/>
  <c r="A154" i="32"/>
  <c r="B154" i="32"/>
  <c r="R154" i="32" s="1"/>
  <c r="F164" i="50"/>
  <c r="K164" i="50"/>
  <c r="M164" i="50"/>
  <c r="J164" i="50"/>
  <c r="I164" i="50"/>
  <c r="N164" i="50"/>
  <c r="A164" i="50"/>
  <c r="Q164" i="50" s="1"/>
  <c r="P164" i="50" s="1"/>
  <c r="G164" i="50"/>
  <c r="L164" i="50"/>
  <c r="B164" i="50"/>
  <c r="R164" i="50" s="1"/>
  <c r="H164" i="50"/>
  <c r="L154" i="32"/>
  <c r="G154" i="32"/>
  <c r="O154" i="32"/>
  <c r="H154" i="32"/>
  <c r="K154" i="32"/>
  <c r="M154" i="32"/>
  <c r="J154" i="32"/>
  <c r="N154" i="32"/>
  <c r="F154" i="32"/>
  <c r="AM154" i="32" s="1"/>
  <c r="I154" i="32"/>
  <c r="W162" i="50"/>
  <c r="X162" i="50" s="1"/>
  <c r="Z162" i="50"/>
  <c r="Q223" i="57"/>
  <c r="T223" i="57" s="1"/>
  <c r="J224" i="57"/>
  <c r="F224" i="57"/>
  <c r="E224" i="57"/>
  <c r="D224" i="57"/>
  <c r="G224" i="57"/>
  <c r="C224" i="57"/>
  <c r="M224" i="57" s="1"/>
  <c r="I224" i="57"/>
  <c r="H224" i="57"/>
  <c r="P224" i="57"/>
  <c r="K224" i="57"/>
  <c r="AK223" i="55" a="1"/>
  <c r="AK223" i="55" s="1"/>
  <c r="B225" i="57" s="1"/>
  <c r="O225" i="57" s="1"/>
  <c r="W152" i="32"/>
  <c r="X152" i="32" s="1"/>
  <c r="Z152" i="32"/>
  <c r="AN209" i="67" a="1"/>
  <c r="AN209" i="67" s="1"/>
  <c r="B210" i="69"/>
  <c r="C209" i="69"/>
  <c r="AE207" i="69"/>
  <c r="U207" i="69"/>
  <c r="Q207" i="69"/>
  <c r="R207" i="69"/>
  <c r="S207" i="69" s="1"/>
  <c r="Y207" i="69" s="1"/>
  <c r="AB207" i="69" s="1"/>
  <c r="AC207" i="69" s="1"/>
  <c r="AD207" i="69" s="1"/>
  <c r="D208" i="69"/>
  <c r="E208" i="69" s="1"/>
  <c r="F208" i="69" s="1"/>
  <c r="G208" i="69" s="1"/>
  <c r="H208" i="69" s="1"/>
  <c r="I208" i="69" s="1"/>
  <c r="J208" i="69" s="1"/>
  <c r="K208" i="69" s="1"/>
  <c r="M208" i="69" s="1"/>
  <c r="N208" i="69"/>
  <c r="AF208" i="69" s="1"/>
  <c r="AL154" i="11" a="1"/>
  <c r="AL154" i="11" s="1"/>
  <c r="E155" i="32" s="1"/>
  <c r="AL164" i="59" a="1"/>
  <c r="AL164" i="59" s="1"/>
  <c r="E165" i="50" s="1"/>
  <c r="AM54" i="59" a="1"/>
  <c r="AM54" i="59" s="1"/>
  <c r="AM39" i="11" a="1"/>
  <c r="AM39" i="11" s="1"/>
  <c r="AO209" i="69" l="1"/>
  <c r="P209" i="69"/>
  <c r="AG207" i="69"/>
  <c r="L210" i="69"/>
  <c r="O210" i="69"/>
  <c r="X223" i="57"/>
  <c r="AA223" i="57" s="1"/>
  <c r="T165" i="50"/>
  <c r="AK165" i="50"/>
  <c r="AE224" i="53"/>
  <c r="AC224" i="53"/>
  <c r="AB223" i="53"/>
  <c r="AA223" i="53"/>
  <c r="AF223" i="53"/>
  <c r="AK155" i="32"/>
  <c r="T155" i="32"/>
  <c r="AD153" i="32"/>
  <c r="AF222" i="57"/>
  <c r="AB222" i="57"/>
  <c r="AE224" i="57"/>
  <c r="AC224" i="57"/>
  <c r="AM164" i="50"/>
  <c r="U164" i="50"/>
  <c r="AD163" i="50"/>
  <c r="AG163" i="50" s="1"/>
  <c r="AH163" i="50" s="1"/>
  <c r="AI163" i="50" s="1"/>
  <c r="U154" i="32"/>
  <c r="AG152" i="32"/>
  <c r="AH152" i="32" s="1"/>
  <c r="AL152" i="32"/>
  <c r="AI151" i="32"/>
  <c r="AN151" i="32" s="1"/>
  <c r="R224" i="57"/>
  <c r="R224" i="53"/>
  <c r="X224" i="53" s="1"/>
  <c r="AL162" i="50"/>
  <c r="Q154" i="32"/>
  <c r="P154" i="32" s="1"/>
  <c r="AP161" i="50"/>
  <c r="AX208" i="69"/>
  <c r="AG225" i="57"/>
  <c r="L225" i="57"/>
  <c r="O165" i="50"/>
  <c r="AJ224" i="57"/>
  <c r="AP224" i="57"/>
  <c r="AG224" i="53"/>
  <c r="AH224" i="53"/>
  <c r="AT224" i="53"/>
  <c r="N225" i="57"/>
  <c r="N225" i="53"/>
  <c r="AH208" i="69"/>
  <c r="AJ163" i="50"/>
  <c r="C163" i="50"/>
  <c r="AJ153" i="32"/>
  <c r="C153" i="32"/>
  <c r="AD224" i="57"/>
  <c r="AD224" i="53"/>
  <c r="Q224" i="53"/>
  <c r="S164" i="50"/>
  <c r="V163" i="50"/>
  <c r="S154" i="32"/>
  <c r="V154" i="32" s="1"/>
  <c r="G225" i="53"/>
  <c r="M225" i="53"/>
  <c r="P225" i="53"/>
  <c r="K225" i="53"/>
  <c r="E225" i="53"/>
  <c r="F225" i="53"/>
  <c r="I225" i="53"/>
  <c r="C225" i="53"/>
  <c r="J225" i="53"/>
  <c r="AK224" i="52" a="1"/>
  <c r="AK224" i="52" s="1"/>
  <c r="B226" i="53" s="1"/>
  <c r="O226" i="53" s="1"/>
  <c r="L225" i="53"/>
  <c r="D225" i="53"/>
  <c r="H225" i="53"/>
  <c r="A155" i="32"/>
  <c r="B155" i="32"/>
  <c r="R155" i="32" s="1"/>
  <c r="J165" i="50"/>
  <c r="B165" i="50"/>
  <c r="R165" i="50" s="1"/>
  <c r="I165" i="50"/>
  <c r="H165" i="50"/>
  <c r="F165" i="50"/>
  <c r="N165" i="50"/>
  <c r="L165" i="50"/>
  <c r="M165" i="50"/>
  <c r="A165" i="50"/>
  <c r="Q165" i="50" s="1"/>
  <c r="P165" i="50" s="1"/>
  <c r="G165" i="50"/>
  <c r="K165" i="50"/>
  <c r="J155" i="32"/>
  <c r="M155" i="32"/>
  <c r="F155" i="32"/>
  <c r="AM155" i="32" s="1"/>
  <c r="N155" i="32"/>
  <c r="I155" i="32"/>
  <c r="H155" i="32"/>
  <c r="K155" i="32"/>
  <c r="G155" i="32"/>
  <c r="L155" i="32"/>
  <c r="O155" i="32"/>
  <c r="Q224" i="57"/>
  <c r="T224" i="57" s="1"/>
  <c r="H225" i="57"/>
  <c r="D225" i="57"/>
  <c r="P225" i="57"/>
  <c r="I225" i="57"/>
  <c r="E225" i="57"/>
  <c r="K225" i="57"/>
  <c r="C225" i="57"/>
  <c r="M225" i="57" s="1"/>
  <c r="G225" i="57"/>
  <c r="J225" i="57"/>
  <c r="F225" i="57"/>
  <c r="W163" i="50"/>
  <c r="X163" i="50" s="1"/>
  <c r="Z163" i="50"/>
  <c r="AK224" i="55" a="1"/>
  <c r="AK224" i="55" s="1"/>
  <c r="B226" i="57" s="1"/>
  <c r="O226" i="57" s="1"/>
  <c r="Z153" i="32"/>
  <c r="W153" i="32"/>
  <c r="X153" i="32" s="1"/>
  <c r="AN210" i="67" a="1"/>
  <c r="AN210" i="67" s="1"/>
  <c r="B211" i="69"/>
  <c r="N209" i="69"/>
  <c r="AF209" i="69" s="1"/>
  <c r="D209" i="69"/>
  <c r="E209" i="69" s="1"/>
  <c r="F209" i="69" s="1"/>
  <c r="G209" i="69" s="1"/>
  <c r="H209" i="69" s="1"/>
  <c r="I209" i="69" s="1"/>
  <c r="J209" i="69" s="1"/>
  <c r="K209" i="69" s="1"/>
  <c r="M209" i="69" s="1"/>
  <c r="AE208" i="69"/>
  <c r="R208" i="69"/>
  <c r="S208" i="69" s="1"/>
  <c r="Y208" i="69" s="1"/>
  <c r="Q208" i="69"/>
  <c r="U208" i="69"/>
  <c r="C210" i="69"/>
  <c r="AL155" i="11" a="1"/>
  <c r="AL155" i="11" s="1"/>
  <c r="E156" i="32" s="1"/>
  <c r="AL165" i="59" a="1"/>
  <c r="AL165" i="59" s="1"/>
  <c r="E166" i="50" s="1"/>
  <c r="AM55" i="59" a="1"/>
  <c r="AM55" i="59" s="1"/>
  <c r="AM40" i="11" a="1"/>
  <c r="AM40" i="11" s="1"/>
  <c r="AB208" i="69" l="1"/>
  <c r="AC208" i="69" s="1"/>
  <c r="AD208" i="69" s="1"/>
  <c r="AG208" i="69"/>
  <c r="L211" i="69"/>
  <c r="O211" i="69"/>
  <c r="AO210" i="69"/>
  <c r="P210" i="69"/>
  <c r="AF223" i="57"/>
  <c r="AB223" i="57"/>
  <c r="T166" i="50"/>
  <c r="AK166" i="50"/>
  <c r="AB224" i="53"/>
  <c r="AA224" i="53"/>
  <c r="AE225" i="53"/>
  <c r="AC225" i="53"/>
  <c r="AF224" i="53"/>
  <c r="T156" i="32"/>
  <c r="AK156" i="32"/>
  <c r="AD154" i="32"/>
  <c r="X224" i="57"/>
  <c r="AE225" i="57"/>
  <c r="AC225" i="57"/>
  <c r="AM165" i="50"/>
  <c r="U165" i="50"/>
  <c r="AD164" i="50"/>
  <c r="AG164" i="50" s="1"/>
  <c r="AH164" i="50" s="1"/>
  <c r="AI164" i="50" s="1"/>
  <c r="U155" i="32"/>
  <c r="AG153" i="32"/>
  <c r="AH153" i="32" s="1"/>
  <c r="AL153" i="32"/>
  <c r="AI152" i="32"/>
  <c r="AN152" i="32" s="1"/>
  <c r="AP162" i="50"/>
  <c r="R225" i="57"/>
  <c r="R225" i="53"/>
  <c r="X225" i="53" s="1"/>
  <c r="AL163" i="50"/>
  <c r="Q155" i="32"/>
  <c r="P155" i="32" s="1"/>
  <c r="AX209" i="69"/>
  <c r="AG226" i="57"/>
  <c r="L226" i="57"/>
  <c r="O166" i="50"/>
  <c r="AJ225" i="57"/>
  <c r="AP225" i="57"/>
  <c r="AH225" i="53"/>
  <c r="AT225" i="53"/>
  <c r="AG225" i="53"/>
  <c r="N226" i="57"/>
  <c r="E226" i="53"/>
  <c r="N226" i="53"/>
  <c r="AH209" i="69"/>
  <c r="AJ164" i="50"/>
  <c r="C164" i="50"/>
  <c r="AJ154" i="32"/>
  <c r="C154" i="32"/>
  <c r="AD225" i="57"/>
  <c r="Q225" i="53"/>
  <c r="AD225" i="53"/>
  <c r="S165" i="50"/>
  <c r="V164" i="50"/>
  <c r="S155" i="32"/>
  <c r="V155" i="32" s="1"/>
  <c r="AK225" i="52" a="1"/>
  <c r="AK225" i="52" s="1"/>
  <c r="B227" i="53" s="1"/>
  <c r="O227" i="53" s="1"/>
  <c r="K226" i="53"/>
  <c r="G226" i="53"/>
  <c r="M226" i="53"/>
  <c r="H226" i="53"/>
  <c r="L226" i="53"/>
  <c r="P226" i="53"/>
  <c r="I226" i="53"/>
  <c r="D226" i="53"/>
  <c r="J226" i="53"/>
  <c r="F226" i="53"/>
  <c r="C226" i="53"/>
  <c r="A156" i="32"/>
  <c r="B156" i="32"/>
  <c r="R156" i="32" s="1"/>
  <c r="H166" i="50"/>
  <c r="B166" i="50"/>
  <c r="R166" i="50" s="1"/>
  <c r="G166" i="50"/>
  <c r="I166" i="50"/>
  <c r="M166" i="50"/>
  <c r="A166" i="50"/>
  <c r="Q166" i="50" s="1"/>
  <c r="P166" i="50" s="1"/>
  <c r="L166" i="50"/>
  <c r="J166" i="50"/>
  <c r="N166" i="50"/>
  <c r="F166" i="50"/>
  <c r="K166" i="50"/>
  <c r="H156" i="32"/>
  <c r="K156" i="32"/>
  <c r="L156" i="32"/>
  <c r="G156" i="32"/>
  <c r="O156" i="32"/>
  <c r="I156" i="32"/>
  <c r="N156" i="32"/>
  <c r="F156" i="32"/>
  <c r="AM156" i="32" s="1"/>
  <c r="J156" i="32"/>
  <c r="M156" i="32"/>
  <c r="Z164" i="50"/>
  <c r="W164" i="50"/>
  <c r="X164" i="50" s="1"/>
  <c r="J226" i="57"/>
  <c r="G226" i="57"/>
  <c r="F226" i="57"/>
  <c r="C226" i="57"/>
  <c r="M226" i="57" s="1"/>
  <c r="I226" i="57"/>
  <c r="E226" i="57"/>
  <c r="K226" i="57"/>
  <c r="H226" i="57"/>
  <c r="D226" i="57"/>
  <c r="P226" i="57"/>
  <c r="Q225" i="57"/>
  <c r="T225" i="57" s="1"/>
  <c r="AK225" i="55" a="1"/>
  <c r="AK225" i="55" s="1"/>
  <c r="B227" i="57" s="1"/>
  <c r="O227" i="57" s="1"/>
  <c r="W154" i="32"/>
  <c r="X154" i="32" s="1"/>
  <c r="Z154" i="32"/>
  <c r="AN211" i="67" a="1"/>
  <c r="AN211" i="67" s="1"/>
  <c r="B212" i="69"/>
  <c r="Q209" i="69"/>
  <c r="U209" i="69"/>
  <c r="AE209" i="69"/>
  <c r="R209" i="69"/>
  <c r="S209" i="69" s="1"/>
  <c r="Y209" i="69" s="1"/>
  <c r="C211" i="69"/>
  <c r="D210" i="69"/>
  <c r="E210" i="69" s="1"/>
  <c r="F210" i="69" s="1"/>
  <c r="G210" i="69" s="1"/>
  <c r="H210" i="69" s="1"/>
  <c r="I210" i="69" s="1"/>
  <c r="J210" i="69" s="1"/>
  <c r="K210" i="69" s="1"/>
  <c r="M210" i="69" s="1"/>
  <c r="N210" i="69"/>
  <c r="AF210" i="69" s="1"/>
  <c r="AL156" i="11" a="1"/>
  <c r="AL156" i="11" s="1"/>
  <c r="E157" i="32" s="1"/>
  <c r="AL166" i="59" a="1"/>
  <c r="AL166" i="59" s="1"/>
  <c r="E167" i="50" s="1"/>
  <c r="AM56" i="59" a="1"/>
  <c r="AM56" i="59" s="1"/>
  <c r="AM41" i="11" a="1"/>
  <c r="AM41" i="11" s="1"/>
  <c r="AB224" i="57" l="1"/>
  <c r="AA224" i="57"/>
  <c r="X225" i="57"/>
  <c r="AB209" i="69"/>
  <c r="AC209" i="69" s="1"/>
  <c r="AD209" i="69" s="1"/>
  <c r="AG209" i="69"/>
  <c r="L212" i="69"/>
  <c r="O212" i="69"/>
  <c r="AO211" i="69"/>
  <c r="P211" i="69"/>
  <c r="AK167" i="50"/>
  <c r="T167" i="50"/>
  <c r="AB225" i="53"/>
  <c r="AA225" i="53"/>
  <c r="AE226" i="53"/>
  <c r="AC226" i="53"/>
  <c r="AF225" i="53"/>
  <c r="AK157" i="32"/>
  <c r="T157" i="32"/>
  <c r="AD155" i="32"/>
  <c r="AF224" i="57"/>
  <c r="AE226" i="57"/>
  <c r="AC226" i="57"/>
  <c r="AM166" i="50"/>
  <c r="U166" i="50"/>
  <c r="AD165" i="50"/>
  <c r="AG165" i="50" s="1"/>
  <c r="AH165" i="50" s="1"/>
  <c r="AI165" i="50" s="1"/>
  <c r="U156" i="32"/>
  <c r="AG154" i="32"/>
  <c r="AH154" i="32" s="1"/>
  <c r="AL154" i="32"/>
  <c r="AI153" i="32"/>
  <c r="AN153" i="32" s="1"/>
  <c r="AP163" i="50"/>
  <c r="R226" i="57"/>
  <c r="R226" i="53"/>
  <c r="X226" i="53" s="1"/>
  <c r="AL164" i="50"/>
  <c r="Q156" i="32"/>
  <c r="P156" i="32" s="1"/>
  <c r="AX210" i="69"/>
  <c r="L227" i="57"/>
  <c r="AG227" i="57"/>
  <c r="O167" i="50"/>
  <c r="AJ226" i="57"/>
  <c r="AP226" i="57"/>
  <c r="AG226" i="53"/>
  <c r="AH226" i="53"/>
  <c r="AT226" i="53"/>
  <c r="N227" i="57"/>
  <c r="N227" i="53"/>
  <c r="AH210" i="69"/>
  <c r="AJ165" i="50"/>
  <c r="C165" i="50"/>
  <c r="AJ155" i="32"/>
  <c r="C155" i="32"/>
  <c r="AD226" i="57"/>
  <c r="AD226" i="53"/>
  <c r="S166" i="50"/>
  <c r="V165" i="50"/>
  <c r="S156" i="32"/>
  <c r="V156" i="32" s="1"/>
  <c r="Q226" i="53"/>
  <c r="AK226" i="52" a="1"/>
  <c r="AK226" i="52" s="1"/>
  <c r="B228" i="53" s="1"/>
  <c r="O228" i="53" s="1"/>
  <c r="P227" i="53"/>
  <c r="E227" i="53"/>
  <c r="M227" i="53"/>
  <c r="I227" i="53"/>
  <c r="G227" i="53"/>
  <c r="J227" i="53"/>
  <c r="D227" i="53"/>
  <c r="L227" i="53"/>
  <c r="K227" i="53"/>
  <c r="C227" i="53"/>
  <c r="H227" i="53"/>
  <c r="F227" i="53"/>
  <c r="A157" i="32"/>
  <c r="B157" i="32"/>
  <c r="R157" i="32" s="1"/>
  <c r="A167" i="50"/>
  <c r="Q167" i="50" s="1"/>
  <c r="P167" i="50" s="1"/>
  <c r="I167" i="50"/>
  <c r="F167" i="50"/>
  <c r="N167" i="50"/>
  <c r="J167" i="50"/>
  <c r="M167" i="50"/>
  <c r="K167" i="50"/>
  <c r="G167" i="50"/>
  <c r="H167" i="50"/>
  <c r="L167" i="50"/>
  <c r="B167" i="50"/>
  <c r="R167" i="50" s="1"/>
  <c r="F157" i="32"/>
  <c r="AM157" i="32" s="1"/>
  <c r="N157" i="32"/>
  <c r="I157" i="32"/>
  <c r="J157" i="32"/>
  <c r="M157" i="32"/>
  <c r="O157" i="32"/>
  <c r="G157" i="32"/>
  <c r="L157" i="32"/>
  <c r="K157" i="32"/>
  <c r="H157" i="32"/>
  <c r="Q226" i="57"/>
  <c r="T226" i="57" s="1"/>
  <c r="W165" i="50"/>
  <c r="X165" i="50" s="1"/>
  <c r="Z165" i="50"/>
  <c r="D227" i="57"/>
  <c r="J227" i="57"/>
  <c r="I227" i="57"/>
  <c r="E227" i="57"/>
  <c r="H227" i="57"/>
  <c r="C227" i="57"/>
  <c r="M227" i="57" s="1"/>
  <c r="K227" i="57"/>
  <c r="P227" i="57"/>
  <c r="F227" i="57"/>
  <c r="G227" i="57"/>
  <c r="AK226" i="55" a="1"/>
  <c r="AK226" i="55" s="1"/>
  <c r="B228" i="57" s="1"/>
  <c r="O228" i="57" s="1"/>
  <c r="W155" i="32"/>
  <c r="X155" i="32" s="1"/>
  <c r="Z155" i="32"/>
  <c r="AN212" i="67" a="1"/>
  <c r="AN212" i="67" s="1"/>
  <c r="B213" i="69"/>
  <c r="N211" i="69"/>
  <c r="AF211" i="69" s="1"/>
  <c r="D211" i="69"/>
  <c r="E211" i="69" s="1"/>
  <c r="F211" i="69" s="1"/>
  <c r="G211" i="69" s="1"/>
  <c r="H211" i="69" s="1"/>
  <c r="I211" i="69" s="1"/>
  <c r="J211" i="69" s="1"/>
  <c r="K211" i="69" s="1"/>
  <c r="M211" i="69" s="1"/>
  <c r="AE210" i="69"/>
  <c r="Q210" i="69"/>
  <c r="U210" i="69"/>
  <c r="R210" i="69"/>
  <c r="S210" i="69" s="1"/>
  <c r="Y210" i="69" s="1"/>
  <c r="AB210" i="69" s="1"/>
  <c r="AC210" i="69" s="1"/>
  <c r="AD210" i="69" s="1"/>
  <c r="C212" i="69"/>
  <c r="AL157" i="11" a="1"/>
  <c r="AL157" i="11" s="1"/>
  <c r="E158" i="32" s="1"/>
  <c r="AL167" i="59" a="1"/>
  <c r="AL167" i="59" s="1"/>
  <c r="E168" i="50" s="1"/>
  <c r="AM57" i="59" a="1"/>
  <c r="AM57" i="59" s="1"/>
  <c r="AM42" i="11" a="1"/>
  <c r="AM42" i="11" s="1"/>
  <c r="AB225" i="57" l="1"/>
  <c r="AA225" i="57"/>
  <c r="AF225" i="57"/>
  <c r="X226" i="57"/>
  <c r="AG210" i="69"/>
  <c r="L213" i="69"/>
  <c r="O213" i="69"/>
  <c r="AO212" i="69"/>
  <c r="P212" i="69"/>
  <c r="AK168" i="50"/>
  <c r="T168" i="50"/>
  <c r="AB226" i="53"/>
  <c r="AA226" i="53"/>
  <c r="AF226" i="53"/>
  <c r="AE227" i="53"/>
  <c r="AC227" i="53"/>
  <c r="AD156" i="32"/>
  <c r="AK158" i="32"/>
  <c r="T158" i="32"/>
  <c r="AE227" i="57"/>
  <c r="AC227" i="57"/>
  <c r="AD166" i="50"/>
  <c r="AG166" i="50" s="1"/>
  <c r="AH166" i="50" s="1"/>
  <c r="AI166" i="50" s="1"/>
  <c r="AM167" i="50"/>
  <c r="U167" i="50"/>
  <c r="U157" i="32"/>
  <c r="AG155" i="32"/>
  <c r="AH155" i="32" s="1"/>
  <c r="AL155" i="32"/>
  <c r="AP164" i="50"/>
  <c r="R227" i="57"/>
  <c r="R227" i="53"/>
  <c r="X227" i="53" s="1"/>
  <c r="AL165" i="50"/>
  <c r="Q157" i="32"/>
  <c r="P157" i="32" s="1"/>
  <c r="AI154" i="32"/>
  <c r="AN154" i="32" s="1"/>
  <c r="AX211" i="69"/>
  <c r="AG228" i="57"/>
  <c r="L228" i="57"/>
  <c r="O168" i="50"/>
  <c r="AJ227" i="57"/>
  <c r="AP227" i="57"/>
  <c r="AH227" i="53"/>
  <c r="AT227" i="53"/>
  <c r="AG227" i="53"/>
  <c r="N228" i="57"/>
  <c r="I228" i="53"/>
  <c r="N228" i="53"/>
  <c r="AH211" i="69"/>
  <c r="AJ166" i="50"/>
  <c r="C166" i="50"/>
  <c r="AJ156" i="32"/>
  <c r="C156" i="32"/>
  <c r="AD227" i="57"/>
  <c r="Q227" i="53"/>
  <c r="AD227" i="53"/>
  <c r="S167" i="50"/>
  <c r="V166" i="50"/>
  <c r="S157" i="32"/>
  <c r="V157" i="32" s="1"/>
  <c r="F228" i="53"/>
  <c r="K228" i="53"/>
  <c r="P228" i="53"/>
  <c r="M228" i="53"/>
  <c r="D228" i="53"/>
  <c r="G228" i="53"/>
  <c r="C228" i="53"/>
  <c r="AK227" i="52" a="1"/>
  <c r="AK227" i="52" s="1"/>
  <c r="B229" i="53" s="1"/>
  <c r="O229" i="53" s="1"/>
  <c r="H228" i="53"/>
  <c r="J228" i="53"/>
  <c r="L228" i="53"/>
  <c r="E228" i="53"/>
  <c r="A158" i="32"/>
  <c r="B158" i="32"/>
  <c r="R158" i="32" s="1"/>
  <c r="K168" i="50"/>
  <c r="A168" i="50"/>
  <c r="Q168" i="50" s="1"/>
  <c r="P168" i="50" s="1"/>
  <c r="G168" i="50"/>
  <c r="N168" i="50"/>
  <c r="F168" i="50"/>
  <c r="I168" i="50"/>
  <c r="H168" i="50"/>
  <c r="J168" i="50"/>
  <c r="M168" i="50"/>
  <c r="B168" i="50"/>
  <c r="R168" i="50" s="1"/>
  <c r="L168" i="50"/>
  <c r="L158" i="32"/>
  <c r="G158" i="32"/>
  <c r="O158" i="32"/>
  <c r="H158" i="32"/>
  <c r="K158" i="32"/>
  <c r="J158" i="32"/>
  <c r="M158" i="32"/>
  <c r="F158" i="32"/>
  <c r="AM158" i="32" s="1"/>
  <c r="I158" i="32"/>
  <c r="N158" i="32"/>
  <c r="Q227" i="57"/>
  <c r="T227" i="57" s="1"/>
  <c r="P228" i="57"/>
  <c r="J228" i="57"/>
  <c r="I228" i="57"/>
  <c r="F228" i="57"/>
  <c r="E228" i="57"/>
  <c r="D228" i="57"/>
  <c r="C228" i="57"/>
  <c r="M228" i="57" s="1"/>
  <c r="H228" i="57"/>
  <c r="K228" i="57"/>
  <c r="G228" i="57"/>
  <c r="Z166" i="50"/>
  <c r="W166" i="50"/>
  <c r="X166" i="50" s="1"/>
  <c r="AK227" i="55" a="1"/>
  <c r="AK227" i="55" s="1"/>
  <c r="B229" i="57" s="1"/>
  <c r="O229" i="57" s="1"/>
  <c r="W156" i="32"/>
  <c r="X156" i="32" s="1"/>
  <c r="Z156" i="32"/>
  <c r="N212" i="69"/>
  <c r="AF212" i="69" s="1"/>
  <c r="D212" i="69"/>
  <c r="E212" i="69" s="1"/>
  <c r="F212" i="69" s="1"/>
  <c r="G212" i="69" s="1"/>
  <c r="H212" i="69" s="1"/>
  <c r="I212" i="69" s="1"/>
  <c r="J212" i="69" s="1"/>
  <c r="K212" i="69" s="1"/>
  <c r="M212" i="69" s="1"/>
  <c r="R211" i="69"/>
  <c r="S211" i="69" s="1"/>
  <c r="Y211" i="69" s="1"/>
  <c r="AE211" i="69"/>
  <c r="Q211" i="69"/>
  <c r="U211" i="69"/>
  <c r="C213" i="69"/>
  <c r="AN213" i="67" a="1"/>
  <c r="AN213" i="67" s="1"/>
  <c r="B214" i="69"/>
  <c r="AL158" i="11" a="1"/>
  <c r="AL158" i="11" s="1"/>
  <c r="E159" i="32" s="1"/>
  <c r="AL168" i="59" a="1"/>
  <c r="AL168" i="59" s="1"/>
  <c r="E169" i="50" s="1"/>
  <c r="AM58" i="59" a="1"/>
  <c r="AM58" i="59" s="1"/>
  <c r="AM43" i="11" a="1"/>
  <c r="AM43" i="11" s="1"/>
  <c r="AF226" i="57" l="1"/>
  <c r="AA226" i="57"/>
  <c r="AB226" i="57"/>
  <c r="AB211" i="69"/>
  <c r="AC211" i="69" s="1"/>
  <c r="AD211" i="69" s="1"/>
  <c r="AG211" i="69"/>
  <c r="L214" i="69"/>
  <c r="O214" i="69"/>
  <c r="AO213" i="69"/>
  <c r="P213" i="69"/>
  <c r="T169" i="50"/>
  <c r="AK169" i="50"/>
  <c r="X227" i="57"/>
  <c r="AA227" i="57" s="1"/>
  <c r="AF227" i="53"/>
  <c r="AB227" i="53"/>
  <c r="AA227" i="53"/>
  <c r="AE228" i="53"/>
  <c r="AC228" i="53"/>
  <c r="AK159" i="32"/>
  <c r="T159" i="32"/>
  <c r="AD157" i="32"/>
  <c r="AE228" i="57"/>
  <c r="AC228" i="57"/>
  <c r="AM168" i="50"/>
  <c r="U168" i="50"/>
  <c r="AD167" i="50"/>
  <c r="AG167" i="50" s="1"/>
  <c r="AH167" i="50" s="1"/>
  <c r="AI167" i="50" s="1"/>
  <c r="U158" i="32"/>
  <c r="AG156" i="32"/>
  <c r="AH156" i="32" s="1"/>
  <c r="AL156" i="32"/>
  <c r="AI155" i="32"/>
  <c r="AN155" i="32" s="1"/>
  <c r="AP165" i="50"/>
  <c r="R228" i="57"/>
  <c r="R228" i="53"/>
  <c r="X228" i="53" s="1"/>
  <c r="AL166" i="50"/>
  <c r="Q158" i="32"/>
  <c r="P158" i="32" s="1"/>
  <c r="AX212" i="69"/>
  <c r="L229" i="57"/>
  <c r="AG229" i="57"/>
  <c r="O169" i="50"/>
  <c r="AJ228" i="57"/>
  <c r="AP228" i="57"/>
  <c r="AG228" i="53"/>
  <c r="AH228" i="53"/>
  <c r="AT228" i="53"/>
  <c r="N229" i="57"/>
  <c r="H229" i="53"/>
  <c r="N229" i="53"/>
  <c r="AH212" i="69"/>
  <c r="AJ167" i="50"/>
  <c r="C167" i="50"/>
  <c r="AJ157" i="32"/>
  <c r="C157" i="32"/>
  <c r="AD228" i="57"/>
  <c r="Q228" i="53"/>
  <c r="AD228" i="53"/>
  <c r="S168" i="50"/>
  <c r="V167" i="50"/>
  <c r="S158" i="32"/>
  <c r="V158" i="32" s="1"/>
  <c r="AK228" i="52" a="1"/>
  <c r="AK228" i="52" s="1"/>
  <c r="B230" i="53" s="1"/>
  <c r="O230" i="53" s="1"/>
  <c r="D229" i="53"/>
  <c r="F229" i="53"/>
  <c r="P229" i="53"/>
  <c r="G229" i="53"/>
  <c r="J229" i="53"/>
  <c r="C229" i="53"/>
  <c r="K229" i="53"/>
  <c r="L229" i="53"/>
  <c r="I229" i="53"/>
  <c r="E229" i="53"/>
  <c r="M229" i="53"/>
  <c r="A159" i="32"/>
  <c r="B159" i="32"/>
  <c r="R159" i="32" s="1"/>
  <c r="H169" i="50"/>
  <c r="B169" i="50"/>
  <c r="R169" i="50" s="1"/>
  <c r="F169" i="50"/>
  <c r="N169" i="50"/>
  <c r="I169" i="50"/>
  <c r="L169" i="50"/>
  <c r="A169" i="50"/>
  <c r="Q169" i="50" s="1"/>
  <c r="P169" i="50" s="1"/>
  <c r="J169" i="50"/>
  <c r="K169" i="50"/>
  <c r="M169" i="50"/>
  <c r="G169" i="50"/>
  <c r="J159" i="32"/>
  <c r="M159" i="32"/>
  <c r="F159" i="32"/>
  <c r="AM159" i="32" s="1"/>
  <c r="N159" i="32"/>
  <c r="I159" i="32"/>
  <c r="K159" i="32"/>
  <c r="H159" i="32"/>
  <c r="G159" i="32"/>
  <c r="L159" i="32"/>
  <c r="O159" i="32"/>
  <c r="W167" i="50"/>
  <c r="X167" i="50" s="1"/>
  <c r="Z167" i="50"/>
  <c r="Q228" i="57"/>
  <c r="T228" i="57" s="1"/>
  <c r="F229" i="57"/>
  <c r="C229" i="57"/>
  <c r="M229" i="57" s="1"/>
  <c r="P229" i="57"/>
  <c r="H229" i="57"/>
  <c r="K229" i="57"/>
  <c r="E229" i="57"/>
  <c r="G229" i="57"/>
  <c r="D229" i="57"/>
  <c r="J229" i="57"/>
  <c r="I229" i="57"/>
  <c r="AK228" i="55" a="1"/>
  <c r="AK228" i="55" s="1"/>
  <c r="B230" i="57" s="1"/>
  <c r="O230" i="57" s="1"/>
  <c r="W157" i="32"/>
  <c r="X157" i="32" s="1"/>
  <c r="Z157" i="32"/>
  <c r="AN214" i="67" a="1"/>
  <c r="AN214" i="67" s="1"/>
  <c r="B215" i="69"/>
  <c r="U212" i="69"/>
  <c r="Q212" i="69"/>
  <c r="R212" i="69"/>
  <c r="S212" i="69" s="1"/>
  <c r="Y212" i="69" s="1"/>
  <c r="AB212" i="69" s="1"/>
  <c r="AC212" i="69" s="1"/>
  <c r="AD212" i="69" s="1"/>
  <c r="AE212" i="69"/>
  <c r="C214" i="69"/>
  <c r="D213" i="69"/>
  <c r="E213" i="69" s="1"/>
  <c r="F213" i="69" s="1"/>
  <c r="G213" i="69" s="1"/>
  <c r="H213" i="69" s="1"/>
  <c r="I213" i="69" s="1"/>
  <c r="J213" i="69" s="1"/>
  <c r="K213" i="69" s="1"/>
  <c r="M213" i="69" s="1"/>
  <c r="N213" i="69"/>
  <c r="AF213" i="69" s="1"/>
  <c r="AL159" i="11" a="1"/>
  <c r="AL159" i="11" s="1"/>
  <c r="E160" i="32" s="1"/>
  <c r="AL169" i="59" a="1"/>
  <c r="AL169" i="59" s="1"/>
  <c r="E170" i="50" s="1"/>
  <c r="AM59" i="59" a="1"/>
  <c r="AM59" i="59" s="1"/>
  <c r="AM44" i="11" a="1"/>
  <c r="AM44" i="11" s="1"/>
  <c r="AG212" i="69" l="1"/>
  <c r="AO214" i="69"/>
  <c r="P214" i="69"/>
  <c r="L215" i="69"/>
  <c r="O215" i="69"/>
  <c r="T170" i="50"/>
  <c r="AK170" i="50"/>
  <c r="X228" i="57"/>
  <c r="AB227" i="57"/>
  <c r="AF227" i="57"/>
  <c r="AB228" i="53"/>
  <c r="AA228" i="53"/>
  <c r="AE229" i="53"/>
  <c r="AC229" i="53"/>
  <c r="AF228" i="53"/>
  <c r="AK160" i="32"/>
  <c r="T160" i="32"/>
  <c r="AD158" i="32"/>
  <c r="AE229" i="57"/>
  <c r="AC229" i="57"/>
  <c r="AD168" i="50"/>
  <c r="AG168" i="50" s="1"/>
  <c r="AH168" i="50" s="1"/>
  <c r="AI168" i="50" s="1"/>
  <c r="AM169" i="50"/>
  <c r="U169" i="50"/>
  <c r="AG157" i="32"/>
  <c r="AH157" i="32" s="1"/>
  <c r="AL157" i="32"/>
  <c r="U159" i="32"/>
  <c r="AI156" i="32"/>
  <c r="AN156" i="32" s="1"/>
  <c r="AP166" i="50"/>
  <c r="R229" i="57"/>
  <c r="R229" i="53"/>
  <c r="X229" i="53" s="1"/>
  <c r="AL167" i="50"/>
  <c r="Q159" i="32"/>
  <c r="P159" i="32" s="1"/>
  <c r="AX213" i="69"/>
  <c r="AG230" i="57"/>
  <c r="L230" i="57"/>
  <c r="O170" i="50"/>
  <c r="AJ229" i="57"/>
  <c r="AP229" i="57"/>
  <c r="AH229" i="53"/>
  <c r="AT229" i="53"/>
  <c r="AG229" i="53"/>
  <c r="N230" i="57"/>
  <c r="N230" i="53"/>
  <c r="AH213" i="69"/>
  <c r="AJ168" i="50"/>
  <c r="C168" i="50"/>
  <c r="AJ158" i="32"/>
  <c r="C158" i="32"/>
  <c r="AD229" i="57"/>
  <c r="AD229" i="53"/>
  <c r="S169" i="50"/>
  <c r="V168" i="50"/>
  <c r="S159" i="32"/>
  <c r="V159" i="32" s="1"/>
  <c r="Q229" i="53"/>
  <c r="C230" i="53"/>
  <c r="K230" i="53"/>
  <c r="L230" i="53"/>
  <c r="AK229" i="52" a="1"/>
  <c r="AK229" i="52" s="1"/>
  <c r="B231" i="53" s="1"/>
  <c r="O231" i="53" s="1"/>
  <c r="G230" i="53"/>
  <c r="M230" i="53"/>
  <c r="J230" i="53"/>
  <c r="E230" i="53"/>
  <c r="I230" i="53"/>
  <c r="F230" i="53"/>
  <c r="D230" i="53"/>
  <c r="H230" i="53"/>
  <c r="P230" i="53"/>
  <c r="A160" i="32"/>
  <c r="B160" i="32"/>
  <c r="R160" i="32" s="1"/>
  <c r="G170" i="50"/>
  <c r="B170" i="50"/>
  <c r="R170" i="50" s="1"/>
  <c r="A170" i="50"/>
  <c r="Q170" i="50" s="1"/>
  <c r="P170" i="50" s="1"/>
  <c r="H170" i="50"/>
  <c r="J170" i="50"/>
  <c r="L170" i="50"/>
  <c r="I170" i="50"/>
  <c r="M170" i="50"/>
  <c r="N170" i="50"/>
  <c r="K170" i="50"/>
  <c r="F170" i="50"/>
  <c r="H160" i="32"/>
  <c r="K160" i="32"/>
  <c r="L160" i="32"/>
  <c r="G160" i="32"/>
  <c r="O160" i="32"/>
  <c r="F160" i="32"/>
  <c r="AM160" i="32" s="1"/>
  <c r="I160" i="32"/>
  <c r="N160" i="32"/>
  <c r="M160" i="32"/>
  <c r="J160" i="32"/>
  <c r="Q229" i="57"/>
  <c r="T229" i="57" s="1"/>
  <c r="W168" i="50"/>
  <c r="X168" i="50" s="1"/>
  <c r="Z168" i="50"/>
  <c r="P230" i="57"/>
  <c r="J230" i="57"/>
  <c r="E230" i="57"/>
  <c r="F230" i="57"/>
  <c r="K230" i="57"/>
  <c r="G230" i="57"/>
  <c r="C230" i="57"/>
  <c r="M230" i="57" s="1"/>
  <c r="H230" i="57"/>
  <c r="I230" i="57"/>
  <c r="D230" i="57"/>
  <c r="AK229" i="55" a="1"/>
  <c r="AK229" i="55" s="1"/>
  <c r="B231" i="57" s="1"/>
  <c r="O231" i="57" s="1"/>
  <c r="W158" i="32"/>
  <c r="X158" i="32" s="1"/>
  <c r="Z158" i="32"/>
  <c r="AN215" i="67" a="1"/>
  <c r="AN215" i="67" s="1"/>
  <c r="B216" i="69"/>
  <c r="AE213" i="69"/>
  <c r="Q213" i="69"/>
  <c r="R213" i="69"/>
  <c r="S213" i="69" s="1"/>
  <c r="Y213" i="69" s="1"/>
  <c r="AB213" i="69" s="1"/>
  <c r="AC213" i="69" s="1"/>
  <c r="AD213" i="69" s="1"/>
  <c r="U213" i="69"/>
  <c r="D214" i="69"/>
  <c r="E214" i="69" s="1"/>
  <c r="F214" i="69" s="1"/>
  <c r="G214" i="69" s="1"/>
  <c r="H214" i="69" s="1"/>
  <c r="I214" i="69" s="1"/>
  <c r="J214" i="69" s="1"/>
  <c r="K214" i="69" s="1"/>
  <c r="M214" i="69" s="1"/>
  <c r="N214" i="69"/>
  <c r="AF214" i="69" s="1"/>
  <c r="C215" i="69"/>
  <c r="AL160" i="11" a="1"/>
  <c r="AL160" i="11" s="1"/>
  <c r="AL170" i="59" a="1"/>
  <c r="AL170" i="59" s="1"/>
  <c r="E171" i="50" s="1"/>
  <c r="AM60" i="59" a="1"/>
  <c r="AM60" i="59" s="1"/>
  <c r="AM45" i="11" a="1"/>
  <c r="AM45" i="11" s="1"/>
  <c r="AB228" i="57" l="1"/>
  <c r="AA228" i="57"/>
  <c r="X229" i="57"/>
  <c r="AA229" i="57" s="1"/>
  <c r="AG213" i="69"/>
  <c r="L216" i="69"/>
  <c r="O216" i="69"/>
  <c r="AO215" i="69"/>
  <c r="P215" i="69"/>
  <c r="T171" i="50"/>
  <c r="AK171" i="50"/>
  <c r="AF228" i="57"/>
  <c r="AD159" i="32"/>
  <c r="AB229" i="53"/>
  <c r="AA229" i="53"/>
  <c r="AF229" i="53"/>
  <c r="AE230" i="53"/>
  <c r="AC230" i="53"/>
  <c r="AE230" i="57"/>
  <c r="AC230" i="57"/>
  <c r="AM170" i="50"/>
  <c r="U170" i="50"/>
  <c r="AD169" i="50"/>
  <c r="AG169" i="50" s="1"/>
  <c r="AH169" i="50" s="1"/>
  <c r="AI169" i="50" s="1"/>
  <c r="U160" i="32"/>
  <c r="AG158" i="32"/>
  <c r="AH158" i="32" s="1"/>
  <c r="AL158" i="32"/>
  <c r="AP167" i="50"/>
  <c r="R230" i="57"/>
  <c r="R230" i="53"/>
  <c r="X230" i="53" s="1"/>
  <c r="AL168" i="50"/>
  <c r="Q160" i="32"/>
  <c r="P160" i="32" s="1"/>
  <c r="AI157" i="32"/>
  <c r="AN157" i="32" s="1"/>
  <c r="AX214" i="69"/>
  <c r="AG231" i="57"/>
  <c r="L231" i="57"/>
  <c r="O171" i="50"/>
  <c r="AJ230" i="57"/>
  <c r="AP230" i="57"/>
  <c r="AH230" i="53"/>
  <c r="AT230" i="53"/>
  <c r="AG230" i="53"/>
  <c r="N231" i="57"/>
  <c r="E231" i="53"/>
  <c r="N231" i="53"/>
  <c r="AH214" i="69"/>
  <c r="AJ169" i="50"/>
  <c r="C169" i="50"/>
  <c r="AJ159" i="32"/>
  <c r="C159" i="32"/>
  <c r="AD230" i="57"/>
  <c r="AD230" i="53"/>
  <c r="V169" i="50"/>
  <c r="S170" i="50"/>
  <c r="S160" i="32"/>
  <c r="V160" i="32" s="1"/>
  <c r="Q230" i="53"/>
  <c r="D231" i="53"/>
  <c r="H231" i="53"/>
  <c r="C231" i="53"/>
  <c r="F231" i="53"/>
  <c r="AK230" i="52" a="1"/>
  <c r="AK230" i="52" s="1"/>
  <c r="B232" i="53" s="1"/>
  <c r="O232" i="53" s="1"/>
  <c r="L231" i="53"/>
  <c r="G231" i="53"/>
  <c r="I231" i="53"/>
  <c r="K231" i="53"/>
  <c r="M231" i="53"/>
  <c r="J231" i="53"/>
  <c r="P231" i="53"/>
  <c r="I171" i="50"/>
  <c r="H171" i="50"/>
  <c r="F171" i="50"/>
  <c r="L171" i="50"/>
  <c r="N171" i="50"/>
  <c r="M171" i="50"/>
  <c r="B171" i="50"/>
  <c r="R171" i="50" s="1"/>
  <c r="G171" i="50"/>
  <c r="J171" i="50"/>
  <c r="K171" i="50"/>
  <c r="A171" i="50"/>
  <c r="Q171" i="50" s="1"/>
  <c r="P171" i="50" s="1"/>
  <c r="J231" i="57"/>
  <c r="G231" i="57"/>
  <c r="D231" i="57"/>
  <c r="K231" i="57"/>
  <c r="F231" i="57"/>
  <c r="H231" i="57"/>
  <c r="C231" i="57"/>
  <c r="M231" i="57" s="1"/>
  <c r="E231" i="57"/>
  <c r="P231" i="57"/>
  <c r="I231" i="57"/>
  <c r="Z169" i="50"/>
  <c r="W169" i="50"/>
  <c r="X169" i="50" s="1"/>
  <c r="Q230" i="57"/>
  <c r="T230" i="57" s="1"/>
  <c r="E161" i="32"/>
  <c r="AK230" i="55" a="1"/>
  <c r="AK230" i="55" s="1"/>
  <c r="B232" i="57" s="1"/>
  <c r="O232" i="57" s="1"/>
  <c r="W159" i="32"/>
  <c r="X159" i="32" s="1"/>
  <c r="Z159" i="32"/>
  <c r="AN216" i="67" a="1"/>
  <c r="AN216" i="67" s="1"/>
  <c r="B217" i="69"/>
  <c r="C216" i="69"/>
  <c r="D215" i="69"/>
  <c r="E215" i="69" s="1"/>
  <c r="F215" i="69" s="1"/>
  <c r="G215" i="69" s="1"/>
  <c r="H215" i="69" s="1"/>
  <c r="I215" i="69" s="1"/>
  <c r="J215" i="69" s="1"/>
  <c r="K215" i="69" s="1"/>
  <c r="M215" i="69" s="1"/>
  <c r="N215" i="69"/>
  <c r="AF215" i="69" s="1"/>
  <c r="AE214" i="69"/>
  <c r="Q214" i="69"/>
  <c r="R214" i="69"/>
  <c r="S214" i="69" s="1"/>
  <c r="Y214" i="69" s="1"/>
  <c r="AB214" i="69" s="1"/>
  <c r="AC214" i="69" s="1"/>
  <c r="AD214" i="69" s="1"/>
  <c r="U214" i="69"/>
  <c r="AL161" i="11" a="1"/>
  <c r="AL161" i="11" s="1"/>
  <c r="E162" i="32" s="1"/>
  <c r="AL171" i="59" a="1"/>
  <c r="AL171" i="59" s="1"/>
  <c r="E172" i="50" s="1"/>
  <c r="AM61" i="59" a="1"/>
  <c r="AM61" i="59" s="1"/>
  <c r="AM46" i="11" a="1"/>
  <c r="AM46" i="11" s="1"/>
  <c r="AF229" i="57" l="1"/>
  <c r="AB229" i="57"/>
  <c r="AG214" i="69"/>
  <c r="AO216" i="69"/>
  <c r="P216" i="69"/>
  <c r="L217" i="69"/>
  <c r="O217" i="69"/>
  <c r="T172" i="50"/>
  <c r="AK172" i="50"/>
  <c r="X230" i="57"/>
  <c r="AA230" i="57" s="1"/>
  <c r="AB230" i="53"/>
  <c r="AA230" i="53"/>
  <c r="AF230" i="53"/>
  <c r="AE231" i="53"/>
  <c r="AC231" i="53"/>
  <c r="AK161" i="32"/>
  <c r="T161" i="32"/>
  <c r="AK162" i="32"/>
  <c r="T162" i="32"/>
  <c r="AD160" i="32"/>
  <c r="AE231" i="57"/>
  <c r="AC231" i="57"/>
  <c r="AM171" i="50"/>
  <c r="U171" i="50"/>
  <c r="AD170" i="50"/>
  <c r="AG170" i="50" s="1"/>
  <c r="AH170" i="50" s="1"/>
  <c r="AI170" i="50" s="1"/>
  <c r="AG159" i="32"/>
  <c r="AH159" i="32" s="1"/>
  <c r="AL159" i="32"/>
  <c r="AI158" i="32"/>
  <c r="AN158" i="32" s="1"/>
  <c r="AP168" i="50"/>
  <c r="R231" i="57"/>
  <c r="R231" i="53"/>
  <c r="X231" i="53" s="1"/>
  <c r="AL169" i="50"/>
  <c r="AX215" i="69"/>
  <c r="AG232" i="57"/>
  <c r="L232" i="57"/>
  <c r="O172" i="50"/>
  <c r="AJ231" i="57"/>
  <c r="AP231" i="57"/>
  <c r="AH231" i="53"/>
  <c r="AT231" i="53"/>
  <c r="AG231" i="53"/>
  <c r="N232" i="57"/>
  <c r="H232" i="53"/>
  <c r="N232" i="53"/>
  <c r="AH215" i="69"/>
  <c r="AJ170" i="50"/>
  <c r="C170" i="50"/>
  <c r="AJ160" i="32"/>
  <c r="C160" i="32"/>
  <c r="AD231" i="57"/>
  <c r="AD231" i="53"/>
  <c r="S171" i="50"/>
  <c r="V170" i="50"/>
  <c r="Q231" i="53"/>
  <c r="F232" i="53"/>
  <c r="P232" i="53"/>
  <c r="L232" i="53"/>
  <c r="I232" i="53"/>
  <c r="M232" i="53"/>
  <c r="D232" i="53"/>
  <c r="K232" i="53"/>
  <c r="E232" i="53"/>
  <c r="AK231" i="52" a="1"/>
  <c r="AK231" i="52" s="1"/>
  <c r="B233" i="53" s="1"/>
  <c r="O233" i="53" s="1"/>
  <c r="J232" i="53"/>
  <c r="G232" i="53"/>
  <c r="C232" i="53"/>
  <c r="A162" i="32"/>
  <c r="B162" i="32"/>
  <c r="R162" i="32" s="1"/>
  <c r="A161" i="32"/>
  <c r="B161" i="32"/>
  <c r="R161" i="32" s="1"/>
  <c r="L172" i="50"/>
  <c r="N172" i="50"/>
  <c r="F172" i="50"/>
  <c r="G172" i="50"/>
  <c r="I172" i="50"/>
  <c r="H172" i="50"/>
  <c r="K172" i="50"/>
  <c r="J172" i="50"/>
  <c r="M172" i="50"/>
  <c r="A172" i="50"/>
  <c r="Q172" i="50" s="1"/>
  <c r="P172" i="50" s="1"/>
  <c r="B172" i="50"/>
  <c r="R172" i="50" s="1"/>
  <c r="F161" i="32"/>
  <c r="AM161" i="32" s="1"/>
  <c r="N161" i="32"/>
  <c r="I161" i="32"/>
  <c r="J161" i="32"/>
  <c r="M161" i="32"/>
  <c r="G161" i="32"/>
  <c r="L161" i="32"/>
  <c r="O161" i="32"/>
  <c r="H161" i="32"/>
  <c r="K161" i="32"/>
  <c r="L162" i="32"/>
  <c r="G162" i="32"/>
  <c r="O162" i="32"/>
  <c r="H162" i="32"/>
  <c r="K162" i="32"/>
  <c r="M162" i="32"/>
  <c r="J162" i="32"/>
  <c r="F162" i="32"/>
  <c r="AM162" i="32" s="1"/>
  <c r="I162" i="32"/>
  <c r="N162" i="32"/>
  <c r="Q231" i="57"/>
  <c r="T231" i="57" s="1"/>
  <c r="I232" i="57"/>
  <c r="F232" i="57"/>
  <c r="D232" i="57"/>
  <c r="C232" i="57"/>
  <c r="M232" i="57" s="1"/>
  <c r="J232" i="57"/>
  <c r="K232" i="57"/>
  <c r="E232" i="57"/>
  <c r="G232" i="57"/>
  <c r="P232" i="57"/>
  <c r="H232" i="57"/>
  <c r="Z170" i="50"/>
  <c r="W170" i="50"/>
  <c r="X170" i="50" s="1"/>
  <c r="AK231" i="55" a="1"/>
  <c r="AK231" i="55" s="1"/>
  <c r="B233" i="57" s="1"/>
  <c r="O233" i="57" s="1"/>
  <c r="W160" i="32"/>
  <c r="X160" i="32" s="1"/>
  <c r="Z160" i="32"/>
  <c r="AN217" i="67" a="1"/>
  <c r="AN217" i="67" s="1"/>
  <c r="B218" i="69"/>
  <c r="D216" i="69"/>
  <c r="E216" i="69" s="1"/>
  <c r="F216" i="69" s="1"/>
  <c r="G216" i="69" s="1"/>
  <c r="H216" i="69" s="1"/>
  <c r="I216" i="69" s="1"/>
  <c r="J216" i="69" s="1"/>
  <c r="K216" i="69" s="1"/>
  <c r="M216" i="69" s="1"/>
  <c r="N216" i="69"/>
  <c r="AF216" i="69" s="1"/>
  <c r="Q215" i="69"/>
  <c r="U215" i="69"/>
  <c r="AE215" i="69"/>
  <c r="R215" i="69"/>
  <c r="S215" i="69" s="1"/>
  <c r="Y215" i="69" s="1"/>
  <c r="AB215" i="69" s="1"/>
  <c r="AC215" i="69" s="1"/>
  <c r="AD215" i="69" s="1"/>
  <c r="C217" i="69"/>
  <c r="AL162" i="11" a="1"/>
  <c r="AL162" i="11" s="1"/>
  <c r="E163" i="32" s="1"/>
  <c r="AL172" i="59" a="1"/>
  <c r="AL172" i="59" s="1"/>
  <c r="E173" i="50" s="1"/>
  <c r="AM62" i="59" a="1"/>
  <c r="AM62" i="59" s="1"/>
  <c r="AM47" i="11" a="1"/>
  <c r="AM47" i="11" s="1"/>
  <c r="L218" i="69" l="1"/>
  <c r="O218" i="69"/>
  <c r="AO217" i="69"/>
  <c r="P217" i="69"/>
  <c r="AG215" i="69"/>
  <c r="X231" i="57"/>
  <c r="T173" i="50"/>
  <c r="AK173" i="50"/>
  <c r="AF230" i="57"/>
  <c r="AB230" i="57"/>
  <c r="AE232" i="53"/>
  <c r="AC232" i="53"/>
  <c r="AF231" i="53"/>
  <c r="AB231" i="53"/>
  <c r="AA231" i="53"/>
  <c r="AK163" i="32"/>
  <c r="T163" i="32"/>
  <c r="AE232" i="57"/>
  <c r="AC232" i="57"/>
  <c r="AM172" i="50"/>
  <c r="U172" i="50"/>
  <c r="AD171" i="50"/>
  <c r="AG171" i="50" s="1"/>
  <c r="AH171" i="50" s="1"/>
  <c r="AI171" i="50" s="1"/>
  <c r="U162" i="32"/>
  <c r="AG160" i="32"/>
  <c r="AH160" i="32" s="1"/>
  <c r="AL160" i="32"/>
  <c r="U161" i="32"/>
  <c r="AI159" i="32"/>
  <c r="AN159" i="32" s="1"/>
  <c r="AP169" i="50"/>
  <c r="R232" i="57"/>
  <c r="R232" i="53"/>
  <c r="X232" i="53" s="1"/>
  <c r="AL170" i="50"/>
  <c r="Q161" i="32"/>
  <c r="P161" i="32" s="1"/>
  <c r="Q162" i="32"/>
  <c r="P162" i="32" s="1"/>
  <c r="AX216" i="69"/>
  <c r="AG233" i="57"/>
  <c r="L233" i="57"/>
  <c r="O173" i="50"/>
  <c r="AJ232" i="57"/>
  <c r="AP232" i="57"/>
  <c r="AH232" i="53"/>
  <c r="AT232" i="53"/>
  <c r="AG232" i="53"/>
  <c r="N233" i="57"/>
  <c r="M233" i="53"/>
  <c r="N233" i="53"/>
  <c r="AH216" i="69"/>
  <c r="AJ171" i="50"/>
  <c r="C171" i="50"/>
  <c r="AD232" i="57"/>
  <c r="Q232" i="53"/>
  <c r="AD232" i="53"/>
  <c r="S172" i="50"/>
  <c r="V171" i="50"/>
  <c r="S161" i="32"/>
  <c r="V161" i="32" s="1"/>
  <c r="S162" i="32"/>
  <c r="V162" i="32" s="1"/>
  <c r="AK232" i="52" a="1"/>
  <c r="AK232" i="52" s="1"/>
  <c r="B234" i="53" s="1"/>
  <c r="O234" i="53" s="1"/>
  <c r="E233" i="53"/>
  <c r="J233" i="53"/>
  <c r="H233" i="53"/>
  <c r="L233" i="53"/>
  <c r="F233" i="53"/>
  <c r="D233" i="53"/>
  <c r="K233" i="53"/>
  <c r="C233" i="53"/>
  <c r="I233" i="53"/>
  <c r="G233" i="53"/>
  <c r="P233" i="53"/>
  <c r="A163" i="32"/>
  <c r="B163" i="32"/>
  <c r="R163" i="32" s="1"/>
  <c r="F173" i="50"/>
  <c r="M173" i="50"/>
  <c r="J173" i="50"/>
  <c r="K173" i="50"/>
  <c r="B173" i="50"/>
  <c r="R173" i="50" s="1"/>
  <c r="L173" i="50"/>
  <c r="H173" i="50"/>
  <c r="A173" i="50"/>
  <c r="Q173" i="50" s="1"/>
  <c r="P173" i="50" s="1"/>
  <c r="G173" i="50"/>
  <c r="I173" i="50"/>
  <c r="N173" i="50"/>
  <c r="J163" i="32"/>
  <c r="M163" i="32"/>
  <c r="F163" i="32"/>
  <c r="AM163" i="32" s="1"/>
  <c r="N163" i="32"/>
  <c r="I163" i="32"/>
  <c r="H163" i="32"/>
  <c r="K163" i="32"/>
  <c r="G163" i="32"/>
  <c r="L163" i="32"/>
  <c r="O163" i="32"/>
  <c r="K233" i="57"/>
  <c r="J233" i="57"/>
  <c r="H233" i="57"/>
  <c r="F233" i="57"/>
  <c r="P233" i="57"/>
  <c r="D233" i="57"/>
  <c r="C233" i="57"/>
  <c r="M233" i="57" s="1"/>
  <c r="I233" i="57"/>
  <c r="E233" i="57"/>
  <c r="G233" i="57"/>
  <c r="Q232" i="57"/>
  <c r="T232" i="57" s="1"/>
  <c r="Z171" i="50"/>
  <c r="W171" i="50"/>
  <c r="X171" i="50" s="1"/>
  <c r="AK232" i="55" a="1"/>
  <c r="AK232" i="55" s="1"/>
  <c r="B234" i="57" s="1"/>
  <c r="O234" i="57" s="1"/>
  <c r="U216" i="69"/>
  <c r="Q216" i="69"/>
  <c r="R216" i="69"/>
  <c r="S216" i="69" s="1"/>
  <c r="Y216" i="69" s="1"/>
  <c r="AE216" i="69"/>
  <c r="C218" i="69"/>
  <c r="N217" i="69"/>
  <c r="AF217" i="69" s="1"/>
  <c r="D217" i="69"/>
  <c r="E217" i="69" s="1"/>
  <c r="F217" i="69" s="1"/>
  <c r="G217" i="69" s="1"/>
  <c r="H217" i="69" s="1"/>
  <c r="I217" i="69" s="1"/>
  <c r="J217" i="69" s="1"/>
  <c r="K217" i="69" s="1"/>
  <c r="M217" i="69" s="1"/>
  <c r="AN218" i="67" a="1"/>
  <c r="AN218" i="67" s="1"/>
  <c r="B219" i="69"/>
  <c r="AL163" i="11" a="1"/>
  <c r="AL163" i="11" s="1"/>
  <c r="E164" i="32" s="1"/>
  <c r="AL173" i="59" a="1"/>
  <c r="AL173" i="59" s="1"/>
  <c r="E174" i="50" s="1"/>
  <c r="AM63" i="59" a="1"/>
  <c r="AM63" i="59" s="1"/>
  <c r="AM48" i="11" a="1"/>
  <c r="AM48" i="11" s="1"/>
  <c r="AB231" i="57" l="1"/>
  <c r="AA231" i="57"/>
  <c r="AB216" i="69"/>
  <c r="AC216" i="69" s="1"/>
  <c r="AD216" i="69" s="1"/>
  <c r="AG216" i="69"/>
  <c r="L219" i="69"/>
  <c r="O219" i="69"/>
  <c r="AO218" i="69"/>
  <c r="P218" i="69"/>
  <c r="AF231" i="57"/>
  <c r="T174" i="50"/>
  <c r="AK174" i="50"/>
  <c r="X232" i="57"/>
  <c r="AB232" i="53"/>
  <c r="AA232" i="53"/>
  <c r="AE233" i="53"/>
  <c r="AC233" i="53"/>
  <c r="AF232" i="53"/>
  <c r="T164" i="32"/>
  <c r="AK164" i="32"/>
  <c r="AD161" i="32"/>
  <c r="AD162" i="32"/>
  <c r="AE233" i="57"/>
  <c r="AC233" i="57"/>
  <c r="AD172" i="50"/>
  <c r="AG172" i="50" s="1"/>
  <c r="AH172" i="50" s="1"/>
  <c r="AI172" i="50" s="1"/>
  <c r="AM173" i="50"/>
  <c r="U173" i="50"/>
  <c r="U163" i="32"/>
  <c r="AI160" i="32"/>
  <c r="AN160" i="32" s="1"/>
  <c r="AP170" i="50"/>
  <c r="R233" i="57"/>
  <c r="R233" i="53"/>
  <c r="X233" i="53" s="1"/>
  <c r="AL171" i="50"/>
  <c r="Q163" i="32"/>
  <c r="P163" i="32" s="1"/>
  <c r="AX217" i="69"/>
  <c r="AG234" i="57"/>
  <c r="L234" i="57"/>
  <c r="O174" i="50"/>
  <c r="AJ233" i="57"/>
  <c r="AP233" i="57"/>
  <c r="AG233" i="53"/>
  <c r="Q233" i="53"/>
  <c r="AH233" i="53"/>
  <c r="AT233" i="53"/>
  <c r="AD233" i="53"/>
  <c r="N234" i="57"/>
  <c r="J234" i="53"/>
  <c r="N234" i="53"/>
  <c r="AH217" i="69"/>
  <c r="AJ172" i="50"/>
  <c r="C172" i="50"/>
  <c r="AJ162" i="32"/>
  <c r="C162" i="32"/>
  <c r="AJ161" i="32"/>
  <c r="C161" i="32"/>
  <c r="AD233" i="57"/>
  <c r="S173" i="50"/>
  <c r="V172" i="50"/>
  <c r="S163" i="32"/>
  <c r="V163" i="32" s="1"/>
  <c r="I234" i="53"/>
  <c r="H234" i="53"/>
  <c r="P234" i="53"/>
  <c r="E234" i="53"/>
  <c r="M234" i="53"/>
  <c r="F234" i="53"/>
  <c r="AK233" i="52" a="1"/>
  <c r="AK233" i="52" s="1"/>
  <c r="B235" i="53" s="1"/>
  <c r="O235" i="53" s="1"/>
  <c r="K234" i="53"/>
  <c r="D234" i="53"/>
  <c r="L234" i="53"/>
  <c r="G234" i="53"/>
  <c r="C234" i="53"/>
  <c r="A164" i="32"/>
  <c r="B164" i="32"/>
  <c r="R164" i="32" s="1"/>
  <c r="M174" i="50"/>
  <c r="A174" i="50"/>
  <c r="Q174" i="50" s="1"/>
  <c r="P174" i="50" s="1"/>
  <c r="K174" i="50"/>
  <c r="G174" i="50"/>
  <c r="N174" i="50"/>
  <c r="I174" i="50"/>
  <c r="L174" i="50"/>
  <c r="H174" i="50"/>
  <c r="B174" i="50"/>
  <c r="R174" i="50" s="1"/>
  <c r="J174" i="50"/>
  <c r="F174" i="50"/>
  <c r="H164" i="32"/>
  <c r="K164" i="32"/>
  <c r="L164" i="32"/>
  <c r="G164" i="32"/>
  <c r="O164" i="32"/>
  <c r="I164" i="32"/>
  <c r="N164" i="32"/>
  <c r="F164" i="32"/>
  <c r="AM164" i="32" s="1"/>
  <c r="J164" i="32"/>
  <c r="M164" i="32"/>
  <c r="Z161" i="32"/>
  <c r="W161" i="32"/>
  <c r="X161" i="32" s="1"/>
  <c r="E234" i="57"/>
  <c r="P234" i="57"/>
  <c r="J234" i="57"/>
  <c r="H234" i="57"/>
  <c r="G234" i="57"/>
  <c r="C234" i="57"/>
  <c r="M234" i="57" s="1"/>
  <c r="F234" i="57"/>
  <c r="D234" i="57"/>
  <c r="K234" i="57"/>
  <c r="I234" i="57"/>
  <c r="Z172" i="50"/>
  <c r="W172" i="50"/>
  <c r="X172" i="50" s="1"/>
  <c r="Q233" i="57"/>
  <c r="T233" i="57" s="1"/>
  <c r="AK233" i="55" a="1"/>
  <c r="AK233" i="55" s="1"/>
  <c r="B235" i="57" s="1"/>
  <c r="O235" i="57" s="1"/>
  <c r="W162" i="32"/>
  <c r="X162" i="32" s="1"/>
  <c r="Z162" i="32"/>
  <c r="U217" i="69"/>
  <c r="Q217" i="69"/>
  <c r="R217" i="69"/>
  <c r="S217" i="69" s="1"/>
  <c r="Y217" i="69" s="1"/>
  <c r="AE217" i="69"/>
  <c r="D218" i="69"/>
  <c r="E218" i="69" s="1"/>
  <c r="F218" i="69" s="1"/>
  <c r="G218" i="69" s="1"/>
  <c r="H218" i="69" s="1"/>
  <c r="I218" i="69" s="1"/>
  <c r="J218" i="69" s="1"/>
  <c r="K218" i="69" s="1"/>
  <c r="M218" i="69" s="1"/>
  <c r="N218" i="69"/>
  <c r="AF218" i="69" s="1"/>
  <c r="AN219" i="67" a="1"/>
  <c r="AN219" i="67" s="1"/>
  <c r="B220" i="69"/>
  <c r="C219" i="69"/>
  <c r="AL164" i="11" a="1"/>
  <c r="AL164" i="11" s="1"/>
  <c r="E165" i="32" s="1"/>
  <c r="AL174" i="59" a="1"/>
  <c r="AL174" i="59" s="1"/>
  <c r="E175" i="50" s="1"/>
  <c r="AM64" i="59" a="1"/>
  <c r="AM64" i="59" s="1"/>
  <c r="AM49" i="11" a="1"/>
  <c r="AM49" i="11" s="1"/>
  <c r="AF232" i="57" l="1"/>
  <c r="AA232" i="57"/>
  <c r="AB217" i="69"/>
  <c r="AC217" i="69" s="1"/>
  <c r="AD217" i="69" s="1"/>
  <c r="AG217" i="69"/>
  <c r="AO219" i="69"/>
  <c r="P219" i="69"/>
  <c r="L220" i="69"/>
  <c r="O220" i="69"/>
  <c r="AK175" i="50"/>
  <c r="T175" i="50"/>
  <c r="AB232" i="57"/>
  <c r="AB233" i="53"/>
  <c r="AA233" i="53"/>
  <c r="AE234" i="53"/>
  <c r="AC234" i="53"/>
  <c r="AF233" i="53"/>
  <c r="AK165" i="32"/>
  <c r="T165" i="32"/>
  <c r="AD163" i="32"/>
  <c r="X233" i="57"/>
  <c r="AE234" i="57"/>
  <c r="AC234" i="57"/>
  <c r="AD173" i="50"/>
  <c r="AG173" i="50" s="1"/>
  <c r="AH173" i="50" s="1"/>
  <c r="AI173" i="50" s="1"/>
  <c r="AM174" i="50"/>
  <c r="U174" i="50"/>
  <c r="U164" i="32"/>
  <c r="AG161" i="32"/>
  <c r="AH161" i="32" s="1"/>
  <c r="AL161" i="32"/>
  <c r="AG162" i="32"/>
  <c r="AH162" i="32" s="1"/>
  <c r="AL162" i="32"/>
  <c r="AP171" i="50"/>
  <c r="R234" i="57"/>
  <c r="R234" i="53"/>
  <c r="X234" i="53" s="1"/>
  <c r="AL172" i="50"/>
  <c r="Q164" i="32"/>
  <c r="P164" i="32" s="1"/>
  <c r="AX218" i="69"/>
  <c r="L235" i="57"/>
  <c r="AG235" i="57"/>
  <c r="O175" i="50"/>
  <c r="AJ234" i="57"/>
  <c r="AP234" i="57"/>
  <c r="AH234" i="53"/>
  <c r="AT234" i="53"/>
  <c r="AG234" i="53"/>
  <c r="N235" i="57"/>
  <c r="M235" i="53"/>
  <c r="N235" i="53"/>
  <c r="AH218" i="69"/>
  <c r="AJ173" i="50"/>
  <c r="C173" i="50"/>
  <c r="AJ163" i="32"/>
  <c r="C163" i="32"/>
  <c r="AD234" i="57"/>
  <c r="AD234" i="53"/>
  <c r="Q234" i="53"/>
  <c r="S174" i="50"/>
  <c r="V173" i="50"/>
  <c r="S164" i="32"/>
  <c r="V164" i="32" s="1"/>
  <c r="L235" i="53"/>
  <c r="C235" i="53"/>
  <c r="D235" i="53"/>
  <c r="I235" i="53"/>
  <c r="AK234" i="52" a="1"/>
  <c r="AK234" i="52" s="1"/>
  <c r="B236" i="53" s="1"/>
  <c r="O236" i="53" s="1"/>
  <c r="H235" i="53"/>
  <c r="G235" i="53"/>
  <c r="K235" i="53"/>
  <c r="F235" i="53"/>
  <c r="P235" i="53"/>
  <c r="J235" i="53"/>
  <c r="E235" i="53"/>
  <c r="A165" i="32"/>
  <c r="B165" i="32"/>
  <c r="R165" i="32" s="1"/>
  <c r="F175" i="50"/>
  <c r="L175" i="50"/>
  <c r="A175" i="50"/>
  <c r="Q175" i="50" s="1"/>
  <c r="P175" i="50" s="1"/>
  <c r="K175" i="50"/>
  <c r="H175" i="50"/>
  <c r="M175" i="50"/>
  <c r="I175" i="50"/>
  <c r="J175" i="50"/>
  <c r="B175" i="50"/>
  <c r="R175" i="50" s="1"/>
  <c r="G175" i="50"/>
  <c r="N175" i="50"/>
  <c r="F165" i="32"/>
  <c r="AM165" i="32" s="1"/>
  <c r="K165" i="32"/>
  <c r="N165" i="32"/>
  <c r="G165" i="32"/>
  <c r="O165" i="32"/>
  <c r="J165" i="32"/>
  <c r="H165" i="32"/>
  <c r="I165" i="32"/>
  <c r="L165" i="32"/>
  <c r="M165" i="32"/>
  <c r="W173" i="50"/>
  <c r="X173" i="50" s="1"/>
  <c r="Z173" i="50"/>
  <c r="Q234" i="57"/>
  <c r="T234" i="57" s="1"/>
  <c r="J235" i="57"/>
  <c r="D235" i="57"/>
  <c r="K235" i="57"/>
  <c r="F235" i="57"/>
  <c r="I235" i="57"/>
  <c r="E235" i="57"/>
  <c r="C235" i="57"/>
  <c r="M235" i="57" s="1"/>
  <c r="G235" i="57"/>
  <c r="P235" i="57"/>
  <c r="H235" i="57"/>
  <c r="AK234" i="55" a="1"/>
  <c r="AK234" i="55" s="1"/>
  <c r="B236" i="57" s="1"/>
  <c r="O236" i="57" s="1"/>
  <c r="W163" i="32"/>
  <c r="X163" i="32" s="1"/>
  <c r="Z163" i="32"/>
  <c r="AN220" i="67" a="1"/>
  <c r="AN220" i="67" s="1"/>
  <c r="B221" i="69"/>
  <c r="Q218" i="69"/>
  <c r="U218" i="69"/>
  <c r="AE218" i="69"/>
  <c r="R218" i="69"/>
  <c r="S218" i="69" s="1"/>
  <c r="Y218" i="69" s="1"/>
  <c r="C220" i="69"/>
  <c r="N219" i="69"/>
  <c r="AF219" i="69" s="1"/>
  <c r="D219" i="69"/>
  <c r="E219" i="69" s="1"/>
  <c r="F219" i="69" s="1"/>
  <c r="G219" i="69" s="1"/>
  <c r="H219" i="69" s="1"/>
  <c r="I219" i="69" s="1"/>
  <c r="J219" i="69" s="1"/>
  <c r="K219" i="69" s="1"/>
  <c r="M219" i="69" s="1"/>
  <c r="AL165" i="11" a="1"/>
  <c r="AL165" i="11" s="1"/>
  <c r="E166" i="32" s="1"/>
  <c r="AL175" i="59" a="1"/>
  <c r="AL175" i="59" s="1"/>
  <c r="E176" i="50" s="1"/>
  <c r="AM65" i="59" a="1"/>
  <c r="AM65" i="59" s="1"/>
  <c r="AM50" i="11" a="1"/>
  <c r="AM50" i="11" s="1"/>
  <c r="AB233" i="57" l="1"/>
  <c r="AA233" i="57"/>
  <c r="AB218" i="69"/>
  <c r="AC218" i="69" s="1"/>
  <c r="AD218" i="69" s="1"/>
  <c r="AG218" i="69"/>
  <c r="AO220" i="69"/>
  <c r="P220" i="69"/>
  <c r="L221" i="69"/>
  <c r="O221" i="69"/>
  <c r="AK176" i="50"/>
  <c r="T176" i="50"/>
  <c r="AB234" i="53"/>
  <c r="AA234" i="53"/>
  <c r="AE235" i="53"/>
  <c r="AC235" i="53"/>
  <c r="AF234" i="53"/>
  <c r="AK166" i="32"/>
  <c r="T166" i="32"/>
  <c r="AD164" i="32"/>
  <c r="AF233" i="57"/>
  <c r="X234" i="57"/>
  <c r="AA234" i="57" s="1"/>
  <c r="AE235" i="57"/>
  <c r="AC235" i="57"/>
  <c r="AM175" i="50"/>
  <c r="U175" i="50"/>
  <c r="AD174" i="50"/>
  <c r="AG174" i="50" s="1"/>
  <c r="AH174" i="50" s="1"/>
  <c r="AI174" i="50" s="1"/>
  <c r="U165" i="32"/>
  <c r="AG163" i="32"/>
  <c r="AH163" i="32" s="1"/>
  <c r="AL163" i="32"/>
  <c r="AI161" i="32"/>
  <c r="AN161" i="32" s="1"/>
  <c r="AI162" i="32"/>
  <c r="AN162" i="32" s="1"/>
  <c r="AP172" i="50"/>
  <c r="R235" i="57"/>
  <c r="R235" i="53"/>
  <c r="X235" i="53" s="1"/>
  <c r="AL173" i="50"/>
  <c r="Q165" i="32"/>
  <c r="P165" i="32" s="1"/>
  <c r="AX219" i="69"/>
  <c r="AG236" i="57"/>
  <c r="L236" i="57"/>
  <c r="O176" i="50"/>
  <c r="AJ235" i="57"/>
  <c r="AP235" i="57"/>
  <c r="AG235" i="53"/>
  <c r="AH235" i="53"/>
  <c r="AT235" i="53"/>
  <c r="Q235" i="53"/>
  <c r="AD235" i="53"/>
  <c r="N236" i="57"/>
  <c r="I236" i="53"/>
  <c r="N236" i="53"/>
  <c r="AH219" i="69"/>
  <c r="AJ174" i="50"/>
  <c r="C174" i="50"/>
  <c r="AJ164" i="32"/>
  <c r="C164" i="32"/>
  <c r="AD235" i="57"/>
  <c r="S175" i="50"/>
  <c r="V174" i="50"/>
  <c r="S165" i="32"/>
  <c r="V165" i="32" s="1"/>
  <c r="C236" i="53"/>
  <c r="H236" i="53"/>
  <c r="E236" i="53"/>
  <c r="D236" i="53"/>
  <c r="K236" i="53"/>
  <c r="P236" i="53"/>
  <c r="AK235" i="52" a="1"/>
  <c r="AK235" i="52" s="1"/>
  <c r="B237" i="53" s="1"/>
  <c r="O237" i="53" s="1"/>
  <c r="F236" i="53"/>
  <c r="G236" i="53"/>
  <c r="M236" i="53"/>
  <c r="J236" i="53"/>
  <c r="L236" i="53"/>
  <c r="A166" i="32"/>
  <c r="B166" i="32"/>
  <c r="R166" i="32" s="1"/>
  <c r="G176" i="50"/>
  <c r="A176" i="50"/>
  <c r="Q176" i="50" s="1"/>
  <c r="P176" i="50" s="1"/>
  <c r="I176" i="50"/>
  <c r="H176" i="50"/>
  <c r="N176" i="50"/>
  <c r="F176" i="50"/>
  <c r="J176" i="50"/>
  <c r="K176" i="50"/>
  <c r="M176" i="50"/>
  <c r="B176" i="50"/>
  <c r="R176" i="50" s="1"/>
  <c r="L176" i="50"/>
  <c r="I166" i="32"/>
  <c r="L166" i="32"/>
  <c r="M166" i="32"/>
  <c r="H166" i="32"/>
  <c r="J166" i="32"/>
  <c r="K166" i="32"/>
  <c r="N166" i="32"/>
  <c r="O166" i="32"/>
  <c r="F166" i="32"/>
  <c r="AM166" i="32" s="1"/>
  <c r="G166" i="32"/>
  <c r="Q235" i="57"/>
  <c r="T235" i="57" s="1"/>
  <c r="J236" i="57"/>
  <c r="I236" i="57"/>
  <c r="F236" i="57"/>
  <c r="E236" i="57"/>
  <c r="D236" i="57"/>
  <c r="P236" i="57"/>
  <c r="H236" i="57"/>
  <c r="G236" i="57"/>
  <c r="C236" i="57"/>
  <c r="M236" i="57" s="1"/>
  <c r="K236" i="57"/>
  <c r="Z174" i="50"/>
  <c r="W174" i="50"/>
  <c r="X174" i="50" s="1"/>
  <c r="AK235" i="55" a="1"/>
  <c r="AK235" i="55" s="1"/>
  <c r="B237" i="57" s="1"/>
  <c r="O237" i="57" s="1"/>
  <c r="W164" i="32"/>
  <c r="X164" i="32" s="1"/>
  <c r="Z164" i="32"/>
  <c r="AN221" i="67" a="1"/>
  <c r="AN221" i="67" s="1"/>
  <c r="B222" i="69"/>
  <c r="C221" i="69"/>
  <c r="R219" i="69"/>
  <c r="S219" i="69" s="1"/>
  <c r="Y219" i="69" s="1"/>
  <c r="Q219" i="69"/>
  <c r="AE219" i="69"/>
  <c r="U219" i="69"/>
  <c r="D220" i="69"/>
  <c r="E220" i="69" s="1"/>
  <c r="F220" i="69" s="1"/>
  <c r="G220" i="69" s="1"/>
  <c r="H220" i="69" s="1"/>
  <c r="I220" i="69" s="1"/>
  <c r="J220" i="69" s="1"/>
  <c r="K220" i="69" s="1"/>
  <c r="M220" i="69" s="1"/>
  <c r="N220" i="69"/>
  <c r="AF220" i="69" s="1"/>
  <c r="AL166" i="11" a="1"/>
  <c r="AL166" i="11" s="1"/>
  <c r="E167" i="32" s="1"/>
  <c r="AL176" i="59" a="1"/>
  <c r="AL176" i="59" s="1"/>
  <c r="E177" i="50" s="1"/>
  <c r="AM66" i="59" a="1"/>
  <c r="AM66" i="59" s="1"/>
  <c r="AM51" i="11" a="1"/>
  <c r="AM51" i="11" s="1"/>
  <c r="AB219" i="69" l="1"/>
  <c r="AC219" i="69" s="1"/>
  <c r="AD219" i="69" s="1"/>
  <c r="AG219" i="69"/>
  <c r="AO221" i="69"/>
  <c r="P221" i="69"/>
  <c r="L222" i="69"/>
  <c r="O222" i="69"/>
  <c r="T177" i="50"/>
  <c r="AK177" i="50"/>
  <c r="AB235" i="53"/>
  <c r="AA235" i="53"/>
  <c r="AE236" i="53"/>
  <c r="AC236" i="53"/>
  <c r="AF235" i="53"/>
  <c r="AK167" i="32"/>
  <c r="T167" i="32"/>
  <c r="AD165" i="32"/>
  <c r="X235" i="57"/>
  <c r="AB234" i="57"/>
  <c r="AF234" i="57"/>
  <c r="AE236" i="57"/>
  <c r="AC236" i="57"/>
  <c r="AD175" i="50"/>
  <c r="AG175" i="50" s="1"/>
  <c r="AH175" i="50" s="1"/>
  <c r="AI175" i="50" s="1"/>
  <c r="AM176" i="50"/>
  <c r="U176" i="50"/>
  <c r="U166" i="32"/>
  <c r="AG164" i="32"/>
  <c r="AH164" i="32" s="1"/>
  <c r="AL164" i="32"/>
  <c r="AI163" i="32"/>
  <c r="AN163" i="32" s="1"/>
  <c r="AP173" i="50"/>
  <c r="R236" i="57"/>
  <c r="R236" i="53"/>
  <c r="X236" i="53" s="1"/>
  <c r="AL174" i="50"/>
  <c r="Q166" i="32"/>
  <c r="P166" i="32" s="1"/>
  <c r="AX220" i="69"/>
  <c r="AG237" i="57"/>
  <c r="L237" i="57"/>
  <c r="O177" i="50"/>
  <c r="AJ236" i="57"/>
  <c r="AP236" i="57"/>
  <c r="AH236" i="53"/>
  <c r="AT236" i="53"/>
  <c r="AG236" i="53"/>
  <c r="N237" i="57"/>
  <c r="M237" i="53"/>
  <c r="N237" i="53"/>
  <c r="AH220" i="69"/>
  <c r="AJ175" i="50"/>
  <c r="C175" i="50"/>
  <c r="AJ165" i="32"/>
  <c r="C165" i="32"/>
  <c r="AD236" i="57"/>
  <c r="Q236" i="53"/>
  <c r="AD236" i="53"/>
  <c r="S176" i="50"/>
  <c r="V175" i="50"/>
  <c r="S166" i="32"/>
  <c r="V166" i="32" s="1"/>
  <c r="J237" i="53"/>
  <c r="C237" i="53"/>
  <c r="K237" i="53"/>
  <c r="I237" i="53"/>
  <c r="F237" i="53"/>
  <c r="H237" i="53"/>
  <c r="AK236" i="52" a="1"/>
  <c r="AK236" i="52" s="1"/>
  <c r="B238" i="53" s="1"/>
  <c r="O238" i="53" s="1"/>
  <c r="P237" i="53"/>
  <c r="D237" i="53"/>
  <c r="E237" i="53"/>
  <c r="L237" i="53"/>
  <c r="G237" i="53"/>
  <c r="A167" i="32"/>
  <c r="B167" i="32"/>
  <c r="R167" i="32" s="1"/>
  <c r="J177" i="50"/>
  <c r="L177" i="50"/>
  <c r="B177" i="50"/>
  <c r="R177" i="50" s="1"/>
  <c r="M177" i="50"/>
  <c r="N177" i="50"/>
  <c r="F177" i="50"/>
  <c r="A177" i="50"/>
  <c r="Q177" i="50" s="1"/>
  <c r="P177" i="50" s="1"/>
  <c r="I177" i="50"/>
  <c r="K177" i="50"/>
  <c r="H177" i="50"/>
  <c r="G177" i="50"/>
  <c r="G167" i="32"/>
  <c r="O167" i="32"/>
  <c r="J167" i="32"/>
  <c r="K167" i="32"/>
  <c r="F167" i="32"/>
  <c r="AM167" i="32" s="1"/>
  <c r="N167" i="32"/>
  <c r="H167" i="32"/>
  <c r="I167" i="32"/>
  <c r="L167" i="32"/>
  <c r="M167" i="32"/>
  <c r="W175" i="50"/>
  <c r="X175" i="50" s="1"/>
  <c r="Z175" i="50"/>
  <c r="P237" i="57"/>
  <c r="K237" i="57"/>
  <c r="H237" i="57"/>
  <c r="C237" i="57"/>
  <c r="M237" i="57" s="1"/>
  <c r="F237" i="57"/>
  <c r="I237" i="57"/>
  <c r="E237" i="57"/>
  <c r="D237" i="57"/>
  <c r="G237" i="57"/>
  <c r="J237" i="57"/>
  <c r="Q236" i="57"/>
  <c r="T236" i="57" s="1"/>
  <c r="AK236" i="55" a="1"/>
  <c r="AK236" i="55" s="1"/>
  <c r="B238" i="57" s="1"/>
  <c r="O238" i="57" s="1"/>
  <c r="W165" i="32"/>
  <c r="X165" i="32" s="1"/>
  <c r="Z165" i="32"/>
  <c r="AN222" i="67" a="1"/>
  <c r="AN222" i="67" s="1"/>
  <c r="B223" i="69"/>
  <c r="N221" i="69"/>
  <c r="AF221" i="69" s="1"/>
  <c r="D221" i="69"/>
  <c r="E221" i="69" s="1"/>
  <c r="F221" i="69" s="1"/>
  <c r="G221" i="69" s="1"/>
  <c r="H221" i="69" s="1"/>
  <c r="I221" i="69" s="1"/>
  <c r="J221" i="69" s="1"/>
  <c r="K221" i="69" s="1"/>
  <c r="M221" i="69" s="1"/>
  <c r="R220" i="69"/>
  <c r="S220" i="69" s="1"/>
  <c r="Y220" i="69" s="1"/>
  <c r="AE220" i="69"/>
  <c r="U220" i="69"/>
  <c r="Q220" i="69"/>
  <c r="C222" i="69"/>
  <c r="AL167" i="11" a="1"/>
  <c r="AL167" i="11" s="1"/>
  <c r="E168" i="32" s="1"/>
  <c r="AL177" i="59" a="1"/>
  <c r="AL177" i="59" s="1"/>
  <c r="E178" i="50" s="1"/>
  <c r="AM67" i="59" a="1"/>
  <c r="AM67" i="59" s="1"/>
  <c r="AM52" i="11" a="1"/>
  <c r="AM52" i="11" s="1"/>
  <c r="AB235" i="57" l="1"/>
  <c r="AA235" i="57"/>
  <c r="AB220" i="69"/>
  <c r="AC220" i="69" s="1"/>
  <c r="AD220" i="69" s="1"/>
  <c r="AG220" i="69"/>
  <c r="L223" i="69"/>
  <c r="O223" i="69"/>
  <c r="AO222" i="69"/>
  <c r="P222" i="69"/>
  <c r="T178" i="50"/>
  <c r="AK178" i="50"/>
  <c r="AE237" i="53"/>
  <c r="AC237" i="53"/>
  <c r="AB236" i="53"/>
  <c r="AA236" i="53"/>
  <c r="AF236" i="53"/>
  <c r="AK168" i="32"/>
  <c r="T168" i="32"/>
  <c r="AD166" i="32"/>
  <c r="AF235" i="57"/>
  <c r="X236" i="57"/>
  <c r="AA236" i="57" s="1"/>
  <c r="AE237" i="57"/>
  <c r="AC237" i="57"/>
  <c r="AM177" i="50"/>
  <c r="U177" i="50"/>
  <c r="AD176" i="50"/>
  <c r="AG176" i="50" s="1"/>
  <c r="AH176" i="50" s="1"/>
  <c r="AI176" i="50" s="1"/>
  <c r="U167" i="32"/>
  <c r="AG165" i="32"/>
  <c r="AH165" i="32" s="1"/>
  <c r="AL165" i="32"/>
  <c r="AI164" i="32"/>
  <c r="AN164" i="32" s="1"/>
  <c r="AP174" i="50"/>
  <c r="R237" i="57"/>
  <c r="R237" i="53"/>
  <c r="X237" i="53" s="1"/>
  <c r="AL175" i="50"/>
  <c r="Q167" i="32"/>
  <c r="P167" i="32" s="1"/>
  <c r="AX221" i="69"/>
  <c r="AG238" i="57"/>
  <c r="L238" i="57"/>
  <c r="O178" i="50"/>
  <c r="AJ237" i="57"/>
  <c r="AP237" i="57"/>
  <c r="AH237" i="53"/>
  <c r="AT237" i="53"/>
  <c r="AG237" i="53"/>
  <c r="N238" i="57"/>
  <c r="Q237" i="53"/>
  <c r="AD237" i="53"/>
  <c r="F238" i="53"/>
  <c r="N238" i="53"/>
  <c r="AH221" i="69"/>
  <c r="AJ176" i="50"/>
  <c r="C176" i="50"/>
  <c r="AJ166" i="32"/>
  <c r="C166" i="32"/>
  <c r="AD237" i="57"/>
  <c r="S177" i="50"/>
  <c r="V176" i="50"/>
  <c r="S167" i="32"/>
  <c r="V167" i="32" s="1"/>
  <c r="L238" i="53"/>
  <c r="P238" i="53"/>
  <c r="I238" i="53"/>
  <c r="G238" i="53"/>
  <c r="K238" i="53"/>
  <c r="M238" i="53"/>
  <c r="J238" i="53"/>
  <c r="AK237" i="52" a="1"/>
  <c r="AK237" i="52" s="1"/>
  <c r="B239" i="53" s="1"/>
  <c r="O239" i="53" s="1"/>
  <c r="H238" i="53"/>
  <c r="D238" i="53"/>
  <c r="C238" i="53"/>
  <c r="E238" i="53"/>
  <c r="A168" i="32"/>
  <c r="B168" i="32"/>
  <c r="R168" i="32" s="1"/>
  <c r="A178" i="50"/>
  <c r="Q178" i="50" s="1"/>
  <c r="P178" i="50" s="1"/>
  <c r="G178" i="50"/>
  <c r="H178" i="50"/>
  <c r="K178" i="50"/>
  <c r="M178" i="50"/>
  <c r="I178" i="50"/>
  <c r="L178" i="50"/>
  <c r="B178" i="50"/>
  <c r="R178" i="50" s="1"/>
  <c r="F178" i="50"/>
  <c r="N178" i="50"/>
  <c r="J178" i="50"/>
  <c r="M168" i="32"/>
  <c r="H168" i="32"/>
  <c r="I168" i="32"/>
  <c r="L168" i="32"/>
  <c r="F168" i="32"/>
  <c r="AM168" i="32" s="1"/>
  <c r="G168" i="32"/>
  <c r="J168" i="32"/>
  <c r="K168" i="32"/>
  <c r="N168" i="32"/>
  <c r="O168" i="32"/>
  <c r="Q237" i="57"/>
  <c r="T237" i="57" s="1"/>
  <c r="Z176" i="50"/>
  <c r="W176" i="50"/>
  <c r="X176" i="50" s="1"/>
  <c r="P238" i="57"/>
  <c r="J238" i="57"/>
  <c r="E238" i="57"/>
  <c r="I238" i="57"/>
  <c r="D238" i="57"/>
  <c r="F238" i="57"/>
  <c r="K238" i="57"/>
  <c r="C238" i="57"/>
  <c r="M238" i="57" s="1"/>
  <c r="G238" i="57"/>
  <c r="H238" i="57"/>
  <c r="AK237" i="55" a="1"/>
  <c r="AK237" i="55" s="1"/>
  <c r="B239" i="57" s="1"/>
  <c r="O239" i="57" s="1"/>
  <c r="W166" i="32"/>
  <c r="X166" i="32" s="1"/>
  <c r="Z166" i="32"/>
  <c r="AN223" i="67" a="1"/>
  <c r="AN223" i="67" s="1"/>
  <c r="B224" i="69"/>
  <c r="C223" i="69"/>
  <c r="AE221" i="69"/>
  <c r="Q221" i="69"/>
  <c r="R221" i="69"/>
  <c r="S221" i="69" s="1"/>
  <c r="Y221" i="69" s="1"/>
  <c r="U221" i="69"/>
  <c r="D222" i="69"/>
  <c r="E222" i="69" s="1"/>
  <c r="F222" i="69" s="1"/>
  <c r="G222" i="69" s="1"/>
  <c r="H222" i="69" s="1"/>
  <c r="I222" i="69" s="1"/>
  <c r="J222" i="69" s="1"/>
  <c r="K222" i="69" s="1"/>
  <c r="M222" i="69" s="1"/>
  <c r="N222" i="69"/>
  <c r="AF222" i="69" s="1"/>
  <c r="AL168" i="11" a="1"/>
  <c r="AL168" i="11" s="1"/>
  <c r="E169" i="32" s="1"/>
  <c r="AL178" i="59" a="1"/>
  <c r="AL178" i="59" s="1"/>
  <c r="E179" i="50" s="1"/>
  <c r="AM68" i="59" a="1"/>
  <c r="AM68" i="59" s="1"/>
  <c r="AM53" i="11" a="1"/>
  <c r="AM53" i="11" s="1"/>
  <c r="X237" i="57" l="1"/>
  <c r="AB221" i="69"/>
  <c r="AC221" i="69" s="1"/>
  <c r="AD221" i="69" s="1"/>
  <c r="AG221" i="69"/>
  <c r="AO223" i="69"/>
  <c r="P223" i="69"/>
  <c r="L224" i="69"/>
  <c r="O224" i="69"/>
  <c r="T179" i="50"/>
  <c r="AK179" i="50"/>
  <c r="AE238" i="53"/>
  <c r="AC238" i="53"/>
  <c r="AB237" i="53"/>
  <c r="AA237" i="53"/>
  <c r="AF237" i="53"/>
  <c r="AK169" i="32"/>
  <c r="T169" i="32"/>
  <c r="AD167" i="32"/>
  <c r="AF236" i="57"/>
  <c r="AB236" i="57"/>
  <c r="AE238" i="57"/>
  <c r="AC238" i="57"/>
  <c r="AM178" i="50"/>
  <c r="U178" i="50"/>
  <c r="AD177" i="50"/>
  <c r="AG177" i="50" s="1"/>
  <c r="AH177" i="50" s="1"/>
  <c r="AI177" i="50" s="1"/>
  <c r="U168" i="32"/>
  <c r="AG166" i="32"/>
  <c r="AH166" i="32" s="1"/>
  <c r="AL166" i="32"/>
  <c r="AI165" i="32"/>
  <c r="AN165" i="32" s="1"/>
  <c r="AP175" i="50"/>
  <c r="R238" i="57"/>
  <c r="R238" i="53"/>
  <c r="X238" i="53" s="1"/>
  <c r="AL176" i="50"/>
  <c r="Q168" i="32"/>
  <c r="P168" i="32" s="1"/>
  <c r="AX222" i="69"/>
  <c r="AG239" i="57"/>
  <c r="L239" i="57"/>
  <c r="O179" i="50"/>
  <c r="AJ238" i="57"/>
  <c r="AP238" i="57"/>
  <c r="AH238" i="53"/>
  <c r="AT238" i="53"/>
  <c r="AG238" i="53"/>
  <c r="N239" i="57"/>
  <c r="F239" i="53"/>
  <c r="N239" i="53"/>
  <c r="AH222" i="69"/>
  <c r="AJ177" i="50"/>
  <c r="C177" i="50"/>
  <c r="AJ167" i="32"/>
  <c r="C167" i="32"/>
  <c r="AD238" i="57"/>
  <c r="Q238" i="53"/>
  <c r="AD238" i="53"/>
  <c r="S178" i="50"/>
  <c r="V177" i="50"/>
  <c r="S168" i="32"/>
  <c r="V168" i="32" s="1"/>
  <c r="J239" i="53"/>
  <c r="M239" i="53"/>
  <c r="P239" i="53"/>
  <c r="AK238" i="52" a="1"/>
  <c r="AK238" i="52" s="1"/>
  <c r="B240" i="53" s="1"/>
  <c r="O240" i="53" s="1"/>
  <c r="H239" i="53"/>
  <c r="C239" i="53"/>
  <c r="D239" i="53"/>
  <c r="E239" i="53"/>
  <c r="I239" i="53"/>
  <c r="K239" i="53"/>
  <c r="L239" i="53"/>
  <c r="G239" i="53"/>
  <c r="A169" i="32"/>
  <c r="B169" i="32"/>
  <c r="R169" i="32" s="1"/>
  <c r="F179" i="50"/>
  <c r="I179" i="50"/>
  <c r="N179" i="50"/>
  <c r="A179" i="50"/>
  <c r="Q179" i="50" s="1"/>
  <c r="P179" i="50" s="1"/>
  <c r="M179" i="50"/>
  <c r="H179" i="50"/>
  <c r="K179" i="50"/>
  <c r="J179" i="50"/>
  <c r="L179" i="50"/>
  <c r="B179" i="50"/>
  <c r="R179" i="50" s="1"/>
  <c r="G179" i="50"/>
  <c r="K169" i="32"/>
  <c r="F169" i="32"/>
  <c r="AM169" i="32" s="1"/>
  <c r="N169" i="32"/>
  <c r="G169" i="32"/>
  <c r="O169" i="32"/>
  <c r="J169" i="32"/>
  <c r="L169" i="32"/>
  <c r="M169" i="32"/>
  <c r="I169" i="32"/>
  <c r="H169" i="32"/>
  <c r="Q238" i="57"/>
  <c r="T238" i="57" s="1"/>
  <c r="H239" i="57"/>
  <c r="F239" i="57"/>
  <c r="D239" i="57"/>
  <c r="P239" i="57"/>
  <c r="G239" i="57"/>
  <c r="C239" i="57"/>
  <c r="M239" i="57" s="1"/>
  <c r="J239" i="57"/>
  <c r="I239" i="57"/>
  <c r="E239" i="57"/>
  <c r="K239" i="57"/>
  <c r="W177" i="50"/>
  <c r="X177" i="50" s="1"/>
  <c r="Z177" i="50"/>
  <c r="AK238" i="55" a="1"/>
  <c r="AK238" i="55" s="1"/>
  <c r="B240" i="57" s="1"/>
  <c r="O240" i="57" s="1"/>
  <c r="W167" i="32"/>
  <c r="X167" i="32" s="1"/>
  <c r="Z167" i="32"/>
  <c r="AN224" i="67" a="1"/>
  <c r="AN224" i="67" s="1"/>
  <c r="B225" i="69"/>
  <c r="N223" i="69"/>
  <c r="AF223" i="69" s="1"/>
  <c r="D223" i="69"/>
  <c r="E223" i="69" s="1"/>
  <c r="F223" i="69" s="1"/>
  <c r="G223" i="69" s="1"/>
  <c r="H223" i="69" s="1"/>
  <c r="I223" i="69" s="1"/>
  <c r="J223" i="69" s="1"/>
  <c r="K223" i="69" s="1"/>
  <c r="M223" i="69" s="1"/>
  <c r="R222" i="69"/>
  <c r="S222" i="69" s="1"/>
  <c r="Y222" i="69" s="1"/>
  <c r="Q222" i="69"/>
  <c r="AE222" i="69"/>
  <c r="U222" i="69"/>
  <c r="C224" i="69"/>
  <c r="AL169" i="11" a="1"/>
  <c r="AL169" i="11" s="1"/>
  <c r="E170" i="32" s="1"/>
  <c r="AL179" i="59" a="1"/>
  <c r="AL179" i="59" s="1"/>
  <c r="E180" i="50" s="1"/>
  <c r="AM69" i="59" a="1"/>
  <c r="AM69" i="59" s="1"/>
  <c r="AM54" i="11" a="1"/>
  <c r="AM54" i="11" s="1"/>
  <c r="AB237" i="57" l="1"/>
  <c r="AA237" i="57"/>
  <c r="X238" i="57"/>
  <c r="AA238" i="57" s="1"/>
  <c r="AF237" i="57"/>
  <c r="AB222" i="69"/>
  <c r="AC222" i="69" s="1"/>
  <c r="AD222" i="69" s="1"/>
  <c r="AG222" i="69"/>
  <c r="AO224" i="69"/>
  <c r="P224" i="69"/>
  <c r="L225" i="69"/>
  <c r="O225" i="69"/>
  <c r="T180" i="50"/>
  <c r="AK180" i="50"/>
  <c r="AB238" i="53"/>
  <c r="AA238" i="53"/>
  <c r="AE239" i="53"/>
  <c r="AC239" i="53"/>
  <c r="AF238" i="53"/>
  <c r="AK170" i="32"/>
  <c r="T170" i="32"/>
  <c r="AD168" i="32"/>
  <c r="AE239" i="57"/>
  <c r="AC239" i="57"/>
  <c r="AD178" i="50"/>
  <c r="AG178" i="50" s="1"/>
  <c r="AH178" i="50" s="1"/>
  <c r="AI178" i="50" s="1"/>
  <c r="AM179" i="50"/>
  <c r="U179" i="50"/>
  <c r="U169" i="32"/>
  <c r="AG167" i="32"/>
  <c r="AH167" i="32" s="1"/>
  <c r="AL167" i="32"/>
  <c r="AI166" i="32"/>
  <c r="AN166" i="32" s="1"/>
  <c r="AP176" i="50"/>
  <c r="R239" i="57"/>
  <c r="R239" i="53"/>
  <c r="X239" i="53" s="1"/>
  <c r="AL177" i="50"/>
  <c r="Q169" i="32"/>
  <c r="P169" i="32" s="1"/>
  <c r="AX223" i="69"/>
  <c r="AG240" i="57"/>
  <c r="L240" i="57"/>
  <c r="O180" i="50"/>
  <c r="AJ239" i="57"/>
  <c r="AP239" i="57"/>
  <c r="AG239" i="53"/>
  <c r="AH239" i="53"/>
  <c r="AT239" i="53"/>
  <c r="N240" i="57"/>
  <c r="H240" i="53"/>
  <c r="N240" i="53"/>
  <c r="AH223" i="69"/>
  <c r="AJ178" i="50"/>
  <c r="C178" i="50"/>
  <c r="AJ168" i="32"/>
  <c r="C168" i="32"/>
  <c r="AD239" i="57"/>
  <c r="Q239" i="53"/>
  <c r="AD239" i="53"/>
  <c r="S179" i="50"/>
  <c r="V178" i="50"/>
  <c r="S169" i="32"/>
  <c r="V169" i="32" s="1"/>
  <c r="E240" i="53"/>
  <c r="C240" i="53"/>
  <c r="G240" i="53"/>
  <c r="D240" i="53"/>
  <c r="F240" i="53"/>
  <c r="L240" i="53"/>
  <c r="J240" i="53"/>
  <c r="P240" i="53"/>
  <c r="I240" i="53"/>
  <c r="AK239" i="52" a="1"/>
  <c r="AK239" i="52" s="1"/>
  <c r="B241" i="53" s="1"/>
  <c r="O241" i="53" s="1"/>
  <c r="M240" i="53"/>
  <c r="K240" i="53"/>
  <c r="A170" i="32"/>
  <c r="B170" i="32"/>
  <c r="R170" i="32" s="1"/>
  <c r="G180" i="50"/>
  <c r="L180" i="50"/>
  <c r="M180" i="50"/>
  <c r="H180" i="50"/>
  <c r="N180" i="50"/>
  <c r="I180" i="50"/>
  <c r="J180" i="50"/>
  <c r="B180" i="50"/>
  <c r="R180" i="50" s="1"/>
  <c r="K180" i="50"/>
  <c r="A180" i="50"/>
  <c r="Q180" i="50" s="1"/>
  <c r="P180" i="50" s="1"/>
  <c r="F180" i="50"/>
  <c r="I170" i="32"/>
  <c r="L170" i="32"/>
  <c r="M170" i="32"/>
  <c r="H170" i="32"/>
  <c r="F170" i="32"/>
  <c r="AM170" i="32" s="1"/>
  <c r="G170" i="32"/>
  <c r="J170" i="32"/>
  <c r="K170" i="32"/>
  <c r="N170" i="32"/>
  <c r="O170" i="32"/>
  <c r="Q239" i="57"/>
  <c r="T239" i="57" s="1"/>
  <c r="J240" i="57"/>
  <c r="K240" i="57"/>
  <c r="D240" i="57"/>
  <c r="G240" i="57"/>
  <c r="C240" i="57"/>
  <c r="M240" i="57" s="1"/>
  <c r="F240" i="57"/>
  <c r="I240" i="57"/>
  <c r="P240" i="57"/>
  <c r="E240" i="57"/>
  <c r="H240" i="57"/>
  <c r="W178" i="50"/>
  <c r="X178" i="50" s="1"/>
  <c r="Z178" i="50"/>
  <c r="AK239" i="55" a="1"/>
  <c r="AK239" i="55" s="1"/>
  <c r="B241" i="57" s="1"/>
  <c r="O241" i="57" s="1"/>
  <c r="W168" i="32"/>
  <c r="X168" i="32" s="1"/>
  <c r="Z168" i="32"/>
  <c r="D224" i="69"/>
  <c r="E224" i="69" s="1"/>
  <c r="F224" i="69" s="1"/>
  <c r="G224" i="69" s="1"/>
  <c r="H224" i="69" s="1"/>
  <c r="I224" i="69" s="1"/>
  <c r="J224" i="69" s="1"/>
  <c r="K224" i="69" s="1"/>
  <c r="M224" i="69" s="1"/>
  <c r="N224" i="69"/>
  <c r="AF224" i="69" s="1"/>
  <c r="C225" i="69"/>
  <c r="AE223" i="69"/>
  <c r="Q223" i="69"/>
  <c r="R223" i="69"/>
  <c r="S223" i="69" s="1"/>
  <c r="Y223" i="69" s="1"/>
  <c r="U223" i="69"/>
  <c r="AN225" i="67" a="1"/>
  <c r="AN225" i="67" s="1"/>
  <c r="B226" i="69"/>
  <c r="AL170" i="11" a="1"/>
  <c r="AL170" i="11" s="1"/>
  <c r="E171" i="32" s="1"/>
  <c r="AL180" i="59" a="1"/>
  <c r="AL180" i="59" s="1"/>
  <c r="E181" i="50" s="1"/>
  <c r="AM70" i="59" a="1"/>
  <c r="AM70" i="59" s="1"/>
  <c r="AM55" i="11" a="1"/>
  <c r="AM55" i="11" s="1"/>
  <c r="AB238" i="57" l="1"/>
  <c r="AF238" i="57"/>
  <c r="AB223" i="69"/>
  <c r="AC223" i="69" s="1"/>
  <c r="AD223" i="69" s="1"/>
  <c r="AG223" i="69"/>
  <c r="L226" i="69"/>
  <c r="O226" i="69"/>
  <c r="AO225" i="69"/>
  <c r="P225" i="69"/>
  <c r="T181" i="50"/>
  <c r="AK181" i="50"/>
  <c r="AB239" i="53"/>
  <c r="AA239" i="53"/>
  <c r="AF239" i="53"/>
  <c r="AE240" i="53"/>
  <c r="AC240" i="53"/>
  <c r="AK171" i="32"/>
  <c r="T171" i="32"/>
  <c r="AD169" i="32"/>
  <c r="X239" i="57"/>
  <c r="AA239" i="57" s="1"/>
  <c r="AE240" i="57"/>
  <c r="AC240" i="57"/>
  <c r="AM180" i="50"/>
  <c r="U180" i="50"/>
  <c r="AD179" i="50"/>
  <c r="AG179" i="50" s="1"/>
  <c r="AH179" i="50" s="1"/>
  <c r="AI179" i="50" s="1"/>
  <c r="U170" i="32"/>
  <c r="AG168" i="32"/>
  <c r="AH168" i="32" s="1"/>
  <c r="AL168" i="32"/>
  <c r="AI167" i="32"/>
  <c r="AN167" i="32" s="1"/>
  <c r="AP177" i="50"/>
  <c r="R240" i="57"/>
  <c r="R240" i="53"/>
  <c r="X240" i="53" s="1"/>
  <c r="AL178" i="50"/>
  <c r="Q170" i="32"/>
  <c r="P170" i="32" s="1"/>
  <c r="AX224" i="69"/>
  <c r="AG241" i="57"/>
  <c r="L241" i="57"/>
  <c r="O181" i="50"/>
  <c r="AJ240" i="57"/>
  <c r="AP240" i="57"/>
  <c r="AG240" i="53"/>
  <c r="AH240" i="53"/>
  <c r="AT240" i="53"/>
  <c r="N241" i="57"/>
  <c r="L241" i="53"/>
  <c r="N241" i="53"/>
  <c r="AH224" i="69"/>
  <c r="AJ179" i="50"/>
  <c r="C179" i="50"/>
  <c r="AJ169" i="32"/>
  <c r="C169" i="32"/>
  <c r="AD240" i="57"/>
  <c r="AD240" i="53"/>
  <c r="S180" i="50"/>
  <c r="V179" i="50"/>
  <c r="S170" i="32"/>
  <c r="V170" i="32" s="1"/>
  <c r="Q240" i="53"/>
  <c r="E241" i="53"/>
  <c r="G241" i="53"/>
  <c r="M241" i="53"/>
  <c r="P241" i="53"/>
  <c r="D241" i="53"/>
  <c r="J241" i="53"/>
  <c r="K241" i="53"/>
  <c r="F241" i="53"/>
  <c r="AK240" i="52" a="1"/>
  <c r="AK240" i="52" s="1"/>
  <c r="B242" i="53" s="1"/>
  <c r="O242" i="53" s="1"/>
  <c r="I241" i="53"/>
  <c r="C241" i="53"/>
  <c r="H241" i="53"/>
  <c r="A171" i="32"/>
  <c r="B171" i="32"/>
  <c r="R171" i="32" s="1"/>
  <c r="M181" i="50"/>
  <c r="A181" i="50"/>
  <c r="Q181" i="50" s="1"/>
  <c r="P181" i="50" s="1"/>
  <c r="G181" i="50"/>
  <c r="K181" i="50"/>
  <c r="F181" i="50"/>
  <c r="I181" i="50"/>
  <c r="L181" i="50"/>
  <c r="N181" i="50"/>
  <c r="H181" i="50"/>
  <c r="J181" i="50"/>
  <c r="B181" i="50"/>
  <c r="R181" i="50" s="1"/>
  <c r="G171" i="32"/>
  <c r="O171" i="32"/>
  <c r="J171" i="32"/>
  <c r="K171" i="32"/>
  <c r="F171" i="32"/>
  <c r="AM171" i="32" s="1"/>
  <c r="N171" i="32"/>
  <c r="H171" i="32"/>
  <c r="I171" i="32"/>
  <c r="L171" i="32"/>
  <c r="M171" i="32"/>
  <c r="P241" i="57"/>
  <c r="H241" i="57"/>
  <c r="D241" i="57"/>
  <c r="G241" i="57"/>
  <c r="C241" i="57"/>
  <c r="M241" i="57" s="1"/>
  <c r="J241" i="57"/>
  <c r="F241" i="57"/>
  <c r="K241" i="57"/>
  <c r="E241" i="57"/>
  <c r="I241" i="57"/>
  <c r="Q240" i="57"/>
  <c r="T240" i="57" s="1"/>
  <c r="Z179" i="50"/>
  <c r="W179" i="50"/>
  <c r="X179" i="50" s="1"/>
  <c r="AK240" i="55" a="1"/>
  <c r="AK240" i="55" s="1"/>
  <c r="B242" i="57" s="1"/>
  <c r="O242" i="57" s="1"/>
  <c r="W169" i="32"/>
  <c r="X169" i="32" s="1"/>
  <c r="Z169" i="32"/>
  <c r="AN226" i="67" a="1"/>
  <c r="AN226" i="67" s="1"/>
  <c r="B227" i="69"/>
  <c r="D225" i="69"/>
  <c r="E225" i="69" s="1"/>
  <c r="F225" i="69" s="1"/>
  <c r="G225" i="69" s="1"/>
  <c r="H225" i="69" s="1"/>
  <c r="I225" i="69" s="1"/>
  <c r="J225" i="69" s="1"/>
  <c r="K225" i="69" s="1"/>
  <c r="M225" i="69" s="1"/>
  <c r="N225" i="69"/>
  <c r="AF225" i="69" s="1"/>
  <c r="C226" i="69"/>
  <c r="U224" i="69"/>
  <c r="AE224" i="69"/>
  <c r="Q224" i="69"/>
  <c r="R224" i="69"/>
  <c r="S224" i="69" s="1"/>
  <c r="Y224" i="69" s="1"/>
  <c r="AL171" i="11" a="1"/>
  <c r="AL171" i="11" s="1"/>
  <c r="E172" i="32" s="1"/>
  <c r="AL181" i="59" a="1"/>
  <c r="AL181" i="59" s="1"/>
  <c r="E182" i="50" s="1"/>
  <c r="AM71" i="59" a="1"/>
  <c r="AM71" i="59" s="1"/>
  <c r="AM56" i="11" a="1"/>
  <c r="AM56" i="11" s="1"/>
  <c r="AB224" i="69" l="1"/>
  <c r="AC224" i="69" s="1"/>
  <c r="AD224" i="69" s="1"/>
  <c r="AG224" i="69"/>
  <c r="AO226" i="69"/>
  <c r="P226" i="69"/>
  <c r="L227" i="69"/>
  <c r="O227" i="69"/>
  <c r="X240" i="57"/>
  <c r="T182" i="50"/>
  <c r="AK182" i="50"/>
  <c r="AB240" i="53"/>
  <c r="AA240" i="53"/>
  <c r="AE241" i="53"/>
  <c r="AC241" i="53"/>
  <c r="AF240" i="53"/>
  <c r="AK172" i="32"/>
  <c r="T172" i="32"/>
  <c r="AD170" i="32"/>
  <c r="AF239" i="57"/>
  <c r="AB239" i="57"/>
  <c r="AE241" i="57"/>
  <c r="AC241" i="57"/>
  <c r="AM181" i="50"/>
  <c r="U181" i="50"/>
  <c r="AD180" i="50"/>
  <c r="AG180" i="50" s="1"/>
  <c r="AH180" i="50" s="1"/>
  <c r="AI180" i="50" s="1"/>
  <c r="U171" i="32"/>
  <c r="AG169" i="32"/>
  <c r="AH169" i="32" s="1"/>
  <c r="AL169" i="32"/>
  <c r="AI168" i="32"/>
  <c r="AN168" i="32" s="1"/>
  <c r="AP178" i="50"/>
  <c r="R241" i="57"/>
  <c r="R241" i="53"/>
  <c r="X241" i="53" s="1"/>
  <c r="AL179" i="50"/>
  <c r="Q171" i="32"/>
  <c r="P171" i="32" s="1"/>
  <c r="AX225" i="69"/>
  <c r="AG242" i="57"/>
  <c r="L242" i="57"/>
  <c r="O182" i="50"/>
  <c r="AJ241" i="57"/>
  <c r="AP241" i="57"/>
  <c r="AH241" i="53"/>
  <c r="AT241" i="53"/>
  <c r="AG241" i="53"/>
  <c r="N242" i="57"/>
  <c r="I242" i="53"/>
  <c r="N242" i="53"/>
  <c r="AH225" i="69"/>
  <c r="AJ180" i="50"/>
  <c r="C180" i="50"/>
  <c r="AJ170" i="32"/>
  <c r="C170" i="32"/>
  <c r="AD241" i="57"/>
  <c r="Q241" i="53"/>
  <c r="AD241" i="53"/>
  <c r="S181" i="50"/>
  <c r="V180" i="50"/>
  <c r="S171" i="32"/>
  <c r="V171" i="32" s="1"/>
  <c r="J242" i="53"/>
  <c r="F242" i="53"/>
  <c r="G242" i="53"/>
  <c r="L242" i="53"/>
  <c r="P242" i="53"/>
  <c r="K242" i="53"/>
  <c r="AK241" i="52" a="1"/>
  <c r="AK241" i="52" s="1"/>
  <c r="B243" i="53" s="1"/>
  <c r="O243" i="53" s="1"/>
  <c r="C242" i="53"/>
  <c r="M242" i="53"/>
  <c r="H242" i="53"/>
  <c r="D242" i="53"/>
  <c r="E242" i="53"/>
  <c r="A172" i="32"/>
  <c r="B172" i="32"/>
  <c r="R172" i="32" s="1"/>
  <c r="H182" i="50"/>
  <c r="I182" i="50"/>
  <c r="G182" i="50"/>
  <c r="M182" i="50"/>
  <c r="N182" i="50"/>
  <c r="A182" i="50"/>
  <c r="Q182" i="50" s="1"/>
  <c r="P182" i="50" s="1"/>
  <c r="F182" i="50"/>
  <c r="L182" i="50"/>
  <c r="B182" i="50"/>
  <c r="R182" i="50" s="1"/>
  <c r="J182" i="50"/>
  <c r="K182" i="50"/>
  <c r="M172" i="32"/>
  <c r="H172" i="32"/>
  <c r="I172" i="32"/>
  <c r="L172" i="32"/>
  <c r="N172" i="32"/>
  <c r="O172" i="32"/>
  <c r="F172" i="32"/>
  <c r="AM172" i="32" s="1"/>
  <c r="G172" i="32"/>
  <c r="J172" i="32"/>
  <c r="K172" i="32"/>
  <c r="J242" i="57"/>
  <c r="F242" i="57"/>
  <c r="C242" i="57"/>
  <c r="M242" i="57" s="1"/>
  <c r="I242" i="57"/>
  <c r="E242" i="57"/>
  <c r="K242" i="57"/>
  <c r="H242" i="57"/>
  <c r="D242" i="57"/>
  <c r="P242" i="57"/>
  <c r="G242" i="57"/>
  <c r="Z180" i="50"/>
  <c r="W180" i="50"/>
  <c r="X180" i="50" s="1"/>
  <c r="Q241" i="57"/>
  <c r="T241" i="57" s="1"/>
  <c r="AK241" i="55" a="1"/>
  <c r="AK241" i="55" s="1"/>
  <c r="B243" i="57" s="1"/>
  <c r="O243" i="57" s="1"/>
  <c r="W170" i="32"/>
  <c r="X170" i="32" s="1"/>
  <c r="Z170" i="32"/>
  <c r="AN227" i="67" a="1"/>
  <c r="AN227" i="67" s="1"/>
  <c r="B228" i="69"/>
  <c r="D226" i="69"/>
  <c r="E226" i="69" s="1"/>
  <c r="F226" i="69" s="1"/>
  <c r="G226" i="69" s="1"/>
  <c r="H226" i="69" s="1"/>
  <c r="I226" i="69" s="1"/>
  <c r="J226" i="69" s="1"/>
  <c r="K226" i="69" s="1"/>
  <c r="M226" i="69" s="1"/>
  <c r="N226" i="69"/>
  <c r="AF226" i="69" s="1"/>
  <c r="U225" i="69"/>
  <c r="Q225" i="69"/>
  <c r="R225" i="69"/>
  <c r="S225" i="69" s="1"/>
  <c r="Y225" i="69" s="1"/>
  <c r="AB225" i="69" s="1"/>
  <c r="AC225" i="69" s="1"/>
  <c r="AD225" i="69" s="1"/>
  <c r="AE225" i="69"/>
  <c r="C227" i="69"/>
  <c r="AL172" i="11" a="1"/>
  <c r="AL172" i="11" s="1"/>
  <c r="E173" i="32" s="1"/>
  <c r="AL182" i="59" a="1"/>
  <c r="AL182" i="59" s="1"/>
  <c r="E183" i="50" s="1"/>
  <c r="AM72" i="59" a="1"/>
  <c r="AM72" i="59" s="1"/>
  <c r="AM57" i="11" a="1"/>
  <c r="AM57" i="11" s="1"/>
  <c r="AF240" i="57" l="1"/>
  <c r="AA240" i="57"/>
  <c r="AG225" i="69"/>
  <c r="L228" i="69"/>
  <c r="O228" i="69"/>
  <c r="AO227" i="69"/>
  <c r="P227" i="69"/>
  <c r="AB240" i="57"/>
  <c r="AK183" i="50"/>
  <c r="T183" i="50"/>
  <c r="AE242" i="53"/>
  <c r="AC242" i="53"/>
  <c r="AB241" i="53"/>
  <c r="AA241" i="53"/>
  <c r="AF241" i="53"/>
  <c r="AK173" i="32"/>
  <c r="T173" i="32"/>
  <c r="AD171" i="32"/>
  <c r="X241" i="57"/>
  <c r="AE242" i="57"/>
  <c r="AC242" i="57"/>
  <c r="AM182" i="50"/>
  <c r="U182" i="50"/>
  <c r="AD181" i="50"/>
  <c r="AG181" i="50" s="1"/>
  <c r="AH181" i="50" s="1"/>
  <c r="AI181" i="50" s="1"/>
  <c r="U172" i="32"/>
  <c r="AG170" i="32"/>
  <c r="AH170" i="32" s="1"/>
  <c r="AL170" i="32"/>
  <c r="AI169" i="32"/>
  <c r="AN169" i="32" s="1"/>
  <c r="AP179" i="50"/>
  <c r="R242" i="57"/>
  <c r="R242" i="53"/>
  <c r="X242" i="53" s="1"/>
  <c r="AL180" i="50"/>
  <c r="Q172" i="32"/>
  <c r="P172" i="32" s="1"/>
  <c r="AX226" i="69"/>
  <c r="L243" i="57"/>
  <c r="AG243" i="57"/>
  <c r="O183" i="50"/>
  <c r="AJ242" i="57"/>
  <c r="AP242" i="57"/>
  <c r="AH242" i="53"/>
  <c r="AT242" i="53"/>
  <c r="AG242" i="53"/>
  <c r="N243" i="57"/>
  <c r="N243" i="53"/>
  <c r="AH226" i="69"/>
  <c r="AJ181" i="50"/>
  <c r="C181" i="50"/>
  <c r="AJ171" i="32"/>
  <c r="C171" i="32"/>
  <c r="AD242" i="57"/>
  <c r="AD242" i="53"/>
  <c r="Q242" i="53"/>
  <c r="S182" i="50"/>
  <c r="V181" i="50"/>
  <c r="S172" i="32"/>
  <c r="V172" i="32" s="1"/>
  <c r="J243" i="53"/>
  <c r="I243" i="53"/>
  <c r="F243" i="53"/>
  <c r="K243" i="53"/>
  <c r="P243" i="53"/>
  <c r="M243" i="53"/>
  <c r="L243" i="53"/>
  <c r="G243" i="53"/>
  <c r="E243" i="53"/>
  <c r="C243" i="53"/>
  <c r="D243" i="53"/>
  <c r="AK242" i="52" a="1"/>
  <c r="AK242" i="52" s="1"/>
  <c r="B244" i="53" s="1"/>
  <c r="O244" i="53" s="1"/>
  <c r="H243" i="53"/>
  <c r="A173" i="32"/>
  <c r="B173" i="32"/>
  <c r="R173" i="32" s="1"/>
  <c r="A183" i="50"/>
  <c r="Q183" i="50" s="1"/>
  <c r="P183" i="50" s="1"/>
  <c r="B183" i="50"/>
  <c r="R183" i="50" s="1"/>
  <c r="L183" i="50"/>
  <c r="F183" i="50"/>
  <c r="N183" i="50"/>
  <c r="H183" i="50"/>
  <c r="K183" i="50"/>
  <c r="J183" i="50"/>
  <c r="M183" i="50"/>
  <c r="I183" i="50"/>
  <c r="G183" i="50"/>
  <c r="K173" i="32"/>
  <c r="F173" i="32"/>
  <c r="AM173" i="32" s="1"/>
  <c r="N173" i="32"/>
  <c r="G173" i="32"/>
  <c r="O173" i="32"/>
  <c r="J173" i="32"/>
  <c r="H173" i="32"/>
  <c r="I173" i="32"/>
  <c r="L173" i="32"/>
  <c r="M173" i="32"/>
  <c r="Q242" i="57"/>
  <c r="T242" i="57" s="1"/>
  <c r="W181" i="50"/>
  <c r="X181" i="50" s="1"/>
  <c r="Z181" i="50"/>
  <c r="H243" i="57"/>
  <c r="F243" i="57"/>
  <c r="D243" i="57"/>
  <c r="P243" i="57"/>
  <c r="K243" i="57"/>
  <c r="G243" i="57"/>
  <c r="C243" i="57"/>
  <c r="M243" i="57" s="1"/>
  <c r="J243" i="57"/>
  <c r="E243" i="57"/>
  <c r="I243" i="57"/>
  <c r="AK242" i="55" a="1"/>
  <c r="AK242" i="55" s="1"/>
  <c r="B244" i="57" s="1"/>
  <c r="O244" i="57" s="1"/>
  <c r="W171" i="32"/>
  <c r="X171" i="32" s="1"/>
  <c r="Z171" i="32"/>
  <c r="AN228" i="67" a="1"/>
  <c r="AN228" i="67" s="1"/>
  <c r="B229" i="69"/>
  <c r="D227" i="69"/>
  <c r="E227" i="69" s="1"/>
  <c r="F227" i="69" s="1"/>
  <c r="G227" i="69" s="1"/>
  <c r="H227" i="69" s="1"/>
  <c r="I227" i="69" s="1"/>
  <c r="J227" i="69" s="1"/>
  <c r="K227" i="69" s="1"/>
  <c r="M227" i="69" s="1"/>
  <c r="N227" i="69"/>
  <c r="AF227" i="69" s="1"/>
  <c r="Q226" i="69"/>
  <c r="R226" i="69"/>
  <c r="S226" i="69" s="1"/>
  <c r="Y226" i="69" s="1"/>
  <c r="AB226" i="69" s="1"/>
  <c r="AC226" i="69" s="1"/>
  <c r="AD226" i="69" s="1"/>
  <c r="U226" i="69"/>
  <c r="AE226" i="69"/>
  <c r="C228" i="69"/>
  <c r="AL173" i="11" a="1"/>
  <c r="AL173" i="11" s="1"/>
  <c r="E174" i="32" s="1"/>
  <c r="AL183" i="59" a="1"/>
  <c r="AL183" i="59" s="1"/>
  <c r="E184" i="50" s="1"/>
  <c r="AM73" i="59" a="1"/>
  <c r="AM73" i="59" s="1"/>
  <c r="AM58" i="11" a="1"/>
  <c r="AM58" i="11" s="1"/>
  <c r="AB241" i="57" l="1"/>
  <c r="AA241" i="57"/>
  <c r="L229" i="69"/>
  <c r="O229" i="69"/>
  <c r="AO228" i="69"/>
  <c r="P228" i="69"/>
  <c r="AG226" i="69"/>
  <c r="AK184" i="50"/>
  <c r="T184" i="50"/>
  <c r="AB242" i="53"/>
  <c r="AA242" i="53"/>
  <c r="AE243" i="53"/>
  <c r="AC243" i="53"/>
  <c r="AF242" i="53"/>
  <c r="AK174" i="32"/>
  <c r="T174" i="32"/>
  <c r="AD172" i="32"/>
  <c r="AF241" i="57"/>
  <c r="X242" i="57"/>
  <c r="AA242" i="57" s="1"/>
  <c r="AE243" i="57"/>
  <c r="AC243" i="57"/>
  <c r="AM183" i="50"/>
  <c r="U183" i="50"/>
  <c r="AD182" i="50"/>
  <c r="AG182" i="50" s="1"/>
  <c r="AH182" i="50" s="1"/>
  <c r="AI182" i="50" s="1"/>
  <c r="U173" i="32"/>
  <c r="AG171" i="32"/>
  <c r="AH171" i="32" s="1"/>
  <c r="AL171" i="32"/>
  <c r="AI170" i="32"/>
  <c r="AN170" i="32" s="1"/>
  <c r="AP180" i="50"/>
  <c r="R243" i="57"/>
  <c r="R243" i="53"/>
  <c r="X243" i="53" s="1"/>
  <c r="AL181" i="50"/>
  <c r="Q173" i="32"/>
  <c r="P173" i="32" s="1"/>
  <c r="AX227" i="69"/>
  <c r="AG244" i="57"/>
  <c r="L244" i="57"/>
  <c r="O184" i="50"/>
  <c r="AJ243" i="57"/>
  <c r="AP243" i="57"/>
  <c r="AH243" i="53"/>
  <c r="AT243" i="53"/>
  <c r="AG243" i="53"/>
  <c r="N244" i="57"/>
  <c r="M244" i="53"/>
  <c r="N244" i="53"/>
  <c r="AH227" i="69"/>
  <c r="AJ182" i="50"/>
  <c r="C182" i="50"/>
  <c r="AJ172" i="32"/>
  <c r="C172" i="32"/>
  <c r="AD243" i="57"/>
  <c r="AD243" i="53"/>
  <c r="Q243" i="53"/>
  <c r="S183" i="50"/>
  <c r="V182" i="50"/>
  <c r="S173" i="32"/>
  <c r="V173" i="32" s="1"/>
  <c r="J244" i="53"/>
  <c r="D244" i="53"/>
  <c r="C244" i="53"/>
  <c r="L244" i="53"/>
  <c r="E244" i="53"/>
  <c r="I244" i="53"/>
  <c r="AK243" i="52" a="1"/>
  <c r="AK243" i="52" s="1"/>
  <c r="B245" i="53" s="1"/>
  <c r="O245" i="53" s="1"/>
  <c r="F244" i="53"/>
  <c r="G244" i="53"/>
  <c r="K244" i="53"/>
  <c r="P244" i="53"/>
  <c r="H244" i="53"/>
  <c r="A174" i="32"/>
  <c r="B174" i="32"/>
  <c r="R174" i="32" s="1"/>
  <c r="M184" i="50"/>
  <c r="F184" i="50"/>
  <c r="N184" i="50"/>
  <c r="G184" i="50"/>
  <c r="H184" i="50"/>
  <c r="B184" i="50"/>
  <c r="R184" i="50" s="1"/>
  <c r="L184" i="50"/>
  <c r="K184" i="50"/>
  <c r="I184" i="50"/>
  <c r="A184" i="50"/>
  <c r="Q184" i="50" s="1"/>
  <c r="P184" i="50" s="1"/>
  <c r="J184" i="50"/>
  <c r="I174" i="32"/>
  <c r="L174" i="32"/>
  <c r="M174" i="32"/>
  <c r="H174" i="32"/>
  <c r="J174" i="32"/>
  <c r="K174" i="32"/>
  <c r="N174" i="32"/>
  <c r="O174" i="32"/>
  <c r="G174" i="32"/>
  <c r="F174" i="32"/>
  <c r="AM174" i="32" s="1"/>
  <c r="J244" i="57"/>
  <c r="E244" i="57"/>
  <c r="P244" i="57"/>
  <c r="H244" i="57"/>
  <c r="K244" i="57"/>
  <c r="D244" i="57"/>
  <c r="C244" i="57"/>
  <c r="M244" i="57" s="1"/>
  <c r="F244" i="57"/>
  <c r="G244" i="57"/>
  <c r="I244" i="57"/>
  <c r="W182" i="50"/>
  <c r="X182" i="50" s="1"/>
  <c r="Z182" i="50"/>
  <c r="Q243" i="57"/>
  <c r="T243" i="57" s="1"/>
  <c r="AK243" i="55" a="1"/>
  <c r="AK243" i="55" s="1"/>
  <c r="B245" i="57" s="1"/>
  <c r="O245" i="57" s="1"/>
  <c r="W172" i="32"/>
  <c r="X172" i="32" s="1"/>
  <c r="Z172" i="32"/>
  <c r="AN229" i="67" a="1"/>
  <c r="AN229" i="67" s="1"/>
  <c r="B230" i="69"/>
  <c r="C229" i="69"/>
  <c r="R227" i="69"/>
  <c r="S227" i="69" s="1"/>
  <c r="Y227" i="69" s="1"/>
  <c r="AE227" i="69"/>
  <c r="Q227" i="69"/>
  <c r="U227" i="69"/>
  <c r="D228" i="69"/>
  <c r="E228" i="69" s="1"/>
  <c r="F228" i="69" s="1"/>
  <c r="G228" i="69" s="1"/>
  <c r="H228" i="69" s="1"/>
  <c r="I228" i="69" s="1"/>
  <c r="J228" i="69" s="1"/>
  <c r="K228" i="69" s="1"/>
  <c r="M228" i="69" s="1"/>
  <c r="N228" i="69"/>
  <c r="AF228" i="69" s="1"/>
  <c r="AL174" i="11" a="1"/>
  <c r="AL174" i="11" s="1"/>
  <c r="E175" i="32" s="1"/>
  <c r="AL184" i="59" a="1"/>
  <c r="AL184" i="59" s="1"/>
  <c r="E185" i="50" s="1"/>
  <c r="AM74" i="59" a="1"/>
  <c r="AM74" i="59" s="1"/>
  <c r="AM59" i="11" a="1"/>
  <c r="AM59" i="11" s="1"/>
  <c r="AB227" i="69" l="1"/>
  <c r="AC227" i="69" s="1"/>
  <c r="AD227" i="69" s="1"/>
  <c r="AG227" i="69"/>
  <c r="L230" i="69"/>
  <c r="O230" i="69"/>
  <c r="AO229" i="69"/>
  <c r="P229" i="69"/>
  <c r="T185" i="50"/>
  <c r="AK185" i="50"/>
  <c r="X243" i="57"/>
  <c r="AA243" i="57" s="1"/>
  <c r="AB243" i="53"/>
  <c r="AA243" i="53"/>
  <c r="AE244" i="53"/>
  <c r="AC244" i="53"/>
  <c r="AF243" i="53"/>
  <c r="AK175" i="32"/>
  <c r="T175" i="32"/>
  <c r="AD173" i="32"/>
  <c r="AF242" i="57"/>
  <c r="AB242" i="57"/>
  <c r="AE244" i="57"/>
  <c r="AC244" i="57"/>
  <c r="AM184" i="50"/>
  <c r="U184" i="50"/>
  <c r="AD183" i="50"/>
  <c r="AG183" i="50" s="1"/>
  <c r="AH183" i="50" s="1"/>
  <c r="AI183" i="50" s="1"/>
  <c r="U174" i="32"/>
  <c r="AG172" i="32"/>
  <c r="AH172" i="32" s="1"/>
  <c r="AL172" i="32"/>
  <c r="AI171" i="32"/>
  <c r="AN171" i="32" s="1"/>
  <c r="AP181" i="50"/>
  <c r="R244" i="57"/>
  <c r="R244" i="53"/>
  <c r="X244" i="53" s="1"/>
  <c r="AL182" i="50"/>
  <c r="Q174" i="32"/>
  <c r="P174" i="32" s="1"/>
  <c r="AX228" i="69"/>
  <c r="AG245" i="57"/>
  <c r="L245" i="57"/>
  <c r="O185" i="50"/>
  <c r="AJ244" i="57"/>
  <c r="AP244" i="57"/>
  <c r="AH244" i="53"/>
  <c r="AT244" i="53"/>
  <c r="AG244" i="53"/>
  <c r="Q244" i="53"/>
  <c r="N245" i="57"/>
  <c r="AD244" i="53"/>
  <c r="I245" i="53"/>
  <c r="N245" i="53"/>
  <c r="AH228" i="69"/>
  <c r="AJ183" i="50"/>
  <c r="C183" i="50"/>
  <c r="AJ173" i="32"/>
  <c r="C173" i="32"/>
  <c r="AD244" i="57"/>
  <c r="S184" i="50"/>
  <c r="V183" i="50"/>
  <c r="S174" i="32"/>
  <c r="V174" i="32" s="1"/>
  <c r="D245" i="53"/>
  <c r="L245" i="53"/>
  <c r="M245" i="53"/>
  <c r="C245" i="53"/>
  <c r="H245" i="53"/>
  <c r="E245" i="53"/>
  <c r="G245" i="53"/>
  <c r="F245" i="53"/>
  <c r="AK244" i="52" a="1"/>
  <c r="AK244" i="52" s="1"/>
  <c r="B246" i="53" s="1"/>
  <c r="O246" i="53" s="1"/>
  <c r="J245" i="53"/>
  <c r="P245" i="53"/>
  <c r="K245" i="53"/>
  <c r="A175" i="32"/>
  <c r="B175" i="32"/>
  <c r="R175" i="32" s="1"/>
  <c r="G185" i="50"/>
  <c r="I185" i="50"/>
  <c r="H185" i="50"/>
  <c r="K185" i="50"/>
  <c r="M185" i="50"/>
  <c r="J185" i="50"/>
  <c r="B185" i="50"/>
  <c r="R185" i="50" s="1"/>
  <c r="A185" i="50"/>
  <c r="Q185" i="50" s="1"/>
  <c r="P185" i="50" s="1"/>
  <c r="N185" i="50"/>
  <c r="L185" i="50"/>
  <c r="F185" i="50"/>
  <c r="G175" i="32"/>
  <c r="O175" i="32"/>
  <c r="J175" i="32"/>
  <c r="K175" i="32"/>
  <c r="F175" i="32"/>
  <c r="AM175" i="32" s="1"/>
  <c r="N175" i="32"/>
  <c r="H175" i="32"/>
  <c r="I175" i="32"/>
  <c r="L175" i="32"/>
  <c r="M175" i="32"/>
  <c r="Q244" i="57"/>
  <c r="T244" i="57" s="1"/>
  <c r="W183" i="50"/>
  <c r="X183" i="50" s="1"/>
  <c r="Z183" i="50"/>
  <c r="I245" i="57"/>
  <c r="D245" i="57"/>
  <c r="E245" i="57"/>
  <c r="H245" i="57"/>
  <c r="C245" i="57"/>
  <c r="M245" i="57" s="1"/>
  <c r="P245" i="57"/>
  <c r="K245" i="57"/>
  <c r="G245" i="57"/>
  <c r="J245" i="57"/>
  <c r="F245" i="57"/>
  <c r="AK244" i="55" a="1"/>
  <c r="AK244" i="55" s="1"/>
  <c r="B246" i="57" s="1"/>
  <c r="O246" i="57" s="1"/>
  <c r="W173" i="32"/>
  <c r="X173" i="32" s="1"/>
  <c r="Z173" i="32"/>
  <c r="AN230" i="67" a="1"/>
  <c r="AN230" i="67" s="1"/>
  <c r="B231" i="69"/>
  <c r="N229" i="69"/>
  <c r="AF229" i="69" s="1"/>
  <c r="D229" i="69"/>
  <c r="E229" i="69" s="1"/>
  <c r="F229" i="69" s="1"/>
  <c r="G229" i="69" s="1"/>
  <c r="H229" i="69" s="1"/>
  <c r="I229" i="69" s="1"/>
  <c r="J229" i="69" s="1"/>
  <c r="K229" i="69" s="1"/>
  <c r="M229" i="69" s="1"/>
  <c r="AE228" i="69"/>
  <c r="U228" i="69"/>
  <c r="Q228" i="69"/>
  <c r="R228" i="69"/>
  <c r="S228" i="69" s="1"/>
  <c r="Y228" i="69" s="1"/>
  <c r="C230" i="69"/>
  <c r="AL175" i="11" a="1"/>
  <c r="AL175" i="11" s="1"/>
  <c r="E176" i="32" s="1"/>
  <c r="AL185" i="59" a="1"/>
  <c r="AL185" i="59" s="1"/>
  <c r="E186" i="50" s="1"/>
  <c r="AM75" i="59" a="1"/>
  <c r="AM75" i="59" s="1"/>
  <c r="AM60" i="11" a="1"/>
  <c r="AM60" i="11" s="1"/>
  <c r="X244" i="57" l="1"/>
  <c r="AA244" i="57" s="1"/>
  <c r="AB228" i="69"/>
  <c r="AC228" i="69" s="1"/>
  <c r="AD228" i="69" s="1"/>
  <c r="AG228" i="69"/>
  <c r="L231" i="69"/>
  <c r="O231" i="69"/>
  <c r="AO230" i="69"/>
  <c r="P230" i="69"/>
  <c r="T186" i="50"/>
  <c r="AK186" i="50"/>
  <c r="AF243" i="57"/>
  <c r="AB243" i="57"/>
  <c r="AB244" i="53"/>
  <c r="AA244" i="53"/>
  <c r="AF244" i="53"/>
  <c r="AE245" i="53"/>
  <c r="AC245" i="53"/>
  <c r="AK176" i="32"/>
  <c r="T176" i="32"/>
  <c r="AD174" i="32"/>
  <c r="AE245" i="57"/>
  <c r="AC245" i="57"/>
  <c r="AM185" i="50"/>
  <c r="U185" i="50"/>
  <c r="AD184" i="50"/>
  <c r="AG184" i="50" s="1"/>
  <c r="AH184" i="50" s="1"/>
  <c r="AI184" i="50" s="1"/>
  <c r="AG173" i="32"/>
  <c r="AH173" i="32" s="1"/>
  <c r="AL173" i="32"/>
  <c r="U175" i="32"/>
  <c r="AI172" i="32"/>
  <c r="AN172" i="32" s="1"/>
  <c r="AP182" i="50"/>
  <c r="R245" i="57"/>
  <c r="R245" i="53"/>
  <c r="X245" i="53" s="1"/>
  <c r="AL183" i="50"/>
  <c r="Q175" i="32"/>
  <c r="P175" i="32" s="1"/>
  <c r="AX229" i="69"/>
  <c r="AG246" i="57"/>
  <c r="L246" i="57"/>
  <c r="O186" i="50"/>
  <c r="AJ245" i="57"/>
  <c r="AP245" i="57"/>
  <c r="AH245" i="53"/>
  <c r="AT245" i="53"/>
  <c r="AG245" i="53"/>
  <c r="N246" i="57"/>
  <c r="L246" i="53"/>
  <c r="N246" i="53"/>
  <c r="AH229" i="69"/>
  <c r="AJ184" i="50"/>
  <c r="C184" i="50"/>
  <c r="AJ174" i="32"/>
  <c r="C174" i="32"/>
  <c r="AD245" i="57"/>
  <c r="Q245" i="53"/>
  <c r="AD245" i="53"/>
  <c r="S185" i="50"/>
  <c r="V184" i="50"/>
  <c r="S175" i="32"/>
  <c r="V175" i="32" s="1"/>
  <c r="I246" i="53"/>
  <c r="J246" i="53"/>
  <c r="F246" i="53"/>
  <c r="P246" i="53"/>
  <c r="G246" i="53"/>
  <c r="D246" i="53"/>
  <c r="C246" i="53"/>
  <c r="K246" i="53"/>
  <c r="M246" i="53"/>
  <c r="AK245" i="52" a="1"/>
  <c r="AK245" i="52" s="1"/>
  <c r="B247" i="53" s="1"/>
  <c r="O247" i="53" s="1"/>
  <c r="E246" i="53"/>
  <c r="H246" i="53"/>
  <c r="A176" i="32"/>
  <c r="B176" i="32"/>
  <c r="R176" i="32" s="1"/>
  <c r="K186" i="50"/>
  <c r="B186" i="50"/>
  <c r="R186" i="50" s="1"/>
  <c r="A186" i="50"/>
  <c r="Q186" i="50" s="1"/>
  <c r="P186" i="50" s="1"/>
  <c r="N186" i="50"/>
  <c r="G186" i="50"/>
  <c r="L186" i="50"/>
  <c r="F186" i="50"/>
  <c r="J186" i="50"/>
  <c r="M186" i="50"/>
  <c r="H186" i="50"/>
  <c r="I186" i="50"/>
  <c r="M176" i="32"/>
  <c r="H176" i="32"/>
  <c r="I176" i="32"/>
  <c r="L176" i="32"/>
  <c r="F176" i="32"/>
  <c r="AM176" i="32" s="1"/>
  <c r="G176" i="32"/>
  <c r="J176" i="32"/>
  <c r="K176" i="32"/>
  <c r="N176" i="32"/>
  <c r="O176" i="32"/>
  <c r="W184" i="50"/>
  <c r="X184" i="50" s="1"/>
  <c r="Z184" i="50"/>
  <c r="Q245" i="57"/>
  <c r="T245" i="57" s="1"/>
  <c r="P246" i="57"/>
  <c r="C246" i="57"/>
  <c r="M246" i="57" s="1"/>
  <c r="K246" i="57"/>
  <c r="J246" i="57"/>
  <c r="H246" i="57"/>
  <c r="D246" i="57"/>
  <c r="F246" i="57"/>
  <c r="I246" i="57"/>
  <c r="E246" i="57"/>
  <c r="G246" i="57"/>
  <c r="AK245" i="55" a="1"/>
  <c r="AK245" i="55" s="1"/>
  <c r="B247" i="57" s="1"/>
  <c r="O247" i="57" s="1"/>
  <c r="W174" i="32"/>
  <c r="X174" i="32" s="1"/>
  <c r="Z174" i="32"/>
  <c r="C231" i="69"/>
  <c r="Q229" i="69"/>
  <c r="R229" i="69"/>
  <c r="S229" i="69" s="1"/>
  <c r="Y229" i="69" s="1"/>
  <c r="U229" i="69"/>
  <c r="AE229" i="69"/>
  <c r="D230" i="69"/>
  <c r="E230" i="69" s="1"/>
  <c r="F230" i="69" s="1"/>
  <c r="G230" i="69" s="1"/>
  <c r="H230" i="69" s="1"/>
  <c r="I230" i="69" s="1"/>
  <c r="J230" i="69" s="1"/>
  <c r="K230" i="69" s="1"/>
  <c r="M230" i="69" s="1"/>
  <c r="N230" i="69"/>
  <c r="AF230" i="69" s="1"/>
  <c r="AN231" i="67" a="1"/>
  <c r="AN231" i="67" s="1"/>
  <c r="B232" i="69"/>
  <c r="AL176" i="11" a="1"/>
  <c r="AL176" i="11" s="1"/>
  <c r="E177" i="32" s="1"/>
  <c r="AL186" i="59" a="1"/>
  <c r="AL186" i="59" s="1"/>
  <c r="E187" i="50" s="1"/>
  <c r="AM76" i="59" a="1"/>
  <c r="AM76" i="59" s="1"/>
  <c r="AM61" i="11" a="1"/>
  <c r="AM61" i="11" s="1"/>
  <c r="AF244" i="57" l="1"/>
  <c r="AB244" i="57"/>
  <c r="AB229" i="69"/>
  <c r="AC229" i="69" s="1"/>
  <c r="AD229" i="69" s="1"/>
  <c r="AG229" i="69"/>
  <c r="L232" i="69"/>
  <c r="O232" i="69"/>
  <c r="AO231" i="69"/>
  <c r="P231" i="69"/>
  <c r="T187" i="50"/>
  <c r="AK187" i="50"/>
  <c r="AB245" i="53"/>
  <c r="AA245" i="53"/>
  <c r="AE246" i="53"/>
  <c r="AC246" i="53"/>
  <c r="AF245" i="53"/>
  <c r="AK177" i="32"/>
  <c r="T177" i="32"/>
  <c r="AD175" i="32"/>
  <c r="X245" i="57"/>
  <c r="AE246" i="57"/>
  <c r="AC246" i="57"/>
  <c r="AM186" i="50"/>
  <c r="U186" i="50"/>
  <c r="AD185" i="50"/>
  <c r="AG185" i="50" s="1"/>
  <c r="AH185" i="50" s="1"/>
  <c r="AI185" i="50" s="1"/>
  <c r="U176" i="32"/>
  <c r="AG174" i="32"/>
  <c r="AH174" i="32" s="1"/>
  <c r="AL174" i="32"/>
  <c r="AP183" i="50"/>
  <c r="R246" i="57"/>
  <c r="R246" i="53"/>
  <c r="X246" i="53" s="1"/>
  <c r="AL184" i="50"/>
  <c r="Q176" i="32"/>
  <c r="P176" i="32" s="1"/>
  <c r="AI173" i="32"/>
  <c r="AN173" i="32" s="1"/>
  <c r="AX230" i="69"/>
  <c r="AG247" i="57"/>
  <c r="L247" i="57"/>
  <c r="O187" i="50"/>
  <c r="AJ246" i="57"/>
  <c r="AP246" i="57"/>
  <c r="AH246" i="53"/>
  <c r="AT246" i="53"/>
  <c r="AG246" i="53"/>
  <c r="N247" i="57"/>
  <c r="K247" i="53"/>
  <c r="N247" i="53"/>
  <c r="AH230" i="69"/>
  <c r="AJ185" i="50"/>
  <c r="C185" i="50"/>
  <c r="AJ175" i="32"/>
  <c r="C175" i="32"/>
  <c r="AD246" i="57"/>
  <c r="Q246" i="53"/>
  <c r="AD246" i="53"/>
  <c r="S186" i="50"/>
  <c r="V185" i="50"/>
  <c r="S176" i="32"/>
  <c r="V176" i="32" s="1"/>
  <c r="G247" i="53"/>
  <c r="L247" i="53"/>
  <c r="H247" i="53"/>
  <c r="E247" i="53"/>
  <c r="P247" i="53"/>
  <c r="F247" i="53"/>
  <c r="C247" i="53"/>
  <c r="I247" i="53"/>
  <c r="AK246" i="52" a="1"/>
  <c r="AK246" i="52" s="1"/>
  <c r="B248" i="53" s="1"/>
  <c r="O248" i="53" s="1"/>
  <c r="J247" i="53"/>
  <c r="M247" i="53"/>
  <c r="D247" i="53"/>
  <c r="A177" i="32"/>
  <c r="B177" i="32"/>
  <c r="R177" i="32" s="1"/>
  <c r="I187" i="50"/>
  <c r="G187" i="50"/>
  <c r="M187" i="50"/>
  <c r="N187" i="50"/>
  <c r="H187" i="50"/>
  <c r="J187" i="50"/>
  <c r="A187" i="50"/>
  <c r="Q187" i="50" s="1"/>
  <c r="P187" i="50" s="1"/>
  <c r="B187" i="50"/>
  <c r="R187" i="50" s="1"/>
  <c r="F187" i="50"/>
  <c r="L187" i="50"/>
  <c r="K187" i="50"/>
  <c r="K177" i="32"/>
  <c r="F177" i="32"/>
  <c r="AM177" i="32" s="1"/>
  <c r="N177" i="32"/>
  <c r="G177" i="32"/>
  <c r="O177" i="32"/>
  <c r="J177" i="32"/>
  <c r="L177" i="32"/>
  <c r="M177" i="32"/>
  <c r="H177" i="32"/>
  <c r="I177" i="32"/>
  <c r="Q246" i="57"/>
  <c r="T246" i="57" s="1"/>
  <c r="J247" i="57"/>
  <c r="E247" i="57"/>
  <c r="P247" i="57"/>
  <c r="F247" i="57"/>
  <c r="I247" i="57"/>
  <c r="G247" i="57"/>
  <c r="K247" i="57"/>
  <c r="D247" i="57"/>
  <c r="H247" i="57"/>
  <c r="C247" i="57"/>
  <c r="M247" i="57" s="1"/>
  <c r="W185" i="50"/>
  <c r="X185" i="50" s="1"/>
  <c r="Z185" i="50"/>
  <c r="AK246" i="55" a="1"/>
  <c r="AK246" i="55" s="1"/>
  <c r="B248" i="57" s="1"/>
  <c r="O248" i="57" s="1"/>
  <c r="W175" i="32"/>
  <c r="X175" i="32" s="1"/>
  <c r="Z175" i="32"/>
  <c r="AN232" i="67" a="1"/>
  <c r="AN232" i="67" s="1"/>
  <c r="B233" i="69"/>
  <c r="N231" i="69"/>
  <c r="AF231" i="69" s="1"/>
  <c r="D231" i="69"/>
  <c r="E231" i="69" s="1"/>
  <c r="F231" i="69" s="1"/>
  <c r="G231" i="69" s="1"/>
  <c r="H231" i="69" s="1"/>
  <c r="I231" i="69" s="1"/>
  <c r="J231" i="69" s="1"/>
  <c r="K231" i="69" s="1"/>
  <c r="M231" i="69" s="1"/>
  <c r="C232" i="69"/>
  <c r="U230" i="69"/>
  <c r="AE230" i="69"/>
  <c r="Q230" i="69"/>
  <c r="R230" i="69"/>
  <c r="S230" i="69" s="1"/>
  <c r="Y230" i="69" s="1"/>
  <c r="AL177" i="11" a="1"/>
  <c r="AL177" i="11" s="1"/>
  <c r="E178" i="32" s="1"/>
  <c r="AL187" i="59" a="1"/>
  <c r="AL187" i="59" s="1"/>
  <c r="E188" i="50" s="1"/>
  <c r="AM77" i="59" a="1"/>
  <c r="AM77" i="59" s="1"/>
  <c r="AM62" i="11" a="1"/>
  <c r="AM62" i="11" s="1"/>
  <c r="AB245" i="57" l="1"/>
  <c r="AA245" i="57"/>
  <c r="AB230" i="69"/>
  <c r="AC230" i="69" s="1"/>
  <c r="AD230" i="69" s="1"/>
  <c r="AG230" i="69"/>
  <c r="L233" i="69"/>
  <c r="O233" i="69"/>
  <c r="AO232" i="69"/>
  <c r="P232" i="69"/>
  <c r="T188" i="50"/>
  <c r="AK188" i="50"/>
  <c r="AB246" i="53"/>
  <c r="AA246" i="53"/>
  <c r="AE247" i="53"/>
  <c r="AC247" i="53"/>
  <c r="AF246" i="53"/>
  <c r="AK178" i="32"/>
  <c r="T178" i="32"/>
  <c r="AD176" i="32"/>
  <c r="X246" i="57"/>
  <c r="AF245" i="57"/>
  <c r="AE247" i="57"/>
  <c r="AC247" i="57"/>
  <c r="AD186" i="50"/>
  <c r="AG186" i="50" s="1"/>
  <c r="AH186" i="50" s="1"/>
  <c r="AI186" i="50" s="1"/>
  <c r="AM187" i="50"/>
  <c r="U187" i="50"/>
  <c r="U177" i="32"/>
  <c r="AG175" i="32"/>
  <c r="AH175" i="32" s="1"/>
  <c r="AL175" i="32"/>
  <c r="AP184" i="50"/>
  <c r="R247" i="57"/>
  <c r="R247" i="53"/>
  <c r="X247" i="53" s="1"/>
  <c r="AL185" i="50"/>
  <c r="Q177" i="32"/>
  <c r="P177" i="32" s="1"/>
  <c r="AI174" i="32"/>
  <c r="AN174" i="32" s="1"/>
  <c r="AX231" i="69"/>
  <c r="AG248" i="57"/>
  <c r="L248" i="57"/>
  <c r="O188" i="50"/>
  <c r="AJ247" i="57"/>
  <c r="AP247" i="57"/>
  <c r="AG247" i="53"/>
  <c r="AH247" i="53"/>
  <c r="AT247" i="53"/>
  <c r="N248" i="57"/>
  <c r="D248" i="53"/>
  <c r="N248" i="53"/>
  <c r="AH231" i="69"/>
  <c r="AJ186" i="50"/>
  <c r="C186" i="50"/>
  <c r="AJ176" i="32"/>
  <c r="C176" i="32"/>
  <c r="AD247" i="57"/>
  <c r="AD247" i="53"/>
  <c r="S187" i="50"/>
  <c r="V186" i="50"/>
  <c r="S177" i="32"/>
  <c r="V177" i="32" s="1"/>
  <c r="Q247" i="53"/>
  <c r="L248" i="53"/>
  <c r="E248" i="53"/>
  <c r="C248" i="53"/>
  <c r="G248" i="53"/>
  <c r="AK247" i="52" a="1"/>
  <c r="AK247" i="52" s="1"/>
  <c r="B249" i="53" s="1"/>
  <c r="O249" i="53" s="1"/>
  <c r="F248" i="53"/>
  <c r="K248" i="53"/>
  <c r="H248" i="53"/>
  <c r="J248" i="53"/>
  <c r="P248" i="53"/>
  <c r="I248" i="53"/>
  <c r="M248" i="53"/>
  <c r="A178" i="32"/>
  <c r="B178" i="32"/>
  <c r="R178" i="32" s="1"/>
  <c r="I188" i="50"/>
  <c r="B188" i="50"/>
  <c r="R188" i="50" s="1"/>
  <c r="F188" i="50"/>
  <c r="K188" i="50"/>
  <c r="G188" i="50"/>
  <c r="N188" i="50"/>
  <c r="H188" i="50"/>
  <c r="L188" i="50"/>
  <c r="J188" i="50"/>
  <c r="M188" i="50"/>
  <c r="A188" i="50"/>
  <c r="Q188" i="50" s="1"/>
  <c r="P188" i="50" s="1"/>
  <c r="I178" i="32"/>
  <c r="L178" i="32"/>
  <c r="M178" i="32"/>
  <c r="H178" i="32"/>
  <c r="F178" i="32"/>
  <c r="AM178" i="32" s="1"/>
  <c r="G178" i="32"/>
  <c r="J178" i="32"/>
  <c r="K178" i="32"/>
  <c r="N178" i="32"/>
  <c r="O178" i="32"/>
  <c r="Q247" i="57"/>
  <c r="T247" i="57" s="1"/>
  <c r="W186" i="50"/>
  <c r="X186" i="50" s="1"/>
  <c r="Z186" i="50"/>
  <c r="D248" i="57"/>
  <c r="J248" i="57"/>
  <c r="G248" i="57"/>
  <c r="H248" i="57"/>
  <c r="C248" i="57"/>
  <c r="M248" i="57" s="1"/>
  <c r="P248" i="57"/>
  <c r="I248" i="57"/>
  <c r="E248" i="57"/>
  <c r="K248" i="57"/>
  <c r="F248" i="57"/>
  <c r="AK247" i="55" a="1"/>
  <c r="AK247" i="55" s="1"/>
  <c r="B249" i="57" s="1"/>
  <c r="O249" i="57" s="1"/>
  <c r="W176" i="32"/>
  <c r="X176" i="32" s="1"/>
  <c r="Z176" i="32"/>
  <c r="C233" i="69"/>
  <c r="D232" i="69"/>
  <c r="E232" i="69" s="1"/>
  <c r="F232" i="69" s="1"/>
  <c r="G232" i="69" s="1"/>
  <c r="H232" i="69" s="1"/>
  <c r="I232" i="69" s="1"/>
  <c r="J232" i="69" s="1"/>
  <c r="K232" i="69" s="1"/>
  <c r="M232" i="69" s="1"/>
  <c r="N232" i="69"/>
  <c r="AF232" i="69" s="1"/>
  <c r="U231" i="69"/>
  <c r="AE231" i="69"/>
  <c r="R231" i="69"/>
  <c r="S231" i="69" s="1"/>
  <c r="Y231" i="69" s="1"/>
  <c r="Q231" i="69"/>
  <c r="AN233" i="67" a="1"/>
  <c r="AN233" i="67" s="1"/>
  <c r="B234" i="69"/>
  <c r="AL178" i="11" a="1"/>
  <c r="AL178" i="11" s="1"/>
  <c r="E179" i="32" s="1"/>
  <c r="AL188" i="59" a="1"/>
  <c r="AL188" i="59" s="1"/>
  <c r="E189" i="50" s="1"/>
  <c r="AM78" i="59" a="1"/>
  <c r="AM78" i="59" s="1"/>
  <c r="AM63" i="11" a="1"/>
  <c r="AM63" i="11" s="1"/>
  <c r="AB246" i="57" l="1"/>
  <c r="AA246" i="57"/>
  <c r="AB231" i="69"/>
  <c r="AC231" i="69" s="1"/>
  <c r="AD231" i="69" s="1"/>
  <c r="AG231" i="69"/>
  <c r="L234" i="69"/>
  <c r="O234" i="69"/>
  <c r="AO233" i="69"/>
  <c r="P233" i="69"/>
  <c r="X247" i="57"/>
  <c r="AA247" i="57" s="1"/>
  <c r="T189" i="50"/>
  <c r="AK189" i="50"/>
  <c r="AF247" i="53"/>
  <c r="AE248" i="53"/>
  <c r="AC248" i="53"/>
  <c r="AB247" i="53"/>
  <c r="AA247" i="53"/>
  <c r="AK179" i="32"/>
  <c r="T179" i="32"/>
  <c r="AD177" i="32"/>
  <c r="AF246" i="57"/>
  <c r="AE248" i="57"/>
  <c r="AC248" i="57"/>
  <c r="AD187" i="50"/>
  <c r="AG187" i="50" s="1"/>
  <c r="AH187" i="50" s="1"/>
  <c r="AI187" i="50" s="1"/>
  <c r="AM188" i="50"/>
  <c r="U188" i="50"/>
  <c r="AG176" i="32"/>
  <c r="AH176" i="32" s="1"/>
  <c r="AL176" i="32"/>
  <c r="U178" i="32"/>
  <c r="AI175" i="32"/>
  <c r="AN175" i="32" s="1"/>
  <c r="AP185" i="50"/>
  <c r="R248" i="57"/>
  <c r="R248" i="53"/>
  <c r="X248" i="53" s="1"/>
  <c r="AL186" i="50"/>
  <c r="Q178" i="32"/>
  <c r="P178" i="32" s="1"/>
  <c r="AX232" i="69"/>
  <c r="AG249" i="57"/>
  <c r="L249" i="57"/>
  <c r="O189" i="50"/>
  <c r="AJ248" i="57"/>
  <c r="AP248" i="57"/>
  <c r="AH248" i="53"/>
  <c r="AT248" i="53"/>
  <c r="AG248" i="53"/>
  <c r="N249" i="57"/>
  <c r="K249" i="53"/>
  <c r="N249" i="53"/>
  <c r="AH232" i="69"/>
  <c r="AJ187" i="50"/>
  <c r="C187" i="50"/>
  <c r="AJ177" i="32"/>
  <c r="C177" i="32"/>
  <c r="AD248" i="57"/>
  <c r="AD248" i="53"/>
  <c r="S188" i="50"/>
  <c r="V187" i="50"/>
  <c r="S178" i="32"/>
  <c r="V178" i="32" s="1"/>
  <c r="Q248" i="53"/>
  <c r="E249" i="53"/>
  <c r="C249" i="53"/>
  <c r="M249" i="53"/>
  <c r="D249" i="53"/>
  <c r="P249" i="53"/>
  <c r="F249" i="53"/>
  <c r="AK248" i="52" a="1"/>
  <c r="AK248" i="52" s="1"/>
  <c r="B250" i="53" s="1"/>
  <c r="O250" i="53" s="1"/>
  <c r="G249" i="53"/>
  <c r="H249" i="53"/>
  <c r="I249" i="53"/>
  <c r="J249" i="53"/>
  <c r="L249" i="53"/>
  <c r="A179" i="32"/>
  <c r="B179" i="32"/>
  <c r="R179" i="32" s="1"/>
  <c r="J189" i="50"/>
  <c r="L189" i="50"/>
  <c r="A189" i="50"/>
  <c r="Q189" i="50" s="1"/>
  <c r="P189" i="50" s="1"/>
  <c r="N189" i="50"/>
  <c r="H189" i="50"/>
  <c r="I189" i="50"/>
  <c r="G189" i="50"/>
  <c r="M189" i="50"/>
  <c r="K189" i="50"/>
  <c r="B189" i="50"/>
  <c r="R189" i="50" s="1"/>
  <c r="F189" i="50"/>
  <c r="G179" i="32"/>
  <c r="O179" i="32"/>
  <c r="J179" i="32"/>
  <c r="K179" i="32"/>
  <c r="F179" i="32"/>
  <c r="AM179" i="32" s="1"/>
  <c r="N179" i="32"/>
  <c r="H179" i="32"/>
  <c r="I179" i="32"/>
  <c r="L179" i="32"/>
  <c r="M179" i="32"/>
  <c r="W187" i="50"/>
  <c r="X187" i="50" s="1"/>
  <c r="Z187" i="50"/>
  <c r="J249" i="57"/>
  <c r="I249" i="57"/>
  <c r="F249" i="57"/>
  <c r="E249" i="57"/>
  <c r="P249" i="57"/>
  <c r="D249" i="57"/>
  <c r="C249" i="57"/>
  <c r="M249" i="57" s="1"/>
  <c r="H249" i="57"/>
  <c r="K249" i="57"/>
  <c r="G249" i="57"/>
  <c r="Q248" i="57"/>
  <c r="T248" i="57" s="1"/>
  <c r="AK248" i="55" a="1"/>
  <c r="AK248" i="55" s="1"/>
  <c r="B250" i="57" s="1"/>
  <c r="O250" i="57" s="1"/>
  <c r="W177" i="32"/>
  <c r="X177" i="32" s="1"/>
  <c r="Z177" i="32"/>
  <c r="AN234" i="67" a="1"/>
  <c r="AN234" i="67" s="1"/>
  <c r="B235" i="69"/>
  <c r="C234" i="69"/>
  <c r="Q232" i="69"/>
  <c r="U232" i="69"/>
  <c r="R232" i="69"/>
  <c r="S232" i="69" s="1"/>
  <c r="Y232" i="69" s="1"/>
  <c r="AE232" i="69"/>
  <c r="N233" i="69"/>
  <c r="AF233" i="69" s="1"/>
  <c r="D233" i="69"/>
  <c r="E233" i="69" s="1"/>
  <c r="F233" i="69" s="1"/>
  <c r="G233" i="69" s="1"/>
  <c r="H233" i="69" s="1"/>
  <c r="I233" i="69" s="1"/>
  <c r="J233" i="69" s="1"/>
  <c r="K233" i="69" s="1"/>
  <c r="M233" i="69" s="1"/>
  <c r="AL179" i="11" a="1"/>
  <c r="AL179" i="11" s="1"/>
  <c r="E180" i="32" s="1"/>
  <c r="AL189" i="59" a="1"/>
  <c r="AL189" i="59" s="1"/>
  <c r="E190" i="50" s="1"/>
  <c r="AM79" i="59" a="1"/>
  <c r="AM79" i="59" s="1"/>
  <c r="AM64" i="11" a="1"/>
  <c r="AM64" i="11" s="1"/>
  <c r="AB232" i="69" l="1"/>
  <c r="AC232" i="69" s="1"/>
  <c r="AD232" i="69" s="1"/>
  <c r="AG232" i="69"/>
  <c r="AO234" i="69"/>
  <c r="P234" i="69"/>
  <c r="L235" i="69"/>
  <c r="O235" i="69"/>
  <c r="AF247" i="57"/>
  <c r="AB247" i="57"/>
  <c r="T190" i="50"/>
  <c r="AK190" i="50"/>
  <c r="AB248" i="53"/>
  <c r="AA248" i="53"/>
  <c r="AE249" i="53"/>
  <c r="AC249" i="53"/>
  <c r="AF248" i="53"/>
  <c r="AK180" i="32"/>
  <c r="T180" i="32"/>
  <c r="AD178" i="32"/>
  <c r="X248" i="57"/>
  <c r="AE249" i="57"/>
  <c r="AC249" i="57"/>
  <c r="AM189" i="50"/>
  <c r="U189" i="50"/>
  <c r="AD188" i="50"/>
  <c r="AG188" i="50" s="1"/>
  <c r="AH188" i="50" s="1"/>
  <c r="AI188" i="50" s="1"/>
  <c r="U179" i="32"/>
  <c r="AG177" i="32"/>
  <c r="AH177" i="32" s="1"/>
  <c r="AL177" i="32"/>
  <c r="AI176" i="32"/>
  <c r="AN176" i="32" s="1"/>
  <c r="AP186" i="50"/>
  <c r="R249" i="57"/>
  <c r="R249" i="53"/>
  <c r="X249" i="53" s="1"/>
  <c r="AL187" i="50"/>
  <c r="Q179" i="32"/>
  <c r="P179" i="32" s="1"/>
  <c r="AX233" i="69"/>
  <c r="AG250" i="57"/>
  <c r="L250" i="57"/>
  <c r="O190" i="50"/>
  <c r="AJ249" i="57"/>
  <c r="AP249" i="57"/>
  <c r="AH249" i="53"/>
  <c r="AT249" i="53"/>
  <c r="AG249" i="53"/>
  <c r="N250" i="57"/>
  <c r="M250" i="53"/>
  <c r="N250" i="53"/>
  <c r="AH233" i="69"/>
  <c r="AJ188" i="50"/>
  <c r="C188" i="50"/>
  <c r="AJ178" i="32"/>
  <c r="C178" i="32"/>
  <c r="AD249" i="57"/>
  <c r="AD249" i="53"/>
  <c r="S189" i="50"/>
  <c r="V188" i="50"/>
  <c r="S179" i="32"/>
  <c r="V179" i="32" s="1"/>
  <c r="Q249" i="53"/>
  <c r="AK249" i="52" a="1"/>
  <c r="AK249" i="52" s="1"/>
  <c r="B251" i="53" s="1"/>
  <c r="O251" i="53" s="1"/>
  <c r="J250" i="53"/>
  <c r="H250" i="53"/>
  <c r="I250" i="53"/>
  <c r="F250" i="53"/>
  <c r="E250" i="53"/>
  <c r="D250" i="53"/>
  <c r="L250" i="53"/>
  <c r="C250" i="53"/>
  <c r="G250" i="53"/>
  <c r="P250" i="53"/>
  <c r="K250" i="53"/>
  <c r="A180" i="32"/>
  <c r="B180" i="32"/>
  <c r="R180" i="32" s="1"/>
  <c r="A190" i="50"/>
  <c r="Q190" i="50" s="1"/>
  <c r="P190" i="50" s="1"/>
  <c r="G190" i="50"/>
  <c r="H190" i="50"/>
  <c r="J190" i="50"/>
  <c r="I190" i="50"/>
  <c r="L190" i="50"/>
  <c r="N190" i="50"/>
  <c r="F190" i="50"/>
  <c r="M190" i="50"/>
  <c r="B190" i="50"/>
  <c r="R190" i="50" s="1"/>
  <c r="K190" i="50"/>
  <c r="M180" i="32"/>
  <c r="H180" i="32"/>
  <c r="I180" i="32"/>
  <c r="L180" i="32"/>
  <c r="N180" i="32"/>
  <c r="O180" i="32"/>
  <c r="F180" i="32"/>
  <c r="AM180" i="32" s="1"/>
  <c r="G180" i="32"/>
  <c r="J180" i="32"/>
  <c r="K180" i="32"/>
  <c r="W188" i="50"/>
  <c r="X188" i="50" s="1"/>
  <c r="Z188" i="50"/>
  <c r="Q249" i="57"/>
  <c r="T249" i="57" s="1"/>
  <c r="C250" i="57"/>
  <c r="M250" i="57" s="1"/>
  <c r="P250" i="57"/>
  <c r="H250" i="57"/>
  <c r="I250" i="57"/>
  <c r="E250" i="57"/>
  <c r="D250" i="57"/>
  <c r="K250" i="57"/>
  <c r="F250" i="57"/>
  <c r="G250" i="57"/>
  <c r="J250" i="57"/>
  <c r="AK249" i="55" a="1"/>
  <c r="AK249" i="55" s="1"/>
  <c r="B251" i="57" s="1"/>
  <c r="O251" i="57" s="1"/>
  <c r="Z178" i="32"/>
  <c r="W178" i="32"/>
  <c r="X178" i="32" s="1"/>
  <c r="AN235" i="67" a="1"/>
  <c r="AN235" i="67" s="1"/>
  <c r="B236" i="69"/>
  <c r="U233" i="69"/>
  <c r="Q233" i="69"/>
  <c r="R233" i="69"/>
  <c r="S233" i="69" s="1"/>
  <c r="Y233" i="69" s="1"/>
  <c r="AB233" i="69" s="1"/>
  <c r="AC233" i="69" s="1"/>
  <c r="AD233" i="69" s="1"/>
  <c r="AE233" i="69"/>
  <c r="C235" i="69"/>
  <c r="D234" i="69"/>
  <c r="E234" i="69" s="1"/>
  <c r="F234" i="69" s="1"/>
  <c r="G234" i="69" s="1"/>
  <c r="H234" i="69" s="1"/>
  <c r="I234" i="69" s="1"/>
  <c r="J234" i="69" s="1"/>
  <c r="K234" i="69" s="1"/>
  <c r="M234" i="69" s="1"/>
  <c r="N234" i="69"/>
  <c r="AF234" i="69" s="1"/>
  <c r="AL180" i="11" a="1"/>
  <c r="AL180" i="11" s="1"/>
  <c r="E181" i="32" s="1"/>
  <c r="AL190" i="59" a="1"/>
  <c r="AL190" i="59" s="1"/>
  <c r="E191" i="50" s="1"/>
  <c r="AM80" i="59" a="1"/>
  <c r="AM80" i="59" s="1"/>
  <c r="AM65" i="11" a="1"/>
  <c r="AM65" i="11" s="1"/>
  <c r="AB248" i="57" l="1"/>
  <c r="AA248" i="57"/>
  <c r="L236" i="69"/>
  <c r="O236" i="69"/>
  <c r="AG233" i="69"/>
  <c r="AO235" i="69"/>
  <c r="P235" i="69"/>
  <c r="AK191" i="50"/>
  <c r="T191" i="50"/>
  <c r="X249" i="57"/>
  <c r="AE250" i="53"/>
  <c r="AC250" i="53"/>
  <c r="AF249" i="53"/>
  <c r="AB249" i="53"/>
  <c r="AA249" i="53"/>
  <c r="AK181" i="32"/>
  <c r="T181" i="32"/>
  <c r="AD179" i="32"/>
  <c r="AF248" i="57"/>
  <c r="AE250" i="57"/>
  <c r="AC250" i="57"/>
  <c r="AM190" i="50"/>
  <c r="U190" i="50"/>
  <c r="AD189" i="50"/>
  <c r="AG189" i="50" s="1"/>
  <c r="AH189" i="50" s="1"/>
  <c r="AI189" i="50" s="1"/>
  <c r="U180" i="32"/>
  <c r="AG178" i="32"/>
  <c r="AH178" i="32" s="1"/>
  <c r="AL178" i="32"/>
  <c r="AI177" i="32"/>
  <c r="AN177" i="32" s="1"/>
  <c r="AP187" i="50"/>
  <c r="R250" i="57"/>
  <c r="R250" i="53"/>
  <c r="X250" i="53" s="1"/>
  <c r="AL188" i="50"/>
  <c r="Q180" i="32"/>
  <c r="P180" i="32" s="1"/>
  <c r="AX234" i="69"/>
  <c r="L251" i="57"/>
  <c r="AG251" i="57"/>
  <c r="O191" i="50"/>
  <c r="AJ250" i="57"/>
  <c r="AP250" i="57"/>
  <c r="AG250" i="53"/>
  <c r="Q250" i="53"/>
  <c r="AH250" i="53"/>
  <c r="AT250" i="53"/>
  <c r="AD250" i="53"/>
  <c r="N251" i="57"/>
  <c r="G251" i="53"/>
  <c r="N251" i="53"/>
  <c r="AH234" i="69"/>
  <c r="AJ189" i="50"/>
  <c r="C189" i="50"/>
  <c r="AJ179" i="32"/>
  <c r="C179" i="32"/>
  <c r="AD250" i="57"/>
  <c r="V189" i="50"/>
  <c r="S190" i="50"/>
  <c r="S180" i="32"/>
  <c r="I251" i="53"/>
  <c r="J251" i="53"/>
  <c r="K251" i="53"/>
  <c r="M251" i="53"/>
  <c r="P251" i="53"/>
  <c r="AK250" i="52" a="1"/>
  <c r="AK250" i="52" s="1"/>
  <c r="B252" i="53" s="1"/>
  <c r="O252" i="53" s="1"/>
  <c r="H251" i="53"/>
  <c r="C251" i="53"/>
  <c r="E251" i="53"/>
  <c r="F251" i="53"/>
  <c r="L251" i="53"/>
  <c r="D251" i="53"/>
  <c r="A181" i="32"/>
  <c r="B181" i="32"/>
  <c r="R181" i="32" s="1"/>
  <c r="I191" i="50"/>
  <c r="A191" i="50"/>
  <c r="Q191" i="50" s="1"/>
  <c r="P191" i="50" s="1"/>
  <c r="M191" i="50"/>
  <c r="K191" i="50"/>
  <c r="N191" i="50"/>
  <c r="H191" i="50"/>
  <c r="B191" i="50"/>
  <c r="R191" i="50" s="1"/>
  <c r="L191" i="50"/>
  <c r="F191" i="50"/>
  <c r="G191" i="50"/>
  <c r="J191" i="50"/>
  <c r="K181" i="32"/>
  <c r="F181" i="32"/>
  <c r="AM181" i="32" s="1"/>
  <c r="N181" i="32"/>
  <c r="G181" i="32"/>
  <c r="O181" i="32"/>
  <c r="J181" i="32"/>
  <c r="H181" i="32"/>
  <c r="I181" i="32"/>
  <c r="L181" i="32"/>
  <c r="M181" i="32"/>
  <c r="W189" i="50"/>
  <c r="X189" i="50" s="1"/>
  <c r="Z189" i="50"/>
  <c r="H251" i="57"/>
  <c r="D251" i="57"/>
  <c r="P251" i="57"/>
  <c r="E251" i="57"/>
  <c r="J251" i="57"/>
  <c r="F251" i="57"/>
  <c r="C251" i="57"/>
  <c r="M251" i="57" s="1"/>
  <c r="K251" i="57"/>
  <c r="G251" i="57"/>
  <c r="I251" i="57"/>
  <c r="Q250" i="57"/>
  <c r="T250" i="57" s="1"/>
  <c r="AK250" i="55" a="1"/>
  <c r="AK250" i="55" s="1"/>
  <c r="B252" i="57" s="1"/>
  <c r="O252" i="57" s="1"/>
  <c r="W179" i="32"/>
  <c r="X179" i="32" s="1"/>
  <c r="Z179" i="32"/>
  <c r="AN236" i="67" a="1"/>
  <c r="AN236" i="67" s="1"/>
  <c r="B237" i="69"/>
  <c r="D235" i="69"/>
  <c r="E235" i="69" s="1"/>
  <c r="F235" i="69" s="1"/>
  <c r="G235" i="69" s="1"/>
  <c r="H235" i="69" s="1"/>
  <c r="I235" i="69" s="1"/>
  <c r="J235" i="69" s="1"/>
  <c r="K235" i="69" s="1"/>
  <c r="M235" i="69" s="1"/>
  <c r="N235" i="69"/>
  <c r="AF235" i="69" s="1"/>
  <c r="AE234" i="69"/>
  <c r="Q234" i="69"/>
  <c r="U234" i="69"/>
  <c r="R234" i="69"/>
  <c r="S234" i="69" s="1"/>
  <c r="Y234" i="69" s="1"/>
  <c r="AB234" i="69" s="1"/>
  <c r="AC234" i="69" s="1"/>
  <c r="AD234" i="69" s="1"/>
  <c r="C236" i="69"/>
  <c r="AL181" i="11" a="1"/>
  <c r="AL181" i="11" s="1"/>
  <c r="AL191" i="59" a="1"/>
  <c r="AL191" i="59" s="1"/>
  <c r="E192" i="50" s="1"/>
  <c r="AM81" i="59" a="1"/>
  <c r="AM81" i="59" s="1"/>
  <c r="AM66" i="11" a="1"/>
  <c r="AM66" i="11" s="1"/>
  <c r="AF249" i="57" l="1"/>
  <c r="AA249" i="57"/>
  <c r="L237" i="69"/>
  <c r="O237" i="69"/>
  <c r="AO236" i="69"/>
  <c r="P236" i="69"/>
  <c r="AG234" i="69"/>
  <c r="AK192" i="50"/>
  <c r="T192" i="50"/>
  <c r="AB249" i="57"/>
  <c r="X250" i="57"/>
  <c r="AA250" i="57" s="1"/>
  <c r="AB250" i="53"/>
  <c r="AA250" i="53"/>
  <c r="AE251" i="53"/>
  <c r="AC251" i="53"/>
  <c r="AF250" i="53"/>
  <c r="AD180" i="32"/>
  <c r="AE251" i="57"/>
  <c r="AC251" i="57"/>
  <c r="AM191" i="50"/>
  <c r="U191" i="50"/>
  <c r="AD190" i="50"/>
  <c r="AG190" i="50" s="1"/>
  <c r="AH190" i="50" s="1"/>
  <c r="AI190" i="50" s="1"/>
  <c r="U181" i="32"/>
  <c r="AG179" i="32"/>
  <c r="AH179" i="32" s="1"/>
  <c r="AL179" i="32"/>
  <c r="AI178" i="32"/>
  <c r="AN178" i="32" s="1"/>
  <c r="AP188" i="50"/>
  <c r="R251" i="57"/>
  <c r="R251" i="53"/>
  <c r="X251" i="53" s="1"/>
  <c r="AL189" i="50"/>
  <c r="Q181" i="32"/>
  <c r="P181" i="32" s="1"/>
  <c r="AX235" i="69"/>
  <c r="AG252" i="57"/>
  <c r="L252" i="57"/>
  <c r="O192" i="50"/>
  <c r="AJ251" i="57"/>
  <c r="AP251" i="57"/>
  <c r="AH251" i="53"/>
  <c r="AT251" i="53"/>
  <c r="AG251" i="53"/>
  <c r="N252" i="57"/>
  <c r="N252" i="53"/>
  <c r="AH235" i="69"/>
  <c r="C180" i="32"/>
  <c r="V180" i="32"/>
  <c r="AJ190" i="50"/>
  <c r="C190" i="50"/>
  <c r="AD251" i="57"/>
  <c r="AD251" i="53"/>
  <c r="AJ180" i="32"/>
  <c r="S191" i="50"/>
  <c r="V190" i="50"/>
  <c r="S181" i="32"/>
  <c r="V181" i="32" s="1"/>
  <c r="Q251" i="53"/>
  <c r="F252" i="53"/>
  <c r="L252" i="53"/>
  <c r="H252" i="53"/>
  <c r="D252" i="53"/>
  <c r="E252" i="53"/>
  <c r="M252" i="53"/>
  <c r="G252" i="53"/>
  <c r="K252" i="53"/>
  <c r="C252" i="53"/>
  <c r="J252" i="53"/>
  <c r="AK251" i="52" a="1"/>
  <c r="AK251" i="52" s="1"/>
  <c r="B253" i="53" s="1"/>
  <c r="O253" i="53" s="1"/>
  <c r="P252" i="53"/>
  <c r="I252" i="53"/>
  <c r="G192" i="50"/>
  <c r="H192" i="50"/>
  <c r="M192" i="50"/>
  <c r="F192" i="50"/>
  <c r="N192" i="50"/>
  <c r="L192" i="50"/>
  <c r="B192" i="50"/>
  <c r="R192" i="50" s="1"/>
  <c r="K192" i="50"/>
  <c r="I192" i="50"/>
  <c r="J192" i="50"/>
  <c r="A192" i="50"/>
  <c r="Q192" i="50" s="1"/>
  <c r="P192" i="50" s="1"/>
  <c r="Q251" i="57"/>
  <c r="T251" i="57" s="1"/>
  <c r="W190" i="50"/>
  <c r="X190" i="50" s="1"/>
  <c r="Z190" i="50"/>
  <c r="F252" i="57"/>
  <c r="J252" i="57"/>
  <c r="E252" i="57"/>
  <c r="H252" i="57"/>
  <c r="K252" i="57"/>
  <c r="G252" i="57"/>
  <c r="D252" i="57"/>
  <c r="I252" i="57"/>
  <c r="C252" i="57"/>
  <c r="M252" i="57" s="1"/>
  <c r="P252" i="57"/>
  <c r="E182" i="32"/>
  <c r="AK251" i="55" a="1"/>
  <c r="AK251" i="55" s="1"/>
  <c r="B253" i="57" s="1"/>
  <c r="O253" i="57" s="1"/>
  <c r="W180" i="32"/>
  <c r="X180" i="32" s="1"/>
  <c r="Z180" i="32"/>
  <c r="C237" i="69"/>
  <c r="R235" i="69"/>
  <c r="S235" i="69" s="1"/>
  <c r="Y235" i="69" s="1"/>
  <c r="AB235" i="69" s="1"/>
  <c r="AC235" i="69" s="1"/>
  <c r="AD235" i="69" s="1"/>
  <c r="Q235" i="69"/>
  <c r="U235" i="69"/>
  <c r="AE235" i="69"/>
  <c r="D236" i="69"/>
  <c r="E236" i="69" s="1"/>
  <c r="F236" i="69" s="1"/>
  <c r="G236" i="69" s="1"/>
  <c r="H236" i="69" s="1"/>
  <c r="I236" i="69" s="1"/>
  <c r="J236" i="69" s="1"/>
  <c r="K236" i="69" s="1"/>
  <c r="M236" i="69" s="1"/>
  <c r="N236" i="69"/>
  <c r="AF236" i="69" s="1"/>
  <c r="AN237" i="67" a="1"/>
  <c r="AN237" i="67" s="1"/>
  <c r="B238" i="69"/>
  <c r="AL182" i="11" a="1"/>
  <c r="AL182" i="11" s="1"/>
  <c r="E183" i="32" s="1"/>
  <c r="AL192" i="59" a="1"/>
  <c r="AL192" i="59" s="1"/>
  <c r="E193" i="50" s="1"/>
  <c r="AM82" i="59" a="1"/>
  <c r="AM82" i="59" s="1"/>
  <c r="AM67" i="11" a="1"/>
  <c r="AM67" i="11" s="1"/>
  <c r="AG235" i="69" l="1"/>
  <c r="L238" i="69"/>
  <c r="O238" i="69"/>
  <c r="AO237" i="69"/>
  <c r="P237" i="69"/>
  <c r="T193" i="50"/>
  <c r="AK193" i="50"/>
  <c r="AF250" i="57"/>
  <c r="AB250" i="57"/>
  <c r="X251" i="57"/>
  <c r="AA251" i="57" s="1"/>
  <c r="AE252" i="53"/>
  <c r="AC252" i="53"/>
  <c r="AB251" i="53"/>
  <c r="AA251" i="53"/>
  <c r="AF251" i="53"/>
  <c r="AK183" i="32"/>
  <c r="T183" i="32"/>
  <c r="AK182" i="32"/>
  <c r="T182" i="32"/>
  <c r="AD181" i="32"/>
  <c r="AE252" i="57"/>
  <c r="AC252" i="57"/>
  <c r="AM192" i="50"/>
  <c r="U192" i="50"/>
  <c r="AD191" i="50"/>
  <c r="AG191" i="50" s="1"/>
  <c r="AH191" i="50" s="1"/>
  <c r="AI191" i="50" s="1"/>
  <c r="AG180" i="32"/>
  <c r="AH180" i="32" s="1"/>
  <c r="AL180" i="32"/>
  <c r="AP189" i="50"/>
  <c r="R252" i="57"/>
  <c r="R252" i="53"/>
  <c r="X252" i="53" s="1"/>
  <c r="AL190" i="50"/>
  <c r="AI179" i="32"/>
  <c r="AN179" i="32" s="1"/>
  <c r="AX236" i="69"/>
  <c r="L253" i="57"/>
  <c r="AG253" i="57"/>
  <c r="O193" i="50"/>
  <c r="AJ252" i="57"/>
  <c r="AP252" i="57"/>
  <c r="AG252" i="53"/>
  <c r="AH252" i="53"/>
  <c r="AT252" i="53"/>
  <c r="N253" i="57"/>
  <c r="F253" i="53"/>
  <c r="N253" i="53"/>
  <c r="AH236" i="69"/>
  <c r="AJ191" i="50"/>
  <c r="C191" i="50"/>
  <c r="AJ181" i="32"/>
  <c r="C181" i="32"/>
  <c r="AD252" i="57"/>
  <c r="AD252" i="53"/>
  <c r="S192" i="50"/>
  <c r="V191" i="50"/>
  <c r="Q252" i="53"/>
  <c r="M253" i="53"/>
  <c r="K253" i="53"/>
  <c r="C253" i="53"/>
  <c r="H253" i="53"/>
  <c r="I253" i="53"/>
  <c r="P253" i="53"/>
  <c r="G253" i="53"/>
  <c r="J253" i="53"/>
  <c r="E253" i="53"/>
  <c r="AK252" i="52" a="1"/>
  <c r="AK252" i="52" s="1"/>
  <c r="B254" i="53" s="1"/>
  <c r="O254" i="53" s="1"/>
  <c r="L253" i="53"/>
  <c r="D253" i="53"/>
  <c r="A183" i="32"/>
  <c r="B183" i="32"/>
  <c r="R183" i="32" s="1"/>
  <c r="A182" i="32"/>
  <c r="B182" i="32"/>
  <c r="R182" i="32" s="1"/>
  <c r="H193" i="50"/>
  <c r="B193" i="50"/>
  <c r="R193" i="50" s="1"/>
  <c r="J193" i="50"/>
  <c r="I193" i="50"/>
  <c r="A193" i="50"/>
  <c r="Q193" i="50" s="1"/>
  <c r="P193" i="50" s="1"/>
  <c r="G193" i="50"/>
  <c r="M193" i="50"/>
  <c r="K193" i="50"/>
  <c r="N193" i="50"/>
  <c r="F193" i="50"/>
  <c r="L193" i="50"/>
  <c r="I182" i="32"/>
  <c r="L182" i="32"/>
  <c r="M182" i="32"/>
  <c r="H182" i="32"/>
  <c r="J182" i="32"/>
  <c r="K182" i="32"/>
  <c r="N182" i="32"/>
  <c r="O182" i="32"/>
  <c r="G182" i="32"/>
  <c r="F182" i="32"/>
  <c r="AM182" i="32" s="1"/>
  <c r="G183" i="32"/>
  <c r="O183" i="32"/>
  <c r="J183" i="32"/>
  <c r="K183" i="32"/>
  <c r="F183" i="32"/>
  <c r="AM183" i="32" s="1"/>
  <c r="N183" i="32"/>
  <c r="H183" i="32"/>
  <c r="I183" i="32"/>
  <c r="L183" i="32"/>
  <c r="M183" i="32"/>
  <c r="Q252" i="57"/>
  <c r="T252" i="57" s="1"/>
  <c r="P253" i="57"/>
  <c r="H253" i="57"/>
  <c r="F253" i="57"/>
  <c r="D253" i="57"/>
  <c r="I253" i="57"/>
  <c r="E253" i="57"/>
  <c r="J253" i="57"/>
  <c r="G253" i="57"/>
  <c r="K253" i="57"/>
  <c r="C253" i="57"/>
  <c r="M253" i="57" s="1"/>
  <c r="W191" i="50"/>
  <c r="X191" i="50" s="1"/>
  <c r="Z191" i="50"/>
  <c r="AK252" i="55" a="1"/>
  <c r="AK252" i="55" s="1"/>
  <c r="B254" i="57" s="1"/>
  <c r="O254" i="57" s="1"/>
  <c r="W181" i="32"/>
  <c r="X181" i="32" s="1"/>
  <c r="Z181" i="32"/>
  <c r="D237" i="69"/>
  <c r="E237" i="69" s="1"/>
  <c r="F237" i="69" s="1"/>
  <c r="G237" i="69" s="1"/>
  <c r="H237" i="69" s="1"/>
  <c r="I237" i="69" s="1"/>
  <c r="J237" i="69" s="1"/>
  <c r="K237" i="69" s="1"/>
  <c r="M237" i="69" s="1"/>
  <c r="N237" i="69"/>
  <c r="AF237" i="69" s="1"/>
  <c r="R236" i="69"/>
  <c r="S236" i="69" s="1"/>
  <c r="Y236" i="69" s="1"/>
  <c r="AE236" i="69"/>
  <c r="Q236" i="69"/>
  <c r="U236" i="69"/>
  <c r="AN238" i="67" a="1"/>
  <c r="AN238" i="67" s="1"/>
  <c r="B239" i="69"/>
  <c r="C238" i="69"/>
  <c r="AL183" i="11" a="1"/>
  <c r="AL183" i="11" s="1"/>
  <c r="E184" i="32" s="1"/>
  <c r="AL193" i="59" a="1"/>
  <c r="AL193" i="59" s="1"/>
  <c r="E194" i="50" s="1"/>
  <c r="AM83" i="59" a="1"/>
  <c r="AM83" i="59" s="1"/>
  <c r="AM68" i="11" a="1"/>
  <c r="AM68" i="11" s="1"/>
  <c r="AB236" i="69" l="1"/>
  <c r="AC236" i="69" s="1"/>
  <c r="AD236" i="69" s="1"/>
  <c r="AG236" i="69"/>
  <c r="AO238" i="69"/>
  <c r="P238" i="69"/>
  <c r="L239" i="69"/>
  <c r="O239" i="69"/>
  <c r="X252" i="57"/>
  <c r="T194" i="50"/>
  <c r="AK194" i="50"/>
  <c r="AF251" i="57"/>
  <c r="AB251" i="57"/>
  <c r="AB252" i="53"/>
  <c r="AA252" i="53"/>
  <c r="AE253" i="53"/>
  <c r="AC253" i="53"/>
  <c r="AF252" i="53"/>
  <c r="AK184" i="32"/>
  <c r="T184" i="32"/>
  <c r="AE253" i="57"/>
  <c r="AC253" i="57"/>
  <c r="AM193" i="50"/>
  <c r="U193" i="50"/>
  <c r="AD192" i="50"/>
  <c r="AG192" i="50" s="1"/>
  <c r="AH192" i="50" s="1"/>
  <c r="AI192" i="50" s="1"/>
  <c r="U182" i="32"/>
  <c r="AG181" i="32"/>
  <c r="AH181" i="32" s="1"/>
  <c r="AL181" i="32"/>
  <c r="U183" i="32"/>
  <c r="AI180" i="32"/>
  <c r="AN180" i="32" s="1"/>
  <c r="AP190" i="50"/>
  <c r="R253" i="57"/>
  <c r="R253" i="53"/>
  <c r="X253" i="53" s="1"/>
  <c r="AL191" i="50"/>
  <c r="Q183" i="32"/>
  <c r="P183" i="32" s="1"/>
  <c r="Q182" i="32"/>
  <c r="P182" i="32" s="1"/>
  <c r="AX237" i="69"/>
  <c r="AG254" i="57"/>
  <c r="L254" i="57"/>
  <c r="O194" i="50"/>
  <c r="AJ253" i="57"/>
  <c r="AP253" i="57"/>
  <c r="AH253" i="53"/>
  <c r="AT253" i="53"/>
  <c r="AG253" i="53"/>
  <c r="N254" i="57"/>
  <c r="C254" i="53"/>
  <c r="N254" i="53"/>
  <c r="AH237" i="69"/>
  <c r="AJ192" i="50"/>
  <c r="C192" i="50"/>
  <c r="AD253" i="57"/>
  <c r="AD253" i="53"/>
  <c r="Q253" i="53"/>
  <c r="V192" i="50"/>
  <c r="S193" i="50"/>
  <c r="S183" i="32"/>
  <c r="V183" i="32" s="1"/>
  <c r="S182" i="32"/>
  <c r="V182" i="32" s="1"/>
  <c r="F254" i="53"/>
  <c r="D254" i="53"/>
  <c r="P254" i="53"/>
  <c r="AK253" i="52" a="1"/>
  <c r="AK253" i="52" s="1"/>
  <c r="B255" i="53" s="1"/>
  <c r="O255" i="53" s="1"/>
  <c r="M254" i="53"/>
  <c r="J254" i="53"/>
  <c r="E254" i="53"/>
  <c r="L254" i="53"/>
  <c r="K254" i="53"/>
  <c r="I254" i="53"/>
  <c r="H254" i="53"/>
  <c r="G254" i="53"/>
  <c r="A184" i="32"/>
  <c r="B184" i="32"/>
  <c r="R184" i="32" s="1"/>
  <c r="F194" i="50"/>
  <c r="A194" i="50"/>
  <c r="Q194" i="50" s="1"/>
  <c r="P194" i="50" s="1"/>
  <c r="N194" i="50"/>
  <c r="B194" i="50"/>
  <c r="R194" i="50" s="1"/>
  <c r="J194" i="50"/>
  <c r="M194" i="50"/>
  <c r="L194" i="50"/>
  <c r="K194" i="50"/>
  <c r="I194" i="50"/>
  <c r="G194" i="50"/>
  <c r="H194" i="50"/>
  <c r="M184" i="32"/>
  <c r="H184" i="32"/>
  <c r="I184" i="32"/>
  <c r="L184" i="32"/>
  <c r="F184" i="32"/>
  <c r="AM184" i="32" s="1"/>
  <c r="G184" i="32"/>
  <c r="J184" i="32"/>
  <c r="K184" i="32"/>
  <c r="N184" i="32"/>
  <c r="O184" i="32"/>
  <c r="Q253" i="57"/>
  <c r="T253" i="57" s="1"/>
  <c r="Z192" i="50"/>
  <c r="W192" i="50"/>
  <c r="X192" i="50" s="1"/>
  <c r="I254" i="57"/>
  <c r="E254" i="57"/>
  <c r="D254" i="57"/>
  <c r="K254" i="57"/>
  <c r="F254" i="57"/>
  <c r="G254" i="57"/>
  <c r="J254" i="57"/>
  <c r="P254" i="57"/>
  <c r="C254" i="57"/>
  <c r="M254" i="57" s="1"/>
  <c r="H254" i="57"/>
  <c r="AK253" i="55" a="1"/>
  <c r="AK253" i="55" s="1"/>
  <c r="B255" i="57" s="1"/>
  <c r="O255" i="57" s="1"/>
  <c r="AN239" i="67" a="1"/>
  <c r="AN239" i="67" s="1"/>
  <c r="B240" i="69"/>
  <c r="U237" i="69"/>
  <c r="Q237" i="69"/>
  <c r="AE237" i="69"/>
  <c r="R237" i="69"/>
  <c r="S237" i="69" s="1"/>
  <c r="Y237" i="69" s="1"/>
  <c r="C239" i="69"/>
  <c r="D238" i="69"/>
  <c r="E238" i="69" s="1"/>
  <c r="F238" i="69" s="1"/>
  <c r="G238" i="69" s="1"/>
  <c r="H238" i="69" s="1"/>
  <c r="I238" i="69" s="1"/>
  <c r="J238" i="69" s="1"/>
  <c r="K238" i="69" s="1"/>
  <c r="M238" i="69" s="1"/>
  <c r="N238" i="69"/>
  <c r="AF238" i="69" s="1"/>
  <c r="AL184" i="11" a="1"/>
  <c r="AL184" i="11" s="1"/>
  <c r="E185" i="32" s="1"/>
  <c r="AL194" i="59" a="1"/>
  <c r="AL194" i="59" s="1"/>
  <c r="E195" i="50" s="1"/>
  <c r="AM84" i="59" a="1"/>
  <c r="AM84" i="59" s="1"/>
  <c r="AM69" i="11" a="1"/>
  <c r="AM69" i="11" s="1"/>
  <c r="AB252" i="57" l="1"/>
  <c r="AA252" i="57"/>
  <c r="AB237" i="69"/>
  <c r="AC237" i="69" s="1"/>
  <c r="AD237" i="69" s="1"/>
  <c r="AG237" i="69"/>
  <c r="L240" i="69"/>
  <c r="O240" i="69"/>
  <c r="AO239" i="69"/>
  <c r="P239" i="69"/>
  <c r="AF252" i="57"/>
  <c r="T195" i="50"/>
  <c r="AK195" i="50"/>
  <c r="AE254" i="53"/>
  <c r="AC254" i="53"/>
  <c r="AF253" i="53"/>
  <c r="AB253" i="53"/>
  <c r="AA253" i="53"/>
  <c r="AK185" i="32"/>
  <c r="T185" i="32"/>
  <c r="AD183" i="32"/>
  <c r="AD182" i="32"/>
  <c r="X253" i="57"/>
  <c r="AE254" i="57"/>
  <c r="AC254" i="57"/>
  <c r="AD193" i="50"/>
  <c r="AG193" i="50" s="1"/>
  <c r="AH193" i="50" s="1"/>
  <c r="AI193" i="50" s="1"/>
  <c r="AM194" i="50"/>
  <c r="U194" i="50"/>
  <c r="U184" i="32"/>
  <c r="AI181" i="32"/>
  <c r="AN181" i="32" s="1"/>
  <c r="AP191" i="50"/>
  <c r="R254" i="57"/>
  <c r="R254" i="53"/>
  <c r="X254" i="53" s="1"/>
  <c r="AL192" i="50"/>
  <c r="Q184" i="32"/>
  <c r="P184" i="32" s="1"/>
  <c r="AX238" i="69"/>
  <c r="AG255" i="57"/>
  <c r="L255" i="57"/>
  <c r="O195" i="50"/>
  <c r="AJ254" i="57"/>
  <c r="AP254" i="57"/>
  <c r="AG254" i="53"/>
  <c r="AH254" i="53"/>
  <c r="AT254" i="53"/>
  <c r="N255" i="57"/>
  <c r="P255" i="53"/>
  <c r="N255" i="53"/>
  <c r="AH238" i="69"/>
  <c r="AJ193" i="50"/>
  <c r="C193" i="50"/>
  <c r="AJ182" i="32"/>
  <c r="C182" i="32"/>
  <c r="AJ183" i="32"/>
  <c r="C183" i="32"/>
  <c r="AD254" i="57"/>
  <c r="AD254" i="53"/>
  <c r="Q254" i="53"/>
  <c r="V193" i="50"/>
  <c r="S194" i="50"/>
  <c r="S184" i="32"/>
  <c r="V184" i="32" s="1"/>
  <c r="AK254" i="52" a="1"/>
  <c r="AK254" i="52" s="1"/>
  <c r="B256" i="53" s="1"/>
  <c r="O256" i="53" s="1"/>
  <c r="G255" i="53"/>
  <c r="H255" i="53"/>
  <c r="L255" i="53"/>
  <c r="D255" i="53"/>
  <c r="J255" i="53"/>
  <c r="I255" i="53"/>
  <c r="C255" i="53"/>
  <c r="E255" i="53"/>
  <c r="F255" i="53"/>
  <c r="K255" i="53"/>
  <c r="M255" i="53"/>
  <c r="A185" i="32"/>
  <c r="B185" i="32"/>
  <c r="R185" i="32" s="1"/>
  <c r="M195" i="50"/>
  <c r="G195" i="50"/>
  <c r="J195" i="50"/>
  <c r="B195" i="50"/>
  <c r="R195" i="50" s="1"/>
  <c r="I195" i="50"/>
  <c r="K195" i="50"/>
  <c r="L195" i="50"/>
  <c r="N195" i="50"/>
  <c r="H195" i="50"/>
  <c r="F195" i="50"/>
  <c r="A195" i="50"/>
  <c r="Q195" i="50" s="1"/>
  <c r="P195" i="50" s="1"/>
  <c r="K185" i="32"/>
  <c r="F185" i="32"/>
  <c r="AM185" i="32" s="1"/>
  <c r="N185" i="32"/>
  <c r="G185" i="32"/>
  <c r="O185" i="32"/>
  <c r="J185" i="32"/>
  <c r="L185" i="32"/>
  <c r="M185" i="32"/>
  <c r="H185" i="32"/>
  <c r="I185" i="32"/>
  <c r="Z182" i="32"/>
  <c r="W182" i="32"/>
  <c r="X182" i="32" s="1"/>
  <c r="Q254" i="57"/>
  <c r="T254" i="57" s="1"/>
  <c r="P255" i="57"/>
  <c r="H255" i="57"/>
  <c r="D255" i="57"/>
  <c r="J255" i="57"/>
  <c r="K255" i="57"/>
  <c r="F255" i="57"/>
  <c r="I255" i="57"/>
  <c r="G255" i="57"/>
  <c r="E255" i="57"/>
  <c r="C255" i="57"/>
  <c r="M255" i="57" s="1"/>
  <c r="Z193" i="50"/>
  <c r="W193" i="50"/>
  <c r="X193" i="50" s="1"/>
  <c r="AK254" i="55" a="1"/>
  <c r="AK254" i="55" s="1"/>
  <c r="B256" i="57" s="1"/>
  <c r="O256" i="57" s="1"/>
  <c r="W183" i="32"/>
  <c r="X183" i="32" s="1"/>
  <c r="Z183" i="32"/>
  <c r="AN240" i="67" a="1"/>
  <c r="AN240" i="67" s="1"/>
  <c r="B241" i="69"/>
  <c r="AE238" i="69"/>
  <c r="U238" i="69"/>
  <c r="Q238" i="69"/>
  <c r="R238" i="69"/>
  <c r="S238" i="69" s="1"/>
  <c r="Y238" i="69" s="1"/>
  <c r="D239" i="69"/>
  <c r="E239" i="69" s="1"/>
  <c r="F239" i="69" s="1"/>
  <c r="G239" i="69" s="1"/>
  <c r="H239" i="69" s="1"/>
  <c r="I239" i="69" s="1"/>
  <c r="J239" i="69" s="1"/>
  <c r="K239" i="69" s="1"/>
  <c r="M239" i="69" s="1"/>
  <c r="N239" i="69"/>
  <c r="AF239" i="69" s="1"/>
  <c r="C240" i="69"/>
  <c r="AL185" i="11" a="1"/>
  <c r="AL185" i="11" s="1"/>
  <c r="E186" i="32" s="1"/>
  <c r="AL195" i="59" a="1"/>
  <c r="AL195" i="59" s="1"/>
  <c r="E196" i="50" s="1"/>
  <c r="AM85" i="59" a="1"/>
  <c r="AM85" i="59" s="1"/>
  <c r="AM70" i="11" a="1"/>
  <c r="AM70" i="11" s="1"/>
  <c r="AB253" i="57" l="1"/>
  <c r="AA253" i="57"/>
  <c r="AB238" i="69"/>
  <c r="AC238" i="69" s="1"/>
  <c r="AD238" i="69" s="1"/>
  <c r="AG238" i="69"/>
  <c r="L241" i="69"/>
  <c r="O241" i="69"/>
  <c r="AO240" i="69"/>
  <c r="P240" i="69"/>
  <c r="T196" i="50"/>
  <c r="AK196" i="50"/>
  <c r="X254" i="57"/>
  <c r="AE255" i="53"/>
  <c r="AC255" i="53"/>
  <c r="AF254" i="53"/>
  <c r="AB254" i="53"/>
  <c r="AA254" i="53"/>
  <c r="AK186" i="32"/>
  <c r="T186" i="32"/>
  <c r="AD184" i="32"/>
  <c r="AF253" i="57"/>
  <c r="AE255" i="57"/>
  <c r="AC255" i="57"/>
  <c r="AM195" i="50"/>
  <c r="U195" i="50"/>
  <c r="AD194" i="50"/>
  <c r="AG194" i="50" s="1"/>
  <c r="AH194" i="50" s="1"/>
  <c r="AI194" i="50" s="1"/>
  <c r="AG183" i="32"/>
  <c r="AH183" i="32" s="1"/>
  <c r="AL183" i="32"/>
  <c r="U185" i="32"/>
  <c r="AG182" i="32"/>
  <c r="AH182" i="32" s="1"/>
  <c r="AL182" i="32"/>
  <c r="AP192" i="50"/>
  <c r="AE238" i="65"/>
  <c r="AH238" i="65" s="1"/>
  <c r="R255" i="57"/>
  <c r="R255" i="53"/>
  <c r="X255" i="53" s="1"/>
  <c r="AL193" i="50"/>
  <c r="Q185" i="32"/>
  <c r="P185" i="32" s="1"/>
  <c r="AX239" i="69"/>
  <c r="AG256" i="57"/>
  <c r="L256" i="57"/>
  <c r="O196" i="50"/>
  <c r="AJ255" i="57"/>
  <c r="AP255" i="57"/>
  <c r="AV238" i="65"/>
  <c r="AH255" i="53"/>
  <c r="AT255" i="53"/>
  <c r="AG255" i="53"/>
  <c r="N256" i="57"/>
  <c r="N256" i="53"/>
  <c r="AH239" i="69"/>
  <c r="AJ194" i="50"/>
  <c r="C194" i="50"/>
  <c r="AJ184" i="32"/>
  <c r="C184" i="32"/>
  <c r="AD255" i="57"/>
  <c r="Q255" i="53"/>
  <c r="AD255" i="53"/>
  <c r="V194" i="50"/>
  <c r="S195" i="50"/>
  <c r="S185" i="32"/>
  <c r="V185" i="32" s="1"/>
  <c r="L256" i="53"/>
  <c r="G256" i="53"/>
  <c r="M256" i="53"/>
  <c r="P256" i="53"/>
  <c r="E256" i="53"/>
  <c r="K256" i="53"/>
  <c r="C256" i="53"/>
  <c r="D256" i="53"/>
  <c r="J256" i="53"/>
  <c r="AK255" i="52" a="1"/>
  <c r="AK255" i="52" s="1"/>
  <c r="B257" i="53" s="1"/>
  <c r="O257" i="53" s="1"/>
  <c r="I256" i="53"/>
  <c r="F256" i="53"/>
  <c r="H256" i="53"/>
  <c r="A186" i="32"/>
  <c r="B186" i="32"/>
  <c r="R186" i="32" s="1"/>
  <c r="I196" i="50"/>
  <c r="F196" i="50"/>
  <c r="K196" i="50"/>
  <c r="G196" i="50"/>
  <c r="M196" i="50"/>
  <c r="N196" i="50"/>
  <c r="J196" i="50"/>
  <c r="A196" i="50"/>
  <c r="Q196" i="50" s="1"/>
  <c r="P196" i="50" s="1"/>
  <c r="B196" i="50"/>
  <c r="R196" i="50" s="1"/>
  <c r="H196" i="50"/>
  <c r="L196" i="50"/>
  <c r="I186" i="32"/>
  <c r="L186" i="32"/>
  <c r="M186" i="32"/>
  <c r="H186" i="32"/>
  <c r="F186" i="32"/>
  <c r="AM186" i="32" s="1"/>
  <c r="G186" i="32"/>
  <c r="J186" i="32"/>
  <c r="K186" i="32"/>
  <c r="O186" i="32"/>
  <c r="N186" i="32"/>
  <c r="Z194" i="50"/>
  <c r="W194" i="50"/>
  <c r="X194" i="50" s="1"/>
  <c r="Q255" i="57"/>
  <c r="T255" i="57" s="1"/>
  <c r="J256" i="57"/>
  <c r="F256" i="57"/>
  <c r="D256" i="57"/>
  <c r="I256" i="57"/>
  <c r="P256" i="57"/>
  <c r="E256" i="57"/>
  <c r="H256" i="57"/>
  <c r="C256" i="57"/>
  <c r="M256" i="57" s="1"/>
  <c r="G256" i="57"/>
  <c r="K256" i="57"/>
  <c r="AK255" i="55" a="1"/>
  <c r="AK255" i="55" s="1"/>
  <c r="B257" i="57" s="1"/>
  <c r="O257" i="57" s="1"/>
  <c r="W184" i="32"/>
  <c r="X184" i="32" s="1"/>
  <c r="Z184" i="32"/>
  <c r="C241" i="69"/>
  <c r="N240" i="69"/>
  <c r="AF240" i="69" s="1"/>
  <c r="D240" i="69"/>
  <c r="E240" i="69" s="1"/>
  <c r="F240" i="69" s="1"/>
  <c r="G240" i="69" s="1"/>
  <c r="H240" i="69" s="1"/>
  <c r="I240" i="69" s="1"/>
  <c r="J240" i="69" s="1"/>
  <c r="K240" i="69" s="1"/>
  <c r="M240" i="69" s="1"/>
  <c r="U239" i="69"/>
  <c r="AE239" i="69"/>
  <c r="Q239" i="69"/>
  <c r="R239" i="69"/>
  <c r="S239" i="69" s="1"/>
  <c r="Y239" i="69" s="1"/>
  <c r="AN241" i="67" a="1"/>
  <c r="AN241" i="67" s="1"/>
  <c r="B242" i="69"/>
  <c r="U238" i="65"/>
  <c r="R238" i="65"/>
  <c r="S238" i="65" s="1"/>
  <c r="AL186" i="11" a="1"/>
  <c r="AL186" i="11" s="1"/>
  <c r="E187" i="32" s="1"/>
  <c r="AL196" i="59" a="1"/>
  <c r="AL196" i="59" s="1"/>
  <c r="E197" i="50" s="1"/>
  <c r="AM86" i="59" a="1"/>
  <c r="AM86" i="59" s="1"/>
  <c r="AM71" i="11" a="1"/>
  <c r="AM71" i="11" s="1"/>
  <c r="AF254" i="57" l="1"/>
  <c r="AA254" i="57"/>
  <c r="AB239" i="69"/>
  <c r="AC239" i="69" s="1"/>
  <c r="AD239" i="69" s="1"/>
  <c r="AG239" i="69"/>
  <c r="AO241" i="69"/>
  <c r="P241" i="69"/>
  <c r="L242" i="69"/>
  <c r="O242" i="69"/>
  <c r="AB254" i="57"/>
  <c r="T197" i="50"/>
  <c r="AK197" i="50"/>
  <c r="AB255" i="53"/>
  <c r="AA255" i="53"/>
  <c r="AE256" i="53"/>
  <c r="AC256" i="53"/>
  <c r="AF255" i="53"/>
  <c r="AK187" i="32"/>
  <c r="T187" i="32"/>
  <c r="AD185" i="32"/>
  <c r="X255" i="57"/>
  <c r="AA255" i="57" s="1"/>
  <c r="AE256" i="57"/>
  <c r="AC256" i="57"/>
  <c r="AD195" i="50"/>
  <c r="AG195" i="50" s="1"/>
  <c r="AH195" i="50" s="1"/>
  <c r="AI195" i="50" s="1"/>
  <c r="AM196" i="50"/>
  <c r="U196" i="50"/>
  <c r="U186" i="32"/>
  <c r="AG184" i="32"/>
  <c r="AH184" i="32" s="1"/>
  <c r="AL184" i="32"/>
  <c r="AI183" i="32"/>
  <c r="AN183" i="32" s="1"/>
  <c r="AP193" i="50"/>
  <c r="R256" i="57"/>
  <c r="R256" i="53"/>
  <c r="X256" i="53" s="1"/>
  <c r="AL194" i="50"/>
  <c r="Q186" i="32"/>
  <c r="P186" i="32" s="1"/>
  <c r="AI182" i="32"/>
  <c r="AN182" i="32" s="1"/>
  <c r="AX240" i="69"/>
  <c r="AG257" i="57"/>
  <c r="L257" i="57"/>
  <c r="O197" i="50"/>
  <c r="AJ256" i="57"/>
  <c r="AP256" i="57"/>
  <c r="AH256" i="53"/>
  <c r="AT256" i="53"/>
  <c r="AG256" i="53"/>
  <c r="N257" i="57"/>
  <c r="N257" i="53"/>
  <c r="AH240" i="69"/>
  <c r="AJ195" i="50"/>
  <c r="C195" i="50"/>
  <c r="AJ185" i="32"/>
  <c r="C185" i="32"/>
  <c r="AD256" i="57"/>
  <c r="Q256" i="53"/>
  <c r="AD256" i="53"/>
  <c r="V195" i="50"/>
  <c r="S196" i="50"/>
  <c r="S186" i="32"/>
  <c r="V186" i="32" s="1"/>
  <c r="J257" i="53"/>
  <c r="F257" i="53"/>
  <c r="AK256" i="52" a="1"/>
  <c r="AK256" i="52" s="1"/>
  <c r="AK257" i="52" s="1" a="1"/>
  <c r="AK257" i="52" s="1"/>
  <c r="M257" i="53"/>
  <c r="L257" i="53"/>
  <c r="K257" i="53"/>
  <c r="D257" i="53"/>
  <c r="E257" i="53"/>
  <c r="H257" i="53"/>
  <c r="I257" i="53"/>
  <c r="P257" i="53"/>
  <c r="P258" i="53" s="1"/>
  <c r="G257" i="53"/>
  <c r="C257" i="53"/>
  <c r="A187" i="32"/>
  <c r="B187" i="32"/>
  <c r="R187" i="32" s="1"/>
  <c r="K197" i="50"/>
  <c r="A197" i="50"/>
  <c r="Q197" i="50" s="1"/>
  <c r="P197" i="50" s="1"/>
  <c r="M197" i="50"/>
  <c r="G197" i="50"/>
  <c r="N197" i="50"/>
  <c r="J197" i="50"/>
  <c r="B197" i="50"/>
  <c r="R197" i="50" s="1"/>
  <c r="L197" i="50"/>
  <c r="F197" i="50"/>
  <c r="H197" i="50"/>
  <c r="I197" i="50"/>
  <c r="G187" i="32"/>
  <c r="O187" i="32"/>
  <c r="J187" i="32"/>
  <c r="K187" i="32"/>
  <c r="F187" i="32"/>
  <c r="AM187" i="32" s="1"/>
  <c r="N187" i="32"/>
  <c r="H187" i="32"/>
  <c r="I187" i="32"/>
  <c r="L187" i="32"/>
  <c r="M187" i="32"/>
  <c r="H257" i="57"/>
  <c r="F257" i="57"/>
  <c r="D257" i="57"/>
  <c r="P257" i="57"/>
  <c r="P258" i="57" s="1"/>
  <c r="C257" i="57"/>
  <c r="M257" i="57" s="1"/>
  <c r="I257" i="57"/>
  <c r="E257" i="57"/>
  <c r="J257" i="57"/>
  <c r="K257" i="57"/>
  <c r="G257" i="57"/>
  <c r="Q256" i="57"/>
  <c r="T256" i="57" s="1"/>
  <c r="Z195" i="50"/>
  <c r="W195" i="50"/>
  <c r="X195" i="50" s="1"/>
  <c r="AK256" i="55" a="1"/>
  <c r="AK256" i="55" s="1"/>
  <c r="AK257" i="55" s="1" a="1"/>
  <c r="AK257" i="55" s="1"/>
  <c r="W185" i="32"/>
  <c r="X185" i="32" s="1"/>
  <c r="Z185" i="32"/>
  <c r="AN242" i="67" a="1"/>
  <c r="AN242" i="67" s="1"/>
  <c r="B243" i="69"/>
  <c r="Q240" i="69"/>
  <c r="R240" i="69"/>
  <c r="S240" i="69" s="1"/>
  <c r="Y240" i="69" s="1"/>
  <c r="U240" i="69"/>
  <c r="AE240" i="69"/>
  <c r="C242" i="69"/>
  <c r="D241" i="69"/>
  <c r="E241" i="69" s="1"/>
  <c r="F241" i="69" s="1"/>
  <c r="G241" i="69" s="1"/>
  <c r="H241" i="69" s="1"/>
  <c r="I241" i="69" s="1"/>
  <c r="J241" i="69" s="1"/>
  <c r="K241" i="69" s="1"/>
  <c r="M241" i="69" s="1"/>
  <c r="N241" i="69"/>
  <c r="AF241" i="69" s="1"/>
  <c r="AL187" i="11" a="1"/>
  <c r="AL187" i="11" s="1"/>
  <c r="AL197" i="59" a="1"/>
  <c r="AL197" i="59" s="1"/>
  <c r="E198" i="50" s="1"/>
  <c r="AM87" i="59" a="1"/>
  <c r="AM87" i="59" s="1"/>
  <c r="AM72" i="11" a="1"/>
  <c r="AM72" i="11" s="1"/>
  <c r="AB240" i="69" l="1"/>
  <c r="AC240" i="69" s="1"/>
  <c r="AD240" i="69" s="1"/>
  <c r="AG240" i="69"/>
  <c r="L243" i="69"/>
  <c r="O243" i="69"/>
  <c r="AO242" i="69"/>
  <c r="P242" i="69"/>
  <c r="T198" i="50"/>
  <c r="AK198" i="50"/>
  <c r="X256" i="57"/>
  <c r="AB256" i="53"/>
  <c r="AA256" i="53"/>
  <c r="AE257" i="53"/>
  <c r="AC257" i="53"/>
  <c r="AF256" i="53"/>
  <c r="AD186" i="32"/>
  <c r="AB255" i="57"/>
  <c r="AF255" i="57"/>
  <c r="AE257" i="57"/>
  <c r="AC257" i="57"/>
  <c r="AD196" i="50"/>
  <c r="AG196" i="50" s="1"/>
  <c r="AH196" i="50" s="1"/>
  <c r="AI196" i="50" s="1"/>
  <c r="AM197" i="50"/>
  <c r="U197" i="50"/>
  <c r="U187" i="32"/>
  <c r="AG185" i="32"/>
  <c r="AH185" i="32" s="1"/>
  <c r="AL185" i="32"/>
  <c r="AI184" i="32"/>
  <c r="AN184" i="32" s="1"/>
  <c r="AP194" i="50"/>
  <c r="R257" i="57"/>
  <c r="R257" i="53"/>
  <c r="X257" i="53" s="1"/>
  <c r="AL195" i="50"/>
  <c r="Q187" i="32"/>
  <c r="P187" i="32" s="1"/>
  <c r="Z156" i="22"/>
  <c r="Z155" i="22"/>
  <c r="Z146" i="22"/>
  <c r="Z157" i="22"/>
  <c r="Z154" i="22"/>
  <c r="Z149" i="22"/>
  <c r="Z151" i="22"/>
  <c r="Z152" i="22"/>
  <c r="Z147" i="22"/>
  <c r="Z153" i="22"/>
  <c r="Z150" i="22"/>
  <c r="Z148" i="22"/>
  <c r="Z158" i="22"/>
  <c r="Y154" i="22"/>
  <c r="Y155" i="22"/>
  <c r="Y148" i="22"/>
  <c r="Y149" i="22"/>
  <c r="Y153" i="22"/>
  <c r="Y146" i="22"/>
  <c r="AA146" i="22" s="1"/>
  <c r="E119" i="36" s="1"/>
  <c r="G119" i="36" s="1"/>
  <c r="Y151" i="22"/>
  <c r="Y156" i="22"/>
  <c r="Y157" i="22"/>
  <c r="Y150" i="22"/>
  <c r="Y158" i="22"/>
  <c r="Y147" i="22"/>
  <c r="Y152" i="22"/>
  <c r="N150" i="22"/>
  <c r="P150" i="22" s="1"/>
  <c r="M150" i="22"/>
  <c r="O150" i="22" s="1"/>
  <c r="M146" i="22"/>
  <c r="O146" i="22" s="1"/>
  <c r="M158" i="22"/>
  <c r="O158" i="22" s="1"/>
  <c r="N152" i="22"/>
  <c r="P152" i="22" s="1"/>
  <c r="N154" i="22"/>
  <c r="P154" i="22" s="1"/>
  <c r="M151" i="22"/>
  <c r="O151" i="22" s="1"/>
  <c r="M152" i="22"/>
  <c r="O152" i="22" s="1"/>
  <c r="M155" i="22"/>
  <c r="O155" i="22" s="1"/>
  <c r="N147" i="22"/>
  <c r="P147" i="22" s="1"/>
  <c r="N151" i="22"/>
  <c r="P151" i="22" s="1"/>
  <c r="N149" i="22"/>
  <c r="P149" i="22" s="1"/>
  <c r="N155" i="22"/>
  <c r="P155" i="22" s="1"/>
  <c r="N157" i="22"/>
  <c r="P157" i="22" s="1"/>
  <c r="M148" i="22"/>
  <c r="O148" i="22" s="1"/>
  <c r="N158" i="22"/>
  <c r="P158" i="22" s="1"/>
  <c r="M157" i="22"/>
  <c r="O157" i="22" s="1"/>
  <c r="M156" i="22"/>
  <c r="O156" i="22" s="1"/>
  <c r="M149" i="22"/>
  <c r="O149" i="22" s="1"/>
  <c r="M147" i="22"/>
  <c r="O147" i="22" s="1"/>
  <c r="M154" i="22"/>
  <c r="O154" i="22" s="1"/>
  <c r="N156" i="22"/>
  <c r="P156" i="22" s="1"/>
  <c r="N153" i="22"/>
  <c r="P153" i="22" s="1"/>
  <c r="M153" i="22"/>
  <c r="O153" i="22" s="1"/>
  <c r="N148" i="22"/>
  <c r="P148" i="22" s="1"/>
  <c r="N146" i="22"/>
  <c r="P146" i="22" s="1"/>
  <c r="AX241" i="69"/>
  <c r="O198" i="50"/>
  <c r="AJ257" i="57"/>
  <c r="AP257" i="57"/>
  <c r="AG257" i="53"/>
  <c r="AH257" i="53"/>
  <c r="AH258" i="53" s="1"/>
  <c r="H13" i="73" s="1"/>
  <c r="AT257" i="53"/>
  <c r="AH241" i="69"/>
  <c r="AJ196" i="50"/>
  <c r="C196" i="50"/>
  <c r="AJ186" i="32"/>
  <c r="C186" i="32"/>
  <c r="AD257" i="57"/>
  <c r="Q257" i="53"/>
  <c r="AD257" i="53"/>
  <c r="S197" i="50"/>
  <c r="V196" i="50"/>
  <c r="S187" i="32"/>
  <c r="V187" i="32" s="1"/>
  <c r="A198" i="50"/>
  <c r="Q198" i="50" s="1"/>
  <c r="P198" i="50" s="1"/>
  <c r="N198" i="50"/>
  <c r="I198" i="50"/>
  <c r="F198" i="50"/>
  <c r="J198" i="50"/>
  <c r="G198" i="50"/>
  <c r="L198" i="50"/>
  <c r="H198" i="50"/>
  <c r="B198" i="50"/>
  <c r="R198" i="50" s="1"/>
  <c r="M198" i="50"/>
  <c r="K198" i="50"/>
  <c r="Q257" i="57"/>
  <c r="T257" i="57" s="1"/>
  <c r="X257" i="57" s="1"/>
  <c r="AA257" i="57" s="1"/>
  <c r="Z196" i="50"/>
  <c r="W196" i="50"/>
  <c r="X196" i="50" s="1"/>
  <c r="E188" i="32"/>
  <c r="W186" i="32"/>
  <c r="X186" i="32" s="1"/>
  <c r="Z186" i="32"/>
  <c r="Q241" i="69"/>
  <c r="U241" i="69"/>
  <c r="AE241" i="69"/>
  <c r="R241" i="69"/>
  <c r="S241" i="69" s="1"/>
  <c r="Y241" i="69" s="1"/>
  <c r="D242" i="69"/>
  <c r="E242" i="69" s="1"/>
  <c r="F242" i="69" s="1"/>
  <c r="G242" i="69" s="1"/>
  <c r="H242" i="69" s="1"/>
  <c r="I242" i="69" s="1"/>
  <c r="J242" i="69" s="1"/>
  <c r="K242" i="69" s="1"/>
  <c r="M242" i="69" s="1"/>
  <c r="N242" i="69"/>
  <c r="AF242" i="69" s="1"/>
  <c r="C243" i="69"/>
  <c r="AN243" i="67" a="1"/>
  <c r="AN243" i="67" s="1"/>
  <c r="B244" i="69"/>
  <c r="AL188" i="11" a="1"/>
  <c r="AL188" i="11" s="1"/>
  <c r="E189" i="32" s="1"/>
  <c r="AL198" i="59" a="1"/>
  <c r="AL198" i="59" s="1"/>
  <c r="E199" i="50" s="1"/>
  <c r="AM88" i="59" a="1"/>
  <c r="AM88" i="59" s="1"/>
  <c r="AM73" i="11" a="1"/>
  <c r="AM73" i="11" s="1"/>
  <c r="AB256" i="57" l="1"/>
  <c r="AA256" i="57"/>
  <c r="AB241" i="69"/>
  <c r="AC241" i="69" s="1"/>
  <c r="AD241" i="69" s="1"/>
  <c r="AG241" i="69"/>
  <c r="AO243" i="69"/>
  <c r="P243" i="69"/>
  <c r="L244" i="69"/>
  <c r="O244" i="69"/>
  <c r="AK199" i="50"/>
  <c r="T199" i="50"/>
  <c r="AF256" i="57"/>
  <c r="AB257" i="53"/>
  <c r="AA257" i="53"/>
  <c r="AF257" i="53"/>
  <c r="AK189" i="32"/>
  <c r="T189" i="32"/>
  <c r="AK188" i="32"/>
  <c r="T188" i="32"/>
  <c r="AD187" i="32"/>
  <c r="AB257" i="57"/>
  <c r="X2" i="57"/>
  <c r="AF257" i="57"/>
  <c r="AD197" i="50"/>
  <c r="AG197" i="50" s="1"/>
  <c r="AH197" i="50" s="1"/>
  <c r="AI197" i="50" s="1"/>
  <c r="AM198" i="50"/>
  <c r="U198" i="50"/>
  <c r="H17" i="73"/>
  <c r="AG186" i="32"/>
  <c r="AH186" i="32" s="1"/>
  <c r="AL186" i="32"/>
  <c r="AI185" i="32"/>
  <c r="AN185" i="32" s="1"/>
  <c r="AP195" i="50"/>
  <c r="AL196" i="50"/>
  <c r="Q153" i="22"/>
  <c r="E106" i="36"/>
  <c r="R158" i="22"/>
  <c r="F111" i="36"/>
  <c r="Q158" i="22"/>
  <c r="E111" i="36"/>
  <c r="Q149" i="22"/>
  <c r="E102" i="36"/>
  <c r="R151" i="22"/>
  <c r="F104" i="36"/>
  <c r="Q146" i="22"/>
  <c r="E99" i="36"/>
  <c r="R146" i="22"/>
  <c r="F99" i="36"/>
  <c r="R156" i="22"/>
  <c r="F109" i="36"/>
  <c r="Q156" i="22"/>
  <c r="E109" i="36"/>
  <c r="R157" i="22"/>
  <c r="F110" i="36"/>
  <c r="R147" i="22"/>
  <c r="F100" i="36"/>
  <c r="R154" i="22"/>
  <c r="F107" i="36"/>
  <c r="Q150" i="22"/>
  <c r="E103" i="36"/>
  <c r="Q147" i="22"/>
  <c r="E100" i="36"/>
  <c r="R149" i="22"/>
  <c r="F102" i="36"/>
  <c r="Q152" i="22"/>
  <c r="E105" i="36"/>
  <c r="R153" i="22"/>
  <c r="F106" i="36"/>
  <c r="Q148" i="22"/>
  <c r="E101" i="36"/>
  <c r="Q151" i="22"/>
  <c r="E104" i="36"/>
  <c r="R148" i="22"/>
  <c r="F101" i="36"/>
  <c r="Q154" i="22"/>
  <c r="E107" i="36"/>
  <c r="Q157" i="22"/>
  <c r="E110" i="36"/>
  <c r="R155" i="22"/>
  <c r="F108" i="36"/>
  <c r="Q155" i="22"/>
  <c r="E108" i="36"/>
  <c r="R152" i="22"/>
  <c r="F105" i="36"/>
  <c r="R150" i="22"/>
  <c r="F103" i="36"/>
  <c r="AX242" i="69"/>
  <c r="O199" i="50"/>
  <c r="AH242" i="69"/>
  <c r="AJ197" i="50"/>
  <c r="C197" i="50"/>
  <c r="AJ187" i="32"/>
  <c r="C187" i="32"/>
  <c r="S198" i="50"/>
  <c r="V197" i="50"/>
  <c r="A189" i="32"/>
  <c r="B189" i="32"/>
  <c r="R189" i="32" s="1"/>
  <c r="A188" i="32"/>
  <c r="B188" i="32"/>
  <c r="R188" i="32" s="1"/>
  <c r="K199" i="50"/>
  <c r="M199" i="50"/>
  <c r="I199" i="50"/>
  <c r="A199" i="50"/>
  <c r="Q199" i="50" s="1"/>
  <c r="P199" i="50" s="1"/>
  <c r="G199" i="50"/>
  <c r="H199" i="50"/>
  <c r="J199" i="50"/>
  <c r="L199" i="50"/>
  <c r="B199" i="50"/>
  <c r="R199" i="50" s="1"/>
  <c r="N199" i="50"/>
  <c r="F199" i="50"/>
  <c r="K189" i="32"/>
  <c r="F189" i="32"/>
  <c r="AM189" i="32" s="1"/>
  <c r="N189" i="32"/>
  <c r="G189" i="32"/>
  <c r="O189" i="32"/>
  <c r="J189" i="32"/>
  <c r="H189" i="32"/>
  <c r="I189" i="32"/>
  <c r="L189" i="32"/>
  <c r="M189" i="32"/>
  <c r="M188" i="32"/>
  <c r="H188" i="32"/>
  <c r="I188" i="32"/>
  <c r="L188" i="32"/>
  <c r="N188" i="32"/>
  <c r="O188" i="32"/>
  <c r="F188" i="32"/>
  <c r="AM188" i="32" s="1"/>
  <c r="G188" i="32"/>
  <c r="K188" i="32"/>
  <c r="J188" i="32"/>
  <c r="W197" i="50"/>
  <c r="X197" i="50" s="1"/>
  <c r="Z197" i="50"/>
  <c r="AJ258" i="57"/>
  <c r="H25" i="73" s="1"/>
  <c r="H29" i="73" s="1"/>
  <c r="W187" i="32"/>
  <c r="X187" i="32" s="1"/>
  <c r="Z187" i="32"/>
  <c r="AN244" i="67" a="1"/>
  <c r="AN244" i="67" s="1"/>
  <c r="B245" i="69"/>
  <c r="N243" i="69"/>
  <c r="AF243" i="69" s="1"/>
  <c r="D243" i="69"/>
  <c r="E243" i="69" s="1"/>
  <c r="F243" i="69" s="1"/>
  <c r="G243" i="69" s="1"/>
  <c r="H243" i="69" s="1"/>
  <c r="I243" i="69" s="1"/>
  <c r="J243" i="69" s="1"/>
  <c r="K243" i="69" s="1"/>
  <c r="M243" i="69" s="1"/>
  <c r="Q242" i="69"/>
  <c r="AE242" i="69"/>
  <c r="U242" i="69"/>
  <c r="R242" i="69"/>
  <c r="S242" i="69" s="1"/>
  <c r="Y242" i="69" s="1"/>
  <c r="C244" i="69"/>
  <c r="AL189" i="11" a="1"/>
  <c r="AL189" i="11" s="1"/>
  <c r="E190" i="32" s="1"/>
  <c r="AL199" i="59" a="1"/>
  <c r="AL199" i="59" s="1"/>
  <c r="E200" i="50" s="1"/>
  <c r="AM89" i="59" a="1"/>
  <c r="AM89" i="59" s="1"/>
  <c r="AM74" i="11" a="1"/>
  <c r="AM74" i="11" s="1"/>
  <c r="AB242" i="69" l="1"/>
  <c r="AC242" i="69" s="1"/>
  <c r="AD242" i="69" s="1"/>
  <c r="AG242" i="69"/>
  <c r="AO244" i="69"/>
  <c r="P244" i="69"/>
  <c r="L245" i="69"/>
  <c r="O245" i="69"/>
  <c r="AK200" i="50"/>
  <c r="T200" i="50"/>
  <c r="AK190" i="32"/>
  <c r="T190" i="32"/>
  <c r="AM199" i="50"/>
  <c r="U199" i="50"/>
  <c r="AD198" i="50"/>
  <c r="AG198" i="50" s="1"/>
  <c r="AH198" i="50" s="1"/>
  <c r="AI198" i="50" s="1"/>
  <c r="H33" i="73"/>
  <c r="H15" i="36" s="1"/>
  <c r="H11" i="36"/>
  <c r="AG187" i="32"/>
  <c r="AH187" i="32" s="1"/>
  <c r="AL187" i="32"/>
  <c r="U189" i="32"/>
  <c r="U188" i="32"/>
  <c r="AI186" i="32"/>
  <c r="AN186" i="32" s="1"/>
  <c r="AP196" i="50"/>
  <c r="AL197" i="50"/>
  <c r="Q188" i="32"/>
  <c r="P188" i="32" s="1"/>
  <c r="Q189" i="32"/>
  <c r="P189" i="32" s="1"/>
  <c r="G108" i="36"/>
  <c r="G110" i="36"/>
  <c r="H101" i="36"/>
  <c r="G101" i="36"/>
  <c r="G100" i="36"/>
  <c r="H107" i="36"/>
  <c r="H110" i="36"/>
  <c r="H109" i="36"/>
  <c r="E139" i="36"/>
  <c r="G99" i="36"/>
  <c r="G139" i="36" s="1"/>
  <c r="G102" i="36"/>
  <c r="H111" i="36"/>
  <c r="H105" i="36"/>
  <c r="H108" i="36"/>
  <c r="G107" i="36"/>
  <c r="G104" i="36"/>
  <c r="H106" i="36"/>
  <c r="H102" i="36"/>
  <c r="G103" i="36"/>
  <c r="H100" i="36"/>
  <c r="G109" i="36"/>
  <c r="H99" i="36"/>
  <c r="H104" i="36"/>
  <c r="G111" i="36"/>
  <c r="G106" i="36"/>
  <c r="H103" i="36"/>
  <c r="G105" i="36"/>
  <c r="AX243" i="69"/>
  <c r="O200" i="50"/>
  <c r="X2" i="53"/>
  <c r="AH243" i="69"/>
  <c r="AJ198" i="50"/>
  <c r="C198" i="50"/>
  <c r="S199" i="50"/>
  <c r="V198" i="50"/>
  <c r="S189" i="32"/>
  <c r="V189" i="32" s="1"/>
  <c r="S188" i="32"/>
  <c r="V188" i="32" s="1"/>
  <c r="A190" i="32"/>
  <c r="B190" i="32"/>
  <c r="R190" i="32" s="1"/>
  <c r="L200" i="50"/>
  <c r="M200" i="50"/>
  <c r="G200" i="50"/>
  <c r="B200" i="50"/>
  <c r="R200" i="50" s="1"/>
  <c r="N200" i="50"/>
  <c r="F200" i="50"/>
  <c r="H200" i="50"/>
  <c r="I200" i="50"/>
  <c r="J200" i="50"/>
  <c r="K200" i="50"/>
  <c r="A200" i="50"/>
  <c r="Q200" i="50" s="1"/>
  <c r="P200" i="50" s="1"/>
  <c r="I190" i="32"/>
  <c r="L190" i="32"/>
  <c r="M190" i="32"/>
  <c r="H190" i="32"/>
  <c r="J190" i="32"/>
  <c r="K190" i="32"/>
  <c r="N190" i="32"/>
  <c r="O190" i="32"/>
  <c r="F190" i="32"/>
  <c r="AM190" i="32" s="1"/>
  <c r="G190" i="32"/>
  <c r="Z198" i="50"/>
  <c r="W198" i="50"/>
  <c r="X198" i="50" s="1"/>
  <c r="AN245" i="67" a="1"/>
  <c r="AN245" i="67" s="1"/>
  <c r="B246" i="69"/>
  <c r="C245" i="69"/>
  <c r="D244" i="69"/>
  <c r="E244" i="69" s="1"/>
  <c r="F244" i="69" s="1"/>
  <c r="G244" i="69" s="1"/>
  <c r="H244" i="69" s="1"/>
  <c r="I244" i="69" s="1"/>
  <c r="J244" i="69" s="1"/>
  <c r="K244" i="69" s="1"/>
  <c r="M244" i="69" s="1"/>
  <c r="N244" i="69"/>
  <c r="AF244" i="69" s="1"/>
  <c r="R243" i="69"/>
  <c r="S243" i="69" s="1"/>
  <c r="Y243" i="69" s="1"/>
  <c r="AE243" i="69"/>
  <c r="Q243" i="69"/>
  <c r="U243" i="69"/>
  <c r="AL190" i="11" a="1"/>
  <c r="AL190" i="11" s="1"/>
  <c r="E191" i="32" s="1"/>
  <c r="AL200" i="59" a="1"/>
  <c r="AL200" i="59" s="1"/>
  <c r="E201" i="50" s="1"/>
  <c r="AM90" i="59" a="1"/>
  <c r="AM90" i="59" s="1"/>
  <c r="AM75" i="11" a="1"/>
  <c r="AM75" i="11" s="1"/>
  <c r="AB243" i="69" l="1"/>
  <c r="AC243" i="69" s="1"/>
  <c r="AD243" i="69" s="1"/>
  <c r="AG243" i="69"/>
  <c r="L246" i="69"/>
  <c r="O246" i="69"/>
  <c r="AO245" i="69"/>
  <c r="P245" i="69"/>
  <c r="T201" i="50"/>
  <c r="AK201" i="50"/>
  <c r="AK191" i="32"/>
  <c r="T191" i="32"/>
  <c r="AD188" i="32"/>
  <c r="AD189" i="32"/>
  <c r="AD199" i="50"/>
  <c r="AG199" i="50" s="1"/>
  <c r="AH199" i="50" s="1"/>
  <c r="AI199" i="50" s="1"/>
  <c r="AM200" i="50"/>
  <c r="U200" i="50"/>
  <c r="U190" i="32"/>
  <c r="AI187" i="32"/>
  <c r="AN187" i="32" s="1"/>
  <c r="AP197" i="50"/>
  <c r="AL198" i="50"/>
  <c r="Q190" i="32"/>
  <c r="P190" i="32" s="1"/>
  <c r="AX244" i="69"/>
  <c r="O201" i="50"/>
  <c r="AH244" i="69"/>
  <c r="AJ199" i="50"/>
  <c r="C199" i="50"/>
  <c r="AJ189" i="32"/>
  <c r="C189" i="32"/>
  <c r="AJ188" i="32"/>
  <c r="C188" i="32"/>
  <c r="S200" i="50"/>
  <c r="V199" i="50"/>
  <c r="S190" i="32"/>
  <c r="A191" i="32"/>
  <c r="B191" i="32"/>
  <c r="R191" i="32" s="1"/>
  <c r="H201" i="50"/>
  <c r="B201" i="50"/>
  <c r="R201" i="50" s="1"/>
  <c r="I201" i="50"/>
  <c r="M201" i="50"/>
  <c r="J201" i="50"/>
  <c r="A201" i="50"/>
  <c r="Q201" i="50" s="1"/>
  <c r="P201" i="50" s="1"/>
  <c r="G201" i="50"/>
  <c r="K201" i="50"/>
  <c r="F201" i="50"/>
  <c r="L201" i="50"/>
  <c r="N201" i="50"/>
  <c r="G191" i="32"/>
  <c r="O191" i="32"/>
  <c r="J191" i="32"/>
  <c r="K191" i="32"/>
  <c r="F191" i="32"/>
  <c r="AM191" i="32" s="1"/>
  <c r="N191" i="32"/>
  <c r="H191" i="32"/>
  <c r="I191" i="32"/>
  <c r="L191" i="32"/>
  <c r="M191" i="32"/>
  <c r="Z199" i="50"/>
  <c r="W199" i="50"/>
  <c r="X199" i="50" s="1"/>
  <c r="W188" i="32"/>
  <c r="X188" i="32" s="1"/>
  <c r="Z188" i="32"/>
  <c r="W189" i="32"/>
  <c r="X189" i="32" s="1"/>
  <c r="Z189" i="32"/>
  <c r="AN246" i="67" a="1"/>
  <c r="AN246" i="67" s="1"/>
  <c r="B247" i="69"/>
  <c r="AE244" i="69"/>
  <c r="Q244" i="69"/>
  <c r="R244" i="69"/>
  <c r="S244" i="69" s="1"/>
  <c r="Y244" i="69" s="1"/>
  <c r="AB244" i="69" s="1"/>
  <c r="AC244" i="69" s="1"/>
  <c r="AD244" i="69" s="1"/>
  <c r="U244" i="69"/>
  <c r="D245" i="69"/>
  <c r="E245" i="69" s="1"/>
  <c r="F245" i="69" s="1"/>
  <c r="G245" i="69" s="1"/>
  <c r="H245" i="69" s="1"/>
  <c r="I245" i="69" s="1"/>
  <c r="J245" i="69" s="1"/>
  <c r="K245" i="69" s="1"/>
  <c r="M245" i="69" s="1"/>
  <c r="N245" i="69"/>
  <c r="AF245" i="69" s="1"/>
  <c r="C246" i="69"/>
  <c r="AL191" i="11" a="1"/>
  <c r="AL191" i="11" s="1"/>
  <c r="E192" i="32" s="1"/>
  <c r="AL201" i="59" a="1"/>
  <c r="AL201" i="59" s="1"/>
  <c r="E202" i="50" s="1"/>
  <c r="AM91" i="59" a="1"/>
  <c r="AM91" i="59" s="1"/>
  <c r="AM76" i="11" a="1"/>
  <c r="AM76" i="11" s="1"/>
  <c r="L247" i="69" l="1"/>
  <c r="O247" i="69"/>
  <c r="AO246" i="69"/>
  <c r="P246" i="69"/>
  <c r="AG244" i="69"/>
  <c r="T202" i="50"/>
  <c r="AK202" i="50"/>
  <c r="AK192" i="32"/>
  <c r="T192" i="32"/>
  <c r="AD190" i="32"/>
  <c r="AM201" i="50"/>
  <c r="U201" i="50"/>
  <c r="AD200" i="50"/>
  <c r="AG200" i="50" s="1"/>
  <c r="AH200" i="50" s="1"/>
  <c r="AI200" i="50" s="1"/>
  <c r="AG189" i="32"/>
  <c r="AH189" i="32" s="1"/>
  <c r="AL189" i="32"/>
  <c r="U191" i="32"/>
  <c r="AG188" i="32"/>
  <c r="AH188" i="32" s="1"/>
  <c r="AL188" i="32"/>
  <c r="AP198" i="50"/>
  <c r="AL199" i="50"/>
  <c r="Q191" i="32"/>
  <c r="P191" i="32" s="1"/>
  <c r="AX245" i="69"/>
  <c r="O202" i="50"/>
  <c r="AH245" i="69"/>
  <c r="C190" i="32"/>
  <c r="V190" i="32"/>
  <c r="AJ200" i="50"/>
  <c r="C200" i="50"/>
  <c r="AJ190" i="32"/>
  <c r="S201" i="50"/>
  <c r="V200" i="50"/>
  <c r="S191" i="32"/>
  <c r="V191" i="32" s="1"/>
  <c r="A192" i="32"/>
  <c r="B192" i="32"/>
  <c r="R192" i="32" s="1"/>
  <c r="G202" i="50"/>
  <c r="F202" i="50"/>
  <c r="A202" i="50"/>
  <c r="Q202" i="50" s="1"/>
  <c r="P202" i="50" s="1"/>
  <c r="M202" i="50"/>
  <c r="N202" i="50"/>
  <c r="K202" i="50"/>
  <c r="J202" i="50"/>
  <c r="L202" i="50"/>
  <c r="B202" i="50"/>
  <c r="R202" i="50" s="1"/>
  <c r="I202" i="50"/>
  <c r="H202" i="50"/>
  <c r="M192" i="32"/>
  <c r="H192" i="32"/>
  <c r="I192" i="32"/>
  <c r="L192" i="32"/>
  <c r="F192" i="32"/>
  <c r="AM192" i="32" s="1"/>
  <c r="G192" i="32"/>
  <c r="J192" i="32"/>
  <c r="K192" i="32"/>
  <c r="N192" i="32"/>
  <c r="O192" i="32"/>
  <c r="Z200" i="50"/>
  <c r="W200" i="50"/>
  <c r="X200" i="50" s="1"/>
  <c r="W190" i="32"/>
  <c r="X190" i="32" s="1"/>
  <c r="Z190" i="32"/>
  <c r="AN247" i="67" a="1"/>
  <c r="AN247" i="67" s="1"/>
  <c r="B248" i="69"/>
  <c r="Q245" i="69"/>
  <c r="R245" i="69"/>
  <c r="S245" i="69" s="1"/>
  <c r="Y245" i="69" s="1"/>
  <c r="AE245" i="69"/>
  <c r="U245" i="69"/>
  <c r="N246" i="69"/>
  <c r="AF246" i="69" s="1"/>
  <c r="D246" i="69"/>
  <c r="E246" i="69" s="1"/>
  <c r="F246" i="69" s="1"/>
  <c r="G246" i="69" s="1"/>
  <c r="H246" i="69" s="1"/>
  <c r="I246" i="69" s="1"/>
  <c r="J246" i="69" s="1"/>
  <c r="K246" i="69" s="1"/>
  <c r="M246" i="69" s="1"/>
  <c r="C247" i="69"/>
  <c r="AL192" i="11" a="1"/>
  <c r="AL192" i="11" s="1"/>
  <c r="AL202" i="59" a="1"/>
  <c r="AL202" i="59" s="1"/>
  <c r="E203" i="50" s="1"/>
  <c r="AM92" i="59" a="1"/>
  <c r="AM92" i="59" s="1"/>
  <c r="AM77" i="11" a="1"/>
  <c r="AM77" i="11" s="1"/>
  <c r="AB245" i="69" l="1"/>
  <c r="AC245" i="69" s="1"/>
  <c r="AD245" i="69" s="1"/>
  <c r="AG245" i="69"/>
  <c r="L248" i="69"/>
  <c r="O248" i="69"/>
  <c r="AO247" i="69"/>
  <c r="P247" i="69"/>
  <c r="T203" i="50"/>
  <c r="AK203" i="50"/>
  <c r="AD191" i="32"/>
  <c r="AD201" i="50"/>
  <c r="AG201" i="50" s="1"/>
  <c r="AH201" i="50" s="1"/>
  <c r="AI201" i="50" s="1"/>
  <c r="AM202" i="50"/>
  <c r="U202" i="50"/>
  <c r="AG190" i="32"/>
  <c r="AH190" i="32" s="1"/>
  <c r="AL190" i="32"/>
  <c r="U192" i="32"/>
  <c r="AI188" i="32"/>
  <c r="AN188" i="32" s="1"/>
  <c r="AI189" i="32"/>
  <c r="AN189" i="32" s="1"/>
  <c r="AP199" i="50"/>
  <c r="AL200" i="50"/>
  <c r="Q192" i="32"/>
  <c r="P192" i="32" s="1"/>
  <c r="AX246" i="69"/>
  <c r="O203" i="50"/>
  <c r="AH246" i="69"/>
  <c r="AJ201" i="50"/>
  <c r="C201" i="50"/>
  <c r="AJ191" i="32"/>
  <c r="C191" i="32"/>
  <c r="S202" i="50"/>
  <c r="V201" i="50"/>
  <c r="S192" i="32"/>
  <c r="M203" i="50"/>
  <c r="N203" i="50"/>
  <c r="G203" i="50"/>
  <c r="I203" i="50"/>
  <c r="F203" i="50"/>
  <c r="K203" i="50"/>
  <c r="H203" i="50"/>
  <c r="J203" i="50"/>
  <c r="B203" i="50"/>
  <c r="R203" i="50" s="1"/>
  <c r="A203" i="50"/>
  <c r="Q203" i="50" s="1"/>
  <c r="P203" i="50" s="1"/>
  <c r="L203" i="50"/>
  <c r="Z201" i="50"/>
  <c r="W201" i="50"/>
  <c r="X201" i="50" s="1"/>
  <c r="E193" i="32"/>
  <c r="W191" i="32"/>
  <c r="X191" i="32" s="1"/>
  <c r="Z191" i="32"/>
  <c r="C248" i="69"/>
  <c r="N247" i="69"/>
  <c r="AF247" i="69" s="1"/>
  <c r="D247" i="69"/>
  <c r="E247" i="69" s="1"/>
  <c r="F247" i="69" s="1"/>
  <c r="G247" i="69" s="1"/>
  <c r="H247" i="69" s="1"/>
  <c r="I247" i="69" s="1"/>
  <c r="J247" i="69" s="1"/>
  <c r="K247" i="69" s="1"/>
  <c r="M247" i="69" s="1"/>
  <c r="R246" i="69"/>
  <c r="S246" i="69" s="1"/>
  <c r="Y246" i="69" s="1"/>
  <c r="AE246" i="69"/>
  <c r="Q246" i="69"/>
  <c r="U246" i="69"/>
  <c r="AN248" i="67" a="1"/>
  <c r="AN248" i="67" s="1"/>
  <c r="B249" i="69"/>
  <c r="AL193" i="11" a="1"/>
  <c r="AL193" i="11" s="1"/>
  <c r="AL203" i="59" a="1"/>
  <c r="AL203" i="59" s="1"/>
  <c r="E204" i="50" s="1"/>
  <c r="AM93" i="59" a="1"/>
  <c r="AM93" i="59" s="1"/>
  <c r="AM78" i="11" a="1"/>
  <c r="AM78" i="11" s="1"/>
  <c r="AB246" i="69" l="1"/>
  <c r="AC246" i="69" s="1"/>
  <c r="AD246" i="69" s="1"/>
  <c r="AG246" i="69"/>
  <c r="L249" i="69"/>
  <c r="O249" i="69"/>
  <c r="AO248" i="69"/>
  <c r="P248" i="69"/>
  <c r="T204" i="50"/>
  <c r="AK204" i="50"/>
  <c r="AK193" i="32"/>
  <c r="T193" i="32"/>
  <c r="AD192" i="32"/>
  <c r="AM203" i="50"/>
  <c r="U203" i="50"/>
  <c r="AD202" i="50"/>
  <c r="AG202" i="50" s="1"/>
  <c r="AH202" i="50" s="1"/>
  <c r="AI202" i="50" s="1"/>
  <c r="AG191" i="32"/>
  <c r="AH191" i="32" s="1"/>
  <c r="AL191" i="32"/>
  <c r="AP200" i="50"/>
  <c r="AL201" i="50"/>
  <c r="AI190" i="32"/>
  <c r="AN190" i="32" s="1"/>
  <c r="AX247" i="69"/>
  <c r="O204" i="50"/>
  <c r="AH247" i="69"/>
  <c r="C192" i="32"/>
  <c r="V192" i="32"/>
  <c r="AJ202" i="50"/>
  <c r="C202" i="50"/>
  <c r="AJ192" i="32"/>
  <c r="V202" i="50"/>
  <c r="S203" i="50"/>
  <c r="A193" i="32"/>
  <c r="B193" i="32"/>
  <c r="R193" i="32" s="1"/>
  <c r="F204" i="50"/>
  <c r="N204" i="50"/>
  <c r="B204" i="50"/>
  <c r="R204" i="50" s="1"/>
  <c r="A204" i="50"/>
  <c r="Q204" i="50" s="1"/>
  <c r="P204" i="50" s="1"/>
  <c r="J204" i="50"/>
  <c r="L204" i="50"/>
  <c r="G204" i="50"/>
  <c r="M204" i="50"/>
  <c r="H204" i="50"/>
  <c r="I204" i="50"/>
  <c r="K204" i="50"/>
  <c r="K193" i="32"/>
  <c r="F193" i="32"/>
  <c r="AM193" i="32" s="1"/>
  <c r="N193" i="32"/>
  <c r="G193" i="32"/>
  <c r="O193" i="32"/>
  <c r="J193" i="32"/>
  <c r="L193" i="32"/>
  <c r="M193" i="32"/>
  <c r="H193" i="32"/>
  <c r="I193" i="32"/>
  <c r="Z202" i="50"/>
  <c r="W202" i="50"/>
  <c r="X202" i="50" s="1"/>
  <c r="E194" i="32"/>
  <c r="W192" i="32"/>
  <c r="X192" i="32" s="1"/>
  <c r="Z192" i="32"/>
  <c r="AN249" i="67" a="1"/>
  <c r="AN249" i="67" s="1"/>
  <c r="B250" i="69"/>
  <c r="AE247" i="69"/>
  <c r="R247" i="69"/>
  <c r="S247" i="69" s="1"/>
  <c r="Y247" i="69" s="1"/>
  <c r="AB247" i="69" s="1"/>
  <c r="AC247" i="69" s="1"/>
  <c r="AD247" i="69" s="1"/>
  <c r="U247" i="69"/>
  <c r="Q247" i="69"/>
  <c r="C249" i="69"/>
  <c r="N248" i="69"/>
  <c r="AF248" i="69" s="1"/>
  <c r="D248" i="69"/>
  <c r="E248" i="69" s="1"/>
  <c r="F248" i="69" s="1"/>
  <c r="G248" i="69" s="1"/>
  <c r="H248" i="69" s="1"/>
  <c r="I248" i="69" s="1"/>
  <c r="J248" i="69" s="1"/>
  <c r="K248" i="69" s="1"/>
  <c r="M248" i="69" s="1"/>
  <c r="AL194" i="11" a="1"/>
  <c r="AL194" i="11" s="1"/>
  <c r="E195" i="32" s="1"/>
  <c r="AL204" i="59" a="1"/>
  <c r="AL204" i="59" s="1"/>
  <c r="E205" i="50" s="1"/>
  <c r="AM94" i="59" a="1"/>
  <c r="AM94" i="59" s="1"/>
  <c r="AM79" i="11" a="1"/>
  <c r="AM79" i="11" s="1"/>
  <c r="AG247" i="69" l="1"/>
  <c r="L250" i="69"/>
  <c r="O250" i="69"/>
  <c r="AO249" i="69"/>
  <c r="P249" i="69"/>
  <c r="T205" i="50"/>
  <c r="AK205" i="50"/>
  <c r="AK195" i="32"/>
  <c r="T195" i="32"/>
  <c r="AK194" i="32"/>
  <c r="T194" i="32"/>
  <c r="AD203" i="50"/>
  <c r="AG203" i="50" s="1"/>
  <c r="AH203" i="50" s="1"/>
  <c r="AI203" i="50" s="1"/>
  <c r="AM204" i="50"/>
  <c r="U204" i="50"/>
  <c r="AG192" i="32"/>
  <c r="AH192" i="32" s="1"/>
  <c r="AL192" i="32"/>
  <c r="U193" i="32"/>
  <c r="AI191" i="32"/>
  <c r="AN191" i="32" s="1"/>
  <c r="AP201" i="50"/>
  <c r="AL202" i="50"/>
  <c r="Q193" i="32"/>
  <c r="P193" i="32" s="1"/>
  <c r="AX248" i="69"/>
  <c r="O205" i="50"/>
  <c r="AH248" i="69"/>
  <c r="AJ203" i="50"/>
  <c r="C203" i="50"/>
  <c r="V203" i="50"/>
  <c r="S204" i="50"/>
  <c r="S193" i="32"/>
  <c r="V193" i="32" s="1"/>
  <c r="A195" i="32"/>
  <c r="B195" i="32"/>
  <c r="R195" i="32" s="1"/>
  <c r="A194" i="32"/>
  <c r="B194" i="32"/>
  <c r="R194" i="32" s="1"/>
  <c r="K205" i="50"/>
  <c r="F205" i="50"/>
  <c r="M205" i="50"/>
  <c r="G205" i="50"/>
  <c r="B205" i="50"/>
  <c r="R205" i="50" s="1"/>
  <c r="L205" i="50"/>
  <c r="N205" i="50"/>
  <c r="H205" i="50"/>
  <c r="I205" i="50"/>
  <c r="A205" i="50"/>
  <c r="Q205" i="50" s="1"/>
  <c r="P205" i="50" s="1"/>
  <c r="J205" i="50"/>
  <c r="G195" i="32"/>
  <c r="O195" i="32"/>
  <c r="J195" i="32"/>
  <c r="K195" i="32"/>
  <c r="F195" i="32"/>
  <c r="AM195" i="32" s="1"/>
  <c r="N195" i="32"/>
  <c r="H195" i="32"/>
  <c r="I195" i="32"/>
  <c r="L195" i="32"/>
  <c r="M195" i="32"/>
  <c r="I194" i="32"/>
  <c r="L194" i="32"/>
  <c r="M194" i="32"/>
  <c r="H194" i="32"/>
  <c r="F194" i="32"/>
  <c r="AM194" i="32" s="1"/>
  <c r="G194" i="32"/>
  <c r="J194" i="32"/>
  <c r="K194" i="32"/>
  <c r="N194" i="32"/>
  <c r="O194" i="32"/>
  <c r="Z203" i="50"/>
  <c r="W203" i="50"/>
  <c r="X203" i="50" s="1"/>
  <c r="D249" i="69"/>
  <c r="E249" i="69" s="1"/>
  <c r="F249" i="69" s="1"/>
  <c r="G249" i="69" s="1"/>
  <c r="H249" i="69" s="1"/>
  <c r="I249" i="69" s="1"/>
  <c r="J249" i="69" s="1"/>
  <c r="K249" i="69" s="1"/>
  <c r="M249" i="69" s="1"/>
  <c r="N249" i="69"/>
  <c r="AF249" i="69" s="1"/>
  <c r="AN250" i="67" a="1"/>
  <c r="AN250" i="67" s="1"/>
  <c r="B251" i="69"/>
  <c r="Q248" i="69"/>
  <c r="U248" i="69"/>
  <c r="R248" i="69"/>
  <c r="S248" i="69" s="1"/>
  <c r="Y248" i="69" s="1"/>
  <c r="AB248" i="69" s="1"/>
  <c r="AC248" i="69" s="1"/>
  <c r="AD248" i="69" s="1"/>
  <c r="AE248" i="69"/>
  <c r="C250" i="69"/>
  <c r="AL195" i="11" a="1"/>
  <c r="AL195" i="11" s="1"/>
  <c r="E196" i="32" s="1"/>
  <c r="AL205" i="59" a="1"/>
  <c r="AL205" i="59" s="1"/>
  <c r="E206" i="50" s="1"/>
  <c r="AM95" i="59" a="1"/>
  <c r="AM95" i="59" s="1"/>
  <c r="AM80" i="11" a="1"/>
  <c r="AM80" i="11" s="1"/>
  <c r="AG248" i="69" l="1"/>
  <c r="L251" i="69"/>
  <c r="O251" i="69"/>
  <c r="AO250" i="69"/>
  <c r="P250" i="69"/>
  <c r="T206" i="50"/>
  <c r="AK206" i="50"/>
  <c r="AK196" i="32"/>
  <c r="T196" i="32"/>
  <c r="AD193" i="32"/>
  <c r="AD204" i="50"/>
  <c r="AG204" i="50" s="1"/>
  <c r="AH204" i="50" s="1"/>
  <c r="AI204" i="50" s="1"/>
  <c r="AM205" i="50"/>
  <c r="U205" i="50"/>
  <c r="U195" i="32"/>
  <c r="U194" i="32"/>
  <c r="AI192" i="32"/>
  <c r="AN192" i="32" s="1"/>
  <c r="AP202" i="50"/>
  <c r="AL203" i="50"/>
  <c r="Q194" i="32"/>
  <c r="P194" i="32" s="1"/>
  <c r="Q195" i="32"/>
  <c r="P195" i="32" s="1"/>
  <c r="AX249" i="69"/>
  <c r="O206" i="50"/>
  <c r="AH249" i="69"/>
  <c r="AJ204" i="50"/>
  <c r="C204" i="50"/>
  <c r="AJ193" i="32"/>
  <c r="C193" i="32"/>
  <c r="S205" i="50"/>
  <c r="V204" i="50"/>
  <c r="S195" i="32"/>
  <c r="V195" i="32" s="1"/>
  <c r="S194" i="32"/>
  <c r="V194" i="32" s="1"/>
  <c r="A196" i="32"/>
  <c r="B196" i="32"/>
  <c r="R196" i="32" s="1"/>
  <c r="I206" i="50"/>
  <c r="G206" i="50"/>
  <c r="H206" i="50"/>
  <c r="A206" i="50"/>
  <c r="Q206" i="50" s="1"/>
  <c r="P206" i="50" s="1"/>
  <c r="N206" i="50"/>
  <c r="L206" i="50"/>
  <c r="F206" i="50"/>
  <c r="M206" i="50"/>
  <c r="J206" i="50"/>
  <c r="B206" i="50"/>
  <c r="R206" i="50" s="1"/>
  <c r="K206" i="50"/>
  <c r="M196" i="32"/>
  <c r="H196" i="32"/>
  <c r="I196" i="32"/>
  <c r="L196" i="32"/>
  <c r="N196" i="32"/>
  <c r="O196" i="32"/>
  <c r="F196" i="32"/>
  <c r="AM196" i="32" s="1"/>
  <c r="G196" i="32"/>
  <c r="J196" i="32"/>
  <c r="K196" i="32"/>
  <c r="Z204" i="50"/>
  <c r="W204" i="50"/>
  <c r="X204" i="50" s="1"/>
  <c r="Z193" i="32"/>
  <c r="W193" i="32"/>
  <c r="X193" i="32" s="1"/>
  <c r="D250" i="69"/>
  <c r="E250" i="69" s="1"/>
  <c r="F250" i="69" s="1"/>
  <c r="G250" i="69" s="1"/>
  <c r="H250" i="69" s="1"/>
  <c r="I250" i="69" s="1"/>
  <c r="J250" i="69" s="1"/>
  <c r="K250" i="69" s="1"/>
  <c r="M250" i="69" s="1"/>
  <c r="N250" i="69"/>
  <c r="AF250" i="69" s="1"/>
  <c r="Q249" i="69"/>
  <c r="AE249" i="69"/>
  <c r="R249" i="69"/>
  <c r="S249" i="69" s="1"/>
  <c r="Y249" i="69" s="1"/>
  <c r="U249" i="69"/>
  <c r="C251" i="69"/>
  <c r="AN251" i="67" a="1"/>
  <c r="AN251" i="67" s="1"/>
  <c r="B252" i="69"/>
  <c r="AL196" i="11" a="1"/>
  <c r="AL196" i="11" s="1"/>
  <c r="E197" i="32" s="1"/>
  <c r="AL206" i="59" a="1"/>
  <c r="AL206" i="59" s="1"/>
  <c r="E207" i="50" s="1"/>
  <c r="AM96" i="59" a="1"/>
  <c r="AM96" i="59" s="1"/>
  <c r="AM81" i="11" a="1"/>
  <c r="AM81" i="11" s="1"/>
  <c r="AB249" i="69" l="1"/>
  <c r="AC249" i="69" s="1"/>
  <c r="AD249" i="69" s="1"/>
  <c r="AG249" i="69"/>
  <c r="L252" i="69"/>
  <c r="O252" i="69"/>
  <c r="AO251" i="69"/>
  <c r="P251" i="69"/>
  <c r="AK207" i="50"/>
  <c r="T207" i="50"/>
  <c r="AK197" i="32"/>
  <c r="T197" i="32"/>
  <c r="AD195" i="32"/>
  <c r="AD194" i="32"/>
  <c r="AM206" i="50"/>
  <c r="U206" i="50"/>
  <c r="AD205" i="50"/>
  <c r="AG205" i="50" s="1"/>
  <c r="AH205" i="50" s="1"/>
  <c r="AI205" i="50" s="1"/>
  <c r="U196" i="32"/>
  <c r="AG193" i="32"/>
  <c r="AH193" i="32" s="1"/>
  <c r="AL193" i="32"/>
  <c r="AP203" i="50"/>
  <c r="AL204" i="50"/>
  <c r="Q196" i="32"/>
  <c r="P196" i="32" s="1"/>
  <c r="AX250" i="69"/>
  <c r="O207" i="50"/>
  <c r="AH250" i="69"/>
  <c r="AJ205" i="50"/>
  <c r="C205" i="50"/>
  <c r="AJ194" i="32"/>
  <c r="C194" i="32"/>
  <c r="AJ195" i="32"/>
  <c r="C195" i="32"/>
  <c r="S206" i="50"/>
  <c r="V205" i="50"/>
  <c r="S196" i="32"/>
  <c r="V196" i="32" s="1"/>
  <c r="A197" i="32"/>
  <c r="B197" i="32"/>
  <c r="R197" i="32" s="1"/>
  <c r="I207" i="50"/>
  <c r="K207" i="50"/>
  <c r="A207" i="50"/>
  <c r="Q207" i="50" s="1"/>
  <c r="P207" i="50" s="1"/>
  <c r="B207" i="50"/>
  <c r="R207" i="50" s="1"/>
  <c r="G207" i="50"/>
  <c r="M207" i="50"/>
  <c r="H207" i="50"/>
  <c r="J207" i="50"/>
  <c r="L207" i="50"/>
  <c r="F207" i="50"/>
  <c r="N207" i="50"/>
  <c r="K197" i="32"/>
  <c r="F197" i="32"/>
  <c r="AM197" i="32" s="1"/>
  <c r="N197" i="32"/>
  <c r="G197" i="32"/>
  <c r="O197" i="32"/>
  <c r="J197" i="32"/>
  <c r="H197" i="32"/>
  <c r="I197" i="32"/>
  <c r="L197" i="32"/>
  <c r="M197" i="32"/>
  <c r="Z194" i="32"/>
  <c r="W194" i="32"/>
  <c r="X194" i="32" s="1"/>
  <c r="W205" i="50"/>
  <c r="X205" i="50" s="1"/>
  <c r="Z205" i="50"/>
  <c r="W195" i="32"/>
  <c r="X195" i="32" s="1"/>
  <c r="Z195" i="32"/>
  <c r="C252" i="69"/>
  <c r="AN252" i="67" a="1"/>
  <c r="AN252" i="67" s="1"/>
  <c r="B253" i="69"/>
  <c r="AE250" i="69"/>
  <c r="U250" i="69"/>
  <c r="R250" i="69"/>
  <c r="S250" i="69" s="1"/>
  <c r="Y250" i="69" s="1"/>
  <c r="Q250" i="69"/>
  <c r="D251" i="69"/>
  <c r="E251" i="69" s="1"/>
  <c r="F251" i="69" s="1"/>
  <c r="G251" i="69" s="1"/>
  <c r="H251" i="69" s="1"/>
  <c r="I251" i="69" s="1"/>
  <c r="J251" i="69" s="1"/>
  <c r="K251" i="69" s="1"/>
  <c r="M251" i="69" s="1"/>
  <c r="N251" i="69"/>
  <c r="AF251" i="69" s="1"/>
  <c r="AL197" i="11" a="1"/>
  <c r="AL197" i="11" s="1"/>
  <c r="E198" i="32" s="1"/>
  <c r="AL207" i="59" a="1"/>
  <c r="AL207" i="59" s="1"/>
  <c r="E208" i="50" s="1"/>
  <c r="AM97" i="59" a="1"/>
  <c r="AM97" i="59" s="1"/>
  <c r="AM82" i="11" a="1"/>
  <c r="AM82" i="11" s="1"/>
  <c r="AB250" i="69" l="1"/>
  <c r="AC250" i="69" s="1"/>
  <c r="AD250" i="69" s="1"/>
  <c r="AG250" i="69"/>
  <c r="AO252" i="69"/>
  <c r="P252" i="69"/>
  <c r="L253" i="69"/>
  <c r="O253" i="69"/>
  <c r="AK208" i="50"/>
  <c r="T208" i="50"/>
  <c r="AK198" i="32"/>
  <c r="T198" i="32"/>
  <c r="AD196" i="32"/>
  <c r="AG196" i="32" s="1"/>
  <c r="AH196" i="32" s="1"/>
  <c r="AM207" i="50"/>
  <c r="U207" i="50"/>
  <c r="AD206" i="50"/>
  <c r="AG206" i="50" s="1"/>
  <c r="AH206" i="50" s="1"/>
  <c r="AI206" i="50" s="1"/>
  <c r="AG195" i="32"/>
  <c r="AH195" i="32" s="1"/>
  <c r="AL195" i="32"/>
  <c r="AG194" i="32"/>
  <c r="AH194" i="32" s="1"/>
  <c r="AL194" i="32"/>
  <c r="U197" i="32"/>
  <c r="AI193" i="32"/>
  <c r="AN193" i="32" s="1"/>
  <c r="AP204" i="50"/>
  <c r="AL205" i="50"/>
  <c r="Q197" i="32"/>
  <c r="P197" i="32" s="1"/>
  <c r="AX251" i="69"/>
  <c r="O208" i="50"/>
  <c r="AH251" i="69"/>
  <c r="AJ206" i="50"/>
  <c r="C206" i="50"/>
  <c r="AJ196" i="32"/>
  <c r="C196" i="32"/>
  <c r="S207" i="50"/>
  <c r="V206" i="50"/>
  <c r="S197" i="32"/>
  <c r="V197" i="32" s="1"/>
  <c r="A198" i="32"/>
  <c r="B198" i="32"/>
  <c r="R198" i="32" s="1"/>
  <c r="F208" i="50"/>
  <c r="G208" i="50"/>
  <c r="N208" i="50"/>
  <c r="J208" i="50"/>
  <c r="M208" i="50"/>
  <c r="B208" i="50"/>
  <c r="R208" i="50" s="1"/>
  <c r="K208" i="50"/>
  <c r="L208" i="50"/>
  <c r="A208" i="50"/>
  <c r="Q208" i="50" s="1"/>
  <c r="P208" i="50" s="1"/>
  <c r="I208" i="50"/>
  <c r="H208" i="50"/>
  <c r="I198" i="32"/>
  <c r="L198" i="32"/>
  <c r="M198" i="32"/>
  <c r="H198" i="32"/>
  <c r="J198" i="32"/>
  <c r="K198" i="32"/>
  <c r="N198" i="32"/>
  <c r="O198" i="32"/>
  <c r="F198" i="32"/>
  <c r="AM198" i="32" s="1"/>
  <c r="G198" i="32"/>
  <c r="Z206" i="50"/>
  <c r="W206" i="50"/>
  <c r="X206" i="50" s="1"/>
  <c r="W196" i="32"/>
  <c r="X196" i="32" s="1"/>
  <c r="Z196" i="32"/>
  <c r="AN253" i="67" a="1"/>
  <c r="AN253" i="67" s="1"/>
  <c r="B254" i="69"/>
  <c r="C253" i="69"/>
  <c r="Q251" i="69"/>
  <c r="R251" i="69"/>
  <c r="S251" i="69" s="1"/>
  <c r="Y251" i="69" s="1"/>
  <c r="U251" i="69"/>
  <c r="AE251" i="69"/>
  <c r="N252" i="69"/>
  <c r="AF252" i="69" s="1"/>
  <c r="D252" i="69"/>
  <c r="E252" i="69" s="1"/>
  <c r="F252" i="69" s="1"/>
  <c r="G252" i="69" s="1"/>
  <c r="H252" i="69" s="1"/>
  <c r="I252" i="69" s="1"/>
  <c r="J252" i="69" s="1"/>
  <c r="K252" i="69" s="1"/>
  <c r="M252" i="69" s="1"/>
  <c r="AL198" i="11" a="1"/>
  <c r="AL198" i="11" s="1"/>
  <c r="AL208" i="59" a="1"/>
  <c r="AL208" i="59" s="1"/>
  <c r="E209" i="50" s="1"/>
  <c r="AM98" i="59" a="1"/>
  <c r="AM98" i="59" s="1"/>
  <c r="AM83" i="11" a="1"/>
  <c r="AM83" i="11" s="1"/>
  <c r="AB251" i="69" l="1"/>
  <c r="AC251" i="69" s="1"/>
  <c r="AD251" i="69" s="1"/>
  <c r="AG251" i="69"/>
  <c r="AO253" i="69"/>
  <c r="P253" i="69"/>
  <c r="L254" i="69"/>
  <c r="O254" i="69"/>
  <c r="T209" i="50"/>
  <c r="AK209" i="50"/>
  <c r="AD197" i="32"/>
  <c r="AM208" i="50"/>
  <c r="U208" i="50"/>
  <c r="AD207" i="50"/>
  <c r="AG207" i="50" s="1"/>
  <c r="AH207" i="50" s="1"/>
  <c r="AI207" i="50" s="1"/>
  <c r="AL196" i="32"/>
  <c r="U198" i="32"/>
  <c r="AI194" i="32"/>
  <c r="AN194" i="32" s="1"/>
  <c r="AI195" i="32"/>
  <c r="AN195" i="32" s="1"/>
  <c r="AP205" i="50"/>
  <c r="AL206" i="50"/>
  <c r="Q198" i="32"/>
  <c r="P198" i="32" s="1"/>
  <c r="AX252" i="69"/>
  <c r="O209" i="50"/>
  <c r="AH252" i="69"/>
  <c r="AJ207" i="50"/>
  <c r="C207" i="50"/>
  <c r="AJ197" i="32"/>
  <c r="C197" i="32"/>
  <c r="V207" i="50"/>
  <c r="S208" i="50"/>
  <c r="S198" i="32"/>
  <c r="B209" i="50"/>
  <c r="R209" i="50" s="1"/>
  <c r="M209" i="50"/>
  <c r="K209" i="50"/>
  <c r="G209" i="50"/>
  <c r="H209" i="50"/>
  <c r="A209" i="50"/>
  <c r="Q209" i="50" s="1"/>
  <c r="P209" i="50" s="1"/>
  <c r="J209" i="50"/>
  <c r="I209" i="50"/>
  <c r="N209" i="50"/>
  <c r="F209" i="50"/>
  <c r="L209" i="50"/>
  <c r="W207" i="50"/>
  <c r="X207" i="50" s="1"/>
  <c r="Z207" i="50"/>
  <c r="E199" i="32"/>
  <c r="W197" i="32"/>
  <c r="X197" i="32" s="1"/>
  <c r="Z197" i="32"/>
  <c r="AN254" i="67" a="1"/>
  <c r="AN254" i="67" s="1"/>
  <c r="B255" i="69"/>
  <c r="AE252" i="69"/>
  <c r="U252" i="69"/>
  <c r="R252" i="69"/>
  <c r="S252" i="69" s="1"/>
  <c r="Y252" i="69" s="1"/>
  <c r="Q252" i="69"/>
  <c r="N253" i="69"/>
  <c r="AF253" i="69" s="1"/>
  <c r="D253" i="69"/>
  <c r="E253" i="69" s="1"/>
  <c r="F253" i="69" s="1"/>
  <c r="G253" i="69" s="1"/>
  <c r="H253" i="69" s="1"/>
  <c r="I253" i="69" s="1"/>
  <c r="J253" i="69" s="1"/>
  <c r="K253" i="69" s="1"/>
  <c r="M253" i="69" s="1"/>
  <c r="C254" i="69"/>
  <c r="AL199" i="11" a="1"/>
  <c r="AL199" i="11" s="1"/>
  <c r="E200" i="32" s="1"/>
  <c r="AL209" i="59" a="1"/>
  <c r="AL209" i="59" s="1"/>
  <c r="E210" i="50" s="1"/>
  <c r="AM99" i="59" a="1"/>
  <c r="AM99" i="59" s="1"/>
  <c r="AM84" i="11" a="1"/>
  <c r="AM84" i="11" s="1"/>
  <c r="AB252" i="69" l="1"/>
  <c r="AC252" i="69" s="1"/>
  <c r="AD252" i="69" s="1"/>
  <c r="AG252" i="69"/>
  <c r="AO254" i="69"/>
  <c r="P254" i="69"/>
  <c r="L255" i="69"/>
  <c r="O255" i="69"/>
  <c r="T210" i="50"/>
  <c r="AK210" i="50"/>
  <c r="AK199" i="32"/>
  <c r="T199" i="32"/>
  <c r="AK200" i="32"/>
  <c r="T200" i="32"/>
  <c r="AD198" i="32"/>
  <c r="AM209" i="50"/>
  <c r="U209" i="50"/>
  <c r="AD208" i="50"/>
  <c r="AG208" i="50" s="1"/>
  <c r="AH208" i="50" s="1"/>
  <c r="AI208" i="50" s="1"/>
  <c r="AG197" i="32"/>
  <c r="AH197" i="32" s="1"/>
  <c r="AL197" i="32"/>
  <c r="AP206" i="50"/>
  <c r="AL207" i="50"/>
  <c r="AI196" i="32"/>
  <c r="AN196" i="32" s="1"/>
  <c r="AX253" i="69"/>
  <c r="O210" i="50"/>
  <c r="AH253" i="69"/>
  <c r="C198" i="32"/>
  <c r="V198" i="32"/>
  <c r="AJ208" i="50"/>
  <c r="C208" i="50"/>
  <c r="AJ198" i="32"/>
  <c r="S209" i="50"/>
  <c r="V208" i="50"/>
  <c r="A199" i="32"/>
  <c r="B199" i="32"/>
  <c r="R199" i="32" s="1"/>
  <c r="A200" i="32"/>
  <c r="B200" i="32"/>
  <c r="R200" i="32" s="1"/>
  <c r="F210" i="50"/>
  <c r="L210" i="50"/>
  <c r="K210" i="50"/>
  <c r="H210" i="50"/>
  <c r="J210" i="50"/>
  <c r="I210" i="50"/>
  <c r="B210" i="50"/>
  <c r="R210" i="50" s="1"/>
  <c r="M210" i="50"/>
  <c r="A210" i="50"/>
  <c r="Q210" i="50" s="1"/>
  <c r="P210" i="50" s="1"/>
  <c r="N210" i="50"/>
  <c r="G210" i="50"/>
  <c r="G199" i="32"/>
  <c r="F199" i="32"/>
  <c r="AM199" i="32" s="1"/>
  <c r="L199" i="32"/>
  <c r="M199" i="32"/>
  <c r="N199" i="32"/>
  <c r="O199" i="32"/>
  <c r="H199" i="32"/>
  <c r="I199" i="32"/>
  <c r="K199" i="32"/>
  <c r="J199" i="32"/>
  <c r="J200" i="32"/>
  <c r="K200" i="32"/>
  <c r="L200" i="32"/>
  <c r="M200" i="32"/>
  <c r="F200" i="32"/>
  <c r="AM200" i="32" s="1"/>
  <c r="N200" i="32"/>
  <c r="G200" i="32"/>
  <c r="O200" i="32"/>
  <c r="H200" i="32"/>
  <c r="I200" i="32"/>
  <c r="W208" i="50"/>
  <c r="X208" i="50" s="1"/>
  <c r="Z208" i="50"/>
  <c r="W198" i="32"/>
  <c r="X198" i="32" s="1"/>
  <c r="Z198" i="32"/>
  <c r="AN255" i="67" a="1"/>
  <c r="AN255" i="67" s="1"/>
  <c r="B256" i="69"/>
  <c r="U253" i="69"/>
  <c r="AE253" i="69"/>
  <c r="R253" i="69"/>
  <c r="S253" i="69" s="1"/>
  <c r="Y253" i="69" s="1"/>
  <c r="Q253" i="69"/>
  <c r="D254" i="69"/>
  <c r="E254" i="69" s="1"/>
  <c r="F254" i="69" s="1"/>
  <c r="G254" i="69" s="1"/>
  <c r="H254" i="69" s="1"/>
  <c r="I254" i="69" s="1"/>
  <c r="J254" i="69" s="1"/>
  <c r="K254" i="69" s="1"/>
  <c r="M254" i="69" s="1"/>
  <c r="N254" i="69"/>
  <c r="AF254" i="69" s="1"/>
  <c r="C255" i="69"/>
  <c r="AL200" i="11" a="1"/>
  <c r="AL200" i="11" s="1"/>
  <c r="E201" i="32" s="1"/>
  <c r="AL210" i="59" a="1"/>
  <c r="AL210" i="59" s="1"/>
  <c r="E211" i="50" s="1"/>
  <c r="AM100" i="59" a="1"/>
  <c r="AM100" i="59" s="1"/>
  <c r="AM85" i="11" a="1"/>
  <c r="AM85" i="11" s="1"/>
  <c r="AB253" i="69" l="1"/>
  <c r="AC253" i="69" s="1"/>
  <c r="AD253" i="69" s="1"/>
  <c r="AG253" i="69"/>
  <c r="L256" i="69"/>
  <c r="O256" i="69"/>
  <c r="AO255" i="69"/>
  <c r="P255" i="69"/>
  <c r="T211" i="50"/>
  <c r="AK211" i="50"/>
  <c r="AK201" i="32"/>
  <c r="T201" i="32"/>
  <c r="AD209" i="50"/>
  <c r="AG209" i="50" s="1"/>
  <c r="AH209" i="50" s="1"/>
  <c r="AI209" i="50" s="1"/>
  <c r="AM210" i="50"/>
  <c r="U210" i="50"/>
  <c r="U200" i="32"/>
  <c r="U199" i="32"/>
  <c r="AG198" i="32"/>
  <c r="AH198" i="32" s="1"/>
  <c r="AL198" i="32"/>
  <c r="AI197" i="32"/>
  <c r="AN197" i="32" s="1"/>
  <c r="AP207" i="50"/>
  <c r="AL208" i="50"/>
  <c r="Q200" i="32"/>
  <c r="P200" i="32" s="1"/>
  <c r="Q199" i="32"/>
  <c r="P199" i="32" s="1"/>
  <c r="AX254" i="69"/>
  <c r="O211" i="50"/>
  <c r="AH254" i="69"/>
  <c r="AJ209" i="50"/>
  <c r="C209" i="50"/>
  <c r="S210" i="50"/>
  <c r="V209" i="50"/>
  <c r="S199" i="32"/>
  <c r="V199" i="32" s="1"/>
  <c r="S200" i="32"/>
  <c r="A201" i="32"/>
  <c r="B201" i="32"/>
  <c r="R201" i="32" s="1"/>
  <c r="M211" i="50"/>
  <c r="F211" i="50"/>
  <c r="G211" i="50"/>
  <c r="I211" i="50"/>
  <c r="B211" i="50"/>
  <c r="R211" i="50" s="1"/>
  <c r="H211" i="50"/>
  <c r="L211" i="50"/>
  <c r="N211" i="50"/>
  <c r="J211" i="50"/>
  <c r="K211" i="50"/>
  <c r="A211" i="50"/>
  <c r="Q211" i="50" s="1"/>
  <c r="P211" i="50" s="1"/>
  <c r="H201" i="32"/>
  <c r="I201" i="32"/>
  <c r="J201" i="32"/>
  <c r="K201" i="32"/>
  <c r="L201" i="32"/>
  <c r="M201" i="32"/>
  <c r="F201" i="32"/>
  <c r="AM201" i="32" s="1"/>
  <c r="G201" i="32"/>
  <c r="N201" i="32"/>
  <c r="O201" i="32"/>
  <c r="Z209" i="50"/>
  <c r="W209" i="50"/>
  <c r="X209" i="50" s="1"/>
  <c r="D255" i="69"/>
  <c r="E255" i="69" s="1"/>
  <c r="F255" i="69" s="1"/>
  <c r="G255" i="69" s="1"/>
  <c r="H255" i="69" s="1"/>
  <c r="I255" i="69" s="1"/>
  <c r="J255" i="69" s="1"/>
  <c r="K255" i="69" s="1"/>
  <c r="M255" i="69" s="1"/>
  <c r="N255" i="69"/>
  <c r="AF255" i="69" s="1"/>
  <c r="U254" i="69"/>
  <c r="AE254" i="69"/>
  <c r="R254" i="69"/>
  <c r="S254" i="69" s="1"/>
  <c r="Y254" i="69" s="1"/>
  <c r="Q254" i="69"/>
  <c r="C256" i="69"/>
  <c r="AN256" i="67" a="1"/>
  <c r="AN256" i="67" s="1"/>
  <c r="AN257" i="67" s="1" a="1"/>
  <c r="AN257" i="67" s="1"/>
  <c r="B257" i="69"/>
  <c r="AL201" i="11" a="1"/>
  <c r="AL201" i="11" s="1"/>
  <c r="E202" i="32" s="1"/>
  <c r="AL211" i="59" a="1"/>
  <c r="AL211" i="59" s="1"/>
  <c r="E212" i="50" s="1"/>
  <c r="AM101" i="59" a="1"/>
  <c r="AM101" i="59" s="1"/>
  <c r="AM86" i="11" a="1"/>
  <c r="AM86" i="11" s="1"/>
  <c r="AB254" i="69" l="1"/>
  <c r="AC254" i="69" s="1"/>
  <c r="AD254" i="69" s="1"/>
  <c r="AG254" i="69"/>
  <c r="L257" i="69"/>
  <c r="O257" i="69"/>
  <c r="AO256" i="69"/>
  <c r="P256" i="69"/>
  <c r="T212" i="50"/>
  <c r="AK212" i="50"/>
  <c r="AK202" i="32"/>
  <c r="T202" i="32"/>
  <c r="AD199" i="32"/>
  <c r="AD200" i="32"/>
  <c r="AM211" i="50"/>
  <c r="U211" i="50"/>
  <c r="AD210" i="50"/>
  <c r="AG210" i="50" s="1"/>
  <c r="AH210" i="50" s="1"/>
  <c r="AI210" i="50" s="1"/>
  <c r="U201" i="32"/>
  <c r="AP208" i="50"/>
  <c r="AL209" i="50"/>
  <c r="Q201" i="32"/>
  <c r="P201" i="32" s="1"/>
  <c r="AI198" i="32"/>
  <c r="AN198" i="32" s="1"/>
  <c r="AX255" i="69"/>
  <c r="O212" i="50"/>
  <c r="AH255" i="69"/>
  <c r="C200" i="32"/>
  <c r="V200" i="32"/>
  <c r="AJ210" i="50"/>
  <c r="C210" i="50"/>
  <c r="AJ199" i="32"/>
  <c r="C199" i="32"/>
  <c r="AJ200" i="32"/>
  <c r="S211" i="50"/>
  <c r="V210" i="50"/>
  <c r="S201" i="32"/>
  <c r="V201" i="32" s="1"/>
  <c r="A202" i="32"/>
  <c r="B202" i="32"/>
  <c r="R202" i="32" s="1"/>
  <c r="I212" i="50"/>
  <c r="N212" i="50"/>
  <c r="H212" i="50"/>
  <c r="M212" i="50"/>
  <c r="L212" i="50"/>
  <c r="G212" i="50"/>
  <c r="A212" i="50"/>
  <c r="Q212" i="50" s="1"/>
  <c r="P212" i="50" s="1"/>
  <c r="J212" i="50"/>
  <c r="F212" i="50"/>
  <c r="K212" i="50"/>
  <c r="B212" i="50"/>
  <c r="R212" i="50" s="1"/>
  <c r="F202" i="32"/>
  <c r="AM202" i="32" s="1"/>
  <c r="N202" i="32"/>
  <c r="G202" i="32"/>
  <c r="O202" i="32"/>
  <c r="H202" i="32"/>
  <c r="I202" i="32"/>
  <c r="J202" i="32"/>
  <c r="K202" i="32"/>
  <c r="L202" i="32"/>
  <c r="M202" i="32"/>
  <c r="W210" i="50"/>
  <c r="X210" i="50" s="1"/>
  <c r="Z210" i="50"/>
  <c r="Z199" i="32"/>
  <c r="W199" i="32"/>
  <c r="X199" i="32" s="1"/>
  <c r="W200" i="32"/>
  <c r="X200" i="32" s="1"/>
  <c r="Z200" i="32"/>
  <c r="N256" i="69"/>
  <c r="AF256" i="69" s="1"/>
  <c r="D256" i="69"/>
  <c r="E256" i="69" s="1"/>
  <c r="F256" i="69" s="1"/>
  <c r="G256" i="69" s="1"/>
  <c r="H256" i="69" s="1"/>
  <c r="I256" i="69" s="1"/>
  <c r="J256" i="69" s="1"/>
  <c r="K256" i="69" s="1"/>
  <c r="M256" i="69" s="1"/>
  <c r="C257" i="69"/>
  <c r="Q255" i="69"/>
  <c r="U255" i="69"/>
  <c r="R255" i="69"/>
  <c r="S255" i="69" s="1"/>
  <c r="Y255" i="69" s="1"/>
  <c r="AE255" i="69"/>
  <c r="AL202" i="11" a="1"/>
  <c r="AL202" i="11" s="1"/>
  <c r="E203" i="32" s="1"/>
  <c r="AL212" i="59" a="1"/>
  <c r="AL212" i="59" s="1"/>
  <c r="E213" i="50" s="1"/>
  <c r="AM102" i="59" a="1"/>
  <c r="AM102" i="59" s="1"/>
  <c r="AM87" i="11" a="1"/>
  <c r="AM87" i="11" s="1"/>
  <c r="AB255" i="69" l="1"/>
  <c r="AC255" i="69" s="1"/>
  <c r="AD255" i="69" s="1"/>
  <c r="AG255" i="69"/>
  <c r="AO257" i="69"/>
  <c r="P257" i="69"/>
  <c r="T213" i="50"/>
  <c r="AK213" i="50"/>
  <c r="AK203" i="32"/>
  <c r="T203" i="32"/>
  <c r="AD201" i="32"/>
  <c r="AD211" i="50"/>
  <c r="AG211" i="50" s="1"/>
  <c r="AH211" i="50" s="1"/>
  <c r="AI211" i="50" s="1"/>
  <c r="AM212" i="50"/>
  <c r="U212" i="50"/>
  <c r="AG199" i="32"/>
  <c r="AH199" i="32" s="1"/>
  <c r="AL199" i="32"/>
  <c r="AG200" i="32"/>
  <c r="AH200" i="32" s="1"/>
  <c r="AL200" i="32"/>
  <c r="U202" i="32"/>
  <c r="AP209" i="50"/>
  <c r="AL210" i="50"/>
  <c r="Q202" i="32"/>
  <c r="P202" i="32" s="1"/>
  <c r="AX256" i="69"/>
  <c r="O213" i="50"/>
  <c r="AH256" i="69"/>
  <c r="AJ211" i="50"/>
  <c r="C211" i="50"/>
  <c r="AJ201" i="32"/>
  <c r="C201" i="32"/>
  <c r="S212" i="50"/>
  <c r="V211" i="50"/>
  <c r="S202" i="32"/>
  <c r="V202" i="32" s="1"/>
  <c r="A203" i="32"/>
  <c r="B203" i="32"/>
  <c r="R203" i="32" s="1"/>
  <c r="F213" i="50"/>
  <c r="N213" i="50"/>
  <c r="K213" i="50"/>
  <c r="G213" i="50"/>
  <c r="A213" i="50"/>
  <c r="Q213" i="50" s="1"/>
  <c r="P213" i="50" s="1"/>
  <c r="L213" i="50"/>
  <c r="H213" i="50"/>
  <c r="B213" i="50"/>
  <c r="R213" i="50" s="1"/>
  <c r="I213" i="50"/>
  <c r="J213" i="50"/>
  <c r="M213" i="50"/>
  <c r="L203" i="32"/>
  <c r="M203" i="32"/>
  <c r="F203" i="32"/>
  <c r="AM203" i="32" s="1"/>
  <c r="N203" i="32"/>
  <c r="G203" i="32"/>
  <c r="O203" i="32"/>
  <c r="H203" i="32"/>
  <c r="I203" i="32"/>
  <c r="J203" i="32"/>
  <c r="K203" i="32"/>
  <c r="Z211" i="50"/>
  <c r="W211" i="50"/>
  <c r="X211" i="50" s="1"/>
  <c r="W201" i="32"/>
  <c r="X201" i="32" s="1"/>
  <c r="Z201" i="32"/>
  <c r="R256" i="69"/>
  <c r="S256" i="69" s="1"/>
  <c r="Y256" i="69" s="1"/>
  <c r="U256" i="69"/>
  <c r="AE256" i="69"/>
  <c r="Q256" i="69"/>
  <c r="N257" i="69"/>
  <c r="AF257" i="69" s="1"/>
  <c r="D257" i="69"/>
  <c r="AL203" i="11" a="1"/>
  <c r="AL203" i="11" s="1"/>
  <c r="E204" i="32" s="1"/>
  <c r="AL213" i="59" a="1"/>
  <c r="AL213" i="59" s="1"/>
  <c r="E214" i="50" s="1"/>
  <c r="AM103" i="59" a="1"/>
  <c r="AM103" i="59" s="1"/>
  <c r="AM88" i="11" a="1"/>
  <c r="AM88" i="11" s="1"/>
  <c r="AB256" i="69" l="1"/>
  <c r="AC256" i="69" s="1"/>
  <c r="AD256" i="69" s="1"/>
  <c r="AG256" i="69"/>
  <c r="T214" i="50"/>
  <c r="AK214" i="50"/>
  <c r="AK204" i="32"/>
  <c r="T204" i="32"/>
  <c r="AD202" i="32"/>
  <c r="AM213" i="50"/>
  <c r="U213" i="50"/>
  <c r="AD212" i="50"/>
  <c r="AG212" i="50" s="1"/>
  <c r="AH212" i="50" s="1"/>
  <c r="AI212" i="50" s="1"/>
  <c r="U203" i="32"/>
  <c r="AG201" i="32"/>
  <c r="AH201" i="32" s="1"/>
  <c r="AL201" i="32"/>
  <c r="Z171" i="22"/>
  <c r="AB171" i="22" s="1"/>
  <c r="AD171" i="22" s="1"/>
  <c r="Z170" i="22"/>
  <c r="AB170" i="22" s="1"/>
  <c r="AD170" i="22" s="1"/>
  <c r="Z169" i="22"/>
  <c r="AB169" i="22" s="1"/>
  <c r="AD169" i="22" s="1"/>
  <c r="Z172" i="22"/>
  <c r="AB172" i="22" s="1"/>
  <c r="AD172" i="22" s="1"/>
  <c r="Z168" i="22"/>
  <c r="AB168" i="22" s="1"/>
  <c r="AD168" i="22" s="1"/>
  <c r="AI199" i="32"/>
  <c r="AN199" i="32" s="1"/>
  <c r="AI200" i="32"/>
  <c r="AN200" i="32" s="1"/>
  <c r="AP210" i="50"/>
  <c r="AL211" i="50"/>
  <c r="Q203" i="32"/>
  <c r="P203" i="32" s="1"/>
  <c r="Y168" i="22"/>
  <c r="AA168" i="22" s="1"/>
  <c r="Y169" i="22"/>
  <c r="AA169" i="22" s="1"/>
  <c r="Y171" i="22"/>
  <c r="AA171" i="22" s="1"/>
  <c r="Y170" i="22"/>
  <c r="AA170" i="22" s="1"/>
  <c r="Y172" i="22"/>
  <c r="AA172" i="22" s="1"/>
  <c r="AX257" i="69"/>
  <c r="O214" i="50"/>
  <c r="AH257" i="69"/>
  <c r="AJ212" i="50"/>
  <c r="C212" i="50"/>
  <c r="AJ202" i="32"/>
  <c r="C202" i="32"/>
  <c r="V212" i="50"/>
  <c r="S213" i="50"/>
  <c r="S203" i="32"/>
  <c r="V203" i="32" s="1"/>
  <c r="A204" i="32"/>
  <c r="B204" i="32"/>
  <c r="R204" i="32" s="1"/>
  <c r="A214" i="50"/>
  <c r="Q214" i="50" s="1"/>
  <c r="P214" i="50" s="1"/>
  <c r="G214" i="50"/>
  <c r="L214" i="50"/>
  <c r="N214" i="50"/>
  <c r="F214" i="50"/>
  <c r="J214" i="50"/>
  <c r="I214" i="50"/>
  <c r="B214" i="50"/>
  <c r="R214" i="50" s="1"/>
  <c r="M214" i="50"/>
  <c r="K214" i="50"/>
  <c r="H214" i="50"/>
  <c r="J204" i="32"/>
  <c r="K204" i="32"/>
  <c r="L204" i="32"/>
  <c r="M204" i="32"/>
  <c r="F204" i="32"/>
  <c r="AM204" i="32" s="1"/>
  <c r="N204" i="32"/>
  <c r="G204" i="32"/>
  <c r="O204" i="32"/>
  <c r="H204" i="32"/>
  <c r="I204" i="32"/>
  <c r="W212" i="50"/>
  <c r="X212" i="50" s="1"/>
  <c r="Z212" i="50"/>
  <c r="W202" i="32"/>
  <c r="X202" i="32" s="1"/>
  <c r="Z202" i="32"/>
  <c r="E257" i="69"/>
  <c r="F257" i="69" s="1"/>
  <c r="G257" i="69" s="1"/>
  <c r="H257" i="69" s="1"/>
  <c r="I257" i="69" s="1"/>
  <c r="J257" i="69" s="1"/>
  <c r="K257" i="69" s="1"/>
  <c r="M257" i="69" s="1"/>
  <c r="D258" i="69"/>
  <c r="R257" i="69"/>
  <c r="S257" i="69" s="1"/>
  <c r="U257" i="69"/>
  <c r="AE257" i="69"/>
  <c r="Q257" i="69"/>
  <c r="AL204" i="11" a="1"/>
  <c r="AL204" i="11" s="1"/>
  <c r="E205" i="32" s="1"/>
  <c r="AL214" i="59" a="1"/>
  <c r="AL214" i="59" s="1"/>
  <c r="E215" i="50" s="1"/>
  <c r="AM104" i="59" a="1"/>
  <c r="AM104" i="59" s="1"/>
  <c r="AM89" i="11" a="1"/>
  <c r="AM89" i="11" s="1"/>
  <c r="Y257" i="69" l="1"/>
  <c r="AK215" i="50"/>
  <c r="T215" i="50"/>
  <c r="AK205" i="32"/>
  <c r="T205" i="32"/>
  <c r="AD203" i="32"/>
  <c r="AD213" i="50"/>
  <c r="AG213" i="50" s="1"/>
  <c r="AH213" i="50" s="1"/>
  <c r="AI213" i="50" s="1"/>
  <c r="AM214" i="50"/>
  <c r="U214" i="50"/>
  <c r="U204" i="32"/>
  <c r="AG202" i="32"/>
  <c r="AH202" i="32" s="1"/>
  <c r="AL202" i="32"/>
  <c r="AI201" i="32"/>
  <c r="AN201" i="32" s="1"/>
  <c r="AP211" i="50"/>
  <c r="AL212" i="50"/>
  <c r="Q204" i="32"/>
  <c r="P204" i="32" s="1"/>
  <c r="AC172" i="22"/>
  <c r="E186" i="36"/>
  <c r="G186" i="36" s="1"/>
  <c r="AC170" i="22"/>
  <c r="E184" i="36"/>
  <c r="G184" i="36" s="1"/>
  <c r="AC171" i="22"/>
  <c r="E185" i="36"/>
  <c r="G185" i="36" s="1"/>
  <c r="E183" i="36"/>
  <c r="G183" i="36" s="1"/>
  <c r="AC169" i="22"/>
  <c r="AC168" i="22"/>
  <c r="E182" i="36"/>
  <c r="G182" i="36" s="1"/>
  <c r="Q258" i="69"/>
  <c r="O215" i="50"/>
  <c r="AJ213" i="50"/>
  <c r="C213" i="50"/>
  <c r="AJ203" i="32"/>
  <c r="C203" i="32"/>
  <c r="S214" i="50"/>
  <c r="V213" i="50"/>
  <c r="S204" i="32"/>
  <c r="V204" i="32" s="1"/>
  <c r="A205" i="32"/>
  <c r="B205" i="32"/>
  <c r="R205" i="32" s="1"/>
  <c r="K215" i="50"/>
  <c r="I215" i="50"/>
  <c r="M215" i="50"/>
  <c r="H215" i="50"/>
  <c r="J215" i="50"/>
  <c r="L215" i="50"/>
  <c r="B215" i="50"/>
  <c r="R215" i="50" s="1"/>
  <c r="A215" i="50"/>
  <c r="Q215" i="50" s="1"/>
  <c r="P215" i="50" s="1"/>
  <c r="F215" i="50"/>
  <c r="G215" i="50"/>
  <c r="N215" i="50"/>
  <c r="H205" i="32"/>
  <c r="I205" i="32"/>
  <c r="J205" i="32"/>
  <c r="K205" i="32"/>
  <c r="L205" i="32"/>
  <c r="M205" i="32"/>
  <c r="F205" i="32"/>
  <c r="AM205" i="32" s="1"/>
  <c r="G205" i="32"/>
  <c r="O205" i="32"/>
  <c r="N205" i="32"/>
  <c r="W213" i="50"/>
  <c r="X213" i="50" s="1"/>
  <c r="Z213" i="50"/>
  <c r="W203" i="32"/>
  <c r="X203" i="32" s="1"/>
  <c r="Z203" i="32"/>
  <c r="AL205" i="11" a="1"/>
  <c r="AL205" i="11" s="1"/>
  <c r="E206" i="32" s="1"/>
  <c r="AL215" i="59" a="1"/>
  <c r="AL215" i="59" s="1"/>
  <c r="E216" i="50" s="1"/>
  <c r="AM105" i="59" a="1"/>
  <c r="AM105" i="59" s="1"/>
  <c r="AM90" i="11" a="1"/>
  <c r="AM90" i="11" s="1"/>
  <c r="AB257" i="69" l="1"/>
  <c r="AC257" i="69" s="1"/>
  <c r="AD257" i="69" s="1"/>
  <c r="Y2" i="69"/>
  <c r="AG257" i="69"/>
  <c r="AK216" i="50"/>
  <c r="T216" i="50"/>
  <c r="AK206" i="32"/>
  <c r="T206" i="32"/>
  <c r="AD204" i="32"/>
  <c r="AM215" i="50"/>
  <c r="U215" i="50"/>
  <c r="AD214" i="50"/>
  <c r="AG214" i="50" s="1"/>
  <c r="AH214" i="50" s="1"/>
  <c r="AI214" i="50" s="1"/>
  <c r="U205" i="32"/>
  <c r="AG203" i="32"/>
  <c r="AH203" i="32" s="1"/>
  <c r="AL203" i="32"/>
  <c r="AI202" i="32"/>
  <c r="AN202" i="32" s="1"/>
  <c r="AP212" i="50"/>
  <c r="AL213" i="50"/>
  <c r="AO258" i="69"/>
  <c r="H26" i="73" s="1"/>
  <c r="Q205" i="32"/>
  <c r="P205" i="32" s="1"/>
  <c r="O216" i="50"/>
  <c r="AJ214" i="50"/>
  <c r="C214" i="50"/>
  <c r="AJ204" i="32"/>
  <c r="C204" i="32"/>
  <c r="S215" i="50"/>
  <c r="V214" i="50"/>
  <c r="S205" i="32"/>
  <c r="V205" i="32" s="1"/>
  <c r="A206" i="32"/>
  <c r="B206" i="32"/>
  <c r="R206" i="32" s="1"/>
  <c r="L216" i="50"/>
  <c r="M216" i="50"/>
  <c r="N216" i="50"/>
  <c r="G216" i="50"/>
  <c r="F216" i="50"/>
  <c r="I216" i="50"/>
  <c r="H216" i="50"/>
  <c r="J216" i="50"/>
  <c r="K216" i="50"/>
  <c r="A216" i="50"/>
  <c r="Q216" i="50" s="1"/>
  <c r="P216" i="50" s="1"/>
  <c r="B216" i="50"/>
  <c r="R216" i="50" s="1"/>
  <c r="F206" i="32"/>
  <c r="AM206" i="32" s="1"/>
  <c r="N206" i="32"/>
  <c r="G206" i="32"/>
  <c r="O206" i="32"/>
  <c r="H206" i="32"/>
  <c r="I206" i="32"/>
  <c r="J206" i="32"/>
  <c r="K206" i="32"/>
  <c r="L206" i="32"/>
  <c r="M206" i="32"/>
  <c r="Z214" i="50"/>
  <c r="W214" i="50"/>
  <c r="X214" i="50" s="1"/>
  <c r="W204" i="32"/>
  <c r="X204" i="32" s="1"/>
  <c r="Z204" i="32"/>
  <c r="AL206" i="11" a="1"/>
  <c r="AL206" i="11" s="1"/>
  <c r="E207" i="32" s="1"/>
  <c r="AL216" i="59" a="1"/>
  <c r="AL216" i="59" s="1"/>
  <c r="E217" i="50" s="1"/>
  <c r="AM106" i="59" a="1"/>
  <c r="AM106" i="59" s="1"/>
  <c r="AM91" i="11" a="1"/>
  <c r="AM91" i="11" s="1"/>
  <c r="T217" i="50" l="1"/>
  <c r="AK217" i="50"/>
  <c r="AK207" i="32"/>
  <c r="T207" i="32"/>
  <c r="AD205" i="32"/>
  <c r="AD215" i="50"/>
  <c r="AG215" i="50" s="1"/>
  <c r="AH215" i="50" s="1"/>
  <c r="AI215" i="50" s="1"/>
  <c r="AM216" i="50"/>
  <c r="U216" i="50"/>
  <c r="U206" i="32"/>
  <c r="AG204" i="32"/>
  <c r="AH204" i="32" s="1"/>
  <c r="AL204" i="32"/>
  <c r="AI203" i="32"/>
  <c r="AN203" i="32" s="1"/>
  <c r="AP213" i="50"/>
  <c r="AL214" i="50"/>
  <c r="Q206" i="32"/>
  <c r="P206" i="32" s="1"/>
  <c r="O217" i="50"/>
  <c r="AJ215" i="50"/>
  <c r="C215" i="50"/>
  <c r="AJ205" i="32"/>
  <c r="C205" i="32"/>
  <c r="S216" i="50"/>
  <c r="V215" i="50"/>
  <c r="S206" i="32"/>
  <c r="V206" i="32" s="1"/>
  <c r="A207" i="32"/>
  <c r="B207" i="32"/>
  <c r="R207" i="32" s="1"/>
  <c r="B217" i="50"/>
  <c r="R217" i="50" s="1"/>
  <c r="G217" i="50"/>
  <c r="I217" i="50"/>
  <c r="H217" i="50"/>
  <c r="A217" i="50"/>
  <c r="Q217" i="50" s="1"/>
  <c r="P217" i="50" s="1"/>
  <c r="K217" i="50"/>
  <c r="J217" i="50"/>
  <c r="M217" i="50"/>
  <c r="F217" i="50"/>
  <c r="L217" i="50"/>
  <c r="N217" i="50"/>
  <c r="L207" i="32"/>
  <c r="M207" i="32"/>
  <c r="F207" i="32"/>
  <c r="AM207" i="32" s="1"/>
  <c r="N207" i="32"/>
  <c r="G207" i="32"/>
  <c r="O207" i="32"/>
  <c r="H207" i="32"/>
  <c r="I207" i="32"/>
  <c r="J207" i="32"/>
  <c r="K207" i="32"/>
  <c r="Z215" i="50"/>
  <c r="W215" i="50"/>
  <c r="X215" i="50" s="1"/>
  <c r="W205" i="32"/>
  <c r="X205" i="32" s="1"/>
  <c r="Z205" i="32"/>
  <c r="AL207" i="11" a="1"/>
  <c r="AL207" i="11" s="1"/>
  <c r="E208" i="32" s="1"/>
  <c r="AL217" i="59" a="1"/>
  <c r="AL217" i="59" s="1"/>
  <c r="E218" i="50" s="1"/>
  <c r="AM107" i="59" a="1"/>
  <c r="AM107" i="59" s="1"/>
  <c r="AM92" i="11" a="1"/>
  <c r="AM92" i="11" s="1"/>
  <c r="T218" i="50" l="1"/>
  <c r="AK218" i="50"/>
  <c r="AD206" i="32"/>
  <c r="AK208" i="32"/>
  <c r="T208" i="32"/>
  <c r="AD216" i="50"/>
  <c r="AG216" i="50" s="1"/>
  <c r="AH216" i="50" s="1"/>
  <c r="AI216" i="50" s="1"/>
  <c r="AM217" i="50"/>
  <c r="U217" i="50"/>
  <c r="U207" i="32"/>
  <c r="AG205" i="32"/>
  <c r="AH205" i="32" s="1"/>
  <c r="AL205" i="32"/>
  <c r="AI204" i="32"/>
  <c r="AN204" i="32" s="1"/>
  <c r="AP214" i="50"/>
  <c r="AL215" i="50"/>
  <c r="Q207" i="32"/>
  <c r="P207" i="32" s="1"/>
  <c r="O218" i="50"/>
  <c r="AJ216" i="50"/>
  <c r="C216" i="50"/>
  <c r="AJ206" i="32"/>
  <c r="C206" i="32"/>
  <c r="S217" i="50"/>
  <c r="V216" i="50"/>
  <c r="S207" i="32"/>
  <c r="A208" i="32"/>
  <c r="B208" i="32"/>
  <c r="R208" i="32" s="1"/>
  <c r="F218" i="50"/>
  <c r="B218" i="50"/>
  <c r="R218" i="50" s="1"/>
  <c r="A218" i="50"/>
  <c r="Q218" i="50" s="1"/>
  <c r="P218" i="50" s="1"/>
  <c r="J218" i="50"/>
  <c r="N218" i="50"/>
  <c r="K218" i="50"/>
  <c r="G218" i="50"/>
  <c r="H218" i="50"/>
  <c r="I218" i="50"/>
  <c r="L218" i="50"/>
  <c r="M218" i="50"/>
  <c r="J208" i="32"/>
  <c r="K208" i="32"/>
  <c r="L208" i="32"/>
  <c r="M208" i="32"/>
  <c r="F208" i="32"/>
  <c r="AM208" i="32" s="1"/>
  <c r="N208" i="32"/>
  <c r="G208" i="32"/>
  <c r="O208" i="32"/>
  <c r="H208" i="32"/>
  <c r="I208" i="32"/>
  <c r="Z216" i="50"/>
  <c r="W216" i="50"/>
  <c r="X216" i="50" s="1"/>
  <c r="W206" i="32"/>
  <c r="X206" i="32" s="1"/>
  <c r="Z206" i="32"/>
  <c r="AL208" i="11" a="1"/>
  <c r="AL208" i="11" s="1"/>
  <c r="AL218" i="59" a="1"/>
  <c r="AL218" i="59" s="1"/>
  <c r="E219" i="50" s="1"/>
  <c r="AM108" i="59" a="1"/>
  <c r="AM108" i="59" s="1"/>
  <c r="AM93" i="11" a="1"/>
  <c r="AM93" i="11" s="1"/>
  <c r="T219" i="50" l="1"/>
  <c r="AK219" i="50"/>
  <c r="AD207" i="32"/>
  <c r="AD217" i="50"/>
  <c r="AG217" i="50" s="1"/>
  <c r="AH217" i="50" s="1"/>
  <c r="AI217" i="50" s="1"/>
  <c r="AM218" i="50"/>
  <c r="U218" i="50"/>
  <c r="AG206" i="32"/>
  <c r="AH206" i="32" s="1"/>
  <c r="AL206" i="32"/>
  <c r="U208" i="32"/>
  <c r="AI205" i="32"/>
  <c r="AN205" i="32" s="1"/>
  <c r="AP215" i="50"/>
  <c r="AL216" i="50"/>
  <c r="Q208" i="32"/>
  <c r="P208" i="32" s="1"/>
  <c r="O219" i="50"/>
  <c r="C207" i="32"/>
  <c r="V207" i="32"/>
  <c r="AJ217" i="50"/>
  <c r="C217" i="50"/>
  <c r="AJ207" i="32"/>
  <c r="S218" i="50"/>
  <c r="V217" i="50"/>
  <c r="S208" i="32"/>
  <c r="V208" i="32" s="1"/>
  <c r="N219" i="50"/>
  <c r="K219" i="50"/>
  <c r="J219" i="50"/>
  <c r="B219" i="50"/>
  <c r="R219" i="50" s="1"/>
  <c r="A219" i="50"/>
  <c r="Q219" i="50" s="1"/>
  <c r="P219" i="50" s="1"/>
  <c r="L219" i="50"/>
  <c r="M219" i="50"/>
  <c r="I219" i="50"/>
  <c r="F219" i="50"/>
  <c r="G219" i="50"/>
  <c r="H219" i="50"/>
  <c r="Z217" i="50"/>
  <c r="W217" i="50"/>
  <c r="X217" i="50" s="1"/>
  <c r="E209" i="32"/>
  <c r="W207" i="32"/>
  <c r="X207" i="32" s="1"/>
  <c r="Z207" i="32"/>
  <c r="AL209" i="11" a="1"/>
  <c r="AL209" i="11" s="1"/>
  <c r="E210" i="32" s="1"/>
  <c r="AL219" i="59" a="1"/>
  <c r="AL219" i="59" s="1"/>
  <c r="E220" i="50" s="1"/>
  <c r="AM109" i="59" a="1"/>
  <c r="AM109" i="59" s="1"/>
  <c r="AM94" i="11" a="1"/>
  <c r="AM94" i="11" s="1"/>
  <c r="T220" i="50" l="1"/>
  <c r="AK220" i="50"/>
  <c r="AK209" i="32"/>
  <c r="T209" i="32"/>
  <c r="AK210" i="32"/>
  <c r="T210" i="32"/>
  <c r="AD208" i="32"/>
  <c r="AD218" i="50"/>
  <c r="AG218" i="50" s="1"/>
  <c r="AH218" i="50" s="1"/>
  <c r="AI218" i="50" s="1"/>
  <c r="AM219" i="50"/>
  <c r="U219" i="50"/>
  <c r="AG207" i="32"/>
  <c r="AH207" i="32" s="1"/>
  <c r="AL207" i="32"/>
  <c r="AI206" i="32"/>
  <c r="AN206" i="32" s="1"/>
  <c r="AP216" i="50"/>
  <c r="AL217" i="50"/>
  <c r="O220" i="50"/>
  <c r="AJ218" i="50"/>
  <c r="C218" i="50"/>
  <c r="AJ208" i="32"/>
  <c r="C208" i="32"/>
  <c r="S219" i="50"/>
  <c r="V218" i="50"/>
  <c r="A210" i="32"/>
  <c r="B210" i="32"/>
  <c r="R210" i="32" s="1"/>
  <c r="A209" i="32"/>
  <c r="B209" i="32"/>
  <c r="R209" i="32" s="1"/>
  <c r="I220" i="50"/>
  <c r="J220" i="50"/>
  <c r="G220" i="50"/>
  <c r="A220" i="50"/>
  <c r="Q220" i="50" s="1"/>
  <c r="P220" i="50" s="1"/>
  <c r="L220" i="50"/>
  <c r="H220" i="50"/>
  <c r="N220" i="50"/>
  <c r="F220" i="50"/>
  <c r="K220" i="50"/>
  <c r="B220" i="50"/>
  <c r="R220" i="50" s="1"/>
  <c r="M220" i="50"/>
  <c r="H209" i="32"/>
  <c r="I209" i="32"/>
  <c r="J209" i="32"/>
  <c r="K209" i="32"/>
  <c r="L209" i="32"/>
  <c r="M209" i="32"/>
  <c r="G209" i="32"/>
  <c r="N209" i="32"/>
  <c r="O209" i="32"/>
  <c r="F209" i="32"/>
  <c r="AM209" i="32" s="1"/>
  <c r="F210" i="32"/>
  <c r="AM210" i="32" s="1"/>
  <c r="N210" i="32"/>
  <c r="G210" i="32"/>
  <c r="O210" i="32"/>
  <c r="H210" i="32"/>
  <c r="I210" i="32"/>
  <c r="J210" i="32"/>
  <c r="K210" i="32"/>
  <c r="L210" i="32"/>
  <c r="M210" i="32"/>
  <c r="Z218" i="50"/>
  <c r="W218" i="50"/>
  <c r="X218" i="50" s="1"/>
  <c r="W208" i="32"/>
  <c r="X208" i="32" s="1"/>
  <c r="Z208" i="32"/>
  <c r="AL210" i="11" a="1"/>
  <c r="AL210" i="11" s="1"/>
  <c r="E211" i="32" s="1"/>
  <c r="AL220" i="59" a="1"/>
  <c r="AL220" i="59" s="1"/>
  <c r="E221" i="50" s="1"/>
  <c r="AM110" i="59" a="1"/>
  <c r="AM110" i="59" s="1"/>
  <c r="AM95" i="11" a="1"/>
  <c r="AM95" i="11" s="1"/>
  <c r="T221" i="50" l="1"/>
  <c r="AK221" i="50"/>
  <c r="AK211" i="32"/>
  <c r="T211" i="32"/>
  <c r="AD219" i="50"/>
  <c r="AG219" i="50" s="1"/>
  <c r="AH219" i="50" s="1"/>
  <c r="AI219" i="50" s="1"/>
  <c r="AM220" i="50"/>
  <c r="U220" i="50"/>
  <c r="AG208" i="32"/>
  <c r="AH208" i="32" s="1"/>
  <c r="AL208" i="32"/>
  <c r="U210" i="32"/>
  <c r="U209" i="32"/>
  <c r="AI207" i="32"/>
  <c r="AN207" i="32" s="1"/>
  <c r="AL218" i="50"/>
  <c r="Q209" i="32"/>
  <c r="P209" i="32" s="1"/>
  <c r="Q210" i="32"/>
  <c r="P210" i="32" s="1"/>
  <c r="AP217" i="50"/>
  <c r="O221" i="50"/>
  <c r="AJ219" i="50"/>
  <c r="C219" i="50"/>
  <c r="S220" i="50"/>
  <c r="V219" i="50"/>
  <c r="S209" i="32"/>
  <c r="V209" i="32" s="1"/>
  <c r="S210" i="32"/>
  <c r="A211" i="32"/>
  <c r="B211" i="32"/>
  <c r="R211" i="32" s="1"/>
  <c r="N221" i="50"/>
  <c r="G221" i="50"/>
  <c r="M221" i="50"/>
  <c r="F221" i="50"/>
  <c r="K221" i="50"/>
  <c r="B221" i="50"/>
  <c r="R221" i="50" s="1"/>
  <c r="A221" i="50"/>
  <c r="Q221" i="50" s="1"/>
  <c r="P221" i="50" s="1"/>
  <c r="L221" i="50"/>
  <c r="H221" i="50"/>
  <c r="I221" i="50"/>
  <c r="J221" i="50"/>
  <c r="L211" i="32"/>
  <c r="M211" i="32"/>
  <c r="F211" i="32"/>
  <c r="AM211" i="32" s="1"/>
  <c r="N211" i="32"/>
  <c r="G211" i="32"/>
  <c r="O211" i="32"/>
  <c r="H211" i="32"/>
  <c r="I211" i="32"/>
  <c r="J211" i="32"/>
  <c r="K211" i="32"/>
  <c r="Z219" i="50"/>
  <c r="W219" i="50"/>
  <c r="X219" i="50" s="1"/>
  <c r="AL211" i="11" a="1"/>
  <c r="AL211" i="11" s="1"/>
  <c r="E212" i="32" s="1"/>
  <c r="AL221" i="59" a="1"/>
  <c r="AL221" i="59" s="1"/>
  <c r="E222" i="50" s="1"/>
  <c r="AM111" i="59" a="1"/>
  <c r="AM111" i="59" s="1"/>
  <c r="AM96" i="11" a="1"/>
  <c r="AM96" i="11" s="1"/>
  <c r="T222" i="50" l="1"/>
  <c r="AK222" i="50"/>
  <c r="AD209" i="32"/>
  <c r="AK212" i="32"/>
  <c r="T212" i="32"/>
  <c r="AD210" i="32"/>
  <c r="AM221" i="50"/>
  <c r="U221" i="50"/>
  <c r="AD220" i="50"/>
  <c r="AG220" i="50" s="1"/>
  <c r="AH220" i="50" s="1"/>
  <c r="AI220" i="50" s="1"/>
  <c r="U211" i="32"/>
  <c r="AI208" i="32"/>
  <c r="AN208" i="32" s="1"/>
  <c r="AP218" i="50"/>
  <c r="AL219" i="50"/>
  <c r="Q211" i="32"/>
  <c r="P211" i="32" s="1"/>
  <c r="O222" i="50"/>
  <c r="C210" i="32"/>
  <c r="V210" i="32"/>
  <c r="AJ220" i="50"/>
  <c r="C220" i="50"/>
  <c r="AJ209" i="32"/>
  <c r="C209" i="32"/>
  <c r="AJ210" i="32"/>
  <c r="V220" i="50"/>
  <c r="S221" i="50"/>
  <c r="S211" i="32"/>
  <c r="A212" i="32"/>
  <c r="B212" i="32"/>
  <c r="R212" i="32" s="1"/>
  <c r="H222" i="50"/>
  <c r="L222" i="50"/>
  <c r="M222" i="50"/>
  <c r="K222" i="50"/>
  <c r="A222" i="50"/>
  <c r="Q222" i="50" s="1"/>
  <c r="P222" i="50" s="1"/>
  <c r="F222" i="50"/>
  <c r="G222" i="50"/>
  <c r="J222" i="50"/>
  <c r="B222" i="50"/>
  <c r="R222" i="50" s="1"/>
  <c r="N222" i="50"/>
  <c r="I222" i="50"/>
  <c r="J212" i="32"/>
  <c r="K212" i="32"/>
  <c r="L212" i="32"/>
  <c r="M212" i="32"/>
  <c r="F212" i="32"/>
  <c r="AM212" i="32" s="1"/>
  <c r="N212" i="32"/>
  <c r="I212" i="32"/>
  <c r="O212" i="32"/>
  <c r="H212" i="32"/>
  <c r="G212" i="32"/>
  <c r="W209" i="32"/>
  <c r="X209" i="32" s="1"/>
  <c r="Z209" i="32"/>
  <c r="Z220" i="50"/>
  <c r="W220" i="50"/>
  <c r="X220" i="50" s="1"/>
  <c r="W210" i="32"/>
  <c r="X210" i="32" s="1"/>
  <c r="Z210" i="32"/>
  <c r="AL212" i="11" a="1"/>
  <c r="AL212" i="11" s="1"/>
  <c r="E213" i="32" s="1"/>
  <c r="AL222" i="59" a="1"/>
  <c r="AL222" i="59" s="1"/>
  <c r="E223" i="50" s="1"/>
  <c r="AM112" i="59" a="1"/>
  <c r="AM112" i="59" s="1"/>
  <c r="AM97" i="11" a="1"/>
  <c r="AM97" i="11" s="1"/>
  <c r="AK223" i="50" l="1"/>
  <c r="T223" i="50"/>
  <c r="AK213" i="32"/>
  <c r="T213" i="32"/>
  <c r="AD211" i="32"/>
  <c r="AM222" i="50"/>
  <c r="U222" i="50"/>
  <c r="AD221" i="50"/>
  <c r="AG221" i="50" s="1"/>
  <c r="AH221" i="50" s="1"/>
  <c r="AI221" i="50" s="1"/>
  <c r="AG210" i="32"/>
  <c r="AH210" i="32" s="1"/>
  <c r="AL210" i="32"/>
  <c r="AG209" i="32"/>
  <c r="AH209" i="32" s="1"/>
  <c r="AL209" i="32"/>
  <c r="U212" i="32"/>
  <c r="AP219" i="50"/>
  <c r="AL220" i="50"/>
  <c r="Q212" i="32"/>
  <c r="P212" i="32" s="1"/>
  <c r="O223" i="50"/>
  <c r="C211" i="32"/>
  <c r="V211" i="32"/>
  <c r="AJ221" i="50"/>
  <c r="C221" i="50"/>
  <c r="AJ211" i="32"/>
  <c r="V221" i="50"/>
  <c r="S222" i="50"/>
  <c r="S212" i="32"/>
  <c r="V212" i="32" s="1"/>
  <c r="A213" i="32"/>
  <c r="B213" i="32"/>
  <c r="R213" i="32" s="1"/>
  <c r="G223" i="50"/>
  <c r="K223" i="50"/>
  <c r="J223" i="50"/>
  <c r="I223" i="50"/>
  <c r="F223" i="50"/>
  <c r="B223" i="50"/>
  <c r="R223" i="50" s="1"/>
  <c r="H223" i="50"/>
  <c r="M223" i="50"/>
  <c r="A223" i="50"/>
  <c r="Q223" i="50" s="1"/>
  <c r="P223" i="50" s="1"/>
  <c r="N223" i="50"/>
  <c r="L223" i="50"/>
  <c r="H213" i="32"/>
  <c r="I213" i="32"/>
  <c r="J213" i="32"/>
  <c r="K213" i="32"/>
  <c r="L213" i="32"/>
  <c r="F213" i="32"/>
  <c r="AM213" i="32" s="1"/>
  <c r="G213" i="32"/>
  <c r="O213" i="32"/>
  <c r="M213" i="32"/>
  <c r="N213" i="32"/>
  <c r="Z221" i="50"/>
  <c r="W221" i="50"/>
  <c r="X221" i="50" s="1"/>
  <c r="W211" i="32"/>
  <c r="X211" i="32" s="1"/>
  <c r="Z211" i="32"/>
  <c r="AL213" i="11" a="1"/>
  <c r="AL213" i="11" s="1"/>
  <c r="E214" i="32" s="1"/>
  <c r="AL223" i="59" a="1"/>
  <c r="AL223" i="59" s="1"/>
  <c r="E224" i="50" s="1"/>
  <c r="AM113" i="59" a="1"/>
  <c r="AM113" i="59" s="1"/>
  <c r="AM98" i="11" a="1"/>
  <c r="AM98" i="11" s="1"/>
  <c r="AK224" i="50" l="1"/>
  <c r="T224" i="50"/>
  <c r="AK214" i="32"/>
  <c r="T214" i="32"/>
  <c r="AD212" i="32"/>
  <c r="AM223" i="50"/>
  <c r="U223" i="50"/>
  <c r="AD222" i="50"/>
  <c r="AG222" i="50" s="1"/>
  <c r="AH222" i="50" s="1"/>
  <c r="AI222" i="50" s="1"/>
  <c r="U213" i="32"/>
  <c r="AG211" i="32"/>
  <c r="AH211" i="32" s="1"/>
  <c r="AL211" i="32"/>
  <c r="AI209" i="32"/>
  <c r="AN209" i="32" s="1"/>
  <c r="AI210" i="32"/>
  <c r="AN210" i="32" s="1"/>
  <c r="AP220" i="50"/>
  <c r="AL221" i="50"/>
  <c r="Q213" i="32"/>
  <c r="P213" i="32" s="1"/>
  <c r="O224" i="50"/>
  <c r="AJ222" i="50"/>
  <c r="C222" i="50"/>
  <c r="AJ212" i="32"/>
  <c r="C212" i="32"/>
  <c r="V222" i="50"/>
  <c r="S223" i="50"/>
  <c r="S213" i="32"/>
  <c r="A214" i="32"/>
  <c r="B214" i="32"/>
  <c r="R214" i="32" s="1"/>
  <c r="L224" i="50"/>
  <c r="N224" i="50"/>
  <c r="J224" i="50"/>
  <c r="F224" i="50"/>
  <c r="H224" i="50"/>
  <c r="M224" i="50"/>
  <c r="G224" i="50"/>
  <c r="K224" i="50"/>
  <c r="I224" i="50"/>
  <c r="B224" i="50"/>
  <c r="R224" i="50" s="1"/>
  <c r="A224" i="50"/>
  <c r="Q224" i="50" s="1"/>
  <c r="P224" i="50" s="1"/>
  <c r="F214" i="32"/>
  <c r="AM214" i="32" s="1"/>
  <c r="N214" i="32"/>
  <c r="G214" i="32"/>
  <c r="O214" i="32"/>
  <c r="H214" i="32"/>
  <c r="I214" i="32"/>
  <c r="J214" i="32"/>
  <c r="L214" i="32"/>
  <c r="M214" i="32"/>
  <c r="K214" i="32"/>
  <c r="Z222" i="50"/>
  <c r="W222" i="50"/>
  <c r="X222" i="50" s="1"/>
  <c r="W212" i="32"/>
  <c r="X212" i="32" s="1"/>
  <c r="Z212" i="32"/>
  <c r="AL214" i="11" a="1"/>
  <c r="AL214" i="11" s="1"/>
  <c r="E215" i="32" s="1"/>
  <c r="AL224" i="59" a="1"/>
  <c r="AL224" i="59" s="1"/>
  <c r="E225" i="50" s="1"/>
  <c r="AM114" i="59" a="1"/>
  <c r="AM114" i="59" s="1"/>
  <c r="AM99" i="11" a="1"/>
  <c r="AM99" i="11" s="1"/>
  <c r="T225" i="50" l="1"/>
  <c r="AK225" i="50"/>
  <c r="AK215" i="32"/>
  <c r="T215" i="32"/>
  <c r="AD213" i="32"/>
  <c r="AD223" i="50"/>
  <c r="AG223" i="50" s="1"/>
  <c r="AH223" i="50" s="1"/>
  <c r="AI223" i="50" s="1"/>
  <c r="AM224" i="50"/>
  <c r="U224" i="50"/>
  <c r="AG212" i="32"/>
  <c r="AH212" i="32" s="1"/>
  <c r="AL212" i="32"/>
  <c r="U214" i="32"/>
  <c r="AP221" i="50"/>
  <c r="AL222" i="50"/>
  <c r="Q214" i="32"/>
  <c r="P214" i="32" s="1"/>
  <c r="AI211" i="32"/>
  <c r="AN211" i="32" s="1"/>
  <c r="O225" i="50"/>
  <c r="C213" i="32"/>
  <c r="V213" i="32"/>
  <c r="AJ223" i="50"/>
  <c r="C223" i="50"/>
  <c r="AJ213" i="32"/>
  <c r="S224" i="50"/>
  <c r="V223" i="50"/>
  <c r="S214" i="32"/>
  <c r="V214" i="32" s="1"/>
  <c r="A215" i="32"/>
  <c r="B215" i="32"/>
  <c r="R215" i="32" s="1"/>
  <c r="F225" i="50"/>
  <c r="N225" i="50"/>
  <c r="M225" i="50"/>
  <c r="G225" i="50"/>
  <c r="H225" i="50"/>
  <c r="A225" i="50"/>
  <c r="Q225" i="50" s="1"/>
  <c r="P225" i="50" s="1"/>
  <c r="L225" i="50"/>
  <c r="K225" i="50"/>
  <c r="B225" i="50"/>
  <c r="R225" i="50" s="1"/>
  <c r="J225" i="50"/>
  <c r="I225" i="50"/>
  <c r="L215" i="32"/>
  <c r="M215" i="32"/>
  <c r="F215" i="32"/>
  <c r="AM215" i="32" s="1"/>
  <c r="N215" i="32"/>
  <c r="G215" i="32"/>
  <c r="O215" i="32"/>
  <c r="H215" i="32"/>
  <c r="I215" i="32"/>
  <c r="J215" i="32"/>
  <c r="K215" i="32"/>
  <c r="Z223" i="50"/>
  <c r="W223" i="50"/>
  <c r="X223" i="50" s="1"/>
  <c r="W213" i="32"/>
  <c r="X213" i="32" s="1"/>
  <c r="Z213" i="32"/>
  <c r="AL215" i="11" a="1"/>
  <c r="AL215" i="11" s="1"/>
  <c r="E216" i="32" s="1"/>
  <c r="AL225" i="59" a="1"/>
  <c r="AL225" i="59" s="1"/>
  <c r="E226" i="50" s="1"/>
  <c r="AM115" i="59" a="1"/>
  <c r="AM115" i="59" s="1"/>
  <c r="AM100" i="11" a="1"/>
  <c r="AM100" i="11" s="1"/>
  <c r="T226" i="50" l="1"/>
  <c r="AK226" i="50"/>
  <c r="AK216" i="32"/>
  <c r="T216" i="32"/>
  <c r="AD214" i="32"/>
  <c r="AM225" i="50"/>
  <c r="U225" i="50"/>
  <c r="AD224" i="50"/>
  <c r="AG224" i="50" s="1"/>
  <c r="AH224" i="50" s="1"/>
  <c r="AI224" i="50" s="1"/>
  <c r="AG213" i="32"/>
  <c r="AH213" i="32" s="1"/>
  <c r="AL213" i="32"/>
  <c r="U215" i="32"/>
  <c r="AI212" i="32"/>
  <c r="AN212" i="32" s="1"/>
  <c r="AP222" i="50"/>
  <c r="AL223" i="50"/>
  <c r="Q215" i="32"/>
  <c r="P215" i="32" s="1"/>
  <c r="O226" i="50"/>
  <c r="AJ224" i="50"/>
  <c r="C224" i="50"/>
  <c r="AJ214" i="32"/>
  <c r="C214" i="32"/>
  <c r="S225" i="50"/>
  <c r="V224" i="50"/>
  <c r="S215" i="32"/>
  <c r="V215" i="32" s="1"/>
  <c r="A216" i="32"/>
  <c r="B216" i="32"/>
  <c r="R216" i="32" s="1"/>
  <c r="I226" i="50"/>
  <c r="M226" i="50"/>
  <c r="H226" i="50"/>
  <c r="J226" i="50"/>
  <c r="F226" i="50"/>
  <c r="G226" i="50"/>
  <c r="L226" i="50"/>
  <c r="B226" i="50"/>
  <c r="R226" i="50" s="1"/>
  <c r="A226" i="50"/>
  <c r="Q226" i="50" s="1"/>
  <c r="P226" i="50" s="1"/>
  <c r="N226" i="50"/>
  <c r="K226" i="50"/>
  <c r="J216" i="32"/>
  <c r="K216" i="32"/>
  <c r="L216" i="32"/>
  <c r="M216" i="32"/>
  <c r="F216" i="32"/>
  <c r="AM216" i="32" s="1"/>
  <c r="N216" i="32"/>
  <c r="O216" i="32"/>
  <c r="G216" i="32"/>
  <c r="H216" i="32"/>
  <c r="I216" i="32"/>
  <c r="Z224" i="50"/>
  <c r="W224" i="50"/>
  <c r="X224" i="50" s="1"/>
  <c r="W214" i="32"/>
  <c r="X214" i="32" s="1"/>
  <c r="Z214" i="32"/>
  <c r="AL216" i="11" a="1"/>
  <c r="AL216" i="11" s="1"/>
  <c r="E217" i="32" s="1"/>
  <c r="AL226" i="59" a="1"/>
  <c r="AL226" i="59" s="1"/>
  <c r="E227" i="50" s="1"/>
  <c r="AM116" i="59" a="1"/>
  <c r="AM116" i="59" s="1"/>
  <c r="AM101" i="11" a="1"/>
  <c r="AM101" i="11" s="1"/>
  <c r="T227" i="50" l="1"/>
  <c r="AK227" i="50"/>
  <c r="AK217" i="32"/>
  <c r="T217" i="32"/>
  <c r="AD215" i="32"/>
  <c r="AM226" i="50"/>
  <c r="U226" i="50"/>
  <c r="AD225" i="50"/>
  <c r="AG225" i="50" s="1"/>
  <c r="AH225" i="50" s="1"/>
  <c r="AI225" i="50" s="1"/>
  <c r="AG214" i="32"/>
  <c r="AH214" i="32" s="1"/>
  <c r="AL214" i="32"/>
  <c r="U216" i="32"/>
  <c r="AI213" i="32"/>
  <c r="AN213" i="32" s="1"/>
  <c r="AP223" i="50"/>
  <c r="AL224" i="50"/>
  <c r="Q216" i="32"/>
  <c r="P216" i="32" s="1"/>
  <c r="O227" i="50"/>
  <c r="AJ225" i="50"/>
  <c r="C225" i="50"/>
  <c r="AJ215" i="32"/>
  <c r="C215" i="32"/>
  <c r="S226" i="50"/>
  <c r="V225" i="50"/>
  <c r="S216" i="32"/>
  <c r="V216" i="32" s="1"/>
  <c r="A217" i="32"/>
  <c r="B217" i="32"/>
  <c r="R217" i="32" s="1"/>
  <c r="M227" i="50"/>
  <c r="K227" i="50"/>
  <c r="N227" i="50"/>
  <c r="F227" i="50"/>
  <c r="H227" i="50"/>
  <c r="G227" i="50"/>
  <c r="L227" i="50"/>
  <c r="A227" i="50"/>
  <c r="Q227" i="50" s="1"/>
  <c r="P227" i="50" s="1"/>
  <c r="J227" i="50"/>
  <c r="I227" i="50"/>
  <c r="B227" i="50"/>
  <c r="R227" i="50" s="1"/>
  <c r="H217" i="32"/>
  <c r="I217" i="32"/>
  <c r="J217" i="32"/>
  <c r="K217" i="32"/>
  <c r="L217" i="32"/>
  <c r="F217" i="32"/>
  <c r="AM217" i="32" s="1"/>
  <c r="G217" i="32"/>
  <c r="M217" i="32"/>
  <c r="N217" i="32"/>
  <c r="O217" i="32"/>
  <c r="W225" i="50"/>
  <c r="X225" i="50" s="1"/>
  <c r="Z225" i="50"/>
  <c r="W215" i="32"/>
  <c r="X215" i="32" s="1"/>
  <c r="Z215" i="32"/>
  <c r="AL217" i="11" a="1"/>
  <c r="AL217" i="11" s="1"/>
  <c r="E218" i="32" s="1"/>
  <c r="AL227" i="59" a="1"/>
  <c r="AL227" i="59" s="1"/>
  <c r="E228" i="50" s="1"/>
  <c r="AM117" i="59" a="1"/>
  <c r="AM117" i="59" s="1"/>
  <c r="AM102" i="11" a="1"/>
  <c r="AM102" i="11" s="1"/>
  <c r="T228" i="50" l="1"/>
  <c r="AK228" i="50"/>
  <c r="AK218" i="32"/>
  <c r="T218" i="32"/>
  <c r="AD216" i="32"/>
  <c r="AD226" i="50"/>
  <c r="AG226" i="50" s="1"/>
  <c r="AH226" i="50" s="1"/>
  <c r="AI226" i="50" s="1"/>
  <c r="AM227" i="50"/>
  <c r="U227" i="50"/>
  <c r="U217" i="32"/>
  <c r="AG215" i="32"/>
  <c r="AH215" i="32" s="1"/>
  <c r="AL215" i="32"/>
  <c r="AI214" i="32"/>
  <c r="AN214" i="32" s="1"/>
  <c r="AP224" i="50"/>
  <c r="AL225" i="50"/>
  <c r="Q217" i="32"/>
  <c r="P217" i="32" s="1"/>
  <c r="O228" i="50"/>
  <c r="AJ226" i="50"/>
  <c r="C226" i="50"/>
  <c r="AJ216" i="32"/>
  <c r="C216" i="32"/>
  <c r="V226" i="50"/>
  <c r="S227" i="50"/>
  <c r="S217" i="32"/>
  <c r="V217" i="32" s="1"/>
  <c r="A218" i="32"/>
  <c r="B218" i="32"/>
  <c r="R218" i="32" s="1"/>
  <c r="F228" i="50"/>
  <c r="H228" i="50"/>
  <c r="J228" i="50"/>
  <c r="I228" i="50"/>
  <c r="A228" i="50"/>
  <c r="Q228" i="50" s="1"/>
  <c r="P228" i="50" s="1"/>
  <c r="L228" i="50"/>
  <c r="B228" i="50"/>
  <c r="R228" i="50" s="1"/>
  <c r="M228" i="50"/>
  <c r="N228" i="50"/>
  <c r="G228" i="50"/>
  <c r="K228" i="50"/>
  <c r="F218" i="32"/>
  <c r="AM218" i="32" s="1"/>
  <c r="N218" i="32"/>
  <c r="G218" i="32"/>
  <c r="O218" i="32"/>
  <c r="H218" i="32"/>
  <c r="I218" i="32"/>
  <c r="J218" i="32"/>
  <c r="M218" i="32"/>
  <c r="K218" i="32"/>
  <c r="L218" i="32"/>
  <c r="Z226" i="50"/>
  <c r="W226" i="50"/>
  <c r="X226" i="50" s="1"/>
  <c r="W216" i="32"/>
  <c r="X216" i="32" s="1"/>
  <c r="Z216" i="32"/>
  <c r="AL218" i="11" a="1"/>
  <c r="AL218" i="11" s="1"/>
  <c r="AL228" i="59" a="1"/>
  <c r="AL228" i="59" s="1"/>
  <c r="E229" i="50" s="1"/>
  <c r="AM118" i="59" a="1"/>
  <c r="AM118" i="59" s="1"/>
  <c r="AM103" i="11" a="1"/>
  <c r="AM103" i="11" s="1"/>
  <c r="T229" i="50" l="1"/>
  <c r="AK229" i="50"/>
  <c r="AD217" i="32"/>
  <c r="AD227" i="50"/>
  <c r="AG227" i="50" s="1"/>
  <c r="AH227" i="50" s="1"/>
  <c r="AI227" i="50" s="1"/>
  <c r="AM228" i="50"/>
  <c r="U228" i="50"/>
  <c r="U218" i="32"/>
  <c r="AG216" i="32"/>
  <c r="AH216" i="32" s="1"/>
  <c r="AL216" i="32"/>
  <c r="AI215" i="32"/>
  <c r="AN215" i="32" s="1"/>
  <c r="AP225" i="50"/>
  <c r="AL226" i="50"/>
  <c r="Q218" i="32"/>
  <c r="P218" i="32" s="1"/>
  <c r="O229" i="50"/>
  <c r="AJ227" i="50"/>
  <c r="C227" i="50"/>
  <c r="AJ217" i="32"/>
  <c r="C217" i="32"/>
  <c r="S228" i="50"/>
  <c r="V227" i="50"/>
  <c r="S218" i="32"/>
  <c r="A229" i="50"/>
  <c r="Q229" i="50" s="1"/>
  <c r="P229" i="50" s="1"/>
  <c r="M229" i="50"/>
  <c r="I229" i="50"/>
  <c r="J229" i="50"/>
  <c r="H229" i="50"/>
  <c r="L229" i="50"/>
  <c r="B229" i="50"/>
  <c r="R229" i="50" s="1"/>
  <c r="N229" i="50"/>
  <c r="K229" i="50"/>
  <c r="F229" i="50"/>
  <c r="G229" i="50"/>
  <c r="Z227" i="50"/>
  <c r="W227" i="50"/>
  <c r="X227" i="50" s="1"/>
  <c r="E219" i="32"/>
  <c r="W217" i="32"/>
  <c r="X217" i="32" s="1"/>
  <c r="Z217" i="32"/>
  <c r="AL219" i="11" a="1"/>
  <c r="AL219" i="11" s="1"/>
  <c r="E220" i="32" s="1"/>
  <c r="AL229" i="59" a="1"/>
  <c r="AL229" i="59" s="1"/>
  <c r="E230" i="50" s="1"/>
  <c r="AM119" i="59" a="1"/>
  <c r="AM119" i="59" s="1"/>
  <c r="AM104" i="11" a="1"/>
  <c r="AM104" i="11" s="1"/>
  <c r="T230" i="50" l="1"/>
  <c r="AK230" i="50"/>
  <c r="AK220" i="32"/>
  <c r="T220" i="32"/>
  <c r="AK219" i="32"/>
  <c r="T219" i="32"/>
  <c r="AD218" i="32"/>
  <c r="AD228" i="50"/>
  <c r="AG228" i="50" s="1"/>
  <c r="AH228" i="50" s="1"/>
  <c r="AI228" i="50" s="1"/>
  <c r="AM229" i="50"/>
  <c r="U229" i="50"/>
  <c r="AG217" i="32"/>
  <c r="AH217" i="32" s="1"/>
  <c r="AL217" i="32"/>
  <c r="AI216" i="32"/>
  <c r="AN216" i="32" s="1"/>
  <c r="AP226" i="50"/>
  <c r="AL227" i="50"/>
  <c r="O230" i="50"/>
  <c r="C218" i="32"/>
  <c r="V218" i="32"/>
  <c r="AJ228" i="50"/>
  <c r="C228" i="50"/>
  <c r="AJ218" i="32"/>
  <c r="S229" i="50"/>
  <c r="V228" i="50"/>
  <c r="A220" i="32"/>
  <c r="B220" i="32"/>
  <c r="R220" i="32" s="1"/>
  <c r="A219" i="32"/>
  <c r="B219" i="32"/>
  <c r="R219" i="32" s="1"/>
  <c r="G230" i="50"/>
  <c r="M230" i="50"/>
  <c r="K230" i="50"/>
  <c r="F230" i="50"/>
  <c r="I230" i="50"/>
  <c r="L230" i="50"/>
  <c r="N230" i="50"/>
  <c r="A230" i="50"/>
  <c r="Q230" i="50" s="1"/>
  <c r="P230" i="50" s="1"/>
  <c r="H230" i="50"/>
  <c r="B230" i="50"/>
  <c r="R230" i="50" s="1"/>
  <c r="J230" i="50"/>
  <c r="J220" i="32"/>
  <c r="K220" i="32"/>
  <c r="L220" i="32"/>
  <c r="M220" i="32"/>
  <c r="F220" i="32"/>
  <c r="AM220" i="32" s="1"/>
  <c r="N220" i="32"/>
  <c r="H220" i="32"/>
  <c r="I220" i="32"/>
  <c r="O220" i="32"/>
  <c r="G220" i="32"/>
  <c r="L219" i="32"/>
  <c r="M219" i="32"/>
  <c r="F219" i="32"/>
  <c r="AM219" i="32" s="1"/>
  <c r="N219" i="32"/>
  <c r="G219" i="32"/>
  <c r="O219" i="32"/>
  <c r="H219" i="32"/>
  <c r="I219" i="32"/>
  <c r="J219" i="32"/>
  <c r="K219" i="32"/>
  <c r="W228" i="50"/>
  <c r="X228" i="50" s="1"/>
  <c r="Z228" i="50"/>
  <c r="W218" i="32"/>
  <c r="X218" i="32" s="1"/>
  <c r="Z218" i="32"/>
  <c r="AL220" i="11" a="1"/>
  <c r="AL220" i="11" s="1"/>
  <c r="AL230" i="59" a="1"/>
  <c r="AL230" i="59" s="1"/>
  <c r="E231" i="50" s="1"/>
  <c r="AM120" i="59" a="1"/>
  <c r="AM120" i="59" s="1"/>
  <c r="AM105" i="11" a="1"/>
  <c r="AM105" i="11" s="1"/>
  <c r="AK231" i="50" l="1"/>
  <c r="T231" i="50"/>
  <c r="AD229" i="50"/>
  <c r="AG229" i="50" s="1"/>
  <c r="AH229" i="50" s="1"/>
  <c r="AI229" i="50" s="1"/>
  <c r="AM230" i="50"/>
  <c r="U230" i="50"/>
  <c r="U219" i="32"/>
  <c r="AG218" i="32"/>
  <c r="AH218" i="32" s="1"/>
  <c r="AL218" i="32"/>
  <c r="U220" i="32"/>
  <c r="AI217" i="32"/>
  <c r="AN217" i="32" s="1"/>
  <c r="AP227" i="50"/>
  <c r="AL228" i="50"/>
  <c r="Q219" i="32"/>
  <c r="P219" i="32" s="1"/>
  <c r="Q220" i="32"/>
  <c r="P220" i="32" s="1"/>
  <c r="O231" i="50"/>
  <c r="AJ229" i="50"/>
  <c r="C229" i="50"/>
  <c r="S230" i="50"/>
  <c r="V229" i="50"/>
  <c r="S220" i="32"/>
  <c r="S219" i="32"/>
  <c r="V219" i="32" s="1"/>
  <c r="G231" i="50"/>
  <c r="K231" i="50"/>
  <c r="N231" i="50"/>
  <c r="M231" i="50"/>
  <c r="I231" i="50"/>
  <c r="A231" i="50"/>
  <c r="Q231" i="50" s="1"/>
  <c r="P231" i="50" s="1"/>
  <c r="B231" i="50"/>
  <c r="R231" i="50" s="1"/>
  <c r="H231" i="50"/>
  <c r="J231" i="50"/>
  <c r="F231" i="50"/>
  <c r="L231" i="50"/>
  <c r="W229" i="50"/>
  <c r="X229" i="50" s="1"/>
  <c r="Z229" i="50"/>
  <c r="E221" i="32"/>
  <c r="AL221" i="11" a="1"/>
  <c r="AL221" i="11" s="1"/>
  <c r="E222" i="32" s="1"/>
  <c r="AL231" i="59" a="1"/>
  <c r="AL231" i="59" s="1"/>
  <c r="E232" i="50" s="1"/>
  <c r="AM121" i="59" a="1"/>
  <c r="AM121" i="59" s="1"/>
  <c r="AM106" i="11" a="1"/>
  <c r="AM106" i="11" s="1"/>
  <c r="AK232" i="50" l="1"/>
  <c r="T232" i="50"/>
  <c r="AK221" i="32"/>
  <c r="T221" i="32"/>
  <c r="AK222" i="32"/>
  <c r="T222" i="32"/>
  <c r="AD220" i="32"/>
  <c r="AD219" i="32"/>
  <c r="AM231" i="50"/>
  <c r="U231" i="50"/>
  <c r="AD230" i="50"/>
  <c r="AG230" i="50" s="1"/>
  <c r="AH230" i="50" s="1"/>
  <c r="AI230" i="50" s="1"/>
  <c r="AI218" i="32"/>
  <c r="AN218" i="32" s="1"/>
  <c r="AP228" i="50"/>
  <c r="AL229" i="50"/>
  <c r="O232" i="50"/>
  <c r="C220" i="32"/>
  <c r="V220" i="32"/>
  <c r="AJ230" i="50"/>
  <c r="C230" i="50"/>
  <c r="AJ219" i="32"/>
  <c r="C219" i="32"/>
  <c r="AJ220" i="32"/>
  <c r="S231" i="50"/>
  <c r="V230" i="50"/>
  <c r="A221" i="32"/>
  <c r="B221" i="32"/>
  <c r="R221" i="32" s="1"/>
  <c r="A222" i="32"/>
  <c r="B222" i="32"/>
  <c r="R222" i="32" s="1"/>
  <c r="F232" i="50"/>
  <c r="M232" i="50"/>
  <c r="J232" i="50"/>
  <c r="N232" i="50"/>
  <c r="B232" i="50"/>
  <c r="R232" i="50" s="1"/>
  <c r="K232" i="50"/>
  <c r="A232" i="50"/>
  <c r="Q232" i="50" s="1"/>
  <c r="P232" i="50" s="1"/>
  <c r="I232" i="50"/>
  <c r="G232" i="50"/>
  <c r="L232" i="50"/>
  <c r="H232" i="50"/>
  <c r="H221" i="32"/>
  <c r="I221" i="32"/>
  <c r="J221" i="32"/>
  <c r="K221" i="32"/>
  <c r="L221" i="32"/>
  <c r="F221" i="32"/>
  <c r="AM221" i="32" s="1"/>
  <c r="G221" i="32"/>
  <c r="M221" i="32"/>
  <c r="N221" i="32"/>
  <c r="O221" i="32"/>
  <c r="F222" i="32"/>
  <c r="AM222" i="32" s="1"/>
  <c r="N222" i="32"/>
  <c r="G222" i="32"/>
  <c r="O222" i="32"/>
  <c r="H222" i="32"/>
  <c r="I222" i="32"/>
  <c r="J222" i="32"/>
  <c r="K222" i="32"/>
  <c r="L222" i="32"/>
  <c r="M222" i="32"/>
  <c r="W230" i="50"/>
  <c r="X230" i="50" s="1"/>
  <c r="Z230" i="50"/>
  <c r="Z219" i="32"/>
  <c r="W219" i="32"/>
  <c r="X219" i="32" s="1"/>
  <c r="W220" i="32"/>
  <c r="X220" i="32" s="1"/>
  <c r="Z220" i="32"/>
  <c r="AL222" i="11" a="1"/>
  <c r="AL222" i="11" s="1"/>
  <c r="E223" i="32" s="1"/>
  <c r="AL232" i="59" a="1"/>
  <c r="AL232" i="59" s="1"/>
  <c r="E233" i="50" s="1"/>
  <c r="AM122" i="59" a="1"/>
  <c r="AM122" i="59" s="1"/>
  <c r="AM107" i="11" a="1"/>
  <c r="AM107" i="11" s="1"/>
  <c r="T233" i="50" l="1"/>
  <c r="AK233" i="50"/>
  <c r="AK223" i="32"/>
  <c r="T223" i="32"/>
  <c r="AD231" i="50"/>
  <c r="AG231" i="50" s="1"/>
  <c r="AH231" i="50" s="1"/>
  <c r="AI231" i="50" s="1"/>
  <c r="AM232" i="50"/>
  <c r="U232" i="50"/>
  <c r="U221" i="32"/>
  <c r="AG220" i="32"/>
  <c r="AH220" i="32" s="1"/>
  <c r="AL220" i="32"/>
  <c r="U222" i="32"/>
  <c r="AG219" i="32"/>
  <c r="AH219" i="32" s="1"/>
  <c r="AL219" i="32"/>
  <c r="AP229" i="50"/>
  <c r="AL230" i="50"/>
  <c r="Q221" i="32"/>
  <c r="P221" i="32" s="1"/>
  <c r="Q222" i="32"/>
  <c r="P222" i="32" s="1"/>
  <c r="O233" i="50"/>
  <c r="AJ231" i="50"/>
  <c r="C231" i="50"/>
  <c r="S232" i="50"/>
  <c r="V231" i="50"/>
  <c r="S221" i="32"/>
  <c r="S222" i="32"/>
  <c r="A223" i="32"/>
  <c r="B223" i="32"/>
  <c r="R223" i="32" s="1"/>
  <c r="G233" i="50"/>
  <c r="A233" i="50"/>
  <c r="Q233" i="50" s="1"/>
  <c r="P233" i="50" s="1"/>
  <c r="F233" i="50"/>
  <c r="L233" i="50"/>
  <c r="B233" i="50"/>
  <c r="R233" i="50" s="1"/>
  <c r="I233" i="50"/>
  <c r="N233" i="50"/>
  <c r="M233" i="50"/>
  <c r="K233" i="50"/>
  <c r="H233" i="50"/>
  <c r="J233" i="50"/>
  <c r="L223" i="32"/>
  <c r="M223" i="32"/>
  <c r="F223" i="32"/>
  <c r="AM223" i="32" s="1"/>
  <c r="N223" i="32"/>
  <c r="G223" i="32"/>
  <c r="O223" i="32"/>
  <c r="H223" i="32"/>
  <c r="I223" i="32"/>
  <c r="J223" i="32"/>
  <c r="K223" i="32"/>
  <c r="Z231" i="50"/>
  <c r="W231" i="50"/>
  <c r="X231" i="50" s="1"/>
  <c r="AL223" i="11" a="1"/>
  <c r="AL223" i="11" s="1"/>
  <c r="E224" i="32" s="1"/>
  <c r="AL233" i="59" a="1"/>
  <c r="AL233" i="59" s="1"/>
  <c r="E234" i="50" s="1"/>
  <c r="AM123" i="59" a="1"/>
  <c r="AM123" i="59" s="1"/>
  <c r="AM108" i="11" a="1"/>
  <c r="AM108" i="11" s="1"/>
  <c r="T234" i="50" l="1"/>
  <c r="AK234" i="50"/>
  <c r="AK224" i="32"/>
  <c r="T224" i="32"/>
  <c r="AD222" i="32"/>
  <c r="AD221" i="32"/>
  <c r="AM233" i="50"/>
  <c r="U233" i="50"/>
  <c r="AD232" i="50"/>
  <c r="AG232" i="50" s="1"/>
  <c r="AH232" i="50" s="1"/>
  <c r="AI232" i="50" s="1"/>
  <c r="U223" i="32"/>
  <c r="AI220" i="32"/>
  <c r="AN220" i="32" s="1"/>
  <c r="AI219" i="32"/>
  <c r="AN219" i="32" s="1"/>
  <c r="AP230" i="50"/>
  <c r="AL231" i="50"/>
  <c r="Q223" i="32"/>
  <c r="P223" i="32" s="1"/>
  <c r="O234" i="50"/>
  <c r="C222" i="32"/>
  <c r="V222" i="32"/>
  <c r="C221" i="32"/>
  <c r="V221" i="32"/>
  <c r="AJ232" i="50"/>
  <c r="C232" i="50"/>
  <c r="AJ222" i="32"/>
  <c r="AJ221" i="32"/>
  <c r="V232" i="50"/>
  <c r="S233" i="50"/>
  <c r="S223" i="32"/>
  <c r="V223" i="32" s="1"/>
  <c r="A224" i="32"/>
  <c r="B224" i="32"/>
  <c r="R224" i="32" s="1"/>
  <c r="B234" i="50"/>
  <c r="R234" i="50" s="1"/>
  <c r="M234" i="50"/>
  <c r="L234" i="50"/>
  <c r="K234" i="50"/>
  <c r="F234" i="50"/>
  <c r="I234" i="50"/>
  <c r="A234" i="50"/>
  <c r="Q234" i="50" s="1"/>
  <c r="P234" i="50" s="1"/>
  <c r="H234" i="50"/>
  <c r="J234" i="50"/>
  <c r="G234" i="50"/>
  <c r="N234" i="50"/>
  <c r="J224" i="32"/>
  <c r="K224" i="32"/>
  <c r="L224" i="32"/>
  <c r="M224" i="32"/>
  <c r="F224" i="32"/>
  <c r="AM224" i="32" s="1"/>
  <c r="N224" i="32"/>
  <c r="G224" i="32"/>
  <c r="I224" i="32"/>
  <c r="O224" i="32"/>
  <c r="H224" i="32"/>
  <c r="Z221" i="32"/>
  <c r="W221" i="32"/>
  <c r="X221" i="32" s="1"/>
  <c r="W232" i="50"/>
  <c r="X232" i="50" s="1"/>
  <c r="Z232" i="50"/>
  <c r="W222" i="32"/>
  <c r="X222" i="32" s="1"/>
  <c r="Z222" i="32"/>
  <c r="AL224" i="11" a="1"/>
  <c r="AL224" i="11" s="1"/>
  <c r="E225" i="32" s="1"/>
  <c r="AL234" i="59" a="1"/>
  <c r="AL234" i="59" s="1"/>
  <c r="E235" i="50" s="1"/>
  <c r="AM124" i="59" a="1"/>
  <c r="AM124" i="59" s="1"/>
  <c r="AM109" i="11" a="1"/>
  <c r="AM109" i="11" s="1"/>
  <c r="T235" i="50" l="1"/>
  <c r="AK235" i="50"/>
  <c r="AK225" i="32"/>
  <c r="T225" i="32"/>
  <c r="AD223" i="32"/>
  <c r="AD233" i="50"/>
  <c r="AG233" i="50" s="1"/>
  <c r="AH233" i="50" s="1"/>
  <c r="AI233" i="50" s="1"/>
  <c r="AM234" i="50"/>
  <c r="U234" i="50"/>
  <c r="AG221" i="32"/>
  <c r="AH221" i="32" s="1"/>
  <c r="AL221" i="32"/>
  <c r="U224" i="32"/>
  <c r="AG222" i="32"/>
  <c r="AH222" i="32" s="1"/>
  <c r="AL222" i="32"/>
  <c r="AP231" i="50"/>
  <c r="AL232" i="50"/>
  <c r="Q224" i="32"/>
  <c r="P224" i="32" s="1"/>
  <c r="O235" i="50"/>
  <c r="AJ233" i="50"/>
  <c r="C233" i="50"/>
  <c r="AJ223" i="32"/>
  <c r="C223" i="32"/>
  <c r="V233" i="50"/>
  <c r="S234" i="50"/>
  <c r="S224" i="32"/>
  <c r="V224" i="32" s="1"/>
  <c r="A225" i="32"/>
  <c r="B225" i="32"/>
  <c r="R225" i="32" s="1"/>
  <c r="H235" i="50"/>
  <c r="M235" i="50"/>
  <c r="G235" i="50"/>
  <c r="K235" i="50"/>
  <c r="N235" i="50"/>
  <c r="F235" i="50"/>
  <c r="B235" i="50"/>
  <c r="R235" i="50" s="1"/>
  <c r="I235" i="50"/>
  <c r="J235" i="50"/>
  <c r="A235" i="50"/>
  <c r="Q235" i="50" s="1"/>
  <c r="P235" i="50" s="1"/>
  <c r="L235" i="50"/>
  <c r="H225" i="32"/>
  <c r="I225" i="32"/>
  <c r="J225" i="32"/>
  <c r="K225" i="32"/>
  <c r="L225" i="32"/>
  <c r="G225" i="32"/>
  <c r="M225" i="32"/>
  <c r="N225" i="32"/>
  <c r="O225" i="32"/>
  <c r="F225" i="32"/>
  <c r="AM225" i="32" s="1"/>
  <c r="Z233" i="50"/>
  <c r="W233" i="50"/>
  <c r="X233" i="50" s="1"/>
  <c r="W223" i="32"/>
  <c r="X223" i="32" s="1"/>
  <c r="Z223" i="32"/>
  <c r="AL225" i="11" a="1"/>
  <c r="AL225" i="11" s="1"/>
  <c r="E226" i="32" s="1"/>
  <c r="AL235" i="59" a="1"/>
  <c r="AL235" i="59" s="1"/>
  <c r="E236" i="50" s="1"/>
  <c r="AM125" i="59" a="1"/>
  <c r="AM125" i="59" s="1"/>
  <c r="AM110" i="11" a="1"/>
  <c r="AM110" i="11" s="1"/>
  <c r="T236" i="50" l="1"/>
  <c r="AK236" i="50"/>
  <c r="AK226" i="32"/>
  <c r="T226" i="32"/>
  <c r="AD224" i="32"/>
  <c r="AM235" i="50"/>
  <c r="U235" i="50"/>
  <c r="AD234" i="50"/>
  <c r="AG234" i="50" s="1"/>
  <c r="AH234" i="50" s="1"/>
  <c r="AI234" i="50" s="1"/>
  <c r="AG223" i="32"/>
  <c r="AH223" i="32" s="1"/>
  <c r="AL223" i="32"/>
  <c r="U225" i="32"/>
  <c r="AI222" i="32"/>
  <c r="AN222" i="32" s="1"/>
  <c r="AP232" i="50"/>
  <c r="AL233" i="50"/>
  <c r="Q225" i="32"/>
  <c r="P225" i="32" s="1"/>
  <c r="AI221" i="32"/>
  <c r="AN221" i="32" s="1"/>
  <c r="O236" i="50"/>
  <c r="AJ234" i="50"/>
  <c r="C234" i="50"/>
  <c r="AJ224" i="32"/>
  <c r="C224" i="32"/>
  <c r="V234" i="50"/>
  <c r="S235" i="50"/>
  <c r="S225" i="32"/>
  <c r="V225" i="32" s="1"/>
  <c r="A226" i="32"/>
  <c r="B226" i="32"/>
  <c r="R226" i="32" s="1"/>
  <c r="A236" i="50"/>
  <c r="Q236" i="50" s="1"/>
  <c r="P236" i="50" s="1"/>
  <c r="F236" i="50"/>
  <c r="H236" i="50"/>
  <c r="J236" i="50"/>
  <c r="I236" i="50"/>
  <c r="N236" i="50"/>
  <c r="M236" i="50"/>
  <c r="L236" i="50"/>
  <c r="B236" i="50"/>
  <c r="R236" i="50" s="1"/>
  <c r="G236" i="50"/>
  <c r="K236" i="50"/>
  <c r="F226" i="32"/>
  <c r="AM226" i="32" s="1"/>
  <c r="N226" i="32"/>
  <c r="G226" i="32"/>
  <c r="O226" i="32"/>
  <c r="H226" i="32"/>
  <c r="I226" i="32"/>
  <c r="J226" i="32"/>
  <c r="K226" i="32"/>
  <c r="L226" i="32"/>
  <c r="M226" i="32"/>
  <c r="Z234" i="50"/>
  <c r="W234" i="50"/>
  <c r="X234" i="50" s="1"/>
  <c r="W224" i="32"/>
  <c r="X224" i="32" s="1"/>
  <c r="Z224" i="32"/>
  <c r="AL226" i="11" a="1"/>
  <c r="AL226" i="11" s="1"/>
  <c r="E227" i="32" s="1"/>
  <c r="AL236" i="59" a="1"/>
  <c r="AL236" i="59" s="1"/>
  <c r="E237" i="50" s="1"/>
  <c r="AM126" i="59" a="1"/>
  <c r="AM126" i="59" s="1"/>
  <c r="AM111" i="11" a="1"/>
  <c r="AM111" i="11" s="1"/>
  <c r="T237" i="50" l="1"/>
  <c r="AK237" i="50"/>
  <c r="AK227" i="32"/>
  <c r="T227" i="32"/>
  <c r="AD225" i="32"/>
  <c r="AD235" i="50"/>
  <c r="AG235" i="50" s="1"/>
  <c r="AH235" i="50" s="1"/>
  <c r="AI235" i="50" s="1"/>
  <c r="AM236" i="50"/>
  <c r="U236" i="50"/>
  <c r="U226" i="32"/>
  <c r="AG224" i="32"/>
  <c r="AH224" i="32" s="1"/>
  <c r="AL224" i="32"/>
  <c r="AI223" i="32"/>
  <c r="AN223" i="32" s="1"/>
  <c r="AP233" i="50"/>
  <c r="AL234" i="50"/>
  <c r="Q226" i="32"/>
  <c r="P226" i="32" s="1"/>
  <c r="O237" i="50"/>
  <c r="AJ235" i="50"/>
  <c r="C235" i="50"/>
  <c r="AJ225" i="32"/>
  <c r="C225" i="32"/>
  <c r="S236" i="50"/>
  <c r="V235" i="50"/>
  <c r="S226" i="32"/>
  <c r="V226" i="32" s="1"/>
  <c r="A227" i="32"/>
  <c r="B227" i="32"/>
  <c r="R227" i="32" s="1"/>
  <c r="A237" i="50"/>
  <c r="Q237" i="50" s="1"/>
  <c r="P237" i="50" s="1"/>
  <c r="M237" i="50"/>
  <c r="I237" i="50"/>
  <c r="H237" i="50"/>
  <c r="G237" i="50"/>
  <c r="K237" i="50"/>
  <c r="J237" i="50"/>
  <c r="L237" i="50"/>
  <c r="B237" i="50"/>
  <c r="R237" i="50" s="1"/>
  <c r="F237" i="50"/>
  <c r="N237" i="50"/>
  <c r="L227" i="32"/>
  <c r="M227" i="32"/>
  <c r="F227" i="32"/>
  <c r="AM227" i="32" s="1"/>
  <c r="N227" i="32"/>
  <c r="G227" i="32"/>
  <c r="O227" i="32"/>
  <c r="H227" i="32"/>
  <c r="J227" i="32"/>
  <c r="K227" i="32"/>
  <c r="I227" i="32"/>
  <c r="W235" i="50"/>
  <c r="X235" i="50" s="1"/>
  <c r="Z235" i="50"/>
  <c r="W225" i="32"/>
  <c r="X225" i="32" s="1"/>
  <c r="Z225" i="32"/>
  <c r="AL227" i="11" a="1"/>
  <c r="AL227" i="11" s="1"/>
  <c r="E228" i="32" s="1"/>
  <c r="AL237" i="59" a="1"/>
  <c r="AL237" i="59" s="1"/>
  <c r="E238" i="50" s="1"/>
  <c r="AM127" i="59" a="1"/>
  <c r="AM127" i="59" s="1"/>
  <c r="AM112" i="11" a="1"/>
  <c r="AM112" i="11" s="1"/>
  <c r="T238" i="50" l="1"/>
  <c r="AK238" i="50"/>
  <c r="AK228" i="32"/>
  <c r="T228" i="32"/>
  <c r="AD226" i="32"/>
  <c r="AM237" i="50"/>
  <c r="U237" i="50"/>
  <c r="AD236" i="50"/>
  <c r="AG236" i="50" s="1"/>
  <c r="AH236" i="50" s="1"/>
  <c r="AI236" i="50" s="1"/>
  <c r="U227" i="32"/>
  <c r="AG225" i="32"/>
  <c r="AH225" i="32" s="1"/>
  <c r="AL225" i="32"/>
  <c r="AI224" i="32"/>
  <c r="AN224" i="32" s="1"/>
  <c r="AP234" i="50"/>
  <c r="AL235" i="50"/>
  <c r="Q227" i="32"/>
  <c r="P227" i="32" s="1"/>
  <c r="O238" i="50"/>
  <c r="AJ236" i="50"/>
  <c r="C236" i="50"/>
  <c r="AJ226" i="32"/>
  <c r="C226" i="32"/>
  <c r="S237" i="50"/>
  <c r="V236" i="50"/>
  <c r="S227" i="32"/>
  <c r="V227" i="32" s="1"/>
  <c r="A228" i="32"/>
  <c r="B228" i="32"/>
  <c r="R228" i="32" s="1"/>
  <c r="I238" i="50"/>
  <c r="L238" i="50"/>
  <c r="M238" i="50"/>
  <c r="B238" i="50"/>
  <c r="R238" i="50" s="1"/>
  <c r="A238" i="50"/>
  <c r="Q238" i="50" s="1"/>
  <c r="P238" i="50" s="1"/>
  <c r="K238" i="50"/>
  <c r="H238" i="50"/>
  <c r="F238" i="50"/>
  <c r="N238" i="50"/>
  <c r="G238" i="50"/>
  <c r="J238" i="50"/>
  <c r="J228" i="32"/>
  <c r="K228" i="32"/>
  <c r="L228" i="32"/>
  <c r="M228" i="32"/>
  <c r="F228" i="32"/>
  <c r="AM228" i="32" s="1"/>
  <c r="N228" i="32"/>
  <c r="G228" i="32"/>
  <c r="H228" i="32"/>
  <c r="O228" i="32"/>
  <c r="I228" i="32"/>
  <c r="W236" i="50"/>
  <c r="X236" i="50" s="1"/>
  <c r="Z236" i="50"/>
  <c r="W226" i="32"/>
  <c r="X226" i="32" s="1"/>
  <c r="Z226" i="32"/>
  <c r="AL228" i="11" a="1"/>
  <c r="AL228" i="11" s="1"/>
  <c r="AL238" i="59" a="1"/>
  <c r="AL238" i="59" s="1"/>
  <c r="E239" i="50" s="1"/>
  <c r="AM128" i="59" a="1"/>
  <c r="AM128" i="59" s="1"/>
  <c r="AM113" i="11" a="1"/>
  <c r="AM113" i="11" s="1"/>
  <c r="AK239" i="50" l="1"/>
  <c r="T239" i="50"/>
  <c r="AD227" i="32"/>
  <c r="AD237" i="50"/>
  <c r="AG237" i="50" s="1"/>
  <c r="AH237" i="50" s="1"/>
  <c r="AI237" i="50" s="1"/>
  <c r="AM238" i="50"/>
  <c r="U238" i="50"/>
  <c r="U228" i="32"/>
  <c r="AG226" i="32"/>
  <c r="AH226" i="32" s="1"/>
  <c r="AL226" i="32"/>
  <c r="AP235" i="50"/>
  <c r="AL236" i="50"/>
  <c r="Q228" i="32"/>
  <c r="P228" i="32" s="1"/>
  <c r="AI225" i="32"/>
  <c r="AN225" i="32" s="1"/>
  <c r="O239" i="50"/>
  <c r="AJ237" i="50"/>
  <c r="C237" i="50"/>
  <c r="AJ227" i="32"/>
  <c r="C227" i="32"/>
  <c r="V237" i="50"/>
  <c r="S238" i="50"/>
  <c r="S228" i="32"/>
  <c r="V228" i="32" s="1"/>
  <c r="B239" i="50"/>
  <c r="R239" i="50" s="1"/>
  <c r="A239" i="50"/>
  <c r="Q239" i="50" s="1"/>
  <c r="P239" i="50" s="1"/>
  <c r="K239" i="50"/>
  <c r="H239" i="50"/>
  <c r="I239" i="50"/>
  <c r="N239" i="50"/>
  <c r="M239" i="50"/>
  <c r="F239" i="50"/>
  <c r="G239" i="50"/>
  <c r="J239" i="50"/>
  <c r="L239" i="50"/>
  <c r="W237" i="50"/>
  <c r="X237" i="50" s="1"/>
  <c r="Z237" i="50"/>
  <c r="E229" i="32"/>
  <c r="W227" i="32"/>
  <c r="X227" i="32" s="1"/>
  <c r="Z227" i="32"/>
  <c r="AL229" i="11" a="1"/>
  <c r="AL229" i="11" s="1"/>
  <c r="E230" i="32" s="1"/>
  <c r="AL239" i="59" a="1"/>
  <c r="AL239" i="59" s="1"/>
  <c r="E240" i="50" s="1"/>
  <c r="AM129" i="59" a="1"/>
  <c r="AM129" i="59" s="1"/>
  <c r="AM114" i="11" a="1"/>
  <c r="AM114" i="11" s="1"/>
  <c r="AK240" i="50" l="1"/>
  <c r="T240" i="50"/>
  <c r="AK230" i="32"/>
  <c r="T230" i="32"/>
  <c r="AK229" i="32"/>
  <c r="T229" i="32"/>
  <c r="AD228" i="32"/>
  <c r="AG227" i="32"/>
  <c r="AH227" i="32" s="1"/>
  <c r="AL227" i="32"/>
  <c r="AM239" i="50"/>
  <c r="U239" i="50"/>
  <c r="AD238" i="50"/>
  <c r="AG238" i="50" s="1"/>
  <c r="AH238" i="50" s="1"/>
  <c r="AI238" i="50" s="1"/>
  <c r="AI226" i="32"/>
  <c r="AN226" i="32" s="1"/>
  <c r="AP236" i="50"/>
  <c r="AL237" i="50"/>
  <c r="O240" i="50"/>
  <c r="AJ238" i="50"/>
  <c r="C238" i="50"/>
  <c r="AJ228" i="32"/>
  <c r="C228" i="32"/>
  <c r="S239" i="50"/>
  <c r="V238" i="50"/>
  <c r="A230" i="32"/>
  <c r="B230" i="32"/>
  <c r="R230" i="32" s="1"/>
  <c r="A229" i="32"/>
  <c r="B229" i="32"/>
  <c r="R229" i="32" s="1"/>
  <c r="B240" i="50"/>
  <c r="R240" i="50" s="1"/>
  <c r="F240" i="50"/>
  <c r="N240" i="50"/>
  <c r="M240" i="50"/>
  <c r="H240" i="50"/>
  <c r="J240" i="50"/>
  <c r="G240" i="50"/>
  <c r="K240" i="50"/>
  <c r="L240" i="50"/>
  <c r="A240" i="50"/>
  <c r="Q240" i="50" s="1"/>
  <c r="P240" i="50" s="1"/>
  <c r="I240" i="50"/>
  <c r="H229" i="32"/>
  <c r="I229" i="32"/>
  <c r="J229" i="32"/>
  <c r="K229" i="32"/>
  <c r="L229" i="32"/>
  <c r="M229" i="32"/>
  <c r="N229" i="32"/>
  <c r="O229" i="32"/>
  <c r="F229" i="32"/>
  <c r="AM229" i="32" s="1"/>
  <c r="G229" i="32"/>
  <c r="F230" i="32"/>
  <c r="AM230" i="32" s="1"/>
  <c r="N230" i="32"/>
  <c r="G230" i="32"/>
  <c r="O230" i="32"/>
  <c r="H230" i="32"/>
  <c r="I230" i="32"/>
  <c r="J230" i="32"/>
  <c r="K230" i="32"/>
  <c r="L230" i="32"/>
  <c r="M230" i="32"/>
  <c r="Z238" i="50"/>
  <c r="W238" i="50"/>
  <c r="X238" i="50" s="1"/>
  <c r="W228" i="32"/>
  <c r="X228" i="32" s="1"/>
  <c r="Z228" i="32"/>
  <c r="AL230" i="11" a="1"/>
  <c r="AL230" i="11" s="1"/>
  <c r="AL240" i="59" a="1"/>
  <c r="AL240" i="59" s="1"/>
  <c r="E241" i="50" s="1"/>
  <c r="AM130" i="59" a="1"/>
  <c r="AM130" i="59" s="1"/>
  <c r="AM115" i="11" a="1"/>
  <c r="AM115" i="11" s="1"/>
  <c r="T241" i="50" l="1"/>
  <c r="AK241" i="50"/>
  <c r="AM240" i="50"/>
  <c r="U240" i="50"/>
  <c r="AD239" i="50"/>
  <c r="AG239" i="50" s="1"/>
  <c r="AH239" i="50" s="1"/>
  <c r="AI239" i="50" s="1"/>
  <c r="U230" i="32"/>
  <c r="AG228" i="32"/>
  <c r="AH228" i="32" s="1"/>
  <c r="AL228" i="32"/>
  <c r="U229" i="32"/>
  <c r="AI227" i="32"/>
  <c r="AN227" i="32" s="1"/>
  <c r="AP237" i="50"/>
  <c r="AL238" i="50"/>
  <c r="Q229" i="32"/>
  <c r="P229" i="32" s="1"/>
  <c r="Q230" i="32"/>
  <c r="P230" i="32" s="1"/>
  <c r="O241" i="50"/>
  <c r="AJ239" i="50"/>
  <c r="C239" i="50"/>
  <c r="V239" i="50"/>
  <c r="S240" i="50"/>
  <c r="S229" i="32"/>
  <c r="S230" i="32"/>
  <c r="G241" i="50"/>
  <c r="M241" i="50"/>
  <c r="L241" i="50"/>
  <c r="N241" i="50"/>
  <c r="F241" i="50"/>
  <c r="J241" i="50"/>
  <c r="I241" i="50"/>
  <c r="B241" i="50"/>
  <c r="R241" i="50" s="1"/>
  <c r="K241" i="50"/>
  <c r="H241" i="50"/>
  <c r="A241" i="50"/>
  <c r="Q241" i="50" s="1"/>
  <c r="P241" i="50" s="1"/>
  <c r="Z239" i="50"/>
  <c r="W239" i="50"/>
  <c r="X239" i="50" s="1"/>
  <c r="E231" i="32"/>
  <c r="AL231" i="11" a="1"/>
  <c r="AL231" i="11" s="1"/>
  <c r="E232" i="32" s="1"/>
  <c r="AL241" i="59" a="1"/>
  <c r="AL241" i="59" s="1"/>
  <c r="E242" i="50" s="1"/>
  <c r="AM131" i="59" a="1"/>
  <c r="AM131" i="59" s="1"/>
  <c r="AM116" i="11" a="1"/>
  <c r="AM116" i="11" s="1"/>
  <c r="T242" i="50" l="1"/>
  <c r="AK242" i="50"/>
  <c r="AK231" i="32"/>
  <c r="T231" i="32"/>
  <c r="AK232" i="32"/>
  <c r="T232" i="32"/>
  <c r="AD229" i="32"/>
  <c r="AD230" i="32"/>
  <c r="AM241" i="50"/>
  <c r="U241" i="50"/>
  <c r="AD240" i="50"/>
  <c r="AG240" i="50" s="1"/>
  <c r="AH240" i="50" s="1"/>
  <c r="AI240" i="50" s="1"/>
  <c r="AI228" i="32"/>
  <c r="AN228" i="32" s="1"/>
  <c r="AP238" i="50"/>
  <c r="AL239" i="50"/>
  <c r="O242" i="50"/>
  <c r="C229" i="32"/>
  <c r="V229" i="32"/>
  <c r="C230" i="32"/>
  <c r="V230" i="32"/>
  <c r="AJ240" i="50"/>
  <c r="C240" i="50"/>
  <c r="AJ229" i="32"/>
  <c r="AJ230" i="32"/>
  <c r="S241" i="50"/>
  <c r="V240" i="50"/>
  <c r="A231" i="32"/>
  <c r="B231" i="32"/>
  <c r="R231" i="32" s="1"/>
  <c r="A232" i="32"/>
  <c r="B232" i="32"/>
  <c r="R232" i="32" s="1"/>
  <c r="B242" i="50"/>
  <c r="R242" i="50" s="1"/>
  <c r="G242" i="50"/>
  <c r="A242" i="50"/>
  <c r="Q242" i="50" s="1"/>
  <c r="P242" i="50" s="1"/>
  <c r="K242" i="50"/>
  <c r="I242" i="50"/>
  <c r="J242" i="50"/>
  <c r="F242" i="50"/>
  <c r="N242" i="50"/>
  <c r="M242" i="50"/>
  <c r="L242" i="50"/>
  <c r="H242" i="50"/>
  <c r="L231" i="32"/>
  <c r="M231" i="32"/>
  <c r="N231" i="32"/>
  <c r="F231" i="32"/>
  <c r="AM231" i="32" s="1"/>
  <c r="G231" i="32"/>
  <c r="O231" i="32"/>
  <c r="H231" i="32"/>
  <c r="K231" i="32"/>
  <c r="I231" i="32"/>
  <c r="J231" i="32"/>
  <c r="J232" i="32"/>
  <c r="K232" i="32"/>
  <c r="L232" i="32"/>
  <c r="M232" i="32"/>
  <c r="F232" i="32"/>
  <c r="AM232" i="32" s="1"/>
  <c r="N232" i="32"/>
  <c r="G232" i="32"/>
  <c r="H232" i="32"/>
  <c r="I232" i="32"/>
  <c r="O232" i="32"/>
  <c r="Z229" i="32"/>
  <c r="W229" i="32"/>
  <c r="X229" i="32" s="1"/>
  <c r="Z240" i="50"/>
  <c r="W240" i="50"/>
  <c r="X240" i="50" s="1"/>
  <c r="W230" i="32"/>
  <c r="X230" i="32" s="1"/>
  <c r="Z230" i="32"/>
  <c r="AL232" i="11" a="1"/>
  <c r="AL232" i="11" s="1"/>
  <c r="E233" i="32" s="1"/>
  <c r="AL242" i="59" a="1"/>
  <c r="AL242" i="59" s="1"/>
  <c r="E243" i="50" s="1"/>
  <c r="AM132" i="59" a="1"/>
  <c r="AM132" i="59" s="1"/>
  <c r="AM117" i="11" a="1"/>
  <c r="AM117" i="11" s="1"/>
  <c r="T243" i="50" l="1"/>
  <c r="AK243" i="50"/>
  <c r="AK233" i="32"/>
  <c r="T233" i="32"/>
  <c r="AM242" i="50"/>
  <c r="U242" i="50"/>
  <c r="AD241" i="50"/>
  <c r="AG241" i="50" s="1"/>
  <c r="AH241" i="50" s="1"/>
  <c r="AI241" i="50" s="1"/>
  <c r="AG229" i="32"/>
  <c r="AH229" i="32" s="1"/>
  <c r="AL229" i="32"/>
  <c r="U232" i="32"/>
  <c r="U231" i="32"/>
  <c r="AG230" i="32"/>
  <c r="AH230" i="32" s="1"/>
  <c r="AL230" i="32"/>
  <c r="AP239" i="50"/>
  <c r="AL240" i="50"/>
  <c r="Q232" i="32"/>
  <c r="P232" i="32" s="1"/>
  <c r="Q231" i="32"/>
  <c r="P231" i="32" s="1"/>
  <c r="O243" i="50"/>
  <c r="AJ241" i="50"/>
  <c r="C241" i="50"/>
  <c r="V241" i="50"/>
  <c r="S242" i="50"/>
  <c r="S231" i="32"/>
  <c r="V231" i="32" s="1"/>
  <c r="S232" i="32"/>
  <c r="A233" i="32"/>
  <c r="B233" i="32"/>
  <c r="R233" i="32" s="1"/>
  <c r="H243" i="50"/>
  <c r="F243" i="50"/>
  <c r="G243" i="50"/>
  <c r="A243" i="50"/>
  <c r="Q243" i="50" s="1"/>
  <c r="P243" i="50" s="1"/>
  <c r="K243" i="50"/>
  <c r="B243" i="50"/>
  <c r="R243" i="50" s="1"/>
  <c r="M243" i="50"/>
  <c r="N243" i="50"/>
  <c r="J243" i="50"/>
  <c r="I243" i="50"/>
  <c r="L243" i="50"/>
  <c r="H233" i="32"/>
  <c r="I233" i="32"/>
  <c r="J233" i="32"/>
  <c r="K233" i="32"/>
  <c r="L233" i="32"/>
  <c r="N233" i="32"/>
  <c r="O233" i="32"/>
  <c r="F233" i="32"/>
  <c r="AM233" i="32" s="1"/>
  <c r="G233" i="32"/>
  <c r="M233" i="32"/>
  <c r="Z241" i="50"/>
  <c r="W241" i="50"/>
  <c r="X241" i="50" s="1"/>
  <c r="AL233" i="11" a="1"/>
  <c r="AL233" i="11" s="1"/>
  <c r="AL243" i="59" a="1"/>
  <c r="AL243" i="59" s="1"/>
  <c r="E244" i="50" s="1"/>
  <c r="AM133" i="59" a="1"/>
  <c r="AM133" i="59" s="1"/>
  <c r="AM118" i="11" a="1"/>
  <c r="AM118" i="11" s="1"/>
  <c r="T244" i="50" l="1"/>
  <c r="AK244" i="50"/>
  <c r="AD232" i="32"/>
  <c r="AD231" i="32"/>
  <c r="AD242" i="50"/>
  <c r="AG242" i="50" s="1"/>
  <c r="AH242" i="50" s="1"/>
  <c r="AI242" i="50" s="1"/>
  <c r="AM243" i="50"/>
  <c r="U243" i="50"/>
  <c r="U233" i="32"/>
  <c r="AI229" i="32"/>
  <c r="AN229" i="32" s="1"/>
  <c r="AI230" i="32"/>
  <c r="AN230" i="32" s="1"/>
  <c r="AP240" i="50"/>
  <c r="AL241" i="50"/>
  <c r="Q233" i="32"/>
  <c r="P233" i="32" s="1"/>
  <c r="O244" i="50"/>
  <c r="C232" i="32"/>
  <c r="V232" i="32"/>
  <c r="AJ242" i="50"/>
  <c r="C242" i="50"/>
  <c r="AJ231" i="32"/>
  <c r="C231" i="32"/>
  <c r="AJ232" i="32"/>
  <c r="S243" i="50"/>
  <c r="V242" i="50"/>
  <c r="S233" i="32"/>
  <c r="V233" i="32" s="1"/>
  <c r="A244" i="50"/>
  <c r="Q244" i="50" s="1"/>
  <c r="P244" i="50" s="1"/>
  <c r="J244" i="50"/>
  <c r="I244" i="50"/>
  <c r="F244" i="50"/>
  <c r="H244" i="50"/>
  <c r="G244" i="50"/>
  <c r="K244" i="50"/>
  <c r="M244" i="50"/>
  <c r="L244" i="50"/>
  <c r="N244" i="50"/>
  <c r="B244" i="50"/>
  <c r="R244" i="50" s="1"/>
  <c r="W242" i="50"/>
  <c r="X242" i="50" s="1"/>
  <c r="Z242" i="50"/>
  <c r="E234" i="32"/>
  <c r="Z231" i="32"/>
  <c r="W231" i="32"/>
  <c r="X231" i="32" s="1"/>
  <c r="W232" i="32"/>
  <c r="X232" i="32" s="1"/>
  <c r="Z232" i="32"/>
  <c r="AL234" i="11" a="1"/>
  <c r="AL234" i="11" s="1"/>
  <c r="E235" i="32" s="1"/>
  <c r="AL244" i="59" a="1"/>
  <c r="AL244" i="59" s="1"/>
  <c r="E245" i="50" s="1"/>
  <c r="AM134" i="59" a="1"/>
  <c r="AM134" i="59" s="1"/>
  <c r="AM119" i="11" a="1"/>
  <c r="AM119" i="11" s="1"/>
  <c r="T245" i="50" l="1"/>
  <c r="AK245" i="50"/>
  <c r="AK235" i="32"/>
  <c r="T235" i="32"/>
  <c r="AK234" i="32"/>
  <c r="T234" i="32"/>
  <c r="AD233" i="32"/>
  <c r="AD243" i="50"/>
  <c r="AG243" i="50" s="1"/>
  <c r="AH243" i="50" s="1"/>
  <c r="AI243" i="50" s="1"/>
  <c r="AM244" i="50"/>
  <c r="U244" i="50"/>
  <c r="AG231" i="32"/>
  <c r="AH231" i="32" s="1"/>
  <c r="AL231" i="32"/>
  <c r="AG232" i="32"/>
  <c r="AH232" i="32" s="1"/>
  <c r="AL232" i="32"/>
  <c r="AP241" i="50"/>
  <c r="AL242" i="50"/>
  <c r="O245" i="50"/>
  <c r="AJ243" i="50"/>
  <c r="C243" i="50"/>
  <c r="AJ233" i="32"/>
  <c r="C233" i="32"/>
  <c r="S244" i="50"/>
  <c r="V243" i="50"/>
  <c r="A235" i="32"/>
  <c r="B235" i="32"/>
  <c r="R235" i="32" s="1"/>
  <c r="A234" i="32"/>
  <c r="B234" i="32"/>
  <c r="R234" i="32" s="1"/>
  <c r="A245" i="50"/>
  <c r="Q245" i="50" s="1"/>
  <c r="P245" i="50" s="1"/>
  <c r="I245" i="50"/>
  <c r="M245" i="50"/>
  <c r="F245" i="50"/>
  <c r="H245" i="50"/>
  <c r="G245" i="50"/>
  <c r="L245" i="50"/>
  <c r="J245" i="50"/>
  <c r="B245" i="50"/>
  <c r="R245" i="50" s="1"/>
  <c r="K245" i="50"/>
  <c r="N245" i="50"/>
  <c r="F234" i="32"/>
  <c r="AM234" i="32" s="1"/>
  <c r="N234" i="32"/>
  <c r="G234" i="32"/>
  <c r="O234" i="32"/>
  <c r="H234" i="32"/>
  <c r="I234" i="32"/>
  <c r="J234" i="32"/>
  <c r="K234" i="32"/>
  <c r="L234" i="32"/>
  <c r="M234" i="32"/>
  <c r="L235" i="32"/>
  <c r="M235" i="32"/>
  <c r="N235" i="32"/>
  <c r="F235" i="32"/>
  <c r="AM235" i="32" s="1"/>
  <c r="G235" i="32"/>
  <c r="O235" i="32"/>
  <c r="H235" i="32"/>
  <c r="I235" i="32"/>
  <c r="J235" i="32"/>
  <c r="K235" i="32"/>
  <c r="Z243" i="50"/>
  <c r="W243" i="50"/>
  <c r="X243" i="50" s="1"/>
  <c r="W233" i="32"/>
  <c r="X233" i="32" s="1"/>
  <c r="Z233" i="32"/>
  <c r="AL235" i="11" a="1"/>
  <c r="AL235" i="11" s="1"/>
  <c r="E236" i="32" s="1"/>
  <c r="AL245" i="59" a="1"/>
  <c r="AL245" i="59" s="1"/>
  <c r="E246" i="50" s="1"/>
  <c r="AM135" i="59" a="1"/>
  <c r="AM135" i="59" s="1"/>
  <c r="AM120" i="11" a="1"/>
  <c r="AM120" i="11" s="1"/>
  <c r="T246" i="50" l="1"/>
  <c r="AK246" i="50"/>
  <c r="AK236" i="32"/>
  <c r="T236" i="32"/>
  <c r="AM245" i="50"/>
  <c r="U245" i="50"/>
  <c r="AD244" i="50"/>
  <c r="AG244" i="50" s="1"/>
  <c r="AH244" i="50" s="1"/>
  <c r="AI244" i="50" s="1"/>
  <c r="U235" i="32"/>
  <c r="U234" i="32"/>
  <c r="AG233" i="32"/>
  <c r="AH233" i="32" s="1"/>
  <c r="AL233" i="32"/>
  <c r="AP242" i="50"/>
  <c r="AL243" i="50"/>
  <c r="Q235" i="32"/>
  <c r="P235" i="32" s="1"/>
  <c r="Q234" i="32"/>
  <c r="P234" i="32" s="1"/>
  <c r="AI231" i="32"/>
  <c r="AN231" i="32" s="1"/>
  <c r="AI232" i="32"/>
  <c r="AN232" i="32" s="1"/>
  <c r="O246" i="50"/>
  <c r="AJ244" i="50"/>
  <c r="C244" i="50"/>
  <c r="S245" i="50"/>
  <c r="V244" i="50"/>
  <c r="S235" i="32"/>
  <c r="S234" i="32"/>
  <c r="A236" i="32"/>
  <c r="B236" i="32"/>
  <c r="R236" i="32" s="1"/>
  <c r="I246" i="50"/>
  <c r="H246" i="50"/>
  <c r="M246" i="50"/>
  <c r="K246" i="50"/>
  <c r="N246" i="50"/>
  <c r="A246" i="50"/>
  <c r="Q246" i="50" s="1"/>
  <c r="P246" i="50" s="1"/>
  <c r="B246" i="50"/>
  <c r="R246" i="50" s="1"/>
  <c r="G246" i="50"/>
  <c r="F246" i="50"/>
  <c r="J246" i="50"/>
  <c r="L246" i="50"/>
  <c r="K236" i="32"/>
  <c r="L236" i="32"/>
  <c r="M236" i="32"/>
  <c r="F236" i="32"/>
  <c r="AM236" i="32" s="1"/>
  <c r="N236" i="32"/>
  <c r="G236" i="32"/>
  <c r="H236" i="32"/>
  <c r="I236" i="32"/>
  <c r="J236" i="32"/>
  <c r="O236" i="32"/>
  <c r="W244" i="50"/>
  <c r="X244" i="50" s="1"/>
  <c r="Z244" i="50"/>
  <c r="AL236" i="11" a="1"/>
  <c r="AL236" i="11" s="1"/>
  <c r="AL246" i="59" a="1"/>
  <c r="AL246" i="59" s="1"/>
  <c r="E247" i="50" s="1"/>
  <c r="AM136" i="59" a="1"/>
  <c r="AM136" i="59" s="1"/>
  <c r="AM121" i="11" a="1"/>
  <c r="AM121" i="11" s="1"/>
  <c r="AK247" i="50" l="1"/>
  <c r="T247" i="50"/>
  <c r="AD235" i="32"/>
  <c r="AD234" i="32"/>
  <c r="AG234" i="32" s="1"/>
  <c r="AH234" i="32" s="1"/>
  <c r="AD245" i="50"/>
  <c r="AG245" i="50" s="1"/>
  <c r="AH245" i="50" s="1"/>
  <c r="AI245" i="50" s="1"/>
  <c r="AM246" i="50"/>
  <c r="U246" i="50"/>
  <c r="U236" i="32"/>
  <c r="AI233" i="32"/>
  <c r="AN233" i="32" s="1"/>
  <c r="AP243" i="50"/>
  <c r="AL244" i="50"/>
  <c r="Q236" i="32"/>
  <c r="P236" i="32" s="1"/>
  <c r="O247" i="50"/>
  <c r="C234" i="32"/>
  <c r="V234" i="32"/>
  <c r="C235" i="32"/>
  <c r="V235" i="32"/>
  <c r="AJ245" i="50"/>
  <c r="C245" i="50"/>
  <c r="AJ234" i="32"/>
  <c r="AJ235" i="32"/>
  <c r="S246" i="50"/>
  <c r="V245" i="50"/>
  <c r="S236" i="32"/>
  <c r="V236" i="32" s="1"/>
  <c r="B247" i="50"/>
  <c r="R247" i="50" s="1"/>
  <c r="F247" i="50"/>
  <c r="G247" i="50"/>
  <c r="J247" i="50"/>
  <c r="N247" i="50"/>
  <c r="K247" i="50"/>
  <c r="I247" i="50"/>
  <c r="H247" i="50"/>
  <c r="A247" i="50"/>
  <c r="Q247" i="50" s="1"/>
  <c r="P247" i="50" s="1"/>
  <c r="M247" i="50"/>
  <c r="L247" i="50"/>
  <c r="Z234" i="32"/>
  <c r="W234" i="32"/>
  <c r="X234" i="32" s="1"/>
  <c r="W245" i="50"/>
  <c r="X245" i="50" s="1"/>
  <c r="Z245" i="50"/>
  <c r="E237" i="32"/>
  <c r="W235" i="32"/>
  <c r="X235" i="32" s="1"/>
  <c r="Z235" i="32"/>
  <c r="AL237" i="11" a="1"/>
  <c r="AL237" i="11" s="1"/>
  <c r="E238" i="32" s="1"/>
  <c r="AL247" i="59" a="1"/>
  <c r="AL247" i="59" s="1"/>
  <c r="E248" i="50" s="1"/>
  <c r="AM137" i="59" a="1"/>
  <c r="AM137" i="59" s="1"/>
  <c r="AM122" i="11" a="1"/>
  <c r="AM122" i="11" s="1"/>
  <c r="AK248" i="50" l="1"/>
  <c r="T248" i="50"/>
  <c r="AK237" i="32"/>
  <c r="T237" i="32"/>
  <c r="AK238" i="32"/>
  <c r="T238" i="32"/>
  <c r="AL234" i="32"/>
  <c r="AD236" i="32"/>
  <c r="AM247" i="50"/>
  <c r="U247" i="50"/>
  <c r="AD246" i="50"/>
  <c r="AG246" i="50" s="1"/>
  <c r="AH246" i="50" s="1"/>
  <c r="AI246" i="50" s="1"/>
  <c r="AG235" i="32"/>
  <c r="AH235" i="32" s="1"/>
  <c r="AL235" i="32"/>
  <c r="AP244" i="50"/>
  <c r="AL245" i="50"/>
  <c r="O248" i="50"/>
  <c r="AJ246" i="50"/>
  <c r="C246" i="50"/>
  <c r="AJ236" i="32"/>
  <c r="C236" i="32"/>
  <c r="S247" i="50"/>
  <c r="V246" i="50"/>
  <c r="A238" i="32"/>
  <c r="B238" i="32"/>
  <c r="R238" i="32" s="1"/>
  <c r="A237" i="32"/>
  <c r="B237" i="32"/>
  <c r="R237" i="32" s="1"/>
  <c r="B248" i="50"/>
  <c r="R248" i="50" s="1"/>
  <c r="M248" i="50"/>
  <c r="F248" i="50"/>
  <c r="N248" i="50"/>
  <c r="J248" i="50"/>
  <c r="I248" i="50"/>
  <c r="H248" i="50"/>
  <c r="K248" i="50"/>
  <c r="A248" i="50"/>
  <c r="Q248" i="50" s="1"/>
  <c r="P248" i="50" s="1"/>
  <c r="G248" i="50"/>
  <c r="L248" i="50"/>
  <c r="G238" i="32"/>
  <c r="O238" i="32"/>
  <c r="H238" i="32"/>
  <c r="I238" i="32"/>
  <c r="J238" i="32"/>
  <c r="N238" i="32"/>
  <c r="F238" i="32"/>
  <c r="AM238" i="32" s="1"/>
  <c r="M238" i="32"/>
  <c r="K238" i="32"/>
  <c r="L238" i="32"/>
  <c r="I237" i="32"/>
  <c r="J237" i="32"/>
  <c r="K237" i="32"/>
  <c r="L237" i="32"/>
  <c r="M237" i="32"/>
  <c r="N237" i="32"/>
  <c r="O237" i="32"/>
  <c r="F237" i="32"/>
  <c r="AM237" i="32" s="1"/>
  <c r="G237" i="32"/>
  <c r="H237" i="32"/>
  <c r="W246" i="50"/>
  <c r="X246" i="50" s="1"/>
  <c r="Z246" i="50"/>
  <c r="W236" i="32"/>
  <c r="X236" i="32" s="1"/>
  <c r="Z236" i="32"/>
  <c r="AL238" i="11" a="1"/>
  <c r="AL238" i="11" s="1"/>
  <c r="AL248" i="59" a="1"/>
  <c r="AL248" i="59" s="1"/>
  <c r="E249" i="50" s="1"/>
  <c r="AM138" i="59" a="1"/>
  <c r="AM138" i="59" s="1"/>
  <c r="AM123" i="11" a="1"/>
  <c r="AM123" i="11" s="1"/>
  <c r="T249" i="50" l="1"/>
  <c r="AK249" i="50"/>
  <c r="AM248" i="50"/>
  <c r="U248" i="50"/>
  <c r="AD247" i="50"/>
  <c r="AG247" i="50" s="1"/>
  <c r="AH247" i="50" s="1"/>
  <c r="AI247" i="50" s="1"/>
  <c r="AG236" i="32"/>
  <c r="AH236" i="32" s="1"/>
  <c r="AL236" i="32"/>
  <c r="U238" i="32"/>
  <c r="U237" i="32"/>
  <c r="AI235" i="32"/>
  <c r="AN235" i="32" s="1"/>
  <c r="AP245" i="50"/>
  <c r="AL246" i="50"/>
  <c r="Q238" i="32"/>
  <c r="P238" i="32" s="1"/>
  <c r="Q237" i="32"/>
  <c r="P237" i="32" s="1"/>
  <c r="AI234" i="32"/>
  <c r="AN234" i="32" s="1"/>
  <c r="O249" i="50"/>
  <c r="AJ247" i="50"/>
  <c r="C247" i="50"/>
  <c r="S248" i="50"/>
  <c r="V247" i="50"/>
  <c r="S238" i="32"/>
  <c r="V238" i="32" s="1"/>
  <c r="S237" i="32"/>
  <c r="V237" i="32" s="1"/>
  <c r="G249" i="50"/>
  <c r="F249" i="50"/>
  <c r="L249" i="50"/>
  <c r="B249" i="50"/>
  <c r="R249" i="50" s="1"/>
  <c r="N249" i="50"/>
  <c r="I249" i="50"/>
  <c r="H249" i="50"/>
  <c r="K249" i="50"/>
  <c r="M249" i="50"/>
  <c r="A249" i="50"/>
  <c r="Q249" i="50" s="1"/>
  <c r="P249" i="50" s="1"/>
  <c r="J249" i="50"/>
  <c r="Z247" i="50"/>
  <c r="W247" i="50"/>
  <c r="X247" i="50" s="1"/>
  <c r="E239" i="32"/>
  <c r="AL239" i="11" a="1"/>
  <c r="AL239" i="11" s="1"/>
  <c r="E240" i="32" s="1"/>
  <c r="AL249" i="59" a="1"/>
  <c r="AL249" i="59" s="1"/>
  <c r="E250" i="50" s="1"/>
  <c r="AM139" i="59" a="1"/>
  <c r="AM139" i="59" s="1"/>
  <c r="AM124" i="11" a="1"/>
  <c r="AM124" i="11" s="1"/>
  <c r="T250" i="50" l="1"/>
  <c r="AK250" i="50"/>
  <c r="AK239" i="32"/>
  <c r="T239" i="32"/>
  <c r="AK240" i="32"/>
  <c r="T240" i="32"/>
  <c r="AD238" i="32"/>
  <c r="AD237" i="32"/>
  <c r="AM249" i="50"/>
  <c r="U249" i="50"/>
  <c r="AD248" i="50"/>
  <c r="AG248" i="50" s="1"/>
  <c r="AH248" i="50" s="1"/>
  <c r="AI248" i="50" s="1"/>
  <c r="AI236" i="32"/>
  <c r="AN236" i="32" s="1"/>
  <c r="AP246" i="50"/>
  <c r="AL247" i="50"/>
  <c r="O250" i="50"/>
  <c r="AJ248" i="50"/>
  <c r="C248" i="50"/>
  <c r="AJ237" i="32"/>
  <c r="C237" i="32"/>
  <c r="AJ238" i="32"/>
  <c r="C238" i="32"/>
  <c r="S249" i="50"/>
  <c r="V248" i="50"/>
  <c r="A240" i="32"/>
  <c r="B240" i="32"/>
  <c r="R240" i="32" s="1"/>
  <c r="A239" i="32"/>
  <c r="B239" i="32"/>
  <c r="R239" i="32" s="1"/>
  <c r="F250" i="50"/>
  <c r="G250" i="50"/>
  <c r="B250" i="50"/>
  <c r="R250" i="50" s="1"/>
  <c r="M250" i="50"/>
  <c r="L250" i="50"/>
  <c r="K250" i="50"/>
  <c r="A250" i="50"/>
  <c r="Q250" i="50" s="1"/>
  <c r="P250" i="50" s="1"/>
  <c r="J250" i="50"/>
  <c r="H250" i="50"/>
  <c r="I250" i="50"/>
  <c r="N250" i="50"/>
  <c r="K240" i="32"/>
  <c r="M240" i="32"/>
  <c r="F240" i="32"/>
  <c r="AM240" i="32" s="1"/>
  <c r="N240" i="32"/>
  <c r="J240" i="32"/>
  <c r="L240" i="32"/>
  <c r="O240" i="32"/>
  <c r="G240" i="32"/>
  <c r="I240" i="32"/>
  <c r="H240" i="32"/>
  <c r="M239" i="32"/>
  <c r="F239" i="32"/>
  <c r="AM239" i="32" s="1"/>
  <c r="G239" i="32"/>
  <c r="O239" i="32"/>
  <c r="H239" i="32"/>
  <c r="I239" i="32"/>
  <c r="J239" i="32"/>
  <c r="K239" i="32"/>
  <c r="L239" i="32"/>
  <c r="N239" i="32"/>
  <c r="Z248" i="50"/>
  <c r="W248" i="50"/>
  <c r="X248" i="50" s="1"/>
  <c r="W237" i="32"/>
  <c r="X237" i="32" s="1"/>
  <c r="Z237" i="32"/>
  <c r="W238" i="32"/>
  <c r="X238" i="32" s="1"/>
  <c r="Z238" i="32"/>
  <c r="AL240" i="11" a="1"/>
  <c r="AL240" i="11" s="1"/>
  <c r="E241" i="32" s="1"/>
  <c r="AL250" i="59" a="1"/>
  <c r="AL250" i="59" s="1"/>
  <c r="E251" i="50" s="1"/>
  <c r="AM140" i="59" a="1"/>
  <c r="AM140" i="59" s="1"/>
  <c r="AM125" i="11" a="1"/>
  <c r="AM125" i="11" s="1"/>
  <c r="T251" i="50" l="1"/>
  <c r="AK251" i="50"/>
  <c r="AK241" i="32"/>
  <c r="T241" i="32"/>
  <c r="AM250" i="50"/>
  <c r="U250" i="50"/>
  <c r="AD249" i="50"/>
  <c r="AG249" i="50" s="1"/>
  <c r="AH249" i="50" s="1"/>
  <c r="AI249" i="50" s="1"/>
  <c r="U240" i="32"/>
  <c r="AG237" i="32"/>
  <c r="AH237" i="32" s="1"/>
  <c r="AL237" i="32"/>
  <c r="U239" i="32"/>
  <c r="AG238" i="32"/>
  <c r="AH238" i="32" s="1"/>
  <c r="AL238" i="32"/>
  <c r="AP247" i="50"/>
  <c r="AL248" i="50"/>
  <c r="Q240" i="32"/>
  <c r="P240" i="32" s="1"/>
  <c r="Q239" i="32"/>
  <c r="P239" i="32" s="1"/>
  <c r="O251" i="50"/>
  <c r="AJ249" i="50"/>
  <c r="C249" i="50"/>
  <c r="S250" i="50"/>
  <c r="V249" i="50"/>
  <c r="S240" i="32"/>
  <c r="V240" i="32" s="1"/>
  <c r="S239" i="32"/>
  <c r="V239" i="32" s="1"/>
  <c r="A241" i="32"/>
  <c r="B241" i="32"/>
  <c r="R241" i="32" s="1"/>
  <c r="H251" i="50"/>
  <c r="M251" i="50"/>
  <c r="A251" i="50"/>
  <c r="Q251" i="50" s="1"/>
  <c r="P251" i="50" s="1"/>
  <c r="N251" i="50"/>
  <c r="F251" i="50"/>
  <c r="K251" i="50"/>
  <c r="G251" i="50"/>
  <c r="L251" i="50"/>
  <c r="J251" i="50"/>
  <c r="B251" i="50"/>
  <c r="R251" i="50" s="1"/>
  <c r="I251" i="50"/>
  <c r="I241" i="32"/>
  <c r="K241" i="32"/>
  <c r="L241" i="32"/>
  <c r="N241" i="32"/>
  <c r="O241" i="32"/>
  <c r="J241" i="32"/>
  <c r="F241" i="32"/>
  <c r="AM241" i="32" s="1"/>
  <c r="G241" i="32"/>
  <c r="H241" i="32"/>
  <c r="M241" i="32"/>
  <c r="W249" i="50"/>
  <c r="X249" i="50" s="1"/>
  <c r="Z249" i="50"/>
  <c r="AL241" i="11" a="1"/>
  <c r="AL241" i="11" s="1"/>
  <c r="E242" i="32" s="1"/>
  <c r="AL251" i="59" a="1"/>
  <c r="AL251" i="59" s="1"/>
  <c r="E252" i="50" s="1"/>
  <c r="AM141" i="59" a="1"/>
  <c r="AM141" i="59" s="1"/>
  <c r="AM126" i="11" a="1"/>
  <c r="AM126" i="11" s="1"/>
  <c r="T252" i="50" l="1"/>
  <c r="AK252" i="50"/>
  <c r="AK242" i="32"/>
  <c r="T242" i="32"/>
  <c r="AD239" i="32"/>
  <c r="AD240" i="32"/>
  <c r="AD250" i="50"/>
  <c r="AG250" i="50" s="1"/>
  <c r="AH250" i="50" s="1"/>
  <c r="AI250" i="50" s="1"/>
  <c r="AM251" i="50"/>
  <c r="U251" i="50"/>
  <c r="U241" i="32"/>
  <c r="AI238" i="32"/>
  <c r="AN238" i="32" s="1"/>
  <c r="AP248" i="50"/>
  <c r="AL249" i="50"/>
  <c r="Q241" i="32"/>
  <c r="P241" i="32" s="1"/>
  <c r="AI237" i="32"/>
  <c r="AN237" i="32" s="1"/>
  <c r="O252" i="50"/>
  <c r="AJ250" i="50"/>
  <c r="C250" i="50"/>
  <c r="AJ239" i="32"/>
  <c r="C239" i="32"/>
  <c r="AJ240" i="32"/>
  <c r="C240" i="32"/>
  <c r="S251" i="50"/>
  <c r="V250" i="50"/>
  <c r="S241" i="32"/>
  <c r="V241" i="32" s="1"/>
  <c r="A242" i="32"/>
  <c r="B242" i="32"/>
  <c r="R242" i="32" s="1"/>
  <c r="A252" i="50"/>
  <c r="Q252" i="50" s="1"/>
  <c r="P252" i="50" s="1"/>
  <c r="N252" i="50"/>
  <c r="J252" i="50"/>
  <c r="I252" i="50"/>
  <c r="H252" i="50"/>
  <c r="M252" i="50"/>
  <c r="B252" i="50"/>
  <c r="R252" i="50" s="1"/>
  <c r="G252" i="50"/>
  <c r="K252" i="50"/>
  <c r="F252" i="50"/>
  <c r="L252" i="50"/>
  <c r="G242" i="32"/>
  <c r="O242" i="32"/>
  <c r="I242" i="32"/>
  <c r="J242" i="32"/>
  <c r="M242" i="32"/>
  <c r="F242" i="32"/>
  <c r="AM242" i="32" s="1"/>
  <c r="H242" i="32"/>
  <c r="L242" i="32"/>
  <c r="K242" i="32"/>
  <c r="N242" i="32"/>
  <c r="Z239" i="32"/>
  <c r="W239" i="32"/>
  <c r="X239" i="32" s="1"/>
  <c r="W250" i="50"/>
  <c r="X250" i="50" s="1"/>
  <c r="Z250" i="50"/>
  <c r="W240" i="32"/>
  <c r="X240" i="32" s="1"/>
  <c r="Z240" i="32"/>
  <c r="AL242" i="11" a="1"/>
  <c r="AL242" i="11" s="1"/>
  <c r="E243" i="32" s="1"/>
  <c r="AL252" i="59" a="1"/>
  <c r="AL252" i="59" s="1"/>
  <c r="E253" i="50" s="1"/>
  <c r="AM142" i="59" a="1"/>
  <c r="AM142" i="59" s="1"/>
  <c r="AM127" i="11" a="1"/>
  <c r="AM127" i="11" s="1"/>
  <c r="T253" i="50" l="1"/>
  <c r="AK253" i="50"/>
  <c r="AK243" i="32"/>
  <c r="T243" i="32"/>
  <c r="AD241" i="32"/>
  <c r="AM252" i="50"/>
  <c r="U252" i="50"/>
  <c r="AD251" i="50"/>
  <c r="AG251" i="50" s="1"/>
  <c r="AH251" i="50" s="1"/>
  <c r="AI251" i="50" s="1"/>
  <c r="U242" i="32"/>
  <c r="AG239" i="32"/>
  <c r="AH239" i="32" s="1"/>
  <c r="AL239" i="32"/>
  <c r="AG240" i="32"/>
  <c r="AH240" i="32" s="1"/>
  <c r="AL240" i="32"/>
  <c r="AP249" i="50"/>
  <c r="AL250" i="50"/>
  <c r="Q242" i="32"/>
  <c r="P242" i="32" s="1"/>
  <c r="O253" i="50"/>
  <c r="AJ251" i="50"/>
  <c r="C251" i="50"/>
  <c r="AJ241" i="32"/>
  <c r="C241" i="32"/>
  <c r="S252" i="50"/>
  <c r="V251" i="50"/>
  <c r="S242" i="32"/>
  <c r="V242" i="32" s="1"/>
  <c r="A243" i="32"/>
  <c r="B243" i="32"/>
  <c r="R243" i="32" s="1"/>
  <c r="A253" i="50"/>
  <c r="Q253" i="50" s="1"/>
  <c r="P253" i="50" s="1"/>
  <c r="I253" i="50"/>
  <c r="M253" i="50"/>
  <c r="F253" i="50"/>
  <c r="B253" i="50"/>
  <c r="R253" i="50" s="1"/>
  <c r="N253" i="50"/>
  <c r="G253" i="50"/>
  <c r="K253" i="50"/>
  <c r="H253" i="50"/>
  <c r="J253" i="50"/>
  <c r="L253" i="50"/>
  <c r="M243" i="32"/>
  <c r="G243" i="32"/>
  <c r="O243" i="32"/>
  <c r="H243" i="32"/>
  <c r="F243" i="32"/>
  <c r="AM243" i="32" s="1"/>
  <c r="I243" i="32"/>
  <c r="J243" i="32"/>
  <c r="K243" i="32"/>
  <c r="L243" i="32"/>
  <c r="N243" i="32"/>
  <c r="Z251" i="50"/>
  <c r="W251" i="50"/>
  <c r="X251" i="50" s="1"/>
  <c r="W241" i="32"/>
  <c r="X241" i="32" s="1"/>
  <c r="Z241" i="32"/>
  <c r="AL243" i="11" a="1"/>
  <c r="AL243" i="11" s="1"/>
  <c r="E244" i="32" s="1"/>
  <c r="AL253" i="59" a="1"/>
  <c r="AL253" i="59" s="1"/>
  <c r="E254" i="50" s="1"/>
  <c r="AM143" i="59" a="1"/>
  <c r="AM143" i="59" s="1"/>
  <c r="AM128" i="11" a="1"/>
  <c r="AM128" i="11" s="1"/>
  <c r="T254" i="50" l="1"/>
  <c r="AK254" i="50"/>
  <c r="AK244" i="32"/>
  <c r="T244" i="32"/>
  <c r="AD242" i="32"/>
  <c r="AM253" i="50"/>
  <c r="U253" i="50"/>
  <c r="AD252" i="50"/>
  <c r="AG252" i="50" s="1"/>
  <c r="AH252" i="50" s="1"/>
  <c r="AI252" i="50" s="1"/>
  <c r="U243" i="32"/>
  <c r="AG241" i="32"/>
  <c r="AH241" i="32" s="1"/>
  <c r="AL241" i="32"/>
  <c r="AI240" i="32"/>
  <c r="AN240" i="32" s="1"/>
  <c r="AI239" i="32"/>
  <c r="AN239" i="32" s="1"/>
  <c r="AP250" i="50"/>
  <c r="AL251" i="50"/>
  <c r="Q243" i="32"/>
  <c r="P243" i="32" s="1"/>
  <c r="O254" i="50"/>
  <c r="AJ252" i="50"/>
  <c r="C252" i="50"/>
  <c r="AJ242" i="32"/>
  <c r="C242" i="32"/>
  <c r="S253" i="50"/>
  <c r="V252" i="50"/>
  <c r="S243" i="32"/>
  <c r="V243" i="32" s="1"/>
  <c r="A244" i="32"/>
  <c r="B244" i="32"/>
  <c r="R244" i="32" s="1"/>
  <c r="I254" i="50"/>
  <c r="F254" i="50"/>
  <c r="A254" i="50"/>
  <c r="Q254" i="50" s="1"/>
  <c r="P254" i="50" s="1"/>
  <c r="G254" i="50"/>
  <c r="H254" i="50"/>
  <c r="L254" i="50"/>
  <c r="K254" i="50"/>
  <c r="M254" i="50"/>
  <c r="N254" i="50"/>
  <c r="B254" i="50"/>
  <c r="R254" i="50" s="1"/>
  <c r="J254" i="50"/>
  <c r="K244" i="32"/>
  <c r="M244" i="32"/>
  <c r="F244" i="32"/>
  <c r="AM244" i="32" s="1"/>
  <c r="N244" i="32"/>
  <c r="I244" i="32"/>
  <c r="J244" i="32"/>
  <c r="L244" i="32"/>
  <c r="H244" i="32"/>
  <c r="O244" i="32"/>
  <c r="G244" i="32"/>
  <c r="Z252" i="50"/>
  <c r="W252" i="50"/>
  <c r="X252" i="50" s="1"/>
  <c r="W242" i="32"/>
  <c r="X242" i="32" s="1"/>
  <c r="Z242" i="32"/>
  <c r="AL244" i="11" a="1"/>
  <c r="AL244" i="11" s="1"/>
  <c r="E245" i="32" s="1"/>
  <c r="AL254" i="59" a="1"/>
  <c r="AL254" i="59" s="1"/>
  <c r="E255" i="50" s="1"/>
  <c r="AM144" i="59" a="1"/>
  <c r="AM144" i="59" s="1"/>
  <c r="AM129" i="11" a="1"/>
  <c r="AM129" i="11" s="1"/>
  <c r="AK255" i="50" l="1"/>
  <c r="T255" i="50"/>
  <c r="AK245" i="32"/>
  <c r="T245" i="32"/>
  <c r="AD243" i="32"/>
  <c r="AM254" i="50"/>
  <c r="U254" i="50"/>
  <c r="AD253" i="50"/>
  <c r="AG253" i="50" s="1"/>
  <c r="AH253" i="50" s="1"/>
  <c r="AI253" i="50" s="1"/>
  <c r="U244" i="32"/>
  <c r="AG242" i="32"/>
  <c r="AH242" i="32" s="1"/>
  <c r="AL242" i="32"/>
  <c r="AI241" i="32"/>
  <c r="AN241" i="32" s="1"/>
  <c r="AP251" i="50"/>
  <c r="AL252" i="50"/>
  <c r="Q244" i="32"/>
  <c r="P244" i="32" s="1"/>
  <c r="O255" i="50"/>
  <c r="AJ253" i="50"/>
  <c r="C253" i="50"/>
  <c r="AJ243" i="32"/>
  <c r="C243" i="32"/>
  <c r="S254" i="50"/>
  <c r="V253" i="50"/>
  <c r="S244" i="32"/>
  <c r="V244" i="32" s="1"/>
  <c r="A245" i="32"/>
  <c r="B245" i="32"/>
  <c r="R245" i="32" s="1"/>
  <c r="B255" i="50"/>
  <c r="R255" i="50" s="1"/>
  <c r="F255" i="50"/>
  <c r="G255" i="50"/>
  <c r="J255" i="50"/>
  <c r="N255" i="50"/>
  <c r="H255" i="50"/>
  <c r="I255" i="50"/>
  <c r="A255" i="50"/>
  <c r="Q255" i="50" s="1"/>
  <c r="P255" i="50" s="1"/>
  <c r="K255" i="50"/>
  <c r="M255" i="50"/>
  <c r="L255" i="50"/>
  <c r="I245" i="32"/>
  <c r="K245" i="32"/>
  <c r="L245" i="32"/>
  <c r="M245" i="32"/>
  <c r="N245" i="32"/>
  <c r="O245" i="32"/>
  <c r="G245" i="32"/>
  <c r="H245" i="32"/>
  <c r="J245" i="32"/>
  <c r="F245" i="32"/>
  <c r="AM245" i="32" s="1"/>
  <c r="Z253" i="50"/>
  <c r="W253" i="50"/>
  <c r="X253" i="50" s="1"/>
  <c r="W243" i="32"/>
  <c r="X243" i="32" s="1"/>
  <c r="Z243" i="32"/>
  <c r="AL245" i="11" a="1"/>
  <c r="AL245" i="11" s="1"/>
  <c r="E246" i="32" s="1"/>
  <c r="AL255" i="59" a="1"/>
  <c r="AL255" i="59" s="1"/>
  <c r="E256" i="50" s="1"/>
  <c r="AM145" i="59" a="1"/>
  <c r="AM145" i="59" s="1"/>
  <c r="AM130" i="11" a="1"/>
  <c r="AM130" i="11" s="1"/>
  <c r="AK256" i="50" l="1"/>
  <c r="T256" i="50"/>
  <c r="AK246" i="32"/>
  <c r="T246" i="32"/>
  <c r="AD244" i="32"/>
  <c r="AM255" i="50"/>
  <c r="U255" i="50"/>
  <c r="AD254" i="50"/>
  <c r="AG254" i="50" s="1"/>
  <c r="AH254" i="50" s="1"/>
  <c r="AI254" i="50" s="1"/>
  <c r="U245" i="32"/>
  <c r="AG243" i="32"/>
  <c r="AH243" i="32" s="1"/>
  <c r="AL243" i="32"/>
  <c r="AI242" i="32"/>
  <c r="AN242" i="32" s="1"/>
  <c r="AP252" i="50"/>
  <c r="AL253" i="50"/>
  <c r="Q245" i="32"/>
  <c r="P245" i="32" s="1"/>
  <c r="O256" i="50"/>
  <c r="AJ254" i="50"/>
  <c r="C254" i="50"/>
  <c r="AJ244" i="32"/>
  <c r="C244" i="32"/>
  <c r="S255" i="50"/>
  <c r="V254" i="50"/>
  <c r="S245" i="32"/>
  <c r="V245" i="32" s="1"/>
  <c r="A246" i="32"/>
  <c r="B246" i="32"/>
  <c r="R246" i="32" s="1"/>
  <c r="B256" i="50"/>
  <c r="R256" i="50" s="1"/>
  <c r="M256" i="50"/>
  <c r="N256" i="50"/>
  <c r="J256" i="50"/>
  <c r="I256" i="50"/>
  <c r="K256" i="50"/>
  <c r="G256" i="50"/>
  <c r="H256" i="50"/>
  <c r="L256" i="50"/>
  <c r="A256" i="50"/>
  <c r="Q256" i="50" s="1"/>
  <c r="P256" i="50" s="1"/>
  <c r="F256" i="50"/>
  <c r="G246" i="32"/>
  <c r="O246" i="32"/>
  <c r="I246" i="32"/>
  <c r="J246" i="32"/>
  <c r="N246" i="32"/>
  <c r="F246" i="32"/>
  <c r="AM246" i="32" s="1"/>
  <c r="K246" i="32"/>
  <c r="L246" i="32"/>
  <c r="H246" i="32"/>
  <c r="M246" i="32"/>
  <c r="W254" i="50"/>
  <c r="X254" i="50" s="1"/>
  <c r="Z254" i="50"/>
  <c r="W244" i="32"/>
  <c r="X244" i="32" s="1"/>
  <c r="Z244" i="32"/>
  <c r="AL246" i="11" a="1"/>
  <c r="AL246" i="11" s="1"/>
  <c r="E247" i="32" s="1"/>
  <c r="AL256" i="59" a="1"/>
  <c r="AL256" i="59" s="1"/>
  <c r="E257" i="50" s="1"/>
  <c r="AM146" i="59" a="1"/>
  <c r="AM146" i="59" s="1"/>
  <c r="AM131" i="11" a="1"/>
  <c r="AM131" i="11" s="1"/>
  <c r="T257" i="50" l="1"/>
  <c r="AK257" i="50"/>
  <c r="AK247" i="32"/>
  <c r="T247" i="32"/>
  <c r="AD245" i="32"/>
  <c r="AM256" i="50"/>
  <c r="U256" i="50"/>
  <c r="AD255" i="50"/>
  <c r="AG255" i="50" s="1"/>
  <c r="AH255" i="50" s="1"/>
  <c r="AI255" i="50" s="1"/>
  <c r="U246" i="32"/>
  <c r="AG244" i="32"/>
  <c r="AH244" i="32" s="1"/>
  <c r="AL244" i="32"/>
  <c r="AI243" i="32"/>
  <c r="AN243" i="32" s="1"/>
  <c r="AP253" i="50"/>
  <c r="AL254" i="50"/>
  <c r="Q246" i="32"/>
  <c r="P246" i="32" s="1"/>
  <c r="O257" i="50"/>
  <c r="AJ255" i="50"/>
  <c r="C255" i="50"/>
  <c r="AJ245" i="32"/>
  <c r="C245" i="32"/>
  <c r="V255" i="50"/>
  <c r="S256" i="50"/>
  <c r="S246" i="32"/>
  <c r="V246" i="32" s="1"/>
  <c r="A247" i="32"/>
  <c r="B247" i="32"/>
  <c r="R247" i="32" s="1"/>
  <c r="G257" i="50"/>
  <c r="J257" i="50"/>
  <c r="A257" i="50"/>
  <c r="Q257" i="50" s="1"/>
  <c r="P257" i="50" s="1"/>
  <c r="N257" i="50"/>
  <c r="F257" i="50"/>
  <c r="L257" i="50"/>
  <c r="I257" i="50"/>
  <c r="B257" i="50"/>
  <c r="R257" i="50" s="1"/>
  <c r="M257" i="50"/>
  <c r="K257" i="50"/>
  <c r="H257" i="50"/>
  <c r="M247" i="32"/>
  <c r="G247" i="32"/>
  <c r="O247" i="32"/>
  <c r="H247" i="32"/>
  <c r="F247" i="32"/>
  <c r="AM247" i="32" s="1"/>
  <c r="I247" i="32"/>
  <c r="J247" i="32"/>
  <c r="K247" i="32"/>
  <c r="L247" i="32"/>
  <c r="N247" i="32"/>
  <c r="W255" i="50"/>
  <c r="X255" i="50" s="1"/>
  <c r="Z255" i="50"/>
  <c r="W245" i="32"/>
  <c r="X245" i="32" s="1"/>
  <c r="Z245" i="32"/>
  <c r="AL247" i="11" a="1"/>
  <c r="AL247" i="11" s="1"/>
  <c r="AL257" i="59" a="1"/>
  <c r="AL257" i="59" s="1"/>
  <c r="E258" i="50" s="1"/>
  <c r="AM147" i="59" a="1"/>
  <c r="AM147" i="59" s="1"/>
  <c r="AM132" i="11" a="1"/>
  <c r="AM132" i="11" s="1"/>
  <c r="T258" i="50" l="1"/>
  <c r="AK258" i="50"/>
  <c r="AD246" i="32"/>
  <c r="AM257" i="50"/>
  <c r="U257" i="50"/>
  <c r="AD256" i="50"/>
  <c r="AG256" i="50" s="1"/>
  <c r="AH256" i="50" s="1"/>
  <c r="AI256" i="50" s="1"/>
  <c r="U247" i="32"/>
  <c r="AG245" i="32"/>
  <c r="AH245" i="32" s="1"/>
  <c r="AL245" i="32"/>
  <c r="AI244" i="32"/>
  <c r="AN244" i="32" s="1"/>
  <c r="AP254" i="50"/>
  <c r="AL255" i="50"/>
  <c r="Q247" i="32"/>
  <c r="P247" i="32" s="1"/>
  <c r="O258" i="50"/>
  <c r="AJ256" i="50"/>
  <c r="C256" i="50"/>
  <c r="AJ246" i="32"/>
  <c r="C246" i="32"/>
  <c r="V256" i="50"/>
  <c r="S257" i="50"/>
  <c r="S247" i="32"/>
  <c r="F258" i="50"/>
  <c r="N258" i="50"/>
  <c r="L258" i="50"/>
  <c r="B258" i="50"/>
  <c r="R258" i="50" s="1"/>
  <c r="I258" i="50"/>
  <c r="M258" i="50"/>
  <c r="J258" i="50"/>
  <c r="G258" i="50"/>
  <c r="H258" i="50"/>
  <c r="K258" i="50"/>
  <c r="A258" i="50"/>
  <c r="Q258" i="50" s="1"/>
  <c r="P258" i="50" s="1"/>
  <c r="Z256" i="50"/>
  <c r="W256" i="50"/>
  <c r="X256" i="50" s="1"/>
  <c r="E248" i="32"/>
  <c r="W246" i="32"/>
  <c r="X246" i="32" s="1"/>
  <c r="Z246" i="32"/>
  <c r="AL248" i="11" a="1"/>
  <c r="AL248" i="11" s="1"/>
  <c r="E249" i="32" s="1"/>
  <c r="AL258" i="59" a="1"/>
  <c r="AL258" i="59" s="1"/>
  <c r="AM148" i="59" a="1"/>
  <c r="AM148" i="59" s="1"/>
  <c r="AM133" i="11" a="1"/>
  <c r="AM133" i="11" s="1"/>
  <c r="AK249" i="32" l="1"/>
  <c r="T249" i="32"/>
  <c r="AK248" i="32"/>
  <c r="T248" i="32"/>
  <c r="AD247" i="32"/>
  <c r="AM258" i="50"/>
  <c r="U258" i="50"/>
  <c r="AD257" i="50"/>
  <c r="AG246" i="32"/>
  <c r="AH246" i="32" s="1"/>
  <c r="AL246" i="32"/>
  <c r="AI245" i="32"/>
  <c r="AN245" i="32" s="1"/>
  <c r="AP255" i="50"/>
  <c r="AL256" i="50"/>
  <c r="C247" i="32"/>
  <c r="V247" i="32"/>
  <c r="AJ257" i="50"/>
  <c r="C257" i="50"/>
  <c r="AJ247" i="32"/>
  <c r="S258" i="50"/>
  <c r="V257" i="50"/>
  <c r="A249" i="32"/>
  <c r="B249" i="32"/>
  <c r="R249" i="32" s="1"/>
  <c r="A248" i="32"/>
  <c r="B248" i="32"/>
  <c r="R248" i="32" s="1"/>
  <c r="K248" i="32"/>
  <c r="M248" i="32"/>
  <c r="F248" i="32"/>
  <c r="AM248" i="32" s="1"/>
  <c r="N248" i="32"/>
  <c r="H248" i="32"/>
  <c r="I248" i="32"/>
  <c r="J248" i="32"/>
  <c r="L248" i="32"/>
  <c r="G248" i="32"/>
  <c r="O248" i="32"/>
  <c r="I249" i="32"/>
  <c r="K249" i="32"/>
  <c r="L249" i="32"/>
  <c r="J249" i="32"/>
  <c r="M249" i="32"/>
  <c r="N249" i="32"/>
  <c r="O249" i="32"/>
  <c r="F249" i="32"/>
  <c r="AM249" i="32" s="1"/>
  <c r="G249" i="32"/>
  <c r="H249" i="32"/>
  <c r="Z257" i="50"/>
  <c r="W257" i="50"/>
  <c r="X257" i="50" s="1"/>
  <c r="W247" i="32"/>
  <c r="X247" i="32" s="1"/>
  <c r="Z247" i="32"/>
  <c r="AL249" i="11" a="1"/>
  <c r="AL249" i="11" s="1"/>
  <c r="AM149" i="59" a="1"/>
  <c r="AM149" i="59" s="1"/>
  <c r="AM134" i="11" a="1"/>
  <c r="AM134" i="11" s="1"/>
  <c r="AG257" i="50" l="1"/>
  <c r="AH257" i="50" s="1"/>
  <c r="AI257" i="50" s="1"/>
  <c r="AD2" i="50"/>
  <c r="AD258" i="50"/>
  <c r="AG258" i="50" s="1"/>
  <c r="AH258" i="50" s="1"/>
  <c r="AI258" i="50" s="1"/>
  <c r="U248" i="32"/>
  <c r="U249" i="32"/>
  <c r="AG247" i="32"/>
  <c r="AH247" i="32" s="1"/>
  <c r="AL247" i="32"/>
  <c r="AI246" i="32"/>
  <c r="AN246" i="32" s="1"/>
  <c r="AP256" i="50"/>
  <c r="AL257" i="50"/>
  <c r="Q249" i="32"/>
  <c r="P249" i="32" s="1"/>
  <c r="Q248" i="32"/>
  <c r="P248" i="32" s="1"/>
  <c r="AB154" i="22"/>
  <c r="AB148" i="22"/>
  <c r="AA151" i="22"/>
  <c r="AB158" i="22"/>
  <c r="AB149" i="22"/>
  <c r="AB157" i="22"/>
  <c r="AA147" i="22"/>
  <c r="AA152" i="22"/>
  <c r="AA155" i="22"/>
  <c r="AB147" i="22"/>
  <c r="AA158" i="22"/>
  <c r="AB155" i="22"/>
  <c r="AB153" i="22"/>
  <c r="AA157" i="22"/>
  <c r="AC146" i="22"/>
  <c r="AE146" i="22" s="1"/>
  <c r="AA153" i="22"/>
  <c r="AB151" i="22"/>
  <c r="AA150" i="22"/>
  <c r="AB156" i="22"/>
  <c r="AA154" i="22"/>
  <c r="AB152" i="22"/>
  <c r="AB146" i="22"/>
  <c r="AA149" i="22"/>
  <c r="AA148" i="22"/>
  <c r="AA156" i="22"/>
  <c r="AB150" i="22"/>
  <c r="AJ258" i="50"/>
  <c r="C258" i="50"/>
  <c r="V258" i="50"/>
  <c r="S249" i="32"/>
  <c r="S248" i="32"/>
  <c r="V248" i="32" s="1"/>
  <c r="Z258" i="50"/>
  <c r="W258" i="50"/>
  <c r="X258" i="50" s="1"/>
  <c r="E250" i="32"/>
  <c r="Z120" i="22"/>
  <c r="AB120" i="22" s="1"/>
  <c r="Y120" i="22"/>
  <c r="AA120" i="22" s="1"/>
  <c r="Y113" i="22"/>
  <c r="AA113" i="22" s="1"/>
  <c r="Y121" i="22"/>
  <c r="AA121" i="22" s="1"/>
  <c r="Z121" i="22"/>
  <c r="AB121" i="22" s="1"/>
  <c r="Y112" i="22"/>
  <c r="AA112" i="22" s="1"/>
  <c r="BC66" i="22" s="1"/>
  <c r="Z113" i="22"/>
  <c r="AB113" i="22" s="1"/>
  <c r="Z112" i="22"/>
  <c r="AB112" i="22" s="1"/>
  <c r="Z116" i="22"/>
  <c r="AB116" i="22" s="1"/>
  <c r="Y116" i="22"/>
  <c r="AA116" i="22" s="1"/>
  <c r="BC67" i="22" s="1"/>
  <c r="Y136" i="22"/>
  <c r="Y126" i="22"/>
  <c r="AA126" i="22" s="1"/>
  <c r="Y135" i="22"/>
  <c r="Z132" i="22"/>
  <c r="Z135" i="22"/>
  <c r="Y130" i="22"/>
  <c r="AA130" i="22" s="1"/>
  <c r="BC100" i="22" s="1"/>
  <c r="Z136" i="22"/>
  <c r="Y134" i="22"/>
  <c r="Z131" i="22"/>
  <c r="Y132" i="22"/>
  <c r="Z134" i="22"/>
  <c r="Y131" i="22"/>
  <c r="Z129" i="22"/>
  <c r="AB129" i="22" s="1"/>
  <c r="Z130" i="22"/>
  <c r="AB130" i="22" s="1"/>
  <c r="Y133" i="22"/>
  <c r="Z133" i="22"/>
  <c r="Y129" i="22"/>
  <c r="AA129" i="22" s="1"/>
  <c r="Z126" i="22"/>
  <c r="AB126" i="22" s="1"/>
  <c r="Z128" i="22"/>
  <c r="AB128" i="22" s="1"/>
  <c r="Y128" i="22"/>
  <c r="AA128" i="22" s="1"/>
  <c r="AL250" i="11" a="1"/>
  <c r="AL250" i="11" s="1"/>
  <c r="E251" i="32" s="1"/>
  <c r="Y49" i="22"/>
  <c r="Y119" i="22"/>
  <c r="AA119" i="22" s="1"/>
  <c r="Z124" i="22"/>
  <c r="AB124" i="22" s="1"/>
  <c r="Y110" i="22"/>
  <c r="AA110" i="22" s="1"/>
  <c r="BC64" i="22" s="1"/>
  <c r="Y105" i="22"/>
  <c r="AA105" i="22" s="1"/>
  <c r="BC62" i="22" s="1"/>
  <c r="Y104" i="22"/>
  <c r="AA104" i="22" s="1"/>
  <c r="Z127" i="22"/>
  <c r="Y123" i="22"/>
  <c r="AA123" i="22" s="1"/>
  <c r="Z115" i="22"/>
  <c r="AB115" i="22" s="1"/>
  <c r="Y100" i="22"/>
  <c r="AA100" i="22" s="1"/>
  <c r="Z123" i="22"/>
  <c r="AB123" i="22" s="1"/>
  <c r="Y114" i="22"/>
  <c r="AA114" i="22" s="1"/>
  <c r="Y115" i="22"/>
  <c r="AA115" i="22" s="1"/>
  <c r="BC24" i="22" s="1"/>
  <c r="Z117" i="22"/>
  <c r="AB117" i="22" s="1"/>
  <c r="Y103" i="22"/>
  <c r="AA103" i="22" s="1"/>
  <c r="BC61" i="22" s="1"/>
  <c r="Z125" i="22"/>
  <c r="AB125" i="22" s="1"/>
  <c r="Z111" i="22"/>
  <c r="AB111" i="22" s="1"/>
  <c r="Z103" i="22"/>
  <c r="AB103" i="22" s="1"/>
  <c r="Z110" i="22"/>
  <c r="AB110" i="22" s="1"/>
  <c r="Z107" i="22"/>
  <c r="AB107" i="22" s="1"/>
  <c r="Z122" i="22"/>
  <c r="AB122" i="22" s="1"/>
  <c r="Z101" i="22"/>
  <c r="AB101" i="22" s="1"/>
  <c r="Y118" i="22"/>
  <c r="AA118" i="22" s="1"/>
  <c r="BC69" i="22" s="1"/>
  <c r="Z114" i="22"/>
  <c r="AB114" i="22" s="1"/>
  <c r="Z106" i="22"/>
  <c r="AB106" i="22" s="1"/>
  <c r="Y109" i="22"/>
  <c r="AA109" i="22" s="1"/>
  <c r="Y122" i="22"/>
  <c r="AA122" i="22" s="1"/>
  <c r="Y107" i="22"/>
  <c r="AA107" i="22" s="1"/>
  <c r="BC63" i="22" s="1"/>
  <c r="Z119" i="22"/>
  <c r="AB119" i="22" s="1"/>
  <c r="Y108" i="22"/>
  <c r="AA108" i="22" s="1"/>
  <c r="Z109" i="22"/>
  <c r="AB109" i="22" s="1"/>
  <c r="Y127" i="22"/>
  <c r="Y101" i="22"/>
  <c r="AA101" i="22" s="1"/>
  <c r="BC60" i="22" s="1"/>
  <c r="Z105" i="22"/>
  <c r="AB105" i="22" s="1"/>
  <c r="Y124" i="22"/>
  <c r="AA124" i="22" s="1"/>
  <c r="Y111" i="22"/>
  <c r="AA111" i="22" s="1"/>
  <c r="BC65" i="22" s="1"/>
  <c r="Y125" i="22"/>
  <c r="AA125" i="22" s="1"/>
  <c r="Y117" i="22"/>
  <c r="AA117" i="22" s="1"/>
  <c r="BC68" i="22" s="1"/>
  <c r="Z104" i="22"/>
  <c r="AB104" i="22" s="1"/>
  <c r="Z118" i="22"/>
  <c r="AB118" i="22" s="1"/>
  <c r="Z100" i="22"/>
  <c r="AB100" i="22" s="1"/>
  <c r="Z102" i="22"/>
  <c r="AB102" i="22" s="1"/>
  <c r="Y106" i="22"/>
  <c r="AA106" i="22" s="1"/>
  <c r="Y102" i="22"/>
  <c r="AA102" i="22" s="1"/>
  <c r="Z108" i="22"/>
  <c r="AB108" i="22" s="1"/>
  <c r="Z20" i="22"/>
  <c r="Z82" i="22"/>
  <c r="Z29" i="22"/>
  <c r="Z88" i="22"/>
  <c r="Z55" i="22"/>
  <c r="Y50" i="22"/>
  <c r="Y27" i="22"/>
  <c r="Z65" i="22"/>
  <c r="Y58" i="22"/>
  <c r="Y31" i="22"/>
  <c r="Z99" i="22"/>
  <c r="Y80" i="22"/>
  <c r="Z97" i="22"/>
  <c r="Y34" i="22"/>
  <c r="Z85" i="22"/>
  <c r="Y4" i="22"/>
  <c r="Y44" i="22"/>
  <c r="Z72" i="22"/>
  <c r="Z54" i="22"/>
  <c r="Y14" i="22"/>
  <c r="Y17" i="22"/>
  <c r="Y62" i="22"/>
  <c r="Y33" i="22"/>
  <c r="Y19" i="22"/>
  <c r="Y54" i="22"/>
  <c r="Z9" i="22"/>
  <c r="Y21" i="22"/>
  <c r="Z95" i="22"/>
  <c r="Z74" i="22"/>
  <c r="Y71" i="22"/>
  <c r="Z46" i="22"/>
  <c r="Z21" i="22"/>
  <c r="Z33" i="22"/>
  <c r="Y88" i="22"/>
  <c r="Z4" i="22"/>
  <c r="Z92" i="22"/>
  <c r="Z87" i="22"/>
  <c r="Y8" i="22"/>
  <c r="Y13" i="22"/>
  <c r="Y9" i="22"/>
  <c r="Y92" i="22"/>
  <c r="Y84" i="22"/>
  <c r="Z98" i="22"/>
  <c r="Z62" i="22"/>
  <c r="Y91" i="22"/>
  <c r="Z38" i="22"/>
  <c r="Z57" i="22"/>
  <c r="Z77" i="22"/>
  <c r="Y28" i="22"/>
  <c r="Z47" i="22"/>
  <c r="Z69" i="22"/>
  <c r="Y53" i="22"/>
  <c r="Z93" i="22"/>
  <c r="Z50" i="22"/>
  <c r="Y98" i="22"/>
  <c r="Z10" i="22"/>
  <c r="Y22" i="22"/>
  <c r="Z83" i="22"/>
  <c r="Y95" i="22"/>
  <c r="Y68" i="22"/>
  <c r="Y23" i="22"/>
  <c r="Z13" i="22"/>
  <c r="Z39" i="22"/>
  <c r="Z45" i="22"/>
  <c r="Y76" i="22"/>
  <c r="Y69" i="22"/>
  <c r="Z30" i="22"/>
  <c r="Y74" i="22"/>
  <c r="Z36" i="22"/>
  <c r="Y96" i="22"/>
  <c r="Y66" i="22"/>
  <c r="AA66" i="22" s="1"/>
  <c r="Y75" i="22"/>
  <c r="Y46" i="22"/>
  <c r="Y77" i="22"/>
  <c r="Y5" i="22"/>
  <c r="Z80" i="22"/>
  <c r="Z73" i="22"/>
  <c r="Y32" i="22"/>
  <c r="Y52" i="22"/>
  <c r="Z17" i="22"/>
  <c r="Y60" i="22"/>
  <c r="Y67" i="22"/>
  <c r="Y87" i="22"/>
  <c r="Z25" i="22"/>
  <c r="Y59" i="22"/>
  <c r="Z63" i="22"/>
  <c r="Y64" i="22"/>
  <c r="Z68" i="22"/>
  <c r="Z8" i="22"/>
  <c r="Z7" i="22"/>
  <c r="Z43" i="22"/>
  <c r="Y30" i="22"/>
  <c r="Z41" i="22"/>
  <c r="Z96" i="22"/>
  <c r="Z42" i="22"/>
  <c r="Z86" i="22"/>
  <c r="Z16" i="22"/>
  <c r="Y6" i="22"/>
  <c r="Y83" i="22"/>
  <c r="Y79" i="22"/>
  <c r="Z37" i="22"/>
  <c r="Z49" i="22"/>
  <c r="Z52" i="22"/>
  <c r="Y35" i="22"/>
  <c r="Y65" i="22"/>
  <c r="Z60" i="22"/>
  <c r="Z67" i="22"/>
  <c r="Z75" i="22"/>
  <c r="Z22" i="22"/>
  <c r="Z56" i="22"/>
  <c r="Z35" i="22"/>
  <c r="Y70" i="22"/>
  <c r="Y72" i="22"/>
  <c r="Y25" i="22"/>
  <c r="Z61" i="22"/>
  <c r="Z44" i="22"/>
  <c r="Z5" i="22"/>
  <c r="Z28" i="22"/>
  <c r="Y99" i="22"/>
  <c r="Y42" i="22"/>
  <c r="Y10" i="22"/>
  <c r="Y85" i="22"/>
  <c r="Y86" i="22"/>
  <c r="Y39" i="22"/>
  <c r="Z34" i="22"/>
  <c r="Z76" i="22"/>
  <c r="Z58" i="22"/>
  <c r="Y43" i="22"/>
  <c r="Y16" i="22"/>
  <c r="Y55" i="22"/>
  <c r="Y12" i="22"/>
  <c r="Z31" i="22"/>
  <c r="Z81" i="22"/>
  <c r="Z27" i="22"/>
  <c r="Y38" i="22"/>
  <c r="Y93" i="22"/>
  <c r="Y37" i="22"/>
  <c r="Z84" i="22"/>
  <c r="Y40" i="22"/>
  <c r="Z23" i="22"/>
  <c r="Y57" i="22"/>
  <c r="Y81" i="22"/>
  <c r="Z6" i="22"/>
  <c r="Z18" i="22"/>
  <c r="Y82" i="22"/>
  <c r="Z91" i="22"/>
  <c r="Z53" i="22"/>
  <c r="Y47" i="22"/>
  <c r="Y73" i="22"/>
  <c r="Z32" i="22"/>
  <c r="Y56" i="22"/>
  <c r="Y11" i="22"/>
  <c r="Y61" i="22"/>
  <c r="Y63" i="22"/>
  <c r="Z64" i="22"/>
  <c r="Z70" i="22"/>
  <c r="Z26" i="22"/>
  <c r="Y97" i="22"/>
  <c r="Z71" i="22"/>
  <c r="Y20" i="22"/>
  <c r="Z89" i="22"/>
  <c r="Z14" i="22"/>
  <c r="Y7" i="22"/>
  <c r="Z51" i="22"/>
  <c r="Z78" i="22"/>
  <c r="Z66" i="22"/>
  <c r="AB66" i="22" s="1"/>
  <c r="Y18" i="22"/>
  <c r="Z59" i="22"/>
  <c r="Y41" i="22"/>
  <c r="Z48" i="22"/>
  <c r="Y51" i="22"/>
  <c r="Z94" i="22"/>
  <c r="Y90" i="22"/>
  <c r="Y48" i="22"/>
  <c r="Y26" i="22"/>
  <c r="Z11" i="22"/>
  <c r="Y45" i="22"/>
  <c r="Y94" i="22"/>
  <c r="Y89" i="22"/>
  <c r="Y29" i="22"/>
  <c r="Z90" i="22"/>
  <c r="Z12" i="22"/>
  <c r="Z79" i="22"/>
  <c r="Z19" i="22"/>
  <c r="Y78" i="22"/>
  <c r="Z40" i="22"/>
  <c r="Y36" i="22"/>
  <c r="Y24" i="22"/>
  <c r="AM150" i="59" a="1"/>
  <c r="AM150" i="59" s="1"/>
  <c r="AM135" i="11" a="1"/>
  <c r="AM135" i="11" s="1"/>
  <c r="AK251" i="32" l="1"/>
  <c r="T251" i="32"/>
  <c r="AK250" i="32"/>
  <c r="T250" i="32"/>
  <c r="AD249" i="32"/>
  <c r="AD248" i="32"/>
  <c r="AI247" i="32"/>
  <c r="AN247" i="32" s="1"/>
  <c r="AP257" i="50"/>
  <c r="AL258" i="50"/>
  <c r="AC148" i="22"/>
  <c r="AE148" i="22" s="1"/>
  <c r="E121" i="36"/>
  <c r="AC153" i="22"/>
  <c r="AE153" i="22" s="1"/>
  <c r="E126" i="36"/>
  <c r="AC152" i="22"/>
  <c r="AE152" i="22" s="1"/>
  <c r="E125" i="36"/>
  <c r="AC149" i="22"/>
  <c r="AE149" i="22" s="1"/>
  <c r="E122" i="36"/>
  <c r="AC147" i="22"/>
  <c r="AE147" i="22" s="1"/>
  <c r="E120" i="36"/>
  <c r="AD146" i="22"/>
  <c r="AF146" i="22" s="1"/>
  <c r="F119" i="36"/>
  <c r="AC157" i="22"/>
  <c r="AE157" i="22" s="1"/>
  <c r="E130" i="36"/>
  <c r="AD157" i="22"/>
  <c r="AF157" i="22" s="1"/>
  <c r="F130" i="36"/>
  <c r="AD152" i="22"/>
  <c r="AF152" i="22" s="1"/>
  <c r="F125" i="36"/>
  <c r="AD153" i="22"/>
  <c r="AF153" i="22" s="1"/>
  <c r="F126" i="36"/>
  <c r="AD149" i="22"/>
  <c r="AF149" i="22" s="1"/>
  <c r="F122" i="36"/>
  <c r="AC154" i="22"/>
  <c r="AE154" i="22" s="1"/>
  <c r="E127" i="36"/>
  <c r="AD155" i="22"/>
  <c r="AF155" i="22" s="1"/>
  <c r="F128" i="36"/>
  <c r="AD158" i="22"/>
  <c r="AF158" i="22" s="1"/>
  <c r="F131" i="36"/>
  <c r="AD156" i="22"/>
  <c r="AF156" i="22" s="1"/>
  <c r="F129" i="36"/>
  <c r="AC158" i="22"/>
  <c r="AE158" i="22" s="1"/>
  <c r="E131" i="36"/>
  <c r="AC151" i="22"/>
  <c r="AE151" i="22" s="1"/>
  <c r="E124" i="36"/>
  <c r="AD150" i="22"/>
  <c r="AF150" i="22" s="1"/>
  <c r="F123" i="36"/>
  <c r="AC150" i="22"/>
  <c r="AE150" i="22" s="1"/>
  <c r="E123" i="36"/>
  <c r="AD147" i="22"/>
  <c r="AF147" i="22" s="1"/>
  <c r="F120" i="36"/>
  <c r="AD148" i="22"/>
  <c r="AF148" i="22" s="1"/>
  <c r="F121" i="36"/>
  <c r="AC156" i="22"/>
  <c r="AE156" i="22" s="1"/>
  <c r="E129" i="36"/>
  <c r="AD151" i="22"/>
  <c r="AF151" i="22" s="1"/>
  <c r="F124" i="36"/>
  <c r="AC155" i="22"/>
  <c r="AE155" i="22" s="1"/>
  <c r="E128" i="36"/>
  <c r="AD154" i="22"/>
  <c r="AF154" i="22" s="1"/>
  <c r="F127" i="36"/>
  <c r="C249" i="32"/>
  <c r="V249" i="32"/>
  <c r="AJ248" i="32"/>
  <c r="C248" i="32"/>
  <c r="AJ249" i="32"/>
  <c r="A250" i="32"/>
  <c r="B250" i="32"/>
  <c r="R250" i="32" s="1"/>
  <c r="A251" i="32"/>
  <c r="B251" i="32"/>
  <c r="R251" i="32" s="1"/>
  <c r="G250" i="32"/>
  <c r="O250" i="32"/>
  <c r="I250" i="32"/>
  <c r="J250" i="32"/>
  <c r="M250" i="32"/>
  <c r="N250" i="32"/>
  <c r="L250" i="32"/>
  <c r="F250" i="32"/>
  <c r="AM250" i="32" s="1"/>
  <c r="H250" i="32"/>
  <c r="K250" i="32"/>
  <c r="M251" i="32"/>
  <c r="G251" i="32"/>
  <c r="O251" i="32"/>
  <c r="H251" i="32"/>
  <c r="F251" i="32"/>
  <c r="AM251" i="32" s="1"/>
  <c r="I251" i="32"/>
  <c r="L251" i="32"/>
  <c r="J251" i="32"/>
  <c r="K251" i="32"/>
  <c r="N251" i="32"/>
  <c r="W248" i="32"/>
  <c r="X248" i="32" s="1"/>
  <c r="Z248" i="32"/>
  <c r="AB81" i="22"/>
  <c r="AB22" i="22"/>
  <c r="AB16" i="22"/>
  <c r="AB93" i="22"/>
  <c r="AB74" i="22"/>
  <c r="AB55" i="22"/>
  <c r="AB134" i="22"/>
  <c r="AB19" i="22"/>
  <c r="AB48" i="22"/>
  <c r="AB14" i="22"/>
  <c r="AB32" i="22"/>
  <c r="AB91" i="22"/>
  <c r="AB84" i="22"/>
  <c r="AB27" i="22"/>
  <c r="AB76" i="22"/>
  <c r="AB28" i="22"/>
  <c r="AB56" i="22"/>
  <c r="AB60" i="22"/>
  <c r="AB49" i="22"/>
  <c r="AB96" i="22"/>
  <c r="AB7" i="22"/>
  <c r="AB63" i="22"/>
  <c r="AB13" i="22"/>
  <c r="AB83" i="22"/>
  <c r="AB50" i="22"/>
  <c r="AB47" i="22"/>
  <c r="AB38" i="22"/>
  <c r="AB9" i="22"/>
  <c r="AB72" i="22"/>
  <c r="AB82" i="22"/>
  <c r="AB133" i="22"/>
  <c r="AB132" i="22"/>
  <c r="AB26" i="22"/>
  <c r="AB79" i="22"/>
  <c r="AB11" i="22"/>
  <c r="AB78" i="22"/>
  <c r="AB89" i="22"/>
  <c r="AB34" i="22"/>
  <c r="AB5" i="22"/>
  <c r="AB37" i="22"/>
  <c r="AB41" i="22"/>
  <c r="AB8" i="22"/>
  <c r="AB73" i="22"/>
  <c r="AB36" i="22"/>
  <c r="AB87" i="22"/>
  <c r="AB33" i="22"/>
  <c r="AB97" i="22"/>
  <c r="AB136" i="22"/>
  <c r="AB40" i="22"/>
  <c r="AB12" i="22"/>
  <c r="AB94" i="22"/>
  <c r="AB59" i="22"/>
  <c r="AB51" i="22"/>
  <c r="AB70" i="22"/>
  <c r="AB18" i="22"/>
  <c r="AB23" i="22"/>
  <c r="AB31" i="22"/>
  <c r="AB44" i="22"/>
  <c r="AB75" i="22"/>
  <c r="AB86" i="22"/>
  <c r="AB68" i="22"/>
  <c r="AB25" i="22"/>
  <c r="AB17" i="22"/>
  <c r="AB80" i="22"/>
  <c r="AB45" i="22"/>
  <c r="AB10" i="22"/>
  <c r="AB77" i="22"/>
  <c r="AB62" i="22"/>
  <c r="AB92" i="22"/>
  <c r="AB21" i="22"/>
  <c r="AB95" i="22"/>
  <c r="AB65" i="22"/>
  <c r="AB88" i="22"/>
  <c r="AB20" i="22"/>
  <c r="AB90" i="22"/>
  <c r="AB71" i="22"/>
  <c r="AB64" i="22"/>
  <c r="AB53" i="22"/>
  <c r="AB6" i="22"/>
  <c r="AB58" i="22"/>
  <c r="AB61" i="22"/>
  <c r="AB35" i="22"/>
  <c r="AB67" i="22"/>
  <c r="AB52" i="22"/>
  <c r="AB42" i="22"/>
  <c r="AB43" i="22"/>
  <c r="AB30" i="22"/>
  <c r="AB39" i="22"/>
  <c r="AB69" i="22"/>
  <c r="AB57" i="22"/>
  <c r="AB98" i="22"/>
  <c r="AB46" i="22"/>
  <c r="AB54" i="22"/>
  <c r="AB85" i="22"/>
  <c r="AB99" i="22"/>
  <c r="AB29" i="22"/>
  <c r="AB127" i="22"/>
  <c r="AB131" i="22"/>
  <c r="AB135" i="22"/>
  <c r="AB4" i="22"/>
  <c r="AA45" i="22"/>
  <c r="BC42" i="22" s="1"/>
  <c r="AA85" i="22"/>
  <c r="BC50" i="22" s="1"/>
  <c r="AA6" i="22"/>
  <c r="BC79" i="22" s="1"/>
  <c r="AA67" i="22"/>
  <c r="AA69" i="22"/>
  <c r="AA8" i="22"/>
  <c r="AA50" i="22"/>
  <c r="AA134" i="22"/>
  <c r="AC134" i="22" s="1"/>
  <c r="AA90" i="22"/>
  <c r="BC54" i="22" s="1"/>
  <c r="AA73" i="22"/>
  <c r="BC129" i="22" s="1"/>
  <c r="AA10" i="22"/>
  <c r="BC111" i="22" s="1"/>
  <c r="AA72" i="22"/>
  <c r="BC128" i="22" s="1"/>
  <c r="AA65" i="22"/>
  <c r="BC94" i="22" s="1"/>
  <c r="AA59" i="22"/>
  <c r="BC152" i="22" s="1"/>
  <c r="AA60" i="22"/>
  <c r="BC121" i="22" s="1"/>
  <c r="AA46" i="22"/>
  <c r="BC43" i="22" s="1"/>
  <c r="AA76" i="22"/>
  <c r="BC155" i="22" s="1"/>
  <c r="AA23" i="22"/>
  <c r="BC33" i="22" s="1"/>
  <c r="AA22" i="22"/>
  <c r="BC82" i="22" s="1"/>
  <c r="AA28" i="22"/>
  <c r="BC85" i="22" s="1"/>
  <c r="AA91" i="22"/>
  <c r="BC134" i="22" s="1"/>
  <c r="AA92" i="22"/>
  <c r="BC95" i="22" s="1"/>
  <c r="AA54" i="22"/>
  <c r="BC47" i="22" s="1"/>
  <c r="AA17" i="22"/>
  <c r="BC32" i="22" s="1"/>
  <c r="AA44" i="22"/>
  <c r="BC41" i="22" s="1"/>
  <c r="AA58" i="22"/>
  <c r="BC122" i="22" s="1"/>
  <c r="AA49" i="22"/>
  <c r="BC44" i="22" s="1"/>
  <c r="AA133" i="22"/>
  <c r="AC133" i="22" s="1"/>
  <c r="AA135" i="22"/>
  <c r="AC135" i="22" s="1"/>
  <c r="AA63" i="22"/>
  <c r="BC93" i="22" s="1"/>
  <c r="AA77" i="22"/>
  <c r="BC132" i="22" s="1"/>
  <c r="AA84" i="22"/>
  <c r="AA36" i="22"/>
  <c r="BC36" i="22" s="1"/>
  <c r="AA82" i="22"/>
  <c r="AA37" i="22"/>
  <c r="BC145" i="22" s="1"/>
  <c r="AA93" i="22"/>
  <c r="BC96" i="22" s="1"/>
  <c r="AA39" i="22"/>
  <c r="AA79" i="22"/>
  <c r="AA30" i="22"/>
  <c r="BC87" i="22" s="1"/>
  <c r="AA75" i="22"/>
  <c r="BC131" i="22" s="1"/>
  <c r="AA74" i="22"/>
  <c r="BC130" i="22" s="1"/>
  <c r="AA68" i="22"/>
  <c r="BC125" i="22" s="1"/>
  <c r="AA53" i="22"/>
  <c r="BC120" i="22" s="1"/>
  <c r="AA9" i="22"/>
  <c r="BC115" i="22" s="1"/>
  <c r="AA19" i="22"/>
  <c r="AA14" i="22"/>
  <c r="BC30" i="22" s="1"/>
  <c r="AA80" i="22"/>
  <c r="AA127" i="22"/>
  <c r="BC70" i="22" s="1"/>
  <c r="AA132" i="22"/>
  <c r="AC132" i="22" s="1"/>
  <c r="AA24" i="22"/>
  <c r="BC83" i="22" s="1"/>
  <c r="AA29" i="22"/>
  <c r="BC86" i="22" s="1"/>
  <c r="AA48" i="22"/>
  <c r="BC91" i="22" s="1"/>
  <c r="AA97" i="22"/>
  <c r="BC57" i="22" s="1"/>
  <c r="AA81" i="22"/>
  <c r="AA55" i="22"/>
  <c r="AA25" i="22"/>
  <c r="BC34" i="22" s="1"/>
  <c r="AA32" i="22"/>
  <c r="BC35" i="22" s="1"/>
  <c r="AA96" i="22"/>
  <c r="BC56" i="22" s="1"/>
  <c r="AA88" i="22"/>
  <c r="BC52" i="22" s="1"/>
  <c r="AA71" i="22"/>
  <c r="BC49" i="22" s="1"/>
  <c r="AA62" i="22"/>
  <c r="BC153" i="22" s="1"/>
  <c r="AA34" i="22"/>
  <c r="AA31" i="22"/>
  <c r="BC88" i="22" s="1"/>
  <c r="AA131" i="22"/>
  <c r="AC131" i="22" s="1"/>
  <c r="AA89" i="22"/>
  <c r="BC53" i="22" s="1"/>
  <c r="AA41" i="22"/>
  <c r="BC38" i="22" s="1"/>
  <c r="AA61" i="22"/>
  <c r="AA57" i="22"/>
  <c r="BC92" i="22" s="1"/>
  <c r="AA16" i="22"/>
  <c r="BC31" i="22" s="1"/>
  <c r="AA94" i="22"/>
  <c r="BC97" i="22" s="1"/>
  <c r="AA20" i="22"/>
  <c r="BC116" i="22" s="1"/>
  <c r="AA11" i="22"/>
  <c r="BC112" i="22" s="1"/>
  <c r="AA47" i="22"/>
  <c r="BC90" i="22" s="1"/>
  <c r="AA43" i="22"/>
  <c r="BC40" i="22" s="1"/>
  <c r="AA42" i="22"/>
  <c r="BC39" i="22" s="1"/>
  <c r="AA70" i="22"/>
  <c r="BC127" i="22" s="1"/>
  <c r="AA35" i="22"/>
  <c r="BC118" i="22" s="1"/>
  <c r="AA78" i="22"/>
  <c r="BC133" i="22" s="1"/>
  <c r="AA26" i="22"/>
  <c r="AA51" i="22"/>
  <c r="BC45" i="22" s="1"/>
  <c r="AA18" i="22"/>
  <c r="BC5" i="22" s="1"/>
  <c r="AA7" i="22"/>
  <c r="BC80" i="22" s="1"/>
  <c r="AA56" i="22"/>
  <c r="BC48" i="22" s="1"/>
  <c r="AA40" i="22"/>
  <c r="BC119" i="22" s="1"/>
  <c r="AA38" i="22"/>
  <c r="BC37" i="22" s="1"/>
  <c r="AA12" i="22"/>
  <c r="BC113" i="22" s="1"/>
  <c r="AA86" i="22"/>
  <c r="AA99" i="22"/>
  <c r="BC59" i="22" s="1"/>
  <c r="AA83" i="22"/>
  <c r="AA64" i="22"/>
  <c r="BC154" i="22" s="1"/>
  <c r="AA87" i="22"/>
  <c r="BC51" i="22" s="1"/>
  <c r="AA52" i="22"/>
  <c r="BC46" i="22" s="1"/>
  <c r="AA5" i="22"/>
  <c r="BC78" i="22" s="1"/>
  <c r="AA95" i="22"/>
  <c r="BC55" i="22" s="1"/>
  <c r="AA98" i="22"/>
  <c r="BC58" i="22" s="1"/>
  <c r="AA13" i="22"/>
  <c r="BC114" i="22" s="1"/>
  <c r="AA21" i="22"/>
  <c r="BC81" i="22" s="1"/>
  <c r="AA33" i="22"/>
  <c r="BC89" i="22" s="1"/>
  <c r="AA27" i="22"/>
  <c r="BC84" i="22" s="1"/>
  <c r="AA136" i="22"/>
  <c r="AC136" i="22" s="1"/>
  <c r="AA4" i="22"/>
  <c r="BC77" i="22" s="1"/>
  <c r="AC128" i="22"/>
  <c r="BC143" i="22"/>
  <c r="AC119" i="22"/>
  <c r="BC136" i="22"/>
  <c r="AC121" i="22"/>
  <c r="BC138" i="22"/>
  <c r="AC125" i="22"/>
  <c r="BC142" i="22"/>
  <c r="AC113" i="22"/>
  <c r="BC135" i="22"/>
  <c r="AC123" i="22"/>
  <c r="BC140" i="22"/>
  <c r="AC120" i="22"/>
  <c r="BC137" i="22"/>
  <c r="AC124" i="22"/>
  <c r="BC141" i="22"/>
  <c r="AC122" i="22"/>
  <c r="BC139" i="22"/>
  <c r="AC129" i="22"/>
  <c r="BC144" i="22"/>
  <c r="AD119" i="22"/>
  <c r="BD136" i="22" s="1"/>
  <c r="E149" i="72" s="1"/>
  <c r="AD122" i="22"/>
  <c r="BD139" i="22" s="1"/>
  <c r="E152" i="72" s="1"/>
  <c r="AD128" i="22"/>
  <c r="BD143" i="22" s="1"/>
  <c r="E156" i="72" s="1"/>
  <c r="AD113" i="22"/>
  <c r="BD135" i="22" s="1"/>
  <c r="E148" i="72" s="1"/>
  <c r="AD125" i="22"/>
  <c r="BD142" i="22" s="1"/>
  <c r="E155" i="72" s="1"/>
  <c r="AD123" i="22"/>
  <c r="BD140" i="22" s="1"/>
  <c r="E153" i="72" s="1"/>
  <c r="AD124" i="22"/>
  <c r="BD141" i="22" s="1"/>
  <c r="E154" i="72" s="1"/>
  <c r="AD129" i="22"/>
  <c r="BD144" i="22" s="1"/>
  <c r="E157" i="72" s="1"/>
  <c r="AD121" i="22"/>
  <c r="BD138" i="22" s="1"/>
  <c r="E151" i="72" s="1"/>
  <c r="AD120" i="22"/>
  <c r="BD137" i="22" s="1"/>
  <c r="E150" i="72" s="1"/>
  <c r="AD109" i="22"/>
  <c r="BD98" i="22" s="1"/>
  <c r="E111" i="72" s="1"/>
  <c r="AC109" i="22"/>
  <c r="BC98" i="22"/>
  <c r="AC130" i="22"/>
  <c r="AC126" i="22"/>
  <c r="BC99" i="22"/>
  <c r="AC117" i="22"/>
  <c r="AC101" i="22"/>
  <c r="AC105" i="22"/>
  <c r="AC111" i="22"/>
  <c r="AC107" i="22"/>
  <c r="AC110" i="22"/>
  <c r="AC116" i="22"/>
  <c r="AC112" i="22"/>
  <c r="AC118" i="22"/>
  <c r="AC103" i="22"/>
  <c r="AD116" i="22"/>
  <c r="BD67" i="22" s="1"/>
  <c r="AD105" i="22"/>
  <c r="BD62" i="22" s="1"/>
  <c r="AD101" i="22"/>
  <c r="BD60" i="22" s="1"/>
  <c r="AD103" i="22"/>
  <c r="BD61" i="22" s="1"/>
  <c r="AD117" i="22"/>
  <c r="BD68" i="22" s="1"/>
  <c r="AD112" i="22"/>
  <c r="BD66" i="22" s="1"/>
  <c r="AD110" i="22"/>
  <c r="BD64" i="22" s="1"/>
  <c r="AD111" i="22"/>
  <c r="BD65" i="22" s="1"/>
  <c r="AD118" i="22"/>
  <c r="BD69" i="22" s="1"/>
  <c r="AD107" i="22"/>
  <c r="BD63" i="22" s="1"/>
  <c r="AD108" i="22"/>
  <c r="AD106" i="22"/>
  <c r="AD115" i="22"/>
  <c r="AD104" i="22"/>
  <c r="AC115" i="22"/>
  <c r="BC23" i="22"/>
  <c r="AC102" i="22"/>
  <c r="AC108" i="22"/>
  <c r="BC22" i="22"/>
  <c r="AC104" i="22"/>
  <c r="BC20" i="22"/>
  <c r="AC106" i="22"/>
  <c r="BC21" i="22"/>
  <c r="AD126" i="22"/>
  <c r="BD99" i="22" s="1"/>
  <c r="E112" i="72" s="1"/>
  <c r="W249" i="32"/>
  <c r="X249" i="32" s="1"/>
  <c r="Z249" i="32"/>
  <c r="AN31" i="22"/>
  <c r="AM31" i="22"/>
  <c r="AD114" i="22"/>
  <c r="AD100" i="22"/>
  <c r="AC114" i="22"/>
  <c r="AC100" i="22"/>
  <c r="AL251" i="11" a="1"/>
  <c r="AL251" i="11" s="1"/>
  <c r="Z24" i="22"/>
  <c r="V259" i="50"/>
  <c r="V260" i="50" s="1"/>
  <c r="Y15" i="22"/>
  <c r="AM151" i="59" a="1"/>
  <c r="AM151" i="59" s="1"/>
  <c r="AM136" i="11" a="1"/>
  <c r="AM136" i="11" s="1"/>
  <c r="U250" i="32" l="1"/>
  <c r="U251" i="32"/>
  <c r="AG249" i="32"/>
  <c r="AH249" i="32" s="1"/>
  <c r="AL249" i="32"/>
  <c r="AG248" i="32"/>
  <c r="AH248" i="32" s="1"/>
  <c r="AL248" i="32"/>
  <c r="BC146" i="22"/>
  <c r="AP258" i="50"/>
  <c r="AP259" i="50" s="1"/>
  <c r="H24" i="73" s="1"/>
  <c r="Q251" i="32"/>
  <c r="P251" i="32" s="1"/>
  <c r="Q250" i="32"/>
  <c r="P250" i="32" s="1"/>
  <c r="BC12" i="22"/>
  <c r="AD135" i="22"/>
  <c r="AD131" i="22"/>
  <c r="AD136" i="22"/>
  <c r="AD132" i="22"/>
  <c r="AD133" i="22"/>
  <c r="AD134" i="22"/>
  <c r="BC19" i="22"/>
  <c r="BC10" i="22"/>
  <c r="BC9" i="22"/>
  <c r="BC6" i="22"/>
  <c r="BC14" i="22"/>
  <c r="E79" i="72"/>
  <c r="E72" i="72"/>
  <c r="E71" i="72"/>
  <c r="E74" i="72"/>
  <c r="E73" i="72"/>
  <c r="E76" i="72"/>
  <c r="E80" i="72"/>
  <c r="E78" i="72"/>
  <c r="E75" i="72"/>
  <c r="E77" i="72"/>
  <c r="BD23" i="22"/>
  <c r="E31" i="72" s="1"/>
  <c r="BD24" i="22"/>
  <c r="E32" i="72" s="1"/>
  <c r="BD21" i="22"/>
  <c r="E29" i="72" s="1"/>
  <c r="BC15" i="22"/>
  <c r="BC17" i="22"/>
  <c r="BD22" i="22"/>
  <c r="E30" i="72" s="1"/>
  <c r="BC16" i="22"/>
  <c r="BC13" i="22"/>
  <c r="BC7" i="22"/>
  <c r="BC18" i="22"/>
  <c r="BC8" i="22"/>
  <c r="BC11" i="22"/>
  <c r="BC124" i="22"/>
  <c r="BC123" i="22"/>
  <c r="G128" i="36"/>
  <c r="G148" i="36" s="1"/>
  <c r="E148" i="36"/>
  <c r="H120" i="36"/>
  <c r="H140" i="36" s="1"/>
  <c r="F140" i="36"/>
  <c r="G131" i="36"/>
  <c r="G151" i="36" s="1"/>
  <c r="E151" i="36"/>
  <c r="G127" i="36"/>
  <c r="G147" i="36" s="1"/>
  <c r="E147" i="36"/>
  <c r="H130" i="36"/>
  <c r="H150" i="36" s="1"/>
  <c r="F150" i="36"/>
  <c r="G122" i="36"/>
  <c r="G142" i="36" s="1"/>
  <c r="E142" i="36"/>
  <c r="H124" i="36"/>
  <c r="H144" i="36" s="1"/>
  <c r="F144" i="36"/>
  <c r="G123" i="36"/>
  <c r="G143" i="36" s="1"/>
  <c r="E143" i="36"/>
  <c r="H129" i="36"/>
  <c r="H149" i="36" s="1"/>
  <c r="F149" i="36"/>
  <c r="H122" i="36"/>
  <c r="H142" i="36" s="1"/>
  <c r="F142" i="36"/>
  <c r="G130" i="36"/>
  <c r="G150" i="36" s="1"/>
  <c r="E150" i="36"/>
  <c r="G125" i="36"/>
  <c r="G145" i="36" s="1"/>
  <c r="E145" i="36"/>
  <c r="G129" i="36"/>
  <c r="G149" i="36" s="1"/>
  <c r="E149" i="36"/>
  <c r="H123" i="36"/>
  <c r="H143" i="36" s="1"/>
  <c r="F143" i="36"/>
  <c r="H131" i="36"/>
  <c r="H151" i="36" s="1"/>
  <c r="F151" i="36"/>
  <c r="H126" i="36"/>
  <c r="H146" i="36" s="1"/>
  <c r="F146" i="36"/>
  <c r="H119" i="36"/>
  <c r="H139" i="36" s="1"/>
  <c r="F139" i="36"/>
  <c r="G126" i="36"/>
  <c r="G146" i="36" s="1"/>
  <c r="E146" i="36"/>
  <c r="H127" i="36"/>
  <c r="H147" i="36" s="1"/>
  <c r="F147" i="36"/>
  <c r="H121" i="36"/>
  <c r="H141" i="36" s="1"/>
  <c r="F141" i="36"/>
  <c r="G124" i="36"/>
  <c r="G144" i="36" s="1"/>
  <c r="E144" i="36"/>
  <c r="H128" i="36"/>
  <c r="H148" i="36" s="1"/>
  <c r="F148" i="36"/>
  <c r="H125" i="36"/>
  <c r="H145" i="36" s="1"/>
  <c r="F145" i="36"/>
  <c r="G120" i="36"/>
  <c r="G140" i="36" s="1"/>
  <c r="E140" i="36"/>
  <c r="G121" i="36"/>
  <c r="G141" i="36" s="1"/>
  <c r="E141" i="36"/>
  <c r="BC126" i="22"/>
  <c r="S251" i="32"/>
  <c r="S250" i="32"/>
  <c r="V250" i="32" s="1"/>
  <c r="E252" i="32"/>
  <c r="AP29" i="22"/>
  <c r="AB24" i="22"/>
  <c r="AA15" i="22"/>
  <c r="BC117" i="22" s="1"/>
  <c r="AO29" i="22"/>
  <c r="AN32" i="22"/>
  <c r="F70" i="36" s="1"/>
  <c r="H70" i="36" s="1"/>
  <c r="AM32" i="22"/>
  <c r="E70" i="36" s="1"/>
  <c r="G70" i="36" s="1"/>
  <c r="AD130" i="22"/>
  <c r="BD100" i="22" s="1"/>
  <c r="AM29" i="22"/>
  <c r="AN29" i="22"/>
  <c r="AN30" i="22"/>
  <c r="AD102" i="22"/>
  <c r="BD20" i="22" s="1"/>
  <c r="E28" i="72" s="1"/>
  <c r="AM30" i="22"/>
  <c r="AD127" i="22"/>
  <c r="BD70" i="22" s="1"/>
  <c r="E81" i="72" s="1"/>
  <c r="AC127" i="22"/>
  <c r="AO28" i="22" s="1"/>
  <c r="AO31" i="22"/>
  <c r="AO32" i="22"/>
  <c r="AP31" i="22"/>
  <c r="AM28" i="22"/>
  <c r="AN28" i="22"/>
  <c r="AO30" i="22"/>
  <c r="AL252" i="11" a="1"/>
  <c r="AL252" i="11" s="1"/>
  <c r="E253" i="32" s="1"/>
  <c r="Z15" i="22"/>
  <c r="AM152" i="59" a="1"/>
  <c r="AM152" i="59" s="1"/>
  <c r="AM137" i="11" a="1"/>
  <c r="AM137" i="11" s="1"/>
  <c r="AK253" i="32" l="1"/>
  <c r="T253" i="32"/>
  <c r="AK252" i="32"/>
  <c r="T252" i="32"/>
  <c r="AD251" i="32"/>
  <c r="AG251" i="32" s="1"/>
  <c r="AH251" i="32" s="1"/>
  <c r="AD250" i="32"/>
  <c r="AI249" i="32"/>
  <c r="AN249" i="32" s="1"/>
  <c r="AI248" i="32"/>
  <c r="AN248" i="32" s="1"/>
  <c r="AP32" i="22"/>
  <c r="AP28" i="22"/>
  <c r="E113" i="72"/>
  <c r="AP30" i="22"/>
  <c r="C251" i="32"/>
  <c r="V251" i="32"/>
  <c r="AJ250" i="32"/>
  <c r="C250" i="32"/>
  <c r="AJ251" i="32"/>
  <c r="A253" i="32"/>
  <c r="B253" i="32"/>
  <c r="R253" i="32" s="1"/>
  <c r="A252" i="32"/>
  <c r="B252" i="32"/>
  <c r="R252" i="32" s="1"/>
  <c r="I253" i="32"/>
  <c r="K253" i="32"/>
  <c r="L253" i="32"/>
  <c r="H253" i="32"/>
  <c r="J253" i="32"/>
  <c r="M253" i="32"/>
  <c r="G253" i="32"/>
  <c r="N253" i="32"/>
  <c r="O253" i="32"/>
  <c r="F253" i="32"/>
  <c r="AM253" i="32" s="1"/>
  <c r="K252" i="32"/>
  <c r="M252" i="32"/>
  <c r="F252" i="32"/>
  <c r="AM252" i="32" s="1"/>
  <c r="N252" i="32"/>
  <c r="G252" i="32"/>
  <c r="H252" i="32"/>
  <c r="I252" i="32"/>
  <c r="J252" i="32"/>
  <c r="O252" i="32"/>
  <c r="L252" i="32"/>
  <c r="W250" i="32"/>
  <c r="X250" i="32" s="1"/>
  <c r="Z250" i="32"/>
  <c r="AB15" i="22"/>
  <c r="W251" i="32"/>
  <c r="X251" i="32" s="1"/>
  <c r="Z251" i="32"/>
  <c r="AL253" i="11" a="1"/>
  <c r="AL253" i="11" s="1"/>
  <c r="AM153" i="59" a="1"/>
  <c r="AM153" i="59" s="1"/>
  <c r="AM138" i="11" a="1"/>
  <c r="AM138" i="11" s="1"/>
  <c r="AL251" i="32" l="1"/>
  <c r="U253" i="32"/>
  <c r="U252" i="32"/>
  <c r="AG250" i="32"/>
  <c r="AH250" i="32" s="1"/>
  <c r="AL250" i="32"/>
  <c r="Q253" i="32"/>
  <c r="P253" i="32" s="1"/>
  <c r="Q252" i="32"/>
  <c r="P252" i="32" s="1"/>
  <c r="S252" i="32"/>
  <c r="V252" i="32" s="1"/>
  <c r="S253" i="32"/>
  <c r="E254" i="32"/>
  <c r="AL254" i="11" a="1"/>
  <c r="AL254" i="11" s="1"/>
  <c r="AM154" i="59" a="1"/>
  <c r="AM154" i="59" s="1"/>
  <c r="AM139" i="11" a="1"/>
  <c r="AM139" i="11" s="1"/>
  <c r="AK254" i="32" l="1"/>
  <c r="T254" i="32"/>
  <c r="AD252" i="32"/>
  <c r="AD253" i="32"/>
  <c r="AI250" i="32"/>
  <c r="AN250" i="32" s="1"/>
  <c r="AI251" i="32"/>
  <c r="AN251" i="32" s="1"/>
  <c r="C253" i="32"/>
  <c r="V253" i="32"/>
  <c r="AJ252" i="32"/>
  <c r="C252" i="32"/>
  <c r="AJ253" i="32"/>
  <c r="A254" i="32"/>
  <c r="B254" i="32"/>
  <c r="R254" i="32" s="1"/>
  <c r="G254" i="32"/>
  <c r="O254" i="32"/>
  <c r="I254" i="32"/>
  <c r="J254" i="32"/>
  <c r="L254" i="32"/>
  <c r="M254" i="32"/>
  <c r="N254" i="32"/>
  <c r="H254" i="32"/>
  <c r="F254" i="32"/>
  <c r="AM254" i="32" s="1"/>
  <c r="K254" i="32"/>
  <c r="E255" i="32"/>
  <c r="Z252" i="32"/>
  <c r="W252" i="32"/>
  <c r="X252" i="32" s="1"/>
  <c r="W253" i="32"/>
  <c r="X253" i="32" s="1"/>
  <c r="Z253" i="32"/>
  <c r="AL255" i="11" a="1"/>
  <c r="AL255" i="11" s="1"/>
  <c r="E256" i="32" s="1"/>
  <c r="AM155" i="59" a="1"/>
  <c r="AM155" i="59" s="1"/>
  <c r="AM140" i="11" a="1"/>
  <c r="AM140" i="11" s="1"/>
  <c r="AK255" i="32" l="1"/>
  <c r="T255" i="32"/>
  <c r="AK256" i="32"/>
  <c r="T256" i="32"/>
  <c r="U254" i="32"/>
  <c r="AG253" i="32"/>
  <c r="AH253" i="32" s="1"/>
  <c r="AL253" i="32"/>
  <c r="AG252" i="32"/>
  <c r="AH252" i="32" s="1"/>
  <c r="AL252" i="32"/>
  <c r="Q254" i="32"/>
  <c r="P254" i="32" s="1"/>
  <c r="S254" i="32"/>
  <c r="A255" i="32"/>
  <c r="B255" i="32"/>
  <c r="R255" i="32" s="1"/>
  <c r="A256" i="32"/>
  <c r="B256" i="32"/>
  <c r="R256" i="32" s="1"/>
  <c r="K256" i="32"/>
  <c r="F256" i="32"/>
  <c r="AM256" i="32" s="1"/>
  <c r="N256" i="32"/>
  <c r="G256" i="32"/>
  <c r="H256" i="32"/>
  <c r="O256" i="32"/>
  <c r="I256" i="32"/>
  <c r="M256" i="32"/>
  <c r="J256" i="32"/>
  <c r="L256" i="32"/>
  <c r="M255" i="32"/>
  <c r="G255" i="32"/>
  <c r="O255" i="32"/>
  <c r="H255" i="32"/>
  <c r="N255" i="32"/>
  <c r="L255" i="32"/>
  <c r="F255" i="32"/>
  <c r="AM255" i="32" s="1"/>
  <c r="J255" i="32"/>
  <c r="I255" i="32"/>
  <c r="K255" i="32"/>
  <c r="AL256" i="11" a="1"/>
  <c r="AL256" i="11" s="1"/>
  <c r="E257" i="32" s="1"/>
  <c r="AM156" i="59" a="1"/>
  <c r="AM156" i="59" s="1"/>
  <c r="AM141" i="11" a="1"/>
  <c r="AM141" i="11" s="1"/>
  <c r="AK257" i="32" l="1"/>
  <c r="T257" i="32"/>
  <c r="AD254" i="32"/>
  <c r="U256" i="32"/>
  <c r="U255" i="32"/>
  <c r="AI253" i="32"/>
  <c r="AN253" i="32" s="1"/>
  <c r="Q256" i="32"/>
  <c r="P256" i="32" s="1"/>
  <c r="Q255" i="32"/>
  <c r="P255" i="32" s="1"/>
  <c r="AI252" i="32"/>
  <c r="AN252" i="32" s="1"/>
  <c r="C254" i="32"/>
  <c r="V254" i="32"/>
  <c r="AJ254" i="32"/>
  <c r="S255" i="32"/>
  <c r="S256" i="32"/>
  <c r="A257" i="32"/>
  <c r="B257" i="32"/>
  <c r="R257" i="32" s="1"/>
  <c r="I257" i="32"/>
  <c r="L257" i="32"/>
  <c r="F257" i="32"/>
  <c r="AM257" i="32" s="1"/>
  <c r="G257" i="32"/>
  <c r="H257" i="32"/>
  <c r="J257" i="32"/>
  <c r="M257" i="32"/>
  <c r="O257" i="32"/>
  <c r="K257" i="32"/>
  <c r="N257" i="32"/>
  <c r="Z254" i="32"/>
  <c r="W254" i="32"/>
  <c r="X254" i="32" s="1"/>
  <c r="AL257" i="11" a="1"/>
  <c r="AL257" i="11" s="1"/>
  <c r="AL258" i="11" s="1" a="1"/>
  <c r="AL258" i="11" s="1"/>
  <c r="AM157" i="59" a="1"/>
  <c r="AM157" i="59" s="1"/>
  <c r="AM142" i="11" a="1"/>
  <c r="AM142" i="11" s="1"/>
  <c r="AD256" i="32" l="1"/>
  <c r="AD255" i="32"/>
  <c r="U257" i="32"/>
  <c r="AG254" i="32"/>
  <c r="AH254" i="32" s="1"/>
  <c r="AL254" i="32"/>
  <c r="Q257" i="32"/>
  <c r="P257" i="32" s="1"/>
  <c r="C256" i="32"/>
  <c r="V256" i="32"/>
  <c r="C255" i="32"/>
  <c r="V255" i="32"/>
  <c r="AJ255" i="32"/>
  <c r="AJ256" i="32"/>
  <c r="S257" i="32"/>
  <c r="W255" i="32"/>
  <c r="X255" i="32" s="1"/>
  <c r="Z255" i="32"/>
  <c r="W256" i="32"/>
  <c r="X256" i="32" s="1"/>
  <c r="Z256" i="32"/>
  <c r="AM158" i="59" a="1"/>
  <c r="AM158" i="59" s="1"/>
  <c r="AM143" i="11" a="1"/>
  <c r="AM143" i="11" s="1"/>
  <c r="AD257" i="32" l="1"/>
  <c r="AG256" i="32"/>
  <c r="AH256" i="32" s="1"/>
  <c r="AL256" i="32"/>
  <c r="AG255" i="32"/>
  <c r="AH255" i="32" s="1"/>
  <c r="AL255" i="32"/>
  <c r="AI254" i="32"/>
  <c r="AN254" i="32" s="1"/>
  <c r="V257" i="32"/>
  <c r="V258" i="32" s="1"/>
  <c r="V259" i="32" s="1"/>
  <c r="M34" i="22"/>
  <c r="O34" i="22" s="1"/>
  <c r="M4" i="22"/>
  <c r="O4" i="22" s="1"/>
  <c r="AJ257" i="32"/>
  <c r="C257" i="32"/>
  <c r="N44" i="22"/>
  <c r="P44" i="22" s="1"/>
  <c r="W257" i="32"/>
  <c r="X257" i="32" s="1"/>
  <c r="Z257" i="32"/>
  <c r="N120" i="22"/>
  <c r="P120" i="22" s="1"/>
  <c r="N121" i="22"/>
  <c r="P121" i="22" s="1"/>
  <c r="M120" i="22"/>
  <c r="M113" i="22"/>
  <c r="O113" i="22" s="1"/>
  <c r="M112" i="22"/>
  <c r="N112" i="22"/>
  <c r="P112" i="22" s="1"/>
  <c r="N113" i="22"/>
  <c r="M121" i="22"/>
  <c r="N116" i="22"/>
  <c r="P116" i="22" s="1"/>
  <c r="M116" i="22"/>
  <c r="M131" i="22"/>
  <c r="N129" i="22"/>
  <c r="P129" i="22" s="1"/>
  <c r="M134" i="22"/>
  <c r="N134" i="22"/>
  <c r="M132" i="22"/>
  <c r="N135" i="22"/>
  <c r="N126" i="22"/>
  <c r="M135" i="22"/>
  <c r="M136" i="22"/>
  <c r="M130" i="22"/>
  <c r="O130" i="22" s="1"/>
  <c r="AY100" i="22" s="1"/>
  <c r="M133" i="22"/>
  <c r="N133" i="22"/>
  <c r="N136" i="22"/>
  <c r="M126" i="22"/>
  <c r="O126" i="22" s="1"/>
  <c r="N131" i="22"/>
  <c r="N130" i="22"/>
  <c r="M129" i="22"/>
  <c r="N132" i="22"/>
  <c r="N128" i="22"/>
  <c r="P128" i="22" s="1"/>
  <c r="AZ143" i="22" s="1"/>
  <c r="M128" i="22"/>
  <c r="M85" i="22"/>
  <c r="O85" i="22" s="1"/>
  <c r="M94" i="22"/>
  <c r="O94" i="22" s="1"/>
  <c r="N92" i="22"/>
  <c r="P92" i="22" s="1"/>
  <c r="N50" i="22"/>
  <c r="P50" i="22" s="1"/>
  <c r="M70" i="22"/>
  <c r="O70" i="22" s="1"/>
  <c r="M125" i="22"/>
  <c r="O125" i="22" s="1"/>
  <c r="N9" i="22"/>
  <c r="P9" i="22" s="1"/>
  <c r="N21" i="22"/>
  <c r="P21" i="22" s="1"/>
  <c r="N51" i="22"/>
  <c r="P51" i="22" s="1"/>
  <c r="N108" i="22"/>
  <c r="P108" i="22" s="1"/>
  <c r="N14" i="22"/>
  <c r="P14" i="22" s="1"/>
  <c r="N37" i="22"/>
  <c r="P37" i="22" s="1"/>
  <c r="N66" i="22"/>
  <c r="P66" i="22" s="1"/>
  <c r="N104" i="22"/>
  <c r="P104" i="22" s="1"/>
  <c r="N54" i="22"/>
  <c r="P54" i="22" s="1"/>
  <c r="M83" i="22"/>
  <c r="O83" i="22" s="1"/>
  <c r="M69" i="22"/>
  <c r="O69" i="22" s="1"/>
  <c r="N67" i="22"/>
  <c r="P67" i="22" s="1"/>
  <c r="M60" i="22"/>
  <c r="O60" i="22" s="1"/>
  <c r="M31" i="22"/>
  <c r="O31" i="22" s="1"/>
  <c r="M72" i="22"/>
  <c r="O72" i="22" s="1"/>
  <c r="M73" i="22"/>
  <c r="O73" i="22" s="1"/>
  <c r="N30" i="22"/>
  <c r="P30" i="22" s="1"/>
  <c r="N88" i="22"/>
  <c r="P88" i="22" s="1"/>
  <c r="M82" i="22"/>
  <c r="O82" i="22" s="1"/>
  <c r="N57" i="22"/>
  <c r="P57" i="22" s="1"/>
  <c r="M110" i="22"/>
  <c r="M119" i="22"/>
  <c r="N118" i="22"/>
  <c r="P118" i="22" s="1"/>
  <c r="N106" i="22"/>
  <c r="M12" i="22"/>
  <c r="O12" i="22" s="1"/>
  <c r="N34" i="22"/>
  <c r="P34" i="22" s="1"/>
  <c r="M78" i="22"/>
  <c r="O78" i="22" s="1"/>
  <c r="N93" i="22"/>
  <c r="P93" i="22" s="1"/>
  <c r="N25" i="22"/>
  <c r="P25" i="22" s="1"/>
  <c r="M88" i="22"/>
  <c r="O88" i="22" s="1"/>
  <c r="N80" i="22"/>
  <c r="M84" i="22"/>
  <c r="O84" i="22" s="1"/>
  <c r="M46" i="22"/>
  <c r="O46" i="22" s="1"/>
  <c r="N45" i="22"/>
  <c r="P45" i="22" s="1"/>
  <c r="N36" i="22"/>
  <c r="P36" i="22" s="1"/>
  <c r="M101" i="22"/>
  <c r="N103" i="22"/>
  <c r="P103" i="22" s="1"/>
  <c r="M107" i="22"/>
  <c r="N12" i="22"/>
  <c r="P12" i="22" s="1"/>
  <c r="M19" i="22"/>
  <c r="O19" i="22" s="1"/>
  <c r="M10" i="22"/>
  <c r="O10" i="22" s="1"/>
  <c r="N87" i="22"/>
  <c r="P87" i="22" s="1"/>
  <c r="M23" i="22"/>
  <c r="O23" i="22" s="1"/>
  <c r="N78" i="22"/>
  <c r="P78" i="22" s="1"/>
  <c r="N10" i="22"/>
  <c r="P10" i="22" s="1"/>
  <c r="M30" i="22"/>
  <c r="O30" i="22" s="1"/>
  <c r="M89" i="22"/>
  <c r="O89" i="22" s="1"/>
  <c r="M25" i="22"/>
  <c r="O25" i="22" s="1"/>
  <c r="M86" i="22"/>
  <c r="O86" i="22" s="1"/>
  <c r="N100" i="22"/>
  <c r="P100" i="22" s="1"/>
  <c r="M124" i="22"/>
  <c r="O124" i="22" s="1"/>
  <c r="N42" i="22"/>
  <c r="P42" i="22" s="1"/>
  <c r="M77" i="22"/>
  <c r="O77" i="22" s="1"/>
  <c r="M95" i="22"/>
  <c r="O95" i="22" s="1"/>
  <c r="N99" i="22"/>
  <c r="P99" i="22" s="1"/>
  <c r="M64" i="22"/>
  <c r="O64" i="22" s="1"/>
  <c r="M52" i="22"/>
  <c r="O52" i="22" s="1"/>
  <c r="N32" i="22"/>
  <c r="P32" i="22" s="1"/>
  <c r="M92" i="22"/>
  <c r="O92" i="22" s="1"/>
  <c r="M44" i="22"/>
  <c r="O44" i="22" s="1"/>
  <c r="M17" i="22"/>
  <c r="O17" i="22" s="1"/>
  <c r="N98" i="22"/>
  <c r="P98" i="22" s="1"/>
  <c r="N84" i="22"/>
  <c r="P84" i="22" s="1"/>
  <c r="M74" i="22"/>
  <c r="O74" i="22" s="1"/>
  <c r="N56" i="22"/>
  <c r="P56" i="22" s="1"/>
  <c r="N63" i="22"/>
  <c r="P63" i="22" s="1"/>
  <c r="M42" i="22"/>
  <c r="O42" i="22" s="1"/>
  <c r="N60" i="22"/>
  <c r="P60" i="22" s="1"/>
  <c r="N62" i="22"/>
  <c r="P62" i="22" s="1"/>
  <c r="M38" i="22"/>
  <c r="O38" i="22" s="1"/>
  <c r="N83" i="22"/>
  <c r="P83" i="22" s="1"/>
  <c r="M33" i="22"/>
  <c r="O33" i="22" s="1"/>
  <c r="M61" i="22"/>
  <c r="O61" i="22" s="1"/>
  <c r="AY146" i="22" s="1"/>
  <c r="N124" i="22"/>
  <c r="P124" i="22" s="1"/>
  <c r="M118" i="22"/>
  <c r="N122" i="22"/>
  <c r="P122" i="22" s="1"/>
  <c r="AZ139" i="22" s="1"/>
  <c r="M102" i="22"/>
  <c r="N115" i="22"/>
  <c r="N107" i="22"/>
  <c r="P107" i="22" s="1"/>
  <c r="AZ63" i="22" s="1"/>
  <c r="N105" i="22"/>
  <c r="P105" i="22" s="1"/>
  <c r="M32" i="22"/>
  <c r="O32" i="22" s="1"/>
  <c r="M79" i="22"/>
  <c r="O79" i="22" s="1"/>
  <c r="M96" i="22"/>
  <c r="O96" i="22" s="1"/>
  <c r="N77" i="22"/>
  <c r="P77" i="22" s="1"/>
  <c r="N58" i="22"/>
  <c r="P58" i="22" s="1"/>
  <c r="N72" i="22"/>
  <c r="P72" i="22" s="1"/>
  <c r="N39" i="22"/>
  <c r="P39" i="22" s="1"/>
  <c r="N74" i="22"/>
  <c r="P74" i="22" s="1"/>
  <c r="M50" i="22"/>
  <c r="O50" i="22" s="1"/>
  <c r="N52" i="22"/>
  <c r="P52" i="22" s="1"/>
  <c r="M55" i="22"/>
  <c r="O55" i="22" s="1"/>
  <c r="M51" i="22"/>
  <c r="O51" i="22" s="1"/>
  <c r="N96" i="22"/>
  <c r="P96" i="22" s="1"/>
  <c r="N49" i="22"/>
  <c r="P49" i="22" s="1"/>
  <c r="M16" i="22"/>
  <c r="O16" i="22" s="1"/>
  <c r="M9" i="22"/>
  <c r="O9" i="22" s="1"/>
  <c r="N19" i="22"/>
  <c r="P19" i="22" s="1"/>
  <c r="N69" i="22"/>
  <c r="P69" i="22" s="1"/>
  <c r="N55" i="22"/>
  <c r="P55" i="22" s="1"/>
  <c r="M24" i="22"/>
  <c r="O24" i="22" s="1"/>
  <c r="M27" i="22"/>
  <c r="O27" i="22" s="1"/>
  <c r="N22" i="22"/>
  <c r="P22" i="22" s="1"/>
  <c r="M117" i="22"/>
  <c r="O117" i="22" s="1"/>
  <c r="AY68" i="22" s="1"/>
  <c r="M114" i="22"/>
  <c r="M111" i="22"/>
  <c r="N114" i="22"/>
  <c r="N70" i="22"/>
  <c r="P70" i="22" s="1"/>
  <c r="N38" i="22"/>
  <c r="P38" i="22" s="1"/>
  <c r="M18" i="22"/>
  <c r="O18" i="22" s="1"/>
  <c r="M53" i="22"/>
  <c r="O53" i="22" s="1"/>
  <c r="N11" i="22"/>
  <c r="P11" i="22" s="1"/>
  <c r="M39" i="22"/>
  <c r="O39" i="22" s="1"/>
  <c r="M67" i="22"/>
  <c r="O67" i="22" s="1"/>
  <c r="N35" i="22"/>
  <c r="P35" i="22" s="1"/>
  <c r="M56" i="22"/>
  <c r="O56" i="22" s="1"/>
  <c r="M26" i="22"/>
  <c r="O26" i="22" s="1"/>
  <c r="N64" i="22"/>
  <c r="P64" i="22" s="1"/>
  <c r="N59" i="22"/>
  <c r="P59" i="22" s="1"/>
  <c r="M48" i="22"/>
  <c r="O48" i="22" s="1"/>
  <c r="M76" i="22"/>
  <c r="O76" i="22" s="1"/>
  <c r="M7" i="22"/>
  <c r="O7" i="22" s="1"/>
  <c r="M99" i="22"/>
  <c r="O99" i="22" s="1"/>
  <c r="M68" i="22"/>
  <c r="O68" i="22" s="1"/>
  <c r="N31" i="22"/>
  <c r="P31" i="22" s="1"/>
  <c r="N16" i="22"/>
  <c r="P16" i="22" s="1"/>
  <c r="N91" i="22"/>
  <c r="P91" i="22" s="1"/>
  <c r="N47" i="22"/>
  <c r="P47" i="22" s="1"/>
  <c r="M90" i="22"/>
  <c r="O90" i="22" s="1"/>
  <c r="N40" i="22"/>
  <c r="P40" i="22" s="1"/>
  <c r="M91" i="22"/>
  <c r="O91" i="22" s="1"/>
  <c r="N94" i="22"/>
  <c r="P94" i="22" s="1"/>
  <c r="N53" i="22"/>
  <c r="P53" i="22" s="1"/>
  <c r="N97" i="22"/>
  <c r="P97" i="22" s="1"/>
  <c r="N90" i="22"/>
  <c r="P90" i="22" s="1"/>
  <c r="M47" i="22"/>
  <c r="O47" i="22" s="1"/>
  <c r="M65" i="22"/>
  <c r="O65" i="22" s="1"/>
  <c r="N75" i="22"/>
  <c r="P75" i="22" s="1"/>
  <c r="N18" i="22"/>
  <c r="P18" i="22" s="1"/>
  <c r="M87" i="22"/>
  <c r="O87" i="22" s="1"/>
  <c r="N76" i="22"/>
  <c r="P76" i="22" s="1"/>
  <c r="M21" i="22"/>
  <c r="O21" i="22" s="1"/>
  <c r="N89" i="22"/>
  <c r="P89" i="22" s="1"/>
  <c r="N65" i="22"/>
  <c r="P65" i="22" s="1"/>
  <c r="M49" i="22"/>
  <c r="O49" i="22" s="1"/>
  <c r="M71" i="22"/>
  <c r="O71" i="22" s="1"/>
  <c r="N6" i="22"/>
  <c r="P6" i="22" s="1"/>
  <c r="M93" i="22"/>
  <c r="O93" i="22" s="1"/>
  <c r="N4" i="22"/>
  <c r="P4" i="22" s="1"/>
  <c r="N28" i="22"/>
  <c r="P28" i="22" s="1"/>
  <c r="N17" i="22"/>
  <c r="P17" i="22" s="1"/>
  <c r="M5" i="22"/>
  <c r="O5" i="22" s="1"/>
  <c r="N43" i="22"/>
  <c r="P43" i="22" s="1"/>
  <c r="N8" i="22"/>
  <c r="P8" i="22" s="1"/>
  <c r="M80" i="22"/>
  <c r="N20" i="22"/>
  <c r="P20" i="22" s="1"/>
  <c r="N23" i="22"/>
  <c r="P23" i="22" s="1"/>
  <c r="M108" i="22"/>
  <c r="N125" i="22"/>
  <c r="P125" i="22" s="1"/>
  <c r="M106" i="22"/>
  <c r="O106" i="22" s="1"/>
  <c r="M109" i="22"/>
  <c r="M104" i="22"/>
  <c r="N117" i="22"/>
  <c r="M115" i="22"/>
  <c r="N110" i="22"/>
  <c r="P110" i="22" s="1"/>
  <c r="N119" i="22"/>
  <c r="P119" i="22" s="1"/>
  <c r="M127" i="22"/>
  <c r="O127" i="22" s="1"/>
  <c r="AY70" i="22" s="1"/>
  <c r="N102" i="22"/>
  <c r="N7" i="22"/>
  <c r="P7" i="22" s="1"/>
  <c r="M62" i="22"/>
  <c r="O62" i="22" s="1"/>
  <c r="M29" i="22"/>
  <c r="O29" i="22" s="1"/>
  <c r="M58" i="22"/>
  <c r="O58" i="22" s="1"/>
  <c r="M45" i="22"/>
  <c r="O45" i="22" s="1"/>
  <c r="M40" i="22"/>
  <c r="O40" i="22" s="1"/>
  <c r="M8" i="22"/>
  <c r="O8" i="22" s="1"/>
  <c r="N95" i="22"/>
  <c r="P95" i="22" s="1"/>
  <c r="M14" i="22"/>
  <c r="O14" i="22" s="1"/>
  <c r="M6" i="22"/>
  <c r="O6" i="22" s="1"/>
  <c r="N81" i="22"/>
  <c r="P81" i="22" s="1"/>
  <c r="N5" i="22"/>
  <c r="P5" i="22" s="1"/>
  <c r="N29" i="22"/>
  <c r="P29" i="22" s="1"/>
  <c r="M35" i="22"/>
  <c r="O35" i="22" s="1"/>
  <c r="M66" i="22"/>
  <c r="O66" i="22" s="1"/>
  <c r="N48" i="22"/>
  <c r="P48" i="22" s="1"/>
  <c r="M43" i="22"/>
  <c r="O43" i="22" s="1"/>
  <c r="N46" i="22"/>
  <c r="P46" i="22" s="1"/>
  <c r="M13" i="22"/>
  <c r="O13" i="22" s="1"/>
  <c r="M36" i="22"/>
  <c r="O36" i="22" s="1"/>
  <c r="N85" i="22"/>
  <c r="P85" i="22" s="1"/>
  <c r="M41" i="22"/>
  <c r="O41" i="22" s="1"/>
  <c r="M59" i="22"/>
  <c r="O59" i="22" s="1"/>
  <c r="M57" i="22"/>
  <c r="O57" i="22" s="1"/>
  <c r="M81" i="22"/>
  <c r="O81" i="22" s="1"/>
  <c r="M11" i="22"/>
  <c r="O11" i="22" s="1"/>
  <c r="N26" i="22"/>
  <c r="P26" i="22" s="1"/>
  <c r="N41" i="22"/>
  <c r="P41" i="22" s="1"/>
  <c r="M22" i="22"/>
  <c r="O22" i="22" s="1"/>
  <c r="M28" i="22"/>
  <c r="O28" i="22" s="1"/>
  <c r="N13" i="22"/>
  <c r="P13" i="22" s="1"/>
  <c r="M54" i="22"/>
  <c r="O54" i="22" s="1"/>
  <c r="N79" i="22"/>
  <c r="P79" i="22" s="1"/>
  <c r="N82" i="22"/>
  <c r="P82" i="22" s="1"/>
  <c r="N27" i="22"/>
  <c r="P27" i="22" s="1"/>
  <c r="N61" i="22"/>
  <c r="P61" i="22" s="1"/>
  <c r="AZ146" i="22" s="1"/>
  <c r="M98" i="22"/>
  <c r="O98" i="22" s="1"/>
  <c r="M37" i="22"/>
  <c r="O37" i="22" s="1"/>
  <c r="M75" i="22"/>
  <c r="O75" i="22" s="1"/>
  <c r="M15" i="22"/>
  <c r="O15" i="22" s="1"/>
  <c r="N71" i="22"/>
  <c r="P71" i="22" s="1"/>
  <c r="N73" i="22"/>
  <c r="P73" i="22" s="1"/>
  <c r="M20" i="22"/>
  <c r="O20" i="22" s="1"/>
  <c r="N86" i="22"/>
  <c r="P86" i="22" s="1"/>
  <c r="M63" i="22"/>
  <c r="O63" i="22" s="1"/>
  <c r="N33" i="22"/>
  <c r="P33" i="22" s="1"/>
  <c r="M97" i="22"/>
  <c r="O97" i="22" s="1"/>
  <c r="N68" i="22"/>
  <c r="P68" i="22" s="1"/>
  <c r="M123" i="22"/>
  <c r="M100" i="22"/>
  <c r="O100" i="22" s="1"/>
  <c r="N109" i="22"/>
  <c r="N127" i="22"/>
  <c r="M122" i="22"/>
  <c r="N123" i="22"/>
  <c r="P123" i="22" s="1"/>
  <c r="E67" i="36"/>
  <c r="G67" i="36" s="1"/>
  <c r="F67" i="36"/>
  <c r="H67" i="36" s="1"/>
  <c r="M105" i="22"/>
  <c r="N101" i="22"/>
  <c r="P101" i="22" s="1"/>
  <c r="M103" i="22"/>
  <c r="N111" i="22"/>
  <c r="P111" i="22" s="1"/>
  <c r="E68" i="36"/>
  <c r="G68" i="36" s="1"/>
  <c r="E66" i="36"/>
  <c r="G66" i="36" s="1"/>
  <c r="F66" i="36"/>
  <c r="H66" i="36" s="1"/>
  <c r="F68" i="36"/>
  <c r="H68" i="36" s="1"/>
  <c r="N15" i="22"/>
  <c r="P15" i="22" s="1"/>
  <c r="AM159" i="59" a="1"/>
  <c r="AM159" i="59" s="1"/>
  <c r="AM144" i="11" a="1"/>
  <c r="AM144" i="11" s="1"/>
  <c r="AG257" i="32" l="1"/>
  <c r="AH257" i="32" s="1"/>
  <c r="AL257" i="32"/>
  <c r="AM5" i="22"/>
  <c r="AI256" i="32"/>
  <c r="AN256" i="32" s="1"/>
  <c r="AZ142" i="22"/>
  <c r="AZ144" i="22"/>
  <c r="AZ136" i="22"/>
  <c r="AZ69" i="22"/>
  <c r="AZ140" i="22"/>
  <c r="AZ64" i="22"/>
  <c r="AZ138" i="22"/>
  <c r="AZ61" i="22"/>
  <c r="AZ67" i="22"/>
  <c r="AZ137" i="22"/>
  <c r="AZ62" i="22"/>
  <c r="AZ60" i="22"/>
  <c r="AZ141" i="22"/>
  <c r="AZ65" i="22"/>
  <c r="AZ66" i="22"/>
  <c r="AY59" i="22"/>
  <c r="AZ59" i="22"/>
  <c r="AZ123" i="22"/>
  <c r="AY123" i="22"/>
  <c r="AI255" i="32"/>
  <c r="AN255" i="32" s="1"/>
  <c r="AY142" i="22"/>
  <c r="AY141" i="22"/>
  <c r="AY99" i="22"/>
  <c r="AY135" i="22"/>
  <c r="P136" i="22"/>
  <c r="R136" i="22" s="1"/>
  <c r="AF136" i="22" s="1"/>
  <c r="P113" i="22"/>
  <c r="P109" i="22"/>
  <c r="P102" i="22"/>
  <c r="P130" i="22"/>
  <c r="AZ100" i="22" s="1"/>
  <c r="P133" i="22"/>
  <c r="R133" i="22" s="1"/>
  <c r="AF133" i="22" s="1"/>
  <c r="P134" i="22"/>
  <c r="R134" i="22" s="1"/>
  <c r="AF134" i="22" s="1"/>
  <c r="P117" i="22"/>
  <c r="P106" i="22"/>
  <c r="P131" i="22"/>
  <c r="R131" i="22" s="1"/>
  <c r="AF131" i="22" s="1"/>
  <c r="P126" i="22"/>
  <c r="P127" i="22"/>
  <c r="P114" i="22"/>
  <c r="P115" i="22"/>
  <c r="P132" i="22"/>
  <c r="R132" i="22" s="1"/>
  <c r="AF132" i="22" s="1"/>
  <c r="P135" i="22"/>
  <c r="R135" i="22" s="1"/>
  <c r="AF135" i="22" s="1"/>
  <c r="R123" i="22"/>
  <c r="AF123" i="22" s="1"/>
  <c r="R122" i="22"/>
  <c r="R121" i="22"/>
  <c r="AF121" i="22" s="1"/>
  <c r="R125" i="22"/>
  <c r="R128" i="22"/>
  <c r="AF128" i="22" s="1"/>
  <c r="R120" i="22"/>
  <c r="R119" i="22"/>
  <c r="AF119" i="22" s="1"/>
  <c r="R124" i="22"/>
  <c r="R129" i="22"/>
  <c r="AF129" i="22" s="1"/>
  <c r="R110" i="22"/>
  <c r="BB64" i="22" s="1"/>
  <c r="BE64" i="22" s="1"/>
  <c r="BF64" i="22" s="1"/>
  <c r="R101" i="22"/>
  <c r="BB60" i="22" s="1"/>
  <c r="BE60" i="22" s="1"/>
  <c r="BF60" i="22" s="1"/>
  <c r="R105" i="22"/>
  <c r="BB62" i="22" s="1"/>
  <c r="BE62" i="22" s="1"/>
  <c r="BF62" i="22" s="1"/>
  <c r="R112" i="22"/>
  <c r="BB66" i="22" s="1"/>
  <c r="BE66" i="22" s="1"/>
  <c r="BF66" i="22" s="1"/>
  <c r="R107" i="22"/>
  <c r="BB63" i="22" s="1"/>
  <c r="BE63" i="22" s="1"/>
  <c r="BF63" i="22" s="1"/>
  <c r="R116" i="22"/>
  <c r="BB67" i="22" s="1"/>
  <c r="BE67" i="22" s="1"/>
  <c r="BF67" i="22" s="1"/>
  <c r="R111" i="22"/>
  <c r="BB65" i="22" s="1"/>
  <c r="BE65" i="22" s="1"/>
  <c r="BF65" i="22" s="1"/>
  <c r="R118" i="22"/>
  <c r="BB69" i="22" s="1"/>
  <c r="BE69" i="22" s="1"/>
  <c r="BF69" i="22" s="1"/>
  <c r="R104" i="22"/>
  <c r="AF104" i="22" s="1"/>
  <c r="R108" i="22"/>
  <c r="O103" i="22"/>
  <c r="AY61" i="22" s="1"/>
  <c r="O109" i="22"/>
  <c r="O111" i="22"/>
  <c r="AY65" i="22" s="1"/>
  <c r="O102" i="22"/>
  <c r="AY19" i="22" s="1"/>
  <c r="O107" i="22"/>
  <c r="AY63" i="22" s="1"/>
  <c r="O119" i="22"/>
  <c r="AY136" i="22" s="1"/>
  <c r="O129" i="22"/>
  <c r="AY144" i="22" s="1"/>
  <c r="O136" i="22"/>
  <c r="Q136" i="22" s="1"/>
  <c r="AE136" i="22" s="1"/>
  <c r="O132" i="22"/>
  <c r="Q132" i="22" s="1"/>
  <c r="AE132" i="22" s="1"/>
  <c r="O131" i="22"/>
  <c r="Q131" i="22" s="1"/>
  <c r="AE131" i="22" s="1"/>
  <c r="O120" i="22"/>
  <c r="AY137" i="22" s="1"/>
  <c r="O115" i="22"/>
  <c r="AY24" i="22" s="1"/>
  <c r="O114" i="22"/>
  <c r="Q114" i="22" s="1"/>
  <c r="AE114" i="22" s="1"/>
  <c r="O110" i="22"/>
  <c r="AY64" i="22" s="1"/>
  <c r="O128" i="22"/>
  <c r="AY143" i="22" s="1"/>
  <c r="O135" i="22"/>
  <c r="Q135" i="22" s="1"/>
  <c r="AE135" i="22" s="1"/>
  <c r="O116" i="22"/>
  <c r="AY67" i="22" s="1"/>
  <c r="O105" i="22"/>
  <c r="AY62" i="22" s="1"/>
  <c r="O123" i="22"/>
  <c r="AY140" i="22" s="1"/>
  <c r="O118" i="22"/>
  <c r="AY69" i="22" s="1"/>
  <c r="O101" i="22"/>
  <c r="AY60" i="22" s="1"/>
  <c r="O133" i="22"/>
  <c r="Q133" i="22" s="1"/>
  <c r="AE133" i="22" s="1"/>
  <c r="O134" i="22"/>
  <c r="Q134" i="22" s="1"/>
  <c r="AE134" i="22" s="1"/>
  <c r="O112" i="22"/>
  <c r="AY66" i="22" s="1"/>
  <c r="O122" i="22"/>
  <c r="AY139" i="22" s="1"/>
  <c r="O104" i="22"/>
  <c r="O108" i="22"/>
  <c r="AY22" i="22" s="1"/>
  <c r="O121" i="22"/>
  <c r="AY138" i="22" s="1"/>
  <c r="Q113" i="22"/>
  <c r="BA135" i="22" s="1"/>
  <c r="Q127" i="22"/>
  <c r="BA70" i="22" s="1"/>
  <c r="Q126" i="22"/>
  <c r="BA99" i="22" s="1"/>
  <c r="Q130" i="22"/>
  <c r="BA100" i="22" s="1"/>
  <c r="Q117" i="22"/>
  <c r="BA68" i="22" s="1"/>
  <c r="E69" i="36"/>
  <c r="G69" i="36" s="1"/>
  <c r="F69" i="36"/>
  <c r="H69" i="36" s="1"/>
  <c r="Q125" i="22"/>
  <c r="BA142" i="22" s="1"/>
  <c r="Q124" i="22"/>
  <c r="AE124" i="22" s="1"/>
  <c r="Q106" i="22"/>
  <c r="AE106" i="22" s="1"/>
  <c r="AN15" i="22"/>
  <c r="F50" i="36" s="1"/>
  <c r="R103" i="22"/>
  <c r="BB61" i="22" s="1"/>
  <c r="BE61" i="22" s="1"/>
  <c r="BF61" i="22" s="1"/>
  <c r="R100" i="22"/>
  <c r="AM15" i="22"/>
  <c r="E50" i="36" s="1"/>
  <c r="Q100" i="22"/>
  <c r="N24" i="22"/>
  <c r="P24" i="22" s="1"/>
  <c r="AM160" i="59" a="1"/>
  <c r="AM160" i="59" s="1"/>
  <c r="AM145" i="11" a="1"/>
  <c r="AM145" i="11" s="1"/>
  <c r="AI257" i="32" l="1"/>
  <c r="AN257" i="32" s="1"/>
  <c r="AN258" i="32" s="1"/>
  <c r="H12" i="73" s="1"/>
  <c r="AZ24" i="22"/>
  <c r="AZ70" i="22"/>
  <c r="AZ20" i="22"/>
  <c r="AZ98" i="22"/>
  <c r="R106" i="22"/>
  <c r="AF106" i="22" s="1"/>
  <c r="AZ68" i="22"/>
  <c r="AF107" i="22"/>
  <c r="AF101" i="22"/>
  <c r="AF111" i="22"/>
  <c r="AY20" i="22"/>
  <c r="AZ22" i="22"/>
  <c r="AY23" i="22"/>
  <c r="AY21" i="22"/>
  <c r="AD2" i="32"/>
  <c r="R127" i="22"/>
  <c r="BB70" i="22" s="1"/>
  <c r="BB140" i="22"/>
  <c r="D153" i="72" s="1"/>
  <c r="R109" i="22"/>
  <c r="BB98" i="22" s="1"/>
  <c r="BB136" i="22"/>
  <c r="D149" i="72" s="1"/>
  <c r="D74" i="72"/>
  <c r="BB143" i="22"/>
  <c r="D156" i="72" s="1"/>
  <c r="BB144" i="22"/>
  <c r="D157" i="72" s="1"/>
  <c r="BA141" i="22"/>
  <c r="D71" i="72"/>
  <c r="BB138" i="22"/>
  <c r="D151" i="72" s="1"/>
  <c r="AF108" i="22"/>
  <c r="AF105" i="22"/>
  <c r="AF125" i="22"/>
  <c r="BB142" i="22"/>
  <c r="D155" i="72" s="1"/>
  <c r="AZ23" i="22"/>
  <c r="AF112" i="22"/>
  <c r="AF120" i="22"/>
  <c r="BB137" i="22"/>
  <c r="D150" i="72" s="1"/>
  <c r="AY98" i="22"/>
  <c r="AF116" i="22"/>
  <c r="AF124" i="22"/>
  <c r="BB141" i="22"/>
  <c r="D154" i="72" s="1"/>
  <c r="AF118" i="22"/>
  <c r="AF110" i="22"/>
  <c r="AF122" i="22"/>
  <c r="BB139" i="22"/>
  <c r="AZ99" i="22"/>
  <c r="R126" i="22"/>
  <c r="BB99" i="22" s="1"/>
  <c r="R117" i="22"/>
  <c r="BB68" i="22" s="1"/>
  <c r="BE68" i="22" s="1"/>
  <c r="BF68" i="22" s="1"/>
  <c r="AZ19" i="22"/>
  <c r="R102" i="22"/>
  <c r="AF102" i="22" s="1"/>
  <c r="Q101" i="22"/>
  <c r="BA60" i="22" s="1"/>
  <c r="BB21" i="22"/>
  <c r="AZ21" i="22"/>
  <c r="R130" i="22"/>
  <c r="AN13" i="22"/>
  <c r="F48" i="36" s="1"/>
  <c r="AZ135" i="22"/>
  <c r="R113" i="22"/>
  <c r="AF113" i="22" s="1"/>
  <c r="R115" i="22"/>
  <c r="AN12" i="22"/>
  <c r="F47" i="36" s="1"/>
  <c r="AN16" i="22"/>
  <c r="F51" i="36" s="1"/>
  <c r="R114" i="22"/>
  <c r="AF114" i="22" s="1"/>
  <c r="AN14" i="22"/>
  <c r="F49" i="36" s="1"/>
  <c r="Q123" i="22"/>
  <c r="AE123" i="22" s="1"/>
  <c r="Q128" i="22"/>
  <c r="AE128" i="22" s="1"/>
  <c r="Q120" i="22"/>
  <c r="AE120" i="22" s="1"/>
  <c r="Q129" i="22"/>
  <c r="AE129" i="22" s="1"/>
  <c r="Q121" i="22"/>
  <c r="AE121" i="22" s="1"/>
  <c r="Q119" i="22"/>
  <c r="AE119" i="22" s="1"/>
  <c r="Q122" i="22"/>
  <c r="AE122" i="22" s="1"/>
  <c r="Q116" i="22"/>
  <c r="BA67" i="22" s="1"/>
  <c r="Q107" i="22"/>
  <c r="BA63" i="22" s="1"/>
  <c r="Q103" i="22"/>
  <c r="BA61" i="22" s="1"/>
  <c r="Q112" i="22"/>
  <c r="BA66" i="22" s="1"/>
  <c r="Q118" i="22"/>
  <c r="BA69" i="22" s="1"/>
  <c r="Q105" i="22"/>
  <c r="BA62" i="22" s="1"/>
  <c r="Q111" i="22"/>
  <c r="BA65" i="22" s="1"/>
  <c r="Q110" i="22"/>
  <c r="BA64" i="22" s="1"/>
  <c r="Q108" i="22"/>
  <c r="AE108" i="22" s="1"/>
  <c r="Q102" i="22"/>
  <c r="AE102" i="22" s="1"/>
  <c r="Q104" i="22"/>
  <c r="AE104" i="22" s="1"/>
  <c r="Q115" i="22"/>
  <c r="AM16" i="22"/>
  <c r="E51" i="36" s="1"/>
  <c r="Q109" i="22"/>
  <c r="BA98" i="22" s="1"/>
  <c r="AM13" i="22"/>
  <c r="E48" i="36" s="1"/>
  <c r="AM14" i="22"/>
  <c r="E49" i="36" s="1"/>
  <c r="AM12" i="22"/>
  <c r="E47" i="36" s="1"/>
  <c r="AE113" i="22"/>
  <c r="AE126" i="22"/>
  <c r="AE130" i="22"/>
  <c r="AE127" i="22"/>
  <c r="AE117" i="22"/>
  <c r="AE100" i="22"/>
  <c r="AP15" i="22"/>
  <c r="AE125" i="22"/>
  <c r="AF103" i="22"/>
  <c r="AF100" i="22"/>
  <c r="AO15" i="22"/>
  <c r="D72" i="72"/>
  <c r="AM161" i="59" a="1"/>
  <c r="AM161" i="59" s="1"/>
  <c r="AM146" i="11" a="1"/>
  <c r="AM146" i="11" s="1"/>
  <c r="BB22" i="22" l="1"/>
  <c r="BE22" i="22" s="1"/>
  <c r="BE139" i="22"/>
  <c r="F152" i="72" s="1"/>
  <c r="D152" i="72"/>
  <c r="BE141" i="22"/>
  <c r="F154" i="72" s="1"/>
  <c r="BE142" i="22"/>
  <c r="F155" i="72" s="1"/>
  <c r="BE144" i="22"/>
  <c r="F157" i="72" s="1"/>
  <c r="BE137" i="22"/>
  <c r="F150" i="72" s="1"/>
  <c r="BE138" i="22"/>
  <c r="F151" i="72" s="1"/>
  <c r="BE140" i="22"/>
  <c r="F153" i="72" s="1"/>
  <c r="BE70" i="22"/>
  <c r="D81" i="72"/>
  <c r="AE116" i="22"/>
  <c r="AE110" i="22"/>
  <c r="AE105" i="22"/>
  <c r="AE101" i="22"/>
  <c r="AE111" i="22"/>
  <c r="AE118" i="22"/>
  <c r="AE112" i="22"/>
  <c r="D76" i="72"/>
  <c r="AE107" i="22"/>
  <c r="AE103" i="22"/>
  <c r="AE115" i="22"/>
  <c r="BA24" i="22"/>
  <c r="BB23" i="22"/>
  <c r="D31" i="72" s="1"/>
  <c r="BB24" i="22"/>
  <c r="BA21" i="22"/>
  <c r="BB20" i="22"/>
  <c r="BE20" i="22" s="1"/>
  <c r="AF127" i="22"/>
  <c r="AF130" i="22"/>
  <c r="BB100" i="22"/>
  <c r="BE100" i="22" s="1"/>
  <c r="BF100" i="22" s="1"/>
  <c r="BE21" i="22"/>
  <c r="D29" i="72"/>
  <c r="AF109" i="22"/>
  <c r="F78" i="72"/>
  <c r="D78" i="72"/>
  <c r="BE98" i="22"/>
  <c r="D111" i="72"/>
  <c r="BE99" i="22"/>
  <c r="D112" i="72"/>
  <c r="D79" i="72"/>
  <c r="BE136" i="22"/>
  <c r="F149" i="72" s="1"/>
  <c r="F74" i="72"/>
  <c r="D75" i="72"/>
  <c r="AF115" i="22"/>
  <c r="BE143" i="22"/>
  <c r="F156" i="72" s="1"/>
  <c r="D80" i="72"/>
  <c r="F76" i="72"/>
  <c r="BA136" i="22"/>
  <c r="D77" i="72"/>
  <c r="AP13" i="22"/>
  <c r="BA144" i="22"/>
  <c r="BA23" i="22"/>
  <c r="BA143" i="22"/>
  <c r="BA139" i="22"/>
  <c r="BA138" i="22"/>
  <c r="BA137" i="22"/>
  <c r="BA140" i="22"/>
  <c r="BB135" i="22"/>
  <c r="D148" i="72" s="1"/>
  <c r="G71" i="72"/>
  <c r="AP12" i="22"/>
  <c r="AP16" i="22"/>
  <c r="F89" i="36" s="1"/>
  <c r="D73" i="72"/>
  <c r="AP14" i="22"/>
  <c r="AF126" i="22"/>
  <c r="AF117" i="22"/>
  <c r="BA20" i="22"/>
  <c r="BA22" i="22"/>
  <c r="AO16" i="22"/>
  <c r="AO13" i="22"/>
  <c r="AE109" i="22"/>
  <c r="AO14" i="22"/>
  <c r="AO12" i="22"/>
  <c r="G77" i="72"/>
  <c r="F77" i="72"/>
  <c r="G72" i="72"/>
  <c r="F72" i="72"/>
  <c r="G75" i="72"/>
  <c r="F75" i="72"/>
  <c r="G73" i="72"/>
  <c r="F73" i="72"/>
  <c r="G80" i="72"/>
  <c r="F80" i="72"/>
  <c r="AM162" i="59" a="1"/>
  <c r="AM162" i="59" s="1"/>
  <c r="AM147" i="11" a="1"/>
  <c r="AM147" i="11" s="1"/>
  <c r="D30" i="72" l="1"/>
  <c r="BF139" i="22"/>
  <c r="BF144" i="22"/>
  <c r="BF141" i="22"/>
  <c r="BF138" i="22"/>
  <c r="BF137" i="22"/>
  <c r="BF140" i="22"/>
  <c r="BF142" i="22"/>
  <c r="BF136" i="22"/>
  <c r="BF70" i="22"/>
  <c r="G81" i="72" s="1"/>
  <c r="F81" i="72"/>
  <c r="BE24" i="22"/>
  <c r="D32" i="72"/>
  <c r="BE23" i="22"/>
  <c r="BF23" i="22" s="1"/>
  <c r="G31" i="72" s="1"/>
  <c r="D28" i="72"/>
  <c r="D113" i="72"/>
  <c r="BF20" i="22"/>
  <c r="G28" i="72" s="1"/>
  <c r="F28" i="72"/>
  <c r="BF21" i="22"/>
  <c r="G29" i="72" s="1"/>
  <c r="F29" i="72"/>
  <c r="BF22" i="22"/>
  <c r="G30" i="72" s="1"/>
  <c r="F30" i="72"/>
  <c r="G78" i="72"/>
  <c r="BF99" i="22"/>
  <c r="F112" i="72"/>
  <c r="BE135" i="22"/>
  <c r="F148" i="72" s="1"/>
  <c r="G79" i="72"/>
  <c r="F79" i="72"/>
  <c r="BF98" i="22"/>
  <c r="F111" i="72"/>
  <c r="F113" i="72"/>
  <c r="G74" i="72"/>
  <c r="G51" i="36"/>
  <c r="BF143" i="22"/>
  <c r="G76" i="72"/>
  <c r="H51" i="36"/>
  <c r="F71" i="72"/>
  <c r="AM163" i="59" a="1"/>
  <c r="AM163" i="59" s="1"/>
  <c r="AM148" i="11" a="1"/>
  <c r="AM148" i="11" s="1"/>
  <c r="BF24" i="22" l="1"/>
  <c r="G32" i="72" s="1"/>
  <c r="F32" i="72"/>
  <c r="F31" i="72"/>
  <c r="G111" i="72"/>
  <c r="BF135" i="22"/>
  <c r="E89" i="36"/>
  <c r="H89" i="36"/>
  <c r="G89" i="36"/>
  <c r="AM164" i="59" a="1"/>
  <c r="AM164" i="59" s="1"/>
  <c r="AM149" i="11" a="1"/>
  <c r="AM149" i="11" s="1"/>
  <c r="AM165" i="59" l="1" a="1"/>
  <c r="AM165" i="59" s="1"/>
  <c r="AM150" i="11" a="1"/>
  <c r="AM150" i="11" s="1"/>
  <c r="AM166" i="59" l="1" a="1"/>
  <c r="AM166" i="59" s="1"/>
  <c r="AM151" i="11" a="1"/>
  <c r="AM151" i="11" s="1"/>
  <c r="AM167" i="59" l="1" a="1"/>
  <c r="AM167" i="59" s="1"/>
  <c r="AM152" i="11" a="1"/>
  <c r="AM152" i="11" s="1"/>
  <c r="AM168" i="59" l="1" a="1"/>
  <c r="AM168" i="59" s="1"/>
  <c r="AM153" i="11" a="1"/>
  <c r="AM153" i="11" s="1"/>
  <c r="AM169" i="59" l="1" a="1"/>
  <c r="AM169" i="59" s="1"/>
  <c r="AM154" i="11" a="1"/>
  <c r="AM154" i="11" s="1"/>
  <c r="AM170" i="59" l="1" a="1"/>
  <c r="AM170" i="59" s="1"/>
  <c r="AM155" i="11" a="1"/>
  <c r="AM155" i="11" s="1"/>
  <c r="AM171" i="59" l="1" a="1"/>
  <c r="AM171" i="59" s="1"/>
  <c r="AM156" i="11" a="1"/>
  <c r="AM156" i="11" s="1"/>
  <c r="AM172" i="59" l="1" a="1"/>
  <c r="AM172" i="59" s="1"/>
  <c r="AM157" i="11" a="1"/>
  <c r="AM157" i="11" s="1"/>
  <c r="AM173" i="59" l="1" a="1"/>
  <c r="AM173" i="59" s="1"/>
  <c r="AM158" i="11" a="1"/>
  <c r="AM158" i="11" s="1"/>
  <c r="AM174" i="59" l="1" a="1"/>
  <c r="AM174" i="59" s="1"/>
  <c r="AM159" i="11" a="1"/>
  <c r="AM159" i="11" s="1"/>
  <c r="AM175" i="59" l="1" a="1"/>
  <c r="AM175" i="59" s="1"/>
  <c r="AM160" i="11" a="1"/>
  <c r="AM160" i="11" s="1"/>
  <c r="AM176" i="59" l="1" a="1"/>
  <c r="AM176" i="59" s="1"/>
  <c r="AM161" i="11" a="1"/>
  <c r="AM161" i="11" s="1"/>
  <c r="AM177" i="59" l="1" a="1"/>
  <c r="AM177" i="59" s="1"/>
  <c r="AM162" i="11" a="1"/>
  <c r="AM162" i="11" s="1"/>
  <c r="AM178" i="59" l="1" a="1"/>
  <c r="AM178" i="59" s="1"/>
  <c r="AM163" i="11" a="1"/>
  <c r="AM163" i="11" s="1"/>
  <c r="AM179" i="59" l="1" a="1"/>
  <c r="AM179" i="59" s="1"/>
  <c r="AM164" i="11" a="1"/>
  <c r="AM164" i="11" s="1"/>
  <c r="AM180" i="59" l="1" a="1"/>
  <c r="AM180" i="59" s="1"/>
  <c r="AM165" i="11" a="1"/>
  <c r="AM165" i="11" s="1"/>
  <c r="AM181" i="59" l="1" a="1"/>
  <c r="AM181" i="59" s="1"/>
  <c r="AM166" i="11" a="1"/>
  <c r="AM166" i="11" s="1"/>
  <c r="AM182" i="59" l="1" a="1"/>
  <c r="AM182" i="59" s="1"/>
  <c r="AM167" i="11" a="1"/>
  <c r="AM167" i="11" s="1"/>
  <c r="AM183" i="59" l="1" a="1"/>
  <c r="AM183" i="59" s="1"/>
  <c r="AM168" i="11" a="1"/>
  <c r="AM168" i="11" s="1"/>
  <c r="AM184" i="59" l="1" a="1"/>
  <c r="AM184" i="59" s="1"/>
  <c r="AM169" i="11" a="1"/>
  <c r="AM169" i="11" s="1"/>
  <c r="AM185" i="59" l="1" a="1"/>
  <c r="AM185" i="59" s="1"/>
  <c r="AM170" i="11" a="1"/>
  <c r="AM170" i="11" s="1"/>
  <c r="AM186" i="59" l="1" a="1"/>
  <c r="AM186" i="59" s="1"/>
  <c r="AM171" i="11" a="1"/>
  <c r="AM171" i="11" s="1"/>
  <c r="AM187" i="59" l="1" a="1"/>
  <c r="AM187" i="59" s="1"/>
  <c r="AM172" i="11" a="1"/>
  <c r="AM172" i="11" s="1"/>
  <c r="AM188" i="59" l="1" a="1"/>
  <c r="AM188" i="59" s="1"/>
  <c r="AM173" i="11" a="1"/>
  <c r="AM173" i="11" s="1"/>
  <c r="AM189" i="59" l="1" a="1"/>
  <c r="AM189" i="59" s="1"/>
  <c r="AM174" i="11" a="1"/>
  <c r="AM174" i="11" s="1"/>
  <c r="AM190" i="59" l="1" a="1"/>
  <c r="AM190" i="59" s="1"/>
  <c r="AM175" i="11" a="1"/>
  <c r="AM175" i="11" s="1"/>
  <c r="AM191" i="59" l="1" a="1"/>
  <c r="AM191" i="59" s="1"/>
  <c r="AM176" i="11" a="1"/>
  <c r="AM176" i="11" s="1"/>
  <c r="AM192" i="59" l="1" a="1"/>
  <c r="AM192" i="59" s="1"/>
  <c r="AM177" i="11" a="1"/>
  <c r="AM177" i="11" s="1"/>
  <c r="AM193" i="59" l="1" a="1"/>
  <c r="AM193" i="59" s="1"/>
  <c r="AM178" i="11" a="1"/>
  <c r="AM178" i="11" s="1"/>
  <c r="AM194" i="59" l="1" a="1"/>
  <c r="AM194" i="59" s="1"/>
  <c r="AM179" i="11" a="1"/>
  <c r="AM179" i="11" s="1"/>
  <c r="AM195" i="59" l="1" a="1"/>
  <c r="AM195" i="59" s="1"/>
  <c r="AM180" i="11" a="1"/>
  <c r="AM180" i="11" s="1"/>
  <c r="AM196" i="59" l="1" a="1"/>
  <c r="AM196" i="59" s="1"/>
  <c r="AM181" i="11" a="1"/>
  <c r="AM181" i="11" s="1"/>
  <c r="AM197" i="59" l="1" a="1"/>
  <c r="AM197" i="59" s="1"/>
  <c r="AM182" i="11" a="1"/>
  <c r="AM182" i="11" s="1"/>
  <c r="AM198" i="59" l="1" a="1"/>
  <c r="AM198" i="59" s="1"/>
  <c r="AM183" i="11" a="1"/>
  <c r="AM183" i="11" s="1"/>
  <c r="AM199" i="59" l="1" a="1"/>
  <c r="AM199" i="59" s="1"/>
  <c r="AM184" i="11" a="1"/>
  <c r="AM184" i="11" s="1"/>
  <c r="AM200" i="59" l="1" a="1"/>
  <c r="AM200" i="59" s="1"/>
  <c r="AM185" i="11" a="1"/>
  <c r="AM185" i="11" s="1"/>
  <c r="AM201" i="59" l="1" a="1"/>
  <c r="AM201" i="59" s="1"/>
  <c r="AM186" i="11" a="1"/>
  <c r="AM186" i="11" s="1"/>
  <c r="AM202" i="59" l="1" a="1"/>
  <c r="AM202" i="59" s="1"/>
  <c r="AM187" i="11" a="1"/>
  <c r="AM187" i="11" s="1"/>
  <c r="AM203" i="59" l="1" a="1"/>
  <c r="AM203" i="59" s="1"/>
  <c r="AM188" i="11" a="1"/>
  <c r="AM188" i="11" s="1"/>
  <c r="AM204" i="59" l="1" a="1"/>
  <c r="AM204" i="59" s="1"/>
  <c r="AM189" i="11" a="1"/>
  <c r="AM189" i="11" s="1"/>
  <c r="AM205" i="59" l="1" a="1"/>
  <c r="AM205" i="59" s="1"/>
  <c r="AM190" i="11" a="1"/>
  <c r="AM190" i="11" s="1"/>
  <c r="AM206" i="59" l="1" a="1"/>
  <c r="AM206" i="59" s="1"/>
  <c r="AM191" i="11" a="1"/>
  <c r="AM191" i="11" s="1"/>
  <c r="AM207" i="59" l="1" a="1"/>
  <c r="AM207" i="59" s="1"/>
  <c r="AM192" i="11" a="1"/>
  <c r="AM192" i="11" s="1"/>
  <c r="AM208" i="59" l="1" a="1"/>
  <c r="AM208" i="59" s="1"/>
  <c r="AM193" i="11" a="1"/>
  <c r="AM193" i="11" s="1"/>
  <c r="AM209" i="59" l="1" a="1"/>
  <c r="AM209" i="59" s="1"/>
  <c r="AM194" i="11" a="1"/>
  <c r="AM194" i="11" s="1"/>
  <c r="AM210" i="59" l="1" a="1"/>
  <c r="AM210" i="59" s="1"/>
  <c r="AM195" i="11" a="1"/>
  <c r="AM195" i="11" s="1"/>
  <c r="AM211" i="59" l="1" a="1"/>
  <c r="AM211" i="59" s="1"/>
  <c r="AM196" i="11" a="1"/>
  <c r="AM196" i="11" s="1"/>
  <c r="AM212" i="59" l="1" a="1"/>
  <c r="AM212" i="59" s="1"/>
  <c r="AM197" i="11" a="1"/>
  <c r="AM197" i="11" s="1"/>
  <c r="AM213" i="59" l="1" a="1"/>
  <c r="AM213" i="59" s="1"/>
  <c r="AM198" i="11" a="1"/>
  <c r="AM198" i="11" s="1"/>
  <c r="AM214" i="59" l="1" a="1"/>
  <c r="AM214" i="59" s="1"/>
  <c r="AM199" i="11" a="1"/>
  <c r="AM199" i="11" s="1"/>
  <c r="AM215" i="59" l="1" a="1"/>
  <c r="AM215" i="59" s="1"/>
  <c r="AM200" i="11" a="1"/>
  <c r="AM200" i="11" s="1"/>
  <c r="AM216" i="59" l="1" a="1"/>
  <c r="AM216" i="59" s="1"/>
  <c r="AM201" i="11" a="1"/>
  <c r="AM201" i="11" s="1"/>
  <c r="AM217" i="59" l="1" a="1"/>
  <c r="AM217" i="59" s="1"/>
  <c r="AM202" i="11" a="1"/>
  <c r="AM202" i="11" s="1"/>
  <c r="AM218" i="59" l="1" a="1"/>
  <c r="AM218" i="59" s="1"/>
  <c r="AM203" i="11" a="1"/>
  <c r="AM203" i="11" s="1"/>
  <c r="AM219" i="59" l="1" a="1"/>
  <c r="AM219" i="59" s="1"/>
  <c r="AM204" i="11" a="1"/>
  <c r="AM204" i="11" s="1"/>
  <c r="AM220" i="59" l="1" a="1"/>
  <c r="AM220" i="59" s="1"/>
  <c r="AM205" i="11" a="1"/>
  <c r="AM205" i="11" s="1"/>
  <c r="AM221" i="59" l="1" a="1"/>
  <c r="AM221" i="59" s="1"/>
  <c r="AM206" i="11" a="1"/>
  <c r="AM206" i="11" s="1"/>
  <c r="AM222" i="59" l="1" a="1"/>
  <c r="AM222" i="59" s="1"/>
  <c r="AM207" i="11" a="1"/>
  <c r="AM207" i="11" s="1"/>
  <c r="AM223" i="59" l="1" a="1"/>
  <c r="AM223" i="59" s="1"/>
  <c r="AM208" i="11" a="1"/>
  <c r="AM208" i="11" s="1"/>
  <c r="AM224" i="59" l="1" a="1"/>
  <c r="AM224" i="59" s="1"/>
  <c r="AM209" i="11" a="1"/>
  <c r="AM209" i="11" s="1"/>
  <c r="AM225" i="59" l="1" a="1"/>
  <c r="AM225" i="59" s="1"/>
  <c r="AM210" i="11" a="1"/>
  <c r="AM210" i="11" s="1"/>
  <c r="AM226" i="59" l="1" a="1"/>
  <c r="AM226" i="59" s="1"/>
  <c r="AM211" i="11" a="1"/>
  <c r="AM211" i="11" s="1"/>
  <c r="AM227" i="59" l="1" a="1"/>
  <c r="AM227" i="59" s="1"/>
  <c r="AM212" i="11" a="1"/>
  <c r="AM212" i="11" s="1"/>
  <c r="AM228" i="59" l="1" a="1"/>
  <c r="AM228" i="59" s="1"/>
  <c r="AM213" i="11" a="1"/>
  <c r="AM213" i="11" s="1"/>
  <c r="AM229" i="59" l="1" a="1"/>
  <c r="AM229" i="59" s="1"/>
  <c r="AM214" i="11" a="1"/>
  <c r="AM214" i="11" s="1"/>
  <c r="AM230" i="59" l="1" a="1"/>
  <c r="AM230" i="59" s="1"/>
  <c r="AM215" i="11" a="1"/>
  <c r="AM215" i="11" s="1"/>
  <c r="AM231" i="59" l="1" a="1"/>
  <c r="AM231" i="59" s="1"/>
  <c r="AM216" i="11" a="1"/>
  <c r="AM216" i="11" s="1"/>
  <c r="AM232" i="59" l="1" a="1"/>
  <c r="AM232" i="59" s="1"/>
  <c r="AM217" i="11" a="1"/>
  <c r="AM217" i="11" s="1"/>
  <c r="AM233" i="59" l="1" a="1"/>
  <c r="AM233" i="59" s="1"/>
  <c r="AM218" i="11" a="1"/>
  <c r="AM218" i="11" s="1"/>
  <c r="AM234" i="59" l="1" a="1"/>
  <c r="AM234" i="59" s="1"/>
  <c r="AM219" i="11" a="1"/>
  <c r="AM219" i="11" s="1"/>
  <c r="AM235" i="59" l="1" a="1"/>
  <c r="AM235" i="59" s="1"/>
  <c r="AM220" i="11" a="1"/>
  <c r="AM220" i="11" s="1"/>
  <c r="AM236" i="59" l="1" a="1"/>
  <c r="AM236" i="59" s="1"/>
  <c r="AM221" i="11" a="1"/>
  <c r="AM221" i="11" s="1"/>
  <c r="AM237" i="59" l="1" a="1"/>
  <c r="AM237" i="59" s="1"/>
  <c r="AM222" i="11" a="1"/>
  <c r="AM222" i="11" s="1"/>
  <c r="AM238" i="59" l="1" a="1"/>
  <c r="AM238" i="59" s="1"/>
  <c r="AM223" i="11" a="1"/>
  <c r="AM223" i="11" s="1"/>
  <c r="AM239" i="59" l="1" a="1"/>
  <c r="AM239" i="59" s="1"/>
  <c r="AM224" i="11" a="1"/>
  <c r="AM224" i="11" s="1"/>
  <c r="AM240" i="59" l="1" a="1"/>
  <c r="AM240" i="59" s="1"/>
  <c r="AM225" i="11" a="1"/>
  <c r="AM225" i="11" s="1"/>
  <c r="AM241" i="59" l="1" a="1"/>
  <c r="AM241" i="59" s="1"/>
  <c r="AM226" i="11" a="1"/>
  <c r="AM226" i="11" s="1"/>
  <c r="AM242" i="59" l="1" a="1"/>
  <c r="AM242" i="59" s="1"/>
  <c r="AM227" i="11" a="1"/>
  <c r="AM227" i="11" s="1"/>
  <c r="AM243" i="59" l="1" a="1"/>
  <c r="AM243" i="59" s="1"/>
  <c r="AM228" i="11" a="1"/>
  <c r="AM228" i="11" s="1"/>
  <c r="AM244" i="59" l="1" a="1"/>
  <c r="AM244" i="59" s="1"/>
  <c r="AM229" i="11" a="1"/>
  <c r="AM229" i="11" s="1"/>
  <c r="AM245" i="59" l="1" a="1"/>
  <c r="AM245" i="59" s="1"/>
  <c r="AM230" i="11" a="1"/>
  <c r="AM230" i="11" s="1"/>
  <c r="AM246" i="59" l="1" a="1"/>
  <c r="AM246" i="59" s="1"/>
  <c r="AM231" i="11" a="1"/>
  <c r="AM231" i="11" s="1"/>
  <c r="AM247" i="59" l="1" a="1"/>
  <c r="AM247" i="59" s="1"/>
  <c r="AM232" i="11" a="1"/>
  <c r="AM232" i="11" s="1"/>
  <c r="AM248" i="59" l="1" a="1"/>
  <c r="AM248" i="59" s="1"/>
  <c r="AM233" i="11" a="1"/>
  <c r="AM233" i="11" s="1"/>
  <c r="AM249" i="59" l="1" a="1"/>
  <c r="AM249" i="59" s="1"/>
  <c r="AM234" i="11" a="1"/>
  <c r="AM234" i="11" s="1"/>
  <c r="AM250" i="59" l="1" a="1"/>
  <c r="AM250" i="59" s="1"/>
  <c r="AM235" i="11" a="1"/>
  <c r="AM235" i="11" s="1"/>
  <c r="AM251" i="59" l="1" a="1"/>
  <c r="AM251" i="59" s="1"/>
  <c r="AM236" i="11" a="1"/>
  <c r="AM236" i="11" s="1"/>
  <c r="AM252" i="59" l="1" a="1"/>
  <c r="AM252" i="59" s="1"/>
  <c r="AM237" i="11" a="1"/>
  <c r="AM237" i="11" s="1"/>
  <c r="AM253" i="59" l="1" a="1"/>
  <c r="AM253" i="59" s="1"/>
  <c r="AM238" i="11" a="1"/>
  <c r="AM238" i="11" s="1"/>
  <c r="AM254" i="59" l="1" a="1"/>
  <c r="AM254" i="59" s="1"/>
  <c r="AM239" i="11" a="1"/>
  <c r="AM239" i="11" s="1"/>
  <c r="AM255" i="59" l="1" a="1"/>
  <c r="AM255" i="59" s="1"/>
  <c r="AM240" i="11" a="1"/>
  <c r="AM240" i="11" s="1"/>
  <c r="AM256" i="59" l="1" a="1"/>
  <c r="AM256" i="59" s="1"/>
  <c r="AM241" i="11" a="1"/>
  <c r="AM241" i="11" s="1"/>
  <c r="AM257" i="59" l="1" a="1"/>
  <c r="AM257" i="59" s="1"/>
  <c r="AM258" i="59" s="1" a="1"/>
  <c r="AM258" i="59" s="1"/>
  <c r="AM242" i="11" a="1"/>
  <c r="AM242" i="11" s="1"/>
  <c r="AM243" i="11" l="1" a="1"/>
  <c r="AM243" i="11" s="1"/>
  <c r="AM244" i="11" l="1" a="1"/>
  <c r="AM244" i="11" s="1"/>
  <c r="AM245" i="11" l="1" a="1"/>
  <c r="AM245" i="11" s="1"/>
  <c r="AD58" i="22" l="1"/>
  <c r="BD122" i="22" s="1"/>
  <c r="E135" i="72" s="1"/>
  <c r="AD74" i="22"/>
  <c r="BD130" i="22" s="1"/>
  <c r="E107" i="72" s="1"/>
  <c r="AC58" i="22"/>
  <c r="AN22" i="22"/>
  <c r="AM21" i="22"/>
  <c r="AD60" i="22"/>
  <c r="BD121" i="22" s="1"/>
  <c r="E134" i="72" s="1"/>
  <c r="AN20" i="22"/>
  <c r="F58" i="36" s="1"/>
  <c r="H58" i="36" s="1"/>
  <c r="AM20" i="22"/>
  <c r="E58" i="36" s="1"/>
  <c r="G58" i="36" s="1"/>
  <c r="AM22" i="22"/>
  <c r="AC60" i="22"/>
  <c r="AN21" i="22"/>
  <c r="AM24" i="22"/>
  <c r="AN24" i="22"/>
  <c r="AN27" i="22"/>
  <c r="AN23" i="22"/>
  <c r="AN26" i="22"/>
  <c r="AM23" i="22"/>
  <c r="AM26" i="22"/>
  <c r="AC4" i="22"/>
  <c r="AC91" i="22"/>
  <c r="AD73" i="22"/>
  <c r="BD129" i="22" s="1"/>
  <c r="E143" i="72" s="1"/>
  <c r="AC79" i="22"/>
  <c r="AC57" i="22"/>
  <c r="AD33" i="22"/>
  <c r="BD89" i="22" s="1"/>
  <c r="AD79" i="22"/>
  <c r="AC59" i="22"/>
  <c r="AC71" i="22"/>
  <c r="AD25" i="22"/>
  <c r="BD34" i="22" s="1"/>
  <c r="AD36" i="22"/>
  <c r="BD36" i="22" s="1"/>
  <c r="AD98" i="22"/>
  <c r="BD58" i="22" s="1"/>
  <c r="AC12" i="22"/>
  <c r="AD62" i="22"/>
  <c r="BD153" i="22" s="1"/>
  <c r="AD66" i="22"/>
  <c r="AD39" i="22"/>
  <c r="AC77" i="22"/>
  <c r="AD68" i="22"/>
  <c r="BD125" i="22" s="1"/>
  <c r="E138" i="72" s="1"/>
  <c r="AD63" i="22"/>
  <c r="BD93" i="22" s="1"/>
  <c r="AC56" i="22"/>
  <c r="AC29" i="22"/>
  <c r="AC30" i="22"/>
  <c r="AC16" i="22"/>
  <c r="AD29" i="22"/>
  <c r="BD86" i="22" s="1"/>
  <c r="AD21" i="22"/>
  <c r="BD81" i="22" s="1"/>
  <c r="AD57" i="22"/>
  <c r="BD92" i="22" s="1"/>
  <c r="AC78" i="22"/>
  <c r="AC65" i="22"/>
  <c r="AC53" i="22"/>
  <c r="AC6" i="22"/>
  <c r="AC54" i="22"/>
  <c r="AD52" i="22"/>
  <c r="BD46" i="22" s="1"/>
  <c r="AD24" i="22"/>
  <c r="BD83" i="22" s="1"/>
  <c r="AD11" i="22"/>
  <c r="BD112" i="22" s="1"/>
  <c r="E125" i="72" s="1"/>
  <c r="AD76" i="22"/>
  <c r="BD155" i="22" s="1"/>
  <c r="AC31" i="22"/>
  <c r="AC42" i="22"/>
  <c r="AD37" i="22"/>
  <c r="BD145" i="22" s="1"/>
  <c r="E158" i="72" s="1"/>
  <c r="AD90" i="22"/>
  <c r="BD54" i="22" s="1"/>
  <c r="AC33" i="22"/>
  <c r="AC7" i="22"/>
  <c r="AD44" i="22"/>
  <c r="BD41" i="22" s="1"/>
  <c r="AC55" i="22"/>
  <c r="AD12" i="22"/>
  <c r="BD113" i="22" s="1"/>
  <c r="E126" i="72" s="1"/>
  <c r="AC98" i="22"/>
  <c r="AC17" i="22"/>
  <c r="AC13" i="22"/>
  <c r="AC75" i="22"/>
  <c r="AC43" i="22"/>
  <c r="AD42" i="22"/>
  <c r="BD39" i="22" s="1"/>
  <c r="AD88" i="22"/>
  <c r="BD52" i="22" s="1"/>
  <c r="AD45" i="22"/>
  <c r="BD42" i="22" s="1"/>
  <c r="AD59" i="22"/>
  <c r="BD152" i="22" s="1"/>
  <c r="AC44" i="22"/>
  <c r="AC26" i="22"/>
  <c r="AD40" i="22"/>
  <c r="BD119" i="22" s="1"/>
  <c r="E132" i="72" s="1"/>
  <c r="AD18" i="22"/>
  <c r="BD5" i="22" s="1"/>
  <c r="E13" i="72" s="1"/>
  <c r="AD38" i="22"/>
  <c r="BD37" i="22" s="1"/>
  <c r="AC37" i="22"/>
  <c r="AC51" i="22"/>
  <c r="AC95" i="22"/>
  <c r="AD87" i="22"/>
  <c r="BD51" i="22" s="1"/>
  <c r="E62" i="72" s="1"/>
  <c r="AD9" i="22"/>
  <c r="BD115" i="22" s="1"/>
  <c r="E128" i="72" s="1"/>
  <c r="AC88" i="22"/>
  <c r="AD10" i="22"/>
  <c r="BD111" i="22" s="1"/>
  <c r="E124" i="72" s="1"/>
  <c r="AC38" i="22"/>
  <c r="AD70" i="22"/>
  <c r="BD127" i="22" s="1"/>
  <c r="E141" i="72" s="1"/>
  <c r="AD28" i="22"/>
  <c r="BD85" i="22" s="1"/>
  <c r="AC68" i="22"/>
  <c r="AC34" i="22"/>
  <c r="AD97" i="22"/>
  <c r="BD57" i="22" s="1"/>
  <c r="AD93" i="22"/>
  <c r="BD96" i="22" s="1"/>
  <c r="AC66" i="22"/>
  <c r="AD69" i="22"/>
  <c r="AD47" i="22"/>
  <c r="BD90" i="22" s="1"/>
  <c r="E102" i="72" s="1"/>
  <c r="AC39" i="22"/>
  <c r="AD23" i="22"/>
  <c r="BD33" i="22" s="1"/>
  <c r="AD17" i="22"/>
  <c r="BD32" i="22" s="1"/>
  <c r="AD26" i="22"/>
  <c r="AD50" i="22"/>
  <c r="AD53" i="22"/>
  <c r="BD120" i="22" s="1"/>
  <c r="E133" i="72" s="1"/>
  <c r="AC36" i="22"/>
  <c r="AC63" i="22"/>
  <c r="AC19" i="22"/>
  <c r="AD94" i="22"/>
  <c r="BD97" i="22" s="1"/>
  <c r="AD65" i="22"/>
  <c r="AC22" i="22"/>
  <c r="AD80" i="22"/>
  <c r="AD85" i="22"/>
  <c r="BD50" i="22" s="1"/>
  <c r="AD55" i="22"/>
  <c r="AC5" i="22"/>
  <c r="AD41" i="22"/>
  <c r="BD38" i="22" s="1"/>
  <c r="AC86" i="22"/>
  <c r="AC50" i="22"/>
  <c r="AC76" i="22"/>
  <c r="AD31" i="22"/>
  <c r="BD88" i="22" s="1"/>
  <c r="AC74" i="22"/>
  <c r="AC61" i="22"/>
  <c r="AC41" i="22"/>
  <c r="AD84" i="22"/>
  <c r="AD5" i="22"/>
  <c r="BD78" i="22" s="1"/>
  <c r="E90" i="72" s="1"/>
  <c r="AC69" i="22"/>
  <c r="AC67" i="22"/>
  <c r="AC70" i="22"/>
  <c r="AC45" i="22"/>
  <c r="AC90" i="22"/>
  <c r="AD99" i="22"/>
  <c r="BD59" i="22" s="1"/>
  <c r="AD6" i="22"/>
  <c r="BD79" i="22" s="1"/>
  <c r="E91" i="72" s="1"/>
  <c r="AC48" i="22"/>
  <c r="AC47" i="22"/>
  <c r="AD22" i="22"/>
  <c r="BD82" i="22" s="1"/>
  <c r="AC10" i="22"/>
  <c r="AD82" i="22"/>
  <c r="AD61" i="22"/>
  <c r="AC96" i="22"/>
  <c r="AC25" i="22"/>
  <c r="AC81" i="22"/>
  <c r="AD51" i="22"/>
  <c r="BD45" i="22" s="1"/>
  <c r="AD48" i="22"/>
  <c r="BD91" i="22" s="1"/>
  <c r="AC18" i="22"/>
  <c r="AD92" i="22"/>
  <c r="BD95" i="22" s="1"/>
  <c r="AD86" i="22"/>
  <c r="AD83" i="22"/>
  <c r="AD64" i="22"/>
  <c r="BD154" i="22" s="1"/>
  <c r="AD20" i="22"/>
  <c r="BD116" i="22" s="1"/>
  <c r="E129" i="72" s="1"/>
  <c r="AD67" i="22"/>
  <c r="AC94" i="22"/>
  <c r="AC62" i="22"/>
  <c r="AC9" i="22"/>
  <c r="AD30" i="22"/>
  <c r="BD87" i="22" s="1"/>
  <c r="AC52" i="22"/>
  <c r="AD91" i="22"/>
  <c r="BD134" i="22" s="1"/>
  <c r="E147" i="72" s="1"/>
  <c r="AC20" i="22"/>
  <c r="AD27" i="22"/>
  <c r="BD84" i="22" s="1"/>
  <c r="AD71" i="22"/>
  <c r="BD49" i="22" s="1"/>
  <c r="AC83" i="22"/>
  <c r="AD95" i="22"/>
  <c r="BD55" i="22" s="1"/>
  <c r="AC14" i="22"/>
  <c r="AC99" i="22"/>
  <c r="AD14" i="22"/>
  <c r="BD30" i="22" s="1"/>
  <c r="AD16" i="22"/>
  <c r="BD31" i="22" s="1"/>
  <c r="AD46" i="22"/>
  <c r="BD43" i="22" s="1"/>
  <c r="AC46" i="22"/>
  <c r="AD77" i="22"/>
  <c r="BD132" i="22" s="1"/>
  <c r="E145" i="72" s="1"/>
  <c r="AD81" i="22"/>
  <c r="AC64" i="22"/>
  <c r="AD19" i="22"/>
  <c r="AD7" i="22"/>
  <c r="BD80" i="22" s="1"/>
  <c r="AD34" i="22"/>
  <c r="AC11" i="22"/>
  <c r="AD96" i="22"/>
  <c r="BD56" i="22" s="1"/>
  <c r="AC32" i="22"/>
  <c r="AC27" i="22"/>
  <c r="AC49" i="22"/>
  <c r="AC80" i="22"/>
  <c r="AC73" i="22"/>
  <c r="AC82" i="22"/>
  <c r="AC89" i="22"/>
  <c r="AC93" i="22"/>
  <c r="AC24" i="22"/>
  <c r="AD32" i="22"/>
  <c r="BD35" i="22" s="1"/>
  <c r="AD54" i="22"/>
  <c r="BD47" i="22" s="1"/>
  <c r="AC87" i="22"/>
  <c r="AC23" i="22"/>
  <c r="AC92" i="22"/>
  <c r="AD49" i="22"/>
  <c r="BD44" i="22" s="1"/>
  <c r="AC84" i="22"/>
  <c r="AD89" i="22"/>
  <c r="BD53" i="22" s="1"/>
  <c r="AD56" i="22"/>
  <c r="BD48" i="22" s="1"/>
  <c r="AC40" i="22"/>
  <c r="AC85" i="22"/>
  <c r="AD75" i="22"/>
  <c r="BD131" i="22" s="1"/>
  <c r="E144" i="72" s="1"/>
  <c r="AC28" i="22"/>
  <c r="AD13" i="22"/>
  <c r="BD114" i="22" s="1"/>
  <c r="E127" i="72" s="1"/>
  <c r="AD78" i="22"/>
  <c r="BD133" i="22" s="1"/>
  <c r="E146" i="72" s="1"/>
  <c r="AC21" i="22"/>
  <c r="AD43" i="22"/>
  <c r="BD40" i="22" s="1"/>
  <c r="AM246" i="11" a="1"/>
  <c r="AM246" i="11" s="1"/>
  <c r="BD11" i="22" l="1"/>
  <c r="E19" i="72" s="1"/>
  <c r="BD146" i="22"/>
  <c r="E140" i="72" s="1"/>
  <c r="BD9" i="22"/>
  <c r="E17" i="72" s="1"/>
  <c r="BD12" i="22"/>
  <c r="E20" i="72" s="1"/>
  <c r="BD15" i="22"/>
  <c r="E23" i="72" s="1"/>
  <c r="BD13" i="22"/>
  <c r="E21" i="72" s="1"/>
  <c r="BD14" i="22"/>
  <c r="E22" i="72" s="1"/>
  <c r="BD10" i="22"/>
  <c r="E18" i="72" s="1"/>
  <c r="BD7" i="22"/>
  <c r="E15" i="72" s="1"/>
  <c r="BD16" i="22"/>
  <c r="E24" i="72" s="1"/>
  <c r="BD17" i="22"/>
  <c r="E25" i="72" s="1"/>
  <c r="E70" i="72"/>
  <c r="BD19" i="22"/>
  <c r="E27" i="72" s="1"/>
  <c r="BD18" i="22"/>
  <c r="E26" i="72" s="1"/>
  <c r="BD6" i="22"/>
  <c r="E14" i="72" s="1"/>
  <c r="BD8" i="22"/>
  <c r="E16" i="72" s="1"/>
  <c r="BD124" i="22"/>
  <c r="E137" i="72" s="1"/>
  <c r="BD123" i="22"/>
  <c r="E136" i="72" s="1"/>
  <c r="BD94" i="22"/>
  <c r="E106" i="72" s="1"/>
  <c r="BD126" i="22"/>
  <c r="E139" i="72" s="1"/>
  <c r="AD8" i="22"/>
  <c r="AC15" i="22"/>
  <c r="AO21" i="22" s="1"/>
  <c r="AD35" i="22"/>
  <c r="AM25" i="22"/>
  <c r="AD15" i="22"/>
  <c r="AN25" i="22"/>
  <c r="AC8" i="22"/>
  <c r="AO20" i="22" s="1"/>
  <c r="AC35" i="22"/>
  <c r="AO22" i="22" s="1"/>
  <c r="AD72" i="22"/>
  <c r="AC72" i="22"/>
  <c r="AO25" i="22" s="1"/>
  <c r="AO23" i="22"/>
  <c r="AP27" i="22"/>
  <c r="AP26" i="22"/>
  <c r="AP24" i="22"/>
  <c r="AP23" i="22"/>
  <c r="AO26" i="22"/>
  <c r="AO24" i="22"/>
  <c r="AM27" i="22"/>
  <c r="AC97" i="22"/>
  <c r="AO27" i="22" s="1"/>
  <c r="E53" i="72"/>
  <c r="E99" i="72"/>
  <c r="E51" i="72"/>
  <c r="E55" i="72"/>
  <c r="E54" i="72"/>
  <c r="E41" i="72"/>
  <c r="E58" i="72"/>
  <c r="E94" i="72"/>
  <c r="E97" i="72"/>
  <c r="E69" i="72"/>
  <c r="E42" i="72"/>
  <c r="E68" i="72"/>
  <c r="E46" i="72"/>
  <c r="E57" i="72"/>
  <c r="E109" i="72"/>
  <c r="E104" i="72"/>
  <c r="E52" i="72"/>
  <c r="E95" i="72"/>
  <c r="E98" i="72"/>
  <c r="E48" i="72"/>
  <c r="E101" i="72"/>
  <c r="E59" i="72"/>
  <c r="E103" i="72"/>
  <c r="E92" i="72"/>
  <c r="E56" i="72"/>
  <c r="E108" i="72"/>
  <c r="E100" i="72"/>
  <c r="E67" i="72"/>
  <c r="E50" i="72"/>
  <c r="E110" i="72"/>
  <c r="E60" i="72"/>
  <c r="E43" i="72"/>
  <c r="E105" i="72"/>
  <c r="E66" i="72"/>
  <c r="E61" i="72"/>
  <c r="E65" i="72"/>
  <c r="E64" i="72"/>
  <c r="E47" i="72"/>
  <c r="E44" i="72"/>
  <c r="E96" i="72"/>
  <c r="E49" i="72"/>
  <c r="E63" i="72"/>
  <c r="AD4" i="22"/>
  <c r="BD77" i="22" s="1"/>
  <c r="E93" i="72"/>
  <c r="E45" i="72"/>
  <c r="AM247" i="11" a="1"/>
  <c r="AM247" i="11" s="1"/>
  <c r="E33" i="72" l="1"/>
  <c r="E82" i="72"/>
  <c r="AP21" i="22"/>
  <c r="BD117" i="22"/>
  <c r="E130" i="72" s="1"/>
  <c r="AP22" i="22"/>
  <c r="BD118" i="22"/>
  <c r="E131" i="72" s="1"/>
  <c r="AP25" i="22"/>
  <c r="BD128" i="22"/>
  <c r="E142" i="72" s="1"/>
  <c r="AP20" i="22"/>
  <c r="E89" i="72"/>
  <c r="E114" i="72" s="1"/>
  <c r="AM248" i="11" a="1"/>
  <c r="AM248" i="11" s="1"/>
  <c r="AM249" i="11" l="1" a="1"/>
  <c r="AM249" i="11" s="1"/>
  <c r="AM250" i="11" l="1" a="1"/>
  <c r="AM250" i="11" s="1"/>
  <c r="AM251" i="11" l="1" a="1"/>
  <c r="AM251" i="11" s="1"/>
  <c r="AM252" i="11" l="1" a="1"/>
  <c r="AM252" i="11" s="1"/>
  <c r="AM253" i="11" l="1" a="1"/>
  <c r="AM253" i="11" s="1"/>
  <c r="AM254" i="11" l="1" a="1"/>
  <c r="AM254" i="11" s="1"/>
  <c r="AM255" i="11" l="1" a="1"/>
  <c r="AM255" i="11" s="1"/>
  <c r="AM256" i="11" l="1" a="1"/>
  <c r="AM256" i="11" s="1"/>
  <c r="AM257" i="11" l="1" a="1"/>
  <c r="AM257" i="11" s="1"/>
  <c r="AM258" i="11" s="1" a="1"/>
  <c r="AM258" i="11" s="1"/>
  <c r="AZ80" i="22" l="1"/>
  <c r="AY154" i="22"/>
  <c r="AY50" i="22"/>
  <c r="AY49" i="22"/>
  <c r="AY52" i="22"/>
  <c r="AY114" i="22"/>
  <c r="AY96" i="22"/>
  <c r="AY124" i="22"/>
  <c r="AY131" i="22"/>
  <c r="AY121" i="22"/>
  <c r="AY122" i="22"/>
  <c r="AZ121" i="22"/>
  <c r="AY43" i="22"/>
  <c r="AZ122" i="22"/>
  <c r="AY32" i="22"/>
  <c r="AY86" i="22"/>
  <c r="AY84" i="22"/>
  <c r="AY130" i="22"/>
  <c r="AY58" i="22"/>
  <c r="AY54" i="22"/>
  <c r="AY56" i="22"/>
  <c r="AY57" i="22"/>
  <c r="AY48" i="22"/>
  <c r="AY11" i="22"/>
  <c r="AZ51" i="22"/>
  <c r="AY44" i="22"/>
  <c r="AY5" i="22"/>
  <c r="AY125" i="22"/>
  <c r="AY6" i="22"/>
  <c r="AY93" i="22"/>
  <c r="AZ128" i="22"/>
  <c r="AY87" i="22"/>
  <c r="AY42" i="22"/>
  <c r="AY111" i="22"/>
  <c r="AY127" i="22"/>
  <c r="AY46" i="22"/>
  <c r="AZ117" i="22"/>
  <c r="AY91" i="22"/>
  <c r="AY134" i="22"/>
  <c r="AY17" i="22"/>
  <c r="AY118" i="22"/>
  <c r="AY14" i="22"/>
  <c r="AY113" i="22"/>
  <c r="AY80" i="22"/>
  <c r="AY117" i="22"/>
  <c r="AY155" i="22"/>
  <c r="AY89" i="22"/>
  <c r="AY8" i="22"/>
  <c r="AY92" i="22"/>
  <c r="AY115" i="22"/>
  <c r="AY37" i="22"/>
  <c r="AY79" i="22"/>
  <c r="AY97" i="22"/>
  <c r="AY40" i="22"/>
  <c r="AY132" i="22"/>
  <c r="AY85" i="22"/>
  <c r="AY53" i="22"/>
  <c r="AY133" i="22"/>
  <c r="AY152" i="22"/>
  <c r="AY128" i="22"/>
  <c r="AY39" i="22"/>
  <c r="AY82" i="22"/>
  <c r="AZ130" i="22"/>
  <c r="AY45" i="22"/>
  <c r="AY16" i="22"/>
  <c r="AY12" i="22"/>
  <c r="AY120" i="22"/>
  <c r="AY153" i="22"/>
  <c r="AY31" i="22"/>
  <c r="AY35" i="22"/>
  <c r="AY36" i="22"/>
  <c r="AY55" i="22"/>
  <c r="AY47" i="22"/>
  <c r="AY126" i="22"/>
  <c r="AY119" i="22"/>
  <c r="AY83" i="22"/>
  <c r="AY90" i="22"/>
  <c r="AY10" i="22"/>
  <c r="AY95" i="22"/>
  <c r="AY78" i="22"/>
  <c r="AY116" i="22"/>
  <c r="AY33" i="22"/>
  <c r="AY18" i="22"/>
  <c r="AY30" i="22"/>
  <c r="AY15" i="22"/>
  <c r="AY88" i="22"/>
  <c r="AY7" i="22"/>
  <c r="AY145" i="22"/>
  <c r="AY81" i="22"/>
  <c r="AY51" i="22"/>
  <c r="AY38" i="22"/>
  <c r="AZ118" i="22"/>
  <c r="AY112" i="22"/>
  <c r="AY94" i="22"/>
  <c r="AY129" i="22"/>
  <c r="AY34" i="22"/>
  <c r="AY41" i="22"/>
  <c r="AZ95" i="22" l="1"/>
  <c r="AZ78" i="22"/>
  <c r="AZ93" i="22"/>
  <c r="AZ32" i="22"/>
  <c r="AZ11" i="22"/>
  <c r="AZ12" i="22"/>
  <c r="AZ47" i="22"/>
  <c r="AZ119" i="22"/>
  <c r="AZ30" i="22"/>
  <c r="AZ56" i="22"/>
  <c r="AZ116" i="22"/>
  <c r="AZ113" i="22"/>
  <c r="AZ152" i="22"/>
  <c r="AZ18" i="22"/>
  <c r="AZ134" i="22"/>
  <c r="AZ87" i="22"/>
  <c r="AZ86" i="22"/>
  <c r="AZ16" i="22"/>
  <c r="AZ85" i="22"/>
  <c r="AZ10" i="22"/>
  <c r="AZ153" i="22"/>
  <c r="AZ8" i="22"/>
  <c r="AZ44" i="22"/>
  <c r="AZ96" i="22"/>
  <c r="AZ155" i="22"/>
  <c r="AZ49" i="22"/>
  <c r="AZ111" i="22"/>
  <c r="AZ5" i="22"/>
  <c r="AZ90" i="22"/>
  <c r="AZ79" i="22"/>
  <c r="AZ131" i="22"/>
  <c r="AZ42" i="22"/>
  <c r="AZ46" i="22"/>
  <c r="AZ7" i="22"/>
  <c r="AZ94" i="22"/>
  <c r="AZ58" i="22"/>
  <c r="AZ48" i="22"/>
  <c r="AZ112" i="22"/>
  <c r="AZ127" i="22"/>
  <c r="AZ81" i="22"/>
  <c r="AZ124" i="22"/>
  <c r="AZ126" i="22"/>
  <c r="AZ55" i="22"/>
  <c r="AZ83" i="22"/>
  <c r="AZ54" i="22"/>
  <c r="AZ88" i="22"/>
  <c r="AZ97" i="22"/>
  <c r="AZ17" i="22"/>
  <c r="AZ89" i="22"/>
  <c r="AZ92" i="22"/>
  <c r="AZ129" i="22"/>
  <c r="AZ84" i="22"/>
  <c r="AZ15" i="22"/>
  <c r="AZ77" i="22"/>
  <c r="AZ35" i="22"/>
  <c r="AZ50" i="22"/>
  <c r="AZ53" i="22"/>
  <c r="AZ34" i="22"/>
  <c r="AZ82" i="22"/>
  <c r="AZ31" i="22"/>
  <c r="AZ33" i="22"/>
  <c r="Q4" i="22"/>
  <c r="BA77" i="22" s="1"/>
  <c r="AY77" i="22"/>
  <c r="AZ115" i="22"/>
  <c r="AZ145" i="22"/>
  <c r="AZ125" i="22"/>
  <c r="AZ40" i="22"/>
  <c r="AZ41" i="22"/>
  <c r="AZ52" i="22"/>
  <c r="AZ36" i="22"/>
  <c r="AZ45" i="22"/>
  <c r="AZ120" i="22"/>
  <c r="AZ133" i="22"/>
  <c r="AZ14" i="22"/>
  <c r="AZ132" i="22"/>
  <c r="AZ91" i="22"/>
  <c r="AZ6" i="22"/>
  <c r="AZ114" i="22"/>
  <c r="AZ154" i="22"/>
  <c r="AZ37" i="22"/>
  <c r="AZ38" i="22"/>
  <c r="AZ39" i="22"/>
  <c r="AZ43" i="22"/>
  <c r="R7" i="22"/>
  <c r="AF7" i="22" s="1"/>
  <c r="E59" i="36"/>
  <c r="G59" i="36" s="1"/>
  <c r="E65" i="36"/>
  <c r="G65" i="36" s="1"/>
  <c r="E61" i="36"/>
  <c r="G61" i="36" s="1"/>
  <c r="E62" i="36"/>
  <c r="G62" i="36" s="1"/>
  <c r="E63" i="36"/>
  <c r="G63" i="36" s="1"/>
  <c r="F61" i="36"/>
  <c r="H61" i="36" s="1"/>
  <c r="F62" i="36"/>
  <c r="H62" i="36" s="1"/>
  <c r="F60" i="36"/>
  <c r="H60" i="36" s="1"/>
  <c r="F59" i="36"/>
  <c r="H59" i="36" s="1"/>
  <c r="E60" i="36"/>
  <c r="G60" i="36" s="1"/>
  <c r="F63" i="36"/>
  <c r="H63" i="36" s="1"/>
  <c r="AM11" i="22"/>
  <c r="E46" i="36" s="1"/>
  <c r="E40" i="36"/>
  <c r="AM9" i="22"/>
  <c r="E44" i="36" s="1"/>
  <c r="AN7" i="22"/>
  <c r="F42" i="36" s="1"/>
  <c r="AM7" i="22"/>
  <c r="E42" i="36" s="1"/>
  <c r="AM4" i="22"/>
  <c r="AM8" i="22"/>
  <c r="E43" i="36" s="1"/>
  <c r="AN8" i="22"/>
  <c r="F43" i="36" s="1"/>
  <c r="AN6" i="22"/>
  <c r="F41" i="36" s="1"/>
  <c r="AN5" i="22"/>
  <c r="F40" i="36" s="1"/>
  <c r="AM6" i="22"/>
  <c r="E41" i="36" s="1"/>
  <c r="AN9" i="22"/>
  <c r="F44" i="36" s="1"/>
  <c r="R14" i="22"/>
  <c r="BB30" i="22" s="1"/>
  <c r="R24" i="22"/>
  <c r="R75" i="22"/>
  <c r="BB131" i="22" s="1"/>
  <c r="D144" i="72" s="1"/>
  <c r="R5" i="22"/>
  <c r="BB78" i="22" s="1"/>
  <c r="D90" i="72" s="1"/>
  <c r="R20" i="22"/>
  <c r="BB116" i="22" s="1"/>
  <c r="D129" i="72" s="1"/>
  <c r="R12" i="22"/>
  <c r="BB113" i="22" s="1"/>
  <c r="D126" i="72" s="1"/>
  <c r="Q50" i="22"/>
  <c r="Q5" i="22"/>
  <c r="BA78" i="22" s="1"/>
  <c r="Q24" i="22"/>
  <c r="BA83" i="22" s="1"/>
  <c r="Q69" i="22"/>
  <c r="Q54" i="22"/>
  <c r="BA47" i="22" s="1"/>
  <c r="R45" i="22"/>
  <c r="BB42" i="22" s="1"/>
  <c r="Q32" i="22"/>
  <c r="BA35" i="22" s="1"/>
  <c r="R30" i="22"/>
  <c r="BB87" i="22" s="1"/>
  <c r="Q83" i="22"/>
  <c r="R29" i="22"/>
  <c r="BB86" i="22" s="1"/>
  <c r="Q42" i="22"/>
  <c r="BA39" i="22" s="1"/>
  <c r="Q72" i="22"/>
  <c r="BA128" i="22" s="1"/>
  <c r="Q89" i="22"/>
  <c r="BA53" i="22" s="1"/>
  <c r="Q28" i="22"/>
  <c r="BA85" i="22" s="1"/>
  <c r="Q94" i="22"/>
  <c r="BA97" i="22" s="1"/>
  <c r="R57" i="22"/>
  <c r="BB92" i="22" s="1"/>
  <c r="Q79" i="22"/>
  <c r="R54" i="22"/>
  <c r="BB47" i="22" s="1"/>
  <c r="Q7" i="22"/>
  <c r="BA80" i="22" s="1"/>
  <c r="R65" i="22"/>
  <c r="Q48" i="22"/>
  <c r="BA91" i="22" s="1"/>
  <c r="Q52" i="22"/>
  <c r="BA46" i="22" s="1"/>
  <c r="R99" i="22"/>
  <c r="BB59" i="22" s="1"/>
  <c r="BE59" i="22" s="1"/>
  <c r="BF59" i="22" s="1"/>
  <c r="R66" i="22"/>
  <c r="R13" i="22"/>
  <c r="BB114" i="22" s="1"/>
  <c r="D127" i="72" s="1"/>
  <c r="Q49" i="22"/>
  <c r="BA44" i="22" s="1"/>
  <c r="R85" i="22"/>
  <c r="BB50" i="22" s="1"/>
  <c r="R56" i="22"/>
  <c r="BB48" i="22" s="1"/>
  <c r="Q96" i="22"/>
  <c r="BA56" i="22" s="1"/>
  <c r="R11" i="22"/>
  <c r="BB112" i="22" s="1"/>
  <c r="D125" i="72" s="1"/>
  <c r="R70" i="22"/>
  <c r="BB127" i="22" s="1"/>
  <c r="D141" i="72" s="1"/>
  <c r="R21" i="22"/>
  <c r="R93" i="22"/>
  <c r="BB96" i="22" s="1"/>
  <c r="R61" i="22"/>
  <c r="R41" i="22"/>
  <c r="BB38" i="22" s="1"/>
  <c r="R42" i="22"/>
  <c r="BB39" i="22" s="1"/>
  <c r="Q58" i="22"/>
  <c r="BA122" i="22" s="1"/>
  <c r="Q67" i="22"/>
  <c r="R9" i="22"/>
  <c r="R37" i="22"/>
  <c r="BB145" i="22" s="1"/>
  <c r="D158" i="72" s="1"/>
  <c r="Q44" i="22"/>
  <c r="BA41" i="22" s="1"/>
  <c r="Q73" i="22"/>
  <c r="BA129" i="22" s="1"/>
  <c r="R92" i="22"/>
  <c r="BB95" i="22" s="1"/>
  <c r="Q11" i="22"/>
  <c r="BA112" i="22" s="1"/>
  <c r="Q87" i="22"/>
  <c r="BA51" i="22" s="1"/>
  <c r="R90" i="22"/>
  <c r="BB54" i="22" s="1"/>
  <c r="Q37" i="22"/>
  <c r="BA145" i="22" s="1"/>
  <c r="R63" i="22"/>
  <c r="BB93" i="22" s="1"/>
  <c r="Q19" i="22"/>
  <c r="R44" i="22"/>
  <c r="BB41" i="22" s="1"/>
  <c r="Q92" i="22"/>
  <c r="BA95" i="22" s="1"/>
  <c r="R88" i="22"/>
  <c r="BB52" i="22" s="1"/>
  <c r="R36" i="22"/>
  <c r="BB36" i="22" s="1"/>
  <c r="R94" i="22"/>
  <c r="BB97" i="22" s="1"/>
  <c r="Q36" i="22"/>
  <c r="BA36" i="22" s="1"/>
  <c r="R82" i="22"/>
  <c r="Q62" i="22"/>
  <c r="BA153" i="22" s="1"/>
  <c r="Q26" i="22"/>
  <c r="R78" i="22"/>
  <c r="BB133" i="22" s="1"/>
  <c r="D146" i="72" s="1"/>
  <c r="R8" i="22"/>
  <c r="R86" i="22"/>
  <c r="R77" i="22"/>
  <c r="BB132" i="22" s="1"/>
  <c r="D145" i="72" s="1"/>
  <c r="Q77" i="22"/>
  <c r="BA132" i="22" s="1"/>
  <c r="R48" i="22"/>
  <c r="BB91" i="22" s="1"/>
  <c r="Q9" i="22"/>
  <c r="BA115" i="22" s="1"/>
  <c r="Q33" i="22"/>
  <c r="BA89" i="22" s="1"/>
  <c r="R73" i="22"/>
  <c r="BB129" i="22" s="1"/>
  <c r="D143" i="72" s="1"/>
  <c r="R27" i="22"/>
  <c r="BB84" i="22" s="1"/>
  <c r="Q35" i="22"/>
  <c r="BA118" i="22" s="1"/>
  <c r="R15" i="22"/>
  <c r="BB117" i="22" s="1"/>
  <c r="D130" i="72" s="1"/>
  <c r="Q70" i="22"/>
  <c r="BA127" i="22" s="1"/>
  <c r="Q45" i="22"/>
  <c r="BA42" i="22" s="1"/>
  <c r="R72" i="22"/>
  <c r="BB128" i="22" s="1"/>
  <c r="D142" i="72" s="1"/>
  <c r="Q68" i="22"/>
  <c r="BA125" i="22" s="1"/>
  <c r="R87" i="22"/>
  <c r="BB51" i="22" s="1"/>
  <c r="D62" i="72" s="1"/>
  <c r="Q82" i="22"/>
  <c r="R89" i="22"/>
  <c r="BB53" i="22" s="1"/>
  <c r="Q74" i="22"/>
  <c r="BA130" i="22" s="1"/>
  <c r="Q27" i="22"/>
  <c r="BA84" i="22" s="1"/>
  <c r="Q61" i="22"/>
  <c r="Q17" i="22"/>
  <c r="BA32" i="22" s="1"/>
  <c r="R76" i="22"/>
  <c r="BB155" i="22" s="1"/>
  <c r="R71" i="22"/>
  <c r="BB49" i="22" s="1"/>
  <c r="R10" i="22"/>
  <c r="BB111" i="22" s="1"/>
  <c r="D124" i="72" s="1"/>
  <c r="Q75" i="22"/>
  <c r="BA131" i="22" s="1"/>
  <c r="R46" i="22"/>
  <c r="BB43" i="22" s="1"/>
  <c r="Q88" i="22"/>
  <c r="BA52" i="22" s="1"/>
  <c r="Q64" i="22"/>
  <c r="BA154" i="22" s="1"/>
  <c r="R40" i="22"/>
  <c r="BB119" i="22" s="1"/>
  <c r="D132" i="72" s="1"/>
  <c r="R69" i="22"/>
  <c r="Q84" i="22"/>
  <c r="R95" i="22"/>
  <c r="BB55" i="22" s="1"/>
  <c r="R6" i="22"/>
  <c r="R35" i="22"/>
  <c r="BB118" i="22" s="1"/>
  <c r="Q21" i="22"/>
  <c r="BA81" i="22" s="1"/>
  <c r="R31" i="22"/>
  <c r="BB88" i="22" s="1"/>
  <c r="Q31" i="22"/>
  <c r="BA88" i="22" s="1"/>
  <c r="R59" i="22"/>
  <c r="BB152" i="22" s="1"/>
  <c r="Q23" i="22"/>
  <c r="BA33" i="22" s="1"/>
  <c r="Q81" i="22"/>
  <c r="Q40" i="22"/>
  <c r="BA119" i="22" s="1"/>
  <c r="R50" i="22"/>
  <c r="Q95" i="22"/>
  <c r="BA55" i="22" s="1"/>
  <c r="R51" i="22"/>
  <c r="BB45" i="22" s="1"/>
  <c r="Q16" i="22"/>
  <c r="BA31" i="22" s="1"/>
  <c r="Q53" i="22"/>
  <c r="BA120" i="22" s="1"/>
  <c r="R39" i="22"/>
  <c r="Q51" i="22"/>
  <c r="BA45" i="22" s="1"/>
  <c r="R74" i="22"/>
  <c r="BB130" i="22" s="1"/>
  <c r="D107" i="72" s="1"/>
  <c r="Q66" i="22"/>
  <c r="Q59" i="22"/>
  <c r="BA152" i="22" s="1"/>
  <c r="R26" i="22"/>
  <c r="R28" i="22"/>
  <c r="Q6" i="22"/>
  <c r="BA79" i="22" s="1"/>
  <c r="Q57" i="22"/>
  <c r="BA92" i="22" s="1"/>
  <c r="Q76" i="22"/>
  <c r="BA155" i="22" s="1"/>
  <c r="Q15" i="22"/>
  <c r="BA117" i="22" s="1"/>
  <c r="Q12" i="22"/>
  <c r="BA113" i="22" s="1"/>
  <c r="Q39" i="22"/>
  <c r="R34" i="22"/>
  <c r="R19" i="22"/>
  <c r="R32" i="22"/>
  <c r="BB35" i="22" s="1"/>
  <c r="Q63" i="22"/>
  <c r="BA93" i="22" s="1"/>
  <c r="Q18" i="22"/>
  <c r="BA5" i="22" s="1"/>
  <c r="R62" i="22"/>
  <c r="BB153" i="22" s="1"/>
  <c r="Q56" i="22"/>
  <c r="BA48" i="22" s="1"/>
  <c r="R64" i="22"/>
  <c r="BB154" i="22" s="1"/>
  <c r="Q90" i="22"/>
  <c r="BA54" i="22" s="1"/>
  <c r="Q29" i="22"/>
  <c r="BA86" i="22" s="1"/>
  <c r="R38" i="22"/>
  <c r="BB37" i="22" s="1"/>
  <c r="R22" i="22"/>
  <c r="R84" i="22"/>
  <c r="R58" i="22"/>
  <c r="BB122" i="22" s="1"/>
  <c r="D135" i="72" s="1"/>
  <c r="R60" i="22"/>
  <c r="BB121" i="22" s="1"/>
  <c r="D134" i="72" s="1"/>
  <c r="Q60" i="22"/>
  <c r="BA121" i="22" s="1"/>
  <c r="R18" i="22"/>
  <c r="BB5" i="22" s="1"/>
  <c r="D13" i="72" s="1"/>
  <c r="Q93" i="22"/>
  <c r="BA96" i="22" s="1"/>
  <c r="Q71" i="22"/>
  <c r="BA49" i="22" s="1"/>
  <c r="Q25" i="22"/>
  <c r="BA34" i="22" s="1"/>
  <c r="Q65" i="22"/>
  <c r="R68" i="22"/>
  <c r="BB125" i="22" s="1"/>
  <c r="D138" i="72" s="1"/>
  <c r="Q41" i="22"/>
  <c r="BA38" i="22" s="1"/>
  <c r="R96" i="22"/>
  <c r="BB56" i="22" s="1"/>
  <c r="R43" i="22"/>
  <c r="BB40" i="22" s="1"/>
  <c r="Q55" i="22"/>
  <c r="Q14" i="22"/>
  <c r="BA30" i="22" s="1"/>
  <c r="Q20" i="22"/>
  <c r="BA116" i="22" s="1"/>
  <c r="Q47" i="22"/>
  <c r="BA90" i="22" s="1"/>
  <c r="R17" i="22"/>
  <c r="BB32" i="22" s="1"/>
  <c r="R91" i="22"/>
  <c r="BB134" i="22" s="1"/>
  <c r="D147" i="72" s="1"/>
  <c r="Q8" i="22"/>
  <c r="R53" i="22"/>
  <c r="BB120" i="22" s="1"/>
  <c r="D133" i="72" s="1"/>
  <c r="R33" i="22"/>
  <c r="BB89" i="22" s="1"/>
  <c r="Q22" i="22"/>
  <c r="BA82" i="22" s="1"/>
  <c r="R83" i="22"/>
  <c r="Q78" i="22"/>
  <c r="BA133" i="22" s="1"/>
  <c r="R52" i="22"/>
  <c r="BB46" i="22" s="1"/>
  <c r="Q43" i="22"/>
  <c r="BA40" i="22" s="1"/>
  <c r="Q38" i="22"/>
  <c r="BA37" i="22" s="1"/>
  <c r="R55" i="22"/>
  <c r="R81" i="22"/>
  <c r="Q86" i="22"/>
  <c r="Q91" i="22"/>
  <c r="BA134" i="22" s="1"/>
  <c r="Q10" i="22"/>
  <c r="BA111" i="22" s="1"/>
  <c r="Q99" i="22"/>
  <c r="BA59" i="22" s="1"/>
  <c r="Q30" i="22"/>
  <c r="BA87" i="22" s="1"/>
  <c r="Q34" i="22"/>
  <c r="R98" i="22"/>
  <c r="BB58" i="22" s="1"/>
  <c r="Q97" i="22"/>
  <c r="BA57" i="22" s="1"/>
  <c r="Q98" i="22"/>
  <c r="BA58" i="22" s="1"/>
  <c r="R79" i="22"/>
  <c r="R49" i="22"/>
  <c r="BB44" i="22" s="1"/>
  <c r="R16" i="22"/>
  <c r="BB31" i="22" s="1"/>
  <c r="Q46" i="22"/>
  <c r="BA43" i="22" s="1"/>
  <c r="R23" i="22"/>
  <c r="BB33" i="22" s="1"/>
  <c r="R67" i="22"/>
  <c r="Q13" i="22"/>
  <c r="BA114" i="22" s="1"/>
  <c r="Q85" i="22"/>
  <c r="BA50" i="22" s="1"/>
  <c r="R47" i="22"/>
  <c r="BB90" i="22" s="1"/>
  <c r="D102" i="72" s="1"/>
  <c r="BA6" i="22" l="1"/>
  <c r="BB146" i="22"/>
  <c r="BA146" i="22"/>
  <c r="BA10" i="22"/>
  <c r="D131" i="72"/>
  <c r="BB18" i="22"/>
  <c r="D26" i="72" s="1"/>
  <c r="BA7" i="22"/>
  <c r="BB8" i="22"/>
  <c r="D16" i="72" s="1"/>
  <c r="BB7" i="22"/>
  <c r="D15" i="72" s="1"/>
  <c r="BA16" i="22"/>
  <c r="BA17" i="22"/>
  <c r="BA15" i="22"/>
  <c r="BA14" i="22"/>
  <c r="BA11" i="22"/>
  <c r="BA8" i="22"/>
  <c r="BA12" i="22"/>
  <c r="BA18" i="22"/>
  <c r="BB11" i="22"/>
  <c r="D19" i="72" s="1"/>
  <c r="BA19" i="22"/>
  <c r="BB10" i="22"/>
  <c r="D18" i="72" s="1"/>
  <c r="BB12" i="22"/>
  <c r="D20" i="72" s="1"/>
  <c r="BB6" i="22"/>
  <c r="D14" i="72" s="1"/>
  <c r="BB19" i="22"/>
  <c r="BB14" i="22"/>
  <c r="D22" i="72" s="1"/>
  <c r="BB17" i="22"/>
  <c r="D25" i="72" s="1"/>
  <c r="BA124" i="22"/>
  <c r="BA123" i="22"/>
  <c r="BB124" i="22"/>
  <c r="D137" i="72" s="1"/>
  <c r="BB123" i="22"/>
  <c r="D136" i="72" s="1"/>
  <c r="BB126" i="22"/>
  <c r="D139" i="72" s="1"/>
  <c r="BA94" i="22"/>
  <c r="BB94" i="22"/>
  <c r="BA126" i="22"/>
  <c r="BB83" i="22"/>
  <c r="BE83" i="22" s="1"/>
  <c r="BF83" i="22" s="1"/>
  <c r="BB16" i="22"/>
  <c r="BE78" i="22"/>
  <c r="BE90" i="22"/>
  <c r="BB80" i="22"/>
  <c r="BE80" i="22" s="1"/>
  <c r="BF80" i="22" s="1"/>
  <c r="BB115" i="22"/>
  <c r="BB82" i="22"/>
  <c r="BE82" i="22" s="1"/>
  <c r="BF82" i="22" s="1"/>
  <c r="BB15" i="22"/>
  <c r="D23" i="72" s="1"/>
  <c r="BB81" i="22"/>
  <c r="BE81" i="22" s="1"/>
  <c r="BF81" i="22" s="1"/>
  <c r="BB79" i="22"/>
  <c r="BB85" i="22"/>
  <c r="BE85" i="22" s="1"/>
  <c r="BF85" i="22" s="1"/>
  <c r="BE130" i="22"/>
  <c r="F107" i="72" s="1"/>
  <c r="BE117" i="22"/>
  <c r="F130" i="72" s="1"/>
  <c r="BE51" i="22"/>
  <c r="BE118" i="22"/>
  <c r="BE128" i="22"/>
  <c r="F142" i="72" s="1"/>
  <c r="BE121" i="22"/>
  <c r="F134" i="72" s="1"/>
  <c r="BE122" i="22"/>
  <c r="F135" i="72" s="1"/>
  <c r="E39" i="36"/>
  <c r="AO5" i="22"/>
  <c r="AO11" i="22"/>
  <c r="AO9" i="22"/>
  <c r="AO7" i="22"/>
  <c r="AP7" i="22"/>
  <c r="AO6" i="22"/>
  <c r="AO8" i="22"/>
  <c r="AP8" i="22"/>
  <c r="AP9" i="22"/>
  <c r="AN4" i="22"/>
  <c r="F39" i="36" s="1"/>
  <c r="BE84" i="22"/>
  <c r="BF84" i="22" s="1"/>
  <c r="AP6" i="22"/>
  <c r="BE155" i="22"/>
  <c r="BF155" i="22" s="1"/>
  <c r="BE47" i="22"/>
  <c r="D60" i="72"/>
  <c r="AE30" i="22"/>
  <c r="AE10" i="22"/>
  <c r="AE91" i="22"/>
  <c r="AE38" i="22"/>
  <c r="AF83" i="22"/>
  <c r="AF33" i="22"/>
  <c r="AF17" i="22"/>
  <c r="AF96" i="22"/>
  <c r="AE65" i="22"/>
  <c r="AF58" i="22"/>
  <c r="BE153" i="22"/>
  <c r="BF153" i="22" s="1"/>
  <c r="AF64" i="22"/>
  <c r="BE152" i="22"/>
  <c r="BF152" i="22" s="1"/>
  <c r="AF62" i="22"/>
  <c r="AE12" i="22"/>
  <c r="AE76" i="22"/>
  <c r="AE66" i="22"/>
  <c r="AF51" i="22"/>
  <c r="AF40" i="22"/>
  <c r="AE88" i="22"/>
  <c r="AE75" i="22"/>
  <c r="BE154" i="22"/>
  <c r="BF154" i="22" s="1"/>
  <c r="AF76" i="22"/>
  <c r="AE68" i="22"/>
  <c r="AE70" i="22"/>
  <c r="AF15" i="22"/>
  <c r="AF27" i="22"/>
  <c r="AE62" i="22"/>
  <c r="AE36" i="22"/>
  <c r="AF36" i="22"/>
  <c r="AE92" i="22"/>
  <c r="AE19" i="22"/>
  <c r="AE73" i="22"/>
  <c r="AF93" i="22"/>
  <c r="AF70" i="22"/>
  <c r="AE96" i="22"/>
  <c r="AF66" i="22"/>
  <c r="AE48" i="22"/>
  <c r="AE42" i="22"/>
  <c r="AE83" i="22"/>
  <c r="AE24" i="22"/>
  <c r="AF20" i="22"/>
  <c r="AF75" i="22"/>
  <c r="AF67" i="22"/>
  <c r="AF79" i="22"/>
  <c r="AE97" i="22"/>
  <c r="AE93" i="22"/>
  <c r="AE60" i="22"/>
  <c r="AF22" i="22"/>
  <c r="AE90" i="22"/>
  <c r="AF32" i="22"/>
  <c r="AF19" i="22"/>
  <c r="AE6" i="22"/>
  <c r="AF26" i="22"/>
  <c r="AE51" i="22"/>
  <c r="AE53" i="22"/>
  <c r="AE81" i="22"/>
  <c r="AF59" i="22"/>
  <c r="AF31" i="22"/>
  <c r="AE21" i="22"/>
  <c r="AF6" i="22"/>
  <c r="AE84" i="22"/>
  <c r="AF71" i="22"/>
  <c r="AE61" i="22"/>
  <c r="AE74" i="22"/>
  <c r="AE35" i="22"/>
  <c r="AE33" i="22"/>
  <c r="AF77" i="22"/>
  <c r="AF8" i="22"/>
  <c r="AE37" i="22"/>
  <c r="AF9" i="22"/>
  <c r="AF41" i="22"/>
  <c r="AF85" i="22"/>
  <c r="AF13" i="22"/>
  <c r="AF65" i="22"/>
  <c r="AF54" i="22"/>
  <c r="AE94" i="22"/>
  <c r="AE89" i="22"/>
  <c r="AE32" i="22"/>
  <c r="AE54" i="22"/>
  <c r="AE50" i="22"/>
  <c r="AE85" i="22"/>
  <c r="AE20" i="22"/>
  <c r="AE55" i="22"/>
  <c r="AF98" i="22"/>
  <c r="AE34" i="22"/>
  <c r="AE99" i="22"/>
  <c r="AF55" i="22"/>
  <c r="AE43" i="22"/>
  <c r="AE78" i="22"/>
  <c r="AE47" i="22"/>
  <c r="AE41" i="22"/>
  <c r="AF68" i="22"/>
  <c r="AE25" i="22"/>
  <c r="AE71" i="22"/>
  <c r="BE5" i="22"/>
  <c r="AF18" i="22"/>
  <c r="AF60" i="22"/>
  <c r="AE29" i="22"/>
  <c r="AE56" i="22"/>
  <c r="AE18" i="22"/>
  <c r="AE39" i="22"/>
  <c r="AE15" i="22"/>
  <c r="AE57" i="22"/>
  <c r="AE59" i="22"/>
  <c r="AF39" i="22"/>
  <c r="AE40" i="22"/>
  <c r="AE23" i="22"/>
  <c r="AF35" i="22"/>
  <c r="AE17" i="22"/>
  <c r="AE27" i="22"/>
  <c r="AF89" i="22"/>
  <c r="AF87" i="22"/>
  <c r="AF72" i="22"/>
  <c r="AF73" i="22"/>
  <c r="AE9" i="22"/>
  <c r="AE77" i="22"/>
  <c r="AF86" i="22"/>
  <c r="AE26" i="22"/>
  <c r="AF82" i="22"/>
  <c r="AF63" i="22"/>
  <c r="AF90" i="22"/>
  <c r="AE87" i="22"/>
  <c r="AF92" i="22"/>
  <c r="AE44" i="22"/>
  <c r="AF21" i="22"/>
  <c r="AF11" i="22"/>
  <c r="AE49" i="22"/>
  <c r="AE52" i="22"/>
  <c r="AF29" i="22"/>
  <c r="AF45" i="22"/>
  <c r="AE69" i="22"/>
  <c r="AF5" i="22"/>
  <c r="AF24" i="22"/>
  <c r="AF23" i="22"/>
  <c r="AF16" i="22"/>
  <c r="AE86" i="22"/>
  <c r="AF91" i="22"/>
  <c r="AF47" i="22"/>
  <c r="AE13" i="22"/>
  <c r="AE46" i="22"/>
  <c r="AF49" i="22"/>
  <c r="AE98" i="22"/>
  <c r="AF81" i="22"/>
  <c r="AF52" i="22"/>
  <c r="AE22" i="22"/>
  <c r="AF53" i="22"/>
  <c r="AE8" i="22"/>
  <c r="AE14" i="22"/>
  <c r="AF43" i="22"/>
  <c r="AF84" i="22"/>
  <c r="AF38" i="22"/>
  <c r="AE63" i="22"/>
  <c r="R4" i="22"/>
  <c r="BB77" i="22" s="1"/>
  <c r="AF34" i="22"/>
  <c r="AF28" i="22"/>
  <c r="AF74" i="22"/>
  <c r="AE16" i="22"/>
  <c r="AE95" i="22"/>
  <c r="AE31" i="22"/>
  <c r="AF95" i="22"/>
  <c r="AF69" i="22"/>
  <c r="AE64" i="22"/>
  <c r="AF46" i="22"/>
  <c r="AF10" i="22"/>
  <c r="AE82" i="22"/>
  <c r="AE45" i="22"/>
  <c r="AF78" i="22"/>
  <c r="AF94" i="22"/>
  <c r="AF88" i="22"/>
  <c r="AF44" i="22"/>
  <c r="AE11" i="22"/>
  <c r="AF37" i="22"/>
  <c r="AE67" i="22"/>
  <c r="AE58" i="22"/>
  <c r="AF42" i="22"/>
  <c r="AF61" i="22"/>
  <c r="AF56" i="22"/>
  <c r="AF99" i="22"/>
  <c r="AE7" i="22"/>
  <c r="AE79" i="22"/>
  <c r="AF57" i="22"/>
  <c r="AE28" i="22"/>
  <c r="AE72" i="22"/>
  <c r="AF30" i="22"/>
  <c r="AE5" i="22"/>
  <c r="AF12" i="22"/>
  <c r="AF14" i="22"/>
  <c r="BE115" i="22" l="1"/>
  <c r="D128" i="72"/>
  <c r="BE146" i="22"/>
  <c r="D140" i="72"/>
  <c r="BE18" i="22"/>
  <c r="BF18" i="22" s="1"/>
  <c r="G26" i="72" s="1"/>
  <c r="F131" i="72"/>
  <c r="BE123" i="22"/>
  <c r="F136" i="72" s="1"/>
  <c r="BF128" i="22"/>
  <c r="BF122" i="22"/>
  <c r="BF51" i="22"/>
  <c r="G62" i="72" s="1"/>
  <c r="F62" i="72"/>
  <c r="BE7" i="22"/>
  <c r="F15" i="72" s="1"/>
  <c r="BE8" i="22"/>
  <c r="BF8" i="22" s="1"/>
  <c r="G16" i="72" s="1"/>
  <c r="BE6" i="22"/>
  <c r="F14" i="72" s="1"/>
  <c r="BE17" i="22"/>
  <c r="BF17" i="22" s="1"/>
  <c r="G25" i="72" s="1"/>
  <c r="BE10" i="22"/>
  <c r="BF10" i="22" s="1"/>
  <c r="G18" i="72" s="1"/>
  <c r="BE12" i="22"/>
  <c r="BF12" i="22" s="1"/>
  <c r="G20" i="72" s="1"/>
  <c r="BE11" i="22"/>
  <c r="F19" i="72" s="1"/>
  <c r="BE14" i="22"/>
  <c r="BF14" i="22" s="1"/>
  <c r="G22" i="72" s="1"/>
  <c r="BE19" i="22"/>
  <c r="D27" i="72"/>
  <c r="BE16" i="22"/>
  <c r="D24" i="72"/>
  <c r="BF5" i="22"/>
  <c r="G13" i="72" s="1"/>
  <c r="F13" i="72"/>
  <c r="BE15" i="22"/>
  <c r="F23" i="72" s="1"/>
  <c r="BF118" i="22"/>
  <c r="BF130" i="22"/>
  <c r="BF90" i="22"/>
  <c r="F102" i="72"/>
  <c r="BF121" i="22"/>
  <c r="BF78" i="22"/>
  <c r="F90" i="72"/>
  <c r="BE79" i="22"/>
  <c r="D91" i="72"/>
  <c r="BF117" i="22"/>
  <c r="D92" i="72"/>
  <c r="AZ57" i="22"/>
  <c r="AN11" i="22"/>
  <c r="F46" i="36" s="1"/>
  <c r="F65" i="36"/>
  <c r="H65" i="36" s="1"/>
  <c r="AP4" i="22"/>
  <c r="E77" i="36"/>
  <c r="AO4" i="22"/>
  <c r="R97" i="22"/>
  <c r="BB57" i="22" s="1"/>
  <c r="D58" i="72"/>
  <c r="BE77" i="22"/>
  <c r="BF77" i="22" s="1"/>
  <c r="BE49" i="22"/>
  <c r="BF49" i="22" s="1"/>
  <c r="G60" i="72" s="1"/>
  <c r="F92" i="72"/>
  <c r="BE145" i="22"/>
  <c r="F158" i="72" s="1"/>
  <c r="D99" i="72"/>
  <c r="BE87" i="22"/>
  <c r="D56" i="72"/>
  <c r="BE45" i="22"/>
  <c r="D53" i="72"/>
  <c r="BE42" i="22"/>
  <c r="D50" i="72"/>
  <c r="BE39" i="22"/>
  <c r="BE112" i="22"/>
  <c r="F125" i="72" s="1"/>
  <c r="D70" i="72"/>
  <c r="BE124" i="22"/>
  <c r="F137" i="72" s="1"/>
  <c r="BE127" i="22"/>
  <c r="F141" i="72" s="1"/>
  <c r="D64" i="72"/>
  <c r="BE53" i="22"/>
  <c r="BE114" i="22"/>
  <c r="F127" i="72" s="1"/>
  <c r="D51" i="72"/>
  <c r="BE40" i="22"/>
  <c r="D66" i="72"/>
  <c r="BE55" i="22"/>
  <c r="D100" i="72"/>
  <c r="BE88" i="22"/>
  <c r="D47" i="72"/>
  <c r="BE36" i="22"/>
  <c r="D94" i="72"/>
  <c r="F58" i="72"/>
  <c r="BF47" i="22"/>
  <c r="G58" i="72" s="1"/>
  <c r="D96" i="72"/>
  <c r="D57" i="72"/>
  <c r="BE46" i="22"/>
  <c r="D55" i="72"/>
  <c r="BE44" i="22"/>
  <c r="D105" i="72"/>
  <c r="BE93" i="22"/>
  <c r="D106" i="72"/>
  <c r="BE94" i="22"/>
  <c r="BE116" i="22"/>
  <c r="F129" i="72" s="1"/>
  <c r="D109" i="72"/>
  <c r="BE96" i="22"/>
  <c r="D48" i="72"/>
  <c r="BE37" i="22"/>
  <c r="D104" i="72"/>
  <c r="BE92" i="22"/>
  <c r="D61" i="72"/>
  <c r="BE50" i="22"/>
  <c r="D103" i="72"/>
  <c r="BE91" i="22"/>
  <c r="D41" i="72"/>
  <c r="BE30" i="22"/>
  <c r="D110" i="72"/>
  <c r="BE97" i="22"/>
  <c r="BE120" i="22"/>
  <c r="F133" i="72" s="1"/>
  <c r="D63" i="72"/>
  <c r="BE52" i="22"/>
  <c r="D59" i="72"/>
  <c r="BE48" i="22"/>
  <c r="AE4" i="22"/>
  <c r="D65" i="72"/>
  <c r="BE54" i="22"/>
  <c r="D52" i="72"/>
  <c r="BE41" i="22"/>
  <c r="AF4" i="22"/>
  <c r="D93" i="72"/>
  <c r="D108" i="72"/>
  <c r="BE95" i="22"/>
  <c r="BE129" i="22"/>
  <c r="F143" i="72" s="1"/>
  <c r="D67" i="72"/>
  <c r="BE56" i="22"/>
  <c r="BE133" i="22"/>
  <c r="F146" i="72" s="1"/>
  <c r="D46" i="72"/>
  <c r="BE35" i="22"/>
  <c r="D44" i="72"/>
  <c r="BE33" i="22"/>
  <c r="D54" i="72"/>
  <c r="BE43" i="22"/>
  <c r="BE111" i="22"/>
  <c r="F124" i="72" s="1"/>
  <c r="BE113" i="22"/>
  <c r="F126" i="72" s="1"/>
  <c r="D69" i="72"/>
  <c r="BE58" i="22"/>
  <c r="D97" i="72"/>
  <c r="D49" i="72"/>
  <c r="BE38" i="22"/>
  <c r="BE131" i="22"/>
  <c r="F144" i="72" s="1"/>
  <c r="BE134" i="22"/>
  <c r="F147" i="72" s="1"/>
  <c r="D42" i="72"/>
  <c r="BE31" i="22"/>
  <c r="D95" i="72"/>
  <c r="D98" i="72"/>
  <c r="BE86" i="22"/>
  <c r="BE119" i="22"/>
  <c r="F132" i="72" s="1"/>
  <c r="BE126" i="22"/>
  <c r="F139" i="72" s="1"/>
  <c r="BE132" i="22"/>
  <c r="F145" i="72" s="1"/>
  <c r="BE125" i="22"/>
  <c r="F138" i="72" s="1"/>
  <c r="D43" i="72"/>
  <c r="BE32" i="22"/>
  <c r="D101" i="72"/>
  <c r="BE89" i="22"/>
  <c r="AF50" i="22"/>
  <c r="AF48" i="22"/>
  <c r="BF115" i="22" l="1"/>
  <c r="F128" i="72"/>
  <c r="BF146" i="22"/>
  <c r="F140" i="72"/>
  <c r="BF7" i="22"/>
  <c r="G15" i="72" s="1"/>
  <c r="F26" i="72"/>
  <c r="BF123" i="22"/>
  <c r="F16" i="72"/>
  <c r="F25" i="72"/>
  <c r="BF6" i="22"/>
  <c r="G14" i="72" s="1"/>
  <c r="BF11" i="22"/>
  <c r="G19" i="72" s="1"/>
  <c r="F22" i="72"/>
  <c r="F18" i="72"/>
  <c r="F20" i="72"/>
  <c r="BF19" i="22"/>
  <c r="G27" i="72" s="1"/>
  <c r="F27" i="72"/>
  <c r="BF16" i="22"/>
  <c r="G24" i="72" s="1"/>
  <c r="F24" i="72"/>
  <c r="BF15" i="22"/>
  <c r="G23" i="72" s="1"/>
  <c r="BF79" i="22"/>
  <c r="F91" i="72"/>
  <c r="F77" i="36"/>
  <c r="AP11" i="22"/>
  <c r="AF97" i="22"/>
  <c r="F60" i="72"/>
  <c r="F101" i="72"/>
  <c r="BF89" i="22"/>
  <c r="BF132" i="22"/>
  <c r="BF119" i="22"/>
  <c r="F95" i="72"/>
  <c r="BF134" i="22"/>
  <c r="BF38" i="22"/>
  <c r="G49" i="72" s="1"/>
  <c r="F49" i="72"/>
  <c r="BF113" i="22"/>
  <c r="F46" i="72"/>
  <c r="BF35" i="22"/>
  <c r="G46" i="72" s="1"/>
  <c r="BF133" i="22"/>
  <c r="BF129" i="22"/>
  <c r="F108" i="72"/>
  <c r="BF95" i="22"/>
  <c r="F52" i="72"/>
  <c r="BF41" i="22"/>
  <c r="G52" i="72" s="1"/>
  <c r="BF48" i="22"/>
  <c r="G59" i="72" s="1"/>
  <c r="F59" i="72"/>
  <c r="BF120" i="22"/>
  <c r="BF97" i="22"/>
  <c r="F110" i="72"/>
  <c r="BF91" i="22"/>
  <c r="F103" i="72"/>
  <c r="G102" i="72" s="1"/>
  <c r="BF92" i="22"/>
  <c r="F104" i="72"/>
  <c r="G104" i="72" s="1"/>
  <c r="BF96" i="22"/>
  <c r="F109" i="72"/>
  <c r="F106" i="72"/>
  <c r="BF94" i="22"/>
  <c r="F94" i="72"/>
  <c r="BF88" i="22"/>
  <c r="F100" i="72"/>
  <c r="BF55" i="22"/>
  <c r="G66" i="72" s="1"/>
  <c r="F66" i="72"/>
  <c r="BF114" i="22"/>
  <c r="BF127" i="22"/>
  <c r="G70" i="72"/>
  <c r="F70" i="72"/>
  <c r="BF39" i="22"/>
  <c r="G50" i="72" s="1"/>
  <c r="F50" i="72"/>
  <c r="F53" i="72"/>
  <c r="BF42" i="22"/>
  <c r="G53" i="72" s="1"/>
  <c r="D89" i="72"/>
  <c r="D114" i="72" s="1"/>
  <c r="F43" i="72"/>
  <c r="BF32" i="22"/>
  <c r="G43" i="72" s="1"/>
  <c r="BF125" i="22"/>
  <c r="BF126" i="22"/>
  <c r="F98" i="72"/>
  <c r="BF86" i="22"/>
  <c r="BF31" i="22"/>
  <c r="G42" i="72" s="1"/>
  <c r="F42" i="72"/>
  <c r="BF131" i="22"/>
  <c r="F97" i="72"/>
  <c r="BF58" i="22"/>
  <c r="G69" i="72" s="1"/>
  <c r="F69" i="72"/>
  <c r="BF111" i="22"/>
  <c r="BF43" i="22"/>
  <c r="G54" i="72" s="1"/>
  <c r="F54" i="72"/>
  <c r="BF33" i="22"/>
  <c r="G44" i="72" s="1"/>
  <c r="F44" i="72"/>
  <c r="F67" i="72"/>
  <c r="BF56" i="22"/>
  <c r="G67" i="72" s="1"/>
  <c r="F93" i="72"/>
  <c r="BF54" i="22"/>
  <c r="G65" i="72" s="1"/>
  <c r="F65" i="72"/>
  <c r="F63" i="72"/>
  <c r="BF52" i="22"/>
  <c r="G63" i="72" s="1"/>
  <c r="F41" i="72"/>
  <c r="BF30" i="22"/>
  <c r="G41" i="72" s="1"/>
  <c r="F61" i="72"/>
  <c r="BF50" i="22"/>
  <c r="G61" i="72" s="1"/>
  <c r="BF37" i="22"/>
  <c r="G48" i="72" s="1"/>
  <c r="F48" i="72"/>
  <c r="BF116" i="22"/>
  <c r="F105" i="72"/>
  <c r="BF93" i="22"/>
  <c r="BF44" i="22"/>
  <c r="G55" i="72" s="1"/>
  <c r="F55" i="72"/>
  <c r="F57" i="72"/>
  <c r="BF46" i="22"/>
  <c r="G57" i="72" s="1"/>
  <c r="F96" i="72"/>
  <c r="F47" i="72"/>
  <c r="BF36" i="22"/>
  <c r="G47" i="72" s="1"/>
  <c r="BF40" i="22"/>
  <c r="G51" i="72" s="1"/>
  <c r="F51" i="72"/>
  <c r="BF53" i="22"/>
  <c r="G64" i="72" s="1"/>
  <c r="F64" i="72"/>
  <c r="BF124" i="22"/>
  <c r="BF112" i="22"/>
  <c r="BF45" i="22"/>
  <c r="G56" i="72" s="1"/>
  <c r="F56" i="72"/>
  <c r="BF87" i="22"/>
  <c r="F99" i="72"/>
  <c r="BF145" i="22"/>
  <c r="G105" i="72" l="1"/>
  <c r="G96" i="72"/>
  <c r="G93" i="72"/>
  <c r="G108" i="72"/>
  <c r="D68" i="72"/>
  <c r="BE57" i="22"/>
  <c r="F89" i="72"/>
  <c r="G89" i="72" s="1"/>
  <c r="J88" i="72" l="1"/>
  <c r="J89" i="72"/>
  <c r="BF57" i="22"/>
  <c r="F68" i="72"/>
  <c r="F114" i="72"/>
  <c r="G68" i="72" l="1"/>
  <c r="AF93" i="11" l="1"/>
  <c r="G80" i="22"/>
  <c r="O80" i="22" s="1"/>
  <c r="AY13" i="22" s="1"/>
  <c r="AC93" i="11"/>
  <c r="H80" i="22"/>
  <c r="AD93" i="11" l="1"/>
  <c r="X259" i="11"/>
  <c r="D31" i="36" s="1"/>
  <c r="AY9" i="22"/>
  <c r="P80" i="22"/>
  <c r="F64" i="36"/>
  <c r="AK11" i="11" a="1"/>
  <c r="AK11" i="11" s="1"/>
  <c r="AQ93" i="11" l="1"/>
  <c r="AQ259" i="11" s="1"/>
  <c r="G5" i="72" s="1"/>
  <c r="J25" i="22"/>
  <c r="AX34" i="22" s="1"/>
  <c r="AZ13" i="22"/>
  <c r="N83" i="32"/>
  <c r="Q259" i="11"/>
  <c r="AZ9" i="22"/>
  <c r="AN10" i="22"/>
  <c r="F45" i="36" s="1"/>
  <c r="AM10" i="22"/>
  <c r="E45" i="36" s="1"/>
  <c r="E64" i="36"/>
  <c r="G64" i="36" s="1"/>
  <c r="AK12" i="11" a="1"/>
  <c r="AK12" i="11" s="1"/>
  <c r="AK13" i="11" s="1" a="1"/>
  <c r="AK13" i="11" s="1"/>
  <c r="AK14" i="11" s="1" a="1"/>
  <c r="AK14" i="11" s="1"/>
  <c r="Q80" i="22"/>
  <c r="I80" i="22"/>
  <c r="BG13" i="22" s="1"/>
  <c r="H8" i="73" l="1"/>
  <c r="H28" i="73" s="1"/>
  <c r="H32" i="73" s="1"/>
  <c r="D22" i="36"/>
  <c r="BA9" i="22"/>
  <c r="BA13" i="22"/>
  <c r="AL5" i="22"/>
  <c r="R25" i="22"/>
  <c r="AO10" i="22"/>
  <c r="AK15" i="11" a="1"/>
  <c r="AK15" i="11" s="1"/>
  <c r="AK16" i="11" s="1" a="1"/>
  <c r="AK16" i="11" s="1"/>
  <c r="BG9" i="22"/>
  <c r="J80" i="22"/>
  <c r="AX13" i="22" s="1"/>
  <c r="AE80" i="22"/>
  <c r="H16" i="73" l="1"/>
  <c r="H10" i="36"/>
  <c r="H14" i="36"/>
  <c r="BB34" i="22"/>
  <c r="AP5" i="22"/>
  <c r="AF25" i="22"/>
  <c r="AL10" i="22"/>
  <c r="D64" i="36"/>
  <c r="H64" i="36" s="1"/>
  <c r="AK17" i="11" a="1"/>
  <c r="AK17" i="11" s="1"/>
  <c r="AK18" i="11" s="1" a="1"/>
  <c r="AK18" i="11" s="1"/>
  <c r="R80" i="22"/>
  <c r="BB9" i="22" l="1"/>
  <c r="D17" i="72" s="1"/>
  <c r="BB13" i="22"/>
  <c r="BE34" i="22"/>
  <c r="D45" i="72"/>
  <c r="D82" i="72" s="1"/>
  <c r="AP10" i="22"/>
  <c r="AK19" i="11" a="1"/>
  <c r="AK19" i="11" s="1"/>
  <c r="AK20" i="11" s="1" a="1"/>
  <c r="AK20" i="11" s="1"/>
  <c r="AF80" i="22"/>
  <c r="BE9" i="22" l="1"/>
  <c r="BF9" i="22" s="1"/>
  <c r="G17" i="72" s="1"/>
  <c r="D21" i="72"/>
  <c r="D33" i="72" s="1"/>
  <c r="BE13" i="22"/>
  <c r="BF34" i="22"/>
  <c r="G45" i="72" s="1"/>
  <c r="F45" i="72"/>
  <c r="AK21" i="11" a="1"/>
  <c r="AK21" i="11" s="1"/>
  <c r="F82" i="72" l="1"/>
  <c r="J40" i="72"/>
  <c r="G82" i="72"/>
  <c r="F17" i="72"/>
  <c r="BF13" i="22"/>
  <c r="G21" i="72" s="1"/>
  <c r="F21" i="72"/>
  <c r="AK22" i="11" a="1"/>
  <c r="AK22" i="11" s="1"/>
  <c r="J12" i="72" l="1"/>
  <c r="J90" i="72" s="1"/>
  <c r="J91" i="72" s="1"/>
  <c r="J41" i="72"/>
  <c r="G6" i="72" s="1"/>
  <c r="F33" i="72"/>
  <c r="G33" i="72"/>
  <c r="I13" i="72" s="1"/>
  <c r="AK23" i="11" a="1"/>
  <c r="AK23" i="11" s="1"/>
  <c r="G7" i="72" l="1"/>
  <c r="AK24" i="11" a="1"/>
  <c r="AK24" i="11" s="1"/>
  <c r="AK25" i="11" s="1" a="1"/>
  <c r="AK25" i="11" s="1"/>
  <c r="AK26" i="11" l="1" a="1"/>
  <c r="AK26" i="11" s="1"/>
  <c r="AK27" i="11" s="1" a="1"/>
  <c r="AK27" i="11" s="1"/>
  <c r="AK28" i="11" s="1" a="1"/>
  <c r="AK28" i="11" s="1"/>
  <c r="AK29" i="11" s="1" a="1"/>
  <c r="AK29" i="11" s="1"/>
  <c r="AK30" i="11" s="1" a="1"/>
  <c r="AK30" i="11" s="1"/>
  <c r="AK31" i="11" s="1" a="1"/>
  <c r="AK31" i="11" s="1"/>
  <c r="AK32" i="11" s="1" a="1"/>
  <c r="AK32" i="11" s="1"/>
  <c r="AK33" i="11" s="1" a="1"/>
  <c r="AK33" i="11" s="1"/>
  <c r="AK34" i="11" s="1" a="1"/>
  <c r="AK34" i="11" s="1"/>
  <c r="AK35" i="11" s="1" a="1"/>
  <c r="AK35" i="11" s="1"/>
  <c r="AK36" i="11" s="1" a="1"/>
  <c r="AK36" i="11" s="1"/>
  <c r="AK37" i="11" s="1" a="1"/>
  <c r="AK37" i="11" s="1"/>
  <c r="AK38" i="11" s="1" a="1"/>
  <c r="AK38" i="11" s="1"/>
  <c r="AK39" i="11" s="1" a="1"/>
  <c r="AK39" i="11" s="1"/>
  <c r="AK40" i="11" s="1" a="1"/>
  <c r="AK40" i="11" s="1"/>
  <c r="AK41" i="11" s="1" a="1"/>
  <c r="AK41" i="11" s="1"/>
  <c r="AK42" i="11" s="1" a="1"/>
  <c r="AK42" i="11" s="1"/>
  <c r="AK43" i="11" s="1" a="1"/>
  <c r="AK43" i="11" s="1"/>
  <c r="AK44" i="11" s="1" a="1"/>
  <c r="AK44" i="11" s="1"/>
  <c r="AK45" i="11" s="1" a="1"/>
  <c r="AK45" i="11" s="1"/>
  <c r="AK46" i="11" s="1" a="1"/>
  <c r="AK46" i="11" s="1"/>
  <c r="AK47" i="11" s="1" a="1"/>
  <c r="AK47" i="11" s="1"/>
  <c r="AK48" i="11" s="1" a="1"/>
  <c r="AK48" i="11" s="1"/>
  <c r="AK49" i="11" s="1" a="1"/>
  <c r="AK49" i="11" s="1"/>
  <c r="AK50" i="11" s="1" a="1"/>
  <c r="AK50" i="11" s="1"/>
  <c r="AK51" i="11" s="1" a="1"/>
  <c r="AK51" i="11" s="1"/>
  <c r="AK52" i="11" s="1" a="1"/>
  <c r="AK52" i="11" s="1"/>
  <c r="AK53" i="11" s="1" a="1"/>
  <c r="AK53" i="11" s="1"/>
  <c r="AK54" i="11" s="1" a="1"/>
  <c r="AK54" i="11" s="1"/>
  <c r="AK55" i="11" s="1" a="1"/>
  <c r="AK55" i="11" s="1"/>
  <c r="AK56" i="11" s="1" a="1"/>
  <c r="AK56" i="11" s="1"/>
  <c r="AK57" i="11" s="1" a="1"/>
  <c r="AK57" i="11" s="1"/>
  <c r="AK58" i="11" s="1" a="1"/>
  <c r="AK58" i="11" s="1"/>
  <c r="AK59" i="11" s="1" a="1"/>
  <c r="AK59" i="11" s="1"/>
  <c r="AK60" i="11" s="1" a="1"/>
  <c r="AK60" i="11" s="1"/>
  <c r="AK61" i="11" s="1" a="1"/>
  <c r="AK61" i="11" s="1"/>
  <c r="AK62" i="11" s="1" a="1"/>
  <c r="AK62" i="11" s="1"/>
  <c r="AK63" i="11" s="1" a="1"/>
  <c r="AK63" i="11" s="1"/>
  <c r="AK64" i="11" s="1" a="1"/>
  <c r="AK64" i="11" s="1"/>
  <c r="AK65" i="11" s="1" a="1"/>
  <c r="AK65" i="11" s="1"/>
  <c r="AK66" i="11" s="1" a="1"/>
  <c r="AK66" i="11" s="1"/>
  <c r="AK67" i="11" s="1" a="1"/>
  <c r="AK67" i="11" s="1"/>
  <c r="AK68" i="11" s="1" a="1"/>
  <c r="AK68" i="11" s="1"/>
  <c r="AK69" i="11" s="1" a="1"/>
  <c r="AK69" i="11" s="1"/>
  <c r="AK70" i="11" s="1" a="1"/>
  <c r="AK70" i="11" s="1"/>
  <c r="AK71" i="11" s="1" a="1"/>
  <c r="AK71" i="11" s="1"/>
  <c r="AK72" i="11" s="1" a="1"/>
  <c r="AK72" i="11" s="1"/>
  <c r="AK73" i="11" s="1" a="1"/>
  <c r="AK73" i="11" s="1"/>
  <c r="AK74" i="11" s="1" a="1"/>
  <c r="AK74" i="11" s="1"/>
  <c r="AK75" i="11" s="1" a="1"/>
  <c r="AK75" i="11" s="1"/>
  <c r="AK76" i="11" s="1" a="1"/>
  <c r="AK76" i="11" s="1"/>
  <c r="AK77" i="11" s="1" a="1"/>
  <c r="AK77" i="11" s="1"/>
  <c r="AK78" i="11" s="1" a="1"/>
  <c r="AK78" i="11" s="1"/>
  <c r="AK79" i="11" s="1" a="1"/>
  <c r="AK79" i="11" s="1"/>
  <c r="AK80" i="11" s="1" a="1"/>
  <c r="AK80" i="11" s="1"/>
  <c r="AK81" i="11" s="1" a="1"/>
  <c r="AK81" i="11" s="1"/>
  <c r="AK82" i="11" s="1" a="1"/>
  <c r="AK82" i="11" s="1"/>
  <c r="AK83" i="11" s="1" a="1"/>
  <c r="AK83" i="11" s="1"/>
  <c r="AK84" i="11" s="1" a="1"/>
  <c r="AK84" i="11" s="1"/>
  <c r="AK85" i="11" s="1" a="1"/>
  <c r="AK85" i="11" s="1"/>
  <c r="AK86" i="11" s="1" a="1"/>
  <c r="AK86" i="11" s="1"/>
  <c r="AK87" i="11" s="1" a="1"/>
  <c r="AK87" i="11" s="1"/>
  <c r="AK88" i="11" s="1" a="1"/>
  <c r="AK88" i="11" s="1"/>
  <c r="AK89" i="11" s="1" a="1"/>
  <c r="AK89" i="11" s="1"/>
  <c r="AK90" i="11" s="1" a="1"/>
  <c r="AK90" i="11" s="1"/>
  <c r="AK91" i="11" s="1" a="1"/>
  <c r="AK91" i="11" s="1"/>
  <c r="AK92" i="11" s="1" a="1"/>
  <c r="AK92" i="11" s="1"/>
  <c r="AK93" i="11" s="1" a="1"/>
  <c r="AK93" i="11" s="1"/>
  <c r="AK94" i="11" s="1" a="1"/>
  <c r="AK94" i="11" s="1"/>
  <c r="AK95" i="11" s="1" a="1"/>
  <c r="AK95" i="11" s="1"/>
  <c r="AK96" i="11" s="1" a="1"/>
  <c r="AK96" i="11" s="1"/>
  <c r="AK97" i="11" s="1" a="1"/>
  <c r="AK97" i="11" s="1"/>
  <c r="AK98" i="11" s="1" a="1"/>
  <c r="AK98" i="11" s="1"/>
  <c r="AK99" i="11" s="1" a="1"/>
  <c r="AK99" i="11" s="1"/>
  <c r="AK100" i="11" s="1" a="1"/>
  <c r="AK100" i="11" s="1"/>
  <c r="AK101" i="11" s="1" a="1"/>
  <c r="AK101" i="11" s="1"/>
  <c r="AK102" i="11" s="1" a="1"/>
  <c r="AK102" i="11" s="1"/>
  <c r="AK103" i="11" s="1" a="1"/>
  <c r="AK103" i="11" s="1"/>
  <c r="AK104" i="11" s="1" a="1"/>
  <c r="AK104" i="11" s="1"/>
  <c r="AK105" i="11" s="1" a="1"/>
  <c r="AK105" i="11" s="1"/>
  <c r="AK106" i="11" s="1" a="1"/>
  <c r="AK106" i="11" s="1"/>
  <c r="AK107" i="11" s="1" a="1"/>
  <c r="AK107" i="11" s="1"/>
  <c r="AK108" i="11" s="1" a="1"/>
  <c r="AK108" i="11" s="1"/>
  <c r="AK109" i="11" s="1" a="1"/>
  <c r="AK109" i="11" s="1"/>
  <c r="AK110" i="11" s="1" a="1"/>
  <c r="AK110" i="11" s="1"/>
  <c r="AK111" i="11" s="1" a="1"/>
  <c r="AK111" i="11" s="1"/>
  <c r="AK112" i="11" s="1" a="1"/>
  <c r="AK112" i="11" s="1"/>
  <c r="AK113" i="11" s="1" a="1"/>
  <c r="AK113" i="11" s="1"/>
  <c r="AK114" i="11" s="1" a="1"/>
  <c r="AK114" i="11" s="1"/>
  <c r="AK115" i="11" s="1" a="1"/>
  <c r="AK115" i="11" s="1"/>
  <c r="AK116" i="11" s="1" a="1"/>
  <c r="AK116" i="11" s="1"/>
  <c r="AK117" i="11" s="1" a="1"/>
  <c r="AK117" i="11" s="1"/>
  <c r="AK118" i="11" s="1" a="1"/>
  <c r="AK118" i="11" s="1"/>
  <c r="AK119" i="11" s="1" a="1"/>
  <c r="AK119" i="11" s="1"/>
  <c r="AK120" i="11" s="1" a="1"/>
  <c r="AK120" i="11" s="1"/>
  <c r="AK121" i="11" s="1" a="1"/>
  <c r="AK121" i="11" s="1"/>
  <c r="AK122" i="11" s="1" a="1"/>
  <c r="AK122" i="11" s="1"/>
  <c r="AK123" i="11" s="1" a="1"/>
  <c r="AK123" i="11" s="1"/>
  <c r="AK124" i="11" s="1" a="1"/>
  <c r="AK124" i="11" s="1"/>
  <c r="AK125" i="11" s="1" a="1"/>
  <c r="AK125" i="11" s="1"/>
  <c r="AK126" i="11" s="1" a="1"/>
  <c r="AK126" i="11" s="1"/>
  <c r="AK127" i="11" s="1" a="1"/>
  <c r="AK127" i="11" s="1"/>
  <c r="AK128" i="11" s="1" a="1"/>
  <c r="AK128" i="11" s="1"/>
  <c r="AK129" i="11" s="1" a="1"/>
  <c r="AK129" i="11" s="1"/>
  <c r="AK130" i="11" s="1" a="1"/>
  <c r="AK130" i="11" s="1"/>
  <c r="AK131" i="11" s="1" a="1"/>
  <c r="AK131" i="11" s="1"/>
  <c r="AK132" i="11" s="1" a="1"/>
  <c r="AK132" i="11" s="1"/>
  <c r="AK133" i="11" s="1" a="1"/>
  <c r="AK133" i="11" s="1"/>
  <c r="AK134" i="11" s="1" a="1"/>
  <c r="AK134" i="11" s="1"/>
  <c r="AK135" i="11" s="1" a="1"/>
  <c r="AK135" i="11" s="1"/>
  <c r="AK136" i="11" s="1" a="1"/>
  <c r="AK136" i="11" s="1"/>
  <c r="AK137" i="11" s="1" a="1"/>
  <c r="AK137" i="11" s="1"/>
  <c r="AK138" i="11" s="1" a="1"/>
  <c r="AK138" i="11" s="1"/>
  <c r="AK139" i="11" s="1" a="1"/>
  <c r="AK139" i="11" s="1"/>
  <c r="AK140" i="11" s="1" a="1"/>
  <c r="AK140" i="11" s="1"/>
  <c r="AK141" i="11" s="1" a="1"/>
  <c r="AK141" i="11" s="1"/>
  <c r="AK142" i="11" s="1" a="1"/>
  <c r="AK142" i="11" s="1"/>
  <c r="AK143" i="11" s="1" a="1"/>
  <c r="AK143" i="11" s="1"/>
  <c r="AK144" i="11" s="1" a="1"/>
  <c r="AK144" i="11" s="1"/>
  <c r="AK145" i="11" s="1" a="1"/>
  <c r="AK145" i="11" s="1"/>
  <c r="AK146" i="11" s="1" a="1"/>
  <c r="AK146" i="11" s="1"/>
  <c r="AK147" i="11" s="1" a="1"/>
  <c r="AK147" i="11" s="1"/>
  <c r="AK148" i="11" s="1" a="1"/>
  <c r="AK148" i="11" s="1"/>
  <c r="AK149" i="11" s="1" a="1"/>
  <c r="AK149" i="11" s="1"/>
  <c r="AK150" i="11" s="1" a="1"/>
  <c r="AK150" i="11" s="1"/>
  <c r="AK151" i="11" s="1" a="1"/>
  <c r="AK151" i="11" s="1"/>
  <c r="AK152" i="11" s="1" a="1"/>
  <c r="AK152" i="11" s="1"/>
  <c r="AK153" i="11" s="1" a="1"/>
  <c r="AK153" i="11" s="1"/>
  <c r="AK154" i="11" s="1" a="1"/>
  <c r="AK154" i="11" s="1"/>
  <c r="AK155" i="11" s="1" a="1"/>
  <c r="AK155" i="11" s="1"/>
  <c r="AK156" i="11" s="1" a="1"/>
  <c r="AK156" i="11" s="1"/>
  <c r="AK157" i="11" s="1" a="1"/>
  <c r="AK157" i="11" s="1"/>
  <c r="AK158" i="11" s="1" a="1"/>
  <c r="AK158" i="11" s="1"/>
  <c r="AK159" i="11" s="1" a="1"/>
  <c r="AK159" i="11" s="1"/>
  <c r="AK160" i="11" s="1" a="1"/>
  <c r="AK160" i="11" s="1"/>
  <c r="AK161" i="11" s="1" a="1"/>
  <c r="AK161" i="11" s="1"/>
  <c r="AK162" i="11" s="1" a="1"/>
  <c r="AK162" i="11" s="1"/>
  <c r="AK163" i="11" s="1" a="1"/>
  <c r="AK163" i="11" s="1"/>
  <c r="AK164" i="11" s="1" a="1"/>
  <c r="AK164" i="11" s="1"/>
  <c r="AK165" i="11" s="1" a="1"/>
  <c r="AK165" i="11" s="1"/>
  <c r="AK166" i="11" s="1" a="1"/>
  <c r="AK166" i="11" s="1"/>
  <c r="AK167" i="11" s="1" a="1"/>
  <c r="AK167" i="11" s="1"/>
  <c r="AK168" i="11" s="1" a="1"/>
  <c r="AK168" i="11" s="1"/>
  <c r="AK169" i="11" s="1" a="1"/>
  <c r="AK169" i="11" s="1"/>
  <c r="AK170" i="11" s="1" a="1"/>
  <c r="AK170" i="11" s="1"/>
  <c r="AK171" i="11" s="1" a="1"/>
  <c r="AK171" i="11" s="1"/>
  <c r="AK172" i="11" s="1" a="1"/>
  <c r="AK172" i="11" s="1"/>
  <c r="AK173" i="11" s="1" a="1"/>
  <c r="AK173" i="11" s="1"/>
  <c r="AK174" i="11" s="1" a="1"/>
  <c r="AK174" i="11" s="1"/>
  <c r="AK175" i="11" s="1" a="1"/>
  <c r="AK175" i="11" s="1"/>
  <c r="AK176" i="11" s="1" a="1"/>
  <c r="AK176" i="11" s="1"/>
  <c r="AK177" i="11" s="1" a="1"/>
  <c r="AK177" i="11" s="1"/>
  <c r="AK178" i="11" s="1" a="1"/>
  <c r="AK178" i="11" s="1"/>
  <c r="AK179" i="11" s="1" a="1"/>
  <c r="AK179" i="11" s="1"/>
  <c r="AK180" i="11" s="1" a="1"/>
  <c r="AK180" i="11" s="1"/>
  <c r="AK181" i="11" s="1" a="1"/>
  <c r="AK181" i="11" s="1"/>
  <c r="AK182" i="11" s="1" a="1"/>
  <c r="AK182" i="11" s="1"/>
  <c r="AK183" i="11" s="1" a="1"/>
  <c r="AK183" i="11" s="1"/>
  <c r="AK184" i="11" s="1" a="1"/>
  <c r="AK184" i="11" s="1"/>
  <c r="AK185" i="11" s="1" a="1"/>
  <c r="AK185" i="11" s="1"/>
  <c r="AK186" i="11" s="1" a="1"/>
  <c r="AK186" i="11" s="1"/>
  <c r="AK187" i="11" s="1" a="1"/>
  <c r="AK187" i="11" s="1"/>
  <c r="AK188" i="11" s="1" a="1"/>
  <c r="AK188" i="11" s="1"/>
  <c r="AK189" i="11" s="1" a="1"/>
  <c r="AK189" i="11" s="1"/>
  <c r="AK190" i="11" s="1" a="1"/>
  <c r="AK190" i="11" s="1"/>
  <c r="AK191" i="11" s="1" a="1"/>
  <c r="AK191" i="11" s="1"/>
  <c r="AK192" i="11" s="1" a="1"/>
  <c r="AK192" i="11" s="1"/>
  <c r="AK193" i="11" s="1" a="1"/>
  <c r="AK193" i="11" s="1"/>
  <c r="AK194" i="11" s="1" a="1"/>
  <c r="AK194" i="11" s="1"/>
  <c r="AK195" i="11" s="1" a="1"/>
  <c r="AK195" i="11" s="1"/>
  <c r="AK196" i="11" s="1" a="1"/>
  <c r="AK196" i="11" s="1"/>
  <c r="AK197" i="11" s="1" a="1"/>
  <c r="AK197" i="11" s="1"/>
  <c r="AK198" i="11" s="1" a="1"/>
  <c r="AK198" i="11" s="1"/>
  <c r="AK199" i="11" s="1" a="1"/>
  <c r="AK199" i="11" s="1"/>
  <c r="AK200" i="11" s="1" a="1"/>
  <c r="AK200" i="11" s="1"/>
  <c r="AK201" i="11" s="1" a="1"/>
  <c r="AK201" i="11" s="1"/>
  <c r="AK202" i="11" s="1" a="1"/>
  <c r="AK202" i="11" s="1"/>
  <c r="AK203" i="11" s="1" a="1"/>
  <c r="AK203" i="11" s="1"/>
  <c r="AK204" i="11" s="1" a="1"/>
  <c r="AK204" i="11" s="1"/>
  <c r="AK205" i="11" s="1" a="1"/>
  <c r="AK205" i="11" s="1"/>
  <c r="AK206" i="11" s="1" a="1"/>
  <c r="AK206" i="11" s="1"/>
  <c r="AK207" i="11" s="1" a="1"/>
  <c r="AK207" i="11" s="1"/>
  <c r="AK208" i="11" s="1" a="1"/>
  <c r="AK208" i="11" s="1"/>
  <c r="AK209" i="11" s="1" a="1"/>
  <c r="AK209" i="11" s="1"/>
  <c r="AK210" i="11" s="1" a="1"/>
  <c r="AK210" i="11" s="1"/>
  <c r="AK211" i="11" s="1" a="1"/>
  <c r="AK211" i="11" s="1"/>
  <c r="AK212" i="11" s="1" a="1"/>
  <c r="AK212" i="11" s="1"/>
  <c r="AK213" i="11" s="1" a="1"/>
  <c r="AK213" i="11" s="1"/>
  <c r="AK214" i="11" s="1" a="1"/>
  <c r="AK214" i="11" s="1"/>
  <c r="AK215" i="11" s="1" a="1"/>
  <c r="AK215" i="11" s="1"/>
  <c r="AK216" i="11" s="1" a="1"/>
  <c r="AK216" i="11" s="1"/>
  <c r="AK217" i="11" s="1" a="1"/>
  <c r="AK217" i="11" s="1"/>
  <c r="AK218" i="11" s="1" a="1"/>
  <c r="AK218" i="11" s="1"/>
  <c r="AK219" i="11" s="1" a="1"/>
  <c r="AK219" i="11" s="1"/>
  <c r="AK220" i="11" s="1" a="1"/>
  <c r="AK220" i="11" s="1"/>
  <c r="AK221" i="11" s="1" a="1"/>
  <c r="AK221" i="11" s="1"/>
  <c r="AK222" i="11" s="1" a="1"/>
  <c r="AK222" i="11" s="1"/>
  <c r="AK223" i="11" s="1" a="1"/>
  <c r="AK223" i="11" s="1"/>
  <c r="AK224" i="11" s="1" a="1"/>
  <c r="AK224" i="11" s="1"/>
  <c r="AK225" i="11" s="1" a="1"/>
  <c r="AK225" i="11" s="1"/>
  <c r="AK226" i="11" s="1" a="1"/>
  <c r="AK226" i="11" s="1"/>
  <c r="AK227" i="11" s="1" a="1"/>
  <c r="AK227" i="11" s="1"/>
  <c r="AK228" i="11" s="1" a="1"/>
  <c r="AK228" i="11" s="1"/>
  <c r="AK229" i="11" s="1" a="1"/>
  <c r="AK229" i="11" s="1"/>
  <c r="AK230" i="11" s="1" a="1"/>
  <c r="AK230" i="11" s="1"/>
  <c r="AK231" i="11" s="1" a="1"/>
  <c r="AK231" i="11" s="1"/>
  <c r="AK232" i="11" s="1" a="1"/>
  <c r="AK232" i="11" s="1"/>
  <c r="AK233" i="11" s="1" a="1"/>
  <c r="AK233" i="11" s="1"/>
  <c r="AK234" i="11" s="1" a="1"/>
  <c r="AK234" i="11" s="1"/>
  <c r="AK235" i="11" s="1" a="1"/>
  <c r="AK235" i="11" s="1"/>
  <c r="AK236" i="11" s="1" a="1"/>
  <c r="AK236" i="11" s="1"/>
  <c r="AK237" i="11" s="1" a="1"/>
  <c r="AK237" i="11" s="1"/>
  <c r="AK238" i="11" s="1" a="1"/>
  <c r="AK238" i="11" s="1"/>
  <c r="AK239" i="11" s="1" a="1"/>
  <c r="AK239" i="11" s="1"/>
  <c r="AK240" i="11" s="1" a="1"/>
  <c r="AK240" i="11" s="1"/>
  <c r="AK241" i="11" s="1" a="1"/>
  <c r="AK241" i="11" s="1"/>
  <c r="AK242" i="11" s="1" a="1"/>
  <c r="AK242" i="11" s="1"/>
  <c r="AK243" i="11" s="1" a="1"/>
  <c r="AK243" i="11" s="1"/>
  <c r="AK244" i="11" s="1" a="1"/>
  <c r="AK244" i="11" s="1"/>
  <c r="AK245" i="11" s="1" a="1"/>
  <c r="AK245" i="11" s="1"/>
  <c r="AK246" i="11" s="1" a="1"/>
  <c r="AK246" i="11" s="1"/>
  <c r="AK247" i="11" s="1" a="1"/>
  <c r="AK247" i="11" s="1"/>
  <c r="AK248" i="11" s="1" a="1"/>
  <c r="AK248" i="11" s="1"/>
  <c r="AK249" i="11" s="1" a="1"/>
  <c r="AK249" i="11" s="1"/>
  <c r="AK250" i="11" s="1" a="1"/>
  <c r="AK250" i="11" s="1"/>
  <c r="AK251" i="11" s="1" a="1"/>
  <c r="AK251" i="11" s="1"/>
  <c r="AK252" i="11" s="1" a="1"/>
  <c r="AK252" i="11" s="1"/>
  <c r="AK253" i="11" s="1" a="1"/>
  <c r="AK253" i="11" s="1"/>
  <c r="AK254" i="11" s="1" a="1"/>
  <c r="AK254" i="11" s="1"/>
  <c r="AK255" i="11" s="1" a="1"/>
  <c r="AK255" i="11" s="1"/>
  <c r="AK256" i="11" s="1" a="1"/>
  <c r="AK256" i="11" s="1"/>
  <c r="AK257" i="11" s="1" a="1"/>
  <c r="AK257" i="11" s="1"/>
  <c r="AK258" i="11" s="1" a="1"/>
  <c r="AK258" i="11" s="1"/>
  <c r="C49" i="36"/>
  <c r="C87" i="36" s="1"/>
  <c r="D48" i="36"/>
  <c r="C41" i="36"/>
  <c r="C79" i="36" s="1"/>
  <c r="D39" i="36"/>
  <c r="C48" i="36"/>
  <c r="C86" i="36" s="1"/>
  <c r="C45" i="36"/>
  <c r="C83" i="36" s="1"/>
  <c r="D46" i="36"/>
  <c r="D84" i="36" s="1"/>
  <c r="D42" i="36"/>
  <c r="D47" i="36"/>
  <c r="C43" i="36"/>
  <c r="C81" i="36" s="1"/>
  <c r="C46" i="36"/>
  <c r="C84" i="36" s="1"/>
  <c r="C50" i="36"/>
  <c r="C88" i="36" s="1"/>
  <c r="C47" i="36"/>
  <c r="C85" i="36" s="1"/>
  <c r="C44" i="36"/>
  <c r="C82" i="36" s="1"/>
  <c r="D49" i="36"/>
  <c r="C42" i="36"/>
  <c r="C80" i="36" s="1"/>
  <c r="C39" i="36"/>
  <c r="D44" i="36"/>
  <c r="D43" i="36"/>
  <c r="D50" i="36"/>
  <c r="D88" i="36" s="1"/>
  <c r="D41" i="36"/>
  <c r="C40" i="36"/>
  <c r="C78" i="36" s="1"/>
  <c r="D40" i="36"/>
  <c r="D45" i="36"/>
  <c r="C77" i="36" l="1"/>
  <c r="G39" i="36"/>
  <c r="F80" i="36"/>
  <c r="H42" i="36"/>
  <c r="F87" i="36"/>
  <c r="H49" i="36"/>
  <c r="G44" i="36"/>
  <c r="E82" i="36"/>
  <c r="D85" i="36"/>
  <c r="F83" i="36"/>
  <c r="H45" i="36"/>
  <c r="E81" i="36"/>
  <c r="G43" i="36"/>
  <c r="H48" i="36"/>
  <c r="F86" i="36"/>
  <c r="D86" i="36"/>
  <c r="D83" i="36"/>
  <c r="E83" i="36"/>
  <c r="G45" i="36"/>
  <c r="D81" i="36"/>
  <c r="E88" i="36"/>
  <c r="G50" i="36"/>
  <c r="H43" i="36"/>
  <c r="F81" i="36"/>
  <c r="E84" i="36"/>
  <c r="G46" i="36"/>
  <c r="F85" i="36"/>
  <c r="H47" i="36"/>
  <c r="D78" i="36"/>
  <c r="D79" i="36"/>
  <c r="F79" i="36"/>
  <c r="H41" i="36"/>
  <c r="D82" i="36"/>
  <c r="D87" i="36"/>
  <c r="H44" i="36"/>
  <c r="F82" i="36"/>
  <c r="F84" i="36"/>
  <c r="H46" i="36"/>
  <c r="E80" i="36"/>
  <c r="G42" i="36"/>
  <c r="E85" i="36"/>
  <c r="G47" i="36"/>
  <c r="F88" i="36"/>
  <c r="H50" i="36"/>
  <c r="H40" i="36"/>
  <c r="F78" i="36"/>
  <c r="G40" i="36"/>
  <c r="E78" i="36"/>
  <c r="D80" i="36"/>
  <c r="D77" i="36"/>
  <c r="H39" i="36"/>
  <c r="E79" i="36"/>
  <c r="G41" i="36"/>
  <c r="E87" i="36"/>
  <c r="G49" i="36"/>
  <c r="G48" i="36"/>
  <c r="E86" i="36"/>
  <c r="H77" i="36" l="1"/>
  <c r="H83" i="36"/>
  <c r="G82" i="36"/>
  <c r="G86" i="36"/>
  <c r="G80" i="36"/>
  <c r="H85" i="36"/>
  <c r="H80" i="36"/>
  <c r="G78" i="36"/>
  <c r="G85" i="36"/>
  <c r="G84" i="36"/>
  <c r="G88" i="36"/>
  <c r="H86" i="36"/>
  <c r="H87" i="36"/>
  <c r="G77" i="36"/>
  <c r="H88" i="36"/>
  <c r="H79" i="36"/>
  <c r="G87" i="36"/>
  <c r="H82" i="36"/>
  <c r="H81" i="36"/>
  <c r="H84" i="36"/>
  <c r="G79" i="36"/>
  <c r="H78" i="36"/>
  <c r="G81" i="36"/>
  <c r="G83" i="36"/>
  <c r="B123" i="72" l="1"/>
  <c r="BA110" i="22"/>
  <c r="BC110" i="22"/>
  <c r="AY110" i="22"/>
  <c r="AW110" i="22"/>
  <c r="AZ110" i="22"/>
  <c r="BD110" i="22"/>
  <c r="E123" i="72" s="1"/>
  <c r="BB110" i="22"/>
  <c r="D123" i="72" s="1"/>
  <c r="D159" i="72" s="1"/>
  <c r="BE110" i="22" l="1"/>
  <c r="BF110" i="22" s="1"/>
  <c r="F123" i="72" l="1"/>
  <c r="F159" i="72" s="1"/>
  <c r="J123" i="72" s="1"/>
  <c r="J124" i="72" s="1"/>
  <c r="G8" i="72" s="1"/>
  <c r="F36" i="73" s="1"/>
  <c r="H170" i="22"/>
  <c r="H168" i="22"/>
  <c r="H169" i="22"/>
  <c r="G170" i="22"/>
  <c r="H172" i="22"/>
  <c r="G172" i="22"/>
  <c r="G169" i="22"/>
  <c r="H171" i="22"/>
  <c r="G168" i="22"/>
  <c r="G171" i="22"/>
  <c r="R14" i="63"/>
  <c r="R258" i="63" s="1"/>
  <c r="H10" i="73" s="1"/>
  <c r="W14" i="63"/>
  <c r="W258" i="63" s="1"/>
  <c r="H28" i="36" s="1"/>
  <c r="F169" i="22"/>
  <c r="D163" i="36" s="1"/>
  <c r="D203" i="36" s="1"/>
  <c r="AI14" i="63"/>
  <c r="AN10" i="63" s="1" a="1"/>
  <c r="AN10" i="63" s="1"/>
  <c r="X14" i="63"/>
  <c r="X258" i="63" s="1"/>
  <c r="H30" i="36" s="1"/>
  <c r="AH14" i="63"/>
  <c r="AM10" i="63" s="1" a="1"/>
  <c r="AM10" i="63" s="1"/>
  <c r="F14" i="63"/>
  <c r="K167" i="36" s="1"/>
  <c r="L167" i="36" s="1"/>
  <c r="K165" i="36"/>
  <c r="L165" i="36" s="1"/>
  <c r="E168" i="22"/>
  <c r="C162" i="36" s="1"/>
  <c r="C202" i="36" s="1"/>
  <c r="E172" i="22"/>
  <c r="C166" i="36" s="1"/>
  <c r="C206" i="36" s="1"/>
  <c r="E169" i="22"/>
  <c r="C163" i="36" s="1"/>
  <c r="C203" i="36" s="1"/>
  <c r="E171" i="22"/>
  <c r="C165" i="36" s="1"/>
  <c r="C205" i="36" s="1"/>
  <c r="E170" i="22"/>
  <c r="C164" i="36" s="1"/>
  <c r="C204" i="36" s="1"/>
  <c r="J171" i="22"/>
  <c r="J170" i="22"/>
  <c r="J168" i="22"/>
  <c r="F170" i="22"/>
  <c r="D164" i="36" s="1"/>
  <c r="D204" i="36" s="1"/>
  <c r="J169" i="22"/>
  <c r="F168" i="22"/>
  <c r="D162" i="36" s="1"/>
  <c r="D202" i="36" s="1"/>
  <c r="F171" i="22"/>
  <c r="D165" i="36" s="1"/>
  <c r="D205" i="36" s="1"/>
  <c r="J172" i="22"/>
  <c r="F172" i="22"/>
  <c r="D166" i="36" s="1"/>
  <c r="D206" i="36" s="1"/>
  <c r="I168" i="22"/>
  <c r="I14" i="63"/>
  <c r="Q14" i="63"/>
  <c r="I171" i="22"/>
  <c r="AP14" i="63"/>
  <c r="I169" i="22"/>
  <c r="I170" i="22"/>
  <c r="I172" i="22"/>
  <c r="AM11" i="63" l="1" a="1"/>
  <c r="AM11" i="63" s="1"/>
  <c r="B12" i="65"/>
  <c r="AN11" i="63" a="1"/>
  <c r="AN11" i="63" s="1"/>
  <c r="B13" i="65" s="1"/>
  <c r="K169" i="36"/>
  <c r="L169" i="36" s="1"/>
  <c r="K163" i="36"/>
  <c r="L163" i="36" s="1"/>
  <c r="H22" i="36"/>
  <c r="G14" i="63"/>
  <c r="V14" i="63" s="1"/>
  <c r="AN12" i="63" l="1" a="1"/>
  <c r="AN12" i="63" s="1"/>
  <c r="B14" i="65" s="1"/>
  <c r="L14" i="65" s="1"/>
  <c r="M14" i="65" s="1"/>
  <c r="C12" i="65"/>
  <c r="L12" i="65"/>
  <c r="M12" i="65" s="1"/>
  <c r="AM12" i="63" a="1"/>
  <c r="AM12" i="63" s="1"/>
  <c r="AM13" i="63" s="1" a="1"/>
  <c r="AM13" i="63" s="1"/>
  <c r="V258" i="63"/>
  <c r="Y14" i="63"/>
  <c r="L13" i="65"/>
  <c r="M13" i="65" s="1"/>
  <c r="C13" i="65"/>
  <c r="C14" i="65" l="1"/>
  <c r="D14" i="65" s="1"/>
  <c r="E14" i="65" s="1"/>
  <c r="F14" i="65" s="1"/>
  <c r="G14" i="65" s="1"/>
  <c r="H14" i="65" s="1"/>
  <c r="I14" i="65" s="1"/>
  <c r="J14" i="65" s="1"/>
  <c r="K14" i="65" s="1"/>
  <c r="AN13" i="63" a="1"/>
  <c r="AN13" i="63" s="1"/>
  <c r="B15" i="65" s="1"/>
  <c r="AM14" i="63" a="1"/>
  <c r="AM14" i="63" s="1"/>
  <c r="D13" i="65"/>
  <c r="E13" i="65" s="1"/>
  <c r="F13" i="65" s="1"/>
  <c r="G13" i="65" s="1"/>
  <c r="H13" i="65" s="1"/>
  <c r="I13" i="65" s="1"/>
  <c r="J13" i="65" s="1"/>
  <c r="K13" i="65" s="1"/>
  <c r="Y258" i="63"/>
  <c r="H31" i="36" s="1"/>
  <c r="H25" i="36"/>
  <c r="D12" i="65"/>
  <c r="E12" i="65" s="1"/>
  <c r="F12" i="65" s="1"/>
  <c r="G12" i="65" s="1"/>
  <c r="H12" i="65" s="1"/>
  <c r="I12" i="65" s="1"/>
  <c r="J12" i="65" s="1"/>
  <c r="K12" i="65" s="1"/>
  <c r="N14" i="65" l="1"/>
  <c r="AE14" i="65" s="1"/>
  <c r="AH14" i="65" s="1"/>
  <c r="AN14" i="63" a="1"/>
  <c r="AN14" i="63" s="1"/>
  <c r="AN15" i="63" s="1" a="1"/>
  <c r="AN15" i="63" s="1"/>
  <c r="U13" i="65"/>
  <c r="Q13" i="65"/>
  <c r="AV13" i="65"/>
  <c r="R13" i="65"/>
  <c r="S13" i="65" s="1"/>
  <c r="O13" i="65" s="1"/>
  <c r="AE13" i="65"/>
  <c r="AH13" i="65" s="1"/>
  <c r="R12" i="65"/>
  <c r="S12" i="65" s="1"/>
  <c r="O12" i="65" s="1"/>
  <c r="Q12" i="65"/>
  <c r="AE12" i="65"/>
  <c r="AH12" i="65" s="1"/>
  <c r="U12" i="65"/>
  <c r="AV12" i="65"/>
  <c r="AM15" i="63" a="1"/>
  <c r="AM15" i="63" s="1"/>
  <c r="AM16" i="63" s="1" a="1"/>
  <c r="AM16" i="63" s="1"/>
  <c r="C15" i="65"/>
  <c r="L15" i="65"/>
  <c r="M15" i="65" s="1"/>
  <c r="AV14" i="65" l="1"/>
  <c r="U14" i="65"/>
  <c r="R14" i="65"/>
  <c r="S14" i="65" s="1"/>
  <c r="O14" i="65" s="1"/>
  <c r="P14" i="65" s="1"/>
  <c r="Y14" i="65" s="1"/>
  <c r="AB14" i="65" s="1"/>
  <c r="AC14" i="65" s="1"/>
  <c r="AD14" i="65" s="1"/>
  <c r="Q14" i="65"/>
  <c r="P13" i="65"/>
  <c r="Y13" i="65" s="1"/>
  <c r="AB13" i="65" s="1"/>
  <c r="AC13" i="65" s="1"/>
  <c r="AD13" i="65" s="1"/>
  <c r="AM13" i="65" s="1"/>
  <c r="P12" i="65"/>
  <c r="Y12" i="65" s="1"/>
  <c r="AB12" i="65" s="1"/>
  <c r="AC12" i="65" s="1"/>
  <c r="B16" i="65"/>
  <c r="L16" i="65" s="1"/>
  <c r="M16" i="65" s="1"/>
  <c r="AF14" i="65"/>
  <c r="AN16" i="63" a="1"/>
  <c r="AN16" i="63" s="1"/>
  <c r="AM17" i="63" a="1"/>
  <c r="AM17" i="63" s="1"/>
  <c r="AM14" i="65"/>
  <c r="D15" i="65"/>
  <c r="E15" i="65" s="1"/>
  <c r="F15" i="65" s="1"/>
  <c r="G15" i="65" s="1"/>
  <c r="H15" i="65" s="1"/>
  <c r="I15" i="65" s="1"/>
  <c r="J15" i="65" s="1"/>
  <c r="K15" i="65" s="1"/>
  <c r="N15" i="65"/>
  <c r="B17" i="65"/>
  <c r="AG14" i="65" l="1"/>
  <c r="AF13" i="65"/>
  <c r="AG13" i="65" s="1"/>
  <c r="C16" i="65"/>
  <c r="AN17" i="63" a="1"/>
  <c r="AN17" i="63" s="1"/>
  <c r="B19" i="65" s="1"/>
  <c r="C19" i="65" s="1"/>
  <c r="AM18" i="63" a="1"/>
  <c r="AM18" i="63" s="1"/>
  <c r="AM19" i="63" s="1" a="1"/>
  <c r="AM19" i="63" s="1"/>
  <c r="AE15" i="65"/>
  <c r="Q15" i="65"/>
  <c r="R15" i="65"/>
  <c r="S15" i="65" s="1"/>
  <c r="O15" i="65" s="1"/>
  <c r="P15" i="65" s="1"/>
  <c r="Y15" i="65" s="1"/>
  <c r="U15" i="65"/>
  <c r="AH15" i="65"/>
  <c r="AV15" i="65"/>
  <c r="B18" i="65"/>
  <c r="C17" i="65"/>
  <c r="L17" i="65"/>
  <c r="M17" i="65" s="1"/>
  <c r="N16" i="65"/>
  <c r="D16" i="65"/>
  <c r="E16" i="65" s="1"/>
  <c r="F16" i="65" s="1"/>
  <c r="G16" i="65" s="1"/>
  <c r="H16" i="65" s="1"/>
  <c r="I16" i="65" s="1"/>
  <c r="J16" i="65" s="1"/>
  <c r="K16" i="65" s="1"/>
  <c r="AD12" i="65"/>
  <c r="AM12" i="65" s="1"/>
  <c r="AF12" i="65"/>
  <c r="AG12" i="65" s="1"/>
  <c r="L19" i="65" l="1"/>
  <c r="M19" i="65" s="1"/>
  <c r="AN18" i="63" a="1"/>
  <c r="AN18" i="63" s="1"/>
  <c r="B20" i="65" s="1"/>
  <c r="AM20" i="63" a="1"/>
  <c r="AM20" i="63" s="1"/>
  <c r="AM21" i="63" s="1" a="1"/>
  <c r="AM21" i="63" s="1"/>
  <c r="N17" i="65"/>
  <c r="D17" i="65"/>
  <c r="E17" i="65" s="1"/>
  <c r="F17" i="65" s="1"/>
  <c r="G17" i="65" s="1"/>
  <c r="H17" i="65" s="1"/>
  <c r="I17" i="65" s="1"/>
  <c r="J17" i="65" s="1"/>
  <c r="K17" i="65" s="1"/>
  <c r="AB15" i="65"/>
  <c r="AC15" i="65" s="1"/>
  <c r="R16" i="65"/>
  <c r="S16" i="65" s="1"/>
  <c r="O16" i="65" s="1"/>
  <c r="Q16" i="65"/>
  <c r="AV16" i="65"/>
  <c r="U16" i="65"/>
  <c r="AE16" i="65"/>
  <c r="AH16" i="65" s="1"/>
  <c r="P16" i="65"/>
  <c r="L18" i="65"/>
  <c r="M18" i="65" s="1"/>
  <c r="C18" i="65"/>
  <c r="N19" i="65"/>
  <c r="D19" i="65"/>
  <c r="E19" i="65" s="1"/>
  <c r="F19" i="65" s="1"/>
  <c r="G19" i="65" s="1"/>
  <c r="H19" i="65" s="1"/>
  <c r="I19" i="65" s="1"/>
  <c r="J19" i="65" s="1"/>
  <c r="K19" i="65" s="1"/>
  <c r="Y16" i="65" l="1"/>
  <c r="AB16" i="65" s="1"/>
  <c r="AC16" i="65" s="1"/>
  <c r="AD16" i="65" s="1"/>
  <c r="L20" i="65"/>
  <c r="M20" i="65" s="1"/>
  <c r="C20" i="65"/>
  <c r="AN19" i="63" a="1"/>
  <c r="AN19" i="63" s="1"/>
  <c r="AM22" i="63" a="1"/>
  <c r="AM22" i="63" s="1"/>
  <c r="AF16" i="65"/>
  <c r="R19" i="65"/>
  <c r="S19" i="65" s="1"/>
  <c r="O19" i="65" s="1"/>
  <c r="P19" i="65" s="1"/>
  <c r="Y19" i="65" s="1"/>
  <c r="AB19" i="65" s="1"/>
  <c r="AC19" i="65" s="1"/>
  <c r="AD19" i="65" s="1"/>
  <c r="Q19" i="65"/>
  <c r="AV19" i="65"/>
  <c r="AE19" i="65"/>
  <c r="AH19" i="65" s="1"/>
  <c r="U19" i="65"/>
  <c r="N18" i="65"/>
  <c r="D18" i="65"/>
  <c r="E18" i="65" s="1"/>
  <c r="F18" i="65" s="1"/>
  <c r="G18" i="65" s="1"/>
  <c r="H18" i="65" s="1"/>
  <c r="I18" i="65" s="1"/>
  <c r="J18" i="65" s="1"/>
  <c r="K18" i="65" s="1"/>
  <c r="AM16" i="65"/>
  <c r="AD15" i="65"/>
  <c r="AM15" i="65" s="1"/>
  <c r="AF15" i="65"/>
  <c r="AG15" i="65" s="1"/>
  <c r="U17" i="65"/>
  <c r="R17" i="65"/>
  <c r="S17" i="65" s="1"/>
  <c r="O17" i="65" s="1"/>
  <c r="P17" i="65" s="1"/>
  <c r="Y17" i="65" s="1"/>
  <c r="AE17" i="65"/>
  <c r="AH17" i="65" s="1"/>
  <c r="Q17" i="65"/>
  <c r="AV17" i="65"/>
  <c r="AG16" i="65" l="1"/>
  <c r="AN20" i="63" a="1"/>
  <c r="AN20" i="63" s="1"/>
  <c r="B22" i="65" s="1"/>
  <c r="B21" i="65"/>
  <c r="D20" i="65"/>
  <c r="E20" i="65" s="1"/>
  <c r="F20" i="65" s="1"/>
  <c r="G20" i="65" s="1"/>
  <c r="H20" i="65" s="1"/>
  <c r="I20" i="65" s="1"/>
  <c r="J20" i="65" s="1"/>
  <c r="K20" i="65" s="1"/>
  <c r="N20" i="65"/>
  <c r="AF20" i="65" s="1"/>
  <c r="AM23" i="63" a="1"/>
  <c r="AM23" i="63" s="1"/>
  <c r="AM24" i="63" s="1" a="1"/>
  <c r="AM24" i="63" s="1"/>
  <c r="AM25" i="63" s="1" a="1"/>
  <c r="AM25" i="63" s="1"/>
  <c r="AM26" i="63" s="1" a="1"/>
  <c r="AM26" i="63" s="1"/>
  <c r="AM27" i="63" s="1" a="1"/>
  <c r="AM27" i="63" s="1"/>
  <c r="AM28" i="63" s="1" a="1"/>
  <c r="AM28" i="63" s="1"/>
  <c r="AM29" i="63" s="1" a="1"/>
  <c r="AM29" i="63" s="1"/>
  <c r="AB17" i="65"/>
  <c r="AC17" i="65" s="1"/>
  <c r="AM19" i="65"/>
  <c r="U18" i="65"/>
  <c r="AV18" i="65"/>
  <c r="R18" i="65"/>
  <c r="S18" i="65" s="1"/>
  <c r="O18" i="65" s="1"/>
  <c r="AE18" i="65"/>
  <c r="AH18" i="65" s="1"/>
  <c r="Q18" i="65"/>
  <c r="AM20" i="65"/>
  <c r="P18" i="65"/>
  <c r="AF19" i="65"/>
  <c r="AG19" i="65" s="1"/>
  <c r="Y18" i="65" l="1"/>
  <c r="AB18" i="65" s="1"/>
  <c r="AC18" i="65" s="1"/>
  <c r="AD18" i="65" s="1"/>
  <c r="Q20" i="65"/>
  <c r="U20" i="65"/>
  <c r="R20" i="65"/>
  <c r="S20" i="65" s="1"/>
  <c r="O20" i="65" s="1"/>
  <c r="P20" i="65" s="1"/>
  <c r="Y20" i="65" s="1"/>
  <c r="AB20" i="65" s="1"/>
  <c r="AC20" i="65" s="1"/>
  <c r="AD20" i="65" s="1"/>
  <c r="AV20" i="65"/>
  <c r="AH20" i="65"/>
  <c r="AE20" i="65"/>
  <c r="AN21" i="63" a="1"/>
  <c r="AN21" i="63" s="1"/>
  <c r="B23" i="65" s="1"/>
  <c r="L21" i="65"/>
  <c r="M21" i="65" s="1"/>
  <c r="C21" i="65"/>
  <c r="P21" i="65" s="1"/>
  <c r="C22" i="65"/>
  <c r="AM22" i="65" s="1"/>
  <c r="L22" i="65"/>
  <c r="M22" i="65" s="1"/>
  <c r="AM30" i="63" a="1"/>
  <c r="AM30" i="63" s="1"/>
  <c r="AM31" i="63" s="1" a="1"/>
  <c r="AM31" i="63" s="1"/>
  <c r="AM32" i="63" s="1" a="1"/>
  <c r="AM32" i="63" s="1"/>
  <c r="AM33" i="63" s="1" a="1"/>
  <c r="AM33" i="63" s="1"/>
  <c r="AM18" i="65"/>
  <c r="AF18" i="65"/>
  <c r="AD17" i="65"/>
  <c r="AM17" i="65" s="1"/>
  <c r="AF17" i="65"/>
  <c r="AG17" i="65" s="1"/>
  <c r="AG18" i="65" l="1"/>
  <c r="AN22" i="63" a="1"/>
  <c r="AN22" i="63" s="1"/>
  <c r="B24" i="65" s="1"/>
  <c r="D21" i="65"/>
  <c r="E21" i="65" s="1"/>
  <c r="F21" i="65" s="1"/>
  <c r="G21" i="65" s="1"/>
  <c r="H21" i="65" s="1"/>
  <c r="I21" i="65" s="1"/>
  <c r="J21" i="65" s="1"/>
  <c r="K21" i="65" s="1"/>
  <c r="N21" i="65"/>
  <c r="AF21" i="65" s="1"/>
  <c r="L23" i="65"/>
  <c r="M23" i="65" s="1"/>
  <c r="C23" i="65"/>
  <c r="AM23" i="65" s="1"/>
  <c r="N22" i="65"/>
  <c r="D22" i="65"/>
  <c r="E22" i="65" s="1"/>
  <c r="F22" i="65" s="1"/>
  <c r="G22" i="65" s="1"/>
  <c r="H22" i="65" s="1"/>
  <c r="I22" i="65" s="1"/>
  <c r="J22" i="65" s="1"/>
  <c r="K22" i="65" s="1"/>
  <c r="P22" i="65"/>
  <c r="AG20" i="65"/>
  <c r="AM34" i="63" a="1"/>
  <c r="AM34" i="63" s="1"/>
  <c r="AM35" i="63" s="1" a="1"/>
  <c r="AM35" i="63" s="1"/>
  <c r="AM36" i="63" s="1" a="1"/>
  <c r="AM36" i="63" s="1"/>
  <c r="AM37" i="63" s="1" a="1"/>
  <c r="AM37" i="63" s="1"/>
  <c r="AM38" i="63" s="1" a="1"/>
  <c r="AM38" i="63" s="1"/>
  <c r="AM39" i="63" s="1" a="1"/>
  <c r="AM39" i="63" s="1"/>
  <c r="AM40" i="63" s="1" a="1"/>
  <c r="AM40" i="63" s="1"/>
  <c r="AM41" i="63" s="1" a="1"/>
  <c r="AM41" i="63" s="1"/>
  <c r="AM42" i="63" s="1" a="1"/>
  <c r="AM42" i="63" s="1"/>
  <c r="AM43" i="63" s="1" a="1"/>
  <c r="AM43" i="63" s="1"/>
  <c r="AM44" i="63" s="1" a="1"/>
  <c r="AM44" i="63" s="1"/>
  <c r="AM45" i="63" s="1" a="1"/>
  <c r="AM45" i="63" s="1"/>
  <c r="AM46" i="63" s="1" a="1"/>
  <c r="AM46" i="63" s="1"/>
  <c r="AM47" i="63" s="1" a="1"/>
  <c r="AM47" i="63" s="1"/>
  <c r="AM48" i="63" s="1" a="1"/>
  <c r="AM48" i="63" s="1"/>
  <c r="AM49" i="63" s="1" a="1"/>
  <c r="AM49" i="63" s="1"/>
  <c r="AM50" i="63" s="1" a="1"/>
  <c r="AM50" i="63" s="1"/>
  <c r="AM51" i="63" s="1" a="1"/>
  <c r="AM51" i="63" s="1"/>
  <c r="AM52" i="63" s="1" a="1"/>
  <c r="AM52" i="63" s="1"/>
  <c r="AM53" i="63" s="1" a="1"/>
  <c r="AM53" i="63" s="1"/>
  <c r="AM54" i="63" s="1" a="1"/>
  <c r="AM54" i="63" s="1"/>
  <c r="AM55" i="63" s="1" a="1"/>
  <c r="AM55" i="63" s="1"/>
  <c r="AM56" i="63" s="1" a="1"/>
  <c r="AM56" i="63" s="1"/>
  <c r="AM57" i="63" s="1" a="1"/>
  <c r="AM57" i="63" s="1"/>
  <c r="AM58" i="63" s="1" a="1"/>
  <c r="AM58" i="63" s="1"/>
  <c r="AM59" i="63" s="1" a="1"/>
  <c r="AM59" i="63" s="1"/>
  <c r="AM60" i="63" s="1" a="1"/>
  <c r="AM60" i="63" s="1"/>
  <c r="AM61" i="63" s="1" a="1"/>
  <c r="AM61" i="63" s="1"/>
  <c r="AM62" i="63" s="1" a="1"/>
  <c r="AM62" i="63" s="1"/>
  <c r="AM63" i="63" s="1" a="1"/>
  <c r="AM63" i="63" s="1"/>
  <c r="AM64" i="63" s="1" a="1"/>
  <c r="AM64" i="63" s="1"/>
  <c r="AM65" i="63" s="1" a="1"/>
  <c r="AM65" i="63" s="1"/>
  <c r="AM66" i="63" s="1" a="1"/>
  <c r="AM66" i="63" s="1"/>
  <c r="AM67" i="63" s="1" a="1"/>
  <c r="AM67" i="63" s="1"/>
  <c r="AM68" i="63" s="1" a="1"/>
  <c r="AM68" i="63" s="1"/>
  <c r="AM69" i="63" s="1" a="1"/>
  <c r="AM69" i="63" s="1"/>
  <c r="AM70" i="63" s="1" a="1"/>
  <c r="AM70" i="63" s="1"/>
  <c r="AM71" i="63" s="1" a="1"/>
  <c r="AM71" i="63" s="1"/>
  <c r="AM72" i="63" s="1" a="1"/>
  <c r="AM72" i="63" s="1"/>
  <c r="AM73" i="63" s="1" a="1"/>
  <c r="AM73" i="63" s="1"/>
  <c r="AM74" i="63" s="1" a="1"/>
  <c r="AM74" i="63" s="1"/>
  <c r="AM75" i="63" s="1" a="1"/>
  <c r="AM75" i="63" s="1"/>
  <c r="AM76" i="63" s="1" a="1"/>
  <c r="AM76" i="63" s="1"/>
  <c r="AM77" i="63" s="1" a="1"/>
  <c r="AM77" i="63" s="1"/>
  <c r="AM78" i="63" s="1" a="1"/>
  <c r="AM78" i="63" s="1"/>
  <c r="AM79" i="63" s="1" a="1"/>
  <c r="AM79" i="63" s="1"/>
  <c r="AM80" i="63" s="1" a="1"/>
  <c r="AM80" i="63" s="1"/>
  <c r="AM81" i="63" s="1" a="1"/>
  <c r="AM81" i="63" s="1"/>
  <c r="AM82" i="63" s="1" a="1"/>
  <c r="AM82" i="63" s="1"/>
  <c r="AM83" i="63" s="1" a="1"/>
  <c r="AM83" i="63" s="1"/>
  <c r="AM84" i="63" s="1" a="1"/>
  <c r="AM84" i="63" s="1"/>
  <c r="AM85" i="63" s="1" a="1"/>
  <c r="AM85" i="63" s="1"/>
  <c r="AM86" i="63" s="1" a="1"/>
  <c r="AM86" i="63" s="1"/>
  <c r="AM87" i="63" s="1" a="1"/>
  <c r="AM87" i="63" s="1"/>
  <c r="AM88" i="63" s="1" a="1"/>
  <c r="AM88" i="63" s="1"/>
  <c r="AM89" i="63" s="1" a="1"/>
  <c r="AM89" i="63" s="1"/>
  <c r="AM90" i="63" s="1" a="1"/>
  <c r="AM90" i="63" s="1"/>
  <c r="AM91" i="63" s="1" a="1"/>
  <c r="AM91" i="63" s="1"/>
  <c r="AM92" i="63" s="1" a="1"/>
  <c r="AM92" i="63" s="1"/>
  <c r="AM93" i="63" s="1" a="1"/>
  <c r="AM93" i="63" s="1"/>
  <c r="AM94" i="63" s="1" a="1"/>
  <c r="AM94" i="63" s="1"/>
  <c r="AM95" i="63" s="1" a="1"/>
  <c r="AM95" i="63" s="1"/>
  <c r="AM96" i="63" s="1" a="1"/>
  <c r="AM96" i="63" s="1"/>
  <c r="AM97" i="63" s="1" a="1"/>
  <c r="AM97" i="63" s="1"/>
  <c r="AM98" i="63" s="1" a="1"/>
  <c r="AM98" i="63" s="1"/>
  <c r="AM99" i="63" s="1" a="1"/>
  <c r="AM99" i="63" s="1"/>
  <c r="AM100" i="63" s="1" a="1"/>
  <c r="AM100" i="63" s="1"/>
  <c r="AM101" i="63" s="1" a="1"/>
  <c r="AM101" i="63" s="1"/>
  <c r="AM102" i="63" s="1" a="1"/>
  <c r="AM102" i="63" s="1"/>
  <c r="AM103" i="63" s="1" a="1"/>
  <c r="AM103" i="63" s="1"/>
  <c r="AM104" i="63" s="1" a="1"/>
  <c r="AM104" i="63" s="1"/>
  <c r="AM105" i="63" s="1" a="1"/>
  <c r="AM105" i="63" s="1"/>
  <c r="AM106" i="63" s="1" a="1"/>
  <c r="AM106" i="63" s="1"/>
  <c r="AM107" i="63" s="1" a="1"/>
  <c r="AM107" i="63" s="1"/>
  <c r="AM108" i="63" s="1" a="1"/>
  <c r="AM108" i="63" s="1"/>
  <c r="AM109" i="63" s="1" a="1"/>
  <c r="AM109" i="63" s="1"/>
  <c r="AM110" i="63" s="1" a="1"/>
  <c r="AM110" i="63" s="1"/>
  <c r="AM111" i="63" s="1" a="1"/>
  <c r="AM111" i="63" s="1"/>
  <c r="AM112" i="63" s="1" a="1"/>
  <c r="AM112" i="63" s="1"/>
  <c r="AM113" i="63" s="1" a="1"/>
  <c r="AM113" i="63" s="1"/>
  <c r="AM114" i="63" s="1" a="1"/>
  <c r="AM114" i="63" s="1"/>
  <c r="AM115" i="63" s="1" a="1"/>
  <c r="AM115" i="63" s="1"/>
  <c r="AM116" i="63" s="1" a="1"/>
  <c r="AM116" i="63" s="1"/>
  <c r="AM117" i="63" s="1" a="1"/>
  <c r="AM117" i="63" s="1"/>
  <c r="AM118" i="63" s="1" a="1"/>
  <c r="AM118" i="63" s="1"/>
  <c r="AM119" i="63" s="1" a="1"/>
  <c r="AM119" i="63" s="1"/>
  <c r="AM120" i="63" s="1" a="1"/>
  <c r="AM120" i="63" s="1"/>
  <c r="AM121" i="63" s="1" a="1"/>
  <c r="AM121" i="63" s="1"/>
  <c r="AM122" i="63" s="1" a="1"/>
  <c r="AM122" i="63" s="1"/>
  <c r="AM123" i="63" s="1" a="1"/>
  <c r="AM123" i="63" s="1"/>
  <c r="AM124" i="63" s="1" a="1"/>
  <c r="AM124" i="63" s="1"/>
  <c r="AM125" i="63" s="1" a="1"/>
  <c r="AM125" i="63" s="1"/>
  <c r="AM126" i="63" s="1" a="1"/>
  <c r="AM126" i="63" s="1"/>
  <c r="AM127" i="63" s="1" a="1"/>
  <c r="AM127" i="63" s="1"/>
  <c r="AM128" i="63" s="1" a="1"/>
  <c r="AM128" i="63" s="1"/>
  <c r="AM129" i="63" s="1" a="1"/>
  <c r="AM129" i="63" s="1"/>
  <c r="AM130" i="63" s="1" a="1"/>
  <c r="AM130" i="63" s="1"/>
  <c r="AM131" i="63" s="1" a="1"/>
  <c r="AM131" i="63" s="1"/>
  <c r="AM132" i="63" s="1" a="1"/>
  <c r="AM132" i="63" s="1"/>
  <c r="AM133" i="63" s="1" a="1"/>
  <c r="AM133" i="63" s="1"/>
  <c r="AM134" i="63" s="1" a="1"/>
  <c r="AM134" i="63" s="1"/>
  <c r="AM135" i="63" s="1" a="1"/>
  <c r="AM135" i="63" s="1"/>
  <c r="AM136" i="63" s="1" a="1"/>
  <c r="AM136" i="63" s="1"/>
  <c r="AM137" i="63" s="1" a="1"/>
  <c r="AM137" i="63" s="1"/>
  <c r="AM138" i="63" s="1" a="1"/>
  <c r="AM138" i="63" s="1"/>
  <c r="AM139" i="63" s="1" a="1"/>
  <c r="AM139" i="63" s="1"/>
  <c r="AM140" i="63" s="1" a="1"/>
  <c r="AM140" i="63" s="1"/>
  <c r="AM141" i="63" s="1" a="1"/>
  <c r="AM141" i="63" s="1"/>
  <c r="AM142" i="63" s="1" a="1"/>
  <c r="AM142" i="63" s="1"/>
  <c r="AM143" i="63" s="1" a="1"/>
  <c r="AM143" i="63" s="1"/>
  <c r="AM144" i="63" s="1" a="1"/>
  <c r="AM144" i="63" s="1"/>
  <c r="AM145" i="63" s="1" a="1"/>
  <c r="AM145" i="63" s="1"/>
  <c r="AM146" i="63" s="1" a="1"/>
  <c r="AM146" i="63" s="1"/>
  <c r="AM147" i="63" s="1" a="1"/>
  <c r="AM147" i="63" s="1"/>
  <c r="AM148" i="63" s="1" a="1"/>
  <c r="AM148" i="63" s="1"/>
  <c r="AM149" i="63" s="1" a="1"/>
  <c r="AM149" i="63" s="1"/>
  <c r="AM150" i="63" s="1" a="1"/>
  <c r="AM150" i="63" s="1"/>
  <c r="AM151" i="63" s="1" a="1"/>
  <c r="AM151" i="63" s="1"/>
  <c r="AM152" i="63" s="1" a="1"/>
  <c r="AM152" i="63" s="1"/>
  <c r="AM153" i="63" s="1" a="1"/>
  <c r="AM153" i="63" s="1"/>
  <c r="AM154" i="63" s="1" a="1"/>
  <c r="AM154" i="63" s="1"/>
  <c r="AM155" i="63" s="1" a="1"/>
  <c r="AM155" i="63" s="1"/>
  <c r="AM156" i="63" s="1" a="1"/>
  <c r="AM156" i="63" s="1"/>
  <c r="AM157" i="63" s="1" a="1"/>
  <c r="AM157" i="63" s="1"/>
  <c r="AM158" i="63" s="1" a="1"/>
  <c r="AM158" i="63" s="1"/>
  <c r="AM159" i="63" s="1" a="1"/>
  <c r="AM159" i="63" s="1"/>
  <c r="AM160" i="63" s="1" a="1"/>
  <c r="AM160" i="63" s="1"/>
  <c r="AM161" i="63" s="1" a="1"/>
  <c r="AM161" i="63" s="1"/>
  <c r="AM162" i="63" s="1" a="1"/>
  <c r="AM162" i="63" s="1"/>
  <c r="AM163" i="63" s="1" a="1"/>
  <c r="AM163" i="63" s="1"/>
  <c r="AM164" i="63" s="1" a="1"/>
  <c r="AM164" i="63" s="1"/>
  <c r="AM165" i="63" s="1" a="1"/>
  <c r="AM165" i="63" s="1"/>
  <c r="AM166" i="63" s="1" a="1"/>
  <c r="AM166" i="63" s="1"/>
  <c r="AM167" i="63" s="1" a="1"/>
  <c r="AM167" i="63" s="1"/>
  <c r="AM168" i="63" s="1" a="1"/>
  <c r="AM168" i="63" s="1"/>
  <c r="AM169" i="63" s="1" a="1"/>
  <c r="AM169" i="63" s="1"/>
  <c r="AM170" i="63" s="1" a="1"/>
  <c r="AM170" i="63" s="1"/>
  <c r="AM171" i="63" s="1" a="1"/>
  <c r="AM171" i="63" s="1"/>
  <c r="AM172" i="63" s="1" a="1"/>
  <c r="AM172" i="63" s="1"/>
  <c r="AM173" i="63" s="1" a="1"/>
  <c r="AM173" i="63" s="1"/>
  <c r="AM174" i="63" s="1" a="1"/>
  <c r="AM174" i="63" s="1"/>
  <c r="AM175" i="63" s="1" a="1"/>
  <c r="AM175" i="63" s="1"/>
  <c r="AM176" i="63" s="1" a="1"/>
  <c r="AM176" i="63" s="1"/>
  <c r="AM177" i="63" s="1" a="1"/>
  <c r="AM177" i="63" s="1"/>
  <c r="AM178" i="63" s="1" a="1"/>
  <c r="AM178" i="63" s="1"/>
  <c r="AM179" i="63" s="1" a="1"/>
  <c r="AM179" i="63" s="1"/>
  <c r="AM180" i="63" s="1" a="1"/>
  <c r="AM180" i="63" s="1"/>
  <c r="AM181" i="63" s="1" a="1"/>
  <c r="AM181" i="63" s="1"/>
  <c r="AM182" i="63" s="1" a="1"/>
  <c r="AM182" i="63" s="1"/>
  <c r="AM183" i="63" s="1" a="1"/>
  <c r="AM183" i="63" s="1"/>
  <c r="AM184" i="63" s="1" a="1"/>
  <c r="AM184" i="63" s="1"/>
  <c r="AM185" i="63" s="1" a="1"/>
  <c r="AM185" i="63" s="1"/>
  <c r="AM186" i="63" s="1" a="1"/>
  <c r="AM186" i="63" s="1"/>
  <c r="AM187" i="63" s="1" a="1"/>
  <c r="AM187" i="63" s="1"/>
  <c r="AM188" i="63" s="1" a="1"/>
  <c r="AM188" i="63" s="1"/>
  <c r="AM189" i="63" s="1" a="1"/>
  <c r="AM189" i="63" s="1"/>
  <c r="AM190" i="63" s="1" a="1"/>
  <c r="AM190" i="63" s="1"/>
  <c r="AM191" i="63" s="1" a="1"/>
  <c r="AM191" i="63" s="1"/>
  <c r="AM192" i="63" s="1" a="1"/>
  <c r="AM192" i="63" s="1"/>
  <c r="AM193" i="63" s="1" a="1"/>
  <c r="AM193" i="63" s="1"/>
  <c r="AM194" i="63" s="1" a="1"/>
  <c r="AM194" i="63" s="1"/>
  <c r="AM195" i="63" s="1" a="1"/>
  <c r="AM195" i="63" s="1"/>
  <c r="AM196" i="63" s="1" a="1"/>
  <c r="AM196" i="63" s="1"/>
  <c r="AM197" i="63" s="1" a="1"/>
  <c r="AM197" i="63" s="1"/>
  <c r="AM198" i="63" s="1" a="1"/>
  <c r="AM198" i="63" s="1"/>
  <c r="AM199" i="63" s="1" a="1"/>
  <c r="AM199" i="63" s="1"/>
  <c r="AM200" i="63" s="1" a="1"/>
  <c r="AM200" i="63" s="1"/>
  <c r="AM201" i="63" s="1" a="1"/>
  <c r="AM201" i="63" s="1"/>
  <c r="AM202" i="63" s="1" a="1"/>
  <c r="AM202" i="63" s="1"/>
  <c r="AM203" i="63" s="1" a="1"/>
  <c r="AM203" i="63" s="1"/>
  <c r="AM204" i="63" s="1" a="1"/>
  <c r="AM204" i="63" s="1"/>
  <c r="AM205" i="63" s="1" a="1"/>
  <c r="AM205" i="63" s="1"/>
  <c r="AM206" i="63" s="1" a="1"/>
  <c r="AM206" i="63" s="1"/>
  <c r="AM207" i="63" s="1" a="1"/>
  <c r="AM207" i="63" s="1"/>
  <c r="AM208" i="63" s="1" a="1"/>
  <c r="AM208" i="63" s="1"/>
  <c r="AM209" i="63" s="1" a="1"/>
  <c r="AM209" i="63" s="1"/>
  <c r="AM210" i="63" s="1" a="1"/>
  <c r="AM210" i="63" s="1"/>
  <c r="AM211" i="63" s="1" a="1"/>
  <c r="AM211" i="63" s="1"/>
  <c r="AM212" i="63" s="1" a="1"/>
  <c r="AM212" i="63" s="1"/>
  <c r="AM213" i="63" s="1" a="1"/>
  <c r="AM213" i="63" s="1"/>
  <c r="AM214" i="63" s="1" a="1"/>
  <c r="AM214" i="63" s="1"/>
  <c r="AM215" i="63" s="1" a="1"/>
  <c r="AM215" i="63" s="1"/>
  <c r="AM216" i="63" s="1" a="1"/>
  <c r="AM216" i="63" s="1"/>
  <c r="AM217" i="63" s="1" a="1"/>
  <c r="AM217" i="63" s="1"/>
  <c r="AM218" i="63" s="1" a="1"/>
  <c r="AM218" i="63" s="1"/>
  <c r="AM219" i="63" s="1" a="1"/>
  <c r="AM219" i="63" s="1"/>
  <c r="AM220" i="63" s="1" a="1"/>
  <c r="AM220" i="63" s="1"/>
  <c r="AM221" i="63" s="1" a="1"/>
  <c r="AM221" i="63" s="1"/>
  <c r="AM222" i="63" s="1" a="1"/>
  <c r="AM222" i="63" s="1"/>
  <c r="AM223" i="63" s="1" a="1"/>
  <c r="AM223" i="63" s="1"/>
  <c r="AM224" i="63" s="1" a="1"/>
  <c r="AM224" i="63" s="1"/>
  <c r="AM225" i="63" s="1" a="1"/>
  <c r="AM225" i="63" s="1"/>
  <c r="AM226" i="63" s="1" a="1"/>
  <c r="AM226" i="63" s="1"/>
  <c r="AM227" i="63" s="1" a="1"/>
  <c r="AM227" i="63" s="1"/>
  <c r="AM228" i="63" s="1" a="1"/>
  <c r="AM228" i="63" s="1"/>
  <c r="AM229" i="63" s="1" a="1"/>
  <c r="AM229" i="63" s="1"/>
  <c r="AM230" i="63" s="1" a="1"/>
  <c r="AM230" i="63" s="1"/>
  <c r="AM231" i="63" s="1" a="1"/>
  <c r="AM231" i="63" s="1"/>
  <c r="AM232" i="63" s="1" a="1"/>
  <c r="AM232" i="63" s="1"/>
  <c r="AM233" i="63" s="1" a="1"/>
  <c r="AM233" i="63" s="1"/>
  <c r="AM234" i="63" s="1" a="1"/>
  <c r="AM234" i="63" s="1"/>
  <c r="AM235" i="63" s="1" a="1"/>
  <c r="AM235" i="63" s="1"/>
  <c r="AM236" i="63" s="1" a="1"/>
  <c r="AM236" i="63" s="1"/>
  <c r="AM237" i="63" s="1" a="1"/>
  <c r="AM237" i="63" s="1"/>
  <c r="AM238" i="63" s="1" a="1"/>
  <c r="AM238" i="63" s="1"/>
  <c r="AM239" i="63" s="1" a="1"/>
  <c r="AM239" i="63" s="1"/>
  <c r="AM240" i="63" s="1" a="1"/>
  <c r="AM240" i="63" s="1"/>
  <c r="AM241" i="63" s="1" a="1"/>
  <c r="AM241" i="63" s="1"/>
  <c r="AM242" i="63" s="1" a="1"/>
  <c r="AM242" i="63" s="1"/>
  <c r="AM243" i="63" s="1" a="1"/>
  <c r="AM243" i="63" s="1"/>
  <c r="AM244" i="63" s="1" a="1"/>
  <c r="AM244" i="63" s="1"/>
  <c r="AM245" i="63" s="1" a="1"/>
  <c r="AM245" i="63" s="1"/>
  <c r="AM246" i="63" s="1" a="1"/>
  <c r="AM246" i="63" s="1"/>
  <c r="AM247" i="63" s="1" a="1"/>
  <c r="AM247" i="63" s="1"/>
  <c r="AM248" i="63" s="1" a="1"/>
  <c r="AM248" i="63" s="1"/>
  <c r="AM249" i="63" s="1" a="1"/>
  <c r="AM249" i="63" s="1"/>
  <c r="AM250" i="63" s="1" a="1"/>
  <c r="AM250" i="63" s="1"/>
  <c r="AM251" i="63" s="1" a="1"/>
  <c r="AM251" i="63" s="1"/>
  <c r="AM252" i="63" s="1" a="1"/>
  <c r="AM252" i="63" s="1"/>
  <c r="AM253" i="63" s="1" a="1"/>
  <c r="AM253" i="63" s="1"/>
  <c r="AM254" i="63" s="1" a="1"/>
  <c r="AM254" i="63" s="1"/>
  <c r="AM255" i="63" s="1" a="1"/>
  <c r="AM255" i="63" s="1"/>
  <c r="AM256" i="63" s="1" a="1"/>
  <c r="AM256" i="63" s="1"/>
  <c r="AM257" i="63" s="1" a="1"/>
  <c r="AM257" i="63" s="1"/>
  <c r="AM21" i="65"/>
  <c r="R22" i="65" l="1"/>
  <c r="S22" i="65" s="1"/>
  <c r="O22" i="65" s="1"/>
  <c r="Y22" i="65" s="1"/>
  <c r="AB22" i="65" s="1"/>
  <c r="AC22" i="65" s="1"/>
  <c r="AD22" i="65" s="1"/>
  <c r="U22" i="65"/>
  <c r="Q22" i="65"/>
  <c r="AV22" i="65"/>
  <c r="AE22" i="65"/>
  <c r="AH22" i="65" s="1"/>
  <c r="AF22" i="65"/>
  <c r="D23" i="65"/>
  <c r="E23" i="65" s="1"/>
  <c r="F23" i="65" s="1"/>
  <c r="G23" i="65" s="1"/>
  <c r="H23" i="65" s="1"/>
  <c r="I23" i="65" s="1"/>
  <c r="J23" i="65" s="1"/>
  <c r="K23" i="65" s="1"/>
  <c r="N23" i="65"/>
  <c r="P23" i="65"/>
  <c r="AV21" i="65"/>
  <c r="R21" i="65"/>
  <c r="S21" i="65" s="1"/>
  <c r="O21" i="65" s="1"/>
  <c r="Y21" i="65" s="1"/>
  <c r="AB21" i="65" s="1"/>
  <c r="AC21" i="65" s="1"/>
  <c r="AD21" i="65" s="1"/>
  <c r="AE21" i="65"/>
  <c r="AH21" i="65" s="1"/>
  <c r="U21" i="65"/>
  <c r="Q21" i="65"/>
  <c r="AN23" i="63" a="1"/>
  <c r="AN23" i="63" s="1"/>
  <c r="B25" i="65" s="1"/>
  <c r="L24" i="65"/>
  <c r="M24" i="65" s="1"/>
  <c r="C24" i="65"/>
  <c r="AG21" i="65" l="1"/>
  <c r="AN24" i="63" a="1"/>
  <c r="AN24" i="63" s="1"/>
  <c r="B26" i="65" s="1"/>
  <c r="C25" i="65"/>
  <c r="P25" i="65" s="1"/>
  <c r="L25" i="65"/>
  <c r="M25" i="65" s="1"/>
  <c r="AG22" i="65"/>
  <c r="N24" i="65"/>
  <c r="AF24" i="65" s="1"/>
  <c r="D24" i="65"/>
  <c r="E24" i="65" s="1"/>
  <c r="F24" i="65" s="1"/>
  <c r="G24" i="65" s="1"/>
  <c r="H24" i="65" s="1"/>
  <c r="I24" i="65" s="1"/>
  <c r="J24" i="65" s="1"/>
  <c r="K24" i="65" s="1"/>
  <c r="Q23" i="65"/>
  <c r="U23" i="65"/>
  <c r="AE23" i="65"/>
  <c r="AH23" i="65" s="1"/>
  <c r="R23" i="65"/>
  <c r="S23" i="65" s="1"/>
  <c r="O23" i="65" s="1"/>
  <c r="Y23" i="65" s="1"/>
  <c r="AB23" i="65" s="1"/>
  <c r="AC23" i="65" s="1"/>
  <c r="AD23" i="65" s="1"/>
  <c r="AV23" i="65"/>
  <c r="AF23" i="65"/>
  <c r="AM24" i="65"/>
  <c r="AG23" i="65" l="1"/>
  <c r="AH24" i="65"/>
  <c r="R24" i="65"/>
  <c r="S24" i="65" s="1"/>
  <c r="O24" i="65" s="1"/>
  <c r="P24" i="65" s="1"/>
  <c r="Y24" i="65" s="1"/>
  <c r="AB24" i="65" s="1"/>
  <c r="AC24" i="65" s="1"/>
  <c r="AD24" i="65" s="1"/>
  <c r="AE24" i="65"/>
  <c r="AV24" i="65"/>
  <c r="Q24" i="65"/>
  <c r="U24" i="65"/>
  <c r="N25" i="65"/>
  <c r="D25" i="65"/>
  <c r="E25" i="65" s="1"/>
  <c r="F25" i="65" s="1"/>
  <c r="G25" i="65" s="1"/>
  <c r="H25" i="65" s="1"/>
  <c r="I25" i="65" s="1"/>
  <c r="J25" i="65" s="1"/>
  <c r="K25" i="65" s="1"/>
  <c r="AN25" i="63" a="1"/>
  <c r="AN25" i="63" s="1"/>
  <c r="B27" i="65" s="1"/>
  <c r="C26" i="65"/>
  <c r="L26" i="65"/>
  <c r="M26" i="65" s="1"/>
  <c r="AM25" i="65"/>
  <c r="L27" i="65" l="1"/>
  <c r="M27" i="65" s="1"/>
  <c r="C27" i="65"/>
  <c r="U25" i="65"/>
  <c r="AV25" i="65"/>
  <c r="R25" i="65"/>
  <c r="S25" i="65" s="1"/>
  <c r="O25" i="65" s="1"/>
  <c r="Y25" i="65" s="1"/>
  <c r="AB25" i="65" s="1"/>
  <c r="AC25" i="65" s="1"/>
  <c r="AD25" i="65" s="1"/>
  <c r="AH25" i="65"/>
  <c r="AE25" i="65"/>
  <c r="Q25" i="65"/>
  <c r="AN26" i="63" a="1"/>
  <c r="AN26" i="63" s="1"/>
  <c r="B28" i="65" s="1"/>
  <c r="AG24" i="65"/>
  <c r="N26" i="65"/>
  <c r="D26" i="65"/>
  <c r="E26" i="65" s="1"/>
  <c r="F26" i="65" s="1"/>
  <c r="G26" i="65" s="1"/>
  <c r="H26" i="65" s="1"/>
  <c r="I26" i="65" s="1"/>
  <c r="J26" i="65" s="1"/>
  <c r="K26" i="65" s="1"/>
  <c r="AF25" i="65"/>
  <c r="P26" i="65"/>
  <c r="AG25" i="65" l="1"/>
  <c r="Q26" i="65"/>
  <c r="AH26" i="65"/>
  <c r="U26" i="65"/>
  <c r="R26" i="65"/>
  <c r="S26" i="65" s="1"/>
  <c r="O26" i="65" s="1"/>
  <c r="Y26" i="65" s="1"/>
  <c r="AB26" i="65" s="1"/>
  <c r="AC26" i="65" s="1"/>
  <c r="AD26" i="65" s="1"/>
  <c r="AM26" i="65" s="1"/>
  <c r="AE26" i="65"/>
  <c r="AV26" i="65"/>
  <c r="L28" i="65"/>
  <c r="M28" i="65" s="1"/>
  <c r="C28" i="65"/>
  <c r="D27" i="65"/>
  <c r="E27" i="65" s="1"/>
  <c r="F27" i="65" s="1"/>
  <c r="G27" i="65" s="1"/>
  <c r="H27" i="65" s="1"/>
  <c r="I27" i="65" s="1"/>
  <c r="J27" i="65" s="1"/>
  <c r="K27" i="65" s="1"/>
  <c r="N27" i="65"/>
  <c r="AF27" i="65" s="1"/>
  <c r="AN27" i="63" a="1"/>
  <c r="AN27" i="63" s="1"/>
  <c r="B29" i="65" s="1"/>
  <c r="AF26" i="65"/>
  <c r="AM27" i="65"/>
  <c r="AN28" i="63" l="1" a="1"/>
  <c r="AN28" i="63" s="1"/>
  <c r="B30" i="65" s="1"/>
  <c r="AV27" i="65"/>
  <c r="Q27" i="65"/>
  <c r="R27" i="65"/>
  <c r="S27" i="65" s="1"/>
  <c r="O27" i="65" s="1"/>
  <c r="P27" i="65" s="1"/>
  <c r="Y27" i="65" s="1"/>
  <c r="AB27" i="65" s="1"/>
  <c r="AC27" i="65" s="1"/>
  <c r="AD27" i="65" s="1"/>
  <c r="AE27" i="65"/>
  <c r="AH27" i="65" s="1"/>
  <c r="U27" i="65"/>
  <c r="AG26" i="65"/>
  <c r="D28" i="65"/>
  <c r="E28" i="65" s="1"/>
  <c r="F28" i="65" s="1"/>
  <c r="G28" i="65" s="1"/>
  <c r="H28" i="65" s="1"/>
  <c r="I28" i="65" s="1"/>
  <c r="J28" i="65" s="1"/>
  <c r="K28" i="65" s="1"/>
  <c r="N28" i="65"/>
  <c r="AF28" i="65" s="1"/>
  <c r="C29" i="65"/>
  <c r="L29" i="65"/>
  <c r="M29" i="65" s="1"/>
  <c r="AM28" i="65"/>
  <c r="AN29" i="63" l="1" a="1"/>
  <c r="AN29" i="63" s="1"/>
  <c r="B31" i="65" s="1"/>
  <c r="D29" i="65"/>
  <c r="E29" i="65" s="1"/>
  <c r="F29" i="65" s="1"/>
  <c r="G29" i="65" s="1"/>
  <c r="H29" i="65" s="1"/>
  <c r="I29" i="65" s="1"/>
  <c r="J29" i="65" s="1"/>
  <c r="K29" i="65" s="1"/>
  <c r="N29" i="65"/>
  <c r="AF29" i="65" s="1"/>
  <c r="AV28" i="65"/>
  <c r="AH28" i="65"/>
  <c r="U28" i="65"/>
  <c r="Q28" i="65"/>
  <c r="AE28" i="65"/>
  <c r="R28" i="65"/>
  <c r="S28" i="65" s="1"/>
  <c r="O28" i="65" s="1"/>
  <c r="P28" i="65" s="1"/>
  <c r="Y28" i="65" s="1"/>
  <c r="AB28" i="65" s="1"/>
  <c r="AC28" i="65" s="1"/>
  <c r="AD28" i="65" s="1"/>
  <c r="AG27" i="65"/>
  <c r="L30" i="65"/>
  <c r="M30" i="65" s="1"/>
  <c r="C30" i="65"/>
  <c r="AM29" i="65"/>
  <c r="AE29" i="65" l="1"/>
  <c r="AH29" i="65" s="1"/>
  <c r="Q29" i="65"/>
  <c r="AV29" i="65"/>
  <c r="R29" i="65"/>
  <c r="S29" i="65" s="1"/>
  <c r="O29" i="65" s="1"/>
  <c r="U29" i="65"/>
  <c r="P29" i="65" s="1"/>
  <c r="AN30" i="63" a="1"/>
  <c r="AN30" i="63" s="1"/>
  <c r="B32" i="65" s="1"/>
  <c r="D30" i="65"/>
  <c r="E30" i="65" s="1"/>
  <c r="F30" i="65" s="1"/>
  <c r="G30" i="65" s="1"/>
  <c r="H30" i="65" s="1"/>
  <c r="I30" i="65" s="1"/>
  <c r="J30" i="65" s="1"/>
  <c r="K30" i="65" s="1"/>
  <c r="N30" i="65"/>
  <c r="AF30" i="65" s="1"/>
  <c r="AG28" i="65"/>
  <c r="L31" i="65"/>
  <c r="M31" i="65" s="1"/>
  <c r="O31" i="65"/>
  <c r="C31" i="65"/>
  <c r="AM30" i="65"/>
  <c r="C32" i="65" l="1"/>
  <c r="L32" i="65"/>
  <c r="M32" i="65" s="1"/>
  <c r="O32" i="65"/>
  <c r="D31" i="65"/>
  <c r="E31" i="65" s="1"/>
  <c r="F31" i="65" s="1"/>
  <c r="G31" i="65" s="1"/>
  <c r="H31" i="65" s="1"/>
  <c r="I31" i="65" s="1"/>
  <c r="J31" i="65" s="1"/>
  <c r="K31" i="65" s="1"/>
  <c r="P31" i="65"/>
  <c r="AM31" i="65"/>
  <c r="N31" i="65"/>
  <c r="Q30" i="65"/>
  <c r="AV30" i="65"/>
  <c r="AE30" i="65"/>
  <c r="AH30" i="65" s="1"/>
  <c r="U30" i="65"/>
  <c r="R30" i="65"/>
  <c r="S30" i="65" s="1"/>
  <c r="O30" i="65" s="1"/>
  <c r="P30" i="65" s="1"/>
  <c r="Y30" i="65" s="1"/>
  <c r="AB30" i="65" s="1"/>
  <c r="AC30" i="65" s="1"/>
  <c r="AD30" i="65" s="1"/>
  <c r="Y29" i="65"/>
  <c r="AN31" i="63" a="1"/>
  <c r="AN31" i="63" s="1"/>
  <c r="B33" i="65" s="1"/>
  <c r="AB29" i="65" l="1"/>
  <c r="AC29" i="65" s="1"/>
  <c r="AD29" i="65" s="1"/>
  <c r="AG29" i="65"/>
  <c r="L33" i="65"/>
  <c r="M33" i="65" s="1"/>
  <c r="O33" i="65"/>
  <c r="C33" i="65"/>
  <c r="AE31" i="65"/>
  <c r="AH31" i="65"/>
  <c r="R31" i="65"/>
  <c r="S31" i="65" s="1"/>
  <c r="Y31" i="65" s="1"/>
  <c r="AB31" i="65" s="1"/>
  <c r="AC31" i="65" s="1"/>
  <c r="AD31" i="65" s="1"/>
  <c r="AF31" i="65"/>
  <c r="U31" i="65"/>
  <c r="AV31" i="65"/>
  <c r="Q31" i="65"/>
  <c r="AG30" i="65"/>
  <c r="P32" i="65"/>
  <c r="N32" i="65"/>
  <c r="AM32" i="65"/>
  <c r="D32" i="65"/>
  <c r="E32" i="65" s="1"/>
  <c r="F32" i="65" s="1"/>
  <c r="G32" i="65" s="1"/>
  <c r="H32" i="65" s="1"/>
  <c r="I32" i="65" s="1"/>
  <c r="J32" i="65" s="1"/>
  <c r="K32" i="65" s="1"/>
  <c r="AN32" i="63" a="1"/>
  <c r="AN32" i="63" s="1"/>
  <c r="B34" i="65" s="1"/>
  <c r="C34" i="65" l="1"/>
  <c r="O34" i="65"/>
  <c r="L34" i="65"/>
  <c r="M34" i="65" s="1"/>
  <c r="R32" i="65"/>
  <c r="S32" i="65" s="1"/>
  <c r="Y32" i="65" s="1"/>
  <c r="AB32" i="65" s="1"/>
  <c r="AC32" i="65" s="1"/>
  <c r="AD32" i="65" s="1"/>
  <c r="AV32" i="65"/>
  <c r="AH32" i="65"/>
  <c r="Q32" i="65"/>
  <c r="AF32" i="65"/>
  <c r="U32" i="65"/>
  <c r="AE32" i="65"/>
  <c r="AG31" i="65"/>
  <c r="D33" i="65"/>
  <c r="E33" i="65" s="1"/>
  <c r="F33" i="65" s="1"/>
  <c r="G33" i="65" s="1"/>
  <c r="H33" i="65" s="1"/>
  <c r="I33" i="65" s="1"/>
  <c r="J33" i="65" s="1"/>
  <c r="K33" i="65" s="1"/>
  <c r="P33" i="65"/>
  <c r="AM33" i="65"/>
  <c r="N33" i="65"/>
  <c r="AN33" i="63" a="1"/>
  <c r="AN33" i="63" s="1"/>
  <c r="B35" i="65" s="1"/>
  <c r="AN34" i="63" l="1" a="1"/>
  <c r="AN34" i="63" s="1"/>
  <c r="B36" i="65" s="1"/>
  <c r="C35" i="65"/>
  <c r="L35" i="65"/>
  <c r="M35" i="65" s="1"/>
  <c r="O35" i="65"/>
  <c r="AF33" i="65"/>
  <c r="AE33" i="65"/>
  <c r="Q33" i="65"/>
  <c r="AH33" i="65"/>
  <c r="AV33" i="65"/>
  <c r="R33" i="65"/>
  <c r="S33" i="65" s="1"/>
  <c r="Y33" i="65" s="1"/>
  <c r="AB33" i="65" s="1"/>
  <c r="AC33" i="65" s="1"/>
  <c r="AD33" i="65" s="1"/>
  <c r="U33" i="65"/>
  <c r="AG32" i="65"/>
  <c r="P34" i="65"/>
  <c r="AM34" i="65"/>
  <c r="N34" i="65"/>
  <c r="D34" i="65"/>
  <c r="E34" i="65" s="1"/>
  <c r="F34" i="65" s="1"/>
  <c r="G34" i="65" s="1"/>
  <c r="H34" i="65" s="1"/>
  <c r="I34" i="65" s="1"/>
  <c r="J34" i="65" s="1"/>
  <c r="K34" i="65" s="1"/>
  <c r="AG33" i="65" l="1"/>
  <c r="AN35" i="63" a="1"/>
  <c r="AN35" i="63" s="1"/>
  <c r="B37" i="65" s="1"/>
  <c r="AF34" i="65"/>
  <c r="AV34" i="65"/>
  <c r="U34" i="65"/>
  <c r="R34" i="65"/>
  <c r="S34" i="65" s="1"/>
  <c r="Y34" i="65" s="1"/>
  <c r="AB34" i="65" s="1"/>
  <c r="AC34" i="65" s="1"/>
  <c r="AD34" i="65" s="1"/>
  <c r="AH34" i="65"/>
  <c r="AE34" i="65"/>
  <c r="Q34" i="65"/>
  <c r="D35" i="65"/>
  <c r="E35" i="65" s="1"/>
  <c r="F35" i="65" s="1"/>
  <c r="G35" i="65" s="1"/>
  <c r="H35" i="65" s="1"/>
  <c r="I35" i="65" s="1"/>
  <c r="J35" i="65" s="1"/>
  <c r="K35" i="65" s="1"/>
  <c r="AM35" i="65"/>
  <c r="N35" i="65"/>
  <c r="P35" i="65"/>
  <c r="L36" i="65"/>
  <c r="M36" i="65" s="1"/>
  <c r="C36" i="65"/>
  <c r="O36" i="65"/>
  <c r="AN36" i="63" l="1" a="1"/>
  <c r="AN36" i="63" s="1"/>
  <c r="D36" i="65"/>
  <c r="E36" i="65" s="1"/>
  <c r="F36" i="65" s="1"/>
  <c r="G36" i="65" s="1"/>
  <c r="H36" i="65" s="1"/>
  <c r="I36" i="65" s="1"/>
  <c r="J36" i="65" s="1"/>
  <c r="K36" i="65" s="1"/>
  <c r="AM36" i="65"/>
  <c r="P36" i="65"/>
  <c r="N36" i="65"/>
  <c r="AE35" i="65"/>
  <c r="AH35" i="65"/>
  <c r="R35" i="65"/>
  <c r="S35" i="65" s="1"/>
  <c r="Y35" i="65" s="1"/>
  <c r="AB35" i="65" s="1"/>
  <c r="AC35" i="65" s="1"/>
  <c r="AD35" i="65" s="1"/>
  <c r="AV35" i="65"/>
  <c r="Q35" i="65"/>
  <c r="U35" i="65"/>
  <c r="AF35" i="65"/>
  <c r="AG34" i="65"/>
  <c r="O37" i="65"/>
  <c r="C37" i="65"/>
  <c r="L37" i="65"/>
  <c r="M37" i="65" s="1"/>
  <c r="AN37" i="63" l="1" a="1"/>
  <c r="AN37" i="63" s="1"/>
  <c r="B39" i="65" s="1"/>
  <c r="U36" i="65"/>
  <c r="AE36" i="65"/>
  <c r="AF36" i="65"/>
  <c r="Q36" i="65"/>
  <c r="R36" i="65"/>
  <c r="S36" i="65" s="1"/>
  <c r="Y36" i="65" s="1"/>
  <c r="AB36" i="65" s="1"/>
  <c r="AC36" i="65" s="1"/>
  <c r="AD36" i="65" s="1"/>
  <c r="AH36" i="65"/>
  <c r="AV36" i="65"/>
  <c r="AG35" i="65"/>
  <c r="AM37" i="65"/>
  <c r="N37" i="65"/>
  <c r="D37" i="65"/>
  <c r="E37" i="65" s="1"/>
  <c r="F37" i="65" s="1"/>
  <c r="G37" i="65" s="1"/>
  <c r="H37" i="65" s="1"/>
  <c r="I37" i="65" s="1"/>
  <c r="J37" i="65" s="1"/>
  <c r="K37" i="65" s="1"/>
  <c r="P37" i="65"/>
  <c r="B38" i="65"/>
  <c r="AG36" i="65" l="1"/>
  <c r="AN38" i="63" a="1"/>
  <c r="AN38" i="63" s="1"/>
  <c r="B40" i="65" s="1"/>
  <c r="AV37" i="65"/>
  <c r="U37" i="65"/>
  <c r="AF37" i="65"/>
  <c r="AE37" i="65"/>
  <c r="R37" i="65"/>
  <c r="S37" i="65" s="1"/>
  <c r="Y37" i="65" s="1"/>
  <c r="AB37" i="65" s="1"/>
  <c r="AC37" i="65" s="1"/>
  <c r="AD37" i="65" s="1"/>
  <c r="Q37" i="65"/>
  <c r="AH37" i="65"/>
  <c r="O38" i="65"/>
  <c r="C38" i="65"/>
  <c r="L38" i="65"/>
  <c r="M38" i="65" s="1"/>
  <c r="L39" i="65"/>
  <c r="M39" i="65" s="1"/>
  <c r="C39" i="65"/>
  <c r="O39" i="65"/>
  <c r="D38" i="65" l="1"/>
  <c r="E38" i="65" s="1"/>
  <c r="F38" i="65" s="1"/>
  <c r="G38" i="65" s="1"/>
  <c r="H38" i="65" s="1"/>
  <c r="I38" i="65" s="1"/>
  <c r="J38" i="65" s="1"/>
  <c r="K38" i="65" s="1"/>
  <c r="P38" i="65"/>
  <c r="N38" i="65"/>
  <c r="AM38" i="65"/>
  <c r="AG37" i="65"/>
  <c r="AN39" i="63" a="1"/>
  <c r="AN39" i="63" s="1"/>
  <c r="B41" i="65" s="1"/>
  <c r="P39" i="65"/>
  <c r="D39" i="65"/>
  <c r="E39" i="65" s="1"/>
  <c r="F39" i="65" s="1"/>
  <c r="G39" i="65" s="1"/>
  <c r="H39" i="65" s="1"/>
  <c r="I39" i="65" s="1"/>
  <c r="J39" i="65" s="1"/>
  <c r="K39" i="65" s="1"/>
  <c r="N39" i="65"/>
  <c r="AM39" i="65"/>
  <c r="L40" i="65"/>
  <c r="M40" i="65" s="1"/>
  <c r="O40" i="65"/>
  <c r="C40" i="65"/>
  <c r="AH38" i="65" l="1"/>
  <c r="AE38" i="65"/>
  <c r="R38" i="65"/>
  <c r="S38" i="65" s="1"/>
  <c r="Y38" i="65" s="1"/>
  <c r="AB38" i="65" s="1"/>
  <c r="AC38" i="65" s="1"/>
  <c r="AD38" i="65" s="1"/>
  <c r="Q38" i="65"/>
  <c r="U38" i="65"/>
  <c r="AF38" i="65"/>
  <c r="AV38" i="65"/>
  <c r="O41" i="65"/>
  <c r="C41" i="65"/>
  <c r="L41" i="65"/>
  <c r="M41" i="65" s="1"/>
  <c r="P40" i="65"/>
  <c r="D40" i="65"/>
  <c r="E40" i="65" s="1"/>
  <c r="F40" i="65" s="1"/>
  <c r="G40" i="65" s="1"/>
  <c r="H40" i="65" s="1"/>
  <c r="I40" i="65" s="1"/>
  <c r="J40" i="65" s="1"/>
  <c r="K40" i="65" s="1"/>
  <c r="AM40" i="65"/>
  <c r="AF39" i="65"/>
  <c r="AE39" i="65"/>
  <c r="AH39" i="65"/>
  <c r="U39" i="65"/>
  <c r="AV39" i="65"/>
  <c r="Q39" i="65"/>
  <c r="R39" i="65"/>
  <c r="S39" i="65" s="1"/>
  <c r="Y39" i="65" s="1"/>
  <c r="AB39" i="65" s="1"/>
  <c r="AC39" i="65" s="1"/>
  <c r="AD39" i="65" s="1"/>
  <c r="AN40" i="63" a="1"/>
  <c r="AN40" i="63" s="1"/>
  <c r="B42" i="65" s="1"/>
  <c r="L42" i="65" l="1"/>
  <c r="M42" i="65" s="1"/>
  <c r="C42" i="65"/>
  <c r="O42" i="65"/>
  <c r="AG38" i="65"/>
  <c r="AG39" i="65"/>
  <c r="P41" i="65"/>
  <c r="D41" i="65"/>
  <c r="E41" i="65" s="1"/>
  <c r="F41" i="65" s="1"/>
  <c r="G41" i="65" s="1"/>
  <c r="H41" i="65" s="1"/>
  <c r="I41" i="65" s="1"/>
  <c r="J41" i="65" s="1"/>
  <c r="K41" i="65" s="1"/>
  <c r="N41" i="65"/>
  <c r="AM41" i="65"/>
  <c r="Y40" i="65"/>
  <c r="AN41" i="63" a="1"/>
  <c r="AN41" i="63" s="1"/>
  <c r="B43" i="65" s="1"/>
  <c r="L43" i="65" l="1"/>
  <c r="M43" i="65" s="1"/>
  <c r="C43" i="65"/>
  <c r="O43" i="65"/>
  <c r="AG40" i="65"/>
  <c r="AB40" i="65"/>
  <c r="AC40" i="65" s="1"/>
  <c r="AD40" i="65" s="1"/>
  <c r="U41" i="65"/>
  <c r="Q41" i="65"/>
  <c r="R41" i="65"/>
  <c r="S41" i="65" s="1"/>
  <c r="Y41" i="65" s="1"/>
  <c r="AB41" i="65" s="1"/>
  <c r="AC41" i="65" s="1"/>
  <c r="AD41" i="65" s="1"/>
  <c r="AH41" i="65"/>
  <c r="AE41" i="65"/>
  <c r="AF41" i="65"/>
  <c r="AV41" i="65"/>
  <c r="D42" i="65"/>
  <c r="E42" i="65" s="1"/>
  <c r="F42" i="65" s="1"/>
  <c r="G42" i="65" s="1"/>
  <c r="H42" i="65" s="1"/>
  <c r="I42" i="65" s="1"/>
  <c r="J42" i="65" s="1"/>
  <c r="K42" i="65" s="1"/>
  <c r="N42" i="65"/>
  <c r="AM42" i="65"/>
  <c r="P42" i="65"/>
  <c r="AN42" i="63" a="1"/>
  <c r="AN42" i="63" s="1"/>
  <c r="B44" i="65" s="1"/>
  <c r="L44" i="65" l="1"/>
  <c r="M44" i="65" s="1"/>
  <c r="O44" i="65"/>
  <c r="C44" i="65"/>
  <c r="AE42" i="65"/>
  <c r="U42" i="65"/>
  <c r="Q42" i="65"/>
  <c r="AH42" i="65"/>
  <c r="AF42" i="65"/>
  <c r="AV42" i="65"/>
  <c r="R42" i="65"/>
  <c r="S42" i="65" s="1"/>
  <c r="Y42" i="65" s="1"/>
  <c r="AB42" i="65" s="1"/>
  <c r="AC42" i="65" s="1"/>
  <c r="AD42" i="65" s="1"/>
  <c r="AN43" i="63" a="1"/>
  <c r="AN43" i="63" s="1"/>
  <c r="B45" i="65" s="1"/>
  <c r="AM43" i="65"/>
  <c r="P43" i="65"/>
  <c r="N43" i="65"/>
  <c r="D43" i="65"/>
  <c r="E43" i="65" s="1"/>
  <c r="F43" i="65" s="1"/>
  <c r="G43" i="65" s="1"/>
  <c r="H43" i="65" s="1"/>
  <c r="I43" i="65" s="1"/>
  <c r="J43" i="65" s="1"/>
  <c r="K43" i="65" s="1"/>
  <c r="AG41" i="65"/>
  <c r="C45" i="65" l="1"/>
  <c r="O45" i="65"/>
  <c r="L45" i="65"/>
  <c r="M45" i="65" s="1"/>
  <c r="AG42" i="65"/>
  <c r="AN44" i="63" a="1"/>
  <c r="AN44" i="63" s="1"/>
  <c r="B46" i="65" s="1"/>
  <c r="N44" i="65"/>
  <c r="P44" i="65"/>
  <c r="AM44" i="65"/>
  <c r="D44" i="65"/>
  <c r="E44" i="65" s="1"/>
  <c r="F44" i="65" s="1"/>
  <c r="G44" i="65" s="1"/>
  <c r="H44" i="65" s="1"/>
  <c r="I44" i="65" s="1"/>
  <c r="J44" i="65" s="1"/>
  <c r="K44" i="65" s="1"/>
  <c r="U43" i="65"/>
  <c r="AV43" i="65"/>
  <c r="AF43" i="65"/>
  <c r="Q43" i="65"/>
  <c r="R43" i="65"/>
  <c r="S43" i="65" s="1"/>
  <c r="Y43" i="65" s="1"/>
  <c r="AB43" i="65" s="1"/>
  <c r="AC43" i="65" s="1"/>
  <c r="AD43" i="65" s="1"/>
  <c r="AE43" i="65"/>
  <c r="AH43" i="65"/>
  <c r="AG43" i="65" l="1"/>
  <c r="AN45" i="63" a="1"/>
  <c r="AN45" i="63" s="1"/>
  <c r="B47" i="65" s="1"/>
  <c r="AH44" i="65"/>
  <c r="AF44" i="65"/>
  <c r="R44" i="65"/>
  <c r="S44" i="65" s="1"/>
  <c r="Y44" i="65" s="1"/>
  <c r="AB44" i="65" s="1"/>
  <c r="AC44" i="65" s="1"/>
  <c r="AD44" i="65" s="1"/>
  <c r="AV44" i="65"/>
  <c r="U44" i="65"/>
  <c r="Q44" i="65"/>
  <c r="AE44" i="65"/>
  <c r="O46" i="65"/>
  <c r="C46" i="65"/>
  <c r="L46" i="65"/>
  <c r="M46" i="65" s="1"/>
  <c r="AM45" i="65"/>
  <c r="D45" i="65"/>
  <c r="E45" i="65" s="1"/>
  <c r="F45" i="65" s="1"/>
  <c r="G45" i="65" s="1"/>
  <c r="H45" i="65" s="1"/>
  <c r="I45" i="65" s="1"/>
  <c r="J45" i="65" s="1"/>
  <c r="K45" i="65" s="1"/>
  <c r="N45" i="65"/>
  <c r="P45" i="65"/>
  <c r="AN46" i="63" l="1" a="1"/>
  <c r="AN46" i="63" s="1"/>
  <c r="B48" i="65" s="1"/>
  <c r="L47" i="65"/>
  <c r="M47" i="65" s="1"/>
  <c r="C47" i="65"/>
  <c r="O47" i="65"/>
  <c r="AG44" i="65"/>
  <c r="R45" i="65"/>
  <c r="S45" i="65" s="1"/>
  <c r="Y45" i="65" s="1"/>
  <c r="AB45" i="65" s="1"/>
  <c r="AC45" i="65" s="1"/>
  <c r="AD45" i="65" s="1"/>
  <c r="AV45" i="65"/>
  <c r="Q45" i="65"/>
  <c r="AH45" i="65"/>
  <c r="AE45" i="65"/>
  <c r="AF45" i="65"/>
  <c r="U45" i="65"/>
  <c r="P46" i="65"/>
  <c r="AM46" i="65"/>
  <c r="D46" i="65"/>
  <c r="E46" i="65" s="1"/>
  <c r="F46" i="65" s="1"/>
  <c r="G46" i="65" s="1"/>
  <c r="H46" i="65" s="1"/>
  <c r="I46" i="65" s="1"/>
  <c r="J46" i="65" s="1"/>
  <c r="K46" i="65" s="1"/>
  <c r="N46" i="65"/>
  <c r="Q46" i="65" l="1"/>
  <c r="R46" i="65"/>
  <c r="S46" i="65" s="1"/>
  <c r="Y46" i="65" s="1"/>
  <c r="AB46" i="65" s="1"/>
  <c r="AC46" i="65" s="1"/>
  <c r="AD46" i="65" s="1"/>
  <c r="AF46" i="65"/>
  <c r="AH46" i="65"/>
  <c r="U46" i="65"/>
  <c r="AE46" i="65"/>
  <c r="AV46" i="65"/>
  <c r="AG45" i="65"/>
  <c r="D47" i="65"/>
  <c r="E47" i="65" s="1"/>
  <c r="F47" i="65" s="1"/>
  <c r="G47" i="65" s="1"/>
  <c r="H47" i="65" s="1"/>
  <c r="I47" i="65" s="1"/>
  <c r="J47" i="65" s="1"/>
  <c r="K47" i="65" s="1"/>
  <c r="N47" i="65"/>
  <c r="AM47" i="65"/>
  <c r="P47" i="65"/>
  <c r="AN47" i="63" a="1"/>
  <c r="AN47" i="63" s="1"/>
  <c r="B49" i="65" s="1"/>
  <c r="L48" i="65"/>
  <c r="M48" i="65" s="1"/>
  <c r="O48" i="65"/>
  <c r="C48" i="65"/>
  <c r="AN48" i="63" l="1" a="1"/>
  <c r="AN48" i="63" s="1"/>
  <c r="B50" i="65" s="1"/>
  <c r="O49" i="65"/>
  <c r="L49" i="65"/>
  <c r="M49" i="65" s="1"/>
  <c r="C49" i="65"/>
  <c r="AG46" i="65"/>
  <c r="AH47" i="65"/>
  <c r="AV47" i="65"/>
  <c r="Q47" i="65"/>
  <c r="U47" i="65"/>
  <c r="R47" i="65"/>
  <c r="S47" i="65" s="1"/>
  <c r="Y47" i="65" s="1"/>
  <c r="AB47" i="65" s="1"/>
  <c r="AC47" i="65" s="1"/>
  <c r="AD47" i="65" s="1"/>
  <c r="AE47" i="65"/>
  <c r="AF47" i="65"/>
  <c r="AM48" i="65"/>
  <c r="D48" i="65"/>
  <c r="E48" i="65" s="1"/>
  <c r="F48" i="65" s="1"/>
  <c r="G48" i="65" s="1"/>
  <c r="H48" i="65" s="1"/>
  <c r="I48" i="65" s="1"/>
  <c r="J48" i="65" s="1"/>
  <c r="K48" i="65" s="1"/>
  <c r="N48" i="65"/>
  <c r="P48" i="65"/>
  <c r="AG47" i="65" l="1"/>
  <c r="AV48" i="65"/>
  <c r="AH48" i="65"/>
  <c r="AE48" i="65"/>
  <c r="Q48" i="65"/>
  <c r="AF48" i="65"/>
  <c r="R48" i="65"/>
  <c r="S48" i="65" s="1"/>
  <c r="Y48" i="65" s="1"/>
  <c r="AB48" i="65" s="1"/>
  <c r="AC48" i="65" s="1"/>
  <c r="AD48" i="65" s="1"/>
  <c r="U48" i="65"/>
  <c r="N49" i="65"/>
  <c r="D49" i="65"/>
  <c r="E49" i="65" s="1"/>
  <c r="F49" i="65" s="1"/>
  <c r="G49" i="65" s="1"/>
  <c r="H49" i="65" s="1"/>
  <c r="I49" i="65" s="1"/>
  <c r="J49" i="65" s="1"/>
  <c r="K49" i="65" s="1"/>
  <c r="P49" i="65"/>
  <c r="AM49" i="65"/>
  <c r="AN49" i="63" a="1"/>
  <c r="AN49" i="63" s="1"/>
  <c r="B51" i="65" s="1"/>
  <c r="L50" i="65"/>
  <c r="M50" i="65" s="1"/>
  <c r="C50" i="65"/>
  <c r="O50" i="65"/>
  <c r="AM50" i="65" l="1"/>
  <c r="D50" i="65"/>
  <c r="E50" i="65" s="1"/>
  <c r="F50" i="65" s="1"/>
  <c r="G50" i="65" s="1"/>
  <c r="H50" i="65" s="1"/>
  <c r="I50" i="65" s="1"/>
  <c r="J50" i="65" s="1"/>
  <c r="K50" i="65" s="1"/>
  <c r="N50" i="65"/>
  <c r="P50" i="65"/>
  <c r="L51" i="65"/>
  <c r="M51" i="65" s="1"/>
  <c r="O51" i="65"/>
  <c r="C51" i="65"/>
  <c r="Q51" i="65"/>
  <c r="AN50" i="63" a="1"/>
  <c r="AN50" i="63" s="1"/>
  <c r="B52" i="65" s="1"/>
  <c r="Q49" i="65"/>
  <c r="U49" i="65"/>
  <c r="AH49" i="65"/>
  <c r="AF49" i="65"/>
  <c r="R49" i="65"/>
  <c r="S49" i="65" s="1"/>
  <c r="Y49" i="65" s="1"/>
  <c r="AB49" i="65" s="1"/>
  <c r="AC49" i="65" s="1"/>
  <c r="AD49" i="65" s="1"/>
  <c r="AV49" i="65"/>
  <c r="AE49" i="65"/>
  <c r="AG48" i="65"/>
  <c r="AG49" i="65" l="1"/>
  <c r="D51" i="65"/>
  <c r="E51" i="65" s="1"/>
  <c r="F51" i="65" s="1"/>
  <c r="G51" i="65" s="1"/>
  <c r="H51" i="65" s="1"/>
  <c r="I51" i="65" s="1"/>
  <c r="J51" i="65" s="1"/>
  <c r="K51" i="65" s="1"/>
  <c r="AM51" i="65"/>
  <c r="P51" i="65"/>
  <c r="AN51" i="63" a="1"/>
  <c r="AN51" i="63" s="1"/>
  <c r="B53" i="65" s="1"/>
  <c r="U50" i="65"/>
  <c r="AF50" i="65"/>
  <c r="Q50" i="65"/>
  <c r="AE50" i="65"/>
  <c r="R50" i="65"/>
  <c r="S50" i="65" s="1"/>
  <c r="Y50" i="65" s="1"/>
  <c r="AB50" i="65" s="1"/>
  <c r="AC50" i="65" s="1"/>
  <c r="AD50" i="65" s="1"/>
  <c r="AV50" i="65"/>
  <c r="AH50" i="65"/>
  <c r="L52" i="65"/>
  <c r="M52" i="65" s="1"/>
  <c r="C52" i="65"/>
  <c r="O52" i="65"/>
  <c r="Y51" i="65" l="1"/>
  <c r="AB51" i="65" s="1"/>
  <c r="AC51" i="65" s="1"/>
  <c r="AD51" i="65" s="1"/>
  <c r="L53" i="65"/>
  <c r="M53" i="65" s="1"/>
  <c r="C53" i="65"/>
  <c r="O53" i="65"/>
  <c r="AN52" i="63" a="1"/>
  <c r="AN52" i="63" s="1"/>
  <c r="B54" i="65" s="1"/>
  <c r="AG50" i="65"/>
  <c r="N52" i="65"/>
  <c r="AM52" i="65"/>
  <c r="P52" i="65"/>
  <c r="D52" i="65"/>
  <c r="E52" i="65" s="1"/>
  <c r="F52" i="65" s="1"/>
  <c r="G52" i="65" s="1"/>
  <c r="H52" i="65" s="1"/>
  <c r="I52" i="65" s="1"/>
  <c r="J52" i="65" s="1"/>
  <c r="K52" i="65" s="1"/>
  <c r="AF51" i="65" l="1"/>
  <c r="AG51" i="65" s="1"/>
  <c r="C54" i="65"/>
  <c r="L54" i="65"/>
  <c r="M54" i="65" s="1"/>
  <c r="O54" i="65"/>
  <c r="N53" i="65"/>
  <c r="D53" i="65"/>
  <c r="E53" i="65" s="1"/>
  <c r="F53" i="65" s="1"/>
  <c r="G53" i="65" s="1"/>
  <c r="H53" i="65" s="1"/>
  <c r="I53" i="65" s="1"/>
  <c r="J53" i="65" s="1"/>
  <c r="K53" i="65" s="1"/>
  <c r="AM53" i="65"/>
  <c r="P53" i="65"/>
  <c r="AN53" i="63" a="1"/>
  <c r="AN53" i="63" s="1"/>
  <c r="B55" i="65" s="1"/>
  <c r="AF52" i="65"/>
  <c r="Q52" i="65"/>
  <c r="AV52" i="65"/>
  <c r="U52" i="65"/>
  <c r="AH52" i="65"/>
  <c r="AE52" i="65"/>
  <c r="R52" i="65"/>
  <c r="S52" i="65" s="1"/>
  <c r="Y52" i="65" s="1"/>
  <c r="AB52" i="65" s="1"/>
  <c r="AC52" i="65" s="1"/>
  <c r="AD52" i="65" s="1"/>
  <c r="L55" i="65" l="1"/>
  <c r="M55" i="65" s="1"/>
  <c r="O55" i="65"/>
  <c r="C55" i="65"/>
  <c r="AE53" i="65"/>
  <c r="AV53" i="65"/>
  <c r="AH53" i="65"/>
  <c r="Q53" i="65"/>
  <c r="AF53" i="65"/>
  <c r="U53" i="65"/>
  <c r="R53" i="65"/>
  <c r="S53" i="65" s="1"/>
  <c r="Y53" i="65" s="1"/>
  <c r="AB53" i="65" s="1"/>
  <c r="AC53" i="65" s="1"/>
  <c r="AD53" i="65" s="1"/>
  <c r="AG52" i="65"/>
  <c r="D54" i="65"/>
  <c r="E54" i="65" s="1"/>
  <c r="F54" i="65" s="1"/>
  <c r="G54" i="65" s="1"/>
  <c r="H54" i="65" s="1"/>
  <c r="I54" i="65" s="1"/>
  <c r="J54" i="65" s="1"/>
  <c r="K54" i="65" s="1"/>
  <c r="AM54" i="65"/>
  <c r="N54" i="65"/>
  <c r="P54" i="65"/>
  <c r="AN54" i="63" a="1"/>
  <c r="AN54" i="63" s="1"/>
  <c r="B56" i="65" s="1"/>
  <c r="AG53" i="65" l="1"/>
  <c r="D55" i="65"/>
  <c r="E55" i="65" s="1"/>
  <c r="F55" i="65" s="1"/>
  <c r="G55" i="65" s="1"/>
  <c r="H55" i="65" s="1"/>
  <c r="I55" i="65" s="1"/>
  <c r="J55" i="65" s="1"/>
  <c r="K55" i="65" s="1"/>
  <c r="N55" i="65"/>
  <c r="AM55" i="65"/>
  <c r="P55" i="65"/>
  <c r="C56" i="65"/>
  <c r="O56" i="65"/>
  <c r="L56" i="65"/>
  <c r="M56" i="65" s="1"/>
  <c r="Q54" i="65"/>
  <c r="R54" i="65"/>
  <c r="S54" i="65" s="1"/>
  <c r="Y54" i="65" s="1"/>
  <c r="AB54" i="65" s="1"/>
  <c r="AC54" i="65" s="1"/>
  <c r="AD54" i="65" s="1"/>
  <c r="AV54" i="65"/>
  <c r="U54" i="65"/>
  <c r="AF54" i="65"/>
  <c r="AH54" i="65"/>
  <c r="AE54" i="65"/>
  <c r="AN55" i="63" a="1"/>
  <c r="AN55" i="63" s="1"/>
  <c r="B57" i="65" s="1"/>
  <c r="AG54" i="65" l="1"/>
  <c r="L57" i="65"/>
  <c r="M57" i="65" s="1"/>
  <c r="C57" i="65"/>
  <c r="O57" i="65"/>
  <c r="AF55" i="65"/>
  <c r="AV55" i="65"/>
  <c r="AH55" i="65"/>
  <c r="U55" i="65"/>
  <c r="R55" i="65"/>
  <c r="S55" i="65" s="1"/>
  <c r="Y55" i="65" s="1"/>
  <c r="AB55" i="65" s="1"/>
  <c r="AC55" i="65" s="1"/>
  <c r="AD55" i="65" s="1"/>
  <c r="Q55" i="65"/>
  <c r="AE55" i="65"/>
  <c r="AM56" i="65"/>
  <c r="P56" i="65"/>
  <c r="D56" i="65"/>
  <c r="E56" i="65" s="1"/>
  <c r="F56" i="65" s="1"/>
  <c r="G56" i="65" s="1"/>
  <c r="H56" i="65" s="1"/>
  <c r="I56" i="65" s="1"/>
  <c r="J56" i="65" s="1"/>
  <c r="K56" i="65" s="1"/>
  <c r="N56" i="65"/>
  <c r="AN56" i="63" a="1"/>
  <c r="AN56" i="63" s="1"/>
  <c r="B58" i="65" s="1"/>
  <c r="L58" i="65" l="1"/>
  <c r="M58" i="65" s="1"/>
  <c r="C58" i="65"/>
  <c r="O58" i="65"/>
  <c r="AG55" i="65"/>
  <c r="D57" i="65"/>
  <c r="E57" i="65" s="1"/>
  <c r="F57" i="65" s="1"/>
  <c r="G57" i="65" s="1"/>
  <c r="H57" i="65" s="1"/>
  <c r="I57" i="65" s="1"/>
  <c r="J57" i="65" s="1"/>
  <c r="K57" i="65" s="1"/>
  <c r="P57" i="65"/>
  <c r="AM57" i="65"/>
  <c r="N57" i="65"/>
  <c r="R56" i="65"/>
  <c r="S56" i="65" s="1"/>
  <c r="Y56" i="65" s="1"/>
  <c r="AB56" i="65" s="1"/>
  <c r="AC56" i="65" s="1"/>
  <c r="AD56" i="65" s="1"/>
  <c r="Q56" i="65"/>
  <c r="AF56" i="65"/>
  <c r="U56" i="65"/>
  <c r="AH56" i="65"/>
  <c r="AE56" i="65"/>
  <c r="AV56" i="65"/>
  <c r="AN57" i="63" a="1"/>
  <c r="AN57" i="63" s="1"/>
  <c r="B59" i="65" s="1"/>
  <c r="AG56" i="65" l="1"/>
  <c r="C59" i="65"/>
  <c r="O59" i="65"/>
  <c r="L59" i="65"/>
  <c r="M59" i="65" s="1"/>
  <c r="AH57" i="65"/>
  <c r="R57" i="65"/>
  <c r="S57" i="65" s="1"/>
  <c r="Y57" i="65" s="1"/>
  <c r="AB57" i="65" s="1"/>
  <c r="AC57" i="65" s="1"/>
  <c r="AD57" i="65" s="1"/>
  <c r="AF57" i="65"/>
  <c r="Q57" i="65"/>
  <c r="AV57" i="65"/>
  <c r="AE57" i="65"/>
  <c r="U57" i="65"/>
  <c r="N58" i="65"/>
  <c r="P58" i="65"/>
  <c r="D58" i="65"/>
  <c r="E58" i="65" s="1"/>
  <c r="F58" i="65" s="1"/>
  <c r="G58" i="65" s="1"/>
  <c r="H58" i="65" s="1"/>
  <c r="I58" i="65" s="1"/>
  <c r="J58" i="65" s="1"/>
  <c r="K58" i="65" s="1"/>
  <c r="AM58" i="65"/>
  <c r="AN58" i="63" a="1"/>
  <c r="AN58" i="63" s="1"/>
  <c r="B60" i="65" s="1"/>
  <c r="AN59" i="63" l="1" a="1"/>
  <c r="AN59" i="63" s="1"/>
  <c r="B61" i="65" s="1"/>
  <c r="AG57" i="65"/>
  <c r="AM59" i="65"/>
  <c r="D59" i="65"/>
  <c r="E59" i="65" s="1"/>
  <c r="F59" i="65" s="1"/>
  <c r="G59" i="65" s="1"/>
  <c r="H59" i="65" s="1"/>
  <c r="I59" i="65" s="1"/>
  <c r="J59" i="65" s="1"/>
  <c r="K59" i="65" s="1"/>
  <c r="P59" i="65"/>
  <c r="N59" i="65"/>
  <c r="L60" i="65"/>
  <c r="M60" i="65" s="1"/>
  <c r="C60" i="65"/>
  <c r="O60" i="65"/>
  <c r="AV58" i="65"/>
  <c r="U58" i="65"/>
  <c r="AE58" i="65"/>
  <c r="AF58" i="65"/>
  <c r="R58" i="65"/>
  <c r="S58" i="65" s="1"/>
  <c r="Y58" i="65" s="1"/>
  <c r="AB58" i="65" s="1"/>
  <c r="AC58" i="65" s="1"/>
  <c r="AD58" i="65" s="1"/>
  <c r="AH58" i="65"/>
  <c r="Q58" i="65"/>
  <c r="R59" i="65" l="1"/>
  <c r="S59" i="65" s="1"/>
  <c r="Y59" i="65" s="1"/>
  <c r="AB59" i="65" s="1"/>
  <c r="AC59" i="65" s="1"/>
  <c r="AD59" i="65" s="1"/>
  <c r="AV59" i="65"/>
  <c r="Q59" i="65"/>
  <c r="U59" i="65"/>
  <c r="AE59" i="65"/>
  <c r="AF59" i="65"/>
  <c r="AH59" i="65"/>
  <c r="P60" i="65"/>
  <c r="D60" i="65"/>
  <c r="E60" i="65" s="1"/>
  <c r="F60" i="65" s="1"/>
  <c r="G60" i="65" s="1"/>
  <c r="H60" i="65" s="1"/>
  <c r="I60" i="65" s="1"/>
  <c r="J60" i="65" s="1"/>
  <c r="K60" i="65" s="1"/>
  <c r="N60" i="65"/>
  <c r="AM60" i="65"/>
  <c r="AN60" i="63" a="1"/>
  <c r="AN60" i="63" s="1"/>
  <c r="B62" i="65" s="1"/>
  <c r="AG58" i="65"/>
  <c r="O61" i="65"/>
  <c r="L61" i="65"/>
  <c r="M61" i="65" s="1"/>
  <c r="C61" i="65"/>
  <c r="N61" i="65" l="1"/>
  <c r="AM61" i="65"/>
  <c r="D61" i="65"/>
  <c r="E61" i="65" s="1"/>
  <c r="F61" i="65" s="1"/>
  <c r="G61" i="65" s="1"/>
  <c r="H61" i="65" s="1"/>
  <c r="I61" i="65" s="1"/>
  <c r="J61" i="65" s="1"/>
  <c r="K61" i="65" s="1"/>
  <c r="P61" i="65"/>
  <c r="L62" i="65"/>
  <c r="M62" i="65" s="1"/>
  <c r="O62" i="65"/>
  <c r="C62" i="65"/>
  <c r="AV60" i="65"/>
  <c r="AE60" i="65"/>
  <c r="AF60" i="65"/>
  <c r="U60" i="65"/>
  <c r="AH60" i="65"/>
  <c r="R60" i="65"/>
  <c r="S60" i="65" s="1"/>
  <c r="Y60" i="65" s="1"/>
  <c r="AB60" i="65" s="1"/>
  <c r="AC60" i="65" s="1"/>
  <c r="AD60" i="65" s="1"/>
  <c r="Q60" i="65"/>
  <c r="AG59" i="65"/>
  <c r="AN61" i="63" a="1"/>
  <c r="AN61" i="63" s="1"/>
  <c r="B63" i="65" s="1"/>
  <c r="O63" i="65" l="1"/>
  <c r="L63" i="65"/>
  <c r="M63" i="65" s="1"/>
  <c r="C63" i="65"/>
  <c r="AM62" i="65"/>
  <c r="P62" i="65"/>
  <c r="D62" i="65"/>
  <c r="E62" i="65" s="1"/>
  <c r="F62" i="65" s="1"/>
  <c r="G62" i="65" s="1"/>
  <c r="H62" i="65" s="1"/>
  <c r="I62" i="65" s="1"/>
  <c r="J62" i="65" s="1"/>
  <c r="K62" i="65" s="1"/>
  <c r="N62" i="65"/>
  <c r="AG60" i="65"/>
  <c r="AN62" i="63" a="1"/>
  <c r="AN62" i="63" s="1"/>
  <c r="B64" i="65" s="1"/>
  <c r="AH61" i="65"/>
  <c r="U61" i="65"/>
  <c r="Q61" i="65"/>
  <c r="AF61" i="65"/>
  <c r="R61" i="65"/>
  <c r="S61" i="65" s="1"/>
  <c r="Y61" i="65" s="1"/>
  <c r="AB61" i="65" s="1"/>
  <c r="AC61" i="65" s="1"/>
  <c r="AD61" i="65" s="1"/>
  <c r="AE61" i="65"/>
  <c r="AV61" i="65"/>
  <c r="AG61" i="65" l="1"/>
  <c r="AN63" i="63" a="1"/>
  <c r="AN63" i="63" s="1"/>
  <c r="B65" i="65" s="1"/>
  <c r="AH62" i="65"/>
  <c r="U62" i="65"/>
  <c r="AF62" i="65"/>
  <c r="R62" i="65"/>
  <c r="S62" i="65" s="1"/>
  <c r="Y62" i="65" s="1"/>
  <c r="AB62" i="65" s="1"/>
  <c r="AC62" i="65" s="1"/>
  <c r="AD62" i="65" s="1"/>
  <c r="AV62" i="65"/>
  <c r="Q62" i="65"/>
  <c r="AE62" i="65"/>
  <c r="AM63" i="65"/>
  <c r="D63" i="65"/>
  <c r="E63" i="65" s="1"/>
  <c r="F63" i="65" s="1"/>
  <c r="G63" i="65" s="1"/>
  <c r="H63" i="65" s="1"/>
  <c r="I63" i="65" s="1"/>
  <c r="J63" i="65" s="1"/>
  <c r="K63" i="65" s="1"/>
  <c r="N63" i="65"/>
  <c r="P63" i="65"/>
  <c r="C64" i="65"/>
  <c r="O64" i="65"/>
  <c r="L64" i="65"/>
  <c r="M64" i="65" s="1"/>
  <c r="D64" i="65" l="1"/>
  <c r="E64" i="65" s="1"/>
  <c r="F64" i="65" s="1"/>
  <c r="G64" i="65" s="1"/>
  <c r="H64" i="65" s="1"/>
  <c r="I64" i="65" s="1"/>
  <c r="J64" i="65" s="1"/>
  <c r="K64" i="65" s="1"/>
  <c r="N64" i="65"/>
  <c r="P64" i="65"/>
  <c r="AM64" i="65"/>
  <c r="AF63" i="65"/>
  <c r="R63" i="65"/>
  <c r="S63" i="65" s="1"/>
  <c r="Y63" i="65" s="1"/>
  <c r="AB63" i="65" s="1"/>
  <c r="AC63" i="65" s="1"/>
  <c r="AD63" i="65" s="1"/>
  <c r="AH63" i="65"/>
  <c r="U63" i="65"/>
  <c r="AE63" i="65"/>
  <c r="AV63" i="65"/>
  <c r="Q63" i="65"/>
  <c r="AN64" i="63" a="1"/>
  <c r="AN64" i="63" s="1"/>
  <c r="B66" i="65" s="1"/>
  <c r="AG62" i="65"/>
  <c r="O65" i="65"/>
  <c r="L65" i="65"/>
  <c r="M65" i="65" s="1"/>
  <c r="C65" i="65"/>
  <c r="C66" i="65" l="1"/>
  <c r="O66" i="65"/>
  <c r="L66" i="65"/>
  <c r="M66" i="65" s="1"/>
  <c r="AV64" i="65"/>
  <c r="Q64" i="65"/>
  <c r="AF64" i="65"/>
  <c r="U64" i="65"/>
  <c r="AE64" i="65"/>
  <c r="AH64" i="65"/>
  <c r="R64" i="65"/>
  <c r="S64" i="65" s="1"/>
  <c r="Y64" i="65" s="1"/>
  <c r="AB64" i="65" s="1"/>
  <c r="AC64" i="65" s="1"/>
  <c r="AD64" i="65" s="1"/>
  <c r="AN65" i="63" a="1"/>
  <c r="AN65" i="63" s="1"/>
  <c r="B67" i="65" s="1"/>
  <c r="AG63" i="65"/>
  <c r="N65" i="65"/>
  <c r="AM65" i="65"/>
  <c r="P65" i="65"/>
  <c r="D65" i="65"/>
  <c r="E65" i="65" s="1"/>
  <c r="F65" i="65" s="1"/>
  <c r="G65" i="65" s="1"/>
  <c r="H65" i="65" s="1"/>
  <c r="I65" i="65" s="1"/>
  <c r="J65" i="65" s="1"/>
  <c r="K65" i="65" s="1"/>
  <c r="O67" i="65" l="1"/>
  <c r="L67" i="65"/>
  <c r="M67" i="65" s="1"/>
  <c r="C67" i="65"/>
  <c r="AG64" i="65"/>
  <c r="AN66" i="63" a="1"/>
  <c r="AN66" i="63" s="1"/>
  <c r="B68" i="65" s="1"/>
  <c r="R65" i="65"/>
  <c r="S65" i="65" s="1"/>
  <c r="Y65" i="65" s="1"/>
  <c r="AB65" i="65" s="1"/>
  <c r="AC65" i="65" s="1"/>
  <c r="AD65" i="65" s="1"/>
  <c r="AE65" i="65"/>
  <c r="AV65" i="65"/>
  <c r="U65" i="65"/>
  <c r="AH65" i="65"/>
  <c r="Q65" i="65"/>
  <c r="AF65" i="65"/>
  <c r="P66" i="65"/>
  <c r="N66" i="65"/>
  <c r="AM66" i="65"/>
  <c r="D66" i="65"/>
  <c r="E66" i="65" s="1"/>
  <c r="F66" i="65" s="1"/>
  <c r="G66" i="65" s="1"/>
  <c r="H66" i="65" s="1"/>
  <c r="I66" i="65" s="1"/>
  <c r="J66" i="65" s="1"/>
  <c r="K66" i="65" s="1"/>
  <c r="AG65" i="65" l="1"/>
  <c r="AF66" i="65"/>
  <c r="AH66" i="65"/>
  <c r="R66" i="65"/>
  <c r="S66" i="65" s="1"/>
  <c r="Y66" i="65" s="1"/>
  <c r="AB66" i="65" s="1"/>
  <c r="AC66" i="65" s="1"/>
  <c r="AD66" i="65" s="1"/>
  <c r="AV66" i="65"/>
  <c r="Q66" i="65"/>
  <c r="AE66" i="65"/>
  <c r="U66" i="65"/>
  <c r="D67" i="65"/>
  <c r="E67" i="65" s="1"/>
  <c r="F67" i="65" s="1"/>
  <c r="G67" i="65" s="1"/>
  <c r="H67" i="65" s="1"/>
  <c r="I67" i="65" s="1"/>
  <c r="J67" i="65" s="1"/>
  <c r="K67" i="65" s="1"/>
  <c r="N67" i="65"/>
  <c r="AM67" i="65"/>
  <c r="P67" i="65"/>
  <c r="O68" i="65"/>
  <c r="L68" i="65"/>
  <c r="M68" i="65" s="1"/>
  <c r="C68" i="65"/>
  <c r="AN67" i="63" a="1"/>
  <c r="AN67" i="63" s="1"/>
  <c r="B69" i="65" s="1"/>
  <c r="AN68" i="63" l="1" a="1"/>
  <c r="AN68" i="63" s="1"/>
  <c r="B70" i="65" s="1"/>
  <c r="L69" i="65"/>
  <c r="M69" i="65" s="1"/>
  <c r="C69" i="65"/>
  <c r="O69" i="65"/>
  <c r="P68" i="65"/>
  <c r="N68" i="65"/>
  <c r="D68" i="65"/>
  <c r="E68" i="65" s="1"/>
  <c r="F68" i="65" s="1"/>
  <c r="G68" i="65" s="1"/>
  <c r="H68" i="65" s="1"/>
  <c r="I68" i="65" s="1"/>
  <c r="J68" i="65" s="1"/>
  <c r="K68" i="65" s="1"/>
  <c r="AM68" i="65"/>
  <c r="AF67" i="65"/>
  <c r="Q67" i="65"/>
  <c r="U67" i="65"/>
  <c r="AH67" i="65"/>
  <c r="AE67" i="65"/>
  <c r="AV67" i="65"/>
  <c r="R67" i="65"/>
  <c r="S67" i="65" s="1"/>
  <c r="Y67" i="65" s="1"/>
  <c r="AB67" i="65" s="1"/>
  <c r="AC67" i="65" s="1"/>
  <c r="AD67" i="65" s="1"/>
  <c r="AG66" i="65"/>
  <c r="AN69" i="63" l="1" a="1"/>
  <c r="AN69" i="63" s="1"/>
  <c r="B71" i="65" s="1"/>
  <c r="AG67" i="65"/>
  <c r="N69" i="65"/>
  <c r="P69" i="65"/>
  <c r="D69" i="65"/>
  <c r="E69" i="65" s="1"/>
  <c r="F69" i="65" s="1"/>
  <c r="G69" i="65" s="1"/>
  <c r="H69" i="65" s="1"/>
  <c r="I69" i="65" s="1"/>
  <c r="J69" i="65" s="1"/>
  <c r="K69" i="65" s="1"/>
  <c r="AM69" i="65"/>
  <c r="U68" i="65"/>
  <c r="Q68" i="65"/>
  <c r="AF68" i="65"/>
  <c r="AV68" i="65"/>
  <c r="AE68" i="65"/>
  <c r="AH68" i="65"/>
  <c r="R68" i="65"/>
  <c r="S68" i="65" s="1"/>
  <c r="Y68" i="65" s="1"/>
  <c r="AB68" i="65" s="1"/>
  <c r="AC68" i="65" s="1"/>
  <c r="AD68" i="65" s="1"/>
  <c r="O70" i="65"/>
  <c r="C70" i="65"/>
  <c r="L70" i="65"/>
  <c r="M70" i="65" s="1"/>
  <c r="AH69" i="65" l="1"/>
  <c r="AE69" i="65"/>
  <c r="R69" i="65"/>
  <c r="S69" i="65" s="1"/>
  <c r="Y69" i="65" s="1"/>
  <c r="AB69" i="65" s="1"/>
  <c r="AC69" i="65" s="1"/>
  <c r="AD69" i="65" s="1"/>
  <c r="AV69" i="65"/>
  <c r="AF69" i="65"/>
  <c r="Q69" i="65"/>
  <c r="U69" i="65"/>
  <c r="AG68" i="65"/>
  <c r="AN70" i="63" a="1"/>
  <c r="AN70" i="63" s="1"/>
  <c r="B72" i="65" s="1"/>
  <c r="P70" i="65"/>
  <c r="N70" i="65"/>
  <c r="AM70" i="65"/>
  <c r="D70" i="65"/>
  <c r="E70" i="65" s="1"/>
  <c r="F70" i="65" s="1"/>
  <c r="G70" i="65" s="1"/>
  <c r="H70" i="65" s="1"/>
  <c r="I70" i="65" s="1"/>
  <c r="J70" i="65" s="1"/>
  <c r="K70" i="65" s="1"/>
  <c r="C71" i="65"/>
  <c r="O71" i="65"/>
  <c r="L71" i="65"/>
  <c r="M71" i="65" s="1"/>
  <c r="O72" i="65" l="1"/>
  <c r="L72" i="65"/>
  <c r="M72" i="65" s="1"/>
  <c r="C72" i="65"/>
  <c r="AM71" i="65"/>
  <c r="N71" i="65"/>
  <c r="D71" i="65"/>
  <c r="E71" i="65" s="1"/>
  <c r="F71" i="65" s="1"/>
  <c r="G71" i="65" s="1"/>
  <c r="H71" i="65" s="1"/>
  <c r="I71" i="65" s="1"/>
  <c r="J71" i="65" s="1"/>
  <c r="K71" i="65" s="1"/>
  <c r="P71" i="65"/>
  <c r="R70" i="65"/>
  <c r="S70" i="65" s="1"/>
  <c r="Y70" i="65" s="1"/>
  <c r="AB70" i="65" s="1"/>
  <c r="AC70" i="65" s="1"/>
  <c r="AD70" i="65" s="1"/>
  <c r="AE70" i="65"/>
  <c r="AV70" i="65"/>
  <c r="AF70" i="65"/>
  <c r="AH70" i="65"/>
  <c r="U70" i="65"/>
  <c r="Q70" i="65"/>
  <c r="AG69" i="65"/>
  <c r="AN71" i="63" a="1"/>
  <c r="AN71" i="63" s="1"/>
  <c r="B73" i="65" s="1"/>
  <c r="P72" i="65" l="1"/>
  <c r="D72" i="65"/>
  <c r="E72" i="65" s="1"/>
  <c r="F72" i="65" s="1"/>
  <c r="G72" i="65" s="1"/>
  <c r="H72" i="65" s="1"/>
  <c r="I72" i="65" s="1"/>
  <c r="J72" i="65" s="1"/>
  <c r="K72" i="65" s="1"/>
  <c r="N72" i="65"/>
  <c r="AM72" i="65"/>
  <c r="L73" i="65"/>
  <c r="M73" i="65" s="1"/>
  <c r="C73" i="65"/>
  <c r="O73" i="65"/>
  <c r="U71" i="65"/>
  <c r="AE71" i="65"/>
  <c r="Q71" i="65"/>
  <c r="R71" i="65"/>
  <c r="S71" i="65" s="1"/>
  <c r="Y71" i="65" s="1"/>
  <c r="AB71" i="65" s="1"/>
  <c r="AC71" i="65" s="1"/>
  <c r="AD71" i="65" s="1"/>
  <c r="AH71" i="65"/>
  <c r="AF71" i="65"/>
  <c r="AV71" i="65"/>
  <c r="AG70" i="65"/>
  <c r="AN72" i="63" a="1"/>
  <c r="AN72" i="63" s="1"/>
  <c r="B74" i="65" s="1"/>
  <c r="AN73" i="63" l="1" a="1"/>
  <c r="AN73" i="63" s="1"/>
  <c r="B75" i="65" s="1"/>
  <c r="Q72" i="65"/>
  <c r="AH72" i="65"/>
  <c r="R72" i="65"/>
  <c r="S72" i="65" s="1"/>
  <c r="Y72" i="65" s="1"/>
  <c r="AB72" i="65" s="1"/>
  <c r="AC72" i="65" s="1"/>
  <c r="AD72" i="65" s="1"/>
  <c r="AE72" i="65"/>
  <c r="U72" i="65"/>
  <c r="AF72" i="65"/>
  <c r="AV72" i="65"/>
  <c r="L74" i="65"/>
  <c r="M74" i="65" s="1"/>
  <c r="C74" i="65"/>
  <c r="O74" i="65"/>
  <c r="AG71" i="65"/>
  <c r="N73" i="65"/>
  <c r="D73" i="65"/>
  <c r="E73" i="65" s="1"/>
  <c r="F73" i="65" s="1"/>
  <c r="G73" i="65" s="1"/>
  <c r="H73" i="65" s="1"/>
  <c r="I73" i="65" s="1"/>
  <c r="J73" i="65" s="1"/>
  <c r="K73" i="65" s="1"/>
  <c r="AM73" i="65"/>
  <c r="P73" i="65"/>
  <c r="AG72" i="65" l="1"/>
  <c r="AN74" i="63" a="1"/>
  <c r="AN74" i="63" s="1"/>
  <c r="B76" i="65" s="1"/>
  <c r="U73" i="65"/>
  <c r="AF73" i="65"/>
  <c r="R73" i="65"/>
  <c r="S73" i="65" s="1"/>
  <c r="Y73" i="65" s="1"/>
  <c r="AB73" i="65" s="1"/>
  <c r="AC73" i="65" s="1"/>
  <c r="AD73" i="65" s="1"/>
  <c r="AV73" i="65"/>
  <c r="AE73" i="65"/>
  <c r="Q73" i="65"/>
  <c r="AH73" i="65"/>
  <c r="P74" i="65"/>
  <c r="D74" i="65"/>
  <c r="E74" i="65" s="1"/>
  <c r="F74" i="65" s="1"/>
  <c r="G74" i="65" s="1"/>
  <c r="H74" i="65" s="1"/>
  <c r="I74" i="65" s="1"/>
  <c r="J74" i="65" s="1"/>
  <c r="K74" i="65" s="1"/>
  <c r="N74" i="65"/>
  <c r="AM74" i="65"/>
  <c r="C75" i="65"/>
  <c r="L75" i="65"/>
  <c r="M75" i="65" s="1"/>
  <c r="O75" i="65"/>
  <c r="AG73" i="65" l="1"/>
  <c r="L76" i="65"/>
  <c r="M76" i="65" s="1"/>
  <c r="O76" i="65"/>
  <c r="C76" i="65"/>
  <c r="AM75" i="65"/>
  <c r="D75" i="65"/>
  <c r="E75" i="65" s="1"/>
  <c r="F75" i="65" s="1"/>
  <c r="G75" i="65" s="1"/>
  <c r="H75" i="65" s="1"/>
  <c r="I75" i="65" s="1"/>
  <c r="J75" i="65" s="1"/>
  <c r="K75" i="65" s="1"/>
  <c r="P75" i="65"/>
  <c r="N75" i="65"/>
  <c r="AN75" i="63" a="1"/>
  <c r="AN75" i="63" s="1"/>
  <c r="B77" i="65" s="1"/>
  <c r="AV74" i="65"/>
  <c r="Q74" i="65"/>
  <c r="U74" i="65"/>
  <c r="AH74" i="65"/>
  <c r="R74" i="65"/>
  <c r="S74" i="65" s="1"/>
  <c r="Y74" i="65" s="1"/>
  <c r="AB74" i="65" s="1"/>
  <c r="AC74" i="65" s="1"/>
  <c r="AD74" i="65" s="1"/>
  <c r="AF74" i="65"/>
  <c r="AE74" i="65"/>
  <c r="AN76" i="63" l="1" a="1"/>
  <c r="AN76" i="63" s="1"/>
  <c r="B78" i="65" s="1"/>
  <c r="AG74" i="65"/>
  <c r="Q75" i="65"/>
  <c r="AE75" i="65"/>
  <c r="R75" i="65"/>
  <c r="S75" i="65" s="1"/>
  <c r="Y75" i="65" s="1"/>
  <c r="AB75" i="65" s="1"/>
  <c r="AC75" i="65" s="1"/>
  <c r="AD75" i="65" s="1"/>
  <c r="AF75" i="65"/>
  <c r="AH75" i="65"/>
  <c r="U75" i="65"/>
  <c r="AV75" i="65"/>
  <c r="D76" i="65"/>
  <c r="E76" i="65" s="1"/>
  <c r="F76" i="65" s="1"/>
  <c r="G76" i="65" s="1"/>
  <c r="H76" i="65" s="1"/>
  <c r="I76" i="65" s="1"/>
  <c r="J76" i="65" s="1"/>
  <c r="K76" i="65" s="1"/>
  <c r="P76" i="65"/>
  <c r="N76" i="65"/>
  <c r="AM76" i="65"/>
  <c r="C77" i="65"/>
  <c r="O77" i="65"/>
  <c r="L77" i="65"/>
  <c r="M77" i="65" s="1"/>
  <c r="AH76" i="65" l="1"/>
  <c r="R76" i="65"/>
  <c r="S76" i="65" s="1"/>
  <c r="Y76" i="65" s="1"/>
  <c r="AB76" i="65" s="1"/>
  <c r="AC76" i="65" s="1"/>
  <c r="AD76" i="65" s="1"/>
  <c r="AE76" i="65"/>
  <c r="Q76" i="65"/>
  <c r="AF76" i="65"/>
  <c r="AV76" i="65"/>
  <c r="U76" i="65"/>
  <c r="D77" i="65"/>
  <c r="E77" i="65" s="1"/>
  <c r="F77" i="65" s="1"/>
  <c r="G77" i="65" s="1"/>
  <c r="H77" i="65" s="1"/>
  <c r="I77" i="65" s="1"/>
  <c r="J77" i="65" s="1"/>
  <c r="K77" i="65" s="1"/>
  <c r="N77" i="65"/>
  <c r="AM77" i="65"/>
  <c r="P77" i="65"/>
  <c r="AG75" i="65"/>
  <c r="O78" i="65"/>
  <c r="C78" i="65"/>
  <c r="L78" i="65"/>
  <c r="M78" i="65" s="1"/>
  <c r="AN77" i="63" a="1"/>
  <c r="AN77" i="63" s="1"/>
  <c r="B79" i="65" s="1"/>
  <c r="D78" i="65" l="1"/>
  <c r="E78" i="65" s="1"/>
  <c r="F78" i="65" s="1"/>
  <c r="G78" i="65" s="1"/>
  <c r="H78" i="65" s="1"/>
  <c r="I78" i="65" s="1"/>
  <c r="J78" i="65" s="1"/>
  <c r="K78" i="65" s="1"/>
  <c r="P78" i="65"/>
  <c r="N78" i="65"/>
  <c r="AM78" i="65"/>
  <c r="AN78" i="63" a="1"/>
  <c r="AN78" i="63" s="1"/>
  <c r="B80" i="65" s="1"/>
  <c r="R77" i="65"/>
  <c r="S77" i="65" s="1"/>
  <c r="Y77" i="65" s="1"/>
  <c r="AB77" i="65" s="1"/>
  <c r="AC77" i="65" s="1"/>
  <c r="AD77" i="65" s="1"/>
  <c r="Q77" i="65"/>
  <c r="AH77" i="65"/>
  <c r="AE77" i="65"/>
  <c r="AF77" i="65"/>
  <c r="AV77" i="65"/>
  <c r="U77" i="65"/>
  <c r="L79" i="65"/>
  <c r="M79" i="65" s="1"/>
  <c r="O79" i="65"/>
  <c r="C79" i="65"/>
  <c r="AG76" i="65"/>
  <c r="AM79" i="65" l="1"/>
  <c r="D79" i="65"/>
  <c r="E79" i="65" s="1"/>
  <c r="F79" i="65" s="1"/>
  <c r="G79" i="65" s="1"/>
  <c r="H79" i="65" s="1"/>
  <c r="I79" i="65" s="1"/>
  <c r="J79" i="65" s="1"/>
  <c r="K79" i="65" s="1"/>
  <c r="P79" i="65"/>
  <c r="N79" i="65"/>
  <c r="R78" i="65"/>
  <c r="S78" i="65" s="1"/>
  <c r="Y78" i="65" s="1"/>
  <c r="AB78" i="65" s="1"/>
  <c r="AC78" i="65" s="1"/>
  <c r="AD78" i="65" s="1"/>
  <c r="AF78" i="65"/>
  <c r="AH78" i="65"/>
  <c r="AE78" i="65"/>
  <c r="U78" i="65"/>
  <c r="AV78" i="65"/>
  <c r="Q78" i="65"/>
  <c r="AN79" i="63" a="1"/>
  <c r="AN79" i="63" s="1"/>
  <c r="B81" i="65" s="1"/>
  <c r="AG77" i="65"/>
  <c r="L80" i="65"/>
  <c r="M80" i="65" s="1"/>
  <c r="C80" i="65"/>
  <c r="O80" i="65"/>
  <c r="L81" i="65" l="1"/>
  <c r="M81" i="65" s="1"/>
  <c r="C81" i="65"/>
  <c r="O81" i="65"/>
  <c r="AF79" i="65"/>
  <c r="AH79" i="65"/>
  <c r="AV79" i="65"/>
  <c r="R79" i="65"/>
  <c r="S79" i="65" s="1"/>
  <c r="Y79" i="65" s="1"/>
  <c r="AB79" i="65" s="1"/>
  <c r="AC79" i="65" s="1"/>
  <c r="AD79" i="65" s="1"/>
  <c r="Q79" i="65"/>
  <c r="AE79" i="65"/>
  <c r="U79" i="65"/>
  <c r="P80" i="65"/>
  <c r="AM80" i="65"/>
  <c r="D80" i="65"/>
  <c r="E80" i="65" s="1"/>
  <c r="F80" i="65" s="1"/>
  <c r="G80" i="65" s="1"/>
  <c r="H80" i="65" s="1"/>
  <c r="I80" i="65" s="1"/>
  <c r="J80" i="65" s="1"/>
  <c r="K80" i="65" s="1"/>
  <c r="N80" i="65"/>
  <c r="AG78" i="65"/>
  <c r="AN80" i="63" a="1"/>
  <c r="AN80" i="63" s="1"/>
  <c r="B82" i="65" s="1"/>
  <c r="AG79" i="65" l="1"/>
  <c r="AN81" i="63" a="1"/>
  <c r="AN81" i="63" s="1"/>
  <c r="B83" i="65" s="1"/>
  <c r="AF80" i="65"/>
  <c r="AV80" i="65"/>
  <c r="R80" i="65"/>
  <c r="S80" i="65" s="1"/>
  <c r="Y80" i="65" s="1"/>
  <c r="AB80" i="65" s="1"/>
  <c r="AC80" i="65" s="1"/>
  <c r="AD80" i="65" s="1"/>
  <c r="U80" i="65"/>
  <c r="AH80" i="65"/>
  <c r="Q80" i="65"/>
  <c r="AE80" i="65"/>
  <c r="P81" i="65"/>
  <c r="D81" i="65"/>
  <c r="E81" i="65" s="1"/>
  <c r="F81" i="65" s="1"/>
  <c r="G81" i="65" s="1"/>
  <c r="H81" i="65" s="1"/>
  <c r="I81" i="65" s="1"/>
  <c r="J81" i="65" s="1"/>
  <c r="K81" i="65" s="1"/>
  <c r="AM81" i="65"/>
  <c r="N81" i="65"/>
  <c r="C82" i="65"/>
  <c r="O82" i="65"/>
  <c r="L82" i="65"/>
  <c r="M82" i="65" s="1"/>
  <c r="AG80" i="65" l="1"/>
  <c r="O83" i="65"/>
  <c r="L83" i="65"/>
  <c r="M83" i="65" s="1"/>
  <c r="C83" i="65"/>
  <c r="AN82" i="63" a="1"/>
  <c r="AN82" i="63" s="1"/>
  <c r="B84" i="65" s="1"/>
  <c r="P82" i="65"/>
  <c r="AM82" i="65"/>
  <c r="D82" i="65"/>
  <c r="E82" i="65" s="1"/>
  <c r="F82" i="65" s="1"/>
  <c r="G82" i="65" s="1"/>
  <c r="H82" i="65" s="1"/>
  <c r="I82" i="65" s="1"/>
  <c r="J82" i="65" s="1"/>
  <c r="K82" i="65" s="1"/>
  <c r="N82" i="65"/>
  <c r="AE81" i="65"/>
  <c r="AF81" i="65"/>
  <c r="R81" i="65"/>
  <c r="S81" i="65" s="1"/>
  <c r="Y81" i="65" s="1"/>
  <c r="AB81" i="65" s="1"/>
  <c r="AC81" i="65" s="1"/>
  <c r="AD81" i="65" s="1"/>
  <c r="U81" i="65"/>
  <c r="AH81" i="65"/>
  <c r="Q81" i="65"/>
  <c r="AV81" i="65"/>
  <c r="C84" i="65" l="1"/>
  <c r="L84" i="65"/>
  <c r="M84" i="65" s="1"/>
  <c r="O84" i="65"/>
  <c r="AG81" i="65"/>
  <c r="D83" i="65"/>
  <c r="E83" i="65" s="1"/>
  <c r="F83" i="65" s="1"/>
  <c r="G83" i="65" s="1"/>
  <c r="H83" i="65" s="1"/>
  <c r="I83" i="65" s="1"/>
  <c r="J83" i="65" s="1"/>
  <c r="K83" i="65" s="1"/>
  <c r="P83" i="65"/>
  <c r="N83" i="65"/>
  <c r="AM83" i="65"/>
  <c r="AN83" i="63" a="1"/>
  <c r="AN83" i="63" s="1"/>
  <c r="B85" i="65" s="1"/>
  <c r="Q82" i="65"/>
  <c r="U82" i="65"/>
  <c r="AE82" i="65"/>
  <c r="AF82" i="65"/>
  <c r="AV82" i="65"/>
  <c r="R82" i="65"/>
  <c r="S82" i="65" s="1"/>
  <c r="Y82" i="65" s="1"/>
  <c r="AB82" i="65" s="1"/>
  <c r="AC82" i="65" s="1"/>
  <c r="AD82" i="65" s="1"/>
  <c r="AH82" i="65"/>
  <c r="AH83" i="65" l="1"/>
  <c r="AE83" i="65"/>
  <c r="R83" i="65"/>
  <c r="S83" i="65" s="1"/>
  <c r="Y83" i="65" s="1"/>
  <c r="AB83" i="65" s="1"/>
  <c r="AC83" i="65" s="1"/>
  <c r="AD83" i="65" s="1"/>
  <c r="AV83" i="65"/>
  <c r="Q83" i="65"/>
  <c r="AF83" i="65"/>
  <c r="U83" i="65"/>
  <c r="C85" i="65"/>
  <c r="L85" i="65"/>
  <c r="M85" i="65" s="1"/>
  <c r="O85" i="65"/>
  <c r="AN84" i="63" a="1"/>
  <c r="AN84" i="63" s="1"/>
  <c r="B86" i="65" s="1"/>
  <c r="AG82" i="65"/>
  <c r="P84" i="65"/>
  <c r="N84" i="65"/>
  <c r="AM84" i="65"/>
  <c r="D84" i="65"/>
  <c r="E84" i="65" s="1"/>
  <c r="F84" i="65" s="1"/>
  <c r="G84" i="65" s="1"/>
  <c r="H84" i="65" s="1"/>
  <c r="I84" i="65" s="1"/>
  <c r="J84" i="65" s="1"/>
  <c r="K84" i="65" s="1"/>
  <c r="Q84" i="65" l="1"/>
  <c r="U84" i="65"/>
  <c r="AH84" i="65"/>
  <c r="AE84" i="65"/>
  <c r="AF84" i="65"/>
  <c r="R84" i="65"/>
  <c r="S84" i="65" s="1"/>
  <c r="Y84" i="65" s="1"/>
  <c r="AB84" i="65" s="1"/>
  <c r="AC84" i="65" s="1"/>
  <c r="AD84" i="65" s="1"/>
  <c r="AV84" i="65"/>
  <c r="AG83" i="65"/>
  <c r="C86" i="65"/>
  <c r="L86" i="65"/>
  <c r="M86" i="65" s="1"/>
  <c r="O86" i="65"/>
  <c r="P85" i="65"/>
  <c r="AM85" i="65"/>
  <c r="D85" i="65"/>
  <c r="E85" i="65" s="1"/>
  <c r="F85" i="65" s="1"/>
  <c r="G85" i="65" s="1"/>
  <c r="H85" i="65" s="1"/>
  <c r="I85" i="65" s="1"/>
  <c r="J85" i="65" s="1"/>
  <c r="K85" i="65" s="1"/>
  <c r="N85" i="65"/>
  <c r="AN85" i="63" a="1"/>
  <c r="AN85" i="63" s="1"/>
  <c r="B87" i="65" s="1"/>
  <c r="AH85" i="65" l="1"/>
  <c r="AV85" i="65"/>
  <c r="AF85" i="65"/>
  <c r="R85" i="65"/>
  <c r="S85" i="65" s="1"/>
  <c r="Y85" i="65" s="1"/>
  <c r="AB85" i="65" s="1"/>
  <c r="AC85" i="65" s="1"/>
  <c r="AD85" i="65" s="1"/>
  <c r="AE85" i="65"/>
  <c r="Q85" i="65"/>
  <c r="U85" i="65"/>
  <c r="L87" i="65"/>
  <c r="M87" i="65" s="1"/>
  <c r="C87" i="65"/>
  <c r="O87" i="65"/>
  <c r="N86" i="65"/>
  <c r="P86" i="65"/>
  <c r="D86" i="65"/>
  <c r="E86" i="65" s="1"/>
  <c r="F86" i="65" s="1"/>
  <c r="G86" i="65" s="1"/>
  <c r="H86" i="65" s="1"/>
  <c r="I86" i="65" s="1"/>
  <c r="J86" i="65" s="1"/>
  <c r="K86" i="65" s="1"/>
  <c r="AM86" i="65"/>
  <c r="AN86" i="63" a="1"/>
  <c r="AN86" i="63" s="1"/>
  <c r="B88" i="65" s="1"/>
  <c r="AG84" i="65"/>
  <c r="C88" i="65" l="1"/>
  <c r="L88" i="65"/>
  <c r="M88" i="65" s="1"/>
  <c r="O88" i="65"/>
  <c r="AV86" i="65"/>
  <c r="Q86" i="65"/>
  <c r="AH86" i="65"/>
  <c r="AF86" i="65"/>
  <c r="AE86" i="65"/>
  <c r="R86" i="65"/>
  <c r="S86" i="65" s="1"/>
  <c r="Y86" i="65" s="1"/>
  <c r="AB86" i="65" s="1"/>
  <c r="AC86" i="65" s="1"/>
  <c r="AD86" i="65" s="1"/>
  <c r="U86" i="65"/>
  <c r="AG85" i="65"/>
  <c r="AN87" i="63" a="1"/>
  <c r="AN87" i="63" s="1"/>
  <c r="B89" i="65" s="1"/>
  <c r="AM87" i="65"/>
  <c r="D87" i="65"/>
  <c r="E87" i="65" s="1"/>
  <c r="F87" i="65" s="1"/>
  <c r="G87" i="65" s="1"/>
  <c r="H87" i="65" s="1"/>
  <c r="I87" i="65" s="1"/>
  <c r="J87" i="65" s="1"/>
  <c r="K87" i="65" s="1"/>
  <c r="P87" i="65"/>
  <c r="N87" i="65"/>
  <c r="O89" i="65" l="1"/>
  <c r="L89" i="65"/>
  <c r="M89" i="65" s="1"/>
  <c r="C89" i="65"/>
  <c r="AG86" i="65"/>
  <c r="AN88" i="63" a="1"/>
  <c r="AN88" i="63" s="1"/>
  <c r="B90" i="65" s="1"/>
  <c r="AF87" i="65"/>
  <c r="AV87" i="65"/>
  <c r="Q87" i="65"/>
  <c r="U87" i="65"/>
  <c r="AE87" i="65"/>
  <c r="AH87" i="65"/>
  <c r="R87" i="65"/>
  <c r="S87" i="65" s="1"/>
  <c r="Y87" i="65" s="1"/>
  <c r="AB87" i="65" s="1"/>
  <c r="AC87" i="65" s="1"/>
  <c r="AD87" i="65" s="1"/>
  <c r="P88" i="65"/>
  <c r="AM88" i="65"/>
  <c r="D88" i="65"/>
  <c r="E88" i="65" s="1"/>
  <c r="F88" i="65" s="1"/>
  <c r="G88" i="65" s="1"/>
  <c r="H88" i="65" s="1"/>
  <c r="I88" i="65" s="1"/>
  <c r="J88" i="65" s="1"/>
  <c r="K88" i="65" s="1"/>
  <c r="N88" i="65"/>
  <c r="Q88" i="65" l="1"/>
  <c r="U88" i="65"/>
  <c r="AV88" i="65"/>
  <c r="AE88" i="65"/>
  <c r="R88" i="65"/>
  <c r="S88" i="65" s="1"/>
  <c r="Y88" i="65" s="1"/>
  <c r="AB88" i="65" s="1"/>
  <c r="AC88" i="65" s="1"/>
  <c r="AD88" i="65" s="1"/>
  <c r="AH88" i="65"/>
  <c r="AF88" i="65"/>
  <c r="AG87" i="65"/>
  <c r="AM89" i="65"/>
  <c r="D89" i="65"/>
  <c r="E89" i="65" s="1"/>
  <c r="F89" i="65" s="1"/>
  <c r="G89" i="65" s="1"/>
  <c r="H89" i="65" s="1"/>
  <c r="I89" i="65" s="1"/>
  <c r="J89" i="65" s="1"/>
  <c r="K89" i="65" s="1"/>
  <c r="P89" i="65"/>
  <c r="N89" i="65"/>
  <c r="L90" i="65"/>
  <c r="M90" i="65" s="1"/>
  <c r="O90" i="65"/>
  <c r="C90" i="65"/>
  <c r="AN89" i="63" a="1"/>
  <c r="AN89" i="63" s="1"/>
  <c r="B91" i="65" s="1"/>
  <c r="AN90" i="63" l="1" a="1"/>
  <c r="AN90" i="63" s="1"/>
  <c r="B92" i="65" s="1"/>
  <c r="D90" i="65"/>
  <c r="E90" i="65" s="1"/>
  <c r="F90" i="65" s="1"/>
  <c r="G90" i="65" s="1"/>
  <c r="H90" i="65" s="1"/>
  <c r="I90" i="65" s="1"/>
  <c r="J90" i="65" s="1"/>
  <c r="K90" i="65" s="1"/>
  <c r="AM90" i="65"/>
  <c r="N90" i="65"/>
  <c r="P90" i="65"/>
  <c r="AG88" i="65"/>
  <c r="C91" i="65"/>
  <c r="O91" i="65"/>
  <c r="L91" i="65"/>
  <c r="M91" i="65" s="1"/>
  <c r="U89" i="65"/>
  <c r="Q89" i="65"/>
  <c r="AH89" i="65"/>
  <c r="AV89" i="65"/>
  <c r="AF89" i="65"/>
  <c r="AE89" i="65"/>
  <c r="R89" i="65"/>
  <c r="S89" i="65" s="1"/>
  <c r="Y89" i="65" s="1"/>
  <c r="AB89" i="65" s="1"/>
  <c r="AC89" i="65" s="1"/>
  <c r="AD89" i="65" s="1"/>
  <c r="AN91" i="63" l="1" a="1"/>
  <c r="AN91" i="63" s="1"/>
  <c r="B93" i="65" s="1"/>
  <c r="N91" i="65"/>
  <c r="AM91" i="65"/>
  <c r="P91" i="65"/>
  <c r="D91" i="65"/>
  <c r="E91" i="65" s="1"/>
  <c r="F91" i="65" s="1"/>
  <c r="G91" i="65" s="1"/>
  <c r="H91" i="65" s="1"/>
  <c r="I91" i="65" s="1"/>
  <c r="J91" i="65" s="1"/>
  <c r="K91" i="65" s="1"/>
  <c r="Q90" i="65"/>
  <c r="AV90" i="65"/>
  <c r="R90" i="65"/>
  <c r="S90" i="65" s="1"/>
  <c r="Y90" i="65" s="1"/>
  <c r="AB90" i="65" s="1"/>
  <c r="AC90" i="65" s="1"/>
  <c r="AD90" i="65" s="1"/>
  <c r="AH90" i="65"/>
  <c r="AF90" i="65"/>
  <c r="U90" i="65"/>
  <c r="AE90" i="65"/>
  <c r="AG89" i="65"/>
  <c r="O92" i="65"/>
  <c r="L92" i="65"/>
  <c r="M92" i="65" s="1"/>
  <c r="C92" i="65"/>
  <c r="AN92" i="63" l="1" a="1"/>
  <c r="AN92" i="63" s="1"/>
  <c r="B94" i="65" s="1"/>
  <c r="D92" i="65"/>
  <c r="E92" i="65" s="1"/>
  <c r="F92" i="65" s="1"/>
  <c r="G92" i="65" s="1"/>
  <c r="H92" i="65" s="1"/>
  <c r="I92" i="65" s="1"/>
  <c r="J92" i="65" s="1"/>
  <c r="K92" i="65" s="1"/>
  <c r="AM92" i="65"/>
  <c r="P92" i="65"/>
  <c r="N92" i="65"/>
  <c r="AG90" i="65"/>
  <c r="Q91" i="65"/>
  <c r="R91" i="65"/>
  <c r="S91" i="65" s="1"/>
  <c r="Y91" i="65" s="1"/>
  <c r="AB91" i="65" s="1"/>
  <c r="AC91" i="65" s="1"/>
  <c r="AD91" i="65" s="1"/>
  <c r="AH91" i="65"/>
  <c r="AF91" i="65"/>
  <c r="AE91" i="65"/>
  <c r="AV91" i="65"/>
  <c r="U91" i="65"/>
  <c r="O93" i="65"/>
  <c r="C93" i="65"/>
  <c r="L93" i="65"/>
  <c r="M93" i="65" s="1"/>
  <c r="Q92" i="65" l="1"/>
  <c r="AF92" i="65"/>
  <c r="AE92" i="65"/>
  <c r="AV92" i="65"/>
  <c r="R92" i="65"/>
  <c r="S92" i="65" s="1"/>
  <c r="Y92" i="65" s="1"/>
  <c r="AB92" i="65" s="1"/>
  <c r="AC92" i="65" s="1"/>
  <c r="AD92" i="65" s="1"/>
  <c r="AH92" i="65"/>
  <c r="U92" i="65"/>
  <c r="AG91" i="65"/>
  <c r="C94" i="65"/>
  <c r="O94" i="65"/>
  <c r="L94" i="65"/>
  <c r="M94" i="65" s="1"/>
  <c r="D93" i="65"/>
  <c r="E93" i="65" s="1"/>
  <c r="F93" i="65" s="1"/>
  <c r="G93" i="65" s="1"/>
  <c r="H93" i="65" s="1"/>
  <c r="I93" i="65" s="1"/>
  <c r="J93" i="65" s="1"/>
  <c r="K93" i="65" s="1"/>
  <c r="P93" i="65"/>
  <c r="N93" i="65"/>
  <c r="AM93" i="65"/>
  <c r="AN93" i="63" a="1"/>
  <c r="AN93" i="63" s="1"/>
  <c r="B95" i="65" s="1"/>
  <c r="AN94" i="63" l="1" a="1"/>
  <c r="AN94" i="63" s="1"/>
  <c r="B96" i="65" s="1"/>
  <c r="U93" i="65"/>
  <c r="AF93" i="65"/>
  <c r="Q93" i="65"/>
  <c r="R93" i="65"/>
  <c r="S93" i="65" s="1"/>
  <c r="Y93" i="65" s="1"/>
  <c r="AB93" i="65" s="1"/>
  <c r="AC93" i="65" s="1"/>
  <c r="AD93" i="65" s="1"/>
  <c r="AE93" i="65"/>
  <c r="AH93" i="65"/>
  <c r="AV93" i="65"/>
  <c r="L95" i="65"/>
  <c r="M95" i="65" s="1"/>
  <c r="O95" i="65"/>
  <c r="C95" i="65"/>
  <c r="AM94" i="65"/>
  <c r="N94" i="65"/>
  <c r="P94" i="65"/>
  <c r="D94" i="65"/>
  <c r="E94" i="65" s="1"/>
  <c r="F94" i="65" s="1"/>
  <c r="G94" i="65" s="1"/>
  <c r="H94" i="65" s="1"/>
  <c r="I94" i="65" s="1"/>
  <c r="J94" i="65" s="1"/>
  <c r="K94" i="65" s="1"/>
  <c r="AG92" i="65"/>
  <c r="AV94" i="65" l="1"/>
  <c r="U94" i="65"/>
  <c r="AE94" i="65"/>
  <c r="Q94" i="65"/>
  <c r="AH94" i="65"/>
  <c r="AF94" i="65"/>
  <c r="R94" i="65"/>
  <c r="S94" i="65" s="1"/>
  <c r="Y94" i="65" s="1"/>
  <c r="AB94" i="65" s="1"/>
  <c r="AC94" i="65" s="1"/>
  <c r="AD94" i="65" s="1"/>
  <c r="AM95" i="65"/>
  <c r="D95" i="65"/>
  <c r="E95" i="65" s="1"/>
  <c r="F95" i="65" s="1"/>
  <c r="G95" i="65" s="1"/>
  <c r="H95" i="65" s="1"/>
  <c r="I95" i="65" s="1"/>
  <c r="J95" i="65" s="1"/>
  <c r="K95" i="65" s="1"/>
  <c r="P95" i="65"/>
  <c r="N95" i="65"/>
  <c r="AG93" i="65"/>
  <c r="L96" i="65"/>
  <c r="M96" i="65" s="1"/>
  <c r="O96" i="65"/>
  <c r="C96" i="65"/>
  <c r="AN95" i="63" a="1"/>
  <c r="AN95" i="63" s="1"/>
  <c r="B97" i="65" s="1"/>
  <c r="Q95" i="65" l="1"/>
  <c r="AF95" i="65"/>
  <c r="R95" i="65"/>
  <c r="S95" i="65" s="1"/>
  <c r="Y95" i="65" s="1"/>
  <c r="AB95" i="65" s="1"/>
  <c r="AC95" i="65" s="1"/>
  <c r="AD95" i="65" s="1"/>
  <c r="AE95" i="65"/>
  <c r="U95" i="65"/>
  <c r="AH95" i="65"/>
  <c r="AV95" i="65"/>
  <c r="L97" i="65"/>
  <c r="M97" i="65" s="1"/>
  <c r="O97" i="65"/>
  <c r="C97" i="65"/>
  <c r="AG94" i="65"/>
  <c r="P96" i="65"/>
  <c r="N96" i="65"/>
  <c r="AM96" i="65"/>
  <c r="D96" i="65"/>
  <c r="E96" i="65" s="1"/>
  <c r="F96" i="65" s="1"/>
  <c r="G96" i="65" s="1"/>
  <c r="H96" i="65" s="1"/>
  <c r="I96" i="65" s="1"/>
  <c r="J96" i="65" s="1"/>
  <c r="K96" i="65" s="1"/>
  <c r="AN96" i="63" a="1"/>
  <c r="AN96" i="63" s="1"/>
  <c r="B98" i="65" s="1"/>
  <c r="AN97" i="63" l="1" a="1"/>
  <c r="AN97" i="63" s="1"/>
  <c r="B99" i="65" s="1"/>
  <c r="AE96" i="65"/>
  <c r="U96" i="65"/>
  <c r="AH96" i="65"/>
  <c r="AV96" i="65"/>
  <c r="Q96" i="65"/>
  <c r="AF96" i="65"/>
  <c r="R96" i="65"/>
  <c r="S96" i="65" s="1"/>
  <c r="Y96" i="65" s="1"/>
  <c r="AB96" i="65" s="1"/>
  <c r="AC96" i="65" s="1"/>
  <c r="AD96" i="65" s="1"/>
  <c r="AM97" i="65"/>
  <c r="D97" i="65"/>
  <c r="E97" i="65" s="1"/>
  <c r="F97" i="65" s="1"/>
  <c r="G97" i="65" s="1"/>
  <c r="H97" i="65" s="1"/>
  <c r="I97" i="65" s="1"/>
  <c r="J97" i="65" s="1"/>
  <c r="K97" i="65" s="1"/>
  <c r="P97" i="65"/>
  <c r="N97" i="65"/>
  <c r="AG95" i="65"/>
  <c r="L98" i="65"/>
  <c r="M98" i="65" s="1"/>
  <c r="O98" i="65"/>
  <c r="C98" i="65"/>
  <c r="N98" i="65" l="1"/>
  <c r="AM98" i="65"/>
  <c r="D98" i="65"/>
  <c r="E98" i="65" s="1"/>
  <c r="F98" i="65" s="1"/>
  <c r="G98" i="65" s="1"/>
  <c r="H98" i="65" s="1"/>
  <c r="I98" i="65" s="1"/>
  <c r="J98" i="65" s="1"/>
  <c r="K98" i="65" s="1"/>
  <c r="P98" i="65"/>
  <c r="AH97" i="65"/>
  <c r="AE97" i="65"/>
  <c r="AV97" i="65"/>
  <c r="Q97" i="65"/>
  <c r="AF97" i="65"/>
  <c r="R97" i="65"/>
  <c r="S97" i="65" s="1"/>
  <c r="Y97" i="65" s="1"/>
  <c r="AB97" i="65" s="1"/>
  <c r="AC97" i="65" s="1"/>
  <c r="AD97" i="65" s="1"/>
  <c r="U97" i="65"/>
  <c r="AN98" i="63" a="1"/>
  <c r="AN98" i="63" s="1"/>
  <c r="B100" i="65" s="1"/>
  <c r="AG96" i="65"/>
  <c r="C99" i="65"/>
  <c r="L99" i="65"/>
  <c r="M99" i="65" s="1"/>
  <c r="O99" i="65"/>
  <c r="N99" i="65" l="1"/>
  <c r="AM99" i="65"/>
  <c r="D99" i="65"/>
  <c r="E99" i="65" s="1"/>
  <c r="F99" i="65" s="1"/>
  <c r="G99" i="65" s="1"/>
  <c r="H99" i="65" s="1"/>
  <c r="I99" i="65" s="1"/>
  <c r="J99" i="65" s="1"/>
  <c r="K99" i="65" s="1"/>
  <c r="P99" i="65"/>
  <c r="AN99" i="63" a="1"/>
  <c r="AN99" i="63" s="1"/>
  <c r="B101" i="65" s="1"/>
  <c r="C100" i="65"/>
  <c r="O100" i="65"/>
  <c r="L100" i="65"/>
  <c r="M100" i="65" s="1"/>
  <c r="AG97" i="65"/>
  <c r="Q98" i="65"/>
  <c r="AF98" i="65"/>
  <c r="AH98" i="65"/>
  <c r="AE98" i="65"/>
  <c r="R98" i="65"/>
  <c r="S98" i="65" s="1"/>
  <c r="Y98" i="65" s="1"/>
  <c r="AB98" i="65" s="1"/>
  <c r="AC98" i="65" s="1"/>
  <c r="AD98" i="65" s="1"/>
  <c r="AV98" i="65"/>
  <c r="U98" i="65"/>
  <c r="AG98" i="65" l="1"/>
  <c r="AN100" i="63" a="1"/>
  <c r="AN100" i="63" s="1"/>
  <c r="B102" i="65" s="1"/>
  <c r="P100" i="65"/>
  <c r="N100" i="65"/>
  <c r="D100" i="65"/>
  <c r="E100" i="65" s="1"/>
  <c r="F100" i="65" s="1"/>
  <c r="G100" i="65" s="1"/>
  <c r="H100" i="65" s="1"/>
  <c r="I100" i="65" s="1"/>
  <c r="J100" i="65" s="1"/>
  <c r="K100" i="65" s="1"/>
  <c r="AM100" i="65"/>
  <c r="O101" i="65"/>
  <c r="C101" i="65"/>
  <c r="L101" i="65"/>
  <c r="M101" i="65" s="1"/>
  <c r="AH99" i="65"/>
  <c r="AE99" i="65"/>
  <c r="AF99" i="65"/>
  <c r="U99" i="65"/>
  <c r="Q99" i="65"/>
  <c r="AV99" i="65"/>
  <c r="R99" i="65"/>
  <c r="S99" i="65" s="1"/>
  <c r="Y99" i="65" s="1"/>
  <c r="AB99" i="65" s="1"/>
  <c r="AC99" i="65" s="1"/>
  <c r="AD99" i="65" s="1"/>
  <c r="AG99" i="65" l="1"/>
  <c r="AM101" i="65"/>
  <c r="D101" i="65"/>
  <c r="E101" i="65" s="1"/>
  <c r="F101" i="65" s="1"/>
  <c r="G101" i="65" s="1"/>
  <c r="H101" i="65" s="1"/>
  <c r="I101" i="65" s="1"/>
  <c r="J101" i="65" s="1"/>
  <c r="K101" i="65" s="1"/>
  <c r="P101" i="65"/>
  <c r="N101" i="65"/>
  <c r="AV100" i="65"/>
  <c r="R100" i="65"/>
  <c r="S100" i="65" s="1"/>
  <c r="Y100" i="65" s="1"/>
  <c r="AB100" i="65" s="1"/>
  <c r="AC100" i="65" s="1"/>
  <c r="AD100" i="65" s="1"/>
  <c r="AF100" i="65"/>
  <c r="AE100" i="65"/>
  <c r="AH100" i="65"/>
  <c r="Q100" i="65"/>
  <c r="U100" i="65"/>
  <c r="C102" i="65"/>
  <c r="L102" i="65"/>
  <c r="M102" i="65" s="1"/>
  <c r="O102" i="65"/>
  <c r="AN101" i="63" a="1"/>
  <c r="AN101" i="63" s="1"/>
  <c r="B103" i="65" s="1"/>
  <c r="AG100" i="65" l="1"/>
  <c r="L103" i="65"/>
  <c r="M103" i="65" s="1"/>
  <c r="C103" i="65"/>
  <c r="O103" i="65"/>
  <c r="AN102" i="63" a="1"/>
  <c r="AN102" i="63" s="1"/>
  <c r="B104" i="65" s="1"/>
  <c r="N102" i="65"/>
  <c r="AM102" i="65"/>
  <c r="D102" i="65"/>
  <c r="E102" i="65" s="1"/>
  <c r="F102" i="65" s="1"/>
  <c r="G102" i="65" s="1"/>
  <c r="H102" i="65" s="1"/>
  <c r="I102" i="65" s="1"/>
  <c r="J102" i="65" s="1"/>
  <c r="K102" i="65" s="1"/>
  <c r="P102" i="65"/>
  <c r="AV101" i="65"/>
  <c r="R101" i="65"/>
  <c r="S101" i="65" s="1"/>
  <c r="Y101" i="65" s="1"/>
  <c r="AB101" i="65" s="1"/>
  <c r="AC101" i="65" s="1"/>
  <c r="AD101" i="65" s="1"/>
  <c r="U101" i="65"/>
  <c r="AE101" i="65"/>
  <c r="AF101" i="65"/>
  <c r="AH101" i="65"/>
  <c r="Q101" i="65"/>
  <c r="AG101" i="65" l="1"/>
  <c r="D103" i="65"/>
  <c r="E103" i="65" s="1"/>
  <c r="F103" i="65" s="1"/>
  <c r="G103" i="65" s="1"/>
  <c r="H103" i="65" s="1"/>
  <c r="I103" i="65" s="1"/>
  <c r="J103" i="65" s="1"/>
  <c r="K103" i="65" s="1"/>
  <c r="AM103" i="65"/>
  <c r="P103" i="65"/>
  <c r="N103" i="65"/>
  <c r="AN103" i="63" a="1"/>
  <c r="AN103" i="63" s="1"/>
  <c r="B105" i="65" s="1"/>
  <c r="Q102" i="65"/>
  <c r="AV102" i="65"/>
  <c r="AF102" i="65"/>
  <c r="AH102" i="65"/>
  <c r="U102" i="65"/>
  <c r="AE102" i="65"/>
  <c r="R102" i="65"/>
  <c r="S102" i="65" s="1"/>
  <c r="Y102" i="65" s="1"/>
  <c r="AB102" i="65" s="1"/>
  <c r="AC102" i="65" s="1"/>
  <c r="AD102" i="65" s="1"/>
  <c r="O104" i="65"/>
  <c r="L104" i="65"/>
  <c r="M104" i="65" s="1"/>
  <c r="C104" i="65"/>
  <c r="C105" i="65" l="1"/>
  <c r="L105" i="65"/>
  <c r="M105" i="65" s="1"/>
  <c r="O105" i="65"/>
  <c r="AN104" i="63" a="1"/>
  <c r="AN104" i="63" s="1"/>
  <c r="B106" i="65" s="1"/>
  <c r="AG102" i="65"/>
  <c r="U103" i="65"/>
  <c r="AV103" i="65"/>
  <c r="R103" i="65"/>
  <c r="S103" i="65" s="1"/>
  <c r="Y103" i="65" s="1"/>
  <c r="AB103" i="65" s="1"/>
  <c r="AC103" i="65" s="1"/>
  <c r="AD103" i="65" s="1"/>
  <c r="Q103" i="65"/>
  <c r="AE103" i="65"/>
  <c r="AF103" i="65"/>
  <c r="AH103" i="65"/>
  <c r="N104" i="65"/>
  <c r="P104" i="65"/>
  <c r="AM104" i="65"/>
  <c r="D104" i="65"/>
  <c r="E104" i="65" s="1"/>
  <c r="F104" i="65" s="1"/>
  <c r="G104" i="65" s="1"/>
  <c r="H104" i="65" s="1"/>
  <c r="I104" i="65" s="1"/>
  <c r="J104" i="65" s="1"/>
  <c r="K104" i="65" s="1"/>
  <c r="C106" i="65" l="1"/>
  <c r="O106" i="65"/>
  <c r="L106" i="65"/>
  <c r="M106" i="65" s="1"/>
  <c r="AG103" i="65"/>
  <c r="AN105" i="63" a="1"/>
  <c r="AN105" i="63" s="1"/>
  <c r="B107" i="65" s="1"/>
  <c r="U104" i="65"/>
  <c r="AH104" i="65"/>
  <c r="AF104" i="65"/>
  <c r="AE104" i="65"/>
  <c r="R104" i="65"/>
  <c r="S104" i="65" s="1"/>
  <c r="Y104" i="65" s="1"/>
  <c r="AB104" i="65" s="1"/>
  <c r="AC104" i="65" s="1"/>
  <c r="AD104" i="65" s="1"/>
  <c r="Q104" i="65"/>
  <c r="AV104" i="65"/>
  <c r="P105" i="65"/>
  <c r="N105" i="65"/>
  <c r="AM105" i="65"/>
  <c r="D105" i="65"/>
  <c r="E105" i="65" s="1"/>
  <c r="F105" i="65" s="1"/>
  <c r="G105" i="65" s="1"/>
  <c r="H105" i="65" s="1"/>
  <c r="I105" i="65" s="1"/>
  <c r="J105" i="65" s="1"/>
  <c r="K105" i="65" s="1"/>
  <c r="R105" i="65" l="1"/>
  <c r="S105" i="65" s="1"/>
  <c r="Y105" i="65" s="1"/>
  <c r="AB105" i="65" s="1"/>
  <c r="AC105" i="65" s="1"/>
  <c r="AD105" i="65" s="1"/>
  <c r="AV105" i="65"/>
  <c r="Q105" i="65"/>
  <c r="U105" i="65"/>
  <c r="AE105" i="65"/>
  <c r="AH105" i="65"/>
  <c r="AF105" i="65"/>
  <c r="O107" i="65"/>
  <c r="L107" i="65"/>
  <c r="M107" i="65" s="1"/>
  <c r="C107" i="65"/>
  <c r="AN106" i="63" a="1"/>
  <c r="AN106" i="63" s="1"/>
  <c r="B108" i="65" s="1"/>
  <c r="AG104" i="65"/>
  <c r="D106" i="65"/>
  <c r="E106" i="65" s="1"/>
  <c r="F106" i="65" s="1"/>
  <c r="G106" i="65" s="1"/>
  <c r="H106" i="65" s="1"/>
  <c r="I106" i="65" s="1"/>
  <c r="J106" i="65" s="1"/>
  <c r="K106" i="65" s="1"/>
  <c r="P106" i="65"/>
  <c r="N106" i="65"/>
  <c r="AM106" i="65"/>
  <c r="AG105" i="65" l="1"/>
  <c r="AV106" i="65"/>
  <c r="AH106" i="65"/>
  <c r="Q106" i="65"/>
  <c r="R106" i="65"/>
  <c r="S106" i="65" s="1"/>
  <c r="Y106" i="65" s="1"/>
  <c r="AB106" i="65" s="1"/>
  <c r="AC106" i="65" s="1"/>
  <c r="AD106" i="65" s="1"/>
  <c r="AF106" i="65"/>
  <c r="AE106" i="65"/>
  <c r="U106" i="65"/>
  <c r="D107" i="65"/>
  <c r="E107" i="65" s="1"/>
  <c r="F107" i="65" s="1"/>
  <c r="G107" i="65" s="1"/>
  <c r="H107" i="65" s="1"/>
  <c r="I107" i="65" s="1"/>
  <c r="J107" i="65" s="1"/>
  <c r="K107" i="65" s="1"/>
  <c r="AM107" i="65"/>
  <c r="N107" i="65"/>
  <c r="P107" i="65"/>
  <c r="L108" i="65"/>
  <c r="M108" i="65" s="1"/>
  <c r="C108" i="65"/>
  <c r="O108" i="65"/>
  <c r="AN107" i="63" a="1"/>
  <c r="AN107" i="63" s="1"/>
  <c r="B109" i="65" s="1"/>
  <c r="AN108" i="63" l="1" a="1"/>
  <c r="AN108" i="63" s="1"/>
  <c r="B110" i="65" s="1"/>
  <c r="AE107" i="65"/>
  <c r="R107" i="65"/>
  <c r="S107" i="65" s="1"/>
  <c r="Y107" i="65" s="1"/>
  <c r="AB107" i="65" s="1"/>
  <c r="AC107" i="65" s="1"/>
  <c r="AD107" i="65" s="1"/>
  <c r="Q107" i="65"/>
  <c r="AF107" i="65"/>
  <c r="U107" i="65"/>
  <c r="AH107" i="65"/>
  <c r="AV107" i="65"/>
  <c r="D108" i="65"/>
  <c r="E108" i="65" s="1"/>
  <c r="F108" i="65" s="1"/>
  <c r="G108" i="65" s="1"/>
  <c r="H108" i="65" s="1"/>
  <c r="I108" i="65" s="1"/>
  <c r="J108" i="65" s="1"/>
  <c r="K108" i="65" s="1"/>
  <c r="N108" i="65"/>
  <c r="AM108" i="65"/>
  <c r="P108" i="65"/>
  <c r="L109" i="65"/>
  <c r="M109" i="65" s="1"/>
  <c r="O109" i="65"/>
  <c r="C109" i="65"/>
  <c r="AG106" i="65"/>
  <c r="AG107" i="65" l="1"/>
  <c r="P109" i="65"/>
  <c r="N109" i="65"/>
  <c r="D109" i="65"/>
  <c r="E109" i="65" s="1"/>
  <c r="F109" i="65" s="1"/>
  <c r="G109" i="65" s="1"/>
  <c r="H109" i="65" s="1"/>
  <c r="I109" i="65" s="1"/>
  <c r="J109" i="65" s="1"/>
  <c r="K109" i="65" s="1"/>
  <c r="AM109" i="65"/>
  <c r="AE108" i="65"/>
  <c r="Q108" i="65"/>
  <c r="R108" i="65"/>
  <c r="S108" i="65" s="1"/>
  <c r="Y108" i="65" s="1"/>
  <c r="AB108" i="65" s="1"/>
  <c r="AC108" i="65" s="1"/>
  <c r="AD108" i="65" s="1"/>
  <c r="AH108" i="65"/>
  <c r="U108" i="65"/>
  <c r="AF108" i="65"/>
  <c r="AV108" i="65"/>
  <c r="AN109" i="63" a="1"/>
  <c r="AN109" i="63" s="1"/>
  <c r="B111" i="65" s="1"/>
  <c r="O110" i="65"/>
  <c r="C110" i="65"/>
  <c r="L110" i="65"/>
  <c r="M110" i="65" s="1"/>
  <c r="N110" i="65" l="1"/>
  <c r="AM110" i="65"/>
  <c r="D110" i="65"/>
  <c r="E110" i="65" s="1"/>
  <c r="F110" i="65" s="1"/>
  <c r="G110" i="65" s="1"/>
  <c r="H110" i="65" s="1"/>
  <c r="I110" i="65" s="1"/>
  <c r="J110" i="65" s="1"/>
  <c r="K110" i="65" s="1"/>
  <c r="P110" i="65"/>
  <c r="AG108" i="65"/>
  <c r="AN110" i="63" a="1"/>
  <c r="AN110" i="63" s="1"/>
  <c r="B112" i="65" s="1"/>
  <c r="AE109" i="65"/>
  <c r="AV109" i="65"/>
  <c r="Q109" i="65"/>
  <c r="AF109" i="65"/>
  <c r="U109" i="65"/>
  <c r="R109" i="65"/>
  <c r="S109" i="65" s="1"/>
  <c r="Y109" i="65" s="1"/>
  <c r="AB109" i="65" s="1"/>
  <c r="AC109" i="65" s="1"/>
  <c r="AD109" i="65" s="1"/>
  <c r="AH109" i="65"/>
  <c r="O111" i="65"/>
  <c r="L111" i="65"/>
  <c r="M111" i="65" s="1"/>
  <c r="C111" i="65"/>
  <c r="C112" i="65" l="1"/>
  <c r="L112" i="65"/>
  <c r="M112" i="65" s="1"/>
  <c r="O112" i="65"/>
  <c r="AN111" i="63" a="1"/>
  <c r="AN111" i="63" s="1"/>
  <c r="B113" i="65" s="1"/>
  <c r="AG109" i="65"/>
  <c r="AM111" i="65"/>
  <c r="P111" i="65"/>
  <c r="N111" i="65"/>
  <c r="D111" i="65"/>
  <c r="E111" i="65" s="1"/>
  <c r="F111" i="65" s="1"/>
  <c r="G111" i="65" s="1"/>
  <c r="H111" i="65" s="1"/>
  <c r="I111" i="65" s="1"/>
  <c r="J111" i="65" s="1"/>
  <c r="K111" i="65" s="1"/>
  <c r="AE110" i="65"/>
  <c r="AF110" i="65"/>
  <c r="U110" i="65"/>
  <c r="AV110" i="65"/>
  <c r="R110" i="65"/>
  <c r="S110" i="65" s="1"/>
  <c r="Y110" i="65" s="1"/>
  <c r="AB110" i="65" s="1"/>
  <c r="AC110" i="65" s="1"/>
  <c r="AD110" i="65" s="1"/>
  <c r="AH110" i="65"/>
  <c r="Q110" i="65"/>
  <c r="AN112" i="63" l="1" a="1"/>
  <c r="AN112" i="63" s="1"/>
  <c r="B114" i="65" s="1"/>
  <c r="D112" i="65"/>
  <c r="E112" i="65" s="1"/>
  <c r="F112" i="65" s="1"/>
  <c r="G112" i="65" s="1"/>
  <c r="H112" i="65" s="1"/>
  <c r="I112" i="65" s="1"/>
  <c r="J112" i="65" s="1"/>
  <c r="K112" i="65" s="1"/>
  <c r="P112" i="65"/>
  <c r="N112" i="65"/>
  <c r="AM112" i="65"/>
  <c r="O113" i="65"/>
  <c r="L113" i="65"/>
  <c r="M113" i="65" s="1"/>
  <c r="C113" i="65"/>
  <c r="AF111" i="65"/>
  <c r="Q111" i="65"/>
  <c r="AV111" i="65"/>
  <c r="AE111" i="65"/>
  <c r="AH111" i="65"/>
  <c r="U111" i="65"/>
  <c r="R111" i="65"/>
  <c r="S111" i="65" s="1"/>
  <c r="Y111" i="65" s="1"/>
  <c r="AB111" i="65" s="1"/>
  <c r="AC111" i="65" s="1"/>
  <c r="AD111" i="65" s="1"/>
  <c r="AG110" i="65"/>
  <c r="AG111" i="65" l="1"/>
  <c r="AN113" i="63" a="1"/>
  <c r="AN113" i="63" s="1"/>
  <c r="B115" i="65" s="1"/>
  <c r="N113" i="65"/>
  <c r="P113" i="65"/>
  <c r="D113" i="65"/>
  <c r="E113" i="65" s="1"/>
  <c r="F113" i="65" s="1"/>
  <c r="G113" i="65" s="1"/>
  <c r="H113" i="65" s="1"/>
  <c r="I113" i="65" s="1"/>
  <c r="J113" i="65" s="1"/>
  <c r="K113" i="65" s="1"/>
  <c r="AM113" i="65"/>
  <c r="AE112" i="65"/>
  <c r="AF112" i="65"/>
  <c r="Q112" i="65"/>
  <c r="AH112" i="65"/>
  <c r="AV112" i="65"/>
  <c r="R112" i="65"/>
  <c r="S112" i="65" s="1"/>
  <c r="Y112" i="65" s="1"/>
  <c r="AB112" i="65" s="1"/>
  <c r="AC112" i="65" s="1"/>
  <c r="AD112" i="65" s="1"/>
  <c r="U112" i="65"/>
  <c r="O114" i="65"/>
  <c r="C114" i="65"/>
  <c r="L114" i="65"/>
  <c r="M114" i="65" s="1"/>
  <c r="AN114" i="63" l="1" a="1"/>
  <c r="AN114" i="63" s="1"/>
  <c r="B116" i="65" s="1"/>
  <c r="AM114" i="65"/>
  <c r="P114" i="65"/>
  <c r="D114" i="65"/>
  <c r="E114" i="65" s="1"/>
  <c r="F114" i="65" s="1"/>
  <c r="G114" i="65" s="1"/>
  <c r="H114" i="65" s="1"/>
  <c r="I114" i="65" s="1"/>
  <c r="J114" i="65" s="1"/>
  <c r="K114" i="65" s="1"/>
  <c r="N114" i="65"/>
  <c r="AG112" i="65"/>
  <c r="U113" i="65"/>
  <c r="AV113" i="65"/>
  <c r="AH113" i="65"/>
  <c r="AF113" i="65"/>
  <c r="AE113" i="65"/>
  <c r="R113" i="65"/>
  <c r="S113" i="65" s="1"/>
  <c r="Y113" i="65" s="1"/>
  <c r="AB113" i="65" s="1"/>
  <c r="AC113" i="65" s="1"/>
  <c r="AD113" i="65" s="1"/>
  <c r="Q113" i="65"/>
  <c r="L115" i="65"/>
  <c r="M115" i="65" s="1"/>
  <c r="C115" i="65"/>
  <c r="O115" i="65"/>
  <c r="AH114" i="65" l="1"/>
  <c r="AF114" i="65"/>
  <c r="Q114" i="65"/>
  <c r="AV114" i="65"/>
  <c r="U114" i="65"/>
  <c r="R114" i="65"/>
  <c r="S114" i="65" s="1"/>
  <c r="Y114" i="65" s="1"/>
  <c r="AB114" i="65" s="1"/>
  <c r="AC114" i="65" s="1"/>
  <c r="AD114" i="65" s="1"/>
  <c r="AE114" i="65"/>
  <c r="N115" i="65"/>
  <c r="P115" i="65"/>
  <c r="D115" i="65"/>
  <c r="E115" i="65" s="1"/>
  <c r="F115" i="65" s="1"/>
  <c r="G115" i="65" s="1"/>
  <c r="H115" i="65" s="1"/>
  <c r="I115" i="65" s="1"/>
  <c r="J115" i="65" s="1"/>
  <c r="K115" i="65" s="1"/>
  <c r="AM115" i="65"/>
  <c r="AG113" i="65"/>
  <c r="L116" i="65"/>
  <c r="M116" i="65" s="1"/>
  <c r="C116" i="65"/>
  <c r="O116" i="65"/>
  <c r="AN115" i="63" a="1"/>
  <c r="AN115" i="63" s="1"/>
  <c r="B117" i="65" s="1"/>
  <c r="L117" i="65" l="1"/>
  <c r="M117" i="65" s="1"/>
  <c r="O117" i="65"/>
  <c r="C117" i="65"/>
  <c r="AH115" i="65"/>
  <c r="AV115" i="65"/>
  <c r="R115" i="65"/>
  <c r="S115" i="65" s="1"/>
  <c r="Y115" i="65" s="1"/>
  <c r="AB115" i="65" s="1"/>
  <c r="AC115" i="65" s="1"/>
  <c r="AD115" i="65" s="1"/>
  <c r="AF115" i="65"/>
  <c r="U115" i="65"/>
  <c r="AE115" i="65"/>
  <c r="Q115" i="65"/>
  <c r="D116" i="65"/>
  <c r="E116" i="65" s="1"/>
  <c r="F116" i="65" s="1"/>
  <c r="G116" i="65" s="1"/>
  <c r="H116" i="65" s="1"/>
  <c r="I116" i="65" s="1"/>
  <c r="J116" i="65" s="1"/>
  <c r="K116" i="65" s="1"/>
  <c r="P116" i="65"/>
  <c r="AM116" i="65"/>
  <c r="N116" i="65"/>
  <c r="AG114" i="65"/>
  <c r="AN116" i="63" a="1"/>
  <c r="AN116" i="63" s="1"/>
  <c r="B118" i="65" s="1"/>
  <c r="AN117" i="63" l="1" a="1"/>
  <c r="AN117" i="63" s="1"/>
  <c r="B119" i="65" s="1"/>
  <c r="AG115" i="65"/>
  <c r="P117" i="65"/>
  <c r="D117" i="65"/>
  <c r="E117" i="65" s="1"/>
  <c r="F117" i="65" s="1"/>
  <c r="G117" i="65" s="1"/>
  <c r="H117" i="65" s="1"/>
  <c r="I117" i="65" s="1"/>
  <c r="J117" i="65" s="1"/>
  <c r="K117" i="65" s="1"/>
  <c r="N117" i="65"/>
  <c r="AM117" i="65"/>
  <c r="AH116" i="65"/>
  <c r="AE116" i="65"/>
  <c r="AF116" i="65"/>
  <c r="R116" i="65"/>
  <c r="S116" i="65" s="1"/>
  <c r="Y116" i="65" s="1"/>
  <c r="AB116" i="65" s="1"/>
  <c r="AC116" i="65" s="1"/>
  <c r="AD116" i="65" s="1"/>
  <c r="Q116" i="65"/>
  <c r="U116" i="65"/>
  <c r="AV116" i="65"/>
  <c r="L118" i="65"/>
  <c r="M118" i="65" s="1"/>
  <c r="C118" i="65"/>
  <c r="O118" i="65"/>
  <c r="U117" i="65" l="1"/>
  <c r="AV117" i="65"/>
  <c r="AH117" i="65"/>
  <c r="AF117" i="65"/>
  <c r="R117" i="65"/>
  <c r="S117" i="65" s="1"/>
  <c r="Y117" i="65" s="1"/>
  <c r="AB117" i="65" s="1"/>
  <c r="AC117" i="65" s="1"/>
  <c r="AD117" i="65" s="1"/>
  <c r="AE117" i="65"/>
  <c r="Q117" i="65"/>
  <c r="AM118" i="65"/>
  <c r="P118" i="65"/>
  <c r="D118" i="65"/>
  <c r="E118" i="65" s="1"/>
  <c r="F118" i="65" s="1"/>
  <c r="G118" i="65" s="1"/>
  <c r="H118" i="65" s="1"/>
  <c r="I118" i="65" s="1"/>
  <c r="J118" i="65" s="1"/>
  <c r="K118" i="65" s="1"/>
  <c r="N118" i="65"/>
  <c r="AG116" i="65"/>
  <c r="AN118" i="63" a="1"/>
  <c r="AN118" i="63" s="1"/>
  <c r="B120" i="65" s="1"/>
  <c r="O119" i="65"/>
  <c r="L119" i="65"/>
  <c r="M119" i="65" s="1"/>
  <c r="C119" i="65"/>
  <c r="AV118" i="65" l="1"/>
  <c r="U118" i="65"/>
  <c r="R118" i="65"/>
  <c r="S118" i="65" s="1"/>
  <c r="Y118" i="65" s="1"/>
  <c r="AB118" i="65" s="1"/>
  <c r="AC118" i="65" s="1"/>
  <c r="AD118" i="65" s="1"/>
  <c r="AE118" i="65"/>
  <c r="AF118" i="65"/>
  <c r="AH118" i="65"/>
  <c r="Q118" i="65"/>
  <c r="AN119" i="63" a="1"/>
  <c r="AN119" i="63" s="1"/>
  <c r="B121" i="65" s="1"/>
  <c r="AG117" i="65"/>
  <c r="C120" i="65"/>
  <c r="O120" i="65"/>
  <c r="L120" i="65"/>
  <c r="M120" i="65" s="1"/>
  <c r="D119" i="65"/>
  <c r="E119" i="65" s="1"/>
  <c r="F119" i="65" s="1"/>
  <c r="G119" i="65" s="1"/>
  <c r="H119" i="65" s="1"/>
  <c r="I119" i="65" s="1"/>
  <c r="J119" i="65" s="1"/>
  <c r="K119" i="65" s="1"/>
  <c r="P119" i="65"/>
  <c r="N119" i="65"/>
  <c r="AM119" i="65"/>
  <c r="L121" i="65" l="1"/>
  <c r="M121" i="65" s="1"/>
  <c r="C121" i="65"/>
  <c r="O121" i="65"/>
  <c r="R119" i="65"/>
  <c r="S119" i="65" s="1"/>
  <c r="Y119" i="65" s="1"/>
  <c r="AB119" i="65" s="1"/>
  <c r="AC119" i="65" s="1"/>
  <c r="AD119" i="65" s="1"/>
  <c r="U119" i="65"/>
  <c r="AF119" i="65"/>
  <c r="AH119" i="65"/>
  <c r="AV119" i="65"/>
  <c r="AE119" i="65"/>
  <c r="Q119" i="65"/>
  <c r="AN120" i="63" a="1"/>
  <c r="AN120" i="63" s="1"/>
  <c r="B122" i="65" s="1"/>
  <c r="N120" i="65"/>
  <c r="D120" i="65"/>
  <c r="E120" i="65" s="1"/>
  <c r="F120" i="65" s="1"/>
  <c r="G120" i="65" s="1"/>
  <c r="H120" i="65" s="1"/>
  <c r="I120" i="65" s="1"/>
  <c r="J120" i="65" s="1"/>
  <c r="K120" i="65" s="1"/>
  <c r="AM120" i="65"/>
  <c r="P120" i="65"/>
  <c r="AG118" i="65"/>
  <c r="C122" i="65" l="1"/>
  <c r="L122" i="65"/>
  <c r="M122" i="65" s="1"/>
  <c r="O122" i="65"/>
  <c r="AG119" i="65"/>
  <c r="D121" i="65"/>
  <c r="E121" i="65" s="1"/>
  <c r="F121" i="65" s="1"/>
  <c r="G121" i="65" s="1"/>
  <c r="H121" i="65" s="1"/>
  <c r="I121" i="65" s="1"/>
  <c r="J121" i="65" s="1"/>
  <c r="K121" i="65" s="1"/>
  <c r="N121" i="65"/>
  <c r="AM121" i="65"/>
  <c r="P121" i="65"/>
  <c r="AN121" i="63" a="1"/>
  <c r="AN121" i="63" s="1"/>
  <c r="B123" i="65" s="1"/>
  <c r="Q120" i="65"/>
  <c r="AE120" i="65"/>
  <c r="R120" i="65"/>
  <c r="S120" i="65" s="1"/>
  <c r="Y120" i="65" s="1"/>
  <c r="AB120" i="65" s="1"/>
  <c r="AC120" i="65" s="1"/>
  <c r="AD120" i="65" s="1"/>
  <c r="U120" i="65"/>
  <c r="AH120" i="65"/>
  <c r="AV120" i="65"/>
  <c r="AF120" i="65"/>
  <c r="L123" i="65" l="1"/>
  <c r="M123" i="65" s="1"/>
  <c r="C123" i="65"/>
  <c r="O123" i="65"/>
  <c r="AH121" i="65"/>
  <c r="Q121" i="65"/>
  <c r="U121" i="65"/>
  <c r="AE121" i="65"/>
  <c r="AV121" i="65"/>
  <c r="AF121" i="65"/>
  <c r="R121" i="65"/>
  <c r="S121" i="65" s="1"/>
  <c r="Y121" i="65" s="1"/>
  <c r="AB121" i="65" s="1"/>
  <c r="AC121" i="65" s="1"/>
  <c r="AD121" i="65" s="1"/>
  <c r="AG120" i="65"/>
  <c r="AM122" i="65"/>
  <c r="D122" i="65"/>
  <c r="E122" i="65" s="1"/>
  <c r="F122" i="65" s="1"/>
  <c r="G122" i="65" s="1"/>
  <c r="H122" i="65" s="1"/>
  <c r="I122" i="65" s="1"/>
  <c r="J122" i="65" s="1"/>
  <c r="K122" i="65" s="1"/>
  <c r="P122" i="65"/>
  <c r="N122" i="65"/>
  <c r="AN122" i="63" a="1"/>
  <c r="AN122" i="63" s="1"/>
  <c r="B124" i="65" s="1"/>
  <c r="L124" i="65" l="1"/>
  <c r="M124" i="65" s="1"/>
  <c r="O124" i="65"/>
  <c r="C124" i="65"/>
  <c r="AG121" i="65"/>
  <c r="AM123" i="65"/>
  <c r="D123" i="65"/>
  <c r="E123" i="65" s="1"/>
  <c r="F123" i="65" s="1"/>
  <c r="G123" i="65" s="1"/>
  <c r="H123" i="65" s="1"/>
  <c r="I123" i="65" s="1"/>
  <c r="J123" i="65" s="1"/>
  <c r="K123" i="65" s="1"/>
  <c r="N123" i="65"/>
  <c r="P123" i="65"/>
  <c r="AE122" i="65"/>
  <c r="AF122" i="65"/>
  <c r="AH122" i="65"/>
  <c r="AV122" i="65"/>
  <c r="Q122" i="65"/>
  <c r="R122" i="65"/>
  <c r="S122" i="65" s="1"/>
  <c r="Y122" i="65" s="1"/>
  <c r="AB122" i="65" s="1"/>
  <c r="AC122" i="65" s="1"/>
  <c r="AD122" i="65" s="1"/>
  <c r="U122" i="65"/>
  <c r="AN123" i="63" a="1"/>
  <c r="AN123" i="63" s="1"/>
  <c r="B125" i="65" s="1"/>
  <c r="AG122" i="65" l="1"/>
  <c r="L125" i="65"/>
  <c r="M125" i="65" s="1"/>
  <c r="O125" i="65"/>
  <c r="C125" i="65"/>
  <c r="Q123" i="65"/>
  <c r="AE123" i="65"/>
  <c r="U123" i="65"/>
  <c r="AH123" i="65"/>
  <c r="AF123" i="65"/>
  <c r="R123" i="65"/>
  <c r="S123" i="65" s="1"/>
  <c r="Y123" i="65" s="1"/>
  <c r="AB123" i="65" s="1"/>
  <c r="AC123" i="65" s="1"/>
  <c r="AD123" i="65" s="1"/>
  <c r="AV123" i="65"/>
  <c r="P124" i="65"/>
  <c r="AM124" i="65"/>
  <c r="D124" i="65"/>
  <c r="E124" i="65" s="1"/>
  <c r="F124" i="65" s="1"/>
  <c r="G124" i="65" s="1"/>
  <c r="H124" i="65" s="1"/>
  <c r="I124" i="65" s="1"/>
  <c r="J124" i="65" s="1"/>
  <c r="K124" i="65" s="1"/>
  <c r="N124" i="65"/>
  <c r="AN124" i="63" a="1"/>
  <c r="AN124" i="63" s="1"/>
  <c r="B126" i="65" s="1"/>
  <c r="AG123" i="65" l="1"/>
  <c r="AE124" i="65"/>
  <c r="AH124" i="65"/>
  <c r="U124" i="65"/>
  <c r="AV124" i="65"/>
  <c r="Q124" i="65"/>
  <c r="R124" i="65"/>
  <c r="S124" i="65" s="1"/>
  <c r="Y124" i="65" s="1"/>
  <c r="AB124" i="65" s="1"/>
  <c r="AC124" i="65" s="1"/>
  <c r="AD124" i="65" s="1"/>
  <c r="AF124" i="65"/>
  <c r="C126" i="65"/>
  <c r="O126" i="65"/>
  <c r="L126" i="65"/>
  <c r="M126" i="65" s="1"/>
  <c r="AN125" i="63" a="1"/>
  <c r="AN125" i="63" s="1"/>
  <c r="B127" i="65" s="1"/>
  <c r="D125" i="65"/>
  <c r="E125" i="65" s="1"/>
  <c r="F125" i="65" s="1"/>
  <c r="G125" i="65" s="1"/>
  <c r="H125" i="65" s="1"/>
  <c r="I125" i="65" s="1"/>
  <c r="J125" i="65" s="1"/>
  <c r="K125" i="65" s="1"/>
  <c r="AM125" i="65"/>
  <c r="N125" i="65"/>
  <c r="P125" i="65"/>
  <c r="AN126" i="63" l="1" a="1"/>
  <c r="AN126" i="63" s="1"/>
  <c r="B128" i="65" s="1"/>
  <c r="AG124" i="65"/>
  <c r="C127" i="65"/>
  <c r="O127" i="65"/>
  <c r="L127" i="65"/>
  <c r="M127" i="65" s="1"/>
  <c r="N126" i="65"/>
  <c r="AM126" i="65"/>
  <c r="D126" i="65"/>
  <c r="E126" i="65" s="1"/>
  <c r="F126" i="65" s="1"/>
  <c r="G126" i="65" s="1"/>
  <c r="H126" i="65" s="1"/>
  <c r="I126" i="65" s="1"/>
  <c r="J126" i="65" s="1"/>
  <c r="K126" i="65" s="1"/>
  <c r="P126" i="65"/>
  <c r="AF125" i="65"/>
  <c r="AE125" i="65"/>
  <c r="AH125" i="65"/>
  <c r="U125" i="65"/>
  <c r="AV125" i="65"/>
  <c r="R125" i="65"/>
  <c r="S125" i="65" s="1"/>
  <c r="Y125" i="65" s="1"/>
  <c r="AB125" i="65" s="1"/>
  <c r="AC125" i="65" s="1"/>
  <c r="AD125" i="65" s="1"/>
  <c r="Q125" i="65"/>
  <c r="AN127" i="63" l="1" a="1"/>
  <c r="AN127" i="63" s="1"/>
  <c r="B129" i="65" s="1"/>
  <c r="AG125" i="65"/>
  <c r="P127" i="65"/>
  <c r="D127" i="65"/>
  <c r="E127" i="65" s="1"/>
  <c r="F127" i="65" s="1"/>
  <c r="G127" i="65" s="1"/>
  <c r="H127" i="65" s="1"/>
  <c r="I127" i="65" s="1"/>
  <c r="J127" i="65" s="1"/>
  <c r="K127" i="65" s="1"/>
  <c r="N127" i="65"/>
  <c r="AM127" i="65"/>
  <c r="AV126" i="65"/>
  <c r="AF126" i="65"/>
  <c r="R126" i="65"/>
  <c r="S126" i="65" s="1"/>
  <c r="Y126" i="65" s="1"/>
  <c r="AB126" i="65" s="1"/>
  <c r="AC126" i="65" s="1"/>
  <c r="AD126" i="65" s="1"/>
  <c r="Q126" i="65"/>
  <c r="U126" i="65"/>
  <c r="AH126" i="65"/>
  <c r="AE126" i="65"/>
  <c r="L128" i="65"/>
  <c r="M128" i="65" s="1"/>
  <c r="O128" i="65"/>
  <c r="C128" i="65"/>
  <c r="AG126" i="65" l="1"/>
  <c r="AN128" i="63" a="1"/>
  <c r="AN128" i="63" s="1"/>
  <c r="B130" i="65" s="1"/>
  <c r="AM128" i="65"/>
  <c r="D128" i="65"/>
  <c r="E128" i="65" s="1"/>
  <c r="F128" i="65" s="1"/>
  <c r="G128" i="65" s="1"/>
  <c r="H128" i="65" s="1"/>
  <c r="I128" i="65" s="1"/>
  <c r="J128" i="65" s="1"/>
  <c r="K128" i="65" s="1"/>
  <c r="P128" i="65"/>
  <c r="N128" i="65"/>
  <c r="Q127" i="65"/>
  <c r="U127" i="65"/>
  <c r="AH127" i="65"/>
  <c r="AF127" i="65"/>
  <c r="AV127" i="65"/>
  <c r="AE127" i="65"/>
  <c r="R127" i="65"/>
  <c r="S127" i="65" s="1"/>
  <c r="Y127" i="65" s="1"/>
  <c r="AB127" i="65" s="1"/>
  <c r="AC127" i="65" s="1"/>
  <c r="AD127" i="65" s="1"/>
  <c r="O129" i="65"/>
  <c r="L129" i="65"/>
  <c r="M129" i="65" s="1"/>
  <c r="C129" i="65"/>
  <c r="D129" i="65" l="1"/>
  <c r="E129" i="65" s="1"/>
  <c r="F129" i="65" s="1"/>
  <c r="G129" i="65" s="1"/>
  <c r="H129" i="65" s="1"/>
  <c r="I129" i="65" s="1"/>
  <c r="J129" i="65" s="1"/>
  <c r="K129" i="65" s="1"/>
  <c r="AM129" i="65"/>
  <c r="P129" i="65"/>
  <c r="N129" i="65"/>
  <c r="AN129" i="63" a="1"/>
  <c r="AN129" i="63" s="1"/>
  <c r="B131" i="65" s="1"/>
  <c r="AG127" i="65"/>
  <c r="AV128" i="65"/>
  <c r="AF128" i="65"/>
  <c r="AH128" i="65"/>
  <c r="R128" i="65"/>
  <c r="S128" i="65" s="1"/>
  <c r="Y128" i="65" s="1"/>
  <c r="AB128" i="65" s="1"/>
  <c r="AC128" i="65" s="1"/>
  <c r="AD128" i="65" s="1"/>
  <c r="Q128" i="65"/>
  <c r="AE128" i="65"/>
  <c r="U128" i="65"/>
  <c r="O130" i="65"/>
  <c r="C130" i="65"/>
  <c r="L130" i="65"/>
  <c r="M130" i="65" s="1"/>
  <c r="AN130" i="63" l="1" a="1"/>
  <c r="AN130" i="63" s="1"/>
  <c r="B132" i="65" s="1"/>
  <c r="L131" i="65"/>
  <c r="M131" i="65" s="1"/>
  <c r="O131" i="65"/>
  <c r="C131" i="65"/>
  <c r="AV129" i="65"/>
  <c r="R129" i="65"/>
  <c r="S129" i="65" s="1"/>
  <c r="Y129" i="65" s="1"/>
  <c r="AB129" i="65" s="1"/>
  <c r="AC129" i="65" s="1"/>
  <c r="AD129" i="65" s="1"/>
  <c r="Q129" i="65"/>
  <c r="AH129" i="65"/>
  <c r="AF129" i="65"/>
  <c r="U129" i="65"/>
  <c r="AE129" i="65"/>
  <c r="AG128" i="65"/>
  <c r="N130" i="65"/>
  <c r="AM130" i="65"/>
  <c r="P130" i="65"/>
  <c r="D130" i="65"/>
  <c r="E130" i="65" s="1"/>
  <c r="F130" i="65" s="1"/>
  <c r="G130" i="65" s="1"/>
  <c r="H130" i="65" s="1"/>
  <c r="I130" i="65" s="1"/>
  <c r="J130" i="65" s="1"/>
  <c r="K130" i="65" s="1"/>
  <c r="AG129" i="65" l="1"/>
  <c r="C132" i="65"/>
  <c r="L132" i="65"/>
  <c r="M132" i="65" s="1"/>
  <c r="O132" i="65"/>
  <c r="N131" i="65"/>
  <c r="AM131" i="65"/>
  <c r="D131" i="65"/>
  <c r="E131" i="65" s="1"/>
  <c r="F131" i="65" s="1"/>
  <c r="G131" i="65" s="1"/>
  <c r="H131" i="65" s="1"/>
  <c r="I131" i="65" s="1"/>
  <c r="J131" i="65" s="1"/>
  <c r="K131" i="65" s="1"/>
  <c r="P131" i="65"/>
  <c r="AN131" i="63" a="1"/>
  <c r="AN131" i="63" s="1"/>
  <c r="B133" i="65" s="1"/>
  <c r="Q130" i="65"/>
  <c r="R130" i="65"/>
  <c r="S130" i="65" s="1"/>
  <c r="Y130" i="65" s="1"/>
  <c r="AB130" i="65" s="1"/>
  <c r="AC130" i="65" s="1"/>
  <c r="AD130" i="65" s="1"/>
  <c r="AV130" i="65"/>
  <c r="AF130" i="65"/>
  <c r="AH130" i="65"/>
  <c r="AE130" i="65"/>
  <c r="U130" i="65"/>
  <c r="AG130" i="65" l="1"/>
  <c r="AF131" i="65"/>
  <c r="R131" i="65"/>
  <c r="S131" i="65" s="1"/>
  <c r="Y131" i="65" s="1"/>
  <c r="AB131" i="65" s="1"/>
  <c r="AC131" i="65" s="1"/>
  <c r="AD131" i="65" s="1"/>
  <c r="U131" i="65"/>
  <c r="AH131" i="65"/>
  <c r="Q131" i="65"/>
  <c r="AE131" i="65"/>
  <c r="AV131" i="65"/>
  <c r="AN132" i="63" a="1"/>
  <c r="AN132" i="63" s="1"/>
  <c r="B134" i="65" s="1"/>
  <c r="O133" i="65"/>
  <c r="C133" i="65"/>
  <c r="L133" i="65"/>
  <c r="M133" i="65" s="1"/>
  <c r="N132" i="65"/>
  <c r="P132" i="65"/>
  <c r="AM132" i="65"/>
  <c r="D132" i="65"/>
  <c r="E132" i="65" s="1"/>
  <c r="F132" i="65" s="1"/>
  <c r="G132" i="65" s="1"/>
  <c r="H132" i="65" s="1"/>
  <c r="I132" i="65" s="1"/>
  <c r="J132" i="65" s="1"/>
  <c r="K132" i="65" s="1"/>
  <c r="AM133" i="65" l="1"/>
  <c r="D133" i="65"/>
  <c r="E133" i="65" s="1"/>
  <c r="F133" i="65" s="1"/>
  <c r="G133" i="65" s="1"/>
  <c r="H133" i="65" s="1"/>
  <c r="I133" i="65" s="1"/>
  <c r="J133" i="65" s="1"/>
  <c r="K133" i="65" s="1"/>
  <c r="P133" i="65"/>
  <c r="N133" i="65"/>
  <c r="C134" i="65"/>
  <c r="L134" i="65"/>
  <c r="M134" i="65" s="1"/>
  <c r="O134" i="65"/>
  <c r="AG131" i="65"/>
  <c r="Q132" i="65"/>
  <c r="AE132" i="65"/>
  <c r="AV132" i="65"/>
  <c r="AF132" i="65"/>
  <c r="AH132" i="65"/>
  <c r="R132" i="65"/>
  <c r="S132" i="65" s="1"/>
  <c r="Y132" i="65" s="1"/>
  <c r="AB132" i="65" s="1"/>
  <c r="AC132" i="65" s="1"/>
  <c r="AD132" i="65" s="1"/>
  <c r="U132" i="65"/>
  <c r="AN133" i="63" a="1"/>
  <c r="AN133" i="63" s="1"/>
  <c r="B135" i="65" s="1"/>
  <c r="AG132" i="65" l="1"/>
  <c r="L135" i="65"/>
  <c r="M135" i="65" s="1"/>
  <c r="O135" i="65"/>
  <c r="C135" i="65"/>
  <c r="Q133" i="65"/>
  <c r="U133" i="65"/>
  <c r="AH133" i="65"/>
  <c r="R133" i="65"/>
  <c r="S133" i="65" s="1"/>
  <c r="Y133" i="65" s="1"/>
  <c r="AB133" i="65" s="1"/>
  <c r="AC133" i="65" s="1"/>
  <c r="AD133" i="65" s="1"/>
  <c r="AF133" i="65"/>
  <c r="AV133" i="65"/>
  <c r="AE133" i="65"/>
  <c r="D134" i="65"/>
  <c r="E134" i="65" s="1"/>
  <c r="F134" i="65" s="1"/>
  <c r="G134" i="65" s="1"/>
  <c r="H134" i="65" s="1"/>
  <c r="I134" i="65" s="1"/>
  <c r="J134" i="65" s="1"/>
  <c r="K134" i="65" s="1"/>
  <c r="P134" i="65"/>
  <c r="N134" i="65"/>
  <c r="AM134" i="65"/>
  <c r="AN134" i="63" a="1"/>
  <c r="AN134" i="63" s="1"/>
  <c r="B136" i="65" s="1"/>
  <c r="L136" i="65" l="1"/>
  <c r="M136" i="65" s="1"/>
  <c r="O136" i="65"/>
  <c r="C136" i="65"/>
  <c r="AG133" i="65"/>
  <c r="N135" i="65"/>
  <c r="AM135" i="65"/>
  <c r="D135" i="65"/>
  <c r="E135" i="65" s="1"/>
  <c r="F135" i="65" s="1"/>
  <c r="G135" i="65" s="1"/>
  <c r="H135" i="65" s="1"/>
  <c r="I135" i="65" s="1"/>
  <c r="J135" i="65" s="1"/>
  <c r="K135" i="65" s="1"/>
  <c r="P135" i="65"/>
  <c r="U134" i="65"/>
  <c r="R134" i="65"/>
  <c r="S134" i="65" s="1"/>
  <c r="Y134" i="65" s="1"/>
  <c r="AB134" i="65" s="1"/>
  <c r="AC134" i="65" s="1"/>
  <c r="AD134" i="65" s="1"/>
  <c r="AV134" i="65"/>
  <c r="AF134" i="65"/>
  <c r="Q134" i="65"/>
  <c r="AE134" i="65"/>
  <c r="AH134" i="65"/>
  <c r="AN135" i="63" a="1"/>
  <c r="AN135" i="63" s="1"/>
  <c r="B137" i="65" s="1"/>
  <c r="AG134" i="65" l="1"/>
  <c r="O137" i="65"/>
  <c r="C137" i="65"/>
  <c r="L137" i="65"/>
  <c r="M137" i="65" s="1"/>
  <c r="P136" i="65"/>
  <c r="AM136" i="65"/>
  <c r="D136" i="65"/>
  <c r="E136" i="65" s="1"/>
  <c r="F136" i="65" s="1"/>
  <c r="G136" i="65" s="1"/>
  <c r="H136" i="65" s="1"/>
  <c r="I136" i="65" s="1"/>
  <c r="J136" i="65" s="1"/>
  <c r="K136" i="65" s="1"/>
  <c r="N136" i="65"/>
  <c r="AV135" i="65"/>
  <c r="AH135" i="65"/>
  <c r="R135" i="65"/>
  <c r="S135" i="65" s="1"/>
  <c r="Y135" i="65" s="1"/>
  <c r="AB135" i="65" s="1"/>
  <c r="AC135" i="65" s="1"/>
  <c r="AD135" i="65" s="1"/>
  <c r="U135" i="65"/>
  <c r="Q135" i="65"/>
  <c r="AF135" i="65"/>
  <c r="AE135" i="65"/>
  <c r="AN136" i="63" a="1"/>
  <c r="AN136" i="63" s="1"/>
  <c r="B138" i="65" s="1"/>
  <c r="C138" i="65" l="1"/>
  <c r="O138" i="65"/>
  <c r="L138" i="65"/>
  <c r="M138" i="65" s="1"/>
  <c r="AH136" i="65"/>
  <c r="AV136" i="65"/>
  <c r="R136" i="65"/>
  <c r="S136" i="65" s="1"/>
  <c r="Y136" i="65" s="1"/>
  <c r="AB136" i="65" s="1"/>
  <c r="AC136" i="65" s="1"/>
  <c r="AD136" i="65" s="1"/>
  <c r="Q136" i="65"/>
  <c r="AF136" i="65"/>
  <c r="U136" i="65"/>
  <c r="AE136" i="65"/>
  <c r="AG135" i="65"/>
  <c r="P137" i="65"/>
  <c r="N137" i="65"/>
  <c r="D137" i="65"/>
  <c r="E137" i="65" s="1"/>
  <c r="F137" i="65" s="1"/>
  <c r="G137" i="65" s="1"/>
  <c r="H137" i="65" s="1"/>
  <c r="I137" i="65" s="1"/>
  <c r="J137" i="65" s="1"/>
  <c r="K137" i="65" s="1"/>
  <c r="AM137" i="65"/>
  <c r="AN137" i="63" a="1"/>
  <c r="AN137" i="63" s="1"/>
  <c r="B139" i="65" s="1"/>
  <c r="AG136" i="65" l="1"/>
  <c r="AE137" i="65"/>
  <c r="AH137" i="65"/>
  <c r="Q137" i="65"/>
  <c r="U137" i="65"/>
  <c r="AV137" i="65"/>
  <c r="R137" i="65"/>
  <c r="S137" i="65" s="1"/>
  <c r="Y137" i="65" s="1"/>
  <c r="AB137" i="65" s="1"/>
  <c r="AC137" i="65" s="1"/>
  <c r="AD137" i="65" s="1"/>
  <c r="AF137" i="65"/>
  <c r="O139" i="65"/>
  <c r="C139" i="65"/>
  <c r="L139" i="65"/>
  <c r="M139" i="65" s="1"/>
  <c r="P138" i="65"/>
  <c r="AM138" i="65"/>
  <c r="N138" i="65"/>
  <c r="D138" i="65"/>
  <c r="E138" i="65" s="1"/>
  <c r="F138" i="65" s="1"/>
  <c r="G138" i="65" s="1"/>
  <c r="H138" i="65" s="1"/>
  <c r="I138" i="65" s="1"/>
  <c r="J138" i="65" s="1"/>
  <c r="K138" i="65" s="1"/>
  <c r="AN138" i="63" a="1"/>
  <c r="AN138" i="63" s="1"/>
  <c r="B140" i="65" s="1"/>
  <c r="O140" i="65" l="1"/>
  <c r="C140" i="65"/>
  <c r="L140" i="65"/>
  <c r="M140" i="65" s="1"/>
  <c r="AG137" i="65"/>
  <c r="AV138" i="65"/>
  <c r="Q138" i="65"/>
  <c r="R138" i="65"/>
  <c r="S138" i="65" s="1"/>
  <c r="Y138" i="65" s="1"/>
  <c r="AB138" i="65" s="1"/>
  <c r="AC138" i="65" s="1"/>
  <c r="AD138" i="65" s="1"/>
  <c r="AE138" i="65"/>
  <c r="U138" i="65"/>
  <c r="AH138" i="65"/>
  <c r="AF138" i="65"/>
  <c r="N139" i="65"/>
  <c r="D139" i="65"/>
  <c r="E139" i="65" s="1"/>
  <c r="F139" i="65" s="1"/>
  <c r="G139" i="65" s="1"/>
  <c r="H139" i="65" s="1"/>
  <c r="I139" i="65" s="1"/>
  <c r="J139" i="65" s="1"/>
  <c r="K139" i="65" s="1"/>
  <c r="P139" i="65"/>
  <c r="AM139" i="65"/>
  <c r="AN139" i="63" a="1"/>
  <c r="AN139" i="63" s="1"/>
  <c r="B141" i="65" s="1"/>
  <c r="L141" i="65" l="1"/>
  <c r="M141" i="65" s="1"/>
  <c r="C141" i="65"/>
  <c r="O141" i="65"/>
  <c r="AV139" i="65"/>
  <c r="AH139" i="65"/>
  <c r="AF139" i="65"/>
  <c r="U139" i="65"/>
  <c r="Q139" i="65"/>
  <c r="R139" i="65"/>
  <c r="S139" i="65" s="1"/>
  <c r="Y139" i="65" s="1"/>
  <c r="AB139" i="65" s="1"/>
  <c r="AC139" i="65" s="1"/>
  <c r="AD139" i="65" s="1"/>
  <c r="AE139" i="65"/>
  <c r="AG138" i="65"/>
  <c r="AN140" i="63" a="1"/>
  <c r="AN140" i="63" s="1"/>
  <c r="B142" i="65" s="1"/>
  <c r="N140" i="65"/>
  <c r="P140" i="65"/>
  <c r="AM140" i="65"/>
  <c r="D140" i="65"/>
  <c r="E140" i="65" s="1"/>
  <c r="F140" i="65" s="1"/>
  <c r="G140" i="65" s="1"/>
  <c r="H140" i="65" s="1"/>
  <c r="I140" i="65" s="1"/>
  <c r="J140" i="65" s="1"/>
  <c r="K140" i="65" s="1"/>
  <c r="AN141" i="63" l="1" a="1"/>
  <c r="AN141" i="63" s="1"/>
  <c r="B143" i="65" s="1"/>
  <c r="AF140" i="65"/>
  <c r="Q140" i="65"/>
  <c r="AH140" i="65"/>
  <c r="U140" i="65"/>
  <c r="AE140" i="65"/>
  <c r="AV140" i="65"/>
  <c r="R140" i="65"/>
  <c r="S140" i="65" s="1"/>
  <c r="Y140" i="65" s="1"/>
  <c r="AB140" i="65" s="1"/>
  <c r="AC140" i="65" s="1"/>
  <c r="AD140" i="65" s="1"/>
  <c r="AG139" i="65"/>
  <c r="P141" i="65"/>
  <c r="D141" i="65"/>
  <c r="E141" i="65" s="1"/>
  <c r="F141" i="65" s="1"/>
  <c r="G141" i="65" s="1"/>
  <c r="H141" i="65" s="1"/>
  <c r="I141" i="65" s="1"/>
  <c r="J141" i="65" s="1"/>
  <c r="K141" i="65" s="1"/>
  <c r="AM141" i="65"/>
  <c r="N141" i="65"/>
  <c r="L142" i="65"/>
  <c r="M142" i="65" s="1"/>
  <c r="C142" i="65"/>
  <c r="O142" i="65"/>
  <c r="D142" i="65" l="1"/>
  <c r="E142" i="65" s="1"/>
  <c r="F142" i="65" s="1"/>
  <c r="G142" i="65" s="1"/>
  <c r="H142" i="65" s="1"/>
  <c r="I142" i="65" s="1"/>
  <c r="J142" i="65" s="1"/>
  <c r="K142" i="65" s="1"/>
  <c r="AM142" i="65"/>
  <c r="P142" i="65"/>
  <c r="N142" i="65"/>
  <c r="AG140" i="65"/>
  <c r="L143" i="65"/>
  <c r="M143" i="65" s="1"/>
  <c r="O143" i="65"/>
  <c r="C143" i="65"/>
  <c r="AF141" i="65"/>
  <c r="U141" i="65"/>
  <c r="AE141" i="65"/>
  <c r="AH141" i="65"/>
  <c r="Q141" i="65"/>
  <c r="AV141" i="65"/>
  <c r="R141" i="65"/>
  <c r="S141" i="65" s="1"/>
  <c r="Y141" i="65" s="1"/>
  <c r="AB141" i="65" s="1"/>
  <c r="AC141" i="65" s="1"/>
  <c r="AD141" i="65" s="1"/>
  <c r="AN142" i="63" a="1"/>
  <c r="AN142" i="63" s="1"/>
  <c r="B144" i="65" s="1"/>
  <c r="AM143" i="65" l="1"/>
  <c r="D143" i="65"/>
  <c r="E143" i="65" s="1"/>
  <c r="F143" i="65" s="1"/>
  <c r="G143" i="65" s="1"/>
  <c r="H143" i="65" s="1"/>
  <c r="I143" i="65" s="1"/>
  <c r="J143" i="65" s="1"/>
  <c r="K143" i="65" s="1"/>
  <c r="N143" i="65"/>
  <c r="P143" i="65"/>
  <c r="AE142" i="65"/>
  <c r="AF142" i="65"/>
  <c r="AH142" i="65"/>
  <c r="U142" i="65"/>
  <c r="AV142" i="65"/>
  <c r="R142" i="65"/>
  <c r="S142" i="65" s="1"/>
  <c r="Y142" i="65" s="1"/>
  <c r="AB142" i="65" s="1"/>
  <c r="AC142" i="65" s="1"/>
  <c r="AD142" i="65" s="1"/>
  <c r="Q142" i="65"/>
  <c r="C144" i="65"/>
  <c r="O144" i="65"/>
  <c r="L144" i="65"/>
  <c r="M144" i="65" s="1"/>
  <c r="AG141" i="65"/>
  <c r="AN143" i="63" a="1"/>
  <c r="AN143" i="63" s="1"/>
  <c r="B145" i="65" s="1"/>
  <c r="L145" i="65" l="1"/>
  <c r="M145" i="65" s="1"/>
  <c r="C145" i="65"/>
  <c r="O145" i="65"/>
  <c r="P144" i="65"/>
  <c r="D144" i="65"/>
  <c r="E144" i="65" s="1"/>
  <c r="F144" i="65" s="1"/>
  <c r="G144" i="65" s="1"/>
  <c r="H144" i="65" s="1"/>
  <c r="I144" i="65" s="1"/>
  <c r="J144" i="65" s="1"/>
  <c r="K144" i="65" s="1"/>
  <c r="AM144" i="65"/>
  <c r="N144" i="65"/>
  <c r="AH143" i="65"/>
  <c r="R143" i="65"/>
  <c r="S143" i="65" s="1"/>
  <c r="Y143" i="65" s="1"/>
  <c r="AB143" i="65" s="1"/>
  <c r="AC143" i="65" s="1"/>
  <c r="AD143" i="65" s="1"/>
  <c r="AV143" i="65"/>
  <c r="AE143" i="65"/>
  <c r="Q143" i="65"/>
  <c r="AF143" i="65"/>
  <c r="U143" i="65"/>
  <c r="AG142" i="65"/>
  <c r="AN144" i="63" a="1"/>
  <c r="AN144" i="63" s="1"/>
  <c r="B146" i="65" s="1"/>
  <c r="AG143" i="65" l="1"/>
  <c r="AF144" i="65"/>
  <c r="AE144" i="65"/>
  <c r="R144" i="65"/>
  <c r="S144" i="65" s="1"/>
  <c r="Y144" i="65" s="1"/>
  <c r="AB144" i="65" s="1"/>
  <c r="AC144" i="65" s="1"/>
  <c r="AD144" i="65" s="1"/>
  <c r="Q144" i="65"/>
  <c r="AV144" i="65"/>
  <c r="AH144" i="65"/>
  <c r="U144" i="65"/>
  <c r="AN145" i="63" a="1"/>
  <c r="AN145" i="63" s="1"/>
  <c r="B147" i="65" s="1"/>
  <c r="AM145" i="65"/>
  <c r="D145" i="65"/>
  <c r="E145" i="65" s="1"/>
  <c r="F145" i="65" s="1"/>
  <c r="G145" i="65" s="1"/>
  <c r="H145" i="65" s="1"/>
  <c r="I145" i="65" s="1"/>
  <c r="J145" i="65" s="1"/>
  <c r="K145" i="65" s="1"/>
  <c r="P145" i="65"/>
  <c r="N145" i="65"/>
  <c r="L146" i="65"/>
  <c r="M146" i="65" s="1"/>
  <c r="O146" i="65"/>
  <c r="C146" i="65"/>
  <c r="O147" i="65" l="1"/>
  <c r="C147" i="65"/>
  <c r="L147" i="65"/>
  <c r="M147" i="65" s="1"/>
  <c r="P146" i="65"/>
  <c r="N146" i="65"/>
  <c r="AM146" i="65"/>
  <c r="D146" i="65"/>
  <c r="E146" i="65" s="1"/>
  <c r="F146" i="65" s="1"/>
  <c r="G146" i="65" s="1"/>
  <c r="H146" i="65" s="1"/>
  <c r="I146" i="65" s="1"/>
  <c r="J146" i="65" s="1"/>
  <c r="K146" i="65" s="1"/>
  <c r="AG144" i="65"/>
  <c r="R145" i="65"/>
  <c r="S145" i="65" s="1"/>
  <c r="Y145" i="65" s="1"/>
  <c r="AB145" i="65" s="1"/>
  <c r="AC145" i="65" s="1"/>
  <c r="AD145" i="65" s="1"/>
  <c r="AH145" i="65"/>
  <c r="AF145" i="65"/>
  <c r="Q145" i="65"/>
  <c r="AE145" i="65"/>
  <c r="U145" i="65"/>
  <c r="AV145" i="65"/>
  <c r="AN146" i="63" a="1"/>
  <c r="AN146" i="63" s="1"/>
  <c r="B148" i="65" s="1"/>
  <c r="AG145" i="65" l="1"/>
  <c r="O148" i="65"/>
  <c r="L148" i="65"/>
  <c r="M148" i="65" s="1"/>
  <c r="C148" i="65"/>
  <c r="N147" i="65"/>
  <c r="D147" i="65"/>
  <c r="E147" i="65" s="1"/>
  <c r="F147" i="65" s="1"/>
  <c r="G147" i="65" s="1"/>
  <c r="H147" i="65" s="1"/>
  <c r="I147" i="65" s="1"/>
  <c r="J147" i="65" s="1"/>
  <c r="K147" i="65" s="1"/>
  <c r="P147" i="65"/>
  <c r="AM147" i="65"/>
  <c r="AN147" i="63" a="1"/>
  <c r="AN147" i="63" s="1"/>
  <c r="B149" i="65" s="1"/>
  <c r="AH146" i="65"/>
  <c r="AV146" i="65"/>
  <c r="Q146" i="65"/>
  <c r="AE146" i="65"/>
  <c r="R146" i="65"/>
  <c r="S146" i="65" s="1"/>
  <c r="Y146" i="65" s="1"/>
  <c r="AB146" i="65" s="1"/>
  <c r="AC146" i="65" s="1"/>
  <c r="AD146" i="65" s="1"/>
  <c r="AF146" i="65"/>
  <c r="U146" i="65"/>
  <c r="AG146" i="65" l="1"/>
  <c r="L149" i="65"/>
  <c r="M149" i="65" s="1"/>
  <c r="O149" i="65"/>
  <c r="Q149" i="65"/>
  <c r="C149" i="65"/>
  <c r="U147" i="65"/>
  <c r="AF147" i="65"/>
  <c r="AE147" i="65"/>
  <c r="AV147" i="65"/>
  <c r="R147" i="65"/>
  <c r="S147" i="65" s="1"/>
  <c r="Y147" i="65" s="1"/>
  <c r="AB147" i="65" s="1"/>
  <c r="AC147" i="65" s="1"/>
  <c r="AD147" i="65" s="1"/>
  <c r="AH147" i="65"/>
  <c r="Q147" i="65"/>
  <c r="D148" i="65"/>
  <c r="E148" i="65" s="1"/>
  <c r="F148" i="65" s="1"/>
  <c r="G148" i="65" s="1"/>
  <c r="H148" i="65" s="1"/>
  <c r="I148" i="65" s="1"/>
  <c r="J148" i="65" s="1"/>
  <c r="K148" i="65" s="1"/>
  <c r="N148" i="65"/>
  <c r="AM148" i="65"/>
  <c r="P148" i="65"/>
  <c r="AN148" i="63" a="1"/>
  <c r="AN148" i="63" s="1"/>
  <c r="B150" i="65" s="1"/>
  <c r="AN149" i="63" l="1" a="1"/>
  <c r="AN149" i="63" s="1"/>
  <c r="B151" i="65" s="1"/>
  <c r="P149" i="65"/>
  <c r="D149" i="65"/>
  <c r="E149" i="65" s="1"/>
  <c r="F149" i="65" s="1"/>
  <c r="G149" i="65" s="1"/>
  <c r="H149" i="65" s="1"/>
  <c r="I149" i="65" s="1"/>
  <c r="J149" i="65" s="1"/>
  <c r="K149" i="65" s="1"/>
  <c r="AM149" i="65"/>
  <c r="AG147" i="65"/>
  <c r="O150" i="65"/>
  <c r="C150" i="65"/>
  <c r="L150" i="65"/>
  <c r="M150" i="65" s="1"/>
  <c r="R148" i="65"/>
  <c r="S148" i="65" s="1"/>
  <c r="Y148" i="65" s="1"/>
  <c r="AB148" i="65" s="1"/>
  <c r="AC148" i="65" s="1"/>
  <c r="AD148" i="65" s="1"/>
  <c r="AF148" i="65"/>
  <c r="AE148" i="65"/>
  <c r="Q148" i="65"/>
  <c r="AH148" i="65"/>
  <c r="AV148" i="65"/>
  <c r="U148" i="65"/>
  <c r="Y149" i="65" l="1"/>
  <c r="AB149" i="65" s="1"/>
  <c r="AC149" i="65" s="1"/>
  <c r="AF149" i="65" s="1"/>
  <c r="AG149" i="65" s="1"/>
  <c r="AN150" i="63" a="1"/>
  <c r="AN150" i="63" s="1"/>
  <c r="B152" i="65" s="1"/>
  <c r="D150" i="65"/>
  <c r="E150" i="65" s="1"/>
  <c r="F150" i="65" s="1"/>
  <c r="G150" i="65" s="1"/>
  <c r="H150" i="65" s="1"/>
  <c r="I150" i="65" s="1"/>
  <c r="J150" i="65" s="1"/>
  <c r="K150" i="65" s="1"/>
  <c r="AM150" i="65"/>
  <c r="N150" i="65"/>
  <c r="P150" i="65"/>
  <c r="AG148" i="65"/>
  <c r="L151" i="65"/>
  <c r="M151" i="65" s="1"/>
  <c r="O151" i="65"/>
  <c r="C151" i="65"/>
  <c r="AD149" i="65" l="1"/>
  <c r="AE150" i="65"/>
  <c r="AF150" i="65"/>
  <c r="R150" i="65"/>
  <c r="S150" i="65" s="1"/>
  <c r="Y150" i="65" s="1"/>
  <c r="AB150" i="65" s="1"/>
  <c r="AC150" i="65" s="1"/>
  <c r="AD150" i="65" s="1"/>
  <c r="U150" i="65"/>
  <c r="Q150" i="65"/>
  <c r="AV150" i="65"/>
  <c r="AH150" i="65"/>
  <c r="D151" i="65"/>
  <c r="E151" i="65" s="1"/>
  <c r="F151" i="65" s="1"/>
  <c r="G151" i="65" s="1"/>
  <c r="H151" i="65" s="1"/>
  <c r="I151" i="65" s="1"/>
  <c r="J151" i="65" s="1"/>
  <c r="K151" i="65" s="1"/>
  <c r="P151" i="65"/>
  <c r="N151" i="65"/>
  <c r="AM151" i="65"/>
  <c r="AN151" i="63" a="1"/>
  <c r="AN151" i="63" s="1"/>
  <c r="B153" i="65" s="1"/>
  <c r="O152" i="65"/>
  <c r="C152" i="65"/>
  <c r="L152" i="65"/>
  <c r="M152" i="65" s="1"/>
  <c r="D152" i="65" l="1"/>
  <c r="E152" i="65" s="1"/>
  <c r="F152" i="65" s="1"/>
  <c r="G152" i="65" s="1"/>
  <c r="H152" i="65" s="1"/>
  <c r="I152" i="65" s="1"/>
  <c r="J152" i="65" s="1"/>
  <c r="K152" i="65" s="1"/>
  <c r="N152" i="65"/>
  <c r="AM152" i="65"/>
  <c r="P152" i="65"/>
  <c r="AE151" i="65"/>
  <c r="R151" i="65"/>
  <c r="S151" i="65" s="1"/>
  <c r="Y151" i="65" s="1"/>
  <c r="AB151" i="65" s="1"/>
  <c r="AC151" i="65" s="1"/>
  <c r="AD151" i="65" s="1"/>
  <c r="Q151" i="65"/>
  <c r="AF151" i="65"/>
  <c r="U151" i="65"/>
  <c r="AH151" i="65"/>
  <c r="AV151" i="65"/>
  <c r="AG150" i="65"/>
  <c r="C153" i="65"/>
  <c r="L153" i="65"/>
  <c r="M153" i="65" s="1"/>
  <c r="O153" i="65"/>
  <c r="AN152" i="63" a="1"/>
  <c r="AN152" i="63" s="1"/>
  <c r="B154" i="65" s="1"/>
  <c r="AG151" i="65" l="1"/>
  <c r="AH152" i="65"/>
  <c r="Q152" i="65"/>
  <c r="R152" i="65"/>
  <c r="S152" i="65" s="1"/>
  <c r="Y152" i="65" s="1"/>
  <c r="AB152" i="65" s="1"/>
  <c r="AC152" i="65" s="1"/>
  <c r="AD152" i="65" s="1"/>
  <c r="AV152" i="65"/>
  <c r="U152" i="65"/>
  <c r="AF152" i="65"/>
  <c r="AE152" i="65"/>
  <c r="C154" i="65"/>
  <c r="O154" i="65"/>
  <c r="L154" i="65"/>
  <c r="M154" i="65" s="1"/>
  <c r="D153" i="65"/>
  <c r="E153" i="65" s="1"/>
  <c r="F153" i="65" s="1"/>
  <c r="G153" i="65" s="1"/>
  <c r="H153" i="65" s="1"/>
  <c r="I153" i="65" s="1"/>
  <c r="J153" i="65" s="1"/>
  <c r="K153" i="65" s="1"/>
  <c r="P153" i="65"/>
  <c r="N153" i="65"/>
  <c r="AM153" i="65"/>
  <c r="AN153" i="63" a="1"/>
  <c r="AN153" i="63" s="1"/>
  <c r="B155" i="65" s="1"/>
  <c r="AN154" i="63" l="1" a="1"/>
  <c r="AN154" i="63" s="1"/>
  <c r="B156" i="65" s="1"/>
  <c r="AM154" i="65"/>
  <c r="D154" i="65"/>
  <c r="E154" i="65" s="1"/>
  <c r="F154" i="65" s="1"/>
  <c r="G154" i="65" s="1"/>
  <c r="H154" i="65" s="1"/>
  <c r="I154" i="65" s="1"/>
  <c r="J154" i="65" s="1"/>
  <c r="K154" i="65" s="1"/>
  <c r="P154" i="65"/>
  <c r="N154" i="65"/>
  <c r="AG152" i="65"/>
  <c r="L155" i="65"/>
  <c r="M155" i="65" s="1"/>
  <c r="O155" i="65"/>
  <c r="C155" i="65"/>
  <c r="R153" i="65"/>
  <c r="S153" i="65" s="1"/>
  <c r="Y153" i="65" s="1"/>
  <c r="AB153" i="65" s="1"/>
  <c r="AC153" i="65" s="1"/>
  <c r="AD153" i="65" s="1"/>
  <c r="U153" i="65"/>
  <c r="AE153" i="65"/>
  <c r="AV153" i="65"/>
  <c r="Q153" i="65"/>
  <c r="AF153" i="65"/>
  <c r="AH153" i="65"/>
  <c r="AN155" i="63" l="1" a="1"/>
  <c r="AN155" i="63" s="1"/>
  <c r="B157" i="65" s="1"/>
  <c r="AM155" i="65"/>
  <c r="D155" i="65"/>
  <c r="E155" i="65" s="1"/>
  <c r="F155" i="65" s="1"/>
  <c r="G155" i="65" s="1"/>
  <c r="H155" i="65" s="1"/>
  <c r="I155" i="65" s="1"/>
  <c r="J155" i="65" s="1"/>
  <c r="K155" i="65" s="1"/>
  <c r="P155" i="65"/>
  <c r="N155" i="65"/>
  <c r="U154" i="65"/>
  <c r="AE154" i="65"/>
  <c r="AV154" i="65"/>
  <c r="AH154" i="65"/>
  <c r="Q154" i="65"/>
  <c r="R154" i="65"/>
  <c r="S154" i="65" s="1"/>
  <c r="Y154" i="65" s="1"/>
  <c r="AB154" i="65" s="1"/>
  <c r="AC154" i="65" s="1"/>
  <c r="AD154" i="65" s="1"/>
  <c r="AF154" i="65"/>
  <c r="AG153" i="65"/>
  <c r="L156" i="65"/>
  <c r="M156" i="65" s="1"/>
  <c r="O156" i="65"/>
  <c r="C156" i="65"/>
  <c r="AG154" i="65" l="1"/>
  <c r="AN156" i="63" a="1"/>
  <c r="AN156" i="63" s="1"/>
  <c r="B158" i="65" s="1"/>
  <c r="R155" i="65"/>
  <c r="S155" i="65" s="1"/>
  <c r="Y155" i="65" s="1"/>
  <c r="AB155" i="65" s="1"/>
  <c r="AC155" i="65" s="1"/>
  <c r="AD155" i="65" s="1"/>
  <c r="U155" i="65"/>
  <c r="Q155" i="65"/>
  <c r="AE155" i="65"/>
  <c r="AF155" i="65"/>
  <c r="AV155" i="65"/>
  <c r="AH155" i="65"/>
  <c r="D156" i="65"/>
  <c r="E156" i="65" s="1"/>
  <c r="F156" i="65" s="1"/>
  <c r="G156" i="65" s="1"/>
  <c r="H156" i="65" s="1"/>
  <c r="I156" i="65" s="1"/>
  <c r="J156" i="65" s="1"/>
  <c r="K156" i="65" s="1"/>
  <c r="N156" i="65"/>
  <c r="AM156" i="65"/>
  <c r="P156" i="65"/>
  <c r="L157" i="65"/>
  <c r="M157" i="65" s="1"/>
  <c r="O157" i="65"/>
  <c r="C157" i="65"/>
  <c r="AV156" i="65" l="1"/>
  <c r="Q156" i="65"/>
  <c r="AF156" i="65"/>
  <c r="U156" i="65"/>
  <c r="AH156" i="65"/>
  <c r="AE156" i="65"/>
  <c r="R156" i="65"/>
  <c r="S156" i="65" s="1"/>
  <c r="Y156" i="65" s="1"/>
  <c r="AB156" i="65" s="1"/>
  <c r="AC156" i="65" s="1"/>
  <c r="AD156" i="65" s="1"/>
  <c r="AG155" i="65"/>
  <c r="AN157" i="63" a="1"/>
  <c r="AN157" i="63" s="1"/>
  <c r="B159" i="65" s="1"/>
  <c r="D157" i="65"/>
  <c r="E157" i="65" s="1"/>
  <c r="F157" i="65" s="1"/>
  <c r="G157" i="65" s="1"/>
  <c r="H157" i="65" s="1"/>
  <c r="I157" i="65" s="1"/>
  <c r="J157" i="65" s="1"/>
  <c r="K157" i="65" s="1"/>
  <c r="N157" i="65"/>
  <c r="AM157" i="65"/>
  <c r="P157" i="65"/>
  <c r="L158" i="65"/>
  <c r="M158" i="65" s="1"/>
  <c r="O158" i="65"/>
  <c r="C158" i="65"/>
  <c r="N158" i="65" l="1"/>
  <c r="AM158" i="65"/>
  <c r="P158" i="65"/>
  <c r="D158" i="65"/>
  <c r="E158" i="65" s="1"/>
  <c r="F158" i="65" s="1"/>
  <c r="G158" i="65" s="1"/>
  <c r="H158" i="65" s="1"/>
  <c r="I158" i="65" s="1"/>
  <c r="J158" i="65" s="1"/>
  <c r="K158" i="65" s="1"/>
  <c r="AH157" i="65"/>
  <c r="AE157" i="65"/>
  <c r="R157" i="65"/>
  <c r="S157" i="65" s="1"/>
  <c r="Y157" i="65" s="1"/>
  <c r="AB157" i="65" s="1"/>
  <c r="AC157" i="65" s="1"/>
  <c r="AD157" i="65" s="1"/>
  <c r="Q157" i="65"/>
  <c r="AV157" i="65"/>
  <c r="AF157" i="65"/>
  <c r="U157" i="65"/>
  <c r="AG156" i="65"/>
  <c r="C159" i="65"/>
  <c r="O159" i="65"/>
  <c r="L159" i="65"/>
  <c r="M159" i="65" s="1"/>
  <c r="AN158" i="63" a="1"/>
  <c r="AN158" i="63" s="1"/>
  <c r="B160" i="65" s="1"/>
  <c r="AG157" i="65" l="1"/>
  <c r="AN159" i="63" a="1"/>
  <c r="AN159" i="63" s="1"/>
  <c r="B161" i="65" s="1"/>
  <c r="P159" i="65"/>
  <c r="N159" i="65"/>
  <c r="D159" i="65"/>
  <c r="E159" i="65" s="1"/>
  <c r="F159" i="65" s="1"/>
  <c r="G159" i="65" s="1"/>
  <c r="H159" i="65" s="1"/>
  <c r="I159" i="65" s="1"/>
  <c r="J159" i="65" s="1"/>
  <c r="K159" i="65" s="1"/>
  <c r="AM159" i="65"/>
  <c r="R158" i="65"/>
  <c r="S158" i="65" s="1"/>
  <c r="Y158" i="65" s="1"/>
  <c r="AB158" i="65" s="1"/>
  <c r="AC158" i="65" s="1"/>
  <c r="AD158" i="65" s="1"/>
  <c r="Q158" i="65"/>
  <c r="AH158" i="65"/>
  <c r="AE158" i="65"/>
  <c r="AF158" i="65"/>
  <c r="AV158" i="65"/>
  <c r="U158" i="65"/>
  <c r="O160" i="65"/>
  <c r="L160" i="65"/>
  <c r="M160" i="65" s="1"/>
  <c r="C160" i="65"/>
  <c r="AG158" i="65" l="1"/>
  <c r="L161" i="65"/>
  <c r="M161" i="65" s="1"/>
  <c r="C161" i="65"/>
  <c r="O161" i="65"/>
  <c r="AN160" i="63" a="1"/>
  <c r="AN160" i="63" s="1"/>
  <c r="B162" i="65" s="1"/>
  <c r="AM160" i="65"/>
  <c r="P160" i="65"/>
  <c r="N160" i="65"/>
  <c r="D160" i="65"/>
  <c r="E160" i="65" s="1"/>
  <c r="F160" i="65" s="1"/>
  <c r="G160" i="65" s="1"/>
  <c r="H160" i="65" s="1"/>
  <c r="I160" i="65" s="1"/>
  <c r="J160" i="65" s="1"/>
  <c r="K160" i="65" s="1"/>
  <c r="R159" i="65"/>
  <c r="S159" i="65" s="1"/>
  <c r="Y159" i="65" s="1"/>
  <c r="AB159" i="65" s="1"/>
  <c r="AC159" i="65" s="1"/>
  <c r="AD159" i="65" s="1"/>
  <c r="AV159" i="65"/>
  <c r="AF159" i="65"/>
  <c r="AH159" i="65"/>
  <c r="AE159" i="65"/>
  <c r="U159" i="65"/>
  <c r="Q159" i="65"/>
  <c r="AM161" i="65" l="1"/>
  <c r="D161" i="65"/>
  <c r="E161" i="65" s="1"/>
  <c r="F161" i="65" s="1"/>
  <c r="G161" i="65" s="1"/>
  <c r="H161" i="65" s="1"/>
  <c r="I161" i="65" s="1"/>
  <c r="J161" i="65" s="1"/>
  <c r="K161" i="65" s="1"/>
  <c r="P161" i="65"/>
  <c r="N161" i="65"/>
  <c r="L162" i="65"/>
  <c r="M162" i="65" s="1"/>
  <c r="O162" i="65"/>
  <c r="C162" i="65"/>
  <c r="AN161" i="63" a="1"/>
  <c r="AN161" i="63" s="1"/>
  <c r="B163" i="65" s="1"/>
  <c r="AG159" i="65"/>
  <c r="AH160" i="65"/>
  <c r="R160" i="65"/>
  <c r="S160" i="65" s="1"/>
  <c r="Y160" i="65" s="1"/>
  <c r="AB160" i="65" s="1"/>
  <c r="AC160" i="65" s="1"/>
  <c r="AD160" i="65" s="1"/>
  <c r="U160" i="65"/>
  <c r="Q160" i="65"/>
  <c r="AV160" i="65"/>
  <c r="AF160" i="65"/>
  <c r="AE160" i="65"/>
  <c r="L163" i="65" l="1"/>
  <c r="M163" i="65" s="1"/>
  <c r="O163" i="65"/>
  <c r="C163" i="65"/>
  <c r="AH161" i="65"/>
  <c r="U161" i="65"/>
  <c r="Q161" i="65"/>
  <c r="AE161" i="65"/>
  <c r="AV161" i="65"/>
  <c r="AF161" i="65"/>
  <c r="R161" i="65"/>
  <c r="S161" i="65" s="1"/>
  <c r="Y161" i="65" s="1"/>
  <c r="AB161" i="65" s="1"/>
  <c r="AC161" i="65" s="1"/>
  <c r="AD161" i="65" s="1"/>
  <c r="P162" i="65"/>
  <c r="N162" i="65"/>
  <c r="AM162" i="65"/>
  <c r="D162" i="65"/>
  <c r="E162" i="65" s="1"/>
  <c r="F162" i="65" s="1"/>
  <c r="G162" i="65" s="1"/>
  <c r="H162" i="65" s="1"/>
  <c r="I162" i="65" s="1"/>
  <c r="J162" i="65" s="1"/>
  <c r="K162" i="65" s="1"/>
  <c r="AG160" i="65"/>
  <c r="AN162" i="63" a="1"/>
  <c r="AN162" i="63" s="1"/>
  <c r="B164" i="65" s="1"/>
  <c r="R162" i="65" l="1"/>
  <c r="S162" i="65" s="1"/>
  <c r="Y162" i="65" s="1"/>
  <c r="AB162" i="65" s="1"/>
  <c r="AC162" i="65" s="1"/>
  <c r="AD162" i="65" s="1"/>
  <c r="U162" i="65"/>
  <c r="AV162" i="65"/>
  <c r="AF162" i="65"/>
  <c r="AE162" i="65"/>
  <c r="Q162" i="65"/>
  <c r="AH162" i="65"/>
  <c r="AM163" i="65"/>
  <c r="P163" i="65"/>
  <c r="D163" i="65"/>
  <c r="E163" i="65" s="1"/>
  <c r="F163" i="65" s="1"/>
  <c r="G163" i="65" s="1"/>
  <c r="H163" i="65" s="1"/>
  <c r="I163" i="65" s="1"/>
  <c r="J163" i="65" s="1"/>
  <c r="K163" i="65" s="1"/>
  <c r="N163" i="65"/>
  <c r="AN163" i="63" a="1"/>
  <c r="AN163" i="63" s="1"/>
  <c r="B165" i="65" s="1"/>
  <c r="O164" i="65"/>
  <c r="L164" i="65"/>
  <c r="M164" i="65" s="1"/>
  <c r="C164" i="65"/>
  <c r="AG161" i="65"/>
  <c r="AG162" i="65" l="1"/>
  <c r="AN164" i="63" a="1"/>
  <c r="AN164" i="63" s="1"/>
  <c r="B166" i="65" s="1"/>
  <c r="D164" i="65"/>
  <c r="E164" i="65" s="1"/>
  <c r="F164" i="65" s="1"/>
  <c r="G164" i="65" s="1"/>
  <c r="H164" i="65" s="1"/>
  <c r="I164" i="65" s="1"/>
  <c r="J164" i="65" s="1"/>
  <c r="K164" i="65" s="1"/>
  <c r="N164" i="65"/>
  <c r="AM164" i="65"/>
  <c r="P164" i="65"/>
  <c r="Q163" i="65"/>
  <c r="R163" i="65"/>
  <c r="S163" i="65" s="1"/>
  <c r="Y163" i="65" s="1"/>
  <c r="AB163" i="65" s="1"/>
  <c r="AC163" i="65" s="1"/>
  <c r="AD163" i="65" s="1"/>
  <c r="AF163" i="65"/>
  <c r="AV163" i="65"/>
  <c r="AE163" i="65"/>
  <c r="U163" i="65"/>
  <c r="AH163" i="65"/>
  <c r="C165" i="65"/>
  <c r="L165" i="65"/>
  <c r="M165" i="65" s="1"/>
  <c r="O165" i="65"/>
  <c r="AG163" i="65" l="1"/>
  <c r="AN165" i="63" a="1"/>
  <c r="AN165" i="63" s="1"/>
  <c r="B167" i="65" s="1"/>
  <c r="AF164" i="65"/>
  <c r="AV164" i="65"/>
  <c r="Q164" i="65"/>
  <c r="R164" i="65"/>
  <c r="S164" i="65" s="1"/>
  <c r="Y164" i="65" s="1"/>
  <c r="AB164" i="65" s="1"/>
  <c r="AC164" i="65" s="1"/>
  <c r="AD164" i="65" s="1"/>
  <c r="AE164" i="65"/>
  <c r="AH164" i="65"/>
  <c r="U164" i="65"/>
  <c r="N165" i="65"/>
  <c r="D165" i="65"/>
  <c r="E165" i="65" s="1"/>
  <c r="F165" i="65" s="1"/>
  <c r="G165" i="65" s="1"/>
  <c r="H165" i="65" s="1"/>
  <c r="I165" i="65" s="1"/>
  <c r="J165" i="65" s="1"/>
  <c r="K165" i="65" s="1"/>
  <c r="P165" i="65"/>
  <c r="AM165" i="65"/>
  <c r="O166" i="65"/>
  <c r="C166" i="65"/>
  <c r="L166" i="65"/>
  <c r="M166" i="65" s="1"/>
  <c r="L167" i="65" l="1"/>
  <c r="M167" i="65" s="1"/>
  <c r="O167" i="65"/>
  <c r="C167" i="65"/>
  <c r="AH165" i="65"/>
  <c r="AF165" i="65"/>
  <c r="R165" i="65"/>
  <c r="S165" i="65" s="1"/>
  <c r="Y165" i="65" s="1"/>
  <c r="AB165" i="65" s="1"/>
  <c r="AC165" i="65" s="1"/>
  <c r="AD165" i="65" s="1"/>
  <c r="U165" i="65"/>
  <c r="AV165" i="65"/>
  <c r="Q165" i="65"/>
  <c r="AE165" i="65"/>
  <c r="AG164" i="65"/>
  <c r="AM166" i="65"/>
  <c r="D166" i="65"/>
  <c r="E166" i="65" s="1"/>
  <c r="F166" i="65" s="1"/>
  <c r="G166" i="65" s="1"/>
  <c r="H166" i="65" s="1"/>
  <c r="I166" i="65" s="1"/>
  <c r="J166" i="65" s="1"/>
  <c r="K166" i="65" s="1"/>
  <c r="P166" i="65"/>
  <c r="N166" i="65"/>
  <c r="AN166" i="63" a="1"/>
  <c r="AN166" i="63" s="1"/>
  <c r="B168" i="65" s="1"/>
  <c r="AN167" i="63" l="1" a="1"/>
  <c r="AN167" i="63" s="1"/>
  <c r="B169" i="65" s="1"/>
  <c r="N167" i="65"/>
  <c r="AM167" i="65"/>
  <c r="D167" i="65"/>
  <c r="E167" i="65" s="1"/>
  <c r="F167" i="65" s="1"/>
  <c r="G167" i="65" s="1"/>
  <c r="H167" i="65" s="1"/>
  <c r="I167" i="65" s="1"/>
  <c r="J167" i="65" s="1"/>
  <c r="K167" i="65" s="1"/>
  <c r="P167" i="65"/>
  <c r="C168" i="65"/>
  <c r="L168" i="65"/>
  <c r="M168" i="65" s="1"/>
  <c r="O168" i="65"/>
  <c r="AH166" i="65"/>
  <c r="AV166" i="65"/>
  <c r="AE166" i="65"/>
  <c r="Q166" i="65"/>
  <c r="R166" i="65"/>
  <c r="S166" i="65" s="1"/>
  <c r="Y166" i="65" s="1"/>
  <c r="AB166" i="65" s="1"/>
  <c r="AC166" i="65" s="1"/>
  <c r="AD166" i="65" s="1"/>
  <c r="AF166" i="65"/>
  <c r="U166" i="65"/>
  <c r="AG165" i="65"/>
  <c r="AN168" i="63" l="1" a="1"/>
  <c r="AN168" i="63" s="1"/>
  <c r="B170" i="65" s="1"/>
  <c r="AG166" i="65"/>
  <c r="D168" i="65"/>
  <c r="E168" i="65" s="1"/>
  <c r="F168" i="65" s="1"/>
  <c r="G168" i="65" s="1"/>
  <c r="H168" i="65" s="1"/>
  <c r="I168" i="65" s="1"/>
  <c r="J168" i="65" s="1"/>
  <c r="K168" i="65" s="1"/>
  <c r="P168" i="65"/>
  <c r="N168" i="65"/>
  <c r="AM168" i="65"/>
  <c r="AF167" i="65"/>
  <c r="AH167" i="65"/>
  <c r="U167" i="65"/>
  <c r="R167" i="65"/>
  <c r="S167" i="65" s="1"/>
  <c r="Y167" i="65" s="1"/>
  <c r="AB167" i="65" s="1"/>
  <c r="AC167" i="65" s="1"/>
  <c r="AD167" i="65" s="1"/>
  <c r="AV167" i="65"/>
  <c r="AE167" i="65"/>
  <c r="Q167" i="65"/>
  <c r="C169" i="65"/>
  <c r="O169" i="65"/>
  <c r="L169" i="65"/>
  <c r="M169" i="65" s="1"/>
  <c r="AN169" i="63" l="1" a="1"/>
  <c r="AN169" i="63" s="1"/>
  <c r="B171" i="65" s="1"/>
  <c r="AF168" i="65"/>
  <c r="Q168" i="65"/>
  <c r="R168" i="65"/>
  <c r="S168" i="65" s="1"/>
  <c r="Y168" i="65" s="1"/>
  <c r="AB168" i="65" s="1"/>
  <c r="AC168" i="65" s="1"/>
  <c r="AD168" i="65" s="1"/>
  <c r="U168" i="65"/>
  <c r="AH168" i="65"/>
  <c r="AE168" i="65"/>
  <c r="AV168" i="65"/>
  <c r="N169" i="65"/>
  <c r="AM169" i="65"/>
  <c r="P169" i="65"/>
  <c r="D169" i="65"/>
  <c r="E169" i="65" s="1"/>
  <c r="F169" i="65" s="1"/>
  <c r="G169" i="65" s="1"/>
  <c r="H169" i="65" s="1"/>
  <c r="I169" i="65" s="1"/>
  <c r="J169" i="65" s="1"/>
  <c r="K169" i="65" s="1"/>
  <c r="AG167" i="65"/>
  <c r="L170" i="65"/>
  <c r="M170" i="65" s="1"/>
  <c r="C170" i="65"/>
  <c r="O170" i="65"/>
  <c r="D170" i="65" l="1"/>
  <c r="E170" i="65" s="1"/>
  <c r="F170" i="65" s="1"/>
  <c r="G170" i="65" s="1"/>
  <c r="H170" i="65" s="1"/>
  <c r="I170" i="65" s="1"/>
  <c r="J170" i="65" s="1"/>
  <c r="K170" i="65" s="1"/>
  <c r="AM170" i="65"/>
  <c r="P170" i="65"/>
  <c r="N170" i="65"/>
  <c r="AE169" i="65"/>
  <c r="AV169" i="65"/>
  <c r="U169" i="65"/>
  <c r="AF169" i="65"/>
  <c r="R169" i="65"/>
  <c r="S169" i="65" s="1"/>
  <c r="Y169" i="65" s="1"/>
  <c r="AB169" i="65" s="1"/>
  <c r="AC169" i="65" s="1"/>
  <c r="AD169" i="65" s="1"/>
  <c r="Q169" i="65"/>
  <c r="AH169" i="65"/>
  <c r="AN170" i="63" a="1"/>
  <c r="AN170" i="63" s="1"/>
  <c r="B172" i="65" s="1"/>
  <c r="AG168" i="65"/>
  <c r="L171" i="65"/>
  <c r="M171" i="65" s="1"/>
  <c r="C171" i="65"/>
  <c r="O171" i="65"/>
  <c r="AG169" i="65" l="1"/>
  <c r="AN171" i="63" a="1"/>
  <c r="AN171" i="63" s="1"/>
  <c r="B173" i="65" s="1"/>
  <c r="C172" i="65"/>
  <c r="L172" i="65"/>
  <c r="M172" i="65" s="1"/>
  <c r="O172" i="65"/>
  <c r="AE170" i="65"/>
  <c r="AV170" i="65"/>
  <c r="Q170" i="65"/>
  <c r="R170" i="65"/>
  <c r="S170" i="65" s="1"/>
  <c r="Y170" i="65" s="1"/>
  <c r="AB170" i="65" s="1"/>
  <c r="AC170" i="65" s="1"/>
  <c r="AD170" i="65" s="1"/>
  <c r="U170" i="65"/>
  <c r="AH170" i="65"/>
  <c r="AF170" i="65"/>
  <c r="P171" i="65"/>
  <c r="N171" i="65"/>
  <c r="D171" i="65"/>
  <c r="E171" i="65" s="1"/>
  <c r="F171" i="65" s="1"/>
  <c r="G171" i="65" s="1"/>
  <c r="H171" i="65" s="1"/>
  <c r="I171" i="65" s="1"/>
  <c r="J171" i="65" s="1"/>
  <c r="K171" i="65" s="1"/>
  <c r="AM171" i="65"/>
  <c r="AN172" i="63" l="1" a="1"/>
  <c r="AN172" i="63" s="1"/>
  <c r="B174" i="65" s="1"/>
  <c r="AG170" i="65"/>
  <c r="AM172" i="65"/>
  <c r="D172" i="65"/>
  <c r="E172" i="65" s="1"/>
  <c r="F172" i="65" s="1"/>
  <c r="G172" i="65" s="1"/>
  <c r="H172" i="65" s="1"/>
  <c r="I172" i="65" s="1"/>
  <c r="J172" i="65" s="1"/>
  <c r="K172" i="65" s="1"/>
  <c r="N172" i="65"/>
  <c r="P172" i="65"/>
  <c r="O173" i="65"/>
  <c r="L173" i="65"/>
  <c r="M173" i="65" s="1"/>
  <c r="C173" i="65"/>
  <c r="AF171" i="65"/>
  <c r="AH171" i="65"/>
  <c r="U171" i="65"/>
  <c r="AE171" i="65"/>
  <c r="AV171" i="65"/>
  <c r="Q171" i="65"/>
  <c r="R171" i="65"/>
  <c r="S171" i="65" s="1"/>
  <c r="Y171" i="65" s="1"/>
  <c r="AB171" i="65" s="1"/>
  <c r="AC171" i="65" s="1"/>
  <c r="AD171" i="65" s="1"/>
  <c r="AG171" i="65" l="1"/>
  <c r="AN173" i="63" a="1"/>
  <c r="AN173" i="63" s="1"/>
  <c r="B175" i="65" s="1"/>
  <c r="N173" i="65"/>
  <c r="D173" i="65"/>
  <c r="E173" i="65" s="1"/>
  <c r="F173" i="65" s="1"/>
  <c r="G173" i="65" s="1"/>
  <c r="H173" i="65" s="1"/>
  <c r="I173" i="65" s="1"/>
  <c r="J173" i="65" s="1"/>
  <c r="K173" i="65" s="1"/>
  <c r="AM173" i="65"/>
  <c r="P173" i="65"/>
  <c r="Q172" i="65"/>
  <c r="U172" i="65"/>
  <c r="R172" i="65"/>
  <c r="S172" i="65" s="1"/>
  <c r="Y172" i="65" s="1"/>
  <c r="AB172" i="65" s="1"/>
  <c r="AC172" i="65" s="1"/>
  <c r="AD172" i="65" s="1"/>
  <c r="AV172" i="65"/>
  <c r="AE172" i="65"/>
  <c r="AF172" i="65"/>
  <c r="AH172" i="65"/>
  <c r="L174" i="65"/>
  <c r="M174" i="65" s="1"/>
  <c r="O174" i="65"/>
  <c r="C174" i="65"/>
  <c r="N174" i="65" l="1"/>
  <c r="P174" i="65"/>
  <c r="AM174" i="65"/>
  <c r="D174" i="65"/>
  <c r="E174" i="65" s="1"/>
  <c r="F174" i="65" s="1"/>
  <c r="G174" i="65" s="1"/>
  <c r="H174" i="65" s="1"/>
  <c r="I174" i="65" s="1"/>
  <c r="J174" i="65" s="1"/>
  <c r="K174" i="65" s="1"/>
  <c r="AG172" i="65"/>
  <c r="AH173" i="65"/>
  <c r="AV173" i="65"/>
  <c r="R173" i="65"/>
  <c r="S173" i="65" s="1"/>
  <c r="Y173" i="65" s="1"/>
  <c r="AB173" i="65" s="1"/>
  <c r="AC173" i="65" s="1"/>
  <c r="AD173" i="65" s="1"/>
  <c r="U173" i="65"/>
  <c r="AE173" i="65"/>
  <c r="Q173" i="65"/>
  <c r="AF173" i="65"/>
  <c r="L175" i="65"/>
  <c r="M175" i="65" s="1"/>
  <c r="C175" i="65"/>
  <c r="O175" i="65"/>
  <c r="AN174" i="63" a="1"/>
  <c r="AN174" i="63" s="1"/>
  <c r="B176" i="65" s="1"/>
  <c r="D175" i="65" l="1"/>
  <c r="E175" i="65" s="1"/>
  <c r="F175" i="65" s="1"/>
  <c r="G175" i="65" s="1"/>
  <c r="H175" i="65" s="1"/>
  <c r="I175" i="65" s="1"/>
  <c r="J175" i="65" s="1"/>
  <c r="K175" i="65" s="1"/>
  <c r="N175" i="65"/>
  <c r="AM175" i="65"/>
  <c r="P175" i="65"/>
  <c r="AN175" i="63" a="1"/>
  <c r="AN175" i="63" s="1"/>
  <c r="B177" i="65" s="1"/>
  <c r="Q174" i="65"/>
  <c r="AF174" i="65"/>
  <c r="R174" i="65"/>
  <c r="S174" i="65" s="1"/>
  <c r="Y174" i="65" s="1"/>
  <c r="AB174" i="65" s="1"/>
  <c r="AC174" i="65" s="1"/>
  <c r="AD174" i="65" s="1"/>
  <c r="AE174" i="65"/>
  <c r="U174" i="65"/>
  <c r="AH174" i="65"/>
  <c r="AV174" i="65"/>
  <c r="C176" i="65"/>
  <c r="L176" i="65"/>
  <c r="M176" i="65" s="1"/>
  <c r="O176" i="65"/>
  <c r="AG173" i="65"/>
  <c r="AN176" i="63" l="1" a="1"/>
  <c r="AN176" i="63" s="1"/>
  <c r="B178" i="65" s="1"/>
  <c r="AM176" i="65"/>
  <c r="D176" i="65"/>
  <c r="E176" i="65" s="1"/>
  <c r="F176" i="65" s="1"/>
  <c r="G176" i="65" s="1"/>
  <c r="H176" i="65" s="1"/>
  <c r="I176" i="65" s="1"/>
  <c r="J176" i="65" s="1"/>
  <c r="K176" i="65" s="1"/>
  <c r="P176" i="65"/>
  <c r="N176" i="65"/>
  <c r="AG174" i="65"/>
  <c r="R175" i="65"/>
  <c r="S175" i="65" s="1"/>
  <c r="Y175" i="65" s="1"/>
  <c r="AB175" i="65" s="1"/>
  <c r="AC175" i="65" s="1"/>
  <c r="AD175" i="65" s="1"/>
  <c r="AH175" i="65"/>
  <c r="AF175" i="65"/>
  <c r="Q175" i="65"/>
  <c r="AV175" i="65"/>
  <c r="U175" i="65"/>
  <c r="AE175" i="65"/>
  <c r="L177" i="65"/>
  <c r="M177" i="65" s="1"/>
  <c r="C177" i="65"/>
  <c r="O177" i="65"/>
  <c r="AN177" i="63" l="1" a="1"/>
  <c r="AN177" i="63" s="1"/>
  <c r="B179" i="65" s="1"/>
  <c r="AG175" i="65"/>
  <c r="AM177" i="65"/>
  <c r="N177" i="65"/>
  <c r="D177" i="65"/>
  <c r="E177" i="65" s="1"/>
  <c r="F177" i="65" s="1"/>
  <c r="G177" i="65" s="1"/>
  <c r="H177" i="65" s="1"/>
  <c r="I177" i="65" s="1"/>
  <c r="J177" i="65" s="1"/>
  <c r="K177" i="65" s="1"/>
  <c r="P177" i="65"/>
  <c r="AV176" i="65"/>
  <c r="AE176" i="65"/>
  <c r="U176" i="65"/>
  <c r="AH176" i="65"/>
  <c r="R176" i="65"/>
  <c r="S176" i="65" s="1"/>
  <c r="Y176" i="65" s="1"/>
  <c r="AB176" i="65" s="1"/>
  <c r="AC176" i="65" s="1"/>
  <c r="AD176" i="65" s="1"/>
  <c r="Q176" i="65"/>
  <c r="AF176" i="65"/>
  <c r="C178" i="65"/>
  <c r="O178" i="65"/>
  <c r="L178" i="65"/>
  <c r="M178" i="65" s="1"/>
  <c r="AM178" i="65" l="1"/>
  <c r="D178" i="65"/>
  <c r="E178" i="65" s="1"/>
  <c r="F178" i="65" s="1"/>
  <c r="G178" i="65" s="1"/>
  <c r="H178" i="65" s="1"/>
  <c r="I178" i="65" s="1"/>
  <c r="J178" i="65" s="1"/>
  <c r="K178" i="65" s="1"/>
  <c r="P178" i="65"/>
  <c r="N178" i="65"/>
  <c r="AG176" i="65"/>
  <c r="C179" i="65"/>
  <c r="L179" i="65"/>
  <c r="M179" i="65" s="1"/>
  <c r="O179" i="65"/>
  <c r="U177" i="65"/>
  <c r="AE177" i="65"/>
  <c r="R177" i="65"/>
  <c r="S177" i="65" s="1"/>
  <c r="Y177" i="65" s="1"/>
  <c r="AB177" i="65" s="1"/>
  <c r="AC177" i="65" s="1"/>
  <c r="AD177" i="65" s="1"/>
  <c r="AF177" i="65"/>
  <c r="Q177" i="65"/>
  <c r="AH177" i="65"/>
  <c r="AV177" i="65"/>
  <c r="AN178" i="63" a="1"/>
  <c r="AN178" i="63" s="1"/>
  <c r="B180" i="65" s="1"/>
  <c r="P179" i="65" l="1"/>
  <c r="N179" i="65"/>
  <c r="AM179" i="65"/>
  <c r="D179" i="65"/>
  <c r="E179" i="65" s="1"/>
  <c r="F179" i="65" s="1"/>
  <c r="G179" i="65" s="1"/>
  <c r="H179" i="65" s="1"/>
  <c r="I179" i="65" s="1"/>
  <c r="J179" i="65" s="1"/>
  <c r="K179" i="65" s="1"/>
  <c r="O180" i="65"/>
  <c r="L180" i="65"/>
  <c r="M180" i="65" s="1"/>
  <c r="C180" i="65"/>
  <c r="AG177" i="65"/>
  <c r="R178" i="65"/>
  <c r="S178" i="65" s="1"/>
  <c r="Y178" i="65" s="1"/>
  <c r="AB178" i="65" s="1"/>
  <c r="AC178" i="65" s="1"/>
  <c r="AD178" i="65" s="1"/>
  <c r="AV178" i="65"/>
  <c r="AF178" i="65"/>
  <c r="AE178" i="65"/>
  <c r="U178" i="65"/>
  <c r="Q178" i="65"/>
  <c r="AH178" i="65"/>
  <c r="AN179" i="63" a="1"/>
  <c r="AN179" i="63" s="1"/>
  <c r="B181" i="65" s="1"/>
  <c r="AN180" i="63" l="1" a="1"/>
  <c r="AN180" i="63" s="1"/>
  <c r="B182" i="65" s="1"/>
  <c r="AG178" i="65"/>
  <c r="D180" i="65"/>
  <c r="E180" i="65" s="1"/>
  <c r="F180" i="65" s="1"/>
  <c r="G180" i="65" s="1"/>
  <c r="H180" i="65" s="1"/>
  <c r="I180" i="65" s="1"/>
  <c r="J180" i="65" s="1"/>
  <c r="K180" i="65" s="1"/>
  <c r="P180" i="65"/>
  <c r="AM180" i="65"/>
  <c r="N180" i="65"/>
  <c r="AV179" i="65"/>
  <c r="R179" i="65"/>
  <c r="S179" i="65" s="1"/>
  <c r="Y179" i="65" s="1"/>
  <c r="AB179" i="65" s="1"/>
  <c r="AC179" i="65" s="1"/>
  <c r="AD179" i="65" s="1"/>
  <c r="AH179" i="65"/>
  <c r="AE179" i="65"/>
  <c r="Q179" i="65"/>
  <c r="AF179" i="65"/>
  <c r="U179" i="65"/>
  <c r="L181" i="65"/>
  <c r="M181" i="65" s="1"/>
  <c r="O181" i="65"/>
  <c r="C181" i="65"/>
  <c r="AG179" i="65" l="1"/>
  <c r="D181" i="65"/>
  <c r="E181" i="65" s="1"/>
  <c r="F181" i="65" s="1"/>
  <c r="G181" i="65" s="1"/>
  <c r="H181" i="65" s="1"/>
  <c r="I181" i="65" s="1"/>
  <c r="J181" i="65" s="1"/>
  <c r="K181" i="65" s="1"/>
  <c r="AM181" i="65"/>
  <c r="P181" i="65"/>
  <c r="N181" i="65"/>
  <c r="AN181" i="63" a="1"/>
  <c r="AN181" i="63" s="1"/>
  <c r="B183" i="65" s="1"/>
  <c r="Q180" i="65"/>
  <c r="AH180" i="65"/>
  <c r="U180" i="65"/>
  <c r="R180" i="65"/>
  <c r="S180" i="65" s="1"/>
  <c r="Y180" i="65" s="1"/>
  <c r="AB180" i="65" s="1"/>
  <c r="AC180" i="65" s="1"/>
  <c r="AD180" i="65" s="1"/>
  <c r="AF180" i="65"/>
  <c r="AE180" i="65"/>
  <c r="AV180" i="65"/>
  <c r="O182" i="65"/>
  <c r="L182" i="65"/>
  <c r="M182" i="65" s="1"/>
  <c r="C182" i="65"/>
  <c r="P182" i="65" l="1"/>
  <c r="N182" i="65"/>
  <c r="D182" i="65"/>
  <c r="E182" i="65" s="1"/>
  <c r="F182" i="65" s="1"/>
  <c r="G182" i="65" s="1"/>
  <c r="H182" i="65" s="1"/>
  <c r="I182" i="65" s="1"/>
  <c r="J182" i="65" s="1"/>
  <c r="K182" i="65" s="1"/>
  <c r="AM182" i="65"/>
  <c r="AG180" i="65"/>
  <c r="AH181" i="65"/>
  <c r="Q181" i="65"/>
  <c r="U181" i="65"/>
  <c r="AE181" i="65"/>
  <c r="R181" i="65"/>
  <c r="S181" i="65" s="1"/>
  <c r="Y181" i="65" s="1"/>
  <c r="AB181" i="65" s="1"/>
  <c r="AC181" i="65" s="1"/>
  <c r="AD181" i="65" s="1"/>
  <c r="AV181" i="65"/>
  <c r="AF181" i="65"/>
  <c r="O183" i="65"/>
  <c r="C183" i="65"/>
  <c r="L183" i="65"/>
  <c r="M183" i="65" s="1"/>
  <c r="AN182" i="63" a="1"/>
  <c r="AN182" i="63" s="1"/>
  <c r="B184" i="65" s="1"/>
  <c r="AG181" i="65" l="1"/>
  <c r="C184" i="65"/>
  <c r="L184" i="65"/>
  <c r="M184" i="65" s="1"/>
  <c r="O184" i="65"/>
  <c r="AM183" i="65"/>
  <c r="P183" i="65"/>
  <c r="N183" i="65"/>
  <c r="D183" i="65"/>
  <c r="E183" i="65" s="1"/>
  <c r="F183" i="65" s="1"/>
  <c r="G183" i="65" s="1"/>
  <c r="H183" i="65" s="1"/>
  <c r="I183" i="65" s="1"/>
  <c r="J183" i="65" s="1"/>
  <c r="K183" i="65" s="1"/>
  <c r="AN183" i="63" a="1"/>
  <c r="AN183" i="63" s="1"/>
  <c r="B185" i="65" s="1"/>
  <c r="R182" i="65"/>
  <c r="S182" i="65" s="1"/>
  <c r="Y182" i="65" s="1"/>
  <c r="AB182" i="65" s="1"/>
  <c r="AC182" i="65" s="1"/>
  <c r="AD182" i="65" s="1"/>
  <c r="AF182" i="65"/>
  <c r="AH182" i="65"/>
  <c r="U182" i="65"/>
  <c r="AV182" i="65"/>
  <c r="Q182" i="65"/>
  <c r="AE182" i="65"/>
  <c r="O185" i="65" l="1"/>
  <c r="C185" i="65"/>
  <c r="L185" i="65"/>
  <c r="M185" i="65" s="1"/>
  <c r="AG182" i="65"/>
  <c r="Q183" i="65"/>
  <c r="AV183" i="65"/>
  <c r="AF183" i="65"/>
  <c r="U183" i="65"/>
  <c r="AH183" i="65"/>
  <c r="R183" i="65"/>
  <c r="S183" i="65" s="1"/>
  <c r="Y183" i="65" s="1"/>
  <c r="AB183" i="65" s="1"/>
  <c r="AC183" i="65" s="1"/>
  <c r="AD183" i="65" s="1"/>
  <c r="AE183" i="65"/>
  <c r="AN184" i="63" a="1"/>
  <c r="AN184" i="63" s="1"/>
  <c r="B186" i="65" s="1"/>
  <c r="D184" i="65"/>
  <c r="E184" i="65" s="1"/>
  <c r="F184" i="65" s="1"/>
  <c r="G184" i="65" s="1"/>
  <c r="H184" i="65" s="1"/>
  <c r="I184" i="65" s="1"/>
  <c r="J184" i="65" s="1"/>
  <c r="K184" i="65" s="1"/>
  <c r="N184" i="65"/>
  <c r="AM184" i="65"/>
  <c r="P184" i="65"/>
  <c r="AG183" i="65" l="1"/>
  <c r="Q184" i="65"/>
  <c r="AE184" i="65"/>
  <c r="AH184" i="65"/>
  <c r="U184" i="65"/>
  <c r="R184" i="65"/>
  <c r="S184" i="65" s="1"/>
  <c r="Y184" i="65" s="1"/>
  <c r="AB184" i="65" s="1"/>
  <c r="AC184" i="65" s="1"/>
  <c r="AD184" i="65" s="1"/>
  <c r="AF184" i="65"/>
  <c r="AV184" i="65"/>
  <c r="AN185" i="63" a="1"/>
  <c r="AN185" i="63" s="1"/>
  <c r="B187" i="65" s="1"/>
  <c r="N185" i="65"/>
  <c r="P185" i="65"/>
  <c r="AM185" i="65"/>
  <c r="D185" i="65"/>
  <c r="E185" i="65" s="1"/>
  <c r="F185" i="65" s="1"/>
  <c r="G185" i="65" s="1"/>
  <c r="H185" i="65" s="1"/>
  <c r="I185" i="65" s="1"/>
  <c r="J185" i="65" s="1"/>
  <c r="K185" i="65" s="1"/>
  <c r="O186" i="65"/>
  <c r="C186" i="65"/>
  <c r="L186" i="65"/>
  <c r="M186" i="65" s="1"/>
  <c r="L187" i="65" l="1"/>
  <c r="M187" i="65" s="1"/>
  <c r="O187" i="65"/>
  <c r="C187" i="65"/>
  <c r="AM186" i="65"/>
  <c r="D186" i="65"/>
  <c r="E186" i="65" s="1"/>
  <c r="F186" i="65" s="1"/>
  <c r="G186" i="65" s="1"/>
  <c r="H186" i="65" s="1"/>
  <c r="I186" i="65" s="1"/>
  <c r="J186" i="65" s="1"/>
  <c r="K186" i="65" s="1"/>
  <c r="P186" i="65"/>
  <c r="N186" i="65"/>
  <c r="AG184" i="65"/>
  <c r="U185" i="65"/>
  <c r="AE185" i="65"/>
  <c r="AV185" i="65"/>
  <c r="AF185" i="65"/>
  <c r="R185" i="65"/>
  <c r="S185" i="65" s="1"/>
  <c r="Y185" i="65" s="1"/>
  <c r="AB185" i="65" s="1"/>
  <c r="AC185" i="65" s="1"/>
  <c r="AD185" i="65" s="1"/>
  <c r="Q185" i="65"/>
  <c r="AH185" i="65"/>
  <c r="AN186" i="63" a="1"/>
  <c r="AN186" i="63" s="1"/>
  <c r="B188" i="65" s="1"/>
  <c r="AG185" i="65" l="1"/>
  <c r="AN187" i="63" a="1"/>
  <c r="AN187" i="63" s="1"/>
  <c r="B189" i="65" s="1"/>
  <c r="AF186" i="65"/>
  <c r="Q186" i="65"/>
  <c r="R186" i="65"/>
  <c r="S186" i="65" s="1"/>
  <c r="Y186" i="65" s="1"/>
  <c r="AB186" i="65" s="1"/>
  <c r="AC186" i="65" s="1"/>
  <c r="AD186" i="65" s="1"/>
  <c r="U186" i="65"/>
  <c r="AV186" i="65"/>
  <c r="AH186" i="65"/>
  <c r="AE186" i="65"/>
  <c r="P187" i="65"/>
  <c r="N187" i="65"/>
  <c r="AM187" i="65"/>
  <c r="D187" i="65"/>
  <c r="E187" i="65" s="1"/>
  <c r="F187" i="65" s="1"/>
  <c r="G187" i="65" s="1"/>
  <c r="H187" i="65" s="1"/>
  <c r="I187" i="65" s="1"/>
  <c r="J187" i="65" s="1"/>
  <c r="K187" i="65" s="1"/>
  <c r="C188" i="65"/>
  <c r="L188" i="65"/>
  <c r="M188" i="65" s="1"/>
  <c r="O188" i="65"/>
  <c r="AN188" i="63" l="1" a="1"/>
  <c r="AN188" i="63" s="1"/>
  <c r="B190" i="65" s="1"/>
  <c r="N188" i="65"/>
  <c r="AM188" i="65"/>
  <c r="D188" i="65"/>
  <c r="E188" i="65" s="1"/>
  <c r="F188" i="65" s="1"/>
  <c r="G188" i="65" s="1"/>
  <c r="H188" i="65" s="1"/>
  <c r="I188" i="65" s="1"/>
  <c r="J188" i="65" s="1"/>
  <c r="K188" i="65" s="1"/>
  <c r="P188" i="65"/>
  <c r="R187" i="65"/>
  <c r="S187" i="65" s="1"/>
  <c r="Y187" i="65" s="1"/>
  <c r="AB187" i="65" s="1"/>
  <c r="AC187" i="65" s="1"/>
  <c r="AD187" i="65" s="1"/>
  <c r="AH187" i="65"/>
  <c r="Q187" i="65"/>
  <c r="AF187" i="65"/>
  <c r="U187" i="65"/>
  <c r="AE187" i="65"/>
  <c r="AV187" i="65"/>
  <c r="AG186" i="65"/>
  <c r="O189" i="65"/>
  <c r="C189" i="65"/>
  <c r="L189" i="65"/>
  <c r="M189" i="65" s="1"/>
  <c r="AG187" i="65" l="1"/>
  <c r="N189" i="65"/>
  <c r="P189" i="65"/>
  <c r="AM189" i="65"/>
  <c r="D189" i="65"/>
  <c r="E189" i="65" s="1"/>
  <c r="F189" i="65" s="1"/>
  <c r="G189" i="65" s="1"/>
  <c r="H189" i="65" s="1"/>
  <c r="I189" i="65" s="1"/>
  <c r="J189" i="65" s="1"/>
  <c r="K189" i="65" s="1"/>
  <c r="AN189" i="63" a="1"/>
  <c r="AN189" i="63" s="1"/>
  <c r="B191" i="65" s="1"/>
  <c r="AF188" i="65"/>
  <c r="Q188" i="65"/>
  <c r="R188" i="65"/>
  <c r="S188" i="65" s="1"/>
  <c r="Y188" i="65" s="1"/>
  <c r="AB188" i="65" s="1"/>
  <c r="AC188" i="65" s="1"/>
  <c r="AD188" i="65" s="1"/>
  <c r="U188" i="65"/>
  <c r="AE188" i="65"/>
  <c r="AV188" i="65"/>
  <c r="AH188" i="65"/>
  <c r="C190" i="65"/>
  <c r="O190" i="65"/>
  <c r="L190" i="65"/>
  <c r="M190" i="65" s="1"/>
  <c r="AG188" i="65" l="1"/>
  <c r="AN190" i="63" a="1"/>
  <c r="AN190" i="63" s="1"/>
  <c r="B192" i="65" s="1"/>
  <c r="L191" i="65"/>
  <c r="M191" i="65" s="1"/>
  <c r="O191" i="65"/>
  <c r="C191" i="65"/>
  <c r="P190" i="65"/>
  <c r="D190" i="65"/>
  <c r="E190" i="65" s="1"/>
  <c r="F190" i="65" s="1"/>
  <c r="G190" i="65" s="1"/>
  <c r="H190" i="65" s="1"/>
  <c r="I190" i="65" s="1"/>
  <c r="J190" i="65" s="1"/>
  <c r="K190" i="65" s="1"/>
  <c r="N190" i="65"/>
  <c r="AM190" i="65"/>
  <c r="AE189" i="65"/>
  <c r="R189" i="65"/>
  <c r="S189" i="65" s="1"/>
  <c r="Y189" i="65" s="1"/>
  <c r="AB189" i="65" s="1"/>
  <c r="AC189" i="65" s="1"/>
  <c r="AD189" i="65" s="1"/>
  <c r="U189" i="65"/>
  <c r="AF189" i="65"/>
  <c r="AH189" i="65"/>
  <c r="AV189" i="65"/>
  <c r="Q189" i="65"/>
  <c r="AG189" i="65" l="1"/>
  <c r="AF190" i="65"/>
  <c r="AE190" i="65"/>
  <c r="R190" i="65"/>
  <c r="S190" i="65" s="1"/>
  <c r="Y190" i="65" s="1"/>
  <c r="AB190" i="65" s="1"/>
  <c r="AC190" i="65" s="1"/>
  <c r="AD190" i="65" s="1"/>
  <c r="Q190" i="65"/>
  <c r="AV190" i="65"/>
  <c r="AH190" i="65"/>
  <c r="U190" i="65"/>
  <c r="O192" i="65"/>
  <c r="L192" i="65"/>
  <c r="M192" i="65" s="1"/>
  <c r="C192" i="65"/>
  <c r="AN191" i="63" a="1"/>
  <c r="AN191" i="63" s="1"/>
  <c r="B193" i="65" s="1"/>
  <c r="AM191" i="65"/>
  <c r="D191" i="65"/>
  <c r="E191" i="65" s="1"/>
  <c r="F191" i="65" s="1"/>
  <c r="G191" i="65" s="1"/>
  <c r="H191" i="65" s="1"/>
  <c r="I191" i="65" s="1"/>
  <c r="J191" i="65" s="1"/>
  <c r="K191" i="65" s="1"/>
  <c r="P191" i="65"/>
  <c r="N191" i="65"/>
  <c r="O193" i="65" l="1"/>
  <c r="C193" i="65"/>
  <c r="L193" i="65"/>
  <c r="M193" i="65" s="1"/>
  <c r="AM192" i="65"/>
  <c r="D192" i="65"/>
  <c r="E192" i="65" s="1"/>
  <c r="F192" i="65" s="1"/>
  <c r="G192" i="65" s="1"/>
  <c r="H192" i="65" s="1"/>
  <c r="I192" i="65" s="1"/>
  <c r="J192" i="65" s="1"/>
  <c r="K192" i="65" s="1"/>
  <c r="N192" i="65"/>
  <c r="P192" i="65"/>
  <c r="AN192" i="63" a="1"/>
  <c r="AN192" i="63" s="1"/>
  <c r="B194" i="65" s="1"/>
  <c r="Q191" i="65"/>
  <c r="AV191" i="65"/>
  <c r="AE191" i="65"/>
  <c r="U191" i="65"/>
  <c r="AF191" i="65"/>
  <c r="R191" i="65"/>
  <c r="S191" i="65" s="1"/>
  <c r="Y191" i="65" s="1"/>
  <c r="AB191" i="65" s="1"/>
  <c r="AC191" i="65" s="1"/>
  <c r="AD191" i="65" s="1"/>
  <c r="AH191" i="65"/>
  <c r="AG190" i="65"/>
  <c r="C194" i="65" l="1"/>
  <c r="O194" i="65"/>
  <c r="L194" i="65"/>
  <c r="M194" i="65" s="1"/>
  <c r="AV192" i="65"/>
  <c r="AF192" i="65"/>
  <c r="AE192" i="65"/>
  <c r="R192" i="65"/>
  <c r="S192" i="65" s="1"/>
  <c r="Y192" i="65" s="1"/>
  <c r="AB192" i="65" s="1"/>
  <c r="AC192" i="65" s="1"/>
  <c r="AD192" i="65" s="1"/>
  <c r="AH192" i="65"/>
  <c r="U192" i="65"/>
  <c r="Q192" i="65"/>
  <c r="AM193" i="65"/>
  <c r="P193" i="65"/>
  <c r="D193" i="65"/>
  <c r="E193" i="65" s="1"/>
  <c r="F193" i="65" s="1"/>
  <c r="G193" i="65" s="1"/>
  <c r="H193" i="65" s="1"/>
  <c r="I193" i="65" s="1"/>
  <c r="J193" i="65" s="1"/>
  <c r="K193" i="65" s="1"/>
  <c r="N193" i="65"/>
  <c r="AN193" i="63" a="1"/>
  <c r="AN193" i="63" s="1"/>
  <c r="B195" i="65" s="1"/>
  <c r="AG191" i="65"/>
  <c r="L195" i="65" l="1"/>
  <c r="M195" i="65" s="1"/>
  <c r="O195" i="65"/>
  <c r="C195" i="65"/>
  <c r="U193" i="65"/>
  <c r="R193" i="65"/>
  <c r="S193" i="65" s="1"/>
  <c r="Y193" i="65" s="1"/>
  <c r="AB193" i="65" s="1"/>
  <c r="AC193" i="65" s="1"/>
  <c r="AD193" i="65" s="1"/>
  <c r="AH193" i="65"/>
  <c r="AE193" i="65"/>
  <c r="AV193" i="65"/>
  <c r="Q193" i="65"/>
  <c r="AF193" i="65"/>
  <c r="AN194" i="63" a="1"/>
  <c r="AN194" i="63" s="1"/>
  <c r="B196" i="65" s="1"/>
  <c r="AG192" i="65"/>
  <c r="D194" i="65"/>
  <c r="E194" i="65" s="1"/>
  <c r="F194" i="65" s="1"/>
  <c r="G194" i="65" s="1"/>
  <c r="H194" i="65" s="1"/>
  <c r="I194" i="65" s="1"/>
  <c r="J194" i="65" s="1"/>
  <c r="K194" i="65" s="1"/>
  <c r="P194" i="65"/>
  <c r="N194" i="65"/>
  <c r="AM194" i="65"/>
  <c r="C196" i="65" l="1"/>
  <c r="L196" i="65"/>
  <c r="M196" i="65" s="1"/>
  <c r="O196" i="65"/>
  <c r="AM195" i="65"/>
  <c r="D195" i="65"/>
  <c r="E195" i="65" s="1"/>
  <c r="F195" i="65" s="1"/>
  <c r="G195" i="65" s="1"/>
  <c r="H195" i="65" s="1"/>
  <c r="I195" i="65" s="1"/>
  <c r="J195" i="65" s="1"/>
  <c r="K195" i="65" s="1"/>
  <c r="P195" i="65"/>
  <c r="N195" i="65"/>
  <c r="U194" i="65"/>
  <c r="AV194" i="65"/>
  <c r="AF194" i="65"/>
  <c r="R194" i="65"/>
  <c r="S194" i="65" s="1"/>
  <c r="Y194" i="65" s="1"/>
  <c r="AB194" i="65" s="1"/>
  <c r="AC194" i="65" s="1"/>
  <c r="AD194" i="65" s="1"/>
  <c r="Q194" i="65"/>
  <c r="AH194" i="65"/>
  <c r="AE194" i="65"/>
  <c r="AG193" i="65"/>
  <c r="AN195" i="63" a="1"/>
  <c r="AN195" i="63" s="1"/>
  <c r="B197" i="65" s="1"/>
  <c r="AG194" i="65" l="1"/>
  <c r="R195" i="65"/>
  <c r="S195" i="65" s="1"/>
  <c r="Y195" i="65" s="1"/>
  <c r="AB195" i="65" s="1"/>
  <c r="AC195" i="65" s="1"/>
  <c r="AD195" i="65" s="1"/>
  <c r="U195" i="65"/>
  <c r="AH195" i="65"/>
  <c r="Q195" i="65"/>
  <c r="AF195" i="65"/>
  <c r="AV195" i="65"/>
  <c r="AE195" i="65"/>
  <c r="AN196" i="63" a="1"/>
  <c r="AN196" i="63" s="1"/>
  <c r="B198" i="65" s="1"/>
  <c r="O197" i="65"/>
  <c r="L197" i="65"/>
  <c r="M197" i="65" s="1"/>
  <c r="C197" i="65"/>
  <c r="N196" i="65"/>
  <c r="P196" i="65"/>
  <c r="AM196" i="65"/>
  <c r="D196" i="65"/>
  <c r="E196" i="65" s="1"/>
  <c r="F196" i="65" s="1"/>
  <c r="G196" i="65" s="1"/>
  <c r="H196" i="65" s="1"/>
  <c r="I196" i="65" s="1"/>
  <c r="J196" i="65" s="1"/>
  <c r="K196" i="65" s="1"/>
  <c r="AE196" i="65" l="1"/>
  <c r="AV196" i="65"/>
  <c r="Q196" i="65"/>
  <c r="AH196" i="65"/>
  <c r="U196" i="65"/>
  <c r="AF196" i="65"/>
  <c r="R196" i="65"/>
  <c r="S196" i="65" s="1"/>
  <c r="Y196" i="65" s="1"/>
  <c r="AB196" i="65" s="1"/>
  <c r="AC196" i="65" s="1"/>
  <c r="AD196" i="65" s="1"/>
  <c r="D197" i="65"/>
  <c r="E197" i="65" s="1"/>
  <c r="F197" i="65" s="1"/>
  <c r="G197" i="65" s="1"/>
  <c r="H197" i="65" s="1"/>
  <c r="I197" i="65" s="1"/>
  <c r="J197" i="65" s="1"/>
  <c r="K197" i="65" s="1"/>
  <c r="AM197" i="65"/>
  <c r="N197" i="65"/>
  <c r="P197" i="65"/>
  <c r="AG195" i="65"/>
  <c r="C198" i="65"/>
  <c r="O198" i="65"/>
  <c r="L198" i="65"/>
  <c r="M198" i="65" s="1"/>
  <c r="AN197" i="63" a="1"/>
  <c r="AN197" i="63" s="1"/>
  <c r="B199" i="65" s="1"/>
  <c r="AN198" i="63" l="1" a="1"/>
  <c r="AN198" i="63" s="1"/>
  <c r="B200" i="65" s="1"/>
  <c r="R197" i="65"/>
  <c r="S197" i="65" s="1"/>
  <c r="Y197" i="65" s="1"/>
  <c r="AB197" i="65" s="1"/>
  <c r="AC197" i="65" s="1"/>
  <c r="AD197" i="65" s="1"/>
  <c r="AF197" i="65"/>
  <c r="AH197" i="65"/>
  <c r="U197" i="65"/>
  <c r="Q197" i="65"/>
  <c r="AV197" i="65"/>
  <c r="AE197" i="65"/>
  <c r="AG196" i="65"/>
  <c r="L199" i="65"/>
  <c r="M199" i="65" s="1"/>
  <c r="C199" i="65"/>
  <c r="O199" i="65"/>
  <c r="AM198" i="65"/>
  <c r="P198" i="65"/>
  <c r="N198" i="65"/>
  <c r="D198" i="65"/>
  <c r="E198" i="65" s="1"/>
  <c r="F198" i="65" s="1"/>
  <c r="G198" i="65" s="1"/>
  <c r="H198" i="65" s="1"/>
  <c r="I198" i="65" s="1"/>
  <c r="J198" i="65" s="1"/>
  <c r="K198" i="65" s="1"/>
  <c r="AH198" i="65" l="1"/>
  <c r="U198" i="65"/>
  <c r="AF198" i="65"/>
  <c r="AV198" i="65"/>
  <c r="R198" i="65"/>
  <c r="S198" i="65" s="1"/>
  <c r="Y198" i="65" s="1"/>
  <c r="AB198" i="65" s="1"/>
  <c r="AC198" i="65" s="1"/>
  <c r="AD198" i="65" s="1"/>
  <c r="AE198" i="65"/>
  <c r="Q198" i="65"/>
  <c r="N199" i="65"/>
  <c r="P199" i="65"/>
  <c r="AM199" i="65"/>
  <c r="D199" i="65"/>
  <c r="E199" i="65" s="1"/>
  <c r="F199" i="65" s="1"/>
  <c r="G199" i="65" s="1"/>
  <c r="H199" i="65" s="1"/>
  <c r="I199" i="65" s="1"/>
  <c r="J199" i="65" s="1"/>
  <c r="K199" i="65" s="1"/>
  <c r="AG197" i="65"/>
  <c r="AN199" i="63" a="1"/>
  <c r="AN199" i="63" s="1"/>
  <c r="B201" i="65" s="1"/>
  <c r="L200" i="65"/>
  <c r="M200" i="65" s="1"/>
  <c r="C200" i="65"/>
  <c r="O200" i="65"/>
  <c r="AE199" i="65" l="1"/>
  <c r="AV199" i="65"/>
  <c r="R199" i="65"/>
  <c r="S199" i="65" s="1"/>
  <c r="Y199" i="65" s="1"/>
  <c r="AB199" i="65" s="1"/>
  <c r="AC199" i="65" s="1"/>
  <c r="AD199" i="65" s="1"/>
  <c r="AF199" i="65"/>
  <c r="Q199" i="65"/>
  <c r="U199" i="65"/>
  <c r="AH199" i="65"/>
  <c r="AN200" i="63" a="1"/>
  <c r="AN200" i="63" s="1"/>
  <c r="B202" i="65" s="1"/>
  <c r="AG198" i="65"/>
  <c r="C201" i="65"/>
  <c r="O201" i="65"/>
  <c r="L201" i="65"/>
  <c r="M201" i="65" s="1"/>
  <c r="D200" i="65"/>
  <c r="E200" i="65" s="1"/>
  <c r="F200" i="65" s="1"/>
  <c r="G200" i="65" s="1"/>
  <c r="H200" i="65" s="1"/>
  <c r="I200" i="65" s="1"/>
  <c r="J200" i="65" s="1"/>
  <c r="K200" i="65" s="1"/>
  <c r="AM200" i="65"/>
  <c r="P200" i="65"/>
  <c r="N200" i="65"/>
  <c r="AG199" i="65" l="1"/>
  <c r="C202" i="65"/>
  <c r="O202" i="65"/>
  <c r="L202" i="65"/>
  <c r="M202" i="65" s="1"/>
  <c r="N201" i="65"/>
  <c r="AM201" i="65"/>
  <c r="D201" i="65"/>
  <c r="E201" i="65" s="1"/>
  <c r="F201" i="65" s="1"/>
  <c r="G201" i="65" s="1"/>
  <c r="H201" i="65" s="1"/>
  <c r="I201" i="65" s="1"/>
  <c r="J201" i="65" s="1"/>
  <c r="K201" i="65" s="1"/>
  <c r="P201" i="65"/>
  <c r="AN201" i="63" a="1"/>
  <c r="AN201" i="63" s="1"/>
  <c r="B203" i="65" s="1"/>
  <c r="Q200" i="65"/>
  <c r="AF200" i="65"/>
  <c r="U200" i="65"/>
  <c r="AV200" i="65"/>
  <c r="R200" i="65"/>
  <c r="S200" i="65" s="1"/>
  <c r="Y200" i="65" s="1"/>
  <c r="AB200" i="65" s="1"/>
  <c r="AC200" i="65" s="1"/>
  <c r="AD200" i="65" s="1"/>
  <c r="AH200" i="65"/>
  <c r="AE200" i="65"/>
  <c r="AN202" i="63" l="1" a="1"/>
  <c r="AN202" i="63" s="1"/>
  <c r="B204" i="65" s="1"/>
  <c r="AG200" i="65"/>
  <c r="O203" i="65"/>
  <c r="L203" i="65"/>
  <c r="M203" i="65" s="1"/>
  <c r="C203" i="65"/>
  <c r="R201" i="65"/>
  <c r="S201" i="65" s="1"/>
  <c r="Y201" i="65" s="1"/>
  <c r="AB201" i="65" s="1"/>
  <c r="AC201" i="65" s="1"/>
  <c r="AD201" i="65" s="1"/>
  <c r="AV201" i="65"/>
  <c r="Q201" i="65"/>
  <c r="U201" i="65"/>
  <c r="AF201" i="65"/>
  <c r="AH201" i="65"/>
  <c r="AE201" i="65"/>
  <c r="AM202" i="65"/>
  <c r="N202" i="65"/>
  <c r="D202" i="65"/>
  <c r="E202" i="65" s="1"/>
  <c r="F202" i="65" s="1"/>
  <c r="G202" i="65" s="1"/>
  <c r="H202" i="65" s="1"/>
  <c r="I202" i="65" s="1"/>
  <c r="J202" i="65" s="1"/>
  <c r="K202" i="65" s="1"/>
  <c r="P202" i="65"/>
  <c r="AH202" i="65" l="1"/>
  <c r="R202" i="65"/>
  <c r="S202" i="65" s="1"/>
  <c r="Y202" i="65" s="1"/>
  <c r="AB202" i="65" s="1"/>
  <c r="AC202" i="65" s="1"/>
  <c r="AD202" i="65" s="1"/>
  <c r="U202" i="65"/>
  <c r="AE202" i="65"/>
  <c r="AV202" i="65"/>
  <c r="Q202" i="65"/>
  <c r="AF202" i="65"/>
  <c r="AG201" i="65"/>
  <c r="P203" i="65"/>
  <c r="AM203" i="65"/>
  <c r="N203" i="65"/>
  <c r="D203" i="65"/>
  <c r="E203" i="65" s="1"/>
  <c r="F203" i="65" s="1"/>
  <c r="G203" i="65" s="1"/>
  <c r="H203" i="65" s="1"/>
  <c r="I203" i="65" s="1"/>
  <c r="J203" i="65" s="1"/>
  <c r="K203" i="65" s="1"/>
  <c r="O204" i="65"/>
  <c r="L204" i="65"/>
  <c r="M204" i="65" s="1"/>
  <c r="C204" i="65"/>
  <c r="AN203" i="63" a="1"/>
  <c r="AN203" i="63" s="1"/>
  <c r="B205" i="65" s="1"/>
  <c r="U203" i="65" l="1"/>
  <c r="R203" i="65"/>
  <c r="S203" i="65" s="1"/>
  <c r="Y203" i="65" s="1"/>
  <c r="AB203" i="65" s="1"/>
  <c r="AC203" i="65" s="1"/>
  <c r="AD203" i="65" s="1"/>
  <c r="AE203" i="65"/>
  <c r="AV203" i="65"/>
  <c r="Q203" i="65"/>
  <c r="AH203" i="65"/>
  <c r="AF203" i="65"/>
  <c r="C205" i="65"/>
  <c r="L205" i="65"/>
  <c r="M205" i="65" s="1"/>
  <c r="O205" i="65"/>
  <c r="AG202" i="65"/>
  <c r="P204" i="65"/>
  <c r="D204" i="65"/>
  <c r="E204" i="65" s="1"/>
  <c r="F204" i="65" s="1"/>
  <c r="G204" i="65" s="1"/>
  <c r="H204" i="65" s="1"/>
  <c r="I204" i="65" s="1"/>
  <c r="J204" i="65" s="1"/>
  <c r="K204" i="65" s="1"/>
  <c r="N204" i="65"/>
  <c r="AM204" i="65"/>
  <c r="AN204" i="63" a="1"/>
  <c r="AN204" i="63" s="1"/>
  <c r="B206" i="65" s="1"/>
  <c r="AG203" i="65" l="1"/>
  <c r="AN205" i="63" a="1"/>
  <c r="AN205" i="63" s="1"/>
  <c r="B207" i="65" s="1"/>
  <c r="D205" i="65"/>
  <c r="E205" i="65" s="1"/>
  <c r="F205" i="65" s="1"/>
  <c r="G205" i="65" s="1"/>
  <c r="H205" i="65" s="1"/>
  <c r="I205" i="65" s="1"/>
  <c r="J205" i="65" s="1"/>
  <c r="K205" i="65" s="1"/>
  <c r="P205" i="65"/>
  <c r="AM205" i="65"/>
  <c r="N205" i="65"/>
  <c r="AF204" i="65"/>
  <c r="R204" i="65"/>
  <c r="S204" i="65" s="1"/>
  <c r="Y204" i="65" s="1"/>
  <c r="AB204" i="65" s="1"/>
  <c r="AC204" i="65" s="1"/>
  <c r="AD204" i="65" s="1"/>
  <c r="U204" i="65"/>
  <c r="AE204" i="65"/>
  <c r="AV204" i="65"/>
  <c r="AH204" i="65"/>
  <c r="Q204" i="65"/>
  <c r="L206" i="65"/>
  <c r="M206" i="65" s="1"/>
  <c r="O206" i="65"/>
  <c r="C206" i="65"/>
  <c r="AG204" i="65" l="1"/>
  <c r="C207" i="65"/>
  <c r="O207" i="65"/>
  <c r="L207" i="65"/>
  <c r="M207" i="65" s="1"/>
  <c r="AN206" i="63" a="1"/>
  <c r="AN206" i="63" s="1"/>
  <c r="B208" i="65" s="1"/>
  <c r="U205" i="65"/>
  <c r="Q205" i="65"/>
  <c r="AV205" i="65"/>
  <c r="AF205" i="65"/>
  <c r="AH205" i="65"/>
  <c r="AE205" i="65"/>
  <c r="R205" i="65"/>
  <c r="S205" i="65" s="1"/>
  <c r="Y205" i="65" s="1"/>
  <c r="AB205" i="65" s="1"/>
  <c r="AC205" i="65" s="1"/>
  <c r="AD205" i="65" s="1"/>
  <c r="D206" i="65"/>
  <c r="E206" i="65" s="1"/>
  <c r="F206" i="65" s="1"/>
  <c r="G206" i="65" s="1"/>
  <c r="H206" i="65" s="1"/>
  <c r="I206" i="65" s="1"/>
  <c r="J206" i="65" s="1"/>
  <c r="K206" i="65" s="1"/>
  <c r="P206" i="65"/>
  <c r="N206" i="65"/>
  <c r="AM206" i="65"/>
  <c r="AG205" i="65" l="1"/>
  <c r="AN207" i="63" a="1"/>
  <c r="AN207" i="63" s="1"/>
  <c r="B209" i="65" s="1"/>
  <c r="AV206" i="65"/>
  <c r="U206" i="65"/>
  <c r="AF206" i="65"/>
  <c r="Q206" i="65"/>
  <c r="R206" i="65"/>
  <c r="S206" i="65" s="1"/>
  <c r="Y206" i="65" s="1"/>
  <c r="AB206" i="65" s="1"/>
  <c r="AC206" i="65" s="1"/>
  <c r="AD206" i="65" s="1"/>
  <c r="AH206" i="65"/>
  <c r="AE206" i="65"/>
  <c r="N207" i="65"/>
  <c r="AM207" i="65"/>
  <c r="P207" i="65"/>
  <c r="D207" i="65"/>
  <c r="E207" i="65" s="1"/>
  <c r="F207" i="65" s="1"/>
  <c r="G207" i="65" s="1"/>
  <c r="H207" i="65" s="1"/>
  <c r="I207" i="65" s="1"/>
  <c r="J207" i="65" s="1"/>
  <c r="K207" i="65" s="1"/>
  <c r="L208" i="65"/>
  <c r="M208" i="65" s="1"/>
  <c r="O208" i="65"/>
  <c r="C208" i="65"/>
  <c r="P208" i="65" l="1"/>
  <c r="N208" i="65"/>
  <c r="AM208" i="65"/>
  <c r="D208" i="65"/>
  <c r="E208" i="65" s="1"/>
  <c r="F208" i="65" s="1"/>
  <c r="G208" i="65" s="1"/>
  <c r="H208" i="65" s="1"/>
  <c r="I208" i="65" s="1"/>
  <c r="J208" i="65" s="1"/>
  <c r="K208" i="65" s="1"/>
  <c r="AG206" i="65"/>
  <c r="AN208" i="63" a="1"/>
  <c r="AN208" i="63" s="1"/>
  <c r="B210" i="65" s="1"/>
  <c r="U207" i="65"/>
  <c r="R207" i="65"/>
  <c r="S207" i="65" s="1"/>
  <c r="Y207" i="65" s="1"/>
  <c r="AB207" i="65" s="1"/>
  <c r="AC207" i="65" s="1"/>
  <c r="AD207" i="65" s="1"/>
  <c r="AV207" i="65"/>
  <c r="AF207" i="65"/>
  <c r="AH207" i="65"/>
  <c r="Q207" i="65"/>
  <c r="AE207" i="65"/>
  <c r="O209" i="65"/>
  <c r="C209" i="65"/>
  <c r="L209" i="65"/>
  <c r="M209" i="65" s="1"/>
  <c r="AG207" i="65" l="1"/>
  <c r="N209" i="65"/>
  <c r="AM209" i="65"/>
  <c r="D209" i="65"/>
  <c r="E209" i="65" s="1"/>
  <c r="F209" i="65" s="1"/>
  <c r="G209" i="65" s="1"/>
  <c r="H209" i="65" s="1"/>
  <c r="I209" i="65" s="1"/>
  <c r="J209" i="65" s="1"/>
  <c r="K209" i="65" s="1"/>
  <c r="P209" i="65"/>
  <c r="O210" i="65"/>
  <c r="C210" i="65"/>
  <c r="L210" i="65"/>
  <c r="M210" i="65" s="1"/>
  <c r="AN209" i="63" a="1"/>
  <c r="AN209" i="63" s="1"/>
  <c r="B211" i="65" s="1"/>
  <c r="AF208" i="65"/>
  <c r="R208" i="65"/>
  <c r="S208" i="65" s="1"/>
  <c r="Y208" i="65" s="1"/>
  <c r="AB208" i="65" s="1"/>
  <c r="AC208" i="65" s="1"/>
  <c r="AD208" i="65" s="1"/>
  <c r="U208" i="65"/>
  <c r="AV208" i="65"/>
  <c r="AE208" i="65"/>
  <c r="AH208" i="65"/>
  <c r="Q208" i="65"/>
  <c r="AN210" i="63" l="1" a="1"/>
  <c r="AN210" i="63" s="1"/>
  <c r="B212" i="65" s="1"/>
  <c r="AG208" i="65"/>
  <c r="N210" i="65"/>
  <c r="D210" i="65"/>
  <c r="E210" i="65" s="1"/>
  <c r="F210" i="65" s="1"/>
  <c r="G210" i="65" s="1"/>
  <c r="H210" i="65" s="1"/>
  <c r="I210" i="65" s="1"/>
  <c r="J210" i="65" s="1"/>
  <c r="K210" i="65" s="1"/>
  <c r="AM210" i="65"/>
  <c r="P210" i="65"/>
  <c r="O211" i="65"/>
  <c r="L211" i="65"/>
  <c r="M211" i="65" s="1"/>
  <c r="C211" i="65"/>
  <c r="AE209" i="65"/>
  <c r="AH209" i="65"/>
  <c r="Q209" i="65"/>
  <c r="AF209" i="65"/>
  <c r="AV209" i="65"/>
  <c r="R209" i="65"/>
  <c r="S209" i="65" s="1"/>
  <c r="Y209" i="65" s="1"/>
  <c r="AB209" i="65" s="1"/>
  <c r="AC209" i="65" s="1"/>
  <c r="AD209" i="65" s="1"/>
  <c r="U209" i="65"/>
  <c r="AG209" i="65" l="1"/>
  <c r="AE210" i="65"/>
  <c r="R210" i="65"/>
  <c r="S210" i="65" s="1"/>
  <c r="Y210" i="65" s="1"/>
  <c r="AB210" i="65" s="1"/>
  <c r="AC210" i="65" s="1"/>
  <c r="AD210" i="65" s="1"/>
  <c r="Q210" i="65"/>
  <c r="AF210" i="65"/>
  <c r="U210" i="65"/>
  <c r="AV210" i="65"/>
  <c r="AH210" i="65"/>
  <c r="AM211" i="65"/>
  <c r="P211" i="65"/>
  <c r="N211" i="65"/>
  <c r="D211" i="65"/>
  <c r="E211" i="65" s="1"/>
  <c r="F211" i="65" s="1"/>
  <c r="G211" i="65" s="1"/>
  <c r="H211" i="65" s="1"/>
  <c r="I211" i="65" s="1"/>
  <c r="J211" i="65" s="1"/>
  <c r="K211" i="65" s="1"/>
  <c r="C212" i="65"/>
  <c r="O212" i="65"/>
  <c r="L212" i="65"/>
  <c r="M212" i="65" s="1"/>
  <c r="AN211" i="63" a="1"/>
  <c r="AN211" i="63" s="1"/>
  <c r="B213" i="65" s="1"/>
  <c r="AG210" i="65" l="1"/>
  <c r="AN212" i="63" a="1"/>
  <c r="AN212" i="63" s="1"/>
  <c r="B214" i="65" s="1"/>
  <c r="C213" i="65"/>
  <c r="O213" i="65"/>
  <c r="L213" i="65"/>
  <c r="M213" i="65" s="1"/>
  <c r="AM212" i="65"/>
  <c r="N212" i="65"/>
  <c r="P212" i="65"/>
  <c r="D212" i="65"/>
  <c r="E212" i="65" s="1"/>
  <c r="F212" i="65" s="1"/>
  <c r="G212" i="65" s="1"/>
  <c r="H212" i="65" s="1"/>
  <c r="I212" i="65" s="1"/>
  <c r="J212" i="65" s="1"/>
  <c r="K212" i="65" s="1"/>
  <c r="AV211" i="65"/>
  <c r="AF211" i="65"/>
  <c r="AE211" i="65"/>
  <c r="Q211" i="65"/>
  <c r="R211" i="65"/>
  <c r="S211" i="65" s="1"/>
  <c r="Y211" i="65" s="1"/>
  <c r="AB211" i="65" s="1"/>
  <c r="AC211" i="65" s="1"/>
  <c r="AD211" i="65" s="1"/>
  <c r="U211" i="65"/>
  <c r="AH211" i="65"/>
  <c r="AG211" i="65" l="1"/>
  <c r="AN213" i="63" a="1"/>
  <c r="AN213" i="63" s="1"/>
  <c r="B215" i="65" s="1"/>
  <c r="R212" i="65"/>
  <c r="S212" i="65" s="1"/>
  <c r="Y212" i="65" s="1"/>
  <c r="AB212" i="65" s="1"/>
  <c r="AC212" i="65" s="1"/>
  <c r="AD212" i="65" s="1"/>
  <c r="AE212" i="65"/>
  <c r="Q212" i="65"/>
  <c r="AF212" i="65"/>
  <c r="U212" i="65"/>
  <c r="AH212" i="65"/>
  <c r="AV212" i="65"/>
  <c r="D213" i="65"/>
  <c r="E213" i="65" s="1"/>
  <c r="F213" i="65" s="1"/>
  <c r="G213" i="65" s="1"/>
  <c r="H213" i="65" s="1"/>
  <c r="I213" i="65" s="1"/>
  <c r="J213" i="65" s="1"/>
  <c r="K213" i="65" s="1"/>
  <c r="N213" i="65"/>
  <c r="AM213" i="65"/>
  <c r="P213" i="65"/>
  <c r="O214" i="65"/>
  <c r="L214" i="65"/>
  <c r="M214" i="65" s="1"/>
  <c r="C214" i="65"/>
  <c r="AG212" i="65" l="1"/>
  <c r="C215" i="65"/>
  <c r="O215" i="65"/>
  <c r="L215" i="65"/>
  <c r="M215" i="65" s="1"/>
  <c r="P214" i="65"/>
  <c r="D214" i="65"/>
  <c r="E214" i="65" s="1"/>
  <c r="F214" i="65" s="1"/>
  <c r="G214" i="65" s="1"/>
  <c r="H214" i="65" s="1"/>
  <c r="I214" i="65" s="1"/>
  <c r="J214" i="65" s="1"/>
  <c r="K214" i="65" s="1"/>
  <c r="N214" i="65"/>
  <c r="AM214" i="65"/>
  <c r="AF213" i="65"/>
  <c r="AE213" i="65"/>
  <c r="U213" i="65"/>
  <c r="Q213" i="65"/>
  <c r="AH213" i="65"/>
  <c r="AV213" i="65"/>
  <c r="R213" i="65"/>
  <c r="S213" i="65" s="1"/>
  <c r="Y213" i="65" s="1"/>
  <c r="AB213" i="65" s="1"/>
  <c r="AC213" i="65" s="1"/>
  <c r="AD213" i="65" s="1"/>
  <c r="AN214" i="63" a="1"/>
  <c r="AN214" i="63" s="1"/>
  <c r="B216" i="65" s="1"/>
  <c r="O216" i="65" l="1"/>
  <c r="L216" i="65"/>
  <c r="M216" i="65" s="1"/>
  <c r="C216" i="65"/>
  <c r="AV214" i="65"/>
  <c r="AF214" i="65"/>
  <c r="Q214" i="65"/>
  <c r="AH214" i="65"/>
  <c r="AE214" i="65"/>
  <c r="R214" i="65"/>
  <c r="S214" i="65" s="1"/>
  <c r="Y214" i="65" s="1"/>
  <c r="AB214" i="65" s="1"/>
  <c r="AC214" i="65" s="1"/>
  <c r="AD214" i="65" s="1"/>
  <c r="U214" i="65"/>
  <c r="D215" i="65"/>
  <c r="E215" i="65" s="1"/>
  <c r="F215" i="65" s="1"/>
  <c r="G215" i="65" s="1"/>
  <c r="H215" i="65" s="1"/>
  <c r="I215" i="65" s="1"/>
  <c r="J215" i="65" s="1"/>
  <c r="K215" i="65" s="1"/>
  <c r="AM215" i="65"/>
  <c r="P215" i="65"/>
  <c r="N215" i="65"/>
  <c r="AN215" i="63" a="1"/>
  <c r="AN215" i="63" s="1"/>
  <c r="B217" i="65" s="1"/>
  <c r="AG213" i="65"/>
  <c r="D216" i="65" l="1"/>
  <c r="E216" i="65" s="1"/>
  <c r="F216" i="65" s="1"/>
  <c r="G216" i="65" s="1"/>
  <c r="H216" i="65" s="1"/>
  <c r="I216" i="65" s="1"/>
  <c r="J216" i="65" s="1"/>
  <c r="K216" i="65" s="1"/>
  <c r="P216" i="65"/>
  <c r="AM216" i="65"/>
  <c r="N216" i="65"/>
  <c r="AN216" i="63" a="1"/>
  <c r="AN216" i="63" s="1"/>
  <c r="B218" i="65" s="1"/>
  <c r="O217" i="65"/>
  <c r="C217" i="65"/>
  <c r="L217" i="65"/>
  <c r="M217" i="65" s="1"/>
  <c r="AV215" i="65"/>
  <c r="R215" i="65"/>
  <c r="S215" i="65" s="1"/>
  <c r="Y215" i="65" s="1"/>
  <c r="AB215" i="65" s="1"/>
  <c r="AC215" i="65" s="1"/>
  <c r="AD215" i="65" s="1"/>
  <c r="AF215" i="65"/>
  <c r="AE215" i="65"/>
  <c r="Q215" i="65"/>
  <c r="AH215" i="65"/>
  <c r="U215" i="65"/>
  <c r="AG214" i="65"/>
  <c r="O218" i="65" l="1"/>
  <c r="C218" i="65"/>
  <c r="L218" i="65"/>
  <c r="M218" i="65" s="1"/>
  <c r="AG215" i="65"/>
  <c r="D217" i="65"/>
  <c r="E217" i="65" s="1"/>
  <c r="F217" i="65" s="1"/>
  <c r="G217" i="65" s="1"/>
  <c r="H217" i="65" s="1"/>
  <c r="I217" i="65" s="1"/>
  <c r="J217" i="65" s="1"/>
  <c r="K217" i="65" s="1"/>
  <c r="AM217" i="65"/>
  <c r="P217" i="65"/>
  <c r="N217" i="65"/>
  <c r="R216" i="65"/>
  <c r="S216" i="65" s="1"/>
  <c r="Y216" i="65" s="1"/>
  <c r="AB216" i="65" s="1"/>
  <c r="AC216" i="65" s="1"/>
  <c r="AD216" i="65" s="1"/>
  <c r="AH216" i="65"/>
  <c r="U216" i="65"/>
  <c r="AF216" i="65"/>
  <c r="Q216" i="65"/>
  <c r="AE216" i="65"/>
  <c r="AV216" i="65"/>
  <c r="AN217" i="63" a="1"/>
  <c r="AN217" i="63" s="1"/>
  <c r="B219" i="65" s="1"/>
  <c r="AN218" i="63" l="1" a="1"/>
  <c r="AN218" i="63" s="1"/>
  <c r="B220" i="65" s="1"/>
  <c r="AM218" i="65"/>
  <c r="D218" i="65"/>
  <c r="E218" i="65" s="1"/>
  <c r="F218" i="65" s="1"/>
  <c r="G218" i="65" s="1"/>
  <c r="H218" i="65" s="1"/>
  <c r="I218" i="65" s="1"/>
  <c r="J218" i="65" s="1"/>
  <c r="K218" i="65" s="1"/>
  <c r="P218" i="65"/>
  <c r="N218" i="65"/>
  <c r="O219" i="65"/>
  <c r="L219" i="65"/>
  <c r="M219" i="65" s="1"/>
  <c r="C219" i="65"/>
  <c r="AG216" i="65"/>
  <c r="AV217" i="65"/>
  <c r="Q217" i="65"/>
  <c r="AE217" i="65"/>
  <c r="U217" i="65"/>
  <c r="AH217" i="65"/>
  <c r="R217" i="65"/>
  <c r="S217" i="65" s="1"/>
  <c r="Y217" i="65" s="1"/>
  <c r="AB217" i="65" s="1"/>
  <c r="AC217" i="65" s="1"/>
  <c r="AD217" i="65" s="1"/>
  <c r="AF217" i="65"/>
  <c r="U218" i="65" l="1"/>
  <c r="R218" i="65"/>
  <c r="S218" i="65" s="1"/>
  <c r="Y218" i="65" s="1"/>
  <c r="AB218" i="65" s="1"/>
  <c r="AC218" i="65" s="1"/>
  <c r="AD218" i="65" s="1"/>
  <c r="AV218" i="65"/>
  <c r="AE218" i="65"/>
  <c r="AH218" i="65"/>
  <c r="AF218" i="65"/>
  <c r="Q218" i="65"/>
  <c r="AG217" i="65"/>
  <c r="N219" i="65"/>
  <c r="AM219" i="65"/>
  <c r="D219" i="65"/>
  <c r="E219" i="65" s="1"/>
  <c r="F219" i="65" s="1"/>
  <c r="G219" i="65" s="1"/>
  <c r="H219" i="65" s="1"/>
  <c r="I219" i="65" s="1"/>
  <c r="J219" i="65" s="1"/>
  <c r="K219" i="65" s="1"/>
  <c r="P219" i="65"/>
  <c r="AN219" i="63" a="1"/>
  <c r="AN219" i="63" s="1"/>
  <c r="B221" i="65" s="1"/>
  <c r="L220" i="65"/>
  <c r="M220" i="65" s="1"/>
  <c r="O220" i="65"/>
  <c r="C220" i="65"/>
  <c r="AG218" i="65" l="1"/>
  <c r="P220" i="65"/>
  <c r="AM220" i="65"/>
  <c r="N220" i="65"/>
  <c r="D220" i="65"/>
  <c r="E220" i="65" s="1"/>
  <c r="F220" i="65" s="1"/>
  <c r="G220" i="65" s="1"/>
  <c r="H220" i="65" s="1"/>
  <c r="I220" i="65" s="1"/>
  <c r="J220" i="65" s="1"/>
  <c r="K220" i="65" s="1"/>
  <c r="AN220" i="63" a="1"/>
  <c r="AN220" i="63" s="1"/>
  <c r="B222" i="65" s="1"/>
  <c r="O221" i="65"/>
  <c r="C221" i="65"/>
  <c r="L221" i="65"/>
  <c r="M221" i="65" s="1"/>
  <c r="U219" i="65"/>
  <c r="R219" i="65"/>
  <c r="S219" i="65" s="1"/>
  <c r="Y219" i="65" s="1"/>
  <c r="AB219" i="65" s="1"/>
  <c r="AC219" i="65" s="1"/>
  <c r="AD219" i="65" s="1"/>
  <c r="Q219" i="65"/>
  <c r="AH219" i="65"/>
  <c r="AV219" i="65"/>
  <c r="AE219" i="65"/>
  <c r="AF219" i="65"/>
  <c r="AN221" i="63" l="1" a="1"/>
  <c r="AN221" i="63" s="1"/>
  <c r="B223" i="65" s="1"/>
  <c r="AG219" i="65"/>
  <c r="N221" i="65"/>
  <c r="AM221" i="65"/>
  <c r="D221" i="65"/>
  <c r="E221" i="65" s="1"/>
  <c r="F221" i="65" s="1"/>
  <c r="G221" i="65" s="1"/>
  <c r="H221" i="65" s="1"/>
  <c r="I221" i="65" s="1"/>
  <c r="J221" i="65" s="1"/>
  <c r="K221" i="65" s="1"/>
  <c r="P221" i="65"/>
  <c r="U220" i="65"/>
  <c r="Q220" i="65"/>
  <c r="R220" i="65"/>
  <c r="S220" i="65" s="1"/>
  <c r="Y220" i="65" s="1"/>
  <c r="AB220" i="65" s="1"/>
  <c r="AC220" i="65" s="1"/>
  <c r="AD220" i="65" s="1"/>
  <c r="AF220" i="65"/>
  <c r="AH220" i="65"/>
  <c r="AE220" i="65"/>
  <c r="AV220" i="65"/>
  <c r="L222" i="65"/>
  <c r="M222" i="65" s="1"/>
  <c r="O222" i="65"/>
  <c r="C222" i="65"/>
  <c r="AN222" i="63" l="1" a="1"/>
  <c r="AN222" i="63" s="1"/>
  <c r="B224" i="65" s="1"/>
  <c r="AM222" i="65"/>
  <c r="P222" i="65"/>
  <c r="N222" i="65"/>
  <c r="D222" i="65"/>
  <c r="E222" i="65" s="1"/>
  <c r="F222" i="65" s="1"/>
  <c r="G222" i="65" s="1"/>
  <c r="H222" i="65" s="1"/>
  <c r="I222" i="65" s="1"/>
  <c r="J222" i="65" s="1"/>
  <c r="K222" i="65" s="1"/>
  <c r="AH221" i="65"/>
  <c r="U221" i="65"/>
  <c r="Q221" i="65"/>
  <c r="R221" i="65"/>
  <c r="S221" i="65" s="1"/>
  <c r="Y221" i="65" s="1"/>
  <c r="AB221" i="65" s="1"/>
  <c r="AC221" i="65" s="1"/>
  <c r="AD221" i="65" s="1"/>
  <c r="AV221" i="65"/>
  <c r="AF221" i="65"/>
  <c r="AE221" i="65"/>
  <c r="AG220" i="65"/>
  <c r="O223" i="65"/>
  <c r="L223" i="65"/>
  <c r="M223" i="65" s="1"/>
  <c r="C223" i="65"/>
  <c r="AN223" i="63" l="1" a="1"/>
  <c r="AN223" i="63" s="1"/>
  <c r="B225" i="65" s="1"/>
  <c r="AG221" i="65"/>
  <c r="AE222" i="65"/>
  <c r="AH222" i="65"/>
  <c r="AF222" i="65"/>
  <c r="AV222" i="65"/>
  <c r="U222" i="65"/>
  <c r="R222" i="65"/>
  <c r="S222" i="65" s="1"/>
  <c r="Y222" i="65" s="1"/>
  <c r="AB222" i="65" s="1"/>
  <c r="AC222" i="65" s="1"/>
  <c r="AD222" i="65" s="1"/>
  <c r="Q222" i="65"/>
  <c r="N223" i="65"/>
  <c r="D223" i="65"/>
  <c r="E223" i="65" s="1"/>
  <c r="F223" i="65" s="1"/>
  <c r="G223" i="65" s="1"/>
  <c r="H223" i="65" s="1"/>
  <c r="I223" i="65" s="1"/>
  <c r="J223" i="65" s="1"/>
  <c r="K223" i="65" s="1"/>
  <c r="P223" i="65"/>
  <c r="AM223" i="65"/>
  <c r="C224" i="65"/>
  <c r="L224" i="65"/>
  <c r="M224" i="65" s="1"/>
  <c r="O224" i="65"/>
  <c r="AG222" i="65" l="1"/>
  <c r="AM224" i="65"/>
  <c r="D224" i="65"/>
  <c r="E224" i="65" s="1"/>
  <c r="F224" i="65" s="1"/>
  <c r="G224" i="65" s="1"/>
  <c r="H224" i="65" s="1"/>
  <c r="I224" i="65" s="1"/>
  <c r="J224" i="65" s="1"/>
  <c r="K224" i="65" s="1"/>
  <c r="P224" i="65"/>
  <c r="N224" i="65"/>
  <c r="AN224" i="63" a="1"/>
  <c r="AN224" i="63" s="1"/>
  <c r="B226" i="65" s="1"/>
  <c r="U223" i="65"/>
  <c r="Q223" i="65"/>
  <c r="AH223" i="65"/>
  <c r="AE223" i="65"/>
  <c r="AF223" i="65"/>
  <c r="R223" i="65"/>
  <c r="S223" i="65" s="1"/>
  <c r="Y223" i="65" s="1"/>
  <c r="AB223" i="65" s="1"/>
  <c r="AC223" i="65" s="1"/>
  <c r="AD223" i="65" s="1"/>
  <c r="AV223" i="65"/>
  <c r="L225" i="65"/>
  <c r="M225" i="65" s="1"/>
  <c r="O225" i="65"/>
  <c r="C225" i="65"/>
  <c r="D225" i="65" l="1"/>
  <c r="E225" i="65" s="1"/>
  <c r="F225" i="65" s="1"/>
  <c r="G225" i="65" s="1"/>
  <c r="H225" i="65" s="1"/>
  <c r="I225" i="65" s="1"/>
  <c r="J225" i="65" s="1"/>
  <c r="K225" i="65" s="1"/>
  <c r="AM225" i="65"/>
  <c r="P225" i="65"/>
  <c r="N225" i="65"/>
  <c r="AV224" i="65"/>
  <c r="AE224" i="65"/>
  <c r="AH224" i="65"/>
  <c r="U224" i="65"/>
  <c r="R224" i="65"/>
  <c r="S224" i="65" s="1"/>
  <c r="Y224" i="65" s="1"/>
  <c r="AB224" i="65" s="1"/>
  <c r="AC224" i="65" s="1"/>
  <c r="AD224" i="65" s="1"/>
  <c r="AF224" i="65"/>
  <c r="Q224" i="65"/>
  <c r="AG223" i="65"/>
  <c r="AN225" i="63" a="1"/>
  <c r="AN225" i="63" s="1"/>
  <c r="B227" i="65" s="1"/>
  <c r="L226" i="65"/>
  <c r="M226" i="65" s="1"/>
  <c r="C226" i="65"/>
  <c r="O226" i="65"/>
  <c r="AG224" i="65" l="1"/>
  <c r="AN226" i="63" a="1"/>
  <c r="AN226" i="63" s="1"/>
  <c r="B228" i="65" s="1"/>
  <c r="AV225" i="65"/>
  <c r="AH225" i="65"/>
  <c r="AE225" i="65"/>
  <c r="AF225" i="65"/>
  <c r="R225" i="65"/>
  <c r="S225" i="65" s="1"/>
  <c r="Y225" i="65" s="1"/>
  <c r="AB225" i="65" s="1"/>
  <c r="AC225" i="65" s="1"/>
  <c r="AD225" i="65" s="1"/>
  <c r="Q225" i="65"/>
  <c r="U225" i="65"/>
  <c r="P226" i="65"/>
  <c r="N226" i="65"/>
  <c r="D226" i="65"/>
  <c r="E226" i="65" s="1"/>
  <c r="F226" i="65" s="1"/>
  <c r="G226" i="65" s="1"/>
  <c r="H226" i="65" s="1"/>
  <c r="I226" i="65" s="1"/>
  <c r="J226" i="65" s="1"/>
  <c r="K226" i="65" s="1"/>
  <c r="AM226" i="65"/>
  <c r="L227" i="65"/>
  <c r="M227" i="65" s="1"/>
  <c r="C227" i="65"/>
  <c r="O227" i="65"/>
  <c r="AG225" i="65" l="1"/>
  <c r="AN227" i="63" a="1"/>
  <c r="AN227" i="63" s="1"/>
  <c r="B229" i="65" s="1"/>
  <c r="P227" i="65"/>
  <c r="AM227" i="65"/>
  <c r="N227" i="65"/>
  <c r="D227" i="65"/>
  <c r="E227" i="65" s="1"/>
  <c r="F227" i="65" s="1"/>
  <c r="G227" i="65" s="1"/>
  <c r="H227" i="65" s="1"/>
  <c r="I227" i="65" s="1"/>
  <c r="J227" i="65" s="1"/>
  <c r="K227" i="65" s="1"/>
  <c r="R226" i="65"/>
  <c r="S226" i="65" s="1"/>
  <c r="Y226" i="65" s="1"/>
  <c r="AB226" i="65" s="1"/>
  <c r="AC226" i="65" s="1"/>
  <c r="AD226" i="65" s="1"/>
  <c r="Q226" i="65"/>
  <c r="U226" i="65"/>
  <c r="AV226" i="65"/>
  <c r="AH226" i="65"/>
  <c r="AF226" i="65"/>
  <c r="AE226" i="65"/>
  <c r="C228" i="65"/>
  <c r="O228" i="65"/>
  <c r="L228" i="65"/>
  <c r="M228" i="65" s="1"/>
  <c r="U227" i="65" l="1"/>
  <c r="AH227" i="65"/>
  <c r="Q227" i="65"/>
  <c r="AV227" i="65"/>
  <c r="AE227" i="65"/>
  <c r="AF227" i="65"/>
  <c r="R227" i="65"/>
  <c r="S227" i="65" s="1"/>
  <c r="Y227" i="65" s="1"/>
  <c r="AB227" i="65" s="1"/>
  <c r="AC227" i="65" s="1"/>
  <c r="AD227" i="65" s="1"/>
  <c r="AG226" i="65"/>
  <c r="AN228" i="63" a="1"/>
  <c r="AN228" i="63" s="1"/>
  <c r="B230" i="65" s="1"/>
  <c r="N228" i="65"/>
  <c r="AM228" i="65"/>
  <c r="D228" i="65"/>
  <c r="E228" i="65" s="1"/>
  <c r="F228" i="65" s="1"/>
  <c r="G228" i="65" s="1"/>
  <c r="H228" i="65" s="1"/>
  <c r="I228" i="65" s="1"/>
  <c r="J228" i="65" s="1"/>
  <c r="K228" i="65" s="1"/>
  <c r="P228" i="65"/>
  <c r="O229" i="65"/>
  <c r="L229" i="65"/>
  <c r="M229" i="65" s="1"/>
  <c r="C229" i="65"/>
  <c r="AN229" i="63" l="1" a="1"/>
  <c r="AN229" i="63" s="1"/>
  <c r="B231" i="65" s="1"/>
  <c r="AV228" i="65"/>
  <c r="U228" i="65"/>
  <c r="R228" i="65"/>
  <c r="S228" i="65" s="1"/>
  <c r="Y228" i="65" s="1"/>
  <c r="AB228" i="65" s="1"/>
  <c r="AC228" i="65" s="1"/>
  <c r="AD228" i="65" s="1"/>
  <c r="AH228" i="65"/>
  <c r="Q228" i="65"/>
  <c r="AF228" i="65"/>
  <c r="AE228" i="65"/>
  <c r="AG227" i="65"/>
  <c r="C230" i="65"/>
  <c r="L230" i="65"/>
  <c r="M230" i="65" s="1"/>
  <c r="O230" i="65"/>
  <c r="N229" i="65"/>
  <c r="D229" i="65"/>
  <c r="E229" i="65" s="1"/>
  <c r="F229" i="65" s="1"/>
  <c r="G229" i="65" s="1"/>
  <c r="H229" i="65" s="1"/>
  <c r="I229" i="65" s="1"/>
  <c r="J229" i="65" s="1"/>
  <c r="K229" i="65" s="1"/>
  <c r="AM229" i="65"/>
  <c r="P229" i="65"/>
  <c r="AG228" i="65" l="1"/>
  <c r="AN230" i="63" a="1"/>
  <c r="AN230" i="63" s="1"/>
  <c r="B232" i="65" s="1"/>
  <c r="U229" i="65"/>
  <c r="R229" i="65"/>
  <c r="S229" i="65" s="1"/>
  <c r="Y229" i="65" s="1"/>
  <c r="AB229" i="65" s="1"/>
  <c r="AC229" i="65" s="1"/>
  <c r="AD229" i="65" s="1"/>
  <c r="AE229" i="65"/>
  <c r="AF229" i="65"/>
  <c r="Q229" i="65"/>
  <c r="AV229" i="65"/>
  <c r="AH229" i="65"/>
  <c r="D230" i="65"/>
  <c r="E230" i="65" s="1"/>
  <c r="F230" i="65" s="1"/>
  <c r="G230" i="65" s="1"/>
  <c r="H230" i="65" s="1"/>
  <c r="I230" i="65" s="1"/>
  <c r="J230" i="65" s="1"/>
  <c r="K230" i="65" s="1"/>
  <c r="N230" i="65"/>
  <c r="P230" i="65"/>
  <c r="AM230" i="65"/>
  <c r="O231" i="65"/>
  <c r="C231" i="65"/>
  <c r="L231" i="65"/>
  <c r="M231" i="65" s="1"/>
  <c r="AG229" i="65" l="1"/>
  <c r="D231" i="65"/>
  <c r="E231" i="65" s="1"/>
  <c r="F231" i="65" s="1"/>
  <c r="G231" i="65" s="1"/>
  <c r="H231" i="65" s="1"/>
  <c r="I231" i="65" s="1"/>
  <c r="J231" i="65" s="1"/>
  <c r="K231" i="65" s="1"/>
  <c r="P231" i="65"/>
  <c r="N231" i="65"/>
  <c r="AM231" i="65"/>
  <c r="R230" i="65"/>
  <c r="S230" i="65" s="1"/>
  <c r="Y230" i="65" s="1"/>
  <c r="AB230" i="65" s="1"/>
  <c r="AC230" i="65" s="1"/>
  <c r="AD230" i="65" s="1"/>
  <c r="AE230" i="65"/>
  <c r="AV230" i="65"/>
  <c r="AF230" i="65"/>
  <c r="Q230" i="65"/>
  <c r="U230" i="65"/>
  <c r="AH230" i="65"/>
  <c r="L232" i="65"/>
  <c r="M232" i="65" s="1"/>
  <c r="O232" i="65"/>
  <c r="C232" i="65"/>
  <c r="AN231" i="63" a="1"/>
  <c r="AN231" i="63" s="1"/>
  <c r="B233" i="65" s="1"/>
  <c r="AG230" i="65" l="1"/>
  <c r="L233" i="65"/>
  <c r="M233" i="65" s="1"/>
  <c r="O233" i="65"/>
  <c r="C233" i="65"/>
  <c r="U231" i="65"/>
  <c r="AH231" i="65"/>
  <c r="Q231" i="65"/>
  <c r="AV231" i="65"/>
  <c r="AE231" i="65"/>
  <c r="AF231" i="65"/>
  <c r="R231" i="65"/>
  <c r="S231" i="65" s="1"/>
  <c r="Y231" i="65" s="1"/>
  <c r="AB231" i="65" s="1"/>
  <c r="AC231" i="65" s="1"/>
  <c r="AD231" i="65" s="1"/>
  <c r="D232" i="65"/>
  <c r="E232" i="65" s="1"/>
  <c r="F232" i="65" s="1"/>
  <c r="G232" i="65" s="1"/>
  <c r="H232" i="65" s="1"/>
  <c r="I232" i="65" s="1"/>
  <c r="J232" i="65" s="1"/>
  <c r="K232" i="65" s="1"/>
  <c r="P232" i="65"/>
  <c r="AM232" i="65"/>
  <c r="N232" i="65"/>
  <c r="AN232" i="63" a="1"/>
  <c r="AN232" i="63" s="1"/>
  <c r="B234" i="65" s="1"/>
  <c r="R232" i="65" l="1"/>
  <c r="S232" i="65" s="1"/>
  <c r="Y232" i="65" s="1"/>
  <c r="AB232" i="65" s="1"/>
  <c r="AC232" i="65" s="1"/>
  <c r="AD232" i="65" s="1"/>
  <c r="Q232" i="65"/>
  <c r="AE232" i="65"/>
  <c r="AV232" i="65"/>
  <c r="U232" i="65"/>
  <c r="AF232" i="65"/>
  <c r="AH232" i="65"/>
  <c r="D233" i="65"/>
  <c r="E233" i="65" s="1"/>
  <c r="F233" i="65" s="1"/>
  <c r="G233" i="65" s="1"/>
  <c r="H233" i="65" s="1"/>
  <c r="I233" i="65" s="1"/>
  <c r="J233" i="65" s="1"/>
  <c r="K233" i="65" s="1"/>
  <c r="N233" i="65"/>
  <c r="P233" i="65"/>
  <c r="AM233" i="65"/>
  <c r="AN233" i="63" a="1"/>
  <c r="AN233" i="63" s="1"/>
  <c r="B235" i="65" s="1"/>
  <c r="O234" i="65"/>
  <c r="C234" i="65"/>
  <c r="L234" i="65"/>
  <c r="M234" i="65" s="1"/>
  <c r="AG231" i="65"/>
  <c r="P234" i="65" l="1"/>
  <c r="N234" i="65"/>
  <c r="D234" i="65"/>
  <c r="E234" i="65" s="1"/>
  <c r="F234" i="65" s="1"/>
  <c r="G234" i="65" s="1"/>
  <c r="H234" i="65" s="1"/>
  <c r="I234" i="65" s="1"/>
  <c r="J234" i="65" s="1"/>
  <c r="K234" i="65" s="1"/>
  <c r="AM234" i="65"/>
  <c r="AV233" i="65"/>
  <c r="R233" i="65"/>
  <c r="S233" i="65" s="1"/>
  <c r="Y233" i="65" s="1"/>
  <c r="AB233" i="65" s="1"/>
  <c r="AC233" i="65" s="1"/>
  <c r="AD233" i="65" s="1"/>
  <c r="Q233" i="65"/>
  <c r="AH233" i="65"/>
  <c r="AE233" i="65"/>
  <c r="AF233" i="65"/>
  <c r="U233" i="65"/>
  <c r="L235" i="65"/>
  <c r="M235" i="65" s="1"/>
  <c r="O235" i="65"/>
  <c r="C235" i="65"/>
  <c r="AG232" i="65"/>
  <c r="AN234" i="63" a="1"/>
  <c r="AN234" i="63" s="1"/>
  <c r="B236" i="65" s="1"/>
  <c r="L236" i="65" l="1"/>
  <c r="M236" i="65" s="1"/>
  <c r="C236" i="65"/>
  <c r="O236" i="65"/>
  <c r="AM235" i="65"/>
  <c r="P235" i="65"/>
  <c r="D235" i="65"/>
  <c r="E235" i="65" s="1"/>
  <c r="F235" i="65" s="1"/>
  <c r="G235" i="65" s="1"/>
  <c r="H235" i="65" s="1"/>
  <c r="I235" i="65" s="1"/>
  <c r="J235" i="65" s="1"/>
  <c r="K235" i="65" s="1"/>
  <c r="N235" i="65"/>
  <c r="AG233" i="65"/>
  <c r="AN235" i="63" a="1"/>
  <c r="AN235" i="63" s="1"/>
  <c r="B237" i="65" s="1"/>
  <c r="U234" i="65"/>
  <c r="AF234" i="65"/>
  <c r="Q234" i="65"/>
  <c r="AV234" i="65"/>
  <c r="AE234" i="65"/>
  <c r="R234" i="65"/>
  <c r="S234" i="65" s="1"/>
  <c r="Y234" i="65" s="1"/>
  <c r="AB234" i="65" s="1"/>
  <c r="AC234" i="65" s="1"/>
  <c r="AD234" i="65" s="1"/>
  <c r="AH234" i="65"/>
  <c r="AG234" i="65" l="1"/>
  <c r="U235" i="65"/>
  <c r="Q235" i="65"/>
  <c r="AH235" i="65"/>
  <c r="R235" i="65"/>
  <c r="S235" i="65" s="1"/>
  <c r="Y235" i="65" s="1"/>
  <c r="AB235" i="65" s="1"/>
  <c r="AC235" i="65" s="1"/>
  <c r="AD235" i="65" s="1"/>
  <c r="AV235" i="65"/>
  <c r="AE235" i="65"/>
  <c r="AF235" i="65"/>
  <c r="AN236" i="63" a="1"/>
  <c r="AN236" i="63" s="1"/>
  <c r="B238" i="65" s="1"/>
  <c r="P236" i="65"/>
  <c r="N236" i="65"/>
  <c r="AM236" i="65"/>
  <c r="D236" i="65"/>
  <c r="E236" i="65" s="1"/>
  <c r="F236" i="65" s="1"/>
  <c r="G236" i="65" s="1"/>
  <c r="H236" i="65" s="1"/>
  <c r="I236" i="65" s="1"/>
  <c r="J236" i="65" s="1"/>
  <c r="K236" i="65" s="1"/>
  <c r="C237" i="65"/>
  <c r="O237" i="65"/>
  <c r="L237" i="65"/>
  <c r="M237" i="65" s="1"/>
  <c r="AG235" i="65" l="1"/>
  <c r="R236" i="65"/>
  <c r="S236" i="65" s="1"/>
  <c r="Y236" i="65" s="1"/>
  <c r="AB236" i="65" s="1"/>
  <c r="AC236" i="65" s="1"/>
  <c r="AD236" i="65" s="1"/>
  <c r="U236" i="65"/>
  <c r="AF236" i="65"/>
  <c r="AV236" i="65"/>
  <c r="Q236" i="65"/>
  <c r="AH236" i="65"/>
  <c r="AE236" i="65"/>
  <c r="N237" i="65"/>
  <c r="D237" i="65"/>
  <c r="E237" i="65" s="1"/>
  <c r="F237" i="65" s="1"/>
  <c r="G237" i="65" s="1"/>
  <c r="H237" i="65" s="1"/>
  <c r="I237" i="65" s="1"/>
  <c r="J237" i="65" s="1"/>
  <c r="K237" i="65" s="1"/>
  <c r="P237" i="65"/>
  <c r="AM237" i="65"/>
  <c r="L238" i="65"/>
  <c r="M238" i="65" s="1"/>
  <c r="C238" i="65"/>
  <c r="O238" i="65"/>
  <c r="Q238" i="65"/>
  <c r="AN237" i="63" a="1"/>
  <c r="AN237" i="63" s="1"/>
  <c r="B239" i="65" s="1"/>
  <c r="AN238" i="63" l="1" a="1"/>
  <c r="AN238" i="63" s="1"/>
  <c r="B240" i="65" s="1"/>
  <c r="AV237" i="65"/>
  <c r="R237" i="65"/>
  <c r="S237" i="65" s="1"/>
  <c r="Y237" i="65" s="1"/>
  <c r="AB237" i="65" s="1"/>
  <c r="AC237" i="65" s="1"/>
  <c r="AD237" i="65" s="1"/>
  <c r="U237" i="65"/>
  <c r="AH237" i="65"/>
  <c r="AE237" i="65"/>
  <c r="Q237" i="65"/>
  <c r="AF237" i="65"/>
  <c r="AG236" i="65"/>
  <c r="L239" i="65"/>
  <c r="M239" i="65" s="1"/>
  <c r="C239" i="65"/>
  <c r="O239" i="65"/>
  <c r="AM238" i="65"/>
  <c r="D238" i="65"/>
  <c r="E238" i="65" s="1"/>
  <c r="F238" i="65" s="1"/>
  <c r="G238" i="65" s="1"/>
  <c r="H238" i="65" s="1"/>
  <c r="I238" i="65" s="1"/>
  <c r="J238" i="65" s="1"/>
  <c r="K238" i="65" s="1"/>
  <c r="P238" i="65"/>
  <c r="Y238" i="65" l="1"/>
  <c r="AB238" i="65" s="1"/>
  <c r="AC238" i="65" s="1"/>
  <c r="P239" i="65"/>
  <c r="N239" i="65"/>
  <c r="D239" i="65"/>
  <c r="E239" i="65" s="1"/>
  <c r="F239" i="65" s="1"/>
  <c r="G239" i="65" s="1"/>
  <c r="H239" i="65" s="1"/>
  <c r="I239" i="65" s="1"/>
  <c r="J239" i="65" s="1"/>
  <c r="K239" i="65" s="1"/>
  <c r="AM239" i="65"/>
  <c r="AG237" i="65"/>
  <c r="AN239" i="63" a="1"/>
  <c r="AN239" i="63" s="1"/>
  <c r="B241" i="65" s="1"/>
  <c r="L240" i="65"/>
  <c r="M240" i="65" s="1"/>
  <c r="C240" i="65"/>
  <c r="O240" i="65"/>
  <c r="L241" i="65" l="1"/>
  <c r="M241" i="65" s="1"/>
  <c r="O241" i="65"/>
  <c r="C241" i="65"/>
  <c r="AF239" i="65"/>
  <c r="AE239" i="65"/>
  <c r="Q239" i="65"/>
  <c r="R239" i="65"/>
  <c r="S239" i="65" s="1"/>
  <c r="Y239" i="65" s="1"/>
  <c r="AB239" i="65" s="1"/>
  <c r="AC239" i="65" s="1"/>
  <c r="AD239" i="65" s="1"/>
  <c r="AH239" i="65"/>
  <c r="U239" i="65"/>
  <c r="AV239" i="65"/>
  <c r="AN240" i="63" a="1"/>
  <c r="AN240" i="63" s="1"/>
  <c r="B242" i="65" s="1"/>
  <c r="N240" i="65"/>
  <c r="AM240" i="65"/>
  <c r="P240" i="65"/>
  <c r="D240" i="65"/>
  <c r="E240" i="65" s="1"/>
  <c r="F240" i="65" s="1"/>
  <c r="G240" i="65" s="1"/>
  <c r="H240" i="65" s="1"/>
  <c r="I240" i="65" s="1"/>
  <c r="J240" i="65" s="1"/>
  <c r="K240" i="65" s="1"/>
  <c r="AF238" i="65"/>
  <c r="AG238" i="65" s="1"/>
  <c r="AD238" i="65"/>
  <c r="R240" i="65" l="1"/>
  <c r="S240" i="65" s="1"/>
  <c r="Y240" i="65" s="1"/>
  <c r="AB240" i="65" s="1"/>
  <c r="AC240" i="65" s="1"/>
  <c r="AD240" i="65" s="1"/>
  <c r="AF240" i="65"/>
  <c r="AE240" i="65"/>
  <c r="U240" i="65"/>
  <c r="AH240" i="65"/>
  <c r="Q240" i="65"/>
  <c r="AV240" i="65"/>
  <c r="AG239" i="65"/>
  <c r="AN241" i="63" a="1"/>
  <c r="AN241" i="63" s="1"/>
  <c r="B243" i="65" s="1"/>
  <c r="AM241" i="65"/>
  <c r="P241" i="65"/>
  <c r="D241" i="65"/>
  <c r="E241" i="65" s="1"/>
  <c r="F241" i="65" s="1"/>
  <c r="G241" i="65" s="1"/>
  <c r="H241" i="65" s="1"/>
  <c r="I241" i="65" s="1"/>
  <c r="J241" i="65" s="1"/>
  <c r="K241" i="65" s="1"/>
  <c r="N241" i="65"/>
  <c r="O242" i="65"/>
  <c r="L242" i="65"/>
  <c r="M242" i="65" s="1"/>
  <c r="C242" i="65"/>
  <c r="AE241" i="65" l="1"/>
  <c r="AV241" i="65"/>
  <c r="R241" i="65"/>
  <c r="S241" i="65" s="1"/>
  <c r="Y241" i="65" s="1"/>
  <c r="AB241" i="65" s="1"/>
  <c r="AC241" i="65" s="1"/>
  <c r="AD241" i="65" s="1"/>
  <c r="U241" i="65"/>
  <c r="AH241" i="65"/>
  <c r="Q241" i="65"/>
  <c r="AF241" i="65"/>
  <c r="P242" i="65"/>
  <c r="AM242" i="65"/>
  <c r="D242" i="65"/>
  <c r="E242" i="65" s="1"/>
  <c r="F242" i="65" s="1"/>
  <c r="G242" i="65" s="1"/>
  <c r="H242" i="65" s="1"/>
  <c r="I242" i="65" s="1"/>
  <c r="J242" i="65" s="1"/>
  <c r="K242" i="65" s="1"/>
  <c r="N242" i="65"/>
  <c r="AG240" i="65"/>
  <c r="O243" i="65"/>
  <c r="C243" i="65"/>
  <c r="L243" i="65"/>
  <c r="M243" i="65" s="1"/>
  <c r="AN242" i="63" a="1"/>
  <c r="AN242" i="63" s="1"/>
  <c r="B244" i="65" s="1"/>
  <c r="AG241" i="65" l="1"/>
  <c r="N243" i="65"/>
  <c r="AM243" i="65"/>
  <c r="D243" i="65"/>
  <c r="E243" i="65" s="1"/>
  <c r="F243" i="65" s="1"/>
  <c r="G243" i="65" s="1"/>
  <c r="H243" i="65" s="1"/>
  <c r="I243" i="65" s="1"/>
  <c r="J243" i="65" s="1"/>
  <c r="K243" i="65" s="1"/>
  <c r="P243" i="65"/>
  <c r="C244" i="65"/>
  <c r="L244" i="65"/>
  <c r="M244" i="65" s="1"/>
  <c r="O244" i="65"/>
  <c r="R242" i="65"/>
  <c r="S242" i="65" s="1"/>
  <c r="Y242" i="65" s="1"/>
  <c r="AB242" i="65" s="1"/>
  <c r="AC242" i="65" s="1"/>
  <c r="AD242" i="65" s="1"/>
  <c r="AF242" i="65"/>
  <c r="U242" i="65"/>
  <c r="AH242" i="65"/>
  <c r="AE242" i="65"/>
  <c r="AV242" i="65"/>
  <c r="Q242" i="65"/>
  <c r="AN243" i="63" a="1"/>
  <c r="AN243" i="63" s="1"/>
  <c r="B245" i="65" s="1"/>
  <c r="C245" i="65" l="1"/>
  <c r="L245" i="65"/>
  <c r="M245" i="65" s="1"/>
  <c r="O245" i="65"/>
  <c r="AN244" i="63" a="1"/>
  <c r="AN244" i="63" s="1"/>
  <c r="B246" i="65" s="1"/>
  <c r="AG242" i="65"/>
  <c r="AM244" i="65"/>
  <c r="N244" i="65"/>
  <c r="P244" i="65"/>
  <c r="D244" i="65"/>
  <c r="E244" i="65" s="1"/>
  <c r="F244" i="65" s="1"/>
  <c r="G244" i="65" s="1"/>
  <c r="H244" i="65" s="1"/>
  <c r="I244" i="65" s="1"/>
  <c r="J244" i="65" s="1"/>
  <c r="K244" i="65" s="1"/>
  <c r="AF243" i="65"/>
  <c r="U243" i="65"/>
  <c r="AV243" i="65"/>
  <c r="R243" i="65"/>
  <c r="S243" i="65" s="1"/>
  <c r="Y243" i="65" s="1"/>
  <c r="AB243" i="65" s="1"/>
  <c r="AC243" i="65" s="1"/>
  <c r="AD243" i="65" s="1"/>
  <c r="AE243" i="65"/>
  <c r="AH243" i="65"/>
  <c r="Q243" i="65"/>
  <c r="AV244" i="65" l="1"/>
  <c r="AF244" i="65"/>
  <c r="U244" i="65"/>
  <c r="AH244" i="65"/>
  <c r="Q244" i="65"/>
  <c r="AE244" i="65"/>
  <c r="R244" i="65"/>
  <c r="S244" i="65" s="1"/>
  <c r="Y244" i="65" s="1"/>
  <c r="AB244" i="65" s="1"/>
  <c r="AC244" i="65" s="1"/>
  <c r="AD244" i="65" s="1"/>
  <c r="L246" i="65"/>
  <c r="M246" i="65" s="1"/>
  <c r="O246" i="65"/>
  <c r="C246" i="65"/>
  <c r="AG243" i="65"/>
  <c r="AN245" i="63" a="1"/>
  <c r="AN245" i="63" s="1"/>
  <c r="B247" i="65" s="1"/>
  <c r="N245" i="65"/>
  <c r="AM245" i="65"/>
  <c r="D245" i="65"/>
  <c r="E245" i="65" s="1"/>
  <c r="F245" i="65" s="1"/>
  <c r="G245" i="65" s="1"/>
  <c r="H245" i="65" s="1"/>
  <c r="I245" i="65" s="1"/>
  <c r="J245" i="65" s="1"/>
  <c r="K245" i="65" s="1"/>
  <c r="P245" i="65"/>
  <c r="C247" i="65" l="1"/>
  <c r="L247" i="65"/>
  <c r="M247" i="65" s="1"/>
  <c r="O247" i="65"/>
  <c r="U245" i="65"/>
  <c r="AV245" i="65"/>
  <c r="AH245" i="65"/>
  <c r="AF245" i="65"/>
  <c r="Q245" i="65"/>
  <c r="R245" i="65"/>
  <c r="S245" i="65" s="1"/>
  <c r="Y245" i="65" s="1"/>
  <c r="AB245" i="65" s="1"/>
  <c r="AC245" i="65" s="1"/>
  <c r="AD245" i="65" s="1"/>
  <c r="AE245" i="65"/>
  <c r="N246" i="65"/>
  <c r="P246" i="65"/>
  <c r="D246" i="65"/>
  <c r="E246" i="65" s="1"/>
  <c r="F246" i="65" s="1"/>
  <c r="G246" i="65" s="1"/>
  <c r="H246" i="65" s="1"/>
  <c r="I246" i="65" s="1"/>
  <c r="J246" i="65" s="1"/>
  <c r="K246" i="65" s="1"/>
  <c r="AM246" i="65"/>
  <c r="AG244" i="65"/>
  <c r="AN246" i="63" a="1"/>
  <c r="AN246" i="63" s="1"/>
  <c r="B248" i="65" s="1"/>
  <c r="U246" i="65" l="1"/>
  <c r="R246" i="65"/>
  <c r="S246" i="65" s="1"/>
  <c r="Y246" i="65" s="1"/>
  <c r="AB246" i="65" s="1"/>
  <c r="AC246" i="65" s="1"/>
  <c r="AD246" i="65" s="1"/>
  <c r="AF246" i="65"/>
  <c r="AH246" i="65"/>
  <c r="AV246" i="65"/>
  <c r="Q246" i="65"/>
  <c r="AE246" i="65"/>
  <c r="AG245" i="65"/>
  <c r="AN247" i="63" a="1"/>
  <c r="AN247" i="63" s="1"/>
  <c r="B249" i="65" s="1"/>
  <c r="C248" i="65"/>
  <c r="L248" i="65"/>
  <c r="M248" i="65" s="1"/>
  <c r="O248" i="65"/>
  <c r="AM247" i="65"/>
  <c r="D247" i="65"/>
  <c r="E247" i="65" s="1"/>
  <c r="F247" i="65" s="1"/>
  <c r="G247" i="65" s="1"/>
  <c r="H247" i="65" s="1"/>
  <c r="I247" i="65" s="1"/>
  <c r="J247" i="65" s="1"/>
  <c r="K247" i="65" s="1"/>
  <c r="P247" i="65"/>
  <c r="AG246" i="65" l="1"/>
  <c r="U247" i="65"/>
  <c r="AE247" i="65"/>
  <c r="AH247" i="65" s="1"/>
  <c r="Q247" i="65"/>
  <c r="AV247" i="65"/>
  <c r="R247" i="65"/>
  <c r="S247" i="65" s="1"/>
  <c r="Y247" i="65" s="1"/>
  <c r="AB247" i="65" s="1"/>
  <c r="AC247" i="65" s="1"/>
  <c r="AD247" i="65" s="1"/>
  <c r="D248" i="65"/>
  <c r="E248" i="65" s="1"/>
  <c r="F248" i="65" s="1"/>
  <c r="G248" i="65" s="1"/>
  <c r="H248" i="65" s="1"/>
  <c r="I248" i="65" s="1"/>
  <c r="J248" i="65" s="1"/>
  <c r="K248" i="65" s="1"/>
  <c r="P248" i="65"/>
  <c r="AM248" i="65"/>
  <c r="N248" i="65"/>
  <c r="L249" i="65"/>
  <c r="M249" i="65" s="1"/>
  <c r="O249" i="65"/>
  <c r="C249" i="65"/>
  <c r="AN248" i="63" a="1"/>
  <c r="AN248" i="63" s="1"/>
  <c r="B250" i="65" s="1"/>
  <c r="AF247" i="65" l="1"/>
  <c r="AG247" i="65" s="1"/>
  <c r="O250" i="65"/>
  <c r="L250" i="65"/>
  <c r="M250" i="65" s="1"/>
  <c r="C250" i="65"/>
  <c r="N249" i="65"/>
  <c r="D249" i="65"/>
  <c r="E249" i="65" s="1"/>
  <c r="F249" i="65" s="1"/>
  <c r="G249" i="65" s="1"/>
  <c r="H249" i="65" s="1"/>
  <c r="I249" i="65" s="1"/>
  <c r="J249" i="65" s="1"/>
  <c r="K249" i="65" s="1"/>
  <c r="AM249" i="65"/>
  <c r="P249" i="65"/>
  <c r="AN249" i="63" a="1"/>
  <c r="AN249" i="63" s="1"/>
  <c r="B251" i="65" s="1"/>
  <c r="R248" i="65"/>
  <c r="S248" i="65" s="1"/>
  <c r="Y248" i="65" s="1"/>
  <c r="AB248" i="65" s="1"/>
  <c r="AC248" i="65" s="1"/>
  <c r="AD248" i="65" s="1"/>
  <c r="AE248" i="65"/>
  <c r="U248" i="65"/>
  <c r="AF248" i="65"/>
  <c r="AH248" i="65"/>
  <c r="Q248" i="65"/>
  <c r="AV248" i="65"/>
  <c r="AG248" i="65" l="1"/>
  <c r="AM250" i="65"/>
  <c r="P250" i="65"/>
  <c r="N250" i="65"/>
  <c r="D250" i="65"/>
  <c r="E250" i="65" s="1"/>
  <c r="F250" i="65" s="1"/>
  <c r="G250" i="65" s="1"/>
  <c r="H250" i="65" s="1"/>
  <c r="I250" i="65" s="1"/>
  <c r="J250" i="65" s="1"/>
  <c r="K250" i="65" s="1"/>
  <c r="O251" i="65"/>
  <c r="L251" i="65"/>
  <c r="M251" i="65" s="1"/>
  <c r="C251" i="65"/>
  <c r="AN250" i="63" a="1"/>
  <c r="AN250" i="63" s="1"/>
  <c r="B252" i="65" s="1"/>
  <c r="AV249" i="65"/>
  <c r="U249" i="65"/>
  <c r="Q249" i="65"/>
  <c r="R249" i="65"/>
  <c r="S249" i="65" s="1"/>
  <c r="Y249" i="65" s="1"/>
  <c r="AB249" i="65" s="1"/>
  <c r="AC249" i="65" s="1"/>
  <c r="AD249" i="65" s="1"/>
  <c r="AE249" i="65"/>
  <c r="AF249" i="65"/>
  <c r="AH249" i="65"/>
  <c r="C252" i="65" l="1"/>
  <c r="O252" i="65"/>
  <c r="L252" i="65"/>
  <c r="M252" i="65" s="1"/>
  <c r="N251" i="65"/>
  <c r="D251" i="65"/>
  <c r="E251" i="65" s="1"/>
  <c r="F251" i="65" s="1"/>
  <c r="G251" i="65" s="1"/>
  <c r="H251" i="65" s="1"/>
  <c r="I251" i="65" s="1"/>
  <c r="J251" i="65" s="1"/>
  <c r="K251" i="65" s="1"/>
  <c r="AM251" i="65"/>
  <c r="P251" i="65"/>
  <c r="U250" i="65"/>
  <c r="AH250" i="65"/>
  <c r="R250" i="65"/>
  <c r="S250" i="65" s="1"/>
  <c r="Y250" i="65" s="1"/>
  <c r="AB250" i="65" s="1"/>
  <c r="AC250" i="65" s="1"/>
  <c r="AD250" i="65" s="1"/>
  <c r="AV250" i="65"/>
  <c r="Q250" i="65"/>
  <c r="AE250" i="65"/>
  <c r="AF250" i="65"/>
  <c r="AG249" i="65"/>
  <c r="AN251" i="63" a="1"/>
  <c r="AN251" i="63" s="1"/>
  <c r="B253" i="65" s="1"/>
  <c r="AG250" i="65" l="1"/>
  <c r="AE251" i="65"/>
  <c r="AF251" i="65"/>
  <c r="Q251" i="65"/>
  <c r="AH251" i="65"/>
  <c r="U251" i="65"/>
  <c r="R251" i="65"/>
  <c r="S251" i="65" s="1"/>
  <c r="Y251" i="65" s="1"/>
  <c r="AB251" i="65" s="1"/>
  <c r="AC251" i="65" s="1"/>
  <c r="AD251" i="65" s="1"/>
  <c r="AV251" i="65"/>
  <c r="AN252" i="63" a="1"/>
  <c r="AN252" i="63" s="1"/>
  <c r="B254" i="65" s="1"/>
  <c r="L253" i="65"/>
  <c r="M253" i="65" s="1"/>
  <c r="O253" i="65"/>
  <c r="C253" i="65"/>
  <c r="N252" i="65"/>
  <c r="AM252" i="65"/>
  <c r="D252" i="65"/>
  <c r="E252" i="65" s="1"/>
  <c r="F252" i="65" s="1"/>
  <c r="G252" i="65" s="1"/>
  <c r="H252" i="65" s="1"/>
  <c r="I252" i="65" s="1"/>
  <c r="J252" i="65" s="1"/>
  <c r="K252" i="65" s="1"/>
  <c r="P252" i="65"/>
  <c r="AE252" i="65" l="1"/>
  <c r="Q252" i="65"/>
  <c r="AV252" i="65"/>
  <c r="AH252" i="65"/>
  <c r="AF252" i="65"/>
  <c r="U252" i="65"/>
  <c r="R252" i="65"/>
  <c r="S252" i="65" s="1"/>
  <c r="Y252" i="65" s="1"/>
  <c r="AB252" i="65" s="1"/>
  <c r="AC252" i="65" s="1"/>
  <c r="AD252" i="65" s="1"/>
  <c r="D253" i="65"/>
  <c r="E253" i="65" s="1"/>
  <c r="F253" i="65" s="1"/>
  <c r="G253" i="65" s="1"/>
  <c r="H253" i="65" s="1"/>
  <c r="I253" i="65" s="1"/>
  <c r="J253" i="65" s="1"/>
  <c r="K253" i="65" s="1"/>
  <c r="N253" i="65"/>
  <c r="AM253" i="65"/>
  <c r="P253" i="65"/>
  <c r="AG251" i="65"/>
  <c r="C254" i="65"/>
  <c r="L254" i="65"/>
  <c r="M254" i="65" s="1"/>
  <c r="O254" i="65"/>
  <c r="AN253" i="63" a="1"/>
  <c r="AN253" i="63" s="1"/>
  <c r="B255" i="65" s="1"/>
  <c r="O255" i="65" l="1"/>
  <c r="L255" i="65"/>
  <c r="M255" i="65" s="1"/>
  <c r="C255" i="65"/>
  <c r="D254" i="65"/>
  <c r="E254" i="65" s="1"/>
  <c r="F254" i="65" s="1"/>
  <c r="G254" i="65" s="1"/>
  <c r="H254" i="65" s="1"/>
  <c r="I254" i="65" s="1"/>
  <c r="J254" i="65" s="1"/>
  <c r="K254" i="65" s="1"/>
  <c r="AM254" i="65"/>
  <c r="P254" i="65"/>
  <c r="N254" i="65"/>
  <c r="R253" i="65"/>
  <c r="S253" i="65" s="1"/>
  <c r="Y253" i="65" s="1"/>
  <c r="AB253" i="65" s="1"/>
  <c r="AC253" i="65" s="1"/>
  <c r="AD253" i="65" s="1"/>
  <c r="U253" i="65"/>
  <c r="AV253" i="65"/>
  <c r="AF253" i="65"/>
  <c r="AH253" i="65"/>
  <c r="AE253" i="65"/>
  <c r="Q253" i="65"/>
  <c r="AG252" i="65"/>
  <c r="AN254" i="63" a="1"/>
  <c r="AN254" i="63" s="1"/>
  <c r="B256" i="65" s="1"/>
  <c r="AN255" i="63" l="1" a="1"/>
  <c r="AN255" i="63" s="1"/>
  <c r="B257" i="65" s="1"/>
  <c r="AG253" i="65"/>
  <c r="R254" i="65"/>
  <c r="S254" i="65" s="1"/>
  <c r="Y254" i="65" s="1"/>
  <c r="AB254" i="65" s="1"/>
  <c r="AC254" i="65" s="1"/>
  <c r="AD254" i="65" s="1"/>
  <c r="AF254" i="65"/>
  <c r="AH254" i="65"/>
  <c r="U254" i="65"/>
  <c r="Q254" i="65"/>
  <c r="AV254" i="65"/>
  <c r="AE254" i="65"/>
  <c r="AM255" i="65"/>
  <c r="P255" i="65"/>
  <c r="N255" i="65"/>
  <c r="D255" i="65"/>
  <c r="E255" i="65" s="1"/>
  <c r="F255" i="65" s="1"/>
  <c r="G255" i="65" s="1"/>
  <c r="H255" i="65" s="1"/>
  <c r="I255" i="65" s="1"/>
  <c r="J255" i="65" s="1"/>
  <c r="K255" i="65" s="1"/>
  <c r="L256" i="65"/>
  <c r="M256" i="65" s="1"/>
  <c r="C256" i="65"/>
  <c r="O256" i="65"/>
  <c r="AH255" i="65" l="1"/>
  <c r="Q255" i="65"/>
  <c r="AV255" i="65"/>
  <c r="AE255" i="65"/>
  <c r="U255" i="65"/>
  <c r="R255" i="65"/>
  <c r="S255" i="65" s="1"/>
  <c r="Y255" i="65" s="1"/>
  <c r="AB255" i="65" s="1"/>
  <c r="AC255" i="65" s="1"/>
  <c r="AD255" i="65" s="1"/>
  <c r="AF255" i="65"/>
  <c r="AG254" i="65"/>
  <c r="P256" i="65"/>
  <c r="AM256" i="65"/>
  <c r="D256" i="65"/>
  <c r="E256" i="65" s="1"/>
  <c r="F256" i="65" s="1"/>
  <c r="G256" i="65" s="1"/>
  <c r="H256" i="65" s="1"/>
  <c r="I256" i="65" s="1"/>
  <c r="J256" i="65" s="1"/>
  <c r="K256" i="65" s="1"/>
  <c r="N256" i="65"/>
  <c r="C257" i="65"/>
  <c r="L257" i="65"/>
  <c r="M257" i="65" s="1"/>
  <c r="O257" i="65"/>
  <c r="AN256" i="63" a="1"/>
  <c r="AN256" i="63" s="1"/>
  <c r="AN257" i="63" s="1" a="1"/>
  <c r="AN257" i="63" s="1"/>
  <c r="Q256" i="65" l="1"/>
  <c r="AF256" i="65"/>
  <c r="AE256" i="65"/>
  <c r="AH256" i="65"/>
  <c r="U256" i="65"/>
  <c r="R256" i="65"/>
  <c r="S256" i="65" s="1"/>
  <c r="Y256" i="65" s="1"/>
  <c r="AB256" i="65" s="1"/>
  <c r="AC256" i="65" s="1"/>
  <c r="AD256" i="65" s="1"/>
  <c r="AV256" i="65"/>
  <c r="AG255" i="65"/>
  <c r="N257" i="65"/>
  <c r="M172" i="22" s="1"/>
  <c r="O172" i="22" s="1"/>
  <c r="E166" i="36" s="1"/>
  <c r="AM257" i="65"/>
  <c r="AM258" i="65" s="1"/>
  <c r="H14" i="73" s="1"/>
  <c r="H30" i="73" s="1"/>
  <c r="D257" i="65"/>
  <c r="E257" i="65" s="1"/>
  <c r="F257" i="65" s="1"/>
  <c r="G257" i="65" s="1"/>
  <c r="H257" i="65" s="1"/>
  <c r="I257" i="65" s="1"/>
  <c r="J257" i="65" s="1"/>
  <c r="K257" i="65" s="1"/>
  <c r="P257" i="65"/>
  <c r="M170" i="22"/>
  <c r="O170" i="22" s="1"/>
  <c r="Q172" i="22" l="1"/>
  <c r="AE172" i="22" s="1"/>
  <c r="M169" i="22"/>
  <c r="O169" i="22" s="1"/>
  <c r="M171" i="22"/>
  <c r="O171" i="22" s="1"/>
  <c r="H18" i="73"/>
  <c r="AG256" i="65"/>
  <c r="N170" i="22"/>
  <c r="P170" i="22" s="1"/>
  <c r="AH257" i="65"/>
  <c r="AF257" i="65"/>
  <c r="N168" i="22"/>
  <c r="P168" i="22" s="1"/>
  <c r="AE257" i="65"/>
  <c r="R257" i="65"/>
  <c r="S257" i="65" s="1"/>
  <c r="Y257" i="65" s="1"/>
  <c r="M168" i="22"/>
  <c r="O168" i="22" s="1"/>
  <c r="Q257" i="65"/>
  <c r="Q258" i="65" s="1"/>
  <c r="U257" i="65"/>
  <c r="N171" i="22"/>
  <c r="P171" i="22" s="1"/>
  <c r="AV257" i="65"/>
  <c r="N169" i="22"/>
  <c r="P169" i="22" s="1"/>
  <c r="N172" i="22"/>
  <c r="P172" i="22" s="1"/>
  <c r="E164" i="36"/>
  <c r="Q170" i="22"/>
  <c r="AE170" i="22" s="1"/>
  <c r="H12" i="36"/>
  <c r="H34" i="73"/>
  <c r="H16" i="36" s="1"/>
  <c r="G166" i="36"/>
  <c r="G206" i="36" s="1"/>
  <c r="E206" i="36"/>
  <c r="E165" i="36" l="1"/>
  <c r="Q171" i="22"/>
  <c r="AE171" i="22" s="1"/>
  <c r="E163" i="36"/>
  <c r="Q169" i="22"/>
  <c r="AE169" i="22" s="1"/>
  <c r="AB257" i="65"/>
  <c r="AC257" i="65" s="1"/>
  <c r="AD257" i="65" s="1"/>
  <c r="Y2" i="65"/>
  <c r="F166" i="36"/>
  <c r="R172" i="22"/>
  <c r="AF172" i="22" s="1"/>
  <c r="F164" i="36"/>
  <c r="R170" i="22"/>
  <c r="AF170" i="22" s="1"/>
  <c r="F163" i="36"/>
  <c r="R169" i="22"/>
  <c r="AF169" i="22" s="1"/>
  <c r="R168" i="22"/>
  <c r="AF168" i="22" s="1"/>
  <c r="F162" i="36"/>
  <c r="E162" i="36"/>
  <c r="Q168" i="22"/>
  <c r="AE168" i="22" s="1"/>
  <c r="AG257" i="65"/>
  <c r="F165" i="36"/>
  <c r="R171" i="22"/>
  <c r="AF171" i="22" s="1"/>
  <c r="G164" i="36"/>
  <c r="G204" i="36" s="1"/>
  <c r="E204" i="36"/>
  <c r="G165" i="36" l="1"/>
  <c r="G205" i="36" s="1"/>
  <c r="E205" i="36"/>
  <c r="E203" i="36"/>
  <c r="G163" i="36"/>
  <c r="G203" i="36" s="1"/>
  <c r="H165" i="36"/>
  <c r="H205" i="36" s="1"/>
  <c r="F205" i="36"/>
  <c r="H162" i="36"/>
  <c r="H202" i="36" s="1"/>
  <c r="F202" i="36"/>
  <c r="F204" i="36"/>
  <c r="H164" i="36"/>
  <c r="H204" i="36" s="1"/>
  <c r="G162" i="36"/>
  <c r="G202" i="36" s="1"/>
  <c r="E202" i="36"/>
  <c r="H163" i="36"/>
  <c r="H203" i="36" s="1"/>
  <c r="F203" i="36"/>
  <c r="H166" i="36"/>
  <c r="H206" i="36" s="1"/>
  <c r="F206" i="36"/>
</calcChain>
</file>

<file path=xl/sharedStrings.xml><?xml version="1.0" encoding="utf-8"?>
<sst xmlns="http://schemas.openxmlformats.org/spreadsheetml/2006/main" count="6924" uniqueCount="1567">
  <si>
    <t>Project details</t>
  </si>
  <si>
    <t>Planning authority:</t>
  </si>
  <si>
    <t>Project name:</t>
  </si>
  <si>
    <t>Applicant:</t>
  </si>
  <si>
    <t>Application type:</t>
  </si>
  <si>
    <t>Planning application reference:</t>
  </si>
  <si>
    <t>Assessor:</t>
  </si>
  <si>
    <t>Reviewer:</t>
  </si>
  <si>
    <t>Metric version:</t>
  </si>
  <si>
    <t>Assessment date:</t>
  </si>
  <si>
    <t>Planning authority reviewer:</t>
  </si>
  <si>
    <t>Cell style conventions</t>
  </si>
  <si>
    <t>Enter data</t>
  </si>
  <si>
    <t>Automatic lookup</t>
  </si>
  <si>
    <t>Result</t>
  </si>
  <si>
    <t>Urban tree helper</t>
  </si>
  <si>
    <t>Tree size</t>
  </si>
  <si>
    <t>Number of trees and area (ha) for each condition state</t>
  </si>
  <si>
    <t xml:space="preserve">Poor </t>
  </si>
  <si>
    <t>Area</t>
  </si>
  <si>
    <t>Moderate</t>
  </si>
  <si>
    <t>Good</t>
  </si>
  <si>
    <t>Small</t>
  </si>
  <si>
    <t>Medium</t>
  </si>
  <si>
    <t>Large</t>
  </si>
  <si>
    <t>Total</t>
  </si>
  <si>
    <t>On-site baseline</t>
  </si>
  <si>
    <t>Habitat units</t>
  </si>
  <si>
    <t>Hedgerow units</t>
  </si>
  <si>
    <t>River units</t>
  </si>
  <si>
    <r>
      <t xml:space="preserve">On-site post-intervention
</t>
    </r>
    <r>
      <rPr>
        <sz val="12"/>
        <color theme="4"/>
        <rFont val="Rockwell Light"/>
        <family val="1"/>
      </rPr>
      <t>(Including habitat retention, creation &amp; enhancement)</t>
    </r>
  </si>
  <si>
    <r>
      <t xml:space="preserve">On-site net % change
</t>
    </r>
    <r>
      <rPr>
        <sz val="12"/>
        <color theme="4"/>
        <rFont val="Rockwell Light"/>
        <family val="1"/>
      </rPr>
      <t>(Including habitat retention, creation &amp; enhancement)</t>
    </r>
  </si>
  <si>
    <t>Off-site baseline</t>
  </si>
  <si>
    <r>
      <t xml:space="preserve">Off-site post-intervention
</t>
    </r>
    <r>
      <rPr>
        <sz val="12"/>
        <color theme="4"/>
        <rFont val="Rockwell Light"/>
        <family val="1"/>
      </rPr>
      <t>(Including habitat retention, creation &amp; enhancement)</t>
    </r>
  </si>
  <si>
    <r>
      <t xml:space="preserve">Total net unit change
</t>
    </r>
    <r>
      <rPr>
        <sz val="12"/>
        <color theme="4"/>
        <rFont val="Rockwell Light"/>
        <family val="1"/>
      </rPr>
      <t>(including all on-site &amp; off-site habitat retention, creation &amp; enhancement)</t>
    </r>
  </si>
  <si>
    <r>
      <t xml:space="preserve">Total on-site net % change plus off-site surplus
</t>
    </r>
    <r>
      <rPr>
        <sz val="12"/>
        <color theme="4"/>
        <rFont val="Rockwell Light"/>
        <family val="1"/>
      </rPr>
      <t>(including all on-site &amp; off-site habitat retention, creation &amp; enhancement)</t>
    </r>
  </si>
  <si>
    <t>Trading rules Satisfied?</t>
  </si>
  <si>
    <t>Summary Figures</t>
  </si>
  <si>
    <r>
      <t xml:space="preserve">Net project biodiversity units
</t>
    </r>
    <r>
      <rPr>
        <sz val="14"/>
        <color theme="4"/>
        <rFont val="Rockwell Light"/>
        <family val="1"/>
      </rPr>
      <t>(including all on-site &amp; off-site habitat retention/creation)</t>
    </r>
  </si>
  <si>
    <r>
      <t xml:space="preserve">Total project biodiversity % change
</t>
    </r>
    <r>
      <rPr>
        <sz val="12"/>
        <color theme="4"/>
        <rFont val="Rockwell Light"/>
        <family val="1"/>
      </rPr>
      <t>(including all On-site &amp; Off-site Habitat Creation + Retained Habitats)</t>
    </r>
  </si>
  <si>
    <t>Combined habitat retention and enhancement</t>
  </si>
  <si>
    <t>Habitats</t>
  </si>
  <si>
    <t>Hedgerows</t>
  </si>
  <si>
    <t>Rivers</t>
  </si>
  <si>
    <t>Total on-site and off-site baseline area / length</t>
  </si>
  <si>
    <t>Total on-site and off-site baseline units</t>
  </si>
  <si>
    <t>Total on-site and off-site baseline area / length retained</t>
  </si>
  <si>
    <t>Total on-site and off-site baseline units retained</t>
  </si>
  <si>
    <t>Area / length proposed for enhancement</t>
  </si>
  <si>
    <t>Baseline units proposed for enhancement</t>
  </si>
  <si>
    <t>Total on-site and off-site baseline area / length lost</t>
  </si>
  <si>
    <t>Total on-site and off-site baseline units lost</t>
  </si>
  <si>
    <t>Area Habitats                                                                                                                          Area Habitats                                                                                                                          Area Habitats</t>
  </si>
  <si>
    <t>Area habitats</t>
  </si>
  <si>
    <t>On site change by broad habitat type</t>
  </si>
  <si>
    <t>Combined area lost by distinctiveness band</t>
  </si>
  <si>
    <t>Baseline</t>
  </si>
  <si>
    <t>Post development on site</t>
  </si>
  <si>
    <t>Onsite Change</t>
  </si>
  <si>
    <t>Habitat group</t>
  </si>
  <si>
    <t>Existing area</t>
  </si>
  <si>
    <t>Existing value</t>
  </si>
  <si>
    <t>Proposed area</t>
  </si>
  <si>
    <t>Proposed value</t>
  </si>
  <si>
    <t>Area change</t>
  </si>
  <si>
    <t>Onsite Unit change</t>
  </si>
  <si>
    <t>Category</t>
  </si>
  <si>
    <t>Area lost (hectares)</t>
  </si>
  <si>
    <t>Area lost (%)</t>
  </si>
  <si>
    <t>Cropland</t>
  </si>
  <si>
    <t>Grassland</t>
  </si>
  <si>
    <t>Heathland and shrub</t>
  </si>
  <si>
    <t>Lakes</t>
  </si>
  <si>
    <t>Sparsely vegetated land</t>
  </si>
  <si>
    <t>Urban</t>
  </si>
  <si>
    <t>Wetland</t>
  </si>
  <si>
    <t>Woodland and forest</t>
  </si>
  <si>
    <t>Intertidal sediment</t>
  </si>
  <si>
    <t xml:space="preserve">Coastal saltmarsh </t>
  </si>
  <si>
    <t xml:space="preserve">Rocky shore </t>
  </si>
  <si>
    <t>Coastal lagoons</t>
  </si>
  <si>
    <t>Intertidal Hard Structures</t>
  </si>
  <si>
    <t>Off site change by broad habitat type</t>
  </si>
  <si>
    <t>Post development Off-site</t>
  </si>
  <si>
    <t>Off-site Change</t>
  </si>
  <si>
    <t>Off-site Existing value</t>
  </si>
  <si>
    <t>Off-site proposed area</t>
  </si>
  <si>
    <t>Off site Proposed value</t>
  </si>
  <si>
    <t>Off-site area change</t>
  </si>
  <si>
    <t>Off-site unit change</t>
  </si>
  <si>
    <t>Combined on site and off site change by broad habitat type</t>
  </si>
  <si>
    <t>On-site and Off-site post development</t>
  </si>
  <si>
    <t>Combined change</t>
  </si>
  <si>
    <t>Combined proposed area</t>
  </si>
  <si>
    <t>Combined proposed value</t>
  </si>
  <si>
    <t>Hedgerows and Lines of Trees                                                                                Hedgerows and Lines of Trees                                                                                 Hedgerows and Lines of Trees</t>
  </si>
  <si>
    <t>Hedgerows and lines of trees</t>
  </si>
  <si>
    <t>On site change by hedgerow type</t>
  </si>
  <si>
    <t>Combined length lost by distinctiveness band</t>
  </si>
  <si>
    <t>Hedgerow type</t>
  </si>
  <si>
    <t>Existing length on-site</t>
  </si>
  <si>
    <t>Proposed length on-site</t>
  </si>
  <si>
    <t>Proposed value on-site</t>
  </si>
  <si>
    <t>On-site length change</t>
  </si>
  <si>
    <t>On-site Unit change</t>
  </si>
  <si>
    <t>Length lost (KM)</t>
  </si>
  <si>
    <t>Length lost (%)</t>
  </si>
  <si>
    <t>Native Species Rich Hedgerow with trees - Associated with bank or ditch</t>
  </si>
  <si>
    <t>Native Species Rich Hedgerow with trees</t>
  </si>
  <si>
    <t>Native Species Rich Hedgerow - Associated with bank or ditch</t>
  </si>
  <si>
    <t>Native Hedgerow with trees - Associated with bank or ditch</t>
  </si>
  <si>
    <t>Native Species Rich Hedgerow</t>
  </si>
  <si>
    <t>Native Hedgerow - Associated with bank or ditch</t>
  </si>
  <si>
    <t>Native Hedgerow with trees</t>
  </si>
  <si>
    <t>Line of Trees (Ecologically Valuable)</t>
  </si>
  <si>
    <t>Line of Trees (Ecologically Valuable) - with Bank or Ditch</t>
  </si>
  <si>
    <t>Native Hedgerow</t>
  </si>
  <si>
    <t>Line of Trees</t>
  </si>
  <si>
    <t>Line of Trees - Associated with bank or ditch</t>
  </si>
  <si>
    <t>Hedge Ornamental Non Native</t>
  </si>
  <si>
    <t>Off site change by hedgerow type</t>
  </si>
  <si>
    <t>Off site baseline</t>
  </si>
  <si>
    <t>Post development off site</t>
  </si>
  <si>
    <t>Off site Change</t>
  </si>
  <si>
    <t>Existing length off-site</t>
  </si>
  <si>
    <t>Existing value off-site</t>
  </si>
  <si>
    <t>Proposed length off-site</t>
  </si>
  <si>
    <t>Proposed value off-site</t>
  </si>
  <si>
    <t>Off-site length change</t>
  </si>
  <si>
    <t>Off site Unit change</t>
  </si>
  <si>
    <t>Line of Trees  - Associated with bank or ditch</t>
  </si>
  <si>
    <t>Combined on and off site change by hedgerow type</t>
  </si>
  <si>
    <t>Existing length</t>
  </si>
  <si>
    <t>Proposed length</t>
  </si>
  <si>
    <t>length change</t>
  </si>
  <si>
    <t>Rivers and Streams                                                                         Rivers and Streams                                                                                        Rivers and Streams</t>
  </si>
  <si>
    <t>Rivers and Streams</t>
  </si>
  <si>
    <t>On site change by river type</t>
  </si>
  <si>
    <t>River type</t>
  </si>
  <si>
    <t>Priority Habitat</t>
  </si>
  <si>
    <t>Other Rivers and Streams</t>
  </si>
  <si>
    <t>Ditches</t>
  </si>
  <si>
    <t>Canals</t>
  </si>
  <si>
    <t>Culvert</t>
  </si>
  <si>
    <t>Off site change by river type</t>
  </si>
  <si>
    <t>Post development off-site</t>
  </si>
  <si>
    <t>Combined on and off site change by river type</t>
  </si>
  <si>
    <t>Trading Summary</t>
  </si>
  <si>
    <t>Distinctiveness Group</t>
  </si>
  <si>
    <t>Trading Rule</t>
  </si>
  <si>
    <t>Trading Satisfied?</t>
  </si>
  <si>
    <t>Very High</t>
  </si>
  <si>
    <t>Bespoke compensation likely to be required 🛠</t>
  </si>
  <si>
    <t>High</t>
  </si>
  <si>
    <r>
      <t xml:space="preserve">Same habitat required </t>
    </r>
    <r>
      <rPr>
        <sz val="11"/>
        <color theme="4"/>
        <rFont val="Amasis MT Pro"/>
        <family val="1"/>
      </rPr>
      <t>=</t>
    </r>
  </si>
  <si>
    <t>Same broad habitat or a higher distinctiveness habitat required (≥)</t>
  </si>
  <si>
    <t>Low</t>
  </si>
  <si>
    <t>Same distinctiveness or better habitat required ≥</t>
  </si>
  <si>
    <t>Very High Distinctiveness</t>
  </si>
  <si>
    <t>Very High Distinctiveness Summary</t>
  </si>
  <si>
    <t>Group</t>
  </si>
  <si>
    <t>On Site  Unit Change</t>
  </si>
  <si>
    <t>Off Site Unit Change</t>
  </si>
  <si>
    <t xml:space="preserve">Project wide Unit Change </t>
  </si>
  <si>
    <t>Unit Losses</t>
  </si>
  <si>
    <t>Very High Distinctiveness Units available to offset lower distinctiveness defecit</t>
  </si>
  <si>
    <t>High Distinctiveness</t>
  </si>
  <si>
    <t>High Distinctiveness Summary</t>
  </si>
  <si>
    <t xml:space="preserve">Losses not yet accounted for </t>
  </si>
  <si>
    <t>High Distinctiveness Units available to offset lower distinctiveness defecit</t>
  </si>
  <si>
    <t>Unit Defecit; Like for like not satisfied</t>
  </si>
  <si>
    <t>Medium Distinctiveness</t>
  </si>
  <si>
    <t>Medium Distinctiveness Summary</t>
  </si>
  <si>
    <t>Habitat Group</t>
  </si>
  <si>
    <t>On site unit change</t>
  </si>
  <si>
    <t>Off Site unit Change</t>
  </si>
  <si>
    <t xml:space="preserve">Project wide unit change </t>
  </si>
  <si>
    <t>Cumulative Broad Habitat Change</t>
  </si>
  <si>
    <t>Medium Distinctiveness Units available to offset lower distinctiveness defecit</t>
  </si>
  <si>
    <t>Medium Distinctiveness Broad Habitat Deficit to be offset by trading up</t>
  </si>
  <si>
    <t>Higher distinctiveness surplus units minus Medium Distinctivenss Broad Habitat Defecit</t>
  </si>
  <si>
    <t>Cumulative surplus of units</t>
  </si>
  <si>
    <t>Low Distinctiveness</t>
  </si>
  <si>
    <t>On site  unit change</t>
  </si>
  <si>
    <t>Low Distinctiveness Summary</t>
  </si>
  <si>
    <t>Low Distinctiveness Net Change in Units</t>
  </si>
  <si>
    <t>HIDDEN - NOT SHOWN BY BUTTON</t>
  </si>
  <si>
    <t>Hide</t>
  </si>
  <si>
    <t>Habitats and areas</t>
  </si>
  <si>
    <t>Distinctiveness</t>
  </si>
  <si>
    <t xml:space="preserve">Condition </t>
  </si>
  <si>
    <t>Strategic significance</t>
  </si>
  <si>
    <t>Suggested action to address habitat losses</t>
  </si>
  <si>
    <t>Ecological baseline</t>
  </si>
  <si>
    <t>Retention category biodiversity value</t>
  </si>
  <si>
    <t>Bespoke compensation agreed for unacceptable losses</t>
  </si>
  <si>
    <t>Comments</t>
  </si>
  <si>
    <t>retention cat checks</t>
  </si>
  <si>
    <t>list of lines for enhanced and succession</t>
  </si>
  <si>
    <t>Bespoke Compensation agreed?</t>
  </si>
  <si>
    <t>Condition Group</t>
  </si>
  <si>
    <t>Ref</t>
  </si>
  <si>
    <t>Broad Habitat</t>
  </si>
  <si>
    <t xml:space="preserve"> Habitat Type</t>
  </si>
  <si>
    <t xml:space="preserve"> Habitat type</t>
  </si>
  <si>
    <t>Area (hectares)</t>
  </si>
  <si>
    <t>Score</t>
  </si>
  <si>
    <t>Strategic Significance multiplier</t>
  </si>
  <si>
    <t>Total habitat units</t>
  </si>
  <si>
    <t>Area retained</t>
  </si>
  <si>
    <t>Area enhanced</t>
  </si>
  <si>
    <t>Baseline units retained</t>
  </si>
  <si>
    <t>Baseline units enhanced</t>
  </si>
  <si>
    <t>Area habitat lost</t>
  </si>
  <si>
    <t>Units lost</t>
  </si>
  <si>
    <t>Assessor comments</t>
  </si>
  <si>
    <t>Reviewer comments</t>
  </si>
  <si>
    <t>Area of Unacceptable Losses</t>
  </si>
  <si>
    <t>Units Unacceptable Losses</t>
  </si>
  <si>
    <t>Retained</t>
  </si>
  <si>
    <t>Enhanced</t>
  </si>
  <si>
    <t>Succession</t>
  </si>
  <si>
    <t>line number</t>
  </si>
  <si>
    <t xml:space="preserve">Total habitat area </t>
  </si>
  <si>
    <t>Total area lost (excluding area of Urban trees and Green walls)</t>
  </si>
  <si>
    <t xml:space="preserve">Post development/ post intervention habitats </t>
  </si>
  <si>
    <t>Time to Poor cond</t>
  </si>
  <si>
    <t>Proposed habitat</t>
  </si>
  <si>
    <t>Temporal multiplier</t>
  </si>
  <si>
    <t>Difficulty multipliers</t>
  </si>
  <si>
    <t>Habitat units delivered</t>
  </si>
  <si>
    <t>Strategic position multiplier</t>
  </si>
  <si>
    <t>Standard time to target condition/years</t>
  </si>
  <si>
    <t xml:space="preserve">Habitat created in advance/years </t>
  </si>
  <si>
    <t>Delay in starting habitat creation/years</t>
  </si>
  <si>
    <t>Standard or adjusted time to target condition</t>
  </si>
  <si>
    <t>Final time to target condition/years</t>
  </si>
  <si>
    <t>Final time to target multiplier</t>
  </si>
  <si>
    <t xml:space="preserve">Standard difficulty of creation </t>
  </si>
  <si>
    <t>Applied difficulty multiplier</t>
  </si>
  <si>
    <t xml:space="preserve">Final difficulty of creation </t>
  </si>
  <si>
    <t>Difficulty multiplier applied</t>
  </si>
  <si>
    <t>Poor</t>
  </si>
  <si>
    <t>Total habitat area</t>
  </si>
  <si>
    <t>Totals</t>
  </si>
  <si>
    <t>Total Units</t>
  </si>
  <si>
    <t>Site Area (Excluding area of Urban trees and Green walls)</t>
  </si>
  <si>
    <t>Baseline habitats</t>
  </si>
  <si>
    <t>Proposed Habitat (Pre-populated but can be overridden)</t>
  </si>
  <si>
    <t>Change in distinctiveness and condition</t>
  </si>
  <si>
    <t xml:space="preserve">Area (hectares) </t>
  </si>
  <si>
    <t>Temporal risk multiplier</t>
  </si>
  <si>
    <t>Difficulty risk multipliers</t>
  </si>
  <si>
    <t>Habitat</t>
  </si>
  <si>
    <t>Baseline ref</t>
  </si>
  <si>
    <t>Baseline habitat</t>
  </si>
  <si>
    <t>Total habitat area (hectares)</t>
  </si>
  <si>
    <t>Baseline distinctiveness band</t>
  </si>
  <si>
    <t>Baseline distinctiveness score</t>
  </si>
  <si>
    <t>Baseline condition category</t>
  </si>
  <si>
    <t>Baseline condition score</t>
  </si>
  <si>
    <t>Baseline strategic significance category</t>
  </si>
  <si>
    <t>Baseline strategic significance score</t>
  </si>
  <si>
    <t>Baseline habitat units</t>
  </si>
  <si>
    <t>Conditional Data Validation lookup</t>
  </si>
  <si>
    <t>Proposed Broad Habitat</t>
  </si>
  <si>
    <t xml:space="preserve"> Distinctiveness change</t>
  </si>
  <si>
    <t>Condition change</t>
  </si>
  <si>
    <t xml:space="preserve">Habitat enhanced in advance/years </t>
  </si>
  <si>
    <t>Delay in starting habitat enhancement/years</t>
  </si>
  <si>
    <t>Standard difficulty of enhancement</t>
  </si>
  <si>
    <t>Final difficulty of enhancement</t>
  </si>
  <si>
    <t>Habitat distinctiveness</t>
  </si>
  <si>
    <t>Habitat condition</t>
  </si>
  <si>
    <t>Broad habitat</t>
  </si>
  <si>
    <t>Habitat type</t>
  </si>
  <si>
    <t>Area lost</t>
  </si>
  <si>
    <t>Units unacceptable Losses</t>
  </si>
  <si>
    <t>Total site area ha</t>
  </si>
  <si>
    <t>Total Site baseline</t>
  </si>
  <si>
    <t>Spatial risk multiplier</t>
  </si>
  <si>
    <t>Conditional Data Validation</t>
  </si>
  <si>
    <t>Applied difficullty multiplier</t>
  </si>
  <si>
    <t>Spatial risk category</t>
  </si>
  <si>
    <t>Total Length</t>
  </si>
  <si>
    <t>take account of trading</t>
  </si>
  <si>
    <t>Proposed Habitat (Pre-Populated but can be overridden)</t>
  </si>
  <si>
    <t>Area ha</t>
  </si>
  <si>
    <t>Proposed Habitat</t>
  </si>
  <si>
    <t>Proposed habitat    (Pre-Populated but can be overridden)</t>
  </si>
  <si>
    <t>Difficulty of enhancement category</t>
  </si>
  <si>
    <t>Difficulty</t>
  </si>
  <si>
    <t>UK Habitats - existing habitats</t>
  </si>
  <si>
    <t>Hedge number</t>
  </si>
  <si>
    <t>Length (km)</t>
  </si>
  <si>
    <t>Total hedgerow units</t>
  </si>
  <si>
    <t>Length retained</t>
  </si>
  <si>
    <t>Length enhanced</t>
  </si>
  <si>
    <t>Units retained</t>
  </si>
  <si>
    <t>Units enhanced</t>
  </si>
  <si>
    <t>Length lost</t>
  </si>
  <si>
    <t>Proposed habitats</t>
  </si>
  <si>
    <t>Hedge units delivered</t>
  </si>
  <si>
    <t>New hedge number</t>
  </si>
  <si>
    <t>Standard Time to target condition/years</t>
  </si>
  <si>
    <t>Applied  difficullty multiplier</t>
  </si>
  <si>
    <t>Baseline Habitats</t>
  </si>
  <si>
    <t>Proposed (Pre-populated but can be overridden)</t>
  </si>
  <si>
    <t>Change in distincitiveness and condition</t>
  </si>
  <si>
    <t>Suggested action</t>
  </si>
  <si>
    <t xml:space="preserve"> Distinctiveness movement</t>
  </si>
  <si>
    <t>Condition movement</t>
  </si>
  <si>
    <t>Final Time to target multiplier</t>
  </si>
  <si>
    <t xml:space="preserve">Standard difficulty of enhancement </t>
  </si>
  <si>
    <t xml:space="preserve">Final difficulty of enhancement </t>
  </si>
  <si>
    <t>Existing hedgerow habitats</t>
  </si>
  <si>
    <t>Length KM</t>
  </si>
  <si>
    <t>Post development/ post intervention habitats</t>
  </si>
  <si>
    <t>Existing river type</t>
  </si>
  <si>
    <t>Watercourse encroachment</t>
  </si>
  <si>
    <t>Riparian encroachment</t>
  </si>
  <si>
    <t>Strategic significance multiplier</t>
  </si>
  <si>
    <t>Extent of encroachment</t>
  </si>
  <si>
    <t>Multiplier</t>
  </si>
  <si>
    <t>Total river units</t>
  </si>
  <si>
    <t>Length Lost</t>
  </si>
  <si>
    <t>Units Lost</t>
  </si>
  <si>
    <t>Assessor Comments</t>
  </si>
  <si>
    <t>Length match</t>
  </si>
  <si>
    <t>River units delivered</t>
  </si>
  <si>
    <t xml:space="preserve">Applied difficullty multiplier </t>
  </si>
  <si>
    <t>Proposed River Type
(Pre-populated can be overridden)</t>
  </si>
  <si>
    <t>Baseline strategic significance Score</t>
  </si>
  <si>
    <t>Total units</t>
  </si>
  <si>
    <t>length (km)</t>
  </si>
  <si>
    <t>Length Match</t>
  </si>
  <si>
    <t xml:space="preserve">Habitat condition </t>
  </si>
  <si>
    <t>Length km</t>
  </si>
  <si>
    <t>Final time to target Multiplier</t>
  </si>
  <si>
    <t>Offset location</t>
  </si>
  <si>
    <t>`</t>
  </si>
  <si>
    <t>Proposed  habitat                                                                                             (Pre-Populated but can be overridden)</t>
  </si>
  <si>
    <t>All Habitats Based on UKHab</t>
  </si>
  <si>
    <t>Distinctiveness categories</t>
  </si>
  <si>
    <t>Condition categories</t>
  </si>
  <si>
    <t xml:space="preserve">Broad Habitats </t>
  </si>
  <si>
    <t>Conditional Broad Habitat Label</t>
  </si>
  <si>
    <t>Labeling column</t>
  </si>
  <si>
    <t>Definitive UKHAB / EUNIS/NE Code</t>
  </si>
  <si>
    <t>Level 1</t>
  </si>
  <si>
    <t>Level 2 code</t>
  </si>
  <si>
    <t>Level 2 Label</t>
  </si>
  <si>
    <t>Level 3 code</t>
  </si>
  <si>
    <t>Level 3 Label</t>
  </si>
  <si>
    <t>Level 4 code</t>
  </si>
  <si>
    <t>Level 4 Label
(Priority Habitats in Bold)</t>
  </si>
  <si>
    <t xml:space="preserve">Distinctiveness Category </t>
  </si>
  <si>
    <t>Distinctiveness Score</t>
  </si>
  <si>
    <t>trading notes</t>
  </si>
  <si>
    <t>Technical Difficulty Creation</t>
  </si>
  <si>
    <t>Technical Difficulty Enhancement</t>
  </si>
  <si>
    <t>Basic Description</t>
  </si>
  <si>
    <t>Condition Assessment Notes</t>
  </si>
  <si>
    <t>Distinctiveness category</t>
  </si>
  <si>
    <t>Distinctiveness score</t>
  </si>
  <si>
    <t>Sugested action</t>
  </si>
  <si>
    <t>Condition Multiplier</t>
  </si>
  <si>
    <t>Condition Assesmennt Score</t>
  </si>
  <si>
    <t>Bespoke Compensation For Unaceptable losses agreed</t>
  </si>
  <si>
    <t>Arable field margins cultivated annually</t>
  </si>
  <si>
    <t>Cropland - Arable field margins cultivated annually</t>
  </si>
  <si>
    <t>c1a7</t>
  </si>
  <si>
    <t>Terrestrial</t>
  </si>
  <si>
    <t>Arable and horticulture</t>
  </si>
  <si>
    <t>Arable field margins</t>
  </si>
  <si>
    <t>V.High</t>
  </si>
  <si>
    <r>
      <t>Bespoke compensation likely to be required</t>
    </r>
    <r>
      <rPr>
        <b/>
        <sz val="11"/>
        <rFont val="Rockwell Light"/>
        <family val="1"/>
      </rPr>
      <t xml:space="preserve"> 🛠</t>
    </r>
  </si>
  <si>
    <t>Yes</t>
  </si>
  <si>
    <t>Arable field margins game bird mix</t>
  </si>
  <si>
    <t>Cropland - Arable field margins game bird mix</t>
  </si>
  <si>
    <t>c1a8</t>
  </si>
  <si>
    <t>Same habitat required =</t>
  </si>
  <si>
    <t>Fairly Good</t>
  </si>
  <si>
    <t>No</t>
  </si>
  <si>
    <t>Arable field margins pollen &amp; nectar</t>
  </si>
  <si>
    <t>Cropland - Arable field margins pollen &amp; nectar</t>
  </si>
  <si>
    <t>c1a6</t>
  </si>
  <si>
    <t>Heathland_and_shrub</t>
  </si>
  <si>
    <t>Arable field margins tussocky</t>
  </si>
  <si>
    <t>Cropland - Arable field margins tussocky</t>
  </si>
  <si>
    <t>c1a</t>
  </si>
  <si>
    <t>c</t>
  </si>
  <si>
    <t>c1</t>
  </si>
  <si>
    <t>Fairly Poor</t>
  </si>
  <si>
    <t>Cereal crops</t>
  </si>
  <si>
    <t>Cropland - Cereal crops</t>
  </si>
  <si>
    <t>c1c</t>
  </si>
  <si>
    <t>V.Low</t>
  </si>
  <si>
    <t>Compensation Not Required</t>
  </si>
  <si>
    <t>Sparsely_vegetated_land</t>
  </si>
  <si>
    <t>Cereal crops winter stubble</t>
  </si>
  <si>
    <t>Cropland - Cereal crops winter stubble</t>
  </si>
  <si>
    <t>c1c5</t>
  </si>
  <si>
    <t>Condition Assessment N/A</t>
  </si>
  <si>
    <t>Horticulture</t>
  </si>
  <si>
    <t>Cropland - Horticulture</t>
  </si>
  <si>
    <t>c1f</t>
  </si>
  <si>
    <t>N/A - Other</t>
  </si>
  <si>
    <t>Intensive orchards</t>
  </si>
  <si>
    <t>Cropland - Intensive orchards</t>
  </si>
  <si>
    <t>c1e</t>
  </si>
  <si>
    <t>Woodland_and_forest</t>
  </si>
  <si>
    <t>Non-cereal crops</t>
  </si>
  <si>
    <t>Cropland - Non-cereal crops</t>
  </si>
  <si>
    <t>c1d</t>
  </si>
  <si>
    <t>Coastal_lagoons</t>
  </si>
  <si>
    <t>Temporary grass and clover leys</t>
  </si>
  <si>
    <t>Cropland - Temporary grass and clover leys</t>
  </si>
  <si>
    <t>c1b</t>
  </si>
  <si>
    <t xml:space="preserve">Rocky_shore </t>
  </si>
  <si>
    <t>Traditional orchards</t>
  </si>
  <si>
    <t>Grassland - Traditional orchards</t>
  </si>
  <si>
    <t xml:space="preserve">Coastal_saltmarsh </t>
  </si>
  <si>
    <t>Bracken</t>
  </si>
  <si>
    <t>Grassland - Bracken</t>
  </si>
  <si>
    <t>g1c</t>
  </si>
  <si>
    <t>Acid grassland</t>
  </si>
  <si>
    <t>Intertidal_sediment</t>
  </si>
  <si>
    <t>Floodplain Wetland Mosaic (CFGM)</t>
  </si>
  <si>
    <t>Grassland - Floodplain Wetland Mosaic (CFGM)</t>
  </si>
  <si>
    <t>NE0011</t>
  </si>
  <si>
    <t>Floodplain Wetland Mosaic</t>
  </si>
  <si>
    <t>Intertidal_hard_structures</t>
  </si>
  <si>
    <t>Lowland calcareous grassland</t>
  </si>
  <si>
    <t>Grassland - Lowland calcareous grassland</t>
  </si>
  <si>
    <t>g2a</t>
  </si>
  <si>
    <t>g2</t>
  </si>
  <si>
    <t>Calcareous grassland</t>
  </si>
  <si>
    <t>Lowland dry acid grassland</t>
  </si>
  <si>
    <t>Grassland - Lowland dry acid grassland</t>
  </si>
  <si>
    <t>g1a</t>
  </si>
  <si>
    <t>g</t>
  </si>
  <si>
    <t>g1</t>
  </si>
  <si>
    <t>Lowland meadows</t>
  </si>
  <si>
    <t>Grassland - Lowland meadows</t>
  </si>
  <si>
    <t>g3a</t>
  </si>
  <si>
    <t>g3</t>
  </si>
  <si>
    <t>Neutral grassland</t>
  </si>
  <si>
    <t>Modified grassland</t>
  </si>
  <si>
    <t>Grassland - Modified grassland</t>
  </si>
  <si>
    <t>g4</t>
  </si>
  <si>
    <t>Carried forward</t>
  </si>
  <si>
    <t>Other lowland acid grassland</t>
  </si>
  <si>
    <t>Grassland - Other lowland acid grassland</t>
  </si>
  <si>
    <t>g1d</t>
  </si>
  <si>
    <t>Other neutral grassland</t>
  </si>
  <si>
    <t>Grassland - Other neutral grassland</t>
  </si>
  <si>
    <t>g3c</t>
  </si>
  <si>
    <t>Tall herb communities</t>
  </si>
  <si>
    <t>Grassland - Tall herb communities (H6430)</t>
  </si>
  <si>
    <t>s1a9</t>
  </si>
  <si>
    <t>g5</t>
  </si>
  <si>
    <t>Other grassland</t>
  </si>
  <si>
    <t>Upland acid grassland</t>
  </si>
  <si>
    <t>Grassland - Upland acid grassland</t>
  </si>
  <si>
    <t>g1b</t>
  </si>
  <si>
    <t>Upland calcareous grassland</t>
  </si>
  <si>
    <t>Grassland - Upland calcareous grassland</t>
  </si>
  <si>
    <t>g2b</t>
  </si>
  <si>
    <t>Upland hay meadows</t>
  </si>
  <si>
    <t>Grassland - Upland hay meadows</t>
  </si>
  <si>
    <t>g3b</t>
  </si>
  <si>
    <t>Blackthorn scrub</t>
  </si>
  <si>
    <t>Heathland and shrub - Blackthorn scrub</t>
  </si>
  <si>
    <t>h3a</t>
  </si>
  <si>
    <t>h3</t>
  </si>
  <si>
    <t>Dense scrub</t>
  </si>
  <si>
    <t>Bramble scrub</t>
  </si>
  <si>
    <t>Heathland and shrub - Bramble scrub</t>
  </si>
  <si>
    <t>h3d</t>
  </si>
  <si>
    <t>Gorse scrub</t>
  </si>
  <si>
    <t>Heathland and shrub - Gorse scrub</t>
  </si>
  <si>
    <t>h3e</t>
  </si>
  <si>
    <t>Hawthorn scrub</t>
  </si>
  <si>
    <t>Heathland and shrub - Hawthorn scrub</t>
  </si>
  <si>
    <t>h3f</t>
  </si>
  <si>
    <t>Hazel scrub</t>
  </si>
  <si>
    <t>Heathland and shrub - Hazel scrub</t>
  </si>
  <si>
    <t>h3b</t>
  </si>
  <si>
    <t>Lowland Heathland</t>
  </si>
  <si>
    <t>Heathland and shrub - Lowland Heathland</t>
  </si>
  <si>
    <t>h1a</t>
  </si>
  <si>
    <t>h</t>
  </si>
  <si>
    <t>h1</t>
  </si>
  <si>
    <t>Dwarf shrub heath</t>
  </si>
  <si>
    <t>Mixed scrub</t>
  </si>
  <si>
    <t>Heathland and shrub - Mixed scrub</t>
  </si>
  <si>
    <t>h3h</t>
  </si>
  <si>
    <t>to include scattered mixed scrub over grassland</t>
  </si>
  <si>
    <t>Mountain heaths and willow scrub</t>
  </si>
  <si>
    <t>Heathland and shrub - Mountain heaths and willow scrub</t>
  </si>
  <si>
    <t>h1c</t>
  </si>
  <si>
    <t>Rhododendron scrub</t>
  </si>
  <si>
    <t>Heathland and shrub - Rhododendron scrub</t>
  </si>
  <si>
    <t>h3g</t>
  </si>
  <si>
    <t>Sea buckthorn scrub (Annex 1)</t>
  </si>
  <si>
    <t>Heathland and shrub - Sea buckthorn scrub (Annex 1)</t>
  </si>
  <si>
    <t>h3c5</t>
  </si>
  <si>
    <t>h3c</t>
  </si>
  <si>
    <t>Sea buckthorn scrub</t>
  </si>
  <si>
    <t>Sea buckthorn scrub (other)</t>
  </si>
  <si>
    <t>Heathland and shrub - Sea buckthorn scrub (other)</t>
  </si>
  <si>
    <t>h3c6</t>
  </si>
  <si>
    <t>Other Sea buckthorn scrub</t>
  </si>
  <si>
    <t>Upland Heathland</t>
  </si>
  <si>
    <t>Heathland and shrub - Upland Heathland</t>
  </si>
  <si>
    <t>h1b</t>
  </si>
  <si>
    <t>Aquifer fed naturally fluctuating water bodies</t>
  </si>
  <si>
    <t>Lakes - Aquifer fed naturally fluctuating water bodies</t>
  </si>
  <si>
    <t>r1d</t>
  </si>
  <si>
    <t>Freshwater</t>
  </si>
  <si>
    <t>Standing open water and canals</t>
  </si>
  <si>
    <t>Ornamental lake or pond</t>
  </si>
  <si>
    <t>Lakes - Ornamental lake or pond</t>
  </si>
  <si>
    <t>Built-up areas and gardens</t>
  </si>
  <si>
    <t>High alkalinity lakes</t>
  </si>
  <si>
    <t>Lakes - High alkalinity lakes</t>
  </si>
  <si>
    <t>NE0001</t>
  </si>
  <si>
    <t>Low alkalinity lakes</t>
  </si>
  <si>
    <t>Lakes - Low alkalinity lakes</t>
  </si>
  <si>
    <t>NE0002</t>
  </si>
  <si>
    <t>Marl Lakes</t>
  </si>
  <si>
    <t>Lakes - Marl Lakes</t>
  </si>
  <si>
    <t>NE0003</t>
  </si>
  <si>
    <t>Moderate alkalinity lakes</t>
  </si>
  <si>
    <t>Lakes - Moderate alkalinity lakes</t>
  </si>
  <si>
    <t>NE0004</t>
  </si>
  <si>
    <t>Peat Lakes</t>
  </si>
  <si>
    <t>Lakes - Peat Lakes</t>
  </si>
  <si>
    <t>NE0005</t>
  </si>
  <si>
    <t>Ponds (Priority Habitat)</t>
  </si>
  <si>
    <t>Lakes - Ponds (Priority Habitat)</t>
  </si>
  <si>
    <t>NE0006</t>
  </si>
  <si>
    <t>Ponds (Non- Priority Habitat)</t>
  </si>
  <si>
    <t>Lakes - Ponds (Non- Priority Habitat)</t>
  </si>
  <si>
    <t>NE0012</t>
  </si>
  <si>
    <t>r1b</t>
  </si>
  <si>
    <t>Reservoirs</t>
  </si>
  <si>
    <t>Lakes - Reservoirs</t>
  </si>
  <si>
    <t>Temporary lakes, ponds and pools</t>
  </si>
  <si>
    <t>Lakes - Temporary lakes, ponds and pools</t>
  </si>
  <si>
    <t>NE0013</t>
  </si>
  <si>
    <t>r1c</t>
  </si>
  <si>
    <t>Calaminarian grasslands</t>
  </si>
  <si>
    <t>Sparsely vegetated land - Calaminarian grasslands</t>
  </si>
  <si>
    <t>s1c</t>
  </si>
  <si>
    <t>Inland rock</t>
  </si>
  <si>
    <t>Coastal sand dunes</t>
  </si>
  <si>
    <t>Sparsely vegetated land - Coastal sand dunes</t>
  </si>
  <si>
    <t>s3a</t>
  </si>
  <si>
    <t>Supralittoral Sediment</t>
  </si>
  <si>
    <t>Coastal vegetated shingle</t>
  </si>
  <si>
    <t>Sparsely vegetated land - Coastal vegetated shingle</t>
  </si>
  <si>
    <t>s3b</t>
  </si>
  <si>
    <t>Ruderal/Ephemeral</t>
  </si>
  <si>
    <t>Sparsely vegetated land - Ruderal/Ephemeral</t>
  </si>
  <si>
    <t>Ephemeral</t>
  </si>
  <si>
    <t>including low value tall herb</t>
  </si>
  <si>
    <t>Inland rock outcrop and scree habitats</t>
  </si>
  <si>
    <t>Sparsely vegetated land - Inland rock outcrop and scree habitats</t>
  </si>
  <si>
    <t>s1a</t>
  </si>
  <si>
    <t>s</t>
  </si>
  <si>
    <t>s1</t>
  </si>
  <si>
    <t>Limestone pavement</t>
  </si>
  <si>
    <t>Sparsely vegetated land - Limestone pavement</t>
  </si>
  <si>
    <t>s1b</t>
  </si>
  <si>
    <t>Maritime cliff and slopes</t>
  </si>
  <si>
    <t>Sparsely vegetated land - Maritime cliff and slopes</t>
  </si>
  <si>
    <t>s2a</t>
  </si>
  <si>
    <t>s2</t>
  </si>
  <si>
    <t>Supralittoral Rock</t>
  </si>
  <si>
    <t>Other inland rock and scree</t>
  </si>
  <si>
    <t>Sparsely vegetated land - Other inland rock and scree</t>
  </si>
  <si>
    <t>s1d</t>
  </si>
  <si>
    <t>Allotments</t>
  </si>
  <si>
    <t>Urban - Allotments</t>
  </si>
  <si>
    <t>Artificial unvegetated, unsealed surface</t>
  </si>
  <si>
    <t>Urban - Artificial unvegetated, unsealed surface</t>
  </si>
  <si>
    <t>u1c</t>
  </si>
  <si>
    <t>Bioswale</t>
  </si>
  <si>
    <t>Urban - Bioswale</t>
  </si>
  <si>
    <t>Intensive green roof</t>
  </si>
  <si>
    <t>Urban - Intensive green roof</t>
  </si>
  <si>
    <t>NE0008</t>
  </si>
  <si>
    <t>Built linear features</t>
  </si>
  <si>
    <t>Urban - Built linear features</t>
  </si>
  <si>
    <t>u1e</t>
  </si>
  <si>
    <t>Cemeteries and churchyards</t>
  </si>
  <si>
    <t>Urban - Cemeteries and churchyards</t>
  </si>
  <si>
    <t>Developed land; sealed surface</t>
  </si>
  <si>
    <t>Urban - Developed land; sealed surface</t>
  </si>
  <si>
    <t>u1b</t>
  </si>
  <si>
    <t>Other green roof</t>
  </si>
  <si>
    <t>Urban - Other green roof</t>
  </si>
  <si>
    <t>NE0009</t>
  </si>
  <si>
    <t>Facade-bound green wall</t>
  </si>
  <si>
    <t>Urban - Facade-bound green wall</t>
  </si>
  <si>
    <t>Façade-bound green wall</t>
  </si>
  <si>
    <t>Ground based green wall</t>
  </si>
  <si>
    <t>Urban - Ground based green wall</t>
  </si>
  <si>
    <t>Ground level planters</t>
  </si>
  <si>
    <t>Urban - Ground level planters</t>
  </si>
  <si>
    <t>Biodiverse green roof</t>
  </si>
  <si>
    <t>Urban - Biodiverse green roof</t>
  </si>
  <si>
    <t>NE0007</t>
  </si>
  <si>
    <t>Introduced shrub</t>
  </si>
  <si>
    <t>Urban - Introduced shrub</t>
  </si>
  <si>
    <t>Open Mosaic Habitats on Previously Developed Land</t>
  </si>
  <si>
    <t>Urban - Open Mosaic Habitats on Previously Developed Land</t>
  </si>
  <si>
    <t>u1a</t>
  </si>
  <si>
    <t>u</t>
  </si>
  <si>
    <t>u1</t>
  </si>
  <si>
    <t>Rain garden</t>
  </si>
  <si>
    <t>Urban - Rain garden</t>
  </si>
  <si>
    <t>Actively worked sand pit quarry or open cast mine</t>
  </si>
  <si>
    <t>Urban - Actively worked sand pit quarry or open cast mine</t>
  </si>
  <si>
    <t>Sand pit quarry or open cast mine</t>
  </si>
  <si>
    <t>Urban Tree</t>
  </si>
  <si>
    <t>Urban - Urban Tree</t>
  </si>
  <si>
    <t>NE0014</t>
  </si>
  <si>
    <t>Street Tree</t>
  </si>
  <si>
    <t>Sustainable urban drainage feature</t>
  </si>
  <si>
    <t>Urban - Sustainable urban drainage feature</t>
  </si>
  <si>
    <t>Un-vegetated garden</t>
  </si>
  <si>
    <t>Urban - Un-vegetated garden</t>
  </si>
  <si>
    <t>Vacant/derelict land/ bareground</t>
  </si>
  <si>
    <t>Urban - Vacant/derelict land/ bareground</t>
  </si>
  <si>
    <t>justify why not omh</t>
  </si>
  <si>
    <t>Vegetated garden</t>
  </si>
  <si>
    <t>Urban - Vegetated garden</t>
  </si>
  <si>
    <t>Blanket bog</t>
  </si>
  <si>
    <t>Wetland - Blanket bog</t>
  </si>
  <si>
    <t>f1a</t>
  </si>
  <si>
    <t>Bog</t>
  </si>
  <si>
    <t>Depressions on Peat substrates (H7150)</t>
  </si>
  <si>
    <t>Wetland - Depressions on Peat substrates (H7150)</t>
  </si>
  <si>
    <t>f</t>
  </si>
  <si>
    <t>f1</t>
  </si>
  <si>
    <t>Fens (upland and lowland)</t>
  </si>
  <si>
    <t>Wetland - Fens (upland and lowland)</t>
  </si>
  <si>
    <t>f2a</t>
  </si>
  <si>
    <t>f2</t>
  </si>
  <si>
    <t>Fen marsh and swamp</t>
  </si>
  <si>
    <t>Lowland fens</t>
  </si>
  <si>
    <t>Lowland raised bog</t>
  </si>
  <si>
    <t>Wetland - Lowland raised bog</t>
  </si>
  <si>
    <t>f1b</t>
  </si>
  <si>
    <t>Oceanic Valley Mire[1] (D2.1)</t>
  </si>
  <si>
    <t>Wetland - Oceanic Valley Mire[1] (D2.1)</t>
  </si>
  <si>
    <t>NE0010</t>
  </si>
  <si>
    <t>f2f</t>
  </si>
  <si>
    <t>Purple moor grass and rush pastures</t>
  </si>
  <si>
    <t>Wetland - Purple moor grass and rush pastures</t>
  </si>
  <si>
    <t>f2b</t>
  </si>
  <si>
    <t>Reedbeds</t>
  </si>
  <si>
    <t>Wetland - Reedbeds</t>
  </si>
  <si>
    <t>f2e</t>
  </si>
  <si>
    <t>Transition mires and quaking bogs (H7140)</t>
  </si>
  <si>
    <t>Wetland - Transition mires and quaking bogs (H7140)</t>
  </si>
  <si>
    <t>f2a8</t>
  </si>
  <si>
    <t>Felled</t>
  </si>
  <si>
    <t>Woodland and forest - Felled</t>
  </si>
  <si>
    <t>Other woodland</t>
  </si>
  <si>
    <t>Lowland beech and yew woodland</t>
  </si>
  <si>
    <t>Woodland and forest - Lowland beech and yew woodland</t>
  </si>
  <si>
    <t>w1c</t>
  </si>
  <si>
    <t>Broadleaved mixed and yew woodland</t>
  </si>
  <si>
    <t>Lowland mixed deciduous woodland</t>
  </si>
  <si>
    <t>Woodland and forest - Lowland mixed deciduous woodland</t>
  </si>
  <si>
    <t>w1f</t>
  </si>
  <si>
    <t>Native pine woodlands</t>
  </si>
  <si>
    <t>Woodland and forest - Native pine woodlands</t>
  </si>
  <si>
    <t>w2a</t>
  </si>
  <si>
    <t>w2</t>
  </si>
  <si>
    <t>Coniferous woodland</t>
  </si>
  <si>
    <t>Other coniferous woodland</t>
  </si>
  <si>
    <t>Woodland and forest - Other coniferous woodland</t>
  </si>
  <si>
    <t>w2c</t>
  </si>
  <si>
    <t>Other Scot's Pine woodland</t>
  </si>
  <si>
    <t>Woodland and forest - Other Scot's Pine woodland</t>
  </si>
  <si>
    <t>w2b</t>
  </si>
  <si>
    <t>Other woodland; broadleaved</t>
  </si>
  <si>
    <t>Woodland and forest - Other woodland; broadleaved</t>
  </si>
  <si>
    <t>w1g</t>
  </si>
  <si>
    <t>Other woodland; mixed</t>
  </si>
  <si>
    <t>Woodland and forest - Other woodland; mixed</t>
  </si>
  <si>
    <t>w1h</t>
  </si>
  <si>
    <t>Upland birchwoods</t>
  </si>
  <si>
    <t>Woodland and forest - Upland birchwoods</t>
  </si>
  <si>
    <t>w1e</t>
  </si>
  <si>
    <t>Upland mixed ashwoods</t>
  </si>
  <si>
    <t>Woodland and forest - Upland mixed ashwoods</t>
  </si>
  <si>
    <t>w1b</t>
  </si>
  <si>
    <t>Upland oakwood</t>
  </si>
  <si>
    <t>Woodland and forest - Upland oakwood</t>
  </si>
  <si>
    <t>w1a</t>
  </si>
  <si>
    <t>w</t>
  </si>
  <si>
    <t>w1</t>
  </si>
  <si>
    <t>Wet woodland</t>
  </si>
  <si>
    <t>Woodland and forest - Wet woodland</t>
  </si>
  <si>
    <t>w1d</t>
  </si>
  <si>
    <t>Wood-pasture and parkland</t>
  </si>
  <si>
    <t>Woodland and forest - Wood-pasture and parkland</t>
  </si>
  <si>
    <t>Coastal lagoons - Coastal lagoons</t>
  </si>
  <si>
    <t>x02</t>
  </si>
  <si>
    <t>Intertidal</t>
  </si>
  <si>
    <t>X02/03</t>
  </si>
  <si>
    <t>High energy littoral rock</t>
  </si>
  <si>
    <t>Rocky shore - High energy littoral rock</t>
  </si>
  <si>
    <t>a1.1</t>
  </si>
  <si>
    <t>A1</t>
  </si>
  <si>
    <t>High energy littoral rock - on peat, clay or chalk</t>
  </si>
  <si>
    <t>Rocky shore - High energy littoral rock - on peat, clay or chalk</t>
  </si>
  <si>
    <t>A1.1</t>
  </si>
  <si>
    <t>High energy littoral rock - on bedrock including chalk, peat or clay</t>
  </si>
  <si>
    <t>Moderate energy littoral rock</t>
  </si>
  <si>
    <t>Rocky shore - Moderate energy littoral rock</t>
  </si>
  <si>
    <t>A1.2</t>
  </si>
  <si>
    <t>Moderate energy littoral rock - on peat, clay or chalk</t>
  </si>
  <si>
    <t>Rocky shore - Moderate energy littoral rock - on peat, clay or chalk</t>
  </si>
  <si>
    <t>A1.2 PCC</t>
  </si>
  <si>
    <t>Moderate energy littoral rock - on bedrock including chalk, peat or clay</t>
  </si>
  <si>
    <t>Low energy littoral rock</t>
  </si>
  <si>
    <t>Rocky shore - Low energy littoral rock</t>
  </si>
  <si>
    <t>A1.3</t>
  </si>
  <si>
    <t>Low energy littoral rock - on peat, clay or chalk</t>
  </si>
  <si>
    <t>Rocky shore - Low energy littoral rock - on peat, clay or chalk</t>
  </si>
  <si>
    <t>A1.3 PCC</t>
  </si>
  <si>
    <t>Low energy littoral rock  - on bedrock including chalk, peat or clay</t>
  </si>
  <si>
    <t>Features of littoral rock</t>
  </si>
  <si>
    <t>Rocky shore - Features of littoral rock</t>
  </si>
  <si>
    <t>A1.4</t>
  </si>
  <si>
    <t>Features of littoral rock - on peat, clay or chalk</t>
  </si>
  <si>
    <t>Rocky shore - Features of littoral rock - on peat, clay or chalk</t>
  </si>
  <si>
    <t>A1.PCC</t>
  </si>
  <si>
    <t>Features of littoral rock - on bedrock including chalk, peat or clay</t>
  </si>
  <si>
    <t>Saltmarshes and saline reedbeds</t>
  </si>
  <si>
    <t>Coastal saltmarsh - Saltmarshes and saline reedbeds</t>
  </si>
  <si>
    <t>A2.5</t>
  </si>
  <si>
    <t>A2</t>
  </si>
  <si>
    <t>Coastal saltmarshes and saline reedbeds</t>
  </si>
  <si>
    <t>Artificial saltmarshes and saline reedbeds</t>
  </si>
  <si>
    <t>Coastal saltmarsh - Artificial saltmarshes and saline reedbeds</t>
  </si>
  <si>
    <t>ART_A2.5</t>
  </si>
  <si>
    <t>Littoral coarse sediment</t>
  </si>
  <si>
    <t>Intertidal sediment - Littoral coarse sediment</t>
  </si>
  <si>
    <t>A2.1</t>
  </si>
  <si>
    <t>Littoral mud</t>
  </si>
  <si>
    <t>Intertidal sediment - Littoral mud</t>
  </si>
  <si>
    <t>A2.3</t>
  </si>
  <si>
    <t>Littoral mixed sediments</t>
  </si>
  <si>
    <t>Intertidal sediment - Littoral mixed sediments</t>
  </si>
  <si>
    <t>A2.4</t>
  </si>
  <si>
    <t>Littoral seagrass</t>
  </si>
  <si>
    <t>Intertidal sediment - Littoral seagrass</t>
  </si>
  <si>
    <t>A2.6</t>
  </si>
  <si>
    <t>Littoral sediments dominated by aquatic angiosperms</t>
  </si>
  <si>
    <t>Littoral seagrass on peat, clay or chalk</t>
  </si>
  <si>
    <t>Intertidal sediment - Littoral seagrass on peat, clay or chalk</t>
  </si>
  <si>
    <t>A2.6 PCC</t>
  </si>
  <si>
    <t>Littoral seagrass  - on peat, clay or chalk</t>
  </si>
  <si>
    <t>Littoral biogenic reefs - Mussels</t>
  </si>
  <si>
    <t>Intertidal sediment - Littoral biogenic reefs - Mussels</t>
  </si>
  <si>
    <t>A2.7 M</t>
  </si>
  <si>
    <t xml:space="preserve"> Littoral biogenic reefs - Mussels</t>
  </si>
  <si>
    <t>Littoral biogenic reefs - Sabellaria</t>
  </si>
  <si>
    <t>Intertidal sediment - Littoral biogenic reefs - Sabellaria</t>
  </si>
  <si>
    <t>A2.7 S</t>
  </si>
  <si>
    <t>Features of littoral sediment</t>
  </si>
  <si>
    <t>Intertidal sediment - Features of littoral sediment</t>
  </si>
  <si>
    <t>A2.8</t>
  </si>
  <si>
    <t>Artificial littoral coarse sediment</t>
  </si>
  <si>
    <t>Intertidal sediment - Artificial littoral coarse sediment</t>
  </si>
  <si>
    <t>ART_A2.1</t>
  </si>
  <si>
    <t>Artificial littoral mud</t>
  </si>
  <si>
    <t>Intertidal sediment - Artificial littoral mud</t>
  </si>
  <si>
    <t>ART_A2.3</t>
  </si>
  <si>
    <t>Artificial littoral sand</t>
  </si>
  <si>
    <t>Intertidal sediment - Artificial littoral sand</t>
  </si>
  <si>
    <t>ART_A2.21/A2.22/A2.23</t>
  </si>
  <si>
    <t>Artificial littoral muddy sand</t>
  </si>
  <si>
    <t>Intertidal sediment - Artificial littoral muddy sand</t>
  </si>
  <si>
    <t>ART_A2.24</t>
  </si>
  <si>
    <t>Artificial littoral mixed sediments</t>
  </si>
  <si>
    <t>Intertidal sediment - Artificial littoral mixed sediments</t>
  </si>
  <si>
    <t>ART_A2.4</t>
  </si>
  <si>
    <t>Artificial littoral seagrass</t>
  </si>
  <si>
    <t>Intertidal sediment - Artificial littoral seagrass</t>
  </si>
  <si>
    <t>ART_A2.6</t>
  </si>
  <si>
    <t>Artificial littoral biogenic reefs</t>
  </si>
  <si>
    <t>Intertidal sediment - Artificial littoral biogenic reefs</t>
  </si>
  <si>
    <t>ART_A2.7</t>
  </si>
  <si>
    <t>Littoral sand</t>
  </si>
  <si>
    <t>Intertidal sediment - Littoral sand</t>
  </si>
  <si>
    <t>A2.21/A2.22/A2.23</t>
  </si>
  <si>
    <t>Littoral muddy sand</t>
  </si>
  <si>
    <t>Intertidal sediment - Littoral muddy sand</t>
  </si>
  <si>
    <t>A2.24</t>
  </si>
  <si>
    <t>Artificial hard structures</t>
  </si>
  <si>
    <t>Intertidal Hard Structures - Artificial hard structures</t>
  </si>
  <si>
    <t>ART_A1</t>
  </si>
  <si>
    <t>Artificial features of hard structures</t>
  </si>
  <si>
    <t>Intertidal Hard Structures - Artificial features of hard structures</t>
  </si>
  <si>
    <t>ART_A1.4</t>
  </si>
  <si>
    <t>Artificial hard structures with Integrated Greening of Grey Infrastructure (IGGI)</t>
  </si>
  <si>
    <t>Intertidal Hard Structures - Artificial hard structures with Integrated Greening of Grey Infrastructure (IGGI)</t>
  </si>
  <si>
    <t>ART_A1_IGGI</t>
  </si>
  <si>
    <t>All Habitats</t>
  </si>
  <si>
    <t>Group Sub-totals</t>
  </si>
  <si>
    <t>Distcinctivness Band Sub-totals</t>
  </si>
  <si>
    <t>Habitat Description</t>
  </si>
  <si>
    <t>Trading Notes</t>
  </si>
  <si>
    <t>Existing area baseline on site</t>
  </si>
  <si>
    <t>Existing units baseline on site</t>
  </si>
  <si>
    <t>Existing area retained on site</t>
  </si>
  <si>
    <t>Existing units retained on site</t>
  </si>
  <si>
    <t>Existing area Lost  on site</t>
  </si>
  <si>
    <t>Existing units lost  baseline on site</t>
  </si>
  <si>
    <t>Proposed area creation on site post development</t>
  </si>
  <si>
    <t>Proposed units creation onsite post development</t>
  </si>
  <si>
    <t>Proposed area enhancement on site post development</t>
  </si>
  <si>
    <t>Proposed units enhancement onsite post development</t>
  </si>
  <si>
    <t>Total proposed area on site post development</t>
  </si>
  <si>
    <t>Total proposed units on site post development</t>
  </si>
  <si>
    <t>Net area change</t>
  </si>
  <si>
    <t>Net unit change</t>
  </si>
  <si>
    <t>Existing area off-site</t>
  </si>
  <si>
    <t>Existing units off-site</t>
  </si>
  <si>
    <t>Retained area off-site</t>
  </si>
  <si>
    <t>Retained units off-site</t>
  </si>
  <si>
    <t xml:space="preserve">Proposed area creation off-site </t>
  </si>
  <si>
    <t xml:space="preserve">Proposed units creation off-site </t>
  </si>
  <si>
    <t xml:space="preserve">Proposed area enhancement off-site </t>
  </si>
  <si>
    <t xml:space="preserve">Proposed units enhancement off-site </t>
  </si>
  <si>
    <t xml:space="preserve">Total proposed area off-site </t>
  </si>
  <si>
    <t xml:space="preserve">Total proposed units off-site </t>
  </si>
  <si>
    <t>off-site net area change</t>
  </si>
  <si>
    <t>off-site net unit change</t>
  </si>
  <si>
    <t>Overall area change</t>
  </si>
  <si>
    <t>Overall unit change</t>
  </si>
  <si>
    <t>On Site Habitat Group</t>
  </si>
  <si>
    <t>Existing Area</t>
  </si>
  <si>
    <t>Existing Value</t>
  </si>
  <si>
    <t>Proposed Area On Site</t>
  </si>
  <si>
    <t>Proposed Value On Site</t>
  </si>
  <si>
    <t>On Site Area Change</t>
  </si>
  <si>
    <t>Existing Value Lost</t>
  </si>
  <si>
    <t>Proposed Area Off Site</t>
  </si>
  <si>
    <t>Offsite Unit Change</t>
  </si>
  <si>
    <t>unit change including offsite</t>
  </si>
  <si>
    <t>units required offsite</t>
  </si>
  <si>
    <t>area lost</t>
  </si>
  <si>
    <t>Off Site Habitat Group</t>
  </si>
  <si>
    <t>Proposed Value Off Site</t>
  </si>
  <si>
    <t>Off Site Area Change</t>
  </si>
  <si>
    <t>Off Site  Unit Change</t>
  </si>
  <si>
    <t>Rocky shore</t>
  </si>
  <si>
    <t>Coastal Saltmarsh</t>
  </si>
  <si>
    <t>units required offsite Or trading up</t>
  </si>
  <si>
    <t xml:space="preserve">Intertidal </t>
  </si>
  <si>
    <t xml:space="preserve">Hedgerow type </t>
  </si>
  <si>
    <t>Distinctivness</t>
  </si>
  <si>
    <t>Existing length baseline on site</t>
  </si>
  <si>
    <t>Existing length retained on site</t>
  </si>
  <si>
    <t>Existing Units retained on site</t>
  </si>
  <si>
    <t>Existing length lost  on site</t>
  </si>
  <si>
    <t>Proposed length creation on site post development</t>
  </si>
  <si>
    <t>Proposed length enhancement on site post development</t>
  </si>
  <si>
    <t>Total proposed length on site post development</t>
  </si>
  <si>
    <t>Total proposed units onsite post development</t>
  </si>
  <si>
    <t>Net length change</t>
  </si>
  <si>
    <t>Existing length off site</t>
  </si>
  <si>
    <t>Existing units offsite</t>
  </si>
  <si>
    <t>Retained length offsite</t>
  </si>
  <si>
    <t>Retained units offsite</t>
  </si>
  <si>
    <t xml:space="preserve">Proposed length creation off site </t>
  </si>
  <si>
    <t xml:space="preserve">Proposed units creation off site </t>
  </si>
  <si>
    <t xml:space="preserve">Proposed length enhancement off site </t>
  </si>
  <si>
    <t xml:space="preserve">Proposed units Enhancement offsite </t>
  </si>
  <si>
    <t xml:space="preserve">Total proposed length off site </t>
  </si>
  <si>
    <t xml:space="preserve">Total proposed units offsite </t>
  </si>
  <si>
    <t>Off Site net length change</t>
  </si>
  <si>
    <t>Off Site net unit change</t>
  </si>
  <si>
    <t>Overall length change</t>
  </si>
  <si>
    <t>Hedgerow</t>
  </si>
  <si>
    <t>Very Low</t>
  </si>
  <si>
    <t xml:space="preserve">River type </t>
  </si>
  <si>
    <t>Rivers &amp; streams</t>
  </si>
  <si>
    <t>Risk</t>
  </si>
  <si>
    <t>Spatial multipliers</t>
  </si>
  <si>
    <t>connectivity</t>
  </si>
  <si>
    <t>Strategic Significance</t>
  </si>
  <si>
    <t>category</t>
  </si>
  <si>
    <t>value</t>
  </si>
  <si>
    <t>Spatial risk</t>
  </si>
  <si>
    <t>Urban trees</t>
  </si>
  <si>
    <t>Description</t>
  </si>
  <si>
    <t>score</t>
  </si>
  <si>
    <t>strategic significance</t>
  </si>
  <si>
    <t>Diameter M</t>
  </si>
  <si>
    <t>RPA Radius M</t>
  </si>
  <si>
    <t>RPA ha</t>
  </si>
  <si>
    <t>Highly connected habitat</t>
  </si>
  <si>
    <t>Formally identified in local strategy</t>
  </si>
  <si>
    <t xml:space="preserve">High strategic significance </t>
  </si>
  <si>
    <t>Compensation inside LPA or NCA, or deemed to be sufficiently local, to site of biodiversity loss</t>
  </si>
  <si>
    <t>Moderately connected habitat</t>
  </si>
  <si>
    <t>Location ecologically desirable but not in local strategy</t>
  </si>
  <si>
    <t xml:space="preserve">Medium strategic significance </t>
  </si>
  <si>
    <r>
      <t xml:space="preserve">Compensation </t>
    </r>
    <r>
      <rPr>
        <u/>
        <sz val="11"/>
        <color theme="4"/>
        <rFont val="Rockwell Light"/>
        <family val="1"/>
      </rPr>
      <t>outside</t>
    </r>
    <r>
      <rPr>
        <sz val="11"/>
        <color theme="4"/>
        <rFont val="Rockwell Light"/>
        <family val="1"/>
      </rPr>
      <t xml:space="preserve"> LPA or NCA of impact site but in neighbouring LPA or NCA</t>
    </r>
  </si>
  <si>
    <t>Unconnected habitat</t>
  </si>
  <si>
    <t>Area/compensation not in local strategy/ no local strategy</t>
  </si>
  <si>
    <t>Low Strategic Significance</t>
  </si>
  <si>
    <r>
      <t xml:space="preserve">Compensation </t>
    </r>
    <r>
      <rPr>
        <u/>
        <sz val="11"/>
        <color theme="4"/>
        <rFont val="Rockwell Light"/>
        <family val="1"/>
      </rPr>
      <t>outside</t>
    </r>
    <r>
      <rPr>
        <sz val="11"/>
        <color theme="4"/>
        <rFont val="Rockwell Light"/>
        <family val="1"/>
      </rPr>
      <t xml:space="preserve"> LPA or NCA of impact site and beyond neighbouring LPA or NCA </t>
    </r>
  </si>
  <si>
    <t>N/A</t>
  </si>
  <si>
    <t>Assessment not required</t>
  </si>
  <si>
    <t xml:space="preserve"> Intertidal habitats - Compensation inside same Marine Plan Area, or deemed to be sufficiently local, to site of biodiversity loss</t>
  </si>
  <si>
    <r>
      <t xml:space="preserve"> Intertidal habitats - Compensation </t>
    </r>
    <r>
      <rPr>
        <u/>
        <sz val="11"/>
        <color theme="4"/>
        <rFont val="Rockwell Light"/>
        <family val="1"/>
      </rPr>
      <t xml:space="preserve">outside </t>
    </r>
    <r>
      <rPr>
        <sz val="11"/>
        <color theme="4"/>
        <rFont val="Rockwell Light"/>
        <family val="1"/>
      </rPr>
      <t>same Marine Plan Area but in neighbouring Marine Plan Area</t>
    </r>
  </si>
  <si>
    <r>
      <t xml:space="preserve"> Intertidal habitats - Compensation </t>
    </r>
    <r>
      <rPr>
        <u/>
        <sz val="11"/>
        <color theme="4"/>
        <rFont val="Rockwell Light"/>
        <family val="1"/>
      </rPr>
      <t>outside</t>
    </r>
    <r>
      <rPr>
        <sz val="11"/>
        <color theme="4"/>
        <rFont val="Rockwell Light"/>
        <family val="1"/>
      </rPr>
      <t xml:space="preserve"> Marine Plan Area of impact site and beyond neighbouring Marine Plan Area </t>
    </r>
  </si>
  <si>
    <t>Temporal multipliers</t>
  </si>
  <si>
    <t>Creation</t>
  </si>
  <si>
    <t>Year</t>
  </si>
  <si>
    <t>% of original unit</t>
  </si>
  <si>
    <t>Time to target Multiplier</t>
  </si>
  <si>
    <t>Not Possible</t>
  </si>
  <si>
    <t>30+</t>
  </si>
  <si>
    <t>Habitat banking dropdown list</t>
  </si>
  <si>
    <t>Start condition</t>
  </si>
  <si>
    <t>Lower Distinctiveness Habitat</t>
  </si>
  <si>
    <t>Target condition</t>
  </si>
  <si>
    <t>Lower Distinctiveness Habitat - N/A - Other</t>
  </si>
  <si>
    <t>Lower Distinctiveness Habitat - Condition Assessment N/A</t>
  </si>
  <si>
    <t>Lower Distinctiveness Habitat - Poor</t>
  </si>
  <si>
    <t>Lower Distinctiveness Habitat - Fairly Poor</t>
  </si>
  <si>
    <t>Lower Distinctiveness Habitat - Moderate</t>
  </si>
  <si>
    <t>Lower Distinctiveness Habitat - Fairly Good</t>
  </si>
  <si>
    <t>Lower Distinctiveness Habitat - Good</t>
  </si>
  <si>
    <t>Condition Assessment N/A- Fairly Poor</t>
  </si>
  <si>
    <t>Condition Assessment N/A - Moderate</t>
  </si>
  <si>
    <t>Condition Assessment N/A - Fairly Good</t>
  </si>
  <si>
    <t>Condition Assessment N/A - Good</t>
  </si>
  <si>
    <t>Poor - Fairly Poor</t>
  </si>
  <si>
    <t>Poor - Moderate</t>
  </si>
  <si>
    <t>Poor - Fairly Good</t>
  </si>
  <si>
    <t>Poor - Good</t>
  </si>
  <si>
    <t>Fairly Poor - Moderate</t>
  </si>
  <si>
    <t>Fairly Poor - Fairly Good</t>
  </si>
  <si>
    <t>Fairly Poor - Good</t>
  </si>
  <si>
    <t>Moderate - Fairly Good</t>
  </si>
  <si>
    <t>Moderate - Good</t>
  </si>
  <si>
    <t>Fairly Good - Good</t>
  </si>
  <si>
    <t>Good - Good</t>
  </si>
  <si>
    <t>Creation - Years to Target Condition</t>
  </si>
  <si>
    <t>Enhancement Through Condition - Years to Target Condition</t>
  </si>
  <si>
    <t>Enhancement Through Distinctiveness - Years to Target Condition</t>
  </si>
  <si>
    <t>Suggested Action</t>
  </si>
  <si>
    <t>Condition</t>
  </si>
  <si>
    <t>Enhancement through Distinctiveness</t>
  </si>
  <si>
    <t>Post Development Hedge Type</t>
  </si>
  <si>
    <t>Condition Groups</t>
  </si>
  <si>
    <t xml:space="preserve">Distinctivness Category </t>
  </si>
  <si>
    <t>Distinctivness Score</t>
  </si>
  <si>
    <t>Native Species Rich Hedgerow - associated with bank or ditch</t>
  </si>
  <si>
    <t>Native Hedgerow with trees - associated with bank or ditch</t>
  </si>
  <si>
    <t>Native Hedgerow - associated with bank or ditch</t>
  </si>
  <si>
    <t>Line of Trees (ecologically valuable)</t>
  </si>
  <si>
    <t>Line of Trees (ecologically valuable) - with bank or ditch</t>
  </si>
  <si>
    <t>Line of Trees - associated with bank or ditch</t>
  </si>
  <si>
    <t>Condition Category</t>
  </si>
  <si>
    <t>Condition Score</t>
  </si>
  <si>
    <t>Baseline Hedge Type</t>
  </si>
  <si>
    <t>Hedgecond1</t>
  </si>
  <si>
    <t>Hedgecond2</t>
  </si>
  <si>
    <t>Error</t>
  </si>
  <si>
    <t>Like for like</t>
  </si>
  <si>
    <t>V.High -  V.High</t>
  </si>
  <si>
    <t>Error Trading Down</t>
  </si>
  <si>
    <t>Like for like or better</t>
  </si>
  <si>
    <t>High - V.High</t>
  </si>
  <si>
    <t>High - High</t>
  </si>
  <si>
    <t>Medium - V.High</t>
  </si>
  <si>
    <t>Medium - High</t>
  </si>
  <si>
    <t>Medium - Medium</t>
  </si>
  <si>
    <t>Error - Enhancement not possible</t>
  </si>
  <si>
    <t>Same distinctiveness band or better</t>
  </si>
  <si>
    <t>Low - V.High</t>
  </si>
  <si>
    <t>Low - High</t>
  </si>
  <si>
    <t>Low - Medium</t>
  </si>
  <si>
    <t>Low - Low</t>
  </si>
  <si>
    <t>V.Low - V.Low</t>
  </si>
  <si>
    <t xml:space="preserve">Creation - Years to Target Condition for All Habitats </t>
  </si>
  <si>
    <t xml:space="preserve">Enhancement - Years to Target Condition for All Habitats </t>
  </si>
  <si>
    <t>Enhancement  - Years to Target Condition</t>
  </si>
  <si>
    <t>Encroachment</t>
  </si>
  <si>
    <t>Spatial</t>
  </si>
  <si>
    <t>Distinctivness categories</t>
  </si>
  <si>
    <t>Rivercond1</t>
  </si>
  <si>
    <t>Rivercond2</t>
  </si>
  <si>
    <t>Proposed Condition</t>
  </si>
  <si>
    <t>Encroachment into Watercourse</t>
  </si>
  <si>
    <t>multiplier</t>
  </si>
  <si>
    <t>Encroachment into riparian zone</t>
  </si>
  <si>
    <t>Description of multiplier</t>
  </si>
  <si>
    <t>Strategic multiplier</t>
  </si>
  <si>
    <t>Distinctiveness Category</t>
  </si>
  <si>
    <t>Sugested Action</t>
  </si>
  <si>
    <t>Restore</t>
  </si>
  <si>
    <t>Baseline Condition</t>
  </si>
  <si>
    <t>No Encroachment</t>
  </si>
  <si>
    <t>Low potential/action not identified in any plan</t>
  </si>
  <si>
    <t xml:space="preserve">Within the same waterbody       </t>
  </si>
  <si>
    <t>Loss Unacceptable</t>
  </si>
  <si>
    <t>Minor</t>
  </si>
  <si>
    <t>Delivery within Local Plans</t>
  </si>
  <si>
    <t>Within Local Plans</t>
  </si>
  <si>
    <t>Outside waterbody but within catchment</t>
  </si>
  <si>
    <t>Avoid</t>
  </si>
  <si>
    <t>Major</t>
  </si>
  <si>
    <t>Delivery within River Basin Management Plan</t>
  </si>
  <si>
    <t>Within River Basin Management Plan</t>
  </si>
  <si>
    <t>Outside catchment</t>
  </si>
  <si>
    <t>Avoid, Mitigate or Compensate</t>
  </si>
  <si>
    <t>N/A - Culvert</t>
  </si>
  <si>
    <t>Delivery within Catchment Plans</t>
  </si>
  <si>
    <t>Within Catchment Plans</t>
  </si>
  <si>
    <t>Mitigate or Compensate</t>
  </si>
  <si>
    <t>Delivery within Catchment Planning System</t>
  </si>
  <si>
    <t>Within Catchment Planning System</t>
  </si>
  <si>
    <t>Delivery within Priority Habitats for Restoration</t>
  </si>
  <si>
    <t>Within Priority Habitats for Restoration</t>
  </si>
  <si>
    <t>Condition groups</t>
  </si>
  <si>
    <t>Cond1</t>
  </si>
  <si>
    <t>Cond2</t>
  </si>
  <si>
    <t>Cond3</t>
  </si>
  <si>
    <t>Cond4</t>
  </si>
  <si>
    <t>Cond5</t>
  </si>
  <si>
    <t xml:space="preserve">Phase 1 Habitat </t>
  </si>
  <si>
    <t xml:space="preserve">Metric habitat </t>
  </si>
  <si>
    <t xml:space="preserve">Distinctiveness band </t>
  </si>
  <si>
    <t>Woodland</t>
  </si>
  <si>
    <t>Broadleaved woodland</t>
  </si>
  <si>
    <t>Semi-natural broadleaved woodland</t>
  </si>
  <si>
    <t>Plantation broadleaved woodland</t>
  </si>
  <si>
    <t>Semi-natural coniferous woodland</t>
  </si>
  <si>
    <t>Plantation coniferous woodland</t>
  </si>
  <si>
    <t>Mixed woodland</t>
  </si>
  <si>
    <t>Semi-natural mixed woodland</t>
  </si>
  <si>
    <t>Plantation mixed woodland</t>
  </si>
  <si>
    <t>Scrub</t>
  </si>
  <si>
    <t>Dense / continuous scrub</t>
  </si>
  <si>
    <t>Scattered scrub</t>
  </si>
  <si>
    <t>Parkland / scattered trees</t>
  </si>
  <si>
    <t>Broadleaved parkland / scattered trees</t>
  </si>
  <si>
    <t>Coniferous parkland / scattered trees</t>
  </si>
  <si>
    <t>Mixed parkland / scattered trees</t>
  </si>
  <si>
    <t>Recently-felled woodland</t>
  </si>
  <si>
    <t>Broadleaved recently felled woodland</t>
  </si>
  <si>
    <t>Coniferous recently felled woodland</t>
  </si>
  <si>
    <t>Mixed recently felled woodland</t>
  </si>
  <si>
    <t>Unimproved acid grassland</t>
  </si>
  <si>
    <t>Semi-improved acid grassland (Good quality)</t>
  </si>
  <si>
    <t>Semi-improved acid grassland (Poor quality)</t>
  </si>
  <si>
    <t>Unimproved neutral grassland</t>
  </si>
  <si>
    <t>Semi-improved neutral grassland (Good quality)</t>
  </si>
  <si>
    <t>Semi-improved neutral grassland (Poor quality)</t>
  </si>
  <si>
    <t>Unimproved calcareous grassland</t>
  </si>
  <si>
    <t>Semi-improved calcareous grassland (Good quality)</t>
  </si>
  <si>
    <t>Semi-improved calcareous grassland (Poor quality)</t>
  </si>
  <si>
    <t>Improved grassland</t>
  </si>
  <si>
    <t>Marsh/marshy grassland</t>
  </si>
  <si>
    <t>Poor semi-improved grassland</t>
  </si>
  <si>
    <t>Strandline vegetation coastland</t>
  </si>
  <si>
    <t>Sand dune</t>
  </si>
  <si>
    <t>Dune slack sand dune coastland</t>
  </si>
  <si>
    <t>Dune grassland sand dune coastland</t>
  </si>
  <si>
    <t>Dune heath sand dune coastland</t>
  </si>
  <si>
    <t>Dune scrub sand dune coastland</t>
  </si>
  <si>
    <t>Open dune sand dune coastland</t>
  </si>
  <si>
    <t>Maritime cliff coastland</t>
  </si>
  <si>
    <t>Hard maritime cliff coastland</t>
  </si>
  <si>
    <t>Soft maritime cliff</t>
  </si>
  <si>
    <t>Crevice/ledge vegetation</t>
  </si>
  <si>
    <t>Grassland - Tall herb communities</t>
  </si>
  <si>
    <t>Coastal grassland</t>
  </si>
  <si>
    <t>Coastal heathland</t>
  </si>
  <si>
    <t>Standing open water</t>
  </si>
  <si>
    <t xml:space="preserve"> lakes - Aquifer fed naturally fluctuating water bodies</t>
  </si>
  <si>
    <t>Lakes - Ditches</t>
  </si>
  <si>
    <t xml:space="preserve"> Lakes - Ponds (Priority Habitat)</t>
  </si>
  <si>
    <t xml:space="preserve"> Lakes - Ponds (Non- Priority Habitat)</t>
  </si>
  <si>
    <t xml:space="preserve"> Lakes - Reservoirs</t>
  </si>
  <si>
    <t>Dry dwarf shrub heath</t>
  </si>
  <si>
    <t>Acidic dry dwarf shrub heath</t>
  </si>
  <si>
    <t>Basic dry dwarf shrub heath</t>
  </si>
  <si>
    <t>Wet dwarf shrub heath</t>
  </si>
  <si>
    <t>Lichen / bryophyte heath</t>
  </si>
  <si>
    <t>Montane heath / dwarf herb</t>
  </si>
  <si>
    <t>Dry heath / acidic grass mosaic</t>
  </si>
  <si>
    <t>Wet heath / acidic grass mosaic</t>
  </si>
  <si>
    <t>Continuous bracken</t>
  </si>
  <si>
    <t>Scattered bracken</t>
  </si>
  <si>
    <t>Other tall herb or fern (Good quality)</t>
  </si>
  <si>
    <t>Other tall herb or fern</t>
  </si>
  <si>
    <t>Tall ruderal</t>
  </si>
  <si>
    <t>Non-ruderal</t>
  </si>
  <si>
    <t>Sphagnum bog</t>
  </si>
  <si>
    <t>Raised bog</t>
  </si>
  <si>
    <t>Wet modified bog</t>
  </si>
  <si>
    <t>Dry modified bog</t>
  </si>
  <si>
    <t>Flush and spring</t>
  </si>
  <si>
    <t>Acid/neutral flush</t>
  </si>
  <si>
    <t>Basic flush</t>
  </si>
  <si>
    <t>Bryophyte-dominated spring</t>
  </si>
  <si>
    <t>Fen</t>
  </si>
  <si>
    <t>Valley mire</t>
  </si>
  <si>
    <t>Wetland – Oceanic Valley Mire[1] (D2.1)</t>
  </si>
  <si>
    <t>Basin mire</t>
  </si>
  <si>
    <t>Floodplain mire</t>
  </si>
  <si>
    <t>Bare peat</t>
  </si>
  <si>
    <t>Swamp</t>
  </si>
  <si>
    <t>Marginal and inundation</t>
  </si>
  <si>
    <t>Marginal vegetation</t>
  </si>
  <si>
    <t>Use the Feature that it is within, i.e. River, Lake type etc.</t>
  </si>
  <si>
    <t>Inundation vegetation</t>
  </si>
  <si>
    <t>Natural rock exposures and caves (Good quality)</t>
  </si>
  <si>
    <t>Natural rock exposures and caves</t>
  </si>
  <si>
    <t>Inland cliff (High quality)</t>
  </si>
  <si>
    <t>Inland cliff</t>
  </si>
  <si>
    <t>Acidic inland cliff</t>
  </si>
  <si>
    <t>Basic inland cliff</t>
  </si>
  <si>
    <t>Scree</t>
  </si>
  <si>
    <t>Acidic scree</t>
  </si>
  <si>
    <t>Basic scree</t>
  </si>
  <si>
    <t>Other natural rock exposure</t>
  </si>
  <si>
    <t>Other acidic natural rock exposure</t>
  </si>
  <si>
    <t>Other basic rock exposure</t>
  </si>
  <si>
    <t>Artificial rock exposures</t>
  </si>
  <si>
    <t>Quarry</t>
  </si>
  <si>
    <t>Urban - Active sand pit quarry or open cast mine</t>
  </si>
  <si>
    <t>Spoil heap</t>
  </si>
  <si>
    <t>Mine</t>
  </si>
  <si>
    <t>Refuse tip</t>
  </si>
  <si>
    <t>Cultivated/disturbed ground</t>
  </si>
  <si>
    <t>Arable</t>
  </si>
  <si>
    <t>Amenity grassland</t>
  </si>
  <si>
    <t>Ephemeral / short perennial</t>
  </si>
  <si>
    <t>Fence</t>
  </si>
  <si>
    <t>Wall</t>
  </si>
  <si>
    <t>Built-up areas</t>
  </si>
  <si>
    <t>Caravans</t>
  </si>
  <si>
    <t>Sea wall (artificial materials)</t>
  </si>
  <si>
    <t>Buildings</t>
  </si>
  <si>
    <t>Bare ground</t>
  </si>
  <si>
    <t>Local Authority List</t>
  </si>
  <si>
    <t>Application type</t>
  </si>
  <si>
    <t>Habitat list</t>
  </si>
  <si>
    <t>Adur and Worthing Borough Council</t>
  </si>
  <si>
    <t>Householder planning consent</t>
  </si>
  <si>
    <t>Adur District Council</t>
  </si>
  <si>
    <t>Full planning consent;</t>
  </si>
  <si>
    <t>Allerdale Borough Council</t>
  </si>
  <si>
    <t>Hybrid planning consent</t>
  </si>
  <si>
    <t>Amber Valley Borough Council</t>
  </si>
  <si>
    <t>Outline planning consent</t>
  </si>
  <si>
    <t>Arun District Council</t>
  </si>
  <si>
    <t>Reserved Matters</t>
  </si>
  <si>
    <t>Ashfield District Council</t>
  </si>
  <si>
    <t>Listed building consent</t>
  </si>
  <si>
    <t>Ashford Borough Council</t>
  </si>
  <si>
    <t>Advertisement consent</t>
  </si>
  <si>
    <t>Aylesbury Vale District Council</t>
  </si>
  <si>
    <t>Lawful Development Certificate (LDC)</t>
  </si>
  <si>
    <t>Babergh District Council</t>
  </si>
  <si>
    <t>Prior notification </t>
  </si>
  <si>
    <t>Barnsley Metropolitan Borough Council</t>
  </si>
  <si>
    <t>Removal/variation of conditions</t>
  </si>
  <si>
    <t>Barrow-in-Furness Borough Council</t>
  </si>
  <si>
    <t>Approval of conditions</t>
  </si>
  <si>
    <t>Basildon Borough Council</t>
  </si>
  <si>
    <t>Consent under Tree Preservation Orders </t>
  </si>
  <si>
    <t>Basingstoke and Deane Borough Council</t>
  </si>
  <si>
    <t>Notification of proposed works to trees in conservation areas</t>
  </si>
  <si>
    <t>Bassetlaw District Council</t>
  </si>
  <si>
    <t>Application for non-material amendments</t>
  </si>
  <si>
    <t>Bath and North East Somerset Council</t>
  </si>
  <si>
    <t>Nationaly Significant Infrastructure Habitats (NSIP'S)</t>
  </si>
  <si>
    <t>Bedford Borough Council</t>
  </si>
  <si>
    <t>Birmingham City Council</t>
  </si>
  <si>
    <t>Blaby District Council</t>
  </si>
  <si>
    <t>Blackburn with Darwen Borough Council</t>
  </si>
  <si>
    <t>Blackpool Borough Council</t>
  </si>
  <si>
    <t>Blaenau Gwent County Borough Council</t>
  </si>
  <si>
    <t>Bolsover District Council</t>
  </si>
  <si>
    <t>Bolton Metropolitan Borough Council</t>
  </si>
  <si>
    <t>Borough of Broxbourne</t>
  </si>
  <si>
    <t>Borough of Poole</t>
  </si>
  <si>
    <t>Boston Borough Council</t>
  </si>
  <si>
    <t>Bournemouth Borough Council</t>
  </si>
  <si>
    <t>Bracknell Forest Council</t>
  </si>
  <si>
    <t>Bradford Metropolitan District Council</t>
  </si>
  <si>
    <t>Braintree District Council</t>
  </si>
  <si>
    <t>Breckland District Council</t>
  </si>
  <si>
    <t>Brentwood Borough Council</t>
  </si>
  <si>
    <t>Bridgend County Borough Council</t>
  </si>
  <si>
    <t>Brighton and Hove City Council</t>
  </si>
  <si>
    <t>Bristol City Council</t>
  </si>
  <si>
    <t>Broadland District Council</t>
  </si>
  <si>
    <t>Bromsgrove District Council</t>
  </si>
  <si>
    <t>Broxtowe Borough Council</t>
  </si>
  <si>
    <t>Buckinghamshire County Council</t>
  </si>
  <si>
    <t>Burnley Borough Council</t>
  </si>
  <si>
    <t>Bury Metropolitan Borough Council</t>
  </si>
  <si>
    <t>Caerphilly County Borough Council</t>
  </si>
  <si>
    <t>Calderdale Metropolitan Borough Council</t>
  </si>
  <si>
    <t>Cambridge City Council</t>
  </si>
  <si>
    <t>Cambridgeshire County Council</t>
  </si>
  <si>
    <t>Cannock Chase District Council</t>
  </si>
  <si>
    <t>Canterbury City Council</t>
  </si>
  <si>
    <t>Cardiff Council</t>
  </si>
  <si>
    <t>Carlisle City Council</t>
  </si>
  <si>
    <t>Carmarthenshire County Council</t>
  </si>
  <si>
    <t>Castle Point Borough Council</t>
  </si>
  <si>
    <t>Central Bedfordshire Council</t>
  </si>
  <si>
    <t>Ceredigion County Council</t>
  </si>
  <si>
    <t>Charnwood Borough Council</t>
  </si>
  <si>
    <t>Chelmsford City Council</t>
  </si>
  <si>
    <t>Cheltenham Borough Council</t>
  </si>
  <si>
    <t>Cherwell District Council</t>
  </si>
  <si>
    <t>Cheshire East Council (Unitary)</t>
  </si>
  <si>
    <t>Cheshire West and Chester Council</t>
  </si>
  <si>
    <t>Chesterfield Borough Council</t>
  </si>
  <si>
    <t>Chichester District Council</t>
  </si>
  <si>
    <t>Chiltern District Council</t>
  </si>
  <si>
    <t>Chorley Council</t>
  </si>
  <si>
    <t>Christchurch Borough Council</t>
  </si>
  <si>
    <t>City of Lincoln Council</t>
  </si>
  <si>
    <t>City of London</t>
  </si>
  <si>
    <t>City of York Council</t>
  </si>
  <si>
    <t>Colchester Borough Council</t>
  </si>
  <si>
    <t>Conwy County Borough Council</t>
  </si>
  <si>
    <t>Copeland Borough Council</t>
  </si>
  <si>
    <t>Corby Borough Council</t>
  </si>
  <si>
    <t>Cornwall Council (Unitary)</t>
  </si>
  <si>
    <t>Cotswold District Council</t>
  </si>
  <si>
    <t>Coventry City Council</t>
  </si>
  <si>
    <t>Craven District Council</t>
  </si>
  <si>
    <t>Crawley Borough Council</t>
  </si>
  <si>
    <t>Cumbria County Council</t>
  </si>
  <si>
    <t>Dacorum Council</t>
  </si>
  <si>
    <t>Darlington Borough Council</t>
  </si>
  <si>
    <t>Dartford Borough Council</t>
  </si>
  <si>
    <t>Daventry District Council</t>
  </si>
  <si>
    <t>Denbighshire County Council</t>
  </si>
  <si>
    <t>Derby City Council</t>
  </si>
  <si>
    <t>Derbyshire County Council</t>
  </si>
  <si>
    <t>Derbyshire Dales District Council</t>
  </si>
  <si>
    <t>Devon County Council</t>
  </si>
  <si>
    <t>Doncaster Metropolitan Borough Council</t>
  </si>
  <si>
    <t>Dorset County Council</t>
  </si>
  <si>
    <t>Dover District Council</t>
  </si>
  <si>
    <t>Dudley Metropolitan Borough Council</t>
  </si>
  <si>
    <t>Durham County Council</t>
  </si>
  <si>
    <t>East Cambridgeshire District Council</t>
  </si>
  <si>
    <t>East Devon District Council</t>
  </si>
  <si>
    <t>East Dorset District Council</t>
  </si>
  <si>
    <t>East Hampshire District Council</t>
  </si>
  <si>
    <t>East Hertfordshire District Council</t>
  </si>
  <si>
    <t>East Lindsey District Council</t>
  </si>
  <si>
    <t>East Northamptonshire Council</t>
  </si>
  <si>
    <t>East Riding of Yorkshire Council</t>
  </si>
  <si>
    <t>East Staffordshire Borough Council</t>
  </si>
  <si>
    <t>East Sussex County Council</t>
  </si>
  <si>
    <t>Eastbourne Borough Council</t>
  </si>
  <si>
    <t>Eastleigh Borough Council</t>
  </si>
  <si>
    <t>Eden District Council</t>
  </si>
  <si>
    <t>Elmbridge Borough Council</t>
  </si>
  <si>
    <t>Epping Forest District Council</t>
  </si>
  <si>
    <t>Epsom and Ewell Borough Council</t>
  </si>
  <si>
    <t>Erewash Borough Council</t>
  </si>
  <si>
    <t>Essex County Council</t>
  </si>
  <si>
    <t>Exeter City Council</t>
  </si>
  <si>
    <t>Fareham Borough Council</t>
  </si>
  <si>
    <t>Fenland District Council</t>
  </si>
  <si>
    <t>Flintshire County Council</t>
  </si>
  <si>
    <t>Forest Heath District Council</t>
  </si>
  <si>
    <t>Forest of Dean District Council</t>
  </si>
  <si>
    <t>Fylde Borough Council</t>
  </si>
  <si>
    <t>Gateshead Metropolitan Borough Council</t>
  </si>
  <si>
    <t>Gedling Borough Council</t>
  </si>
  <si>
    <t>Gloucester City Council</t>
  </si>
  <si>
    <t>Gloucestershire County Council</t>
  </si>
  <si>
    <t>Gosport Borough Council</t>
  </si>
  <si>
    <t>Gravesham Borough Council</t>
  </si>
  <si>
    <t>Great Yarmouth Borough Council</t>
  </si>
  <si>
    <t>Guildford Borough Council</t>
  </si>
  <si>
    <t>Gwynedd County Council</t>
  </si>
  <si>
    <t>Halton Borough Council</t>
  </si>
  <si>
    <t>Hambleton District Council</t>
  </si>
  <si>
    <t>Hampshire County Council</t>
  </si>
  <si>
    <t>Harborough District Council</t>
  </si>
  <si>
    <t>Harlow Council</t>
  </si>
  <si>
    <t>Harrogate Borough Council</t>
  </si>
  <si>
    <t>Hart District Council</t>
  </si>
  <si>
    <t>Hartlepool Borough Council</t>
  </si>
  <si>
    <t>Hastings Borough Council</t>
  </si>
  <si>
    <t>Havant Borough Council</t>
  </si>
  <si>
    <t>Herefordshire Council</t>
  </si>
  <si>
    <t>Hertfordshire County Council</t>
  </si>
  <si>
    <t>Hertsmere Borough Council</t>
  </si>
  <si>
    <t>High Peak Borough Council</t>
  </si>
  <si>
    <t>Hinckley and Bosworth Borough Council</t>
  </si>
  <si>
    <t>Horsham District Council</t>
  </si>
  <si>
    <t>Huntingdonshire District Council</t>
  </si>
  <si>
    <t>Hyndburn Borough Council</t>
  </si>
  <si>
    <t>Ipswich Borough Council</t>
  </si>
  <si>
    <t>Isle of Anglesey County Council</t>
  </si>
  <si>
    <t>Isle of Wight Council</t>
  </si>
  <si>
    <t>Isles of Scilly</t>
  </si>
  <si>
    <t>Kent County Council</t>
  </si>
  <si>
    <t>Kettering Borough Council</t>
  </si>
  <si>
    <t>King's Lynn and West Norfolk Borough Council</t>
  </si>
  <si>
    <t>Kingston-upon-Hull City Council</t>
  </si>
  <si>
    <t>Kirklees Council</t>
  </si>
  <si>
    <t>Knowsley Metropolitan Borough Council</t>
  </si>
  <si>
    <t>Lancashire County Council</t>
  </si>
  <si>
    <t>Lancaster City Council</t>
  </si>
  <si>
    <t>Leeds City Council</t>
  </si>
  <si>
    <t>Leicester City Council</t>
  </si>
  <si>
    <t>Leicestershire County Council</t>
  </si>
  <si>
    <t>Lewes District Council</t>
  </si>
  <si>
    <t>Lichfield District Council</t>
  </si>
  <si>
    <t>Lincolnshire County Council</t>
  </si>
  <si>
    <t>Liverpool City Council</t>
  </si>
  <si>
    <t>London Borough of Barking and Dagenham</t>
  </si>
  <si>
    <t>London Borough of Barnet</t>
  </si>
  <si>
    <t>London Borough of Bexley</t>
  </si>
  <si>
    <t>London Borough of Brent</t>
  </si>
  <si>
    <t>London Borough of Bromley</t>
  </si>
  <si>
    <t>London Borough of Camden</t>
  </si>
  <si>
    <t>London Borough of Croydon</t>
  </si>
  <si>
    <t>London Borough of Ealing</t>
  </si>
  <si>
    <t>London Borough of Enfield</t>
  </si>
  <si>
    <t>London Borough of Hackney</t>
  </si>
  <si>
    <t>London Borough of Hammersmith &amp; Fulham</t>
  </si>
  <si>
    <t>London Borough of Haringey</t>
  </si>
  <si>
    <t>London Borough of Harrow</t>
  </si>
  <si>
    <t>London Borough of Havering</t>
  </si>
  <si>
    <t>London Borough of Hillingdon</t>
  </si>
  <si>
    <t>London Borough of Hounslow</t>
  </si>
  <si>
    <t>London Borough of Islington</t>
  </si>
  <si>
    <t>London Borough of Lambeth</t>
  </si>
  <si>
    <t>London Borough of Lewisham</t>
  </si>
  <si>
    <t>London Borough of Merton</t>
  </si>
  <si>
    <t>London Borough of Newham</t>
  </si>
  <si>
    <t>London Borough of Redbridge</t>
  </si>
  <si>
    <t>London Borough of Richmond upon Thames</t>
  </si>
  <si>
    <t>London Borough of Southwark</t>
  </si>
  <si>
    <t>London Borough of Sutton</t>
  </si>
  <si>
    <t>London Borough of Tower Hamlets</t>
  </si>
  <si>
    <t>London Borough of Waltham Forest</t>
  </si>
  <si>
    <t>London Borough of Wandsworth</t>
  </si>
  <si>
    <t>Luton Borough Council</t>
  </si>
  <si>
    <t>Maidstone Borough Council</t>
  </si>
  <si>
    <t>Maldon District Council</t>
  </si>
  <si>
    <t>Malvern Hills District Council</t>
  </si>
  <si>
    <t>Manchester City Council</t>
  </si>
  <si>
    <t>Mansfield District Council</t>
  </si>
  <si>
    <t>Medway Council</t>
  </si>
  <si>
    <t>Melton Borough Council</t>
  </si>
  <si>
    <t>Mendip District Council</t>
  </si>
  <si>
    <t>Merthyr Tydfil County Borough Council</t>
  </si>
  <si>
    <t>Mid Devon District Council</t>
  </si>
  <si>
    <t>Mid Suffolk District Council</t>
  </si>
  <si>
    <t>Mid Sussex District Council</t>
  </si>
  <si>
    <t>Middlesbrough Borough Council</t>
  </si>
  <si>
    <t>Milton Keynes</t>
  </si>
  <si>
    <t>Mole Valley District Council</t>
  </si>
  <si>
    <t>Monmouthshire County Council</t>
  </si>
  <si>
    <t>Neath Port Talbot County Borough Council</t>
  </si>
  <si>
    <t>New Forest District Council</t>
  </si>
  <si>
    <t>Newark and Sherwood District Council</t>
  </si>
  <si>
    <t>Newcastle-Under-Lyme District Council</t>
  </si>
  <si>
    <t>Newport City Council</t>
  </si>
  <si>
    <t>Newcastle-upon-Tyne City Council</t>
  </si>
  <si>
    <t>Norfolk County Council</t>
  </si>
  <si>
    <t>North Devon Council</t>
  </si>
  <si>
    <t>North Dorset District Council</t>
  </si>
  <si>
    <t>North East Derbyshire District Council</t>
  </si>
  <si>
    <t>North East Lincolnshire Council</t>
  </si>
  <si>
    <t>North Hertfordshire District Council</t>
  </si>
  <si>
    <t>North Kesteven District Council</t>
  </si>
  <si>
    <t>North Lincolnshire Council</t>
  </si>
  <si>
    <t>North Norfolk District Council</t>
  </si>
  <si>
    <t>North Somerset Council</t>
  </si>
  <si>
    <t>North Tyneside Metropolitan Borough Council</t>
  </si>
  <si>
    <t>North Warwickshire Borough Council</t>
  </si>
  <si>
    <t>North West Leicestershire District Council</t>
  </si>
  <si>
    <t>North Yorkshire County Council</t>
  </si>
  <si>
    <t>Northampton Borough Council</t>
  </si>
  <si>
    <t>Northamptonshire County Council</t>
  </si>
  <si>
    <t>Northumberland Council</t>
  </si>
  <si>
    <t>Norwich City Council</t>
  </si>
  <si>
    <t>Nottingham City Council</t>
  </si>
  <si>
    <t>Nottinghamshire County Council</t>
  </si>
  <si>
    <t>Nuneaton and Bedworth Borough Council</t>
  </si>
  <si>
    <t>Oadby and Wigston District Council</t>
  </si>
  <si>
    <t>Oldham Metropolitan Borough Council</t>
  </si>
  <si>
    <t>Oxford City Council</t>
  </si>
  <si>
    <t>Oxfordshire County Council</t>
  </si>
  <si>
    <t>Pembrokeshire County Council</t>
  </si>
  <si>
    <t>Pendle Borough Council</t>
  </si>
  <si>
    <t>Perth and Kinross Council</t>
  </si>
  <si>
    <t>Peterborough City Council</t>
  </si>
  <si>
    <t>Plymouth City Council</t>
  </si>
  <si>
    <t>Portsmouth City Council</t>
  </si>
  <si>
    <t>Powys County Council</t>
  </si>
  <si>
    <t>Preston City Council</t>
  </si>
  <si>
    <t>Purbeck District Council</t>
  </si>
  <si>
    <t>Reading Borough Council</t>
  </si>
  <si>
    <t>Redcar and Cleveland Council</t>
  </si>
  <si>
    <t>Redditch Borough Council</t>
  </si>
  <si>
    <t>Reigate &amp; Banstead Borough Council</t>
  </si>
  <si>
    <t>Rhondda Cynon Taf County Borough Council</t>
  </si>
  <si>
    <t>Ribble Valley Borough Council</t>
  </si>
  <si>
    <t>Richmondshire District Council</t>
  </si>
  <si>
    <t>Rochdale Metropolitan Borough Council</t>
  </si>
  <si>
    <t>Rochford District Council</t>
  </si>
  <si>
    <t>Rossendale Borough Council</t>
  </si>
  <si>
    <t>Rother District Council</t>
  </si>
  <si>
    <t>Rotherham Metropolitan Borough Council</t>
  </si>
  <si>
    <t>Royal Borough of Greenwich</t>
  </si>
  <si>
    <t>Royal Borough of Kensington and Chelsea</t>
  </si>
  <si>
    <t>Royal Borough of Kingston upon Thames</t>
  </si>
  <si>
    <t>Royal Borough of Windsor and Maidenhead</t>
  </si>
  <si>
    <t>Rugby Borough Council</t>
  </si>
  <si>
    <t>Runnymede Borough Council</t>
  </si>
  <si>
    <t>Rushcliffe Borough Council</t>
  </si>
  <si>
    <t>Rushmoor Borough Council</t>
  </si>
  <si>
    <t>Rutland County Council</t>
  </si>
  <si>
    <t>Ryedale District Council</t>
  </si>
  <si>
    <t>Salford City Council</t>
  </si>
  <si>
    <t>Sandwell Metropolitan Borough Council</t>
  </si>
  <si>
    <t>Scarborough Borough Council</t>
  </si>
  <si>
    <t>Sedgemoor District Council</t>
  </si>
  <si>
    <t>Sefton Metropolitan Borough Council</t>
  </si>
  <si>
    <t>Selby District Council</t>
  </si>
  <si>
    <t>Sevenoaks District Council</t>
  </si>
  <si>
    <t>Sheffield City Council</t>
  </si>
  <si>
    <t>Shepway District Council</t>
  </si>
  <si>
    <t>Shropshire Council - Unitary</t>
  </si>
  <si>
    <t>Slough Borough Council</t>
  </si>
  <si>
    <t>Solihull Metropolitan Borough Council</t>
  </si>
  <si>
    <t>Somerset County Council</t>
  </si>
  <si>
    <t>South Buckinghamshire District Council</t>
  </si>
  <si>
    <t>South Cambridgeshire District Council</t>
  </si>
  <si>
    <t>South Derbyshire District Council</t>
  </si>
  <si>
    <t>South Gloucestershire Council</t>
  </si>
  <si>
    <t>South Hams District Council</t>
  </si>
  <si>
    <t>South Holland District Council</t>
  </si>
  <si>
    <t>South Kesteven District Council</t>
  </si>
  <si>
    <t>South Lakeland District Council</t>
  </si>
  <si>
    <t>South Norfolk District Council</t>
  </si>
  <si>
    <t>South Northamptonshire Council</t>
  </si>
  <si>
    <t>South Oxfordshire District Council</t>
  </si>
  <si>
    <t>South Ribble Borough Council</t>
  </si>
  <si>
    <t>South Somerset District Council</t>
  </si>
  <si>
    <t>South Staffordshire Council</t>
  </si>
  <si>
    <t>South Tyneside Council</t>
  </si>
  <si>
    <t>Southampton City Council</t>
  </si>
  <si>
    <t>Southend-on-Sea Borough Council</t>
  </si>
  <si>
    <t>Spelthorne Borough Council</t>
  </si>
  <si>
    <t>St Albans City and District Council</t>
  </si>
  <si>
    <t>St Edmundsbury Borough Council</t>
  </si>
  <si>
    <t>St Helens Metropolitan Borough Council</t>
  </si>
  <si>
    <t>Stafford Borough Council</t>
  </si>
  <si>
    <t>Staffordshire County Council</t>
  </si>
  <si>
    <t>Staffordshire Moorlands District Council</t>
  </si>
  <si>
    <t>Stevenage Borough Council</t>
  </si>
  <si>
    <t>Stockport Metropolitan Borough Council</t>
  </si>
  <si>
    <t>Stockton-on-Tees Borough Council</t>
  </si>
  <si>
    <t>Stoke-on-Trent City Council</t>
  </si>
  <si>
    <t>Strabane District Council</t>
  </si>
  <si>
    <t>Stratford-on-Avon District Council</t>
  </si>
  <si>
    <t>Stroud District Council</t>
  </si>
  <si>
    <t>Suffolk Coastal District Council</t>
  </si>
  <si>
    <t>Suffolk County Council</t>
  </si>
  <si>
    <t>Sunderland City Council</t>
  </si>
  <si>
    <t>Surrey County Council</t>
  </si>
  <si>
    <t>Surrey Heath Borough Council</t>
  </si>
  <si>
    <t>Swale Borough Council</t>
  </si>
  <si>
    <t>Swansea City and Borough Council</t>
  </si>
  <si>
    <t>Swindon Borough Council</t>
  </si>
  <si>
    <t>Tameside Metropolitan Borough Council</t>
  </si>
  <si>
    <t>Tamworth Borough Council</t>
  </si>
  <si>
    <t>Tandridge District Council</t>
  </si>
  <si>
    <t>Taunton Deane Borough Council</t>
  </si>
  <si>
    <t>Teignbridge District Council</t>
  </si>
  <si>
    <t>Telford &amp; Wrekin Council</t>
  </si>
  <si>
    <t>Tendring District Council</t>
  </si>
  <si>
    <t>Test Valley Borough Council</t>
  </si>
  <si>
    <t>Tewkesbury Borough Council</t>
  </si>
  <si>
    <t>Thanet District Council</t>
  </si>
  <si>
    <t>Three Rivers District Council</t>
  </si>
  <si>
    <t>Thurrock Council</t>
  </si>
  <si>
    <t>Tonbridge and Malling Borough Council</t>
  </si>
  <si>
    <t>Torbay Council</t>
  </si>
  <si>
    <t>Torfaen County Borough Council</t>
  </si>
  <si>
    <t>Torridge District Council</t>
  </si>
  <si>
    <t>Trafford Metropolitan Borough Council</t>
  </si>
  <si>
    <t>Tunbridge Wells Borough Council</t>
  </si>
  <si>
    <t>Uttlesford District Council</t>
  </si>
  <si>
    <t>Vale of Glamorgan Council</t>
  </si>
  <si>
    <t>Vale of White Horse District Council</t>
  </si>
  <si>
    <t>Wakefield Metropolitan District Council</t>
  </si>
  <si>
    <t>Walsall Metropolitan Borough Council</t>
  </si>
  <si>
    <t>Warrington Borough Council</t>
  </si>
  <si>
    <t>Warwick District Council</t>
  </si>
  <si>
    <t>Warwickshire County Council</t>
  </si>
  <si>
    <t>Watford Borough Council</t>
  </si>
  <si>
    <t>Waveney District Council</t>
  </si>
  <si>
    <t>Waverley Borough Council</t>
  </si>
  <si>
    <t>Wealden District Council</t>
  </si>
  <si>
    <t>Wellingborough Borough Council</t>
  </si>
  <si>
    <t>Welwyn Hatfield Council</t>
  </si>
  <si>
    <t>West Berkshire Council</t>
  </si>
  <si>
    <t>West Devon Borough Council</t>
  </si>
  <si>
    <t>West Dorset District Council</t>
  </si>
  <si>
    <t>West Lancashire Borough Council</t>
  </si>
  <si>
    <t>West Lindsey District Council</t>
  </si>
  <si>
    <t>West Oxfordshire District Council</t>
  </si>
  <si>
    <t>West Somerset District Council</t>
  </si>
  <si>
    <t>West Sussex County Council</t>
  </si>
  <si>
    <t>Westminster City Council</t>
  </si>
  <si>
    <t>Weymouth and Portland Borough Council</t>
  </si>
  <si>
    <t>Wigan Metropolitan Borough Council</t>
  </si>
  <si>
    <t>Wiltshire Council</t>
  </si>
  <si>
    <t>Winchester City Council</t>
  </si>
  <si>
    <t>Wirral Council</t>
  </si>
  <si>
    <t>Woking Borough Council</t>
  </si>
  <si>
    <t>Wokingham Borough Council</t>
  </si>
  <si>
    <t>Wolverhampton City Council</t>
  </si>
  <si>
    <t>Worcester City Council</t>
  </si>
  <si>
    <t>Worcestershire County Council</t>
  </si>
  <si>
    <t>Wrexham County Borough Council</t>
  </si>
  <si>
    <t>Wychavon District Council</t>
  </si>
  <si>
    <t>Wycombe District Council</t>
  </si>
  <si>
    <t>Wyre Council</t>
  </si>
  <si>
    <t>Wyre Forest District Council</t>
  </si>
  <si>
    <t>Proposed (Pre-Populated but can be overridden)</t>
  </si>
  <si>
    <t>Harry Stone MSc ACIEEM</t>
  </si>
  <si>
    <t>NCP Car Park, Bath Road, West Drayton, Greater London</t>
  </si>
  <si>
    <t>Soft landscaping plans = Species Rich Wildflower Meadow Emorsgate EM4 for Clay Soils</t>
  </si>
  <si>
    <t>building + hardstanding</t>
  </si>
  <si>
    <t>Soft landscaping plans = Native Woodland Intermediate Mix</t>
  </si>
  <si>
    <t>Soft landscaping plans = Native Woodland Edge/Core Mix</t>
  </si>
  <si>
    <t>Jersey cudweed transloation zone</t>
  </si>
  <si>
    <t>Heathrow NCP Property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</si>
</sst>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00"/>
    <numFmt numFmtId="166" formatCode="0.0000"/>
  </numFmts>
  <fonts count="55" x14ac:knownFonts="1">
    <font>
      <sz val="11"/>
      <color theme="1"/>
      <name val="Calibri"/>
      <family val="2"/>
      <scheme val="minor"/>
    </font>
    <font>
      <b/>
      <sz val="16"/>
      <color theme="1"/>
      <name val="Calibri"/>
      <family val="2"/>
      <scheme val="minor"/>
    </font>
    <font>
      <sz val="11"/>
      <color theme="1"/>
      <name val="Calibri"/>
      <family val="2"/>
      <scheme val="minor"/>
    </font>
    <font>
      <sz val="10"/>
      <name val="Arial"/>
      <family val="2"/>
    </font>
    <font>
      <sz val="12"/>
      <color theme="1"/>
      <name val="Arial"/>
      <family val="2"/>
    </font>
    <font>
      <b/>
      <sz val="24"/>
      <color theme="1"/>
      <name val="Calibri"/>
      <family val="2"/>
      <scheme val="minor"/>
    </font>
    <font>
      <sz val="12"/>
      <color rgb="FFFF0000"/>
      <name val="Calibri"/>
      <family val="2"/>
      <scheme val="minor"/>
    </font>
    <font>
      <u/>
      <sz val="11"/>
      <color theme="10"/>
      <name val="Calibri"/>
      <family val="2"/>
      <scheme val="minor"/>
    </font>
    <font>
      <sz val="10"/>
      <color rgb="FF000000"/>
      <name val="Arial"/>
      <family val="2"/>
    </font>
    <font>
      <sz val="8"/>
      <name val="Calibri"/>
      <family val="2"/>
      <scheme val="minor"/>
    </font>
    <font>
      <sz val="11"/>
      <name val="Rockwell Light"/>
      <family val="1"/>
    </font>
    <font>
      <b/>
      <sz val="24"/>
      <name val="Rockwell Light"/>
      <family val="1"/>
    </font>
    <font>
      <u/>
      <sz val="11"/>
      <name val="Rockwell Light"/>
      <family val="1"/>
    </font>
    <font>
      <sz val="12"/>
      <name val="Rockwell Light"/>
      <family val="1"/>
    </font>
    <font>
      <b/>
      <sz val="14"/>
      <color theme="4"/>
      <name val="Rockwell Light"/>
      <family val="1"/>
    </font>
    <font>
      <b/>
      <sz val="12"/>
      <color theme="4"/>
      <name val="Rockwell Light"/>
      <family val="1"/>
    </font>
    <font>
      <b/>
      <sz val="12"/>
      <name val="Rockwell Light"/>
      <family val="1"/>
    </font>
    <font>
      <b/>
      <sz val="16"/>
      <color theme="4"/>
      <name val="Rockwell Light"/>
      <family val="1"/>
    </font>
    <font>
      <b/>
      <sz val="16"/>
      <name val="Rockwell Light"/>
      <family val="1"/>
    </font>
    <font>
      <sz val="12"/>
      <color theme="1"/>
      <name val="Rockwell Light"/>
      <family val="1"/>
    </font>
    <font>
      <sz val="12"/>
      <color theme="4"/>
      <name val="Rockwell Light"/>
      <family val="1"/>
    </font>
    <font>
      <b/>
      <sz val="11"/>
      <color theme="4"/>
      <name val="Calibri"/>
      <family val="2"/>
      <scheme val="minor"/>
    </font>
    <font>
      <sz val="11"/>
      <color theme="4"/>
      <name val="Calibri"/>
      <family val="2"/>
      <scheme val="minor"/>
    </font>
    <font>
      <sz val="24"/>
      <color theme="4"/>
      <name val="Rockwell Light"/>
      <family val="1"/>
    </font>
    <font>
      <i/>
      <sz val="14"/>
      <color theme="4"/>
      <name val="Rockwell Light"/>
      <family val="1"/>
    </font>
    <font>
      <sz val="14"/>
      <color theme="4"/>
      <name val="Rockwell Light"/>
      <family val="1"/>
    </font>
    <font>
      <sz val="11"/>
      <color theme="1"/>
      <name val="Rockwell Light"/>
      <family val="1"/>
    </font>
    <font>
      <b/>
      <sz val="18"/>
      <color theme="4"/>
      <name val="Rockwell Light"/>
      <family val="1"/>
    </font>
    <font>
      <b/>
      <sz val="24"/>
      <color theme="1"/>
      <name val="Rockwell Light"/>
      <family val="1"/>
    </font>
    <font>
      <b/>
      <sz val="12"/>
      <color theme="1"/>
      <name val="Rockwell Light"/>
      <family val="1"/>
    </font>
    <font>
      <b/>
      <sz val="22"/>
      <color theme="1"/>
      <name val="Rockwell Light"/>
      <family val="1"/>
    </font>
    <font>
      <sz val="12"/>
      <color rgb="FFFF0000"/>
      <name val="Rockwell Light"/>
      <family val="1"/>
    </font>
    <font>
      <sz val="11"/>
      <color theme="4"/>
      <name val="Rockwell Light"/>
      <family val="1"/>
    </font>
    <font>
      <b/>
      <sz val="24"/>
      <color theme="4"/>
      <name val="Rockwell Light"/>
      <family val="1"/>
    </font>
    <font>
      <b/>
      <sz val="20"/>
      <color theme="4"/>
      <name val="Rockwell Light"/>
      <family val="1"/>
    </font>
    <font>
      <b/>
      <sz val="22"/>
      <color theme="4"/>
      <name val="Rockwell Light"/>
      <family val="1"/>
    </font>
    <font>
      <b/>
      <sz val="11"/>
      <color theme="4"/>
      <name val="Rockwell Light"/>
      <family val="1"/>
    </font>
    <font>
      <sz val="10"/>
      <color theme="4"/>
      <name val="Arial"/>
      <family val="2"/>
    </font>
    <font>
      <sz val="18"/>
      <color theme="4"/>
      <name val="Rockwell Light"/>
      <family val="1"/>
    </font>
    <font>
      <b/>
      <sz val="28"/>
      <color theme="4"/>
      <name val="Rockwell Light"/>
      <family val="1"/>
    </font>
    <font>
      <sz val="10"/>
      <color theme="4"/>
      <name val="Rockwell Light"/>
      <family val="1"/>
    </font>
    <font>
      <b/>
      <sz val="10"/>
      <color theme="4"/>
      <name val="Arial"/>
      <family val="2"/>
    </font>
    <font>
      <b/>
      <sz val="10"/>
      <color theme="4"/>
      <name val="Rockwell Light"/>
      <family val="1"/>
    </font>
    <font>
      <b/>
      <sz val="26"/>
      <color theme="4"/>
      <name val="Rockwell Light"/>
      <family val="1"/>
    </font>
    <font>
      <u/>
      <sz val="11"/>
      <color theme="10"/>
      <name val="Rockwell Light"/>
      <family val="1"/>
    </font>
    <font>
      <b/>
      <sz val="16"/>
      <color theme="1"/>
      <name val="Rockwell Light"/>
      <family val="1"/>
    </font>
    <font>
      <u/>
      <sz val="11"/>
      <color theme="4"/>
      <name val="Rockwell Light"/>
      <family val="1"/>
    </font>
    <font>
      <b/>
      <sz val="14"/>
      <name val="Rockwell Light"/>
      <family val="1"/>
    </font>
    <font>
      <sz val="20"/>
      <color theme="4"/>
      <name val="Rockwell Light"/>
      <family val="1"/>
    </font>
    <font>
      <sz val="22"/>
      <color theme="4"/>
      <name val="Rockwell Light"/>
      <family val="1"/>
    </font>
    <font>
      <sz val="16"/>
      <color rgb="FFFF0000"/>
      <name val="Rockwell Light"/>
      <family val="1"/>
    </font>
    <font>
      <b/>
      <sz val="11"/>
      <name val="Calibri"/>
      <family val="2"/>
      <scheme val="minor"/>
    </font>
    <font>
      <b/>
      <sz val="11"/>
      <color theme="0"/>
      <name val="Rockwell Light"/>
      <family val="1"/>
    </font>
    <font>
      <sz val="11"/>
      <color theme="4"/>
      <name val="Amasis MT Pro"/>
      <family val="1"/>
    </font>
    <font>
      <b/>
      <sz val="11"/>
      <name val="Rockwell Light"/>
      <family val="1"/>
    </font>
  </fonts>
  <fills count="25">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rgb="FFFF3300"/>
        <bgColor indexed="64"/>
      </patternFill>
    </fill>
    <fill>
      <patternFill patternType="solid">
        <fgColor theme="0" tint="-0.14999847407452621"/>
        <bgColor indexed="64"/>
      </patternFill>
    </fill>
    <fill>
      <patternFill patternType="solid">
        <fgColor theme="5"/>
        <bgColor indexed="64"/>
      </patternFill>
    </fill>
    <fill>
      <patternFill patternType="solid">
        <fgColor theme="4" tint="0.39997558519241921"/>
        <bgColor indexed="64"/>
      </patternFill>
    </fill>
    <fill>
      <patternFill patternType="solid">
        <fgColor rgb="FFABC3C9"/>
        <bgColor indexed="64"/>
      </patternFill>
    </fill>
    <fill>
      <patternFill patternType="solid">
        <fgColor rgb="FFE0DCD3"/>
        <bgColor indexed="64"/>
      </patternFill>
    </fill>
    <fill>
      <patternFill patternType="solid">
        <fgColor theme="1"/>
        <bgColor indexed="64"/>
      </patternFill>
    </fill>
    <fill>
      <patternFill patternType="solid">
        <fgColor theme="3"/>
        <bgColor indexed="64"/>
      </patternFill>
    </fill>
    <fill>
      <patternFill patternType="solid">
        <fgColor rgb="FFFF0000"/>
        <bgColor indexed="64"/>
      </patternFill>
    </fill>
    <fill>
      <patternFill patternType="solid">
        <fgColor theme="6"/>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theme="6" tint="-0.249977111117893"/>
        <bgColor indexed="64"/>
      </patternFill>
    </fill>
    <fill>
      <patternFill patternType="solid">
        <fgColor rgb="FF006600"/>
        <bgColor indexed="64"/>
      </patternFill>
    </fill>
    <fill>
      <patternFill patternType="solid">
        <fgColor rgb="FF663300"/>
        <bgColor indexed="64"/>
      </patternFill>
    </fill>
    <fill>
      <patternFill patternType="solid">
        <fgColor rgb="FF0033CC"/>
        <bgColor indexed="64"/>
      </patternFill>
    </fill>
    <fill>
      <patternFill patternType="solid">
        <fgColor rgb="FFD5D3DC"/>
        <bgColor indexed="64"/>
      </patternFill>
    </fill>
    <fill>
      <patternFill patternType="solid">
        <fgColor rgb="FFFFFF99"/>
        <bgColor indexed="64"/>
      </patternFill>
    </fill>
    <fill>
      <patternFill patternType="solid">
        <fgColor rgb="FFF4D4D4"/>
        <bgColor indexed="64"/>
      </patternFill>
    </fill>
  </fills>
  <borders count="82">
    <border>
      <left/>
      <right/>
      <top/>
      <bottom/>
      <diagonal/>
    </border>
    <border>
      <left style="thin">
        <color indexed="64"/>
      </left>
      <right/>
      <top style="thin">
        <color indexed="64"/>
      </top>
      <bottom/>
      <diagonal/>
    </border>
    <border>
      <left/>
      <right style="thin">
        <color indexed="64"/>
      </right>
      <top/>
      <bottom style="thin">
        <color indexed="64"/>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style="thin">
        <color rgb="FFD0D7E5"/>
      </left>
      <right style="thin">
        <color rgb="FFD0D7E5"/>
      </right>
      <top/>
      <bottom style="thin">
        <color rgb="FFD0D7E5"/>
      </bottom>
      <diagonal/>
    </border>
    <border>
      <left/>
      <right style="thin">
        <color indexed="64"/>
      </right>
      <top/>
      <bottom/>
      <diagonal/>
    </border>
    <border>
      <left style="medium">
        <color indexed="64"/>
      </left>
      <right/>
      <top style="thin">
        <color indexed="64"/>
      </top>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bottom/>
      <diagonal/>
    </border>
    <border>
      <left/>
      <right/>
      <top/>
      <bottom style="thick">
        <color auto="1"/>
      </bottom>
      <diagonal/>
    </border>
    <border>
      <left/>
      <right/>
      <top style="thick">
        <color auto="1"/>
      </top>
      <bottom/>
      <diagonal/>
    </border>
    <border>
      <left/>
      <right style="thin">
        <color indexed="64"/>
      </right>
      <top style="medium">
        <color indexed="64"/>
      </top>
      <bottom/>
      <diagonal/>
    </border>
    <border>
      <left/>
      <right style="medium">
        <color indexed="64"/>
      </right>
      <top style="thin">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s>
  <cellStyleXfs count="32">
    <xf numFmtId="0" fontId="0"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2" fillId="0" borderId="0"/>
    <xf numFmtId="0" fontId="3" fillId="0" borderId="0"/>
    <xf numFmtId="0" fontId="3" fillId="0" borderId="0"/>
    <xf numFmtId="0" fontId="4"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7" fillId="0" borderId="0" applyNumberForma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cellStyleXfs>
  <cellXfs count="1086">
    <xf numFmtId="0" fontId="0" fillId="0" borderId="0" xfId="0"/>
    <xf numFmtId="0" fontId="0" fillId="10" borderId="0" xfId="0" applyFill="1"/>
    <xf numFmtId="0" fontId="0" fillId="10" borderId="0" xfId="0" applyFill="1" applyAlignment="1">
      <alignment horizontal="center" vertical="center"/>
    </xf>
    <xf numFmtId="0" fontId="0" fillId="10" borderId="0" xfId="0" applyFill="1" applyAlignment="1">
      <alignment horizontal="justify"/>
    </xf>
    <xf numFmtId="0" fontId="6" fillId="10" borderId="0" xfId="0" applyFont="1" applyFill="1" applyAlignment="1">
      <alignment horizontal="left" vertical="top" wrapText="1"/>
    </xf>
    <xf numFmtId="0" fontId="1" fillId="10" borderId="0" xfId="0" applyFont="1" applyFill="1"/>
    <xf numFmtId="0" fontId="5" fillId="10" borderId="0" xfId="0" applyFont="1" applyFill="1"/>
    <xf numFmtId="0" fontId="5" fillId="10" borderId="0" xfId="0" applyFont="1" applyFill="1" applyAlignment="1">
      <alignment horizontal="center"/>
    </xf>
    <xf numFmtId="0" fontId="1" fillId="12" borderId="0" xfId="0" applyFont="1" applyFill="1"/>
    <xf numFmtId="0" fontId="0" fillId="12" borderId="0" xfId="0" applyFill="1"/>
    <xf numFmtId="0" fontId="8" fillId="12" borderId="0" xfId="0" applyFont="1" applyFill="1" applyAlignment="1">
      <alignment horizontal="left" vertical="center" indent="8"/>
    </xf>
    <xf numFmtId="0" fontId="10" fillId="10" borderId="0" xfId="0" applyFont="1" applyFill="1"/>
    <xf numFmtId="0" fontId="10" fillId="10" borderId="0" xfId="0" applyFont="1" applyFill="1" applyAlignment="1">
      <alignment horizontal="center" vertical="center"/>
    </xf>
    <xf numFmtId="0" fontId="11" fillId="10" borderId="0" xfId="0" applyFont="1" applyFill="1"/>
    <xf numFmtId="0" fontId="13" fillId="10" borderId="0" xfId="0" applyFont="1" applyFill="1" applyAlignment="1">
      <alignment vertical="top" wrapText="1"/>
    </xf>
    <xf numFmtId="0" fontId="18" fillId="10" borderId="0" xfId="0" applyFont="1" applyFill="1"/>
    <xf numFmtId="0" fontId="0" fillId="12" borderId="0" xfId="0" applyFill="1" applyAlignment="1">
      <alignment horizontal="center" vertical="center"/>
    </xf>
    <xf numFmtId="0" fontId="5" fillId="12" borderId="0" xfId="0" applyFont="1" applyFill="1"/>
    <xf numFmtId="0" fontId="5" fillId="12" borderId="0" xfId="0" applyFont="1" applyFill="1" applyAlignment="1">
      <alignment horizontal="center"/>
    </xf>
    <xf numFmtId="0" fontId="6" fillId="12" borderId="0" xfId="0" applyFont="1" applyFill="1" applyAlignment="1">
      <alignment horizontal="left" vertical="top" wrapText="1"/>
    </xf>
    <xf numFmtId="0" fontId="0" fillId="12" borderId="0" xfId="0" applyFill="1" applyAlignment="1">
      <alignment horizontal="justify"/>
    </xf>
    <xf numFmtId="0" fontId="22" fillId="3" borderId="5" xfId="0" applyFont="1" applyFill="1" applyBorder="1" applyAlignment="1" applyProtection="1">
      <alignment horizontal="center" vertical="center" wrapText="1"/>
      <protection locked="0"/>
    </xf>
    <xf numFmtId="0" fontId="26" fillId="12" borderId="0" xfId="0" applyFont="1" applyFill="1"/>
    <xf numFmtId="0" fontId="28" fillId="12" borderId="0" xfId="0" applyFont="1" applyFill="1" applyAlignment="1">
      <alignment horizontal="center"/>
    </xf>
    <xf numFmtId="0" fontId="28" fillId="12" borderId="0" xfId="0" applyFont="1" applyFill="1" applyAlignment="1">
      <alignment horizontal="left"/>
    </xf>
    <xf numFmtId="0" fontId="29" fillId="12" borderId="0" xfId="0" applyFont="1" applyFill="1"/>
    <xf numFmtId="2" fontId="26" fillId="12" borderId="0" xfId="0" applyNumberFormat="1" applyFont="1" applyFill="1"/>
    <xf numFmtId="0" fontId="26" fillId="12" borderId="0" xfId="0" applyFont="1" applyFill="1" applyAlignment="1">
      <alignment horizontal="center" vertical="center" wrapText="1"/>
    </xf>
    <xf numFmtId="0" fontId="30" fillId="12" borderId="0" xfId="0" applyFont="1" applyFill="1"/>
    <xf numFmtId="0" fontId="26" fillId="12" borderId="0" xfId="0" applyFont="1" applyFill="1" applyAlignment="1">
      <alignment wrapText="1"/>
    </xf>
    <xf numFmtId="0" fontId="31" fillId="12" borderId="0" xfId="0" applyFont="1" applyFill="1" applyAlignment="1">
      <alignment horizontal="center" vertical="center" wrapText="1"/>
    </xf>
    <xf numFmtId="0" fontId="32" fillId="12" borderId="0" xfId="0" applyFont="1" applyFill="1"/>
    <xf numFmtId="0" fontId="33" fillId="12" borderId="0" xfId="0" applyFont="1" applyFill="1" applyAlignment="1">
      <alignment horizontal="left"/>
    </xf>
    <xf numFmtId="0" fontId="15" fillId="12" borderId="0" xfId="0" applyFont="1" applyFill="1"/>
    <xf numFmtId="2" fontId="32" fillId="12" borderId="0" xfId="0" applyNumberFormat="1" applyFont="1" applyFill="1"/>
    <xf numFmtId="0" fontId="20" fillId="5" borderId="54" xfId="0" applyFont="1" applyFill="1" applyBorder="1" applyAlignment="1">
      <alignment horizontal="center" vertical="center" wrapText="1"/>
    </xf>
    <xf numFmtId="0" fontId="15" fillId="5" borderId="29" xfId="0" applyFont="1" applyFill="1" applyBorder="1" applyAlignment="1">
      <alignment horizontal="center" vertical="center" wrapText="1"/>
    </xf>
    <xf numFmtId="0" fontId="20" fillId="5" borderId="36" xfId="0" applyFont="1" applyFill="1" applyBorder="1" applyAlignment="1">
      <alignment horizontal="center" vertical="center" wrapText="1"/>
    </xf>
    <xf numFmtId="0" fontId="20" fillId="5" borderId="70" xfId="0" applyFont="1" applyFill="1" applyBorder="1" applyAlignment="1">
      <alignment horizontal="center" vertical="center" wrapText="1"/>
    </xf>
    <xf numFmtId="0" fontId="20" fillId="5" borderId="16" xfId="0" applyFont="1" applyFill="1" applyBorder="1" applyAlignment="1">
      <alignment horizontal="center" vertical="center"/>
    </xf>
    <xf numFmtId="0" fontId="32" fillId="12" borderId="0" xfId="0" applyFont="1" applyFill="1" applyAlignment="1">
      <alignment horizontal="center" vertical="center" wrapText="1"/>
    </xf>
    <xf numFmtId="0" fontId="35" fillId="12" borderId="0" xfId="0" applyFont="1" applyFill="1"/>
    <xf numFmtId="0" fontId="32" fillId="12" borderId="0" xfId="0" applyFont="1" applyFill="1" applyAlignment="1">
      <alignment wrapText="1"/>
    </xf>
    <xf numFmtId="0" fontId="20" fillId="5" borderId="44" xfId="0" applyFont="1" applyFill="1" applyBorder="1" applyAlignment="1">
      <alignment horizontal="center" vertical="center" wrapText="1"/>
    </xf>
    <xf numFmtId="0" fontId="20" fillId="5" borderId="36" xfId="0" applyFont="1" applyFill="1" applyBorder="1" applyAlignment="1">
      <alignment horizontal="center" vertical="center"/>
    </xf>
    <xf numFmtId="0" fontId="20" fillId="5" borderId="45" xfId="0" applyFont="1" applyFill="1" applyBorder="1" applyAlignment="1">
      <alignment horizontal="center" vertical="center"/>
    </xf>
    <xf numFmtId="0" fontId="32" fillId="12" borderId="27" xfId="0" applyFont="1" applyFill="1" applyBorder="1"/>
    <xf numFmtId="0" fontId="32" fillId="10" borderId="0" xfId="0" applyFont="1" applyFill="1"/>
    <xf numFmtId="0" fontId="32" fillId="10" borderId="0" xfId="0" applyFont="1" applyFill="1" applyAlignment="1">
      <alignment horizontal="center" vertical="center"/>
    </xf>
    <xf numFmtId="0" fontId="32" fillId="10" borderId="0" xfId="0" applyFont="1" applyFill="1" applyAlignment="1">
      <alignment wrapText="1"/>
    </xf>
    <xf numFmtId="0" fontId="32" fillId="10" borderId="0" xfId="0" applyFont="1" applyFill="1" applyAlignment="1">
      <alignment horizontal="center" vertical="center" wrapText="1"/>
    </xf>
    <xf numFmtId="0" fontId="36" fillId="11" borderId="28" xfId="0" applyFont="1" applyFill="1" applyBorder="1" applyAlignment="1">
      <alignment horizontal="center" vertical="center" wrapText="1"/>
    </xf>
    <xf numFmtId="0" fontId="36" fillId="10" borderId="0" xfId="0" applyFont="1" applyFill="1" applyAlignment="1">
      <alignment vertical="center" wrapText="1"/>
    </xf>
    <xf numFmtId="0" fontId="32" fillId="10" borderId="5" xfId="0" applyFont="1" applyFill="1" applyBorder="1" applyAlignment="1">
      <alignment wrapText="1"/>
    </xf>
    <xf numFmtId="0" fontId="32" fillId="10" borderId="5" xfId="0" applyFont="1" applyFill="1" applyBorder="1"/>
    <xf numFmtId="0" fontId="36" fillId="10" borderId="0" xfId="0" applyFont="1" applyFill="1"/>
    <xf numFmtId="0" fontId="36" fillId="11" borderId="54" xfId="0" applyFont="1" applyFill="1" applyBorder="1" applyAlignment="1">
      <alignment horizontal="center" vertical="center" wrapText="1"/>
    </xf>
    <xf numFmtId="0" fontId="36" fillId="11" borderId="11" xfId="0" applyFont="1" applyFill="1" applyBorder="1" applyAlignment="1">
      <alignment horizontal="center" vertical="center" wrapText="1"/>
    </xf>
    <xf numFmtId="0" fontId="36" fillId="11" borderId="9" xfId="0" applyFont="1" applyFill="1" applyBorder="1" applyAlignment="1">
      <alignment horizontal="center" vertical="center" wrapText="1"/>
    </xf>
    <xf numFmtId="0" fontId="36" fillId="11" borderId="9" xfId="0" applyFont="1" applyFill="1" applyBorder="1" applyAlignment="1">
      <alignment vertical="center" wrapText="1"/>
    </xf>
    <xf numFmtId="0" fontId="36" fillId="11" borderId="13" xfId="0" applyFont="1" applyFill="1" applyBorder="1" applyAlignment="1">
      <alignment horizontal="center" vertical="center" wrapText="1"/>
    </xf>
    <xf numFmtId="0" fontId="36" fillId="11" borderId="58" xfId="0" applyFont="1" applyFill="1" applyBorder="1" applyAlignment="1">
      <alignment horizontal="center" vertical="center" wrapText="1"/>
    </xf>
    <xf numFmtId="0" fontId="36" fillId="11" borderId="18" xfId="0" applyFont="1" applyFill="1" applyBorder="1" applyAlignment="1">
      <alignment horizontal="center" vertical="center" wrapText="1"/>
    </xf>
    <xf numFmtId="0" fontId="36" fillId="11" borderId="22" xfId="0" applyFont="1" applyFill="1" applyBorder="1" applyAlignment="1">
      <alignment horizontal="center" vertical="center" wrapText="1"/>
    </xf>
    <xf numFmtId="0" fontId="36" fillId="11" borderId="41" xfId="0" applyFont="1" applyFill="1" applyBorder="1" applyAlignment="1">
      <alignment horizontal="center" vertical="center" wrapText="1"/>
    </xf>
    <xf numFmtId="0" fontId="36" fillId="11" borderId="43" xfId="0" applyFont="1" applyFill="1" applyBorder="1" applyAlignment="1">
      <alignment horizontal="center" vertical="center" wrapText="1"/>
    </xf>
    <xf numFmtId="0" fontId="36" fillId="10" borderId="58" xfId="0" applyFont="1" applyFill="1" applyBorder="1" applyAlignment="1">
      <alignment horizontal="center" vertical="center" wrapText="1"/>
    </xf>
    <xf numFmtId="0" fontId="36" fillId="11" borderId="74" xfId="0" applyFont="1" applyFill="1" applyBorder="1" applyAlignment="1">
      <alignment horizontal="center" vertical="center" wrapText="1"/>
    </xf>
    <xf numFmtId="0" fontId="32" fillId="0" borderId="73" xfId="0" applyFont="1" applyBorder="1" applyAlignment="1" applyProtection="1">
      <alignment horizontal="center" vertical="center" wrapText="1"/>
      <protection locked="0"/>
    </xf>
    <xf numFmtId="0" fontId="32" fillId="9" borderId="5" xfId="0" applyFont="1" applyFill="1" applyBorder="1" applyAlignment="1">
      <alignment horizontal="center" vertical="top"/>
    </xf>
    <xf numFmtId="0" fontId="32" fillId="0" borderId="26" xfId="0" applyFont="1" applyBorder="1" applyAlignment="1" applyProtection="1">
      <alignment horizontal="center" vertical="center" wrapText="1"/>
      <protection locked="0"/>
    </xf>
    <xf numFmtId="0" fontId="32" fillId="0" borderId="25" xfId="0" applyFont="1" applyBorder="1" applyAlignment="1" applyProtection="1">
      <alignment horizontal="center" vertical="center" wrapText="1"/>
      <protection locked="0"/>
    </xf>
    <xf numFmtId="0" fontId="32" fillId="0" borderId="2" xfId="0" applyFont="1" applyBorder="1" applyAlignment="1" applyProtection="1">
      <alignment horizontal="center" vertical="center" wrapText="1"/>
      <protection locked="0"/>
    </xf>
    <xf numFmtId="0" fontId="32" fillId="3" borderId="14" xfId="0" applyFont="1" applyFill="1" applyBorder="1" applyAlignment="1" applyProtection="1">
      <alignment horizontal="left" vertical="top" wrapText="1"/>
      <protection locked="0"/>
    </xf>
    <xf numFmtId="0" fontId="32" fillId="3" borderId="19" xfId="0" applyFont="1" applyFill="1" applyBorder="1" applyAlignment="1" applyProtection="1">
      <alignment horizontal="left" vertical="top" wrapText="1"/>
      <protection locked="0"/>
    </xf>
    <xf numFmtId="2" fontId="32" fillId="10" borderId="2" xfId="0" applyNumberFormat="1" applyFont="1" applyFill="1" applyBorder="1" applyAlignment="1">
      <alignment horizontal="center" vertical="center" wrapText="1"/>
    </xf>
    <xf numFmtId="2" fontId="32" fillId="10" borderId="42" xfId="0" applyNumberFormat="1" applyFont="1" applyFill="1" applyBorder="1" applyAlignment="1">
      <alignment horizontal="center" vertical="center" wrapText="1"/>
    </xf>
    <xf numFmtId="0" fontId="36" fillId="11" borderId="5" xfId="0" applyFont="1" applyFill="1" applyBorder="1" applyAlignment="1">
      <alignment horizontal="center" vertical="center" wrapText="1"/>
    </xf>
    <xf numFmtId="0" fontId="32" fillId="0" borderId="4" xfId="0" applyFont="1" applyBorder="1" applyAlignment="1" applyProtection="1">
      <alignment horizontal="center" vertical="center" wrapText="1"/>
      <protection locked="0"/>
    </xf>
    <xf numFmtId="0" fontId="32" fillId="0" borderId="5" xfId="0" applyFont="1" applyBorder="1" applyAlignment="1" applyProtection="1">
      <alignment horizontal="center" vertical="center" wrapText="1"/>
      <protection locked="0"/>
    </xf>
    <xf numFmtId="0" fontId="32" fillId="3" borderId="12" xfId="0" applyFont="1" applyFill="1" applyBorder="1" applyAlignment="1" applyProtection="1">
      <alignment horizontal="left" vertical="top" wrapText="1"/>
      <protection locked="0"/>
    </xf>
    <xf numFmtId="0" fontId="32" fillId="3" borderId="21" xfId="0" applyFont="1" applyFill="1" applyBorder="1" applyAlignment="1" applyProtection="1">
      <alignment horizontal="left" vertical="top" wrapText="1"/>
      <protection locked="0"/>
    </xf>
    <xf numFmtId="0" fontId="32" fillId="0" borderId="42" xfId="0" applyFont="1" applyBorder="1" applyAlignment="1" applyProtection="1">
      <alignment horizontal="center" vertical="center" wrapText="1"/>
      <protection locked="0"/>
    </xf>
    <xf numFmtId="0" fontId="32" fillId="3" borderId="13" xfId="0" applyFont="1" applyFill="1" applyBorder="1" applyAlignment="1" applyProtection="1">
      <alignment horizontal="left" vertical="top" wrapText="1"/>
      <protection locked="0"/>
    </xf>
    <xf numFmtId="0" fontId="32" fillId="3" borderId="22" xfId="0" applyFont="1" applyFill="1" applyBorder="1" applyAlignment="1" applyProtection="1">
      <alignment horizontal="left" vertical="top" wrapText="1"/>
      <protection locked="0"/>
    </xf>
    <xf numFmtId="2" fontId="36" fillId="10" borderId="0" xfId="0" applyNumberFormat="1" applyFont="1" applyFill="1" applyAlignment="1">
      <alignment horizontal="center" vertical="center" wrapText="1"/>
    </xf>
    <xf numFmtId="0" fontId="36" fillId="10" borderId="0" xfId="0" applyFont="1" applyFill="1" applyAlignment="1">
      <alignment horizontal="center" vertical="center" wrapText="1"/>
    </xf>
    <xf numFmtId="0" fontId="32" fillId="5" borderId="12" xfId="0" applyFont="1" applyFill="1" applyBorder="1"/>
    <xf numFmtId="0" fontId="32" fillId="5" borderId="5" xfId="0" applyFont="1" applyFill="1" applyBorder="1"/>
    <xf numFmtId="0" fontId="32" fillId="5" borderId="13" xfId="0" applyFont="1" applyFill="1" applyBorder="1"/>
    <xf numFmtId="0" fontId="32" fillId="5" borderId="18" xfId="0" applyFont="1" applyFill="1" applyBorder="1"/>
    <xf numFmtId="0" fontId="32" fillId="5" borderId="41" xfId="0" applyFont="1" applyFill="1" applyBorder="1"/>
    <xf numFmtId="0" fontId="32" fillId="5" borderId="66" xfId="0" applyFont="1" applyFill="1" applyBorder="1"/>
    <xf numFmtId="0" fontId="15" fillId="5" borderId="14" xfId="0" applyFont="1" applyFill="1" applyBorder="1" applyAlignment="1">
      <alignment horizontal="center" vertical="center" wrapText="1"/>
    </xf>
    <xf numFmtId="0" fontId="15" fillId="5" borderId="17" xfId="0" applyFont="1" applyFill="1" applyBorder="1" applyAlignment="1">
      <alignment horizontal="center" vertical="center" wrapText="1"/>
    </xf>
    <xf numFmtId="0" fontId="15" fillId="5" borderId="19" xfId="0" applyFont="1" applyFill="1" applyBorder="1" applyAlignment="1">
      <alignment horizontal="center" vertical="center" wrapText="1"/>
    </xf>
    <xf numFmtId="0" fontId="32" fillId="5" borderId="14" xfId="0" applyFont="1" applyFill="1" applyBorder="1" applyAlignment="1">
      <alignment horizontal="center" vertical="center" wrapText="1"/>
    </xf>
    <xf numFmtId="0" fontId="32" fillId="5" borderId="13" xfId="0" applyFont="1" applyFill="1" applyBorder="1" applyAlignment="1">
      <alignment horizontal="center" vertical="center" wrapText="1"/>
    </xf>
    <xf numFmtId="0" fontId="32" fillId="12" borderId="4" xfId="0" applyFont="1" applyFill="1" applyBorder="1"/>
    <xf numFmtId="0" fontId="39" fillId="12" borderId="4" xfId="0" applyFont="1" applyFill="1" applyBorder="1" applyAlignment="1">
      <alignment horizontal="center"/>
    </xf>
    <xf numFmtId="164" fontId="32" fillId="13" borderId="5" xfId="0" applyNumberFormat="1" applyFont="1" applyFill="1" applyBorder="1"/>
    <xf numFmtId="0" fontId="38" fillId="5" borderId="5" xfId="0" applyFont="1" applyFill="1" applyBorder="1" applyAlignment="1">
      <alignment horizontal="center"/>
    </xf>
    <xf numFmtId="0" fontId="38" fillId="5" borderId="16" xfId="0" applyFont="1" applyFill="1" applyBorder="1" applyAlignment="1">
      <alignment horizontal="center"/>
    </xf>
    <xf numFmtId="0" fontId="36" fillId="5" borderId="5" xfId="0" applyFont="1" applyFill="1" applyBorder="1" applyAlignment="1">
      <alignment horizontal="center" vertical="center" wrapText="1"/>
    </xf>
    <xf numFmtId="0" fontId="32" fillId="5" borderId="5" xfId="0" applyFont="1" applyFill="1" applyBorder="1" applyAlignment="1">
      <alignment horizontal="center" vertical="center"/>
    </xf>
    <xf numFmtId="0" fontId="32" fillId="5" borderId="5" xfId="0" applyFont="1" applyFill="1" applyBorder="1" applyAlignment="1">
      <alignment wrapText="1"/>
    </xf>
    <xf numFmtId="0" fontId="40" fillId="5" borderId="5" xfId="0" applyFont="1" applyFill="1" applyBorder="1" applyAlignment="1">
      <alignment wrapText="1"/>
    </xf>
    <xf numFmtId="0" fontId="40" fillId="5" borderId="5" xfId="0" applyFont="1" applyFill="1" applyBorder="1" applyAlignment="1">
      <alignment horizontal="left" wrapText="1"/>
    </xf>
    <xf numFmtId="0" fontId="40" fillId="5" borderId="5" xfId="0" applyFont="1" applyFill="1" applyBorder="1" applyAlignment="1">
      <alignment horizontal="left"/>
    </xf>
    <xf numFmtId="0" fontId="40" fillId="5" borderId="5" xfId="0" applyFont="1" applyFill="1" applyBorder="1" applyAlignment="1">
      <alignment horizontal="left" vertical="center"/>
    </xf>
    <xf numFmtId="0" fontId="32" fillId="5" borderId="5" xfId="0" applyFont="1" applyFill="1" applyBorder="1" applyAlignment="1">
      <alignment horizontal="left" vertical="center"/>
    </xf>
    <xf numFmtId="164" fontId="32" fillId="13" borderId="5" xfId="0" applyNumberFormat="1" applyFont="1" applyFill="1" applyBorder="1" applyAlignment="1">
      <alignment horizontal="center" vertical="center"/>
    </xf>
    <xf numFmtId="164" fontId="32" fillId="13" borderId="5" xfId="0" applyNumberFormat="1" applyFont="1" applyFill="1" applyBorder="1" applyAlignment="1">
      <alignment vertical="center"/>
    </xf>
    <xf numFmtId="0" fontId="32" fillId="5" borderId="5" xfId="0" applyFont="1" applyFill="1" applyBorder="1" applyAlignment="1">
      <alignment vertical="center"/>
    </xf>
    <xf numFmtId="0" fontId="39" fillId="5" borderId="16" xfId="0" applyFont="1" applyFill="1" applyBorder="1"/>
    <xf numFmtId="0" fontId="39" fillId="12" borderId="60" xfId="0" applyFont="1" applyFill="1" applyBorder="1"/>
    <xf numFmtId="0" fontId="39" fillId="12" borderId="4" xfId="0" applyFont="1" applyFill="1" applyBorder="1"/>
    <xf numFmtId="0" fontId="32" fillId="5" borderId="0" xfId="0" applyFont="1" applyFill="1"/>
    <xf numFmtId="0" fontId="32" fillId="5" borderId="16" xfId="0" applyFont="1" applyFill="1" applyBorder="1"/>
    <xf numFmtId="0" fontId="32" fillId="5" borderId="5" xfId="0" applyFont="1" applyFill="1" applyBorder="1" applyAlignment="1">
      <alignment horizontal="left" vertical="top"/>
    </xf>
    <xf numFmtId="2" fontId="32" fillId="5" borderId="5" xfId="0" applyNumberFormat="1" applyFont="1" applyFill="1" applyBorder="1"/>
    <xf numFmtId="0" fontId="39" fillId="12" borderId="0" xfId="0" applyFont="1" applyFill="1" applyAlignment="1">
      <alignment horizontal="center"/>
    </xf>
    <xf numFmtId="0" fontId="32" fillId="12" borderId="71" xfId="0" applyFont="1" applyFill="1" applyBorder="1"/>
    <xf numFmtId="0" fontId="15" fillId="5" borderId="5" xfId="0" applyFont="1" applyFill="1" applyBorder="1"/>
    <xf numFmtId="0" fontId="32" fillId="5" borderId="5" xfId="0" applyFont="1" applyFill="1" applyBorder="1" applyAlignment="1">
      <alignment horizontal="center"/>
    </xf>
    <xf numFmtId="0" fontId="36" fillId="5" borderId="5" xfId="0" applyFont="1" applyFill="1" applyBorder="1" applyAlignment="1">
      <alignment wrapText="1"/>
    </xf>
    <xf numFmtId="0" fontId="33" fillId="12" borderId="0" xfId="0" applyFont="1" applyFill="1"/>
    <xf numFmtId="0" fontId="15" fillId="5" borderId="5" xfId="0" applyFont="1" applyFill="1" applyBorder="1" applyAlignment="1">
      <alignment wrapText="1"/>
    </xf>
    <xf numFmtId="2" fontId="15" fillId="5" borderId="5" xfId="0" applyNumberFormat="1" applyFont="1" applyFill="1" applyBorder="1" applyAlignment="1">
      <alignment wrapText="1"/>
    </xf>
    <xf numFmtId="0" fontId="32" fillId="5" borderId="12" xfId="0" applyFont="1" applyFill="1" applyBorder="1" applyAlignment="1">
      <alignment horizontal="center" vertical="center" wrapText="1"/>
    </xf>
    <xf numFmtId="0" fontId="32" fillId="5" borderId="5" xfId="0" applyFont="1" applyFill="1" applyBorder="1" applyAlignment="1">
      <alignment horizontal="center" vertical="center" wrapText="1"/>
    </xf>
    <xf numFmtId="0" fontId="36" fillId="12" borderId="0" xfId="0" applyFont="1" applyFill="1"/>
    <xf numFmtId="0" fontId="32" fillId="12" borderId="0" xfId="0" applyFont="1" applyFill="1" applyAlignment="1">
      <alignment horizontal="center" vertical="center"/>
    </xf>
    <xf numFmtId="0" fontId="36" fillId="5" borderId="54" xfId="0" applyFont="1" applyFill="1" applyBorder="1" applyAlignment="1">
      <alignment horizontal="center" vertical="center" wrapText="1"/>
    </xf>
    <xf numFmtId="0" fontId="36" fillId="12" borderId="0" xfId="0" applyFont="1" applyFill="1" applyAlignment="1">
      <alignment vertical="center"/>
    </xf>
    <xf numFmtId="0" fontId="36" fillId="5" borderId="14" xfId="0" applyFont="1" applyFill="1" applyBorder="1" applyAlignment="1">
      <alignment horizontal="center" vertical="center" wrapText="1"/>
    </xf>
    <xf numFmtId="0" fontId="36" fillId="5" borderId="17" xfId="0" applyFont="1" applyFill="1" applyBorder="1" applyAlignment="1">
      <alignment horizontal="center" vertical="center" wrapText="1"/>
    </xf>
    <xf numFmtId="0" fontId="36" fillId="5" borderId="19" xfId="0" applyFont="1" applyFill="1" applyBorder="1" applyAlignment="1">
      <alignment horizontal="center" vertical="center" wrapText="1"/>
    </xf>
    <xf numFmtId="0" fontId="36" fillId="12" borderId="0" xfId="0" applyFont="1" applyFill="1" applyAlignment="1">
      <alignment vertical="center" wrapText="1"/>
    </xf>
    <xf numFmtId="0" fontId="32" fillId="6" borderId="5" xfId="0" applyFont="1" applyFill="1" applyBorder="1"/>
    <xf numFmtId="0" fontId="32" fillId="2" borderId="0" xfId="0" applyFont="1" applyFill="1"/>
    <xf numFmtId="0" fontId="36" fillId="5" borderId="12" xfId="0" applyFont="1" applyFill="1" applyBorder="1" applyAlignment="1">
      <alignment horizontal="center" vertical="center" wrapText="1"/>
    </xf>
    <xf numFmtId="0" fontId="32" fillId="0" borderId="21" xfId="0" applyFont="1" applyBorder="1" applyAlignment="1" applyProtection="1">
      <alignment horizontal="center" vertical="center" wrapText="1"/>
      <protection locked="0"/>
    </xf>
    <xf numFmtId="0" fontId="32" fillId="13" borderId="25" xfId="0" applyFont="1" applyFill="1" applyBorder="1" applyAlignment="1">
      <alignment horizontal="center" vertical="center" wrapText="1"/>
    </xf>
    <xf numFmtId="0" fontId="32" fillId="13" borderId="26" xfId="0" applyFont="1" applyFill="1" applyBorder="1" applyAlignment="1">
      <alignment horizontal="center" vertical="center" wrapText="1"/>
    </xf>
    <xf numFmtId="0" fontId="32" fillId="3" borderId="25" xfId="0" applyFont="1" applyFill="1" applyBorder="1" applyAlignment="1" applyProtection="1">
      <alignment horizontal="center" vertical="center" wrapText="1"/>
      <protection locked="0"/>
    </xf>
    <xf numFmtId="0" fontId="32" fillId="0" borderId="12" xfId="0" applyFont="1" applyBorder="1" applyAlignment="1" applyProtection="1">
      <alignment horizontal="center" vertical="center" wrapText="1"/>
      <protection locked="0"/>
    </xf>
    <xf numFmtId="0" fontId="32" fillId="13" borderId="5" xfId="0" applyFont="1" applyFill="1" applyBorder="1" applyAlignment="1">
      <alignment horizontal="center" vertical="center" wrapText="1"/>
    </xf>
    <xf numFmtId="0" fontId="32" fillId="13" borderId="21" xfId="0" applyFont="1" applyFill="1" applyBorder="1" applyAlignment="1">
      <alignment horizontal="center" vertical="center" wrapText="1"/>
    </xf>
    <xf numFmtId="0" fontId="32" fillId="3" borderId="25" xfId="0" applyFont="1" applyFill="1" applyBorder="1" applyAlignment="1" applyProtection="1">
      <alignment wrapText="1"/>
      <protection locked="0"/>
    </xf>
    <xf numFmtId="0" fontId="32" fillId="3" borderId="26" xfId="0" applyFont="1" applyFill="1" applyBorder="1" applyAlignment="1" applyProtection="1">
      <alignment wrapText="1"/>
      <protection locked="0"/>
    </xf>
    <xf numFmtId="0" fontId="32" fillId="3" borderId="12" xfId="0" applyFont="1" applyFill="1" applyBorder="1" applyAlignment="1" applyProtection="1">
      <alignment wrapText="1"/>
      <protection locked="0"/>
    </xf>
    <xf numFmtId="0" fontId="32" fillId="3" borderId="21" xfId="0" applyFont="1" applyFill="1" applyBorder="1" applyAlignment="1" applyProtection="1">
      <alignment wrapText="1"/>
      <protection locked="0"/>
    </xf>
    <xf numFmtId="0" fontId="32" fillId="3" borderId="21"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4" xfId="0" applyFont="1" applyFill="1" applyBorder="1" applyAlignment="1" applyProtection="1">
      <alignment horizontal="center" vertical="center" wrapText="1"/>
      <protection locked="0"/>
    </xf>
    <xf numFmtId="0" fontId="32" fillId="12" borderId="5" xfId="0" applyFont="1" applyFill="1" applyBorder="1"/>
    <xf numFmtId="0" fontId="32" fillId="3" borderId="2" xfId="0" applyFont="1" applyFill="1" applyBorder="1" applyAlignment="1" applyProtection="1">
      <alignment horizontal="center" vertical="center" wrapText="1"/>
      <protection locked="0"/>
    </xf>
    <xf numFmtId="0" fontId="36" fillId="5" borderId="13" xfId="0" applyFont="1" applyFill="1" applyBorder="1" applyAlignment="1">
      <alignment horizontal="center" vertical="center" wrapText="1"/>
    </xf>
    <xf numFmtId="0" fontId="40" fillId="3" borderId="18" xfId="0" applyFont="1" applyFill="1" applyBorder="1" applyProtection="1">
      <protection locked="0"/>
    </xf>
    <xf numFmtId="0" fontId="32" fillId="3" borderId="22" xfId="0" applyFont="1" applyFill="1" applyBorder="1" applyAlignment="1" applyProtection="1">
      <alignment horizontal="center" vertical="center" wrapText="1"/>
      <protection locked="0"/>
    </xf>
    <xf numFmtId="0" fontId="32" fillId="3" borderId="13" xfId="0" applyFont="1" applyFill="1" applyBorder="1" applyAlignment="1" applyProtection="1">
      <alignment horizontal="center" vertical="center" wrapText="1"/>
      <protection locked="0"/>
    </xf>
    <xf numFmtId="0" fontId="32" fillId="13" borderId="22" xfId="0" applyFont="1" applyFill="1" applyBorder="1" applyAlignment="1">
      <alignment horizontal="center" vertical="center" wrapText="1"/>
    </xf>
    <xf numFmtId="0" fontId="32" fillId="3" borderId="13" xfId="0" applyFont="1" applyFill="1" applyBorder="1" applyAlignment="1" applyProtection="1">
      <alignment wrapText="1"/>
      <protection locked="0"/>
    </xf>
    <xf numFmtId="0" fontId="32" fillId="3" borderId="22" xfId="0" applyFont="1" applyFill="1" applyBorder="1" applyAlignment="1" applyProtection="1">
      <alignment wrapText="1"/>
      <protection locked="0"/>
    </xf>
    <xf numFmtId="0" fontId="36" fillId="5" borderId="8" xfId="0" applyFont="1" applyFill="1" applyBorder="1" applyAlignment="1">
      <alignment horizontal="center" vertical="center" wrapText="1"/>
    </xf>
    <xf numFmtId="0" fontId="36" fillId="12" borderId="0" xfId="0" applyFont="1" applyFill="1" applyAlignment="1">
      <alignment horizontal="center" vertical="center" wrapText="1"/>
    </xf>
    <xf numFmtId="0" fontId="36" fillId="5" borderId="29" xfId="0" applyFont="1" applyFill="1" applyBorder="1" applyAlignment="1">
      <alignment horizontal="center" vertical="center" wrapText="1"/>
    </xf>
    <xf numFmtId="0" fontId="40" fillId="0" borderId="42" xfId="0" applyFont="1" applyBorder="1" applyProtection="1">
      <protection locked="0"/>
    </xf>
    <xf numFmtId="0" fontId="32" fillId="3" borderId="14" xfId="0" applyFont="1" applyFill="1" applyBorder="1" applyAlignment="1" applyProtection="1">
      <alignment wrapText="1"/>
      <protection locked="0"/>
    </xf>
    <xf numFmtId="0" fontId="32" fillId="3" borderId="19" xfId="0" applyFont="1" applyFill="1" applyBorder="1" applyAlignment="1" applyProtection="1">
      <alignment wrapText="1"/>
      <protection locked="0"/>
    </xf>
    <xf numFmtId="0" fontId="40" fillId="3" borderId="42" xfId="0" applyFont="1" applyFill="1" applyBorder="1" applyProtection="1">
      <protection locked="0"/>
    </xf>
    <xf numFmtId="0" fontId="32" fillId="3" borderId="26" xfId="0" applyFont="1" applyFill="1" applyBorder="1" applyAlignment="1" applyProtection="1">
      <alignment horizontal="center" vertical="center" wrapText="1"/>
      <protection locked="0"/>
    </xf>
    <xf numFmtId="0" fontId="36" fillId="5" borderId="9" xfId="0" applyFont="1" applyFill="1" applyBorder="1" applyAlignment="1">
      <alignment horizontal="center" vertical="center" wrapText="1"/>
    </xf>
    <xf numFmtId="0" fontId="14" fillId="5" borderId="4" xfId="0" applyFont="1" applyFill="1" applyBorder="1" applyAlignment="1">
      <alignment vertical="center" wrapText="1"/>
    </xf>
    <xf numFmtId="0" fontId="32" fillId="3" borderId="0" xfId="0" applyFont="1" applyFill="1"/>
    <xf numFmtId="0" fontId="36" fillId="5" borderId="54" xfId="0" applyFont="1" applyFill="1" applyBorder="1"/>
    <xf numFmtId="0" fontId="36" fillId="5" borderId="11" xfId="0" applyFont="1" applyFill="1" applyBorder="1" applyAlignment="1">
      <alignment horizontal="center" vertical="center" wrapText="1"/>
    </xf>
    <xf numFmtId="0" fontId="36" fillId="5" borderId="10" xfId="0" applyFont="1" applyFill="1" applyBorder="1" applyAlignment="1">
      <alignment horizontal="center" vertical="center" wrapText="1"/>
    </xf>
    <xf numFmtId="0" fontId="36" fillId="5" borderId="24" xfId="0" applyFont="1" applyFill="1" applyBorder="1" applyAlignment="1">
      <alignment horizontal="center" vertical="center" wrapText="1"/>
    </xf>
    <xf numFmtId="0" fontId="32" fillId="5" borderId="5" xfId="0" applyFont="1" applyFill="1" applyBorder="1" applyAlignment="1">
      <alignment horizontal="left" textRotation="90" wrapText="1"/>
    </xf>
    <xf numFmtId="0" fontId="40" fillId="5" borderId="5" xfId="0" applyFont="1" applyFill="1" applyBorder="1" applyAlignment="1">
      <alignment vertical="center" textRotation="90" wrapText="1"/>
    </xf>
    <xf numFmtId="0" fontId="14" fillId="5" borderId="6" xfId="0" applyFont="1" applyFill="1" applyBorder="1" applyAlignment="1">
      <alignment vertical="center" wrapText="1"/>
    </xf>
    <xf numFmtId="0" fontId="32" fillId="12" borderId="0" xfId="0" applyFont="1" applyFill="1" applyAlignment="1">
      <alignment horizontal="left" vertical="top" wrapText="1"/>
    </xf>
    <xf numFmtId="0" fontId="32" fillId="5" borderId="54" xfId="0" applyFont="1" applyFill="1" applyBorder="1" applyAlignment="1">
      <alignment horizontal="left" vertical="top" wrapText="1"/>
    </xf>
    <xf numFmtId="0" fontId="32" fillId="5" borderId="25" xfId="0" applyFont="1" applyFill="1" applyBorder="1" applyAlignment="1">
      <alignment vertical="center"/>
    </xf>
    <xf numFmtId="0" fontId="32" fillId="13" borderId="13" xfId="0" applyFont="1" applyFill="1" applyBorder="1"/>
    <xf numFmtId="0" fontId="32" fillId="13" borderId="12" xfId="0" applyFont="1" applyFill="1" applyBorder="1" applyAlignment="1">
      <alignment horizontal="center" vertical="center" wrapText="1"/>
    </xf>
    <xf numFmtId="0" fontId="32" fillId="13" borderId="5" xfId="0" applyFont="1" applyFill="1" applyBorder="1" applyAlignment="1">
      <alignment horizontal="center" vertical="center"/>
    </xf>
    <xf numFmtId="0" fontId="32" fillId="13" borderId="13" xfId="0" applyFont="1" applyFill="1" applyBorder="1" applyAlignment="1">
      <alignment horizontal="center" vertical="center" wrapText="1"/>
    </xf>
    <xf numFmtId="0" fontId="32" fillId="12" borderId="50" xfId="0" applyFont="1" applyFill="1" applyBorder="1"/>
    <xf numFmtId="0" fontId="14" fillId="5" borderId="16" xfId="0" applyFont="1" applyFill="1" applyBorder="1" applyAlignment="1">
      <alignment horizontal="left" vertical="center"/>
    </xf>
    <xf numFmtId="0" fontId="14" fillId="5" borderId="6" xfId="0" applyFont="1" applyFill="1" applyBorder="1" applyAlignment="1">
      <alignment horizontal="left" vertical="center"/>
    </xf>
    <xf numFmtId="0" fontId="20" fillId="12" borderId="0" xfId="0" applyFont="1" applyFill="1"/>
    <xf numFmtId="0" fontId="36" fillId="5" borderId="18" xfId="0" applyFont="1" applyFill="1" applyBorder="1" applyAlignment="1">
      <alignment horizontal="center" vertical="center" wrapText="1"/>
    </xf>
    <xf numFmtId="0" fontId="32" fillId="3" borderId="42" xfId="0" applyFont="1" applyFill="1" applyBorder="1" applyAlignment="1" applyProtection="1">
      <alignment horizontal="center" vertical="center" wrapText="1"/>
      <protection locked="0"/>
    </xf>
    <xf numFmtId="2" fontId="32" fillId="0" borderId="4" xfId="0" applyNumberFormat="1" applyFont="1" applyBorder="1" applyAlignment="1" applyProtection="1">
      <alignment horizontal="center" vertical="center" wrapText="1"/>
      <protection locked="0"/>
    </xf>
    <xf numFmtId="2" fontId="32" fillId="3" borderId="4" xfId="0" applyNumberFormat="1" applyFont="1" applyFill="1" applyBorder="1" applyAlignment="1" applyProtection="1">
      <alignment horizontal="center" vertical="center" wrapText="1"/>
      <protection locked="0"/>
    </xf>
    <xf numFmtId="0" fontId="32" fillId="12" borderId="59" xfId="0" applyFont="1" applyFill="1" applyBorder="1"/>
    <xf numFmtId="0" fontId="32" fillId="3" borderId="6" xfId="0" applyFont="1" applyFill="1" applyBorder="1" applyAlignment="1" applyProtection="1">
      <alignment horizontal="center" vertical="center" wrapText="1"/>
      <protection locked="0"/>
    </xf>
    <xf numFmtId="0" fontId="36" fillId="12" borderId="34" xfId="0" applyFont="1" applyFill="1" applyBorder="1"/>
    <xf numFmtId="0" fontId="36" fillId="5" borderId="42" xfId="0" applyFont="1" applyFill="1" applyBorder="1" applyAlignment="1">
      <alignment horizontal="center" vertical="center" wrapText="1"/>
    </xf>
    <xf numFmtId="0" fontId="36" fillId="5" borderId="26" xfId="0" applyFont="1" applyFill="1" applyBorder="1" applyAlignment="1">
      <alignment horizontal="center" vertical="center" wrapText="1"/>
    </xf>
    <xf numFmtId="0" fontId="32" fillId="3" borderId="5" xfId="0" applyFont="1" applyFill="1" applyBorder="1" applyAlignment="1" applyProtection="1">
      <alignment horizontal="center" vertical="center" wrapText="1"/>
      <protection locked="0"/>
    </xf>
    <xf numFmtId="0" fontId="36" fillId="0" borderId="4" xfId="0" applyFont="1" applyBorder="1" applyAlignment="1" applyProtection="1">
      <alignment horizontal="center" vertical="center" wrapText="1"/>
      <protection locked="0"/>
    </xf>
    <xf numFmtId="0" fontId="36" fillId="3" borderId="4" xfId="0" applyFont="1" applyFill="1" applyBorder="1" applyAlignment="1" applyProtection="1">
      <alignment horizontal="center" vertical="center" wrapText="1"/>
      <protection locked="0"/>
    </xf>
    <xf numFmtId="0" fontId="32" fillId="3" borderId="18" xfId="0" applyFont="1" applyFill="1" applyBorder="1" applyAlignment="1" applyProtection="1">
      <alignment horizontal="center" vertical="center" wrapText="1"/>
      <protection locked="0"/>
    </xf>
    <xf numFmtId="0" fontId="36" fillId="5" borderId="40" xfId="0" applyFont="1" applyFill="1" applyBorder="1" applyAlignment="1">
      <alignment horizontal="center" vertical="center" wrapText="1"/>
    </xf>
    <xf numFmtId="0" fontId="36" fillId="5" borderId="41" xfId="0" applyFont="1" applyFill="1" applyBorder="1" applyAlignment="1">
      <alignment horizontal="center" vertical="center" wrapText="1"/>
    </xf>
    <xf numFmtId="0" fontId="36" fillId="5" borderId="43" xfId="0" applyFont="1" applyFill="1" applyBorder="1" applyAlignment="1">
      <alignment horizontal="center" vertical="center" wrapText="1"/>
    </xf>
    <xf numFmtId="0" fontId="32" fillId="3" borderId="41" xfId="0" applyFont="1" applyFill="1" applyBorder="1" applyAlignment="1" applyProtection="1">
      <alignment horizontal="center" vertical="center" wrapText="1"/>
      <protection locked="0"/>
    </xf>
    <xf numFmtId="0" fontId="32" fillId="3" borderId="66" xfId="0" applyFont="1" applyFill="1" applyBorder="1" applyAlignment="1" applyProtection="1">
      <alignment horizontal="center" vertical="center" wrapText="1"/>
      <protection locked="0"/>
    </xf>
    <xf numFmtId="0" fontId="27" fillId="12" borderId="0" xfId="0" applyFont="1" applyFill="1"/>
    <xf numFmtId="0" fontId="36" fillId="5" borderId="66" xfId="0" applyFont="1" applyFill="1" applyBorder="1" applyAlignment="1">
      <alignment horizontal="center" vertical="center" wrapText="1"/>
    </xf>
    <xf numFmtId="0" fontId="36" fillId="5" borderId="0" xfId="0" applyFont="1" applyFill="1" applyAlignment="1">
      <alignment horizontal="center" vertical="center" wrapText="1"/>
    </xf>
    <xf numFmtId="0" fontId="32" fillId="13" borderId="5" xfId="0" applyFont="1" applyFill="1" applyBorder="1" applyAlignment="1">
      <alignment horizontal="center" vertical="top"/>
    </xf>
    <xf numFmtId="0" fontId="32" fillId="12" borderId="5" xfId="0" applyFont="1" applyFill="1" applyBorder="1" applyAlignment="1">
      <alignment horizontal="left" vertical="top"/>
    </xf>
    <xf numFmtId="0" fontId="32" fillId="12" borderId="5" xfId="0" applyFont="1" applyFill="1" applyBorder="1" applyAlignment="1">
      <alignment horizontal="center" vertical="center"/>
    </xf>
    <xf numFmtId="0" fontId="32" fillId="5" borderId="18" xfId="0" applyFont="1" applyFill="1" applyBorder="1" applyAlignment="1">
      <alignment horizontal="left" vertical="top"/>
    </xf>
    <xf numFmtId="0" fontId="32" fillId="5" borderId="42" xfId="0" applyFont="1" applyFill="1" applyBorder="1" applyAlignment="1">
      <alignment horizontal="left" vertical="top"/>
    </xf>
    <xf numFmtId="0" fontId="32" fillId="5" borderId="10" xfId="0" applyFont="1" applyFill="1" applyBorder="1" applyAlignment="1">
      <alignment horizontal="left" vertical="top"/>
    </xf>
    <xf numFmtId="0" fontId="36" fillId="12" borderId="5" xfId="0" applyFont="1" applyFill="1" applyBorder="1" applyAlignment="1">
      <alignment horizontal="left" vertical="top"/>
    </xf>
    <xf numFmtId="0" fontId="32" fillId="5" borderId="18" xfId="0" applyFont="1" applyFill="1" applyBorder="1" applyAlignment="1">
      <alignment wrapText="1"/>
    </xf>
    <xf numFmtId="0" fontId="32" fillId="5" borderId="42" xfId="0" applyFont="1" applyFill="1" applyBorder="1" applyAlignment="1">
      <alignment wrapText="1"/>
    </xf>
    <xf numFmtId="0" fontId="36" fillId="12" borderId="27" xfId="0" applyFont="1" applyFill="1" applyBorder="1" applyAlignment="1">
      <alignment horizontal="center" vertical="center"/>
    </xf>
    <xf numFmtId="0" fontId="36" fillId="12" borderId="28" xfId="0" applyFont="1" applyFill="1" applyBorder="1" applyAlignment="1">
      <alignment horizontal="center" vertical="center" wrapText="1"/>
    </xf>
    <xf numFmtId="0" fontId="36" fillId="5" borderId="50" xfId="0" applyFont="1" applyFill="1" applyBorder="1" applyAlignment="1">
      <alignment horizontal="center" vertical="center" wrapText="1"/>
    </xf>
    <xf numFmtId="0" fontId="32" fillId="12" borderId="49" xfId="0" applyFont="1" applyFill="1" applyBorder="1" applyAlignment="1">
      <alignment horizontal="center" vertical="center" wrapText="1"/>
    </xf>
    <xf numFmtId="0" fontId="36" fillId="3" borderId="12" xfId="0" applyFont="1" applyFill="1" applyBorder="1" applyAlignment="1" applyProtection="1">
      <alignment horizontal="center" vertical="center" wrapText="1"/>
      <protection locked="0"/>
    </xf>
    <xf numFmtId="0" fontId="36" fillId="3" borderId="21" xfId="0" applyFont="1" applyFill="1" applyBorder="1" applyAlignment="1" applyProtection="1">
      <alignment horizontal="center" vertical="center" wrapText="1"/>
      <protection locked="0"/>
    </xf>
    <xf numFmtId="0" fontId="32" fillId="12" borderId="25" xfId="0" applyFont="1" applyFill="1" applyBorder="1" applyAlignment="1">
      <alignment horizontal="center" vertical="center" wrapText="1"/>
    </xf>
    <xf numFmtId="0" fontId="32" fillId="3" borderId="2" xfId="0" applyFont="1" applyFill="1" applyBorder="1" applyAlignment="1" applyProtection="1">
      <alignment wrapText="1"/>
      <protection locked="0"/>
    </xf>
    <xf numFmtId="0" fontId="32" fillId="12" borderId="55" xfId="0" applyFont="1" applyFill="1" applyBorder="1" applyAlignment="1">
      <alignment horizontal="center" vertical="center" wrapText="1"/>
    </xf>
    <xf numFmtId="0" fontId="32" fillId="12" borderId="12" xfId="0" applyFont="1" applyFill="1" applyBorder="1" applyAlignment="1">
      <alignment horizontal="center" vertical="center" wrapText="1"/>
    </xf>
    <xf numFmtId="0" fontId="32" fillId="10" borderId="57" xfId="0" applyFont="1" applyFill="1" applyBorder="1" applyAlignment="1">
      <alignment horizontal="center" vertical="center" wrapText="1"/>
    </xf>
    <xf numFmtId="0" fontId="20" fillId="10" borderId="0" xfId="0" applyFont="1" applyFill="1"/>
    <xf numFmtId="0" fontId="36" fillId="11" borderId="0" xfId="0" applyFont="1" applyFill="1" applyAlignment="1">
      <alignment horizontal="center" vertical="center"/>
    </xf>
    <xf numFmtId="0" fontId="32" fillId="0" borderId="44" xfId="0" applyFont="1" applyBorder="1" applyAlignment="1">
      <alignment horizontal="center" vertical="center" wrapText="1"/>
    </xf>
    <xf numFmtId="0" fontId="36" fillId="0" borderId="12" xfId="0" applyFont="1" applyBorder="1" applyAlignment="1" applyProtection="1">
      <alignment horizontal="center" vertical="center" wrapText="1"/>
      <protection locked="0"/>
    </xf>
    <xf numFmtId="0" fontId="32" fillId="0" borderId="25" xfId="0" applyFont="1" applyBorder="1" applyAlignment="1" applyProtection="1">
      <alignment wrapText="1"/>
      <protection locked="0"/>
    </xf>
    <xf numFmtId="0" fontId="32" fillId="0" borderId="26" xfId="0" applyFont="1" applyBorder="1" applyAlignment="1" applyProtection="1">
      <alignment wrapText="1"/>
      <protection locked="0"/>
    </xf>
    <xf numFmtId="0" fontId="32" fillId="0" borderId="18" xfId="0" applyFont="1" applyBorder="1" applyAlignment="1" applyProtection="1">
      <alignment horizontal="center" vertical="center" wrapText="1"/>
      <protection locked="0"/>
    </xf>
    <xf numFmtId="0" fontId="32" fillId="12" borderId="57" xfId="0" applyFont="1" applyFill="1" applyBorder="1"/>
    <xf numFmtId="0" fontId="32" fillId="3" borderId="5" xfId="0" applyFont="1" applyFill="1" applyBorder="1" applyAlignment="1">
      <alignment horizontal="center" vertical="top" wrapText="1"/>
    </xf>
    <xf numFmtId="0" fontId="32" fillId="12" borderId="31" xfId="0" applyFont="1" applyFill="1" applyBorder="1"/>
    <xf numFmtId="0" fontId="15" fillId="10" borderId="0" xfId="0" applyFont="1" applyFill="1"/>
    <xf numFmtId="0" fontId="32" fillId="9" borderId="5" xfId="0" applyFont="1" applyFill="1" applyBorder="1" applyAlignment="1">
      <alignment horizontal="center" vertical="top" wrapText="1"/>
    </xf>
    <xf numFmtId="0" fontId="32" fillId="12" borderId="59" xfId="0" applyFont="1" applyFill="1" applyBorder="1" applyAlignment="1">
      <alignment horizontal="center" vertical="center" wrapText="1"/>
    </xf>
    <xf numFmtId="0" fontId="32" fillId="12" borderId="5" xfId="0" applyFont="1" applyFill="1" applyBorder="1" applyAlignment="1">
      <alignment wrapText="1"/>
    </xf>
    <xf numFmtId="0" fontId="36" fillId="12" borderId="58" xfId="0" applyFont="1" applyFill="1" applyBorder="1" applyAlignment="1">
      <alignment horizontal="center" vertical="center" wrapText="1"/>
    </xf>
    <xf numFmtId="0" fontId="32" fillId="3" borderId="5" xfId="0" applyFont="1" applyFill="1" applyBorder="1" applyAlignment="1">
      <alignment horizontal="center" vertical="top"/>
    </xf>
    <xf numFmtId="2" fontId="32" fillId="12" borderId="2" xfId="0" applyNumberFormat="1" applyFont="1" applyFill="1" applyBorder="1" applyAlignment="1">
      <alignment horizontal="center" vertical="center" wrapText="1"/>
    </xf>
    <xf numFmtId="2" fontId="32" fillId="12" borderId="42" xfId="0" applyNumberFormat="1" applyFont="1" applyFill="1" applyBorder="1" applyAlignment="1">
      <alignment horizontal="center" vertical="center" wrapText="1"/>
    </xf>
    <xf numFmtId="2" fontId="36" fillId="12" borderId="0" xfId="0" applyNumberFormat="1" applyFont="1" applyFill="1" applyAlignment="1">
      <alignment horizontal="center" vertical="center"/>
    </xf>
    <xf numFmtId="0" fontId="26" fillId="10" borderId="0" xfId="0" applyFont="1" applyFill="1"/>
    <xf numFmtId="0" fontId="26" fillId="10" borderId="0" xfId="0" applyFont="1" applyFill="1" applyAlignment="1">
      <alignment horizontal="center" vertical="center"/>
    </xf>
    <xf numFmtId="0" fontId="28" fillId="10" borderId="0" xfId="0" applyFont="1" applyFill="1"/>
    <xf numFmtId="0" fontId="28" fillId="10" borderId="0" xfId="0" applyFont="1" applyFill="1" applyAlignment="1">
      <alignment horizontal="center"/>
    </xf>
    <xf numFmtId="0" fontId="31" fillId="10" borderId="0" xfId="0" applyFont="1" applyFill="1" applyAlignment="1">
      <alignment horizontal="left" vertical="top" wrapText="1"/>
    </xf>
    <xf numFmtId="0" fontId="26" fillId="10" borderId="0" xfId="0" applyFont="1" applyFill="1" applyAlignment="1">
      <alignment horizontal="justify"/>
    </xf>
    <xf numFmtId="0" fontId="40" fillId="0" borderId="42" xfId="0" applyFont="1" applyBorder="1" applyAlignment="1" applyProtection="1">
      <alignment vertical="center"/>
      <protection locked="0"/>
    </xf>
    <xf numFmtId="0" fontId="36" fillId="12" borderId="0" xfId="0" applyFont="1" applyFill="1" applyAlignment="1">
      <alignment wrapText="1"/>
    </xf>
    <xf numFmtId="0" fontId="32" fillId="5" borderId="13" xfId="0" applyFont="1" applyFill="1" applyBorder="1" applyAlignment="1">
      <alignment horizontal="center" vertical="center"/>
    </xf>
    <xf numFmtId="2" fontId="32" fillId="13" borderId="21" xfId="0" applyNumberFormat="1" applyFont="1" applyFill="1" applyBorder="1" applyAlignment="1">
      <alignment horizontal="center" vertical="center" wrapText="1"/>
    </xf>
    <xf numFmtId="0" fontId="36" fillId="5" borderId="27" xfId="0" applyFont="1" applyFill="1" applyBorder="1" applyAlignment="1">
      <alignment horizontal="center" vertical="center" wrapText="1"/>
    </xf>
    <xf numFmtId="0" fontId="36" fillId="5" borderId="37" xfId="0" applyFont="1" applyFill="1" applyBorder="1" applyAlignment="1">
      <alignment horizontal="center" vertical="center" wrapText="1"/>
    </xf>
    <xf numFmtId="0" fontId="36" fillId="5" borderId="7" xfId="0" applyFont="1" applyFill="1" applyBorder="1" applyAlignment="1">
      <alignment horizontal="center" vertical="center" wrapText="1"/>
    </xf>
    <xf numFmtId="0" fontId="32" fillId="5" borderId="12" xfId="0" applyFont="1" applyFill="1" applyBorder="1" applyAlignment="1">
      <alignment horizontal="center" vertical="center"/>
    </xf>
    <xf numFmtId="0" fontId="36" fillId="3" borderId="42" xfId="0" applyFont="1" applyFill="1" applyBorder="1" applyAlignment="1" applyProtection="1">
      <alignment horizontal="center" vertical="center" wrapText="1"/>
      <protection locked="0"/>
    </xf>
    <xf numFmtId="0" fontId="36" fillId="3" borderId="18" xfId="0" applyFont="1" applyFill="1" applyBorder="1" applyAlignment="1" applyProtection="1">
      <alignment horizontal="center" vertical="center" wrapText="1"/>
      <protection locked="0"/>
    </xf>
    <xf numFmtId="0" fontId="32" fillId="3" borderId="58" xfId="0" applyFont="1" applyFill="1" applyBorder="1" applyAlignment="1" applyProtection="1">
      <alignment horizontal="center" vertical="center" wrapText="1"/>
      <protection locked="0"/>
    </xf>
    <xf numFmtId="2" fontId="32" fillId="3" borderId="32" xfId="0" applyNumberFormat="1" applyFont="1" applyFill="1" applyBorder="1" applyAlignment="1" applyProtection="1">
      <alignment horizontal="center" vertical="center" wrapText="1"/>
      <protection locked="0"/>
    </xf>
    <xf numFmtId="0" fontId="17" fillId="12" borderId="0" xfId="0" applyFont="1" applyFill="1" applyAlignment="1">
      <alignment vertical="center" wrapText="1"/>
    </xf>
    <xf numFmtId="0" fontId="32" fillId="3" borderId="32" xfId="0" applyFont="1" applyFill="1" applyBorder="1" applyAlignment="1" applyProtection="1">
      <alignment horizontal="center" vertical="center" wrapText="1"/>
      <protection locked="0"/>
    </xf>
    <xf numFmtId="0" fontId="22" fillId="12" borderId="0" xfId="0" applyFont="1" applyFill="1"/>
    <xf numFmtId="0" fontId="21" fillId="12" borderId="0" xfId="0" applyFont="1" applyFill="1"/>
    <xf numFmtId="0" fontId="32" fillId="12" borderId="57" xfId="0" applyFont="1" applyFill="1" applyBorder="1" applyAlignment="1">
      <alignment horizontal="center" vertical="center" wrapText="1"/>
    </xf>
    <xf numFmtId="0" fontId="36" fillId="12" borderId="27" xfId="0" applyFont="1" applyFill="1" applyBorder="1" applyAlignment="1">
      <alignment horizontal="center" vertical="center" wrapText="1"/>
    </xf>
    <xf numFmtId="0" fontId="32" fillId="12" borderId="5" xfId="0" applyFont="1" applyFill="1" applyBorder="1" applyAlignment="1">
      <alignment horizontal="center" vertical="center" wrapText="1"/>
    </xf>
    <xf numFmtId="0" fontId="21" fillId="5" borderId="5" xfId="0" applyFont="1" applyFill="1" applyBorder="1"/>
    <xf numFmtId="0" fontId="36" fillId="5" borderId="5" xfId="0" applyFont="1" applyFill="1" applyBorder="1" applyAlignment="1">
      <alignment horizontal="center" vertical="center"/>
    </xf>
    <xf numFmtId="0" fontId="33" fillId="12" borderId="3" xfId="0" applyFont="1" applyFill="1" applyBorder="1"/>
    <xf numFmtId="0" fontId="33" fillId="5" borderId="16" xfId="0" applyFont="1" applyFill="1" applyBorder="1"/>
    <xf numFmtId="0" fontId="36" fillId="5" borderId="5" xfId="0" applyFont="1" applyFill="1" applyBorder="1"/>
    <xf numFmtId="0" fontId="32" fillId="5" borderId="0" xfId="0" applyFont="1" applyFill="1" applyAlignment="1">
      <alignment wrapText="1"/>
    </xf>
    <xf numFmtId="0" fontId="36" fillId="5" borderId="0" xfId="0" applyFont="1" applyFill="1" applyAlignment="1">
      <alignment wrapText="1"/>
    </xf>
    <xf numFmtId="0" fontId="17" fillId="5" borderId="4" xfId="0" applyFont="1" applyFill="1" applyBorder="1"/>
    <xf numFmtId="0" fontId="36" fillId="5" borderId="42" xfId="0" applyFont="1" applyFill="1" applyBorder="1" applyAlignment="1">
      <alignment horizontal="center" vertical="center"/>
    </xf>
    <xf numFmtId="17" fontId="32" fillId="5" borderId="5" xfId="0" applyNumberFormat="1" applyFont="1" applyFill="1" applyBorder="1" applyAlignment="1">
      <alignment horizontal="center" vertical="center" wrapText="1"/>
    </xf>
    <xf numFmtId="0" fontId="14" fillId="12" borderId="71" xfId="0" applyFont="1" applyFill="1" applyBorder="1" applyAlignment="1">
      <alignment vertical="center"/>
    </xf>
    <xf numFmtId="0" fontId="32" fillId="5" borderId="9" xfId="0" applyFont="1" applyFill="1" applyBorder="1"/>
    <xf numFmtId="0" fontId="32" fillId="5" borderId="11" xfId="0" applyFont="1" applyFill="1" applyBorder="1"/>
    <xf numFmtId="0" fontId="36" fillId="5" borderId="28" xfId="0" applyFont="1" applyFill="1" applyBorder="1"/>
    <xf numFmtId="0" fontId="36" fillId="5" borderId="73" xfId="0" applyFont="1" applyFill="1" applyBorder="1" applyAlignment="1">
      <alignment vertical="center" wrapText="1"/>
    </xf>
    <xf numFmtId="0" fontId="36" fillId="5" borderId="37" xfId="0" applyFont="1" applyFill="1" applyBorder="1" applyAlignment="1">
      <alignment vertical="center" wrapText="1"/>
    </xf>
    <xf numFmtId="0" fontId="36" fillId="5" borderId="62" xfId="0" applyFont="1" applyFill="1" applyBorder="1" applyAlignment="1">
      <alignment vertical="center" wrapText="1"/>
    </xf>
    <xf numFmtId="0" fontId="32" fillId="5" borderId="10" xfId="0" applyFont="1" applyFill="1" applyBorder="1"/>
    <xf numFmtId="0" fontId="32" fillId="5" borderId="25" xfId="0" applyFont="1" applyFill="1" applyBorder="1"/>
    <xf numFmtId="0" fontId="32" fillId="13" borderId="26" xfId="0" applyFont="1" applyFill="1" applyBorder="1"/>
    <xf numFmtId="0" fontId="32" fillId="5" borderId="10" xfId="0" applyFont="1" applyFill="1" applyBorder="1" applyAlignment="1">
      <alignment horizontal="center" vertical="center" wrapText="1"/>
    </xf>
    <xf numFmtId="0" fontId="32" fillId="5" borderId="25" xfId="0" applyFont="1" applyFill="1" applyBorder="1" applyAlignment="1">
      <alignment horizontal="center" vertical="center" wrapText="1"/>
    </xf>
    <xf numFmtId="0" fontId="32" fillId="0" borderId="21" xfId="0" applyFont="1" applyBorder="1"/>
    <xf numFmtId="0" fontId="32" fillId="12" borderId="3" xfId="0" applyFont="1" applyFill="1" applyBorder="1"/>
    <xf numFmtId="0" fontId="32" fillId="0" borderId="22" xfId="0" applyFont="1" applyBorder="1"/>
    <xf numFmtId="0" fontId="36" fillId="5" borderId="2" xfId="0" applyFont="1" applyFill="1" applyBorder="1" applyAlignment="1">
      <alignment horizontal="center" vertical="center" wrapText="1"/>
    </xf>
    <xf numFmtId="0" fontId="36" fillId="12" borderId="5" xfId="0" applyFont="1" applyFill="1" applyBorder="1" applyAlignment="1">
      <alignment horizontal="center" vertical="center"/>
    </xf>
    <xf numFmtId="0" fontId="33" fillId="12" borderId="65" xfId="0" applyFont="1" applyFill="1" applyBorder="1"/>
    <xf numFmtId="0" fontId="37" fillId="12" borderId="0" xfId="10" applyFont="1" applyFill="1" applyAlignment="1">
      <alignment vertical="center" wrapText="1"/>
    </xf>
    <xf numFmtId="0" fontId="37" fillId="12" borderId="68" xfId="10" applyFont="1" applyFill="1" applyBorder="1" applyAlignment="1">
      <alignment vertical="center" wrapText="1"/>
    </xf>
    <xf numFmtId="0" fontId="41" fillId="5" borderId="5" xfId="0" applyFont="1" applyFill="1" applyBorder="1" applyAlignment="1">
      <alignment vertical="center" wrapText="1"/>
    </xf>
    <xf numFmtId="0" fontId="21" fillId="5" borderId="6" xfId="0" applyFont="1" applyFill="1" applyBorder="1"/>
    <xf numFmtId="0" fontId="36" fillId="3" borderId="32" xfId="0" applyFont="1" applyFill="1" applyBorder="1" applyAlignment="1" applyProtection="1">
      <alignment horizontal="center" vertical="center" wrapText="1"/>
      <protection locked="0"/>
    </xf>
    <xf numFmtId="2" fontId="32" fillId="12" borderId="0" xfId="0" applyNumberFormat="1" applyFont="1" applyFill="1" applyAlignment="1">
      <alignment vertical="center"/>
    </xf>
    <xf numFmtId="0" fontId="32" fillId="12" borderId="0" xfId="0" applyFont="1" applyFill="1" applyAlignment="1">
      <alignment vertical="center"/>
    </xf>
    <xf numFmtId="0" fontId="32" fillId="0" borderId="13" xfId="0" applyFont="1" applyBorder="1" applyAlignment="1" applyProtection="1">
      <alignment horizontal="center" vertical="center" wrapText="1"/>
      <protection locked="0"/>
    </xf>
    <xf numFmtId="0" fontId="32" fillId="0" borderId="58" xfId="0" applyFont="1" applyBorder="1" applyAlignment="1" applyProtection="1">
      <alignment horizontal="center" vertical="center" wrapText="1"/>
      <protection locked="0"/>
    </xf>
    <xf numFmtId="0" fontId="32" fillId="0" borderId="32" xfId="0" applyFont="1" applyBorder="1" applyAlignment="1" applyProtection="1">
      <alignment horizontal="center" vertical="center" wrapText="1"/>
      <protection locked="0"/>
    </xf>
    <xf numFmtId="0" fontId="32" fillId="9" borderId="18" xfId="0" applyFont="1" applyFill="1" applyBorder="1" applyAlignment="1">
      <alignment horizontal="center" vertical="top"/>
    </xf>
    <xf numFmtId="0" fontId="32" fillId="0" borderId="22" xfId="0" applyFont="1" applyBorder="1" applyAlignment="1" applyProtection="1">
      <alignment horizontal="center" vertical="center" wrapText="1"/>
      <protection locked="0"/>
    </xf>
    <xf numFmtId="0" fontId="32" fillId="9" borderId="18" xfId="0" applyFont="1" applyFill="1" applyBorder="1" applyAlignment="1">
      <alignment horizontal="center" vertical="top" wrapText="1"/>
    </xf>
    <xf numFmtId="0" fontId="32" fillId="0" borderId="13" xfId="0" applyFont="1" applyBorder="1" applyAlignment="1" applyProtection="1">
      <alignment wrapText="1"/>
      <protection locked="0"/>
    </xf>
    <xf numFmtId="0" fontId="32" fillId="0" borderId="22" xfId="0" applyFont="1" applyBorder="1" applyAlignment="1" applyProtection="1">
      <alignment wrapText="1"/>
      <protection locked="0"/>
    </xf>
    <xf numFmtId="0" fontId="36" fillId="12" borderId="33" xfId="0" applyFont="1" applyFill="1" applyBorder="1" applyAlignment="1">
      <alignment horizontal="center" vertical="center" wrapText="1"/>
    </xf>
    <xf numFmtId="0" fontId="32" fillId="3" borderId="18" xfId="0" applyFont="1" applyFill="1" applyBorder="1" applyAlignment="1">
      <alignment horizontal="center" vertical="top" wrapText="1"/>
    </xf>
    <xf numFmtId="0" fontId="15" fillId="5" borderId="54" xfId="0" applyFont="1" applyFill="1" applyBorder="1" applyAlignment="1">
      <alignment horizontal="center" vertical="center" wrapText="1"/>
    </xf>
    <xf numFmtId="0" fontId="20" fillId="5" borderId="29" xfId="0" applyFont="1" applyFill="1" applyBorder="1" applyAlignment="1">
      <alignment horizontal="center" vertical="center" wrapText="1"/>
    </xf>
    <xf numFmtId="0" fontId="49" fillId="5" borderId="0" xfId="0" applyFont="1" applyFill="1"/>
    <xf numFmtId="0" fontId="32" fillId="5" borderId="5" xfId="0" applyFont="1" applyFill="1" applyBorder="1" applyAlignment="1">
      <alignment horizontal="center" vertical="top"/>
    </xf>
    <xf numFmtId="0" fontId="32" fillId="5" borderId="5" xfId="0" applyFont="1" applyFill="1" applyBorder="1" applyAlignment="1">
      <alignment vertical="top"/>
    </xf>
    <xf numFmtId="0" fontId="20" fillId="5" borderId="44" xfId="0" applyFont="1" applyFill="1" applyBorder="1" applyAlignment="1">
      <alignment horizontal="center" vertical="top" wrapText="1"/>
    </xf>
    <xf numFmtId="0" fontId="20" fillId="5" borderId="36" xfId="0" applyFont="1" applyFill="1" applyBorder="1" applyAlignment="1">
      <alignment horizontal="center" vertical="top" wrapText="1"/>
    </xf>
    <xf numFmtId="0" fontId="20" fillId="5" borderId="70" xfId="0" applyFont="1" applyFill="1" applyBorder="1" applyAlignment="1">
      <alignment horizontal="center" vertical="top" wrapText="1"/>
    </xf>
    <xf numFmtId="0" fontId="20" fillId="5" borderId="16" xfId="0" applyFont="1" applyFill="1" applyBorder="1" applyAlignment="1">
      <alignment horizontal="center" vertical="top"/>
    </xf>
    <xf numFmtId="0" fontId="32" fillId="12" borderId="76" xfId="0" applyFont="1" applyFill="1" applyBorder="1"/>
    <xf numFmtId="0" fontId="32" fillId="12" borderId="77" xfId="0" applyFont="1" applyFill="1" applyBorder="1"/>
    <xf numFmtId="2" fontId="32" fillId="12" borderId="77" xfId="0" applyNumberFormat="1" applyFont="1" applyFill="1" applyBorder="1"/>
    <xf numFmtId="0" fontId="20" fillId="5" borderId="17" xfId="0" applyFont="1" applyFill="1" applyBorder="1" applyAlignment="1">
      <alignment horizontal="center" vertical="top" wrapText="1"/>
    </xf>
    <xf numFmtId="0" fontId="20" fillId="5" borderId="5" xfId="0" applyFont="1" applyFill="1" applyBorder="1" applyAlignment="1">
      <alignment horizontal="center" vertical="top" wrapText="1"/>
    </xf>
    <xf numFmtId="0" fontId="32" fillId="11" borderId="5" xfId="0" applyFont="1" applyFill="1" applyBorder="1" applyAlignment="1">
      <alignment horizontal="center" vertical="center" wrapText="1"/>
    </xf>
    <xf numFmtId="0" fontId="32" fillId="11" borderId="5" xfId="0" applyFont="1" applyFill="1" applyBorder="1" applyAlignment="1">
      <alignment vertical="top" wrapText="1"/>
    </xf>
    <xf numFmtId="0" fontId="36" fillId="10" borderId="34" xfId="0" applyFont="1" applyFill="1" applyBorder="1" applyAlignment="1">
      <alignment horizontal="center" vertical="center" wrapText="1"/>
    </xf>
    <xf numFmtId="0" fontId="32" fillId="0" borderId="66" xfId="0" applyFont="1" applyBorder="1" applyAlignment="1" applyProtection="1">
      <alignment horizontal="center" vertical="center" wrapText="1"/>
      <protection locked="0"/>
    </xf>
    <xf numFmtId="0" fontId="32" fillId="0" borderId="51" xfId="0" applyFont="1" applyBorder="1" applyAlignment="1" applyProtection="1">
      <alignment horizontal="center" vertical="center" wrapText="1"/>
      <protection locked="0"/>
    </xf>
    <xf numFmtId="0" fontId="32" fillId="5" borderId="51" xfId="0" applyFont="1" applyFill="1" applyBorder="1" applyAlignment="1">
      <alignment horizontal="center"/>
    </xf>
    <xf numFmtId="0" fontId="32" fillId="5" borderId="13" xfId="0" applyFont="1" applyFill="1" applyBorder="1" applyAlignment="1">
      <alignment vertical="center" wrapText="1"/>
    </xf>
    <xf numFmtId="0" fontId="32" fillId="11" borderId="25" xfId="0" applyFont="1" applyFill="1" applyBorder="1" applyAlignment="1">
      <alignment horizontal="center" vertical="center"/>
    </xf>
    <xf numFmtId="0" fontId="32" fillId="11" borderId="42" xfId="0" applyFont="1" applyFill="1" applyBorder="1" applyAlignment="1">
      <alignment horizontal="center" vertical="center"/>
    </xf>
    <xf numFmtId="0" fontId="32" fillId="11" borderId="12" xfId="0" applyFont="1" applyFill="1" applyBorder="1" applyAlignment="1">
      <alignment horizontal="center" vertical="center"/>
    </xf>
    <xf numFmtId="0" fontId="32" fillId="11" borderId="5" xfId="0" applyFont="1" applyFill="1" applyBorder="1" applyAlignment="1">
      <alignment horizontal="center" vertical="center"/>
    </xf>
    <xf numFmtId="0" fontId="32" fillId="11" borderId="13" xfId="0" applyFont="1" applyFill="1" applyBorder="1" applyAlignment="1">
      <alignment horizontal="center" vertical="center"/>
    </xf>
    <xf numFmtId="0" fontId="32" fillId="11" borderId="18" xfId="0" applyFont="1" applyFill="1" applyBorder="1" applyAlignment="1">
      <alignment horizontal="center" vertical="center"/>
    </xf>
    <xf numFmtId="0" fontId="15" fillId="5" borderId="7" xfId="0" applyFont="1" applyFill="1" applyBorder="1" applyAlignment="1">
      <alignment horizontal="center" vertical="center" wrapText="1"/>
    </xf>
    <xf numFmtId="0" fontId="15" fillId="5" borderId="73" xfId="0" applyFont="1" applyFill="1" applyBorder="1" applyAlignment="1">
      <alignment horizontal="center" vertical="center" wrapText="1"/>
    </xf>
    <xf numFmtId="0" fontId="15" fillId="5" borderId="37" xfId="0" applyFont="1" applyFill="1" applyBorder="1" applyAlignment="1">
      <alignment horizontal="center" vertical="center" wrapText="1"/>
    </xf>
    <xf numFmtId="0" fontId="32" fillId="11" borderId="14" xfId="0" applyFont="1" applyFill="1" applyBorder="1" applyAlignment="1">
      <alignment horizontal="center" vertical="center"/>
    </xf>
    <xf numFmtId="0" fontId="32" fillId="11" borderId="17" xfId="0" applyFont="1" applyFill="1" applyBorder="1" applyAlignment="1">
      <alignment horizontal="center" vertical="center"/>
    </xf>
    <xf numFmtId="0" fontId="32" fillId="11" borderId="9" xfId="0" applyFont="1" applyFill="1" applyBorder="1" applyAlignment="1">
      <alignment horizontal="center" vertical="center"/>
    </xf>
    <xf numFmtId="0" fontId="32" fillId="11" borderId="10" xfId="0" applyFont="1" applyFill="1" applyBorder="1" applyAlignment="1">
      <alignment horizontal="center" vertical="center"/>
    </xf>
    <xf numFmtId="0" fontId="32" fillId="5" borderId="7" xfId="0" applyFont="1" applyFill="1" applyBorder="1" applyAlignment="1">
      <alignment horizontal="center" vertical="center" wrapText="1"/>
    </xf>
    <xf numFmtId="0" fontId="36" fillId="5" borderId="21" xfId="0" applyFont="1" applyFill="1" applyBorder="1" applyAlignment="1">
      <alignment horizontal="center" vertical="center" wrapText="1"/>
    </xf>
    <xf numFmtId="0" fontId="39" fillId="5" borderId="5" xfId="0" applyFont="1" applyFill="1" applyBorder="1" applyAlignment="1">
      <alignment horizontal="center"/>
    </xf>
    <xf numFmtId="0" fontId="36" fillId="11" borderId="23" xfId="0" applyFont="1" applyFill="1" applyBorder="1" applyAlignment="1">
      <alignment horizontal="center" vertical="center" wrapText="1"/>
    </xf>
    <xf numFmtId="0" fontId="36" fillId="11" borderId="34" xfId="0" applyFont="1" applyFill="1" applyBorder="1" applyAlignment="1">
      <alignment horizontal="center" vertical="center" wrapText="1"/>
    </xf>
    <xf numFmtId="0" fontId="36" fillId="11" borderId="14" xfId="0" applyFont="1" applyFill="1" applyBorder="1" applyAlignment="1">
      <alignment horizontal="center" vertical="center" wrapText="1"/>
    </xf>
    <xf numFmtId="0" fontId="36" fillId="11" borderId="12" xfId="0" applyFont="1" applyFill="1" applyBorder="1" applyAlignment="1">
      <alignment horizontal="center" vertical="center" wrapText="1"/>
    </xf>
    <xf numFmtId="0" fontId="36" fillId="11" borderId="19" xfId="0" applyFont="1" applyFill="1" applyBorder="1" applyAlignment="1">
      <alignment horizontal="center" vertical="center" wrapText="1"/>
    </xf>
    <xf numFmtId="0" fontId="36" fillId="11" borderId="21" xfId="0" applyFont="1" applyFill="1" applyBorder="1" applyAlignment="1">
      <alignment horizontal="center" vertical="center" wrapText="1"/>
    </xf>
    <xf numFmtId="0" fontId="36" fillId="11" borderId="17" xfId="0" applyFont="1" applyFill="1" applyBorder="1" applyAlignment="1">
      <alignment horizontal="center" vertical="center" wrapText="1"/>
    </xf>
    <xf numFmtId="0" fontId="36" fillId="5" borderId="25" xfId="0" applyFont="1" applyFill="1" applyBorder="1" applyAlignment="1">
      <alignment horizontal="center" vertical="center" wrapText="1"/>
    </xf>
    <xf numFmtId="0" fontId="36" fillId="5" borderId="6" xfId="0" applyFont="1" applyFill="1" applyBorder="1" applyAlignment="1">
      <alignment horizontal="center" vertical="center" wrapText="1"/>
    </xf>
    <xf numFmtId="0" fontId="36" fillId="5" borderId="15" xfId="0" applyFont="1" applyFill="1" applyBorder="1" applyAlignment="1">
      <alignment horizontal="center" vertical="center" wrapText="1"/>
    </xf>
    <xf numFmtId="0" fontId="36" fillId="5" borderId="33" xfId="0" applyFont="1" applyFill="1" applyBorder="1" applyAlignment="1">
      <alignment horizontal="center" vertical="center" wrapText="1"/>
    </xf>
    <xf numFmtId="0" fontId="36" fillId="11" borderId="48" xfId="0" applyFont="1" applyFill="1" applyBorder="1" applyAlignment="1">
      <alignment horizontal="center" vertical="center" wrapText="1"/>
    </xf>
    <xf numFmtId="0" fontId="32" fillId="0" borderId="72" xfId="0" applyFont="1" applyBorder="1" applyAlignment="1" applyProtection="1">
      <alignment horizontal="center" vertical="center" wrapText="1"/>
      <protection locked="0"/>
    </xf>
    <xf numFmtId="0" fontId="32" fillId="0" borderId="69" xfId="0" applyFont="1" applyBorder="1" applyAlignment="1" applyProtection="1">
      <alignment horizontal="center" vertical="center" wrapText="1"/>
      <protection locked="0"/>
    </xf>
    <xf numFmtId="0" fontId="32" fillId="0" borderId="40" xfId="0" applyFont="1" applyBorder="1" applyAlignment="1" applyProtection="1">
      <alignment horizontal="center" vertical="center" wrapText="1"/>
      <protection locked="0"/>
    </xf>
    <xf numFmtId="0" fontId="32" fillId="3" borderId="18" xfId="0" applyFont="1" applyFill="1" applyBorder="1" applyAlignment="1">
      <alignment horizontal="center" vertical="top"/>
    </xf>
    <xf numFmtId="0" fontId="32" fillId="3" borderId="51" xfId="0" applyFont="1" applyFill="1" applyBorder="1" applyAlignment="1" applyProtection="1">
      <alignment horizontal="center" vertical="center" wrapText="1"/>
      <protection locked="0"/>
    </xf>
    <xf numFmtId="0" fontId="32" fillId="3" borderId="42" xfId="0" applyFont="1" applyFill="1" applyBorder="1" applyAlignment="1">
      <alignment horizontal="center" vertical="top"/>
    </xf>
    <xf numFmtId="0" fontId="32" fillId="9" borderId="42" xfId="0" applyFont="1" applyFill="1" applyBorder="1" applyAlignment="1">
      <alignment horizontal="center" vertical="top" wrapText="1"/>
    </xf>
    <xf numFmtId="0" fontId="36" fillId="11" borderId="25" xfId="0" applyFont="1" applyFill="1" applyBorder="1" applyAlignment="1">
      <alignment horizontal="center" vertical="center" wrapText="1"/>
    </xf>
    <xf numFmtId="0" fontId="36" fillId="11" borderId="26" xfId="0" applyFont="1" applyFill="1" applyBorder="1" applyAlignment="1">
      <alignment horizontal="center" vertical="center" wrapText="1"/>
    </xf>
    <xf numFmtId="0" fontId="36" fillId="11" borderId="26" xfId="0" applyFont="1" applyFill="1" applyBorder="1" applyAlignment="1">
      <alignment vertical="center"/>
    </xf>
    <xf numFmtId="0" fontId="32" fillId="10" borderId="4" xfId="0" applyFont="1" applyFill="1" applyBorder="1"/>
    <xf numFmtId="0" fontId="32" fillId="10" borderId="31" xfId="0" applyFont="1" applyFill="1" applyBorder="1"/>
    <xf numFmtId="0" fontId="32" fillId="10" borderId="3" xfId="0" applyFont="1" applyFill="1" applyBorder="1"/>
    <xf numFmtId="0" fontId="32" fillId="3" borderId="16" xfId="0" applyFont="1" applyFill="1" applyBorder="1" applyAlignment="1" applyProtection="1">
      <alignment horizontal="center" vertical="center" wrapText="1"/>
      <protection locked="0"/>
    </xf>
    <xf numFmtId="0" fontId="32" fillId="3" borderId="63" xfId="0" applyFont="1" applyFill="1" applyBorder="1" applyAlignment="1" applyProtection="1">
      <alignment horizontal="center" vertical="center" wrapText="1"/>
      <protection locked="0"/>
    </xf>
    <xf numFmtId="0" fontId="36" fillId="10" borderId="0" xfId="0" applyFont="1" applyFill="1" applyAlignment="1">
      <alignment wrapText="1"/>
    </xf>
    <xf numFmtId="0" fontId="36" fillId="11" borderId="69" xfId="0" applyFont="1" applyFill="1" applyBorder="1" applyAlignment="1">
      <alignment horizontal="center" vertical="center" wrapText="1"/>
    </xf>
    <xf numFmtId="0" fontId="36" fillId="11" borderId="75" xfId="0" applyFont="1" applyFill="1" applyBorder="1" applyAlignment="1">
      <alignment horizontal="center" vertical="center" wrapText="1"/>
    </xf>
    <xf numFmtId="0" fontId="36" fillId="11" borderId="42" xfId="0" applyFont="1" applyFill="1" applyBorder="1" applyAlignment="1">
      <alignment horizontal="center" vertical="center" wrapText="1"/>
    </xf>
    <xf numFmtId="0" fontId="32" fillId="9" borderId="31" xfId="0" applyFont="1" applyFill="1" applyBorder="1" applyAlignment="1">
      <alignment horizontal="center" vertical="top" wrapText="1"/>
    </xf>
    <xf numFmtId="0" fontId="36" fillId="11" borderId="60" xfId="0" applyFont="1" applyFill="1" applyBorder="1" applyAlignment="1">
      <alignment horizontal="center" vertical="center" wrapText="1"/>
    </xf>
    <xf numFmtId="0" fontId="36" fillId="5" borderId="30" xfId="0" applyFont="1" applyFill="1" applyBorder="1" applyAlignment="1">
      <alignment horizontal="center" vertical="center" wrapText="1"/>
    </xf>
    <xf numFmtId="0" fontId="36" fillId="5" borderId="35" xfId="0" applyFont="1" applyFill="1" applyBorder="1" applyAlignment="1">
      <alignment horizontal="center" vertical="center" wrapText="1"/>
    </xf>
    <xf numFmtId="0" fontId="36" fillId="11" borderId="47" xfId="0" applyFont="1" applyFill="1" applyBorder="1"/>
    <xf numFmtId="2" fontId="32" fillId="3" borderId="3" xfId="0" applyNumberFormat="1" applyFont="1" applyFill="1" applyBorder="1" applyAlignment="1" applyProtection="1">
      <alignment horizontal="center" vertical="center" wrapText="1"/>
      <protection locked="0"/>
    </xf>
    <xf numFmtId="0" fontId="14" fillId="10" borderId="0" xfId="0" applyFont="1" applyFill="1"/>
    <xf numFmtId="0" fontId="43" fillId="12" borderId="0" xfId="0" applyFont="1" applyFill="1" applyAlignment="1">
      <alignment vertical="center" wrapText="1"/>
    </xf>
    <xf numFmtId="0" fontId="14" fillId="12" borderId="0" xfId="0" applyFont="1" applyFill="1"/>
    <xf numFmtId="0" fontId="34" fillId="10" borderId="0" xfId="0" applyFont="1" applyFill="1" applyAlignment="1">
      <alignment vertical="center" wrapText="1"/>
    </xf>
    <xf numFmtId="0" fontId="14" fillId="12" borderId="34" xfId="0" applyFont="1" applyFill="1" applyBorder="1"/>
    <xf numFmtId="0" fontId="14" fillId="12" borderId="0" xfId="0" applyFont="1" applyFill="1" applyAlignment="1">
      <alignment vertical="center" wrapText="1"/>
    </xf>
    <xf numFmtId="0" fontId="36" fillId="5" borderId="25" xfId="0" applyFont="1" applyFill="1" applyBorder="1" applyAlignment="1" applyProtection="1">
      <alignment horizontal="center" vertical="center" wrapText="1"/>
      <protection locked="0"/>
    </xf>
    <xf numFmtId="0" fontId="36" fillId="5" borderId="26" xfId="0" applyFont="1" applyFill="1" applyBorder="1" applyAlignment="1" applyProtection="1">
      <alignment horizontal="center" vertical="center" wrapText="1"/>
      <protection locked="0"/>
    </xf>
    <xf numFmtId="0" fontId="36" fillId="7" borderId="25" xfId="0" applyFont="1" applyFill="1" applyBorder="1" applyAlignment="1">
      <alignment horizontal="center" vertical="center" wrapText="1"/>
    </xf>
    <xf numFmtId="0" fontId="36" fillId="7" borderId="2" xfId="0" applyFont="1" applyFill="1" applyBorder="1" applyAlignment="1">
      <alignment horizontal="center" vertical="center" wrapText="1"/>
    </xf>
    <xf numFmtId="0" fontId="36" fillId="7" borderId="42" xfId="0" applyFont="1" applyFill="1" applyBorder="1" applyAlignment="1">
      <alignment horizontal="center" vertical="center" wrapText="1"/>
    </xf>
    <xf numFmtId="0" fontId="36" fillId="7" borderId="26" xfId="0" applyFont="1" applyFill="1" applyBorder="1" applyAlignment="1">
      <alignment horizontal="center" vertical="center" wrapText="1"/>
    </xf>
    <xf numFmtId="0" fontId="32" fillId="3" borderId="72" xfId="0" applyFont="1" applyFill="1" applyBorder="1" applyAlignment="1" applyProtection="1">
      <alignment horizontal="center" vertical="center" wrapText="1"/>
      <protection locked="0"/>
    </xf>
    <xf numFmtId="0" fontId="32" fillId="3" borderId="69" xfId="0" applyFont="1" applyFill="1" applyBorder="1" applyAlignment="1" applyProtection="1">
      <alignment horizontal="center" vertical="center" wrapText="1"/>
      <protection locked="0"/>
    </xf>
    <xf numFmtId="0" fontId="36" fillId="5" borderId="72" xfId="0" applyFont="1" applyFill="1" applyBorder="1" applyAlignment="1">
      <alignment vertical="center" wrapText="1"/>
    </xf>
    <xf numFmtId="0" fontId="36" fillId="5" borderId="75" xfId="0" applyFont="1" applyFill="1" applyBorder="1" applyAlignment="1">
      <alignment vertical="center" wrapText="1"/>
    </xf>
    <xf numFmtId="0" fontId="36" fillId="5" borderId="69" xfId="0" applyFont="1" applyFill="1" applyBorder="1" applyAlignment="1">
      <alignment vertical="center" wrapText="1"/>
    </xf>
    <xf numFmtId="0" fontId="32" fillId="0" borderId="55" xfId="0" applyFont="1" applyBorder="1" applyAlignment="1" applyProtection="1">
      <alignment horizontal="center" vertical="center" wrapText="1"/>
      <protection locked="0"/>
    </xf>
    <xf numFmtId="0" fontId="32" fillId="3" borderId="55" xfId="0" applyFont="1" applyFill="1" applyBorder="1" applyAlignment="1" applyProtection="1">
      <alignment horizontal="center" vertical="center" wrapText="1"/>
      <protection locked="0"/>
    </xf>
    <xf numFmtId="0" fontId="32" fillId="3" borderId="40" xfId="0" applyFont="1" applyFill="1" applyBorder="1" applyAlignment="1" applyProtection="1">
      <alignment horizontal="center" vertical="center" wrapText="1"/>
      <protection locked="0"/>
    </xf>
    <xf numFmtId="0" fontId="32" fillId="3" borderId="44" xfId="0" applyFont="1" applyFill="1" applyBorder="1" applyAlignment="1" applyProtection="1">
      <alignment horizontal="center" vertical="center" wrapText="1"/>
      <protection locked="0"/>
    </xf>
    <xf numFmtId="0" fontId="32" fillId="0" borderId="2" xfId="0" applyFont="1" applyBorder="1" applyAlignment="1" applyProtection="1">
      <alignment wrapText="1"/>
      <protection locked="0"/>
    </xf>
    <xf numFmtId="0" fontId="32" fillId="3" borderId="45" xfId="0" applyFont="1" applyFill="1" applyBorder="1" applyAlignment="1" applyProtection="1">
      <alignment horizontal="center" vertical="center" wrapText="1"/>
      <protection locked="0"/>
    </xf>
    <xf numFmtId="0" fontId="36" fillId="5" borderId="49" xfId="0" applyFont="1" applyFill="1" applyBorder="1" applyAlignment="1">
      <alignment horizontal="center" vertical="center" wrapText="1"/>
    </xf>
    <xf numFmtId="0" fontId="32" fillId="3" borderId="3" xfId="0" applyFont="1" applyFill="1" applyBorder="1" applyAlignment="1" applyProtection="1">
      <alignment horizontal="center" vertical="center" wrapText="1"/>
      <protection locked="0"/>
    </xf>
    <xf numFmtId="0" fontId="32" fillId="0" borderId="72" xfId="0" applyFont="1" applyBorder="1" applyAlignment="1" applyProtection="1">
      <alignment wrapText="1"/>
      <protection locked="0"/>
    </xf>
    <xf numFmtId="0" fontId="32" fillId="0" borderId="75" xfId="0" applyFont="1" applyBorder="1" applyAlignment="1" applyProtection="1">
      <alignment wrapText="1"/>
      <protection locked="0"/>
    </xf>
    <xf numFmtId="0" fontId="32" fillId="3" borderId="57" xfId="0" applyFont="1" applyFill="1" applyBorder="1" applyAlignment="1" applyProtection="1">
      <alignment horizontal="center" vertical="center" wrapText="1"/>
      <protection locked="0"/>
    </xf>
    <xf numFmtId="0" fontId="32" fillId="0" borderId="44" xfId="0" applyFont="1" applyBorder="1" applyAlignment="1" applyProtection="1">
      <alignment horizontal="center" vertical="center" wrapText="1"/>
      <protection locked="0"/>
    </xf>
    <xf numFmtId="0" fontId="36" fillId="12" borderId="27" xfId="0" applyFont="1" applyFill="1" applyBorder="1"/>
    <xf numFmtId="0" fontId="36" fillId="12" borderId="27" xfId="0" applyFont="1" applyFill="1" applyBorder="1" applyAlignment="1">
      <alignment horizontal="center" wrapText="1"/>
    </xf>
    <xf numFmtId="0" fontId="32" fillId="0" borderId="41" xfId="0" applyFont="1" applyBorder="1" applyAlignment="1" applyProtection="1">
      <alignment wrapText="1"/>
      <protection locked="0"/>
    </xf>
    <xf numFmtId="0" fontId="32" fillId="10" borderId="27" xfId="0" applyFont="1" applyFill="1" applyBorder="1"/>
    <xf numFmtId="0" fontId="32" fillId="0" borderId="57" xfId="0" applyFont="1" applyBorder="1" applyAlignment="1">
      <alignment horizontal="center" vertical="center" wrapText="1"/>
    </xf>
    <xf numFmtId="0" fontId="36" fillId="0" borderId="41" xfId="0" applyFont="1" applyBorder="1" applyAlignment="1" applyProtection="1">
      <alignment horizontal="center" vertical="center" wrapText="1"/>
      <protection locked="0"/>
    </xf>
    <xf numFmtId="0" fontId="32" fillId="9" borderId="3" xfId="0" applyFont="1" applyFill="1" applyBorder="1" applyAlignment="1">
      <alignment horizontal="center" vertical="top" wrapText="1"/>
    </xf>
    <xf numFmtId="0" fontId="32" fillId="0" borderId="41" xfId="0" applyFont="1" applyBorder="1" applyAlignment="1" applyProtection="1">
      <alignment horizontal="center" vertical="center" wrapText="1"/>
      <protection locked="0"/>
    </xf>
    <xf numFmtId="0" fontId="32" fillId="0" borderId="43" xfId="0" applyFont="1" applyBorder="1" applyAlignment="1" applyProtection="1">
      <alignment wrapText="1"/>
      <protection locked="0"/>
    </xf>
    <xf numFmtId="0" fontId="36" fillId="12" borderId="27" xfId="0" applyFont="1" applyFill="1" applyBorder="1" applyAlignment="1">
      <alignment wrapText="1"/>
    </xf>
    <xf numFmtId="0" fontId="32" fillId="12" borderId="81" xfId="0" applyFont="1" applyFill="1" applyBorder="1" applyAlignment="1">
      <alignment horizontal="center" vertical="center" wrapText="1"/>
    </xf>
    <xf numFmtId="0" fontId="36" fillId="3" borderId="41" xfId="0" applyFont="1" applyFill="1" applyBorder="1" applyAlignment="1" applyProtection="1">
      <alignment horizontal="center" vertical="center" wrapText="1"/>
      <protection locked="0"/>
    </xf>
    <xf numFmtId="0" fontId="36" fillId="3" borderId="43" xfId="0" applyFont="1" applyFill="1" applyBorder="1" applyAlignment="1" applyProtection="1">
      <alignment horizontal="center" vertical="center" wrapText="1"/>
      <protection locked="0"/>
    </xf>
    <xf numFmtId="0" fontId="32" fillId="12" borderId="41" xfId="0" applyFont="1" applyFill="1" applyBorder="1" applyAlignment="1">
      <alignment horizontal="center" vertical="center" wrapText="1"/>
    </xf>
    <xf numFmtId="0" fontId="32" fillId="3" borderId="65" xfId="0" applyFont="1" applyFill="1" applyBorder="1" applyAlignment="1" applyProtection="1">
      <alignment wrapText="1"/>
      <protection locked="0"/>
    </xf>
    <xf numFmtId="0" fontId="32" fillId="3" borderId="43" xfId="0" applyFont="1" applyFill="1" applyBorder="1" applyAlignment="1" applyProtection="1">
      <alignment wrapText="1"/>
      <protection locked="0"/>
    </xf>
    <xf numFmtId="0" fontId="36" fillId="12" borderId="56" xfId="0" applyFont="1" applyFill="1" applyBorder="1" applyAlignment="1">
      <alignment horizontal="center" vertical="center" wrapText="1"/>
    </xf>
    <xf numFmtId="0" fontId="36" fillId="12" borderId="56" xfId="0" applyFont="1" applyFill="1" applyBorder="1" applyAlignment="1">
      <alignment vertical="center" wrapText="1"/>
    </xf>
    <xf numFmtId="0" fontId="36" fillId="10" borderId="56" xfId="0" applyFont="1" applyFill="1" applyBorder="1" applyAlignment="1">
      <alignment horizontal="center" vertical="center" wrapText="1"/>
    </xf>
    <xf numFmtId="0" fontId="27" fillId="12" borderId="0" xfId="0" applyFont="1" applyFill="1" applyAlignment="1">
      <alignment vertical="center"/>
    </xf>
    <xf numFmtId="0" fontId="14" fillId="10" borderId="0" xfId="0" applyFont="1" applyFill="1" applyAlignment="1">
      <alignment vertical="center" wrapText="1"/>
    </xf>
    <xf numFmtId="0" fontId="14" fillId="12" borderId="0" xfId="0" applyFont="1" applyFill="1" applyAlignment="1">
      <alignment wrapText="1"/>
    </xf>
    <xf numFmtId="0" fontId="32" fillId="3" borderId="8" xfId="0" applyFont="1" applyFill="1" applyBorder="1" applyAlignment="1" applyProtection="1">
      <alignment horizontal="center" vertical="center" wrapText="1"/>
      <protection locked="0"/>
    </xf>
    <xf numFmtId="0" fontId="32" fillId="12" borderId="33" xfId="0" applyFont="1" applyFill="1" applyBorder="1"/>
    <xf numFmtId="0" fontId="36" fillId="5" borderId="60" xfId="0" applyFont="1" applyFill="1" applyBorder="1" applyAlignment="1">
      <alignment horizontal="center" vertical="center" wrapText="1"/>
    </xf>
    <xf numFmtId="0" fontId="32" fillId="0" borderId="8" xfId="0" applyFont="1" applyBorder="1" applyAlignment="1" applyProtection="1">
      <alignment horizontal="center" vertical="center" wrapText="1"/>
      <protection locked="0"/>
    </xf>
    <xf numFmtId="0" fontId="0" fillId="12" borderId="0" xfId="0" applyFill="1" applyAlignment="1">
      <alignment vertical="center"/>
    </xf>
    <xf numFmtId="0" fontId="23" fillId="12" borderId="0" xfId="0" applyFont="1" applyFill="1" applyAlignment="1">
      <alignment horizontal="center" vertical="center" wrapText="1"/>
    </xf>
    <xf numFmtId="0" fontId="24" fillId="12" borderId="0" xfId="0" applyFont="1" applyFill="1" applyAlignment="1">
      <alignment horizontal="center" vertical="center" wrapText="1"/>
    </xf>
    <xf numFmtId="2" fontId="14" fillId="12" borderId="0" xfId="0" applyNumberFormat="1" applyFont="1" applyFill="1" applyAlignment="1">
      <alignment horizontal="center" vertical="center" wrapText="1"/>
    </xf>
    <xf numFmtId="10" fontId="10" fillId="12" borderId="0" xfId="0" applyNumberFormat="1" applyFont="1" applyFill="1"/>
    <xf numFmtId="0" fontId="36" fillId="10" borderId="0" xfId="0" applyFont="1" applyFill="1" applyAlignment="1">
      <alignment horizontal="right"/>
    </xf>
    <xf numFmtId="0" fontId="32" fillId="0" borderId="42" xfId="0" applyFont="1" applyBorder="1" applyAlignment="1" applyProtection="1">
      <alignment horizontal="center" vertical="center"/>
      <protection locked="0"/>
    </xf>
    <xf numFmtId="0" fontId="32" fillId="3" borderId="42" xfId="0" applyFont="1" applyFill="1" applyBorder="1" applyAlignment="1" applyProtection="1">
      <alignment horizontal="center" vertical="center"/>
      <protection locked="0"/>
    </xf>
    <xf numFmtId="0" fontId="32" fillId="0" borderId="5" xfId="0" applyFont="1" applyBorder="1" applyAlignment="1" applyProtection="1">
      <alignment horizontal="center" vertical="center"/>
      <protection locked="0"/>
    </xf>
    <xf numFmtId="0" fontId="32" fillId="3" borderId="5" xfId="0" applyFont="1" applyFill="1" applyBorder="1" applyAlignment="1" applyProtection="1">
      <alignment horizontal="center" vertical="center"/>
      <protection locked="0"/>
    </xf>
    <xf numFmtId="0" fontId="32" fillId="3" borderId="18" xfId="0" applyFont="1" applyFill="1" applyBorder="1" applyAlignment="1" applyProtection="1">
      <alignment horizontal="center" vertical="center"/>
      <protection locked="0"/>
    </xf>
    <xf numFmtId="0" fontId="34" fillId="5" borderId="54" xfId="0" applyFont="1" applyFill="1" applyBorder="1"/>
    <xf numFmtId="2" fontId="20" fillId="22" borderId="42" xfId="0" applyNumberFormat="1" applyFont="1" applyFill="1" applyBorder="1" applyAlignment="1">
      <alignment horizontal="center" vertical="center"/>
    </xf>
    <xf numFmtId="2" fontId="20" fillId="22" borderId="26" xfId="0" applyNumberFormat="1" applyFont="1" applyFill="1" applyBorder="1" applyAlignment="1">
      <alignment horizontal="center" vertical="center"/>
    </xf>
    <xf numFmtId="2" fontId="20" fillId="22" borderId="5" xfId="0" applyNumberFormat="1" applyFont="1" applyFill="1" applyBorder="1" applyAlignment="1">
      <alignment horizontal="center" vertical="center"/>
    </xf>
    <xf numFmtId="2" fontId="20" fillId="22" borderId="21" xfId="0" applyNumberFormat="1" applyFont="1" applyFill="1" applyBorder="1" applyAlignment="1">
      <alignment horizontal="center" vertical="center"/>
    </xf>
    <xf numFmtId="2" fontId="20" fillId="22" borderId="52" xfId="0" applyNumberFormat="1" applyFont="1" applyFill="1" applyBorder="1" applyAlignment="1">
      <alignment horizontal="center" vertical="center"/>
    </xf>
    <xf numFmtId="2" fontId="20" fillId="22" borderId="18" xfId="0" applyNumberFormat="1" applyFont="1" applyFill="1" applyBorder="1" applyAlignment="1">
      <alignment horizontal="center" vertical="center"/>
    </xf>
    <xf numFmtId="2" fontId="20" fillId="22" borderId="22" xfId="0" applyNumberFormat="1" applyFont="1" applyFill="1" applyBorder="1" applyAlignment="1">
      <alignment horizontal="center" vertical="center"/>
    </xf>
    <xf numFmtId="164" fontId="20" fillId="22" borderId="42" xfId="0" applyNumberFormat="1" applyFont="1" applyFill="1" applyBorder="1" applyAlignment="1">
      <alignment horizontal="center" vertical="center"/>
    </xf>
    <xf numFmtId="2" fontId="36" fillId="22" borderId="13" xfId="0" applyNumberFormat="1" applyFont="1" applyFill="1" applyBorder="1"/>
    <xf numFmtId="2" fontId="36" fillId="22" borderId="18" xfId="0" applyNumberFormat="1" applyFont="1" applyFill="1" applyBorder="1"/>
    <xf numFmtId="2" fontId="36" fillId="22" borderId="22" xfId="0" applyNumberFormat="1" applyFont="1" applyFill="1" applyBorder="1"/>
    <xf numFmtId="2" fontId="36" fillId="22" borderId="64" xfId="0" applyNumberFormat="1" applyFont="1" applyFill="1" applyBorder="1"/>
    <xf numFmtId="2" fontId="36" fillId="22" borderId="8" xfId="0" applyNumberFormat="1" applyFont="1" applyFill="1" applyBorder="1"/>
    <xf numFmtId="2" fontId="36" fillId="22" borderId="52" xfId="0" applyNumberFormat="1" applyFont="1" applyFill="1" applyBorder="1" applyAlignment="1">
      <alignment horizontal="center" vertical="center" wrapText="1"/>
    </xf>
    <xf numFmtId="2" fontId="36" fillId="22" borderId="38" xfId="0" applyNumberFormat="1" applyFont="1" applyFill="1" applyBorder="1" applyAlignment="1">
      <alignment horizontal="center" vertical="center"/>
    </xf>
    <xf numFmtId="2" fontId="32" fillId="22" borderId="30" xfId="0" applyNumberFormat="1" applyFont="1" applyFill="1" applyBorder="1" applyAlignment="1">
      <alignment horizontal="center" vertical="center" wrapText="1"/>
    </xf>
    <xf numFmtId="2" fontId="32" fillId="23" borderId="5" xfId="0" applyNumberFormat="1" applyFont="1" applyFill="1" applyBorder="1" applyAlignment="1">
      <alignment horizontal="center" vertical="center"/>
    </xf>
    <xf numFmtId="2" fontId="32" fillId="23" borderId="21" xfId="0" applyNumberFormat="1" applyFont="1" applyFill="1" applyBorder="1" applyAlignment="1">
      <alignment horizontal="center" vertical="center"/>
    </xf>
    <xf numFmtId="2" fontId="32" fillId="23" borderId="37" xfId="0" applyNumberFormat="1" applyFont="1" applyFill="1" applyBorder="1" applyAlignment="1">
      <alignment horizontal="center" vertical="center" wrapText="1"/>
    </xf>
    <xf numFmtId="2" fontId="32" fillId="23" borderId="42" xfId="0" applyNumberFormat="1" applyFont="1" applyFill="1" applyBorder="1" applyAlignment="1">
      <alignment horizontal="center" vertical="center"/>
    </xf>
    <xf numFmtId="2" fontId="32" fillId="23" borderId="26" xfId="0" applyNumberFormat="1" applyFont="1" applyFill="1" applyBorder="1" applyAlignment="1">
      <alignment horizontal="center" vertical="center"/>
    </xf>
    <xf numFmtId="2" fontId="32" fillId="23" borderId="19" xfId="0" applyNumberFormat="1" applyFont="1" applyFill="1" applyBorder="1" applyAlignment="1">
      <alignment horizontal="center" vertical="center" wrapText="1"/>
    </xf>
    <xf numFmtId="2" fontId="32" fillId="23" borderId="22" xfId="0" applyNumberFormat="1" applyFont="1" applyFill="1" applyBorder="1" applyAlignment="1">
      <alignment horizontal="center" vertical="center" wrapText="1"/>
    </xf>
    <xf numFmtId="2" fontId="32" fillId="23" borderId="19" xfId="0" applyNumberFormat="1" applyFont="1" applyFill="1" applyBorder="1" applyAlignment="1">
      <alignment horizontal="center" vertical="center"/>
    </xf>
    <xf numFmtId="2" fontId="32" fillId="23" borderId="21" xfId="0" applyNumberFormat="1" applyFont="1" applyFill="1" applyBorder="1" applyAlignment="1">
      <alignment horizontal="center" vertical="center" wrapText="1"/>
    </xf>
    <xf numFmtId="2" fontId="32" fillId="23" borderId="17" xfId="0" applyNumberFormat="1" applyFont="1" applyFill="1" applyBorder="1" applyAlignment="1">
      <alignment horizontal="center" vertical="center"/>
    </xf>
    <xf numFmtId="2" fontId="32" fillId="23" borderId="18" xfId="0" applyNumberFormat="1" applyFont="1" applyFill="1" applyBorder="1" applyAlignment="1">
      <alignment horizontal="center" vertical="center"/>
    </xf>
    <xf numFmtId="2" fontId="32" fillId="23" borderId="10" xfId="0" applyNumberFormat="1" applyFont="1" applyFill="1" applyBorder="1" applyAlignment="1">
      <alignment horizontal="center" vertical="center"/>
    </xf>
    <xf numFmtId="2" fontId="32" fillId="23" borderId="11" xfId="0" applyNumberFormat="1" applyFont="1" applyFill="1" applyBorder="1" applyAlignment="1">
      <alignment horizontal="center" vertical="center"/>
    </xf>
    <xf numFmtId="2" fontId="32" fillId="23" borderId="5" xfId="0" applyNumberFormat="1" applyFont="1" applyFill="1" applyBorder="1"/>
    <xf numFmtId="2" fontId="32" fillId="23" borderId="66" xfId="0" applyNumberFormat="1" applyFont="1" applyFill="1" applyBorder="1"/>
    <xf numFmtId="2" fontId="32" fillId="23" borderId="66" xfId="0" applyNumberFormat="1" applyFont="1" applyFill="1" applyBorder="1" applyAlignment="1">
      <alignment horizontal="center" vertical="center"/>
    </xf>
    <xf numFmtId="2" fontId="32" fillId="23" borderId="18" xfId="0" applyNumberFormat="1" applyFont="1" applyFill="1" applyBorder="1"/>
    <xf numFmtId="0" fontId="32" fillId="23" borderId="25" xfId="0" applyFont="1" applyFill="1" applyBorder="1" applyAlignment="1">
      <alignment horizontal="center" vertical="center" wrapText="1"/>
    </xf>
    <xf numFmtId="0" fontId="32" fillId="23" borderId="26" xfId="0" applyFont="1" applyFill="1" applyBorder="1" applyAlignment="1">
      <alignment horizontal="center" vertical="center" wrapText="1"/>
    </xf>
    <xf numFmtId="0" fontId="32" fillId="23" borderId="13" xfId="0" applyFont="1" applyFill="1" applyBorder="1" applyAlignment="1">
      <alignment horizontal="center" vertical="center" wrapText="1"/>
    </xf>
    <xf numFmtId="0" fontId="32" fillId="23" borderId="22" xfId="0" applyFont="1" applyFill="1" applyBorder="1" applyAlignment="1">
      <alignment horizontal="center" vertical="center" wrapText="1"/>
    </xf>
    <xf numFmtId="0" fontId="36" fillId="23" borderId="54" xfId="0" applyFont="1" applyFill="1" applyBorder="1" applyAlignment="1">
      <alignment horizontal="right"/>
    </xf>
    <xf numFmtId="2" fontId="36" fillId="22" borderId="54" xfId="0" applyNumberFormat="1" applyFont="1" applyFill="1" applyBorder="1" applyAlignment="1">
      <alignment horizontal="center" vertical="center" wrapText="1"/>
    </xf>
    <xf numFmtId="0" fontId="32" fillId="23" borderId="17" xfId="0" applyFont="1" applyFill="1" applyBorder="1" applyAlignment="1">
      <alignment horizontal="center" vertical="center" wrapText="1"/>
    </xf>
    <xf numFmtId="0" fontId="32" fillId="23" borderId="67" xfId="0" applyFont="1" applyFill="1" applyBorder="1" applyAlignment="1">
      <alignment horizontal="center" vertical="center" wrapText="1"/>
    </xf>
    <xf numFmtId="0" fontId="32" fillId="23" borderId="44" xfId="0" applyFont="1" applyFill="1" applyBorder="1" applyAlignment="1">
      <alignment horizontal="center" vertical="center" wrapText="1"/>
    </xf>
    <xf numFmtId="0" fontId="32" fillId="23" borderId="42" xfId="0" applyFont="1" applyFill="1" applyBorder="1" applyAlignment="1">
      <alignment horizontal="center" vertical="center" wrapText="1"/>
    </xf>
    <xf numFmtId="0" fontId="32" fillId="23" borderId="18" xfId="0" applyFont="1" applyFill="1" applyBorder="1" applyAlignment="1">
      <alignment horizontal="center" vertical="center" wrapText="1"/>
    </xf>
    <xf numFmtId="0" fontId="32" fillId="23" borderId="64" xfId="0" applyFont="1" applyFill="1" applyBorder="1" applyAlignment="1">
      <alignment horizontal="center" vertical="center" wrapText="1"/>
    </xf>
    <xf numFmtId="0" fontId="32" fillId="23" borderId="45" xfId="0" applyFont="1" applyFill="1" applyBorder="1" applyAlignment="1">
      <alignment horizontal="center" vertical="center" wrapText="1"/>
    </xf>
    <xf numFmtId="2" fontId="32" fillId="23" borderId="42" xfId="0" applyNumberFormat="1" applyFont="1" applyFill="1" applyBorder="1" applyAlignment="1">
      <alignment horizontal="center" vertical="center" wrapText="1"/>
    </xf>
    <xf numFmtId="2" fontId="32" fillId="23" borderId="18" xfId="0" applyNumberFormat="1" applyFont="1" applyFill="1" applyBorder="1" applyAlignment="1">
      <alignment horizontal="center" vertical="center" wrapText="1"/>
    </xf>
    <xf numFmtId="2" fontId="32" fillId="22" borderId="49" xfId="0" applyNumberFormat="1" applyFont="1" applyFill="1" applyBorder="1" applyAlignment="1">
      <alignment horizontal="center" vertical="center" wrapText="1"/>
    </xf>
    <xf numFmtId="2" fontId="36" fillId="22" borderId="11" xfId="0" applyNumberFormat="1" applyFont="1" applyFill="1" applyBorder="1" applyAlignment="1">
      <alignment horizontal="center" vertical="center"/>
    </xf>
    <xf numFmtId="2" fontId="32" fillId="22" borderId="42" xfId="0" applyNumberFormat="1" applyFont="1" applyFill="1" applyBorder="1" applyAlignment="1">
      <alignment horizontal="center" vertical="center" wrapText="1"/>
    </xf>
    <xf numFmtId="2" fontId="32" fillId="22" borderId="51" xfId="0" applyNumberFormat="1" applyFont="1" applyFill="1" applyBorder="1" applyAlignment="1">
      <alignment horizontal="center" vertical="center" wrapText="1"/>
    </xf>
    <xf numFmtId="2" fontId="36" fillId="22" borderId="9" xfId="0" applyNumberFormat="1" applyFont="1" applyFill="1" applyBorder="1" applyAlignment="1">
      <alignment horizontal="center" vertical="center"/>
    </xf>
    <xf numFmtId="2" fontId="36" fillId="22" borderId="10" xfId="0" applyNumberFormat="1" applyFont="1" applyFill="1" applyBorder="1" applyAlignment="1">
      <alignment horizontal="center" vertical="center"/>
    </xf>
    <xf numFmtId="2" fontId="36" fillId="22" borderId="11" xfId="0" applyNumberFormat="1" applyFont="1" applyFill="1" applyBorder="1" applyAlignment="1">
      <alignment horizontal="center" vertical="center" wrapText="1"/>
    </xf>
    <xf numFmtId="0" fontId="32" fillId="23" borderId="5" xfId="0" applyFont="1" applyFill="1" applyBorder="1" applyAlignment="1">
      <alignment horizontal="center" vertical="center" wrapText="1"/>
    </xf>
    <xf numFmtId="0" fontId="32" fillId="23" borderId="42" xfId="0" applyFont="1" applyFill="1" applyBorder="1" applyAlignment="1">
      <alignment horizontal="center" vertical="center"/>
    </xf>
    <xf numFmtId="165" fontId="32" fillId="23" borderId="26" xfId="0" applyNumberFormat="1" applyFont="1" applyFill="1" applyBorder="1" applyAlignment="1">
      <alignment horizontal="center" vertical="center" wrapText="1"/>
    </xf>
    <xf numFmtId="0" fontId="32" fillId="23" borderId="6" xfId="0" applyFont="1" applyFill="1" applyBorder="1" applyAlignment="1">
      <alignment horizontal="center" vertical="center" wrapText="1"/>
    </xf>
    <xf numFmtId="0" fontId="32" fillId="23" borderId="21" xfId="0" applyFont="1" applyFill="1" applyBorder="1" applyAlignment="1">
      <alignment horizontal="center" vertical="center" wrapText="1"/>
    </xf>
    <xf numFmtId="165" fontId="32" fillId="23" borderId="21" xfId="0" applyNumberFormat="1" applyFont="1" applyFill="1" applyBorder="1" applyAlignment="1">
      <alignment horizontal="center" vertical="center" wrapText="1"/>
    </xf>
    <xf numFmtId="0" fontId="32" fillId="23" borderId="18" xfId="0" applyFont="1" applyFill="1" applyBorder="1" applyAlignment="1">
      <alignment horizontal="center" vertical="center"/>
    </xf>
    <xf numFmtId="165" fontId="32" fillId="23" borderId="22" xfId="0" applyNumberFormat="1" applyFont="1" applyFill="1" applyBorder="1" applyAlignment="1">
      <alignment horizontal="center" vertical="center" wrapText="1"/>
    </xf>
    <xf numFmtId="0" fontId="32" fillId="23" borderId="58" xfId="0" applyFont="1" applyFill="1" applyBorder="1" applyAlignment="1">
      <alignment horizontal="center" vertical="center" wrapText="1"/>
    </xf>
    <xf numFmtId="2" fontId="32" fillId="22" borderId="67" xfId="0" applyNumberFormat="1" applyFont="1" applyFill="1" applyBorder="1" applyAlignment="1">
      <alignment horizontal="center" vertical="center" wrapText="1"/>
    </xf>
    <xf numFmtId="2" fontId="32" fillId="22" borderId="64" xfId="0" applyNumberFormat="1" applyFont="1" applyFill="1" applyBorder="1" applyAlignment="1">
      <alignment horizontal="center" vertical="center" wrapText="1"/>
    </xf>
    <xf numFmtId="0" fontId="40" fillId="23" borderId="12" xfId="9" applyFont="1" applyFill="1" applyBorder="1" applyAlignment="1">
      <alignment horizontal="center" vertical="center"/>
    </xf>
    <xf numFmtId="2" fontId="32" fillId="23" borderId="5" xfId="0" applyNumberFormat="1" applyFont="1" applyFill="1" applyBorder="1" applyAlignment="1">
      <alignment horizontal="center" vertical="center" wrapText="1"/>
    </xf>
    <xf numFmtId="0" fontId="40" fillId="23" borderId="41" xfId="9" applyFont="1" applyFill="1" applyBorder="1" applyAlignment="1">
      <alignment horizontal="center" vertical="center"/>
    </xf>
    <xf numFmtId="0" fontId="32" fillId="23" borderId="66" xfId="0" applyFont="1" applyFill="1" applyBorder="1" applyAlignment="1">
      <alignment horizontal="center" vertical="center" wrapText="1"/>
    </xf>
    <xf numFmtId="2" fontId="32" fillId="23" borderId="66" xfId="0" applyNumberFormat="1" applyFont="1" applyFill="1" applyBorder="1" applyAlignment="1">
      <alignment horizontal="center" vertical="center" wrapText="1"/>
    </xf>
    <xf numFmtId="0" fontId="32" fillId="23" borderId="43" xfId="0" applyFont="1" applyFill="1" applyBorder="1" applyAlignment="1">
      <alignment horizontal="center" vertical="center" wrapText="1"/>
    </xf>
    <xf numFmtId="0" fontId="32" fillId="23" borderId="12" xfId="0" applyFont="1" applyFill="1" applyBorder="1" applyAlignment="1">
      <alignment horizontal="center" vertical="center" wrapText="1"/>
    </xf>
    <xf numFmtId="0" fontId="32" fillId="23" borderId="41" xfId="0" applyFont="1" applyFill="1" applyBorder="1" applyAlignment="1">
      <alignment horizontal="center" vertical="center" wrapText="1"/>
    </xf>
    <xf numFmtId="0" fontId="32" fillId="23" borderId="2" xfId="0" applyFont="1" applyFill="1" applyBorder="1" applyAlignment="1">
      <alignment horizontal="center" vertical="center"/>
    </xf>
    <xf numFmtId="0" fontId="32" fillId="23" borderId="60" xfId="0" applyFont="1" applyFill="1" applyBorder="1" applyAlignment="1">
      <alignment horizontal="center" vertical="center" wrapText="1"/>
    </xf>
    <xf numFmtId="165" fontId="32" fillId="23" borderId="43" xfId="0" applyNumberFormat="1" applyFont="1" applyFill="1" applyBorder="1" applyAlignment="1">
      <alignment horizontal="center" vertical="center" wrapText="1"/>
    </xf>
    <xf numFmtId="2" fontId="32" fillId="22" borderId="81" xfId="0" applyNumberFormat="1" applyFont="1" applyFill="1" applyBorder="1" applyAlignment="1">
      <alignment horizontal="center" vertical="center" wrapText="1"/>
    </xf>
    <xf numFmtId="2" fontId="36" fillId="22" borderId="38" xfId="0" applyNumberFormat="1" applyFont="1" applyFill="1" applyBorder="1" applyAlignment="1">
      <alignment horizontal="center" vertical="center" wrapText="1"/>
    </xf>
    <xf numFmtId="0" fontId="32" fillId="23" borderId="5" xfId="0" applyFont="1" applyFill="1" applyBorder="1" applyAlignment="1">
      <alignment horizontal="center" vertical="center"/>
    </xf>
    <xf numFmtId="2" fontId="32" fillId="22" borderId="26" xfId="0" applyNumberFormat="1" applyFont="1" applyFill="1" applyBorder="1" applyAlignment="1">
      <alignment horizontal="center" vertical="center" wrapText="1"/>
    </xf>
    <xf numFmtId="2" fontId="32" fillId="22" borderId="22" xfId="0" applyNumberFormat="1" applyFont="1" applyFill="1" applyBorder="1" applyAlignment="1">
      <alignment horizontal="center" vertical="center" wrapText="1"/>
    </xf>
    <xf numFmtId="0" fontId="40" fillId="23" borderId="12" xfId="9" applyFont="1" applyFill="1" applyBorder="1" applyAlignment="1">
      <alignment horizontal="center" vertical="center" wrapText="1"/>
    </xf>
    <xf numFmtId="0" fontId="40" fillId="23" borderId="41" xfId="9" applyFont="1" applyFill="1" applyBorder="1" applyAlignment="1">
      <alignment horizontal="center" vertical="center" wrapText="1"/>
    </xf>
    <xf numFmtId="0" fontId="32" fillId="23" borderId="65" xfId="0" applyFont="1" applyFill="1" applyBorder="1" applyAlignment="1">
      <alignment horizontal="center" vertical="center" wrapText="1"/>
    </xf>
    <xf numFmtId="2" fontId="36" fillId="22" borderId="54" xfId="0" applyNumberFormat="1" applyFont="1" applyFill="1" applyBorder="1"/>
    <xf numFmtId="2" fontId="32" fillId="22" borderId="53" xfId="0" applyNumberFormat="1" applyFont="1" applyFill="1" applyBorder="1" applyAlignment="1">
      <alignment horizontal="center" vertical="center" wrapText="1"/>
    </xf>
    <xf numFmtId="2" fontId="36" fillId="22" borderId="54" xfId="0" applyNumberFormat="1" applyFont="1" applyFill="1" applyBorder="1" applyAlignment="1">
      <alignment horizontal="center" vertical="center"/>
    </xf>
    <xf numFmtId="0" fontId="32" fillId="23" borderId="2" xfId="0" applyFont="1" applyFill="1" applyBorder="1" applyAlignment="1">
      <alignment horizontal="center" vertical="center" wrapText="1"/>
    </xf>
    <xf numFmtId="2" fontId="36" fillId="22" borderId="59" xfId="0" applyNumberFormat="1" applyFont="1" applyFill="1" applyBorder="1" applyAlignment="1">
      <alignment horizontal="center" vertical="center" wrapText="1"/>
    </xf>
    <xf numFmtId="2" fontId="32" fillId="22" borderId="40" xfId="0" applyNumberFormat="1" applyFont="1" applyFill="1" applyBorder="1" applyAlignment="1">
      <alignment horizontal="center" vertical="center" wrapText="1"/>
    </xf>
    <xf numFmtId="2" fontId="36" fillId="22" borderId="30" xfId="0" applyNumberFormat="1" applyFont="1" applyFill="1" applyBorder="1" applyAlignment="1">
      <alignment horizontal="center" vertical="center" wrapText="1"/>
    </xf>
    <xf numFmtId="2" fontId="32" fillId="22" borderId="21" xfId="0" applyNumberFormat="1" applyFont="1" applyFill="1" applyBorder="1" applyAlignment="1">
      <alignment horizontal="center" vertical="center" wrapText="1"/>
    </xf>
    <xf numFmtId="0" fontId="40" fillId="23" borderId="13" xfId="9" applyFont="1" applyFill="1" applyBorder="1" applyAlignment="1">
      <alignment horizontal="center" vertical="center"/>
    </xf>
    <xf numFmtId="0" fontId="32" fillId="23" borderId="4" xfId="0" applyFont="1" applyFill="1" applyBorder="1" applyAlignment="1">
      <alignment horizontal="center" vertical="center" wrapText="1"/>
    </xf>
    <xf numFmtId="0" fontId="32" fillId="23" borderId="32" xfId="0" applyFont="1" applyFill="1" applyBorder="1" applyAlignment="1">
      <alignment horizontal="center" vertical="center" wrapText="1"/>
    </xf>
    <xf numFmtId="166" fontId="21" fillId="22" borderId="5" xfId="0" applyNumberFormat="1" applyFont="1" applyFill="1" applyBorder="1" applyAlignment="1">
      <alignment horizontal="center" vertical="center" wrapText="1"/>
    </xf>
    <xf numFmtId="166" fontId="22" fillId="23" borderId="5" xfId="0" applyNumberFormat="1" applyFont="1" applyFill="1" applyBorder="1" applyAlignment="1">
      <alignment horizontal="center" vertical="center" wrapText="1"/>
    </xf>
    <xf numFmtId="2" fontId="36" fillId="22" borderId="24" xfId="0" applyNumberFormat="1" applyFont="1" applyFill="1" applyBorder="1" applyAlignment="1">
      <alignment horizontal="center" vertical="center" wrapText="1"/>
    </xf>
    <xf numFmtId="165" fontId="32" fillId="23" borderId="42" xfId="0" applyNumberFormat="1" applyFont="1" applyFill="1" applyBorder="1" applyAlignment="1">
      <alignment horizontal="center" vertical="center" wrapText="1"/>
    </xf>
    <xf numFmtId="2" fontId="32" fillId="23" borderId="26" xfId="0" applyNumberFormat="1" applyFont="1" applyFill="1" applyBorder="1" applyAlignment="1">
      <alignment horizontal="center" vertical="center" wrapText="1"/>
    </xf>
    <xf numFmtId="2" fontId="36" fillId="22" borderId="80" xfId="0" applyNumberFormat="1" applyFont="1" applyFill="1" applyBorder="1" applyAlignment="1">
      <alignment horizontal="center" vertical="center" wrapText="1"/>
    </xf>
    <xf numFmtId="0" fontId="32" fillId="23" borderId="49" xfId="0" applyFont="1" applyFill="1" applyBorder="1" applyAlignment="1">
      <alignment horizontal="center" vertical="center" wrapText="1"/>
    </xf>
    <xf numFmtId="0" fontId="32" fillId="23" borderId="40" xfId="0" applyFont="1" applyFill="1" applyBorder="1" applyAlignment="1">
      <alignment horizontal="center" vertical="center" wrapText="1"/>
    </xf>
    <xf numFmtId="2" fontId="32" fillId="22" borderId="54" xfId="0" applyNumberFormat="1" applyFont="1" applyFill="1" applyBorder="1" applyAlignment="1">
      <alignment horizontal="center" vertical="center" wrapText="1"/>
    </xf>
    <xf numFmtId="0" fontId="32" fillId="23" borderId="57" xfId="0" applyFont="1" applyFill="1" applyBorder="1" applyAlignment="1">
      <alignment horizontal="center" vertical="center" wrapText="1"/>
    </xf>
    <xf numFmtId="0" fontId="32" fillId="23" borderId="5" xfId="0" applyFont="1" applyFill="1" applyBorder="1" applyAlignment="1">
      <alignment horizontal="center"/>
    </xf>
    <xf numFmtId="0" fontId="36" fillId="23" borderId="5" xfId="0" applyFont="1" applyFill="1" applyBorder="1" applyAlignment="1">
      <alignment horizontal="center" vertical="center"/>
    </xf>
    <xf numFmtId="0" fontId="32" fillId="23" borderId="5" xfId="0" applyFont="1" applyFill="1" applyBorder="1" applyAlignment="1">
      <alignment horizontal="center" vertical="top" wrapText="1"/>
    </xf>
    <xf numFmtId="0" fontId="32" fillId="23" borderId="5" xfId="0" applyFont="1" applyFill="1" applyBorder="1" applyAlignment="1">
      <alignment horizontal="center" vertical="top"/>
    </xf>
    <xf numFmtId="0" fontId="36" fillId="23" borderId="18" xfId="0" applyFont="1" applyFill="1" applyBorder="1" applyAlignment="1">
      <alignment horizontal="center" vertical="center"/>
    </xf>
    <xf numFmtId="0" fontId="36" fillId="23" borderId="42" xfId="0" applyFont="1" applyFill="1" applyBorder="1" applyAlignment="1">
      <alignment horizontal="center" vertical="center"/>
    </xf>
    <xf numFmtId="0" fontId="42" fillId="23" borderId="5" xfId="0" applyFont="1" applyFill="1" applyBorder="1" applyAlignment="1">
      <alignment horizontal="center" vertical="center"/>
    </xf>
    <xf numFmtId="0" fontId="32" fillId="23" borderId="18" xfId="0" applyFont="1" applyFill="1" applyBorder="1" applyAlignment="1">
      <alignment horizontal="center"/>
    </xf>
    <xf numFmtId="0" fontId="40" fillId="23" borderId="18" xfId="0" applyFont="1" applyFill="1" applyBorder="1" applyAlignment="1">
      <alignment horizontal="center" vertical="center"/>
    </xf>
    <xf numFmtId="0" fontId="32" fillId="23" borderId="10" xfId="0" applyFont="1" applyFill="1" applyBorder="1" applyAlignment="1">
      <alignment horizontal="center"/>
    </xf>
    <xf numFmtId="0" fontId="32" fillId="23" borderId="10" xfId="0" applyFont="1" applyFill="1" applyBorder="1"/>
    <xf numFmtId="0" fontId="32" fillId="23" borderId="10" xfId="0" applyFont="1" applyFill="1" applyBorder="1" applyAlignment="1">
      <alignment horizontal="center" vertical="center"/>
    </xf>
    <xf numFmtId="0" fontId="32" fillId="23" borderId="10" xfId="0" applyFont="1" applyFill="1" applyBorder="1" applyAlignment="1">
      <alignment horizontal="center" vertical="center" wrapText="1"/>
    </xf>
    <xf numFmtId="0" fontId="32" fillId="23" borderId="42" xfId="0" applyFont="1" applyFill="1" applyBorder="1" applyAlignment="1">
      <alignment horizontal="center"/>
    </xf>
    <xf numFmtId="0" fontId="32" fillId="23" borderId="42" xfId="0" applyFont="1" applyFill="1" applyBorder="1"/>
    <xf numFmtId="0" fontId="32" fillId="23" borderId="5" xfId="0" applyFont="1" applyFill="1" applyBorder="1"/>
    <xf numFmtId="0" fontId="32" fillId="23" borderId="18" xfId="0" applyFont="1" applyFill="1" applyBorder="1"/>
    <xf numFmtId="0" fontId="32" fillId="23" borderId="5" xfId="0" applyFont="1" applyFill="1" applyBorder="1" applyAlignment="1">
      <alignment horizontal="center" wrapText="1"/>
    </xf>
    <xf numFmtId="0" fontId="32" fillId="23" borderId="18" xfId="0" applyFont="1" applyFill="1" applyBorder="1" applyAlignment="1">
      <alignment horizontal="center" wrapText="1"/>
    </xf>
    <xf numFmtId="0" fontId="32" fillId="23" borderId="42" xfId="0" applyFont="1" applyFill="1" applyBorder="1" applyAlignment="1">
      <alignment horizontal="center" wrapText="1"/>
    </xf>
    <xf numFmtId="2" fontId="32" fillId="23" borderId="5" xfId="0" applyNumberFormat="1" applyFont="1" applyFill="1" applyBorder="1" applyAlignment="1">
      <alignment vertical="center"/>
    </xf>
    <xf numFmtId="2" fontId="32" fillId="23" borderId="5" xfId="0" applyNumberFormat="1" applyFont="1" applyFill="1" applyBorder="1" applyAlignment="1">
      <alignment vertical="top"/>
    </xf>
    <xf numFmtId="0" fontId="32" fillId="23" borderId="0" xfId="0" applyFont="1" applyFill="1" applyAlignment="1">
      <alignment horizontal="center" vertical="center"/>
    </xf>
    <xf numFmtId="0" fontId="32" fillId="23" borderId="5" xfId="0" applyFont="1" applyFill="1" applyBorder="1" applyAlignment="1">
      <alignment wrapText="1"/>
    </xf>
    <xf numFmtId="0" fontId="32" fillId="23" borderId="22" xfId="0" applyFont="1" applyFill="1" applyBorder="1" applyAlignment="1">
      <alignment horizontal="center" vertical="center"/>
    </xf>
    <xf numFmtId="0" fontId="32" fillId="23" borderId="14" xfId="0" applyFont="1" applyFill="1" applyBorder="1" applyAlignment="1">
      <alignment horizontal="center" vertical="center" wrapText="1"/>
    </xf>
    <xf numFmtId="0" fontId="32" fillId="23" borderId="19" xfId="0" applyFont="1" applyFill="1" applyBorder="1" applyAlignment="1">
      <alignment horizontal="center" vertical="center"/>
    </xf>
    <xf numFmtId="0" fontId="32" fillId="23" borderId="14" xfId="0" applyFont="1" applyFill="1" applyBorder="1" applyAlignment="1">
      <alignment horizontal="center" vertical="center"/>
    </xf>
    <xf numFmtId="0" fontId="32" fillId="23" borderId="17" xfId="0" applyFont="1" applyFill="1" applyBorder="1" applyAlignment="1">
      <alignment horizontal="center" vertical="center"/>
    </xf>
    <xf numFmtId="0" fontId="32" fillId="23" borderId="15" xfId="0" applyFont="1" applyFill="1" applyBorder="1" applyAlignment="1">
      <alignment horizontal="center" vertical="center"/>
    </xf>
    <xf numFmtId="0" fontId="40" fillId="23" borderId="12" xfId="0" applyFont="1" applyFill="1" applyBorder="1" applyAlignment="1">
      <alignment vertical="center" wrapText="1"/>
    </xf>
    <xf numFmtId="0" fontId="40" fillId="23" borderId="5" xfId="0" applyFont="1" applyFill="1" applyBorder="1" applyAlignment="1">
      <alignment vertical="center" wrapText="1"/>
    </xf>
    <xf numFmtId="0" fontId="40" fillId="23" borderId="21" xfId="0" applyFont="1" applyFill="1" applyBorder="1" applyAlignment="1">
      <alignment vertical="center" wrapText="1"/>
    </xf>
    <xf numFmtId="0" fontId="32" fillId="23" borderId="12" xfId="0" applyFont="1" applyFill="1" applyBorder="1" applyAlignment="1">
      <alignment horizontal="center" vertical="center"/>
    </xf>
    <xf numFmtId="0" fontId="32" fillId="23" borderId="21" xfId="0" applyFont="1" applyFill="1" applyBorder="1" applyAlignment="1">
      <alignment horizontal="center" vertical="center"/>
    </xf>
    <xf numFmtId="0" fontId="32" fillId="23" borderId="29" xfId="0" applyFont="1" applyFill="1" applyBorder="1" applyAlignment="1">
      <alignment horizontal="center" vertical="center" wrapText="1"/>
    </xf>
    <xf numFmtId="0" fontId="32" fillId="23" borderId="39" xfId="0" applyFont="1" applyFill="1" applyBorder="1" applyAlignment="1">
      <alignment horizontal="center" vertical="center"/>
    </xf>
    <xf numFmtId="0" fontId="32" fillId="23" borderId="55" xfId="0" applyFont="1" applyFill="1" applyBorder="1" applyAlignment="1">
      <alignment horizontal="center" vertical="center" wrapText="1"/>
    </xf>
    <xf numFmtId="0" fontId="32" fillId="23" borderId="13" xfId="0" applyFont="1" applyFill="1" applyBorder="1" applyAlignment="1">
      <alignment horizontal="center" vertical="center"/>
    </xf>
    <xf numFmtId="0" fontId="32" fillId="23" borderId="64" xfId="0" applyFont="1" applyFill="1" applyBorder="1" applyAlignment="1">
      <alignment horizontal="center" vertical="center"/>
    </xf>
    <xf numFmtId="0" fontId="40" fillId="23" borderId="13" xfId="0" applyFont="1" applyFill="1" applyBorder="1" applyAlignment="1">
      <alignment vertical="center" wrapText="1"/>
    </xf>
    <xf numFmtId="0" fontId="40" fillId="23" borderId="18" xfId="0" applyFont="1" applyFill="1" applyBorder="1" applyAlignment="1">
      <alignment vertical="center" wrapText="1"/>
    </xf>
    <xf numFmtId="0" fontId="40" fillId="23" borderId="22" xfId="0" applyFont="1" applyFill="1" applyBorder="1" applyAlignment="1">
      <alignment vertical="center" wrapText="1"/>
    </xf>
    <xf numFmtId="0" fontId="32" fillId="23" borderId="26" xfId="0" applyFont="1" applyFill="1" applyBorder="1" applyAlignment="1">
      <alignment vertical="center"/>
    </xf>
    <xf numFmtId="0" fontId="32" fillId="23" borderId="21" xfId="0" applyFont="1" applyFill="1" applyBorder="1"/>
    <xf numFmtId="0" fontId="32" fillId="23" borderId="22" xfId="0" applyFont="1" applyFill="1" applyBorder="1"/>
    <xf numFmtId="0" fontId="40" fillId="23" borderId="5" xfId="0" applyFont="1" applyFill="1" applyBorder="1" applyAlignment="1">
      <alignment horizontal="center" vertical="center" wrapText="1"/>
    </xf>
    <xf numFmtId="2" fontId="36" fillId="22" borderId="24" xfId="0" applyNumberFormat="1" applyFont="1" applyFill="1" applyBorder="1" applyAlignment="1">
      <alignment horizontal="center" vertical="center"/>
    </xf>
    <xf numFmtId="2" fontId="32" fillId="23" borderId="51" xfId="0" applyNumberFormat="1" applyFont="1" applyFill="1" applyBorder="1" applyAlignment="1">
      <alignment horizontal="center" vertical="center" wrapText="1"/>
    </xf>
    <xf numFmtId="0" fontId="36" fillId="22" borderId="59" xfId="0" applyFont="1" applyFill="1" applyBorder="1" applyAlignment="1">
      <alignment horizontal="center" vertical="center" wrapText="1"/>
    </xf>
    <xf numFmtId="0" fontId="32" fillId="23" borderId="51" xfId="0" applyFont="1" applyFill="1" applyBorder="1" applyAlignment="1">
      <alignment horizontal="center" vertical="center" wrapText="1"/>
    </xf>
    <xf numFmtId="0" fontId="36" fillId="14" borderId="5" xfId="0" applyFont="1" applyFill="1" applyBorder="1" applyAlignment="1">
      <alignment horizontal="center" vertical="top" wrapText="1"/>
    </xf>
    <xf numFmtId="0" fontId="36" fillId="24" borderId="5" xfId="0" applyFont="1" applyFill="1" applyBorder="1" applyAlignment="1">
      <alignment horizontal="center" vertical="top" wrapText="1"/>
    </xf>
    <xf numFmtId="0" fontId="36" fillId="17" borderId="5" xfId="0" applyFont="1" applyFill="1" applyBorder="1" applyAlignment="1">
      <alignment horizontal="center" vertical="top" wrapText="1"/>
    </xf>
    <xf numFmtId="0" fontId="36" fillId="16" borderId="5" xfId="0" applyFont="1" applyFill="1" applyBorder="1" applyAlignment="1">
      <alignment horizontal="center" vertical="top" wrapText="1"/>
    </xf>
    <xf numFmtId="0" fontId="36" fillId="23" borderId="5" xfId="0" applyFont="1" applyFill="1" applyBorder="1" applyAlignment="1">
      <alignment horizontal="center" vertical="top" wrapText="1"/>
    </xf>
    <xf numFmtId="0" fontId="36" fillId="11" borderId="5" xfId="0" applyFont="1" applyFill="1" applyBorder="1" applyAlignment="1">
      <alignment horizontal="center" vertical="center"/>
    </xf>
    <xf numFmtId="0" fontId="36" fillId="11" borderId="4" xfId="0" applyFont="1" applyFill="1" applyBorder="1" applyAlignment="1">
      <alignment horizontal="center" vertical="center" wrapText="1"/>
    </xf>
    <xf numFmtId="0" fontId="36" fillId="11" borderId="42" xfId="0" applyFont="1" applyFill="1" applyBorder="1" applyAlignment="1">
      <alignment horizontal="center" vertical="center"/>
    </xf>
    <xf numFmtId="0" fontId="36" fillId="11" borderId="4" xfId="0" applyFont="1" applyFill="1" applyBorder="1" applyAlignment="1">
      <alignment horizontal="center" vertical="center"/>
    </xf>
    <xf numFmtId="0" fontId="14" fillId="11" borderId="46" xfId="0" applyFont="1" applyFill="1" applyBorder="1" applyAlignment="1">
      <alignment horizontal="center" vertical="center" wrapText="1"/>
    </xf>
    <xf numFmtId="0" fontId="14" fillId="11" borderId="10" xfId="0" applyFont="1" applyFill="1" applyBorder="1" applyAlignment="1">
      <alignment horizontal="center" vertical="center" wrapText="1"/>
    </xf>
    <xf numFmtId="0" fontId="36" fillId="11" borderId="25" xfId="0" applyFont="1" applyFill="1" applyBorder="1" applyAlignment="1">
      <alignment horizontal="center" vertical="center"/>
    </xf>
    <xf numFmtId="0" fontId="32" fillId="23" borderId="8" xfId="0" applyFont="1" applyFill="1" applyBorder="1" applyAlignment="1">
      <alignment horizontal="center" vertical="center" wrapText="1"/>
    </xf>
    <xf numFmtId="1" fontId="32" fillId="23" borderId="25" xfId="0" applyNumberFormat="1" applyFont="1" applyFill="1" applyBorder="1" applyAlignment="1">
      <alignment horizontal="center" vertical="center" wrapText="1"/>
    </xf>
    <xf numFmtId="1" fontId="32" fillId="23" borderId="13" xfId="0" applyNumberFormat="1" applyFont="1" applyFill="1" applyBorder="1" applyAlignment="1">
      <alignment horizontal="center" vertical="center" wrapText="1"/>
    </xf>
    <xf numFmtId="0" fontId="32" fillId="23" borderId="79" xfId="0" applyFont="1" applyFill="1" applyBorder="1" applyAlignment="1">
      <alignment horizontal="center" vertical="center" wrapText="1"/>
    </xf>
    <xf numFmtId="0" fontId="32" fillId="5" borderId="29" xfId="0" applyFont="1" applyFill="1" applyBorder="1" applyAlignment="1">
      <alignment horizontal="left" vertical="top" wrapText="1"/>
    </xf>
    <xf numFmtId="0" fontId="32" fillId="5" borderId="55" xfId="0" applyFont="1" applyFill="1" applyBorder="1" applyAlignment="1">
      <alignment horizontal="left" vertical="top" wrapText="1"/>
    </xf>
    <xf numFmtId="0" fontId="32" fillId="5" borderId="40" xfId="0" applyFont="1" applyFill="1" applyBorder="1" applyAlignment="1">
      <alignment horizontal="left" vertical="top" wrapText="1"/>
    </xf>
    <xf numFmtId="0" fontId="36" fillId="5" borderId="78" xfId="0" applyFont="1" applyFill="1" applyBorder="1" applyAlignment="1">
      <alignment horizontal="center" vertical="center" wrapText="1"/>
    </xf>
    <xf numFmtId="0" fontId="36" fillId="5" borderId="78" xfId="0" applyFont="1" applyFill="1" applyBorder="1" applyAlignment="1">
      <alignment vertical="center" wrapText="1"/>
    </xf>
    <xf numFmtId="0" fontId="36" fillId="5" borderId="61" xfId="0" applyFont="1" applyFill="1" applyBorder="1" applyAlignment="1">
      <alignment vertical="center" wrapText="1"/>
    </xf>
    <xf numFmtId="0" fontId="32" fillId="5" borderId="17" xfId="0" applyFont="1" applyFill="1" applyBorder="1" applyAlignment="1">
      <alignment horizontal="center" vertical="center" wrapText="1"/>
    </xf>
    <xf numFmtId="0" fontId="32" fillId="5" borderId="48" xfId="0" applyFont="1" applyFill="1" applyBorder="1" applyAlignment="1">
      <alignment horizontal="center" vertical="center" wrapText="1"/>
    </xf>
    <xf numFmtId="0" fontId="32" fillId="23" borderId="2" xfId="0" applyFont="1" applyFill="1" applyBorder="1"/>
    <xf numFmtId="0" fontId="32" fillId="23" borderId="6" xfId="0" applyFont="1" applyFill="1" applyBorder="1"/>
    <xf numFmtId="0" fontId="32" fillId="23" borderId="26" xfId="0" applyFont="1" applyFill="1" applyBorder="1" applyAlignment="1">
      <alignment horizontal="center" vertical="center"/>
    </xf>
    <xf numFmtId="0" fontId="40" fillId="5" borderId="5" xfId="10" applyFont="1" applyFill="1" applyBorder="1" applyAlignment="1">
      <alignment vertical="center" wrapText="1"/>
    </xf>
    <xf numFmtId="0" fontId="40" fillId="5" borderId="5" xfId="10" applyFont="1" applyFill="1" applyBorder="1" applyAlignment="1">
      <alignment wrapText="1"/>
    </xf>
    <xf numFmtId="0" fontId="32" fillId="23" borderId="6" xfId="0" applyFont="1" applyFill="1" applyBorder="1" applyAlignment="1">
      <alignment horizontal="center" vertical="top"/>
    </xf>
    <xf numFmtId="2" fontId="32" fillId="23" borderId="5" xfId="0" applyNumberFormat="1" applyFont="1" applyFill="1" applyBorder="1" applyAlignment="1">
      <alignment horizontal="right"/>
    </xf>
    <xf numFmtId="1" fontId="21" fillId="22" borderId="5" xfId="0" applyNumberFormat="1" applyFont="1" applyFill="1" applyBorder="1" applyAlignment="1">
      <alignment horizontal="center" vertical="center" wrapText="1"/>
    </xf>
    <xf numFmtId="0" fontId="32" fillId="12" borderId="0" xfId="0" applyFont="1" applyFill="1" applyAlignment="1">
      <alignment horizontal="center"/>
    </xf>
    <xf numFmtId="165" fontId="32" fillId="23" borderId="5" xfId="0" applyNumberFormat="1" applyFont="1" applyFill="1" applyBorder="1" applyAlignment="1">
      <alignment horizontal="center" vertical="center"/>
    </xf>
    <xf numFmtId="0" fontId="32" fillId="23" borderId="0" xfId="0" applyFont="1" applyFill="1" applyAlignment="1">
      <alignment wrapText="1"/>
    </xf>
    <xf numFmtId="0" fontId="32" fillId="23" borderId="5" xfId="0" applyFont="1" applyFill="1" applyBorder="1" applyAlignment="1">
      <alignment vertical="top"/>
    </xf>
    <xf numFmtId="166" fontId="32" fillId="23" borderId="5" xfId="0" applyNumberFormat="1" applyFont="1" applyFill="1" applyBorder="1" applyAlignment="1">
      <alignment horizontal="center" vertical="center"/>
    </xf>
    <xf numFmtId="0" fontId="22" fillId="23" borderId="5" xfId="0" applyFont="1" applyFill="1" applyBorder="1"/>
    <xf numFmtId="0" fontId="22" fillId="23" borderId="6" xfId="0" applyFont="1" applyFill="1" applyBorder="1"/>
    <xf numFmtId="0" fontId="32" fillId="11" borderId="41" xfId="0" applyFont="1" applyFill="1" applyBorder="1" applyAlignment="1">
      <alignment horizontal="center" vertical="center"/>
    </xf>
    <xf numFmtId="0" fontId="32" fillId="11" borderId="66" xfId="0" applyFont="1" applyFill="1" applyBorder="1" applyAlignment="1">
      <alignment horizontal="center" vertical="center"/>
    </xf>
    <xf numFmtId="0" fontId="32" fillId="5" borderId="12" xfId="0" applyFont="1" applyFill="1" applyBorder="1" applyAlignment="1">
      <alignment horizontal="center"/>
    </xf>
    <xf numFmtId="2" fontId="32" fillId="23" borderId="5" xfId="0" applyNumberFormat="1" applyFont="1" applyFill="1" applyBorder="1" applyAlignment="1">
      <alignment horizontal="center"/>
    </xf>
    <xf numFmtId="0" fontId="40" fillId="0" borderId="5" xfId="0" applyFont="1" applyBorder="1" applyAlignment="1" applyProtection="1">
      <alignment vertical="center"/>
      <protection locked="0"/>
    </xf>
    <xf numFmtId="0" fontId="40" fillId="3" borderId="5" xfId="0" applyFont="1" applyFill="1" applyBorder="1" applyAlignment="1" applyProtection="1">
      <alignment vertical="center"/>
      <protection locked="0"/>
    </xf>
    <xf numFmtId="0" fontId="40" fillId="3" borderId="18" xfId="0" applyFont="1" applyFill="1" applyBorder="1" applyAlignment="1" applyProtection="1">
      <alignment vertical="center"/>
      <protection locked="0"/>
    </xf>
    <xf numFmtId="0" fontId="15" fillId="11" borderId="12" xfId="9" applyFont="1" applyFill="1" applyBorder="1" applyAlignment="1">
      <alignment horizontal="center" vertical="center"/>
    </xf>
    <xf numFmtId="0" fontId="15" fillId="11" borderId="21" xfId="9" applyFont="1" applyFill="1" applyBorder="1" applyAlignment="1">
      <alignment horizontal="center" vertical="center"/>
    </xf>
    <xf numFmtId="0" fontId="10" fillId="10" borderId="0" xfId="0" applyFont="1" applyFill="1" applyAlignment="1">
      <alignment horizontal="right" vertical="top"/>
    </xf>
    <xf numFmtId="0" fontId="12" fillId="10" borderId="0" xfId="21" applyFont="1" applyFill="1" applyAlignment="1" applyProtection="1">
      <alignment horizontal="left" vertical="top"/>
      <protection locked="0"/>
    </xf>
    <xf numFmtId="0" fontId="11" fillId="10" borderId="0" xfId="0" applyFont="1" applyFill="1" applyAlignment="1">
      <alignment horizontal="center"/>
    </xf>
    <xf numFmtId="0" fontId="15" fillId="11" borderId="14" xfId="9" applyFont="1" applyFill="1" applyBorder="1" applyAlignment="1">
      <alignment horizontal="center" vertical="center"/>
    </xf>
    <xf numFmtId="0" fontId="15" fillId="11" borderId="19" xfId="9" applyFont="1" applyFill="1" applyBorder="1" applyAlignment="1">
      <alignment horizontal="center" vertical="center"/>
    </xf>
    <xf numFmtId="0" fontId="16" fillId="3" borderId="35" xfId="9" applyFont="1" applyFill="1" applyBorder="1" applyAlignment="1" applyProtection="1">
      <alignment horizontal="center" vertical="center"/>
      <protection locked="0"/>
    </xf>
    <xf numFmtId="0" fontId="16" fillId="3" borderId="47" xfId="9" applyFont="1" applyFill="1" applyBorder="1" applyAlignment="1" applyProtection="1">
      <alignment horizontal="center" vertical="center"/>
      <protection locked="0"/>
    </xf>
    <xf numFmtId="0" fontId="16" fillId="3" borderId="15" xfId="9" applyFont="1" applyFill="1" applyBorder="1" applyAlignment="1" applyProtection="1">
      <alignment horizontal="center" vertical="center"/>
      <protection locked="0"/>
    </xf>
    <xf numFmtId="0" fontId="50" fillId="10" borderId="34" xfId="0" applyFont="1" applyFill="1" applyBorder="1" applyAlignment="1">
      <alignment horizontal="center" vertical="top" wrapText="1"/>
    </xf>
    <xf numFmtId="0" fontId="13" fillId="22" borderId="45" xfId="9" applyFont="1" applyFill="1" applyBorder="1" applyAlignment="1">
      <alignment horizontal="center"/>
    </xf>
    <xf numFmtId="0" fontId="13" fillId="22" borderId="58" xfId="9" applyFont="1" applyFill="1" applyBorder="1" applyAlignment="1">
      <alignment horizontal="center"/>
    </xf>
    <xf numFmtId="0" fontId="20" fillId="11" borderId="16" xfId="9" applyFont="1" applyFill="1" applyBorder="1" applyAlignment="1">
      <alignment horizontal="center"/>
    </xf>
    <xf numFmtId="0" fontId="20" fillId="11" borderId="31" xfId="9" applyFont="1" applyFill="1" applyBorder="1" applyAlignment="1">
      <alignment horizontal="center"/>
    </xf>
    <xf numFmtId="0" fontId="20" fillId="11" borderId="6" xfId="9" applyFont="1" applyFill="1" applyBorder="1" applyAlignment="1">
      <alignment horizontal="center"/>
    </xf>
    <xf numFmtId="0" fontId="20" fillId="11" borderId="63" xfId="9" applyFont="1" applyFill="1" applyBorder="1" applyAlignment="1">
      <alignment horizontal="center"/>
    </xf>
    <xf numFmtId="0" fontId="20" fillId="11" borderId="32" xfId="9" applyFont="1" applyFill="1" applyBorder="1" applyAlignment="1">
      <alignment horizontal="center"/>
    </xf>
    <xf numFmtId="0" fontId="20" fillId="11" borderId="58" xfId="9" applyFont="1" applyFill="1" applyBorder="1" applyAlignment="1">
      <alignment horizontal="center"/>
    </xf>
    <xf numFmtId="0" fontId="17" fillId="11" borderId="20" xfId="0" applyFont="1" applyFill="1" applyBorder="1" applyAlignment="1">
      <alignment horizontal="center" vertical="center"/>
    </xf>
    <xf numFmtId="0" fontId="14" fillId="11" borderId="27" xfId="0" applyFont="1" applyFill="1" applyBorder="1" applyAlignment="1">
      <alignment horizontal="center" vertical="center"/>
    </xf>
    <xf numFmtId="0" fontId="14" fillId="11" borderId="56" xfId="0" applyFont="1" applyFill="1" applyBorder="1" applyAlignment="1">
      <alignment horizontal="center" vertical="center"/>
    </xf>
    <xf numFmtId="0" fontId="14" fillId="11" borderId="57" xfId="0" applyFont="1" applyFill="1" applyBorder="1" applyAlignment="1">
      <alignment horizontal="center" vertical="center"/>
    </xf>
    <xf numFmtId="0" fontId="14" fillId="11" borderId="0" xfId="0" applyFont="1" applyFill="1" applyAlignment="1">
      <alignment horizontal="center" vertical="center"/>
    </xf>
    <xf numFmtId="0" fontId="14" fillId="11" borderId="50" xfId="0" applyFont="1" applyFill="1" applyBorder="1" applyAlignment="1">
      <alignment horizontal="center" vertical="center"/>
    </xf>
    <xf numFmtId="0" fontId="16" fillId="3" borderId="36" xfId="9" applyFont="1" applyFill="1" applyBorder="1" applyAlignment="1" applyProtection="1">
      <alignment horizontal="center" vertical="center"/>
      <protection locked="0"/>
    </xf>
    <xf numFmtId="0" fontId="16" fillId="3" borderId="31" xfId="9" applyFont="1" applyFill="1" applyBorder="1" applyAlignment="1" applyProtection="1">
      <alignment horizontal="center" vertical="center"/>
      <protection locked="0"/>
    </xf>
    <xf numFmtId="0" fontId="16" fillId="3" borderId="39" xfId="9" applyFont="1" applyFill="1" applyBorder="1" applyAlignment="1" applyProtection="1">
      <alignment horizontal="center" vertical="center"/>
      <protection locked="0"/>
    </xf>
    <xf numFmtId="14" fontId="16" fillId="3" borderId="36" xfId="9" applyNumberFormat="1" applyFont="1" applyFill="1" applyBorder="1" applyAlignment="1" applyProtection="1">
      <alignment horizontal="center" vertical="center"/>
      <protection locked="0"/>
    </xf>
    <xf numFmtId="14" fontId="16" fillId="3" borderId="31" xfId="9" applyNumberFormat="1" applyFont="1" applyFill="1" applyBorder="1" applyAlignment="1" applyProtection="1">
      <alignment horizontal="center" vertical="center"/>
      <protection locked="0"/>
    </xf>
    <xf numFmtId="14" fontId="16" fillId="3" borderId="39" xfId="9" applyNumberFormat="1" applyFont="1" applyFill="1" applyBorder="1" applyAlignment="1" applyProtection="1">
      <alignment horizontal="center" vertical="center"/>
      <protection locked="0"/>
    </xf>
    <xf numFmtId="0" fontId="15" fillId="11" borderId="36" xfId="9" applyFont="1" applyFill="1" applyBorder="1" applyAlignment="1">
      <alignment horizontal="center" vertical="center"/>
    </xf>
    <xf numFmtId="0" fontId="15" fillId="11" borderId="39" xfId="9" applyFont="1" applyFill="1" applyBorder="1" applyAlignment="1">
      <alignment horizontal="center" vertical="center"/>
    </xf>
    <xf numFmtId="0" fontId="15" fillId="11" borderId="45" xfId="9" applyFont="1" applyFill="1" applyBorder="1" applyAlignment="1">
      <alignment horizontal="center" vertical="center"/>
    </xf>
    <xf numFmtId="0" fontId="15" fillId="11" borderId="64" xfId="9" applyFont="1" applyFill="1" applyBorder="1" applyAlignment="1">
      <alignment horizontal="center" vertical="center"/>
    </xf>
    <xf numFmtId="14" fontId="16" fillId="3" borderId="45" xfId="9" applyNumberFormat="1" applyFont="1" applyFill="1" applyBorder="1" applyAlignment="1" applyProtection="1">
      <alignment horizontal="center" vertical="center"/>
      <protection locked="0"/>
    </xf>
    <xf numFmtId="14" fontId="16" fillId="3" borderId="32" xfId="9" applyNumberFormat="1" applyFont="1" applyFill="1" applyBorder="1" applyAlignment="1" applyProtection="1">
      <alignment horizontal="center" vertical="center"/>
      <protection locked="0"/>
    </xf>
    <xf numFmtId="14" fontId="16" fillId="3" borderId="64" xfId="9" applyNumberFormat="1" applyFont="1" applyFill="1" applyBorder="1" applyAlignment="1" applyProtection="1">
      <alignment horizontal="center" vertical="center"/>
      <protection locked="0"/>
    </xf>
    <xf numFmtId="0" fontId="19" fillId="3" borderId="36" xfId="0" applyFont="1" applyFill="1" applyBorder="1" applyAlignment="1" applyProtection="1">
      <alignment horizontal="center" vertical="center" wrapText="1"/>
      <protection locked="0"/>
    </xf>
    <xf numFmtId="0" fontId="19" fillId="3" borderId="6" xfId="0" applyFont="1" applyFill="1" applyBorder="1" applyAlignment="1" applyProtection="1">
      <alignment horizontal="center" vertical="center" wrapText="1"/>
      <protection locked="0"/>
    </xf>
    <xf numFmtId="0" fontId="17" fillId="11" borderId="23" xfId="0" applyFont="1" applyFill="1" applyBorder="1" applyAlignment="1">
      <alignment horizontal="center"/>
    </xf>
    <xf numFmtId="0" fontId="17" fillId="11" borderId="46" xfId="0" applyFont="1" applyFill="1" applyBorder="1" applyAlignment="1">
      <alignment horizontal="center"/>
    </xf>
    <xf numFmtId="0" fontId="17" fillId="11" borderId="24" xfId="0" applyFont="1" applyFill="1" applyBorder="1" applyAlignment="1">
      <alignment horizontal="center"/>
    </xf>
    <xf numFmtId="0" fontId="13" fillId="23" borderId="36" xfId="9" applyFont="1" applyFill="1" applyBorder="1" applyAlignment="1">
      <alignment horizontal="center"/>
    </xf>
    <xf numFmtId="0" fontId="13" fillId="23" borderId="6" xfId="9" applyFont="1" applyFill="1" applyBorder="1" applyAlignment="1">
      <alignment horizontal="center"/>
    </xf>
    <xf numFmtId="0" fontId="0" fillId="12" borderId="0" xfId="0" applyFill="1" applyAlignment="1">
      <alignment horizontal="right" vertical="top"/>
    </xf>
    <xf numFmtId="0" fontId="7" fillId="12" borderId="0" xfId="21" applyFill="1" applyAlignment="1" applyProtection="1">
      <alignment horizontal="left" vertical="top"/>
      <protection locked="0"/>
    </xf>
    <xf numFmtId="0" fontId="1" fillId="12" borderId="0" xfId="0" applyFont="1" applyFill="1" applyAlignment="1">
      <alignment horizontal="center" vertical="center" wrapText="1"/>
    </xf>
    <xf numFmtId="0" fontId="50" fillId="10" borderId="0" xfId="0" applyFont="1" applyFill="1" applyAlignment="1">
      <alignment horizontal="center" vertical="top" wrapText="1"/>
    </xf>
    <xf numFmtId="0" fontId="36" fillId="11" borderId="66" xfId="0" applyFont="1" applyFill="1" applyBorder="1" applyAlignment="1">
      <alignment horizontal="center" vertical="center"/>
    </xf>
    <xf numFmtId="0" fontId="36" fillId="11" borderId="42" xfId="0" applyFont="1" applyFill="1" applyBorder="1" applyAlignment="1">
      <alignment horizontal="center" vertical="center"/>
    </xf>
    <xf numFmtId="0" fontId="51" fillId="10" borderId="0" xfId="0" applyFont="1" applyFill="1" applyAlignment="1">
      <alignment horizontal="center" vertical="center"/>
    </xf>
    <xf numFmtId="0" fontId="36" fillId="11" borderId="31" xfId="0" applyFont="1" applyFill="1" applyBorder="1" applyAlignment="1">
      <alignment horizontal="center" vertical="center" wrapText="1"/>
    </xf>
    <xf numFmtId="0" fontId="36" fillId="11" borderId="6" xfId="0" applyFont="1" applyFill="1" applyBorder="1" applyAlignment="1">
      <alignment horizontal="center" vertical="center" wrapText="1"/>
    </xf>
    <xf numFmtId="0" fontId="14" fillId="11" borderId="5" xfId="0" applyFont="1" applyFill="1" applyBorder="1" applyAlignment="1">
      <alignment horizontal="center" vertical="center"/>
    </xf>
    <xf numFmtId="0" fontId="14" fillId="11" borderId="66" xfId="0" applyFont="1" applyFill="1" applyBorder="1" applyAlignment="1">
      <alignment horizontal="center" vertical="center"/>
    </xf>
    <xf numFmtId="0" fontId="0" fillId="10" borderId="0" xfId="0" applyFill="1" applyAlignment="1">
      <alignment horizontal="right" vertical="top"/>
    </xf>
    <xf numFmtId="0" fontId="7" fillId="10" borderId="0" xfId="21" applyFill="1" applyBorder="1" applyAlignment="1" applyProtection="1">
      <alignment horizontal="left" vertical="top"/>
    </xf>
    <xf numFmtId="0" fontId="26" fillId="10" borderId="0" xfId="0" applyFont="1" applyFill="1" applyAlignment="1">
      <alignment horizontal="right" vertical="top"/>
    </xf>
    <xf numFmtId="0" fontId="44" fillId="10" borderId="0" xfId="21" applyFont="1" applyFill="1" applyAlignment="1" applyProtection="1">
      <alignment horizontal="left" vertical="top"/>
      <protection locked="0"/>
    </xf>
    <xf numFmtId="0" fontId="45" fillId="10" borderId="0" xfId="0" applyFont="1" applyFill="1" applyAlignment="1">
      <alignment horizontal="center"/>
    </xf>
    <xf numFmtId="0" fontId="27" fillId="5" borderId="20" xfId="0" applyFont="1" applyFill="1" applyBorder="1" applyAlignment="1">
      <alignment horizontal="left" vertical="center"/>
    </xf>
    <xf numFmtId="0" fontId="27" fillId="5" borderId="27" xfId="0" applyFont="1" applyFill="1" applyBorder="1" applyAlignment="1">
      <alignment horizontal="left" vertical="center"/>
    </xf>
    <xf numFmtId="0" fontId="27" fillId="5" borderId="56" xfId="0" applyFont="1" applyFill="1" applyBorder="1" applyAlignment="1">
      <alignment horizontal="left" vertical="center"/>
    </xf>
    <xf numFmtId="0" fontId="27" fillId="5" borderId="33" xfId="0" applyFont="1" applyFill="1" applyBorder="1" applyAlignment="1">
      <alignment horizontal="left" vertical="center"/>
    </xf>
    <xf numFmtId="0" fontId="27" fillId="5" borderId="34" xfId="0" applyFont="1" applyFill="1" applyBorder="1" applyAlignment="1">
      <alignment horizontal="left" vertical="center"/>
    </xf>
    <xf numFmtId="0" fontId="27" fillId="5" borderId="59" xfId="0" applyFont="1" applyFill="1" applyBorder="1" applyAlignment="1">
      <alignment horizontal="left" vertical="center"/>
    </xf>
    <xf numFmtId="0" fontId="28" fillId="12" borderId="0" xfId="0" applyFont="1" applyFill="1" applyAlignment="1">
      <alignment horizontal="left"/>
    </xf>
    <xf numFmtId="0" fontId="23" fillId="5" borderId="20" xfId="0" applyFont="1" applyFill="1" applyBorder="1" applyAlignment="1">
      <alignment horizontal="center" vertical="center" wrapText="1"/>
    </xf>
    <xf numFmtId="0" fontId="23" fillId="5" borderId="27" xfId="0" applyFont="1" applyFill="1" applyBorder="1" applyAlignment="1">
      <alignment horizontal="center" vertical="center" wrapText="1"/>
    </xf>
    <xf numFmtId="0" fontId="23" fillId="5" borderId="57" xfId="0" applyFont="1" applyFill="1" applyBorder="1" applyAlignment="1">
      <alignment horizontal="center" vertical="center" wrapText="1"/>
    </xf>
    <xf numFmtId="0" fontId="23" fillId="5" borderId="0" xfId="0" applyFont="1" applyFill="1" applyAlignment="1">
      <alignment horizontal="center" vertical="center" wrapText="1"/>
    </xf>
    <xf numFmtId="0" fontId="23" fillId="5" borderId="33" xfId="0" applyFont="1" applyFill="1" applyBorder="1" applyAlignment="1">
      <alignment horizontal="center" vertical="center" wrapText="1"/>
    </xf>
    <xf numFmtId="0" fontId="23" fillId="5" borderId="34" xfId="0" applyFont="1" applyFill="1" applyBorder="1" applyAlignment="1">
      <alignment horizontal="center" vertical="center" wrapText="1"/>
    </xf>
    <xf numFmtId="0" fontId="24" fillId="5" borderId="14" xfId="0" applyFont="1" applyFill="1" applyBorder="1" applyAlignment="1">
      <alignment horizontal="center" vertical="center" wrapText="1"/>
    </xf>
    <xf numFmtId="0" fontId="24" fillId="5" borderId="17" xfId="0" applyFont="1" applyFill="1" applyBorder="1" applyAlignment="1">
      <alignment horizontal="center" vertical="center" wrapText="1"/>
    </xf>
    <xf numFmtId="0" fontId="14" fillId="5" borderId="23" xfId="0" applyFont="1" applyFill="1" applyBorder="1" applyAlignment="1">
      <alignment horizontal="left" vertical="center"/>
    </xf>
    <xf numFmtId="0" fontId="14" fillId="5" borderId="46" xfId="0" applyFont="1" applyFill="1" applyBorder="1" applyAlignment="1">
      <alignment horizontal="left" vertical="center"/>
    </xf>
    <xf numFmtId="0" fontId="14" fillId="5" borderId="24" xfId="0" applyFont="1" applyFill="1" applyBorder="1" applyAlignment="1">
      <alignment horizontal="left" vertical="center"/>
    </xf>
    <xf numFmtId="2" fontId="14" fillId="22" borderId="17" xfId="0" applyNumberFormat="1" applyFont="1" applyFill="1" applyBorder="1" applyAlignment="1">
      <alignment horizontal="center" vertical="center" wrapText="1"/>
    </xf>
    <xf numFmtId="2" fontId="14" fillId="22" borderId="19" xfId="0" applyNumberFormat="1" applyFont="1" applyFill="1" applyBorder="1" applyAlignment="1">
      <alignment horizontal="center" vertical="center" wrapText="1"/>
    </xf>
    <xf numFmtId="0" fontId="24" fillId="5" borderId="12" xfId="0" applyFont="1" applyFill="1" applyBorder="1" applyAlignment="1">
      <alignment horizontal="center" vertical="center" wrapText="1"/>
    </xf>
    <xf numFmtId="0" fontId="24" fillId="5" borderId="5" xfId="0" applyFont="1" applyFill="1" applyBorder="1" applyAlignment="1">
      <alignment horizontal="center" vertical="center" wrapText="1"/>
    </xf>
    <xf numFmtId="2" fontId="14" fillId="4" borderId="5" xfId="0" applyNumberFormat="1" applyFont="1" applyFill="1" applyBorder="1" applyAlignment="1">
      <alignment horizontal="center" vertical="center" wrapText="1"/>
    </xf>
    <xf numFmtId="2" fontId="14" fillId="4" borderId="21" xfId="0" applyNumberFormat="1" applyFont="1" applyFill="1" applyBorder="1" applyAlignment="1">
      <alignment horizontal="center" vertical="center" wrapText="1"/>
    </xf>
    <xf numFmtId="0" fontId="24" fillId="5" borderId="13" xfId="0" applyFont="1" applyFill="1" applyBorder="1" applyAlignment="1">
      <alignment horizontal="center" vertical="center" wrapText="1"/>
    </xf>
    <xf numFmtId="0" fontId="24" fillId="5" borderId="18" xfId="0" applyFont="1" applyFill="1" applyBorder="1" applyAlignment="1">
      <alignment horizontal="center" vertical="center" wrapText="1"/>
    </xf>
    <xf numFmtId="2" fontId="14" fillId="4" borderId="63" xfId="0" applyNumberFormat="1" applyFont="1" applyFill="1" applyBorder="1" applyAlignment="1">
      <alignment horizontal="center" vertical="center" wrapText="1"/>
    </xf>
    <xf numFmtId="2" fontId="14" fillId="4" borderId="64" xfId="0" applyNumberFormat="1" applyFont="1" applyFill="1" applyBorder="1" applyAlignment="1">
      <alignment horizontal="center" vertical="center" wrapText="1"/>
    </xf>
    <xf numFmtId="2" fontId="14" fillId="4" borderId="63" xfId="0" applyNumberFormat="1" applyFont="1" applyFill="1" applyBorder="1" applyAlignment="1">
      <alignment horizontal="center" vertical="center"/>
    </xf>
    <xf numFmtId="2" fontId="14" fillId="4" borderId="64" xfId="0" applyNumberFormat="1" applyFont="1" applyFill="1" applyBorder="1" applyAlignment="1">
      <alignment horizontal="center" vertical="center"/>
    </xf>
    <xf numFmtId="0" fontId="23" fillId="5" borderId="56" xfId="0" applyFont="1" applyFill="1" applyBorder="1" applyAlignment="1">
      <alignment horizontal="center" vertical="center" wrapText="1"/>
    </xf>
    <xf numFmtId="0" fontId="23" fillId="5" borderId="50" xfId="0" applyFont="1" applyFill="1" applyBorder="1" applyAlignment="1">
      <alignment horizontal="center" vertical="center" wrapText="1"/>
    </xf>
    <xf numFmtId="0" fontId="23" fillId="5" borderId="59" xfId="0" applyFont="1" applyFill="1" applyBorder="1" applyAlignment="1">
      <alignment horizontal="center" vertical="center" wrapText="1"/>
    </xf>
    <xf numFmtId="2" fontId="14" fillId="4" borderId="62" xfId="0" applyNumberFormat="1" applyFont="1" applyFill="1" applyBorder="1" applyAlignment="1">
      <alignment horizontal="center" vertical="center" wrapText="1"/>
    </xf>
    <xf numFmtId="2" fontId="14" fillId="4" borderId="15" xfId="0" applyNumberFormat="1" applyFont="1" applyFill="1" applyBorder="1" applyAlignment="1">
      <alignment horizontal="center" vertical="center" wrapText="1"/>
    </xf>
    <xf numFmtId="2" fontId="14" fillId="4" borderId="16" xfId="0" quotePrefix="1" applyNumberFormat="1" applyFont="1" applyFill="1" applyBorder="1" applyAlignment="1">
      <alignment horizontal="center" vertical="center" wrapText="1"/>
    </xf>
    <xf numFmtId="2" fontId="14" fillId="4" borderId="39" xfId="0" applyNumberFormat="1" applyFont="1" applyFill="1" applyBorder="1" applyAlignment="1">
      <alignment horizontal="center" vertical="center" wrapText="1"/>
    </xf>
    <xf numFmtId="2" fontId="14" fillId="4" borderId="17" xfId="0" applyNumberFormat="1" applyFont="1" applyFill="1" applyBorder="1" applyAlignment="1">
      <alignment horizontal="center" vertical="center"/>
    </xf>
    <xf numFmtId="2" fontId="14" fillId="4" borderId="19" xfId="0" applyNumberFormat="1" applyFont="1" applyFill="1" applyBorder="1" applyAlignment="1">
      <alignment horizontal="center" vertical="center"/>
    </xf>
    <xf numFmtId="2" fontId="14" fillId="4" borderId="5" xfId="0" applyNumberFormat="1" applyFont="1" applyFill="1" applyBorder="1" applyAlignment="1">
      <alignment horizontal="center" vertical="center"/>
    </xf>
    <xf numFmtId="2" fontId="14" fillId="4" borderId="21" xfId="0" applyNumberFormat="1" applyFont="1" applyFill="1" applyBorder="1" applyAlignment="1">
      <alignment horizontal="center" vertical="center"/>
    </xf>
    <xf numFmtId="2" fontId="14" fillId="4" borderId="16" xfId="0" applyNumberFormat="1" applyFont="1" applyFill="1" applyBorder="1" applyAlignment="1">
      <alignment horizontal="center" vertical="center" wrapText="1"/>
    </xf>
    <xf numFmtId="0" fontId="23" fillId="5" borderId="23" xfId="0" applyFont="1" applyFill="1" applyBorder="1" applyAlignment="1">
      <alignment horizontal="center" vertical="center" wrapText="1"/>
    </xf>
    <xf numFmtId="0" fontId="23" fillId="5" borderId="46" xfId="0" applyFont="1" applyFill="1" applyBorder="1" applyAlignment="1">
      <alignment horizontal="center" vertical="center" wrapText="1"/>
    </xf>
    <xf numFmtId="0" fontId="23" fillId="5" borderId="24" xfId="0" applyFont="1" applyFill="1" applyBorder="1" applyAlignment="1">
      <alignment horizontal="center" vertical="center" wrapText="1"/>
    </xf>
    <xf numFmtId="0" fontId="47" fillId="8" borderId="23" xfId="0" applyFont="1" applyFill="1" applyBorder="1" applyAlignment="1">
      <alignment horizontal="center" vertical="center" wrapText="1"/>
    </xf>
    <xf numFmtId="0" fontId="47" fillId="8" borderId="46" xfId="0" applyFont="1" applyFill="1" applyBorder="1" applyAlignment="1">
      <alignment horizontal="center" vertical="center" wrapText="1"/>
    </xf>
    <xf numFmtId="0" fontId="47" fillId="8" borderId="24" xfId="0" applyFont="1" applyFill="1" applyBorder="1" applyAlignment="1">
      <alignment horizontal="center" vertical="center" wrapText="1"/>
    </xf>
    <xf numFmtId="0" fontId="26" fillId="12" borderId="57" xfId="0" applyFont="1" applyFill="1" applyBorder="1" applyAlignment="1">
      <alignment horizontal="center"/>
    </xf>
    <xf numFmtId="0" fontId="26" fillId="12" borderId="0" xfId="0" applyFont="1" applyFill="1" applyAlignment="1">
      <alignment horizontal="center"/>
    </xf>
    <xf numFmtId="0" fontId="26" fillId="12" borderId="57" xfId="0" applyFont="1" applyFill="1" applyBorder="1" applyAlignment="1">
      <alignment horizontal="center" vertical="center" wrapText="1"/>
    </xf>
    <xf numFmtId="0" fontId="26" fillId="12" borderId="0" xfId="0" applyFont="1" applyFill="1" applyAlignment="1">
      <alignment horizontal="center" vertical="center" wrapText="1"/>
    </xf>
    <xf numFmtId="0" fontId="28" fillId="12" borderId="0" xfId="0" applyFont="1" applyFill="1" applyAlignment="1">
      <alignment horizontal="center"/>
    </xf>
    <xf numFmtId="10" fontId="14" fillId="4" borderId="62" xfId="0" applyNumberFormat="1" applyFont="1" applyFill="1" applyBorder="1" applyAlignment="1">
      <alignment horizontal="center" vertical="center" wrapText="1"/>
    </xf>
    <xf numFmtId="10" fontId="14" fillId="4" borderId="15" xfId="0" applyNumberFormat="1" applyFont="1" applyFill="1" applyBorder="1" applyAlignment="1">
      <alignment horizontal="center" vertical="center" wrapText="1"/>
    </xf>
    <xf numFmtId="10" fontId="14" fillId="4" borderId="71" xfId="0" applyNumberFormat="1" applyFont="1" applyFill="1" applyBorder="1" applyAlignment="1">
      <alignment horizontal="center" vertical="center" wrapText="1"/>
    </xf>
    <xf numFmtId="10" fontId="14" fillId="4" borderId="50" xfId="0" applyNumberFormat="1" applyFont="1" applyFill="1" applyBorder="1" applyAlignment="1">
      <alignment horizontal="center" vertical="center" wrapText="1"/>
    </xf>
    <xf numFmtId="0" fontId="24" fillId="5" borderId="63" xfId="0" applyFont="1" applyFill="1" applyBorder="1" applyAlignment="1">
      <alignment horizontal="center" vertical="center" wrapText="1"/>
    </xf>
    <xf numFmtId="10" fontId="14" fillId="4" borderId="63" xfId="0" applyNumberFormat="1" applyFont="1" applyFill="1" applyBorder="1" applyAlignment="1">
      <alignment horizontal="center" vertical="center" wrapText="1"/>
    </xf>
    <xf numFmtId="10" fontId="14" fillId="4" borderId="64" xfId="0" applyNumberFormat="1" applyFont="1" applyFill="1" applyBorder="1" applyAlignment="1">
      <alignment horizontal="center" vertical="center" wrapText="1"/>
    </xf>
    <xf numFmtId="0" fontId="15" fillId="5" borderId="54" xfId="0" applyFont="1" applyFill="1" applyBorder="1" applyAlignment="1">
      <alignment horizontal="center" vertical="center" wrapText="1"/>
    </xf>
    <xf numFmtId="0" fontId="25" fillId="5" borderId="14" xfId="0" applyFont="1" applyFill="1" applyBorder="1" applyAlignment="1">
      <alignment horizontal="center" vertical="center" wrapText="1"/>
    </xf>
    <xf numFmtId="0" fontId="25" fillId="5" borderId="17" xfId="0" applyFont="1" applyFill="1" applyBorder="1" applyAlignment="1">
      <alignment horizontal="center" vertical="center" wrapText="1"/>
    </xf>
    <xf numFmtId="0" fontId="25" fillId="5" borderId="13" xfId="0" applyFont="1" applyFill="1" applyBorder="1" applyAlignment="1">
      <alignment horizontal="center" vertical="center" wrapText="1"/>
    </xf>
    <xf numFmtId="0" fontId="25" fillId="5" borderId="18" xfId="0" applyFont="1" applyFill="1" applyBorder="1" applyAlignment="1">
      <alignment horizontal="center" vertical="center" wrapText="1"/>
    </xf>
    <xf numFmtId="0" fontId="52" fillId="19" borderId="77" xfId="0" applyFont="1" applyFill="1" applyBorder="1" applyAlignment="1">
      <alignment horizontal="center" vertical="center" textRotation="90"/>
    </xf>
    <xf numFmtId="0" fontId="52" fillId="19" borderId="0" xfId="0" applyFont="1" applyFill="1" applyAlignment="1">
      <alignment horizontal="center" vertical="center" textRotation="90"/>
    </xf>
    <xf numFmtId="0" fontId="52" fillId="19" borderId="76" xfId="0" applyFont="1" applyFill="1" applyBorder="1" applyAlignment="1">
      <alignment horizontal="center" vertical="center" textRotation="90"/>
    </xf>
    <xf numFmtId="0" fontId="52" fillId="20" borderId="77" xfId="0" applyFont="1" applyFill="1" applyBorder="1" applyAlignment="1">
      <alignment horizontal="center" vertical="center" textRotation="90"/>
    </xf>
    <xf numFmtId="0" fontId="52" fillId="20" borderId="0" xfId="0" applyFont="1" applyFill="1" applyAlignment="1">
      <alignment horizontal="center" vertical="center" textRotation="90"/>
    </xf>
    <xf numFmtId="0" fontId="52" fillId="20" borderId="76" xfId="0" applyFont="1" applyFill="1" applyBorder="1" applyAlignment="1">
      <alignment horizontal="center" vertical="center" textRotation="90"/>
    </xf>
    <xf numFmtId="0" fontId="52" fillId="21" borderId="77" xfId="0" applyFont="1" applyFill="1" applyBorder="1" applyAlignment="1">
      <alignment textRotation="90"/>
    </xf>
    <xf numFmtId="0" fontId="52" fillId="21" borderId="0" xfId="0" applyFont="1" applyFill="1" applyAlignment="1">
      <alignment textRotation="90"/>
    </xf>
    <xf numFmtId="0" fontId="32" fillId="5" borderId="41" xfId="0" applyFont="1" applyFill="1" applyBorder="1" applyAlignment="1">
      <alignment horizontal="center" vertical="center" wrapText="1"/>
    </xf>
    <xf numFmtId="0" fontId="32" fillId="5" borderId="25" xfId="0" applyFont="1" applyFill="1" applyBorder="1" applyAlignment="1">
      <alignment horizontal="center" vertical="center" wrapText="1"/>
    </xf>
    <xf numFmtId="0" fontId="32" fillId="22" borderId="66" xfId="0" applyFont="1" applyFill="1" applyBorder="1" applyAlignment="1">
      <alignment horizontal="center" vertical="center"/>
    </xf>
    <xf numFmtId="0" fontId="32" fillId="22" borderId="42" xfId="0" applyFont="1" applyFill="1" applyBorder="1" applyAlignment="1">
      <alignment horizontal="center" vertical="center"/>
    </xf>
    <xf numFmtId="0" fontId="47" fillId="5" borderId="54" xfId="0" applyFont="1" applyFill="1" applyBorder="1" applyAlignment="1">
      <alignment horizontal="center"/>
    </xf>
    <xf numFmtId="0" fontId="32" fillId="5" borderId="8" xfId="0" applyFont="1" applyFill="1" applyBorder="1" applyAlignment="1">
      <alignment horizontal="center" vertical="center" wrapText="1"/>
    </xf>
    <xf numFmtId="1" fontId="32" fillId="22" borderId="43" xfId="0" applyNumberFormat="1" applyFont="1" applyFill="1" applyBorder="1" applyAlignment="1">
      <alignment horizontal="center" vertical="center"/>
    </xf>
    <xf numFmtId="1" fontId="32" fillId="22" borderId="26" xfId="0" applyNumberFormat="1" applyFont="1" applyFill="1" applyBorder="1" applyAlignment="1">
      <alignment horizontal="center" vertical="center"/>
    </xf>
    <xf numFmtId="0" fontId="17" fillId="5" borderId="20" xfId="0" applyFont="1" applyFill="1" applyBorder="1" applyAlignment="1">
      <alignment horizontal="center" vertical="center" wrapText="1"/>
    </xf>
    <xf numFmtId="0" fontId="17" fillId="5" borderId="27" xfId="0" applyFont="1" applyFill="1" applyBorder="1" applyAlignment="1">
      <alignment horizontal="center" vertical="center" wrapText="1"/>
    </xf>
    <xf numFmtId="0" fontId="17" fillId="5" borderId="56" xfId="0" applyFont="1" applyFill="1" applyBorder="1" applyAlignment="1">
      <alignment horizontal="center" vertical="center" wrapText="1"/>
    </xf>
    <xf numFmtId="0" fontId="17" fillId="5" borderId="44" xfId="0" applyFont="1" applyFill="1" applyBorder="1" applyAlignment="1">
      <alignment horizontal="center" vertical="center" wrapText="1"/>
    </xf>
    <xf numFmtId="0" fontId="17" fillId="5" borderId="4" xfId="0" applyFont="1" applyFill="1" applyBorder="1" applyAlignment="1">
      <alignment horizontal="center" vertical="center" wrapText="1"/>
    </xf>
    <xf numFmtId="0" fontId="17" fillId="5" borderId="67" xfId="0" applyFont="1" applyFill="1" applyBorder="1" applyAlignment="1">
      <alignment horizontal="center" vertical="center" wrapText="1"/>
    </xf>
    <xf numFmtId="0" fontId="15" fillId="5" borderId="41" xfId="0" applyFont="1" applyFill="1" applyBorder="1" applyAlignment="1">
      <alignment horizontal="center" vertical="center" wrapText="1"/>
    </xf>
    <xf numFmtId="0" fontId="15" fillId="5" borderId="25" xfId="0" applyFont="1" applyFill="1" applyBorder="1" applyAlignment="1">
      <alignment horizontal="center" vertical="center" wrapText="1"/>
    </xf>
    <xf numFmtId="0" fontId="15" fillId="5" borderId="66" xfId="0" applyFont="1" applyFill="1" applyBorder="1" applyAlignment="1">
      <alignment horizontal="center" vertical="center" wrapText="1"/>
    </xf>
    <xf numFmtId="0" fontId="15" fillId="5" borderId="42" xfId="0" applyFont="1" applyFill="1" applyBorder="1" applyAlignment="1">
      <alignment horizontal="center" vertical="center" wrapText="1"/>
    </xf>
    <xf numFmtId="0" fontId="15" fillId="5" borderId="43" xfId="0" applyFont="1" applyFill="1" applyBorder="1" applyAlignment="1">
      <alignment horizontal="center" vertical="center" wrapText="1"/>
    </xf>
    <xf numFmtId="0" fontId="15" fillId="5" borderId="26" xfId="0" applyFont="1" applyFill="1" applyBorder="1" applyAlignment="1">
      <alignment horizontal="center" vertical="center" wrapText="1"/>
    </xf>
    <xf numFmtId="2" fontId="32" fillId="22" borderId="17" xfId="0" applyNumberFormat="1" applyFont="1" applyFill="1" applyBorder="1" applyAlignment="1">
      <alignment horizontal="center"/>
    </xf>
    <xf numFmtId="2" fontId="32" fillId="22" borderId="19" xfId="0" applyNumberFormat="1" applyFont="1" applyFill="1" applyBorder="1" applyAlignment="1">
      <alignment horizontal="center"/>
    </xf>
    <xf numFmtId="2" fontId="32" fillId="22" borderId="18" xfId="0" applyNumberFormat="1" applyFont="1" applyFill="1" applyBorder="1" applyAlignment="1">
      <alignment horizontal="center"/>
    </xf>
    <xf numFmtId="2" fontId="32" fillId="22" borderId="22" xfId="0" applyNumberFormat="1" applyFont="1" applyFill="1" applyBorder="1" applyAlignment="1">
      <alignment horizontal="center"/>
    </xf>
    <xf numFmtId="0" fontId="34" fillId="5" borderId="23" xfId="0" applyFont="1" applyFill="1" applyBorder="1" applyAlignment="1">
      <alignment horizontal="center"/>
    </xf>
    <xf numFmtId="0" fontId="34" fillId="5" borderId="46" xfId="0" applyFont="1" applyFill="1" applyBorder="1" applyAlignment="1">
      <alignment horizontal="center"/>
    </xf>
    <xf numFmtId="0" fontId="34" fillId="5" borderId="24" xfId="0" applyFont="1" applyFill="1" applyBorder="1" applyAlignment="1">
      <alignment horizontal="center"/>
    </xf>
    <xf numFmtId="0" fontId="33" fillId="5" borderId="30" xfId="0" applyFont="1" applyFill="1" applyBorder="1" applyAlignment="1">
      <alignment horizontal="center"/>
    </xf>
    <xf numFmtId="2" fontId="32" fillId="22" borderId="17" xfId="0" applyNumberFormat="1" applyFont="1" applyFill="1" applyBorder="1" applyAlignment="1">
      <alignment horizontal="center" vertical="center"/>
    </xf>
    <xf numFmtId="2" fontId="32" fillId="22" borderId="18" xfId="0" applyNumberFormat="1" applyFont="1" applyFill="1" applyBorder="1" applyAlignment="1">
      <alignment horizontal="center" vertical="center"/>
    </xf>
    <xf numFmtId="0" fontId="25" fillId="5" borderId="54" xfId="0" applyFont="1" applyFill="1" applyBorder="1" applyAlignment="1">
      <alignment horizontal="center" vertical="center" wrapText="1"/>
    </xf>
    <xf numFmtId="0" fontId="14" fillId="5" borderId="23" xfId="0" applyFont="1" applyFill="1" applyBorder="1" applyAlignment="1">
      <alignment horizontal="center" vertical="center"/>
    </xf>
    <xf numFmtId="0" fontId="14" fillId="5" borderId="46" xfId="0" applyFont="1" applyFill="1" applyBorder="1" applyAlignment="1">
      <alignment horizontal="center" vertical="center"/>
    </xf>
    <xf numFmtId="0" fontId="14" fillId="5" borderId="24" xfId="0" applyFont="1" applyFill="1" applyBorder="1" applyAlignment="1">
      <alignment horizontal="center" vertical="center"/>
    </xf>
    <xf numFmtId="0" fontId="24" fillId="5" borderId="45" xfId="0" applyFont="1" applyFill="1" applyBorder="1" applyAlignment="1">
      <alignment horizontal="center" vertical="center" wrapText="1"/>
    </xf>
    <xf numFmtId="0" fontId="24" fillId="5" borderId="58" xfId="0" applyFont="1" applyFill="1" applyBorder="1" applyAlignment="1">
      <alignment horizontal="center" vertical="center" wrapText="1"/>
    </xf>
    <xf numFmtId="2" fontId="14" fillId="22" borderId="63" xfId="0" applyNumberFormat="1" applyFont="1" applyFill="1" applyBorder="1" applyAlignment="1">
      <alignment horizontal="center" wrapText="1"/>
    </xf>
    <xf numFmtId="2" fontId="14" fillId="22" borderId="64" xfId="0" applyNumberFormat="1" applyFont="1" applyFill="1" applyBorder="1" applyAlignment="1">
      <alignment horizontal="center" wrapText="1"/>
    </xf>
    <xf numFmtId="0" fontId="34" fillId="5" borderId="20" xfId="0" applyFont="1" applyFill="1" applyBorder="1" applyAlignment="1">
      <alignment horizontal="center" vertical="center"/>
    </xf>
    <xf numFmtId="0" fontId="34" fillId="5" borderId="56" xfId="0" applyFont="1" applyFill="1" applyBorder="1" applyAlignment="1">
      <alignment horizontal="center" vertical="center"/>
    </xf>
    <xf numFmtId="0" fontId="34" fillId="5" borderId="33" xfId="0" applyFont="1" applyFill="1" applyBorder="1" applyAlignment="1">
      <alignment horizontal="center" vertical="center"/>
    </xf>
    <xf numFmtId="0" fontId="34" fillId="5" borderId="59" xfId="0" applyFont="1" applyFill="1" applyBorder="1" applyAlignment="1">
      <alignment horizontal="center" vertical="center"/>
    </xf>
    <xf numFmtId="2" fontId="14" fillId="22" borderId="62" xfId="0" applyNumberFormat="1" applyFont="1" applyFill="1" applyBorder="1" applyAlignment="1">
      <alignment horizontal="center" wrapText="1"/>
    </xf>
    <xf numFmtId="2" fontId="14" fillId="22" borderId="15" xfId="0" applyNumberFormat="1" applyFont="1" applyFill="1" applyBorder="1" applyAlignment="1">
      <alignment horizontal="center" wrapText="1"/>
    </xf>
    <xf numFmtId="0" fontId="24" fillId="5" borderId="35" xfId="0" applyFont="1" applyFill="1" applyBorder="1" applyAlignment="1">
      <alignment horizontal="center" vertical="center" wrapText="1"/>
    </xf>
    <xf numFmtId="0" fontId="24" fillId="5" borderId="61" xfId="0" applyFont="1" applyFill="1" applyBorder="1" applyAlignment="1">
      <alignment horizontal="center" vertical="center" wrapText="1"/>
    </xf>
    <xf numFmtId="10" fontId="14" fillId="22" borderId="5" xfId="0" applyNumberFormat="1" applyFont="1" applyFill="1" applyBorder="1" applyAlignment="1">
      <alignment horizontal="center" vertical="center" wrapText="1"/>
    </xf>
    <xf numFmtId="10" fontId="14" fillId="22" borderId="21" xfId="0" applyNumberFormat="1" applyFont="1" applyFill="1" applyBorder="1" applyAlignment="1">
      <alignment horizontal="center" vertical="center" wrapText="1"/>
    </xf>
    <xf numFmtId="0" fontId="24" fillId="5" borderId="36" xfId="0" applyFont="1" applyFill="1" applyBorder="1" applyAlignment="1">
      <alignment horizontal="center" vertical="center" wrapText="1"/>
    </xf>
    <xf numFmtId="0" fontId="24" fillId="5" borderId="31" xfId="0" applyFont="1" applyFill="1" applyBorder="1" applyAlignment="1">
      <alignment horizontal="center" vertical="center" wrapText="1"/>
    </xf>
    <xf numFmtId="10" fontId="14" fillId="22" borderId="17" xfId="0" applyNumberFormat="1" applyFont="1" applyFill="1" applyBorder="1" applyAlignment="1">
      <alignment horizontal="center" vertical="center" wrapText="1"/>
    </xf>
    <xf numFmtId="10" fontId="14" fillId="22" borderId="19" xfId="0" applyNumberFormat="1" applyFont="1" applyFill="1" applyBorder="1" applyAlignment="1">
      <alignment horizontal="center" vertical="center" wrapText="1"/>
    </xf>
    <xf numFmtId="0" fontId="24" fillId="5" borderId="47" xfId="0" applyFont="1" applyFill="1" applyBorder="1" applyAlignment="1">
      <alignment horizontal="center" vertical="center" wrapText="1"/>
    </xf>
    <xf numFmtId="2" fontId="14" fillId="22" borderId="16" xfId="0" applyNumberFormat="1" applyFont="1" applyFill="1" applyBorder="1" applyAlignment="1">
      <alignment horizontal="center" wrapText="1"/>
    </xf>
    <xf numFmtId="2" fontId="14" fillId="22" borderId="39" xfId="0" applyNumberFormat="1" applyFont="1" applyFill="1" applyBorder="1" applyAlignment="1">
      <alignment horizontal="center" wrapText="1"/>
    </xf>
    <xf numFmtId="0" fontId="24" fillId="5" borderId="6" xfId="0" applyFont="1" applyFill="1" applyBorder="1" applyAlignment="1">
      <alignment horizontal="center" vertical="center" wrapText="1"/>
    </xf>
    <xf numFmtId="10" fontId="14" fillId="22" borderId="18" xfId="0" applyNumberFormat="1" applyFont="1" applyFill="1" applyBorder="1" applyAlignment="1">
      <alignment horizontal="center" vertical="center" wrapText="1"/>
    </xf>
    <xf numFmtId="10" fontId="14" fillId="22" borderId="22" xfId="0" applyNumberFormat="1" applyFont="1" applyFill="1" applyBorder="1" applyAlignment="1">
      <alignment horizontal="center" vertical="center" wrapText="1"/>
    </xf>
    <xf numFmtId="0" fontId="24" fillId="5" borderId="32" xfId="0" applyFont="1" applyFill="1" applyBorder="1" applyAlignment="1">
      <alignment horizontal="center" vertical="center" wrapText="1"/>
    </xf>
    <xf numFmtId="0" fontId="48" fillId="5" borderId="28" xfId="0" applyFont="1" applyFill="1" applyBorder="1" applyAlignment="1">
      <alignment horizontal="center" wrapText="1"/>
    </xf>
    <xf numFmtId="0" fontId="48" fillId="5" borderId="53" xfId="0" applyFont="1" applyFill="1" applyBorder="1" applyAlignment="1">
      <alignment horizontal="center" wrapText="1"/>
    </xf>
    <xf numFmtId="0" fontId="33" fillId="12" borderId="0" xfId="0" applyFont="1" applyFill="1" applyAlignment="1">
      <alignment horizontal="left"/>
    </xf>
    <xf numFmtId="0" fontId="34" fillId="5" borderId="23" xfId="0" applyFont="1" applyFill="1" applyBorder="1" applyAlignment="1">
      <alignment horizontal="center" vertical="center" wrapText="1"/>
    </xf>
    <xf numFmtId="0" fontId="34" fillId="5" borderId="46" xfId="0" applyFont="1" applyFill="1" applyBorder="1" applyAlignment="1">
      <alignment horizontal="center" vertical="center" wrapText="1"/>
    </xf>
    <xf numFmtId="0" fontId="27" fillId="5" borderId="23" xfId="0" applyFont="1" applyFill="1" applyBorder="1" applyAlignment="1">
      <alignment horizontal="center"/>
    </xf>
    <xf numFmtId="0" fontId="27" fillId="5" borderId="24" xfId="0" applyFont="1" applyFill="1" applyBorder="1" applyAlignment="1">
      <alignment horizontal="center"/>
    </xf>
    <xf numFmtId="0" fontId="27" fillId="5" borderId="23" xfId="0" applyFont="1" applyFill="1" applyBorder="1" applyAlignment="1">
      <alignment horizontal="center" vertical="center" wrapText="1"/>
    </xf>
    <xf numFmtId="0" fontId="27" fillId="5" borderId="24" xfId="0" applyFont="1" applyFill="1" applyBorder="1" applyAlignment="1">
      <alignment horizontal="center" vertical="center" wrapText="1"/>
    </xf>
    <xf numFmtId="2" fontId="32" fillId="23" borderId="37" xfId="0" applyNumberFormat="1" applyFont="1" applyFill="1" applyBorder="1" applyAlignment="1">
      <alignment horizontal="center" vertical="center"/>
    </xf>
    <xf numFmtId="2" fontId="32" fillId="23" borderId="75" xfId="0" applyNumberFormat="1" applyFont="1" applyFill="1" applyBorder="1" applyAlignment="1">
      <alignment horizontal="center" vertical="center"/>
    </xf>
    <xf numFmtId="2" fontId="32" fillId="23" borderId="38" xfId="0" applyNumberFormat="1" applyFont="1" applyFill="1" applyBorder="1" applyAlignment="1">
      <alignment horizontal="center" vertical="center"/>
    </xf>
    <xf numFmtId="0" fontId="35" fillId="5" borderId="23" xfId="0" applyFont="1" applyFill="1" applyBorder="1" applyAlignment="1">
      <alignment horizontal="center" vertical="center" wrapText="1"/>
    </xf>
    <xf numFmtId="0" fontId="35" fillId="5" borderId="46" xfId="0" applyFont="1" applyFill="1" applyBorder="1" applyAlignment="1">
      <alignment horizontal="center" vertical="center" wrapText="1"/>
    </xf>
    <xf numFmtId="0" fontId="35" fillId="5" borderId="24" xfId="0" applyFont="1" applyFill="1" applyBorder="1" applyAlignment="1">
      <alignment horizontal="center" vertical="center" wrapText="1"/>
    </xf>
    <xf numFmtId="0" fontId="32" fillId="12" borderId="27" xfId="0" applyFont="1" applyFill="1" applyBorder="1" applyAlignment="1">
      <alignment horizontal="center" vertical="center" wrapText="1"/>
    </xf>
    <xf numFmtId="0" fontId="34" fillId="5" borderId="24" xfId="0" applyFont="1" applyFill="1" applyBorder="1" applyAlignment="1">
      <alignment horizontal="center" vertical="center" wrapText="1"/>
    </xf>
    <xf numFmtId="0" fontId="36" fillId="5" borderId="19" xfId="0" applyFont="1" applyFill="1" applyBorder="1" applyAlignment="1">
      <alignment horizontal="center" vertical="center" wrapText="1"/>
    </xf>
    <xf numFmtId="0" fontId="36" fillId="5" borderId="21" xfId="0" applyFont="1" applyFill="1" applyBorder="1" applyAlignment="1">
      <alignment horizontal="center" vertical="center" wrapText="1"/>
    </xf>
    <xf numFmtId="0" fontId="36" fillId="5" borderId="14" xfId="0" applyFont="1" applyFill="1" applyBorder="1" applyAlignment="1">
      <alignment horizontal="center" vertical="center" wrapText="1"/>
    </xf>
    <xf numFmtId="0" fontId="36" fillId="5" borderId="12" xfId="0" applyFont="1" applyFill="1" applyBorder="1" applyAlignment="1">
      <alignment horizontal="center" vertical="center" wrapText="1"/>
    </xf>
    <xf numFmtId="0" fontId="36" fillId="5" borderId="17" xfId="0" applyFont="1" applyFill="1" applyBorder="1" applyAlignment="1">
      <alignment horizontal="center" vertical="center" wrapText="1"/>
    </xf>
    <xf numFmtId="0" fontId="36" fillId="5" borderId="5" xfId="0" applyFont="1" applyFill="1" applyBorder="1" applyAlignment="1">
      <alignment horizontal="center" vertical="center" wrapText="1"/>
    </xf>
    <xf numFmtId="0" fontId="32" fillId="18" borderId="5" xfId="0" applyFont="1" applyFill="1" applyBorder="1" applyAlignment="1">
      <alignment horizontal="center" vertical="top"/>
    </xf>
    <xf numFmtId="0" fontId="32" fillId="15" borderId="5" xfId="0" applyFont="1" applyFill="1" applyBorder="1" applyAlignment="1">
      <alignment horizontal="center" vertical="top"/>
    </xf>
    <xf numFmtId="0" fontId="32" fillId="17" borderId="5" xfId="0" applyFont="1" applyFill="1" applyBorder="1" applyAlignment="1">
      <alignment horizontal="center" vertical="center"/>
    </xf>
    <xf numFmtId="0" fontId="32" fillId="16" borderId="18" xfId="0" applyFont="1" applyFill="1" applyBorder="1" applyAlignment="1">
      <alignment horizontal="center" vertical="top"/>
    </xf>
    <xf numFmtId="0" fontId="36" fillId="23" borderId="23" xfId="0" applyFont="1" applyFill="1" applyBorder="1" applyAlignment="1">
      <alignment horizontal="center" vertical="center" wrapText="1"/>
    </xf>
    <xf numFmtId="0" fontId="36" fillId="23" borderId="46" xfId="0" applyFont="1" applyFill="1" applyBorder="1" applyAlignment="1">
      <alignment horizontal="center" vertical="center" wrapText="1"/>
    </xf>
    <xf numFmtId="0" fontId="36" fillId="23" borderId="24" xfId="0" applyFont="1" applyFill="1" applyBorder="1" applyAlignment="1">
      <alignment horizontal="center" vertical="center" wrapText="1"/>
    </xf>
    <xf numFmtId="0" fontId="27" fillId="11" borderId="20" xfId="0" applyFont="1" applyFill="1" applyBorder="1" applyAlignment="1">
      <alignment horizontal="center" vertical="center"/>
    </xf>
    <xf numFmtId="0" fontId="27" fillId="11" borderId="27" xfId="0" applyFont="1" applyFill="1" applyBorder="1" applyAlignment="1">
      <alignment horizontal="center" vertical="center"/>
    </xf>
    <xf numFmtId="0" fontId="27" fillId="11" borderId="56" xfId="0" applyFont="1" applyFill="1" applyBorder="1" applyAlignment="1">
      <alignment horizontal="center" vertical="center"/>
    </xf>
    <xf numFmtId="0" fontId="27" fillId="11" borderId="33" xfId="0" applyFont="1" applyFill="1" applyBorder="1" applyAlignment="1">
      <alignment horizontal="center" vertical="center"/>
    </xf>
    <xf numFmtId="0" fontId="27" fillId="11" borderId="34" xfId="0" applyFont="1" applyFill="1" applyBorder="1" applyAlignment="1">
      <alignment horizontal="center" vertical="center"/>
    </xf>
    <xf numFmtId="0" fontId="27" fillId="11" borderId="59" xfId="0" applyFont="1" applyFill="1" applyBorder="1" applyAlignment="1">
      <alignment horizontal="center" vertical="center"/>
    </xf>
    <xf numFmtId="0" fontId="14" fillId="11" borderId="23" xfId="0" applyFont="1" applyFill="1" applyBorder="1" applyAlignment="1">
      <alignment horizontal="center" vertical="top"/>
    </xf>
    <xf numFmtId="0" fontId="14" fillId="11" borderId="46" xfId="0" applyFont="1" applyFill="1" applyBorder="1" applyAlignment="1">
      <alignment horizontal="center" vertical="top"/>
    </xf>
    <xf numFmtId="0" fontId="14" fillId="11" borderId="24" xfId="0" applyFont="1" applyFill="1" applyBorder="1" applyAlignment="1">
      <alignment horizontal="center" vertical="top"/>
    </xf>
    <xf numFmtId="0" fontId="36" fillId="11" borderId="23" xfId="0" applyFont="1" applyFill="1" applyBorder="1" applyAlignment="1">
      <alignment horizontal="center" vertical="center" wrapText="1"/>
    </xf>
    <xf numFmtId="0" fontId="36" fillId="11" borderId="46" xfId="0" applyFont="1" applyFill="1" applyBorder="1" applyAlignment="1">
      <alignment horizontal="center" vertical="center" wrapText="1"/>
    </xf>
    <xf numFmtId="0" fontId="36" fillId="11" borderId="24" xfId="0" applyFont="1" applyFill="1" applyBorder="1" applyAlignment="1">
      <alignment horizontal="center" vertical="center" wrapText="1"/>
    </xf>
    <xf numFmtId="0" fontId="36" fillId="11" borderId="35" xfId="0" applyFont="1" applyFill="1" applyBorder="1" applyAlignment="1">
      <alignment horizontal="center" vertical="center" wrapText="1"/>
    </xf>
    <xf numFmtId="0" fontId="36" fillId="11" borderId="15" xfId="0" applyFont="1" applyFill="1" applyBorder="1" applyAlignment="1">
      <alignment horizontal="center" vertical="center" wrapText="1"/>
    </xf>
    <xf numFmtId="0" fontId="36" fillId="11" borderId="47" xfId="0" applyFont="1" applyFill="1" applyBorder="1" applyAlignment="1">
      <alignment horizontal="center" vertical="center" wrapText="1"/>
    </xf>
    <xf numFmtId="0" fontId="36" fillId="11" borderId="28" xfId="0" applyFont="1" applyFill="1" applyBorder="1" applyAlignment="1">
      <alignment horizontal="center" vertical="center" wrapText="1"/>
    </xf>
    <xf numFmtId="0" fontId="36" fillId="11" borderId="30" xfId="0" applyFont="1" applyFill="1" applyBorder="1" applyAlignment="1">
      <alignment horizontal="center" vertical="center" wrapText="1"/>
    </xf>
    <xf numFmtId="0" fontId="14" fillId="12" borderId="0" xfId="0" applyFont="1" applyFill="1" applyAlignment="1">
      <alignment horizontal="center" wrapText="1"/>
    </xf>
    <xf numFmtId="0" fontId="32" fillId="10" borderId="0" xfId="0" applyFont="1" applyFill="1" applyAlignment="1">
      <alignment horizontal="center" wrapText="1"/>
    </xf>
    <xf numFmtId="0" fontId="36" fillId="11" borderId="73" xfId="0" applyFont="1" applyFill="1" applyBorder="1" applyAlignment="1">
      <alignment horizontal="center" vertical="center" wrapText="1"/>
    </xf>
    <xf numFmtId="0" fontId="36" fillId="11" borderId="42" xfId="0" applyFont="1" applyFill="1" applyBorder="1" applyAlignment="1">
      <alignment horizontal="center" vertical="center" wrapText="1"/>
    </xf>
    <xf numFmtId="0" fontId="36" fillId="11" borderId="37" xfId="0" applyFont="1" applyFill="1" applyBorder="1" applyAlignment="1">
      <alignment horizontal="center" vertical="center" wrapText="1"/>
    </xf>
    <xf numFmtId="0" fontId="36" fillId="11" borderId="26" xfId="0" applyFont="1" applyFill="1" applyBorder="1" applyAlignment="1">
      <alignment horizontal="center" vertical="center" wrapText="1"/>
    </xf>
    <xf numFmtId="0" fontId="36" fillId="11" borderId="7" xfId="0" applyFont="1" applyFill="1" applyBorder="1" applyAlignment="1">
      <alignment horizontal="center" vertical="center" wrapText="1"/>
    </xf>
    <xf numFmtId="0" fontId="36" fillId="11" borderId="25" xfId="0" applyFont="1" applyFill="1" applyBorder="1" applyAlignment="1">
      <alignment horizontal="center" vertical="center" wrapText="1"/>
    </xf>
    <xf numFmtId="0" fontId="36" fillId="11" borderId="23" xfId="0" applyFont="1" applyFill="1" applyBorder="1" applyAlignment="1">
      <alignment horizontal="center" vertical="center"/>
    </xf>
    <xf numFmtId="0" fontId="36" fillId="11" borderId="46" xfId="0" applyFont="1" applyFill="1" applyBorder="1" applyAlignment="1">
      <alignment horizontal="center" vertical="center"/>
    </xf>
    <xf numFmtId="0" fontId="36" fillId="11" borderId="24" xfId="0" applyFont="1" applyFill="1" applyBorder="1" applyAlignment="1">
      <alignment horizontal="center" vertical="center"/>
    </xf>
    <xf numFmtId="0" fontId="36" fillId="11" borderId="49" xfId="0" applyFont="1" applyFill="1" applyBorder="1" applyAlignment="1">
      <alignment horizontal="center" vertical="center" wrapText="1"/>
    </xf>
    <xf numFmtId="0" fontId="32" fillId="10" borderId="0" xfId="0" applyFont="1" applyFill="1" applyAlignment="1">
      <alignment horizontal="center"/>
    </xf>
    <xf numFmtId="0" fontId="14" fillId="12" borderId="0" xfId="0" applyFont="1" applyFill="1" applyAlignment="1">
      <alignment horizontal="center" vertical="center" wrapText="1"/>
    </xf>
    <xf numFmtId="0" fontId="14" fillId="10" borderId="0" xfId="0" applyFont="1" applyFill="1" applyAlignment="1">
      <alignment horizontal="center"/>
    </xf>
    <xf numFmtId="0" fontId="14" fillId="11" borderId="23" xfId="0" applyFont="1" applyFill="1" applyBorder="1" applyAlignment="1">
      <alignment horizontal="left" vertical="top"/>
    </xf>
    <xf numFmtId="0" fontId="14" fillId="11" borderId="46" xfId="0" applyFont="1" applyFill="1" applyBorder="1" applyAlignment="1">
      <alignment horizontal="left" vertical="top"/>
    </xf>
    <xf numFmtId="0" fontId="14" fillId="11" borderId="24" xfId="0" applyFont="1" applyFill="1" applyBorder="1" applyAlignment="1">
      <alignment horizontal="left" vertical="top"/>
    </xf>
    <xf numFmtId="0" fontId="36" fillId="11" borderId="35" xfId="0" applyFont="1" applyFill="1" applyBorder="1" applyAlignment="1">
      <alignment horizontal="center"/>
    </xf>
    <xf numFmtId="0" fontId="36" fillId="11" borderId="15" xfId="0" applyFont="1" applyFill="1" applyBorder="1" applyAlignment="1">
      <alignment horizontal="center"/>
    </xf>
    <xf numFmtId="0" fontId="36" fillId="11" borderId="47" xfId="0" applyFont="1" applyFill="1" applyBorder="1" applyAlignment="1">
      <alignment horizontal="center" vertical="center"/>
    </xf>
    <xf numFmtId="0" fontId="36" fillId="11" borderId="15" xfId="0" applyFont="1" applyFill="1" applyBorder="1" applyAlignment="1">
      <alignment horizontal="center" vertical="center"/>
    </xf>
    <xf numFmtId="0" fontId="14" fillId="10" borderId="0" xfId="0" applyFont="1" applyFill="1" applyAlignment="1">
      <alignment horizontal="center" vertical="center" wrapText="1"/>
    </xf>
    <xf numFmtId="0" fontId="36" fillId="11" borderId="35" xfId="0" applyFont="1" applyFill="1" applyBorder="1" applyAlignment="1">
      <alignment horizontal="center" vertical="center"/>
    </xf>
    <xf numFmtId="0" fontId="36" fillId="11" borderId="14" xfId="0" applyFont="1" applyFill="1" applyBorder="1" applyAlignment="1">
      <alignment horizontal="center" vertical="center" wrapText="1"/>
    </xf>
    <xf numFmtId="0" fontId="36" fillId="11" borderId="12" xfId="0" applyFont="1" applyFill="1" applyBorder="1" applyAlignment="1">
      <alignment horizontal="center" vertical="center" wrapText="1"/>
    </xf>
    <xf numFmtId="0" fontId="36" fillId="11" borderId="53" xfId="0" applyFont="1" applyFill="1" applyBorder="1" applyAlignment="1">
      <alignment horizontal="center" vertical="center" wrapText="1"/>
    </xf>
    <xf numFmtId="0" fontId="36" fillId="11" borderId="19" xfId="0" applyFont="1" applyFill="1" applyBorder="1" applyAlignment="1">
      <alignment horizontal="center" vertical="center" wrapText="1"/>
    </xf>
    <xf numFmtId="0" fontId="36" fillId="11" borderId="21" xfId="0" applyFont="1" applyFill="1" applyBorder="1" applyAlignment="1">
      <alignment horizontal="center" vertical="center" wrapText="1"/>
    </xf>
    <xf numFmtId="0" fontId="36" fillId="11" borderId="17" xfId="0" applyFont="1" applyFill="1" applyBorder="1" applyAlignment="1">
      <alignment horizontal="center" vertical="center" wrapText="1"/>
    </xf>
    <xf numFmtId="0" fontId="36" fillId="11" borderId="5" xfId="0" applyFont="1" applyFill="1" applyBorder="1" applyAlignment="1">
      <alignment horizontal="center" vertical="center" wrapText="1"/>
    </xf>
    <xf numFmtId="0" fontId="36" fillId="5" borderId="54" xfId="0" applyFont="1" applyFill="1" applyBorder="1" applyAlignment="1">
      <alignment horizontal="center" vertical="center" wrapText="1"/>
    </xf>
    <xf numFmtId="0" fontId="36" fillId="5" borderId="29" xfId="0" applyFont="1" applyFill="1" applyBorder="1" applyAlignment="1">
      <alignment horizontal="center" vertical="center" wrapText="1"/>
    </xf>
    <xf numFmtId="0" fontId="27" fillId="5" borderId="20" xfId="0" applyFont="1" applyFill="1" applyBorder="1" applyAlignment="1">
      <alignment horizontal="center" vertical="top"/>
    </xf>
    <xf numFmtId="0" fontId="27" fillId="5" borderId="27" xfId="0" applyFont="1" applyFill="1" applyBorder="1" applyAlignment="1">
      <alignment horizontal="center" vertical="top"/>
    </xf>
    <xf numFmtId="0" fontId="27" fillId="5" borderId="56" xfId="0" applyFont="1" applyFill="1" applyBorder="1" applyAlignment="1">
      <alignment horizontal="center" vertical="top"/>
    </xf>
    <xf numFmtId="0" fontId="27" fillId="5" borderId="33" xfId="0" applyFont="1" applyFill="1" applyBorder="1" applyAlignment="1">
      <alignment horizontal="center" vertical="top"/>
    </xf>
    <xf numFmtId="0" fontId="27" fillId="5" borderId="34" xfId="0" applyFont="1" applyFill="1" applyBorder="1" applyAlignment="1">
      <alignment horizontal="center" vertical="top"/>
    </xf>
    <xf numFmtId="0" fontId="27" fillId="5" borderId="59" xfId="0" applyFont="1" applyFill="1" applyBorder="1" applyAlignment="1">
      <alignment horizontal="center" vertical="top"/>
    </xf>
    <xf numFmtId="0" fontId="14" fillId="5" borderId="23" xfId="0" applyFont="1" applyFill="1" applyBorder="1" applyAlignment="1">
      <alignment horizontal="center" vertical="top"/>
    </xf>
    <xf numFmtId="0" fontId="14" fillId="5" borderId="46" xfId="0" applyFont="1" applyFill="1" applyBorder="1" applyAlignment="1">
      <alignment horizontal="center" vertical="top"/>
    </xf>
    <xf numFmtId="0" fontId="14" fillId="5" borderId="24" xfId="0" applyFont="1" applyFill="1" applyBorder="1" applyAlignment="1">
      <alignment horizontal="center" vertical="top"/>
    </xf>
    <xf numFmtId="0" fontId="36" fillId="5" borderId="29" xfId="0" applyFont="1" applyFill="1" applyBorder="1" applyAlignment="1">
      <alignment horizontal="center" vertical="center"/>
    </xf>
    <xf numFmtId="0" fontId="36" fillId="5" borderId="23" xfId="0" applyFont="1" applyFill="1" applyBorder="1" applyAlignment="1">
      <alignment horizontal="center" vertical="center"/>
    </xf>
    <xf numFmtId="0" fontId="36" fillId="5" borderId="46" xfId="0" applyFont="1" applyFill="1" applyBorder="1" applyAlignment="1">
      <alignment horizontal="center" vertical="center"/>
    </xf>
    <xf numFmtId="0" fontId="36" fillId="5" borderId="24" xfId="0" applyFont="1" applyFill="1" applyBorder="1" applyAlignment="1">
      <alignment horizontal="center" vertical="center"/>
    </xf>
    <xf numFmtId="0" fontId="36" fillId="5" borderId="62" xfId="0" applyFont="1" applyFill="1" applyBorder="1" applyAlignment="1">
      <alignment horizontal="center" vertical="center" wrapText="1"/>
    </xf>
    <xf numFmtId="0" fontId="36" fillId="5" borderId="16" xfId="0" applyFont="1" applyFill="1" applyBorder="1" applyAlignment="1">
      <alignment horizontal="center" vertical="center" wrapText="1"/>
    </xf>
    <xf numFmtId="0" fontId="36" fillId="5" borderId="61" xfId="0" applyFont="1" applyFill="1" applyBorder="1" applyAlignment="1">
      <alignment horizontal="center" vertical="center" wrapText="1"/>
    </xf>
    <xf numFmtId="0" fontId="36" fillId="5" borderId="6" xfId="0" applyFont="1" applyFill="1" applyBorder="1" applyAlignment="1">
      <alignment horizontal="center" vertical="center" wrapText="1"/>
    </xf>
    <xf numFmtId="0" fontId="36" fillId="5" borderId="35" xfId="0" applyFont="1" applyFill="1" applyBorder="1" applyAlignment="1">
      <alignment horizontal="center" vertical="center"/>
    </xf>
    <xf numFmtId="0" fontId="36" fillId="5" borderId="15" xfId="0" applyFont="1" applyFill="1" applyBorder="1" applyAlignment="1">
      <alignment horizontal="center" vertical="center"/>
    </xf>
    <xf numFmtId="0" fontId="36" fillId="5" borderId="47" xfId="0" applyFont="1" applyFill="1" applyBorder="1" applyAlignment="1">
      <alignment horizontal="center" vertical="center"/>
    </xf>
    <xf numFmtId="0" fontId="36" fillId="5" borderId="37" xfId="0" applyFont="1" applyFill="1" applyBorder="1" applyAlignment="1">
      <alignment horizontal="center" vertical="center" wrapText="1"/>
    </xf>
    <xf numFmtId="0" fontId="36" fillId="5" borderId="26" xfId="0" applyFont="1" applyFill="1" applyBorder="1" applyAlignment="1">
      <alignment horizontal="center" vertical="center" wrapText="1"/>
    </xf>
    <xf numFmtId="0" fontId="36" fillId="5" borderId="73" xfId="0" applyFont="1" applyFill="1" applyBorder="1" applyAlignment="1">
      <alignment horizontal="center" vertical="center" wrapText="1"/>
    </xf>
    <xf numFmtId="0" fontId="36" fillId="5" borderId="42" xfId="0" applyFont="1" applyFill="1" applyBorder="1" applyAlignment="1">
      <alignment horizontal="center" vertical="center" wrapText="1"/>
    </xf>
    <xf numFmtId="0" fontId="36" fillId="5" borderId="7" xfId="0" applyFont="1" applyFill="1" applyBorder="1" applyAlignment="1">
      <alignment horizontal="center" vertical="center" wrapText="1"/>
    </xf>
    <xf numFmtId="0" fontId="36" fillId="5" borderId="25" xfId="0" applyFont="1" applyFill="1" applyBorder="1" applyAlignment="1">
      <alignment horizontal="center" vertical="center" wrapText="1"/>
    </xf>
    <xf numFmtId="0" fontId="36" fillId="5" borderId="35" xfId="0" applyFont="1" applyFill="1" applyBorder="1" applyAlignment="1">
      <alignment horizontal="center" vertical="center" wrapText="1"/>
    </xf>
    <xf numFmtId="0" fontId="36" fillId="5" borderId="47" xfId="0" applyFont="1" applyFill="1" applyBorder="1" applyAlignment="1">
      <alignment horizontal="center" vertical="center" wrapText="1"/>
    </xf>
    <xf numFmtId="0" fontId="36" fillId="5" borderId="15" xfId="0" applyFont="1" applyFill="1" applyBorder="1" applyAlignment="1">
      <alignment horizontal="center" vertical="center" wrapText="1"/>
    </xf>
    <xf numFmtId="0" fontId="36" fillId="5" borderId="28" xfId="0" applyFont="1" applyFill="1" applyBorder="1" applyAlignment="1">
      <alignment horizontal="center" vertical="center" wrapText="1"/>
    </xf>
    <xf numFmtId="0" fontId="36" fillId="5" borderId="53" xfId="0" applyFont="1" applyFill="1" applyBorder="1" applyAlignment="1">
      <alignment horizontal="center" vertical="center" wrapText="1"/>
    </xf>
    <xf numFmtId="0" fontId="27" fillId="5" borderId="23" xfId="0" applyFont="1" applyFill="1" applyBorder="1" applyAlignment="1">
      <alignment horizontal="center" vertical="center"/>
    </xf>
    <xf numFmtId="0" fontId="27" fillId="5" borderId="46" xfId="0" applyFont="1" applyFill="1" applyBorder="1" applyAlignment="1">
      <alignment horizontal="center" vertical="center"/>
    </xf>
    <xf numFmtId="0" fontId="27" fillId="5" borderId="24" xfId="0" applyFont="1" applyFill="1" applyBorder="1" applyAlignment="1">
      <alignment horizontal="center" vertical="center"/>
    </xf>
    <xf numFmtId="0" fontId="27" fillId="5" borderId="20" xfId="0" applyFont="1" applyFill="1" applyBorder="1" applyAlignment="1">
      <alignment horizontal="center" vertical="center"/>
    </xf>
    <xf numFmtId="0" fontId="27" fillId="5" borderId="27" xfId="0" applyFont="1" applyFill="1" applyBorder="1" applyAlignment="1">
      <alignment horizontal="center" vertical="center"/>
    </xf>
    <xf numFmtId="0" fontId="27" fillId="5" borderId="56" xfId="0" applyFont="1" applyFill="1" applyBorder="1" applyAlignment="1">
      <alignment horizontal="center" vertical="center"/>
    </xf>
    <xf numFmtId="0" fontId="27" fillId="5" borderId="33" xfId="0" applyFont="1" applyFill="1" applyBorder="1" applyAlignment="1">
      <alignment horizontal="center" vertical="center"/>
    </xf>
    <xf numFmtId="0" fontId="27" fillId="5" borderId="34" xfId="0" applyFont="1" applyFill="1" applyBorder="1" applyAlignment="1">
      <alignment horizontal="center" vertical="center"/>
    </xf>
    <xf numFmtId="0" fontId="27" fillId="5" borderId="59" xfId="0" applyFont="1" applyFill="1" applyBorder="1" applyAlignment="1">
      <alignment horizontal="center" vertical="center"/>
    </xf>
    <xf numFmtId="0" fontId="36" fillId="12" borderId="0" xfId="0" applyFont="1" applyFill="1" applyAlignment="1">
      <alignment horizontal="center"/>
    </xf>
    <xf numFmtId="0" fontId="36" fillId="5" borderId="49" xfId="0" applyFont="1" applyFill="1" applyBorder="1" applyAlignment="1">
      <alignment horizontal="center" vertical="center" wrapText="1"/>
    </xf>
    <xf numFmtId="0" fontId="36" fillId="12" borderId="27" xfId="0" applyFont="1" applyFill="1" applyBorder="1" applyAlignment="1">
      <alignment horizontal="center" wrapText="1"/>
    </xf>
    <xf numFmtId="0" fontId="36" fillId="12" borderId="56" xfId="0" applyFont="1" applyFill="1" applyBorder="1" applyAlignment="1">
      <alignment horizontal="center" wrapText="1"/>
    </xf>
    <xf numFmtId="0" fontId="36" fillId="5" borderId="55" xfId="0" applyFont="1" applyFill="1" applyBorder="1" applyAlignment="1">
      <alignment horizontal="center" vertical="center" wrapText="1"/>
    </xf>
    <xf numFmtId="0" fontId="36" fillId="5" borderId="54" xfId="0" applyFont="1" applyFill="1" applyBorder="1" applyAlignment="1">
      <alignment horizontal="center" vertical="center"/>
    </xf>
    <xf numFmtId="0" fontId="14" fillId="5" borderId="23" xfId="0" applyFont="1" applyFill="1" applyBorder="1" applyAlignment="1">
      <alignment horizontal="left" vertical="top"/>
    </xf>
    <xf numFmtId="0" fontId="14" fillId="5" borderId="46" xfId="0" applyFont="1" applyFill="1" applyBorder="1" applyAlignment="1">
      <alignment horizontal="left" vertical="top"/>
    </xf>
    <xf numFmtId="0" fontId="14" fillId="5" borderId="24" xfId="0" applyFont="1" applyFill="1" applyBorder="1" applyAlignment="1">
      <alignment horizontal="left" vertical="top"/>
    </xf>
    <xf numFmtId="0" fontId="36" fillId="5" borderId="20" xfId="0" applyFont="1" applyFill="1" applyBorder="1" applyAlignment="1">
      <alignment horizontal="center" vertical="center"/>
    </xf>
    <xf numFmtId="0" fontId="36" fillId="5" borderId="27" xfId="0" applyFont="1" applyFill="1" applyBorder="1" applyAlignment="1">
      <alignment horizontal="center" vertical="center"/>
    </xf>
    <xf numFmtId="0" fontId="36" fillId="5" borderId="56" xfId="0" applyFont="1" applyFill="1" applyBorder="1" applyAlignment="1">
      <alignment horizontal="center" vertical="center"/>
    </xf>
    <xf numFmtId="0" fontId="36" fillId="5" borderId="29" xfId="0" applyFont="1" applyFill="1" applyBorder="1" applyAlignment="1">
      <alignment horizontal="center"/>
    </xf>
    <xf numFmtId="0" fontId="36" fillId="7" borderId="35" xfId="0" applyFont="1" applyFill="1" applyBorder="1" applyAlignment="1">
      <alignment horizontal="center" vertical="center" wrapText="1"/>
    </xf>
    <xf numFmtId="0" fontId="36" fillId="7" borderId="15" xfId="0" applyFont="1" applyFill="1" applyBorder="1" applyAlignment="1">
      <alignment horizontal="center" vertical="center" wrapText="1"/>
    </xf>
    <xf numFmtId="0" fontId="36" fillId="7" borderId="47" xfId="0" applyFont="1" applyFill="1" applyBorder="1" applyAlignment="1">
      <alignment horizontal="center" vertical="center" wrapText="1"/>
    </xf>
    <xf numFmtId="0" fontId="36" fillId="5" borderId="30" xfId="0" applyFont="1" applyFill="1" applyBorder="1" applyAlignment="1">
      <alignment horizontal="center" vertical="center" wrapText="1"/>
    </xf>
    <xf numFmtId="0" fontId="36" fillId="12" borderId="27" xfId="0" applyFont="1" applyFill="1" applyBorder="1" applyAlignment="1">
      <alignment horizontal="center" vertical="center"/>
    </xf>
    <xf numFmtId="0" fontId="36" fillId="5" borderId="50" xfId="0" applyFont="1" applyFill="1" applyBorder="1" applyAlignment="1">
      <alignment horizontal="center" vertical="center" wrapText="1"/>
    </xf>
    <xf numFmtId="0" fontId="27" fillId="5" borderId="23" xfId="0" applyFont="1" applyFill="1" applyBorder="1" applyAlignment="1">
      <alignment horizontal="left" vertical="center"/>
    </xf>
    <xf numFmtId="0" fontId="27" fillId="5" borderId="46" xfId="0" applyFont="1" applyFill="1" applyBorder="1" applyAlignment="1">
      <alignment horizontal="left" vertical="center"/>
    </xf>
    <xf numFmtId="0" fontId="27" fillId="5" borderId="24" xfId="0" applyFont="1" applyFill="1" applyBorder="1" applyAlignment="1">
      <alignment horizontal="left" vertical="center"/>
    </xf>
    <xf numFmtId="0" fontId="36" fillId="5" borderId="23" xfId="0" applyFont="1" applyFill="1" applyBorder="1" applyAlignment="1">
      <alignment horizontal="center"/>
    </xf>
    <xf numFmtId="0" fontId="36" fillId="5" borderId="46" xfId="0" applyFont="1" applyFill="1" applyBorder="1" applyAlignment="1">
      <alignment horizontal="center"/>
    </xf>
    <xf numFmtId="0" fontId="36" fillId="5" borderId="24" xfId="0" applyFont="1" applyFill="1" applyBorder="1" applyAlignment="1">
      <alignment horizontal="center"/>
    </xf>
    <xf numFmtId="0" fontId="36" fillId="5" borderId="23" xfId="0" applyFont="1" applyFill="1" applyBorder="1" applyAlignment="1">
      <alignment horizontal="center" vertical="center" wrapText="1"/>
    </xf>
    <xf numFmtId="0" fontId="27" fillId="5" borderId="1" xfId="0" applyFont="1" applyFill="1" applyBorder="1" applyAlignment="1">
      <alignment horizontal="center" vertical="center"/>
    </xf>
    <xf numFmtId="0" fontId="27" fillId="5" borderId="65" xfId="0" applyFont="1" applyFill="1" applyBorder="1" applyAlignment="1">
      <alignment horizontal="center" vertical="center"/>
    </xf>
    <xf numFmtId="0" fontId="27" fillId="5" borderId="60" xfId="0" applyFont="1" applyFill="1" applyBorder="1" applyAlignment="1">
      <alignment horizontal="center" vertical="center"/>
    </xf>
    <xf numFmtId="0" fontId="27" fillId="5" borderId="2" xfId="0" applyFont="1" applyFill="1" applyBorder="1" applyAlignment="1">
      <alignment horizontal="center" vertical="center"/>
    </xf>
    <xf numFmtId="0" fontId="36" fillId="5" borderId="67" xfId="0" applyFont="1" applyFill="1" applyBorder="1" applyAlignment="1">
      <alignment horizontal="center" vertical="center" wrapText="1"/>
    </xf>
    <xf numFmtId="0" fontId="36" fillId="5" borderId="46" xfId="0" applyFont="1" applyFill="1" applyBorder="1" applyAlignment="1">
      <alignment horizontal="center" vertical="center" wrapText="1"/>
    </xf>
    <xf numFmtId="0" fontId="36" fillId="5" borderId="24" xfId="0" applyFont="1" applyFill="1" applyBorder="1" applyAlignment="1">
      <alignment horizontal="center" vertical="center" wrapText="1"/>
    </xf>
    <xf numFmtId="0" fontId="36" fillId="12" borderId="27" xfId="0" applyFont="1" applyFill="1" applyBorder="1" applyAlignment="1">
      <alignment horizontal="center" vertical="center" wrapText="1"/>
    </xf>
    <xf numFmtId="0" fontId="36" fillId="12" borderId="56" xfId="0" applyFont="1" applyFill="1" applyBorder="1" applyAlignment="1">
      <alignment horizontal="center" vertical="center" wrapText="1"/>
    </xf>
    <xf numFmtId="0" fontId="27" fillId="5" borderId="57" xfId="0" applyFont="1" applyFill="1" applyBorder="1" applyAlignment="1">
      <alignment horizontal="center" vertical="top"/>
    </xf>
    <xf numFmtId="0" fontId="27" fillId="5" borderId="0" xfId="0" applyFont="1" applyFill="1" applyAlignment="1">
      <alignment horizontal="center" vertical="top"/>
    </xf>
    <xf numFmtId="0" fontId="27" fillId="5" borderId="50" xfId="0" applyFont="1" applyFill="1" applyBorder="1" applyAlignment="1">
      <alignment horizontal="center" vertical="top"/>
    </xf>
    <xf numFmtId="0" fontId="27" fillId="12" borderId="0" xfId="0" applyFont="1" applyFill="1" applyAlignment="1">
      <alignment horizontal="center" vertical="center"/>
    </xf>
    <xf numFmtId="0" fontId="27" fillId="5" borderId="23" xfId="0" applyFont="1" applyFill="1" applyBorder="1" applyAlignment="1">
      <alignment horizontal="center" vertical="top"/>
    </xf>
    <xf numFmtId="0" fontId="27" fillId="5" borderId="46" xfId="0" applyFont="1" applyFill="1" applyBorder="1" applyAlignment="1">
      <alignment horizontal="center" vertical="top"/>
    </xf>
    <xf numFmtId="0" fontId="27" fillId="5" borderId="24" xfId="0" applyFont="1" applyFill="1" applyBorder="1" applyAlignment="1">
      <alignment horizontal="center" vertical="top"/>
    </xf>
    <xf numFmtId="0" fontId="36" fillId="5" borderId="36" xfId="0" applyFont="1" applyFill="1" applyBorder="1" applyAlignment="1">
      <alignment horizontal="center" vertical="center" wrapText="1"/>
    </xf>
    <xf numFmtId="0" fontId="36" fillId="12" borderId="78" xfId="0" applyFont="1" applyFill="1" applyBorder="1" applyAlignment="1">
      <alignment horizontal="center" vertical="center" wrapText="1"/>
    </xf>
    <xf numFmtId="0" fontId="36" fillId="12" borderId="37" xfId="0" applyFont="1" applyFill="1" applyBorder="1" applyAlignment="1">
      <alignment horizontal="center" vertical="center" wrapText="1"/>
    </xf>
    <xf numFmtId="0" fontId="36" fillId="12" borderId="74" xfId="0" applyFont="1" applyFill="1" applyBorder="1" applyAlignment="1">
      <alignment horizontal="center" vertical="center" wrapText="1"/>
    </xf>
    <xf numFmtId="0" fontId="36" fillId="5" borderId="38" xfId="0" applyFont="1" applyFill="1" applyBorder="1" applyAlignment="1">
      <alignment horizontal="center" vertical="center" wrapText="1"/>
    </xf>
    <xf numFmtId="0" fontId="27" fillId="5" borderId="25" xfId="0" applyFont="1" applyFill="1" applyBorder="1" applyAlignment="1">
      <alignment horizontal="center" vertical="center"/>
    </xf>
    <xf numFmtId="0" fontId="27" fillId="5" borderId="21" xfId="0" applyFont="1" applyFill="1" applyBorder="1" applyAlignment="1">
      <alignment horizontal="center" vertical="center"/>
    </xf>
    <xf numFmtId="0" fontId="27" fillId="5" borderId="13" xfId="0" applyFont="1" applyFill="1" applyBorder="1" applyAlignment="1">
      <alignment horizontal="center" vertical="center"/>
    </xf>
    <xf numFmtId="0" fontId="27" fillId="5" borderId="22" xfId="0" applyFont="1" applyFill="1" applyBorder="1" applyAlignment="1">
      <alignment horizontal="center" vertical="center"/>
    </xf>
    <xf numFmtId="0" fontId="36" fillId="5" borderId="14" xfId="0" applyFont="1" applyFill="1" applyBorder="1" applyAlignment="1">
      <alignment horizontal="center"/>
    </xf>
    <xf numFmtId="0" fontId="36" fillId="5" borderId="19" xfId="0" applyFont="1" applyFill="1" applyBorder="1" applyAlignment="1">
      <alignment horizontal="center"/>
    </xf>
    <xf numFmtId="0" fontId="36" fillId="5" borderId="20" xfId="0" applyFont="1" applyFill="1" applyBorder="1" applyAlignment="1">
      <alignment horizontal="center" vertical="center" wrapText="1"/>
    </xf>
    <xf numFmtId="0" fontId="36" fillId="5" borderId="44" xfId="0" applyFont="1" applyFill="1" applyBorder="1" applyAlignment="1">
      <alignment horizontal="center" vertical="center" wrapText="1"/>
    </xf>
    <xf numFmtId="0" fontId="36" fillId="5" borderId="39" xfId="0" applyFont="1" applyFill="1" applyBorder="1" applyAlignment="1">
      <alignment horizontal="center" vertical="center" wrapText="1"/>
    </xf>
    <xf numFmtId="0" fontId="36" fillId="5" borderId="31" xfId="0" applyFont="1" applyFill="1" applyBorder="1" applyAlignment="1">
      <alignment horizontal="center" vertical="center" wrapText="1"/>
    </xf>
    <xf numFmtId="0" fontId="36" fillId="12" borderId="66" xfId="0" applyFont="1" applyFill="1" applyBorder="1" applyAlignment="1">
      <alignment horizontal="center" vertical="center" wrapText="1"/>
    </xf>
    <xf numFmtId="0" fontId="36" fillId="12" borderId="42" xfId="0" applyFont="1" applyFill="1" applyBorder="1" applyAlignment="1">
      <alignment horizontal="center" vertical="center" wrapText="1"/>
    </xf>
    <xf numFmtId="0" fontId="27" fillId="5" borderId="5" xfId="0" applyFont="1" applyFill="1" applyBorder="1" applyAlignment="1">
      <alignment horizontal="center"/>
    </xf>
    <xf numFmtId="0" fontId="39" fillId="5" borderId="5" xfId="0" applyFont="1" applyFill="1" applyBorder="1" applyAlignment="1">
      <alignment horizontal="center"/>
    </xf>
    <xf numFmtId="0" fontId="39" fillId="5" borderId="16" xfId="0" applyFont="1" applyFill="1" applyBorder="1" applyAlignment="1">
      <alignment horizontal="center"/>
    </xf>
    <xf numFmtId="0" fontId="39" fillId="5" borderId="31" xfId="0" applyFont="1" applyFill="1" applyBorder="1" applyAlignment="1">
      <alignment horizontal="center"/>
    </xf>
    <xf numFmtId="0" fontId="39" fillId="5" borderId="6" xfId="0" applyFont="1" applyFill="1" applyBorder="1" applyAlignment="1">
      <alignment horizontal="center"/>
    </xf>
    <xf numFmtId="0" fontId="39" fillId="5" borderId="4" xfId="0" applyFont="1" applyFill="1" applyBorder="1" applyAlignment="1">
      <alignment horizontal="center"/>
    </xf>
    <xf numFmtId="0" fontId="36" fillId="5" borderId="60" xfId="0" applyFont="1" applyFill="1" applyBorder="1" applyAlignment="1">
      <alignment horizontal="center"/>
    </xf>
    <xf numFmtId="0" fontId="36" fillId="5" borderId="4" xfId="0" applyFont="1" applyFill="1" applyBorder="1" applyAlignment="1">
      <alignment horizontal="center"/>
    </xf>
    <xf numFmtId="0" fontId="36" fillId="5" borderId="2" xfId="0" applyFont="1" applyFill="1" applyBorder="1" applyAlignment="1">
      <alignment horizontal="center"/>
    </xf>
    <xf numFmtId="0" fontId="36" fillId="5" borderId="16" xfId="0" applyFont="1" applyFill="1" applyBorder="1" applyAlignment="1">
      <alignment horizontal="center"/>
    </xf>
    <xf numFmtId="0" fontId="36" fillId="5" borderId="31" xfId="0" applyFont="1" applyFill="1" applyBorder="1" applyAlignment="1">
      <alignment horizontal="center"/>
    </xf>
    <xf numFmtId="0" fontId="36" fillId="5" borderId="6" xfId="0" applyFont="1" applyFill="1" applyBorder="1" applyAlignment="1">
      <alignment horizontal="center"/>
    </xf>
    <xf numFmtId="0" fontId="35" fillId="5" borderId="4" xfId="0" applyFont="1" applyFill="1" applyBorder="1" applyAlignment="1">
      <alignment horizontal="center" wrapText="1"/>
    </xf>
    <xf numFmtId="0" fontId="32" fillId="12" borderId="0" xfId="0" applyFont="1" applyFill="1" applyAlignment="1">
      <alignment horizontal="center"/>
    </xf>
    <xf numFmtId="0" fontId="34" fillId="5" borderId="31" xfId="0" applyFont="1" applyFill="1" applyBorder="1" applyAlignment="1">
      <alignment horizontal="center"/>
    </xf>
    <xf numFmtId="0" fontId="34" fillId="5" borderId="6" xfId="0" applyFont="1" applyFill="1" applyBorder="1" applyAlignment="1">
      <alignment horizontal="center"/>
    </xf>
    <xf numFmtId="0" fontId="32" fillId="12" borderId="50" xfId="0" applyFont="1" applyFill="1" applyBorder="1" applyAlignment="1">
      <alignment horizontal="center"/>
    </xf>
    <xf numFmtId="0" fontId="14" fillId="5" borderId="23" xfId="0" applyFont="1" applyFill="1" applyBorder="1" applyAlignment="1">
      <alignment horizontal="center" wrapText="1"/>
    </xf>
    <xf numFmtId="0" fontId="14" fillId="5" borderId="46" xfId="0" applyFont="1" applyFill="1" applyBorder="1" applyAlignment="1">
      <alignment horizontal="center" wrapText="1"/>
    </xf>
    <xf numFmtId="0" fontId="14" fillId="5" borderId="24" xfId="0" applyFont="1" applyFill="1" applyBorder="1" applyAlignment="1">
      <alignment horizontal="center" wrapText="1"/>
    </xf>
    <xf numFmtId="0" fontId="14" fillId="5" borderId="23" xfId="0" applyFont="1" applyFill="1" applyBorder="1" applyAlignment="1">
      <alignment horizontal="center"/>
    </xf>
    <xf numFmtId="0" fontId="14" fillId="5" borderId="24" xfId="0" applyFont="1" applyFill="1" applyBorder="1" applyAlignment="1">
      <alignment horizontal="center"/>
    </xf>
    <xf numFmtId="0" fontId="17" fillId="5" borderId="45" xfId="0" applyFont="1" applyFill="1" applyBorder="1" applyAlignment="1">
      <alignment horizontal="center"/>
    </xf>
    <xf numFmtId="0" fontId="17" fillId="5" borderId="58" xfId="0" applyFont="1" applyFill="1" applyBorder="1" applyAlignment="1">
      <alignment horizontal="center"/>
    </xf>
    <xf numFmtId="0" fontId="14" fillId="5" borderId="5" xfId="0" applyFont="1" applyFill="1" applyBorder="1" applyAlignment="1">
      <alignment horizontal="center" vertical="center" wrapText="1"/>
    </xf>
    <xf numFmtId="0" fontId="36" fillId="5" borderId="14" xfId="0" applyFont="1" applyFill="1" applyBorder="1" applyAlignment="1">
      <alignment horizontal="center" wrapText="1"/>
    </xf>
    <xf numFmtId="0" fontId="36" fillId="5" borderId="19" xfId="0" applyFont="1" applyFill="1" applyBorder="1" applyAlignment="1">
      <alignment horizontal="center" wrapText="1"/>
    </xf>
    <xf numFmtId="0" fontId="14" fillId="5" borderId="7" xfId="0" applyFont="1" applyFill="1" applyBorder="1" applyAlignment="1">
      <alignment horizontal="center"/>
    </xf>
    <xf numFmtId="0" fontId="14" fillId="5" borderId="37" xfId="0" applyFont="1" applyFill="1" applyBorder="1" applyAlignment="1">
      <alignment horizontal="center"/>
    </xf>
    <xf numFmtId="0" fontId="36" fillId="5" borderId="23" xfId="0" applyFont="1" applyFill="1" applyBorder="1" applyAlignment="1">
      <alignment horizontal="center" wrapText="1"/>
    </xf>
    <xf numFmtId="0" fontId="36" fillId="5" borderId="24" xfId="0" applyFont="1" applyFill="1" applyBorder="1" applyAlignment="1">
      <alignment horizontal="center" wrapText="1"/>
    </xf>
    <xf numFmtId="0" fontId="14" fillId="5" borderId="48" xfId="0" applyFont="1" applyFill="1" applyBorder="1" applyAlignment="1">
      <alignment horizontal="center" vertical="center"/>
    </xf>
    <xf numFmtId="0" fontId="36" fillId="5" borderId="27" xfId="0" applyFont="1" applyFill="1" applyBorder="1" applyAlignment="1">
      <alignment horizontal="center" vertical="center" wrapText="1"/>
    </xf>
    <xf numFmtId="0" fontId="36" fillId="5" borderId="56" xfId="0" applyFont="1" applyFill="1" applyBorder="1" applyAlignment="1">
      <alignment horizontal="center" vertical="center" wrapText="1"/>
    </xf>
    <xf numFmtId="0" fontId="36" fillId="5" borderId="48" xfId="0" applyFont="1" applyFill="1" applyBorder="1" applyAlignment="1">
      <alignment horizontal="center" vertical="center" wrapText="1"/>
    </xf>
    <xf numFmtId="0" fontId="14" fillId="5" borderId="7" xfId="0" applyFont="1" applyFill="1" applyBorder="1" applyAlignment="1">
      <alignment horizontal="center" vertical="center"/>
    </xf>
    <xf numFmtId="0" fontId="14" fillId="5" borderId="37" xfId="0" applyFont="1" applyFill="1" applyBorder="1" applyAlignment="1">
      <alignment horizontal="center" vertical="center"/>
    </xf>
    <xf numFmtId="0" fontId="14" fillId="5" borderId="27" xfId="0" applyFont="1" applyFill="1" applyBorder="1" applyAlignment="1">
      <alignment horizontal="center" vertical="center"/>
    </xf>
    <xf numFmtId="0" fontId="33" fillId="5" borderId="4" xfId="0" applyFont="1" applyFill="1" applyBorder="1" applyAlignment="1">
      <alignment horizontal="center"/>
    </xf>
    <xf numFmtId="0" fontId="33" fillId="5" borderId="2" xfId="0" applyFont="1" applyFill="1" applyBorder="1" applyAlignment="1">
      <alignment horizontal="center"/>
    </xf>
    <xf numFmtId="0" fontId="33" fillId="12" borderId="1" xfId="0" applyFont="1" applyFill="1" applyBorder="1" applyAlignment="1">
      <alignment horizontal="center"/>
    </xf>
    <xf numFmtId="0" fontId="33" fillId="12" borderId="60" xfId="0" applyFont="1" applyFill="1" applyBorder="1" applyAlignment="1">
      <alignment horizontal="center"/>
    </xf>
    <xf numFmtId="0" fontId="27" fillId="12" borderId="16" xfId="0" applyFont="1" applyFill="1" applyBorder="1" applyAlignment="1">
      <alignment horizontal="center"/>
    </xf>
    <xf numFmtId="0" fontId="27" fillId="12" borderId="31" xfId="0" applyFont="1" applyFill="1" applyBorder="1" applyAlignment="1">
      <alignment horizontal="center"/>
    </xf>
    <xf numFmtId="0" fontId="27" fillId="12" borderId="6" xfId="0" applyFont="1" applyFill="1" applyBorder="1" applyAlignment="1">
      <alignment horizontal="center"/>
    </xf>
    <xf numFmtId="0" fontId="1" fillId="12" borderId="0" xfId="0" applyFont="1" applyFill="1" applyAlignment="1">
      <alignment horizontal="center"/>
    </xf>
  </cellXfs>
  <cellStyles count="32">
    <cellStyle name="Comma 2" xfId="3" xr:uid="{00000000-0005-0000-0000-000000000000}"/>
    <cellStyle name="Comma 2 2" xfId="4" xr:uid="{00000000-0005-0000-0000-000001000000}"/>
    <cellStyle name="Comma 2 2 2" xfId="17" xr:uid="{00000000-0005-0000-0000-000002000000}"/>
    <cellStyle name="Comma 2 2 2 2" xfId="28" xr:uid="{00000000-0005-0000-0000-000003000000}"/>
    <cellStyle name="Comma 2 2 3" xfId="23" xr:uid="{00000000-0005-0000-0000-000004000000}"/>
    <cellStyle name="Comma 2 3" xfId="5" xr:uid="{00000000-0005-0000-0000-000005000000}"/>
    <cellStyle name="Comma 3" xfId="6" xr:uid="{00000000-0005-0000-0000-000006000000}"/>
    <cellStyle name="Comma 3 2" xfId="7" xr:uid="{00000000-0005-0000-0000-000007000000}"/>
    <cellStyle name="Comma 3 2 2" xfId="19" xr:uid="{00000000-0005-0000-0000-000008000000}"/>
    <cellStyle name="Comma 3 2 2 2" xfId="30" xr:uid="{00000000-0005-0000-0000-000009000000}"/>
    <cellStyle name="Comma 3 2 3" xfId="25" xr:uid="{00000000-0005-0000-0000-00000A000000}"/>
    <cellStyle name="Comma 3 3" xfId="18" xr:uid="{00000000-0005-0000-0000-00000B000000}"/>
    <cellStyle name="Comma 3 3 2" xfId="29" xr:uid="{00000000-0005-0000-0000-00000C000000}"/>
    <cellStyle name="Comma 3 4" xfId="24" xr:uid="{00000000-0005-0000-0000-00000D000000}"/>
    <cellStyle name="Comma 4" xfId="8" xr:uid="{00000000-0005-0000-0000-00000E000000}"/>
    <cellStyle name="Comma 4 2" xfId="20" xr:uid="{00000000-0005-0000-0000-00000F000000}"/>
    <cellStyle name="Comma 4 2 2" xfId="31" xr:uid="{00000000-0005-0000-0000-000010000000}"/>
    <cellStyle name="Comma 4 3" xfId="26" xr:uid="{00000000-0005-0000-0000-000011000000}"/>
    <cellStyle name="Comma 5" xfId="2" xr:uid="{00000000-0005-0000-0000-000012000000}"/>
    <cellStyle name="Comma 5 2" xfId="16" xr:uid="{00000000-0005-0000-0000-000013000000}"/>
    <cellStyle name="Comma 5 2 2" xfId="27" xr:uid="{00000000-0005-0000-0000-000014000000}"/>
    <cellStyle name="Comma 5 3" xfId="22" xr:uid="{00000000-0005-0000-0000-000015000000}"/>
    <cellStyle name="Hyperlink" xfId="21" builtinId="8"/>
    <cellStyle name="Normal" xfId="0" builtinId="0"/>
    <cellStyle name="Normal 2" xfId="9" xr:uid="{00000000-0005-0000-0000-000018000000}"/>
    <cellStyle name="Normal 2 2" xfId="10" xr:uid="{00000000-0005-0000-0000-000019000000}"/>
    <cellStyle name="Normal 3" xfId="11" xr:uid="{00000000-0005-0000-0000-00001A000000}"/>
    <cellStyle name="Normal 4" xfId="12" xr:uid="{00000000-0005-0000-0000-00001B000000}"/>
    <cellStyle name="Normal 5" xfId="13" xr:uid="{00000000-0005-0000-0000-00001C000000}"/>
    <cellStyle name="Normal 5 2" xfId="14" xr:uid="{00000000-0005-0000-0000-00001D000000}"/>
    <cellStyle name="Normal 6" xfId="15" xr:uid="{00000000-0005-0000-0000-00001E000000}"/>
    <cellStyle name="Normal 7" xfId="1" xr:uid="{00000000-0005-0000-0000-00001F000000}"/>
  </cellStyles>
  <dxfs count="39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6"/>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theme="6"/>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theme="6"/>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theme="6"/>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6"/>
        </patternFill>
      </fill>
    </dxf>
    <dxf>
      <fill>
        <patternFill>
          <bgColor theme="8" tint="-0.24994659260841701"/>
        </patternFill>
      </fill>
    </dxf>
    <dxf>
      <fill>
        <patternFill>
          <bgColor theme="8"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8" tint="0.59996337778862885"/>
        </patternFill>
      </fill>
    </dxf>
    <dxf>
      <fill>
        <patternFill>
          <bgColor theme="6"/>
        </patternFill>
      </fill>
    </dxf>
    <dxf>
      <fill>
        <patternFill>
          <bgColor theme="8" tint="-0.24994659260841701"/>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theme="6"/>
        </patternFill>
      </fill>
    </dxf>
    <dxf>
      <fill>
        <patternFill>
          <bgColor theme="8" tint="-0.24994659260841701"/>
        </patternFill>
      </fill>
    </dxf>
    <dxf>
      <fill>
        <patternFill>
          <bgColor theme="8" tint="0.59996337778862885"/>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theme="8" tint="0.59996337778862885"/>
        </patternFill>
      </fill>
    </dxf>
    <dxf>
      <fill>
        <patternFill>
          <bgColor theme="6"/>
        </patternFill>
      </fill>
    </dxf>
    <dxf>
      <fill>
        <patternFill>
          <bgColor theme="8" tint="-0.24994659260841701"/>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theme="6"/>
        </patternFill>
      </fill>
    </dxf>
    <dxf>
      <fill>
        <patternFill>
          <bgColor theme="8" tint="-0.24994659260841701"/>
        </patternFill>
      </fill>
    </dxf>
    <dxf>
      <fill>
        <patternFill>
          <bgColor theme="8" tint="0.59996337778862885"/>
        </patternFill>
      </fill>
    </dxf>
    <dxf>
      <fill>
        <patternFill>
          <bgColor rgb="FFFF0000"/>
        </patternFill>
      </fill>
    </dxf>
    <dxf>
      <fill>
        <patternFill>
          <bgColor rgb="FFFF0000"/>
        </patternFill>
      </fill>
    </dxf>
    <dxf>
      <fill>
        <patternFill>
          <bgColor rgb="FFFF0000"/>
        </patternFill>
      </fill>
    </dxf>
    <dxf>
      <fill>
        <patternFill>
          <bgColor theme="5" tint="0.7999816888943144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5" tint="0.79998168889431442"/>
        </patternFill>
      </fill>
    </dxf>
    <dxf>
      <fill>
        <patternFill>
          <bgColor rgb="FFFF0000"/>
        </patternFill>
      </fill>
    </dxf>
    <dxf>
      <fill>
        <patternFill>
          <bgColor rgb="FFFF0000"/>
        </patternFill>
      </fill>
    </dxf>
    <dxf>
      <fill>
        <patternFill>
          <bgColor theme="5" tint="0.79998168889431442"/>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theme="5" tint="0.79998168889431442"/>
        </patternFill>
      </fill>
    </dxf>
    <dxf>
      <fill>
        <patternFill>
          <bgColor rgb="FFFF0000"/>
        </patternFill>
      </fill>
    </dxf>
    <dxf>
      <fill>
        <patternFill>
          <bgColor rgb="FFFF0000"/>
        </patternFill>
      </fill>
    </dxf>
    <dxf>
      <fill>
        <patternFill>
          <bgColor theme="5" tint="0.79998168889431442"/>
        </patternFill>
      </fill>
    </dxf>
    <dxf>
      <fill>
        <patternFill>
          <bgColor rgb="FFFF0000"/>
        </patternFill>
      </fill>
    </dxf>
    <dxf>
      <fill>
        <patternFill>
          <bgColor rgb="FFFF0000"/>
        </patternFill>
      </fill>
    </dxf>
    <dxf>
      <fill>
        <patternFill>
          <bgColor rgb="FFFF0000"/>
        </patternFill>
      </fill>
    </dxf>
    <dxf>
      <fill>
        <patternFill>
          <bgColor theme="6"/>
        </patternFill>
      </fill>
    </dxf>
    <dxf>
      <fill>
        <patternFill>
          <bgColor theme="8" tint="-0.24994659260841701"/>
        </patternFill>
      </fill>
    </dxf>
    <dxf>
      <fill>
        <patternFill>
          <bgColor theme="8" tint="0.59996337778862885"/>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ont>
        <b/>
        <i val="0"/>
      </font>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theme="5" tint="0.79998168889431442"/>
        </patternFill>
      </fill>
    </dxf>
    <dxf>
      <fill>
        <patternFill>
          <bgColor theme="5" tint="0.79998168889431442"/>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0000"/>
        </patternFill>
      </fill>
    </dxf>
    <dxf>
      <fill>
        <patternFill>
          <bgColor theme="6"/>
        </patternFill>
      </fill>
    </dxf>
    <dxf>
      <fill>
        <patternFill>
          <bgColor theme="8" tint="-0.24994659260841701"/>
        </patternFill>
      </fill>
    </dxf>
    <dxf>
      <fill>
        <patternFill>
          <bgColor theme="8" tint="0.59996337778862885"/>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theme="6"/>
        </patternFill>
      </fill>
    </dxf>
    <dxf>
      <fill>
        <patternFill>
          <bgColor theme="8" tint="-0.24994659260841701"/>
        </patternFill>
      </fill>
    </dxf>
    <dxf>
      <fill>
        <patternFill>
          <fgColor auto="1"/>
          <bgColor theme="8" tint="0.59996337778862885"/>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ont>
        <b/>
        <i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C000"/>
        </patternFill>
      </fill>
    </dxf>
    <dxf>
      <fill>
        <patternFill>
          <bgColor rgb="FF92D050"/>
        </patternFill>
      </fill>
    </dxf>
    <dxf>
      <fill>
        <patternFill>
          <bgColor theme="6" tint="-0.24994659260841701"/>
        </patternFill>
      </fill>
    </dxf>
    <dxf>
      <fill>
        <patternFill>
          <bgColor theme="6" tint="-0.24994659260841701"/>
        </patternFill>
      </fill>
    </dxf>
    <dxf>
      <fill>
        <patternFill>
          <bgColor rgb="FF92D050"/>
        </patternFill>
      </fill>
    </dxf>
    <dxf>
      <fill>
        <patternFill>
          <bgColor rgb="FFFFC000"/>
        </patternFill>
      </fill>
    </dxf>
    <dxf>
      <fill>
        <patternFill>
          <bgColor rgb="FF92D050"/>
        </patternFill>
      </fill>
    </dxf>
    <dxf>
      <fill>
        <patternFill>
          <bgColor rgb="FFFFC000"/>
        </patternFill>
      </fill>
    </dxf>
    <dxf>
      <fill>
        <patternFill>
          <bgColor rgb="FF92D050"/>
        </patternFill>
      </fill>
    </dxf>
    <dxf>
      <fill>
        <patternFill>
          <bgColor rgb="FFFFC000"/>
        </patternFill>
      </fill>
    </dxf>
    <dxf>
      <fill>
        <patternFill>
          <bgColor theme="6" tint="-0.24994659260841701"/>
        </patternFill>
      </fill>
    </dxf>
    <dxf>
      <fill>
        <patternFill>
          <bgColor rgb="FF92D050"/>
        </patternFill>
      </fill>
    </dxf>
    <dxf>
      <fill>
        <patternFill>
          <bgColor rgb="FF92D050"/>
        </patternFill>
      </fill>
    </dxf>
    <dxf>
      <fill>
        <patternFill>
          <bgColor rgb="FFFFC000"/>
        </patternFill>
      </fill>
    </dxf>
    <dxf>
      <fill>
        <patternFill>
          <bgColor theme="6" tint="-0.24994659260841701"/>
        </patternFill>
      </fill>
    </dxf>
    <dxf>
      <fill>
        <patternFill>
          <bgColor rgb="FF92D050"/>
        </patternFill>
      </fill>
    </dxf>
    <dxf>
      <fill>
        <patternFill>
          <bgColor theme="6" tint="-0.24994659260841701"/>
        </patternFill>
      </fill>
    </dxf>
    <dxf>
      <fill>
        <patternFill>
          <bgColor rgb="FF92D050"/>
        </patternFill>
      </fill>
    </dxf>
    <dxf>
      <fill>
        <patternFill>
          <bgColor theme="6" tint="-0.24994659260841701"/>
        </patternFill>
      </fill>
    </dxf>
    <dxf>
      <fill>
        <patternFill>
          <bgColor rgb="FF92D050"/>
        </patternFill>
      </fill>
    </dxf>
    <dxf>
      <fill>
        <patternFill>
          <bgColor rgb="FF92D050"/>
        </patternFill>
      </fill>
    </dxf>
    <dxf>
      <fill>
        <patternFill>
          <bgColor rgb="FFFFC000"/>
        </patternFill>
      </fill>
    </dxf>
    <dxf>
      <fill>
        <patternFill>
          <bgColor rgb="FFFFC000"/>
        </patternFill>
      </fill>
    </dxf>
    <dxf>
      <fill>
        <patternFill>
          <bgColor rgb="FFFFC000"/>
        </patternFill>
      </fill>
    </dxf>
    <dxf>
      <font>
        <b/>
        <i val="0"/>
        <color rgb="FFFF0000"/>
      </font>
    </dxf>
    <dxf>
      <font>
        <b/>
        <i val="0"/>
        <color rgb="FFFF0000"/>
      </font>
    </dxf>
    <dxf>
      <font>
        <b/>
        <i val="0"/>
        <color rgb="FFFF0000"/>
      </font>
    </dxf>
    <dxf>
      <font>
        <b/>
        <i val="0"/>
        <color rgb="FFFF0000"/>
      </font>
    </dxf>
    <dxf>
      <font>
        <color auto="1"/>
      </font>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92D05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color rgb="FFFF0000"/>
      </font>
    </dxf>
    <dxf>
      <fill>
        <patternFill>
          <bgColor rgb="FFFF0000"/>
        </patternFill>
      </fill>
    </dxf>
    <dxf>
      <fill>
        <patternFill>
          <bgColor theme="5"/>
        </patternFill>
      </fill>
    </dxf>
    <dxf>
      <fill>
        <patternFill>
          <bgColor theme="7" tint="0.39994506668294322"/>
        </patternFill>
      </fill>
    </dxf>
    <dxf>
      <fill>
        <patternFill>
          <bgColor theme="4" tint="0.59996337778862885"/>
        </patternFill>
      </fill>
    </dxf>
    <dxf>
      <fill>
        <patternFill>
          <bgColor theme="7" tint="0.79998168889431442"/>
        </patternFill>
      </fill>
    </dxf>
    <dxf>
      <fill>
        <patternFill>
          <bgColor rgb="FFFFC000"/>
        </patternFill>
      </fill>
    </dxf>
    <dxf>
      <fill>
        <patternFill>
          <bgColor rgb="FF92D050"/>
        </patternFill>
      </fill>
    </dxf>
    <dxf>
      <fill>
        <patternFill>
          <bgColor rgb="FFFFC000"/>
        </patternFill>
      </fill>
    </dxf>
    <dxf>
      <fill>
        <patternFill>
          <bgColor rgb="FF92D05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rgb="FF92D05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color rgb="FFFF0000"/>
      </font>
    </dxf>
    <dxf>
      <fill>
        <patternFill>
          <bgColor rgb="FF92D050"/>
        </patternFill>
      </fill>
    </dxf>
    <dxf>
      <fill>
        <patternFill>
          <bgColor rgb="FFFFC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D5D3DC"/>
      <color rgb="FF663300"/>
      <color rgb="FFFFFF99"/>
      <color rgb="FF0033CC"/>
      <color rgb="FFF4D4D4"/>
      <color rgb="FF006600"/>
      <color rgb="FFE0DCD3"/>
      <color rgb="FFABC3C9"/>
      <color rgb="FFFFA3A3"/>
      <color rgb="FFF97E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47"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46"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3.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48"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21.xml"/><Relationship Id="rId1" Type="http://schemas.microsoft.com/office/2011/relationships/chartStyle" Target="style21.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On-site</a:t>
            </a:r>
            <a:r>
              <a:rPr lang="en-GB" baseline="0"/>
              <a:t> and off-site h</a:t>
            </a:r>
            <a:r>
              <a:rPr lang="en-GB"/>
              <a:t>abitat retention by category</a:t>
            </a:r>
          </a:p>
          <a:p>
            <a:pPr>
              <a:defRPr/>
            </a:pPr>
            <a:r>
              <a:rPr lang="en-GB"/>
              <a:t>area (hectares) </a:t>
            </a:r>
          </a:p>
        </c:rich>
      </c:tx>
      <c:layout>
        <c:manualLayout>
          <c:xMode val="edge"/>
          <c:yMode val="edge"/>
          <c:x val="0.13457223611893002"/>
          <c:y val="5.115939840627234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9.286760338860417E-2"/>
          <c:y val="0.25669784416568614"/>
          <c:w val="0.84184501105635412"/>
          <c:h val="0.59332429839316669"/>
        </c:manualLayout>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FFDB-48A4-9C8F-5E3F38ED824F}"/>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FFDB-48A4-9C8F-5E3F38ED824F}"/>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FFDB-48A4-9C8F-5E3F38ED824F}"/>
              </c:ext>
            </c:extLst>
          </c:dPt>
          <c:dLbls>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Results'!$B$24,'Detailed Results'!$B$27,'Detailed Results'!$B$30)</c:f>
              <c:strCache>
                <c:ptCount val="3"/>
                <c:pt idx="0">
                  <c:v>Total on-site and off-site baseline area / length retained</c:v>
                </c:pt>
                <c:pt idx="1">
                  <c:v>Area / length proposed for enhancement</c:v>
                </c:pt>
                <c:pt idx="2">
                  <c:v>Total on-site and off-site baseline area / length lost</c:v>
                </c:pt>
              </c:strCache>
            </c:strRef>
          </c:cat>
          <c:val>
            <c:numRef>
              <c:f>('Detailed Results'!$D$24,'Detailed Results'!$D$27,'Detailed Results'!$D$30)</c:f>
              <c:numCache>
                <c:formatCode>0.00</c:formatCode>
                <c:ptCount val="3"/>
                <c:pt idx="0">
                  <c:v>4.58E-2</c:v>
                </c:pt>
                <c:pt idx="1">
                  <c:v>0</c:v>
                </c:pt>
                <c:pt idx="2">
                  <c:v>1.6120359999999998</c:v>
                </c:pt>
              </c:numCache>
            </c:numRef>
          </c:val>
          <c:extLst>
            <c:ext xmlns:c16="http://schemas.microsoft.com/office/drawing/2014/chart" uri="{C3380CC4-5D6E-409C-BE32-E72D297353CC}">
              <c16:uniqueId val="{00000000-1631-4AA2-9CB0-ED14885E7027}"/>
            </c:ext>
          </c:extLst>
        </c:ser>
        <c:dLbls>
          <c:showLegendKey val="0"/>
          <c:showVal val="0"/>
          <c:showCatName val="0"/>
          <c:showSerName val="0"/>
          <c:showPercent val="0"/>
          <c:showBubbleSize val="0"/>
        </c:dLbls>
        <c:gapWidth val="100"/>
        <c:axId val="81436784"/>
        <c:axId val="81435216"/>
      </c:barChart>
      <c:catAx>
        <c:axId val="8143678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81435216"/>
        <c:crosses val="autoZero"/>
        <c:auto val="1"/>
        <c:lblAlgn val="ctr"/>
        <c:lblOffset val="100"/>
        <c:noMultiLvlLbl val="0"/>
      </c:catAx>
      <c:valAx>
        <c:axId val="8143521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81436784"/>
        <c:crosses val="autoZero"/>
        <c:crossBetween val="between"/>
      </c:valAx>
      <c:spPr>
        <a:noFill/>
        <a:ln>
          <a:noFill/>
        </a:ln>
        <a:effectLst/>
      </c:spPr>
    </c:plotArea>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GB" sz="1200" b="0" i="0" u="none" strike="noStrike" kern="1200" spc="0" baseline="0">
                <a:solidFill>
                  <a:schemeClr val="accent1"/>
                </a:solidFill>
                <a:latin typeface="+mn-lt"/>
                <a:ea typeface="+mn-ea"/>
                <a:cs typeface="+mn-cs"/>
              </a:defRPr>
            </a:pPr>
            <a:r>
              <a:rPr lang="en-GB"/>
              <a:t>On-site and off-site hadge retention category </a:t>
            </a:r>
          </a:p>
          <a:p>
            <a:pPr>
              <a:defRPr/>
            </a:pPr>
            <a:r>
              <a:rPr lang="en-GB"/>
              <a:t>biodiversity units</a:t>
            </a:r>
          </a:p>
        </c:rich>
      </c:tx>
      <c:layout>
        <c:manualLayout>
          <c:xMode val="edge"/>
          <c:yMode val="edge"/>
          <c:x val="0.18198095145048776"/>
          <c:y val="2.8189166684240562E-2"/>
        </c:manualLayout>
      </c:layout>
      <c:overlay val="0"/>
      <c:spPr>
        <a:noFill/>
        <a:ln>
          <a:noFill/>
        </a:ln>
        <a:effectLst/>
      </c:spPr>
      <c:txPr>
        <a:bodyPr rot="0" spcFirstLastPara="1" vertOverflow="ellipsis" vert="horz" wrap="square" anchor="ctr" anchorCtr="1"/>
        <a:lstStyle/>
        <a:p>
          <a:pPr>
            <a:defRPr lang="en-GB" sz="12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0.10279694808843268"/>
          <c:y val="0.18904535783376822"/>
          <c:w val="0.84515645311627174"/>
          <c:h val="0.66490271248243671"/>
        </c:manualLayout>
      </c:layout>
      <c:barChart>
        <c:barDir val="col"/>
        <c:grouping val="clustered"/>
        <c:varyColors val="1"/>
        <c:ser>
          <c:idx val="0"/>
          <c:order val="0"/>
          <c:invertIfNegative val="0"/>
          <c:dPt>
            <c:idx val="0"/>
            <c:invertIfNegative val="0"/>
            <c:bubble3D val="0"/>
            <c:explosion val="2"/>
            <c:spPr>
              <a:solidFill>
                <a:schemeClr val="accent1"/>
              </a:solidFill>
              <a:ln w="19050">
                <a:solidFill>
                  <a:schemeClr val="lt1"/>
                </a:solidFill>
              </a:ln>
              <a:effectLst/>
            </c:spPr>
            <c:extLst>
              <c:ext xmlns:c16="http://schemas.microsoft.com/office/drawing/2014/chart" uri="{C3380CC4-5D6E-409C-BE32-E72D297353CC}">
                <c16:uniqueId val="{00000001-8A45-4BB0-BB1D-81488C5130A4}"/>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8A45-4BB0-BB1D-81488C5130A4}"/>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8A45-4BB0-BB1D-81488C5130A4}"/>
              </c:ext>
            </c:extLst>
          </c:dPt>
          <c:dPt>
            <c:idx val="3"/>
            <c:invertIfNegative val="0"/>
            <c:bubble3D val="0"/>
            <c:spPr>
              <a:solidFill>
                <a:schemeClr val="accent4"/>
              </a:solidFill>
              <a:ln w="19050">
                <a:solidFill>
                  <a:schemeClr val="lt1"/>
                </a:solidFill>
              </a:ln>
              <a:effectLst/>
            </c:spPr>
            <c:extLst>
              <c:ext xmlns:c16="http://schemas.microsoft.com/office/drawing/2014/chart" uri="{C3380CC4-5D6E-409C-BE32-E72D297353CC}">
                <c16:uniqueId val="{00000007-8A45-4BB0-BB1D-81488C5130A4}"/>
              </c:ext>
            </c:extLst>
          </c:dPt>
          <c:dLbls>
            <c:spPr>
              <a:noFill/>
              <a:ln>
                <a:noFill/>
              </a:ln>
              <a:effectLst/>
            </c:spPr>
            <c:txPr>
              <a:bodyPr rot="0" spcFirstLastPara="1" vertOverflow="ellipsis" vert="horz" wrap="square" anchor="ctr" anchorCtr="1"/>
              <a:lstStyle/>
              <a:p>
                <a:pPr>
                  <a:defRPr lang="en-GB" sz="1000" b="0" i="0" u="none" strike="noStrike" kern="1200" baseline="0">
                    <a:solidFill>
                      <a:srgbClr val="382119"/>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Results'!$B$25,'Detailed Results'!$B$28,'Detailed Results'!$B$31)</c:f>
              <c:strCache>
                <c:ptCount val="3"/>
                <c:pt idx="0">
                  <c:v>Total on-site and off-site baseline units retained</c:v>
                </c:pt>
                <c:pt idx="1">
                  <c:v>Baseline units proposed for enhancement</c:v>
                </c:pt>
                <c:pt idx="2">
                  <c:v>Total on-site and off-site baseline units lost</c:v>
                </c:pt>
              </c:strCache>
            </c:strRef>
          </c:cat>
          <c:val>
            <c:numRef>
              <c:f>('Detailed Results'!$F$25,'Detailed Results'!$F$28,'Detailed Results'!$F$31)</c:f>
              <c:numCache>
                <c:formatCode>0.00</c:formatCode>
                <c:ptCount val="3"/>
                <c:pt idx="0">
                  <c:v>0</c:v>
                </c:pt>
                <c:pt idx="1">
                  <c:v>0</c:v>
                </c:pt>
                <c:pt idx="2">
                  <c:v>0</c:v>
                </c:pt>
              </c:numCache>
            </c:numRef>
          </c:val>
          <c:extLst>
            <c:ext xmlns:c16="http://schemas.microsoft.com/office/drawing/2014/chart" uri="{C3380CC4-5D6E-409C-BE32-E72D297353CC}">
              <c16:uniqueId val="{00000008-8A45-4BB0-BB1D-81488C5130A4}"/>
            </c:ext>
          </c:extLst>
        </c:ser>
        <c:dLbls>
          <c:showLegendKey val="0"/>
          <c:showVal val="0"/>
          <c:showCatName val="0"/>
          <c:showSerName val="0"/>
          <c:showPercent val="0"/>
          <c:showBubbleSize val="0"/>
        </c:dLbls>
        <c:gapWidth val="100"/>
        <c:axId val="362005632"/>
        <c:axId val="362006024"/>
      </c:barChart>
      <c:catAx>
        <c:axId val="36200563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362006024"/>
        <c:crosses val="autoZero"/>
        <c:auto val="1"/>
        <c:lblAlgn val="ctr"/>
        <c:lblOffset val="100"/>
        <c:noMultiLvlLbl val="0"/>
      </c:catAx>
      <c:valAx>
        <c:axId val="36200602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3620056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lang="en-GB" sz="1000" b="0" i="0" u="none" strike="noStrike" kern="1200" baseline="0">
          <a:solidFill>
            <a:schemeClr val="accent1"/>
          </a:solidFill>
          <a:latin typeface="+mn-lt"/>
          <a:ea typeface="+mn-ea"/>
          <a:cs typeface="+mn-cs"/>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Change by hedgerow</a:t>
            </a:r>
            <a:r>
              <a:rPr lang="en-GB" baseline="0"/>
              <a:t> type </a:t>
            </a:r>
          </a:p>
          <a:p>
            <a:pPr>
              <a:defRPr/>
            </a:pPr>
            <a:r>
              <a:rPr lang="en-GB" baseline="0"/>
              <a:t>(Hedgerow units)</a:t>
            </a:r>
            <a:endParaRPr lang="en-GB"/>
          </a:p>
        </c:rich>
      </c:tx>
      <c:layout>
        <c:manualLayout>
          <c:xMode val="edge"/>
          <c:yMode val="edge"/>
          <c:x val="0.3716817831786321"/>
          <c:y val="2.0290291581519463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5.0097692924570232E-2"/>
          <c:y val="0.13266613123677354"/>
          <c:w val="0.92793004685077718"/>
          <c:h val="0.71165057112170882"/>
        </c:manualLayout>
      </c:layout>
      <c:barChart>
        <c:barDir val="col"/>
        <c:grouping val="clustered"/>
        <c:varyColors val="0"/>
        <c:ser>
          <c:idx val="0"/>
          <c:order val="0"/>
          <c:tx>
            <c:strRef>
              <c:f>'Detailed Results'!$D$98</c:f>
              <c:strCache>
                <c:ptCount val="1"/>
                <c:pt idx="0">
                  <c:v>Existing value</c:v>
                </c:pt>
              </c:strCache>
            </c:strRef>
          </c:tx>
          <c:spPr>
            <a:solidFill>
              <a:schemeClr val="accent1"/>
            </a:solidFill>
            <a:ln>
              <a:noFill/>
            </a:ln>
            <a:effectLst/>
          </c:spPr>
          <c:invertIfNegative val="0"/>
          <c:cat>
            <c:strRef>
              <c:f>'Detailed Results'!$B$119:$B$131</c:f>
              <c:strCache>
                <c:ptCount val="13"/>
                <c:pt idx="0">
                  <c:v>Native Species Rich Hedgerow with trees - Associated with bank or ditch</c:v>
                </c:pt>
                <c:pt idx="1">
                  <c:v>Native Species Rich Hedgerow with trees</c:v>
                </c:pt>
                <c:pt idx="2">
                  <c:v>Native Species Rich Hedgerow - Associated with bank or ditch</c:v>
                </c:pt>
                <c:pt idx="3">
                  <c:v>Native Hedgerow with trees - Associated with bank or ditch</c:v>
                </c:pt>
                <c:pt idx="4">
                  <c:v>Native Species Rich Hedgerow</c:v>
                </c:pt>
                <c:pt idx="5">
                  <c:v>Native Hedgerow - Associated with bank or ditch</c:v>
                </c:pt>
                <c:pt idx="6">
                  <c:v>Native Hedgerow with trees</c:v>
                </c:pt>
                <c:pt idx="7">
                  <c:v>Line of Trees (Ecologically Valuable)</c:v>
                </c:pt>
                <c:pt idx="8">
                  <c:v>Line of Trees (Ecologically Valuable) - with Bank or Ditch</c:v>
                </c:pt>
                <c:pt idx="9">
                  <c:v>Native Hedgerow</c:v>
                </c:pt>
                <c:pt idx="10">
                  <c:v>Line of Trees</c:v>
                </c:pt>
                <c:pt idx="11">
                  <c:v>Line of Trees  - Associated with bank or ditch</c:v>
                </c:pt>
                <c:pt idx="12">
                  <c:v>Hedge Ornamental Non Native</c:v>
                </c:pt>
              </c:strCache>
            </c:strRef>
          </c:cat>
          <c:val>
            <c:numRef>
              <c:f>'Detailed Results'!$D$99:$D$111</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D589-4FE9-B92C-F17DFFA9D670}"/>
            </c:ext>
          </c:extLst>
        </c:ser>
        <c:ser>
          <c:idx val="1"/>
          <c:order val="1"/>
          <c:tx>
            <c:strRef>
              <c:f>'Detailed Results'!$F$98</c:f>
              <c:strCache>
                <c:ptCount val="1"/>
                <c:pt idx="0">
                  <c:v>Proposed value on-site</c:v>
                </c:pt>
              </c:strCache>
            </c:strRef>
          </c:tx>
          <c:spPr>
            <a:solidFill>
              <a:schemeClr val="accent2"/>
            </a:solidFill>
            <a:ln>
              <a:noFill/>
            </a:ln>
            <a:effectLst/>
          </c:spPr>
          <c:invertIfNegative val="0"/>
          <c:cat>
            <c:strRef>
              <c:f>'Detailed Results'!$B$119:$B$131</c:f>
              <c:strCache>
                <c:ptCount val="13"/>
                <c:pt idx="0">
                  <c:v>Native Species Rich Hedgerow with trees - Associated with bank or ditch</c:v>
                </c:pt>
                <c:pt idx="1">
                  <c:v>Native Species Rich Hedgerow with trees</c:v>
                </c:pt>
                <c:pt idx="2">
                  <c:v>Native Species Rich Hedgerow - Associated with bank or ditch</c:v>
                </c:pt>
                <c:pt idx="3">
                  <c:v>Native Hedgerow with trees - Associated with bank or ditch</c:v>
                </c:pt>
                <c:pt idx="4">
                  <c:v>Native Species Rich Hedgerow</c:v>
                </c:pt>
                <c:pt idx="5">
                  <c:v>Native Hedgerow - Associated with bank or ditch</c:v>
                </c:pt>
                <c:pt idx="6">
                  <c:v>Native Hedgerow with trees</c:v>
                </c:pt>
                <c:pt idx="7">
                  <c:v>Line of Trees (Ecologically Valuable)</c:v>
                </c:pt>
                <c:pt idx="8">
                  <c:v>Line of Trees (Ecologically Valuable) - with Bank or Ditch</c:v>
                </c:pt>
                <c:pt idx="9">
                  <c:v>Native Hedgerow</c:v>
                </c:pt>
                <c:pt idx="10">
                  <c:v>Line of Trees</c:v>
                </c:pt>
                <c:pt idx="11">
                  <c:v>Line of Trees  - Associated with bank or ditch</c:v>
                </c:pt>
                <c:pt idx="12">
                  <c:v>Hedge Ornamental Non Native</c:v>
                </c:pt>
              </c:strCache>
            </c:strRef>
          </c:cat>
          <c:val>
            <c:numRef>
              <c:f>'Detailed Results'!$F$99:$F$111</c:f>
              <c:numCache>
                <c:formatCode>0.00</c:formatCode>
                <c:ptCount val="13"/>
                <c:pt idx="0">
                  <c:v>0</c:v>
                </c:pt>
                <c:pt idx="1">
                  <c:v>0</c:v>
                </c:pt>
                <c:pt idx="2">
                  <c:v>0</c:v>
                </c:pt>
                <c:pt idx="3">
                  <c:v>0</c:v>
                </c:pt>
                <c:pt idx="4">
                  <c:v>0</c:v>
                </c:pt>
                <c:pt idx="5">
                  <c:v>0</c:v>
                </c:pt>
                <c:pt idx="6">
                  <c:v>0</c:v>
                </c:pt>
                <c:pt idx="7">
                  <c:v>0</c:v>
                </c:pt>
                <c:pt idx="8">
                  <c:v>0</c:v>
                </c:pt>
                <c:pt idx="9">
                  <c:v>0.82343944139040004</c:v>
                </c:pt>
                <c:pt idx="10">
                  <c:v>0</c:v>
                </c:pt>
                <c:pt idx="11">
                  <c:v>0</c:v>
                </c:pt>
                <c:pt idx="12">
                  <c:v>0</c:v>
                </c:pt>
              </c:numCache>
            </c:numRef>
          </c:val>
          <c:extLst>
            <c:ext xmlns:c16="http://schemas.microsoft.com/office/drawing/2014/chart" uri="{C3380CC4-5D6E-409C-BE32-E72D297353CC}">
              <c16:uniqueId val="{00000001-D589-4FE9-B92C-F17DFFA9D670}"/>
            </c:ext>
          </c:extLst>
        </c:ser>
        <c:ser>
          <c:idx val="3"/>
          <c:order val="2"/>
          <c:tx>
            <c:strRef>
              <c:f>'Detailed Results'!$C$118</c:f>
              <c:strCache>
                <c:ptCount val="1"/>
                <c:pt idx="0">
                  <c:v>Existing length off-site</c:v>
                </c:pt>
              </c:strCache>
            </c:strRef>
          </c:tx>
          <c:spPr>
            <a:solidFill>
              <a:schemeClr val="accent4"/>
            </a:solidFill>
            <a:ln>
              <a:noFill/>
            </a:ln>
            <a:effectLst/>
          </c:spPr>
          <c:invertIfNegative val="0"/>
          <c:cat>
            <c:strRef>
              <c:f>'Detailed Results'!$B$119:$B$131</c:f>
              <c:strCache>
                <c:ptCount val="13"/>
                <c:pt idx="0">
                  <c:v>Native Species Rich Hedgerow with trees - Associated with bank or ditch</c:v>
                </c:pt>
                <c:pt idx="1">
                  <c:v>Native Species Rich Hedgerow with trees</c:v>
                </c:pt>
                <c:pt idx="2">
                  <c:v>Native Species Rich Hedgerow - Associated with bank or ditch</c:v>
                </c:pt>
                <c:pt idx="3">
                  <c:v>Native Hedgerow with trees - Associated with bank or ditch</c:v>
                </c:pt>
                <c:pt idx="4">
                  <c:v>Native Species Rich Hedgerow</c:v>
                </c:pt>
                <c:pt idx="5">
                  <c:v>Native Hedgerow - Associated with bank or ditch</c:v>
                </c:pt>
                <c:pt idx="6">
                  <c:v>Native Hedgerow with trees</c:v>
                </c:pt>
                <c:pt idx="7">
                  <c:v>Line of Trees (Ecologically Valuable)</c:v>
                </c:pt>
                <c:pt idx="8">
                  <c:v>Line of Trees (Ecologically Valuable) - with Bank or Ditch</c:v>
                </c:pt>
                <c:pt idx="9">
                  <c:v>Native Hedgerow</c:v>
                </c:pt>
                <c:pt idx="10">
                  <c:v>Line of Trees</c:v>
                </c:pt>
                <c:pt idx="11">
                  <c:v>Line of Trees  - Associated with bank or ditch</c:v>
                </c:pt>
                <c:pt idx="12">
                  <c:v>Hedge Ornamental Non Native</c:v>
                </c:pt>
              </c:strCache>
            </c:strRef>
          </c:cat>
          <c:val>
            <c:numRef>
              <c:f>'Detailed Results'!$C$119:$C$131</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414E-4172-98DE-518F48542226}"/>
            </c:ext>
          </c:extLst>
        </c:ser>
        <c:ser>
          <c:idx val="2"/>
          <c:order val="3"/>
          <c:tx>
            <c:strRef>
              <c:f>'Detailed Results'!$F$118</c:f>
              <c:strCache>
                <c:ptCount val="1"/>
                <c:pt idx="0">
                  <c:v>Proposed value off-site</c:v>
                </c:pt>
              </c:strCache>
            </c:strRef>
          </c:tx>
          <c:spPr>
            <a:solidFill>
              <a:schemeClr val="accent3"/>
            </a:solidFill>
            <a:ln>
              <a:noFill/>
            </a:ln>
            <a:effectLst/>
          </c:spPr>
          <c:invertIfNegative val="0"/>
          <c:cat>
            <c:strRef>
              <c:f>'Detailed Results'!$B$119:$B$131</c:f>
              <c:strCache>
                <c:ptCount val="13"/>
                <c:pt idx="0">
                  <c:v>Native Species Rich Hedgerow with trees - Associated with bank or ditch</c:v>
                </c:pt>
                <c:pt idx="1">
                  <c:v>Native Species Rich Hedgerow with trees</c:v>
                </c:pt>
                <c:pt idx="2">
                  <c:v>Native Species Rich Hedgerow - Associated with bank or ditch</c:v>
                </c:pt>
                <c:pt idx="3">
                  <c:v>Native Hedgerow with trees - Associated with bank or ditch</c:v>
                </c:pt>
                <c:pt idx="4">
                  <c:v>Native Species Rich Hedgerow</c:v>
                </c:pt>
                <c:pt idx="5">
                  <c:v>Native Hedgerow - Associated with bank or ditch</c:v>
                </c:pt>
                <c:pt idx="6">
                  <c:v>Native Hedgerow with trees</c:v>
                </c:pt>
                <c:pt idx="7">
                  <c:v>Line of Trees (Ecologically Valuable)</c:v>
                </c:pt>
                <c:pt idx="8">
                  <c:v>Line of Trees (Ecologically Valuable) - with Bank or Ditch</c:v>
                </c:pt>
                <c:pt idx="9">
                  <c:v>Native Hedgerow</c:v>
                </c:pt>
                <c:pt idx="10">
                  <c:v>Line of Trees</c:v>
                </c:pt>
                <c:pt idx="11">
                  <c:v>Line of Trees  - Associated with bank or ditch</c:v>
                </c:pt>
                <c:pt idx="12">
                  <c:v>Hedge Ornamental Non Native</c:v>
                </c:pt>
              </c:strCache>
            </c:strRef>
          </c:cat>
          <c:val>
            <c:numRef>
              <c:f>'Detailed Results'!$K$119:$K$131</c:f>
              <c:numCache>
                <c:formatCode>General</c:formatCode>
                <c:ptCount val="13"/>
              </c:numCache>
            </c:numRef>
          </c:val>
          <c:extLst>
            <c:ext xmlns:c16="http://schemas.microsoft.com/office/drawing/2014/chart" uri="{C3380CC4-5D6E-409C-BE32-E72D297353CC}">
              <c16:uniqueId val="{00000002-D589-4FE9-B92C-F17DFFA9D670}"/>
            </c:ext>
          </c:extLst>
        </c:ser>
        <c:dLbls>
          <c:showLegendKey val="0"/>
          <c:showVal val="0"/>
          <c:showCatName val="0"/>
          <c:showSerName val="0"/>
          <c:showPercent val="0"/>
          <c:showBubbleSize val="0"/>
        </c:dLbls>
        <c:gapWidth val="219"/>
        <c:overlap val="-27"/>
        <c:axId val="362006808"/>
        <c:axId val="362007200"/>
      </c:barChart>
      <c:catAx>
        <c:axId val="362006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2007200"/>
        <c:crosses val="autoZero"/>
        <c:auto val="1"/>
        <c:lblAlgn val="ctr"/>
        <c:lblOffset val="100"/>
        <c:noMultiLvlLbl val="0"/>
      </c:catAx>
      <c:valAx>
        <c:axId val="36200720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2006808"/>
        <c:crosses val="autoZero"/>
        <c:crossBetween val="between"/>
      </c:valAx>
      <c:spPr>
        <a:noFill/>
        <a:ln>
          <a:noFill/>
        </a:ln>
        <a:effectLst/>
      </c:spPr>
    </c:plotArea>
    <c:legend>
      <c:legendPos val="b"/>
      <c:layout>
        <c:manualLayout>
          <c:xMode val="edge"/>
          <c:yMode val="edge"/>
          <c:x val="0.17762327345325971"/>
          <c:y val="0.92937496758404192"/>
          <c:w val="0.62477739194196202"/>
          <c:h val="7.0625128221882952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Combined Biodiversity unit change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5.2270962262635112E-2"/>
          <c:y val="7.9480683489127943E-2"/>
          <c:w val="0.9247426449418843"/>
          <c:h val="0.57604985133814468"/>
        </c:manualLayout>
      </c:layout>
      <c:barChart>
        <c:barDir val="col"/>
        <c:grouping val="clustered"/>
        <c:varyColors val="0"/>
        <c:ser>
          <c:idx val="0"/>
          <c:order val="0"/>
          <c:tx>
            <c:strRef>
              <c:f>'Detailed Results'!$D$98</c:f>
              <c:strCache>
                <c:ptCount val="1"/>
                <c:pt idx="0">
                  <c:v>Existing value</c:v>
                </c:pt>
              </c:strCache>
            </c:strRef>
          </c:tx>
          <c:spPr>
            <a:solidFill>
              <a:schemeClr val="accent1"/>
            </a:solidFill>
            <a:ln>
              <a:noFill/>
            </a:ln>
            <a:effectLst/>
          </c:spPr>
          <c:invertIfNegative val="0"/>
          <c:cat>
            <c:strRef>
              <c:f>'Detailed Results'!$B$139:$B$151</c:f>
              <c:strCache>
                <c:ptCount val="13"/>
                <c:pt idx="0">
                  <c:v>Native Species Rich Hedgerow with trees - Associated with bank or ditch</c:v>
                </c:pt>
                <c:pt idx="1">
                  <c:v>Native Species Rich Hedgerow with trees</c:v>
                </c:pt>
                <c:pt idx="2">
                  <c:v>Native Species Rich Hedgerow - Associated with bank or ditch</c:v>
                </c:pt>
                <c:pt idx="3">
                  <c:v>Native Hedgerow with trees - Associated with bank or ditch</c:v>
                </c:pt>
                <c:pt idx="4">
                  <c:v>Native Species Rich Hedgerow</c:v>
                </c:pt>
                <c:pt idx="5">
                  <c:v>Native Hedgerow - Associated with bank or ditch</c:v>
                </c:pt>
                <c:pt idx="6">
                  <c:v>Native Hedgerow with trees</c:v>
                </c:pt>
                <c:pt idx="7">
                  <c:v>Line of Trees (Ecologically Valuable)</c:v>
                </c:pt>
                <c:pt idx="8">
                  <c:v>Line of Trees (Ecologically Valuable) - with Bank or Ditch</c:v>
                </c:pt>
                <c:pt idx="9">
                  <c:v>Native Hedgerow</c:v>
                </c:pt>
                <c:pt idx="10">
                  <c:v>Line of Trees</c:v>
                </c:pt>
                <c:pt idx="11">
                  <c:v>Line of Trees  - Associated with bank or ditch</c:v>
                </c:pt>
                <c:pt idx="12">
                  <c:v>Hedge Ornamental Non Native</c:v>
                </c:pt>
              </c:strCache>
            </c:strRef>
          </c:cat>
          <c:val>
            <c:numRef>
              <c:f>'Detailed Results'!$D$99:$D$111</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4C68-4EC5-AB40-157E94620753}"/>
            </c:ext>
          </c:extLst>
        </c:ser>
        <c:ser>
          <c:idx val="1"/>
          <c:order val="1"/>
          <c:tx>
            <c:strRef>
              <c:f>'Detailed Results'!$F$98</c:f>
              <c:strCache>
                <c:ptCount val="1"/>
                <c:pt idx="0">
                  <c:v>Proposed value on-site</c:v>
                </c:pt>
              </c:strCache>
            </c:strRef>
          </c:tx>
          <c:spPr>
            <a:solidFill>
              <a:schemeClr val="accent2"/>
            </a:solidFill>
            <a:ln>
              <a:noFill/>
            </a:ln>
            <a:effectLst/>
          </c:spPr>
          <c:invertIfNegative val="0"/>
          <c:cat>
            <c:strRef>
              <c:f>'Detailed Results'!$B$139:$B$151</c:f>
              <c:strCache>
                <c:ptCount val="13"/>
                <c:pt idx="0">
                  <c:v>Native Species Rich Hedgerow with trees - Associated with bank or ditch</c:v>
                </c:pt>
                <c:pt idx="1">
                  <c:v>Native Species Rich Hedgerow with trees</c:v>
                </c:pt>
                <c:pt idx="2">
                  <c:v>Native Species Rich Hedgerow - Associated with bank or ditch</c:v>
                </c:pt>
                <c:pt idx="3">
                  <c:v>Native Hedgerow with trees - Associated with bank or ditch</c:v>
                </c:pt>
                <c:pt idx="4">
                  <c:v>Native Species Rich Hedgerow</c:v>
                </c:pt>
                <c:pt idx="5">
                  <c:v>Native Hedgerow - Associated with bank or ditch</c:v>
                </c:pt>
                <c:pt idx="6">
                  <c:v>Native Hedgerow with trees</c:v>
                </c:pt>
                <c:pt idx="7">
                  <c:v>Line of Trees (Ecologically Valuable)</c:v>
                </c:pt>
                <c:pt idx="8">
                  <c:v>Line of Trees (Ecologically Valuable) - with Bank or Ditch</c:v>
                </c:pt>
                <c:pt idx="9">
                  <c:v>Native Hedgerow</c:v>
                </c:pt>
                <c:pt idx="10">
                  <c:v>Line of Trees</c:v>
                </c:pt>
                <c:pt idx="11">
                  <c:v>Line of Trees  - Associated with bank or ditch</c:v>
                </c:pt>
                <c:pt idx="12">
                  <c:v>Hedge Ornamental Non Native</c:v>
                </c:pt>
              </c:strCache>
            </c:strRef>
          </c:cat>
          <c:val>
            <c:numRef>
              <c:f>'Detailed Results'!$F$99:$F$111</c:f>
              <c:numCache>
                <c:formatCode>0.00</c:formatCode>
                <c:ptCount val="13"/>
                <c:pt idx="0">
                  <c:v>0</c:v>
                </c:pt>
                <c:pt idx="1">
                  <c:v>0</c:v>
                </c:pt>
                <c:pt idx="2">
                  <c:v>0</c:v>
                </c:pt>
                <c:pt idx="3">
                  <c:v>0</c:v>
                </c:pt>
                <c:pt idx="4">
                  <c:v>0</c:v>
                </c:pt>
                <c:pt idx="5">
                  <c:v>0</c:v>
                </c:pt>
                <c:pt idx="6">
                  <c:v>0</c:v>
                </c:pt>
                <c:pt idx="7">
                  <c:v>0</c:v>
                </c:pt>
                <c:pt idx="8">
                  <c:v>0</c:v>
                </c:pt>
                <c:pt idx="9">
                  <c:v>0.82343944139040004</c:v>
                </c:pt>
                <c:pt idx="10">
                  <c:v>0</c:v>
                </c:pt>
                <c:pt idx="11">
                  <c:v>0</c:v>
                </c:pt>
                <c:pt idx="12">
                  <c:v>0</c:v>
                </c:pt>
              </c:numCache>
            </c:numRef>
          </c:val>
          <c:extLst>
            <c:ext xmlns:c16="http://schemas.microsoft.com/office/drawing/2014/chart" uri="{C3380CC4-5D6E-409C-BE32-E72D297353CC}">
              <c16:uniqueId val="{00000001-4C68-4EC5-AB40-157E94620753}"/>
            </c:ext>
          </c:extLst>
        </c:ser>
        <c:ser>
          <c:idx val="2"/>
          <c:order val="2"/>
          <c:tx>
            <c:strRef>
              <c:f>'Detailed Results'!$H$98</c:f>
              <c:strCache>
                <c:ptCount val="1"/>
                <c:pt idx="0">
                  <c:v>On-site Unit change</c:v>
                </c:pt>
              </c:strCache>
            </c:strRef>
          </c:tx>
          <c:spPr>
            <a:solidFill>
              <a:schemeClr val="accent3"/>
            </a:solidFill>
            <a:ln>
              <a:noFill/>
            </a:ln>
            <a:effectLst/>
          </c:spPr>
          <c:invertIfNegative val="0"/>
          <c:cat>
            <c:strRef>
              <c:f>'Detailed Results'!$B$139:$B$151</c:f>
              <c:strCache>
                <c:ptCount val="13"/>
                <c:pt idx="0">
                  <c:v>Native Species Rich Hedgerow with trees - Associated with bank or ditch</c:v>
                </c:pt>
                <c:pt idx="1">
                  <c:v>Native Species Rich Hedgerow with trees</c:v>
                </c:pt>
                <c:pt idx="2">
                  <c:v>Native Species Rich Hedgerow - Associated with bank or ditch</c:v>
                </c:pt>
                <c:pt idx="3">
                  <c:v>Native Hedgerow with trees - Associated with bank or ditch</c:v>
                </c:pt>
                <c:pt idx="4">
                  <c:v>Native Species Rich Hedgerow</c:v>
                </c:pt>
                <c:pt idx="5">
                  <c:v>Native Hedgerow - Associated with bank or ditch</c:v>
                </c:pt>
                <c:pt idx="6">
                  <c:v>Native Hedgerow with trees</c:v>
                </c:pt>
                <c:pt idx="7">
                  <c:v>Line of Trees (Ecologically Valuable)</c:v>
                </c:pt>
                <c:pt idx="8">
                  <c:v>Line of Trees (Ecologically Valuable) - with Bank or Ditch</c:v>
                </c:pt>
                <c:pt idx="9">
                  <c:v>Native Hedgerow</c:v>
                </c:pt>
                <c:pt idx="10">
                  <c:v>Line of Trees</c:v>
                </c:pt>
                <c:pt idx="11">
                  <c:v>Line of Trees  - Associated with bank or ditch</c:v>
                </c:pt>
                <c:pt idx="12">
                  <c:v>Hedge Ornamental Non Native</c:v>
                </c:pt>
              </c:strCache>
            </c:strRef>
          </c:cat>
          <c:val>
            <c:numRef>
              <c:f>'Detailed Results'!$H$99:$H$111</c:f>
              <c:numCache>
                <c:formatCode>0.00</c:formatCode>
                <c:ptCount val="13"/>
                <c:pt idx="0">
                  <c:v>0</c:v>
                </c:pt>
                <c:pt idx="1">
                  <c:v>0</c:v>
                </c:pt>
                <c:pt idx="2">
                  <c:v>0</c:v>
                </c:pt>
                <c:pt idx="3">
                  <c:v>0</c:v>
                </c:pt>
                <c:pt idx="4">
                  <c:v>0</c:v>
                </c:pt>
                <c:pt idx="5">
                  <c:v>0</c:v>
                </c:pt>
                <c:pt idx="6">
                  <c:v>0</c:v>
                </c:pt>
                <c:pt idx="7">
                  <c:v>0</c:v>
                </c:pt>
                <c:pt idx="8">
                  <c:v>0</c:v>
                </c:pt>
                <c:pt idx="9">
                  <c:v>0.82343944139040004</c:v>
                </c:pt>
                <c:pt idx="10">
                  <c:v>0</c:v>
                </c:pt>
                <c:pt idx="11">
                  <c:v>0</c:v>
                </c:pt>
                <c:pt idx="12">
                  <c:v>0</c:v>
                </c:pt>
              </c:numCache>
            </c:numRef>
          </c:val>
          <c:extLst>
            <c:ext xmlns:c16="http://schemas.microsoft.com/office/drawing/2014/chart" uri="{C3380CC4-5D6E-409C-BE32-E72D297353CC}">
              <c16:uniqueId val="{00000002-4C68-4EC5-AB40-157E94620753}"/>
            </c:ext>
          </c:extLst>
        </c:ser>
        <c:ser>
          <c:idx val="3"/>
          <c:order val="3"/>
          <c:tx>
            <c:strRef>
              <c:f>'Detailed Results'!$H$118</c:f>
              <c:strCache>
                <c:ptCount val="1"/>
                <c:pt idx="0">
                  <c:v>Off site Unit change</c:v>
                </c:pt>
              </c:strCache>
            </c:strRef>
          </c:tx>
          <c:spPr>
            <a:solidFill>
              <a:schemeClr val="accent4"/>
            </a:solidFill>
            <a:ln>
              <a:noFill/>
            </a:ln>
            <a:effectLst/>
          </c:spPr>
          <c:invertIfNegative val="0"/>
          <c:cat>
            <c:strRef>
              <c:f>'Detailed Results'!$B$139:$B$151</c:f>
              <c:strCache>
                <c:ptCount val="13"/>
                <c:pt idx="0">
                  <c:v>Native Species Rich Hedgerow with trees - Associated with bank or ditch</c:v>
                </c:pt>
                <c:pt idx="1">
                  <c:v>Native Species Rich Hedgerow with trees</c:v>
                </c:pt>
                <c:pt idx="2">
                  <c:v>Native Species Rich Hedgerow - Associated with bank or ditch</c:v>
                </c:pt>
                <c:pt idx="3">
                  <c:v>Native Hedgerow with trees - Associated with bank or ditch</c:v>
                </c:pt>
                <c:pt idx="4">
                  <c:v>Native Species Rich Hedgerow</c:v>
                </c:pt>
                <c:pt idx="5">
                  <c:v>Native Hedgerow - Associated with bank or ditch</c:v>
                </c:pt>
                <c:pt idx="6">
                  <c:v>Native Hedgerow with trees</c:v>
                </c:pt>
                <c:pt idx="7">
                  <c:v>Line of Trees (Ecologically Valuable)</c:v>
                </c:pt>
                <c:pt idx="8">
                  <c:v>Line of Trees (Ecologically Valuable) - with Bank or Ditch</c:v>
                </c:pt>
                <c:pt idx="9">
                  <c:v>Native Hedgerow</c:v>
                </c:pt>
                <c:pt idx="10">
                  <c:v>Line of Trees</c:v>
                </c:pt>
                <c:pt idx="11">
                  <c:v>Line of Trees  - Associated with bank or ditch</c:v>
                </c:pt>
                <c:pt idx="12">
                  <c:v>Hedge Ornamental Non Native</c:v>
                </c:pt>
              </c:strCache>
            </c:strRef>
          </c:cat>
          <c:val>
            <c:numRef>
              <c:f>'Detailed Results'!$H$119:$H$131</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3-4C68-4EC5-AB40-157E94620753}"/>
            </c:ext>
          </c:extLst>
        </c:ser>
        <c:ser>
          <c:idx val="4"/>
          <c:order val="4"/>
          <c:tx>
            <c:strRef>
              <c:f>'Detailed Results'!$F$118</c:f>
              <c:strCache>
                <c:ptCount val="1"/>
                <c:pt idx="0">
                  <c:v>Proposed value off-site</c:v>
                </c:pt>
              </c:strCache>
            </c:strRef>
          </c:tx>
          <c:spPr>
            <a:solidFill>
              <a:schemeClr val="accent5"/>
            </a:solidFill>
            <a:ln>
              <a:noFill/>
            </a:ln>
            <a:effectLst/>
          </c:spPr>
          <c:invertIfNegative val="0"/>
          <c:cat>
            <c:strRef>
              <c:f>'Detailed Results'!$B$139:$B$151</c:f>
              <c:strCache>
                <c:ptCount val="13"/>
                <c:pt idx="0">
                  <c:v>Native Species Rich Hedgerow with trees - Associated with bank or ditch</c:v>
                </c:pt>
                <c:pt idx="1">
                  <c:v>Native Species Rich Hedgerow with trees</c:v>
                </c:pt>
                <c:pt idx="2">
                  <c:v>Native Species Rich Hedgerow - Associated with bank or ditch</c:v>
                </c:pt>
                <c:pt idx="3">
                  <c:v>Native Hedgerow with trees - Associated with bank or ditch</c:v>
                </c:pt>
                <c:pt idx="4">
                  <c:v>Native Species Rich Hedgerow</c:v>
                </c:pt>
                <c:pt idx="5">
                  <c:v>Native Hedgerow - Associated with bank or ditch</c:v>
                </c:pt>
                <c:pt idx="6">
                  <c:v>Native Hedgerow with trees</c:v>
                </c:pt>
                <c:pt idx="7">
                  <c:v>Line of Trees (Ecologically Valuable)</c:v>
                </c:pt>
                <c:pt idx="8">
                  <c:v>Line of Trees (Ecologically Valuable) - with Bank or Ditch</c:v>
                </c:pt>
                <c:pt idx="9">
                  <c:v>Native Hedgerow</c:v>
                </c:pt>
                <c:pt idx="10">
                  <c:v>Line of Trees</c:v>
                </c:pt>
                <c:pt idx="11">
                  <c:v>Line of Trees  - Associated with bank or ditch</c:v>
                </c:pt>
                <c:pt idx="12">
                  <c:v>Hedge Ornamental Non Native</c:v>
                </c:pt>
              </c:strCache>
            </c:strRef>
          </c:cat>
          <c:val>
            <c:numRef>
              <c:f>'Detailed Results'!$F$119:$F$131</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1B53-4806-A0C0-132F1D1BF2C0}"/>
            </c:ext>
          </c:extLst>
        </c:ser>
        <c:ser>
          <c:idx val="5"/>
          <c:order val="5"/>
          <c:tx>
            <c:strRef>
              <c:f>'Detailed Results'!$D$118</c:f>
              <c:strCache>
                <c:ptCount val="1"/>
                <c:pt idx="0">
                  <c:v>Existing value off-site</c:v>
                </c:pt>
              </c:strCache>
            </c:strRef>
          </c:tx>
          <c:spPr>
            <a:solidFill>
              <a:schemeClr val="accent6"/>
            </a:solidFill>
            <a:ln>
              <a:noFill/>
            </a:ln>
            <a:effectLst/>
          </c:spPr>
          <c:invertIfNegative val="0"/>
          <c:cat>
            <c:strRef>
              <c:f>'Detailed Results'!$B$139:$B$151</c:f>
              <c:strCache>
                <c:ptCount val="13"/>
                <c:pt idx="0">
                  <c:v>Native Species Rich Hedgerow with trees - Associated with bank or ditch</c:v>
                </c:pt>
                <c:pt idx="1">
                  <c:v>Native Species Rich Hedgerow with trees</c:v>
                </c:pt>
                <c:pt idx="2">
                  <c:v>Native Species Rich Hedgerow - Associated with bank or ditch</c:v>
                </c:pt>
                <c:pt idx="3">
                  <c:v>Native Hedgerow with trees - Associated with bank or ditch</c:v>
                </c:pt>
                <c:pt idx="4">
                  <c:v>Native Species Rich Hedgerow</c:v>
                </c:pt>
                <c:pt idx="5">
                  <c:v>Native Hedgerow - Associated with bank or ditch</c:v>
                </c:pt>
                <c:pt idx="6">
                  <c:v>Native Hedgerow with trees</c:v>
                </c:pt>
                <c:pt idx="7">
                  <c:v>Line of Trees (Ecologically Valuable)</c:v>
                </c:pt>
                <c:pt idx="8">
                  <c:v>Line of Trees (Ecologically Valuable) - with Bank or Ditch</c:v>
                </c:pt>
                <c:pt idx="9">
                  <c:v>Native Hedgerow</c:v>
                </c:pt>
                <c:pt idx="10">
                  <c:v>Line of Trees</c:v>
                </c:pt>
                <c:pt idx="11">
                  <c:v>Line of Trees  - Associated with bank or ditch</c:v>
                </c:pt>
                <c:pt idx="12">
                  <c:v>Hedge Ornamental Non Native</c:v>
                </c:pt>
              </c:strCache>
            </c:strRef>
          </c:cat>
          <c:val>
            <c:numRef>
              <c:f>'Detailed Results'!$D$119:$D$131</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1B53-4806-A0C0-132F1D1BF2C0}"/>
            </c:ext>
          </c:extLst>
        </c:ser>
        <c:dLbls>
          <c:showLegendKey val="0"/>
          <c:showVal val="0"/>
          <c:showCatName val="0"/>
          <c:showSerName val="0"/>
          <c:showPercent val="0"/>
          <c:showBubbleSize val="0"/>
        </c:dLbls>
        <c:gapWidth val="219"/>
        <c:overlap val="-27"/>
        <c:axId val="362007984"/>
        <c:axId val="362008376"/>
      </c:barChart>
      <c:catAx>
        <c:axId val="36200798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2008376"/>
        <c:crosses val="autoZero"/>
        <c:auto val="1"/>
        <c:lblAlgn val="ctr"/>
        <c:lblOffset val="100"/>
        <c:noMultiLvlLbl val="0"/>
      </c:catAx>
      <c:valAx>
        <c:axId val="36200837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2007984"/>
        <c:crosses val="autoZero"/>
        <c:crossBetween val="between"/>
      </c:valAx>
      <c:spPr>
        <a:noFill/>
        <a:ln>
          <a:solidFill>
            <a:srgbClr val="ABC3C9">
              <a:lumMod val="25000"/>
              <a:lumOff val="75000"/>
            </a:srgbClr>
          </a:solid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On site length change by hedgerow</a:t>
            </a:r>
            <a:r>
              <a:rPr lang="en-GB" baseline="0"/>
              <a:t> length (km)</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3.6997845615031125E-2"/>
          <c:y val="7.8957983437665843E-2"/>
          <c:w val="0.94371844122572568"/>
          <c:h val="0.56925891188809152"/>
        </c:manualLayout>
      </c:layout>
      <c:barChart>
        <c:barDir val="col"/>
        <c:grouping val="clustered"/>
        <c:varyColors val="0"/>
        <c:ser>
          <c:idx val="0"/>
          <c:order val="0"/>
          <c:tx>
            <c:strRef>
              <c:f>'Detailed Results'!$C$98</c:f>
              <c:strCache>
                <c:ptCount val="1"/>
                <c:pt idx="0">
                  <c:v>Existing length on-site</c:v>
                </c:pt>
              </c:strCache>
            </c:strRef>
          </c:tx>
          <c:spPr>
            <a:solidFill>
              <a:schemeClr val="accent1"/>
            </a:solidFill>
            <a:ln>
              <a:noFill/>
            </a:ln>
            <a:effectLst/>
          </c:spPr>
          <c:invertIfNegative val="0"/>
          <c:cat>
            <c:strRef>
              <c:f>'Detailed Results'!$B$119:$B$131</c:f>
              <c:strCache>
                <c:ptCount val="13"/>
                <c:pt idx="0">
                  <c:v>Native Species Rich Hedgerow with trees - Associated with bank or ditch</c:v>
                </c:pt>
                <c:pt idx="1">
                  <c:v>Native Species Rich Hedgerow with trees</c:v>
                </c:pt>
                <c:pt idx="2">
                  <c:v>Native Species Rich Hedgerow - Associated with bank or ditch</c:v>
                </c:pt>
                <c:pt idx="3">
                  <c:v>Native Hedgerow with trees - Associated with bank or ditch</c:v>
                </c:pt>
                <c:pt idx="4">
                  <c:v>Native Species Rich Hedgerow</c:v>
                </c:pt>
                <c:pt idx="5">
                  <c:v>Native Hedgerow - Associated with bank or ditch</c:v>
                </c:pt>
                <c:pt idx="6">
                  <c:v>Native Hedgerow with trees</c:v>
                </c:pt>
                <c:pt idx="7">
                  <c:v>Line of Trees (Ecologically Valuable)</c:v>
                </c:pt>
                <c:pt idx="8">
                  <c:v>Line of Trees (Ecologically Valuable) - with Bank or Ditch</c:v>
                </c:pt>
                <c:pt idx="9">
                  <c:v>Native Hedgerow</c:v>
                </c:pt>
                <c:pt idx="10">
                  <c:v>Line of Trees</c:v>
                </c:pt>
                <c:pt idx="11">
                  <c:v>Line of Trees  - Associated with bank or ditch</c:v>
                </c:pt>
                <c:pt idx="12">
                  <c:v>Hedge Ornamental Non Native</c:v>
                </c:pt>
              </c:strCache>
            </c:strRef>
          </c:cat>
          <c:val>
            <c:numRef>
              <c:f>'Detailed Results'!$C$99:$C$111</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674F-487F-A4D7-68B96D121954}"/>
            </c:ext>
          </c:extLst>
        </c:ser>
        <c:ser>
          <c:idx val="1"/>
          <c:order val="1"/>
          <c:tx>
            <c:strRef>
              <c:f>'Detailed Results'!$E$98</c:f>
              <c:strCache>
                <c:ptCount val="1"/>
                <c:pt idx="0">
                  <c:v>Proposed length on-site</c:v>
                </c:pt>
              </c:strCache>
            </c:strRef>
          </c:tx>
          <c:spPr>
            <a:solidFill>
              <a:schemeClr val="accent2"/>
            </a:solidFill>
            <a:ln>
              <a:noFill/>
            </a:ln>
            <a:effectLst/>
          </c:spPr>
          <c:invertIfNegative val="0"/>
          <c:cat>
            <c:strRef>
              <c:f>'Detailed Results'!$B$119:$B$131</c:f>
              <c:strCache>
                <c:ptCount val="13"/>
                <c:pt idx="0">
                  <c:v>Native Species Rich Hedgerow with trees - Associated with bank or ditch</c:v>
                </c:pt>
                <c:pt idx="1">
                  <c:v>Native Species Rich Hedgerow with trees</c:v>
                </c:pt>
                <c:pt idx="2">
                  <c:v>Native Species Rich Hedgerow - Associated with bank or ditch</c:v>
                </c:pt>
                <c:pt idx="3">
                  <c:v>Native Hedgerow with trees - Associated with bank or ditch</c:v>
                </c:pt>
                <c:pt idx="4">
                  <c:v>Native Species Rich Hedgerow</c:v>
                </c:pt>
                <c:pt idx="5">
                  <c:v>Native Hedgerow - Associated with bank or ditch</c:v>
                </c:pt>
                <c:pt idx="6">
                  <c:v>Native Hedgerow with trees</c:v>
                </c:pt>
                <c:pt idx="7">
                  <c:v>Line of Trees (Ecologically Valuable)</c:v>
                </c:pt>
                <c:pt idx="8">
                  <c:v>Line of Trees (Ecologically Valuable) - with Bank or Ditch</c:v>
                </c:pt>
                <c:pt idx="9">
                  <c:v>Native Hedgerow</c:v>
                </c:pt>
                <c:pt idx="10">
                  <c:v>Line of Trees</c:v>
                </c:pt>
                <c:pt idx="11">
                  <c:v>Line of Trees  - Associated with bank or ditch</c:v>
                </c:pt>
                <c:pt idx="12">
                  <c:v>Hedge Ornamental Non Native</c:v>
                </c:pt>
              </c:strCache>
            </c:strRef>
          </c:cat>
          <c:val>
            <c:numRef>
              <c:f>'Detailed Results'!$E$99:$E$111</c:f>
              <c:numCache>
                <c:formatCode>0.00</c:formatCode>
                <c:ptCount val="13"/>
                <c:pt idx="0">
                  <c:v>0</c:v>
                </c:pt>
                <c:pt idx="1">
                  <c:v>0</c:v>
                </c:pt>
                <c:pt idx="2">
                  <c:v>0</c:v>
                </c:pt>
                <c:pt idx="3">
                  <c:v>0</c:v>
                </c:pt>
                <c:pt idx="4">
                  <c:v>0</c:v>
                </c:pt>
                <c:pt idx="5">
                  <c:v>0</c:v>
                </c:pt>
                <c:pt idx="6">
                  <c:v>0</c:v>
                </c:pt>
                <c:pt idx="7">
                  <c:v>0</c:v>
                </c:pt>
                <c:pt idx="8">
                  <c:v>0</c:v>
                </c:pt>
                <c:pt idx="9">
                  <c:v>0.246</c:v>
                </c:pt>
                <c:pt idx="10">
                  <c:v>0</c:v>
                </c:pt>
                <c:pt idx="11">
                  <c:v>0</c:v>
                </c:pt>
                <c:pt idx="12">
                  <c:v>0</c:v>
                </c:pt>
              </c:numCache>
            </c:numRef>
          </c:val>
          <c:extLst>
            <c:ext xmlns:c16="http://schemas.microsoft.com/office/drawing/2014/chart" uri="{C3380CC4-5D6E-409C-BE32-E72D297353CC}">
              <c16:uniqueId val="{00000001-674F-487F-A4D7-68B96D121954}"/>
            </c:ext>
          </c:extLst>
        </c:ser>
        <c:ser>
          <c:idx val="3"/>
          <c:order val="2"/>
          <c:tx>
            <c:strRef>
              <c:f>'Detailed Results'!$C$118</c:f>
              <c:strCache>
                <c:ptCount val="1"/>
                <c:pt idx="0">
                  <c:v>Existing length off-site</c:v>
                </c:pt>
              </c:strCache>
            </c:strRef>
          </c:tx>
          <c:spPr>
            <a:solidFill>
              <a:schemeClr val="accent4"/>
            </a:solidFill>
            <a:ln>
              <a:noFill/>
            </a:ln>
            <a:effectLst/>
          </c:spPr>
          <c:invertIfNegative val="0"/>
          <c:cat>
            <c:strRef>
              <c:f>'Detailed Results'!$B$119:$B$131</c:f>
              <c:strCache>
                <c:ptCount val="13"/>
                <c:pt idx="0">
                  <c:v>Native Species Rich Hedgerow with trees - Associated with bank or ditch</c:v>
                </c:pt>
                <c:pt idx="1">
                  <c:v>Native Species Rich Hedgerow with trees</c:v>
                </c:pt>
                <c:pt idx="2">
                  <c:v>Native Species Rich Hedgerow - Associated with bank or ditch</c:v>
                </c:pt>
                <c:pt idx="3">
                  <c:v>Native Hedgerow with trees - Associated with bank or ditch</c:v>
                </c:pt>
                <c:pt idx="4">
                  <c:v>Native Species Rich Hedgerow</c:v>
                </c:pt>
                <c:pt idx="5">
                  <c:v>Native Hedgerow - Associated with bank or ditch</c:v>
                </c:pt>
                <c:pt idx="6">
                  <c:v>Native Hedgerow with trees</c:v>
                </c:pt>
                <c:pt idx="7">
                  <c:v>Line of Trees (Ecologically Valuable)</c:v>
                </c:pt>
                <c:pt idx="8">
                  <c:v>Line of Trees (Ecologically Valuable) - with Bank or Ditch</c:v>
                </c:pt>
                <c:pt idx="9">
                  <c:v>Native Hedgerow</c:v>
                </c:pt>
                <c:pt idx="10">
                  <c:v>Line of Trees</c:v>
                </c:pt>
                <c:pt idx="11">
                  <c:v>Line of Trees  - Associated with bank or ditch</c:v>
                </c:pt>
                <c:pt idx="12">
                  <c:v>Hedge Ornamental Non Native</c:v>
                </c:pt>
              </c:strCache>
            </c:strRef>
          </c:cat>
          <c:val>
            <c:numRef>
              <c:f>'Detailed Results'!$C$119:$C$131</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708E-48C2-85BF-757D9868713F}"/>
            </c:ext>
          </c:extLst>
        </c:ser>
        <c:ser>
          <c:idx val="2"/>
          <c:order val="3"/>
          <c:tx>
            <c:strRef>
              <c:f>'Detailed Results'!$E$118</c:f>
              <c:strCache>
                <c:ptCount val="1"/>
                <c:pt idx="0">
                  <c:v>Proposed length off-site</c:v>
                </c:pt>
              </c:strCache>
            </c:strRef>
          </c:tx>
          <c:spPr>
            <a:solidFill>
              <a:schemeClr val="accent3"/>
            </a:solidFill>
            <a:ln>
              <a:noFill/>
            </a:ln>
            <a:effectLst/>
          </c:spPr>
          <c:invertIfNegative val="0"/>
          <c:cat>
            <c:strRef>
              <c:f>'Detailed Results'!$B$119:$B$131</c:f>
              <c:strCache>
                <c:ptCount val="13"/>
                <c:pt idx="0">
                  <c:v>Native Species Rich Hedgerow with trees - Associated with bank or ditch</c:v>
                </c:pt>
                <c:pt idx="1">
                  <c:v>Native Species Rich Hedgerow with trees</c:v>
                </c:pt>
                <c:pt idx="2">
                  <c:v>Native Species Rich Hedgerow - Associated with bank or ditch</c:v>
                </c:pt>
                <c:pt idx="3">
                  <c:v>Native Hedgerow with trees - Associated with bank or ditch</c:v>
                </c:pt>
                <c:pt idx="4">
                  <c:v>Native Species Rich Hedgerow</c:v>
                </c:pt>
                <c:pt idx="5">
                  <c:v>Native Hedgerow - Associated with bank or ditch</c:v>
                </c:pt>
                <c:pt idx="6">
                  <c:v>Native Hedgerow with trees</c:v>
                </c:pt>
                <c:pt idx="7">
                  <c:v>Line of Trees (Ecologically Valuable)</c:v>
                </c:pt>
                <c:pt idx="8">
                  <c:v>Line of Trees (Ecologically Valuable) - with Bank or Ditch</c:v>
                </c:pt>
                <c:pt idx="9">
                  <c:v>Native Hedgerow</c:v>
                </c:pt>
                <c:pt idx="10">
                  <c:v>Line of Trees</c:v>
                </c:pt>
                <c:pt idx="11">
                  <c:v>Line of Trees  - Associated with bank or ditch</c:v>
                </c:pt>
                <c:pt idx="12">
                  <c:v>Hedge Ornamental Non Native</c:v>
                </c:pt>
              </c:strCache>
            </c:strRef>
          </c:cat>
          <c:val>
            <c:numRef>
              <c:f>'Detailed Results'!$E$119:$E$131</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2-674F-487F-A4D7-68B96D121954}"/>
            </c:ext>
          </c:extLst>
        </c:ser>
        <c:dLbls>
          <c:showLegendKey val="0"/>
          <c:showVal val="0"/>
          <c:showCatName val="0"/>
          <c:showSerName val="0"/>
          <c:showPercent val="0"/>
          <c:showBubbleSize val="0"/>
        </c:dLbls>
        <c:gapWidth val="219"/>
        <c:overlap val="-27"/>
        <c:axId val="363118312"/>
        <c:axId val="363118704"/>
      </c:barChart>
      <c:catAx>
        <c:axId val="363118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118704"/>
        <c:crosses val="autoZero"/>
        <c:auto val="1"/>
        <c:lblAlgn val="ctr"/>
        <c:lblOffset val="100"/>
        <c:noMultiLvlLbl val="0"/>
      </c:catAx>
      <c:valAx>
        <c:axId val="36311870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118312"/>
        <c:crosses val="autoZero"/>
        <c:crossBetween val="between"/>
      </c:valAx>
      <c:spPr>
        <a:noFill/>
        <a:ln>
          <a:noFill/>
        </a:ln>
        <a:effectLst/>
      </c:spPr>
    </c:plotArea>
    <c:legend>
      <c:legendPos val="b"/>
      <c:layout>
        <c:manualLayout>
          <c:xMode val="edge"/>
          <c:yMode val="edge"/>
          <c:x val="0.18929790475757063"/>
          <c:y val="0.87880529958796882"/>
          <c:w val="0.65419342240213463"/>
          <c:h val="0.10116147246300095"/>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Combined hedgerow</a:t>
            </a:r>
            <a:r>
              <a:rPr lang="en-GB" baseline="0"/>
              <a:t> length</a:t>
            </a:r>
            <a:r>
              <a:rPr lang="en-GB"/>
              <a:t> change (km)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2.9084007377372174E-2"/>
          <c:y val="8.2738591964125793E-2"/>
          <c:w val="0.9616458125661338"/>
          <c:h val="0.73067010848419178"/>
        </c:manualLayout>
      </c:layout>
      <c:barChart>
        <c:barDir val="col"/>
        <c:grouping val="clustered"/>
        <c:varyColors val="0"/>
        <c:ser>
          <c:idx val="0"/>
          <c:order val="0"/>
          <c:tx>
            <c:strRef>
              <c:f>'Detailed Results'!$C$98</c:f>
              <c:strCache>
                <c:ptCount val="1"/>
                <c:pt idx="0">
                  <c:v>Existing length on-site</c:v>
                </c:pt>
              </c:strCache>
            </c:strRef>
          </c:tx>
          <c:spPr>
            <a:solidFill>
              <a:schemeClr val="accent1"/>
            </a:solidFill>
            <a:ln>
              <a:noFill/>
            </a:ln>
            <a:effectLst/>
          </c:spPr>
          <c:invertIfNegative val="0"/>
          <c:cat>
            <c:strRef>
              <c:f>'Detailed Results'!$B$99:$B$111</c:f>
              <c:strCache>
                <c:ptCount val="13"/>
                <c:pt idx="0">
                  <c:v>Native Species Rich Hedgerow with trees - Associated with bank or ditch</c:v>
                </c:pt>
                <c:pt idx="1">
                  <c:v>Native Species Rich Hedgerow with trees</c:v>
                </c:pt>
                <c:pt idx="2">
                  <c:v>Native Species Rich Hedgerow - Associated with bank or ditch</c:v>
                </c:pt>
                <c:pt idx="3">
                  <c:v>Native Hedgerow with trees - Associated with bank or ditch</c:v>
                </c:pt>
                <c:pt idx="4">
                  <c:v>Native Species Rich Hedgerow</c:v>
                </c:pt>
                <c:pt idx="5">
                  <c:v>Native Hedgerow - Associated with bank or ditch</c:v>
                </c:pt>
                <c:pt idx="6">
                  <c:v>Native Hedgerow with trees</c:v>
                </c:pt>
                <c:pt idx="7">
                  <c:v>Line of Trees (Ecologically Valuable)</c:v>
                </c:pt>
                <c:pt idx="8">
                  <c:v>Line of Trees (Ecologically Valuable) - with Bank or Ditch</c:v>
                </c:pt>
                <c:pt idx="9">
                  <c:v>Native Hedgerow</c:v>
                </c:pt>
                <c:pt idx="10">
                  <c:v>Line of Trees</c:v>
                </c:pt>
                <c:pt idx="11">
                  <c:v>Line of Trees - Associated with bank or ditch</c:v>
                </c:pt>
                <c:pt idx="12">
                  <c:v>Hedge Ornamental Non Native</c:v>
                </c:pt>
              </c:strCache>
            </c:strRef>
          </c:cat>
          <c:val>
            <c:numRef>
              <c:f>'Detailed Results'!$C$99:$C$111</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4C68-4EC5-AB40-157E94620753}"/>
            </c:ext>
          </c:extLst>
        </c:ser>
        <c:ser>
          <c:idx val="1"/>
          <c:order val="1"/>
          <c:tx>
            <c:strRef>
              <c:f>'Detailed Results'!$E$98</c:f>
              <c:strCache>
                <c:ptCount val="1"/>
                <c:pt idx="0">
                  <c:v>Proposed length on-site</c:v>
                </c:pt>
              </c:strCache>
            </c:strRef>
          </c:tx>
          <c:spPr>
            <a:solidFill>
              <a:schemeClr val="accent2"/>
            </a:solidFill>
            <a:ln>
              <a:noFill/>
            </a:ln>
            <a:effectLst/>
          </c:spPr>
          <c:invertIfNegative val="0"/>
          <c:cat>
            <c:strRef>
              <c:f>'Detailed Results'!$B$99:$B$111</c:f>
              <c:strCache>
                <c:ptCount val="13"/>
                <c:pt idx="0">
                  <c:v>Native Species Rich Hedgerow with trees - Associated with bank or ditch</c:v>
                </c:pt>
                <c:pt idx="1">
                  <c:v>Native Species Rich Hedgerow with trees</c:v>
                </c:pt>
                <c:pt idx="2">
                  <c:v>Native Species Rich Hedgerow - Associated with bank or ditch</c:v>
                </c:pt>
                <c:pt idx="3">
                  <c:v>Native Hedgerow with trees - Associated with bank or ditch</c:v>
                </c:pt>
                <c:pt idx="4">
                  <c:v>Native Species Rich Hedgerow</c:v>
                </c:pt>
                <c:pt idx="5">
                  <c:v>Native Hedgerow - Associated with bank or ditch</c:v>
                </c:pt>
                <c:pt idx="6">
                  <c:v>Native Hedgerow with trees</c:v>
                </c:pt>
                <c:pt idx="7">
                  <c:v>Line of Trees (Ecologically Valuable)</c:v>
                </c:pt>
                <c:pt idx="8">
                  <c:v>Line of Trees (Ecologically Valuable) - with Bank or Ditch</c:v>
                </c:pt>
                <c:pt idx="9">
                  <c:v>Native Hedgerow</c:v>
                </c:pt>
                <c:pt idx="10">
                  <c:v>Line of Trees</c:v>
                </c:pt>
                <c:pt idx="11">
                  <c:v>Line of Trees - Associated with bank or ditch</c:v>
                </c:pt>
                <c:pt idx="12">
                  <c:v>Hedge Ornamental Non Native</c:v>
                </c:pt>
              </c:strCache>
            </c:strRef>
          </c:cat>
          <c:val>
            <c:numRef>
              <c:f>'Detailed Results'!$E$99:$E$111</c:f>
              <c:numCache>
                <c:formatCode>0.00</c:formatCode>
                <c:ptCount val="13"/>
                <c:pt idx="0">
                  <c:v>0</c:v>
                </c:pt>
                <c:pt idx="1">
                  <c:v>0</c:v>
                </c:pt>
                <c:pt idx="2">
                  <c:v>0</c:v>
                </c:pt>
                <c:pt idx="3">
                  <c:v>0</c:v>
                </c:pt>
                <c:pt idx="4">
                  <c:v>0</c:v>
                </c:pt>
                <c:pt idx="5">
                  <c:v>0</c:v>
                </c:pt>
                <c:pt idx="6">
                  <c:v>0</c:v>
                </c:pt>
                <c:pt idx="7">
                  <c:v>0</c:v>
                </c:pt>
                <c:pt idx="8">
                  <c:v>0</c:v>
                </c:pt>
                <c:pt idx="9">
                  <c:v>0.246</c:v>
                </c:pt>
                <c:pt idx="10">
                  <c:v>0</c:v>
                </c:pt>
                <c:pt idx="11">
                  <c:v>0</c:v>
                </c:pt>
                <c:pt idx="12">
                  <c:v>0</c:v>
                </c:pt>
              </c:numCache>
            </c:numRef>
          </c:val>
          <c:extLst>
            <c:ext xmlns:c16="http://schemas.microsoft.com/office/drawing/2014/chart" uri="{C3380CC4-5D6E-409C-BE32-E72D297353CC}">
              <c16:uniqueId val="{00000001-4C68-4EC5-AB40-157E94620753}"/>
            </c:ext>
          </c:extLst>
        </c:ser>
        <c:ser>
          <c:idx val="2"/>
          <c:order val="2"/>
          <c:tx>
            <c:strRef>
              <c:f>'Detailed Results'!$G$98</c:f>
              <c:strCache>
                <c:ptCount val="1"/>
                <c:pt idx="0">
                  <c:v>On-site length change</c:v>
                </c:pt>
              </c:strCache>
            </c:strRef>
          </c:tx>
          <c:spPr>
            <a:solidFill>
              <a:schemeClr val="accent3"/>
            </a:solidFill>
            <a:ln>
              <a:noFill/>
            </a:ln>
            <a:effectLst/>
          </c:spPr>
          <c:invertIfNegative val="0"/>
          <c:cat>
            <c:strRef>
              <c:f>'Detailed Results'!$B$99:$B$111</c:f>
              <c:strCache>
                <c:ptCount val="13"/>
                <c:pt idx="0">
                  <c:v>Native Species Rich Hedgerow with trees - Associated with bank or ditch</c:v>
                </c:pt>
                <c:pt idx="1">
                  <c:v>Native Species Rich Hedgerow with trees</c:v>
                </c:pt>
                <c:pt idx="2">
                  <c:v>Native Species Rich Hedgerow - Associated with bank or ditch</c:v>
                </c:pt>
                <c:pt idx="3">
                  <c:v>Native Hedgerow with trees - Associated with bank or ditch</c:v>
                </c:pt>
                <c:pt idx="4">
                  <c:v>Native Species Rich Hedgerow</c:v>
                </c:pt>
                <c:pt idx="5">
                  <c:v>Native Hedgerow - Associated with bank or ditch</c:v>
                </c:pt>
                <c:pt idx="6">
                  <c:v>Native Hedgerow with trees</c:v>
                </c:pt>
                <c:pt idx="7">
                  <c:v>Line of Trees (Ecologically Valuable)</c:v>
                </c:pt>
                <c:pt idx="8">
                  <c:v>Line of Trees (Ecologically Valuable) - with Bank or Ditch</c:v>
                </c:pt>
                <c:pt idx="9">
                  <c:v>Native Hedgerow</c:v>
                </c:pt>
                <c:pt idx="10">
                  <c:v>Line of Trees</c:v>
                </c:pt>
                <c:pt idx="11">
                  <c:v>Line of Trees - Associated with bank or ditch</c:v>
                </c:pt>
                <c:pt idx="12">
                  <c:v>Hedge Ornamental Non Native</c:v>
                </c:pt>
              </c:strCache>
            </c:strRef>
          </c:cat>
          <c:val>
            <c:numRef>
              <c:f>'Detailed Results'!$G$99:$G$111</c:f>
              <c:numCache>
                <c:formatCode>0.00</c:formatCode>
                <c:ptCount val="13"/>
                <c:pt idx="0">
                  <c:v>0</c:v>
                </c:pt>
                <c:pt idx="1">
                  <c:v>0</c:v>
                </c:pt>
                <c:pt idx="2">
                  <c:v>0</c:v>
                </c:pt>
                <c:pt idx="3">
                  <c:v>0</c:v>
                </c:pt>
                <c:pt idx="4">
                  <c:v>0</c:v>
                </c:pt>
                <c:pt idx="5">
                  <c:v>0</c:v>
                </c:pt>
                <c:pt idx="6">
                  <c:v>0</c:v>
                </c:pt>
                <c:pt idx="7">
                  <c:v>0</c:v>
                </c:pt>
                <c:pt idx="8">
                  <c:v>0</c:v>
                </c:pt>
                <c:pt idx="9">
                  <c:v>0.246</c:v>
                </c:pt>
                <c:pt idx="10">
                  <c:v>0</c:v>
                </c:pt>
                <c:pt idx="11">
                  <c:v>0</c:v>
                </c:pt>
                <c:pt idx="12">
                  <c:v>0</c:v>
                </c:pt>
              </c:numCache>
            </c:numRef>
          </c:val>
          <c:extLst>
            <c:ext xmlns:c16="http://schemas.microsoft.com/office/drawing/2014/chart" uri="{C3380CC4-5D6E-409C-BE32-E72D297353CC}">
              <c16:uniqueId val="{00000002-4C68-4EC5-AB40-157E94620753}"/>
            </c:ext>
          </c:extLst>
        </c:ser>
        <c:ser>
          <c:idx val="3"/>
          <c:order val="3"/>
          <c:tx>
            <c:strRef>
              <c:f>'Detailed Results'!$G$118</c:f>
              <c:strCache>
                <c:ptCount val="1"/>
                <c:pt idx="0">
                  <c:v>Off-site length change</c:v>
                </c:pt>
              </c:strCache>
            </c:strRef>
          </c:tx>
          <c:spPr>
            <a:solidFill>
              <a:schemeClr val="accent4"/>
            </a:solidFill>
            <a:ln>
              <a:noFill/>
            </a:ln>
            <a:effectLst/>
          </c:spPr>
          <c:invertIfNegative val="0"/>
          <c:cat>
            <c:strRef>
              <c:f>'Detailed Results'!$B$99:$B$111</c:f>
              <c:strCache>
                <c:ptCount val="13"/>
                <c:pt idx="0">
                  <c:v>Native Species Rich Hedgerow with trees - Associated with bank or ditch</c:v>
                </c:pt>
                <c:pt idx="1">
                  <c:v>Native Species Rich Hedgerow with trees</c:v>
                </c:pt>
                <c:pt idx="2">
                  <c:v>Native Species Rich Hedgerow - Associated with bank or ditch</c:v>
                </c:pt>
                <c:pt idx="3">
                  <c:v>Native Hedgerow with trees - Associated with bank or ditch</c:v>
                </c:pt>
                <c:pt idx="4">
                  <c:v>Native Species Rich Hedgerow</c:v>
                </c:pt>
                <c:pt idx="5">
                  <c:v>Native Hedgerow - Associated with bank or ditch</c:v>
                </c:pt>
                <c:pt idx="6">
                  <c:v>Native Hedgerow with trees</c:v>
                </c:pt>
                <c:pt idx="7">
                  <c:v>Line of Trees (Ecologically Valuable)</c:v>
                </c:pt>
                <c:pt idx="8">
                  <c:v>Line of Trees (Ecologically Valuable) - with Bank or Ditch</c:v>
                </c:pt>
                <c:pt idx="9">
                  <c:v>Native Hedgerow</c:v>
                </c:pt>
                <c:pt idx="10">
                  <c:v>Line of Trees</c:v>
                </c:pt>
                <c:pt idx="11">
                  <c:v>Line of Trees - Associated with bank or ditch</c:v>
                </c:pt>
                <c:pt idx="12">
                  <c:v>Hedge Ornamental Non Native</c:v>
                </c:pt>
              </c:strCache>
            </c:strRef>
          </c:cat>
          <c:val>
            <c:numRef>
              <c:f>'Detailed Results'!$G$119:$G$131</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3-4C68-4EC5-AB40-157E94620753}"/>
            </c:ext>
          </c:extLst>
        </c:ser>
        <c:ser>
          <c:idx val="4"/>
          <c:order val="4"/>
          <c:tx>
            <c:strRef>
              <c:f>'Detailed Results'!$E$118</c:f>
              <c:strCache>
                <c:ptCount val="1"/>
                <c:pt idx="0">
                  <c:v>Proposed length off-site</c:v>
                </c:pt>
              </c:strCache>
            </c:strRef>
          </c:tx>
          <c:spPr>
            <a:solidFill>
              <a:schemeClr val="accent5"/>
            </a:solidFill>
            <a:ln>
              <a:noFill/>
            </a:ln>
            <a:effectLst/>
          </c:spPr>
          <c:invertIfNegative val="0"/>
          <c:cat>
            <c:strRef>
              <c:f>'Detailed Results'!$B$99:$B$111</c:f>
              <c:strCache>
                <c:ptCount val="13"/>
                <c:pt idx="0">
                  <c:v>Native Species Rich Hedgerow with trees - Associated with bank or ditch</c:v>
                </c:pt>
                <c:pt idx="1">
                  <c:v>Native Species Rich Hedgerow with trees</c:v>
                </c:pt>
                <c:pt idx="2">
                  <c:v>Native Species Rich Hedgerow - Associated with bank or ditch</c:v>
                </c:pt>
                <c:pt idx="3">
                  <c:v>Native Hedgerow with trees - Associated with bank or ditch</c:v>
                </c:pt>
                <c:pt idx="4">
                  <c:v>Native Species Rich Hedgerow</c:v>
                </c:pt>
                <c:pt idx="5">
                  <c:v>Native Hedgerow - Associated with bank or ditch</c:v>
                </c:pt>
                <c:pt idx="6">
                  <c:v>Native Hedgerow with trees</c:v>
                </c:pt>
                <c:pt idx="7">
                  <c:v>Line of Trees (Ecologically Valuable)</c:v>
                </c:pt>
                <c:pt idx="8">
                  <c:v>Line of Trees (Ecologically Valuable) - with Bank or Ditch</c:v>
                </c:pt>
                <c:pt idx="9">
                  <c:v>Native Hedgerow</c:v>
                </c:pt>
                <c:pt idx="10">
                  <c:v>Line of Trees</c:v>
                </c:pt>
                <c:pt idx="11">
                  <c:v>Line of Trees - Associated with bank or ditch</c:v>
                </c:pt>
                <c:pt idx="12">
                  <c:v>Hedge Ornamental Non Native</c:v>
                </c:pt>
              </c:strCache>
            </c:strRef>
          </c:cat>
          <c:val>
            <c:numRef>
              <c:f>'Detailed Results'!$E$119:$E$131</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1B53-4806-A0C0-132F1D1BF2C0}"/>
            </c:ext>
          </c:extLst>
        </c:ser>
        <c:ser>
          <c:idx val="5"/>
          <c:order val="5"/>
          <c:tx>
            <c:strRef>
              <c:f>'Detailed Results'!$C$118</c:f>
              <c:strCache>
                <c:ptCount val="1"/>
                <c:pt idx="0">
                  <c:v>Existing length off-site</c:v>
                </c:pt>
              </c:strCache>
            </c:strRef>
          </c:tx>
          <c:spPr>
            <a:solidFill>
              <a:schemeClr val="accent6"/>
            </a:solidFill>
            <a:ln>
              <a:noFill/>
            </a:ln>
            <a:effectLst/>
          </c:spPr>
          <c:invertIfNegative val="0"/>
          <c:cat>
            <c:strRef>
              <c:f>'Detailed Results'!$B$99:$B$111</c:f>
              <c:strCache>
                <c:ptCount val="13"/>
                <c:pt idx="0">
                  <c:v>Native Species Rich Hedgerow with trees - Associated with bank or ditch</c:v>
                </c:pt>
                <c:pt idx="1">
                  <c:v>Native Species Rich Hedgerow with trees</c:v>
                </c:pt>
                <c:pt idx="2">
                  <c:v>Native Species Rich Hedgerow - Associated with bank or ditch</c:v>
                </c:pt>
                <c:pt idx="3">
                  <c:v>Native Hedgerow with trees - Associated with bank or ditch</c:v>
                </c:pt>
                <c:pt idx="4">
                  <c:v>Native Species Rich Hedgerow</c:v>
                </c:pt>
                <c:pt idx="5">
                  <c:v>Native Hedgerow - Associated with bank or ditch</c:v>
                </c:pt>
                <c:pt idx="6">
                  <c:v>Native Hedgerow with trees</c:v>
                </c:pt>
                <c:pt idx="7">
                  <c:v>Line of Trees (Ecologically Valuable)</c:v>
                </c:pt>
                <c:pt idx="8">
                  <c:v>Line of Trees (Ecologically Valuable) - with Bank or Ditch</c:v>
                </c:pt>
                <c:pt idx="9">
                  <c:v>Native Hedgerow</c:v>
                </c:pt>
                <c:pt idx="10">
                  <c:v>Line of Trees</c:v>
                </c:pt>
                <c:pt idx="11">
                  <c:v>Line of Trees - Associated with bank or ditch</c:v>
                </c:pt>
                <c:pt idx="12">
                  <c:v>Hedge Ornamental Non Native</c:v>
                </c:pt>
              </c:strCache>
            </c:strRef>
          </c:cat>
          <c:val>
            <c:numRef>
              <c:f>'Detailed Results'!$C$119:$C$131</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1B53-4806-A0C0-132F1D1BF2C0}"/>
            </c:ext>
          </c:extLst>
        </c:ser>
        <c:dLbls>
          <c:showLegendKey val="0"/>
          <c:showVal val="0"/>
          <c:showCatName val="0"/>
          <c:showSerName val="0"/>
          <c:showPercent val="0"/>
          <c:showBubbleSize val="0"/>
        </c:dLbls>
        <c:gapWidth val="219"/>
        <c:overlap val="-27"/>
        <c:axId val="363119488"/>
        <c:axId val="363119880"/>
      </c:barChart>
      <c:catAx>
        <c:axId val="363119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119880"/>
        <c:crosses val="autoZero"/>
        <c:auto val="1"/>
        <c:lblAlgn val="ctr"/>
        <c:lblOffset val="100"/>
        <c:noMultiLvlLbl val="0"/>
      </c:catAx>
      <c:valAx>
        <c:axId val="36311988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119488"/>
        <c:crosses val="autoZero"/>
        <c:crossBetween val="between"/>
      </c:valAx>
      <c:spPr>
        <a:noFill/>
        <a:ln>
          <a:noFill/>
        </a:ln>
        <a:effectLst/>
      </c:spPr>
    </c:plotArea>
    <c:legend>
      <c:legendPos val="b"/>
      <c:layout>
        <c:manualLayout>
          <c:xMode val="edge"/>
          <c:yMode val="edge"/>
          <c:x val="2.2210312644041313E-2"/>
          <c:y val="0.91129201659160575"/>
          <c:w val="0.97089359660237717"/>
          <c:h val="6.2699488665386813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a:t>% Length lost by d</a:t>
            </a:r>
          </a:p>
          <a:p>
            <a:pPr>
              <a:defRPr/>
            </a:pPr>
            <a:r>
              <a:rPr lang="en-US"/>
              <a:t>distinctiveness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0.15477816250230683"/>
          <c:y val="0.20985474800667325"/>
          <c:w val="0.50433144183081269"/>
          <c:h val="0.67757469708681106"/>
        </c:manualLayout>
      </c:layout>
      <c:pieChart>
        <c:varyColors val="1"/>
        <c:ser>
          <c:idx val="0"/>
          <c:order val="0"/>
          <c:tx>
            <c:strRef>
              <c:f>'Detailed Results'!$K$161</c:f>
              <c:strCache>
                <c:ptCount val="1"/>
                <c:pt idx="0">
                  <c:v>Length lost (KM)</c:v>
                </c:pt>
              </c:strCache>
            </c:strRef>
          </c:tx>
          <c:dPt>
            <c:idx val="0"/>
            <c:bubble3D val="0"/>
            <c:spPr>
              <a:solidFill>
                <a:srgbClr val="FF0000"/>
              </a:solidFill>
              <a:ln w="19050">
                <a:solidFill>
                  <a:schemeClr val="lt1"/>
                </a:solidFill>
              </a:ln>
              <a:effectLst/>
            </c:spPr>
            <c:extLst>
              <c:ext xmlns:c16="http://schemas.microsoft.com/office/drawing/2014/chart" uri="{C3380CC4-5D6E-409C-BE32-E72D297353CC}">
                <c16:uniqueId val="{00000003-4191-4BE2-AE93-1453CBBC6ED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5-8E8B-476C-8614-DB87123C0D33}"/>
              </c:ext>
            </c:extLst>
          </c:dPt>
          <c:dPt>
            <c:idx val="2"/>
            <c:bubble3D val="0"/>
            <c:spPr>
              <a:solidFill>
                <a:schemeClr val="accent4">
                  <a:lumMod val="60000"/>
                  <a:lumOff val="40000"/>
                </a:schemeClr>
              </a:solidFill>
              <a:ln w="19050">
                <a:solidFill>
                  <a:schemeClr val="lt1"/>
                </a:solidFill>
              </a:ln>
              <a:effectLst/>
            </c:spPr>
            <c:extLst>
              <c:ext xmlns:c16="http://schemas.microsoft.com/office/drawing/2014/chart" uri="{C3380CC4-5D6E-409C-BE32-E72D297353CC}">
                <c16:uniqueId val="{00000009-8E8B-476C-8614-DB87123C0D33}"/>
              </c:ext>
            </c:extLst>
          </c:dPt>
          <c:dPt>
            <c:idx val="3"/>
            <c:bubble3D val="0"/>
            <c:spPr>
              <a:solidFill>
                <a:schemeClr val="accent4">
                  <a:lumMod val="20000"/>
                  <a:lumOff val="80000"/>
                </a:schemeClr>
              </a:solidFill>
              <a:ln w="19050">
                <a:solidFill>
                  <a:schemeClr val="lt1"/>
                </a:solidFill>
              </a:ln>
              <a:effectLst/>
            </c:spPr>
            <c:extLst>
              <c:ext xmlns:c16="http://schemas.microsoft.com/office/drawing/2014/chart" uri="{C3380CC4-5D6E-409C-BE32-E72D297353CC}">
                <c16:uniqueId val="{00000007-9799-4F43-95CF-D5064FD9E30F}"/>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9799-4F43-95CF-D5064FD9E30F}"/>
              </c:ext>
            </c:extLst>
          </c:dPt>
          <c:dLbls>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'Detailed Results'!$J$163:$J$170</c15:sqref>
                  </c15:fullRef>
                </c:ext>
              </c:extLst>
              <c:f>('Detailed Results'!$J$163,'Detailed Results'!$J$165,'Detailed Results'!$J$167,'Detailed Results'!$J$169:$J$170)</c:f>
              <c:strCache>
                <c:ptCount val="4"/>
                <c:pt idx="0">
                  <c:v>V.High</c:v>
                </c:pt>
                <c:pt idx="1">
                  <c:v>High</c:v>
                </c:pt>
                <c:pt idx="2">
                  <c:v>Medium</c:v>
                </c:pt>
                <c:pt idx="3">
                  <c:v>Low</c:v>
                </c:pt>
              </c:strCache>
            </c:strRef>
          </c:cat>
          <c:val>
            <c:numRef>
              <c:extLst>
                <c:ext xmlns:c15="http://schemas.microsoft.com/office/drawing/2012/chart" uri="{02D57815-91ED-43cb-92C2-25804820EDAC}">
                  <c15:fullRef>
                    <c15:sqref>'Detailed Results'!$K$163:$K$169</c15:sqref>
                  </c15:fullRef>
                </c:ext>
              </c:extLst>
              <c:f>('Detailed Results'!$K$163,'Detailed Results'!$K$165,'Detailed Results'!$K$167,'Detailed Results'!$K$169)</c:f>
              <c:numCache>
                <c:formatCode>General</c:formatCode>
                <c:ptCount val="4"/>
                <c:pt idx="0">
                  <c:v>0</c:v>
                </c:pt>
                <c:pt idx="1">
                  <c:v>0</c:v>
                </c:pt>
                <c:pt idx="2">
                  <c:v>0</c:v>
                </c:pt>
                <c:pt idx="3">
                  <c:v>0</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4191-4BE2-AE93-1453CBBC6ED6}"/>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72627734494475837"/>
          <c:y val="0.1338030000551366"/>
          <c:w val="0.20630248467805529"/>
          <c:h val="0.80189353268044883"/>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River length</a:t>
            </a:r>
            <a:r>
              <a:rPr lang="en-GB" baseline="0"/>
              <a:t> retained, proposed for enhancement or lost (</a:t>
            </a:r>
            <a:r>
              <a:rPr lang="en-GB"/>
              <a:t>length</a:t>
            </a:r>
            <a:r>
              <a:rPr lang="en-GB" baseline="0"/>
              <a:t> km)</a:t>
            </a:r>
            <a:r>
              <a:rPr lang="en-GB"/>
              <a:t> </a:t>
            </a:r>
          </a:p>
        </c:rich>
      </c:tx>
      <c:layout>
        <c:manualLayout>
          <c:xMode val="edge"/>
          <c:yMode val="edge"/>
          <c:x val="0.11211540515852515"/>
          <c:y val="1.446746329524822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7.4125907696360557E-2"/>
          <c:y val="0.26035358560754041"/>
          <c:w val="0.83053078155359161"/>
          <c:h val="0.57305441002734692"/>
        </c:manualLayout>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FFDB-48A4-9C8F-5E3F38ED824F}"/>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FFDB-48A4-9C8F-5E3F38ED824F}"/>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FFDB-48A4-9C8F-5E3F38ED824F}"/>
              </c:ext>
            </c:extLst>
          </c:dPt>
          <c:dLbls>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Results'!$B$24,'Detailed Results'!$B$27,'Detailed Results'!$B$30,'Detailed Results'!$B$31)</c:f>
              <c:strCache>
                <c:ptCount val="4"/>
                <c:pt idx="0">
                  <c:v>Total on-site and off-site baseline area / length retained</c:v>
                </c:pt>
                <c:pt idx="1">
                  <c:v>Area / length proposed for enhancement</c:v>
                </c:pt>
                <c:pt idx="2">
                  <c:v>Total on-site and off-site baseline area / length lost</c:v>
                </c:pt>
                <c:pt idx="3">
                  <c:v>Total on-site and off-site baseline units lost</c:v>
                </c:pt>
              </c:strCache>
            </c:strRef>
          </c:cat>
          <c:val>
            <c:numRef>
              <c:f>('Detailed Results'!$H$24,'Detailed Results'!$H$27,'Detailed Results'!$H$30)</c:f>
              <c:numCache>
                <c:formatCode>0.00</c:formatCode>
                <c:ptCount val="3"/>
                <c:pt idx="0">
                  <c:v>0</c:v>
                </c:pt>
                <c:pt idx="1">
                  <c:v>0</c:v>
                </c:pt>
                <c:pt idx="2">
                  <c:v>0</c:v>
                </c:pt>
              </c:numCache>
            </c:numRef>
          </c:val>
          <c:extLst>
            <c:ext xmlns:c16="http://schemas.microsoft.com/office/drawing/2014/chart" uri="{C3380CC4-5D6E-409C-BE32-E72D297353CC}">
              <c16:uniqueId val="{00000000-1631-4AA2-9CB0-ED14885E7027}"/>
            </c:ext>
          </c:extLst>
        </c:ser>
        <c:dLbls>
          <c:showLegendKey val="0"/>
          <c:showVal val="0"/>
          <c:showCatName val="0"/>
          <c:showSerName val="0"/>
          <c:showPercent val="0"/>
          <c:showBubbleSize val="0"/>
        </c:dLbls>
        <c:gapWidth val="100"/>
        <c:axId val="363121056"/>
        <c:axId val="363121448"/>
      </c:barChart>
      <c:catAx>
        <c:axId val="36312105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121448"/>
        <c:crosses val="autoZero"/>
        <c:auto val="1"/>
        <c:lblAlgn val="ctr"/>
        <c:lblOffset val="100"/>
        <c:noMultiLvlLbl val="0"/>
      </c:catAx>
      <c:valAx>
        <c:axId val="36312144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121056"/>
        <c:crosses val="autoZero"/>
        <c:crossBetween val="between"/>
      </c:valAx>
      <c:spPr>
        <a:noFill/>
        <a:ln>
          <a:noFill/>
        </a:ln>
        <a:effectLst/>
      </c:spPr>
    </c:plotArea>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GB" sz="1200" b="0" i="0" u="none" strike="noStrike" kern="1200" spc="0" baseline="0">
                <a:solidFill>
                  <a:schemeClr val="accent1"/>
                </a:solidFill>
                <a:latin typeface="+mn-lt"/>
                <a:ea typeface="+mn-ea"/>
                <a:cs typeface="+mn-cs"/>
              </a:defRPr>
            </a:pPr>
            <a:r>
              <a:rPr lang="en-GB" sz="1400"/>
              <a:t>River</a:t>
            </a:r>
            <a:r>
              <a:rPr lang="en-GB" sz="1400" baseline="0"/>
              <a:t> </a:t>
            </a:r>
            <a:r>
              <a:rPr lang="en-GB" sz="1400"/>
              <a:t> retention category </a:t>
            </a:r>
          </a:p>
          <a:p>
            <a:pPr>
              <a:defRPr/>
            </a:pPr>
            <a:r>
              <a:rPr lang="en-GB" sz="1400"/>
              <a:t>(Biodiversity units)</a:t>
            </a:r>
          </a:p>
        </c:rich>
      </c:tx>
      <c:layout>
        <c:manualLayout>
          <c:xMode val="edge"/>
          <c:yMode val="edge"/>
          <c:x val="0.25802215790008198"/>
          <c:y val="3.9536817170129487E-3"/>
        </c:manualLayout>
      </c:layout>
      <c:overlay val="0"/>
      <c:spPr>
        <a:noFill/>
        <a:ln>
          <a:noFill/>
        </a:ln>
        <a:effectLst/>
      </c:spPr>
      <c:txPr>
        <a:bodyPr rot="0" spcFirstLastPara="1" vertOverflow="ellipsis" vert="horz" wrap="square" anchor="ctr" anchorCtr="1"/>
        <a:lstStyle/>
        <a:p>
          <a:pPr>
            <a:defRPr lang="en-GB" sz="1200" b="0" i="0" u="none" strike="noStrike" kern="1200" spc="0" baseline="0">
              <a:solidFill>
                <a:schemeClr val="accent1"/>
              </a:solidFill>
              <a:latin typeface="+mn-lt"/>
              <a:ea typeface="+mn-ea"/>
              <a:cs typeface="+mn-cs"/>
            </a:defRPr>
          </a:pPr>
          <a:endParaRPr lang="en-US"/>
        </a:p>
      </c:txPr>
    </c:title>
    <c:autoTitleDeleted val="0"/>
    <c:plotArea>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8A45-4BB0-BB1D-81488C5130A4}"/>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8A45-4BB0-BB1D-81488C5130A4}"/>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8A45-4BB0-BB1D-81488C5130A4}"/>
              </c:ext>
            </c:extLst>
          </c:dPt>
          <c:dPt>
            <c:idx val="3"/>
            <c:invertIfNegative val="0"/>
            <c:bubble3D val="0"/>
            <c:spPr>
              <a:solidFill>
                <a:schemeClr val="accent4"/>
              </a:solidFill>
              <a:ln w="19050">
                <a:solidFill>
                  <a:schemeClr val="lt1"/>
                </a:solidFill>
              </a:ln>
              <a:effectLst/>
            </c:spPr>
            <c:extLst>
              <c:ext xmlns:c16="http://schemas.microsoft.com/office/drawing/2014/chart" uri="{C3380CC4-5D6E-409C-BE32-E72D297353CC}">
                <c16:uniqueId val="{00000007-8A45-4BB0-BB1D-81488C5130A4}"/>
              </c:ext>
            </c:extLst>
          </c:dPt>
          <c:dLbls>
            <c:spPr>
              <a:noFill/>
              <a:ln>
                <a:noFill/>
              </a:ln>
              <a:effectLst/>
            </c:spPr>
            <c:txPr>
              <a:bodyPr rot="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Results'!$B$25,'Detailed Results'!$B$28,'Detailed Results'!$B$31)</c:f>
              <c:strCache>
                <c:ptCount val="3"/>
                <c:pt idx="0">
                  <c:v>Total on-site and off-site baseline units retained</c:v>
                </c:pt>
                <c:pt idx="1">
                  <c:v>Baseline units proposed for enhancement</c:v>
                </c:pt>
                <c:pt idx="2">
                  <c:v>Total on-site and off-site baseline units lost</c:v>
                </c:pt>
              </c:strCache>
            </c:strRef>
          </c:cat>
          <c:val>
            <c:numRef>
              <c:f>('Detailed Results'!$H$25,'Detailed Results'!$H$28,'Detailed Results'!$H$31)</c:f>
              <c:numCache>
                <c:formatCode>0.00</c:formatCode>
                <c:ptCount val="3"/>
                <c:pt idx="0">
                  <c:v>0</c:v>
                </c:pt>
                <c:pt idx="1">
                  <c:v>0</c:v>
                </c:pt>
                <c:pt idx="2">
                  <c:v>0</c:v>
                </c:pt>
              </c:numCache>
            </c:numRef>
          </c:val>
          <c:extLst>
            <c:ext xmlns:c16="http://schemas.microsoft.com/office/drawing/2014/chart" uri="{C3380CC4-5D6E-409C-BE32-E72D297353CC}">
              <c16:uniqueId val="{00000008-8A45-4BB0-BB1D-81488C5130A4}"/>
            </c:ext>
          </c:extLst>
        </c:ser>
        <c:dLbls>
          <c:showLegendKey val="0"/>
          <c:showVal val="0"/>
          <c:showCatName val="0"/>
          <c:showSerName val="0"/>
          <c:showPercent val="0"/>
          <c:showBubbleSize val="0"/>
        </c:dLbls>
        <c:gapWidth val="100"/>
        <c:axId val="363698704"/>
        <c:axId val="363699096"/>
      </c:barChart>
      <c:catAx>
        <c:axId val="36369870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363699096"/>
        <c:crosses val="autoZero"/>
        <c:auto val="1"/>
        <c:lblAlgn val="ctr"/>
        <c:lblOffset val="100"/>
        <c:noMultiLvlLbl val="0"/>
      </c:catAx>
      <c:valAx>
        <c:axId val="363699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3636987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lang="en-GB" sz="1000" b="0" i="0" u="none" strike="noStrike" kern="1200" baseline="0">
          <a:solidFill>
            <a:schemeClr val="accent1"/>
          </a:solidFill>
          <a:latin typeface="+mn-lt"/>
          <a:ea typeface="+mn-ea"/>
          <a:cs typeface="+mn-cs"/>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Unit change by river</a:t>
            </a:r>
            <a:r>
              <a:rPr lang="en-GB" baseline="0"/>
              <a:t> type</a:t>
            </a:r>
            <a:endParaRPr lang="en-GB"/>
          </a:p>
        </c:rich>
      </c:tx>
      <c:layout>
        <c:manualLayout>
          <c:xMode val="edge"/>
          <c:yMode val="edge"/>
          <c:x val="0.3716817831786321"/>
          <c:y val="2.0290291581519463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4.2560555207603441E-2"/>
          <c:y val="0.12524978714806434"/>
          <c:w val="0.92793004685077718"/>
          <c:h val="0.71165057112170882"/>
        </c:manualLayout>
      </c:layout>
      <c:barChart>
        <c:barDir val="col"/>
        <c:grouping val="clustered"/>
        <c:varyColors val="0"/>
        <c:ser>
          <c:idx val="0"/>
          <c:order val="0"/>
          <c:tx>
            <c:strRef>
              <c:f>'Detailed Results'!$D$161</c:f>
              <c:strCache>
                <c:ptCount val="1"/>
                <c:pt idx="0">
                  <c:v>Existing value</c:v>
                </c:pt>
              </c:strCache>
            </c:strRef>
          </c:tx>
          <c:spPr>
            <a:solidFill>
              <a:schemeClr val="accent1"/>
            </a:solidFill>
            <a:ln>
              <a:noFill/>
            </a:ln>
            <a:effectLst/>
          </c:spPr>
          <c:invertIfNegative val="0"/>
          <c:cat>
            <c:strRef>
              <c:f>'Detailed Results'!$B$182:$B$186</c:f>
              <c:strCache>
                <c:ptCount val="5"/>
                <c:pt idx="0">
                  <c:v>Priority Habitat</c:v>
                </c:pt>
                <c:pt idx="1">
                  <c:v>Other Rivers and Streams</c:v>
                </c:pt>
                <c:pt idx="2">
                  <c:v>Ditches</c:v>
                </c:pt>
                <c:pt idx="3">
                  <c:v>Canals</c:v>
                </c:pt>
                <c:pt idx="4">
                  <c:v>Culvert</c:v>
                </c:pt>
              </c:strCache>
            </c:strRef>
          </c:cat>
          <c:val>
            <c:numRef>
              <c:f>'Detailed Results'!$D$162:$D$166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D589-4FE9-B92C-F17DFFA9D670}"/>
            </c:ext>
          </c:extLst>
        </c:ser>
        <c:ser>
          <c:idx val="1"/>
          <c:order val="1"/>
          <c:tx>
            <c:strRef>
              <c:f>'Detailed Results'!$F$161</c:f>
              <c:strCache>
                <c:ptCount val="1"/>
                <c:pt idx="0">
                  <c:v>Proposed value</c:v>
                </c:pt>
              </c:strCache>
            </c:strRef>
          </c:tx>
          <c:spPr>
            <a:solidFill>
              <a:schemeClr val="accent2"/>
            </a:solidFill>
            <a:ln>
              <a:noFill/>
            </a:ln>
            <a:effectLst/>
          </c:spPr>
          <c:invertIfNegative val="0"/>
          <c:cat>
            <c:strRef>
              <c:f>'Detailed Results'!$B$182:$B$186</c:f>
              <c:strCache>
                <c:ptCount val="5"/>
                <c:pt idx="0">
                  <c:v>Priority Habitat</c:v>
                </c:pt>
                <c:pt idx="1">
                  <c:v>Other Rivers and Streams</c:v>
                </c:pt>
                <c:pt idx="2">
                  <c:v>Ditches</c:v>
                </c:pt>
                <c:pt idx="3">
                  <c:v>Canals</c:v>
                </c:pt>
                <c:pt idx="4">
                  <c:v>Culvert</c:v>
                </c:pt>
              </c:strCache>
            </c:strRef>
          </c:cat>
          <c:val>
            <c:numRef>
              <c:f>'Detailed Results'!$F$162:$F$166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D589-4FE9-B92C-F17DFFA9D670}"/>
            </c:ext>
          </c:extLst>
        </c:ser>
        <c:ser>
          <c:idx val="3"/>
          <c:order val="2"/>
          <c:tx>
            <c:strRef>
              <c:f>'Detailed Results'!$D$181</c:f>
              <c:strCache>
                <c:ptCount val="1"/>
                <c:pt idx="0">
                  <c:v>Existing value off-site</c:v>
                </c:pt>
              </c:strCache>
            </c:strRef>
          </c:tx>
          <c:spPr>
            <a:solidFill>
              <a:schemeClr val="accent4"/>
            </a:solidFill>
            <a:ln>
              <a:noFill/>
            </a:ln>
            <a:effectLst/>
          </c:spPr>
          <c:invertIfNegative val="0"/>
          <c:cat>
            <c:strRef>
              <c:f>'Detailed Results'!$B$182:$B$186</c:f>
              <c:strCache>
                <c:ptCount val="5"/>
                <c:pt idx="0">
                  <c:v>Priority Habitat</c:v>
                </c:pt>
                <c:pt idx="1">
                  <c:v>Other Rivers and Streams</c:v>
                </c:pt>
                <c:pt idx="2">
                  <c:v>Ditches</c:v>
                </c:pt>
                <c:pt idx="3">
                  <c:v>Canals</c:v>
                </c:pt>
                <c:pt idx="4">
                  <c:v>Culvert</c:v>
                </c:pt>
              </c:strCache>
            </c:strRef>
          </c:cat>
          <c:val>
            <c:numRef>
              <c:f>'Detailed Results'!$D$182:$D$186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846A-4E78-AA54-EF3B9DE367AD}"/>
            </c:ext>
          </c:extLst>
        </c:ser>
        <c:ser>
          <c:idx val="2"/>
          <c:order val="3"/>
          <c:tx>
            <c:strRef>
              <c:f>'Detailed Results'!$F$181</c:f>
              <c:strCache>
                <c:ptCount val="1"/>
                <c:pt idx="0">
                  <c:v>Proposed value off-site</c:v>
                </c:pt>
              </c:strCache>
            </c:strRef>
          </c:tx>
          <c:spPr>
            <a:solidFill>
              <a:schemeClr val="accent3"/>
            </a:solidFill>
            <a:ln>
              <a:noFill/>
            </a:ln>
            <a:effectLst/>
          </c:spPr>
          <c:invertIfNegative val="0"/>
          <c:cat>
            <c:strRef>
              <c:f>'Detailed Results'!$B$182:$B$186</c:f>
              <c:strCache>
                <c:ptCount val="5"/>
                <c:pt idx="0">
                  <c:v>Priority Habitat</c:v>
                </c:pt>
                <c:pt idx="1">
                  <c:v>Other Rivers and Streams</c:v>
                </c:pt>
                <c:pt idx="2">
                  <c:v>Ditches</c:v>
                </c:pt>
                <c:pt idx="3">
                  <c:v>Canals</c:v>
                </c:pt>
                <c:pt idx="4">
                  <c:v>Culvert</c:v>
                </c:pt>
              </c:strCache>
            </c:strRef>
          </c:cat>
          <c:val>
            <c:numRef>
              <c:f>'Detailed Results'!$K$182:$K$186</c:f>
              <c:numCache>
                <c:formatCode>General</c:formatCode>
                <c:ptCount val="5"/>
              </c:numCache>
            </c:numRef>
          </c:val>
          <c:extLst>
            <c:ext xmlns:c16="http://schemas.microsoft.com/office/drawing/2014/chart" uri="{C3380CC4-5D6E-409C-BE32-E72D297353CC}">
              <c16:uniqueId val="{00000002-D589-4FE9-B92C-F17DFFA9D670}"/>
            </c:ext>
          </c:extLst>
        </c:ser>
        <c:dLbls>
          <c:showLegendKey val="0"/>
          <c:showVal val="0"/>
          <c:showCatName val="0"/>
          <c:showSerName val="0"/>
          <c:showPercent val="0"/>
          <c:showBubbleSize val="0"/>
        </c:dLbls>
        <c:gapWidth val="219"/>
        <c:overlap val="-27"/>
        <c:axId val="363699880"/>
        <c:axId val="363700272"/>
      </c:barChart>
      <c:catAx>
        <c:axId val="3636998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700272"/>
        <c:crosses val="autoZero"/>
        <c:auto val="1"/>
        <c:lblAlgn val="ctr"/>
        <c:lblOffset val="100"/>
        <c:noMultiLvlLbl val="0"/>
      </c:catAx>
      <c:valAx>
        <c:axId val="36370027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699880"/>
        <c:crosses val="autoZero"/>
        <c:crossBetween val="between"/>
      </c:valAx>
      <c:spPr>
        <a:noFill/>
        <a:ln>
          <a:noFill/>
        </a:ln>
        <a:effectLst/>
      </c:spPr>
    </c:plotArea>
    <c:legend>
      <c:legendPos val="b"/>
      <c:layout>
        <c:manualLayout>
          <c:xMode val="edge"/>
          <c:yMode val="edge"/>
          <c:x val="0.1184605061845115"/>
          <c:y val="0.92596984220053258"/>
          <c:w val="0.56770339374134104"/>
          <c:h val="7.1166145527950253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Length change by river</a:t>
            </a:r>
            <a:r>
              <a:rPr lang="en-GB" baseline="0"/>
              <a:t> type</a:t>
            </a:r>
            <a:endParaRPr lang="en-GB"/>
          </a:p>
        </c:rich>
      </c:tx>
      <c:layout>
        <c:manualLayout>
          <c:xMode val="edge"/>
          <c:yMode val="edge"/>
          <c:x val="0.41412282288195107"/>
          <c:y val="2.19642432496703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2.5345028470486534E-2"/>
          <c:y val="0.1124473308264943"/>
          <c:w val="0.95556189277056358"/>
          <c:h val="0.6800622812056909"/>
        </c:manualLayout>
      </c:layout>
      <c:barChart>
        <c:barDir val="col"/>
        <c:grouping val="clustered"/>
        <c:varyColors val="0"/>
        <c:ser>
          <c:idx val="0"/>
          <c:order val="0"/>
          <c:tx>
            <c:strRef>
              <c:f>'Detailed Results'!$C$161</c:f>
              <c:strCache>
                <c:ptCount val="1"/>
                <c:pt idx="0">
                  <c:v>Existing length</c:v>
                </c:pt>
              </c:strCache>
            </c:strRef>
          </c:tx>
          <c:spPr>
            <a:solidFill>
              <a:schemeClr val="accent1"/>
            </a:solidFill>
            <a:ln>
              <a:noFill/>
            </a:ln>
            <a:effectLst/>
          </c:spPr>
          <c:invertIfNegative val="0"/>
          <c:cat>
            <c:strRef>
              <c:f>'Detailed Results'!$B$182:$B$186</c:f>
              <c:strCache>
                <c:ptCount val="5"/>
                <c:pt idx="0">
                  <c:v>Priority Habitat</c:v>
                </c:pt>
                <c:pt idx="1">
                  <c:v>Other Rivers and Streams</c:v>
                </c:pt>
                <c:pt idx="2">
                  <c:v>Ditches</c:v>
                </c:pt>
                <c:pt idx="3">
                  <c:v>Canals</c:v>
                </c:pt>
                <c:pt idx="4">
                  <c:v>Culvert</c:v>
                </c:pt>
              </c:strCache>
            </c:strRef>
          </c:cat>
          <c:val>
            <c:numRef>
              <c:f>'Detailed Results'!$C$162:$C$166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674F-487F-A4D7-68B96D121954}"/>
            </c:ext>
          </c:extLst>
        </c:ser>
        <c:ser>
          <c:idx val="1"/>
          <c:order val="1"/>
          <c:tx>
            <c:strRef>
              <c:f>'Detailed Results'!$E$161</c:f>
              <c:strCache>
                <c:ptCount val="1"/>
                <c:pt idx="0">
                  <c:v>Proposed length</c:v>
                </c:pt>
              </c:strCache>
            </c:strRef>
          </c:tx>
          <c:spPr>
            <a:solidFill>
              <a:schemeClr val="accent2"/>
            </a:solidFill>
            <a:ln>
              <a:noFill/>
            </a:ln>
            <a:effectLst/>
          </c:spPr>
          <c:invertIfNegative val="0"/>
          <c:cat>
            <c:strRef>
              <c:f>'Detailed Results'!$B$182:$B$186</c:f>
              <c:strCache>
                <c:ptCount val="5"/>
                <c:pt idx="0">
                  <c:v>Priority Habitat</c:v>
                </c:pt>
                <c:pt idx="1">
                  <c:v>Other Rivers and Streams</c:v>
                </c:pt>
                <c:pt idx="2">
                  <c:v>Ditches</c:v>
                </c:pt>
                <c:pt idx="3">
                  <c:v>Canals</c:v>
                </c:pt>
                <c:pt idx="4">
                  <c:v>Culvert</c:v>
                </c:pt>
              </c:strCache>
            </c:strRef>
          </c:cat>
          <c:val>
            <c:numRef>
              <c:f>'Detailed Results'!$E$162:$E$166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674F-487F-A4D7-68B96D121954}"/>
            </c:ext>
          </c:extLst>
        </c:ser>
        <c:ser>
          <c:idx val="2"/>
          <c:order val="2"/>
          <c:tx>
            <c:strRef>
              <c:f>'Detailed Results'!$E$181</c:f>
              <c:strCache>
                <c:ptCount val="1"/>
                <c:pt idx="0">
                  <c:v>Proposed length off-site</c:v>
                </c:pt>
              </c:strCache>
            </c:strRef>
          </c:tx>
          <c:spPr>
            <a:solidFill>
              <a:schemeClr val="accent3"/>
            </a:solidFill>
            <a:ln>
              <a:noFill/>
            </a:ln>
            <a:effectLst/>
          </c:spPr>
          <c:invertIfNegative val="0"/>
          <c:cat>
            <c:strRef>
              <c:f>'Detailed Results'!$B$182:$B$186</c:f>
              <c:strCache>
                <c:ptCount val="5"/>
                <c:pt idx="0">
                  <c:v>Priority Habitat</c:v>
                </c:pt>
                <c:pt idx="1">
                  <c:v>Other Rivers and Streams</c:v>
                </c:pt>
                <c:pt idx="2">
                  <c:v>Ditches</c:v>
                </c:pt>
                <c:pt idx="3">
                  <c:v>Canals</c:v>
                </c:pt>
                <c:pt idx="4">
                  <c:v>Culvert</c:v>
                </c:pt>
              </c:strCache>
            </c:strRef>
          </c:cat>
          <c:val>
            <c:numRef>
              <c:f>'Detailed Results'!$E$182:$E$186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2-674F-487F-A4D7-68B96D121954}"/>
            </c:ext>
          </c:extLst>
        </c:ser>
        <c:ser>
          <c:idx val="3"/>
          <c:order val="3"/>
          <c:tx>
            <c:strRef>
              <c:f>'Detailed Results'!$C$181</c:f>
              <c:strCache>
                <c:ptCount val="1"/>
                <c:pt idx="0">
                  <c:v>Existing length off-site</c:v>
                </c:pt>
              </c:strCache>
            </c:strRef>
          </c:tx>
          <c:spPr>
            <a:solidFill>
              <a:schemeClr val="accent4"/>
            </a:solidFill>
            <a:ln>
              <a:noFill/>
            </a:ln>
            <a:effectLst/>
          </c:spPr>
          <c:invertIfNegative val="0"/>
          <c:cat>
            <c:strRef>
              <c:f>'Detailed Results'!$B$182:$B$186</c:f>
              <c:strCache>
                <c:ptCount val="5"/>
                <c:pt idx="0">
                  <c:v>Priority Habitat</c:v>
                </c:pt>
                <c:pt idx="1">
                  <c:v>Other Rivers and Streams</c:v>
                </c:pt>
                <c:pt idx="2">
                  <c:v>Ditches</c:v>
                </c:pt>
                <c:pt idx="3">
                  <c:v>Canals</c:v>
                </c:pt>
                <c:pt idx="4">
                  <c:v>Culvert</c:v>
                </c:pt>
              </c:strCache>
            </c:strRef>
          </c:cat>
          <c:val>
            <c:numRef>
              <c:f>'Detailed Results'!$C$182:$C$186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436F-4515-9425-E281050C4834}"/>
            </c:ext>
          </c:extLst>
        </c:ser>
        <c:dLbls>
          <c:showLegendKey val="0"/>
          <c:showVal val="0"/>
          <c:showCatName val="0"/>
          <c:showSerName val="0"/>
          <c:showPercent val="0"/>
          <c:showBubbleSize val="0"/>
        </c:dLbls>
        <c:gapWidth val="219"/>
        <c:overlap val="-27"/>
        <c:axId val="363701448"/>
        <c:axId val="363701840"/>
      </c:barChart>
      <c:catAx>
        <c:axId val="363701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701840"/>
        <c:crosses val="autoZero"/>
        <c:auto val="1"/>
        <c:lblAlgn val="ctr"/>
        <c:lblOffset val="100"/>
        <c:noMultiLvlLbl val="0"/>
      </c:catAx>
      <c:valAx>
        <c:axId val="36370184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701448"/>
        <c:crosses val="autoZero"/>
        <c:crossBetween val="between"/>
      </c:valAx>
      <c:spPr>
        <a:noFill/>
        <a:ln>
          <a:noFill/>
        </a:ln>
        <a:effectLst/>
      </c:spPr>
    </c:plotArea>
    <c:legend>
      <c:legendPos val="b"/>
      <c:layout>
        <c:manualLayout>
          <c:xMode val="edge"/>
          <c:yMode val="edge"/>
          <c:x val="6.847632213171842E-2"/>
          <c:y val="0.90154139510891773"/>
          <c:w val="0.66013542522339319"/>
          <c:h val="8.2105732923376501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GB" sz="1200" b="0" i="0" u="none" strike="noStrike" kern="1200" spc="0" baseline="0">
                <a:solidFill>
                  <a:schemeClr val="accent1"/>
                </a:solidFill>
                <a:latin typeface="+mn-lt"/>
                <a:ea typeface="+mn-ea"/>
                <a:cs typeface="+mn-cs"/>
              </a:defRPr>
            </a:pPr>
            <a:r>
              <a:rPr lang="en-GB"/>
              <a:t>On-site and off-site habitat retention category </a:t>
            </a:r>
          </a:p>
          <a:p>
            <a:pPr>
              <a:defRPr/>
            </a:pPr>
            <a:r>
              <a:rPr lang="en-GB"/>
              <a:t>biodiversity units</a:t>
            </a:r>
          </a:p>
        </c:rich>
      </c:tx>
      <c:layout>
        <c:manualLayout>
          <c:xMode val="edge"/>
          <c:yMode val="edge"/>
          <c:x val="0.18509219259390725"/>
          <c:y val="3.9054265546647919E-2"/>
        </c:manualLayout>
      </c:layout>
      <c:overlay val="0"/>
      <c:spPr>
        <a:noFill/>
        <a:ln>
          <a:noFill/>
        </a:ln>
        <a:effectLst/>
      </c:spPr>
      <c:txPr>
        <a:bodyPr rot="0" spcFirstLastPara="1" vertOverflow="ellipsis" vert="horz" wrap="square" anchor="ctr" anchorCtr="1"/>
        <a:lstStyle/>
        <a:p>
          <a:pPr>
            <a:defRPr lang="en-GB" sz="12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7.5127431426051383E-2"/>
          <c:y val="0.20532903300080349"/>
          <c:w val="0.87620265450755663"/>
          <c:h val="0.61270311259180599"/>
        </c:manualLayout>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8A45-4BB0-BB1D-81488C5130A4}"/>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8A45-4BB0-BB1D-81488C5130A4}"/>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8A45-4BB0-BB1D-81488C5130A4}"/>
              </c:ext>
            </c:extLst>
          </c:dPt>
          <c:dPt>
            <c:idx val="3"/>
            <c:invertIfNegative val="0"/>
            <c:bubble3D val="0"/>
            <c:spPr>
              <a:solidFill>
                <a:schemeClr val="accent4"/>
              </a:solidFill>
              <a:ln w="19050">
                <a:solidFill>
                  <a:schemeClr val="lt1"/>
                </a:solidFill>
              </a:ln>
              <a:effectLst/>
            </c:spPr>
            <c:extLst>
              <c:ext xmlns:c16="http://schemas.microsoft.com/office/drawing/2014/chart" uri="{C3380CC4-5D6E-409C-BE32-E72D297353CC}">
                <c16:uniqueId val="{00000007-8A45-4BB0-BB1D-81488C5130A4}"/>
              </c:ext>
            </c:extLst>
          </c:dPt>
          <c:dLbls>
            <c:spPr>
              <a:noFill/>
              <a:ln>
                <a:noFill/>
              </a:ln>
              <a:effectLst/>
            </c:spPr>
            <c:txPr>
              <a:bodyPr rot="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Results'!$B$25,'Detailed Results'!$B$28,'Detailed Results'!$B$31)</c:f>
              <c:strCache>
                <c:ptCount val="3"/>
                <c:pt idx="0">
                  <c:v>Total on-site and off-site baseline units retained</c:v>
                </c:pt>
                <c:pt idx="1">
                  <c:v>Baseline units proposed for enhancement</c:v>
                </c:pt>
                <c:pt idx="2">
                  <c:v>Total on-site and off-site baseline units lost</c:v>
                </c:pt>
              </c:strCache>
            </c:strRef>
          </c:cat>
          <c:val>
            <c:numRef>
              <c:f>('Detailed Results'!$D$25,'Detailed Results'!$D$28,'Detailed Results'!$D$31)</c:f>
              <c:numCache>
                <c:formatCode>0.00</c:formatCode>
                <c:ptCount val="3"/>
                <c:pt idx="0">
                  <c:v>0.27876999999999996</c:v>
                </c:pt>
                <c:pt idx="1">
                  <c:v>0</c:v>
                </c:pt>
                <c:pt idx="2">
                  <c:v>3.8906276000000002</c:v>
                </c:pt>
              </c:numCache>
            </c:numRef>
          </c:val>
          <c:extLst>
            <c:ext xmlns:c16="http://schemas.microsoft.com/office/drawing/2014/chart" uri="{C3380CC4-5D6E-409C-BE32-E72D297353CC}">
              <c16:uniqueId val="{00000008-8A45-4BB0-BB1D-81488C5130A4}"/>
            </c:ext>
          </c:extLst>
        </c:ser>
        <c:dLbls>
          <c:showLegendKey val="0"/>
          <c:showVal val="0"/>
          <c:showCatName val="0"/>
          <c:showSerName val="0"/>
          <c:showPercent val="0"/>
          <c:showBubbleSize val="0"/>
        </c:dLbls>
        <c:gapWidth val="100"/>
        <c:axId val="361463880"/>
        <c:axId val="361464272"/>
      </c:barChart>
      <c:catAx>
        <c:axId val="3614638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361464272"/>
        <c:crosses val="autoZero"/>
        <c:auto val="1"/>
        <c:lblAlgn val="ctr"/>
        <c:lblOffset val="100"/>
        <c:noMultiLvlLbl val="0"/>
      </c:catAx>
      <c:valAx>
        <c:axId val="36146427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36146388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lang="en-GB" sz="1000" b="0" i="0" u="none" strike="noStrike" kern="1200" baseline="0">
          <a:solidFill>
            <a:schemeClr val="accent1"/>
          </a:solidFill>
          <a:latin typeface="+mn-lt"/>
          <a:ea typeface="+mn-ea"/>
          <a:cs typeface="+mn-cs"/>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Combined Biodiversity Unit change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3.8952433295965851E-2"/>
          <c:y val="0.13328622175997623"/>
          <c:w val="0.95532214685767136"/>
          <c:h val="0.67986279131769889"/>
        </c:manualLayout>
      </c:layout>
      <c:barChart>
        <c:barDir val="col"/>
        <c:grouping val="clustered"/>
        <c:varyColors val="0"/>
        <c:ser>
          <c:idx val="0"/>
          <c:order val="0"/>
          <c:tx>
            <c:strRef>
              <c:f>'Detailed Results'!$D$161</c:f>
              <c:strCache>
                <c:ptCount val="1"/>
                <c:pt idx="0">
                  <c:v>Existing value</c:v>
                </c:pt>
              </c:strCache>
            </c:strRef>
          </c:tx>
          <c:spPr>
            <a:solidFill>
              <a:schemeClr val="accent1"/>
            </a:solidFill>
            <a:ln>
              <a:noFill/>
            </a:ln>
            <a:effectLst/>
          </c:spPr>
          <c:invertIfNegative val="0"/>
          <c:cat>
            <c:strRef>
              <c:f>'Detailed Results'!$B$162:$B$166</c:f>
              <c:strCache>
                <c:ptCount val="5"/>
                <c:pt idx="0">
                  <c:v>Priority Habitat</c:v>
                </c:pt>
                <c:pt idx="1">
                  <c:v>Other Rivers and Streams</c:v>
                </c:pt>
                <c:pt idx="2">
                  <c:v>Ditches</c:v>
                </c:pt>
                <c:pt idx="3">
                  <c:v>Canals</c:v>
                </c:pt>
                <c:pt idx="4">
                  <c:v>Culvert</c:v>
                </c:pt>
              </c:strCache>
            </c:strRef>
          </c:cat>
          <c:val>
            <c:numRef>
              <c:f>'Detailed Results'!$D$162:$D$166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4C68-4EC5-AB40-157E94620753}"/>
            </c:ext>
          </c:extLst>
        </c:ser>
        <c:ser>
          <c:idx val="1"/>
          <c:order val="1"/>
          <c:tx>
            <c:strRef>
              <c:f>'Detailed Results'!$F$161</c:f>
              <c:strCache>
                <c:ptCount val="1"/>
                <c:pt idx="0">
                  <c:v>Proposed value</c:v>
                </c:pt>
              </c:strCache>
            </c:strRef>
          </c:tx>
          <c:spPr>
            <a:solidFill>
              <a:schemeClr val="accent2"/>
            </a:solidFill>
            <a:ln>
              <a:noFill/>
            </a:ln>
            <a:effectLst/>
          </c:spPr>
          <c:invertIfNegative val="0"/>
          <c:cat>
            <c:strRef>
              <c:f>'Detailed Results'!$B$162:$B$166</c:f>
              <c:strCache>
                <c:ptCount val="5"/>
                <c:pt idx="0">
                  <c:v>Priority Habitat</c:v>
                </c:pt>
                <c:pt idx="1">
                  <c:v>Other Rivers and Streams</c:v>
                </c:pt>
                <c:pt idx="2">
                  <c:v>Ditches</c:v>
                </c:pt>
                <c:pt idx="3">
                  <c:v>Canals</c:v>
                </c:pt>
                <c:pt idx="4">
                  <c:v>Culvert</c:v>
                </c:pt>
              </c:strCache>
            </c:strRef>
          </c:cat>
          <c:val>
            <c:numRef>
              <c:f>'Detailed Results'!$F$162:$F$166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4C68-4EC5-AB40-157E94620753}"/>
            </c:ext>
          </c:extLst>
        </c:ser>
        <c:ser>
          <c:idx val="2"/>
          <c:order val="2"/>
          <c:tx>
            <c:strRef>
              <c:f>'Detailed Results'!$H$161</c:f>
              <c:strCache>
                <c:ptCount val="1"/>
                <c:pt idx="0">
                  <c:v>Onsite Unit change</c:v>
                </c:pt>
              </c:strCache>
            </c:strRef>
          </c:tx>
          <c:spPr>
            <a:solidFill>
              <a:schemeClr val="accent3"/>
            </a:solidFill>
            <a:ln>
              <a:noFill/>
            </a:ln>
            <a:effectLst/>
          </c:spPr>
          <c:invertIfNegative val="0"/>
          <c:cat>
            <c:strRef>
              <c:f>'Detailed Results'!$B$162:$B$166</c:f>
              <c:strCache>
                <c:ptCount val="5"/>
                <c:pt idx="0">
                  <c:v>Priority Habitat</c:v>
                </c:pt>
                <c:pt idx="1">
                  <c:v>Other Rivers and Streams</c:v>
                </c:pt>
                <c:pt idx="2">
                  <c:v>Ditches</c:v>
                </c:pt>
                <c:pt idx="3">
                  <c:v>Canals</c:v>
                </c:pt>
                <c:pt idx="4">
                  <c:v>Culvert</c:v>
                </c:pt>
              </c:strCache>
            </c:strRef>
          </c:cat>
          <c:val>
            <c:numRef>
              <c:f>'Detailed Results'!$H$162:$H$166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2-4C68-4EC5-AB40-157E94620753}"/>
            </c:ext>
          </c:extLst>
        </c:ser>
        <c:ser>
          <c:idx val="5"/>
          <c:order val="3"/>
          <c:tx>
            <c:strRef>
              <c:f>'Detailed Results'!$D$181</c:f>
              <c:strCache>
                <c:ptCount val="1"/>
                <c:pt idx="0">
                  <c:v>Existing value off-site</c:v>
                </c:pt>
              </c:strCache>
            </c:strRef>
          </c:tx>
          <c:spPr>
            <a:solidFill>
              <a:schemeClr val="accent6"/>
            </a:solidFill>
            <a:ln>
              <a:noFill/>
            </a:ln>
            <a:effectLst/>
          </c:spPr>
          <c:invertIfNegative val="0"/>
          <c:cat>
            <c:strRef>
              <c:f>'Detailed Results'!$B$162:$B$166</c:f>
              <c:strCache>
                <c:ptCount val="5"/>
                <c:pt idx="0">
                  <c:v>Priority Habitat</c:v>
                </c:pt>
                <c:pt idx="1">
                  <c:v>Other Rivers and Streams</c:v>
                </c:pt>
                <c:pt idx="2">
                  <c:v>Ditches</c:v>
                </c:pt>
                <c:pt idx="3">
                  <c:v>Canals</c:v>
                </c:pt>
                <c:pt idx="4">
                  <c:v>Culvert</c:v>
                </c:pt>
              </c:strCache>
            </c:strRef>
          </c:cat>
          <c:val>
            <c:numRef>
              <c:f>'Detailed Results'!$D$182:$D$186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1B53-4806-A0C0-132F1D1BF2C0}"/>
            </c:ext>
          </c:extLst>
        </c:ser>
        <c:ser>
          <c:idx val="4"/>
          <c:order val="4"/>
          <c:tx>
            <c:strRef>
              <c:f>'Detailed Results'!$F$181</c:f>
              <c:strCache>
                <c:ptCount val="1"/>
                <c:pt idx="0">
                  <c:v>Proposed value off-site</c:v>
                </c:pt>
              </c:strCache>
            </c:strRef>
          </c:tx>
          <c:spPr>
            <a:solidFill>
              <a:schemeClr val="accent5"/>
            </a:solidFill>
            <a:ln>
              <a:noFill/>
            </a:ln>
            <a:effectLst/>
          </c:spPr>
          <c:invertIfNegative val="0"/>
          <c:cat>
            <c:strRef>
              <c:f>'Detailed Results'!$B$162:$B$166</c:f>
              <c:strCache>
                <c:ptCount val="5"/>
                <c:pt idx="0">
                  <c:v>Priority Habitat</c:v>
                </c:pt>
                <c:pt idx="1">
                  <c:v>Other Rivers and Streams</c:v>
                </c:pt>
                <c:pt idx="2">
                  <c:v>Ditches</c:v>
                </c:pt>
                <c:pt idx="3">
                  <c:v>Canals</c:v>
                </c:pt>
                <c:pt idx="4">
                  <c:v>Culvert</c:v>
                </c:pt>
              </c:strCache>
            </c:strRef>
          </c:cat>
          <c:val>
            <c:numRef>
              <c:f>'Detailed Results'!$F$182:$F$186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1B53-4806-A0C0-132F1D1BF2C0}"/>
            </c:ext>
          </c:extLst>
        </c:ser>
        <c:ser>
          <c:idx val="3"/>
          <c:order val="5"/>
          <c:tx>
            <c:strRef>
              <c:f>'Detailed Results'!$H$181</c:f>
              <c:strCache>
                <c:ptCount val="1"/>
                <c:pt idx="0">
                  <c:v>Off-site unit change</c:v>
                </c:pt>
              </c:strCache>
            </c:strRef>
          </c:tx>
          <c:spPr>
            <a:solidFill>
              <a:schemeClr val="accent4"/>
            </a:solidFill>
            <a:ln>
              <a:noFill/>
            </a:ln>
            <a:effectLst/>
          </c:spPr>
          <c:invertIfNegative val="0"/>
          <c:cat>
            <c:strRef>
              <c:f>'Detailed Results'!$B$162:$B$166</c:f>
              <c:strCache>
                <c:ptCount val="5"/>
                <c:pt idx="0">
                  <c:v>Priority Habitat</c:v>
                </c:pt>
                <c:pt idx="1">
                  <c:v>Other Rivers and Streams</c:v>
                </c:pt>
                <c:pt idx="2">
                  <c:v>Ditches</c:v>
                </c:pt>
                <c:pt idx="3">
                  <c:v>Canals</c:v>
                </c:pt>
                <c:pt idx="4">
                  <c:v>Culvert</c:v>
                </c:pt>
              </c:strCache>
            </c:strRef>
          </c:cat>
          <c:val>
            <c:numRef>
              <c:f>'Detailed Results'!$H$182:$H$186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3-4C68-4EC5-AB40-157E94620753}"/>
            </c:ext>
          </c:extLst>
        </c:ser>
        <c:dLbls>
          <c:showLegendKey val="0"/>
          <c:showVal val="0"/>
          <c:showCatName val="0"/>
          <c:showSerName val="0"/>
          <c:showPercent val="0"/>
          <c:showBubbleSize val="0"/>
        </c:dLbls>
        <c:gapWidth val="219"/>
        <c:overlap val="-27"/>
        <c:axId val="363702232"/>
        <c:axId val="363492344"/>
      </c:barChart>
      <c:catAx>
        <c:axId val="363702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492344"/>
        <c:crosses val="autoZero"/>
        <c:auto val="1"/>
        <c:lblAlgn val="ctr"/>
        <c:lblOffset val="100"/>
        <c:noMultiLvlLbl val="0"/>
      </c:catAx>
      <c:valAx>
        <c:axId val="36349234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702232"/>
        <c:crosses val="autoZero"/>
        <c:crossBetween val="between"/>
      </c:valAx>
      <c:spPr>
        <a:noFill/>
        <a:ln>
          <a:noFill/>
        </a:ln>
        <a:effectLst/>
      </c:spPr>
    </c:plotArea>
    <c:legend>
      <c:legendPos val="b"/>
      <c:layout>
        <c:manualLayout>
          <c:xMode val="edge"/>
          <c:yMode val="edge"/>
          <c:x val="1.0896850326971229E-2"/>
          <c:y val="0.91698383220169133"/>
          <c:w val="0.96808849967669841"/>
          <c:h val="6.1241547689704232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Combined river</a:t>
            </a:r>
            <a:r>
              <a:rPr lang="en-GB" baseline="0"/>
              <a:t> length</a:t>
            </a:r>
            <a:r>
              <a:rPr lang="en-GB"/>
              <a:t> change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2.9084007377372174E-2"/>
          <c:y val="8.2738591964125793E-2"/>
          <c:w val="0.9616458125661338"/>
          <c:h val="0.73067010848419178"/>
        </c:manualLayout>
      </c:layout>
      <c:barChart>
        <c:barDir val="col"/>
        <c:grouping val="clustered"/>
        <c:varyColors val="0"/>
        <c:ser>
          <c:idx val="0"/>
          <c:order val="0"/>
          <c:tx>
            <c:strRef>
              <c:f>'Detailed Results'!$C$161</c:f>
              <c:strCache>
                <c:ptCount val="1"/>
                <c:pt idx="0">
                  <c:v>Existing length</c:v>
                </c:pt>
              </c:strCache>
            </c:strRef>
          </c:tx>
          <c:spPr>
            <a:solidFill>
              <a:schemeClr val="accent1"/>
            </a:solidFill>
            <a:ln>
              <a:noFill/>
            </a:ln>
            <a:effectLst/>
          </c:spPr>
          <c:invertIfNegative val="0"/>
          <c:cat>
            <c:strRef>
              <c:f>'Detailed Results'!$B$162:$B$166</c:f>
              <c:strCache>
                <c:ptCount val="5"/>
                <c:pt idx="0">
                  <c:v>Priority Habitat</c:v>
                </c:pt>
                <c:pt idx="1">
                  <c:v>Other Rivers and Streams</c:v>
                </c:pt>
                <c:pt idx="2">
                  <c:v>Ditches</c:v>
                </c:pt>
                <c:pt idx="3">
                  <c:v>Canals</c:v>
                </c:pt>
                <c:pt idx="4">
                  <c:v>Culvert</c:v>
                </c:pt>
              </c:strCache>
            </c:strRef>
          </c:cat>
          <c:val>
            <c:numRef>
              <c:f>'Detailed Results'!$C$162:$C$166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4C68-4EC5-AB40-157E94620753}"/>
            </c:ext>
          </c:extLst>
        </c:ser>
        <c:ser>
          <c:idx val="1"/>
          <c:order val="1"/>
          <c:tx>
            <c:strRef>
              <c:f>'Detailed Results'!$E$161</c:f>
              <c:strCache>
                <c:ptCount val="1"/>
                <c:pt idx="0">
                  <c:v>Proposed length</c:v>
                </c:pt>
              </c:strCache>
            </c:strRef>
          </c:tx>
          <c:spPr>
            <a:solidFill>
              <a:schemeClr val="accent2"/>
            </a:solidFill>
            <a:ln>
              <a:noFill/>
            </a:ln>
            <a:effectLst/>
          </c:spPr>
          <c:invertIfNegative val="0"/>
          <c:cat>
            <c:strRef>
              <c:f>'Detailed Results'!$B$162:$B$166</c:f>
              <c:strCache>
                <c:ptCount val="5"/>
                <c:pt idx="0">
                  <c:v>Priority Habitat</c:v>
                </c:pt>
                <c:pt idx="1">
                  <c:v>Other Rivers and Streams</c:v>
                </c:pt>
                <c:pt idx="2">
                  <c:v>Ditches</c:v>
                </c:pt>
                <c:pt idx="3">
                  <c:v>Canals</c:v>
                </c:pt>
                <c:pt idx="4">
                  <c:v>Culvert</c:v>
                </c:pt>
              </c:strCache>
            </c:strRef>
          </c:cat>
          <c:val>
            <c:numRef>
              <c:f>'Detailed Results'!$E$162:$E$166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4C68-4EC5-AB40-157E94620753}"/>
            </c:ext>
          </c:extLst>
        </c:ser>
        <c:ser>
          <c:idx val="2"/>
          <c:order val="2"/>
          <c:tx>
            <c:strRef>
              <c:f>'Detailed Results'!$G$161</c:f>
              <c:strCache>
                <c:ptCount val="1"/>
                <c:pt idx="0">
                  <c:v>length change</c:v>
                </c:pt>
              </c:strCache>
            </c:strRef>
          </c:tx>
          <c:spPr>
            <a:solidFill>
              <a:schemeClr val="accent3"/>
            </a:solidFill>
            <a:ln>
              <a:noFill/>
            </a:ln>
            <a:effectLst/>
          </c:spPr>
          <c:invertIfNegative val="0"/>
          <c:cat>
            <c:strRef>
              <c:f>'Detailed Results'!$B$162:$B$166</c:f>
              <c:strCache>
                <c:ptCount val="5"/>
                <c:pt idx="0">
                  <c:v>Priority Habitat</c:v>
                </c:pt>
                <c:pt idx="1">
                  <c:v>Other Rivers and Streams</c:v>
                </c:pt>
                <c:pt idx="2">
                  <c:v>Ditches</c:v>
                </c:pt>
                <c:pt idx="3">
                  <c:v>Canals</c:v>
                </c:pt>
                <c:pt idx="4">
                  <c:v>Culvert</c:v>
                </c:pt>
              </c:strCache>
            </c:strRef>
          </c:cat>
          <c:val>
            <c:numRef>
              <c:f>'Detailed Results'!$G$162:$G$166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2-4C68-4EC5-AB40-157E94620753}"/>
            </c:ext>
          </c:extLst>
        </c:ser>
        <c:ser>
          <c:idx val="5"/>
          <c:order val="3"/>
          <c:tx>
            <c:strRef>
              <c:f>'Detailed Results'!$C$181</c:f>
              <c:strCache>
                <c:ptCount val="1"/>
                <c:pt idx="0">
                  <c:v>Existing length off-site</c:v>
                </c:pt>
              </c:strCache>
            </c:strRef>
          </c:tx>
          <c:spPr>
            <a:solidFill>
              <a:schemeClr val="accent6"/>
            </a:solidFill>
            <a:ln>
              <a:noFill/>
            </a:ln>
            <a:effectLst/>
          </c:spPr>
          <c:invertIfNegative val="0"/>
          <c:cat>
            <c:strRef>
              <c:f>'Detailed Results'!$B$162:$B$166</c:f>
              <c:strCache>
                <c:ptCount val="5"/>
                <c:pt idx="0">
                  <c:v>Priority Habitat</c:v>
                </c:pt>
                <c:pt idx="1">
                  <c:v>Other Rivers and Streams</c:v>
                </c:pt>
                <c:pt idx="2">
                  <c:v>Ditches</c:v>
                </c:pt>
                <c:pt idx="3">
                  <c:v>Canals</c:v>
                </c:pt>
                <c:pt idx="4">
                  <c:v>Culvert</c:v>
                </c:pt>
              </c:strCache>
            </c:strRef>
          </c:cat>
          <c:val>
            <c:numRef>
              <c:f>'Detailed Results'!$C$182:$C$186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1B53-4806-A0C0-132F1D1BF2C0}"/>
            </c:ext>
          </c:extLst>
        </c:ser>
        <c:ser>
          <c:idx val="4"/>
          <c:order val="4"/>
          <c:tx>
            <c:strRef>
              <c:f>'Detailed Results'!$E$181</c:f>
              <c:strCache>
                <c:ptCount val="1"/>
                <c:pt idx="0">
                  <c:v>Proposed length off-site</c:v>
                </c:pt>
              </c:strCache>
            </c:strRef>
          </c:tx>
          <c:spPr>
            <a:solidFill>
              <a:schemeClr val="accent5"/>
            </a:solidFill>
            <a:ln>
              <a:noFill/>
            </a:ln>
            <a:effectLst/>
          </c:spPr>
          <c:invertIfNegative val="0"/>
          <c:cat>
            <c:strRef>
              <c:f>'Detailed Results'!$B$162:$B$166</c:f>
              <c:strCache>
                <c:ptCount val="5"/>
                <c:pt idx="0">
                  <c:v>Priority Habitat</c:v>
                </c:pt>
                <c:pt idx="1">
                  <c:v>Other Rivers and Streams</c:v>
                </c:pt>
                <c:pt idx="2">
                  <c:v>Ditches</c:v>
                </c:pt>
                <c:pt idx="3">
                  <c:v>Canals</c:v>
                </c:pt>
                <c:pt idx="4">
                  <c:v>Culvert</c:v>
                </c:pt>
              </c:strCache>
            </c:strRef>
          </c:cat>
          <c:val>
            <c:numRef>
              <c:f>'Detailed Results'!$E$182:$E$186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1B53-4806-A0C0-132F1D1BF2C0}"/>
            </c:ext>
          </c:extLst>
        </c:ser>
        <c:ser>
          <c:idx val="3"/>
          <c:order val="5"/>
          <c:tx>
            <c:strRef>
              <c:f>'Detailed Results'!$G$181</c:f>
              <c:strCache>
                <c:ptCount val="1"/>
                <c:pt idx="0">
                  <c:v>Off-site length change</c:v>
                </c:pt>
              </c:strCache>
            </c:strRef>
          </c:tx>
          <c:spPr>
            <a:solidFill>
              <a:schemeClr val="accent4"/>
            </a:solidFill>
            <a:ln>
              <a:noFill/>
            </a:ln>
            <a:effectLst/>
          </c:spPr>
          <c:invertIfNegative val="0"/>
          <c:cat>
            <c:strRef>
              <c:f>'Detailed Results'!$B$162:$B$166</c:f>
              <c:strCache>
                <c:ptCount val="5"/>
                <c:pt idx="0">
                  <c:v>Priority Habitat</c:v>
                </c:pt>
                <c:pt idx="1">
                  <c:v>Other Rivers and Streams</c:v>
                </c:pt>
                <c:pt idx="2">
                  <c:v>Ditches</c:v>
                </c:pt>
                <c:pt idx="3">
                  <c:v>Canals</c:v>
                </c:pt>
                <c:pt idx="4">
                  <c:v>Culvert</c:v>
                </c:pt>
              </c:strCache>
            </c:strRef>
          </c:cat>
          <c:val>
            <c:numRef>
              <c:f>'Detailed Results'!$G$182:$G$186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3-4C68-4EC5-AB40-157E94620753}"/>
            </c:ext>
          </c:extLst>
        </c:ser>
        <c:dLbls>
          <c:showLegendKey val="0"/>
          <c:showVal val="0"/>
          <c:showCatName val="0"/>
          <c:showSerName val="0"/>
          <c:showPercent val="0"/>
          <c:showBubbleSize val="0"/>
        </c:dLbls>
        <c:gapWidth val="219"/>
        <c:overlap val="-27"/>
        <c:axId val="363493128"/>
        <c:axId val="363493520"/>
      </c:barChart>
      <c:catAx>
        <c:axId val="363493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493520"/>
        <c:crosses val="autoZero"/>
        <c:auto val="1"/>
        <c:lblAlgn val="ctr"/>
        <c:lblOffset val="100"/>
        <c:noMultiLvlLbl val="0"/>
      </c:catAx>
      <c:valAx>
        <c:axId val="36349352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4931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On site area change by habitat group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2.5345028470486534E-2"/>
          <c:y val="0.1124473308264943"/>
          <c:w val="0.95556189277056358"/>
          <c:h val="0.6800622812056909"/>
        </c:manualLayout>
      </c:layout>
      <c:barChart>
        <c:barDir val="col"/>
        <c:grouping val="clustered"/>
        <c:varyColors val="0"/>
        <c:ser>
          <c:idx val="0"/>
          <c:order val="0"/>
          <c:tx>
            <c:strRef>
              <c:f>'Detailed Results'!$C$38</c:f>
              <c:strCache>
                <c:ptCount val="1"/>
                <c:pt idx="0">
                  <c:v>Existing area</c:v>
                </c:pt>
              </c:strCache>
            </c:strRef>
          </c:tx>
          <c:spPr>
            <a:solidFill>
              <a:schemeClr val="accent1"/>
            </a:solidFill>
            <a:ln>
              <a:noFill/>
            </a:ln>
            <a:effectLst/>
          </c:spPr>
          <c:invertIfNegative val="0"/>
          <c:cat>
            <c:strRef>
              <c:f>'Detailed Results'!$B$39:$B$51</c:f>
              <c:strCache>
                <c:ptCount val="13"/>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strCache>
            </c:strRef>
          </c:cat>
          <c:val>
            <c:numRef>
              <c:f>'Detailed Results'!$C$39:$C$51</c:f>
              <c:numCache>
                <c:formatCode>0.00</c:formatCode>
                <c:ptCount val="13"/>
                <c:pt idx="0">
                  <c:v>0</c:v>
                </c:pt>
                <c:pt idx="1">
                  <c:v>0</c:v>
                </c:pt>
                <c:pt idx="2">
                  <c:v>0</c:v>
                </c:pt>
                <c:pt idx="3">
                  <c:v>0</c:v>
                </c:pt>
                <c:pt idx="4">
                  <c:v>0</c:v>
                </c:pt>
                <c:pt idx="5">
                  <c:v>1.547992</c:v>
                </c:pt>
                <c:pt idx="6">
                  <c:v>0</c:v>
                </c:pt>
                <c:pt idx="7">
                  <c:v>0.109844</c:v>
                </c:pt>
                <c:pt idx="8">
                  <c:v>0</c:v>
                </c:pt>
                <c:pt idx="9">
                  <c:v>0</c:v>
                </c:pt>
                <c:pt idx="10">
                  <c:v>0</c:v>
                </c:pt>
                <c:pt idx="11">
                  <c:v>0</c:v>
                </c:pt>
                <c:pt idx="12">
                  <c:v>0</c:v>
                </c:pt>
              </c:numCache>
            </c:numRef>
          </c:val>
          <c:extLst>
            <c:ext xmlns:c16="http://schemas.microsoft.com/office/drawing/2014/chart" uri="{C3380CC4-5D6E-409C-BE32-E72D297353CC}">
              <c16:uniqueId val="{00000000-674F-487F-A4D7-68B96D121954}"/>
            </c:ext>
          </c:extLst>
        </c:ser>
        <c:ser>
          <c:idx val="1"/>
          <c:order val="1"/>
          <c:tx>
            <c:strRef>
              <c:f>'Detailed Results'!$E$38</c:f>
              <c:strCache>
                <c:ptCount val="1"/>
                <c:pt idx="0">
                  <c:v>Proposed area</c:v>
                </c:pt>
              </c:strCache>
            </c:strRef>
          </c:tx>
          <c:spPr>
            <a:solidFill>
              <a:schemeClr val="accent2"/>
            </a:solidFill>
            <a:ln>
              <a:noFill/>
            </a:ln>
            <a:effectLst/>
          </c:spPr>
          <c:invertIfNegative val="0"/>
          <c:cat>
            <c:strRef>
              <c:f>'Detailed Results'!$B$39:$B$51</c:f>
              <c:strCache>
                <c:ptCount val="13"/>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strCache>
            </c:strRef>
          </c:cat>
          <c:val>
            <c:numRef>
              <c:f>'Detailed Results'!$E$39:$E$51</c:f>
              <c:numCache>
                <c:formatCode>0.00</c:formatCode>
                <c:ptCount val="13"/>
                <c:pt idx="0">
                  <c:v>0</c:v>
                </c:pt>
                <c:pt idx="1">
                  <c:v>1.95E-2</c:v>
                </c:pt>
                <c:pt idx="2">
                  <c:v>5.7500000000000002E-2</c:v>
                </c:pt>
                <c:pt idx="3">
                  <c:v>0</c:v>
                </c:pt>
                <c:pt idx="4">
                  <c:v>0</c:v>
                </c:pt>
                <c:pt idx="5">
                  <c:v>1.7192000000000001</c:v>
                </c:pt>
                <c:pt idx="6">
                  <c:v>0</c:v>
                </c:pt>
                <c:pt idx="7">
                  <c:v>#N/A</c:v>
                </c:pt>
                <c:pt idx="8">
                  <c:v>0</c:v>
                </c:pt>
                <c:pt idx="9">
                  <c:v>0</c:v>
                </c:pt>
                <c:pt idx="10">
                  <c:v>0</c:v>
                </c:pt>
                <c:pt idx="11">
                  <c:v>0</c:v>
                </c:pt>
                <c:pt idx="12">
                  <c:v>0</c:v>
                </c:pt>
              </c:numCache>
            </c:numRef>
          </c:val>
          <c:extLst>
            <c:ext xmlns:c16="http://schemas.microsoft.com/office/drawing/2014/chart" uri="{C3380CC4-5D6E-409C-BE32-E72D297353CC}">
              <c16:uniqueId val="{00000001-674F-487F-A4D7-68B96D121954}"/>
            </c:ext>
          </c:extLst>
        </c:ser>
        <c:ser>
          <c:idx val="2"/>
          <c:order val="2"/>
          <c:tx>
            <c:strRef>
              <c:f>'Detailed Results'!$E$57</c:f>
              <c:strCache>
                <c:ptCount val="1"/>
                <c:pt idx="0">
                  <c:v>Off-site proposed area</c:v>
                </c:pt>
              </c:strCache>
            </c:strRef>
          </c:tx>
          <c:spPr>
            <a:solidFill>
              <a:schemeClr val="accent3"/>
            </a:solidFill>
            <a:ln>
              <a:noFill/>
            </a:ln>
            <a:effectLst/>
          </c:spPr>
          <c:invertIfNegative val="0"/>
          <c:cat>
            <c:strRef>
              <c:f>'Detailed Results'!$B$39:$B$51</c:f>
              <c:strCache>
                <c:ptCount val="13"/>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strCache>
            </c:strRef>
          </c:cat>
          <c:val>
            <c:numRef>
              <c:f>'Detailed Results'!$E$58:$E$70</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2-674F-487F-A4D7-68B96D121954}"/>
            </c:ext>
          </c:extLst>
        </c:ser>
        <c:dLbls>
          <c:showLegendKey val="0"/>
          <c:showVal val="0"/>
          <c:showCatName val="0"/>
          <c:showSerName val="0"/>
          <c:showPercent val="0"/>
          <c:showBubbleSize val="0"/>
        </c:dLbls>
        <c:gapWidth val="219"/>
        <c:overlap val="-27"/>
        <c:axId val="361465056"/>
        <c:axId val="361465448"/>
      </c:barChart>
      <c:catAx>
        <c:axId val="361465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1465448"/>
        <c:crosses val="autoZero"/>
        <c:auto val="1"/>
        <c:lblAlgn val="ctr"/>
        <c:lblOffset val="100"/>
        <c:noMultiLvlLbl val="0"/>
      </c:catAx>
      <c:valAx>
        <c:axId val="36146544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1465056"/>
        <c:crosses val="autoZero"/>
        <c:crossBetween val="between"/>
      </c:valAx>
      <c:spPr>
        <a:noFill/>
        <a:ln>
          <a:noFill/>
        </a:ln>
        <a:effectLst/>
      </c:spPr>
    </c:plotArea>
    <c:legend>
      <c:legendPos val="b"/>
      <c:layout>
        <c:manualLayout>
          <c:xMode val="edge"/>
          <c:yMode val="edge"/>
          <c:x val="0.14646899989275436"/>
          <c:y val="0.91406332334653195"/>
          <c:w val="0.72927967790088977"/>
          <c:h val="5.6343456528065911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Unit change by habitat group</a:t>
            </a:r>
          </a:p>
        </c:rich>
      </c:tx>
      <c:layout>
        <c:manualLayout>
          <c:xMode val="edge"/>
          <c:yMode val="edge"/>
          <c:x val="0.3716817831786321"/>
          <c:y val="2.0290291581519463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4.7576844263820382E-2"/>
          <c:y val="0.13266609688495923"/>
          <c:w val="0.92793004685077718"/>
          <c:h val="0.71165057112170882"/>
        </c:manualLayout>
      </c:layout>
      <c:barChart>
        <c:barDir val="col"/>
        <c:grouping val="clustered"/>
        <c:varyColors val="0"/>
        <c:ser>
          <c:idx val="0"/>
          <c:order val="0"/>
          <c:tx>
            <c:strRef>
              <c:f>'Detailed Results'!$D$38</c:f>
              <c:strCache>
                <c:ptCount val="1"/>
                <c:pt idx="0">
                  <c:v>Existing value</c:v>
                </c:pt>
              </c:strCache>
            </c:strRef>
          </c:tx>
          <c:spPr>
            <a:solidFill>
              <a:schemeClr val="accent1"/>
            </a:solidFill>
            <a:ln>
              <a:noFill/>
            </a:ln>
            <a:effectLst/>
          </c:spPr>
          <c:invertIfNegative val="0"/>
          <c:cat>
            <c:strRef>
              <c:f>'Detailed Results'!$B$39:$B$51</c:f>
              <c:strCache>
                <c:ptCount val="13"/>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strCache>
            </c:strRef>
          </c:cat>
          <c:val>
            <c:numRef>
              <c:f>'Detailed Results'!$D$39:$D$51</c:f>
              <c:numCache>
                <c:formatCode>0.00</c:formatCode>
                <c:ptCount val="13"/>
                <c:pt idx="0">
                  <c:v>0</c:v>
                </c:pt>
                <c:pt idx="1">
                  <c:v>0</c:v>
                </c:pt>
                <c:pt idx="2">
                  <c:v>0</c:v>
                </c:pt>
                <c:pt idx="3">
                  <c:v>0</c:v>
                </c:pt>
                <c:pt idx="4">
                  <c:v>0</c:v>
                </c:pt>
                <c:pt idx="5">
                  <c:v>3.4114740000000001</c:v>
                </c:pt>
                <c:pt idx="6">
                  <c:v>0</c:v>
                </c:pt>
                <c:pt idx="7">
                  <c:v>0.75792359999999992</c:v>
                </c:pt>
                <c:pt idx="8">
                  <c:v>0</c:v>
                </c:pt>
                <c:pt idx="9">
                  <c:v>0</c:v>
                </c:pt>
                <c:pt idx="10">
                  <c:v>0</c:v>
                </c:pt>
                <c:pt idx="11">
                  <c:v>0</c:v>
                </c:pt>
                <c:pt idx="12">
                  <c:v>0</c:v>
                </c:pt>
              </c:numCache>
            </c:numRef>
          </c:val>
          <c:extLst>
            <c:ext xmlns:c16="http://schemas.microsoft.com/office/drawing/2014/chart" uri="{C3380CC4-5D6E-409C-BE32-E72D297353CC}">
              <c16:uniqueId val="{00000000-D589-4FE9-B92C-F17DFFA9D670}"/>
            </c:ext>
          </c:extLst>
        </c:ser>
        <c:ser>
          <c:idx val="1"/>
          <c:order val="1"/>
          <c:tx>
            <c:strRef>
              <c:f>'Detailed Results'!$F$38</c:f>
              <c:strCache>
                <c:ptCount val="1"/>
                <c:pt idx="0">
                  <c:v>Proposed value</c:v>
                </c:pt>
              </c:strCache>
            </c:strRef>
          </c:tx>
          <c:spPr>
            <a:solidFill>
              <a:schemeClr val="accent2"/>
            </a:solidFill>
            <a:ln>
              <a:noFill/>
            </a:ln>
            <a:effectLst/>
          </c:spPr>
          <c:invertIfNegative val="0"/>
          <c:cat>
            <c:strRef>
              <c:f>'Detailed Results'!$B$39:$B$51</c:f>
              <c:strCache>
                <c:ptCount val="13"/>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strCache>
            </c:strRef>
          </c:cat>
          <c:val>
            <c:numRef>
              <c:f>'Detailed Results'!$F$39:$F$51</c:f>
              <c:numCache>
                <c:formatCode>0.00</c:formatCode>
                <c:ptCount val="13"/>
                <c:pt idx="0">
                  <c:v>0</c:v>
                </c:pt>
                <c:pt idx="1">
                  <c:v>0.18025265737907997</c:v>
                </c:pt>
                <c:pt idx="2">
                  <c:v>0.24414500000000006</c:v>
                </c:pt>
                <c:pt idx="3">
                  <c:v>0</c:v>
                </c:pt>
                <c:pt idx="4">
                  <c:v>0</c:v>
                </c:pt>
                <c:pt idx="5">
                  <c:v>1.1458074283902397</c:v>
                </c:pt>
                <c:pt idx="6">
                  <c:v>0</c:v>
                </c:pt>
                <c:pt idx="7">
                  <c:v>1.0751435915166687</c:v>
                </c:pt>
                <c:pt idx="8">
                  <c:v>0</c:v>
                </c:pt>
                <c:pt idx="9">
                  <c:v>0</c:v>
                </c:pt>
                <c:pt idx="10">
                  <c:v>0</c:v>
                </c:pt>
                <c:pt idx="11">
                  <c:v>0</c:v>
                </c:pt>
                <c:pt idx="12">
                  <c:v>0</c:v>
                </c:pt>
              </c:numCache>
            </c:numRef>
          </c:val>
          <c:extLst>
            <c:ext xmlns:c16="http://schemas.microsoft.com/office/drawing/2014/chart" uri="{C3380CC4-5D6E-409C-BE32-E72D297353CC}">
              <c16:uniqueId val="{00000001-D589-4FE9-B92C-F17DFFA9D670}"/>
            </c:ext>
          </c:extLst>
        </c:ser>
        <c:ser>
          <c:idx val="2"/>
          <c:order val="2"/>
          <c:tx>
            <c:strRef>
              <c:f>'Detailed Results'!$F$57</c:f>
              <c:strCache>
                <c:ptCount val="1"/>
                <c:pt idx="0">
                  <c:v>Off site Proposed value</c:v>
                </c:pt>
              </c:strCache>
            </c:strRef>
          </c:tx>
          <c:spPr>
            <a:solidFill>
              <a:schemeClr val="accent3"/>
            </a:solidFill>
            <a:ln>
              <a:noFill/>
            </a:ln>
            <a:effectLst/>
          </c:spPr>
          <c:invertIfNegative val="0"/>
          <c:cat>
            <c:strRef>
              <c:f>'Detailed Results'!$B$39:$B$51</c:f>
              <c:strCache>
                <c:ptCount val="13"/>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strCache>
            </c:strRef>
          </c:cat>
          <c:val>
            <c:numRef>
              <c:f>'Detailed Results'!$K$50:$K$51</c:f>
              <c:numCache>
                <c:formatCode>General</c:formatCode>
                <c:ptCount val="2"/>
              </c:numCache>
            </c:numRef>
          </c:val>
          <c:extLst>
            <c:ext xmlns:c16="http://schemas.microsoft.com/office/drawing/2014/chart" uri="{C3380CC4-5D6E-409C-BE32-E72D297353CC}">
              <c16:uniqueId val="{00000002-D589-4FE9-B92C-F17DFFA9D670}"/>
            </c:ext>
          </c:extLst>
        </c:ser>
        <c:dLbls>
          <c:showLegendKey val="0"/>
          <c:showVal val="0"/>
          <c:showCatName val="0"/>
          <c:showSerName val="0"/>
          <c:showPercent val="0"/>
          <c:showBubbleSize val="0"/>
        </c:dLbls>
        <c:gapWidth val="219"/>
        <c:overlap val="-27"/>
        <c:axId val="361466232"/>
        <c:axId val="361466624"/>
      </c:barChart>
      <c:catAx>
        <c:axId val="361466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1466624"/>
        <c:crosses val="autoZero"/>
        <c:auto val="1"/>
        <c:lblAlgn val="ctr"/>
        <c:lblOffset val="100"/>
        <c:noMultiLvlLbl val="0"/>
      </c:catAx>
      <c:valAx>
        <c:axId val="36146662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1466232"/>
        <c:crosses val="autoZero"/>
        <c:crossBetween val="between"/>
      </c:valAx>
      <c:spPr>
        <a:noFill/>
        <a:ln>
          <a:noFill/>
        </a:ln>
        <a:effectLst/>
      </c:spPr>
    </c:plotArea>
    <c:legend>
      <c:legendPos val="b"/>
      <c:layout>
        <c:manualLayout>
          <c:xMode val="edge"/>
          <c:yMode val="edge"/>
          <c:x val="0.30831466745800268"/>
          <c:y val="0.94809910803109032"/>
          <c:w val="0.32961958485190246"/>
          <c:h val="4.967825982142029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a:t>% Area lost by distinctiveness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0.15477816250230683"/>
          <c:y val="0.20985474800667325"/>
          <c:w val="0.50433144183081269"/>
          <c:h val="0.67757469708681106"/>
        </c:manualLayout>
      </c:layout>
      <c:pieChart>
        <c:varyColors val="1"/>
        <c:ser>
          <c:idx val="0"/>
          <c:order val="0"/>
          <c:tx>
            <c:strRef>
              <c:f>'Detailed Results'!$K$38</c:f>
              <c:strCache>
                <c:ptCount val="1"/>
                <c:pt idx="0">
                  <c:v>Area lost (hectares)</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3-4191-4BE2-AE93-1453CBBC6ED6}"/>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5-5986-42D7-BACE-C59EEEA0AC2E}"/>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9-5986-42D7-BACE-C59EEEA0AC2E}"/>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1CEA-40D5-BD3F-A8E96701730E}"/>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9-1CEA-40D5-BD3F-A8E96701730E}"/>
              </c:ext>
            </c:extLst>
          </c:dPt>
          <c:dLbls>
            <c:spPr>
              <a:solidFill>
                <a:sysClr val="window" lastClr="FFFFFF"/>
              </a:solidFill>
              <a:ln>
                <a:solidFill>
                  <a:srgbClr val="ABC3C9">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accent1"/>
                    </a:solidFill>
                    <a:latin typeface="+mn-lt"/>
                    <a:ea typeface="+mn-ea"/>
                    <a:cs typeface="+mn-cs"/>
                  </a:defRPr>
                </a:pPr>
                <a:endParaRPr lang="en-US"/>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extLst>
                <c:ext xmlns:c15="http://schemas.microsoft.com/office/drawing/2012/chart" uri="{02D57815-91ED-43cb-92C2-25804820EDAC}">
                  <c15:fullRef>
                    <c15:sqref>'Detailed Results'!$J$40:$J$49</c15:sqref>
                  </c15:fullRef>
                </c:ext>
              </c:extLst>
              <c:f>('Detailed Results'!$J$40,'Detailed Results'!$J$42,'Detailed Results'!$J$44,'Detailed Results'!$J$46,'Detailed Results'!$J$48)</c:f>
              <c:strCache>
                <c:ptCount val="5"/>
                <c:pt idx="0">
                  <c:v>V.High</c:v>
                </c:pt>
                <c:pt idx="1">
                  <c:v>High</c:v>
                </c:pt>
                <c:pt idx="2">
                  <c:v>Medium</c:v>
                </c:pt>
                <c:pt idx="3">
                  <c:v>Low</c:v>
                </c:pt>
                <c:pt idx="4">
                  <c:v>V.Low</c:v>
                </c:pt>
              </c:strCache>
            </c:strRef>
          </c:cat>
          <c:val>
            <c:numRef>
              <c:extLst>
                <c:ext xmlns:c15="http://schemas.microsoft.com/office/drawing/2012/chart" uri="{02D57815-91ED-43cb-92C2-25804820EDAC}">
                  <c15:fullRef>
                    <c15:sqref>'Detailed Results'!$K$40:$K$49</c15:sqref>
                  </c15:fullRef>
                </c:ext>
              </c:extLst>
              <c:f>('Detailed Results'!$K$40,'Detailed Results'!$K$42,'Detailed Results'!$K$44,'Detailed Results'!$K$46,'Detailed Results'!$K$48)</c:f>
              <c:numCache>
                <c:formatCode>General</c:formatCode>
                <c:ptCount val="5"/>
                <c:pt idx="0">
                  <c:v>0</c:v>
                </c:pt>
                <c:pt idx="1">
                  <c:v>0</c:v>
                </c:pt>
                <c:pt idx="2">
                  <c:v>7.8944E-2</c:v>
                </c:pt>
                <c:pt idx="3">
                  <c:v>0.76043499999999997</c:v>
                </c:pt>
                <c:pt idx="4">
                  <c:v>0.77265700000000004</c:v>
                </c:pt>
              </c:numCache>
            </c:numRef>
          </c:val>
          <c:extLst>
            <c:ext xmlns:c15="http://schemas.microsoft.com/office/drawing/2012/chart" uri="{02D57815-91ED-43cb-92C2-25804820EDAC}">
              <c15:categoryFilterExceptions>
                <c15:categoryFilterException>
                  <c15:sqref>'Detailed Results'!$K$41</c15:sqref>
                  <c15:spPr xmlns:c15="http://schemas.microsoft.com/office/drawing/2012/chart">
                    <a:solidFill>
                      <a:schemeClr val="accent4"/>
                    </a:solidFill>
                    <a:ln w="19050">
                      <a:solidFill>
                        <a:schemeClr val="lt1"/>
                      </a:solidFill>
                    </a:ln>
                    <a:effectLst/>
                  </c15:spPr>
                  <c15:bubble3D val="0"/>
                </c15:categoryFilterException>
                <c15:categoryFilterException>
                  <c15:sqref>'Detailed Results'!$K$43</c15:sqref>
                  <c15:spPr xmlns:c15="http://schemas.microsoft.com/office/drawing/2012/chart">
                    <a:solidFill>
                      <a:schemeClr val="accent2">
                        <a:lumMod val="60000"/>
                      </a:schemeClr>
                    </a:solidFill>
                    <a:ln w="19050">
                      <a:solidFill>
                        <a:schemeClr val="lt1"/>
                      </a:solidFill>
                    </a:ln>
                    <a:effectLst/>
                  </c15:spPr>
                  <c15:bubble3D val="0"/>
                </c15:categoryFilterException>
                <c15:categoryFilterException>
                  <c15:sqref>'Detailed Results'!$K$49</c15:sqref>
                  <c15:spPr xmlns:c15="http://schemas.microsoft.com/office/drawing/2012/chart">
                    <a:solidFill>
                      <a:schemeClr val="accent2">
                        <a:lumMod val="80000"/>
                      </a:schemeClr>
                    </a:solidFill>
                    <a:ln w="19050">
                      <a:solidFill>
                        <a:schemeClr val="lt1"/>
                      </a:solidFill>
                    </a:ln>
                    <a:effectLst/>
                  </c15:spPr>
                  <c15:bubble3D val="0"/>
                </c15:categoryFilterException>
              </c15:categoryFilterExceptions>
            </c:ext>
            <c:ext xmlns:c16="http://schemas.microsoft.com/office/drawing/2014/chart" uri="{C3380CC4-5D6E-409C-BE32-E72D297353CC}">
              <c16:uniqueId val="{00000000-4191-4BE2-AE93-1453CBBC6ED6}"/>
            </c:ext>
          </c:extLst>
        </c:ser>
        <c:dLbls>
          <c:showLegendKey val="0"/>
          <c:showVal val="0"/>
          <c:showCatName val="0"/>
          <c:showSerName val="0"/>
          <c:showPercent val="0"/>
          <c:showBubbleSize val="0"/>
          <c:showLeaderLines val="0"/>
        </c:dLbls>
        <c:firstSliceAng val="0"/>
      </c:pieChart>
      <c:spPr>
        <a:noFill/>
        <a:ln>
          <a:noFill/>
        </a:ln>
        <a:effectLst/>
      </c:spPr>
    </c:plotArea>
    <c:legend>
      <c:legendPos val="r"/>
      <c:layout>
        <c:manualLayout>
          <c:xMode val="edge"/>
          <c:yMode val="edge"/>
          <c:x val="0.76451273737841585"/>
          <c:y val="0.13024482136663587"/>
          <c:w val="0.20630248467805529"/>
          <c:h val="0.80189353268044883"/>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Combined Biodiversity Unit change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2.7842739961764108E-2"/>
          <c:y val="0.13328622175997623"/>
          <c:w val="0.9616458125661338"/>
          <c:h val="0.69406522988302455"/>
        </c:manualLayout>
      </c:layout>
      <c:barChart>
        <c:barDir val="col"/>
        <c:grouping val="clustered"/>
        <c:varyColors val="0"/>
        <c:ser>
          <c:idx val="0"/>
          <c:order val="0"/>
          <c:tx>
            <c:strRef>
              <c:f>'Detailed Results'!$D$38</c:f>
              <c:strCache>
                <c:ptCount val="1"/>
                <c:pt idx="0">
                  <c:v>Existing value</c:v>
                </c:pt>
              </c:strCache>
            </c:strRef>
          </c:tx>
          <c:spPr>
            <a:solidFill>
              <a:schemeClr val="accent1"/>
            </a:solidFill>
            <a:ln>
              <a:noFill/>
            </a:ln>
            <a:effectLst/>
          </c:spPr>
          <c:invertIfNegative val="0"/>
          <c:cat>
            <c:strRef>
              <c:f>'Detailed Results'!$B$58:$B$70</c:f>
              <c:strCache>
                <c:ptCount val="13"/>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strCache>
            </c:strRef>
          </c:cat>
          <c:val>
            <c:numRef>
              <c:f>'Detailed Results'!$D$39:$D$51</c:f>
              <c:numCache>
                <c:formatCode>0.00</c:formatCode>
                <c:ptCount val="13"/>
                <c:pt idx="0">
                  <c:v>0</c:v>
                </c:pt>
                <c:pt idx="1">
                  <c:v>0</c:v>
                </c:pt>
                <c:pt idx="2">
                  <c:v>0</c:v>
                </c:pt>
                <c:pt idx="3">
                  <c:v>0</c:v>
                </c:pt>
                <c:pt idx="4">
                  <c:v>0</c:v>
                </c:pt>
                <c:pt idx="5">
                  <c:v>3.4114740000000001</c:v>
                </c:pt>
                <c:pt idx="6">
                  <c:v>0</c:v>
                </c:pt>
                <c:pt idx="7">
                  <c:v>0.75792359999999992</c:v>
                </c:pt>
                <c:pt idx="8">
                  <c:v>0</c:v>
                </c:pt>
                <c:pt idx="9">
                  <c:v>0</c:v>
                </c:pt>
                <c:pt idx="10">
                  <c:v>0</c:v>
                </c:pt>
                <c:pt idx="11">
                  <c:v>0</c:v>
                </c:pt>
                <c:pt idx="12">
                  <c:v>0</c:v>
                </c:pt>
              </c:numCache>
            </c:numRef>
          </c:val>
          <c:extLst>
            <c:ext xmlns:c16="http://schemas.microsoft.com/office/drawing/2014/chart" uri="{C3380CC4-5D6E-409C-BE32-E72D297353CC}">
              <c16:uniqueId val="{00000000-4C68-4EC5-AB40-157E94620753}"/>
            </c:ext>
          </c:extLst>
        </c:ser>
        <c:ser>
          <c:idx val="1"/>
          <c:order val="1"/>
          <c:tx>
            <c:strRef>
              <c:f>'Detailed Results'!$F$38</c:f>
              <c:strCache>
                <c:ptCount val="1"/>
                <c:pt idx="0">
                  <c:v>Proposed value</c:v>
                </c:pt>
              </c:strCache>
            </c:strRef>
          </c:tx>
          <c:spPr>
            <a:solidFill>
              <a:schemeClr val="accent2"/>
            </a:solidFill>
            <a:ln>
              <a:noFill/>
            </a:ln>
            <a:effectLst/>
          </c:spPr>
          <c:invertIfNegative val="0"/>
          <c:cat>
            <c:strRef>
              <c:f>'Detailed Results'!$B$58:$B$70</c:f>
              <c:strCache>
                <c:ptCount val="13"/>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strCache>
            </c:strRef>
          </c:cat>
          <c:val>
            <c:numRef>
              <c:f>'Detailed Results'!$F$39:$F$51</c:f>
              <c:numCache>
                <c:formatCode>0.00</c:formatCode>
                <c:ptCount val="13"/>
                <c:pt idx="0">
                  <c:v>0</c:v>
                </c:pt>
                <c:pt idx="1">
                  <c:v>0.18025265737907997</c:v>
                </c:pt>
                <c:pt idx="2">
                  <c:v>0.24414500000000006</c:v>
                </c:pt>
                <c:pt idx="3">
                  <c:v>0</c:v>
                </c:pt>
                <c:pt idx="4">
                  <c:v>0</c:v>
                </c:pt>
                <c:pt idx="5">
                  <c:v>1.1458074283902397</c:v>
                </c:pt>
                <c:pt idx="6">
                  <c:v>0</c:v>
                </c:pt>
                <c:pt idx="7">
                  <c:v>1.0751435915166687</c:v>
                </c:pt>
                <c:pt idx="8">
                  <c:v>0</c:v>
                </c:pt>
                <c:pt idx="9">
                  <c:v>0</c:v>
                </c:pt>
                <c:pt idx="10">
                  <c:v>0</c:v>
                </c:pt>
                <c:pt idx="11">
                  <c:v>0</c:v>
                </c:pt>
                <c:pt idx="12">
                  <c:v>0</c:v>
                </c:pt>
              </c:numCache>
            </c:numRef>
          </c:val>
          <c:extLst>
            <c:ext xmlns:c16="http://schemas.microsoft.com/office/drawing/2014/chart" uri="{C3380CC4-5D6E-409C-BE32-E72D297353CC}">
              <c16:uniqueId val="{00000001-4C68-4EC5-AB40-157E94620753}"/>
            </c:ext>
          </c:extLst>
        </c:ser>
        <c:ser>
          <c:idx val="2"/>
          <c:order val="2"/>
          <c:tx>
            <c:strRef>
              <c:f>'Detailed Results'!$H$38</c:f>
              <c:strCache>
                <c:ptCount val="1"/>
                <c:pt idx="0">
                  <c:v>Onsite Unit change</c:v>
                </c:pt>
              </c:strCache>
            </c:strRef>
          </c:tx>
          <c:spPr>
            <a:solidFill>
              <a:schemeClr val="accent3"/>
            </a:solidFill>
            <a:ln>
              <a:noFill/>
            </a:ln>
            <a:effectLst/>
          </c:spPr>
          <c:invertIfNegative val="0"/>
          <c:cat>
            <c:strRef>
              <c:f>'Detailed Results'!$B$58:$B$70</c:f>
              <c:strCache>
                <c:ptCount val="13"/>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strCache>
            </c:strRef>
          </c:cat>
          <c:val>
            <c:numRef>
              <c:f>'Detailed Results'!$H$39:$H$51</c:f>
              <c:numCache>
                <c:formatCode>0.00</c:formatCode>
                <c:ptCount val="13"/>
                <c:pt idx="0">
                  <c:v>0</c:v>
                </c:pt>
                <c:pt idx="1">
                  <c:v>0.18025265737907997</c:v>
                </c:pt>
                <c:pt idx="2">
                  <c:v>0.24414500000000006</c:v>
                </c:pt>
                <c:pt idx="3">
                  <c:v>0</c:v>
                </c:pt>
                <c:pt idx="4">
                  <c:v>0</c:v>
                </c:pt>
                <c:pt idx="5">
                  <c:v>-2.2656665716097604</c:v>
                </c:pt>
                <c:pt idx="6">
                  <c:v>0</c:v>
                </c:pt>
                <c:pt idx="7">
                  <c:v>0.3172199915166688</c:v>
                </c:pt>
                <c:pt idx="8">
                  <c:v>0</c:v>
                </c:pt>
                <c:pt idx="9">
                  <c:v>0</c:v>
                </c:pt>
                <c:pt idx="10">
                  <c:v>0</c:v>
                </c:pt>
                <c:pt idx="11">
                  <c:v>0</c:v>
                </c:pt>
                <c:pt idx="12">
                  <c:v>0</c:v>
                </c:pt>
              </c:numCache>
            </c:numRef>
          </c:val>
          <c:extLst>
            <c:ext xmlns:c16="http://schemas.microsoft.com/office/drawing/2014/chart" uri="{C3380CC4-5D6E-409C-BE32-E72D297353CC}">
              <c16:uniqueId val="{00000002-4C68-4EC5-AB40-157E94620753}"/>
            </c:ext>
          </c:extLst>
        </c:ser>
        <c:ser>
          <c:idx val="3"/>
          <c:order val="3"/>
          <c:tx>
            <c:strRef>
              <c:f>'Detailed Results'!$H$57</c:f>
              <c:strCache>
                <c:ptCount val="1"/>
                <c:pt idx="0">
                  <c:v>Off-site unit change</c:v>
                </c:pt>
              </c:strCache>
            </c:strRef>
          </c:tx>
          <c:spPr>
            <a:solidFill>
              <a:schemeClr val="accent4"/>
            </a:solidFill>
            <a:ln>
              <a:noFill/>
            </a:ln>
            <a:effectLst/>
          </c:spPr>
          <c:invertIfNegative val="0"/>
          <c:cat>
            <c:strRef>
              <c:f>'Detailed Results'!$B$58:$B$70</c:f>
              <c:strCache>
                <c:ptCount val="13"/>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strCache>
            </c:strRef>
          </c:cat>
          <c:val>
            <c:numRef>
              <c:f>'Detailed Results'!$H$58:$H$70</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3-4C68-4EC5-AB40-157E94620753}"/>
            </c:ext>
          </c:extLst>
        </c:ser>
        <c:ser>
          <c:idx val="4"/>
          <c:order val="4"/>
          <c:tx>
            <c:strRef>
              <c:f>'Detailed Results'!$F$57</c:f>
              <c:strCache>
                <c:ptCount val="1"/>
                <c:pt idx="0">
                  <c:v>Off site Proposed value</c:v>
                </c:pt>
              </c:strCache>
            </c:strRef>
          </c:tx>
          <c:spPr>
            <a:solidFill>
              <a:schemeClr val="accent5"/>
            </a:solidFill>
            <a:ln>
              <a:noFill/>
            </a:ln>
            <a:effectLst/>
          </c:spPr>
          <c:invertIfNegative val="0"/>
          <c:cat>
            <c:strRef>
              <c:f>'Detailed Results'!$B$58:$B$70</c:f>
              <c:strCache>
                <c:ptCount val="13"/>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strCache>
            </c:strRef>
          </c:cat>
          <c:val>
            <c:numRef>
              <c:f>'Detailed Results'!$F$58:$F$70</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1B53-4806-A0C0-132F1D1BF2C0}"/>
            </c:ext>
          </c:extLst>
        </c:ser>
        <c:ser>
          <c:idx val="5"/>
          <c:order val="5"/>
          <c:tx>
            <c:strRef>
              <c:f>'Detailed Results'!$D$57</c:f>
              <c:strCache>
                <c:ptCount val="1"/>
                <c:pt idx="0">
                  <c:v>Off-site Existing value</c:v>
                </c:pt>
              </c:strCache>
            </c:strRef>
          </c:tx>
          <c:spPr>
            <a:solidFill>
              <a:schemeClr val="accent6"/>
            </a:solidFill>
            <a:ln>
              <a:noFill/>
            </a:ln>
            <a:effectLst/>
          </c:spPr>
          <c:invertIfNegative val="0"/>
          <c:cat>
            <c:strRef>
              <c:f>'Detailed Results'!$B$58:$B$70</c:f>
              <c:strCache>
                <c:ptCount val="13"/>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strCache>
            </c:strRef>
          </c:cat>
          <c:val>
            <c:numRef>
              <c:f>'Detailed Results'!$D$58:$D$70</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1B53-4806-A0C0-132F1D1BF2C0}"/>
            </c:ext>
          </c:extLst>
        </c:ser>
        <c:dLbls>
          <c:showLegendKey val="0"/>
          <c:showVal val="0"/>
          <c:showCatName val="0"/>
          <c:showSerName val="0"/>
          <c:showPercent val="0"/>
          <c:showBubbleSize val="0"/>
        </c:dLbls>
        <c:gapWidth val="219"/>
        <c:overlap val="-27"/>
        <c:axId val="362074712"/>
        <c:axId val="362075104"/>
      </c:barChart>
      <c:catAx>
        <c:axId val="362074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2075104"/>
        <c:crosses val="autoZero"/>
        <c:auto val="1"/>
        <c:lblAlgn val="ctr"/>
        <c:lblOffset val="100"/>
        <c:noMultiLvlLbl val="0"/>
      </c:catAx>
      <c:valAx>
        <c:axId val="36207510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2074712"/>
        <c:crosses val="autoZero"/>
        <c:crossBetween val="between"/>
      </c:valAx>
      <c:spPr>
        <a:noFill/>
        <a:ln>
          <a:noFill/>
        </a:ln>
        <a:effectLst/>
      </c:spPr>
    </c:plotArea>
    <c:legend>
      <c:legendPos val="b"/>
      <c:layout>
        <c:manualLayout>
          <c:xMode val="edge"/>
          <c:yMode val="edge"/>
          <c:x val="4.2427991241750188E-2"/>
          <c:y val="0.92387829393930099"/>
          <c:w val="0.93290252561764098"/>
          <c:h val="7.279399838750290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Combined habiat</a:t>
            </a:r>
            <a:r>
              <a:rPr lang="en-GB" baseline="0"/>
              <a:t> area</a:t>
            </a:r>
            <a:r>
              <a:rPr lang="en-GB"/>
              <a:t> change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2.9084007377372174E-2"/>
          <c:y val="8.2738591964125793E-2"/>
          <c:w val="0.9616458125661338"/>
          <c:h val="0.73067010848419178"/>
        </c:manualLayout>
      </c:layout>
      <c:barChart>
        <c:barDir val="col"/>
        <c:grouping val="clustered"/>
        <c:varyColors val="0"/>
        <c:ser>
          <c:idx val="0"/>
          <c:order val="0"/>
          <c:tx>
            <c:strRef>
              <c:f>'Detailed Results'!$C$38</c:f>
              <c:strCache>
                <c:ptCount val="1"/>
                <c:pt idx="0">
                  <c:v>Existing area</c:v>
                </c:pt>
              </c:strCache>
            </c:strRef>
          </c:tx>
          <c:spPr>
            <a:solidFill>
              <a:schemeClr val="accent1"/>
            </a:solidFill>
            <a:ln>
              <a:noFill/>
            </a:ln>
            <a:effectLst/>
          </c:spPr>
          <c:invertIfNegative val="0"/>
          <c:cat>
            <c:strRef>
              <c:f>'Detailed Results'!$B$58:$B$70</c:f>
              <c:strCache>
                <c:ptCount val="13"/>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strCache>
            </c:strRef>
          </c:cat>
          <c:val>
            <c:numRef>
              <c:f>'Detailed Results'!$C$39:$C$51</c:f>
              <c:numCache>
                <c:formatCode>0.00</c:formatCode>
                <c:ptCount val="13"/>
                <c:pt idx="0">
                  <c:v>0</c:v>
                </c:pt>
                <c:pt idx="1">
                  <c:v>0</c:v>
                </c:pt>
                <c:pt idx="2">
                  <c:v>0</c:v>
                </c:pt>
                <c:pt idx="3">
                  <c:v>0</c:v>
                </c:pt>
                <c:pt idx="4">
                  <c:v>0</c:v>
                </c:pt>
                <c:pt idx="5">
                  <c:v>1.547992</c:v>
                </c:pt>
                <c:pt idx="6">
                  <c:v>0</c:v>
                </c:pt>
                <c:pt idx="7">
                  <c:v>0.109844</c:v>
                </c:pt>
                <c:pt idx="8">
                  <c:v>0</c:v>
                </c:pt>
                <c:pt idx="9">
                  <c:v>0</c:v>
                </c:pt>
                <c:pt idx="10">
                  <c:v>0</c:v>
                </c:pt>
                <c:pt idx="11">
                  <c:v>0</c:v>
                </c:pt>
                <c:pt idx="12">
                  <c:v>0</c:v>
                </c:pt>
              </c:numCache>
            </c:numRef>
          </c:val>
          <c:extLst>
            <c:ext xmlns:c16="http://schemas.microsoft.com/office/drawing/2014/chart" uri="{C3380CC4-5D6E-409C-BE32-E72D297353CC}">
              <c16:uniqueId val="{00000000-4C68-4EC5-AB40-157E94620753}"/>
            </c:ext>
          </c:extLst>
        </c:ser>
        <c:ser>
          <c:idx val="1"/>
          <c:order val="1"/>
          <c:tx>
            <c:strRef>
              <c:f>'Detailed Results'!$E$38</c:f>
              <c:strCache>
                <c:ptCount val="1"/>
                <c:pt idx="0">
                  <c:v>Proposed area</c:v>
                </c:pt>
              </c:strCache>
            </c:strRef>
          </c:tx>
          <c:spPr>
            <a:solidFill>
              <a:schemeClr val="accent2"/>
            </a:solidFill>
            <a:ln>
              <a:noFill/>
            </a:ln>
            <a:effectLst/>
          </c:spPr>
          <c:invertIfNegative val="0"/>
          <c:cat>
            <c:strRef>
              <c:f>'Detailed Results'!$B$58:$B$70</c:f>
              <c:strCache>
                <c:ptCount val="13"/>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strCache>
            </c:strRef>
          </c:cat>
          <c:val>
            <c:numRef>
              <c:f>'Detailed Results'!$E$39:$E$51</c:f>
              <c:numCache>
                <c:formatCode>0.00</c:formatCode>
                <c:ptCount val="13"/>
                <c:pt idx="0">
                  <c:v>0</c:v>
                </c:pt>
                <c:pt idx="1">
                  <c:v>1.95E-2</c:v>
                </c:pt>
                <c:pt idx="2">
                  <c:v>5.7500000000000002E-2</c:v>
                </c:pt>
                <c:pt idx="3">
                  <c:v>0</c:v>
                </c:pt>
                <c:pt idx="4">
                  <c:v>0</c:v>
                </c:pt>
                <c:pt idx="5">
                  <c:v>1.7192000000000001</c:v>
                </c:pt>
                <c:pt idx="6">
                  <c:v>0</c:v>
                </c:pt>
                <c:pt idx="7">
                  <c:v>#N/A</c:v>
                </c:pt>
                <c:pt idx="8">
                  <c:v>0</c:v>
                </c:pt>
                <c:pt idx="9">
                  <c:v>0</c:v>
                </c:pt>
                <c:pt idx="10">
                  <c:v>0</c:v>
                </c:pt>
                <c:pt idx="11">
                  <c:v>0</c:v>
                </c:pt>
                <c:pt idx="12">
                  <c:v>0</c:v>
                </c:pt>
              </c:numCache>
            </c:numRef>
          </c:val>
          <c:extLst>
            <c:ext xmlns:c16="http://schemas.microsoft.com/office/drawing/2014/chart" uri="{C3380CC4-5D6E-409C-BE32-E72D297353CC}">
              <c16:uniqueId val="{00000001-4C68-4EC5-AB40-157E94620753}"/>
            </c:ext>
          </c:extLst>
        </c:ser>
        <c:ser>
          <c:idx val="2"/>
          <c:order val="2"/>
          <c:tx>
            <c:strRef>
              <c:f>'Detailed Results'!$G$38</c:f>
              <c:strCache>
                <c:ptCount val="1"/>
                <c:pt idx="0">
                  <c:v>Area change</c:v>
                </c:pt>
              </c:strCache>
            </c:strRef>
          </c:tx>
          <c:spPr>
            <a:solidFill>
              <a:schemeClr val="accent3"/>
            </a:solidFill>
            <a:ln>
              <a:noFill/>
            </a:ln>
            <a:effectLst/>
          </c:spPr>
          <c:invertIfNegative val="0"/>
          <c:cat>
            <c:strRef>
              <c:f>'Detailed Results'!$B$58:$B$70</c:f>
              <c:strCache>
                <c:ptCount val="13"/>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strCache>
            </c:strRef>
          </c:cat>
          <c:val>
            <c:numRef>
              <c:f>'Detailed Results'!$G$39:$G$51</c:f>
              <c:numCache>
                <c:formatCode>0.00</c:formatCode>
                <c:ptCount val="13"/>
                <c:pt idx="0">
                  <c:v>0</c:v>
                </c:pt>
                <c:pt idx="1">
                  <c:v>1.95E-2</c:v>
                </c:pt>
                <c:pt idx="2">
                  <c:v>5.7500000000000002E-2</c:v>
                </c:pt>
                <c:pt idx="3">
                  <c:v>0</c:v>
                </c:pt>
                <c:pt idx="4">
                  <c:v>0</c:v>
                </c:pt>
                <c:pt idx="5">
                  <c:v>0.17120800000000003</c:v>
                </c:pt>
                <c:pt idx="6">
                  <c:v>0</c:v>
                </c:pt>
                <c:pt idx="7">
                  <c:v>#N/A</c:v>
                </c:pt>
                <c:pt idx="8">
                  <c:v>0</c:v>
                </c:pt>
                <c:pt idx="9">
                  <c:v>0</c:v>
                </c:pt>
                <c:pt idx="10">
                  <c:v>0</c:v>
                </c:pt>
                <c:pt idx="11">
                  <c:v>0</c:v>
                </c:pt>
                <c:pt idx="12">
                  <c:v>0</c:v>
                </c:pt>
              </c:numCache>
            </c:numRef>
          </c:val>
          <c:extLst>
            <c:ext xmlns:c16="http://schemas.microsoft.com/office/drawing/2014/chart" uri="{C3380CC4-5D6E-409C-BE32-E72D297353CC}">
              <c16:uniqueId val="{00000002-4C68-4EC5-AB40-157E94620753}"/>
            </c:ext>
          </c:extLst>
        </c:ser>
        <c:ser>
          <c:idx val="3"/>
          <c:order val="3"/>
          <c:tx>
            <c:strRef>
              <c:f>'Detailed Results'!$G$57</c:f>
              <c:strCache>
                <c:ptCount val="1"/>
                <c:pt idx="0">
                  <c:v>Off-site area change</c:v>
                </c:pt>
              </c:strCache>
            </c:strRef>
          </c:tx>
          <c:spPr>
            <a:solidFill>
              <a:schemeClr val="accent4"/>
            </a:solidFill>
            <a:ln>
              <a:noFill/>
            </a:ln>
            <a:effectLst/>
          </c:spPr>
          <c:invertIfNegative val="0"/>
          <c:cat>
            <c:strRef>
              <c:f>'Detailed Results'!$B$58:$B$70</c:f>
              <c:strCache>
                <c:ptCount val="13"/>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strCache>
            </c:strRef>
          </c:cat>
          <c:val>
            <c:numRef>
              <c:f>'Detailed Results'!$G$58:$G$70</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3-4C68-4EC5-AB40-157E94620753}"/>
            </c:ext>
          </c:extLst>
        </c:ser>
        <c:ser>
          <c:idx val="4"/>
          <c:order val="4"/>
          <c:tx>
            <c:strRef>
              <c:f>'Detailed Results'!$E$57</c:f>
              <c:strCache>
                <c:ptCount val="1"/>
                <c:pt idx="0">
                  <c:v>Off-site proposed area</c:v>
                </c:pt>
              </c:strCache>
            </c:strRef>
          </c:tx>
          <c:spPr>
            <a:solidFill>
              <a:schemeClr val="accent5"/>
            </a:solidFill>
            <a:ln>
              <a:noFill/>
            </a:ln>
            <a:effectLst/>
          </c:spPr>
          <c:invertIfNegative val="0"/>
          <c:cat>
            <c:strRef>
              <c:f>'Detailed Results'!$B$58:$B$70</c:f>
              <c:strCache>
                <c:ptCount val="13"/>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strCache>
            </c:strRef>
          </c:cat>
          <c:val>
            <c:numRef>
              <c:f>'Detailed Results'!$E$58:$E$70</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1B53-4806-A0C0-132F1D1BF2C0}"/>
            </c:ext>
          </c:extLst>
        </c:ser>
        <c:ser>
          <c:idx val="5"/>
          <c:order val="5"/>
          <c:tx>
            <c:strRef>
              <c:f>'Detailed Results'!$C$57</c:f>
              <c:strCache>
                <c:ptCount val="1"/>
                <c:pt idx="0">
                  <c:v>Existing area</c:v>
                </c:pt>
              </c:strCache>
            </c:strRef>
          </c:tx>
          <c:spPr>
            <a:solidFill>
              <a:schemeClr val="accent6"/>
            </a:solidFill>
            <a:ln>
              <a:noFill/>
            </a:ln>
            <a:effectLst/>
          </c:spPr>
          <c:invertIfNegative val="0"/>
          <c:cat>
            <c:strRef>
              <c:f>'Detailed Results'!$B$58:$B$70</c:f>
              <c:strCache>
                <c:ptCount val="13"/>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strCache>
            </c:strRef>
          </c:cat>
          <c:val>
            <c:numRef>
              <c:f>'Detailed Results'!$C$58:$C$70</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1B53-4806-A0C0-132F1D1BF2C0}"/>
            </c:ext>
          </c:extLst>
        </c:ser>
        <c:dLbls>
          <c:showLegendKey val="0"/>
          <c:showVal val="0"/>
          <c:showCatName val="0"/>
          <c:showSerName val="0"/>
          <c:showPercent val="0"/>
          <c:showBubbleSize val="0"/>
        </c:dLbls>
        <c:gapWidth val="219"/>
        <c:overlap val="-27"/>
        <c:axId val="362075888"/>
        <c:axId val="362076280"/>
      </c:barChart>
      <c:catAx>
        <c:axId val="362075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2076280"/>
        <c:crosses val="autoZero"/>
        <c:auto val="1"/>
        <c:lblAlgn val="ctr"/>
        <c:lblOffset val="100"/>
        <c:noMultiLvlLbl val="0"/>
      </c:catAx>
      <c:valAx>
        <c:axId val="36207628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20758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a:t>% Length</a:t>
            </a:r>
            <a:r>
              <a:rPr lang="en-US" baseline="0"/>
              <a:t> lost by d</a:t>
            </a:r>
            <a:r>
              <a:rPr lang="en-US"/>
              <a:t>istinctiveness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7.6339810693132962E-2"/>
          <c:y val="0.18259616154114799"/>
          <c:w val="0.53471686026310106"/>
          <c:h val="0.72430374926296104"/>
        </c:manualLayout>
      </c:layout>
      <c:pieChart>
        <c:varyColors val="1"/>
        <c:ser>
          <c:idx val="0"/>
          <c:order val="0"/>
          <c:tx>
            <c:strRef>
              <c:f>'Detailed Results'!$K$98</c:f>
              <c:strCache>
                <c:ptCount val="1"/>
                <c:pt idx="0">
                  <c:v>Length lost (KM)</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3-4191-4BE2-AE93-1453CBBC6ED6}"/>
              </c:ext>
            </c:extLst>
          </c:dPt>
          <c:dPt>
            <c:idx val="1"/>
            <c:bubble3D val="0"/>
            <c:explosion val="5"/>
            <c:spPr>
              <a:solidFill>
                <a:schemeClr val="accent2"/>
              </a:solidFill>
              <a:ln w="19050">
                <a:solidFill>
                  <a:schemeClr val="lt1"/>
                </a:solidFill>
              </a:ln>
              <a:effectLst/>
            </c:spPr>
            <c:extLst>
              <c:ext xmlns:c16="http://schemas.microsoft.com/office/drawing/2014/chart" uri="{C3380CC4-5D6E-409C-BE32-E72D297353CC}">
                <c16:uniqueId val="{00000005-8482-4D64-92C0-6269A830BE1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9-8482-4D64-92C0-6269A830BE1D}"/>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D6C7-4806-97CD-309F0211326D}"/>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D6C7-4806-97CD-309F0211326D}"/>
              </c:ext>
            </c:extLst>
          </c:dPt>
          <c:dLbls>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'Detailed Results'!$J$100:$J$109</c15:sqref>
                  </c15:fullRef>
                </c:ext>
              </c:extLst>
              <c:f>('Detailed Results'!$J$100,'Detailed Results'!$J$102,'Detailed Results'!$J$104,'Detailed Results'!$J$106,'Detailed Results'!$J$108)</c:f>
              <c:strCache>
                <c:ptCount val="5"/>
                <c:pt idx="0">
                  <c:v>V.High</c:v>
                </c:pt>
                <c:pt idx="1">
                  <c:v>High</c:v>
                </c:pt>
                <c:pt idx="2">
                  <c:v>Medium</c:v>
                </c:pt>
                <c:pt idx="3">
                  <c:v>Low</c:v>
                </c:pt>
                <c:pt idx="4">
                  <c:v>V.Low</c:v>
                </c:pt>
              </c:strCache>
            </c:strRef>
          </c:cat>
          <c:val>
            <c:numRef>
              <c:extLst>
                <c:ext xmlns:c15="http://schemas.microsoft.com/office/drawing/2012/chart" uri="{02D57815-91ED-43cb-92C2-25804820EDAC}">
                  <c15:fullRef>
                    <c15:sqref>'Detailed Results'!$K$100:$K$109</c15:sqref>
                  </c15:fullRef>
                </c:ext>
              </c:extLst>
              <c:f>('Detailed Results'!$K$100,'Detailed Results'!$K$102,'Detailed Results'!$K$104,'Detailed Results'!$K$106,'Detailed Results'!$K$108)</c:f>
              <c:numCache>
                <c:formatCode>General</c:formatCode>
                <c:ptCount val="5"/>
                <c:pt idx="0">
                  <c:v>0</c:v>
                </c:pt>
                <c:pt idx="1">
                  <c:v>0</c:v>
                </c:pt>
                <c:pt idx="2">
                  <c:v>0</c:v>
                </c:pt>
                <c:pt idx="3">
                  <c:v>0</c:v>
                </c:pt>
                <c:pt idx="4">
                  <c:v>0</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4191-4BE2-AE93-1453CBBC6ED6}"/>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69752936769061691"/>
          <c:y val="0.1338030000551366"/>
          <c:w val="0.23505040524526932"/>
          <c:h val="0.80189353268044883"/>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solidFill>
                  <a:schemeClr val="accent1"/>
                </a:solidFill>
              </a:rPr>
              <a:t>On-site and off-site hedge retention by category</a:t>
            </a:r>
          </a:p>
          <a:p>
            <a:pPr>
              <a:defRPr>
                <a:solidFill>
                  <a:schemeClr val="accent1"/>
                </a:solidFill>
              </a:defRPr>
            </a:pPr>
            <a:r>
              <a:rPr lang="en-GB">
                <a:solidFill>
                  <a:schemeClr val="accent1"/>
                </a:solidFill>
              </a:rPr>
              <a:t>length (km) </a:t>
            </a:r>
          </a:p>
        </c:rich>
      </c:tx>
      <c:layout>
        <c:manualLayout>
          <c:xMode val="edge"/>
          <c:yMode val="edge"/>
          <c:x val="0.11246012245842044"/>
          <c:y val="5.115951487040715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8.411142997846878E-2"/>
          <c:y val="0.26105772862516013"/>
          <c:w val="0.8527092972931527"/>
          <c:h val="0.60455824900139299"/>
        </c:manualLayout>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FFDB-48A4-9C8F-5E3F38ED824F}"/>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FFDB-48A4-9C8F-5E3F38ED824F}"/>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FFDB-48A4-9C8F-5E3F38ED824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382119"/>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Results'!$B$24,'Detailed Results'!$B$27,'Detailed Results'!$B$30,'Detailed Results'!$B$31)</c:f>
              <c:strCache>
                <c:ptCount val="4"/>
                <c:pt idx="0">
                  <c:v>Total on-site and off-site baseline area / length retained</c:v>
                </c:pt>
                <c:pt idx="1">
                  <c:v>Area / length proposed for enhancement</c:v>
                </c:pt>
                <c:pt idx="2">
                  <c:v>Total on-site and off-site baseline area / length lost</c:v>
                </c:pt>
                <c:pt idx="3">
                  <c:v>Total on-site and off-site baseline units lost</c:v>
                </c:pt>
              </c:strCache>
            </c:strRef>
          </c:cat>
          <c:val>
            <c:numRef>
              <c:f>('Detailed Results'!$F$24,'Detailed Results'!$F$27,'Detailed Results'!$F$30)</c:f>
              <c:numCache>
                <c:formatCode>0.00</c:formatCode>
                <c:ptCount val="3"/>
                <c:pt idx="0">
                  <c:v>0</c:v>
                </c:pt>
                <c:pt idx="1">
                  <c:v>0</c:v>
                </c:pt>
                <c:pt idx="2">
                  <c:v>0</c:v>
                </c:pt>
              </c:numCache>
            </c:numRef>
          </c:val>
          <c:extLst>
            <c:ext xmlns:c16="http://schemas.microsoft.com/office/drawing/2014/chart" uri="{C3380CC4-5D6E-409C-BE32-E72D297353CC}">
              <c16:uniqueId val="{00000000-1631-4AA2-9CB0-ED14885E7027}"/>
            </c:ext>
          </c:extLst>
        </c:ser>
        <c:dLbls>
          <c:showLegendKey val="0"/>
          <c:showVal val="0"/>
          <c:showCatName val="0"/>
          <c:showSerName val="0"/>
          <c:showPercent val="0"/>
          <c:showBubbleSize val="0"/>
        </c:dLbls>
        <c:gapWidth val="100"/>
        <c:axId val="362073928"/>
        <c:axId val="362077456"/>
      </c:barChart>
      <c:catAx>
        <c:axId val="36207392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82119"/>
                </a:solidFill>
                <a:latin typeface="+mn-lt"/>
                <a:ea typeface="+mn-ea"/>
                <a:cs typeface="+mn-cs"/>
              </a:defRPr>
            </a:pPr>
            <a:endParaRPr lang="en-US"/>
          </a:p>
        </c:txPr>
        <c:crossAx val="362077456"/>
        <c:crosses val="autoZero"/>
        <c:auto val="1"/>
        <c:lblAlgn val="ctr"/>
        <c:lblOffset val="100"/>
        <c:noMultiLvlLbl val="0"/>
      </c:catAx>
      <c:valAx>
        <c:axId val="36207745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82119"/>
                </a:solidFill>
                <a:latin typeface="+mn-lt"/>
                <a:ea typeface="+mn-ea"/>
                <a:cs typeface="+mn-cs"/>
              </a:defRPr>
            </a:pPr>
            <a:endParaRPr lang="en-US"/>
          </a:p>
        </c:txPr>
        <c:crossAx val="362073928"/>
        <c:crosses val="autoZero"/>
        <c:crossBetween val="between"/>
      </c:valAx>
      <c:spPr>
        <a:noFill/>
        <a:ln>
          <a:noFill/>
        </a:ln>
        <a:effectLst/>
      </c:spPr>
    </c:plotArea>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svg"/><Relationship Id="rId1" Type="http://schemas.openxmlformats.org/officeDocument/2006/relationships/image" Target="../media/image4.png"/><Relationship Id="rId4" Type="http://schemas.openxmlformats.org/officeDocument/2006/relationships/image" Target="../media/image7.svg"/></Relationships>
</file>

<file path=xl/drawings/_rels/drawing7.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9</xdr:col>
      <xdr:colOff>255270</xdr:colOff>
      <xdr:row>0</xdr:row>
      <xdr:rowOff>19049</xdr:rowOff>
    </xdr:from>
    <xdr:to>
      <xdr:col>14</xdr:col>
      <xdr:colOff>184670</xdr:colOff>
      <xdr:row>23</xdr:row>
      <xdr:rowOff>57150</xdr:rowOff>
    </xdr:to>
    <xdr:pic>
      <xdr:nvPicPr>
        <xdr:cNvPr id="16" name="ymail_attachmentId20443" descr="70bbc3a1-ae62-45e9-a9c6-e8665ec98842">
          <a:extLst>
            <a:ext uri="{FF2B5EF4-FFF2-40B4-BE49-F238E27FC236}">
              <a16:creationId xmlns:a16="http://schemas.microsoft.com/office/drawing/2014/main" id="{00000000-0008-0000-0000-000010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22620" y="19049"/>
          <a:ext cx="5815850" cy="5029201"/>
        </a:xfrm>
        <a:prstGeom prst="rect">
          <a:avLst/>
        </a:prstGeom>
        <a:noFill/>
        <a:ln>
          <a:noFill/>
        </a:ln>
      </xdr:spPr>
    </xdr:pic>
    <xdr:clientData/>
  </xdr:twoCellAnchor>
  <xdr:twoCellAnchor>
    <xdr:from>
      <xdr:col>0</xdr:col>
      <xdr:colOff>0</xdr:colOff>
      <xdr:row>3</xdr:row>
      <xdr:rowOff>181793</xdr:rowOff>
    </xdr:from>
    <xdr:to>
      <xdr:col>9</xdr:col>
      <xdr:colOff>167640</xdr:colOff>
      <xdr:row>16</xdr:row>
      <xdr:rowOff>136072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971007"/>
          <a:ext cx="5501640" cy="2607672"/>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600"/>
            </a:spcBef>
            <a:spcAft>
              <a:spcPts val="0"/>
            </a:spcAft>
            <a:buClrTx/>
            <a:buSzTx/>
            <a:buFontTx/>
            <a:buNone/>
            <a:tabLst/>
            <a:defRPr/>
          </a:pPr>
          <a:r>
            <a:rPr kumimoji="0" lang="en-GB" sz="3600" b="0" i="0" u="none" strike="noStrike" kern="1400" cap="none" spc="-50" normalizeH="0" baseline="0" noProof="0">
              <a:ln>
                <a:noFill/>
              </a:ln>
              <a:solidFill>
                <a:schemeClr val="accent1"/>
              </a:solidFill>
              <a:effectLst/>
              <a:uLnTx/>
              <a:uFillTx/>
              <a:latin typeface="Source Sans Pro" panose="020B0503030403020204" pitchFamily="34" charset="0"/>
              <a:ea typeface="Source Sans Pro" panose="020B0503030403020204" pitchFamily="34" charset="0"/>
              <a:cs typeface="Arial" panose="020B0604020202020204" pitchFamily="34" charset="0"/>
            </a:rPr>
            <a:t>The Biodiversity Metric 3.1</a:t>
          </a:r>
        </a:p>
        <a:p>
          <a:pPr marL="0" marR="0" lvl="0" indent="0" algn="ctr" defTabSz="914400" eaLnBrk="1" fontAlgn="auto" latinLnBrk="0" hangingPunct="1">
            <a:lnSpc>
              <a:spcPct val="100000"/>
            </a:lnSpc>
            <a:spcBef>
              <a:spcPts val="600"/>
            </a:spcBef>
            <a:spcAft>
              <a:spcPts val="0"/>
            </a:spcAft>
            <a:buClrTx/>
            <a:buSzTx/>
            <a:buFontTx/>
            <a:buNone/>
            <a:tabLst/>
            <a:defRPr/>
          </a:pPr>
          <a:r>
            <a:rPr kumimoji="0" lang="en-GB" sz="2000" b="0" i="0" u="none" strike="noStrike" kern="0" cap="none" spc="75" normalizeH="0" baseline="0" noProof="0">
              <a:ln>
                <a:noFill/>
              </a:ln>
              <a:solidFill>
                <a:schemeClr val="accent1"/>
              </a:solidFill>
              <a:effectLst/>
              <a:uLnTx/>
              <a:uFillTx/>
              <a:latin typeface="Rockwell Light" panose="02040303020102020203" pitchFamily="18" charset="0"/>
              <a:ea typeface="Times New Roman" panose="02020603050405020304" pitchFamily="18" charset="0"/>
              <a:cs typeface="Arial" panose="020B0604020202020204" pitchFamily="34" charset="0"/>
            </a:rPr>
            <a:t>auditing and accounting for biodiversity</a:t>
          </a:r>
        </a:p>
        <a:p>
          <a:pPr marL="810260" marR="600710" lvl="0" indent="-90170" algn="ctr" defTabSz="914400" eaLnBrk="1" fontAlgn="auto" latinLnBrk="0" hangingPunct="1">
            <a:lnSpc>
              <a:spcPct val="107000"/>
            </a:lnSpc>
            <a:spcBef>
              <a:spcPts val="600"/>
            </a:spcBef>
            <a:spcAft>
              <a:spcPts val="600"/>
            </a:spcAft>
            <a:buClrTx/>
            <a:buSzTx/>
            <a:buFontTx/>
            <a:buNone/>
            <a:tabLst/>
            <a:defRPr/>
          </a:pPr>
          <a:r>
            <a:rPr kumimoji="0" lang="en-GB" sz="2800" b="1" i="0" u="none" strike="noStrike" kern="0" cap="none" spc="0" normalizeH="0" baseline="0" noProof="0">
              <a:ln>
                <a:noFill/>
              </a:ln>
              <a:solidFill>
                <a:schemeClr val="accent1"/>
              </a:solidFill>
              <a:effectLst/>
              <a:uLnTx/>
              <a:uFillTx/>
              <a:latin typeface="Source Sans Pro" panose="020B0503030403020204" pitchFamily="34" charset="0"/>
              <a:ea typeface="Source Sans Pro" panose="020B0503030403020204" pitchFamily="34" charset="0"/>
              <a:cs typeface="Arial" panose="020B0604020202020204" pitchFamily="34" charset="0"/>
            </a:rPr>
            <a:t>Calculation Tool</a:t>
          </a:r>
        </a:p>
        <a:p>
          <a:pPr marL="810260" marR="600710" lvl="0" indent="-90170" algn="ctr" defTabSz="914400" eaLnBrk="1" fontAlgn="auto" latinLnBrk="0" hangingPunct="1">
            <a:lnSpc>
              <a:spcPct val="107000"/>
            </a:lnSpc>
            <a:spcBef>
              <a:spcPts val="600"/>
            </a:spcBef>
            <a:spcAft>
              <a:spcPts val="600"/>
            </a:spcAft>
            <a:buClrTx/>
            <a:buSzTx/>
            <a:buFontTx/>
            <a:buNone/>
            <a:tabLst/>
            <a:defRPr/>
          </a:pPr>
          <a:endParaRPr kumimoji="0" lang="en-GB" sz="2800" b="1" i="0" u="none" strike="noStrike" kern="0" cap="none" spc="0" normalizeH="0" baseline="0" noProof="0">
            <a:ln>
              <a:noFill/>
            </a:ln>
            <a:solidFill>
              <a:schemeClr val="accent1"/>
            </a:solidFill>
            <a:effectLst/>
            <a:uLnTx/>
            <a:uFillTx/>
            <a:latin typeface="Arial" panose="020B0604020202020204" pitchFamily="34" charset="0"/>
            <a:ea typeface="+mn-ea"/>
            <a:cs typeface="Arial" panose="020B0604020202020204" pitchFamily="34" charset="0"/>
          </a:endParaRPr>
        </a:p>
        <a:p>
          <a:pPr marL="810260" marR="600710" lvl="0" indent="-90170" algn="ctr" defTabSz="914400" eaLnBrk="1" fontAlgn="auto" latinLnBrk="0" hangingPunct="1">
            <a:lnSpc>
              <a:spcPct val="107000"/>
            </a:lnSpc>
            <a:spcBef>
              <a:spcPts val="600"/>
            </a:spcBef>
            <a:spcAft>
              <a:spcPts val="600"/>
            </a:spcAft>
            <a:buClrTx/>
            <a:buSzTx/>
            <a:buFontTx/>
            <a:buNone/>
            <a:tabLst/>
            <a:defRPr/>
          </a:pPr>
          <a:r>
            <a:rPr kumimoji="0" lang="en-GB" sz="1200" b="0" i="0" u="none" strike="noStrike" kern="0" cap="none" spc="0" normalizeH="0" baseline="0" noProof="0">
              <a:ln>
                <a:noFill/>
              </a:ln>
              <a:solidFill>
                <a:sysClr val="windowText" lastClr="000000"/>
              </a:solidFill>
              <a:effectLst/>
              <a:uLnTx/>
              <a:uFillTx/>
              <a:latin typeface="Rockwell Light" panose="02040303020102020203" pitchFamily="18" charset="0"/>
              <a:ea typeface="Calibri" panose="020F0502020204030204" pitchFamily="34" charset="0"/>
              <a:cs typeface="Arial" panose="020B0604020202020204" pitchFamily="34" charset="0"/>
            </a:rPr>
            <a:t>ISBN: 978-1-78354-953-5 </a:t>
          </a:r>
          <a:endParaRPr lang="en-GB" sz="1600">
            <a:solidFill>
              <a:sysClr val="windowText" lastClr="000000"/>
            </a:solidFill>
            <a:latin typeface="Rockwell Light" panose="02040303020102020203" pitchFamily="18" charset="0"/>
          </a:endParaRPr>
        </a:p>
      </xdr:txBody>
    </xdr:sp>
    <xdr:clientData/>
  </xdr:twoCellAnchor>
  <xdr:twoCellAnchor>
    <xdr:from>
      <xdr:col>3</xdr:col>
      <xdr:colOff>276226</xdr:colOff>
      <xdr:row>11</xdr:row>
      <xdr:rowOff>195870</xdr:rowOff>
    </xdr:from>
    <xdr:to>
      <xdr:col>6</xdr:col>
      <xdr:colOff>111704</xdr:colOff>
      <xdr:row>13</xdr:row>
      <xdr:rowOff>202796</xdr:rowOff>
    </xdr:to>
    <xdr:sp macro="[0]!Activatestartmenu" textlink="">
      <xdr:nvSpPr>
        <xdr:cNvPr id="14" name="TextBox 13">
          <a:extLst>
            <a:ext uri="{FF2B5EF4-FFF2-40B4-BE49-F238E27FC236}">
              <a16:creationId xmlns:a16="http://schemas.microsoft.com/office/drawing/2014/main" id="{00000000-0008-0000-0000-00000E000000}"/>
            </a:ext>
          </a:extLst>
        </xdr:cNvPr>
        <xdr:cNvSpPr txBox="1"/>
      </xdr:nvSpPr>
      <xdr:spPr>
        <a:xfrm>
          <a:off x="1943101" y="2640620"/>
          <a:ext cx="1645228" cy="419676"/>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bevelB w="114300" prst="artDeco"/>
          <a:contourClr>
            <a:srgbClr val="FFFFFF"/>
          </a:contourClr>
        </a:sp3d>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GB" sz="1600" b="1" baseline="0">
              <a:solidFill>
                <a:schemeClr val="bg1"/>
              </a:solidFill>
              <a:effectLst/>
              <a:latin typeface="Rockwell Light" panose="02040303020102020203" pitchFamily="18" charset="0"/>
              <a:ea typeface="Source Sans Pro" panose="020B0503030403020204" pitchFamily="34" charset="0"/>
              <a:cs typeface="Arial" panose="020B0604020202020204" pitchFamily="34" charset="0"/>
            </a:rPr>
            <a:t>Open  Tool</a:t>
          </a:r>
          <a:endParaRPr lang="en-GB" sz="1600" b="1">
            <a:solidFill>
              <a:schemeClr val="bg1"/>
            </a:solidFill>
            <a:effectLst/>
            <a:latin typeface="Rockwell Light" panose="02040303020102020203" pitchFamily="18" charset="0"/>
            <a:ea typeface="Source Sans Pro" panose="020B0503030403020204" pitchFamily="34" charset="0"/>
          </a:endParaRPr>
        </a:p>
        <a:p>
          <a:endParaRPr lang="en-GB" sz="1100" b="1">
            <a:solidFill>
              <a:schemeClr val="bg1"/>
            </a:solidFill>
          </a:endParaRPr>
        </a:p>
      </xdr:txBody>
    </xdr:sp>
    <xdr:clientData/>
  </xdr:twoCellAnchor>
  <xdr:twoCellAnchor editAs="oneCell">
    <xdr:from>
      <xdr:col>0</xdr:col>
      <xdr:colOff>19791</xdr:colOff>
      <xdr:row>0</xdr:row>
      <xdr:rowOff>20089</xdr:rowOff>
    </xdr:from>
    <xdr:to>
      <xdr:col>1</xdr:col>
      <xdr:colOff>183161</xdr:colOff>
      <xdr:row>2</xdr:row>
      <xdr:rowOff>190500</xdr:rowOff>
    </xdr:to>
    <xdr:pic>
      <xdr:nvPicPr>
        <xdr:cNvPr id="6" name="Picture 5" descr="Image result for natural england logo">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a:fillRect/>
        </a:stretch>
      </xdr:blipFill>
      <xdr:spPr bwMode="auto">
        <a:xfrm>
          <a:off x="19791" y="20089"/>
          <a:ext cx="788210" cy="7571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123825</xdr:colOff>
      <xdr:row>3</xdr:row>
      <xdr:rowOff>113360</xdr:rowOff>
    </xdr:from>
    <xdr:to>
      <xdr:col>5</xdr:col>
      <xdr:colOff>0</xdr:colOff>
      <xdr:row>6</xdr:row>
      <xdr:rowOff>276225</xdr:rowOff>
    </xdr:to>
    <xdr:grpSp>
      <xdr:nvGrpSpPr>
        <xdr:cNvPr id="38" name="Group 37">
          <a:extLst>
            <a:ext uri="{FF2B5EF4-FFF2-40B4-BE49-F238E27FC236}">
              <a16:creationId xmlns:a16="http://schemas.microsoft.com/office/drawing/2014/main" id="{00000000-0008-0000-0900-000026000000}"/>
            </a:ext>
          </a:extLst>
        </xdr:cNvPr>
        <xdr:cNvGrpSpPr/>
      </xdr:nvGrpSpPr>
      <xdr:grpSpPr>
        <a:xfrm>
          <a:off x="123825" y="839074"/>
          <a:ext cx="7015389" cy="770651"/>
          <a:chOff x="-17943940" y="767611"/>
          <a:chExt cx="12775995" cy="756968"/>
        </a:xfrm>
        <a:solidFill>
          <a:schemeClr val="accent1"/>
        </a:solidFill>
      </xdr:grpSpPr>
      <xdr:sp macro="[0]!ToggleHideRows" textlink="">
        <xdr:nvSpPr>
          <xdr:cNvPr id="39" name="Rectangle: Rounded Corners 19">
            <a:extLst>
              <a:ext uri="{FF2B5EF4-FFF2-40B4-BE49-F238E27FC236}">
                <a16:creationId xmlns:a16="http://schemas.microsoft.com/office/drawing/2014/main" id="{00000000-0008-0000-0900-000027000000}"/>
              </a:ext>
            </a:extLst>
          </xdr:cNvPr>
          <xdr:cNvSpPr/>
        </xdr:nvSpPr>
        <xdr:spPr>
          <a:xfrm>
            <a:off x="-11093861" y="767611"/>
            <a:ext cx="5925916" cy="36927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Rockwell Light" panose="02040303020102020203" pitchFamily="18" charset="0"/>
              </a:rPr>
              <a:t>Condense / Show Rows</a:t>
            </a:r>
          </a:p>
        </xdr:txBody>
      </xdr:sp>
      <xdr:sp macro="[0]!ActivateSelectWorksheet" textlink="">
        <xdr:nvSpPr>
          <xdr:cNvPr id="40" name="Rounded Rectangle 39">
            <a:extLst>
              <a:ext uri="{FF2B5EF4-FFF2-40B4-BE49-F238E27FC236}">
                <a16:creationId xmlns:a16="http://schemas.microsoft.com/office/drawing/2014/main" id="{00000000-0008-0000-0900-000028000000}"/>
              </a:ext>
            </a:extLst>
          </xdr:cNvPr>
          <xdr:cNvSpPr/>
        </xdr:nvSpPr>
        <xdr:spPr>
          <a:xfrm>
            <a:off x="-17943940" y="1221545"/>
            <a:ext cx="6307485" cy="303034"/>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41" name="Rounded Rectangle 40">
            <a:extLst>
              <a:ext uri="{FF2B5EF4-FFF2-40B4-BE49-F238E27FC236}">
                <a16:creationId xmlns:a16="http://schemas.microsoft.com/office/drawing/2014/main" id="{00000000-0008-0000-0900-000029000000}"/>
              </a:ext>
            </a:extLst>
          </xdr:cNvPr>
          <xdr:cNvSpPr/>
        </xdr:nvSpPr>
        <xdr:spPr>
          <a:xfrm>
            <a:off x="-11118791" y="1215522"/>
            <a:ext cx="5932724" cy="309057"/>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2" name="Rectangle: Rounded Corners 19">
            <a:extLst>
              <a:ext uri="{FF2B5EF4-FFF2-40B4-BE49-F238E27FC236}">
                <a16:creationId xmlns:a16="http://schemas.microsoft.com/office/drawing/2014/main" id="{00000000-0008-0000-0900-00002A000000}"/>
              </a:ext>
            </a:extLst>
          </xdr:cNvPr>
          <xdr:cNvSpPr/>
        </xdr:nvSpPr>
        <xdr:spPr>
          <a:xfrm>
            <a:off x="-17886499" y="799583"/>
            <a:ext cx="6199437" cy="337296"/>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Rockwell Light" panose="02040303020102020203" pitchFamily="18" charset="0"/>
              </a:rPr>
              <a:t>Condense / Show Columns</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15241</xdr:colOff>
      <xdr:row>4</xdr:row>
      <xdr:rowOff>83820</xdr:rowOff>
    </xdr:from>
    <xdr:to>
      <xdr:col>7</xdr:col>
      <xdr:colOff>7621</xdr:colOff>
      <xdr:row>8</xdr:row>
      <xdr:rowOff>55506</xdr:rowOff>
    </xdr:to>
    <xdr:grpSp>
      <xdr:nvGrpSpPr>
        <xdr:cNvPr id="21" name="Group 20">
          <a:extLst>
            <a:ext uri="{FF2B5EF4-FFF2-40B4-BE49-F238E27FC236}">
              <a16:creationId xmlns:a16="http://schemas.microsoft.com/office/drawing/2014/main" id="{00000000-0008-0000-0A00-000015000000}"/>
            </a:ext>
          </a:extLst>
        </xdr:cNvPr>
        <xdr:cNvGrpSpPr/>
      </xdr:nvGrpSpPr>
      <xdr:grpSpPr>
        <a:xfrm>
          <a:off x="212091" y="877570"/>
          <a:ext cx="5732780" cy="765436"/>
          <a:chOff x="205740" y="877124"/>
          <a:chExt cx="4701455" cy="771786"/>
        </a:xfrm>
        <a:solidFill>
          <a:schemeClr val="accent1"/>
        </a:solidFill>
      </xdr:grpSpPr>
      <xdr:sp macro="[0]!ToggleHideRows" textlink="">
        <xdr:nvSpPr>
          <xdr:cNvPr id="22" name="Rectangle: Rounded Corners 19">
            <a:extLst>
              <a:ext uri="{FF2B5EF4-FFF2-40B4-BE49-F238E27FC236}">
                <a16:creationId xmlns:a16="http://schemas.microsoft.com/office/drawing/2014/main" id="{00000000-0008-0000-0A00-000016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Rockwell Light" panose="02040303020102020203" pitchFamily="18" charset="0"/>
              </a:rPr>
              <a:t>Condense / Show Rows</a:t>
            </a:r>
          </a:p>
        </xdr:txBody>
      </xdr:sp>
      <xdr:sp macro="[0]!ActivateSelectWorksheet" textlink="">
        <xdr:nvSpPr>
          <xdr:cNvPr id="23" name="Rounded Rectangle 22">
            <a:extLst>
              <a:ext uri="{FF2B5EF4-FFF2-40B4-BE49-F238E27FC236}">
                <a16:creationId xmlns:a16="http://schemas.microsoft.com/office/drawing/2014/main" id="{00000000-0008-0000-0A00-000017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24" name="Rounded Rectangle 23">
            <a:extLst>
              <a:ext uri="{FF2B5EF4-FFF2-40B4-BE49-F238E27FC236}">
                <a16:creationId xmlns:a16="http://schemas.microsoft.com/office/drawing/2014/main" id="{00000000-0008-0000-0A00-000018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25" name="Rectangle: Rounded Corners 19">
            <a:extLst>
              <a:ext uri="{FF2B5EF4-FFF2-40B4-BE49-F238E27FC236}">
                <a16:creationId xmlns:a16="http://schemas.microsoft.com/office/drawing/2014/main" id="{00000000-0008-0000-0A00-000019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Rockwell Light" panose="02040303020102020203" pitchFamily="18" charset="0"/>
              </a:rPr>
              <a:t>Condense / Show Columns</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180975</xdr:colOff>
      <xdr:row>4</xdr:row>
      <xdr:rowOff>81915</xdr:rowOff>
    </xdr:from>
    <xdr:to>
      <xdr:col>5</xdr:col>
      <xdr:colOff>4667250</xdr:colOff>
      <xdr:row>7</xdr:row>
      <xdr:rowOff>145041</xdr:rowOff>
    </xdr:to>
    <xdr:grpSp>
      <xdr:nvGrpSpPr>
        <xdr:cNvPr id="36" name="Group 35">
          <a:extLst>
            <a:ext uri="{FF2B5EF4-FFF2-40B4-BE49-F238E27FC236}">
              <a16:creationId xmlns:a16="http://schemas.microsoft.com/office/drawing/2014/main" id="{00000000-0008-0000-0B00-000024000000}"/>
            </a:ext>
          </a:extLst>
        </xdr:cNvPr>
        <xdr:cNvGrpSpPr/>
      </xdr:nvGrpSpPr>
      <xdr:grpSpPr>
        <a:xfrm>
          <a:off x="0" y="926465"/>
          <a:ext cx="6946900" cy="767976"/>
          <a:chOff x="205740" y="877124"/>
          <a:chExt cx="4701455" cy="771786"/>
        </a:xfrm>
        <a:solidFill>
          <a:schemeClr val="accent1"/>
        </a:solidFill>
      </xdr:grpSpPr>
      <xdr:sp macro="[0]!ToggleHideRows" textlink="">
        <xdr:nvSpPr>
          <xdr:cNvPr id="37" name="Rectangle: Rounded Corners 19">
            <a:extLst>
              <a:ext uri="{FF2B5EF4-FFF2-40B4-BE49-F238E27FC236}">
                <a16:creationId xmlns:a16="http://schemas.microsoft.com/office/drawing/2014/main" id="{00000000-0008-0000-0B00-000025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Rockwell Light" panose="02040303020102020203" pitchFamily="18" charset="0"/>
              </a:rPr>
              <a:t>Condense / Show Rows</a:t>
            </a:r>
          </a:p>
        </xdr:txBody>
      </xdr:sp>
      <xdr:sp macro="[0]!ActivateSelectWorksheet" textlink="">
        <xdr:nvSpPr>
          <xdr:cNvPr id="38" name="Rounded Rectangle 37">
            <a:extLst>
              <a:ext uri="{FF2B5EF4-FFF2-40B4-BE49-F238E27FC236}">
                <a16:creationId xmlns:a16="http://schemas.microsoft.com/office/drawing/2014/main" id="{00000000-0008-0000-0B00-000026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39" name="Rounded Rectangle 38">
            <a:extLst>
              <a:ext uri="{FF2B5EF4-FFF2-40B4-BE49-F238E27FC236}">
                <a16:creationId xmlns:a16="http://schemas.microsoft.com/office/drawing/2014/main" id="{00000000-0008-0000-0B00-000027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0" name="Rectangle: Rounded Corners 19">
            <a:extLst>
              <a:ext uri="{FF2B5EF4-FFF2-40B4-BE49-F238E27FC236}">
                <a16:creationId xmlns:a16="http://schemas.microsoft.com/office/drawing/2014/main" id="{00000000-0008-0000-0B00-000028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Rockwell Light" panose="02040303020102020203" pitchFamily="18" charset="0"/>
              </a:rPr>
              <a:t>Condense / Show Columns</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47625</xdr:colOff>
      <xdr:row>4</xdr:row>
      <xdr:rowOff>97155</xdr:rowOff>
    </xdr:from>
    <xdr:to>
      <xdr:col>4</xdr:col>
      <xdr:colOff>4714875</xdr:colOff>
      <xdr:row>6</xdr:row>
      <xdr:rowOff>99321</xdr:rowOff>
    </xdr:to>
    <xdr:grpSp>
      <xdr:nvGrpSpPr>
        <xdr:cNvPr id="34" name="Group 33">
          <a:extLst>
            <a:ext uri="{FF2B5EF4-FFF2-40B4-BE49-F238E27FC236}">
              <a16:creationId xmlns:a16="http://schemas.microsoft.com/office/drawing/2014/main" id="{00000000-0008-0000-0C00-000022000000}"/>
            </a:ext>
          </a:extLst>
        </xdr:cNvPr>
        <xdr:cNvGrpSpPr/>
      </xdr:nvGrpSpPr>
      <xdr:grpSpPr>
        <a:xfrm>
          <a:off x="47625" y="1049655"/>
          <a:ext cx="6242050" cy="770516"/>
          <a:chOff x="205740" y="877124"/>
          <a:chExt cx="4701455" cy="771786"/>
        </a:xfrm>
        <a:solidFill>
          <a:schemeClr val="accent1"/>
        </a:solidFill>
      </xdr:grpSpPr>
      <xdr:sp macro="[0]!ToggleHideRows" textlink="">
        <xdr:nvSpPr>
          <xdr:cNvPr id="35" name="Rectangle: Rounded Corners 19">
            <a:extLst>
              <a:ext uri="{FF2B5EF4-FFF2-40B4-BE49-F238E27FC236}">
                <a16:creationId xmlns:a16="http://schemas.microsoft.com/office/drawing/2014/main" id="{00000000-0008-0000-0C00-000023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Rockwell Light" panose="02040303020102020203" pitchFamily="18" charset="0"/>
              </a:rPr>
              <a:t>Condense / Show Rows</a:t>
            </a:r>
          </a:p>
        </xdr:txBody>
      </xdr:sp>
      <xdr:sp macro="[0]!ActivateSelectWorksheet" textlink="">
        <xdr:nvSpPr>
          <xdr:cNvPr id="36" name="Rounded Rectangle 35">
            <a:extLst>
              <a:ext uri="{FF2B5EF4-FFF2-40B4-BE49-F238E27FC236}">
                <a16:creationId xmlns:a16="http://schemas.microsoft.com/office/drawing/2014/main" id="{00000000-0008-0000-0C00-000024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37" name="Rounded Rectangle 36">
            <a:extLst>
              <a:ext uri="{FF2B5EF4-FFF2-40B4-BE49-F238E27FC236}">
                <a16:creationId xmlns:a16="http://schemas.microsoft.com/office/drawing/2014/main" id="{00000000-0008-0000-0C00-000025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38" name="Rectangle: Rounded Corners 19">
            <a:extLst>
              <a:ext uri="{FF2B5EF4-FFF2-40B4-BE49-F238E27FC236}">
                <a16:creationId xmlns:a16="http://schemas.microsoft.com/office/drawing/2014/main" id="{00000000-0008-0000-0C00-000026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Rockwell Light" panose="02040303020102020203" pitchFamily="18" charset="0"/>
              </a:rPr>
              <a:t>Condense / Show Columns</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1270</xdr:colOff>
      <xdr:row>4</xdr:row>
      <xdr:rowOff>83820</xdr:rowOff>
    </xdr:from>
    <xdr:to>
      <xdr:col>7</xdr:col>
      <xdr:colOff>0</xdr:colOff>
      <xdr:row>8</xdr:row>
      <xdr:rowOff>93606</xdr:rowOff>
    </xdr:to>
    <xdr:grpSp>
      <xdr:nvGrpSpPr>
        <xdr:cNvPr id="31" name="Group 30">
          <a:extLst>
            <a:ext uri="{FF2B5EF4-FFF2-40B4-BE49-F238E27FC236}">
              <a16:creationId xmlns:a16="http://schemas.microsoft.com/office/drawing/2014/main" id="{00000000-0008-0000-0D00-00001F000000}"/>
            </a:ext>
          </a:extLst>
        </xdr:cNvPr>
        <xdr:cNvGrpSpPr/>
      </xdr:nvGrpSpPr>
      <xdr:grpSpPr>
        <a:xfrm>
          <a:off x="140970" y="922020"/>
          <a:ext cx="6653530" cy="759086"/>
          <a:chOff x="205740" y="877124"/>
          <a:chExt cx="4701455" cy="771786"/>
        </a:xfrm>
        <a:solidFill>
          <a:schemeClr val="accent1"/>
        </a:solidFill>
      </xdr:grpSpPr>
      <xdr:sp macro="[0]!ToggleHideRows" textlink="">
        <xdr:nvSpPr>
          <xdr:cNvPr id="32" name="Rectangle: Rounded Corners 19">
            <a:extLst>
              <a:ext uri="{FF2B5EF4-FFF2-40B4-BE49-F238E27FC236}">
                <a16:creationId xmlns:a16="http://schemas.microsoft.com/office/drawing/2014/main" id="{00000000-0008-0000-0D00-000020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Rockwell Light" panose="02040303020102020203" pitchFamily="18" charset="0"/>
              </a:rPr>
              <a:t>Condense / Show Rows</a:t>
            </a:r>
          </a:p>
        </xdr:txBody>
      </xdr:sp>
      <xdr:sp macro="[0]!ActivateSelectWorksheet" textlink="">
        <xdr:nvSpPr>
          <xdr:cNvPr id="33" name="Rounded Rectangle 32">
            <a:extLst>
              <a:ext uri="{FF2B5EF4-FFF2-40B4-BE49-F238E27FC236}">
                <a16:creationId xmlns:a16="http://schemas.microsoft.com/office/drawing/2014/main" id="{00000000-0008-0000-0D00-000021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34" name="Rounded Rectangle 33">
            <a:extLst>
              <a:ext uri="{FF2B5EF4-FFF2-40B4-BE49-F238E27FC236}">
                <a16:creationId xmlns:a16="http://schemas.microsoft.com/office/drawing/2014/main" id="{00000000-0008-0000-0D00-000022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1" name="Rectangle: Rounded Corners 19">
            <a:extLst>
              <a:ext uri="{FF2B5EF4-FFF2-40B4-BE49-F238E27FC236}">
                <a16:creationId xmlns:a16="http://schemas.microsoft.com/office/drawing/2014/main" id="{00000000-0008-0000-0D00-000029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Rockwell Light" panose="02040303020102020203" pitchFamily="18" charset="0"/>
              </a:rPr>
              <a:t>Condense / Show Columns</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198120</xdr:colOff>
      <xdr:row>4</xdr:row>
      <xdr:rowOff>91440</xdr:rowOff>
    </xdr:from>
    <xdr:to>
      <xdr:col>3</xdr:col>
      <xdr:colOff>3756660</xdr:colOff>
      <xdr:row>6</xdr:row>
      <xdr:rowOff>406026</xdr:rowOff>
    </xdr:to>
    <xdr:grpSp>
      <xdr:nvGrpSpPr>
        <xdr:cNvPr id="11" name="Group 10">
          <a:extLst>
            <a:ext uri="{FF2B5EF4-FFF2-40B4-BE49-F238E27FC236}">
              <a16:creationId xmlns:a16="http://schemas.microsoft.com/office/drawing/2014/main" id="{00000000-0008-0000-0E00-00000B000000}"/>
            </a:ext>
          </a:extLst>
        </xdr:cNvPr>
        <xdr:cNvGrpSpPr/>
      </xdr:nvGrpSpPr>
      <xdr:grpSpPr>
        <a:xfrm>
          <a:off x="198120" y="935990"/>
          <a:ext cx="5482590" cy="771786"/>
          <a:chOff x="205740" y="877124"/>
          <a:chExt cx="4701455" cy="771786"/>
        </a:xfrm>
        <a:solidFill>
          <a:schemeClr val="accent1"/>
        </a:solidFill>
      </xdr:grpSpPr>
      <xdr:sp macro="[0]!ToggleHideRows" textlink="">
        <xdr:nvSpPr>
          <xdr:cNvPr id="12" name="Rectangle: Rounded Corners 19">
            <a:extLst>
              <a:ext uri="{FF2B5EF4-FFF2-40B4-BE49-F238E27FC236}">
                <a16:creationId xmlns:a16="http://schemas.microsoft.com/office/drawing/2014/main" id="{00000000-0008-0000-0E00-00000C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Rockwell Light" panose="02040303020102020203" pitchFamily="18" charset="0"/>
              </a:rPr>
              <a:t>Condense / Show Rows</a:t>
            </a:r>
          </a:p>
        </xdr:txBody>
      </xdr:sp>
      <xdr:sp macro="[0]!ActivateSelectWorksheet" textlink="">
        <xdr:nvSpPr>
          <xdr:cNvPr id="13" name="Rounded Rectangle 12">
            <a:extLst>
              <a:ext uri="{FF2B5EF4-FFF2-40B4-BE49-F238E27FC236}">
                <a16:creationId xmlns:a16="http://schemas.microsoft.com/office/drawing/2014/main" id="{00000000-0008-0000-0E00-00000D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14" name="Rounded Rectangle 13">
            <a:extLst>
              <a:ext uri="{FF2B5EF4-FFF2-40B4-BE49-F238E27FC236}">
                <a16:creationId xmlns:a16="http://schemas.microsoft.com/office/drawing/2014/main" id="{00000000-0008-0000-0E00-00000E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5" name="Rectangle: Rounded Corners 19">
            <a:extLst>
              <a:ext uri="{FF2B5EF4-FFF2-40B4-BE49-F238E27FC236}">
                <a16:creationId xmlns:a16="http://schemas.microsoft.com/office/drawing/2014/main" id="{00000000-0008-0000-0E00-00000F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Rockwell Light" panose="02040303020102020203" pitchFamily="18" charset="0"/>
              </a:rPr>
              <a:t>Condense / Show Columns</a:t>
            </a: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182881</xdr:colOff>
      <xdr:row>4</xdr:row>
      <xdr:rowOff>99060</xdr:rowOff>
    </xdr:from>
    <xdr:to>
      <xdr:col>4</xdr:col>
      <xdr:colOff>53340</xdr:colOff>
      <xdr:row>8</xdr:row>
      <xdr:rowOff>85986</xdr:rowOff>
    </xdr:to>
    <xdr:grpSp>
      <xdr:nvGrpSpPr>
        <xdr:cNvPr id="11" name="Group 10">
          <a:extLst>
            <a:ext uri="{FF2B5EF4-FFF2-40B4-BE49-F238E27FC236}">
              <a16:creationId xmlns:a16="http://schemas.microsoft.com/office/drawing/2014/main" id="{00000000-0008-0000-0F00-00000B000000}"/>
            </a:ext>
          </a:extLst>
        </xdr:cNvPr>
        <xdr:cNvGrpSpPr/>
      </xdr:nvGrpSpPr>
      <xdr:grpSpPr>
        <a:xfrm>
          <a:off x="182881" y="956310"/>
          <a:ext cx="6074409" cy="755276"/>
          <a:chOff x="205740" y="877124"/>
          <a:chExt cx="4701455" cy="771786"/>
        </a:xfrm>
        <a:solidFill>
          <a:schemeClr val="accent1"/>
        </a:solidFill>
      </xdr:grpSpPr>
      <xdr:sp macro="[0]!ToggleHideRows" textlink="">
        <xdr:nvSpPr>
          <xdr:cNvPr id="12" name="Rectangle: Rounded Corners 19">
            <a:extLst>
              <a:ext uri="{FF2B5EF4-FFF2-40B4-BE49-F238E27FC236}">
                <a16:creationId xmlns:a16="http://schemas.microsoft.com/office/drawing/2014/main" id="{00000000-0008-0000-0F00-00000C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Rockwell Light" panose="02040303020102020203" pitchFamily="18" charset="0"/>
              </a:rPr>
              <a:t>Condense / Show Rows</a:t>
            </a:r>
          </a:p>
        </xdr:txBody>
      </xdr:sp>
      <xdr:sp macro="[0]!ActivateSelectWorksheet" textlink="">
        <xdr:nvSpPr>
          <xdr:cNvPr id="13" name="Rounded Rectangle 12">
            <a:extLst>
              <a:ext uri="{FF2B5EF4-FFF2-40B4-BE49-F238E27FC236}">
                <a16:creationId xmlns:a16="http://schemas.microsoft.com/office/drawing/2014/main" id="{00000000-0008-0000-0F00-00000D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14" name="Rounded Rectangle 13">
            <a:extLst>
              <a:ext uri="{FF2B5EF4-FFF2-40B4-BE49-F238E27FC236}">
                <a16:creationId xmlns:a16="http://schemas.microsoft.com/office/drawing/2014/main" id="{00000000-0008-0000-0F00-00000E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5" name="Rectangle: Rounded Corners 19">
            <a:extLst>
              <a:ext uri="{FF2B5EF4-FFF2-40B4-BE49-F238E27FC236}">
                <a16:creationId xmlns:a16="http://schemas.microsoft.com/office/drawing/2014/main" id="{00000000-0008-0000-0F00-00000F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Rockwell Light" panose="02040303020102020203" pitchFamily="18" charset="0"/>
              </a:rPr>
              <a:t>Condense / Show Columns</a:t>
            </a: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9525</xdr:colOff>
      <xdr:row>4</xdr:row>
      <xdr:rowOff>89535</xdr:rowOff>
    </xdr:from>
    <xdr:to>
      <xdr:col>4</xdr:col>
      <xdr:colOff>32384</xdr:colOff>
      <xdr:row>8</xdr:row>
      <xdr:rowOff>30741</xdr:rowOff>
    </xdr:to>
    <xdr:grpSp>
      <xdr:nvGrpSpPr>
        <xdr:cNvPr id="7" name="Group 6">
          <a:extLst>
            <a:ext uri="{FF2B5EF4-FFF2-40B4-BE49-F238E27FC236}">
              <a16:creationId xmlns:a16="http://schemas.microsoft.com/office/drawing/2014/main" id="{00000000-0008-0000-1000-000007000000}"/>
            </a:ext>
          </a:extLst>
        </xdr:cNvPr>
        <xdr:cNvGrpSpPr/>
      </xdr:nvGrpSpPr>
      <xdr:grpSpPr>
        <a:xfrm>
          <a:off x="206375" y="997585"/>
          <a:ext cx="5071109" cy="760356"/>
          <a:chOff x="205740" y="877124"/>
          <a:chExt cx="4701455" cy="771786"/>
        </a:xfrm>
        <a:solidFill>
          <a:schemeClr val="accent1"/>
        </a:solidFill>
      </xdr:grpSpPr>
      <xdr:sp macro="[0]!ToggleHideRows" textlink="">
        <xdr:nvSpPr>
          <xdr:cNvPr id="8" name="Rectangle: Rounded Corners 19">
            <a:extLst>
              <a:ext uri="{FF2B5EF4-FFF2-40B4-BE49-F238E27FC236}">
                <a16:creationId xmlns:a16="http://schemas.microsoft.com/office/drawing/2014/main" id="{00000000-0008-0000-1000-000008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Rockwell Light" panose="02040303020102020203" pitchFamily="18" charset="0"/>
              </a:rPr>
              <a:t>Condense / Show Rows</a:t>
            </a:r>
          </a:p>
        </xdr:txBody>
      </xdr:sp>
      <xdr:sp macro="[0]!ActivateSelectWorksheet" textlink="">
        <xdr:nvSpPr>
          <xdr:cNvPr id="9" name="Rounded Rectangle 8">
            <a:extLst>
              <a:ext uri="{FF2B5EF4-FFF2-40B4-BE49-F238E27FC236}">
                <a16:creationId xmlns:a16="http://schemas.microsoft.com/office/drawing/2014/main" id="{00000000-0008-0000-1000-000009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10" name="Rounded Rectangle 9">
            <a:extLst>
              <a:ext uri="{FF2B5EF4-FFF2-40B4-BE49-F238E27FC236}">
                <a16:creationId xmlns:a16="http://schemas.microsoft.com/office/drawing/2014/main" id="{00000000-0008-0000-1000-00000A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6" name="Rectangle: Rounded Corners 19">
            <a:extLst>
              <a:ext uri="{FF2B5EF4-FFF2-40B4-BE49-F238E27FC236}">
                <a16:creationId xmlns:a16="http://schemas.microsoft.com/office/drawing/2014/main" id="{00000000-0008-0000-1000-000010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Rockwell Light" panose="02040303020102020203" pitchFamily="18" charset="0"/>
              </a:rPr>
              <a:t>Condense / Show Columns</a:t>
            </a: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38100</xdr:colOff>
      <xdr:row>4</xdr:row>
      <xdr:rowOff>99060</xdr:rowOff>
    </xdr:from>
    <xdr:to>
      <xdr:col>4</xdr:col>
      <xdr:colOff>7620</xdr:colOff>
      <xdr:row>6</xdr:row>
      <xdr:rowOff>25026</xdr:rowOff>
    </xdr:to>
    <xdr:grpSp>
      <xdr:nvGrpSpPr>
        <xdr:cNvPr id="30" name="Group 29">
          <a:extLst>
            <a:ext uri="{FF2B5EF4-FFF2-40B4-BE49-F238E27FC236}">
              <a16:creationId xmlns:a16="http://schemas.microsoft.com/office/drawing/2014/main" id="{00000000-0008-0000-1100-00001E000000}"/>
            </a:ext>
          </a:extLst>
        </xdr:cNvPr>
        <xdr:cNvGrpSpPr/>
      </xdr:nvGrpSpPr>
      <xdr:grpSpPr>
        <a:xfrm>
          <a:off x="387350" y="886460"/>
          <a:ext cx="5189220" cy="764166"/>
          <a:chOff x="205740" y="877124"/>
          <a:chExt cx="4701455" cy="771786"/>
        </a:xfrm>
        <a:solidFill>
          <a:schemeClr val="accent1"/>
        </a:solidFill>
      </xdr:grpSpPr>
      <xdr:sp macro="[0]!ToggleHideRows" textlink="">
        <xdr:nvSpPr>
          <xdr:cNvPr id="31" name="Rectangle: Rounded Corners 19">
            <a:extLst>
              <a:ext uri="{FF2B5EF4-FFF2-40B4-BE49-F238E27FC236}">
                <a16:creationId xmlns:a16="http://schemas.microsoft.com/office/drawing/2014/main" id="{00000000-0008-0000-1100-00001F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Rockwell Light" panose="02040303020102020203" pitchFamily="18" charset="0"/>
              </a:rPr>
              <a:t>Condense / Show Rows</a:t>
            </a:r>
          </a:p>
        </xdr:txBody>
      </xdr:sp>
      <xdr:sp macro="[0]!ActivateSelectWorksheet" textlink="">
        <xdr:nvSpPr>
          <xdr:cNvPr id="32" name="Rounded Rectangle 31">
            <a:extLst>
              <a:ext uri="{FF2B5EF4-FFF2-40B4-BE49-F238E27FC236}">
                <a16:creationId xmlns:a16="http://schemas.microsoft.com/office/drawing/2014/main" id="{00000000-0008-0000-1100-000020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33" name="Rounded Rectangle 32">
            <a:extLst>
              <a:ext uri="{FF2B5EF4-FFF2-40B4-BE49-F238E27FC236}">
                <a16:creationId xmlns:a16="http://schemas.microsoft.com/office/drawing/2014/main" id="{00000000-0008-0000-1100-000021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34" name="Rectangle: Rounded Corners 19">
            <a:extLst>
              <a:ext uri="{FF2B5EF4-FFF2-40B4-BE49-F238E27FC236}">
                <a16:creationId xmlns:a16="http://schemas.microsoft.com/office/drawing/2014/main" id="{00000000-0008-0000-1100-000022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Rockwell Light" panose="02040303020102020203" pitchFamily="18" charset="0"/>
              </a:rPr>
              <a:t>Condense / Show Columns</a:t>
            </a: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167640</xdr:colOff>
      <xdr:row>4</xdr:row>
      <xdr:rowOff>121920</xdr:rowOff>
    </xdr:from>
    <xdr:to>
      <xdr:col>4</xdr:col>
      <xdr:colOff>541020</xdr:colOff>
      <xdr:row>8</xdr:row>
      <xdr:rowOff>108846</xdr:rowOff>
    </xdr:to>
    <xdr:grpSp>
      <xdr:nvGrpSpPr>
        <xdr:cNvPr id="47" name="Group 46">
          <a:extLst>
            <a:ext uri="{FF2B5EF4-FFF2-40B4-BE49-F238E27FC236}">
              <a16:creationId xmlns:a16="http://schemas.microsoft.com/office/drawing/2014/main" id="{00000000-0008-0000-1200-00002F000000}"/>
            </a:ext>
          </a:extLst>
        </xdr:cNvPr>
        <xdr:cNvGrpSpPr/>
      </xdr:nvGrpSpPr>
      <xdr:grpSpPr>
        <a:xfrm>
          <a:off x="167640" y="909320"/>
          <a:ext cx="6247130" cy="755276"/>
          <a:chOff x="205740" y="877124"/>
          <a:chExt cx="4701455" cy="771786"/>
        </a:xfrm>
        <a:solidFill>
          <a:schemeClr val="accent1"/>
        </a:solidFill>
      </xdr:grpSpPr>
      <xdr:sp macro="[0]!ToggleHideRows" textlink="">
        <xdr:nvSpPr>
          <xdr:cNvPr id="48" name="Rectangle: Rounded Corners 19">
            <a:extLst>
              <a:ext uri="{FF2B5EF4-FFF2-40B4-BE49-F238E27FC236}">
                <a16:creationId xmlns:a16="http://schemas.microsoft.com/office/drawing/2014/main" id="{00000000-0008-0000-1200-000030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Condense / Show Rows</a:t>
            </a:r>
          </a:p>
        </xdr:txBody>
      </xdr:sp>
      <xdr:sp macro="[0]!ActivateSelectWorksheet" textlink="">
        <xdr:nvSpPr>
          <xdr:cNvPr id="49" name="Rounded Rectangle 48">
            <a:extLst>
              <a:ext uri="{FF2B5EF4-FFF2-40B4-BE49-F238E27FC236}">
                <a16:creationId xmlns:a16="http://schemas.microsoft.com/office/drawing/2014/main" id="{00000000-0008-0000-1200-000031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rPr>
              <a:t>Main M</a:t>
            </a:r>
            <a:r>
              <a:rPr lang="en-GB" sz="1200">
                <a:solidFill>
                  <a:schemeClr val="bg1"/>
                </a:solidFill>
              </a:rPr>
              <a:t>enu </a:t>
            </a:r>
          </a:p>
        </xdr:txBody>
      </xdr:sp>
      <xdr:sp macro="[0]!ActivateInstructions" textlink="">
        <xdr:nvSpPr>
          <xdr:cNvPr id="50" name="Rounded Rectangle 49">
            <a:extLst>
              <a:ext uri="{FF2B5EF4-FFF2-40B4-BE49-F238E27FC236}">
                <a16:creationId xmlns:a16="http://schemas.microsoft.com/office/drawing/2014/main" id="{00000000-0008-0000-1200-000032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Instructions</a:t>
            </a:r>
          </a:p>
        </xdr:txBody>
      </xdr:sp>
      <xdr:sp macro="[0]!ToggleHideColumns" textlink="">
        <xdr:nvSpPr>
          <xdr:cNvPr id="51" name="Rectangle: Rounded Corners 19">
            <a:extLst>
              <a:ext uri="{FF2B5EF4-FFF2-40B4-BE49-F238E27FC236}">
                <a16:creationId xmlns:a16="http://schemas.microsoft.com/office/drawing/2014/main" id="{00000000-0008-0000-1200-000033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t>Condense / Show Columns</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47</xdr:row>
      <xdr:rowOff>95251</xdr:rowOff>
    </xdr:from>
    <xdr:to>
      <xdr:col>6</xdr:col>
      <xdr:colOff>552450</xdr:colOff>
      <xdr:row>56</xdr:row>
      <xdr:rowOff>533401</xdr:rowOff>
    </xdr:to>
    <xdr:sp macro="" textlink="">
      <xdr:nvSpPr>
        <xdr:cNvPr id="21" name="TextBox 20">
          <a:extLst>
            <a:ext uri="{FF2B5EF4-FFF2-40B4-BE49-F238E27FC236}">
              <a16:creationId xmlns:a16="http://schemas.microsoft.com/office/drawing/2014/main" id="{00000000-0008-0000-0100-000015000000}"/>
            </a:ext>
          </a:extLst>
        </xdr:cNvPr>
        <xdr:cNvSpPr txBox="1"/>
      </xdr:nvSpPr>
      <xdr:spPr>
        <a:xfrm>
          <a:off x="485775" y="10820401"/>
          <a:ext cx="4495800" cy="3752850"/>
        </a:xfrm>
        <a:prstGeom prst="rect">
          <a:avLst/>
        </a:prstGeom>
        <a:solidFill>
          <a:schemeClr val="bg2"/>
        </a:solidFill>
        <a:ln w="349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a:solidFill>
                <a:schemeClr val="accent1"/>
              </a:solidFill>
              <a:latin typeface="Rockwell Light" panose="02040303020102020203" pitchFamily="18" charset="0"/>
            </a:rPr>
            <a:t>Off-site baseline map</a:t>
          </a:r>
        </a:p>
      </xdr:txBody>
    </xdr:sp>
    <xdr:clientData/>
  </xdr:twoCellAnchor>
  <xdr:twoCellAnchor>
    <xdr:from>
      <xdr:col>7</xdr:col>
      <xdr:colOff>514350</xdr:colOff>
      <xdr:row>47</xdr:row>
      <xdr:rowOff>95250</xdr:rowOff>
    </xdr:from>
    <xdr:to>
      <xdr:col>14</xdr:col>
      <xdr:colOff>371475</xdr:colOff>
      <xdr:row>56</xdr:row>
      <xdr:rowOff>533400</xdr:rowOff>
    </xdr:to>
    <xdr:sp macro="" textlink="">
      <xdr:nvSpPr>
        <xdr:cNvPr id="22" name="TextBox 21">
          <a:extLst>
            <a:ext uri="{FF2B5EF4-FFF2-40B4-BE49-F238E27FC236}">
              <a16:creationId xmlns:a16="http://schemas.microsoft.com/office/drawing/2014/main" id="{00000000-0008-0000-0100-000016000000}"/>
            </a:ext>
          </a:extLst>
        </xdr:cNvPr>
        <xdr:cNvSpPr txBox="1"/>
      </xdr:nvSpPr>
      <xdr:spPr>
        <a:xfrm>
          <a:off x="5553075" y="10820400"/>
          <a:ext cx="4514850" cy="3752850"/>
        </a:xfrm>
        <a:prstGeom prst="rect">
          <a:avLst/>
        </a:prstGeom>
        <a:solidFill>
          <a:schemeClr val="bg2"/>
        </a:solidFill>
        <a:ln w="349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a:solidFill>
                <a:schemeClr val="accent1"/>
              </a:solidFill>
              <a:latin typeface="Rockwell Light" panose="02040303020102020203" pitchFamily="18" charset="0"/>
            </a:rPr>
            <a:t>Off-site</a:t>
          </a:r>
          <a:r>
            <a:rPr lang="en-GB" sz="2000" baseline="0">
              <a:solidFill>
                <a:schemeClr val="accent1"/>
              </a:solidFill>
              <a:latin typeface="Rockwell Light" panose="02040303020102020203" pitchFamily="18" charset="0"/>
            </a:rPr>
            <a:t> p</a:t>
          </a:r>
          <a:r>
            <a:rPr lang="en-GB" sz="2000">
              <a:solidFill>
                <a:schemeClr val="accent1"/>
              </a:solidFill>
              <a:latin typeface="Rockwell Light" panose="02040303020102020203" pitchFamily="18" charset="0"/>
            </a:rPr>
            <a:t>ost intervention map</a:t>
          </a:r>
        </a:p>
      </xdr:txBody>
    </xdr:sp>
    <xdr:clientData/>
  </xdr:twoCellAnchor>
  <xdr:twoCellAnchor>
    <xdr:from>
      <xdr:col>7</xdr:col>
      <xdr:colOff>514349</xdr:colOff>
      <xdr:row>27</xdr:row>
      <xdr:rowOff>161925</xdr:rowOff>
    </xdr:from>
    <xdr:to>
      <xdr:col>14</xdr:col>
      <xdr:colOff>361949</xdr:colOff>
      <xdr:row>45</xdr:row>
      <xdr:rowOff>161925</xdr:rowOff>
    </xdr:to>
    <xdr:sp macro="" textlink="">
      <xdr:nvSpPr>
        <xdr:cNvPr id="19" name="TextBox 18">
          <a:extLst>
            <a:ext uri="{FF2B5EF4-FFF2-40B4-BE49-F238E27FC236}">
              <a16:creationId xmlns:a16="http://schemas.microsoft.com/office/drawing/2014/main" id="{00000000-0008-0000-0100-000013000000}"/>
            </a:ext>
          </a:extLst>
        </xdr:cNvPr>
        <xdr:cNvSpPr txBox="1"/>
      </xdr:nvSpPr>
      <xdr:spPr>
        <a:xfrm>
          <a:off x="5553074" y="6724650"/>
          <a:ext cx="4505325" cy="3781425"/>
        </a:xfrm>
        <a:prstGeom prst="rect">
          <a:avLst/>
        </a:prstGeom>
        <a:solidFill>
          <a:schemeClr val="bg2"/>
        </a:solidFill>
        <a:ln w="349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a:solidFill>
                <a:schemeClr val="accent1"/>
              </a:solidFill>
              <a:latin typeface="Rockwell Light" panose="02040303020102020203" pitchFamily="18" charset="0"/>
            </a:rPr>
            <a:t>On-site</a:t>
          </a:r>
          <a:r>
            <a:rPr lang="en-GB" sz="2000" baseline="0">
              <a:solidFill>
                <a:schemeClr val="accent1"/>
              </a:solidFill>
              <a:latin typeface="Rockwell Light" panose="02040303020102020203" pitchFamily="18" charset="0"/>
            </a:rPr>
            <a:t> p</a:t>
          </a:r>
          <a:r>
            <a:rPr lang="en-GB" sz="2000">
              <a:solidFill>
                <a:schemeClr val="accent1"/>
              </a:solidFill>
              <a:latin typeface="Rockwell Light" panose="02040303020102020203" pitchFamily="18" charset="0"/>
            </a:rPr>
            <a:t>ost intervention</a:t>
          </a:r>
          <a:r>
            <a:rPr lang="en-GB" sz="2000" baseline="0">
              <a:solidFill>
                <a:schemeClr val="accent1"/>
              </a:solidFill>
              <a:latin typeface="Rockwell Light" panose="02040303020102020203" pitchFamily="18" charset="0"/>
            </a:rPr>
            <a:t> </a:t>
          </a:r>
          <a:r>
            <a:rPr lang="en-GB" sz="2000">
              <a:solidFill>
                <a:schemeClr val="accent1"/>
              </a:solidFill>
              <a:latin typeface="Rockwell Light" panose="02040303020102020203" pitchFamily="18" charset="0"/>
            </a:rPr>
            <a:t>map</a:t>
          </a:r>
        </a:p>
      </xdr:txBody>
    </xdr:sp>
    <xdr:clientData/>
  </xdr:twoCellAnchor>
  <xdr:twoCellAnchor>
    <xdr:from>
      <xdr:col>2</xdr:col>
      <xdr:colOff>190500</xdr:colOff>
      <xdr:row>27</xdr:row>
      <xdr:rowOff>161925</xdr:rowOff>
    </xdr:from>
    <xdr:to>
      <xdr:col>7</xdr:col>
      <xdr:colOff>9525</xdr:colOff>
      <xdr:row>45</xdr:row>
      <xdr:rowOff>161925</xdr:rowOff>
    </xdr:to>
    <xdr:sp macro="" textlink="">
      <xdr:nvSpPr>
        <xdr:cNvPr id="13" name="TextBox 12">
          <a:extLst>
            <a:ext uri="{FF2B5EF4-FFF2-40B4-BE49-F238E27FC236}">
              <a16:creationId xmlns:a16="http://schemas.microsoft.com/office/drawing/2014/main" id="{00000000-0008-0000-0100-00000D000000}"/>
            </a:ext>
          </a:extLst>
        </xdr:cNvPr>
        <xdr:cNvSpPr txBox="1"/>
      </xdr:nvSpPr>
      <xdr:spPr>
        <a:xfrm>
          <a:off x="476250" y="6724650"/>
          <a:ext cx="4572000" cy="3781425"/>
        </a:xfrm>
        <a:prstGeom prst="rect">
          <a:avLst/>
        </a:prstGeom>
        <a:solidFill>
          <a:schemeClr val="bg2"/>
        </a:solidFill>
        <a:ln w="349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a:solidFill>
                <a:schemeClr val="accent1"/>
              </a:solidFill>
              <a:latin typeface="Rockwell Light" panose="02040303020102020203" pitchFamily="18" charset="0"/>
            </a:rPr>
            <a:t>On-site baseline</a:t>
          </a:r>
          <a:r>
            <a:rPr lang="en-GB" sz="2000" baseline="0">
              <a:solidFill>
                <a:schemeClr val="accent1"/>
              </a:solidFill>
              <a:latin typeface="Rockwell Light" panose="02040303020102020203" pitchFamily="18" charset="0"/>
            </a:rPr>
            <a:t> map</a:t>
          </a:r>
          <a:endParaRPr lang="en-GB" sz="2000">
            <a:solidFill>
              <a:schemeClr val="accent1"/>
            </a:solidFill>
            <a:latin typeface="Rockwell Light" panose="02040303020102020203" pitchFamily="18" charset="0"/>
          </a:endParaRPr>
        </a:p>
      </xdr:txBody>
    </xdr:sp>
    <xdr:clientData/>
  </xdr:twoCellAnchor>
  <xdr:twoCellAnchor>
    <xdr:from>
      <xdr:col>12</xdr:col>
      <xdr:colOff>15239</xdr:colOff>
      <xdr:row>11</xdr:row>
      <xdr:rowOff>270509</xdr:rowOff>
    </xdr:from>
    <xdr:to>
      <xdr:col>16</xdr:col>
      <xdr:colOff>216944</xdr:colOff>
      <xdr:row>16</xdr:row>
      <xdr:rowOff>27509</xdr:rowOff>
    </xdr:to>
    <xdr:sp macro="[0]!ActivateSelectWorksheet" textlink="">
      <xdr:nvSpPr>
        <xdr:cNvPr id="4" name="TextBox 3">
          <a:extLst>
            <a:ext uri="{FF2B5EF4-FFF2-40B4-BE49-F238E27FC236}">
              <a16:creationId xmlns:a16="http://schemas.microsoft.com/office/drawing/2014/main" id="{00000000-0008-0000-0100-000004000000}"/>
            </a:ext>
          </a:extLst>
        </xdr:cNvPr>
        <xdr:cNvSpPr txBox="1"/>
      </xdr:nvSpPr>
      <xdr:spPr>
        <a:xfrm>
          <a:off x="9243059" y="3112769"/>
          <a:ext cx="1794285" cy="115908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baseline="0">
              <a:solidFill>
                <a:schemeClr val="bg1"/>
              </a:solidFill>
              <a:latin typeface="Rockwell Light" panose="02040303020102020203" pitchFamily="18" charset="0"/>
            </a:rPr>
            <a:t>Main menu </a:t>
          </a:r>
          <a:endParaRPr lang="en-GB" sz="1400" b="1">
            <a:solidFill>
              <a:schemeClr val="bg1"/>
            </a:solidFill>
            <a:latin typeface="Rockwell Light" panose="02040303020102020203" pitchFamily="18" charset="0"/>
          </a:endParaRPr>
        </a:p>
      </xdr:txBody>
    </xdr:sp>
    <xdr:clientData/>
  </xdr:twoCellAnchor>
  <xdr:twoCellAnchor>
    <xdr:from>
      <xdr:col>2</xdr:col>
      <xdr:colOff>85726</xdr:colOff>
      <xdr:row>0</xdr:row>
      <xdr:rowOff>114300</xdr:rowOff>
    </xdr:from>
    <xdr:to>
      <xdr:col>16</xdr:col>
      <xdr:colOff>266701</xdr:colOff>
      <xdr:row>6</xdr:row>
      <xdr:rowOff>76200</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371476" y="114300"/>
          <a:ext cx="10582275" cy="118110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The Biodiversity Metric 3.1 - Calculation Tool</a:t>
          </a:r>
        </a:p>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Start</a:t>
          </a:r>
          <a:r>
            <a:rPr lang="en-GB" sz="2800" b="0" i="0" u="none" strike="noStrike" baseline="0">
              <a:solidFill>
                <a:schemeClr val="accent1"/>
              </a:solidFill>
              <a:effectLst/>
              <a:latin typeface="Rockwell Light" panose="02040303020102020203" pitchFamily="18" charset="0"/>
              <a:ea typeface="Source Sans Pro" panose="020B0503030403020204" pitchFamily="34" charset="0"/>
              <a:cs typeface="+mn-cs"/>
            </a:rPr>
            <a:t> page</a:t>
          </a:r>
          <a:r>
            <a:rPr lang="en-GB" sz="2800" b="0">
              <a:solidFill>
                <a:schemeClr val="accent1"/>
              </a:solidFill>
              <a:latin typeface="Rockwell Light" panose="02040303020102020203" pitchFamily="18" charset="0"/>
              <a:ea typeface="Source Sans Pro" panose="020B0503030403020204" pitchFamily="34" charset="0"/>
            </a:rPr>
            <a:t> </a:t>
          </a:r>
        </a:p>
      </xdr:txBody>
    </xdr:sp>
    <xdr:clientData/>
  </xdr:twoCellAnchor>
  <xdr:twoCellAnchor>
    <xdr:from>
      <xdr:col>12</xdr:col>
      <xdr:colOff>38101</xdr:colOff>
      <xdr:row>7</xdr:row>
      <xdr:rowOff>295274</xdr:rowOff>
    </xdr:from>
    <xdr:to>
      <xdr:col>16</xdr:col>
      <xdr:colOff>239806</xdr:colOff>
      <xdr:row>11</xdr:row>
      <xdr:rowOff>96089</xdr:rowOff>
    </xdr:to>
    <xdr:sp macro="[0]!ActivateInstructions" textlink="">
      <xdr:nvSpPr>
        <xdr:cNvPr id="8" name="Rounded Rectangle 7">
          <a:extLst>
            <a:ext uri="{FF2B5EF4-FFF2-40B4-BE49-F238E27FC236}">
              <a16:creationId xmlns:a16="http://schemas.microsoft.com/office/drawing/2014/main" id="{00000000-0008-0000-0100-000008000000}"/>
            </a:ext>
          </a:extLst>
        </xdr:cNvPr>
        <xdr:cNvSpPr/>
      </xdr:nvSpPr>
      <xdr:spPr>
        <a:xfrm>
          <a:off x="9265921" y="1712594"/>
          <a:ext cx="1794285" cy="997155"/>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Instructions</a:t>
          </a:r>
        </a:p>
      </xdr:txBody>
    </xdr:sp>
    <xdr:clientData/>
  </xdr:twoCellAnchor>
  <xdr:twoCellAnchor>
    <xdr:from>
      <xdr:col>12</xdr:col>
      <xdr:colOff>40004</xdr:colOff>
      <xdr:row>16</xdr:row>
      <xdr:rowOff>222885</xdr:rowOff>
    </xdr:from>
    <xdr:to>
      <xdr:col>16</xdr:col>
      <xdr:colOff>241709</xdr:colOff>
      <xdr:row>20</xdr:row>
      <xdr:rowOff>195150</xdr:rowOff>
    </xdr:to>
    <xdr:sp macro="[0]!ActivateResults" textlink="">
      <xdr:nvSpPr>
        <xdr:cNvPr id="9" name="Rounded Rectangle 8">
          <a:extLst>
            <a:ext uri="{FF2B5EF4-FFF2-40B4-BE49-F238E27FC236}">
              <a16:creationId xmlns:a16="http://schemas.microsoft.com/office/drawing/2014/main" id="{00000000-0008-0000-0100-000009000000}"/>
            </a:ext>
          </a:extLst>
        </xdr:cNvPr>
        <xdr:cNvSpPr/>
      </xdr:nvSpPr>
      <xdr:spPr>
        <a:xfrm>
          <a:off x="9269729" y="4261485"/>
          <a:ext cx="1801905" cy="1039065"/>
        </a:xfrm>
        <a:prstGeom prst="roundRect">
          <a:avLst/>
        </a:prstGeom>
        <a:solidFill>
          <a:schemeClr val="accent3"/>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accent1"/>
              </a:solidFill>
              <a:latin typeface="Rockwell Light" panose="02040303020102020203" pitchFamily="18" charset="0"/>
            </a:rPr>
            <a:t>Results</a:t>
          </a:r>
        </a:p>
      </xdr:txBody>
    </xdr:sp>
    <xdr:clientData/>
  </xdr:twoCellAnchor>
  <xdr:twoCellAnchor>
    <xdr:from>
      <xdr:col>12</xdr:col>
      <xdr:colOff>55247</xdr:colOff>
      <xdr:row>25</xdr:row>
      <xdr:rowOff>43816</xdr:rowOff>
    </xdr:from>
    <xdr:to>
      <xdr:col>16</xdr:col>
      <xdr:colOff>200025</xdr:colOff>
      <xdr:row>27</xdr:row>
      <xdr:rowOff>0</xdr:rowOff>
    </xdr:to>
    <xdr:sp macro="[0]!HideSheetReset1" textlink="">
      <xdr:nvSpPr>
        <xdr:cNvPr id="14" name="Rounded Rectangle 13">
          <a:extLst>
            <a:ext uri="{FF2B5EF4-FFF2-40B4-BE49-F238E27FC236}">
              <a16:creationId xmlns:a16="http://schemas.microsoft.com/office/drawing/2014/main" id="{00000000-0008-0000-0100-00000E000000}"/>
            </a:ext>
          </a:extLst>
        </xdr:cNvPr>
        <xdr:cNvSpPr/>
      </xdr:nvSpPr>
      <xdr:spPr>
        <a:xfrm>
          <a:off x="9284972" y="5987416"/>
          <a:ext cx="1744978" cy="375284"/>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Reset</a:t>
          </a:r>
          <a:r>
            <a:rPr lang="en-GB" sz="1400" b="1" baseline="0">
              <a:solidFill>
                <a:schemeClr val="bg1"/>
              </a:solidFill>
              <a:latin typeface="Rockwell Light" panose="02040303020102020203" pitchFamily="18" charset="0"/>
            </a:rPr>
            <a:t> view</a:t>
          </a:r>
          <a:endParaRPr lang="en-GB" sz="1400" b="1">
            <a:solidFill>
              <a:schemeClr val="bg1"/>
            </a:solidFill>
            <a:latin typeface="Rockwell Light" panose="02040303020102020203" pitchFamily="18" charset="0"/>
          </a:endParaRPr>
        </a:p>
      </xdr:txBody>
    </xdr:sp>
    <xdr:clientData/>
  </xdr:twoCellAnchor>
  <xdr:twoCellAnchor>
    <xdr:from>
      <xdr:col>12</xdr:col>
      <xdr:colOff>66675</xdr:colOff>
      <xdr:row>22</xdr:row>
      <xdr:rowOff>163830</xdr:rowOff>
    </xdr:from>
    <xdr:to>
      <xdr:col>16</xdr:col>
      <xdr:colOff>180974</xdr:colOff>
      <xdr:row>24</xdr:row>
      <xdr:rowOff>123825</xdr:rowOff>
    </xdr:to>
    <xdr:sp macro="[0]!UnhideSheetviewall" textlink="">
      <xdr:nvSpPr>
        <xdr:cNvPr id="11" name="Rounded Rectangle 10">
          <a:extLst>
            <a:ext uri="{FF2B5EF4-FFF2-40B4-BE49-F238E27FC236}">
              <a16:creationId xmlns:a16="http://schemas.microsoft.com/office/drawing/2014/main" id="{00000000-0008-0000-0100-00000B000000}"/>
            </a:ext>
          </a:extLst>
        </xdr:cNvPr>
        <xdr:cNvSpPr/>
      </xdr:nvSpPr>
      <xdr:spPr>
        <a:xfrm>
          <a:off x="9296400" y="5478780"/>
          <a:ext cx="1714499" cy="379095"/>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baseline="0">
              <a:solidFill>
                <a:schemeClr val="bg1"/>
              </a:solidFill>
              <a:latin typeface="Rockwell Light" panose="02040303020102020203" pitchFamily="18" charset="0"/>
            </a:rPr>
            <a:t>View all</a:t>
          </a:r>
          <a:endParaRPr lang="en-GB" sz="1400" b="1">
            <a:solidFill>
              <a:schemeClr val="bg1"/>
            </a:solidFill>
            <a:latin typeface="Rockwell Light" panose="02040303020102020203" pitchFamily="18" charset="0"/>
          </a:endParaRPr>
        </a:p>
      </xdr:txBody>
    </xdr:sp>
    <xdr:clientData/>
  </xdr:twoCellAnchor>
  <xdr:twoCellAnchor>
    <xdr:from>
      <xdr:col>5</xdr:col>
      <xdr:colOff>647700</xdr:colOff>
      <xdr:row>28</xdr:row>
      <xdr:rowOff>57149</xdr:rowOff>
    </xdr:from>
    <xdr:to>
      <xdr:col>6</xdr:col>
      <xdr:colOff>476250</xdr:colOff>
      <xdr:row>29</xdr:row>
      <xdr:rowOff>142875</xdr:rowOff>
    </xdr:to>
    <xdr:sp macro="[0]!InsertPicUsingShapeAddPictureFunctionB" textlink="">
      <xdr:nvSpPr>
        <xdr:cNvPr id="10" name="Rounded Rectangle 13">
          <a:extLst>
            <a:ext uri="{FF2B5EF4-FFF2-40B4-BE49-F238E27FC236}">
              <a16:creationId xmlns:a16="http://schemas.microsoft.com/office/drawing/2014/main" id="{00000000-0008-0000-0100-00000A000000}"/>
            </a:ext>
          </a:extLst>
        </xdr:cNvPr>
        <xdr:cNvSpPr/>
      </xdr:nvSpPr>
      <xdr:spPr>
        <a:xfrm>
          <a:off x="4095750" y="6829424"/>
          <a:ext cx="809625" cy="390526"/>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Insert</a:t>
          </a:r>
        </a:p>
      </xdr:txBody>
    </xdr:sp>
    <xdr:clientData/>
  </xdr:twoCellAnchor>
  <xdr:twoCellAnchor>
    <xdr:from>
      <xdr:col>12</xdr:col>
      <xdr:colOff>28575</xdr:colOff>
      <xdr:row>28</xdr:row>
      <xdr:rowOff>38100</xdr:rowOff>
    </xdr:from>
    <xdr:to>
      <xdr:col>14</xdr:col>
      <xdr:colOff>238125</xdr:colOff>
      <xdr:row>29</xdr:row>
      <xdr:rowOff>133350</xdr:rowOff>
    </xdr:to>
    <xdr:sp macro="[0]!InsertPicUsingShapeAddPictureFunctionPD" textlink="">
      <xdr:nvSpPr>
        <xdr:cNvPr id="12" name="Rounded Rectangle 13">
          <a:extLst>
            <a:ext uri="{FF2B5EF4-FFF2-40B4-BE49-F238E27FC236}">
              <a16:creationId xmlns:a16="http://schemas.microsoft.com/office/drawing/2014/main" id="{00000000-0008-0000-0100-00000C000000}"/>
            </a:ext>
          </a:extLst>
        </xdr:cNvPr>
        <xdr:cNvSpPr/>
      </xdr:nvSpPr>
      <xdr:spPr>
        <a:xfrm>
          <a:off x="9163050" y="6810375"/>
          <a:ext cx="771525" cy="40005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Insert </a:t>
          </a:r>
        </a:p>
      </xdr:txBody>
    </xdr:sp>
    <xdr:clientData/>
  </xdr:twoCellAnchor>
  <xdr:twoCellAnchor>
    <xdr:from>
      <xdr:col>5</xdr:col>
      <xdr:colOff>619125</xdr:colOff>
      <xdr:row>47</xdr:row>
      <xdr:rowOff>180974</xdr:rowOff>
    </xdr:from>
    <xdr:to>
      <xdr:col>6</xdr:col>
      <xdr:colOff>447675</xdr:colOff>
      <xdr:row>50</xdr:row>
      <xdr:rowOff>28575</xdr:rowOff>
    </xdr:to>
    <xdr:sp macro="[0]!InsertPicUsingShapeAddPictureFunctionBOS" textlink="">
      <xdr:nvSpPr>
        <xdr:cNvPr id="23" name="Rounded Rectangle 13">
          <a:extLst>
            <a:ext uri="{FF2B5EF4-FFF2-40B4-BE49-F238E27FC236}">
              <a16:creationId xmlns:a16="http://schemas.microsoft.com/office/drawing/2014/main" id="{00000000-0008-0000-0100-000017000000}"/>
            </a:ext>
          </a:extLst>
        </xdr:cNvPr>
        <xdr:cNvSpPr/>
      </xdr:nvSpPr>
      <xdr:spPr>
        <a:xfrm>
          <a:off x="4067175" y="10906124"/>
          <a:ext cx="809625" cy="390526"/>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Insert</a:t>
          </a:r>
        </a:p>
      </xdr:txBody>
    </xdr:sp>
    <xdr:clientData/>
  </xdr:twoCellAnchor>
  <xdr:twoCellAnchor>
    <xdr:from>
      <xdr:col>11</xdr:col>
      <xdr:colOff>76200</xdr:colOff>
      <xdr:row>47</xdr:row>
      <xdr:rowOff>180974</xdr:rowOff>
    </xdr:from>
    <xdr:to>
      <xdr:col>14</xdr:col>
      <xdr:colOff>219075</xdr:colOff>
      <xdr:row>50</xdr:row>
      <xdr:rowOff>28575</xdr:rowOff>
    </xdr:to>
    <xdr:sp macro="[0]!InsertPicUsingShapeAddPictureFunctionPDOS" textlink="">
      <xdr:nvSpPr>
        <xdr:cNvPr id="34" name="Rounded Rectangle 13">
          <a:extLst>
            <a:ext uri="{FF2B5EF4-FFF2-40B4-BE49-F238E27FC236}">
              <a16:creationId xmlns:a16="http://schemas.microsoft.com/office/drawing/2014/main" id="{00000000-0008-0000-0100-000022000000}"/>
            </a:ext>
          </a:extLst>
        </xdr:cNvPr>
        <xdr:cNvSpPr/>
      </xdr:nvSpPr>
      <xdr:spPr>
        <a:xfrm>
          <a:off x="9105900" y="10906124"/>
          <a:ext cx="809625" cy="390526"/>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Insert</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22860</xdr:colOff>
      <xdr:row>4</xdr:row>
      <xdr:rowOff>114300</xdr:rowOff>
    </xdr:from>
    <xdr:to>
      <xdr:col>2</xdr:col>
      <xdr:colOff>3550920</xdr:colOff>
      <xdr:row>7</xdr:row>
      <xdr:rowOff>146946</xdr:rowOff>
    </xdr:to>
    <xdr:grpSp>
      <xdr:nvGrpSpPr>
        <xdr:cNvPr id="59" name="Group 58">
          <a:extLst>
            <a:ext uri="{FF2B5EF4-FFF2-40B4-BE49-F238E27FC236}">
              <a16:creationId xmlns:a16="http://schemas.microsoft.com/office/drawing/2014/main" id="{00000000-0008-0000-1300-00003B000000}"/>
            </a:ext>
          </a:extLst>
        </xdr:cNvPr>
        <xdr:cNvGrpSpPr/>
      </xdr:nvGrpSpPr>
      <xdr:grpSpPr>
        <a:xfrm>
          <a:off x="219710" y="996950"/>
          <a:ext cx="4296410" cy="762896"/>
          <a:chOff x="205740" y="877124"/>
          <a:chExt cx="4701455" cy="771786"/>
        </a:xfrm>
      </xdr:grpSpPr>
      <xdr:sp macro="[0]!ToggleHideRows" textlink="">
        <xdr:nvSpPr>
          <xdr:cNvPr id="60" name="Rectangle: Rounded Corners 19">
            <a:extLst>
              <a:ext uri="{FF2B5EF4-FFF2-40B4-BE49-F238E27FC236}">
                <a16:creationId xmlns:a16="http://schemas.microsoft.com/office/drawing/2014/main" id="{00000000-0008-0000-1300-00003C000000}"/>
              </a:ext>
            </a:extLst>
          </xdr:cNvPr>
          <xdr:cNvSpPr/>
        </xdr:nvSpPr>
        <xdr:spPr>
          <a:xfrm>
            <a:off x="2620817" y="883920"/>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Rockwell Light" panose="02040303020102020203" pitchFamily="18" charset="0"/>
              </a:rPr>
              <a:t>Condense / Show Rows</a:t>
            </a:r>
          </a:p>
        </xdr:txBody>
      </xdr:sp>
      <xdr:sp macro="[0]!ActivateSelectWorksheet" textlink="">
        <xdr:nvSpPr>
          <xdr:cNvPr id="61" name="Rounded Rectangle 60">
            <a:extLst>
              <a:ext uri="{FF2B5EF4-FFF2-40B4-BE49-F238E27FC236}">
                <a16:creationId xmlns:a16="http://schemas.microsoft.com/office/drawing/2014/main" id="{00000000-0008-0000-1300-00003D000000}"/>
              </a:ext>
            </a:extLst>
          </xdr:cNvPr>
          <xdr:cNvSpPr/>
        </xdr:nvSpPr>
        <xdr:spPr>
          <a:xfrm>
            <a:off x="205740" y="1347548"/>
            <a:ext cx="2286000" cy="288000"/>
          </a:xfrm>
          <a:prstGeom prst="roundRect">
            <a:avLst/>
          </a:prstGeom>
          <a:solidFill>
            <a:schemeClr val="accent1">
              <a:lumMod val="75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62" name="Rounded Rectangle 61">
            <a:extLst>
              <a:ext uri="{FF2B5EF4-FFF2-40B4-BE49-F238E27FC236}">
                <a16:creationId xmlns:a16="http://schemas.microsoft.com/office/drawing/2014/main" id="{00000000-0008-0000-1300-00003E000000}"/>
              </a:ext>
            </a:extLst>
          </xdr:cNvPr>
          <xdr:cNvSpPr/>
        </xdr:nvSpPr>
        <xdr:spPr>
          <a:xfrm>
            <a:off x="2621195" y="1360910"/>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63" name="Rectangle: Rounded Corners 19">
            <a:extLst>
              <a:ext uri="{FF2B5EF4-FFF2-40B4-BE49-F238E27FC236}">
                <a16:creationId xmlns:a16="http://schemas.microsoft.com/office/drawing/2014/main" id="{00000000-0008-0000-1300-00003F000000}"/>
              </a:ext>
            </a:extLst>
          </xdr:cNvPr>
          <xdr:cNvSpPr/>
        </xdr:nvSpPr>
        <xdr:spPr>
          <a:xfrm>
            <a:off x="206819" y="877124"/>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Rockwell Light" panose="02040303020102020203" pitchFamily="18" charset="0"/>
              </a:rPr>
              <a:t>Condense / Show Columns</a:t>
            </a: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190501</xdr:colOff>
      <xdr:row>4</xdr:row>
      <xdr:rowOff>102177</xdr:rowOff>
    </xdr:from>
    <xdr:to>
      <xdr:col>4</xdr:col>
      <xdr:colOff>7793</xdr:colOff>
      <xdr:row>6</xdr:row>
      <xdr:rowOff>432350</xdr:rowOff>
    </xdr:to>
    <xdr:grpSp>
      <xdr:nvGrpSpPr>
        <xdr:cNvPr id="79" name="Group 78">
          <a:extLst>
            <a:ext uri="{FF2B5EF4-FFF2-40B4-BE49-F238E27FC236}">
              <a16:creationId xmlns:a16="http://schemas.microsoft.com/office/drawing/2014/main" id="{00000000-0008-0000-1400-00004F000000}"/>
            </a:ext>
          </a:extLst>
        </xdr:cNvPr>
        <xdr:cNvGrpSpPr/>
      </xdr:nvGrpSpPr>
      <xdr:grpSpPr>
        <a:xfrm>
          <a:off x="190501" y="946727"/>
          <a:ext cx="4986192" cy="768323"/>
          <a:chOff x="205740" y="877124"/>
          <a:chExt cx="4701455" cy="771786"/>
        </a:xfrm>
        <a:solidFill>
          <a:schemeClr val="accent1"/>
        </a:solidFill>
      </xdr:grpSpPr>
      <xdr:sp macro="[0]!ToggleHideRows" textlink="">
        <xdr:nvSpPr>
          <xdr:cNvPr id="80" name="Rectangle: Rounded Corners 19">
            <a:extLst>
              <a:ext uri="{FF2B5EF4-FFF2-40B4-BE49-F238E27FC236}">
                <a16:creationId xmlns:a16="http://schemas.microsoft.com/office/drawing/2014/main" id="{00000000-0008-0000-1400-000050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Rockwell Light" panose="02040303020102020203" pitchFamily="18" charset="0"/>
              </a:rPr>
              <a:t>Condense / Show Rows</a:t>
            </a:r>
          </a:p>
        </xdr:txBody>
      </xdr:sp>
      <xdr:sp macro="[0]!ActivateSelectWorksheet" textlink="">
        <xdr:nvSpPr>
          <xdr:cNvPr id="81" name="Rounded Rectangle 80">
            <a:extLst>
              <a:ext uri="{FF2B5EF4-FFF2-40B4-BE49-F238E27FC236}">
                <a16:creationId xmlns:a16="http://schemas.microsoft.com/office/drawing/2014/main" id="{00000000-0008-0000-1400-000051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82" name="Rounded Rectangle 81">
            <a:extLst>
              <a:ext uri="{FF2B5EF4-FFF2-40B4-BE49-F238E27FC236}">
                <a16:creationId xmlns:a16="http://schemas.microsoft.com/office/drawing/2014/main" id="{00000000-0008-0000-1400-000052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83" name="Rectangle: Rounded Corners 19">
            <a:extLst>
              <a:ext uri="{FF2B5EF4-FFF2-40B4-BE49-F238E27FC236}">
                <a16:creationId xmlns:a16="http://schemas.microsoft.com/office/drawing/2014/main" id="{00000000-0008-0000-1400-000053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Rockwell Light" panose="02040303020102020203" pitchFamily="18" charset="0"/>
              </a:rPr>
              <a:t>Condense / Show Columns</a:t>
            </a:r>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83820</xdr:rowOff>
    </xdr:from>
    <xdr:to>
      <xdr:col>4</xdr:col>
      <xdr:colOff>998220</xdr:colOff>
      <xdr:row>8</xdr:row>
      <xdr:rowOff>78366</xdr:rowOff>
    </xdr:to>
    <xdr:grpSp>
      <xdr:nvGrpSpPr>
        <xdr:cNvPr id="96" name="Group 95">
          <a:extLst>
            <a:ext uri="{FF2B5EF4-FFF2-40B4-BE49-F238E27FC236}">
              <a16:creationId xmlns:a16="http://schemas.microsoft.com/office/drawing/2014/main" id="{00000000-0008-0000-1500-000060000000}"/>
            </a:ext>
          </a:extLst>
        </xdr:cNvPr>
        <xdr:cNvGrpSpPr/>
      </xdr:nvGrpSpPr>
      <xdr:grpSpPr>
        <a:xfrm>
          <a:off x="196850" y="782320"/>
          <a:ext cx="5309870" cy="775596"/>
          <a:chOff x="205740" y="877124"/>
          <a:chExt cx="4701455" cy="771786"/>
        </a:xfrm>
        <a:solidFill>
          <a:schemeClr val="accent1"/>
        </a:solidFill>
      </xdr:grpSpPr>
      <xdr:sp macro="[0]!ToggleHideRows" textlink="">
        <xdr:nvSpPr>
          <xdr:cNvPr id="97" name="Rectangle: Rounded Corners 19">
            <a:extLst>
              <a:ext uri="{FF2B5EF4-FFF2-40B4-BE49-F238E27FC236}">
                <a16:creationId xmlns:a16="http://schemas.microsoft.com/office/drawing/2014/main" id="{00000000-0008-0000-1500-000061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Rockwell Light" panose="02040303020102020203" pitchFamily="18" charset="0"/>
              </a:rPr>
              <a:t>Condense / Show Rows</a:t>
            </a:r>
          </a:p>
        </xdr:txBody>
      </xdr:sp>
      <xdr:sp macro="[0]!ActivateSelectWorksheet" textlink="">
        <xdr:nvSpPr>
          <xdr:cNvPr id="98" name="Rounded Rectangle 97">
            <a:extLst>
              <a:ext uri="{FF2B5EF4-FFF2-40B4-BE49-F238E27FC236}">
                <a16:creationId xmlns:a16="http://schemas.microsoft.com/office/drawing/2014/main" id="{00000000-0008-0000-1500-000062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99" name="Rounded Rectangle 98">
            <a:extLst>
              <a:ext uri="{FF2B5EF4-FFF2-40B4-BE49-F238E27FC236}">
                <a16:creationId xmlns:a16="http://schemas.microsoft.com/office/drawing/2014/main" id="{00000000-0008-0000-1500-000063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00" name="Rectangle: Rounded Corners 19">
            <a:extLst>
              <a:ext uri="{FF2B5EF4-FFF2-40B4-BE49-F238E27FC236}">
                <a16:creationId xmlns:a16="http://schemas.microsoft.com/office/drawing/2014/main" id="{00000000-0008-0000-1500-000064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Rockwell Light" panose="02040303020102020203" pitchFamily="18" charset="0"/>
              </a:rPr>
              <a:t>Condense / Show Columns</a:t>
            </a:r>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25121</xdr:colOff>
      <xdr:row>4</xdr:row>
      <xdr:rowOff>100484</xdr:rowOff>
    </xdr:from>
    <xdr:to>
      <xdr:col>4</xdr:col>
      <xdr:colOff>1029956</xdr:colOff>
      <xdr:row>8</xdr:row>
      <xdr:rowOff>85149</xdr:rowOff>
    </xdr:to>
    <xdr:grpSp>
      <xdr:nvGrpSpPr>
        <xdr:cNvPr id="38" name="Group 37">
          <a:extLst>
            <a:ext uri="{FF2B5EF4-FFF2-40B4-BE49-F238E27FC236}">
              <a16:creationId xmlns:a16="http://schemas.microsoft.com/office/drawing/2014/main" id="{00000000-0008-0000-1600-000026000000}"/>
            </a:ext>
          </a:extLst>
        </xdr:cNvPr>
        <xdr:cNvGrpSpPr/>
      </xdr:nvGrpSpPr>
      <xdr:grpSpPr>
        <a:xfrm>
          <a:off x="221971" y="1199034"/>
          <a:ext cx="3848379" cy="746665"/>
          <a:chOff x="205740" y="877124"/>
          <a:chExt cx="4701455" cy="771786"/>
        </a:xfrm>
        <a:solidFill>
          <a:schemeClr val="accent1"/>
        </a:solidFill>
      </xdr:grpSpPr>
      <xdr:sp macro="[0]!ToggleHideRows" textlink="">
        <xdr:nvSpPr>
          <xdr:cNvPr id="39" name="Rectangle: Rounded Corners 19">
            <a:extLst>
              <a:ext uri="{FF2B5EF4-FFF2-40B4-BE49-F238E27FC236}">
                <a16:creationId xmlns:a16="http://schemas.microsoft.com/office/drawing/2014/main" id="{00000000-0008-0000-1600-000027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Rockwell Light" panose="02040303020102020203" pitchFamily="18" charset="0"/>
              </a:rPr>
              <a:t>Condense / Show Rows</a:t>
            </a:r>
          </a:p>
        </xdr:txBody>
      </xdr:sp>
      <xdr:sp macro="[0]!ActivateSelectWorksheet" textlink="">
        <xdr:nvSpPr>
          <xdr:cNvPr id="40" name="Rounded Rectangle 39">
            <a:extLst>
              <a:ext uri="{FF2B5EF4-FFF2-40B4-BE49-F238E27FC236}">
                <a16:creationId xmlns:a16="http://schemas.microsoft.com/office/drawing/2014/main" id="{00000000-0008-0000-1600-000028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41" name="Rounded Rectangle 40">
            <a:extLst>
              <a:ext uri="{FF2B5EF4-FFF2-40B4-BE49-F238E27FC236}">
                <a16:creationId xmlns:a16="http://schemas.microsoft.com/office/drawing/2014/main" id="{00000000-0008-0000-1600-000029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2" name="Rectangle: Rounded Corners 19">
            <a:extLst>
              <a:ext uri="{FF2B5EF4-FFF2-40B4-BE49-F238E27FC236}">
                <a16:creationId xmlns:a16="http://schemas.microsoft.com/office/drawing/2014/main" id="{00000000-0008-0000-1600-00002A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Rockwell Light" panose="02040303020102020203" pitchFamily="18" charset="0"/>
              </a:rPr>
              <a:t>Condense / Show Columns</a:t>
            </a:r>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33865</xdr:colOff>
      <xdr:row>4</xdr:row>
      <xdr:rowOff>101599</xdr:rowOff>
    </xdr:from>
    <xdr:to>
      <xdr:col>4</xdr:col>
      <xdr:colOff>465665</xdr:colOff>
      <xdr:row>6</xdr:row>
      <xdr:rowOff>18252</xdr:rowOff>
    </xdr:to>
    <xdr:grpSp>
      <xdr:nvGrpSpPr>
        <xdr:cNvPr id="152" name="Group 151">
          <a:extLst>
            <a:ext uri="{FF2B5EF4-FFF2-40B4-BE49-F238E27FC236}">
              <a16:creationId xmlns:a16="http://schemas.microsoft.com/office/drawing/2014/main" id="{00000000-0008-0000-1700-000098000000}"/>
            </a:ext>
          </a:extLst>
        </xdr:cNvPr>
        <xdr:cNvGrpSpPr/>
      </xdr:nvGrpSpPr>
      <xdr:grpSpPr>
        <a:xfrm>
          <a:off x="243415" y="888999"/>
          <a:ext cx="5302250" cy="767553"/>
          <a:chOff x="205740" y="877124"/>
          <a:chExt cx="4701455" cy="771786"/>
        </a:xfrm>
        <a:solidFill>
          <a:schemeClr val="accent1"/>
        </a:solidFill>
      </xdr:grpSpPr>
      <xdr:sp macro="[0]!ToggleHideRows" textlink="">
        <xdr:nvSpPr>
          <xdr:cNvPr id="153" name="Rectangle: Rounded Corners 19">
            <a:extLst>
              <a:ext uri="{FF2B5EF4-FFF2-40B4-BE49-F238E27FC236}">
                <a16:creationId xmlns:a16="http://schemas.microsoft.com/office/drawing/2014/main" id="{00000000-0008-0000-1700-000099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Rockwell Light" panose="02040303020102020203" pitchFamily="18" charset="0"/>
              </a:rPr>
              <a:t>Condense / Show Rows</a:t>
            </a:r>
          </a:p>
        </xdr:txBody>
      </xdr:sp>
      <xdr:sp macro="[0]!ActivateSelectWorksheet" textlink="">
        <xdr:nvSpPr>
          <xdr:cNvPr id="154" name="Rounded Rectangle 153">
            <a:extLst>
              <a:ext uri="{FF2B5EF4-FFF2-40B4-BE49-F238E27FC236}">
                <a16:creationId xmlns:a16="http://schemas.microsoft.com/office/drawing/2014/main" id="{00000000-0008-0000-1700-00009A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rPr>
              <a:t>Main M</a:t>
            </a:r>
            <a:r>
              <a:rPr lang="en-GB" sz="1200">
                <a:solidFill>
                  <a:schemeClr val="bg1"/>
                </a:solidFill>
              </a:rPr>
              <a:t>enu </a:t>
            </a:r>
          </a:p>
        </xdr:txBody>
      </xdr:sp>
      <xdr:sp macro="[0]!ActivateInstructions" textlink="">
        <xdr:nvSpPr>
          <xdr:cNvPr id="155" name="Rounded Rectangle 154">
            <a:extLst>
              <a:ext uri="{FF2B5EF4-FFF2-40B4-BE49-F238E27FC236}">
                <a16:creationId xmlns:a16="http://schemas.microsoft.com/office/drawing/2014/main" id="{00000000-0008-0000-1700-00009B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56" name="Rectangle: Rounded Corners 19">
            <a:extLst>
              <a:ext uri="{FF2B5EF4-FFF2-40B4-BE49-F238E27FC236}">
                <a16:creationId xmlns:a16="http://schemas.microsoft.com/office/drawing/2014/main" id="{00000000-0008-0000-1700-00009C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Rockwell Light" panose="02040303020102020203" pitchFamily="18" charset="0"/>
              </a:rPr>
              <a:t>Condense / Show Columns</a:t>
            </a:r>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152401</xdr:colOff>
      <xdr:row>4</xdr:row>
      <xdr:rowOff>152400</xdr:rowOff>
    </xdr:from>
    <xdr:to>
      <xdr:col>4</xdr:col>
      <xdr:colOff>30481</xdr:colOff>
      <xdr:row>7</xdr:row>
      <xdr:rowOff>116466</xdr:rowOff>
    </xdr:to>
    <xdr:grpSp>
      <xdr:nvGrpSpPr>
        <xdr:cNvPr id="64" name="Group 63">
          <a:extLst>
            <a:ext uri="{FF2B5EF4-FFF2-40B4-BE49-F238E27FC236}">
              <a16:creationId xmlns:a16="http://schemas.microsoft.com/office/drawing/2014/main" id="{00000000-0008-0000-1800-000040000000}"/>
            </a:ext>
          </a:extLst>
        </xdr:cNvPr>
        <xdr:cNvGrpSpPr/>
      </xdr:nvGrpSpPr>
      <xdr:grpSpPr>
        <a:xfrm>
          <a:off x="152401" y="889000"/>
          <a:ext cx="4850130" cy="770516"/>
          <a:chOff x="205740" y="877124"/>
          <a:chExt cx="4701455" cy="771786"/>
        </a:xfrm>
      </xdr:grpSpPr>
      <xdr:sp macro="[0]!ToggleHideRows" textlink="">
        <xdr:nvSpPr>
          <xdr:cNvPr id="65" name="Rectangle: Rounded Corners 19">
            <a:extLst>
              <a:ext uri="{FF2B5EF4-FFF2-40B4-BE49-F238E27FC236}">
                <a16:creationId xmlns:a16="http://schemas.microsoft.com/office/drawing/2014/main" id="{00000000-0008-0000-1800-000041000000}"/>
              </a:ext>
            </a:extLst>
          </xdr:cNvPr>
          <xdr:cNvSpPr/>
        </xdr:nvSpPr>
        <xdr:spPr>
          <a:xfrm>
            <a:off x="2620817" y="883920"/>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Rockwell Light" panose="02040303020102020203" pitchFamily="18" charset="0"/>
              </a:rPr>
              <a:t>Condense / Show Rows</a:t>
            </a:r>
          </a:p>
        </xdr:txBody>
      </xdr:sp>
      <xdr:sp macro="[0]!ActivateSelectWorksheet" textlink="">
        <xdr:nvSpPr>
          <xdr:cNvPr id="66" name="Rounded Rectangle 65">
            <a:extLst>
              <a:ext uri="{FF2B5EF4-FFF2-40B4-BE49-F238E27FC236}">
                <a16:creationId xmlns:a16="http://schemas.microsoft.com/office/drawing/2014/main" id="{00000000-0008-0000-1800-000042000000}"/>
              </a:ext>
            </a:extLst>
          </xdr:cNvPr>
          <xdr:cNvSpPr/>
        </xdr:nvSpPr>
        <xdr:spPr>
          <a:xfrm>
            <a:off x="205740" y="1347548"/>
            <a:ext cx="2286000" cy="288000"/>
          </a:xfrm>
          <a:prstGeom prst="roundRect">
            <a:avLst/>
          </a:prstGeom>
          <a:solidFill>
            <a:schemeClr val="accent1">
              <a:lumMod val="75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67" name="Rounded Rectangle 66">
            <a:extLst>
              <a:ext uri="{FF2B5EF4-FFF2-40B4-BE49-F238E27FC236}">
                <a16:creationId xmlns:a16="http://schemas.microsoft.com/office/drawing/2014/main" id="{00000000-0008-0000-1800-000043000000}"/>
              </a:ext>
            </a:extLst>
          </xdr:cNvPr>
          <xdr:cNvSpPr/>
        </xdr:nvSpPr>
        <xdr:spPr>
          <a:xfrm>
            <a:off x="2621195" y="1360910"/>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68" name="Rectangle: Rounded Corners 19">
            <a:extLst>
              <a:ext uri="{FF2B5EF4-FFF2-40B4-BE49-F238E27FC236}">
                <a16:creationId xmlns:a16="http://schemas.microsoft.com/office/drawing/2014/main" id="{00000000-0008-0000-1800-000044000000}"/>
              </a:ext>
            </a:extLst>
          </xdr:cNvPr>
          <xdr:cNvSpPr/>
        </xdr:nvSpPr>
        <xdr:spPr>
          <a:xfrm>
            <a:off x="206819" y="877124"/>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Rockwell Light" panose="02040303020102020203" pitchFamily="18" charset="0"/>
              </a:rPr>
              <a:t>Condense / Show Columns</a:t>
            </a:r>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184219</xdr:colOff>
      <xdr:row>4</xdr:row>
      <xdr:rowOff>75363</xdr:rowOff>
    </xdr:from>
    <xdr:to>
      <xdr:col>2</xdr:col>
      <xdr:colOff>3475054</xdr:colOff>
      <xdr:row>8</xdr:row>
      <xdr:rowOff>76775</xdr:rowOff>
    </xdr:to>
    <xdr:grpSp>
      <xdr:nvGrpSpPr>
        <xdr:cNvPr id="42" name="Group 41">
          <a:extLst>
            <a:ext uri="{FF2B5EF4-FFF2-40B4-BE49-F238E27FC236}">
              <a16:creationId xmlns:a16="http://schemas.microsoft.com/office/drawing/2014/main" id="{00000000-0008-0000-1900-00002A000000}"/>
            </a:ext>
          </a:extLst>
        </xdr:cNvPr>
        <xdr:cNvGrpSpPr/>
      </xdr:nvGrpSpPr>
      <xdr:grpSpPr>
        <a:xfrm>
          <a:off x="184219" y="1212013"/>
          <a:ext cx="4478285" cy="750712"/>
          <a:chOff x="205740" y="877124"/>
          <a:chExt cx="4701455" cy="771786"/>
        </a:xfrm>
      </xdr:grpSpPr>
      <xdr:sp macro="[0]!ToggleHideRows" textlink="">
        <xdr:nvSpPr>
          <xdr:cNvPr id="43" name="Rectangle: Rounded Corners 19">
            <a:extLst>
              <a:ext uri="{FF2B5EF4-FFF2-40B4-BE49-F238E27FC236}">
                <a16:creationId xmlns:a16="http://schemas.microsoft.com/office/drawing/2014/main" id="{00000000-0008-0000-1900-00002B000000}"/>
              </a:ext>
            </a:extLst>
          </xdr:cNvPr>
          <xdr:cNvSpPr/>
        </xdr:nvSpPr>
        <xdr:spPr>
          <a:xfrm>
            <a:off x="2620817" y="883920"/>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Rockwell Light" panose="02040303020102020203" pitchFamily="18" charset="0"/>
              </a:rPr>
              <a:t>Condense / Show Rows</a:t>
            </a:r>
          </a:p>
        </xdr:txBody>
      </xdr:sp>
      <xdr:sp macro="[0]!ActivateSelectWorksheet" textlink="">
        <xdr:nvSpPr>
          <xdr:cNvPr id="44" name="Rounded Rectangle 43">
            <a:extLst>
              <a:ext uri="{FF2B5EF4-FFF2-40B4-BE49-F238E27FC236}">
                <a16:creationId xmlns:a16="http://schemas.microsoft.com/office/drawing/2014/main" id="{00000000-0008-0000-1900-00002C000000}"/>
              </a:ext>
            </a:extLst>
          </xdr:cNvPr>
          <xdr:cNvSpPr/>
        </xdr:nvSpPr>
        <xdr:spPr>
          <a:xfrm>
            <a:off x="205740" y="1347548"/>
            <a:ext cx="2286000" cy="288000"/>
          </a:xfrm>
          <a:prstGeom prst="roundRect">
            <a:avLst/>
          </a:prstGeom>
          <a:solidFill>
            <a:schemeClr val="accent1">
              <a:lumMod val="75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45" name="Rounded Rectangle 44">
            <a:extLst>
              <a:ext uri="{FF2B5EF4-FFF2-40B4-BE49-F238E27FC236}">
                <a16:creationId xmlns:a16="http://schemas.microsoft.com/office/drawing/2014/main" id="{00000000-0008-0000-1900-00002D000000}"/>
              </a:ext>
            </a:extLst>
          </xdr:cNvPr>
          <xdr:cNvSpPr/>
        </xdr:nvSpPr>
        <xdr:spPr>
          <a:xfrm>
            <a:off x="2621195" y="1360910"/>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6" name="Rectangle: Rounded Corners 19">
            <a:extLst>
              <a:ext uri="{FF2B5EF4-FFF2-40B4-BE49-F238E27FC236}">
                <a16:creationId xmlns:a16="http://schemas.microsoft.com/office/drawing/2014/main" id="{00000000-0008-0000-1900-00002E000000}"/>
              </a:ext>
            </a:extLst>
          </xdr:cNvPr>
          <xdr:cNvSpPr/>
        </xdr:nvSpPr>
        <xdr:spPr>
          <a:xfrm>
            <a:off x="206819" y="877124"/>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Rockwell Light" panose="02040303020102020203" pitchFamily="18" charset="0"/>
              </a:rPr>
              <a:t>Condense / Show Columns</a:t>
            </a:r>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83820</xdr:colOff>
      <xdr:row>0</xdr:row>
      <xdr:rowOff>76200</xdr:rowOff>
    </xdr:from>
    <xdr:to>
      <xdr:col>1</xdr:col>
      <xdr:colOff>1508760</xdr:colOff>
      <xdr:row>0</xdr:row>
      <xdr:rowOff>632460</xdr:rowOff>
    </xdr:to>
    <xdr:sp macro="[0]!returnstartG1" textlink="">
      <xdr:nvSpPr>
        <xdr:cNvPr id="3" name="Rounded Rectangle 2">
          <a:extLst>
            <a:ext uri="{FF2B5EF4-FFF2-40B4-BE49-F238E27FC236}">
              <a16:creationId xmlns:a16="http://schemas.microsoft.com/office/drawing/2014/main" id="{00000000-0008-0000-1A00-000003000000}"/>
            </a:ext>
          </a:extLst>
        </xdr:cNvPr>
        <xdr:cNvSpPr/>
      </xdr:nvSpPr>
      <xdr:spPr>
        <a:xfrm>
          <a:off x="83820" y="76200"/>
          <a:ext cx="1424940" cy="55626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66675</xdr:colOff>
      <xdr:row>0</xdr:row>
      <xdr:rowOff>66675</xdr:rowOff>
    </xdr:from>
    <xdr:to>
      <xdr:col>0</xdr:col>
      <xdr:colOff>1583055</xdr:colOff>
      <xdr:row>0</xdr:row>
      <xdr:rowOff>619125</xdr:rowOff>
    </xdr:to>
    <xdr:sp macro="[0]!returnstartG2" textlink="">
      <xdr:nvSpPr>
        <xdr:cNvPr id="3" name="Rounded Rectangle 2">
          <a:extLst>
            <a:ext uri="{FF2B5EF4-FFF2-40B4-BE49-F238E27FC236}">
              <a16:creationId xmlns:a16="http://schemas.microsoft.com/office/drawing/2014/main" id="{00000000-0008-0000-1B00-000003000000}"/>
            </a:ext>
          </a:extLst>
        </xdr:cNvPr>
        <xdr:cNvSpPr/>
      </xdr:nvSpPr>
      <xdr:spPr>
        <a:xfrm>
          <a:off x="66675" y="66675"/>
          <a:ext cx="1516380" cy="55245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latin typeface="Rockwell Light" panose="02040303020102020203" pitchFamily="18" charset="0"/>
            </a:rPr>
            <a:t>Return To Start</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68580</xdr:colOff>
      <xdr:row>0</xdr:row>
      <xdr:rowOff>53340</xdr:rowOff>
    </xdr:from>
    <xdr:to>
      <xdr:col>0</xdr:col>
      <xdr:colOff>1584960</xdr:colOff>
      <xdr:row>0</xdr:row>
      <xdr:rowOff>426720</xdr:rowOff>
    </xdr:to>
    <xdr:sp macro="[0]!returnstartG3" textlink="">
      <xdr:nvSpPr>
        <xdr:cNvPr id="2" name="Rounded Rectangle 1">
          <a:extLst>
            <a:ext uri="{FF2B5EF4-FFF2-40B4-BE49-F238E27FC236}">
              <a16:creationId xmlns:a16="http://schemas.microsoft.com/office/drawing/2014/main" id="{00000000-0008-0000-1C00-000002000000}"/>
            </a:ext>
          </a:extLst>
        </xdr:cNvPr>
        <xdr:cNvSpPr/>
      </xdr:nvSpPr>
      <xdr:spPr>
        <a:xfrm>
          <a:off x="68580" y="53340"/>
          <a:ext cx="1516380" cy="37338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107526</xdr:colOff>
      <xdr:row>9</xdr:row>
      <xdr:rowOff>127846</xdr:rowOff>
    </xdr:from>
    <xdr:to>
      <xdr:col>4</xdr:col>
      <xdr:colOff>20108</xdr:colOff>
      <xdr:row>13</xdr:row>
      <xdr:rowOff>185496</xdr:rowOff>
    </xdr:to>
    <xdr:sp macro="[0]!returnstartInstructions" textlink="">
      <xdr:nvSpPr>
        <xdr:cNvPr id="14" name="Rounded Rectangle 13">
          <a:extLst>
            <a:ext uri="{FF2B5EF4-FFF2-40B4-BE49-F238E27FC236}">
              <a16:creationId xmlns:a16="http://schemas.microsoft.com/office/drawing/2014/main" id="{00000000-0008-0000-0200-00000E000000}"/>
            </a:ext>
          </a:extLst>
        </xdr:cNvPr>
        <xdr:cNvSpPr/>
      </xdr:nvSpPr>
      <xdr:spPr>
        <a:xfrm>
          <a:off x="107526" y="1956646"/>
          <a:ext cx="1627082" cy="105587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Start page</a:t>
          </a:r>
        </a:p>
      </xdr:txBody>
    </xdr:sp>
    <xdr:clientData/>
  </xdr:twoCellAnchor>
  <xdr:twoCellAnchor>
    <xdr:from>
      <xdr:col>0</xdr:col>
      <xdr:colOff>106680</xdr:colOff>
      <xdr:row>14</xdr:row>
      <xdr:rowOff>129540</xdr:rowOff>
    </xdr:from>
    <xdr:to>
      <xdr:col>3</xdr:col>
      <xdr:colOff>1272540</xdr:colOff>
      <xdr:row>19</xdr:row>
      <xdr:rowOff>53340</xdr:rowOff>
    </xdr:to>
    <xdr:sp macro="[0]!ActivateSelectWorksheet" textlink="">
      <xdr:nvSpPr>
        <xdr:cNvPr id="35" name="TextBox 34">
          <a:extLst>
            <a:ext uri="{FF2B5EF4-FFF2-40B4-BE49-F238E27FC236}">
              <a16:creationId xmlns:a16="http://schemas.microsoft.com/office/drawing/2014/main" id="{00000000-0008-0000-0200-000023000000}"/>
            </a:ext>
          </a:extLst>
        </xdr:cNvPr>
        <xdr:cNvSpPr txBox="1"/>
      </xdr:nvSpPr>
      <xdr:spPr>
        <a:xfrm>
          <a:off x="106680" y="3162300"/>
          <a:ext cx="1600200" cy="9525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baseline="0">
              <a:solidFill>
                <a:schemeClr val="bg1"/>
              </a:solidFill>
              <a:latin typeface="Rockwell Light" panose="02040303020102020203" pitchFamily="18" charset="0"/>
            </a:rPr>
            <a:t>Main menu </a:t>
          </a:r>
          <a:endParaRPr lang="en-GB" sz="1400" b="1">
            <a:solidFill>
              <a:schemeClr val="bg1"/>
            </a:solidFill>
            <a:latin typeface="Rockwell Light" panose="02040303020102020203" pitchFamily="18" charset="0"/>
          </a:endParaRPr>
        </a:p>
      </xdr:txBody>
    </xdr:sp>
    <xdr:clientData/>
  </xdr:twoCellAnchor>
  <xdr:twoCellAnchor>
    <xdr:from>
      <xdr:col>3</xdr:col>
      <xdr:colOff>0</xdr:colOff>
      <xdr:row>2</xdr:row>
      <xdr:rowOff>0</xdr:rowOff>
    </xdr:from>
    <xdr:to>
      <xdr:col>16</xdr:col>
      <xdr:colOff>495300</xdr:colOff>
      <xdr:row>7</xdr:row>
      <xdr:rowOff>142875</xdr:rowOff>
    </xdr:to>
    <xdr:sp macro="" textlink="">
      <xdr:nvSpPr>
        <xdr:cNvPr id="13" name="TextBox 12">
          <a:extLst>
            <a:ext uri="{FF2B5EF4-FFF2-40B4-BE49-F238E27FC236}">
              <a16:creationId xmlns:a16="http://schemas.microsoft.com/office/drawing/2014/main" id="{00000000-0008-0000-0200-00000D000000}"/>
            </a:ext>
          </a:extLst>
        </xdr:cNvPr>
        <xdr:cNvSpPr txBox="1"/>
      </xdr:nvSpPr>
      <xdr:spPr>
        <a:xfrm>
          <a:off x="428625" y="400050"/>
          <a:ext cx="10582275" cy="118110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The Biodiversity Metric 3.1 - Calculation Tool</a:t>
          </a:r>
        </a:p>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Instructions</a:t>
          </a:r>
          <a:endParaRPr lang="en-GB" sz="2800" b="0">
            <a:solidFill>
              <a:schemeClr val="accent1"/>
            </a:solidFill>
            <a:latin typeface="Rockwell Light" panose="02040303020102020203" pitchFamily="18" charset="0"/>
            <a:ea typeface="Source Sans Pro" panose="020B0503030403020204" pitchFamily="34" charset="0"/>
          </a:endParaRPr>
        </a:p>
      </xdr:txBody>
    </xdr:sp>
    <xdr:clientData/>
  </xdr:twoCellAnchor>
  <xdr:twoCellAnchor>
    <xdr:from>
      <xdr:col>5</xdr:col>
      <xdr:colOff>590550</xdr:colOff>
      <xdr:row>8</xdr:row>
      <xdr:rowOff>190500</xdr:rowOff>
    </xdr:from>
    <xdr:to>
      <xdr:col>15</xdr:col>
      <xdr:colOff>19050</xdr:colOff>
      <xdr:row>10</xdr:row>
      <xdr:rowOff>57150</xdr:rowOff>
    </xdr:to>
    <xdr:sp macro="" textlink="">
      <xdr:nvSpPr>
        <xdr:cNvPr id="12" name="TextBox 11">
          <a:extLst>
            <a:ext uri="{FF2B5EF4-FFF2-40B4-BE49-F238E27FC236}">
              <a16:creationId xmlns:a16="http://schemas.microsoft.com/office/drawing/2014/main" id="{00000000-0008-0000-0200-00000C000000}"/>
            </a:ext>
          </a:extLst>
        </xdr:cNvPr>
        <xdr:cNvSpPr txBox="1"/>
      </xdr:nvSpPr>
      <xdr:spPr>
        <a:xfrm>
          <a:off x="2876550" y="1838325"/>
          <a:ext cx="5715000" cy="45720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800" b="0" i="0" u="none" strike="noStrike">
              <a:solidFill>
                <a:schemeClr val="accent1"/>
              </a:solidFill>
              <a:effectLst/>
              <a:latin typeface="Rockwell Light" panose="02040303020102020203" pitchFamily="18" charset="0"/>
              <a:ea typeface="Source Sans Pro" panose="020B0503030403020204" pitchFamily="34" charset="0"/>
              <a:cs typeface="+mn-cs"/>
            </a:rPr>
            <a:t>Double click</a:t>
          </a:r>
          <a:r>
            <a:rPr lang="en-GB" sz="1800" b="0" i="0" u="none" strike="noStrike" baseline="0">
              <a:solidFill>
                <a:schemeClr val="accent1"/>
              </a:solidFill>
              <a:effectLst/>
              <a:latin typeface="Rockwell Light" panose="02040303020102020203" pitchFamily="18" charset="0"/>
              <a:ea typeface="Source Sans Pro" panose="020B0503030403020204" pitchFamily="34" charset="0"/>
              <a:cs typeface="+mn-cs"/>
            </a:rPr>
            <a:t> the front page below to open the file</a:t>
          </a:r>
          <a:endParaRPr lang="en-GB" sz="1800" b="0">
            <a:solidFill>
              <a:schemeClr val="accent1"/>
            </a:solidFill>
            <a:latin typeface="Rockwell Light" panose="02040303020102020203" pitchFamily="18" charset="0"/>
            <a:ea typeface="Source Sans Pro" panose="020B050303040302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5</xdr:col>
          <xdr:colOff>590550</xdr:colOff>
          <xdr:row>10</xdr:row>
          <xdr:rowOff>203200</xdr:rowOff>
        </xdr:from>
        <xdr:to>
          <xdr:col>14</xdr:col>
          <xdr:colOff>952500</xdr:colOff>
          <xdr:row>49</xdr:row>
          <xdr:rowOff>50800</xdr:rowOff>
        </xdr:to>
        <xdr:sp macro="" textlink="">
          <xdr:nvSpPr>
            <xdr:cNvPr id="3077" name="Object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xdr:wsDr>
</file>

<file path=xl/drawings/drawing30.xml><?xml version="1.0" encoding="utf-8"?>
<xdr:wsDr xmlns:xdr="http://schemas.openxmlformats.org/drawingml/2006/spreadsheetDrawing" xmlns:a="http://schemas.openxmlformats.org/drawingml/2006/main">
  <xdr:twoCellAnchor>
    <xdr:from>
      <xdr:col>5</xdr:col>
      <xdr:colOff>91440</xdr:colOff>
      <xdr:row>0</xdr:row>
      <xdr:rowOff>91440</xdr:rowOff>
    </xdr:from>
    <xdr:to>
      <xdr:col>5</xdr:col>
      <xdr:colOff>1607820</xdr:colOff>
      <xdr:row>0</xdr:row>
      <xdr:rowOff>571500</xdr:rowOff>
    </xdr:to>
    <xdr:sp macro="[0]!returnstartG4" textlink="">
      <xdr:nvSpPr>
        <xdr:cNvPr id="3" name="Rounded Rectangle 2">
          <a:extLst>
            <a:ext uri="{FF2B5EF4-FFF2-40B4-BE49-F238E27FC236}">
              <a16:creationId xmlns:a16="http://schemas.microsoft.com/office/drawing/2014/main" id="{00000000-0008-0000-1D00-000003000000}"/>
            </a:ext>
          </a:extLst>
        </xdr:cNvPr>
        <xdr:cNvSpPr/>
      </xdr:nvSpPr>
      <xdr:spPr>
        <a:xfrm>
          <a:off x="4259580" y="91440"/>
          <a:ext cx="1516380" cy="48006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2</xdr:col>
      <xdr:colOff>60960</xdr:colOff>
      <xdr:row>0</xdr:row>
      <xdr:rowOff>30480</xdr:rowOff>
    </xdr:from>
    <xdr:to>
      <xdr:col>2</xdr:col>
      <xdr:colOff>1577340</xdr:colOff>
      <xdr:row>0</xdr:row>
      <xdr:rowOff>403860</xdr:rowOff>
    </xdr:to>
    <xdr:sp macro="[0]!returnstartG5" textlink="">
      <xdr:nvSpPr>
        <xdr:cNvPr id="2" name="Rounded Rectangle 1">
          <a:extLst>
            <a:ext uri="{FF2B5EF4-FFF2-40B4-BE49-F238E27FC236}">
              <a16:creationId xmlns:a16="http://schemas.microsoft.com/office/drawing/2014/main" id="{00000000-0008-0000-1E00-000002000000}"/>
            </a:ext>
          </a:extLst>
        </xdr:cNvPr>
        <xdr:cNvSpPr/>
      </xdr:nvSpPr>
      <xdr:spPr>
        <a:xfrm>
          <a:off x="1310640" y="30480"/>
          <a:ext cx="1516380" cy="37338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Return to start</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56926</xdr:colOff>
      <xdr:row>0</xdr:row>
      <xdr:rowOff>49754</xdr:rowOff>
    </xdr:from>
    <xdr:to>
      <xdr:col>1</xdr:col>
      <xdr:colOff>674146</xdr:colOff>
      <xdr:row>0</xdr:row>
      <xdr:rowOff>484094</xdr:rowOff>
    </xdr:to>
    <xdr:sp macro="[0]!returnstartG6" textlink="">
      <xdr:nvSpPr>
        <xdr:cNvPr id="3" name="Rounded Rectangle 2">
          <a:extLst>
            <a:ext uri="{FF2B5EF4-FFF2-40B4-BE49-F238E27FC236}">
              <a16:creationId xmlns:a16="http://schemas.microsoft.com/office/drawing/2014/main" id="{00000000-0008-0000-1F00-000003000000}"/>
            </a:ext>
          </a:extLst>
        </xdr:cNvPr>
        <xdr:cNvSpPr/>
      </xdr:nvSpPr>
      <xdr:spPr>
        <a:xfrm>
          <a:off x="56926" y="49754"/>
          <a:ext cx="1166308" cy="43434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Return to start</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53340</xdr:colOff>
      <xdr:row>0</xdr:row>
      <xdr:rowOff>38100</xdr:rowOff>
    </xdr:from>
    <xdr:to>
      <xdr:col>1</xdr:col>
      <xdr:colOff>632460</xdr:colOff>
      <xdr:row>1</xdr:row>
      <xdr:rowOff>198120</xdr:rowOff>
    </xdr:to>
    <xdr:sp macro="[0]!returnstartG7" textlink="">
      <xdr:nvSpPr>
        <xdr:cNvPr id="3" name="Rounded Rectangle 2">
          <a:extLst>
            <a:ext uri="{FF2B5EF4-FFF2-40B4-BE49-F238E27FC236}">
              <a16:creationId xmlns:a16="http://schemas.microsoft.com/office/drawing/2014/main" id="{00000000-0008-0000-2000-000003000000}"/>
            </a:ext>
          </a:extLst>
        </xdr:cNvPr>
        <xdr:cNvSpPr/>
      </xdr:nvSpPr>
      <xdr:spPr>
        <a:xfrm>
          <a:off x="53340" y="38100"/>
          <a:ext cx="1188720" cy="350520"/>
        </a:xfrm>
        <a:prstGeom prst="roundRect">
          <a:avLst/>
        </a:prstGeom>
        <a:solidFill>
          <a:schemeClr val="tx2">
            <a:lumMod val="50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Return to start</a:t>
          </a:r>
        </a:p>
      </xdr:txBody>
    </xdr:sp>
    <xdr:clientData/>
  </xdr:twoCellAnchor>
  <xdr:twoCellAnchor>
    <xdr:from>
      <xdr:col>0</xdr:col>
      <xdr:colOff>53340</xdr:colOff>
      <xdr:row>0</xdr:row>
      <xdr:rowOff>38100</xdr:rowOff>
    </xdr:from>
    <xdr:to>
      <xdr:col>1</xdr:col>
      <xdr:colOff>632460</xdr:colOff>
      <xdr:row>1</xdr:row>
      <xdr:rowOff>198120</xdr:rowOff>
    </xdr:to>
    <xdr:sp macro="[2]!returnstartG7" textlink="">
      <xdr:nvSpPr>
        <xdr:cNvPr id="4" name="Rounded Rectangle 2">
          <a:extLst>
            <a:ext uri="{FF2B5EF4-FFF2-40B4-BE49-F238E27FC236}">
              <a16:creationId xmlns:a16="http://schemas.microsoft.com/office/drawing/2014/main" id="{00000000-0008-0000-2000-000004000000}"/>
            </a:ext>
          </a:extLst>
        </xdr:cNvPr>
        <xdr:cNvSpPr/>
      </xdr:nvSpPr>
      <xdr:spPr>
        <a:xfrm>
          <a:off x="53340" y="38100"/>
          <a:ext cx="1188720" cy="360045"/>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Return to start</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60960</xdr:colOff>
      <xdr:row>0</xdr:row>
      <xdr:rowOff>68580</xdr:rowOff>
    </xdr:from>
    <xdr:to>
      <xdr:col>0</xdr:col>
      <xdr:colOff>1577340</xdr:colOff>
      <xdr:row>1</xdr:row>
      <xdr:rowOff>114300</xdr:rowOff>
    </xdr:to>
    <xdr:sp macro="[0]!returnstartG8" textlink="">
      <xdr:nvSpPr>
        <xdr:cNvPr id="3" name="Rounded Rectangle 2">
          <a:extLst>
            <a:ext uri="{FF2B5EF4-FFF2-40B4-BE49-F238E27FC236}">
              <a16:creationId xmlns:a16="http://schemas.microsoft.com/office/drawing/2014/main" id="{00000000-0008-0000-2100-000003000000}"/>
            </a:ext>
          </a:extLst>
        </xdr:cNvPr>
        <xdr:cNvSpPr/>
      </xdr:nvSpPr>
      <xdr:spPr>
        <a:xfrm>
          <a:off x="60960" y="68580"/>
          <a:ext cx="1516380" cy="41148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1</xdr:col>
      <xdr:colOff>91440</xdr:colOff>
      <xdr:row>0</xdr:row>
      <xdr:rowOff>60960</xdr:rowOff>
    </xdr:from>
    <xdr:to>
      <xdr:col>1</xdr:col>
      <xdr:colOff>1516380</xdr:colOff>
      <xdr:row>0</xdr:row>
      <xdr:rowOff>617220</xdr:rowOff>
    </xdr:to>
    <xdr:sp macro="[0]!returnstartG9" textlink="">
      <xdr:nvSpPr>
        <xdr:cNvPr id="2" name="Rounded Rectangle 1">
          <a:extLst>
            <a:ext uri="{FF2B5EF4-FFF2-40B4-BE49-F238E27FC236}">
              <a16:creationId xmlns:a16="http://schemas.microsoft.com/office/drawing/2014/main" id="{00000000-0008-0000-2200-000002000000}"/>
            </a:ext>
          </a:extLst>
        </xdr:cNvPr>
        <xdr:cNvSpPr/>
      </xdr:nvSpPr>
      <xdr:spPr>
        <a:xfrm>
          <a:off x="91440" y="60960"/>
          <a:ext cx="1424940" cy="55626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4</xdr:col>
      <xdr:colOff>452967</xdr:colOff>
      <xdr:row>9</xdr:row>
      <xdr:rowOff>234950</xdr:rowOff>
    </xdr:from>
    <xdr:to>
      <xdr:col>7</xdr:col>
      <xdr:colOff>553367</xdr:colOff>
      <xdr:row>15</xdr:row>
      <xdr:rowOff>97950</xdr:rowOff>
    </xdr:to>
    <xdr:sp macro="[0]!ActivateG1AllHabitats" textlink="">
      <xdr:nvSpPr>
        <xdr:cNvPr id="6" name="TextBox 5">
          <a:extLst>
            <a:ext uri="{FF2B5EF4-FFF2-40B4-BE49-F238E27FC236}">
              <a16:creationId xmlns:a16="http://schemas.microsoft.com/office/drawing/2014/main" id="{00000000-0008-0000-2300-000006000000}"/>
            </a:ext>
          </a:extLst>
        </xdr:cNvPr>
        <xdr:cNvSpPr txBox="1"/>
      </xdr:nvSpPr>
      <xdr:spPr>
        <a:xfrm>
          <a:off x="2167467" y="2063750"/>
          <a:ext cx="1974920" cy="12727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All area habitats</a:t>
          </a:r>
        </a:p>
      </xdr:txBody>
    </xdr:sp>
    <xdr:clientData/>
  </xdr:twoCellAnchor>
  <xdr:twoCellAnchor>
    <xdr:from>
      <xdr:col>8</xdr:col>
      <xdr:colOff>397933</xdr:colOff>
      <xdr:row>9</xdr:row>
      <xdr:rowOff>223307</xdr:rowOff>
    </xdr:from>
    <xdr:to>
      <xdr:col>12</xdr:col>
      <xdr:colOff>15733</xdr:colOff>
      <xdr:row>15</xdr:row>
      <xdr:rowOff>86307</xdr:rowOff>
    </xdr:to>
    <xdr:sp macro="[0]!ActivateG2HabitatGroups" textlink="">
      <xdr:nvSpPr>
        <xdr:cNvPr id="8" name="Rounded Rectangle 7">
          <a:extLst>
            <a:ext uri="{FF2B5EF4-FFF2-40B4-BE49-F238E27FC236}">
              <a16:creationId xmlns:a16="http://schemas.microsoft.com/office/drawing/2014/main" id="{00000000-0008-0000-2300-000008000000}"/>
            </a:ext>
          </a:extLst>
        </xdr:cNvPr>
        <xdr:cNvSpPr/>
      </xdr:nvSpPr>
      <xdr:spPr>
        <a:xfrm>
          <a:off x="4611793" y="2052107"/>
          <a:ext cx="1972380" cy="12727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latin typeface="Rockwell Light" panose="02040303020102020203" pitchFamily="18" charset="0"/>
            </a:rPr>
            <a:t>Area habitat groups</a:t>
          </a:r>
        </a:p>
      </xdr:txBody>
    </xdr:sp>
    <xdr:clientData/>
  </xdr:twoCellAnchor>
  <xdr:twoCellAnchor>
    <xdr:from>
      <xdr:col>12</xdr:col>
      <xdr:colOff>524934</xdr:colOff>
      <xdr:row>9</xdr:row>
      <xdr:rowOff>206373</xdr:rowOff>
    </xdr:from>
    <xdr:to>
      <xdr:col>15</xdr:col>
      <xdr:colOff>659201</xdr:colOff>
      <xdr:row>15</xdr:row>
      <xdr:rowOff>69373</xdr:rowOff>
    </xdr:to>
    <xdr:sp macro="[0]!ActivateG3Multipliers" textlink="">
      <xdr:nvSpPr>
        <xdr:cNvPr id="9" name="Rounded Rectangle 8">
          <a:extLst>
            <a:ext uri="{FF2B5EF4-FFF2-40B4-BE49-F238E27FC236}">
              <a16:creationId xmlns:a16="http://schemas.microsoft.com/office/drawing/2014/main" id="{00000000-0008-0000-2300-000009000000}"/>
            </a:ext>
          </a:extLst>
        </xdr:cNvPr>
        <xdr:cNvSpPr/>
      </xdr:nvSpPr>
      <xdr:spPr>
        <a:xfrm>
          <a:off x="7103534" y="2009773"/>
          <a:ext cx="1980000" cy="1260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latin typeface="Rockwell Light" panose="02040303020102020203" pitchFamily="18" charset="0"/>
            </a:rPr>
            <a:t>Multipliers</a:t>
          </a:r>
          <a:r>
            <a:rPr lang="en-GB" sz="2000">
              <a:solidFill>
                <a:schemeClr val="bg1"/>
              </a:solidFill>
            </a:rPr>
            <a:t> </a:t>
          </a:r>
        </a:p>
      </xdr:txBody>
    </xdr:sp>
    <xdr:clientData/>
  </xdr:twoCellAnchor>
  <xdr:twoCellAnchor>
    <xdr:from>
      <xdr:col>1</xdr:col>
      <xdr:colOff>93134</xdr:colOff>
      <xdr:row>9</xdr:row>
      <xdr:rowOff>220134</xdr:rowOff>
    </xdr:from>
    <xdr:to>
      <xdr:col>3</xdr:col>
      <xdr:colOff>1270000</xdr:colOff>
      <xdr:row>15</xdr:row>
      <xdr:rowOff>83134</xdr:rowOff>
    </xdr:to>
    <xdr:sp macro="[0]!returnstarttechdata" textlink="">
      <xdr:nvSpPr>
        <xdr:cNvPr id="10" name="TextBox 9">
          <a:extLst>
            <a:ext uri="{FF2B5EF4-FFF2-40B4-BE49-F238E27FC236}">
              <a16:creationId xmlns:a16="http://schemas.microsoft.com/office/drawing/2014/main" id="{00000000-0008-0000-2300-00000A000000}"/>
            </a:ext>
          </a:extLst>
        </xdr:cNvPr>
        <xdr:cNvSpPr txBox="1"/>
      </xdr:nvSpPr>
      <xdr:spPr>
        <a:xfrm>
          <a:off x="237914" y="2048934"/>
          <a:ext cx="1466426" cy="12727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Return to start</a:t>
          </a:r>
        </a:p>
        <a:p>
          <a:pPr algn="ctr"/>
          <a:r>
            <a:rPr lang="en-GB" sz="1400">
              <a:solidFill>
                <a:schemeClr val="bg1"/>
              </a:solidFill>
              <a:latin typeface="Rockwell Light" panose="02040303020102020203" pitchFamily="18" charset="0"/>
            </a:rPr>
            <a:t>page</a:t>
          </a:r>
        </a:p>
      </xdr:txBody>
    </xdr:sp>
    <xdr:clientData/>
  </xdr:twoCellAnchor>
  <xdr:twoCellAnchor>
    <xdr:from>
      <xdr:col>4</xdr:col>
      <xdr:colOff>469900</xdr:colOff>
      <xdr:row>16</xdr:row>
      <xdr:rowOff>184150</xdr:rowOff>
    </xdr:from>
    <xdr:to>
      <xdr:col>7</xdr:col>
      <xdr:colOff>570300</xdr:colOff>
      <xdr:row>23</xdr:row>
      <xdr:rowOff>21750</xdr:rowOff>
    </xdr:to>
    <xdr:sp macro="[0]!ActivateG4Temporalmultipliers" textlink="">
      <xdr:nvSpPr>
        <xdr:cNvPr id="12" name="TextBox 11">
          <a:extLst>
            <a:ext uri="{FF2B5EF4-FFF2-40B4-BE49-F238E27FC236}">
              <a16:creationId xmlns:a16="http://schemas.microsoft.com/office/drawing/2014/main" id="{00000000-0008-0000-2300-00000C000000}"/>
            </a:ext>
          </a:extLst>
        </xdr:cNvPr>
        <xdr:cNvSpPr txBox="1"/>
      </xdr:nvSpPr>
      <xdr:spPr>
        <a:xfrm>
          <a:off x="2180167" y="3587750"/>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Temporal multipliers</a:t>
          </a:r>
        </a:p>
      </xdr:txBody>
    </xdr:sp>
    <xdr:clientData/>
  </xdr:twoCellAnchor>
  <xdr:twoCellAnchor>
    <xdr:from>
      <xdr:col>8</xdr:col>
      <xdr:colOff>381001</xdr:colOff>
      <xdr:row>16</xdr:row>
      <xdr:rowOff>167217</xdr:rowOff>
    </xdr:from>
    <xdr:to>
      <xdr:col>11</xdr:col>
      <xdr:colOff>625334</xdr:colOff>
      <xdr:row>23</xdr:row>
      <xdr:rowOff>4817</xdr:rowOff>
    </xdr:to>
    <xdr:sp macro="[0]!ActivateG5EnhancementTemporaldata" textlink="">
      <xdr:nvSpPr>
        <xdr:cNvPr id="13" name="TextBox 12">
          <a:extLst>
            <a:ext uri="{FF2B5EF4-FFF2-40B4-BE49-F238E27FC236}">
              <a16:creationId xmlns:a16="http://schemas.microsoft.com/office/drawing/2014/main" id="{00000000-0008-0000-2300-00000D000000}"/>
            </a:ext>
          </a:extLst>
        </xdr:cNvPr>
        <xdr:cNvSpPr txBox="1"/>
      </xdr:nvSpPr>
      <xdr:spPr>
        <a:xfrm>
          <a:off x="4597401" y="3570817"/>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Enhancement temporal multipliers</a:t>
          </a:r>
        </a:p>
      </xdr:txBody>
    </xdr:sp>
    <xdr:clientData/>
  </xdr:twoCellAnchor>
  <xdr:twoCellAnchor>
    <xdr:from>
      <xdr:col>12</xdr:col>
      <xdr:colOff>567267</xdr:colOff>
      <xdr:row>16</xdr:row>
      <xdr:rowOff>160867</xdr:rowOff>
    </xdr:from>
    <xdr:to>
      <xdr:col>15</xdr:col>
      <xdr:colOff>701534</xdr:colOff>
      <xdr:row>22</xdr:row>
      <xdr:rowOff>201667</xdr:rowOff>
    </xdr:to>
    <xdr:sp macro="[0]!ActivateG6Hedgerowdata" textlink="">
      <xdr:nvSpPr>
        <xdr:cNvPr id="14" name="TextBox 13">
          <a:extLst>
            <a:ext uri="{FF2B5EF4-FFF2-40B4-BE49-F238E27FC236}">
              <a16:creationId xmlns:a16="http://schemas.microsoft.com/office/drawing/2014/main" id="{00000000-0008-0000-2300-00000E000000}"/>
            </a:ext>
          </a:extLst>
        </xdr:cNvPr>
        <xdr:cNvSpPr txBox="1"/>
      </xdr:nvSpPr>
      <xdr:spPr>
        <a:xfrm>
          <a:off x="7145867" y="3564467"/>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Hedgerow data</a:t>
          </a:r>
        </a:p>
      </xdr:txBody>
    </xdr:sp>
    <xdr:clientData/>
  </xdr:twoCellAnchor>
  <xdr:twoCellAnchor>
    <xdr:from>
      <xdr:col>4</xdr:col>
      <xdr:colOff>457199</xdr:colOff>
      <xdr:row>24</xdr:row>
      <xdr:rowOff>42334</xdr:rowOff>
    </xdr:from>
    <xdr:to>
      <xdr:col>7</xdr:col>
      <xdr:colOff>557599</xdr:colOff>
      <xdr:row>30</xdr:row>
      <xdr:rowOff>150867</xdr:rowOff>
    </xdr:to>
    <xdr:sp macro="[0]!ActivateG7riversdata" textlink="">
      <xdr:nvSpPr>
        <xdr:cNvPr id="16" name="TextBox 15">
          <a:extLst>
            <a:ext uri="{FF2B5EF4-FFF2-40B4-BE49-F238E27FC236}">
              <a16:creationId xmlns:a16="http://schemas.microsoft.com/office/drawing/2014/main" id="{00000000-0008-0000-2300-000010000000}"/>
            </a:ext>
          </a:extLst>
        </xdr:cNvPr>
        <xdr:cNvSpPr txBox="1"/>
      </xdr:nvSpPr>
      <xdr:spPr>
        <a:xfrm>
          <a:off x="2167466" y="5071534"/>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River</a:t>
          </a:r>
          <a:r>
            <a:rPr lang="en-GB" sz="1400" baseline="0">
              <a:solidFill>
                <a:schemeClr val="bg1"/>
              </a:solidFill>
              <a:latin typeface="Rockwell Light" panose="02040303020102020203" pitchFamily="18" charset="0"/>
            </a:rPr>
            <a:t> data</a:t>
          </a:r>
          <a:endParaRPr lang="en-GB" sz="1400">
            <a:solidFill>
              <a:schemeClr val="bg1"/>
            </a:solidFill>
            <a:latin typeface="Rockwell Light" panose="02040303020102020203" pitchFamily="18" charset="0"/>
          </a:endParaRPr>
        </a:p>
      </xdr:txBody>
    </xdr:sp>
    <xdr:clientData/>
  </xdr:twoCellAnchor>
  <xdr:twoCellAnchor>
    <xdr:from>
      <xdr:col>8</xdr:col>
      <xdr:colOff>465666</xdr:colOff>
      <xdr:row>24</xdr:row>
      <xdr:rowOff>59267</xdr:rowOff>
    </xdr:from>
    <xdr:to>
      <xdr:col>12</xdr:col>
      <xdr:colOff>83466</xdr:colOff>
      <xdr:row>30</xdr:row>
      <xdr:rowOff>167800</xdr:rowOff>
    </xdr:to>
    <xdr:sp macro="[0]!ActivateConditionlookup" textlink="">
      <xdr:nvSpPr>
        <xdr:cNvPr id="17" name="TextBox 16">
          <a:extLst>
            <a:ext uri="{FF2B5EF4-FFF2-40B4-BE49-F238E27FC236}">
              <a16:creationId xmlns:a16="http://schemas.microsoft.com/office/drawing/2014/main" id="{00000000-0008-0000-2300-000011000000}"/>
            </a:ext>
          </a:extLst>
        </xdr:cNvPr>
        <xdr:cNvSpPr txBox="1"/>
      </xdr:nvSpPr>
      <xdr:spPr>
        <a:xfrm>
          <a:off x="4682066" y="5088467"/>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aseline="0">
              <a:solidFill>
                <a:schemeClr val="bg1"/>
              </a:solidFill>
              <a:latin typeface="Rockwell Light" panose="02040303020102020203" pitchFamily="18" charset="0"/>
            </a:rPr>
            <a:t>Condition data</a:t>
          </a:r>
          <a:endParaRPr lang="en-GB" sz="1400">
            <a:solidFill>
              <a:schemeClr val="bg1"/>
            </a:solidFill>
            <a:latin typeface="Rockwell Light" panose="02040303020102020203" pitchFamily="18" charset="0"/>
          </a:endParaRPr>
        </a:p>
      </xdr:txBody>
    </xdr:sp>
    <xdr:clientData/>
  </xdr:twoCellAnchor>
  <xdr:twoCellAnchor>
    <xdr:from>
      <xdr:col>12</xdr:col>
      <xdr:colOff>601133</xdr:colOff>
      <xdr:row>24</xdr:row>
      <xdr:rowOff>59267</xdr:rowOff>
    </xdr:from>
    <xdr:to>
      <xdr:col>15</xdr:col>
      <xdr:colOff>735400</xdr:colOff>
      <xdr:row>30</xdr:row>
      <xdr:rowOff>167800</xdr:rowOff>
    </xdr:to>
    <xdr:sp macro="[0]!ActivateTranslation" textlink="">
      <xdr:nvSpPr>
        <xdr:cNvPr id="18" name="TextBox 17">
          <a:extLst>
            <a:ext uri="{FF2B5EF4-FFF2-40B4-BE49-F238E27FC236}">
              <a16:creationId xmlns:a16="http://schemas.microsoft.com/office/drawing/2014/main" id="{00000000-0008-0000-2300-000012000000}"/>
            </a:ext>
          </a:extLst>
        </xdr:cNvPr>
        <xdr:cNvSpPr txBox="1"/>
      </xdr:nvSpPr>
      <xdr:spPr>
        <a:xfrm>
          <a:off x="7179733" y="5088467"/>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aseline="0">
              <a:solidFill>
                <a:schemeClr val="bg1"/>
              </a:solidFill>
              <a:latin typeface="Rockwell Light" panose="02040303020102020203" pitchFamily="18" charset="0"/>
            </a:rPr>
            <a:t>Metric /Phase 1 translation </a:t>
          </a:r>
          <a:endParaRPr lang="en-GB" sz="1400">
            <a:solidFill>
              <a:schemeClr val="bg1"/>
            </a:solidFill>
            <a:latin typeface="Rockwell Light" panose="02040303020102020203" pitchFamily="18" charset="0"/>
          </a:endParaRPr>
        </a:p>
      </xdr:txBody>
    </xdr:sp>
    <xdr:clientData/>
  </xdr:twoCellAnchor>
  <xdr:twoCellAnchor>
    <xdr:from>
      <xdr:col>3</xdr:col>
      <xdr:colOff>0</xdr:colOff>
      <xdr:row>0</xdr:row>
      <xdr:rowOff>200024</xdr:rowOff>
    </xdr:from>
    <xdr:to>
      <xdr:col>15</xdr:col>
      <xdr:colOff>609600</xdr:colOff>
      <xdr:row>8</xdr:row>
      <xdr:rowOff>9524</xdr:rowOff>
    </xdr:to>
    <xdr:sp macro="" textlink="">
      <xdr:nvSpPr>
        <xdr:cNvPr id="15" name="TextBox 14">
          <a:extLst>
            <a:ext uri="{FF2B5EF4-FFF2-40B4-BE49-F238E27FC236}">
              <a16:creationId xmlns:a16="http://schemas.microsoft.com/office/drawing/2014/main" id="{00000000-0008-0000-2300-00000F000000}"/>
            </a:ext>
          </a:extLst>
        </xdr:cNvPr>
        <xdr:cNvSpPr txBox="1"/>
      </xdr:nvSpPr>
      <xdr:spPr>
        <a:xfrm>
          <a:off x="428625" y="200024"/>
          <a:ext cx="8391525" cy="1457325"/>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The Biodiversity Metric 3.0 - Calculation Tool</a:t>
          </a:r>
        </a:p>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Technical Data</a:t>
          </a:r>
          <a:endParaRPr lang="en-GB" sz="2800" b="0">
            <a:solidFill>
              <a:schemeClr val="accent1"/>
            </a:solidFill>
            <a:latin typeface="Rockwell Light" panose="02040303020102020203" pitchFamily="18" charset="0"/>
            <a:ea typeface="Source Sans Pro" panose="020B0503030403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137974</xdr:colOff>
      <xdr:row>13</xdr:row>
      <xdr:rowOff>125458</xdr:rowOff>
    </xdr:from>
    <xdr:to>
      <xdr:col>4</xdr:col>
      <xdr:colOff>364065</xdr:colOff>
      <xdr:row>38</xdr:row>
      <xdr:rowOff>1016000</xdr:rowOff>
    </xdr:to>
    <xdr:sp macro="" textlink="">
      <xdr:nvSpPr>
        <xdr:cNvPr id="33" name="TextBox 32">
          <a:extLst>
            <a:ext uri="{FF2B5EF4-FFF2-40B4-BE49-F238E27FC236}">
              <a16:creationId xmlns:a16="http://schemas.microsoft.com/office/drawing/2014/main" id="{00000000-0008-0000-0300-000021000000}"/>
            </a:ext>
          </a:extLst>
        </xdr:cNvPr>
        <xdr:cNvSpPr txBox="1"/>
      </xdr:nvSpPr>
      <xdr:spPr>
        <a:xfrm>
          <a:off x="281907" y="2944858"/>
          <a:ext cx="1792425" cy="5767342"/>
        </a:xfrm>
        <a:prstGeom prst="roundRect">
          <a:avLst/>
        </a:prstGeom>
        <a:solidFill>
          <a:srgbClr val="E0DCD3"/>
        </a:solidFill>
        <a:ln>
          <a:noFill/>
        </a:ln>
        <a:effectLst>
          <a:outerShdw blurRad="107950" dist="12700" dir="5400000" algn="ctr">
            <a:srgbClr val="000000"/>
          </a:outerShdw>
          <a:softEdge rad="0"/>
        </a:effectLst>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On-site baseline  </a:t>
          </a:r>
        </a:p>
      </xdr:txBody>
    </xdr:sp>
    <xdr:clientData/>
  </xdr:twoCellAnchor>
  <xdr:twoCellAnchor>
    <xdr:from>
      <xdr:col>4</xdr:col>
      <xdr:colOff>495905</xdr:colOff>
      <xdr:row>13</xdr:row>
      <xdr:rowOff>67733</xdr:rowOff>
    </xdr:from>
    <xdr:to>
      <xdr:col>12</xdr:col>
      <xdr:colOff>536637</xdr:colOff>
      <xdr:row>38</xdr:row>
      <xdr:rowOff>1109132</xdr:rowOff>
    </xdr:to>
    <xdr:sp macro="" textlink="">
      <xdr:nvSpPr>
        <xdr:cNvPr id="35" name="TextBox 34">
          <a:extLst>
            <a:ext uri="{FF2B5EF4-FFF2-40B4-BE49-F238E27FC236}">
              <a16:creationId xmlns:a16="http://schemas.microsoft.com/office/drawing/2014/main" id="{00000000-0008-0000-0300-000023000000}"/>
            </a:ext>
          </a:extLst>
        </xdr:cNvPr>
        <xdr:cNvSpPr txBox="1"/>
      </xdr:nvSpPr>
      <xdr:spPr>
        <a:xfrm>
          <a:off x="2172305" y="2944283"/>
          <a:ext cx="4774657" cy="6051549"/>
        </a:xfrm>
        <a:prstGeom prst="roundRect">
          <a:avLst/>
        </a:prstGeom>
        <a:solidFill>
          <a:srgbClr val="E0DCD3"/>
        </a:solidFill>
        <a:ln>
          <a:noFill/>
        </a:ln>
        <a:effectLst>
          <a:outerShdw blurRad="107950" dist="12700" dir="5400000" algn="ctr">
            <a:srgbClr val="000000"/>
          </a:outerShdw>
        </a:effectLst>
        <a:scene3d>
          <a:camera prst="orthographicFront"/>
          <a:lightRig rig="threePt" dir="t"/>
        </a:scene3d>
        <a:sp3d prstMaterial="dkEdge"/>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On-site post development </a:t>
          </a:r>
        </a:p>
      </xdr:txBody>
    </xdr:sp>
    <xdr:clientData/>
  </xdr:twoCellAnchor>
  <xdr:twoCellAnchor>
    <xdr:from>
      <xdr:col>3</xdr:col>
      <xdr:colOff>58814</xdr:colOff>
      <xdr:row>18</xdr:row>
      <xdr:rowOff>151039</xdr:rowOff>
    </xdr:from>
    <xdr:to>
      <xdr:col>4</xdr:col>
      <xdr:colOff>185057</xdr:colOff>
      <xdr:row>25</xdr:row>
      <xdr:rowOff>1</xdr:rowOff>
    </xdr:to>
    <xdr:sp macro="[0]!ActivateA1baseline" textlink="">
      <xdr:nvSpPr>
        <xdr:cNvPr id="39" name="TextBox 38">
          <a:extLst>
            <a:ext uri="{FF2B5EF4-FFF2-40B4-BE49-F238E27FC236}">
              <a16:creationId xmlns:a16="http://schemas.microsoft.com/office/drawing/2014/main" id="{00000000-0008-0000-0300-000027000000}"/>
            </a:ext>
          </a:extLst>
        </xdr:cNvPr>
        <xdr:cNvSpPr txBox="1"/>
      </xdr:nvSpPr>
      <xdr:spPr>
        <a:xfrm>
          <a:off x="490614" y="3986439"/>
          <a:ext cx="1404710" cy="1271362"/>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A-1</a:t>
          </a:r>
          <a:r>
            <a:rPr lang="en-GB" sz="1400" b="1" cap="none" spc="0" baseline="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 </a:t>
          </a: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On-site habitat</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a:t>
          </a:r>
          <a:r>
            <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rPr>
            <a:t> </a:t>
          </a: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5</xdr:col>
      <xdr:colOff>423333</xdr:colOff>
      <xdr:row>18</xdr:row>
      <xdr:rowOff>143933</xdr:rowOff>
    </xdr:from>
    <xdr:to>
      <xdr:col>8</xdr:col>
      <xdr:colOff>194733</xdr:colOff>
      <xdr:row>24</xdr:row>
      <xdr:rowOff>194732</xdr:rowOff>
    </xdr:to>
    <xdr:sp macro="[0]!Activatecreation" textlink="">
      <xdr:nvSpPr>
        <xdr:cNvPr id="41" name="TextBox 40">
          <a:extLst>
            <a:ext uri="{FF2B5EF4-FFF2-40B4-BE49-F238E27FC236}">
              <a16:creationId xmlns:a16="http://schemas.microsoft.com/office/drawing/2014/main" id="{00000000-0008-0000-0300-000029000000}"/>
            </a:ext>
          </a:extLst>
        </xdr:cNvPr>
        <xdr:cNvSpPr txBox="1"/>
      </xdr:nvSpPr>
      <xdr:spPr>
        <a:xfrm>
          <a:off x="2760133" y="3979333"/>
          <a:ext cx="1651000" cy="1269999"/>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A-2</a:t>
          </a:r>
          <a:r>
            <a:rPr lang="en-GB" sz="1400" b="1" baseline="0">
              <a:solidFill>
                <a:schemeClr val="bg1"/>
              </a:solidFill>
              <a:latin typeface="Rockwell Light" panose="02040303020102020203" pitchFamily="18" charset="0"/>
            </a:rPr>
            <a:t> H</a:t>
          </a:r>
          <a:r>
            <a:rPr lang="en-GB" sz="1400" b="1">
              <a:solidFill>
                <a:schemeClr val="bg1"/>
              </a:solidFill>
              <a:latin typeface="Rockwell Light" panose="02040303020102020203" pitchFamily="18" charset="0"/>
            </a:rPr>
            <a:t>abitat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8</xdr:col>
      <xdr:colOff>455023</xdr:colOff>
      <xdr:row>18</xdr:row>
      <xdr:rowOff>159354</xdr:rowOff>
    </xdr:from>
    <xdr:to>
      <xdr:col>11</xdr:col>
      <xdr:colOff>499534</xdr:colOff>
      <xdr:row>25</xdr:row>
      <xdr:rowOff>25399</xdr:rowOff>
    </xdr:to>
    <xdr:sp macro="[0]!ActivateEnhancement" textlink="">
      <xdr:nvSpPr>
        <xdr:cNvPr id="42" name="TextBox 41">
          <a:extLst>
            <a:ext uri="{FF2B5EF4-FFF2-40B4-BE49-F238E27FC236}">
              <a16:creationId xmlns:a16="http://schemas.microsoft.com/office/drawing/2014/main" id="{00000000-0008-0000-0300-00002A000000}"/>
            </a:ext>
          </a:extLst>
        </xdr:cNvPr>
        <xdr:cNvSpPr txBox="1"/>
      </xdr:nvSpPr>
      <xdr:spPr>
        <a:xfrm>
          <a:off x="4671423" y="3994754"/>
          <a:ext cx="1780178" cy="1288445"/>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A-3</a:t>
          </a:r>
          <a:r>
            <a:rPr lang="en-GB" sz="1400" b="1" baseline="0">
              <a:solidFill>
                <a:schemeClr val="bg1"/>
              </a:solidFill>
              <a:latin typeface="Rockwell Light" panose="02040303020102020203" pitchFamily="18" charset="0"/>
            </a:rPr>
            <a:t> </a:t>
          </a:r>
          <a:r>
            <a:rPr lang="en-GB" sz="1400" b="1">
              <a:solidFill>
                <a:schemeClr val="bg1"/>
              </a:solidFill>
              <a:latin typeface="Rockwell Light" panose="02040303020102020203" pitchFamily="18" charset="0"/>
            </a:rPr>
            <a:t>Habitat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15</xdr:col>
      <xdr:colOff>1149893</xdr:colOff>
      <xdr:row>13</xdr:row>
      <xdr:rowOff>50800</xdr:rowOff>
    </xdr:from>
    <xdr:to>
      <xdr:col>21</xdr:col>
      <xdr:colOff>400050</xdr:colOff>
      <xdr:row>39</xdr:row>
      <xdr:rowOff>30479</xdr:rowOff>
    </xdr:to>
    <xdr:sp macro="" textlink="">
      <xdr:nvSpPr>
        <xdr:cNvPr id="46" name="TextBox 45">
          <a:extLst>
            <a:ext uri="{FF2B5EF4-FFF2-40B4-BE49-F238E27FC236}">
              <a16:creationId xmlns:a16="http://schemas.microsoft.com/office/drawing/2014/main" id="{00000000-0008-0000-0300-00002E000000}"/>
            </a:ext>
          </a:extLst>
        </xdr:cNvPr>
        <xdr:cNvSpPr txBox="1"/>
      </xdr:nvSpPr>
      <xdr:spPr>
        <a:xfrm>
          <a:off x="9360443" y="2927350"/>
          <a:ext cx="4755607" cy="6123304"/>
        </a:xfrm>
        <a:prstGeom prst="roundRect">
          <a:avLst/>
        </a:prstGeom>
        <a:solidFill>
          <a:srgbClr val="E0DCD3"/>
        </a:solidFill>
        <a:ln w="9525" cmpd="sng">
          <a:noFill/>
        </a:ln>
        <a:effectLst>
          <a:outerShdw blurRad="107950" dist="12700" dir="5400000" algn="ctr">
            <a:srgbClr val="000000"/>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Off-site post development</a:t>
          </a:r>
        </a:p>
      </xdr:txBody>
    </xdr:sp>
    <xdr:clientData/>
  </xdr:twoCellAnchor>
  <xdr:twoCellAnchor>
    <xdr:from>
      <xdr:col>15</xdr:col>
      <xdr:colOff>1562373</xdr:colOff>
      <xdr:row>18</xdr:row>
      <xdr:rowOff>152400</xdr:rowOff>
    </xdr:from>
    <xdr:to>
      <xdr:col>17</xdr:col>
      <xdr:colOff>441960</xdr:colOff>
      <xdr:row>25</xdr:row>
      <xdr:rowOff>99060</xdr:rowOff>
    </xdr:to>
    <xdr:sp macro="[0]!ActivateD2creation" textlink="">
      <xdr:nvSpPr>
        <xdr:cNvPr id="51" name="TextBox 50">
          <a:extLst>
            <a:ext uri="{FF2B5EF4-FFF2-40B4-BE49-F238E27FC236}">
              <a16:creationId xmlns:a16="http://schemas.microsoft.com/office/drawing/2014/main" id="{00000000-0008-0000-0300-000033000000}"/>
            </a:ext>
          </a:extLst>
        </xdr:cNvPr>
        <xdr:cNvSpPr txBox="1"/>
      </xdr:nvSpPr>
      <xdr:spPr>
        <a:xfrm>
          <a:off x="9974853" y="4030980"/>
          <a:ext cx="1874247" cy="1386840"/>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D-2 Off-site habitat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17</xdr:col>
      <xdr:colOff>804181</xdr:colOff>
      <xdr:row>18</xdr:row>
      <xdr:rowOff>163830</xdr:rowOff>
    </xdr:from>
    <xdr:to>
      <xdr:col>20</xdr:col>
      <xdr:colOff>381000</xdr:colOff>
      <xdr:row>25</xdr:row>
      <xdr:rowOff>91440</xdr:rowOff>
    </xdr:to>
    <xdr:sp macro="[0]!ActivateD3Enhancement" textlink="">
      <xdr:nvSpPr>
        <xdr:cNvPr id="55" name="TextBox 54">
          <a:extLst>
            <a:ext uri="{FF2B5EF4-FFF2-40B4-BE49-F238E27FC236}">
              <a16:creationId xmlns:a16="http://schemas.microsoft.com/office/drawing/2014/main" id="{00000000-0008-0000-0300-000037000000}"/>
            </a:ext>
          </a:extLst>
        </xdr:cNvPr>
        <xdr:cNvSpPr txBox="1"/>
      </xdr:nvSpPr>
      <xdr:spPr>
        <a:xfrm>
          <a:off x="11929381" y="4088130"/>
          <a:ext cx="1729469" cy="1394460"/>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D-3 Off-site habitat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8</xdr:col>
      <xdr:colOff>447462</xdr:colOff>
      <xdr:row>26</xdr:row>
      <xdr:rowOff>88853</xdr:rowOff>
    </xdr:from>
    <xdr:to>
      <xdr:col>11</xdr:col>
      <xdr:colOff>499533</xdr:colOff>
      <xdr:row>33</xdr:row>
      <xdr:rowOff>135466</xdr:rowOff>
    </xdr:to>
    <xdr:sp macro="[0]!ActivateB3hedgeencancement" textlink="">
      <xdr:nvSpPr>
        <xdr:cNvPr id="58" name="TextBox 57">
          <a:extLst>
            <a:ext uri="{FF2B5EF4-FFF2-40B4-BE49-F238E27FC236}">
              <a16:creationId xmlns:a16="http://schemas.microsoft.com/office/drawing/2014/main" id="{00000000-0008-0000-0300-00003A000000}"/>
            </a:ext>
          </a:extLst>
        </xdr:cNvPr>
        <xdr:cNvSpPr txBox="1"/>
      </xdr:nvSpPr>
      <xdr:spPr>
        <a:xfrm>
          <a:off x="4663862" y="5549853"/>
          <a:ext cx="1787738" cy="1350480"/>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B-3</a:t>
          </a:r>
          <a:r>
            <a:rPr lang="en-GB" sz="1400" b="1" baseline="0">
              <a:solidFill>
                <a:schemeClr val="bg1"/>
              </a:solidFill>
              <a:latin typeface="Rockwell Light" panose="02040303020102020203" pitchFamily="18" charset="0"/>
            </a:rPr>
            <a:t> </a:t>
          </a:r>
          <a:r>
            <a:rPr lang="en-GB" sz="1400" b="1">
              <a:solidFill>
                <a:schemeClr val="bg1"/>
              </a:solidFill>
              <a:latin typeface="Rockwell Light" panose="02040303020102020203" pitchFamily="18" charset="0"/>
            </a:rPr>
            <a:t>Hedgerow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5</xdr:col>
      <xdr:colOff>392037</xdr:colOff>
      <xdr:row>26</xdr:row>
      <xdr:rowOff>87795</xdr:rowOff>
    </xdr:from>
    <xdr:to>
      <xdr:col>8</xdr:col>
      <xdr:colOff>135467</xdr:colOff>
      <xdr:row>33</xdr:row>
      <xdr:rowOff>118532</xdr:rowOff>
    </xdr:to>
    <xdr:sp macro="[0]!ActivateB2hedgecreation" textlink="">
      <xdr:nvSpPr>
        <xdr:cNvPr id="60" name="TextBox 59">
          <a:extLst>
            <a:ext uri="{FF2B5EF4-FFF2-40B4-BE49-F238E27FC236}">
              <a16:creationId xmlns:a16="http://schemas.microsoft.com/office/drawing/2014/main" id="{00000000-0008-0000-0300-00003C000000}"/>
            </a:ext>
          </a:extLst>
        </xdr:cNvPr>
        <xdr:cNvSpPr txBox="1"/>
      </xdr:nvSpPr>
      <xdr:spPr>
        <a:xfrm>
          <a:off x="2728837" y="5548795"/>
          <a:ext cx="1623030" cy="1334604"/>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B-2</a:t>
          </a:r>
          <a:r>
            <a:rPr lang="en-GB" sz="1400" b="1" baseline="0">
              <a:solidFill>
                <a:schemeClr val="bg1"/>
              </a:solidFill>
              <a:latin typeface="Rockwell Light" panose="02040303020102020203" pitchFamily="18" charset="0"/>
            </a:rPr>
            <a:t> </a:t>
          </a:r>
          <a:r>
            <a:rPr lang="en-GB" sz="1400" b="1">
              <a:solidFill>
                <a:schemeClr val="bg1"/>
              </a:solidFill>
              <a:latin typeface="Rockwell Light" panose="02040303020102020203" pitchFamily="18" charset="0"/>
            </a:rPr>
            <a:t>Hedgerow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8</xdr:col>
      <xdr:colOff>441775</xdr:colOff>
      <xdr:row>35</xdr:row>
      <xdr:rowOff>61215</xdr:rowOff>
    </xdr:from>
    <xdr:to>
      <xdr:col>11</xdr:col>
      <xdr:colOff>541865</xdr:colOff>
      <xdr:row>38</xdr:row>
      <xdr:rowOff>905932</xdr:rowOff>
    </xdr:to>
    <xdr:sp macro="[0]!Activatec3riverenhancement" textlink="">
      <xdr:nvSpPr>
        <xdr:cNvPr id="61" name="TextBox 60">
          <a:extLst>
            <a:ext uri="{FF2B5EF4-FFF2-40B4-BE49-F238E27FC236}">
              <a16:creationId xmlns:a16="http://schemas.microsoft.com/office/drawing/2014/main" id="{00000000-0008-0000-0300-00003D000000}"/>
            </a:ext>
          </a:extLst>
        </xdr:cNvPr>
        <xdr:cNvSpPr txBox="1"/>
      </xdr:nvSpPr>
      <xdr:spPr>
        <a:xfrm>
          <a:off x="4658175" y="7198615"/>
          <a:ext cx="1835757" cy="1403517"/>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C-3</a:t>
          </a:r>
          <a:r>
            <a:rPr lang="en-GB" sz="1400" b="1" baseline="0">
              <a:solidFill>
                <a:schemeClr val="bg1"/>
              </a:solidFill>
              <a:latin typeface="Rockwell Light" panose="02040303020102020203" pitchFamily="18" charset="0"/>
            </a:rPr>
            <a:t> </a:t>
          </a:r>
          <a:r>
            <a:rPr lang="en-GB" sz="1400" b="1">
              <a:solidFill>
                <a:schemeClr val="bg1"/>
              </a:solidFill>
              <a:latin typeface="Rockwell Light" panose="02040303020102020203" pitchFamily="18" charset="0"/>
            </a:rPr>
            <a:t>River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5</xdr:col>
      <xdr:colOff>370990</xdr:colOff>
      <xdr:row>35</xdr:row>
      <xdr:rowOff>59267</xdr:rowOff>
    </xdr:from>
    <xdr:to>
      <xdr:col>8</xdr:col>
      <xdr:colOff>152400</xdr:colOff>
      <xdr:row>38</xdr:row>
      <xdr:rowOff>902714</xdr:rowOff>
    </xdr:to>
    <xdr:sp macro="[0]!ActivateC2rivercreation" textlink="">
      <xdr:nvSpPr>
        <xdr:cNvPr id="63" name="TextBox 62">
          <a:extLst>
            <a:ext uri="{FF2B5EF4-FFF2-40B4-BE49-F238E27FC236}">
              <a16:creationId xmlns:a16="http://schemas.microsoft.com/office/drawing/2014/main" id="{00000000-0008-0000-0300-00003F000000}"/>
            </a:ext>
          </a:extLst>
        </xdr:cNvPr>
        <xdr:cNvSpPr txBox="1"/>
      </xdr:nvSpPr>
      <xdr:spPr>
        <a:xfrm>
          <a:off x="2707790" y="7196667"/>
          <a:ext cx="1661010" cy="1402247"/>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C-2 River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17</xdr:col>
      <xdr:colOff>772612</xdr:colOff>
      <xdr:row>26</xdr:row>
      <xdr:rowOff>175666</xdr:rowOff>
    </xdr:from>
    <xdr:to>
      <xdr:col>21</xdr:col>
      <xdr:colOff>0</xdr:colOff>
      <xdr:row>33</xdr:row>
      <xdr:rowOff>114300</xdr:rowOff>
    </xdr:to>
    <xdr:sp macro="[0]!ActivateE3hedgeencancement" textlink="">
      <xdr:nvSpPr>
        <xdr:cNvPr id="64" name="TextBox 63">
          <a:extLst>
            <a:ext uri="{FF2B5EF4-FFF2-40B4-BE49-F238E27FC236}">
              <a16:creationId xmlns:a16="http://schemas.microsoft.com/office/drawing/2014/main" id="{00000000-0008-0000-0300-000040000000}"/>
            </a:ext>
          </a:extLst>
        </xdr:cNvPr>
        <xdr:cNvSpPr txBox="1"/>
      </xdr:nvSpPr>
      <xdr:spPr>
        <a:xfrm>
          <a:off x="11897812" y="5776366"/>
          <a:ext cx="1818188" cy="1272134"/>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E-3 Off-site hedge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15</xdr:col>
      <xdr:colOff>1571444</xdr:colOff>
      <xdr:row>26</xdr:row>
      <xdr:rowOff>123414</xdr:rowOff>
    </xdr:from>
    <xdr:to>
      <xdr:col>17</xdr:col>
      <xdr:colOff>426720</xdr:colOff>
      <xdr:row>33</xdr:row>
      <xdr:rowOff>114300</xdr:rowOff>
    </xdr:to>
    <xdr:sp macro="[0]!ActivateE2hedgecreation" textlink="">
      <xdr:nvSpPr>
        <xdr:cNvPr id="66" name="TextBox 65">
          <a:extLst>
            <a:ext uri="{FF2B5EF4-FFF2-40B4-BE49-F238E27FC236}">
              <a16:creationId xmlns:a16="http://schemas.microsoft.com/office/drawing/2014/main" id="{00000000-0008-0000-0300-000042000000}"/>
            </a:ext>
          </a:extLst>
        </xdr:cNvPr>
        <xdr:cNvSpPr txBox="1"/>
      </xdr:nvSpPr>
      <xdr:spPr>
        <a:xfrm>
          <a:off x="9983924" y="5647914"/>
          <a:ext cx="1849936" cy="1271046"/>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E-2 Off-site hedge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17</xdr:col>
      <xdr:colOff>762000</xdr:colOff>
      <xdr:row>35</xdr:row>
      <xdr:rowOff>13063</xdr:rowOff>
    </xdr:from>
    <xdr:to>
      <xdr:col>21</xdr:col>
      <xdr:colOff>38099</xdr:colOff>
      <xdr:row>38</xdr:row>
      <xdr:rowOff>861061</xdr:rowOff>
    </xdr:to>
    <xdr:sp macro="[0]!ActivateF3riverenhancement" textlink="">
      <xdr:nvSpPr>
        <xdr:cNvPr id="70" name="TextBox 69">
          <a:extLst>
            <a:ext uri="{FF2B5EF4-FFF2-40B4-BE49-F238E27FC236}">
              <a16:creationId xmlns:a16="http://schemas.microsoft.com/office/drawing/2014/main" id="{00000000-0008-0000-0300-000046000000}"/>
            </a:ext>
          </a:extLst>
        </xdr:cNvPr>
        <xdr:cNvSpPr txBox="1"/>
      </xdr:nvSpPr>
      <xdr:spPr>
        <a:xfrm>
          <a:off x="11887200" y="7328263"/>
          <a:ext cx="1866899" cy="1419498"/>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F-3 Off-site river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15</xdr:col>
      <xdr:colOff>1524636</xdr:colOff>
      <xdr:row>35</xdr:row>
      <xdr:rowOff>23676</xdr:rowOff>
    </xdr:from>
    <xdr:to>
      <xdr:col>17</xdr:col>
      <xdr:colOff>464820</xdr:colOff>
      <xdr:row>38</xdr:row>
      <xdr:rowOff>861060</xdr:rowOff>
    </xdr:to>
    <xdr:sp macro="[0]!ActivateF2rivercreation" textlink="">
      <xdr:nvSpPr>
        <xdr:cNvPr id="71" name="TextBox 70">
          <a:extLst>
            <a:ext uri="{FF2B5EF4-FFF2-40B4-BE49-F238E27FC236}">
              <a16:creationId xmlns:a16="http://schemas.microsoft.com/office/drawing/2014/main" id="{00000000-0008-0000-0300-000047000000}"/>
            </a:ext>
          </a:extLst>
        </xdr:cNvPr>
        <xdr:cNvSpPr txBox="1"/>
      </xdr:nvSpPr>
      <xdr:spPr>
        <a:xfrm>
          <a:off x="9937116" y="7194096"/>
          <a:ext cx="1934844" cy="1386024"/>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F-2 Off-site river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3</xdr:col>
      <xdr:colOff>28726</xdr:colOff>
      <xdr:row>26</xdr:row>
      <xdr:rowOff>9675</xdr:rowOff>
    </xdr:from>
    <xdr:to>
      <xdr:col>4</xdr:col>
      <xdr:colOff>186266</xdr:colOff>
      <xdr:row>33</xdr:row>
      <xdr:rowOff>152400</xdr:rowOff>
    </xdr:to>
    <xdr:sp macro="[0]!Activateb1hedge1baseline" textlink="">
      <xdr:nvSpPr>
        <xdr:cNvPr id="38" name="TextBox 37">
          <a:extLst>
            <a:ext uri="{FF2B5EF4-FFF2-40B4-BE49-F238E27FC236}">
              <a16:creationId xmlns:a16="http://schemas.microsoft.com/office/drawing/2014/main" id="{00000000-0008-0000-0300-000026000000}"/>
            </a:ext>
          </a:extLst>
        </xdr:cNvPr>
        <xdr:cNvSpPr txBox="1"/>
      </xdr:nvSpPr>
      <xdr:spPr>
        <a:xfrm>
          <a:off x="460526" y="5470675"/>
          <a:ext cx="1436007" cy="1446592"/>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B-1</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On-site hedge</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a:t>
          </a:r>
          <a:r>
            <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rPr>
            <a:t> </a:t>
          </a: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3</xdr:col>
      <xdr:colOff>3630</xdr:colOff>
      <xdr:row>35</xdr:row>
      <xdr:rowOff>10429</xdr:rowOff>
    </xdr:from>
    <xdr:to>
      <xdr:col>4</xdr:col>
      <xdr:colOff>186267</xdr:colOff>
      <xdr:row>38</xdr:row>
      <xdr:rowOff>804332</xdr:rowOff>
    </xdr:to>
    <xdr:sp macro="[0]!Activatec1siteriverbaseline" textlink="">
      <xdr:nvSpPr>
        <xdr:cNvPr id="43" name="TextBox 42">
          <a:extLst>
            <a:ext uri="{FF2B5EF4-FFF2-40B4-BE49-F238E27FC236}">
              <a16:creationId xmlns:a16="http://schemas.microsoft.com/office/drawing/2014/main" id="{00000000-0008-0000-0300-00002B000000}"/>
            </a:ext>
          </a:extLst>
        </xdr:cNvPr>
        <xdr:cNvSpPr txBox="1"/>
      </xdr:nvSpPr>
      <xdr:spPr>
        <a:xfrm>
          <a:off x="435430" y="7147829"/>
          <a:ext cx="1461104" cy="1352703"/>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C-1</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On-site river</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a:t>
          </a:r>
        </a:p>
        <a:p>
          <a:pPr algn="ctr"/>
          <a:endParaRPr lang="en-GB" sz="1400" b="0"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endParaRPr>
        </a:p>
        <a:p>
          <a:pPr algn="ctr"/>
          <a:r>
            <a:rPr lang="en-GB" sz="1400" b="0"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 </a:t>
          </a:r>
        </a:p>
      </xdr:txBody>
    </xdr:sp>
    <xdr:clientData/>
  </xdr:twoCellAnchor>
  <xdr:twoCellAnchor>
    <xdr:from>
      <xdr:col>12</xdr:col>
      <xdr:colOff>696685</xdr:colOff>
      <xdr:row>13</xdr:row>
      <xdr:rowOff>44903</xdr:rowOff>
    </xdr:from>
    <xdr:to>
      <xdr:col>15</xdr:col>
      <xdr:colOff>956733</xdr:colOff>
      <xdr:row>39</xdr:row>
      <xdr:rowOff>8467</xdr:rowOff>
    </xdr:to>
    <xdr:sp macro="" textlink="">
      <xdr:nvSpPr>
        <xdr:cNvPr id="36" name="TextBox 35">
          <a:extLst>
            <a:ext uri="{FF2B5EF4-FFF2-40B4-BE49-F238E27FC236}">
              <a16:creationId xmlns:a16="http://schemas.microsoft.com/office/drawing/2014/main" id="{00000000-0008-0000-0300-000024000000}"/>
            </a:ext>
          </a:extLst>
        </xdr:cNvPr>
        <xdr:cNvSpPr txBox="1"/>
      </xdr:nvSpPr>
      <xdr:spPr>
        <a:xfrm>
          <a:off x="7275285" y="2864303"/>
          <a:ext cx="2105781" cy="5974897"/>
        </a:xfrm>
        <a:prstGeom prst="roundRect">
          <a:avLst/>
        </a:prstGeom>
        <a:solidFill>
          <a:srgbClr val="E0DCD3"/>
        </a:solidFill>
        <a:ln>
          <a:noFill/>
        </a:ln>
        <a:effectLst>
          <a:outerShdw blurRad="107950" dist="12700" dir="5400000" algn="ctr">
            <a:srgbClr val="000000"/>
          </a:outerShdw>
        </a:effectLst>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Off-site baseline  </a:t>
          </a:r>
        </a:p>
      </xdr:txBody>
    </xdr:sp>
    <xdr:clientData/>
  </xdr:twoCellAnchor>
  <xdr:twoCellAnchor>
    <xdr:from>
      <xdr:col>13</xdr:col>
      <xdr:colOff>12122</xdr:colOff>
      <xdr:row>35</xdr:row>
      <xdr:rowOff>112423</xdr:rowOff>
    </xdr:from>
    <xdr:to>
      <xdr:col>15</xdr:col>
      <xdr:colOff>863600</xdr:colOff>
      <xdr:row>38</xdr:row>
      <xdr:rowOff>812800</xdr:rowOff>
    </xdr:to>
    <xdr:sp macro="[0]!ActivateF1offriverbaseline" textlink="">
      <xdr:nvSpPr>
        <xdr:cNvPr id="49" name="TextBox 48">
          <a:extLst>
            <a:ext uri="{FF2B5EF4-FFF2-40B4-BE49-F238E27FC236}">
              <a16:creationId xmlns:a16="http://schemas.microsoft.com/office/drawing/2014/main" id="{00000000-0008-0000-0300-000031000000}"/>
            </a:ext>
          </a:extLst>
        </xdr:cNvPr>
        <xdr:cNvSpPr txBox="1"/>
      </xdr:nvSpPr>
      <xdr:spPr>
        <a:xfrm>
          <a:off x="7420455" y="7249823"/>
          <a:ext cx="1867478" cy="1259177"/>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F-1</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Off-site river</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a:t>
          </a:r>
          <a:r>
            <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rPr>
            <a:t> </a:t>
          </a: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12</xdr:col>
      <xdr:colOff>821267</xdr:colOff>
      <xdr:row>26</xdr:row>
      <xdr:rowOff>76200</xdr:rowOff>
    </xdr:from>
    <xdr:to>
      <xdr:col>15</xdr:col>
      <xdr:colOff>863599</xdr:colOff>
      <xdr:row>33</xdr:row>
      <xdr:rowOff>101600</xdr:rowOff>
    </xdr:to>
    <xdr:sp macro="[0]!ActivateE1hedgeoffbaseline" textlink="">
      <xdr:nvSpPr>
        <xdr:cNvPr id="47" name="TextBox 46">
          <a:extLst>
            <a:ext uri="{FF2B5EF4-FFF2-40B4-BE49-F238E27FC236}">
              <a16:creationId xmlns:a16="http://schemas.microsoft.com/office/drawing/2014/main" id="{00000000-0008-0000-0300-00002F000000}"/>
            </a:ext>
          </a:extLst>
        </xdr:cNvPr>
        <xdr:cNvSpPr txBox="1"/>
      </xdr:nvSpPr>
      <xdr:spPr>
        <a:xfrm>
          <a:off x="7399867" y="5537200"/>
          <a:ext cx="1888065" cy="1329267"/>
        </a:xfrm>
        <a:prstGeom prst="roundRect">
          <a:avLst>
            <a:gd name="adj" fmla="val 13832"/>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E-1</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Off-site hedge</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 </a:t>
          </a:r>
        </a:p>
        <a:p>
          <a:pPr algn="ctr"/>
          <a:endParaRPr lang="en-GB" sz="1400" b="0"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12</xdr:col>
      <xdr:colOff>821266</xdr:colOff>
      <xdr:row>18</xdr:row>
      <xdr:rowOff>142875</xdr:rowOff>
    </xdr:from>
    <xdr:to>
      <xdr:col>15</xdr:col>
      <xdr:colOff>872066</xdr:colOff>
      <xdr:row>25</xdr:row>
      <xdr:rowOff>59267</xdr:rowOff>
    </xdr:to>
    <xdr:sp macro="[0]!ActivateD1offbaseline" textlink="">
      <xdr:nvSpPr>
        <xdr:cNvPr id="40" name="TextBox 39">
          <a:extLst>
            <a:ext uri="{FF2B5EF4-FFF2-40B4-BE49-F238E27FC236}">
              <a16:creationId xmlns:a16="http://schemas.microsoft.com/office/drawing/2014/main" id="{00000000-0008-0000-0300-000028000000}"/>
            </a:ext>
          </a:extLst>
        </xdr:cNvPr>
        <xdr:cNvSpPr txBox="1"/>
      </xdr:nvSpPr>
      <xdr:spPr>
        <a:xfrm>
          <a:off x="7399866" y="3978275"/>
          <a:ext cx="1896533" cy="1338792"/>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D-1</a:t>
          </a:r>
        </a:p>
        <a:p>
          <a:pPr algn="ctr"/>
          <a:r>
            <a:rPr lang="en-GB" sz="1400" b="1" baseline="0">
              <a:solidFill>
                <a:schemeClr val="bg1"/>
              </a:solidFill>
              <a:latin typeface="Rockwell Light" panose="02040303020102020203" pitchFamily="18" charset="0"/>
            </a:rPr>
            <a:t> </a:t>
          </a:r>
          <a:r>
            <a:rPr lang="en-GB" sz="1400" b="1">
              <a:solidFill>
                <a:schemeClr val="bg1"/>
              </a:solidFill>
              <a:latin typeface="Rockwell Light" panose="02040303020102020203" pitchFamily="18" charset="0"/>
            </a:rPr>
            <a:t>Off-site</a:t>
          </a:r>
        </a:p>
        <a:p>
          <a:pPr algn="ctr"/>
          <a:r>
            <a:rPr lang="en-GB" sz="1400" b="1">
              <a:solidFill>
                <a:schemeClr val="bg1"/>
              </a:solidFill>
              <a:latin typeface="Rockwell Light" panose="02040303020102020203" pitchFamily="18" charset="0"/>
            </a:rPr>
            <a:t>habitat baseline</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3</xdr:col>
      <xdr:colOff>133652</xdr:colOff>
      <xdr:row>9</xdr:row>
      <xdr:rowOff>133350</xdr:rowOff>
    </xdr:from>
    <xdr:to>
      <xdr:col>3</xdr:col>
      <xdr:colOff>1172634</xdr:colOff>
      <xdr:row>10</xdr:row>
      <xdr:rowOff>37343</xdr:rowOff>
    </xdr:to>
    <xdr:sp macro="" textlink="">
      <xdr:nvSpPr>
        <xdr:cNvPr id="7" name="TextBox 6">
          <a:extLst>
            <a:ext uri="{FF2B5EF4-FFF2-40B4-BE49-F238E27FC236}">
              <a16:creationId xmlns:a16="http://schemas.microsoft.com/office/drawing/2014/main" id="{00000000-0008-0000-0300-000007000000}"/>
            </a:ext>
          </a:extLst>
        </xdr:cNvPr>
        <xdr:cNvSpPr txBox="1"/>
      </xdr:nvSpPr>
      <xdr:spPr>
        <a:xfrm>
          <a:off x="590852" y="1993900"/>
          <a:ext cx="1038982" cy="284993"/>
        </a:xfrm>
        <a:prstGeom prst="rect">
          <a:avLst/>
        </a:prstGeom>
        <a:solidFill>
          <a:srgbClr val="E0DCD3"/>
        </a:solidFill>
        <a:ln w="9525" cmpd="sng">
          <a:solidFill>
            <a:srgbClr val="CCBE9F"/>
          </a:solidFill>
        </a:ln>
        <a:effectLst>
          <a:outerShdw blurRad="50800" dist="38100" dir="5400000" algn="t" rotWithShape="0">
            <a:prstClr val="black">
              <a:alpha val="40000"/>
            </a:prstClr>
          </a:outerShdw>
        </a:effectLst>
        <a:scene3d>
          <a:camera prst="orthographicFront"/>
          <a:lightRig rig="threePt" dir="t"/>
        </a:scene3d>
        <a:sp3d>
          <a:bevelT w="101600" prst="rible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600">
              <a:ln>
                <a:noFill/>
              </a:ln>
              <a:solidFill>
                <a:schemeClr val="accent1"/>
              </a:solidFill>
            </a:rPr>
            <a:t>Start here</a:t>
          </a:r>
        </a:p>
      </xdr:txBody>
    </xdr:sp>
    <xdr:clientData/>
  </xdr:twoCellAnchor>
  <xdr:twoCellAnchor>
    <xdr:from>
      <xdr:col>3</xdr:col>
      <xdr:colOff>368300</xdr:colOff>
      <xdr:row>10</xdr:row>
      <xdr:rowOff>142875</xdr:rowOff>
    </xdr:from>
    <xdr:to>
      <xdr:col>3</xdr:col>
      <xdr:colOff>1025525</xdr:colOff>
      <xdr:row>12</xdr:row>
      <xdr:rowOff>161925</xdr:rowOff>
    </xdr:to>
    <xdr:sp macro="" textlink="">
      <xdr:nvSpPr>
        <xdr:cNvPr id="9" name="TextBox 8">
          <a:extLst>
            <a:ext uri="{FF2B5EF4-FFF2-40B4-BE49-F238E27FC236}">
              <a16:creationId xmlns:a16="http://schemas.microsoft.com/office/drawing/2014/main" id="{00000000-0008-0000-0300-000009000000}"/>
            </a:ext>
          </a:extLst>
        </xdr:cNvPr>
        <xdr:cNvSpPr txBox="1"/>
      </xdr:nvSpPr>
      <xdr:spPr>
        <a:xfrm>
          <a:off x="825500" y="2384425"/>
          <a:ext cx="657225" cy="438150"/>
        </a:xfrm>
        <a:prstGeom prst="ellipse">
          <a:avLst/>
        </a:prstGeom>
        <a:solidFill>
          <a:srgbClr val="E0DCD3"/>
        </a:solidFill>
        <a:ln/>
        <a:effectLst>
          <a:glow rad="63500">
            <a:schemeClr val="accent1">
              <a:alpha val="40000"/>
            </a:schemeClr>
          </a:glow>
          <a:outerShdw blurRad="50800" dist="38100" dir="5400000" algn="t" rotWithShape="0">
            <a:prstClr val="black">
              <a:alpha val="40000"/>
            </a:prstClr>
          </a:outerShdw>
        </a:effectLst>
        <a:scene3d>
          <a:camera prst="orthographicFront"/>
          <a:lightRig rig="threePt" dir="t"/>
        </a:scene3d>
        <a:sp3d contourW="25400">
          <a:bevelT w="114300" prst="artDeco"/>
          <a:bevelB w="114300" prst="artDeco"/>
          <a:contourClr>
            <a:srgbClr val="CCBE9F"/>
          </a:contourClr>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lang="en-GB" sz="1600">
              <a:solidFill>
                <a:schemeClr val="accent1"/>
              </a:solidFill>
            </a:rPr>
            <a:t>1</a:t>
          </a:r>
        </a:p>
      </xdr:txBody>
    </xdr:sp>
    <xdr:clientData/>
  </xdr:twoCellAnchor>
  <xdr:twoCellAnchor>
    <xdr:from>
      <xdr:col>7</xdr:col>
      <xdr:colOff>609600</xdr:colOff>
      <xdr:row>10</xdr:row>
      <xdr:rowOff>15875</xdr:rowOff>
    </xdr:from>
    <xdr:to>
      <xdr:col>9</xdr:col>
      <xdr:colOff>155575</xdr:colOff>
      <xdr:row>12</xdr:row>
      <xdr:rowOff>34925</xdr:rowOff>
    </xdr:to>
    <xdr:sp macro="" textlink="">
      <xdr:nvSpPr>
        <xdr:cNvPr id="45" name="TextBox 44">
          <a:extLst>
            <a:ext uri="{FF2B5EF4-FFF2-40B4-BE49-F238E27FC236}">
              <a16:creationId xmlns:a16="http://schemas.microsoft.com/office/drawing/2014/main" id="{00000000-0008-0000-0300-00002D000000}"/>
            </a:ext>
          </a:extLst>
        </xdr:cNvPr>
        <xdr:cNvSpPr txBox="1"/>
      </xdr:nvSpPr>
      <xdr:spPr>
        <a:xfrm>
          <a:off x="4178300" y="2251075"/>
          <a:ext cx="650875" cy="425450"/>
        </a:xfrm>
        <a:prstGeom prst="ellipse">
          <a:avLst/>
        </a:prstGeom>
        <a:solidFill>
          <a:srgbClr val="E0DCD3"/>
        </a:solidFill>
        <a:ln/>
        <a:effectLst>
          <a:outerShdw blurRad="50800" dist="38100" dir="5400000" algn="t" rotWithShape="0">
            <a:prstClr val="black">
              <a:alpha val="40000"/>
            </a:prstClr>
          </a:outerShdw>
          <a:softEdge rad="952500"/>
        </a:effectLst>
        <a:scene3d>
          <a:camera prst="orthographicFront"/>
          <a:lightRig rig="threePt" dir="t"/>
        </a:scene3d>
        <a:sp3d contourW="25400">
          <a:bevelT w="114300" prst="artDeco"/>
          <a:bevelB w="152400" h="50800" prst="softRound"/>
          <a:contourClr>
            <a:srgbClr val="CCBE9F"/>
          </a:contourClr>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lang="en-GB" sz="1600">
              <a:solidFill>
                <a:schemeClr val="accent1"/>
              </a:solidFill>
            </a:rPr>
            <a:t>2</a:t>
          </a:r>
        </a:p>
      </xdr:txBody>
    </xdr:sp>
    <xdr:clientData/>
  </xdr:twoCellAnchor>
  <xdr:twoCellAnchor>
    <xdr:from>
      <xdr:col>14</xdr:col>
      <xdr:colOff>141968</xdr:colOff>
      <xdr:row>10</xdr:row>
      <xdr:rowOff>24946</xdr:rowOff>
    </xdr:from>
    <xdr:to>
      <xdr:col>15</xdr:col>
      <xdr:colOff>177346</xdr:colOff>
      <xdr:row>12</xdr:row>
      <xdr:rowOff>43996</xdr:rowOff>
    </xdr:to>
    <xdr:sp macro="" textlink="">
      <xdr:nvSpPr>
        <xdr:cNvPr id="54" name="TextBox 53">
          <a:extLst>
            <a:ext uri="{FF2B5EF4-FFF2-40B4-BE49-F238E27FC236}">
              <a16:creationId xmlns:a16="http://schemas.microsoft.com/office/drawing/2014/main" id="{00000000-0008-0000-0300-000036000000}"/>
            </a:ext>
          </a:extLst>
        </xdr:cNvPr>
        <xdr:cNvSpPr txBox="1"/>
      </xdr:nvSpPr>
      <xdr:spPr>
        <a:xfrm>
          <a:off x="7901668" y="2260146"/>
          <a:ext cx="657678" cy="425450"/>
        </a:xfrm>
        <a:prstGeom prst="ellipse">
          <a:avLst/>
        </a:prstGeom>
        <a:solidFill>
          <a:srgbClr val="E0DCD3"/>
        </a:solidFill>
        <a:ln/>
        <a:effectLst>
          <a:outerShdw blurRad="50800" dist="38100" dir="5400000" algn="t" rotWithShape="0">
            <a:prstClr val="black">
              <a:alpha val="40000"/>
            </a:prstClr>
          </a:outerShdw>
        </a:effectLst>
        <a:scene3d>
          <a:camera prst="orthographicFront"/>
          <a:lightRig rig="threePt" dir="t"/>
        </a:scene3d>
        <a:sp3d contourW="25400">
          <a:bevelT w="114300" prst="artDeco"/>
          <a:bevelB w="114300" prst="artDeco"/>
          <a:contourClr>
            <a:srgbClr val="CCBE9F"/>
          </a:contourClr>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lang="en-GB" sz="1600">
              <a:solidFill>
                <a:schemeClr val="accent1"/>
              </a:solidFill>
            </a:rPr>
            <a:t>3</a:t>
          </a:r>
        </a:p>
      </xdr:txBody>
    </xdr:sp>
    <xdr:clientData/>
  </xdr:twoCellAnchor>
  <xdr:twoCellAnchor>
    <xdr:from>
      <xdr:col>17</xdr:col>
      <xdr:colOff>176378</xdr:colOff>
      <xdr:row>10</xdr:row>
      <xdr:rowOff>2267</xdr:rowOff>
    </xdr:from>
    <xdr:to>
      <xdr:col>17</xdr:col>
      <xdr:colOff>863599</xdr:colOff>
      <xdr:row>12</xdr:row>
      <xdr:rowOff>24038</xdr:rowOff>
    </xdr:to>
    <xdr:sp macro="" textlink="">
      <xdr:nvSpPr>
        <xdr:cNvPr id="57" name="TextBox 56">
          <a:extLst>
            <a:ext uri="{FF2B5EF4-FFF2-40B4-BE49-F238E27FC236}">
              <a16:creationId xmlns:a16="http://schemas.microsoft.com/office/drawing/2014/main" id="{00000000-0008-0000-0300-000039000000}"/>
            </a:ext>
          </a:extLst>
        </xdr:cNvPr>
        <xdr:cNvSpPr txBox="1"/>
      </xdr:nvSpPr>
      <xdr:spPr>
        <a:xfrm>
          <a:off x="11555578" y="2237467"/>
          <a:ext cx="687221" cy="428171"/>
        </a:xfrm>
        <a:prstGeom prst="ellipse">
          <a:avLst/>
        </a:prstGeom>
        <a:solidFill>
          <a:srgbClr val="E0DCD3"/>
        </a:solidFill>
        <a:ln/>
        <a:effectLst>
          <a:outerShdw blurRad="50800" dist="38100" dir="5400000" algn="t" rotWithShape="0">
            <a:prstClr val="black">
              <a:alpha val="40000"/>
            </a:prstClr>
          </a:outerShdw>
        </a:effectLst>
        <a:scene3d>
          <a:camera prst="orthographicFront"/>
          <a:lightRig rig="threePt" dir="t"/>
        </a:scene3d>
        <a:sp3d contourW="25400">
          <a:bevelT w="114300" prst="artDeco"/>
          <a:bevelB w="114300" prst="artDeco"/>
          <a:contourClr>
            <a:srgbClr val="CCBE9F"/>
          </a:contourClr>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lang="en-GB" sz="1600">
              <a:solidFill>
                <a:schemeClr val="accent1"/>
              </a:solidFill>
            </a:rPr>
            <a:t>4</a:t>
          </a:r>
        </a:p>
      </xdr:txBody>
    </xdr:sp>
    <xdr:clientData/>
  </xdr:twoCellAnchor>
  <xdr:twoCellAnchor>
    <xdr:from>
      <xdr:col>4</xdr:col>
      <xdr:colOff>331107</xdr:colOff>
      <xdr:row>10</xdr:row>
      <xdr:rowOff>89353</xdr:rowOff>
    </xdr:from>
    <xdr:to>
      <xdr:col>5</xdr:col>
      <xdr:colOff>540657</xdr:colOff>
      <xdr:row>11</xdr:row>
      <xdr:rowOff>184603</xdr:rowOff>
    </xdr:to>
    <xdr:sp macro="" textlink="">
      <xdr:nvSpPr>
        <xdr:cNvPr id="10" name="Right Arrow 9">
          <a:extLst>
            <a:ext uri="{FF2B5EF4-FFF2-40B4-BE49-F238E27FC236}">
              <a16:creationId xmlns:a16="http://schemas.microsoft.com/office/drawing/2014/main" id="{00000000-0008-0000-0300-00000A000000}"/>
            </a:ext>
          </a:extLst>
        </xdr:cNvPr>
        <xdr:cNvSpPr/>
      </xdr:nvSpPr>
      <xdr:spPr>
        <a:xfrm>
          <a:off x="2040164" y="2701924"/>
          <a:ext cx="830036" cy="302079"/>
        </a:xfrm>
        <a:prstGeom prst="rightArrow">
          <a:avLst/>
        </a:prstGeom>
        <a:solidFill>
          <a:srgbClr val="E0DCD3"/>
        </a:solidFill>
        <a:ln>
          <a:solidFill>
            <a:srgbClr val="382119"/>
          </a:solidFill>
        </a:ln>
        <a:effectLst>
          <a:outerShdw blurRad="50800" dist="38100" dir="5400000" algn="t" rotWithShape="0">
            <a:prstClr val="black">
              <a:alpha val="40000"/>
            </a:prstClr>
          </a:outerShdw>
        </a:effectLst>
        <a:scene3d>
          <a:camera prst="orthographicFront"/>
          <a:lightRig rig="threePt" dir="t"/>
        </a:scene3d>
        <a:sp3d>
          <a:bevelT w="139700" h="139700" prst="divo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106498</xdr:colOff>
      <xdr:row>6</xdr:row>
      <xdr:rowOff>151131</xdr:rowOff>
    </xdr:from>
    <xdr:to>
      <xdr:col>15</xdr:col>
      <xdr:colOff>1747974</xdr:colOff>
      <xdr:row>8</xdr:row>
      <xdr:rowOff>166371</xdr:rowOff>
    </xdr:to>
    <xdr:grpSp>
      <xdr:nvGrpSpPr>
        <xdr:cNvPr id="4" name="Group 3">
          <a:extLst>
            <a:ext uri="{FF2B5EF4-FFF2-40B4-BE49-F238E27FC236}">
              <a16:creationId xmlns:a16="http://schemas.microsoft.com/office/drawing/2014/main" id="{00000000-0008-0000-0300-000004000000}"/>
            </a:ext>
          </a:extLst>
        </xdr:cNvPr>
        <xdr:cNvGrpSpPr/>
      </xdr:nvGrpSpPr>
      <xdr:grpSpPr>
        <a:xfrm>
          <a:off x="3154498" y="1605281"/>
          <a:ext cx="7229476" cy="453390"/>
          <a:chOff x="2777308" y="1638300"/>
          <a:chExt cx="7073266" cy="373757"/>
        </a:xfrm>
      </xdr:grpSpPr>
      <xdr:sp macro="[0]!Activatestart" textlink="">
        <xdr:nvSpPr>
          <xdr:cNvPr id="32" name="TextBox 31">
            <a:extLst>
              <a:ext uri="{FF2B5EF4-FFF2-40B4-BE49-F238E27FC236}">
                <a16:creationId xmlns:a16="http://schemas.microsoft.com/office/drawing/2014/main" id="{00000000-0008-0000-0300-000020000000}"/>
              </a:ext>
            </a:extLst>
          </xdr:cNvPr>
          <xdr:cNvSpPr txBox="1"/>
        </xdr:nvSpPr>
        <xdr:spPr>
          <a:xfrm>
            <a:off x="2777308" y="1647370"/>
            <a:ext cx="1450160" cy="3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Start  page</a:t>
            </a:r>
            <a:r>
              <a:rPr lang="en-GB" sz="1400" b="1" baseline="0">
                <a:solidFill>
                  <a:schemeClr val="bg1"/>
                </a:solidFill>
                <a:latin typeface="Rockwell Light" panose="02040303020102020203" pitchFamily="18" charset="0"/>
              </a:rPr>
              <a:t> </a:t>
            </a:r>
            <a:endParaRPr lang="en-GB" sz="1400" b="1">
              <a:solidFill>
                <a:schemeClr val="bg1"/>
              </a:solidFill>
              <a:latin typeface="Rockwell Light" panose="02040303020102020203" pitchFamily="18" charset="0"/>
            </a:endParaRPr>
          </a:p>
        </xdr:txBody>
      </xdr:sp>
      <xdr:sp macro="[0]!ActivateResults" textlink="">
        <xdr:nvSpPr>
          <xdr:cNvPr id="34" name="Rounded Rectangle 33">
            <a:extLst>
              <a:ext uri="{FF2B5EF4-FFF2-40B4-BE49-F238E27FC236}">
                <a16:creationId xmlns:a16="http://schemas.microsoft.com/office/drawing/2014/main" id="{00000000-0008-0000-0300-000022000000}"/>
              </a:ext>
            </a:extLst>
          </xdr:cNvPr>
          <xdr:cNvSpPr/>
        </xdr:nvSpPr>
        <xdr:spPr>
          <a:xfrm>
            <a:off x="8408034" y="1638934"/>
            <a:ext cx="1442540" cy="360000"/>
          </a:xfrm>
          <a:prstGeom prst="roundRect">
            <a:avLst/>
          </a:prstGeom>
          <a:solidFill>
            <a:schemeClr val="accent3"/>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accent1"/>
                </a:solidFill>
                <a:latin typeface="Rockwell Light" panose="02040303020102020203" pitchFamily="18" charset="0"/>
              </a:rPr>
              <a:t>Results</a:t>
            </a:r>
          </a:p>
        </xdr:txBody>
      </xdr:sp>
      <xdr:sp macro="[0]!ActivateTechnicaldata" textlink="">
        <xdr:nvSpPr>
          <xdr:cNvPr id="52" name="TextBox 51">
            <a:extLst>
              <a:ext uri="{FF2B5EF4-FFF2-40B4-BE49-F238E27FC236}">
                <a16:creationId xmlns:a16="http://schemas.microsoft.com/office/drawing/2014/main" id="{00000000-0008-0000-0300-000034000000}"/>
              </a:ext>
            </a:extLst>
          </xdr:cNvPr>
          <xdr:cNvSpPr txBox="1"/>
        </xdr:nvSpPr>
        <xdr:spPr>
          <a:xfrm>
            <a:off x="6587738" y="1652057"/>
            <a:ext cx="1432380" cy="3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Technical data</a:t>
            </a:r>
            <a:r>
              <a:rPr lang="en-GB" sz="1400" b="1" baseline="0">
                <a:solidFill>
                  <a:schemeClr val="bg1"/>
                </a:solidFill>
                <a:latin typeface="Rockwell Light" panose="02040303020102020203" pitchFamily="18" charset="0"/>
              </a:rPr>
              <a:t> </a:t>
            </a:r>
            <a:endParaRPr lang="en-GB" sz="1400" b="1">
              <a:solidFill>
                <a:schemeClr val="bg1"/>
              </a:solidFill>
              <a:latin typeface="Rockwell Light" panose="02040303020102020203" pitchFamily="18" charset="0"/>
            </a:endParaRPr>
          </a:p>
        </xdr:txBody>
      </xdr:sp>
      <xdr:sp macro="[0]!ActivateInstructions" textlink="">
        <xdr:nvSpPr>
          <xdr:cNvPr id="50" name="Rounded Rectangle 49">
            <a:extLst>
              <a:ext uri="{FF2B5EF4-FFF2-40B4-BE49-F238E27FC236}">
                <a16:creationId xmlns:a16="http://schemas.microsoft.com/office/drawing/2014/main" id="{00000000-0008-0000-0300-000032000000}"/>
              </a:ext>
            </a:extLst>
          </xdr:cNvPr>
          <xdr:cNvSpPr/>
        </xdr:nvSpPr>
        <xdr:spPr>
          <a:xfrm>
            <a:off x="4716780" y="1638300"/>
            <a:ext cx="1434920" cy="360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Instructions</a:t>
            </a:r>
          </a:p>
        </xdr:txBody>
      </xdr:sp>
    </xdr:grpSp>
    <xdr:clientData/>
  </xdr:twoCellAnchor>
  <xdr:twoCellAnchor>
    <xdr:from>
      <xdr:col>11</xdr:col>
      <xdr:colOff>158750</xdr:colOff>
      <xdr:row>10</xdr:row>
      <xdr:rowOff>85725</xdr:rowOff>
    </xdr:from>
    <xdr:to>
      <xdr:col>12</xdr:col>
      <xdr:colOff>368300</xdr:colOff>
      <xdr:row>11</xdr:row>
      <xdr:rowOff>180975</xdr:rowOff>
    </xdr:to>
    <xdr:sp macro="" textlink="">
      <xdr:nvSpPr>
        <xdr:cNvPr id="44" name="Right Arrow 9">
          <a:extLst>
            <a:ext uri="{FF2B5EF4-FFF2-40B4-BE49-F238E27FC236}">
              <a16:creationId xmlns:a16="http://schemas.microsoft.com/office/drawing/2014/main" id="{00000000-0008-0000-0300-00002C000000}"/>
            </a:ext>
          </a:extLst>
        </xdr:cNvPr>
        <xdr:cNvSpPr/>
      </xdr:nvSpPr>
      <xdr:spPr>
        <a:xfrm>
          <a:off x="6076950" y="2320925"/>
          <a:ext cx="831850" cy="298450"/>
        </a:xfrm>
        <a:prstGeom prst="rightArrow">
          <a:avLst/>
        </a:prstGeom>
        <a:solidFill>
          <a:srgbClr val="E0DCD3"/>
        </a:solidFill>
        <a:ln>
          <a:solidFill>
            <a:srgbClr val="382119"/>
          </a:solidFill>
        </a:ln>
        <a:effectLst>
          <a:outerShdw blurRad="50800" dist="38100" dir="5400000" algn="t" rotWithShape="0">
            <a:prstClr val="black">
              <a:alpha val="40000"/>
            </a:prstClr>
          </a:outerShdw>
        </a:effectLst>
        <a:scene3d>
          <a:camera prst="orthographicFront"/>
          <a:lightRig rig="threePt" dir="t"/>
        </a:scene3d>
        <a:sp3d>
          <a:bevelT w="139700" h="139700" prst="divo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15</xdr:col>
      <xdr:colOff>1152525</xdr:colOff>
      <xdr:row>10</xdr:row>
      <xdr:rowOff>114300</xdr:rowOff>
    </xdr:from>
    <xdr:to>
      <xdr:col>15</xdr:col>
      <xdr:colOff>1971675</xdr:colOff>
      <xdr:row>12</xdr:row>
      <xdr:rowOff>0</xdr:rowOff>
    </xdr:to>
    <xdr:sp macro="" textlink="">
      <xdr:nvSpPr>
        <xdr:cNvPr id="53" name="Right Arrow 9">
          <a:extLst>
            <a:ext uri="{FF2B5EF4-FFF2-40B4-BE49-F238E27FC236}">
              <a16:creationId xmlns:a16="http://schemas.microsoft.com/office/drawing/2014/main" id="{00000000-0008-0000-0300-000035000000}"/>
            </a:ext>
          </a:extLst>
        </xdr:cNvPr>
        <xdr:cNvSpPr/>
      </xdr:nvSpPr>
      <xdr:spPr>
        <a:xfrm>
          <a:off x="9534525" y="2349500"/>
          <a:ext cx="819150" cy="292100"/>
        </a:xfrm>
        <a:prstGeom prst="rightArrow">
          <a:avLst/>
        </a:prstGeom>
        <a:solidFill>
          <a:srgbClr val="E0DCD3"/>
        </a:solidFill>
        <a:ln>
          <a:solidFill>
            <a:srgbClr val="382119"/>
          </a:solidFill>
        </a:ln>
        <a:effectLst>
          <a:outerShdw blurRad="50800" dist="38100" dir="5400000" algn="t" rotWithShape="0">
            <a:prstClr val="black">
              <a:alpha val="40000"/>
            </a:prstClr>
          </a:outerShdw>
        </a:effectLst>
        <a:scene3d>
          <a:camera prst="orthographicFront"/>
          <a:lightRig rig="threePt" dir="t"/>
        </a:scene3d>
        <a:sp3d>
          <a:bevelT w="139700" h="139700" prst="divo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285749</xdr:colOff>
      <xdr:row>0</xdr:row>
      <xdr:rowOff>146050</xdr:rowOff>
    </xdr:from>
    <xdr:to>
      <xdr:col>15</xdr:col>
      <xdr:colOff>1895474</xdr:colOff>
      <xdr:row>6</xdr:row>
      <xdr:rowOff>19050</xdr:rowOff>
    </xdr:to>
    <xdr:sp macro="" textlink="">
      <xdr:nvSpPr>
        <xdr:cNvPr id="56" name="TextBox 55">
          <a:extLst>
            <a:ext uri="{FF2B5EF4-FFF2-40B4-BE49-F238E27FC236}">
              <a16:creationId xmlns:a16="http://schemas.microsoft.com/office/drawing/2014/main" id="{00000000-0008-0000-0300-000038000000}"/>
            </a:ext>
          </a:extLst>
        </xdr:cNvPr>
        <xdr:cNvSpPr txBox="1"/>
      </xdr:nvSpPr>
      <xdr:spPr>
        <a:xfrm>
          <a:off x="2571749" y="146050"/>
          <a:ext cx="7534275" cy="133985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The Biodiversity Metric 3.1 - Calculation Tool</a:t>
          </a:r>
        </a:p>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Main menu</a:t>
          </a:r>
          <a:r>
            <a:rPr lang="en-GB" sz="2800" b="0">
              <a:solidFill>
                <a:schemeClr val="accent1"/>
              </a:solidFill>
              <a:latin typeface="Rockwell Light" panose="02040303020102020203" pitchFamily="18" charset="0"/>
              <a:ea typeface="Source Sans Pro" panose="020B0503030403020204" pitchFamily="34" charset="0"/>
            </a:rPr>
            <a:t> </a:t>
          </a:r>
        </a:p>
      </xdr:txBody>
    </xdr:sp>
    <xdr:clientData/>
  </xdr:twoCellAnchor>
  <xdr:twoCellAnchor editAs="oneCell">
    <xdr:from>
      <xdr:col>3</xdr:col>
      <xdr:colOff>535064</xdr:colOff>
      <xdr:row>22</xdr:row>
      <xdr:rowOff>36739</xdr:rowOff>
    </xdr:from>
    <xdr:to>
      <xdr:col>3</xdr:col>
      <xdr:colOff>1000125</xdr:colOff>
      <xdr:row>24</xdr:row>
      <xdr:rowOff>38100</xdr:rowOff>
    </xdr:to>
    <xdr:pic>
      <xdr:nvPicPr>
        <xdr:cNvPr id="48" name="Graphic 6" descr="Agriculture with solid fill">
          <a:extLst>
            <a:ext uri="{FF2B5EF4-FFF2-40B4-BE49-F238E27FC236}">
              <a16:creationId xmlns:a16="http://schemas.microsoft.com/office/drawing/2014/main" id="{00000000-0008-0000-0300-000030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92264" y="4792889"/>
          <a:ext cx="465061" cy="420461"/>
        </a:xfrm>
        <a:prstGeom prst="rect">
          <a:avLst/>
        </a:prstGeom>
      </xdr:spPr>
    </xdr:pic>
    <xdr:clientData/>
  </xdr:twoCellAnchor>
  <xdr:twoCellAnchor editAs="oneCell">
    <xdr:from>
      <xdr:col>6</xdr:col>
      <xdr:colOff>366183</xdr:colOff>
      <xdr:row>21</xdr:row>
      <xdr:rowOff>156633</xdr:rowOff>
    </xdr:from>
    <xdr:to>
      <xdr:col>7</xdr:col>
      <xdr:colOff>189894</xdr:colOff>
      <xdr:row>23</xdr:row>
      <xdr:rowOff>157994</xdr:rowOff>
    </xdr:to>
    <xdr:pic>
      <xdr:nvPicPr>
        <xdr:cNvPr id="59" name="Graphic 6" descr="Agriculture with solid fill">
          <a:extLst>
            <a:ext uri="{FF2B5EF4-FFF2-40B4-BE49-F238E27FC236}">
              <a16:creationId xmlns:a16="http://schemas.microsoft.com/office/drawing/2014/main" id="{00000000-0008-0000-0300-00003B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414183" y="4703233"/>
          <a:ext cx="465061" cy="420461"/>
        </a:xfrm>
        <a:prstGeom prst="rect">
          <a:avLst/>
        </a:prstGeom>
      </xdr:spPr>
    </xdr:pic>
    <xdr:clientData/>
  </xdr:twoCellAnchor>
  <xdr:twoCellAnchor editAs="oneCell">
    <xdr:from>
      <xdr:col>9</xdr:col>
      <xdr:colOff>626473</xdr:colOff>
      <xdr:row>22</xdr:row>
      <xdr:rowOff>604</xdr:rowOff>
    </xdr:from>
    <xdr:to>
      <xdr:col>10</xdr:col>
      <xdr:colOff>450184</xdr:colOff>
      <xdr:row>24</xdr:row>
      <xdr:rowOff>1965</xdr:rowOff>
    </xdr:to>
    <xdr:pic>
      <xdr:nvPicPr>
        <xdr:cNvPr id="62" name="Graphic 6" descr="Agriculture with solid fill">
          <a:extLst>
            <a:ext uri="{FF2B5EF4-FFF2-40B4-BE49-F238E27FC236}">
              <a16:creationId xmlns:a16="http://schemas.microsoft.com/office/drawing/2014/main" id="{00000000-0008-0000-0300-00003E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446123" y="4756754"/>
          <a:ext cx="465061" cy="420461"/>
        </a:xfrm>
        <a:prstGeom prst="rect">
          <a:avLst/>
        </a:prstGeom>
      </xdr:spPr>
    </xdr:pic>
    <xdr:clientData/>
  </xdr:twoCellAnchor>
  <xdr:twoCellAnchor editAs="oneCell">
    <xdr:from>
      <xdr:col>14</xdr:col>
      <xdr:colOff>294216</xdr:colOff>
      <xdr:row>22</xdr:row>
      <xdr:rowOff>73025</xdr:rowOff>
    </xdr:from>
    <xdr:to>
      <xdr:col>15</xdr:col>
      <xdr:colOff>117927</xdr:colOff>
      <xdr:row>24</xdr:row>
      <xdr:rowOff>74386</xdr:rowOff>
    </xdr:to>
    <xdr:pic>
      <xdr:nvPicPr>
        <xdr:cNvPr id="65" name="Graphic 6" descr="Agriculture with solid fill">
          <a:extLst>
            <a:ext uri="{FF2B5EF4-FFF2-40B4-BE49-F238E27FC236}">
              <a16:creationId xmlns:a16="http://schemas.microsoft.com/office/drawing/2014/main" id="{00000000-0008-0000-0300-000041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288866" y="4829175"/>
          <a:ext cx="465061" cy="420461"/>
        </a:xfrm>
        <a:prstGeom prst="rect">
          <a:avLst/>
        </a:prstGeom>
      </xdr:spPr>
    </xdr:pic>
    <xdr:clientData/>
  </xdr:twoCellAnchor>
  <xdr:twoCellAnchor editAs="oneCell">
    <xdr:from>
      <xdr:col>16</xdr:col>
      <xdr:colOff>284753</xdr:colOff>
      <xdr:row>22</xdr:row>
      <xdr:rowOff>74930</xdr:rowOff>
    </xdr:from>
    <xdr:to>
      <xdr:col>16</xdr:col>
      <xdr:colOff>749814</xdr:colOff>
      <xdr:row>24</xdr:row>
      <xdr:rowOff>76291</xdr:rowOff>
    </xdr:to>
    <xdr:pic>
      <xdr:nvPicPr>
        <xdr:cNvPr id="67" name="Graphic 6" descr="Agriculture with solid fill">
          <a:extLst>
            <a:ext uri="{FF2B5EF4-FFF2-40B4-BE49-F238E27FC236}">
              <a16:creationId xmlns:a16="http://schemas.microsoft.com/office/drawing/2014/main" id="{00000000-0008-0000-0300-00004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016253" y="4831080"/>
          <a:ext cx="465061" cy="420461"/>
        </a:xfrm>
        <a:prstGeom prst="rect">
          <a:avLst/>
        </a:prstGeom>
      </xdr:spPr>
    </xdr:pic>
    <xdr:clientData/>
  </xdr:twoCellAnchor>
  <xdr:twoCellAnchor editAs="oneCell">
    <xdr:from>
      <xdr:col>19</xdr:col>
      <xdr:colOff>131081</xdr:colOff>
      <xdr:row>22</xdr:row>
      <xdr:rowOff>49530</xdr:rowOff>
    </xdr:from>
    <xdr:to>
      <xdr:col>19</xdr:col>
      <xdr:colOff>596142</xdr:colOff>
      <xdr:row>24</xdr:row>
      <xdr:rowOff>50891</xdr:rowOff>
    </xdr:to>
    <xdr:pic>
      <xdr:nvPicPr>
        <xdr:cNvPr id="68" name="Graphic 6" descr="Agriculture with solid fill">
          <a:extLst>
            <a:ext uri="{FF2B5EF4-FFF2-40B4-BE49-F238E27FC236}">
              <a16:creationId xmlns:a16="http://schemas.microsoft.com/office/drawing/2014/main" id="{00000000-0008-0000-0300-00004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173981" y="4805680"/>
          <a:ext cx="465061" cy="420461"/>
        </a:xfrm>
        <a:prstGeom prst="rect">
          <a:avLst/>
        </a:prstGeom>
      </xdr:spPr>
    </xdr:pic>
    <xdr:clientData/>
  </xdr:twoCellAnchor>
  <xdr:twoCellAnchor>
    <xdr:from>
      <xdr:col>3</xdr:col>
      <xdr:colOff>479576</xdr:colOff>
      <xdr:row>31</xdr:row>
      <xdr:rowOff>16025</xdr:rowOff>
    </xdr:from>
    <xdr:to>
      <xdr:col>3</xdr:col>
      <xdr:colOff>1022501</xdr:colOff>
      <xdr:row>31</xdr:row>
      <xdr:rowOff>111275</xdr:rowOff>
    </xdr:to>
    <xdr:sp macro="" textlink="">
      <xdr:nvSpPr>
        <xdr:cNvPr id="69" name="Minus Sign 68">
          <a:extLst>
            <a:ext uri="{FF2B5EF4-FFF2-40B4-BE49-F238E27FC236}">
              <a16:creationId xmlns:a16="http://schemas.microsoft.com/office/drawing/2014/main" id="{00000000-0008-0000-0300-000045000000}"/>
            </a:ext>
          </a:extLst>
        </xdr:cNvPr>
        <xdr:cNvSpPr/>
      </xdr:nvSpPr>
      <xdr:spPr>
        <a:xfrm>
          <a:off x="936776" y="6531125"/>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6</xdr:col>
      <xdr:colOff>315837</xdr:colOff>
      <xdr:row>30</xdr:row>
      <xdr:rowOff>183045</xdr:rowOff>
    </xdr:from>
    <xdr:to>
      <xdr:col>7</xdr:col>
      <xdr:colOff>217412</xdr:colOff>
      <xdr:row>31</xdr:row>
      <xdr:rowOff>94145</xdr:rowOff>
    </xdr:to>
    <xdr:sp macro="" textlink="">
      <xdr:nvSpPr>
        <xdr:cNvPr id="72" name="Minus Sign 71">
          <a:extLst>
            <a:ext uri="{FF2B5EF4-FFF2-40B4-BE49-F238E27FC236}">
              <a16:creationId xmlns:a16="http://schemas.microsoft.com/office/drawing/2014/main" id="{00000000-0008-0000-0300-000048000000}"/>
            </a:ext>
          </a:extLst>
        </xdr:cNvPr>
        <xdr:cNvSpPr/>
      </xdr:nvSpPr>
      <xdr:spPr>
        <a:xfrm>
          <a:off x="3363837" y="6513995"/>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9</xdr:col>
      <xdr:colOff>612562</xdr:colOff>
      <xdr:row>30</xdr:row>
      <xdr:rowOff>177753</xdr:rowOff>
    </xdr:from>
    <xdr:to>
      <xdr:col>10</xdr:col>
      <xdr:colOff>514137</xdr:colOff>
      <xdr:row>31</xdr:row>
      <xdr:rowOff>88853</xdr:rowOff>
    </xdr:to>
    <xdr:sp macro="" textlink="">
      <xdr:nvSpPr>
        <xdr:cNvPr id="73" name="Minus Sign 72">
          <a:extLst>
            <a:ext uri="{FF2B5EF4-FFF2-40B4-BE49-F238E27FC236}">
              <a16:creationId xmlns:a16="http://schemas.microsoft.com/office/drawing/2014/main" id="{00000000-0008-0000-0300-000049000000}"/>
            </a:ext>
          </a:extLst>
        </xdr:cNvPr>
        <xdr:cNvSpPr/>
      </xdr:nvSpPr>
      <xdr:spPr>
        <a:xfrm>
          <a:off x="5432212" y="6508703"/>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14</xdr:col>
      <xdr:colOff>268817</xdr:colOff>
      <xdr:row>31</xdr:row>
      <xdr:rowOff>6350</xdr:rowOff>
    </xdr:from>
    <xdr:to>
      <xdr:col>15</xdr:col>
      <xdr:colOff>170392</xdr:colOff>
      <xdr:row>31</xdr:row>
      <xdr:rowOff>101600</xdr:rowOff>
    </xdr:to>
    <xdr:sp macro="" textlink="">
      <xdr:nvSpPr>
        <xdr:cNvPr id="74" name="Minus Sign 73">
          <a:extLst>
            <a:ext uri="{FF2B5EF4-FFF2-40B4-BE49-F238E27FC236}">
              <a16:creationId xmlns:a16="http://schemas.microsoft.com/office/drawing/2014/main" id="{00000000-0008-0000-0300-00004A000000}"/>
            </a:ext>
          </a:extLst>
        </xdr:cNvPr>
        <xdr:cNvSpPr/>
      </xdr:nvSpPr>
      <xdr:spPr>
        <a:xfrm>
          <a:off x="8263467" y="6521450"/>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16</xdr:col>
      <xdr:colOff>236674</xdr:colOff>
      <xdr:row>30</xdr:row>
      <xdr:rowOff>180564</xdr:rowOff>
    </xdr:from>
    <xdr:to>
      <xdr:col>16</xdr:col>
      <xdr:colOff>779599</xdr:colOff>
      <xdr:row>31</xdr:row>
      <xdr:rowOff>91664</xdr:rowOff>
    </xdr:to>
    <xdr:sp macro="" textlink="">
      <xdr:nvSpPr>
        <xdr:cNvPr id="75" name="Minus Sign 74">
          <a:extLst>
            <a:ext uri="{FF2B5EF4-FFF2-40B4-BE49-F238E27FC236}">
              <a16:creationId xmlns:a16="http://schemas.microsoft.com/office/drawing/2014/main" id="{00000000-0008-0000-0300-00004B000000}"/>
            </a:ext>
          </a:extLst>
        </xdr:cNvPr>
        <xdr:cNvSpPr/>
      </xdr:nvSpPr>
      <xdr:spPr>
        <a:xfrm>
          <a:off x="10968174" y="6511514"/>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19</xdr:col>
      <xdr:colOff>182062</xdr:colOff>
      <xdr:row>30</xdr:row>
      <xdr:rowOff>169316</xdr:rowOff>
    </xdr:from>
    <xdr:to>
      <xdr:col>19</xdr:col>
      <xdr:colOff>724987</xdr:colOff>
      <xdr:row>31</xdr:row>
      <xdr:rowOff>80416</xdr:rowOff>
    </xdr:to>
    <xdr:sp macro="" textlink="">
      <xdr:nvSpPr>
        <xdr:cNvPr id="76" name="Minus Sign 75">
          <a:extLst>
            <a:ext uri="{FF2B5EF4-FFF2-40B4-BE49-F238E27FC236}">
              <a16:creationId xmlns:a16="http://schemas.microsoft.com/office/drawing/2014/main" id="{00000000-0008-0000-0300-00004C000000}"/>
            </a:ext>
          </a:extLst>
        </xdr:cNvPr>
        <xdr:cNvSpPr/>
      </xdr:nvSpPr>
      <xdr:spPr>
        <a:xfrm>
          <a:off x="13224962" y="6500266"/>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editAs="oneCell">
    <xdr:from>
      <xdr:col>3</xdr:col>
      <xdr:colOff>537030</xdr:colOff>
      <xdr:row>38</xdr:row>
      <xdr:rowOff>232679</xdr:rowOff>
    </xdr:from>
    <xdr:to>
      <xdr:col>3</xdr:col>
      <xdr:colOff>873125</xdr:colOff>
      <xdr:row>38</xdr:row>
      <xdr:rowOff>558800</xdr:rowOff>
    </xdr:to>
    <xdr:pic>
      <xdr:nvPicPr>
        <xdr:cNvPr id="77" name="Graphic 3" descr="Aquarius with solid fill">
          <a:extLst>
            <a:ext uri="{FF2B5EF4-FFF2-40B4-BE49-F238E27FC236}">
              <a16:creationId xmlns:a16="http://schemas.microsoft.com/office/drawing/2014/main" id="{00000000-0008-0000-0300-00004D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994230" y="8036829"/>
          <a:ext cx="336095" cy="326121"/>
        </a:xfrm>
        <a:prstGeom prst="rect">
          <a:avLst/>
        </a:prstGeom>
      </xdr:spPr>
    </xdr:pic>
    <xdr:clientData/>
  </xdr:twoCellAnchor>
  <xdr:twoCellAnchor editAs="oneCell">
    <xdr:from>
      <xdr:col>6</xdr:col>
      <xdr:colOff>390040</xdr:colOff>
      <xdr:row>38</xdr:row>
      <xdr:rowOff>262467</xdr:rowOff>
    </xdr:from>
    <xdr:to>
      <xdr:col>7</xdr:col>
      <xdr:colOff>84785</xdr:colOff>
      <xdr:row>38</xdr:row>
      <xdr:rowOff>588588</xdr:rowOff>
    </xdr:to>
    <xdr:pic>
      <xdr:nvPicPr>
        <xdr:cNvPr id="78" name="Graphic 3" descr="Aquarius with solid fill">
          <a:extLst>
            <a:ext uri="{FF2B5EF4-FFF2-40B4-BE49-F238E27FC236}">
              <a16:creationId xmlns:a16="http://schemas.microsoft.com/office/drawing/2014/main" id="{00000000-0008-0000-0300-00004E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3438040" y="8066617"/>
          <a:ext cx="336095" cy="326121"/>
        </a:xfrm>
        <a:prstGeom prst="rect">
          <a:avLst/>
        </a:prstGeom>
      </xdr:spPr>
    </xdr:pic>
    <xdr:clientData/>
  </xdr:twoCellAnchor>
  <xdr:twoCellAnchor editAs="oneCell">
    <xdr:from>
      <xdr:col>10</xdr:col>
      <xdr:colOff>79825</xdr:colOff>
      <xdr:row>38</xdr:row>
      <xdr:rowOff>232665</xdr:rowOff>
    </xdr:from>
    <xdr:to>
      <xdr:col>10</xdr:col>
      <xdr:colOff>415920</xdr:colOff>
      <xdr:row>38</xdr:row>
      <xdr:rowOff>558786</xdr:rowOff>
    </xdr:to>
    <xdr:pic>
      <xdr:nvPicPr>
        <xdr:cNvPr id="79" name="Graphic 3" descr="Aquarius with solid fill">
          <a:extLst>
            <a:ext uri="{FF2B5EF4-FFF2-40B4-BE49-F238E27FC236}">
              <a16:creationId xmlns:a16="http://schemas.microsoft.com/office/drawing/2014/main" id="{00000000-0008-0000-0300-00004F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5540825" y="8036815"/>
          <a:ext cx="336095" cy="326121"/>
        </a:xfrm>
        <a:prstGeom prst="rect">
          <a:avLst/>
        </a:prstGeom>
      </xdr:spPr>
    </xdr:pic>
    <xdr:clientData/>
  </xdr:twoCellAnchor>
  <xdr:twoCellAnchor editAs="oneCell">
    <xdr:from>
      <xdr:col>14</xdr:col>
      <xdr:colOff>391005</xdr:colOff>
      <xdr:row>38</xdr:row>
      <xdr:rowOff>347373</xdr:rowOff>
    </xdr:from>
    <xdr:to>
      <xdr:col>15</xdr:col>
      <xdr:colOff>85750</xdr:colOff>
      <xdr:row>38</xdr:row>
      <xdr:rowOff>673494</xdr:rowOff>
    </xdr:to>
    <xdr:pic>
      <xdr:nvPicPr>
        <xdr:cNvPr id="80" name="Graphic 3" descr="Aquarius with solid fill">
          <a:extLst>
            <a:ext uri="{FF2B5EF4-FFF2-40B4-BE49-F238E27FC236}">
              <a16:creationId xmlns:a16="http://schemas.microsoft.com/office/drawing/2014/main" id="{00000000-0008-0000-0300-000050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8385655" y="8151523"/>
          <a:ext cx="336095" cy="326121"/>
        </a:xfrm>
        <a:prstGeom prst="rect">
          <a:avLst/>
        </a:prstGeom>
      </xdr:spPr>
    </xdr:pic>
    <xdr:clientData/>
  </xdr:twoCellAnchor>
  <xdr:twoCellAnchor editAs="oneCell">
    <xdr:from>
      <xdr:col>16</xdr:col>
      <xdr:colOff>221616</xdr:colOff>
      <xdr:row>38</xdr:row>
      <xdr:rowOff>209096</xdr:rowOff>
    </xdr:from>
    <xdr:to>
      <xdr:col>16</xdr:col>
      <xdr:colOff>557711</xdr:colOff>
      <xdr:row>38</xdr:row>
      <xdr:rowOff>535217</xdr:rowOff>
    </xdr:to>
    <xdr:pic>
      <xdr:nvPicPr>
        <xdr:cNvPr id="81" name="Graphic 3" descr="Aquarius with solid fill">
          <a:extLst>
            <a:ext uri="{FF2B5EF4-FFF2-40B4-BE49-F238E27FC236}">
              <a16:creationId xmlns:a16="http://schemas.microsoft.com/office/drawing/2014/main" id="{00000000-0008-0000-0300-000051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953116" y="8013246"/>
          <a:ext cx="336095" cy="326121"/>
        </a:xfrm>
        <a:prstGeom prst="rect">
          <a:avLst/>
        </a:prstGeom>
      </xdr:spPr>
    </xdr:pic>
    <xdr:clientData/>
  </xdr:twoCellAnchor>
  <xdr:twoCellAnchor editAs="oneCell">
    <xdr:from>
      <xdr:col>19</xdr:col>
      <xdr:colOff>273050</xdr:colOff>
      <xdr:row>38</xdr:row>
      <xdr:rowOff>222613</xdr:rowOff>
    </xdr:from>
    <xdr:to>
      <xdr:col>19</xdr:col>
      <xdr:colOff>609145</xdr:colOff>
      <xdr:row>38</xdr:row>
      <xdr:rowOff>548734</xdr:rowOff>
    </xdr:to>
    <xdr:pic>
      <xdr:nvPicPr>
        <xdr:cNvPr id="82" name="Graphic 3" descr="Aquarius with solid fill">
          <a:extLst>
            <a:ext uri="{FF2B5EF4-FFF2-40B4-BE49-F238E27FC236}">
              <a16:creationId xmlns:a16="http://schemas.microsoft.com/office/drawing/2014/main" id="{00000000-0008-0000-0300-000052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3315950" y="8026763"/>
          <a:ext cx="336095" cy="326121"/>
        </a:xfrm>
        <a:prstGeom prst="rect">
          <a:avLst/>
        </a:prstGeom>
      </xdr:spPr>
    </xdr:pic>
    <xdr:clientData/>
  </xdr:twoCellAnchor>
  <xdr:twoCellAnchor>
    <xdr:from>
      <xdr:col>2</xdr:col>
      <xdr:colOff>95250</xdr:colOff>
      <xdr:row>0</xdr:row>
      <xdr:rowOff>76200</xdr:rowOff>
    </xdr:from>
    <xdr:to>
      <xdr:col>5</xdr:col>
      <xdr:colOff>69850</xdr:colOff>
      <xdr:row>9</xdr:row>
      <xdr:rowOff>25400</xdr:rowOff>
    </xdr:to>
    <xdr:sp macro="" textlink="">
      <xdr:nvSpPr>
        <xdr:cNvPr id="83" name="TextBox 82">
          <a:extLst>
            <a:ext uri="{FF2B5EF4-FFF2-40B4-BE49-F238E27FC236}">
              <a16:creationId xmlns:a16="http://schemas.microsoft.com/office/drawing/2014/main" id="{00000000-0008-0000-0300-000053000000}"/>
            </a:ext>
          </a:extLst>
        </xdr:cNvPr>
        <xdr:cNvSpPr txBox="1"/>
      </xdr:nvSpPr>
      <xdr:spPr>
        <a:xfrm>
          <a:off x="400050" y="76200"/>
          <a:ext cx="2076450" cy="1809750"/>
        </a:xfrm>
        <a:prstGeom prst="roundRect">
          <a:avLst/>
        </a:prstGeom>
        <a:solidFill>
          <a:srgbClr val="E0DCD3"/>
        </a:solidFill>
        <a:ln>
          <a:noFill/>
        </a:ln>
        <a:effectLst>
          <a:outerShdw blurRad="107950" dist="12700" dir="5400000" algn="ctr">
            <a:srgbClr val="000000"/>
          </a:outerShdw>
          <a:softEdge rad="0"/>
        </a:effectLst>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Key</a:t>
          </a:r>
        </a:p>
      </xdr:txBody>
    </xdr:sp>
    <xdr:clientData/>
  </xdr:twoCellAnchor>
  <xdr:twoCellAnchor>
    <xdr:from>
      <xdr:col>3</xdr:col>
      <xdr:colOff>88901</xdr:colOff>
      <xdr:row>2</xdr:row>
      <xdr:rowOff>101600</xdr:rowOff>
    </xdr:from>
    <xdr:to>
      <xdr:col>3</xdr:col>
      <xdr:colOff>571500</xdr:colOff>
      <xdr:row>3</xdr:row>
      <xdr:rowOff>374650</xdr:rowOff>
    </xdr:to>
    <xdr:sp macro="" textlink="">
      <xdr:nvSpPr>
        <xdr:cNvPr id="91" name="TextBox 90">
          <a:extLst>
            <a:ext uri="{FF2B5EF4-FFF2-40B4-BE49-F238E27FC236}">
              <a16:creationId xmlns:a16="http://schemas.microsoft.com/office/drawing/2014/main" id="{00000000-0008-0000-0300-00005B000000}"/>
            </a:ext>
          </a:extLst>
        </xdr:cNvPr>
        <xdr:cNvSpPr txBox="1"/>
      </xdr:nvSpPr>
      <xdr:spPr>
        <a:xfrm>
          <a:off x="546101" y="495300"/>
          <a:ext cx="482599" cy="469900"/>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3</xdr:col>
      <xdr:colOff>101601</xdr:colOff>
      <xdr:row>4</xdr:row>
      <xdr:rowOff>19050</xdr:rowOff>
    </xdr:from>
    <xdr:to>
      <xdr:col>3</xdr:col>
      <xdr:colOff>571500</xdr:colOff>
      <xdr:row>6</xdr:row>
      <xdr:rowOff>38100</xdr:rowOff>
    </xdr:to>
    <xdr:sp macro="" textlink="">
      <xdr:nvSpPr>
        <xdr:cNvPr id="92" name="TextBox 91">
          <a:extLst>
            <a:ext uri="{FF2B5EF4-FFF2-40B4-BE49-F238E27FC236}">
              <a16:creationId xmlns:a16="http://schemas.microsoft.com/office/drawing/2014/main" id="{00000000-0008-0000-0300-00005C000000}"/>
            </a:ext>
          </a:extLst>
        </xdr:cNvPr>
        <xdr:cNvSpPr txBox="1"/>
      </xdr:nvSpPr>
      <xdr:spPr>
        <a:xfrm>
          <a:off x="558801" y="1054100"/>
          <a:ext cx="469899" cy="438150"/>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3</xdr:col>
      <xdr:colOff>171451</xdr:colOff>
      <xdr:row>5</xdr:row>
      <xdr:rowOff>12700</xdr:rowOff>
    </xdr:from>
    <xdr:to>
      <xdr:col>3</xdr:col>
      <xdr:colOff>482601</xdr:colOff>
      <xdr:row>5</xdr:row>
      <xdr:rowOff>63500</xdr:rowOff>
    </xdr:to>
    <xdr:sp macro="" textlink="">
      <xdr:nvSpPr>
        <xdr:cNvPr id="85" name="Minus Sign 84">
          <a:extLst>
            <a:ext uri="{FF2B5EF4-FFF2-40B4-BE49-F238E27FC236}">
              <a16:creationId xmlns:a16="http://schemas.microsoft.com/office/drawing/2014/main" id="{00000000-0008-0000-0300-000055000000}"/>
            </a:ext>
          </a:extLst>
        </xdr:cNvPr>
        <xdr:cNvSpPr/>
      </xdr:nvSpPr>
      <xdr:spPr>
        <a:xfrm>
          <a:off x="628651" y="1257300"/>
          <a:ext cx="311150" cy="5080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editAs="oneCell">
    <xdr:from>
      <xdr:col>3</xdr:col>
      <xdr:colOff>152399</xdr:colOff>
      <xdr:row>2</xdr:row>
      <xdr:rowOff>138339</xdr:rowOff>
    </xdr:from>
    <xdr:to>
      <xdr:col>3</xdr:col>
      <xdr:colOff>482600</xdr:colOff>
      <xdr:row>3</xdr:row>
      <xdr:rowOff>304800</xdr:rowOff>
    </xdr:to>
    <xdr:pic>
      <xdr:nvPicPr>
        <xdr:cNvPr id="84" name="Graphic 6" descr="Agriculture with solid fill">
          <a:extLst>
            <a:ext uri="{FF2B5EF4-FFF2-40B4-BE49-F238E27FC236}">
              <a16:creationId xmlns:a16="http://schemas.microsoft.com/office/drawing/2014/main" id="{00000000-0008-0000-0300-00005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599" y="532039"/>
          <a:ext cx="330201" cy="363311"/>
        </a:xfrm>
        <a:prstGeom prst="rect">
          <a:avLst/>
        </a:prstGeom>
      </xdr:spPr>
    </xdr:pic>
    <xdr:clientData/>
  </xdr:twoCellAnchor>
  <xdr:twoCellAnchor>
    <xdr:from>
      <xdr:col>3</xdr:col>
      <xdr:colOff>82550</xdr:colOff>
      <xdr:row>6</xdr:row>
      <xdr:rowOff>107950</xdr:rowOff>
    </xdr:from>
    <xdr:to>
      <xdr:col>3</xdr:col>
      <xdr:colOff>565150</xdr:colOff>
      <xdr:row>8</xdr:row>
      <xdr:rowOff>63500</xdr:rowOff>
    </xdr:to>
    <xdr:sp macro="" textlink="">
      <xdr:nvSpPr>
        <xdr:cNvPr id="93" name="TextBox 92">
          <a:extLst>
            <a:ext uri="{FF2B5EF4-FFF2-40B4-BE49-F238E27FC236}">
              <a16:creationId xmlns:a16="http://schemas.microsoft.com/office/drawing/2014/main" id="{00000000-0008-0000-0300-00005D000000}"/>
            </a:ext>
          </a:extLst>
        </xdr:cNvPr>
        <xdr:cNvSpPr txBox="1"/>
      </xdr:nvSpPr>
      <xdr:spPr>
        <a:xfrm>
          <a:off x="539750" y="1562100"/>
          <a:ext cx="482600" cy="393700"/>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editAs="oneCell">
    <xdr:from>
      <xdr:col>3</xdr:col>
      <xdr:colOff>152400</xdr:colOff>
      <xdr:row>6</xdr:row>
      <xdr:rowOff>139700</xdr:rowOff>
    </xdr:from>
    <xdr:to>
      <xdr:col>3</xdr:col>
      <xdr:colOff>488495</xdr:colOff>
      <xdr:row>8</xdr:row>
      <xdr:rowOff>27671</xdr:rowOff>
    </xdr:to>
    <xdr:pic>
      <xdr:nvPicPr>
        <xdr:cNvPr id="86" name="Graphic 3" descr="Aquarius with solid fill">
          <a:extLst>
            <a:ext uri="{FF2B5EF4-FFF2-40B4-BE49-F238E27FC236}">
              <a16:creationId xmlns:a16="http://schemas.microsoft.com/office/drawing/2014/main" id="{00000000-0008-0000-0300-000056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09600" y="1593850"/>
          <a:ext cx="336095" cy="326121"/>
        </a:xfrm>
        <a:prstGeom prst="rect">
          <a:avLst/>
        </a:prstGeom>
      </xdr:spPr>
    </xdr:pic>
    <xdr:clientData/>
  </xdr:twoCellAnchor>
  <xdr:twoCellAnchor>
    <xdr:from>
      <xdr:col>3</xdr:col>
      <xdr:colOff>615950</xdr:colOff>
      <xdr:row>2</xdr:row>
      <xdr:rowOff>177800</xdr:rowOff>
    </xdr:from>
    <xdr:to>
      <xdr:col>4</xdr:col>
      <xdr:colOff>393700</xdr:colOff>
      <xdr:row>3</xdr:row>
      <xdr:rowOff>241300</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073150" y="571500"/>
          <a:ext cx="1085850" cy="260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ysClr val="windowText" lastClr="000000"/>
              </a:solidFill>
              <a:latin typeface="Rockwell Light" panose="02040303020102020203" pitchFamily="18" charset="0"/>
            </a:rPr>
            <a:t>Area habitats</a:t>
          </a:r>
        </a:p>
      </xdr:txBody>
    </xdr:sp>
    <xdr:clientData/>
  </xdr:twoCellAnchor>
  <xdr:twoCellAnchor>
    <xdr:from>
      <xdr:col>3</xdr:col>
      <xdr:colOff>603250</xdr:colOff>
      <xdr:row>4</xdr:row>
      <xdr:rowOff>6350</xdr:rowOff>
    </xdr:from>
    <xdr:to>
      <xdr:col>4</xdr:col>
      <xdr:colOff>501650</xdr:colOff>
      <xdr:row>6</xdr:row>
      <xdr:rowOff>38100</xdr:rowOff>
    </xdr:to>
    <xdr:sp macro="" textlink="">
      <xdr:nvSpPr>
        <xdr:cNvPr id="94" name="TextBox 93">
          <a:extLst>
            <a:ext uri="{FF2B5EF4-FFF2-40B4-BE49-F238E27FC236}">
              <a16:creationId xmlns:a16="http://schemas.microsoft.com/office/drawing/2014/main" id="{00000000-0008-0000-0300-00005E000000}"/>
            </a:ext>
          </a:extLst>
        </xdr:cNvPr>
        <xdr:cNvSpPr txBox="1"/>
      </xdr:nvSpPr>
      <xdr:spPr>
        <a:xfrm>
          <a:off x="1060450" y="1041400"/>
          <a:ext cx="1206500" cy="450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ysClr val="windowText" lastClr="000000"/>
              </a:solidFill>
              <a:latin typeface="Rockwell Light" panose="02040303020102020203" pitchFamily="18" charset="0"/>
            </a:rPr>
            <a:t>Hedgerows</a:t>
          </a:r>
          <a:r>
            <a:rPr lang="en-GB" sz="1100" b="1" baseline="0">
              <a:solidFill>
                <a:sysClr val="windowText" lastClr="000000"/>
              </a:solidFill>
              <a:latin typeface="Rockwell Light" panose="02040303020102020203" pitchFamily="18" charset="0"/>
            </a:rPr>
            <a:t> and lines of trees</a:t>
          </a:r>
        </a:p>
        <a:p>
          <a:endParaRPr lang="en-GB" sz="1100">
            <a:solidFill>
              <a:sysClr val="windowText" lastClr="000000"/>
            </a:solidFill>
          </a:endParaRPr>
        </a:p>
      </xdr:txBody>
    </xdr:sp>
    <xdr:clientData/>
  </xdr:twoCellAnchor>
  <xdr:twoCellAnchor>
    <xdr:from>
      <xdr:col>3</xdr:col>
      <xdr:colOff>609600</xdr:colOff>
      <xdr:row>6</xdr:row>
      <xdr:rowOff>146050</xdr:rowOff>
    </xdr:from>
    <xdr:to>
      <xdr:col>5</xdr:col>
      <xdr:colOff>38100</xdr:colOff>
      <xdr:row>7</xdr:row>
      <xdr:rowOff>196850</xdr:rowOff>
    </xdr:to>
    <xdr:sp macro="" textlink="">
      <xdr:nvSpPr>
        <xdr:cNvPr id="95" name="TextBox 94">
          <a:extLst>
            <a:ext uri="{FF2B5EF4-FFF2-40B4-BE49-F238E27FC236}">
              <a16:creationId xmlns:a16="http://schemas.microsoft.com/office/drawing/2014/main" id="{00000000-0008-0000-0300-00005F000000}"/>
            </a:ext>
          </a:extLst>
        </xdr:cNvPr>
        <xdr:cNvSpPr txBox="1"/>
      </xdr:nvSpPr>
      <xdr:spPr>
        <a:xfrm>
          <a:off x="1066800" y="1600200"/>
          <a:ext cx="1377950" cy="260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ysClr val="windowText" lastClr="000000"/>
              </a:solidFill>
              <a:latin typeface="Rockwell Light" panose="02040303020102020203" pitchFamily="18" charset="0"/>
            </a:rPr>
            <a:t>Rivers</a:t>
          </a:r>
          <a:r>
            <a:rPr lang="en-GB" sz="1100" b="1" baseline="0">
              <a:solidFill>
                <a:sysClr val="windowText" lastClr="000000"/>
              </a:solidFill>
              <a:latin typeface="Rockwell Light" panose="02040303020102020203" pitchFamily="18" charset="0"/>
            </a:rPr>
            <a:t> and streams</a:t>
          </a:r>
          <a:endParaRPr lang="en-GB" sz="1100" b="1">
            <a:solidFill>
              <a:sysClr val="windowText" lastClr="000000"/>
            </a:solidFill>
            <a:latin typeface="Rockwell Light" panose="02040303020102020203"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452967</xdr:colOff>
      <xdr:row>9</xdr:row>
      <xdr:rowOff>234950</xdr:rowOff>
    </xdr:from>
    <xdr:to>
      <xdr:col>7</xdr:col>
      <xdr:colOff>553367</xdr:colOff>
      <xdr:row>15</xdr:row>
      <xdr:rowOff>97950</xdr:rowOff>
    </xdr:to>
    <xdr:sp macro="[0]!ActivateHeadlineResults" textlink="">
      <xdr:nvSpPr>
        <xdr:cNvPr id="6" name="TextBox 5">
          <a:extLst>
            <a:ext uri="{FF2B5EF4-FFF2-40B4-BE49-F238E27FC236}">
              <a16:creationId xmlns:a16="http://schemas.microsoft.com/office/drawing/2014/main" id="{00000000-0008-0000-0400-000006000000}"/>
            </a:ext>
          </a:extLst>
        </xdr:cNvPr>
        <xdr:cNvSpPr txBox="1"/>
      </xdr:nvSpPr>
      <xdr:spPr>
        <a:xfrm>
          <a:off x="2163234" y="2038350"/>
          <a:ext cx="1980000" cy="1260000"/>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accent1"/>
              </a:solidFill>
              <a:latin typeface="Rockwell Light" panose="02040303020102020203" pitchFamily="18" charset="0"/>
            </a:rPr>
            <a:t>Headline</a:t>
          </a:r>
          <a:r>
            <a:rPr lang="en-GB" sz="1400" b="1" baseline="0">
              <a:solidFill>
                <a:schemeClr val="accent1"/>
              </a:solidFill>
              <a:latin typeface="Rockwell Light" panose="02040303020102020203" pitchFamily="18" charset="0"/>
            </a:rPr>
            <a:t> results</a:t>
          </a:r>
          <a:endParaRPr lang="en-GB" sz="1400" b="1">
            <a:solidFill>
              <a:schemeClr val="accent1"/>
            </a:solidFill>
            <a:latin typeface="Rockwell Light" panose="02040303020102020203" pitchFamily="18" charset="0"/>
          </a:endParaRPr>
        </a:p>
      </xdr:txBody>
    </xdr:sp>
    <xdr:clientData/>
  </xdr:twoCellAnchor>
  <xdr:twoCellAnchor>
    <xdr:from>
      <xdr:col>8</xdr:col>
      <xdr:colOff>397933</xdr:colOff>
      <xdr:row>9</xdr:row>
      <xdr:rowOff>223307</xdr:rowOff>
    </xdr:from>
    <xdr:to>
      <xdr:col>12</xdr:col>
      <xdr:colOff>15733</xdr:colOff>
      <xdr:row>15</xdr:row>
      <xdr:rowOff>86307</xdr:rowOff>
    </xdr:to>
    <xdr:sp macro="[0]!ActivateDetailedResults" textlink="">
      <xdr:nvSpPr>
        <xdr:cNvPr id="9" name="Rounded Rectangle 8">
          <a:extLst>
            <a:ext uri="{FF2B5EF4-FFF2-40B4-BE49-F238E27FC236}">
              <a16:creationId xmlns:a16="http://schemas.microsoft.com/office/drawing/2014/main" id="{00000000-0008-0000-0400-000009000000}"/>
            </a:ext>
          </a:extLst>
        </xdr:cNvPr>
        <xdr:cNvSpPr/>
      </xdr:nvSpPr>
      <xdr:spPr>
        <a:xfrm>
          <a:off x="4614333" y="2026707"/>
          <a:ext cx="1980000" cy="1260000"/>
        </a:xfrm>
        <a:prstGeom prst="roundRect">
          <a:avLst/>
        </a:prstGeom>
        <a:solidFill>
          <a:schemeClr val="accent3"/>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accent1"/>
              </a:solidFill>
              <a:latin typeface="Rockwell Light" panose="02040303020102020203" pitchFamily="18" charset="0"/>
            </a:rPr>
            <a:t>Detailed results</a:t>
          </a:r>
        </a:p>
      </xdr:txBody>
    </xdr:sp>
    <xdr:clientData/>
  </xdr:twoCellAnchor>
  <xdr:twoCellAnchor>
    <xdr:from>
      <xdr:col>12</xdr:col>
      <xdr:colOff>516467</xdr:colOff>
      <xdr:row>9</xdr:row>
      <xdr:rowOff>231773</xdr:rowOff>
    </xdr:from>
    <xdr:to>
      <xdr:col>15</xdr:col>
      <xdr:colOff>650734</xdr:colOff>
      <xdr:row>15</xdr:row>
      <xdr:rowOff>94773</xdr:rowOff>
    </xdr:to>
    <xdr:sp macro="[0]!ActivateTradingSummary" textlink="">
      <xdr:nvSpPr>
        <xdr:cNvPr id="17" name="Rounded Rectangle 16">
          <a:extLst>
            <a:ext uri="{FF2B5EF4-FFF2-40B4-BE49-F238E27FC236}">
              <a16:creationId xmlns:a16="http://schemas.microsoft.com/office/drawing/2014/main" id="{00000000-0008-0000-0400-000011000000}"/>
            </a:ext>
          </a:extLst>
        </xdr:cNvPr>
        <xdr:cNvSpPr/>
      </xdr:nvSpPr>
      <xdr:spPr>
        <a:xfrm>
          <a:off x="7095067" y="2035173"/>
          <a:ext cx="1980000" cy="1260000"/>
        </a:xfrm>
        <a:prstGeom prst="roundRect">
          <a:avLst/>
        </a:prstGeom>
        <a:solidFill>
          <a:schemeClr val="accent3"/>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accent1"/>
              </a:solidFill>
              <a:latin typeface="Rockwell Light" panose="02040303020102020203" pitchFamily="18" charset="0"/>
            </a:rPr>
            <a:t>Habitat trading summary</a:t>
          </a:r>
          <a:r>
            <a:rPr lang="en-GB" sz="2000" b="1">
              <a:solidFill>
                <a:schemeClr val="accent1"/>
              </a:solidFill>
              <a:latin typeface="Rockwell Light" panose="02040303020102020203" pitchFamily="18" charset="0"/>
            </a:rPr>
            <a:t> </a:t>
          </a:r>
        </a:p>
      </xdr:txBody>
    </xdr:sp>
    <xdr:clientData/>
  </xdr:twoCellAnchor>
  <xdr:twoCellAnchor>
    <xdr:from>
      <xdr:col>1</xdr:col>
      <xdr:colOff>93134</xdr:colOff>
      <xdr:row>9</xdr:row>
      <xdr:rowOff>220134</xdr:rowOff>
    </xdr:from>
    <xdr:to>
      <xdr:col>3</xdr:col>
      <xdr:colOff>1270000</xdr:colOff>
      <xdr:row>15</xdr:row>
      <xdr:rowOff>83134</xdr:rowOff>
    </xdr:to>
    <xdr:sp macro="[0]!Activatestart" textlink="">
      <xdr:nvSpPr>
        <xdr:cNvPr id="11" name="TextBox 10">
          <a:extLst>
            <a:ext uri="{FF2B5EF4-FFF2-40B4-BE49-F238E27FC236}">
              <a16:creationId xmlns:a16="http://schemas.microsoft.com/office/drawing/2014/main" id="{00000000-0008-0000-0400-00000B000000}"/>
            </a:ext>
          </a:extLst>
        </xdr:cNvPr>
        <xdr:cNvSpPr txBox="1"/>
      </xdr:nvSpPr>
      <xdr:spPr>
        <a:xfrm>
          <a:off x="237067" y="2023534"/>
          <a:ext cx="1464733"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Return to start</a:t>
          </a:r>
        </a:p>
        <a:p>
          <a:pPr algn="ctr"/>
          <a:r>
            <a:rPr lang="en-GB" sz="1400" b="1">
              <a:solidFill>
                <a:schemeClr val="bg1"/>
              </a:solidFill>
              <a:latin typeface="Rockwell Light" panose="02040303020102020203" pitchFamily="18" charset="0"/>
            </a:rPr>
            <a:t>page</a:t>
          </a:r>
        </a:p>
      </xdr:txBody>
    </xdr:sp>
    <xdr:clientData/>
  </xdr:twoCellAnchor>
  <xdr:twoCellAnchor>
    <xdr:from>
      <xdr:col>3</xdr:col>
      <xdr:colOff>38100</xdr:colOff>
      <xdr:row>1</xdr:row>
      <xdr:rowOff>85726</xdr:rowOff>
    </xdr:from>
    <xdr:to>
      <xdr:col>15</xdr:col>
      <xdr:colOff>466725</xdr:colOff>
      <xdr:row>7</xdr:row>
      <xdr:rowOff>123826</xdr:rowOff>
    </xdr:to>
    <xdr:sp macro="" textlink="">
      <xdr:nvSpPr>
        <xdr:cNvPr id="8" name="TextBox 7">
          <a:extLst>
            <a:ext uri="{FF2B5EF4-FFF2-40B4-BE49-F238E27FC236}">
              <a16:creationId xmlns:a16="http://schemas.microsoft.com/office/drawing/2014/main" id="{00000000-0008-0000-0400-000008000000}"/>
            </a:ext>
          </a:extLst>
        </xdr:cNvPr>
        <xdr:cNvSpPr txBox="1"/>
      </xdr:nvSpPr>
      <xdr:spPr>
        <a:xfrm>
          <a:off x="466725" y="285751"/>
          <a:ext cx="8210550" cy="127635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chemeClr val="accent1"/>
              </a:solidFill>
              <a:effectLst/>
              <a:latin typeface="Source Sans Pro" panose="020B0503030403020204" pitchFamily="34" charset="0"/>
              <a:ea typeface="Source Sans Pro" panose="020B0503030403020204" pitchFamily="34" charset="0"/>
              <a:cs typeface="+mn-cs"/>
            </a:rPr>
            <a:t>The Biodiversity Metric 3.1 - Calculation Tool</a:t>
          </a:r>
        </a:p>
        <a:p>
          <a:pPr algn="ctr"/>
          <a:r>
            <a:rPr lang="en-GB" sz="2800" b="0" i="0" u="none" strike="noStrike">
              <a:solidFill>
                <a:schemeClr val="accent1"/>
              </a:solidFill>
              <a:effectLst/>
              <a:latin typeface="Source Sans Pro" panose="020B0503030403020204" pitchFamily="34" charset="0"/>
              <a:ea typeface="Source Sans Pro" panose="020B0503030403020204" pitchFamily="34" charset="0"/>
              <a:cs typeface="+mn-cs"/>
            </a:rPr>
            <a:t>Results</a:t>
          </a:r>
          <a:endParaRPr lang="en-GB" sz="2800" b="0">
            <a:solidFill>
              <a:schemeClr val="accent1"/>
            </a:solidFill>
            <a:latin typeface="Source Sans Pro" panose="020B0503030403020204" pitchFamily="34" charset="0"/>
            <a:ea typeface="Source Sans Pro" panose="020B0503030403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166791</xdr:colOff>
      <xdr:row>1</xdr:row>
      <xdr:rowOff>12701</xdr:rowOff>
    </xdr:from>
    <xdr:to>
      <xdr:col>4</xdr:col>
      <xdr:colOff>1466850</xdr:colOff>
      <xdr:row>3</xdr:row>
      <xdr:rowOff>190500</xdr:rowOff>
    </xdr:to>
    <xdr:sp macro="[0]!ActivateResults" textlink="">
      <xdr:nvSpPr>
        <xdr:cNvPr id="26" name="TextBox 25">
          <a:extLst>
            <a:ext uri="{FF2B5EF4-FFF2-40B4-BE49-F238E27FC236}">
              <a16:creationId xmlns:a16="http://schemas.microsoft.com/office/drawing/2014/main" id="{00000000-0008-0000-0500-00001A000000}"/>
            </a:ext>
          </a:extLst>
        </xdr:cNvPr>
        <xdr:cNvSpPr txBox="1"/>
      </xdr:nvSpPr>
      <xdr:spPr>
        <a:xfrm>
          <a:off x="4367316" y="212726"/>
          <a:ext cx="1300059" cy="615949"/>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accent1"/>
              </a:solidFill>
              <a:latin typeface="+mn-lt"/>
            </a:rPr>
            <a:t>Return to results menu</a:t>
          </a: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18</xdr:col>
      <xdr:colOff>289188</xdr:colOff>
      <xdr:row>34</xdr:row>
      <xdr:rowOff>169636</xdr:rowOff>
    </xdr:from>
    <xdr:to>
      <xdr:col>26</xdr:col>
      <xdr:colOff>146049</xdr:colOff>
      <xdr:row>48</xdr:row>
      <xdr:rowOff>87360</xdr:rowOff>
    </xdr:to>
    <xdr:graphicFrame macro="">
      <xdr:nvGraphicFramePr>
        <xdr:cNvPr id="23" name="Chart 22">
          <a:extLst>
            <a:ext uri="{FF2B5EF4-FFF2-40B4-BE49-F238E27FC236}">
              <a16:creationId xmlns:a16="http://schemas.microsoft.com/office/drawing/2014/main" id="{00000000-0008-0000-0600-00001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27</xdr:col>
      <xdr:colOff>228601</xdr:colOff>
      <xdr:row>34</xdr:row>
      <xdr:rowOff>167640</xdr:rowOff>
    </xdr:from>
    <xdr:to>
      <xdr:col>35</xdr:col>
      <xdr:colOff>34291</xdr:colOff>
      <xdr:row>48</xdr:row>
      <xdr:rowOff>106680</xdr:rowOff>
    </xdr:to>
    <xdr:graphicFrame macro="">
      <xdr:nvGraphicFramePr>
        <xdr:cNvPr id="25" name="Chart 24">
          <a:extLst>
            <a:ext uri="{FF2B5EF4-FFF2-40B4-BE49-F238E27FC236}">
              <a16:creationId xmlns:a16="http://schemas.microsoft.com/office/drawing/2014/main" id="{00000000-0008-0000-06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18</xdr:col>
      <xdr:colOff>203200</xdr:colOff>
      <xdr:row>52</xdr:row>
      <xdr:rowOff>88901</xdr:rowOff>
    </xdr:from>
    <xdr:to>
      <xdr:col>34</xdr:col>
      <xdr:colOff>515621</xdr:colOff>
      <xdr:row>68</xdr:row>
      <xdr:rowOff>114936</xdr:rowOff>
    </xdr:to>
    <xdr:graphicFrame macro="">
      <xdr:nvGraphicFramePr>
        <xdr:cNvPr id="27" name="Chart 26">
          <a:extLst>
            <a:ext uri="{FF2B5EF4-FFF2-40B4-BE49-F238E27FC236}">
              <a16:creationId xmlns:a16="http://schemas.microsoft.com/office/drawing/2014/main" id="{00000000-0008-0000-06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9</xdr:col>
      <xdr:colOff>6985</xdr:colOff>
      <xdr:row>52</xdr:row>
      <xdr:rowOff>83493</xdr:rowOff>
    </xdr:from>
    <xdr:to>
      <xdr:col>17</xdr:col>
      <xdr:colOff>157866</xdr:colOff>
      <xdr:row>68</xdr:row>
      <xdr:rowOff>165735</xdr:rowOff>
    </xdr:to>
    <xdr:graphicFrame macro="">
      <xdr:nvGraphicFramePr>
        <xdr:cNvPr id="28" name="Chart 27">
          <a:extLst>
            <a:ext uri="{FF2B5EF4-FFF2-40B4-BE49-F238E27FC236}">
              <a16:creationId xmlns:a16="http://schemas.microsoft.com/office/drawing/2014/main" id="{00000000-0008-0000-06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12</xdr:col>
      <xdr:colOff>723901</xdr:colOff>
      <xdr:row>34</xdr:row>
      <xdr:rowOff>168050</xdr:rowOff>
    </xdr:from>
    <xdr:to>
      <xdr:col>17</xdr:col>
      <xdr:colOff>50801</xdr:colOff>
      <xdr:row>48</xdr:row>
      <xdr:rowOff>133168</xdr:rowOff>
    </xdr:to>
    <xdr:graphicFrame macro="">
      <xdr:nvGraphicFramePr>
        <xdr:cNvPr id="31" name="Chart 30">
          <a:extLst>
            <a:ext uri="{FF2B5EF4-FFF2-40B4-BE49-F238E27FC236}">
              <a16:creationId xmlns:a16="http://schemas.microsoft.com/office/drawing/2014/main" id="{00000000-0008-0000-0600-00001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9</xdr:col>
      <xdr:colOff>38099</xdr:colOff>
      <xdr:row>71</xdr:row>
      <xdr:rowOff>172629</xdr:rowOff>
    </xdr:from>
    <xdr:to>
      <xdr:col>17</xdr:col>
      <xdr:colOff>134620</xdr:colOff>
      <xdr:row>87</xdr:row>
      <xdr:rowOff>188595</xdr:rowOff>
    </xdr:to>
    <xdr:graphicFrame macro="">
      <xdr:nvGraphicFramePr>
        <xdr:cNvPr id="34" name="Chart 33">
          <a:extLst>
            <a:ext uri="{FF2B5EF4-FFF2-40B4-BE49-F238E27FC236}">
              <a16:creationId xmlns:a16="http://schemas.microsoft.com/office/drawing/2014/main" id="{00000000-0008-0000-0600-00002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135466</xdr:colOff>
      <xdr:row>1</xdr:row>
      <xdr:rowOff>4</xdr:rowOff>
    </xdr:from>
    <xdr:to>
      <xdr:col>5</xdr:col>
      <xdr:colOff>923925</xdr:colOff>
      <xdr:row>3</xdr:row>
      <xdr:rowOff>209551</xdr:rowOff>
    </xdr:to>
    <xdr:sp macro="[0]!ActivateResults" textlink="">
      <xdr:nvSpPr>
        <xdr:cNvPr id="29" name="TextBox 28">
          <a:extLst>
            <a:ext uri="{FF2B5EF4-FFF2-40B4-BE49-F238E27FC236}">
              <a16:creationId xmlns:a16="http://schemas.microsoft.com/office/drawing/2014/main" id="{00000000-0008-0000-0600-00001D000000}"/>
            </a:ext>
          </a:extLst>
        </xdr:cNvPr>
        <xdr:cNvSpPr txBox="1"/>
      </xdr:nvSpPr>
      <xdr:spPr>
        <a:xfrm>
          <a:off x="7422091" y="200029"/>
          <a:ext cx="1855259" cy="733422"/>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accent1"/>
              </a:solidFill>
              <a:latin typeface="Rockwell Light" panose="02040303020102020203" pitchFamily="18" charset="0"/>
            </a:rPr>
            <a:t>Return to results  menu</a:t>
          </a:r>
        </a:p>
      </xdr:txBody>
    </xdr:sp>
    <xdr:clientData/>
  </xdr:twoCellAnchor>
  <xdr:twoCellAnchor editAs="absolute">
    <xdr:from>
      <xdr:col>18</xdr:col>
      <xdr:colOff>221343</xdr:colOff>
      <xdr:row>72</xdr:row>
      <xdr:rowOff>24492</xdr:rowOff>
    </xdr:from>
    <xdr:to>
      <xdr:col>34</xdr:col>
      <xdr:colOff>551543</xdr:colOff>
      <xdr:row>87</xdr:row>
      <xdr:rowOff>184603</xdr:rowOff>
    </xdr:to>
    <xdr:graphicFrame macro="">
      <xdr:nvGraphicFramePr>
        <xdr:cNvPr id="11" name="Chart 10">
          <a:extLst>
            <a:ext uri="{FF2B5EF4-FFF2-40B4-BE49-F238E27FC236}">
              <a16:creationId xmlns:a16="http://schemas.microsoft.com/office/drawing/2014/main" id="{00000000-0008-0000-06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12</xdr:col>
      <xdr:colOff>800100</xdr:colOff>
      <xdr:row>94</xdr:row>
      <xdr:rowOff>62864</xdr:rowOff>
    </xdr:from>
    <xdr:to>
      <xdr:col>17</xdr:col>
      <xdr:colOff>217170</xdr:colOff>
      <xdr:row>108</xdr:row>
      <xdr:rowOff>95250</xdr:rowOff>
    </xdr:to>
    <xdr:graphicFrame macro="">
      <xdr:nvGraphicFramePr>
        <xdr:cNvPr id="15" name="Chart 14">
          <a:extLst>
            <a:ext uri="{FF2B5EF4-FFF2-40B4-BE49-F238E27FC236}">
              <a16:creationId xmlns:a16="http://schemas.microsoft.com/office/drawing/2014/main" id="{00000000-0008-0000-06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18</xdr:col>
      <xdr:colOff>152400</xdr:colOff>
      <xdr:row>94</xdr:row>
      <xdr:rowOff>51707</xdr:rowOff>
    </xdr:from>
    <xdr:to>
      <xdr:col>25</xdr:col>
      <xdr:colOff>330653</xdr:colOff>
      <xdr:row>108</xdr:row>
      <xdr:rowOff>89808</xdr:rowOff>
    </xdr:to>
    <xdr:graphicFrame macro="">
      <xdr:nvGraphicFramePr>
        <xdr:cNvPr id="16" name="Chart 15">
          <a:extLst>
            <a:ext uri="{FF2B5EF4-FFF2-40B4-BE49-F238E27FC236}">
              <a16:creationId xmlns:a16="http://schemas.microsoft.com/office/drawing/2014/main" id="{00000000-0008-0000-06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absolute">
    <xdr:from>
      <xdr:col>26</xdr:col>
      <xdr:colOff>326571</xdr:colOff>
      <xdr:row>94</xdr:row>
      <xdr:rowOff>38101</xdr:rowOff>
    </xdr:from>
    <xdr:to>
      <xdr:col>34</xdr:col>
      <xdr:colOff>170090</xdr:colOff>
      <xdr:row>108</xdr:row>
      <xdr:rowOff>146957</xdr:rowOff>
    </xdr:to>
    <xdr:graphicFrame macro="">
      <xdr:nvGraphicFramePr>
        <xdr:cNvPr id="17" name="Chart 16">
          <a:extLst>
            <a:ext uri="{FF2B5EF4-FFF2-40B4-BE49-F238E27FC236}">
              <a16:creationId xmlns:a16="http://schemas.microsoft.com/office/drawing/2014/main" id="{00000000-0008-0000-06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absolute">
    <xdr:from>
      <xdr:col>9</xdr:col>
      <xdr:colOff>4084</xdr:colOff>
      <xdr:row>113</xdr:row>
      <xdr:rowOff>57150</xdr:rowOff>
    </xdr:from>
    <xdr:to>
      <xdr:col>17</xdr:col>
      <xdr:colOff>165850</xdr:colOff>
      <xdr:row>128</xdr:row>
      <xdr:rowOff>78921</xdr:rowOff>
    </xdr:to>
    <xdr:graphicFrame macro="">
      <xdr:nvGraphicFramePr>
        <xdr:cNvPr id="18" name="Chart 17">
          <a:extLst>
            <a:ext uri="{FF2B5EF4-FFF2-40B4-BE49-F238E27FC236}">
              <a16:creationId xmlns:a16="http://schemas.microsoft.com/office/drawing/2014/main" id="{00000000-0008-0000-06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absolute">
    <xdr:from>
      <xdr:col>9</xdr:col>
      <xdr:colOff>6896</xdr:colOff>
      <xdr:row>131</xdr:row>
      <xdr:rowOff>124549</xdr:rowOff>
    </xdr:from>
    <xdr:to>
      <xdr:col>17</xdr:col>
      <xdr:colOff>266700</xdr:colOff>
      <xdr:row>149</xdr:row>
      <xdr:rowOff>104775</xdr:rowOff>
    </xdr:to>
    <xdr:graphicFrame macro="">
      <xdr:nvGraphicFramePr>
        <xdr:cNvPr id="19" name="Chart 18">
          <a:extLst>
            <a:ext uri="{FF2B5EF4-FFF2-40B4-BE49-F238E27FC236}">
              <a16:creationId xmlns:a16="http://schemas.microsoft.com/office/drawing/2014/main" id="{00000000-0008-0000-06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absolute">
    <xdr:from>
      <xdr:col>17</xdr:col>
      <xdr:colOff>723900</xdr:colOff>
      <xdr:row>113</xdr:row>
      <xdr:rowOff>0</xdr:rowOff>
    </xdr:from>
    <xdr:to>
      <xdr:col>34</xdr:col>
      <xdr:colOff>198121</xdr:colOff>
      <xdr:row>128</xdr:row>
      <xdr:rowOff>47625</xdr:rowOff>
    </xdr:to>
    <xdr:graphicFrame macro="">
      <xdr:nvGraphicFramePr>
        <xdr:cNvPr id="20" name="Chart 19">
          <a:extLst>
            <a:ext uri="{FF2B5EF4-FFF2-40B4-BE49-F238E27FC236}">
              <a16:creationId xmlns:a16="http://schemas.microsoft.com/office/drawing/2014/main" id="{00000000-0008-0000-06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absolute">
    <xdr:from>
      <xdr:col>17</xdr:col>
      <xdr:colOff>736600</xdr:colOff>
      <xdr:row>131</xdr:row>
      <xdr:rowOff>85725</xdr:rowOff>
    </xdr:from>
    <xdr:to>
      <xdr:col>34</xdr:col>
      <xdr:colOff>274411</xdr:colOff>
      <xdr:row>149</xdr:row>
      <xdr:rowOff>117475</xdr:rowOff>
    </xdr:to>
    <xdr:graphicFrame macro="">
      <xdr:nvGraphicFramePr>
        <xdr:cNvPr id="21" name="Chart 20">
          <a:extLst>
            <a:ext uri="{FF2B5EF4-FFF2-40B4-BE49-F238E27FC236}">
              <a16:creationId xmlns:a16="http://schemas.microsoft.com/office/drawing/2014/main" id="{00000000-0008-0000-06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absolute">
    <xdr:from>
      <xdr:col>12</xdr:col>
      <xdr:colOff>844550</xdr:colOff>
      <xdr:row>155</xdr:row>
      <xdr:rowOff>111306</xdr:rowOff>
    </xdr:from>
    <xdr:to>
      <xdr:col>17</xdr:col>
      <xdr:colOff>280308</xdr:colOff>
      <xdr:row>170</xdr:row>
      <xdr:rowOff>44360</xdr:rowOff>
    </xdr:to>
    <xdr:graphicFrame macro="">
      <xdr:nvGraphicFramePr>
        <xdr:cNvPr id="24" name="Chart 23">
          <a:extLst>
            <a:ext uri="{FF2B5EF4-FFF2-40B4-BE49-F238E27FC236}">
              <a16:creationId xmlns:a16="http://schemas.microsoft.com/office/drawing/2014/main" id="{00000000-0008-0000-06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absolute">
    <xdr:from>
      <xdr:col>18</xdr:col>
      <xdr:colOff>30018</xdr:colOff>
      <xdr:row>155</xdr:row>
      <xdr:rowOff>73726</xdr:rowOff>
    </xdr:from>
    <xdr:to>
      <xdr:col>25</xdr:col>
      <xdr:colOff>295275</xdr:colOff>
      <xdr:row>169</xdr:row>
      <xdr:rowOff>169429</xdr:rowOff>
    </xdr:to>
    <xdr:graphicFrame macro="">
      <xdr:nvGraphicFramePr>
        <xdr:cNvPr id="26" name="Chart 25">
          <a:extLst>
            <a:ext uri="{FF2B5EF4-FFF2-40B4-BE49-F238E27FC236}">
              <a16:creationId xmlns:a16="http://schemas.microsoft.com/office/drawing/2014/main" id="{00000000-0008-0000-06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absolute">
    <xdr:from>
      <xdr:col>26</xdr:col>
      <xdr:colOff>200026</xdr:colOff>
      <xdr:row>155</xdr:row>
      <xdr:rowOff>62592</xdr:rowOff>
    </xdr:from>
    <xdr:to>
      <xdr:col>34</xdr:col>
      <xdr:colOff>152287</xdr:colOff>
      <xdr:row>170</xdr:row>
      <xdr:rowOff>6350</xdr:rowOff>
    </xdr:to>
    <xdr:graphicFrame macro="">
      <xdr:nvGraphicFramePr>
        <xdr:cNvPr id="30" name="Chart 29">
          <a:extLst>
            <a:ext uri="{FF2B5EF4-FFF2-40B4-BE49-F238E27FC236}">
              <a16:creationId xmlns:a16="http://schemas.microsoft.com/office/drawing/2014/main" id="{00000000-0008-0000-06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absolute">
    <xdr:from>
      <xdr:col>9</xdr:col>
      <xdr:colOff>161925</xdr:colOff>
      <xdr:row>172</xdr:row>
      <xdr:rowOff>156483</xdr:rowOff>
    </xdr:from>
    <xdr:to>
      <xdr:col>17</xdr:col>
      <xdr:colOff>333216</xdr:colOff>
      <xdr:row>188</xdr:row>
      <xdr:rowOff>163284</xdr:rowOff>
    </xdr:to>
    <xdr:graphicFrame macro="">
      <xdr:nvGraphicFramePr>
        <xdr:cNvPr id="32" name="Chart 31">
          <a:extLst>
            <a:ext uri="{FF2B5EF4-FFF2-40B4-BE49-F238E27FC236}">
              <a16:creationId xmlns:a16="http://schemas.microsoft.com/office/drawing/2014/main" id="{00000000-0008-0000-06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absolute">
    <xdr:from>
      <xdr:col>17</xdr:col>
      <xdr:colOff>685800</xdr:colOff>
      <xdr:row>172</xdr:row>
      <xdr:rowOff>146958</xdr:rowOff>
    </xdr:from>
    <xdr:to>
      <xdr:col>34</xdr:col>
      <xdr:colOff>160021</xdr:colOff>
      <xdr:row>189</xdr:row>
      <xdr:rowOff>1813</xdr:rowOff>
    </xdr:to>
    <xdr:graphicFrame macro="">
      <xdr:nvGraphicFramePr>
        <xdr:cNvPr id="33" name="Chart 32">
          <a:extLst>
            <a:ext uri="{FF2B5EF4-FFF2-40B4-BE49-F238E27FC236}">
              <a16:creationId xmlns:a16="http://schemas.microsoft.com/office/drawing/2014/main" id="{00000000-0008-0000-06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absolute">
    <xdr:from>
      <xdr:col>9</xdr:col>
      <xdr:colOff>152400</xdr:colOff>
      <xdr:row>190</xdr:row>
      <xdr:rowOff>125185</xdr:rowOff>
    </xdr:from>
    <xdr:to>
      <xdr:col>17</xdr:col>
      <xdr:colOff>265249</xdr:colOff>
      <xdr:row>208</xdr:row>
      <xdr:rowOff>29937</xdr:rowOff>
    </xdr:to>
    <xdr:graphicFrame macro="">
      <xdr:nvGraphicFramePr>
        <xdr:cNvPr id="35" name="Chart 34">
          <a:extLst>
            <a:ext uri="{FF2B5EF4-FFF2-40B4-BE49-F238E27FC236}">
              <a16:creationId xmlns:a16="http://schemas.microsoft.com/office/drawing/2014/main" id="{00000000-0008-0000-06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absolute">
    <xdr:from>
      <xdr:col>17</xdr:col>
      <xdr:colOff>685800</xdr:colOff>
      <xdr:row>190</xdr:row>
      <xdr:rowOff>121375</xdr:rowOff>
    </xdr:from>
    <xdr:to>
      <xdr:col>34</xdr:col>
      <xdr:colOff>177800</xdr:colOff>
      <xdr:row>208</xdr:row>
      <xdr:rowOff>19323</xdr:rowOff>
    </xdr:to>
    <xdr:graphicFrame macro="">
      <xdr:nvGraphicFramePr>
        <xdr:cNvPr id="36" name="Chart 35">
          <a:extLst>
            <a:ext uri="{FF2B5EF4-FFF2-40B4-BE49-F238E27FC236}">
              <a16:creationId xmlns:a16="http://schemas.microsoft.com/office/drawing/2014/main" id="{00000000-0008-0000-06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72392</xdr:rowOff>
    </xdr:from>
    <xdr:to>
      <xdr:col>0</xdr:col>
      <xdr:colOff>1057275</xdr:colOff>
      <xdr:row>3</xdr:row>
      <xdr:rowOff>161925</xdr:rowOff>
    </xdr:to>
    <xdr:sp macro="[0]!ActivateResults" textlink="">
      <xdr:nvSpPr>
        <xdr:cNvPr id="4" name="TextBox 3">
          <a:extLst>
            <a:ext uri="{FF2B5EF4-FFF2-40B4-BE49-F238E27FC236}">
              <a16:creationId xmlns:a16="http://schemas.microsoft.com/office/drawing/2014/main" id="{00000000-0008-0000-0700-000004000000}"/>
            </a:ext>
          </a:extLst>
        </xdr:cNvPr>
        <xdr:cNvSpPr txBox="1"/>
      </xdr:nvSpPr>
      <xdr:spPr>
        <a:xfrm>
          <a:off x="85725" y="72392"/>
          <a:ext cx="971550" cy="813433"/>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accent1"/>
              </a:solidFill>
            </a:rPr>
            <a:t>Return to results</a:t>
          </a:r>
        </a:p>
        <a:p>
          <a:pPr algn="ctr"/>
          <a:r>
            <a:rPr lang="en-GB" sz="1200">
              <a:solidFill>
                <a:schemeClr val="accent1"/>
              </a:solidFill>
            </a:rPr>
            <a:t>menu</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0</xdr:colOff>
      <xdr:row>4</xdr:row>
      <xdr:rowOff>123061</xdr:rowOff>
    </xdr:from>
    <xdr:to>
      <xdr:col>7</xdr:col>
      <xdr:colOff>15875</xdr:colOff>
      <xdr:row>7</xdr:row>
      <xdr:rowOff>285750</xdr:rowOff>
    </xdr:to>
    <xdr:grpSp>
      <xdr:nvGrpSpPr>
        <xdr:cNvPr id="7" name="Group 6">
          <a:extLst>
            <a:ext uri="{FF2B5EF4-FFF2-40B4-BE49-F238E27FC236}">
              <a16:creationId xmlns:a16="http://schemas.microsoft.com/office/drawing/2014/main" id="{00000000-0008-0000-0800-000007000000}"/>
            </a:ext>
          </a:extLst>
        </xdr:cNvPr>
        <xdr:cNvGrpSpPr/>
      </xdr:nvGrpSpPr>
      <xdr:grpSpPr>
        <a:xfrm>
          <a:off x="31750" y="872361"/>
          <a:ext cx="7165975" cy="740539"/>
          <a:chOff x="205740" y="877124"/>
          <a:chExt cx="4701455" cy="771786"/>
        </a:xfrm>
      </xdr:grpSpPr>
      <xdr:sp macro="[0]!ToggleHideRows" textlink="">
        <xdr:nvSpPr>
          <xdr:cNvPr id="17" name="Rectangle: Rounded Corners 19">
            <a:extLst>
              <a:ext uri="{FF2B5EF4-FFF2-40B4-BE49-F238E27FC236}">
                <a16:creationId xmlns:a16="http://schemas.microsoft.com/office/drawing/2014/main" id="{00000000-0008-0000-0800-000011000000}"/>
              </a:ext>
            </a:extLst>
          </xdr:cNvPr>
          <xdr:cNvSpPr/>
        </xdr:nvSpPr>
        <xdr:spPr>
          <a:xfrm>
            <a:off x="2620817" y="883920"/>
            <a:ext cx="2286000" cy="360001"/>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b="0">
                <a:latin typeface="+mn-lt"/>
              </a:rPr>
              <a:t>Condense / Show Rows</a:t>
            </a:r>
          </a:p>
        </xdr:txBody>
      </xdr:sp>
      <xdr:sp macro="[0]!ActivateSelectWorksheet" textlink="">
        <xdr:nvSpPr>
          <xdr:cNvPr id="15" name="Rounded Rectangle 14">
            <a:extLst>
              <a:ext uri="{FF2B5EF4-FFF2-40B4-BE49-F238E27FC236}">
                <a16:creationId xmlns:a16="http://schemas.microsoft.com/office/drawing/2014/main" id="{00000000-0008-0000-0800-00000F000000}"/>
              </a:ext>
            </a:extLst>
          </xdr:cNvPr>
          <xdr:cNvSpPr/>
        </xdr:nvSpPr>
        <xdr:spPr>
          <a:xfrm>
            <a:off x="205740" y="1341124"/>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mn-lt"/>
              </a:rPr>
              <a:t>Main M</a:t>
            </a:r>
            <a:r>
              <a:rPr lang="en-GB" sz="1200">
                <a:solidFill>
                  <a:schemeClr val="bg1"/>
                </a:solidFill>
                <a:latin typeface="+mn-lt"/>
              </a:rPr>
              <a:t>enu </a:t>
            </a:r>
          </a:p>
        </xdr:txBody>
      </xdr:sp>
      <xdr:sp macro="[0]!ActivateInstructions" textlink="">
        <xdr:nvSpPr>
          <xdr:cNvPr id="16" name="Rounded Rectangle 15">
            <a:extLst>
              <a:ext uri="{FF2B5EF4-FFF2-40B4-BE49-F238E27FC236}">
                <a16:creationId xmlns:a16="http://schemas.microsoft.com/office/drawing/2014/main" id="{00000000-0008-0000-0800-000010000000}"/>
              </a:ext>
            </a:extLst>
          </xdr:cNvPr>
          <xdr:cNvSpPr/>
        </xdr:nvSpPr>
        <xdr:spPr>
          <a:xfrm>
            <a:off x="2621195" y="1360910"/>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mn-lt"/>
              </a:rPr>
              <a:t>Instructions</a:t>
            </a:r>
          </a:p>
        </xdr:txBody>
      </xdr:sp>
      <xdr:sp macro="[0]!ToggleHideColumns" textlink="">
        <xdr:nvSpPr>
          <xdr:cNvPr id="19" name="Rectangle: Rounded Corners 19">
            <a:extLst>
              <a:ext uri="{FF2B5EF4-FFF2-40B4-BE49-F238E27FC236}">
                <a16:creationId xmlns:a16="http://schemas.microsoft.com/office/drawing/2014/main" id="{00000000-0008-0000-0800-000013000000}"/>
              </a:ext>
            </a:extLst>
          </xdr:cNvPr>
          <xdr:cNvSpPr/>
        </xdr:nvSpPr>
        <xdr:spPr>
          <a:xfrm>
            <a:off x="206819" y="877124"/>
            <a:ext cx="2286000" cy="360001"/>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mn-lt"/>
              </a:rPr>
              <a:t>Condense / Show Columns</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YN264DF\m312897$\Net%20Gain\Latest%20Tool%20with%20updated%20hedgerows%2006%2011%202020.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Net%20Gain\Rivers%20and%20Streams\Master%20metric%20with%20RS%20amendments%20with%20new%20G7%20layout.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YN264DF\m312897$\Net%20Gain\Rivers%20and%20Streams\Master%20metric%20with%20RS%20amendments%20with%20new%20G7%20layou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Start"/>
      <sheetName val="Instructions"/>
      <sheetName val="Main Menu"/>
      <sheetName val="Results"/>
      <sheetName val="Headline Results"/>
      <sheetName val="Detailed Results"/>
      <sheetName val="Trading Summary"/>
      <sheetName val="C-1 Site River Baseline"/>
      <sheetName val="C-2 Site River Creation"/>
      <sheetName val="C-3 Site River Enhancement"/>
      <sheetName val="F-1 Off Site River Baseline"/>
      <sheetName val="F-2 Off Site River Creation"/>
      <sheetName val="F-3 Off Site River Enhancement"/>
      <sheetName val="G-7 Rivers Data"/>
      <sheetName val="A-1 Site Habitat Baseline"/>
      <sheetName val="A-2 Site Habitat Creation"/>
      <sheetName val="A-3 Site Habitat Enhancement"/>
      <sheetName val="A-4 Site Habitat Succession"/>
      <sheetName val="D-1 Off Site Habitat Baseline"/>
      <sheetName val="D-2 Off Site Habitat Creation"/>
      <sheetName val="D-3 Off Site Habitat Enhancment"/>
      <sheetName val="D-4 Off Site Habitat Succession"/>
      <sheetName val="B-1 Site Hedge Baseline"/>
      <sheetName val="B-2 Site Hedge Creation"/>
      <sheetName val="B-3 Site Hedge Enhancement"/>
      <sheetName val="E-1 Off Site Hedge Baseline"/>
      <sheetName val="E-2 Off Site Hedge Creation"/>
      <sheetName val="E-3 Off Site Hedge Enhancement"/>
      <sheetName val="G-6 Hedgerow Data"/>
      <sheetName val="G-1 All Habitats"/>
      <sheetName val="G-2 Habitat groups"/>
      <sheetName val="G-3 Multipliers"/>
      <sheetName val="G-4 Temporal multipliers"/>
      <sheetName val="G-5 Enhancement Temporal"/>
      <sheetName val="G-8 Condition Look up"/>
      <sheetName val="G-9 Translation Phase 1"/>
      <sheetName val="Technical Data"/>
      <sheetName val="List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sheetData sheetId="27" refreshError="1"/>
      <sheetData sheetId="28" refreshError="1"/>
      <sheetData sheetId="29">
        <row r="3">
          <cell r="B3" t="str">
            <v>Native Species Rich Hedgerow with trees - Associated with bank or ditch</v>
          </cell>
        </row>
      </sheetData>
      <sheetData sheetId="30"/>
      <sheetData sheetId="31" refreshError="1"/>
      <sheetData sheetId="32"/>
      <sheetData sheetId="33"/>
      <sheetData sheetId="34" refreshError="1"/>
      <sheetData sheetId="35" refreshError="1"/>
      <sheetData sheetId="36" refreshError="1"/>
      <sheetData sheetId="37" refreshError="1"/>
      <sheetData sheetId="3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Start"/>
      <sheetName val="Instructions"/>
      <sheetName val="Main Menu"/>
      <sheetName val="Results"/>
      <sheetName val="Headline Results"/>
      <sheetName val="Detailed Results"/>
      <sheetName val="Trading Summary"/>
      <sheetName val="A-1 Site Habitat Baseline"/>
      <sheetName val="A-2 Site Habitat Creation"/>
      <sheetName val="A-3 Site Habitat Enhancement"/>
      <sheetName val="A-4 Site Habitat Succession"/>
      <sheetName val="B-1 Site Hedge Baseline"/>
      <sheetName val="B-2 Site Hedge Creation"/>
      <sheetName val="B-3 Site Hedge Enhancement"/>
      <sheetName val="C-1 Site River Baseline"/>
      <sheetName val="C-2 Site River Creation"/>
      <sheetName val="C-3 Site River Enhancement"/>
      <sheetName val="D-1 Off Site Habitat Baseline"/>
      <sheetName val="D-2 Off Site Habitat Creation"/>
      <sheetName val="D-3 Off Site Habitat Enhancment"/>
      <sheetName val="D-4 Off Site Habitat Succession"/>
      <sheetName val="E-1 Off Site Hedge Baseline"/>
      <sheetName val="E-2 Off Site Hedge Creation"/>
      <sheetName val="E-3 Off Site Hedge Enhancement"/>
      <sheetName val="F-1 Off Site River Baseline"/>
      <sheetName val="F-2 Off Site River Creation"/>
      <sheetName val="F-3 Off Site River Enhancement"/>
      <sheetName val="G-1 All Habitats"/>
      <sheetName val="G-2 Habitat groups"/>
      <sheetName val="G-3 Multipliers"/>
      <sheetName val="G-4 Temporal multipliers"/>
      <sheetName val="G-5 Enhancement Temporal"/>
      <sheetName val="G-6 Hedgerow Data"/>
      <sheetName val="G-7 Rivers Data"/>
      <sheetName val="G-8 Condition Look up"/>
      <sheetName val="G-9 Translation Phase 1"/>
      <sheetName val="Technical Data"/>
      <sheetName val="Lists"/>
      <sheetName val="Master metric with RS amendment"/>
    </sheetNames>
    <definedNames>
      <definedName name="returnstartG7"/>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9">
          <cell r="C9" t="str">
            <v>Baseline ref</v>
          </cell>
        </row>
      </sheetData>
      <sheetData sheetId="26"/>
      <sheetData sheetId="27"/>
      <sheetData sheetId="28"/>
      <sheetData sheetId="29"/>
      <sheetData sheetId="30"/>
      <sheetData sheetId="31"/>
      <sheetData sheetId="32"/>
      <sheetData sheetId="33"/>
      <sheetData sheetId="34" refreshError="1">
        <row r="2">
          <cell r="C2" t="str">
            <v>Distinctivness</v>
          </cell>
        </row>
        <row r="4">
          <cell r="AA4" t="str">
            <v xml:space="preserve">No Encroachment </v>
          </cell>
          <cell r="AB4">
            <v>1</v>
          </cell>
        </row>
        <row r="5">
          <cell r="AA5" t="str">
            <v>Minor</v>
          </cell>
          <cell r="AB5">
            <v>0.8</v>
          </cell>
        </row>
        <row r="6">
          <cell r="AA6" t="str">
            <v>Major</v>
          </cell>
          <cell r="AB6">
            <v>0.5</v>
          </cell>
        </row>
      </sheetData>
      <sheetData sheetId="35"/>
      <sheetData sheetId="36"/>
      <sheetData sheetId="37"/>
      <sheetData sheetId="38"/>
      <sheetData sheetId="3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7 Rivers Data"/>
      <sheetName val="Introduction"/>
      <sheetName val="Start"/>
      <sheetName val="Instructions"/>
      <sheetName val="Main Menu"/>
      <sheetName val="Results"/>
      <sheetName val="Headline Results"/>
      <sheetName val="Detailed Results"/>
      <sheetName val="Trading Summary"/>
      <sheetName val="A-1 Site Habitat Baseline"/>
      <sheetName val="A-2 Site Habitat Creation"/>
      <sheetName val="A-3 Site Habitat Enhancement"/>
      <sheetName val="A-4 Site Habitat Succession"/>
      <sheetName val="B-1 Site Hedge Baseline"/>
      <sheetName val="B-2 Site Hedge Creation"/>
      <sheetName val="B-3 Site Hedge Enhancement"/>
      <sheetName val="C-1 Site River Baseline"/>
      <sheetName val="C-2 Site River Creation"/>
      <sheetName val="C-3 Site River Enhancement"/>
      <sheetName val="D-1 Off Site Habitat Baseline"/>
      <sheetName val="D-2 Off Site Habitat Creation"/>
      <sheetName val="D-3 Off Site Habitat Enhancment"/>
      <sheetName val="D-4 Off Site Habitat Succession"/>
      <sheetName val="E-1 Off Site Hedge Baseline"/>
      <sheetName val="E-2 Off Site Hedge Creation"/>
      <sheetName val="E-3 Off Site Hedge Enhancement"/>
      <sheetName val="F-1 Off Site River Baseline"/>
      <sheetName val="F-2 Off Site River Creation"/>
      <sheetName val="F-3 Off Site River Enhancement"/>
      <sheetName val="G-1 All Habitats"/>
      <sheetName val="G-2 Habitat groups"/>
      <sheetName val="G-3 Multipliers"/>
      <sheetName val="G-4 Temporal multipliers"/>
      <sheetName val="G-5 Enhancement Temporal"/>
      <sheetName val="G-6 Hedgerow Data"/>
      <sheetName val="G-8 Condition Look up"/>
      <sheetName val="G-9 Translation Phase 1"/>
      <sheetName val="Technical Data"/>
      <sheetName val="Lists"/>
      <sheetName val="Master metric with RS amendment"/>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9">
          <cell r="C9" t="str">
            <v>Baseline ref</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Set>
  </externalBook>
</externalLink>
</file>

<file path=xl/theme/theme1.xml><?xml version="1.0" encoding="utf-8"?>
<a:theme xmlns:a="http://schemas.openxmlformats.org/drawingml/2006/main" name="Office Theme">
  <a:themeElements>
    <a:clrScheme name="Metric Theme Elegant">
      <a:dk1>
        <a:srgbClr val="ABC3C9"/>
      </a:dk1>
      <a:lt1>
        <a:sysClr val="window" lastClr="FFFFFF"/>
      </a:lt1>
      <a:dk2>
        <a:srgbClr val="CCBE9F"/>
      </a:dk2>
      <a:lt2>
        <a:srgbClr val="E0DCD3"/>
      </a:lt2>
      <a:accent1>
        <a:srgbClr val="383745"/>
      </a:accent1>
      <a:accent2>
        <a:srgbClr val="CAB8CB"/>
      </a:accent2>
      <a:accent3>
        <a:srgbClr val="F4D4D4"/>
      </a:accent3>
      <a:accent4>
        <a:srgbClr val="C0C0C0"/>
      </a:accent4>
      <a:accent5>
        <a:srgbClr val="92D050"/>
      </a:accent5>
      <a:accent6>
        <a:srgbClr val="945642"/>
      </a:accent6>
      <a:hlink>
        <a:srgbClr val="00B0F0"/>
      </a:hlink>
      <a:folHlink>
        <a:srgbClr val="FFC00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Metric Theme Elegant">
    <a:dk1>
      <a:srgbClr val="ABC3C9"/>
    </a:dk1>
    <a:lt1>
      <a:sysClr val="window" lastClr="FFFFFF"/>
    </a:lt1>
    <a:dk2>
      <a:srgbClr val="CCBE9F"/>
    </a:dk2>
    <a:lt2>
      <a:srgbClr val="E0DCD3"/>
    </a:lt2>
    <a:accent1>
      <a:srgbClr val="383745"/>
    </a:accent1>
    <a:accent2>
      <a:srgbClr val="CAB8CB"/>
    </a:accent2>
    <a:accent3>
      <a:srgbClr val="F4D4D4"/>
    </a:accent3>
    <a:accent4>
      <a:srgbClr val="C0C0C0"/>
    </a:accent4>
    <a:accent5>
      <a:srgbClr val="92D050"/>
    </a:accent5>
    <a:accent6>
      <a:srgbClr val="945642"/>
    </a:accent6>
    <a:hlink>
      <a:srgbClr val="00B0F0"/>
    </a:hlink>
    <a:folHlink>
      <a:srgbClr val="FFC00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Metric Theme Elegant">
    <a:dk1>
      <a:srgbClr val="ABC3C9"/>
    </a:dk1>
    <a:lt1>
      <a:sysClr val="window" lastClr="FFFFFF"/>
    </a:lt1>
    <a:dk2>
      <a:srgbClr val="CCBE9F"/>
    </a:dk2>
    <a:lt2>
      <a:srgbClr val="E0DCD3"/>
    </a:lt2>
    <a:accent1>
      <a:srgbClr val="383745"/>
    </a:accent1>
    <a:accent2>
      <a:srgbClr val="CAB8CB"/>
    </a:accent2>
    <a:accent3>
      <a:srgbClr val="F4D4D4"/>
    </a:accent3>
    <a:accent4>
      <a:srgbClr val="C0C0C0"/>
    </a:accent4>
    <a:accent5>
      <a:srgbClr val="92D050"/>
    </a:accent5>
    <a:accent6>
      <a:srgbClr val="945642"/>
    </a:accent6>
    <a:hlink>
      <a:srgbClr val="00B0F0"/>
    </a:hlink>
    <a:folHlink>
      <a:srgbClr val="FFC00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Metric Theme Elegant">
    <a:dk1>
      <a:srgbClr val="ABC3C9"/>
    </a:dk1>
    <a:lt1>
      <a:sysClr val="window" lastClr="FFFFFF"/>
    </a:lt1>
    <a:dk2>
      <a:srgbClr val="CCBE9F"/>
    </a:dk2>
    <a:lt2>
      <a:srgbClr val="E0DCD3"/>
    </a:lt2>
    <a:accent1>
      <a:srgbClr val="383745"/>
    </a:accent1>
    <a:accent2>
      <a:srgbClr val="CAB8CB"/>
    </a:accent2>
    <a:accent3>
      <a:srgbClr val="F4D4D4"/>
    </a:accent3>
    <a:accent4>
      <a:srgbClr val="C0C0C0"/>
    </a:accent4>
    <a:accent5>
      <a:srgbClr val="92D050"/>
    </a:accent5>
    <a:accent6>
      <a:srgbClr val="945642"/>
    </a:accent6>
    <a:hlink>
      <a:srgbClr val="00B0F0"/>
    </a:hlink>
    <a:folHlink>
      <a:srgbClr val="FFC00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3.emf"/><Relationship Id="rId4" Type="http://schemas.openxmlformats.org/officeDocument/2006/relationships/oleObject" Target="../embeddings/oleObject1.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5">
    <tabColor theme="0" tint="-0.249977111117893"/>
  </sheetPr>
  <dimension ref="A1:J591"/>
  <sheetViews>
    <sheetView workbookViewId="0"/>
  </sheetViews>
  <sheetFormatPr defaultColWidth="9.1796875" defaultRowHeight="14.5" customHeight="1" zeroHeight="1" x14ac:dyDescent="0.35"/>
  <cols>
    <col min="1" max="2" width="9.1796875" style="9" customWidth="1"/>
    <col min="3" max="3" width="7" style="9" customWidth="1"/>
    <col min="4" max="6" width="9.1796875" style="9" customWidth="1"/>
    <col min="7" max="7" width="12.1796875" style="9" customWidth="1"/>
    <col min="8" max="8" width="5.7265625" style="9" customWidth="1"/>
    <col min="9" max="9" width="9.1796875" style="9" customWidth="1"/>
    <col min="10" max="10" width="34.54296875" style="9" customWidth="1"/>
    <col min="11" max="11" width="13.7265625" style="9" bestFit="1" customWidth="1"/>
    <col min="12" max="12" width="19.26953125" style="9" customWidth="1"/>
    <col min="13" max="14" width="9.1796875" style="9" customWidth="1"/>
    <col min="15" max="16384" width="9.1796875" style="9"/>
  </cols>
  <sheetData>
    <row r="1" spans="1:7" ht="30" customHeight="1" x14ac:dyDescent="0.5">
      <c r="A1" s="8"/>
      <c r="B1" s="8"/>
      <c r="C1" s="8"/>
      <c r="D1" s="8"/>
      <c r="E1" s="8"/>
      <c r="F1" s="8"/>
      <c r="G1" s="8"/>
    </row>
    <row r="2" spans="1:7" ht="16.5" customHeight="1" x14ac:dyDescent="0.35"/>
    <row r="3" spans="1:7" ht="16.5" customHeight="1" x14ac:dyDescent="0.35"/>
    <row r="4" spans="1:7" ht="16.5" customHeight="1" x14ac:dyDescent="0.35"/>
    <row r="5" spans="1:7" ht="16.5" customHeight="1" x14ac:dyDescent="0.35"/>
    <row r="6" spans="1:7" ht="16.5" customHeight="1" x14ac:dyDescent="0.35"/>
    <row r="7" spans="1:7" ht="16.5" customHeight="1" x14ac:dyDescent="0.35"/>
    <row r="8" spans="1:7" ht="16.5" customHeight="1" x14ac:dyDescent="0.35"/>
    <row r="9" spans="1:7" ht="16.5" customHeight="1" x14ac:dyDescent="0.35"/>
    <row r="10" spans="1:7" ht="16.5" customHeight="1" x14ac:dyDescent="0.35"/>
    <row r="11" spans="1:7" ht="16.5" customHeight="1" x14ac:dyDescent="0.35"/>
    <row r="12" spans="1:7" ht="16.5" customHeight="1" x14ac:dyDescent="0.35"/>
    <row r="13" spans="1:7" ht="16.5" customHeight="1" x14ac:dyDescent="0.35"/>
    <row r="14" spans="1:7" ht="16.5" customHeight="1" x14ac:dyDescent="0.35"/>
    <row r="15" spans="1:7" ht="16.5" customHeight="1" x14ac:dyDescent="0.35"/>
    <row r="16" spans="1:7" ht="16.5" customHeight="1" x14ac:dyDescent="0.35"/>
    <row r="17" spans="10:10" ht="16.5" customHeight="1" x14ac:dyDescent="0.35"/>
    <row r="18" spans="10:10" ht="16.5" customHeight="1" x14ac:dyDescent="0.35"/>
    <row r="19" spans="10:10" ht="16.5" customHeight="1" x14ac:dyDescent="0.35"/>
    <row r="20" spans="10:10" ht="16.5" customHeight="1" x14ac:dyDescent="0.35"/>
    <row r="21" spans="10:10" ht="16.5" customHeight="1" x14ac:dyDescent="0.35"/>
    <row r="22" spans="10:10" ht="16.5" customHeight="1" x14ac:dyDescent="0.35"/>
    <row r="23" spans="10:10" ht="16.5" customHeight="1" x14ac:dyDescent="0.35"/>
    <row r="24" spans="10:10" ht="16.5" customHeight="1" x14ac:dyDescent="0.35"/>
    <row r="25" spans="10:10" ht="16.5" customHeight="1" x14ac:dyDescent="0.35">
      <c r="J25" s="10"/>
    </row>
    <row r="26" spans="10:10" ht="16.5" customHeight="1" x14ac:dyDescent="0.35"/>
    <row r="27" spans="10:10" ht="16.5" customHeight="1" x14ac:dyDescent="0.35"/>
    <row r="28" spans="10:10" ht="16.5" customHeight="1" x14ac:dyDescent="0.35"/>
    <row r="29" spans="10:10" ht="16.5" customHeight="1" x14ac:dyDescent="0.35"/>
    <row r="30" spans="10:10" ht="16.5" customHeight="1" x14ac:dyDescent="0.35"/>
    <row r="31" spans="10:10" ht="16.5" customHeight="1" x14ac:dyDescent="0.35"/>
    <row r="32" spans="10:10" ht="16.5" customHeight="1" x14ac:dyDescent="0.35"/>
    <row r="33" ht="16.5" customHeight="1" x14ac:dyDescent="0.35"/>
    <row r="34" ht="16.5" customHeight="1" x14ac:dyDescent="0.35"/>
    <row r="35" ht="16.5" customHeight="1" x14ac:dyDescent="0.35"/>
    <row r="36" ht="16.5" customHeight="1" x14ac:dyDescent="0.35"/>
    <row r="37" ht="16.5" customHeight="1" x14ac:dyDescent="0.35"/>
    <row r="38" ht="16.5" customHeight="1" x14ac:dyDescent="0.35"/>
    <row r="39" ht="16.5" customHeight="1" x14ac:dyDescent="0.35"/>
    <row r="40" ht="16.5" customHeight="1" x14ac:dyDescent="0.35"/>
    <row r="41" ht="16.5" customHeight="1" x14ac:dyDescent="0.35"/>
    <row r="42" ht="16.5" customHeight="1" x14ac:dyDescent="0.35"/>
    <row r="43" ht="16.5" customHeight="1" x14ac:dyDescent="0.35"/>
    <row r="44" ht="16.5" customHeight="1" x14ac:dyDescent="0.35"/>
    <row r="45" ht="16.5" customHeight="1" x14ac:dyDescent="0.35"/>
    <row r="46" ht="16.5" customHeight="1" x14ac:dyDescent="0.35"/>
    <row r="47" ht="16.5" customHeight="1" x14ac:dyDescent="0.35"/>
    <row r="48" ht="16.5" customHeight="1" x14ac:dyDescent="0.35"/>
    <row r="49" ht="16.5" customHeight="1" x14ac:dyDescent="0.35"/>
    <row r="50" ht="16.5" customHeight="1" x14ac:dyDescent="0.35"/>
    <row r="51" ht="16.5" customHeight="1" x14ac:dyDescent="0.35"/>
    <row r="52" ht="16.5" customHeight="1" x14ac:dyDescent="0.35"/>
    <row r="53" ht="16.5" customHeight="1" x14ac:dyDescent="0.35"/>
    <row r="54" ht="16.5" customHeight="1" x14ac:dyDescent="0.35"/>
    <row r="55" ht="16.5" customHeight="1" x14ac:dyDescent="0.35"/>
    <row r="56" ht="16.5" customHeight="1" x14ac:dyDescent="0.35"/>
    <row r="57" ht="16.5" customHeight="1" x14ac:dyDescent="0.35"/>
    <row r="58" ht="16.5" customHeight="1" x14ac:dyDescent="0.35"/>
    <row r="59" ht="16.5" customHeight="1" x14ac:dyDescent="0.35"/>
    <row r="60" ht="16.5" customHeight="1" x14ac:dyDescent="0.35"/>
    <row r="61" ht="16.5" customHeight="1" x14ac:dyDescent="0.35"/>
    <row r="62" ht="16.5" customHeight="1" x14ac:dyDescent="0.35"/>
    <row r="63" ht="16.5" customHeight="1" x14ac:dyDescent="0.35"/>
    <row r="64" ht="16.5" customHeight="1" x14ac:dyDescent="0.35"/>
    <row r="65" ht="16.5" customHeight="1" x14ac:dyDescent="0.35"/>
    <row r="66" ht="16.5" customHeight="1" x14ac:dyDescent="0.35"/>
    <row r="67" ht="16.5" customHeight="1" x14ac:dyDescent="0.35"/>
    <row r="68" ht="16.5" customHeight="1" x14ac:dyDescent="0.35"/>
    <row r="69" ht="16.5" customHeight="1" x14ac:dyDescent="0.35"/>
    <row r="70" ht="16.5" customHeight="1" x14ac:dyDescent="0.35"/>
    <row r="71" ht="16.5" customHeight="1" x14ac:dyDescent="0.35"/>
    <row r="72" ht="16.5" customHeight="1" x14ac:dyDescent="0.35"/>
    <row r="73" ht="16.5" customHeight="1" x14ac:dyDescent="0.35"/>
    <row r="74" ht="16.5" customHeight="1" x14ac:dyDescent="0.35"/>
    <row r="75" ht="16.5" customHeight="1" x14ac:dyDescent="0.35"/>
    <row r="76" ht="16.5" customHeight="1" x14ac:dyDescent="0.35"/>
    <row r="77" ht="16.5" customHeight="1" x14ac:dyDescent="0.35"/>
    <row r="78" ht="16.5" customHeight="1" x14ac:dyDescent="0.35"/>
    <row r="79" ht="16.5" customHeight="1" x14ac:dyDescent="0.35"/>
    <row r="80" ht="16.5" customHeight="1" x14ac:dyDescent="0.35"/>
    <row r="81" ht="16.5" customHeight="1" x14ac:dyDescent="0.35"/>
    <row r="82" ht="16.5" customHeight="1" x14ac:dyDescent="0.35"/>
    <row r="83" ht="16.5" customHeight="1" x14ac:dyDescent="0.35"/>
    <row r="84" ht="16.5" customHeight="1" x14ac:dyDescent="0.35"/>
    <row r="85" ht="16.5" customHeight="1" x14ac:dyDescent="0.35"/>
    <row r="86" ht="16.5" customHeight="1" x14ac:dyDescent="0.35"/>
    <row r="87" ht="16.5" customHeight="1" x14ac:dyDescent="0.35"/>
    <row r="88" ht="16.5" customHeight="1" x14ac:dyDescent="0.35"/>
    <row r="89" ht="16.5" customHeight="1" x14ac:dyDescent="0.35"/>
    <row r="90" ht="16.5" customHeight="1" x14ac:dyDescent="0.35"/>
    <row r="91" ht="16.5" customHeight="1" x14ac:dyDescent="0.35"/>
    <row r="92" ht="16.5" customHeight="1" x14ac:dyDescent="0.35"/>
    <row r="93" ht="16.5" customHeight="1" x14ac:dyDescent="0.35"/>
    <row r="94" ht="16.5" customHeight="1" x14ac:dyDescent="0.35"/>
    <row r="95" ht="16.5" customHeight="1" x14ac:dyDescent="0.35"/>
    <row r="96" ht="16.5" customHeight="1" x14ac:dyDescent="0.35"/>
    <row r="97" ht="16.5" customHeight="1" x14ac:dyDescent="0.35"/>
    <row r="98" ht="16.5" customHeight="1" x14ac:dyDescent="0.35"/>
    <row r="99" ht="16.5" customHeight="1" x14ac:dyDescent="0.35"/>
    <row r="100" ht="16.5" customHeight="1" x14ac:dyDescent="0.35"/>
    <row r="101" ht="16.5" customHeight="1" x14ac:dyDescent="0.35"/>
    <row r="102" ht="16.5" customHeight="1" x14ac:dyDescent="0.35"/>
    <row r="103" ht="16.5" customHeight="1" x14ac:dyDescent="0.35"/>
    <row r="104" ht="16.5" customHeight="1" x14ac:dyDescent="0.35"/>
    <row r="105" ht="16.5" customHeight="1" x14ac:dyDescent="0.35"/>
    <row r="106" ht="16.5" customHeight="1" x14ac:dyDescent="0.35"/>
    <row r="107" ht="16.5" customHeight="1" x14ac:dyDescent="0.35"/>
    <row r="108" ht="16.5" customHeight="1" x14ac:dyDescent="0.35"/>
    <row r="109" ht="16.5" customHeight="1" x14ac:dyDescent="0.35"/>
    <row r="110" ht="16.5" customHeight="1" x14ac:dyDescent="0.35"/>
    <row r="111" ht="16.5" customHeight="1" x14ac:dyDescent="0.35"/>
    <row r="112" ht="16.5" customHeight="1" x14ac:dyDescent="0.35"/>
    <row r="113" ht="16.5" customHeight="1" x14ac:dyDescent="0.35"/>
    <row r="114" ht="16.5" customHeight="1" x14ac:dyDescent="0.35"/>
    <row r="115" ht="16.5" customHeight="1" x14ac:dyDescent="0.35"/>
    <row r="116" ht="16.5" customHeight="1" x14ac:dyDescent="0.35"/>
    <row r="117" ht="16.5" customHeight="1" x14ac:dyDescent="0.35"/>
    <row r="118" ht="16.5" customHeight="1" x14ac:dyDescent="0.35"/>
    <row r="119" ht="16.5" customHeight="1" x14ac:dyDescent="0.35"/>
    <row r="120" ht="16.5" customHeight="1" x14ac:dyDescent="0.35"/>
    <row r="121" ht="16.5" customHeight="1" x14ac:dyDescent="0.35"/>
    <row r="122" ht="16.5" customHeight="1" x14ac:dyDescent="0.35"/>
    <row r="123" ht="16.5" customHeight="1" x14ac:dyDescent="0.35"/>
    <row r="124" ht="16.5" customHeight="1" x14ac:dyDescent="0.35"/>
    <row r="125" ht="16.5" customHeight="1" x14ac:dyDescent="0.35"/>
    <row r="126" ht="16.5" customHeight="1" x14ac:dyDescent="0.35"/>
    <row r="127" ht="16.5" customHeight="1" x14ac:dyDescent="0.35"/>
    <row r="128" ht="16.5" customHeight="1" x14ac:dyDescent="0.35"/>
    <row r="129" ht="16.5" customHeight="1" x14ac:dyDescent="0.35"/>
    <row r="130" ht="16.5" customHeight="1" x14ac:dyDescent="0.35"/>
    <row r="131" ht="16.5" customHeight="1" x14ac:dyDescent="0.35"/>
    <row r="132" ht="16.5" customHeight="1" x14ac:dyDescent="0.35"/>
    <row r="133" ht="16.5" customHeight="1" x14ac:dyDescent="0.35"/>
    <row r="134" ht="16.5" customHeight="1" x14ac:dyDescent="0.35"/>
    <row r="135" ht="16.5" customHeight="1" x14ac:dyDescent="0.35"/>
    <row r="136" ht="16.5" customHeight="1" x14ac:dyDescent="0.35"/>
    <row r="137" ht="16.5" customHeight="1" x14ac:dyDescent="0.35"/>
    <row r="138" ht="16.5" customHeight="1" x14ac:dyDescent="0.35"/>
    <row r="139" ht="16.5" customHeight="1" x14ac:dyDescent="0.35"/>
    <row r="140" ht="16.5" customHeight="1" x14ac:dyDescent="0.35"/>
    <row r="141" ht="16.5" customHeight="1" x14ac:dyDescent="0.35"/>
    <row r="142" ht="16.5" customHeight="1" x14ac:dyDescent="0.35"/>
    <row r="143" ht="16.5" customHeight="1" x14ac:dyDescent="0.35"/>
    <row r="144" ht="16.5" customHeight="1" x14ac:dyDescent="0.35"/>
    <row r="145" ht="16.5" customHeight="1" x14ac:dyDescent="0.35"/>
    <row r="146" ht="16.5" customHeight="1" x14ac:dyDescent="0.35"/>
    <row r="147" ht="16.5" customHeight="1" x14ac:dyDescent="0.35"/>
    <row r="148" ht="16.5" customHeight="1" x14ac:dyDescent="0.35"/>
    <row r="149" ht="16.5" customHeight="1" x14ac:dyDescent="0.35"/>
    <row r="150" ht="16.5" customHeight="1" x14ac:dyDescent="0.35"/>
    <row r="151" ht="16.5" customHeight="1" x14ac:dyDescent="0.35"/>
    <row r="152" ht="16.5" customHeight="1" x14ac:dyDescent="0.35"/>
    <row r="153" ht="16.5" customHeight="1" x14ac:dyDescent="0.35"/>
    <row r="154" ht="16.5" customHeight="1" x14ac:dyDescent="0.35"/>
    <row r="155" ht="16.5" customHeight="1" x14ac:dyDescent="0.35"/>
    <row r="156" ht="16.5" customHeight="1" x14ac:dyDescent="0.35"/>
    <row r="157" ht="16.5" customHeight="1" x14ac:dyDescent="0.35"/>
    <row r="158" ht="16.5" customHeight="1" x14ac:dyDescent="0.35"/>
    <row r="159" ht="16.5" customHeight="1" x14ac:dyDescent="0.35"/>
    <row r="160" ht="16.5" customHeight="1" x14ac:dyDescent="0.35"/>
    <row r="161" ht="16.5" customHeight="1" x14ac:dyDescent="0.35"/>
    <row r="162" ht="16.5" customHeight="1" x14ac:dyDescent="0.35"/>
    <row r="163" ht="16.5" customHeight="1" x14ac:dyDescent="0.35"/>
    <row r="164" ht="16.5" customHeight="1" x14ac:dyDescent="0.35"/>
    <row r="165" ht="16.5" customHeight="1" x14ac:dyDescent="0.35"/>
    <row r="166" ht="16.5" customHeight="1" x14ac:dyDescent="0.35"/>
    <row r="167" ht="16.5" customHeight="1" x14ac:dyDescent="0.35"/>
    <row r="168" ht="16.5" customHeight="1" x14ac:dyDescent="0.35"/>
    <row r="169" ht="16.5" customHeight="1" x14ac:dyDescent="0.35"/>
    <row r="170" ht="16.5" customHeight="1" x14ac:dyDescent="0.35"/>
    <row r="171" ht="16.5" customHeight="1" x14ac:dyDescent="0.35"/>
    <row r="172" ht="16.5" customHeight="1" x14ac:dyDescent="0.35"/>
    <row r="173" ht="16.5" customHeight="1" x14ac:dyDescent="0.35"/>
    <row r="174" ht="16.5" customHeight="1" x14ac:dyDescent="0.35"/>
    <row r="175" ht="16.5" customHeight="1" x14ac:dyDescent="0.35"/>
    <row r="176" ht="16.5" customHeight="1" x14ac:dyDescent="0.35"/>
    <row r="177" ht="16.5" customHeight="1" x14ac:dyDescent="0.35"/>
    <row r="178" ht="16.5" customHeight="1" x14ac:dyDescent="0.35"/>
    <row r="179" ht="16.5" customHeight="1" x14ac:dyDescent="0.35"/>
    <row r="180" ht="16.5" customHeight="1" x14ac:dyDescent="0.35"/>
    <row r="181" ht="16.5" customHeight="1" x14ac:dyDescent="0.35"/>
    <row r="182" ht="16.5" customHeight="1" x14ac:dyDescent="0.35"/>
    <row r="183" ht="16.5" customHeight="1" x14ac:dyDescent="0.35"/>
    <row r="184" ht="16.5" customHeight="1" x14ac:dyDescent="0.35"/>
    <row r="185" ht="16.5" customHeight="1" x14ac:dyDescent="0.35"/>
    <row r="186" ht="16.5" customHeight="1" x14ac:dyDescent="0.35"/>
    <row r="187" ht="16.5" customHeight="1" x14ac:dyDescent="0.35"/>
    <row r="188" ht="16.5" customHeight="1" x14ac:dyDescent="0.35"/>
    <row r="189" ht="16.5" customHeight="1" x14ac:dyDescent="0.35"/>
    <row r="190" ht="16.5" customHeight="1" x14ac:dyDescent="0.35"/>
    <row r="191" ht="16.5" customHeight="1" x14ac:dyDescent="0.35"/>
    <row r="192" ht="16.5" customHeight="1" x14ac:dyDescent="0.35"/>
    <row r="193" ht="16.5" customHeight="1" x14ac:dyDescent="0.35"/>
    <row r="194" ht="16.5" customHeight="1" x14ac:dyDescent="0.35"/>
    <row r="195" ht="16.5" customHeight="1" x14ac:dyDescent="0.35"/>
    <row r="196" ht="16.5" customHeight="1" x14ac:dyDescent="0.35"/>
    <row r="197" ht="16.5" customHeight="1" x14ac:dyDescent="0.35"/>
    <row r="198" ht="16.5" customHeight="1" x14ac:dyDescent="0.35"/>
    <row r="199" ht="16.5" customHeight="1" x14ac:dyDescent="0.35"/>
    <row r="200" ht="16.5" customHeight="1" x14ac:dyDescent="0.35"/>
    <row r="201" ht="16.5" customHeight="1" x14ac:dyDescent="0.35"/>
    <row r="202" ht="16.5" customHeight="1" x14ac:dyDescent="0.35"/>
    <row r="203" ht="16.5" customHeight="1" x14ac:dyDescent="0.35"/>
    <row r="204" ht="16.5" customHeight="1" x14ac:dyDescent="0.35"/>
    <row r="205" ht="16.5" customHeight="1" x14ac:dyDescent="0.35"/>
    <row r="206" ht="16.5" customHeight="1" x14ac:dyDescent="0.35"/>
    <row r="207" ht="16.5" customHeight="1" x14ac:dyDescent="0.35"/>
    <row r="208" ht="16.5" customHeight="1" x14ac:dyDescent="0.35"/>
    <row r="209" ht="16.5" customHeight="1" x14ac:dyDescent="0.35"/>
    <row r="210" ht="16.5" customHeight="1" x14ac:dyDescent="0.35"/>
    <row r="211" ht="16.5" customHeight="1" x14ac:dyDescent="0.35"/>
    <row r="212" ht="16.5" customHeight="1" x14ac:dyDescent="0.35"/>
    <row r="213" ht="16.5" customHeight="1" x14ac:dyDescent="0.35"/>
    <row r="214" ht="16.5" customHeight="1" x14ac:dyDescent="0.35"/>
    <row r="215" ht="16.5" customHeight="1" x14ac:dyDescent="0.35"/>
    <row r="216" ht="16.5" customHeight="1" x14ac:dyDescent="0.35"/>
    <row r="217" ht="16.5" customHeight="1" x14ac:dyDescent="0.35"/>
    <row r="218" ht="16.5" customHeight="1" x14ac:dyDescent="0.35"/>
    <row r="219" ht="16.5" customHeight="1" x14ac:dyDescent="0.35"/>
    <row r="220" ht="16.5" customHeight="1" x14ac:dyDescent="0.35"/>
    <row r="221" ht="16.5" customHeight="1" x14ac:dyDescent="0.35"/>
    <row r="222" ht="16.5" customHeight="1" x14ac:dyDescent="0.35"/>
    <row r="223" ht="16.5" customHeight="1" x14ac:dyDescent="0.35"/>
    <row r="224" ht="16.5" customHeight="1" x14ac:dyDescent="0.35"/>
    <row r="225" ht="16.5" customHeight="1" x14ac:dyDescent="0.35"/>
    <row r="226" ht="16.5" customHeight="1" x14ac:dyDescent="0.35"/>
    <row r="227" ht="16.5" customHeight="1" x14ac:dyDescent="0.35"/>
    <row r="228" ht="16.5" customHeight="1" x14ac:dyDescent="0.35"/>
    <row r="229" ht="16.5" customHeight="1" x14ac:dyDescent="0.35"/>
    <row r="230" ht="16.5" customHeight="1" x14ac:dyDescent="0.35"/>
    <row r="231" ht="16.5" customHeight="1" x14ac:dyDescent="0.35"/>
    <row r="232" ht="16.5" customHeight="1" x14ac:dyDescent="0.35"/>
    <row r="233" ht="16.5" customHeight="1" x14ac:dyDescent="0.35"/>
    <row r="234" ht="16.5" customHeight="1" x14ac:dyDescent="0.35"/>
    <row r="235" ht="16.5" customHeight="1" x14ac:dyDescent="0.35"/>
    <row r="236" ht="16.5" customHeight="1" x14ac:dyDescent="0.35"/>
    <row r="237" ht="16.5" customHeight="1" x14ac:dyDescent="0.35"/>
    <row r="238" ht="16.5" customHeight="1" x14ac:dyDescent="0.35"/>
    <row r="239" ht="16.5" customHeight="1" x14ac:dyDescent="0.35"/>
    <row r="240" ht="16.5" customHeight="1" x14ac:dyDescent="0.35"/>
    <row r="241" ht="16.5" customHeight="1" x14ac:dyDescent="0.35"/>
    <row r="242" ht="16.5" customHeight="1" x14ac:dyDescent="0.35"/>
    <row r="243" ht="16.5" customHeight="1" x14ac:dyDescent="0.35"/>
    <row r="244" ht="16.5" customHeight="1" x14ac:dyDescent="0.35"/>
    <row r="245" ht="16.5" customHeight="1" x14ac:dyDescent="0.35"/>
    <row r="246" ht="16.5" customHeight="1" x14ac:dyDescent="0.35"/>
    <row r="247" ht="16.5" customHeight="1" x14ac:dyDescent="0.35"/>
    <row r="248" ht="16.5" customHeight="1" x14ac:dyDescent="0.35"/>
    <row r="249" ht="16.5" customHeight="1" x14ac:dyDescent="0.35"/>
    <row r="250" ht="16.5" customHeight="1" x14ac:dyDescent="0.35"/>
    <row r="251" ht="16.5" customHeight="1" x14ac:dyDescent="0.35"/>
    <row r="252" ht="16.5" customHeight="1" x14ac:dyDescent="0.35"/>
    <row r="253" ht="16.5" customHeight="1" x14ac:dyDescent="0.35"/>
    <row r="254" ht="16.5" customHeight="1" x14ac:dyDescent="0.35"/>
    <row r="255" ht="16.5" customHeight="1" x14ac:dyDescent="0.35"/>
    <row r="256" ht="16.5" customHeight="1" x14ac:dyDescent="0.35"/>
    <row r="257" ht="16.5" customHeight="1" x14ac:dyDescent="0.35"/>
    <row r="258" ht="16.5" customHeight="1" x14ac:dyDescent="0.35"/>
    <row r="259" ht="16.5" customHeight="1" x14ac:dyDescent="0.35"/>
    <row r="260" ht="16.5" customHeight="1" x14ac:dyDescent="0.35"/>
    <row r="261" ht="16.5" customHeight="1" x14ac:dyDescent="0.35"/>
    <row r="262" ht="16.5" customHeight="1" x14ac:dyDescent="0.35"/>
    <row r="263" ht="16.5" customHeight="1" x14ac:dyDescent="0.35"/>
    <row r="264" ht="16.5" customHeight="1" x14ac:dyDescent="0.35"/>
    <row r="265" ht="16.5" customHeight="1" x14ac:dyDescent="0.35"/>
    <row r="266" ht="16.5" customHeight="1" x14ac:dyDescent="0.35"/>
    <row r="267" ht="16.5" customHeight="1" x14ac:dyDescent="0.35"/>
    <row r="268" ht="16.5" customHeight="1" x14ac:dyDescent="0.35"/>
    <row r="269" ht="16.5" customHeight="1" x14ac:dyDescent="0.35"/>
    <row r="270" ht="16.5" customHeight="1" x14ac:dyDescent="0.35"/>
    <row r="271" ht="16.5" customHeight="1" x14ac:dyDescent="0.35"/>
    <row r="272" ht="16.5" customHeight="1" x14ac:dyDescent="0.35"/>
    <row r="273" ht="16.5" customHeight="1" x14ac:dyDescent="0.35"/>
    <row r="274" ht="16.5" customHeight="1" x14ac:dyDescent="0.35"/>
    <row r="275" ht="16.5" customHeight="1" x14ac:dyDescent="0.35"/>
    <row r="276" ht="16.5" customHeight="1" x14ac:dyDescent="0.35"/>
    <row r="277" ht="16.5" customHeight="1" x14ac:dyDescent="0.35"/>
    <row r="278" ht="16.5" customHeight="1" x14ac:dyDescent="0.35"/>
    <row r="279" ht="16.5" customHeight="1" x14ac:dyDescent="0.35"/>
    <row r="280" ht="16.5" customHeight="1" x14ac:dyDescent="0.35"/>
    <row r="281" ht="16.5" customHeight="1" x14ac:dyDescent="0.35"/>
    <row r="282" ht="16.5" customHeight="1" x14ac:dyDescent="0.35"/>
    <row r="283" ht="16.5" customHeight="1" x14ac:dyDescent="0.35"/>
    <row r="284" ht="16.5" customHeight="1" x14ac:dyDescent="0.35"/>
    <row r="285" ht="16.5" customHeight="1" x14ac:dyDescent="0.35"/>
    <row r="286" ht="16.5" customHeight="1" x14ac:dyDescent="0.35"/>
    <row r="287" ht="16.5" customHeight="1" x14ac:dyDescent="0.35"/>
    <row r="288" ht="16.5" customHeight="1" x14ac:dyDescent="0.35"/>
    <row r="289" ht="16.5" customHeight="1" x14ac:dyDescent="0.35"/>
    <row r="290" ht="16.5" customHeight="1" x14ac:dyDescent="0.35"/>
    <row r="291" ht="16.5" customHeight="1" x14ac:dyDescent="0.35"/>
    <row r="292" ht="16.5" customHeight="1" x14ac:dyDescent="0.35"/>
    <row r="293" ht="16.5" customHeight="1" x14ac:dyDescent="0.35"/>
    <row r="294" ht="16.5" customHeight="1" x14ac:dyDescent="0.35"/>
    <row r="295" ht="16.5" customHeight="1" x14ac:dyDescent="0.35"/>
    <row r="296" ht="16.5" customHeight="1" x14ac:dyDescent="0.35"/>
    <row r="297" ht="16.5" customHeight="1" x14ac:dyDescent="0.35"/>
    <row r="298" ht="16.5" customHeight="1" x14ac:dyDescent="0.35"/>
    <row r="299" ht="16.5" customHeight="1" x14ac:dyDescent="0.35"/>
    <row r="300" ht="16.5" customHeight="1" x14ac:dyDescent="0.35"/>
    <row r="301" ht="16.5" customHeight="1" x14ac:dyDescent="0.35"/>
    <row r="302" ht="16.5" customHeight="1" x14ac:dyDescent="0.35"/>
    <row r="303" ht="16.5" customHeight="1" x14ac:dyDescent="0.35"/>
    <row r="304" ht="16.5" customHeight="1" x14ac:dyDescent="0.35"/>
    <row r="305" ht="16.5" customHeight="1" x14ac:dyDescent="0.35"/>
    <row r="306" ht="16.5" customHeight="1" x14ac:dyDescent="0.35"/>
    <row r="307" ht="16.5" customHeight="1" x14ac:dyDescent="0.35"/>
    <row r="308" ht="16.5" customHeight="1" x14ac:dyDescent="0.35"/>
    <row r="309" ht="16.5" customHeight="1" x14ac:dyDescent="0.35"/>
    <row r="310" ht="16.5" customHeight="1" x14ac:dyDescent="0.35"/>
    <row r="311" ht="16.5" customHeight="1" x14ac:dyDescent="0.35"/>
    <row r="312" ht="16.5" customHeight="1" x14ac:dyDescent="0.35"/>
    <row r="313" ht="16.5" customHeight="1" x14ac:dyDescent="0.35"/>
    <row r="314" ht="16.5" customHeight="1" x14ac:dyDescent="0.35"/>
    <row r="315" ht="16.5" customHeight="1" x14ac:dyDescent="0.35"/>
    <row r="316" ht="16.5" customHeight="1" x14ac:dyDescent="0.35"/>
    <row r="317" ht="16.5" customHeight="1" x14ac:dyDescent="0.35"/>
    <row r="318" ht="16.5" customHeight="1" x14ac:dyDescent="0.35"/>
    <row r="319" ht="16.5" customHeight="1" x14ac:dyDescent="0.35"/>
    <row r="320" ht="16.5" customHeight="1" x14ac:dyDescent="0.35"/>
    <row r="321" ht="16.5" customHeight="1" x14ac:dyDescent="0.35"/>
    <row r="322" ht="16.5" customHeight="1" x14ac:dyDescent="0.35"/>
    <row r="323" ht="16.5" customHeight="1" x14ac:dyDescent="0.35"/>
    <row r="324" ht="16.5" customHeight="1" x14ac:dyDescent="0.35"/>
    <row r="325" ht="16.5" customHeight="1" x14ac:dyDescent="0.35"/>
    <row r="326" ht="16.5" customHeight="1" x14ac:dyDescent="0.35"/>
    <row r="327" ht="16.5" customHeight="1" x14ac:dyDescent="0.35"/>
    <row r="328" ht="16.5" customHeight="1" x14ac:dyDescent="0.35"/>
    <row r="329" ht="16.5" customHeight="1" x14ac:dyDescent="0.35"/>
    <row r="330" ht="16.5" customHeight="1" x14ac:dyDescent="0.35"/>
    <row r="331" ht="16.5" customHeight="1" x14ac:dyDescent="0.35"/>
    <row r="332" ht="16.5" customHeight="1" x14ac:dyDescent="0.35"/>
    <row r="333" ht="16.5" customHeight="1" x14ac:dyDescent="0.35"/>
    <row r="334" ht="16.5" customHeight="1" x14ac:dyDescent="0.35"/>
    <row r="335" ht="16.5" customHeight="1" x14ac:dyDescent="0.35"/>
    <row r="336" ht="16.5" customHeight="1" x14ac:dyDescent="0.35"/>
    <row r="337" ht="16.5" customHeight="1" x14ac:dyDescent="0.35"/>
    <row r="338" ht="16.5" customHeight="1" x14ac:dyDescent="0.35"/>
    <row r="339" ht="16.5" customHeight="1" x14ac:dyDescent="0.35"/>
    <row r="340" ht="16.5" customHeight="1" x14ac:dyDescent="0.35"/>
    <row r="341" ht="16.5" customHeight="1" x14ac:dyDescent="0.35"/>
    <row r="342" ht="16.5" customHeight="1" x14ac:dyDescent="0.35"/>
    <row r="343" ht="16.5" customHeight="1" x14ac:dyDescent="0.35"/>
    <row r="344" ht="16.5" customHeight="1" x14ac:dyDescent="0.35"/>
    <row r="345" ht="16.5" customHeight="1" x14ac:dyDescent="0.35"/>
    <row r="346" ht="16.5" customHeight="1" x14ac:dyDescent="0.35"/>
    <row r="347" ht="16.5" customHeight="1" x14ac:dyDescent="0.35"/>
    <row r="348" ht="16.5" customHeight="1" x14ac:dyDescent="0.35"/>
    <row r="349" ht="16.5" customHeight="1" x14ac:dyDescent="0.35"/>
    <row r="350" ht="16.5" customHeight="1" x14ac:dyDescent="0.35"/>
    <row r="351" ht="16.5" customHeight="1" x14ac:dyDescent="0.35"/>
    <row r="352" ht="16.5" customHeight="1" x14ac:dyDescent="0.35"/>
    <row r="353" ht="16.5" customHeight="1" x14ac:dyDescent="0.35"/>
    <row r="354" ht="16.5" customHeight="1" x14ac:dyDescent="0.35"/>
    <row r="355" ht="16.5" customHeight="1" x14ac:dyDescent="0.35"/>
    <row r="356" ht="16.5" customHeight="1" x14ac:dyDescent="0.35"/>
    <row r="357" ht="16.5" customHeight="1" x14ac:dyDescent="0.35"/>
    <row r="358" ht="16.5" customHeight="1" x14ac:dyDescent="0.35"/>
    <row r="359" ht="16.5" customHeight="1" x14ac:dyDescent="0.35"/>
    <row r="360" ht="16.5" customHeight="1" x14ac:dyDescent="0.35"/>
    <row r="361" ht="16.5" customHeight="1" x14ac:dyDescent="0.35"/>
    <row r="362" ht="16.5" customHeight="1" x14ac:dyDescent="0.35"/>
    <row r="363" ht="16.5" customHeight="1" x14ac:dyDescent="0.35"/>
    <row r="364" ht="16.5" customHeight="1" x14ac:dyDescent="0.35"/>
    <row r="365" ht="16.5" customHeight="1" x14ac:dyDescent="0.35"/>
    <row r="366" ht="16.5" customHeight="1" x14ac:dyDescent="0.35"/>
    <row r="367" ht="16.5" customHeight="1" x14ac:dyDescent="0.35"/>
    <row r="368" ht="16.5" customHeight="1" x14ac:dyDescent="0.35"/>
    <row r="369" ht="16.5" customHeight="1" x14ac:dyDescent="0.35"/>
    <row r="370" ht="16.5" customHeight="1" x14ac:dyDescent="0.35"/>
    <row r="371" ht="16.5" customHeight="1" x14ac:dyDescent="0.35"/>
    <row r="372" ht="16.5" customHeight="1" x14ac:dyDescent="0.35"/>
    <row r="373" ht="16.5" customHeight="1" x14ac:dyDescent="0.35"/>
    <row r="374" ht="16.5" customHeight="1" x14ac:dyDescent="0.35"/>
    <row r="375" ht="16.5" customHeight="1" x14ac:dyDescent="0.35"/>
    <row r="376" ht="16.5" customHeight="1" x14ac:dyDescent="0.35"/>
    <row r="377" ht="16.5" customHeight="1" x14ac:dyDescent="0.35"/>
    <row r="378" ht="16.5" customHeight="1" x14ac:dyDescent="0.35"/>
    <row r="379" ht="16.5" customHeight="1" x14ac:dyDescent="0.35"/>
    <row r="380" ht="16.5" customHeight="1" x14ac:dyDescent="0.35"/>
    <row r="381" ht="16.5" customHeight="1" x14ac:dyDescent="0.35"/>
    <row r="382" ht="16.5" customHeight="1" x14ac:dyDescent="0.35"/>
    <row r="383" ht="16.5" customHeight="1" x14ac:dyDescent="0.35"/>
    <row r="384" ht="16.5" customHeight="1" x14ac:dyDescent="0.35"/>
    <row r="385" ht="16.5" customHeight="1" x14ac:dyDescent="0.35"/>
    <row r="386" ht="16.5" customHeight="1" x14ac:dyDescent="0.35"/>
    <row r="387" ht="16.5" customHeight="1" x14ac:dyDescent="0.35"/>
    <row r="388" ht="16.5" customHeight="1" x14ac:dyDescent="0.35"/>
    <row r="389" ht="16.5" customHeight="1" x14ac:dyDescent="0.35"/>
    <row r="390" ht="16.5" customHeight="1" x14ac:dyDescent="0.35"/>
    <row r="391" ht="16.5" customHeight="1" x14ac:dyDescent="0.35"/>
    <row r="392" ht="16.5" customHeight="1" x14ac:dyDescent="0.35"/>
    <row r="393" ht="16.5" customHeight="1" x14ac:dyDescent="0.35"/>
    <row r="394" ht="16.5" customHeight="1" x14ac:dyDescent="0.35"/>
    <row r="395" ht="16.5" customHeight="1" x14ac:dyDescent="0.35"/>
    <row r="396" ht="16.5" customHeight="1" x14ac:dyDescent="0.35"/>
    <row r="397" ht="16.5" customHeight="1" x14ac:dyDescent="0.35"/>
    <row r="398" ht="16.5" customHeight="1" x14ac:dyDescent="0.35"/>
    <row r="399" ht="16.5" customHeight="1" x14ac:dyDescent="0.35"/>
    <row r="400" ht="16.5" customHeight="1" x14ac:dyDescent="0.35"/>
    <row r="401" ht="16.5" customHeight="1" x14ac:dyDescent="0.35"/>
    <row r="402" ht="16.5" customHeight="1" x14ac:dyDescent="0.35"/>
    <row r="403" ht="16.5" customHeight="1" x14ac:dyDescent="0.35"/>
    <row r="404" ht="16.5" customHeight="1" x14ac:dyDescent="0.35"/>
    <row r="405" ht="16.5" customHeight="1" x14ac:dyDescent="0.35"/>
    <row r="406" ht="16.5" customHeight="1" x14ac:dyDescent="0.35"/>
    <row r="407" ht="16.5" customHeight="1" x14ac:dyDescent="0.35"/>
    <row r="408" ht="16.5" customHeight="1" x14ac:dyDescent="0.35"/>
    <row r="409" ht="16.5" customHeight="1" x14ac:dyDescent="0.35"/>
    <row r="410" ht="16.5" customHeight="1" x14ac:dyDescent="0.35"/>
    <row r="411" ht="16.5" customHeight="1" x14ac:dyDescent="0.35"/>
    <row r="412" ht="16.5" customHeight="1" x14ac:dyDescent="0.35"/>
    <row r="413" ht="16.5" customHeight="1" x14ac:dyDescent="0.35"/>
    <row r="414" ht="16.5" customHeight="1" x14ac:dyDescent="0.35"/>
    <row r="415" ht="16.5" customHeight="1" x14ac:dyDescent="0.35"/>
    <row r="416" ht="16.5" customHeight="1" x14ac:dyDescent="0.35"/>
    <row r="417" ht="16.5" customHeight="1" x14ac:dyDescent="0.35"/>
    <row r="418" ht="16.5" customHeight="1" x14ac:dyDescent="0.35"/>
    <row r="419" ht="16.5" customHeight="1" x14ac:dyDescent="0.35"/>
    <row r="420" ht="16.5" customHeight="1" x14ac:dyDescent="0.35"/>
    <row r="421" ht="16.5" customHeight="1" x14ac:dyDescent="0.35"/>
    <row r="422" ht="16.5" customHeight="1" x14ac:dyDescent="0.35"/>
    <row r="423" ht="16.5" customHeight="1" x14ac:dyDescent="0.35"/>
    <row r="424" ht="16.5" customHeight="1" x14ac:dyDescent="0.35"/>
    <row r="425" ht="16.5" customHeight="1" x14ac:dyDescent="0.35"/>
    <row r="426" ht="16.5" customHeight="1" x14ac:dyDescent="0.35"/>
    <row r="427" ht="16.5" customHeight="1" x14ac:dyDescent="0.35"/>
    <row r="428" ht="16.5" customHeight="1" x14ac:dyDescent="0.35"/>
    <row r="429" ht="16.5" customHeight="1" x14ac:dyDescent="0.35"/>
    <row r="430" ht="16.5" customHeight="1" x14ac:dyDescent="0.35"/>
    <row r="431" ht="16.5" customHeight="1" x14ac:dyDescent="0.35"/>
    <row r="432" ht="16.5" customHeight="1" x14ac:dyDescent="0.35"/>
    <row r="433" ht="16.5" customHeight="1" x14ac:dyDescent="0.35"/>
    <row r="434" ht="16.5" customHeight="1" x14ac:dyDescent="0.35"/>
    <row r="435" ht="16.5" customHeight="1" x14ac:dyDescent="0.35"/>
    <row r="436" ht="16.5" customHeight="1" x14ac:dyDescent="0.35"/>
    <row r="437" ht="16.5" customHeight="1" x14ac:dyDescent="0.35"/>
    <row r="438" ht="16.5" customHeight="1" x14ac:dyDescent="0.35"/>
    <row r="439" ht="16.5" customHeight="1" x14ac:dyDescent="0.35"/>
    <row r="440" ht="16.5" customHeight="1" x14ac:dyDescent="0.35"/>
    <row r="441" ht="16.5" customHeight="1" x14ac:dyDescent="0.35"/>
    <row r="442" ht="16.5" customHeight="1" x14ac:dyDescent="0.35"/>
    <row r="443" ht="16.5" customHeight="1" x14ac:dyDescent="0.35"/>
    <row r="444" ht="16.5" customHeight="1" x14ac:dyDescent="0.35"/>
    <row r="445" ht="16.5" customHeight="1" x14ac:dyDescent="0.35"/>
    <row r="446" ht="16.5" customHeight="1" x14ac:dyDescent="0.35"/>
    <row r="447" ht="16.5" customHeight="1" x14ac:dyDescent="0.35"/>
    <row r="448" ht="16.5" customHeight="1" x14ac:dyDescent="0.35"/>
    <row r="449" ht="16.5" customHeight="1" x14ac:dyDescent="0.35"/>
    <row r="450" ht="16.5" customHeight="1" x14ac:dyDescent="0.35"/>
    <row r="451" ht="16.5" customHeight="1" x14ac:dyDescent="0.35"/>
    <row r="452" ht="16.5" customHeight="1" x14ac:dyDescent="0.35"/>
    <row r="453" ht="16.5" customHeight="1" x14ac:dyDescent="0.35"/>
    <row r="454" ht="16.5" customHeight="1" x14ac:dyDescent="0.35"/>
    <row r="455" ht="16.5" customHeight="1" x14ac:dyDescent="0.35"/>
    <row r="456" ht="16.5" customHeight="1" x14ac:dyDescent="0.35"/>
    <row r="457" ht="16.5" customHeight="1" x14ac:dyDescent="0.35"/>
    <row r="458" ht="16.5" customHeight="1" x14ac:dyDescent="0.35"/>
    <row r="459" ht="16.5" customHeight="1" x14ac:dyDescent="0.35"/>
    <row r="460" ht="16.5" customHeight="1" x14ac:dyDescent="0.35"/>
    <row r="461" ht="16.5" customHeight="1" x14ac:dyDescent="0.35"/>
    <row r="462" ht="16.5" customHeight="1" x14ac:dyDescent="0.35"/>
    <row r="463" ht="16.5" customHeight="1" x14ac:dyDescent="0.35"/>
    <row r="464" ht="16.5" customHeight="1" x14ac:dyDescent="0.35"/>
    <row r="465" ht="16.5" customHeight="1" x14ac:dyDescent="0.35"/>
    <row r="466" ht="16.5" customHeight="1" x14ac:dyDescent="0.35"/>
    <row r="467" ht="16.5" customHeight="1" x14ac:dyDescent="0.35"/>
    <row r="468" ht="16.5" customHeight="1" x14ac:dyDescent="0.35"/>
    <row r="469" ht="16.5" customHeight="1" x14ac:dyDescent="0.35"/>
    <row r="470" ht="16.5" customHeight="1" x14ac:dyDescent="0.35"/>
    <row r="471" ht="16.5" customHeight="1" x14ac:dyDescent="0.35"/>
    <row r="472" ht="16.5" customHeight="1" x14ac:dyDescent="0.35"/>
    <row r="473" ht="16.5" customHeight="1" x14ac:dyDescent="0.35"/>
    <row r="474" ht="16.5" customHeight="1" x14ac:dyDescent="0.35"/>
    <row r="475" ht="16.5" customHeight="1" x14ac:dyDescent="0.35"/>
    <row r="476" ht="16.5" customHeight="1" x14ac:dyDescent="0.35"/>
    <row r="477" ht="16.5" customHeight="1" x14ac:dyDescent="0.35"/>
    <row r="478" ht="16.5" customHeight="1" x14ac:dyDescent="0.35"/>
    <row r="479" ht="16.5" customHeight="1" x14ac:dyDescent="0.35"/>
    <row r="480" ht="16.5" customHeight="1" x14ac:dyDescent="0.35"/>
    <row r="481" ht="16.5" customHeight="1" x14ac:dyDescent="0.35"/>
    <row r="482" ht="16.5" customHeight="1" x14ac:dyDescent="0.35"/>
    <row r="483" ht="16.5" customHeight="1" x14ac:dyDescent="0.35"/>
    <row r="484" ht="16.5" customHeight="1" x14ac:dyDescent="0.35"/>
    <row r="485" ht="16.5" customHeight="1" x14ac:dyDescent="0.35"/>
    <row r="486" ht="16.5" customHeight="1" x14ac:dyDescent="0.35"/>
    <row r="487" ht="16.5" customHeight="1" x14ac:dyDescent="0.35"/>
    <row r="488" ht="16.5" customHeight="1" x14ac:dyDescent="0.35"/>
    <row r="489" ht="16.5" customHeight="1" x14ac:dyDescent="0.35"/>
    <row r="490" ht="16.5" customHeight="1" x14ac:dyDescent="0.35"/>
    <row r="491" ht="16.5" customHeight="1" x14ac:dyDescent="0.35"/>
    <row r="492" ht="16.5" customHeight="1" x14ac:dyDescent="0.35"/>
    <row r="493" ht="16.5" customHeight="1" x14ac:dyDescent="0.35"/>
    <row r="494" ht="16.5" customHeight="1" x14ac:dyDescent="0.35"/>
    <row r="495" ht="16.5" customHeight="1" x14ac:dyDescent="0.35"/>
    <row r="496" ht="16.5" customHeight="1" x14ac:dyDescent="0.35"/>
    <row r="497" ht="16.5" customHeight="1" x14ac:dyDescent="0.35"/>
    <row r="498" ht="16.5" customHeight="1" x14ac:dyDescent="0.35"/>
    <row r="499" ht="16.5" customHeight="1" x14ac:dyDescent="0.35"/>
    <row r="500" ht="16.5" customHeight="1" x14ac:dyDescent="0.35"/>
    <row r="501" ht="16.5" customHeight="1" x14ac:dyDescent="0.35"/>
    <row r="502" ht="16.5" customHeight="1" x14ac:dyDescent="0.35"/>
    <row r="503" ht="16.5" customHeight="1" x14ac:dyDescent="0.35"/>
    <row r="504" ht="16.5" customHeight="1" x14ac:dyDescent="0.35"/>
    <row r="505" ht="16.5" customHeight="1" x14ac:dyDescent="0.35"/>
    <row r="506" ht="16.5" customHeight="1" x14ac:dyDescent="0.35"/>
    <row r="507" ht="16.5" customHeight="1" x14ac:dyDescent="0.35"/>
    <row r="508" ht="16.5" customHeight="1" x14ac:dyDescent="0.35"/>
    <row r="509" ht="16.5" customHeight="1" x14ac:dyDescent="0.35"/>
    <row r="510" ht="16.5" customHeight="1" x14ac:dyDescent="0.35"/>
    <row r="511" ht="16.5" customHeight="1" x14ac:dyDescent="0.35"/>
    <row r="512" ht="16.5" customHeight="1" x14ac:dyDescent="0.35"/>
    <row r="513" ht="16.5" customHeight="1" x14ac:dyDescent="0.35"/>
    <row r="514" ht="16.5" customHeight="1" x14ac:dyDescent="0.35"/>
    <row r="515" ht="16.5" customHeight="1" x14ac:dyDescent="0.35"/>
    <row r="516" ht="16.5" customHeight="1" x14ac:dyDescent="0.35"/>
    <row r="517" ht="16.5" customHeight="1" x14ac:dyDescent="0.35"/>
    <row r="518" ht="16.5" customHeight="1" x14ac:dyDescent="0.35"/>
    <row r="519" ht="16.5" customHeight="1" x14ac:dyDescent="0.35"/>
    <row r="520" ht="16.5" customHeight="1" x14ac:dyDescent="0.35"/>
    <row r="521" ht="16.5" customHeight="1" x14ac:dyDescent="0.35"/>
    <row r="522" ht="16.5" customHeight="1" x14ac:dyDescent="0.35"/>
    <row r="523" ht="16.5" customHeight="1" x14ac:dyDescent="0.35"/>
    <row r="524" ht="16.5" customHeight="1" x14ac:dyDescent="0.35"/>
    <row r="525" ht="16.5" customHeight="1" x14ac:dyDescent="0.35"/>
    <row r="526" ht="16.5" customHeight="1" x14ac:dyDescent="0.35"/>
    <row r="527" ht="16.5" customHeight="1" x14ac:dyDescent="0.35"/>
    <row r="528" ht="16.5" customHeight="1" x14ac:dyDescent="0.35"/>
    <row r="529" ht="16.5" customHeight="1" x14ac:dyDescent="0.35"/>
    <row r="530" ht="16.5" customHeight="1" x14ac:dyDescent="0.35"/>
    <row r="531" ht="16.5" customHeight="1" x14ac:dyDescent="0.35"/>
    <row r="532" ht="16.5" customHeight="1" x14ac:dyDescent="0.35"/>
    <row r="533" ht="16.5" customHeight="1" x14ac:dyDescent="0.35"/>
    <row r="534" ht="16.5" customHeight="1" x14ac:dyDescent="0.35"/>
    <row r="535" ht="16.5" customHeight="1" x14ac:dyDescent="0.35"/>
    <row r="536" ht="16.5" customHeight="1" x14ac:dyDescent="0.35"/>
    <row r="537" ht="16.5" customHeight="1" x14ac:dyDescent="0.35"/>
    <row r="538" ht="16.5" customHeight="1" x14ac:dyDescent="0.35"/>
    <row r="539" ht="16.5" customHeight="1" x14ac:dyDescent="0.35"/>
    <row r="540" ht="16.5" customHeight="1" x14ac:dyDescent="0.35"/>
    <row r="541" ht="16.5" customHeight="1" x14ac:dyDescent="0.35"/>
    <row r="542" ht="16.5" customHeight="1" x14ac:dyDescent="0.35"/>
    <row r="543" ht="16.5" customHeight="1" x14ac:dyDescent="0.35"/>
    <row r="544" ht="16.5" customHeight="1" x14ac:dyDescent="0.35"/>
    <row r="545" ht="16.5" customHeight="1" x14ac:dyDescent="0.35"/>
    <row r="546" ht="16.5" customHeight="1" x14ac:dyDescent="0.35"/>
    <row r="547" ht="16.5" customHeight="1" x14ac:dyDescent="0.35"/>
    <row r="548" ht="16.5" customHeight="1" x14ac:dyDescent="0.35"/>
    <row r="549" ht="16.5" customHeight="1" x14ac:dyDescent="0.35"/>
    <row r="550" ht="16.5" customHeight="1" x14ac:dyDescent="0.35"/>
    <row r="551" ht="16.5" customHeight="1" x14ac:dyDescent="0.35"/>
    <row r="552" ht="16.5" customHeight="1" x14ac:dyDescent="0.35"/>
    <row r="553" ht="16.5" customHeight="1" x14ac:dyDescent="0.35"/>
    <row r="554" ht="16.5" customHeight="1" x14ac:dyDescent="0.35"/>
    <row r="555" ht="16.5" customHeight="1" x14ac:dyDescent="0.35"/>
    <row r="556" x14ac:dyDescent="0.35"/>
    <row r="557" x14ac:dyDescent="0.35"/>
    <row r="558" x14ac:dyDescent="0.35"/>
    <row r="559" x14ac:dyDescent="0.35"/>
    <row r="560" x14ac:dyDescent="0.35"/>
    <row r="561" x14ac:dyDescent="0.35"/>
    <row r="562" x14ac:dyDescent="0.35"/>
    <row r="563" x14ac:dyDescent="0.35"/>
    <row r="564" x14ac:dyDescent="0.35"/>
    <row r="565" x14ac:dyDescent="0.35"/>
    <row r="566" x14ac:dyDescent="0.35"/>
    <row r="567" x14ac:dyDescent="0.35"/>
    <row r="568" x14ac:dyDescent="0.35"/>
    <row r="569" x14ac:dyDescent="0.35"/>
    <row r="570" x14ac:dyDescent="0.35"/>
    <row r="571" x14ac:dyDescent="0.35"/>
    <row r="572" x14ac:dyDescent="0.35"/>
    <row r="573" x14ac:dyDescent="0.35"/>
    <row r="574" x14ac:dyDescent="0.35"/>
    <row r="575" x14ac:dyDescent="0.35"/>
    <row r="576" x14ac:dyDescent="0.35"/>
    <row r="577" x14ac:dyDescent="0.35"/>
    <row r="578" x14ac:dyDescent="0.35"/>
    <row r="579" x14ac:dyDescent="0.35"/>
    <row r="580" x14ac:dyDescent="0.35"/>
    <row r="581" x14ac:dyDescent="0.35"/>
    <row r="583" ht="14.5" customHeight="1" x14ac:dyDescent="0.35"/>
    <row r="584" ht="14.5" customHeight="1" x14ac:dyDescent="0.35"/>
    <row r="585" ht="14.5" customHeight="1" x14ac:dyDescent="0.35"/>
    <row r="586" ht="14.5" customHeight="1" x14ac:dyDescent="0.35"/>
    <row r="587" ht="14.5" customHeight="1" x14ac:dyDescent="0.35"/>
    <row r="588" ht="14.5" customHeight="1" x14ac:dyDescent="0.35"/>
    <row r="589" ht="14.5" customHeight="1" x14ac:dyDescent="0.35"/>
    <row r="590" ht="14.5" customHeight="1" x14ac:dyDescent="0.35"/>
    <row r="591" ht="14.5" customHeight="1" x14ac:dyDescent="0.35"/>
  </sheetData>
  <sheetProtection algorithmName="SHA-512" hashValue="NlN6cilPOXUWOVLFo3ITgOc0XLBMnhVlbPBDyyq55wzAExYCaTTDNubnaRM2AF7I2AmBGcbhu0UJcx+uLHcJ8w==" saltValue="cdfAQbiqFl0Tc4iWAwmevg==" spinCount="100000" sheet="1" selectLockedCells="1" selectUnlockedCells="1"/>
  <customSheetViews>
    <customSheetView guid="{8BDA793C-C9C5-4FC6-A0A5-F1109F6D4F22}" scale="80" state="hidden">
      <selection activeCell="D14" sqref="D14"/>
    </customSheetView>
  </customSheetView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3">
    <tabColor rgb="FF006600"/>
  </sheetPr>
  <dimension ref="A1:AH266"/>
  <sheetViews>
    <sheetView topLeftCell="D1" zoomScale="70" zoomScaleNormal="70" workbookViewId="0">
      <selection activeCell="O23" sqref="O23"/>
    </sheetView>
  </sheetViews>
  <sheetFormatPr defaultColWidth="0" defaultRowHeight="14" zeroHeight="1" x14ac:dyDescent="0.3"/>
  <cols>
    <col min="1" max="1" width="7.453125" style="47" hidden="1" customWidth="1"/>
    <col min="2" max="2" width="9.54296875" style="47" hidden="1" customWidth="1"/>
    <col min="3" max="3" width="24.26953125" style="47" hidden="1" customWidth="1"/>
    <col min="4" max="4" width="27.1796875" style="47" customWidth="1"/>
    <col min="5" max="5" width="75" style="49" customWidth="1"/>
    <col min="6" max="6" width="15.81640625" style="47" hidden="1" customWidth="1"/>
    <col min="7" max="7" width="12.7265625" style="47" customWidth="1"/>
    <col min="8" max="8" width="18" style="47" customWidth="1"/>
    <col min="9" max="9" width="14.1796875" style="47" customWidth="1"/>
    <col min="10" max="11" width="12.54296875" style="47" customWidth="1"/>
    <col min="12" max="12" width="42.26953125" style="47" customWidth="1"/>
    <col min="13" max="13" width="19.54296875" style="47" customWidth="1"/>
    <col min="14" max="14" width="13.1796875" style="47" customWidth="1"/>
    <col min="15" max="15" width="18" style="47" customWidth="1"/>
    <col min="16" max="16" width="17.81640625" style="47" customWidth="1"/>
    <col min="17" max="17" width="17.7265625" style="47" customWidth="1"/>
    <col min="18" max="18" width="49.54296875" style="47" customWidth="1"/>
    <col min="19" max="19" width="18.26953125" style="47" customWidth="1"/>
    <col min="20" max="20" width="15.26953125" style="47" customWidth="1"/>
    <col min="21" max="21" width="13.7265625" style="47" customWidth="1"/>
    <col min="22" max="22" width="36.54296875" style="47" customWidth="1"/>
    <col min="23" max="23" width="15.1796875" style="47" customWidth="1"/>
    <col min="24" max="24" width="14.26953125" style="47" customWidth="1"/>
    <col min="25" max="25" width="12.7265625" style="47" customWidth="1"/>
    <col min="26" max="26" width="39.7265625" style="47" customWidth="1"/>
    <col min="27" max="27" width="43.1796875" style="47" customWidth="1"/>
    <col min="28" max="28" width="8.453125" style="47" customWidth="1"/>
    <col min="29" max="29" width="12" style="47" hidden="1" customWidth="1"/>
    <col min="30" max="30" width="8.81640625" style="47" hidden="1" customWidth="1"/>
    <col min="31" max="31" width="10.81640625" style="47" hidden="1" customWidth="1"/>
    <col min="32" max="32" width="11.81640625" style="47" hidden="1" customWidth="1"/>
    <col min="33" max="16384" width="8.81640625" style="47" hidden="1"/>
  </cols>
  <sheetData>
    <row r="1" spans="1:34" ht="14.5" thickBot="1" x14ac:dyDescent="0.35"/>
    <row r="2" spans="1:34" ht="18.75" customHeight="1" thickBot="1" x14ac:dyDescent="0.35">
      <c r="D2" s="897" t="str">
        <f>IF(Start!$F$12="","",Start!$F$12)</f>
        <v>NCP Car Park, Bath Road, West Drayton, Greater London</v>
      </c>
      <c r="E2" s="899"/>
      <c r="P2" s="921" t="str">
        <f>IF(OR(COUNTIF($O$11:O256,"*30+*")&gt;0,COUNTIF($S$11:S256,"*30+*")&gt;0),"Note; Habitat selected has a time to target condition greater than 30 years. Non standard agreement may be required.","")</f>
        <v/>
      </c>
      <c r="Q2" s="921"/>
      <c r="R2" s="921"/>
      <c r="S2" s="921"/>
    </row>
    <row r="3" spans="1:34" ht="24" customHeight="1" thickBot="1" x14ac:dyDescent="0.35">
      <c r="D3" s="894" t="str">
        <f ca="1">MID(CELL("filename",D1),FIND("]",CELL("filename",D1))+1,256)</f>
        <v>A-2 Site Habitat Creation</v>
      </c>
      <c r="E3" s="896"/>
      <c r="O3" s="401"/>
      <c r="P3" s="921"/>
      <c r="Q3" s="921"/>
      <c r="R3" s="921"/>
      <c r="S3" s="921"/>
      <c r="W3" s="920"/>
      <c r="X3" s="920"/>
      <c r="Y3" s="920"/>
      <c r="Z3" s="920"/>
    </row>
    <row r="4" spans="1:34" ht="12.65" customHeight="1" x14ac:dyDescent="0.3">
      <c r="O4" s="401"/>
      <c r="P4" s="401"/>
      <c r="Q4" s="401"/>
      <c r="R4" s="401"/>
      <c r="W4" s="920"/>
      <c r="X4" s="920"/>
      <c r="Y4" s="920"/>
      <c r="Z4" s="920"/>
    </row>
    <row r="5" spans="1:34" ht="15.65" customHeight="1" x14ac:dyDescent="0.35">
      <c r="M5" s="245"/>
      <c r="N5" s="235"/>
      <c r="O5" s="401"/>
      <c r="P5" s="908" t="str">
        <f>IFERROR(IF(OR((G259-'A-1 Site Habitat Baseline'!W261)&gt;0.01,(G259-'A-1 Site Habitat Baseline'!W261)&lt;-0.01),"Check Areas - Area cross check failed (Baseline habitat lost does not match development footprint plus area of new habitat creation)",""),"")</f>
        <v/>
      </c>
      <c r="Q5" s="908"/>
      <c r="R5" s="908"/>
      <c r="S5" s="908"/>
      <c r="W5" s="920"/>
      <c r="X5" s="920"/>
      <c r="Y5" s="920"/>
      <c r="Z5" s="920"/>
    </row>
    <row r="6" spans="1:34" ht="19.149999999999999" customHeight="1" x14ac:dyDescent="0.3">
      <c r="O6" s="401"/>
      <c r="P6" s="908"/>
      <c r="Q6" s="908"/>
      <c r="R6" s="908"/>
      <c r="S6" s="908"/>
      <c r="W6" s="920"/>
      <c r="X6" s="920"/>
      <c r="Y6" s="920"/>
      <c r="Z6" s="920"/>
    </row>
    <row r="7" spans="1:34" ht="39" customHeight="1" thickBot="1" x14ac:dyDescent="0.45">
      <c r="E7" s="50"/>
      <c r="P7" s="402"/>
      <c r="Q7" s="402"/>
      <c r="R7" s="402"/>
      <c r="S7" s="398"/>
      <c r="T7" s="398"/>
      <c r="U7" s="398"/>
      <c r="V7" s="398"/>
      <c r="W7" s="398"/>
    </row>
    <row r="8" spans="1:34" ht="14.5" thickBot="1" x14ac:dyDescent="0.35">
      <c r="D8" s="916" t="s">
        <v>225</v>
      </c>
      <c r="E8" s="917"/>
      <c r="F8" s="917"/>
      <c r="G8" s="917"/>
      <c r="H8" s="917"/>
      <c r="I8" s="917"/>
      <c r="J8" s="917"/>
      <c r="K8" s="917"/>
      <c r="L8" s="917"/>
      <c r="M8" s="917"/>
      <c r="N8" s="917"/>
      <c r="O8" s="917"/>
      <c r="P8" s="917"/>
      <c r="Q8" s="917"/>
      <c r="R8" s="917"/>
      <c r="S8" s="917"/>
      <c r="T8" s="917"/>
      <c r="U8" s="917"/>
      <c r="V8" s="917"/>
      <c r="W8" s="917"/>
      <c r="X8" s="917"/>
      <c r="Y8" s="917"/>
      <c r="Z8" s="917"/>
      <c r="AA8" s="918"/>
      <c r="AE8" s="909" t="s">
        <v>226</v>
      </c>
    </row>
    <row r="9" spans="1:34" s="49" customFormat="1" ht="15" customHeight="1" thickBot="1" x14ac:dyDescent="0.35">
      <c r="B9" s="47"/>
      <c r="D9" s="914" t="s">
        <v>202</v>
      </c>
      <c r="E9" s="910" t="s">
        <v>227</v>
      </c>
      <c r="F9" s="910" t="s">
        <v>227</v>
      </c>
      <c r="G9" s="912" t="s">
        <v>205</v>
      </c>
      <c r="H9" s="903" t="s">
        <v>189</v>
      </c>
      <c r="I9" s="904"/>
      <c r="J9" s="903" t="s">
        <v>190</v>
      </c>
      <c r="K9" s="904"/>
      <c r="L9" s="903" t="s">
        <v>191</v>
      </c>
      <c r="M9" s="905"/>
      <c r="N9" s="904"/>
      <c r="O9" s="903" t="s">
        <v>228</v>
      </c>
      <c r="P9" s="905"/>
      <c r="Q9" s="905"/>
      <c r="R9" s="905"/>
      <c r="S9" s="905"/>
      <c r="T9" s="904"/>
      <c r="U9" s="900" t="s">
        <v>229</v>
      </c>
      <c r="V9" s="901"/>
      <c r="W9" s="901"/>
      <c r="X9" s="902"/>
      <c r="Y9" s="906" t="s">
        <v>230</v>
      </c>
      <c r="Z9" s="903" t="s">
        <v>196</v>
      </c>
      <c r="AA9" s="904"/>
      <c r="AB9" s="47"/>
      <c r="AC9" s="47"/>
      <c r="AD9" s="47"/>
      <c r="AE9" s="909"/>
      <c r="AF9" s="47"/>
      <c r="AG9" s="47"/>
      <c r="AH9" s="47"/>
    </row>
    <row r="10" spans="1:34" ht="42" x14ac:dyDescent="0.3">
      <c r="A10" s="55" t="s">
        <v>200</v>
      </c>
      <c r="D10" s="915"/>
      <c r="E10" s="911"/>
      <c r="F10" s="911"/>
      <c r="G10" s="913"/>
      <c r="H10" s="380" t="s">
        <v>189</v>
      </c>
      <c r="I10" s="381" t="s">
        <v>206</v>
      </c>
      <c r="J10" s="633" t="s">
        <v>190</v>
      </c>
      <c r="K10" s="382" t="s">
        <v>206</v>
      </c>
      <c r="L10" s="364" t="s">
        <v>191</v>
      </c>
      <c r="M10" s="77" t="s">
        <v>191</v>
      </c>
      <c r="N10" s="366" t="s">
        <v>231</v>
      </c>
      <c r="O10" s="364" t="s">
        <v>232</v>
      </c>
      <c r="P10" s="77" t="s">
        <v>233</v>
      </c>
      <c r="Q10" s="77" t="s">
        <v>234</v>
      </c>
      <c r="R10" s="77" t="s">
        <v>235</v>
      </c>
      <c r="S10" s="77" t="s">
        <v>236</v>
      </c>
      <c r="T10" s="366" t="s">
        <v>237</v>
      </c>
      <c r="U10" s="363" t="s">
        <v>238</v>
      </c>
      <c r="V10" s="367" t="s">
        <v>239</v>
      </c>
      <c r="W10" s="367" t="s">
        <v>240</v>
      </c>
      <c r="X10" s="365" t="s">
        <v>241</v>
      </c>
      <c r="Y10" s="919"/>
      <c r="Z10" s="364" t="s">
        <v>215</v>
      </c>
      <c r="AA10" s="366" t="s">
        <v>216</v>
      </c>
      <c r="AE10" s="47" t="s">
        <v>242</v>
      </c>
    </row>
    <row r="11" spans="1:34" ht="42" x14ac:dyDescent="0.3">
      <c r="A11" s="47" t="str">
        <f>IFERROR(INDEX('G-8 Condition Look up'!$I$4:$I$130,MATCH(F11,'G-8 Condition Look up'!$A$4:$A$130,0)),"")</f>
        <v>Cond1</v>
      </c>
      <c r="C11" s="383" t="str">
        <f>IFERROR(INDEX('G-1 All Habitats'!$AG$3:$AG$15,MATCH(D11,'G-1 All Habitats'!$AF$3:$AF$15,0)),"")</f>
        <v>Urban</v>
      </c>
      <c r="D11" s="71" t="s">
        <v>74</v>
      </c>
      <c r="E11" s="82" t="s">
        <v>615</v>
      </c>
      <c r="F11" s="379" t="str">
        <f>IFERROR(INDEX('G-1 All Habitats'!$B$3:$B$129,MATCH(E11,'G-1 All Habitats'!$A$3:$A$129,0)),"")</f>
        <v>Urban - Introduced shrub</v>
      </c>
      <c r="G11" s="70">
        <v>7.3000000000000001E-3</v>
      </c>
      <c r="H11" s="498" t="str">
        <f>IF(F11="","",VLOOKUP(F11,'G-1 All Habitats'!$B$2:$M$129,10,FALSE))</f>
        <v>Low</v>
      </c>
      <c r="I11" s="499">
        <f>IFERROR(VLOOKUP(H11,'G-1 All Habitats'!$V$3:$W$7,2,FALSE),"")</f>
        <v>2</v>
      </c>
      <c r="J11" s="71" t="s">
        <v>403</v>
      </c>
      <c r="K11" s="499">
        <f>IFERROR(INDEX('G-8 Condition Look up'!$A$3:$H$130,MATCH(F11,'G-8 Condition Look up'!$A$3:$A$130,0),MATCH(J11,'G-8 Condition Look up'!$A$3:$H$3,0)),"")</f>
        <v>1</v>
      </c>
      <c r="L11" s="71" t="s">
        <v>921</v>
      </c>
      <c r="M11" s="520" t="str">
        <f>IF(L11="","",IF(VLOOKUP(L11,'G-3 Multipliers'!$L$3:$N$6,2,FALSE)=0,"Spatial Data Missing",VLOOKUP(L11,'G-3 Multipliers'!$L$3:$N$6,2,FALSE)))</f>
        <v>Low Strategic Significance</v>
      </c>
      <c r="N11" s="505">
        <f>IF(L11="","",IF(VLOOKUP(L11,'G-3 Multipliers'!$L$3:$N$6,3,FALSE)=0,"Spatial Data Missing",VLOOKUP(L11,'G-3 Multipliers'!$L$3:$N$6,3,FALSE)))</f>
        <v>1</v>
      </c>
      <c r="O11" s="498">
        <f t="shared" ref="O11:O74" si="0">IFERROR(INDEX(TemporalData,MATCH(F11,TemporalHabitats,0),MATCH(J11,TemporalConditions,0)),"")</f>
        <v>1</v>
      </c>
      <c r="P11" s="82"/>
      <c r="Q11" s="82"/>
      <c r="R11" s="507" t="str">
        <f>IF(E11="","",IF(AND(P11&gt;0,Q11&gt;0),"Error -both advance and delayed habitat creation ▲",IF(I11=0,"Standard time to target condition applied",IF(AND(J11="N/A -Agricultural",O11&lt;=P11),"Check details - Is there evidence habitat creation in place? ⚠",IF(AND(O11&lt;=P11,Q11=0),"Check details - Is there evidence that habitat has reached target condition? ⚠",IF(O11="","",IF(AND(P11&gt;=AE11,P11&gt;0),"Check details - Is there evidence habitat creation started and the threshold for Poor condition reached? ⚠",IF(Q11&gt;0,"Check details- Delay in starting habitat in required condition? ⚠",IF(P11&gt;0,"Check details - Is there evidence habitat creation started/in place? ⚠","Standard time to target condition applied")))))))))</f>
        <v>Standard time to target condition applied</v>
      </c>
      <c r="S11" s="521">
        <f>IF(R11="Error -both advance and delayed habitat creation ▲","Check Data ⚠",IF(O11="Not Possible","Check Data ⚠",IF(O11="","",IF(AND(O11="30+",P11=0),"30+",IF(AND(O11="30+",P11="30+"),0,IF(AND(O11="30+",P11&lt;32),30-P11,IF(O11="30+",30-P11,IF(P11&gt;O11,0,IF(Q11="30+","30+",IF(O11+Q11&gt;30,"30+",IF(O11+Q11&gt;30,"30+",IF(O11-P11&gt;30,"30+",IF(O11+Q11-P11&gt;0,O11+Q11-P11,IF(O11-P11&gt;0,O11-P11,O11+Q11-P11))))))))))))))</f>
        <v>1</v>
      </c>
      <c r="T11" s="522">
        <f>IFERROR(IF(S11="Check Data ⚠","Check Data ⚠",VLOOKUP(S11,'G-4 Temporal multipliers'!$A$4:$C$37,3,FALSE)),"")</f>
        <v>0.96499999999999997</v>
      </c>
      <c r="U11" s="523" t="str">
        <f>IF(F11="","",VLOOKUP(F11,'G-3 Multipliers'!$A$2:$E$129,2,FALSE))</f>
        <v>Low</v>
      </c>
      <c r="V11" s="520" t="str">
        <f>IF(F11="","",IF($R11="Check details - Is there evidence that habitat has reached target condition? ⚠","Low Difficulty - only applicable if all habitat created before losses",IF($R11="Check details - Is there evidence habitat creation started and the threshold for Poor condition reached? ⚠","Enhancement difficulty applied","Standard difficulty applied")))</f>
        <v>Standard difficulty applied</v>
      </c>
      <c r="W11" s="520" t="str">
        <f>IF(E11="","",IF(AND(V11="Standard difficulty applied",O11&gt;P11),U11,IF(AND(V11="Low Difficulty - only applicable if all habitat created before losses",P11&gt;=O11),"Low",VLOOKUP(F11,'G-3 Multipliers'!$A$2:$E$129,4,FALSE))))</f>
        <v>Low</v>
      </c>
      <c r="X11" s="524">
        <f>IFERROR(IF(E11="","",VLOOKUP(W11, 'G-3 Multipliers'!$P$2:$Q$6,2,FALSE)),"")</f>
        <v>1</v>
      </c>
      <c r="Y11" s="529">
        <f>IFERROR(G11*I11*K11*N11*T11*X11,"")</f>
        <v>1.4088999999999999E-2</v>
      </c>
      <c r="Z11" s="239"/>
      <c r="AA11" s="240"/>
      <c r="AE11" s="54" t="str">
        <f t="shared" ref="AE11:AE74" si="1">IFERROR(INDEX(TemporalData,MATCH(F11,TemporalHabitats,0),MATCH($AE$10,TemporalConditions,0)),"")</f>
        <v>Not Possible</v>
      </c>
    </row>
    <row r="12" spans="1:34" ht="56" x14ac:dyDescent="0.3">
      <c r="A12" s="47" t="str">
        <f>IFERROR(INDEX('G-8 Condition Look up'!$I$4:$I$130,MATCH(F12,'G-8 Condition Look up'!$A$4:$A$130,0)),"")</f>
        <v>Cond4</v>
      </c>
      <c r="C12" s="384" t="str">
        <f>IFERROR(INDEX('G-1 All Habitats'!$AG$3:$AG$15,MATCH(D12,'G-1 All Habitats'!$AF$3:$AF$15,0)),"")</f>
        <v>Woodland_and_forest</v>
      </c>
      <c r="D12" s="146" t="s">
        <v>76</v>
      </c>
      <c r="E12" s="79" t="s">
        <v>691</v>
      </c>
      <c r="F12" s="246" t="str">
        <f>IFERROR(INDEX('G-1 All Habitats'!$B$3:$B$129,MATCH(E12,'G-1 All Habitats'!$A$3:$A$129,0)),"")</f>
        <v>Woodland and forest - Other woodland; broadleaved</v>
      </c>
      <c r="G12" s="70">
        <f>0.1912-0.0309</f>
        <v>0.1603</v>
      </c>
      <c r="H12" s="498" t="str">
        <f>IF(F12="","",VLOOKUP(F12,'G-1 All Habitats'!$B$2:$M$129,10,FALSE))</f>
        <v>Medium</v>
      </c>
      <c r="I12" s="499">
        <f>IFERROR(VLOOKUP(H12,'G-1 All Habitats'!$V$3:$W$7,2,FALSE),"")</f>
        <v>4</v>
      </c>
      <c r="J12" s="71" t="s">
        <v>393</v>
      </c>
      <c r="K12" s="499">
        <f>IFERROR(INDEX('G-8 Condition Look up'!$A$3:$H$130,MATCH(F12,'G-8 Condition Look up'!$A$3:$A$130,0),MATCH(J12,'G-8 Condition Look up'!$A$3:$H$3,0)),"")</f>
        <v>1.5</v>
      </c>
      <c r="L12" s="71" t="s">
        <v>913</v>
      </c>
      <c r="M12" s="507" t="str">
        <f>IF(L12="","",IF(VLOOKUP(L12,'G-3 Multipliers'!$L$3:$N$6,2,FALSE)=0,"Spatial Data Missing",VLOOKUP(L12,'G-3 Multipliers'!$L$3:$N$6,2,FALSE)))</f>
        <v xml:space="preserve">High strategic significance </v>
      </c>
      <c r="N12" s="505">
        <f>IF(L12="","",IF(VLOOKUP(L12,'G-3 Multipliers'!$L$3:$N$6,3,FALSE)=0,"Spatial Data Missing",VLOOKUP(L12,'G-3 Multipliers'!$L$3:$N$6,3,FALSE)))</f>
        <v>1.1499999999999999</v>
      </c>
      <c r="O12" s="498">
        <f t="shared" si="0"/>
        <v>7</v>
      </c>
      <c r="P12" s="82"/>
      <c r="Q12" s="82"/>
      <c r="R12" s="507" t="str">
        <f t="shared" ref="R12:R75" si="2">IF(E12="","",IF(AND(P12&gt;0,Q12&gt;0),"Error -both advance and delayed habitat creation ▲",IF(I12=0,"Standard time to target condition applied",IF(AND(J12="N/A -Agricultural",O12&lt;=P12),"Check details - Is there evidence habitat creation in place? ⚠",IF(AND(O12&lt;=P12,Q12=0),"Check details - Is there evidence that habitat has reached target condition? ⚠",IF(O12="","",IF(AND(P12&gt;=AE12,P12&gt;0),"Check details - Is there evidence habitat creation started and the threshold for Poor condition reached? ⚠",IF(Q12&gt;0,"Check details- Delay in starting habitat in required condition? ⚠",IF(P12&gt;0,"Check details - Is there evidence habitat creation started/in place? ⚠","Standard time to target condition applied")))))))))</f>
        <v>Standard time to target condition applied</v>
      </c>
      <c r="S12" s="521">
        <f t="shared" ref="S12:S75" si="3">IF(R12="Error -both advance and delayed habitat creation ▲","Check Data ⚠",IF(O12="Not Possible","Check Data ⚠",IF(O12="","",IF(AND(O12="30+",P12=0),"30+",IF(AND(O12="30+",P12="30+"),0,IF(AND(O12="30+",P12&lt;32),30-P12,IF(O12="30+",30-P12,IF(P12&gt;O12,0,IF(Q12="30+","30+",IF(O12+Q12&gt;30,"30+",IF(O12+Q12&gt;30,"30+",IF(O12-P12&gt;30,"30+",IF(O12+Q12-P12&gt;0,O12+Q12-P12,IF(O12-P12&gt;0,O12-P12,O12+Q12-P12))))))))))))))</f>
        <v>7</v>
      </c>
      <c r="T12" s="522">
        <f>IFERROR(IF(S12="Check Data ⚠","Check Data ⚠",VLOOKUP(S12,'G-4 Temporal multipliers'!$A$4:$C$37,3,FALSE)),"")</f>
        <v>0.77927580669999996</v>
      </c>
      <c r="U12" s="523" t="str">
        <f>IF(F12="","",VLOOKUP(F12,'G-3 Multipliers'!$A$2:$E$129,2,FALSE))</f>
        <v>Low</v>
      </c>
      <c r="V12" s="520" t="str">
        <f t="shared" ref="V12:V75" si="4">IF(F12="","",IF($R12="Check details - Is there evidence that habitat has reached target condition? ⚠","Low Difficulty - only applicable if all habitat created before losses",IF($R12="Check details - Is there evidence habitat creation started and the threshold for Poor condition reached? ⚠","Enhancement difficulty applied","Standard difficulty applied")))</f>
        <v>Standard difficulty applied</v>
      </c>
      <c r="W12" s="520" t="str">
        <f>IF(E12="","",IF(AND(V12="Standard difficulty applied",O12&gt;P12),U12,IF(AND(V12="Low Difficulty - only applicable if all habitat created before losses",P12&gt;=O12),"Low",VLOOKUP(F12,'G-3 Multipliers'!$A$2:$E$129,4,FALSE))))</f>
        <v>Low</v>
      </c>
      <c r="X12" s="524">
        <f>IFERROR(IF(E12="","",VLOOKUP(W12, 'G-3 Multipliers'!$P$2:$Q$6,2,FALSE)),"")</f>
        <v>1</v>
      </c>
      <c r="Y12" s="529">
        <f t="shared" ref="Y12:Y75" si="5">IFERROR(G12*I12*K12*N12*T12*X12,"")</f>
        <v>0.86193359151666882</v>
      </c>
      <c r="Z12" s="239" t="s">
        <v>1563</v>
      </c>
      <c r="AA12" s="240"/>
      <c r="AE12" s="54">
        <f t="shared" si="1"/>
        <v>5</v>
      </c>
    </row>
    <row r="13" spans="1:34" ht="42" x14ac:dyDescent="0.3">
      <c r="A13" s="47" t="str">
        <f>IFERROR(INDEX('G-8 Condition Look up'!$I$4:$I$130,MATCH(F13,'G-8 Condition Look up'!$A$4:$A$130,0)),"")</f>
        <v>Cond4</v>
      </c>
      <c r="C13" s="384" t="str">
        <f>IFERROR(INDEX('G-1 All Habitats'!$AG$3:$AG$15,MATCH(D13,'G-1 All Habitats'!$AF$3:$AF$15,0)),"")</f>
        <v>Grassland</v>
      </c>
      <c r="D13" s="146" t="s">
        <v>70</v>
      </c>
      <c r="E13" s="79" t="s">
        <v>455</v>
      </c>
      <c r="F13" s="246" t="str">
        <f>IFERROR(INDEX('G-1 All Habitats'!$B$3:$B$129,MATCH(E13,'G-1 All Habitats'!$A$3:$A$129,0)),"")</f>
        <v>Grassland - Other neutral grassland</v>
      </c>
      <c r="G13" s="70">
        <v>1.95E-2</v>
      </c>
      <c r="H13" s="498" t="str">
        <f>IF(F13="","",VLOOKUP(F13,'G-1 All Habitats'!$B$2:$M$129,10,FALSE))</f>
        <v>Medium</v>
      </c>
      <c r="I13" s="499">
        <f>IFERROR(VLOOKUP(H13,'G-1 All Habitats'!$V$3:$W$7,2,FALSE),"")</f>
        <v>4</v>
      </c>
      <c r="J13" s="71" t="s">
        <v>21</v>
      </c>
      <c r="K13" s="499">
        <f>IFERROR(INDEX('G-8 Condition Look up'!$A$3:$H$130,MATCH(F13,'G-8 Condition Look up'!$A$3:$A$130,0),MATCH(J13,'G-8 Condition Look up'!$A$3:$H$3,0)),"")</f>
        <v>3</v>
      </c>
      <c r="L13" s="71" t="s">
        <v>917</v>
      </c>
      <c r="M13" s="507" t="str">
        <f>IF(L13="","",IF(VLOOKUP(L13,'G-3 Multipliers'!$L$3:$N$6,2,FALSE)=0,"Spatial Data Missing",VLOOKUP(L13,'G-3 Multipliers'!$L$3:$N$6,2,FALSE)))</f>
        <v xml:space="preserve">Medium strategic significance </v>
      </c>
      <c r="N13" s="505">
        <f>IF(L13="","",IF(VLOOKUP(L13,'G-3 Multipliers'!$L$3:$N$6,3,FALSE)=0,"Spatial Data Missing",VLOOKUP(L13,'G-3 Multipliers'!$L$3:$N$6,3,FALSE)))</f>
        <v>1.1000000000000001</v>
      </c>
      <c r="O13" s="498">
        <f t="shared" si="0"/>
        <v>10</v>
      </c>
      <c r="P13" s="82"/>
      <c r="Q13" s="82"/>
      <c r="R13" s="507" t="str">
        <f t="shared" si="2"/>
        <v>Standard time to target condition applied</v>
      </c>
      <c r="S13" s="521">
        <f t="shared" si="3"/>
        <v>10</v>
      </c>
      <c r="T13" s="522">
        <f>IFERROR(IF(S13="Check Data ⚠","Check Data ⚠",VLOOKUP(S13,'G-4 Temporal multipliers'!$A$4:$C$37,3,FALSE)),"")</f>
        <v>0.70028227419999989</v>
      </c>
      <c r="U13" s="523" t="str">
        <f>IF(F13="","",VLOOKUP(F13,'G-3 Multipliers'!$A$2:$E$129,2,FALSE))</f>
        <v>Low</v>
      </c>
      <c r="V13" s="520" t="str">
        <f t="shared" si="4"/>
        <v>Standard difficulty applied</v>
      </c>
      <c r="W13" s="520" t="str">
        <f>IF(E13="","",IF(AND(V13="Standard difficulty applied",O13&gt;P13),U13,IF(AND(V13="Low Difficulty - only applicable if all habitat created before losses",P13&gt;=O13),"Low",VLOOKUP(F13,'G-3 Multipliers'!$A$2:$E$129,4,FALSE))))</f>
        <v>Low</v>
      </c>
      <c r="X13" s="524">
        <f>IFERROR(IF(E13="","",VLOOKUP(W13, 'G-3 Multipliers'!$P$2:$Q$6,2,FALSE)),"")</f>
        <v>1</v>
      </c>
      <c r="Y13" s="529">
        <f t="shared" si="5"/>
        <v>0.18025265737907997</v>
      </c>
      <c r="Z13" s="239" t="s">
        <v>1561</v>
      </c>
      <c r="AA13" s="240"/>
      <c r="AE13" s="54">
        <f t="shared" si="1"/>
        <v>2</v>
      </c>
    </row>
    <row r="14" spans="1:34" ht="42" x14ac:dyDescent="0.3">
      <c r="A14" s="47" t="str">
        <f>IFERROR(INDEX('G-8 Condition Look up'!$I$4:$I$130,MATCH(F14,'G-8 Condition Look up'!$A$4:$A$130,0)),"")</f>
        <v>Cond2</v>
      </c>
      <c r="C14" s="384" t="str">
        <f>IFERROR(INDEX('G-1 All Habitats'!$AG$3:$AG$15,MATCH(D14,'G-1 All Habitats'!$AF$3:$AF$15,0)),"")</f>
        <v>Urban</v>
      </c>
      <c r="D14" s="146" t="s">
        <v>74</v>
      </c>
      <c r="E14" s="79" t="s">
        <v>599</v>
      </c>
      <c r="F14" s="246" t="str">
        <f>IFERROR(INDEX('G-1 All Habitats'!$B$3:$B$129,MATCH(E14,'G-1 All Habitats'!$A$3:$A$129,0)),"")</f>
        <v>Urban - Developed land; sealed surface</v>
      </c>
      <c r="G14" s="70">
        <f>1.3666</f>
        <v>1.3666</v>
      </c>
      <c r="H14" s="498" t="str">
        <f>IF(F14="","",VLOOKUP(F14,'G-1 All Habitats'!$B$2:$M$129,10,FALSE))</f>
        <v>V.Low</v>
      </c>
      <c r="I14" s="499">
        <f>IFERROR(VLOOKUP(H14,'G-1 All Habitats'!$V$3:$W$7,2,FALSE),"")</f>
        <v>0</v>
      </c>
      <c r="J14" s="71" t="s">
        <v>407</v>
      </c>
      <c r="K14" s="499">
        <f>IFERROR(INDEX('G-8 Condition Look up'!$A$3:$H$130,MATCH(F14,'G-8 Condition Look up'!$A$3:$A$130,0),MATCH(J14,'G-8 Condition Look up'!$A$3:$H$3,0)),"")</f>
        <v>0</v>
      </c>
      <c r="L14" s="71" t="s">
        <v>921</v>
      </c>
      <c r="M14" s="507" t="str">
        <f>IF(L14="","",IF(VLOOKUP(L14,'G-3 Multipliers'!$L$3:$N$6,2,FALSE)=0,"Spatial Data Missing",VLOOKUP(L14,'G-3 Multipliers'!$L$3:$N$6,2,FALSE)))</f>
        <v>Low Strategic Significance</v>
      </c>
      <c r="N14" s="505">
        <f>IF(L14="","",IF(VLOOKUP(L14,'G-3 Multipliers'!$L$3:$N$6,3,FALSE)=0,"Spatial Data Missing",VLOOKUP(L14,'G-3 Multipliers'!$L$3:$N$6,3,FALSE)))</f>
        <v>1</v>
      </c>
      <c r="O14" s="498">
        <f t="shared" si="0"/>
        <v>0</v>
      </c>
      <c r="P14" s="82"/>
      <c r="Q14" s="82"/>
      <c r="R14" s="507" t="str">
        <f t="shared" si="2"/>
        <v>Standard time to target condition applied</v>
      </c>
      <c r="S14" s="521">
        <f t="shared" si="3"/>
        <v>0</v>
      </c>
      <c r="T14" s="522">
        <f>IFERROR(IF(S14="Check Data ⚠","Check Data ⚠",VLOOKUP(S14,'G-4 Temporal multipliers'!$A$4:$C$37,3,FALSE)),"")</f>
        <v>1</v>
      </c>
      <c r="U14" s="523" t="str">
        <f>IF(F14="","",VLOOKUP(F14,'G-3 Multipliers'!$A$2:$E$129,2,FALSE))</f>
        <v>Low</v>
      </c>
      <c r="V14" s="520" t="str">
        <f t="shared" si="4"/>
        <v>Standard difficulty applied</v>
      </c>
      <c r="W14" s="520" t="str">
        <f>IF(E14="","",IF(AND(V14="Standard difficulty applied",O14&gt;P14),U14,IF(AND(V14="Low Difficulty - only applicable if all habitat created before losses",P14&gt;=O14),"Low",VLOOKUP(F14,'G-3 Multipliers'!$A$2:$E$129,4,FALSE))))</f>
        <v>Medium</v>
      </c>
      <c r="X14" s="524">
        <f>IFERROR(IF(E14="","",VLOOKUP(W14, 'G-3 Multipliers'!$P$2:$Q$6,2,FALSE)),"")</f>
        <v>0.67</v>
      </c>
      <c r="Y14" s="529">
        <f t="shared" si="5"/>
        <v>0</v>
      </c>
      <c r="Z14" s="239" t="s">
        <v>1562</v>
      </c>
      <c r="AA14" s="240"/>
      <c r="AE14" s="54" t="str">
        <f t="shared" si="1"/>
        <v>Not Possible</v>
      </c>
    </row>
    <row r="15" spans="1:34" ht="28" x14ac:dyDescent="0.3">
      <c r="A15" s="47" t="str">
        <f>IFERROR(INDEX('G-8 Condition Look up'!$I$4:$I$130,MATCH(F15,'G-8 Condition Look up'!$A$4:$A$130,0)),"")</f>
        <v>Cond4</v>
      </c>
      <c r="C15" s="384" t="str">
        <f>IFERROR(INDEX('G-1 All Habitats'!$AG$3:$AG$15,MATCH(D15,'G-1 All Habitats'!$AF$3:$AF$15,0)),"")</f>
        <v>Urban</v>
      </c>
      <c r="D15" s="146" t="s">
        <v>74</v>
      </c>
      <c r="E15" s="79" t="s">
        <v>627</v>
      </c>
      <c r="F15" s="246" t="str">
        <f>IFERROR(INDEX('G-1 All Habitats'!$B$3:$B$129,MATCH(E15,'G-1 All Habitats'!$A$3:$A$129,0)),"")</f>
        <v>Urban - Urban Tree</v>
      </c>
      <c r="G15" s="70">
        <v>0.3296</v>
      </c>
      <c r="H15" s="498" t="str">
        <f>IF(F15="","",VLOOKUP(F15,'G-1 All Habitats'!$B$2:$M$129,10,FALSE))</f>
        <v>Medium</v>
      </c>
      <c r="I15" s="499">
        <f>IFERROR(VLOOKUP(H15,'G-1 All Habitats'!$V$3:$W$7,2,FALSE),"")</f>
        <v>4</v>
      </c>
      <c r="J15" s="71" t="s">
        <v>242</v>
      </c>
      <c r="K15" s="499">
        <f>IFERROR(INDEX('G-8 Condition Look up'!$A$3:$H$130,MATCH(F15,'G-8 Condition Look up'!$A$3:$A$130,0),MATCH(J15,'G-8 Condition Look up'!$A$3:$H$3,0)),"")</f>
        <v>1</v>
      </c>
      <c r="L15" s="71" t="s">
        <v>913</v>
      </c>
      <c r="M15" s="507" t="str">
        <f>IF(L15="","",IF(VLOOKUP(L15,'G-3 Multipliers'!$L$3:$N$6,2,FALSE)=0,"Spatial Data Missing",VLOOKUP(L15,'G-3 Multipliers'!$L$3:$N$6,2,FALSE)))</f>
        <v xml:space="preserve">High strategic significance </v>
      </c>
      <c r="N15" s="505">
        <f>IF(L15="","",IF(VLOOKUP(L15,'G-3 Multipliers'!$L$3:$N$6,3,FALSE)=0,"Spatial Data Missing",VLOOKUP(L15,'G-3 Multipliers'!$L$3:$N$6,3,FALSE)))</f>
        <v>1.1499999999999999</v>
      </c>
      <c r="O15" s="498">
        <f t="shared" si="0"/>
        <v>10</v>
      </c>
      <c r="P15" s="82"/>
      <c r="Q15" s="82"/>
      <c r="R15" s="507" t="str">
        <f t="shared" si="2"/>
        <v>Standard time to target condition applied</v>
      </c>
      <c r="S15" s="521">
        <f t="shared" si="3"/>
        <v>10</v>
      </c>
      <c r="T15" s="522">
        <f>IFERROR(IF(S15="Check Data ⚠","Check Data ⚠",VLOOKUP(S15,'G-4 Temporal multipliers'!$A$4:$C$37,3,FALSE)),"")</f>
        <v>0.70028227419999989</v>
      </c>
      <c r="U15" s="523" t="str">
        <f>IF(F15="","",VLOOKUP(F15,'G-3 Multipliers'!$A$2:$E$129,2,FALSE))</f>
        <v>Low</v>
      </c>
      <c r="V15" s="520" t="str">
        <f t="shared" si="4"/>
        <v>Standard difficulty applied</v>
      </c>
      <c r="W15" s="520" t="str">
        <f>IF(E15="","",IF(AND(V15="Standard difficulty applied",O15&gt;P15),U15,IF(AND(V15="Low Difficulty - only applicable if all habitat created before losses",P15&gt;=O15),"Low",VLOOKUP(F15,'G-3 Multipliers'!$A$2:$E$129,4,FALSE))))</f>
        <v>Low</v>
      </c>
      <c r="X15" s="524">
        <f>IFERROR(IF(E15="","",VLOOKUP(W15, 'G-3 Multipliers'!$P$2:$Q$6,2,FALSE)),"")</f>
        <v>1</v>
      </c>
      <c r="Y15" s="529">
        <f t="shared" si="5"/>
        <v>1.0617399728510717</v>
      </c>
      <c r="Z15" s="239"/>
      <c r="AA15" s="240"/>
      <c r="AE15" s="54">
        <f t="shared" si="1"/>
        <v>10</v>
      </c>
    </row>
    <row r="16" spans="1:34" ht="42" x14ac:dyDescent="0.3">
      <c r="A16" s="47" t="str">
        <f>IFERROR(INDEX('G-8 Condition Look up'!$I$4:$I$130,MATCH(F16,'G-8 Condition Look up'!$A$4:$A$130,0)),"")</f>
        <v>Cond4</v>
      </c>
      <c r="C16" s="384" t="str">
        <f>IFERROR(INDEX('G-1 All Habitats'!$AG$3:$AG$15,MATCH(D16,'G-1 All Habitats'!$AF$3:$AF$15,0)),"")</f>
        <v>Heathland_and_shrub</v>
      </c>
      <c r="D16" s="146" t="s">
        <v>71</v>
      </c>
      <c r="E16" s="79" t="s">
        <v>495</v>
      </c>
      <c r="F16" s="246" t="str">
        <f>IFERROR(INDEX('G-1 All Habitats'!$B$3:$B$129,MATCH(E16,'G-1 All Habitats'!$A$3:$A$129,0)),"")</f>
        <v>Heathland and shrub - Mixed scrub</v>
      </c>
      <c r="G16" s="70">
        <f>0.0575</f>
        <v>5.7500000000000002E-2</v>
      </c>
      <c r="H16" s="498" t="str">
        <f>IF(F16="","",VLOOKUP(F16,'G-1 All Habitats'!$B$2:$M$129,10,FALSE))</f>
        <v>Medium</v>
      </c>
      <c r="I16" s="499">
        <f>IFERROR(VLOOKUP(H16,'G-1 All Habitats'!$V$3:$W$7,2,FALSE),"")</f>
        <v>4</v>
      </c>
      <c r="J16" s="71" t="s">
        <v>242</v>
      </c>
      <c r="K16" s="499">
        <f>IFERROR(INDEX('G-8 Condition Look up'!$A$3:$H$130,MATCH(F16,'G-8 Condition Look up'!$A$3:$A$130,0),MATCH(J16,'G-8 Condition Look up'!$A$3:$H$3,0)),"")</f>
        <v>1</v>
      </c>
      <c r="L16" s="71" t="s">
        <v>917</v>
      </c>
      <c r="M16" s="507" t="str">
        <f>IF(L16="","",IF(VLOOKUP(L16,'G-3 Multipliers'!$L$3:$N$6,2,FALSE)=0,"Spatial Data Missing",VLOOKUP(L16,'G-3 Multipliers'!$L$3:$N$6,2,FALSE)))</f>
        <v xml:space="preserve">Medium strategic significance </v>
      </c>
      <c r="N16" s="505">
        <f>IF(L16="","",IF(VLOOKUP(L16,'G-3 Multipliers'!$L$3:$N$6,3,FALSE)=0,"Spatial Data Missing",VLOOKUP(L16,'G-3 Multipliers'!$L$3:$N$6,3,FALSE)))</f>
        <v>1.1000000000000001</v>
      </c>
      <c r="O16" s="498">
        <f t="shared" si="0"/>
        <v>1</v>
      </c>
      <c r="P16" s="82"/>
      <c r="Q16" s="82"/>
      <c r="R16" s="507" t="str">
        <f t="shared" si="2"/>
        <v>Standard time to target condition applied</v>
      </c>
      <c r="S16" s="521">
        <f t="shared" si="3"/>
        <v>1</v>
      </c>
      <c r="T16" s="522">
        <f>IFERROR(IF(S16="Check Data ⚠","Check Data ⚠",VLOOKUP(S16,'G-4 Temporal multipliers'!$A$4:$C$37,3,FALSE)),"")</f>
        <v>0.96499999999999997</v>
      </c>
      <c r="U16" s="523" t="str">
        <f>IF(F16="","",VLOOKUP(F16,'G-3 Multipliers'!$A$2:$E$129,2,FALSE))</f>
        <v>Low</v>
      </c>
      <c r="V16" s="520" t="str">
        <f t="shared" si="4"/>
        <v>Standard difficulty applied</v>
      </c>
      <c r="W16" s="520" t="str">
        <f>IF(E16="","",IF(AND(V16="Standard difficulty applied",O16&gt;P16),U16,IF(AND(V16="Low Difficulty - only applicable if all habitat created before losses",P16&gt;=O16),"Low",VLOOKUP(F16,'G-3 Multipliers'!$A$2:$E$129,4,FALSE))))</f>
        <v>Low</v>
      </c>
      <c r="X16" s="524">
        <f>IFERROR(IF(E16="","",VLOOKUP(W16, 'G-3 Multipliers'!$P$2:$Q$6,2,FALSE)),"")</f>
        <v>1</v>
      </c>
      <c r="Y16" s="529">
        <f t="shared" si="5"/>
        <v>0.24414500000000006</v>
      </c>
      <c r="Z16" s="239" t="s">
        <v>1564</v>
      </c>
      <c r="AA16" s="240"/>
      <c r="AE16" s="54">
        <f t="shared" si="1"/>
        <v>1</v>
      </c>
    </row>
    <row r="17" spans="1:31" ht="42" x14ac:dyDescent="0.3">
      <c r="A17" s="47" t="str">
        <f>IFERROR(INDEX('G-8 Condition Look up'!$I$4:$I$130,MATCH(F17,'G-8 Condition Look up'!$A$4:$A$130,0)),"")</f>
        <v>Cond4</v>
      </c>
      <c r="C17" s="384" t="str">
        <f>IFERROR(INDEX('G-1 All Habitats'!$AG$3:$AG$15,MATCH(D17,'G-1 All Habitats'!$AF$3:$AF$15,0)),"")</f>
        <v>Urban</v>
      </c>
      <c r="D17" s="146" t="s">
        <v>74</v>
      </c>
      <c r="E17" s="79" t="s">
        <v>635</v>
      </c>
      <c r="F17" s="246" t="str">
        <f>IFERROR(INDEX('G-1 All Habitats'!$B$3:$B$129,MATCH(E17,'G-1 All Habitats'!$A$3:$A$129,0)),"")</f>
        <v>Urban - Vacant/derelict land/ bareground</v>
      </c>
      <c r="G17" s="70">
        <f>0.0157-0.0149</f>
        <v>7.9999999999999863E-4</v>
      </c>
      <c r="H17" s="498" t="str">
        <f>IF(F17="","",VLOOKUP(F17,'G-1 All Habitats'!$B$2:$M$129,10,FALSE))</f>
        <v>Low</v>
      </c>
      <c r="I17" s="499">
        <f>IFERROR(VLOOKUP(H17,'G-1 All Habitats'!$V$3:$W$7,2,FALSE),"")</f>
        <v>2</v>
      </c>
      <c r="J17" s="71" t="s">
        <v>21</v>
      </c>
      <c r="K17" s="499">
        <f>IFERROR(INDEX('G-8 Condition Look up'!$A$3:$H$130,MATCH(F17,'G-8 Condition Look up'!$A$3:$A$130,0),MATCH(J17,'G-8 Condition Look up'!$A$3:$H$3,0)),"")</f>
        <v>3</v>
      </c>
      <c r="L17" s="71" t="s">
        <v>917</v>
      </c>
      <c r="M17" s="507" t="str">
        <f>IF(L17="","",IF(VLOOKUP(L17,'G-3 Multipliers'!$L$3:$N$6,2,FALSE)=0,"Spatial Data Missing",VLOOKUP(L17,'G-3 Multipliers'!$L$3:$N$6,2,FALSE)))</f>
        <v xml:space="preserve">Medium strategic significance </v>
      </c>
      <c r="N17" s="505">
        <f>IF(L17="","",IF(VLOOKUP(L17,'G-3 Multipliers'!$L$3:$N$6,3,FALSE)=0,"Spatial Data Missing",VLOOKUP(L17,'G-3 Multipliers'!$L$3:$N$6,3,FALSE)))</f>
        <v>1.1000000000000001</v>
      </c>
      <c r="O17" s="498">
        <f t="shared" si="0"/>
        <v>5</v>
      </c>
      <c r="P17" s="82"/>
      <c r="Q17" s="82"/>
      <c r="R17" s="507" t="str">
        <f t="shared" si="2"/>
        <v>Standard time to target condition applied</v>
      </c>
      <c r="S17" s="521">
        <f t="shared" si="3"/>
        <v>5</v>
      </c>
      <c r="T17" s="522">
        <f>IFERROR(IF(S17="Check Data ⚠","Check Data ⚠",VLOOKUP(S17,'G-4 Temporal multipliers'!$A$4:$C$37,3,FALSE)),"")</f>
        <v>0.83682870060000003</v>
      </c>
      <c r="U17" s="523" t="str">
        <f>IF(F17="","",VLOOKUP(F17,'G-3 Multipliers'!$A$2:$E$129,2,FALSE))</f>
        <v>Low</v>
      </c>
      <c r="V17" s="520" t="str">
        <f t="shared" si="4"/>
        <v>Standard difficulty applied</v>
      </c>
      <c r="W17" s="520" t="str">
        <f>IF(E17="","",IF(AND(V17="Standard difficulty applied",O17&gt;P17),U17,IF(AND(V17="Low Difficulty - only applicable if all habitat created before losses",P17&gt;=O17),"Low",VLOOKUP(F17,'G-3 Multipliers'!$A$2:$E$129,4,FALSE))))</f>
        <v>Low</v>
      </c>
      <c r="X17" s="524">
        <f>IFERROR(IF(E17="","",VLOOKUP(W17, 'G-3 Multipliers'!$P$2:$Q$6,2,FALSE)),"")</f>
        <v>1</v>
      </c>
      <c r="Y17" s="529">
        <f t="shared" si="5"/>
        <v>4.4184555391679932E-3</v>
      </c>
      <c r="Z17" s="239" t="s">
        <v>1565</v>
      </c>
      <c r="AA17" s="240"/>
      <c r="AE17" s="54">
        <f t="shared" si="1"/>
        <v>1</v>
      </c>
    </row>
    <row r="18" spans="1:31" x14ac:dyDescent="0.3">
      <c r="A18" s="47" t="str">
        <f>IFERROR(INDEX('G-8 Condition Look up'!$I$4:$I$130,MATCH(F18,'G-8 Condition Look up'!$A$4:$A$130,0)),"")</f>
        <v/>
      </c>
      <c r="C18" s="384" t="str">
        <f>IFERROR(INDEX('G-1 All Habitats'!$AG$3:$AG$15,MATCH(D18,'G-1 All Habitats'!$AF$3:$AF$15,0)),"")</f>
        <v/>
      </c>
      <c r="D18" s="146"/>
      <c r="E18" s="79"/>
      <c r="F18" s="246" t="str">
        <f>IFERROR(INDEX('G-1 All Habitats'!$B$3:$B$129,MATCH(E18,'G-1 All Habitats'!$A$3:$A$129,0)),"")</f>
        <v/>
      </c>
      <c r="G18" s="70"/>
      <c r="H18" s="498" t="str">
        <f>IF(F18="","",VLOOKUP(F18,'G-1 All Habitats'!$B$2:$M$129,10,FALSE))</f>
        <v/>
      </c>
      <c r="I18" s="499" t="str">
        <f>IFERROR(VLOOKUP(H18,'G-1 All Habitats'!$V$3:$W$7,2,FALSE),"")</f>
        <v/>
      </c>
      <c r="J18" s="71"/>
      <c r="K18" s="499" t="str">
        <f>IFERROR(INDEX('G-8 Condition Look up'!$A$3:$H$130,MATCH(F18,'G-8 Condition Look up'!$A$3:$A$130,0),MATCH(J18,'G-8 Condition Look up'!$A$3:$H$3,0)),"")</f>
        <v/>
      </c>
      <c r="L18" s="71"/>
      <c r="M18" s="507" t="str">
        <f>IF(L18="","",IF(VLOOKUP(L18,'G-3 Multipliers'!$L$3:$N$6,2,FALSE)=0,"Spatial Data Missing",VLOOKUP(L18,'G-3 Multipliers'!$L$3:$N$6,2,FALSE)))</f>
        <v/>
      </c>
      <c r="N18" s="505" t="str">
        <f>IF(L18="","",IF(VLOOKUP(L18,'G-3 Multipliers'!$L$3:$N$6,3,FALSE)=0,"Spatial Data Missing",VLOOKUP(L18,'G-3 Multipliers'!$L$3:$N$6,3,FALSE)))</f>
        <v/>
      </c>
      <c r="O18" s="498" t="str">
        <f t="shared" si="0"/>
        <v/>
      </c>
      <c r="P18" s="82"/>
      <c r="Q18" s="82"/>
      <c r="R18" s="507" t="str">
        <f t="shared" si="2"/>
        <v/>
      </c>
      <c r="S18" s="521" t="str">
        <f t="shared" si="3"/>
        <v/>
      </c>
      <c r="T18" s="522" t="str">
        <f>IFERROR(IF(S18="Check Data ⚠","Check Data ⚠",VLOOKUP(S18,'G-4 Temporal multipliers'!$A$4:$C$37,3,FALSE)),"")</f>
        <v/>
      </c>
      <c r="U18" s="523" t="str">
        <f>IF(F18="","",VLOOKUP(F18,'G-3 Multipliers'!$A$2:$E$129,2,FALSE))</f>
        <v/>
      </c>
      <c r="V18" s="520" t="str">
        <f t="shared" si="4"/>
        <v/>
      </c>
      <c r="W18" s="520" t="str">
        <f>IF(E18="","",IF(AND(V18="Standard difficulty applied",O18&gt;P18),U18,IF(AND(V18="Low Difficulty - only applicable if all habitat created before losses",P18&gt;=O18),"Low",VLOOKUP(F18,'G-3 Multipliers'!$A$2:$E$129,4,FALSE))))</f>
        <v/>
      </c>
      <c r="X18" s="524" t="str">
        <f>IFERROR(IF(E18="","",VLOOKUP(W18, 'G-3 Multipliers'!$P$2:$Q$6,2,FALSE)),"")</f>
        <v/>
      </c>
      <c r="Y18" s="529" t="str">
        <f t="shared" si="5"/>
        <v/>
      </c>
      <c r="Z18" s="239"/>
      <c r="AA18" s="240"/>
      <c r="AE18" s="54" t="str">
        <f t="shared" si="1"/>
        <v/>
      </c>
    </row>
    <row r="19" spans="1:31" x14ac:dyDescent="0.3">
      <c r="A19" s="47" t="str">
        <f>IFERROR(INDEX('G-8 Condition Look up'!$I$4:$I$130,MATCH(F19,'G-8 Condition Look up'!$A$4:$A$130,0)),"")</f>
        <v/>
      </c>
      <c r="C19" s="384" t="str">
        <f>IFERROR(INDEX('G-1 All Habitats'!$AG$3:$AG$15,MATCH(D19,'G-1 All Habitats'!$AF$3:$AF$15,0)),"")</f>
        <v/>
      </c>
      <c r="D19" s="146"/>
      <c r="E19" s="79"/>
      <c r="F19" s="246" t="str">
        <f>IFERROR(INDEX('G-1 All Habitats'!$B$3:$B$129,MATCH(E19,'G-1 All Habitats'!$A$3:$A$129,0)),"")</f>
        <v/>
      </c>
      <c r="G19" s="70"/>
      <c r="H19" s="498" t="str">
        <f>IF(F19="","",VLOOKUP(F19,'G-1 All Habitats'!$B$2:$M$129,10,FALSE))</f>
        <v/>
      </c>
      <c r="I19" s="499" t="str">
        <f>IFERROR(VLOOKUP(H19,'G-1 All Habitats'!$V$3:$W$7,2,FALSE),"")</f>
        <v/>
      </c>
      <c r="J19" s="71"/>
      <c r="K19" s="499" t="str">
        <f>IFERROR(INDEX('G-8 Condition Look up'!$A$3:$H$130,MATCH(F19,'G-8 Condition Look up'!$A$3:$A$130,0),MATCH(J19,'G-8 Condition Look up'!$A$3:$H$3,0)),"")</f>
        <v/>
      </c>
      <c r="L19" s="71"/>
      <c r="M19" s="507" t="str">
        <f>IF(L19="","",IF(VLOOKUP(L19,'G-3 Multipliers'!$L$3:$N$6,2,FALSE)=0,"Spatial Data Missing",VLOOKUP(L19,'G-3 Multipliers'!$L$3:$N$6,2,FALSE)))</f>
        <v/>
      </c>
      <c r="N19" s="505" t="str">
        <f>IF(L19="","",IF(VLOOKUP(L19,'G-3 Multipliers'!$L$3:$N$6,3,FALSE)=0,"Spatial Data Missing",VLOOKUP(L19,'G-3 Multipliers'!$L$3:$N$6,3,FALSE)))</f>
        <v/>
      </c>
      <c r="O19" s="498" t="str">
        <f t="shared" si="0"/>
        <v/>
      </c>
      <c r="P19" s="82"/>
      <c r="Q19" s="82"/>
      <c r="R19" s="507" t="str">
        <f t="shared" si="2"/>
        <v/>
      </c>
      <c r="S19" s="521" t="str">
        <f t="shared" si="3"/>
        <v/>
      </c>
      <c r="T19" s="522" t="str">
        <f>IFERROR(IF(S19="Check Data ⚠","Check Data ⚠",VLOOKUP(S19,'G-4 Temporal multipliers'!$A$4:$C$37,3,FALSE)),"")</f>
        <v/>
      </c>
      <c r="U19" s="523" t="str">
        <f>IF(F19="","",VLOOKUP(F19,'G-3 Multipliers'!$A$2:$E$129,2,FALSE))</f>
        <v/>
      </c>
      <c r="V19" s="520" t="str">
        <f t="shared" si="4"/>
        <v/>
      </c>
      <c r="W19" s="520" t="str">
        <f>IF(E19="","",IF(AND(V19="Standard difficulty applied",O19&gt;P19),U19,IF(AND(V19="Low Difficulty - only applicable if all habitat created before losses",P19&gt;=O19),"Low",VLOOKUP(F19,'G-3 Multipliers'!$A$2:$E$129,4,FALSE))))</f>
        <v/>
      </c>
      <c r="X19" s="524" t="str">
        <f>IFERROR(IF(E19="","",VLOOKUP(W19, 'G-3 Multipliers'!$P$2:$Q$6,2,FALSE)),"")</f>
        <v/>
      </c>
      <c r="Y19" s="529" t="str">
        <f t="shared" si="5"/>
        <v/>
      </c>
      <c r="Z19" s="239"/>
      <c r="AA19" s="240"/>
      <c r="AE19" s="54" t="str">
        <f t="shared" si="1"/>
        <v/>
      </c>
    </row>
    <row r="20" spans="1:31" x14ac:dyDescent="0.3">
      <c r="A20" s="47" t="str">
        <f>IFERROR(INDEX('G-8 Condition Look up'!$I$4:$I$130,MATCH(F20,'G-8 Condition Look up'!$A$4:$A$130,0)),"")</f>
        <v/>
      </c>
      <c r="C20" s="384" t="str">
        <f>IFERROR(INDEX('G-1 All Habitats'!$AG$3:$AG$15,MATCH(D20,'G-1 All Habitats'!$AF$3:$AF$15,0)),"")</f>
        <v/>
      </c>
      <c r="D20" s="146"/>
      <c r="E20" s="79"/>
      <c r="F20" s="246" t="str">
        <f>IFERROR(INDEX('G-1 All Habitats'!$B$3:$B$129,MATCH(E20,'G-1 All Habitats'!$A$3:$A$129,0)),"")</f>
        <v/>
      </c>
      <c r="G20" s="70"/>
      <c r="H20" s="498" t="str">
        <f>IF(F20="","",VLOOKUP(F20,'G-1 All Habitats'!$B$2:$M$129,10,FALSE))</f>
        <v/>
      </c>
      <c r="I20" s="499" t="str">
        <f>IFERROR(VLOOKUP(H20,'G-1 All Habitats'!$V$3:$W$7,2,FALSE),"")</f>
        <v/>
      </c>
      <c r="J20" s="71"/>
      <c r="K20" s="499" t="str">
        <f>IFERROR(INDEX('G-8 Condition Look up'!$A$3:$H$130,MATCH(F20,'G-8 Condition Look up'!$A$3:$A$130,0),MATCH(J20,'G-8 Condition Look up'!$A$3:$H$3,0)),"")</f>
        <v/>
      </c>
      <c r="L20" s="71"/>
      <c r="M20" s="507" t="str">
        <f>IF(L20="","",IF(VLOOKUP(L20,'G-3 Multipliers'!$L$3:$N$6,2,FALSE)=0,"Spatial Data Missing",VLOOKUP(L20,'G-3 Multipliers'!$L$3:$N$6,2,FALSE)))</f>
        <v/>
      </c>
      <c r="N20" s="505" t="str">
        <f>IF(L20="","",IF(VLOOKUP(L20,'G-3 Multipliers'!$L$3:$N$6,3,FALSE)=0,"Spatial Data Missing",VLOOKUP(L20,'G-3 Multipliers'!$L$3:$N$6,3,FALSE)))</f>
        <v/>
      </c>
      <c r="O20" s="498" t="str">
        <f t="shared" si="0"/>
        <v/>
      </c>
      <c r="P20" s="82"/>
      <c r="Q20" s="82"/>
      <c r="R20" s="507" t="str">
        <f t="shared" si="2"/>
        <v/>
      </c>
      <c r="S20" s="521" t="str">
        <f t="shared" si="3"/>
        <v/>
      </c>
      <c r="T20" s="522" t="str">
        <f>IFERROR(IF(S20="Check Data ⚠","Check Data ⚠",VLOOKUP(S20,'G-4 Temporal multipliers'!$A$4:$C$37,3,FALSE)),"")</f>
        <v/>
      </c>
      <c r="U20" s="523" t="str">
        <f>IF(F20="","",VLOOKUP(F20,'G-3 Multipliers'!$A$2:$E$129,2,FALSE))</f>
        <v/>
      </c>
      <c r="V20" s="520" t="str">
        <f t="shared" si="4"/>
        <v/>
      </c>
      <c r="W20" s="520" t="str">
        <f>IF(E20="","",IF(AND(V20="Standard difficulty applied",O20&gt;P20),U20,IF(AND(V20="Low Difficulty - only applicable if all habitat created before losses",P20&gt;=O20),"Low",VLOOKUP(F20,'G-3 Multipliers'!$A$2:$E$129,4,FALSE))))</f>
        <v/>
      </c>
      <c r="X20" s="524" t="str">
        <f>IFERROR(IF(E20="","",VLOOKUP(W20, 'G-3 Multipliers'!$P$2:$Q$6,2,FALSE)),"")</f>
        <v/>
      </c>
      <c r="Y20" s="529" t="str">
        <f t="shared" si="5"/>
        <v/>
      </c>
      <c r="Z20" s="239"/>
      <c r="AA20" s="240"/>
      <c r="AE20" s="54" t="str">
        <f t="shared" si="1"/>
        <v/>
      </c>
    </row>
    <row r="21" spans="1:31" x14ac:dyDescent="0.3">
      <c r="A21" s="47" t="str">
        <f>IFERROR(INDEX('G-8 Condition Look up'!$I$4:$I$130,MATCH(F21,'G-8 Condition Look up'!$A$4:$A$130,0)),"")</f>
        <v/>
      </c>
      <c r="C21" s="384" t="str">
        <f>IFERROR(INDEX('G-1 All Habitats'!$AG$3:$AG$15,MATCH(D21,'G-1 All Habitats'!$AF$3:$AF$15,0)),"")</f>
        <v/>
      </c>
      <c r="D21" s="146"/>
      <c r="E21" s="79"/>
      <c r="F21" s="246" t="str">
        <f>IFERROR(INDEX('G-1 All Habitats'!$B$3:$B$129,MATCH(E21,'G-1 All Habitats'!$A$3:$A$129,0)),"")</f>
        <v/>
      </c>
      <c r="G21" s="70"/>
      <c r="H21" s="498" t="str">
        <f>IF(F21="","",VLOOKUP(F21,'G-1 All Habitats'!$B$2:$M$129,10,FALSE))</f>
        <v/>
      </c>
      <c r="I21" s="499" t="str">
        <f>IFERROR(VLOOKUP(H21,'G-1 All Habitats'!$V$3:$W$7,2,FALSE),"")</f>
        <v/>
      </c>
      <c r="J21" s="71"/>
      <c r="K21" s="499" t="str">
        <f>IFERROR(INDEX('G-8 Condition Look up'!$A$3:$H$130,MATCH(F21,'G-8 Condition Look up'!$A$3:$A$130,0),MATCH(J21,'G-8 Condition Look up'!$A$3:$H$3,0)),"")</f>
        <v/>
      </c>
      <c r="L21" s="71"/>
      <c r="M21" s="507" t="str">
        <f>IF(L21="","",IF(VLOOKUP(L21,'G-3 Multipliers'!$L$3:$N$6,2,FALSE)=0,"Spatial Data Missing",VLOOKUP(L21,'G-3 Multipliers'!$L$3:$N$6,2,FALSE)))</f>
        <v/>
      </c>
      <c r="N21" s="505" t="str">
        <f>IF(L21="","",IF(VLOOKUP(L21,'G-3 Multipliers'!$L$3:$N$6,3,FALSE)=0,"Spatial Data Missing",VLOOKUP(L21,'G-3 Multipliers'!$L$3:$N$6,3,FALSE)))</f>
        <v/>
      </c>
      <c r="O21" s="498" t="str">
        <f t="shared" si="0"/>
        <v/>
      </c>
      <c r="P21" s="82"/>
      <c r="Q21" s="82"/>
      <c r="R21" s="507" t="str">
        <f t="shared" si="2"/>
        <v/>
      </c>
      <c r="S21" s="521" t="str">
        <f t="shared" si="3"/>
        <v/>
      </c>
      <c r="T21" s="522" t="str">
        <f>IFERROR(IF(S21="Check Data ⚠","Check Data ⚠",VLOOKUP(S21,'G-4 Temporal multipliers'!$A$4:$C$37,3,FALSE)),"")</f>
        <v/>
      </c>
      <c r="U21" s="523" t="str">
        <f>IF(F21="","",VLOOKUP(F21,'G-3 Multipliers'!$A$2:$E$129,2,FALSE))</f>
        <v/>
      </c>
      <c r="V21" s="520" t="str">
        <f t="shared" si="4"/>
        <v/>
      </c>
      <c r="W21" s="520" t="str">
        <f>IF(E21="","",IF(AND(V21="Standard difficulty applied",O21&gt;P21),U21,IF(AND(V21="Low Difficulty - only applicable if all habitat created before losses",P21&gt;=O21),"Low",VLOOKUP(F21,'G-3 Multipliers'!$A$2:$E$129,4,FALSE))))</f>
        <v/>
      </c>
      <c r="X21" s="524" t="str">
        <f>IFERROR(IF(E21="","",VLOOKUP(W21, 'G-3 Multipliers'!$P$2:$Q$6,2,FALSE)),"")</f>
        <v/>
      </c>
      <c r="Y21" s="529" t="str">
        <f t="shared" si="5"/>
        <v/>
      </c>
      <c r="Z21" s="239"/>
      <c r="AA21" s="240"/>
      <c r="AE21" s="54" t="str">
        <f t="shared" si="1"/>
        <v/>
      </c>
    </row>
    <row r="22" spans="1:31" x14ac:dyDescent="0.3">
      <c r="A22" s="47" t="str">
        <f>IFERROR(INDEX('G-8 Condition Look up'!$I$4:$I$130,MATCH(F22,'G-8 Condition Look up'!$A$4:$A$130,0)),"")</f>
        <v/>
      </c>
      <c r="C22" s="384" t="str">
        <f>IFERROR(INDEX('G-1 All Habitats'!$AG$3:$AG$15,MATCH(D22,'G-1 All Habitats'!$AF$3:$AF$15,0)),"")</f>
        <v/>
      </c>
      <c r="D22" s="146"/>
      <c r="E22" s="79"/>
      <c r="F22" s="246" t="str">
        <f>IFERROR(INDEX('G-1 All Habitats'!$B$3:$B$129,MATCH(E22,'G-1 All Habitats'!$A$3:$A$129,0)),"")</f>
        <v/>
      </c>
      <c r="G22" s="70"/>
      <c r="H22" s="498" t="str">
        <f>IF(F22="","",VLOOKUP(F22,'G-1 All Habitats'!$B$2:$M$129,10,FALSE))</f>
        <v/>
      </c>
      <c r="I22" s="499" t="str">
        <f>IFERROR(VLOOKUP(H22,'G-1 All Habitats'!$V$3:$W$7,2,FALSE),"")</f>
        <v/>
      </c>
      <c r="J22" s="71"/>
      <c r="K22" s="499" t="str">
        <f>IFERROR(INDEX('G-8 Condition Look up'!$A$3:$H$130,MATCH(F22,'G-8 Condition Look up'!$A$3:$A$130,0),MATCH(J22,'G-8 Condition Look up'!$A$3:$H$3,0)),"")</f>
        <v/>
      </c>
      <c r="L22" s="71"/>
      <c r="M22" s="507" t="str">
        <f>IF(L22="","",IF(VLOOKUP(L22,'G-3 Multipliers'!$L$3:$N$6,2,FALSE)=0,"Spatial Data Missing",VLOOKUP(L22,'G-3 Multipliers'!$L$3:$N$6,2,FALSE)))</f>
        <v/>
      </c>
      <c r="N22" s="505" t="str">
        <f>IF(L22="","",IF(VLOOKUP(L22,'G-3 Multipliers'!$L$3:$N$6,3,FALSE)=0,"Spatial Data Missing",VLOOKUP(L22,'G-3 Multipliers'!$L$3:$N$6,3,FALSE)))</f>
        <v/>
      </c>
      <c r="O22" s="498" t="str">
        <f t="shared" si="0"/>
        <v/>
      </c>
      <c r="P22" s="82"/>
      <c r="Q22" s="82"/>
      <c r="R22" s="507" t="str">
        <f t="shared" si="2"/>
        <v/>
      </c>
      <c r="S22" s="521" t="str">
        <f t="shared" si="3"/>
        <v/>
      </c>
      <c r="T22" s="522" t="str">
        <f>IFERROR(IF(S22="Check Data ⚠","Check Data ⚠",VLOOKUP(S22,'G-4 Temporal multipliers'!$A$4:$C$37,3,FALSE)),"")</f>
        <v/>
      </c>
      <c r="U22" s="523" t="str">
        <f>IF(F22="","",VLOOKUP(F22,'G-3 Multipliers'!$A$2:$E$129,2,FALSE))</f>
        <v/>
      </c>
      <c r="V22" s="520" t="str">
        <f t="shared" si="4"/>
        <v/>
      </c>
      <c r="W22" s="520" t="str">
        <f>IF(E22="","",IF(AND(V22="Standard difficulty applied",O22&gt;P22),U22,IF(AND(V22="Low Difficulty - only applicable if all habitat created before losses",P22&gt;=O22),"Low",VLOOKUP(F22,'G-3 Multipliers'!$A$2:$E$129,4,FALSE))))</f>
        <v/>
      </c>
      <c r="X22" s="524" t="str">
        <f>IFERROR(IF(E22="","",VLOOKUP(W22, 'G-3 Multipliers'!$P$2:$Q$6,2,FALSE)),"")</f>
        <v/>
      </c>
      <c r="Y22" s="529" t="str">
        <f t="shared" si="5"/>
        <v/>
      </c>
      <c r="Z22" s="239"/>
      <c r="AA22" s="240"/>
      <c r="AE22" s="54" t="str">
        <f t="shared" si="1"/>
        <v/>
      </c>
    </row>
    <row r="23" spans="1:31" x14ac:dyDescent="0.3">
      <c r="A23" s="47" t="str">
        <f>IFERROR(INDEX('G-8 Condition Look up'!$I$4:$I$130,MATCH(F23,'G-8 Condition Look up'!$A$4:$A$130,0)),"")</f>
        <v/>
      </c>
      <c r="C23" s="384" t="str">
        <f>IFERROR(INDEX('G-1 All Habitats'!$AG$3:$AG$15,MATCH(D23,'G-1 All Habitats'!$AF$3:$AF$15,0)),"")</f>
        <v/>
      </c>
      <c r="D23" s="146"/>
      <c r="E23" s="79"/>
      <c r="F23" s="246" t="str">
        <f>IFERROR(INDEX('G-1 All Habitats'!$B$3:$B$129,MATCH(E23,'G-1 All Habitats'!$A$3:$A$129,0)),"")</f>
        <v/>
      </c>
      <c r="G23" s="70"/>
      <c r="H23" s="498" t="str">
        <f>IF(F23="","",VLOOKUP(F23,'G-1 All Habitats'!$B$2:$M$129,10,FALSE))</f>
        <v/>
      </c>
      <c r="I23" s="499" t="str">
        <f>IFERROR(VLOOKUP(H23,'G-1 All Habitats'!$V$3:$W$7,2,FALSE),"")</f>
        <v/>
      </c>
      <c r="J23" s="71"/>
      <c r="K23" s="499" t="str">
        <f>IFERROR(INDEX('G-8 Condition Look up'!$A$3:$H$130,MATCH(F23,'G-8 Condition Look up'!$A$3:$A$130,0),MATCH(J23,'G-8 Condition Look up'!$A$3:$H$3,0)),"")</f>
        <v/>
      </c>
      <c r="L23" s="71"/>
      <c r="M23" s="507" t="str">
        <f>IF(L23="","",IF(VLOOKUP(L23,'G-3 Multipliers'!$L$3:$N$6,2,FALSE)=0,"Spatial Data Missing",VLOOKUP(L23,'G-3 Multipliers'!$L$3:$N$6,2,FALSE)))</f>
        <v/>
      </c>
      <c r="N23" s="505" t="str">
        <f>IF(L23="","",IF(VLOOKUP(L23,'G-3 Multipliers'!$L$3:$N$6,3,FALSE)=0,"Spatial Data Missing",VLOOKUP(L23,'G-3 Multipliers'!$L$3:$N$6,3,FALSE)))</f>
        <v/>
      </c>
      <c r="O23" s="498" t="str">
        <f t="shared" si="0"/>
        <v/>
      </c>
      <c r="P23" s="82"/>
      <c r="Q23" s="82"/>
      <c r="R23" s="507" t="str">
        <f t="shared" si="2"/>
        <v/>
      </c>
      <c r="S23" s="521" t="str">
        <f t="shared" si="3"/>
        <v/>
      </c>
      <c r="T23" s="522" t="str">
        <f>IFERROR(IF(S23="Check Data ⚠","Check Data ⚠",VLOOKUP(S23,'G-4 Temporal multipliers'!$A$4:$C$37,3,FALSE)),"")</f>
        <v/>
      </c>
      <c r="U23" s="523" t="str">
        <f>IF(F23="","",VLOOKUP(F23,'G-3 Multipliers'!$A$2:$E$129,2,FALSE))</f>
        <v/>
      </c>
      <c r="V23" s="520" t="str">
        <f t="shared" si="4"/>
        <v/>
      </c>
      <c r="W23" s="520" t="str">
        <f>IF(E23="","",IF(AND(V23="Standard difficulty applied",O23&gt;P23),U23,IF(AND(V23="Low Difficulty - only applicable if all habitat created before losses",P23&gt;=O23),"Low",VLOOKUP(F23,'G-3 Multipliers'!$A$2:$E$129,4,FALSE))))</f>
        <v/>
      </c>
      <c r="X23" s="524" t="str">
        <f>IFERROR(IF(E23="","",VLOOKUP(W23, 'G-3 Multipliers'!$P$2:$Q$6,2,FALSE)),"")</f>
        <v/>
      </c>
      <c r="Y23" s="529" t="str">
        <f t="shared" si="5"/>
        <v/>
      </c>
      <c r="Z23" s="239"/>
      <c r="AA23" s="240"/>
      <c r="AE23" s="54" t="str">
        <f t="shared" si="1"/>
        <v/>
      </c>
    </row>
    <row r="24" spans="1:31" x14ac:dyDescent="0.3">
      <c r="A24" s="47" t="str">
        <f>IFERROR(INDEX('G-8 Condition Look up'!$I$4:$I$130,MATCH(F24,'G-8 Condition Look up'!$A$4:$A$130,0)),"")</f>
        <v/>
      </c>
      <c r="C24" s="384" t="str">
        <f>IFERROR(INDEX('G-1 All Habitats'!$AG$3:$AG$15,MATCH(D24,'G-1 All Habitats'!$AF$3:$AF$15,0)),"")</f>
        <v/>
      </c>
      <c r="D24" s="146"/>
      <c r="E24" s="79"/>
      <c r="F24" s="246" t="str">
        <f>IFERROR(INDEX('G-1 All Habitats'!$B$3:$B$129,MATCH(E24,'G-1 All Habitats'!$A$3:$A$129,0)),"")</f>
        <v/>
      </c>
      <c r="G24" s="70"/>
      <c r="H24" s="498" t="str">
        <f>IF(F24="","",VLOOKUP(F24,'G-1 All Habitats'!$B$2:$M$129,10,FALSE))</f>
        <v/>
      </c>
      <c r="I24" s="499" t="str">
        <f>IFERROR(VLOOKUP(H24,'G-1 All Habitats'!$V$3:$W$7,2,FALSE),"")</f>
        <v/>
      </c>
      <c r="J24" s="71"/>
      <c r="K24" s="499" t="str">
        <f>IFERROR(INDEX('G-8 Condition Look up'!$A$3:$H$130,MATCH(F24,'G-8 Condition Look up'!$A$3:$A$130,0),MATCH(J24,'G-8 Condition Look up'!$A$3:$H$3,0)),"")</f>
        <v/>
      </c>
      <c r="L24" s="71"/>
      <c r="M24" s="507" t="str">
        <f>IF(L24="","",IF(VLOOKUP(L24,'G-3 Multipliers'!$L$3:$N$6,2,FALSE)=0,"Spatial Data Missing",VLOOKUP(L24,'G-3 Multipliers'!$L$3:$N$6,2,FALSE)))</f>
        <v/>
      </c>
      <c r="N24" s="505" t="str">
        <f>IF(L24="","",IF(VLOOKUP(L24,'G-3 Multipliers'!$L$3:$N$6,3,FALSE)=0,"Spatial Data Missing",VLOOKUP(L24,'G-3 Multipliers'!$L$3:$N$6,3,FALSE)))</f>
        <v/>
      </c>
      <c r="O24" s="498" t="str">
        <f t="shared" si="0"/>
        <v/>
      </c>
      <c r="P24" s="82"/>
      <c r="Q24" s="82"/>
      <c r="R24" s="507" t="str">
        <f t="shared" si="2"/>
        <v/>
      </c>
      <c r="S24" s="521" t="str">
        <f t="shared" si="3"/>
        <v/>
      </c>
      <c r="T24" s="522" t="str">
        <f>IFERROR(IF(S24="Check Data ⚠","Check Data ⚠",VLOOKUP(S24,'G-4 Temporal multipliers'!$A$4:$C$37,3,FALSE)),"")</f>
        <v/>
      </c>
      <c r="U24" s="523" t="str">
        <f>IF(F24="","",VLOOKUP(F24,'G-3 Multipliers'!$A$2:$E$129,2,FALSE))</f>
        <v/>
      </c>
      <c r="V24" s="520" t="str">
        <f t="shared" si="4"/>
        <v/>
      </c>
      <c r="W24" s="520" t="str">
        <f>IF(E24="","",IF(AND(V24="Standard difficulty applied",O24&gt;P24),U24,IF(AND(V24="Low Difficulty - only applicable if all habitat created before losses",P24&gt;=O24),"Low",VLOOKUP(F24,'G-3 Multipliers'!$A$2:$E$129,4,FALSE))))</f>
        <v/>
      </c>
      <c r="X24" s="524" t="str">
        <f>IFERROR(IF(E24="","",VLOOKUP(W24, 'G-3 Multipliers'!$P$2:$Q$6,2,FALSE)),"")</f>
        <v/>
      </c>
      <c r="Y24" s="529" t="str">
        <f t="shared" si="5"/>
        <v/>
      </c>
      <c r="Z24" s="239"/>
      <c r="AA24" s="240"/>
      <c r="AE24" s="54" t="str">
        <f t="shared" si="1"/>
        <v/>
      </c>
    </row>
    <row r="25" spans="1:31" x14ac:dyDescent="0.3">
      <c r="A25" s="47" t="str">
        <f>IFERROR(INDEX('G-8 Condition Look up'!$I$4:$I$130,MATCH(F25,'G-8 Condition Look up'!$A$4:$A$130,0)),"")</f>
        <v/>
      </c>
      <c r="C25" s="384" t="str">
        <f>IFERROR(INDEX('G-1 All Habitats'!$AG$3:$AG$15,MATCH(D25,'G-1 All Habitats'!$AF$3:$AF$15,0)),"")</f>
        <v/>
      </c>
      <c r="D25" s="146"/>
      <c r="E25" s="79"/>
      <c r="F25" s="246" t="str">
        <f>IFERROR(INDEX('G-1 All Habitats'!$B$3:$B$129,MATCH(E25,'G-1 All Habitats'!$A$3:$A$129,0)),"")</f>
        <v/>
      </c>
      <c r="G25" s="70"/>
      <c r="H25" s="498" t="str">
        <f>IF(F25="","",VLOOKUP(F25,'G-1 All Habitats'!$B$2:$M$129,10,FALSE))</f>
        <v/>
      </c>
      <c r="I25" s="499" t="str">
        <f>IFERROR(VLOOKUP(H25,'G-1 All Habitats'!$V$3:$W$7,2,FALSE),"")</f>
        <v/>
      </c>
      <c r="J25" s="71"/>
      <c r="K25" s="499" t="str">
        <f>IFERROR(INDEX('G-8 Condition Look up'!$A$3:$H$130,MATCH(F25,'G-8 Condition Look up'!$A$3:$A$130,0),MATCH(J25,'G-8 Condition Look up'!$A$3:$H$3,0)),"")</f>
        <v/>
      </c>
      <c r="L25" s="71"/>
      <c r="M25" s="507" t="str">
        <f>IF(L25="","",IF(VLOOKUP(L25,'G-3 Multipliers'!$L$3:$N$6,2,FALSE)=0,"Spatial Data Missing",VLOOKUP(L25,'G-3 Multipliers'!$L$3:$N$6,2,FALSE)))</f>
        <v/>
      </c>
      <c r="N25" s="505" t="str">
        <f>IF(L25="","",IF(VLOOKUP(L25,'G-3 Multipliers'!$L$3:$N$6,3,FALSE)=0,"Spatial Data Missing",VLOOKUP(L25,'G-3 Multipliers'!$L$3:$N$6,3,FALSE)))</f>
        <v/>
      </c>
      <c r="O25" s="498" t="str">
        <f t="shared" si="0"/>
        <v/>
      </c>
      <c r="P25" s="82"/>
      <c r="Q25" s="82"/>
      <c r="R25" s="507" t="str">
        <f t="shared" si="2"/>
        <v/>
      </c>
      <c r="S25" s="521" t="str">
        <f t="shared" si="3"/>
        <v/>
      </c>
      <c r="T25" s="522" t="str">
        <f>IFERROR(IF(S25="Check Data ⚠","Check Data ⚠",VLOOKUP(S25,'G-4 Temporal multipliers'!$A$4:$C$37,3,FALSE)),"")</f>
        <v/>
      </c>
      <c r="U25" s="523" t="str">
        <f>IF(F25="","",VLOOKUP(F25,'G-3 Multipliers'!$A$2:$E$129,2,FALSE))</f>
        <v/>
      </c>
      <c r="V25" s="520" t="str">
        <f t="shared" si="4"/>
        <v/>
      </c>
      <c r="W25" s="520" t="str">
        <f>IF(E25="","",IF(AND(V25="Standard difficulty applied",O25&gt;P25),U25,IF(AND(V25="Low Difficulty - only applicable if all habitat created before losses",P25&gt;=O25),"Low",VLOOKUP(F25,'G-3 Multipliers'!$A$2:$E$129,4,FALSE))))</f>
        <v/>
      </c>
      <c r="X25" s="524" t="str">
        <f>IFERROR(IF(E25="","",VLOOKUP(W25, 'G-3 Multipliers'!$P$2:$Q$6,2,FALSE)),"")</f>
        <v/>
      </c>
      <c r="Y25" s="529" t="str">
        <f t="shared" si="5"/>
        <v/>
      </c>
      <c r="Z25" s="239"/>
      <c r="AA25" s="240"/>
      <c r="AE25" s="54" t="str">
        <f t="shared" si="1"/>
        <v/>
      </c>
    </row>
    <row r="26" spans="1:31" x14ac:dyDescent="0.3">
      <c r="A26" s="47" t="str">
        <f>IFERROR(INDEX('G-8 Condition Look up'!$I$4:$I$130,MATCH(F26,'G-8 Condition Look up'!$A$4:$A$130,0)),"")</f>
        <v/>
      </c>
      <c r="C26" s="384" t="str">
        <f>IFERROR(INDEX('G-1 All Habitats'!$AG$3:$AG$15,MATCH(D26,'G-1 All Habitats'!$AF$3:$AF$15,0)),"")</f>
        <v/>
      </c>
      <c r="D26" s="146"/>
      <c r="E26" s="79"/>
      <c r="F26" s="246" t="str">
        <f>IFERROR(INDEX('G-1 All Habitats'!$B$3:$B$129,MATCH(E26,'G-1 All Habitats'!$A$3:$A$129,0)),"")</f>
        <v/>
      </c>
      <c r="G26" s="70"/>
      <c r="H26" s="498" t="str">
        <f>IF(F26="","",VLOOKUP(F26,'G-1 All Habitats'!$B$2:$M$129,10,FALSE))</f>
        <v/>
      </c>
      <c r="I26" s="499" t="str">
        <f>IFERROR(VLOOKUP(H26,'G-1 All Habitats'!$V$3:$W$7,2,FALSE),"")</f>
        <v/>
      </c>
      <c r="J26" s="71"/>
      <c r="K26" s="499" t="str">
        <f>IFERROR(INDEX('G-8 Condition Look up'!$A$3:$H$130,MATCH(F26,'G-8 Condition Look up'!$A$3:$A$130,0),MATCH(J26,'G-8 Condition Look up'!$A$3:$H$3,0)),"")</f>
        <v/>
      </c>
      <c r="L26" s="71"/>
      <c r="M26" s="507" t="str">
        <f>IF(L26="","",IF(VLOOKUP(L26,'G-3 Multipliers'!$L$3:$N$6,2,FALSE)=0,"Spatial Data Missing",VLOOKUP(L26,'G-3 Multipliers'!$L$3:$N$6,2,FALSE)))</f>
        <v/>
      </c>
      <c r="N26" s="505" t="str">
        <f>IF(L26="","",IF(VLOOKUP(L26,'G-3 Multipliers'!$L$3:$N$6,3,FALSE)=0,"Spatial Data Missing",VLOOKUP(L26,'G-3 Multipliers'!$L$3:$N$6,3,FALSE)))</f>
        <v/>
      </c>
      <c r="O26" s="498" t="str">
        <f t="shared" si="0"/>
        <v/>
      </c>
      <c r="P26" s="82"/>
      <c r="Q26" s="82"/>
      <c r="R26" s="507" t="str">
        <f t="shared" si="2"/>
        <v/>
      </c>
      <c r="S26" s="521" t="str">
        <f t="shared" si="3"/>
        <v/>
      </c>
      <c r="T26" s="522" t="str">
        <f>IFERROR(IF(S26="Check Data ⚠","Check Data ⚠",VLOOKUP(S26,'G-4 Temporal multipliers'!$A$4:$C$37,3,FALSE)),"")</f>
        <v/>
      </c>
      <c r="U26" s="523" t="str">
        <f>IF(F26="","",VLOOKUP(F26,'G-3 Multipliers'!$A$2:$E$129,2,FALSE))</f>
        <v/>
      </c>
      <c r="V26" s="520" t="str">
        <f t="shared" si="4"/>
        <v/>
      </c>
      <c r="W26" s="520" t="str">
        <f>IF(E26="","",IF(AND(V26="Standard difficulty applied",O26&gt;P26),U26,IF(AND(V26="Low Difficulty - only applicable if all habitat created before losses",P26&gt;=O26),"Low",VLOOKUP(F26,'G-3 Multipliers'!$A$2:$E$129,4,FALSE))))</f>
        <v/>
      </c>
      <c r="X26" s="524" t="str">
        <f>IFERROR(IF(E26="","",VLOOKUP(W26, 'G-3 Multipliers'!$P$2:$Q$6,2,FALSE)),"")</f>
        <v/>
      </c>
      <c r="Y26" s="529" t="str">
        <f t="shared" si="5"/>
        <v/>
      </c>
      <c r="Z26" s="239"/>
      <c r="AA26" s="240"/>
      <c r="AE26" s="54" t="str">
        <f t="shared" si="1"/>
        <v/>
      </c>
    </row>
    <row r="27" spans="1:31" x14ac:dyDescent="0.3">
      <c r="A27" s="47" t="str">
        <f>IFERROR(INDEX('G-8 Condition Look up'!$I$4:$I$130,MATCH(F27,'G-8 Condition Look up'!$A$4:$A$130,0)),"")</f>
        <v/>
      </c>
      <c r="C27" s="384" t="str">
        <f>IFERROR(INDEX('G-1 All Habitats'!$AG$3:$AG$15,MATCH(D27,'G-1 All Habitats'!$AF$3:$AF$15,0)),"")</f>
        <v/>
      </c>
      <c r="D27" s="146"/>
      <c r="E27" s="79"/>
      <c r="F27" s="246" t="str">
        <f>IFERROR(INDEX('G-1 All Habitats'!$B$3:$B$129,MATCH(E27,'G-1 All Habitats'!$A$3:$A$129,0)),"")</f>
        <v/>
      </c>
      <c r="G27" s="70"/>
      <c r="H27" s="498" t="str">
        <f>IF(F27="","",VLOOKUP(F27,'G-1 All Habitats'!$B$2:$M$129,10,FALSE))</f>
        <v/>
      </c>
      <c r="I27" s="499" t="str">
        <f>IFERROR(VLOOKUP(H27,'G-1 All Habitats'!$V$3:$W$7,2,FALSE),"")</f>
        <v/>
      </c>
      <c r="J27" s="71"/>
      <c r="K27" s="499" t="str">
        <f>IFERROR(INDEX('G-8 Condition Look up'!$A$3:$H$130,MATCH(F27,'G-8 Condition Look up'!$A$3:$A$130,0),MATCH(J27,'G-8 Condition Look up'!$A$3:$H$3,0)),"")</f>
        <v/>
      </c>
      <c r="L27" s="71"/>
      <c r="M27" s="507" t="str">
        <f>IF(L27="","",IF(VLOOKUP(L27,'G-3 Multipliers'!$L$3:$N$6,2,FALSE)=0,"Spatial Data Missing",VLOOKUP(L27,'G-3 Multipliers'!$L$3:$N$6,2,FALSE)))</f>
        <v/>
      </c>
      <c r="N27" s="505" t="str">
        <f>IF(L27="","",IF(VLOOKUP(L27,'G-3 Multipliers'!$L$3:$N$6,3,FALSE)=0,"Spatial Data Missing",VLOOKUP(L27,'G-3 Multipliers'!$L$3:$N$6,3,FALSE)))</f>
        <v/>
      </c>
      <c r="O27" s="498" t="str">
        <f t="shared" si="0"/>
        <v/>
      </c>
      <c r="P27" s="82"/>
      <c r="Q27" s="82"/>
      <c r="R27" s="507" t="str">
        <f t="shared" si="2"/>
        <v/>
      </c>
      <c r="S27" s="521" t="str">
        <f t="shared" si="3"/>
        <v/>
      </c>
      <c r="T27" s="522" t="str">
        <f>IFERROR(IF(S27="Check Data ⚠","Check Data ⚠",VLOOKUP(S27,'G-4 Temporal multipliers'!$A$4:$C$37,3,FALSE)),"")</f>
        <v/>
      </c>
      <c r="U27" s="523" t="str">
        <f>IF(F27="","",VLOOKUP(F27,'G-3 Multipliers'!$A$2:$E$129,2,FALSE))</f>
        <v/>
      </c>
      <c r="V27" s="520" t="str">
        <f t="shared" si="4"/>
        <v/>
      </c>
      <c r="W27" s="520" t="str">
        <f>IF(E27="","",IF(AND(V27="Standard difficulty applied",O27&gt;P27),U27,IF(AND(V27="Low Difficulty - only applicable if all habitat created before losses",P27&gt;=O27),"Low",VLOOKUP(F27,'G-3 Multipliers'!$A$2:$E$129,4,FALSE))))</f>
        <v/>
      </c>
      <c r="X27" s="524" t="str">
        <f>IFERROR(IF(E27="","",VLOOKUP(W27, 'G-3 Multipliers'!$P$2:$Q$6,2,FALSE)),"")</f>
        <v/>
      </c>
      <c r="Y27" s="529" t="str">
        <f t="shared" si="5"/>
        <v/>
      </c>
      <c r="Z27" s="239"/>
      <c r="AA27" s="240"/>
      <c r="AE27" s="54" t="str">
        <f t="shared" si="1"/>
        <v/>
      </c>
    </row>
    <row r="28" spans="1:31" x14ac:dyDescent="0.3">
      <c r="A28" s="47" t="str">
        <f>IFERROR(INDEX('G-8 Condition Look up'!$I$4:$I$130,MATCH(F28,'G-8 Condition Look up'!$A$4:$A$130,0)),"")</f>
        <v/>
      </c>
      <c r="C28" s="384" t="str">
        <f>IFERROR(INDEX('G-1 All Habitats'!$AG$3:$AG$15,MATCH(D28,'G-1 All Habitats'!$AF$3:$AF$15,0)),"")</f>
        <v/>
      </c>
      <c r="D28" s="146"/>
      <c r="E28" s="79"/>
      <c r="F28" s="246" t="str">
        <f>IFERROR(INDEX('G-1 All Habitats'!$B$3:$B$129,MATCH(E28,'G-1 All Habitats'!$A$3:$A$129,0)),"")</f>
        <v/>
      </c>
      <c r="G28" s="70"/>
      <c r="H28" s="498" t="str">
        <f>IF(F28="","",VLOOKUP(F28,'G-1 All Habitats'!$B$2:$M$129,10,FALSE))</f>
        <v/>
      </c>
      <c r="I28" s="499" t="str">
        <f>IFERROR(VLOOKUP(H28,'G-1 All Habitats'!$V$3:$W$7,2,FALSE),"")</f>
        <v/>
      </c>
      <c r="J28" s="71"/>
      <c r="K28" s="499" t="str">
        <f>IFERROR(INDEX('G-8 Condition Look up'!$A$3:$H$130,MATCH(F28,'G-8 Condition Look up'!$A$3:$A$130,0),MATCH(J28,'G-8 Condition Look up'!$A$3:$H$3,0)),"")</f>
        <v/>
      </c>
      <c r="L28" s="71"/>
      <c r="M28" s="507" t="str">
        <f>IF(L28="","",IF(VLOOKUP(L28,'G-3 Multipliers'!$L$3:$N$6,2,FALSE)=0,"Spatial Data Missing",VLOOKUP(L28,'G-3 Multipliers'!$L$3:$N$6,2,FALSE)))</f>
        <v/>
      </c>
      <c r="N28" s="505" t="str">
        <f>IF(L28="","",IF(VLOOKUP(L28,'G-3 Multipliers'!$L$3:$N$6,3,FALSE)=0,"Spatial Data Missing",VLOOKUP(L28,'G-3 Multipliers'!$L$3:$N$6,3,FALSE)))</f>
        <v/>
      </c>
      <c r="O28" s="498" t="str">
        <f t="shared" si="0"/>
        <v/>
      </c>
      <c r="P28" s="82"/>
      <c r="Q28" s="82"/>
      <c r="R28" s="507" t="str">
        <f t="shared" si="2"/>
        <v/>
      </c>
      <c r="S28" s="521" t="str">
        <f t="shared" si="3"/>
        <v/>
      </c>
      <c r="T28" s="522" t="str">
        <f>IFERROR(IF(S28="Check Data ⚠","Check Data ⚠",VLOOKUP(S28,'G-4 Temporal multipliers'!$A$4:$C$37,3,FALSE)),"")</f>
        <v/>
      </c>
      <c r="U28" s="523" t="str">
        <f>IF(F28="","",VLOOKUP(F28,'G-3 Multipliers'!$A$2:$E$129,2,FALSE))</f>
        <v/>
      </c>
      <c r="V28" s="520" t="str">
        <f t="shared" si="4"/>
        <v/>
      </c>
      <c r="W28" s="520" t="str">
        <f>IF(E28="","",IF(AND(V28="Standard difficulty applied",O28&gt;P28),U28,IF(AND(V28="Low Difficulty - only applicable if all habitat created before losses",P28&gt;=O28),"Low",VLOOKUP(F28,'G-3 Multipliers'!$A$2:$E$129,4,FALSE))))</f>
        <v/>
      </c>
      <c r="X28" s="524" t="str">
        <f>IFERROR(IF(E28="","",VLOOKUP(W28, 'G-3 Multipliers'!$P$2:$Q$6,2,FALSE)),"")</f>
        <v/>
      </c>
      <c r="Y28" s="529" t="str">
        <f t="shared" si="5"/>
        <v/>
      </c>
      <c r="Z28" s="239"/>
      <c r="AA28" s="240"/>
      <c r="AE28" s="54" t="str">
        <f t="shared" si="1"/>
        <v/>
      </c>
    </row>
    <row r="29" spans="1:31" x14ac:dyDescent="0.3">
      <c r="A29" s="47" t="str">
        <f>IFERROR(INDEX('G-8 Condition Look up'!$I$4:$I$130,MATCH(F29,'G-8 Condition Look up'!$A$4:$A$130,0)),"")</f>
        <v/>
      </c>
      <c r="C29" s="384" t="str">
        <f>IFERROR(INDEX('G-1 All Habitats'!$AG$3:$AG$15,MATCH(D29,'G-1 All Habitats'!$AF$3:$AF$15,0)),"")</f>
        <v/>
      </c>
      <c r="D29" s="146"/>
      <c r="E29" s="79"/>
      <c r="F29" s="246" t="str">
        <f>IFERROR(INDEX('G-1 All Habitats'!$B$3:$B$129,MATCH(E29,'G-1 All Habitats'!$A$3:$A$129,0)),"")</f>
        <v/>
      </c>
      <c r="G29" s="70"/>
      <c r="H29" s="498" t="str">
        <f>IF(F29="","",VLOOKUP(F29,'G-1 All Habitats'!$B$2:$M$129,10,FALSE))</f>
        <v/>
      </c>
      <c r="I29" s="499" t="str">
        <f>IFERROR(VLOOKUP(H29,'G-1 All Habitats'!$V$3:$W$7,2,FALSE),"")</f>
        <v/>
      </c>
      <c r="J29" s="71"/>
      <c r="K29" s="499" t="str">
        <f>IFERROR(INDEX('G-8 Condition Look up'!$A$3:$H$130,MATCH(F29,'G-8 Condition Look up'!$A$3:$A$130,0),MATCH(J29,'G-8 Condition Look up'!$A$3:$H$3,0)),"")</f>
        <v/>
      </c>
      <c r="L29" s="71"/>
      <c r="M29" s="507" t="str">
        <f>IF(L29="","",IF(VLOOKUP(L29,'G-3 Multipliers'!$L$3:$N$6,2,FALSE)=0,"Spatial Data Missing",VLOOKUP(L29,'G-3 Multipliers'!$L$3:$N$6,2,FALSE)))</f>
        <v/>
      </c>
      <c r="N29" s="505" t="str">
        <f>IF(L29="","",IF(VLOOKUP(L29,'G-3 Multipliers'!$L$3:$N$6,3,FALSE)=0,"Spatial Data Missing",VLOOKUP(L29,'G-3 Multipliers'!$L$3:$N$6,3,FALSE)))</f>
        <v/>
      </c>
      <c r="O29" s="498" t="str">
        <f t="shared" si="0"/>
        <v/>
      </c>
      <c r="P29" s="82"/>
      <c r="Q29" s="82"/>
      <c r="R29" s="507" t="str">
        <f t="shared" si="2"/>
        <v/>
      </c>
      <c r="S29" s="521" t="str">
        <f t="shared" si="3"/>
        <v/>
      </c>
      <c r="T29" s="522" t="str">
        <f>IFERROR(IF(S29="Check Data ⚠","Check Data ⚠",VLOOKUP(S29,'G-4 Temporal multipliers'!$A$4:$C$37,3,FALSE)),"")</f>
        <v/>
      </c>
      <c r="U29" s="523" t="str">
        <f>IF(F29="","",VLOOKUP(F29,'G-3 Multipliers'!$A$2:$E$129,2,FALSE))</f>
        <v/>
      </c>
      <c r="V29" s="520" t="str">
        <f t="shared" si="4"/>
        <v/>
      </c>
      <c r="W29" s="520" t="str">
        <f>IF(E29="","",IF(AND(V29="Standard difficulty applied",O29&gt;P29),U29,IF(AND(V29="Low Difficulty - only applicable if all habitat created before losses",P29&gt;=O29),"Low",VLOOKUP(F29,'G-3 Multipliers'!$A$2:$E$129,4,FALSE))))</f>
        <v/>
      </c>
      <c r="X29" s="524" t="str">
        <f>IFERROR(IF(E29="","",VLOOKUP(W29, 'G-3 Multipliers'!$P$2:$Q$6,2,FALSE)),"")</f>
        <v/>
      </c>
      <c r="Y29" s="529" t="str">
        <f t="shared" si="5"/>
        <v/>
      </c>
      <c r="Z29" s="239"/>
      <c r="AA29" s="240"/>
      <c r="AE29" s="54" t="str">
        <f t="shared" si="1"/>
        <v/>
      </c>
    </row>
    <row r="30" spans="1:31" x14ac:dyDescent="0.3">
      <c r="A30" s="47" t="str">
        <f>IFERROR(INDEX('G-8 Condition Look up'!$I$4:$I$130,MATCH(F30,'G-8 Condition Look up'!$A$4:$A$130,0)),"")</f>
        <v/>
      </c>
      <c r="C30" s="384" t="str">
        <f>IFERROR(INDEX('G-1 All Habitats'!$AG$3:$AG$15,MATCH(D30,'G-1 All Habitats'!$AF$3:$AF$15,0)),"")</f>
        <v/>
      </c>
      <c r="D30" s="146"/>
      <c r="E30" s="79"/>
      <c r="F30" s="246" t="str">
        <f>IFERROR(INDEX('G-1 All Habitats'!$B$3:$B$129,MATCH(E30,'G-1 All Habitats'!$A$3:$A$129,0)),"")</f>
        <v/>
      </c>
      <c r="G30" s="70"/>
      <c r="H30" s="498" t="str">
        <f>IF(F30="","",VLOOKUP(F30,'G-1 All Habitats'!$B$2:$M$129,10,FALSE))</f>
        <v/>
      </c>
      <c r="I30" s="499" t="str">
        <f>IFERROR(VLOOKUP(H30,'G-1 All Habitats'!$V$3:$W$7,2,FALSE),"")</f>
        <v/>
      </c>
      <c r="J30" s="71"/>
      <c r="K30" s="499" t="str">
        <f>IFERROR(INDEX('G-8 Condition Look up'!$A$3:$H$130,MATCH(F30,'G-8 Condition Look up'!$A$3:$A$130,0),MATCH(J30,'G-8 Condition Look up'!$A$3:$H$3,0)),"")</f>
        <v/>
      </c>
      <c r="L30" s="71"/>
      <c r="M30" s="507" t="str">
        <f>IF(L30="","",IF(VLOOKUP(L30,'G-3 Multipliers'!$L$3:$N$6,2,FALSE)=0,"Spatial Data Missing",VLOOKUP(L30,'G-3 Multipliers'!$L$3:$N$6,2,FALSE)))</f>
        <v/>
      </c>
      <c r="N30" s="505" t="str">
        <f>IF(L30="","",IF(VLOOKUP(L30,'G-3 Multipliers'!$L$3:$N$6,3,FALSE)=0,"Spatial Data Missing",VLOOKUP(L30,'G-3 Multipliers'!$L$3:$N$6,3,FALSE)))</f>
        <v/>
      </c>
      <c r="O30" s="498" t="str">
        <f t="shared" si="0"/>
        <v/>
      </c>
      <c r="P30" s="82"/>
      <c r="Q30" s="82"/>
      <c r="R30" s="507" t="str">
        <f t="shared" si="2"/>
        <v/>
      </c>
      <c r="S30" s="521" t="str">
        <f t="shared" si="3"/>
        <v/>
      </c>
      <c r="T30" s="522" t="str">
        <f>IFERROR(IF(S30="Check Data ⚠","Check Data ⚠",VLOOKUP(S30,'G-4 Temporal multipliers'!$A$4:$C$37,3,FALSE)),"")</f>
        <v/>
      </c>
      <c r="U30" s="523" t="str">
        <f>IF(F30="","",VLOOKUP(F30,'G-3 Multipliers'!$A$2:$E$129,2,FALSE))</f>
        <v/>
      </c>
      <c r="V30" s="520" t="str">
        <f t="shared" si="4"/>
        <v/>
      </c>
      <c r="W30" s="520" t="str">
        <f>IF(E30="","",IF(AND(V30="Standard difficulty applied",O30&gt;P30),U30,IF(AND(V30="Low Difficulty - only applicable if all habitat created before losses",P30&gt;=O30),"Low",VLOOKUP(F30,'G-3 Multipliers'!$A$2:$E$129,4,FALSE))))</f>
        <v/>
      </c>
      <c r="X30" s="524" t="str">
        <f>IFERROR(IF(E30="","",VLOOKUP(W30, 'G-3 Multipliers'!$P$2:$Q$6,2,FALSE)),"")</f>
        <v/>
      </c>
      <c r="Y30" s="529" t="str">
        <f t="shared" si="5"/>
        <v/>
      </c>
      <c r="Z30" s="239"/>
      <c r="AA30" s="240"/>
      <c r="AE30" s="54" t="str">
        <f t="shared" si="1"/>
        <v/>
      </c>
    </row>
    <row r="31" spans="1:31" x14ac:dyDescent="0.3">
      <c r="A31" s="47" t="str">
        <f>IFERROR(INDEX('G-8 Condition Look up'!$I$4:$I$130,MATCH(F31,'G-8 Condition Look up'!$A$4:$A$130,0)),"")</f>
        <v/>
      </c>
      <c r="C31" s="384" t="str">
        <f>IFERROR(INDEX('G-1 All Habitats'!$AG$3:$AG$15,MATCH(D31,'G-1 All Habitats'!$AF$3:$AF$15,0)),"")</f>
        <v/>
      </c>
      <c r="D31" s="146"/>
      <c r="E31" s="79"/>
      <c r="F31" s="246" t="str">
        <f>IFERROR(INDEX('G-1 All Habitats'!$B$3:$B$129,MATCH(E31,'G-1 All Habitats'!$A$3:$A$129,0)),"")</f>
        <v/>
      </c>
      <c r="G31" s="70"/>
      <c r="H31" s="498" t="str">
        <f>IF(F31="","",VLOOKUP(F31,'G-1 All Habitats'!$B$2:$M$129,10,FALSE))</f>
        <v/>
      </c>
      <c r="I31" s="499" t="str">
        <f>IFERROR(VLOOKUP(H31,'G-1 All Habitats'!$V$3:$W$7,2,FALSE),"")</f>
        <v/>
      </c>
      <c r="J31" s="71"/>
      <c r="K31" s="499" t="str">
        <f>IFERROR(INDEX('G-8 Condition Look up'!$A$3:$H$130,MATCH(F31,'G-8 Condition Look up'!$A$3:$A$130,0),MATCH(J31,'G-8 Condition Look up'!$A$3:$H$3,0)),"")</f>
        <v/>
      </c>
      <c r="L31" s="71"/>
      <c r="M31" s="507" t="str">
        <f>IF(L31="","",IF(VLOOKUP(L31,'G-3 Multipliers'!$L$3:$N$6,2,FALSE)=0,"Spatial Data Missing",VLOOKUP(L31,'G-3 Multipliers'!$L$3:$N$6,2,FALSE)))</f>
        <v/>
      </c>
      <c r="N31" s="505" t="str">
        <f>IF(L31="","",IF(VLOOKUP(L31,'G-3 Multipliers'!$L$3:$N$6,3,FALSE)=0,"Spatial Data Missing",VLOOKUP(L31,'G-3 Multipliers'!$L$3:$N$6,3,FALSE)))</f>
        <v/>
      </c>
      <c r="O31" s="498" t="str">
        <f t="shared" si="0"/>
        <v/>
      </c>
      <c r="P31" s="82"/>
      <c r="Q31" s="82"/>
      <c r="R31" s="507" t="str">
        <f t="shared" si="2"/>
        <v/>
      </c>
      <c r="S31" s="521" t="str">
        <f t="shared" si="3"/>
        <v/>
      </c>
      <c r="T31" s="522" t="str">
        <f>IFERROR(IF(S31="Check Data ⚠","Check Data ⚠",VLOOKUP(S31,'G-4 Temporal multipliers'!$A$4:$C$37,3,FALSE)),"")</f>
        <v/>
      </c>
      <c r="U31" s="523" t="str">
        <f>IF(F31="","",VLOOKUP(F31,'G-3 Multipliers'!$A$2:$E$129,2,FALSE))</f>
        <v/>
      </c>
      <c r="V31" s="520" t="str">
        <f t="shared" si="4"/>
        <v/>
      </c>
      <c r="W31" s="520" t="str">
        <f>IF(E31="","",IF(AND(V31="Standard difficulty applied",O31&gt;P31),U31,IF(AND(V31="Low Difficulty - only applicable if all habitat created before losses",P31&gt;=O31),"Low",VLOOKUP(F31,'G-3 Multipliers'!$A$2:$E$129,4,FALSE))))</f>
        <v/>
      </c>
      <c r="X31" s="524" t="str">
        <f>IFERROR(IF(E31="","",VLOOKUP(W31, 'G-3 Multipliers'!$P$2:$Q$6,2,FALSE)),"")</f>
        <v/>
      </c>
      <c r="Y31" s="529" t="str">
        <f t="shared" si="5"/>
        <v/>
      </c>
      <c r="Z31" s="239"/>
      <c r="AA31" s="240"/>
      <c r="AE31" s="54" t="str">
        <f t="shared" si="1"/>
        <v/>
      </c>
    </row>
    <row r="32" spans="1:31" x14ac:dyDescent="0.3">
      <c r="A32" s="47" t="str">
        <f>IFERROR(INDEX('G-8 Condition Look up'!$I$4:$I$130,MATCH(F32,'G-8 Condition Look up'!$A$4:$A$130,0)),"")</f>
        <v/>
      </c>
      <c r="C32" s="384" t="str">
        <f>IFERROR(INDEX('G-1 All Habitats'!$AG$3:$AG$15,MATCH(D32,'G-1 All Habitats'!$AF$3:$AF$15,0)),"")</f>
        <v/>
      </c>
      <c r="D32" s="146"/>
      <c r="E32" s="79"/>
      <c r="F32" s="246" t="str">
        <f>IFERROR(INDEX('G-1 All Habitats'!$B$3:$B$129,MATCH(E32,'G-1 All Habitats'!$A$3:$A$129,0)),"")</f>
        <v/>
      </c>
      <c r="G32" s="70"/>
      <c r="H32" s="498" t="str">
        <f>IF(F32="","",VLOOKUP(F32,'G-1 All Habitats'!$B$2:$M$129,10,FALSE))</f>
        <v/>
      </c>
      <c r="I32" s="499" t="str">
        <f>IFERROR(VLOOKUP(H32,'G-1 All Habitats'!$V$3:$W$7,2,FALSE),"")</f>
        <v/>
      </c>
      <c r="J32" s="71"/>
      <c r="K32" s="499" t="str">
        <f>IFERROR(INDEX('G-8 Condition Look up'!$A$3:$H$130,MATCH(F32,'G-8 Condition Look up'!$A$3:$A$130,0),MATCH(J32,'G-8 Condition Look up'!$A$3:$H$3,0)),"")</f>
        <v/>
      </c>
      <c r="L32" s="71"/>
      <c r="M32" s="507" t="str">
        <f>IF(L32="","",IF(VLOOKUP(L32,'G-3 Multipliers'!$L$3:$N$6,2,FALSE)=0,"Spatial Data Missing",VLOOKUP(L32,'G-3 Multipliers'!$L$3:$N$6,2,FALSE)))</f>
        <v/>
      </c>
      <c r="N32" s="505" t="str">
        <f>IF(L32="","",IF(VLOOKUP(L32,'G-3 Multipliers'!$L$3:$N$6,3,FALSE)=0,"Spatial Data Missing",VLOOKUP(L32,'G-3 Multipliers'!$L$3:$N$6,3,FALSE)))</f>
        <v/>
      </c>
      <c r="O32" s="498" t="str">
        <f t="shared" si="0"/>
        <v/>
      </c>
      <c r="P32" s="82"/>
      <c r="Q32" s="82"/>
      <c r="R32" s="507" t="str">
        <f t="shared" si="2"/>
        <v/>
      </c>
      <c r="S32" s="521" t="str">
        <f t="shared" si="3"/>
        <v/>
      </c>
      <c r="T32" s="522" t="str">
        <f>IFERROR(IF(S32="Check Data ⚠","Check Data ⚠",VLOOKUP(S32,'G-4 Temporal multipliers'!$A$4:$C$37,3,FALSE)),"")</f>
        <v/>
      </c>
      <c r="U32" s="523" t="str">
        <f>IF(F32="","",VLOOKUP(F32,'G-3 Multipliers'!$A$2:$E$129,2,FALSE))</f>
        <v/>
      </c>
      <c r="V32" s="520" t="str">
        <f t="shared" si="4"/>
        <v/>
      </c>
      <c r="W32" s="520" t="str">
        <f>IF(E32="","",IF(AND(V32="Standard difficulty applied",O32&gt;P32),U32,IF(AND(V32="Low Difficulty - only applicable if all habitat created before losses",P32&gt;=O32),"Low",VLOOKUP(F32,'G-3 Multipliers'!$A$2:$E$129,4,FALSE))))</f>
        <v/>
      </c>
      <c r="X32" s="524" t="str">
        <f>IFERROR(IF(E32="","",VLOOKUP(W32, 'G-3 Multipliers'!$P$2:$Q$6,2,FALSE)),"")</f>
        <v/>
      </c>
      <c r="Y32" s="529" t="str">
        <f t="shared" si="5"/>
        <v/>
      </c>
      <c r="Z32" s="239"/>
      <c r="AA32" s="240"/>
      <c r="AE32" s="54" t="str">
        <f t="shared" si="1"/>
        <v/>
      </c>
    </row>
    <row r="33" spans="1:31" x14ac:dyDescent="0.3">
      <c r="A33" s="47" t="str">
        <f>IFERROR(INDEX('G-8 Condition Look up'!$I$4:$I$130,MATCH(F33,'G-8 Condition Look up'!$A$4:$A$130,0)),"")</f>
        <v/>
      </c>
      <c r="C33" s="384" t="str">
        <f>IFERROR(INDEX('G-1 All Habitats'!$AG$3:$AG$15,MATCH(D33,'G-1 All Habitats'!$AF$3:$AF$15,0)),"")</f>
        <v/>
      </c>
      <c r="D33" s="146"/>
      <c r="E33" s="79"/>
      <c r="F33" s="246" t="str">
        <f>IFERROR(INDEX('G-1 All Habitats'!$B$3:$B$129,MATCH(E33,'G-1 All Habitats'!$A$3:$A$129,0)),"")</f>
        <v/>
      </c>
      <c r="G33" s="70"/>
      <c r="H33" s="498" t="str">
        <f>IF(F33="","",VLOOKUP(F33,'G-1 All Habitats'!$B$2:$M$129,10,FALSE))</f>
        <v/>
      </c>
      <c r="I33" s="499" t="str">
        <f>IFERROR(VLOOKUP(H33,'G-1 All Habitats'!$V$3:$W$7,2,FALSE),"")</f>
        <v/>
      </c>
      <c r="J33" s="71"/>
      <c r="K33" s="499" t="str">
        <f>IFERROR(INDEX('G-8 Condition Look up'!$A$3:$H$130,MATCH(F33,'G-8 Condition Look up'!$A$3:$A$130,0),MATCH(J33,'G-8 Condition Look up'!$A$3:$H$3,0)),"")</f>
        <v/>
      </c>
      <c r="L33" s="71"/>
      <c r="M33" s="507" t="str">
        <f>IF(L33="","",IF(VLOOKUP(L33,'G-3 Multipliers'!$L$3:$N$6,2,FALSE)=0,"Spatial Data Missing",VLOOKUP(L33,'G-3 Multipliers'!$L$3:$N$6,2,FALSE)))</f>
        <v/>
      </c>
      <c r="N33" s="505" t="str">
        <f>IF(L33="","",IF(VLOOKUP(L33,'G-3 Multipliers'!$L$3:$N$6,3,FALSE)=0,"Spatial Data Missing",VLOOKUP(L33,'G-3 Multipliers'!$L$3:$N$6,3,FALSE)))</f>
        <v/>
      </c>
      <c r="O33" s="498" t="str">
        <f t="shared" si="0"/>
        <v/>
      </c>
      <c r="P33" s="82"/>
      <c r="Q33" s="82"/>
      <c r="R33" s="507" t="str">
        <f t="shared" si="2"/>
        <v/>
      </c>
      <c r="S33" s="521" t="str">
        <f t="shared" si="3"/>
        <v/>
      </c>
      <c r="T33" s="522" t="str">
        <f>IFERROR(IF(S33="Check Data ⚠","Check Data ⚠",VLOOKUP(S33,'G-4 Temporal multipliers'!$A$4:$C$37,3,FALSE)),"")</f>
        <v/>
      </c>
      <c r="U33" s="523" t="str">
        <f>IF(F33="","",VLOOKUP(F33,'G-3 Multipliers'!$A$2:$E$129,2,FALSE))</f>
        <v/>
      </c>
      <c r="V33" s="520" t="str">
        <f t="shared" si="4"/>
        <v/>
      </c>
      <c r="W33" s="520" t="str">
        <f>IF(E33="","",IF(AND(V33="Standard difficulty applied",O33&gt;P33),U33,IF(AND(V33="Low Difficulty - only applicable if all habitat created before losses",P33&gt;=O33),"Low",VLOOKUP(F33,'G-3 Multipliers'!$A$2:$E$129,4,FALSE))))</f>
        <v/>
      </c>
      <c r="X33" s="524" t="str">
        <f>IFERROR(IF(E33="","",VLOOKUP(W33, 'G-3 Multipliers'!$P$2:$Q$6,2,FALSE)),"")</f>
        <v/>
      </c>
      <c r="Y33" s="529" t="str">
        <f t="shared" si="5"/>
        <v/>
      </c>
      <c r="Z33" s="239"/>
      <c r="AA33" s="240"/>
      <c r="AE33" s="54" t="str">
        <f t="shared" si="1"/>
        <v/>
      </c>
    </row>
    <row r="34" spans="1:31" x14ac:dyDescent="0.3">
      <c r="A34" s="47" t="str">
        <f>IFERROR(INDEX('G-8 Condition Look up'!$I$4:$I$130,MATCH(F34,'G-8 Condition Look up'!$A$4:$A$130,0)),"")</f>
        <v/>
      </c>
      <c r="C34" s="384" t="str">
        <f>IFERROR(INDEX('G-1 All Habitats'!$AG$3:$AG$15,MATCH(D34,'G-1 All Habitats'!$AF$3:$AF$15,0)),"")</f>
        <v/>
      </c>
      <c r="D34" s="146"/>
      <c r="E34" s="79"/>
      <c r="F34" s="246" t="str">
        <f>IFERROR(INDEX('G-1 All Habitats'!$B$3:$B$129,MATCH(E34,'G-1 All Habitats'!$A$3:$A$129,0)),"")</f>
        <v/>
      </c>
      <c r="G34" s="70"/>
      <c r="H34" s="498" t="str">
        <f>IF(F34="","",VLOOKUP(F34,'G-1 All Habitats'!$B$2:$M$129,10,FALSE))</f>
        <v/>
      </c>
      <c r="I34" s="499" t="str">
        <f>IFERROR(VLOOKUP(H34,'G-1 All Habitats'!$V$3:$W$7,2,FALSE),"")</f>
        <v/>
      </c>
      <c r="J34" s="71"/>
      <c r="K34" s="499" t="str">
        <f>IFERROR(INDEX('G-8 Condition Look up'!$A$3:$H$130,MATCH(F34,'G-8 Condition Look up'!$A$3:$A$130,0),MATCH(J34,'G-8 Condition Look up'!$A$3:$H$3,0)),"")</f>
        <v/>
      </c>
      <c r="L34" s="71"/>
      <c r="M34" s="507" t="str">
        <f>IF(L34="","",IF(VLOOKUP(L34,'G-3 Multipliers'!$L$3:$N$6,2,FALSE)=0,"Spatial Data Missing",VLOOKUP(L34,'G-3 Multipliers'!$L$3:$N$6,2,FALSE)))</f>
        <v/>
      </c>
      <c r="N34" s="505" t="str">
        <f>IF(L34="","",IF(VLOOKUP(L34,'G-3 Multipliers'!$L$3:$N$6,3,FALSE)=0,"Spatial Data Missing",VLOOKUP(L34,'G-3 Multipliers'!$L$3:$N$6,3,FALSE)))</f>
        <v/>
      </c>
      <c r="O34" s="498" t="str">
        <f t="shared" si="0"/>
        <v/>
      </c>
      <c r="P34" s="82"/>
      <c r="Q34" s="82"/>
      <c r="R34" s="507" t="str">
        <f t="shared" si="2"/>
        <v/>
      </c>
      <c r="S34" s="521" t="str">
        <f t="shared" si="3"/>
        <v/>
      </c>
      <c r="T34" s="522" t="str">
        <f>IFERROR(IF(S34="Check Data ⚠","Check Data ⚠",VLOOKUP(S34,'G-4 Temporal multipliers'!$A$4:$C$37,3,FALSE)),"")</f>
        <v/>
      </c>
      <c r="U34" s="523" t="str">
        <f>IF(F34="","",VLOOKUP(F34,'G-3 Multipliers'!$A$2:$E$129,2,FALSE))</f>
        <v/>
      </c>
      <c r="V34" s="520" t="str">
        <f t="shared" si="4"/>
        <v/>
      </c>
      <c r="W34" s="520" t="str">
        <f>IF(E34="","",IF(AND(V34="Standard difficulty applied",O34&gt;P34),U34,IF(AND(V34="Low Difficulty - only applicable if all habitat created before losses",P34&gt;=O34),"Low",VLOOKUP(F34,'G-3 Multipliers'!$A$2:$E$129,4,FALSE))))</f>
        <v/>
      </c>
      <c r="X34" s="524" t="str">
        <f>IFERROR(IF(E34="","",VLOOKUP(W34, 'G-3 Multipliers'!$P$2:$Q$6,2,FALSE)),"")</f>
        <v/>
      </c>
      <c r="Y34" s="529" t="str">
        <f t="shared" si="5"/>
        <v/>
      </c>
      <c r="Z34" s="239"/>
      <c r="AA34" s="240"/>
      <c r="AE34" s="54" t="str">
        <f t="shared" si="1"/>
        <v/>
      </c>
    </row>
    <row r="35" spans="1:31" x14ac:dyDescent="0.3">
      <c r="A35" s="47" t="str">
        <f>IFERROR(INDEX('G-8 Condition Look up'!$I$4:$I$130,MATCH(F35,'G-8 Condition Look up'!$A$4:$A$130,0)),"")</f>
        <v/>
      </c>
      <c r="C35" s="384" t="str">
        <f>IFERROR(INDEX('G-1 All Habitats'!$AG$3:$AG$15,MATCH(D35,'G-1 All Habitats'!$AF$3:$AF$15,0)),"")</f>
        <v/>
      </c>
      <c r="D35" s="146"/>
      <c r="E35" s="79"/>
      <c r="F35" s="246" t="str">
        <f>IFERROR(INDEX('G-1 All Habitats'!$B$3:$B$129,MATCH(E35,'G-1 All Habitats'!$A$3:$A$129,0)),"")</f>
        <v/>
      </c>
      <c r="G35" s="70"/>
      <c r="H35" s="498" t="str">
        <f>IF(F35="","",VLOOKUP(F35,'G-1 All Habitats'!$B$2:$M$129,10,FALSE))</f>
        <v/>
      </c>
      <c r="I35" s="499" t="str">
        <f>IFERROR(VLOOKUP(H35,'G-1 All Habitats'!$V$3:$W$7,2,FALSE),"")</f>
        <v/>
      </c>
      <c r="J35" s="71"/>
      <c r="K35" s="499" t="str">
        <f>IFERROR(INDEX('G-8 Condition Look up'!$A$3:$H$130,MATCH(F35,'G-8 Condition Look up'!$A$3:$A$130,0),MATCH(J35,'G-8 Condition Look up'!$A$3:$H$3,0)),"")</f>
        <v/>
      </c>
      <c r="L35" s="71"/>
      <c r="M35" s="507" t="str">
        <f>IF(L35="","",IF(VLOOKUP(L35,'G-3 Multipliers'!$L$3:$N$6,2,FALSE)=0,"Spatial Data Missing",VLOOKUP(L35,'G-3 Multipliers'!$L$3:$N$6,2,FALSE)))</f>
        <v/>
      </c>
      <c r="N35" s="505" t="str">
        <f>IF(L35="","",IF(VLOOKUP(L35,'G-3 Multipliers'!$L$3:$N$6,3,FALSE)=0,"Spatial Data Missing",VLOOKUP(L35,'G-3 Multipliers'!$L$3:$N$6,3,FALSE)))</f>
        <v/>
      </c>
      <c r="O35" s="498" t="str">
        <f t="shared" si="0"/>
        <v/>
      </c>
      <c r="P35" s="82"/>
      <c r="Q35" s="82"/>
      <c r="R35" s="507" t="str">
        <f t="shared" si="2"/>
        <v/>
      </c>
      <c r="S35" s="521" t="str">
        <f t="shared" si="3"/>
        <v/>
      </c>
      <c r="T35" s="522" t="str">
        <f>IFERROR(IF(S35="Check Data ⚠","Check Data ⚠",VLOOKUP(S35,'G-4 Temporal multipliers'!$A$4:$C$37,3,FALSE)),"")</f>
        <v/>
      </c>
      <c r="U35" s="523" t="str">
        <f>IF(F35="","",VLOOKUP(F35,'G-3 Multipliers'!$A$2:$E$129,2,FALSE))</f>
        <v/>
      </c>
      <c r="V35" s="520" t="str">
        <f t="shared" si="4"/>
        <v/>
      </c>
      <c r="W35" s="520" t="str">
        <f>IF(E35="","",IF(AND(V35="Standard difficulty applied",O35&gt;P35),U35,IF(AND(V35="Low Difficulty - only applicable if all habitat created before losses",P35&gt;=O35),"Low",VLOOKUP(F35,'G-3 Multipliers'!$A$2:$E$129,4,FALSE))))</f>
        <v/>
      </c>
      <c r="X35" s="524" t="str">
        <f>IFERROR(IF(E35="","",VLOOKUP(W35, 'G-3 Multipliers'!$P$2:$Q$6,2,FALSE)),"")</f>
        <v/>
      </c>
      <c r="Y35" s="529" t="str">
        <f t="shared" si="5"/>
        <v/>
      </c>
      <c r="Z35" s="239"/>
      <c r="AA35" s="240"/>
      <c r="AE35" s="54" t="str">
        <f t="shared" si="1"/>
        <v/>
      </c>
    </row>
    <row r="36" spans="1:31" x14ac:dyDescent="0.3">
      <c r="A36" s="47" t="str">
        <f>IFERROR(INDEX('G-8 Condition Look up'!$I$4:$I$130,MATCH(F36,'G-8 Condition Look up'!$A$4:$A$130,0)),"")</f>
        <v/>
      </c>
      <c r="C36" s="384" t="str">
        <f>IFERROR(INDEX('G-1 All Habitats'!$AG$3:$AG$15,MATCH(D36,'G-1 All Habitats'!$AF$3:$AF$15,0)),"")</f>
        <v/>
      </c>
      <c r="D36" s="146"/>
      <c r="E36" s="79"/>
      <c r="F36" s="246" t="str">
        <f>IFERROR(INDEX('G-1 All Habitats'!$B$3:$B$129,MATCH(E36,'G-1 All Habitats'!$A$3:$A$129,0)),"")</f>
        <v/>
      </c>
      <c r="G36" s="70"/>
      <c r="H36" s="498" t="str">
        <f>IF(F36="","",VLOOKUP(F36,'G-1 All Habitats'!$B$2:$M$129,10,FALSE))</f>
        <v/>
      </c>
      <c r="I36" s="499" t="str">
        <f>IFERROR(VLOOKUP(H36,'G-1 All Habitats'!$V$3:$W$7,2,FALSE),"")</f>
        <v/>
      </c>
      <c r="J36" s="71"/>
      <c r="K36" s="499" t="str">
        <f>IFERROR(INDEX('G-8 Condition Look up'!$A$3:$H$130,MATCH(F36,'G-8 Condition Look up'!$A$3:$A$130,0),MATCH(J36,'G-8 Condition Look up'!$A$3:$H$3,0)),"")</f>
        <v/>
      </c>
      <c r="L36" s="71"/>
      <c r="M36" s="507" t="str">
        <f>IF(L36="","",IF(VLOOKUP(L36,'G-3 Multipliers'!$L$3:$N$6,2,FALSE)=0,"Spatial Data Missing",VLOOKUP(L36,'G-3 Multipliers'!$L$3:$N$6,2,FALSE)))</f>
        <v/>
      </c>
      <c r="N36" s="505" t="str">
        <f>IF(L36="","",IF(VLOOKUP(L36,'G-3 Multipliers'!$L$3:$N$6,3,FALSE)=0,"Spatial Data Missing",VLOOKUP(L36,'G-3 Multipliers'!$L$3:$N$6,3,FALSE)))</f>
        <v/>
      </c>
      <c r="O36" s="498" t="str">
        <f t="shared" si="0"/>
        <v/>
      </c>
      <c r="P36" s="82"/>
      <c r="Q36" s="82"/>
      <c r="R36" s="507" t="str">
        <f t="shared" si="2"/>
        <v/>
      </c>
      <c r="S36" s="521" t="str">
        <f t="shared" si="3"/>
        <v/>
      </c>
      <c r="T36" s="522" t="str">
        <f>IFERROR(IF(S36="Check Data ⚠","Check Data ⚠",VLOOKUP(S36,'G-4 Temporal multipliers'!$A$4:$C$37,3,FALSE)),"")</f>
        <v/>
      </c>
      <c r="U36" s="523" t="str">
        <f>IF(F36="","",VLOOKUP(F36,'G-3 Multipliers'!$A$2:$E$129,2,FALSE))</f>
        <v/>
      </c>
      <c r="V36" s="520" t="str">
        <f t="shared" si="4"/>
        <v/>
      </c>
      <c r="W36" s="520" t="str">
        <f>IF(E36="","",IF(AND(V36="Standard difficulty applied",O36&gt;P36),U36,IF(AND(V36="Low Difficulty - only applicable if all habitat created before losses",P36&gt;=O36),"Low",VLOOKUP(F36,'G-3 Multipliers'!$A$2:$E$129,4,FALSE))))</f>
        <v/>
      </c>
      <c r="X36" s="524" t="str">
        <f>IFERROR(IF(E36="","",VLOOKUP(W36, 'G-3 Multipliers'!$P$2:$Q$6,2,FALSE)),"")</f>
        <v/>
      </c>
      <c r="Y36" s="529" t="str">
        <f t="shared" si="5"/>
        <v/>
      </c>
      <c r="Z36" s="239"/>
      <c r="AA36" s="240"/>
      <c r="AE36" s="54" t="str">
        <f t="shared" si="1"/>
        <v/>
      </c>
    </row>
    <row r="37" spans="1:31" x14ac:dyDescent="0.3">
      <c r="A37" s="47" t="str">
        <f>IFERROR(INDEX('G-8 Condition Look up'!$I$4:$I$130,MATCH(F37,'G-8 Condition Look up'!$A$4:$A$130,0)),"")</f>
        <v/>
      </c>
      <c r="C37" s="384" t="str">
        <f>IFERROR(INDEX('G-1 All Habitats'!$AG$3:$AG$15,MATCH(D37,'G-1 All Habitats'!$AF$3:$AF$15,0)),"")</f>
        <v/>
      </c>
      <c r="D37" s="146"/>
      <c r="E37" s="79"/>
      <c r="F37" s="246" t="str">
        <f>IFERROR(INDEX('G-1 All Habitats'!$B$3:$B$129,MATCH(E37,'G-1 All Habitats'!$A$3:$A$129,0)),"")</f>
        <v/>
      </c>
      <c r="G37" s="70"/>
      <c r="H37" s="498" t="str">
        <f>IF(F37="","",VLOOKUP(F37,'G-1 All Habitats'!$B$2:$M$129,10,FALSE))</f>
        <v/>
      </c>
      <c r="I37" s="499" t="str">
        <f>IFERROR(VLOOKUP(H37,'G-1 All Habitats'!$V$3:$W$7,2,FALSE),"")</f>
        <v/>
      </c>
      <c r="J37" s="71"/>
      <c r="K37" s="499" t="str">
        <f>IFERROR(INDEX('G-8 Condition Look up'!$A$3:$H$130,MATCH(F37,'G-8 Condition Look up'!$A$3:$A$130,0),MATCH(J37,'G-8 Condition Look up'!$A$3:$H$3,0)),"")</f>
        <v/>
      </c>
      <c r="L37" s="71"/>
      <c r="M37" s="507" t="str">
        <f>IF(L37="","",IF(VLOOKUP(L37,'G-3 Multipliers'!$L$3:$N$6,2,FALSE)=0,"Spatial Data Missing",VLOOKUP(L37,'G-3 Multipliers'!$L$3:$N$6,2,FALSE)))</f>
        <v/>
      </c>
      <c r="N37" s="505" t="str">
        <f>IF(L37="","",IF(VLOOKUP(L37,'G-3 Multipliers'!$L$3:$N$6,3,FALSE)=0,"Spatial Data Missing",VLOOKUP(L37,'G-3 Multipliers'!$L$3:$N$6,3,FALSE)))</f>
        <v/>
      </c>
      <c r="O37" s="498" t="str">
        <f t="shared" si="0"/>
        <v/>
      </c>
      <c r="P37" s="82"/>
      <c r="Q37" s="82"/>
      <c r="R37" s="507" t="str">
        <f t="shared" si="2"/>
        <v/>
      </c>
      <c r="S37" s="521" t="str">
        <f t="shared" si="3"/>
        <v/>
      </c>
      <c r="T37" s="522" t="str">
        <f>IFERROR(IF(S37="Check Data ⚠","Check Data ⚠",VLOOKUP(S37,'G-4 Temporal multipliers'!$A$4:$C$37,3,FALSE)),"")</f>
        <v/>
      </c>
      <c r="U37" s="523" t="str">
        <f>IF(F37="","",VLOOKUP(F37,'G-3 Multipliers'!$A$2:$E$129,2,FALSE))</f>
        <v/>
      </c>
      <c r="V37" s="520" t="str">
        <f t="shared" si="4"/>
        <v/>
      </c>
      <c r="W37" s="520" t="str">
        <f>IF(E37="","",IF(AND(V37="Standard difficulty applied",O37&gt;P37),U37,IF(AND(V37="Low Difficulty - only applicable if all habitat created before losses",P37&gt;=O37),"Low",VLOOKUP(F37,'G-3 Multipliers'!$A$2:$E$129,4,FALSE))))</f>
        <v/>
      </c>
      <c r="X37" s="524" t="str">
        <f>IFERROR(IF(E37="","",VLOOKUP(W37, 'G-3 Multipliers'!$P$2:$Q$6,2,FALSE)),"")</f>
        <v/>
      </c>
      <c r="Y37" s="529" t="str">
        <f t="shared" si="5"/>
        <v/>
      </c>
      <c r="Z37" s="239"/>
      <c r="AA37" s="240"/>
      <c r="AE37" s="54" t="str">
        <f t="shared" si="1"/>
        <v/>
      </c>
    </row>
    <row r="38" spans="1:31" x14ac:dyDescent="0.3">
      <c r="A38" s="47" t="str">
        <f>IFERROR(INDEX('G-8 Condition Look up'!$I$4:$I$130,MATCH(F38,'G-8 Condition Look up'!$A$4:$A$130,0)),"")</f>
        <v/>
      </c>
      <c r="C38" s="384" t="str">
        <f>IFERROR(INDEX('G-1 All Habitats'!$AG$3:$AG$15,MATCH(D38,'G-1 All Habitats'!$AF$3:$AF$15,0)),"")</f>
        <v/>
      </c>
      <c r="D38" s="146"/>
      <c r="E38" s="79"/>
      <c r="F38" s="246" t="str">
        <f>IFERROR(INDEX('G-1 All Habitats'!$B$3:$B$129,MATCH(E38,'G-1 All Habitats'!$A$3:$A$129,0)),"")</f>
        <v/>
      </c>
      <c r="G38" s="70"/>
      <c r="H38" s="498" t="str">
        <f>IF(F38="","",VLOOKUP(F38,'G-1 All Habitats'!$B$2:$M$129,10,FALSE))</f>
        <v/>
      </c>
      <c r="I38" s="499" t="str">
        <f>IFERROR(VLOOKUP(H38,'G-1 All Habitats'!$V$3:$W$7,2,FALSE),"")</f>
        <v/>
      </c>
      <c r="J38" s="71"/>
      <c r="K38" s="499" t="str">
        <f>IFERROR(INDEX('G-8 Condition Look up'!$A$3:$H$130,MATCH(F38,'G-8 Condition Look up'!$A$3:$A$130,0),MATCH(J38,'G-8 Condition Look up'!$A$3:$H$3,0)),"")</f>
        <v/>
      </c>
      <c r="L38" s="71"/>
      <c r="M38" s="507" t="str">
        <f>IF(L38="","",IF(VLOOKUP(L38,'G-3 Multipliers'!$L$3:$N$6,2,FALSE)=0,"Spatial Data Missing",VLOOKUP(L38,'G-3 Multipliers'!$L$3:$N$6,2,FALSE)))</f>
        <v/>
      </c>
      <c r="N38" s="505" t="str">
        <f>IF(L38="","",IF(VLOOKUP(L38,'G-3 Multipliers'!$L$3:$N$6,3,FALSE)=0,"Spatial Data Missing",VLOOKUP(L38,'G-3 Multipliers'!$L$3:$N$6,3,FALSE)))</f>
        <v/>
      </c>
      <c r="O38" s="498" t="str">
        <f t="shared" si="0"/>
        <v/>
      </c>
      <c r="P38" s="82"/>
      <c r="Q38" s="82"/>
      <c r="R38" s="507" t="str">
        <f t="shared" si="2"/>
        <v/>
      </c>
      <c r="S38" s="521" t="str">
        <f t="shared" si="3"/>
        <v/>
      </c>
      <c r="T38" s="522" t="str">
        <f>IFERROR(IF(S38="Check Data ⚠","Check Data ⚠",VLOOKUP(S38,'G-4 Temporal multipliers'!$A$4:$C$37,3,FALSE)),"")</f>
        <v/>
      </c>
      <c r="U38" s="523" t="str">
        <f>IF(F38="","",VLOOKUP(F38,'G-3 Multipliers'!$A$2:$E$129,2,FALSE))</f>
        <v/>
      </c>
      <c r="V38" s="520" t="str">
        <f t="shared" si="4"/>
        <v/>
      </c>
      <c r="W38" s="520" t="str">
        <f>IF(E38="","",IF(AND(V38="Standard difficulty applied",O38&gt;P38),U38,IF(AND(V38="Low Difficulty - only applicable if all habitat created before losses",P38&gt;=O38),"Low",VLOOKUP(F38,'G-3 Multipliers'!$A$2:$E$129,4,FALSE))))</f>
        <v/>
      </c>
      <c r="X38" s="524" t="str">
        <f>IFERROR(IF(E38="","",VLOOKUP(W38, 'G-3 Multipliers'!$P$2:$Q$6,2,FALSE)),"")</f>
        <v/>
      </c>
      <c r="Y38" s="529" t="str">
        <f t="shared" si="5"/>
        <v/>
      </c>
      <c r="Z38" s="239"/>
      <c r="AA38" s="240"/>
      <c r="AE38" s="54" t="str">
        <f t="shared" si="1"/>
        <v/>
      </c>
    </row>
    <row r="39" spans="1:31" x14ac:dyDescent="0.3">
      <c r="A39" s="47" t="str">
        <f>IFERROR(INDEX('G-8 Condition Look up'!$I$4:$I$130,MATCH(F39,'G-8 Condition Look up'!$A$4:$A$130,0)),"")</f>
        <v/>
      </c>
      <c r="C39" s="384" t="str">
        <f>IFERROR(INDEX('G-1 All Habitats'!$AG$3:$AG$15,MATCH(D39,'G-1 All Habitats'!$AF$3:$AF$15,0)),"")</f>
        <v/>
      </c>
      <c r="D39" s="146"/>
      <c r="E39" s="79"/>
      <c r="F39" s="246" t="str">
        <f>IFERROR(INDEX('G-1 All Habitats'!$B$3:$B$129,MATCH(E39,'G-1 All Habitats'!$A$3:$A$129,0)),"")</f>
        <v/>
      </c>
      <c r="G39" s="70"/>
      <c r="H39" s="498" t="str">
        <f>IF(F39="","",VLOOKUP(F39,'G-1 All Habitats'!$B$2:$M$129,10,FALSE))</f>
        <v/>
      </c>
      <c r="I39" s="499" t="str">
        <f>IFERROR(VLOOKUP(H39,'G-1 All Habitats'!$V$3:$W$7,2,FALSE),"")</f>
        <v/>
      </c>
      <c r="J39" s="71"/>
      <c r="K39" s="499" t="str">
        <f>IFERROR(INDEX('G-8 Condition Look up'!$A$3:$H$130,MATCH(F39,'G-8 Condition Look up'!$A$3:$A$130,0),MATCH(J39,'G-8 Condition Look up'!$A$3:$H$3,0)),"")</f>
        <v/>
      </c>
      <c r="L39" s="71"/>
      <c r="M39" s="507" t="str">
        <f>IF(L39="","",IF(VLOOKUP(L39,'G-3 Multipliers'!$L$3:$N$6,2,FALSE)=0,"Spatial Data Missing",VLOOKUP(L39,'G-3 Multipliers'!$L$3:$N$6,2,FALSE)))</f>
        <v/>
      </c>
      <c r="N39" s="505" t="str">
        <f>IF(L39="","",IF(VLOOKUP(L39,'G-3 Multipliers'!$L$3:$N$6,3,FALSE)=0,"Spatial Data Missing",VLOOKUP(L39,'G-3 Multipliers'!$L$3:$N$6,3,FALSE)))</f>
        <v/>
      </c>
      <c r="O39" s="498" t="str">
        <f t="shared" si="0"/>
        <v/>
      </c>
      <c r="P39" s="82"/>
      <c r="Q39" s="82"/>
      <c r="R39" s="507" t="str">
        <f t="shared" si="2"/>
        <v/>
      </c>
      <c r="S39" s="521" t="str">
        <f t="shared" si="3"/>
        <v/>
      </c>
      <c r="T39" s="522" t="str">
        <f>IFERROR(IF(S39="Check Data ⚠","Check Data ⚠",VLOOKUP(S39,'G-4 Temporal multipliers'!$A$4:$C$37,3,FALSE)),"")</f>
        <v/>
      </c>
      <c r="U39" s="523" t="str">
        <f>IF(F39="","",VLOOKUP(F39,'G-3 Multipliers'!$A$2:$E$129,2,FALSE))</f>
        <v/>
      </c>
      <c r="V39" s="520" t="str">
        <f t="shared" si="4"/>
        <v/>
      </c>
      <c r="W39" s="520" t="str">
        <f>IF(E39="","",IF(AND(V39="Standard difficulty applied",O39&gt;P39),U39,IF(AND(V39="Low Difficulty - only applicable if all habitat created before losses",P39&gt;=O39),"Low",VLOOKUP(F39,'G-3 Multipliers'!$A$2:$E$129,4,FALSE))))</f>
        <v/>
      </c>
      <c r="X39" s="524" t="str">
        <f>IFERROR(IF(E39="","",VLOOKUP(W39, 'G-3 Multipliers'!$P$2:$Q$6,2,FALSE)),"")</f>
        <v/>
      </c>
      <c r="Y39" s="529" t="str">
        <f t="shared" si="5"/>
        <v/>
      </c>
      <c r="Z39" s="239"/>
      <c r="AA39" s="240"/>
      <c r="AE39" s="54" t="str">
        <f t="shared" si="1"/>
        <v/>
      </c>
    </row>
    <row r="40" spans="1:31" x14ac:dyDescent="0.3">
      <c r="A40" s="47" t="str">
        <f>IFERROR(INDEX('G-8 Condition Look up'!$I$4:$I$130,MATCH(F40,'G-8 Condition Look up'!$A$4:$A$130,0)),"")</f>
        <v/>
      </c>
      <c r="C40" s="384" t="str">
        <f>IFERROR(INDEX('G-1 All Habitats'!$AG$3:$AG$15,MATCH(D40,'G-1 All Habitats'!$AF$3:$AF$15,0)),"")</f>
        <v/>
      </c>
      <c r="D40" s="146"/>
      <c r="E40" s="79"/>
      <c r="F40" s="246" t="str">
        <f>IFERROR(INDEX('G-1 All Habitats'!$B$3:$B$129,MATCH(E40,'G-1 All Habitats'!$A$3:$A$129,0)),"")</f>
        <v/>
      </c>
      <c r="G40" s="70"/>
      <c r="H40" s="498" t="str">
        <f>IF(F40="","",VLOOKUP(F40,'G-1 All Habitats'!$B$2:$M$129,10,FALSE))</f>
        <v/>
      </c>
      <c r="I40" s="499" t="str">
        <f>IFERROR(VLOOKUP(H40,'G-1 All Habitats'!$V$3:$W$7,2,FALSE),"")</f>
        <v/>
      </c>
      <c r="J40" s="71"/>
      <c r="K40" s="499" t="str">
        <f>IFERROR(INDEX('G-8 Condition Look up'!$A$3:$H$130,MATCH(F40,'G-8 Condition Look up'!$A$3:$A$130,0),MATCH(J40,'G-8 Condition Look up'!$A$3:$H$3,0)),"")</f>
        <v/>
      </c>
      <c r="L40" s="71"/>
      <c r="M40" s="507" t="str">
        <f>IF(L40="","",IF(VLOOKUP(L40,'G-3 Multipliers'!$L$3:$N$6,2,FALSE)=0,"Spatial Data Missing",VLOOKUP(L40,'G-3 Multipliers'!$L$3:$N$6,2,FALSE)))</f>
        <v/>
      </c>
      <c r="N40" s="505" t="str">
        <f>IF(L40="","",IF(VLOOKUP(L40,'G-3 Multipliers'!$L$3:$N$6,3,FALSE)=0,"Spatial Data Missing",VLOOKUP(L40,'G-3 Multipliers'!$L$3:$N$6,3,FALSE)))</f>
        <v/>
      </c>
      <c r="O40" s="498" t="str">
        <f t="shared" si="0"/>
        <v/>
      </c>
      <c r="P40" s="82"/>
      <c r="Q40" s="82"/>
      <c r="R40" s="507" t="str">
        <f t="shared" si="2"/>
        <v/>
      </c>
      <c r="S40" s="521" t="str">
        <f t="shared" si="3"/>
        <v/>
      </c>
      <c r="T40" s="522" t="str">
        <f>IFERROR(IF(S40="Check Data ⚠","Check Data ⚠",VLOOKUP(S40,'G-4 Temporal multipliers'!$A$4:$C$37,3,FALSE)),"")</f>
        <v/>
      </c>
      <c r="U40" s="523" t="str">
        <f>IF(F40="","",VLOOKUP(F40,'G-3 Multipliers'!$A$2:$E$129,2,FALSE))</f>
        <v/>
      </c>
      <c r="V40" s="520" t="str">
        <f t="shared" si="4"/>
        <v/>
      </c>
      <c r="W40" s="520" t="str">
        <f>IF(E40="","",IF(AND(V40="Standard difficulty applied",O40&gt;P40),U40,IF(AND(V40="Low Difficulty - only applicable if all habitat created before losses",P40&gt;=O40),"Low",VLOOKUP(F40,'G-3 Multipliers'!$A$2:$E$129,4,FALSE))))</f>
        <v/>
      </c>
      <c r="X40" s="524" t="str">
        <f>IFERROR(IF(E40="","",VLOOKUP(W40, 'G-3 Multipliers'!$P$2:$Q$6,2,FALSE)),"")</f>
        <v/>
      </c>
      <c r="Y40" s="529" t="str">
        <f t="shared" si="5"/>
        <v/>
      </c>
      <c r="Z40" s="239"/>
      <c r="AA40" s="240"/>
      <c r="AE40" s="54" t="str">
        <f t="shared" si="1"/>
        <v/>
      </c>
    </row>
    <row r="41" spans="1:31" x14ac:dyDescent="0.3">
      <c r="A41" s="47" t="str">
        <f>IFERROR(INDEX('G-8 Condition Look up'!$I$4:$I$130,MATCH(F41,'G-8 Condition Look up'!$A$4:$A$130,0)),"")</f>
        <v/>
      </c>
      <c r="C41" s="384" t="str">
        <f>IFERROR(INDEX('G-1 All Habitats'!$AG$3:$AG$15,MATCH(D41,'G-1 All Habitats'!$AF$3:$AF$15,0)),"")</f>
        <v/>
      </c>
      <c r="D41" s="146"/>
      <c r="E41" s="79"/>
      <c r="F41" s="246" t="str">
        <f>IFERROR(INDEX('G-1 All Habitats'!$B$3:$B$129,MATCH(E41,'G-1 All Habitats'!$A$3:$A$129,0)),"")</f>
        <v/>
      </c>
      <c r="G41" s="70"/>
      <c r="H41" s="498" t="str">
        <f>IF(F41="","",VLOOKUP(F41,'G-1 All Habitats'!$B$2:$M$129,10,FALSE))</f>
        <v/>
      </c>
      <c r="I41" s="499" t="str">
        <f>IFERROR(VLOOKUP(H41,'G-1 All Habitats'!$V$3:$W$7,2,FALSE),"")</f>
        <v/>
      </c>
      <c r="J41" s="71"/>
      <c r="K41" s="499" t="str">
        <f>IFERROR(INDEX('G-8 Condition Look up'!$A$3:$H$130,MATCH(F41,'G-8 Condition Look up'!$A$3:$A$130,0),MATCH(J41,'G-8 Condition Look up'!$A$3:$H$3,0)),"")</f>
        <v/>
      </c>
      <c r="L41" s="71"/>
      <c r="M41" s="507" t="str">
        <f>IF(L41="","",IF(VLOOKUP(L41,'G-3 Multipliers'!$L$3:$N$6,2,FALSE)=0,"Spatial Data Missing",VLOOKUP(L41,'G-3 Multipliers'!$L$3:$N$6,2,FALSE)))</f>
        <v/>
      </c>
      <c r="N41" s="505" t="str">
        <f>IF(L41="","",IF(VLOOKUP(L41,'G-3 Multipliers'!$L$3:$N$6,3,FALSE)=0,"Spatial Data Missing",VLOOKUP(L41,'G-3 Multipliers'!$L$3:$N$6,3,FALSE)))</f>
        <v/>
      </c>
      <c r="O41" s="498" t="str">
        <f t="shared" si="0"/>
        <v/>
      </c>
      <c r="P41" s="82"/>
      <c r="Q41" s="82"/>
      <c r="R41" s="507" t="str">
        <f t="shared" si="2"/>
        <v/>
      </c>
      <c r="S41" s="521" t="str">
        <f t="shared" si="3"/>
        <v/>
      </c>
      <c r="T41" s="522" t="str">
        <f>IFERROR(IF(S41="Check Data ⚠","Check Data ⚠",VLOOKUP(S41,'G-4 Temporal multipliers'!$A$4:$C$37,3,FALSE)),"")</f>
        <v/>
      </c>
      <c r="U41" s="523" t="str">
        <f>IF(F41="","",VLOOKUP(F41,'G-3 Multipliers'!$A$2:$E$129,2,FALSE))</f>
        <v/>
      </c>
      <c r="V41" s="520" t="str">
        <f t="shared" si="4"/>
        <v/>
      </c>
      <c r="W41" s="520" t="str">
        <f>IF(E41="","",IF(AND(V41="Standard difficulty applied",O41&gt;P41),U41,IF(AND(V41="Low Difficulty - only applicable if all habitat created before losses",P41&gt;=O41),"Low",VLOOKUP(F41,'G-3 Multipliers'!$A$2:$E$129,4,FALSE))))</f>
        <v/>
      </c>
      <c r="X41" s="524" t="str">
        <f>IFERROR(IF(E41="","",VLOOKUP(W41, 'G-3 Multipliers'!$P$2:$Q$6,2,FALSE)),"")</f>
        <v/>
      </c>
      <c r="Y41" s="529" t="str">
        <f t="shared" si="5"/>
        <v/>
      </c>
      <c r="Z41" s="239"/>
      <c r="AA41" s="240"/>
      <c r="AE41" s="54" t="str">
        <f t="shared" si="1"/>
        <v/>
      </c>
    </row>
    <row r="42" spans="1:31" x14ac:dyDescent="0.3">
      <c r="A42" s="47" t="str">
        <f>IFERROR(INDEX('G-8 Condition Look up'!$I$4:$I$130,MATCH(F42,'G-8 Condition Look up'!$A$4:$A$130,0)),"")</f>
        <v/>
      </c>
      <c r="C42" s="384" t="str">
        <f>IFERROR(INDEX('G-1 All Habitats'!$AG$3:$AG$15,MATCH(D42,'G-1 All Habitats'!$AF$3:$AF$15,0)),"")</f>
        <v/>
      </c>
      <c r="D42" s="146"/>
      <c r="E42" s="79"/>
      <c r="F42" s="246" t="str">
        <f>IFERROR(INDEX('G-1 All Habitats'!$B$3:$B$129,MATCH(E42,'G-1 All Habitats'!$A$3:$A$129,0)),"")</f>
        <v/>
      </c>
      <c r="G42" s="70"/>
      <c r="H42" s="498" t="str">
        <f>IF(F42="","",VLOOKUP(F42,'G-1 All Habitats'!$B$2:$M$129,10,FALSE))</f>
        <v/>
      </c>
      <c r="I42" s="499" t="str">
        <f>IFERROR(VLOOKUP(H42,'G-1 All Habitats'!$V$3:$W$7,2,FALSE),"")</f>
        <v/>
      </c>
      <c r="J42" s="71"/>
      <c r="K42" s="499" t="str">
        <f>IFERROR(INDEX('G-8 Condition Look up'!$A$3:$H$130,MATCH(F42,'G-8 Condition Look up'!$A$3:$A$130,0),MATCH(J42,'G-8 Condition Look up'!$A$3:$H$3,0)),"")</f>
        <v/>
      </c>
      <c r="L42" s="71"/>
      <c r="M42" s="507" t="str">
        <f>IF(L42="","",IF(VLOOKUP(L42,'G-3 Multipliers'!$L$3:$N$6,2,FALSE)=0,"Spatial Data Missing",VLOOKUP(L42,'G-3 Multipliers'!$L$3:$N$6,2,FALSE)))</f>
        <v/>
      </c>
      <c r="N42" s="505" t="str">
        <f>IF(L42="","",IF(VLOOKUP(L42,'G-3 Multipliers'!$L$3:$N$6,3,FALSE)=0,"Spatial Data Missing",VLOOKUP(L42,'G-3 Multipliers'!$L$3:$N$6,3,FALSE)))</f>
        <v/>
      </c>
      <c r="O42" s="498" t="str">
        <f t="shared" si="0"/>
        <v/>
      </c>
      <c r="P42" s="82"/>
      <c r="Q42" s="82"/>
      <c r="R42" s="507" t="str">
        <f t="shared" si="2"/>
        <v/>
      </c>
      <c r="S42" s="521" t="str">
        <f t="shared" si="3"/>
        <v/>
      </c>
      <c r="T42" s="522" t="str">
        <f>IFERROR(IF(S42="Check Data ⚠","Check Data ⚠",VLOOKUP(S42,'G-4 Temporal multipliers'!$A$4:$C$37,3,FALSE)),"")</f>
        <v/>
      </c>
      <c r="U42" s="523" t="str">
        <f>IF(F42="","",VLOOKUP(F42,'G-3 Multipliers'!$A$2:$E$129,2,FALSE))</f>
        <v/>
      </c>
      <c r="V42" s="520" t="str">
        <f t="shared" si="4"/>
        <v/>
      </c>
      <c r="W42" s="520" t="str">
        <f>IF(E42="","",IF(AND(V42="Standard difficulty applied",O42&gt;P42),U42,IF(AND(V42="Low Difficulty - only applicable if all habitat created before losses",P42&gt;=O42),"Low",VLOOKUP(F42,'G-3 Multipliers'!$A$2:$E$129,4,FALSE))))</f>
        <v/>
      </c>
      <c r="X42" s="524" t="str">
        <f>IFERROR(IF(E42="","",VLOOKUP(W42, 'G-3 Multipliers'!$P$2:$Q$6,2,FALSE)),"")</f>
        <v/>
      </c>
      <c r="Y42" s="529" t="str">
        <f t="shared" si="5"/>
        <v/>
      </c>
      <c r="Z42" s="239"/>
      <c r="AA42" s="240"/>
      <c r="AE42" s="54" t="str">
        <f t="shared" si="1"/>
        <v/>
      </c>
    </row>
    <row r="43" spans="1:31" x14ac:dyDescent="0.3">
      <c r="A43" s="47" t="str">
        <f>IFERROR(INDEX('G-8 Condition Look up'!$I$4:$I$130,MATCH(F43,'G-8 Condition Look up'!$A$4:$A$130,0)),"")</f>
        <v/>
      </c>
      <c r="C43" s="384" t="str">
        <f>IFERROR(INDEX('G-1 All Habitats'!$AG$3:$AG$15,MATCH(D43,'G-1 All Habitats'!$AF$3:$AF$15,0)),"")</f>
        <v/>
      </c>
      <c r="D43" s="146"/>
      <c r="E43" s="79"/>
      <c r="F43" s="246" t="str">
        <f>IFERROR(INDEX('G-1 All Habitats'!$B$3:$B$129,MATCH(E43,'G-1 All Habitats'!$A$3:$A$129,0)),"")</f>
        <v/>
      </c>
      <c r="G43" s="70"/>
      <c r="H43" s="498" t="str">
        <f>IF(F43="","",VLOOKUP(F43,'G-1 All Habitats'!$B$2:$M$129,10,FALSE))</f>
        <v/>
      </c>
      <c r="I43" s="499" t="str">
        <f>IFERROR(VLOOKUP(H43,'G-1 All Habitats'!$V$3:$W$7,2,FALSE),"")</f>
        <v/>
      </c>
      <c r="J43" s="71"/>
      <c r="K43" s="499" t="str">
        <f>IFERROR(INDEX('G-8 Condition Look up'!$A$3:$H$130,MATCH(F43,'G-8 Condition Look up'!$A$3:$A$130,0),MATCH(J43,'G-8 Condition Look up'!$A$3:$H$3,0)),"")</f>
        <v/>
      </c>
      <c r="L43" s="71"/>
      <c r="M43" s="507" t="str">
        <f>IF(L43="","",IF(VLOOKUP(L43,'G-3 Multipliers'!$L$3:$N$6,2,FALSE)=0,"Spatial Data Missing",VLOOKUP(L43,'G-3 Multipliers'!$L$3:$N$6,2,FALSE)))</f>
        <v/>
      </c>
      <c r="N43" s="505" t="str">
        <f>IF(L43="","",IF(VLOOKUP(L43,'G-3 Multipliers'!$L$3:$N$6,3,FALSE)=0,"Spatial Data Missing",VLOOKUP(L43,'G-3 Multipliers'!$L$3:$N$6,3,FALSE)))</f>
        <v/>
      </c>
      <c r="O43" s="498" t="str">
        <f t="shared" si="0"/>
        <v/>
      </c>
      <c r="P43" s="82"/>
      <c r="Q43" s="82"/>
      <c r="R43" s="507" t="str">
        <f t="shared" si="2"/>
        <v/>
      </c>
      <c r="S43" s="521" t="str">
        <f t="shared" si="3"/>
        <v/>
      </c>
      <c r="T43" s="522" t="str">
        <f>IFERROR(IF(S43="Check Data ⚠","Check Data ⚠",VLOOKUP(S43,'G-4 Temporal multipliers'!$A$4:$C$37,3,FALSE)),"")</f>
        <v/>
      </c>
      <c r="U43" s="523" t="str">
        <f>IF(F43="","",VLOOKUP(F43,'G-3 Multipliers'!$A$2:$E$129,2,FALSE))</f>
        <v/>
      </c>
      <c r="V43" s="520" t="str">
        <f t="shared" si="4"/>
        <v/>
      </c>
      <c r="W43" s="520" t="str">
        <f>IF(E43="","",IF(AND(V43="Standard difficulty applied",O43&gt;P43),U43,IF(AND(V43="Low Difficulty - only applicable if all habitat created before losses",P43&gt;=O43),"Low",VLOOKUP(F43,'G-3 Multipliers'!$A$2:$E$129,4,FALSE))))</f>
        <v/>
      </c>
      <c r="X43" s="524" t="str">
        <f>IFERROR(IF(E43="","",VLOOKUP(W43, 'G-3 Multipliers'!$P$2:$Q$6,2,FALSE)),"")</f>
        <v/>
      </c>
      <c r="Y43" s="529" t="str">
        <f t="shared" si="5"/>
        <v/>
      </c>
      <c r="Z43" s="239"/>
      <c r="AA43" s="240"/>
      <c r="AE43" s="54" t="str">
        <f t="shared" si="1"/>
        <v/>
      </c>
    </row>
    <row r="44" spans="1:31" x14ac:dyDescent="0.3">
      <c r="A44" s="47" t="str">
        <f>IFERROR(INDEX('G-8 Condition Look up'!$I$4:$I$130,MATCH(F44,'G-8 Condition Look up'!$A$4:$A$130,0)),"")</f>
        <v/>
      </c>
      <c r="C44" s="384" t="str">
        <f>IFERROR(INDEX('G-1 All Habitats'!$AG$3:$AG$15,MATCH(D44,'G-1 All Habitats'!$AF$3:$AF$15,0)),"")</f>
        <v/>
      </c>
      <c r="D44" s="146"/>
      <c r="E44" s="79"/>
      <c r="F44" s="246" t="str">
        <f>IFERROR(INDEX('G-1 All Habitats'!$B$3:$B$129,MATCH(E44,'G-1 All Habitats'!$A$3:$A$129,0)),"")</f>
        <v/>
      </c>
      <c r="G44" s="70"/>
      <c r="H44" s="498" t="str">
        <f>IF(F44="","",VLOOKUP(F44,'G-1 All Habitats'!$B$2:$M$129,10,FALSE))</f>
        <v/>
      </c>
      <c r="I44" s="499" t="str">
        <f>IFERROR(VLOOKUP(H44,'G-1 All Habitats'!$V$3:$W$7,2,FALSE),"")</f>
        <v/>
      </c>
      <c r="J44" s="71"/>
      <c r="K44" s="499" t="str">
        <f>IFERROR(INDEX('G-8 Condition Look up'!$A$3:$H$130,MATCH(F44,'G-8 Condition Look up'!$A$3:$A$130,0),MATCH(J44,'G-8 Condition Look up'!$A$3:$H$3,0)),"")</f>
        <v/>
      </c>
      <c r="L44" s="71"/>
      <c r="M44" s="507" t="str">
        <f>IF(L44="","",IF(VLOOKUP(L44,'G-3 Multipliers'!$L$3:$N$6,2,FALSE)=0,"Spatial Data Missing",VLOOKUP(L44,'G-3 Multipliers'!$L$3:$N$6,2,FALSE)))</f>
        <v/>
      </c>
      <c r="N44" s="505" t="str">
        <f>IF(L44="","",IF(VLOOKUP(L44,'G-3 Multipliers'!$L$3:$N$6,3,FALSE)=0,"Spatial Data Missing",VLOOKUP(L44,'G-3 Multipliers'!$L$3:$N$6,3,FALSE)))</f>
        <v/>
      </c>
      <c r="O44" s="498" t="str">
        <f t="shared" si="0"/>
        <v/>
      </c>
      <c r="P44" s="82"/>
      <c r="Q44" s="82"/>
      <c r="R44" s="507" t="str">
        <f t="shared" si="2"/>
        <v/>
      </c>
      <c r="S44" s="521" t="str">
        <f t="shared" si="3"/>
        <v/>
      </c>
      <c r="T44" s="522" t="str">
        <f>IFERROR(IF(S44="Check Data ⚠","Check Data ⚠",VLOOKUP(S44,'G-4 Temporal multipliers'!$A$4:$C$37,3,FALSE)),"")</f>
        <v/>
      </c>
      <c r="U44" s="523" t="str">
        <f>IF(F44="","",VLOOKUP(F44,'G-3 Multipliers'!$A$2:$E$129,2,FALSE))</f>
        <v/>
      </c>
      <c r="V44" s="520" t="str">
        <f t="shared" si="4"/>
        <v/>
      </c>
      <c r="W44" s="520" t="str">
        <f>IF(E44="","",IF(AND(V44="Standard difficulty applied",O44&gt;P44),U44,IF(AND(V44="Low Difficulty - only applicable if all habitat created before losses",P44&gt;=O44),"Low",VLOOKUP(F44,'G-3 Multipliers'!$A$2:$E$129,4,FALSE))))</f>
        <v/>
      </c>
      <c r="X44" s="524" t="str">
        <f>IFERROR(IF(E44="","",VLOOKUP(W44, 'G-3 Multipliers'!$P$2:$Q$6,2,FALSE)),"")</f>
        <v/>
      </c>
      <c r="Y44" s="529" t="str">
        <f t="shared" si="5"/>
        <v/>
      </c>
      <c r="Z44" s="239"/>
      <c r="AA44" s="240"/>
      <c r="AE44" s="54" t="str">
        <f t="shared" si="1"/>
        <v/>
      </c>
    </row>
    <row r="45" spans="1:31" x14ac:dyDescent="0.3">
      <c r="A45" s="47" t="str">
        <f>IFERROR(INDEX('G-8 Condition Look up'!$I$4:$I$130,MATCH(F45,'G-8 Condition Look up'!$A$4:$A$130,0)),"")</f>
        <v/>
      </c>
      <c r="C45" s="384" t="str">
        <f>IFERROR(INDEX('G-1 All Habitats'!$AG$3:$AG$15,MATCH(D45,'G-1 All Habitats'!$AF$3:$AF$15,0)),"")</f>
        <v/>
      </c>
      <c r="D45" s="146"/>
      <c r="E45" s="79"/>
      <c r="F45" s="246" t="str">
        <f>IFERROR(INDEX('G-1 All Habitats'!$B$3:$B$129,MATCH(E45,'G-1 All Habitats'!$A$3:$A$129,0)),"")</f>
        <v/>
      </c>
      <c r="G45" s="70"/>
      <c r="H45" s="498" t="str">
        <f>IF(F45="","",VLOOKUP(F45,'G-1 All Habitats'!$B$2:$M$129,10,FALSE))</f>
        <v/>
      </c>
      <c r="I45" s="499" t="str">
        <f>IFERROR(VLOOKUP(H45,'G-1 All Habitats'!$V$3:$W$7,2,FALSE),"")</f>
        <v/>
      </c>
      <c r="J45" s="71"/>
      <c r="K45" s="499" t="str">
        <f>IFERROR(INDEX('G-8 Condition Look up'!$A$3:$H$130,MATCH(F45,'G-8 Condition Look up'!$A$3:$A$130,0),MATCH(J45,'G-8 Condition Look up'!$A$3:$H$3,0)),"")</f>
        <v/>
      </c>
      <c r="L45" s="71"/>
      <c r="M45" s="507" t="str">
        <f>IF(L45="","",IF(VLOOKUP(L45,'G-3 Multipliers'!$L$3:$N$6,2,FALSE)=0,"Spatial Data Missing",VLOOKUP(L45,'G-3 Multipliers'!$L$3:$N$6,2,FALSE)))</f>
        <v/>
      </c>
      <c r="N45" s="505" t="str">
        <f>IF(L45="","",IF(VLOOKUP(L45,'G-3 Multipliers'!$L$3:$N$6,3,FALSE)=0,"Spatial Data Missing",VLOOKUP(L45,'G-3 Multipliers'!$L$3:$N$6,3,FALSE)))</f>
        <v/>
      </c>
      <c r="O45" s="498" t="str">
        <f t="shared" si="0"/>
        <v/>
      </c>
      <c r="P45" s="82"/>
      <c r="Q45" s="82"/>
      <c r="R45" s="507" t="str">
        <f t="shared" si="2"/>
        <v/>
      </c>
      <c r="S45" s="521" t="str">
        <f t="shared" si="3"/>
        <v/>
      </c>
      <c r="T45" s="522" t="str">
        <f>IFERROR(IF(S45="Check Data ⚠","Check Data ⚠",VLOOKUP(S45,'G-4 Temporal multipliers'!$A$4:$C$37,3,FALSE)),"")</f>
        <v/>
      </c>
      <c r="U45" s="523" t="str">
        <f>IF(F45="","",VLOOKUP(F45,'G-3 Multipliers'!$A$2:$E$129,2,FALSE))</f>
        <v/>
      </c>
      <c r="V45" s="520" t="str">
        <f t="shared" si="4"/>
        <v/>
      </c>
      <c r="W45" s="520" t="str">
        <f>IF(E45="","",IF(AND(V45="Standard difficulty applied",O45&gt;P45),U45,IF(AND(V45="Low Difficulty - only applicable if all habitat created before losses",P45&gt;=O45),"Low",VLOOKUP(F45,'G-3 Multipliers'!$A$2:$E$129,4,FALSE))))</f>
        <v/>
      </c>
      <c r="X45" s="524" t="str">
        <f>IFERROR(IF(E45="","",VLOOKUP(W45, 'G-3 Multipliers'!$P$2:$Q$6,2,FALSE)),"")</f>
        <v/>
      </c>
      <c r="Y45" s="529" t="str">
        <f t="shared" si="5"/>
        <v/>
      </c>
      <c r="Z45" s="239"/>
      <c r="AA45" s="240"/>
      <c r="AE45" s="54" t="str">
        <f t="shared" si="1"/>
        <v/>
      </c>
    </row>
    <row r="46" spans="1:31" x14ac:dyDescent="0.3">
      <c r="A46" s="47" t="str">
        <f>IFERROR(INDEX('G-8 Condition Look up'!$I$4:$I$130,MATCH(F46,'G-8 Condition Look up'!$A$4:$A$130,0)),"")</f>
        <v/>
      </c>
      <c r="C46" s="384" t="str">
        <f>IFERROR(INDEX('G-1 All Habitats'!$AG$3:$AG$15,MATCH(D46,'G-1 All Habitats'!$AF$3:$AF$15,0)),"")</f>
        <v/>
      </c>
      <c r="D46" s="146"/>
      <c r="E46" s="79"/>
      <c r="F46" s="246" t="str">
        <f>IFERROR(INDEX('G-1 All Habitats'!$B$3:$B$129,MATCH(E46,'G-1 All Habitats'!$A$3:$A$129,0)),"")</f>
        <v/>
      </c>
      <c r="G46" s="70"/>
      <c r="H46" s="498" t="str">
        <f>IF(F46="","",VLOOKUP(F46,'G-1 All Habitats'!$B$2:$M$129,10,FALSE))</f>
        <v/>
      </c>
      <c r="I46" s="499" t="str">
        <f>IFERROR(VLOOKUP(H46,'G-1 All Habitats'!$V$3:$W$7,2,FALSE),"")</f>
        <v/>
      </c>
      <c r="J46" s="71"/>
      <c r="K46" s="499" t="str">
        <f>IFERROR(INDEX('G-8 Condition Look up'!$A$3:$H$130,MATCH(F46,'G-8 Condition Look up'!$A$3:$A$130,0),MATCH(J46,'G-8 Condition Look up'!$A$3:$H$3,0)),"")</f>
        <v/>
      </c>
      <c r="L46" s="71"/>
      <c r="M46" s="507" t="str">
        <f>IF(L46="","",IF(VLOOKUP(L46,'G-3 Multipliers'!$L$3:$N$6,2,FALSE)=0,"Spatial Data Missing",VLOOKUP(L46,'G-3 Multipliers'!$L$3:$N$6,2,FALSE)))</f>
        <v/>
      </c>
      <c r="N46" s="505" t="str">
        <f>IF(L46="","",IF(VLOOKUP(L46,'G-3 Multipliers'!$L$3:$N$6,3,FALSE)=0,"Spatial Data Missing",VLOOKUP(L46,'G-3 Multipliers'!$L$3:$N$6,3,FALSE)))</f>
        <v/>
      </c>
      <c r="O46" s="498" t="str">
        <f t="shared" si="0"/>
        <v/>
      </c>
      <c r="P46" s="82"/>
      <c r="Q46" s="82"/>
      <c r="R46" s="507" t="str">
        <f t="shared" si="2"/>
        <v/>
      </c>
      <c r="S46" s="521" t="str">
        <f t="shared" si="3"/>
        <v/>
      </c>
      <c r="T46" s="522" t="str">
        <f>IFERROR(IF(S46="Check Data ⚠","Check Data ⚠",VLOOKUP(S46,'G-4 Temporal multipliers'!$A$4:$C$37,3,FALSE)),"")</f>
        <v/>
      </c>
      <c r="U46" s="523" t="str">
        <f>IF(F46="","",VLOOKUP(F46,'G-3 Multipliers'!$A$2:$E$129,2,FALSE))</f>
        <v/>
      </c>
      <c r="V46" s="520" t="str">
        <f t="shared" si="4"/>
        <v/>
      </c>
      <c r="W46" s="520" t="str">
        <f>IF(E46="","",IF(AND(V46="Standard difficulty applied",O46&gt;P46),U46,IF(AND(V46="Low Difficulty - only applicable if all habitat created before losses",P46&gt;=O46),"Low",VLOOKUP(F46,'G-3 Multipliers'!$A$2:$E$129,4,FALSE))))</f>
        <v/>
      </c>
      <c r="X46" s="524" t="str">
        <f>IFERROR(IF(E46="","",VLOOKUP(W46, 'G-3 Multipliers'!$P$2:$Q$6,2,FALSE)),"")</f>
        <v/>
      </c>
      <c r="Y46" s="529" t="str">
        <f t="shared" si="5"/>
        <v/>
      </c>
      <c r="Z46" s="239"/>
      <c r="AA46" s="240"/>
      <c r="AE46" s="54" t="str">
        <f t="shared" si="1"/>
        <v/>
      </c>
    </row>
    <row r="47" spans="1:31" x14ac:dyDescent="0.3">
      <c r="A47" s="47" t="str">
        <f>IFERROR(INDEX('G-8 Condition Look up'!$I$4:$I$130,MATCH(F47,'G-8 Condition Look up'!$A$4:$A$130,0)),"")</f>
        <v/>
      </c>
      <c r="C47" s="384" t="str">
        <f>IFERROR(INDEX('G-1 All Habitats'!$AG$3:$AG$15,MATCH(D47,'G-1 All Habitats'!$AF$3:$AF$15,0)),"")</f>
        <v/>
      </c>
      <c r="D47" s="146"/>
      <c r="E47" s="79"/>
      <c r="F47" s="246" t="str">
        <f>IFERROR(INDEX('G-1 All Habitats'!$B$3:$B$129,MATCH(E47,'G-1 All Habitats'!$A$3:$A$129,0)),"")</f>
        <v/>
      </c>
      <c r="G47" s="70"/>
      <c r="H47" s="498" t="str">
        <f>IF(F47="","",VLOOKUP(F47,'G-1 All Habitats'!$B$2:$M$129,10,FALSE))</f>
        <v/>
      </c>
      <c r="I47" s="499" t="str">
        <f>IFERROR(VLOOKUP(H47,'G-1 All Habitats'!$V$3:$W$7,2,FALSE),"")</f>
        <v/>
      </c>
      <c r="J47" s="71"/>
      <c r="K47" s="499" t="str">
        <f>IFERROR(INDEX('G-8 Condition Look up'!$A$3:$H$130,MATCH(F47,'G-8 Condition Look up'!$A$3:$A$130,0),MATCH(J47,'G-8 Condition Look up'!$A$3:$H$3,0)),"")</f>
        <v/>
      </c>
      <c r="L47" s="71"/>
      <c r="M47" s="507" t="str">
        <f>IF(L47="","",IF(VLOOKUP(L47,'G-3 Multipliers'!$L$3:$N$6,2,FALSE)=0,"Spatial Data Missing",VLOOKUP(L47,'G-3 Multipliers'!$L$3:$N$6,2,FALSE)))</f>
        <v/>
      </c>
      <c r="N47" s="505" t="str">
        <f>IF(L47="","",IF(VLOOKUP(L47,'G-3 Multipliers'!$L$3:$N$6,3,FALSE)=0,"Spatial Data Missing",VLOOKUP(L47,'G-3 Multipliers'!$L$3:$N$6,3,FALSE)))</f>
        <v/>
      </c>
      <c r="O47" s="498" t="str">
        <f t="shared" si="0"/>
        <v/>
      </c>
      <c r="P47" s="82"/>
      <c r="Q47" s="82"/>
      <c r="R47" s="507" t="str">
        <f t="shared" si="2"/>
        <v/>
      </c>
      <c r="S47" s="521" t="str">
        <f t="shared" si="3"/>
        <v/>
      </c>
      <c r="T47" s="522" t="str">
        <f>IFERROR(IF(S47="Check Data ⚠","Check Data ⚠",VLOOKUP(S47,'G-4 Temporal multipliers'!$A$4:$C$37,3,FALSE)),"")</f>
        <v/>
      </c>
      <c r="U47" s="523" t="str">
        <f>IF(F47="","",VLOOKUP(F47,'G-3 Multipliers'!$A$2:$E$129,2,FALSE))</f>
        <v/>
      </c>
      <c r="V47" s="520" t="str">
        <f t="shared" si="4"/>
        <v/>
      </c>
      <c r="W47" s="520" t="str">
        <f>IF(E47="","",IF(AND(V47="Standard difficulty applied",O47&gt;P47),U47,IF(AND(V47="Low Difficulty - only applicable if all habitat created before losses",P47&gt;=O47),"Low",VLOOKUP(F47,'G-3 Multipliers'!$A$2:$E$129,4,FALSE))))</f>
        <v/>
      </c>
      <c r="X47" s="524" t="str">
        <f>IFERROR(IF(E47="","",VLOOKUP(W47, 'G-3 Multipliers'!$P$2:$Q$6,2,FALSE)),"")</f>
        <v/>
      </c>
      <c r="Y47" s="529" t="str">
        <f t="shared" si="5"/>
        <v/>
      </c>
      <c r="Z47" s="239"/>
      <c r="AA47" s="240"/>
      <c r="AE47" s="54" t="str">
        <f t="shared" si="1"/>
        <v/>
      </c>
    </row>
    <row r="48" spans="1:31" x14ac:dyDescent="0.3">
      <c r="A48" s="47" t="str">
        <f>IFERROR(INDEX('G-8 Condition Look up'!$I$4:$I$130,MATCH(F48,'G-8 Condition Look up'!$A$4:$A$130,0)),"")</f>
        <v/>
      </c>
      <c r="C48" s="384" t="str">
        <f>IFERROR(INDEX('G-1 All Habitats'!$AG$3:$AG$15,MATCH(D48,'G-1 All Habitats'!$AF$3:$AF$15,0)),"")</f>
        <v/>
      </c>
      <c r="D48" s="146"/>
      <c r="E48" s="79"/>
      <c r="F48" s="246" t="str">
        <f>IFERROR(INDEX('G-1 All Habitats'!$B$3:$B$129,MATCH(E48,'G-1 All Habitats'!$A$3:$A$129,0)),"")</f>
        <v/>
      </c>
      <c r="G48" s="70"/>
      <c r="H48" s="498" t="str">
        <f>IF(F48="","",VLOOKUP(F48,'G-1 All Habitats'!$B$2:$M$129,10,FALSE))</f>
        <v/>
      </c>
      <c r="I48" s="499" t="str">
        <f>IFERROR(VLOOKUP(H48,'G-1 All Habitats'!$V$3:$W$7,2,FALSE),"")</f>
        <v/>
      </c>
      <c r="J48" s="71"/>
      <c r="K48" s="499" t="str">
        <f>IFERROR(INDEX('G-8 Condition Look up'!$A$3:$H$130,MATCH(F48,'G-8 Condition Look up'!$A$3:$A$130,0),MATCH(J48,'G-8 Condition Look up'!$A$3:$H$3,0)),"")</f>
        <v/>
      </c>
      <c r="L48" s="71"/>
      <c r="M48" s="507" t="str">
        <f>IF(L48="","",IF(VLOOKUP(L48,'G-3 Multipliers'!$L$3:$N$6,2,FALSE)=0,"Spatial Data Missing",VLOOKUP(L48,'G-3 Multipliers'!$L$3:$N$6,2,FALSE)))</f>
        <v/>
      </c>
      <c r="N48" s="505" t="str">
        <f>IF(L48="","",IF(VLOOKUP(L48,'G-3 Multipliers'!$L$3:$N$6,3,FALSE)=0,"Spatial Data Missing",VLOOKUP(L48,'G-3 Multipliers'!$L$3:$N$6,3,FALSE)))</f>
        <v/>
      </c>
      <c r="O48" s="498" t="str">
        <f t="shared" si="0"/>
        <v/>
      </c>
      <c r="P48" s="82"/>
      <c r="Q48" s="82"/>
      <c r="R48" s="507" t="str">
        <f t="shared" si="2"/>
        <v/>
      </c>
      <c r="S48" s="521" t="str">
        <f t="shared" si="3"/>
        <v/>
      </c>
      <c r="T48" s="522" t="str">
        <f>IFERROR(IF(S48="Check Data ⚠","Check Data ⚠",VLOOKUP(S48,'G-4 Temporal multipliers'!$A$4:$C$37,3,FALSE)),"")</f>
        <v/>
      </c>
      <c r="U48" s="523" t="str">
        <f>IF(F48="","",VLOOKUP(F48,'G-3 Multipliers'!$A$2:$E$129,2,FALSE))</f>
        <v/>
      </c>
      <c r="V48" s="520" t="str">
        <f t="shared" si="4"/>
        <v/>
      </c>
      <c r="W48" s="520" t="str">
        <f>IF(E48="","",IF(AND(V48="Standard difficulty applied",O48&gt;P48),U48,IF(AND(V48="Low Difficulty - only applicable if all habitat created before losses",P48&gt;=O48),"Low",VLOOKUP(F48,'G-3 Multipliers'!$A$2:$E$129,4,FALSE))))</f>
        <v/>
      </c>
      <c r="X48" s="524" t="str">
        <f>IFERROR(IF(E48="","",VLOOKUP(W48, 'G-3 Multipliers'!$P$2:$Q$6,2,FALSE)),"")</f>
        <v/>
      </c>
      <c r="Y48" s="529" t="str">
        <f t="shared" si="5"/>
        <v/>
      </c>
      <c r="Z48" s="239"/>
      <c r="AA48" s="240"/>
      <c r="AE48" s="54" t="str">
        <f t="shared" si="1"/>
        <v/>
      </c>
    </row>
    <row r="49" spans="1:31" x14ac:dyDescent="0.3">
      <c r="A49" s="47" t="str">
        <f>IFERROR(INDEX('G-8 Condition Look up'!$I$4:$I$130,MATCH(F49,'G-8 Condition Look up'!$A$4:$A$130,0)),"")</f>
        <v/>
      </c>
      <c r="C49" s="384" t="str">
        <f>IFERROR(INDEX('G-1 All Habitats'!$AG$3:$AG$15,MATCH(D49,'G-1 All Habitats'!$AF$3:$AF$15,0)),"")</f>
        <v/>
      </c>
      <c r="D49" s="146"/>
      <c r="E49" s="79"/>
      <c r="F49" s="246" t="str">
        <f>IFERROR(INDEX('G-1 All Habitats'!$B$3:$B$129,MATCH(E49,'G-1 All Habitats'!$A$3:$A$129,0)),"")</f>
        <v/>
      </c>
      <c r="G49" s="70"/>
      <c r="H49" s="498" t="str">
        <f>IF(F49="","",VLOOKUP(F49,'G-1 All Habitats'!$B$2:$M$129,10,FALSE))</f>
        <v/>
      </c>
      <c r="I49" s="499" t="str">
        <f>IFERROR(VLOOKUP(H49,'G-1 All Habitats'!$V$3:$W$7,2,FALSE),"")</f>
        <v/>
      </c>
      <c r="J49" s="71"/>
      <c r="K49" s="499" t="str">
        <f>IFERROR(INDEX('G-8 Condition Look up'!$A$3:$H$130,MATCH(F49,'G-8 Condition Look up'!$A$3:$A$130,0),MATCH(J49,'G-8 Condition Look up'!$A$3:$H$3,0)),"")</f>
        <v/>
      </c>
      <c r="L49" s="71"/>
      <c r="M49" s="507" t="str">
        <f>IF(L49="","",IF(VLOOKUP(L49,'G-3 Multipliers'!$L$3:$N$6,2,FALSE)=0,"Spatial Data Missing",VLOOKUP(L49,'G-3 Multipliers'!$L$3:$N$6,2,FALSE)))</f>
        <v/>
      </c>
      <c r="N49" s="505" t="str">
        <f>IF(L49="","",IF(VLOOKUP(L49,'G-3 Multipliers'!$L$3:$N$6,3,FALSE)=0,"Spatial Data Missing",VLOOKUP(L49,'G-3 Multipliers'!$L$3:$N$6,3,FALSE)))</f>
        <v/>
      </c>
      <c r="O49" s="498" t="str">
        <f t="shared" si="0"/>
        <v/>
      </c>
      <c r="P49" s="82"/>
      <c r="Q49" s="82"/>
      <c r="R49" s="507" t="str">
        <f t="shared" si="2"/>
        <v/>
      </c>
      <c r="S49" s="521" t="str">
        <f t="shared" si="3"/>
        <v/>
      </c>
      <c r="T49" s="522" t="str">
        <f>IFERROR(IF(S49="Check Data ⚠","Check Data ⚠",VLOOKUP(S49,'G-4 Temporal multipliers'!$A$4:$C$37,3,FALSE)),"")</f>
        <v/>
      </c>
      <c r="U49" s="523" t="str">
        <f>IF(F49="","",VLOOKUP(F49,'G-3 Multipliers'!$A$2:$E$129,2,FALSE))</f>
        <v/>
      </c>
      <c r="V49" s="520" t="str">
        <f t="shared" si="4"/>
        <v/>
      </c>
      <c r="W49" s="520" t="str">
        <f>IF(E49="","",IF(AND(V49="Standard difficulty applied",O49&gt;P49),U49,IF(AND(V49="Low Difficulty - only applicable if all habitat created before losses",P49&gt;=O49),"Low",VLOOKUP(F49,'G-3 Multipliers'!$A$2:$E$129,4,FALSE))))</f>
        <v/>
      </c>
      <c r="X49" s="524" t="str">
        <f>IFERROR(IF(E49="","",VLOOKUP(W49, 'G-3 Multipliers'!$P$2:$Q$6,2,FALSE)),"")</f>
        <v/>
      </c>
      <c r="Y49" s="529" t="str">
        <f t="shared" si="5"/>
        <v/>
      </c>
      <c r="Z49" s="239"/>
      <c r="AA49" s="240"/>
      <c r="AE49" s="54" t="str">
        <f t="shared" si="1"/>
        <v/>
      </c>
    </row>
    <row r="50" spans="1:31" x14ac:dyDescent="0.3">
      <c r="A50" s="47" t="str">
        <f>IFERROR(INDEX('G-8 Condition Look up'!$I$4:$I$130,MATCH(F50,'G-8 Condition Look up'!$A$4:$A$130,0)),"")</f>
        <v/>
      </c>
      <c r="C50" s="384" t="str">
        <f>IFERROR(INDEX('G-1 All Habitats'!$AG$3:$AG$15,MATCH(D50,'G-1 All Habitats'!$AF$3:$AF$15,0)),"")</f>
        <v/>
      </c>
      <c r="D50" s="146"/>
      <c r="E50" s="79"/>
      <c r="F50" s="246" t="str">
        <f>IFERROR(INDEX('G-1 All Habitats'!$B$3:$B$129,MATCH(E50,'G-1 All Habitats'!$A$3:$A$129,0)),"")</f>
        <v/>
      </c>
      <c r="G50" s="70"/>
      <c r="H50" s="498" t="str">
        <f>IF(F50="","",VLOOKUP(F50,'G-1 All Habitats'!$B$2:$M$129,10,FALSE))</f>
        <v/>
      </c>
      <c r="I50" s="499" t="str">
        <f>IFERROR(VLOOKUP(H50,'G-1 All Habitats'!$V$3:$W$7,2,FALSE),"")</f>
        <v/>
      </c>
      <c r="J50" s="71"/>
      <c r="K50" s="499" t="str">
        <f>IFERROR(INDEX('G-8 Condition Look up'!$A$3:$H$130,MATCH(F50,'G-8 Condition Look up'!$A$3:$A$130,0),MATCH(J50,'G-8 Condition Look up'!$A$3:$H$3,0)),"")</f>
        <v/>
      </c>
      <c r="L50" s="71"/>
      <c r="M50" s="507" t="str">
        <f>IF(L50="","",IF(VLOOKUP(L50,'G-3 Multipliers'!$L$3:$N$6,2,FALSE)=0,"Spatial Data Missing",VLOOKUP(L50,'G-3 Multipliers'!$L$3:$N$6,2,FALSE)))</f>
        <v/>
      </c>
      <c r="N50" s="505" t="str">
        <f>IF(L50="","",IF(VLOOKUP(L50,'G-3 Multipliers'!$L$3:$N$6,3,FALSE)=0,"Spatial Data Missing",VLOOKUP(L50,'G-3 Multipliers'!$L$3:$N$6,3,FALSE)))</f>
        <v/>
      </c>
      <c r="O50" s="498" t="str">
        <f t="shared" si="0"/>
        <v/>
      </c>
      <c r="P50" s="82"/>
      <c r="Q50" s="82"/>
      <c r="R50" s="507" t="str">
        <f t="shared" si="2"/>
        <v/>
      </c>
      <c r="S50" s="521" t="str">
        <f t="shared" si="3"/>
        <v/>
      </c>
      <c r="T50" s="522" t="str">
        <f>IFERROR(IF(S50="Check Data ⚠","Check Data ⚠",VLOOKUP(S50,'G-4 Temporal multipliers'!$A$4:$C$37,3,FALSE)),"")</f>
        <v/>
      </c>
      <c r="U50" s="523" t="str">
        <f>IF(F50="","",VLOOKUP(F50,'G-3 Multipliers'!$A$2:$E$129,2,FALSE))</f>
        <v/>
      </c>
      <c r="V50" s="520" t="str">
        <f t="shared" si="4"/>
        <v/>
      </c>
      <c r="W50" s="520" t="str">
        <f>IF(E50="","",IF(AND(V50="Standard difficulty applied",O50&gt;P50),U50,IF(AND(V50="Low Difficulty - only applicable if all habitat created before losses",P50&gt;=O50),"Low",VLOOKUP(F50,'G-3 Multipliers'!$A$2:$E$129,4,FALSE))))</f>
        <v/>
      </c>
      <c r="X50" s="524" t="str">
        <f>IFERROR(IF(E50="","",VLOOKUP(W50, 'G-3 Multipliers'!$P$2:$Q$6,2,FALSE)),"")</f>
        <v/>
      </c>
      <c r="Y50" s="529" t="str">
        <f t="shared" si="5"/>
        <v/>
      </c>
      <c r="Z50" s="239"/>
      <c r="AA50" s="240"/>
      <c r="AE50" s="54" t="str">
        <f t="shared" si="1"/>
        <v/>
      </c>
    </row>
    <row r="51" spans="1:31" x14ac:dyDescent="0.3">
      <c r="A51" s="47" t="str">
        <f>IFERROR(INDEX('G-8 Condition Look up'!$I$4:$I$130,MATCH(F51,'G-8 Condition Look up'!$A$4:$A$130,0)),"")</f>
        <v/>
      </c>
      <c r="C51" s="384" t="str">
        <f>IFERROR(INDEX('G-1 All Habitats'!$AG$3:$AG$15,MATCH(D51,'G-1 All Habitats'!$AF$3:$AF$15,0)),"")</f>
        <v/>
      </c>
      <c r="D51" s="146"/>
      <c r="E51" s="79"/>
      <c r="F51" s="246" t="str">
        <f>IFERROR(INDEX('G-1 All Habitats'!$B$3:$B$129,MATCH(E51,'G-1 All Habitats'!$A$3:$A$129,0)),"")</f>
        <v/>
      </c>
      <c r="G51" s="70"/>
      <c r="H51" s="498" t="str">
        <f>IF(F51="","",VLOOKUP(F51,'G-1 All Habitats'!$B$2:$M$129,10,FALSE))</f>
        <v/>
      </c>
      <c r="I51" s="499" t="str">
        <f>IFERROR(VLOOKUP(H51,'G-1 All Habitats'!$V$3:$W$7,2,FALSE),"")</f>
        <v/>
      </c>
      <c r="J51" s="71"/>
      <c r="K51" s="499" t="str">
        <f>IFERROR(INDEX('G-8 Condition Look up'!$A$3:$H$130,MATCH(F51,'G-8 Condition Look up'!$A$3:$A$130,0),MATCH(J51,'G-8 Condition Look up'!$A$3:$H$3,0)),"")</f>
        <v/>
      </c>
      <c r="L51" s="71"/>
      <c r="M51" s="507" t="str">
        <f>IF(L51="","",IF(VLOOKUP(L51,'G-3 Multipliers'!$L$3:$N$6,2,FALSE)=0,"Spatial Data Missing",VLOOKUP(L51,'G-3 Multipliers'!$L$3:$N$6,2,FALSE)))</f>
        <v/>
      </c>
      <c r="N51" s="505" t="str">
        <f>IF(L51="","",IF(VLOOKUP(L51,'G-3 Multipliers'!$L$3:$N$6,3,FALSE)=0,"Spatial Data Missing",VLOOKUP(L51,'G-3 Multipliers'!$L$3:$N$6,3,FALSE)))</f>
        <v/>
      </c>
      <c r="O51" s="498" t="str">
        <f t="shared" si="0"/>
        <v/>
      </c>
      <c r="P51" s="82"/>
      <c r="Q51" s="82"/>
      <c r="R51" s="507" t="str">
        <f t="shared" si="2"/>
        <v/>
      </c>
      <c r="S51" s="521" t="str">
        <f t="shared" si="3"/>
        <v/>
      </c>
      <c r="T51" s="522" t="str">
        <f>IFERROR(IF(S51="Check Data ⚠","Check Data ⚠",VLOOKUP(S51,'G-4 Temporal multipliers'!$A$4:$C$37,3,FALSE)),"")</f>
        <v/>
      </c>
      <c r="U51" s="523" t="str">
        <f>IF(F51="","",VLOOKUP(F51,'G-3 Multipliers'!$A$2:$E$129,2,FALSE))</f>
        <v/>
      </c>
      <c r="V51" s="520" t="str">
        <f t="shared" si="4"/>
        <v/>
      </c>
      <c r="W51" s="520" t="str">
        <f>IF(E51="","",IF(AND(V51="Standard difficulty applied",O51&gt;P51),U51,IF(AND(V51="Low Difficulty - only applicable if all habitat created before losses",P51&gt;=O51),"Low",VLOOKUP(F51,'G-3 Multipliers'!$A$2:$E$129,4,FALSE))))</f>
        <v/>
      </c>
      <c r="X51" s="524" t="str">
        <f>IFERROR(IF(E51="","",VLOOKUP(W51, 'G-3 Multipliers'!$P$2:$Q$6,2,FALSE)),"")</f>
        <v/>
      </c>
      <c r="Y51" s="529" t="str">
        <f t="shared" si="5"/>
        <v/>
      </c>
      <c r="Z51" s="239"/>
      <c r="AA51" s="240"/>
      <c r="AE51" s="54" t="str">
        <f t="shared" si="1"/>
        <v/>
      </c>
    </row>
    <row r="52" spans="1:31" x14ac:dyDescent="0.3">
      <c r="A52" s="47" t="str">
        <f>IFERROR(INDEX('G-8 Condition Look up'!$I$4:$I$130,MATCH(F52,'G-8 Condition Look up'!$A$4:$A$130,0)),"")</f>
        <v/>
      </c>
      <c r="C52" s="384" t="str">
        <f>IFERROR(INDEX('G-1 All Habitats'!$AG$3:$AG$15,MATCH(D52,'G-1 All Habitats'!$AF$3:$AF$15,0)),"")</f>
        <v/>
      </c>
      <c r="D52" s="146"/>
      <c r="E52" s="79"/>
      <c r="F52" s="246" t="str">
        <f>IFERROR(INDEX('G-1 All Habitats'!$B$3:$B$129,MATCH(E52,'G-1 All Habitats'!$A$3:$A$129,0)),"")</f>
        <v/>
      </c>
      <c r="G52" s="70"/>
      <c r="H52" s="498" t="str">
        <f>IF(F52="","",VLOOKUP(F52,'G-1 All Habitats'!$B$2:$M$129,10,FALSE))</f>
        <v/>
      </c>
      <c r="I52" s="499" t="str">
        <f>IFERROR(VLOOKUP(H52,'G-1 All Habitats'!$V$3:$W$7,2,FALSE),"")</f>
        <v/>
      </c>
      <c r="J52" s="71"/>
      <c r="K52" s="499" t="str">
        <f>IFERROR(INDEX('G-8 Condition Look up'!$A$3:$H$130,MATCH(F52,'G-8 Condition Look up'!$A$3:$A$130,0),MATCH(J52,'G-8 Condition Look up'!$A$3:$H$3,0)),"")</f>
        <v/>
      </c>
      <c r="L52" s="71"/>
      <c r="M52" s="507" t="str">
        <f>IF(L52="","",IF(VLOOKUP(L52,'G-3 Multipliers'!$L$3:$N$6,2,FALSE)=0,"Spatial Data Missing",VLOOKUP(L52,'G-3 Multipliers'!$L$3:$N$6,2,FALSE)))</f>
        <v/>
      </c>
      <c r="N52" s="505" t="str">
        <f>IF(L52="","",IF(VLOOKUP(L52,'G-3 Multipliers'!$L$3:$N$6,3,FALSE)=0,"Spatial Data Missing",VLOOKUP(L52,'G-3 Multipliers'!$L$3:$N$6,3,FALSE)))</f>
        <v/>
      </c>
      <c r="O52" s="498" t="str">
        <f t="shared" si="0"/>
        <v/>
      </c>
      <c r="P52" s="82"/>
      <c r="Q52" s="82"/>
      <c r="R52" s="507" t="str">
        <f t="shared" si="2"/>
        <v/>
      </c>
      <c r="S52" s="521" t="str">
        <f t="shared" si="3"/>
        <v/>
      </c>
      <c r="T52" s="522" t="str">
        <f>IFERROR(IF(S52="Check Data ⚠","Check Data ⚠",VLOOKUP(S52,'G-4 Temporal multipliers'!$A$4:$C$37,3,FALSE)),"")</f>
        <v/>
      </c>
      <c r="U52" s="523" t="str">
        <f>IF(F52="","",VLOOKUP(F52,'G-3 Multipliers'!$A$2:$E$129,2,FALSE))</f>
        <v/>
      </c>
      <c r="V52" s="520" t="str">
        <f t="shared" si="4"/>
        <v/>
      </c>
      <c r="W52" s="520" t="str">
        <f>IF(E52="","",IF(AND(V52="Standard difficulty applied",O52&gt;P52),U52,IF(AND(V52="Low Difficulty - only applicable if all habitat created before losses",P52&gt;=O52),"Low",VLOOKUP(F52,'G-3 Multipliers'!$A$2:$E$129,4,FALSE))))</f>
        <v/>
      </c>
      <c r="X52" s="524" t="str">
        <f>IFERROR(IF(E52="","",VLOOKUP(W52, 'G-3 Multipliers'!$P$2:$Q$6,2,FALSE)),"")</f>
        <v/>
      </c>
      <c r="Y52" s="529" t="str">
        <f t="shared" si="5"/>
        <v/>
      </c>
      <c r="Z52" s="239"/>
      <c r="AA52" s="240"/>
      <c r="AE52" s="54" t="str">
        <f t="shared" si="1"/>
        <v/>
      </c>
    </row>
    <row r="53" spans="1:31" x14ac:dyDescent="0.3">
      <c r="A53" s="47" t="str">
        <f>IFERROR(INDEX('G-8 Condition Look up'!$I$4:$I$130,MATCH(F53,'G-8 Condition Look up'!$A$4:$A$130,0)),"")</f>
        <v/>
      </c>
      <c r="C53" s="384" t="str">
        <f>IFERROR(INDEX('G-1 All Habitats'!$AG$3:$AG$15,MATCH(D53,'G-1 All Habitats'!$AF$3:$AF$15,0)),"")</f>
        <v/>
      </c>
      <c r="D53" s="146"/>
      <c r="E53" s="79"/>
      <c r="F53" s="246" t="str">
        <f>IFERROR(INDEX('G-1 All Habitats'!$B$3:$B$129,MATCH(E53,'G-1 All Habitats'!$A$3:$A$129,0)),"")</f>
        <v/>
      </c>
      <c r="G53" s="70"/>
      <c r="H53" s="498" t="str">
        <f>IF(F53="","",VLOOKUP(F53,'G-1 All Habitats'!$B$2:$M$129,10,FALSE))</f>
        <v/>
      </c>
      <c r="I53" s="499" t="str">
        <f>IFERROR(VLOOKUP(H53,'G-1 All Habitats'!$V$3:$W$7,2,FALSE),"")</f>
        <v/>
      </c>
      <c r="J53" s="71"/>
      <c r="K53" s="499" t="str">
        <f>IFERROR(INDEX('G-8 Condition Look up'!$A$3:$H$130,MATCH(F53,'G-8 Condition Look up'!$A$3:$A$130,0),MATCH(J53,'G-8 Condition Look up'!$A$3:$H$3,0)),"")</f>
        <v/>
      </c>
      <c r="L53" s="71"/>
      <c r="M53" s="507" t="str">
        <f>IF(L53="","",IF(VLOOKUP(L53,'G-3 Multipliers'!$L$3:$N$6,2,FALSE)=0,"Spatial Data Missing",VLOOKUP(L53,'G-3 Multipliers'!$L$3:$N$6,2,FALSE)))</f>
        <v/>
      </c>
      <c r="N53" s="505" t="str">
        <f>IF(L53="","",IF(VLOOKUP(L53,'G-3 Multipliers'!$L$3:$N$6,3,FALSE)=0,"Spatial Data Missing",VLOOKUP(L53,'G-3 Multipliers'!$L$3:$N$6,3,FALSE)))</f>
        <v/>
      </c>
      <c r="O53" s="498" t="str">
        <f t="shared" si="0"/>
        <v/>
      </c>
      <c r="P53" s="82"/>
      <c r="Q53" s="82"/>
      <c r="R53" s="507" t="str">
        <f t="shared" si="2"/>
        <v/>
      </c>
      <c r="S53" s="521" t="str">
        <f t="shared" si="3"/>
        <v/>
      </c>
      <c r="T53" s="522" t="str">
        <f>IFERROR(IF(S53="Check Data ⚠","Check Data ⚠",VLOOKUP(S53,'G-4 Temporal multipliers'!$A$4:$C$37,3,FALSE)),"")</f>
        <v/>
      </c>
      <c r="U53" s="523" t="str">
        <f>IF(F53="","",VLOOKUP(F53,'G-3 Multipliers'!$A$2:$E$129,2,FALSE))</f>
        <v/>
      </c>
      <c r="V53" s="520" t="str">
        <f t="shared" si="4"/>
        <v/>
      </c>
      <c r="W53" s="520" t="str">
        <f>IF(E53="","",IF(AND(V53="Standard difficulty applied",O53&gt;P53),U53,IF(AND(V53="Low Difficulty - only applicable if all habitat created before losses",P53&gt;=O53),"Low",VLOOKUP(F53,'G-3 Multipliers'!$A$2:$E$129,4,FALSE))))</f>
        <v/>
      </c>
      <c r="X53" s="524" t="str">
        <f>IFERROR(IF(E53="","",VLOOKUP(W53, 'G-3 Multipliers'!$P$2:$Q$6,2,FALSE)),"")</f>
        <v/>
      </c>
      <c r="Y53" s="529" t="str">
        <f t="shared" si="5"/>
        <v/>
      </c>
      <c r="Z53" s="239"/>
      <c r="AA53" s="240"/>
      <c r="AE53" s="54" t="str">
        <f t="shared" si="1"/>
        <v/>
      </c>
    </row>
    <row r="54" spans="1:31" x14ac:dyDescent="0.3">
      <c r="A54" s="47" t="str">
        <f>IFERROR(INDEX('G-8 Condition Look up'!$I$4:$I$130,MATCH(F54,'G-8 Condition Look up'!$A$4:$A$130,0)),"")</f>
        <v/>
      </c>
      <c r="C54" s="384" t="str">
        <f>IFERROR(INDEX('G-1 All Habitats'!$AG$3:$AG$15,MATCH(D54,'G-1 All Habitats'!$AF$3:$AF$15,0)),"")</f>
        <v/>
      </c>
      <c r="D54" s="146"/>
      <c r="E54" s="79"/>
      <c r="F54" s="246" t="str">
        <f>IFERROR(INDEX('G-1 All Habitats'!$B$3:$B$129,MATCH(E54,'G-1 All Habitats'!$A$3:$A$129,0)),"")</f>
        <v/>
      </c>
      <c r="G54" s="70"/>
      <c r="H54" s="498" t="str">
        <f>IF(F54="","",VLOOKUP(F54,'G-1 All Habitats'!$B$2:$M$129,10,FALSE))</f>
        <v/>
      </c>
      <c r="I54" s="499" t="str">
        <f>IFERROR(VLOOKUP(H54,'G-1 All Habitats'!$V$3:$W$7,2,FALSE),"")</f>
        <v/>
      </c>
      <c r="J54" s="71"/>
      <c r="K54" s="499" t="str">
        <f>IFERROR(INDEX('G-8 Condition Look up'!$A$3:$H$130,MATCH(F54,'G-8 Condition Look up'!$A$3:$A$130,0),MATCH(J54,'G-8 Condition Look up'!$A$3:$H$3,0)),"")</f>
        <v/>
      </c>
      <c r="L54" s="71"/>
      <c r="M54" s="507" t="str">
        <f>IF(L54="","",IF(VLOOKUP(L54,'G-3 Multipliers'!$L$3:$N$6,2,FALSE)=0,"Spatial Data Missing",VLOOKUP(L54,'G-3 Multipliers'!$L$3:$N$6,2,FALSE)))</f>
        <v/>
      </c>
      <c r="N54" s="505" t="str">
        <f>IF(L54="","",IF(VLOOKUP(L54,'G-3 Multipliers'!$L$3:$N$6,3,FALSE)=0,"Spatial Data Missing",VLOOKUP(L54,'G-3 Multipliers'!$L$3:$N$6,3,FALSE)))</f>
        <v/>
      </c>
      <c r="O54" s="498" t="str">
        <f t="shared" si="0"/>
        <v/>
      </c>
      <c r="P54" s="82"/>
      <c r="Q54" s="82"/>
      <c r="R54" s="507" t="str">
        <f t="shared" si="2"/>
        <v/>
      </c>
      <c r="S54" s="521" t="str">
        <f t="shared" si="3"/>
        <v/>
      </c>
      <c r="T54" s="522" t="str">
        <f>IFERROR(IF(S54="Check Data ⚠","Check Data ⚠",VLOOKUP(S54,'G-4 Temporal multipliers'!$A$4:$C$37,3,FALSE)),"")</f>
        <v/>
      </c>
      <c r="U54" s="523" t="str">
        <f>IF(F54="","",VLOOKUP(F54,'G-3 Multipliers'!$A$2:$E$129,2,FALSE))</f>
        <v/>
      </c>
      <c r="V54" s="520" t="str">
        <f t="shared" si="4"/>
        <v/>
      </c>
      <c r="W54" s="520" t="str">
        <f>IF(E54="","",IF(AND(V54="Standard difficulty applied",O54&gt;P54),U54,IF(AND(V54="Low Difficulty - only applicable if all habitat created before losses",P54&gt;=O54),"Low",VLOOKUP(F54,'G-3 Multipliers'!$A$2:$E$129,4,FALSE))))</f>
        <v/>
      </c>
      <c r="X54" s="524" t="str">
        <f>IFERROR(IF(E54="","",VLOOKUP(W54, 'G-3 Multipliers'!$P$2:$Q$6,2,FALSE)),"")</f>
        <v/>
      </c>
      <c r="Y54" s="529" t="str">
        <f t="shared" si="5"/>
        <v/>
      </c>
      <c r="Z54" s="239"/>
      <c r="AA54" s="240"/>
      <c r="AE54" s="54" t="str">
        <f t="shared" si="1"/>
        <v/>
      </c>
    </row>
    <row r="55" spans="1:31" x14ac:dyDescent="0.3">
      <c r="A55" s="47" t="str">
        <f>IFERROR(INDEX('G-8 Condition Look up'!$I$4:$I$130,MATCH(F55,'G-8 Condition Look up'!$A$4:$A$130,0)),"")</f>
        <v/>
      </c>
      <c r="C55" s="384" t="str">
        <f>IFERROR(INDEX('G-1 All Habitats'!$AG$3:$AG$15,MATCH(D55,'G-1 All Habitats'!$AF$3:$AF$15,0)),"")</f>
        <v/>
      </c>
      <c r="D55" s="146"/>
      <c r="E55" s="79"/>
      <c r="F55" s="246" t="str">
        <f>IFERROR(INDEX('G-1 All Habitats'!$B$3:$B$129,MATCH(E55,'G-1 All Habitats'!$A$3:$A$129,0)),"")</f>
        <v/>
      </c>
      <c r="G55" s="70"/>
      <c r="H55" s="498" t="str">
        <f>IF(F55="","",VLOOKUP(F55,'G-1 All Habitats'!$B$2:$M$129,10,FALSE))</f>
        <v/>
      </c>
      <c r="I55" s="499" t="str">
        <f>IFERROR(VLOOKUP(H55,'G-1 All Habitats'!$V$3:$W$7,2,FALSE),"")</f>
        <v/>
      </c>
      <c r="J55" s="71"/>
      <c r="K55" s="499" t="str">
        <f>IFERROR(INDEX('G-8 Condition Look up'!$A$3:$H$130,MATCH(F55,'G-8 Condition Look up'!$A$3:$A$130,0),MATCH(J55,'G-8 Condition Look up'!$A$3:$H$3,0)),"")</f>
        <v/>
      </c>
      <c r="L55" s="71"/>
      <c r="M55" s="507" t="str">
        <f>IF(L55="","",IF(VLOOKUP(L55,'G-3 Multipliers'!$L$3:$N$6,2,FALSE)=0,"Spatial Data Missing",VLOOKUP(L55,'G-3 Multipliers'!$L$3:$N$6,2,FALSE)))</f>
        <v/>
      </c>
      <c r="N55" s="505" t="str">
        <f>IF(L55="","",IF(VLOOKUP(L55,'G-3 Multipliers'!$L$3:$N$6,3,FALSE)=0,"Spatial Data Missing",VLOOKUP(L55,'G-3 Multipliers'!$L$3:$N$6,3,FALSE)))</f>
        <v/>
      </c>
      <c r="O55" s="498" t="str">
        <f t="shared" si="0"/>
        <v/>
      </c>
      <c r="P55" s="82"/>
      <c r="Q55" s="82"/>
      <c r="R55" s="507" t="str">
        <f t="shared" si="2"/>
        <v/>
      </c>
      <c r="S55" s="521" t="str">
        <f t="shared" si="3"/>
        <v/>
      </c>
      <c r="T55" s="522" t="str">
        <f>IFERROR(IF(S55="Check Data ⚠","Check Data ⚠",VLOOKUP(S55,'G-4 Temporal multipliers'!$A$4:$C$37,3,FALSE)),"")</f>
        <v/>
      </c>
      <c r="U55" s="523" t="str">
        <f>IF(F55="","",VLOOKUP(F55,'G-3 Multipliers'!$A$2:$E$129,2,FALSE))</f>
        <v/>
      </c>
      <c r="V55" s="520" t="str">
        <f t="shared" si="4"/>
        <v/>
      </c>
      <c r="W55" s="520" t="str">
        <f>IF(E55="","",IF(AND(V55="Standard difficulty applied",O55&gt;P55),U55,IF(AND(V55="Low Difficulty - only applicable if all habitat created before losses",P55&gt;=O55),"Low",VLOOKUP(F55,'G-3 Multipliers'!$A$2:$E$129,4,FALSE))))</f>
        <v/>
      </c>
      <c r="X55" s="524" t="str">
        <f>IFERROR(IF(E55="","",VLOOKUP(W55, 'G-3 Multipliers'!$P$2:$Q$6,2,FALSE)),"")</f>
        <v/>
      </c>
      <c r="Y55" s="529" t="str">
        <f t="shared" si="5"/>
        <v/>
      </c>
      <c r="Z55" s="239"/>
      <c r="AA55" s="240"/>
      <c r="AE55" s="54" t="str">
        <f t="shared" si="1"/>
        <v/>
      </c>
    </row>
    <row r="56" spans="1:31" x14ac:dyDescent="0.3">
      <c r="A56" s="47" t="str">
        <f>IFERROR(INDEX('G-8 Condition Look up'!$I$4:$I$130,MATCH(F56,'G-8 Condition Look up'!$A$4:$A$130,0)),"")</f>
        <v/>
      </c>
      <c r="C56" s="384" t="str">
        <f>IFERROR(INDEX('G-1 All Habitats'!$AG$3:$AG$15,MATCH(D56,'G-1 All Habitats'!$AF$3:$AF$15,0)),"")</f>
        <v/>
      </c>
      <c r="D56" s="146"/>
      <c r="E56" s="79"/>
      <c r="F56" s="246" t="str">
        <f>IFERROR(INDEX('G-1 All Habitats'!$B$3:$B$129,MATCH(E56,'G-1 All Habitats'!$A$3:$A$129,0)),"")</f>
        <v/>
      </c>
      <c r="G56" s="70"/>
      <c r="H56" s="498" t="str">
        <f>IF(F56="","",VLOOKUP(F56,'G-1 All Habitats'!$B$2:$M$129,10,FALSE))</f>
        <v/>
      </c>
      <c r="I56" s="499" t="str">
        <f>IFERROR(VLOOKUP(H56,'G-1 All Habitats'!$V$3:$W$7,2,FALSE),"")</f>
        <v/>
      </c>
      <c r="J56" s="71"/>
      <c r="K56" s="499" t="str">
        <f>IFERROR(INDEX('G-8 Condition Look up'!$A$3:$H$130,MATCH(F56,'G-8 Condition Look up'!$A$3:$A$130,0),MATCH(J56,'G-8 Condition Look up'!$A$3:$H$3,0)),"")</f>
        <v/>
      </c>
      <c r="L56" s="71"/>
      <c r="M56" s="507" t="str">
        <f>IF(L56="","",IF(VLOOKUP(L56,'G-3 Multipliers'!$L$3:$N$6,2,FALSE)=0,"Spatial Data Missing",VLOOKUP(L56,'G-3 Multipliers'!$L$3:$N$6,2,FALSE)))</f>
        <v/>
      </c>
      <c r="N56" s="505" t="str">
        <f>IF(L56="","",IF(VLOOKUP(L56,'G-3 Multipliers'!$L$3:$N$6,3,FALSE)=0,"Spatial Data Missing",VLOOKUP(L56,'G-3 Multipliers'!$L$3:$N$6,3,FALSE)))</f>
        <v/>
      </c>
      <c r="O56" s="498" t="str">
        <f t="shared" si="0"/>
        <v/>
      </c>
      <c r="P56" s="82"/>
      <c r="Q56" s="82"/>
      <c r="R56" s="507" t="str">
        <f t="shared" si="2"/>
        <v/>
      </c>
      <c r="S56" s="521" t="str">
        <f t="shared" si="3"/>
        <v/>
      </c>
      <c r="T56" s="522" t="str">
        <f>IFERROR(IF(S56="Check Data ⚠","Check Data ⚠",VLOOKUP(S56,'G-4 Temporal multipliers'!$A$4:$C$37,3,FALSE)),"")</f>
        <v/>
      </c>
      <c r="U56" s="523" t="str">
        <f>IF(F56="","",VLOOKUP(F56,'G-3 Multipliers'!$A$2:$E$129,2,FALSE))</f>
        <v/>
      </c>
      <c r="V56" s="520" t="str">
        <f t="shared" si="4"/>
        <v/>
      </c>
      <c r="W56" s="520" t="str">
        <f>IF(E56="","",IF(AND(V56="Standard difficulty applied",O56&gt;P56),U56,IF(AND(V56="Low Difficulty - only applicable if all habitat created before losses",P56&gt;=O56),"Low",VLOOKUP(F56,'G-3 Multipliers'!$A$2:$E$129,4,FALSE))))</f>
        <v/>
      </c>
      <c r="X56" s="524" t="str">
        <f>IFERROR(IF(E56="","",VLOOKUP(W56, 'G-3 Multipliers'!$P$2:$Q$6,2,FALSE)),"")</f>
        <v/>
      </c>
      <c r="Y56" s="529" t="str">
        <f t="shared" si="5"/>
        <v/>
      </c>
      <c r="Z56" s="239"/>
      <c r="AA56" s="240"/>
      <c r="AE56" s="54" t="str">
        <f t="shared" si="1"/>
        <v/>
      </c>
    </row>
    <row r="57" spans="1:31" x14ac:dyDescent="0.3">
      <c r="A57" s="47" t="str">
        <f>IFERROR(INDEX('G-8 Condition Look up'!$I$4:$I$130,MATCH(F57,'G-8 Condition Look up'!$A$4:$A$130,0)),"")</f>
        <v/>
      </c>
      <c r="C57" s="384" t="str">
        <f>IFERROR(INDEX('G-1 All Habitats'!$AG$3:$AG$15,MATCH(D57,'G-1 All Habitats'!$AF$3:$AF$15,0)),"")</f>
        <v/>
      </c>
      <c r="D57" s="146"/>
      <c r="E57" s="79"/>
      <c r="F57" s="246" t="str">
        <f>IFERROR(INDEX('G-1 All Habitats'!$B$3:$B$129,MATCH(E57,'G-1 All Habitats'!$A$3:$A$129,0)),"")</f>
        <v/>
      </c>
      <c r="G57" s="70"/>
      <c r="H57" s="498" t="str">
        <f>IF(F57="","",VLOOKUP(F57,'G-1 All Habitats'!$B$2:$M$129,10,FALSE))</f>
        <v/>
      </c>
      <c r="I57" s="499" t="str">
        <f>IFERROR(VLOOKUP(H57,'G-1 All Habitats'!$V$3:$W$7,2,FALSE),"")</f>
        <v/>
      </c>
      <c r="J57" s="71"/>
      <c r="K57" s="499" t="str">
        <f>IFERROR(INDEX('G-8 Condition Look up'!$A$3:$H$130,MATCH(F57,'G-8 Condition Look up'!$A$3:$A$130,0),MATCH(J57,'G-8 Condition Look up'!$A$3:$H$3,0)),"")</f>
        <v/>
      </c>
      <c r="L57" s="71"/>
      <c r="M57" s="507" t="str">
        <f>IF(L57="","",IF(VLOOKUP(L57,'G-3 Multipliers'!$L$3:$N$6,2,FALSE)=0,"Spatial Data Missing",VLOOKUP(L57,'G-3 Multipliers'!$L$3:$N$6,2,FALSE)))</f>
        <v/>
      </c>
      <c r="N57" s="505" t="str">
        <f>IF(L57="","",IF(VLOOKUP(L57,'G-3 Multipliers'!$L$3:$N$6,3,FALSE)=0,"Spatial Data Missing",VLOOKUP(L57,'G-3 Multipliers'!$L$3:$N$6,3,FALSE)))</f>
        <v/>
      </c>
      <c r="O57" s="498" t="str">
        <f t="shared" si="0"/>
        <v/>
      </c>
      <c r="P57" s="82"/>
      <c r="Q57" s="82"/>
      <c r="R57" s="507" t="str">
        <f t="shared" si="2"/>
        <v/>
      </c>
      <c r="S57" s="521" t="str">
        <f t="shared" si="3"/>
        <v/>
      </c>
      <c r="T57" s="522" t="str">
        <f>IFERROR(IF(S57="Check Data ⚠","Check Data ⚠",VLOOKUP(S57,'G-4 Temporal multipliers'!$A$4:$C$37,3,FALSE)),"")</f>
        <v/>
      </c>
      <c r="U57" s="523" t="str">
        <f>IF(F57="","",VLOOKUP(F57,'G-3 Multipliers'!$A$2:$E$129,2,FALSE))</f>
        <v/>
      </c>
      <c r="V57" s="520" t="str">
        <f t="shared" si="4"/>
        <v/>
      </c>
      <c r="W57" s="520" t="str">
        <f>IF(E57="","",IF(AND(V57="Standard difficulty applied",O57&gt;P57),U57,IF(AND(V57="Low Difficulty - only applicable if all habitat created before losses",P57&gt;=O57),"Low",VLOOKUP(F57,'G-3 Multipliers'!$A$2:$E$129,4,FALSE))))</f>
        <v/>
      </c>
      <c r="X57" s="524" t="str">
        <f>IFERROR(IF(E57="","",VLOOKUP(W57, 'G-3 Multipliers'!$P$2:$Q$6,2,FALSE)),"")</f>
        <v/>
      </c>
      <c r="Y57" s="529" t="str">
        <f t="shared" si="5"/>
        <v/>
      </c>
      <c r="Z57" s="239"/>
      <c r="AA57" s="240"/>
      <c r="AE57" s="54" t="str">
        <f t="shared" si="1"/>
        <v/>
      </c>
    </row>
    <row r="58" spans="1:31" x14ac:dyDescent="0.3">
      <c r="A58" s="47" t="str">
        <f>IFERROR(INDEX('G-8 Condition Look up'!$I$4:$I$130,MATCH(F58,'G-8 Condition Look up'!$A$4:$A$130,0)),"")</f>
        <v/>
      </c>
      <c r="C58" s="384" t="str">
        <f>IFERROR(INDEX('G-1 All Habitats'!$AG$3:$AG$15,MATCH(D58,'G-1 All Habitats'!$AF$3:$AF$15,0)),"")</f>
        <v/>
      </c>
      <c r="D58" s="146"/>
      <c r="E58" s="79"/>
      <c r="F58" s="246" t="str">
        <f>IFERROR(INDEX('G-1 All Habitats'!$B$3:$B$129,MATCH(E58,'G-1 All Habitats'!$A$3:$A$129,0)),"")</f>
        <v/>
      </c>
      <c r="G58" s="70"/>
      <c r="H58" s="498" t="str">
        <f>IF(F58="","",VLOOKUP(F58,'G-1 All Habitats'!$B$2:$M$129,10,FALSE))</f>
        <v/>
      </c>
      <c r="I58" s="499" t="str">
        <f>IFERROR(VLOOKUP(H58,'G-1 All Habitats'!$V$3:$W$7,2,FALSE),"")</f>
        <v/>
      </c>
      <c r="J58" s="71"/>
      <c r="K58" s="499" t="str">
        <f>IFERROR(INDEX('G-8 Condition Look up'!$A$3:$H$130,MATCH(F58,'G-8 Condition Look up'!$A$3:$A$130,0),MATCH(J58,'G-8 Condition Look up'!$A$3:$H$3,0)),"")</f>
        <v/>
      </c>
      <c r="L58" s="71"/>
      <c r="M58" s="507" t="str">
        <f>IF(L58="","",IF(VLOOKUP(L58,'G-3 Multipliers'!$L$3:$N$6,2,FALSE)=0,"Spatial Data Missing",VLOOKUP(L58,'G-3 Multipliers'!$L$3:$N$6,2,FALSE)))</f>
        <v/>
      </c>
      <c r="N58" s="505" t="str">
        <f>IF(L58="","",IF(VLOOKUP(L58,'G-3 Multipliers'!$L$3:$N$6,3,FALSE)=0,"Spatial Data Missing",VLOOKUP(L58,'G-3 Multipliers'!$L$3:$N$6,3,FALSE)))</f>
        <v/>
      </c>
      <c r="O58" s="498" t="str">
        <f t="shared" si="0"/>
        <v/>
      </c>
      <c r="P58" s="82"/>
      <c r="Q58" s="82"/>
      <c r="R58" s="507" t="str">
        <f t="shared" si="2"/>
        <v/>
      </c>
      <c r="S58" s="521" t="str">
        <f t="shared" si="3"/>
        <v/>
      </c>
      <c r="T58" s="522" t="str">
        <f>IFERROR(IF(S58="Check Data ⚠","Check Data ⚠",VLOOKUP(S58,'G-4 Temporal multipliers'!$A$4:$C$37,3,FALSE)),"")</f>
        <v/>
      </c>
      <c r="U58" s="523" t="str">
        <f>IF(F58="","",VLOOKUP(F58,'G-3 Multipliers'!$A$2:$E$129,2,FALSE))</f>
        <v/>
      </c>
      <c r="V58" s="520" t="str">
        <f t="shared" si="4"/>
        <v/>
      </c>
      <c r="W58" s="520" t="str">
        <f>IF(E58="","",IF(AND(V58="Standard difficulty applied",O58&gt;P58),U58,IF(AND(V58="Low Difficulty - only applicable if all habitat created before losses",P58&gt;=O58),"Low",VLOOKUP(F58,'G-3 Multipliers'!$A$2:$E$129,4,FALSE))))</f>
        <v/>
      </c>
      <c r="X58" s="524" t="str">
        <f>IFERROR(IF(E58="","",VLOOKUP(W58, 'G-3 Multipliers'!$P$2:$Q$6,2,FALSE)),"")</f>
        <v/>
      </c>
      <c r="Y58" s="529" t="str">
        <f t="shared" si="5"/>
        <v/>
      </c>
      <c r="Z58" s="239"/>
      <c r="AA58" s="240"/>
      <c r="AE58" s="54" t="str">
        <f t="shared" si="1"/>
        <v/>
      </c>
    </row>
    <row r="59" spans="1:31" x14ac:dyDescent="0.3">
      <c r="A59" s="47" t="str">
        <f>IFERROR(INDEX('G-8 Condition Look up'!$I$4:$I$130,MATCH(F59,'G-8 Condition Look up'!$A$4:$A$130,0)),"")</f>
        <v/>
      </c>
      <c r="C59" s="384" t="str">
        <f>IFERROR(INDEX('G-1 All Habitats'!$AG$3:$AG$15,MATCH(D59,'G-1 All Habitats'!$AF$3:$AF$15,0)),"")</f>
        <v/>
      </c>
      <c r="D59" s="146"/>
      <c r="E59" s="79"/>
      <c r="F59" s="246" t="str">
        <f>IFERROR(INDEX('G-1 All Habitats'!$B$3:$B$129,MATCH(E59,'G-1 All Habitats'!$A$3:$A$129,0)),"")</f>
        <v/>
      </c>
      <c r="G59" s="70"/>
      <c r="H59" s="498" t="str">
        <f>IF(F59="","",VLOOKUP(F59,'G-1 All Habitats'!$B$2:$M$129,10,FALSE))</f>
        <v/>
      </c>
      <c r="I59" s="499" t="str">
        <f>IFERROR(VLOOKUP(H59,'G-1 All Habitats'!$V$3:$W$7,2,FALSE),"")</f>
        <v/>
      </c>
      <c r="J59" s="71"/>
      <c r="K59" s="499" t="str">
        <f>IFERROR(INDEX('G-8 Condition Look up'!$A$3:$H$130,MATCH(F59,'G-8 Condition Look up'!$A$3:$A$130,0),MATCH(J59,'G-8 Condition Look up'!$A$3:$H$3,0)),"")</f>
        <v/>
      </c>
      <c r="L59" s="71"/>
      <c r="M59" s="507" t="str">
        <f>IF(L59="","",IF(VLOOKUP(L59,'G-3 Multipliers'!$L$3:$N$6,2,FALSE)=0,"Spatial Data Missing",VLOOKUP(L59,'G-3 Multipliers'!$L$3:$N$6,2,FALSE)))</f>
        <v/>
      </c>
      <c r="N59" s="505" t="str">
        <f>IF(L59="","",IF(VLOOKUP(L59,'G-3 Multipliers'!$L$3:$N$6,3,FALSE)=0,"Spatial Data Missing",VLOOKUP(L59,'G-3 Multipliers'!$L$3:$N$6,3,FALSE)))</f>
        <v/>
      </c>
      <c r="O59" s="498" t="str">
        <f t="shared" si="0"/>
        <v/>
      </c>
      <c r="P59" s="82"/>
      <c r="Q59" s="82"/>
      <c r="R59" s="507" t="str">
        <f t="shared" si="2"/>
        <v/>
      </c>
      <c r="S59" s="521" t="str">
        <f t="shared" si="3"/>
        <v/>
      </c>
      <c r="T59" s="522" t="str">
        <f>IFERROR(IF(S59="Check Data ⚠","Check Data ⚠",VLOOKUP(S59,'G-4 Temporal multipliers'!$A$4:$C$37,3,FALSE)),"")</f>
        <v/>
      </c>
      <c r="U59" s="523" t="str">
        <f>IF(F59="","",VLOOKUP(F59,'G-3 Multipliers'!$A$2:$E$129,2,FALSE))</f>
        <v/>
      </c>
      <c r="V59" s="520" t="str">
        <f t="shared" si="4"/>
        <v/>
      </c>
      <c r="W59" s="520" t="str">
        <f>IF(E59="","",IF(AND(V59="Standard difficulty applied",O59&gt;P59),U59,IF(AND(V59="Low Difficulty - only applicable if all habitat created before losses",P59&gt;=O59),"Low",VLOOKUP(F59,'G-3 Multipliers'!$A$2:$E$129,4,FALSE))))</f>
        <v/>
      </c>
      <c r="X59" s="524" t="str">
        <f>IFERROR(IF(E59="","",VLOOKUP(W59, 'G-3 Multipliers'!$P$2:$Q$6,2,FALSE)),"")</f>
        <v/>
      </c>
      <c r="Y59" s="529" t="str">
        <f t="shared" si="5"/>
        <v/>
      </c>
      <c r="Z59" s="239"/>
      <c r="AA59" s="240"/>
      <c r="AE59" s="54" t="str">
        <f t="shared" si="1"/>
        <v/>
      </c>
    </row>
    <row r="60" spans="1:31" x14ac:dyDescent="0.3">
      <c r="A60" s="47" t="str">
        <f>IFERROR(INDEX('G-8 Condition Look up'!$I$4:$I$130,MATCH(F60,'G-8 Condition Look up'!$A$4:$A$130,0)),"")</f>
        <v/>
      </c>
      <c r="C60" s="384" t="str">
        <f>IFERROR(INDEX('G-1 All Habitats'!$AG$3:$AG$15,MATCH(D60,'G-1 All Habitats'!$AF$3:$AF$15,0)),"")</f>
        <v/>
      </c>
      <c r="D60" s="146"/>
      <c r="E60" s="79"/>
      <c r="F60" s="246" t="str">
        <f>IFERROR(INDEX('G-1 All Habitats'!$B$3:$B$129,MATCH(E60,'G-1 All Habitats'!$A$3:$A$129,0)),"")</f>
        <v/>
      </c>
      <c r="G60" s="70"/>
      <c r="H60" s="498" t="str">
        <f>IF(F60="","",VLOOKUP(F60,'G-1 All Habitats'!$B$2:$M$129,10,FALSE))</f>
        <v/>
      </c>
      <c r="I60" s="499" t="str">
        <f>IFERROR(VLOOKUP(H60,'G-1 All Habitats'!$V$3:$W$7,2,FALSE),"")</f>
        <v/>
      </c>
      <c r="J60" s="71"/>
      <c r="K60" s="499" t="str">
        <f>IFERROR(INDEX('G-8 Condition Look up'!$A$3:$H$130,MATCH(F60,'G-8 Condition Look up'!$A$3:$A$130,0),MATCH(J60,'G-8 Condition Look up'!$A$3:$H$3,0)),"")</f>
        <v/>
      </c>
      <c r="L60" s="71"/>
      <c r="M60" s="507" t="str">
        <f>IF(L60="","",IF(VLOOKUP(L60,'G-3 Multipliers'!$L$3:$N$6,2,FALSE)=0,"Spatial Data Missing",VLOOKUP(L60,'G-3 Multipliers'!$L$3:$N$6,2,FALSE)))</f>
        <v/>
      </c>
      <c r="N60" s="505" t="str">
        <f>IF(L60="","",IF(VLOOKUP(L60,'G-3 Multipliers'!$L$3:$N$6,3,FALSE)=0,"Spatial Data Missing",VLOOKUP(L60,'G-3 Multipliers'!$L$3:$N$6,3,FALSE)))</f>
        <v/>
      </c>
      <c r="O60" s="498" t="str">
        <f t="shared" si="0"/>
        <v/>
      </c>
      <c r="P60" s="82"/>
      <c r="Q60" s="82"/>
      <c r="R60" s="507" t="str">
        <f t="shared" si="2"/>
        <v/>
      </c>
      <c r="S60" s="521" t="str">
        <f t="shared" si="3"/>
        <v/>
      </c>
      <c r="T60" s="522" t="str">
        <f>IFERROR(IF(S60="Check Data ⚠","Check Data ⚠",VLOOKUP(S60,'G-4 Temporal multipliers'!$A$4:$C$37,3,FALSE)),"")</f>
        <v/>
      </c>
      <c r="U60" s="523" t="str">
        <f>IF(F60="","",VLOOKUP(F60,'G-3 Multipliers'!$A$2:$E$129,2,FALSE))</f>
        <v/>
      </c>
      <c r="V60" s="520" t="str">
        <f t="shared" si="4"/>
        <v/>
      </c>
      <c r="W60" s="520" t="str">
        <f>IF(E60="","",IF(AND(V60="Standard difficulty applied",O60&gt;P60),U60,IF(AND(V60="Low Difficulty - only applicable if all habitat created before losses",P60&gt;=O60),"Low",VLOOKUP(F60,'G-3 Multipliers'!$A$2:$E$129,4,FALSE))))</f>
        <v/>
      </c>
      <c r="X60" s="524" t="str">
        <f>IFERROR(IF(E60="","",VLOOKUP(W60, 'G-3 Multipliers'!$P$2:$Q$6,2,FALSE)),"")</f>
        <v/>
      </c>
      <c r="Y60" s="529" t="str">
        <f t="shared" si="5"/>
        <v/>
      </c>
      <c r="Z60" s="239"/>
      <c r="AA60" s="240"/>
      <c r="AE60" s="54" t="str">
        <f t="shared" si="1"/>
        <v/>
      </c>
    </row>
    <row r="61" spans="1:31" x14ac:dyDescent="0.3">
      <c r="A61" s="47" t="str">
        <f>IFERROR(INDEX('G-8 Condition Look up'!$I$4:$I$130,MATCH(F61,'G-8 Condition Look up'!$A$4:$A$130,0)),"")</f>
        <v/>
      </c>
      <c r="C61" s="384" t="str">
        <f>IFERROR(INDEX('G-1 All Habitats'!$AG$3:$AG$15,MATCH(D61,'G-1 All Habitats'!$AF$3:$AF$15,0)),"")</f>
        <v/>
      </c>
      <c r="D61" s="146"/>
      <c r="E61" s="79"/>
      <c r="F61" s="246" t="str">
        <f>IFERROR(INDEX('G-1 All Habitats'!$B$3:$B$129,MATCH(E61,'G-1 All Habitats'!$A$3:$A$129,0)),"")</f>
        <v/>
      </c>
      <c r="G61" s="70"/>
      <c r="H61" s="498" t="str">
        <f>IF(F61="","",VLOOKUP(F61,'G-1 All Habitats'!$B$2:$M$129,10,FALSE))</f>
        <v/>
      </c>
      <c r="I61" s="499" t="str">
        <f>IFERROR(VLOOKUP(H61,'G-1 All Habitats'!$V$3:$W$7,2,FALSE),"")</f>
        <v/>
      </c>
      <c r="J61" s="71"/>
      <c r="K61" s="499" t="str">
        <f>IFERROR(INDEX('G-8 Condition Look up'!$A$3:$H$130,MATCH(F61,'G-8 Condition Look up'!$A$3:$A$130,0),MATCH(J61,'G-8 Condition Look up'!$A$3:$H$3,0)),"")</f>
        <v/>
      </c>
      <c r="L61" s="71"/>
      <c r="M61" s="507" t="str">
        <f>IF(L61="","",IF(VLOOKUP(L61,'G-3 Multipliers'!$L$3:$N$6,2,FALSE)=0,"Spatial Data Missing",VLOOKUP(L61,'G-3 Multipliers'!$L$3:$N$6,2,FALSE)))</f>
        <v/>
      </c>
      <c r="N61" s="505" t="str">
        <f>IF(L61="","",IF(VLOOKUP(L61,'G-3 Multipliers'!$L$3:$N$6,3,FALSE)=0,"Spatial Data Missing",VLOOKUP(L61,'G-3 Multipliers'!$L$3:$N$6,3,FALSE)))</f>
        <v/>
      </c>
      <c r="O61" s="498" t="str">
        <f t="shared" si="0"/>
        <v/>
      </c>
      <c r="P61" s="82"/>
      <c r="Q61" s="82"/>
      <c r="R61" s="507" t="str">
        <f t="shared" si="2"/>
        <v/>
      </c>
      <c r="S61" s="521" t="str">
        <f t="shared" si="3"/>
        <v/>
      </c>
      <c r="T61" s="522" t="str">
        <f>IFERROR(IF(S61="Check Data ⚠","Check Data ⚠",VLOOKUP(S61,'G-4 Temporal multipliers'!$A$4:$C$37,3,FALSE)),"")</f>
        <v/>
      </c>
      <c r="U61" s="523" t="str">
        <f>IF(F61="","",VLOOKUP(F61,'G-3 Multipliers'!$A$2:$E$129,2,FALSE))</f>
        <v/>
      </c>
      <c r="V61" s="520" t="str">
        <f t="shared" si="4"/>
        <v/>
      </c>
      <c r="W61" s="520" t="str">
        <f>IF(E61="","",IF(AND(V61="Standard difficulty applied",O61&gt;P61),U61,IF(AND(V61="Low Difficulty - only applicable if all habitat created before losses",P61&gt;=O61),"Low",VLOOKUP(F61,'G-3 Multipliers'!$A$2:$E$129,4,FALSE))))</f>
        <v/>
      </c>
      <c r="X61" s="524" t="str">
        <f>IFERROR(IF(E61="","",VLOOKUP(W61, 'G-3 Multipliers'!$P$2:$Q$6,2,FALSE)),"")</f>
        <v/>
      </c>
      <c r="Y61" s="529" t="str">
        <f t="shared" si="5"/>
        <v/>
      </c>
      <c r="Z61" s="239"/>
      <c r="AA61" s="240"/>
      <c r="AE61" s="54" t="str">
        <f t="shared" si="1"/>
        <v/>
      </c>
    </row>
    <row r="62" spans="1:31" x14ac:dyDescent="0.3">
      <c r="A62" s="47" t="str">
        <f>IFERROR(INDEX('G-8 Condition Look up'!$I$4:$I$130,MATCH(F62,'G-8 Condition Look up'!$A$4:$A$130,0)),"")</f>
        <v/>
      </c>
      <c r="C62" s="384" t="str">
        <f>IFERROR(INDEX('G-1 All Habitats'!$AG$3:$AG$15,MATCH(D62,'G-1 All Habitats'!$AF$3:$AF$15,0)),"")</f>
        <v/>
      </c>
      <c r="D62" s="146"/>
      <c r="E62" s="79"/>
      <c r="F62" s="246" t="str">
        <f>IFERROR(INDEX('G-1 All Habitats'!$B$3:$B$129,MATCH(E62,'G-1 All Habitats'!$A$3:$A$129,0)),"")</f>
        <v/>
      </c>
      <c r="G62" s="70"/>
      <c r="H62" s="498" t="str">
        <f>IF(F62="","",VLOOKUP(F62,'G-1 All Habitats'!$B$2:$M$129,10,FALSE))</f>
        <v/>
      </c>
      <c r="I62" s="499" t="str">
        <f>IFERROR(VLOOKUP(H62,'G-1 All Habitats'!$V$3:$W$7,2,FALSE),"")</f>
        <v/>
      </c>
      <c r="J62" s="71"/>
      <c r="K62" s="499" t="str">
        <f>IFERROR(INDEX('G-8 Condition Look up'!$A$3:$H$130,MATCH(F62,'G-8 Condition Look up'!$A$3:$A$130,0),MATCH(J62,'G-8 Condition Look up'!$A$3:$H$3,0)),"")</f>
        <v/>
      </c>
      <c r="L62" s="71"/>
      <c r="M62" s="507" t="str">
        <f>IF(L62="","",IF(VLOOKUP(L62,'G-3 Multipliers'!$L$3:$N$6,2,FALSE)=0,"Spatial Data Missing",VLOOKUP(L62,'G-3 Multipliers'!$L$3:$N$6,2,FALSE)))</f>
        <v/>
      </c>
      <c r="N62" s="505" t="str">
        <f>IF(L62="","",IF(VLOOKUP(L62,'G-3 Multipliers'!$L$3:$N$6,3,FALSE)=0,"Spatial Data Missing",VLOOKUP(L62,'G-3 Multipliers'!$L$3:$N$6,3,FALSE)))</f>
        <v/>
      </c>
      <c r="O62" s="498" t="str">
        <f t="shared" si="0"/>
        <v/>
      </c>
      <c r="P62" s="82"/>
      <c r="Q62" s="82"/>
      <c r="R62" s="507" t="str">
        <f t="shared" si="2"/>
        <v/>
      </c>
      <c r="S62" s="521" t="str">
        <f t="shared" si="3"/>
        <v/>
      </c>
      <c r="T62" s="522" t="str">
        <f>IFERROR(IF(S62="Check Data ⚠","Check Data ⚠",VLOOKUP(S62,'G-4 Temporal multipliers'!$A$4:$C$37,3,FALSE)),"")</f>
        <v/>
      </c>
      <c r="U62" s="523" t="str">
        <f>IF(F62="","",VLOOKUP(F62,'G-3 Multipliers'!$A$2:$E$129,2,FALSE))</f>
        <v/>
      </c>
      <c r="V62" s="520" t="str">
        <f t="shared" si="4"/>
        <v/>
      </c>
      <c r="W62" s="520" t="str">
        <f>IF(E62="","",IF(AND(V62="Standard difficulty applied",O62&gt;P62),U62,IF(AND(V62="Low Difficulty - only applicable if all habitat created before losses",P62&gt;=O62),"Low",VLOOKUP(F62,'G-3 Multipliers'!$A$2:$E$129,4,FALSE))))</f>
        <v/>
      </c>
      <c r="X62" s="524" t="str">
        <f>IFERROR(IF(E62="","",VLOOKUP(W62, 'G-3 Multipliers'!$P$2:$Q$6,2,FALSE)),"")</f>
        <v/>
      </c>
      <c r="Y62" s="529" t="str">
        <f t="shared" si="5"/>
        <v/>
      </c>
      <c r="Z62" s="239"/>
      <c r="AA62" s="240"/>
      <c r="AE62" s="54" t="str">
        <f t="shared" si="1"/>
        <v/>
      </c>
    </row>
    <row r="63" spans="1:31" x14ac:dyDescent="0.3">
      <c r="A63" s="47" t="str">
        <f>IFERROR(INDEX('G-8 Condition Look up'!$I$4:$I$130,MATCH(F63,'G-8 Condition Look up'!$A$4:$A$130,0)),"")</f>
        <v/>
      </c>
      <c r="C63" s="384" t="str">
        <f>IFERROR(INDEX('G-1 All Habitats'!$AG$3:$AG$15,MATCH(D63,'G-1 All Habitats'!$AF$3:$AF$15,0)),"")</f>
        <v/>
      </c>
      <c r="D63" s="146"/>
      <c r="E63" s="79"/>
      <c r="F63" s="246" t="str">
        <f>IFERROR(INDEX('G-1 All Habitats'!$B$3:$B$129,MATCH(E63,'G-1 All Habitats'!$A$3:$A$129,0)),"")</f>
        <v/>
      </c>
      <c r="G63" s="70"/>
      <c r="H63" s="498" t="str">
        <f>IF(F63="","",VLOOKUP(F63,'G-1 All Habitats'!$B$2:$M$129,10,FALSE))</f>
        <v/>
      </c>
      <c r="I63" s="499" t="str">
        <f>IFERROR(VLOOKUP(H63,'G-1 All Habitats'!$V$3:$W$7,2,FALSE),"")</f>
        <v/>
      </c>
      <c r="J63" s="71"/>
      <c r="K63" s="499" t="str">
        <f>IFERROR(INDEX('G-8 Condition Look up'!$A$3:$H$130,MATCH(F63,'G-8 Condition Look up'!$A$3:$A$130,0),MATCH(J63,'G-8 Condition Look up'!$A$3:$H$3,0)),"")</f>
        <v/>
      </c>
      <c r="L63" s="71"/>
      <c r="M63" s="507" t="str">
        <f>IF(L63="","",IF(VLOOKUP(L63,'G-3 Multipliers'!$L$3:$N$6,2,FALSE)=0,"Spatial Data Missing",VLOOKUP(L63,'G-3 Multipliers'!$L$3:$N$6,2,FALSE)))</f>
        <v/>
      </c>
      <c r="N63" s="505" t="str">
        <f>IF(L63="","",IF(VLOOKUP(L63,'G-3 Multipliers'!$L$3:$N$6,3,FALSE)=0,"Spatial Data Missing",VLOOKUP(L63,'G-3 Multipliers'!$L$3:$N$6,3,FALSE)))</f>
        <v/>
      </c>
      <c r="O63" s="498" t="str">
        <f t="shared" si="0"/>
        <v/>
      </c>
      <c r="P63" s="82"/>
      <c r="Q63" s="82"/>
      <c r="R63" s="507" t="str">
        <f t="shared" si="2"/>
        <v/>
      </c>
      <c r="S63" s="521" t="str">
        <f t="shared" si="3"/>
        <v/>
      </c>
      <c r="T63" s="522" t="str">
        <f>IFERROR(IF(S63="Check Data ⚠","Check Data ⚠",VLOOKUP(S63,'G-4 Temporal multipliers'!$A$4:$C$37,3,FALSE)),"")</f>
        <v/>
      </c>
      <c r="U63" s="523" t="str">
        <f>IF(F63="","",VLOOKUP(F63,'G-3 Multipliers'!$A$2:$E$129,2,FALSE))</f>
        <v/>
      </c>
      <c r="V63" s="520" t="str">
        <f t="shared" si="4"/>
        <v/>
      </c>
      <c r="W63" s="520" t="str">
        <f>IF(E63="","",IF(AND(V63="Standard difficulty applied",O63&gt;P63),U63,IF(AND(V63="Low Difficulty - only applicable if all habitat created before losses",P63&gt;=O63),"Low",VLOOKUP(F63,'G-3 Multipliers'!$A$2:$E$129,4,FALSE))))</f>
        <v/>
      </c>
      <c r="X63" s="524" t="str">
        <f>IFERROR(IF(E63="","",VLOOKUP(W63, 'G-3 Multipliers'!$P$2:$Q$6,2,FALSE)),"")</f>
        <v/>
      </c>
      <c r="Y63" s="529" t="str">
        <f t="shared" si="5"/>
        <v/>
      </c>
      <c r="Z63" s="239"/>
      <c r="AA63" s="240"/>
      <c r="AE63" s="54" t="str">
        <f t="shared" si="1"/>
        <v/>
      </c>
    </row>
    <row r="64" spans="1:31" x14ac:dyDescent="0.3">
      <c r="A64" s="47" t="str">
        <f>IFERROR(INDEX('G-8 Condition Look up'!$I$4:$I$130,MATCH(F64,'G-8 Condition Look up'!$A$4:$A$130,0)),"")</f>
        <v/>
      </c>
      <c r="C64" s="384" t="str">
        <f>IFERROR(INDEX('G-1 All Habitats'!$AG$3:$AG$15,MATCH(D64,'G-1 All Habitats'!$AF$3:$AF$15,0)),"")</f>
        <v/>
      </c>
      <c r="D64" s="146"/>
      <c r="E64" s="79"/>
      <c r="F64" s="246" t="str">
        <f>IFERROR(INDEX('G-1 All Habitats'!$B$3:$B$129,MATCH(E64,'G-1 All Habitats'!$A$3:$A$129,0)),"")</f>
        <v/>
      </c>
      <c r="G64" s="70"/>
      <c r="H64" s="498" t="str">
        <f>IF(F64="","",VLOOKUP(F64,'G-1 All Habitats'!$B$2:$M$129,10,FALSE))</f>
        <v/>
      </c>
      <c r="I64" s="499" t="str">
        <f>IFERROR(VLOOKUP(H64,'G-1 All Habitats'!$V$3:$W$7,2,FALSE),"")</f>
        <v/>
      </c>
      <c r="J64" s="71"/>
      <c r="K64" s="499" t="str">
        <f>IFERROR(INDEX('G-8 Condition Look up'!$A$3:$H$130,MATCH(F64,'G-8 Condition Look up'!$A$3:$A$130,0),MATCH(J64,'G-8 Condition Look up'!$A$3:$H$3,0)),"")</f>
        <v/>
      </c>
      <c r="L64" s="71"/>
      <c r="M64" s="507" t="str">
        <f>IF(L64="","",IF(VLOOKUP(L64,'G-3 Multipliers'!$L$3:$N$6,2,FALSE)=0,"Spatial Data Missing",VLOOKUP(L64,'G-3 Multipliers'!$L$3:$N$6,2,FALSE)))</f>
        <v/>
      </c>
      <c r="N64" s="505" t="str">
        <f>IF(L64="","",IF(VLOOKUP(L64,'G-3 Multipliers'!$L$3:$N$6,3,FALSE)=0,"Spatial Data Missing",VLOOKUP(L64,'G-3 Multipliers'!$L$3:$N$6,3,FALSE)))</f>
        <v/>
      </c>
      <c r="O64" s="498" t="str">
        <f t="shared" si="0"/>
        <v/>
      </c>
      <c r="P64" s="82"/>
      <c r="Q64" s="82"/>
      <c r="R64" s="507" t="str">
        <f t="shared" si="2"/>
        <v/>
      </c>
      <c r="S64" s="521" t="str">
        <f t="shared" si="3"/>
        <v/>
      </c>
      <c r="T64" s="522" t="str">
        <f>IFERROR(IF(S64="Check Data ⚠","Check Data ⚠",VLOOKUP(S64,'G-4 Temporal multipliers'!$A$4:$C$37,3,FALSE)),"")</f>
        <v/>
      </c>
      <c r="U64" s="523" t="str">
        <f>IF(F64="","",VLOOKUP(F64,'G-3 Multipliers'!$A$2:$E$129,2,FALSE))</f>
        <v/>
      </c>
      <c r="V64" s="520" t="str">
        <f t="shared" si="4"/>
        <v/>
      </c>
      <c r="W64" s="520" t="str">
        <f>IF(E64="","",IF(AND(V64="Standard difficulty applied",O64&gt;P64),U64,IF(AND(V64="Low Difficulty - only applicable if all habitat created before losses",P64&gt;=O64),"Low",VLOOKUP(F64,'G-3 Multipliers'!$A$2:$E$129,4,FALSE))))</f>
        <v/>
      </c>
      <c r="X64" s="524" t="str">
        <f>IFERROR(IF(E64="","",VLOOKUP(W64, 'G-3 Multipliers'!$P$2:$Q$6,2,FALSE)),"")</f>
        <v/>
      </c>
      <c r="Y64" s="529" t="str">
        <f t="shared" si="5"/>
        <v/>
      </c>
      <c r="Z64" s="239"/>
      <c r="AA64" s="240"/>
      <c r="AE64" s="54" t="str">
        <f t="shared" si="1"/>
        <v/>
      </c>
    </row>
    <row r="65" spans="1:31" x14ac:dyDescent="0.3">
      <c r="A65" s="47" t="str">
        <f>IFERROR(INDEX('G-8 Condition Look up'!$I$4:$I$130,MATCH(F65,'G-8 Condition Look up'!$A$4:$A$130,0)),"")</f>
        <v/>
      </c>
      <c r="C65" s="384" t="str">
        <f>IFERROR(INDEX('G-1 All Habitats'!$AG$3:$AG$15,MATCH(D65,'G-1 All Habitats'!$AF$3:$AF$15,0)),"")</f>
        <v/>
      </c>
      <c r="D65" s="146"/>
      <c r="E65" s="79"/>
      <c r="F65" s="246" t="str">
        <f>IFERROR(INDEX('G-1 All Habitats'!$B$3:$B$129,MATCH(E65,'G-1 All Habitats'!$A$3:$A$129,0)),"")</f>
        <v/>
      </c>
      <c r="G65" s="70"/>
      <c r="H65" s="498" t="str">
        <f>IF(F65="","",VLOOKUP(F65,'G-1 All Habitats'!$B$2:$M$129,10,FALSE))</f>
        <v/>
      </c>
      <c r="I65" s="499" t="str">
        <f>IFERROR(VLOOKUP(H65,'G-1 All Habitats'!$V$3:$W$7,2,FALSE),"")</f>
        <v/>
      </c>
      <c r="J65" s="71"/>
      <c r="K65" s="499" t="str">
        <f>IFERROR(INDEX('G-8 Condition Look up'!$A$3:$H$130,MATCH(F65,'G-8 Condition Look up'!$A$3:$A$130,0),MATCH(J65,'G-8 Condition Look up'!$A$3:$H$3,0)),"")</f>
        <v/>
      </c>
      <c r="L65" s="71"/>
      <c r="M65" s="507" t="str">
        <f>IF(L65="","",IF(VLOOKUP(L65,'G-3 Multipliers'!$L$3:$N$6,2,FALSE)=0,"Spatial Data Missing",VLOOKUP(L65,'G-3 Multipliers'!$L$3:$N$6,2,FALSE)))</f>
        <v/>
      </c>
      <c r="N65" s="505" t="str">
        <f>IF(L65="","",IF(VLOOKUP(L65,'G-3 Multipliers'!$L$3:$N$6,3,FALSE)=0,"Spatial Data Missing",VLOOKUP(L65,'G-3 Multipliers'!$L$3:$N$6,3,FALSE)))</f>
        <v/>
      </c>
      <c r="O65" s="498" t="str">
        <f t="shared" si="0"/>
        <v/>
      </c>
      <c r="P65" s="82"/>
      <c r="Q65" s="82"/>
      <c r="R65" s="507" t="str">
        <f t="shared" si="2"/>
        <v/>
      </c>
      <c r="S65" s="521" t="str">
        <f t="shared" si="3"/>
        <v/>
      </c>
      <c r="T65" s="522" t="str">
        <f>IFERROR(IF(S65="Check Data ⚠","Check Data ⚠",VLOOKUP(S65,'G-4 Temporal multipliers'!$A$4:$C$37,3,FALSE)),"")</f>
        <v/>
      </c>
      <c r="U65" s="523" t="str">
        <f>IF(F65="","",VLOOKUP(F65,'G-3 Multipliers'!$A$2:$E$129,2,FALSE))</f>
        <v/>
      </c>
      <c r="V65" s="520" t="str">
        <f t="shared" si="4"/>
        <v/>
      </c>
      <c r="W65" s="520" t="str">
        <f>IF(E65="","",IF(AND(V65="Standard difficulty applied",O65&gt;P65),U65,IF(AND(V65="Low Difficulty - only applicable if all habitat created before losses",P65&gt;=O65),"Low",VLOOKUP(F65,'G-3 Multipliers'!$A$2:$E$129,4,FALSE))))</f>
        <v/>
      </c>
      <c r="X65" s="524" t="str">
        <f>IFERROR(IF(E65="","",VLOOKUP(W65, 'G-3 Multipliers'!$P$2:$Q$6,2,FALSE)),"")</f>
        <v/>
      </c>
      <c r="Y65" s="529" t="str">
        <f t="shared" si="5"/>
        <v/>
      </c>
      <c r="Z65" s="239"/>
      <c r="AA65" s="240"/>
      <c r="AE65" s="54" t="str">
        <f t="shared" si="1"/>
        <v/>
      </c>
    </row>
    <row r="66" spans="1:31" x14ac:dyDescent="0.3">
      <c r="A66" s="47" t="str">
        <f>IFERROR(INDEX('G-8 Condition Look up'!$I$4:$I$130,MATCH(F66,'G-8 Condition Look up'!$A$4:$A$130,0)),"")</f>
        <v/>
      </c>
      <c r="C66" s="384" t="str">
        <f>IFERROR(INDEX('G-1 All Habitats'!$AG$3:$AG$15,MATCH(D66,'G-1 All Habitats'!$AF$3:$AF$15,0)),"")</f>
        <v/>
      </c>
      <c r="D66" s="146"/>
      <c r="E66" s="79"/>
      <c r="F66" s="246" t="str">
        <f>IFERROR(INDEX('G-1 All Habitats'!$B$3:$B$129,MATCH(E66,'G-1 All Habitats'!$A$3:$A$129,0)),"")</f>
        <v/>
      </c>
      <c r="G66" s="70"/>
      <c r="H66" s="498" t="str">
        <f>IF(F66="","",VLOOKUP(F66,'G-1 All Habitats'!$B$2:$M$129,10,FALSE))</f>
        <v/>
      </c>
      <c r="I66" s="499" t="str">
        <f>IFERROR(VLOOKUP(H66,'G-1 All Habitats'!$V$3:$W$7,2,FALSE),"")</f>
        <v/>
      </c>
      <c r="J66" s="71"/>
      <c r="K66" s="499" t="str">
        <f>IFERROR(INDEX('G-8 Condition Look up'!$A$3:$H$130,MATCH(F66,'G-8 Condition Look up'!$A$3:$A$130,0),MATCH(J66,'G-8 Condition Look up'!$A$3:$H$3,0)),"")</f>
        <v/>
      </c>
      <c r="L66" s="71"/>
      <c r="M66" s="507" t="str">
        <f>IF(L66="","",IF(VLOOKUP(L66,'G-3 Multipliers'!$L$3:$N$6,2,FALSE)=0,"Spatial Data Missing",VLOOKUP(L66,'G-3 Multipliers'!$L$3:$N$6,2,FALSE)))</f>
        <v/>
      </c>
      <c r="N66" s="505" t="str">
        <f>IF(L66="","",IF(VLOOKUP(L66,'G-3 Multipliers'!$L$3:$N$6,3,FALSE)=0,"Spatial Data Missing",VLOOKUP(L66,'G-3 Multipliers'!$L$3:$N$6,3,FALSE)))</f>
        <v/>
      </c>
      <c r="O66" s="498" t="str">
        <f t="shared" si="0"/>
        <v/>
      </c>
      <c r="P66" s="82"/>
      <c r="Q66" s="82"/>
      <c r="R66" s="507" t="str">
        <f t="shared" si="2"/>
        <v/>
      </c>
      <c r="S66" s="521" t="str">
        <f t="shared" si="3"/>
        <v/>
      </c>
      <c r="T66" s="522" t="str">
        <f>IFERROR(IF(S66="Check Data ⚠","Check Data ⚠",VLOOKUP(S66,'G-4 Temporal multipliers'!$A$4:$C$37,3,FALSE)),"")</f>
        <v/>
      </c>
      <c r="U66" s="523" t="str">
        <f>IF(F66="","",VLOOKUP(F66,'G-3 Multipliers'!$A$2:$E$129,2,FALSE))</f>
        <v/>
      </c>
      <c r="V66" s="520" t="str">
        <f t="shared" si="4"/>
        <v/>
      </c>
      <c r="W66" s="520" t="str">
        <f>IF(E66="","",IF(AND(V66="Standard difficulty applied",O66&gt;P66),U66,IF(AND(V66="Low Difficulty - only applicable if all habitat created before losses",P66&gt;=O66),"Low",VLOOKUP(F66,'G-3 Multipliers'!$A$2:$E$129,4,FALSE))))</f>
        <v/>
      </c>
      <c r="X66" s="524" t="str">
        <f>IFERROR(IF(E66="","",VLOOKUP(W66, 'G-3 Multipliers'!$P$2:$Q$6,2,FALSE)),"")</f>
        <v/>
      </c>
      <c r="Y66" s="529" t="str">
        <f t="shared" si="5"/>
        <v/>
      </c>
      <c r="Z66" s="239"/>
      <c r="AA66" s="240"/>
      <c r="AE66" s="54" t="str">
        <f t="shared" si="1"/>
        <v/>
      </c>
    </row>
    <row r="67" spans="1:31" x14ac:dyDescent="0.3">
      <c r="A67" s="47" t="str">
        <f>IFERROR(INDEX('G-8 Condition Look up'!$I$4:$I$130,MATCH(F67,'G-8 Condition Look up'!$A$4:$A$130,0)),"")</f>
        <v/>
      </c>
      <c r="C67" s="384" t="str">
        <f>IFERROR(INDEX('G-1 All Habitats'!$AG$3:$AG$15,MATCH(D67,'G-1 All Habitats'!$AF$3:$AF$15,0)),"")</f>
        <v/>
      </c>
      <c r="D67" s="146"/>
      <c r="E67" s="79"/>
      <c r="F67" s="246" t="str">
        <f>IFERROR(INDEX('G-1 All Habitats'!$B$3:$B$129,MATCH(E67,'G-1 All Habitats'!$A$3:$A$129,0)),"")</f>
        <v/>
      </c>
      <c r="G67" s="70"/>
      <c r="H67" s="498" t="str">
        <f>IF(F67="","",VLOOKUP(F67,'G-1 All Habitats'!$B$2:$M$129,10,FALSE))</f>
        <v/>
      </c>
      <c r="I67" s="499" t="str">
        <f>IFERROR(VLOOKUP(H67,'G-1 All Habitats'!$V$3:$W$7,2,FALSE),"")</f>
        <v/>
      </c>
      <c r="J67" s="71"/>
      <c r="K67" s="499" t="str">
        <f>IFERROR(INDEX('G-8 Condition Look up'!$A$3:$H$130,MATCH(F67,'G-8 Condition Look up'!$A$3:$A$130,0),MATCH(J67,'G-8 Condition Look up'!$A$3:$H$3,0)),"")</f>
        <v/>
      </c>
      <c r="L67" s="71"/>
      <c r="M67" s="507" t="str">
        <f>IF(L67="","",IF(VLOOKUP(L67,'G-3 Multipliers'!$L$3:$N$6,2,FALSE)=0,"Spatial Data Missing",VLOOKUP(L67,'G-3 Multipliers'!$L$3:$N$6,2,FALSE)))</f>
        <v/>
      </c>
      <c r="N67" s="505" t="str">
        <f>IF(L67="","",IF(VLOOKUP(L67,'G-3 Multipliers'!$L$3:$N$6,3,FALSE)=0,"Spatial Data Missing",VLOOKUP(L67,'G-3 Multipliers'!$L$3:$N$6,3,FALSE)))</f>
        <v/>
      </c>
      <c r="O67" s="498" t="str">
        <f t="shared" si="0"/>
        <v/>
      </c>
      <c r="P67" s="82"/>
      <c r="Q67" s="82"/>
      <c r="R67" s="507" t="str">
        <f t="shared" si="2"/>
        <v/>
      </c>
      <c r="S67" s="521" t="str">
        <f t="shared" si="3"/>
        <v/>
      </c>
      <c r="T67" s="522" t="str">
        <f>IFERROR(IF(S67="Check Data ⚠","Check Data ⚠",VLOOKUP(S67,'G-4 Temporal multipliers'!$A$4:$C$37,3,FALSE)),"")</f>
        <v/>
      </c>
      <c r="U67" s="523" t="str">
        <f>IF(F67="","",VLOOKUP(F67,'G-3 Multipliers'!$A$2:$E$129,2,FALSE))</f>
        <v/>
      </c>
      <c r="V67" s="520" t="str">
        <f t="shared" si="4"/>
        <v/>
      </c>
      <c r="W67" s="520" t="str">
        <f>IF(E67="","",IF(AND(V67="Standard difficulty applied",O67&gt;P67),U67,IF(AND(V67="Low Difficulty - only applicable if all habitat created before losses",P67&gt;=O67),"Low",VLOOKUP(F67,'G-3 Multipliers'!$A$2:$E$129,4,FALSE))))</f>
        <v/>
      </c>
      <c r="X67" s="524" t="str">
        <f>IFERROR(IF(E67="","",VLOOKUP(W67, 'G-3 Multipliers'!$P$2:$Q$6,2,FALSE)),"")</f>
        <v/>
      </c>
      <c r="Y67" s="529" t="str">
        <f t="shared" si="5"/>
        <v/>
      </c>
      <c r="Z67" s="239"/>
      <c r="AA67" s="240"/>
      <c r="AE67" s="54" t="str">
        <f t="shared" si="1"/>
        <v/>
      </c>
    </row>
    <row r="68" spans="1:31" x14ac:dyDescent="0.3">
      <c r="A68" s="47" t="str">
        <f>IFERROR(INDEX('G-8 Condition Look up'!$I$4:$I$130,MATCH(F68,'G-8 Condition Look up'!$A$4:$A$130,0)),"")</f>
        <v/>
      </c>
      <c r="C68" s="384" t="str">
        <f>IFERROR(INDEX('G-1 All Habitats'!$AG$3:$AG$15,MATCH(D68,'G-1 All Habitats'!$AF$3:$AF$15,0)),"")</f>
        <v/>
      </c>
      <c r="D68" s="146"/>
      <c r="E68" s="79"/>
      <c r="F68" s="246" t="str">
        <f>IFERROR(INDEX('G-1 All Habitats'!$B$3:$B$129,MATCH(E68,'G-1 All Habitats'!$A$3:$A$129,0)),"")</f>
        <v/>
      </c>
      <c r="G68" s="70"/>
      <c r="H68" s="498" t="str">
        <f>IF(F68="","",VLOOKUP(F68,'G-1 All Habitats'!$B$2:$M$129,10,FALSE))</f>
        <v/>
      </c>
      <c r="I68" s="499" t="str">
        <f>IFERROR(VLOOKUP(H68,'G-1 All Habitats'!$V$3:$W$7,2,FALSE),"")</f>
        <v/>
      </c>
      <c r="J68" s="71"/>
      <c r="K68" s="499" t="str">
        <f>IFERROR(INDEX('G-8 Condition Look up'!$A$3:$H$130,MATCH(F68,'G-8 Condition Look up'!$A$3:$A$130,0),MATCH(J68,'G-8 Condition Look up'!$A$3:$H$3,0)),"")</f>
        <v/>
      </c>
      <c r="L68" s="71"/>
      <c r="M68" s="507" t="str">
        <f>IF(L68="","",IF(VLOOKUP(L68,'G-3 Multipliers'!$L$3:$N$6,2,FALSE)=0,"Spatial Data Missing",VLOOKUP(L68,'G-3 Multipliers'!$L$3:$N$6,2,FALSE)))</f>
        <v/>
      </c>
      <c r="N68" s="505" t="str">
        <f>IF(L68="","",IF(VLOOKUP(L68,'G-3 Multipliers'!$L$3:$N$6,3,FALSE)=0,"Spatial Data Missing",VLOOKUP(L68,'G-3 Multipliers'!$L$3:$N$6,3,FALSE)))</f>
        <v/>
      </c>
      <c r="O68" s="498" t="str">
        <f t="shared" si="0"/>
        <v/>
      </c>
      <c r="P68" s="82"/>
      <c r="Q68" s="82"/>
      <c r="R68" s="507" t="str">
        <f t="shared" si="2"/>
        <v/>
      </c>
      <c r="S68" s="521" t="str">
        <f t="shared" si="3"/>
        <v/>
      </c>
      <c r="T68" s="522" t="str">
        <f>IFERROR(IF(S68="Check Data ⚠","Check Data ⚠",VLOOKUP(S68,'G-4 Temporal multipliers'!$A$4:$C$37,3,FALSE)),"")</f>
        <v/>
      </c>
      <c r="U68" s="523" t="str">
        <f>IF(F68="","",VLOOKUP(F68,'G-3 Multipliers'!$A$2:$E$129,2,FALSE))</f>
        <v/>
      </c>
      <c r="V68" s="520" t="str">
        <f t="shared" si="4"/>
        <v/>
      </c>
      <c r="W68" s="520" t="str">
        <f>IF(E68="","",IF(AND(V68="Standard difficulty applied",O68&gt;P68),U68,IF(AND(V68="Low Difficulty - only applicable if all habitat created before losses",P68&gt;=O68),"Low",VLOOKUP(F68,'G-3 Multipliers'!$A$2:$E$129,4,FALSE))))</f>
        <v/>
      </c>
      <c r="X68" s="524" t="str">
        <f>IFERROR(IF(E68="","",VLOOKUP(W68, 'G-3 Multipliers'!$P$2:$Q$6,2,FALSE)),"")</f>
        <v/>
      </c>
      <c r="Y68" s="529" t="str">
        <f t="shared" si="5"/>
        <v/>
      </c>
      <c r="Z68" s="239"/>
      <c r="AA68" s="240"/>
      <c r="AE68" s="54" t="str">
        <f t="shared" si="1"/>
        <v/>
      </c>
    </row>
    <row r="69" spans="1:31" x14ac:dyDescent="0.3">
      <c r="A69" s="47" t="str">
        <f>IFERROR(INDEX('G-8 Condition Look up'!$I$4:$I$130,MATCH(F69,'G-8 Condition Look up'!$A$4:$A$130,0)),"")</f>
        <v/>
      </c>
      <c r="C69" s="384" t="str">
        <f>IFERROR(INDEX('G-1 All Habitats'!$AG$3:$AG$15,MATCH(D69,'G-1 All Habitats'!$AF$3:$AF$15,0)),"")</f>
        <v/>
      </c>
      <c r="D69" s="146"/>
      <c r="E69" s="79"/>
      <c r="F69" s="246" t="str">
        <f>IFERROR(INDEX('G-1 All Habitats'!$B$3:$B$129,MATCH(E69,'G-1 All Habitats'!$A$3:$A$129,0)),"")</f>
        <v/>
      </c>
      <c r="G69" s="70"/>
      <c r="H69" s="498" t="str">
        <f>IF(F69="","",VLOOKUP(F69,'G-1 All Habitats'!$B$2:$M$129,10,FALSE))</f>
        <v/>
      </c>
      <c r="I69" s="499" t="str">
        <f>IFERROR(VLOOKUP(H69,'G-1 All Habitats'!$V$3:$W$7,2,FALSE),"")</f>
        <v/>
      </c>
      <c r="J69" s="71"/>
      <c r="K69" s="499" t="str">
        <f>IFERROR(INDEX('G-8 Condition Look up'!$A$3:$H$130,MATCH(F69,'G-8 Condition Look up'!$A$3:$A$130,0),MATCH(J69,'G-8 Condition Look up'!$A$3:$H$3,0)),"")</f>
        <v/>
      </c>
      <c r="L69" s="71"/>
      <c r="M69" s="507" t="str">
        <f>IF(L69="","",IF(VLOOKUP(L69,'G-3 Multipliers'!$L$3:$N$6,2,FALSE)=0,"Spatial Data Missing",VLOOKUP(L69,'G-3 Multipliers'!$L$3:$N$6,2,FALSE)))</f>
        <v/>
      </c>
      <c r="N69" s="505" t="str">
        <f>IF(L69="","",IF(VLOOKUP(L69,'G-3 Multipliers'!$L$3:$N$6,3,FALSE)=0,"Spatial Data Missing",VLOOKUP(L69,'G-3 Multipliers'!$L$3:$N$6,3,FALSE)))</f>
        <v/>
      </c>
      <c r="O69" s="498" t="str">
        <f t="shared" si="0"/>
        <v/>
      </c>
      <c r="P69" s="82"/>
      <c r="Q69" s="82"/>
      <c r="R69" s="507" t="str">
        <f t="shared" si="2"/>
        <v/>
      </c>
      <c r="S69" s="521" t="str">
        <f t="shared" si="3"/>
        <v/>
      </c>
      <c r="T69" s="522" t="str">
        <f>IFERROR(IF(S69="Check Data ⚠","Check Data ⚠",VLOOKUP(S69,'G-4 Temporal multipliers'!$A$4:$C$37,3,FALSE)),"")</f>
        <v/>
      </c>
      <c r="U69" s="523" t="str">
        <f>IF(F69="","",VLOOKUP(F69,'G-3 Multipliers'!$A$2:$E$129,2,FALSE))</f>
        <v/>
      </c>
      <c r="V69" s="520" t="str">
        <f t="shared" si="4"/>
        <v/>
      </c>
      <c r="W69" s="520" t="str">
        <f>IF(E69="","",IF(AND(V69="Standard difficulty applied",O69&gt;P69),U69,IF(AND(V69="Low Difficulty - only applicable if all habitat created before losses",P69&gt;=O69),"Low",VLOOKUP(F69,'G-3 Multipliers'!$A$2:$E$129,4,FALSE))))</f>
        <v/>
      </c>
      <c r="X69" s="524" t="str">
        <f>IFERROR(IF(E69="","",VLOOKUP(W69, 'G-3 Multipliers'!$P$2:$Q$6,2,FALSE)),"")</f>
        <v/>
      </c>
      <c r="Y69" s="529" t="str">
        <f t="shared" si="5"/>
        <v/>
      </c>
      <c r="Z69" s="239"/>
      <c r="AA69" s="240"/>
      <c r="AE69" s="54" t="str">
        <f t="shared" si="1"/>
        <v/>
      </c>
    </row>
    <row r="70" spans="1:31" x14ac:dyDescent="0.3">
      <c r="A70" s="47" t="str">
        <f>IFERROR(INDEX('G-8 Condition Look up'!$I$4:$I$130,MATCH(F70,'G-8 Condition Look up'!$A$4:$A$130,0)),"")</f>
        <v/>
      </c>
      <c r="C70" s="384" t="str">
        <f>IFERROR(INDEX('G-1 All Habitats'!$AG$3:$AG$15,MATCH(D70,'G-1 All Habitats'!$AF$3:$AF$15,0)),"")</f>
        <v/>
      </c>
      <c r="D70" s="146"/>
      <c r="E70" s="79"/>
      <c r="F70" s="246" t="str">
        <f>IFERROR(INDEX('G-1 All Habitats'!$B$3:$B$129,MATCH(E70,'G-1 All Habitats'!$A$3:$A$129,0)),"")</f>
        <v/>
      </c>
      <c r="G70" s="70"/>
      <c r="H70" s="498" t="str">
        <f>IF(F70="","",VLOOKUP(F70,'G-1 All Habitats'!$B$2:$M$129,10,FALSE))</f>
        <v/>
      </c>
      <c r="I70" s="499" t="str">
        <f>IFERROR(VLOOKUP(H70,'G-1 All Habitats'!$V$3:$W$7,2,FALSE),"")</f>
        <v/>
      </c>
      <c r="J70" s="71"/>
      <c r="K70" s="499" t="str">
        <f>IFERROR(INDEX('G-8 Condition Look up'!$A$3:$H$130,MATCH(F70,'G-8 Condition Look up'!$A$3:$A$130,0),MATCH(J70,'G-8 Condition Look up'!$A$3:$H$3,0)),"")</f>
        <v/>
      </c>
      <c r="L70" s="71"/>
      <c r="M70" s="507" t="str">
        <f>IF(L70="","",IF(VLOOKUP(L70,'G-3 Multipliers'!$L$3:$N$6,2,FALSE)=0,"Spatial Data Missing",VLOOKUP(L70,'G-3 Multipliers'!$L$3:$N$6,2,FALSE)))</f>
        <v/>
      </c>
      <c r="N70" s="505" t="str">
        <f>IF(L70="","",IF(VLOOKUP(L70,'G-3 Multipliers'!$L$3:$N$6,3,FALSE)=0,"Spatial Data Missing",VLOOKUP(L70,'G-3 Multipliers'!$L$3:$N$6,3,FALSE)))</f>
        <v/>
      </c>
      <c r="O70" s="498" t="str">
        <f t="shared" si="0"/>
        <v/>
      </c>
      <c r="P70" s="82"/>
      <c r="Q70" s="82"/>
      <c r="R70" s="507" t="str">
        <f t="shared" si="2"/>
        <v/>
      </c>
      <c r="S70" s="521" t="str">
        <f t="shared" si="3"/>
        <v/>
      </c>
      <c r="T70" s="522" t="str">
        <f>IFERROR(IF(S70="Check Data ⚠","Check Data ⚠",VLOOKUP(S70,'G-4 Temporal multipliers'!$A$4:$C$37,3,FALSE)),"")</f>
        <v/>
      </c>
      <c r="U70" s="523" t="str">
        <f>IF(F70="","",VLOOKUP(F70,'G-3 Multipliers'!$A$2:$E$129,2,FALSE))</f>
        <v/>
      </c>
      <c r="V70" s="520" t="str">
        <f t="shared" si="4"/>
        <v/>
      </c>
      <c r="W70" s="520" t="str">
        <f>IF(E70="","",IF(AND(V70="Standard difficulty applied",O70&gt;P70),U70,IF(AND(V70="Low Difficulty - only applicable if all habitat created before losses",P70&gt;=O70),"Low",VLOOKUP(F70,'G-3 Multipliers'!$A$2:$E$129,4,FALSE))))</f>
        <v/>
      </c>
      <c r="X70" s="524" t="str">
        <f>IFERROR(IF(E70="","",VLOOKUP(W70, 'G-3 Multipliers'!$P$2:$Q$6,2,FALSE)),"")</f>
        <v/>
      </c>
      <c r="Y70" s="529" t="str">
        <f t="shared" si="5"/>
        <v/>
      </c>
      <c r="Z70" s="239"/>
      <c r="AA70" s="240"/>
      <c r="AE70" s="54" t="str">
        <f t="shared" si="1"/>
        <v/>
      </c>
    </row>
    <row r="71" spans="1:31" x14ac:dyDescent="0.3">
      <c r="A71" s="47" t="str">
        <f>IFERROR(INDEX('G-8 Condition Look up'!$I$4:$I$130,MATCH(F71,'G-8 Condition Look up'!$A$4:$A$130,0)),"")</f>
        <v/>
      </c>
      <c r="C71" s="384" t="str">
        <f>IFERROR(INDEX('G-1 All Habitats'!$AG$3:$AG$15,MATCH(D71,'G-1 All Habitats'!$AF$3:$AF$15,0)),"")</f>
        <v/>
      </c>
      <c r="D71" s="146"/>
      <c r="E71" s="79"/>
      <c r="F71" s="246" t="str">
        <f>IFERROR(INDEX('G-1 All Habitats'!$B$3:$B$129,MATCH(E71,'G-1 All Habitats'!$A$3:$A$129,0)),"")</f>
        <v/>
      </c>
      <c r="G71" s="70"/>
      <c r="H71" s="498" t="str">
        <f>IF(F71="","",VLOOKUP(F71,'G-1 All Habitats'!$B$2:$M$129,10,FALSE))</f>
        <v/>
      </c>
      <c r="I71" s="499" t="str">
        <f>IFERROR(VLOOKUP(H71,'G-1 All Habitats'!$V$3:$W$7,2,FALSE),"")</f>
        <v/>
      </c>
      <c r="J71" s="71"/>
      <c r="K71" s="499" t="str">
        <f>IFERROR(INDEX('G-8 Condition Look up'!$A$3:$H$130,MATCH(F71,'G-8 Condition Look up'!$A$3:$A$130,0),MATCH(J71,'G-8 Condition Look up'!$A$3:$H$3,0)),"")</f>
        <v/>
      </c>
      <c r="L71" s="71"/>
      <c r="M71" s="507" t="str">
        <f>IF(L71="","",IF(VLOOKUP(L71,'G-3 Multipliers'!$L$3:$N$6,2,FALSE)=0,"Spatial Data Missing",VLOOKUP(L71,'G-3 Multipliers'!$L$3:$N$6,2,FALSE)))</f>
        <v/>
      </c>
      <c r="N71" s="505" t="str">
        <f>IF(L71="","",IF(VLOOKUP(L71,'G-3 Multipliers'!$L$3:$N$6,3,FALSE)=0,"Spatial Data Missing",VLOOKUP(L71,'G-3 Multipliers'!$L$3:$N$6,3,FALSE)))</f>
        <v/>
      </c>
      <c r="O71" s="498" t="str">
        <f t="shared" si="0"/>
        <v/>
      </c>
      <c r="P71" s="82"/>
      <c r="Q71" s="82"/>
      <c r="R71" s="507" t="str">
        <f t="shared" si="2"/>
        <v/>
      </c>
      <c r="S71" s="521" t="str">
        <f t="shared" si="3"/>
        <v/>
      </c>
      <c r="T71" s="522" t="str">
        <f>IFERROR(IF(S71="Check Data ⚠","Check Data ⚠",VLOOKUP(S71,'G-4 Temporal multipliers'!$A$4:$C$37,3,FALSE)),"")</f>
        <v/>
      </c>
      <c r="U71" s="523" t="str">
        <f>IF(F71="","",VLOOKUP(F71,'G-3 Multipliers'!$A$2:$E$129,2,FALSE))</f>
        <v/>
      </c>
      <c r="V71" s="520" t="str">
        <f t="shared" si="4"/>
        <v/>
      </c>
      <c r="W71" s="520" t="str">
        <f>IF(E71="","",IF(AND(V71="Standard difficulty applied",O71&gt;P71),U71,IF(AND(V71="Low Difficulty - only applicable if all habitat created before losses",P71&gt;=O71),"Low",VLOOKUP(F71,'G-3 Multipliers'!$A$2:$E$129,4,FALSE))))</f>
        <v/>
      </c>
      <c r="X71" s="524" t="str">
        <f>IFERROR(IF(E71="","",VLOOKUP(W71, 'G-3 Multipliers'!$P$2:$Q$6,2,FALSE)),"")</f>
        <v/>
      </c>
      <c r="Y71" s="529" t="str">
        <f t="shared" si="5"/>
        <v/>
      </c>
      <c r="Z71" s="239"/>
      <c r="AA71" s="240"/>
      <c r="AE71" s="54" t="str">
        <f t="shared" si="1"/>
        <v/>
      </c>
    </row>
    <row r="72" spans="1:31" x14ac:dyDescent="0.3">
      <c r="A72" s="47" t="str">
        <f>IFERROR(INDEX('G-8 Condition Look up'!$I$4:$I$130,MATCH(F72,'G-8 Condition Look up'!$A$4:$A$130,0)),"")</f>
        <v/>
      </c>
      <c r="C72" s="384" t="str">
        <f>IFERROR(INDEX('G-1 All Habitats'!$AG$3:$AG$15,MATCH(D72,'G-1 All Habitats'!$AF$3:$AF$15,0)),"")</f>
        <v/>
      </c>
      <c r="D72" s="146"/>
      <c r="E72" s="79"/>
      <c r="F72" s="246" t="str">
        <f>IFERROR(INDEX('G-1 All Habitats'!$B$3:$B$129,MATCH(E72,'G-1 All Habitats'!$A$3:$A$129,0)),"")</f>
        <v/>
      </c>
      <c r="G72" s="70"/>
      <c r="H72" s="498" t="str">
        <f>IF(F72="","",VLOOKUP(F72,'G-1 All Habitats'!$B$2:$M$129,10,FALSE))</f>
        <v/>
      </c>
      <c r="I72" s="499" t="str">
        <f>IFERROR(VLOOKUP(H72,'G-1 All Habitats'!$V$3:$W$7,2,FALSE),"")</f>
        <v/>
      </c>
      <c r="J72" s="71"/>
      <c r="K72" s="499" t="str">
        <f>IFERROR(INDEX('G-8 Condition Look up'!$A$3:$H$130,MATCH(F72,'G-8 Condition Look up'!$A$3:$A$130,0),MATCH(J72,'G-8 Condition Look up'!$A$3:$H$3,0)),"")</f>
        <v/>
      </c>
      <c r="L72" s="71"/>
      <c r="M72" s="507" t="str">
        <f>IF(L72="","",IF(VLOOKUP(L72,'G-3 Multipliers'!$L$3:$N$6,2,FALSE)=0,"Spatial Data Missing",VLOOKUP(L72,'G-3 Multipliers'!$L$3:$N$6,2,FALSE)))</f>
        <v/>
      </c>
      <c r="N72" s="505" t="str">
        <f>IF(L72="","",IF(VLOOKUP(L72,'G-3 Multipliers'!$L$3:$N$6,3,FALSE)=0,"Spatial Data Missing",VLOOKUP(L72,'G-3 Multipliers'!$L$3:$N$6,3,FALSE)))</f>
        <v/>
      </c>
      <c r="O72" s="498" t="str">
        <f t="shared" si="0"/>
        <v/>
      </c>
      <c r="P72" s="82"/>
      <c r="Q72" s="82"/>
      <c r="R72" s="507" t="str">
        <f t="shared" si="2"/>
        <v/>
      </c>
      <c r="S72" s="521" t="str">
        <f t="shared" si="3"/>
        <v/>
      </c>
      <c r="T72" s="522" t="str">
        <f>IFERROR(IF(S72="Check Data ⚠","Check Data ⚠",VLOOKUP(S72,'G-4 Temporal multipliers'!$A$4:$C$37,3,FALSE)),"")</f>
        <v/>
      </c>
      <c r="U72" s="523" t="str">
        <f>IF(F72="","",VLOOKUP(F72,'G-3 Multipliers'!$A$2:$E$129,2,FALSE))</f>
        <v/>
      </c>
      <c r="V72" s="520" t="str">
        <f t="shared" si="4"/>
        <v/>
      </c>
      <c r="W72" s="520" t="str">
        <f>IF(E72="","",IF(AND(V72="Standard difficulty applied",O72&gt;P72),U72,IF(AND(V72="Low Difficulty - only applicable if all habitat created before losses",P72&gt;=O72),"Low",VLOOKUP(F72,'G-3 Multipliers'!$A$2:$E$129,4,FALSE))))</f>
        <v/>
      </c>
      <c r="X72" s="524" t="str">
        <f>IFERROR(IF(E72="","",VLOOKUP(W72, 'G-3 Multipliers'!$P$2:$Q$6,2,FALSE)),"")</f>
        <v/>
      </c>
      <c r="Y72" s="529" t="str">
        <f t="shared" si="5"/>
        <v/>
      </c>
      <c r="Z72" s="239"/>
      <c r="AA72" s="240"/>
      <c r="AE72" s="54" t="str">
        <f t="shared" si="1"/>
        <v/>
      </c>
    </row>
    <row r="73" spans="1:31" x14ac:dyDescent="0.3">
      <c r="A73" s="47" t="str">
        <f>IFERROR(INDEX('G-8 Condition Look up'!$I$4:$I$130,MATCH(F73,'G-8 Condition Look up'!$A$4:$A$130,0)),"")</f>
        <v/>
      </c>
      <c r="C73" s="384" t="str">
        <f>IFERROR(INDEX('G-1 All Habitats'!$AG$3:$AG$15,MATCH(D73,'G-1 All Habitats'!$AF$3:$AF$15,0)),"")</f>
        <v/>
      </c>
      <c r="D73" s="146"/>
      <c r="E73" s="79"/>
      <c r="F73" s="246" t="str">
        <f>IFERROR(INDEX('G-1 All Habitats'!$B$3:$B$129,MATCH(E73,'G-1 All Habitats'!$A$3:$A$129,0)),"")</f>
        <v/>
      </c>
      <c r="G73" s="70"/>
      <c r="H73" s="498" t="str">
        <f>IF(F73="","",VLOOKUP(F73,'G-1 All Habitats'!$B$2:$M$129,10,FALSE))</f>
        <v/>
      </c>
      <c r="I73" s="499" t="str">
        <f>IFERROR(VLOOKUP(H73,'G-1 All Habitats'!$V$3:$W$7,2,FALSE),"")</f>
        <v/>
      </c>
      <c r="J73" s="71"/>
      <c r="K73" s="499" t="str">
        <f>IFERROR(INDEX('G-8 Condition Look up'!$A$3:$H$130,MATCH(F73,'G-8 Condition Look up'!$A$3:$A$130,0),MATCH(J73,'G-8 Condition Look up'!$A$3:$H$3,0)),"")</f>
        <v/>
      </c>
      <c r="L73" s="71"/>
      <c r="M73" s="507" t="str">
        <f>IF(L73="","",IF(VLOOKUP(L73,'G-3 Multipliers'!$L$3:$N$6,2,FALSE)=0,"Spatial Data Missing",VLOOKUP(L73,'G-3 Multipliers'!$L$3:$N$6,2,FALSE)))</f>
        <v/>
      </c>
      <c r="N73" s="505" t="str">
        <f>IF(L73="","",IF(VLOOKUP(L73,'G-3 Multipliers'!$L$3:$N$6,3,FALSE)=0,"Spatial Data Missing",VLOOKUP(L73,'G-3 Multipliers'!$L$3:$N$6,3,FALSE)))</f>
        <v/>
      </c>
      <c r="O73" s="498" t="str">
        <f t="shared" si="0"/>
        <v/>
      </c>
      <c r="P73" s="82"/>
      <c r="Q73" s="82"/>
      <c r="R73" s="507" t="str">
        <f t="shared" si="2"/>
        <v/>
      </c>
      <c r="S73" s="521" t="str">
        <f t="shared" si="3"/>
        <v/>
      </c>
      <c r="T73" s="522" t="str">
        <f>IFERROR(IF(S73="Check Data ⚠","Check Data ⚠",VLOOKUP(S73,'G-4 Temporal multipliers'!$A$4:$C$37,3,FALSE)),"")</f>
        <v/>
      </c>
      <c r="U73" s="523" t="str">
        <f>IF(F73="","",VLOOKUP(F73,'G-3 Multipliers'!$A$2:$E$129,2,FALSE))</f>
        <v/>
      </c>
      <c r="V73" s="520" t="str">
        <f t="shared" si="4"/>
        <v/>
      </c>
      <c r="W73" s="520" t="str">
        <f>IF(E73="","",IF(AND(V73="Standard difficulty applied",O73&gt;P73),U73,IF(AND(V73="Low Difficulty - only applicable if all habitat created before losses",P73&gt;=O73),"Low",VLOOKUP(F73,'G-3 Multipliers'!$A$2:$E$129,4,FALSE))))</f>
        <v/>
      </c>
      <c r="X73" s="524" t="str">
        <f>IFERROR(IF(E73="","",VLOOKUP(W73, 'G-3 Multipliers'!$P$2:$Q$6,2,FALSE)),"")</f>
        <v/>
      </c>
      <c r="Y73" s="529" t="str">
        <f t="shared" si="5"/>
        <v/>
      </c>
      <c r="Z73" s="239"/>
      <c r="AA73" s="240"/>
      <c r="AE73" s="54" t="str">
        <f t="shared" si="1"/>
        <v/>
      </c>
    </row>
    <row r="74" spans="1:31" x14ac:dyDescent="0.3">
      <c r="A74" s="47" t="str">
        <f>IFERROR(INDEX('G-8 Condition Look up'!$I$4:$I$130,MATCH(F74,'G-8 Condition Look up'!$A$4:$A$130,0)),"")</f>
        <v/>
      </c>
      <c r="C74" s="384" t="str">
        <f>IFERROR(INDEX('G-1 All Habitats'!$AG$3:$AG$15,MATCH(D74,'G-1 All Habitats'!$AF$3:$AF$15,0)),"")</f>
        <v/>
      </c>
      <c r="D74" s="146"/>
      <c r="E74" s="79"/>
      <c r="F74" s="246" t="str">
        <f>IFERROR(INDEX('G-1 All Habitats'!$B$3:$B$129,MATCH(E74,'G-1 All Habitats'!$A$3:$A$129,0)),"")</f>
        <v/>
      </c>
      <c r="G74" s="70"/>
      <c r="H74" s="498" t="str">
        <f>IF(F74="","",VLOOKUP(F74,'G-1 All Habitats'!$B$2:$M$129,10,FALSE))</f>
        <v/>
      </c>
      <c r="I74" s="499" t="str">
        <f>IFERROR(VLOOKUP(H74,'G-1 All Habitats'!$V$3:$W$7,2,FALSE),"")</f>
        <v/>
      </c>
      <c r="J74" s="71"/>
      <c r="K74" s="499" t="str">
        <f>IFERROR(INDEX('G-8 Condition Look up'!$A$3:$H$130,MATCH(F74,'G-8 Condition Look up'!$A$3:$A$130,0),MATCH(J74,'G-8 Condition Look up'!$A$3:$H$3,0)),"")</f>
        <v/>
      </c>
      <c r="L74" s="71"/>
      <c r="M74" s="507" t="str">
        <f>IF(L74="","",IF(VLOOKUP(L74,'G-3 Multipliers'!$L$3:$N$6,2,FALSE)=0,"Spatial Data Missing",VLOOKUP(L74,'G-3 Multipliers'!$L$3:$N$6,2,FALSE)))</f>
        <v/>
      </c>
      <c r="N74" s="505" t="str">
        <f>IF(L74="","",IF(VLOOKUP(L74,'G-3 Multipliers'!$L$3:$N$6,3,FALSE)=0,"Spatial Data Missing",VLOOKUP(L74,'G-3 Multipliers'!$L$3:$N$6,3,FALSE)))</f>
        <v/>
      </c>
      <c r="O74" s="498" t="str">
        <f t="shared" si="0"/>
        <v/>
      </c>
      <c r="P74" s="82"/>
      <c r="Q74" s="82"/>
      <c r="R74" s="507" t="str">
        <f t="shared" si="2"/>
        <v/>
      </c>
      <c r="S74" s="521" t="str">
        <f t="shared" si="3"/>
        <v/>
      </c>
      <c r="T74" s="522" t="str">
        <f>IFERROR(IF(S74="Check Data ⚠","Check Data ⚠",VLOOKUP(S74,'G-4 Temporal multipliers'!$A$4:$C$37,3,FALSE)),"")</f>
        <v/>
      </c>
      <c r="U74" s="523" t="str">
        <f>IF(F74="","",VLOOKUP(F74,'G-3 Multipliers'!$A$2:$E$129,2,FALSE))</f>
        <v/>
      </c>
      <c r="V74" s="520" t="str">
        <f t="shared" si="4"/>
        <v/>
      </c>
      <c r="W74" s="520" t="str">
        <f>IF(E74="","",IF(AND(V74="Standard difficulty applied",O74&gt;P74),U74,IF(AND(V74="Low Difficulty - only applicable if all habitat created before losses",P74&gt;=O74),"Low",VLOOKUP(F74,'G-3 Multipliers'!$A$2:$E$129,4,FALSE))))</f>
        <v/>
      </c>
      <c r="X74" s="524" t="str">
        <f>IFERROR(IF(E74="","",VLOOKUP(W74, 'G-3 Multipliers'!$P$2:$Q$6,2,FALSE)),"")</f>
        <v/>
      </c>
      <c r="Y74" s="529" t="str">
        <f t="shared" si="5"/>
        <v/>
      </c>
      <c r="Z74" s="239"/>
      <c r="AA74" s="240"/>
      <c r="AE74" s="54" t="str">
        <f t="shared" si="1"/>
        <v/>
      </c>
    </row>
    <row r="75" spans="1:31" x14ac:dyDescent="0.3">
      <c r="A75" s="47" t="str">
        <f>IFERROR(INDEX('G-8 Condition Look up'!$I$4:$I$130,MATCH(F75,'G-8 Condition Look up'!$A$4:$A$130,0)),"")</f>
        <v/>
      </c>
      <c r="C75" s="384" t="str">
        <f>IFERROR(INDEX('G-1 All Habitats'!$AG$3:$AG$15,MATCH(D75,'G-1 All Habitats'!$AF$3:$AF$15,0)),"")</f>
        <v/>
      </c>
      <c r="D75" s="146"/>
      <c r="E75" s="79"/>
      <c r="F75" s="246" t="str">
        <f>IFERROR(INDEX('G-1 All Habitats'!$B$3:$B$129,MATCH(E75,'G-1 All Habitats'!$A$3:$A$129,0)),"")</f>
        <v/>
      </c>
      <c r="G75" s="70"/>
      <c r="H75" s="498" t="str">
        <f>IF(F75="","",VLOOKUP(F75,'G-1 All Habitats'!$B$2:$M$129,10,FALSE))</f>
        <v/>
      </c>
      <c r="I75" s="499" t="str">
        <f>IFERROR(VLOOKUP(H75,'G-1 All Habitats'!$V$3:$W$7,2,FALSE),"")</f>
        <v/>
      </c>
      <c r="J75" s="71"/>
      <c r="K75" s="499" t="str">
        <f>IFERROR(INDEX('G-8 Condition Look up'!$A$3:$H$130,MATCH(F75,'G-8 Condition Look up'!$A$3:$A$130,0),MATCH(J75,'G-8 Condition Look up'!$A$3:$H$3,0)),"")</f>
        <v/>
      </c>
      <c r="L75" s="71"/>
      <c r="M75" s="507" t="str">
        <f>IF(L75="","",IF(VLOOKUP(L75,'G-3 Multipliers'!$L$3:$N$6,2,FALSE)=0,"Spatial Data Missing",VLOOKUP(L75,'G-3 Multipliers'!$L$3:$N$6,2,FALSE)))</f>
        <v/>
      </c>
      <c r="N75" s="505" t="str">
        <f>IF(L75="","",IF(VLOOKUP(L75,'G-3 Multipliers'!$L$3:$N$6,3,FALSE)=0,"Spatial Data Missing",VLOOKUP(L75,'G-3 Multipliers'!$L$3:$N$6,3,FALSE)))</f>
        <v/>
      </c>
      <c r="O75" s="498" t="str">
        <f t="shared" ref="O75:O138" si="6">IFERROR(INDEX(TemporalData,MATCH(F75,TemporalHabitats,0),MATCH(J75,TemporalConditions,0)),"")</f>
        <v/>
      </c>
      <c r="P75" s="82"/>
      <c r="Q75" s="82"/>
      <c r="R75" s="507" t="str">
        <f t="shared" si="2"/>
        <v/>
      </c>
      <c r="S75" s="521" t="str">
        <f t="shared" si="3"/>
        <v/>
      </c>
      <c r="T75" s="522" t="str">
        <f>IFERROR(IF(S75="Check Data ⚠","Check Data ⚠",VLOOKUP(S75,'G-4 Temporal multipliers'!$A$4:$C$37,3,FALSE)),"")</f>
        <v/>
      </c>
      <c r="U75" s="523" t="str">
        <f>IF(F75="","",VLOOKUP(F75,'G-3 Multipliers'!$A$2:$E$129,2,FALSE))</f>
        <v/>
      </c>
      <c r="V75" s="520" t="str">
        <f t="shared" si="4"/>
        <v/>
      </c>
      <c r="W75" s="520" t="str">
        <f>IF(E75="","",IF(AND(V75="Standard difficulty applied",O75&gt;P75),U75,IF(AND(V75="Low Difficulty - only applicable if all habitat created before losses",P75&gt;=O75),"Low",VLOOKUP(F75,'G-3 Multipliers'!$A$2:$E$129,4,FALSE))))</f>
        <v/>
      </c>
      <c r="X75" s="524" t="str">
        <f>IFERROR(IF(E75="","",VLOOKUP(W75, 'G-3 Multipliers'!$P$2:$Q$6,2,FALSE)),"")</f>
        <v/>
      </c>
      <c r="Y75" s="529" t="str">
        <f t="shared" si="5"/>
        <v/>
      </c>
      <c r="Z75" s="239"/>
      <c r="AA75" s="240"/>
      <c r="AE75" s="54" t="str">
        <f t="shared" ref="AE75:AE138" si="7">IFERROR(INDEX(TemporalData,MATCH(F75,TemporalHabitats,0),MATCH($AE$10,TemporalConditions,0)),"")</f>
        <v/>
      </c>
    </row>
    <row r="76" spans="1:31" x14ac:dyDescent="0.3">
      <c r="A76" s="47" t="str">
        <f>IFERROR(INDEX('G-8 Condition Look up'!$I$4:$I$130,MATCH(F76,'G-8 Condition Look up'!$A$4:$A$130,0)),"")</f>
        <v/>
      </c>
      <c r="C76" s="384" t="str">
        <f>IFERROR(INDEX('G-1 All Habitats'!$AG$3:$AG$15,MATCH(D76,'G-1 All Habitats'!$AF$3:$AF$15,0)),"")</f>
        <v/>
      </c>
      <c r="D76" s="146"/>
      <c r="E76" s="79"/>
      <c r="F76" s="246" t="str">
        <f>IFERROR(INDEX('G-1 All Habitats'!$B$3:$B$129,MATCH(E76,'G-1 All Habitats'!$A$3:$A$129,0)),"")</f>
        <v/>
      </c>
      <c r="G76" s="70"/>
      <c r="H76" s="498" t="str">
        <f>IF(F76="","",VLOOKUP(F76,'G-1 All Habitats'!$B$2:$M$129,10,FALSE))</f>
        <v/>
      </c>
      <c r="I76" s="499" t="str">
        <f>IFERROR(VLOOKUP(H76,'G-1 All Habitats'!$V$3:$W$7,2,FALSE),"")</f>
        <v/>
      </c>
      <c r="J76" s="71"/>
      <c r="K76" s="499" t="str">
        <f>IFERROR(INDEX('G-8 Condition Look up'!$A$3:$H$130,MATCH(F76,'G-8 Condition Look up'!$A$3:$A$130,0),MATCH(J76,'G-8 Condition Look up'!$A$3:$H$3,0)),"")</f>
        <v/>
      </c>
      <c r="L76" s="71"/>
      <c r="M76" s="507" t="str">
        <f>IF(L76="","",IF(VLOOKUP(L76,'G-3 Multipliers'!$L$3:$N$6,2,FALSE)=0,"Spatial Data Missing",VLOOKUP(L76,'G-3 Multipliers'!$L$3:$N$6,2,FALSE)))</f>
        <v/>
      </c>
      <c r="N76" s="505" t="str">
        <f>IF(L76="","",IF(VLOOKUP(L76,'G-3 Multipliers'!$L$3:$N$6,3,FALSE)=0,"Spatial Data Missing",VLOOKUP(L76,'G-3 Multipliers'!$L$3:$N$6,3,FALSE)))</f>
        <v/>
      </c>
      <c r="O76" s="498" t="str">
        <f t="shared" si="6"/>
        <v/>
      </c>
      <c r="P76" s="82"/>
      <c r="Q76" s="82"/>
      <c r="R76" s="507" t="str">
        <f t="shared" ref="R76:R139" si="8">IF(E76="","",IF(AND(P76&gt;0,Q76&gt;0),"Error -both advance and delayed habitat creation ▲",IF(I76=0,"Standard time to target condition applied",IF(AND(J76="N/A -Agricultural",O76&lt;=P76),"Check details - Is there evidence habitat creation in place? ⚠",IF(AND(O76&lt;=P76,Q76=0),"Check details - Is there evidence that habitat has reached target condition? ⚠",IF(O76="","",IF(AND(P76&gt;=AE76,P76&gt;0),"Check details - Is there evidence habitat creation started and the threshold for Poor condition reached? ⚠",IF(Q76&gt;0,"Check details- Delay in starting habitat in required condition? ⚠",IF(P76&gt;0,"Check details - Is there evidence habitat creation started/in place? ⚠","Standard time to target condition applied")))))))))</f>
        <v/>
      </c>
      <c r="S76" s="521" t="str">
        <f t="shared" ref="S76:S139" si="9">IF(R76="Error -both advance and delayed habitat creation ▲","Check Data ⚠",IF(O76="Not Possible","Check Data ⚠",IF(O76="","",IF(AND(O76="30+",P76=0),"30+",IF(AND(O76="30+",P76="30+"),0,IF(AND(O76="30+",P76&lt;32),30-P76,IF(O76="30+",30-P76,IF(P76&gt;O76,0,IF(Q76="30+","30+",IF(O76+Q76&gt;30,"30+",IF(O76+Q76&gt;30,"30+",IF(O76-P76&gt;30,"30+",IF(O76+Q76-P76&gt;0,O76+Q76-P76,IF(O76-P76&gt;0,O76-P76,O76+Q76-P76))))))))))))))</f>
        <v/>
      </c>
      <c r="T76" s="522" t="str">
        <f>IFERROR(IF(S76="Check Data ⚠","Check Data ⚠",VLOOKUP(S76,'G-4 Temporal multipliers'!$A$4:$C$37,3,FALSE)),"")</f>
        <v/>
      </c>
      <c r="U76" s="523" t="str">
        <f>IF(F76="","",VLOOKUP(F76,'G-3 Multipliers'!$A$2:$E$129,2,FALSE))</f>
        <v/>
      </c>
      <c r="V76" s="520" t="str">
        <f t="shared" ref="V76:V139" si="10">IF(F76="","",IF($R76="Check details - Is there evidence that habitat has reached target condition? ⚠","Low Difficulty - only applicable if all habitat created before losses",IF($R76="Check details - Is there evidence habitat creation started and the threshold for Poor condition reached? ⚠","Enhancement difficulty applied","Standard difficulty applied")))</f>
        <v/>
      </c>
      <c r="W76" s="520" t="str">
        <f>IF(E76="","",IF(AND(V76="Standard difficulty applied",O76&gt;P76),U76,IF(AND(V76="Low Difficulty - only applicable if all habitat created before losses",P76&gt;=O76),"Low",VLOOKUP(F76,'G-3 Multipliers'!$A$2:$E$129,4,FALSE))))</f>
        <v/>
      </c>
      <c r="X76" s="524" t="str">
        <f>IFERROR(IF(E76="","",VLOOKUP(W76, 'G-3 Multipliers'!$P$2:$Q$6,2,FALSE)),"")</f>
        <v/>
      </c>
      <c r="Y76" s="529" t="str">
        <f t="shared" ref="Y76:Y139" si="11">IFERROR(G76*I76*K76*N76*T76*X76,"")</f>
        <v/>
      </c>
      <c r="Z76" s="239"/>
      <c r="AA76" s="240"/>
      <c r="AE76" s="54" t="str">
        <f t="shared" si="7"/>
        <v/>
      </c>
    </row>
    <row r="77" spans="1:31" x14ac:dyDescent="0.3">
      <c r="A77" s="47" t="str">
        <f>IFERROR(INDEX('G-8 Condition Look up'!$I$4:$I$130,MATCH(F77,'G-8 Condition Look up'!$A$4:$A$130,0)),"")</f>
        <v/>
      </c>
      <c r="C77" s="384" t="str">
        <f>IFERROR(INDEX('G-1 All Habitats'!$AG$3:$AG$15,MATCH(D77,'G-1 All Habitats'!$AF$3:$AF$15,0)),"")</f>
        <v/>
      </c>
      <c r="D77" s="146"/>
      <c r="E77" s="79"/>
      <c r="F77" s="246" t="str">
        <f>IFERROR(INDEX('G-1 All Habitats'!$B$3:$B$129,MATCH(E77,'G-1 All Habitats'!$A$3:$A$129,0)),"")</f>
        <v/>
      </c>
      <c r="G77" s="70"/>
      <c r="H77" s="498" t="str">
        <f>IF(F77="","",VLOOKUP(F77,'G-1 All Habitats'!$B$2:$M$129,10,FALSE))</f>
        <v/>
      </c>
      <c r="I77" s="499" t="str">
        <f>IFERROR(VLOOKUP(H77,'G-1 All Habitats'!$V$3:$W$7,2,FALSE),"")</f>
        <v/>
      </c>
      <c r="J77" s="71"/>
      <c r="K77" s="499" t="str">
        <f>IFERROR(INDEX('G-8 Condition Look up'!$A$3:$H$130,MATCH(F77,'G-8 Condition Look up'!$A$3:$A$130,0),MATCH(J77,'G-8 Condition Look up'!$A$3:$H$3,0)),"")</f>
        <v/>
      </c>
      <c r="L77" s="71"/>
      <c r="M77" s="507" t="str">
        <f>IF(L77="","",IF(VLOOKUP(L77,'G-3 Multipliers'!$L$3:$N$6,2,FALSE)=0,"Spatial Data Missing",VLOOKUP(L77,'G-3 Multipliers'!$L$3:$N$6,2,FALSE)))</f>
        <v/>
      </c>
      <c r="N77" s="505" t="str">
        <f>IF(L77="","",IF(VLOOKUP(L77,'G-3 Multipliers'!$L$3:$N$6,3,FALSE)=0,"Spatial Data Missing",VLOOKUP(L77,'G-3 Multipliers'!$L$3:$N$6,3,FALSE)))</f>
        <v/>
      </c>
      <c r="O77" s="498" t="str">
        <f t="shared" si="6"/>
        <v/>
      </c>
      <c r="P77" s="82"/>
      <c r="Q77" s="82"/>
      <c r="R77" s="507" t="str">
        <f t="shared" si="8"/>
        <v/>
      </c>
      <c r="S77" s="521" t="str">
        <f t="shared" si="9"/>
        <v/>
      </c>
      <c r="T77" s="522" t="str">
        <f>IFERROR(IF(S77="Check Data ⚠","Check Data ⚠",VLOOKUP(S77,'G-4 Temporal multipliers'!$A$4:$C$37,3,FALSE)),"")</f>
        <v/>
      </c>
      <c r="U77" s="523" t="str">
        <f>IF(F77="","",VLOOKUP(F77,'G-3 Multipliers'!$A$2:$E$129,2,FALSE))</f>
        <v/>
      </c>
      <c r="V77" s="520" t="str">
        <f t="shared" si="10"/>
        <v/>
      </c>
      <c r="W77" s="520" t="str">
        <f>IF(E77="","",IF(AND(V77="Standard difficulty applied",O77&gt;P77),U77,IF(AND(V77="Low Difficulty - only applicable if all habitat created before losses",P77&gt;=O77),"Low",VLOOKUP(F77,'G-3 Multipliers'!$A$2:$E$129,4,FALSE))))</f>
        <v/>
      </c>
      <c r="X77" s="524" t="str">
        <f>IFERROR(IF(E77="","",VLOOKUP(W77, 'G-3 Multipliers'!$P$2:$Q$6,2,FALSE)),"")</f>
        <v/>
      </c>
      <c r="Y77" s="529" t="str">
        <f t="shared" si="11"/>
        <v/>
      </c>
      <c r="Z77" s="239"/>
      <c r="AA77" s="240"/>
      <c r="AE77" s="54" t="str">
        <f t="shared" si="7"/>
        <v/>
      </c>
    </row>
    <row r="78" spans="1:31" x14ac:dyDescent="0.3">
      <c r="A78" s="47" t="str">
        <f>IFERROR(INDEX('G-8 Condition Look up'!$I$4:$I$130,MATCH(F78,'G-8 Condition Look up'!$A$4:$A$130,0)),"")</f>
        <v/>
      </c>
      <c r="C78" s="384" t="str">
        <f>IFERROR(INDEX('G-1 All Habitats'!$AG$3:$AG$15,MATCH(D78,'G-1 All Habitats'!$AF$3:$AF$15,0)),"")</f>
        <v/>
      </c>
      <c r="D78" s="146"/>
      <c r="E78" s="79"/>
      <c r="F78" s="246" t="str">
        <f>IFERROR(INDEX('G-1 All Habitats'!$B$3:$B$129,MATCH(E78,'G-1 All Habitats'!$A$3:$A$129,0)),"")</f>
        <v/>
      </c>
      <c r="G78" s="70"/>
      <c r="H78" s="498" t="str">
        <f>IF(F78="","",VLOOKUP(F78,'G-1 All Habitats'!$B$2:$M$129,10,FALSE))</f>
        <v/>
      </c>
      <c r="I78" s="499" t="str">
        <f>IFERROR(VLOOKUP(H78,'G-1 All Habitats'!$V$3:$W$7,2,FALSE),"")</f>
        <v/>
      </c>
      <c r="J78" s="71"/>
      <c r="K78" s="499" t="str">
        <f>IFERROR(INDEX('G-8 Condition Look up'!$A$3:$H$130,MATCH(F78,'G-8 Condition Look up'!$A$3:$A$130,0),MATCH(J78,'G-8 Condition Look up'!$A$3:$H$3,0)),"")</f>
        <v/>
      </c>
      <c r="L78" s="71"/>
      <c r="M78" s="507" t="str">
        <f>IF(L78="","",IF(VLOOKUP(L78,'G-3 Multipliers'!$L$3:$N$6,2,FALSE)=0,"Spatial Data Missing",VLOOKUP(L78,'G-3 Multipliers'!$L$3:$N$6,2,FALSE)))</f>
        <v/>
      </c>
      <c r="N78" s="505" t="str">
        <f>IF(L78="","",IF(VLOOKUP(L78,'G-3 Multipliers'!$L$3:$N$6,3,FALSE)=0,"Spatial Data Missing",VLOOKUP(L78,'G-3 Multipliers'!$L$3:$N$6,3,FALSE)))</f>
        <v/>
      </c>
      <c r="O78" s="498" t="str">
        <f t="shared" si="6"/>
        <v/>
      </c>
      <c r="P78" s="82"/>
      <c r="Q78" s="82"/>
      <c r="R78" s="507" t="str">
        <f t="shared" si="8"/>
        <v/>
      </c>
      <c r="S78" s="521" t="str">
        <f t="shared" si="9"/>
        <v/>
      </c>
      <c r="T78" s="522" t="str">
        <f>IFERROR(IF(S78="Check Data ⚠","Check Data ⚠",VLOOKUP(S78,'G-4 Temporal multipliers'!$A$4:$C$37,3,FALSE)),"")</f>
        <v/>
      </c>
      <c r="U78" s="523" t="str">
        <f>IF(F78="","",VLOOKUP(F78,'G-3 Multipliers'!$A$2:$E$129,2,FALSE))</f>
        <v/>
      </c>
      <c r="V78" s="520" t="str">
        <f t="shared" si="10"/>
        <v/>
      </c>
      <c r="W78" s="520" t="str">
        <f>IF(E78="","",IF(AND(V78="Standard difficulty applied",O78&gt;P78),U78,IF(AND(V78="Low Difficulty - only applicable if all habitat created before losses",P78&gt;=O78),"Low",VLOOKUP(F78,'G-3 Multipliers'!$A$2:$E$129,4,FALSE))))</f>
        <v/>
      </c>
      <c r="X78" s="524" t="str">
        <f>IFERROR(IF(E78="","",VLOOKUP(W78, 'G-3 Multipliers'!$P$2:$Q$6,2,FALSE)),"")</f>
        <v/>
      </c>
      <c r="Y78" s="529" t="str">
        <f t="shared" si="11"/>
        <v/>
      </c>
      <c r="Z78" s="239"/>
      <c r="AA78" s="240"/>
      <c r="AE78" s="54" t="str">
        <f t="shared" si="7"/>
        <v/>
      </c>
    </row>
    <row r="79" spans="1:31" x14ac:dyDescent="0.3">
      <c r="A79" s="47" t="str">
        <f>IFERROR(INDEX('G-8 Condition Look up'!$I$4:$I$130,MATCH(F79,'G-8 Condition Look up'!$A$4:$A$130,0)),"")</f>
        <v/>
      </c>
      <c r="C79" s="384" t="str">
        <f>IFERROR(INDEX('G-1 All Habitats'!$AG$3:$AG$15,MATCH(D79,'G-1 All Habitats'!$AF$3:$AF$15,0)),"")</f>
        <v/>
      </c>
      <c r="D79" s="146"/>
      <c r="E79" s="79"/>
      <c r="F79" s="246" t="str">
        <f>IFERROR(INDEX('G-1 All Habitats'!$B$3:$B$129,MATCH(E79,'G-1 All Habitats'!$A$3:$A$129,0)),"")</f>
        <v/>
      </c>
      <c r="G79" s="70"/>
      <c r="H79" s="498" t="str">
        <f>IF(F79="","",VLOOKUP(F79,'G-1 All Habitats'!$B$2:$M$129,10,FALSE))</f>
        <v/>
      </c>
      <c r="I79" s="499" t="str">
        <f>IFERROR(VLOOKUP(H79,'G-1 All Habitats'!$V$3:$W$7,2,FALSE),"")</f>
        <v/>
      </c>
      <c r="J79" s="71"/>
      <c r="K79" s="499" t="str">
        <f>IFERROR(INDEX('G-8 Condition Look up'!$A$3:$H$130,MATCH(F79,'G-8 Condition Look up'!$A$3:$A$130,0),MATCH(J79,'G-8 Condition Look up'!$A$3:$H$3,0)),"")</f>
        <v/>
      </c>
      <c r="L79" s="71"/>
      <c r="M79" s="507" t="str">
        <f>IF(L79="","",IF(VLOOKUP(L79,'G-3 Multipliers'!$L$3:$N$6,2,FALSE)=0,"Spatial Data Missing",VLOOKUP(L79,'G-3 Multipliers'!$L$3:$N$6,2,FALSE)))</f>
        <v/>
      </c>
      <c r="N79" s="505" t="str">
        <f>IF(L79="","",IF(VLOOKUP(L79,'G-3 Multipliers'!$L$3:$N$6,3,FALSE)=0,"Spatial Data Missing",VLOOKUP(L79,'G-3 Multipliers'!$L$3:$N$6,3,FALSE)))</f>
        <v/>
      </c>
      <c r="O79" s="498" t="str">
        <f t="shared" si="6"/>
        <v/>
      </c>
      <c r="P79" s="82"/>
      <c r="Q79" s="82"/>
      <c r="R79" s="507" t="str">
        <f t="shared" si="8"/>
        <v/>
      </c>
      <c r="S79" s="521" t="str">
        <f t="shared" si="9"/>
        <v/>
      </c>
      <c r="T79" s="522" t="str">
        <f>IFERROR(IF(S79="Check Data ⚠","Check Data ⚠",VLOOKUP(S79,'G-4 Temporal multipliers'!$A$4:$C$37,3,FALSE)),"")</f>
        <v/>
      </c>
      <c r="U79" s="523" t="str">
        <f>IF(F79="","",VLOOKUP(F79,'G-3 Multipliers'!$A$2:$E$129,2,FALSE))</f>
        <v/>
      </c>
      <c r="V79" s="520" t="str">
        <f t="shared" si="10"/>
        <v/>
      </c>
      <c r="W79" s="520" t="str">
        <f>IF(E79="","",IF(AND(V79="Standard difficulty applied",O79&gt;P79),U79,IF(AND(V79="Low Difficulty - only applicable if all habitat created before losses",P79&gt;=O79),"Low",VLOOKUP(F79,'G-3 Multipliers'!$A$2:$E$129,4,FALSE))))</f>
        <v/>
      </c>
      <c r="X79" s="524" t="str">
        <f>IFERROR(IF(E79="","",VLOOKUP(W79, 'G-3 Multipliers'!$P$2:$Q$6,2,FALSE)),"")</f>
        <v/>
      </c>
      <c r="Y79" s="529" t="str">
        <f t="shared" si="11"/>
        <v/>
      </c>
      <c r="Z79" s="239"/>
      <c r="AA79" s="240"/>
      <c r="AE79" s="54" t="str">
        <f t="shared" si="7"/>
        <v/>
      </c>
    </row>
    <row r="80" spans="1:31" x14ac:dyDescent="0.3">
      <c r="A80" s="47" t="str">
        <f>IFERROR(INDEX('G-8 Condition Look up'!$I$4:$I$130,MATCH(F80,'G-8 Condition Look up'!$A$4:$A$130,0)),"")</f>
        <v/>
      </c>
      <c r="C80" s="384" t="str">
        <f>IFERROR(INDEX('G-1 All Habitats'!$AG$3:$AG$15,MATCH(D80,'G-1 All Habitats'!$AF$3:$AF$15,0)),"")</f>
        <v/>
      </c>
      <c r="D80" s="146"/>
      <c r="E80" s="79"/>
      <c r="F80" s="246" t="str">
        <f>IFERROR(INDEX('G-1 All Habitats'!$B$3:$B$129,MATCH(E80,'G-1 All Habitats'!$A$3:$A$129,0)),"")</f>
        <v/>
      </c>
      <c r="G80" s="70"/>
      <c r="H80" s="498" t="str">
        <f>IF(F80="","",VLOOKUP(F80,'G-1 All Habitats'!$B$2:$M$129,10,FALSE))</f>
        <v/>
      </c>
      <c r="I80" s="499" t="str">
        <f>IFERROR(VLOOKUP(H80,'G-1 All Habitats'!$V$3:$W$7,2,FALSE),"")</f>
        <v/>
      </c>
      <c r="J80" s="71"/>
      <c r="K80" s="499" t="str">
        <f>IFERROR(INDEX('G-8 Condition Look up'!$A$3:$H$130,MATCH(F80,'G-8 Condition Look up'!$A$3:$A$130,0),MATCH(J80,'G-8 Condition Look up'!$A$3:$H$3,0)),"")</f>
        <v/>
      </c>
      <c r="L80" s="71"/>
      <c r="M80" s="507" t="str">
        <f>IF(L80="","",IF(VLOOKUP(L80,'G-3 Multipliers'!$L$3:$N$6,2,FALSE)=0,"Spatial Data Missing",VLOOKUP(L80,'G-3 Multipliers'!$L$3:$N$6,2,FALSE)))</f>
        <v/>
      </c>
      <c r="N80" s="505" t="str">
        <f>IF(L80="","",IF(VLOOKUP(L80,'G-3 Multipliers'!$L$3:$N$6,3,FALSE)=0,"Spatial Data Missing",VLOOKUP(L80,'G-3 Multipliers'!$L$3:$N$6,3,FALSE)))</f>
        <v/>
      </c>
      <c r="O80" s="498" t="str">
        <f t="shared" si="6"/>
        <v/>
      </c>
      <c r="P80" s="82"/>
      <c r="Q80" s="82"/>
      <c r="R80" s="507" t="str">
        <f t="shared" si="8"/>
        <v/>
      </c>
      <c r="S80" s="521" t="str">
        <f t="shared" si="9"/>
        <v/>
      </c>
      <c r="T80" s="522" t="str">
        <f>IFERROR(IF(S80="Check Data ⚠","Check Data ⚠",VLOOKUP(S80,'G-4 Temporal multipliers'!$A$4:$C$37,3,FALSE)),"")</f>
        <v/>
      </c>
      <c r="U80" s="523" t="str">
        <f>IF(F80="","",VLOOKUP(F80,'G-3 Multipliers'!$A$2:$E$129,2,FALSE))</f>
        <v/>
      </c>
      <c r="V80" s="520" t="str">
        <f t="shared" si="10"/>
        <v/>
      </c>
      <c r="W80" s="520" t="str">
        <f>IF(E80="","",IF(AND(V80="Standard difficulty applied",O80&gt;P80),U80,IF(AND(V80="Low Difficulty - only applicable if all habitat created before losses",P80&gt;=O80),"Low",VLOOKUP(F80,'G-3 Multipliers'!$A$2:$E$129,4,FALSE))))</f>
        <v/>
      </c>
      <c r="X80" s="524" t="str">
        <f>IFERROR(IF(E80="","",VLOOKUP(W80, 'G-3 Multipliers'!$P$2:$Q$6,2,FALSE)),"")</f>
        <v/>
      </c>
      <c r="Y80" s="529" t="str">
        <f t="shared" si="11"/>
        <v/>
      </c>
      <c r="Z80" s="239"/>
      <c r="AA80" s="240"/>
      <c r="AE80" s="54" t="str">
        <f t="shared" si="7"/>
        <v/>
      </c>
    </row>
    <row r="81" spans="1:31" x14ac:dyDescent="0.3">
      <c r="A81" s="47" t="str">
        <f>IFERROR(INDEX('G-8 Condition Look up'!$I$4:$I$130,MATCH(F81,'G-8 Condition Look up'!$A$4:$A$130,0)),"")</f>
        <v/>
      </c>
      <c r="C81" s="384" t="str">
        <f>IFERROR(INDEX('G-1 All Habitats'!$AG$3:$AG$15,MATCH(D81,'G-1 All Habitats'!$AF$3:$AF$15,0)),"")</f>
        <v/>
      </c>
      <c r="D81" s="146"/>
      <c r="E81" s="79"/>
      <c r="F81" s="246" t="str">
        <f>IFERROR(INDEX('G-1 All Habitats'!$B$3:$B$129,MATCH(E81,'G-1 All Habitats'!$A$3:$A$129,0)),"")</f>
        <v/>
      </c>
      <c r="G81" s="70"/>
      <c r="H81" s="498" t="str">
        <f>IF(F81="","",VLOOKUP(F81,'G-1 All Habitats'!$B$2:$M$129,10,FALSE))</f>
        <v/>
      </c>
      <c r="I81" s="499" t="str">
        <f>IFERROR(VLOOKUP(H81,'G-1 All Habitats'!$V$3:$W$7,2,FALSE),"")</f>
        <v/>
      </c>
      <c r="J81" s="71"/>
      <c r="K81" s="499" t="str">
        <f>IFERROR(INDEX('G-8 Condition Look up'!$A$3:$H$130,MATCH(F81,'G-8 Condition Look up'!$A$3:$A$130,0),MATCH(J81,'G-8 Condition Look up'!$A$3:$H$3,0)),"")</f>
        <v/>
      </c>
      <c r="L81" s="71"/>
      <c r="M81" s="507" t="str">
        <f>IF(L81="","",IF(VLOOKUP(L81,'G-3 Multipliers'!$L$3:$N$6,2,FALSE)=0,"Spatial Data Missing",VLOOKUP(L81,'G-3 Multipliers'!$L$3:$N$6,2,FALSE)))</f>
        <v/>
      </c>
      <c r="N81" s="505" t="str">
        <f>IF(L81="","",IF(VLOOKUP(L81,'G-3 Multipliers'!$L$3:$N$6,3,FALSE)=0,"Spatial Data Missing",VLOOKUP(L81,'G-3 Multipliers'!$L$3:$N$6,3,FALSE)))</f>
        <v/>
      </c>
      <c r="O81" s="498" t="str">
        <f t="shared" si="6"/>
        <v/>
      </c>
      <c r="P81" s="82"/>
      <c r="Q81" s="82"/>
      <c r="R81" s="507" t="str">
        <f t="shared" si="8"/>
        <v/>
      </c>
      <c r="S81" s="521" t="str">
        <f t="shared" si="9"/>
        <v/>
      </c>
      <c r="T81" s="522" t="str">
        <f>IFERROR(IF(S81="Check Data ⚠","Check Data ⚠",VLOOKUP(S81,'G-4 Temporal multipliers'!$A$4:$C$37,3,FALSE)),"")</f>
        <v/>
      </c>
      <c r="U81" s="523" t="str">
        <f>IF(F81="","",VLOOKUP(F81,'G-3 Multipliers'!$A$2:$E$129,2,FALSE))</f>
        <v/>
      </c>
      <c r="V81" s="520" t="str">
        <f t="shared" si="10"/>
        <v/>
      </c>
      <c r="W81" s="520" t="str">
        <f>IF(E81="","",IF(AND(V81="Standard difficulty applied",O81&gt;P81),U81,IF(AND(V81="Low Difficulty - only applicable if all habitat created before losses",P81&gt;=O81),"Low",VLOOKUP(F81,'G-3 Multipliers'!$A$2:$E$129,4,FALSE))))</f>
        <v/>
      </c>
      <c r="X81" s="524" t="str">
        <f>IFERROR(IF(E81="","",VLOOKUP(W81, 'G-3 Multipliers'!$P$2:$Q$6,2,FALSE)),"")</f>
        <v/>
      </c>
      <c r="Y81" s="529" t="str">
        <f t="shared" si="11"/>
        <v/>
      </c>
      <c r="Z81" s="239"/>
      <c r="AA81" s="240"/>
      <c r="AE81" s="54" t="str">
        <f t="shared" si="7"/>
        <v/>
      </c>
    </row>
    <row r="82" spans="1:31" x14ac:dyDescent="0.3">
      <c r="A82" s="47" t="str">
        <f>IFERROR(INDEX('G-8 Condition Look up'!$I$4:$I$130,MATCH(F82,'G-8 Condition Look up'!$A$4:$A$130,0)),"")</f>
        <v/>
      </c>
      <c r="C82" s="384" t="str">
        <f>IFERROR(INDEX('G-1 All Habitats'!$AG$3:$AG$15,MATCH(D82,'G-1 All Habitats'!$AF$3:$AF$15,0)),"")</f>
        <v/>
      </c>
      <c r="D82" s="146"/>
      <c r="E82" s="79"/>
      <c r="F82" s="246" t="str">
        <f>IFERROR(INDEX('G-1 All Habitats'!$B$3:$B$129,MATCH(E82,'G-1 All Habitats'!$A$3:$A$129,0)),"")</f>
        <v/>
      </c>
      <c r="G82" s="70"/>
      <c r="H82" s="498" t="str">
        <f>IF(F82="","",VLOOKUP(F82,'G-1 All Habitats'!$B$2:$M$129,10,FALSE))</f>
        <v/>
      </c>
      <c r="I82" s="499" t="str">
        <f>IFERROR(VLOOKUP(H82,'G-1 All Habitats'!$V$3:$W$7,2,FALSE),"")</f>
        <v/>
      </c>
      <c r="J82" s="71"/>
      <c r="K82" s="499" t="str">
        <f>IFERROR(INDEX('G-8 Condition Look up'!$A$3:$H$130,MATCH(F82,'G-8 Condition Look up'!$A$3:$A$130,0),MATCH(J82,'G-8 Condition Look up'!$A$3:$H$3,0)),"")</f>
        <v/>
      </c>
      <c r="L82" s="71"/>
      <c r="M82" s="507" t="str">
        <f>IF(L82="","",IF(VLOOKUP(L82,'G-3 Multipliers'!$L$3:$N$6,2,FALSE)=0,"Spatial Data Missing",VLOOKUP(L82,'G-3 Multipliers'!$L$3:$N$6,2,FALSE)))</f>
        <v/>
      </c>
      <c r="N82" s="505" t="str">
        <f>IF(L82="","",IF(VLOOKUP(L82,'G-3 Multipliers'!$L$3:$N$6,3,FALSE)=0,"Spatial Data Missing",VLOOKUP(L82,'G-3 Multipliers'!$L$3:$N$6,3,FALSE)))</f>
        <v/>
      </c>
      <c r="O82" s="498" t="str">
        <f t="shared" si="6"/>
        <v/>
      </c>
      <c r="P82" s="82"/>
      <c r="Q82" s="82"/>
      <c r="R82" s="507" t="str">
        <f t="shared" si="8"/>
        <v/>
      </c>
      <c r="S82" s="521" t="str">
        <f t="shared" si="9"/>
        <v/>
      </c>
      <c r="T82" s="522" t="str">
        <f>IFERROR(IF(S82="Check Data ⚠","Check Data ⚠",VLOOKUP(S82,'G-4 Temporal multipliers'!$A$4:$C$37,3,FALSE)),"")</f>
        <v/>
      </c>
      <c r="U82" s="523" t="str">
        <f>IF(F82="","",VLOOKUP(F82,'G-3 Multipliers'!$A$2:$E$129,2,FALSE))</f>
        <v/>
      </c>
      <c r="V82" s="520" t="str">
        <f t="shared" si="10"/>
        <v/>
      </c>
      <c r="W82" s="520" t="str">
        <f>IF(E82="","",IF(AND(V82="Standard difficulty applied",O82&gt;P82),U82,IF(AND(V82="Low Difficulty - only applicable if all habitat created before losses",P82&gt;=O82),"Low",VLOOKUP(F82,'G-3 Multipliers'!$A$2:$E$129,4,FALSE))))</f>
        <v/>
      </c>
      <c r="X82" s="524" t="str">
        <f>IFERROR(IF(E82="","",VLOOKUP(W82, 'G-3 Multipliers'!$P$2:$Q$6,2,FALSE)),"")</f>
        <v/>
      </c>
      <c r="Y82" s="529" t="str">
        <f t="shared" si="11"/>
        <v/>
      </c>
      <c r="Z82" s="239"/>
      <c r="AA82" s="240"/>
      <c r="AE82" s="54" t="str">
        <f t="shared" si="7"/>
        <v/>
      </c>
    </row>
    <row r="83" spans="1:31" x14ac:dyDescent="0.3">
      <c r="A83" s="47" t="str">
        <f>IFERROR(INDEX('G-8 Condition Look up'!$I$4:$I$130,MATCH(F83,'G-8 Condition Look up'!$A$4:$A$130,0)),"")</f>
        <v/>
      </c>
      <c r="C83" s="384" t="str">
        <f>IFERROR(INDEX('G-1 All Habitats'!$AG$3:$AG$15,MATCH(D83,'G-1 All Habitats'!$AF$3:$AF$15,0)),"")</f>
        <v/>
      </c>
      <c r="D83" s="146"/>
      <c r="E83" s="79"/>
      <c r="F83" s="246" t="str">
        <f>IFERROR(INDEX('G-1 All Habitats'!$B$3:$B$129,MATCH(E83,'G-1 All Habitats'!$A$3:$A$129,0)),"")</f>
        <v/>
      </c>
      <c r="G83" s="70"/>
      <c r="H83" s="498" t="str">
        <f>IF(F83="","",VLOOKUP(F83,'G-1 All Habitats'!$B$2:$M$129,10,FALSE))</f>
        <v/>
      </c>
      <c r="I83" s="499" t="str">
        <f>IFERROR(VLOOKUP(H83,'G-1 All Habitats'!$V$3:$W$7,2,FALSE),"")</f>
        <v/>
      </c>
      <c r="J83" s="71"/>
      <c r="K83" s="499" t="str">
        <f>IFERROR(INDEX('G-8 Condition Look up'!$A$3:$H$130,MATCH(F83,'G-8 Condition Look up'!$A$3:$A$130,0),MATCH(J83,'G-8 Condition Look up'!$A$3:$H$3,0)),"")</f>
        <v/>
      </c>
      <c r="L83" s="71"/>
      <c r="M83" s="507" t="str">
        <f>IF(L83="","",IF(VLOOKUP(L83,'G-3 Multipliers'!$L$3:$N$6,2,FALSE)=0,"Spatial Data Missing",VLOOKUP(L83,'G-3 Multipliers'!$L$3:$N$6,2,FALSE)))</f>
        <v/>
      </c>
      <c r="N83" s="505" t="str">
        <f>IF(L83="","",IF(VLOOKUP(L83,'G-3 Multipliers'!$L$3:$N$6,3,FALSE)=0,"Spatial Data Missing",VLOOKUP(L83,'G-3 Multipliers'!$L$3:$N$6,3,FALSE)))</f>
        <v/>
      </c>
      <c r="O83" s="498" t="str">
        <f t="shared" si="6"/>
        <v/>
      </c>
      <c r="P83" s="82"/>
      <c r="Q83" s="82"/>
      <c r="R83" s="507" t="str">
        <f t="shared" si="8"/>
        <v/>
      </c>
      <c r="S83" s="521" t="str">
        <f t="shared" si="9"/>
        <v/>
      </c>
      <c r="T83" s="522" t="str">
        <f>IFERROR(IF(S83="Check Data ⚠","Check Data ⚠",VLOOKUP(S83,'G-4 Temporal multipliers'!$A$4:$C$37,3,FALSE)),"")</f>
        <v/>
      </c>
      <c r="U83" s="523" t="str">
        <f>IF(F83="","",VLOOKUP(F83,'G-3 Multipliers'!$A$2:$E$129,2,FALSE))</f>
        <v/>
      </c>
      <c r="V83" s="520" t="str">
        <f t="shared" si="10"/>
        <v/>
      </c>
      <c r="W83" s="520" t="str">
        <f>IF(E83="","",IF(AND(V83="Standard difficulty applied",O83&gt;P83),U83,IF(AND(V83="Low Difficulty - only applicable if all habitat created before losses",P83&gt;=O83),"Low",VLOOKUP(F83,'G-3 Multipliers'!$A$2:$E$129,4,FALSE))))</f>
        <v/>
      </c>
      <c r="X83" s="524" t="str">
        <f>IFERROR(IF(E83="","",VLOOKUP(W83, 'G-3 Multipliers'!$P$2:$Q$6,2,FALSE)),"")</f>
        <v/>
      </c>
      <c r="Y83" s="529" t="str">
        <f t="shared" si="11"/>
        <v/>
      </c>
      <c r="Z83" s="239"/>
      <c r="AA83" s="240"/>
      <c r="AE83" s="54" t="str">
        <f t="shared" si="7"/>
        <v/>
      </c>
    </row>
    <row r="84" spans="1:31" x14ac:dyDescent="0.3">
      <c r="A84" s="47" t="str">
        <f>IFERROR(INDEX('G-8 Condition Look up'!$I$4:$I$130,MATCH(F84,'G-8 Condition Look up'!$A$4:$A$130,0)),"")</f>
        <v/>
      </c>
      <c r="C84" s="384" t="str">
        <f>IFERROR(INDEX('G-1 All Habitats'!$AG$3:$AG$15,MATCH(D84,'G-1 All Habitats'!$AF$3:$AF$15,0)),"")</f>
        <v/>
      </c>
      <c r="D84" s="146"/>
      <c r="E84" s="79"/>
      <c r="F84" s="246" t="str">
        <f>IFERROR(INDEX('G-1 All Habitats'!$B$3:$B$129,MATCH(E84,'G-1 All Habitats'!$A$3:$A$129,0)),"")</f>
        <v/>
      </c>
      <c r="G84" s="70"/>
      <c r="H84" s="498" t="str">
        <f>IF(F84="","",VLOOKUP(F84,'G-1 All Habitats'!$B$2:$M$129,10,FALSE))</f>
        <v/>
      </c>
      <c r="I84" s="499" t="str">
        <f>IFERROR(VLOOKUP(H84,'G-1 All Habitats'!$V$3:$W$7,2,FALSE),"")</f>
        <v/>
      </c>
      <c r="J84" s="71"/>
      <c r="K84" s="499" t="str">
        <f>IFERROR(INDEX('G-8 Condition Look up'!$A$3:$H$130,MATCH(F84,'G-8 Condition Look up'!$A$3:$A$130,0),MATCH(J84,'G-8 Condition Look up'!$A$3:$H$3,0)),"")</f>
        <v/>
      </c>
      <c r="L84" s="71"/>
      <c r="M84" s="507" t="str">
        <f>IF(L84="","",IF(VLOOKUP(L84,'G-3 Multipliers'!$L$3:$N$6,2,FALSE)=0,"Spatial Data Missing",VLOOKUP(L84,'G-3 Multipliers'!$L$3:$N$6,2,FALSE)))</f>
        <v/>
      </c>
      <c r="N84" s="505" t="str">
        <f>IF(L84="","",IF(VLOOKUP(L84,'G-3 Multipliers'!$L$3:$N$6,3,FALSE)=0,"Spatial Data Missing",VLOOKUP(L84,'G-3 Multipliers'!$L$3:$N$6,3,FALSE)))</f>
        <v/>
      </c>
      <c r="O84" s="498" t="str">
        <f t="shared" si="6"/>
        <v/>
      </c>
      <c r="P84" s="82"/>
      <c r="Q84" s="82"/>
      <c r="R84" s="507" t="str">
        <f t="shared" si="8"/>
        <v/>
      </c>
      <c r="S84" s="521" t="str">
        <f t="shared" si="9"/>
        <v/>
      </c>
      <c r="T84" s="522" t="str">
        <f>IFERROR(IF(S84="Check Data ⚠","Check Data ⚠",VLOOKUP(S84,'G-4 Temporal multipliers'!$A$4:$C$37,3,FALSE)),"")</f>
        <v/>
      </c>
      <c r="U84" s="523" t="str">
        <f>IF(F84="","",VLOOKUP(F84,'G-3 Multipliers'!$A$2:$E$129,2,FALSE))</f>
        <v/>
      </c>
      <c r="V84" s="520" t="str">
        <f t="shared" si="10"/>
        <v/>
      </c>
      <c r="W84" s="520" t="str">
        <f>IF(E84="","",IF(AND(V84="Standard difficulty applied",O84&gt;P84),U84,IF(AND(V84="Low Difficulty - only applicable if all habitat created before losses",P84&gt;=O84),"Low",VLOOKUP(F84,'G-3 Multipliers'!$A$2:$E$129,4,FALSE))))</f>
        <v/>
      </c>
      <c r="X84" s="524" t="str">
        <f>IFERROR(IF(E84="","",VLOOKUP(W84, 'G-3 Multipliers'!$P$2:$Q$6,2,FALSE)),"")</f>
        <v/>
      </c>
      <c r="Y84" s="529" t="str">
        <f t="shared" si="11"/>
        <v/>
      </c>
      <c r="Z84" s="239"/>
      <c r="AA84" s="240"/>
      <c r="AE84" s="54" t="str">
        <f t="shared" si="7"/>
        <v/>
      </c>
    </row>
    <row r="85" spans="1:31" x14ac:dyDescent="0.3">
      <c r="A85" s="47" t="str">
        <f>IFERROR(INDEX('G-8 Condition Look up'!$I$4:$I$130,MATCH(F85,'G-8 Condition Look up'!$A$4:$A$130,0)),"")</f>
        <v/>
      </c>
      <c r="C85" s="384" t="str">
        <f>IFERROR(INDEX('G-1 All Habitats'!$AG$3:$AG$15,MATCH(D85,'G-1 All Habitats'!$AF$3:$AF$15,0)),"")</f>
        <v/>
      </c>
      <c r="D85" s="146"/>
      <c r="E85" s="79"/>
      <c r="F85" s="246" t="str">
        <f>IFERROR(INDEX('G-1 All Habitats'!$B$3:$B$129,MATCH(E85,'G-1 All Habitats'!$A$3:$A$129,0)),"")</f>
        <v/>
      </c>
      <c r="G85" s="70"/>
      <c r="H85" s="498" t="str">
        <f>IF(F85="","",VLOOKUP(F85,'G-1 All Habitats'!$B$2:$M$129,10,FALSE))</f>
        <v/>
      </c>
      <c r="I85" s="499" t="str">
        <f>IFERROR(VLOOKUP(H85,'G-1 All Habitats'!$V$3:$W$7,2,FALSE),"")</f>
        <v/>
      </c>
      <c r="J85" s="71"/>
      <c r="K85" s="499" t="str">
        <f>IFERROR(INDEX('G-8 Condition Look up'!$A$3:$H$130,MATCH(F85,'G-8 Condition Look up'!$A$3:$A$130,0),MATCH(J85,'G-8 Condition Look up'!$A$3:$H$3,0)),"")</f>
        <v/>
      </c>
      <c r="L85" s="71"/>
      <c r="M85" s="507" t="str">
        <f>IF(L85="","",IF(VLOOKUP(L85,'G-3 Multipliers'!$L$3:$N$6,2,FALSE)=0,"Spatial Data Missing",VLOOKUP(L85,'G-3 Multipliers'!$L$3:$N$6,2,FALSE)))</f>
        <v/>
      </c>
      <c r="N85" s="505" t="str">
        <f>IF(L85="","",IF(VLOOKUP(L85,'G-3 Multipliers'!$L$3:$N$6,3,FALSE)=0,"Spatial Data Missing",VLOOKUP(L85,'G-3 Multipliers'!$L$3:$N$6,3,FALSE)))</f>
        <v/>
      </c>
      <c r="O85" s="498" t="str">
        <f t="shared" si="6"/>
        <v/>
      </c>
      <c r="P85" s="82"/>
      <c r="Q85" s="82"/>
      <c r="R85" s="507" t="str">
        <f t="shared" si="8"/>
        <v/>
      </c>
      <c r="S85" s="521" t="str">
        <f t="shared" si="9"/>
        <v/>
      </c>
      <c r="T85" s="522" t="str">
        <f>IFERROR(IF(S85="Check Data ⚠","Check Data ⚠",VLOOKUP(S85,'G-4 Temporal multipliers'!$A$4:$C$37,3,FALSE)),"")</f>
        <v/>
      </c>
      <c r="U85" s="523" t="str">
        <f>IF(F85="","",VLOOKUP(F85,'G-3 Multipliers'!$A$2:$E$129,2,FALSE))</f>
        <v/>
      </c>
      <c r="V85" s="520" t="str">
        <f t="shared" si="10"/>
        <v/>
      </c>
      <c r="W85" s="520" t="str">
        <f>IF(E85="","",IF(AND(V85="Standard difficulty applied",O85&gt;P85),U85,IF(AND(V85="Low Difficulty - only applicable if all habitat created before losses",P85&gt;=O85),"Low",VLOOKUP(F85,'G-3 Multipliers'!$A$2:$E$129,4,FALSE))))</f>
        <v/>
      </c>
      <c r="X85" s="524" t="str">
        <f>IFERROR(IF(E85="","",VLOOKUP(W85, 'G-3 Multipliers'!$P$2:$Q$6,2,FALSE)),"")</f>
        <v/>
      </c>
      <c r="Y85" s="529" t="str">
        <f t="shared" si="11"/>
        <v/>
      </c>
      <c r="Z85" s="239"/>
      <c r="AA85" s="240"/>
      <c r="AE85" s="54" t="str">
        <f t="shared" si="7"/>
        <v/>
      </c>
    </row>
    <row r="86" spans="1:31" x14ac:dyDescent="0.3">
      <c r="A86" s="47" t="str">
        <f>IFERROR(INDEX('G-8 Condition Look up'!$I$4:$I$130,MATCH(F86,'G-8 Condition Look up'!$A$4:$A$130,0)),"")</f>
        <v/>
      </c>
      <c r="C86" s="384" t="str">
        <f>IFERROR(INDEX('G-1 All Habitats'!$AG$3:$AG$15,MATCH(D86,'G-1 All Habitats'!$AF$3:$AF$15,0)),"")</f>
        <v/>
      </c>
      <c r="D86" s="146"/>
      <c r="E86" s="79"/>
      <c r="F86" s="246" t="str">
        <f>IFERROR(INDEX('G-1 All Habitats'!$B$3:$B$129,MATCH(E86,'G-1 All Habitats'!$A$3:$A$129,0)),"")</f>
        <v/>
      </c>
      <c r="G86" s="70"/>
      <c r="H86" s="498" t="str">
        <f>IF(F86="","",VLOOKUP(F86,'G-1 All Habitats'!$B$2:$M$129,10,FALSE))</f>
        <v/>
      </c>
      <c r="I86" s="499" t="str">
        <f>IFERROR(VLOOKUP(H86,'G-1 All Habitats'!$V$3:$W$7,2,FALSE),"")</f>
        <v/>
      </c>
      <c r="J86" s="71"/>
      <c r="K86" s="499" t="str">
        <f>IFERROR(INDEX('G-8 Condition Look up'!$A$3:$H$130,MATCH(F86,'G-8 Condition Look up'!$A$3:$A$130,0),MATCH(J86,'G-8 Condition Look up'!$A$3:$H$3,0)),"")</f>
        <v/>
      </c>
      <c r="L86" s="71"/>
      <c r="M86" s="507" t="str">
        <f>IF(L86="","",IF(VLOOKUP(L86,'G-3 Multipliers'!$L$3:$N$6,2,FALSE)=0,"Spatial Data Missing",VLOOKUP(L86,'G-3 Multipliers'!$L$3:$N$6,2,FALSE)))</f>
        <v/>
      </c>
      <c r="N86" s="505" t="str">
        <f>IF(L86="","",IF(VLOOKUP(L86,'G-3 Multipliers'!$L$3:$N$6,3,FALSE)=0,"Spatial Data Missing",VLOOKUP(L86,'G-3 Multipliers'!$L$3:$N$6,3,FALSE)))</f>
        <v/>
      </c>
      <c r="O86" s="498" t="str">
        <f t="shared" si="6"/>
        <v/>
      </c>
      <c r="P86" s="82"/>
      <c r="Q86" s="82"/>
      <c r="R86" s="507" t="str">
        <f t="shared" si="8"/>
        <v/>
      </c>
      <c r="S86" s="521" t="str">
        <f t="shared" si="9"/>
        <v/>
      </c>
      <c r="T86" s="522" t="str">
        <f>IFERROR(IF(S86="Check Data ⚠","Check Data ⚠",VLOOKUP(S86,'G-4 Temporal multipliers'!$A$4:$C$37,3,FALSE)),"")</f>
        <v/>
      </c>
      <c r="U86" s="523" t="str">
        <f>IF(F86="","",VLOOKUP(F86,'G-3 Multipliers'!$A$2:$E$129,2,FALSE))</f>
        <v/>
      </c>
      <c r="V86" s="520" t="str">
        <f t="shared" si="10"/>
        <v/>
      </c>
      <c r="W86" s="520" t="str">
        <f>IF(E86="","",IF(AND(V86="Standard difficulty applied",O86&gt;P86),U86,IF(AND(V86="Low Difficulty - only applicable if all habitat created before losses",P86&gt;=O86),"Low",VLOOKUP(F86,'G-3 Multipliers'!$A$2:$E$129,4,FALSE))))</f>
        <v/>
      </c>
      <c r="X86" s="524" t="str">
        <f>IFERROR(IF(E86="","",VLOOKUP(W86, 'G-3 Multipliers'!$P$2:$Q$6,2,FALSE)),"")</f>
        <v/>
      </c>
      <c r="Y86" s="529" t="str">
        <f t="shared" si="11"/>
        <v/>
      </c>
      <c r="Z86" s="239"/>
      <c r="AA86" s="240"/>
      <c r="AE86" s="54" t="str">
        <f t="shared" si="7"/>
        <v/>
      </c>
    </row>
    <row r="87" spans="1:31" x14ac:dyDescent="0.3">
      <c r="A87" s="47" t="str">
        <f>IFERROR(INDEX('G-8 Condition Look up'!$I$4:$I$130,MATCH(F87,'G-8 Condition Look up'!$A$4:$A$130,0)),"")</f>
        <v/>
      </c>
      <c r="C87" s="384" t="str">
        <f>IFERROR(INDEX('G-1 All Habitats'!$AG$3:$AG$15,MATCH(D87,'G-1 All Habitats'!$AF$3:$AF$15,0)),"")</f>
        <v/>
      </c>
      <c r="D87" s="146"/>
      <c r="E87" s="79"/>
      <c r="F87" s="246" t="str">
        <f>IFERROR(INDEX('G-1 All Habitats'!$B$3:$B$129,MATCH(E87,'G-1 All Habitats'!$A$3:$A$129,0)),"")</f>
        <v/>
      </c>
      <c r="G87" s="70"/>
      <c r="H87" s="498" t="str">
        <f>IF(F87="","",VLOOKUP(F87,'G-1 All Habitats'!$B$2:$M$129,10,FALSE))</f>
        <v/>
      </c>
      <c r="I87" s="499" t="str">
        <f>IFERROR(VLOOKUP(H87,'G-1 All Habitats'!$V$3:$W$7,2,FALSE),"")</f>
        <v/>
      </c>
      <c r="J87" s="71"/>
      <c r="K87" s="499" t="str">
        <f>IFERROR(INDEX('G-8 Condition Look up'!$A$3:$H$130,MATCH(F87,'G-8 Condition Look up'!$A$3:$A$130,0),MATCH(J87,'G-8 Condition Look up'!$A$3:$H$3,0)),"")</f>
        <v/>
      </c>
      <c r="L87" s="71"/>
      <c r="M87" s="507" t="str">
        <f>IF(L87="","",IF(VLOOKUP(L87,'G-3 Multipliers'!$L$3:$N$6,2,FALSE)=0,"Spatial Data Missing",VLOOKUP(L87,'G-3 Multipliers'!$L$3:$N$6,2,FALSE)))</f>
        <v/>
      </c>
      <c r="N87" s="505" t="str">
        <f>IF(L87="","",IF(VLOOKUP(L87,'G-3 Multipliers'!$L$3:$N$6,3,FALSE)=0,"Spatial Data Missing",VLOOKUP(L87,'G-3 Multipliers'!$L$3:$N$6,3,FALSE)))</f>
        <v/>
      </c>
      <c r="O87" s="498" t="str">
        <f t="shared" si="6"/>
        <v/>
      </c>
      <c r="P87" s="82"/>
      <c r="Q87" s="82"/>
      <c r="R87" s="507" t="str">
        <f t="shared" si="8"/>
        <v/>
      </c>
      <c r="S87" s="521" t="str">
        <f t="shared" si="9"/>
        <v/>
      </c>
      <c r="T87" s="522" t="str">
        <f>IFERROR(IF(S87="Check Data ⚠","Check Data ⚠",VLOOKUP(S87,'G-4 Temporal multipliers'!$A$4:$C$37,3,FALSE)),"")</f>
        <v/>
      </c>
      <c r="U87" s="523" t="str">
        <f>IF(F87="","",VLOOKUP(F87,'G-3 Multipliers'!$A$2:$E$129,2,FALSE))</f>
        <v/>
      </c>
      <c r="V87" s="520" t="str">
        <f t="shared" si="10"/>
        <v/>
      </c>
      <c r="W87" s="520" t="str">
        <f>IF(E87="","",IF(AND(V87="Standard difficulty applied",O87&gt;P87),U87,IF(AND(V87="Low Difficulty - only applicable if all habitat created before losses",P87&gt;=O87),"Low",VLOOKUP(F87,'G-3 Multipliers'!$A$2:$E$129,4,FALSE))))</f>
        <v/>
      </c>
      <c r="X87" s="524" t="str">
        <f>IFERROR(IF(E87="","",VLOOKUP(W87, 'G-3 Multipliers'!$P$2:$Q$6,2,FALSE)),"")</f>
        <v/>
      </c>
      <c r="Y87" s="529" t="str">
        <f t="shared" si="11"/>
        <v/>
      </c>
      <c r="Z87" s="239"/>
      <c r="AA87" s="240"/>
      <c r="AE87" s="54" t="str">
        <f t="shared" si="7"/>
        <v/>
      </c>
    </row>
    <row r="88" spans="1:31" x14ac:dyDescent="0.3">
      <c r="A88" s="47" t="str">
        <f>IFERROR(INDEX('G-8 Condition Look up'!$I$4:$I$130,MATCH(F88,'G-8 Condition Look up'!$A$4:$A$130,0)),"")</f>
        <v/>
      </c>
      <c r="C88" s="384" t="str">
        <f>IFERROR(INDEX('G-1 All Habitats'!$AG$3:$AG$15,MATCH(D88,'G-1 All Habitats'!$AF$3:$AF$15,0)),"")</f>
        <v/>
      </c>
      <c r="D88" s="146"/>
      <c r="E88" s="79"/>
      <c r="F88" s="246" t="str">
        <f>IFERROR(INDEX('G-1 All Habitats'!$B$3:$B$129,MATCH(E88,'G-1 All Habitats'!$A$3:$A$129,0)),"")</f>
        <v/>
      </c>
      <c r="G88" s="70"/>
      <c r="H88" s="498" t="str">
        <f>IF(F88="","",VLOOKUP(F88,'G-1 All Habitats'!$B$2:$M$129,10,FALSE))</f>
        <v/>
      </c>
      <c r="I88" s="499" t="str">
        <f>IFERROR(VLOOKUP(H88,'G-1 All Habitats'!$V$3:$W$7,2,FALSE),"")</f>
        <v/>
      </c>
      <c r="J88" s="71"/>
      <c r="K88" s="499" t="str">
        <f>IFERROR(INDEX('G-8 Condition Look up'!$A$3:$H$130,MATCH(F88,'G-8 Condition Look up'!$A$3:$A$130,0),MATCH(J88,'G-8 Condition Look up'!$A$3:$H$3,0)),"")</f>
        <v/>
      </c>
      <c r="L88" s="71"/>
      <c r="M88" s="507" t="str">
        <f>IF(L88="","",IF(VLOOKUP(L88,'G-3 Multipliers'!$L$3:$N$6,2,FALSE)=0,"Spatial Data Missing",VLOOKUP(L88,'G-3 Multipliers'!$L$3:$N$6,2,FALSE)))</f>
        <v/>
      </c>
      <c r="N88" s="505" t="str">
        <f>IF(L88="","",IF(VLOOKUP(L88,'G-3 Multipliers'!$L$3:$N$6,3,FALSE)=0,"Spatial Data Missing",VLOOKUP(L88,'G-3 Multipliers'!$L$3:$N$6,3,FALSE)))</f>
        <v/>
      </c>
      <c r="O88" s="498" t="str">
        <f t="shared" si="6"/>
        <v/>
      </c>
      <c r="P88" s="82"/>
      <c r="Q88" s="82"/>
      <c r="R88" s="507" t="str">
        <f t="shared" si="8"/>
        <v/>
      </c>
      <c r="S88" s="521" t="str">
        <f t="shared" si="9"/>
        <v/>
      </c>
      <c r="T88" s="522" t="str">
        <f>IFERROR(IF(S88="Check Data ⚠","Check Data ⚠",VLOOKUP(S88,'G-4 Temporal multipliers'!$A$4:$C$37,3,FALSE)),"")</f>
        <v/>
      </c>
      <c r="U88" s="523" t="str">
        <f>IF(F88="","",VLOOKUP(F88,'G-3 Multipliers'!$A$2:$E$129,2,FALSE))</f>
        <v/>
      </c>
      <c r="V88" s="520" t="str">
        <f t="shared" si="10"/>
        <v/>
      </c>
      <c r="W88" s="520" t="str">
        <f>IF(E88="","",IF(AND(V88="Standard difficulty applied",O88&gt;P88),U88,IF(AND(V88="Low Difficulty - only applicable if all habitat created before losses",P88&gt;=O88),"Low",VLOOKUP(F88,'G-3 Multipliers'!$A$2:$E$129,4,FALSE))))</f>
        <v/>
      </c>
      <c r="X88" s="524" t="str">
        <f>IFERROR(IF(E88="","",VLOOKUP(W88, 'G-3 Multipliers'!$P$2:$Q$6,2,FALSE)),"")</f>
        <v/>
      </c>
      <c r="Y88" s="529" t="str">
        <f t="shared" si="11"/>
        <v/>
      </c>
      <c r="Z88" s="239"/>
      <c r="AA88" s="240"/>
      <c r="AE88" s="54" t="str">
        <f t="shared" si="7"/>
        <v/>
      </c>
    </row>
    <row r="89" spans="1:31" x14ac:dyDescent="0.3">
      <c r="A89" s="47" t="str">
        <f>IFERROR(INDEX('G-8 Condition Look up'!$I$4:$I$130,MATCH(F89,'G-8 Condition Look up'!$A$4:$A$130,0)),"")</f>
        <v/>
      </c>
      <c r="C89" s="384" t="str">
        <f>IFERROR(INDEX('G-1 All Habitats'!$AG$3:$AG$15,MATCH(D89,'G-1 All Habitats'!$AF$3:$AF$15,0)),"")</f>
        <v/>
      </c>
      <c r="D89" s="146"/>
      <c r="E89" s="79"/>
      <c r="F89" s="246" t="str">
        <f>IFERROR(INDEX('G-1 All Habitats'!$B$3:$B$129,MATCH(E89,'G-1 All Habitats'!$A$3:$A$129,0)),"")</f>
        <v/>
      </c>
      <c r="G89" s="70"/>
      <c r="H89" s="498" t="str">
        <f>IF(F89="","",VLOOKUP(F89,'G-1 All Habitats'!$B$2:$M$129,10,FALSE))</f>
        <v/>
      </c>
      <c r="I89" s="499" t="str">
        <f>IFERROR(VLOOKUP(H89,'G-1 All Habitats'!$V$3:$W$7,2,FALSE),"")</f>
        <v/>
      </c>
      <c r="J89" s="71"/>
      <c r="K89" s="499" t="str">
        <f>IFERROR(INDEX('G-8 Condition Look up'!$A$3:$H$130,MATCH(F89,'G-8 Condition Look up'!$A$3:$A$130,0),MATCH(J89,'G-8 Condition Look up'!$A$3:$H$3,0)),"")</f>
        <v/>
      </c>
      <c r="L89" s="71"/>
      <c r="M89" s="507" t="str">
        <f>IF(L89="","",IF(VLOOKUP(L89,'G-3 Multipliers'!$L$3:$N$6,2,FALSE)=0,"Spatial Data Missing",VLOOKUP(L89,'G-3 Multipliers'!$L$3:$N$6,2,FALSE)))</f>
        <v/>
      </c>
      <c r="N89" s="505" t="str">
        <f>IF(L89="","",IF(VLOOKUP(L89,'G-3 Multipliers'!$L$3:$N$6,3,FALSE)=0,"Spatial Data Missing",VLOOKUP(L89,'G-3 Multipliers'!$L$3:$N$6,3,FALSE)))</f>
        <v/>
      </c>
      <c r="O89" s="498" t="str">
        <f t="shared" si="6"/>
        <v/>
      </c>
      <c r="P89" s="82"/>
      <c r="Q89" s="82"/>
      <c r="R89" s="507" t="str">
        <f t="shared" si="8"/>
        <v/>
      </c>
      <c r="S89" s="521" t="str">
        <f t="shared" si="9"/>
        <v/>
      </c>
      <c r="T89" s="522" t="str">
        <f>IFERROR(IF(S89="Check Data ⚠","Check Data ⚠",VLOOKUP(S89,'G-4 Temporal multipliers'!$A$4:$C$37,3,FALSE)),"")</f>
        <v/>
      </c>
      <c r="U89" s="523" t="str">
        <f>IF(F89="","",VLOOKUP(F89,'G-3 Multipliers'!$A$2:$E$129,2,FALSE))</f>
        <v/>
      </c>
      <c r="V89" s="520" t="str">
        <f t="shared" si="10"/>
        <v/>
      </c>
      <c r="W89" s="520" t="str">
        <f>IF(E89="","",IF(AND(V89="Standard difficulty applied",O89&gt;P89),U89,IF(AND(V89="Low Difficulty - only applicable if all habitat created before losses",P89&gt;=O89),"Low",VLOOKUP(F89,'G-3 Multipliers'!$A$2:$E$129,4,FALSE))))</f>
        <v/>
      </c>
      <c r="X89" s="524" t="str">
        <f>IFERROR(IF(E89="","",VLOOKUP(W89, 'G-3 Multipliers'!$P$2:$Q$6,2,FALSE)),"")</f>
        <v/>
      </c>
      <c r="Y89" s="529" t="str">
        <f t="shared" si="11"/>
        <v/>
      </c>
      <c r="Z89" s="239"/>
      <c r="AA89" s="240"/>
      <c r="AE89" s="54" t="str">
        <f t="shared" si="7"/>
        <v/>
      </c>
    </row>
    <row r="90" spans="1:31" x14ac:dyDescent="0.3">
      <c r="A90" s="47" t="str">
        <f>IFERROR(INDEX('G-8 Condition Look up'!$I$4:$I$130,MATCH(F90,'G-8 Condition Look up'!$A$4:$A$130,0)),"")</f>
        <v/>
      </c>
      <c r="C90" s="384" t="str">
        <f>IFERROR(INDEX('G-1 All Habitats'!$AG$3:$AG$15,MATCH(D90,'G-1 All Habitats'!$AF$3:$AF$15,0)),"")</f>
        <v/>
      </c>
      <c r="D90" s="146"/>
      <c r="E90" s="79"/>
      <c r="F90" s="246" t="str">
        <f>IFERROR(INDEX('G-1 All Habitats'!$B$3:$B$129,MATCH(E90,'G-1 All Habitats'!$A$3:$A$129,0)),"")</f>
        <v/>
      </c>
      <c r="G90" s="70"/>
      <c r="H90" s="498" t="str">
        <f>IF(F90="","",VLOOKUP(F90,'G-1 All Habitats'!$B$2:$M$129,10,FALSE))</f>
        <v/>
      </c>
      <c r="I90" s="499" t="str">
        <f>IFERROR(VLOOKUP(H90,'G-1 All Habitats'!$V$3:$W$7,2,FALSE),"")</f>
        <v/>
      </c>
      <c r="J90" s="71"/>
      <c r="K90" s="499" t="str">
        <f>IFERROR(INDEX('G-8 Condition Look up'!$A$3:$H$130,MATCH(F90,'G-8 Condition Look up'!$A$3:$A$130,0),MATCH(J90,'G-8 Condition Look up'!$A$3:$H$3,0)),"")</f>
        <v/>
      </c>
      <c r="L90" s="71"/>
      <c r="M90" s="507" t="str">
        <f>IF(L90="","",IF(VLOOKUP(L90,'G-3 Multipliers'!$L$3:$N$6,2,FALSE)=0,"Spatial Data Missing",VLOOKUP(L90,'G-3 Multipliers'!$L$3:$N$6,2,FALSE)))</f>
        <v/>
      </c>
      <c r="N90" s="505" t="str">
        <f>IF(L90="","",IF(VLOOKUP(L90,'G-3 Multipliers'!$L$3:$N$6,3,FALSE)=0,"Spatial Data Missing",VLOOKUP(L90,'G-3 Multipliers'!$L$3:$N$6,3,FALSE)))</f>
        <v/>
      </c>
      <c r="O90" s="498" t="str">
        <f t="shared" si="6"/>
        <v/>
      </c>
      <c r="P90" s="82"/>
      <c r="Q90" s="82"/>
      <c r="R90" s="507" t="str">
        <f t="shared" si="8"/>
        <v/>
      </c>
      <c r="S90" s="521" t="str">
        <f t="shared" si="9"/>
        <v/>
      </c>
      <c r="T90" s="522" t="str">
        <f>IFERROR(IF(S90="Check Data ⚠","Check Data ⚠",VLOOKUP(S90,'G-4 Temporal multipliers'!$A$4:$C$37,3,FALSE)),"")</f>
        <v/>
      </c>
      <c r="U90" s="523" t="str">
        <f>IF(F90="","",VLOOKUP(F90,'G-3 Multipliers'!$A$2:$E$129,2,FALSE))</f>
        <v/>
      </c>
      <c r="V90" s="520" t="str">
        <f t="shared" si="10"/>
        <v/>
      </c>
      <c r="W90" s="520" t="str">
        <f>IF(E90="","",IF(AND(V90="Standard difficulty applied",O90&gt;P90),U90,IF(AND(V90="Low Difficulty - only applicable if all habitat created before losses",P90&gt;=O90),"Low",VLOOKUP(F90,'G-3 Multipliers'!$A$2:$E$129,4,FALSE))))</f>
        <v/>
      </c>
      <c r="X90" s="524" t="str">
        <f>IFERROR(IF(E90="","",VLOOKUP(W90, 'G-3 Multipliers'!$P$2:$Q$6,2,FALSE)),"")</f>
        <v/>
      </c>
      <c r="Y90" s="529" t="str">
        <f t="shared" si="11"/>
        <v/>
      </c>
      <c r="Z90" s="239"/>
      <c r="AA90" s="240"/>
      <c r="AE90" s="54" t="str">
        <f t="shared" si="7"/>
        <v/>
      </c>
    </row>
    <row r="91" spans="1:31" x14ac:dyDescent="0.3">
      <c r="A91" s="47" t="str">
        <f>IFERROR(INDEX('G-8 Condition Look up'!$I$4:$I$130,MATCH(F91,'G-8 Condition Look up'!$A$4:$A$130,0)),"")</f>
        <v/>
      </c>
      <c r="C91" s="384" t="str">
        <f>IFERROR(INDEX('G-1 All Habitats'!$AG$3:$AG$15,MATCH(D91,'G-1 All Habitats'!$AF$3:$AF$15,0)),"")</f>
        <v/>
      </c>
      <c r="D91" s="146"/>
      <c r="E91" s="79"/>
      <c r="F91" s="246" t="str">
        <f>IFERROR(INDEX('G-1 All Habitats'!$B$3:$B$129,MATCH(E91,'G-1 All Habitats'!$A$3:$A$129,0)),"")</f>
        <v/>
      </c>
      <c r="G91" s="70"/>
      <c r="H91" s="498" t="str">
        <f>IF(F91="","",VLOOKUP(F91,'G-1 All Habitats'!$B$2:$M$129,10,FALSE))</f>
        <v/>
      </c>
      <c r="I91" s="499" t="str">
        <f>IFERROR(VLOOKUP(H91,'G-1 All Habitats'!$V$3:$W$7,2,FALSE),"")</f>
        <v/>
      </c>
      <c r="J91" s="71"/>
      <c r="K91" s="499" t="str">
        <f>IFERROR(INDEX('G-8 Condition Look up'!$A$3:$H$130,MATCH(F91,'G-8 Condition Look up'!$A$3:$A$130,0),MATCH(J91,'G-8 Condition Look up'!$A$3:$H$3,0)),"")</f>
        <v/>
      </c>
      <c r="L91" s="71"/>
      <c r="M91" s="507" t="str">
        <f>IF(L91="","",IF(VLOOKUP(L91,'G-3 Multipliers'!$L$3:$N$6,2,FALSE)=0,"Spatial Data Missing",VLOOKUP(L91,'G-3 Multipliers'!$L$3:$N$6,2,FALSE)))</f>
        <v/>
      </c>
      <c r="N91" s="505" t="str">
        <f>IF(L91="","",IF(VLOOKUP(L91,'G-3 Multipliers'!$L$3:$N$6,3,FALSE)=0,"Spatial Data Missing",VLOOKUP(L91,'G-3 Multipliers'!$L$3:$N$6,3,FALSE)))</f>
        <v/>
      </c>
      <c r="O91" s="498" t="str">
        <f t="shared" si="6"/>
        <v/>
      </c>
      <c r="P91" s="82"/>
      <c r="Q91" s="82"/>
      <c r="R91" s="507" t="str">
        <f t="shared" si="8"/>
        <v/>
      </c>
      <c r="S91" s="521" t="str">
        <f t="shared" si="9"/>
        <v/>
      </c>
      <c r="T91" s="522" t="str">
        <f>IFERROR(IF(S91="Check Data ⚠","Check Data ⚠",VLOOKUP(S91,'G-4 Temporal multipliers'!$A$4:$C$37,3,FALSE)),"")</f>
        <v/>
      </c>
      <c r="U91" s="523" t="str">
        <f>IF(F91="","",VLOOKUP(F91,'G-3 Multipliers'!$A$2:$E$129,2,FALSE))</f>
        <v/>
      </c>
      <c r="V91" s="520" t="str">
        <f t="shared" si="10"/>
        <v/>
      </c>
      <c r="W91" s="520" t="str">
        <f>IF(E91="","",IF(AND(V91="Standard difficulty applied",O91&gt;P91),U91,IF(AND(V91="Low Difficulty - only applicable if all habitat created before losses",P91&gt;=O91),"Low",VLOOKUP(F91,'G-3 Multipliers'!$A$2:$E$129,4,FALSE))))</f>
        <v/>
      </c>
      <c r="X91" s="524" t="str">
        <f>IFERROR(IF(E91="","",VLOOKUP(W91, 'G-3 Multipliers'!$P$2:$Q$6,2,FALSE)),"")</f>
        <v/>
      </c>
      <c r="Y91" s="529" t="str">
        <f t="shared" si="11"/>
        <v/>
      </c>
      <c r="Z91" s="239"/>
      <c r="AA91" s="240"/>
      <c r="AE91" s="54" t="str">
        <f t="shared" si="7"/>
        <v/>
      </c>
    </row>
    <row r="92" spans="1:31" x14ac:dyDescent="0.3">
      <c r="A92" s="47" t="str">
        <f>IFERROR(INDEX('G-8 Condition Look up'!$I$4:$I$130,MATCH(F92,'G-8 Condition Look up'!$A$4:$A$130,0)),"")</f>
        <v/>
      </c>
      <c r="C92" s="384" t="str">
        <f>IFERROR(INDEX('G-1 All Habitats'!$AG$3:$AG$15,MATCH(D92,'G-1 All Habitats'!$AF$3:$AF$15,0)),"")</f>
        <v/>
      </c>
      <c r="D92" s="146"/>
      <c r="E92" s="79"/>
      <c r="F92" s="246" t="str">
        <f>IFERROR(INDEX('G-1 All Habitats'!$B$3:$B$129,MATCH(E92,'G-1 All Habitats'!$A$3:$A$129,0)),"")</f>
        <v/>
      </c>
      <c r="G92" s="70"/>
      <c r="H92" s="498" t="str">
        <f>IF(F92="","",VLOOKUP(F92,'G-1 All Habitats'!$B$2:$M$129,10,FALSE))</f>
        <v/>
      </c>
      <c r="I92" s="499" t="str">
        <f>IFERROR(VLOOKUP(H92,'G-1 All Habitats'!$V$3:$W$7,2,FALSE),"")</f>
        <v/>
      </c>
      <c r="J92" s="71"/>
      <c r="K92" s="499" t="str">
        <f>IFERROR(INDEX('G-8 Condition Look up'!$A$3:$H$130,MATCH(F92,'G-8 Condition Look up'!$A$3:$A$130,0),MATCH(J92,'G-8 Condition Look up'!$A$3:$H$3,0)),"")</f>
        <v/>
      </c>
      <c r="L92" s="71"/>
      <c r="M92" s="507" t="str">
        <f>IF(L92="","",IF(VLOOKUP(L92,'G-3 Multipliers'!$L$3:$N$6,2,FALSE)=0,"Spatial Data Missing",VLOOKUP(L92,'G-3 Multipliers'!$L$3:$N$6,2,FALSE)))</f>
        <v/>
      </c>
      <c r="N92" s="505" t="str">
        <f>IF(L92="","",IF(VLOOKUP(L92,'G-3 Multipliers'!$L$3:$N$6,3,FALSE)=0,"Spatial Data Missing",VLOOKUP(L92,'G-3 Multipliers'!$L$3:$N$6,3,FALSE)))</f>
        <v/>
      </c>
      <c r="O92" s="498" t="str">
        <f t="shared" si="6"/>
        <v/>
      </c>
      <c r="P92" s="82"/>
      <c r="Q92" s="82"/>
      <c r="R92" s="507" t="str">
        <f t="shared" si="8"/>
        <v/>
      </c>
      <c r="S92" s="521" t="str">
        <f t="shared" si="9"/>
        <v/>
      </c>
      <c r="T92" s="522" t="str">
        <f>IFERROR(IF(S92="Check Data ⚠","Check Data ⚠",VLOOKUP(S92,'G-4 Temporal multipliers'!$A$4:$C$37,3,FALSE)),"")</f>
        <v/>
      </c>
      <c r="U92" s="523" t="str">
        <f>IF(F92="","",VLOOKUP(F92,'G-3 Multipliers'!$A$2:$E$129,2,FALSE))</f>
        <v/>
      </c>
      <c r="V92" s="520" t="str">
        <f t="shared" si="10"/>
        <v/>
      </c>
      <c r="W92" s="520" t="str">
        <f>IF(E92="","",IF(AND(V92="Standard difficulty applied",O92&gt;P92),U92,IF(AND(V92="Low Difficulty - only applicable if all habitat created before losses",P92&gt;=O92),"Low",VLOOKUP(F92,'G-3 Multipliers'!$A$2:$E$129,4,FALSE))))</f>
        <v/>
      </c>
      <c r="X92" s="524" t="str">
        <f>IFERROR(IF(E92="","",VLOOKUP(W92, 'G-3 Multipliers'!$P$2:$Q$6,2,FALSE)),"")</f>
        <v/>
      </c>
      <c r="Y92" s="529" t="str">
        <f t="shared" si="11"/>
        <v/>
      </c>
      <c r="Z92" s="239"/>
      <c r="AA92" s="240"/>
      <c r="AE92" s="54" t="str">
        <f t="shared" si="7"/>
        <v/>
      </c>
    </row>
    <row r="93" spans="1:31" x14ac:dyDescent="0.3">
      <c r="A93" s="47" t="str">
        <f>IFERROR(INDEX('G-8 Condition Look up'!$I$4:$I$130,MATCH(F93,'G-8 Condition Look up'!$A$4:$A$130,0)),"")</f>
        <v/>
      </c>
      <c r="C93" s="384" t="str">
        <f>IFERROR(INDEX('G-1 All Habitats'!$AG$3:$AG$15,MATCH(D93,'G-1 All Habitats'!$AF$3:$AF$15,0)),"")</f>
        <v/>
      </c>
      <c r="D93" s="146"/>
      <c r="E93" s="79"/>
      <c r="F93" s="246" t="str">
        <f>IFERROR(INDEX('G-1 All Habitats'!$B$3:$B$129,MATCH(E93,'G-1 All Habitats'!$A$3:$A$129,0)),"")</f>
        <v/>
      </c>
      <c r="G93" s="70"/>
      <c r="H93" s="498" t="str">
        <f>IF(F93="","",VLOOKUP(F93,'G-1 All Habitats'!$B$2:$M$129,10,FALSE))</f>
        <v/>
      </c>
      <c r="I93" s="499" t="str">
        <f>IFERROR(VLOOKUP(H93,'G-1 All Habitats'!$V$3:$W$7,2,FALSE),"")</f>
        <v/>
      </c>
      <c r="J93" s="71"/>
      <c r="K93" s="499" t="str">
        <f>IFERROR(INDEX('G-8 Condition Look up'!$A$3:$H$130,MATCH(F93,'G-8 Condition Look up'!$A$3:$A$130,0),MATCH(J93,'G-8 Condition Look up'!$A$3:$H$3,0)),"")</f>
        <v/>
      </c>
      <c r="L93" s="71"/>
      <c r="M93" s="507" t="str">
        <f>IF(L93="","",IF(VLOOKUP(L93,'G-3 Multipliers'!$L$3:$N$6,2,FALSE)=0,"Spatial Data Missing",VLOOKUP(L93,'G-3 Multipliers'!$L$3:$N$6,2,FALSE)))</f>
        <v/>
      </c>
      <c r="N93" s="505" t="str">
        <f>IF(L93="","",IF(VLOOKUP(L93,'G-3 Multipliers'!$L$3:$N$6,3,FALSE)=0,"Spatial Data Missing",VLOOKUP(L93,'G-3 Multipliers'!$L$3:$N$6,3,FALSE)))</f>
        <v/>
      </c>
      <c r="O93" s="498" t="str">
        <f t="shared" si="6"/>
        <v/>
      </c>
      <c r="P93" s="82"/>
      <c r="Q93" s="82"/>
      <c r="R93" s="507" t="str">
        <f t="shared" si="8"/>
        <v/>
      </c>
      <c r="S93" s="521" t="str">
        <f t="shared" si="9"/>
        <v/>
      </c>
      <c r="T93" s="522" t="str">
        <f>IFERROR(IF(S93="Check Data ⚠","Check Data ⚠",VLOOKUP(S93,'G-4 Temporal multipliers'!$A$4:$C$37,3,FALSE)),"")</f>
        <v/>
      </c>
      <c r="U93" s="523" t="str">
        <f>IF(F93="","",VLOOKUP(F93,'G-3 Multipliers'!$A$2:$E$129,2,FALSE))</f>
        <v/>
      </c>
      <c r="V93" s="520" t="str">
        <f t="shared" si="10"/>
        <v/>
      </c>
      <c r="W93" s="520" t="str">
        <f>IF(E93="","",IF(AND(V93="Standard difficulty applied",O93&gt;P93),U93,IF(AND(V93="Low Difficulty - only applicable if all habitat created before losses",P93&gt;=O93),"Low",VLOOKUP(F93,'G-3 Multipliers'!$A$2:$E$129,4,FALSE))))</f>
        <v/>
      </c>
      <c r="X93" s="524" t="str">
        <f>IFERROR(IF(E93="","",VLOOKUP(W93, 'G-3 Multipliers'!$P$2:$Q$6,2,FALSE)),"")</f>
        <v/>
      </c>
      <c r="Y93" s="529" t="str">
        <f t="shared" si="11"/>
        <v/>
      </c>
      <c r="Z93" s="239"/>
      <c r="AA93" s="240"/>
      <c r="AE93" s="54" t="str">
        <f t="shared" si="7"/>
        <v/>
      </c>
    </row>
    <row r="94" spans="1:31" x14ac:dyDescent="0.3">
      <c r="A94" s="47" t="str">
        <f>IFERROR(INDEX('G-8 Condition Look up'!$I$4:$I$130,MATCH(F94,'G-8 Condition Look up'!$A$4:$A$130,0)),"")</f>
        <v/>
      </c>
      <c r="C94" s="384" t="str">
        <f>IFERROR(INDEX('G-1 All Habitats'!$AG$3:$AG$15,MATCH(D94,'G-1 All Habitats'!$AF$3:$AF$15,0)),"")</f>
        <v/>
      </c>
      <c r="D94" s="146"/>
      <c r="E94" s="79"/>
      <c r="F94" s="246" t="str">
        <f>IFERROR(INDEX('G-1 All Habitats'!$B$3:$B$129,MATCH(E94,'G-1 All Habitats'!$A$3:$A$129,0)),"")</f>
        <v/>
      </c>
      <c r="G94" s="70"/>
      <c r="H94" s="498" t="str">
        <f>IF(F94="","",VLOOKUP(F94,'G-1 All Habitats'!$B$2:$M$129,10,FALSE))</f>
        <v/>
      </c>
      <c r="I94" s="499" t="str">
        <f>IFERROR(VLOOKUP(H94,'G-1 All Habitats'!$V$3:$W$7,2,FALSE),"")</f>
        <v/>
      </c>
      <c r="J94" s="71"/>
      <c r="K94" s="499" t="str">
        <f>IFERROR(INDEX('G-8 Condition Look up'!$A$3:$H$130,MATCH(F94,'G-8 Condition Look up'!$A$3:$A$130,0),MATCH(J94,'G-8 Condition Look up'!$A$3:$H$3,0)),"")</f>
        <v/>
      </c>
      <c r="L94" s="71"/>
      <c r="M94" s="507" t="str">
        <f>IF(L94="","",IF(VLOOKUP(L94,'G-3 Multipliers'!$L$3:$N$6,2,FALSE)=0,"Spatial Data Missing",VLOOKUP(L94,'G-3 Multipliers'!$L$3:$N$6,2,FALSE)))</f>
        <v/>
      </c>
      <c r="N94" s="505" t="str">
        <f>IF(L94="","",IF(VLOOKUP(L94,'G-3 Multipliers'!$L$3:$N$6,3,FALSE)=0,"Spatial Data Missing",VLOOKUP(L94,'G-3 Multipliers'!$L$3:$N$6,3,FALSE)))</f>
        <v/>
      </c>
      <c r="O94" s="498" t="str">
        <f t="shared" si="6"/>
        <v/>
      </c>
      <c r="P94" s="82"/>
      <c r="Q94" s="82"/>
      <c r="R94" s="507" t="str">
        <f t="shared" si="8"/>
        <v/>
      </c>
      <c r="S94" s="521" t="str">
        <f t="shared" si="9"/>
        <v/>
      </c>
      <c r="T94" s="522" t="str">
        <f>IFERROR(IF(S94="Check Data ⚠","Check Data ⚠",VLOOKUP(S94,'G-4 Temporal multipliers'!$A$4:$C$37,3,FALSE)),"")</f>
        <v/>
      </c>
      <c r="U94" s="523" t="str">
        <f>IF(F94="","",VLOOKUP(F94,'G-3 Multipliers'!$A$2:$E$129,2,FALSE))</f>
        <v/>
      </c>
      <c r="V94" s="520" t="str">
        <f t="shared" si="10"/>
        <v/>
      </c>
      <c r="W94" s="520" t="str">
        <f>IF(E94="","",IF(AND(V94="Standard difficulty applied",O94&gt;P94),U94,IF(AND(V94="Low Difficulty - only applicable if all habitat created before losses",P94&gt;=O94),"Low",VLOOKUP(F94,'G-3 Multipliers'!$A$2:$E$129,4,FALSE))))</f>
        <v/>
      </c>
      <c r="X94" s="524" t="str">
        <f>IFERROR(IF(E94="","",VLOOKUP(W94, 'G-3 Multipliers'!$P$2:$Q$6,2,FALSE)),"")</f>
        <v/>
      </c>
      <c r="Y94" s="529" t="str">
        <f t="shared" si="11"/>
        <v/>
      </c>
      <c r="Z94" s="239"/>
      <c r="AA94" s="240"/>
      <c r="AE94" s="54" t="str">
        <f t="shared" si="7"/>
        <v/>
      </c>
    </row>
    <row r="95" spans="1:31" x14ac:dyDescent="0.3">
      <c r="A95" s="47" t="str">
        <f>IFERROR(INDEX('G-8 Condition Look up'!$I$4:$I$130,MATCH(F95,'G-8 Condition Look up'!$A$4:$A$130,0)),"")</f>
        <v/>
      </c>
      <c r="C95" s="384" t="str">
        <f>IFERROR(INDEX('G-1 All Habitats'!$AG$3:$AG$15,MATCH(D95,'G-1 All Habitats'!$AF$3:$AF$15,0)),"")</f>
        <v/>
      </c>
      <c r="D95" s="146"/>
      <c r="E95" s="79"/>
      <c r="F95" s="246" t="str">
        <f>IFERROR(INDEX('G-1 All Habitats'!$B$3:$B$129,MATCH(E95,'G-1 All Habitats'!$A$3:$A$129,0)),"")</f>
        <v/>
      </c>
      <c r="G95" s="70"/>
      <c r="H95" s="498" t="str">
        <f>IF(F95="","",VLOOKUP(F95,'G-1 All Habitats'!$B$2:$M$129,10,FALSE))</f>
        <v/>
      </c>
      <c r="I95" s="499" t="str">
        <f>IFERROR(VLOOKUP(H95,'G-1 All Habitats'!$V$3:$W$7,2,FALSE),"")</f>
        <v/>
      </c>
      <c r="J95" s="71"/>
      <c r="K95" s="499" t="str">
        <f>IFERROR(INDEX('G-8 Condition Look up'!$A$3:$H$130,MATCH(F95,'G-8 Condition Look up'!$A$3:$A$130,0),MATCH(J95,'G-8 Condition Look up'!$A$3:$H$3,0)),"")</f>
        <v/>
      </c>
      <c r="L95" s="71"/>
      <c r="M95" s="507" t="str">
        <f>IF(L95="","",IF(VLOOKUP(L95,'G-3 Multipliers'!$L$3:$N$6,2,FALSE)=0,"Spatial Data Missing",VLOOKUP(L95,'G-3 Multipliers'!$L$3:$N$6,2,FALSE)))</f>
        <v/>
      </c>
      <c r="N95" s="505" t="str">
        <f>IF(L95="","",IF(VLOOKUP(L95,'G-3 Multipliers'!$L$3:$N$6,3,FALSE)=0,"Spatial Data Missing",VLOOKUP(L95,'G-3 Multipliers'!$L$3:$N$6,3,FALSE)))</f>
        <v/>
      </c>
      <c r="O95" s="498" t="str">
        <f t="shared" si="6"/>
        <v/>
      </c>
      <c r="P95" s="82"/>
      <c r="Q95" s="82"/>
      <c r="R95" s="507" t="str">
        <f t="shared" si="8"/>
        <v/>
      </c>
      <c r="S95" s="521" t="str">
        <f t="shared" si="9"/>
        <v/>
      </c>
      <c r="T95" s="522" t="str">
        <f>IFERROR(IF(S95="Check Data ⚠","Check Data ⚠",VLOOKUP(S95,'G-4 Temporal multipliers'!$A$4:$C$37,3,FALSE)),"")</f>
        <v/>
      </c>
      <c r="U95" s="523" t="str">
        <f>IF(F95="","",VLOOKUP(F95,'G-3 Multipliers'!$A$2:$E$129,2,FALSE))</f>
        <v/>
      </c>
      <c r="V95" s="520" t="str">
        <f t="shared" si="10"/>
        <v/>
      </c>
      <c r="W95" s="520" t="str">
        <f>IF(E95="","",IF(AND(V95="Standard difficulty applied",O95&gt;P95),U95,IF(AND(V95="Low Difficulty - only applicable if all habitat created before losses",P95&gt;=O95),"Low",VLOOKUP(F95,'G-3 Multipliers'!$A$2:$E$129,4,FALSE))))</f>
        <v/>
      </c>
      <c r="X95" s="524" t="str">
        <f>IFERROR(IF(E95="","",VLOOKUP(W95, 'G-3 Multipliers'!$P$2:$Q$6,2,FALSE)),"")</f>
        <v/>
      </c>
      <c r="Y95" s="529" t="str">
        <f t="shared" si="11"/>
        <v/>
      </c>
      <c r="Z95" s="239"/>
      <c r="AA95" s="240"/>
      <c r="AE95" s="54" t="str">
        <f t="shared" si="7"/>
        <v/>
      </c>
    </row>
    <row r="96" spans="1:31" x14ac:dyDescent="0.3">
      <c r="A96" s="47" t="str">
        <f>IFERROR(INDEX('G-8 Condition Look up'!$I$4:$I$130,MATCH(F96,'G-8 Condition Look up'!$A$4:$A$130,0)),"")</f>
        <v/>
      </c>
      <c r="C96" s="384" t="str">
        <f>IFERROR(INDEX('G-1 All Habitats'!$AG$3:$AG$15,MATCH(D96,'G-1 All Habitats'!$AF$3:$AF$15,0)),"")</f>
        <v/>
      </c>
      <c r="D96" s="146"/>
      <c r="E96" s="79"/>
      <c r="F96" s="246" t="str">
        <f>IFERROR(INDEX('G-1 All Habitats'!$B$3:$B$129,MATCH(E96,'G-1 All Habitats'!$A$3:$A$129,0)),"")</f>
        <v/>
      </c>
      <c r="G96" s="70"/>
      <c r="H96" s="498" t="str">
        <f>IF(F96="","",VLOOKUP(F96,'G-1 All Habitats'!$B$2:$M$129,10,FALSE))</f>
        <v/>
      </c>
      <c r="I96" s="499" t="str">
        <f>IFERROR(VLOOKUP(H96,'G-1 All Habitats'!$V$3:$W$7,2,FALSE),"")</f>
        <v/>
      </c>
      <c r="J96" s="71"/>
      <c r="K96" s="499" t="str">
        <f>IFERROR(INDEX('G-8 Condition Look up'!$A$3:$H$130,MATCH(F96,'G-8 Condition Look up'!$A$3:$A$130,0),MATCH(J96,'G-8 Condition Look up'!$A$3:$H$3,0)),"")</f>
        <v/>
      </c>
      <c r="L96" s="71"/>
      <c r="M96" s="507" t="str">
        <f>IF(L96="","",IF(VLOOKUP(L96,'G-3 Multipliers'!$L$3:$N$6,2,FALSE)=0,"Spatial Data Missing",VLOOKUP(L96,'G-3 Multipliers'!$L$3:$N$6,2,FALSE)))</f>
        <v/>
      </c>
      <c r="N96" s="505" t="str">
        <f>IF(L96="","",IF(VLOOKUP(L96,'G-3 Multipliers'!$L$3:$N$6,3,FALSE)=0,"Spatial Data Missing",VLOOKUP(L96,'G-3 Multipliers'!$L$3:$N$6,3,FALSE)))</f>
        <v/>
      </c>
      <c r="O96" s="498" t="str">
        <f t="shared" si="6"/>
        <v/>
      </c>
      <c r="P96" s="82"/>
      <c r="Q96" s="82"/>
      <c r="R96" s="507" t="str">
        <f t="shared" si="8"/>
        <v/>
      </c>
      <c r="S96" s="521" t="str">
        <f t="shared" si="9"/>
        <v/>
      </c>
      <c r="T96" s="522" t="str">
        <f>IFERROR(IF(S96="Check Data ⚠","Check Data ⚠",VLOOKUP(S96,'G-4 Temporal multipliers'!$A$4:$C$37,3,FALSE)),"")</f>
        <v/>
      </c>
      <c r="U96" s="523" t="str">
        <f>IF(F96="","",VLOOKUP(F96,'G-3 Multipliers'!$A$2:$E$129,2,FALSE))</f>
        <v/>
      </c>
      <c r="V96" s="520" t="str">
        <f t="shared" si="10"/>
        <v/>
      </c>
      <c r="W96" s="520" t="str">
        <f>IF(E96="","",IF(AND(V96="Standard difficulty applied",O96&gt;P96),U96,IF(AND(V96="Low Difficulty - only applicable if all habitat created before losses",P96&gt;=O96),"Low",VLOOKUP(F96,'G-3 Multipliers'!$A$2:$E$129,4,FALSE))))</f>
        <v/>
      </c>
      <c r="X96" s="524" t="str">
        <f>IFERROR(IF(E96="","",VLOOKUP(W96, 'G-3 Multipliers'!$P$2:$Q$6,2,FALSE)),"")</f>
        <v/>
      </c>
      <c r="Y96" s="529" t="str">
        <f t="shared" si="11"/>
        <v/>
      </c>
      <c r="Z96" s="239"/>
      <c r="AA96" s="240"/>
      <c r="AE96" s="54" t="str">
        <f t="shared" si="7"/>
        <v/>
      </c>
    </row>
    <row r="97" spans="1:31" x14ac:dyDescent="0.3">
      <c r="A97" s="47" t="str">
        <f>IFERROR(INDEX('G-8 Condition Look up'!$I$4:$I$130,MATCH(F97,'G-8 Condition Look up'!$A$4:$A$130,0)),"")</f>
        <v/>
      </c>
      <c r="C97" s="384" t="str">
        <f>IFERROR(INDEX('G-1 All Habitats'!$AG$3:$AG$15,MATCH(D97,'G-1 All Habitats'!$AF$3:$AF$15,0)),"")</f>
        <v/>
      </c>
      <c r="D97" s="146"/>
      <c r="E97" s="79"/>
      <c r="F97" s="246" t="str">
        <f>IFERROR(INDEX('G-1 All Habitats'!$B$3:$B$129,MATCH(E97,'G-1 All Habitats'!$A$3:$A$129,0)),"")</f>
        <v/>
      </c>
      <c r="G97" s="70"/>
      <c r="H97" s="498" t="str">
        <f>IF(F97="","",VLOOKUP(F97,'G-1 All Habitats'!$B$2:$M$129,10,FALSE))</f>
        <v/>
      </c>
      <c r="I97" s="499" t="str">
        <f>IFERROR(VLOOKUP(H97,'G-1 All Habitats'!$V$3:$W$7,2,FALSE),"")</f>
        <v/>
      </c>
      <c r="J97" s="71"/>
      <c r="K97" s="499" t="str">
        <f>IFERROR(INDEX('G-8 Condition Look up'!$A$3:$H$130,MATCH(F97,'G-8 Condition Look up'!$A$3:$A$130,0),MATCH(J97,'G-8 Condition Look up'!$A$3:$H$3,0)),"")</f>
        <v/>
      </c>
      <c r="L97" s="71"/>
      <c r="M97" s="507" t="str">
        <f>IF(L97="","",IF(VLOOKUP(L97,'G-3 Multipliers'!$L$3:$N$6,2,FALSE)=0,"Spatial Data Missing",VLOOKUP(L97,'G-3 Multipliers'!$L$3:$N$6,2,FALSE)))</f>
        <v/>
      </c>
      <c r="N97" s="505" t="str">
        <f>IF(L97="","",IF(VLOOKUP(L97,'G-3 Multipliers'!$L$3:$N$6,3,FALSE)=0,"Spatial Data Missing",VLOOKUP(L97,'G-3 Multipliers'!$L$3:$N$6,3,FALSE)))</f>
        <v/>
      </c>
      <c r="O97" s="498" t="str">
        <f t="shared" si="6"/>
        <v/>
      </c>
      <c r="P97" s="82"/>
      <c r="Q97" s="82"/>
      <c r="R97" s="507" t="str">
        <f t="shared" si="8"/>
        <v/>
      </c>
      <c r="S97" s="521" t="str">
        <f t="shared" si="9"/>
        <v/>
      </c>
      <c r="T97" s="522" t="str">
        <f>IFERROR(IF(S97="Check Data ⚠","Check Data ⚠",VLOOKUP(S97,'G-4 Temporal multipliers'!$A$4:$C$37,3,FALSE)),"")</f>
        <v/>
      </c>
      <c r="U97" s="523" t="str">
        <f>IF(F97="","",VLOOKUP(F97,'G-3 Multipliers'!$A$2:$E$129,2,FALSE))</f>
        <v/>
      </c>
      <c r="V97" s="520" t="str">
        <f t="shared" si="10"/>
        <v/>
      </c>
      <c r="W97" s="520" t="str">
        <f>IF(E97="","",IF(AND(V97="Standard difficulty applied",O97&gt;P97),U97,IF(AND(V97="Low Difficulty - only applicable if all habitat created before losses",P97&gt;=O97),"Low",VLOOKUP(F97,'G-3 Multipliers'!$A$2:$E$129,4,FALSE))))</f>
        <v/>
      </c>
      <c r="X97" s="524" t="str">
        <f>IFERROR(IF(E97="","",VLOOKUP(W97, 'G-3 Multipliers'!$P$2:$Q$6,2,FALSE)),"")</f>
        <v/>
      </c>
      <c r="Y97" s="529" t="str">
        <f t="shared" si="11"/>
        <v/>
      </c>
      <c r="Z97" s="239"/>
      <c r="AA97" s="240"/>
      <c r="AE97" s="54" t="str">
        <f t="shared" si="7"/>
        <v/>
      </c>
    </row>
    <row r="98" spans="1:31" x14ac:dyDescent="0.3">
      <c r="A98" s="47" t="str">
        <f>IFERROR(INDEX('G-8 Condition Look up'!$I$4:$I$130,MATCH(F98,'G-8 Condition Look up'!$A$4:$A$130,0)),"")</f>
        <v/>
      </c>
      <c r="C98" s="384" t="str">
        <f>IFERROR(INDEX('G-1 All Habitats'!$AG$3:$AG$15,MATCH(D98,'G-1 All Habitats'!$AF$3:$AF$15,0)),"")</f>
        <v/>
      </c>
      <c r="D98" s="146"/>
      <c r="E98" s="79"/>
      <c r="F98" s="246" t="str">
        <f>IFERROR(INDEX('G-1 All Habitats'!$B$3:$B$129,MATCH(E98,'G-1 All Habitats'!$A$3:$A$129,0)),"")</f>
        <v/>
      </c>
      <c r="G98" s="70"/>
      <c r="H98" s="498" t="str">
        <f>IF(F98="","",VLOOKUP(F98,'G-1 All Habitats'!$B$2:$M$129,10,FALSE))</f>
        <v/>
      </c>
      <c r="I98" s="499" t="str">
        <f>IFERROR(VLOOKUP(H98,'G-1 All Habitats'!$V$3:$W$7,2,FALSE),"")</f>
        <v/>
      </c>
      <c r="J98" s="71"/>
      <c r="K98" s="499" t="str">
        <f>IFERROR(INDEX('G-8 Condition Look up'!$A$3:$H$130,MATCH(F98,'G-8 Condition Look up'!$A$3:$A$130,0),MATCH(J98,'G-8 Condition Look up'!$A$3:$H$3,0)),"")</f>
        <v/>
      </c>
      <c r="L98" s="71"/>
      <c r="M98" s="507" t="str">
        <f>IF(L98="","",IF(VLOOKUP(L98,'G-3 Multipliers'!$L$3:$N$6,2,FALSE)=0,"Spatial Data Missing",VLOOKUP(L98,'G-3 Multipliers'!$L$3:$N$6,2,FALSE)))</f>
        <v/>
      </c>
      <c r="N98" s="505" t="str">
        <f>IF(L98="","",IF(VLOOKUP(L98,'G-3 Multipliers'!$L$3:$N$6,3,FALSE)=0,"Spatial Data Missing",VLOOKUP(L98,'G-3 Multipliers'!$L$3:$N$6,3,FALSE)))</f>
        <v/>
      </c>
      <c r="O98" s="498" t="str">
        <f t="shared" si="6"/>
        <v/>
      </c>
      <c r="P98" s="82"/>
      <c r="Q98" s="82"/>
      <c r="R98" s="507" t="str">
        <f t="shared" si="8"/>
        <v/>
      </c>
      <c r="S98" s="521" t="str">
        <f t="shared" si="9"/>
        <v/>
      </c>
      <c r="T98" s="522" t="str">
        <f>IFERROR(IF(S98="Check Data ⚠","Check Data ⚠",VLOOKUP(S98,'G-4 Temporal multipliers'!$A$4:$C$37,3,FALSE)),"")</f>
        <v/>
      </c>
      <c r="U98" s="523" t="str">
        <f>IF(F98="","",VLOOKUP(F98,'G-3 Multipliers'!$A$2:$E$129,2,FALSE))</f>
        <v/>
      </c>
      <c r="V98" s="520" t="str">
        <f t="shared" si="10"/>
        <v/>
      </c>
      <c r="W98" s="520" t="str">
        <f>IF(E98="","",IF(AND(V98="Standard difficulty applied",O98&gt;P98),U98,IF(AND(V98="Low Difficulty - only applicable if all habitat created before losses",P98&gt;=O98),"Low",VLOOKUP(F98,'G-3 Multipliers'!$A$2:$E$129,4,FALSE))))</f>
        <v/>
      </c>
      <c r="X98" s="524" t="str">
        <f>IFERROR(IF(E98="","",VLOOKUP(W98, 'G-3 Multipliers'!$P$2:$Q$6,2,FALSE)),"")</f>
        <v/>
      </c>
      <c r="Y98" s="529" t="str">
        <f t="shared" si="11"/>
        <v/>
      </c>
      <c r="Z98" s="239"/>
      <c r="AA98" s="240"/>
      <c r="AE98" s="54" t="str">
        <f t="shared" si="7"/>
        <v/>
      </c>
    </row>
    <row r="99" spans="1:31" x14ac:dyDescent="0.3">
      <c r="A99" s="47" t="str">
        <f>IFERROR(INDEX('G-8 Condition Look up'!$I$4:$I$130,MATCH(F99,'G-8 Condition Look up'!$A$4:$A$130,0)),"")</f>
        <v/>
      </c>
      <c r="C99" s="384" t="str">
        <f>IFERROR(INDEX('G-1 All Habitats'!$AG$3:$AG$15,MATCH(D99,'G-1 All Habitats'!$AF$3:$AF$15,0)),"")</f>
        <v/>
      </c>
      <c r="D99" s="146"/>
      <c r="E99" s="79"/>
      <c r="F99" s="246" t="str">
        <f>IFERROR(INDEX('G-1 All Habitats'!$B$3:$B$129,MATCH(E99,'G-1 All Habitats'!$A$3:$A$129,0)),"")</f>
        <v/>
      </c>
      <c r="G99" s="70"/>
      <c r="H99" s="498" t="str">
        <f>IF(F99="","",VLOOKUP(F99,'G-1 All Habitats'!$B$2:$M$129,10,FALSE))</f>
        <v/>
      </c>
      <c r="I99" s="499" t="str">
        <f>IFERROR(VLOOKUP(H99,'G-1 All Habitats'!$V$3:$W$7,2,FALSE),"")</f>
        <v/>
      </c>
      <c r="J99" s="71"/>
      <c r="K99" s="499" t="str">
        <f>IFERROR(INDEX('G-8 Condition Look up'!$A$3:$H$130,MATCH(F99,'G-8 Condition Look up'!$A$3:$A$130,0),MATCH(J99,'G-8 Condition Look up'!$A$3:$H$3,0)),"")</f>
        <v/>
      </c>
      <c r="L99" s="71"/>
      <c r="M99" s="507" t="str">
        <f>IF(L99="","",IF(VLOOKUP(L99,'G-3 Multipliers'!$L$3:$N$6,2,FALSE)=0,"Spatial Data Missing",VLOOKUP(L99,'G-3 Multipliers'!$L$3:$N$6,2,FALSE)))</f>
        <v/>
      </c>
      <c r="N99" s="505" t="str">
        <f>IF(L99="","",IF(VLOOKUP(L99,'G-3 Multipliers'!$L$3:$N$6,3,FALSE)=0,"Spatial Data Missing",VLOOKUP(L99,'G-3 Multipliers'!$L$3:$N$6,3,FALSE)))</f>
        <v/>
      </c>
      <c r="O99" s="498" t="str">
        <f t="shared" si="6"/>
        <v/>
      </c>
      <c r="P99" s="82"/>
      <c r="Q99" s="82"/>
      <c r="R99" s="507" t="str">
        <f t="shared" si="8"/>
        <v/>
      </c>
      <c r="S99" s="521" t="str">
        <f t="shared" si="9"/>
        <v/>
      </c>
      <c r="T99" s="522" t="str">
        <f>IFERROR(IF(S99="Check Data ⚠","Check Data ⚠",VLOOKUP(S99,'G-4 Temporal multipliers'!$A$4:$C$37,3,FALSE)),"")</f>
        <v/>
      </c>
      <c r="U99" s="523" t="str">
        <f>IF(F99="","",VLOOKUP(F99,'G-3 Multipliers'!$A$2:$E$129,2,FALSE))</f>
        <v/>
      </c>
      <c r="V99" s="520" t="str">
        <f t="shared" si="10"/>
        <v/>
      </c>
      <c r="W99" s="520" t="str">
        <f>IF(E99="","",IF(AND(V99="Standard difficulty applied",O99&gt;P99),U99,IF(AND(V99="Low Difficulty - only applicable if all habitat created before losses",P99&gt;=O99),"Low",VLOOKUP(F99,'G-3 Multipliers'!$A$2:$E$129,4,FALSE))))</f>
        <v/>
      </c>
      <c r="X99" s="524" t="str">
        <f>IFERROR(IF(E99="","",VLOOKUP(W99, 'G-3 Multipliers'!$P$2:$Q$6,2,FALSE)),"")</f>
        <v/>
      </c>
      <c r="Y99" s="529" t="str">
        <f t="shared" si="11"/>
        <v/>
      </c>
      <c r="Z99" s="239"/>
      <c r="AA99" s="240"/>
      <c r="AE99" s="54" t="str">
        <f t="shared" si="7"/>
        <v/>
      </c>
    </row>
    <row r="100" spans="1:31" x14ac:dyDescent="0.3">
      <c r="A100" s="47" t="str">
        <f>IFERROR(INDEX('G-8 Condition Look up'!$I$4:$I$130,MATCH(F100,'G-8 Condition Look up'!$A$4:$A$130,0)),"")</f>
        <v/>
      </c>
      <c r="C100" s="384" t="str">
        <f>IFERROR(INDEX('G-1 All Habitats'!$AG$3:$AG$15,MATCH(D100,'G-1 All Habitats'!$AF$3:$AF$15,0)),"")</f>
        <v/>
      </c>
      <c r="D100" s="146"/>
      <c r="E100" s="79"/>
      <c r="F100" s="246" t="str">
        <f>IFERROR(INDEX('G-1 All Habitats'!$B$3:$B$129,MATCH(E100,'G-1 All Habitats'!$A$3:$A$129,0)),"")</f>
        <v/>
      </c>
      <c r="G100" s="70"/>
      <c r="H100" s="498" t="str">
        <f>IF(F100="","",VLOOKUP(F100,'G-1 All Habitats'!$B$2:$M$129,10,FALSE))</f>
        <v/>
      </c>
      <c r="I100" s="499" t="str">
        <f>IFERROR(VLOOKUP(H100,'G-1 All Habitats'!$V$3:$W$7,2,FALSE),"")</f>
        <v/>
      </c>
      <c r="J100" s="71"/>
      <c r="K100" s="499" t="str">
        <f>IFERROR(INDEX('G-8 Condition Look up'!$A$3:$H$130,MATCH(F100,'G-8 Condition Look up'!$A$3:$A$130,0),MATCH(J100,'G-8 Condition Look up'!$A$3:$H$3,0)),"")</f>
        <v/>
      </c>
      <c r="L100" s="71"/>
      <c r="M100" s="507" t="str">
        <f>IF(L100="","",IF(VLOOKUP(L100,'G-3 Multipliers'!$L$3:$N$6,2,FALSE)=0,"Spatial Data Missing",VLOOKUP(L100,'G-3 Multipliers'!$L$3:$N$6,2,FALSE)))</f>
        <v/>
      </c>
      <c r="N100" s="505" t="str">
        <f>IF(L100="","",IF(VLOOKUP(L100,'G-3 Multipliers'!$L$3:$N$6,3,FALSE)=0,"Spatial Data Missing",VLOOKUP(L100,'G-3 Multipliers'!$L$3:$N$6,3,FALSE)))</f>
        <v/>
      </c>
      <c r="O100" s="498" t="str">
        <f t="shared" si="6"/>
        <v/>
      </c>
      <c r="P100" s="82"/>
      <c r="Q100" s="82"/>
      <c r="R100" s="507" t="str">
        <f t="shared" si="8"/>
        <v/>
      </c>
      <c r="S100" s="521" t="str">
        <f t="shared" si="9"/>
        <v/>
      </c>
      <c r="T100" s="522" t="str">
        <f>IFERROR(IF(S100="Check Data ⚠","Check Data ⚠",VLOOKUP(S100,'G-4 Temporal multipliers'!$A$4:$C$37,3,FALSE)),"")</f>
        <v/>
      </c>
      <c r="U100" s="523" t="str">
        <f>IF(F100="","",VLOOKUP(F100,'G-3 Multipliers'!$A$2:$E$129,2,FALSE))</f>
        <v/>
      </c>
      <c r="V100" s="520" t="str">
        <f t="shared" si="10"/>
        <v/>
      </c>
      <c r="W100" s="520" t="str">
        <f>IF(E100="","",IF(AND(V100="Standard difficulty applied",O100&gt;P100),U100,IF(AND(V100="Low Difficulty - only applicable if all habitat created before losses",P100&gt;=O100),"Low",VLOOKUP(F100,'G-3 Multipliers'!$A$2:$E$129,4,FALSE))))</f>
        <v/>
      </c>
      <c r="X100" s="524" t="str">
        <f>IFERROR(IF(E100="","",VLOOKUP(W100, 'G-3 Multipliers'!$P$2:$Q$6,2,FALSE)),"")</f>
        <v/>
      </c>
      <c r="Y100" s="529" t="str">
        <f t="shared" si="11"/>
        <v/>
      </c>
      <c r="Z100" s="239"/>
      <c r="AA100" s="240"/>
      <c r="AE100" s="54" t="str">
        <f t="shared" si="7"/>
        <v/>
      </c>
    </row>
    <row r="101" spans="1:31" x14ac:dyDescent="0.3">
      <c r="A101" s="47" t="str">
        <f>IFERROR(INDEX('G-8 Condition Look up'!$I$4:$I$130,MATCH(F101,'G-8 Condition Look up'!$A$4:$A$130,0)),"")</f>
        <v/>
      </c>
      <c r="C101" s="384" t="str">
        <f>IFERROR(INDEX('G-1 All Habitats'!$AG$3:$AG$15,MATCH(D101,'G-1 All Habitats'!$AF$3:$AF$15,0)),"")</f>
        <v/>
      </c>
      <c r="D101" s="146"/>
      <c r="E101" s="79"/>
      <c r="F101" s="246" t="str">
        <f>IFERROR(INDEX('G-1 All Habitats'!$B$3:$B$129,MATCH(E101,'G-1 All Habitats'!$A$3:$A$129,0)),"")</f>
        <v/>
      </c>
      <c r="G101" s="70"/>
      <c r="H101" s="498" t="str">
        <f>IF(F101="","",VLOOKUP(F101,'G-1 All Habitats'!$B$2:$M$129,10,FALSE))</f>
        <v/>
      </c>
      <c r="I101" s="499" t="str">
        <f>IFERROR(VLOOKUP(H101,'G-1 All Habitats'!$V$3:$W$7,2,FALSE),"")</f>
        <v/>
      </c>
      <c r="J101" s="71"/>
      <c r="K101" s="499" t="str">
        <f>IFERROR(INDEX('G-8 Condition Look up'!$A$3:$H$130,MATCH(F101,'G-8 Condition Look up'!$A$3:$A$130,0),MATCH(J101,'G-8 Condition Look up'!$A$3:$H$3,0)),"")</f>
        <v/>
      </c>
      <c r="L101" s="71"/>
      <c r="M101" s="507" t="str">
        <f>IF(L101="","",IF(VLOOKUP(L101,'G-3 Multipliers'!$L$3:$N$6,2,FALSE)=0,"Spatial Data Missing",VLOOKUP(L101,'G-3 Multipliers'!$L$3:$N$6,2,FALSE)))</f>
        <v/>
      </c>
      <c r="N101" s="505" t="str">
        <f>IF(L101="","",IF(VLOOKUP(L101,'G-3 Multipliers'!$L$3:$N$6,3,FALSE)=0,"Spatial Data Missing",VLOOKUP(L101,'G-3 Multipliers'!$L$3:$N$6,3,FALSE)))</f>
        <v/>
      </c>
      <c r="O101" s="498" t="str">
        <f t="shared" si="6"/>
        <v/>
      </c>
      <c r="P101" s="82"/>
      <c r="Q101" s="82"/>
      <c r="R101" s="507" t="str">
        <f t="shared" si="8"/>
        <v/>
      </c>
      <c r="S101" s="521" t="str">
        <f t="shared" si="9"/>
        <v/>
      </c>
      <c r="T101" s="522" t="str">
        <f>IFERROR(IF(S101="Check Data ⚠","Check Data ⚠",VLOOKUP(S101,'G-4 Temporal multipliers'!$A$4:$C$37,3,FALSE)),"")</f>
        <v/>
      </c>
      <c r="U101" s="523" t="str">
        <f>IF(F101="","",VLOOKUP(F101,'G-3 Multipliers'!$A$2:$E$129,2,FALSE))</f>
        <v/>
      </c>
      <c r="V101" s="520" t="str">
        <f t="shared" si="10"/>
        <v/>
      </c>
      <c r="W101" s="520" t="str">
        <f>IF(E101="","",IF(AND(V101="Standard difficulty applied",O101&gt;P101),U101,IF(AND(V101="Low Difficulty - only applicable if all habitat created before losses",P101&gt;=O101),"Low",VLOOKUP(F101,'G-3 Multipliers'!$A$2:$E$129,4,FALSE))))</f>
        <v/>
      </c>
      <c r="X101" s="524" t="str">
        <f>IFERROR(IF(E101="","",VLOOKUP(W101, 'G-3 Multipliers'!$P$2:$Q$6,2,FALSE)),"")</f>
        <v/>
      </c>
      <c r="Y101" s="529" t="str">
        <f t="shared" si="11"/>
        <v/>
      </c>
      <c r="Z101" s="239"/>
      <c r="AA101" s="240"/>
      <c r="AE101" s="54" t="str">
        <f t="shared" si="7"/>
        <v/>
      </c>
    </row>
    <row r="102" spans="1:31" x14ac:dyDescent="0.3">
      <c r="A102" s="47" t="str">
        <f>IFERROR(INDEX('G-8 Condition Look up'!$I$4:$I$130,MATCH(F102,'G-8 Condition Look up'!$A$4:$A$130,0)),"")</f>
        <v/>
      </c>
      <c r="C102" s="384" t="str">
        <f>IFERROR(INDEX('G-1 All Habitats'!$AG$3:$AG$15,MATCH(D102,'G-1 All Habitats'!$AF$3:$AF$15,0)),"")</f>
        <v/>
      </c>
      <c r="D102" s="146"/>
      <c r="E102" s="79"/>
      <c r="F102" s="246" t="str">
        <f>IFERROR(INDEX('G-1 All Habitats'!$B$3:$B$129,MATCH(E102,'G-1 All Habitats'!$A$3:$A$129,0)),"")</f>
        <v/>
      </c>
      <c r="G102" s="70"/>
      <c r="H102" s="498" t="str">
        <f>IF(F102="","",VLOOKUP(F102,'G-1 All Habitats'!$B$2:$M$129,10,FALSE))</f>
        <v/>
      </c>
      <c r="I102" s="499" t="str">
        <f>IFERROR(VLOOKUP(H102,'G-1 All Habitats'!$V$3:$W$7,2,FALSE),"")</f>
        <v/>
      </c>
      <c r="J102" s="71"/>
      <c r="K102" s="499" t="str">
        <f>IFERROR(INDEX('G-8 Condition Look up'!$A$3:$H$130,MATCH(F102,'G-8 Condition Look up'!$A$3:$A$130,0),MATCH(J102,'G-8 Condition Look up'!$A$3:$H$3,0)),"")</f>
        <v/>
      </c>
      <c r="L102" s="71"/>
      <c r="M102" s="507" t="str">
        <f>IF(L102="","",IF(VLOOKUP(L102,'G-3 Multipliers'!$L$3:$N$6,2,FALSE)=0,"Spatial Data Missing",VLOOKUP(L102,'G-3 Multipliers'!$L$3:$N$6,2,FALSE)))</f>
        <v/>
      </c>
      <c r="N102" s="505" t="str">
        <f>IF(L102="","",IF(VLOOKUP(L102,'G-3 Multipliers'!$L$3:$N$6,3,FALSE)=0,"Spatial Data Missing",VLOOKUP(L102,'G-3 Multipliers'!$L$3:$N$6,3,FALSE)))</f>
        <v/>
      </c>
      <c r="O102" s="498" t="str">
        <f t="shared" si="6"/>
        <v/>
      </c>
      <c r="P102" s="82"/>
      <c r="Q102" s="82"/>
      <c r="R102" s="507" t="str">
        <f t="shared" si="8"/>
        <v/>
      </c>
      <c r="S102" s="521" t="str">
        <f t="shared" si="9"/>
        <v/>
      </c>
      <c r="T102" s="522" t="str">
        <f>IFERROR(IF(S102="Check Data ⚠","Check Data ⚠",VLOOKUP(S102,'G-4 Temporal multipliers'!$A$4:$C$37,3,FALSE)),"")</f>
        <v/>
      </c>
      <c r="U102" s="523" t="str">
        <f>IF(F102="","",VLOOKUP(F102,'G-3 Multipliers'!$A$2:$E$129,2,FALSE))</f>
        <v/>
      </c>
      <c r="V102" s="520" t="str">
        <f t="shared" si="10"/>
        <v/>
      </c>
      <c r="W102" s="520" t="str">
        <f>IF(E102="","",IF(AND(V102="Standard difficulty applied",O102&gt;P102),U102,IF(AND(V102="Low Difficulty - only applicable if all habitat created before losses",P102&gt;=O102),"Low",VLOOKUP(F102,'G-3 Multipliers'!$A$2:$E$129,4,FALSE))))</f>
        <v/>
      </c>
      <c r="X102" s="524" t="str">
        <f>IFERROR(IF(E102="","",VLOOKUP(W102, 'G-3 Multipliers'!$P$2:$Q$6,2,FALSE)),"")</f>
        <v/>
      </c>
      <c r="Y102" s="529" t="str">
        <f t="shared" si="11"/>
        <v/>
      </c>
      <c r="Z102" s="239"/>
      <c r="AA102" s="240"/>
      <c r="AE102" s="54" t="str">
        <f t="shared" si="7"/>
        <v/>
      </c>
    </row>
    <row r="103" spans="1:31" x14ac:dyDescent="0.3">
      <c r="A103" s="47" t="str">
        <f>IFERROR(INDEX('G-8 Condition Look up'!$I$4:$I$130,MATCH(F103,'G-8 Condition Look up'!$A$4:$A$130,0)),"")</f>
        <v/>
      </c>
      <c r="C103" s="384" t="str">
        <f>IFERROR(INDEX('G-1 All Habitats'!$AG$3:$AG$15,MATCH(D103,'G-1 All Habitats'!$AF$3:$AF$15,0)),"")</f>
        <v/>
      </c>
      <c r="D103" s="146"/>
      <c r="E103" s="79"/>
      <c r="F103" s="246" t="str">
        <f>IFERROR(INDEX('G-1 All Habitats'!$B$3:$B$129,MATCH(E103,'G-1 All Habitats'!$A$3:$A$129,0)),"")</f>
        <v/>
      </c>
      <c r="G103" s="70"/>
      <c r="H103" s="498" t="str">
        <f>IF(F103="","",VLOOKUP(F103,'G-1 All Habitats'!$B$2:$M$129,10,FALSE))</f>
        <v/>
      </c>
      <c r="I103" s="499" t="str">
        <f>IFERROR(VLOOKUP(H103,'G-1 All Habitats'!$V$3:$W$7,2,FALSE),"")</f>
        <v/>
      </c>
      <c r="J103" s="71"/>
      <c r="K103" s="499" t="str">
        <f>IFERROR(INDEX('G-8 Condition Look up'!$A$3:$H$130,MATCH(F103,'G-8 Condition Look up'!$A$3:$A$130,0),MATCH(J103,'G-8 Condition Look up'!$A$3:$H$3,0)),"")</f>
        <v/>
      </c>
      <c r="L103" s="71"/>
      <c r="M103" s="507" t="str">
        <f>IF(L103="","",IF(VLOOKUP(L103,'G-3 Multipliers'!$L$3:$N$6,2,FALSE)=0,"Spatial Data Missing",VLOOKUP(L103,'G-3 Multipliers'!$L$3:$N$6,2,FALSE)))</f>
        <v/>
      </c>
      <c r="N103" s="505" t="str">
        <f>IF(L103="","",IF(VLOOKUP(L103,'G-3 Multipliers'!$L$3:$N$6,3,FALSE)=0,"Spatial Data Missing",VLOOKUP(L103,'G-3 Multipliers'!$L$3:$N$6,3,FALSE)))</f>
        <v/>
      </c>
      <c r="O103" s="498" t="str">
        <f t="shared" si="6"/>
        <v/>
      </c>
      <c r="P103" s="82"/>
      <c r="Q103" s="82"/>
      <c r="R103" s="507" t="str">
        <f t="shared" si="8"/>
        <v/>
      </c>
      <c r="S103" s="521" t="str">
        <f t="shared" si="9"/>
        <v/>
      </c>
      <c r="T103" s="522" t="str">
        <f>IFERROR(IF(S103="Check Data ⚠","Check Data ⚠",VLOOKUP(S103,'G-4 Temporal multipliers'!$A$4:$C$37,3,FALSE)),"")</f>
        <v/>
      </c>
      <c r="U103" s="523" t="str">
        <f>IF(F103="","",VLOOKUP(F103,'G-3 Multipliers'!$A$2:$E$129,2,FALSE))</f>
        <v/>
      </c>
      <c r="V103" s="520" t="str">
        <f t="shared" si="10"/>
        <v/>
      </c>
      <c r="W103" s="520" t="str">
        <f>IF(E103="","",IF(AND(V103="Standard difficulty applied",O103&gt;P103),U103,IF(AND(V103="Low Difficulty - only applicable if all habitat created before losses",P103&gt;=O103),"Low",VLOOKUP(F103,'G-3 Multipliers'!$A$2:$E$129,4,FALSE))))</f>
        <v/>
      </c>
      <c r="X103" s="524" t="str">
        <f>IFERROR(IF(E103="","",VLOOKUP(W103, 'G-3 Multipliers'!$P$2:$Q$6,2,FALSE)),"")</f>
        <v/>
      </c>
      <c r="Y103" s="529" t="str">
        <f t="shared" si="11"/>
        <v/>
      </c>
      <c r="Z103" s="239"/>
      <c r="AA103" s="240"/>
      <c r="AE103" s="54" t="str">
        <f t="shared" si="7"/>
        <v/>
      </c>
    </row>
    <row r="104" spans="1:31" x14ac:dyDescent="0.3">
      <c r="A104" s="47" t="str">
        <f>IFERROR(INDEX('G-8 Condition Look up'!$I$4:$I$130,MATCH(F104,'G-8 Condition Look up'!$A$4:$A$130,0)),"")</f>
        <v/>
      </c>
      <c r="C104" s="384" t="str">
        <f>IFERROR(INDEX('G-1 All Habitats'!$AG$3:$AG$15,MATCH(D104,'G-1 All Habitats'!$AF$3:$AF$15,0)),"")</f>
        <v/>
      </c>
      <c r="D104" s="146"/>
      <c r="E104" s="79"/>
      <c r="F104" s="246" t="str">
        <f>IFERROR(INDEX('G-1 All Habitats'!$B$3:$B$129,MATCH(E104,'G-1 All Habitats'!$A$3:$A$129,0)),"")</f>
        <v/>
      </c>
      <c r="G104" s="70"/>
      <c r="H104" s="498" t="str">
        <f>IF(F104="","",VLOOKUP(F104,'G-1 All Habitats'!$B$2:$M$129,10,FALSE))</f>
        <v/>
      </c>
      <c r="I104" s="499" t="str">
        <f>IFERROR(VLOOKUP(H104,'G-1 All Habitats'!$V$3:$W$7,2,FALSE),"")</f>
        <v/>
      </c>
      <c r="J104" s="71"/>
      <c r="K104" s="499" t="str">
        <f>IFERROR(INDEX('G-8 Condition Look up'!$A$3:$H$130,MATCH(F104,'G-8 Condition Look up'!$A$3:$A$130,0),MATCH(J104,'G-8 Condition Look up'!$A$3:$H$3,0)),"")</f>
        <v/>
      </c>
      <c r="L104" s="71"/>
      <c r="M104" s="507" t="str">
        <f>IF(L104="","",IF(VLOOKUP(L104,'G-3 Multipliers'!$L$3:$N$6,2,FALSE)=0,"Spatial Data Missing",VLOOKUP(L104,'G-3 Multipliers'!$L$3:$N$6,2,FALSE)))</f>
        <v/>
      </c>
      <c r="N104" s="505" t="str">
        <f>IF(L104="","",IF(VLOOKUP(L104,'G-3 Multipliers'!$L$3:$N$6,3,FALSE)=0,"Spatial Data Missing",VLOOKUP(L104,'G-3 Multipliers'!$L$3:$N$6,3,FALSE)))</f>
        <v/>
      </c>
      <c r="O104" s="498" t="str">
        <f t="shared" si="6"/>
        <v/>
      </c>
      <c r="P104" s="82"/>
      <c r="Q104" s="82"/>
      <c r="R104" s="507" t="str">
        <f t="shared" si="8"/>
        <v/>
      </c>
      <c r="S104" s="521" t="str">
        <f t="shared" si="9"/>
        <v/>
      </c>
      <c r="T104" s="522" t="str">
        <f>IFERROR(IF(S104="Check Data ⚠","Check Data ⚠",VLOOKUP(S104,'G-4 Temporal multipliers'!$A$4:$C$37,3,FALSE)),"")</f>
        <v/>
      </c>
      <c r="U104" s="523" t="str">
        <f>IF(F104="","",VLOOKUP(F104,'G-3 Multipliers'!$A$2:$E$129,2,FALSE))</f>
        <v/>
      </c>
      <c r="V104" s="520" t="str">
        <f t="shared" si="10"/>
        <v/>
      </c>
      <c r="W104" s="520" t="str">
        <f>IF(E104="","",IF(AND(V104="Standard difficulty applied",O104&gt;P104),U104,IF(AND(V104="Low Difficulty - only applicable if all habitat created before losses",P104&gt;=O104),"Low",VLOOKUP(F104,'G-3 Multipliers'!$A$2:$E$129,4,FALSE))))</f>
        <v/>
      </c>
      <c r="X104" s="524" t="str">
        <f>IFERROR(IF(E104="","",VLOOKUP(W104, 'G-3 Multipliers'!$P$2:$Q$6,2,FALSE)),"")</f>
        <v/>
      </c>
      <c r="Y104" s="529" t="str">
        <f t="shared" si="11"/>
        <v/>
      </c>
      <c r="Z104" s="239"/>
      <c r="AA104" s="240"/>
      <c r="AE104" s="54" t="str">
        <f t="shared" si="7"/>
        <v/>
      </c>
    </row>
    <row r="105" spans="1:31" x14ac:dyDescent="0.3">
      <c r="A105" s="47" t="str">
        <f>IFERROR(INDEX('G-8 Condition Look up'!$I$4:$I$130,MATCH(F105,'G-8 Condition Look up'!$A$4:$A$130,0)),"")</f>
        <v/>
      </c>
      <c r="C105" s="384" t="str">
        <f>IFERROR(INDEX('G-1 All Habitats'!$AG$3:$AG$15,MATCH(D105,'G-1 All Habitats'!$AF$3:$AF$15,0)),"")</f>
        <v/>
      </c>
      <c r="D105" s="146"/>
      <c r="E105" s="79"/>
      <c r="F105" s="246" t="str">
        <f>IFERROR(INDEX('G-1 All Habitats'!$B$3:$B$129,MATCH(E105,'G-1 All Habitats'!$A$3:$A$129,0)),"")</f>
        <v/>
      </c>
      <c r="G105" s="70"/>
      <c r="H105" s="498" t="str">
        <f>IF(F105="","",VLOOKUP(F105,'G-1 All Habitats'!$B$2:$M$129,10,FALSE))</f>
        <v/>
      </c>
      <c r="I105" s="499" t="str">
        <f>IFERROR(VLOOKUP(H105,'G-1 All Habitats'!$V$3:$W$7,2,FALSE),"")</f>
        <v/>
      </c>
      <c r="J105" s="71"/>
      <c r="K105" s="499" t="str">
        <f>IFERROR(INDEX('G-8 Condition Look up'!$A$3:$H$130,MATCH(F105,'G-8 Condition Look up'!$A$3:$A$130,0),MATCH(J105,'G-8 Condition Look up'!$A$3:$H$3,0)),"")</f>
        <v/>
      </c>
      <c r="L105" s="71"/>
      <c r="M105" s="507" t="str">
        <f>IF(L105="","",IF(VLOOKUP(L105,'G-3 Multipliers'!$L$3:$N$6,2,FALSE)=0,"Spatial Data Missing",VLOOKUP(L105,'G-3 Multipliers'!$L$3:$N$6,2,FALSE)))</f>
        <v/>
      </c>
      <c r="N105" s="505" t="str">
        <f>IF(L105="","",IF(VLOOKUP(L105,'G-3 Multipliers'!$L$3:$N$6,3,FALSE)=0,"Spatial Data Missing",VLOOKUP(L105,'G-3 Multipliers'!$L$3:$N$6,3,FALSE)))</f>
        <v/>
      </c>
      <c r="O105" s="498" t="str">
        <f t="shared" si="6"/>
        <v/>
      </c>
      <c r="P105" s="82"/>
      <c r="Q105" s="82"/>
      <c r="R105" s="507" t="str">
        <f t="shared" si="8"/>
        <v/>
      </c>
      <c r="S105" s="521" t="str">
        <f t="shared" si="9"/>
        <v/>
      </c>
      <c r="T105" s="522" t="str">
        <f>IFERROR(IF(S105="Check Data ⚠","Check Data ⚠",VLOOKUP(S105,'G-4 Temporal multipliers'!$A$4:$C$37,3,FALSE)),"")</f>
        <v/>
      </c>
      <c r="U105" s="523" t="str">
        <f>IF(F105="","",VLOOKUP(F105,'G-3 Multipliers'!$A$2:$E$129,2,FALSE))</f>
        <v/>
      </c>
      <c r="V105" s="520" t="str">
        <f t="shared" si="10"/>
        <v/>
      </c>
      <c r="W105" s="520" t="str">
        <f>IF(E105="","",IF(AND(V105="Standard difficulty applied",O105&gt;P105),U105,IF(AND(V105="Low Difficulty - only applicable if all habitat created before losses",P105&gt;=O105),"Low",VLOOKUP(F105,'G-3 Multipliers'!$A$2:$E$129,4,FALSE))))</f>
        <v/>
      </c>
      <c r="X105" s="524" t="str">
        <f>IFERROR(IF(E105="","",VLOOKUP(W105, 'G-3 Multipliers'!$P$2:$Q$6,2,FALSE)),"")</f>
        <v/>
      </c>
      <c r="Y105" s="529" t="str">
        <f t="shared" si="11"/>
        <v/>
      </c>
      <c r="Z105" s="239"/>
      <c r="AA105" s="240"/>
      <c r="AE105" s="54" t="str">
        <f t="shared" si="7"/>
        <v/>
      </c>
    </row>
    <row r="106" spans="1:31" x14ac:dyDescent="0.3">
      <c r="A106" s="47" t="str">
        <f>IFERROR(INDEX('G-8 Condition Look up'!$I$4:$I$130,MATCH(F106,'G-8 Condition Look up'!$A$4:$A$130,0)),"")</f>
        <v/>
      </c>
      <c r="C106" s="384" t="str">
        <f>IFERROR(INDEX('G-1 All Habitats'!$AG$3:$AG$15,MATCH(D106,'G-1 All Habitats'!$AF$3:$AF$15,0)),"")</f>
        <v/>
      </c>
      <c r="D106" s="146"/>
      <c r="E106" s="79"/>
      <c r="F106" s="246" t="str">
        <f>IFERROR(INDEX('G-1 All Habitats'!$B$3:$B$129,MATCH(E106,'G-1 All Habitats'!$A$3:$A$129,0)),"")</f>
        <v/>
      </c>
      <c r="G106" s="70"/>
      <c r="H106" s="498" t="str">
        <f>IF(F106="","",VLOOKUP(F106,'G-1 All Habitats'!$B$2:$M$129,10,FALSE))</f>
        <v/>
      </c>
      <c r="I106" s="499" t="str">
        <f>IFERROR(VLOOKUP(H106,'G-1 All Habitats'!$V$3:$W$7,2,FALSE),"")</f>
        <v/>
      </c>
      <c r="J106" s="71"/>
      <c r="K106" s="499" t="str">
        <f>IFERROR(INDEX('G-8 Condition Look up'!$A$3:$H$130,MATCH(F106,'G-8 Condition Look up'!$A$3:$A$130,0),MATCH(J106,'G-8 Condition Look up'!$A$3:$H$3,0)),"")</f>
        <v/>
      </c>
      <c r="L106" s="71"/>
      <c r="M106" s="507" t="str">
        <f>IF(L106="","",IF(VLOOKUP(L106,'G-3 Multipliers'!$L$3:$N$6,2,FALSE)=0,"Spatial Data Missing",VLOOKUP(L106,'G-3 Multipliers'!$L$3:$N$6,2,FALSE)))</f>
        <v/>
      </c>
      <c r="N106" s="505" t="str">
        <f>IF(L106="","",IF(VLOOKUP(L106,'G-3 Multipliers'!$L$3:$N$6,3,FALSE)=0,"Spatial Data Missing",VLOOKUP(L106,'G-3 Multipliers'!$L$3:$N$6,3,FALSE)))</f>
        <v/>
      </c>
      <c r="O106" s="498" t="str">
        <f t="shared" si="6"/>
        <v/>
      </c>
      <c r="P106" s="82"/>
      <c r="Q106" s="82"/>
      <c r="R106" s="507" t="str">
        <f t="shared" si="8"/>
        <v/>
      </c>
      <c r="S106" s="521" t="str">
        <f t="shared" si="9"/>
        <v/>
      </c>
      <c r="T106" s="522" t="str">
        <f>IFERROR(IF(S106="Check Data ⚠","Check Data ⚠",VLOOKUP(S106,'G-4 Temporal multipliers'!$A$4:$C$37,3,FALSE)),"")</f>
        <v/>
      </c>
      <c r="U106" s="523" t="str">
        <f>IF(F106="","",VLOOKUP(F106,'G-3 Multipliers'!$A$2:$E$129,2,FALSE))</f>
        <v/>
      </c>
      <c r="V106" s="520" t="str">
        <f t="shared" si="10"/>
        <v/>
      </c>
      <c r="W106" s="520" t="str">
        <f>IF(E106="","",IF(AND(V106="Standard difficulty applied",O106&gt;P106),U106,IF(AND(V106="Low Difficulty - only applicable if all habitat created before losses",P106&gt;=O106),"Low",VLOOKUP(F106,'G-3 Multipliers'!$A$2:$E$129,4,FALSE))))</f>
        <v/>
      </c>
      <c r="X106" s="524" t="str">
        <f>IFERROR(IF(E106="","",VLOOKUP(W106, 'G-3 Multipliers'!$P$2:$Q$6,2,FALSE)),"")</f>
        <v/>
      </c>
      <c r="Y106" s="529" t="str">
        <f t="shared" si="11"/>
        <v/>
      </c>
      <c r="Z106" s="239"/>
      <c r="AA106" s="240"/>
      <c r="AE106" s="54" t="str">
        <f t="shared" si="7"/>
        <v/>
      </c>
    </row>
    <row r="107" spans="1:31" x14ac:dyDescent="0.3">
      <c r="A107" s="47" t="str">
        <f>IFERROR(INDEX('G-8 Condition Look up'!$I$4:$I$130,MATCH(F107,'G-8 Condition Look up'!$A$4:$A$130,0)),"")</f>
        <v/>
      </c>
      <c r="C107" s="384" t="str">
        <f>IFERROR(INDEX('G-1 All Habitats'!$AG$3:$AG$15,MATCH(D107,'G-1 All Habitats'!$AF$3:$AF$15,0)),"")</f>
        <v/>
      </c>
      <c r="D107" s="146"/>
      <c r="E107" s="79"/>
      <c r="F107" s="246" t="str">
        <f>IFERROR(INDEX('G-1 All Habitats'!$B$3:$B$129,MATCH(E107,'G-1 All Habitats'!$A$3:$A$129,0)),"")</f>
        <v/>
      </c>
      <c r="G107" s="70"/>
      <c r="H107" s="498" t="str">
        <f>IF(F107="","",VLOOKUP(F107,'G-1 All Habitats'!$B$2:$M$129,10,FALSE))</f>
        <v/>
      </c>
      <c r="I107" s="499" t="str">
        <f>IFERROR(VLOOKUP(H107,'G-1 All Habitats'!$V$3:$W$7,2,FALSE),"")</f>
        <v/>
      </c>
      <c r="J107" s="71"/>
      <c r="K107" s="499" t="str">
        <f>IFERROR(INDEX('G-8 Condition Look up'!$A$3:$H$130,MATCH(F107,'G-8 Condition Look up'!$A$3:$A$130,0),MATCH(J107,'G-8 Condition Look up'!$A$3:$H$3,0)),"")</f>
        <v/>
      </c>
      <c r="L107" s="71"/>
      <c r="M107" s="507" t="str">
        <f>IF(L107="","",IF(VLOOKUP(L107,'G-3 Multipliers'!$L$3:$N$6,2,FALSE)=0,"Spatial Data Missing",VLOOKUP(L107,'G-3 Multipliers'!$L$3:$N$6,2,FALSE)))</f>
        <v/>
      </c>
      <c r="N107" s="505" t="str">
        <f>IF(L107="","",IF(VLOOKUP(L107,'G-3 Multipliers'!$L$3:$N$6,3,FALSE)=0,"Spatial Data Missing",VLOOKUP(L107,'G-3 Multipliers'!$L$3:$N$6,3,FALSE)))</f>
        <v/>
      </c>
      <c r="O107" s="498" t="str">
        <f t="shared" si="6"/>
        <v/>
      </c>
      <c r="P107" s="82"/>
      <c r="Q107" s="82"/>
      <c r="R107" s="507" t="str">
        <f t="shared" si="8"/>
        <v/>
      </c>
      <c r="S107" s="521" t="str">
        <f t="shared" si="9"/>
        <v/>
      </c>
      <c r="T107" s="522" t="str">
        <f>IFERROR(IF(S107="Check Data ⚠","Check Data ⚠",VLOOKUP(S107,'G-4 Temporal multipliers'!$A$4:$C$37,3,FALSE)),"")</f>
        <v/>
      </c>
      <c r="U107" s="523" t="str">
        <f>IF(F107="","",VLOOKUP(F107,'G-3 Multipliers'!$A$2:$E$129,2,FALSE))</f>
        <v/>
      </c>
      <c r="V107" s="520" t="str">
        <f t="shared" si="10"/>
        <v/>
      </c>
      <c r="W107" s="520" t="str">
        <f>IF(E107="","",IF(AND(V107="Standard difficulty applied",O107&gt;P107),U107,IF(AND(V107="Low Difficulty - only applicable if all habitat created before losses",P107&gt;=O107),"Low",VLOOKUP(F107,'G-3 Multipliers'!$A$2:$E$129,4,FALSE))))</f>
        <v/>
      </c>
      <c r="X107" s="524" t="str">
        <f>IFERROR(IF(E107="","",VLOOKUP(W107, 'G-3 Multipliers'!$P$2:$Q$6,2,FALSE)),"")</f>
        <v/>
      </c>
      <c r="Y107" s="529" t="str">
        <f t="shared" si="11"/>
        <v/>
      </c>
      <c r="Z107" s="239"/>
      <c r="AA107" s="240"/>
      <c r="AE107" s="54" t="str">
        <f t="shared" si="7"/>
        <v/>
      </c>
    </row>
    <row r="108" spans="1:31" x14ac:dyDescent="0.3">
      <c r="A108" s="47" t="str">
        <f>IFERROR(INDEX('G-8 Condition Look up'!$I$4:$I$130,MATCH(F108,'G-8 Condition Look up'!$A$4:$A$130,0)),"")</f>
        <v/>
      </c>
      <c r="C108" s="384" t="str">
        <f>IFERROR(INDEX('G-1 All Habitats'!$AG$3:$AG$15,MATCH(D108,'G-1 All Habitats'!$AF$3:$AF$15,0)),"")</f>
        <v/>
      </c>
      <c r="D108" s="146"/>
      <c r="E108" s="79"/>
      <c r="F108" s="246" t="str">
        <f>IFERROR(INDEX('G-1 All Habitats'!$B$3:$B$129,MATCH(E108,'G-1 All Habitats'!$A$3:$A$129,0)),"")</f>
        <v/>
      </c>
      <c r="G108" s="70"/>
      <c r="H108" s="498" t="str">
        <f>IF(F108="","",VLOOKUP(F108,'G-1 All Habitats'!$B$2:$M$129,10,FALSE))</f>
        <v/>
      </c>
      <c r="I108" s="499" t="str">
        <f>IFERROR(VLOOKUP(H108,'G-1 All Habitats'!$V$3:$W$7,2,FALSE),"")</f>
        <v/>
      </c>
      <c r="J108" s="71"/>
      <c r="K108" s="499" t="str">
        <f>IFERROR(INDEX('G-8 Condition Look up'!$A$3:$H$130,MATCH(F108,'G-8 Condition Look up'!$A$3:$A$130,0),MATCH(J108,'G-8 Condition Look up'!$A$3:$H$3,0)),"")</f>
        <v/>
      </c>
      <c r="L108" s="71"/>
      <c r="M108" s="507" t="str">
        <f>IF(L108="","",IF(VLOOKUP(L108,'G-3 Multipliers'!$L$3:$N$6,2,FALSE)=0,"Spatial Data Missing",VLOOKUP(L108,'G-3 Multipliers'!$L$3:$N$6,2,FALSE)))</f>
        <v/>
      </c>
      <c r="N108" s="505" t="str">
        <f>IF(L108="","",IF(VLOOKUP(L108,'G-3 Multipliers'!$L$3:$N$6,3,FALSE)=0,"Spatial Data Missing",VLOOKUP(L108,'G-3 Multipliers'!$L$3:$N$6,3,FALSE)))</f>
        <v/>
      </c>
      <c r="O108" s="498" t="str">
        <f t="shared" si="6"/>
        <v/>
      </c>
      <c r="P108" s="82"/>
      <c r="Q108" s="82"/>
      <c r="R108" s="507" t="str">
        <f t="shared" si="8"/>
        <v/>
      </c>
      <c r="S108" s="521" t="str">
        <f t="shared" si="9"/>
        <v/>
      </c>
      <c r="T108" s="522" t="str">
        <f>IFERROR(IF(S108="Check Data ⚠","Check Data ⚠",VLOOKUP(S108,'G-4 Temporal multipliers'!$A$4:$C$37,3,FALSE)),"")</f>
        <v/>
      </c>
      <c r="U108" s="523" t="str">
        <f>IF(F108="","",VLOOKUP(F108,'G-3 Multipliers'!$A$2:$E$129,2,FALSE))</f>
        <v/>
      </c>
      <c r="V108" s="520" t="str">
        <f t="shared" si="10"/>
        <v/>
      </c>
      <c r="W108" s="520" t="str">
        <f>IF(E108="","",IF(AND(V108="Standard difficulty applied",O108&gt;P108),U108,IF(AND(V108="Low Difficulty - only applicable if all habitat created before losses",P108&gt;=O108),"Low",VLOOKUP(F108,'G-3 Multipliers'!$A$2:$E$129,4,FALSE))))</f>
        <v/>
      </c>
      <c r="X108" s="524" t="str">
        <f>IFERROR(IF(E108="","",VLOOKUP(W108, 'G-3 Multipliers'!$P$2:$Q$6,2,FALSE)),"")</f>
        <v/>
      </c>
      <c r="Y108" s="529" t="str">
        <f t="shared" si="11"/>
        <v/>
      </c>
      <c r="Z108" s="239"/>
      <c r="AA108" s="240"/>
      <c r="AE108" s="54" t="str">
        <f t="shared" si="7"/>
        <v/>
      </c>
    </row>
    <row r="109" spans="1:31" x14ac:dyDescent="0.3">
      <c r="A109" s="47" t="str">
        <f>IFERROR(INDEX('G-8 Condition Look up'!$I$4:$I$130,MATCH(F109,'G-8 Condition Look up'!$A$4:$A$130,0)),"")</f>
        <v/>
      </c>
      <c r="C109" s="384" t="str">
        <f>IFERROR(INDEX('G-1 All Habitats'!$AG$3:$AG$15,MATCH(D109,'G-1 All Habitats'!$AF$3:$AF$15,0)),"")</f>
        <v/>
      </c>
      <c r="D109" s="146"/>
      <c r="E109" s="79"/>
      <c r="F109" s="246" t="str">
        <f>IFERROR(INDEX('G-1 All Habitats'!$B$3:$B$129,MATCH(E109,'G-1 All Habitats'!$A$3:$A$129,0)),"")</f>
        <v/>
      </c>
      <c r="G109" s="70"/>
      <c r="H109" s="498" t="str">
        <f>IF(F109="","",VLOOKUP(F109,'G-1 All Habitats'!$B$2:$M$129,10,FALSE))</f>
        <v/>
      </c>
      <c r="I109" s="499" t="str">
        <f>IFERROR(VLOOKUP(H109,'G-1 All Habitats'!$V$3:$W$7,2,FALSE),"")</f>
        <v/>
      </c>
      <c r="J109" s="71"/>
      <c r="K109" s="499" t="str">
        <f>IFERROR(INDEX('G-8 Condition Look up'!$A$3:$H$130,MATCH(F109,'G-8 Condition Look up'!$A$3:$A$130,0),MATCH(J109,'G-8 Condition Look up'!$A$3:$H$3,0)),"")</f>
        <v/>
      </c>
      <c r="L109" s="71"/>
      <c r="M109" s="507" t="str">
        <f>IF(L109="","",IF(VLOOKUP(L109,'G-3 Multipliers'!$L$3:$N$6,2,FALSE)=0,"Spatial Data Missing",VLOOKUP(L109,'G-3 Multipliers'!$L$3:$N$6,2,FALSE)))</f>
        <v/>
      </c>
      <c r="N109" s="505" t="str">
        <f>IF(L109="","",IF(VLOOKUP(L109,'G-3 Multipliers'!$L$3:$N$6,3,FALSE)=0,"Spatial Data Missing",VLOOKUP(L109,'G-3 Multipliers'!$L$3:$N$6,3,FALSE)))</f>
        <v/>
      </c>
      <c r="O109" s="498" t="str">
        <f t="shared" si="6"/>
        <v/>
      </c>
      <c r="P109" s="82"/>
      <c r="Q109" s="82"/>
      <c r="R109" s="507" t="str">
        <f t="shared" si="8"/>
        <v/>
      </c>
      <c r="S109" s="521" t="str">
        <f t="shared" si="9"/>
        <v/>
      </c>
      <c r="T109" s="522" t="str">
        <f>IFERROR(IF(S109="Check Data ⚠","Check Data ⚠",VLOOKUP(S109,'G-4 Temporal multipliers'!$A$4:$C$37,3,FALSE)),"")</f>
        <v/>
      </c>
      <c r="U109" s="523" t="str">
        <f>IF(F109="","",VLOOKUP(F109,'G-3 Multipliers'!$A$2:$E$129,2,FALSE))</f>
        <v/>
      </c>
      <c r="V109" s="520" t="str">
        <f t="shared" si="10"/>
        <v/>
      </c>
      <c r="W109" s="520" t="str">
        <f>IF(E109="","",IF(AND(V109="Standard difficulty applied",O109&gt;P109),U109,IF(AND(V109="Low Difficulty - only applicable if all habitat created before losses",P109&gt;=O109),"Low",VLOOKUP(F109,'G-3 Multipliers'!$A$2:$E$129,4,FALSE))))</f>
        <v/>
      </c>
      <c r="X109" s="524" t="str">
        <f>IFERROR(IF(E109="","",VLOOKUP(W109, 'G-3 Multipliers'!$P$2:$Q$6,2,FALSE)),"")</f>
        <v/>
      </c>
      <c r="Y109" s="529" t="str">
        <f t="shared" si="11"/>
        <v/>
      </c>
      <c r="Z109" s="239"/>
      <c r="AA109" s="240"/>
      <c r="AE109" s="54" t="str">
        <f t="shared" si="7"/>
        <v/>
      </c>
    </row>
    <row r="110" spans="1:31" x14ac:dyDescent="0.3">
      <c r="A110" s="47" t="str">
        <f>IFERROR(INDEX('G-8 Condition Look up'!$I$4:$I$130,MATCH(F110,'G-8 Condition Look up'!$A$4:$A$130,0)),"")</f>
        <v/>
      </c>
      <c r="C110" s="384" t="str">
        <f>IFERROR(INDEX('G-1 All Habitats'!$AG$3:$AG$15,MATCH(D110,'G-1 All Habitats'!$AF$3:$AF$15,0)),"")</f>
        <v/>
      </c>
      <c r="D110" s="146"/>
      <c r="E110" s="79"/>
      <c r="F110" s="246" t="str">
        <f>IFERROR(INDEX('G-1 All Habitats'!$B$3:$B$129,MATCH(E110,'G-1 All Habitats'!$A$3:$A$129,0)),"")</f>
        <v/>
      </c>
      <c r="G110" s="70"/>
      <c r="H110" s="498" t="str">
        <f>IF(F110="","",VLOOKUP(F110,'G-1 All Habitats'!$B$2:$M$129,10,FALSE))</f>
        <v/>
      </c>
      <c r="I110" s="499" t="str">
        <f>IFERROR(VLOOKUP(H110,'G-1 All Habitats'!$V$3:$W$7,2,FALSE),"")</f>
        <v/>
      </c>
      <c r="J110" s="71"/>
      <c r="K110" s="499" t="str">
        <f>IFERROR(INDEX('G-8 Condition Look up'!$A$3:$H$130,MATCH(F110,'G-8 Condition Look up'!$A$3:$A$130,0),MATCH(J110,'G-8 Condition Look up'!$A$3:$H$3,0)),"")</f>
        <v/>
      </c>
      <c r="L110" s="71"/>
      <c r="M110" s="507" t="str">
        <f>IF(L110="","",IF(VLOOKUP(L110,'G-3 Multipliers'!$L$3:$N$6,2,FALSE)=0,"Spatial Data Missing",VLOOKUP(L110,'G-3 Multipliers'!$L$3:$N$6,2,FALSE)))</f>
        <v/>
      </c>
      <c r="N110" s="505" t="str">
        <f>IF(L110="","",IF(VLOOKUP(L110,'G-3 Multipliers'!$L$3:$N$6,3,FALSE)=0,"Spatial Data Missing",VLOOKUP(L110,'G-3 Multipliers'!$L$3:$N$6,3,FALSE)))</f>
        <v/>
      </c>
      <c r="O110" s="498" t="str">
        <f t="shared" si="6"/>
        <v/>
      </c>
      <c r="P110" s="82"/>
      <c r="Q110" s="82"/>
      <c r="R110" s="507" t="str">
        <f t="shared" si="8"/>
        <v/>
      </c>
      <c r="S110" s="521" t="str">
        <f t="shared" si="9"/>
        <v/>
      </c>
      <c r="T110" s="522" t="str">
        <f>IFERROR(IF(S110="Check Data ⚠","Check Data ⚠",VLOOKUP(S110,'G-4 Temporal multipliers'!$A$4:$C$37,3,FALSE)),"")</f>
        <v/>
      </c>
      <c r="U110" s="523" t="str">
        <f>IF(F110="","",VLOOKUP(F110,'G-3 Multipliers'!$A$2:$E$129,2,FALSE))</f>
        <v/>
      </c>
      <c r="V110" s="520" t="str">
        <f t="shared" si="10"/>
        <v/>
      </c>
      <c r="W110" s="520" t="str">
        <f>IF(E110="","",IF(AND(V110="Standard difficulty applied",O110&gt;P110),U110,IF(AND(V110="Low Difficulty - only applicable if all habitat created before losses",P110&gt;=O110),"Low",VLOOKUP(F110,'G-3 Multipliers'!$A$2:$E$129,4,FALSE))))</f>
        <v/>
      </c>
      <c r="X110" s="524" t="str">
        <f>IFERROR(IF(E110="","",VLOOKUP(W110, 'G-3 Multipliers'!$P$2:$Q$6,2,FALSE)),"")</f>
        <v/>
      </c>
      <c r="Y110" s="529" t="str">
        <f t="shared" si="11"/>
        <v/>
      </c>
      <c r="Z110" s="239"/>
      <c r="AA110" s="240"/>
      <c r="AE110" s="54" t="str">
        <f t="shared" si="7"/>
        <v/>
      </c>
    </row>
    <row r="111" spans="1:31" x14ac:dyDescent="0.3">
      <c r="A111" s="47" t="str">
        <f>IFERROR(INDEX('G-8 Condition Look up'!$I$4:$I$130,MATCH(F111,'G-8 Condition Look up'!$A$4:$A$130,0)),"")</f>
        <v/>
      </c>
      <c r="C111" s="384" t="str">
        <f>IFERROR(INDEX('G-1 All Habitats'!$AG$3:$AG$15,MATCH(D111,'G-1 All Habitats'!$AF$3:$AF$15,0)),"")</f>
        <v/>
      </c>
      <c r="D111" s="146"/>
      <c r="E111" s="79"/>
      <c r="F111" s="246" t="str">
        <f>IFERROR(INDEX('G-1 All Habitats'!$B$3:$B$129,MATCH(E111,'G-1 All Habitats'!$A$3:$A$129,0)),"")</f>
        <v/>
      </c>
      <c r="G111" s="70"/>
      <c r="H111" s="498" t="str">
        <f>IF(F111="","",VLOOKUP(F111,'G-1 All Habitats'!$B$2:$M$129,10,FALSE))</f>
        <v/>
      </c>
      <c r="I111" s="499" t="str">
        <f>IFERROR(VLOOKUP(H111,'G-1 All Habitats'!$V$3:$W$7,2,FALSE),"")</f>
        <v/>
      </c>
      <c r="J111" s="71"/>
      <c r="K111" s="499" t="str">
        <f>IFERROR(INDEX('G-8 Condition Look up'!$A$3:$H$130,MATCH(F111,'G-8 Condition Look up'!$A$3:$A$130,0),MATCH(J111,'G-8 Condition Look up'!$A$3:$H$3,0)),"")</f>
        <v/>
      </c>
      <c r="L111" s="71"/>
      <c r="M111" s="507" t="str">
        <f>IF(L111="","",IF(VLOOKUP(L111,'G-3 Multipliers'!$L$3:$N$6,2,FALSE)=0,"Spatial Data Missing",VLOOKUP(L111,'G-3 Multipliers'!$L$3:$N$6,2,FALSE)))</f>
        <v/>
      </c>
      <c r="N111" s="505" t="str">
        <f>IF(L111="","",IF(VLOOKUP(L111,'G-3 Multipliers'!$L$3:$N$6,3,FALSE)=0,"Spatial Data Missing",VLOOKUP(L111,'G-3 Multipliers'!$L$3:$N$6,3,FALSE)))</f>
        <v/>
      </c>
      <c r="O111" s="498" t="str">
        <f t="shared" si="6"/>
        <v/>
      </c>
      <c r="P111" s="82"/>
      <c r="Q111" s="82"/>
      <c r="R111" s="507" t="str">
        <f t="shared" si="8"/>
        <v/>
      </c>
      <c r="S111" s="521" t="str">
        <f t="shared" si="9"/>
        <v/>
      </c>
      <c r="T111" s="522" t="str">
        <f>IFERROR(IF(S111="Check Data ⚠","Check Data ⚠",VLOOKUP(S111,'G-4 Temporal multipliers'!$A$4:$C$37,3,FALSE)),"")</f>
        <v/>
      </c>
      <c r="U111" s="523" t="str">
        <f>IF(F111="","",VLOOKUP(F111,'G-3 Multipliers'!$A$2:$E$129,2,FALSE))</f>
        <v/>
      </c>
      <c r="V111" s="520" t="str">
        <f t="shared" si="10"/>
        <v/>
      </c>
      <c r="W111" s="520" t="str">
        <f>IF(E111="","",IF(AND(V111="Standard difficulty applied",O111&gt;P111),U111,IF(AND(V111="Low Difficulty - only applicable if all habitat created before losses",P111&gt;=O111),"Low",VLOOKUP(F111,'G-3 Multipliers'!$A$2:$E$129,4,FALSE))))</f>
        <v/>
      </c>
      <c r="X111" s="524" t="str">
        <f>IFERROR(IF(E111="","",VLOOKUP(W111, 'G-3 Multipliers'!$P$2:$Q$6,2,FALSE)),"")</f>
        <v/>
      </c>
      <c r="Y111" s="529" t="str">
        <f t="shared" si="11"/>
        <v/>
      </c>
      <c r="Z111" s="239"/>
      <c r="AA111" s="240"/>
      <c r="AE111" s="54" t="str">
        <f t="shared" si="7"/>
        <v/>
      </c>
    </row>
    <row r="112" spans="1:31" x14ac:dyDescent="0.3">
      <c r="A112" s="47" t="str">
        <f>IFERROR(INDEX('G-8 Condition Look up'!$I$4:$I$130,MATCH(F112,'G-8 Condition Look up'!$A$4:$A$130,0)),"")</f>
        <v/>
      </c>
      <c r="C112" s="384" t="str">
        <f>IFERROR(INDEX('G-1 All Habitats'!$AG$3:$AG$15,MATCH(D112,'G-1 All Habitats'!$AF$3:$AF$15,0)),"")</f>
        <v/>
      </c>
      <c r="D112" s="146"/>
      <c r="E112" s="79"/>
      <c r="F112" s="246" t="str">
        <f>IFERROR(INDEX('G-1 All Habitats'!$B$3:$B$129,MATCH(E112,'G-1 All Habitats'!$A$3:$A$129,0)),"")</f>
        <v/>
      </c>
      <c r="G112" s="70"/>
      <c r="H112" s="498" t="str">
        <f>IF(F112="","",VLOOKUP(F112,'G-1 All Habitats'!$B$2:$M$129,10,FALSE))</f>
        <v/>
      </c>
      <c r="I112" s="499" t="str">
        <f>IFERROR(VLOOKUP(H112,'G-1 All Habitats'!$V$3:$W$7,2,FALSE),"")</f>
        <v/>
      </c>
      <c r="J112" s="71"/>
      <c r="K112" s="499" t="str">
        <f>IFERROR(INDEX('G-8 Condition Look up'!$A$3:$H$130,MATCH(F112,'G-8 Condition Look up'!$A$3:$A$130,0),MATCH(J112,'G-8 Condition Look up'!$A$3:$H$3,0)),"")</f>
        <v/>
      </c>
      <c r="L112" s="71"/>
      <c r="M112" s="507" t="str">
        <f>IF(L112="","",IF(VLOOKUP(L112,'G-3 Multipliers'!$L$3:$N$6,2,FALSE)=0,"Spatial Data Missing",VLOOKUP(L112,'G-3 Multipliers'!$L$3:$N$6,2,FALSE)))</f>
        <v/>
      </c>
      <c r="N112" s="505" t="str">
        <f>IF(L112="","",IF(VLOOKUP(L112,'G-3 Multipliers'!$L$3:$N$6,3,FALSE)=0,"Spatial Data Missing",VLOOKUP(L112,'G-3 Multipliers'!$L$3:$N$6,3,FALSE)))</f>
        <v/>
      </c>
      <c r="O112" s="498" t="str">
        <f t="shared" si="6"/>
        <v/>
      </c>
      <c r="P112" s="82"/>
      <c r="Q112" s="82"/>
      <c r="R112" s="507" t="str">
        <f t="shared" si="8"/>
        <v/>
      </c>
      <c r="S112" s="521" t="str">
        <f t="shared" si="9"/>
        <v/>
      </c>
      <c r="T112" s="522" t="str">
        <f>IFERROR(IF(S112="Check Data ⚠","Check Data ⚠",VLOOKUP(S112,'G-4 Temporal multipliers'!$A$4:$C$37,3,FALSE)),"")</f>
        <v/>
      </c>
      <c r="U112" s="523" t="str">
        <f>IF(F112="","",VLOOKUP(F112,'G-3 Multipliers'!$A$2:$E$129,2,FALSE))</f>
        <v/>
      </c>
      <c r="V112" s="520" t="str">
        <f t="shared" si="10"/>
        <v/>
      </c>
      <c r="W112" s="520" t="str">
        <f>IF(E112="","",IF(AND(V112="Standard difficulty applied",O112&gt;P112),U112,IF(AND(V112="Low Difficulty - only applicable if all habitat created before losses",P112&gt;=O112),"Low",VLOOKUP(F112,'G-3 Multipliers'!$A$2:$E$129,4,FALSE))))</f>
        <v/>
      </c>
      <c r="X112" s="524" t="str">
        <f>IFERROR(IF(E112="","",VLOOKUP(W112, 'G-3 Multipliers'!$P$2:$Q$6,2,FALSE)),"")</f>
        <v/>
      </c>
      <c r="Y112" s="529" t="str">
        <f t="shared" si="11"/>
        <v/>
      </c>
      <c r="Z112" s="239"/>
      <c r="AA112" s="240"/>
      <c r="AE112" s="54" t="str">
        <f t="shared" si="7"/>
        <v/>
      </c>
    </row>
    <row r="113" spans="1:31" x14ac:dyDescent="0.3">
      <c r="A113" s="47" t="str">
        <f>IFERROR(INDEX('G-8 Condition Look up'!$I$4:$I$130,MATCH(F113,'G-8 Condition Look up'!$A$4:$A$130,0)),"")</f>
        <v/>
      </c>
      <c r="C113" s="384" t="str">
        <f>IFERROR(INDEX('G-1 All Habitats'!$AG$3:$AG$15,MATCH(D113,'G-1 All Habitats'!$AF$3:$AF$15,0)),"")</f>
        <v/>
      </c>
      <c r="D113" s="146"/>
      <c r="E113" s="79"/>
      <c r="F113" s="246" t="str">
        <f>IFERROR(INDEX('G-1 All Habitats'!$B$3:$B$129,MATCH(E113,'G-1 All Habitats'!$A$3:$A$129,0)),"")</f>
        <v/>
      </c>
      <c r="G113" s="70"/>
      <c r="H113" s="498" t="str">
        <f>IF(F113="","",VLOOKUP(F113,'G-1 All Habitats'!$B$2:$M$129,10,FALSE))</f>
        <v/>
      </c>
      <c r="I113" s="499" t="str">
        <f>IFERROR(VLOOKUP(H113,'G-1 All Habitats'!$V$3:$W$7,2,FALSE),"")</f>
        <v/>
      </c>
      <c r="J113" s="71"/>
      <c r="K113" s="499" t="str">
        <f>IFERROR(INDEX('G-8 Condition Look up'!$A$3:$H$130,MATCH(F113,'G-8 Condition Look up'!$A$3:$A$130,0),MATCH(J113,'G-8 Condition Look up'!$A$3:$H$3,0)),"")</f>
        <v/>
      </c>
      <c r="L113" s="71"/>
      <c r="M113" s="507" t="str">
        <f>IF(L113="","",IF(VLOOKUP(L113,'G-3 Multipliers'!$L$3:$N$6,2,FALSE)=0,"Spatial Data Missing",VLOOKUP(L113,'G-3 Multipliers'!$L$3:$N$6,2,FALSE)))</f>
        <v/>
      </c>
      <c r="N113" s="505" t="str">
        <f>IF(L113="","",IF(VLOOKUP(L113,'G-3 Multipliers'!$L$3:$N$6,3,FALSE)=0,"Spatial Data Missing",VLOOKUP(L113,'G-3 Multipliers'!$L$3:$N$6,3,FALSE)))</f>
        <v/>
      </c>
      <c r="O113" s="498" t="str">
        <f t="shared" si="6"/>
        <v/>
      </c>
      <c r="P113" s="82"/>
      <c r="Q113" s="82"/>
      <c r="R113" s="507" t="str">
        <f t="shared" si="8"/>
        <v/>
      </c>
      <c r="S113" s="521" t="str">
        <f t="shared" si="9"/>
        <v/>
      </c>
      <c r="T113" s="522" t="str">
        <f>IFERROR(IF(S113="Check Data ⚠","Check Data ⚠",VLOOKUP(S113,'G-4 Temporal multipliers'!$A$4:$C$37,3,FALSE)),"")</f>
        <v/>
      </c>
      <c r="U113" s="523" t="str">
        <f>IF(F113="","",VLOOKUP(F113,'G-3 Multipliers'!$A$2:$E$129,2,FALSE))</f>
        <v/>
      </c>
      <c r="V113" s="520" t="str">
        <f t="shared" si="10"/>
        <v/>
      </c>
      <c r="W113" s="520" t="str">
        <f>IF(E113="","",IF(AND(V113="Standard difficulty applied",O113&gt;P113),U113,IF(AND(V113="Low Difficulty - only applicable if all habitat created before losses",P113&gt;=O113),"Low",VLOOKUP(F113,'G-3 Multipliers'!$A$2:$E$129,4,FALSE))))</f>
        <v/>
      </c>
      <c r="X113" s="524" t="str">
        <f>IFERROR(IF(E113="","",VLOOKUP(W113, 'G-3 Multipliers'!$P$2:$Q$6,2,FALSE)),"")</f>
        <v/>
      </c>
      <c r="Y113" s="529" t="str">
        <f t="shared" si="11"/>
        <v/>
      </c>
      <c r="Z113" s="239"/>
      <c r="AA113" s="240"/>
      <c r="AE113" s="54" t="str">
        <f t="shared" si="7"/>
        <v/>
      </c>
    </row>
    <row r="114" spans="1:31" x14ac:dyDescent="0.3">
      <c r="A114" s="47" t="str">
        <f>IFERROR(INDEX('G-8 Condition Look up'!$I$4:$I$130,MATCH(F114,'G-8 Condition Look up'!$A$4:$A$130,0)),"")</f>
        <v/>
      </c>
      <c r="C114" s="384" t="str">
        <f>IFERROR(INDEX('G-1 All Habitats'!$AG$3:$AG$15,MATCH(D114,'G-1 All Habitats'!$AF$3:$AF$15,0)),"")</f>
        <v/>
      </c>
      <c r="D114" s="146"/>
      <c r="E114" s="79"/>
      <c r="F114" s="246" t="str">
        <f>IFERROR(INDEX('G-1 All Habitats'!$B$3:$B$129,MATCH(E114,'G-1 All Habitats'!$A$3:$A$129,0)),"")</f>
        <v/>
      </c>
      <c r="G114" s="70"/>
      <c r="H114" s="498" t="str">
        <f>IF(F114="","",VLOOKUP(F114,'G-1 All Habitats'!$B$2:$M$129,10,FALSE))</f>
        <v/>
      </c>
      <c r="I114" s="499" t="str">
        <f>IFERROR(VLOOKUP(H114,'G-1 All Habitats'!$V$3:$W$7,2,FALSE),"")</f>
        <v/>
      </c>
      <c r="J114" s="71"/>
      <c r="K114" s="499" t="str">
        <f>IFERROR(INDEX('G-8 Condition Look up'!$A$3:$H$130,MATCH(F114,'G-8 Condition Look up'!$A$3:$A$130,0),MATCH(J114,'G-8 Condition Look up'!$A$3:$H$3,0)),"")</f>
        <v/>
      </c>
      <c r="L114" s="71"/>
      <c r="M114" s="507" t="str">
        <f>IF(L114="","",IF(VLOOKUP(L114,'G-3 Multipliers'!$L$3:$N$6,2,FALSE)=0,"Spatial Data Missing",VLOOKUP(L114,'G-3 Multipliers'!$L$3:$N$6,2,FALSE)))</f>
        <v/>
      </c>
      <c r="N114" s="505" t="str">
        <f>IF(L114="","",IF(VLOOKUP(L114,'G-3 Multipliers'!$L$3:$N$6,3,FALSE)=0,"Spatial Data Missing",VLOOKUP(L114,'G-3 Multipliers'!$L$3:$N$6,3,FALSE)))</f>
        <v/>
      </c>
      <c r="O114" s="498" t="str">
        <f t="shared" si="6"/>
        <v/>
      </c>
      <c r="P114" s="82"/>
      <c r="Q114" s="82"/>
      <c r="R114" s="507" t="str">
        <f t="shared" si="8"/>
        <v/>
      </c>
      <c r="S114" s="521" t="str">
        <f t="shared" si="9"/>
        <v/>
      </c>
      <c r="T114" s="522" t="str">
        <f>IFERROR(IF(S114="Check Data ⚠","Check Data ⚠",VLOOKUP(S114,'G-4 Temporal multipliers'!$A$4:$C$37,3,FALSE)),"")</f>
        <v/>
      </c>
      <c r="U114" s="523" t="str">
        <f>IF(F114="","",VLOOKUP(F114,'G-3 Multipliers'!$A$2:$E$129,2,FALSE))</f>
        <v/>
      </c>
      <c r="V114" s="520" t="str">
        <f t="shared" si="10"/>
        <v/>
      </c>
      <c r="W114" s="520" t="str">
        <f>IF(E114="","",IF(AND(V114="Standard difficulty applied",O114&gt;P114),U114,IF(AND(V114="Low Difficulty - only applicable if all habitat created before losses",P114&gt;=O114),"Low",VLOOKUP(F114,'G-3 Multipliers'!$A$2:$E$129,4,FALSE))))</f>
        <v/>
      </c>
      <c r="X114" s="524" t="str">
        <f>IFERROR(IF(E114="","",VLOOKUP(W114, 'G-3 Multipliers'!$P$2:$Q$6,2,FALSE)),"")</f>
        <v/>
      </c>
      <c r="Y114" s="529" t="str">
        <f t="shared" si="11"/>
        <v/>
      </c>
      <c r="Z114" s="239"/>
      <c r="AA114" s="240"/>
      <c r="AE114" s="54" t="str">
        <f t="shared" si="7"/>
        <v/>
      </c>
    </row>
    <row r="115" spans="1:31" x14ac:dyDescent="0.3">
      <c r="A115" s="47" t="str">
        <f>IFERROR(INDEX('G-8 Condition Look up'!$I$4:$I$130,MATCH(F115,'G-8 Condition Look up'!$A$4:$A$130,0)),"")</f>
        <v/>
      </c>
      <c r="C115" s="384" t="str">
        <f>IFERROR(INDEX('G-1 All Habitats'!$AG$3:$AG$15,MATCH(D115,'G-1 All Habitats'!$AF$3:$AF$15,0)),"")</f>
        <v/>
      </c>
      <c r="D115" s="146"/>
      <c r="E115" s="79"/>
      <c r="F115" s="246" t="str">
        <f>IFERROR(INDEX('G-1 All Habitats'!$B$3:$B$129,MATCH(E115,'G-1 All Habitats'!$A$3:$A$129,0)),"")</f>
        <v/>
      </c>
      <c r="G115" s="70"/>
      <c r="H115" s="498" t="str">
        <f>IF(F115="","",VLOOKUP(F115,'G-1 All Habitats'!$B$2:$M$129,10,FALSE))</f>
        <v/>
      </c>
      <c r="I115" s="499" t="str">
        <f>IFERROR(VLOOKUP(H115,'G-1 All Habitats'!$V$3:$W$7,2,FALSE),"")</f>
        <v/>
      </c>
      <c r="J115" s="71"/>
      <c r="K115" s="499" t="str">
        <f>IFERROR(INDEX('G-8 Condition Look up'!$A$3:$H$130,MATCH(F115,'G-8 Condition Look up'!$A$3:$A$130,0),MATCH(J115,'G-8 Condition Look up'!$A$3:$H$3,0)),"")</f>
        <v/>
      </c>
      <c r="L115" s="71"/>
      <c r="M115" s="507" t="str">
        <f>IF(L115="","",IF(VLOOKUP(L115,'G-3 Multipliers'!$L$3:$N$6,2,FALSE)=0,"Spatial Data Missing",VLOOKUP(L115,'G-3 Multipliers'!$L$3:$N$6,2,FALSE)))</f>
        <v/>
      </c>
      <c r="N115" s="505" t="str">
        <f>IF(L115="","",IF(VLOOKUP(L115,'G-3 Multipliers'!$L$3:$N$6,3,FALSE)=0,"Spatial Data Missing",VLOOKUP(L115,'G-3 Multipliers'!$L$3:$N$6,3,FALSE)))</f>
        <v/>
      </c>
      <c r="O115" s="498" t="str">
        <f t="shared" si="6"/>
        <v/>
      </c>
      <c r="P115" s="82"/>
      <c r="Q115" s="82"/>
      <c r="R115" s="507" t="str">
        <f t="shared" si="8"/>
        <v/>
      </c>
      <c r="S115" s="521" t="str">
        <f t="shared" si="9"/>
        <v/>
      </c>
      <c r="T115" s="522" t="str">
        <f>IFERROR(IF(S115="Check Data ⚠","Check Data ⚠",VLOOKUP(S115,'G-4 Temporal multipliers'!$A$4:$C$37,3,FALSE)),"")</f>
        <v/>
      </c>
      <c r="U115" s="523" t="str">
        <f>IF(F115="","",VLOOKUP(F115,'G-3 Multipliers'!$A$2:$E$129,2,FALSE))</f>
        <v/>
      </c>
      <c r="V115" s="520" t="str">
        <f t="shared" si="10"/>
        <v/>
      </c>
      <c r="W115" s="520" t="str">
        <f>IF(E115="","",IF(AND(V115="Standard difficulty applied",O115&gt;P115),U115,IF(AND(V115="Low Difficulty - only applicable if all habitat created before losses",P115&gt;=O115),"Low",VLOOKUP(F115,'G-3 Multipliers'!$A$2:$E$129,4,FALSE))))</f>
        <v/>
      </c>
      <c r="X115" s="524" t="str">
        <f>IFERROR(IF(E115="","",VLOOKUP(W115, 'G-3 Multipliers'!$P$2:$Q$6,2,FALSE)),"")</f>
        <v/>
      </c>
      <c r="Y115" s="529" t="str">
        <f t="shared" si="11"/>
        <v/>
      </c>
      <c r="Z115" s="239"/>
      <c r="AA115" s="240"/>
      <c r="AE115" s="54" t="str">
        <f t="shared" si="7"/>
        <v/>
      </c>
    </row>
    <row r="116" spans="1:31" x14ac:dyDescent="0.3">
      <c r="A116" s="47" t="str">
        <f>IFERROR(INDEX('G-8 Condition Look up'!$I$4:$I$130,MATCH(F116,'G-8 Condition Look up'!$A$4:$A$130,0)),"")</f>
        <v/>
      </c>
      <c r="C116" s="384" t="str">
        <f>IFERROR(INDEX('G-1 All Habitats'!$AG$3:$AG$15,MATCH(D116,'G-1 All Habitats'!$AF$3:$AF$15,0)),"")</f>
        <v/>
      </c>
      <c r="D116" s="146"/>
      <c r="E116" s="79"/>
      <c r="F116" s="246" t="str">
        <f>IFERROR(INDEX('G-1 All Habitats'!$B$3:$B$129,MATCH(E116,'G-1 All Habitats'!$A$3:$A$129,0)),"")</f>
        <v/>
      </c>
      <c r="G116" s="70"/>
      <c r="H116" s="498" t="str">
        <f>IF(F116="","",VLOOKUP(F116,'G-1 All Habitats'!$B$2:$M$129,10,FALSE))</f>
        <v/>
      </c>
      <c r="I116" s="499" t="str">
        <f>IFERROR(VLOOKUP(H116,'G-1 All Habitats'!$V$3:$W$7,2,FALSE),"")</f>
        <v/>
      </c>
      <c r="J116" s="71"/>
      <c r="K116" s="499" t="str">
        <f>IFERROR(INDEX('G-8 Condition Look up'!$A$3:$H$130,MATCH(F116,'G-8 Condition Look up'!$A$3:$A$130,0),MATCH(J116,'G-8 Condition Look up'!$A$3:$H$3,0)),"")</f>
        <v/>
      </c>
      <c r="L116" s="71"/>
      <c r="M116" s="507" t="str">
        <f>IF(L116="","",IF(VLOOKUP(L116,'G-3 Multipliers'!$L$3:$N$6,2,FALSE)=0,"Spatial Data Missing",VLOOKUP(L116,'G-3 Multipliers'!$L$3:$N$6,2,FALSE)))</f>
        <v/>
      </c>
      <c r="N116" s="505" t="str">
        <f>IF(L116="","",IF(VLOOKUP(L116,'G-3 Multipliers'!$L$3:$N$6,3,FALSE)=0,"Spatial Data Missing",VLOOKUP(L116,'G-3 Multipliers'!$L$3:$N$6,3,FALSE)))</f>
        <v/>
      </c>
      <c r="O116" s="498" t="str">
        <f t="shared" si="6"/>
        <v/>
      </c>
      <c r="P116" s="82"/>
      <c r="Q116" s="82"/>
      <c r="R116" s="507" t="str">
        <f t="shared" si="8"/>
        <v/>
      </c>
      <c r="S116" s="521" t="str">
        <f t="shared" si="9"/>
        <v/>
      </c>
      <c r="T116" s="522" t="str">
        <f>IFERROR(IF(S116="Check Data ⚠","Check Data ⚠",VLOOKUP(S116,'G-4 Temporal multipliers'!$A$4:$C$37,3,FALSE)),"")</f>
        <v/>
      </c>
      <c r="U116" s="523" t="str">
        <f>IF(F116="","",VLOOKUP(F116,'G-3 Multipliers'!$A$2:$E$129,2,FALSE))</f>
        <v/>
      </c>
      <c r="V116" s="520" t="str">
        <f t="shared" si="10"/>
        <v/>
      </c>
      <c r="W116" s="520" t="str">
        <f>IF(E116="","",IF(AND(V116="Standard difficulty applied",O116&gt;P116),U116,IF(AND(V116="Low Difficulty - only applicable if all habitat created before losses",P116&gt;=O116),"Low",VLOOKUP(F116,'G-3 Multipliers'!$A$2:$E$129,4,FALSE))))</f>
        <v/>
      </c>
      <c r="X116" s="524" t="str">
        <f>IFERROR(IF(E116="","",VLOOKUP(W116, 'G-3 Multipliers'!$P$2:$Q$6,2,FALSE)),"")</f>
        <v/>
      </c>
      <c r="Y116" s="529" t="str">
        <f t="shared" si="11"/>
        <v/>
      </c>
      <c r="Z116" s="239"/>
      <c r="AA116" s="240"/>
      <c r="AE116" s="54" t="str">
        <f t="shared" si="7"/>
        <v/>
      </c>
    </row>
    <row r="117" spans="1:31" x14ac:dyDescent="0.3">
      <c r="A117" s="47" t="str">
        <f>IFERROR(INDEX('G-8 Condition Look up'!$I$4:$I$130,MATCH(F117,'G-8 Condition Look up'!$A$4:$A$130,0)),"")</f>
        <v/>
      </c>
      <c r="C117" s="384" t="str">
        <f>IFERROR(INDEX('G-1 All Habitats'!$AG$3:$AG$15,MATCH(D117,'G-1 All Habitats'!$AF$3:$AF$15,0)),"")</f>
        <v/>
      </c>
      <c r="D117" s="146"/>
      <c r="E117" s="79"/>
      <c r="F117" s="246" t="str">
        <f>IFERROR(INDEX('G-1 All Habitats'!$B$3:$B$129,MATCH(E117,'G-1 All Habitats'!$A$3:$A$129,0)),"")</f>
        <v/>
      </c>
      <c r="G117" s="70"/>
      <c r="H117" s="498" t="str">
        <f>IF(F117="","",VLOOKUP(F117,'G-1 All Habitats'!$B$2:$M$129,10,FALSE))</f>
        <v/>
      </c>
      <c r="I117" s="499" t="str">
        <f>IFERROR(VLOOKUP(H117,'G-1 All Habitats'!$V$3:$W$7,2,FALSE),"")</f>
        <v/>
      </c>
      <c r="J117" s="71"/>
      <c r="K117" s="499" t="str">
        <f>IFERROR(INDEX('G-8 Condition Look up'!$A$3:$H$130,MATCH(F117,'G-8 Condition Look up'!$A$3:$A$130,0),MATCH(J117,'G-8 Condition Look up'!$A$3:$H$3,0)),"")</f>
        <v/>
      </c>
      <c r="L117" s="71"/>
      <c r="M117" s="507" t="str">
        <f>IF(L117="","",IF(VLOOKUP(L117,'G-3 Multipliers'!$L$3:$N$6,2,FALSE)=0,"Spatial Data Missing",VLOOKUP(L117,'G-3 Multipliers'!$L$3:$N$6,2,FALSE)))</f>
        <v/>
      </c>
      <c r="N117" s="505" t="str">
        <f>IF(L117="","",IF(VLOOKUP(L117,'G-3 Multipliers'!$L$3:$N$6,3,FALSE)=0,"Spatial Data Missing",VLOOKUP(L117,'G-3 Multipliers'!$L$3:$N$6,3,FALSE)))</f>
        <v/>
      </c>
      <c r="O117" s="498" t="str">
        <f t="shared" si="6"/>
        <v/>
      </c>
      <c r="P117" s="82"/>
      <c r="Q117" s="82"/>
      <c r="R117" s="507" t="str">
        <f t="shared" si="8"/>
        <v/>
      </c>
      <c r="S117" s="521" t="str">
        <f t="shared" si="9"/>
        <v/>
      </c>
      <c r="T117" s="522" t="str">
        <f>IFERROR(IF(S117="Check Data ⚠","Check Data ⚠",VLOOKUP(S117,'G-4 Temporal multipliers'!$A$4:$C$37,3,FALSE)),"")</f>
        <v/>
      </c>
      <c r="U117" s="523" t="str">
        <f>IF(F117="","",VLOOKUP(F117,'G-3 Multipliers'!$A$2:$E$129,2,FALSE))</f>
        <v/>
      </c>
      <c r="V117" s="520" t="str">
        <f t="shared" si="10"/>
        <v/>
      </c>
      <c r="W117" s="520" t="str">
        <f>IF(E117="","",IF(AND(V117="Standard difficulty applied",O117&gt;P117),U117,IF(AND(V117="Low Difficulty - only applicable if all habitat created before losses",P117&gt;=O117),"Low",VLOOKUP(F117,'G-3 Multipliers'!$A$2:$E$129,4,FALSE))))</f>
        <v/>
      </c>
      <c r="X117" s="524" t="str">
        <f>IFERROR(IF(E117="","",VLOOKUP(W117, 'G-3 Multipliers'!$P$2:$Q$6,2,FALSE)),"")</f>
        <v/>
      </c>
      <c r="Y117" s="529" t="str">
        <f t="shared" si="11"/>
        <v/>
      </c>
      <c r="Z117" s="239"/>
      <c r="AA117" s="240"/>
      <c r="AE117" s="54" t="str">
        <f t="shared" si="7"/>
        <v/>
      </c>
    </row>
    <row r="118" spans="1:31" x14ac:dyDescent="0.3">
      <c r="A118" s="47" t="str">
        <f>IFERROR(INDEX('G-8 Condition Look up'!$I$4:$I$130,MATCH(F118,'G-8 Condition Look up'!$A$4:$A$130,0)),"")</f>
        <v/>
      </c>
      <c r="C118" s="384" t="str">
        <f>IFERROR(INDEX('G-1 All Habitats'!$AG$3:$AG$15,MATCH(D118,'G-1 All Habitats'!$AF$3:$AF$15,0)),"")</f>
        <v/>
      </c>
      <c r="D118" s="146"/>
      <c r="E118" s="79"/>
      <c r="F118" s="246" t="str">
        <f>IFERROR(INDEX('G-1 All Habitats'!$B$3:$B$129,MATCH(E118,'G-1 All Habitats'!$A$3:$A$129,0)),"")</f>
        <v/>
      </c>
      <c r="G118" s="70"/>
      <c r="H118" s="498" t="str">
        <f>IF(F118="","",VLOOKUP(F118,'G-1 All Habitats'!$B$2:$M$129,10,FALSE))</f>
        <v/>
      </c>
      <c r="I118" s="499" t="str">
        <f>IFERROR(VLOOKUP(H118,'G-1 All Habitats'!$V$3:$W$7,2,FALSE),"")</f>
        <v/>
      </c>
      <c r="J118" s="71"/>
      <c r="K118" s="499" t="str">
        <f>IFERROR(INDEX('G-8 Condition Look up'!$A$3:$H$130,MATCH(F118,'G-8 Condition Look up'!$A$3:$A$130,0),MATCH(J118,'G-8 Condition Look up'!$A$3:$H$3,0)),"")</f>
        <v/>
      </c>
      <c r="L118" s="71"/>
      <c r="M118" s="507" t="str">
        <f>IF(L118="","",IF(VLOOKUP(L118,'G-3 Multipliers'!$L$3:$N$6,2,FALSE)=0,"Spatial Data Missing",VLOOKUP(L118,'G-3 Multipliers'!$L$3:$N$6,2,FALSE)))</f>
        <v/>
      </c>
      <c r="N118" s="505" t="str">
        <f>IF(L118="","",IF(VLOOKUP(L118,'G-3 Multipliers'!$L$3:$N$6,3,FALSE)=0,"Spatial Data Missing",VLOOKUP(L118,'G-3 Multipliers'!$L$3:$N$6,3,FALSE)))</f>
        <v/>
      </c>
      <c r="O118" s="498" t="str">
        <f t="shared" si="6"/>
        <v/>
      </c>
      <c r="P118" s="82"/>
      <c r="Q118" s="82"/>
      <c r="R118" s="507" t="str">
        <f t="shared" si="8"/>
        <v/>
      </c>
      <c r="S118" s="521" t="str">
        <f t="shared" si="9"/>
        <v/>
      </c>
      <c r="T118" s="522" t="str">
        <f>IFERROR(IF(S118="Check Data ⚠","Check Data ⚠",VLOOKUP(S118,'G-4 Temporal multipliers'!$A$4:$C$37,3,FALSE)),"")</f>
        <v/>
      </c>
      <c r="U118" s="523" t="str">
        <f>IF(F118="","",VLOOKUP(F118,'G-3 Multipliers'!$A$2:$E$129,2,FALSE))</f>
        <v/>
      </c>
      <c r="V118" s="520" t="str">
        <f t="shared" si="10"/>
        <v/>
      </c>
      <c r="W118" s="520" t="str">
        <f>IF(E118="","",IF(AND(V118="Standard difficulty applied",O118&gt;P118),U118,IF(AND(V118="Low Difficulty - only applicable if all habitat created before losses",P118&gt;=O118),"Low",VLOOKUP(F118,'G-3 Multipliers'!$A$2:$E$129,4,FALSE))))</f>
        <v/>
      </c>
      <c r="X118" s="524" t="str">
        <f>IFERROR(IF(E118="","",VLOOKUP(W118, 'G-3 Multipliers'!$P$2:$Q$6,2,FALSE)),"")</f>
        <v/>
      </c>
      <c r="Y118" s="529" t="str">
        <f t="shared" si="11"/>
        <v/>
      </c>
      <c r="Z118" s="239"/>
      <c r="AA118" s="240"/>
      <c r="AE118" s="54" t="str">
        <f t="shared" si="7"/>
        <v/>
      </c>
    </row>
    <row r="119" spans="1:31" x14ac:dyDescent="0.3">
      <c r="A119" s="47" t="str">
        <f>IFERROR(INDEX('G-8 Condition Look up'!$I$4:$I$130,MATCH(F119,'G-8 Condition Look up'!$A$4:$A$130,0)),"")</f>
        <v/>
      </c>
      <c r="C119" s="384" t="str">
        <f>IFERROR(INDEX('G-1 All Habitats'!$AG$3:$AG$15,MATCH(D119,'G-1 All Habitats'!$AF$3:$AF$15,0)),"")</f>
        <v/>
      </c>
      <c r="D119" s="146"/>
      <c r="E119" s="79"/>
      <c r="F119" s="246" t="str">
        <f>IFERROR(INDEX('G-1 All Habitats'!$B$3:$B$129,MATCH(E119,'G-1 All Habitats'!$A$3:$A$129,0)),"")</f>
        <v/>
      </c>
      <c r="G119" s="70"/>
      <c r="H119" s="498" t="str">
        <f>IF(F119="","",VLOOKUP(F119,'G-1 All Habitats'!$B$2:$M$129,10,FALSE))</f>
        <v/>
      </c>
      <c r="I119" s="499" t="str">
        <f>IFERROR(VLOOKUP(H119,'G-1 All Habitats'!$V$3:$W$7,2,FALSE),"")</f>
        <v/>
      </c>
      <c r="J119" s="71"/>
      <c r="K119" s="499" t="str">
        <f>IFERROR(INDEX('G-8 Condition Look up'!$A$3:$H$130,MATCH(F119,'G-8 Condition Look up'!$A$3:$A$130,0),MATCH(J119,'G-8 Condition Look up'!$A$3:$H$3,0)),"")</f>
        <v/>
      </c>
      <c r="L119" s="71"/>
      <c r="M119" s="507" t="str">
        <f>IF(L119="","",IF(VLOOKUP(L119,'G-3 Multipliers'!$L$3:$N$6,2,FALSE)=0,"Spatial Data Missing",VLOOKUP(L119,'G-3 Multipliers'!$L$3:$N$6,2,FALSE)))</f>
        <v/>
      </c>
      <c r="N119" s="505" t="str">
        <f>IF(L119="","",IF(VLOOKUP(L119,'G-3 Multipliers'!$L$3:$N$6,3,FALSE)=0,"Spatial Data Missing",VLOOKUP(L119,'G-3 Multipliers'!$L$3:$N$6,3,FALSE)))</f>
        <v/>
      </c>
      <c r="O119" s="498" t="str">
        <f t="shared" si="6"/>
        <v/>
      </c>
      <c r="P119" s="82"/>
      <c r="Q119" s="82"/>
      <c r="R119" s="507" t="str">
        <f t="shared" si="8"/>
        <v/>
      </c>
      <c r="S119" s="521" t="str">
        <f t="shared" si="9"/>
        <v/>
      </c>
      <c r="T119" s="522" t="str">
        <f>IFERROR(IF(S119="Check Data ⚠","Check Data ⚠",VLOOKUP(S119,'G-4 Temporal multipliers'!$A$4:$C$37,3,FALSE)),"")</f>
        <v/>
      </c>
      <c r="U119" s="523" t="str">
        <f>IF(F119="","",VLOOKUP(F119,'G-3 Multipliers'!$A$2:$E$129,2,FALSE))</f>
        <v/>
      </c>
      <c r="V119" s="520" t="str">
        <f t="shared" si="10"/>
        <v/>
      </c>
      <c r="W119" s="520" t="str">
        <f>IF(E119="","",IF(AND(V119="Standard difficulty applied",O119&gt;P119),U119,IF(AND(V119="Low Difficulty - only applicable if all habitat created before losses",P119&gt;=O119),"Low",VLOOKUP(F119,'G-3 Multipliers'!$A$2:$E$129,4,FALSE))))</f>
        <v/>
      </c>
      <c r="X119" s="524" t="str">
        <f>IFERROR(IF(E119="","",VLOOKUP(W119, 'G-3 Multipliers'!$P$2:$Q$6,2,FALSE)),"")</f>
        <v/>
      </c>
      <c r="Y119" s="529" t="str">
        <f t="shared" si="11"/>
        <v/>
      </c>
      <c r="Z119" s="239"/>
      <c r="AA119" s="240"/>
      <c r="AE119" s="54" t="str">
        <f t="shared" si="7"/>
        <v/>
      </c>
    </row>
    <row r="120" spans="1:31" x14ac:dyDescent="0.3">
      <c r="A120" s="47" t="str">
        <f>IFERROR(INDEX('G-8 Condition Look up'!$I$4:$I$130,MATCH(F120,'G-8 Condition Look up'!$A$4:$A$130,0)),"")</f>
        <v/>
      </c>
      <c r="C120" s="384" t="str">
        <f>IFERROR(INDEX('G-1 All Habitats'!$AG$3:$AG$15,MATCH(D120,'G-1 All Habitats'!$AF$3:$AF$15,0)),"")</f>
        <v/>
      </c>
      <c r="D120" s="146"/>
      <c r="E120" s="79"/>
      <c r="F120" s="246" t="str">
        <f>IFERROR(INDEX('G-1 All Habitats'!$B$3:$B$129,MATCH(E120,'G-1 All Habitats'!$A$3:$A$129,0)),"")</f>
        <v/>
      </c>
      <c r="G120" s="70"/>
      <c r="H120" s="498" t="str">
        <f>IF(F120="","",VLOOKUP(F120,'G-1 All Habitats'!$B$2:$M$129,10,FALSE))</f>
        <v/>
      </c>
      <c r="I120" s="499" t="str">
        <f>IFERROR(VLOOKUP(H120,'G-1 All Habitats'!$V$3:$W$7,2,FALSE),"")</f>
        <v/>
      </c>
      <c r="J120" s="71"/>
      <c r="K120" s="499" t="str">
        <f>IFERROR(INDEX('G-8 Condition Look up'!$A$3:$H$130,MATCH(F120,'G-8 Condition Look up'!$A$3:$A$130,0),MATCH(J120,'G-8 Condition Look up'!$A$3:$H$3,0)),"")</f>
        <v/>
      </c>
      <c r="L120" s="71"/>
      <c r="M120" s="507" t="str">
        <f>IF(L120="","",IF(VLOOKUP(L120,'G-3 Multipliers'!$L$3:$N$6,2,FALSE)=0,"Spatial Data Missing",VLOOKUP(L120,'G-3 Multipliers'!$L$3:$N$6,2,FALSE)))</f>
        <v/>
      </c>
      <c r="N120" s="505" t="str">
        <f>IF(L120="","",IF(VLOOKUP(L120,'G-3 Multipliers'!$L$3:$N$6,3,FALSE)=0,"Spatial Data Missing",VLOOKUP(L120,'G-3 Multipliers'!$L$3:$N$6,3,FALSE)))</f>
        <v/>
      </c>
      <c r="O120" s="498" t="str">
        <f t="shared" si="6"/>
        <v/>
      </c>
      <c r="P120" s="82"/>
      <c r="Q120" s="82"/>
      <c r="R120" s="507" t="str">
        <f t="shared" si="8"/>
        <v/>
      </c>
      <c r="S120" s="521" t="str">
        <f t="shared" si="9"/>
        <v/>
      </c>
      <c r="T120" s="522" t="str">
        <f>IFERROR(IF(S120="Check Data ⚠","Check Data ⚠",VLOOKUP(S120,'G-4 Temporal multipliers'!$A$4:$C$37,3,FALSE)),"")</f>
        <v/>
      </c>
      <c r="U120" s="523" t="str">
        <f>IF(F120="","",VLOOKUP(F120,'G-3 Multipliers'!$A$2:$E$129,2,FALSE))</f>
        <v/>
      </c>
      <c r="V120" s="520" t="str">
        <f t="shared" si="10"/>
        <v/>
      </c>
      <c r="W120" s="520" t="str">
        <f>IF(E120="","",IF(AND(V120="Standard difficulty applied",O120&gt;P120),U120,IF(AND(V120="Low Difficulty - only applicable if all habitat created before losses",P120&gt;=O120),"Low",VLOOKUP(F120,'G-3 Multipliers'!$A$2:$E$129,4,FALSE))))</f>
        <v/>
      </c>
      <c r="X120" s="524" t="str">
        <f>IFERROR(IF(E120="","",VLOOKUP(W120, 'G-3 Multipliers'!$P$2:$Q$6,2,FALSE)),"")</f>
        <v/>
      </c>
      <c r="Y120" s="529" t="str">
        <f t="shared" si="11"/>
        <v/>
      </c>
      <c r="Z120" s="239"/>
      <c r="AA120" s="240"/>
      <c r="AE120" s="54" t="str">
        <f t="shared" si="7"/>
        <v/>
      </c>
    </row>
    <row r="121" spans="1:31" x14ac:dyDescent="0.3">
      <c r="A121" s="47" t="str">
        <f>IFERROR(INDEX('G-8 Condition Look up'!$I$4:$I$130,MATCH(F121,'G-8 Condition Look up'!$A$4:$A$130,0)),"")</f>
        <v/>
      </c>
      <c r="C121" s="384" t="str">
        <f>IFERROR(INDEX('G-1 All Habitats'!$AG$3:$AG$15,MATCH(D121,'G-1 All Habitats'!$AF$3:$AF$15,0)),"")</f>
        <v/>
      </c>
      <c r="D121" s="146"/>
      <c r="E121" s="79"/>
      <c r="F121" s="246" t="str">
        <f>IFERROR(INDEX('G-1 All Habitats'!$B$3:$B$129,MATCH(E121,'G-1 All Habitats'!$A$3:$A$129,0)),"")</f>
        <v/>
      </c>
      <c r="G121" s="70"/>
      <c r="H121" s="498" t="str">
        <f>IF(F121="","",VLOOKUP(F121,'G-1 All Habitats'!$B$2:$M$129,10,FALSE))</f>
        <v/>
      </c>
      <c r="I121" s="499" t="str">
        <f>IFERROR(VLOOKUP(H121,'G-1 All Habitats'!$V$3:$W$7,2,FALSE),"")</f>
        <v/>
      </c>
      <c r="J121" s="71"/>
      <c r="K121" s="499" t="str">
        <f>IFERROR(INDEX('G-8 Condition Look up'!$A$3:$H$130,MATCH(F121,'G-8 Condition Look up'!$A$3:$A$130,0),MATCH(J121,'G-8 Condition Look up'!$A$3:$H$3,0)),"")</f>
        <v/>
      </c>
      <c r="L121" s="71"/>
      <c r="M121" s="507" t="str">
        <f>IF(L121="","",IF(VLOOKUP(L121,'G-3 Multipliers'!$L$3:$N$6,2,FALSE)=0,"Spatial Data Missing",VLOOKUP(L121,'G-3 Multipliers'!$L$3:$N$6,2,FALSE)))</f>
        <v/>
      </c>
      <c r="N121" s="505" t="str">
        <f>IF(L121="","",IF(VLOOKUP(L121,'G-3 Multipliers'!$L$3:$N$6,3,FALSE)=0,"Spatial Data Missing",VLOOKUP(L121,'G-3 Multipliers'!$L$3:$N$6,3,FALSE)))</f>
        <v/>
      </c>
      <c r="O121" s="498" t="str">
        <f t="shared" si="6"/>
        <v/>
      </c>
      <c r="P121" s="82"/>
      <c r="Q121" s="82"/>
      <c r="R121" s="507" t="str">
        <f t="shared" si="8"/>
        <v/>
      </c>
      <c r="S121" s="521" t="str">
        <f t="shared" si="9"/>
        <v/>
      </c>
      <c r="T121" s="522" t="str">
        <f>IFERROR(IF(S121="Check Data ⚠","Check Data ⚠",VLOOKUP(S121,'G-4 Temporal multipliers'!$A$4:$C$37,3,FALSE)),"")</f>
        <v/>
      </c>
      <c r="U121" s="523" t="str">
        <f>IF(F121="","",VLOOKUP(F121,'G-3 Multipliers'!$A$2:$E$129,2,FALSE))</f>
        <v/>
      </c>
      <c r="V121" s="520" t="str">
        <f t="shared" si="10"/>
        <v/>
      </c>
      <c r="W121" s="520" t="str">
        <f>IF(E121="","",IF(AND(V121="Standard difficulty applied",O121&gt;P121),U121,IF(AND(V121="Low Difficulty - only applicable if all habitat created before losses",P121&gt;=O121),"Low",VLOOKUP(F121,'G-3 Multipliers'!$A$2:$E$129,4,FALSE))))</f>
        <v/>
      </c>
      <c r="X121" s="524" t="str">
        <f>IFERROR(IF(E121="","",VLOOKUP(W121, 'G-3 Multipliers'!$P$2:$Q$6,2,FALSE)),"")</f>
        <v/>
      </c>
      <c r="Y121" s="529" t="str">
        <f t="shared" si="11"/>
        <v/>
      </c>
      <c r="Z121" s="239"/>
      <c r="AA121" s="240"/>
      <c r="AE121" s="54" t="str">
        <f t="shared" si="7"/>
        <v/>
      </c>
    </row>
    <row r="122" spans="1:31" x14ac:dyDescent="0.3">
      <c r="A122" s="47" t="str">
        <f>IFERROR(INDEX('G-8 Condition Look up'!$I$4:$I$130,MATCH(F122,'G-8 Condition Look up'!$A$4:$A$130,0)),"")</f>
        <v/>
      </c>
      <c r="C122" s="384" t="str">
        <f>IFERROR(INDEX('G-1 All Habitats'!$AG$3:$AG$15,MATCH(D122,'G-1 All Habitats'!$AF$3:$AF$15,0)),"")</f>
        <v/>
      </c>
      <c r="D122" s="146"/>
      <c r="E122" s="79"/>
      <c r="F122" s="246" t="str">
        <f>IFERROR(INDEX('G-1 All Habitats'!$B$3:$B$129,MATCH(E122,'G-1 All Habitats'!$A$3:$A$129,0)),"")</f>
        <v/>
      </c>
      <c r="G122" s="70"/>
      <c r="H122" s="498" t="str">
        <f>IF(F122="","",VLOOKUP(F122,'G-1 All Habitats'!$B$2:$M$129,10,FALSE))</f>
        <v/>
      </c>
      <c r="I122" s="499" t="str">
        <f>IFERROR(VLOOKUP(H122,'G-1 All Habitats'!$V$3:$W$7,2,FALSE),"")</f>
        <v/>
      </c>
      <c r="J122" s="71"/>
      <c r="K122" s="499" t="str">
        <f>IFERROR(INDEX('G-8 Condition Look up'!$A$3:$H$130,MATCH(F122,'G-8 Condition Look up'!$A$3:$A$130,0),MATCH(J122,'G-8 Condition Look up'!$A$3:$H$3,0)),"")</f>
        <v/>
      </c>
      <c r="L122" s="71"/>
      <c r="M122" s="507" t="str">
        <f>IF(L122="","",IF(VLOOKUP(L122,'G-3 Multipliers'!$L$3:$N$6,2,FALSE)=0,"Spatial Data Missing",VLOOKUP(L122,'G-3 Multipliers'!$L$3:$N$6,2,FALSE)))</f>
        <v/>
      </c>
      <c r="N122" s="505" t="str">
        <f>IF(L122="","",IF(VLOOKUP(L122,'G-3 Multipliers'!$L$3:$N$6,3,FALSE)=0,"Spatial Data Missing",VLOOKUP(L122,'G-3 Multipliers'!$L$3:$N$6,3,FALSE)))</f>
        <v/>
      </c>
      <c r="O122" s="498" t="str">
        <f t="shared" si="6"/>
        <v/>
      </c>
      <c r="P122" s="82"/>
      <c r="Q122" s="82"/>
      <c r="R122" s="507" t="str">
        <f t="shared" si="8"/>
        <v/>
      </c>
      <c r="S122" s="521" t="str">
        <f t="shared" si="9"/>
        <v/>
      </c>
      <c r="T122" s="522" t="str">
        <f>IFERROR(IF(S122="Check Data ⚠","Check Data ⚠",VLOOKUP(S122,'G-4 Temporal multipliers'!$A$4:$C$37,3,FALSE)),"")</f>
        <v/>
      </c>
      <c r="U122" s="523" t="str">
        <f>IF(F122="","",VLOOKUP(F122,'G-3 Multipliers'!$A$2:$E$129,2,FALSE))</f>
        <v/>
      </c>
      <c r="V122" s="520" t="str">
        <f t="shared" si="10"/>
        <v/>
      </c>
      <c r="W122" s="520" t="str">
        <f>IF(E122="","",IF(AND(V122="Standard difficulty applied",O122&gt;P122),U122,IF(AND(V122="Low Difficulty - only applicable if all habitat created before losses",P122&gt;=O122),"Low",VLOOKUP(F122,'G-3 Multipliers'!$A$2:$E$129,4,FALSE))))</f>
        <v/>
      </c>
      <c r="X122" s="524" t="str">
        <f>IFERROR(IF(E122="","",VLOOKUP(W122, 'G-3 Multipliers'!$P$2:$Q$6,2,FALSE)),"")</f>
        <v/>
      </c>
      <c r="Y122" s="529" t="str">
        <f t="shared" si="11"/>
        <v/>
      </c>
      <c r="Z122" s="239"/>
      <c r="AA122" s="240"/>
      <c r="AE122" s="54" t="str">
        <f t="shared" si="7"/>
        <v/>
      </c>
    </row>
    <row r="123" spans="1:31" x14ac:dyDescent="0.3">
      <c r="A123" s="47" t="str">
        <f>IFERROR(INDEX('G-8 Condition Look up'!$I$4:$I$130,MATCH(F123,'G-8 Condition Look up'!$A$4:$A$130,0)),"")</f>
        <v/>
      </c>
      <c r="C123" s="384" t="str">
        <f>IFERROR(INDEX('G-1 All Habitats'!$AG$3:$AG$15,MATCH(D123,'G-1 All Habitats'!$AF$3:$AF$15,0)),"")</f>
        <v/>
      </c>
      <c r="D123" s="146"/>
      <c r="E123" s="79"/>
      <c r="F123" s="246" t="str">
        <f>IFERROR(INDEX('G-1 All Habitats'!$B$3:$B$129,MATCH(E123,'G-1 All Habitats'!$A$3:$A$129,0)),"")</f>
        <v/>
      </c>
      <c r="G123" s="70"/>
      <c r="H123" s="498" t="str">
        <f>IF(F123="","",VLOOKUP(F123,'G-1 All Habitats'!$B$2:$M$129,10,FALSE))</f>
        <v/>
      </c>
      <c r="I123" s="499" t="str">
        <f>IFERROR(VLOOKUP(H123,'G-1 All Habitats'!$V$3:$W$7,2,FALSE),"")</f>
        <v/>
      </c>
      <c r="J123" s="71"/>
      <c r="K123" s="499" t="str">
        <f>IFERROR(INDEX('G-8 Condition Look up'!$A$3:$H$130,MATCH(F123,'G-8 Condition Look up'!$A$3:$A$130,0),MATCH(J123,'G-8 Condition Look up'!$A$3:$H$3,0)),"")</f>
        <v/>
      </c>
      <c r="L123" s="71"/>
      <c r="M123" s="507" t="str">
        <f>IF(L123="","",IF(VLOOKUP(L123,'G-3 Multipliers'!$L$3:$N$6,2,FALSE)=0,"Spatial Data Missing",VLOOKUP(L123,'G-3 Multipliers'!$L$3:$N$6,2,FALSE)))</f>
        <v/>
      </c>
      <c r="N123" s="505" t="str">
        <f>IF(L123="","",IF(VLOOKUP(L123,'G-3 Multipliers'!$L$3:$N$6,3,FALSE)=0,"Spatial Data Missing",VLOOKUP(L123,'G-3 Multipliers'!$L$3:$N$6,3,FALSE)))</f>
        <v/>
      </c>
      <c r="O123" s="498" t="str">
        <f t="shared" si="6"/>
        <v/>
      </c>
      <c r="P123" s="82"/>
      <c r="Q123" s="82"/>
      <c r="R123" s="507" t="str">
        <f t="shared" si="8"/>
        <v/>
      </c>
      <c r="S123" s="521" t="str">
        <f t="shared" si="9"/>
        <v/>
      </c>
      <c r="T123" s="522" t="str">
        <f>IFERROR(IF(S123="Check Data ⚠","Check Data ⚠",VLOOKUP(S123,'G-4 Temporal multipliers'!$A$4:$C$37,3,FALSE)),"")</f>
        <v/>
      </c>
      <c r="U123" s="523" t="str">
        <f>IF(F123="","",VLOOKUP(F123,'G-3 Multipliers'!$A$2:$E$129,2,FALSE))</f>
        <v/>
      </c>
      <c r="V123" s="520" t="str">
        <f t="shared" si="10"/>
        <v/>
      </c>
      <c r="W123" s="520" t="str">
        <f>IF(E123="","",IF(AND(V123="Standard difficulty applied",O123&gt;P123),U123,IF(AND(V123="Low Difficulty - only applicable if all habitat created before losses",P123&gt;=O123),"Low",VLOOKUP(F123,'G-3 Multipliers'!$A$2:$E$129,4,FALSE))))</f>
        <v/>
      </c>
      <c r="X123" s="524" t="str">
        <f>IFERROR(IF(E123="","",VLOOKUP(W123, 'G-3 Multipliers'!$P$2:$Q$6,2,FALSE)),"")</f>
        <v/>
      </c>
      <c r="Y123" s="529" t="str">
        <f t="shared" si="11"/>
        <v/>
      </c>
      <c r="Z123" s="239"/>
      <c r="AA123" s="240"/>
      <c r="AE123" s="54" t="str">
        <f t="shared" si="7"/>
        <v/>
      </c>
    </row>
    <row r="124" spans="1:31" x14ac:dyDescent="0.3">
      <c r="A124" s="47" t="str">
        <f>IFERROR(INDEX('G-8 Condition Look up'!$I$4:$I$130,MATCH(F124,'G-8 Condition Look up'!$A$4:$A$130,0)),"")</f>
        <v/>
      </c>
      <c r="C124" s="384" t="str">
        <f>IFERROR(INDEX('G-1 All Habitats'!$AG$3:$AG$15,MATCH(D124,'G-1 All Habitats'!$AF$3:$AF$15,0)),"")</f>
        <v/>
      </c>
      <c r="D124" s="146"/>
      <c r="E124" s="79"/>
      <c r="F124" s="246" t="str">
        <f>IFERROR(INDEX('G-1 All Habitats'!$B$3:$B$129,MATCH(E124,'G-1 All Habitats'!$A$3:$A$129,0)),"")</f>
        <v/>
      </c>
      <c r="G124" s="70"/>
      <c r="H124" s="498" t="str">
        <f>IF(F124="","",VLOOKUP(F124,'G-1 All Habitats'!$B$2:$M$129,10,FALSE))</f>
        <v/>
      </c>
      <c r="I124" s="499" t="str">
        <f>IFERROR(VLOOKUP(H124,'G-1 All Habitats'!$V$3:$W$7,2,FALSE),"")</f>
        <v/>
      </c>
      <c r="J124" s="71"/>
      <c r="K124" s="499" t="str">
        <f>IFERROR(INDEX('G-8 Condition Look up'!$A$3:$H$130,MATCH(F124,'G-8 Condition Look up'!$A$3:$A$130,0),MATCH(J124,'G-8 Condition Look up'!$A$3:$H$3,0)),"")</f>
        <v/>
      </c>
      <c r="L124" s="71"/>
      <c r="M124" s="507" t="str">
        <f>IF(L124="","",IF(VLOOKUP(L124,'G-3 Multipliers'!$L$3:$N$6,2,FALSE)=0,"Spatial Data Missing",VLOOKUP(L124,'G-3 Multipliers'!$L$3:$N$6,2,FALSE)))</f>
        <v/>
      </c>
      <c r="N124" s="505" t="str">
        <f>IF(L124="","",IF(VLOOKUP(L124,'G-3 Multipliers'!$L$3:$N$6,3,FALSE)=0,"Spatial Data Missing",VLOOKUP(L124,'G-3 Multipliers'!$L$3:$N$6,3,FALSE)))</f>
        <v/>
      </c>
      <c r="O124" s="498" t="str">
        <f t="shared" si="6"/>
        <v/>
      </c>
      <c r="P124" s="82"/>
      <c r="Q124" s="82"/>
      <c r="R124" s="507" t="str">
        <f t="shared" si="8"/>
        <v/>
      </c>
      <c r="S124" s="521" t="str">
        <f t="shared" si="9"/>
        <v/>
      </c>
      <c r="T124" s="522" t="str">
        <f>IFERROR(IF(S124="Check Data ⚠","Check Data ⚠",VLOOKUP(S124,'G-4 Temporal multipliers'!$A$4:$C$37,3,FALSE)),"")</f>
        <v/>
      </c>
      <c r="U124" s="523" t="str">
        <f>IF(F124="","",VLOOKUP(F124,'G-3 Multipliers'!$A$2:$E$129,2,FALSE))</f>
        <v/>
      </c>
      <c r="V124" s="520" t="str">
        <f t="shared" si="10"/>
        <v/>
      </c>
      <c r="W124" s="520" t="str">
        <f>IF(E124="","",IF(AND(V124="Standard difficulty applied",O124&gt;P124),U124,IF(AND(V124="Low Difficulty - only applicable if all habitat created before losses",P124&gt;=O124),"Low",VLOOKUP(F124,'G-3 Multipliers'!$A$2:$E$129,4,FALSE))))</f>
        <v/>
      </c>
      <c r="X124" s="524" t="str">
        <f>IFERROR(IF(E124="","",VLOOKUP(W124, 'G-3 Multipliers'!$P$2:$Q$6,2,FALSE)),"")</f>
        <v/>
      </c>
      <c r="Y124" s="529" t="str">
        <f t="shared" si="11"/>
        <v/>
      </c>
      <c r="Z124" s="239"/>
      <c r="AA124" s="240"/>
      <c r="AE124" s="54" t="str">
        <f t="shared" si="7"/>
        <v/>
      </c>
    </row>
    <row r="125" spans="1:31" x14ac:dyDescent="0.3">
      <c r="A125" s="47" t="str">
        <f>IFERROR(INDEX('G-8 Condition Look up'!$I$4:$I$130,MATCH(F125,'G-8 Condition Look up'!$A$4:$A$130,0)),"")</f>
        <v/>
      </c>
      <c r="C125" s="384" t="str">
        <f>IFERROR(INDEX('G-1 All Habitats'!$AG$3:$AG$15,MATCH(D125,'G-1 All Habitats'!$AF$3:$AF$15,0)),"")</f>
        <v/>
      </c>
      <c r="D125" s="146"/>
      <c r="E125" s="79"/>
      <c r="F125" s="246" t="str">
        <f>IFERROR(INDEX('G-1 All Habitats'!$B$3:$B$129,MATCH(E125,'G-1 All Habitats'!$A$3:$A$129,0)),"")</f>
        <v/>
      </c>
      <c r="G125" s="70"/>
      <c r="H125" s="498" t="str">
        <f>IF(F125="","",VLOOKUP(F125,'G-1 All Habitats'!$B$2:$M$129,10,FALSE))</f>
        <v/>
      </c>
      <c r="I125" s="499" t="str">
        <f>IFERROR(VLOOKUP(H125,'G-1 All Habitats'!$V$3:$W$7,2,FALSE),"")</f>
        <v/>
      </c>
      <c r="J125" s="71"/>
      <c r="K125" s="499" t="str">
        <f>IFERROR(INDEX('G-8 Condition Look up'!$A$3:$H$130,MATCH(F125,'G-8 Condition Look up'!$A$3:$A$130,0),MATCH(J125,'G-8 Condition Look up'!$A$3:$H$3,0)),"")</f>
        <v/>
      </c>
      <c r="L125" s="71"/>
      <c r="M125" s="507" t="str">
        <f>IF(L125="","",IF(VLOOKUP(L125,'G-3 Multipliers'!$L$3:$N$6,2,FALSE)=0,"Spatial Data Missing",VLOOKUP(L125,'G-3 Multipliers'!$L$3:$N$6,2,FALSE)))</f>
        <v/>
      </c>
      <c r="N125" s="505" t="str">
        <f>IF(L125="","",IF(VLOOKUP(L125,'G-3 Multipliers'!$L$3:$N$6,3,FALSE)=0,"Spatial Data Missing",VLOOKUP(L125,'G-3 Multipliers'!$L$3:$N$6,3,FALSE)))</f>
        <v/>
      </c>
      <c r="O125" s="498" t="str">
        <f t="shared" si="6"/>
        <v/>
      </c>
      <c r="P125" s="82"/>
      <c r="Q125" s="82"/>
      <c r="R125" s="507" t="str">
        <f t="shared" si="8"/>
        <v/>
      </c>
      <c r="S125" s="521" t="str">
        <f t="shared" si="9"/>
        <v/>
      </c>
      <c r="T125" s="522" t="str">
        <f>IFERROR(IF(S125="Check Data ⚠","Check Data ⚠",VLOOKUP(S125,'G-4 Temporal multipliers'!$A$4:$C$37,3,FALSE)),"")</f>
        <v/>
      </c>
      <c r="U125" s="523" t="str">
        <f>IF(F125="","",VLOOKUP(F125,'G-3 Multipliers'!$A$2:$E$129,2,FALSE))</f>
        <v/>
      </c>
      <c r="V125" s="520" t="str">
        <f t="shared" si="10"/>
        <v/>
      </c>
      <c r="W125" s="520" t="str">
        <f>IF(E125="","",IF(AND(V125="Standard difficulty applied",O125&gt;P125),U125,IF(AND(V125="Low Difficulty - only applicable if all habitat created before losses",P125&gt;=O125),"Low",VLOOKUP(F125,'G-3 Multipliers'!$A$2:$E$129,4,FALSE))))</f>
        <v/>
      </c>
      <c r="X125" s="524" t="str">
        <f>IFERROR(IF(E125="","",VLOOKUP(W125, 'G-3 Multipliers'!$P$2:$Q$6,2,FALSE)),"")</f>
        <v/>
      </c>
      <c r="Y125" s="529" t="str">
        <f t="shared" si="11"/>
        <v/>
      </c>
      <c r="Z125" s="239"/>
      <c r="AA125" s="240"/>
      <c r="AE125" s="54" t="str">
        <f t="shared" si="7"/>
        <v/>
      </c>
    </row>
    <row r="126" spans="1:31" x14ac:dyDescent="0.3">
      <c r="A126" s="47" t="str">
        <f>IFERROR(INDEX('G-8 Condition Look up'!$I$4:$I$130,MATCH(F126,'G-8 Condition Look up'!$A$4:$A$130,0)),"")</f>
        <v/>
      </c>
      <c r="C126" s="384" t="str">
        <f>IFERROR(INDEX('G-1 All Habitats'!$AG$3:$AG$15,MATCH(D126,'G-1 All Habitats'!$AF$3:$AF$15,0)),"")</f>
        <v/>
      </c>
      <c r="D126" s="146"/>
      <c r="E126" s="79"/>
      <c r="F126" s="246" t="str">
        <f>IFERROR(INDEX('G-1 All Habitats'!$B$3:$B$129,MATCH(E126,'G-1 All Habitats'!$A$3:$A$129,0)),"")</f>
        <v/>
      </c>
      <c r="G126" s="70"/>
      <c r="H126" s="498" t="str">
        <f>IF(F126="","",VLOOKUP(F126,'G-1 All Habitats'!$B$2:$M$129,10,FALSE))</f>
        <v/>
      </c>
      <c r="I126" s="499" t="str">
        <f>IFERROR(VLOOKUP(H126,'G-1 All Habitats'!$V$3:$W$7,2,FALSE),"")</f>
        <v/>
      </c>
      <c r="J126" s="71"/>
      <c r="K126" s="499" t="str">
        <f>IFERROR(INDEX('G-8 Condition Look up'!$A$3:$H$130,MATCH(F126,'G-8 Condition Look up'!$A$3:$A$130,0),MATCH(J126,'G-8 Condition Look up'!$A$3:$H$3,0)),"")</f>
        <v/>
      </c>
      <c r="L126" s="71"/>
      <c r="M126" s="507" t="str">
        <f>IF(L126="","",IF(VLOOKUP(L126,'G-3 Multipliers'!$L$3:$N$6,2,FALSE)=0,"Spatial Data Missing",VLOOKUP(L126,'G-3 Multipliers'!$L$3:$N$6,2,FALSE)))</f>
        <v/>
      </c>
      <c r="N126" s="505" t="str">
        <f>IF(L126="","",IF(VLOOKUP(L126,'G-3 Multipliers'!$L$3:$N$6,3,FALSE)=0,"Spatial Data Missing",VLOOKUP(L126,'G-3 Multipliers'!$L$3:$N$6,3,FALSE)))</f>
        <v/>
      </c>
      <c r="O126" s="498" t="str">
        <f t="shared" si="6"/>
        <v/>
      </c>
      <c r="P126" s="82"/>
      <c r="Q126" s="82"/>
      <c r="R126" s="507" t="str">
        <f t="shared" si="8"/>
        <v/>
      </c>
      <c r="S126" s="521" t="str">
        <f t="shared" si="9"/>
        <v/>
      </c>
      <c r="T126" s="522" t="str">
        <f>IFERROR(IF(S126="Check Data ⚠","Check Data ⚠",VLOOKUP(S126,'G-4 Temporal multipliers'!$A$4:$C$37,3,FALSE)),"")</f>
        <v/>
      </c>
      <c r="U126" s="523" t="str">
        <f>IF(F126="","",VLOOKUP(F126,'G-3 Multipliers'!$A$2:$E$129,2,FALSE))</f>
        <v/>
      </c>
      <c r="V126" s="520" t="str">
        <f t="shared" si="10"/>
        <v/>
      </c>
      <c r="W126" s="520" t="str">
        <f>IF(E126="","",IF(AND(V126="Standard difficulty applied",O126&gt;P126),U126,IF(AND(V126="Low Difficulty - only applicable if all habitat created before losses",P126&gt;=O126),"Low",VLOOKUP(F126,'G-3 Multipliers'!$A$2:$E$129,4,FALSE))))</f>
        <v/>
      </c>
      <c r="X126" s="524" t="str">
        <f>IFERROR(IF(E126="","",VLOOKUP(W126, 'G-3 Multipliers'!$P$2:$Q$6,2,FALSE)),"")</f>
        <v/>
      </c>
      <c r="Y126" s="529" t="str">
        <f t="shared" si="11"/>
        <v/>
      </c>
      <c r="Z126" s="239"/>
      <c r="AA126" s="240"/>
      <c r="AE126" s="54" t="str">
        <f t="shared" si="7"/>
        <v/>
      </c>
    </row>
    <row r="127" spans="1:31" x14ac:dyDescent="0.3">
      <c r="A127" s="47" t="str">
        <f>IFERROR(INDEX('G-8 Condition Look up'!$I$4:$I$130,MATCH(F127,'G-8 Condition Look up'!$A$4:$A$130,0)),"")</f>
        <v/>
      </c>
      <c r="C127" s="384" t="str">
        <f>IFERROR(INDEX('G-1 All Habitats'!$AG$3:$AG$15,MATCH(D127,'G-1 All Habitats'!$AF$3:$AF$15,0)),"")</f>
        <v/>
      </c>
      <c r="D127" s="146"/>
      <c r="E127" s="79"/>
      <c r="F127" s="246" t="str">
        <f>IFERROR(INDEX('G-1 All Habitats'!$B$3:$B$129,MATCH(E127,'G-1 All Habitats'!$A$3:$A$129,0)),"")</f>
        <v/>
      </c>
      <c r="G127" s="70"/>
      <c r="H127" s="498" t="str">
        <f>IF(F127="","",VLOOKUP(F127,'G-1 All Habitats'!$B$2:$M$129,10,FALSE))</f>
        <v/>
      </c>
      <c r="I127" s="499" t="str">
        <f>IFERROR(VLOOKUP(H127,'G-1 All Habitats'!$V$3:$W$7,2,FALSE),"")</f>
        <v/>
      </c>
      <c r="J127" s="71"/>
      <c r="K127" s="499" t="str">
        <f>IFERROR(INDEX('G-8 Condition Look up'!$A$3:$H$130,MATCH(F127,'G-8 Condition Look up'!$A$3:$A$130,0),MATCH(J127,'G-8 Condition Look up'!$A$3:$H$3,0)),"")</f>
        <v/>
      </c>
      <c r="L127" s="71"/>
      <c r="M127" s="507" t="str">
        <f>IF(L127="","",IF(VLOOKUP(L127,'G-3 Multipliers'!$L$3:$N$6,2,FALSE)=0,"Spatial Data Missing",VLOOKUP(L127,'G-3 Multipliers'!$L$3:$N$6,2,FALSE)))</f>
        <v/>
      </c>
      <c r="N127" s="505" t="str">
        <f>IF(L127="","",IF(VLOOKUP(L127,'G-3 Multipliers'!$L$3:$N$6,3,FALSE)=0,"Spatial Data Missing",VLOOKUP(L127,'G-3 Multipliers'!$L$3:$N$6,3,FALSE)))</f>
        <v/>
      </c>
      <c r="O127" s="498" t="str">
        <f t="shared" si="6"/>
        <v/>
      </c>
      <c r="P127" s="82"/>
      <c r="Q127" s="82"/>
      <c r="R127" s="507" t="str">
        <f t="shared" si="8"/>
        <v/>
      </c>
      <c r="S127" s="521" t="str">
        <f t="shared" si="9"/>
        <v/>
      </c>
      <c r="T127" s="522" t="str">
        <f>IFERROR(IF(S127="Check Data ⚠","Check Data ⚠",VLOOKUP(S127,'G-4 Temporal multipliers'!$A$4:$C$37,3,FALSE)),"")</f>
        <v/>
      </c>
      <c r="U127" s="523" t="str">
        <f>IF(F127="","",VLOOKUP(F127,'G-3 Multipliers'!$A$2:$E$129,2,FALSE))</f>
        <v/>
      </c>
      <c r="V127" s="520" t="str">
        <f t="shared" si="10"/>
        <v/>
      </c>
      <c r="W127" s="520" t="str">
        <f>IF(E127="","",IF(AND(V127="Standard difficulty applied",O127&gt;P127),U127,IF(AND(V127="Low Difficulty - only applicable if all habitat created before losses",P127&gt;=O127),"Low",VLOOKUP(F127,'G-3 Multipliers'!$A$2:$E$129,4,FALSE))))</f>
        <v/>
      </c>
      <c r="X127" s="524" t="str">
        <f>IFERROR(IF(E127="","",VLOOKUP(W127, 'G-3 Multipliers'!$P$2:$Q$6,2,FALSE)),"")</f>
        <v/>
      </c>
      <c r="Y127" s="529" t="str">
        <f t="shared" si="11"/>
        <v/>
      </c>
      <c r="Z127" s="239"/>
      <c r="AA127" s="240"/>
      <c r="AE127" s="54" t="str">
        <f t="shared" si="7"/>
        <v/>
      </c>
    </row>
    <row r="128" spans="1:31" x14ac:dyDescent="0.3">
      <c r="A128" s="47" t="str">
        <f>IFERROR(INDEX('G-8 Condition Look up'!$I$4:$I$130,MATCH(F128,'G-8 Condition Look up'!$A$4:$A$130,0)),"")</f>
        <v/>
      </c>
      <c r="C128" s="384" t="str">
        <f>IFERROR(INDEX('G-1 All Habitats'!$AG$3:$AG$15,MATCH(D128,'G-1 All Habitats'!$AF$3:$AF$15,0)),"")</f>
        <v/>
      </c>
      <c r="D128" s="146"/>
      <c r="E128" s="79"/>
      <c r="F128" s="246" t="str">
        <f>IFERROR(INDEX('G-1 All Habitats'!$B$3:$B$129,MATCH(E128,'G-1 All Habitats'!$A$3:$A$129,0)),"")</f>
        <v/>
      </c>
      <c r="G128" s="70"/>
      <c r="H128" s="498" t="str">
        <f>IF(F128="","",VLOOKUP(F128,'G-1 All Habitats'!$B$2:$M$129,10,FALSE))</f>
        <v/>
      </c>
      <c r="I128" s="499" t="str">
        <f>IFERROR(VLOOKUP(H128,'G-1 All Habitats'!$V$3:$W$7,2,FALSE),"")</f>
        <v/>
      </c>
      <c r="J128" s="71"/>
      <c r="K128" s="499" t="str">
        <f>IFERROR(INDEX('G-8 Condition Look up'!$A$3:$H$130,MATCH(F128,'G-8 Condition Look up'!$A$3:$A$130,0),MATCH(J128,'G-8 Condition Look up'!$A$3:$H$3,0)),"")</f>
        <v/>
      </c>
      <c r="L128" s="71"/>
      <c r="M128" s="507" t="str">
        <f>IF(L128="","",IF(VLOOKUP(L128,'G-3 Multipliers'!$L$3:$N$6,2,FALSE)=0,"Spatial Data Missing",VLOOKUP(L128,'G-3 Multipliers'!$L$3:$N$6,2,FALSE)))</f>
        <v/>
      </c>
      <c r="N128" s="505" t="str">
        <f>IF(L128="","",IF(VLOOKUP(L128,'G-3 Multipliers'!$L$3:$N$6,3,FALSE)=0,"Spatial Data Missing",VLOOKUP(L128,'G-3 Multipliers'!$L$3:$N$6,3,FALSE)))</f>
        <v/>
      </c>
      <c r="O128" s="498" t="str">
        <f t="shared" si="6"/>
        <v/>
      </c>
      <c r="P128" s="82"/>
      <c r="Q128" s="82"/>
      <c r="R128" s="507" t="str">
        <f t="shared" si="8"/>
        <v/>
      </c>
      <c r="S128" s="521" t="str">
        <f t="shared" si="9"/>
        <v/>
      </c>
      <c r="T128" s="522" t="str">
        <f>IFERROR(IF(S128="Check Data ⚠","Check Data ⚠",VLOOKUP(S128,'G-4 Temporal multipliers'!$A$4:$C$37,3,FALSE)),"")</f>
        <v/>
      </c>
      <c r="U128" s="523" t="str">
        <f>IF(F128="","",VLOOKUP(F128,'G-3 Multipliers'!$A$2:$E$129,2,FALSE))</f>
        <v/>
      </c>
      <c r="V128" s="520" t="str">
        <f t="shared" si="10"/>
        <v/>
      </c>
      <c r="W128" s="520" t="str">
        <f>IF(E128="","",IF(AND(V128="Standard difficulty applied",O128&gt;P128),U128,IF(AND(V128="Low Difficulty - only applicable if all habitat created before losses",P128&gt;=O128),"Low",VLOOKUP(F128,'G-3 Multipliers'!$A$2:$E$129,4,FALSE))))</f>
        <v/>
      </c>
      <c r="X128" s="524" t="str">
        <f>IFERROR(IF(E128="","",VLOOKUP(W128, 'G-3 Multipliers'!$P$2:$Q$6,2,FALSE)),"")</f>
        <v/>
      </c>
      <c r="Y128" s="529" t="str">
        <f t="shared" si="11"/>
        <v/>
      </c>
      <c r="Z128" s="239"/>
      <c r="AA128" s="240"/>
      <c r="AE128" s="54" t="str">
        <f t="shared" si="7"/>
        <v/>
      </c>
    </row>
    <row r="129" spans="1:31" x14ac:dyDescent="0.3">
      <c r="A129" s="47" t="str">
        <f>IFERROR(INDEX('G-8 Condition Look up'!$I$4:$I$130,MATCH(F129,'G-8 Condition Look up'!$A$4:$A$130,0)),"")</f>
        <v/>
      </c>
      <c r="C129" s="384" t="str">
        <f>IFERROR(INDEX('G-1 All Habitats'!$AG$3:$AG$15,MATCH(D129,'G-1 All Habitats'!$AF$3:$AF$15,0)),"")</f>
        <v/>
      </c>
      <c r="D129" s="146"/>
      <c r="E129" s="79"/>
      <c r="F129" s="246" t="str">
        <f>IFERROR(INDEX('G-1 All Habitats'!$B$3:$B$129,MATCH(E129,'G-1 All Habitats'!$A$3:$A$129,0)),"")</f>
        <v/>
      </c>
      <c r="G129" s="70"/>
      <c r="H129" s="498" t="str">
        <f>IF(F129="","",VLOOKUP(F129,'G-1 All Habitats'!$B$2:$M$129,10,FALSE))</f>
        <v/>
      </c>
      <c r="I129" s="499" t="str">
        <f>IFERROR(VLOOKUP(H129,'G-1 All Habitats'!$V$3:$W$7,2,FALSE),"")</f>
        <v/>
      </c>
      <c r="J129" s="71"/>
      <c r="K129" s="499" t="str">
        <f>IFERROR(INDEX('G-8 Condition Look up'!$A$3:$H$130,MATCH(F129,'G-8 Condition Look up'!$A$3:$A$130,0),MATCH(J129,'G-8 Condition Look up'!$A$3:$H$3,0)),"")</f>
        <v/>
      </c>
      <c r="L129" s="71"/>
      <c r="M129" s="507" t="str">
        <f>IF(L129="","",IF(VLOOKUP(L129,'G-3 Multipliers'!$L$3:$N$6,2,FALSE)=0,"Spatial Data Missing",VLOOKUP(L129,'G-3 Multipliers'!$L$3:$N$6,2,FALSE)))</f>
        <v/>
      </c>
      <c r="N129" s="505" t="str">
        <f>IF(L129="","",IF(VLOOKUP(L129,'G-3 Multipliers'!$L$3:$N$6,3,FALSE)=0,"Spatial Data Missing",VLOOKUP(L129,'G-3 Multipliers'!$L$3:$N$6,3,FALSE)))</f>
        <v/>
      </c>
      <c r="O129" s="498" t="str">
        <f t="shared" si="6"/>
        <v/>
      </c>
      <c r="P129" s="82"/>
      <c r="Q129" s="82"/>
      <c r="R129" s="507" t="str">
        <f t="shared" si="8"/>
        <v/>
      </c>
      <c r="S129" s="521" t="str">
        <f t="shared" si="9"/>
        <v/>
      </c>
      <c r="T129" s="522" t="str">
        <f>IFERROR(IF(S129="Check Data ⚠","Check Data ⚠",VLOOKUP(S129,'G-4 Temporal multipliers'!$A$4:$C$37,3,FALSE)),"")</f>
        <v/>
      </c>
      <c r="U129" s="523" t="str">
        <f>IF(F129="","",VLOOKUP(F129,'G-3 Multipliers'!$A$2:$E$129,2,FALSE))</f>
        <v/>
      </c>
      <c r="V129" s="520" t="str">
        <f t="shared" si="10"/>
        <v/>
      </c>
      <c r="W129" s="520" t="str">
        <f>IF(E129="","",IF(AND(V129="Standard difficulty applied",O129&gt;P129),U129,IF(AND(V129="Low Difficulty - only applicable if all habitat created before losses",P129&gt;=O129),"Low",VLOOKUP(F129,'G-3 Multipliers'!$A$2:$E$129,4,FALSE))))</f>
        <v/>
      </c>
      <c r="X129" s="524" t="str">
        <f>IFERROR(IF(E129="","",VLOOKUP(W129, 'G-3 Multipliers'!$P$2:$Q$6,2,FALSE)),"")</f>
        <v/>
      </c>
      <c r="Y129" s="529" t="str">
        <f t="shared" si="11"/>
        <v/>
      </c>
      <c r="Z129" s="239"/>
      <c r="AA129" s="240"/>
      <c r="AE129" s="54" t="str">
        <f t="shared" si="7"/>
        <v/>
      </c>
    </row>
    <row r="130" spans="1:31" x14ac:dyDescent="0.3">
      <c r="A130" s="47" t="str">
        <f>IFERROR(INDEX('G-8 Condition Look up'!$I$4:$I$130,MATCH(F130,'G-8 Condition Look up'!$A$4:$A$130,0)),"")</f>
        <v/>
      </c>
      <c r="C130" s="384" t="str">
        <f>IFERROR(INDEX('G-1 All Habitats'!$AG$3:$AG$15,MATCH(D130,'G-1 All Habitats'!$AF$3:$AF$15,0)),"")</f>
        <v/>
      </c>
      <c r="D130" s="146"/>
      <c r="E130" s="79"/>
      <c r="F130" s="246" t="str">
        <f>IFERROR(INDEX('G-1 All Habitats'!$B$3:$B$129,MATCH(E130,'G-1 All Habitats'!$A$3:$A$129,0)),"")</f>
        <v/>
      </c>
      <c r="G130" s="70"/>
      <c r="H130" s="498" t="str">
        <f>IF(F130="","",VLOOKUP(F130,'G-1 All Habitats'!$B$2:$M$129,10,FALSE))</f>
        <v/>
      </c>
      <c r="I130" s="499" t="str">
        <f>IFERROR(VLOOKUP(H130,'G-1 All Habitats'!$V$3:$W$7,2,FALSE),"")</f>
        <v/>
      </c>
      <c r="J130" s="71"/>
      <c r="K130" s="499" t="str">
        <f>IFERROR(INDEX('G-8 Condition Look up'!$A$3:$H$130,MATCH(F130,'G-8 Condition Look up'!$A$3:$A$130,0),MATCH(J130,'G-8 Condition Look up'!$A$3:$H$3,0)),"")</f>
        <v/>
      </c>
      <c r="L130" s="71"/>
      <c r="M130" s="507" t="str">
        <f>IF(L130="","",IF(VLOOKUP(L130,'G-3 Multipliers'!$L$3:$N$6,2,FALSE)=0,"Spatial Data Missing",VLOOKUP(L130,'G-3 Multipliers'!$L$3:$N$6,2,FALSE)))</f>
        <v/>
      </c>
      <c r="N130" s="505" t="str">
        <f>IF(L130="","",IF(VLOOKUP(L130,'G-3 Multipliers'!$L$3:$N$6,3,FALSE)=0,"Spatial Data Missing",VLOOKUP(L130,'G-3 Multipliers'!$L$3:$N$6,3,FALSE)))</f>
        <v/>
      </c>
      <c r="O130" s="498" t="str">
        <f t="shared" si="6"/>
        <v/>
      </c>
      <c r="P130" s="82"/>
      <c r="Q130" s="82"/>
      <c r="R130" s="507" t="str">
        <f t="shared" si="8"/>
        <v/>
      </c>
      <c r="S130" s="521" t="str">
        <f t="shared" si="9"/>
        <v/>
      </c>
      <c r="T130" s="522" t="str">
        <f>IFERROR(IF(S130="Check Data ⚠","Check Data ⚠",VLOOKUP(S130,'G-4 Temporal multipliers'!$A$4:$C$37,3,FALSE)),"")</f>
        <v/>
      </c>
      <c r="U130" s="523" t="str">
        <f>IF(F130="","",VLOOKUP(F130,'G-3 Multipliers'!$A$2:$E$129,2,FALSE))</f>
        <v/>
      </c>
      <c r="V130" s="520" t="str">
        <f t="shared" si="10"/>
        <v/>
      </c>
      <c r="W130" s="520" t="str">
        <f>IF(E130="","",IF(AND(V130="Standard difficulty applied",O130&gt;P130),U130,IF(AND(V130="Low Difficulty - only applicable if all habitat created before losses",P130&gt;=O130),"Low",VLOOKUP(F130,'G-3 Multipliers'!$A$2:$E$129,4,FALSE))))</f>
        <v/>
      </c>
      <c r="X130" s="524" t="str">
        <f>IFERROR(IF(E130="","",VLOOKUP(W130, 'G-3 Multipliers'!$P$2:$Q$6,2,FALSE)),"")</f>
        <v/>
      </c>
      <c r="Y130" s="529" t="str">
        <f t="shared" si="11"/>
        <v/>
      </c>
      <c r="Z130" s="239"/>
      <c r="AA130" s="240"/>
      <c r="AE130" s="54" t="str">
        <f t="shared" si="7"/>
        <v/>
      </c>
    </row>
    <row r="131" spans="1:31" x14ac:dyDescent="0.3">
      <c r="A131" s="47" t="str">
        <f>IFERROR(INDEX('G-8 Condition Look up'!$I$4:$I$130,MATCH(F131,'G-8 Condition Look up'!$A$4:$A$130,0)),"")</f>
        <v/>
      </c>
      <c r="C131" s="384" t="str">
        <f>IFERROR(INDEX('G-1 All Habitats'!$AG$3:$AG$15,MATCH(D131,'G-1 All Habitats'!$AF$3:$AF$15,0)),"")</f>
        <v/>
      </c>
      <c r="D131" s="146"/>
      <c r="E131" s="79"/>
      <c r="F131" s="246" t="str">
        <f>IFERROR(INDEX('G-1 All Habitats'!$B$3:$B$129,MATCH(E131,'G-1 All Habitats'!$A$3:$A$129,0)),"")</f>
        <v/>
      </c>
      <c r="G131" s="70"/>
      <c r="H131" s="498" t="str">
        <f>IF(F131="","",VLOOKUP(F131,'G-1 All Habitats'!$B$2:$M$129,10,FALSE))</f>
        <v/>
      </c>
      <c r="I131" s="499" t="str">
        <f>IFERROR(VLOOKUP(H131,'G-1 All Habitats'!$V$3:$W$7,2,FALSE),"")</f>
        <v/>
      </c>
      <c r="J131" s="71"/>
      <c r="K131" s="499" t="str">
        <f>IFERROR(INDEX('G-8 Condition Look up'!$A$3:$H$130,MATCH(F131,'G-8 Condition Look up'!$A$3:$A$130,0),MATCH(J131,'G-8 Condition Look up'!$A$3:$H$3,0)),"")</f>
        <v/>
      </c>
      <c r="L131" s="71"/>
      <c r="M131" s="507" t="str">
        <f>IF(L131="","",IF(VLOOKUP(L131,'G-3 Multipliers'!$L$3:$N$6,2,FALSE)=0,"Spatial Data Missing",VLOOKUP(L131,'G-3 Multipliers'!$L$3:$N$6,2,FALSE)))</f>
        <v/>
      </c>
      <c r="N131" s="505" t="str">
        <f>IF(L131="","",IF(VLOOKUP(L131,'G-3 Multipliers'!$L$3:$N$6,3,FALSE)=0,"Spatial Data Missing",VLOOKUP(L131,'G-3 Multipliers'!$L$3:$N$6,3,FALSE)))</f>
        <v/>
      </c>
      <c r="O131" s="498" t="str">
        <f t="shared" si="6"/>
        <v/>
      </c>
      <c r="P131" s="82"/>
      <c r="Q131" s="82"/>
      <c r="R131" s="507" t="str">
        <f t="shared" si="8"/>
        <v/>
      </c>
      <c r="S131" s="521" t="str">
        <f t="shared" si="9"/>
        <v/>
      </c>
      <c r="T131" s="522" t="str">
        <f>IFERROR(IF(S131="Check Data ⚠","Check Data ⚠",VLOOKUP(S131,'G-4 Temporal multipliers'!$A$4:$C$37,3,FALSE)),"")</f>
        <v/>
      </c>
      <c r="U131" s="523" t="str">
        <f>IF(F131="","",VLOOKUP(F131,'G-3 Multipliers'!$A$2:$E$129,2,FALSE))</f>
        <v/>
      </c>
      <c r="V131" s="520" t="str">
        <f t="shared" si="10"/>
        <v/>
      </c>
      <c r="W131" s="520" t="str">
        <f>IF(E131="","",IF(AND(V131="Standard difficulty applied",O131&gt;P131),U131,IF(AND(V131="Low Difficulty - only applicable if all habitat created before losses",P131&gt;=O131),"Low",VLOOKUP(F131,'G-3 Multipliers'!$A$2:$E$129,4,FALSE))))</f>
        <v/>
      </c>
      <c r="X131" s="524" t="str">
        <f>IFERROR(IF(E131="","",VLOOKUP(W131, 'G-3 Multipliers'!$P$2:$Q$6,2,FALSE)),"")</f>
        <v/>
      </c>
      <c r="Y131" s="529" t="str">
        <f t="shared" si="11"/>
        <v/>
      </c>
      <c r="Z131" s="239"/>
      <c r="AA131" s="240"/>
      <c r="AE131" s="54" t="str">
        <f t="shared" si="7"/>
        <v/>
      </c>
    </row>
    <row r="132" spans="1:31" x14ac:dyDescent="0.3">
      <c r="A132" s="47" t="str">
        <f>IFERROR(INDEX('G-8 Condition Look up'!$I$4:$I$130,MATCH(F132,'G-8 Condition Look up'!$A$4:$A$130,0)),"")</f>
        <v/>
      </c>
      <c r="C132" s="384" t="str">
        <f>IFERROR(INDEX('G-1 All Habitats'!$AG$3:$AG$15,MATCH(D132,'G-1 All Habitats'!$AF$3:$AF$15,0)),"")</f>
        <v/>
      </c>
      <c r="D132" s="146"/>
      <c r="E132" s="79"/>
      <c r="F132" s="246" t="str">
        <f>IFERROR(INDEX('G-1 All Habitats'!$B$3:$B$129,MATCH(E132,'G-1 All Habitats'!$A$3:$A$129,0)),"")</f>
        <v/>
      </c>
      <c r="G132" s="70"/>
      <c r="H132" s="498" t="str">
        <f>IF(F132="","",VLOOKUP(F132,'G-1 All Habitats'!$B$2:$M$129,10,FALSE))</f>
        <v/>
      </c>
      <c r="I132" s="499" t="str">
        <f>IFERROR(VLOOKUP(H132,'G-1 All Habitats'!$V$3:$W$7,2,FALSE),"")</f>
        <v/>
      </c>
      <c r="J132" s="71"/>
      <c r="K132" s="499" t="str">
        <f>IFERROR(INDEX('G-8 Condition Look up'!$A$3:$H$130,MATCH(F132,'G-8 Condition Look up'!$A$3:$A$130,0),MATCH(J132,'G-8 Condition Look up'!$A$3:$H$3,0)),"")</f>
        <v/>
      </c>
      <c r="L132" s="71"/>
      <c r="M132" s="507" t="str">
        <f>IF(L132="","",IF(VLOOKUP(L132,'G-3 Multipliers'!$L$3:$N$6,2,FALSE)=0,"Spatial Data Missing",VLOOKUP(L132,'G-3 Multipliers'!$L$3:$N$6,2,FALSE)))</f>
        <v/>
      </c>
      <c r="N132" s="505" t="str">
        <f>IF(L132="","",IF(VLOOKUP(L132,'G-3 Multipliers'!$L$3:$N$6,3,FALSE)=0,"Spatial Data Missing",VLOOKUP(L132,'G-3 Multipliers'!$L$3:$N$6,3,FALSE)))</f>
        <v/>
      </c>
      <c r="O132" s="498" t="str">
        <f t="shared" si="6"/>
        <v/>
      </c>
      <c r="P132" s="82"/>
      <c r="Q132" s="82"/>
      <c r="R132" s="507" t="str">
        <f t="shared" si="8"/>
        <v/>
      </c>
      <c r="S132" s="521" t="str">
        <f t="shared" si="9"/>
        <v/>
      </c>
      <c r="T132" s="522" t="str">
        <f>IFERROR(IF(S132="Check Data ⚠","Check Data ⚠",VLOOKUP(S132,'G-4 Temporal multipliers'!$A$4:$C$37,3,FALSE)),"")</f>
        <v/>
      </c>
      <c r="U132" s="523" t="str">
        <f>IF(F132="","",VLOOKUP(F132,'G-3 Multipliers'!$A$2:$E$129,2,FALSE))</f>
        <v/>
      </c>
      <c r="V132" s="520" t="str">
        <f t="shared" si="10"/>
        <v/>
      </c>
      <c r="W132" s="520" t="str">
        <f>IF(E132="","",IF(AND(V132="Standard difficulty applied",O132&gt;P132),U132,IF(AND(V132="Low Difficulty - only applicable if all habitat created before losses",P132&gt;=O132),"Low",VLOOKUP(F132,'G-3 Multipliers'!$A$2:$E$129,4,FALSE))))</f>
        <v/>
      </c>
      <c r="X132" s="524" t="str">
        <f>IFERROR(IF(E132="","",VLOOKUP(W132, 'G-3 Multipliers'!$P$2:$Q$6,2,FALSE)),"")</f>
        <v/>
      </c>
      <c r="Y132" s="529" t="str">
        <f t="shared" si="11"/>
        <v/>
      </c>
      <c r="Z132" s="239"/>
      <c r="AA132" s="240"/>
      <c r="AE132" s="54" t="str">
        <f t="shared" si="7"/>
        <v/>
      </c>
    </row>
    <row r="133" spans="1:31" x14ac:dyDescent="0.3">
      <c r="A133" s="47" t="str">
        <f>IFERROR(INDEX('G-8 Condition Look up'!$I$4:$I$130,MATCH(F133,'G-8 Condition Look up'!$A$4:$A$130,0)),"")</f>
        <v/>
      </c>
      <c r="C133" s="384" t="str">
        <f>IFERROR(INDEX('G-1 All Habitats'!$AG$3:$AG$15,MATCH(D133,'G-1 All Habitats'!$AF$3:$AF$15,0)),"")</f>
        <v/>
      </c>
      <c r="D133" s="146"/>
      <c r="E133" s="79"/>
      <c r="F133" s="246" t="str">
        <f>IFERROR(INDEX('G-1 All Habitats'!$B$3:$B$129,MATCH(E133,'G-1 All Habitats'!$A$3:$A$129,0)),"")</f>
        <v/>
      </c>
      <c r="G133" s="70"/>
      <c r="H133" s="498" t="str">
        <f>IF(F133="","",VLOOKUP(F133,'G-1 All Habitats'!$B$2:$M$129,10,FALSE))</f>
        <v/>
      </c>
      <c r="I133" s="499" t="str">
        <f>IFERROR(VLOOKUP(H133,'G-1 All Habitats'!$V$3:$W$7,2,FALSE),"")</f>
        <v/>
      </c>
      <c r="J133" s="71"/>
      <c r="K133" s="499" t="str">
        <f>IFERROR(INDEX('G-8 Condition Look up'!$A$3:$H$130,MATCH(F133,'G-8 Condition Look up'!$A$3:$A$130,0),MATCH(J133,'G-8 Condition Look up'!$A$3:$H$3,0)),"")</f>
        <v/>
      </c>
      <c r="L133" s="71"/>
      <c r="M133" s="507" t="str">
        <f>IF(L133="","",IF(VLOOKUP(L133,'G-3 Multipliers'!$L$3:$N$6,2,FALSE)=0,"Spatial Data Missing",VLOOKUP(L133,'G-3 Multipliers'!$L$3:$N$6,2,FALSE)))</f>
        <v/>
      </c>
      <c r="N133" s="505" t="str">
        <f>IF(L133="","",IF(VLOOKUP(L133,'G-3 Multipliers'!$L$3:$N$6,3,FALSE)=0,"Spatial Data Missing",VLOOKUP(L133,'G-3 Multipliers'!$L$3:$N$6,3,FALSE)))</f>
        <v/>
      </c>
      <c r="O133" s="498" t="str">
        <f t="shared" si="6"/>
        <v/>
      </c>
      <c r="P133" s="82"/>
      <c r="Q133" s="82"/>
      <c r="R133" s="507" t="str">
        <f t="shared" si="8"/>
        <v/>
      </c>
      <c r="S133" s="521" t="str">
        <f t="shared" si="9"/>
        <v/>
      </c>
      <c r="T133" s="522" t="str">
        <f>IFERROR(IF(S133="Check Data ⚠","Check Data ⚠",VLOOKUP(S133,'G-4 Temporal multipliers'!$A$4:$C$37,3,FALSE)),"")</f>
        <v/>
      </c>
      <c r="U133" s="523" t="str">
        <f>IF(F133="","",VLOOKUP(F133,'G-3 Multipliers'!$A$2:$E$129,2,FALSE))</f>
        <v/>
      </c>
      <c r="V133" s="520" t="str">
        <f t="shared" si="10"/>
        <v/>
      </c>
      <c r="W133" s="520" t="str">
        <f>IF(E133="","",IF(AND(V133="Standard difficulty applied",O133&gt;P133),U133,IF(AND(V133="Low Difficulty - only applicable if all habitat created before losses",P133&gt;=O133),"Low",VLOOKUP(F133,'G-3 Multipliers'!$A$2:$E$129,4,FALSE))))</f>
        <v/>
      </c>
      <c r="X133" s="524" t="str">
        <f>IFERROR(IF(E133="","",VLOOKUP(W133, 'G-3 Multipliers'!$P$2:$Q$6,2,FALSE)),"")</f>
        <v/>
      </c>
      <c r="Y133" s="529" t="str">
        <f t="shared" si="11"/>
        <v/>
      </c>
      <c r="Z133" s="239"/>
      <c r="AA133" s="240"/>
      <c r="AE133" s="54" t="str">
        <f t="shared" si="7"/>
        <v/>
      </c>
    </row>
    <row r="134" spans="1:31" x14ac:dyDescent="0.3">
      <c r="A134" s="47" t="str">
        <f>IFERROR(INDEX('G-8 Condition Look up'!$I$4:$I$130,MATCH(F134,'G-8 Condition Look up'!$A$4:$A$130,0)),"")</f>
        <v/>
      </c>
      <c r="C134" s="384" t="str">
        <f>IFERROR(INDEX('G-1 All Habitats'!$AG$3:$AG$15,MATCH(D134,'G-1 All Habitats'!$AF$3:$AF$15,0)),"")</f>
        <v/>
      </c>
      <c r="D134" s="146"/>
      <c r="E134" s="79"/>
      <c r="F134" s="246" t="str">
        <f>IFERROR(INDEX('G-1 All Habitats'!$B$3:$B$129,MATCH(E134,'G-1 All Habitats'!$A$3:$A$129,0)),"")</f>
        <v/>
      </c>
      <c r="G134" s="70"/>
      <c r="H134" s="498" t="str">
        <f>IF(F134="","",VLOOKUP(F134,'G-1 All Habitats'!$B$2:$M$129,10,FALSE))</f>
        <v/>
      </c>
      <c r="I134" s="499" t="str">
        <f>IFERROR(VLOOKUP(H134,'G-1 All Habitats'!$V$3:$W$7,2,FALSE),"")</f>
        <v/>
      </c>
      <c r="J134" s="71"/>
      <c r="K134" s="499" t="str">
        <f>IFERROR(INDEX('G-8 Condition Look up'!$A$3:$H$130,MATCH(F134,'G-8 Condition Look up'!$A$3:$A$130,0),MATCH(J134,'G-8 Condition Look up'!$A$3:$H$3,0)),"")</f>
        <v/>
      </c>
      <c r="L134" s="71"/>
      <c r="M134" s="507" t="str">
        <f>IF(L134="","",IF(VLOOKUP(L134,'G-3 Multipliers'!$L$3:$N$6,2,FALSE)=0,"Spatial Data Missing",VLOOKUP(L134,'G-3 Multipliers'!$L$3:$N$6,2,FALSE)))</f>
        <v/>
      </c>
      <c r="N134" s="505" t="str">
        <f>IF(L134="","",IF(VLOOKUP(L134,'G-3 Multipliers'!$L$3:$N$6,3,FALSE)=0,"Spatial Data Missing",VLOOKUP(L134,'G-3 Multipliers'!$L$3:$N$6,3,FALSE)))</f>
        <v/>
      </c>
      <c r="O134" s="498" t="str">
        <f t="shared" si="6"/>
        <v/>
      </c>
      <c r="P134" s="82"/>
      <c r="Q134" s="82"/>
      <c r="R134" s="507" t="str">
        <f t="shared" si="8"/>
        <v/>
      </c>
      <c r="S134" s="521" t="str">
        <f t="shared" si="9"/>
        <v/>
      </c>
      <c r="T134" s="522" t="str">
        <f>IFERROR(IF(S134="Check Data ⚠","Check Data ⚠",VLOOKUP(S134,'G-4 Temporal multipliers'!$A$4:$C$37,3,FALSE)),"")</f>
        <v/>
      </c>
      <c r="U134" s="523" t="str">
        <f>IF(F134="","",VLOOKUP(F134,'G-3 Multipliers'!$A$2:$E$129,2,FALSE))</f>
        <v/>
      </c>
      <c r="V134" s="520" t="str">
        <f t="shared" si="10"/>
        <v/>
      </c>
      <c r="W134" s="520" t="str">
        <f>IF(E134="","",IF(AND(V134="Standard difficulty applied",O134&gt;P134),U134,IF(AND(V134="Low Difficulty - only applicable if all habitat created before losses",P134&gt;=O134),"Low",VLOOKUP(F134,'G-3 Multipliers'!$A$2:$E$129,4,FALSE))))</f>
        <v/>
      </c>
      <c r="X134" s="524" t="str">
        <f>IFERROR(IF(E134="","",VLOOKUP(W134, 'G-3 Multipliers'!$P$2:$Q$6,2,FALSE)),"")</f>
        <v/>
      </c>
      <c r="Y134" s="529" t="str">
        <f t="shared" si="11"/>
        <v/>
      </c>
      <c r="Z134" s="239"/>
      <c r="AA134" s="240"/>
      <c r="AE134" s="54" t="str">
        <f t="shared" si="7"/>
        <v/>
      </c>
    </row>
    <row r="135" spans="1:31" x14ac:dyDescent="0.3">
      <c r="A135" s="47" t="str">
        <f>IFERROR(INDEX('G-8 Condition Look up'!$I$4:$I$130,MATCH(F135,'G-8 Condition Look up'!$A$4:$A$130,0)),"")</f>
        <v/>
      </c>
      <c r="C135" s="384" t="str">
        <f>IFERROR(INDEX('G-1 All Habitats'!$AG$3:$AG$15,MATCH(D135,'G-1 All Habitats'!$AF$3:$AF$15,0)),"")</f>
        <v/>
      </c>
      <c r="D135" s="146"/>
      <c r="E135" s="79"/>
      <c r="F135" s="246" t="str">
        <f>IFERROR(INDEX('G-1 All Habitats'!$B$3:$B$129,MATCH(E135,'G-1 All Habitats'!$A$3:$A$129,0)),"")</f>
        <v/>
      </c>
      <c r="G135" s="70"/>
      <c r="H135" s="498" t="str">
        <f>IF(F135="","",VLOOKUP(F135,'G-1 All Habitats'!$B$2:$M$129,10,FALSE))</f>
        <v/>
      </c>
      <c r="I135" s="499" t="str">
        <f>IFERROR(VLOOKUP(H135,'G-1 All Habitats'!$V$3:$W$7,2,FALSE),"")</f>
        <v/>
      </c>
      <c r="J135" s="71"/>
      <c r="K135" s="499" t="str">
        <f>IFERROR(INDEX('G-8 Condition Look up'!$A$3:$H$130,MATCH(F135,'G-8 Condition Look up'!$A$3:$A$130,0),MATCH(J135,'G-8 Condition Look up'!$A$3:$H$3,0)),"")</f>
        <v/>
      </c>
      <c r="L135" s="71"/>
      <c r="M135" s="507" t="str">
        <f>IF(L135="","",IF(VLOOKUP(L135,'G-3 Multipliers'!$L$3:$N$6,2,FALSE)=0,"Spatial Data Missing",VLOOKUP(L135,'G-3 Multipliers'!$L$3:$N$6,2,FALSE)))</f>
        <v/>
      </c>
      <c r="N135" s="505" t="str">
        <f>IF(L135="","",IF(VLOOKUP(L135,'G-3 Multipliers'!$L$3:$N$6,3,FALSE)=0,"Spatial Data Missing",VLOOKUP(L135,'G-3 Multipliers'!$L$3:$N$6,3,FALSE)))</f>
        <v/>
      </c>
      <c r="O135" s="498" t="str">
        <f t="shared" si="6"/>
        <v/>
      </c>
      <c r="P135" s="82"/>
      <c r="Q135" s="82"/>
      <c r="R135" s="507" t="str">
        <f t="shared" si="8"/>
        <v/>
      </c>
      <c r="S135" s="521" t="str">
        <f t="shared" si="9"/>
        <v/>
      </c>
      <c r="T135" s="522" t="str">
        <f>IFERROR(IF(S135="Check Data ⚠","Check Data ⚠",VLOOKUP(S135,'G-4 Temporal multipliers'!$A$4:$C$37,3,FALSE)),"")</f>
        <v/>
      </c>
      <c r="U135" s="523" t="str">
        <f>IF(F135="","",VLOOKUP(F135,'G-3 Multipliers'!$A$2:$E$129,2,FALSE))</f>
        <v/>
      </c>
      <c r="V135" s="520" t="str">
        <f t="shared" si="10"/>
        <v/>
      </c>
      <c r="W135" s="520" t="str">
        <f>IF(E135="","",IF(AND(V135="Standard difficulty applied",O135&gt;P135),U135,IF(AND(V135="Low Difficulty - only applicable if all habitat created before losses",P135&gt;=O135),"Low",VLOOKUP(F135,'G-3 Multipliers'!$A$2:$E$129,4,FALSE))))</f>
        <v/>
      </c>
      <c r="X135" s="524" t="str">
        <f>IFERROR(IF(E135="","",VLOOKUP(W135, 'G-3 Multipliers'!$P$2:$Q$6,2,FALSE)),"")</f>
        <v/>
      </c>
      <c r="Y135" s="529" t="str">
        <f t="shared" si="11"/>
        <v/>
      </c>
      <c r="Z135" s="239"/>
      <c r="AA135" s="240"/>
      <c r="AE135" s="54" t="str">
        <f t="shared" si="7"/>
        <v/>
      </c>
    </row>
    <row r="136" spans="1:31" x14ac:dyDescent="0.3">
      <c r="A136" s="47" t="str">
        <f>IFERROR(INDEX('G-8 Condition Look up'!$I$4:$I$130,MATCH(F136,'G-8 Condition Look up'!$A$4:$A$130,0)),"")</f>
        <v/>
      </c>
      <c r="C136" s="384" t="str">
        <f>IFERROR(INDEX('G-1 All Habitats'!$AG$3:$AG$15,MATCH(D136,'G-1 All Habitats'!$AF$3:$AF$15,0)),"")</f>
        <v/>
      </c>
      <c r="D136" s="146"/>
      <c r="E136" s="79"/>
      <c r="F136" s="246" t="str">
        <f>IFERROR(INDEX('G-1 All Habitats'!$B$3:$B$129,MATCH(E136,'G-1 All Habitats'!$A$3:$A$129,0)),"")</f>
        <v/>
      </c>
      <c r="G136" s="70"/>
      <c r="H136" s="498" t="str">
        <f>IF(F136="","",VLOOKUP(F136,'G-1 All Habitats'!$B$2:$M$129,10,FALSE))</f>
        <v/>
      </c>
      <c r="I136" s="499" t="str">
        <f>IFERROR(VLOOKUP(H136,'G-1 All Habitats'!$V$3:$W$7,2,FALSE),"")</f>
        <v/>
      </c>
      <c r="J136" s="71"/>
      <c r="K136" s="499" t="str">
        <f>IFERROR(INDEX('G-8 Condition Look up'!$A$3:$H$130,MATCH(F136,'G-8 Condition Look up'!$A$3:$A$130,0),MATCH(J136,'G-8 Condition Look up'!$A$3:$H$3,0)),"")</f>
        <v/>
      </c>
      <c r="L136" s="71"/>
      <c r="M136" s="507" t="str">
        <f>IF(L136="","",IF(VLOOKUP(L136,'G-3 Multipliers'!$L$3:$N$6,2,FALSE)=0,"Spatial Data Missing",VLOOKUP(L136,'G-3 Multipliers'!$L$3:$N$6,2,FALSE)))</f>
        <v/>
      </c>
      <c r="N136" s="505" t="str">
        <f>IF(L136="","",IF(VLOOKUP(L136,'G-3 Multipliers'!$L$3:$N$6,3,FALSE)=0,"Spatial Data Missing",VLOOKUP(L136,'G-3 Multipliers'!$L$3:$N$6,3,FALSE)))</f>
        <v/>
      </c>
      <c r="O136" s="498" t="str">
        <f t="shared" si="6"/>
        <v/>
      </c>
      <c r="P136" s="82"/>
      <c r="Q136" s="82"/>
      <c r="R136" s="507" t="str">
        <f t="shared" si="8"/>
        <v/>
      </c>
      <c r="S136" s="521" t="str">
        <f t="shared" si="9"/>
        <v/>
      </c>
      <c r="T136" s="522" t="str">
        <f>IFERROR(IF(S136="Check Data ⚠","Check Data ⚠",VLOOKUP(S136,'G-4 Temporal multipliers'!$A$4:$C$37,3,FALSE)),"")</f>
        <v/>
      </c>
      <c r="U136" s="523" t="str">
        <f>IF(F136="","",VLOOKUP(F136,'G-3 Multipliers'!$A$2:$E$129,2,FALSE))</f>
        <v/>
      </c>
      <c r="V136" s="520" t="str">
        <f t="shared" si="10"/>
        <v/>
      </c>
      <c r="W136" s="520" t="str">
        <f>IF(E136="","",IF(AND(V136="Standard difficulty applied",O136&gt;P136),U136,IF(AND(V136="Low Difficulty - only applicable if all habitat created before losses",P136&gt;=O136),"Low",VLOOKUP(F136,'G-3 Multipliers'!$A$2:$E$129,4,FALSE))))</f>
        <v/>
      </c>
      <c r="X136" s="524" t="str">
        <f>IFERROR(IF(E136="","",VLOOKUP(W136, 'G-3 Multipliers'!$P$2:$Q$6,2,FALSE)),"")</f>
        <v/>
      </c>
      <c r="Y136" s="529" t="str">
        <f t="shared" si="11"/>
        <v/>
      </c>
      <c r="Z136" s="239"/>
      <c r="AA136" s="240"/>
      <c r="AE136" s="54" t="str">
        <f t="shared" si="7"/>
        <v/>
      </c>
    </row>
    <row r="137" spans="1:31" x14ac:dyDescent="0.3">
      <c r="A137" s="47" t="str">
        <f>IFERROR(INDEX('G-8 Condition Look up'!$I$4:$I$130,MATCH(F137,'G-8 Condition Look up'!$A$4:$A$130,0)),"")</f>
        <v/>
      </c>
      <c r="C137" s="384" t="str">
        <f>IFERROR(INDEX('G-1 All Habitats'!$AG$3:$AG$15,MATCH(D137,'G-1 All Habitats'!$AF$3:$AF$15,0)),"")</f>
        <v/>
      </c>
      <c r="D137" s="146"/>
      <c r="E137" s="79"/>
      <c r="F137" s="246" t="str">
        <f>IFERROR(INDEX('G-1 All Habitats'!$B$3:$B$129,MATCH(E137,'G-1 All Habitats'!$A$3:$A$129,0)),"")</f>
        <v/>
      </c>
      <c r="G137" s="70"/>
      <c r="H137" s="498" t="str">
        <f>IF(F137="","",VLOOKUP(F137,'G-1 All Habitats'!$B$2:$M$129,10,FALSE))</f>
        <v/>
      </c>
      <c r="I137" s="499" t="str">
        <f>IFERROR(VLOOKUP(H137,'G-1 All Habitats'!$V$3:$W$7,2,FALSE),"")</f>
        <v/>
      </c>
      <c r="J137" s="71"/>
      <c r="K137" s="499" t="str">
        <f>IFERROR(INDEX('G-8 Condition Look up'!$A$3:$H$130,MATCH(F137,'G-8 Condition Look up'!$A$3:$A$130,0),MATCH(J137,'G-8 Condition Look up'!$A$3:$H$3,0)),"")</f>
        <v/>
      </c>
      <c r="L137" s="71"/>
      <c r="M137" s="507" t="str">
        <f>IF(L137="","",IF(VLOOKUP(L137,'G-3 Multipliers'!$L$3:$N$6,2,FALSE)=0,"Spatial Data Missing",VLOOKUP(L137,'G-3 Multipliers'!$L$3:$N$6,2,FALSE)))</f>
        <v/>
      </c>
      <c r="N137" s="505" t="str">
        <f>IF(L137="","",IF(VLOOKUP(L137,'G-3 Multipliers'!$L$3:$N$6,3,FALSE)=0,"Spatial Data Missing",VLOOKUP(L137,'G-3 Multipliers'!$L$3:$N$6,3,FALSE)))</f>
        <v/>
      </c>
      <c r="O137" s="498" t="str">
        <f t="shared" si="6"/>
        <v/>
      </c>
      <c r="P137" s="82"/>
      <c r="Q137" s="82"/>
      <c r="R137" s="507" t="str">
        <f t="shared" si="8"/>
        <v/>
      </c>
      <c r="S137" s="521" t="str">
        <f t="shared" si="9"/>
        <v/>
      </c>
      <c r="T137" s="522" t="str">
        <f>IFERROR(IF(S137="Check Data ⚠","Check Data ⚠",VLOOKUP(S137,'G-4 Temporal multipliers'!$A$4:$C$37,3,FALSE)),"")</f>
        <v/>
      </c>
      <c r="U137" s="523" t="str">
        <f>IF(F137="","",VLOOKUP(F137,'G-3 Multipliers'!$A$2:$E$129,2,FALSE))</f>
        <v/>
      </c>
      <c r="V137" s="520" t="str">
        <f t="shared" si="10"/>
        <v/>
      </c>
      <c r="W137" s="520" t="str">
        <f>IF(E137="","",IF(AND(V137="Standard difficulty applied",O137&gt;P137),U137,IF(AND(V137="Low Difficulty - only applicable if all habitat created before losses",P137&gt;=O137),"Low",VLOOKUP(F137,'G-3 Multipliers'!$A$2:$E$129,4,FALSE))))</f>
        <v/>
      </c>
      <c r="X137" s="524" t="str">
        <f>IFERROR(IF(E137="","",VLOOKUP(W137, 'G-3 Multipliers'!$P$2:$Q$6,2,FALSE)),"")</f>
        <v/>
      </c>
      <c r="Y137" s="529" t="str">
        <f t="shared" si="11"/>
        <v/>
      </c>
      <c r="Z137" s="239"/>
      <c r="AA137" s="240"/>
      <c r="AE137" s="54" t="str">
        <f t="shared" si="7"/>
        <v/>
      </c>
    </row>
    <row r="138" spans="1:31" x14ac:dyDescent="0.3">
      <c r="A138" s="47" t="str">
        <f>IFERROR(INDEX('G-8 Condition Look up'!$I$4:$I$130,MATCH(F138,'G-8 Condition Look up'!$A$4:$A$130,0)),"")</f>
        <v/>
      </c>
      <c r="C138" s="384" t="str">
        <f>IFERROR(INDEX('G-1 All Habitats'!$AG$3:$AG$15,MATCH(D138,'G-1 All Habitats'!$AF$3:$AF$15,0)),"")</f>
        <v/>
      </c>
      <c r="D138" s="146"/>
      <c r="E138" s="79"/>
      <c r="F138" s="246" t="str">
        <f>IFERROR(INDEX('G-1 All Habitats'!$B$3:$B$129,MATCH(E138,'G-1 All Habitats'!$A$3:$A$129,0)),"")</f>
        <v/>
      </c>
      <c r="G138" s="70"/>
      <c r="H138" s="498" t="str">
        <f>IF(F138="","",VLOOKUP(F138,'G-1 All Habitats'!$B$2:$M$129,10,FALSE))</f>
        <v/>
      </c>
      <c r="I138" s="499" t="str">
        <f>IFERROR(VLOOKUP(H138,'G-1 All Habitats'!$V$3:$W$7,2,FALSE),"")</f>
        <v/>
      </c>
      <c r="J138" s="71"/>
      <c r="K138" s="499" t="str">
        <f>IFERROR(INDEX('G-8 Condition Look up'!$A$3:$H$130,MATCH(F138,'G-8 Condition Look up'!$A$3:$A$130,0),MATCH(J138,'G-8 Condition Look up'!$A$3:$H$3,0)),"")</f>
        <v/>
      </c>
      <c r="L138" s="71"/>
      <c r="M138" s="507" t="str">
        <f>IF(L138="","",IF(VLOOKUP(L138,'G-3 Multipliers'!$L$3:$N$6,2,FALSE)=0,"Spatial Data Missing",VLOOKUP(L138,'G-3 Multipliers'!$L$3:$N$6,2,FALSE)))</f>
        <v/>
      </c>
      <c r="N138" s="505" t="str">
        <f>IF(L138="","",IF(VLOOKUP(L138,'G-3 Multipliers'!$L$3:$N$6,3,FALSE)=0,"Spatial Data Missing",VLOOKUP(L138,'G-3 Multipliers'!$L$3:$N$6,3,FALSE)))</f>
        <v/>
      </c>
      <c r="O138" s="498" t="str">
        <f t="shared" si="6"/>
        <v/>
      </c>
      <c r="P138" s="82"/>
      <c r="Q138" s="82"/>
      <c r="R138" s="507" t="str">
        <f t="shared" si="8"/>
        <v/>
      </c>
      <c r="S138" s="521" t="str">
        <f t="shared" si="9"/>
        <v/>
      </c>
      <c r="T138" s="522" t="str">
        <f>IFERROR(IF(S138="Check Data ⚠","Check Data ⚠",VLOOKUP(S138,'G-4 Temporal multipliers'!$A$4:$C$37,3,FALSE)),"")</f>
        <v/>
      </c>
      <c r="U138" s="523" t="str">
        <f>IF(F138="","",VLOOKUP(F138,'G-3 Multipliers'!$A$2:$E$129,2,FALSE))</f>
        <v/>
      </c>
      <c r="V138" s="520" t="str">
        <f t="shared" si="10"/>
        <v/>
      </c>
      <c r="W138" s="520" t="str">
        <f>IF(E138="","",IF(AND(V138="Standard difficulty applied",O138&gt;P138),U138,IF(AND(V138="Low Difficulty - only applicable if all habitat created before losses",P138&gt;=O138),"Low",VLOOKUP(F138,'G-3 Multipliers'!$A$2:$E$129,4,FALSE))))</f>
        <v/>
      </c>
      <c r="X138" s="524" t="str">
        <f>IFERROR(IF(E138="","",VLOOKUP(W138, 'G-3 Multipliers'!$P$2:$Q$6,2,FALSE)),"")</f>
        <v/>
      </c>
      <c r="Y138" s="529" t="str">
        <f t="shared" si="11"/>
        <v/>
      </c>
      <c r="Z138" s="239"/>
      <c r="AA138" s="240"/>
      <c r="AE138" s="54" t="str">
        <f t="shared" si="7"/>
        <v/>
      </c>
    </row>
    <row r="139" spans="1:31" x14ac:dyDescent="0.3">
      <c r="A139" s="47" t="str">
        <f>IFERROR(INDEX('G-8 Condition Look up'!$I$4:$I$130,MATCH(F139,'G-8 Condition Look up'!$A$4:$A$130,0)),"")</f>
        <v/>
      </c>
      <c r="C139" s="384" t="str">
        <f>IFERROR(INDEX('G-1 All Habitats'!$AG$3:$AG$15,MATCH(D139,'G-1 All Habitats'!$AF$3:$AF$15,0)),"")</f>
        <v/>
      </c>
      <c r="D139" s="146"/>
      <c r="E139" s="79"/>
      <c r="F139" s="246" t="str">
        <f>IFERROR(INDEX('G-1 All Habitats'!$B$3:$B$129,MATCH(E139,'G-1 All Habitats'!$A$3:$A$129,0)),"")</f>
        <v/>
      </c>
      <c r="G139" s="70"/>
      <c r="H139" s="498" t="str">
        <f>IF(F139="","",VLOOKUP(F139,'G-1 All Habitats'!$B$2:$M$129,10,FALSE))</f>
        <v/>
      </c>
      <c r="I139" s="499" t="str">
        <f>IFERROR(VLOOKUP(H139,'G-1 All Habitats'!$V$3:$W$7,2,FALSE),"")</f>
        <v/>
      </c>
      <c r="J139" s="71"/>
      <c r="K139" s="499" t="str">
        <f>IFERROR(INDEX('G-8 Condition Look up'!$A$3:$H$130,MATCH(F139,'G-8 Condition Look up'!$A$3:$A$130,0),MATCH(J139,'G-8 Condition Look up'!$A$3:$H$3,0)),"")</f>
        <v/>
      </c>
      <c r="L139" s="71"/>
      <c r="M139" s="507" t="str">
        <f>IF(L139="","",IF(VLOOKUP(L139,'G-3 Multipliers'!$L$3:$N$6,2,FALSE)=0,"Spatial Data Missing",VLOOKUP(L139,'G-3 Multipliers'!$L$3:$N$6,2,FALSE)))</f>
        <v/>
      </c>
      <c r="N139" s="505" t="str">
        <f>IF(L139="","",IF(VLOOKUP(L139,'G-3 Multipliers'!$L$3:$N$6,3,FALSE)=0,"Spatial Data Missing",VLOOKUP(L139,'G-3 Multipliers'!$L$3:$N$6,3,FALSE)))</f>
        <v/>
      </c>
      <c r="O139" s="498" t="str">
        <f t="shared" ref="O139:O202" si="12">IFERROR(INDEX(TemporalData,MATCH(F139,TemporalHabitats,0),MATCH(J139,TemporalConditions,0)),"")</f>
        <v/>
      </c>
      <c r="P139" s="82"/>
      <c r="Q139" s="82"/>
      <c r="R139" s="507" t="str">
        <f t="shared" si="8"/>
        <v/>
      </c>
      <c r="S139" s="521" t="str">
        <f t="shared" si="9"/>
        <v/>
      </c>
      <c r="T139" s="522" t="str">
        <f>IFERROR(IF(S139="Check Data ⚠","Check Data ⚠",VLOOKUP(S139,'G-4 Temporal multipliers'!$A$4:$C$37,3,FALSE)),"")</f>
        <v/>
      </c>
      <c r="U139" s="523" t="str">
        <f>IF(F139="","",VLOOKUP(F139,'G-3 Multipliers'!$A$2:$E$129,2,FALSE))</f>
        <v/>
      </c>
      <c r="V139" s="520" t="str">
        <f t="shared" si="10"/>
        <v/>
      </c>
      <c r="W139" s="520" t="str">
        <f>IF(E139="","",IF(AND(V139="Standard difficulty applied",O139&gt;P139),U139,IF(AND(V139="Low Difficulty - only applicable if all habitat created before losses",P139&gt;=O139),"Low",VLOOKUP(F139,'G-3 Multipliers'!$A$2:$E$129,4,FALSE))))</f>
        <v/>
      </c>
      <c r="X139" s="524" t="str">
        <f>IFERROR(IF(E139="","",VLOOKUP(W139, 'G-3 Multipliers'!$P$2:$Q$6,2,FALSE)),"")</f>
        <v/>
      </c>
      <c r="Y139" s="529" t="str">
        <f t="shared" si="11"/>
        <v/>
      </c>
      <c r="Z139" s="239"/>
      <c r="AA139" s="240"/>
      <c r="AE139" s="54" t="str">
        <f t="shared" ref="AE139:AE202" si="13">IFERROR(INDEX(TemporalData,MATCH(F139,TemporalHabitats,0),MATCH($AE$10,TemporalConditions,0)),"")</f>
        <v/>
      </c>
    </row>
    <row r="140" spans="1:31" x14ac:dyDescent="0.3">
      <c r="A140" s="47" t="str">
        <f>IFERROR(INDEX('G-8 Condition Look up'!$I$4:$I$130,MATCH(F140,'G-8 Condition Look up'!$A$4:$A$130,0)),"")</f>
        <v/>
      </c>
      <c r="C140" s="384" t="str">
        <f>IFERROR(INDEX('G-1 All Habitats'!$AG$3:$AG$15,MATCH(D140,'G-1 All Habitats'!$AF$3:$AF$15,0)),"")</f>
        <v/>
      </c>
      <c r="D140" s="146"/>
      <c r="E140" s="79"/>
      <c r="F140" s="246" t="str">
        <f>IFERROR(INDEX('G-1 All Habitats'!$B$3:$B$129,MATCH(E140,'G-1 All Habitats'!$A$3:$A$129,0)),"")</f>
        <v/>
      </c>
      <c r="G140" s="70"/>
      <c r="H140" s="498" t="str">
        <f>IF(F140="","",VLOOKUP(F140,'G-1 All Habitats'!$B$2:$M$129,10,FALSE))</f>
        <v/>
      </c>
      <c r="I140" s="499" t="str">
        <f>IFERROR(VLOOKUP(H140,'G-1 All Habitats'!$V$3:$W$7,2,FALSE),"")</f>
        <v/>
      </c>
      <c r="J140" s="71"/>
      <c r="K140" s="499" t="str">
        <f>IFERROR(INDEX('G-8 Condition Look up'!$A$3:$H$130,MATCH(F140,'G-8 Condition Look up'!$A$3:$A$130,0),MATCH(J140,'G-8 Condition Look up'!$A$3:$H$3,0)),"")</f>
        <v/>
      </c>
      <c r="L140" s="71"/>
      <c r="M140" s="507" t="str">
        <f>IF(L140="","",IF(VLOOKUP(L140,'G-3 Multipliers'!$L$3:$N$6,2,FALSE)=0,"Spatial Data Missing",VLOOKUP(L140,'G-3 Multipliers'!$L$3:$N$6,2,FALSE)))</f>
        <v/>
      </c>
      <c r="N140" s="505" t="str">
        <f>IF(L140="","",IF(VLOOKUP(L140,'G-3 Multipliers'!$L$3:$N$6,3,FALSE)=0,"Spatial Data Missing",VLOOKUP(L140,'G-3 Multipliers'!$L$3:$N$6,3,FALSE)))</f>
        <v/>
      </c>
      <c r="O140" s="498" t="str">
        <f t="shared" si="12"/>
        <v/>
      </c>
      <c r="P140" s="82"/>
      <c r="Q140" s="82"/>
      <c r="R140" s="507" t="str">
        <f t="shared" ref="R140:R203" si="14">IF(E140="","",IF(AND(P140&gt;0,Q140&gt;0),"Error -both advance and delayed habitat creation ▲",IF(I140=0,"Standard time to target condition applied",IF(AND(J140="N/A -Agricultural",O140&lt;=P140),"Check details - Is there evidence habitat creation in place? ⚠",IF(AND(O140&lt;=P140,Q140=0),"Check details - Is there evidence that habitat has reached target condition? ⚠",IF(O140="","",IF(AND(P140&gt;=AE140,P140&gt;0),"Check details - Is there evidence habitat creation started and the threshold for Poor condition reached? ⚠",IF(Q140&gt;0,"Check details- Delay in starting habitat in required condition? ⚠",IF(P140&gt;0,"Check details - Is there evidence habitat creation started/in place? ⚠","Standard time to target condition applied")))))))))</f>
        <v/>
      </c>
      <c r="S140" s="521" t="str">
        <f t="shared" ref="S140:S203" si="15">IF(R140="Error -both advance and delayed habitat creation ▲","Check Data ⚠",IF(O140="Not Possible","Check Data ⚠",IF(O140="","",IF(AND(O140="30+",P140=0),"30+",IF(AND(O140="30+",P140="30+"),0,IF(AND(O140="30+",P140&lt;32),30-P140,IF(O140="30+",30-P140,IF(P140&gt;O140,0,IF(Q140="30+","30+",IF(O140+Q140&gt;30,"30+",IF(O140+Q140&gt;30,"30+",IF(O140-P140&gt;30,"30+",IF(O140+Q140-P140&gt;0,O140+Q140-P140,IF(O140-P140&gt;0,O140-P140,O140+Q140-P140))))))))))))))</f>
        <v/>
      </c>
      <c r="T140" s="522" t="str">
        <f>IFERROR(IF(S140="Check Data ⚠","Check Data ⚠",VLOOKUP(S140,'G-4 Temporal multipliers'!$A$4:$C$37,3,FALSE)),"")</f>
        <v/>
      </c>
      <c r="U140" s="523" t="str">
        <f>IF(F140="","",VLOOKUP(F140,'G-3 Multipliers'!$A$2:$E$129,2,FALSE))</f>
        <v/>
      </c>
      <c r="V140" s="520" t="str">
        <f t="shared" ref="V140:V203" si="16">IF(F140="","",IF($R140="Check details - Is there evidence that habitat has reached target condition? ⚠","Low Difficulty - only applicable if all habitat created before losses",IF($R140="Check details - Is there evidence habitat creation started and the threshold for Poor condition reached? ⚠","Enhancement difficulty applied","Standard difficulty applied")))</f>
        <v/>
      </c>
      <c r="W140" s="520" t="str">
        <f>IF(E140="","",IF(AND(V140="Standard difficulty applied",O140&gt;P140),U140,IF(AND(V140="Low Difficulty - only applicable if all habitat created before losses",P140&gt;=O140),"Low",VLOOKUP(F140,'G-3 Multipliers'!$A$2:$E$129,4,FALSE))))</f>
        <v/>
      </c>
      <c r="X140" s="524" t="str">
        <f>IFERROR(IF(E140="","",VLOOKUP(W140, 'G-3 Multipliers'!$P$2:$Q$6,2,FALSE)),"")</f>
        <v/>
      </c>
      <c r="Y140" s="529" t="str">
        <f t="shared" ref="Y140:Y203" si="17">IFERROR(G140*I140*K140*N140*T140*X140,"")</f>
        <v/>
      </c>
      <c r="Z140" s="239"/>
      <c r="AA140" s="240"/>
      <c r="AE140" s="54" t="str">
        <f t="shared" si="13"/>
        <v/>
      </c>
    </row>
    <row r="141" spans="1:31" x14ac:dyDescent="0.3">
      <c r="A141" s="47" t="str">
        <f>IFERROR(INDEX('G-8 Condition Look up'!$I$4:$I$130,MATCH(F141,'G-8 Condition Look up'!$A$4:$A$130,0)),"")</f>
        <v/>
      </c>
      <c r="C141" s="384" t="str">
        <f>IFERROR(INDEX('G-1 All Habitats'!$AG$3:$AG$15,MATCH(D141,'G-1 All Habitats'!$AF$3:$AF$15,0)),"")</f>
        <v/>
      </c>
      <c r="D141" s="146"/>
      <c r="E141" s="79"/>
      <c r="F141" s="246" t="str">
        <f>IFERROR(INDEX('G-1 All Habitats'!$B$3:$B$129,MATCH(E141,'G-1 All Habitats'!$A$3:$A$129,0)),"")</f>
        <v/>
      </c>
      <c r="G141" s="70"/>
      <c r="H141" s="498" t="str">
        <f>IF(F141="","",VLOOKUP(F141,'G-1 All Habitats'!$B$2:$M$129,10,FALSE))</f>
        <v/>
      </c>
      <c r="I141" s="499" t="str">
        <f>IFERROR(VLOOKUP(H141,'G-1 All Habitats'!$V$3:$W$7,2,FALSE),"")</f>
        <v/>
      </c>
      <c r="J141" s="71"/>
      <c r="K141" s="499" t="str">
        <f>IFERROR(INDEX('G-8 Condition Look up'!$A$3:$H$130,MATCH(F141,'G-8 Condition Look up'!$A$3:$A$130,0),MATCH(J141,'G-8 Condition Look up'!$A$3:$H$3,0)),"")</f>
        <v/>
      </c>
      <c r="L141" s="71"/>
      <c r="M141" s="507" t="str">
        <f>IF(L141="","",IF(VLOOKUP(L141,'G-3 Multipliers'!$L$3:$N$6,2,FALSE)=0,"Spatial Data Missing",VLOOKUP(L141,'G-3 Multipliers'!$L$3:$N$6,2,FALSE)))</f>
        <v/>
      </c>
      <c r="N141" s="505" t="str">
        <f>IF(L141="","",IF(VLOOKUP(L141,'G-3 Multipliers'!$L$3:$N$6,3,FALSE)=0,"Spatial Data Missing",VLOOKUP(L141,'G-3 Multipliers'!$L$3:$N$6,3,FALSE)))</f>
        <v/>
      </c>
      <c r="O141" s="498" t="str">
        <f t="shared" si="12"/>
        <v/>
      </c>
      <c r="P141" s="82"/>
      <c r="Q141" s="82"/>
      <c r="R141" s="507" t="str">
        <f t="shared" si="14"/>
        <v/>
      </c>
      <c r="S141" s="521" t="str">
        <f t="shared" si="15"/>
        <v/>
      </c>
      <c r="T141" s="522" t="str">
        <f>IFERROR(IF(S141="Check Data ⚠","Check Data ⚠",VLOOKUP(S141,'G-4 Temporal multipliers'!$A$4:$C$37,3,FALSE)),"")</f>
        <v/>
      </c>
      <c r="U141" s="523" t="str">
        <f>IF(F141="","",VLOOKUP(F141,'G-3 Multipliers'!$A$2:$E$129,2,FALSE))</f>
        <v/>
      </c>
      <c r="V141" s="520" t="str">
        <f t="shared" si="16"/>
        <v/>
      </c>
      <c r="W141" s="520" t="str">
        <f>IF(E141="","",IF(AND(V141="Standard difficulty applied",O141&gt;P141),U141,IF(AND(V141="Low Difficulty - only applicable if all habitat created before losses",P141&gt;=O141),"Low",VLOOKUP(F141,'G-3 Multipliers'!$A$2:$E$129,4,FALSE))))</f>
        <v/>
      </c>
      <c r="X141" s="524" t="str">
        <f>IFERROR(IF(E141="","",VLOOKUP(W141, 'G-3 Multipliers'!$P$2:$Q$6,2,FALSE)),"")</f>
        <v/>
      </c>
      <c r="Y141" s="529" t="str">
        <f t="shared" si="17"/>
        <v/>
      </c>
      <c r="Z141" s="239"/>
      <c r="AA141" s="240"/>
      <c r="AE141" s="54" t="str">
        <f t="shared" si="13"/>
        <v/>
      </c>
    </row>
    <row r="142" spans="1:31" x14ac:dyDescent="0.3">
      <c r="A142" s="47" t="str">
        <f>IFERROR(INDEX('G-8 Condition Look up'!$I$4:$I$130,MATCH(F142,'G-8 Condition Look up'!$A$4:$A$130,0)),"")</f>
        <v/>
      </c>
      <c r="C142" s="384" t="str">
        <f>IFERROR(INDEX('G-1 All Habitats'!$AG$3:$AG$15,MATCH(D142,'G-1 All Habitats'!$AF$3:$AF$15,0)),"")</f>
        <v/>
      </c>
      <c r="D142" s="146"/>
      <c r="E142" s="79"/>
      <c r="F142" s="246" t="str">
        <f>IFERROR(INDEX('G-1 All Habitats'!$B$3:$B$129,MATCH(E142,'G-1 All Habitats'!$A$3:$A$129,0)),"")</f>
        <v/>
      </c>
      <c r="G142" s="70"/>
      <c r="H142" s="498" t="str">
        <f>IF(F142="","",VLOOKUP(F142,'G-1 All Habitats'!$B$2:$M$129,10,FALSE))</f>
        <v/>
      </c>
      <c r="I142" s="499" t="str">
        <f>IFERROR(VLOOKUP(H142,'G-1 All Habitats'!$V$3:$W$7,2,FALSE),"")</f>
        <v/>
      </c>
      <c r="J142" s="71"/>
      <c r="K142" s="499" t="str">
        <f>IFERROR(INDEX('G-8 Condition Look up'!$A$3:$H$130,MATCH(F142,'G-8 Condition Look up'!$A$3:$A$130,0),MATCH(J142,'G-8 Condition Look up'!$A$3:$H$3,0)),"")</f>
        <v/>
      </c>
      <c r="L142" s="71"/>
      <c r="M142" s="507" t="str">
        <f>IF(L142="","",IF(VLOOKUP(L142,'G-3 Multipliers'!$L$3:$N$6,2,FALSE)=0,"Spatial Data Missing",VLOOKUP(L142,'G-3 Multipliers'!$L$3:$N$6,2,FALSE)))</f>
        <v/>
      </c>
      <c r="N142" s="505" t="str">
        <f>IF(L142="","",IF(VLOOKUP(L142,'G-3 Multipliers'!$L$3:$N$6,3,FALSE)=0,"Spatial Data Missing",VLOOKUP(L142,'G-3 Multipliers'!$L$3:$N$6,3,FALSE)))</f>
        <v/>
      </c>
      <c r="O142" s="498" t="str">
        <f t="shared" si="12"/>
        <v/>
      </c>
      <c r="P142" s="82"/>
      <c r="Q142" s="82"/>
      <c r="R142" s="507" t="str">
        <f t="shared" si="14"/>
        <v/>
      </c>
      <c r="S142" s="521" t="str">
        <f t="shared" si="15"/>
        <v/>
      </c>
      <c r="T142" s="522" t="str">
        <f>IFERROR(IF(S142="Check Data ⚠","Check Data ⚠",VLOOKUP(S142,'G-4 Temporal multipliers'!$A$4:$C$37,3,FALSE)),"")</f>
        <v/>
      </c>
      <c r="U142" s="523" t="str">
        <f>IF(F142="","",VLOOKUP(F142,'G-3 Multipliers'!$A$2:$E$129,2,FALSE))</f>
        <v/>
      </c>
      <c r="V142" s="520" t="str">
        <f t="shared" si="16"/>
        <v/>
      </c>
      <c r="W142" s="520" t="str">
        <f>IF(E142="","",IF(AND(V142="Standard difficulty applied",O142&gt;P142),U142,IF(AND(V142="Low Difficulty - only applicable if all habitat created before losses",P142&gt;=O142),"Low",VLOOKUP(F142,'G-3 Multipliers'!$A$2:$E$129,4,FALSE))))</f>
        <v/>
      </c>
      <c r="X142" s="524" t="str">
        <f>IFERROR(IF(E142="","",VLOOKUP(W142, 'G-3 Multipliers'!$P$2:$Q$6,2,FALSE)),"")</f>
        <v/>
      </c>
      <c r="Y142" s="529" t="str">
        <f t="shared" si="17"/>
        <v/>
      </c>
      <c r="Z142" s="239"/>
      <c r="AA142" s="240"/>
      <c r="AE142" s="54" t="str">
        <f t="shared" si="13"/>
        <v/>
      </c>
    </row>
    <row r="143" spans="1:31" x14ac:dyDescent="0.3">
      <c r="A143" s="47" t="str">
        <f>IFERROR(INDEX('G-8 Condition Look up'!$I$4:$I$130,MATCH(F143,'G-8 Condition Look up'!$A$4:$A$130,0)),"")</f>
        <v/>
      </c>
      <c r="C143" s="384" t="str">
        <f>IFERROR(INDEX('G-1 All Habitats'!$AG$3:$AG$15,MATCH(D143,'G-1 All Habitats'!$AF$3:$AF$15,0)),"")</f>
        <v/>
      </c>
      <c r="D143" s="146"/>
      <c r="E143" s="79"/>
      <c r="F143" s="246" t="str">
        <f>IFERROR(INDEX('G-1 All Habitats'!$B$3:$B$129,MATCH(E143,'G-1 All Habitats'!$A$3:$A$129,0)),"")</f>
        <v/>
      </c>
      <c r="G143" s="70"/>
      <c r="H143" s="498" t="str">
        <f>IF(F143="","",VLOOKUP(F143,'G-1 All Habitats'!$B$2:$M$129,10,FALSE))</f>
        <v/>
      </c>
      <c r="I143" s="499" t="str">
        <f>IFERROR(VLOOKUP(H143,'G-1 All Habitats'!$V$3:$W$7,2,FALSE),"")</f>
        <v/>
      </c>
      <c r="J143" s="71"/>
      <c r="K143" s="499" t="str">
        <f>IFERROR(INDEX('G-8 Condition Look up'!$A$3:$H$130,MATCH(F143,'G-8 Condition Look up'!$A$3:$A$130,0),MATCH(J143,'G-8 Condition Look up'!$A$3:$H$3,0)),"")</f>
        <v/>
      </c>
      <c r="L143" s="71"/>
      <c r="M143" s="507" t="str">
        <f>IF(L143="","",IF(VLOOKUP(L143,'G-3 Multipliers'!$L$3:$N$6,2,FALSE)=0,"Spatial Data Missing",VLOOKUP(L143,'G-3 Multipliers'!$L$3:$N$6,2,FALSE)))</f>
        <v/>
      </c>
      <c r="N143" s="505" t="str">
        <f>IF(L143="","",IF(VLOOKUP(L143,'G-3 Multipliers'!$L$3:$N$6,3,FALSE)=0,"Spatial Data Missing",VLOOKUP(L143,'G-3 Multipliers'!$L$3:$N$6,3,FALSE)))</f>
        <v/>
      </c>
      <c r="O143" s="498" t="str">
        <f t="shared" si="12"/>
        <v/>
      </c>
      <c r="P143" s="82"/>
      <c r="Q143" s="82"/>
      <c r="R143" s="507" t="str">
        <f t="shared" si="14"/>
        <v/>
      </c>
      <c r="S143" s="521" t="str">
        <f t="shared" si="15"/>
        <v/>
      </c>
      <c r="T143" s="522" t="str">
        <f>IFERROR(IF(S143="Check Data ⚠","Check Data ⚠",VLOOKUP(S143,'G-4 Temporal multipliers'!$A$4:$C$37,3,FALSE)),"")</f>
        <v/>
      </c>
      <c r="U143" s="523" t="str">
        <f>IF(F143="","",VLOOKUP(F143,'G-3 Multipliers'!$A$2:$E$129,2,FALSE))</f>
        <v/>
      </c>
      <c r="V143" s="520" t="str">
        <f t="shared" si="16"/>
        <v/>
      </c>
      <c r="W143" s="520" t="str">
        <f>IF(E143="","",IF(AND(V143="Standard difficulty applied",O143&gt;P143),U143,IF(AND(V143="Low Difficulty - only applicable if all habitat created before losses",P143&gt;=O143),"Low",VLOOKUP(F143,'G-3 Multipliers'!$A$2:$E$129,4,FALSE))))</f>
        <v/>
      </c>
      <c r="X143" s="524" t="str">
        <f>IFERROR(IF(E143="","",VLOOKUP(W143, 'G-3 Multipliers'!$P$2:$Q$6,2,FALSE)),"")</f>
        <v/>
      </c>
      <c r="Y143" s="529" t="str">
        <f t="shared" si="17"/>
        <v/>
      </c>
      <c r="Z143" s="239"/>
      <c r="AA143" s="240"/>
      <c r="AE143" s="54" t="str">
        <f t="shared" si="13"/>
        <v/>
      </c>
    </row>
    <row r="144" spans="1:31" x14ac:dyDescent="0.3">
      <c r="A144" s="47" t="str">
        <f>IFERROR(INDEX('G-8 Condition Look up'!$I$4:$I$130,MATCH(F144,'G-8 Condition Look up'!$A$4:$A$130,0)),"")</f>
        <v/>
      </c>
      <c r="C144" s="384" t="str">
        <f>IFERROR(INDEX('G-1 All Habitats'!$AG$3:$AG$15,MATCH(D144,'G-1 All Habitats'!$AF$3:$AF$15,0)),"")</f>
        <v/>
      </c>
      <c r="D144" s="146"/>
      <c r="E144" s="79"/>
      <c r="F144" s="246" t="str">
        <f>IFERROR(INDEX('G-1 All Habitats'!$B$3:$B$129,MATCH(E144,'G-1 All Habitats'!$A$3:$A$129,0)),"")</f>
        <v/>
      </c>
      <c r="G144" s="70"/>
      <c r="H144" s="498" t="str">
        <f>IF(F144="","",VLOOKUP(F144,'G-1 All Habitats'!$B$2:$M$129,10,FALSE))</f>
        <v/>
      </c>
      <c r="I144" s="499" t="str">
        <f>IFERROR(VLOOKUP(H144,'G-1 All Habitats'!$V$3:$W$7,2,FALSE),"")</f>
        <v/>
      </c>
      <c r="J144" s="71"/>
      <c r="K144" s="499" t="str">
        <f>IFERROR(INDEX('G-8 Condition Look up'!$A$3:$H$130,MATCH(F144,'G-8 Condition Look up'!$A$3:$A$130,0),MATCH(J144,'G-8 Condition Look up'!$A$3:$H$3,0)),"")</f>
        <v/>
      </c>
      <c r="L144" s="71"/>
      <c r="M144" s="507" t="str">
        <f>IF(L144="","",IF(VLOOKUP(L144,'G-3 Multipliers'!$L$3:$N$6,2,FALSE)=0,"Spatial Data Missing",VLOOKUP(L144,'G-3 Multipliers'!$L$3:$N$6,2,FALSE)))</f>
        <v/>
      </c>
      <c r="N144" s="505" t="str">
        <f>IF(L144="","",IF(VLOOKUP(L144,'G-3 Multipliers'!$L$3:$N$6,3,FALSE)=0,"Spatial Data Missing",VLOOKUP(L144,'G-3 Multipliers'!$L$3:$N$6,3,FALSE)))</f>
        <v/>
      </c>
      <c r="O144" s="498" t="str">
        <f t="shared" si="12"/>
        <v/>
      </c>
      <c r="P144" s="82"/>
      <c r="Q144" s="82"/>
      <c r="R144" s="507" t="str">
        <f t="shared" si="14"/>
        <v/>
      </c>
      <c r="S144" s="521" t="str">
        <f t="shared" si="15"/>
        <v/>
      </c>
      <c r="T144" s="522" t="str">
        <f>IFERROR(IF(S144="Check Data ⚠","Check Data ⚠",VLOOKUP(S144,'G-4 Temporal multipliers'!$A$4:$C$37,3,FALSE)),"")</f>
        <v/>
      </c>
      <c r="U144" s="523" t="str">
        <f>IF(F144="","",VLOOKUP(F144,'G-3 Multipliers'!$A$2:$E$129,2,FALSE))</f>
        <v/>
      </c>
      <c r="V144" s="520" t="str">
        <f t="shared" si="16"/>
        <v/>
      </c>
      <c r="W144" s="520" t="str">
        <f>IF(E144="","",IF(AND(V144="Standard difficulty applied",O144&gt;P144),U144,IF(AND(V144="Low Difficulty - only applicable if all habitat created before losses",P144&gt;=O144),"Low",VLOOKUP(F144,'G-3 Multipliers'!$A$2:$E$129,4,FALSE))))</f>
        <v/>
      </c>
      <c r="X144" s="524" t="str">
        <f>IFERROR(IF(E144="","",VLOOKUP(W144, 'G-3 Multipliers'!$P$2:$Q$6,2,FALSE)),"")</f>
        <v/>
      </c>
      <c r="Y144" s="529" t="str">
        <f t="shared" si="17"/>
        <v/>
      </c>
      <c r="Z144" s="239"/>
      <c r="AA144" s="240"/>
      <c r="AE144" s="54" t="str">
        <f t="shared" si="13"/>
        <v/>
      </c>
    </row>
    <row r="145" spans="1:31" x14ac:dyDescent="0.3">
      <c r="A145" s="47" t="str">
        <f>IFERROR(INDEX('G-8 Condition Look up'!$I$4:$I$130,MATCH(F145,'G-8 Condition Look up'!$A$4:$A$130,0)),"")</f>
        <v/>
      </c>
      <c r="C145" s="384" t="str">
        <f>IFERROR(INDEX('G-1 All Habitats'!$AG$3:$AG$15,MATCH(D145,'G-1 All Habitats'!$AF$3:$AF$15,0)),"")</f>
        <v/>
      </c>
      <c r="D145" s="146"/>
      <c r="E145" s="79"/>
      <c r="F145" s="246" t="str">
        <f>IFERROR(INDEX('G-1 All Habitats'!$B$3:$B$129,MATCH(E145,'G-1 All Habitats'!$A$3:$A$129,0)),"")</f>
        <v/>
      </c>
      <c r="G145" s="70"/>
      <c r="H145" s="498" t="str">
        <f>IF(F145="","",VLOOKUP(F145,'G-1 All Habitats'!$B$2:$M$129,10,FALSE))</f>
        <v/>
      </c>
      <c r="I145" s="499" t="str">
        <f>IFERROR(VLOOKUP(H145,'G-1 All Habitats'!$V$3:$W$7,2,FALSE),"")</f>
        <v/>
      </c>
      <c r="J145" s="71"/>
      <c r="K145" s="499" t="str">
        <f>IFERROR(INDEX('G-8 Condition Look up'!$A$3:$H$130,MATCH(F145,'G-8 Condition Look up'!$A$3:$A$130,0),MATCH(J145,'G-8 Condition Look up'!$A$3:$H$3,0)),"")</f>
        <v/>
      </c>
      <c r="L145" s="71"/>
      <c r="M145" s="507" t="str">
        <f>IF(L145="","",IF(VLOOKUP(L145,'G-3 Multipliers'!$L$3:$N$6,2,FALSE)=0,"Spatial Data Missing",VLOOKUP(L145,'G-3 Multipliers'!$L$3:$N$6,2,FALSE)))</f>
        <v/>
      </c>
      <c r="N145" s="505" t="str">
        <f>IF(L145="","",IF(VLOOKUP(L145,'G-3 Multipliers'!$L$3:$N$6,3,FALSE)=0,"Spatial Data Missing",VLOOKUP(L145,'G-3 Multipliers'!$L$3:$N$6,3,FALSE)))</f>
        <v/>
      </c>
      <c r="O145" s="498" t="str">
        <f t="shared" si="12"/>
        <v/>
      </c>
      <c r="P145" s="82"/>
      <c r="Q145" s="82"/>
      <c r="R145" s="507" t="str">
        <f t="shared" si="14"/>
        <v/>
      </c>
      <c r="S145" s="521" t="str">
        <f t="shared" si="15"/>
        <v/>
      </c>
      <c r="T145" s="522" t="str">
        <f>IFERROR(IF(S145="Check Data ⚠","Check Data ⚠",VLOOKUP(S145,'G-4 Temporal multipliers'!$A$4:$C$37,3,FALSE)),"")</f>
        <v/>
      </c>
      <c r="U145" s="523" t="str">
        <f>IF(F145="","",VLOOKUP(F145,'G-3 Multipliers'!$A$2:$E$129,2,FALSE))</f>
        <v/>
      </c>
      <c r="V145" s="520" t="str">
        <f t="shared" si="16"/>
        <v/>
      </c>
      <c r="W145" s="520" t="str">
        <f>IF(E145="","",IF(AND(V145="Standard difficulty applied",O145&gt;P145),U145,IF(AND(V145="Low Difficulty - only applicable if all habitat created before losses",P145&gt;=O145),"Low",VLOOKUP(F145,'G-3 Multipliers'!$A$2:$E$129,4,FALSE))))</f>
        <v/>
      </c>
      <c r="X145" s="524" t="str">
        <f>IFERROR(IF(E145="","",VLOOKUP(W145, 'G-3 Multipliers'!$P$2:$Q$6,2,FALSE)),"")</f>
        <v/>
      </c>
      <c r="Y145" s="529" t="str">
        <f t="shared" si="17"/>
        <v/>
      </c>
      <c r="Z145" s="239"/>
      <c r="AA145" s="240"/>
      <c r="AE145" s="54" t="str">
        <f t="shared" si="13"/>
        <v/>
      </c>
    </row>
    <row r="146" spans="1:31" x14ac:dyDescent="0.3">
      <c r="A146" s="47" t="str">
        <f>IFERROR(INDEX('G-8 Condition Look up'!$I$4:$I$130,MATCH(F146,'G-8 Condition Look up'!$A$4:$A$130,0)),"")</f>
        <v/>
      </c>
      <c r="C146" s="384" t="str">
        <f>IFERROR(INDEX('G-1 All Habitats'!$AG$3:$AG$15,MATCH(D146,'G-1 All Habitats'!$AF$3:$AF$15,0)),"")</f>
        <v/>
      </c>
      <c r="D146" s="146"/>
      <c r="E146" s="79"/>
      <c r="F146" s="246" t="str">
        <f>IFERROR(INDEX('G-1 All Habitats'!$B$3:$B$129,MATCH(E146,'G-1 All Habitats'!$A$3:$A$129,0)),"")</f>
        <v/>
      </c>
      <c r="G146" s="70"/>
      <c r="H146" s="498" t="str">
        <f>IF(F146="","",VLOOKUP(F146,'G-1 All Habitats'!$B$2:$M$129,10,FALSE))</f>
        <v/>
      </c>
      <c r="I146" s="499" t="str">
        <f>IFERROR(VLOOKUP(H146,'G-1 All Habitats'!$V$3:$W$7,2,FALSE),"")</f>
        <v/>
      </c>
      <c r="J146" s="71"/>
      <c r="K146" s="499" t="str">
        <f>IFERROR(INDEX('G-8 Condition Look up'!$A$3:$H$130,MATCH(F146,'G-8 Condition Look up'!$A$3:$A$130,0),MATCH(J146,'G-8 Condition Look up'!$A$3:$H$3,0)),"")</f>
        <v/>
      </c>
      <c r="L146" s="71"/>
      <c r="M146" s="507" t="str">
        <f>IF(L146="","",IF(VLOOKUP(L146,'G-3 Multipliers'!$L$3:$N$6,2,FALSE)=0,"Spatial Data Missing",VLOOKUP(L146,'G-3 Multipliers'!$L$3:$N$6,2,FALSE)))</f>
        <v/>
      </c>
      <c r="N146" s="505" t="str">
        <f>IF(L146="","",IF(VLOOKUP(L146,'G-3 Multipliers'!$L$3:$N$6,3,FALSE)=0,"Spatial Data Missing",VLOOKUP(L146,'G-3 Multipliers'!$L$3:$N$6,3,FALSE)))</f>
        <v/>
      </c>
      <c r="O146" s="498" t="str">
        <f t="shared" si="12"/>
        <v/>
      </c>
      <c r="P146" s="82"/>
      <c r="Q146" s="82"/>
      <c r="R146" s="507" t="str">
        <f t="shared" si="14"/>
        <v/>
      </c>
      <c r="S146" s="521" t="str">
        <f t="shared" si="15"/>
        <v/>
      </c>
      <c r="T146" s="522" t="str">
        <f>IFERROR(IF(S146="Check Data ⚠","Check Data ⚠",VLOOKUP(S146,'G-4 Temporal multipliers'!$A$4:$C$37,3,FALSE)),"")</f>
        <v/>
      </c>
      <c r="U146" s="523" t="str">
        <f>IF(F146="","",VLOOKUP(F146,'G-3 Multipliers'!$A$2:$E$129,2,FALSE))</f>
        <v/>
      </c>
      <c r="V146" s="520" t="str">
        <f t="shared" si="16"/>
        <v/>
      </c>
      <c r="W146" s="520" t="str">
        <f>IF(E146="","",IF(AND(V146="Standard difficulty applied",O146&gt;P146),U146,IF(AND(V146="Low Difficulty - only applicable if all habitat created before losses",P146&gt;=O146),"Low",VLOOKUP(F146,'G-3 Multipliers'!$A$2:$E$129,4,FALSE))))</f>
        <v/>
      </c>
      <c r="X146" s="524" t="str">
        <f>IFERROR(IF(E146="","",VLOOKUP(W146, 'G-3 Multipliers'!$P$2:$Q$6,2,FALSE)),"")</f>
        <v/>
      </c>
      <c r="Y146" s="529" t="str">
        <f t="shared" si="17"/>
        <v/>
      </c>
      <c r="Z146" s="239"/>
      <c r="AA146" s="240"/>
      <c r="AE146" s="54" t="str">
        <f t="shared" si="13"/>
        <v/>
      </c>
    </row>
    <row r="147" spans="1:31" x14ac:dyDescent="0.3">
      <c r="A147" s="47" t="str">
        <f>IFERROR(INDEX('G-8 Condition Look up'!$I$4:$I$130,MATCH(F147,'G-8 Condition Look up'!$A$4:$A$130,0)),"")</f>
        <v/>
      </c>
      <c r="C147" s="384" t="str">
        <f>IFERROR(INDEX('G-1 All Habitats'!$AG$3:$AG$15,MATCH(D147,'G-1 All Habitats'!$AF$3:$AF$15,0)),"")</f>
        <v/>
      </c>
      <c r="D147" s="146"/>
      <c r="E147" s="79"/>
      <c r="F147" s="246" t="str">
        <f>IFERROR(INDEX('G-1 All Habitats'!$B$3:$B$129,MATCH(E147,'G-1 All Habitats'!$A$3:$A$129,0)),"")</f>
        <v/>
      </c>
      <c r="G147" s="70"/>
      <c r="H147" s="498" t="str">
        <f>IF(F147="","",VLOOKUP(F147,'G-1 All Habitats'!$B$2:$M$129,10,FALSE))</f>
        <v/>
      </c>
      <c r="I147" s="499" t="str">
        <f>IFERROR(VLOOKUP(H147,'G-1 All Habitats'!$V$3:$W$7,2,FALSE),"")</f>
        <v/>
      </c>
      <c r="J147" s="71"/>
      <c r="K147" s="499" t="str">
        <f>IFERROR(INDEX('G-8 Condition Look up'!$A$3:$H$130,MATCH(F147,'G-8 Condition Look up'!$A$3:$A$130,0),MATCH(J147,'G-8 Condition Look up'!$A$3:$H$3,0)),"")</f>
        <v/>
      </c>
      <c r="L147" s="71"/>
      <c r="M147" s="507" t="str">
        <f>IF(L147="","",IF(VLOOKUP(L147,'G-3 Multipliers'!$L$3:$N$6,2,FALSE)=0,"Spatial Data Missing",VLOOKUP(L147,'G-3 Multipliers'!$L$3:$N$6,2,FALSE)))</f>
        <v/>
      </c>
      <c r="N147" s="505" t="str">
        <f>IF(L147="","",IF(VLOOKUP(L147,'G-3 Multipliers'!$L$3:$N$6,3,FALSE)=0,"Spatial Data Missing",VLOOKUP(L147,'G-3 Multipliers'!$L$3:$N$6,3,FALSE)))</f>
        <v/>
      </c>
      <c r="O147" s="498" t="str">
        <f t="shared" si="12"/>
        <v/>
      </c>
      <c r="P147" s="82"/>
      <c r="Q147" s="82"/>
      <c r="R147" s="507" t="str">
        <f t="shared" si="14"/>
        <v/>
      </c>
      <c r="S147" s="521" t="str">
        <f t="shared" si="15"/>
        <v/>
      </c>
      <c r="T147" s="522" t="str">
        <f>IFERROR(IF(S147="Check Data ⚠","Check Data ⚠",VLOOKUP(S147,'G-4 Temporal multipliers'!$A$4:$C$37,3,FALSE)),"")</f>
        <v/>
      </c>
      <c r="U147" s="523" t="str">
        <f>IF(F147="","",VLOOKUP(F147,'G-3 Multipliers'!$A$2:$E$129,2,FALSE))</f>
        <v/>
      </c>
      <c r="V147" s="520" t="str">
        <f t="shared" si="16"/>
        <v/>
      </c>
      <c r="W147" s="520" t="str">
        <f>IF(E147="","",IF(AND(V147="Standard difficulty applied",O147&gt;P147),U147,IF(AND(V147="Low Difficulty - only applicable if all habitat created before losses",P147&gt;=O147),"Low",VLOOKUP(F147,'G-3 Multipliers'!$A$2:$E$129,4,FALSE))))</f>
        <v/>
      </c>
      <c r="X147" s="524" t="str">
        <f>IFERROR(IF(E147="","",VLOOKUP(W147, 'G-3 Multipliers'!$P$2:$Q$6,2,FALSE)),"")</f>
        <v/>
      </c>
      <c r="Y147" s="529" t="str">
        <f t="shared" si="17"/>
        <v/>
      </c>
      <c r="Z147" s="239"/>
      <c r="AA147" s="240"/>
      <c r="AE147" s="54" t="str">
        <f t="shared" si="13"/>
        <v/>
      </c>
    </row>
    <row r="148" spans="1:31" x14ac:dyDescent="0.3">
      <c r="A148" s="47" t="str">
        <f>IFERROR(INDEX('G-8 Condition Look up'!$I$4:$I$130,MATCH(F148,'G-8 Condition Look up'!$A$4:$A$130,0)),"")</f>
        <v/>
      </c>
      <c r="C148" s="384" t="str">
        <f>IFERROR(INDEX('G-1 All Habitats'!$AG$3:$AG$15,MATCH(D148,'G-1 All Habitats'!$AF$3:$AF$15,0)),"")</f>
        <v/>
      </c>
      <c r="D148" s="146"/>
      <c r="E148" s="79"/>
      <c r="F148" s="246" t="str">
        <f>IFERROR(INDEX('G-1 All Habitats'!$B$3:$B$129,MATCH(E148,'G-1 All Habitats'!$A$3:$A$129,0)),"")</f>
        <v/>
      </c>
      <c r="G148" s="70"/>
      <c r="H148" s="498" t="str">
        <f>IF(F148="","",VLOOKUP(F148,'G-1 All Habitats'!$B$2:$M$129,10,FALSE))</f>
        <v/>
      </c>
      <c r="I148" s="499" t="str">
        <f>IFERROR(VLOOKUP(H148,'G-1 All Habitats'!$V$3:$W$7,2,FALSE),"")</f>
        <v/>
      </c>
      <c r="J148" s="71"/>
      <c r="K148" s="499" t="str">
        <f>IFERROR(INDEX('G-8 Condition Look up'!$A$3:$H$130,MATCH(F148,'G-8 Condition Look up'!$A$3:$A$130,0),MATCH(J148,'G-8 Condition Look up'!$A$3:$H$3,0)),"")</f>
        <v/>
      </c>
      <c r="L148" s="71"/>
      <c r="M148" s="507" t="str">
        <f>IF(L148="","",IF(VLOOKUP(L148,'G-3 Multipliers'!$L$3:$N$6,2,FALSE)=0,"Spatial Data Missing",VLOOKUP(L148,'G-3 Multipliers'!$L$3:$N$6,2,FALSE)))</f>
        <v/>
      </c>
      <c r="N148" s="505" t="str">
        <f>IF(L148="","",IF(VLOOKUP(L148,'G-3 Multipliers'!$L$3:$N$6,3,FALSE)=0,"Spatial Data Missing",VLOOKUP(L148,'G-3 Multipliers'!$L$3:$N$6,3,FALSE)))</f>
        <v/>
      </c>
      <c r="O148" s="498" t="str">
        <f t="shared" si="12"/>
        <v/>
      </c>
      <c r="P148" s="82"/>
      <c r="Q148" s="82"/>
      <c r="R148" s="507" t="str">
        <f t="shared" si="14"/>
        <v/>
      </c>
      <c r="S148" s="521" t="str">
        <f t="shared" si="15"/>
        <v/>
      </c>
      <c r="T148" s="522" t="str">
        <f>IFERROR(IF(S148="Check Data ⚠","Check Data ⚠",VLOOKUP(S148,'G-4 Temporal multipliers'!$A$4:$C$37,3,FALSE)),"")</f>
        <v/>
      </c>
      <c r="U148" s="523" t="str">
        <f>IF(F148="","",VLOOKUP(F148,'G-3 Multipliers'!$A$2:$E$129,2,FALSE))</f>
        <v/>
      </c>
      <c r="V148" s="520" t="str">
        <f t="shared" si="16"/>
        <v/>
      </c>
      <c r="W148" s="520" t="str">
        <f>IF(E148="","",IF(AND(V148="Standard difficulty applied",O148&gt;P148),U148,IF(AND(V148="Low Difficulty - only applicable if all habitat created before losses",P148&gt;=O148),"Low",VLOOKUP(F148,'G-3 Multipliers'!$A$2:$E$129,4,FALSE))))</f>
        <v/>
      </c>
      <c r="X148" s="524" t="str">
        <f>IFERROR(IF(E148="","",VLOOKUP(W148, 'G-3 Multipliers'!$P$2:$Q$6,2,FALSE)),"")</f>
        <v/>
      </c>
      <c r="Y148" s="529" t="str">
        <f t="shared" si="17"/>
        <v/>
      </c>
      <c r="Z148" s="239"/>
      <c r="AA148" s="240"/>
      <c r="AE148" s="54" t="str">
        <f t="shared" si="13"/>
        <v/>
      </c>
    </row>
    <row r="149" spans="1:31" x14ac:dyDescent="0.3">
      <c r="A149" s="47" t="str">
        <f>IFERROR(INDEX('G-8 Condition Look up'!$I$4:$I$130,MATCH(F149,'G-8 Condition Look up'!$A$4:$A$130,0)),"")</f>
        <v/>
      </c>
      <c r="C149" s="384" t="str">
        <f>IFERROR(INDEX('G-1 All Habitats'!$AG$3:$AG$15,MATCH(D149,'G-1 All Habitats'!$AF$3:$AF$15,0)),"")</f>
        <v/>
      </c>
      <c r="D149" s="146"/>
      <c r="E149" s="79"/>
      <c r="F149" s="246" t="str">
        <f>IFERROR(INDEX('G-1 All Habitats'!$B$3:$B$129,MATCH(E149,'G-1 All Habitats'!$A$3:$A$129,0)),"")</f>
        <v/>
      </c>
      <c r="G149" s="70"/>
      <c r="H149" s="498" t="str">
        <f>IF(F149="","",VLOOKUP(F149,'G-1 All Habitats'!$B$2:$M$129,10,FALSE))</f>
        <v/>
      </c>
      <c r="I149" s="499" t="str">
        <f>IFERROR(VLOOKUP(H149,'G-1 All Habitats'!$V$3:$W$7,2,FALSE),"")</f>
        <v/>
      </c>
      <c r="J149" s="71"/>
      <c r="K149" s="499" t="str">
        <f>IFERROR(INDEX('G-8 Condition Look up'!$A$3:$H$130,MATCH(F149,'G-8 Condition Look up'!$A$3:$A$130,0),MATCH(J149,'G-8 Condition Look up'!$A$3:$H$3,0)),"")</f>
        <v/>
      </c>
      <c r="L149" s="71"/>
      <c r="M149" s="507" t="str">
        <f>IF(L149="","",IF(VLOOKUP(L149,'G-3 Multipliers'!$L$3:$N$6,2,FALSE)=0,"Spatial Data Missing",VLOOKUP(L149,'G-3 Multipliers'!$L$3:$N$6,2,FALSE)))</f>
        <v/>
      </c>
      <c r="N149" s="505" t="str">
        <f>IF(L149="","",IF(VLOOKUP(L149,'G-3 Multipliers'!$L$3:$N$6,3,FALSE)=0,"Spatial Data Missing",VLOOKUP(L149,'G-3 Multipliers'!$L$3:$N$6,3,FALSE)))</f>
        <v/>
      </c>
      <c r="O149" s="498" t="str">
        <f t="shared" si="12"/>
        <v/>
      </c>
      <c r="P149" s="82"/>
      <c r="Q149" s="82"/>
      <c r="R149" s="507" t="str">
        <f t="shared" si="14"/>
        <v/>
      </c>
      <c r="S149" s="521" t="str">
        <f t="shared" si="15"/>
        <v/>
      </c>
      <c r="T149" s="522" t="str">
        <f>IFERROR(IF(S149="Check Data ⚠","Check Data ⚠",VLOOKUP(S149,'G-4 Temporal multipliers'!$A$4:$C$37,3,FALSE)),"")</f>
        <v/>
      </c>
      <c r="U149" s="523" t="str">
        <f>IF(F149="","",VLOOKUP(F149,'G-3 Multipliers'!$A$2:$E$129,2,FALSE))</f>
        <v/>
      </c>
      <c r="V149" s="520" t="str">
        <f t="shared" si="16"/>
        <v/>
      </c>
      <c r="W149" s="520" t="str">
        <f>IF(E149="","",IF(AND(V149="Standard difficulty applied",O149&gt;P149),U149,IF(AND(V149="Low Difficulty - only applicable if all habitat created before losses",P149&gt;=O149),"Low",VLOOKUP(F149,'G-3 Multipliers'!$A$2:$E$129,4,FALSE))))</f>
        <v/>
      </c>
      <c r="X149" s="524" t="str">
        <f>IFERROR(IF(E149="","",VLOOKUP(W149, 'G-3 Multipliers'!$P$2:$Q$6,2,FALSE)),"")</f>
        <v/>
      </c>
      <c r="Y149" s="529" t="str">
        <f t="shared" si="17"/>
        <v/>
      </c>
      <c r="Z149" s="239"/>
      <c r="AA149" s="240"/>
      <c r="AE149" s="54" t="str">
        <f t="shared" si="13"/>
        <v/>
      </c>
    </row>
    <row r="150" spans="1:31" x14ac:dyDescent="0.3">
      <c r="A150" s="47" t="str">
        <f>IFERROR(INDEX('G-8 Condition Look up'!$I$4:$I$130,MATCH(F150,'G-8 Condition Look up'!$A$4:$A$130,0)),"")</f>
        <v/>
      </c>
      <c r="C150" s="384" t="str">
        <f>IFERROR(INDEX('G-1 All Habitats'!$AG$3:$AG$15,MATCH(D150,'G-1 All Habitats'!$AF$3:$AF$15,0)),"")</f>
        <v/>
      </c>
      <c r="D150" s="146"/>
      <c r="E150" s="79"/>
      <c r="F150" s="246" t="str">
        <f>IFERROR(INDEX('G-1 All Habitats'!$B$3:$B$129,MATCH(E150,'G-1 All Habitats'!$A$3:$A$129,0)),"")</f>
        <v/>
      </c>
      <c r="G150" s="70"/>
      <c r="H150" s="498" t="str">
        <f>IF(F150="","",VLOOKUP(F150,'G-1 All Habitats'!$B$2:$M$129,10,FALSE))</f>
        <v/>
      </c>
      <c r="I150" s="499" t="str">
        <f>IFERROR(VLOOKUP(H150,'G-1 All Habitats'!$V$3:$W$7,2,FALSE),"")</f>
        <v/>
      </c>
      <c r="J150" s="71"/>
      <c r="K150" s="499" t="str">
        <f>IFERROR(INDEX('G-8 Condition Look up'!$A$3:$H$130,MATCH(F150,'G-8 Condition Look up'!$A$3:$A$130,0),MATCH(J150,'G-8 Condition Look up'!$A$3:$H$3,0)),"")</f>
        <v/>
      </c>
      <c r="L150" s="71"/>
      <c r="M150" s="507" t="str">
        <f>IF(L150="","",IF(VLOOKUP(L150,'G-3 Multipliers'!$L$3:$N$6,2,FALSE)=0,"Spatial Data Missing",VLOOKUP(L150,'G-3 Multipliers'!$L$3:$N$6,2,FALSE)))</f>
        <v/>
      </c>
      <c r="N150" s="505" t="str">
        <f>IF(L150="","",IF(VLOOKUP(L150,'G-3 Multipliers'!$L$3:$N$6,3,FALSE)=0,"Spatial Data Missing",VLOOKUP(L150,'G-3 Multipliers'!$L$3:$N$6,3,FALSE)))</f>
        <v/>
      </c>
      <c r="O150" s="498" t="str">
        <f t="shared" si="12"/>
        <v/>
      </c>
      <c r="P150" s="82"/>
      <c r="Q150" s="82"/>
      <c r="R150" s="507" t="str">
        <f t="shared" si="14"/>
        <v/>
      </c>
      <c r="S150" s="521" t="str">
        <f t="shared" si="15"/>
        <v/>
      </c>
      <c r="T150" s="522" t="str">
        <f>IFERROR(IF(S150="Check Data ⚠","Check Data ⚠",VLOOKUP(S150,'G-4 Temporal multipliers'!$A$4:$C$37,3,FALSE)),"")</f>
        <v/>
      </c>
      <c r="U150" s="523" t="str">
        <f>IF(F150="","",VLOOKUP(F150,'G-3 Multipliers'!$A$2:$E$129,2,FALSE))</f>
        <v/>
      </c>
      <c r="V150" s="520" t="str">
        <f t="shared" si="16"/>
        <v/>
      </c>
      <c r="W150" s="520" t="str">
        <f>IF(E150="","",IF(AND(V150="Standard difficulty applied",O150&gt;P150),U150,IF(AND(V150="Low Difficulty - only applicable if all habitat created before losses",P150&gt;=O150),"Low",VLOOKUP(F150,'G-3 Multipliers'!$A$2:$E$129,4,FALSE))))</f>
        <v/>
      </c>
      <c r="X150" s="524" t="str">
        <f>IFERROR(IF(E150="","",VLOOKUP(W150, 'G-3 Multipliers'!$P$2:$Q$6,2,FALSE)),"")</f>
        <v/>
      </c>
      <c r="Y150" s="529" t="str">
        <f t="shared" si="17"/>
        <v/>
      </c>
      <c r="Z150" s="239"/>
      <c r="AA150" s="240"/>
      <c r="AE150" s="54" t="str">
        <f t="shared" si="13"/>
        <v/>
      </c>
    </row>
    <row r="151" spans="1:31" x14ac:dyDescent="0.3">
      <c r="A151" s="47" t="str">
        <f>IFERROR(INDEX('G-8 Condition Look up'!$I$4:$I$130,MATCH(F151,'G-8 Condition Look up'!$A$4:$A$130,0)),"")</f>
        <v/>
      </c>
      <c r="C151" s="384" t="str">
        <f>IFERROR(INDEX('G-1 All Habitats'!$AG$3:$AG$15,MATCH(D151,'G-1 All Habitats'!$AF$3:$AF$15,0)),"")</f>
        <v/>
      </c>
      <c r="D151" s="146"/>
      <c r="E151" s="79"/>
      <c r="F151" s="246" t="str">
        <f>IFERROR(INDEX('G-1 All Habitats'!$B$3:$B$129,MATCH(E151,'G-1 All Habitats'!$A$3:$A$129,0)),"")</f>
        <v/>
      </c>
      <c r="G151" s="70"/>
      <c r="H151" s="498" t="str">
        <f>IF(F151="","",VLOOKUP(F151,'G-1 All Habitats'!$B$2:$M$129,10,FALSE))</f>
        <v/>
      </c>
      <c r="I151" s="499" t="str">
        <f>IFERROR(VLOOKUP(H151,'G-1 All Habitats'!$V$3:$W$7,2,FALSE),"")</f>
        <v/>
      </c>
      <c r="J151" s="71"/>
      <c r="K151" s="499" t="str">
        <f>IFERROR(INDEX('G-8 Condition Look up'!$A$3:$H$130,MATCH(F151,'G-8 Condition Look up'!$A$3:$A$130,0),MATCH(J151,'G-8 Condition Look up'!$A$3:$H$3,0)),"")</f>
        <v/>
      </c>
      <c r="L151" s="71"/>
      <c r="M151" s="507" t="str">
        <f>IF(L151="","",IF(VLOOKUP(L151,'G-3 Multipliers'!$L$3:$N$6,2,FALSE)=0,"Spatial Data Missing",VLOOKUP(L151,'G-3 Multipliers'!$L$3:$N$6,2,FALSE)))</f>
        <v/>
      </c>
      <c r="N151" s="505" t="str">
        <f>IF(L151="","",IF(VLOOKUP(L151,'G-3 Multipliers'!$L$3:$N$6,3,FALSE)=0,"Spatial Data Missing",VLOOKUP(L151,'G-3 Multipliers'!$L$3:$N$6,3,FALSE)))</f>
        <v/>
      </c>
      <c r="O151" s="498" t="str">
        <f t="shared" si="12"/>
        <v/>
      </c>
      <c r="P151" s="82"/>
      <c r="Q151" s="82"/>
      <c r="R151" s="507" t="str">
        <f t="shared" si="14"/>
        <v/>
      </c>
      <c r="S151" s="521" t="str">
        <f t="shared" si="15"/>
        <v/>
      </c>
      <c r="T151" s="522" t="str">
        <f>IFERROR(IF(S151="Check Data ⚠","Check Data ⚠",VLOOKUP(S151,'G-4 Temporal multipliers'!$A$4:$C$37,3,FALSE)),"")</f>
        <v/>
      </c>
      <c r="U151" s="523" t="str">
        <f>IF(F151="","",VLOOKUP(F151,'G-3 Multipliers'!$A$2:$E$129,2,FALSE))</f>
        <v/>
      </c>
      <c r="V151" s="520" t="str">
        <f t="shared" si="16"/>
        <v/>
      </c>
      <c r="W151" s="520" t="str">
        <f>IF(E151="","",IF(AND(V151="Standard difficulty applied",O151&gt;P151),U151,IF(AND(V151="Low Difficulty - only applicable if all habitat created before losses",P151&gt;=O151),"Low",VLOOKUP(F151,'G-3 Multipliers'!$A$2:$E$129,4,FALSE))))</f>
        <v/>
      </c>
      <c r="X151" s="524" t="str">
        <f>IFERROR(IF(E151="","",VLOOKUP(W151, 'G-3 Multipliers'!$P$2:$Q$6,2,FALSE)),"")</f>
        <v/>
      </c>
      <c r="Y151" s="529" t="str">
        <f t="shared" si="17"/>
        <v/>
      </c>
      <c r="Z151" s="239"/>
      <c r="AA151" s="240"/>
      <c r="AE151" s="54" t="str">
        <f t="shared" si="13"/>
        <v/>
      </c>
    </row>
    <row r="152" spans="1:31" x14ac:dyDescent="0.3">
      <c r="A152" s="47" t="str">
        <f>IFERROR(INDEX('G-8 Condition Look up'!$I$4:$I$130,MATCH(F152,'G-8 Condition Look up'!$A$4:$A$130,0)),"")</f>
        <v/>
      </c>
      <c r="C152" s="384" t="str">
        <f>IFERROR(INDEX('G-1 All Habitats'!$AG$3:$AG$15,MATCH(D152,'G-1 All Habitats'!$AF$3:$AF$15,0)),"")</f>
        <v/>
      </c>
      <c r="D152" s="146"/>
      <c r="E152" s="79"/>
      <c r="F152" s="246" t="str">
        <f>IFERROR(INDEX('G-1 All Habitats'!$B$3:$B$129,MATCH(E152,'G-1 All Habitats'!$A$3:$A$129,0)),"")</f>
        <v/>
      </c>
      <c r="G152" s="70"/>
      <c r="H152" s="498" t="str">
        <f>IF(F152="","",VLOOKUP(F152,'G-1 All Habitats'!$B$2:$M$129,10,FALSE))</f>
        <v/>
      </c>
      <c r="I152" s="499" t="str">
        <f>IFERROR(VLOOKUP(H152,'G-1 All Habitats'!$V$3:$W$7,2,FALSE),"")</f>
        <v/>
      </c>
      <c r="J152" s="71"/>
      <c r="K152" s="499" t="str">
        <f>IFERROR(INDEX('G-8 Condition Look up'!$A$3:$H$130,MATCH(F152,'G-8 Condition Look up'!$A$3:$A$130,0),MATCH(J152,'G-8 Condition Look up'!$A$3:$H$3,0)),"")</f>
        <v/>
      </c>
      <c r="L152" s="71"/>
      <c r="M152" s="507" t="str">
        <f>IF(L152="","",IF(VLOOKUP(L152,'G-3 Multipliers'!$L$3:$N$6,2,FALSE)=0,"Spatial Data Missing",VLOOKUP(L152,'G-3 Multipliers'!$L$3:$N$6,2,FALSE)))</f>
        <v/>
      </c>
      <c r="N152" s="505" t="str">
        <f>IF(L152="","",IF(VLOOKUP(L152,'G-3 Multipliers'!$L$3:$N$6,3,FALSE)=0,"Spatial Data Missing",VLOOKUP(L152,'G-3 Multipliers'!$L$3:$N$6,3,FALSE)))</f>
        <v/>
      </c>
      <c r="O152" s="498" t="str">
        <f t="shared" si="12"/>
        <v/>
      </c>
      <c r="P152" s="82"/>
      <c r="Q152" s="82"/>
      <c r="R152" s="507" t="str">
        <f t="shared" si="14"/>
        <v/>
      </c>
      <c r="S152" s="521" t="str">
        <f t="shared" si="15"/>
        <v/>
      </c>
      <c r="T152" s="522" t="str">
        <f>IFERROR(IF(S152="Check Data ⚠","Check Data ⚠",VLOOKUP(S152,'G-4 Temporal multipliers'!$A$4:$C$37,3,FALSE)),"")</f>
        <v/>
      </c>
      <c r="U152" s="523" t="str">
        <f>IF(F152="","",VLOOKUP(F152,'G-3 Multipliers'!$A$2:$E$129,2,FALSE))</f>
        <v/>
      </c>
      <c r="V152" s="520" t="str">
        <f t="shared" si="16"/>
        <v/>
      </c>
      <c r="W152" s="520" t="str">
        <f>IF(E152="","",IF(AND(V152="Standard difficulty applied",O152&gt;P152),U152,IF(AND(V152="Low Difficulty - only applicable if all habitat created before losses",P152&gt;=O152),"Low",VLOOKUP(F152,'G-3 Multipliers'!$A$2:$E$129,4,FALSE))))</f>
        <v/>
      </c>
      <c r="X152" s="524" t="str">
        <f>IFERROR(IF(E152="","",VLOOKUP(W152, 'G-3 Multipliers'!$P$2:$Q$6,2,FALSE)),"")</f>
        <v/>
      </c>
      <c r="Y152" s="529" t="str">
        <f t="shared" si="17"/>
        <v/>
      </c>
      <c r="Z152" s="239"/>
      <c r="AA152" s="240"/>
      <c r="AE152" s="54" t="str">
        <f t="shared" si="13"/>
        <v/>
      </c>
    </row>
    <row r="153" spans="1:31" x14ac:dyDescent="0.3">
      <c r="A153" s="47" t="str">
        <f>IFERROR(INDEX('G-8 Condition Look up'!$I$4:$I$130,MATCH(F153,'G-8 Condition Look up'!$A$4:$A$130,0)),"")</f>
        <v/>
      </c>
      <c r="C153" s="384" t="str">
        <f>IFERROR(INDEX('G-1 All Habitats'!$AG$3:$AG$15,MATCH(D153,'G-1 All Habitats'!$AF$3:$AF$15,0)),"")</f>
        <v/>
      </c>
      <c r="D153" s="146"/>
      <c r="E153" s="79"/>
      <c r="F153" s="246" t="str">
        <f>IFERROR(INDEX('G-1 All Habitats'!$B$3:$B$129,MATCH(E153,'G-1 All Habitats'!$A$3:$A$129,0)),"")</f>
        <v/>
      </c>
      <c r="G153" s="70"/>
      <c r="H153" s="498" t="str">
        <f>IF(F153="","",VLOOKUP(F153,'G-1 All Habitats'!$B$2:$M$129,10,FALSE))</f>
        <v/>
      </c>
      <c r="I153" s="499" t="str">
        <f>IFERROR(VLOOKUP(H153,'G-1 All Habitats'!$V$3:$W$7,2,FALSE),"")</f>
        <v/>
      </c>
      <c r="J153" s="71"/>
      <c r="K153" s="499" t="str">
        <f>IFERROR(INDEX('G-8 Condition Look up'!$A$3:$H$130,MATCH(F153,'G-8 Condition Look up'!$A$3:$A$130,0),MATCH(J153,'G-8 Condition Look up'!$A$3:$H$3,0)),"")</f>
        <v/>
      </c>
      <c r="L153" s="71"/>
      <c r="M153" s="507" t="str">
        <f>IF(L153="","",IF(VLOOKUP(L153,'G-3 Multipliers'!$L$3:$N$6,2,FALSE)=0,"Spatial Data Missing",VLOOKUP(L153,'G-3 Multipliers'!$L$3:$N$6,2,FALSE)))</f>
        <v/>
      </c>
      <c r="N153" s="505" t="str">
        <f>IF(L153="","",IF(VLOOKUP(L153,'G-3 Multipliers'!$L$3:$N$6,3,FALSE)=0,"Spatial Data Missing",VLOOKUP(L153,'G-3 Multipliers'!$L$3:$N$6,3,FALSE)))</f>
        <v/>
      </c>
      <c r="O153" s="498" t="str">
        <f t="shared" si="12"/>
        <v/>
      </c>
      <c r="P153" s="82"/>
      <c r="Q153" s="82"/>
      <c r="R153" s="507" t="str">
        <f t="shared" si="14"/>
        <v/>
      </c>
      <c r="S153" s="521" t="str">
        <f t="shared" si="15"/>
        <v/>
      </c>
      <c r="T153" s="522" t="str">
        <f>IFERROR(IF(S153="Check Data ⚠","Check Data ⚠",VLOOKUP(S153,'G-4 Temporal multipliers'!$A$4:$C$37,3,FALSE)),"")</f>
        <v/>
      </c>
      <c r="U153" s="523" t="str">
        <f>IF(F153="","",VLOOKUP(F153,'G-3 Multipliers'!$A$2:$E$129,2,FALSE))</f>
        <v/>
      </c>
      <c r="V153" s="520" t="str">
        <f t="shared" si="16"/>
        <v/>
      </c>
      <c r="W153" s="520" t="str">
        <f>IF(E153="","",IF(AND(V153="Standard difficulty applied",O153&gt;P153),U153,IF(AND(V153="Low Difficulty - only applicable if all habitat created before losses",P153&gt;=O153),"Low",VLOOKUP(F153,'G-3 Multipliers'!$A$2:$E$129,4,FALSE))))</f>
        <v/>
      </c>
      <c r="X153" s="524" t="str">
        <f>IFERROR(IF(E153="","",VLOOKUP(W153, 'G-3 Multipliers'!$P$2:$Q$6,2,FALSE)),"")</f>
        <v/>
      </c>
      <c r="Y153" s="529" t="str">
        <f t="shared" si="17"/>
        <v/>
      </c>
      <c r="Z153" s="239"/>
      <c r="AA153" s="240"/>
      <c r="AE153" s="54" t="str">
        <f t="shared" si="13"/>
        <v/>
      </c>
    </row>
    <row r="154" spans="1:31" x14ac:dyDescent="0.3">
      <c r="A154" s="47" t="str">
        <f>IFERROR(INDEX('G-8 Condition Look up'!$I$4:$I$130,MATCH(F154,'G-8 Condition Look up'!$A$4:$A$130,0)),"")</f>
        <v/>
      </c>
      <c r="C154" s="384" t="str">
        <f>IFERROR(INDEX('G-1 All Habitats'!$AG$3:$AG$15,MATCH(D154,'G-1 All Habitats'!$AF$3:$AF$15,0)),"")</f>
        <v/>
      </c>
      <c r="D154" s="146"/>
      <c r="E154" s="79"/>
      <c r="F154" s="246" t="str">
        <f>IFERROR(INDEX('G-1 All Habitats'!$B$3:$B$129,MATCH(E154,'G-1 All Habitats'!$A$3:$A$129,0)),"")</f>
        <v/>
      </c>
      <c r="G154" s="70"/>
      <c r="H154" s="498" t="str">
        <f>IF(F154="","",VLOOKUP(F154,'G-1 All Habitats'!$B$2:$M$129,10,FALSE))</f>
        <v/>
      </c>
      <c r="I154" s="499" t="str">
        <f>IFERROR(VLOOKUP(H154,'G-1 All Habitats'!$V$3:$W$7,2,FALSE),"")</f>
        <v/>
      </c>
      <c r="J154" s="71"/>
      <c r="K154" s="499" t="str">
        <f>IFERROR(INDEX('G-8 Condition Look up'!$A$3:$H$130,MATCH(F154,'G-8 Condition Look up'!$A$3:$A$130,0),MATCH(J154,'G-8 Condition Look up'!$A$3:$H$3,0)),"")</f>
        <v/>
      </c>
      <c r="L154" s="71"/>
      <c r="M154" s="507" t="str">
        <f>IF(L154="","",IF(VLOOKUP(L154,'G-3 Multipliers'!$L$3:$N$6,2,FALSE)=0,"Spatial Data Missing",VLOOKUP(L154,'G-3 Multipliers'!$L$3:$N$6,2,FALSE)))</f>
        <v/>
      </c>
      <c r="N154" s="505" t="str">
        <f>IF(L154="","",IF(VLOOKUP(L154,'G-3 Multipliers'!$L$3:$N$6,3,FALSE)=0,"Spatial Data Missing",VLOOKUP(L154,'G-3 Multipliers'!$L$3:$N$6,3,FALSE)))</f>
        <v/>
      </c>
      <c r="O154" s="498" t="str">
        <f t="shared" si="12"/>
        <v/>
      </c>
      <c r="P154" s="82"/>
      <c r="Q154" s="82"/>
      <c r="R154" s="507" t="str">
        <f t="shared" si="14"/>
        <v/>
      </c>
      <c r="S154" s="521" t="str">
        <f t="shared" si="15"/>
        <v/>
      </c>
      <c r="T154" s="522" t="str">
        <f>IFERROR(IF(S154="Check Data ⚠","Check Data ⚠",VLOOKUP(S154,'G-4 Temporal multipliers'!$A$4:$C$37,3,FALSE)),"")</f>
        <v/>
      </c>
      <c r="U154" s="523" t="str">
        <f>IF(F154="","",VLOOKUP(F154,'G-3 Multipliers'!$A$2:$E$129,2,FALSE))</f>
        <v/>
      </c>
      <c r="V154" s="520" t="str">
        <f t="shared" si="16"/>
        <v/>
      </c>
      <c r="W154" s="520" t="str">
        <f>IF(E154="","",IF(AND(V154="Standard difficulty applied",O154&gt;P154),U154,IF(AND(V154="Low Difficulty - only applicable if all habitat created before losses",P154&gt;=O154),"Low",VLOOKUP(F154,'G-3 Multipliers'!$A$2:$E$129,4,FALSE))))</f>
        <v/>
      </c>
      <c r="X154" s="524" t="str">
        <f>IFERROR(IF(E154="","",VLOOKUP(W154, 'G-3 Multipliers'!$P$2:$Q$6,2,FALSE)),"")</f>
        <v/>
      </c>
      <c r="Y154" s="529" t="str">
        <f t="shared" si="17"/>
        <v/>
      </c>
      <c r="Z154" s="239"/>
      <c r="AA154" s="240"/>
      <c r="AE154" s="54" t="str">
        <f t="shared" si="13"/>
        <v/>
      </c>
    </row>
    <row r="155" spans="1:31" x14ac:dyDescent="0.3">
      <c r="A155" s="47" t="str">
        <f>IFERROR(INDEX('G-8 Condition Look up'!$I$4:$I$130,MATCH(F155,'G-8 Condition Look up'!$A$4:$A$130,0)),"")</f>
        <v/>
      </c>
      <c r="C155" s="384" t="str">
        <f>IFERROR(INDEX('G-1 All Habitats'!$AG$3:$AG$15,MATCH(D155,'G-1 All Habitats'!$AF$3:$AF$15,0)),"")</f>
        <v/>
      </c>
      <c r="D155" s="146"/>
      <c r="E155" s="79"/>
      <c r="F155" s="246" t="str">
        <f>IFERROR(INDEX('G-1 All Habitats'!$B$3:$B$129,MATCH(E155,'G-1 All Habitats'!$A$3:$A$129,0)),"")</f>
        <v/>
      </c>
      <c r="G155" s="70"/>
      <c r="H155" s="498" t="str">
        <f>IF(F155="","",VLOOKUP(F155,'G-1 All Habitats'!$B$2:$M$129,10,FALSE))</f>
        <v/>
      </c>
      <c r="I155" s="499" t="str">
        <f>IFERROR(VLOOKUP(H155,'G-1 All Habitats'!$V$3:$W$7,2,FALSE),"")</f>
        <v/>
      </c>
      <c r="J155" s="71"/>
      <c r="K155" s="499" t="str">
        <f>IFERROR(INDEX('G-8 Condition Look up'!$A$3:$H$130,MATCH(F155,'G-8 Condition Look up'!$A$3:$A$130,0),MATCH(J155,'G-8 Condition Look up'!$A$3:$H$3,0)),"")</f>
        <v/>
      </c>
      <c r="L155" s="71"/>
      <c r="M155" s="507" t="str">
        <f>IF(L155="","",IF(VLOOKUP(L155,'G-3 Multipliers'!$L$3:$N$6,2,FALSE)=0,"Spatial Data Missing",VLOOKUP(L155,'G-3 Multipliers'!$L$3:$N$6,2,FALSE)))</f>
        <v/>
      </c>
      <c r="N155" s="505" t="str">
        <f>IF(L155="","",IF(VLOOKUP(L155,'G-3 Multipliers'!$L$3:$N$6,3,FALSE)=0,"Spatial Data Missing",VLOOKUP(L155,'G-3 Multipliers'!$L$3:$N$6,3,FALSE)))</f>
        <v/>
      </c>
      <c r="O155" s="498" t="str">
        <f t="shared" si="12"/>
        <v/>
      </c>
      <c r="P155" s="82"/>
      <c r="Q155" s="82"/>
      <c r="R155" s="507" t="str">
        <f t="shared" si="14"/>
        <v/>
      </c>
      <c r="S155" s="521" t="str">
        <f t="shared" si="15"/>
        <v/>
      </c>
      <c r="T155" s="522" t="str">
        <f>IFERROR(IF(S155="Check Data ⚠","Check Data ⚠",VLOOKUP(S155,'G-4 Temporal multipliers'!$A$4:$C$37,3,FALSE)),"")</f>
        <v/>
      </c>
      <c r="U155" s="523" t="str">
        <f>IF(F155="","",VLOOKUP(F155,'G-3 Multipliers'!$A$2:$E$129,2,FALSE))</f>
        <v/>
      </c>
      <c r="V155" s="520" t="str">
        <f t="shared" si="16"/>
        <v/>
      </c>
      <c r="W155" s="520" t="str">
        <f>IF(E155="","",IF(AND(V155="Standard difficulty applied",O155&gt;P155),U155,IF(AND(V155="Low Difficulty - only applicable if all habitat created before losses",P155&gt;=O155),"Low",VLOOKUP(F155,'G-3 Multipliers'!$A$2:$E$129,4,FALSE))))</f>
        <v/>
      </c>
      <c r="X155" s="524" t="str">
        <f>IFERROR(IF(E155="","",VLOOKUP(W155, 'G-3 Multipliers'!$P$2:$Q$6,2,FALSE)),"")</f>
        <v/>
      </c>
      <c r="Y155" s="529" t="str">
        <f t="shared" si="17"/>
        <v/>
      </c>
      <c r="Z155" s="239"/>
      <c r="AA155" s="240"/>
      <c r="AE155" s="54" t="str">
        <f t="shared" si="13"/>
        <v/>
      </c>
    </row>
    <row r="156" spans="1:31" x14ac:dyDescent="0.3">
      <c r="A156" s="47" t="str">
        <f>IFERROR(INDEX('G-8 Condition Look up'!$I$4:$I$130,MATCH(F156,'G-8 Condition Look up'!$A$4:$A$130,0)),"")</f>
        <v/>
      </c>
      <c r="C156" s="384" t="str">
        <f>IFERROR(INDEX('G-1 All Habitats'!$AG$3:$AG$15,MATCH(D156,'G-1 All Habitats'!$AF$3:$AF$15,0)),"")</f>
        <v/>
      </c>
      <c r="D156" s="146"/>
      <c r="E156" s="79"/>
      <c r="F156" s="246" t="str">
        <f>IFERROR(INDEX('G-1 All Habitats'!$B$3:$B$129,MATCH(E156,'G-1 All Habitats'!$A$3:$A$129,0)),"")</f>
        <v/>
      </c>
      <c r="G156" s="70"/>
      <c r="H156" s="498" t="str">
        <f>IF(F156="","",VLOOKUP(F156,'G-1 All Habitats'!$B$2:$M$129,10,FALSE))</f>
        <v/>
      </c>
      <c r="I156" s="499" t="str">
        <f>IFERROR(VLOOKUP(H156,'G-1 All Habitats'!$V$3:$W$7,2,FALSE),"")</f>
        <v/>
      </c>
      <c r="J156" s="71"/>
      <c r="K156" s="499" t="str">
        <f>IFERROR(INDEX('G-8 Condition Look up'!$A$3:$H$130,MATCH(F156,'G-8 Condition Look up'!$A$3:$A$130,0),MATCH(J156,'G-8 Condition Look up'!$A$3:$H$3,0)),"")</f>
        <v/>
      </c>
      <c r="L156" s="71"/>
      <c r="M156" s="507" t="str">
        <f>IF(L156="","",IF(VLOOKUP(L156,'G-3 Multipliers'!$L$3:$N$6,2,FALSE)=0,"Spatial Data Missing",VLOOKUP(L156,'G-3 Multipliers'!$L$3:$N$6,2,FALSE)))</f>
        <v/>
      </c>
      <c r="N156" s="505" t="str">
        <f>IF(L156="","",IF(VLOOKUP(L156,'G-3 Multipliers'!$L$3:$N$6,3,FALSE)=0,"Spatial Data Missing",VLOOKUP(L156,'G-3 Multipliers'!$L$3:$N$6,3,FALSE)))</f>
        <v/>
      </c>
      <c r="O156" s="498" t="str">
        <f t="shared" si="12"/>
        <v/>
      </c>
      <c r="P156" s="82"/>
      <c r="Q156" s="82"/>
      <c r="R156" s="507" t="str">
        <f t="shared" si="14"/>
        <v/>
      </c>
      <c r="S156" s="521" t="str">
        <f t="shared" si="15"/>
        <v/>
      </c>
      <c r="T156" s="522" t="str">
        <f>IFERROR(IF(S156="Check Data ⚠","Check Data ⚠",VLOOKUP(S156,'G-4 Temporal multipliers'!$A$4:$C$37,3,FALSE)),"")</f>
        <v/>
      </c>
      <c r="U156" s="523" t="str">
        <f>IF(F156="","",VLOOKUP(F156,'G-3 Multipliers'!$A$2:$E$129,2,FALSE))</f>
        <v/>
      </c>
      <c r="V156" s="520" t="str">
        <f t="shared" si="16"/>
        <v/>
      </c>
      <c r="W156" s="520" t="str">
        <f>IF(E156="","",IF(AND(V156="Standard difficulty applied",O156&gt;P156),U156,IF(AND(V156="Low Difficulty - only applicable if all habitat created before losses",P156&gt;=O156),"Low",VLOOKUP(F156,'G-3 Multipliers'!$A$2:$E$129,4,FALSE))))</f>
        <v/>
      </c>
      <c r="X156" s="524" t="str">
        <f>IFERROR(IF(E156="","",VLOOKUP(W156, 'G-3 Multipliers'!$P$2:$Q$6,2,FALSE)),"")</f>
        <v/>
      </c>
      <c r="Y156" s="529" t="str">
        <f t="shared" si="17"/>
        <v/>
      </c>
      <c r="Z156" s="239"/>
      <c r="AA156" s="240"/>
      <c r="AE156" s="54" t="str">
        <f t="shared" si="13"/>
        <v/>
      </c>
    </row>
    <row r="157" spans="1:31" x14ac:dyDescent="0.3">
      <c r="A157" s="47" t="str">
        <f>IFERROR(INDEX('G-8 Condition Look up'!$I$4:$I$130,MATCH(F157,'G-8 Condition Look up'!$A$4:$A$130,0)),"")</f>
        <v/>
      </c>
      <c r="C157" s="384" t="str">
        <f>IFERROR(INDEX('G-1 All Habitats'!$AG$3:$AG$15,MATCH(D157,'G-1 All Habitats'!$AF$3:$AF$15,0)),"")</f>
        <v/>
      </c>
      <c r="D157" s="146"/>
      <c r="E157" s="79"/>
      <c r="F157" s="246" t="str">
        <f>IFERROR(INDEX('G-1 All Habitats'!$B$3:$B$129,MATCH(E157,'G-1 All Habitats'!$A$3:$A$129,0)),"")</f>
        <v/>
      </c>
      <c r="G157" s="70"/>
      <c r="H157" s="498" t="str">
        <f>IF(F157="","",VLOOKUP(F157,'G-1 All Habitats'!$B$2:$M$129,10,FALSE))</f>
        <v/>
      </c>
      <c r="I157" s="499" t="str">
        <f>IFERROR(VLOOKUP(H157,'G-1 All Habitats'!$V$3:$W$7,2,FALSE),"")</f>
        <v/>
      </c>
      <c r="J157" s="71"/>
      <c r="K157" s="499" t="str">
        <f>IFERROR(INDEX('G-8 Condition Look up'!$A$3:$H$130,MATCH(F157,'G-8 Condition Look up'!$A$3:$A$130,0),MATCH(J157,'G-8 Condition Look up'!$A$3:$H$3,0)),"")</f>
        <v/>
      </c>
      <c r="L157" s="71"/>
      <c r="M157" s="507" t="str">
        <f>IF(L157="","",IF(VLOOKUP(L157,'G-3 Multipliers'!$L$3:$N$6,2,FALSE)=0,"Spatial Data Missing",VLOOKUP(L157,'G-3 Multipliers'!$L$3:$N$6,2,FALSE)))</f>
        <v/>
      </c>
      <c r="N157" s="505" t="str">
        <f>IF(L157="","",IF(VLOOKUP(L157,'G-3 Multipliers'!$L$3:$N$6,3,FALSE)=0,"Spatial Data Missing",VLOOKUP(L157,'G-3 Multipliers'!$L$3:$N$6,3,FALSE)))</f>
        <v/>
      </c>
      <c r="O157" s="498" t="str">
        <f t="shared" si="12"/>
        <v/>
      </c>
      <c r="P157" s="82"/>
      <c r="Q157" s="82"/>
      <c r="R157" s="507" t="str">
        <f t="shared" si="14"/>
        <v/>
      </c>
      <c r="S157" s="521" t="str">
        <f t="shared" si="15"/>
        <v/>
      </c>
      <c r="T157" s="522" t="str">
        <f>IFERROR(IF(S157="Check Data ⚠","Check Data ⚠",VLOOKUP(S157,'G-4 Temporal multipliers'!$A$4:$C$37,3,FALSE)),"")</f>
        <v/>
      </c>
      <c r="U157" s="523" t="str">
        <f>IF(F157="","",VLOOKUP(F157,'G-3 Multipliers'!$A$2:$E$129,2,FALSE))</f>
        <v/>
      </c>
      <c r="V157" s="520" t="str">
        <f t="shared" si="16"/>
        <v/>
      </c>
      <c r="W157" s="520" t="str">
        <f>IF(E157="","",IF(AND(V157="Standard difficulty applied",O157&gt;P157),U157,IF(AND(V157="Low Difficulty - only applicable if all habitat created before losses",P157&gt;=O157),"Low",VLOOKUP(F157,'G-3 Multipliers'!$A$2:$E$129,4,FALSE))))</f>
        <v/>
      </c>
      <c r="X157" s="524" t="str">
        <f>IFERROR(IF(E157="","",VLOOKUP(W157, 'G-3 Multipliers'!$P$2:$Q$6,2,FALSE)),"")</f>
        <v/>
      </c>
      <c r="Y157" s="529" t="str">
        <f t="shared" si="17"/>
        <v/>
      </c>
      <c r="Z157" s="239"/>
      <c r="AA157" s="240"/>
      <c r="AE157" s="54" t="str">
        <f t="shared" si="13"/>
        <v/>
      </c>
    </row>
    <row r="158" spans="1:31" x14ac:dyDescent="0.3">
      <c r="A158" s="47" t="str">
        <f>IFERROR(INDEX('G-8 Condition Look up'!$I$4:$I$130,MATCH(F158,'G-8 Condition Look up'!$A$4:$A$130,0)),"")</f>
        <v/>
      </c>
      <c r="C158" s="384" t="str">
        <f>IFERROR(INDEX('G-1 All Habitats'!$AG$3:$AG$15,MATCH(D158,'G-1 All Habitats'!$AF$3:$AF$15,0)),"")</f>
        <v/>
      </c>
      <c r="D158" s="146"/>
      <c r="E158" s="79"/>
      <c r="F158" s="246" t="str">
        <f>IFERROR(INDEX('G-1 All Habitats'!$B$3:$B$129,MATCH(E158,'G-1 All Habitats'!$A$3:$A$129,0)),"")</f>
        <v/>
      </c>
      <c r="G158" s="70"/>
      <c r="H158" s="498" t="str">
        <f>IF(F158="","",VLOOKUP(F158,'G-1 All Habitats'!$B$2:$M$129,10,FALSE))</f>
        <v/>
      </c>
      <c r="I158" s="499" t="str">
        <f>IFERROR(VLOOKUP(H158,'G-1 All Habitats'!$V$3:$W$7,2,FALSE),"")</f>
        <v/>
      </c>
      <c r="J158" s="71"/>
      <c r="K158" s="499" t="str">
        <f>IFERROR(INDEX('G-8 Condition Look up'!$A$3:$H$130,MATCH(F158,'G-8 Condition Look up'!$A$3:$A$130,0),MATCH(J158,'G-8 Condition Look up'!$A$3:$H$3,0)),"")</f>
        <v/>
      </c>
      <c r="L158" s="71"/>
      <c r="M158" s="507" t="str">
        <f>IF(L158="","",IF(VLOOKUP(L158,'G-3 Multipliers'!$L$3:$N$6,2,FALSE)=0,"Spatial Data Missing",VLOOKUP(L158,'G-3 Multipliers'!$L$3:$N$6,2,FALSE)))</f>
        <v/>
      </c>
      <c r="N158" s="505" t="str">
        <f>IF(L158="","",IF(VLOOKUP(L158,'G-3 Multipliers'!$L$3:$N$6,3,FALSE)=0,"Spatial Data Missing",VLOOKUP(L158,'G-3 Multipliers'!$L$3:$N$6,3,FALSE)))</f>
        <v/>
      </c>
      <c r="O158" s="498" t="str">
        <f t="shared" si="12"/>
        <v/>
      </c>
      <c r="P158" s="82"/>
      <c r="Q158" s="82"/>
      <c r="R158" s="507" t="str">
        <f t="shared" si="14"/>
        <v/>
      </c>
      <c r="S158" s="521" t="str">
        <f t="shared" si="15"/>
        <v/>
      </c>
      <c r="T158" s="522" t="str">
        <f>IFERROR(IF(S158="Check Data ⚠","Check Data ⚠",VLOOKUP(S158,'G-4 Temporal multipliers'!$A$4:$C$37,3,FALSE)),"")</f>
        <v/>
      </c>
      <c r="U158" s="523" t="str">
        <f>IF(F158="","",VLOOKUP(F158,'G-3 Multipliers'!$A$2:$E$129,2,FALSE))</f>
        <v/>
      </c>
      <c r="V158" s="520" t="str">
        <f t="shared" si="16"/>
        <v/>
      </c>
      <c r="W158" s="520" t="str">
        <f>IF(E158="","",IF(AND(V158="Standard difficulty applied",O158&gt;P158),U158,IF(AND(V158="Low Difficulty - only applicable if all habitat created before losses",P158&gt;=O158),"Low",VLOOKUP(F158,'G-3 Multipliers'!$A$2:$E$129,4,FALSE))))</f>
        <v/>
      </c>
      <c r="X158" s="524" t="str">
        <f>IFERROR(IF(E158="","",VLOOKUP(W158, 'G-3 Multipliers'!$P$2:$Q$6,2,FALSE)),"")</f>
        <v/>
      </c>
      <c r="Y158" s="529" t="str">
        <f t="shared" si="17"/>
        <v/>
      </c>
      <c r="Z158" s="239"/>
      <c r="AA158" s="240"/>
      <c r="AE158" s="54" t="str">
        <f t="shared" si="13"/>
        <v/>
      </c>
    </row>
    <row r="159" spans="1:31" x14ac:dyDescent="0.3">
      <c r="A159" s="47" t="str">
        <f>IFERROR(INDEX('G-8 Condition Look up'!$I$4:$I$130,MATCH(F159,'G-8 Condition Look up'!$A$4:$A$130,0)),"")</f>
        <v/>
      </c>
      <c r="C159" s="384" t="str">
        <f>IFERROR(INDEX('G-1 All Habitats'!$AG$3:$AG$15,MATCH(D159,'G-1 All Habitats'!$AF$3:$AF$15,0)),"")</f>
        <v/>
      </c>
      <c r="D159" s="146"/>
      <c r="E159" s="79"/>
      <c r="F159" s="246" t="str">
        <f>IFERROR(INDEX('G-1 All Habitats'!$B$3:$B$129,MATCH(E159,'G-1 All Habitats'!$A$3:$A$129,0)),"")</f>
        <v/>
      </c>
      <c r="G159" s="70"/>
      <c r="H159" s="498" t="str">
        <f>IF(F159="","",VLOOKUP(F159,'G-1 All Habitats'!$B$2:$M$129,10,FALSE))</f>
        <v/>
      </c>
      <c r="I159" s="499" t="str">
        <f>IFERROR(VLOOKUP(H159,'G-1 All Habitats'!$V$3:$W$7,2,FALSE),"")</f>
        <v/>
      </c>
      <c r="J159" s="71"/>
      <c r="K159" s="499" t="str">
        <f>IFERROR(INDEX('G-8 Condition Look up'!$A$3:$H$130,MATCH(F159,'G-8 Condition Look up'!$A$3:$A$130,0),MATCH(J159,'G-8 Condition Look up'!$A$3:$H$3,0)),"")</f>
        <v/>
      </c>
      <c r="L159" s="71"/>
      <c r="M159" s="507" t="str">
        <f>IF(L159="","",IF(VLOOKUP(L159,'G-3 Multipliers'!$L$3:$N$6,2,FALSE)=0,"Spatial Data Missing",VLOOKUP(L159,'G-3 Multipliers'!$L$3:$N$6,2,FALSE)))</f>
        <v/>
      </c>
      <c r="N159" s="505" t="str">
        <f>IF(L159="","",IF(VLOOKUP(L159,'G-3 Multipliers'!$L$3:$N$6,3,FALSE)=0,"Spatial Data Missing",VLOOKUP(L159,'G-3 Multipliers'!$L$3:$N$6,3,FALSE)))</f>
        <v/>
      </c>
      <c r="O159" s="498" t="str">
        <f t="shared" si="12"/>
        <v/>
      </c>
      <c r="P159" s="82"/>
      <c r="Q159" s="82"/>
      <c r="R159" s="507" t="str">
        <f t="shared" si="14"/>
        <v/>
      </c>
      <c r="S159" s="521" t="str">
        <f t="shared" si="15"/>
        <v/>
      </c>
      <c r="T159" s="522" t="str">
        <f>IFERROR(IF(S159="Check Data ⚠","Check Data ⚠",VLOOKUP(S159,'G-4 Temporal multipliers'!$A$4:$C$37,3,FALSE)),"")</f>
        <v/>
      </c>
      <c r="U159" s="523" t="str">
        <f>IF(F159="","",VLOOKUP(F159,'G-3 Multipliers'!$A$2:$E$129,2,FALSE))</f>
        <v/>
      </c>
      <c r="V159" s="520" t="str">
        <f t="shared" si="16"/>
        <v/>
      </c>
      <c r="W159" s="520" t="str">
        <f>IF(E159="","",IF(AND(V159="Standard difficulty applied",O159&gt;P159),U159,IF(AND(V159="Low Difficulty - only applicable if all habitat created before losses",P159&gt;=O159),"Low",VLOOKUP(F159,'G-3 Multipliers'!$A$2:$E$129,4,FALSE))))</f>
        <v/>
      </c>
      <c r="X159" s="524" t="str">
        <f>IFERROR(IF(E159="","",VLOOKUP(W159, 'G-3 Multipliers'!$P$2:$Q$6,2,FALSE)),"")</f>
        <v/>
      </c>
      <c r="Y159" s="529" t="str">
        <f t="shared" si="17"/>
        <v/>
      </c>
      <c r="Z159" s="239"/>
      <c r="AA159" s="240"/>
      <c r="AE159" s="54" t="str">
        <f t="shared" si="13"/>
        <v/>
      </c>
    </row>
    <row r="160" spans="1:31" x14ac:dyDescent="0.3">
      <c r="A160" s="47" t="str">
        <f>IFERROR(INDEX('G-8 Condition Look up'!$I$4:$I$130,MATCH(F160,'G-8 Condition Look up'!$A$4:$A$130,0)),"")</f>
        <v/>
      </c>
      <c r="C160" s="384" t="str">
        <f>IFERROR(INDEX('G-1 All Habitats'!$AG$3:$AG$15,MATCH(D160,'G-1 All Habitats'!$AF$3:$AF$15,0)),"")</f>
        <v/>
      </c>
      <c r="D160" s="146"/>
      <c r="E160" s="79"/>
      <c r="F160" s="246" t="str">
        <f>IFERROR(INDEX('G-1 All Habitats'!$B$3:$B$129,MATCH(E160,'G-1 All Habitats'!$A$3:$A$129,0)),"")</f>
        <v/>
      </c>
      <c r="G160" s="70"/>
      <c r="H160" s="498" t="str">
        <f>IF(F160="","",VLOOKUP(F160,'G-1 All Habitats'!$B$2:$M$129,10,FALSE))</f>
        <v/>
      </c>
      <c r="I160" s="499" t="str">
        <f>IFERROR(VLOOKUP(H160,'G-1 All Habitats'!$V$3:$W$7,2,FALSE),"")</f>
        <v/>
      </c>
      <c r="J160" s="71"/>
      <c r="K160" s="499" t="str">
        <f>IFERROR(INDEX('G-8 Condition Look up'!$A$3:$H$130,MATCH(F160,'G-8 Condition Look up'!$A$3:$A$130,0),MATCH(J160,'G-8 Condition Look up'!$A$3:$H$3,0)),"")</f>
        <v/>
      </c>
      <c r="L160" s="71"/>
      <c r="M160" s="507" t="str">
        <f>IF(L160="","",IF(VLOOKUP(L160,'G-3 Multipliers'!$L$3:$N$6,2,FALSE)=0,"Spatial Data Missing",VLOOKUP(L160,'G-3 Multipliers'!$L$3:$N$6,2,FALSE)))</f>
        <v/>
      </c>
      <c r="N160" s="505" t="str">
        <f>IF(L160="","",IF(VLOOKUP(L160,'G-3 Multipliers'!$L$3:$N$6,3,FALSE)=0,"Spatial Data Missing",VLOOKUP(L160,'G-3 Multipliers'!$L$3:$N$6,3,FALSE)))</f>
        <v/>
      </c>
      <c r="O160" s="498" t="str">
        <f t="shared" si="12"/>
        <v/>
      </c>
      <c r="P160" s="82"/>
      <c r="Q160" s="82"/>
      <c r="R160" s="507" t="str">
        <f t="shared" si="14"/>
        <v/>
      </c>
      <c r="S160" s="521" t="str">
        <f t="shared" si="15"/>
        <v/>
      </c>
      <c r="T160" s="522" t="str">
        <f>IFERROR(IF(S160="Check Data ⚠","Check Data ⚠",VLOOKUP(S160,'G-4 Temporal multipliers'!$A$4:$C$37,3,FALSE)),"")</f>
        <v/>
      </c>
      <c r="U160" s="523" t="str">
        <f>IF(F160="","",VLOOKUP(F160,'G-3 Multipliers'!$A$2:$E$129,2,FALSE))</f>
        <v/>
      </c>
      <c r="V160" s="520" t="str">
        <f t="shared" si="16"/>
        <v/>
      </c>
      <c r="W160" s="520" t="str">
        <f>IF(E160="","",IF(AND(V160="Standard difficulty applied",O160&gt;P160),U160,IF(AND(V160="Low Difficulty - only applicable if all habitat created before losses",P160&gt;=O160),"Low",VLOOKUP(F160,'G-3 Multipliers'!$A$2:$E$129,4,FALSE))))</f>
        <v/>
      </c>
      <c r="X160" s="524" t="str">
        <f>IFERROR(IF(E160="","",VLOOKUP(W160, 'G-3 Multipliers'!$P$2:$Q$6,2,FALSE)),"")</f>
        <v/>
      </c>
      <c r="Y160" s="529" t="str">
        <f t="shared" si="17"/>
        <v/>
      </c>
      <c r="Z160" s="239"/>
      <c r="AA160" s="240"/>
      <c r="AE160" s="54" t="str">
        <f t="shared" si="13"/>
        <v/>
      </c>
    </row>
    <row r="161" spans="1:31" x14ac:dyDescent="0.3">
      <c r="A161" s="47" t="str">
        <f>IFERROR(INDEX('G-8 Condition Look up'!$I$4:$I$130,MATCH(F161,'G-8 Condition Look up'!$A$4:$A$130,0)),"")</f>
        <v/>
      </c>
      <c r="C161" s="384" t="str">
        <f>IFERROR(INDEX('G-1 All Habitats'!$AG$3:$AG$15,MATCH(D161,'G-1 All Habitats'!$AF$3:$AF$15,0)),"")</f>
        <v/>
      </c>
      <c r="D161" s="146"/>
      <c r="E161" s="79"/>
      <c r="F161" s="246" t="str">
        <f>IFERROR(INDEX('G-1 All Habitats'!$B$3:$B$129,MATCH(E161,'G-1 All Habitats'!$A$3:$A$129,0)),"")</f>
        <v/>
      </c>
      <c r="G161" s="70"/>
      <c r="H161" s="498" t="str">
        <f>IF(F161="","",VLOOKUP(F161,'G-1 All Habitats'!$B$2:$M$129,10,FALSE))</f>
        <v/>
      </c>
      <c r="I161" s="499" t="str">
        <f>IFERROR(VLOOKUP(H161,'G-1 All Habitats'!$V$3:$W$7,2,FALSE),"")</f>
        <v/>
      </c>
      <c r="J161" s="71"/>
      <c r="K161" s="499" t="str">
        <f>IFERROR(INDEX('G-8 Condition Look up'!$A$3:$H$130,MATCH(F161,'G-8 Condition Look up'!$A$3:$A$130,0),MATCH(J161,'G-8 Condition Look up'!$A$3:$H$3,0)),"")</f>
        <v/>
      </c>
      <c r="L161" s="71"/>
      <c r="M161" s="507" t="str">
        <f>IF(L161="","",IF(VLOOKUP(L161,'G-3 Multipliers'!$L$3:$N$6,2,FALSE)=0,"Spatial Data Missing",VLOOKUP(L161,'G-3 Multipliers'!$L$3:$N$6,2,FALSE)))</f>
        <v/>
      </c>
      <c r="N161" s="505" t="str">
        <f>IF(L161="","",IF(VLOOKUP(L161,'G-3 Multipliers'!$L$3:$N$6,3,FALSE)=0,"Spatial Data Missing",VLOOKUP(L161,'G-3 Multipliers'!$L$3:$N$6,3,FALSE)))</f>
        <v/>
      </c>
      <c r="O161" s="498" t="str">
        <f t="shared" si="12"/>
        <v/>
      </c>
      <c r="P161" s="82"/>
      <c r="Q161" s="82"/>
      <c r="R161" s="507" t="str">
        <f t="shared" si="14"/>
        <v/>
      </c>
      <c r="S161" s="521" t="str">
        <f t="shared" si="15"/>
        <v/>
      </c>
      <c r="T161" s="522" t="str">
        <f>IFERROR(IF(S161="Check Data ⚠","Check Data ⚠",VLOOKUP(S161,'G-4 Temporal multipliers'!$A$4:$C$37,3,FALSE)),"")</f>
        <v/>
      </c>
      <c r="U161" s="523" t="str">
        <f>IF(F161="","",VLOOKUP(F161,'G-3 Multipliers'!$A$2:$E$129,2,FALSE))</f>
        <v/>
      </c>
      <c r="V161" s="520" t="str">
        <f t="shared" si="16"/>
        <v/>
      </c>
      <c r="W161" s="520" t="str">
        <f>IF(E161="","",IF(AND(V161="Standard difficulty applied",O161&gt;P161),U161,IF(AND(V161="Low Difficulty - only applicable if all habitat created before losses",P161&gt;=O161),"Low",VLOOKUP(F161,'G-3 Multipliers'!$A$2:$E$129,4,FALSE))))</f>
        <v/>
      </c>
      <c r="X161" s="524" t="str">
        <f>IFERROR(IF(E161="","",VLOOKUP(W161, 'G-3 Multipliers'!$P$2:$Q$6,2,FALSE)),"")</f>
        <v/>
      </c>
      <c r="Y161" s="529" t="str">
        <f t="shared" si="17"/>
        <v/>
      </c>
      <c r="Z161" s="239"/>
      <c r="AA161" s="240"/>
      <c r="AE161" s="54" t="str">
        <f t="shared" si="13"/>
        <v/>
      </c>
    </row>
    <row r="162" spans="1:31" x14ac:dyDescent="0.3">
      <c r="A162" s="47" t="str">
        <f>IFERROR(INDEX('G-8 Condition Look up'!$I$4:$I$130,MATCH(F162,'G-8 Condition Look up'!$A$4:$A$130,0)),"")</f>
        <v/>
      </c>
      <c r="C162" s="384" t="str">
        <f>IFERROR(INDEX('G-1 All Habitats'!$AG$3:$AG$15,MATCH(D162,'G-1 All Habitats'!$AF$3:$AF$15,0)),"")</f>
        <v/>
      </c>
      <c r="D162" s="146"/>
      <c r="E162" s="79"/>
      <c r="F162" s="246" t="str">
        <f>IFERROR(INDEX('G-1 All Habitats'!$B$3:$B$129,MATCH(E162,'G-1 All Habitats'!$A$3:$A$129,0)),"")</f>
        <v/>
      </c>
      <c r="G162" s="70"/>
      <c r="H162" s="498" t="str">
        <f>IF(F162="","",VLOOKUP(F162,'G-1 All Habitats'!$B$2:$M$129,10,FALSE))</f>
        <v/>
      </c>
      <c r="I162" s="499" t="str">
        <f>IFERROR(VLOOKUP(H162,'G-1 All Habitats'!$V$3:$W$7,2,FALSE),"")</f>
        <v/>
      </c>
      <c r="J162" s="71"/>
      <c r="K162" s="499" t="str">
        <f>IFERROR(INDEX('G-8 Condition Look up'!$A$3:$H$130,MATCH(F162,'G-8 Condition Look up'!$A$3:$A$130,0),MATCH(J162,'G-8 Condition Look up'!$A$3:$H$3,0)),"")</f>
        <v/>
      </c>
      <c r="L162" s="71"/>
      <c r="M162" s="507" t="str">
        <f>IF(L162="","",IF(VLOOKUP(L162,'G-3 Multipliers'!$L$3:$N$6,2,FALSE)=0,"Spatial Data Missing",VLOOKUP(L162,'G-3 Multipliers'!$L$3:$N$6,2,FALSE)))</f>
        <v/>
      </c>
      <c r="N162" s="505" t="str">
        <f>IF(L162="","",IF(VLOOKUP(L162,'G-3 Multipliers'!$L$3:$N$6,3,FALSE)=0,"Spatial Data Missing",VLOOKUP(L162,'G-3 Multipliers'!$L$3:$N$6,3,FALSE)))</f>
        <v/>
      </c>
      <c r="O162" s="498" t="str">
        <f t="shared" si="12"/>
        <v/>
      </c>
      <c r="P162" s="82"/>
      <c r="Q162" s="82"/>
      <c r="R162" s="507" t="str">
        <f t="shared" si="14"/>
        <v/>
      </c>
      <c r="S162" s="521" t="str">
        <f t="shared" si="15"/>
        <v/>
      </c>
      <c r="T162" s="522" t="str">
        <f>IFERROR(IF(S162="Check Data ⚠","Check Data ⚠",VLOOKUP(S162,'G-4 Temporal multipliers'!$A$4:$C$37,3,FALSE)),"")</f>
        <v/>
      </c>
      <c r="U162" s="523" t="str">
        <f>IF(F162="","",VLOOKUP(F162,'G-3 Multipliers'!$A$2:$E$129,2,FALSE))</f>
        <v/>
      </c>
      <c r="V162" s="520" t="str">
        <f t="shared" si="16"/>
        <v/>
      </c>
      <c r="W162" s="520" t="str">
        <f>IF(E162="","",IF(AND(V162="Standard difficulty applied",O162&gt;P162),U162,IF(AND(V162="Low Difficulty - only applicable if all habitat created before losses",P162&gt;=O162),"Low",VLOOKUP(F162,'G-3 Multipliers'!$A$2:$E$129,4,FALSE))))</f>
        <v/>
      </c>
      <c r="X162" s="524" t="str">
        <f>IFERROR(IF(E162="","",VLOOKUP(W162, 'G-3 Multipliers'!$P$2:$Q$6,2,FALSE)),"")</f>
        <v/>
      </c>
      <c r="Y162" s="529" t="str">
        <f t="shared" si="17"/>
        <v/>
      </c>
      <c r="Z162" s="239"/>
      <c r="AA162" s="240"/>
      <c r="AE162" s="54" t="str">
        <f t="shared" si="13"/>
        <v/>
      </c>
    </row>
    <row r="163" spans="1:31" x14ac:dyDescent="0.3">
      <c r="A163" s="47" t="str">
        <f>IFERROR(INDEX('G-8 Condition Look up'!$I$4:$I$130,MATCH(F163,'G-8 Condition Look up'!$A$4:$A$130,0)),"")</f>
        <v/>
      </c>
      <c r="C163" s="384" t="str">
        <f>IFERROR(INDEX('G-1 All Habitats'!$AG$3:$AG$15,MATCH(D163,'G-1 All Habitats'!$AF$3:$AF$15,0)),"")</f>
        <v/>
      </c>
      <c r="D163" s="146"/>
      <c r="E163" s="79"/>
      <c r="F163" s="246" t="str">
        <f>IFERROR(INDEX('G-1 All Habitats'!$B$3:$B$129,MATCH(E163,'G-1 All Habitats'!$A$3:$A$129,0)),"")</f>
        <v/>
      </c>
      <c r="G163" s="70"/>
      <c r="H163" s="498" t="str">
        <f>IF(F163="","",VLOOKUP(F163,'G-1 All Habitats'!$B$2:$M$129,10,FALSE))</f>
        <v/>
      </c>
      <c r="I163" s="499" t="str">
        <f>IFERROR(VLOOKUP(H163,'G-1 All Habitats'!$V$3:$W$7,2,FALSE),"")</f>
        <v/>
      </c>
      <c r="J163" s="71"/>
      <c r="K163" s="499" t="str">
        <f>IFERROR(INDEX('G-8 Condition Look up'!$A$3:$H$130,MATCH(F163,'G-8 Condition Look up'!$A$3:$A$130,0),MATCH(J163,'G-8 Condition Look up'!$A$3:$H$3,0)),"")</f>
        <v/>
      </c>
      <c r="L163" s="71"/>
      <c r="M163" s="507" t="str">
        <f>IF(L163="","",IF(VLOOKUP(L163,'G-3 Multipliers'!$L$3:$N$6,2,FALSE)=0,"Spatial Data Missing",VLOOKUP(L163,'G-3 Multipliers'!$L$3:$N$6,2,FALSE)))</f>
        <v/>
      </c>
      <c r="N163" s="505" t="str">
        <f>IF(L163="","",IF(VLOOKUP(L163,'G-3 Multipliers'!$L$3:$N$6,3,FALSE)=0,"Spatial Data Missing",VLOOKUP(L163,'G-3 Multipliers'!$L$3:$N$6,3,FALSE)))</f>
        <v/>
      </c>
      <c r="O163" s="498" t="str">
        <f t="shared" si="12"/>
        <v/>
      </c>
      <c r="P163" s="82"/>
      <c r="Q163" s="82"/>
      <c r="R163" s="507" t="str">
        <f t="shared" si="14"/>
        <v/>
      </c>
      <c r="S163" s="521" t="str">
        <f t="shared" si="15"/>
        <v/>
      </c>
      <c r="T163" s="522" t="str">
        <f>IFERROR(IF(S163="Check Data ⚠","Check Data ⚠",VLOOKUP(S163,'G-4 Temporal multipliers'!$A$4:$C$37,3,FALSE)),"")</f>
        <v/>
      </c>
      <c r="U163" s="523" t="str">
        <f>IF(F163="","",VLOOKUP(F163,'G-3 Multipliers'!$A$2:$E$129,2,FALSE))</f>
        <v/>
      </c>
      <c r="V163" s="520" t="str">
        <f t="shared" si="16"/>
        <v/>
      </c>
      <c r="W163" s="520" t="str">
        <f>IF(E163="","",IF(AND(V163="Standard difficulty applied",O163&gt;P163),U163,IF(AND(V163="Low Difficulty - only applicable if all habitat created before losses",P163&gt;=O163),"Low",VLOOKUP(F163,'G-3 Multipliers'!$A$2:$E$129,4,FALSE))))</f>
        <v/>
      </c>
      <c r="X163" s="524" t="str">
        <f>IFERROR(IF(E163="","",VLOOKUP(W163, 'G-3 Multipliers'!$P$2:$Q$6,2,FALSE)),"")</f>
        <v/>
      </c>
      <c r="Y163" s="529" t="str">
        <f t="shared" si="17"/>
        <v/>
      </c>
      <c r="Z163" s="239"/>
      <c r="AA163" s="240"/>
      <c r="AE163" s="54" t="str">
        <f t="shared" si="13"/>
        <v/>
      </c>
    </row>
    <row r="164" spans="1:31" x14ac:dyDescent="0.3">
      <c r="A164" s="47" t="str">
        <f>IFERROR(INDEX('G-8 Condition Look up'!$I$4:$I$130,MATCH(F164,'G-8 Condition Look up'!$A$4:$A$130,0)),"")</f>
        <v/>
      </c>
      <c r="C164" s="384" t="str">
        <f>IFERROR(INDEX('G-1 All Habitats'!$AG$3:$AG$15,MATCH(D164,'G-1 All Habitats'!$AF$3:$AF$15,0)),"")</f>
        <v/>
      </c>
      <c r="D164" s="146"/>
      <c r="E164" s="79"/>
      <c r="F164" s="246" t="str">
        <f>IFERROR(INDEX('G-1 All Habitats'!$B$3:$B$129,MATCH(E164,'G-1 All Habitats'!$A$3:$A$129,0)),"")</f>
        <v/>
      </c>
      <c r="G164" s="70"/>
      <c r="H164" s="498" t="str">
        <f>IF(F164="","",VLOOKUP(F164,'G-1 All Habitats'!$B$2:$M$129,10,FALSE))</f>
        <v/>
      </c>
      <c r="I164" s="499" t="str">
        <f>IFERROR(VLOOKUP(H164,'G-1 All Habitats'!$V$3:$W$7,2,FALSE),"")</f>
        <v/>
      </c>
      <c r="J164" s="71"/>
      <c r="K164" s="499" t="str">
        <f>IFERROR(INDEX('G-8 Condition Look up'!$A$3:$H$130,MATCH(F164,'G-8 Condition Look up'!$A$3:$A$130,0),MATCH(J164,'G-8 Condition Look up'!$A$3:$H$3,0)),"")</f>
        <v/>
      </c>
      <c r="L164" s="71"/>
      <c r="M164" s="507" t="str">
        <f>IF(L164="","",IF(VLOOKUP(L164,'G-3 Multipliers'!$L$3:$N$6,2,FALSE)=0,"Spatial Data Missing",VLOOKUP(L164,'G-3 Multipliers'!$L$3:$N$6,2,FALSE)))</f>
        <v/>
      </c>
      <c r="N164" s="505" t="str">
        <f>IF(L164="","",IF(VLOOKUP(L164,'G-3 Multipliers'!$L$3:$N$6,3,FALSE)=0,"Spatial Data Missing",VLOOKUP(L164,'G-3 Multipliers'!$L$3:$N$6,3,FALSE)))</f>
        <v/>
      </c>
      <c r="O164" s="498" t="str">
        <f t="shared" si="12"/>
        <v/>
      </c>
      <c r="P164" s="82"/>
      <c r="Q164" s="82"/>
      <c r="R164" s="507" t="str">
        <f t="shared" si="14"/>
        <v/>
      </c>
      <c r="S164" s="521" t="str">
        <f t="shared" si="15"/>
        <v/>
      </c>
      <c r="T164" s="522" t="str">
        <f>IFERROR(IF(S164="Check Data ⚠","Check Data ⚠",VLOOKUP(S164,'G-4 Temporal multipliers'!$A$4:$C$37,3,FALSE)),"")</f>
        <v/>
      </c>
      <c r="U164" s="523" t="str">
        <f>IF(F164="","",VLOOKUP(F164,'G-3 Multipliers'!$A$2:$E$129,2,FALSE))</f>
        <v/>
      </c>
      <c r="V164" s="520" t="str">
        <f t="shared" si="16"/>
        <v/>
      </c>
      <c r="W164" s="520" t="str">
        <f>IF(E164="","",IF(AND(V164="Standard difficulty applied",O164&gt;P164),U164,IF(AND(V164="Low Difficulty - only applicable if all habitat created before losses",P164&gt;=O164),"Low",VLOOKUP(F164,'G-3 Multipliers'!$A$2:$E$129,4,FALSE))))</f>
        <v/>
      </c>
      <c r="X164" s="524" t="str">
        <f>IFERROR(IF(E164="","",VLOOKUP(W164, 'G-3 Multipliers'!$P$2:$Q$6,2,FALSE)),"")</f>
        <v/>
      </c>
      <c r="Y164" s="529" t="str">
        <f t="shared" si="17"/>
        <v/>
      </c>
      <c r="Z164" s="239"/>
      <c r="AA164" s="240"/>
      <c r="AE164" s="54" t="str">
        <f t="shared" si="13"/>
        <v/>
      </c>
    </row>
    <row r="165" spans="1:31" x14ac:dyDescent="0.3">
      <c r="A165" s="47" t="str">
        <f>IFERROR(INDEX('G-8 Condition Look up'!$I$4:$I$130,MATCH(F165,'G-8 Condition Look up'!$A$4:$A$130,0)),"")</f>
        <v/>
      </c>
      <c r="C165" s="384" t="str">
        <f>IFERROR(INDEX('G-1 All Habitats'!$AG$3:$AG$15,MATCH(D165,'G-1 All Habitats'!$AF$3:$AF$15,0)),"")</f>
        <v/>
      </c>
      <c r="D165" s="146"/>
      <c r="E165" s="79"/>
      <c r="F165" s="246" t="str">
        <f>IFERROR(INDEX('G-1 All Habitats'!$B$3:$B$129,MATCH(E165,'G-1 All Habitats'!$A$3:$A$129,0)),"")</f>
        <v/>
      </c>
      <c r="G165" s="70"/>
      <c r="H165" s="498" t="str">
        <f>IF(F165="","",VLOOKUP(F165,'G-1 All Habitats'!$B$2:$M$129,10,FALSE))</f>
        <v/>
      </c>
      <c r="I165" s="499" t="str">
        <f>IFERROR(VLOOKUP(H165,'G-1 All Habitats'!$V$3:$W$7,2,FALSE),"")</f>
        <v/>
      </c>
      <c r="J165" s="71"/>
      <c r="K165" s="499" t="str">
        <f>IFERROR(INDEX('G-8 Condition Look up'!$A$3:$H$130,MATCH(F165,'G-8 Condition Look up'!$A$3:$A$130,0),MATCH(J165,'G-8 Condition Look up'!$A$3:$H$3,0)),"")</f>
        <v/>
      </c>
      <c r="L165" s="71"/>
      <c r="M165" s="507" t="str">
        <f>IF(L165="","",IF(VLOOKUP(L165,'G-3 Multipliers'!$L$3:$N$6,2,FALSE)=0,"Spatial Data Missing",VLOOKUP(L165,'G-3 Multipliers'!$L$3:$N$6,2,FALSE)))</f>
        <v/>
      </c>
      <c r="N165" s="505" t="str">
        <f>IF(L165="","",IF(VLOOKUP(L165,'G-3 Multipliers'!$L$3:$N$6,3,FALSE)=0,"Spatial Data Missing",VLOOKUP(L165,'G-3 Multipliers'!$L$3:$N$6,3,FALSE)))</f>
        <v/>
      </c>
      <c r="O165" s="498" t="str">
        <f t="shared" si="12"/>
        <v/>
      </c>
      <c r="P165" s="82"/>
      <c r="Q165" s="82"/>
      <c r="R165" s="507" t="str">
        <f t="shared" si="14"/>
        <v/>
      </c>
      <c r="S165" s="521" t="str">
        <f t="shared" si="15"/>
        <v/>
      </c>
      <c r="T165" s="522" t="str">
        <f>IFERROR(IF(S165="Check Data ⚠","Check Data ⚠",VLOOKUP(S165,'G-4 Temporal multipliers'!$A$4:$C$37,3,FALSE)),"")</f>
        <v/>
      </c>
      <c r="U165" s="523" t="str">
        <f>IF(F165="","",VLOOKUP(F165,'G-3 Multipliers'!$A$2:$E$129,2,FALSE))</f>
        <v/>
      </c>
      <c r="V165" s="520" t="str">
        <f t="shared" si="16"/>
        <v/>
      </c>
      <c r="W165" s="520" t="str">
        <f>IF(E165="","",IF(AND(V165="Standard difficulty applied",O165&gt;P165),U165,IF(AND(V165="Low Difficulty - only applicable if all habitat created before losses",P165&gt;=O165),"Low",VLOOKUP(F165,'G-3 Multipliers'!$A$2:$E$129,4,FALSE))))</f>
        <v/>
      </c>
      <c r="X165" s="524" t="str">
        <f>IFERROR(IF(E165="","",VLOOKUP(W165, 'G-3 Multipliers'!$P$2:$Q$6,2,FALSE)),"")</f>
        <v/>
      </c>
      <c r="Y165" s="529" t="str">
        <f t="shared" si="17"/>
        <v/>
      </c>
      <c r="Z165" s="239"/>
      <c r="AA165" s="240"/>
      <c r="AE165" s="54" t="str">
        <f t="shared" si="13"/>
        <v/>
      </c>
    </row>
    <row r="166" spans="1:31" x14ac:dyDescent="0.3">
      <c r="A166" s="47" t="str">
        <f>IFERROR(INDEX('G-8 Condition Look up'!$I$4:$I$130,MATCH(F166,'G-8 Condition Look up'!$A$4:$A$130,0)),"")</f>
        <v/>
      </c>
      <c r="C166" s="384" t="str">
        <f>IFERROR(INDEX('G-1 All Habitats'!$AG$3:$AG$15,MATCH(D166,'G-1 All Habitats'!$AF$3:$AF$15,0)),"")</f>
        <v/>
      </c>
      <c r="D166" s="146"/>
      <c r="E166" s="79"/>
      <c r="F166" s="246" t="str">
        <f>IFERROR(INDEX('G-1 All Habitats'!$B$3:$B$129,MATCH(E166,'G-1 All Habitats'!$A$3:$A$129,0)),"")</f>
        <v/>
      </c>
      <c r="G166" s="70"/>
      <c r="H166" s="498" t="str">
        <f>IF(F166="","",VLOOKUP(F166,'G-1 All Habitats'!$B$2:$M$129,10,FALSE))</f>
        <v/>
      </c>
      <c r="I166" s="499" t="str">
        <f>IFERROR(VLOOKUP(H166,'G-1 All Habitats'!$V$3:$W$7,2,FALSE),"")</f>
        <v/>
      </c>
      <c r="J166" s="71"/>
      <c r="K166" s="499" t="str">
        <f>IFERROR(INDEX('G-8 Condition Look up'!$A$3:$H$130,MATCH(F166,'G-8 Condition Look up'!$A$3:$A$130,0),MATCH(J166,'G-8 Condition Look up'!$A$3:$H$3,0)),"")</f>
        <v/>
      </c>
      <c r="L166" s="71"/>
      <c r="M166" s="507" t="str">
        <f>IF(L166="","",IF(VLOOKUP(L166,'G-3 Multipliers'!$L$3:$N$6,2,FALSE)=0,"Spatial Data Missing",VLOOKUP(L166,'G-3 Multipliers'!$L$3:$N$6,2,FALSE)))</f>
        <v/>
      </c>
      <c r="N166" s="505" t="str">
        <f>IF(L166="","",IF(VLOOKUP(L166,'G-3 Multipliers'!$L$3:$N$6,3,FALSE)=0,"Spatial Data Missing",VLOOKUP(L166,'G-3 Multipliers'!$L$3:$N$6,3,FALSE)))</f>
        <v/>
      </c>
      <c r="O166" s="498" t="str">
        <f t="shared" si="12"/>
        <v/>
      </c>
      <c r="P166" s="82"/>
      <c r="Q166" s="82"/>
      <c r="R166" s="507" t="str">
        <f t="shared" si="14"/>
        <v/>
      </c>
      <c r="S166" s="521" t="str">
        <f t="shared" si="15"/>
        <v/>
      </c>
      <c r="T166" s="522" t="str">
        <f>IFERROR(IF(S166="Check Data ⚠","Check Data ⚠",VLOOKUP(S166,'G-4 Temporal multipliers'!$A$4:$C$37,3,FALSE)),"")</f>
        <v/>
      </c>
      <c r="U166" s="523" t="str">
        <f>IF(F166="","",VLOOKUP(F166,'G-3 Multipliers'!$A$2:$E$129,2,FALSE))</f>
        <v/>
      </c>
      <c r="V166" s="520" t="str">
        <f t="shared" si="16"/>
        <v/>
      </c>
      <c r="W166" s="520" t="str">
        <f>IF(E166="","",IF(AND(V166="Standard difficulty applied",O166&gt;P166),U166,IF(AND(V166="Low Difficulty - only applicable if all habitat created before losses",P166&gt;=O166),"Low",VLOOKUP(F166,'G-3 Multipliers'!$A$2:$E$129,4,FALSE))))</f>
        <v/>
      </c>
      <c r="X166" s="524" t="str">
        <f>IFERROR(IF(E166="","",VLOOKUP(W166, 'G-3 Multipliers'!$P$2:$Q$6,2,FALSE)),"")</f>
        <v/>
      </c>
      <c r="Y166" s="529" t="str">
        <f t="shared" si="17"/>
        <v/>
      </c>
      <c r="Z166" s="239"/>
      <c r="AA166" s="240"/>
      <c r="AE166" s="54" t="str">
        <f t="shared" si="13"/>
        <v/>
      </c>
    </row>
    <row r="167" spans="1:31" x14ac:dyDescent="0.3">
      <c r="A167" s="47" t="str">
        <f>IFERROR(INDEX('G-8 Condition Look up'!$I$4:$I$130,MATCH(F167,'G-8 Condition Look up'!$A$4:$A$130,0)),"")</f>
        <v/>
      </c>
      <c r="C167" s="384" t="str">
        <f>IFERROR(INDEX('G-1 All Habitats'!$AG$3:$AG$15,MATCH(D167,'G-1 All Habitats'!$AF$3:$AF$15,0)),"")</f>
        <v/>
      </c>
      <c r="D167" s="146"/>
      <c r="E167" s="79"/>
      <c r="F167" s="246" t="str">
        <f>IFERROR(INDEX('G-1 All Habitats'!$B$3:$B$129,MATCH(E167,'G-1 All Habitats'!$A$3:$A$129,0)),"")</f>
        <v/>
      </c>
      <c r="G167" s="70"/>
      <c r="H167" s="498" t="str">
        <f>IF(F167="","",VLOOKUP(F167,'G-1 All Habitats'!$B$2:$M$129,10,FALSE))</f>
        <v/>
      </c>
      <c r="I167" s="499" t="str">
        <f>IFERROR(VLOOKUP(H167,'G-1 All Habitats'!$V$3:$W$7,2,FALSE),"")</f>
        <v/>
      </c>
      <c r="J167" s="71"/>
      <c r="K167" s="499" t="str">
        <f>IFERROR(INDEX('G-8 Condition Look up'!$A$3:$H$130,MATCH(F167,'G-8 Condition Look up'!$A$3:$A$130,0),MATCH(J167,'G-8 Condition Look up'!$A$3:$H$3,0)),"")</f>
        <v/>
      </c>
      <c r="L167" s="71"/>
      <c r="M167" s="507" t="str">
        <f>IF(L167="","",IF(VLOOKUP(L167,'G-3 Multipliers'!$L$3:$N$6,2,FALSE)=0,"Spatial Data Missing",VLOOKUP(L167,'G-3 Multipliers'!$L$3:$N$6,2,FALSE)))</f>
        <v/>
      </c>
      <c r="N167" s="505" t="str">
        <f>IF(L167="","",IF(VLOOKUP(L167,'G-3 Multipliers'!$L$3:$N$6,3,FALSE)=0,"Spatial Data Missing",VLOOKUP(L167,'G-3 Multipliers'!$L$3:$N$6,3,FALSE)))</f>
        <v/>
      </c>
      <c r="O167" s="498" t="str">
        <f t="shared" si="12"/>
        <v/>
      </c>
      <c r="P167" s="82"/>
      <c r="Q167" s="82"/>
      <c r="R167" s="507" t="str">
        <f t="shared" si="14"/>
        <v/>
      </c>
      <c r="S167" s="521" t="str">
        <f t="shared" si="15"/>
        <v/>
      </c>
      <c r="T167" s="522" t="str">
        <f>IFERROR(IF(S167="Check Data ⚠","Check Data ⚠",VLOOKUP(S167,'G-4 Temporal multipliers'!$A$4:$C$37,3,FALSE)),"")</f>
        <v/>
      </c>
      <c r="U167" s="523" t="str">
        <f>IF(F167="","",VLOOKUP(F167,'G-3 Multipliers'!$A$2:$E$129,2,FALSE))</f>
        <v/>
      </c>
      <c r="V167" s="520" t="str">
        <f t="shared" si="16"/>
        <v/>
      </c>
      <c r="W167" s="520" t="str">
        <f>IF(E167="","",IF(AND(V167="Standard difficulty applied",O167&gt;P167),U167,IF(AND(V167="Low Difficulty - only applicable if all habitat created before losses",P167&gt;=O167),"Low",VLOOKUP(F167,'G-3 Multipliers'!$A$2:$E$129,4,FALSE))))</f>
        <v/>
      </c>
      <c r="X167" s="524" t="str">
        <f>IFERROR(IF(E167="","",VLOOKUP(W167, 'G-3 Multipliers'!$P$2:$Q$6,2,FALSE)),"")</f>
        <v/>
      </c>
      <c r="Y167" s="529" t="str">
        <f t="shared" si="17"/>
        <v/>
      </c>
      <c r="Z167" s="239"/>
      <c r="AA167" s="240"/>
      <c r="AE167" s="54" t="str">
        <f t="shared" si="13"/>
        <v/>
      </c>
    </row>
    <row r="168" spans="1:31" x14ac:dyDescent="0.3">
      <c r="A168" s="47" t="str">
        <f>IFERROR(INDEX('G-8 Condition Look up'!$I$4:$I$130,MATCH(F168,'G-8 Condition Look up'!$A$4:$A$130,0)),"")</f>
        <v/>
      </c>
      <c r="C168" s="384" t="str">
        <f>IFERROR(INDEX('G-1 All Habitats'!$AG$3:$AG$15,MATCH(D168,'G-1 All Habitats'!$AF$3:$AF$15,0)),"")</f>
        <v/>
      </c>
      <c r="D168" s="146"/>
      <c r="E168" s="79"/>
      <c r="F168" s="246" t="str">
        <f>IFERROR(INDEX('G-1 All Habitats'!$B$3:$B$129,MATCH(E168,'G-1 All Habitats'!$A$3:$A$129,0)),"")</f>
        <v/>
      </c>
      <c r="G168" s="70"/>
      <c r="H168" s="498" t="str">
        <f>IF(F168="","",VLOOKUP(F168,'G-1 All Habitats'!$B$2:$M$129,10,FALSE))</f>
        <v/>
      </c>
      <c r="I168" s="499" t="str">
        <f>IFERROR(VLOOKUP(H168,'G-1 All Habitats'!$V$3:$W$7,2,FALSE),"")</f>
        <v/>
      </c>
      <c r="J168" s="71"/>
      <c r="K168" s="499" t="str">
        <f>IFERROR(INDEX('G-8 Condition Look up'!$A$3:$H$130,MATCH(F168,'G-8 Condition Look up'!$A$3:$A$130,0),MATCH(J168,'G-8 Condition Look up'!$A$3:$H$3,0)),"")</f>
        <v/>
      </c>
      <c r="L168" s="71"/>
      <c r="M168" s="507" t="str">
        <f>IF(L168="","",IF(VLOOKUP(L168,'G-3 Multipliers'!$L$3:$N$6,2,FALSE)=0,"Spatial Data Missing",VLOOKUP(L168,'G-3 Multipliers'!$L$3:$N$6,2,FALSE)))</f>
        <v/>
      </c>
      <c r="N168" s="505" t="str">
        <f>IF(L168="","",IF(VLOOKUP(L168,'G-3 Multipliers'!$L$3:$N$6,3,FALSE)=0,"Spatial Data Missing",VLOOKUP(L168,'G-3 Multipliers'!$L$3:$N$6,3,FALSE)))</f>
        <v/>
      </c>
      <c r="O168" s="498" t="str">
        <f t="shared" si="12"/>
        <v/>
      </c>
      <c r="P168" s="82"/>
      <c r="Q168" s="82"/>
      <c r="R168" s="507" t="str">
        <f t="shared" si="14"/>
        <v/>
      </c>
      <c r="S168" s="521" t="str">
        <f t="shared" si="15"/>
        <v/>
      </c>
      <c r="T168" s="522" t="str">
        <f>IFERROR(IF(S168="Check Data ⚠","Check Data ⚠",VLOOKUP(S168,'G-4 Temporal multipliers'!$A$4:$C$37,3,FALSE)),"")</f>
        <v/>
      </c>
      <c r="U168" s="523" t="str">
        <f>IF(F168="","",VLOOKUP(F168,'G-3 Multipliers'!$A$2:$E$129,2,FALSE))</f>
        <v/>
      </c>
      <c r="V168" s="520" t="str">
        <f t="shared" si="16"/>
        <v/>
      </c>
      <c r="W168" s="520" t="str">
        <f>IF(E168="","",IF(AND(V168="Standard difficulty applied",O168&gt;P168),U168,IF(AND(V168="Low Difficulty - only applicable if all habitat created before losses",P168&gt;=O168),"Low",VLOOKUP(F168,'G-3 Multipliers'!$A$2:$E$129,4,FALSE))))</f>
        <v/>
      </c>
      <c r="X168" s="524" t="str">
        <f>IFERROR(IF(E168="","",VLOOKUP(W168, 'G-3 Multipliers'!$P$2:$Q$6,2,FALSE)),"")</f>
        <v/>
      </c>
      <c r="Y168" s="529" t="str">
        <f t="shared" si="17"/>
        <v/>
      </c>
      <c r="Z168" s="239"/>
      <c r="AA168" s="240"/>
      <c r="AE168" s="54" t="str">
        <f t="shared" si="13"/>
        <v/>
      </c>
    </row>
    <row r="169" spans="1:31" x14ac:dyDescent="0.3">
      <c r="A169" s="47" t="str">
        <f>IFERROR(INDEX('G-8 Condition Look up'!$I$4:$I$130,MATCH(F169,'G-8 Condition Look up'!$A$4:$A$130,0)),"")</f>
        <v/>
      </c>
      <c r="C169" s="384" t="str">
        <f>IFERROR(INDEX('G-1 All Habitats'!$AG$3:$AG$15,MATCH(D169,'G-1 All Habitats'!$AF$3:$AF$15,0)),"")</f>
        <v/>
      </c>
      <c r="D169" s="146"/>
      <c r="E169" s="79"/>
      <c r="F169" s="246" t="str">
        <f>IFERROR(INDEX('G-1 All Habitats'!$B$3:$B$129,MATCH(E169,'G-1 All Habitats'!$A$3:$A$129,0)),"")</f>
        <v/>
      </c>
      <c r="G169" s="70"/>
      <c r="H169" s="498" t="str">
        <f>IF(F169="","",VLOOKUP(F169,'G-1 All Habitats'!$B$2:$M$129,10,FALSE))</f>
        <v/>
      </c>
      <c r="I169" s="499" t="str">
        <f>IFERROR(VLOOKUP(H169,'G-1 All Habitats'!$V$3:$W$7,2,FALSE),"")</f>
        <v/>
      </c>
      <c r="J169" s="71"/>
      <c r="K169" s="499" t="str">
        <f>IFERROR(INDEX('G-8 Condition Look up'!$A$3:$H$130,MATCH(F169,'G-8 Condition Look up'!$A$3:$A$130,0),MATCH(J169,'G-8 Condition Look up'!$A$3:$H$3,0)),"")</f>
        <v/>
      </c>
      <c r="L169" s="71"/>
      <c r="M169" s="507" t="str">
        <f>IF(L169="","",IF(VLOOKUP(L169,'G-3 Multipliers'!$L$3:$N$6,2,FALSE)=0,"Spatial Data Missing",VLOOKUP(L169,'G-3 Multipliers'!$L$3:$N$6,2,FALSE)))</f>
        <v/>
      </c>
      <c r="N169" s="505" t="str">
        <f>IF(L169="","",IF(VLOOKUP(L169,'G-3 Multipliers'!$L$3:$N$6,3,FALSE)=0,"Spatial Data Missing",VLOOKUP(L169,'G-3 Multipliers'!$L$3:$N$6,3,FALSE)))</f>
        <v/>
      </c>
      <c r="O169" s="498" t="str">
        <f t="shared" si="12"/>
        <v/>
      </c>
      <c r="P169" s="82"/>
      <c r="Q169" s="82"/>
      <c r="R169" s="507" t="str">
        <f t="shared" si="14"/>
        <v/>
      </c>
      <c r="S169" s="521" t="str">
        <f t="shared" si="15"/>
        <v/>
      </c>
      <c r="T169" s="522" t="str">
        <f>IFERROR(IF(S169="Check Data ⚠","Check Data ⚠",VLOOKUP(S169,'G-4 Temporal multipliers'!$A$4:$C$37,3,FALSE)),"")</f>
        <v/>
      </c>
      <c r="U169" s="523" t="str">
        <f>IF(F169="","",VLOOKUP(F169,'G-3 Multipliers'!$A$2:$E$129,2,FALSE))</f>
        <v/>
      </c>
      <c r="V169" s="520" t="str">
        <f t="shared" si="16"/>
        <v/>
      </c>
      <c r="W169" s="520" t="str">
        <f>IF(E169="","",IF(AND(V169="Standard difficulty applied",O169&gt;P169),U169,IF(AND(V169="Low Difficulty - only applicable if all habitat created before losses",P169&gt;=O169),"Low",VLOOKUP(F169,'G-3 Multipliers'!$A$2:$E$129,4,FALSE))))</f>
        <v/>
      </c>
      <c r="X169" s="524" t="str">
        <f>IFERROR(IF(E169="","",VLOOKUP(W169, 'G-3 Multipliers'!$P$2:$Q$6,2,FALSE)),"")</f>
        <v/>
      </c>
      <c r="Y169" s="529" t="str">
        <f t="shared" si="17"/>
        <v/>
      </c>
      <c r="Z169" s="239"/>
      <c r="AA169" s="240"/>
      <c r="AE169" s="54" t="str">
        <f t="shared" si="13"/>
        <v/>
      </c>
    </row>
    <row r="170" spans="1:31" x14ac:dyDescent="0.3">
      <c r="A170" s="47" t="str">
        <f>IFERROR(INDEX('G-8 Condition Look up'!$I$4:$I$130,MATCH(F170,'G-8 Condition Look up'!$A$4:$A$130,0)),"")</f>
        <v/>
      </c>
      <c r="C170" s="384" t="str">
        <f>IFERROR(INDEX('G-1 All Habitats'!$AG$3:$AG$15,MATCH(D170,'G-1 All Habitats'!$AF$3:$AF$15,0)),"")</f>
        <v/>
      </c>
      <c r="D170" s="146"/>
      <c r="E170" s="79"/>
      <c r="F170" s="246" t="str">
        <f>IFERROR(INDEX('G-1 All Habitats'!$B$3:$B$129,MATCH(E170,'G-1 All Habitats'!$A$3:$A$129,0)),"")</f>
        <v/>
      </c>
      <c r="G170" s="70"/>
      <c r="H170" s="498" t="str">
        <f>IF(F170="","",VLOOKUP(F170,'G-1 All Habitats'!$B$2:$M$129,10,FALSE))</f>
        <v/>
      </c>
      <c r="I170" s="499" t="str">
        <f>IFERROR(VLOOKUP(H170,'G-1 All Habitats'!$V$3:$W$7,2,FALSE),"")</f>
        <v/>
      </c>
      <c r="J170" s="71"/>
      <c r="K170" s="499" t="str">
        <f>IFERROR(INDEX('G-8 Condition Look up'!$A$3:$H$130,MATCH(F170,'G-8 Condition Look up'!$A$3:$A$130,0),MATCH(J170,'G-8 Condition Look up'!$A$3:$H$3,0)),"")</f>
        <v/>
      </c>
      <c r="L170" s="71"/>
      <c r="M170" s="507" t="str">
        <f>IF(L170="","",IF(VLOOKUP(L170,'G-3 Multipliers'!$L$3:$N$6,2,FALSE)=0,"Spatial Data Missing",VLOOKUP(L170,'G-3 Multipliers'!$L$3:$N$6,2,FALSE)))</f>
        <v/>
      </c>
      <c r="N170" s="505" t="str">
        <f>IF(L170="","",IF(VLOOKUP(L170,'G-3 Multipliers'!$L$3:$N$6,3,FALSE)=0,"Spatial Data Missing",VLOOKUP(L170,'G-3 Multipliers'!$L$3:$N$6,3,FALSE)))</f>
        <v/>
      </c>
      <c r="O170" s="498" t="str">
        <f t="shared" si="12"/>
        <v/>
      </c>
      <c r="P170" s="82"/>
      <c r="Q170" s="82"/>
      <c r="R170" s="507" t="str">
        <f t="shared" si="14"/>
        <v/>
      </c>
      <c r="S170" s="521" t="str">
        <f t="shared" si="15"/>
        <v/>
      </c>
      <c r="T170" s="522" t="str">
        <f>IFERROR(IF(S170="Check Data ⚠","Check Data ⚠",VLOOKUP(S170,'G-4 Temporal multipliers'!$A$4:$C$37,3,FALSE)),"")</f>
        <v/>
      </c>
      <c r="U170" s="523" t="str">
        <f>IF(F170="","",VLOOKUP(F170,'G-3 Multipliers'!$A$2:$E$129,2,FALSE))</f>
        <v/>
      </c>
      <c r="V170" s="520" t="str">
        <f t="shared" si="16"/>
        <v/>
      </c>
      <c r="W170" s="520" t="str">
        <f>IF(E170="","",IF(AND(V170="Standard difficulty applied",O170&gt;P170),U170,IF(AND(V170="Low Difficulty - only applicable if all habitat created before losses",P170&gt;=O170),"Low",VLOOKUP(F170,'G-3 Multipliers'!$A$2:$E$129,4,FALSE))))</f>
        <v/>
      </c>
      <c r="X170" s="524" t="str">
        <f>IFERROR(IF(E170="","",VLOOKUP(W170, 'G-3 Multipliers'!$P$2:$Q$6,2,FALSE)),"")</f>
        <v/>
      </c>
      <c r="Y170" s="529" t="str">
        <f t="shared" si="17"/>
        <v/>
      </c>
      <c r="Z170" s="239"/>
      <c r="AA170" s="240"/>
      <c r="AE170" s="54" t="str">
        <f t="shared" si="13"/>
        <v/>
      </c>
    </row>
    <row r="171" spans="1:31" x14ac:dyDescent="0.3">
      <c r="A171" s="47" t="str">
        <f>IFERROR(INDEX('G-8 Condition Look up'!$I$4:$I$130,MATCH(F171,'G-8 Condition Look up'!$A$4:$A$130,0)),"")</f>
        <v/>
      </c>
      <c r="C171" s="384" t="str">
        <f>IFERROR(INDEX('G-1 All Habitats'!$AG$3:$AG$15,MATCH(D171,'G-1 All Habitats'!$AF$3:$AF$15,0)),"")</f>
        <v/>
      </c>
      <c r="D171" s="146"/>
      <c r="E171" s="79"/>
      <c r="F171" s="246" t="str">
        <f>IFERROR(INDEX('G-1 All Habitats'!$B$3:$B$129,MATCH(E171,'G-1 All Habitats'!$A$3:$A$129,0)),"")</f>
        <v/>
      </c>
      <c r="G171" s="70"/>
      <c r="H171" s="498" t="str">
        <f>IF(F171="","",VLOOKUP(F171,'G-1 All Habitats'!$B$2:$M$129,10,FALSE))</f>
        <v/>
      </c>
      <c r="I171" s="499" t="str">
        <f>IFERROR(VLOOKUP(H171,'G-1 All Habitats'!$V$3:$W$7,2,FALSE),"")</f>
        <v/>
      </c>
      <c r="J171" s="71"/>
      <c r="K171" s="499" t="str">
        <f>IFERROR(INDEX('G-8 Condition Look up'!$A$3:$H$130,MATCH(F171,'G-8 Condition Look up'!$A$3:$A$130,0),MATCH(J171,'G-8 Condition Look up'!$A$3:$H$3,0)),"")</f>
        <v/>
      </c>
      <c r="L171" s="71"/>
      <c r="M171" s="507" t="str">
        <f>IF(L171="","",IF(VLOOKUP(L171,'G-3 Multipliers'!$L$3:$N$6,2,FALSE)=0,"Spatial Data Missing",VLOOKUP(L171,'G-3 Multipliers'!$L$3:$N$6,2,FALSE)))</f>
        <v/>
      </c>
      <c r="N171" s="505" t="str">
        <f>IF(L171="","",IF(VLOOKUP(L171,'G-3 Multipliers'!$L$3:$N$6,3,FALSE)=0,"Spatial Data Missing",VLOOKUP(L171,'G-3 Multipliers'!$L$3:$N$6,3,FALSE)))</f>
        <v/>
      </c>
      <c r="O171" s="498" t="str">
        <f t="shared" si="12"/>
        <v/>
      </c>
      <c r="P171" s="82"/>
      <c r="Q171" s="82"/>
      <c r="R171" s="507" t="str">
        <f t="shared" si="14"/>
        <v/>
      </c>
      <c r="S171" s="521" t="str">
        <f t="shared" si="15"/>
        <v/>
      </c>
      <c r="T171" s="522" t="str">
        <f>IFERROR(IF(S171="Check Data ⚠","Check Data ⚠",VLOOKUP(S171,'G-4 Temporal multipliers'!$A$4:$C$37,3,FALSE)),"")</f>
        <v/>
      </c>
      <c r="U171" s="523" t="str">
        <f>IF(F171="","",VLOOKUP(F171,'G-3 Multipliers'!$A$2:$E$129,2,FALSE))</f>
        <v/>
      </c>
      <c r="V171" s="520" t="str">
        <f t="shared" si="16"/>
        <v/>
      </c>
      <c r="W171" s="520" t="str">
        <f>IF(E171="","",IF(AND(V171="Standard difficulty applied",O171&gt;P171),U171,IF(AND(V171="Low Difficulty - only applicable if all habitat created before losses",P171&gt;=O171),"Low",VLOOKUP(F171,'G-3 Multipliers'!$A$2:$E$129,4,FALSE))))</f>
        <v/>
      </c>
      <c r="X171" s="524" t="str">
        <f>IFERROR(IF(E171="","",VLOOKUP(W171, 'G-3 Multipliers'!$P$2:$Q$6,2,FALSE)),"")</f>
        <v/>
      </c>
      <c r="Y171" s="529" t="str">
        <f t="shared" si="17"/>
        <v/>
      </c>
      <c r="Z171" s="239"/>
      <c r="AA171" s="240"/>
      <c r="AE171" s="54" t="str">
        <f t="shared" si="13"/>
        <v/>
      </c>
    </row>
    <row r="172" spans="1:31" x14ac:dyDescent="0.3">
      <c r="A172" s="47" t="str">
        <f>IFERROR(INDEX('G-8 Condition Look up'!$I$4:$I$130,MATCH(F172,'G-8 Condition Look up'!$A$4:$A$130,0)),"")</f>
        <v/>
      </c>
      <c r="C172" s="384" t="str">
        <f>IFERROR(INDEX('G-1 All Habitats'!$AG$3:$AG$15,MATCH(D172,'G-1 All Habitats'!$AF$3:$AF$15,0)),"")</f>
        <v/>
      </c>
      <c r="D172" s="146"/>
      <c r="E172" s="79"/>
      <c r="F172" s="246" t="str">
        <f>IFERROR(INDEX('G-1 All Habitats'!$B$3:$B$129,MATCH(E172,'G-1 All Habitats'!$A$3:$A$129,0)),"")</f>
        <v/>
      </c>
      <c r="G172" s="70"/>
      <c r="H172" s="498" t="str">
        <f>IF(F172="","",VLOOKUP(F172,'G-1 All Habitats'!$B$2:$M$129,10,FALSE))</f>
        <v/>
      </c>
      <c r="I172" s="499" t="str">
        <f>IFERROR(VLOOKUP(H172,'G-1 All Habitats'!$V$3:$W$7,2,FALSE),"")</f>
        <v/>
      </c>
      <c r="J172" s="71"/>
      <c r="K172" s="499" t="str">
        <f>IFERROR(INDEX('G-8 Condition Look up'!$A$3:$H$130,MATCH(F172,'G-8 Condition Look up'!$A$3:$A$130,0),MATCH(J172,'G-8 Condition Look up'!$A$3:$H$3,0)),"")</f>
        <v/>
      </c>
      <c r="L172" s="71"/>
      <c r="M172" s="507" t="str">
        <f>IF(L172="","",IF(VLOOKUP(L172,'G-3 Multipliers'!$L$3:$N$6,2,FALSE)=0,"Spatial Data Missing",VLOOKUP(L172,'G-3 Multipliers'!$L$3:$N$6,2,FALSE)))</f>
        <v/>
      </c>
      <c r="N172" s="505" t="str">
        <f>IF(L172="","",IF(VLOOKUP(L172,'G-3 Multipliers'!$L$3:$N$6,3,FALSE)=0,"Spatial Data Missing",VLOOKUP(L172,'G-3 Multipliers'!$L$3:$N$6,3,FALSE)))</f>
        <v/>
      </c>
      <c r="O172" s="498" t="str">
        <f t="shared" si="12"/>
        <v/>
      </c>
      <c r="P172" s="82"/>
      <c r="Q172" s="82"/>
      <c r="R172" s="507" t="str">
        <f t="shared" si="14"/>
        <v/>
      </c>
      <c r="S172" s="521" t="str">
        <f t="shared" si="15"/>
        <v/>
      </c>
      <c r="T172" s="522" t="str">
        <f>IFERROR(IF(S172="Check Data ⚠","Check Data ⚠",VLOOKUP(S172,'G-4 Temporal multipliers'!$A$4:$C$37,3,FALSE)),"")</f>
        <v/>
      </c>
      <c r="U172" s="523" t="str">
        <f>IF(F172="","",VLOOKUP(F172,'G-3 Multipliers'!$A$2:$E$129,2,FALSE))</f>
        <v/>
      </c>
      <c r="V172" s="520" t="str">
        <f t="shared" si="16"/>
        <v/>
      </c>
      <c r="W172" s="520" t="str">
        <f>IF(E172="","",IF(AND(V172="Standard difficulty applied",O172&gt;P172),U172,IF(AND(V172="Low Difficulty - only applicable if all habitat created before losses",P172&gt;=O172),"Low",VLOOKUP(F172,'G-3 Multipliers'!$A$2:$E$129,4,FALSE))))</f>
        <v/>
      </c>
      <c r="X172" s="524" t="str">
        <f>IFERROR(IF(E172="","",VLOOKUP(W172, 'G-3 Multipliers'!$P$2:$Q$6,2,FALSE)),"")</f>
        <v/>
      </c>
      <c r="Y172" s="529" t="str">
        <f t="shared" si="17"/>
        <v/>
      </c>
      <c r="Z172" s="239"/>
      <c r="AA172" s="240"/>
      <c r="AE172" s="54" t="str">
        <f t="shared" si="13"/>
        <v/>
      </c>
    </row>
    <row r="173" spans="1:31" x14ac:dyDescent="0.3">
      <c r="A173" s="47" t="str">
        <f>IFERROR(INDEX('G-8 Condition Look up'!$I$4:$I$130,MATCH(F173,'G-8 Condition Look up'!$A$4:$A$130,0)),"")</f>
        <v/>
      </c>
      <c r="C173" s="384" t="str">
        <f>IFERROR(INDEX('G-1 All Habitats'!$AG$3:$AG$15,MATCH(D173,'G-1 All Habitats'!$AF$3:$AF$15,0)),"")</f>
        <v/>
      </c>
      <c r="D173" s="146"/>
      <c r="E173" s="79"/>
      <c r="F173" s="246" t="str">
        <f>IFERROR(INDEX('G-1 All Habitats'!$B$3:$B$129,MATCH(E173,'G-1 All Habitats'!$A$3:$A$129,0)),"")</f>
        <v/>
      </c>
      <c r="G173" s="70"/>
      <c r="H173" s="498" t="str">
        <f>IF(F173="","",VLOOKUP(F173,'G-1 All Habitats'!$B$2:$M$129,10,FALSE))</f>
        <v/>
      </c>
      <c r="I173" s="499" t="str">
        <f>IFERROR(VLOOKUP(H173,'G-1 All Habitats'!$V$3:$W$7,2,FALSE),"")</f>
        <v/>
      </c>
      <c r="J173" s="71"/>
      <c r="K173" s="499" t="str">
        <f>IFERROR(INDEX('G-8 Condition Look up'!$A$3:$H$130,MATCH(F173,'G-8 Condition Look up'!$A$3:$A$130,0),MATCH(J173,'G-8 Condition Look up'!$A$3:$H$3,0)),"")</f>
        <v/>
      </c>
      <c r="L173" s="71"/>
      <c r="M173" s="507" t="str">
        <f>IF(L173="","",IF(VLOOKUP(L173,'G-3 Multipliers'!$L$3:$N$6,2,FALSE)=0,"Spatial Data Missing",VLOOKUP(L173,'G-3 Multipliers'!$L$3:$N$6,2,FALSE)))</f>
        <v/>
      </c>
      <c r="N173" s="505" t="str">
        <f>IF(L173="","",IF(VLOOKUP(L173,'G-3 Multipliers'!$L$3:$N$6,3,FALSE)=0,"Spatial Data Missing",VLOOKUP(L173,'G-3 Multipliers'!$L$3:$N$6,3,FALSE)))</f>
        <v/>
      </c>
      <c r="O173" s="498" t="str">
        <f t="shared" si="12"/>
        <v/>
      </c>
      <c r="P173" s="82"/>
      <c r="Q173" s="82"/>
      <c r="R173" s="507" t="str">
        <f t="shared" si="14"/>
        <v/>
      </c>
      <c r="S173" s="521" t="str">
        <f t="shared" si="15"/>
        <v/>
      </c>
      <c r="T173" s="522" t="str">
        <f>IFERROR(IF(S173="Check Data ⚠","Check Data ⚠",VLOOKUP(S173,'G-4 Temporal multipliers'!$A$4:$C$37,3,FALSE)),"")</f>
        <v/>
      </c>
      <c r="U173" s="523" t="str">
        <f>IF(F173="","",VLOOKUP(F173,'G-3 Multipliers'!$A$2:$E$129,2,FALSE))</f>
        <v/>
      </c>
      <c r="V173" s="520" t="str">
        <f t="shared" si="16"/>
        <v/>
      </c>
      <c r="W173" s="520" t="str">
        <f>IF(E173="","",IF(AND(V173="Standard difficulty applied",O173&gt;P173),U173,IF(AND(V173="Low Difficulty - only applicable if all habitat created before losses",P173&gt;=O173),"Low",VLOOKUP(F173,'G-3 Multipliers'!$A$2:$E$129,4,FALSE))))</f>
        <v/>
      </c>
      <c r="X173" s="524" t="str">
        <f>IFERROR(IF(E173="","",VLOOKUP(W173, 'G-3 Multipliers'!$P$2:$Q$6,2,FALSE)),"")</f>
        <v/>
      </c>
      <c r="Y173" s="529" t="str">
        <f t="shared" si="17"/>
        <v/>
      </c>
      <c r="Z173" s="239"/>
      <c r="AA173" s="240"/>
      <c r="AE173" s="54" t="str">
        <f t="shared" si="13"/>
        <v/>
      </c>
    </row>
    <row r="174" spans="1:31" x14ac:dyDescent="0.3">
      <c r="A174" s="47" t="str">
        <f>IFERROR(INDEX('G-8 Condition Look up'!$I$4:$I$130,MATCH(F174,'G-8 Condition Look up'!$A$4:$A$130,0)),"")</f>
        <v/>
      </c>
      <c r="C174" s="384" t="str">
        <f>IFERROR(INDEX('G-1 All Habitats'!$AG$3:$AG$15,MATCH(D174,'G-1 All Habitats'!$AF$3:$AF$15,0)),"")</f>
        <v/>
      </c>
      <c r="D174" s="146"/>
      <c r="E174" s="79"/>
      <c r="F174" s="246" t="str">
        <f>IFERROR(INDEX('G-1 All Habitats'!$B$3:$B$129,MATCH(E174,'G-1 All Habitats'!$A$3:$A$129,0)),"")</f>
        <v/>
      </c>
      <c r="G174" s="70"/>
      <c r="H174" s="498" t="str">
        <f>IF(F174="","",VLOOKUP(F174,'G-1 All Habitats'!$B$2:$M$129,10,FALSE))</f>
        <v/>
      </c>
      <c r="I174" s="499" t="str">
        <f>IFERROR(VLOOKUP(H174,'G-1 All Habitats'!$V$3:$W$7,2,FALSE),"")</f>
        <v/>
      </c>
      <c r="J174" s="71"/>
      <c r="K174" s="499" t="str">
        <f>IFERROR(INDEX('G-8 Condition Look up'!$A$3:$H$130,MATCH(F174,'G-8 Condition Look up'!$A$3:$A$130,0),MATCH(J174,'G-8 Condition Look up'!$A$3:$H$3,0)),"")</f>
        <v/>
      </c>
      <c r="L174" s="71"/>
      <c r="M174" s="507" t="str">
        <f>IF(L174="","",IF(VLOOKUP(L174,'G-3 Multipliers'!$L$3:$N$6,2,FALSE)=0,"Spatial Data Missing",VLOOKUP(L174,'G-3 Multipliers'!$L$3:$N$6,2,FALSE)))</f>
        <v/>
      </c>
      <c r="N174" s="505" t="str">
        <f>IF(L174="","",IF(VLOOKUP(L174,'G-3 Multipliers'!$L$3:$N$6,3,FALSE)=0,"Spatial Data Missing",VLOOKUP(L174,'G-3 Multipliers'!$L$3:$N$6,3,FALSE)))</f>
        <v/>
      </c>
      <c r="O174" s="498" t="str">
        <f t="shared" si="12"/>
        <v/>
      </c>
      <c r="P174" s="82"/>
      <c r="Q174" s="82"/>
      <c r="R174" s="507" t="str">
        <f t="shared" si="14"/>
        <v/>
      </c>
      <c r="S174" s="521" t="str">
        <f t="shared" si="15"/>
        <v/>
      </c>
      <c r="T174" s="522" t="str">
        <f>IFERROR(IF(S174="Check Data ⚠","Check Data ⚠",VLOOKUP(S174,'G-4 Temporal multipliers'!$A$4:$C$37,3,FALSE)),"")</f>
        <v/>
      </c>
      <c r="U174" s="523" t="str">
        <f>IF(F174="","",VLOOKUP(F174,'G-3 Multipliers'!$A$2:$E$129,2,FALSE))</f>
        <v/>
      </c>
      <c r="V174" s="520" t="str">
        <f t="shared" si="16"/>
        <v/>
      </c>
      <c r="W174" s="520" t="str">
        <f>IF(E174="","",IF(AND(V174="Standard difficulty applied",O174&gt;P174),U174,IF(AND(V174="Low Difficulty - only applicable if all habitat created before losses",P174&gt;=O174),"Low",VLOOKUP(F174,'G-3 Multipliers'!$A$2:$E$129,4,FALSE))))</f>
        <v/>
      </c>
      <c r="X174" s="524" t="str">
        <f>IFERROR(IF(E174="","",VLOOKUP(W174, 'G-3 Multipliers'!$P$2:$Q$6,2,FALSE)),"")</f>
        <v/>
      </c>
      <c r="Y174" s="529" t="str">
        <f t="shared" si="17"/>
        <v/>
      </c>
      <c r="Z174" s="239"/>
      <c r="AA174" s="240"/>
      <c r="AE174" s="54" t="str">
        <f t="shared" si="13"/>
        <v/>
      </c>
    </row>
    <row r="175" spans="1:31" x14ac:dyDescent="0.3">
      <c r="A175" s="47" t="str">
        <f>IFERROR(INDEX('G-8 Condition Look up'!$I$4:$I$130,MATCH(F175,'G-8 Condition Look up'!$A$4:$A$130,0)),"")</f>
        <v/>
      </c>
      <c r="C175" s="384" t="str">
        <f>IFERROR(INDEX('G-1 All Habitats'!$AG$3:$AG$15,MATCH(D175,'G-1 All Habitats'!$AF$3:$AF$15,0)),"")</f>
        <v/>
      </c>
      <c r="D175" s="146"/>
      <c r="E175" s="79"/>
      <c r="F175" s="246" t="str">
        <f>IFERROR(INDEX('G-1 All Habitats'!$B$3:$B$129,MATCH(E175,'G-1 All Habitats'!$A$3:$A$129,0)),"")</f>
        <v/>
      </c>
      <c r="G175" s="70"/>
      <c r="H175" s="498" t="str">
        <f>IF(F175="","",VLOOKUP(F175,'G-1 All Habitats'!$B$2:$M$129,10,FALSE))</f>
        <v/>
      </c>
      <c r="I175" s="499" t="str">
        <f>IFERROR(VLOOKUP(H175,'G-1 All Habitats'!$V$3:$W$7,2,FALSE),"")</f>
        <v/>
      </c>
      <c r="J175" s="71"/>
      <c r="K175" s="499" t="str">
        <f>IFERROR(INDEX('G-8 Condition Look up'!$A$3:$H$130,MATCH(F175,'G-8 Condition Look up'!$A$3:$A$130,0),MATCH(J175,'G-8 Condition Look up'!$A$3:$H$3,0)),"")</f>
        <v/>
      </c>
      <c r="L175" s="71"/>
      <c r="M175" s="507" t="str">
        <f>IF(L175="","",IF(VLOOKUP(L175,'G-3 Multipliers'!$L$3:$N$6,2,FALSE)=0,"Spatial Data Missing",VLOOKUP(L175,'G-3 Multipliers'!$L$3:$N$6,2,FALSE)))</f>
        <v/>
      </c>
      <c r="N175" s="505" t="str">
        <f>IF(L175="","",IF(VLOOKUP(L175,'G-3 Multipliers'!$L$3:$N$6,3,FALSE)=0,"Spatial Data Missing",VLOOKUP(L175,'G-3 Multipliers'!$L$3:$N$6,3,FALSE)))</f>
        <v/>
      </c>
      <c r="O175" s="498" t="str">
        <f t="shared" si="12"/>
        <v/>
      </c>
      <c r="P175" s="82"/>
      <c r="Q175" s="82"/>
      <c r="R175" s="507" t="str">
        <f t="shared" si="14"/>
        <v/>
      </c>
      <c r="S175" s="521" t="str">
        <f t="shared" si="15"/>
        <v/>
      </c>
      <c r="T175" s="522" t="str">
        <f>IFERROR(IF(S175="Check Data ⚠","Check Data ⚠",VLOOKUP(S175,'G-4 Temporal multipliers'!$A$4:$C$37,3,FALSE)),"")</f>
        <v/>
      </c>
      <c r="U175" s="523" t="str">
        <f>IF(F175="","",VLOOKUP(F175,'G-3 Multipliers'!$A$2:$E$129,2,FALSE))</f>
        <v/>
      </c>
      <c r="V175" s="520" t="str">
        <f t="shared" si="16"/>
        <v/>
      </c>
      <c r="W175" s="520" t="str">
        <f>IF(E175="","",IF(AND(V175="Standard difficulty applied",O175&gt;P175),U175,IF(AND(V175="Low Difficulty - only applicable if all habitat created before losses",P175&gt;=O175),"Low",VLOOKUP(F175,'G-3 Multipliers'!$A$2:$E$129,4,FALSE))))</f>
        <v/>
      </c>
      <c r="X175" s="524" t="str">
        <f>IFERROR(IF(E175="","",VLOOKUP(W175, 'G-3 Multipliers'!$P$2:$Q$6,2,FALSE)),"")</f>
        <v/>
      </c>
      <c r="Y175" s="529" t="str">
        <f t="shared" si="17"/>
        <v/>
      </c>
      <c r="Z175" s="239"/>
      <c r="AA175" s="240"/>
      <c r="AE175" s="54" t="str">
        <f t="shared" si="13"/>
        <v/>
      </c>
    </row>
    <row r="176" spans="1:31" x14ac:dyDescent="0.3">
      <c r="A176" s="47" t="str">
        <f>IFERROR(INDEX('G-8 Condition Look up'!$I$4:$I$130,MATCH(F176,'G-8 Condition Look up'!$A$4:$A$130,0)),"")</f>
        <v/>
      </c>
      <c r="C176" s="384" t="str">
        <f>IFERROR(INDEX('G-1 All Habitats'!$AG$3:$AG$15,MATCH(D176,'G-1 All Habitats'!$AF$3:$AF$15,0)),"")</f>
        <v/>
      </c>
      <c r="D176" s="146"/>
      <c r="E176" s="79"/>
      <c r="F176" s="246" t="str">
        <f>IFERROR(INDEX('G-1 All Habitats'!$B$3:$B$129,MATCH(E176,'G-1 All Habitats'!$A$3:$A$129,0)),"")</f>
        <v/>
      </c>
      <c r="G176" s="70"/>
      <c r="H176" s="498" t="str">
        <f>IF(F176="","",VLOOKUP(F176,'G-1 All Habitats'!$B$2:$M$129,10,FALSE))</f>
        <v/>
      </c>
      <c r="I176" s="499" t="str">
        <f>IFERROR(VLOOKUP(H176,'G-1 All Habitats'!$V$3:$W$7,2,FALSE),"")</f>
        <v/>
      </c>
      <c r="J176" s="71"/>
      <c r="K176" s="499" t="str">
        <f>IFERROR(INDEX('G-8 Condition Look up'!$A$3:$H$130,MATCH(F176,'G-8 Condition Look up'!$A$3:$A$130,0),MATCH(J176,'G-8 Condition Look up'!$A$3:$H$3,0)),"")</f>
        <v/>
      </c>
      <c r="L176" s="71"/>
      <c r="M176" s="507" t="str">
        <f>IF(L176="","",IF(VLOOKUP(L176,'G-3 Multipliers'!$L$3:$N$6,2,FALSE)=0,"Spatial Data Missing",VLOOKUP(L176,'G-3 Multipliers'!$L$3:$N$6,2,FALSE)))</f>
        <v/>
      </c>
      <c r="N176" s="505" t="str">
        <f>IF(L176="","",IF(VLOOKUP(L176,'G-3 Multipliers'!$L$3:$N$6,3,FALSE)=0,"Spatial Data Missing",VLOOKUP(L176,'G-3 Multipliers'!$L$3:$N$6,3,FALSE)))</f>
        <v/>
      </c>
      <c r="O176" s="498" t="str">
        <f t="shared" si="12"/>
        <v/>
      </c>
      <c r="P176" s="82"/>
      <c r="Q176" s="82"/>
      <c r="R176" s="507" t="str">
        <f t="shared" si="14"/>
        <v/>
      </c>
      <c r="S176" s="521" t="str">
        <f t="shared" si="15"/>
        <v/>
      </c>
      <c r="T176" s="522" t="str">
        <f>IFERROR(IF(S176="Check Data ⚠","Check Data ⚠",VLOOKUP(S176,'G-4 Temporal multipliers'!$A$4:$C$37,3,FALSE)),"")</f>
        <v/>
      </c>
      <c r="U176" s="523" t="str">
        <f>IF(F176="","",VLOOKUP(F176,'G-3 Multipliers'!$A$2:$E$129,2,FALSE))</f>
        <v/>
      </c>
      <c r="V176" s="520" t="str">
        <f t="shared" si="16"/>
        <v/>
      </c>
      <c r="W176" s="520" t="str">
        <f>IF(E176="","",IF(AND(V176="Standard difficulty applied",O176&gt;P176),U176,IF(AND(V176="Low Difficulty - only applicable if all habitat created before losses",P176&gt;=O176),"Low",VLOOKUP(F176,'G-3 Multipliers'!$A$2:$E$129,4,FALSE))))</f>
        <v/>
      </c>
      <c r="X176" s="524" t="str">
        <f>IFERROR(IF(E176="","",VLOOKUP(W176, 'G-3 Multipliers'!$P$2:$Q$6,2,FALSE)),"")</f>
        <v/>
      </c>
      <c r="Y176" s="529" t="str">
        <f t="shared" si="17"/>
        <v/>
      </c>
      <c r="Z176" s="239"/>
      <c r="AA176" s="240"/>
      <c r="AE176" s="54" t="str">
        <f t="shared" si="13"/>
        <v/>
      </c>
    </row>
    <row r="177" spans="1:31" x14ac:dyDescent="0.3">
      <c r="A177" s="47" t="str">
        <f>IFERROR(INDEX('G-8 Condition Look up'!$I$4:$I$130,MATCH(F177,'G-8 Condition Look up'!$A$4:$A$130,0)),"")</f>
        <v/>
      </c>
      <c r="C177" s="384" t="str">
        <f>IFERROR(INDEX('G-1 All Habitats'!$AG$3:$AG$15,MATCH(D177,'G-1 All Habitats'!$AF$3:$AF$15,0)),"")</f>
        <v/>
      </c>
      <c r="D177" s="146"/>
      <c r="E177" s="79"/>
      <c r="F177" s="246" t="str">
        <f>IFERROR(INDEX('G-1 All Habitats'!$B$3:$B$129,MATCH(E177,'G-1 All Habitats'!$A$3:$A$129,0)),"")</f>
        <v/>
      </c>
      <c r="G177" s="70"/>
      <c r="H177" s="498" t="str">
        <f>IF(F177="","",VLOOKUP(F177,'G-1 All Habitats'!$B$2:$M$129,10,FALSE))</f>
        <v/>
      </c>
      <c r="I177" s="499" t="str">
        <f>IFERROR(VLOOKUP(H177,'G-1 All Habitats'!$V$3:$W$7,2,FALSE),"")</f>
        <v/>
      </c>
      <c r="J177" s="71"/>
      <c r="K177" s="499" t="str">
        <f>IFERROR(INDEX('G-8 Condition Look up'!$A$3:$H$130,MATCH(F177,'G-8 Condition Look up'!$A$3:$A$130,0),MATCH(J177,'G-8 Condition Look up'!$A$3:$H$3,0)),"")</f>
        <v/>
      </c>
      <c r="L177" s="71"/>
      <c r="M177" s="507" t="str">
        <f>IF(L177="","",IF(VLOOKUP(L177,'G-3 Multipliers'!$L$3:$N$6,2,FALSE)=0,"Spatial Data Missing",VLOOKUP(L177,'G-3 Multipliers'!$L$3:$N$6,2,FALSE)))</f>
        <v/>
      </c>
      <c r="N177" s="505" t="str">
        <f>IF(L177="","",IF(VLOOKUP(L177,'G-3 Multipliers'!$L$3:$N$6,3,FALSE)=0,"Spatial Data Missing",VLOOKUP(L177,'G-3 Multipliers'!$L$3:$N$6,3,FALSE)))</f>
        <v/>
      </c>
      <c r="O177" s="498" t="str">
        <f t="shared" si="12"/>
        <v/>
      </c>
      <c r="P177" s="82"/>
      <c r="Q177" s="82"/>
      <c r="R177" s="507" t="str">
        <f t="shared" si="14"/>
        <v/>
      </c>
      <c r="S177" s="521" t="str">
        <f t="shared" si="15"/>
        <v/>
      </c>
      <c r="T177" s="522" t="str">
        <f>IFERROR(IF(S177="Check Data ⚠","Check Data ⚠",VLOOKUP(S177,'G-4 Temporal multipliers'!$A$4:$C$37,3,FALSE)),"")</f>
        <v/>
      </c>
      <c r="U177" s="523" t="str">
        <f>IF(F177="","",VLOOKUP(F177,'G-3 Multipliers'!$A$2:$E$129,2,FALSE))</f>
        <v/>
      </c>
      <c r="V177" s="520" t="str">
        <f t="shared" si="16"/>
        <v/>
      </c>
      <c r="W177" s="520" t="str">
        <f>IF(E177="","",IF(AND(V177="Standard difficulty applied",O177&gt;P177),U177,IF(AND(V177="Low Difficulty - only applicable if all habitat created before losses",P177&gt;=O177),"Low",VLOOKUP(F177,'G-3 Multipliers'!$A$2:$E$129,4,FALSE))))</f>
        <v/>
      </c>
      <c r="X177" s="524" t="str">
        <f>IFERROR(IF(E177="","",VLOOKUP(W177, 'G-3 Multipliers'!$P$2:$Q$6,2,FALSE)),"")</f>
        <v/>
      </c>
      <c r="Y177" s="529" t="str">
        <f t="shared" si="17"/>
        <v/>
      </c>
      <c r="Z177" s="239"/>
      <c r="AA177" s="240"/>
      <c r="AE177" s="54" t="str">
        <f t="shared" si="13"/>
        <v/>
      </c>
    </row>
    <row r="178" spans="1:31" x14ac:dyDescent="0.3">
      <c r="A178" s="47" t="str">
        <f>IFERROR(INDEX('G-8 Condition Look up'!$I$4:$I$130,MATCH(F178,'G-8 Condition Look up'!$A$4:$A$130,0)),"")</f>
        <v/>
      </c>
      <c r="C178" s="384" t="str">
        <f>IFERROR(INDEX('G-1 All Habitats'!$AG$3:$AG$15,MATCH(D178,'G-1 All Habitats'!$AF$3:$AF$15,0)),"")</f>
        <v/>
      </c>
      <c r="D178" s="146"/>
      <c r="E178" s="79"/>
      <c r="F178" s="246" t="str">
        <f>IFERROR(INDEX('G-1 All Habitats'!$B$3:$B$129,MATCH(E178,'G-1 All Habitats'!$A$3:$A$129,0)),"")</f>
        <v/>
      </c>
      <c r="G178" s="70"/>
      <c r="H178" s="498" t="str">
        <f>IF(F178="","",VLOOKUP(F178,'G-1 All Habitats'!$B$2:$M$129,10,FALSE))</f>
        <v/>
      </c>
      <c r="I178" s="499" t="str">
        <f>IFERROR(VLOOKUP(H178,'G-1 All Habitats'!$V$3:$W$7,2,FALSE),"")</f>
        <v/>
      </c>
      <c r="J178" s="71"/>
      <c r="K178" s="499" t="str">
        <f>IFERROR(INDEX('G-8 Condition Look up'!$A$3:$H$130,MATCH(F178,'G-8 Condition Look up'!$A$3:$A$130,0),MATCH(J178,'G-8 Condition Look up'!$A$3:$H$3,0)),"")</f>
        <v/>
      </c>
      <c r="L178" s="71"/>
      <c r="M178" s="507" t="str">
        <f>IF(L178="","",IF(VLOOKUP(L178,'G-3 Multipliers'!$L$3:$N$6,2,FALSE)=0,"Spatial Data Missing",VLOOKUP(L178,'G-3 Multipliers'!$L$3:$N$6,2,FALSE)))</f>
        <v/>
      </c>
      <c r="N178" s="505" t="str">
        <f>IF(L178="","",IF(VLOOKUP(L178,'G-3 Multipliers'!$L$3:$N$6,3,FALSE)=0,"Spatial Data Missing",VLOOKUP(L178,'G-3 Multipliers'!$L$3:$N$6,3,FALSE)))</f>
        <v/>
      </c>
      <c r="O178" s="498" t="str">
        <f t="shared" si="12"/>
        <v/>
      </c>
      <c r="P178" s="82"/>
      <c r="Q178" s="82"/>
      <c r="R178" s="507" t="str">
        <f t="shared" si="14"/>
        <v/>
      </c>
      <c r="S178" s="521" t="str">
        <f t="shared" si="15"/>
        <v/>
      </c>
      <c r="T178" s="522" t="str">
        <f>IFERROR(IF(S178="Check Data ⚠","Check Data ⚠",VLOOKUP(S178,'G-4 Temporal multipliers'!$A$4:$C$37,3,FALSE)),"")</f>
        <v/>
      </c>
      <c r="U178" s="523" t="str">
        <f>IF(F178="","",VLOOKUP(F178,'G-3 Multipliers'!$A$2:$E$129,2,FALSE))</f>
        <v/>
      </c>
      <c r="V178" s="520" t="str">
        <f t="shared" si="16"/>
        <v/>
      </c>
      <c r="W178" s="520" t="str">
        <f>IF(E178="","",IF(AND(V178="Standard difficulty applied",O178&gt;P178),U178,IF(AND(V178="Low Difficulty - only applicable if all habitat created before losses",P178&gt;=O178),"Low",VLOOKUP(F178,'G-3 Multipliers'!$A$2:$E$129,4,FALSE))))</f>
        <v/>
      </c>
      <c r="X178" s="524" t="str">
        <f>IFERROR(IF(E178="","",VLOOKUP(W178, 'G-3 Multipliers'!$P$2:$Q$6,2,FALSE)),"")</f>
        <v/>
      </c>
      <c r="Y178" s="529" t="str">
        <f t="shared" si="17"/>
        <v/>
      </c>
      <c r="Z178" s="239"/>
      <c r="AA178" s="240"/>
      <c r="AE178" s="54" t="str">
        <f t="shared" si="13"/>
        <v/>
      </c>
    </row>
    <row r="179" spans="1:31" x14ac:dyDescent="0.3">
      <c r="A179" s="47" t="str">
        <f>IFERROR(INDEX('G-8 Condition Look up'!$I$4:$I$130,MATCH(F179,'G-8 Condition Look up'!$A$4:$A$130,0)),"")</f>
        <v/>
      </c>
      <c r="C179" s="384" t="str">
        <f>IFERROR(INDEX('G-1 All Habitats'!$AG$3:$AG$15,MATCH(D179,'G-1 All Habitats'!$AF$3:$AF$15,0)),"")</f>
        <v/>
      </c>
      <c r="D179" s="146"/>
      <c r="E179" s="79"/>
      <c r="F179" s="246" t="str">
        <f>IFERROR(INDEX('G-1 All Habitats'!$B$3:$B$129,MATCH(E179,'G-1 All Habitats'!$A$3:$A$129,0)),"")</f>
        <v/>
      </c>
      <c r="G179" s="70"/>
      <c r="H179" s="498" t="str">
        <f>IF(F179="","",VLOOKUP(F179,'G-1 All Habitats'!$B$2:$M$129,10,FALSE))</f>
        <v/>
      </c>
      <c r="I179" s="499" t="str">
        <f>IFERROR(VLOOKUP(H179,'G-1 All Habitats'!$V$3:$W$7,2,FALSE),"")</f>
        <v/>
      </c>
      <c r="J179" s="71"/>
      <c r="K179" s="499" t="str">
        <f>IFERROR(INDEX('G-8 Condition Look up'!$A$3:$H$130,MATCH(F179,'G-8 Condition Look up'!$A$3:$A$130,0),MATCH(J179,'G-8 Condition Look up'!$A$3:$H$3,0)),"")</f>
        <v/>
      </c>
      <c r="L179" s="71"/>
      <c r="M179" s="507" t="str">
        <f>IF(L179="","",IF(VLOOKUP(L179,'G-3 Multipliers'!$L$3:$N$6,2,FALSE)=0,"Spatial Data Missing",VLOOKUP(L179,'G-3 Multipliers'!$L$3:$N$6,2,FALSE)))</f>
        <v/>
      </c>
      <c r="N179" s="505" t="str">
        <f>IF(L179="","",IF(VLOOKUP(L179,'G-3 Multipliers'!$L$3:$N$6,3,FALSE)=0,"Spatial Data Missing",VLOOKUP(L179,'G-3 Multipliers'!$L$3:$N$6,3,FALSE)))</f>
        <v/>
      </c>
      <c r="O179" s="498" t="str">
        <f t="shared" si="12"/>
        <v/>
      </c>
      <c r="P179" s="82"/>
      <c r="Q179" s="82"/>
      <c r="R179" s="507" t="str">
        <f t="shared" si="14"/>
        <v/>
      </c>
      <c r="S179" s="521" t="str">
        <f t="shared" si="15"/>
        <v/>
      </c>
      <c r="T179" s="522" t="str">
        <f>IFERROR(IF(S179="Check Data ⚠","Check Data ⚠",VLOOKUP(S179,'G-4 Temporal multipliers'!$A$4:$C$37,3,FALSE)),"")</f>
        <v/>
      </c>
      <c r="U179" s="523" t="str">
        <f>IF(F179="","",VLOOKUP(F179,'G-3 Multipliers'!$A$2:$E$129,2,FALSE))</f>
        <v/>
      </c>
      <c r="V179" s="520" t="str">
        <f t="shared" si="16"/>
        <v/>
      </c>
      <c r="W179" s="520" t="str">
        <f>IF(E179="","",IF(AND(V179="Standard difficulty applied",O179&gt;P179),U179,IF(AND(V179="Low Difficulty - only applicable if all habitat created before losses",P179&gt;=O179),"Low",VLOOKUP(F179,'G-3 Multipliers'!$A$2:$E$129,4,FALSE))))</f>
        <v/>
      </c>
      <c r="X179" s="524" t="str">
        <f>IFERROR(IF(E179="","",VLOOKUP(W179, 'G-3 Multipliers'!$P$2:$Q$6,2,FALSE)),"")</f>
        <v/>
      </c>
      <c r="Y179" s="529" t="str">
        <f t="shared" si="17"/>
        <v/>
      </c>
      <c r="Z179" s="239"/>
      <c r="AA179" s="240"/>
      <c r="AE179" s="54" t="str">
        <f t="shared" si="13"/>
        <v/>
      </c>
    </row>
    <row r="180" spans="1:31" x14ac:dyDescent="0.3">
      <c r="A180" s="47" t="str">
        <f>IFERROR(INDEX('G-8 Condition Look up'!$I$4:$I$130,MATCH(F180,'G-8 Condition Look up'!$A$4:$A$130,0)),"")</f>
        <v/>
      </c>
      <c r="C180" s="384" t="str">
        <f>IFERROR(INDEX('G-1 All Habitats'!$AG$3:$AG$15,MATCH(D180,'G-1 All Habitats'!$AF$3:$AF$15,0)),"")</f>
        <v/>
      </c>
      <c r="D180" s="146"/>
      <c r="E180" s="79"/>
      <c r="F180" s="246" t="str">
        <f>IFERROR(INDEX('G-1 All Habitats'!$B$3:$B$129,MATCH(E180,'G-1 All Habitats'!$A$3:$A$129,0)),"")</f>
        <v/>
      </c>
      <c r="G180" s="70"/>
      <c r="H180" s="498" t="str">
        <f>IF(F180="","",VLOOKUP(F180,'G-1 All Habitats'!$B$2:$M$129,10,FALSE))</f>
        <v/>
      </c>
      <c r="I180" s="499" t="str">
        <f>IFERROR(VLOOKUP(H180,'G-1 All Habitats'!$V$3:$W$7,2,FALSE),"")</f>
        <v/>
      </c>
      <c r="J180" s="71"/>
      <c r="K180" s="499" t="str">
        <f>IFERROR(INDEX('G-8 Condition Look up'!$A$3:$H$130,MATCH(F180,'G-8 Condition Look up'!$A$3:$A$130,0),MATCH(J180,'G-8 Condition Look up'!$A$3:$H$3,0)),"")</f>
        <v/>
      </c>
      <c r="L180" s="71"/>
      <c r="M180" s="507" t="str">
        <f>IF(L180="","",IF(VLOOKUP(L180,'G-3 Multipliers'!$L$3:$N$6,2,FALSE)=0,"Spatial Data Missing",VLOOKUP(L180,'G-3 Multipliers'!$L$3:$N$6,2,FALSE)))</f>
        <v/>
      </c>
      <c r="N180" s="505" t="str">
        <f>IF(L180="","",IF(VLOOKUP(L180,'G-3 Multipliers'!$L$3:$N$6,3,FALSE)=0,"Spatial Data Missing",VLOOKUP(L180,'G-3 Multipliers'!$L$3:$N$6,3,FALSE)))</f>
        <v/>
      </c>
      <c r="O180" s="498" t="str">
        <f t="shared" si="12"/>
        <v/>
      </c>
      <c r="P180" s="82"/>
      <c r="Q180" s="82"/>
      <c r="R180" s="507" t="str">
        <f t="shared" si="14"/>
        <v/>
      </c>
      <c r="S180" s="521" t="str">
        <f t="shared" si="15"/>
        <v/>
      </c>
      <c r="T180" s="522" t="str">
        <f>IFERROR(IF(S180="Check Data ⚠","Check Data ⚠",VLOOKUP(S180,'G-4 Temporal multipliers'!$A$4:$C$37,3,FALSE)),"")</f>
        <v/>
      </c>
      <c r="U180" s="523" t="str">
        <f>IF(F180="","",VLOOKUP(F180,'G-3 Multipliers'!$A$2:$E$129,2,FALSE))</f>
        <v/>
      </c>
      <c r="V180" s="520" t="str">
        <f t="shared" si="16"/>
        <v/>
      </c>
      <c r="W180" s="520" t="str">
        <f>IF(E180="","",IF(AND(V180="Standard difficulty applied",O180&gt;P180),U180,IF(AND(V180="Low Difficulty - only applicable if all habitat created before losses",P180&gt;=O180),"Low",VLOOKUP(F180,'G-3 Multipliers'!$A$2:$E$129,4,FALSE))))</f>
        <v/>
      </c>
      <c r="X180" s="524" t="str">
        <f>IFERROR(IF(E180="","",VLOOKUP(W180, 'G-3 Multipliers'!$P$2:$Q$6,2,FALSE)),"")</f>
        <v/>
      </c>
      <c r="Y180" s="529" t="str">
        <f t="shared" si="17"/>
        <v/>
      </c>
      <c r="Z180" s="239"/>
      <c r="AA180" s="240"/>
      <c r="AE180" s="54" t="str">
        <f t="shared" si="13"/>
        <v/>
      </c>
    </row>
    <row r="181" spans="1:31" x14ac:dyDescent="0.3">
      <c r="A181" s="47" t="str">
        <f>IFERROR(INDEX('G-8 Condition Look up'!$I$4:$I$130,MATCH(F181,'G-8 Condition Look up'!$A$4:$A$130,0)),"")</f>
        <v/>
      </c>
      <c r="C181" s="384" t="str">
        <f>IFERROR(INDEX('G-1 All Habitats'!$AG$3:$AG$15,MATCH(D181,'G-1 All Habitats'!$AF$3:$AF$15,0)),"")</f>
        <v/>
      </c>
      <c r="D181" s="146"/>
      <c r="E181" s="79"/>
      <c r="F181" s="246" t="str">
        <f>IFERROR(INDEX('G-1 All Habitats'!$B$3:$B$129,MATCH(E181,'G-1 All Habitats'!$A$3:$A$129,0)),"")</f>
        <v/>
      </c>
      <c r="G181" s="70"/>
      <c r="H181" s="498" t="str">
        <f>IF(F181="","",VLOOKUP(F181,'G-1 All Habitats'!$B$2:$M$129,10,FALSE))</f>
        <v/>
      </c>
      <c r="I181" s="499" t="str">
        <f>IFERROR(VLOOKUP(H181,'G-1 All Habitats'!$V$3:$W$7,2,FALSE),"")</f>
        <v/>
      </c>
      <c r="J181" s="71"/>
      <c r="K181" s="499" t="str">
        <f>IFERROR(INDEX('G-8 Condition Look up'!$A$3:$H$130,MATCH(F181,'G-8 Condition Look up'!$A$3:$A$130,0),MATCH(J181,'G-8 Condition Look up'!$A$3:$H$3,0)),"")</f>
        <v/>
      </c>
      <c r="L181" s="71"/>
      <c r="M181" s="507" t="str">
        <f>IF(L181="","",IF(VLOOKUP(L181,'G-3 Multipliers'!$L$3:$N$6,2,FALSE)=0,"Spatial Data Missing",VLOOKUP(L181,'G-3 Multipliers'!$L$3:$N$6,2,FALSE)))</f>
        <v/>
      </c>
      <c r="N181" s="505" t="str">
        <f>IF(L181="","",IF(VLOOKUP(L181,'G-3 Multipliers'!$L$3:$N$6,3,FALSE)=0,"Spatial Data Missing",VLOOKUP(L181,'G-3 Multipliers'!$L$3:$N$6,3,FALSE)))</f>
        <v/>
      </c>
      <c r="O181" s="498" t="str">
        <f t="shared" si="12"/>
        <v/>
      </c>
      <c r="P181" s="82"/>
      <c r="Q181" s="82"/>
      <c r="R181" s="507" t="str">
        <f t="shared" si="14"/>
        <v/>
      </c>
      <c r="S181" s="521" t="str">
        <f t="shared" si="15"/>
        <v/>
      </c>
      <c r="T181" s="522" t="str">
        <f>IFERROR(IF(S181="Check Data ⚠","Check Data ⚠",VLOOKUP(S181,'G-4 Temporal multipliers'!$A$4:$C$37,3,FALSE)),"")</f>
        <v/>
      </c>
      <c r="U181" s="523" t="str">
        <f>IF(F181="","",VLOOKUP(F181,'G-3 Multipliers'!$A$2:$E$129,2,FALSE))</f>
        <v/>
      </c>
      <c r="V181" s="520" t="str">
        <f t="shared" si="16"/>
        <v/>
      </c>
      <c r="W181" s="520" t="str">
        <f>IF(E181="","",IF(AND(V181="Standard difficulty applied",O181&gt;P181),U181,IF(AND(V181="Low Difficulty - only applicable if all habitat created before losses",P181&gt;=O181),"Low",VLOOKUP(F181,'G-3 Multipliers'!$A$2:$E$129,4,FALSE))))</f>
        <v/>
      </c>
      <c r="X181" s="524" t="str">
        <f>IFERROR(IF(E181="","",VLOOKUP(W181, 'G-3 Multipliers'!$P$2:$Q$6,2,FALSE)),"")</f>
        <v/>
      </c>
      <c r="Y181" s="529" t="str">
        <f t="shared" si="17"/>
        <v/>
      </c>
      <c r="Z181" s="239"/>
      <c r="AA181" s="240"/>
      <c r="AE181" s="54" t="str">
        <f t="shared" si="13"/>
        <v/>
      </c>
    </row>
    <row r="182" spans="1:31" x14ac:dyDescent="0.3">
      <c r="A182" s="47" t="str">
        <f>IFERROR(INDEX('G-8 Condition Look up'!$I$4:$I$130,MATCH(F182,'G-8 Condition Look up'!$A$4:$A$130,0)),"")</f>
        <v/>
      </c>
      <c r="C182" s="384" t="str">
        <f>IFERROR(INDEX('G-1 All Habitats'!$AG$3:$AG$15,MATCH(D182,'G-1 All Habitats'!$AF$3:$AF$15,0)),"")</f>
        <v/>
      </c>
      <c r="D182" s="146"/>
      <c r="E182" s="79"/>
      <c r="F182" s="246" t="str">
        <f>IFERROR(INDEX('G-1 All Habitats'!$B$3:$B$129,MATCH(E182,'G-1 All Habitats'!$A$3:$A$129,0)),"")</f>
        <v/>
      </c>
      <c r="G182" s="70"/>
      <c r="H182" s="498" t="str">
        <f>IF(F182="","",VLOOKUP(F182,'G-1 All Habitats'!$B$2:$M$129,10,FALSE))</f>
        <v/>
      </c>
      <c r="I182" s="499" t="str">
        <f>IFERROR(VLOOKUP(H182,'G-1 All Habitats'!$V$3:$W$7,2,FALSE),"")</f>
        <v/>
      </c>
      <c r="J182" s="71"/>
      <c r="K182" s="499" t="str">
        <f>IFERROR(INDEX('G-8 Condition Look up'!$A$3:$H$130,MATCH(F182,'G-8 Condition Look up'!$A$3:$A$130,0),MATCH(J182,'G-8 Condition Look up'!$A$3:$H$3,0)),"")</f>
        <v/>
      </c>
      <c r="L182" s="71"/>
      <c r="M182" s="507" t="str">
        <f>IF(L182="","",IF(VLOOKUP(L182,'G-3 Multipliers'!$L$3:$N$6,2,FALSE)=0,"Spatial Data Missing",VLOOKUP(L182,'G-3 Multipliers'!$L$3:$N$6,2,FALSE)))</f>
        <v/>
      </c>
      <c r="N182" s="505" t="str">
        <f>IF(L182="","",IF(VLOOKUP(L182,'G-3 Multipliers'!$L$3:$N$6,3,FALSE)=0,"Spatial Data Missing",VLOOKUP(L182,'G-3 Multipliers'!$L$3:$N$6,3,FALSE)))</f>
        <v/>
      </c>
      <c r="O182" s="498" t="str">
        <f t="shared" si="12"/>
        <v/>
      </c>
      <c r="P182" s="82"/>
      <c r="Q182" s="82"/>
      <c r="R182" s="507" t="str">
        <f t="shared" si="14"/>
        <v/>
      </c>
      <c r="S182" s="521" t="str">
        <f t="shared" si="15"/>
        <v/>
      </c>
      <c r="T182" s="522" t="str">
        <f>IFERROR(IF(S182="Check Data ⚠","Check Data ⚠",VLOOKUP(S182,'G-4 Temporal multipliers'!$A$4:$C$37,3,FALSE)),"")</f>
        <v/>
      </c>
      <c r="U182" s="523" t="str">
        <f>IF(F182="","",VLOOKUP(F182,'G-3 Multipliers'!$A$2:$E$129,2,FALSE))</f>
        <v/>
      </c>
      <c r="V182" s="520" t="str">
        <f t="shared" si="16"/>
        <v/>
      </c>
      <c r="W182" s="520" t="str">
        <f>IF(E182="","",IF(AND(V182="Standard difficulty applied",O182&gt;P182),U182,IF(AND(V182="Low Difficulty - only applicable if all habitat created before losses",P182&gt;=O182),"Low",VLOOKUP(F182,'G-3 Multipliers'!$A$2:$E$129,4,FALSE))))</f>
        <v/>
      </c>
      <c r="X182" s="524" t="str">
        <f>IFERROR(IF(E182="","",VLOOKUP(W182, 'G-3 Multipliers'!$P$2:$Q$6,2,FALSE)),"")</f>
        <v/>
      </c>
      <c r="Y182" s="529" t="str">
        <f t="shared" si="17"/>
        <v/>
      </c>
      <c r="Z182" s="239"/>
      <c r="AA182" s="240"/>
      <c r="AE182" s="54" t="str">
        <f t="shared" si="13"/>
        <v/>
      </c>
    </row>
    <row r="183" spans="1:31" x14ac:dyDescent="0.3">
      <c r="A183" s="47" t="str">
        <f>IFERROR(INDEX('G-8 Condition Look up'!$I$4:$I$130,MATCH(F183,'G-8 Condition Look up'!$A$4:$A$130,0)),"")</f>
        <v/>
      </c>
      <c r="C183" s="384" t="str">
        <f>IFERROR(INDEX('G-1 All Habitats'!$AG$3:$AG$15,MATCH(D183,'G-1 All Habitats'!$AF$3:$AF$15,0)),"")</f>
        <v/>
      </c>
      <c r="D183" s="146"/>
      <c r="E183" s="79"/>
      <c r="F183" s="246" t="str">
        <f>IFERROR(INDEX('G-1 All Habitats'!$B$3:$B$129,MATCH(E183,'G-1 All Habitats'!$A$3:$A$129,0)),"")</f>
        <v/>
      </c>
      <c r="G183" s="70"/>
      <c r="H183" s="498" t="str">
        <f>IF(F183="","",VLOOKUP(F183,'G-1 All Habitats'!$B$2:$M$129,10,FALSE))</f>
        <v/>
      </c>
      <c r="I183" s="499" t="str">
        <f>IFERROR(VLOOKUP(H183,'G-1 All Habitats'!$V$3:$W$7,2,FALSE),"")</f>
        <v/>
      </c>
      <c r="J183" s="71"/>
      <c r="K183" s="499" t="str">
        <f>IFERROR(INDEX('G-8 Condition Look up'!$A$3:$H$130,MATCH(F183,'G-8 Condition Look up'!$A$3:$A$130,0),MATCH(J183,'G-8 Condition Look up'!$A$3:$H$3,0)),"")</f>
        <v/>
      </c>
      <c r="L183" s="71"/>
      <c r="M183" s="507" t="str">
        <f>IF(L183="","",IF(VLOOKUP(L183,'G-3 Multipliers'!$L$3:$N$6,2,FALSE)=0,"Spatial Data Missing",VLOOKUP(L183,'G-3 Multipliers'!$L$3:$N$6,2,FALSE)))</f>
        <v/>
      </c>
      <c r="N183" s="505" t="str">
        <f>IF(L183="","",IF(VLOOKUP(L183,'G-3 Multipliers'!$L$3:$N$6,3,FALSE)=0,"Spatial Data Missing",VLOOKUP(L183,'G-3 Multipliers'!$L$3:$N$6,3,FALSE)))</f>
        <v/>
      </c>
      <c r="O183" s="498" t="str">
        <f t="shared" si="12"/>
        <v/>
      </c>
      <c r="P183" s="82"/>
      <c r="Q183" s="82"/>
      <c r="R183" s="507" t="str">
        <f t="shared" si="14"/>
        <v/>
      </c>
      <c r="S183" s="521" t="str">
        <f t="shared" si="15"/>
        <v/>
      </c>
      <c r="T183" s="522" t="str">
        <f>IFERROR(IF(S183="Check Data ⚠","Check Data ⚠",VLOOKUP(S183,'G-4 Temporal multipliers'!$A$4:$C$37,3,FALSE)),"")</f>
        <v/>
      </c>
      <c r="U183" s="523" t="str">
        <f>IF(F183="","",VLOOKUP(F183,'G-3 Multipliers'!$A$2:$E$129,2,FALSE))</f>
        <v/>
      </c>
      <c r="V183" s="520" t="str">
        <f t="shared" si="16"/>
        <v/>
      </c>
      <c r="W183" s="520" t="str">
        <f>IF(E183="","",IF(AND(V183="Standard difficulty applied",O183&gt;P183),U183,IF(AND(V183="Low Difficulty - only applicable if all habitat created before losses",P183&gt;=O183),"Low",VLOOKUP(F183,'G-3 Multipliers'!$A$2:$E$129,4,FALSE))))</f>
        <v/>
      </c>
      <c r="X183" s="524" t="str">
        <f>IFERROR(IF(E183="","",VLOOKUP(W183, 'G-3 Multipliers'!$P$2:$Q$6,2,FALSE)),"")</f>
        <v/>
      </c>
      <c r="Y183" s="529" t="str">
        <f t="shared" si="17"/>
        <v/>
      </c>
      <c r="Z183" s="239"/>
      <c r="AA183" s="240"/>
      <c r="AE183" s="54" t="str">
        <f t="shared" si="13"/>
        <v/>
      </c>
    </row>
    <row r="184" spans="1:31" x14ac:dyDescent="0.3">
      <c r="A184" s="47" t="str">
        <f>IFERROR(INDEX('G-8 Condition Look up'!$I$4:$I$130,MATCH(F184,'G-8 Condition Look up'!$A$4:$A$130,0)),"")</f>
        <v/>
      </c>
      <c r="C184" s="384" t="str">
        <f>IFERROR(INDEX('G-1 All Habitats'!$AG$3:$AG$15,MATCH(D184,'G-1 All Habitats'!$AF$3:$AF$15,0)),"")</f>
        <v/>
      </c>
      <c r="D184" s="146"/>
      <c r="E184" s="79"/>
      <c r="F184" s="246" t="str">
        <f>IFERROR(INDEX('G-1 All Habitats'!$B$3:$B$129,MATCH(E184,'G-1 All Habitats'!$A$3:$A$129,0)),"")</f>
        <v/>
      </c>
      <c r="G184" s="70"/>
      <c r="H184" s="498" t="str">
        <f>IF(F184="","",VLOOKUP(F184,'G-1 All Habitats'!$B$2:$M$129,10,FALSE))</f>
        <v/>
      </c>
      <c r="I184" s="499" t="str">
        <f>IFERROR(VLOOKUP(H184,'G-1 All Habitats'!$V$3:$W$7,2,FALSE),"")</f>
        <v/>
      </c>
      <c r="J184" s="71"/>
      <c r="K184" s="499" t="str">
        <f>IFERROR(INDEX('G-8 Condition Look up'!$A$3:$H$130,MATCH(F184,'G-8 Condition Look up'!$A$3:$A$130,0),MATCH(J184,'G-8 Condition Look up'!$A$3:$H$3,0)),"")</f>
        <v/>
      </c>
      <c r="L184" s="71"/>
      <c r="M184" s="507" t="str">
        <f>IF(L184="","",IF(VLOOKUP(L184,'G-3 Multipliers'!$L$3:$N$6,2,FALSE)=0,"Spatial Data Missing",VLOOKUP(L184,'G-3 Multipliers'!$L$3:$N$6,2,FALSE)))</f>
        <v/>
      </c>
      <c r="N184" s="505" t="str">
        <f>IF(L184="","",IF(VLOOKUP(L184,'G-3 Multipliers'!$L$3:$N$6,3,FALSE)=0,"Spatial Data Missing",VLOOKUP(L184,'G-3 Multipliers'!$L$3:$N$6,3,FALSE)))</f>
        <v/>
      </c>
      <c r="O184" s="498" t="str">
        <f t="shared" si="12"/>
        <v/>
      </c>
      <c r="P184" s="82"/>
      <c r="Q184" s="82"/>
      <c r="R184" s="507" t="str">
        <f t="shared" si="14"/>
        <v/>
      </c>
      <c r="S184" s="521" t="str">
        <f t="shared" si="15"/>
        <v/>
      </c>
      <c r="T184" s="522" t="str">
        <f>IFERROR(IF(S184="Check Data ⚠","Check Data ⚠",VLOOKUP(S184,'G-4 Temporal multipliers'!$A$4:$C$37,3,FALSE)),"")</f>
        <v/>
      </c>
      <c r="U184" s="523" t="str">
        <f>IF(F184="","",VLOOKUP(F184,'G-3 Multipliers'!$A$2:$E$129,2,FALSE))</f>
        <v/>
      </c>
      <c r="V184" s="520" t="str">
        <f t="shared" si="16"/>
        <v/>
      </c>
      <c r="W184" s="520" t="str">
        <f>IF(E184="","",IF(AND(V184="Standard difficulty applied",O184&gt;P184),U184,IF(AND(V184="Low Difficulty - only applicable if all habitat created before losses",P184&gt;=O184),"Low",VLOOKUP(F184,'G-3 Multipliers'!$A$2:$E$129,4,FALSE))))</f>
        <v/>
      </c>
      <c r="X184" s="524" t="str">
        <f>IFERROR(IF(E184="","",VLOOKUP(W184, 'G-3 Multipliers'!$P$2:$Q$6,2,FALSE)),"")</f>
        <v/>
      </c>
      <c r="Y184" s="529" t="str">
        <f t="shared" si="17"/>
        <v/>
      </c>
      <c r="Z184" s="239"/>
      <c r="AA184" s="240"/>
      <c r="AE184" s="54" t="str">
        <f t="shared" si="13"/>
        <v/>
      </c>
    </row>
    <row r="185" spans="1:31" x14ac:dyDescent="0.3">
      <c r="A185" s="47" t="str">
        <f>IFERROR(INDEX('G-8 Condition Look up'!$I$4:$I$130,MATCH(F185,'G-8 Condition Look up'!$A$4:$A$130,0)),"")</f>
        <v/>
      </c>
      <c r="C185" s="384" t="str">
        <f>IFERROR(INDEX('G-1 All Habitats'!$AG$3:$AG$15,MATCH(D185,'G-1 All Habitats'!$AF$3:$AF$15,0)),"")</f>
        <v/>
      </c>
      <c r="D185" s="146"/>
      <c r="E185" s="79"/>
      <c r="F185" s="246" t="str">
        <f>IFERROR(INDEX('G-1 All Habitats'!$B$3:$B$129,MATCH(E185,'G-1 All Habitats'!$A$3:$A$129,0)),"")</f>
        <v/>
      </c>
      <c r="G185" s="70"/>
      <c r="H185" s="498" t="str">
        <f>IF(F185="","",VLOOKUP(F185,'G-1 All Habitats'!$B$2:$M$129,10,FALSE))</f>
        <v/>
      </c>
      <c r="I185" s="499" t="str">
        <f>IFERROR(VLOOKUP(H185,'G-1 All Habitats'!$V$3:$W$7,2,FALSE),"")</f>
        <v/>
      </c>
      <c r="J185" s="71"/>
      <c r="K185" s="499" t="str">
        <f>IFERROR(INDEX('G-8 Condition Look up'!$A$3:$H$130,MATCH(F185,'G-8 Condition Look up'!$A$3:$A$130,0),MATCH(J185,'G-8 Condition Look up'!$A$3:$H$3,0)),"")</f>
        <v/>
      </c>
      <c r="L185" s="71"/>
      <c r="M185" s="507" t="str">
        <f>IF(L185="","",IF(VLOOKUP(L185,'G-3 Multipliers'!$L$3:$N$6,2,FALSE)=0,"Spatial Data Missing",VLOOKUP(L185,'G-3 Multipliers'!$L$3:$N$6,2,FALSE)))</f>
        <v/>
      </c>
      <c r="N185" s="505" t="str">
        <f>IF(L185="","",IF(VLOOKUP(L185,'G-3 Multipliers'!$L$3:$N$6,3,FALSE)=0,"Spatial Data Missing",VLOOKUP(L185,'G-3 Multipliers'!$L$3:$N$6,3,FALSE)))</f>
        <v/>
      </c>
      <c r="O185" s="498" t="str">
        <f t="shared" si="12"/>
        <v/>
      </c>
      <c r="P185" s="82"/>
      <c r="Q185" s="82"/>
      <c r="R185" s="507" t="str">
        <f t="shared" si="14"/>
        <v/>
      </c>
      <c r="S185" s="521" t="str">
        <f t="shared" si="15"/>
        <v/>
      </c>
      <c r="T185" s="522" t="str">
        <f>IFERROR(IF(S185="Check Data ⚠","Check Data ⚠",VLOOKUP(S185,'G-4 Temporal multipliers'!$A$4:$C$37,3,FALSE)),"")</f>
        <v/>
      </c>
      <c r="U185" s="523" t="str">
        <f>IF(F185="","",VLOOKUP(F185,'G-3 Multipliers'!$A$2:$E$129,2,FALSE))</f>
        <v/>
      </c>
      <c r="V185" s="520" t="str">
        <f t="shared" si="16"/>
        <v/>
      </c>
      <c r="W185" s="520" t="str">
        <f>IF(E185="","",IF(AND(V185="Standard difficulty applied",O185&gt;P185),U185,IF(AND(V185="Low Difficulty - only applicable if all habitat created before losses",P185&gt;=O185),"Low",VLOOKUP(F185,'G-3 Multipliers'!$A$2:$E$129,4,FALSE))))</f>
        <v/>
      </c>
      <c r="X185" s="524" t="str">
        <f>IFERROR(IF(E185="","",VLOOKUP(W185, 'G-3 Multipliers'!$P$2:$Q$6,2,FALSE)),"")</f>
        <v/>
      </c>
      <c r="Y185" s="529" t="str">
        <f t="shared" si="17"/>
        <v/>
      </c>
      <c r="Z185" s="239"/>
      <c r="AA185" s="240"/>
      <c r="AE185" s="54" t="str">
        <f t="shared" si="13"/>
        <v/>
      </c>
    </row>
    <row r="186" spans="1:31" x14ac:dyDescent="0.3">
      <c r="A186" s="47" t="str">
        <f>IFERROR(INDEX('G-8 Condition Look up'!$I$4:$I$130,MATCH(F186,'G-8 Condition Look up'!$A$4:$A$130,0)),"")</f>
        <v/>
      </c>
      <c r="C186" s="384" t="str">
        <f>IFERROR(INDEX('G-1 All Habitats'!$AG$3:$AG$15,MATCH(D186,'G-1 All Habitats'!$AF$3:$AF$15,0)),"")</f>
        <v/>
      </c>
      <c r="D186" s="146"/>
      <c r="E186" s="79"/>
      <c r="F186" s="246" t="str">
        <f>IFERROR(INDEX('G-1 All Habitats'!$B$3:$B$129,MATCH(E186,'G-1 All Habitats'!$A$3:$A$129,0)),"")</f>
        <v/>
      </c>
      <c r="G186" s="70"/>
      <c r="H186" s="498" t="str">
        <f>IF(F186="","",VLOOKUP(F186,'G-1 All Habitats'!$B$2:$M$129,10,FALSE))</f>
        <v/>
      </c>
      <c r="I186" s="499" t="str">
        <f>IFERROR(VLOOKUP(H186,'G-1 All Habitats'!$V$3:$W$7,2,FALSE),"")</f>
        <v/>
      </c>
      <c r="J186" s="71"/>
      <c r="K186" s="499" t="str">
        <f>IFERROR(INDEX('G-8 Condition Look up'!$A$3:$H$130,MATCH(F186,'G-8 Condition Look up'!$A$3:$A$130,0),MATCH(J186,'G-8 Condition Look up'!$A$3:$H$3,0)),"")</f>
        <v/>
      </c>
      <c r="L186" s="71"/>
      <c r="M186" s="507" t="str">
        <f>IF(L186="","",IF(VLOOKUP(L186,'G-3 Multipliers'!$L$3:$N$6,2,FALSE)=0,"Spatial Data Missing",VLOOKUP(L186,'G-3 Multipliers'!$L$3:$N$6,2,FALSE)))</f>
        <v/>
      </c>
      <c r="N186" s="505" t="str">
        <f>IF(L186="","",IF(VLOOKUP(L186,'G-3 Multipliers'!$L$3:$N$6,3,FALSE)=0,"Spatial Data Missing",VLOOKUP(L186,'G-3 Multipliers'!$L$3:$N$6,3,FALSE)))</f>
        <v/>
      </c>
      <c r="O186" s="498" t="str">
        <f t="shared" si="12"/>
        <v/>
      </c>
      <c r="P186" s="82"/>
      <c r="Q186" s="82"/>
      <c r="R186" s="507" t="str">
        <f t="shared" si="14"/>
        <v/>
      </c>
      <c r="S186" s="521" t="str">
        <f t="shared" si="15"/>
        <v/>
      </c>
      <c r="T186" s="522" t="str">
        <f>IFERROR(IF(S186="Check Data ⚠","Check Data ⚠",VLOOKUP(S186,'G-4 Temporal multipliers'!$A$4:$C$37,3,FALSE)),"")</f>
        <v/>
      </c>
      <c r="U186" s="523" t="str">
        <f>IF(F186="","",VLOOKUP(F186,'G-3 Multipliers'!$A$2:$E$129,2,FALSE))</f>
        <v/>
      </c>
      <c r="V186" s="520" t="str">
        <f t="shared" si="16"/>
        <v/>
      </c>
      <c r="W186" s="520" t="str">
        <f>IF(E186="","",IF(AND(V186="Standard difficulty applied",O186&gt;P186),U186,IF(AND(V186="Low Difficulty - only applicable if all habitat created before losses",P186&gt;=O186),"Low",VLOOKUP(F186,'G-3 Multipliers'!$A$2:$E$129,4,FALSE))))</f>
        <v/>
      </c>
      <c r="X186" s="524" t="str">
        <f>IFERROR(IF(E186="","",VLOOKUP(W186, 'G-3 Multipliers'!$P$2:$Q$6,2,FALSE)),"")</f>
        <v/>
      </c>
      <c r="Y186" s="529" t="str">
        <f t="shared" si="17"/>
        <v/>
      </c>
      <c r="Z186" s="239"/>
      <c r="AA186" s="240"/>
      <c r="AE186" s="54" t="str">
        <f t="shared" si="13"/>
        <v/>
      </c>
    </row>
    <row r="187" spans="1:31" x14ac:dyDescent="0.3">
      <c r="A187" s="47" t="str">
        <f>IFERROR(INDEX('G-8 Condition Look up'!$I$4:$I$130,MATCH(F187,'G-8 Condition Look up'!$A$4:$A$130,0)),"")</f>
        <v/>
      </c>
      <c r="C187" s="384" t="str">
        <f>IFERROR(INDEX('G-1 All Habitats'!$AG$3:$AG$15,MATCH(D187,'G-1 All Habitats'!$AF$3:$AF$15,0)),"")</f>
        <v/>
      </c>
      <c r="D187" s="146"/>
      <c r="E187" s="79"/>
      <c r="F187" s="246" t="str">
        <f>IFERROR(INDEX('G-1 All Habitats'!$B$3:$B$129,MATCH(E187,'G-1 All Habitats'!$A$3:$A$129,0)),"")</f>
        <v/>
      </c>
      <c r="G187" s="70"/>
      <c r="H187" s="498" t="str">
        <f>IF(F187="","",VLOOKUP(F187,'G-1 All Habitats'!$B$2:$M$129,10,FALSE))</f>
        <v/>
      </c>
      <c r="I187" s="499" t="str">
        <f>IFERROR(VLOOKUP(H187,'G-1 All Habitats'!$V$3:$W$7,2,FALSE),"")</f>
        <v/>
      </c>
      <c r="J187" s="71"/>
      <c r="K187" s="499" t="str">
        <f>IFERROR(INDEX('G-8 Condition Look up'!$A$3:$H$130,MATCH(F187,'G-8 Condition Look up'!$A$3:$A$130,0),MATCH(J187,'G-8 Condition Look up'!$A$3:$H$3,0)),"")</f>
        <v/>
      </c>
      <c r="L187" s="71"/>
      <c r="M187" s="507" t="str">
        <f>IF(L187="","",IF(VLOOKUP(L187,'G-3 Multipliers'!$L$3:$N$6,2,FALSE)=0,"Spatial Data Missing",VLOOKUP(L187,'G-3 Multipliers'!$L$3:$N$6,2,FALSE)))</f>
        <v/>
      </c>
      <c r="N187" s="505" t="str">
        <f>IF(L187="","",IF(VLOOKUP(L187,'G-3 Multipliers'!$L$3:$N$6,3,FALSE)=0,"Spatial Data Missing",VLOOKUP(L187,'G-3 Multipliers'!$L$3:$N$6,3,FALSE)))</f>
        <v/>
      </c>
      <c r="O187" s="498" t="str">
        <f t="shared" si="12"/>
        <v/>
      </c>
      <c r="P187" s="82"/>
      <c r="Q187" s="82"/>
      <c r="R187" s="507" t="str">
        <f t="shared" si="14"/>
        <v/>
      </c>
      <c r="S187" s="521" t="str">
        <f t="shared" si="15"/>
        <v/>
      </c>
      <c r="T187" s="522" t="str">
        <f>IFERROR(IF(S187="Check Data ⚠","Check Data ⚠",VLOOKUP(S187,'G-4 Temporal multipliers'!$A$4:$C$37,3,FALSE)),"")</f>
        <v/>
      </c>
      <c r="U187" s="523" t="str">
        <f>IF(F187="","",VLOOKUP(F187,'G-3 Multipliers'!$A$2:$E$129,2,FALSE))</f>
        <v/>
      </c>
      <c r="V187" s="520" t="str">
        <f t="shared" si="16"/>
        <v/>
      </c>
      <c r="W187" s="520" t="str">
        <f>IF(E187="","",IF(AND(V187="Standard difficulty applied",O187&gt;P187),U187,IF(AND(V187="Low Difficulty - only applicable if all habitat created before losses",P187&gt;=O187),"Low",VLOOKUP(F187,'G-3 Multipliers'!$A$2:$E$129,4,FALSE))))</f>
        <v/>
      </c>
      <c r="X187" s="524" t="str">
        <f>IFERROR(IF(E187="","",VLOOKUP(W187, 'G-3 Multipliers'!$P$2:$Q$6,2,FALSE)),"")</f>
        <v/>
      </c>
      <c r="Y187" s="529" t="str">
        <f t="shared" si="17"/>
        <v/>
      </c>
      <c r="Z187" s="239"/>
      <c r="AA187" s="240"/>
      <c r="AE187" s="54" t="str">
        <f t="shared" si="13"/>
        <v/>
      </c>
    </row>
    <row r="188" spans="1:31" x14ac:dyDescent="0.3">
      <c r="A188" s="47" t="str">
        <f>IFERROR(INDEX('G-8 Condition Look up'!$I$4:$I$130,MATCH(F188,'G-8 Condition Look up'!$A$4:$A$130,0)),"")</f>
        <v/>
      </c>
      <c r="C188" s="384" t="str">
        <f>IFERROR(INDEX('G-1 All Habitats'!$AG$3:$AG$15,MATCH(D188,'G-1 All Habitats'!$AF$3:$AF$15,0)),"")</f>
        <v/>
      </c>
      <c r="D188" s="146"/>
      <c r="E188" s="79"/>
      <c r="F188" s="246" t="str">
        <f>IFERROR(INDEX('G-1 All Habitats'!$B$3:$B$129,MATCH(E188,'G-1 All Habitats'!$A$3:$A$129,0)),"")</f>
        <v/>
      </c>
      <c r="G188" s="70"/>
      <c r="H188" s="498" t="str">
        <f>IF(F188="","",VLOOKUP(F188,'G-1 All Habitats'!$B$2:$M$129,10,FALSE))</f>
        <v/>
      </c>
      <c r="I188" s="499" t="str">
        <f>IFERROR(VLOOKUP(H188,'G-1 All Habitats'!$V$3:$W$7,2,FALSE),"")</f>
        <v/>
      </c>
      <c r="J188" s="71"/>
      <c r="K188" s="499" t="str">
        <f>IFERROR(INDEX('G-8 Condition Look up'!$A$3:$H$130,MATCH(F188,'G-8 Condition Look up'!$A$3:$A$130,0),MATCH(J188,'G-8 Condition Look up'!$A$3:$H$3,0)),"")</f>
        <v/>
      </c>
      <c r="L188" s="71"/>
      <c r="M188" s="507" t="str">
        <f>IF(L188="","",IF(VLOOKUP(L188,'G-3 Multipliers'!$L$3:$N$6,2,FALSE)=0,"Spatial Data Missing",VLOOKUP(L188,'G-3 Multipliers'!$L$3:$N$6,2,FALSE)))</f>
        <v/>
      </c>
      <c r="N188" s="505" t="str">
        <f>IF(L188="","",IF(VLOOKUP(L188,'G-3 Multipliers'!$L$3:$N$6,3,FALSE)=0,"Spatial Data Missing",VLOOKUP(L188,'G-3 Multipliers'!$L$3:$N$6,3,FALSE)))</f>
        <v/>
      </c>
      <c r="O188" s="498" t="str">
        <f t="shared" si="12"/>
        <v/>
      </c>
      <c r="P188" s="82"/>
      <c r="Q188" s="82"/>
      <c r="R188" s="507" t="str">
        <f t="shared" si="14"/>
        <v/>
      </c>
      <c r="S188" s="521" t="str">
        <f t="shared" si="15"/>
        <v/>
      </c>
      <c r="T188" s="522" t="str">
        <f>IFERROR(IF(S188="Check Data ⚠","Check Data ⚠",VLOOKUP(S188,'G-4 Temporal multipliers'!$A$4:$C$37,3,FALSE)),"")</f>
        <v/>
      </c>
      <c r="U188" s="523" t="str">
        <f>IF(F188="","",VLOOKUP(F188,'G-3 Multipliers'!$A$2:$E$129,2,FALSE))</f>
        <v/>
      </c>
      <c r="V188" s="520" t="str">
        <f t="shared" si="16"/>
        <v/>
      </c>
      <c r="W188" s="520" t="str">
        <f>IF(E188="","",IF(AND(V188="Standard difficulty applied",O188&gt;P188),U188,IF(AND(V188="Low Difficulty - only applicable if all habitat created before losses",P188&gt;=O188),"Low",VLOOKUP(F188,'G-3 Multipliers'!$A$2:$E$129,4,FALSE))))</f>
        <v/>
      </c>
      <c r="X188" s="524" t="str">
        <f>IFERROR(IF(E188="","",VLOOKUP(W188, 'G-3 Multipliers'!$P$2:$Q$6,2,FALSE)),"")</f>
        <v/>
      </c>
      <c r="Y188" s="529" t="str">
        <f t="shared" si="17"/>
        <v/>
      </c>
      <c r="Z188" s="239"/>
      <c r="AA188" s="240"/>
      <c r="AE188" s="54" t="str">
        <f t="shared" si="13"/>
        <v/>
      </c>
    </row>
    <row r="189" spans="1:31" x14ac:dyDescent="0.3">
      <c r="A189" s="47" t="str">
        <f>IFERROR(INDEX('G-8 Condition Look up'!$I$4:$I$130,MATCH(F189,'G-8 Condition Look up'!$A$4:$A$130,0)),"")</f>
        <v/>
      </c>
      <c r="C189" s="384" t="str">
        <f>IFERROR(INDEX('G-1 All Habitats'!$AG$3:$AG$15,MATCH(D189,'G-1 All Habitats'!$AF$3:$AF$15,0)),"")</f>
        <v/>
      </c>
      <c r="D189" s="146"/>
      <c r="E189" s="79"/>
      <c r="F189" s="246" t="str">
        <f>IFERROR(INDEX('G-1 All Habitats'!$B$3:$B$129,MATCH(E189,'G-1 All Habitats'!$A$3:$A$129,0)),"")</f>
        <v/>
      </c>
      <c r="G189" s="70"/>
      <c r="H189" s="498" t="str">
        <f>IF(F189="","",VLOOKUP(F189,'G-1 All Habitats'!$B$2:$M$129,10,FALSE))</f>
        <v/>
      </c>
      <c r="I189" s="499" t="str">
        <f>IFERROR(VLOOKUP(H189,'G-1 All Habitats'!$V$3:$W$7,2,FALSE),"")</f>
        <v/>
      </c>
      <c r="J189" s="71"/>
      <c r="K189" s="499" t="str">
        <f>IFERROR(INDEX('G-8 Condition Look up'!$A$3:$H$130,MATCH(F189,'G-8 Condition Look up'!$A$3:$A$130,0),MATCH(J189,'G-8 Condition Look up'!$A$3:$H$3,0)),"")</f>
        <v/>
      </c>
      <c r="L189" s="71"/>
      <c r="M189" s="507" t="str">
        <f>IF(L189="","",IF(VLOOKUP(L189,'G-3 Multipliers'!$L$3:$N$6,2,FALSE)=0,"Spatial Data Missing",VLOOKUP(L189,'G-3 Multipliers'!$L$3:$N$6,2,FALSE)))</f>
        <v/>
      </c>
      <c r="N189" s="505" t="str">
        <f>IF(L189="","",IF(VLOOKUP(L189,'G-3 Multipliers'!$L$3:$N$6,3,FALSE)=0,"Spatial Data Missing",VLOOKUP(L189,'G-3 Multipliers'!$L$3:$N$6,3,FALSE)))</f>
        <v/>
      </c>
      <c r="O189" s="498" t="str">
        <f t="shared" si="12"/>
        <v/>
      </c>
      <c r="P189" s="82"/>
      <c r="Q189" s="82"/>
      <c r="R189" s="507" t="str">
        <f t="shared" si="14"/>
        <v/>
      </c>
      <c r="S189" s="521" t="str">
        <f t="shared" si="15"/>
        <v/>
      </c>
      <c r="T189" s="522" t="str">
        <f>IFERROR(IF(S189="Check Data ⚠","Check Data ⚠",VLOOKUP(S189,'G-4 Temporal multipliers'!$A$4:$C$37,3,FALSE)),"")</f>
        <v/>
      </c>
      <c r="U189" s="523" t="str">
        <f>IF(F189="","",VLOOKUP(F189,'G-3 Multipliers'!$A$2:$E$129,2,FALSE))</f>
        <v/>
      </c>
      <c r="V189" s="520" t="str">
        <f t="shared" si="16"/>
        <v/>
      </c>
      <c r="W189" s="520" t="str">
        <f>IF(E189="","",IF(AND(V189="Standard difficulty applied",O189&gt;P189),U189,IF(AND(V189="Low Difficulty - only applicable if all habitat created before losses",P189&gt;=O189),"Low",VLOOKUP(F189,'G-3 Multipliers'!$A$2:$E$129,4,FALSE))))</f>
        <v/>
      </c>
      <c r="X189" s="524" t="str">
        <f>IFERROR(IF(E189="","",VLOOKUP(W189, 'G-3 Multipliers'!$P$2:$Q$6,2,FALSE)),"")</f>
        <v/>
      </c>
      <c r="Y189" s="529" t="str">
        <f t="shared" si="17"/>
        <v/>
      </c>
      <c r="Z189" s="239"/>
      <c r="AA189" s="240"/>
      <c r="AE189" s="54" t="str">
        <f t="shared" si="13"/>
        <v/>
      </c>
    </row>
    <row r="190" spans="1:31" x14ac:dyDescent="0.3">
      <c r="A190" s="47" t="str">
        <f>IFERROR(INDEX('G-8 Condition Look up'!$I$4:$I$130,MATCH(F190,'G-8 Condition Look up'!$A$4:$A$130,0)),"")</f>
        <v/>
      </c>
      <c r="C190" s="384" t="str">
        <f>IFERROR(INDEX('G-1 All Habitats'!$AG$3:$AG$15,MATCH(D190,'G-1 All Habitats'!$AF$3:$AF$15,0)),"")</f>
        <v/>
      </c>
      <c r="D190" s="146"/>
      <c r="E190" s="79"/>
      <c r="F190" s="246" t="str">
        <f>IFERROR(INDEX('G-1 All Habitats'!$B$3:$B$129,MATCH(E190,'G-1 All Habitats'!$A$3:$A$129,0)),"")</f>
        <v/>
      </c>
      <c r="G190" s="70"/>
      <c r="H190" s="498" t="str">
        <f>IF(F190="","",VLOOKUP(F190,'G-1 All Habitats'!$B$2:$M$129,10,FALSE))</f>
        <v/>
      </c>
      <c r="I190" s="499" t="str">
        <f>IFERROR(VLOOKUP(H190,'G-1 All Habitats'!$V$3:$W$7,2,FALSE),"")</f>
        <v/>
      </c>
      <c r="J190" s="71"/>
      <c r="K190" s="499" t="str">
        <f>IFERROR(INDEX('G-8 Condition Look up'!$A$3:$H$130,MATCH(F190,'G-8 Condition Look up'!$A$3:$A$130,0),MATCH(J190,'G-8 Condition Look up'!$A$3:$H$3,0)),"")</f>
        <v/>
      </c>
      <c r="L190" s="71"/>
      <c r="M190" s="507" t="str">
        <f>IF(L190="","",IF(VLOOKUP(L190,'G-3 Multipliers'!$L$3:$N$6,2,FALSE)=0,"Spatial Data Missing",VLOOKUP(L190,'G-3 Multipliers'!$L$3:$N$6,2,FALSE)))</f>
        <v/>
      </c>
      <c r="N190" s="505" t="str">
        <f>IF(L190="","",IF(VLOOKUP(L190,'G-3 Multipliers'!$L$3:$N$6,3,FALSE)=0,"Spatial Data Missing",VLOOKUP(L190,'G-3 Multipliers'!$L$3:$N$6,3,FALSE)))</f>
        <v/>
      </c>
      <c r="O190" s="498" t="str">
        <f t="shared" si="12"/>
        <v/>
      </c>
      <c r="P190" s="82"/>
      <c r="Q190" s="82"/>
      <c r="R190" s="507" t="str">
        <f t="shared" si="14"/>
        <v/>
      </c>
      <c r="S190" s="521" t="str">
        <f t="shared" si="15"/>
        <v/>
      </c>
      <c r="T190" s="522" t="str">
        <f>IFERROR(IF(S190="Check Data ⚠","Check Data ⚠",VLOOKUP(S190,'G-4 Temporal multipliers'!$A$4:$C$37,3,FALSE)),"")</f>
        <v/>
      </c>
      <c r="U190" s="523" t="str">
        <f>IF(F190="","",VLOOKUP(F190,'G-3 Multipliers'!$A$2:$E$129,2,FALSE))</f>
        <v/>
      </c>
      <c r="V190" s="520" t="str">
        <f t="shared" si="16"/>
        <v/>
      </c>
      <c r="W190" s="520" t="str">
        <f>IF(E190="","",IF(AND(V190="Standard difficulty applied",O190&gt;P190),U190,IF(AND(V190="Low Difficulty - only applicable if all habitat created before losses",P190&gt;=O190),"Low",VLOOKUP(F190,'G-3 Multipliers'!$A$2:$E$129,4,FALSE))))</f>
        <v/>
      </c>
      <c r="X190" s="524" t="str">
        <f>IFERROR(IF(E190="","",VLOOKUP(W190, 'G-3 Multipliers'!$P$2:$Q$6,2,FALSE)),"")</f>
        <v/>
      </c>
      <c r="Y190" s="529" t="str">
        <f t="shared" si="17"/>
        <v/>
      </c>
      <c r="Z190" s="239"/>
      <c r="AA190" s="240"/>
      <c r="AE190" s="54" t="str">
        <f t="shared" si="13"/>
        <v/>
      </c>
    </row>
    <row r="191" spans="1:31" x14ac:dyDescent="0.3">
      <c r="A191" s="47" t="str">
        <f>IFERROR(INDEX('G-8 Condition Look up'!$I$4:$I$130,MATCH(F191,'G-8 Condition Look up'!$A$4:$A$130,0)),"")</f>
        <v/>
      </c>
      <c r="C191" s="384" t="str">
        <f>IFERROR(INDEX('G-1 All Habitats'!$AG$3:$AG$15,MATCH(D191,'G-1 All Habitats'!$AF$3:$AF$15,0)),"")</f>
        <v/>
      </c>
      <c r="D191" s="146"/>
      <c r="E191" s="79"/>
      <c r="F191" s="246" t="str">
        <f>IFERROR(INDEX('G-1 All Habitats'!$B$3:$B$129,MATCH(E191,'G-1 All Habitats'!$A$3:$A$129,0)),"")</f>
        <v/>
      </c>
      <c r="G191" s="70"/>
      <c r="H191" s="498" t="str">
        <f>IF(F191="","",VLOOKUP(F191,'G-1 All Habitats'!$B$2:$M$129,10,FALSE))</f>
        <v/>
      </c>
      <c r="I191" s="499" t="str">
        <f>IFERROR(VLOOKUP(H191,'G-1 All Habitats'!$V$3:$W$7,2,FALSE),"")</f>
        <v/>
      </c>
      <c r="J191" s="71"/>
      <c r="K191" s="499" t="str">
        <f>IFERROR(INDEX('G-8 Condition Look up'!$A$3:$H$130,MATCH(F191,'G-8 Condition Look up'!$A$3:$A$130,0),MATCH(J191,'G-8 Condition Look up'!$A$3:$H$3,0)),"")</f>
        <v/>
      </c>
      <c r="L191" s="71"/>
      <c r="M191" s="507" t="str">
        <f>IF(L191="","",IF(VLOOKUP(L191,'G-3 Multipliers'!$L$3:$N$6,2,FALSE)=0,"Spatial Data Missing",VLOOKUP(L191,'G-3 Multipliers'!$L$3:$N$6,2,FALSE)))</f>
        <v/>
      </c>
      <c r="N191" s="505" t="str">
        <f>IF(L191="","",IF(VLOOKUP(L191,'G-3 Multipliers'!$L$3:$N$6,3,FALSE)=0,"Spatial Data Missing",VLOOKUP(L191,'G-3 Multipliers'!$L$3:$N$6,3,FALSE)))</f>
        <v/>
      </c>
      <c r="O191" s="498" t="str">
        <f t="shared" si="12"/>
        <v/>
      </c>
      <c r="P191" s="82"/>
      <c r="Q191" s="82"/>
      <c r="R191" s="507" t="str">
        <f t="shared" si="14"/>
        <v/>
      </c>
      <c r="S191" s="521" t="str">
        <f t="shared" si="15"/>
        <v/>
      </c>
      <c r="T191" s="522" t="str">
        <f>IFERROR(IF(S191="Check Data ⚠","Check Data ⚠",VLOOKUP(S191,'G-4 Temporal multipliers'!$A$4:$C$37,3,FALSE)),"")</f>
        <v/>
      </c>
      <c r="U191" s="523" t="str">
        <f>IF(F191="","",VLOOKUP(F191,'G-3 Multipliers'!$A$2:$E$129,2,FALSE))</f>
        <v/>
      </c>
      <c r="V191" s="520" t="str">
        <f t="shared" si="16"/>
        <v/>
      </c>
      <c r="W191" s="520" t="str">
        <f>IF(E191="","",IF(AND(V191="Standard difficulty applied",O191&gt;P191),U191,IF(AND(V191="Low Difficulty - only applicable if all habitat created before losses",P191&gt;=O191),"Low",VLOOKUP(F191,'G-3 Multipliers'!$A$2:$E$129,4,FALSE))))</f>
        <v/>
      </c>
      <c r="X191" s="524" t="str">
        <f>IFERROR(IF(E191="","",VLOOKUP(W191, 'G-3 Multipliers'!$P$2:$Q$6,2,FALSE)),"")</f>
        <v/>
      </c>
      <c r="Y191" s="529" t="str">
        <f t="shared" si="17"/>
        <v/>
      </c>
      <c r="Z191" s="239"/>
      <c r="AA191" s="240"/>
      <c r="AE191" s="54" t="str">
        <f t="shared" si="13"/>
        <v/>
      </c>
    </row>
    <row r="192" spans="1:31" x14ac:dyDescent="0.3">
      <c r="A192" s="47" t="str">
        <f>IFERROR(INDEX('G-8 Condition Look up'!$I$4:$I$130,MATCH(F192,'G-8 Condition Look up'!$A$4:$A$130,0)),"")</f>
        <v/>
      </c>
      <c r="C192" s="384" t="str">
        <f>IFERROR(INDEX('G-1 All Habitats'!$AG$3:$AG$15,MATCH(D192,'G-1 All Habitats'!$AF$3:$AF$15,0)),"")</f>
        <v/>
      </c>
      <c r="D192" s="146"/>
      <c r="E192" s="79"/>
      <c r="F192" s="246" t="str">
        <f>IFERROR(INDEX('G-1 All Habitats'!$B$3:$B$129,MATCH(E192,'G-1 All Habitats'!$A$3:$A$129,0)),"")</f>
        <v/>
      </c>
      <c r="G192" s="70"/>
      <c r="H192" s="498" t="str">
        <f>IF(F192="","",VLOOKUP(F192,'G-1 All Habitats'!$B$2:$M$129,10,FALSE))</f>
        <v/>
      </c>
      <c r="I192" s="499" t="str">
        <f>IFERROR(VLOOKUP(H192,'G-1 All Habitats'!$V$3:$W$7,2,FALSE),"")</f>
        <v/>
      </c>
      <c r="J192" s="71"/>
      <c r="K192" s="499" t="str">
        <f>IFERROR(INDEX('G-8 Condition Look up'!$A$3:$H$130,MATCH(F192,'G-8 Condition Look up'!$A$3:$A$130,0),MATCH(J192,'G-8 Condition Look up'!$A$3:$H$3,0)),"")</f>
        <v/>
      </c>
      <c r="L192" s="71"/>
      <c r="M192" s="507" t="str">
        <f>IF(L192="","",IF(VLOOKUP(L192,'G-3 Multipliers'!$L$3:$N$6,2,FALSE)=0,"Spatial Data Missing",VLOOKUP(L192,'G-3 Multipliers'!$L$3:$N$6,2,FALSE)))</f>
        <v/>
      </c>
      <c r="N192" s="505" t="str">
        <f>IF(L192="","",IF(VLOOKUP(L192,'G-3 Multipliers'!$L$3:$N$6,3,FALSE)=0,"Spatial Data Missing",VLOOKUP(L192,'G-3 Multipliers'!$L$3:$N$6,3,FALSE)))</f>
        <v/>
      </c>
      <c r="O192" s="498" t="str">
        <f t="shared" si="12"/>
        <v/>
      </c>
      <c r="P192" s="82"/>
      <c r="Q192" s="82"/>
      <c r="R192" s="507" t="str">
        <f t="shared" si="14"/>
        <v/>
      </c>
      <c r="S192" s="521" t="str">
        <f t="shared" si="15"/>
        <v/>
      </c>
      <c r="T192" s="522" t="str">
        <f>IFERROR(IF(S192="Check Data ⚠","Check Data ⚠",VLOOKUP(S192,'G-4 Temporal multipliers'!$A$4:$C$37,3,FALSE)),"")</f>
        <v/>
      </c>
      <c r="U192" s="523" t="str">
        <f>IF(F192="","",VLOOKUP(F192,'G-3 Multipliers'!$A$2:$E$129,2,FALSE))</f>
        <v/>
      </c>
      <c r="V192" s="520" t="str">
        <f t="shared" si="16"/>
        <v/>
      </c>
      <c r="W192" s="520" t="str">
        <f>IF(E192="","",IF(AND(V192="Standard difficulty applied",O192&gt;P192),U192,IF(AND(V192="Low Difficulty - only applicable if all habitat created before losses",P192&gt;=O192),"Low",VLOOKUP(F192,'G-3 Multipliers'!$A$2:$E$129,4,FALSE))))</f>
        <v/>
      </c>
      <c r="X192" s="524" t="str">
        <f>IFERROR(IF(E192="","",VLOOKUP(W192, 'G-3 Multipliers'!$P$2:$Q$6,2,FALSE)),"")</f>
        <v/>
      </c>
      <c r="Y192" s="529" t="str">
        <f t="shared" si="17"/>
        <v/>
      </c>
      <c r="Z192" s="239"/>
      <c r="AA192" s="240"/>
      <c r="AE192" s="54" t="str">
        <f t="shared" si="13"/>
        <v/>
      </c>
    </row>
    <row r="193" spans="1:31" x14ac:dyDescent="0.3">
      <c r="A193" s="47" t="str">
        <f>IFERROR(INDEX('G-8 Condition Look up'!$I$4:$I$130,MATCH(F193,'G-8 Condition Look up'!$A$4:$A$130,0)),"")</f>
        <v/>
      </c>
      <c r="C193" s="384" t="str">
        <f>IFERROR(INDEX('G-1 All Habitats'!$AG$3:$AG$15,MATCH(D193,'G-1 All Habitats'!$AF$3:$AF$15,0)),"")</f>
        <v/>
      </c>
      <c r="D193" s="146"/>
      <c r="E193" s="79"/>
      <c r="F193" s="246" t="str">
        <f>IFERROR(INDEX('G-1 All Habitats'!$B$3:$B$129,MATCH(E193,'G-1 All Habitats'!$A$3:$A$129,0)),"")</f>
        <v/>
      </c>
      <c r="G193" s="70"/>
      <c r="H193" s="498" t="str">
        <f>IF(F193="","",VLOOKUP(F193,'G-1 All Habitats'!$B$2:$M$129,10,FALSE))</f>
        <v/>
      </c>
      <c r="I193" s="499" t="str">
        <f>IFERROR(VLOOKUP(H193,'G-1 All Habitats'!$V$3:$W$7,2,FALSE),"")</f>
        <v/>
      </c>
      <c r="J193" s="71"/>
      <c r="K193" s="499" t="str">
        <f>IFERROR(INDEX('G-8 Condition Look up'!$A$3:$H$130,MATCH(F193,'G-8 Condition Look up'!$A$3:$A$130,0),MATCH(J193,'G-8 Condition Look up'!$A$3:$H$3,0)),"")</f>
        <v/>
      </c>
      <c r="L193" s="71"/>
      <c r="M193" s="507" t="str">
        <f>IF(L193="","",IF(VLOOKUP(L193,'G-3 Multipliers'!$L$3:$N$6,2,FALSE)=0,"Spatial Data Missing",VLOOKUP(L193,'G-3 Multipliers'!$L$3:$N$6,2,FALSE)))</f>
        <v/>
      </c>
      <c r="N193" s="505" t="str">
        <f>IF(L193="","",IF(VLOOKUP(L193,'G-3 Multipliers'!$L$3:$N$6,3,FALSE)=0,"Spatial Data Missing",VLOOKUP(L193,'G-3 Multipliers'!$L$3:$N$6,3,FALSE)))</f>
        <v/>
      </c>
      <c r="O193" s="498" t="str">
        <f t="shared" si="12"/>
        <v/>
      </c>
      <c r="P193" s="82"/>
      <c r="Q193" s="82"/>
      <c r="R193" s="507" t="str">
        <f t="shared" si="14"/>
        <v/>
      </c>
      <c r="S193" s="521" t="str">
        <f t="shared" si="15"/>
        <v/>
      </c>
      <c r="T193" s="522" t="str">
        <f>IFERROR(IF(S193="Check Data ⚠","Check Data ⚠",VLOOKUP(S193,'G-4 Temporal multipliers'!$A$4:$C$37,3,FALSE)),"")</f>
        <v/>
      </c>
      <c r="U193" s="523" t="str">
        <f>IF(F193="","",VLOOKUP(F193,'G-3 Multipliers'!$A$2:$E$129,2,FALSE))</f>
        <v/>
      </c>
      <c r="V193" s="520" t="str">
        <f t="shared" si="16"/>
        <v/>
      </c>
      <c r="W193" s="520" t="str">
        <f>IF(E193="","",IF(AND(V193="Standard difficulty applied",O193&gt;P193),U193,IF(AND(V193="Low Difficulty - only applicable if all habitat created before losses",P193&gt;=O193),"Low",VLOOKUP(F193,'G-3 Multipliers'!$A$2:$E$129,4,FALSE))))</f>
        <v/>
      </c>
      <c r="X193" s="524" t="str">
        <f>IFERROR(IF(E193="","",VLOOKUP(W193, 'G-3 Multipliers'!$P$2:$Q$6,2,FALSE)),"")</f>
        <v/>
      </c>
      <c r="Y193" s="529" t="str">
        <f t="shared" si="17"/>
        <v/>
      </c>
      <c r="Z193" s="239"/>
      <c r="AA193" s="240"/>
      <c r="AE193" s="54" t="str">
        <f t="shared" si="13"/>
        <v/>
      </c>
    </row>
    <row r="194" spans="1:31" x14ac:dyDescent="0.3">
      <c r="A194" s="47" t="str">
        <f>IFERROR(INDEX('G-8 Condition Look up'!$I$4:$I$130,MATCH(F194,'G-8 Condition Look up'!$A$4:$A$130,0)),"")</f>
        <v/>
      </c>
      <c r="C194" s="384" t="str">
        <f>IFERROR(INDEX('G-1 All Habitats'!$AG$3:$AG$15,MATCH(D194,'G-1 All Habitats'!$AF$3:$AF$15,0)),"")</f>
        <v/>
      </c>
      <c r="D194" s="146"/>
      <c r="E194" s="79"/>
      <c r="F194" s="246" t="str">
        <f>IFERROR(INDEX('G-1 All Habitats'!$B$3:$B$129,MATCH(E194,'G-1 All Habitats'!$A$3:$A$129,0)),"")</f>
        <v/>
      </c>
      <c r="G194" s="70"/>
      <c r="H194" s="498" t="str">
        <f>IF(F194="","",VLOOKUP(F194,'G-1 All Habitats'!$B$2:$M$129,10,FALSE))</f>
        <v/>
      </c>
      <c r="I194" s="499" t="str">
        <f>IFERROR(VLOOKUP(H194,'G-1 All Habitats'!$V$3:$W$7,2,FALSE),"")</f>
        <v/>
      </c>
      <c r="J194" s="71"/>
      <c r="K194" s="499" t="str">
        <f>IFERROR(INDEX('G-8 Condition Look up'!$A$3:$H$130,MATCH(F194,'G-8 Condition Look up'!$A$3:$A$130,0),MATCH(J194,'G-8 Condition Look up'!$A$3:$H$3,0)),"")</f>
        <v/>
      </c>
      <c r="L194" s="71"/>
      <c r="M194" s="507" t="str">
        <f>IF(L194="","",IF(VLOOKUP(L194,'G-3 Multipliers'!$L$3:$N$6,2,FALSE)=0,"Spatial Data Missing",VLOOKUP(L194,'G-3 Multipliers'!$L$3:$N$6,2,FALSE)))</f>
        <v/>
      </c>
      <c r="N194" s="505" t="str">
        <f>IF(L194="","",IF(VLOOKUP(L194,'G-3 Multipliers'!$L$3:$N$6,3,FALSE)=0,"Spatial Data Missing",VLOOKUP(L194,'G-3 Multipliers'!$L$3:$N$6,3,FALSE)))</f>
        <v/>
      </c>
      <c r="O194" s="498" t="str">
        <f t="shared" si="12"/>
        <v/>
      </c>
      <c r="P194" s="82"/>
      <c r="Q194" s="82"/>
      <c r="R194" s="507" t="str">
        <f t="shared" si="14"/>
        <v/>
      </c>
      <c r="S194" s="521" t="str">
        <f t="shared" si="15"/>
        <v/>
      </c>
      <c r="T194" s="522" t="str">
        <f>IFERROR(IF(S194="Check Data ⚠","Check Data ⚠",VLOOKUP(S194,'G-4 Temporal multipliers'!$A$4:$C$37,3,FALSE)),"")</f>
        <v/>
      </c>
      <c r="U194" s="523" t="str">
        <f>IF(F194="","",VLOOKUP(F194,'G-3 Multipliers'!$A$2:$E$129,2,FALSE))</f>
        <v/>
      </c>
      <c r="V194" s="520" t="str">
        <f t="shared" si="16"/>
        <v/>
      </c>
      <c r="W194" s="520" t="str">
        <f>IF(E194="","",IF(AND(V194="Standard difficulty applied",O194&gt;P194),U194,IF(AND(V194="Low Difficulty - only applicable if all habitat created before losses",P194&gt;=O194),"Low",VLOOKUP(F194,'G-3 Multipliers'!$A$2:$E$129,4,FALSE))))</f>
        <v/>
      </c>
      <c r="X194" s="524" t="str">
        <f>IFERROR(IF(E194="","",VLOOKUP(W194, 'G-3 Multipliers'!$P$2:$Q$6,2,FALSE)),"")</f>
        <v/>
      </c>
      <c r="Y194" s="529" t="str">
        <f t="shared" si="17"/>
        <v/>
      </c>
      <c r="Z194" s="239"/>
      <c r="AA194" s="240"/>
      <c r="AE194" s="54" t="str">
        <f t="shared" si="13"/>
        <v/>
      </c>
    </row>
    <row r="195" spans="1:31" x14ac:dyDescent="0.3">
      <c r="A195" s="47" t="str">
        <f>IFERROR(INDEX('G-8 Condition Look up'!$I$4:$I$130,MATCH(F195,'G-8 Condition Look up'!$A$4:$A$130,0)),"")</f>
        <v/>
      </c>
      <c r="C195" s="384" t="str">
        <f>IFERROR(INDEX('G-1 All Habitats'!$AG$3:$AG$15,MATCH(D195,'G-1 All Habitats'!$AF$3:$AF$15,0)),"")</f>
        <v/>
      </c>
      <c r="D195" s="146"/>
      <c r="E195" s="79"/>
      <c r="F195" s="246" t="str">
        <f>IFERROR(INDEX('G-1 All Habitats'!$B$3:$B$129,MATCH(E195,'G-1 All Habitats'!$A$3:$A$129,0)),"")</f>
        <v/>
      </c>
      <c r="G195" s="70"/>
      <c r="H195" s="498" t="str">
        <f>IF(F195="","",VLOOKUP(F195,'G-1 All Habitats'!$B$2:$M$129,10,FALSE))</f>
        <v/>
      </c>
      <c r="I195" s="499" t="str">
        <f>IFERROR(VLOOKUP(H195,'G-1 All Habitats'!$V$3:$W$7,2,FALSE),"")</f>
        <v/>
      </c>
      <c r="J195" s="71"/>
      <c r="K195" s="499" t="str">
        <f>IFERROR(INDEX('G-8 Condition Look up'!$A$3:$H$130,MATCH(F195,'G-8 Condition Look up'!$A$3:$A$130,0),MATCH(J195,'G-8 Condition Look up'!$A$3:$H$3,0)),"")</f>
        <v/>
      </c>
      <c r="L195" s="71"/>
      <c r="M195" s="507" t="str">
        <f>IF(L195="","",IF(VLOOKUP(L195,'G-3 Multipliers'!$L$3:$N$6,2,FALSE)=0,"Spatial Data Missing",VLOOKUP(L195,'G-3 Multipliers'!$L$3:$N$6,2,FALSE)))</f>
        <v/>
      </c>
      <c r="N195" s="505" t="str">
        <f>IF(L195="","",IF(VLOOKUP(L195,'G-3 Multipliers'!$L$3:$N$6,3,FALSE)=0,"Spatial Data Missing",VLOOKUP(L195,'G-3 Multipliers'!$L$3:$N$6,3,FALSE)))</f>
        <v/>
      </c>
      <c r="O195" s="498" t="str">
        <f t="shared" si="12"/>
        <v/>
      </c>
      <c r="P195" s="82"/>
      <c r="Q195" s="82"/>
      <c r="R195" s="507" t="str">
        <f t="shared" si="14"/>
        <v/>
      </c>
      <c r="S195" s="521" t="str">
        <f t="shared" si="15"/>
        <v/>
      </c>
      <c r="T195" s="522" t="str">
        <f>IFERROR(IF(S195="Check Data ⚠","Check Data ⚠",VLOOKUP(S195,'G-4 Temporal multipliers'!$A$4:$C$37,3,FALSE)),"")</f>
        <v/>
      </c>
      <c r="U195" s="523" t="str">
        <f>IF(F195="","",VLOOKUP(F195,'G-3 Multipliers'!$A$2:$E$129,2,FALSE))</f>
        <v/>
      </c>
      <c r="V195" s="520" t="str">
        <f t="shared" si="16"/>
        <v/>
      </c>
      <c r="W195" s="520" t="str">
        <f>IF(E195="","",IF(AND(V195="Standard difficulty applied",O195&gt;P195),U195,IF(AND(V195="Low Difficulty - only applicable if all habitat created before losses",P195&gt;=O195),"Low",VLOOKUP(F195,'G-3 Multipliers'!$A$2:$E$129,4,FALSE))))</f>
        <v/>
      </c>
      <c r="X195" s="524" t="str">
        <f>IFERROR(IF(E195="","",VLOOKUP(W195, 'G-3 Multipliers'!$P$2:$Q$6,2,FALSE)),"")</f>
        <v/>
      </c>
      <c r="Y195" s="529" t="str">
        <f t="shared" si="17"/>
        <v/>
      </c>
      <c r="Z195" s="239"/>
      <c r="AA195" s="240"/>
      <c r="AE195" s="54" t="str">
        <f t="shared" si="13"/>
        <v/>
      </c>
    </row>
    <row r="196" spans="1:31" x14ac:dyDescent="0.3">
      <c r="A196" s="47" t="str">
        <f>IFERROR(INDEX('G-8 Condition Look up'!$I$4:$I$130,MATCH(F196,'G-8 Condition Look up'!$A$4:$A$130,0)),"")</f>
        <v/>
      </c>
      <c r="C196" s="384" t="str">
        <f>IFERROR(INDEX('G-1 All Habitats'!$AG$3:$AG$15,MATCH(D196,'G-1 All Habitats'!$AF$3:$AF$15,0)),"")</f>
        <v/>
      </c>
      <c r="D196" s="146"/>
      <c r="E196" s="79"/>
      <c r="F196" s="246" t="str">
        <f>IFERROR(INDEX('G-1 All Habitats'!$B$3:$B$129,MATCH(E196,'G-1 All Habitats'!$A$3:$A$129,0)),"")</f>
        <v/>
      </c>
      <c r="G196" s="70"/>
      <c r="H196" s="498" t="str">
        <f>IF(F196="","",VLOOKUP(F196,'G-1 All Habitats'!$B$2:$M$129,10,FALSE))</f>
        <v/>
      </c>
      <c r="I196" s="499" t="str">
        <f>IFERROR(VLOOKUP(H196,'G-1 All Habitats'!$V$3:$W$7,2,FALSE),"")</f>
        <v/>
      </c>
      <c r="J196" s="71"/>
      <c r="K196" s="499" t="str">
        <f>IFERROR(INDEX('G-8 Condition Look up'!$A$3:$H$130,MATCH(F196,'G-8 Condition Look up'!$A$3:$A$130,0),MATCH(J196,'G-8 Condition Look up'!$A$3:$H$3,0)),"")</f>
        <v/>
      </c>
      <c r="L196" s="71"/>
      <c r="M196" s="507" t="str">
        <f>IF(L196="","",IF(VLOOKUP(L196,'G-3 Multipliers'!$L$3:$N$6,2,FALSE)=0,"Spatial Data Missing",VLOOKUP(L196,'G-3 Multipliers'!$L$3:$N$6,2,FALSE)))</f>
        <v/>
      </c>
      <c r="N196" s="505" t="str">
        <f>IF(L196="","",IF(VLOOKUP(L196,'G-3 Multipliers'!$L$3:$N$6,3,FALSE)=0,"Spatial Data Missing",VLOOKUP(L196,'G-3 Multipliers'!$L$3:$N$6,3,FALSE)))</f>
        <v/>
      </c>
      <c r="O196" s="498" t="str">
        <f t="shared" si="12"/>
        <v/>
      </c>
      <c r="P196" s="82"/>
      <c r="Q196" s="82"/>
      <c r="R196" s="507" t="str">
        <f t="shared" si="14"/>
        <v/>
      </c>
      <c r="S196" s="521" t="str">
        <f t="shared" si="15"/>
        <v/>
      </c>
      <c r="T196" s="522" t="str">
        <f>IFERROR(IF(S196="Check Data ⚠","Check Data ⚠",VLOOKUP(S196,'G-4 Temporal multipliers'!$A$4:$C$37,3,FALSE)),"")</f>
        <v/>
      </c>
      <c r="U196" s="523" t="str">
        <f>IF(F196="","",VLOOKUP(F196,'G-3 Multipliers'!$A$2:$E$129,2,FALSE))</f>
        <v/>
      </c>
      <c r="V196" s="520" t="str">
        <f t="shared" si="16"/>
        <v/>
      </c>
      <c r="W196" s="520" t="str">
        <f>IF(E196="","",IF(AND(V196="Standard difficulty applied",O196&gt;P196),U196,IF(AND(V196="Low Difficulty - only applicable if all habitat created before losses",P196&gt;=O196),"Low",VLOOKUP(F196,'G-3 Multipliers'!$A$2:$E$129,4,FALSE))))</f>
        <v/>
      </c>
      <c r="X196" s="524" t="str">
        <f>IFERROR(IF(E196="","",VLOOKUP(W196, 'G-3 Multipliers'!$P$2:$Q$6,2,FALSE)),"")</f>
        <v/>
      </c>
      <c r="Y196" s="529" t="str">
        <f t="shared" si="17"/>
        <v/>
      </c>
      <c r="Z196" s="239"/>
      <c r="AA196" s="240"/>
      <c r="AE196" s="54" t="str">
        <f t="shared" si="13"/>
        <v/>
      </c>
    </row>
    <row r="197" spans="1:31" x14ac:dyDescent="0.3">
      <c r="A197" s="47" t="str">
        <f>IFERROR(INDEX('G-8 Condition Look up'!$I$4:$I$130,MATCH(F197,'G-8 Condition Look up'!$A$4:$A$130,0)),"")</f>
        <v/>
      </c>
      <c r="C197" s="384" t="str">
        <f>IFERROR(INDEX('G-1 All Habitats'!$AG$3:$AG$15,MATCH(D197,'G-1 All Habitats'!$AF$3:$AF$15,0)),"")</f>
        <v/>
      </c>
      <c r="D197" s="146"/>
      <c r="E197" s="79"/>
      <c r="F197" s="246" t="str">
        <f>IFERROR(INDEX('G-1 All Habitats'!$B$3:$B$129,MATCH(E197,'G-1 All Habitats'!$A$3:$A$129,0)),"")</f>
        <v/>
      </c>
      <c r="G197" s="70"/>
      <c r="H197" s="498" t="str">
        <f>IF(F197="","",VLOOKUP(F197,'G-1 All Habitats'!$B$2:$M$129,10,FALSE))</f>
        <v/>
      </c>
      <c r="I197" s="499" t="str">
        <f>IFERROR(VLOOKUP(H197,'G-1 All Habitats'!$V$3:$W$7,2,FALSE),"")</f>
        <v/>
      </c>
      <c r="J197" s="71"/>
      <c r="K197" s="499" t="str">
        <f>IFERROR(INDEX('G-8 Condition Look up'!$A$3:$H$130,MATCH(F197,'G-8 Condition Look up'!$A$3:$A$130,0),MATCH(J197,'G-8 Condition Look up'!$A$3:$H$3,0)),"")</f>
        <v/>
      </c>
      <c r="L197" s="71"/>
      <c r="M197" s="507" t="str">
        <f>IF(L197="","",IF(VLOOKUP(L197,'G-3 Multipliers'!$L$3:$N$6,2,FALSE)=0,"Spatial Data Missing",VLOOKUP(L197,'G-3 Multipliers'!$L$3:$N$6,2,FALSE)))</f>
        <v/>
      </c>
      <c r="N197" s="505" t="str">
        <f>IF(L197="","",IF(VLOOKUP(L197,'G-3 Multipliers'!$L$3:$N$6,3,FALSE)=0,"Spatial Data Missing",VLOOKUP(L197,'G-3 Multipliers'!$L$3:$N$6,3,FALSE)))</f>
        <v/>
      </c>
      <c r="O197" s="498" t="str">
        <f t="shared" si="12"/>
        <v/>
      </c>
      <c r="P197" s="82"/>
      <c r="Q197" s="82"/>
      <c r="R197" s="507" t="str">
        <f t="shared" si="14"/>
        <v/>
      </c>
      <c r="S197" s="521" t="str">
        <f t="shared" si="15"/>
        <v/>
      </c>
      <c r="T197" s="522" t="str">
        <f>IFERROR(IF(S197="Check Data ⚠","Check Data ⚠",VLOOKUP(S197,'G-4 Temporal multipliers'!$A$4:$C$37,3,FALSE)),"")</f>
        <v/>
      </c>
      <c r="U197" s="523" t="str">
        <f>IF(F197="","",VLOOKUP(F197,'G-3 Multipliers'!$A$2:$E$129,2,FALSE))</f>
        <v/>
      </c>
      <c r="V197" s="520" t="str">
        <f t="shared" si="16"/>
        <v/>
      </c>
      <c r="W197" s="520" t="str">
        <f>IF(E197="","",IF(AND(V197="Standard difficulty applied",O197&gt;P197),U197,IF(AND(V197="Low Difficulty - only applicable if all habitat created before losses",P197&gt;=O197),"Low",VLOOKUP(F197,'G-3 Multipliers'!$A$2:$E$129,4,FALSE))))</f>
        <v/>
      </c>
      <c r="X197" s="524" t="str">
        <f>IFERROR(IF(E197="","",VLOOKUP(W197, 'G-3 Multipliers'!$P$2:$Q$6,2,FALSE)),"")</f>
        <v/>
      </c>
      <c r="Y197" s="529" t="str">
        <f t="shared" si="17"/>
        <v/>
      </c>
      <c r="Z197" s="239"/>
      <c r="AA197" s="240"/>
      <c r="AE197" s="54" t="str">
        <f t="shared" si="13"/>
        <v/>
      </c>
    </row>
    <row r="198" spans="1:31" x14ac:dyDescent="0.3">
      <c r="A198" s="47" t="str">
        <f>IFERROR(INDEX('G-8 Condition Look up'!$I$4:$I$130,MATCH(F198,'G-8 Condition Look up'!$A$4:$A$130,0)),"")</f>
        <v/>
      </c>
      <c r="C198" s="384" t="str">
        <f>IFERROR(INDEX('G-1 All Habitats'!$AG$3:$AG$15,MATCH(D198,'G-1 All Habitats'!$AF$3:$AF$15,0)),"")</f>
        <v/>
      </c>
      <c r="D198" s="146"/>
      <c r="E198" s="79"/>
      <c r="F198" s="246" t="str">
        <f>IFERROR(INDEX('G-1 All Habitats'!$B$3:$B$129,MATCH(E198,'G-1 All Habitats'!$A$3:$A$129,0)),"")</f>
        <v/>
      </c>
      <c r="G198" s="70"/>
      <c r="H198" s="498" t="str">
        <f>IF(F198="","",VLOOKUP(F198,'G-1 All Habitats'!$B$2:$M$129,10,FALSE))</f>
        <v/>
      </c>
      <c r="I198" s="499" t="str">
        <f>IFERROR(VLOOKUP(H198,'G-1 All Habitats'!$V$3:$W$7,2,FALSE),"")</f>
        <v/>
      </c>
      <c r="J198" s="71"/>
      <c r="K198" s="499" t="str">
        <f>IFERROR(INDEX('G-8 Condition Look up'!$A$3:$H$130,MATCH(F198,'G-8 Condition Look up'!$A$3:$A$130,0),MATCH(J198,'G-8 Condition Look up'!$A$3:$H$3,0)),"")</f>
        <v/>
      </c>
      <c r="L198" s="71"/>
      <c r="M198" s="507" t="str">
        <f>IF(L198="","",IF(VLOOKUP(L198,'G-3 Multipliers'!$L$3:$N$6,2,FALSE)=0,"Spatial Data Missing",VLOOKUP(L198,'G-3 Multipliers'!$L$3:$N$6,2,FALSE)))</f>
        <v/>
      </c>
      <c r="N198" s="505" t="str">
        <f>IF(L198="","",IF(VLOOKUP(L198,'G-3 Multipliers'!$L$3:$N$6,3,FALSE)=0,"Spatial Data Missing",VLOOKUP(L198,'G-3 Multipliers'!$L$3:$N$6,3,FALSE)))</f>
        <v/>
      </c>
      <c r="O198" s="498" t="str">
        <f t="shared" si="12"/>
        <v/>
      </c>
      <c r="P198" s="82"/>
      <c r="Q198" s="82"/>
      <c r="R198" s="507" t="str">
        <f t="shared" si="14"/>
        <v/>
      </c>
      <c r="S198" s="521" t="str">
        <f t="shared" si="15"/>
        <v/>
      </c>
      <c r="T198" s="522" t="str">
        <f>IFERROR(IF(S198="Check Data ⚠","Check Data ⚠",VLOOKUP(S198,'G-4 Temporal multipliers'!$A$4:$C$37,3,FALSE)),"")</f>
        <v/>
      </c>
      <c r="U198" s="523" t="str">
        <f>IF(F198="","",VLOOKUP(F198,'G-3 Multipliers'!$A$2:$E$129,2,FALSE))</f>
        <v/>
      </c>
      <c r="V198" s="520" t="str">
        <f t="shared" si="16"/>
        <v/>
      </c>
      <c r="W198" s="520" t="str">
        <f>IF(E198="","",IF(AND(V198="Standard difficulty applied",O198&gt;P198),U198,IF(AND(V198="Low Difficulty - only applicable if all habitat created before losses",P198&gt;=O198),"Low",VLOOKUP(F198,'G-3 Multipliers'!$A$2:$E$129,4,FALSE))))</f>
        <v/>
      </c>
      <c r="X198" s="524" t="str">
        <f>IFERROR(IF(E198="","",VLOOKUP(W198, 'G-3 Multipliers'!$P$2:$Q$6,2,FALSE)),"")</f>
        <v/>
      </c>
      <c r="Y198" s="529" t="str">
        <f t="shared" si="17"/>
        <v/>
      </c>
      <c r="Z198" s="239"/>
      <c r="AA198" s="240"/>
      <c r="AE198" s="54" t="str">
        <f t="shared" si="13"/>
        <v/>
      </c>
    </row>
    <row r="199" spans="1:31" x14ac:dyDescent="0.3">
      <c r="A199" s="47" t="str">
        <f>IFERROR(INDEX('G-8 Condition Look up'!$I$4:$I$130,MATCH(F199,'G-8 Condition Look up'!$A$4:$A$130,0)),"")</f>
        <v/>
      </c>
      <c r="C199" s="384" t="str">
        <f>IFERROR(INDEX('G-1 All Habitats'!$AG$3:$AG$15,MATCH(D199,'G-1 All Habitats'!$AF$3:$AF$15,0)),"")</f>
        <v/>
      </c>
      <c r="D199" s="146"/>
      <c r="E199" s="79"/>
      <c r="F199" s="246" t="str">
        <f>IFERROR(INDEX('G-1 All Habitats'!$B$3:$B$129,MATCH(E199,'G-1 All Habitats'!$A$3:$A$129,0)),"")</f>
        <v/>
      </c>
      <c r="G199" s="70"/>
      <c r="H199" s="498" t="str">
        <f>IF(F199="","",VLOOKUP(F199,'G-1 All Habitats'!$B$2:$M$129,10,FALSE))</f>
        <v/>
      </c>
      <c r="I199" s="499" t="str">
        <f>IFERROR(VLOOKUP(H199,'G-1 All Habitats'!$V$3:$W$7,2,FALSE),"")</f>
        <v/>
      </c>
      <c r="J199" s="71"/>
      <c r="K199" s="499" t="str">
        <f>IFERROR(INDEX('G-8 Condition Look up'!$A$3:$H$130,MATCH(F199,'G-8 Condition Look up'!$A$3:$A$130,0),MATCH(J199,'G-8 Condition Look up'!$A$3:$H$3,0)),"")</f>
        <v/>
      </c>
      <c r="L199" s="71"/>
      <c r="M199" s="507" t="str">
        <f>IF(L199="","",IF(VLOOKUP(L199,'G-3 Multipliers'!$L$3:$N$6,2,FALSE)=0,"Spatial Data Missing",VLOOKUP(L199,'G-3 Multipliers'!$L$3:$N$6,2,FALSE)))</f>
        <v/>
      </c>
      <c r="N199" s="505" t="str">
        <f>IF(L199="","",IF(VLOOKUP(L199,'G-3 Multipliers'!$L$3:$N$6,3,FALSE)=0,"Spatial Data Missing",VLOOKUP(L199,'G-3 Multipliers'!$L$3:$N$6,3,FALSE)))</f>
        <v/>
      </c>
      <c r="O199" s="498" t="str">
        <f t="shared" si="12"/>
        <v/>
      </c>
      <c r="P199" s="82"/>
      <c r="Q199" s="82"/>
      <c r="R199" s="507" t="str">
        <f t="shared" si="14"/>
        <v/>
      </c>
      <c r="S199" s="521" t="str">
        <f t="shared" si="15"/>
        <v/>
      </c>
      <c r="T199" s="522" t="str">
        <f>IFERROR(IF(S199="Check Data ⚠","Check Data ⚠",VLOOKUP(S199,'G-4 Temporal multipliers'!$A$4:$C$37,3,FALSE)),"")</f>
        <v/>
      </c>
      <c r="U199" s="523" t="str">
        <f>IF(F199="","",VLOOKUP(F199,'G-3 Multipliers'!$A$2:$E$129,2,FALSE))</f>
        <v/>
      </c>
      <c r="V199" s="520" t="str">
        <f t="shared" si="16"/>
        <v/>
      </c>
      <c r="W199" s="520" t="str">
        <f>IF(E199="","",IF(AND(V199="Standard difficulty applied",O199&gt;P199),U199,IF(AND(V199="Low Difficulty - only applicable if all habitat created before losses",P199&gt;=O199),"Low",VLOOKUP(F199,'G-3 Multipliers'!$A$2:$E$129,4,FALSE))))</f>
        <v/>
      </c>
      <c r="X199" s="524" t="str">
        <f>IFERROR(IF(E199="","",VLOOKUP(W199, 'G-3 Multipliers'!$P$2:$Q$6,2,FALSE)),"")</f>
        <v/>
      </c>
      <c r="Y199" s="529" t="str">
        <f t="shared" si="17"/>
        <v/>
      </c>
      <c r="Z199" s="239"/>
      <c r="AA199" s="240"/>
      <c r="AE199" s="54" t="str">
        <f t="shared" si="13"/>
        <v/>
      </c>
    </row>
    <row r="200" spans="1:31" x14ac:dyDescent="0.3">
      <c r="A200" s="47" t="str">
        <f>IFERROR(INDEX('G-8 Condition Look up'!$I$4:$I$130,MATCH(F200,'G-8 Condition Look up'!$A$4:$A$130,0)),"")</f>
        <v/>
      </c>
      <c r="C200" s="384" t="str">
        <f>IFERROR(INDEX('G-1 All Habitats'!$AG$3:$AG$15,MATCH(D200,'G-1 All Habitats'!$AF$3:$AF$15,0)),"")</f>
        <v/>
      </c>
      <c r="D200" s="146"/>
      <c r="E200" s="79"/>
      <c r="F200" s="246" t="str">
        <f>IFERROR(INDEX('G-1 All Habitats'!$B$3:$B$129,MATCH(E200,'G-1 All Habitats'!$A$3:$A$129,0)),"")</f>
        <v/>
      </c>
      <c r="G200" s="70"/>
      <c r="H200" s="498" t="str">
        <f>IF(F200="","",VLOOKUP(F200,'G-1 All Habitats'!$B$2:$M$129,10,FALSE))</f>
        <v/>
      </c>
      <c r="I200" s="499" t="str">
        <f>IFERROR(VLOOKUP(H200,'G-1 All Habitats'!$V$3:$W$7,2,FALSE),"")</f>
        <v/>
      </c>
      <c r="J200" s="71"/>
      <c r="K200" s="499" t="str">
        <f>IFERROR(INDEX('G-8 Condition Look up'!$A$3:$H$130,MATCH(F200,'G-8 Condition Look up'!$A$3:$A$130,0),MATCH(J200,'G-8 Condition Look up'!$A$3:$H$3,0)),"")</f>
        <v/>
      </c>
      <c r="L200" s="71"/>
      <c r="M200" s="507" t="str">
        <f>IF(L200="","",IF(VLOOKUP(L200,'G-3 Multipliers'!$L$3:$N$6,2,FALSE)=0,"Spatial Data Missing",VLOOKUP(L200,'G-3 Multipliers'!$L$3:$N$6,2,FALSE)))</f>
        <v/>
      </c>
      <c r="N200" s="505" t="str">
        <f>IF(L200="","",IF(VLOOKUP(L200,'G-3 Multipliers'!$L$3:$N$6,3,FALSE)=0,"Spatial Data Missing",VLOOKUP(L200,'G-3 Multipliers'!$L$3:$N$6,3,FALSE)))</f>
        <v/>
      </c>
      <c r="O200" s="498" t="str">
        <f t="shared" si="12"/>
        <v/>
      </c>
      <c r="P200" s="82"/>
      <c r="Q200" s="82"/>
      <c r="R200" s="507" t="str">
        <f t="shared" si="14"/>
        <v/>
      </c>
      <c r="S200" s="521" t="str">
        <f t="shared" si="15"/>
        <v/>
      </c>
      <c r="T200" s="522" t="str">
        <f>IFERROR(IF(S200="Check Data ⚠","Check Data ⚠",VLOOKUP(S200,'G-4 Temporal multipliers'!$A$4:$C$37,3,FALSE)),"")</f>
        <v/>
      </c>
      <c r="U200" s="523" t="str">
        <f>IF(F200="","",VLOOKUP(F200,'G-3 Multipliers'!$A$2:$E$129,2,FALSE))</f>
        <v/>
      </c>
      <c r="V200" s="520" t="str">
        <f t="shared" si="16"/>
        <v/>
      </c>
      <c r="W200" s="520" t="str">
        <f>IF(E200="","",IF(AND(V200="Standard difficulty applied",O200&gt;P200),U200,IF(AND(V200="Low Difficulty - only applicable if all habitat created before losses",P200&gt;=O200),"Low",VLOOKUP(F200,'G-3 Multipliers'!$A$2:$E$129,4,FALSE))))</f>
        <v/>
      </c>
      <c r="X200" s="524" t="str">
        <f>IFERROR(IF(E200="","",VLOOKUP(W200, 'G-3 Multipliers'!$P$2:$Q$6,2,FALSE)),"")</f>
        <v/>
      </c>
      <c r="Y200" s="529" t="str">
        <f t="shared" si="17"/>
        <v/>
      </c>
      <c r="Z200" s="239"/>
      <c r="AA200" s="240"/>
      <c r="AE200" s="54" t="str">
        <f t="shared" si="13"/>
        <v/>
      </c>
    </row>
    <row r="201" spans="1:31" x14ac:dyDescent="0.3">
      <c r="A201" s="47" t="str">
        <f>IFERROR(INDEX('G-8 Condition Look up'!$I$4:$I$130,MATCH(F201,'G-8 Condition Look up'!$A$4:$A$130,0)),"")</f>
        <v/>
      </c>
      <c r="C201" s="384" t="str">
        <f>IFERROR(INDEX('G-1 All Habitats'!$AG$3:$AG$15,MATCH(D201,'G-1 All Habitats'!$AF$3:$AF$15,0)),"")</f>
        <v/>
      </c>
      <c r="D201" s="146"/>
      <c r="E201" s="79"/>
      <c r="F201" s="246" t="str">
        <f>IFERROR(INDEX('G-1 All Habitats'!$B$3:$B$129,MATCH(E201,'G-1 All Habitats'!$A$3:$A$129,0)),"")</f>
        <v/>
      </c>
      <c r="G201" s="70"/>
      <c r="H201" s="498" t="str">
        <f>IF(F201="","",VLOOKUP(F201,'G-1 All Habitats'!$B$2:$M$129,10,FALSE))</f>
        <v/>
      </c>
      <c r="I201" s="499" t="str">
        <f>IFERROR(VLOOKUP(H201,'G-1 All Habitats'!$V$3:$W$7,2,FALSE),"")</f>
        <v/>
      </c>
      <c r="J201" s="71"/>
      <c r="K201" s="499" t="str">
        <f>IFERROR(INDEX('G-8 Condition Look up'!$A$3:$H$130,MATCH(F201,'G-8 Condition Look up'!$A$3:$A$130,0),MATCH(J201,'G-8 Condition Look up'!$A$3:$H$3,0)),"")</f>
        <v/>
      </c>
      <c r="L201" s="71"/>
      <c r="M201" s="507" t="str">
        <f>IF(L201="","",IF(VLOOKUP(L201,'G-3 Multipliers'!$L$3:$N$6,2,FALSE)=0,"Spatial Data Missing",VLOOKUP(L201,'G-3 Multipliers'!$L$3:$N$6,2,FALSE)))</f>
        <v/>
      </c>
      <c r="N201" s="505" t="str">
        <f>IF(L201="","",IF(VLOOKUP(L201,'G-3 Multipliers'!$L$3:$N$6,3,FALSE)=0,"Spatial Data Missing",VLOOKUP(L201,'G-3 Multipliers'!$L$3:$N$6,3,FALSE)))</f>
        <v/>
      </c>
      <c r="O201" s="498" t="str">
        <f t="shared" si="12"/>
        <v/>
      </c>
      <c r="P201" s="82"/>
      <c r="Q201" s="82"/>
      <c r="R201" s="507" t="str">
        <f t="shared" si="14"/>
        <v/>
      </c>
      <c r="S201" s="521" t="str">
        <f t="shared" si="15"/>
        <v/>
      </c>
      <c r="T201" s="522" t="str">
        <f>IFERROR(IF(S201="Check Data ⚠","Check Data ⚠",VLOOKUP(S201,'G-4 Temporal multipliers'!$A$4:$C$37,3,FALSE)),"")</f>
        <v/>
      </c>
      <c r="U201" s="523" t="str">
        <f>IF(F201="","",VLOOKUP(F201,'G-3 Multipliers'!$A$2:$E$129,2,FALSE))</f>
        <v/>
      </c>
      <c r="V201" s="520" t="str">
        <f t="shared" si="16"/>
        <v/>
      </c>
      <c r="W201" s="520" t="str">
        <f>IF(E201="","",IF(AND(V201="Standard difficulty applied",O201&gt;P201),U201,IF(AND(V201="Low Difficulty - only applicable if all habitat created before losses",P201&gt;=O201),"Low",VLOOKUP(F201,'G-3 Multipliers'!$A$2:$E$129,4,FALSE))))</f>
        <v/>
      </c>
      <c r="X201" s="524" t="str">
        <f>IFERROR(IF(E201="","",VLOOKUP(W201, 'G-3 Multipliers'!$P$2:$Q$6,2,FALSE)),"")</f>
        <v/>
      </c>
      <c r="Y201" s="529" t="str">
        <f t="shared" si="17"/>
        <v/>
      </c>
      <c r="Z201" s="239"/>
      <c r="AA201" s="240"/>
      <c r="AE201" s="54" t="str">
        <f t="shared" si="13"/>
        <v/>
      </c>
    </row>
    <row r="202" spans="1:31" x14ac:dyDescent="0.3">
      <c r="A202" s="47" t="str">
        <f>IFERROR(INDEX('G-8 Condition Look up'!$I$4:$I$130,MATCH(F202,'G-8 Condition Look up'!$A$4:$A$130,0)),"")</f>
        <v/>
      </c>
      <c r="C202" s="384" t="str">
        <f>IFERROR(INDEX('G-1 All Habitats'!$AG$3:$AG$15,MATCH(D202,'G-1 All Habitats'!$AF$3:$AF$15,0)),"")</f>
        <v/>
      </c>
      <c r="D202" s="146"/>
      <c r="E202" s="79"/>
      <c r="F202" s="246" t="str">
        <f>IFERROR(INDEX('G-1 All Habitats'!$B$3:$B$129,MATCH(E202,'G-1 All Habitats'!$A$3:$A$129,0)),"")</f>
        <v/>
      </c>
      <c r="G202" s="70"/>
      <c r="H202" s="498" t="str">
        <f>IF(F202="","",VLOOKUP(F202,'G-1 All Habitats'!$B$2:$M$129,10,FALSE))</f>
        <v/>
      </c>
      <c r="I202" s="499" t="str">
        <f>IFERROR(VLOOKUP(H202,'G-1 All Habitats'!$V$3:$W$7,2,FALSE),"")</f>
        <v/>
      </c>
      <c r="J202" s="71"/>
      <c r="K202" s="499" t="str">
        <f>IFERROR(INDEX('G-8 Condition Look up'!$A$3:$H$130,MATCH(F202,'G-8 Condition Look up'!$A$3:$A$130,0),MATCH(J202,'G-8 Condition Look up'!$A$3:$H$3,0)),"")</f>
        <v/>
      </c>
      <c r="L202" s="71"/>
      <c r="M202" s="507" t="str">
        <f>IF(L202="","",IF(VLOOKUP(L202,'G-3 Multipliers'!$L$3:$N$6,2,FALSE)=0,"Spatial Data Missing",VLOOKUP(L202,'G-3 Multipliers'!$L$3:$N$6,2,FALSE)))</f>
        <v/>
      </c>
      <c r="N202" s="505" t="str">
        <f>IF(L202="","",IF(VLOOKUP(L202,'G-3 Multipliers'!$L$3:$N$6,3,FALSE)=0,"Spatial Data Missing",VLOOKUP(L202,'G-3 Multipliers'!$L$3:$N$6,3,FALSE)))</f>
        <v/>
      </c>
      <c r="O202" s="498" t="str">
        <f t="shared" si="12"/>
        <v/>
      </c>
      <c r="P202" s="82"/>
      <c r="Q202" s="82"/>
      <c r="R202" s="507" t="str">
        <f t="shared" si="14"/>
        <v/>
      </c>
      <c r="S202" s="521" t="str">
        <f t="shared" si="15"/>
        <v/>
      </c>
      <c r="T202" s="522" t="str">
        <f>IFERROR(IF(S202="Check Data ⚠","Check Data ⚠",VLOOKUP(S202,'G-4 Temporal multipliers'!$A$4:$C$37,3,FALSE)),"")</f>
        <v/>
      </c>
      <c r="U202" s="523" t="str">
        <f>IF(F202="","",VLOOKUP(F202,'G-3 Multipliers'!$A$2:$E$129,2,FALSE))</f>
        <v/>
      </c>
      <c r="V202" s="520" t="str">
        <f t="shared" si="16"/>
        <v/>
      </c>
      <c r="W202" s="520" t="str">
        <f>IF(E202="","",IF(AND(V202="Standard difficulty applied",O202&gt;P202),U202,IF(AND(V202="Low Difficulty - only applicable if all habitat created before losses",P202&gt;=O202),"Low",VLOOKUP(F202,'G-3 Multipliers'!$A$2:$E$129,4,FALSE))))</f>
        <v/>
      </c>
      <c r="X202" s="524" t="str">
        <f>IFERROR(IF(E202="","",VLOOKUP(W202, 'G-3 Multipliers'!$P$2:$Q$6,2,FALSE)),"")</f>
        <v/>
      </c>
      <c r="Y202" s="529" t="str">
        <f t="shared" si="17"/>
        <v/>
      </c>
      <c r="Z202" s="239"/>
      <c r="AA202" s="240"/>
      <c r="AE202" s="54" t="str">
        <f t="shared" si="13"/>
        <v/>
      </c>
    </row>
    <row r="203" spans="1:31" x14ac:dyDescent="0.3">
      <c r="A203" s="47" t="str">
        <f>IFERROR(INDEX('G-8 Condition Look up'!$I$4:$I$130,MATCH(F203,'G-8 Condition Look up'!$A$4:$A$130,0)),"")</f>
        <v/>
      </c>
      <c r="C203" s="384" t="str">
        <f>IFERROR(INDEX('G-1 All Habitats'!$AG$3:$AG$15,MATCH(D203,'G-1 All Habitats'!$AF$3:$AF$15,0)),"")</f>
        <v/>
      </c>
      <c r="D203" s="146"/>
      <c r="E203" s="79"/>
      <c r="F203" s="246" t="str">
        <f>IFERROR(INDEX('G-1 All Habitats'!$B$3:$B$129,MATCH(E203,'G-1 All Habitats'!$A$3:$A$129,0)),"")</f>
        <v/>
      </c>
      <c r="G203" s="70"/>
      <c r="H203" s="498" t="str">
        <f>IF(F203="","",VLOOKUP(F203,'G-1 All Habitats'!$B$2:$M$129,10,FALSE))</f>
        <v/>
      </c>
      <c r="I203" s="499" t="str">
        <f>IFERROR(VLOOKUP(H203,'G-1 All Habitats'!$V$3:$W$7,2,FALSE),"")</f>
        <v/>
      </c>
      <c r="J203" s="71"/>
      <c r="K203" s="499" t="str">
        <f>IFERROR(INDEX('G-8 Condition Look up'!$A$3:$H$130,MATCH(F203,'G-8 Condition Look up'!$A$3:$A$130,0),MATCH(J203,'G-8 Condition Look up'!$A$3:$H$3,0)),"")</f>
        <v/>
      </c>
      <c r="L203" s="71"/>
      <c r="M203" s="507" t="str">
        <f>IF(L203="","",IF(VLOOKUP(L203,'G-3 Multipliers'!$L$3:$N$6,2,FALSE)=0,"Spatial Data Missing",VLOOKUP(L203,'G-3 Multipliers'!$L$3:$N$6,2,FALSE)))</f>
        <v/>
      </c>
      <c r="N203" s="505" t="str">
        <f>IF(L203="","",IF(VLOOKUP(L203,'G-3 Multipliers'!$L$3:$N$6,3,FALSE)=0,"Spatial Data Missing",VLOOKUP(L203,'G-3 Multipliers'!$L$3:$N$6,3,FALSE)))</f>
        <v/>
      </c>
      <c r="O203" s="498" t="str">
        <f t="shared" ref="O203:O256" si="18">IFERROR(INDEX(TemporalData,MATCH(F203,TemporalHabitats,0),MATCH(J203,TemporalConditions,0)),"")</f>
        <v/>
      </c>
      <c r="P203" s="82"/>
      <c r="Q203" s="82"/>
      <c r="R203" s="507" t="str">
        <f t="shared" si="14"/>
        <v/>
      </c>
      <c r="S203" s="521" t="str">
        <f t="shared" si="15"/>
        <v/>
      </c>
      <c r="T203" s="522" t="str">
        <f>IFERROR(IF(S203="Check Data ⚠","Check Data ⚠",VLOOKUP(S203,'G-4 Temporal multipliers'!$A$4:$C$37,3,FALSE)),"")</f>
        <v/>
      </c>
      <c r="U203" s="523" t="str">
        <f>IF(F203="","",VLOOKUP(F203,'G-3 Multipliers'!$A$2:$E$129,2,FALSE))</f>
        <v/>
      </c>
      <c r="V203" s="520" t="str">
        <f t="shared" si="16"/>
        <v/>
      </c>
      <c r="W203" s="520" t="str">
        <f>IF(E203="","",IF(AND(V203="Standard difficulty applied",O203&gt;P203),U203,IF(AND(V203="Low Difficulty - only applicable if all habitat created before losses",P203&gt;=O203),"Low",VLOOKUP(F203,'G-3 Multipliers'!$A$2:$E$129,4,FALSE))))</f>
        <v/>
      </c>
      <c r="X203" s="524" t="str">
        <f>IFERROR(IF(E203="","",VLOOKUP(W203, 'G-3 Multipliers'!$P$2:$Q$6,2,FALSE)),"")</f>
        <v/>
      </c>
      <c r="Y203" s="529" t="str">
        <f t="shared" si="17"/>
        <v/>
      </c>
      <c r="Z203" s="239"/>
      <c r="AA203" s="240"/>
      <c r="AE203" s="54" t="str">
        <f t="shared" ref="AE203:AE256" si="19">IFERROR(INDEX(TemporalData,MATCH(F203,TemporalHabitats,0),MATCH($AE$10,TemporalConditions,0)),"")</f>
        <v/>
      </c>
    </row>
    <row r="204" spans="1:31" x14ac:dyDescent="0.3">
      <c r="A204" s="47" t="str">
        <f>IFERROR(INDEX('G-8 Condition Look up'!$I$4:$I$130,MATCH(F204,'G-8 Condition Look up'!$A$4:$A$130,0)),"")</f>
        <v/>
      </c>
      <c r="C204" s="384" t="str">
        <f>IFERROR(INDEX('G-1 All Habitats'!$AG$3:$AG$15,MATCH(D204,'G-1 All Habitats'!$AF$3:$AF$15,0)),"")</f>
        <v/>
      </c>
      <c r="D204" s="146"/>
      <c r="E204" s="79"/>
      <c r="F204" s="246" t="str">
        <f>IFERROR(INDEX('G-1 All Habitats'!$B$3:$B$129,MATCH(E204,'G-1 All Habitats'!$A$3:$A$129,0)),"")</f>
        <v/>
      </c>
      <c r="G204" s="70"/>
      <c r="H204" s="498" t="str">
        <f>IF(F204="","",VLOOKUP(F204,'G-1 All Habitats'!$B$2:$M$129,10,FALSE))</f>
        <v/>
      </c>
      <c r="I204" s="499" t="str">
        <f>IFERROR(VLOOKUP(H204,'G-1 All Habitats'!$V$3:$W$7,2,FALSE),"")</f>
        <v/>
      </c>
      <c r="J204" s="71"/>
      <c r="K204" s="499" t="str">
        <f>IFERROR(INDEX('G-8 Condition Look up'!$A$3:$H$130,MATCH(F204,'G-8 Condition Look up'!$A$3:$A$130,0),MATCH(J204,'G-8 Condition Look up'!$A$3:$H$3,0)),"")</f>
        <v/>
      </c>
      <c r="L204" s="71"/>
      <c r="M204" s="507" t="str">
        <f>IF(L204="","",IF(VLOOKUP(L204,'G-3 Multipliers'!$L$3:$N$6,2,FALSE)=0,"Spatial Data Missing",VLOOKUP(L204,'G-3 Multipliers'!$L$3:$N$6,2,FALSE)))</f>
        <v/>
      </c>
      <c r="N204" s="505" t="str">
        <f>IF(L204="","",IF(VLOOKUP(L204,'G-3 Multipliers'!$L$3:$N$6,3,FALSE)=0,"Spatial Data Missing",VLOOKUP(L204,'G-3 Multipliers'!$L$3:$N$6,3,FALSE)))</f>
        <v/>
      </c>
      <c r="O204" s="498" t="str">
        <f t="shared" si="18"/>
        <v/>
      </c>
      <c r="P204" s="82"/>
      <c r="Q204" s="82"/>
      <c r="R204" s="507" t="str">
        <f t="shared" ref="R204:R256" si="20">IF(E204="","",IF(AND(P204&gt;0,Q204&gt;0),"Error -both advance and delayed habitat creation ▲",IF(I204=0,"Standard time to target condition applied",IF(AND(J204="N/A -Agricultural",O204&lt;=P204),"Check details - Is there evidence habitat creation in place? ⚠",IF(AND(O204&lt;=P204,Q204=0),"Check details - Is there evidence that habitat has reached target condition? ⚠",IF(O204="","",IF(AND(P204&gt;=AE204,P204&gt;0),"Check details - Is there evidence habitat creation started and the threshold for Poor condition reached? ⚠",IF(Q204&gt;0,"Check details- Delay in starting habitat in required condition? ⚠",IF(P204&gt;0,"Check details - Is there evidence habitat creation started/in place? ⚠","Standard time to target condition applied")))))))))</f>
        <v/>
      </c>
      <c r="S204" s="521" t="str">
        <f t="shared" ref="S204:S256" si="21">IF(R204="Error -both advance and delayed habitat creation ▲","Check Data ⚠",IF(O204="Not Possible","Check Data ⚠",IF(O204="","",IF(AND(O204="30+",P204=0),"30+",IF(AND(O204="30+",P204="30+"),0,IF(AND(O204="30+",P204&lt;32),30-P204,IF(O204="30+",30-P204,IF(P204&gt;O204,0,IF(Q204="30+","30+",IF(O204+Q204&gt;30,"30+",IF(O204+Q204&gt;30,"30+",IF(O204-P204&gt;30,"30+",IF(O204+Q204-P204&gt;0,O204+Q204-P204,IF(O204-P204&gt;0,O204-P204,O204+Q204-P204))))))))))))))</f>
        <v/>
      </c>
      <c r="T204" s="522" t="str">
        <f>IFERROR(IF(S204="Check Data ⚠","Check Data ⚠",VLOOKUP(S204,'G-4 Temporal multipliers'!$A$4:$C$37,3,FALSE)),"")</f>
        <v/>
      </c>
      <c r="U204" s="523" t="str">
        <f>IF(F204="","",VLOOKUP(F204,'G-3 Multipliers'!$A$2:$E$129,2,FALSE))</f>
        <v/>
      </c>
      <c r="V204" s="520" t="str">
        <f t="shared" ref="V204:V256" si="22">IF(F204="","",IF($R204="Check details - Is there evidence that habitat has reached target condition? ⚠","Low Difficulty - only applicable if all habitat created before losses",IF($R204="Check details - Is there evidence habitat creation started and the threshold for Poor condition reached? ⚠","Enhancement difficulty applied","Standard difficulty applied")))</f>
        <v/>
      </c>
      <c r="W204" s="520" t="str">
        <f>IF(E204="","",IF(AND(V204="Standard difficulty applied",O204&gt;P204),U204,IF(AND(V204="Low Difficulty - only applicable if all habitat created before losses",P204&gt;=O204),"Low",VLOOKUP(F204,'G-3 Multipliers'!$A$2:$E$129,4,FALSE))))</f>
        <v/>
      </c>
      <c r="X204" s="524" t="str">
        <f>IFERROR(IF(E204="","",VLOOKUP(W204, 'G-3 Multipliers'!$P$2:$Q$6,2,FALSE)),"")</f>
        <v/>
      </c>
      <c r="Y204" s="529" t="str">
        <f t="shared" ref="Y204:Y256" si="23">IFERROR(G204*I204*K204*N204*T204*X204,"")</f>
        <v/>
      </c>
      <c r="Z204" s="239"/>
      <c r="AA204" s="240"/>
      <c r="AE204" s="54" t="str">
        <f t="shared" si="19"/>
        <v/>
      </c>
    </row>
    <row r="205" spans="1:31" x14ac:dyDescent="0.3">
      <c r="A205" s="47" t="str">
        <f>IFERROR(INDEX('G-8 Condition Look up'!$I$4:$I$130,MATCH(F205,'G-8 Condition Look up'!$A$4:$A$130,0)),"")</f>
        <v/>
      </c>
      <c r="C205" s="384" t="str">
        <f>IFERROR(INDEX('G-1 All Habitats'!$AG$3:$AG$15,MATCH(D205,'G-1 All Habitats'!$AF$3:$AF$15,0)),"")</f>
        <v/>
      </c>
      <c r="D205" s="146"/>
      <c r="E205" s="79"/>
      <c r="F205" s="246" t="str">
        <f>IFERROR(INDEX('G-1 All Habitats'!$B$3:$B$129,MATCH(E205,'G-1 All Habitats'!$A$3:$A$129,0)),"")</f>
        <v/>
      </c>
      <c r="G205" s="70"/>
      <c r="H205" s="498" t="str">
        <f>IF(F205="","",VLOOKUP(F205,'G-1 All Habitats'!$B$2:$M$129,10,FALSE))</f>
        <v/>
      </c>
      <c r="I205" s="499" t="str">
        <f>IFERROR(VLOOKUP(H205,'G-1 All Habitats'!$V$3:$W$7,2,FALSE),"")</f>
        <v/>
      </c>
      <c r="J205" s="71"/>
      <c r="K205" s="499" t="str">
        <f>IFERROR(INDEX('G-8 Condition Look up'!$A$3:$H$130,MATCH(F205,'G-8 Condition Look up'!$A$3:$A$130,0),MATCH(J205,'G-8 Condition Look up'!$A$3:$H$3,0)),"")</f>
        <v/>
      </c>
      <c r="L205" s="71"/>
      <c r="M205" s="507" t="str">
        <f>IF(L205="","",IF(VLOOKUP(L205,'G-3 Multipliers'!$L$3:$N$6,2,FALSE)=0,"Spatial Data Missing",VLOOKUP(L205,'G-3 Multipliers'!$L$3:$N$6,2,FALSE)))</f>
        <v/>
      </c>
      <c r="N205" s="505" t="str">
        <f>IF(L205="","",IF(VLOOKUP(L205,'G-3 Multipliers'!$L$3:$N$6,3,FALSE)=0,"Spatial Data Missing",VLOOKUP(L205,'G-3 Multipliers'!$L$3:$N$6,3,FALSE)))</f>
        <v/>
      </c>
      <c r="O205" s="498" t="str">
        <f t="shared" si="18"/>
        <v/>
      </c>
      <c r="P205" s="82"/>
      <c r="Q205" s="82"/>
      <c r="R205" s="507" t="str">
        <f t="shared" si="20"/>
        <v/>
      </c>
      <c r="S205" s="521" t="str">
        <f t="shared" si="21"/>
        <v/>
      </c>
      <c r="T205" s="522" t="str">
        <f>IFERROR(IF(S205="Check Data ⚠","Check Data ⚠",VLOOKUP(S205,'G-4 Temporal multipliers'!$A$4:$C$37,3,FALSE)),"")</f>
        <v/>
      </c>
      <c r="U205" s="523" t="str">
        <f>IF(F205="","",VLOOKUP(F205,'G-3 Multipliers'!$A$2:$E$129,2,FALSE))</f>
        <v/>
      </c>
      <c r="V205" s="520" t="str">
        <f t="shared" si="22"/>
        <v/>
      </c>
      <c r="W205" s="520" t="str">
        <f>IF(E205="","",IF(AND(V205="Standard difficulty applied",O205&gt;P205),U205,IF(AND(V205="Low Difficulty - only applicable if all habitat created before losses",P205&gt;=O205),"Low",VLOOKUP(F205,'G-3 Multipliers'!$A$2:$E$129,4,FALSE))))</f>
        <v/>
      </c>
      <c r="X205" s="524" t="str">
        <f>IFERROR(IF(E205="","",VLOOKUP(W205, 'G-3 Multipliers'!$P$2:$Q$6,2,FALSE)),"")</f>
        <v/>
      </c>
      <c r="Y205" s="529" t="str">
        <f t="shared" si="23"/>
        <v/>
      </c>
      <c r="Z205" s="239"/>
      <c r="AA205" s="240"/>
      <c r="AE205" s="54" t="str">
        <f t="shared" si="19"/>
        <v/>
      </c>
    </row>
    <row r="206" spans="1:31" x14ac:dyDescent="0.3">
      <c r="A206" s="47" t="str">
        <f>IFERROR(INDEX('G-8 Condition Look up'!$I$4:$I$130,MATCH(F206,'G-8 Condition Look up'!$A$4:$A$130,0)),"")</f>
        <v/>
      </c>
      <c r="C206" s="384" t="str">
        <f>IFERROR(INDEX('G-1 All Habitats'!$AG$3:$AG$15,MATCH(D206,'G-1 All Habitats'!$AF$3:$AF$15,0)),"")</f>
        <v/>
      </c>
      <c r="D206" s="146"/>
      <c r="E206" s="79"/>
      <c r="F206" s="246" t="str">
        <f>IFERROR(INDEX('G-1 All Habitats'!$B$3:$B$129,MATCH(E206,'G-1 All Habitats'!$A$3:$A$129,0)),"")</f>
        <v/>
      </c>
      <c r="G206" s="70"/>
      <c r="H206" s="498" t="str">
        <f>IF(F206="","",VLOOKUP(F206,'G-1 All Habitats'!$B$2:$M$129,10,FALSE))</f>
        <v/>
      </c>
      <c r="I206" s="499" t="str">
        <f>IFERROR(VLOOKUP(H206,'G-1 All Habitats'!$V$3:$W$7,2,FALSE),"")</f>
        <v/>
      </c>
      <c r="J206" s="71"/>
      <c r="K206" s="499" t="str">
        <f>IFERROR(INDEX('G-8 Condition Look up'!$A$3:$H$130,MATCH(F206,'G-8 Condition Look up'!$A$3:$A$130,0),MATCH(J206,'G-8 Condition Look up'!$A$3:$H$3,0)),"")</f>
        <v/>
      </c>
      <c r="L206" s="71"/>
      <c r="M206" s="507" t="str">
        <f>IF(L206="","",IF(VLOOKUP(L206,'G-3 Multipliers'!$L$3:$N$6,2,FALSE)=0,"Spatial Data Missing",VLOOKUP(L206,'G-3 Multipliers'!$L$3:$N$6,2,FALSE)))</f>
        <v/>
      </c>
      <c r="N206" s="505" t="str">
        <f>IF(L206="","",IF(VLOOKUP(L206,'G-3 Multipliers'!$L$3:$N$6,3,FALSE)=0,"Spatial Data Missing",VLOOKUP(L206,'G-3 Multipliers'!$L$3:$N$6,3,FALSE)))</f>
        <v/>
      </c>
      <c r="O206" s="498" t="str">
        <f t="shared" si="18"/>
        <v/>
      </c>
      <c r="P206" s="82"/>
      <c r="Q206" s="82"/>
      <c r="R206" s="507" t="str">
        <f t="shared" si="20"/>
        <v/>
      </c>
      <c r="S206" s="521" t="str">
        <f t="shared" si="21"/>
        <v/>
      </c>
      <c r="T206" s="522" t="str">
        <f>IFERROR(IF(S206="Check Data ⚠","Check Data ⚠",VLOOKUP(S206,'G-4 Temporal multipliers'!$A$4:$C$37,3,FALSE)),"")</f>
        <v/>
      </c>
      <c r="U206" s="523" t="str">
        <f>IF(F206="","",VLOOKUP(F206,'G-3 Multipliers'!$A$2:$E$129,2,FALSE))</f>
        <v/>
      </c>
      <c r="V206" s="520" t="str">
        <f t="shared" si="22"/>
        <v/>
      </c>
      <c r="W206" s="520" t="str">
        <f>IF(E206="","",IF(AND(V206="Standard difficulty applied",O206&gt;P206),U206,IF(AND(V206="Low Difficulty - only applicable if all habitat created before losses",P206&gt;=O206),"Low",VLOOKUP(F206,'G-3 Multipliers'!$A$2:$E$129,4,FALSE))))</f>
        <v/>
      </c>
      <c r="X206" s="524" t="str">
        <f>IFERROR(IF(E206="","",VLOOKUP(W206, 'G-3 Multipliers'!$P$2:$Q$6,2,FALSE)),"")</f>
        <v/>
      </c>
      <c r="Y206" s="529" t="str">
        <f t="shared" si="23"/>
        <v/>
      </c>
      <c r="Z206" s="239"/>
      <c r="AA206" s="240"/>
      <c r="AE206" s="54" t="str">
        <f t="shared" si="19"/>
        <v/>
      </c>
    </row>
    <row r="207" spans="1:31" x14ac:dyDescent="0.3">
      <c r="A207" s="47" t="str">
        <f>IFERROR(INDEX('G-8 Condition Look up'!$I$4:$I$130,MATCH(F207,'G-8 Condition Look up'!$A$4:$A$130,0)),"")</f>
        <v/>
      </c>
      <c r="C207" s="384" t="str">
        <f>IFERROR(INDEX('G-1 All Habitats'!$AG$3:$AG$15,MATCH(D207,'G-1 All Habitats'!$AF$3:$AF$15,0)),"")</f>
        <v/>
      </c>
      <c r="D207" s="146"/>
      <c r="E207" s="79"/>
      <c r="F207" s="246" t="str">
        <f>IFERROR(INDEX('G-1 All Habitats'!$B$3:$B$129,MATCH(E207,'G-1 All Habitats'!$A$3:$A$129,0)),"")</f>
        <v/>
      </c>
      <c r="G207" s="70"/>
      <c r="H207" s="498" t="str">
        <f>IF(F207="","",VLOOKUP(F207,'G-1 All Habitats'!$B$2:$M$129,10,FALSE))</f>
        <v/>
      </c>
      <c r="I207" s="499" t="str">
        <f>IFERROR(VLOOKUP(H207,'G-1 All Habitats'!$V$3:$W$7,2,FALSE),"")</f>
        <v/>
      </c>
      <c r="J207" s="71"/>
      <c r="K207" s="499" t="str">
        <f>IFERROR(INDEX('G-8 Condition Look up'!$A$3:$H$130,MATCH(F207,'G-8 Condition Look up'!$A$3:$A$130,0),MATCH(J207,'G-8 Condition Look up'!$A$3:$H$3,0)),"")</f>
        <v/>
      </c>
      <c r="L207" s="71"/>
      <c r="M207" s="507" t="str">
        <f>IF(L207="","",IF(VLOOKUP(L207,'G-3 Multipliers'!$L$3:$N$6,2,FALSE)=0,"Spatial Data Missing",VLOOKUP(L207,'G-3 Multipliers'!$L$3:$N$6,2,FALSE)))</f>
        <v/>
      </c>
      <c r="N207" s="505" t="str">
        <f>IF(L207="","",IF(VLOOKUP(L207,'G-3 Multipliers'!$L$3:$N$6,3,FALSE)=0,"Spatial Data Missing",VLOOKUP(L207,'G-3 Multipliers'!$L$3:$N$6,3,FALSE)))</f>
        <v/>
      </c>
      <c r="O207" s="498" t="str">
        <f t="shared" si="18"/>
        <v/>
      </c>
      <c r="P207" s="82"/>
      <c r="Q207" s="82"/>
      <c r="R207" s="507" t="str">
        <f t="shared" si="20"/>
        <v/>
      </c>
      <c r="S207" s="521" t="str">
        <f t="shared" si="21"/>
        <v/>
      </c>
      <c r="T207" s="522" t="str">
        <f>IFERROR(IF(S207="Check Data ⚠","Check Data ⚠",VLOOKUP(S207,'G-4 Temporal multipliers'!$A$4:$C$37,3,FALSE)),"")</f>
        <v/>
      </c>
      <c r="U207" s="523" t="str">
        <f>IF(F207="","",VLOOKUP(F207,'G-3 Multipliers'!$A$2:$E$129,2,FALSE))</f>
        <v/>
      </c>
      <c r="V207" s="520" t="str">
        <f t="shared" si="22"/>
        <v/>
      </c>
      <c r="W207" s="520" t="str">
        <f>IF(E207="","",IF(AND(V207="Standard difficulty applied",O207&gt;P207),U207,IF(AND(V207="Low Difficulty - only applicable if all habitat created before losses",P207&gt;=O207),"Low",VLOOKUP(F207,'G-3 Multipliers'!$A$2:$E$129,4,FALSE))))</f>
        <v/>
      </c>
      <c r="X207" s="524" t="str">
        <f>IFERROR(IF(E207="","",VLOOKUP(W207, 'G-3 Multipliers'!$P$2:$Q$6,2,FALSE)),"")</f>
        <v/>
      </c>
      <c r="Y207" s="529" t="str">
        <f t="shared" si="23"/>
        <v/>
      </c>
      <c r="Z207" s="239"/>
      <c r="AA207" s="240"/>
      <c r="AE207" s="54" t="str">
        <f t="shared" si="19"/>
        <v/>
      </c>
    </row>
    <row r="208" spans="1:31" x14ac:dyDescent="0.3">
      <c r="A208" s="47" t="str">
        <f>IFERROR(INDEX('G-8 Condition Look up'!$I$4:$I$130,MATCH(F208,'G-8 Condition Look up'!$A$4:$A$130,0)),"")</f>
        <v/>
      </c>
      <c r="C208" s="384" t="str">
        <f>IFERROR(INDEX('G-1 All Habitats'!$AG$3:$AG$15,MATCH(D208,'G-1 All Habitats'!$AF$3:$AF$15,0)),"")</f>
        <v/>
      </c>
      <c r="D208" s="146"/>
      <c r="E208" s="79"/>
      <c r="F208" s="246" t="str">
        <f>IFERROR(INDEX('G-1 All Habitats'!$B$3:$B$129,MATCH(E208,'G-1 All Habitats'!$A$3:$A$129,0)),"")</f>
        <v/>
      </c>
      <c r="G208" s="70"/>
      <c r="H208" s="498" t="str">
        <f>IF(F208="","",VLOOKUP(F208,'G-1 All Habitats'!$B$2:$M$129,10,FALSE))</f>
        <v/>
      </c>
      <c r="I208" s="499" t="str">
        <f>IFERROR(VLOOKUP(H208,'G-1 All Habitats'!$V$3:$W$7,2,FALSE),"")</f>
        <v/>
      </c>
      <c r="J208" s="71"/>
      <c r="K208" s="499" t="str">
        <f>IFERROR(INDEX('G-8 Condition Look up'!$A$3:$H$130,MATCH(F208,'G-8 Condition Look up'!$A$3:$A$130,0),MATCH(J208,'G-8 Condition Look up'!$A$3:$H$3,0)),"")</f>
        <v/>
      </c>
      <c r="L208" s="71"/>
      <c r="M208" s="507" t="str">
        <f>IF(L208="","",IF(VLOOKUP(L208,'G-3 Multipliers'!$L$3:$N$6,2,FALSE)=0,"Spatial Data Missing",VLOOKUP(L208,'G-3 Multipliers'!$L$3:$N$6,2,FALSE)))</f>
        <v/>
      </c>
      <c r="N208" s="505" t="str">
        <f>IF(L208="","",IF(VLOOKUP(L208,'G-3 Multipliers'!$L$3:$N$6,3,FALSE)=0,"Spatial Data Missing",VLOOKUP(L208,'G-3 Multipliers'!$L$3:$N$6,3,FALSE)))</f>
        <v/>
      </c>
      <c r="O208" s="498" t="str">
        <f t="shared" si="18"/>
        <v/>
      </c>
      <c r="P208" s="82"/>
      <c r="Q208" s="82"/>
      <c r="R208" s="507" t="str">
        <f t="shared" si="20"/>
        <v/>
      </c>
      <c r="S208" s="521" t="str">
        <f t="shared" si="21"/>
        <v/>
      </c>
      <c r="T208" s="522" t="str">
        <f>IFERROR(IF(S208="Check Data ⚠","Check Data ⚠",VLOOKUP(S208,'G-4 Temporal multipliers'!$A$4:$C$37,3,FALSE)),"")</f>
        <v/>
      </c>
      <c r="U208" s="523" t="str">
        <f>IF(F208="","",VLOOKUP(F208,'G-3 Multipliers'!$A$2:$E$129,2,FALSE))</f>
        <v/>
      </c>
      <c r="V208" s="520" t="str">
        <f t="shared" si="22"/>
        <v/>
      </c>
      <c r="W208" s="520" t="str">
        <f>IF(E208="","",IF(AND(V208="Standard difficulty applied",O208&gt;P208),U208,IF(AND(V208="Low Difficulty - only applicable if all habitat created before losses",P208&gt;=O208),"Low",VLOOKUP(F208,'G-3 Multipliers'!$A$2:$E$129,4,FALSE))))</f>
        <v/>
      </c>
      <c r="X208" s="524" t="str">
        <f>IFERROR(IF(E208="","",VLOOKUP(W208, 'G-3 Multipliers'!$P$2:$Q$6,2,FALSE)),"")</f>
        <v/>
      </c>
      <c r="Y208" s="529" t="str">
        <f t="shared" si="23"/>
        <v/>
      </c>
      <c r="Z208" s="239"/>
      <c r="AA208" s="240"/>
      <c r="AE208" s="54" t="str">
        <f t="shared" si="19"/>
        <v/>
      </c>
    </row>
    <row r="209" spans="1:31" x14ac:dyDescent="0.3">
      <c r="A209" s="47" t="str">
        <f>IFERROR(INDEX('G-8 Condition Look up'!$I$4:$I$130,MATCH(F209,'G-8 Condition Look up'!$A$4:$A$130,0)),"")</f>
        <v/>
      </c>
      <c r="C209" s="384" t="str">
        <f>IFERROR(INDEX('G-1 All Habitats'!$AG$3:$AG$15,MATCH(D209,'G-1 All Habitats'!$AF$3:$AF$15,0)),"")</f>
        <v/>
      </c>
      <c r="D209" s="146"/>
      <c r="E209" s="79"/>
      <c r="F209" s="246" t="str">
        <f>IFERROR(INDEX('G-1 All Habitats'!$B$3:$B$129,MATCH(E209,'G-1 All Habitats'!$A$3:$A$129,0)),"")</f>
        <v/>
      </c>
      <c r="G209" s="70"/>
      <c r="H209" s="498" t="str">
        <f>IF(F209="","",VLOOKUP(F209,'G-1 All Habitats'!$B$2:$M$129,10,FALSE))</f>
        <v/>
      </c>
      <c r="I209" s="499" t="str">
        <f>IFERROR(VLOOKUP(H209,'G-1 All Habitats'!$V$3:$W$7,2,FALSE),"")</f>
        <v/>
      </c>
      <c r="J209" s="71"/>
      <c r="K209" s="499" t="str">
        <f>IFERROR(INDEX('G-8 Condition Look up'!$A$3:$H$130,MATCH(F209,'G-8 Condition Look up'!$A$3:$A$130,0),MATCH(J209,'G-8 Condition Look up'!$A$3:$H$3,0)),"")</f>
        <v/>
      </c>
      <c r="L209" s="71"/>
      <c r="M209" s="507" t="str">
        <f>IF(L209="","",IF(VLOOKUP(L209,'G-3 Multipliers'!$L$3:$N$6,2,FALSE)=0,"Spatial Data Missing",VLOOKUP(L209,'G-3 Multipliers'!$L$3:$N$6,2,FALSE)))</f>
        <v/>
      </c>
      <c r="N209" s="505" t="str">
        <f>IF(L209="","",IF(VLOOKUP(L209,'G-3 Multipliers'!$L$3:$N$6,3,FALSE)=0,"Spatial Data Missing",VLOOKUP(L209,'G-3 Multipliers'!$L$3:$N$6,3,FALSE)))</f>
        <v/>
      </c>
      <c r="O209" s="498" t="str">
        <f t="shared" si="18"/>
        <v/>
      </c>
      <c r="P209" s="82"/>
      <c r="Q209" s="82"/>
      <c r="R209" s="507" t="str">
        <f t="shared" si="20"/>
        <v/>
      </c>
      <c r="S209" s="521" t="str">
        <f t="shared" si="21"/>
        <v/>
      </c>
      <c r="T209" s="522" t="str">
        <f>IFERROR(IF(S209="Check Data ⚠","Check Data ⚠",VLOOKUP(S209,'G-4 Temporal multipliers'!$A$4:$C$37,3,FALSE)),"")</f>
        <v/>
      </c>
      <c r="U209" s="523" t="str">
        <f>IF(F209="","",VLOOKUP(F209,'G-3 Multipliers'!$A$2:$E$129,2,FALSE))</f>
        <v/>
      </c>
      <c r="V209" s="520" t="str">
        <f t="shared" si="22"/>
        <v/>
      </c>
      <c r="W209" s="520" t="str">
        <f>IF(E209="","",IF(AND(V209="Standard difficulty applied",O209&gt;P209),U209,IF(AND(V209="Low Difficulty - only applicable if all habitat created before losses",P209&gt;=O209),"Low",VLOOKUP(F209,'G-3 Multipliers'!$A$2:$E$129,4,FALSE))))</f>
        <v/>
      </c>
      <c r="X209" s="524" t="str">
        <f>IFERROR(IF(E209="","",VLOOKUP(W209, 'G-3 Multipliers'!$P$2:$Q$6,2,FALSE)),"")</f>
        <v/>
      </c>
      <c r="Y209" s="529" t="str">
        <f t="shared" si="23"/>
        <v/>
      </c>
      <c r="Z209" s="239"/>
      <c r="AA209" s="240"/>
      <c r="AE209" s="54" t="str">
        <f t="shared" si="19"/>
        <v/>
      </c>
    </row>
    <row r="210" spans="1:31" x14ac:dyDescent="0.3">
      <c r="A210" s="47" t="str">
        <f>IFERROR(INDEX('G-8 Condition Look up'!$I$4:$I$130,MATCH(F210,'G-8 Condition Look up'!$A$4:$A$130,0)),"")</f>
        <v/>
      </c>
      <c r="C210" s="384" t="str">
        <f>IFERROR(INDEX('G-1 All Habitats'!$AG$3:$AG$15,MATCH(D210,'G-1 All Habitats'!$AF$3:$AF$15,0)),"")</f>
        <v/>
      </c>
      <c r="D210" s="146"/>
      <c r="E210" s="79"/>
      <c r="F210" s="246" t="str">
        <f>IFERROR(INDEX('G-1 All Habitats'!$B$3:$B$129,MATCH(E210,'G-1 All Habitats'!$A$3:$A$129,0)),"")</f>
        <v/>
      </c>
      <c r="G210" s="70"/>
      <c r="H210" s="498" t="str">
        <f>IF(F210="","",VLOOKUP(F210,'G-1 All Habitats'!$B$2:$M$129,10,FALSE))</f>
        <v/>
      </c>
      <c r="I210" s="499" t="str">
        <f>IFERROR(VLOOKUP(H210,'G-1 All Habitats'!$V$3:$W$7,2,FALSE),"")</f>
        <v/>
      </c>
      <c r="J210" s="71"/>
      <c r="K210" s="499" t="str">
        <f>IFERROR(INDEX('G-8 Condition Look up'!$A$3:$H$130,MATCH(F210,'G-8 Condition Look up'!$A$3:$A$130,0),MATCH(J210,'G-8 Condition Look up'!$A$3:$H$3,0)),"")</f>
        <v/>
      </c>
      <c r="L210" s="71"/>
      <c r="M210" s="507" t="str">
        <f>IF(L210="","",IF(VLOOKUP(L210,'G-3 Multipliers'!$L$3:$N$6,2,FALSE)=0,"Spatial Data Missing",VLOOKUP(L210,'G-3 Multipliers'!$L$3:$N$6,2,FALSE)))</f>
        <v/>
      </c>
      <c r="N210" s="505" t="str">
        <f>IF(L210="","",IF(VLOOKUP(L210,'G-3 Multipliers'!$L$3:$N$6,3,FALSE)=0,"Spatial Data Missing",VLOOKUP(L210,'G-3 Multipliers'!$L$3:$N$6,3,FALSE)))</f>
        <v/>
      </c>
      <c r="O210" s="498" t="str">
        <f t="shared" si="18"/>
        <v/>
      </c>
      <c r="P210" s="82"/>
      <c r="Q210" s="82"/>
      <c r="R210" s="507" t="str">
        <f t="shared" si="20"/>
        <v/>
      </c>
      <c r="S210" s="521" t="str">
        <f t="shared" si="21"/>
        <v/>
      </c>
      <c r="T210" s="522" t="str">
        <f>IFERROR(IF(S210="Check Data ⚠","Check Data ⚠",VLOOKUP(S210,'G-4 Temporal multipliers'!$A$4:$C$37,3,FALSE)),"")</f>
        <v/>
      </c>
      <c r="U210" s="523" t="str">
        <f>IF(F210="","",VLOOKUP(F210,'G-3 Multipliers'!$A$2:$E$129,2,FALSE))</f>
        <v/>
      </c>
      <c r="V210" s="520" t="str">
        <f t="shared" si="22"/>
        <v/>
      </c>
      <c r="W210" s="520" t="str">
        <f>IF(E210="","",IF(AND(V210="Standard difficulty applied",O210&gt;P210),U210,IF(AND(V210="Low Difficulty - only applicable if all habitat created before losses",P210&gt;=O210),"Low",VLOOKUP(F210,'G-3 Multipliers'!$A$2:$E$129,4,FALSE))))</f>
        <v/>
      </c>
      <c r="X210" s="524" t="str">
        <f>IFERROR(IF(E210="","",VLOOKUP(W210, 'G-3 Multipliers'!$P$2:$Q$6,2,FALSE)),"")</f>
        <v/>
      </c>
      <c r="Y210" s="529" t="str">
        <f t="shared" si="23"/>
        <v/>
      </c>
      <c r="Z210" s="239"/>
      <c r="AA210" s="240"/>
      <c r="AE210" s="54" t="str">
        <f t="shared" si="19"/>
        <v/>
      </c>
    </row>
    <row r="211" spans="1:31" x14ac:dyDescent="0.3">
      <c r="A211" s="47" t="str">
        <f>IFERROR(INDEX('G-8 Condition Look up'!$I$4:$I$130,MATCH(F211,'G-8 Condition Look up'!$A$4:$A$130,0)),"")</f>
        <v/>
      </c>
      <c r="C211" s="384" t="str">
        <f>IFERROR(INDEX('G-1 All Habitats'!$AG$3:$AG$15,MATCH(D211,'G-1 All Habitats'!$AF$3:$AF$15,0)),"")</f>
        <v/>
      </c>
      <c r="D211" s="146"/>
      <c r="E211" s="79"/>
      <c r="F211" s="246" t="str">
        <f>IFERROR(INDEX('G-1 All Habitats'!$B$3:$B$129,MATCH(E211,'G-1 All Habitats'!$A$3:$A$129,0)),"")</f>
        <v/>
      </c>
      <c r="G211" s="70"/>
      <c r="H211" s="498" t="str">
        <f>IF(F211="","",VLOOKUP(F211,'G-1 All Habitats'!$B$2:$M$129,10,FALSE))</f>
        <v/>
      </c>
      <c r="I211" s="499" t="str">
        <f>IFERROR(VLOOKUP(H211,'G-1 All Habitats'!$V$3:$W$7,2,FALSE),"")</f>
        <v/>
      </c>
      <c r="J211" s="71"/>
      <c r="K211" s="499" t="str">
        <f>IFERROR(INDEX('G-8 Condition Look up'!$A$3:$H$130,MATCH(F211,'G-8 Condition Look up'!$A$3:$A$130,0),MATCH(J211,'G-8 Condition Look up'!$A$3:$H$3,0)),"")</f>
        <v/>
      </c>
      <c r="L211" s="71"/>
      <c r="M211" s="507" t="str">
        <f>IF(L211="","",IF(VLOOKUP(L211,'G-3 Multipliers'!$L$3:$N$6,2,FALSE)=0,"Spatial Data Missing",VLOOKUP(L211,'G-3 Multipliers'!$L$3:$N$6,2,FALSE)))</f>
        <v/>
      </c>
      <c r="N211" s="505" t="str">
        <f>IF(L211="","",IF(VLOOKUP(L211,'G-3 Multipliers'!$L$3:$N$6,3,FALSE)=0,"Spatial Data Missing",VLOOKUP(L211,'G-3 Multipliers'!$L$3:$N$6,3,FALSE)))</f>
        <v/>
      </c>
      <c r="O211" s="498" t="str">
        <f t="shared" si="18"/>
        <v/>
      </c>
      <c r="P211" s="82"/>
      <c r="Q211" s="82"/>
      <c r="R211" s="507" t="str">
        <f t="shared" si="20"/>
        <v/>
      </c>
      <c r="S211" s="521" t="str">
        <f t="shared" si="21"/>
        <v/>
      </c>
      <c r="T211" s="522" t="str">
        <f>IFERROR(IF(S211="Check Data ⚠","Check Data ⚠",VLOOKUP(S211,'G-4 Temporal multipliers'!$A$4:$C$37,3,FALSE)),"")</f>
        <v/>
      </c>
      <c r="U211" s="523" t="str">
        <f>IF(F211="","",VLOOKUP(F211,'G-3 Multipliers'!$A$2:$E$129,2,FALSE))</f>
        <v/>
      </c>
      <c r="V211" s="520" t="str">
        <f t="shared" si="22"/>
        <v/>
      </c>
      <c r="W211" s="520" t="str">
        <f>IF(E211="","",IF(AND(V211="Standard difficulty applied",O211&gt;P211),U211,IF(AND(V211="Low Difficulty - only applicable if all habitat created before losses",P211&gt;=O211),"Low",VLOOKUP(F211,'G-3 Multipliers'!$A$2:$E$129,4,FALSE))))</f>
        <v/>
      </c>
      <c r="X211" s="524" t="str">
        <f>IFERROR(IF(E211="","",VLOOKUP(W211, 'G-3 Multipliers'!$P$2:$Q$6,2,FALSE)),"")</f>
        <v/>
      </c>
      <c r="Y211" s="529" t="str">
        <f t="shared" si="23"/>
        <v/>
      </c>
      <c r="Z211" s="239"/>
      <c r="AA211" s="240"/>
      <c r="AE211" s="54" t="str">
        <f t="shared" si="19"/>
        <v/>
      </c>
    </row>
    <row r="212" spans="1:31" x14ac:dyDescent="0.3">
      <c r="A212" s="47" t="str">
        <f>IFERROR(INDEX('G-8 Condition Look up'!$I$4:$I$130,MATCH(F212,'G-8 Condition Look up'!$A$4:$A$130,0)),"")</f>
        <v/>
      </c>
      <c r="C212" s="384" t="str">
        <f>IFERROR(INDEX('G-1 All Habitats'!$AG$3:$AG$15,MATCH(D212,'G-1 All Habitats'!$AF$3:$AF$15,0)),"")</f>
        <v/>
      </c>
      <c r="D212" s="146"/>
      <c r="E212" s="79"/>
      <c r="F212" s="246" t="str">
        <f>IFERROR(INDEX('G-1 All Habitats'!$B$3:$B$129,MATCH(E212,'G-1 All Habitats'!$A$3:$A$129,0)),"")</f>
        <v/>
      </c>
      <c r="G212" s="70"/>
      <c r="H212" s="498" t="str">
        <f>IF(F212="","",VLOOKUP(F212,'G-1 All Habitats'!$B$2:$M$129,10,FALSE))</f>
        <v/>
      </c>
      <c r="I212" s="499" t="str">
        <f>IFERROR(VLOOKUP(H212,'G-1 All Habitats'!$V$3:$W$7,2,FALSE),"")</f>
        <v/>
      </c>
      <c r="J212" s="71"/>
      <c r="K212" s="499" t="str">
        <f>IFERROR(INDEX('G-8 Condition Look up'!$A$3:$H$130,MATCH(F212,'G-8 Condition Look up'!$A$3:$A$130,0),MATCH(J212,'G-8 Condition Look up'!$A$3:$H$3,0)),"")</f>
        <v/>
      </c>
      <c r="L212" s="71"/>
      <c r="M212" s="507" t="str">
        <f>IF(L212="","",IF(VLOOKUP(L212,'G-3 Multipliers'!$L$3:$N$6,2,FALSE)=0,"Spatial Data Missing",VLOOKUP(L212,'G-3 Multipliers'!$L$3:$N$6,2,FALSE)))</f>
        <v/>
      </c>
      <c r="N212" s="505" t="str">
        <f>IF(L212="","",IF(VLOOKUP(L212,'G-3 Multipliers'!$L$3:$N$6,3,FALSE)=0,"Spatial Data Missing",VLOOKUP(L212,'G-3 Multipliers'!$L$3:$N$6,3,FALSE)))</f>
        <v/>
      </c>
      <c r="O212" s="498" t="str">
        <f t="shared" si="18"/>
        <v/>
      </c>
      <c r="P212" s="82"/>
      <c r="Q212" s="82"/>
      <c r="R212" s="507" t="str">
        <f t="shared" si="20"/>
        <v/>
      </c>
      <c r="S212" s="521" t="str">
        <f t="shared" si="21"/>
        <v/>
      </c>
      <c r="T212" s="522" t="str">
        <f>IFERROR(IF(S212="Check Data ⚠","Check Data ⚠",VLOOKUP(S212,'G-4 Temporal multipliers'!$A$4:$C$37,3,FALSE)),"")</f>
        <v/>
      </c>
      <c r="U212" s="523" t="str">
        <f>IF(F212="","",VLOOKUP(F212,'G-3 Multipliers'!$A$2:$E$129,2,FALSE))</f>
        <v/>
      </c>
      <c r="V212" s="520" t="str">
        <f t="shared" si="22"/>
        <v/>
      </c>
      <c r="W212" s="520" t="str">
        <f>IF(E212="","",IF(AND(V212="Standard difficulty applied",O212&gt;P212),U212,IF(AND(V212="Low Difficulty - only applicable if all habitat created before losses",P212&gt;=O212),"Low",VLOOKUP(F212,'G-3 Multipliers'!$A$2:$E$129,4,FALSE))))</f>
        <v/>
      </c>
      <c r="X212" s="524" t="str">
        <f>IFERROR(IF(E212="","",VLOOKUP(W212, 'G-3 Multipliers'!$P$2:$Q$6,2,FALSE)),"")</f>
        <v/>
      </c>
      <c r="Y212" s="529" t="str">
        <f t="shared" si="23"/>
        <v/>
      </c>
      <c r="Z212" s="239"/>
      <c r="AA212" s="240"/>
      <c r="AE212" s="54" t="str">
        <f t="shared" si="19"/>
        <v/>
      </c>
    </row>
    <row r="213" spans="1:31" x14ac:dyDescent="0.3">
      <c r="A213" s="47" t="str">
        <f>IFERROR(INDEX('G-8 Condition Look up'!$I$4:$I$130,MATCH(F213,'G-8 Condition Look up'!$A$4:$A$130,0)),"")</f>
        <v/>
      </c>
      <c r="C213" s="384" t="str">
        <f>IFERROR(INDEX('G-1 All Habitats'!$AG$3:$AG$15,MATCH(D213,'G-1 All Habitats'!$AF$3:$AF$15,0)),"")</f>
        <v/>
      </c>
      <c r="D213" s="146"/>
      <c r="E213" s="79"/>
      <c r="F213" s="246" t="str">
        <f>IFERROR(INDEX('G-1 All Habitats'!$B$3:$B$129,MATCH(E213,'G-1 All Habitats'!$A$3:$A$129,0)),"")</f>
        <v/>
      </c>
      <c r="G213" s="70"/>
      <c r="H213" s="498" t="str">
        <f>IF(F213="","",VLOOKUP(F213,'G-1 All Habitats'!$B$2:$M$129,10,FALSE))</f>
        <v/>
      </c>
      <c r="I213" s="499" t="str">
        <f>IFERROR(VLOOKUP(H213,'G-1 All Habitats'!$V$3:$W$7,2,FALSE),"")</f>
        <v/>
      </c>
      <c r="J213" s="71"/>
      <c r="K213" s="499" t="str">
        <f>IFERROR(INDEX('G-8 Condition Look up'!$A$3:$H$130,MATCH(F213,'G-8 Condition Look up'!$A$3:$A$130,0),MATCH(J213,'G-8 Condition Look up'!$A$3:$H$3,0)),"")</f>
        <v/>
      </c>
      <c r="L213" s="71"/>
      <c r="M213" s="507" t="str">
        <f>IF(L213="","",IF(VLOOKUP(L213,'G-3 Multipliers'!$L$3:$N$6,2,FALSE)=0,"Spatial Data Missing",VLOOKUP(L213,'G-3 Multipliers'!$L$3:$N$6,2,FALSE)))</f>
        <v/>
      </c>
      <c r="N213" s="505" t="str">
        <f>IF(L213="","",IF(VLOOKUP(L213,'G-3 Multipliers'!$L$3:$N$6,3,FALSE)=0,"Spatial Data Missing",VLOOKUP(L213,'G-3 Multipliers'!$L$3:$N$6,3,FALSE)))</f>
        <v/>
      </c>
      <c r="O213" s="498" t="str">
        <f t="shared" si="18"/>
        <v/>
      </c>
      <c r="P213" s="82"/>
      <c r="Q213" s="82"/>
      <c r="R213" s="507" t="str">
        <f t="shared" si="20"/>
        <v/>
      </c>
      <c r="S213" s="521" t="str">
        <f t="shared" si="21"/>
        <v/>
      </c>
      <c r="T213" s="522" t="str">
        <f>IFERROR(IF(S213="Check Data ⚠","Check Data ⚠",VLOOKUP(S213,'G-4 Temporal multipliers'!$A$4:$C$37,3,FALSE)),"")</f>
        <v/>
      </c>
      <c r="U213" s="523" t="str">
        <f>IF(F213="","",VLOOKUP(F213,'G-3 Multipliers'!$A$2:$E$129,2,FALSE))</f>
        <v/>
      </c>
      <c r="V213" s="520" t="str">
        <f t="shared" si="22"/>
        <v/>
      </c>
      <c r="W213" s="520" t="str">
        <f>IF(E213="","",IF(AND(V213="Standard difficulty applied",O213&gt;P213),U213,IF(AND(V213="Low Difficulty - only applicable if all habitat created before losses",P213&gt;=O213),"Low",VLOOKUP(F213,'G-3 Multipliers'!$A$2:$E$129,4,FALSE))))</f>
        <v/>
      </c>
      <c r="X213" s="524" t="str">
        <f>IFERROR(IF(E213="","",VLOOKUP(W213, 'G-3 Multipliers'!$P$2:$Q$6,2,FALSE)),"")</f>
        <v/>
      </c>
      <c r="Y213" s="529" t="str">
        <f t="shared" si="23"/>
        <v/>
      </c>
      <c r="Z213" s="239"/>
      <c r="AA213" s="240"/>
      <c r="AE213" s="54" t="str">
        <f t="shared" si="19"/>
        <v/>
      </c>
    </row>
    <row r="214" spans="1:31" x14ac:dyDescent="0.3">
      <c r="A214" s="47" t="str">
        <f>IFERROR(INDEX('G-8 Condition Look up'!$I$4:$I$130,MATCH(F214,'G-8 Condition Look up'!$A$4:$A$130,0)),"")</f>
        <v/>
      </c>
      <c r="C214" s="384" t="str">
        <f>IFERROR(INDEX('G-1 All Habitats'!$AG$3:$AG$15,MATCH(D214,'G-1 All Habitats'!$AF$3:$AF$15,0)),"")</f>
        <v/>
      </c>
      <c r="D214" s="146"/>
      <c r="E214" s="79"/>
      <c r="F214" s="246" t="str">
        <f>IFERROR(INDEX('G-1 All Habitats'!$B$3:$B$129,MATCH(E214,'G-1 All Habitats'!$A$3:$A$129,0)),"")</f>
        <v/>
      </c>
      <c r="G214" s="70"/>
      <c r="H214" s="498" t="str">
        <f>IF(F214="","",VLOOKUP(F214,'G-1 All Habitats'!$B$2:$M$129,10,FALSE))</f>
        <v/>
      </c>
      <c r="I214" s="499" t="str">
        <f>IFERROR(VLOOKUP(H214,'G-1 All Habitats'!$V$3:$W$7,2,FALSE),"")</f>
        <v/>
      </c>
      <c r="J214" s="71"/>
      <c r="K214" s="499" t="str">
        <f>IFERROR(INDEX('G-8 Condition Look up'!$A$3:$H$130,MATCH(F214,'G-8 Condition Look up'!$A$3:$A$130,0),MATCH(J214,'G-8 Condition Look up'!$A$3:$H$3,0)),"")</f>
        <v/>
      </c>
      <c r="L214" s="71"/>
      <c r="M214" s="507" t="str">
        <f>IF(L214="","",IF(VLOOKUP(L214,'G-3 Multipliers'!$L$3:$N$6,2,FALSE)=0,"Spatial Data Missing",VLOOKUP(L214,'G-3 Multipliers'!$L$3:$N$6,2,FALSE)))</f>
        <v/>
      </c>
      <c r="N214" s="505" t="str">
        <f>IF(L214="","",IF(VLOOKUP(L214,'G-3 Multipliers'!$L$3:$N$6,3,FALSE)=0,"Spatial Data Missing",VLOOKUP(L214,'G-3 Multipliers'!$L$3:$N$6,3,FALSE)))</f>
        <v/>
      </c>
      <c r="O214" s="498" t="str">
        <f t="shared" si="18"/>
        <v/>
      </c>
      <c r="P214" s="82"/>
      <c r="Q214" s="82"/>
      <c r="R214" s="507" t="str">
        <f t="shared" si="20"/>
        <v/>
      </c>
      <c r="S214" s="521" t="str">
        <f t="shared" si="21"/>
        <v/>
      </c>
      <c r="T214" s="522" t="str">
        <f>IFERROR(IF(S214="Check Data ⚠","Check Data ⚠",VLOOKUP(S214,'G-4 Temporal multipliers'!$A$4:$C$37,3,FALSE)),"")</f>
        <v/>
      </c>
      <c r="U214" s="523" t="str">
        <f>IF(F214="","",VLOOKUP(F214,'G-3 Multipliers'!$A$2:$E$129,2,FALSE))</f>
        <v/>
      </c>
      <c r="V214" s="520" t="str">
        <f t="shared" si="22"/>
        <v/>
      </c>
      <c r="W214" s="520" t="str">
        <f>IF(E214="","",IF(AND(V214="Standard difficulty applied",O214&gt;P214),U214,IF(AND(V214="Low Difficulty - only applicable if all habitat created before losses",P214&gt;=O214),"Low",VLOOKUP(F214,'G-3 Multipliers'!$A$2:$E$129,4,FALSE))))</f>
        <v/>
      </c>
      <c r="X214" s="524" t="str">
        <f>IFERROR(IF(E214="","",VLOOKUP(W214, 'G-3 Multipliers'!$P$2:$Q$6,2,FALSE)),"")</f>
        <v/>
      </c>
      <c r="Y214" s="529" t="str">
        <f t="shared" si="23"/>
        <v/>
      </c>
      <c r="Z214" s="239"/>
      <c r="AA214" s="240"/>
      <c r="AE214" s="54" t="str">
        <f t="shared" si="19"/>
        <v/>
      </c>
    </row>
    <row r="215" spans="1:31" x14ac:dyDescent="0.3">
      <c r="A215" s="47" t="str">
        <f>IFERROR(INDEX('G-8 Condition Look up'!$I$4:$I$130,MATCH(F215,'G-8 Condition Look up'!$A$4:$A$130,0)),"")</f>
        <v/>
      </c>
      <c r="C215" s="384" t="str">
        <f>IFERROR(INDEX('G-1 All Habitats'!$AG$3:$AG$15,MATCH(D215,'G-1 All Habitats'!$AF$3:$AF$15,0)),"")</f>
        <v/>
      </c>
      <c r="D215" s="146"/>
      <c r="E215" s="79"/>
      <c r="F215" s="246" t="str">
        <f>IFERROR(INDEX('G-1 All Habitats'!$B$3:$B$129,MATCH(E215,'G-1 All Habitats'!$A$3:$A$129,0)),"")</f>
        <v/>
      </c>
      <c r="G215" s="70"/>
      <c r="H215" s="498" t="str">
        <f>IF(F215="","",VLOOKUP(F215,'G-1 All Habitats'!$B$2:$M$129,10,FALSE))</f>
        <v/>
      </c>
      <c r="I215" s="499" t="str">
        <f>IFERROR(VLOOKUP(H215,'G-1 All Habitats'!$V$3:$W$7,2,FALSE),"")</f>
        <v/>
      </c>
      <c r="J215" s="71"/>
      <c r="K215" s="499" t="str">
        <f>IFERROR(INDEX('G-8 Condition Look up'!$A$3:$H$130,MATCH(F215,'G-8 Condition Look up'!$A$3:$A$130,0),MATCH(J215,'G-8 Condition Look up'!$A$3:$H$3,0)),"")</f>
        <v/>
      </c>
      <c r="L215" s="71"/>
      <c r="M215" s="507" t="str">
        <f>IF(L215="","",IF(VLOOKUP(L215,'G-3 Multipliers'!$L$3:$N$6,2,FALSE)=0,"Spatial Data Missing",VLOOKUP(L215,'G-3 Multipliers'!$L$3:$N$6,2,FALSE)))</f>
        <v/>
      </c>
      <c r="N215" s="505" t="str">
        <f>IF(L215="","",IF(VLOOKUP(L215,'G-3 Multipliers'!$L$3:$N$6,3,FALSE)=0,"Spatial Data Missing",VLOOKUP(L215,'G-3 Multipliers'!$L$3:$N$6,3,FALSE)))</f>
        <v/>
      </c>
      <c r="O215" s="498" t="str">
        <f t="shared" si="18"/>
        <v/>
      </c>
      <c r="P215" s="82"/>
      <c r="Q215" s="82"/>
      <c r="R215" s="507" t="str">
        <f t="shared" si="20"/>
        <v/>
      </c>
      <c r="S215" s="521" t="str">
        <f t="shared" si="21"/>
        <v/>
      </c>
      <c r="T215" s="522" t="str">
        <f>IFERROR(IF(S215="Check Data ⚠","Check Data ⚠",VLOOKUP(S215,'G-4 Temporal multipliers'!$A$4:$C$37,3,FALSE)),"")</f>
        <v/>
      </c>
      <c r="U215" s="523" t="str">
        <f>IF(F215="","",VLOOKUP(F215,'G-3 Multipliers'!$A$2:$E$129,2,FALSE))</f>
        <v/>
      </c>
      <c r="V215" s="520" t="str">
        <f t="shared" si="22"/>
        <v/>
      </c>
      <c r="W215" s="520" t="str">
        <f>IF(E215="","",IF(AND(V215="Standard difficulty applied",O215&gt;P215),U215,IF(AND(V215="Low Difficulty - only applicable if all habitat created before losses",P215&gt;=O215),"Low",VLOOKUP(F215,'G-3 Multipliers'!$A$2:$E$129,4,FALSE))))</f>
        <v/>
      </c>
      <c r="X215" s="524" t="str">
        <f>IFERROR(IF(E215="","",VLOOKUP(W215, 'G-3 Multipliers'!$P$2:$Q$6,2,FALSE)),"")</f>
        <v/>
      </c>
      <c r="Y215" s="529" t="str">
        <f t="shared" si="23"/>
        <v/>
      </c>
      <c r="Z215" s="239"/>
      <c r="AA215" s="240"/>
      <c r="AE215" s="54" t="str">
        <f t="shared" si="19"/>
        <v/>
      </c>
    </row>
    <row r="216" spans="1:31" x14ac:dyDescent="0.3">
      <c r="A216" s="47" t="str">
        <f>IFERROR(INDEX('G-8 Condition Look up'!$I$4:$I$130,MATCH(F216,'G-8 Condition Look up'!$A$4:$A$130,0)),"")</f>
        <v/>
      </c>
      <c r="C216" s="384" t="str">
        <f>IFERROR(INDEX('G-1 All Habitats'!$AG$3:$AG$15,MATCH(D216,'G-1 All Habitats'!$AF$3:$AF$15,0)),"")</f>
        <v/>
      </c>
      <c r="D216" s="146"/>
      <c r="E216" s="79"/>
      <c r="F216" s="246" t="str">
        <f>IFERROR(INDEX('G-1 All Habitats'!$B$3:$B$129,MATCH(E216,'G-1 All Habitats'!$A$3:$A$129,0)),"")</f>
        <v/>
      </c>
      <c r="G216" s="70"/>
      <c r="H216" s="498" t="str">
        <f>IF(F216="","",VLOOKUP(F216,'G-1 All Habitats'!$B$2:$M$129,10,FALSE))</f>
        <v/>
      </c>
      <c r="I216" s="499" t="str">
        <f>IFERROR(VLOOKUP(H216,'G-1 All Habitats'!$V$3:$W$7,2,FALSE),"")</f>
        <v/>
      </c>
      <c r="J216" s="71"/>
      <c r="K216" s="499" t="str">
        <f>IFERROR(INDEX('G-8 Condition Look up'!$A$3:$H$130,MATCH(F216,'G-8 Condition Look up'!$A$3:$A$130,0),MATCH(J216,'G-8 Condition Look up'!$A$3:$H$3,0)),"")</f>
        <v/>
      </c>
      <c r="L216" s="71"/>
      <c r="M216" s="507" t="str">
        <f>IF(L216="","",IF(VLOOKUP(L216,'G-3 Multipliers'!$L$3:$N$6,2,FALSE)=0,"Spatial Data Missing",VLOOKUP(L216,'G-3 Multipliers'!$L$3:$N$6,2,FALSE)))</f>
        <v/>
      </c>
      <c r="N216" s="505" t="str">
        <f>IF(L216="","",IF(VLOOKUP(L216,'G-3 Multipliers'!$L$3:$N$6,3,FALSE)=0,"Spatial Data Missing",VLOOKUP(L216,'G-3 Multipliers'!$L$3:$N$6,3,FALSE)))</f>
        <v/>
      </c>
      <c r="O216" s="498" t="str">
        <f t="shared" si="18"/>
        <v/>
      </c>
      <c r="P216" s="82"/>
      <c r="Q216" s="82"/>
      <c r="R216" s="507" t="str">
        <f t="shared" si="20"/>
        <v/>
      </c>
      <c r="S216" s="521" t="str">
        <f t="shared" si="21"/>
        <v/>
      </c>
      <c r="T216" s="522" t="str">
        <f>IFERROR(IF(S216="Check Data ⚠","Check Data ⚠",VLOOKUP(S216,'G-4 Temporal multipliers'!$A$4:$C$37,3,FALSE)),"")</f>
        <v/>
      </c>
      <c r="U216" s="523" t="str">
        <f>IF(F216="","",VLOOKUP(F216,'G-3 Multipliers'!$A$2:$E$129,2,FALSE))</f>
        <v/>
      </c>
      <c r="V216" s="520" t="str">
        <f t="shared" si="22"/>
        <v/>
      </c>
      <c r="W216" s="520" t="str">
        <f>IF(E216="","",IF(AND(V216="Standard difficulty applied",O216&gt;P216),U216,IF(AND(V216="Low Difficulty - only applicable if all habitat created before losses",P216&gt;=O216),"Low",VLOOKUP(F216,'G-3 Multipliers'!$A$2:$E$129,4,FALSE))))</f>
        <v/>
      </c>
      <c r="X216" s="524" t="str">
        <f>IFERROR(IF(E216="","",VLOOKUP(W216, 'G-3 Multipliers'!$P$2:$Q$6,2,FALSE)),"")</f>
        <v/>
      </c>
      <c r="Y216" s="529" t="str">
        <f t="shared" si="23"/>
        <v/>
      </c>
      <c r="Z216" s="239"/>
      <c r="AA216" s="240"/>
      <c r="AE216" s="54" t="str">
        <f t="shared" si="19"/>
        <v/>
      </c>
    </row>
    <row r="217" spans="1:31" x14ac:dyDescent="0.3">
      <c r="A217" s="47" t="str">
        <f>IFERROR(INDEX('G-8 Condition Look up'!$I$4:$I$130,MATCH(F217,'G-8 Condition Look up'!$A$4:$A$130,0)),"")</f>
        <v/>
      </c>
      <c r="C217" s="384" t="str">
        <f>IFERROR(INDEX('G-1 All Habitats'!$AG$3:$AG$15,MATCH(D217,'G-1 All Habitats'!$AF$3:$AF$15,0)),"")</f>
        <v/>
      </c>
      <c r="D217" s="146"/>
      <c r="E217" s="79"/>
      <c r="F217" s="246" t="str">
        <f>IFERROR(INDEX('G-1 All Habitats'!$B$3:$B$129,MATCH(E217,'G-1 All Habitats'!$A$3:$A$129,0)),"")</f>
        <v/>
      </c>
      <c r="G217" s="70"/>
      <c r="H217" s="498" t="str">
        <f>IF(F217="","",VLOOKUP(F217,'G-1 All Habitats'!$B$2:$M$129,10,FALSE))</f>
        <v/>
      </c>
      <c r="I217" s="499" t="str">
        <f>IFERROR(VLOOKUP(H217,'G-1 All Habitats'!$V$3:$W$7,2,FALSE),"")</f>
        <v/>
      </c>
      <c r="J217" s="71"/>
      <c r="K217" s="499" t="str">
        <f>IFERROR(INDEX('G-8 Condition Look up'!$A$3:$H$130,MATCH(F217,'G-8 Condition Look up'!$A$3:$A$130,0),MATCH(J217,'G-8 Condition Look up'!$A$3:$H$3,0)),"")</f>
        <v/>
      </c>
      <c r="L217" s="71"/>
      <c r="M217" s="507" t="str">
        <f>IF(L217="","",IF(VLOOKUP(L217,'G-3 Multipliers'!$L$3:$N$6,2,FALSE)=0,"Spatial Data Missing",VLOOKUP(L217,'G-3 Multipliers'!$L$3:$N$6,2,FALSE)))</f>
        <v/>
      </c>
      <c r="N217" s="505" t="str">
        <f>IF(L217="","",IF(VLOOKUP(L217,'G-3 Multipliers'!$L$3:$N$6,3,FALSE)=0,"Spatial Data Missing",VLOOKUP(L217,'G-3 Multipliers'!$L$3:$N$6,3,FALSE)))</f>
        <v/>
      </c>
      <c r="O217" s="498" t="str">
        <f t="shared" si="18"/>
        <v/>
      </c>
      <c r="P217" s="82"/>
      <c r="Q217" s="82"/>
      <c r="R217" s="507" t="str">
        <f t="shared" si="20"/>
        <v/>
      </c>
      <c r="S217" s="521" t="str">
        <f t="shared" si="21"/>
        <v/>
      </c>
      <c r="T217" s="522" t="str">
        <f>IFERROR(IF(S217="Check Data ⚠","Check Data ⚠",VLOOKUP(S217,'G-4 Temporal multipliers'!$A$4:$C$37,3,FALSE)),"")</f>
        <v/>
      </c>
      <c r="U217" s="523" t="str">
        <f>IF(F217="","",VLOOKUP(F217,'G-3 Multipliers'!$A$2:$E$129,2,FALSE))</f>
        <v/>
      </c>
      <c r="V217" s="520" t="str">
        <f t="shared" si="22"/>
        <v/>
      </c>
      <c r="W217" s="520" t="str">
        <f>IF(E217="","",IF(AND(V217="Standard difficulty applied",O217&gt;P217),U217,IF(AND(V217="Low Difficulty - only applicable if all habitat created before losses",P217&gt;=O217),"Low",VLOOKUP(F217,'G-3 Multipliers'!$A$2:$E$129,4,FALSE))))</f>
        <v/>
      </c>
      <c r="X217" s="524" t="str">
        <f>IFERROR(IF(E217="","",VLOOKUP(W217, 'G-3 Multipliers'!$P$2:$Q$6,2,FALSE)),"")</f>
        <v/>
      </c>
      <c r="Y217" s="529" t="str">
        <f t="shared" si="23"/>
        <v/>
      </c>
      <c r="Z217" s="239"/>
      <c r="AA217" s="240"/>
      <c r="AE217" s="54" t="str">
        <f t="shared" si="19"/>
        <v/>
      </c>
    </row>
    <row r="218" spans="1:31" x14ac:dyDescent="0.3">
      <c r="A218" s="47" t="str">
        <f>IFERROR(INDEX('G-8 Condition Look up'!$I$4:$I$130,MATCH(F218,'G-8 Condition Look up'!$A$4:$A$130,0)),"")</f>
        <v/>
      </c>
      <c r="C218" s="384" t="str">
        <f>IFERROR(INDEX('G-1 All Habitats'!$AG$3:$AG$15,MATCH(D218,'G-1 All Habitats'!$AF$3:$AF$15,0)),"")</f>
        <v/>
      </c>
      <c r="D218" s="146"/>
      <c r="E218" s="79"/>
      <c r="F218" s="246" t="str">
        <f>IFERROR(INDEX('G-1 All Habitats'!$B$3:$B$129,MATCH(E218,'G-1 All Habitats'!$A$3:$A$129,0)),"")</f>
        <v/>
      </c>
      <c r="G218" s="70"/>
      <c r="H218" s="498" t="str">
        <f>IF(F218="","",VLOOKUP(F218,'G-1 All Habitats'!$B$2:$M$129,10,FALSE))</f>
        <v/>
      </c>
      <c r="I218" s="499" t="str">
        <f>IFERROR(VLOOKUP(H218,'G-1 All Habitats'!$V$3:$W$7,2,FALSE),"")</f>
        <v/>
      </c>
      <c r="J218" s="71"/>
      <c r="K218" s="499" t="str">
        <f>IFERROR(INDEX('G-8 Condition Look up'!$A$3:$H$130,MATCH(F218,'G-8 Condition Look up'!$A$3:$A$130,0),MATCH(J218,'G-8 Condition Look up'!$A$3:$H$3,0)),"")</f>
        <v/>
      </c>
      <c r="L218" s="71"/>
      <c r="M218" s="507" t="str">
        <f>IF(L218="","",IF(VLOOKUP(L218,'G-3 Multipliers'!$L$3:$N$6,2,FALSE)=0,"Spatial Data Missing",VLOOKUP(L218,'G-3 Multipliers'!$L$3:$N$6,2,FALSE)))</f>
        <v/>
      </c>
      <c r="N218" s="505" t="str">
        <f>IF(L218="","",IF(VLOOKUP(L218,'G-3 Multipliers'!$L$3:$N$6,3,FALSE)=0,"Spatial Data Missing",VLOOKUP(L218,'G-3 Multipliers'!$L$3:$N$6,3,FALSE)))</f>
        <v/>
      </c>
      <c r="O218" s="498" t="str">
        <f t="shared" si="18"/>
        <v/>
      </c>
      <c r="P218" s="82"/>
      <c r="Q218" s="82"/>
      <c r="R218" s="507" t="str">
        <f t="shared" si="20"/>
        <v/>
      </c>
      <c r="S218" s="521" t="str">
        <f t="shared" si="21"/>
        <v/>
      </c>
      <c r="T218" s="522" t="str">
        <f>IFERROR(IF(S218="Check Data ⚠","Check Data ⚠",VLOOKUP(S218,'G-4 Temporal multipliers'!$A$4:$C$37,3,FALSE)),"")</f>
        <v/>
      </c>
      <c r="U218" s="523" t="str">
        <f>IF(F218="","",VLOOKUP(F218,'G-3 Multipliers'!$A$2:$E$129,2,FALSE))</f>
        <v/>
      </c>
      <c r="V218" s="520" t="str">
        <f t="shared" si="22"/>
        <v/>
      </c>
      <c r="W218" s="520" t="str">
        <f>IF(E218="","",IF(AND(V218="Standard difficulty applied",O218&gt;P218),U218,IF(AND(V218="Low Difficulty - only applicable if all habitat created before losses",P218&gt;=O218),"Low",VLOOKUP(F218,'G-3 Multipliers'!$A$2:$E$129,4,FALSE))))</f>
        <v/>
      </c>
      <c r="X218" s="524" t="str">
        <f>IFERROR(IF(E218="","",VLOOKUP(W218, 'G-3 Multipliers'!$P$2:$Q$6,2,FALSE)),"")</f>
        <v/>
      </c>
      <c r="Y218" s="529" t="str">
        <f t="shared" si="23"/>
        <v/>
      </c>
      <c r="Z218" s="239"/>
      <c r="AA218" s="240"/>
      <c r="AE218" s="54" t="str">
        <f t="shared" si="19"/>
        <v/>
      </c>
    </row>
    <row r="219" spans="1:31" x14ac:dyDescent="0.3">
      <c r="A219" s="47" t="str">
        <f>IFERROR(INDEX('G-8 Condition Look up'!$I$4:$I$130,MATCH(F219,'G-8 Condition Look up'!$A$4:$A$130,0)),"")</f>
        <v/>
      </c>
      <c r="C219" s="384" t="str">
        <f>IFERROR(INDEX('G-1 All Habitats'!$AG$3:$AG$15,MATCH(D219,'G-1 All Habitats'!$AF$3:$AF$15,0)),"")</f>
        <v/>
      </c>
      <c r="D219" s="146"/>
      <c r="E219" s="79"/>
      <c r="F219" s="246" t="str">
        <f>IFERROR(INDEX('G-1 All Habitats'!$B$3:$B$129,MATCH(E219,'G-1 All Habitats'!$A$3:$A$129,0)),"")</f>
        <v/>
      </c>
      <c r="G219" s="70"/>
      <c r="H219" s="498" t="str">
        <f>IF(F219="","",VLOOKUP(F219,'G-1 All Habitats'!$B$2:$M$129,10,FALSE))</f>
        <v/>
      </c>
      <c r="I219" s="499" t="str">
        <f>IFERROR(VLOOKUP(H219,'G-1 All Habitats'!$V$3:$W$7,2,FALSE),"")</f>
        <v/>
      </c>
      <c r="J219" s="71"/>
      <c r="K219" s="499" t="str">
        <f>IFERROR(INDEX('G-8 Condition Look up'!$A$3:$H$130,MATCH(F219,'G-8 Condition Look up'!$A$3:$A$130,0),MATCH(J219,'G-8 Condition Look up'!$A$3:$H$3,0)),"")</f>
        <v/>
      </c>
      <c r="L219" s="71"/>
      <c r="M219" s="507" t="str">
        <f>IF(L219="","",IF(VLOOKUP(L219,'G-3 Multipliers'!$L$3:$N$6,2,FALSE)=0,"Spatial Data Missing",VLOOKUP(L219,'G-3 Multipliers'!$L$3:$N$6,2,FALSE)))</f>
        <v/>
      </c>
      <c r="N219" s="505" t="str">
        <f>IF(L219="","",IF(VLOOKUP(L219,'G-3 Multipliers'!$L$3:$N$6,3,FALSE)=0,"Spatial Data Missing",VLOOKUP(L219,'G-3 Multipliers'!$L$3:$N$6,3,FALSE)))</f>
        <v/>
      </c>
      <c r="O219" s="498" t="str">
        <f t="shared" si="18"/>
        <v/>
      </c>
      <c r="P219" s="82"/>
      <c r="Q219" s="82"/>
      <c r="R219" s="507" t="str">
        <f t="shared" si="20"/>
        <v/>
      </c>
      <c r="S219" s="521" t="str">
        <f t="shared" si="21"/>
        <v/>
      </c>
      <c r="T219" s="522" t="str">
        <f>IFERROR(IF(S219="Check Data ⚠","Check Data ⚠",VLOOKUP(S219,'G-4 Temporal multipliers'!$A$4:$C$37,3,FALSE)),"")</f>
        <v/>
      </c>
      <c r="U219" s="523" t="str">
        <f>IF(F219="","",VLOOKUP(F219,'G-3 Multipliers'!$A$2:$E$129,2,FALSE))</f>
        <v/>
      </c>
      <c r="V219" s="520" t="str">
        <f t="shared" si="22"/>
        <v/>
      </c>
      <c r="W219" s="520" t="str">
        <f>IF(E219="","",IF(AND(V219="Standard difficulty applied",O219&gt;P219),U219,IF(AND(V219="Low Difficulty - only applicable if all habitat created before losses",P219&gt;=O219),"Low",VLOOKUP(F219,'G-3 Multipliers'!$A$2:$E$129,4,FALSE))))</f>
        <v/>
      </c>
      <c r="X219" s="524" t="str">
        <f>IFERROR(IF(E219="","",VLOOKUP(W219, 'G-3 Multipliers'!$P$2:$Q$6,2,FALSE)),"")</f>
        <v/>
      </c>
      <c r="Y219" s="529" t="str">
        <f t="shared" si="23"/>
        <v/>
      </c>
      <c r="Z219" s="239"/>
      <c r="AA219" s="240"/>
      <c r="AE219" s="54" t="str">
        <f t="shared" si="19"/>
        <v/>
      </c>
    </row>
    <row r="220" spans="1:31" x14ac:dyDescent="0.3">
      <c r="A220" s="47" t="str">
        <f>IFERROR(INDEX('G-8 Condition Look up'!$I$4:$I$130,MATCH(F220,'G-8 Condition Look up'!$A$4:$A$130,0)),"")</f>
        <v/>
      </c>
      <c r="C220" s="384" t="str">
        <f>IFERROR(INDEX('G-1 All Habitats'!$AG$3:$AG$15,MATCH(D220,'G-1 All Habitats'!$AF$3:$AF$15,0)),"")</f>
        <v/>
      </c>
      <c r="D220" s="146"/>
      <c r="E220" s="79"/>
      <c r="F220" s="246" t="str">
        <f>IFERROR(INDEX('G-1 All Habitats'!$B$3:$B$129,MATCH(E220,'G-1 All Habitats'!$A$3:$A$129,0)),"")</f>
        <v/>
      </c>
      <c r="G220" s="70"/>
      <c r="H220" s="498" t="str">
        <f>IF(F220="","",VLOOKUP(F220,'G-1 All Habitats'!$B$2:$M$129,10,FALSE))</f>
        <v/>
      </c>
      <c r="I220" s="499" t="str">
        <f>IFERROR(VLOOKUP(H220,'G-1 All Habitats'!$V$3:$W$7,2,FALSE),"")</f>
        <v/>
      </c>
      <c r="J220" s="71"/>
      <c r="K220" s="499" t="str">
        <f>IFERROR(INDEX('G-8 Condition Look up'!$A$3:$H$130,MATCH(F220,'G-8 Condition Look up'!$A$3:$A$130,0),MATCH(J220,'G-8 Condition Look up'!$A$3:$H$3,0)),"")</f>
        <v/>
      </c>
      <c r="L220" s="71"/>
      <c r="M220" s="507" t="str">
        <f>IF(L220="","",IF(VLOOKUP(L220,'G-3 Multipliers'!$L$3:$N$6,2,FALSE)=0,"Spatial Data Missing",VLOOKUP(L220,'G-3 Multipliers'!$L$3:$N$6,2,FALSE)))</f>
        <v/>
      </c>
      <c r="N220" s="505" t="str">
        <f>IF(L220="","",IF(VLOOKUP(L220,'G-3 Multipliers'!$L$3:$N$6,3,FALSE)=0,"Spatial Data Missing",VLOOKUP(L220,'G-3 Multipliers'!$L$3:$N$6,3,FALSE)))</f>
        <v/>
      </c>
      <c r="O220" s="498" t="str">
        <f t="shared" si="18"/>
        <v/>
      </c>
      <c r="P220" s="82"/>
      <c r="Q220" s="82"/>
      <c r="R220" s="507" t="str">
        <f t="shared" si="20"/>
        <v/>
      </c>
      <c r="S220" s="521" t="str">
        <f t="shared" si="21"/>
        <v/>
      </c>
      <c r="T220" s="522" t="str">
        <f>IFERROR(IF(S220="Check Data ⚠","Check Data ⚠",VLOOKUP(S220,'G-4 Temporal multipliers'!$A$4:$C$37,3,FALSE)),"")</f>
        <v/>
      </c>
      <c r="U220" s="523" t="str">
        <f>IF(F220="","",VLOOKUP(F220,'G-3 Multipliers'!$A$2:$E$129,2,FALSE))</f>
        <v/>
      </c>
      <c r="V220" s="520" t="str">
        <f t="shared" si="22"/>
        <v/>
      </c>
      <c r="W220" s="520" t="str">
        <f>IF(E220="","",IF(AND(V220="Standard difficulty applied",O220&gt;P220),U220,IF(AND(V220="Low Difficulty - only applicable if all habitat created before losses",P220&gt;=O220),"Low",VLOOKUP(F220,'G-3 Multipliers'!$A$2:$E$129,4,FALSE))))</f>
        <v/>
      </c>
      <c r="X220" s="524" t="str">
        <f>IFERROR(IF(E220="","",VLOOKUP(W220, 'G-3 Multipliers'!$P$2:$Q$6,2,FALSE)),"")</f>
        <v/>
      </c>
      <c r="Y220" s="529" t="str">
        <f t="shared" si="23"/>
        <v/>
      </c>
      <c r="Z220" s="239"/>
      <c r="AA220" s="240"/>
      <c r="AE220" s="54" t="str">
        <f t="shared" si="19"/>
        <v/>
      </c>
    </row>
    <row r="221" spans="1:31" x14ac:dyDescent="0.3">
      <c r="A221" s="47" t="str">
        <f>IFERROR(INDEX('G-8 Condition Look up'!$I$4:$I$130,MATCH(F221,'G-8 Condition Look up'!$A$4:$A$130,0)),"")</f>
        <v/>
      </c>
      <c r="C221" s="384" t="str">
        <f>IFERROR(INDEX('G-1 All Habitats'!$AG$3:$AG$15,MATCH(D221,'G-1 All Habitats'!$AF$3:$AF$15,0)),"")</f>
        <v/>
      </c>
      <c r="D221" s="146"/>
      <c r="E221" s="79"/>
      <c r="F221" s="246" t="str">
        <f>IFERROR(INDEX('G-1 All Habitats'!$B$3:$B$129,MATCH(E221,'G-1 All Habitats'!$A$3:$A$129,0)),"")</f>
        <v/>
      </c>
      <c r="G221" s="70"/>
      <c r="H221" s="498" t="str">
        <f>IF(F221="","",VLOOKUP(F221,'G-1 All Habitats'!$B$2:$M$129,10,FALSE))</f>
        <v/>
      </c>
      <c r="I221" s="499" t="str">
        <f>IFERROR(VLOOKUP(H221,'G-1 All Habitats'!$V$3:$W$7,2,FALSE),"")</f>
        <v/>
      </c>
      <c r="J221" s="71"/>
      <c r="K221" s="499" t="str">
        <f>IFERROR(INDEX('G-8 Condition Look up'!$A$3:$H$130,MATCH(F221,'G-8 Condition Look up'!$A$3:$A$130,0),MATCH(J221,'G-8 Condition Look up'!$A$3:$H$3,0)),"")</f>
        <v/>
      </c>
      <c r="L221" s="71"/>
      <c r="M221" s="507" t="str">
        <f>IF(L221="","",IF(VLOOKUP(L221,'G-3 Multipliers'!$L$3:$N$6,2,FALSE)=0,"Spatial Data Missing",VLOOKUP(L221,'G-3 Multipliers'!$L$3:$N$6,2,FALSE)))</f>
        <v/>
      </c>
      <c r="N221" s="505" t="str">
        <f>IF(L221="","",IF(VLOOKUP(L221,'G-3 Multipliers'!$L$3:$N$6,3,FALSE)=0,"Spatial Data Missing",VLOOKUP(L221,'G-3 Multipliers'!$L$3:$N$6,3,FALSE)))</f>
        <v/>
      </c>
      <c r="O221" s="498" t="str">
        <f t="shared" si="18"/>
        <v/>
      </c>
      <c r="P221" s="82"/>
      <c r="Q221" s="82"/>
      <c r="R221" s="507" t="str">
        <f t="shared" si="20"/>
        <v/>
      </c>
      <c r="S221" s="521" t="str">
        <f t="shared" si="21"/>
        <v/>
      </c>
      <c r="T221" s="522" t="str">
        <f>IFERROR(IF(S221="Check Data ⚠","Check Data ⚠",VLOOKUP(S221,'G-4 Temporal multipliers'!$A$4:$C$37,3,FALSE)),"")</f>
        <v/>
      </c>
      <c r="U221" s="523" t="str">
        <f>IF(F221="","",VLOOKUP(F221,'G-3 Multipliers'!$A$2:$E$129,2,FALSE))</f>
        <v/>
      </c>
      <c r="V221" s="520" t="str">
        <f t="shared" si="22"/>
        <v/>
      </c>
      <c r="W221" s="520" t="str">
        <f>IF(E221="","",IF(AND(V221="Standard difficulty applied",O221&gt;P221),U221,IF(AND(V221="Low Difficulty - only applicable if all habitat created before losses",P221&gt;=O221),"Low",VLOOKUP(F221,'G-3 Multipliers'!$A$2:$E$129,4,FALSE))))</f>
        <v/>
      </c>
      <c r="X221" s="524" t="str">
        <f>IFERROR(IF(E221="","",VLOOKUP(W221, 'G-3 Multipliers'!$P$2:$Q$6,2,FALSE)),"")</f>
        <v/>
      </c>
      <c r="Y221" s="529" t="str">
        <f t="shared" si="23"/>
        <v/>
      </c>
      <c r="Z221" s="239"/>
      <c r="AA221" s="240"/>
      <c r="AE221" s="54" t="str">
        <f t="shared" si="19"/>
        <v/>
      </c>
    </row>
    <row r="222" spans="1:31" x14ac:dyDescent="0.3">
      <c r="A222" s="47" t="str">
        <f>IFERROR(INDEX('G-8 Condition Look up'!$I$4:$I$130,MATCH(F222,'G-8 Condition Look up'!$A$4:$A$130,0)),"")</f>
        <v/>
      </c>
      <c r="C222" s="384" t="str">
        <f>IFERROR(INDEX('G-1 All Habitats'!$AG$3:$AG$15,MATCH(D222,'G-1 All Habitats'!$AF$3:$AF$15,0)),"")</f>
        <v/>
      </c>
      <c r="D222" s="146"/>
      <c r="E222" s="79"/>
      <c r="F222" s="246" t="str">
        <f>IFERROR(INDEX('G-1 All Habitats'!$B$3:$B$129,MATCH(E222,'G-1 All Habitats'!$A$3:$A$129,0)),"")</f>
        <v/>
      </c>
      <c r="G222" s="70"/>
      <c r="H222" s="498" t="str">
        <f>IF(F222="","",VLOOKUP(F222,'G-1 All Habitats'!$B$2:$M$129,10,FALSE))</f>
        <v/>
      </c>
      <c r="I222" s="499" t="str">
        <f>IFERROR(VLOOKUP(H222,'G-1 All Habitats'!$V$3:$W$7,2,FALSE),"")</f>
        <v/>
      </c>
      <c r="J222" s="71"/>
      <c r="K222" s="499" t="str">
        <f>IFERROR(INDEX('G-8 Condition Look up'!$A$3:$H$130,MATCH(F222,'G-8 Condition Look up'!$A$3:$A$130,0),MATCH(J222,'G-8 Condition Look up'!$A$3:$H$3,0)),"")</f>
        <v/>
      </c>
      <c r="L222" s="71"/>
      <c r="M222" s="507" t="str">
        <f>IF(L222="","",IF(VLOOKUP(L222,'G-3 Multipliers'!$L$3:$N$6,2,FALSE)=0,"Spatial Data Missing",VLOOKUP(L222,'G-3 Multipliers'!$L$3:$N$6,2,FALSE)))</f>
        <v/>
      </c>
      <c r="N222" s="505" t="str">
        <f>IF(L222="","",IF(VLOOKUP(L222,'G-3 Multipliers'!$L$3:$N$6,3,FALSE)=0,"Spatial Data Missing",VLOOKUP(L222,'G-3 Multipliers'!$L$3:$N$6,3,FALSE)))</f>
        <v/>
      </c>
      <c r="O222" s="498" t="str">
        <f t="shared" si="18"/>
        <v/>
      </c>
      <c r="P222" s="82"/>
      <c r="Q222" s="82"/>
      <c r="R222" s="507" t="str">
        <f t="shared" si="20"/>
        <v/>
      </c>
      <c r="S222" s="521" t="str">
        <f t="shared" si="21"/>
        <v/>
      </c>
      <c r="T222" s="522" t="str">
        <f>IFERROR(IF(S222="Check Data ⚠","Check Data ⚠",VLOOKUP(S222,'G-4 Temporal multipliers'!$A$4:$C$37,3,FALSE)),"")</f>
        <v/>
      </c>
      <c r="U222" s="523" t="str">
        <f>IF(F222="","",VLOOKUP(F222,'G-3 Multipliers'!$A$2:$E$129,2,FALSE))</f>
        <v/>
      </c>
      <c r="V222" s="520" t="str">
        <f t="shared" si="22"/>
        <v/>
      </c>
      <c r="W222" s="520" t="str">
        <f>IF(E222="","",IF(AND(V222="Standard difficulty applied",O222&gt;P222),U222,IF(AND(V222="Low Difficulty - only applicable if all habitat created before losses",P222&gt;=O222),"Low",VLOOKUP(F222,'G-3 Multipliers'!$A$2:$E$129,4,FALSE))))</f>
        <v/>
      </c>
      <c r="X222" s="524" t="str">
        <f>IFERROR(IF(E222="","",VLOOKUP(W222, 'G-3 Multipliers'!$P$2:$Q$6,2,FALSE)),"")</f>
        <v/>
      </c>
      <c r="Y222" s="529" t="str">
        <f t="shared" si="23"/>
        <v/>
      </c>
      <c r="Z222" s="239"/>
      <c r="AA222" s="240"/>
      <c r="AE222" s="54" t="str">
        <f t="shared" si="19"/>
        <v/>
      </c>
    </row>
    <row r="223" spans="1:31" x14ac:dyDescent="0.3">
      <c r="A223" s="47" t="str">
        <f>IFERROR(INDEX('G-8 Condition Look up'!$I$4:$I$130,MATCH(F223,'G-8 Condition Look up'!$A$4:$A$130,0)),"")</f>
        <v/>
      </c>
      <c r="C223" s="384" t="str">
        <f>IFERROR(INDEX('G-1 All Habitats'!$AG$3:$AG$15,MATCH(D223,'G-1 All Habitats'!$AF$3:$AF$15,0)),"")</f>
        <v/>
      </c>
      <c r="D223" s="146"/>
      <c r="E223" s="79"/>
      <c r="F223" s="246" t="str">
        <f>IFERROR(INDEX('G-1 All Habitats'!$B$3:$B$129,MATCH(E223,'G-1 All Habitats'!$A$3:$A$129,0)),"")</f>
        <v/>
      </c>
      <c r="G223" s="70"/>
      <c r="H223" s="498" t="str">
        <f>IF(F223="","",VLOOKUP(F223,'G-1 All Habitats'!$B$2:$M$129,10,FALSE))</f>
        <v/>
      </c>
      <c r="I223" s="499" t="str">
        <f>IFERROR(VLOOKUP(H223,'G-1 All Habitats'!$V$3:$W$7,2,FALSE),"")</f>
        <v/>
      </c>
      <c r="J223" s="71"/>
      <c r="K223" s="499" t="str">
        <f>IFERROR(INDEX('G-8 Condition Look up'!$A$3:$H$130,MATCH(F223,'G-8 Condition Look up'!$A$3:$A$130,0),MATCH(J223,'G-8 Condition Look up'!$A$3:$H$3,0)),"")</f>
        <v/>
      </c>
      <c r="L223" s="71"/>
      <c r="M223" s="507" t="str">
        <f>IF(L223="","",IF(VLOOKUP(L223,'G-3 Multipliers'!$L$3:$N$6,2,FALSE)=0,"Spatial Data Missing",VLOOKUP(L223,'G-3 Multipliers'!$L$3:$N$6,2,FALSE)))</f>
        <v/>
      </c>
      <c r="N223" s="505" t="str">
        <f>IF(L223="","",IF(VLOOKUP(L223,'G-3 Multipliers'!$L$3:$N$6,3,FALSE)=0,"Spatial Data Missing",VLOOKUP(L223,'G-3 Multipliers'!$L$3:$N$6,3,FALSE)))</f>
        <v/>
      </c>
      <c r="O223" s="498" t="str">
        <f t="shared" si="18"/>
        <v/>
      </c>
      <c r="P223" s="82"/>
      <c r="Q223" s="82"/>
      <c r="R223" s="507" t="str">
        <f t="shared" si="20"/>
        <v/>
      </c>
      <c r="S223" s="521" t="str">
        <f t="shared" si="21"/>
        <v/>
      </c>
      <c r="T223" s="522" t="str">
        <f>IFERROR(IF(S223="Check Data ⚠","Check Data ⚠",VLOOKUP(S223,'G-4 Temporal multipliers'!$A$4:$C$37,3,FALSE)),"")</f>
        <v/>
      </c>
      <c r="U223" s="523" t="str">
        <f>IF(F223="","",VLOOKUP(F223,'G-3 Multipliers'!$A$2:$E$129,2,FALSE))</f>
        <v/>
      </c>
      <c r="V223" s="520" t="str">
        <f t="shared" si="22"/>
        <v/>
      </c>
      <c r="W223" s="520" t="str">
        <f>IF(E223="","",IF(AND(V223="Standard difficulty applied",O223&gt;P223),U223,IF(AND(V223="Low Difficulty - only applicable if all habitat created before losses",P223&gt;=O223),"Low",VLOOKUP(F223,'G-3 Multipliers'!$A$2:$E$129,4,FALSE))))</f>
        <v/>
      </c>
      <c r="X223" s="524" t="str">
        <f>IFERROR(IF(E223="","",VLOOKUP(W223, 'G-3 Multipliers'!$P$2:$Q$6,2,FALSE)),"")</f>
        <v/>
      </c>
      <c r="Y223" s="529" t="str">
        <f t="shared" si="23"/>
        <v/>
      </c>
      <c r="Z223" s="239"/>
      <c r="AA223" s="240"/>
      <c r="AE223" s="54" t="str">
        <f t="shared" si="19"/>
        <v/>
      </c>
    </row>
    <row r="224" spans="1:31" x14ac:dyDescent="0.3">
      <c r="A224" s="47" t="str">
        <f>IFERROR(INDEX('G-8 Condition Look up'!$I$4:$I$130,MATCH(F224,'G-8 Condition Look up'!$A$4:$A$130,0)),"")</f>
        <v/>
      </c>
      <c r="C224" s="384" t="str">
        <f>IFERROR(INDEX('G-1 All Habitats'!$AG$3:$AG$15,MATCH(D224,'G-1 All Habitats'!$AF$3:$AF$15,0)),"")</f>
        <v/>
      </c>
      <c r="D224" s="146"/>
      <c r="E224" s="79"/>
      <c r="F224" s="246" t="str">
        <f>IFERROR(INDEX('G-1 All Habitats'!$B$3:$B$129,MATCH(E224,'G-1 All Habitats'!$A$3:$A$129,0)),"")</f>
        <v/>
      </c>
      <c r="G224" s="70"/>
      <c r="H224" s="498" t="str">
        <f>IF(F224="","",VLOOKUP(F224,'G-1 All Habitats'!$B$2:$M$129,10,FALSE))</f>
        <v/>
      </c>
      <c r="I224" s="499" t="str">
        <f>IFERROR(VLOOKUP(H224,'G-1 All Habitats'!$V$3:$W$7,2,FALSE),"")</f>
        <v/>
      </c>
      <c r="J224" s="71"/>
      <c r="K224" s="499" t="str">
        <f>IFERROR(INDEX('G-8 Condition Look up'!$A$3:$H$130,MATCH(F224,'G-8 Condition Look up'!$A$3:$A$130,0),MATCH(J224,'G-8 Condition Look up'!$A$3:$H$3,0)),"")</f>
        <v/>
      </c>
      <c r="L224" s="71"/>
      <c r="M224" s="507" t="str">
        <f>IF(L224="","",IF(VLOOKUP(L224,'G-3 Multipliers'!$L$3:$N$6,2,FALSE)=0,"Spatial Data Missing",VLOOKUP(L224,'G-3 Multipliers'!$L$3:$N$6,2,FALSE)))</f>
        <v/>
      </c>
      <c r="N224" s="505" t="str">
        <f>IF(L224="","",IF(VLOOKUP(L224,'G-3 Multipliers'!$L$3:$N$6,3,FALSE)=0,"Spatial Data Missing",VLOOKUP(L224,'G-3 Multipliers'!$L$3:$N$6,3,FALSE)))</f>
        <v/>
      </c>
      <c r="O224" s="498" t="str">
        <f t="shared" si="18"/>
        <v/>
      </c>
      <c r="P224" s="82"/>
      <c r="Q224" s="82"/>
      <c r="R224" s="507" t="str">
        <f t="shared" si="20"/>
        <v/>
      </c>
      <c r="S224" s="521" t="str">
        <f t="shared" si="21"/>
        <v/>
      </c>
      <c r="T224" s="522" t="str">
        <f>IFERROR(IF(S224="Check Data ⚠","Check Data ⚠",VLOOKUP(S224,'G-4 Temporal multipliers'!$A$4:$C$37,3,FALSE)),"")</f>
        <v/>
      </c>
      <c r="U224" s="523" t="str">
        <f>IF(F224="","",VLOOKUP(F224,'G-3 Multipliers'!$A$2:$E$129,2,FALSE))</f>
        <v/>
      </c>
      <c r="V224" s="520" t="str">
        <f t="shared" si="22"/>
        <v/>
      </c>
      <c r="W224" s="520" t="str">
        <f>IF(E224="","",IF(AND(V224="Standard difficulty applied",O224&gt;P224),U224,IF(AND(V224="Low Difficulty - only applicable if all habitat created before losses",P224&gt;=O224),"Low",VLOOKUP(F224,'G-3 Multipliers'!$A$2:$E$129,4,FALSE))))</f>
        <v/>
      </c>
      <c r="X224" s="524" t="str">
        <f>IFERROR(IF(E224="","",VLOOKUP(W224, 'G-3 Multipliers'!$P$2:$Q$6,2,FALSE)),"")</f>
        <v/>
      </c>
      <c r="Y224" s="529" t="str">
        <f t="shared" si="23"/>
        <v/>
      </c>
      <c r="Z224" s="239"/>
      <c r="AA224" s="240"/>
      <c r="AE224" s="54" t="str">
        <f t="shared" si="19"/>
        <v/>
      </c>
    </row>
    <row r="225" spans="1:31" x14ac:dyDescent="0.3">
      <c r="A225" s="47" t="str">
        <f>IFERROR(INDEX('G-8 Condition Look up'!$I$4:$I$130,MATCH(F225,'G-8 Condition Look up'!$A$4:$A$130,0)),"")</f>
        <v/>
      </c>
      <c r="C225" s="384" t="str">
        <f>IFERROR(INDEX('G-1 All Habitats'!$AG$3:$AG$15,MATCH(D225,'G-1 All Habitats'!$AF$3:$AF$15,0)),"")</f>
        <v/>
      </c>
      <c r="D225" s="146"/>
      <c r="E225" s="79"/>
      <c r="F225" s="246" t="str">
        <f>IFERROR(INDEX('G-1 All Habitats'!$B$3:$B$129,MATCH(E225,'G-1 All Habitats'!$A$3:$A$129,0)),"")</f>
        <v/>
      </c>
      <c r="G225" s="70"/>
      <c r="H225" s="498" t="str">
        <f>IF(F225="","",VLOOKUP(F225,'G-1 All Habitats'!$B$2:$M$129,10,FALSE))</f>
        <v/>
      </c>
      <c r="I225" s="499" t="str">
        <f>IFERROR(VLOOKUP(H225,'G-1 All Habitats'!$V$3:$W$7,2,FALSE),"")</f>
        <v/>
      </c>
      <c r="J225" s="71"/>
      <c r="K225" s="499" t="str">
        <f>IFERROR(INDEX('G-8 Condition Look up'!$A$3:$H$130,MATCH(F225,'G-8 Condition Look up'!$A$3:$A$130,0),MATCH(J225,'G-8 Condition Look up'!$A$3:$H$3,0)),"")</f>
        <v/>
      </c>
      <c r="L225" s="71"/>
      <c r="M225" s="507" t="str">
        <f>IF(L225="","",IF(VLOOKUP(L225,'G-3 Multipliers'!$L$3:$N$6,2,FALSE)=0,"Spatial Data Missing",VLOOKUP(L225,'G-3 Multipliers'!$L$3:$N$6,2,FALSE)))</f>
        <v/>
      </c>
      <c r="N225" s="505" t="str">
        <f>IF(L225="","",IF(VLOOKUP(L225,'G-3 Multipliers'!$L$3:$N$6,3,FALSE)=0,"Spatial Data Missing",VLOOKUP(L225,'G-3 Multipliers'!$L$3:$N$6,3,FALSE)))</f>
        <v/>
      </c>
      <c r="O225" s="498" t="str">
        <f t="shared" si="18"/>
        <v/>
      </c>
      <c r="P225" s="82"/>
      <c r="Q225" s="82"/>
      <c r="R225" s="507" t="str">
        <f t="shared" si="20"/>
        <v/>
      </c>
      <c r="S225" s="521" t="str">
        <f t="shared" si="21"/>
        <v/>
      </c>
      <c r="T225" s="522" t="str">
        <f>IFERROR(IF(S225="Check Data ⚠","Check Data ⚠",VLOOKUP(S225,'G-4 Temporal multipliers'!$A$4:$C$37,3,FALSE)),"")</f>
        <v/>
      </c>
      <c r="U225" s="523" t="str">
        <f>IF(F225="","",VLOOKUP(F225,'G-3 Multipliers'!$A$2:$E$129,2,FALSE))</f>
        <v/>
      </c>
      <c r="V225" s="520" t="str">
        <f t="shared" si="22"/>
        <v/>
      </c>
      <c r="W225" s="520" t="str">
        <f>IF(E225="","",IF(AND(V225="Standard difficulty applied",O225&gt;P225),U225,IF(AND(V225="Low Difficulty - only applicable if all habitat created before losses",P225&gt;=O225),"Low",VLOOKUP(F225,'G-3 Multipliers'!$A$2:$E$129,4,FALSE))))</f>
        <v/>
      </c>
      <c r="X225" s="524" t="str">
        <f>IFERROR(IF(E225="","",VLOOKUP(W225, 'G-3 Multipliers'!$P$2:$Q$6,2,FALSE)),"")</f>
        <v/>
      </c>
      <c r="Y225" s="529" t="str">
        <f t="shared" si="23"/>
        <v/>
      </c>
      <c r="Z225" s="239"/>
      <c r="AA225" s="240"/>
      <c r="AE225" s="54" t="str">
        <f t="shared" si="19"/>
        <v/>
      </c>
    </row>
    <row r="226" spans="1:31" x14ac:dyDescent="0.3">
      <c r="A226" s="47" t="str">
        <f>IFERROR(INDEX('G-8 Condition Look up'!$I$4:$I$130,MATCH(F226,'G-8 Condition Look up'!$A$4:$A$130,0)),"")</f>
        <v/>
      </c>
      <c r="C226" s="384" t="str">
        <f>IFERROR(INDEX('G-1 All Habitats'!$AG$3:$AG$15,MATCH(D226,'G-1 All Habitats'!$AF$3:$AF$15,0)),"")</f>
        <v/>
      </c>
      <c r="D226" s="146"/>
      <c r="E226" s="79"/>
      <c r="F226" s="246" t="str">
        <f>IFERROR(INDEX('G-1 All Habitats'!$B$3:$B$129,MATCH(E226,'G-1 All Habitats'!$A$3:$A$129,0)),"")</f>
        <v/>
      </c>
      <c r="G226" s="70"/>
      <c r="H226" s="498" t="str">
        <f>IF(F226="","",VLOOKUP(F226,'G-1 All Habitats'!$B$2:$M$129,10,FALSE))</f>
        <v/>
      </c>
      <c r="I226" s="499" t="str">
        <f>IFERROR(VLOOKUP(H226,'G-1 All Habitats'!$V$3:$W$7,2,FALSE),"")</f>
        <v/>
      </c>
      <c r="J226" s="71"/>
      <c r="K226" s="499" t="str">
        <f>IFERROR(INDEX('G-8 Condition Look up'!$A$3:$H$130,MATCH(F226,'G-8 Condition Look up'!$A$3:$A$130,0),MATCH(J226,'G-8 Condition Look up'!$A$3:$H$3,0)),"")</f>
        <v/>
      </c>
      <c r="L226" s="71"/>
      <c r="M226" s="507" t="str">
        <f>IF(L226="","",IF(VLOOKUP(L226,'G-3 Multipliers'!$L$3:$N$6,2,FALSE)=0,"Spatial Data Missing",VLOOKUP(L226,'G-3 Multipliers'!$L$3:$N$6,2,FALSE)))</f>
        <v/>
      </c>
      <c r="N226" s="505" t="str">
        <f>IF(L226="","",IF(VLOOKUP(L226,'G-3 Multipliers'!$L$3:$N$6,3,FALSE)=0,"Spatial Data Missing",VLOOKUP(L226,'G-3 Multipliers'!$L$3:$N$6,3,FALSE)))</f>
        <v/>
      </c>
      <c r="O226" s="498" t="str">
        <f t="shared" si="18"/>
        <v/>
      </c>
      <c r="P226" s="82"/>
      <c r="Q226" s="82"/>
      <c r="R226" s="507" t="str">
        <f t="shared" si="20"/>
        <v/>
      </c>
      <c r="S226" s="521" t="str">
        <f t="shared" si="21"/>
        <v/>
      </c>
      <c r="T226" s="522" t="str">
        <f>IFERROR(IF(S226="Check Data ⚠","Check Data ⚠",VLOOKUP(S226,'G-4 Temporal multipliers'!$A$4:$C$37,3,FALSE)),"")</f>
        <v/>
      </c>
      <c r="U226" s="523" t="str">
        <f>IF(F226="","",VLOOKUP(F226,'G-3 Multipliers'!$A$2:$E$129,2,FALSE))</f>
        <v/>
      </c>
      <c r="V226" s="520" t="str">
        <f t="shared" si="22"/>
        <v/>
      </c>
      <c r="W226" s="520" t="str">
        <f>IF(E226="","",IF(AND(V226="Standard difficulty applied",O226&gt;P226),U226,IF(AND(V226="Low Difficulty - only applicable if all habitat created before losses",P226&gt;=O226),"Low",VLOOKUP(F226,'G-3 Multipliers'!$A$2:$E$129,4,FALSE))))</f>
        <v/>
      </c>
      <c r="X226" s="524" t="str">
        <f>IFERROR(IF(E226="","",VLOOKUP(W226, 'G-3 Multipliers'!$P$2:$Q$6,2,FALSE)),"")</f>
        <v/>
      </c>
      <c r="Y226" s="529" t="str">
        <f t="shared" si="23"/>
        <v/>
      </c>
      <c r="Z226" s="239"/>
      <c r="AA226" s="240"/>
      <c r="AE226" s="54" t="str">
        <f t="shared" si="19"/>
        <v/>
      </c>
    </row>
    <row r="227" spans="1:31" x14ac:dyDescent="0.3">
      <c r="A227" s="47" t="str">
        <f>IFERROR(INDEX('G-8 Condition Look up'!$I$4:$I$130,MATCH(F227,'G-8 Condition Look up'!$A$4:$A$130,0)),"")</f>
        <v/>
      </c>
      <c r="C227" s="384" t="str">
        <f>IFERROR(INDEX('G-1 All Habitats'!$AG$3:$AG$15,MATCH(D227,'G-1 All Habitats'!$AF$3:$AF$15,0)),"")</f>
        <v/>
      </c>
      <c r="D227" s="146"/>
      <c r="E227" s="79"/>
      <c r="F227" s="246" t="str">
        <f>IFERROR(INDEX('G-1 All Habitats'!$B$3:$B$129,MATCH(E227,'G-1 All Habitats'!$A$3:$A$129,0)),"")</f>
        <v/>
      </c>
      <c r="G227" s="70"/>
      <c r="H227" s="498" t="str">
        <f>IF(F227="","",VLOOKUP(F227,'G-1 All Habitats'!$B$2:$M$129,10,FALSE))</f>
        <v/>
      </c>
      <c r="I227" s="499" t="str">
        <f>IFERROR(VLOOKUP(H227,'G-1 All Habitats'!$V$3:$W$7,2,FALSE),"")</f>
        <v/>
      </c>
      <c r="J227" s="71"/>
      <c r="K227" s="499" t="str">
        <f>IFERROR(INDEX('G-8 Condition Look up'!$A$3:$H$130,MATCH(F227,'G-8 Condition Look up'!$A$3:$A$130,0),MATCH(J227,'G-8 Condition Look up'!$A$3:$H$3,0)),"")</f>
        <v/>
      </c>
      <c r="L227" s="71"/>
      <c r="M227" s="507" t="str">
        <f>IF(L227="","",IF(VLOOKUP(L227,'G-3 Multipliers'!$L$3:$N$6,2,FALSE)=0,"Spatial Data Missing",VLOOKUP(L227,'G-3 Multipliers'!$L$3:$N$6,2,FALSE)))</f>
        <v/>
      </c>
      <c r="N227" s="505" t="str">
        <f>IF(L227="","",IF(VLOOKUP(L227,'G-3 Multipliers'!$L$3:$N$6,3,FALSE)=0,"Spatial Data Missing",VLOOKUP(L227,'G-3 Multipliers'!$L$3:$N$6,3,FALSE)))</f>
        <v/>
      </c>
      <c r="O227" s="498" t="str">
        <f t="shared" si="18"/>
        <v/>
      </c>
      <c r="P227" s="82"/>
      <c r="Q227" s="82"/>
      <c r="R227" s="507" t="str">
        <f t="shared" si="20"/>
        <v/>
      </c>
      <c r="S227" s="521" t="str">
        <f t="shared" si="21"/>
        <v/>
      </c>
      <c r="T227" s="522" t="str">
        <f>IFERROR(IF(S227="Check Data ⚠","Check Data ⚠",VLOOKUP(S227,'G-4 Temporal multipliers'!$A$4:$C$37,3,FALSE)),"")</f>
        <v/>
      </c>
      <c r="U227" s="523" t="str">
        <f>IF(F227="","",VLOOKUP(F227,'G-3 Multipliers'!$A$2:$E$129,2,FALSE))</f>
        <v/>
      </c>
      <c r="V227" s="520" t="str">
        <f t="shared" si="22"/>
        <v/>
      </c>
      <c r="W227" s="520" t="str">
        <f>IF(E227="","",IF(AND(V227="Standard difficulty applied",O227&gt;P227),U227,IF(AND(V227="Low Difficulty - only applicable if all habitat created before losses",P227&gt;=O227),"Low",VLOOKUP(F227,'G-3 Multipliers'!$A$2:$E$129,4,FALSE))))</f>
        <v/>
      </c>
      <c r="X227" s="524" t="str">
        <f>IFERROR(IF(E227="","",VLOOKUP(W227, 'G-3 Multipliers'!$P$2:$Q$6,2,FALSE)),"")</f>
        <v/>
      </c>
      <c r="Y227" s="529" t="str">
        <f t="shared" si="23"/>
        <v/>
      </c>
      <c r="Z227" s="239"/>
      <c r="AA227" s="240"/>
      <c r="AE227" s="54" t="str">
        <f t="shared" si="19"/>
        <v/>
      </c>
    </row>
    <row r="228" spans="1:31" x14ac:dyDescent="0.3">
      <c r="A228" s="47" t="str">
        <f>IFERROR(INDEX('G-8 Condition Look up'!$I$4:$I$130,MATCH(F228,'G-8 Condition Look up'!$A$4:$A$130,0)),"")</f>
        <v/>
      </c>
      <c r="C228" s="384" t="str">
        <f>IFERROR(INDEX('G-1 All Habitats'!$AG$3:$AG$15,MATCH(D228,'G-1 All Habitats'!$AF$3:$AF$15,0)),"")</f>
        <v/>
      </c>
      <c r="D228" s="146"/>
      <c r="E228" s="79"/>
      <c r="F228" s="246" t="str">
        <f>IFERROR(INDEX('G-1 All Habitats'!$B$3:$B$129,MATCH(E228,'G-1 All Habitats'!$A$3:$A$129,0)),"")</f>
        <v/>
      </c>
      <c r="G228" s="70"/>
      <c r="H228" s="498" t="str">
        <f>IF(F228="","",VLOOKUP(F228,'G-1 All Habitats'!$B$2:$M$129,10,FALSE))</f>
        <v/>
      </c>
      <c r="I228" s="499" t="str">
        <f>IFERROR(VLOOKUP(H228,'G-1 All Habitats'!$V$3:$W$7,2,FALSE),"")</f>
        <v/>
      </c>
      <c r="J228" s="71"/>
      <c r="K228" s="499" t="str">
        <f>IFERROR(INDEX('G-8 Condition Look up'!$A$3:$H$130,MATCH(F228,'G-8 Condition Look up'!$A$3:$A$130,0),MATCH(J228,'G-8 Condition Look up'!$A$3:$H$3,0)),"")</f>
        <v/>
      </c>
      <c r="L228" s="71"/>
      <c r="M228" s="507" t="str">
        <f>IF(L228="","",IF(VLOOKUP(L228,'G-3 Multipliers'!$L$3:$N$6,2,FALSE)=0,"Spatial Data Missing",VLOOKUP(L228,'G-3 Multipliers'!$L$3:$N$6,2,FALSE)))</f>
        <v/>
      </c>
      <c r="N228" s="505" t="str">
        <f>IF(L228="","",IF(VLOOKUP(L228,'G-3 Multipliers'!$L$3:$N$6,3,FALSE)=0,"Spatial Data Missing",VLOOKUP(L228,'G-3 Multipliers'!$L$3:$N$6,3,FALSE)))</f>
        <v/>
      </c>
      <c r="O228" s="498" t="str">
        <f t="shared" si="18"/>
        <v/>
      </c>
      <c r="P228" s="82"/>
      <c r="Q228" s="82"/>
      <c r="R228" s="507" t="str">
        <f t="shared" si="20"/>
        <v/>
      </c>
      <c r="S228" s="521" t="str">
        <f t="shared" si="21"/>
        <v/>
      </c>
      <c r="T228" s="522" t="str">
        <f>IFERROR(IF(S228="Check Data ⚠","Check Data ⚠",VLOOKUP(S228,'G-4 Temporal multipliers'!$A$4:$C$37,3,FALSE)),"")</f>
        <v/>
      </c>
      <c r="U228" s="523" t="str">
        <f>IF(F228="","",VLOOKUP(F228,'G-3 Multipliers'!$A$2:$E$129,2,FALSE))</f>
        <v/>
      </c>
      <c r="V228" s="520" t="str">
        <f t="shared" si="22"/>
        <v/>
      </c>
      <c r="W228" s="520" t="str">
        <f>IF(E228="","",IF(AND(V228="Standard difficulty applied",O228&gt;P228),U228,IF(AND(V228="Low Difficulty - only applicable if all habitat created before losses",P228&gt;=O228),"Low",VLOOKUP(F228,'G-3 Multipliers'!$A$2:$E$129,4,FALSE))))</f>
        <v/>
      </c>
      <c r="X228" s="524" t="str">
        <f>IFERROR(IF(E228="","",VLOOKUP(W228, 'G-3 Multipliers'!$P$2:$Q$6,2,FALSE)),"")</f>
        <v/>
      </c>
      <c r="Y228" s="529" t="str">
        <f t="shared" si="23"/>
        <v/>
      </c>
      <c r="Z228" s="239"/>
      <c r="AA228" s="240"/>
      <c r="AE228" s="54" t="str">
        <f t="shared" si="19"/>
        <v/>
      </c>
    </row>
    <row r="229" spans="1:31" x14ac:dyDescent="0.3">
      <c r="A229" s="47" t="str">
        <f>IFERROR(INDEX('G-8 Condition Look up'!$I$4:$I$130,MATCH(F229,'G-8 Condition Look up'!$A$4:$A$130,0)),"")</f>
        <v/>
      </c>
      <c r="C229" s="384" t="str">
        <f>IFERROR(INDEX('G-1 All Habitats'!$AG$3:$AG$15,MATCH(D229,'G-1 All Habitats'!$AF$3:$AF$15,0)),"")</f>
        <v/>
      </c>
      <c r="D229" s="146"/>
      <c r="E229" s="79"/>
      <c r="F229" s="246" t="str">
        <f>IFERROR(INDEX('G-1 All Habitats'!$B$3:$B$129,MATCH(E229,'G-1 All Habitats'!$A$3:$A$129,0)),"")</f>
        <v/>
      </c>
      <c r="G229" s="70"/>
      <c r="H229" s="498" t="str">
        <f>IF(F229="","",VLOOKUP(F229,'G-1 All Habitats'!$B$2:$M$129,10,FALSE))</f>
        <v/>
      </c>
      <c r="I229" s="499" t="str">
        <f>IFERROR(VLOOKUP(H229,'G-1 All Habitats'!$V$3:$W$7,2,FALSE),"")</f>
        <v/>
      </c>
      <c r="J229" s="71"/>
      <c r="K229" s="499" t="str">
        <f>IFERROR(INDEX('G-8 Condition Look up'!$A$3:$H$130,MATCH(F229,'G-8 Condition Look up'!$A$3:$A$130,0),MATCH(J229,'G-8 Condition Look up'!$A$3:$H$3,0)),"")</f>
        <v/>
      </c>
      <c r="L229" s="71"/>
      <c r="M229" s="507" t="str">
        <f>IF(L229="","",IF(VLOOKUP(L229,'G-3 Multipliers'!$L$3:$N$6,2,FALSE)=0,"Spatial Data Missing",VLOOKUP(L229,'G-3 Multipliers'!$L$3:$N$6,2,FALSE)))</f>
        <v/>
      </c>
      <c r="N229" s="505" t="str">
        <f>IF(L229="","",IF(VLOOKUP(L229,'G-3 Multipliers'!$L$3:$N$6,3,FALSE)=0,"Spatial Data Missing",VLOOKUP(L229,'G-3 Multipliers'!$L$3:$N$6,3,FALSE)))</f>
        <v/>
      </c>
      <c r="O229" s="498" t="str">
        <f t="shared" si="18"/>
        <v/>
      </c>
      <c r="P229" s="82"/>
      <c r="Q229" s="82"/>
      <c r="R229" s="507" t="str">
        <f t="shared" si="20"/>
        <v/>
      </c>
      <c r="S229" s="521" t="str">
        <f t="shared" si="21"/>
        <v/>
      </c>
      <c r="T229" s="522" t="str">
        <f>IFERROR(IF(S229="Check Data ⚠","Check Data ⚠",VLOOKUP(S229,'G-4 Temporal multipliers'!$A$4:$C$37,3,FALSE)),"")</f>
        <v/>
      </c>
      <c r="U229" s="523" t="str">
        <f>IF(F229="","",VLOOKUP(F229,'G-3 Multipliers'!$A$2:$E$129,2,FALSE))</f>
        <v/>
      </c>
      <c r="V229" s="520" t="str">
        <f t="shared" si="22"/>
        <v/>
      </c>
      <c r="W229" s="520" t="str">
        <f>IF(E229="","",IF(AND(V229="Standard difficulty applied",O229&gt;P229),U229,IF(AND(V229="Low Difficulty - only applicable if all habitat created before losses",P229&gt;=O229),"Low",VLOOKUP(F229,'G-3 Multipliers'!$A$2:$E$129,4,FALSE))))</f>
        <v/>
      </c>
      <c r="X229" s="524" t="str">
        <f>IFERROR(IF(E229="","",VLOOKUP(W229, 'G-3 Multipliers'!$P$2:$Q$6,2,FALSE)),"")</f>
        <v/>
      </c>
      <c r="Y229" s="529" t="str">
        <f t="shared" si="23"/>
        <v/>
      </c>
      <c r="Z229" s="239"/>
      <c r="AA229" s="240"/>
      <c r="AE229" s="54" t="str">
        <f t="shared" si="19"/>
        <v/>
      </c>
    </row>
    <row r="230" spans="1:31" x14ac:dyDescent="0.3">
      <c r="A230" s="47" t="str">
        <f>IFERROR(INDEX('G-8 Condition Look up'!$I$4:$I$130,MATCH(F230,'G-8 Condition Look up'!$A$4:$A$130,0)),"")</f>
        <v/>
      </c>
      <c r="C230" s="384" t="str">
        <f>IFERROR(INDEX('G-1 All Habitats'!$AG$3:$AG$15,MATCH(D230,'G-1 All Habitats'!$AF$3:$AF$15,0)),"")</f>
        <v/>
      </c>
      <c r="D230" s="146"/>
      <c r="E230" s="79"/>
      <c r="F230" s="246" t="str">
        <f>IFERROR(INDEX('G-1 All Habitats'!$B$3:$B$129,MATCH(E230,'G-1 All Habitats'!$A$3:$A$129,0)),"")</f>
        <v/>
      </c>
      <c r="G230" s="70"/>
      <c r="H230" s="498" t="str">
        <f>IF(F230="","",VLOOKUP(F230,'G-1 All Habitats'!$B$2:$M$129,10,FALSE))</f>
        <v/>
      </c>
      <c r="I230" s="499" t="str">
        <f>IFERROR(VLOOKUP(H230,'G-1 All Habitats'!$V$3:$W$7,2,FALSE),"")</f>
        <v/>
      </c>
      <c r="J230" s="71"/>
      <c r="K230" s="499" t="str">
        <f>IFERROR(INDEX('G-8 Condition Look up'!$A$3:$H$130,MATCH(F230,'G-8 Condition Look up'!$A$3:$A$130,0),MATCH(J230,'G-8 Condition Look up'!$A$3:$H$3,0)),"")</f>
        <v/>
      </c>
      <c r="L230" s="71"/>
      <c r="M230" s="507" t="str">
        <f>IF(L230="","",IF(VLOOKUP(L230,'G-3 Multipliers'!$L$3:$N$6,2,FALSE)=0,"Spatial Data Missing",VLOOKUP(L230,'G-3 Multipliers'!$L$3:$N$6,2,FALSE)))</f>
        <v/>
      </c>
      <c r="N230" s="505" t="str">
        <f>IF(L230="","",IF(VLOOKUP(L230,'G-3 Multipliers'!$L$3:$N$6,3,FALSE)=0,"Spatial Data Missing",VLOOKUP(L230,'G-3 Multipliers'!$L$3:$N$6,3,FALSE)))</f>
        <v/>
      </c>
      <c r="O230" s="498" t="str">
        <f t="shared" si="18"/>
        <v/>
      </c>
      <c r="P230" s="82"/>
      <c r="Q230" s="82"/>
      <c r="R230" s="507" t="str">
        <f t="shared" si="20"/>
        <v/>
      </c>
      <c r="S230" s="521" t="str">
        <f t="shared" si="21"/>
        <v/>
      </c>
      <c r="T230" s="522" t="str">
        <f>IFERROR(IF(S230="Check Data ⚠","Check Data ⚠",VLOOKUP(S230,'G-4 Temporal multipliers'!$A$4:$C$37,3,FALSE)),"")</f>
        <v/>
      </c>
      <c r="U230" s="523" t="str">
        <f>IF(F230="","",VLOOKUP(F230,'G-3 Multipliers'!$A$2:$E$129,2,FALSE))</f>
        <v/>
      </c>
      <c r="V230" s="520" t="str">
        <f t="shared" si="22"/>
        <v/>
      </c>
      <c r="W230" s="520" t="str">
        <f>IF(E230="","",IF(AND(V230="Standard difficulty applied",O230&gt;P230),U230,IF(AND(V230="Low Difficulty - only applicable if all habitat created before losses",P230&gt;=O230),"Low",VLOOKUP(F230,'G-3 Multipliers'!$A$2:$E$129,4,FALSE))))</f>
        <v/>
      </c>
      <c r="X230" s="524" t="str">
        <f>IFERROR(IF(E230="","",VLOOKUP(W230, 'G-3 Multipliers'!$P$2:$Q$6,2,FALSE)),"")</f>
        <v/>
      </c>
      <c r="Y230" s="529" t="str">
        <f t="shared" si="23"/>
        <v/>
      </c>
      <c r="Z230" s="239"/>
      <c r="AA230" s="240"/>
      <c r="AE230" s="54" t="str">
        <f t="shared" si="19"/>
        <v/>
      </c>
    </row>
    <row r="231" spans="1:31" x14ac:dyDescent="0.3">
      <c r="A231" s="47" t="str">
        <f>IFERROR(INDEX('G-8 Condition Look up'!$I$4:$I$130,MATCH(F231,'G-8 Condition Look up'!$A$4:$A$130,0)),"")</f>
        <v/>
      </c>
      <c r="C231" s="384" t="str">
        <f>IFERROR(INDEX('G-1 All Habitats'!$AG$3:$AG$15,MATCH(D231,'G-1 All Habitats'!$AF$3:$AF$15,0)),"")</f>
        <v/>
      </c>
      <c r="D231" s="146"/>
      <c r="E231" s="79"/>
      <c r="F231" s="246" t="str">
        <f>IFERROR(INDEX('G-1 All Habitats'!$B$3:$B$129,MATCH(E231,'G-1 All Habitats'!$A$3:$A$129,0)),"")</f>
        <v/>
      </c>
      <c r="G231" s="70"/>
      <c r="H231" s="498" t="str">
        <f>IF(F231="","",VLOOKUP(F231,'G-1 All Habitats'!$B$2:$M$129,10,FALSE))</f>
        <v/>
      </c>
      <c r="I231" s="499" t="str">
        <f>IFERROR(VLOOKUP(H231,'G-1 All Habitats'!$V$3:$W$7,2,FALSE),"")</f>
        <v/>
      </c>
      <c r="J231" s="71"/>
      <c r="K231" s="499" t="str">
        <f>IFERROR(INDEX('G-8 Condition Look up'!$A$3:$H$130,MATCH(F231,'G-8 Condition Look up'!$A$3:$A$130,0),MATCH(J231,'G-8 Condition Look up'!$A$3:$H$3,0)),"")</f>
        <v/>
      </c>
      <c r="L231" s="71"/>
      <c r="M231" s="507" t="str">
        <f>IF(L231="","",IF(VLOOKUP(L231,'G-3 Multipliers'!$L$3:$N$6,2,FALSE)=0,"Spatial Data Missing",VLOOKUP(L231,'G-3 Multipliers'!$L$3:$N$6,2,FALSE)))</f>
        <v/>
      </c>
      <c r="N231" s="505" t="str">
        <f>IF(L231="","",IF(VLOOKUP(L231,'G-3 Multipliers'!$L$3:$N$6,3,FALSE)=0,"Spatial Data Missing",VLOOKUP(L231,'G-3 Multipliers'!$L$3:$N$6,3,FALSE)))</f>
        <v/>
      </c>
      <c r="O231" s="498" t="str">
        <f t="shared" si="18"/>
        <v/>
      </c>
      <c r="P231" s="82"/>
      <c r="Q231" s="82"/>
      <c r="R231" s="507" t="str">
        <f t="shared" si="20"/>
        <v/>
      </c>
      <c r="S231" s="521" t="str">
        <f t="shared" si="21"/>
        <v/>
      </c>
      <c r="T231" s="522" t="str">
        <f>IFERROR(IF(S231="Check Data ⚠","Check Data ⚠",VLOOKUP(S231,'G-4 Temporal multipliers'!$A$4:$C$37,3,FALSE)),"")</f>
        <v/>
      </c>
      <c r="U231" s="523" t="str">
        <f>IF(F231="","",VLOOKUP(F231,'G-3 Multipliers'!$A$2:$E$129,2,FALSE))</f>
        <v/>
      </c>
      <c r="V231" s="520" t="str">
        <f t="shared" si="22"/>
        <v/>
      </c>
      <c r="W231" s="520" t="str">
        <f>IF(E231="","",IF(AND(V231="Standard difficulty applied",O231&gt;P231),U231,IF(AND(V231="Low Difficulty - only applicable if all habitat created before losses",P231&gt;=O231),"Low",VLOOKUP(F231,'G-3 Multipliers'!$A$2:$E$129,4,FALSE))))</f>
        <v/>
      </c>
      <c r="X231" s="524" t="str">
        <f>IFERROR(IF(E231="","",VLOOKUP(W231, 'G-3 Multipliers'!$P$2:$Q$6,2,FALSE)),"")</f>
        <v/>
      </c>
      <c r="Y231" s="529" t="str">
        <f t="shared" si="23"/>
        <v/>
      </c>
      <c r="Z231" s="239"/>
      <c r="AA231" s="240"/>
      <c r="AE231" s="54" t="str">
        <f t="shared" si="19"/>
        <v/>
      </c>
    </row>
    <row r="232" spans="1:31" x14ac:dyDescent="0.3">
      <c r="A232" s="47" t="str">
        <f>IFERROR(INDEX('G-8 Condition Look up'!$I$4:$I$130,MATCH(F232,'G-8 Condition Look up'!$A$4:$A$130,0)),"")</f>
        <v/>
      </c>
      <c r="C232" s="384" t="str">
        <f>IFERROR(INDEX('G-1 All Habitats'!$AG$3:$AG$15,MATCH(D232,'G-1 All Habitats'!$AF$3:$AF$15,0)),"")</f>
        <v/>
      </c>
      <c r="D232" s="146"/>
      <c r="E232" s="79"/>
      <c r="F232" s="246" t="str">
        <f>IFERROR(INDEX('G-1 All Habitats'!$B$3:$B$129,MATCH(E232,'G-1 All Habitats'!$A$3:$A$129,0)),"")</f>
        <v/>
      </c>
      <c r="G232" s="70"/>
      <c r="H232" s="498" t="str">
        <f>IF(F232="","",VLOOKUP(F232,'G-1 All Habitats'!$B$2:$M$129,10,FALSE))</f>
        <v/>
      </c>
      <c r="I232" s="499" t="str">
        <f>IFERROR(VLOOKUP(H232,'G-1 All Habitats'!$V$3:$W$7,2,FALSE),"")</f>
        <v/>
      </c>
      <c r="J232" s="71"/>
      <c r="K232" s="499" t="str">
        <f>IFERROR(INDEX('G-8 Condition Look up'!$A$3:$H$130,MATCH(F232,'G-8 Condition Look up'!$A$3:$A$130,0),MATCH(J232,'G-8 Condition Look up'!$A$3:$H$3,0)),"")</f>
        <v/>
      </c>
      <c r="L232" s="71"/>
      <c r="M232" s="507" t="str">
        <f>IF(L232="","",IF(VLOOKUP(L232,'G-3 Multipliers'!$L$3:$N$6,2,FALSE)=0,"Spatial Data Missing",VLOOKUP(L232,'G-3 Multipliers'!$L$3:$N$6,2,FALSE)))</f>
        <v/>
      </c>
      <c r="N232" s="505" t="str">
        <f>IF(L232="","",IF(VLOOKUP(L232,'G-3 Multipliers'!$L$3:$N$6,3,FALSE)=0,"Spatial Data Missing",VLOOKUP(L232,'G-3 Multipliers'!$L$3:$N$6,3,FALSE)))</f>
        <v/>
      </c>
      <c r="O232" s="498" t="str">
        <f t="shared" si="18"/>
        <v/>
      </c>
      <c r="P232" s="82"/>
      <c r="Q232" s="82"/>
      <c r="R232" s="507" t="str">
        <f t="shared" si="20"/>
        <v/>
      </c>
      <c r="S232" s="521" t="str">
        <f t="shared" si="21"/>
        <v/>
      </c>
      <c r="T232" s="522" t="str">
        <f>IFERROR(IF(S232="Check Data ⚠","Check Data ⚠",VLOOKUP(S232,'G-4 Temporal multipliers'!$A$4:$C$37,3,FALSE)),"")</f>
        <v/>
      </c>
      <c r="U232" s="523" t="str">
        <f>IF(F232="","",VLOOKUP(F232,'G-3 Multipliers'!$A$2:$E$129,2,FALSE))</f>
        <v/>
      </c>
      <c r="V232" s="520" t="str">
        <f t="shared" si="22"/>
        <v/>
      </c>
      <c r="W232" s="520" t="str">
        <f>IF(E232="","",IF(AND(V232="Standard difficulty applied",O232&gt;P232),U232,IF(AND(V232="Low Difficulty - only applicable if all habitat created before losses",P232&gt;=O232),"Low",VLOOKUP(F232,'G-3 Multipliers'!$A$2:$E$129,4,FALSE))))</f>
        <v/>
      </c>
      <c r="X232" s="524" t="str">
        <f>IFERROR(IF(E232="","",VLOOKUP(W232, 'G-3 Multipliers'!$P$2:$Q$6,2,FALSE)),"")</f>
        <v/>
      </c>
      <c r="Y232" s="529" t="str">
        <f t="shared" si="23"/>
        <v/>
      </c>
      <c r="Z232" s="239"/>
      <c r="AA232" s="240"/>
      <c r="AE232" s="54" t="str">
        <f t="shared" si="19"/>
        <v/>
      </c>
    </row>
    <row r="233" spans="1:31" x14ac:dyDescent="0.3">
      <c r="A233" s="47" t="str">
        <f>IFERROR(INDEX('G-8 Condition Look up'!$I$4:$I$130,MATCH(F233,'G-8 Condition Look up'!$A$4:$A$130,0)),"")</f>
        <v/>
      </c>
      <c r="C233" s="384" t="str">
        <f>IFERROR(INDEX('G-1 All Habitats'!$AG$3:$AG$15,MATCH(D233,'G-1 All Habitats'!$AF$3:$AF$15,0)),"")</f>
        <v/>
      </c>
      <c r="D233" s="146"/>
      <c r="E233" s="79"/>
      <c r="F233" s="246" t="str">
        <f>IFERROR(INDEX('G-1 All Habitats'!$B$3:$B$129,MATCH(E233,'G-1 All Habitats'!$A$3:$A$129,0)),"")</f>
        <v/>
      </c>
      <c r="G233" s="70"/>
      <c r="H233" s="498" t="str">
        <f>IF(F233="","",VLOOKUP(F233,'G-1 All Habitats'!$B$2:$M$129,10,FALSE))</f>
        <v/>
      </c>
      <c r="I233" s="499" t="str">
        <f>IFERROR(VLOOKUP(H233,'G-1 All Habitats'!$V$3:$W$7,2,FALSE),"")</f>
        <v/>
      </c>
      <c r="J233" s="71"/>
      <c r="K233" s="499" t="str">
        <f>IFERROR(INDEX('G-8 Condition Look up'!$A$3:$H$130,MATCH(F233,'G-8 Condition Look up'!$A$3:$A$130,0),MATCH(J233,'G-8 Condition Look up'!$A$3:$H$3,0)),"")</f>
        <v/>
      </c>
      <c r="L233" s="71"/>
      <c r="M233" s="507" t="str">
        <f>IF(L233="","",IF(VLOOKUP(L233,'G-3 Multipliers'!$L$3:$N$6,2,FALSE)=0,"Spatial Data Missing",VLOOKUP(L233,'G-3 Multipliers'!$L$3:$N$6,2,FALSE)))</f>
        <v/>
      </c>
      <c r="N233" s="505" t="str">
        <f>IF(L233="","",IF(VLOOKUP(L233,'G-3 Multipliers'!$L$3:$N$6,3,FALSE)=0,"Spatial Data Missing",VLOOKUP(L233,'G-3 Multipliers'!$L$3:$N$6,3,FALSE)))</f>
        <v/>
      </c>
      <c r="O233" s="498" t="str">
        <f t="shared" si="18"/>
        <v/>
      </c>
      <c r="P233" s="82"/>
      <c r="Q233" s="82"/>
      <c r="R233" s="507" t="str">
        <f t="shared" si="20"/>
        <v/>
      </c>
      <c r="S233" s="521" t="str">
        <f t="shared" si="21"/>
        <v/>
      </c>
      <c r="T233" s="522" t="str">
        <f>IFERROR(IF(S233="Check Data ⚠","Check Data ⚠",VLOOKUP(S233,'G-4 Temporal multipliers'!$A$4:$C$37,3,FALSE)),"")</f>
        <v/>
      </c>
      <c r="U233" s="523" t="str">
        <f>IF(F233="","",VLOOKUP(F233,'G-3 Multipliers'!$A$2:$E$129,2,FALSE))</f>
        <v/>
      </c>
      <c r="V233" s="520" t="str">
        <f t="shared" si="22"/>
        <v/>
      </c>
      <c r="W233" s="520" t="str">
        <f>IF(E233="","",IF(AND(V233="Standard difficulty applied",O233&gt;P233),U233,IF(AND(V233="Low Difficulty - only applicable if all habitat created before losses",P233&gt;=O233),"Low",VLOOKUP(F233,'G-3 Multipliers'!$A$2:$E$129,4,FALSE))))</f>
        <v/>
      </c>
      <c r="X233" s="524" t="str">
        <f>IFERROR(IF(E233="","",VLOOKUP(W233, 'G-3 Multipliers'!$P$2:$Q$6,2,FALSE)),"")</f>
        <v/>
      </c>
      <c r="Y233" s="529" t="str">
        <f t="shared" si="23"/>
        <v/>
      </c>
      <c r="Z233" s="239"/>
      <c r="AA233" s="240"/>
      <c r="AE233" s="54" t="str">
        <f t="shared" si="19"/>
        <v/>
      </c>
    </row>
    <row r="234" spans="1:31" x14ac:dyDescent="0.3">
      <c r="A234" s="47" t="str">
        <f>IFERROR(INDEX('G-8 Condition Look up'!$I$4:$I$130,MATCH(F234,'G-8 Condition Look up'!$A$4:$A$130,0)),"")</f>
        <v/>
      </c>
      <c r="C234" s="384" t="str">
        <f>IFERROR(INDEX('G-1 All Habitats'!$AG$3:$AG$15,MATCH(D234,'G-1 All Habitats'!$AF$3:$AF$15,0)),"")</f>
        <v/>
      </c>
      <c r="D234" s="146"/>
      <c r="E234" s="79"/>
      <c r="F234" s="246" t="str">
        <f>IFERROR(INDEX('G-1 All Habitats'!$B$3:$B$129,MATCH(E234,'G-1 All Habitats'!$A$3:$A$129,0)),"")</f>
        <v/>
      </c>
      <c r="G234" s="70"/>
      <c r="H234" s="498" t="str">
        <f>IF(F234="","",VLOOKUP(F234,'G-1 All Habitats'!$B$2:$M$129,10,FALSE))</f>
        <v/>
      </c>
      <c r="I234" s="499" t="str">
        <f>IFERROR(VLOOKUP(H234,'G-1 All Habitats'!$V$3:$W$7,2,FALSE),"")</f>
        <v/>
      </c>
      <c r="J234" s="71"/>
      <c r="K234" s="499" t="str">
        <f>IFERROR(INDEX('G-8 Condition Look up'!$A$3:$H$130,MATCH(F234,'G-8 Condition Look up'!$A$3:$A$130,0),MATCH(J234,'G-8 Condition Look up'!$A$3:$H$3,0)),"")</f>
        <v/>
      </c>
      <c r="L234" s="71"/>
      <c r="M234" s="507" t="str">
        <f>IF(L234="","",IF(VLOOKUP(L234,'G-3 Multipliers'!$L$3:$N$6,2,FALSE)=0,"Spatial Data Missing",VLOOKUP(L234,'G-3 Multipliers'!$L$3:$N$6,2,FALSE)))</f>
        <v/>
      </c>
      <c r="N234" s="505" t="str">
        <f>IF(L234="","",IF(VLOOKUP(L234,'G-3 Multipliers'!$L$3:$N$6,3,FALSE)=0,"Spatial Data Missing",VLOOKUP(L234,'G-3 Multipliers'!$L$3:$N$6,3,FALSE)))</f>
        <v/>
      </c>
      <c r="O234" s="498" t="str">
        <f t="shared" si="18"/>
        <v/>
      </c>
      <c r="P234" s="82"/>
      <c r="Q234" s="82"/>
      <c r="R234" s="507" t="str">
        <f t="shared" si="20"/>
        <v/>
      </c>
      <c r="S234" s="521" t="str">
        <f t="shared" si="21"/>
        <v/>
      </c>
      <c r="T234" s="522" t="str">
        <f>IFERROR(IF(S234="Check Data ⚠","Check Data ⚠",VLOOKUP(S234,'G-4 Temporal multipliers'!$A$4:$C$37,3,FALSE)),"")</f>
        <v/>
      </c>
      <c r="U234" s="523" t="str">
        <f>IF(F234="","",VLOOKUP(F234,'G-3 Multipliers'!$A$2:$E$129,2,FALSE))</f>
        <v/>
      </c>
      <c r="V234" s="520" t="str">
        <f t="shared" si="22"/>
        <v/>
      </c>
      <c r="W234" s="520" t="str">
        <f>IF(E234="","",IF(AND(V234="Standard difficulty applied",O234&gt;P234),U234,IF(AND(V234="Low Difficulty - only applicable if all habitat created before losses",P234&gt;=O234),"Low",VLOOKUP(F234,'G-3 Multipliers'!$A$2:$E$129,4,FALSE))))</f>
        <v/>
      </c>
      <c r="X234" s="524" t="str">
        <f>IFERROR(IF(E234="","",VLOOKUP(W234, 'G-3 Multipliers'!$P$2:$Q$6,2,FALSE)),"")</f>
        <v/>
      </c>
      <c r="Y234" s="529" t="str">
        <f t="shared" si="23"/>
        <v/>
      </c>
      <c r="Z234" s="239"/>
      <c r="AA234" s="240"/>
      <c r="AE234" s="54" t="str">
        <f t="shared" si="19"/>
        <v/>
      </c>
    </row>
    <row r="235" spans="1:31" x14ac:dyDescent="0.3">
      <c r="A235" s="47" t="str">
        <f>IFERROR(INDEX('G-8 Condition Look up'!$I$4:$I$130,MATCH(F235,'G-8 Condition Look up'!$A$4:$A$130,0)),"")</f>
        <v/>
      </c>
      <c r="C235" s="384" t="str">
        <f>IFERROR(INDEX('G-1 All Habitats'!$AG$3:$AG$15,MATCH(D235,'G-1 All Habitats'!$AF$3:$AF$15,0)),"")</f>
        <v/>
      </c>
      <c r="D235" s="146"/>
      <c r="E235" s="79"/>
      <c r="F235" s="246" t="str">
        <f>IFERROR(INDEX('G-1 All Habitats'!$B$3:$B$129,MATCH(E235,'G-1 All Habitats'!$A$3:$A$129,0)),"")</f>
        <v/>
      </c>
      <c r="G235" s="70"/>
      <c r="H235" s="498" t="str">
        <f>IF(F235="","",VLOOKUP(F235,'G-1 All Habitats'!$B$2:$M$129,10,FALSE))</f>
        <v/>
      </c>
      <c r="I235" s="499" t="str">
        <f>IFERROR(VLOOKUP(H235,'G-1 All Habitats'!$V$3:$W$7,2,FALSE),"")</f>
        <v/>
      </c>
      <c r="J235" s="71"/>
      <c r="K235" s="499" t="str">
        <f>IFERROR(INDEX('G-8 Condition Look up'!$A$3:$H$130,MATCH(F235,'G-8 Condition Look up'!$A$3:$A$130,0),MATCH(J235,'G-8 Condition Look up'!$A$3:$H$3,0)),"")</f>
        <v/>
      </c>
      <c r="L235" s="71"/>
      <c r="M235" s="507" t="str">
        <f>IF(L235="","",IF(VLOOKUP(L235,'G-3 Multipliers'!$L$3:$N$6,2,FALSE)=0,"Spatial Data Missing",VLOOKUP(L235,'G-3 Multipliers'!$L$3:$N$6,2,FALSE)))</f>
        <v/>
      </c>
      <c r="N235" s="505" t="str">
        <f>IF(L235="","",IF(VLOOKUP(L235,'G-3 Multipliers'!$L$3:$N$6,3,FALSE)=0,"Spatial Data Missing",VLOOKUP(L235,'G-3 Multipliers'!$L$3:$N$6,3,FALSE)))</f>
        <v/>
      </c>
      <c r="O235" s="498" t="str">
        <f t="shared" si="18"/>
        <v/>
      </c>
      <c r="P235" s="82"/>
      <c r="Q235" s="82"/>
      <c r="R235" s="507" t="str">
        <f t="shared" si="20"/>
        <v/>
      </c>
      <c r="S235" s="521" t="str">
        <f t="shared" si="21"/>
        <v/>
      </c>
      <c r="T235" s="522" t="str">
        <f>IFERROR(IF(S235="Check Data ⚠","Check Data ⚠",VLOOKUP(S235,'G-4 Temporal multipliers'!$A$4:$C$37,3,FALSE)),"")</f>
        <v/>
      </c>
      <c r="U235" s="523" t="str">
        <f>IF(F235="","",VLOOKUP(F235,'G-3 Multipliers'!$A$2:$E$129,2,FALSE))</f>
        <v/>
      </c>
      <c r="V235" s="520" t="str">
        <f t="shared" si="22"/>
        <v/>
      </c>
      <c r="W235" s="520" t="str">
        <f>IF(E235="","",IF(AND(V235="Standard difficulty applied",O235&gt;P235),U235,IF(AND(V235="Low Difficulty - only applicable if all habitat created before losses",P235&gt;=O235),"Low",VLOOKUP(F235,'G-3 Multipliers'!$A$2:$E$129,4,FALSE))))</f>
        <v/>
      </c>
      <c r="X235" s="524" t="str">
        <f>IFERROR(IF(E235="","",VLOOKUP(W235, 'G-3 Multipliers'!$P$2:$Q$6,2,FALSE)),"")</f>
        <v/>
      </c>
      <c r="Y235" s="529" t="str">
        <f t="shared" si="23"/>
        <v/>
      </c>
      <c r="Z235" s="239"/>
      <c r="AA235" s="240"/>
      <c r="AE235" s="54" t="str">
        <f t="shared" si="19"/>
        <v/>
      </c>
    </row>
    <row r="236" spans="1:31" x14ac:dyDescent="0.3">
      <c r="A236" s="47" t="str">
        <f>IFERROR(INDEX('G-8 Condition Look up'!$I$4:$I$130,MATCH(F236,'G-8 Condition Look up'!$A$4:$A$130,0)),"")</f>
        <v/>
      </c>
      <c r="C236" s="384" t="str">
        <f>IFERROR(INDEX('G-1 All Habitats'!$AG$3:$AG$15,MATCH(D236,'G-1 All Habitats'!$AF$3:$AF$15,0)),"")</f>
        <v/>
      </c>
      <c r="D236" s="146"/>
      <c r="E236" s="79"/>
      <c r="F236" s="246" t="str">
        <f>IFERROR(INDEX('G-1 All Habitats'!$B$3:$B$129,MATCH(E236,'G-1 All Habitats'!$A$3:$A$129,0)),"")</f>
        <v/>
      </c>
      <c r="G236" s="70"/>
      <c r="H236" s="498" t="str">
        <f>IF(F236="","",VLOOKUP(F236,'G-1 All Habitats'!$B$2:$M$129,10,FALSE))</f>
        <v/>
      </c>
      <c r="I236" s="499" t="str">
        <f>IFERROR(VLOOKUP(H236,'G-1 All Habitats'!$V$3:$W$7,2,FALSE),"")</f>
        <v/>
      </c>
      <c r="J236" s="71"/>
      <c r="K236" s="499" t="str">
        <f>IFERROR(INDEX('G-8 Condition Look up'!$A$3:$H$130,MATCH(F236,'G-8 Condition Look up'!$A$3:$A$130,0),MATCH(J236,'G-8 Condition Look up'!$A$3:$H$3,0)),"")</f>
        <v/>
      </c>
      <c r="L236" s="71"/>
      <c r="M236" s="507" t="str">
        <f>IF(L236="","",IF(VLOOKUP(L236,'G-3 Multipliers'!$L$3:$N$6,2,FALSE)=0,"Spatial Data Missing",VLOOKUP(L236,'G-3 Multipliers'!$L$3:$N$6,2,FALSE)))</f>
        <v/>
      </c>
      <c r="N236" s="505" t="str">
        <f>IF(L236="","",IF(VLOOKUP(L236,'G-3 Multipliers'!$L$3:$N$6,3,FALSE)=0,"Spatial Data Missing",VLOOKUP(L236,'G-3 Multipliers'!$L$3:$N$6,3,FALSE)))</f>
        <v/>
      </c>
      <c r="O236" s="498" t="str">
        <f t="shared" si="18"/>
        <v/>
      </c>
      <c r="P236" s="82"/>
      <c r="Q236" s="82"/>
      <c r="R236" s="507" t="str">
        <f t="shared" si="20"/>
        <v/>
      </c>
      <c r="S236" s="521" t="str">
        <f t="shared" si="21"/>
        <v/>
      </c>
      <c r="T236" s="522" t="str">
        <f>IFERROR(IF(S236="Check Data ⚠","Check Data ⚠",VLOOKUP(S236,'G-4 Temporal multipliers'!$A$4:$C$37,3,FALSE)),"")</f>
        <v/>
      </c>
      <c r="U236" s="523" t="str">
        <f>IF(F236="","",VLOOKUP(F236,'G-3 Multipliers'!$A$2:$E$129,2,FALSE))</f>
        <v/>
      </c>
      <c r="V236" s="520" t="str">
        <f t="shared" si="22"/>
        <v/>
      </c>
      <c r="W236" s="520" t="str">
        <f>IF(E236="","",IF(AND(V236="Standard difficulty applied",O236&gt;P236),U236,IF(AND(V236="Low Difficulty - only applicable if all habitat created before losses",P236&gt;=O236),"Low",VLOOKUP(F236,'G-3 Multipliers'!$A$2:$E$129,4,FALSE))))</f>
        <v/>
      </c>
      <c r="X236" s="524" t="str">
        <f>IFERROR(IF(E236="","",VLOOKUP(W236, 'G-3 Multipliers'!$P$2:$Q$6,2,FALSE)),"")</f>
        <v/>
      </c>
      <c r="Y236" s="529" t="str">
        <f t="shared" si="23"/>
        <v/>
      </c>
      <c r="Z236" s="239"/>
      <c r="AA236" s="240"/>
      <c r="AE236" s="54" t="str">
        <f t="shared" si="19"/>
        <v/>
      </c>
    </row>
    <row r="237" spans="1:31" x14ac:dyDescent="0.3">
      <c r="A237" s="47" t="str">
        <f>IFERROR(INDEX('G-8 Condition Look up'!$I$4:$I$130,MATCH(F237,'G-8 Condition Look up'!$A$4:$A$130,0)),"")</f>
        <v/>
      </c>
      <c r="C237" s="384" t="str">
        <f>IFERROR(INDEX('G-1 All Habitats'!$AG$3:$AG$15,MATCH(D237,'G-1 All Habitats'!$AF$3:$AF$15,0)),"")</f>
        <v/>
      </c>
      <c r="D237" s="146"/>
      <c r="E237" s="79"/>
      <c r="F237" s="246" t="str">
        <f>IFERROR(INDEX('G-1 All Habitats'!$B$3:$B$129,MATCH(E237,'G-1 All Habitats'!$A$3:$A$129,0)),"")</f>
        <v/>
      </c>
      <c r="G237" s="70"/>
      <c r="H237" s="498" t="str">
        <f>IF(F237="","",VLOOKUP(F237,'G-1 All Habitats'!$B$2:$M$129,10,FALSE))</f>
        <v/>
      </c>
      <c r="I237" s="499" t="str">
        <f>IFERROR(VLOOKUP(H237,'G-1 All Habitats'!$V$3:$W$7,2,FALSE),"")</f>
        <v/>
      </c>
      <c r="J237" s="71"/>
      <c r="K237" s="499" t="str">
        <f>IFERROR(INDEX('G-8 Condition Look up'!$A$3:$H$130,MATCH(F237,'G-8 Condition Look up'!$A$3:$A$130,0),MATCH(J237,'G-8 Condition Look up'!$A$3:$H$3,0)),"")</f>
        <v/>
      </c>
      <c r="L237" s="71"/>
      <c r="M237" s="507" t="str">
        <f>IF(L237="","",IF(VLOOKUP(L237,'G-3 Multipliers'!$L$3:$N$6,2,FALSE)=0,"Spatial Data Missing",VLOOKUP(L237,'G-3 Multipliers'!$L$3:$N$6,2,FALSE)))</f>
        <v/>
      </c>
      <c r="N237" s="505" t="str">
        <f>IF(L237="","",IF(VLOOKUP(L237,'G-3 Multipliers'!$L$3:$N$6,3,FALSE)=0,"Spatial Data Missing",VLOOKUP(L237,'G-3 Multipliers'!$L$3:$N$6,3,FALSE)))</f>
        <v/>
      </c>
      <c r="O237" s="498" t="str">
        <f t="shared" si="18"/>
        <v/>
      </c>
      <c r="P237" s="82"/>
      <c r="Q237" s="82"/>
      <c r="R237" s="507" t="str">
        <f t="shared" si="20"/>
        <v/>
      </c>
      <c r="S237" s="521" t="str">
        <f t="shared" si="21"/>
        <v/>
      </c>
      <c r="T237" s="522" t="str">
        <f>IFERROR(IF(S237="Check Data ⚠","Check Data ⚠",VLOOKUP(S237,'G-4 Temporal multipliers'!$A$4:$C$37,3,FALSE)),"")</f>
        <v/>
      </c>
      <c r="U237" s="523" t="str">
        <f>IF(F237="","",VLOOKUP(F237,'G-3 Multipliers'!$A$2:$E$129,2,FALSE))</f>
        <v/>
      </c>
      <c r="V237" s="520" t="str">
        <f t="shared" si="22"/>
        <v/>
      </c>
      <c r="W237" s="520" t="str">
        <f>IF(E237="","",IF(AND(V237="Standard difficulty applied",O237&gt;P237),U237,IF(AND(V237="Low Difficulty - only applicable if all habitat created before losses",P237&gt;=O237),"Low",VLOOKUP(F237,'G-3 Multipliers'!$A$2:$E$129,4,FALSE))))</f>
        <v/>
      </c>
      <c r="X237" s="524" t="str">
        <f>IFERROR(IF(E237="","",VLOOKUP(W237, 'G-3 Multipliers'!$P$2:$Q$6,2,FALSE)),"")</f>
        <v/>
      </c>
      <c r="Y237" s="529" t="str">
        <f t="shared" si="23"/>
        <v/>
      </c>
      <c r="Z237" s="239"/>
      <c r="AA237" s="240"/>
      <c r="AE237" s="54" t="str">
        <f t="shared" si="19"/>
        <v/>
      </c>
    </row>
    <row r="238" spans="1:31" x14ac:dyDescent="0.3">
      <c r="A238" s="47" t="str">
        <f>IFERROR(INDEX('G-8 Condition Look up'!$I$4:$I$130,MATCH(F238,'G-8 Condition Look up'!$A$4:$A$130,0)),"")</f>
        <v/>
      </c>
      <c r="C238" s="384" t="str">
        <f>IFERROR(INDEX('G-1 All Habitats'!$AG$3:$AG$15,MATCH(D238,'G-1 All Habitats'!$AF$3:$AF$15,0)),"")</f>
        <v/>
      </c>
      <c r="D238" s="146"/>
      <c r="E238" s="79"/>
      <c r="F238" s="246" t="str">
        <f>IFERROR(INDEX('G-1 All Habitats'!$B$3:$B$129,MATCH(E238,'G-1 All Habitats'!$A$3:$A$129,0)),"")</f>
        <v/>
      </c>
      <c r="G238" s="70"/>
      <c r="H238" s="498" t="str">
        <f>IF(F238="","",VLOOKUP(F238,'G-1 All Habitats'!$B$2:$M$129,10,FALSE))</f>
        <v/>
      </c>
      <c r="I238" s="499" t="str">
        <f>IFERROR(VLOOKUP(H238,'G-1 All Habitats'!$V$3:$W$7,2,FALSE),"")</f>
        <v/>
      </c>
      <c r="J238" s="71"/>
      <c r="K238" s="499" t="str">
        <f>IFERROR(INDEX('G-8 Condition Look up'!$A$3:$H$130,MATCH(F238,'G-8 Condition Look up'!$A$3:$A$130,0),MATCH(J238,'G-8 Condition Look up'!$A$3:$H$3,0)),"")</f>
        <v/>
      </c>
      <c r="L238" s="71"/>
      <c r="M238" s="507" t="str">
        <f>IF(L238="","",IF(VLOOKUP(L238,'G-3 Multipliers'!$L$3:$N$6,2,FALSE)=0,"Spatial Data Missing",VLOOKUP(L238,'G-3 Multipliers'!$L$3:$N$6,2,FALSE)))</f>
        <v/>
      </c>
      <c r="N238" s="505" t="str">
        <f>IF(L238="","",IF(VLOOKUP(L238,'G-3 Multipliers'!$L$3:$N$6,3,FALSE)=0,"Spatial Data Missing",VLOOKUP(L238,'G-3 Multipliers'!$L$3:$N$6,3,FALSE)))</f>
        <v/>
      </c>
      <c r="O238" s="498" t="str">
        <f t="shared" si="18"/>
        <v/>
      </c>
      <c r="P238" s="82"/>
      <c r="Q238" s="82"/>
      <c r="R238" s="507" t="str">
        <f t="shared" si="20"/>
        <v/>
      </c>
      <c r="S238" s="521" t="str">
        <f t="shared" si="21"/>
        <v/>
      </c>
      <c r="T238" s="522" t="str">
        <f>IFERROR(IF(S238="Check Data ⚠","Check Data ⚠",VLOOKUP(S238,'G-4 Temporal multipliers'!$A$4:$C$37,3,FALSE)),"")</f>
        <v/>
      </c>
      <c r="U238" s="523" t="str">
        <f>IF(F238="","",VLOOKUP(F238,'G-3 Multipliers'!$A$2:$E$129,2,FALSE))</f>
        <v/>
      </c>
      <c r="V238" s="520" t="str">
        <f t="shared" si="22"/>
        <v/>
      </c>
      <c r="W238" s="520" t="str">
        <f>IF(E238="","",IF(AND(V238="Standard difficulty applied",O238&gt;P238),U238,IF(AND(V238="Low Difficulty - only applicable if all habitat created before losses",P238&gt;=O238),"Low",VLOOKUP(F238,'G-3 Multipliers'!$A$2:$E$129,4,FALSE))))</f>
        <v/>
      </c>
      <c r="X238" s="524" t="str">
        <f>IFERROR(IF(E238="","",VLOOKUP(W238, 'G-3 Multipliers'!$P$2:$Q$6,2,FALSE)),"")</f>
        <v/>
      </c>
      <c r="Y238" s="529" t="str">
        <f t="shared" si="23"/>
        <v/>
      </c>
      <c r="Z238" s="239"/>
      <c r="AA238" s="240"/>
      <c r="AE238" s="54" t="str">
        <f t="shared" si="19"/>
        <v/>
      </c>
    </row>
    <row r="239" spans="1:31" x14ac:dyDescent="0.3">
      <c r="A239" s="47" t="str">
        <f>IFERROR(INDEX('G-8 Condition Look up'!$I$4:$I$130,MATCH(F239,'G-8 Condition Look up'!$A$4:$A$130,0)),"")</f>
        <v/>
      </c>
      <c r="C239" s="384" t="str">
        <f>IFERROR(INDEX('G-1 All Habitats'!$AG$3:$AG$15,MATCH(D239,'G-1 All Habitats'!$AF$3:$AF$15,0)),"")</f>
        <v/>
      </c>
      <c r="D239" s="146"/>
      <c r="E239" s="79"/>
      <c r="F239" s="246" t="str">
        <f>IFERROR(INDEX('G-1 All Habitats'!$B$3:$B$129,MATCH(E239,'G-1 All Habitats'!$A$3:$A$129,0)),"")</f>
        <v/>
      </c>
      <c r="G239" s="70"/>
      <c r="H239" s="498" t="str">
        <f>IF(F239="","",VLOOKUP(F239,'G-1 All Habitats'!$B$2:$M$129,10,FALSE))</f>
        <v/>
      </c>
      <c r="I239" s="499" t="str">
        <f>IFERROR(VLOOKUP(H239,'G-1 All Habitats'!$V$3:$W$7,2,FALSE),"")</f>
        <v/>
      </c>
      <c r="J239" s="71"/>
      <c r="K239" s="499" t="str">
        <f>IFERROR(INDEX('G-8 Condition Look up'!$A$3:$H$130,MATCH(F239,'G-8 Condition Look up'!$A$3:$A$130,0),MATCH(J239,'G-8 Condition Look up'!$A$3:$H$3,0)),"")</f>
        <v/>
      </c>
      <c r="L239" s="71"/>
      <c r="M239" s="507" t="str">
        <f>IF(L239="","",IF(VLOOKUP(L239,'G-3 Multipliers'!$L$3:$N$6,2,FALSE)=0,"Spatial Data Missing",VLOOKUP(L239,'G-3 Multipliers'!$L$3:$N$6,2,FALSE)))</f>
        <v/>
      </c>
      <c r="N239" s="505" t="str">
        <f>IF(L239="","",IF(VLOOKUP(L239,'G-3 Multipliers'!$L$3:$N$6,3,FALSE)=0,"Spatial Data Missing",VLOOKUP(L239,'G-3 Multipliers'!$L$3:$N$6,3,FALSE)))</f>
        <v/>
      </c>
      <c r="O239" s="498" t="str">
        <f t="shared" si="18"/>
        <v/>
      </c>
      <c r="P239" s="82"/>
      <c r="Q239" s="82"/>
      <c r="R239" s="507" t="str">
        <f t="shared" si="20"/>
        <v/>
      </c>
      <c r="S239" s="521" t="str">
        <f t="shared" si="21"/>
        <v/>
      </c>
      <c r="T239" s="522" t="str">
        <f>IFERROR(IF(S239="Check Data ⚠","Check Data ⚠",VLOOKUP(S239,'G-4 Temporal multipliers'!$A$4:$C$37,3,FALSE)),"")</f>
        <v/>
      </c>
      <c r="U239" s="523" t="str">
        <f>IF(F239="","",VLOOKUP(F239,'G-3 Multipliers'!$A$2:$E$129,2,FALSE))</f>
        <v/>
      </c>
      <c r="V239" s="520" t="str">
        <f t="shared" si="22"/>
        <v/>
      </c>
      <c r="W239" s="520" t="str">
        <f>IF(E239="","",IF(AND(V239="Standard difficulty applied",O239&gt;P239),U239,IF(AND(V239="Low Difficulty - only applicable if all habitat created before losses",P239&gt;=O239),"Low",VLOOKUP(F239,'G-3 Multipliers'!$A$2:$E$129,4,FALSE))))</f>
        <v/>
      </c>
      <c r="X239" s="524" t="str">
        <f>IFERROR(IF(E239="","",VLOOKUP(W239, 'G-3 Multipliers'!$P$2:$Q$6,2,FALSE)),"")</f>
        <v/>
      </c>
      <c r="Y239" s="529" t="str">
        <f t="shared" si="23"/>
        <v/>
      </c>
      <c r="Z239" s="239"/>
      <c r="AA239" s="240"/>
      <c r="AE239" s="54" t="str">
        <f t="shared" si="19"/>
        <v/>
      </c>
    </row>
    <row r="240" spans="1:31" x14ac:dyDescent="0.3">
      <c r="A240" s="47" t="str">
        <f>IFERROR(INDEX('G-8 Condition Look up'!$I$4:$I$130,MATCH(F240,'G-8 Condition Look up'!$A$4:$A$130,0)),"")</f>
        <v/>
      </c>
      <c r="C240" s="384" t="str">
        <f>IFERROR(INDEX('G-1 All Habitats'!$AG$3:$AG$15,MATCH(D240,'G-1 All Habitats'!$AF$3:$AF$15,0)),"")</f>
        <v/>
      </c>
      <c r="D240" s="146"/>
      <c r="E240" s="79"/>
      <c r="F240" s="246" t="str">
        <f>IFERROR(INDEX('G-1 All Habitats'!$B$3:$B$129,MATCH(E240,'G-1 All Habitats'!$A$3:$A$129,0)),"")</f>
        <v/>
      </c>
      <c r="G240" s="70"/>
      <c r="H240" s="498" t="str">
        <f>IF(F240="","",VLOOKUP(F240,'G-1 All Habitats'!$B$2:$M$129,10,FALSE))</f>
        <v/>
      </c>
      <c r="I240" s="499" t="str">
        <f>IFERROR(VLOOKUP(H240,'G-1 All Habitats'!$V$3:$W$7,2,FALSE),"")</f>
        <v/>
      </c>
      <c r="J240" s="71"/>
      <c r="K240" s="499" t="str">
        <f>IFERROR(INDEX('G-8 Condition Look up'!$A$3:$H$130,MATCH(F240,'G-8 Condition Look up'!$A$3:$A$130,0),MATCH(J240,'G-8 Condition Look up'!$A$3:$H$3,0)),"")</f>
        <v/>
      </c>
      <c r="L240" s="71"/>
      <c r="M240" s="507" t="str">
        <f>IF(L240="","",IF(VLOOKUP(L240,'G-3 Multipliers'!$L$3:$N$6,2,FALSE)=0,"Spatial Data Missing",VLOOKUP(L240,'G-3 Multipliers'!$L$3:$N$6,2,FALSE)))</f>
        <v/>
      </c>
      <c r="N240" s="505" t="str">
        <f>IF(L240="","",IF(VLOOKUP(L240,'G-3 Multipliers'!$L$3:$N$6,3,FALSE)=0,"Spatial Data Missing",VLOOKUP(L240,'G-3 Multipliers'!$L$3:$N$6,3,FALSE)))</f>
        <v/>
      </c>
      <c r="O240" s="498" t="str">
        <f t="shared" si="18"/>
        <v/>
      </c>
      <c r="P240" s="82"/>
      <c r="Q240" s="82"/>
      <c r="R240" s="507" t="str">
        <f t="shared" si="20"/>
        <v/>
      </c>
      <c r="S240" s="521" t="str">
        <f t="shared" si="21"/>
        <v/>
      </c>
      <c r="T240" s="522" t="str">
        <f>IFERROR(IF(S240="Check Data ⚠","Check Data ⚠",VLOOKUP(S240,'G-4 Temporal multipliers'!$A$4:$C$37,3,FALSE)),"")</f>
        <v/>
      </c>
      <c r="U240" s="523" t="str">
        <f>IF(F240="","",VLOOKUP(F240,'G-3 Multipliers'!$A$2:$E$129,2,FALSE))</f>
        <v/>
      </c>
      <c r="V240" s="520" t="str">
        <f t="shared" si="22"/>
        <v/>
      </c>
      <c r="W240" s="520" t="str">
        <f>IF(E240="","",IF(AND(V240="Standard difficulty applied",O240&gt;P240),U240,IF(AND(V240="Low Difficulty - only applicable if all habitat created before losses",P240&gt;=O240),"Low",VLOOKUP(F240,'G-3 Multipliers'!$A$2:$E$129,4,FALSE))))</f>
        <v/>
      </c>
      <c r="X240" s="524" t="str">
        <f>IFERROR(IF(E240="","",VLOOKUP(W240, 'G-3 Multipliers'!$P$2:$Q$6,2,FALSE)),"")</f>
        <v/>
      </c>
      <c r="Y240" s="529" t="str">
        <f t="shared" si="23"/>
        <v/>
      </c>
      <c r="Z240" s="239"/>
      <c r="AA240" s="240"/>
      <c r="AE240" s="54" t="str">
        <f t="shared" si="19"/>
        <v/>
      </c>
    </row>
    <row r="241" spans="1:31" x14ac:dyDescent="0.3">
      <c r="A241" s="47" t="str">
        <f>IFERROR(INDEX('G-8 Condition Look up'!$I$4:$I$130,MATCH(F241,'G-8 Condition Look up'!$A$4:$A$130,0)),"")</f>
        <v/>
      </c>
      <c r="C241" s="384" t="str">
        <f>IFERROR(INDEX('G-1 All Habitats'!$AG$3:$AG$15,MATCH(D241,'G-1 All Habitats'!$AF$3:$AF$15,0)),"")</f>
        <v/>
      </c>
      <c r="D241" s="146"/>
      <c r="E241" s="79"/>
      <c r="F241" s="246" t="str">
        <f>IFERROR(INDEX('G-1 All Habitats'!$B$3:$B$129,MATCH(E241,'G-1 All Habitats'!$A$3:$A$129,0)),"")</f>
        <v/>
      </c>
      <c r="G241" s="70"/>
      <c r="H241" s="498" t="str">
        <f>IF(F241="","",VLOOKUP(F241,'G-1 All Habitats'!$B$2:$M$129,10,FALSE))</f>
        <v/>
      </c>
      <c r="I241" s="499" t="str">
        <f>IFERROR(VLOOKUP(H241,'G-1 All Habitats'!$V$3:$W$7,2,FALSE),"")</f>
        <v/>
      </c>
      <c r="J241" s="71"/>
      <c r="K241" s="499" t="str">
        <f>IFERROR(INDEX('G-8 Condition Look up'!$A$3:$H$130,MATCH(F241,'G-8 Condition Look up'!$A$3:$A$130,0),MATCH(J241,'G-8 Condition Look up'!$A$3:$H$3,0)),"")</f>
        <v/>
      </c>
      <c r="L241" s="71"/>
      <c r="M241" s="507" t="str">
        <f>IF(L241="","",IF(VLOOKUP(L241,'G-3 Multipliers'!$L$3:$N$6,2,FALSE)=0,"Spatial Data Missing",VLOOKUP(L241,'G-3 Multipliers'!$L$3:$N$6,2,FALSE)))</f>
        <v/>
      </c>
      <c r="N241" s="505" t="str">
        <f>IF(L241="","",IF(VLOOKUP(L241,'G-3 Multipliers'!$L$3:$N$6,3,FALSE)=0,"Spatial Data Missing",VLOOKUP(L241,'G-3 Multipliers'!$L$3:$N$6,3,FALSE)))</f>
        <v/>
      </c>
      <c r="O241" s="498" t="str">
        <f t="shared" si="18"/>
        <v/>
      </c>
      <c r="P241" s="82"/>
      <c r="Q241" s="82"/>
      <c r="R241" s="507" t="str">
        <f t="shared" si="20"/>
        <v/>
      </c>
      <c r="S241" s="521" t="str">
        <f t="shared" si="21"/>
        <v/>
      </c>
      <c r="T241" s="522" t="str">
        <f>IFERROR(IF(S241="Check Data ⚠","Check Data ⚠",VLOOKUP(S241,'G-4 Temporal multipliers'!$A$4:$C$37,3,FALSE)),"")</f>
        <v/>
      </c>
      <c r="U241" s="523" t="str">
        <f>IF(F241="","",VLOOKUP(F241,'G-3 Multipliers'!$A$2:$E$129,2,FALSE))</f>
        <v/>
      </c>
      <c r="V241" s="520" t="str">
        <f t="shared" si="22"/>
        <v/>
      </c>
      <c r="W241" s="520" t="str">
        <f>IF(E241="","",IF(AND(V241="Standard difficulty applied",O241&gt;P241),U241,IF(AND(V241="Low Difficulty - only applicable if all habitat created before losses",P241&gt;=O241),"Low",VLOOKUP(F241,'G-3 Multipliers'!$A$2:$E$129,4,FALSE))))</f>
        <v/>
      </c>
      <c r="X241" s="524" t="str">
        <f>IFERROR(IF(E241="","",VLOOKUP(W241, 'G-3 Multipliers'!$P$2:$Q$6,2,FALSE)),"")</f>
        <v/>
      </c>
      <c r="Y241" s="529" t="str">
        <f t="shared" si="23"/>
        <v/>
      </c>
      <c r="Z241" s="239"/>
      <c r="AA241" s="240"/>
      <c r="AE241" s="54" t="str">
        <f t="shared" si="19"/>
        <v/>
      </c>
    </row>
    <row r="242" spans="1:31" x14ac:dyDescent="0.3">
      <c r="A242" s="47" t="str">
        <f>IFERROR(INDEX('G-8 Condition Look up'!$I$4:$I$130,MATCH(F242,'G-8 Condition Look up'!$A$4:$A$130,0)),"")</f>
        <v/>
      </c>
      <c r="C242" s="384" t="str">
        <f>IFERROR(INDEX('G-1 All Habitats'!$AG$3:$AG$15,MATCH(D242,'G-1 All Habitats'!$AF$3:$AF$15,0)),"")</f>
        <v/>
      </c>
      <c r="D242" s="146"/>
      <c r="E242" s="79"/>
      <c r="F242" s="246" t="str">
        <f>IFERROR(INDEX('G-1 All Habitats'!$B$3:$B$129,MATCH(E242,'G-1 All Habitats'!$A$3:$A$129,0)),"")</f>
        <v/>
      </c>
      <c r="G242" s="70"/>
      <c r="H242" s="498" t="str">
        <f>IF(F242="","",VLOOKUP(F242,'G-1 All Habitats'!$B$2:$M$129,10,FALSE))</f>
        <v/>
      </c>
      <c r="I242" s="499" t="str">
        <f>IFERROR(VLOOKUP(H242,'G-1 All Habitats'!$V$3:$W$7,2,FALSE),"")</f>
        <v/>
      </c>
      <c r="J242" s="71"/>
      <c r="K242" s="499" t="str">
        <f>IFERROR(INDEX('G-8 Condition Look up'!$A$3:$H$130,MATCH(F242,'G-8 Condition Look up'!$A$3:$A$130,0),MATCH(J242,'G-8 Condition Look up'!$A$3:$H$3,0)),"")</f>
        <v/>
      </c>
      <c r="L242" s="71"/>
      <c r="M242" s="507" t="str">
        <f>IF(L242="","",IF(VLOOKUP(L242,'G-3 Multipliers'!$L$3:$N$6,2,FALSE)=0,"Spatial Data Missing",VLOOKUP(L242,'G-3 Multipliers'!$L$3:$N$6,2,FALSE)))</f>
        <v/>
      </c>
      <c r="N242" s="505" t="str">
        <f>IF(L242="","",IF(VLOOKUP(L242,'G-3 Multipliers'!$L$3:$N$6,3,FALSE)=0,"Spatial Data Missing",VLOOKUP(L242,'G-3 Multipliers'!$L$3:$N$6,3,FALSE)))</f>
        <v/>
      </c>
      <c r="O242" s="498" t="str">
        <f t="shared" si="18"/>
        <v/>
      </c>
      <c r="P242" s="82"/>
      <c r="Q242" s="82"/>
      <c r="R242" s="507" t="str">
        <f t="shared" si="20"/>
        <v/>
      </c>
      <c r="S242" s="521" t="str">
        <f t="shared" si="21"/>
        <v/>
      </c>
      <c r="T242" s="522" t="str">
        <f>IFERROR(IF(S242="Check Data ⚠","Check Data ⚠",VLOOKUP(S242,'G-4 Temporal multipliers'!$A$4:$C$37,3,FALSE)),"")</f>
        <v/>
      </c>
      <c r="U242" s="523" t="str">
        <f>IF(F242="","",VLOOKUP(F242,'G-3 Multipliers'!$A$2:$E$129,2,FALSE))</f>
        <v/>
      </c>
      <c r="V242" s="520" t="str">
        <f t="shared" si="22"/>
        <v/>
      </c>
      <c r="W242" s="520" t="str">
        <f>IF(E242="","",IF(AND(V242="Standard difficulty applied",O242&gt;P242),U242,IF(AND(V242="Low Difficulty - only applicable if all habitat created before losses",P242&gt;=O242),"Low",VLOOKUP(F242,'G-3 Multipliers'!$A$2:$E$129,4,FALSE))))</f>
        <v/>
      </c>
      <c r="X242" s="524" t="str">
        <f>IFERROR(IF(E242="","",VLOOKUP(W242, 'G-3 Multipliers'!$P$2:$Q$6,2,FALSE)),"")</f>
        <v/>
      </c>
      <c r="Y242" s="529" t="str">
        <f t="shared" si="23"/>
        <v/>
      </c>
      <c r="Z242" s="239"/>
      <c r="AA242" s="240"/>
      <c r="AE242" s="54" t="str">
        <f t="shared" si="19"/>
        <v/>
      </c>
    </row>
    <row r="243" spans="1:31" x14ac:dyDescent="0.3">
      <c r="A243" s="47" t="str">
        <f>IFERROR(INDEX('G-8 Condition Look up'!$I$4:$I$130,MATCH(F243,'G-8 Condition Look up'!$A$4:$A$130,0)),"")</f>
        <v/>
      </c>
      <c r="C243" s="384" t="str">
        <f>IFERROR(INDEX('G-1 All Habitats'!$AG$3:$AG$15,MATCH(D243,'G-1 All Habitats'!$AF$3:$AF$15,0)),"")</f>
        <v/>
      </c>
      <c r="D243" s="146"/>
      <c r="E243" s="79"/>
      <c r="F243" s="246" t="str">
        <f>IFERROR(INDEX('G-1 All Habitats'!$B$3:$B$129,MATCH(E243,'G-1 All Habitats'!$A$3:$A$129,0)),"")</f>
        <v/>
      </c>
      <c r="G243" s="70"/>
      <c r="H243" s="498" t="str">
        <f>IF(F243="","",VLOOKUP(F243,'G-1 All Habitats'!$B$2:$M$129,10,FALSE))</f>
        <v/>
      </c>
      <c r="I243" s="499" t="str">
        <f>IFERROR(VLOOKUP(H243,'G-1 All Habitats'!$V$3:$W$7,2,FALSE),"")</f>
        <v/>
      </c>
      <c r="J243" s="71"/>
      <c r="K243" s="499" t="str">
        <f>IFERROR(INDEX('G-8 Condition Look up'!$A$3:$H$130,MATCH(F243,'G-8 Condition Look up'!$A$3:$A$130,0),MATCH(J243,'G-8 Condition Look up'!$A$3:$H$3,0)),"")</f>
        <v/>
      </c>
      <c r="L243" s="71"/>
      <c r="M243" s="507" t="str">
        <f>IF(L243="","",IF(VLOOKUP(L243,'G-3 Multipliers'!$L$3:$N$6,2,FALSE)=0,"Spatial Data Missing",VLOOKUP(L243,'G-3 Multipliers'!$L$3:$N$6,2,FALSE)))</f>
        <v/>
      </c>
      <c r="N243" s="505" t="str">
        <f>IF(L243="","",IF(VLOOKUP(L243,'G-3 Multipliers'!$L$3:$N$6,3,FALSE)=0,"Spatial Data Missing",VLOOKUP(L243,'G-3 Multipliers'!$L$3:$N$6,3,FALSE)))</f>
        <v/>
      </c>
      <c r="O243" s="498" t="str">
        <f t="shared" si="18"/>
        <v/>
      </c>
      <c r="P243" s="82"/>
      <c r="Q243" s="82"/>
      <c r="R243" s="507" t="str">
        <f t="shared" si="20"/>
        <v/>
      </c>
      <c r="S243" s="521" t="str">
        <f t="shared" si="21"/>
        <v/>
      </c>
      <c r="T243" s="522" t="str">
        <f>IFERROR(IF(S243="Check Data ⚠","Check Data ⚠",VLOOKUP(S243,'G-4 Temporal multipliers'!$A$4:$C$37,3,FALSE)),"")</f>
        <v/>
      </c>
      <c r="U243" s="523" t="str">
        <f>IF(F243="","",VLOOKUP(F243,'G-3 Multipliers'!$A$2:$E$129,2,FALSE))</f>
        <v/>
      </c>
      <c r="V243" s="520" t="str">
        <f t="shared" si="22"/>
        <v/>
      </c>
      <c r="W243" s="520" t="str">
        <f>IF(E243="","",IF(AND(V243="Standard difficulty applied",O243&gt;P243),U243,IF(AND(V243="Low Difficulty - only applicable if all habitat created before losses",P243&gt;=O243),"Low",VLOOKUP(F243,'G-3 Multipliers'!$A$2:$E$129,4,FALSE))))</f>
        <v/>
      </c>
      <c r="X243" s="524" t="str">
        <f>IFERROR(IF(E243="","",VLOOKUP(W243, 'G-3 Multipliers'!$P$2:$Q$6,2,FALSE)),"")</f>
        <v/>
      </c>
      <c r="Y243" s="529" t="str">
        <f t="shared" si="23"/>
        <v/>
      </c>
      <c r="Z243" s="239"/>
      <c r="AA243" s="240"/>
      <c r="AE243" s="54" t="str">
        <f t="shared" si="19"/>
        <v/>
      </c>
    </row>
    <row r="244" spans="1:31" x14ac:dyDescent="0.3">
      <c r="A244" s="47" t="str">
        <f>IFERROR(INDEX('G-8 Condition Look up'!$I$4:$I$130,MATCH(F244,'G-8 Condition Look up'!$A$4:$A$130,0)),"")</f>
        <v/>
      </c>
      <c r="C244" s="384" t="str">
        <f>IFERROR(INDEX('G-1 All Habitats'!$AG$3:$AG$15,MATCH(D244,'G-1 All Habitats'!$AF$3:$AF$15,0)),"")</f>
        <v/>
      </c>
      <c r="D244" s="146"/>
      <c r="E244" s="79"/>
      <c r="F244" s="246" t="str">
        <f>IFERROR(INDEX('G-1 All Habitats'!$B$3:$B$129,MATCH(E244,'G-1 All Habitats'!$A$3:$A$129,0)),"")</f>
        <v/>
      </c>
      <c r="G244" s="70"/>
      <c r="H244" s="498" t="str">
        <f>IF(F244="","",VLOOKUP(F244,'G-1 All Habitats'!$B$2:$M$129,10,FALSE))</f>
        <v/>
      </c>
      <c r="I244" s="499" t="str">
        <f>IFERROR(VLOOKUP(H244,'G-1 All Habitats'!$V$3:$W$7,2,FALSE),"")</f>
        <v/>
      </c>
      <c r="J244" s="71"/>
      <c r="K244" s="499" t="str">
        <f>IFERROR(INDEX('G-8 Condition Look up'!$A$3:$H$130,MATCH(F244,'G-8 Condition Look up'!$A$3:$A$130,0),MATCH(J244,'G-8 Condition Look up'!$A$3:$H$3,0)),"")</f>
        <v/>
      </c>
      <c r="L244" s="71"/>
      <c r="M244" s="507" t="str">
        <f>IF(L244="","",IF(VLOOKUP(L244,'G-3 Multipliers'!$L$3:$N$6,2,FALSE)=0,"Spatial Data Missing",VLOOKUP(L244,'G-3 Multipliers'!$L$3:$N$6,2,FALSE)))</f>
        <v/>
      </c>
      <c r="N244" s="505" t="str">
        <f>IF(L244="","",IF(VLOOKUP(L244,'G-3 Multipliers'!$L$3:$N$6,3,FALSE)=0,"Spatial Data Missing",VLOOKUP(L244,'G-3 Multipliers'!$L$3:$N$6,3,FALSE)))</f>
        <v/>
      </c>
      <c r="O244" s="498" t="str">
        <f t="shared" si="18"/>
        <v/>
      </c>
      <c r="P244" s="82"/>
      <c r="Q244" s="82"/>
      <c r="R244" s="507" t="str">
        <f t="shared" si="20"/>
        <v/>
      </c>
      <c r="S244" s="521" t="str">
        <f t="shared" si="21"/>
        <v/>
      </c>
      <c r="T244" s="522" t="str">
        <f>IFERROR(IF(S244="Check Data ⚠","Check Data ⚠",VLOOKUP(S244,'G-4 Temporal multipliers'!$A$4:$C$37,3,FALSE)),"")</f>
        <v/>
      </c>
      <c r="U244" s="523" t="str">
        <f>IF(F244="","",VLOOKUP(F244,'G-3 Multipliers'!$A$2:$E$129,2,FALSE))</f>
        <v/>
      </c>
      <c r="V244" s="520" t="str">
        <f t="shared" si="22"/>
        <v/>
      </c>
      <c r="W244" s="520" t="str">
        <f>IF(E244="","",IF(AND(V244="Standard difficulty applied",O244&gt;P244),U244,IF(AND(V244="Low Difficulty - only applicable if all habitat created before losses",P244&gt;=O244),"Low",VLOOKUP(F244,'G-3 Multipliers'!$A$2:$E$129,4,FALSE))))</f>
        <v/>
      </c>
      <c r="X244" s="524" t="str">
        <f>IFERROR(IF(E244="","",VLOOKUP(W244, 'G-3 Multipliers'!$P$2:$Q$6,2,FALSE)),"")</f>
        <v/>
      </c>
      <c r="Y244" s="529" t="str">
        <f t="shared" si="23"/>
        <v/>
      </c>
      <c r="Z244" s="239"/>
      <c r="AA244" s="240"/>
      <c r="AE244" s="54" t="str">
        <f t="shared" si="19"/>
        <v/>
      </c>
    </row>
    <row r="245" spans="1:31" x14ac:dyDescent="0.3">
      <c r="A245" s="47" t="str">
        <f>IFERROR(INDEX('G-8 Condition Look up'!$I$4:$I$130,MATCH(F245,'G-8 Condition Look up'!$A$4:$A$130,0)),"")</f>
        <v/>
      </c>
      <c r="C245" s="384" t="str">
        <f>IFERROR(INDEX('G-1 All Habitats'!$AG$3:$AG$15,MATCH(D245,'G-1 All Habitats'!$AF$3:$AF$15,0)),"")</f>
        <v/>
      </c>
      <c r="D245" s="146"/>
      <c r="E245" s="79"/>
      <c r="F245" s="246" t="str">
        <f>IFERROR(INDEX('G-1 All Habitats'!$B$3:$B$129,MATCH(E245,'G-1 All Habitats'!$A$3:$A$129,0)),"")</f>
        <v/>
      </c>
      <c r="G245" s="70"/>
      <c r="H245" s="498" t="str">
        <f>IF(F245="","",VLOOKUP(F245,'G-1 All Habitats'!$B$2:$M$129,10,FALSE))</f>
        <v/>
      </c>
      <c r="I245" s="499" t="str">
        <f>IFERROR(VLOOKUP(H245,'G-1 All Habitats'!$V$3:$W$7,2,FALSE),"")</f>
        <v/>
      </c>
      <c r="J245" s="71"/>
      <c r="K245" s="499" t="str">
        <f>IFERROR(INDEX('G-8 Condition Look up'!$A$3:$H$130,MATCH(F245,'G-8 Condition Look up'!$A$3:$A$130,0),MATCH(J245,'G-8 Condition Look up'!$A$3:$H$3,0)),"")</f>
        <v/>
      </c>
      <c r="L245" s="71"/>
      <c r="M245" s="507" t="str">
        <f>IF(L245="","",IF(VLOOKUP(L245,'G-3 Multipliers'!$L$3:$N$6,2,FALSE)=0,"Spatial Data Missing",VLOOKUP(L245,'G-3 Multipliers'!$L$3:$N$6,2,FALSE)))</f>
        <v/>
      </c>
      <c r="N245" s="505" t="str">
        <f>IF(L245="","",IF(VLOOKUP(L245,'G-3 Multipliers'!$L$3:$N$6,3,FALSE)=0,"Spatial Data Missing",VLOOKUP(L245,'G-3 Multipliers'!$L$3:$N$6,3,FALSE)))</f>
        <v/>
      </c>
      <c r="O245" s="498" t="str">
        <f t="shared" si="18"/>
        <v/>
      </c>
      <c r="P245" s="82"/>
      <c r="Q245" s="82"/>
      <c r="R245" s="507" t="str">
        <f t="shared" si="20"/>
        <v/>
      </c>
      <c r="S245" s="521" t="str">
        <f t="shared" si="21"/>
        <v/>
      </c>
      <c r="T245" s="522" t="str">
        <f>IFERROR(IF(S245="Check Data ⚠","Check Data ⚠",VLOOKUP(S245,'G-4 Temporal multipliers'!$A$4:$C$37,3,FALSE)),"")</f>
        <v/>
      </c>
      <c r="U245" s="523" t="str">
        <f>IF(F245="","",VLOOKUP(F245,'G-3 Multipliers'!$A$2:$E$129,2,FALSE))</f>
        <v/>
      </c>
      <c r="V245" s="520" t="str">
        <f t="shared" si="22"/>
        <v/>
      </c>
      <c r="W245" s="520" t="str">
        <f>IF(E245="","",IF(AND(V245="Standard difficulty applied",O245&gt;P245),U245,IF(AND(V245="Low Difficulty - only applicable if all habitat created before losses",P245&gt;=O245),"Low",VLOOKUP(F245,'G-3 Multipliers'!$A$2:$E$129,4,FALSE))))</f>
        <v/>
      </c>
      <c r="X245" s="524" t="str">
        <f>IFERROR(IF(E245="","",VLOOKUP(W245, 'G-3 Multipliers'!$P$2:$Q$6,2,FALSE)),"")</f>
        <v/>
      </c>
      <c r="Y245" s="529" t="str">
        <f t="shared" si="23"/>
        <v/>
      </c>
      <c r="Z245" s="239"/>
      <c r="AA245" s="240"/>
      <c r="AE245" s="54" t="str">
        <f t="shared" si="19"/>
        <v/>
      </c>
    </row>
    <row r="246" spans="1:31" x14ac:dyDescent="0.3">
      <c r="A246" s="47" t="str">
        <f>IFERROR(INDEX('G-8 Condition Look up'!$I$4:$I$130,MATCH(F246,'G-8 Condition Look up'!$A$4:$A$130,0)),"")</f>
        <v/>
      </c>
      <c r="C246" s="384" t="str">
        <f>IFERROR(INDEX('G-1 All Habitats'!$AG$3:$AG$15,MATCH(D246,'G-1 All Habitats'!$AF$3:$AF$15,0)),"")</f>
        <v/>
      </c>
      <c r="D246" s="146"/>
      <c r="E246" s="79"/>
      <c r="F246" s="246" t="str">
        <f>IFERROR(INDEX('G-1 All Habitats'!$B$3:$B$129,MATCH(E246,'G-1 All Habitats'!$A$3:$A$129,0)),"")</f>
        <v/>
      </c>
      <c r="G246" s="70"/>
      <c r="H246" s="498" t="str">
        <f>IF(F246="","",VLOOKUP(F246,'G-1 All Habitats'!$B$2:$M$129,10,FALSE))</f>
        <v/>
      </c>
      <c r="I246" s="499" t="str">
        <f>IFERROR(VLOOKUP(H246,'G-1 All Habitats'!$V$3:$W$7,2,FALSE),"")</f>
        <v/>
      </c>
      <c r="J246" s="71"/>
      <c r="K246" s="499" t="str">
        <f>IFERROR(INDEX('G-8 Condition Look up'!$A$3:$H$130,MATCH(F246,'G-8 Condition Look up'!$A$3:$A$130,0),MATCH(J246,'G-8 Condition Look up'!$A$3:$H$3,0)),"")</f>
        <v/>
      </c>
      <c r="L246" s="71"/>
      <c r="M246" s="507" t="str">
        <f>IF(L246="","",IF(VLOOKUP(L246,'G-3 Multipliers'!$L$3:$N$6,2,FALSE)=0,"Spatial Data Missing",VLOOKUP(L246,'G-3 Multipliers'!$L$3:$N$6,2,FALSE)))</f>
        <v/>
      </c>
      <c r="N246" s="505" t="str">
        <f>IF(L246="","",IF(VLOOKUP(L246,'G-3 Multipliers'!$L$3:$N$6,3,FALSE)=0,"Spatial Data Missing",VLOOKUP(L246,'G-3 Multipliers'!$L$3:$N$6,3,FALSE)))</f>
        <v/>
      </c>
      <c r="O246" s="498" t="str">
        <f t="shared" si="18"/>
        <v/>
      </c>
      <c r="P246" s="82"/>
      <c r="Q246" s="82"/>
      <c r="R246" s="507" t="str">
        <f t="shared" si="20"/>
        <v/>
      </c>
      <c r="S246" s="521" t="str">
        <f t="shared" si="21"/>
        <v/>
      </c>
      <c r="T246" s="522" t="str">
        <f>IFERROR(IF(S246="Check Data ⚠","Check Data ⚠",VLOOKUP(S246,'G-4 Temporal multipliers'!$A$4:$C$37,3,FALSE)),"")</f>
        <v/>
      </c>
      <c r="U246" s="523" t="str">
        <f>IF(F246="","",VLOOKUP(F246,'G-3 Multipliers'!$A$2:$E$129,2,FALSE))</f>
        <v/>
      </c>
      <c r="V246" s="520" t="str">
        <f t="shared" si="22"/>
        <v/>
      </c>
      <c r="W246" s="520" t="str">
        <f>IF(E246="","",IF(AND(V246="Standard difficulty applied",O246&gt;P246),U246,IF(AND(V246="Low Difficulty - only applicable if all habitat created before losses",P246&gt;=O246),"Low",VLOOKUP(F246,'G-3 Multipliers'!$A$2:$E$129,4,FALSE))))</f>
        <v/>
      </c>
      <c r="X246" s="524" t="str">
        <f>IFERROR(IF(E246="","",VLOOKUP(W246, 'G-3 Multipliers'!$P$2:$Q$6,2,FALSE)),"")</f>
        <v/>
      </c>
      <c r="Y246" s="529" t="str">
        <f t="shared" si="23"/>
        <v/>
      </c>
      <c r="Z246" s="239"/>
      <c r="AA246" s="240"/>
      <c r="AE246" s="54" t="str">
        <f t="shared" si="19"/>
        <v/>
      </c>
    </row>
    <row r="247" spans="1:31" x14ac:dyDescent="0.3">
      <c r="A247" s="47" t="str">
        <f>IFERROR(INDEX('G-8 Condition Look up'!$I$4:$I$130,MATCH(F247,'G-8 Condition Look up'!$A$4:$A$130,0)),"")</f>
        <v/>
      </c>
      <c r="C247" s="384" t="str">
        <f>IFERROR(INDEX('G-1 All Habitats'!$AG$3:$AG$15,MATCH(D247,'G-1 All Habitats'!$AF$3:$AF$15,0)),"")</f>
        <v/>
      </c>
      <c r="D247" s="146"/>
      <c r="E247" s="79"/>
      <c r="F247" s="246" t="str">
        <f>IFERROR(INDEX('G-1 All Habitats'!$B$3:$B$129,MATCH(E247,'G-1 All Habitats'!$A$3:$A$129,0)),"")</f>
        <v/>
      </c>
      <c r="G247" s="70"/>
      <c r="H247" s="498" t="str">
        <f>IF(F247="","",VLOOKUP(F247,'G-1 All Habitats'!$B$2:$M$129,10,FALSE))</f>
        <v/>
      </c>
      <c r="I247" s="499" t="str">
        <f>IFERROR(VLOOKUP(H247,'G-1 All Habitats'!$V$3:$W$7,2,FALSE),"")</f>
        <v/>
      </c>
      <c r="J247" s="71"/>
      <c r="K247" s="499" t="str">
        <f>IFERROR(INDEX('G-8 Condition Look up'!$A$3:$H$130,MATCH(F247,'G-8 Condition Look up'!$A$3:$A$130,0),MATCH(J247,'G-8 Condition Look up'!$A$3:$H$3,0)),"")</f>
        <v/>
      </c>
      <c r="L247" s="71"/>
      <c r="M247" s="507" t="str">
        <f>IF(L247="","",IF(VLOOKUP(L247,'G-3 Multipliers'!$L$3:$N$6,2,FALSE)=0,"Spatial Data Missing",VLOOKUP(L247,'G-3 Multipliers'!$L$3:$N$6,2,FALSE)))</f>
        <v/>
      </c>
      <c r="N247" s="505" t="str">
        <f>IF(L247="","",IF(VLOOKUP(L247,'G-3 Multipliers'!$L$3:$N$6,3,FALSE)=0,"Spatial Data Missing",VLOOKUP(L247,'G-3 Multipliers'!$L$3:$N$6,3,FALSE)))</f>
        <v/>
      </c>
      <c r="O247" s="498" t="str">
        <f t="shared" si="18"/>
        <v/>
      </c>
      <c r="P247" s="82"/>
      <c r="Q247" s="82"/>
      <c r="R247" s="507" t="str">
        <f t="shared" si="20"/>
        <v/>
      </c>
      <c r="S247" s="521" t="str">
        <f t="shared" si="21"/>
        <v/>
      </c>
      <c r="T247" s="522" t="str">
        <f>IFERROR(IF(S247="Check Data ⚠","Check Data ⚠",VLOOKUP(S247,'G-4 Temporal multipliers'!$A$4:$C$37,3,FALSE)),"")</f>
        <v/>
      </c>
      <c r="U247" s="523" t="str">
        <f>IF(F247="","",VLOOKUP(F247,'G-3 Multipliers'!$A$2:$E$129,2,FALSE))</f>
        <v/>
      </c>
      <c r="V247" s="520" t="str">
        <f t="shared" si="22"/>
        <v/>
      </c>
      <c r="W247" s="520" t="str">
        <f>IF(E247="","",IF(AND(V247="Standard difficulty applied",O247&gt;P247),U247,IF(AND(V247="Low Difficulty - only applicable if all habitat created before losses",P247&gt;=O247),"Low",VLOOKUP(F247,'G-3 Multipliers'!$A$2:$E$129,4,FALSE))))</f>
        <v/>
      </c>
      <c r="X247" s="524" t="str">
        <f>IFERROR(IF(E247="","",VLOOKUP(W247, 'G-3 Multipliers'!$P$2:$Q$6,2,FALSE)),"")</f>
        <v/>
      </c>
      <c r="Y247" s="529" t="str">
        <f t="shared" si="23"/>
        <v/>
      </c>
      <c r="Z247" s="239"/>
      <c r="AA247" s="240"/>
      <c r="AE247" s="54" t="str">
        <f t="shared" si="19"/>
        <v/>
      </c>
    </row>
    <row r="248" spans="1:31" x14ac:dyDescent="0.3">
      <c r="A248" s="47" t="str">
        <f>IFERROR(INDEX('G-8 Condition Look up'!$I$4:$I$130,MATCH(F248,'G-8 Condition Look up'!$A$4:$A$130,0)),"")</f>
        <v/>
      </c>
      <c r="C248" s="384" t="str">
        <f>IFERROR(INDEX('G-1 All Habitats'!$AG$3:$AG$15,MATCH(D248,'G-1 All Habitats'!$AF$3:$AF$15,0)),"")</f>
        <v/>
      </c>
      <c r="D248" s="146"/>
      <c r="E248" s="79"/>
      <c r="F248" s="246" t="str">
        <f>IFERROR(INDEX('G-1 All Habitats'!$B$3:$B$129,MATCH(E248,'G-1 All Habitats'!$A$3:$A$129,0)),"")</f>
        <v/>
      </c>
      <c r="G248" s="70"/>
      <c r="H248" s="498" t="str">
        <f>IF(F248="","",VLOOKUP(F248,'G-1 All Habitats'!$B$2:$M$129,10,FALSE))</f>
        <v/>
      </c>
      <c r="I248" s="499" t="str">
        <f>IFERROR(VLOOKUP(H248,'G-1 All Habitats'!$V$3:$W$7,2,FALSE),"")</f>
        <v/>
      </c>
      <c r="J248" s="71"/>
      <c r="K248" s="499" t="str">
        <f>IFERROR(INDEX('G-8 Condition Look up'!$A$3:$H$130,MATCH(F248,'G-8 Condition Look up'!$A$3:$A$130,0),MATCH(J248,'G-8 Condition Look up'!$A$3:$H$3,0)),"")</f>
        <v/>
      </c>
      <c r="L248" s="71"/>
      <c r="M248" s="507" t="str">
        <f>IF(L248="","",IF(VLOOKUP(L248,'G-3 Multipliers'!$L$3:$N$6,2,FALSE)=0,"Spatial Data Missing",VLOOKUP(L248,'G-3 Multipliers'!$L$3:$N$6,2,FALSE)))</f>
        <v/>
      </c>
      <c r="N248" s="505" t="str">
        <f>IF(L248="","",IF(VLOOKUP(L248,'G-3 Multipliers'!$L$3:$N$6,3,FALSE)=0,"Spatial Data Missing",VLOOKUP(L248,'G-3 Multipliers'!$L$3:$N$6,3,FALSE)))</f>
        <v/>
      </c>
      <c r="O248" s="498" t="str">
        <f t="shared" si="18"/>
        <v/>
      </c>
      <c r="P248" s="82"/>
      <c r="Q248" s="82"/>
      <c r="R248" s="507" t="str">
        <f t="shared" si="20"/>
        <v/>
      </c>
      <c r="S248" s="521" t="str">
        <f t="shared" si="21"/>
        <v/>
      </c>
      <c r="T248" s="522" t="str">
        <f>IFERROR(IF(S248="Check Data ⚠","Check Data ⚠",VLOOKUP(S248,'G-4 Temporal multipliers'!$A$4:$C$37,3,FALSE)),"")</f>
        <v/>
      </c>
      <c r="U248" s="523" t="str">
        <f>IF(F248="","",VLOOKUP(F248,'G-3 Multipliers'!$A$2:$E$129,2,FALSE))</f>
        <v/>
      </c>
      <c r="V248" s="520" t="str">
        <f t="shared" si="22"/>
        <v/>
      </c>
      <c r="W248" s="520" t="str">
        <f>IF(E248="","",IF(AND(V248="Standard difficulty applied",O248&gt;P248),U248,IF(AND(V248="Low Difficulty - only applicable if all habitat created before losses",P248&gt;=O248),"Low",VLOOKUP(F248,'G-3 Multipliers'!$A$2:$E$129,4,FALSE))))</f>
        <v/>
      </c>
      <c r="X248" s="524" t="str">
        <f>IFERROR(IF(E248="","",VLOOKUP(W248, 'G-3 Multipliers'!$P$2:$Q$6,2,FALSE)),"")</f>
        <v/>
      </c>
      <c r="Y248" s="529" t="str">
        <f t="shared" si="23"/>
        <v/>
      </c>
      <c r="Z248" s="239"/>
      <c r="AA248" s="240"/>
      <c r="AE248" s="54" t="str">
        <f t="shared" si="19"/>
        <v/>
      </c>
    </row>
    <row r="249" spans="1:31" x14ac:dyDescent="0.3">
      <c r="A249" s="47" t="str">
        <f>IFERROR(INDEX('G-8 Condition Look up'!$I$4:$I$130,MATCH(F249,'G-8 Condition Look up'!$A$4:$A$130,0)),"")</f>
        <v/>
      </c>
      <c r="C249" s="384" t="str">
        <f>IFERROR(INDEX('G-1 All Habitats'!$AG$3:$AG$15,MATCH(D249,'G-1 All Habitats'!$AF$3:$AF$15,0)),"")</f>
        <v/>
      </c>
      <c r="D249" s="146"/>
      <c r="E249" s="79"/>
      <c r="F249" s="246" t="str">
        <f>IFERROR(INDEX('G-1 All Habitats'!$B$3:$B$129,MATCH(E249,'G-1 All Habitats'!$A$3:$A$129,0)),"")</f>
        <v/>
      </c>
      <c r="G249" s="70"/>
      <c r="H249" s="498" t="str">
        <f>IF(F249="","",VLOOKUP(F249,'G-1 All Habitats'!$B$2:$M$129,10,FALSE))</f>
        <v/>
      </c>
      <c r="I249" s="499" t="str">
        <f>IFERROR(VLOOKUP(H249,'G-1 All Habitats'!$V$3:$W$7,2,FALSE),"")</f>
        <v/>
      </c>
      <c r="J249" s="71"/>
      <c r="K249" s="499" t="str">
        <f>IFERROR(INDEX('G-8 Condition Look up'!$A$3:$H$130,MATCH(F249,'G-8 Condition Look up'!$A$3:$A$130,0),MATCH(J249,'G-8 Condition Look up'!$A$3:$H$3,0)),"")</f>
        <v/>
      </c>
      <c r="L249" s="71"/>
      <c r="M249" s="507" t="str">
        <f>IF(L249="","",IF(VLOOKUP(L249,'G-3 Multipliers'!$L$3:$N$6,2,FALSE)=0,"Spatial Data Missing",VLOOKUP(L249,'G-3 Multipliers'!$L$3:$N$6,2,FALSE)))</f>
        <v/>
      </c>
      <c r="N249" s="505" t="str">
        <f>IF(L249="","",IF(VLOOKUP(L249,'G-3 Multipliers'!$L$3:$N$6,3,FALSE)=0,"Spatial Data Missing",VLOOKUP(L249,'G-3 Multipliers'!$L$3:$N$6,3,FALSE)))</f>
        <v/>
      </c>
      <c r="O249" s="498" t="str">
        <f t="shared" si="18"/>
        <v/>
      </c>
      <c r="P249" s="82"/>
      <c r="Q249" s="82"/>
      <c r="R249" s="507" t="str">
        <f t="shared" si="20"/>
        <v/>
      </c>
      <c r="S249" s="521" t="str">
        <f t="shared" si="21"/>
        <v/>
      </c>
      <c r="T249" s="522" t="str">
        <f>IFERROR(IF(S249="Check Data ⚠","Check Data ⚠",VLOOKUP(S249,'G-4 Temporal multipliers'!$A$4:$C$37,3,FALSE)),"")</f>
        <v/>
      </c>
      <c r="U249" s="523" t="str">
        <f>IF(F249="","",VLOOKUP(F249,'G-3 Multipliers'!$A$2:$E$129,2,FALSE))</f>
        <v/>
      </c>
      <c r="V249" s="520" t="str">
        <f t="shared" si="22"/>
        <v/>
      </c>
      <c r="W249" s="520" t="str">
        <f>IF(E249="","",IF(AND(V249="Standard difficulty applied",O249&gt;P249),U249,IF(AND(V249="Low Difficulty - only applicable if all habitat created before losses",P249&gt;=O249),"Low",VLOOKUP(F249,'G-3 Multipliers'!$A$2:$E$129,4,FALSE))))</f>
        <v/>
      </c>
      <c r="X249" s="524" t="str">
        <f>IFERROR(IF(E249="","",VLOOKUP(W249, 'G-3 Multipliers'!$P$2:$Q$6,2,FALSE)),"")</f>
        <v/>
      </c>
      <c r="Y249" s="529" t="str">
        <f t="shared" si="23"/>
        <v/>
      </c>
      <c r="Z249" s="239"/>
      <c r="AA249" s="240"/>
      <c r="AE249" s="54" t="str">
        <f t="shared" si="19"/>
        <v/>
      </c>
    </row>
    <row r="250" spans="1:31" x14ac:dyDescent="0.3">
      <c r="A250" s="47" t="str">
        <f>IFERROR(INDEX('G-8 Condition Look up'!$I$4:$I$130,MATCH(F250,'G-8 Condition Look up'!$A$4:$A$130,0)),"")</f>
        <v/>
      </c>
      <c r="C250" s="384" t="str">
        <f>IFERROR(INDEX('G-1 All Habitats'!$AG$3:$AG$15,MATCH(D250,'G-1 All Habitats'!$AF$3:$AF$15,0)),"")</f>
        <v/>
      </c>
      <c r="D250" s="146"/>
      <c r="E250" s="79"/>
      <c r="F250" s="246" t="str">
        <f>IFERROR(INDEX('G-1 All Habitats'!$B$3:$B$129,MATCH(E250,'G-1 All Habitats'!$A$3:$A$129,0)),"")</f>
        <v/>
      </c>
      <c r="G250" s="70"/>
      <c r="H250" s="498" t="str">
        <f>IF(F250="","",VLOOKUP(F250,'G-1 All Habitats'!$B$2:$M$129,10,FALSE))</f>
        <v/>
      </c>
      <c r="I250" s="499" t="str">
        <f>IFERROR(VLOOKUP(H250,'G-1 All Habitats'!$V$3:$W$7,2,FALSE),"")</f>
        <v/>
      </c>
      <c r="J250" s="71"/>
      <c r="K250" s="499" t="str">
        <f>IFERROR(INDEX('G-8 Condition Look up'!$A$3:$H$130,MATCH(F250,'G-8 Condition Look up'!$A$3:$A$130,0),MATCH(J250,'G-8 Condition Look up'!$A$3:$H$3,0)),"")</f>
        <v/>
      </c>
      <c r="L250" s="71"/>
      <c r="M250" s="507" t="str">
        <f>IF(L250="","",IF(VLOOKUP(L250,'G-3 Multipliers'!$L$3:$N$6,2,FALSE)=0,"Spatial Data Missing",VLOOKUP(L250,'G-3 Multipliers'!$L$3:$N$6,2,FALSE)))</f>
        <v/>
      </c>
      <c r="N250" s="505" t="str">
        <f>IF(L250="","",IF(VLOOKUP(L250,'G-3 Multipliers'!$L$3:$N$6,3,FALSE)=0,"Spatial Data Missing",VLOOKUP(L250,'G-3 Multipliers'!$L$3:$N$6,3,FALSE)))</f>
        <v/>
      </c>
      <c r="O250" s="498" t="str">
        <f t="shared" si="18"/>
        <v/>
      </c>
      <c r="P250" s="82"/>
      <c r="Q250" s="82"/>
      <c r="R250" s="507" t="str">
        <f t="shared" si="20"/>
        <v/>
      </c>
      <c r="S250" s="521" t="str">
        <f t="shared" si="21"/>
        <v/>
      </c>
      <c r="T250" s="522" t="str">
        <f>IFERROR(IF(S250="Check Data ⚠","Check Data ⚠",VLOOKUP(S250,'G-4 Temporal multipliers'!$A$4:$C$37,3,FALSE)),"")</f>
        <v/>
      </c>
      <c r="U250" s="523" t="str">
        <f>IF(F250="","",VLOOKUP(F250,'G-3 Multipliers'!$A$2:$E$129,2,FALSE))</f>
        <v/>
      </c>
      <c r="V250" s="520" t="str">
        <f t="shared" si="22"/>
        <v/>
      </c>
      <c r="W250" s="520" t="str">
        <f>IF(E250="","",IF(AND(V250="Standard difficulty applied",O250&gt;P250),U250,IF(AND(V250="Low Difficulty - only applicable if all habitat created before losses",P250&gt;=O250),"Low",VLOOKUP(F250,'G-3 Multipliers'!$A$2:$E$129,4,FALSE))))</f>
        <v/>
      </c>
      <c r="X250" s="524" t="str">
        <f>IFERROR(IF(E250="","",VLOOKUP(W250, 'G-3 Multipliers'!$P$2:$Q$6,2,FALSE)),"")</f>
        <v/>
      </c>
      <c r="Y250" s="529" t="str">
        <f t="shared" si="23"/>
        <v/>
      </c>
      <c r="Z250" s="239"/>
      <c r="AA250" s="240"/>
      <c r="AE250" s="54" t="str">
        <f t="shared" si="19"/>
        <v/>
      </c>
    </row>
    <row r="251" spans="1:31" x14ac:dyDescent="0.3">
      <c r="A251" s="47" t="str">
        <f>IFERROR(INDEX('G-8 Condition Look up'!$I$4:$I$130,MATCH(F251,'G-8 Condition Look up'!$A$4:$A$130,0)),"")</f>
        <v/>
      </c>
      <c r="C251" s="384" t="str">
        <f>IFERROR(INDEX('G-1 All Habitats'!$AG$3:$AG$15,MATCH(D251,'G-1 All Habitats'!$AF$3:$AF$15,0)),"")</f>
        <v/>
      </c>
      <c r="D251" s="146"/>
      <c r="E251" s="79"/>
      <c r="F251" s="246" t="str">
        <f>IFERROR(INDEX('G-1 All Habitats'!$B$3:$B$129,MATCH(E251,'G-1 All Habitats'!$A$3:$A$129,0)),"")</f>
        <v/>
      </c>
      <c r="G251" s="70"/>
      <c r="H251" s="498" t="str">
        <f>IF(F251="","",VLOOKUP(F251,'G-1 All Habitats'!$B$2:$M$129,10,FALSE))</f>
        <v/>
      </c>
      <c r="I251" s="499" t="str">
        <f>IFERROR(VLOOKUP(H251,'G-1 All Habitats'!$V$3:$W$7,2,FALSE),"")</f>
        <v/>
      </c>
      <c r="J251" s="71"/>
      <c r="K251" s="499" t="str">
        <f>IFERROR(INDEX('G-8 Condition Look up'!$A$3:$H$130,MATCH(F251,'G-8 Condition Look up'!$A$3:$A$130,0),MATCH(J251,'G-8 Condition Look up'!$A$3:$H$3,0)),"")</f>
        <v/>
      </c>
      <c r="L251" s="71"/>
      <c r="M251" s="507" t="str">
        <f>IF(L251="","",IF(VLOOKUP(L251,'G-3 Multipliers'!$L$3:$N$6,2,FALSE)=0,"Spatial Data Missing",VLOOKUP(L251,'G-3 Multipliers'!$L$3:$N$6,2,FALSE)))</f>
        <v/>
      </c>
      <c r="N251" s="505" t="str">
        <f>IF(L251="","",IF(VLOOKUP(L251,'G-3 Multipliers'!$L$3:$N$6,3,FALSE)=0,"Spatial Data Missing",VLOOKUP(L251,'G-3 Multipliers'!$L$3:$N$6,3,FALSE)))</f>
        <v/>
      </c>
      <c r="O251" s="498" t="str">
        <f t="shared" si="18"/>
        <v/>
      </c>
      <c r="P251" s="82"/>
      <c r="Q251" s="82"/>
      <c r="R251" s="507" t="str">
        <f t="shared" si="20"/>
        <v/>
      </c>
      <c r="S251" s="521" t="str">
        <f t="shared" si="21"/>
        <v/>
      </c>
      <c r="T251" s="522" t="str">
        <f>IFERROR(IF(S251="Check Data ⚠","Check Data ⚠",VLOOKUP(S251,'G-4 Temporal multipliers'!$A$4:$C$37,3,FALSE)),"")</f>
        <v/>
      </c>
      <c r="U251" s="523" t="str">
        <f>IF(F251="","",VLOOKUP(F251,'G-3 Multipliers'!$A$2:$E$129,2,FALSE))</f>
        <v/>
      </c>
      <c r="V251" s="520" t="str">
        <f t="shared" si="22"/>
        <v/>
      </c>
      <c r="W251" s="520" t="str">
        <f>IF(E251="","",IF(AND(V251="Standard difficulty applied",O251&gt;P251),U251,IF(AND(V251="Low Difficulty - only applicable if all habitat created before losses",P251&gt;=O251),"Low",VLOOKUP(F251,'G-3 Multipliers'!$A$2:$E$129,4,FALSE))))</f>
        <v/>
      </c>
      <c r="X251" s="524" t="str">
        <f>IFERROR(IF(E251="","",VLOOKUP(W251, 'G-3 Multipliers'!$P$2:$Q$6,2,FALSE)),"")</f>
        <v/>
      </c>
      <c r="Y251" s="529" t="str">
        <f t="shared" si="23"/>
        <v/>
      </c>
      <c r="Z251" s="239"/>
      <c r="AA251" s="240"/>
      <c r="AE251" s="54" t="str">
        <f t="shared" si="19"/>
        <v/>
      </c>
    </row>
    <row r="252" spans="1:31" x14ac:dyDescent="0.3">
      <c r="A252" s="47" t="str">
        <f>IFERROR(INDEX('G-8 Condition Look up'!$I$4:$I$130,MATCH(F252,'G-8 Condition Look up'!$A$4:$A$130,0)),"")</f>
        <v/>
      </c>
      <c r="C252" s="384" t="str">
        <f>IFERROR(INDEX('G-1 All Habitats'!$AG$3:$AG$15,MATCH(D252,'G-1 All Habitats'!$AF$3:$AF$15,0)),"")</f>
        <v/>
      </c>
      <c r="D252" s="146"/>
      <c r="E252" s="79"/>
      <c r="F252" s="246" t="str">
        <f>IFERROR(INDEX('G-1 All Habitats'!$B$3:$B$129,MATCH(E252,'G-1 All Habitats'!$A$3:$A$129,0)),"")</f>
        <v/>
      </c>
      <c r="G252" s="70"/>
      <c r="H252" s="498" t="str">
        <f>IF(F252="","",VLOOKUP(F252,'G-1 All Habitats'!$B$2:$M$129,10,FALSE))</f>
        <v/>
      </c>
      <c r="I252" s="499" t="str">
        <f>IFERROR(VLOOKUP(H252,'G-1 All Habitats'!$V$3:$W$7,2,FALSE),"")</f>
        <v/>
      </c>
      <c r="J252" s="71"/>
      <c r="K252" s="499" t="str">
        <f>IFERROR(INDEX('G-8 Condition Look up'!$A$3:$H$130,MATCH(F252,'G-8 Condition Look up'!$A$3:$A$130,0),MATCH(J252,'G-8 Condition Look up'!$A$3:$H$3,0)),"")</f>
        <v/>
      </c>
      <c r="L252" s="71"/>
      <c r="M252" s="507" t="str">
        <f>IF(L252="","",IF(VLOOKUP(L252,'G-3 Multipliers'!$L$3:$N$6,2,FALSE)=0,"Spatial Data Missing",VLOOKUP(L252,'G-3 Multipliers'!$L$3:$N$6,2,FALSE)))</f>
        <v/>
      </c>
      <c r="N252" s="505" t="str">
        <f>IF(L252="","",IF(VLOOKUP(L252,'G-3 Multipliers'!$L$3:$N$6,3,FALSE)=0,"Spatial Data Missing",VLOOKUP(L252,'G-3 Multipliers'!$L$3:$N$6,3,FALSE)))</f>
        <v/>
      </c>
      <c r="O252" s="498" t="str">
        <f t="shared" si="18"/>
        <v/>
      </c>
      <c r="P252" s="82"/>
      <c r="Q252" s="82"/>
      <c r="R252" s="507" t="str">
        <f t="shared" si="20"/>
        <v/>
      </c>
      <c r="S252" s="521" t="str">
        <f t="shared" si="21"/>
        <v/>
      </c>
      <c r="T252" s="522" t="str">
        <f>IFERROR(IF(S252="Check Data ⚠","Check Data ⚠",VLOOKUP(S252,'G-4 Temporal multipliers'!$A$4:$C$37,3,FALSE)),"")</f>
        <v/>
      </c>
      <c r="U252" s="523" t="str">
        <f>IF(F252="","",VLOOKUP(F252,'G-3 Multipliers'!$A$2:$E$129,2,FALSE))</f>
        <v/>
      </c>
      <c r="V252" s="520" t="str">
        <f t="shared" si="22"/>
        <v/>
      </c>
      <c r="W252" s="520" t="str">
        <f>IF(E252="","",IF(AND(V252="Standard difficulty applied",O252&gt;P252),U252,IF(AND(V252="Low Difficulty - only applicable if all habitat created before losses",P252&gt;=O252),"Low",VLOOKUP(F252,'G-3 Multipliers'!$A$2:$E$129,4,FALSE))))</f>
        <v/>
      </c>
      <c r="X252" s="524" t="str">
        <f>IFERROR(IF(E252="","",VLOOKUP(W252, 'G-3 Multipliers'!$P$2:$Q$6,2,FALSE)),"")</f>
        <v/>
      </c>
      <c r="Y252" s="529" t="str">
        <f t="shared" si="23"/>
        <v/>
      </c>
      <c r="Z252" s="239"/>
      <c r="AA252" s="240"/>
      <c r="AE252" s="54" t="str">
        <f t="shared" si="19"/>
        <v/>
      </c>
    </row>
    <row r="253" spans="1:31" x14ac:dyDescent="0.3">
      <c r="A253" s="47" t="str">
        <f>IFERROR(INDEX('G-8 Condition Look up'!$I$4:$I$130,MATCH(F253,'G-8 Condition Look up'!$A$4:$A$130,0)),"")</f>
        <v/>
      </c>
      <c r="C253" s="384" t="str">
        <f>IFERROR(INDEX('G-1 All Habitats'!$AG$3:$AG$15,MATCH(D253,'G-1 All Habitats'!$AF$3:$AF$15,0)),"")</f>
        <v/>
      </c>
      <c r="D253" s="146"/>
      <c r="E253" s="79"/>
      <c r="F253" s="246" t="str">
        <f>IFERROR(INDEX('G-1 All Habitats'!$B$3:$B$129,MATCH(E253,'G-1 All Habitats'!$A$3:$A$129,0)),"")</f>
        <v/>
      </c>
      <c r="G253" s="70"/>
      <c r="H253" s="498" t="str">
        <f>IF(F253="","",VLOOKUP(F253,'G-1 All Habitats'!$B$2:$M$129,10,FALSE))</f>
        <v/>
      </c>
      <c r="I253" s="499" t="str">
        <f>IFERROR(VLOOKUP(H253,'G-1 All Habitats'!$V$3:$W$7,2,FALSE),"")</f>
        <v/>
      </c>
      <c r="J253" s="71"/>
      <c r="K253" s="499" t="str">
        <f>IFERROR(INDEX('G-8 Condition Look up'!$A$3:$H$130,MATCH(F253,'G-8 Condition Look up'!$A$3:$A$130,0),MATCH(J253,'G-8 Condition Look up'!$A$3:$H$3,0)),"")</f>
        <v/>
      </c>
      <c r="L253" s="71"/>
      <c r="M253" s="507" t="str">
        <f>IF(L253="","",IF(VLOOKUP(L253,'G-3 Multipliers'!$L$3:$N$6,2,FALSE)=0,"Spatial Data Missing",VLOOKUP(L253,'G-3 Multipliers'!$L$3:$N$6,2,FALSE)))</f>
        <v/>
      </c>
      <c r="N253" s="505" t="str">
        <f>IF(L253="","",IF(VLOOKUP(L253,'G-3 Multipliers'!$L$3:$N$6,3,FALSE)=0,"Spatial Data Missing",VLOOKUP(L253,'G-3 Multipliers'!$L$3:$N$6,3,FALSE)))</f>
        <v/>
      </c>
      <c r="O253" s="498" t="str">
        <f t="shared" si="18"/>
        <v/>
      </c>
      <c r="P253" s="82"/>
      <c r="Q253" s="82"/>
      <c r="R253" s="507" t="str">
        <f t="shared" si="20"/>
        <v/>
      </c>
      <c r="S253" s="521" t="str">
        <f t="shared" si="21"/>
        <v/>
      </c>
      <c r="T253" s="522" t="str">
        <f>IFERROR(IF(S253="Check Data ⚠","Check Data ⚠",VLOOKUP(S253,'G-4 Temporal multipliers'!$A$4:$C$37,3,FALSE)),"")</f>
        <v/>
      </c>
      <c r="U253" s="523" t="str">
        <f>IF(F253="","",VLOOKUP(F253,'G-3 Multipliers'!$A$2:$E$129,2,FALSE))</f>
        <v/>
      </c>
      <c r="V253" s="520" t="str">
        <f t="shared" si="22"/>
        <v/>
      </c>
      <c r="W253" s="520" t="str">
        <f>IF(E253="","",IF(AND(V253="Standard difficulty applied",O253&gt;P253),U253,IF(AND(V253="Low Difficulty - only applicable if all habitat created before losses",P253&gt;=O253),"Low",VLOOKUP(F253,'G-3 Multipliers'!$A$2:$E$129,4,FALSE))))</f>
        <v/>
      </c>
      <c r="X253" s="524" t="str">
        <f>IFERROR(IF(E253="","",VLOOKUP(W253, 'G-3 Multipliers'!$P$2:$Q$6,2,FALSE)),"")</f>
        <v/>
      </c>
      <c r="Y253" s="529" t="str">
        <f t="shared" si="23"/>
        <v/>
      </c>
      <c r="Z253" s="239"/>
      <c r="AA253" s="240"/>
      <c r="AE253" s="54" t="str">
        <f t="shared" si="19"/>
        <v/>
      </c>
    </row>
    <row r="254" spans="1:31" x14ac:dyDescent="0.3">
      <c r="A254" s="47" t="str">
        <f>IFERROR(INDEX('G-8 Condition Look up'!$I$4:$I$130,MATCH(F254,'G-8 Condition Look up'!$A$4:$A$130,0)),"")</f>
        <v/>
      </c>
      <c r="C254" s="384" t="str">
        <f>IFERROR(INDEX('G-1 All Habitats'!$AG$3:$AG$15,MATCH(D254,'G-1 All Habitats'!$AF$3:$AF$15,0)),"")</f>
        <v/>
      </c>
      <c r="D254" s="146"/>
      <c r="E254" s="79"/>
      <c r="F254" s="246" t="str">
        <f>IFERROR(INDEX('G-1 All Habitats'!$B$3:$B$129,MATCH(E254,'G-1 All Habitats'!$A$3:$A$129,0)),"")</f>
        <v/>
      </c>
      <c r="G254" s="70"/>
      <c r="H254" s="498" t="str">
        <f>IF(F254="","",VLOOKUP(F254,'G-1 All Habitats'!$B$2:$M$129,10,FALSE))</f>
        <v/>
      </c>
      <c r="I254" s="499" t="str">
        <f>IFERROR(VLOOKUP(H254,'G-1 All Habitats'!$V$3:$W$7,2,FALSE),"")</f>
        <v/>
      </c>
      <c r="J254" s="71"/>
      <c r="K254" s="499" t="str">
        <f>IFERROR(INDEX('G-8 Condition Look up'!$A$3:$H$130,MATCH(F254,'G-8 Condition Look up'!$A$3:$A$130,0),MATCH(J254,'G-8 Condition Look up'!$A$3:$H$3,0)),"")</f>
        <v/>
      </c>
      <c r="L254" s="71"/>
      <c r="M254" s="507" t="str">
        <f>IF(L254="","",IF(VLOOKUP(L254,'G-3 Multipliers'!$L$3:$N$6,2,FALSE)=0,"Spatial Data Missing",VLOOKUP(L254,'G-3 Multipliers'!$L$3:$N$6,2,FALSE)))</f>
        <v/>
      </c>
      <c r="N254" s="505" t="str">
        <f>IF(L254="","",IF(VLOOKUP(L254,'G-3 Multipliers'!$L$3:$N$6,3,FALSE)=0,"Spatial Data Missing",VLOOKUP(L254,'G-3 Multipliers'!$L$3:$N$6,3,FALSE)))</f>
        <v/>
      </c>
      <c r="O254" s="498" t="str">
        <f t="shared" si="18"/>
        <v/>
      </c>
      <c r="P254" s="82"/>
      <c r="Q254" s="82"/>
      <c r="R254" s="507" t="str">
        <f t="shared" si="20"/>
        <v/>
      </c>
      <c r="S254" s="521" t="str">
        <f t="shared" si="21"/>
        <v/>
      </c>
      <c r="T254" s="522" t="str">
        <f>IFERROR(IF(S254="Check Data ⚠","Check Data ⚠",VLOOKUP(S254,'G-4 Temporal multipliers'!$A$4:$C$37,3,FALSE)),"")</f>
        <v/>
      </c>
      <c r="U254" s="523" t="str">
        <f>IF(F254="","",VLOOKUP(F254,'G-3 Multipliers'!$A$2:$E$129,2,FALSE))</f>
        <v/>
      </c>
      <c r="V254" s="520" t="str">
        <f t="shared" si="22"/>
        <v/>
      </c>
      <c r="W254" s="520" t="str">
        <f>IF(E254="","",IF(AND(V254="Standard difficulty applied",O254&gt;P254),U254,IF(AND(V254="Low Difficulty - only applicable if all habitat created before losses",P254&gt;=O254),"Low",VLOOKUP(F254,'G-3 Multipliers'!$A$2:$E$129,4,FALSE))))</f>
        <v/>
      </c>
      <c r="X254" s="524" t="str">
        <f>IFERROR(IF(E254="","",VLOOKUP(W254, 'G-3 Multipliers'!$P$2:$Q$6,2,FALSE)),"")</f>
        <v/>
      </c>
      <c r="Y254" s="529" t="str">
        <f t="shared" si="23"/>
        <v/>
      </c>
      <c r="Z254" s="239"/>
      <c r="AA254" s="240"/>
      <c r="AE254" s="54" t="str">
        <f t="shared" si="19"/>
        <v/>
      </c>
    </row>
    <row r="255" spans="1:31" x14ac:dyDescent="0.3">
      <c r="A255" s="47" t="str">
        <f>IFERROR(INDEX('G-8 Condition Look up'!$I$4:$I$130,MATCH(F255,'G-8 Condition Look up'!$A$4:$A$130,0)),"")</f>
        <v/>
      </c>
      <c r="C255" s="384" t="str">
        <f>IFERROR(INDEX('G-1 All Habitats'!$AG$3:$AG$15,MATCH(D255,'G-1 All Habitats'!$AF$3:$AF$15,0)),"")</f>
        <v/>
      </c>
      <c r="D255" s="146"/>
      <c r="E255" s="79"/>
      <c r="F255" s="246" t="str">
        <f>IFERROR(INDEX('G-1 All Habitats'!$B$3:$B$129,MATCH(E255,'G-1 All Habitats'!$A$3:$A$129,0)),"")</f>
        <v/>
      </c>
      <c r="G255" s="70"/>
      <c r="H255" s="498" t="str">
        <f>IF(F255="","",VLOOKUP(F255,'G-1 All Habitats'!$B$2:$M$129,10,FALSE))</f>
        <v/>
      </c>
      <c r="I255" s="499" t="str">
        <f>IFERROR(VLOOKUP(H255,'G-1 All Habitats'!$V$3:$W$7,2,FALSE),"")</f>
        <v/>
      </c>
      <c r="J255" s="71"/>
      <c r="K255" s="499" t="str">
        <f>IFERROR(INDEX('G-8 Condition Look up'!$A$3:$H$130,MATCH(F255,'G-8 Condition Look up'!$A$3:$A$130,0),MATCH(J255,'G-8 Condition Look up'!$A$3:$H$3,0)),"")</f>
        <v/>
      </c>
      <c r="L255" s="71"/>
      <c r="M255" s="507" t="str">
        <f>IF(L255="","",IF(VLOOKUP(L255,'G-3 Multipliers'!$L$3:$N$6,2,FALSE)=0,"Spatial Data Missing",VLOOKUP(L255,'G-3 Multipliers'!$L$3:$N$6,2,FALSE)))</f>
        <v/>
      </c>
      <c r="N255" s="505" t="str">
        <f>IF(L255="","",IF(VLOOKUP(L255,'G-3 Multipliers'!$L$3:$N$6,3,FALSE)=0,"Spatial Data Missing",VLOOKUP(L255,'G-3 Multipliers'!$L$3:$N$6,3,FALSE)))</f>
        <v/>
      </c>
      <c r="O255" s="498" t="str">
        <f t="shared" si="18"/>
        <v/>
      </c>
      <c r="P255" s="82"/>
      <c r="Q255" s="82"/>
      <c r="R255" s="507" t="str">
        <f t="shared" si="20"/>
        <v/>
      </c>
      <c r="S255" s="521" t="str">
        <f t="shared" si="21"/>
        <v/>
      </c>
      <c r="T255" s="522" t="str">
        <f>IFERROR(IF(S255="Check Data ⚠","Check Data ⚠",VLOOKUP(S255,'G-4 Temporal multipliers'!$A$4:$C$37,3,FALSE)),"")</f>
        <v/>
      </c>
      <c r="U255" s="523" t="str">
        <f>IF(F255="","",VLOOKUP(F255,'G-3 Multipliers'!$A$2:$E$129,2,FALSE))</f>
        <v/>
      </c>
      <c r="V255" s="520" t="str">
        <f t="shared" si="22"/>
        <v/>
      </c>
      <c r="W255" s="520" t="str">
        <f>IF(E255="","",IF(AND(V255="Standard difficulty applied",O255&gt;P255),U255,IF(AND(V255="Low Difficulty - only applicable if all habitat created before losses",P255&gt;=O255),"Low",VLOOKUP(F255,'G-3 Multipliers'!$A$2:$E$129,4,FALSE))))</f>
        <v/>
      </c>
      <c r="X255" s="524" t="str">
        <f>IFERROR(IF(E255="","",VLOOKUP(W255, 'G-3 Multipliers'!$P$2:$Q$6,2,FALSE)),"")</f>
        <v/>
      </c>
      <c r="Y255" s="529" t="str">
        <f t="shared" si="23"/>
        <v/>
      </c>
      <c r="Z255" s="239"/>
      <c r="AA255" s="240"/>
      <c r="AE255" s="54" t="str">
        <f t="shared" si="19"/>
        <v/>
      </c>
    </row>
    <row r="256" spans="1:31" ht="14.5" thickBot="1" x14ac:dyDescent="0.35">
      <c r="A256" s="47" t="str">
        <f>IFERROR(INDEX('G-8 Condition Look up'!$I$4:$I$130,MATCH(F256,'G-8 Condition Look up'!$A$4:$A$130,0)),"")</f>
        <v/>
      </c>
      <c r="C256" s="385" t="str">
        <f>IFERROR(INDEX('G-1 All Habitats'!$AG$3:$AG$15,MATCH(D256,'G-1 All Habitats'!$AF$3:$AF$15,0)),"")</f>
        <v/>
      </c>
      <c r="D256" s="314"/>
      <c r="E256" s="241"/>
      <c r="F256" s="319" t="str">
        <f>IFERROR(INDEX('G-1 All Habitats'!$B$3:$B$129,MATCH(E256,'G-1 All Habitats'!$A$3:$A$129,0)),"")</f>
        <v/>
      </c>
      <c r="G256" s="318"/>
      <c r="H256" s="500" t="str">
        <f>IF(F256="","",VLOOKUP(F256,'G-1 All Habitats'!$B$2:$M$129,10,FALSE))</f>
        <v/>
      </c>
      <c r="I256" s="501" t="str">
        <f>IFERROR(VLOOKUP(H256,'G-1 All Habitats'!$V$3:$W$7,2,FALSE),"")</f>
        <v/>
      </c>
      <c r="J256" s="314"/>
      <c r="K256" s="501" t="str">
        <f>IFERROR(INDEX('G-8 Condition Look up'!$A$3:$H$130,MATCH(F256,'G-8 Condition Look up'!$A$3:$A$130,0),MATCH(J256,'G-8 Condition Look up'!$A$3:$H$3,0)),"")</f>
        <v/>
      </c>
      <c r="L256" s="314"/>
      <c r="M256" s="508" t="str">
        <f>IF(L256="","",IF(VLOOKUP(L256,'G-3 Multipliers'!$L$3:$N$6,2,FALSE)=0,"Spatial Data Missing",VLOOKUP(L256,'G-3 Multipliers'!$L$3:$N$6,2,FALSE)))</f>
        <v/>
      </c>
      <c r="N256" s="505" t="str">
        <f>IF(L256="","",IF(VLOOKUP(L256,'G-3 Multipliers'!$L$3:$N$6,3,FALSE)=0,"Spatial Data Missing",VLOOKUP(L256,'G-3 Multipliers'!$L$3:$N$6,3,FALSE)))</f>
        <v/>
      </c>
      <c r="O256" s="500" t="str">
        <f t="shared" si="18"/>
        <v/>
      </c>
      <c r="P256" s="241"/>
      <c r="Q256" s="241"/>
      <c r="R256" s="507" t="str">
        <f t="shared" si="20"/>
        <v/>
      </c>
      <c r="S256" s="521" t="str">
        <f t="shared" si="21"/>
        <v/>
      </c>
      <c r="T256" s="522" t="str">
        <f>IFERROR(IF(S256="Check Data ⚠","Check Data ⚠",VLOOKUP(S256,'G-4 Temporal multipliers'!$A$4:$C$37,3,FALSE)),"")</f>
        <v/>
      </c>
      <c r="U256" s="528" t="str">
        <f>IF(F256="","",VLOOKUP(F256,'G-3 Multipliers'!$A$2:$E$129,2,FALSE))</f>
        <v/>
      </c>
      <c r="V256" s="520" t="str">
        <f t="shared" si="22"/>
        <v/>
      </c>
      <c r="W256" s="508" t="str">
        <f>IF(E256="","",IF(AND(V256="Standard difficulty applied",O256&gt;P256),U256,IF(AND(V256="Low Difficulty - only applicable if all habitat created before losses",P256&gt;=O256),"Low",VLOOKUP(F256,'G-3 Multipliers'!$A$2:$E$129,4,FALSE))))</f>
        <v/>
      </c>
      <c r="X256" s="524" t="str">
        <f>IFERROR(IF(E256="","",VLOOKUP(W256, 'G-3 Multipliers'!$P$2:$Q$6,2,FALSE)),"")</f>
        <v/>
      </c>
      <c r="Y256" s="530" t="str">
        <f t="shared" si="23"/>
        <v/>
      </c>
      <c r="Z256" s="320"/>
      <c r="AA256" s="321"/>
      <c r="AE256" s="54" t="str">
        <f t="shared" si="19"/>
        <v/>
      </c>
    </row>
    <row r="257" spans="5:25" ht="14.5" thickBot="1" x14ac:dyDescent="0.35">
      <c r="E257" s="178" t="s">
        <v>243</v>
      </c>
      <c r="F257" s="340" t="s">
        <v>244</v>
      </c>
      <c r="G257" s="519">
        <f>SUM(G11:G256)</f>
        <v>1.9416000000000002</v>
      </c>
      <c r="T257" s="86"/>
      <c r="U257" s="86"/>
      <c r="V257" s="86"/>
      <c r="W257" s="86"/>
      <c r="X257" s="173" t="s">
        <v>245</v>
      </c>
      <c r="Y257" s="519">
        <f>SUM(Y11:Y256)</f>
        <v>2.3665786772859887</v>
      </c>
    </row>
    <row r="258" spans="5:25" ht="14.5" thickBot="1" x14ac:dyDescent="0.35">
      <c r="E258" s="47"/>
    </row>
    <row r="259" spans="5:25" ht="14.5" thickBot="1" x14ac:dyDescent="0.35">
      <c r="E259" s="502" t="s">
        <v>246</v>
      </c>
      <c r="G259" s="519">
        <f>IF('Detailed Results'!$K$40&gt;0,"Error",SUMIFS($G$11:$G$256,$F$11:$F$256,"&lt;&gt;"&amp;'G-1 All Habitats'!B73,$F$11:$F$256,"&lt;&gt;"&amp;'G-1 All Habitats'!B65,$F$11:$F$256,"&lt;&gt;"&amp;'G-1 All Habitats'!B66))</f>
        <v>1.6120000000000001</v>
      </c>
    </row>
    <row r="260" spans="5:25" x14ac:dyDescent="0.3">
      <c r="E260" s="47"/>
    </row>
    <row r="261" spans="5:25" x14ac:dyDescent="0.3">
      <c r="E261" s="47"/>
    </row>
    <row r="262" spans="5:25" x14ac:dyDescent="0.3">
      <c r="E262" s="47"/>
    </row>
    <row r="263" spans="5:25" x14ac:dyDescent="0.3">
      <c r="E263" s="47"/>
    </row>
    <row r="264" spans="5:25" x14ac:dyDescent="0.3">
      <c r="E264" s="47"/>
    </row>
    <row r="265" spans="5:25" x14ac:dyDescent="0.3">
      <c r="E265" s="47"/>
    </row>
    <row r="266" spans="5:25" x14ac:dyDescent="0.3">
      <c r="E266" s="47"/>
    </row>
  </sheetData>
  <sheetProtection algorithmName="SHA-512" hashValue="ZKSaWrML89nWeSGSE+CneB3Rr5QFX1qLBS0zXY2C/DFz6XOT68sR1FlyvlS258yZlIoXLiJx4p0BUYAOg2WncA==" saltValue="QqpyhXYa+WJnsNQV448EnA==" spinCount="100000" sheet="1" objects="1" scenarios="1"/>
  <customSheetViews>
    <customSheetView guid="{8BDA793C-C9C5-4FC6-A0A5-F1109F6D4F22}" topLeftCell="B1">
      <pane ySplit="10" topLeftCell="A11" activePane="bottomLeft" state="frozen"/>
      <selection pane="bottomLeft"/>
    </customSheetView>
  </customSheetViews>
  <mergeCells count="18">
    <mergeCell ref="W3:Z6"/>
    <mergeCell ref="P2:S3"/>
    <mergeCell ref="P5:S6"/>
    <mergeCell ref="O9:T9"/>
    <mergeCell ref="U9:X9"/>
    <mergeCell ref="AE8:AE9"/>
    <mergeCell ref="D2:E2"/>
    <mergeCell ref="D3:E3"/>
    <mergeCell ref="F9:F10"/>
    <mergeCell ref="L9:N9"/>
    <mergeCell ref="G9:G10"/>
    <mergeCell ref="D9:D10"/>
    <mergeCell ref="E9:E10"/>
    <mergeCell ref="D8:AA8"/>
    <mergeCell ref="Y9:Y10"/>
    <mergeCell ref="Z9:AA9"/>
    <mergeCell ref="H9:I9"/>
    <mergeCell ref="J9:K9"/>
  </mergeCells>
  <conditionalFormatting sqref="K11:K256">
    <cfRule type="cellIs" dxfId="260" priority="38" operator="equal">
      <formula>"Not Possible"</formula>
    </cfRule>
  </conditionalFormatting>
  <conditionalFormatting sqref="S11:S256">
    <cfRule type="containsText" dxfId="259" priority="20" operator="containsText" text="30+">
      <formula>NOT(ISERROR(SEARCH("30+",S11)))</formula>
    </cfRule>
  </conditionalFormatting>
  <conditionalFormatting sqref="O11:O256">
    <cfRule type="containsText" dxfId="258" priority="19" operator="containsText" text="30+">
      <formula>NOT(ISERROR(SEARCH("30+",O11)))</formula>
    </cfRule>
  </conditionalFormatting>
  <conditionalFormatting sqref="V11:V256">
    <cfRule type="cellIs" dxfId="257" priority="9" operator="equal">
      <formula>"No - Enhancement difficulty applied"</formula>
    </cfRule>
    <cfRule type="containsText" dxfId="256" priority="15" operator="containsText" text="No - Low Difficulty">
      <formula>NOT(ISERROR(SEARCH("No - Low Difficulty",V11)))</formula>
    </cfRule>
  </conditionalFormatting>
  <conditionalFormatting sqref="X12:Y257 R11:Y11 R12:X256">
    <cfRule type="containsText" dxfId="255" priority="14" operator="containsText" text="Error">
      <formula>NOT(ISERROR(SEARCH("Error",R11)))</formula>
    </cfRule>
    <cfRule type="containsText" dxfId="254" priority="17" operator="containsText" text="Check">
      <formula>NOT(ISERROR(SEARCH("Check",R11)))</formula>
    </cfRule>
  </conditionalFormatting>
  <conditionalFormatting sqref="P2">
    <cfRule type="containsText" dxfId="253" priority="13" operator="containsText" text="Note">
      <formula>NOT(ISERROR(SEARCH("Note",P2)))</formula>
    </cfRule>
  </conditionalFormatting>
  <conditionalFormatting sqref="P5">
    <cfRule type="containsText" dxfId="252" priority="12" operator="containsText" text="Check">
      <formula>NOT(ISERROR(SEARCH("Check",P5)))</formula>
    </cfRule>
  </conditionalFormatting>
  <conditionalFormatting sqref="T255">
    <cfRule type="containsText" dxfId="251" priority="11" operator="containsText" text="30+">
      <formula>NOT(ISERROR(SEARCH("30+",T255)))</formula>
    </cfRule>
  </conditionalFormatting>
  <conditionalFormatting sqref="V11:V256">
    <cfRule type="cellIs" dxfId="250" priority="10" operator="equal">
      <formula>"No - Enhancement difficulty applied"</formula>
    </cfRule>
  </conditionalFormatting>
  <conditionalFormatting sqref="E257">
    <cfRule type="containsText" dxfId="249" priority="7" operator="containsText" text="Error">
      <formula>NOT(ISERROR(SEARCH("Error",E257)))</formula>
    </cfRule>
    <cfRule type="containsText" dxfId="248" priority="8" operator="containsText" text="Check">
      <formula>NOT(ISERROR(SEARCH("Check",E257)))</formula>
    </cfRule>
  </conditionalFormatting>
  <dataValidations count="3">
    <dataValidation allowBlank="1" showErrorMessage="1" errorTitle="Invalid Habitat" error="Select from List" sqref="F11:F256" xr:uid="{00000000-0002-0000-0B00-000000000000}"/>
    <dataValidation type="list" allowBlank="1" showInputMessage="1" showErrorMessage="1" sqref="E11:E256" xr:uid="{00000000-0002-0000-0B00-000001000000}">
      <formula1>INDIRECT(C11)</formula1>
    </dataValidation>
    <dataValidation type="list" allowBlank="1" showInputMessage="1" showErrorMessage="1" sqref="J11:J256" xr:uid="{00000000-0002-0000-0B00-000002000000}">
      <formula1>INDIRECT(A11)</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iconSet" priority="2" id="{B42DD7DA-ABCB-49B8-917C-32E4292176C4}">
            <x14:iconSet iconSet="3Symbols" custom="1">
              <x14:cfvo type="percent">
                <xm:f>0</xm:f>
              </x14:cfvo>
              <x14:cfvo type="num" gte="0">
                <xm:f>0</xm:f>
              </x14:cfvo>
              <x14:cfvo type="num" gte="0">
                <xm:f>30</xm:f>
              </x14:cfvo>
              <x14:cfIcon iconSet="NoIcons" iconId="0"/>
              <x14:cfIcon iconSet="NoIcons" iconId="0"/>
              <x14:cfIcon iconSet="3Symbols" iconId="1"/>
            </x14:iconSet>
          </x14:cfRule>
          <xm:sqref>S11</xm:sqref>
        </x14:conditionalFormatting>
        <x14:conditionalFormatting xmlns:xm="http://schemas.microsoft.com/office/excel/2006/main">
          <x14:cfRule type="iconSet" priority="1" id="{4158B924-C820-415A-BD91-EB588928C690}">
            <x14:iconSet iconSet="3Symbols" custom="1">
              <x14:cfvo type="percent">
                <xm:f>0</xm:f>
              </x14:cfvo>
              <x14:cfvo type="num">
                <xm:f>0</xm:f>
              </x14:cfvo>
              <x14:cfvo type="num" gte="0">
                <xm:f>30</xm:f>
              </x14:cfvo>
              <x14:cfIcon iconSet="NoIcons" iconId="0"/>
              <x14:cfIcon iconSet="NoIcons" iconId="0"/>
              <x14:cfIcon iconSet="3Symbols" iconId="1"/>
            </x14:iconSet>
          </x14:cfRule>
          <xm:sqref>O11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B00-000003000000}">
          <x14:formula1>
            <xm:f>'G-3 Multipliers'!$L$4:$L$6</xm:f>
          </x14:formula1>
          <xm:sqref>L11:L256</xm:sqref>
        </x14:dataValidation>
        <x14:dataValidation type="list" allowBlank="1" showInputMessage="1" showErrorMessage="1" xr:uid="{00000000-0002-0000-0B00-000004000000}">
          <x14:formula1>
            <xm:f>'G-4 Temporal multipliers'!$A$41:$A$72</xm:f>
          </x14:formula1>
          <xm:sqref>P11:Q256</xm:sqref>
        </x14:dataValidation>
        <x14:dataValidation type="list" allowBlank="1" showInputMessage="1" showErrorMessage="1" xr:uid="{00000000-0002-0000-0B00-000005000000}">
          <x14:formula1>
            <xm:f>'G-1 All Habitats'!$AF$3:$AF$15</xm:f>
          </x14:formula1>
          <xm:sqref>D11:D256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rgb="FF006600"/>
  </sheetPr>
  <dimension ref="A1:AP266"/>
  <sheetViews>
    <sheetView topLeftCell="D1" workbookViewId="0"/>
  </sheetViews>
  <sheetFormatPr defaultColWidth="8.81640625" defaultRowHeight="14" zeroHeight="1" x14ac:dyDescent="0.3"/>
  <cols>
    <col min="1" max="1" width="19.54296875" style="47" hidden="1" customWidth="1"/>
    <col min="2" max="2" width="19" style="47" hidden="1" customWidth="1"/>
    <col min="3" max="3" width="11" style="47" hidden="1" customWidth="1"/>
    <col min="4" max="4" width="2.81640625" style="47" customWidth="1"/>
    <col min="5" max="5" width="11.26953125" style="47" customWidth="1"/>
    <col min="6" max="6" width="57.7265625" style="47" customWidth="1"/>
    <col min="7" max="7" width="13.1796875" style="47" customWidth="1"/>
    <col min="8" max="9" width="17.81640625" style="47" customWidth="1"/>
    <col min="10" max="10" width="18.1796875" style="47" customWidth="1"/>
    <col min="11" max="12" width="19.26953125" style="47" customWidth="1"/>
    <col min="13" max="13" width="20.26953125" style="47" customWidth="1"/>
    <col min="14" max="14" width="19.26953125" style="47" customWidth="1"/>
    <col min="15" max="15" width="34" style="47" customWidth="1"/>
    <col min="16" max="16" width="34" style="47" hidden="1" customWidth="1"/>
    <col min="17" max="17" width="34" style="47" customWidth="1"/>
    <col min="18" max="18" width="73" style="47" customWidth="1"/>
    <col min="19" max="19" width="61.26953125" style="47" hidden="1" customWidth="1"/>
    <col min="20" max="21" width="34.26953125" style="47" customWidth="1"/>
    <col min="22" max="22" width="12.1796875" style="47" customWidth="1"/>
    <col min="23" max="23" width="18.453125" style="47" customWidth="1"/>
    <col min="24" max="24" width="13.1796875" style="47" customWidth="1"/>
    <col min="25" max="25" width="12.7265625" style="47" customWidth="1"/>
    <col min="26" max="26" width="12.54296875" style="47" customWidth="1"/>
    <col min="27" max="27" width="41.7265625" style="47" customWidth="1"/>
    <col min="28" max="28" width="15.453125" style="47" customWidth="1"/>
    <col min="29" max="29" width="12.26953125" style="47" customWidth="1"/>
    <col min="30" max="30" width="18.1796875" style="47" customWidth="1"/>
    <col min="31" max="31" width="20.81640625" style="47" customWidth="1"/>
    <col min="32" max="32" width="22.7265625" style="47" customWidth="1"/>
    <col min="33" max="33" width="33.26953125" style="47" customWidth="1"/>
    <col min="34" max="34" width="17.7265625" style="47" customWidth="1"/>
    <col min="35" max="35" width="15.26953125" style="47" customWidth="1"/>
    <col min="36" max="36" width="15.7265625" style="47" customWidth="1"/>
    <col min="37" max="37" width="29.453125" style="47" customWidth="1"/>
    <col min="38" max="38" width="17.1796875" style="47" customWidth="1"/>
    <col min="39" max="39" width="14.54296875" style="47" customWidth="1"/>
    <col min="40" max="40" width="12.7265625" style="47" customWidth="1"/>
    <col min="41" max="41" width="40.26953125" style="47" customWidth="1"/>
    <col min="42" max="42" width="42.26953125" style="47" customWidth="1"/>
    <col min="43" max="55" width="8.81640625" style="47" customWidth="1"/>
    <col min="56" max="16384" width="8.81640625" style="47"/>
  </cols>
  <sheetData>
    <row r="1" spans="1:42" ht="14.5" thickBot="1" x14ac:dyDescent="0.35"/>
    <row r="2" spans="1:42" ht="19.5" customHeight="1" thickBot="1" x14ac:dyDescent="0.35">
      <c r="E2" s="923" t="str">
        <f>IF(Start!$F$12="","",Start!$F$12)</f>
        <v>NCP Car Park, Bath Road, West Drayton, Greater London</v>
      </c>
      <c r="F2" s="924"/>
      <c r="G2" s="925"/>
      <c r="AD2" s="930" t="str">
        <f>IF(OR(COUNTIF($AD$12:AD257,"*30+*")&gt;0,COUNTIF(AH12:AH257,"*30+*")&gt;0),"Note; Habitat selected has a time to target condition greater than 30 years. Non standard agreement may be required.","")</f>
        <v/>
      </c>
      <c r="AE2" s="930"/>
      <c r="AF2" s="930"/>
      <c r="AG2" s="930"/>
      <c r="AH2" s="930"/>
      <c r="AI2" s="930"/>
    </row>
    <row r="3" spans="1:42" ht="13.15" customHeight="1" x14ac:dyDescent="0.3">
      <c r="E3" s="891" t="str">
        <f ca="1">MID(CELL("filename",D1),FIND("]",CELL("filename",D1))+1,256)</f>
        <v>A-3 Site Habitat Enhancement</v>
      </c>
      <c r="F3" s="892"/>
      <c r="G3" s="893"/>
      <c r="AD3" s="930"/>
      <c r="AE3" s="930"/>
      <c r="AF3" s="930"/>
      <c r="AG3" s="930"/>
      <c r="AH3" s="930"/>
      <c r="AI3" s="930"/>
    </row>
    <row r="4" spans="1:42" ht="15.75" customHeight="1" thickBot="1" x14ac:dyDescent="0.4">
      <c r="E4" s="894"/>
      <c r="F4" s="895"/>
      <c r="G4" s="896"/>
      <c r="H4" s="234" t="str">
        <f>IF(G4="","",IF(ISNA(VLOOKUP($E4,'A-1 Site Habitat Baseline'!$D$1:$O$258,3,FALSE)),"",(VLOOKUP($E4,'A-1 Site Habitat Baseline'!$D$1:$O$258,3,FALSE))))</f>
        <v/>
      </c>
      <c r="AD4" s="447"/>
      <c r="AE4" s="447"/>
      <c r="AF4" s="447"/>
      <c r="AG4" s="447"/>
      <c r="AK4" s="235"/>
      <c r="AL4" s="235"/>
      <c r="AM4" s="235"/>
    </row>
    <row r="5" spans="1:42" ht="15" customHeight="1" x14ac:dyDescent="0.3">
      <c r="AD5" s="930" t="str">
        <f>IF(Q12&lt;&gt;A12,"Change in broad habitat type detected. Check compliance with guidance.","")</f>
        <v>Change in broad habitat type detected. Check compliance with guidance.</v>
      </c>
      <c r="AE5" s="930"/>
      <c r="AF5" s="930"/>
      <c r="AG5" s="930"/>
      <c r="AH5" s="930"/>
      <c r="AI5" s="930"/>
    </row>
    <row r="6" spans="1:42" ht="15.75" customHeight="1" x14ac:dyDescent="0.3">
      <c r="AD6" s="930"/>
      <c r="AE6" s="930"/>
      <c r="AF6" s="930"/>
      <c r="AG6" s="930"/>
      <c r="AH6" s="930"/>
      <c r="AI6" s="930"/>
    </row>
    <row r="7" spans="1:42" x14ac:dyDescent="0.3">
      <c r="E7" s="48"/>
      <c r="F7" s="48"/>
    </row>
    <row r="8" spans="1:42" ht="18" customHeight="1" thickBot="1" x14ac:dyDescent="0.35"/>
    <row r="9" spans="1:42" ht="15.65" customHeight="1" thickBot="1" x14ac:dyDescent="0.35">
      <c r="F9" s="55"/>
      <c r="G9" s="55"/>
      <c r="H9" s="55"/>
      <c r="I9" s="55"/>
      <c r="J9" s="55"/>
      <c r="K9" s="55"/>
      <c r="L9" s="55"/>
      <c r="M9" s="55"/>
      <c r="N9" s="55"/>
      <c r="O9" s="55"/>
      <c r="P9" s="55"/>
      <c r="Q9" s="916" t="s">
        <v>225</v>
      </c>
      <c r="R9" s="917"/>
      <c r="S9" s="917"/>
      <c r="T9" s="917"/>
      <c r="U9" s="917"/>
      <c r="V9" s="917"/>
      <c r="W9" s="917"/>
      <c r="X9" s="917"/>
      <c r="Y9" s="917"/>
      <c r="Z9" s="917"/>
      <c r="AA9" s="917"/>
      <c r="AB9" s="917"/>
      <c r="AC9" s="917"/>
      <c r="AD9" s="917"/>
      <c r="AE9" s="917"/>
      <c r="AF9" s="917"/>
      <c r="AG9" s="917"/>
      <c r="AH9" s="917"/>
      <c r="AI9" s="917"/>
      <c r="AJ9" s="917"/>
      <c r="AK9" s="917"/>
      <c r="AL9" s="917"/>
      <c r="AM9" s="918"/>
    </row>
    <row r="10" spans="1:42" ht="28.15" customHeight="1" thickBot="1" x14ac:dyDescent="0.35">
      <c r="F10" s="916" t="s">
        <v>247</v>
      </c>
      <c r="G10" s="917"/>
      <c r="H10" s="917"/>
      <c r="I10" s="917"/>
      <c r="J10" s="917"/>
      <c r="K10" s="917"/>
      <c r="L10" s="917"/>
      <c r="M10" s="917"/>
      <c r="N10" s="917"/>
      <c r="O10" s="918"/>
      <c r="P10" s="236"/>
      <c r="Q10" s="926" t="s">
        <v>248</v>
      </c>
      <c r="R10" s="927"/>
      <c r="S10" s="396"/>
      <c r="T10" s="928" t="s">
        <v>249</v>
      </c>
      <c r="U10" s="929"/>
      <c r="V10" s="932" t="s">
        <v>250</v>
      </c>
      <c r="W10" s="937" t="s">
        <v>189</v>
      </c>
      <c r="X10" s="937" t="s">
        <v>206</v>
      </c>
      <c r="Y10" s="937" t="s">
        <v>190</v>
      </c>
      <c r="Z10" s="935" t="s">
        <v>206</v>
      </c>
      <c r="AA10" s="931" t="s">
        <v>191</v>
      </c>
      <c r="AB10" s="928"/>
      <c r="AC10" s="929"/>
      <c r="AD10" s="903" t="s">
        <v>251</v>
      </c>
      <c r="AE10" s="905"/>
      <c r="AF10" s="905"/>
      <c r="AG10" s="905"/>
      <c r="AH10" s="905"/>
      <c r="AI10" s="904"/>
      <c r="AJ10" s="903" t="s">
        <v>252</v>
      </c>
      <c r="AK10" s="905"/>
      <c r="AL10" s="905"/>
      <c r="AM10" s="905"/>
      <c r="AN10" s="906" t="s">
        <v>230</v>
      </c>
      <c r="AO10" s="931" t="s">
        <v>196</v>
      </c>
      <c r="AP10" s="929"/>
    </row>
    <row r="11" spans="1:42" s="49" customFormat="1" ht="42.5" thickBot="1" x14ac:dyDescent="0.35">
      <c r="A11" s="388" t="s">
        <v>202</v>
      </c>
      <c r="B11" s="388" t="s">
        <v>253</v>
      </c>
      <c r="C11" s="388" t="s">
        <v>200</v>
      </c>
      <c r="E11" s="363" t="s">
        <v>254</v>
      </c>
      <c r="F11" s="367" t="s">
        <v>255</v>
      </c>
      <c r="G11" s="367" t="s">
        <v>256</v>
      </c>
      <c r="H11" s="367" t="s">
        <v>257</v>
      </c>
      <c r="I11" s="367" t="s">
        <v>258</v>
      </c>
      <c r="J11" s="367" t="s">
        <v>259</v>
      </c>
      <c r="K11" s="367" t="s">
        <v>260</v>
      </c>
      <c r="L11" s="367" t="s">
        <v>261</v>
      </c>
      <c r="M11" s="367" t="s">
        <v>262</v>
      </c>
      <c r="N11" s="367" t="s">
        <v>263</v>
      </c>
      <c r="O11" s="365" t="s">
        <v>192</v>
      </c>
      <c r="P11" s="361" t="s">
        <v>264</v>
      </c>
      <c r="Q11" s="380" t="s">
        <v>265</v>
      </c>
      <c r="R11" s="77" t="s">
        <v>227</v>
      </c>
      <c r="S11" s="362" t="s">
        <v>227</v>
      </c>
      <c r="T11" s="364" t="s">
        <v>266</v>
      </c>
      <c r="U11" s="366" t="s">
        <v>267</v>
      </c>
      <c r="V11" s="933"/>
      <c r="W11" s="938"/>
      <c r="X11" s="938"/>
      <c r="Y11" s="938"/>
      <c r="Z11" s="936"/>
      <c r="AA11" s="380" t="s">
        <v>191</v>
      </c>
      <c r="AB11" s="389" t="s">
        <v>191</v>
      </c>
      <c r="AC11" s="390" t="s">
        <v>231</v>
      </c>
      <c r="AD11" s="380" t="s">
        <v>232</v>
      </c>
      <c r="AE11" s="391" t="s">
        <v>268</v>
      </c>
      <c r="AF11" s="391" t="s">
        <v>269</v>
      </c>
      <c r="AG11" s="391" t="s">
        <v>235</v>
      </c>
      <c r="AH11" s="391" t="s">
        <v>236</v>
      </c>
      <c r="AI11" s="381" t="s">
        <v>237</v>
      </c>
      <c r="AJ11" s="380" t="s">
        <v>270</v>
      </c>
      <c r="AK11" s="391" t="s">
        <v>239</v>
      </c>
      <c r="AL11" s="391" t="s">
        <v>271</v>
      </c>
      <c r="AM11" s="393" t="s">
        <v>241</v>
      </c>
      <c r="AN11" s="934"/>
      <c r="AO11" s="364" t="s">
        <v>215</v>
      </c>
      <c r="AP11" s="366" t="s">
        <v>216</v>
      </c>
    </row>
    <row r="12" spans="1:42" ht="28" x14ac:dyDescent="0.3">
      <c r="A12" s="47" t="str">
        <f>IF(E12="","",IF(ISNA(VLOOKUP($E12,'A-1 Site Habitat Baseline'!$D$1:$O$258,2,FALSE)),"",(VLOOKUP($E12,'A-1 Site Habitat Baseline'!$D$1:$O$258,2,FALSE))))</f>
        <v/>
      </c>
      <c r="B12" s="47" t="str">
        <f>IF(E12="","",IF(ISNA(VLOOKUP($E12,'A-1 Site Habitat Baseline'!$D$1:$O$258,3,FALSE)),"",(VLOOKUP($E12,'A-1 Site Habitat Baseline'!$D$1:$O$258,3,FALSE))))</f>
        <v/>
      </c>
      <c r="C12" s="47" t="str">
        <f>IFERROR(INDEX('G-8 Condition Look up'!$I$4:$I$130,MATCH(S12,'G-8 Condition Look up'!$A$4:$A$130,0)),"")</f>
        <v>Cond4</v>
      </c>
      <c r="E12" s="531" t="str">
        <f>'A-1 Site Habitat Baseline'!AL11</f>
        <v/>
      </c>
      <c r="F12" s="520" t="str">
        <f>IF(E12="","",IF(ISNA(VLOOKUP($E12,'A-1 Site Habitat Baseline'!$D$1:$O$258,4,FALSE)),"",(VLOOKUP($E12,'A-1 Site Habitat Baseline'!$D$1:$O$258,4,FALSE))))</f>
        <v/>
      </c>
      <c r="G12" s="520" t="str">
        <f>IF(E12="","",IF(ISNA(VLOOKUP($E12,'A-1 Site Habitat Baseline'!$D$1:$O$258,5,FALSE)),"",(VLOOKUP($E12,'A-1 Site Habitat Baseline'!$D$1:$O$258,5,FALSE))))</f>
        <v/>
      </c>
      <c r="H12" s="520" t="str">
        <f>IF(E12="","",IF(ISNA(VLOOKUP($E12,'A-1 Site Habitat Baseline'!$D$1:$O$258,6,FALSE)),"",(VLOOKUP($E12,'A-1 Site Habitat Baseline'!$D$1:$O$258,6,FALSE))))</f>
        <v/>
      </c>
      <c r="I12" s="520" t="str">
        <f>IF(E12="","",IF(ISNA(VLOOKUP($E12,'A-1 Site Habitat Baseline'!$D$1:$O$258,7,FALSE)),"",(VLOOKUP($E12,'A-1 Site Habitat Baseline'!$D$1:$O$258,7,FALSE))))</f>
        <v/>
      </c>
      <c r="J12" s="520" t="str">
        <f>IF(E12="","",IF(ISNA(VLOOKUP($E12,'A-1 Site Habitat Baseline'!$D$1:$O$258,8,FALSE)),"",(VLOOKUP($E12,'A-1 Site Habitat Baseline'!$D$1:$O$258,8,FALSE))))</f>
        <v/>
      </c>
      <c r="K12" s="520" t="str">
        <f>IF(E12="","",IF(ISNA(VLOOKUP($E12,'A-1 Site Habitat Baseline'!$D$1:$O$258,9,FALSE)),"",(VLOOKUP($E12,'A-1 Site Habitat Baseline'!$D$1:$O$258,9,FALSE))))</f>
        <v/>
      </c>
      <c r="L12" s="520" t="str">
        <f>IF(E12="","",IF(ISNA(VLOOKUP($E12,'A-1 Site Habitat Baseline'!$D$1:$O$258,11,FALSE)),"",(VLOOKUP($E12,'A-1 Site Habitat Baseline'!$D$1:$O$258,11,FALSE))))</f>
        <v/>
      </c>
      <c r="M12" s="520" t="str">
        <f>IF(E12="","",IF(ISNA(VLOOKUP($E12,'A-1 Site Habitat Baseline'!$D$1:$O$258,12,FALSE)),"",(VLOOKUP($E12,'A-1 Site Habitat Baseline'!$D$1:$O$258,12,FALSE))))</f>
        <v/>
      </c>
      <c r="N12" s="532" t="str">
        <f>IF(E12="","",IF(ISNA(VLOOKUP($E12,'A-1 Site Habitat Baseline'!$D$1:$X$258,14,FALSE)),"",(VLOOKUP($E12,'A-1 Site Habitat Baseline'!$D$1:$X$258,14,FALSE))))</f>
        <v/>
      </c>
      <c r="O12" s="524" t="str">
        <f>IF(E12="","",IF(ISNA(VLOOKUP($E12,'A-1 Site Habitat Baseline'!$D$1:$X$258,16,FALSE)),"",(VLOOKUP($E12,'A-1 Site Habitat Baseline'!$D$1:$X$258,13,FALSE))))</f>
        <v/>
      </c>
      <c r="P12" s="237" t="str">
        <f>IFERROR(INDEX('G-1 All Habitats'!$AG$3:$AG$15,MATCH(Q12,'G-1 All Habitats'!$AF$3:$AF$15,0)),"")</f>
        <v>Woodland_and_forest</v>
      </c>
      <c r="Q12" s="238" t="s">
        <v>76</v>
      </c>
      <c r="R12" s="238" t="s">
        <v>691</v>
      </c>
      <c r="S12" s="392" t="str">
        <f>IFERROR(INDEX('G-1 All Habitats'!$B$3:$B$129,MATCH(R12,'G-1 All Habitats'!$A$3:$A$129,0)),"")</f>
        <v>Woodland and forest - Other woodland; broadleaved</v>
      </c>
      <c r="T12" s="498" t="str">
        <f>IF(E12="","",IF(AND(LEFT(O12,6)="Same d",I12&gt;X12),"Error - Trading rules not satisfied ▲",IF(AND(LEFT(O12,6)="Same b",AND(LEFT(F12,5)&lt;&gt;LEFT(S12,5),I12&gt;X12)),"Error - Trading rules not satisfied ▲",IF(AND(LEFT(O12,6)="Same h",F12&lt;&gt;S12),"Error - Trading rules not satisfied ▲",IF(AND(LEFT(O12,6)="Bespok",F12&lt;&gt;S12),"Error - Trading rules not satisfied ▲",IF(X12&lt;I12,"Error Trading Down ▲",H12&amp;" - "&amp;W12))))))</f>
        <v/>
      </c>
      <c r="U12" s="499" t="str">
        <f>IF(F12="","",IF(AND(LEFT(F12,55)&lt;&gt;LEFT(S12,55),T12= "High - High"),"Error - Not like for like ▲",IF(AND(I12=X12,K12&gt;Z12),"Error - Can not reduce condition ▲",IF(AND(I12=X12,K12=Z12),"Error - No enhancement ▲",IF(X12&lt;I12,"Error Trading Down ▲",IF(AND(F12&lt;&gt;S12,I12&lt;X12),"Lower Distinctiveness Habitat"&amp;" - "&amp;Y12,J12&amp;" - "&amp;Y12))))))</f>
        <v/>
      </c>
      <c r="V12" s="537" t="e">
        <f>IF(S12="","",VLOOKUP(E12,BaselineHabSite,17,FALSE))</f>
        <v>#N/A</v>
      </c>
      <c r="W12" s="520" t="str">
        <f>IF(S12="","",VLOOKUP(S12,'G-1 All Habitats'!$B$2:$M$129,10,FALSE))</f>
        <v>Medium</v>
      </c>
      <c r="X12" s="520">
        <f>IFERROR(VLOOKUP(W12,'G-1 All Habitats'!$V$3:$W$7,2,FALSE),"")</f>
        <v>4</v>
      </c>
      <c r="Y12" s="79" t="s">
        <v>20</v>
      </c>
      <c r="Z12" s="524">
        <f>IFERROR(INDEX('G-8 Condition Look up'!$A$3:$H$130,MATCH(S12,'G-8 Condition Look up'!$A$3:$A$130,0),MATCH(Y12,'G-8 Condition Look up'!$A$3:$H$3,0)),"")</f>
        <v>2</v>
      </c>
      <c r="AA12" s="71" t="s">
        <v>913</v>
      </c>
      <c r="AB12" s="520" t="str">
        <f>IF(AA12="","",IF(VLOOKUP(AA12,'G-3 Multipliers'!$L$3:$N$6,2,FALSE)=0,"Spatial Data Missing ⚠",VLOOKUP(AA12,'G-3 Multipliers'!$L$3:$N$6,2,FALSE)))</f>
        <v xml:space="preserve">High strategic significance </v>
      </c>
      <c r="AC12" s="524">
        <f>IF(AA12="","",IF(VLOOKUP(AA12,'G-3 Multipliers'!$L$3:$N$6,3,FALSE)=0,"Spatial Data Missing ⚠",VLOOKUP(AA12,'G-3 Multipliers'!$L$3:$N$6,3,FALSE)))</f>
        <v>1.1499999999999999</v>
      </c>
      <c r="AD12" s="539" t="str">
        <f t="shared" ref="AD12:AD75" si="0">IFERROR(IF(OR(LEFT(U12,5)="Error ▲",LEFT(T12,5)="Error ▲"),"Check Data ⚠",INDEX(EnhanceTemporal,MATCH(S12,EnhanceHabitat,0),MATCH(U12,EnhanceCondition,0))),"")</f>
        <v/>
      </c>
      <c r="AE12" s="82">
        <v>0</v>
      </c>
      <c r="AF12" s="82">
        <v>0</v>
      </c>
      <c r="AG12" s="507" t="str">
        <f>IF(AD12="","",IF(AD12="Check Data ⚠","Check Data ⚠",IF(R12="","",IF(AND(AE12&gt;0,AF12&gt;0),"Error -both advance and delayed habitat creation ▲",IF(AND(OR(AE12="Habitat already in target condition",AD12&lt;=AE12),AF12=0),"Check details - Is there evidence that habitat has reached target condition? ⚠",IF(O11="","",IF(AE12&gt;0,"Check details - Is there evidence habitat creation started/in place? ⚠",IF(AF12&gt;0,"Check details- Delay in starting habitat in required condition? ⚠","Standard time to target condition applied"))))))))</f>
        <v/>
      </c>
      <c r="AH12" s="521" t="str">
        <f>IF(LEFT(AG12,5)="Error ▲","Check Data ⚠",IF(AG12="Check Data ⚠","Check Data ⚠",IF(AD12="","",IF(AD12="Not Possible","Check Data ⚠",IF(AND(AD12="30+",AE12=0),"30+",IF(AND(AD12="30+",AE12="30+"),0,IF(AND(AD12="30+",AE12&lt;30),30-AE12,IF(AD12="30+",30-AE12,IF(AE12&gt;AD12,0,IF(AF12="30+","30+",IF(AD12+AF12&gt;30,"30+",IF(AD12+AF12&gt;30,"30+",IF(AD12-AE12&gt;30,"30+",IF(AD12+AF12-AE12&gt;0,AD12+AF12-AE12,IF(AD12-AE12&gt;0,AD12-AE12,AD12+AF12-AE12)))))))))))))))</f>
        <v/>
      </c>
      <c r="AI12" s="522" t="str">
        <f>IF(AH12="Check Data ⚠","Check Data ⚠",IFERROR(VLOOKUP(AH12,'G-4 Temporal multipliers'!$A$4:$C$36,3,FALSE),""))</f>
        <v/>
      </c>
      <c r="AJ12" s="498" t="str">
        <f>IF(S12="","",VLOOKUP(S12,'G-3 Multipliers'!$A$2:$E$129,4,FALSE))</f>
        <v>Low</v>
      </c>
      <c r="AK12" s="507" t="str">
        <f>IF(E12="","",IF(AG12="Check details - Is there evidence that habitat has reached target condition? ⚠","Low Difficulty - only applicable if all habitat created before losses ⚠","Standard difficulty applied"))</f>
        <v/>
      </c>
      <c r="AL12" s="507" t="str">
        <f>(IF(AND(AK12="Standard difficulty applied",AD12&gt;AE12),AJ12,IF(AND(AK12="Low Difficulty - only applicable if all habitat created before losses ⚠",AE12&gt;=AD12),"Low", AJ12)))</f>
        <v>Low</v>
      </c>
      <c r="AM12" s="540" t="str">
        <f>IFERROR(IF(F12="","",IF(AH12="Check Data ⚠","Check Data ⚠",VLOOKUP(AL12, 'G-3 Multipliers'!$P$2:$Q$6,2,FALSE))),"")</f>
        <v/>
      </c>
      <c r="AN12" s="513" t="str">
        <f>IFERROR(((((V12*X12*Z12)-(V12*I12*K12))*(AM12*AI12))+(V12*I12*K12))*(AC12),"")</f>
        <v/>
      </c>
      <c r="AO12" s="239"/>
      <c r="AP12" s="240"/>
    </row>
    <row r="13" spans="1:42" x14ac:dyDescent="0.3">
      <c r="A13" s="47" t="str">
        <f>IF(E13="","",IF(ISNA(VLOOKUP($E13,'A-1 Site Habitat Baseline'!$D$1:$O$258,2,FALSE)),"",(VLOOKUP($E13,'A-1 Site Habitat Baseline'!$D$1:$O$258,2,FALSE))))</f>
        <v/>
      </c>
      <c r="B13" s="47" t="str">
        <f>IF(E13="","",IF(ISNA(VLOOKUP($E13,'A-1 Site Habitat Baseline'!$D$1:$O$258,3,FALSE)),"",(VLOOKUP($E13,'A-1 Site Habitat Baseline'!$D$1:$O$258,3,FALSE))))</f>
        <v/>
      </c>
      <c r="C13" s="47" t="str">
        <f>IFERROR(INDEX('G-8 Condition Look up'!$I$4:$I$130,MATCH(S13,'G-8 Condition Look up'!$A$4:$A$130,0)),"")</f>
        <v/>
      </c>
      <c r="E13" s="531" t="str">
        <f>'A-1 Site Habitat Baseline'!AL12</f>
        <v/>
      </c>
      <c r="F13" s="520" t="str">
        <f>IF(E13="","",IF(ISNA(VLOOKUP($E13,'A-1 Site Habitat Baseline'!$D$1:$O$258,4,FALSE)),"",(VLOOKUP($E13,'A-1 Site Habitat Baseline'!$D$1:$O$258,4,FALSE))))</f>
        <v/>
      </c>
      <c r="G13" s="520" t="str">
        <f>IF(E13="","",IF(ISNA(VLOOKUP($E13,'A-1 Site Habitat Baseline'!$D$1:$O$258,5,FALSE)),"",(VLOOKUP($E13,'A-1 Site Habitat Baseline'!$D$1:$O$258,5,FALSE))))</f>
        <v/>
      </c>
      <c r="H13" s="520" t="str">
        <f>IF(E13="","",IF(ISNA(VLOOKUP($E13,'A-1 Site Habitat Baseline'!$D$1:$O$258,6,FALSE)),"",(VLOOKUP($E13,'A-1 Site Habitat Baseline'!$D$1:$O$258,6,FALSE))))</f>
        <v/>
      </c>
      <c r="I13" s="520" t="str">
        <f>IF(E13="","",IF(ISNA(VLOOKUP($E13,'A-1 Site Habitat Baseline'!$D$1:$O$258,7,FALSE)),"",(VLOOKUP($E13,'A-1 Site Habitat Baseline'!$D$1:$O$258,7,FALSE))))</f>
        <v/>
      </c>
      <c r="J13" s="520" t="str">
        <f>IF(E13="","",IF(ISNA(VLOOKUP($E13,'A-1 Site Habitat Baseline'!$D$1:$O$258,8,FALSE)),"",(VLOOKUP($E13,'A-1 Site Habitat Baseline'!$D$1:$O$258,8,FALSE))))</f>
        <v/>
      </c>
      <c r="K13" s="520" t="str">
        <f>IF(E13="","",IF(ISNA(VLOOKUP($E13,'A-1 Site Habitat Baseline'!$D$1:$O$258,9,FALSE)),"",(VLOOKUP($E13,'A-1 Site Habitat Baseline'!$D$1:$O$258,9,FALSE))))</f>
        <v/>
      </c>
      <c r="L13" s="520" t="str">
        <f>IF(E13="","",IF(ISNA(VLOOKUP($E13,'A-1 Site Habitat Baseline'!$D$1:$O$258,11,FALSE)),"",(VLOOKUP($E13,'A-1 Site Habitat Baseline'!$D$1:$O$258,11,FALSE))))</f>
        <v/>
      </c>
      <c r="M13" s="520" t="str">
        <f>IF(E13="","",IF(ISNA(VLOOKUP($E13,'A-1 Site Habitat Baseline'!$D$1:$O$258,12,FALSE)),"",(VLOOKUP($E13,'A-1 Site Habitat Baseline'!$D$1:$O$258,12,FALSE))))</f>
        <v/>
      </c>
      <c r="N13" s="532" t="str">
        <f>IF(E13="","",IF(ISNA(VLOOKUP($E13,'A-1 Site Habitat Baseline'!$D$1:$X$258,14,FALSE)),"",(VLOOKUP($E13,'A-1 Site Habitat Baseline'!$D$1:$X$258,14,FALSE))))</f>
        <v/>
      </c>
      <c r="O13" s="524" t="str">
        <f>IF(E13="","",IF(ISNA(VLOOKUP($E13,'A-1 Site Habitat Baseline'!$D$1:$X$258,16,FALSE)),"",(VLOOKUP($E13,'A-1 Site Habitat Baseline'!$D$1:$X$258,13,FALSE))))</f>
        <v/>
      </c>
      <c r="P13" s="237" t="str">
        <f>IFERROR(INDEX('G-1 All Habitats'!$AG$3:$AG$15,MATCH(Q13,'G-1 All Habitats'!$AF$3:$AF$15,0)),"")</f>
        <v/>
      </c>
      <c r="Q13" s="238"/>
      <c r="R13" s="238"/>
      <c r="S13" s="392" t="str">
        <f>IFERROR(INDEX('G-1 All Habitats'!$B$3:$B$129,MATCH(R13,'G-1 All Habitats'!$A$3:$A$129,0)),"")</f>
        <v/>
      </c>
      <c r="T13" s="498" t="str">
        <f t="shared" ref="T13:T76" si="1">IF(E13="","",IF(AND(LEFT(O13,6)="Same d",I13&gt;X13),"Error - Trading rules not satisfied ▲",IF(AND(LEFT(O13,6)="Same b",AND(LEFT(F13,5)&lt;&gt;LEFT(S13,5),I13&gt;X13)),"Error - Trading rules not satisfied ▲",IF(AND(LEFT(O13,6)="Same h",F13&lt;&gt;S13),"Error - Trading rules not satisfied ▲",IF(AND(LEFT(O13,6)="Bespok",F13&lt;&gt;S13),"Error - Trading rules not satisfied ▲",IF(X13&lt;I13,"Error Trading Down ▲",H13&amp;" - "&amp;W13))))))</f>
        <v/>
      </c>
      <c r="U13" s="499" t="str">
        <f t="shared" ref="U13:U76" si="2">IF(F13="","",IF(AND(LEFT(F13,55)&lt;&gt;LEFT(S13,55),T13= "High - High"),"Error - Not like for like ▲",IF(AND(I13=X13,K13&gt;Z13),"Error - Can not reduce condition ▲",IF(AND(I13=X13,K13=Z13),"Error - No enhancement ▲",IF(X13&lt;I13,"Error Trading Down ▲",IF(AND(F13&lt;&gt;S13,I13&lt;X13),"Lower Distinctiveness Habitat"&amp;" - "&amp;Y13,J13&amp;" - "&amp;Y13))))))</f>
        <v/>
      </c>
      <c r="V13" s="537" t="str">
        <f t="shared" ref="V13:V75" si="3">IF(S13="","",VLOOKUP(E13,BaselineHabSite,17,FALSE))</f>
        <v/>
      </c>
      <c r="W13" s="520" t="str">
        <f>IF(S13="","",VLOOKUP(S13,'G-1 All Habitats'!$B$2:$M$129,10,FALSE))</f>
        <v/>
      </c>
      <c r="X13" s="520" t="str">
        <f>IFERROR(VLOOKUP(W13,'G-1 All Habitats'!$V$3:$W$7,2,FALSE),"")</f>
        <v/>
      </c>
      <c r="Y13" s="79"/>
      <c r="Z13" s="524" t="str">
        <f>IFERROR(INDEX('G-8 Condition Look up'!$A$3:$H$130,MATCH(S13,'G-8 Condition Look up'!$A$3:$A$130,0),MATCH(Y13,'G-8 Condition Look up'!$A$3:$H$3,0)),"")</f>
        <v/>
      </c>
      <c r="AA13" s="71"/>
      <c r="AB13" s="520" t="str">
        <f>IF(AA13="","",IF(VLOOKUP(AA13,'G-3 Multipliers'!$L$3:$N$6,2,FALSE)=0,"Spatial Data Missing ⚠",VLOOKUP(AA13,'G-3 Multipliers'!$L$3:$N$6,2,FALSE)))</f>
        <v/>
      </c>
      <c r="AC13" s="524" t="str">
        <f>IF(AA13="","",IF(VLOOKUP(AA13,'G-3 Multipliers'!$L$3:$N$6,3,FALSE)=0,"Spatial Data Missing ⚠",VLOOKUP(AA13,'G-3 Multipliers'!$L$3:$N$6,3,FALSE)))</f>
        <v/>
      </c>
      <c r="AD13" s="539" t="str">
        <f t="shared" si="0"/>
        <v/>
      </c>
      <c r="AE13" s="82"/>
      <c r="AF13" s="82"/>
      <c r="AG13" s="507" t="str">
        <f t="shared" ref="AG13:AG76" si="4">IF(AD13="","",IF(AD13="Check Data ⚠","Check Data ⚠",IF(R13="","",IF(AND(AE13&gt;0,AF13&gt;0),"Error -both advance and delayed habitat creation ▲",IF(AND(OR(AE13="Habitat already in target condition",AD13&lt;=AE13),AF13=0),"Check details - Is there evidence that habitat has reached target condition? ⚠",IF(O12="","",IF(AE13&gt;0,"Check details - Is there evidence habitat creation started/in place? ⚠",IF(AF13&gt;0,"Check details- Delay in starting habitat in required condition? ⚠","Standard time to target condition applied"))))))))</f>
        <v/>
      </c>
      <c r="AH13" s="521" t="str">
        <f t="shared" ref="AH13:AH76" si="5">IF(LEFT(AG13,5)="Error ▲","Check Data ⚠",IF(AG13="Check Data ⚠","Check Data ⚠",IF(AD13="","",IF(AD13="Not Possible","Check Data ⚠",IF(AND(AD13="30+",AE13=0),"30+",IF(AND(AD13="30+",AE13="30+"),0,IF(AND(AD13="30+",AE13&lt;30),30-AE13,IF(AD13="30+",30-AE13,IF(AE13&gt;AD13,0,IF(AF13="30+","30+",IF(AD13+AF13&gt;30,"30+",IF(AD13+AF13&gt;30,"30+",IF(AD13-AE13&gt;30,"30+",IF(AD13+AF13-AE13&gt;0,AD13+AF13-AE13,IF(AD13-AE13&gt;0,AD13-AE13,AD13+AF13-AE13)))))))))))))))</f>
        <v/>
      </c>
      <c r="AI13" s="522" t="str">
        <f>IF(AH13="Check Data","Check Data",IFERROR(VLOOKUP(AH13,'G-4 Temporal multipliers'!$A$4:$C$36,3,FALSE),""))</f>
        <v/>
      </c>
      <c r="AJ13" s="498" t="str">
        <f>IF(S13="","",VLOOKUP(S13,'G-3 Multipliers'!$A$2:$E$129,4,FALSE))</f>
        <v/>
      </c>
      <c r="AK13" s="507" t="str">
        <f t="shared" ref="AK13:AK76" si="6">IF(E13="","",IF(AG13="Check details - Is there evidence that habitat has reached target condition? ⚠","Low Difficulty - only applicable if all habitat created before losses ⚠","Standard difficulty applied"))</f>
        <v/>
      </c>
      <c r="AL13" s="507" t="str">
        <f t="shared" ref="AL13:AL76" si="7">(IF(AND(AK13="Standard difficulty applied",AD13&gt;AE13),AJ13,IF(AND(AK13="Low Difficulty - only applicable if all habitat created before losses ⚠",AE13&gt;=AD13),"Low", AJ13)))</f>
        <v/>
      </c>
      <c r="AM13" s="540" t="str">
        <f>IFERROR(IF(F13="","",IF(AH13="Check Data ⚠","Check Data ⚠",VLOOKUP(AL13, 'G-3 Multipliers'!$P$2:$Q$6,2,FALSE))),"")</f>
        <v/>
      </c>
      <c r="AN13" s="513" t="str">
        <f t="shared" ref="AN13:AN75" si="8">IFERROR(((((V13*X13*Z13)-(V13*I13*K13))*(AM13*AI13))+(V13*I13*K13))*(AC13),"")</f>
        <v/>
      </c>
      <c r="AO13" s="239"/>
      <c r="AP13" s="240"/>
    </row>
    <row r="14" spans="1:42" x14ac:dyDescent="0.3">
      <c r="A14" s="47" t="str">
        <f>IF(E14="","",IF(ISNA(VLOOKUP($E14,'A-1 Site Habitat Baseline'!$D$1:$O$258,2,FALSE)),"",(VLOOKUP($E14,'A-1 Site Habitat Baseline'!$D$1:$O$258,2,FALSE))))</f>
        <v/>
      </c>
      <c r="B14" s="47" t="str">
        <f>IF(E14="","",IF(ISNA(VLOOKUP($E14,'A-1 Site Habitat Baseline'!$D$1:$O$258,3,FALSE)),"",(VLOOKUP($E14,'A-1 Site Habitat Baseline'!$D$1:$O$258,3,FALSE))))</f>
        <v/>
      </c>
      <c r="C14" s="47" t="str">
        <f>IFERROR(INDEX('G-8 Condition Look up'!$I$4:$I$130,MATCH(S14,'G-8 Condition Look up'!$A$4:$A$130,0)),"")</f>
        <v/>
      </c>
      <c r="E14" s="531" t="str">
        <f>'A-1 Site Habitat Baseline'!AL13</f>
        <v/>
      </c>
      <c r="F14" s="520" t="str">
        <f>IF(E14="","",IF(ISNA(VLOOKUP($E14,'A-1 Site Habitat Baseline'!$D$1:$O$258,4,FALSE)),"",(VLOOKUP($E14,'A-1 Site Habitat Baseline'!$D$1:$O$258,4,FALSE))))</f>
        <v/>
      </c>
      <c r="G14" s="520" t="str">
        <f>IF(E14="","",IF(ISNA(VLOOKUP($E14,'A-1 Site Habitat Baseline'!$D$1:$O$258,5,FALSE)),"",(VLOOKUP($E14,'A-1 Site Habitat Baseline'!$D$1:$O$258,5,FALSE))))</f>
        <v/>
      </c>
      <c r="H14" s="520" t="str">
        <f>IF(E14="","",IF(ISNA(VLOOKUP($E14,'A-1 Site Habitat Baseline'!$D$1:$O$258,6,FALSE)),"",(VLOOKUP($E14,'A-1 Site Habitat Baseline'!$D$1:$O$258,6,FALSE))))</f>
        <v/>
      </c>
      <c r="I14" s="520" t="str">
        <f>IF(E14="","",IF(ISNA(VLOOKUP($E14,'A-1 Site Habitat Baseline'!$D$1:$O$258,7,FALSE)),"",(VLOOKUP($E14,'A-1 Site Habitat Baseline'!$D$1:$O$258,7,FALSE))))</f>
        <v/>
      </c>
      <c r="J14" s="520" t="str">
        <f>IF(E14="","",IF(ISNA(VLOOKUP($E14,'A-1 Site Habitat Baseline'!$D$1:$O$258,8,FALSE)),"",(VLOOKUP($E14,'A-1 Site Habitat Baseline'!$D$1:$O$258,8,FALSE))))</f>
        <v/>
      </c>
      <c r="K14" s="520" t="str">
        <f>IF(E14="","",IF(ISNA(VLOOKUP($E14,'A-1 Site Habitat Baseline'!$D$1:$O$258,9,FALSE)),"",(VLOOKUP($E14,'A-1 Site Habitat Baseline'!$D$1:$O$258,9,FALSE))))</f>
        <v/>
      </c>
      <c r="L14" s="520" t="str">
        <f>IF(E14="","",IF(ISNA(VLOOKUP($E14,'A-1 Site Habitat Baseline'!$D$1:$O$258,11,FALSE)),"",(VLOOKUP($E14,'A-1 Site Habitat Baseline'!$D$1:$O$258,11,FALSE))))</f>
        <v/>
      </c>
      <c r="M14" s="520" t="str">
        <f>IF(E14="","",IF(ISNA(VLOOKUP($E14,'A-1 Site Habitat Baseline'!$D$1:$O$258,12,FALSE)),"",(VLOOKUP($E14,'A-1 Site Habitat Baseline'!$D$1:$O$258,12,FALSE))))</f>
        <v/>
      </c>
      <c r="N14" s="532" t="str">
        <f>IF(E14="","",IF(ISNA(VLOOKUP($E14,'A-1 Site Habitat Baseline'!$D$1:$X$258,14,FALSE)),"",(VLOOKUP($E14,'A-1 Site Habitat Baseline'!$D$1:$X$258,14,FALSE))))</f>
        <v/>
      </c>
      <c r="O14" s="524" t="str">
        <f>IF(E14="","",IF(ISNA(VLOOKUP($E14,'A-1 Site Habitat Baseline'!$D$1:$X$258,16,FALSE)),"",(VLOOKUP($E14,'A-1 Site Habitat Baseline'!$D$1:$X$258,13,FALSE))))</f>
        <v/>
      </c>
      <c r="P14" s="237" t="str">
        <f>IFERROR(INDEX('G-1 All Habitats'!$AG$3:$AG$15,MATCH(Q14,'G-1 All Habitats'!$AF$3:$AF$15,0)),"")</f>
        <v/>
      </c>
      <c r="Q14" s="238"/>
      <c r="R14" s="238"/>
      <c r="S14" s="392" t="str">
        <f>IFERROR(INDEX('G-1 All Habitats'!$B$3:$B$129,MATCH(R14,'G-1 All Habitats'!$A$3:$A$129,0)),"")</f>
        <v/>
      </c>
      <c r="T14" s="498" t="str">
        <f t="shared" si="1"/>
        <v/>
      </c>
      <c r="U14" s="499" t="str">
        <f t="shared" si="2"/>
        <v/>
      </c>
      <c r="V14" s="537" t="str">
        <f t="shared" si="3"/>
        <v/>
      </c>
      <c r="W14" s="520" t="str">
        <f>IF(S14="","",VLOOKUP(S14,'G-1 All Habitats'!$B$2:$M$129,10,FALSE))</f>
        <v/>
      </c>
      <c r="X14" s="520" t="str">
        <f>IFERROR(VLOOKUP(W14,'G-1 All Habitats'!$V$3:$W$7,2,FALSE),"")</f>
        <v/>
      </c>
      <c r="Y14" s="79"/>
      <c r="Z14" s="524" t="str">
        <f>IFERROR(INDEX('G-8 Condition Look up'!$A$3:$H$130,MATCH(S14,'G-8 Condition Look up'!$A$3:$A$130,0),MATCH(Y14,'G-8 Condition Look up'!$A$3:$H$3,0)),"")</f>
        <v/>
      </c>
      <c r="AA14" s="71"/>
      <c r="AB14" s="520" t="str">
        <f>IF(AA14="","",IF(VLOOKUP(AA14,'G-3 Multipliers'!$L$3:$N$6,2,FALSE)=0,"Spatial Data Missing ⚠",VLOOKUP(AA14,'G-3 Multipliers'!$L$3:$N$6,2,FALSE)))</f>
        <v/>
      </c>
      <c r="AC14" s="524" t="str">
        <f>IF(AA14="","",IF(VLOOKUP(AA14,'G-3 Multipliers'!$L$3:$N$6,3,FALSE)=0,"Spatial Data Missing ⚠",VLOOKUP(AA14,'G-3 Multipliers'!$L$3:$N$6,3,FALSE)))</f>
        <v/>
      </c>
      <c r="AD14" s="539" t="str">
        <f t="shared" si="0"/>
        <v/>
      </c>
      <c r="AE14" s="82"/>
      <c r="AF14" s="82"/>
      <c r="AG14" s="507" t="str">
        <f t="shared" si="4"/>
        <v/>
      </c>
      <c r="AH14" s="521" t="str">
        <f t="shared" si="5"/>
        <v/>
      </c>
      <c r="AI14" s="522" t="str">
        <f>IF(AH14="Check Data","Check Data",IFERROR(VLOOKUP(AH14,'G-4 Temporal multipliers'!$A$4:$C$36,3,FALSE),""))</f>
        <v/>
      </c>
      <c r="AJ14" s="498" t="str">
        <f>IF(S14="","",VLOOKUP(S14,'G-3 Multipliers'!$A$2:$E$129,4,FALSE))</f>
        <v/>
      </c>
      <c r="AK14" s="507" t="str">
        <f t="shared" si="6"/>
        <v/>
      </c>
      <c r="AL14" s="507" t="str">
        <f t="shared" si="7"/>
        <v/>
      </c>
      <c r="AM14" s="540" t="str">
        <f>IFERROR(IF(F14="","",IF(AH14="Check Data ⚠","Check Data ⚠",VLOOKUP(AL14, 'G-3 Multipliers'!$P$2:$Q$6,2,FALSE))),"")</f>
        <v/>
      </c>
      <c r="AN14" s="513" t="str">
        <f>IFERROR(((((V14*X14*Z14)-(V14*I14*K14))*(AM14*AI14))+(V14*I14*K14))*(AC14),"")</f>
        <v/>
      </c>
      <c r="AO14" s="239"/>
      <c r="AP14" s="240"/>
    </row>
    <row r="15" spans="1:42" x14ac:dyDescent="0.3">
      <c r="A15" s="47" t="str">
        <f>IF(E15="","",IF(ISNA(VLOOKUP($E15,'A-1 Site Habitat Baseline'!$D$1:$O$258,2,FALSE)),"",(VLOOKUP($E15,'A-1 Site Habitat Baseline'!$D$1:$O$258,2,FALSE))))</f>
        <v/>
      </c>
      <c r="B15" s="47" t="str">
        <f>IF(E15="","",IF(ISNA(VLOOKUP($E15,'A-1 Site Habitat Baseline'!$D$1:$O$258,3,FALSE)),"",(VLOOKUP($E15,'A-1 Site Habitat Baseline'!$D$1:$O$258,3,FALSE))))</f>
        <v/>
      </c>
      <c r="C15" s="47" t="str">
        <f>IFERROR(INDEX('G-8 Condition Look up'!$I$4:$I$130,MATCH(S15,'G-8 Condition Look up'!$A$4:$A$130,0)),"")</f>
        <v/>
      </c>
      <c r="E15" s="531" t="str">
        <f>'A-1 Site Habitat Baseline'!AL14</f>
        <v/>
      </c>
      <c r="F15" s="520" t="str">
        <f>IF(E15="","",IF(ISNA(VLOOKUP($E15,'A-1 Site Habitat Baseline'!$D$1:$O$258,4,FALSE)),"",(VLOOKUP($E15,'A-1 Site Habitat Baseline'!$D$1:$O$258,4,FALSE))))</f>
        <v/>
      </c>
      <c r="G15" s="520" t="str">
        <f>IF(E15="","",IF(ISNA(VLOOKUP($E15,'A-1 Site Habitat Baseline'!$D$1:$O$258,5,FALSE)),"",(VLOOKUP($E15,'A-1 Site Habitat Baseline'!$D$1:$O$258,5,FALSE))))</f>
        <v/>
      </c>
      <c r="H15" s="520" t="str">
        <f>IF(E15="","",IF(ISNA(VLOOKUP($E15,'A-1 Site Habitat Baseline'!$D$1:$O$258,6,FALSE)),"",(VLOOKUP($E15,'A-1 Site Habitat Baseline'!$D$1:$O$258,6,FALSE))))</f>
        <v/>
      </c>
      <c r="I15" s="520" t="str">
        <f>IF(E15="","",IF(ISNA(VLOOKUP($E15,'A-1 Site Habitat Baseline'!$D$1:$O$258,7,FALSE)),"",(VLOOKUP($E15,'A-1 Site Habitat Baseline'!$D$1:$O$258,7,FALSE))))</f>
        <v/>
      </c>
      <c r="J15" s="520" t="str">
        <f>IF(E15="","",IF(ISNA(VLOOKUP($E15,'A-1 Site Habitat Baseline'!$D$1:$O$258,8,FALSE)),"",(VLOOKUP($E15,'A-1 Site Habitat Baseline'!$D$1:$O$258,8,FALSE))))</f>
        <v/>
      </c>
      <c r="K15" s="520" t="str">
        <f>IF(E15="","",IF(ISNA(VLOOKUP($E15,'A-1 Site Habitat Baseline'!$D$1:$O$258,9,FALSE)),"",(VLOOKUP($E15,'A-1 Site Habitat Baseline'!$D$1:$O$258,9,FALSE))))</f>
        <v/>
      </c>
      <c r="L15" s="520" t="str">
        <f>IF(E15="","",IF(ISNA(VLOOKUP($E15,'A-1 Site Habitat Baseline'!$D$1:$O$258,11,FALSE)),"",(VLOOKUP($E15,'A-1 Site Habitat Baseline'!$D$1:$O$258,11,FALSE))))</f>
        <v/>
      </c>
      <c r="M15" s="520" t="str">
        <f>IF(E15="","",IF(ISNA(VLOOKUP($E15,'A-1 Site Habitat Baseline'!$D$1:$O$258,12,FALSE)),"",(VLOOKUP($E15,'A-1 Site Habitat Baseline'!$D$1:$O$258,12,FALSE))))</f>
        <v/>
      </c>
      <c r="N15" s="532" t="str">
        <f>IF(E15="","",IF(ISNA(VLOOKUP($E15,'A-1 Site Habitat Baseline'!$D$1:$X$258,14,FALSE)),"",(VLOOKUP($E15,'A-1 Site Habitat Baseline'!$D$1:$X$258,14,FALSE))))</f>
        <v/>
      </c>
      <c r="O15" s="524" t="str">
        <f>IF(E15="","",IF(ISNA(VLOOKUP($E15,'A-1 Site Habitat Baseline'!$D$1:$X$258,16,FALSE)),"",(VLOOKUP($E15,'A-1 Site Habitat Baseline'!$D$1:$X$258,13,FALSE))))</f>
        <v/>
      </c>
      <c r="P15" s="237" t="str">
        <f>IFERROR(INDEX('G-1 All Habitats'!$AG$3:$AG$15,MATCH(Q15,'G-1 All Habitats'!$AF$3:$AF$15,0)),"")</f>
        <v/>
      </c>
      <c r="Q15" s="238" t="str">
        <f t="shared" ref="Q15:Q76" si="9">A15</f>
        <v/>
      </c>
      <c r="R15" s="238"/>
      <c r="S15" s="392" t="str">
        <f>IFERROR(INDEX('G-1 All Habitats'!$B$3:$B$129,MATCH(R15,'G-1 All Habitats'!$A$3:$A$129,0)),"")</f>
        <v/>
      </c>
      <c r="T15" s="498" t="str">
        <f t="shared" si="1"/>
        <v/>
      </c>
      <c r="U15" s="499" t="str">
        <f t="shared" si="2"/>
        <v/>
      </c>
      <c r="V15" s="537" t="str">
        <f t="shared" si="3"/>
        <v/>
      </c>
      <c r="W15" s="520" t="str">
        <f>IF(S15="","",VLOOKUP(S15,'G-1 All Habitats'!$B$2:$M$129,10,FALSE))</f>
        <v/>
      </c>
      <c r="X15" s="520" t="str">
        <f>IFERROR(VLOOKUP(W15,'G-1 All Habitats'!$V$3:$W$7,2,FALSE),"")</f>
        <v/>
      </c>
      <c r="Y15" s="79"/>
      <c r="Z15" s="524" t="str">
        <f>IFERROR(INDEX('G-8 Condition Look up'!$A$3:$H$130,MATCH(S15,'G-8 Condition Look up'!$A$3:$A$130,0),MATCH(Y15,'G-8 Condition Look up'!$A$3:$H$3,0)),"")</f>
        <v/>
      </c>
      <c r="AA15" s="71"/>
      <c r="AB15" s="520" t="str">
        <f>IF(AA15="","",IF(VLOOKUP(AA15,'G-3 Multipliers'!$L$3:$N$6,2,FALSE)=0,"Spatial Data Missing ⚠",VLOOKUP(AA15,'G-3 Multipliers'!$L$3:$N$6,2,FALSE)))</f>
        <v/>
      </c>
      <c r="AC15" s="524" t="str">
        <f>IF(AA15="","",IF(VLOOKUP(AA15,'G-3 Multipliers'!$L$3:$N$6,3,FALSE)=0,"Spatial Data Missing ⚠",VLOOKUP(AA15,'G-3 Multipliers'!$L$3:$N$6,3,FALSE)))</f>
        <v/>
      </c>
      <c r="AD15" s="539" t="str">
        <f t="shared" si="0"/>
        <v/>
      </c>
      <c r="AE15" s="82"/>
      <c r="AF15" s="82"/>
      <c r="AG15" s="507" t="str">
        <f t="shared" si="4"/>
        <v/>
      </c>
      <c r="AH15" s="521" t="str">
        <f t="shared" si="5"/>
        <v/>
      </c>
      <c r="AI15" s="522" t="str">
        <f>IF(AH15="Check Data","Check Data",IFERROR(VLOOKUP(AH15,'G-4 Temporal multipliers'!$A$4:$C$36,3,FALSE),""))</f>
        <v/>
      </c>
      <c r="AJ15" s="498" t="str">
        <f>IF(S15="","",VLOOKUP(S15,'G-3 Multipliers'!$A$2:$E$129,4,FALSE))</f>
        <v/>
      </c>
      <c r="AK15" s="507" t="str">
        <f t="shared" si="6"/>
        <v/>
      </c>
      <c r="AL15" s="507" t="str">
        <f t="shared" si="7"/>
        <v/>
      </c>
      <c r="AM15" s="540" t="str">
        <f>IFERROR(IF(F15="","",IF(AH15="Check Data ⚠","Check Data ⚠",VLOOKUP(AL15, 'G-3 Multipliers'!$P$2:$Q$6,2,FALSE))),"")</f>
        <v/>
      </c>
      <c r="AN15" s="513" t="str">
        <f t="shared" si="8"/>
        <v/>
      </c>
      <c r="AO15" s="239"/>
      <c r="AP15" s="240"/>
    </row>
    <row r="16" spans="1:42" x14ac:dyDescent="0.3">
      <c r="A16" s="47" t="str">
        <f>IF(E16="","",IF(ISNA(VLOOKUP($E16,'A-1 Site Habitat Baseline'!$D$1:$O$258,2,FALSE)),"",(VLOOKUP($E16,'A-1 Site Habitat Baseline'!$D$1:$O$258,2,FALSE))))</f>
        <v/>
      </c>
      <c r="B16" s="47" t="str">
        <f>IF(E16="","",IF(ISNA(VLOOKUP($E16,'A-1 Site Habitat Baseline'!$D$1:$O$258,3,FALSE)),"",(VLOOKUP($E16,'A-1 Site Habitat Baseline'!$D$1:$O$258,3,FALSE))))</f>
        <v/>
      </c>
      <c r="C16" s="47" t="str">
        <f>IFERROR(INDEX('G-8 Condition Look up'!$I$4:$I$130,MATCH(S16,'G-8 Condition Look up'!$A$4:$A$130,0)),"")</f>
        <v/>
      </c>
      <c r="E16" s="531" t="str">
        <f>'A-1 Site Habitat Baseline'!AL15</f>
        <v/>
      </c>
      <c r="F16" s="520" t="str">
        <f>IF(E16="","",IF(ISNA(VLOOKUP($E16,'A-1 Site Habitat Baseline'!$D$1:$O$258,4,FALSE)),"",(VLOOKUP($E16,'A-1 Site Habitat Baseline'!$D$1:$O$258,4,FALSE))))</f>
        <v/>
      </c>
      <c r="G16" s="520" t="str">
        <f>IF(E16="","",IF(ISNA(VLOOKUP($E16,'A-1 Site Habitat Baseline'!$D$1:$O$258,5,FALSE)),"",(VLOOKUP($E16,'A-1 Site Habitat Baseline'!$D$1:$O$258,5,FALSE))))</f>
        <v/>
      </c>
      <c r="H16" s="520" t="str">
        <f>IF(E16="","",IF(ISNA(VLOOKUP($E16,'A-1 Site Habitat Baseline'!$D$1:$O$258,6,FALSE)),"",(VLOOKUP($E16,'A-1 Site Habitat Baseline'!$D$1:$O$258,6,FALSE))))</f>
        <v/>
      </c>
      <c r="I16" s="520" t="str">
        <f>IF(E16="","",IF(ISNA(VLOOKUP($E16,'A-1 Site Habitat Baseline'!$D$1:$O$258,7,FALSE)),"",(VLOOKUP($E16,'A-1 Site Habitat Baseline'!$D$1:$O$258,7,FALSE))))</f>
        <v/>
      </c>
      <c r="J16" s="520" t="str">
        <f>IF(E16="","",IF(ISNA(VLOOKUP($E16,'A-1 Site Habitat Baseline'!$D$1:$O$258,8,FALSE)),"",(VLOOKUP($E16,'A-1 Site Habitat Baseline'!$D$1:$O$258,8,FALSE))))</f>
        <v/>
      </c>
      <c r="K16" s="520" t="str">
        <f>IF(E16="","",IF(ISNA(VLOOKUP($E16,'A-1 Site Habitat Baseline'!$D$1:$O$258,9,FALSE)),"",(VLOOKUP($E16,'A-1 Site Habitat Baseline'!$D$1:$O$258,9,FALSE))))</f>
        <v/>
      </c>
      <c r="L16" s="520" t="str">
        <f>IF(E16="","",IF(ISNA(VLOOKUP($E16,'A-1 Site Habitat Baseline'!$D$1:$O$258,11,FALSE)),"",(VLOOKUP($E16,'A-1 Site Habitat Baseline'!$D$1:$O$258,11,FALSE))))</f>
        <v/>
      </c>
      <c r="M16" s="520" t="str">
        <f>IF(E16="","",IF(ISNA(VLOOKUP($E16,'A-1 Site Habitat Baseline'!$D$1:$O$258,12,FALSE)),"",(VLOOKUP($E16,'A-1 Site Habitat Baseline'!$D$1:$O$258,12,FALSE))))</f>
        <v/>
      </c>
      <c r="N16" s="532" t="str">
        <f>IF(E16="","",IF(ISNA(VLOOKUP($E16,'A-1 Site Habitat Baseline'!$D$1:$X$258,14,FALSE)),"",(VLOOKUP($E16,'A-1 Site Habitat Baseline'!$D$1:$X$258,14,FALSE))))</f>
        <v/>
      </c>
      <c r="O16" s="524" t="str">
        <f>IF(E16="","",IF(ISNA(VLOOKUP($E16,'A-1 Site Habitat Baseline'!$D$1:$X$258,16,FALSE)),"",(VLOOKUP($E16,'A-1 Site Habitat Baseline'!$D$1:$X$258,13,FALSE))))</f>
        <v/>
      </c>
      <c r="P16" s="237" t="str">
        <f>IFERROR(INDEX('G-1 All Habitats'!$AG$3:$AG$15,MATCH(Q16,'G-1 All Habitats'!$AF$3:$AF$15,0)),"")</f>
        <v/>
      </c>
      <c r="Q16" s="238" t="str">
        <f t="shared" si="9"/>
        <v/>
      </c>
      <c r="R16" s="238"/>
      <c r="S16" s="392" t="str">
        <f>IFERROR(INDEX('G-1 All Habitats'!$B$3:$B$129,MATCH(R16,'G-1 All Habitats'!$A$3:$A$129,0)),"")</f>
        <v/>
      </c>
      <c r="T16" s="498" t="str">
        <f t="shared" si="1"/>
        <v/>
      </c>
      <c r="U16" s="499" t="str">
        <f t="shared" si="2"/>
        <v/>
      </c>
      <c r="V16" s="537" t="str">
        <f t="shared" si="3"/>
        <v/>
      </c>
      <c r="W16" s="520" t="str">
        <f>IF(S16="","",VLOOKUP(S16,'G-1 All Habitats'!$B$2:$M$129,10,FALSE))</f>
        <v/>
      </c>
      <c r="X16" s="520" t="str">
        <f>IFERROR(VLOOKUP(W16,'G-1 All Habitats'!$V$3:$W$7,2,FALSE),"")</f>
        <v/>
      </c>
      <c r="Y16" s="79"/>
      <c r="Z16" s="524" t="str">
        <f>IFERROR(INDEX('G-8 Condition Look up'!$A$3:$H$130,MATCH(S16,'G-8 Condition Look up'!$A$3:$A$130,0),MATCH(Y16,'G-8 Condition Look up'!$A$3:$H$3,0)),"")</f>
        <v/>
      </c>
      <c r="AA16" s="71"/>
      <c r="AB16" s="520" t="str">
        <f>IF(AA16="","",IF(VLOOKUP(AA16,'G-3 Multipliers'!$L$3:$N$6,2,FALSE)=0,"Spatial Data Missing ⚠",VLOOKUP(AA16,'G-3 Multipliers'!$L$3:$N$6,2,FALSE)))</f>
        <v/>
      </c>
      <c r="AC16" s="524" t="str">
        <f>IF(AA16="","",IF(VLOOKUP(AA16,'G-3 Multipliers'!$L$3:$N$6,3,FALSE)=0,"Spatial Data Missing ⚠",VLOOKUP(AA16,'G-3 Multipliers'!$L$3:$N$6,3,FALSE)))</f>
        <v/>
      </c>
      <c r="AD16" s="539" t="str">
        <f t="shared" si="0"/>
        <v/>
      </c>
      <c r="AE16" s="82"/>
      <c r="AF16" s="82"/>
      <c r="AG16" s="507" t="str">
        <f t="shared" si="4"/>
        <v/>
      </c>
      <c r="AH16" s="521" t="str">
        <f t="shared" si="5"/>
        <v/>
      </c>
      <c r="AI16" s="522" t="str">
        <f>IF(AH16="Check Data","Check Data",IFERROR(VLOOKUP(AH16,'G-4 Temporal multipliers'!$A$4:$C$36,3,FALSE),""))</f>
        <v/>
      </c>
      <c r="AJ16" s="498" t="str">
        <f>IF(S16="","",VLOOKUP(S16,'G-3 Multipliers'!$A$2:$E$129,4,FALSE))</f>
        <v/>
      </c>
      <c r="AK16" s="507" t="str">
        <f t="shared" si="6"/>
        <v/>
      </c>
      <c r="AL16" s="507" t="str">
        <f t="shared" si="7"/>
        <v/>
      </c>
      <c r="AM16" s="540" t="str">
        <f>IFERROR(IF(F16="","",IF(AH16="Check Data ⚠","Check Data ⚠",VLOOKUP(AL16, 'G-3 Multipliers'!$P$2:$Q$6,2,FALSE))),"")</f>
        <v/>
      </c>
      <c r="AN16" s="513" t="str">
        <f t="shared" si="8"/>
        <v/>
      </c>
      <c r="AO16" s="239"/>
      <c r="AP16" s="240"/>
    </row>
    <row r="17" spans="1:42" x14ac:dyDescent="0.3">
      <c r="A17" s="47" t="str">
        <f>IF(E17="","",IF(ISNA(VLOOKUP($E17,'A-1 Site Habitat Baseline'!$D$1:$O$258,2,FALSE)),"",(VLOOKUP($E17,'A-1 Site Habitat Baseline'!$D$1:$O$258,2,FALSE))))</f>
        <v/>
      </c>
      <c r="B17" s="47" t="str">
        <f>IF(E17="","",IF(ISNA(VLOOKUP($E17,'A-1 Site Habitat Baseline'!$D$1:$O$258,3,FALSE)),"",(VLOOKUP($E17,'A-1 Site Habitat Baseline'!$D$1:$O$258,3,FALSE))))</f>
        <v/>
      </c>
      <c r="C17" s="47" t="str">
        <f>IFERROR(INDEX('G-8 Condition Look up'!$I$4:$I$130,MATCH(S17,'G-8 Condition Look up'!$A$4:$A$130,0)),"")</f>
        <v/>
      </c>
      <c r="E17" s="531" t="str">
        <f>'A-1 Site Habitat Baseline'!AL16</f>
        <v/>
      </c>
      <c r="F17" s="520" t="str">
        <f>IF(E17="","",IF(ISNA(VLOOKUP($E17,'A-1 Site Habitat Baseline'!$D$1:$O$258,4,FALSE)),"",(VLOOKUP($E17,'A-1 Site Habitat Baseline'!$D$1:$O$258,4,FALSE))))</f>
        <v/>
      </c>
      <c r="G17" s="520" t="str">
        <f>IF(E17="","",IF(ISNA(VLOOKUP($E17,'A-1 Site Habitat Baseline'!$D$1:$O$258,5,FALSE)),"",(VLOOKUP($E17,'A-1 Site Habitat Baseline'!$D$1:$O$258,5,FALSE))))</f>
        <v/>
      </c>
      <c r="H17" s="520" t="str">
        <f>IF(E17="","",IF(ISNA(VLOOKUP($E17,'A-1 Site Habitat Baseline'!$D$1:$O$258,6,FALSE)),"",(VLOOKUP($E17,'A-1 Site Habitat Baseline'!$D$1:$O$258,6,FALSE))))</f>
        <v/>
      </c>
      <c r="I17" s="520" t="str">
        <f>IF(E17="","",IF(ISNA(VLOOKUP($E17,'A-1 Site Habitat Baseline'!$D$1:$O$258,7,FALSE)),"",(VLOOKUP($E17,'A-1 Site Habitat Baseline'!$D$1:$O$258,7,FALSE))))</f>
        <v/>
      </c>
      <c r="J17" s="520" t="str">
        <f>IF(E17="","",IF(ISNA(VLOOKUP($E17,'A-1 Site Habitat Baseline'!$D$1:$O$258,8,FALSE)),"",(VLOOKUP($E17,'A-1 Site Habitat Baseline'!$D$1:$O$258,8,FALSE))))</f>
        <v/>
      </c>
      <c r="K17" s="520" t="str">
        <f>IF(E17="","",IF(ISNA(VLOOKUP($E17,'A-1 Site Habitat Baseline'!$D$1:$O$258,9,FALSE)),"",(VLOOKUP($E17,'A-1 Site Habitat Baseline'!$D$1:$O$258,9,FALSE))))</f>
        <v/>
      </c>
      <c r="L17" s="520" t="str">
        <f>IF(E17="","",IF(ISNA(VLOOKUP($E17,'A-1 Site Habitat Baseline'!$D$1:$O$258,11,FALSE)),"",(VLOOKUP($E17,'A-1 Site Habitat Baseline'!$D$1:$O$258,11,FALSE))))</f>
        <v/>
      </c>
      <c r="M17" s="520" t="str">
        <f>IF(E17="","",IF(ISNA(VLOOKUP($E17,'A-1 Site Habitat Baseline'!$D$1:$O$258,12,FALSE)),"",(VLOOKUP($E17,'A-1 Site Habitat Baseline'!$D$1:$O$258,12,FALSE))))</f>
        <v/>
      </c>
      <c r="N17" s="532" t="str">
        <f>IF(E17="","",IF(ISNA(VLOOKUP($E17,'A-1 Site Habitat Baseline'!$D$1:$X$258,14,FALSE)),"",(VLOOKUP($E17,'A-1 Site Habitat Baseline'!$D$1:$X$258,14,FALSE))))</f>
        <v/>
      </c>
      <c r="O17" s="524" t="str">
        <f>IF(E17="","",IF(ISNA(VLOOKUP($E17,'A-1 Site Habitat Baseline'!$D$1:$X$258,16,FALSE)),"",(VLOOKUP($E17,'A-1 Site Habitat Baseline'!$D$1:$X$258,13,FALSE))))</f>
        <v/>
      </c>
      <c r="P17" s="237" t="str">
        <f>IFERROR(INDEX('G-1 All Habitats'!$AG$3:$AG$15,MATCH(Q17,'G-1 All Habitats'!$AF$3:$AF$15,0)),"")</f>
        <v/>
      </c>
      <c r="Q17" s="238" t="str">
        <f t="shared" si="9"/>
        <v/>
      </c>
      <c r="R17" s="238"/>
      <c r="S17" s="392" t="str">
        <f>IFERROR(INDEX('G-1 All Habitats'!$B$3:$B$129,MATCH(R17,'G-1 All Habitats'!$A$3:$A$129,0)),"")</f>
        <v/>
      </c>
      <c r="T17" s="498" t="str">
        <f t="shared" si="1"/>
        <v/>
      </c>
      <c r="U17" s="499" t="str">
        <f t="shared" si="2"/>
        <v/>
      </c>
      <c r="V17" s="537" t="str">
        <f t="shared" si="3"/>
        <v/>
      </c>
      <c r="W17" s="520" t="str">
        <f>IF(S17="","",VLOOKUP(S17,'G-1 All Habitats'!$B$2:$M$129,10,FALSE))</f>
        <v/>
      </c>
      <c r="X17" s="520" t="str">
        <f>IFERROR(VLOOKUP(W17,'G-1 All Habitats'!$V$3:$W$7,2,FALSE),"")</f>
        <v/>
      </c>
      <c r="Y17" s="79"/>
      <c r="Z17" s="524" t="str">
        <f>IFERROR(INDEX('G-8 Condition Look up'!$A$3:$H$130,MATCH(S17,'G-8 Condition Look up'!$A$3:$A$130,0),MATCH(Y17,'G-8 Condition Look up'!$A$3:$H$3,0)),"")</f>
        <v/>
      </c>
      <c r="AA17" s="71"/>
      <c r="AB17" s="520" t="str">
        <f>IF(AA17="","",IF(VLOOKUP(AA17,'G-3 Multipliers'!$L$3:$N$6,2,FALSE)=0,"Spatial Data Missing ⚠",VLOOKUP(AA17,'G-3 Multipliers'!$L$3:$N$6,2,FALSE)))</f>
        <v/>
      </c>
      <c r="AC17" s="524" t="str">
        <f>IF(AA17="","",IF(VLOOKUP(AA17,'G-3 Multipliers'!$L$3:$N$6,3,FALSE)=0,"Spatial Data Missing ⚠",VLOOKUP(AA17,'G-3 Multipliers'!$L$3:$N$6,3,FALSE)))</f>
        <v/>
      </c>
      <c r="AD17" s="539" t="str">
        <f t="shared" si="0"/>
        <v/>
      </c>
      <c r="AE17" s="82"/>
      <c r="AF17" s="82"/>
      <c r="AG17" s="507" t="str">
        <f t="shared" si="4"/>
        <v/>
      </c>
      <c r="AH17" s="521" t="str">
        <f t="shared" si="5"/>
        <v/>
      </c>
      <c r="AI17" s="522" t="str">
        <f>IF(AH17="Check Data","Check Data",IFERROR(VLOOKUP(AH17,'G-4 Temporal multipliers'!$A$4:$C$36,3,FALSE),""))</f>
        <v/>
      </c>
      <c r="AJ17" s="498" t="str">
        <f>IF(S17="","",VLOOKUP(S17,'G-3 Multipliers'!$A$2:$E$129,4,FALSE))</f>
        <v/>
      </c>
      <c r="AK17" s="507" t="str">
        <f t="shared" si="6"/>
        <v/>
      </c>
      <c r="AL17" s="507" t="str">
        <f t="shared" si="7"/>
        <v/>
      </c>
      <c r="AM17" s="540" t="str">
        <f>IFERROR(IF(F17="","",IF(AH17="Check Data ⚠","Check Data ⚠",VLOOKUP(AL17, 'G-3 Multipliers'!$P$2:$Q$6,2,FALSE))),"")</f>
        <v/>
      </c>
      <c r="AN17" s="513" t="str">
        <f t="shared" si="8"/>
        <v/>
      </c>
      <c r="AO17" s="239"/>
      <c r="AP17" s="240"/>
    </row>
    <row r="18" spans="1:42" x14ac:dyDescent="0.3">
      <c r="A18" s="47" t="str">
        <f>IF(E18="","",IF(ISNA(VLOOKUP($E18,'A-1 Site Habitat Baseline'!$D$1:$O$258,2,FALSE)),"",(VLOOKUP($E18,'A-1 Site Habitat Baseline'!$D$1:$O$258,2,FALSE))))</f>
        <v/>
      </c>
      <c r="B18" s="47" t="str">
        <f>IF(E18="","",IF(ISNA(VLOOKUP($E18,'A-1 Site Habitat Baseline'!$D$1:$O$258,3,FALSE)),"",(VLOOKUP($E18,'A-1 Site Habitat Baseline'!$D$1:$O$258,3,FALSE))))</f>
        <v/>
      </c>
      <c r="C18" s="47" t="str">
        <f>IFERROR(INDEX('G-8 Condition Look up'!$I$4:$I$130,MATCH(S18,'G-8 Condition Look up'!$A$4:$A$130,0)),"")</f>
        <v/>
      </c>
      <c r="E18" s="531" t="str">
        <f>'A-1 Site Habitat Baseline'!AL17</f>
        <v/>
      </c>
      <c r="F18" s="520" t="str">
        <f>IF(E18="","",IF(ISNA(VLOOKUP($E18,'A-1 Site Habitat Baseline'!$D$1:$O$258,4,FALSE)),"",(VLOOKUP($E18,'A-1 Site Habitat Baseline'!$D$1:$O$258,4,FALSE))))</f>
        <v/>
      </c>
      <c r="G18" s="520" t="str">
        <f>IF(E18="","",IF(ISNA(VLOOKUP($E18,'A-1 Site Habitat Baseline'!$D$1:$O$258,5,FALSE)),"",(VLOOKUP($E18,'A-1 Site Habitat Baseline'!$D$1:$O$258,5,FALSE))))</f>
        <v/>
      </c>
      <c r="H18" s="520" t="str">
        <f>IF(E18="","",IF(ISNA(VLOOKUP($E18,'A-1 Site Habitat Baseline'!$D$1:$O$258,6,FALSE)),"",(VLOOKUP($E18,'A-1 Site Habitat Baseline'!$D$1:$O$258,6,FALSE))))</f>
        <v/>
      </c>
      <c r="I18" s="520" t="str">
        <f>IF(E18="","",IF(ISNA(VLOOKUP($E18,'A-1 Site Habitat Baseline'!$D$1:$O$258,7,FALSE)),"",(VLOOKUP($E18,'A-1 Site Habitat Baseline'!$D$1:$O$258,7,FALSE))))</f>
        <v/>
      </c>
      <c r="J18" s="520" t="str">
        <f>IF(E18="","",IF(ISNA(VLOOKUP($E18,'A-1 Site Habitat Baseline'!$D$1:$O$258,8,FALSE)),"",(VLOOKUP($E18,'A-1 Site Habitat Baseline'!$D$1:$O$258,8,FALSE))))</f>
        <v/>
      </c>
      <c r="K18" s="520" t="str">
        <f>IF(E18="","",IF(ISNA(VLOOKUP($E18,'A-1 Site Habitat Baseline'!$D$1:$O$258,9,FALSE)),"",(VLOOKUP($E18,'A-1 Site Habitat Baseline'!$D$1:$O$258,9,FALSE))))</f>
        <v/>
      </c>
      <c r="L18" s="520" t="str">
        <f>IF(E18="","",IF(ISNA(VLOOKUP($E18,'A-1 Site Habitat Baseline'!$D$1:$O$258,11,FALSE)),"",(VLOOKUP($E18,'A-1 Site Habitat Baseline'!$D$1:$O$258,11,FALSE))))</f>
        <v/>
      </c>
      <c r="M18" s="520" t="str">
        <f>IF(E18="","",IF(ISNA(VLOOKUP($E18,'A-1 Site Habitat Baseline'!$D$1:$O$258,12,FALSE)),"",(VLOOKUP($E18,'A-1 Site Habitat Baseline'!$D$1:$O$258,12,FALSE))))</f>
        <v/>
      </c>
      <c r="N18" s="532" t="str">
        <f>IF(E18="","",IF(ISNA(VLOOKUP($E18,'A-1 Site Habitat Baseline'!$D$1:$X$258,14,FALSE)),"",(VLOOKUP($E18,'A-1 Site Habitat Baseline'!$D$1:$X$258,14,FALSE))))</f>
        <v/>
      </c>
      <c r="O18" s="524" t="str">
        <f>IF(E18="","",IF(ISNA(VLOOKUP($E18,'A-1 Site Habitat Baseline'!$D$1:$X$258,16,FALSE)),"",(VLOOKUP($E18,'A-1 Site Habitat Baseline'!$D$1:$X$258,13,FALSE))))</f>
        <v/>
      </c>
      <c r="P18" s="237" t="str">
        <f>IFERROR(INDEX('G-1 All Habitats'!$AG$3:$AG$15,MATCH(Q18,'G-1 All Habitats'!$AF$3:$AF$15,0)),"")</f>
        <v/>
      </c>
      <c r="Q18" s="238" t="str">
        <f t="shared" si="9"/>
        <v/>
      </c>
      <c r="R18" s="238"/>
      <c r="S18" s="392" t="str">
        <f>IFERROR(INDEX('G-1 All Habitats'!$B$3:$B$129,MATCH(R18,'G-1 All Habitats'!$A$3:$A$129,0)),"")</f>
        <v/>
      </c>
      <c r="T18" s="498" t="str">
        <f t="shared" si="1"/>
        <v/>
      </c>
      <c r="U18" s="499" t="str">
        <f t="shared" si="2"/>
        <v/>
      </c>
      <c r="V18" s="537" t="str">
        <f t="shared" si="3"/>
        <v/>
      </c>
      <c r="W18" s="520" t="str">
        <f>IF(S18="","",VLOOKUP(S18,'G-1 All Habitats'!$B$2:$M$129,10,FALSE))</f>
        <v/>
      </c>
      <c r="X18" s="520" t="str">
        <f>IFERROR(VLOOKUP(W18,'G-1 All Habitats'!$V$3:$W$7,2,FALSE),"")</f>
        <v/>
      </c>
      <c r="Y18" s="79"/>
      <c r="Z18" s="524" t="str">
        <f>IFERROR(INDEX('G-8 Condition Look up'!$A$3:$H$130,MATCH(S18,'G-8 Condition Look up'!$A$3:$A$130,0),MATCH(Y18,'G-8 Condition Look up'!$A$3:$H$3,0)),"")</f>
        <v/>
      </c>
      <c r="AA18" s="71"/>
      <c r="AB18" s="520" t="str">
        <f>IF(AA18="","",IF(VLOOKUP(AA18,'G-3 Multipliers'!$L$3:$N$6,2,FALSE)=0,"Spatial Data Missing ⚠",VLOOKUP(AA18,'G-3 Multipliers'!$L$3:$N$6,2,FALSE)))</f>
        <v/>
      </c>
      <c r="AC18" s="524" t="str">
        <f>IF(AA18="","",IF(VLOOKUP(AA18,'G-3 Multipliers'!$L$3:$N$6,3,FALSE)=0,"Spatial Data Missing ⚠",VLOOKUP(AA18,'G-3 Multipliers'!$L$3:$N$6,3,FALSE)))</f>
        <v/>
      </c>
      <c r="AD18" s="539" t="str">
        <f t="shared" si="0"/>
        <v/>
      </c>
      <c r="AE18" s="82"/>
      <c r="AF18" s="82"/>
      <c r="AG18" s="507" t="str">
        <f t="shared" si="4"/>
        <v/>
      </c>
      <c r="AH18" s="521" t="str">
        <f t="shared" si="5"/>
        <v/>
      </c>
      <c r="AI18" s="522" t="str">
        <f>IF(AH18="Check Data","Check Data",IFERROR(VLOOKUP(AH18,'G-4 Temporal multipliers'!$A$4:$C$36,3,FALSE),""))</f>
        <v/>
      </c>
      <c r="AJ18" s="498" t="str">
        <f>IF(S18="","",VLOOKUP(S18,'G-3 Multipliers'!$A$2:$E$129,4,FALSE))</f>
        <v/>
      </c>
      <c r="AK18" s="507" t="str">
        <f t="shared" si="6"/>
        <v/>
      </c>
      <c r="AL18" s="507" t="str">
        <f t="shared" si="7"/>
        <v/>
      </c>
      <c r="AM18" s="540" t="str">
        <f>IFERROR(IF(F18="","",IF(AH18="Check Data ⚠","Check Data ⚠",VLOOKUP(AL18, 'G-3 Multipliers'!$P$2:$Q$6,2,FALSE))),"")</f>
        <v/>
      </c>
      <c r="AN18" s="513" t="str">
        <f t="shared" si="8"/>
        <v/>
      </c>
      <c r="AO18" s="239"/>
      <c r="AP18" s="240"/>
    </row>
    <row r="19" spans="1:42" x14ac:dyDescent="0.3">
      <c r="A19" s="47" t="str">
        <f>IF(E19="","",IF(ISNA(VLOOKUP($E19,'A-1 Site Habitat Baseline'!$D$1:$O$258,2,FALSE)),"",(VLOOKUP($E19,'A-1 Site Habitat Baseline'!$D$1:$O$258,2,FALSE))))</f>
        <v/>
      </c>
      <c r="B19" s="47" t="str">
        <f>IF(E19="","",IF(ISNA(VLOOKUP($E19,'A-1 Site Habitat Baseline'!$D$1:$O$258,3,FALSE)),"",(VLOOKUP($E19,'A-1 Site Habitat Baseline'!$D$1:$O$258,3,FALSE))))</f>
        <v/>
      </c>
      <c r="C19" s="47" t="str">
        <f>IFERROR(INDEX('G-8 Condition Look up'!$I$4:$I$130,MATCH(S19,'G-8 Condition Look up'!$A$4:$A$130,0)),"")</f>
        <v/>
      </c>
      <c r="E19" s="531" t="str">
        <f>'A-1 Site Habitat Baseline'!AL18</f>
        <v/>
      </c>
      <c r="F19" s="520" t="str">
        <f>IF(E19="","",IF(ISNA(VLOOKUP($E19,'A-1 Site Habitat Baseline'!$D$1:$O$258,4,FALSE)),"",(VLOOKUP($E19,'A-1 Site Habitat Baseline'!$D$1:$O$258,4,FALSE))))</f>
        <v/>
      </c>
      <c r="G19" s="520" t="str">
        <f>IF(E19="","",IF(ISNA(VLOOKUP($E19,'A-1 Site Habitat Baseline'!$D$1:$O$258,5,FALSE)),"",(VLOOKUP($E19,'A-1 Site Habitat Baseline'!$D$1:$O$258,5,FALSE))))</f>
        <v/>
      </c>
      <c r="H19" s="520" t="str">
        <f>IF(E19="","",IF(ISNA(VLOOKUP($E19,'A-1 Site Habitat Baseline'!$D$1:$O$258,6,FALSE)),"",(VLOOKUP($E19,'A-1 Site Habitat Baseline'!$D$1:$O$258,6,FALSE))))</f>
        <v/>
      </c>
      <c r="I19" s="520" t="str">
        <f>IF(E19="","",IF(ISNA(VLOOKUP($E19,'A-1 Site Habitat Baseline'!$D$1:$O$258,7,FALSE)),"",(VLOOKUP($E19,'A-1 Site Habitat Baseline'!$D$1:$O$258,7,FALSE))))</f>
        <v/>
      </c>
      <c r="J19" s="520" t="str">
        <f>IF(E19="","",IF(ISNA(VLOOKUP($E19,'A-1 Site Habitat Baseline'!$D$1:$O$258,8,FALSE)),"",(VLOOKUP($E19,'A-1 Site Habitat Baseline'!$D$1:$O$258,8,FALSE))))</f>
        <v/>
      </c>
      <c r="K19" s="520" t="str">
        <f>IF(E19="","",IF(ISNA(VLOOKUP($E19,'A-1 Site Habitat Baseline'!$D$1:$O$258,9,FALSE)),"",(VLOOKUP($E19,'A-1 Site Habitat Baseline'!$D$1:$O$258,9,FALSE))))</f>
        <v/>
      </c>
      <c r="L19" s="520" t="str">
        <f>IF(E19="","",IF(ISNA(VLOOKUP($E19,'A-1 Site Habitat Baseline'!$D$1:$O$258,11,FALSE)),"",(VLOOKUP($E19,'A-1 Site Habitat Baseline'!$D$1:$O$258,11,FALSE))))</f>
        <v/>
      </c>
      <c r="M19" s="520" t="str">
        <f>IF(E19="","",IF(ISNA(VLOOKUP($E19,'A-1 Site Habitat Baseline'!$D$1:$O$258,12,FALSE)),"",(VLOOKUP($E19,'A-1 Site Habitat Baseline'!$D$1:$O$258,12,FALSE))))</f>
        <v/>
      </c>
      <c r="N19" s="532" t="str">
        <f>IF(E19="","",IF(ISNA(VLOOKUP($E19,'A-1 Site Habitat Baseline'!$D$1:$X$258,14,FALSE)),"",(VLOOKUP($E19,'A-1 Site Habitat Baseline'!$D$1:$X$258,14,FALSE))))</f>
        <v/>
      </c>
      <c r="O19" s="524" t="str">
        <f>IF(E19="","",IF(ISNA(VLOOKUP($E19,'A-1 Site Habitat Baseline'!$D$1:$X$258,16,FALSE)),"",(VLOOKUP($E19,'A-1 Site Habitat Baseline'!$D$1:$X$258,13,FALSE))))</f>
        <v/>
      </c>
      <c r="P19" s="237" t="str">
        <f>IFERROR(INDEX('G-1 All Habitats'!$AG$3:$AG$15,MATCH(Q19,'G-1 All Habitats'!$AF$3:$AF$15,0)),"")</f>
        <v/>
      </c>
      <c r="Q19" s="238" t="str">
        <f t="shared" si="9"/>
        <v/>
      </c>
      <c r="R19" s="238"/>
      <c r="S19" s="392" t="str">
        <f>IFERROR(INDEX('G-1 All Habitats'!$B$3:$B$129,MATCH(R19,'G-1 All Habitats'!$A$3:$A$129,0)),"")</f>
        <v/>
      </c>
      <c r="T19" s="498" t="str">
        <f t="shared" si="1"/>
        <v/>
      </c>
      <c r="U19" s="499" t="str">
        <f t="shared" si="2"/>
        <v/>
      </c>
      <c r="V19" s="537" t="str">
        <f t="shared" si="3"/>
        <v/>
      </c>
      <c r="W19" s="520" t="str">
        <f>IF(S19="","",VLOOKUP(S19,'G-1 All Habitats'!$B$2:$M$129,10,FALSE))</f>
        <v/>
      </c>
      <c r="X19" s="520" t="str">
        <f>IFERROR(VLOOKUP(W19,'G-1 All Habitats'!$V$3:$W$7,2,FALSE),"")</f>
        <v/>
      </c>
      <c r="Y19" s="79"/>
      <c r="Z19" s="524" t="str">
        <f>IFERROR(INDEX('G-8 Condition Look up'!$A$3:$H$130,MATCH(S19,'G-8 Condition Look up'!$A$3:$A$130,0),MATCH(Y19,'G-8 Condition Look up'!$A$3:$H$3,0)),"")</f>
        <v/>
      </c>
      <c r="AA19" s="71"/>
      <c r="AB19" s="520" t="str">
        <f>IF(AA19="","",IF(VLOOKUP(AA19,'G-3 Multipliers'!$L$3:$N$6,2,FALSE)=0,"Spatial Data Missing ⚠",VLOOKUP(AA19,'G-3 Multipliers'!$L$3:$N$6,2,FALSE)))</f>
        <v/>
      </c>
      <c r="AC19" s="524" t="str">
        <f>IF(AA19="","",IF(VLOOKUP(AA19,'G-3 Multipliers'!$L$3:$N$6,3,FALSE)=0,"Spatial Data Missing ⚠",VLOOKUP(AA19,'G-3 Multipliers'!$L$3:$N$6,3,FALSE)))</f>
        <v/>
      </c>
      <c r="AD19" s="539" t="str">
        <f t="shared" si="0"/>
        <v/>
      </c>
      <c r="AE19" s="82"/>
      <c r="AF19" s="82"/>
      <c r="AG19" s="507" t="str">
        <f t="shared" si="4"/>
        <v/>
      </c>
      <c r="AH19" s="521" t="str">
        <f t="shared" si="5"/>
        <v/>
      </c>
      <c r="AI19" s="522" t="str">
        <f>IF(AH19="Check Data","Check Data",IFERROR(VLOOKUP(AH19,'G-4 Temporal multipliers'!$A$4:$C$36,3,FALSE),""))</f>
        <v/>
      </c>
      <c r="AJ19" s="498" t="str">
        <f>IF(S19="","",VLOOKUP(S19,'G-3 Multipliers'!$A$2:$E$129,4,FALSE))</f>
        <v/>
      </c>
      <c r="AK19" s="507" t="str">
        <f t="shared" si="6"/>
        <v/>
      </c>
      <c r="AL19" s="507" t="str">
        <f t="shared" si="7"/>
        <v/>
      </c>
      <c r="AM19" s="540" t="str">
        <f>IFERROR(IF(F19="","",IF(AH19="Check Data ⚠","Check Data ⚠",VLOOKUP(AL19, 'G-3 Multipliers'!$P$2:$Q$6,2,FALSE))),"")</f>
        <v/>
      </c>
      <c r="AN19" s="513" t="str">
        <f t="shared" si="8"/>
        <v/>
      </c>
      <c r="AO19" s="239"/>
      <c r="AP19" s="240"/>
    </row>
    <row r="20" spans="1:42" x14ac:dyDescent="0.3">
      <c r="A20" s="47" t="str">
        <f>IF(E20="","",IF(ISNA(VLOOKUP($E20,'A-1 Site Habitat Baseline'!$D$1:$O$258,2,FALSE)),"",(VLOOKUP($E20,'A-1 Site Habitat Baseline'!$D$1:$O$258,2,FALSE))))</f>
        <v/>
      </c>
      <c r="B20" s="47" t="str">
        <f>IF(E20="","",IF(ISNA(VLOOKUP($E20,'A-1 Site Habitat Baseline'!$D$1:$O$258,3,FALSE)),"",(VLOOKUP($E20,'A-1 Site Habitat Baseline'!$D$1:$O$258,3,FALSE))))</f>
        <v/>
      </c>
      <c r="C20" s="47" t="str">
        <f>IFERROR(INDEX('G-8 Condition Look up'!$I$4:$I$130,MATCH(S20,'G-8 Condition Look up'!$A$4:$A$130,0)),"")</f>
        <v/>
      </c>
      <c r="E20" s="531" t="str">
        <f>'A-1 Site Habitat Baseline'!AL19</f>
        <v/>
      </c>
      <c r="F20" s="520" t="str">
        <f>IF(E20="","",IF(ISNA(VLOOKUP($E20,'A-1 Site Habitat Baseline'!$D$1:$O$258,4,FALSE)),"",(VLOOKUP($E20,'A-1 Site Habitat Baseline'!$D$1:$O$258,4,FALSE))))</f>
        <v/>
      </c>
      <c r="G20" s="520" t="str">
        <f>IF(E20="","",IF(ISNA(VLOOKUP($E20,'A-1 Site Habitat Baseline'!$D$1:$O$258,5,FALSE)),"",(VLOOKUP($E20,'A-1 Site Habitat Baseline'!$D$1:$O$258,5,FALSE))))</f>
        <v/>
      </c>
      <c r="H20" s="520" t="str">
        <f>IF(E20="","",IF(ISNA(VLOOKUP($E20,'A-1 Site Habitat Baseline'!$D$1:$O$258,6,FALSE)),"",(VLOOKUP($E20,'A-1 Site Habitat Baseline'!$D$1:$O$258,6,FALSE))))</f>
        <v/>
      </c>
      <c r="I20" s="520" t="str">
        <f>IF(E20="","",IF(ISNA(VLOOKUP($E20,'A-1 Site Habitat Baseline'!$D$1:$O$258,7,FALSE)),"",(VLOOKUP($E20,'A-1 Site Habitat Baseline'!$D$1:$O$258,7,FALSE))))</f>
        <v/>
      </c>
      <c r="J20" s="520" t="str">
        <f>IF(E20="","",IF(ISNA(VLOOKUP($E20,'A-1 Site Habitat Baseline'!$D$1:$O$258,8,FALSE)),"",(VLOOKUP($E20,'A-1 Site Habitat Baseline'!$D$1:$O$258,8,FALSE))))</f>
        <v/>
      </c>
      <c r="K20" s="520" t="str">
        <f>IF(E20="","",IF(ISNA(VLOOKUP($E20,'A-1 Site Habitat Baseline'!$D$1:$O$258,9,FALSE)),"",(VLOOKUP($E20,'A-1 Site Habitat Baseline'!$D$1:$O$258,9,FALSE))))</f>
        <v/>
      </c>
      <c r="L20" s="520" t="str">
        <f>IF(E20="","",IF(ISNA(VLOOKUP($E20,'A-1 Site Habitat Baseline'!$D$1:$O$258,11,FALSE)),"",(VLOOKUP($E20,'A-1 Site Habitat Baseline'!$D$1:$O$258,11,FALSE))))</f>
        <v/>
      </c>
      <c r="M20" s="520" t="str">
        <f>IF(E20="","",IF(ISNA(VLOOKUP($E20,'A-1 Site Habitat Baseline'!$D$1:$O$258,12,FALSE)),"",(VLOOKUP($E20,'A-1 Site Habitat Baseline'!$D$1:$O$258,12,FALSE))))</f>
        <v/>
      </c>
      <c r="N20" s="532" t="str">
        <f>IF(E20="","",IF(ISNA(VLOOKUP($E20,'A-1 Site Habitat Baseline'!$D$1:$X$258,14,FALSE)),"",(VLOOKUP($E20,'A-1 Site Habitat Baseline'!$D$1:$X$258,14,FALSE))))</f>
        <v/>
      </c>
      <c r="O20" s="524" t="str">
        <f>IF(E20="","",IF(ISNA(VLOOKUP($E20,'A-1 Site Habitat Baseline'!$D$1:$X$258,16,FALSE)),"",(VLOOKUP($E20,'A-1 Site Habitat Baseline'!$D$1:$X$258,13,FALSE))))</f>
        <v/>
      </c>
      <c r="P20" s="237" t="str">
        <f>IFERROR(INDEX('G-1 All Habitats'!$AG$3:$AG$15,MATCH(Q20,'G-1 All Habitats'!$AF$3:$AF$15,0)),"")</f>
        <v/>
      </c>
      <c r="Q20" s="238" t="str">
        <f t="shared" si="9"/>
        <v/>
      </c>
      <c r="R20" s="238"/>
      <c r="S20" s="392" t="str">
        <f>IFERROR(INDEX('G-1 All Habitats'!$B$3:$B$129,MATCH(R20,'G-1 All Habitats'!$A$3:$A$129,0)),"")</f>
        <v/>
      </c>
      <c r="T20" s="498" t="str">
        <f t="shared" si="1"/>
        <v/>
      </c>
      <c r="U20" s="499" t="str">
        <f t="shared" si="2"/>
        <v/>
      </c>
      <c r="V20" s="537" t="str">
        <f t="shared" si="3"/>
        <v/>
      </c>
      <c r="W20" s="520" t="str">
        <f>IF(S20="","",VLOOKUP(S20,'G-1 All Habitats'!$B$2:$M$129,10,FALSE))</f>
        <v/>
      </c>
      <c r="X20" s="520" t="str">
        <f>IFERROR(VLOOKUP(W20,'G-1 All Habitats'!$V$3:$W$7,2,FALSE),"")</f>
        <v/>
      </c>
      <c r="Y20" s="79"/>
      <c r="Z20" s="524" t="str">
        <f>IFERROR(INDEX('G-8 Condition Look up'!$A$3:$H$130,MATCH(S20,'G-8 Condition Look up'!$A$3:$A$130,0),MATCH(Y20,'G-8 Condition Look up'!$A$3:$H$3,0)),"")</f>
        <v/>
      </c>
      <c r="AA20" s="71"/>
      <c r="AB20" s="520" t="str">
        <f>IF(AA20="","",IF(VLOOKUP(AA20,'G-3 Multipliers'!$L$3:$N$6,2,FALSE)=0,"Spatial Data Missing ⚠",VLOOKUP(AA20,'G-3 Multipliers'!$L$3:$N$6,2,FALSE)))</f>
        <v/>
      </c>
      <c r="AC20" s="524" t="str">
        <f>IF(AA20="","",IF(VLOOKUP(AA20,'G-3 Multipliers'!$L$3:$N$6,3,FALSE)=0,"Spatial Data Missing ⚠",VLOOKUP(AA20,'G-3 Multipliers'!$L$3:$N$6,3,FALSE)))</f>
        <v/>
      </c>
      <c r="AD20" s="539" t="str">
        <f t="shared" si="0"/>
        <v/>
      </c>
      <c r="AE20" s="82"/>
      <c r="AF20" s="82"/>
      <c r="AG20" s="507" t="str">
        <f t="shared" si="4"/>
        <v/>
      </c>
      <c r="AH20" s="521" t="str">
        <f t="shared" si="5"/>
        <v/>
      </c>
      <c r="AI20" s="522" t="str">
        <f>IF(AH20="Check Data","Check Data",IFERROR(VLOOKUP(AH20,'G-4 Temporal multipliers'!$A$4:$C$36,3,FALSE),""))</f>
        <v/>
      </c>
      <c r="AJ20" s="498" t="str">
        <f>IF(S20="","",VLOOKUP(S20,'G-3 Multipliers'!$A$2:$E$129,4,FALSE))</f>
        <v/>
      </c>
      <c r="AK20" s="507" t="str">
        <f t="shared" si="6"/>
        <v/>
      </c>
      <c r="AL20" s="507" t="str">
        <f t="shared" si="7"/>
        <v/>
      </c>
      <c r="AM20" s="540" t="str">
        <f>IFERROR(IF(F20="","",IF(AH20="Check Data ⚠","Check Data ⚠",VLOOKUP(AL20, 'G-3 Multipliers'!$P$2:$Q$6,2,FALSE))),"")</f>
        <v/>
      </c>
      <c r="AN20" s="513" t="str">
        <f t="shared" si="8"/>
        <v/>
      </c>
      <c r="AO20" s="239"/>
      <c r="AP20" s="240"/>
    </row>
    <row r="21" spans="1:42" x14ac:dyDescent="0.3">
      <c r="A21" s="47" t="str">
        <f>IF(E21="","",IF(ISNA(VLOOKUP($E21,'A-1 Site Habitat Baseline'!$D$1:$O$258,2,FALSE)),"",(VLOOKUP($E21,'A-1 Site Habitat Baseline'!$D$1:$O$258,2,FALSE))))</f>
        <v/>
      </c>
      <c r="B21" s="47" t="str">
        <f>IF(E21="","",IF(ISNA(VLOOKUP($E21,'A-1 Site Habitat Baseline'!$D$1:$O$258,3,FALSE)),"",(VLOOKUP($E21,'A-1 Site Habitat Baseline'!$D$1:$O$258,3,FALSE))))</f>
        <v/>
      </c>
      <c r="C21" s="47" t="str">
        <f>IFERROR(INDEX('G-8 Condition Look up'!$I$4:$I$130,MATCH(S21,'G-8 Condition Look up'!$A$4:$A$130,0)),"")</f>
        <v/>
      </c>
      <c r="E21" s="531" t="str">
        <f>'A-1 Site Habitat Baseline'!AL20</f>
        <v/>
      </c>
      <c r="F21" s="520" t="str">
        <f>IF(E21="","",IF(ISNA(VLOOKUP($E21,'A-1 Site Habitat Baseline'!$D$1:$O$258,4,FALSE)),"",(VLOOKUP($E21,'A-1 Site Habitat Baseline'!$D$1:$O$258,4,FALSE))))</f>
        <v/>
      </c>
      <c r="G21" s="520" t="str">
        <f>IF(E21="","",IF(ISNA(VLOOKUP($E21,'A-1 Site Habitat Baseline'!$D$1:$O$258,5,FALSE)),"",(VLOOKUP($E21,'A-1 Site Habitat Baseline'!$D$1:$O$258,5,FALSE))))</f>
        <v/>
      </c>
      <c r="H21" s="520" t="str">
        <f>IF(E21="","",IF(ISNA(VLOOKUP($E21,'A-1 Site Habitat Baseline'!$D$1:$O$258,6,FALSE)),"",(VLOOKUP($E21,'A-1 Site Habitat Baseline'!$D$1:$O$258,6,FALSE))))</f>
        <v/>
      </c>
      <c r="I21" s="520" t="str">
        <f>IF(E21="","",IF(ISNA(VLOOKUP($E21,'A-1 Site Habitat Baseline'!$D$1:$O$258,7,FALSE)),"",(VLOOKUP($E21,'A-1 Site Habitat Baseline'!$D$1:$O$258,7,FALSE))))</f>
        <v/>
      </c>
      <c r="J21" s="520" t="str">
        <f>IF(E21="","",IF(ISNA(VLOOKUP($E21,'A-1 Site Habitat Baseline'!$D$1:$O$258,8,FALSE)),"",(VLOOKUP($E21,'A-1 Site Habitat Baseline'!$D$1:$O$258,8,FALSE))))</f>
        <v/>
      </c>
      <c r="K21" s="520" t="str">
        <f>IF(E21="","",IF(ISNA(VLOOKUP($E21,'A-1 Site Habitat Baseline'!$D$1:$O$258,9,FALSE)),"",(VLOOKUP($E21,'A-1 Site Habitat Baseline'!$D$1:$O$258,9,FALSE))))</f>
        <v/>
      </c>
      <c r="L21" s="520" t="str">
        <f>IF(E21="","",IF(ISNA(VLOOKUP($E21,'A-1 Site Habitat Baseline'!$D$1:$O$258,11,FALSE)),"",(VLOOKUP($E21,'A-1 Site Habitat Baseline'!$D$1:$O$258,11,FALSE))))</f>
        <v/>
      </c>
      <c r="M21" s="520" t="str">
        <f>IF(E21="","",IF(ISNA(VLOOKUP($E21,'A-1 Site Habitat Baseline'!$D$1:$O$258,12,FALSE)),"",(VLOOKUP($E21,'A-1 Site Habitat Baseline'!$D$1:$O$258,12,FALSE))))</f>
        <v/>
      </c>
      <c r="N21" s="532" t="str">
        <f>IF(E21="","",IF(ISNA(VLOOKUP($E21,'A-1 Site Habitat Baseline'!$D$1:$X$258,14,FALSE)),"",(VLOOKUP($E21,'A-1 Site Habitat Baseline'!$D$1:$X$258,14,FALSE))))</f>
        <v/>
      </c>
      <c r="O21" s="524" t="str">
        <f>IF(E21="","",IF(ISNA(VLOOKUP($E21,'A-1 Site Habitat Baseline'!$D$1:$X$258,16,FALSE)),"",(VLOOKUP($E21,'A-1 Site Habitat Baseline'!$D$1:$X$258,13,FALSE))))</f>
        <v/>
      </c>
      <c r="P21" s="237" t="str">
        <f>IFERROR(INDEX('G-1 All Habitats'!$AG$3:$AG$15,MATCH(Q21,'G-1 All Habitats'!$AF$3:$AF$15,0)),"")</f>
        <v/>
      </c>
      <c r="Q21" s="238" t="str">
        <f t="shared" si="9"/>
        <v/>
      </c>
      <c r="R21" s="238"/>
      <c r="S21" s="392" t="str">
        <f>IFERROR(INDEX('G-1 All Habitats'!$B$3:$B$129,MATCH(R21,'G-1 All Habitats'!$A$3:$A$129,0)),"")</f>
        <v/>
      </c>
      <c r="T21" s="498" t="str">
        <f t="shared" si="1"/>
        <v/>
      </c>
      <c r="U21" s="499" t="str">
        <f t="shared" si="2"/>
        <v/>
      </c>
      <c r="V21" s="537" t="str">
        <f t="shared" si="3"/>
        <v/>
      </c>
      <c r="W21" s="520" t="str">
        <f>IF(S21="","",VLOOKUP(S21,'G-1 All Habitats'!$B$2:$M$129,10,FALSE))</f>
        <v/>
      </c>
      <c r="X21" s="520" t="str">
        <f>IFERROR(VLOOKUP(W21,'G-1 All Habitats'!$V$3:$W$7,2,FALSE),"")</f>
        <v/>
      </c>
      <c r="Y21" s="79"/>
      <c r="Z21" s="524" t="str">
        <f>IFERROR(INDEX('G-8 Condition Look up'!$A$3:$H$130,MATCH(S21,'G-8 Condition Look up'!$A$3:$A$130,0),MATCH(Y21,'G-8 Condition Look up'!$A$3:$H$3,0)),"")</f>
        <v/>
      </c>
      <c r="AA21" s="71"/>
      <c r="AB21" s="520" t="str">
        <f>IF(AA21="","",IF(VLOOKUP(AA21,'G-3 Multipliers'!$L$3:$N$6,2,FALSE)=0,"Spatial Data Missing ⚠",VLOOKUP(AA21,'G-3 Multipliers'!$L$3:$N$6,2,FALSE)))</f>
        <v/>
      </c>
      <c r="AC21" s="524" t="str">
        <f>IF(AA21="","",IF(VLOOKUP(AA21,'G-3 Multipliers'!$L$3:$N$6,3,FALSE)=0,"Spatial Data Missing ⚠",VLOOKUP(AA21,'G-3 Multipliers'!$L$3:$N$6,3,FALSE)))</f>
        <v/>
      </c>
      <c r="AD21" s="539" t="str">
        <f t="shared" si="0"/>
        <v/>
      </c>
      <c r="AE21" s="82"/>
      <c r="AF21" s="82"/>
      <c r="AG21" s="507" t="str">
        <f t="shared" si="4"/>
        <v/>
      </c>
      <c r="AH21" s="521" t="str">
        <f t="shared" si="5"/>
        <v/>
      </c>
      <c r="AI21" s="522" t="str">
        <f>IF(AH21="Check Data","Check Data",IFERROR(VLOOKUP(AH21,'G-4 Temporal multipliers'!$A$4:$C$36,3,FALSE),""))</f>
        <v/>
      </c>
      <c r="AJ21" s="498" t="str">
        <f>IF(S21="","",VLOOKUP(S21,'G-3 Multipliers'!$A$2:$E$129,4,FALSE))</f>
        <v/>
      </c>
      <c r="AK21" s="507" t="str">
        <f t="shared" si="6"/>
        <v/>
      </c>
      <c r="AL21" s="507" t="str">
        <f t="shared" si="7"/>
        <v/>
      </c>
      <c r="AM21" s="540" t="str">
        <f>IFERROR(IF(F21="","",IF(AH21="Check Data ⚠","Check Data ⚠",VLOOKUP(AL21, 'G-3 Multipliers'!$P$2:$Q$6,2,FALSE))),"")</f>
        <v/>
      </c>
      <c r="AN21" s="513" t="str">
        <f t="shared" si="8"/>
        <v/>
      </c>
      <c r="AO21" s="239"/>
      <c r="AP21" s="240"/>
    </row>
    <row r="22" spans="1:42" x14ac:dyDescent="0.3">
      <c r="A22" s="47" t="str">
        <f>IF(E22="","",IF(ISNA(VLOOKUP($E22,'A-1 Site Habitat Baseline'!$D$1:$O$258,2,FALSE)),"",(VLOOKUP($E22,'A-1 Site Habitat Baseline'!$D$1:$O$258,2,FALSE))))</f>
        <v/>
      </c>
      <c r="B22" s="47" t="str">
        <f>IF(E22="","",IF(ISNA(VLOOKUP($E22,'A-1 Site Habitat Baseline'!$D$1:$O$258,3,FALSE)),"",(VLOOKUP($E22,'A-1 Site Habitat Baseline'!$D$1:$O$258,3,FALSE))))</f>
        <v/>
      </c>
      <c r="C22" s="47" t="str">
        <f>IFERROR(INDEX('G-8 Condition Look up'!$I$4:$I$130,MATCH(S22,'G-8 Condition Look up'!$A$4:$A$130,0)),"")</f>
        <v/>
      </c>
      <c r="E22" s="531" t="str">
        <f>'A-1 Site Habitat Baseline'!AL21</f>
        <v/>
      </c>
      <c r="F22" s="520" t="str">
        <f>IF(E22="","",IF(ISNA(VLOOKUP($E22,'A-1 Site Habitat Baseline'!$D$1:$O$258,4,FALSE)),"",(VLOOKUP($E22,'A-1 Site Habitat Baseline'!$D$1:$O$258,4,FALSE))))</f>
        <v/>
      </c>
      <c r="G22" s="520" t="str">
        <f>IF(E22="","",IF(ISNA(VLOOKUP($E22,'A-1 Site Habitat Baseline'!$D$1:$O$258,5,FALSE)),"",(VLOOKUP($E22,'A-1 Site Habitat Baseline'!$D$1:$O$258,5,FALSE))))</f>
        <v/>
      </c>
      <c r="H22" s="520" t="str">
        <f>IF(E22="","",IF(ISNA(VLOOKUP($E22,'A-1 Site Habitat Baseline'!$D$1:$O$258,6,FALSE)),"",(VLOOKUP($E22,'A-1 Site Habitat Baseline'!$D$1:$O$258,6,FALSE))))</f>
        <v/>
      </c>
      <c r="I22" s="520" t="str">
        <f>IF(E22="","",IF(ISNA(VLOOKUP($E22,'A-1 Site Habitat Baseline'!$D$1:$O$258,7,FALSE)),"",(VLOOKUP($E22,'A-1 Site Habitat Baseline'!$D$1:$O$258,7,FALSE))))</f>
        <v/>
      </c>
      <c r="J22" s="520" t="str">
        <f>IF(E22="","",IF(ISNA(VLOOKUP($E22,'A-1 Site Habitat Baseline'!$D$1:$O$258,8,FALSE)),"",(VLOOKUP($E22,'A-1 Site Habitat Baseline'!$D$1:$O$258,8,FALSE))))</f>
        <v/>
      </c>
      <c r="K22" s="520" t="str">
        <f>IF(E22="","",IF(ISNA(VLOOKUP($E22,'A-1 Site Habitat Baseline'!$D$1:$O$258,9,FALSE)),"",(VLOOKUP($E22,'A-1 Site Habitat Baseline'!$D$1:$O$258,9,FALSE))))</f>
        <v/>
      </c>
      <c r="L22" s="520" t="str">
        <f>IF(E22="","",IF(ISNA(VLOOKUP($E22,'A-1 Site Habitat Baseline'!$D$1:$O$258,11,FALSE)),"",(VLOOKUP($E22,'A-1 Site Habitat Baseline'!$D$1:$O$258,11,FALSE))))</f>
        <v/>
      </c>
      <c r="M22" s="520" t="str">
        <f>IF(E22="","",IF(ISNA(VLOOKUP($E22,'A-1 Site Habitat Baseline'!$D$1:$O$258,12,FALSE)),"",(VLOOKUP($E22,'A-1 Site Habitat Baseline'!$D$1:$O$258,12,FALSE))))</f>
        <v/>
      </c>
      <c r="N22" s="532" t="str">
        <f>IF(E22="","",IF(ISNA(VLOOKUP($E22,'A-1 Site Habitat Baseline'!$D$1:$X$258,14,FALSE)),"",(VLOOKUP($E22,'A-1 Site Habitat Baseline'!$D$1:$X$258,14,FALSE))))</f>
        <v/>
      </c>
      <c r="O22" s="524" t="str">
        <f>IF(E22="","",IF(ISNA(VLOOKUP($E22,'A-1 Site Habitat Baseline'!$D$1:$X$258,16,FALSE)),"",(VLOOKUP($E22,'A-1 Site Habitat Baseline'!$D$1:$X$258,13,FALSE))))</f>
        <v/>
      </c>
      <c r="P22" s="237" t="str">
        <f>IFERROR(INDEX('G-1 All Habitats'!$AG$3:$AG$15,MATCH(Q22,'G-1 All Habitats'!$AF$3:$AF$15,0)),"")</f>
        <v/>
      </c>
      <c r="Q22" s="238" t="str">
        <f t="shared" si="9"/>
        <v/>
      </c>
      <c r="R22" s="238" t="str">
        <f t="shared" ref="R22:R76" si="10">IF(B22="","",B22)</f>
        <v/>
      </c>
      <c r="S22" s="392" t="str">
        <f>IFERROR(INDEX('G-1 All Habitats'!$B$3:$B$129,MATCH(R22,'G-1 All Habitats'!$A$3:$A$129,0)),"")</f>
        <v/>
      </c>
      <c r="T22" s="498" t="str">
        <f t="shared" si="1"/>
        <v/>
      </c>
      <c r="U22" s="499" t="str">
        <f t="shared" si="2"/>
        <v/>
      </c>
      <c r="V22" s="537" t="str">
        <f t="shared" si="3"/>
        <v/>
      </c>
      <c r="W22" s="520" t="str">
        <f>IF(S22="","",VLOOKUP(S22,'G-1 All Habitats'!$B$2:$M$129,10,FALSE))</f>
        <v/>
      </c>
      <c r="X22" s="520" t="str">
        <f>IFERROR(VLOOKUP(W22,'G-1 All Habitats'!$V$3:$W$7,2,FALSE),"")</f>
        <v/>
      </c>
      <c r="Y22" s="79"/>
      <c r="Z22" s="524" t="str">
        <f>IFERROR(INDEX('G-8 Condition Look up'!$A$3:$H$130,MATCH(S22,'G-8 Condition Look up'!$A$3:$A$130,0),MATCH(Y22,'G-8 Condition Look up'!$A$3:$H$3,0)),"")</f>
        <v/>
      </c>
      <c r="AA22" s="71"/>
      <c r="AB22" s="520" t="str">
        <f>IF(AA22="","",IF(VLOOKUP(AA22,'G-3 Multipliers'!$L$3:$N$6,2,FALSE)=0,"Spatial Data Missing ⚠",VLOOKUP(AA22,'G-3 Multipliers'!$L$3:$N$6,2,FALSE)))</f>
        <v/>
      </c>
      <c r="AC22" s="524" t="str">
        <f>IF(AA22="","",IF(VLOOKUP(AA22,'G-3 Multipliers'!$L$3:$N$6,3,FALSE)=0,"Spatial Data Missing ⚠",VLOOKUP(AA22,'G-3 Multipliers'!$L$3:$N$6,3,FALSE)))</f>
        <v/>
      </c>
      <c r="AD22" s="539" t="str">
        <f t="shared" si="0"/>
        <v/>
      </c>
      <c r="AE22" s="82"/>
      <c r="AF22" s="82"/>
      <c r="AG22" s="507" t="str">
        <f t="shared" si="4"/>
        <v/>
      </c>
      <c r="AH22" s="521" t="str">
        <f t="shared" si="5"/>
        <v/>
      </c>
      <c r="AI22" s="522" t="str">
        <f>IF(AH22="Check Data","Check Data",IFERROR(VLOOKUP(AH22,'G-4 Temporal multipliers'!$A$4:$C$36,3,FALSE),""))</f>
        <v/>
      </c>
      <c r="AJ22" s="498" t="str">
        <f>IF(S22="","",VLOOKUP(S22,'G-3 Multipliers'!$A$2:$E$129,4,FALSE))</f>
        <v/>
      </c>
      <c r="AK22" s="507" t="str">
        <f t="shared" si="6"/>
        <v/>
      </c>
      <c r="AL22" s="507" t="str">
        <f t="shared" si="7"/>
        <v/>
      </c>
      <c r="AM22" s="540" t="str">
        <f>IFERROR(IF(F22="","",IF(AH22="Check Data ⚠","Check Data ⚠",VLOOKUP(AL22, 'G-3 Multipliers'!$P$2:$Q$6,2,FALSE))),"")</f>
        <v/>
      </c>
      <c r="AN22" s="513" t="str">
        <f t="shared" si="8"/>
        <v/>
      </c>
      <c r="AO22" s="239"/>
      <c r="AP22" s="240"/>
    </row>
    <row r="23" spans="1:42" x14ac:dyDescent="0.3">
      <c r="A23" s="47" t="str">
        <f>IF(E23="","",IF(ISNA(VLOOKUP($E23,'A-1 Site Habitat Baseline'!$D$1:$O$258,2,FALSE)),"",(VLOOKUP($E23,'A-1 Site Habitat Baseline'!$D$1:$O$258,2,FALSE))))</f>
        <v/>
      </c>
      <c r="B23" s="47" t="str">
        <f>IF(E23="","",IF(ISNA(VLOOKUP($E23,'A-1 Site Habitat Baseline'!$D$1:$O$258,3,FALSE)),"",(VLOOKUP($E23,'A-1 Site Habitat Baseline'!$D$1:$O$258,3,FALSE))))</f>
        <v/>
      </c>
      <c r="C23" s="47" t="str">
        <f>IFERROR(INDEX('G-8 Condition Look up'!$I$4:$I$130,MATCH(S23,'G-8 Condition Look up'!$A$4:$A$130,0)),"")</f>
        <v/>
      </c>
      <c r="E23" s="531" t="str">
        <f>'A-1 Site Habitat Baseline'!AL22</f>
        <v/>
      </c>
      <c r="F23" s="520" t="str">
        <f>IF(E23="","",IF(ISNA(VLOOKUP($E23,'A-1 Site Habitat Baseline'!$D$1:$O$258,4,FALSE)),"",(VLOOKUP($E23,'A-1 Site Habitat Baseline'!$D$1:$O$258,4,FALSE))))</f>
        <v/>
      </c>
      <c r="G23" s="520" t="str">
        <f>IF(E23="","",IF(ISNA(VLOOKUP($E23,'A-1 Site Habitat Baseline'!$D$1:$O$258,5,FALSE)),"",(VLOOKUP($E23,'A-1 Site Habitat Baseline'!$D$1:$O$258,5,FALSE))))</f>
        <v/>
      </c>
      <c r="H23" s="520" t="str">
        <f>IF(E23="","",IF(ISNA(VLOOKUP($E23,'A-1 Site Habitat Baseline'!$D$1:$O$258,6,FALSE)),"",(VLOOKUP($E23,'A-1 Site Habitat Baseline'!$D$1:$O$258,6,FALSE))))</f>
        <v/>
      </c>
      <c r="I23" s="520" t="str">
        <f>IF(E23="","",IF(ISNA(VLOOKUP($E23,'A-1 Site Habitat Baseline'!$D$1:$O$258,7,FALSE)),"",(VLOOKUP($E23,'A-1 Site Habitat Baseline'!$D$1:$O$258,7,FALSE))))</f>
        <v/>
      </c>
      <c r="J23" s="520" t="str">
        <f>IF(E23="","",IF(ISNA(VLOOKUP($E23,'A-1 Site Habitat Baseline'!$D$1:$O$258,8,FALSE)),"",(VLOOKUP($E23,'A-1 Site Habitat Baseline'!$D$1:$O$258,8,FALSE))))</f>
        <v/>
      </c>
      <c r="K23" s="520" t="str">
        <f>IF(E23="","",IF(ISNA(VLOOKUP($E23,'A-1 Site Habitat Baseline'!$D$1:$O$258,9,FALSE)),"",(VLOOKUP($E23,'A-1 Site Habitat Baseline'!$D$1:$O$258,9,FALSE))))</f>
        <v/>
      </c>
      <c r="L23" s="520" t="str">
        <f>IF(E23="","",IF(ISNA(VLOOKUP($E23,'A-1 Site Habitat Baseline'!$D$1:$O$258,11,FALSE)),"",(VLOOKUP($E23,'A-1 Site Habitat Baseline'!$D$1:$O$258,11,FALSE))))</f>
        <v/>
      </c>
      <c r="M23" s="520" t="str">
        <f>IF(E23="","",IF(ISNA(VLOOKUP($E23,'A-1 Site Habitat Baseline'!$D$1:$O$258,12,FALSE)),"",(VLOOKUP($E23,'A-1 Site Habitat Baseline'!$D$1:$O$258,12,FALSE))))</f>
        <v/>
      </c>
      <c r="N23" s="532" t="str">
        <f>IF(E23="","",IF(ISNA(VLOOKUP($E23,'A-1 Site Habitat Baseline'!$D$1:$X$258,14,FALSE)),"",(VLOOKUP($E23,'A-1 Site Habitat Baseline'!$D$1:$X$258,14,FALSE))))</f>
        <v/>
      </c>
      <c r="O23" s="524" t="str">
        <f>IF(E23="","",IF(ISNA(VLOOKUP($E23,'A-1 Site Habitat Baseline'!$D$1:$X$258,16,FALSE)),"",(VLOOKUP($E23,'A-1 Site Habitat Baseline'!$D$1:$X$258,13,FALSE))))</f>
        <v/>
      </c>
      <c r="P23" s="237" t="str">
        <f>IFERROR(INDEX('G-1 All Habitats'!$AG$3:$AG$15,MATCH(Q23,'G-1 All Habitats'!$AF$3:$AF$15,0)),"")</f>
        <v/>
      </c>
      <c r="Q23" s="238" t="str">
        <f t="shared" si="9"/>
        <v/>
      </c>
      <c r="R23" s="238" t="str">
        <f t="shared" si="10"/>
        <v/>
      </c>
      <c r="S23" s="392" t="str">
        <f>IFERROR(INDEX('G-1 All Habitats'!$B$3:$B$129,MATCH(R23,'G-1 All Habitats'!$A$3:$A$129,0)),"")</f>
        <v/>
      </c>
      <c r="T23" s="498" t="str">
        <f t="shared" si="1"/>
        <v/>
      </c>
      <c r="U23" s="499" t="str">
        <f t="shared" si="2"/>
        <v/>
      </c>
      <c r="V23" s="537" t="str">
        <f t="shared" si="3"/>
        <v/>
      </c>
      <c r="W23" s="520" t="str">
        <f>IF(S23="","",VLOOKUP(S23,'G-1 All Habitats'!$B$2:$M$129,10,FALSE))</f>
        <v/>
      </c>
      <c r="X23" s="520" t="str">
        <f>IFERROR(VLOOKUP(W23,'G-1 All Habitats'!$V$3:$W$7,2,FALSE),"")</f>
        <v/>
      </c>
      <c r="Y23" s="79"/>
      <c r="Z23" s="524" t="str">
        <f>IFERROR(INDEX('G-8 Condition Look up'!$A$3:$H$130,MATCH(S23,'G-8 Condition Look up'!$A$3:$A$130,0),MATCH(Y23,'G-8 Condition Look up'!$A$3:$H$3,0)),"")</f>
        <v/>
      </c>
      <c r="AA23" s="71"/>
      <c r="AB23" s="520" t="str">
        <f>IF(AA23="","",IF(VLOOKUP(AA23,'G-3 Multipliers'!$L$3:$N$6,2,FALSE)=0,"Spatial Data Missing ⚠",VLOOKUP(AA23,'G-3 Multipliers'!$L$3:$N$6,2,FALSE)))</f>
        <v/>
      </c>
      <c r="AC23" s="524" t="str">
        <f>IF(AA23="","",IF(VLOOKUP(AA23,'G-3 Multipliers'!$L$3:$N$6,3,FALSE)=0,"Spatial Data Missing ⚠",VLOOKUP(AA23,'G-3 Multipliers'!$L$3:$N$6,3,FALSE)))</f>
        <v/>
      </c>
      <c r="AD23" s="539" t="str">
        <f t="shared" si="0"/>
        <v/>
      </c>
      <c r="AE23" s="82"/>
      <c r="AF23" s="82"/>
      <c r="AG23" s="507" t="str">
        <f t="shared" si="4"/>
        <v/>
      </c>
      <c r="AH23" s="521" t="str">
        <f t="shared" si="5"/>
        <v/>
      </c>
      <c r="AI23" s="522" t="str">
        <f>IF(AH23="Check Data","Check Data",IFERROR(VLOOKUP(AH23,'G-4 Temporal multipliers'!$A$4:$C$36,3,FALSE),""))</f>
        <v/>
      </c>
      <c r="AJ23" s="498" t="str">
        <f>IF(S23="","",VLOOKUP(S23,'G-3 Multipliers'!$A$2:$E$129,4,FALSE))</f>
        <v/>
      </c>
      <c r="AK23" s="507" t="str">
        <f t="shared" si="6"/>
        <v/>
      </c>
      <c r="AL23" s="507" t="str">
        <f t="shared" si="7"/>
        <v/>
      </c>
      <c r="AM23" s="540" t="str">
        <f>IFERROR(IF(F23="","",IF(AH23="Check Data ⚠","Check Data ⚠",VLOOKUP(AL23, 'G-3 Multipliers'!$P$2:$Q$6,2,FALSE))),"")</f>
        <v/>
      </c>
      <c r="AN23" s="513" t="str">
        <f t="shared" si="8"/>
        <v/>
      </c>
      <c r="AO23" s="239"/>
      <c r="AP23" s="240"/>
    </row>
    <row r="24" spans="1:42" x14ac:dyDescent="0.3">
      <c r="A24" s="47" t="str">
        <f>IF(E24="","",IF(ISNA(VLOOKUP($E24,'A-1 Site Habitat Baseline'!$D$1:$O$258,2,FALSE)),"",(VLOOKUP($E24,'A-1 Site Habitat Baseline'!$D$1:$O$258,2,FALSE))))</f>
        <v/>
      </c>
      <c r="B24" s="47" t="str">
        <f>IF(E24="","",IF(ISNA(VLOOKUP($E24,'A-1 Site Habitat Baseline'!$D$1:$O$258,3,FALSE)),"",(VLOOKUP($E24,'A-1 Site Habitat Baseline'!$D$1:$O$258,3,FALSE))))</f>
        <v/>
      </c>
      <c r="C24" s="47" t="str">
        <f>IFERROR(INDEX('G-8 Condition Look up'!$I$4:$I$130,MATCH(S24,'G-8 Condition Look up'!$A$4:$A$130,0)),"")</f>
        <v/>
      </c>
      <c r="E24" s="531" t="str">
        <f>'A-1 Site Habitat Baseline'!AL23</f>
        <v/>
      </c>
      <c r="F24" s="520" t="str">
        <f>IF(E24="","",IF(ISNA(VLOOKUP($E24,'A-1 Site Habitat Baseline'!$D$1:$O$258,4,FALSE)),"",(VLOOKUP($E24,'A-1 Site Habitat Baseline'!$D$1:$O$258,4,FALSE))))</f>
        <v/>
      </c>
      <c r="G24" s="520" t="str">
        <f>IF(E24="","",IF(ISNA(VLOOKUP($E24,'A-1 Site Habitat Baseline'!$D$1:$O$258,5,FALSE)),"",(VLOOKUP($E24,'A-1 Site Habitat Baseline'!$D$1:$O$258,5,FALSE))))</f>
        <v/>
      </c>
      <c r="H24" s="520" t="str">
        <f>IF(E24="","",IF(ISNA(VLOOKUP($E24,'A-1 Site Habitat Baseline'!$D$1:$O$258,6,FALSE)),"",(VLOOKUP($E24,'A-1 Site Habitat Baseline'!$D$1:$O$258,6,FALSE))))</f>
        <v/>
      </c>
      <c r="I24" s="520" t="str">
        <f>IF(E24="","",IF(ISNA(VLOOKUP($E24,'A-1 Site Habitat Baseline'!$D$1:$O$258,7,FALSE)),"",(VLOOKUP($E24,'A-1 Site Habitat Baseline'!$D$1:$O$258,7,FALSE))))</f>
        <v/>
      </c>
      <c r="J24" s="520" t="str">
        <f>IF(E24="","",IF(ISNA(VLOOKUP($E24,'A-1 Site Habitat Baseline'!$D$1:$O$258,8,FALSE)),"",(VLOOKUP($E24,'A-1 Site Habitat Baseline'!$D$1:$O$258,8,FALSE))))</f>
        <v/>
      </c>
      <c r="K24" s="520" t="str">
        <f>IF(E24="","",IF(ISNA(VLOOKUP($E24,'A-1 Site Habitat Baseline'!$D$1:$O$258,9,FALSE)),"",(VLOOKUP($E24,'A-1 Site Habitat Baseline'!$D$1:$O$258,9,FALSE))))</f>
        <v/>
      </c>
      <c r="L24" s="520" t="str">
        <f>IF(E24="","",IF(ISNA(VLOOKUP($E24,'A-1 Site Habitat Baseline'!$D$1:$O$258,11,FALSE)),"",(VLOOKUP($E24,'A-1 Site Habitat Baseline'!$D$1:$O$258,11,FALSE))))</f>
        <v/>
      </c>
      <c r="M24" s="520" t="str">
        <f>IF(E24="","",IF(ISNA(VLOOKUP($E24,'A-1 Site Habitat Baseline'!$D$1:$O$258,12,FALSE)),"",(VLOOKUP($E24,'A-1 Site Habitat Baseline'!$D$1:$O$258,12,FALSE))))</f>
        <v/>
      </c>
      <c r="N24" s="532" t="str">
        <f>IF(E24="","",IF(ISNA(VLOOKUP($E24,'A-1 Site Habitat Baseline'!$D$1:$X$258,14,FALSE)),"",(VLOOKUP($E24,'A-1 Site Habitat Baseline'!$D$1:$X$258,14,FALSE))))</f>
        <v/>
      </c>
      <c r="O24" s="524" t="str">
        <f>IF(E24="","",IF(ISNA(VLOOKUP($E24,'A-1 Site Habitat Baseline'!$D$1:$X$258,16,FALSE)),"",(VLOOKUP($E24,'A-1 Site Habitat Baseline'!$D$1:$X$258,13,FALSE))))</f>
        <v/>
      </c>
      <c r="P24" s="237" t="str">
        <f>IFERROR(INDEX('G-1 All Habitats'!$AG$3:$AG$15,MATCH(Q24,'G-1 All Habitats'!$AF$3:$AF$15,0)),"")</f>
        <v/>
      </c>
      <c r="Q24" s="238" t="str">
        <f t="shared" si="9"/>
        <v/>
      </c>
      <c r="R24" s="238" t="str">
        <f t="shared" si="10"/>
        <v/>
      </c>
      <c r="S24" s="392" t="str">
        <f>IFERROR(INDEX('G-1 All Habitats'!$B$3:$B$129,MATCH(R24,'G-1 All Habitats'!$A$3:$A$129,0)),"")</f>
        <v/>
      </c>
      <c r="T24" s="498" t="str">
        <f t="shared" si="1"/>
        <v/>
      </c>
      <c r="U24" s="499" t="str">
        <f t="shared" si="2"/>
        <v/>
      </c>
      <c r="V24" s="537" t="str">
        <f t="shared" si="3"/>
        <v/>
      </c>
      <c r="W24" s="520" t="str">
        <f>IF(S24="","",VLOOKUP(S24,'G-1 All Habitats'!$B$2:$M$129,10,FALSE))</f>
        <v/>
      </c>
      <c r="X24" s="520" t="str">
        <f>IFERROR(VLOOKUP(W24,'G-1 All Habitats'!$V$3:$W$7,2,FALSE),"")</f>
        <v/>
      </c>
      <c r="Y24" s="79"/>
      <c r="Z24" s="524" t="str">
        <f>IFERROR(INDEX('G-8 Condition Look up'!$A$3:$H$130,MATCH(S24,'G-8 Condition Look up'!$A$3:$A$130,0),MATCH(Y24,'G-8 Condition Look up'!$A$3:$H$3,0)),"")</f>
        <v/>
      </c>
      <c r="AA24" s="71"/>
      <c r="AB24" s="520" t="str">
        <f>IF(AA24="","",IF(VLOOKUP(AA24,'G-3 Multipliers'!$L$3:$N$6,2,FALSE)=0,"Spatial Data Missing ⚠",VLOOKUP(AA24,'G-3 Multipliers'!$L$3:$N$6,2,FALSE)))</f>
        <v/>
      </c>
      <c r="AC24" s="524" t="str">
        <f>IF(AA24="","",IF(VLOOKUP(AA24,'G-3 Multipliers'!$L$3:$N$6,3,FALSE)=0,"Spatial Data Missing ⚠",VLOOKUP(AA24,'G-3 Multipliers'!$L$3:$N$6,3,FALSE)))</f>
        <v/>
      </c>
      <c r="AD24" s="539" t="str">
        <f t="shared" si="0"/>
        <v/>
      </c>
      <c r="AE24" s="82"/>
      <c r="AF24" s="82"/>
      <c r="AG24" s="507" t="str">
        <f t="shared" si="4"/>
        <v/>
      </c>
      <c r="AH24" s="521" t="str">
        <f t="shared" si="5"/>
        <v/>
      </c>
      <c r="AI24" s="522" t="str">
        <f>IF(AH24="Check Data","Check Data",IFERROR(VLOOKUP(AH24,'G-4 Temporal multipliers'!$A$4:$C$36,3,FALSE),""))</f>
        <v/>
      </c>
      <c r="AJ24" s="498" t="str">
        <f>IF(S24="","",VLOOKUP(S24,'G-3 Multipliers'!$A$2:$E$129,4,FALSE))</f>
        <v/>
      </c>
      <c r="AK24" s="507" t="str">
        <f t="shared" si="6"/>
        <v/>
      </c>
      <c r="AL24" s="507" t="str">
        <f t="shared" si="7"/>
        <v/>
      </c>
      <c r="AM24" s="540" t="str">
        <f>IFERROR(IF(F24="","",IF(AH24="Check Data ⚠","Check Data ⚠",VLOOKUP(AL24, 'G-3 Multipliers'!$P$2:$Q$6,2,FALSE))),"")</f>
        <v/>
      </c>
      <c r="AN24" s="513" t="str">
        <f t="shared" si="8"/>
        <v/>
      </c>
      <c r="AO24" s="239"/>
      <c r="AP24" s="240"/>
    </row>
    <row r="25" spans="1:42" x14ac:dyDescent="0.3">
      <c r="A25" s="47" t="str">
        <f>IF(E25="","",IF(ISNA(VLOOKUP($E25,'A-1 Site Habitat Baseline'!$D$1:$O$258,2,FALSE)),"",(VLOOKUP($E25,'A-1 Site Habitat Baseline'!$D$1:$O$258,2,FALSE))))</f>
        <v/>
      </c>
      <c r="B25" s="47" t="str">
        <f>IF(E25="","",IF(ISNA(VLOOKUP($E25,'A-1 Site Habitat Baseline'!$D$1:$O$258,3,FALSE)),"",(VLOOKUP($E25,'A-1 Site Habitat Baseline'!$D$1:$O$258,3,FALSE))))</f>
        <v/>
      </c>
      <c r="C25" s="47" t="str">
        <f>IFERROR(INDEX('G-8 Condition Look up'!$I$4:$I$130,MATCH(S25,'G-8 Condition Look up'!$A$4:$A$130,0)),"")</f>
        <v/>
      </c>
      <c r="E25" s="531" t="str">
        <f>'A-1 Site Habitat Baseline'!AL24</f>
        <v/>
      </c>
      <c r="F25" s="520" t="str">
        <f>IF(E25="","",IF(ISNA(VLOOKUP($E25,'A-1 Site Habitat Baseline'!$D$1:$O$258,4,FALSE)),"",(VLOOKUP($E25,'A-1 Site Habitat Baseline'!$D$1:$O$258,4,FALSE))))</f>
        <v/>
      </c>
      <c r="G25" s="520" t="str">
        <f>IF(E25="","",IF(ISNA(VLOOKUP($E25,'A-1 Site Habitat Baseline'!$D$1:$O$258,5,FALSE)),"",(VLOOKUP($E25,'A-1 Site Habitat Baseline'!$D$1:$O$258,5,FALSE))))</f>
        <v/>
      </c>
      <c r="H25" s="520" t="str">
        <f>IF(E25="","",IF(ISNA(VLOOKUP($E25,'A-1 Site Habitat Baseline'!$D$1:$O$258,6,FALSE)),"",(VLOOKUP($E25,'A-1 Site Habitat Baseline'!$D$1:$O$258,6,FALSE))))</f>
        <v/>
      </c>
      <c r="I25" s="520" t="str">
        <f>IF(E25="","",IF(ISNA(VLOOKUP($E25,'A-1 Site Habitat Baseline'!$D$1:$O$258,7,FALSE)),"",(VLOOKUP($E25,'A-1 Site Habitat Baseline'!$D$1:$O$258,7,FALSE))))</f>
        <v/>
      </c>
      <c r="J25" s="520" t="str">
        <f>IF(E25="","",IF(ISNA(VLOOKUP($E25,'A-1 Site Habitat Baseline'!$D$1:$O$258,8,FALSE)),"",(VLOOKUP($E25,'A-1 Site Habitat Baseline'!$D$1:$O$258,8,FALSE))))</f>
        <v/>
      </c>
      <c r="K25" s="520" t="str">
        <f>IF(E25="","",IF(ISNA(VLOOKUP($E25,'A-1 Site Habitat Baseline'!$D$1:$O$258,9,FALSE)),"",(VLOOKUP($E25,'A-1 Site Habitat Baseline'!$D$1:$O$258,9,FALSE))))</f>
        <v/>
      </c>
      <c r="L25" s="520" t="str">
        <f>IF(E25="","",IF(ISNA(VLOOKUP($E25,'A-1 Site Habitat Baseline'!$D$1:$O$258,11,FALSE)),"",(VLOOKUP($E25,'A-1 Site Habitat Baseline'!$D$1:$O$258,11,FALSE))))</f>
        <v/>
      </c>
      <c r="M25" s="520" t="str">
        <f>IF(E25="","",IF(ISNA(VLOOKUP($E25,'A-1 Site Habitat Baseline'!$D$1:$O$258,12,FALSE)),"",(VLOOKUP($E25,'A-1 Site Habitat Baseline'!$D$1:$O$258,12,FALSE))))</f>
        <v/>
      </c>
      <c r="N25" s="532" t="str">
        <f>IF(E25="","",IF(ISNA(VLOOKUP($E25,'A-1 Site Habitat Baseline'!$D$1:$X$258,14,FALSE)),"",(VLOOKUP($E25,'A-1 Site Habitat Baseline'!$D$1:$X$258,14,FALSE))))</f>
        <v/>
      </c>
      <c r="O25" s="524" t="str">
        <f>IF(E25="","",IF(ISNA(VLOOKUP($E25,'A-1 Site Habitat Baseline'!$D$1:$X$258,16,FALSE)),"",(VLOOKUP($E25,'A-1 Site Habitat Baseline'!$D$1:$X$258,13,FALSE))))</f>
        <v/>
      </c>
      <c r="P25" s="237" t="str">
        <f>IFERROR(INDEX('G-1 All Habitats'!$AG$3:$AG$15,MATCH(Q25,'G-1 All Habitats'!$AF$3:$AF$15,0)),"")</f>
        <v/>
      </c>
      <c r="Q25" s="238" t="str">
        <f t="shared" si="9"/>
        <v/>
      </c>
      <c r="R25" s="238" t="str">
        <f t="shared" si="10"/>
        <v/>
      </c>
      <c r="S25" s="392" t="str">
        <f>IFERROR(INDEX('G-1 All Habitats'!$B$3:$B$129,MATCH(R25,'G-1 All Habitats'!$A$3:$A$129,0)),"")</f>
        <v/>
      </c>
      <c r="T25" s="498" t="str">
        <f t="shared" si="1"/>
        <v/>
      </c>
      <c r="U25" s="499" t="str">
        <f t="shared" si="2"/>
        <v/>
      </c>
      <c r="V25" s="537" t="str">
        <f t="shared" si="3"/>
        <v/>
      </c>
      <c r="W25" s="520" t="str">
        <f>IF(S25="","",VLOOKUP(S25,'G-1 All Habitats'!$B$2:$M$129,10,FALSE))</f>
        <v/>
      </c>
      <c r="X25" s="520" t="str">
        <f>IFERROR(VLOOKUP(W25,'G-1 All Habitats'!$V$3:$W$7,2,FALSE),"")</f>
        <v/>
      </c>
      <c r="Y25" s="79"/>
      <c r="Z25" s="524" t="str">
        <f>IFERROR(INDEX('G-8 Condition Look up'!$A$3:$H$130,MATCH(S25,'G-8 Condition Look up'!$A$3:$A$130,0),MATCH(Y25,'G-8 Condition Look up'!$A$3:$H$3,0)),"")</f>
        <v/>
      </c>
      <c r="AA25" s="71"/>
      <c r="AB25" s="520" t="str">
        <f>IF(AA25="","",IF(VLOOKUP(AA25,'G-3 Multipliers'!$L$3:$N$6,2,FALSE)=0,"Spatial Data Missing ⚠",VLOOKUP(AA25,'G-3 Multipliers'!$L$3:$N$6,2,FALSE)))</f>
        <v/>
      </c>
      <c r="AC25" s="524" t="str">
        <f>IF(AA25="","",IF(VLOOKUP(AA25,'G-3 Multipliers'!$L$3:$N$6,3,FALSE)=0,"Spatial Data Missing ⚠",VLOOKUP(AA25,'G-3 Multipliers'!$L$3:$N$6,3,FALSE)))</f>
        <v/>
      </c>
      <c r="AD25" s="539" t="str">
        <f t="shared" si="0"/>
        <v/>
      </c>
      <c r="AE25" s="82"/>
      <c r="AF25" s="82"/>
      <c r="AG25" s="507" t="str">
        <f t="shared" si="4"/>
        <v/>
      </c>
      <c r="AH25" s="521" t="str">
        <f t="shared" si="5"/>
        <v/>
      </c>
      <c r="AI25" s="522" t="str">
        <f>IF(AH25="Check Data","Check Data",IFERROR(VLOOKUP(AH25,'G-4 Temporal multipliers'!$A$4:$C$36,3,FALSE),""))</f>
        <v/>
      </c>
      <c r="AJ25" s="498" t="str">
        <f>IF(S25="","",VLOOKUP(S25,'G-3 Multipliers'!$A$2:$E$129,4,FALSE))</f>
        <v/>
      </c>
      <c r="AK25" s="507" t="str">
        <f t="shared" si="6"/>
        <v/>
      </c>
      <c r="AL25" s="507" t="str">
        <f t="shared" si="7"/>
        <v/>
      </c>
      <c r="AM25" s="540" t="str">
        <f>IFERROR(IF(F25="","",IF(AH25="Check Data ⚠","Check Data ⚠",VLOOKUP(AL25, 'G-3 Multipliers'!$P$2:$Q$6,2,FALSE))),"")</f>
        <v/>
      </c>
      <c r="AN25" s="513" t="str">
        <f t="shared" si="8"/>
        <v/>
      </c>
      <c r="AO25" s="239"/>
      <c r="AP25" s="240"/>
    </row>
    <row r="26" spans="1:42" x14ac:dyDescent="0.3">
      <c r="A26" s="47" t="str">
        <f>IF(E26="","",IF(ISNA(VLOOKUP($E26,'A-1 Site Habitat Baseline'!$D$1:$O$258,2,FALSE)),"",(VLOOKUP($E26,'A-1 Site Habitat Baseline'!$D$1:$O$258,2,FALSE))))</f>
        <v/>
      </c>
      <c r="B26" s="47" t="str">
        <f>IF(E26="","",IF(ISNA(VLOOKUP($E26,'A-1 Site Habitat Baseline'!$D$1:$O$258,3,FALSE)),"",(VLOOKUP($E26,'A-1 Site Habitat Baseline'!$D$1:$O$258,3,FALSE))))</f>
        <v/>
      </c>
      <c r="C26" s="47" t="str">
        <f>IFERROR(INDEX('G-8 Condition Look up'!$I$4:$I$130,MATCH(S26,'G-8 Condition Look up'!$A$4:$A$130,0)),"")</f>
        <v/>
      </c>
      <c r="E26" s="531" t="str">
        <f>'A-1 Site Habitat Baseline'!AL25</f>
        <v/>
      </c>
      <c r="F26" s="520" t="str">
        <f>IF(E26="","",IF(ISNA(VLOOKUP($E26,'A-1 Site Habitat Baseline'!$D$1:$O$258,4,FALSE)),"",(VLOOKUP($E26,'A-1 Site Habitat Baseline'!$D$1:$O$258,4,FALSE))))</f>
        <v/>
      </c>
      <c r="G26" s="520" t="str">
        <f>IF(E26="","",IF(ISNA(VLOOKUP($E26,'A-1 Site Habitat Baseline'!$D$1:$O$258,5,FALSE)),"",(VLOOKUP($E26,'A-1 Site Habitat Baseline'!$D$1:$O$258,5,FALSE))))</f>
        <v/>
      </c>
      <c r="H26" s="520" t="str">
        <f>IF(E26="","",IF(ISNA(VLOOKUP($E26,'A-1 Site Habitat Baseline'!$D$1:$O$258,6,FALSE)),"",(VLOOKUP($E26,'A-1 Site Habitat Baseline'!$D$1:$O$258,6,FALSE))))</f>
        <v/>
      </c>
      <c r="I26" s="520" t="str">
        <f>IF(E26="","",IF(ISNA(VLOOKUP($E26,'A-1 Site Habitat Baseline'!$D$1:$O$258,7,FALSE)),"",(VLOOKUP($E26,'A-1 Site Habitat Baseline'!$D$1:$O$258,7,FALSE))))</f>
        <v/>
      </c>
      <c r="J26" s="520" t="str">
        <f>IF(E26="","",IF(ISNA(VLOOKUP($E26,'A-1 Site Habitat Baseline'!$D$1:$O$258,8,FALSE)),"",(VLOOKUP($E26,'A-1 Site Habitat Baseline'!$D$1:$O$258,8,FALSE))))</f>
        <v/>
      </c>
      <c r="K26" s="520" t="str">
        <f>IF(E26="","",IF(ISNA(VLOOKUP($E26,'A-1 Site Habitat Baseline'!$D$1:$O$258,9,FALSE)),"",(VLOOKUP($E26,'A-1 Site Habitat Baseline'!$D$1:$O$258,9,FALSE))))</f>
        <v/>
      </c>
      <c r="L26" s="520" t="str">
        <f>IF(E26="","",IF(ISNA(VLOOKUP($E26,'A-1 Site Habitat Baseline'!$D$1:$O$258,11,FALSE)),"",(VLOOKUP($E26,'A-1 Site Habitat Baseline'!$D$1:$O$258,11,FALSE))))</f>
        <v/>
      </c>
      <c r="M26" s="520" t="str">
        <f>IF(E26="","",IF(ISNA(VLOOKUP($E26,'A-1 Site Habitat Baseline'!$D$1:$O$258,12,FALSE)),"",(VLOOKUP($E26,'A-1 Site Habitat Baseline'!$D$1:$O$258,12,FALSE))))</f>
        <v/>
      </c>
      <c r="N26" s="532" t="str">
        <f>IF(E26="","",IF(ISNA(VLOOKUP($E26,'A-1 Site Habitat Baseline'!$D$1:$X$258,14,FALSE)),"",(VLOOKUP($E26,'A-1 Site Habitat Baseline'!$D$1:$X$258,14,FALSE))))</f>
        <v/>
      </c>
      <c r="O26" s="524" t="str">
        <f>IF(E26="","",IF(ISNA(VLOOKUP($E26,'A-1 Site Habitat Baseline'!$D$1:$X$258,16,FALSE)),"",(VLOOKUP($E26,'A-1 Site Habitat Baseline'!$D$1:$X$258,13,FALSE))))</f>
        <v/>
      </c>
      <c r="P26" s="237" t="str">
        <f>IFERROR(INDEX('G-1 All Habitats'!$AG$3:$AG$15,MATCH(Q26,'G-1 All Habitats'!$AF$3:$AF$15,0)),"")</f>
        <v/>
      </c>
      <c r="Q26" s="238" t="str">
        <f t="shared" si="9"/>
        <v/>
      </c>
      <c r="R26" s="238" t="str">
        <f t="shared" si="10"/>
        <v/>
      </c>
      <c r="S26" s="392" t="str">
        <f>IFERROR(INDEX('G-1 All Habitats'!$B$3:$B$129,MATCH(R26,'G-1 All Habitats'!$A$3:$A$129,0)),"")</f>
        <v/>
      </c>
      <c r="T26" s="498" t="str">
        <f t="shared" si="1"/>
        <v/>
      </c>
      <c r="U26" s="499" t="str">
        <f t="shared" si="2"/>
        <v/>
      </c>
      <c r="V26" s="537" t="str">
        <f t="shared" si="3"/>
        <v/>
      </c>
      <c r="W26" s="520" t="str">
        <f>IF(S26="","",VLOOKUP(S26,'G-1 All Habitats'!$B$2:$M$129,10,FALSE))</f>
        <v/>
      </c>
      <c r="X26" s="520" t="str">
        <f>IFERROR(VLOOKUP(W26,'G-1 All Habitats'!$V$3:$W$7,2,FALSE),"")</f>
        <v/>
      </c>
      <c r="Y26" s="79"/>
      <c r="Z26" s="524" t="str">
        <f>IFERROR(INDEX('G-8 Condition Look up'!$A$3:$H$130,MATCH(S26,'G-8 Condition Look up'!$A$3:$A$130,0),MATCH(Y26,'G-8 Condition Look up'!$A$3:$H$3,0)),"")</f>
        <v/>
      </c>
      <c r="AA26" s="71"/>
      <c r="AB26" s="520" t="str">
        <f>IF(AA26="","",IF(VLOOKUP(AA26,'G-3 Multipliers'!$L$3:$N$6,2,FALSE)=0,"Spatial Data Missing ⚠",VLOOKUP(AA26,'G-3 Multipliers'!$L$3:$N$6,2,FALSE)))</f>
        <v/>
      </c>
      <c r="AC26" s="524" t="str">
        <f>IF(AA26="","",IF(VLOOKUP(AA26,'G-3 Multipliers'!$L$3:$N$6,3,FALSE)=0,"Spatial Data Missing ⚠",VLOOKUP(AA26,'G-3 Multipliers'!$L$3:$N$6,3,FALSE)))</f>
        <v/>
      </c>
      <c r="AD26" s="539" t="str">
        <f t="shared" si="0"/>
        <v/>
      </c>
      <c r="AE26" s="82"/>
      <c r="AF26" s="82"/>
      <c r="AG26" s="507" t="str">
        <f t="shared" si="4"/>
        <v/>
      </c>
      <c r="AH26" s="521" t="str">
        <f t="shared" si="5"/>
        <v/>
      </c>
      <c r="AI26" s="522" t="str">
        <f>IF(AH26="Check Data","Check Data",IFERROR(VLOOKUP(AH26,'G-4 Temporal multipliers'!$A$4:$C$36,3,FALSE),""))</f>
        <v/>
      </c>
      <c r="AJ26" s="498" t="str">
        <f>IF(S26="","",VLOOKUP(S26,'G-3 Multipliers'!$A$2:$E$129,4,FALSE))</f>
        <v/>
      </c>
      <c r="AK26" s="507" t="str">
        <f t="shared" si="6"/>
        <v/>
      </c>
      <c r="AL26" s="507" t="str">
        <f t="shared" si="7"/>
        <v/>
      </c>
      <c r="AM26" s="540" t="str">
        <f>IFERROR(IF(F26="","",IF(AH26="Check Data ⚠","Check Data ⚠",VLOOKUP(AL26, 'G-3 Multipliers'!$P$2:$Q$6,2,FALSE))),"")</f>
        <v/>
      </c>
      <c r="AN26" s="513" t="str">
        <f t="shared" si="8"/>
        <v/>
      </c>
      <c r="AO26" s="239"/>
      <c r="AP26" s="240"/>
    </row>
    <row r="27" spans="1:42" x14ac:dyDescent="0.3">
      <c r="A27" s="47" t="str">
        <f>IF(E27="","",IF(ISNA(VLOOKUP($E27,'A-1 Site Habitat Baseline'!$D$1:$O$258,2,FALSE)),"",(VLOOKUP($E27,'A-1 Site Habitat Baseline'!$D$1:$O$258,2,FALSE))))</f>
        <v/>
      </c>
      <c r="B27" s="47" t="str">
        <f>IF(E27="","",IF(ISNA(VLOOKUP($E27,'A-1 Site Habitat Baseline'!$D$1:$O$258,3,FALSE)),"",(VLOOKUP($E27,'A-1 Site Habitat Baseline'!$D$1:$O$258,3,FALSE))))</f>
        <v/>
      </c>
      <c r="C27" s="47" t="str">
        <f>IFERROR(INDEX('G-8 Condition Look up'!$I$4:$I$130,MATCH(S27,'G-8 Condition Look up'!$A$4:$A$130,0)),"")</f>
        <v/>
      </c>
      <c r="E27" s="531" t="str">
        <f>'A-1 Site Habitat Baseline'!AL26</f>
        <v/>
      </c>
      <c r="F27" s="520" t="str">
        <f>IF(E27="","",IF(ISNA(VLOOKUP($E27,'A-1 Site Habitat Baseline'!$D$1:$O$258,4,FALSE)),"",(VLOOKUP($E27,'A-1 Site Habitat Baseline'!$D$1:$O$258,4,FALSE))))</f>
        <v/>
      </c>
      <c r="G27" s="520" t="str">
        <f>IF(E27="","",IF(ISNA(VLOOKUP($E27,'A-1 Site Habitat Baseline'!$D$1:$O$258,5,FALSE)),"",(VLOOKUP($E27,'A-1 Site Habitat Baseline'!$D$1:$O$258,5,FALSE))))</f>
        <v/>
      </c>
      <c r="H27" s="520" t="str">
        <f>IF(E27="","",IF(ISNA(VLOOKUP($E27,'A-1 Site Habitat Baseline'!$D$1:$O$258,6,FALSE)),"",(VLOOKUP($E27,'A-1 Site Habitat Baseline'!$D$1:$O$258,6,FALSE))))</f>
        <v/>
      </c>
      <c r="I27" s="520" t="str">
        <f>IF(E27="","",IF(ISNA(VLOOKUP($E27,'A-1 Site Habitat Baseline'!$D$1:$O$258,7,FALSE)),"",(VLOOKUP($E27,'A-1 Site Habitat Baseline'!$D$1:$O$258,7,FALSE))))</f>
        <v/>
      </c>
      <c r="J27" s="520" t="str">
        <f>IF(E27="","",IF(ISNA(VLOOKUP($E27,'A-1 Site Habitat Baseline'!$D$1:$O$258,8,FALSE)),"",(VLOOKUP($E27,'A-1 Site Habitat Baseline'!$D$1:$O$258,8,FALSE))))</f>
        <v/>
      </c>
      <c r="K27" s="520" t="str">
        <f>IF(E27="","",IF(ISNA(VLOOKUP($E27,'A-1 Site Habitat Baseline'!$D$1:$O$258,9,FALSE)),"",(VLOOKUP($E27,'A-1 Site Habitat Baseline'!$D$1:$O$258,9,FALSE))))</f>
        <v/>
      </c>
      <c r="L27" s="520" t="str">
        <f>IF(E27="","",IF(ISNA(VLOOKUP($E27,'A-1 Site Habitat Baseline'!$D$1:$O$258,11,FALSE)),"",(VLOOKUP($E27,'A-1 Site Habitat Baseline'!$D$1:$O$258,11,FALSE))))</f>
        <v/>
      </c>
      <c r="M27" s="520" t="str">
        <f>IF(E27="","",IF(ISNA(VLOOKUP($E27,'A-1 Site Habitat Baseline'!$D$1:$O$258,12,FALSE)),"",(VLOOKUP($E27,'A-1 Site Habitat Baseline'!$D$1:$O$258,12,FALSE))))</f>
        <v/>
      </c>
      <c r="N27" s="532" t="str">
        <f>IF(E27="","",IF(ISNA(VLOOKUP($E27,'A-1 Site Habitat Baseline'!$D$1:$X$258,14,FALSE)),"",(VLOOKUP($E27,'A-1 Site Habitat Baseline'!$D$1:$X$258,14,FALSE))))</f>
        <v/>
      </c>
      <c r="O27" s="524" t="str">
        <f>IF(E27="","",IF(ISNA(VLOOKUP($E27,'A-1 Site Habitat Baseline'!$D$1:$X$258,16,FALSE)),"",(VLOOKUP($E27,'A-1 Site Habitat Baseline'!$D$1:$X$258,13,FALSE))))</f>
        <v/>
      </c>
      <c r="P27" s="237" t="str">
        <f>IFERROR(INDEX('G-1 All Habitats'!$AG$3:$AG$15,MATCH(Q27,'G-1 All Habitats'!$AF$3:$AF$15,0)),"")</f>
        <v/>
      </c>
      <c r="Q27" s="238" t="str">
        <f t="shared" si="9"/>
        <v/>
      </c>
      <c r="R27" s="238" t="str">
        <f t="shared" si="10"/>
        <v/>
      </c>
      <c r="S27" s="392" t="str">
        <f>IFERROR(INDEX('G-1 All Habitats'!$B$3:$B$129,MATCH(R27,'G-1 All Habitats'!$A$3:$A$129,0)),"")</f>
        <v/>
      </c>
      <c r="T27" s="498" t="str">
        <f t="shared" si="1"/>
        <v/>
      </c>
      <c r="U27" s="499" t="str">
        <f t="shared" si="2"/>
        <v/>
      </c>
      <c r="V27" s="537" t="str">
        <f t="shared" si="3"/>
        <v/>
      </c>
      <c r="W27" s="520" t="str">
        <f>IF(S27="","",VLOOKUP(S27,'G-1 All Habitats'!$B$2:$M$129,10,FALSE))</f>
        <v/>
      </c>
      <c r="X27" s="520" t="str">
        <f>IFERROR(VLOOKUP(W27,'G-1 All Habitats'!$V$3:$W$7,2,FALSE),"")</f>
        <v/>
      </c>
      <c r="Y27" s="79"/>
      <c r="Z27" s="524" t="str">
        <f>IFERROR(INDEX('G-8 Condition Look up'!$A$3:$H$130,MATCH(S27,'G-8 Condition Look up'!$A$3:$A$130,0),MATCH(Y27,'G-8 Condition Look up'!$A$3:$H$3,0)),"")</f>
        <v/>
      </c>
      <c r="AA27" s="71"/>
      <c r="AB27" s="520" t="str">
        <f>IF(AA27="","",IF(VLOOKUP(AA27,'G-3 Multipliers'!$L$3:$N$6,2,FALSE)=0,"Spatial Data Missing ⚠",VLOOKUP(AA27,'G-3 Multipliers'!$L$3:$N$6,2,FALSE)))</f>
        <v/>
      </c>
      <c r="AC27" s="524" t="str">
        <f>IF(AA27="","",IF(VLOOKUP(AA27,'G-3 Multipliers'!$L$3:$N$6,3,FALSE)=0,"Spatial Data Missing ⚠",VLOOKUP(AA27,'G-3 Multipliers'!$L$3:$N$6,3,FALSE)))</f>
        <v/>
      </c>
      <c r="AD27" s="539" t="str">
        <f t="shared" si="0"/>
        <v/>
      </c>
      <c r="AE27" s="82"/>
      <c r="AF27" s="82"/>
      <c r="AG27" s="507" t="str">
        <f t="shared" si="4"/>
        <v/>
      </c>
      <c r="AH27" s="521" t="str">
        <f t="shared" si="5"/>
        <v/>
      </c>
      <c r="AI27" s="522" t="str">
        <f>IF(AH27="Check Data","Check Data",IFERROR(VLOOKUP(AH27,'G-4 Temporal multipliers'!$A$4:$C$36,3,FALSE),""))</f>
        <v/>
      </c>
      <c r="AJ27" s="498" t="str">
        <f>IF(S27="","",VLOOKUP(S27,'G-3 Multipliers'!$A$2:$E$129,4,FALSE))</f>
        <v/>
      </c>
      <c r="AK27" s="507" t="str">
        <f t="shared" si="6"/>
        <v/>
      </c>
      <c r="AL27" s="507" t="str">
        <f t="shared" si="7"/>
        <v/>
      </c>
      <c r="AM27" s="540" t="str">
        <f>IFERROR(IF(F27="","",IF(AH27="Check Data ⚠","Check Data ⚠",VLOOKUP(AL27, 'G-3 Multipliers'!$P$2:$Q$6,2,FALSE))),"")</f>
        <v/>
      </c>
      <c r="AN27" s="513" t="str">
        <f t="shared" si="8"/>
        <v/>
      </c>
      <c r="AO27" s="239"/>
      <c r="AP27" s="240"/>
    </row>
    <row r="28" spans="1:42" x14ac:dyDescent="0.3">
      <c r="A28" s="47" t="str">
        <f>IF(E28="","",IF(ISNA(VLOOKUP($E28,'A-1 Site Habitat Baseline'!$D$1:$O$258,2,FALSE)),"",(VLOOKUP($E28,'A-1 Site Habitat Baseline'!$D$1:$O$258,2,FALSE))))</f>
        <v/>
      </c>
      <c r="B28" s="47" t="str">
        <f>IF(E28="","",IF(ISNA(VLOOKUP($E28,'A-1 Site Habitat Baseline'!$D$1:$O$258,3,FALSE)),"",(VLOOKUP($E28,'A-1 Site Habitat Baseline'!$D$1:$O$258,3,FALSE))))</f>
        <v/>
      </c>
      <c r="C28" s="47" t="str">
        <f>IFERROR(INDEX('G-8 Condition Look up'!$I$4:$I$130,MATCH(S28,'G-8 Condition Look up'!$A$4:$A$130,0)),"")</f>
        <v/>
      </c>
      <c r="E28" s="531" t="str">
        <f>'A-1 Site Habitat Baseline'!AL27</f>
        <v/>
      </c>
      <c r="F28" s="520" t="str">
        <f>IF(E28="","",IF(ISNA(VLOOKUP($E28,'A-1 Site Habitat Baseline'!$D$1:$O$258,4,FALSE)),"",(VLOOKUP($E28,'A-1 Site Habitat Baseline'!$D$1:$O$258,4,FALSE))))</f>
        <v/>
      </c>
      <c r="G28" s="520" t="str">
        <f>IF(E28="","",IF(ISNA(VLOOKUP($E28,'A-1 Site Habitat Baseline'!$D$1:$O$258,5,FALSE)),"",(VLOOKUP($E28,'A-1 Site Habitat Baseline'!$D$1:$O$258,5,FALSE))))</f>
        <v/>
      </c>
      <c r="H28" s="520" t="str">
        <f>IF(E28="","",IF(ISNA(VLOOKUP($E28,'A-1 Site Habitat Baseline'!$D$1:$O$258,6,FALSE)),"",(VLOOKUP($E28,'A-1 Site Habitat Baseline'!$D$1:$O$258,6,FALSE))))</f>
        <v/>
      </c>
      <c r="I28" s="520" t="str">
        <f>IF(E28="","",IF(ISNA(VLOOKUP($E28,'A-1 Site Habitat Baseline'!$D$1:$O$258,7,FALSE)),"",(VLOOKUP($E28,'A-1 Site Habitat Baseline'!$D$1:$O$258,7,FALSE))))</f>
        <v/>
      </c>
      <c r="J28" s="520" t="str">
        <f>IF(E28="","",IF(ISNA(VLOOKUP($E28,'A-1 Site Habitat Baseline'!$D$1:$O$258,8,FALSE)),"",(VLOOKUP($E28,'A-1 Site Habitat Baseline'!$D$1:$O$258,8,FALSE))))</f>
        <v/>
      </c>
      <c r="K28" s="520" t="str">
        <f>IF(E28="","",IF(ISNA(VLOOKUP($E28,'A-1 Site Habitat Baseline'!$D$1:$O$258,9,FALSE)),"",(VLOOKUP($E28,'A-1 Site Habitat Baseline'!$D$1:$O$258,9,FALSE))))</f>
        <v/>
      </c>
      <c r="L28" s="520" t="str">
        <f>IF(E28="","",IF(ISNA(VLOOKUP($E28,'A-1 Site Habitat Baseline'!$D$1:$O$258,11,FALSE)),"",(VLOOKUP($E28,'A-1 Site Habitat Baseline'!$D$1:$O$258,11,FALSE))))</f>
        <v/>
      </c>
      <c r="M28" s="520" t="str">
        <f>IF(E28="","",IF(ISNA(VLOOKUP($E28,'A-1 Site Habitat Baseline'!$D$1:$O$258,12,FALSE)),"",(VLOOKUP($E28,'A-1 Site Habitat Baseline'!$D$1:$O$258,12,FALSE))))</f>
        <v/>
      </c>
      <c r="N28" s="532" t="str">
        <f>IF(E28="","",IF(ISNA(VLOOKUP($E28,'A-1 Site Habitat Baseline'!$D$1:$X$258,14,FALSE)),"",(VLOOKUP($E28,'A-1 Site Habitat Baseline'!$D$1:$X$258,14,FALSE))))</f>
        <v/>
      </c>
      <c r="O28" s="524" t="str">
        <f>IF(E28="","",IF(ISNA(VLOOKUP($E28,'A-1 Site Habitat Baseline'!$D$1:$X$258,16,FALSE)),"",(VLOOKUP($E28,'A-1 Site Habitat Baseline'!$D$1:$X$258,13,FALSE))))</f>
        <v/>
      </c>
      <c r="P28" s="237" t="str">
        <f>IFERROR(INDEX('G-1 All Habitats'!$AG$3:$AG$15,MATCH(Q28,'G-1 All Habitats'!$AF$3:$AF$15,0)),"")</f>
        <v/>
      </c>
      <c r="Q28" s="238" t="str">
        <f t="shared" si="9"/>
        <v/>
      </c>
      <c r="R28" s="238" t="str">
        <f t="shared" si="10"/>
        <v/>
      </c>
      <c r="S28" s="392" t="str">
        <f>IFERROR(INDEX('G-1 All Habitats'!$B$3:$B$129,MATCH(R28,'G-1 All Habitats'!$A$3:$A$129,0)),"")</f>
        <v/>
      </c>
      <c r="T28" s="498" t="str">
        <f t="shared" si="1"/>
        <v/>
      </c>
      <c r="U28" s="499" t="str">
        <f t="shared" si="2"/>
        <v/>
      </c>
      <c r="V28" s="537" t="str">
        <f t="shared" si="3"/>
        <v/>
      </c>
      <c r="W28" s="520" t="str">
        <f>IF(S28="","",VLOOKUP(S28,'G-1 All Habitats'!$B$2:$M$129,10,FALSE))</f>
        <v/>
      </c>
      <c r="X28" s="520" t="str">
        <f>IFERROR(VLOOKUP(W28,'G-1 All Habitats'!$V$3:$W$7,2,FALSE),"")</f>
        <v/>
      </c>
      <c r="Y28" s="79"/>
      <c r="Z28" s="524" t="str">
        <f>IFERROR(INDEX('G-8 Condition Look up'!$A$3:$H$130,MATCH(S28,'G-8 Condition Look up'!$A$3:$A$130,0),MATCH(Y28,'G-8 Condition Look up'!$A$3:$H$3,0)),"")</f>
        <v/>
      </c>
      <c r="AA28" s="71"/>
      <c r="AB28" s="520" t="str">
        <f>IF(AA28="","",IF(VLOOKUP(AA28,'G-3 Multipliers'!$L$3:$N$6,2,FALSE)=0,"Spatial Data Missing ⚠",VLOOKUP(AA28,'G-3 Multipliers'!$L$3:$N$6,2,FALSE)))</f>
        <v/>
      </c>
      <c r="AC28" s="524" t="str">
        <f>IF(AA28="","",IF(VLOOKUP(AA28,'G-3 Multipliers'!$L$3:$N$6,3,FALSE)=0,"Spatial Data Missing ⚠",VLOOKUP(AA28,'G-3 Multipliers'!$L$3:$N$6,3,FALSE)))</f>
        <v/>
      </c>
      <c r="AD28" s="539" t="str">
        <f t="shared" si="0"/>
        <v/>
      </c>
      <c r="AE28" s="82"/>
      <c r="AF28" s="82"/>
      <c r="AG28" s="507" t="str">
        <f t="shared" si="4"/>
        <v/>
      </c>
      <c r="AH28" s="521" t="str">
        <f t="shared" si="5"/>
        <v/>
      </c>
      <c r="AI28" s="522" t="str">
        <f>IF(AH28="Check Data","Check Data",IFERROR(VLOOKUP(AH28,'G-4 Temporal multipliers'!$A$4:$C$36,3,FALSE),""))</f>
        <v/>
      </c>
      <c r="AJ28" s="498" t="str">
        <f>IF(S28="","",VLOOKUP(S28,'G-3 Multipliers'!$A$2:$E$129,4,FALSE))</f>
        <v/>
      </c>
      <c r="AK28" s="507" t="str">
        <f t="shared" si="6"/>
        <v/>
      </c>
      <c r="AL28" s="507" t="str">
        <f t="shared" si="7"/>
        <v/>
      </c>
      <c r="AM28" s="540" t="str">
        <f>IFERROR(IF(F28="","",IF(AH28="Check Data ⚠","Check Data ⚠",VLOOKUP(AL28, 'G-3 Multipliers'!$P$2:$Q$6,2,FALSE))),"")</f>
        <v/>
      </c>
      <c r="AN28" s="513" t="str">
        <f t="shared" si="8"/>
        <v/>
      </c>
      <c r="AO28" s="239"/>
      <c r="AP28" s="240"/>
    </row>
    <row r="29" spans="1:42" x14ac:dyDescent="0.3">
      <c r="A29" s="47" t="str">
        <f>IF(E29="","",IF(ISNA(VLOOKUP($E29,'A-1 Site Habitat Baseline'!$D$1:$O$258,2,FALSE)),"",(VLOOKUP($E29,'A-1 Site Habitat Baseline'!$D$1:$O$258,2,FALSE))))</f>
        <v/>
      </c>
      <c r="B29" s="47" t="str">
        <f>IF(E29="","",IF(ISNA(VLOOKUP($E29,'A-1 Site Habitat Baseline'!$D$1:$O$258,3,FALSE)),"",(VLOOKUP($E29,'A-1 Site Habitat Baseline'!$D$1:$O$258,3,FALSE))))</f>
        <v/>
      </c>
      <c r="C29" s="47" t="str">
        <f>IFERROR(INDEX('G-8 Condition Look up'!$I$4:$I$130,MATCH(S29,'G-8 Condition Look up'!$A$4:$A$130,0)),"")</f>
        <v/>
      </c>
      <c r="E29" s="531" t="str">
        <f>'A-1 Site Habitat Baseline'!AL28</f>
        <v/>
      </c>
      <c r="F29" s="520" t="str">
        <f>IF(E29="","",IF(ISNA(VLOOKUP($E29,'A-1 Site Habitat Baseline'!$D$1:$O$258,4,FALSE)),"",(VLOOKUP($E29,'A-1 Site Habitat Baseline'!$D$1:$O$258,4,FALSE))))</f>
        <v/>
      </c>
      <c r="G29" s="520" t="str">
        <f>IF(E29="","",IF(ISNA(VLOOKUP($E29,'A-1 Site Habitat Baseline'!$D$1:$O$258,5,FALSE)),"",(VLOOKUP($E29,'A-1 Site Habitat Baseline'!$D$1:$O$258,5,FALSE))))</f>
        <v/>
      </c>
      <c r="H29" s="520" t="str">
        <f>IF(E29="","",IF(ISNA(VLOOKUP($E29,'A-1 Site Habitat Baseline'!$D$1:$O$258,6,FALSE)),"",(VLOOKUP($E29,'A-1 Site Habitat Baseline'!$D$1:$O$258,6,FALSE))))</f>
        <v/>
      </c>
      <c r="I29" s="520" t="str">
        <f>IF(E29="","",IF(ISNA(VLOOKUP($E29,'A-1 Site Habitat Baseline'!$D$1:$O$258,7,FALSE)),"",(VLOOKUP($E29,'A-1 Site Habitat Baseline'!$D$1:$O$258,7,FALSE))))</f>
        <v/>
      </c>
      <c r="J29" s="520" t="str">
        <f>IF(E29="","",IF(ISNA(VLOOKUP($E29,'A-1 Site Habitat Baseline'!$D$1:$O$258,8,FALSE)),"",(VLOOKUP($E29,'A-1 Site Habitat Baseline'!$D$1:$O$258,8,FALSE))))</f>
        <v/>
      </c>
      <c r="K29" s="520" t="str">
        <f>IF(E29="","",IF(ISNA(VLOOKUP($E29,'A-1 Site Habitat Baseline'!$D$1:$O$258,9,FALSE)),"",(VLOOKUP($E29,'A-1 Site Habitat Baseline'!$D$1:$O$258,9,FALSE))))</f>
        <v/>
      </c>
      <c r="L29" s="520" t="str">
        <f>IF(E29="","",IF(ISNA(VLOOKUP($E29,'A-1 Site Habitat Baseline'!$D$1:$O$258,11,FALSE)),"",(VLOOKUP($E29,'A-1 Site Habitat Baseline'!$D$1:$O$258,11,FALSE))))</f>
        <v/>
      </c>
      <c r="M29" s="520" t="str">
        <f>IF(E29="","",IF(ISNA(VLOOKUP($E29,'A-1 Site Habitat Baseline'!$D$1:$O$258,12,FALSE)),"",(VLOOKUP($E29,'A-1 Site Habitat Baseline'!$D$1:$O$258,12,FALSE))))</f>
        <v/>
      </c>
      <c r="N29" s="532" t="str">
        <f>IF(E29="","",IF(ISNA(VLOOKUP($E29,'A-1 Site Habitat Baseline'!$D$1:$X$258,14,FALSE)),"",(VLOOKUP($E29,'A-1 Site Habitat Baseline'!$D$1:$X$258,14,FALSE))))</f>
        <v/>
      </c>
      <c r="O29" s="524" t="str">
        <f>IF(E29="","",IF(ISNA(VLOOKUP($E29,'A-1 Site Habitat Baseline'!$D$1:$X$258,16,FALSE)),"",(VLOOKUP($E29,'A-1 Site Habitat Baseline'!$D$1:$X$258,13,FALSE))))</f>
        <v/>
      </c>
      <c r="P29" s="237" t="str">
        <f>IFERROR(INDEX('G-1 All Habitats'!$AG$3:$AG$15,MATCH(Q29,'G-1 All Habitats'!$AF$3:$AF$15,0)),"")</f>
        <v/>
      </c>
      <c r="Q29" s="238" t="str">
        <f t="shared" si="9"/>
        <v/>
      </c>
      <c r="R29" s="238" t="str">
        <f t="shared" si="10"/>
        <v/>
      </c>
      <c r="S29" s="392" t="str">
        <f>IFERROR(INDEX('G-1 All Habitats'!$B$3:$B$129,MATCH(R29,'G-1 All Habitats'!$A$3:$A$129,0)),"")</f>
        <v/>
      </c>
      <c r="T29" s="498" t="str">
        <f t="shared" si="1"/>
        <v/>
      </c>
      <c r="U29" s="499" t="str">
        <f t="shared" si="2"/>
        <v/>
      </c>
      <c r="V29" s="537" t="str">
        <f t="shared" si="3"/>
        <v/>
      </c>
      <c r="W29" s="520" t="str">
        <f>IF(S29="","",VLOOKUP(S29,'G-1 All Habitats'!$B$2:$M$129,10,FALSE))</f>
        <v/>
      </c>
      <c r="X29" s="520" t="str">
        <f>IFERROR(VLOOKUP(W29,'G-1 All Habitats'!$V$3:$W$7,2,FALSE),"")</f>
        <v/>
      </c>
      <c r="Y29" s="79"/>
      <c r="Z29" s="524" t="str">
        <f>IFERROR(INDEX('G-8 Condition Look up'!$A$3:$H$130,MATCH(S29,'G-8 Condition Look up'!$A$3:$A$130,0),MATCH(Y29,'G-8 Condition Look up'!$A$3:$H$3,0)),"")</f>
        <v/>
      </c>
      <c r="AA29" s="71"/>
      <c r="AB29" s="520" t="str">
        <f>IF(AA29="","",IF(VLOOKUP(AA29,'G-3 Multipliers'!$L$3:$N$6,2,FALSE)=0,"Spatial Data Missing ⚠",VLOOKUP(AA29,'G-3 Multipliers'!$L$3:$N$6,2,FALSE)))</f>
        <v/>
      </c>
      <c r="AC29" s="524" t="str">
        <f>IF(AA29="","",IF(VLOOKUP(AA29,'G-3 Multipliers'!$L$3:$N$6,3,FALSE)=0,"Spatial Data Missing ⚠",VLOOKUP(AA29,'G-3 Multipliers'!$L$3:$N$6,3,FALSE)))</f>
        <v/>
      </c>
      <c r="AD29" s="539" t="str">
        <f t="shared" si="0"/>
        <v/>
      </c>
      <c r="AE29" s="82"/>
      <c r="AF29" s="82"/>
      <c r="AG29" s="507" t="str">
        <f t="shared" si="4"/>
        <v/>
      </c>
      <c r="AH29" s="521" t="str">
        <f t="shared" si="5"/>
        <v/>
      </c>
      <c r="AI29" s="522" t="str">
        <f>IF(AH29="Check Data","Check Data",IFERROR(VLOOKUP(AH29,'G-4 Temporal multipliers'!$A$4:$C$36,3,FALSE),""))</f>
        <v/>
      </c>
      <c r="AJ29" s="498" t="str">
        <f>IF(S29="","",VLOOKUP(S29,'G-3 Multipliers'!$A$2:$E$129,4,FALSE))</f>
        <v/>
      </c>
      <c r="AK29" s="507" t="str">
        <f t="shared" si="6"/>
        <v/>
      </c>
      <c r="AL29" s="507" t="str">
        <f t="shared" si="7"/>
        <v/>
      </c>
      <c r="AM29" s="540" t="str">
        <f>IFERROR(IF(F29="","",IF(AH29="Check Data ⚠","Check Data ⚠",VLOOKUP(AL29, 'G-3 Multipliers'!$P$2:$Q$6,2,FALSE))),"")</f>
        <v/>
      </c>
      <c r="AN29" s="513" t="str">
        <f t="shared" si="8"/>
        <v/>
      </c>
      <c r="AO29" s="239"/>
      <c r="AP29" s="240"/>
    </row>
    <row r="30" spans="1:42" x14ac:dyDescent="0.3">
      <c r="A30" s="47" t="str">
        <f>IF(E30="","",IF(ISNA(VLOOKUP($E30,'A-1 Site Habitat Baseline'!$D$1:$O$258,2,FALSE)),"",(VLOOKUP($E30,'A-1 Site Habitat Baseline'!$D$1:$O$258,2,FALSE))))</f>
        <v/>
      </c>
      <c r="B30" s="47" t="str">
        <f>IF(E30="","",IF(ISNA(VLOOKUP($E30,'A-1 Site Habitat Baseline'!$D$1:$O$258,3,FALSE)),"",(VLOOKUP($E30,'A-1 Site Habitat Baseline'!$D$1:$O$258,3,FALSE))))</f>
        <v/>
      </c>
      <c r="C30" s="47" t="str">
        <f>IFERROR(INDEX('G-8 Condition Look up'!$I$4:$I$130,MATCH(S30,'G-8 Condition Look up'!$A$4:$A$130,0)),"")</f>
        <v/>
      </c>
      <c r="E30" s="531" t="str">
        <f>'A-1 Site Habitat Baseline'!AL29</f>
        <v/>
      </c>
      <c r="F30" s="520" t="str">
        <f>IF(E30="","",IF(ISNA(VLOOKUP($E30,'A-1 Site Habitat Baseline'!$D$1:$O$258,4,FALSE)),"",(VLOOKUP($E30,'A-1 Site Habitat Baseline'!$D$1:$O$258,4,FALSE))))</f>
        <v/>
      </c>
      <c r="G30" s="520" t="str">
        <f>IF(E30="","",IF(ISNA(VLOOKUP($E30,'A-1 Site Habitat Baseline'!$D$1:$O$258,5,FALSE)),"",(VLOOKUP($E30,'A-1 Site Habitat Baseline'!$D$1:$O$258,5,FALSE))))</f>
        <v/>
      </c>
      <c r="H30" s="520" t="str">
        <f>IF(E30="","",IF(ISNA(VLOOKUP($E30,'A-1 Site Habitat Baseline'!$D$1:$O$258,6,FALSE)),"",(VLOOKUP($E30,'A-1 Site Habitat Baseline'!$D$1:$O$258,6,FALSE))))</f>
        <v/>
      </c>
      <c r="I30" s="520" t="str">
        <f>IF(E30="","",IF(ISNA(VLOOKUP($E30,'A-1 Site Habitat Baseline'!$D$1:$O$258,7,FALSE)),"",(VLOOKUP($E30,'A-1 Site Habitat Baseline'!$D$1:$O$258,7,FALSE))))</f>
        <v/>
      </c>
      <c r="J30" s="520" t="str">
        <f>IF(E30="","",IF(ISNA(VLOOKUP($E30,'A-1 Site Habitat Baseline'!$D$1:$O$258,8,FALSE)),"",(VLOOKUP($E30,'A-1 Site Habitat Baseline'!$D$1:$O$258,8,FALSE))))</f>
        <v/>
      </c>
      <c r="K30" s="520" t="str">
        <f>IF(E30="","",IF(ISNA(VLOOKUP($E30,'A-1 Site Habitat Baseline'!$D$1:$O$258,9,FALSE)),"",(VLOOKUP($E30,'A-1 Site Habitat Baseline'!$D$1:$O$258,9,FALSE))))</f>
        <v/>
      </c>
      <c r="L30" s="520" t="str">
        <f>IF(E30="","",IF(ISNA(VLOOKUP($E30,'A-1 Site Habitat Baseline'!$D$1:$O$258,11,FALSE)),"",(VLOOKUP($E30,'A-1 Site Habitat Baseline'!$D$1:$O$258,11,FALSE))))</f>
        <v/>
      </c>
      <c r="M30" s="520" t="str">
        <f>IF(E30="","",IF(ISNA(VLOOKUP($E30,'A-1 Site Habitat Baseline'!$D$1:$O$258,12,FALSE)),"",(VLOOKUP($E30,'A-1 Site Habitat Baseline'!$D$1:$O$258,12,FALSE))))</f>
        <v/>
      </c>
      <c r="N30" s="532" t="str">
        <f>IF(E30="","",IF(ISNA(VLOOKUP($E30,'A-1 Site Habitat Baseline'!$D$1:$X$258,14,FALSE)),"",(VLOOKUP($E30,'A-1 Site Habitat Baseline'!$D$1:$X$258,14,FALSE))))</f>
        <v/>
      </c>
      <c r="O30" s="524" t="str">
        <f>IF(E30="","",IF(ISNA(VLOOKUP($E30,'A-1 Site Habitat Baseline'!$D$1:$X$258,16,FALSE)),"",(VLOOKUP($E30,'A-1 Site Habitat Baseline'!$D$1:$X$258,13,FALSE))))</f>
        <v/>
      </c>
      <c r="P30" s="237" t="str">
        <f>IFERROR(INDEX('G-1 All Habitats'!$AG$3:$AG$15,MATCH(Q30,'G-1 All Habitats'!$AF$3:$AF$15,0)),"")</f>
        <v/>
      </c>
      <c r="Q30" s="238" t="str">
        <f t="shared" si="9"/>
        <v/>
      </c>
      <c r="R30" s="238" t="str">
        <f t="shared" si="10"/>
        <v/>
      </c>
      <c r="S30" s="392" t="str">
        <f>IFERROR(INDEX('G-1 All Habitats'!$B$3:$B$129,MATCH(R30,'G-1 All Habitats'!$A$3:$A$129,0)),"")</f>
        <v/>
      </c>
      <c r="T30" s="498" t="str">
        <f t="shared" si="1"/>
        <v/>
      </c>
      <c r="U30" s="499" t="str">
        <f t="shared" si="2"/>
        <v/>
      </c>
      <c r="V30" s="537" t="str">
        <f t="shared" si="3"/>
        <v/>
      </c>
      <c r="W30" s="520" t="str">
        <f>IF(S30="","",VLOOKUP(S30,'G-1 All Habitats'!$B$2:$M$129,10,FALSE))</f>
        <v/>
      </c>
      <c r="X30" s="520" t="str">
        <f>IFERROR(VLOOKUP(W30,'G-1 All Habitats'!$V$3:$W$7,2,FALSE),"")</f>
        <v/>
      </c>
      <c r="Y30" s="79"/>
      <c r="Z30" s="524" t="str">
        <f>IFERROR(INDEX('G-8 Condition Look up'!$A$3:$H$130,MATCH(S30,'G-8 Condition Look up'!$A$3:$A$130,0),MATCH(Y30,'G-8 Condition Look up'!$A$3:$H$3,0)),"")</f>
        <v/>
      </c>
      <c r="AA30" s="71"/>
      <c r="AB30" s="520" t="str">
        <f>IF(AA30="","",IF(VLOOKUP(AA30,'G-3 Multipliers'!$L$3:$N$6,2,FALSE)=0,"Spatial Data Missing ⚠",VLOOKUP(AA30,'G-3 Multipliers'!$L$3:$N$6,2,FALSE)))</f>
        <v/>
      </c>
      <c r="AC30" s="524" t="str">
        <f>IF(AA30="","",IF(VLOOKUP(AA30,'G-3 Multipliers'!$L$3:$N$6,3,FALSE)=0,"Spatial Data Missing ⚠",VLOOKUP(AA30,'G-3 Multipliers'!$L$3:$N$6,3,FALSE)))</f>
        <v/>
      </c>
      <c r="AD30" s="539" t="str">
        <f t="shared" si="0"/>
        <v/>
      </c>
      <c r="AE30" s="82"/>
      <c r="AF30" s="82"/>
      <c r="AG30" s="507" t="str">
        <f t="shared" si="4"/>
        <v/>
      </c>
      <c r="AH30" s="521" t="str">
        <f t="shared" si="5"/>
        <v/>
      </c>
      <c r="AI30" s="522" t="str">
        <f>IF(AH30="Check Data","Check Data",IFERROR(VLOOKUP(AH30,'G-4 Temporal multipliers'!$A$4:$C$36,3,FALSE),""))</f>
        <v/>
      </c>
      <c r="AJ30" s="498" t="str">
        <f>IF(S30="","",VLOOKUP(S30,'G-3 Multipliers'!$A$2:$E$129,4,FALSE))</f>
        <v/>
      </c>
      <c r="AK30" s="507" t="str">
        <f t="shared" si="6"/>
        <v/>
      </c>
      <c r="AL30" s="507" t="str">
        <f t="shared" si="7"/>
        <v/>
      </c>
      <c r="AM30" s="540" t="str">
        <f>IFERROR(IF(F30="","",IF(AH30="Check Data ⚠","Check Data ⚠",VLOOKUP(AL30, 'G-3 Multipliers'!$P$2:$Q$6,2,FALSE))),"")</f>
        <v/>
      </c>
      <c r="AN30" s="513" t="str">
        <f t="shared" si="8"/>
        <v/>
      </c>
      <c r="AO30" s="239"/>
      <c r="AP30" s="240"/>
    </row>
    <row r="31" spans="1:42" x14ac:dyDescent="0.3">
      <c r="A31" s="47" t="str">
        <f>IF(E31="","",IF(ISNA(VLOOKUP($E31,'A-1 Site Habitat Baseline'!$D$1:$O$258,2,FALSE)),"",(VLOOKUP($E31,'A-1 Site Habitat Baseline'!$D$1:$O$258,2,FALSE))))</f>
        <v/>
      </c>
      <c r="B31" s="47" t="str">
        <f>IF(E31="","",IF(ISNA(VLOOKUP($E31,'A-1 Site Habitat Baseline'!$D$1:$O$258,3,FALSE)),"",(VLOOKUP($E31,'A-1 Site Habitat Baseline'!$D$1:$O$258,3,FALSE))))</f>
        <v/>
      </c>
      <c r="C31" s="47" t="str">
        <f>IFERROR(INDEX('G-8 Condition Look up'!$I$4:$I$130,MATCH(S31,'G-8 Condition Look up'!$A$4:$A$130,0)),"")</f>
        <v/>
      </c>
      <c r="E31" s="531" t="str">
        <f>'A-1 Site Habitat Baseline'!AL30</f>
        <v/>
      </c>
      <c r="F31" s="520" t="str">
        <f>IF(E31="","",IF(ISNA(VLOOKUP($E31,'A-1 Site Habitat Baseline'!$D$1:$O$258,4,FALSE)),"",(VLOOKUP($E31,'A-1 Site Habitat Baseline'!$D$1:$O$258,4,FALSE))))</f>
        <v/>
      </c>
      <c r="G31" s="520" t="str">
        <f>IF(E31="","",IF(ISNA(VLOOKUP($E31,'A-1 Site Habitat Baseline'!$D$1:$O$258,5,FALSE)),"",(VLOOKUP($E31,'A-1 Site Habitat Baseline'!$D$1:$O$258,5,FALSE))))</f>
        <v/>
      </c>
      <c r="H31" s="520" t="str">
        <f>IF(E31="","",IF(ISNA(VLOOKUP($E31,'A-1 Site Habitat Baseline'!$D$1:$O$258,6,FALSE)),"",(VLOOKUP($E31,'A-1 Site Habitat Baseline'!$D$1:$O$258,6,FALSE))))</f>
        <v/>
      </c>
      <c r="I31" s="520" t="str">
        <f>IF(E31="","",IF(ISNA(VLOOKUP($E31,'A-1 Site Habitat Baseline'!$D$1:$O$258,7,FALSE)),"",(VLOOKUP($E31,'A-1 Site Habitat Baseline'!$D$1:$O$258,7,FALSE))))</f>
        <v/>
      </c>
      <c r="J31" s="520" t="str">
        <f>IF(E31="","",IF(ISNA(VLOOKUP($E31,'A-1 Site Habitat Baseline'!$D$1:$O$258,8,FALSE)),"",(VLOOKUP($E31,'A-1 Site Habitat Baseline'!$D$1:$O$258,8,FALSE))))</f>
        <v/>
      </c>
      <c r="K31" s="520" t="str">
        <f>IF(E31="","",IF(ISNA(VLOOKUP($E31,'A-1 Site Habitat Baseline'!$D$1:$O$258,9,FALSE)),"",(VLOOKUP($E31,'A-1 Site Habitat Baseline'!$D$1:$O$258,9,FALSE))))</f>
        <v/>
      </c>
      <c r="L31" s="520" t="str">
        <f>IF(E31="","",IF(ISNA(VLOOKUP($E31,'A-1 Site Habitat Baseline'!$D$1:$O$258,11,FALSE)),"",(VLOOKUP($E31,'A-1 Site Habitat Baseline'!$D$1:$O$258,11,FALSE))))</f>
        <v/>
      </c>
      <c r="M31" s="520" t="str">
        <f>IF(E31="","",IF(ISNA(VLOOKUP($E31,'A-1 Site Habitat Baseline'!$D$1:$O$258,12,FALSE)),"",(VLOOKUP($E31,'A-1 Site Habitat Baseline'!$D$1:$O$258,12,FALSE))))</f>
        <v/>
      </c>
      <c r="N31" s="532" t="str">
        <f>IF(E31="","",IF(ISNA(VLOOKUP($E31,'A-1 Site Habitat Baseline'!$D$1:$X$258,14,FALSE)),"",(VLOOKUP($E31,'A-1 Site Habitat Baseline'!$D$1:$X$258,14,FALSE))))</f>
        <v/>
      </c>
      <c r="O31" s="524" t="str">
        <f>IF(E31="","",IF(ISNA(VLOOKUP($E31,'A-1 Site Habitat Baseline'!$D$1:$X$258,16,FALSE)),"",(VLOOKUP($E31,'A-1 Site Habitat Baseline'!$D$1:$X$258,13,FALSE))))</f>
        <v/>
      </c>
      <c r="P31" s="237" t="str">
        <f>IFERROR(INDEX('G-1 All Habitats'!$AG$3:$AG$15,MATCH(Q31,'G-1 All Habitats'!$AF$3:$AF$15,0)),"")</f>
        <v/>
      </c>
      <c r="Q31" s="238" t="str">
        <f t="shared" si="9"/>
        <v/>
      </c>
      <c r="R31" s="238" t="str">
        <f t="shared" si="10"/>
        <v/>
      </c>
      <c r="S31" s="392" t="str">
        <f>IFERROR(INDEX('G-1 All Habitats'!$B$3:$B$129,MATCH(R31,'G-1 All Habitats'!$A$3:$A$129,0)),"")</f>
        <v/>
      </c>
      <c r="T31" s="498" t="str">
        <f t="shared" si="1"/>
        <v/>
      </c>
      <c r="U31" s="499" t="str">
        <f t="shared" si="2"/>
        <v/>
      </c>
      <c r="V31" s="537" t="str">
        <f t="shared" si="3"/>
        <v/>
      </c>
      <c r="W31" s="520" t="str">
        <f>IF(S31="","",VLOOKUP(S31,'G-1 All Habitats'!$B$2:$M$129,10,FALSE))</f>
        <v/>
      </c>
      <c r="X31" s="520" t="str">
        <f>IFERROR(VLOOKUP(W31,'G-1 All Habitats'!$V$3:$W$7,2,FALSE),"")</f>
        <v/>
      </c>
      <c r="Y31" s="79"/>
      <c r="Z31" s="524" t="str">
        <f>IFERROR(INDEX('G-8 Condition Look up'!$A$3:$H$130,MATCH(S31,'G-8 Condition Look up'!$A$3:$A$130,0),MATCH(Y31,'G-8 Condition Look up'!$A$3:$H$3,0)),"")</f>
        <v/>
      </c>
      <c r="AA31" s="71"/>
      <c r="AB31" s="520" t="str">
        <f>IF(AA31="","",IF(VLOOKUP(AA31,'G-3 Multipliers'!$L$3:$N$6,2,FALSE)=0,"Spatial Data Missing ⚠",VLOOKUP(AA31,'G-3 Multipliers'!$L$3:$N$6,2,FALSE)))</f>
        <v/>
      </c>
      <c r="AC31" s="524" t="str">
        <f>IF(AA31="","",IF(VLOOKUP(AA31,'G-3 Multipliers'!$L$3:$N$6,3,FALSE)=0,"Spatial Data Missing ⚠",VLOOKUP(AA31,'G-3 Multipliers'!$L$3:$N$6,3,FALSE)))</f>
        <v/>
      </c>
      <c r="AD31" s="539" t="str">
        <f t="shared" si="0"/>
        <v/>
      </c>
      <c r="AE31" s="82"/>
      <c r="AF31" s="82"/>
      <c r="AG31" s="507" t="str">
        <f t="shared" si="4"/>
        <v/>
      </c>
      <c r="AH31" s="521" t="str">
        <f t="shared" si="5"/>
        <v/>
      </c>
      <c r="AI31" s="522" t="str">
        <f>IF(AH31="Check Data","Check Data",IFERROR(VLOOKUP(AH31,'G-4 Temporal multipliers'!$A$4:$C$36,3,FALSE),""))</f>
        <v/>
      </c>
      <c r="AJ31" s="498" t="str">
        <f>IF(S31="","",VLOOKUP(S31,'G-3 Multipliers'!$A$2:$E$129,4,FALSE))</f>
        <v/>
      </c>
      <c r="AK31" s="507" t="str">
        <f t="shared" si="6"/>
        <v/>
      </c>
      <c r="AL31" s="507" t="str">
        <f t="shared" si="7"/>
        <v/>
      </c>
      <c r="AM31" s="540" t="str">
        <f>IFERROR(IF(F31="","",IF(AH31="Check Data ⚠","Check Data ⚠",VLOOKUP(AL31, 'G-3 Multipliers'!$P$2:$Q$6,2,FALSE))),"")</f>
        <v/>
      </c>
      <c r="AN31" s="513" t="str">
        <f t="shared" si="8"/>
        <v/>
      </c>
      <c r="AO31" s="239"/>
      <c r="AP31" s="240"/>
    </row>
    <row r="32" spans="1:42" x14ac:dyDescent="0.3">
      <c r="A32" s="47" t="str">
        <f>IF(E32="","",IF(ISNA(VLOOKUP($E32,'A-1 Site Habitat Baseline'!$D$1:$O$258,2,FALSE)),"",(VLOOKUP($E32,'A-1 Site Habitat Baseline'!$D$1:$O$258,2,FALSE))))</f>
        <v/>
      </c>
      <c r="B32" s="47" t="str">
        <f>IF(E32="","",IF(ISNA(VLOOKUP($E32,'A-1 Site Habitat Baseline'!$D$1:$O$258,3,FALSE)),"",(VLOOKUP($E32,'A-1 Site Habitat Baseline'!$D$1:$O$258,3,FALSE))))</f>
        <v/>
      </c>
      <c r="C32" s="47" t="str">
        <f>IFERROR(INDEX('G-8 Condition Look up'!$I$4:$I$130,MATCH(S32,'G-8 Condition Look up'!$A$4:$A$130,0)),"")</f>
        <v/>
      </c>
      <c r="E32" s="531" t="str">
        <f>'A-1 Site Habitat Baseline'!AL31</f>
        <v/>
      </c>
      <c r="F32" s="520" t="str">
        <f>IF(E32="","",IF(ISNA(VLOOKUP($E32,'A-1 Site Habitat Baseline'!$D$1:$O$258,4,FALSE)),"",(VLOOKUP($E32,'A-1 Site Habitat Baseline'!$D$1:$O$258,4,FALSE))))</f>
        <v/>
      </c>
      <c r="G32" s="520" t="str">
        <f>IF(E32="","",IF(ISNA(VLOOKUP($E32,'A-1 Site Habitat Baseline'!$D$1:$O$258,5,FALSE)),"",(VLOOKUP($E32,'A-1 Site Habitat Baseline'!$D$1:$O$258,5,FALSE))))</f>
        <v/>
      </c>
      <c r="H32" s="520" t="str">
        <f>IF(E32="","",IF(ISNA(VLOOKUP($E32,'A-1 Site Habitat Baseline'!$D$1:$O$258,6,FALSE)),"",(VLOOKUP($E32,'A-1 Site Habitat Baseline'!$D$1:$O$258,6,FALSE))))</f>
        <v/>
      </c>
      <c r="I32" s="520" t="str">
        <f>IF(E32="","",IF(ISNA(VLOOKUP($E32,'A-1 Site Habitat Baseline'!$D$1:$O$258,7,FALSE)),"",(VLOOKUP($E32,'A-1 Site Habitat Baseline'!$D$1:$O$258,7,FALSE))))</f>
        <v/>
      </c>
      <c r="J32" s="520" t="str">
        <f>IF(E32="","",IF(ISNA(VLOOKUP($E32,'A-1 Site Habitat Baseline'!$D$1:$O$258,8,FALSE)),"",(VLOOKUP($E32,'A-1 Site Habitat Baseline'!$D$1:$O$258,8,FALSE))))</f>
        <v/>
      </c>
      <c r="K32" s="520" t="str">
        <f>IF(E32="","",IF(ISNA(VLOOKUP($E32,'A-1 Site Habitat Baseline'!$D$1:$O$258,9,FALSE)),"",(VLOOKUP($E32,'A-1 Site Habitat Baseline'!$D$1:$O$258,9,FALSE))))</f>
        <v/>
      </c>
      <c r="L32" s="520" t="str">
        <f>IF(E32="","",IF(ISNA(VLOOKUP($E32,'A-1 Site Habitat Baseline'!$D$1:$O$258,11,FALSE)),"",(VLOOKUP($E32,'A-1 Site Habitat Baseline'!$D$1:$O$258,11,FALSE))))</f>
        <v/>
      </c>
      <c r="M32" s="520" t="str">
        <f>IF(E32="","",IF(ISNA(VLOOKUP($E32,'A-1 Site Habitat Baseline'!$D$1:$O$258,12,FALSE)),"",(VLOOKUP($E32,'A-1 Site Habitat Baseline'!$D$1:$O$258,12,FALSE))))</f>
        <v/>
      </c>
      <c r="N32" s="532" t="str">
        <f>IF(E32="","",IF(ISNA(VLOOKUP($E32,'A-1 Site Habitat Baseline'!$D$1:$X$258,14,FALSE)),"",(VLOOKUP($E32,'A-1 Site Habitat Baseline'!$D$1:$X$258,14,FALSE))))</f>
        <v/>
      </c>
      <c r="O32" s="524" t="str">
        <f>IF(E32="","",IF(ISNA(VLOOKUP($E32,'A-1 Site Habitat Baseline'!$D$1:$X$258,16,FALSE)),"",(VLOOKUP($E32,'A-1 Site Habitat Baseline'!$D$1:$X$258,13,FALSE))))</f>
        <v/>
      </c>
      <c r="P32" s="237" t="str">
        <f>IFERROR(INDEX('G-1 All Habitats'!$AG$3:$AG$15,MATCH(Q32,'G-1 All Habitats'!$AF$3:$AF$15,0)),"")</f>
        <v/>
      </c>
      <c r="Q32" s="238" t="str">
        <f t="shared" si="9"/>
        <v/>
      </c>
      <c r="R32" s="238" t="str">
        <f t="shared" si="10"/>
        <v/>
      </c>
      <c r="S32" s="392" t="str">
        <f>IFERROR(INDEX('G-1 All Habitats'!$B$3:$B$129,MATCH(R32,'G-1 All Habitats'!$A$3:$A$129,0)),"")</f>
        <v/>
      </c>
      <c r="T32" s="498" t="str">
        <f t="shared" si="1"/>
        <v/>
      </c>
      <c r="U32" s="499" t="str">
        <f t="shared" si="2"/>
        <v/>
      </c>
      <c r="V32" s="537" t="str">
        <f t="shared" si="3"/>
        <v/>
      </c>
      <c r="W32" s="520" t="str">
        <f>IF(S32="","",VLOOKUP(S32,'G-1 All Habitats'!$B$2:$M$129,10,FALSE))</f>
        <v/>
      </c>
      <c r="X32" s="520" t="str">
        <f>IFERROR(VLOOKUP(W32,'G-1 All Habitats'!$V$3:$W$7,2,FALSE),"")</f>
        <v/>
      </c>
      <c r="Y32" s="79"/>
      <c r="Z32" s="524" t="str">
        <f>IFERROR(INDEX('G-8 Condition Look up'!$A$3:$H$130,MATCH(S32,'G-8 Condition Look up'!$A$3:$A$130,0),MATCH(Y32,'G-8 Condition Look up'!$A$3:$H$3,0)),"")</f>
        <v/>
      </c>
      <c r="AA32" s="71"/>
      <c r="AB32" s="520" t="str">
        <f>IF(AA32="","",IF(VLOOKUP(AA32,'G-3 Multipliers'!$L$3:$N$6,2,FALSE)=0,"Spatial Data Missing ⚠",VLOOKUP(AA32,'G-3 Multipliers'!$L$3:$N$6,2,FALSE)))</f>
        <v/>
      </c>
      <c r="AC32" s="524" t="str">
        <f>IF(AA32="","",IF(VLOOKUP(AA32,'G-3 Multipliers'!$L$3:$N$6,3,FALSE)=0,"Spatial Data Missing ⚠",VLOOKUP(AA32,'G-3 Multipliers'!$L$3:$N$6,3,FALSE)))</f>
        <v/>
      </c>
      <c r="AD32" s="539" t="str">
        <f t="shared" si="0"/>
        <v/>
      </c>
      <c r="AE32" s="82"/>
      <c r="AF32" s="82"/>
      <c r="AG32" s="507" t="str">
        <f t="shared" si="4"/>
        <v/>
      </c>
      <c r="AH32" s="521" t="str">
        <f t="shared" si="5"/>
        <v/>
      </c>
      <c r="AI32" s="522" t="str">
        <f>IF(AH32="Check Data","Check Data",IFERROR(VLOOKUP(AH32,'G-4 Temporal multipliers'!$A$4:$C$36,3,FALSE),""))</f>
        <v/>
      </c>
      <c r="AJ32" s="498" t="str">
        <f>IF(S32="","",VLOOKUP(S32,'G-3 Multipliers'!$A$2:$E$129,4,FALSE))</f>
        <v/>
      </c>
      <c r="AK32" s="507" t="str">
        <f t="shared" si="6"/>
        <v/>
      </c>
      <c r="AL32" s="507" t="str">
        <f t="shared" si="7"/>
        <v/>
      </c>
      <c r="AM32" s="540" t="str">
        <f>IFERROR(IF(F32="","",IF(AH32="Check Data ⚠","Check Data ⚠",VLOOKUP(AL32, 'G-3 Multipliers'!$P$2:$Q$6,2,FALSE))),"")</f>
        <v/>
      </c>
      <c r="AN32" s="513" t="str">
        <f t="shared" si="8"/>
        <v/>
      </c>
      <c r="AO32" s="239"/>
      <c r="AP32" s="240"/>
    </row>
    <row r="33" spans="1:42" x14ac:dyDescent="0.3">
      <c r="A33" s="47" t="str">
        <f>IF(E33="","",IF(ISNA(VLOOKUP($E33,'A-1 Site Habitat Baseline'!$D$1:$O$258,2,FALSE)),"",(VLOOKUP($E33,'A-1 Site Habitat Baseline'!$D$1:$O$258,2,FALSE))))</f>
        <v/>
      </c>
      <c r="B33" s="47" t="str">
        <f>IF(E33="","",IF(ISNA(VLOOKUP($E33,'A-1 Site Habitat Baseline'!$D$1:$O$258,3,FALSE)),"",(VLOOKUP($E33,'A-1 Site Habitat Baseline'!$D$1:$O$258,3,FALSE))))</f>
        <v/>
      </c>
      <c r="C33" s="47" t="str">
        <f>IFERROR(INDEX('G-8 Condition Look up'!$I$4:$I$130,MATCH(S33,'G-8 Condition Look up'!$A$4:$A$130,0)),"")</f>
        <v/>
      </c>
      <c r="E33" s="531" t="str">
        <f>'A-1 Site Habitat Baseline'!AL32</f>
        <v/>
      </c>
      <c r="F33" s="520" t="str">
        <f>IF(E33="","",IF(ISNA(VLOOKUP($E33,'A-1 Site Habitat Baseline'!$D$1:$O$258,4,FALSE)),"",(VLOOKUP($E33,'A-1 Site Habitat Baseline'!$D$1:$O$258,4,FALSE))))</f>
        <v/>
      </c>
      <c r="G33" s="520" t="str">
        <f>IF(E33="","",IF(ISNA(VLOOKUP($E33,'A-1 Site Habitat Baseline'!$D$1:$O$258,5,FALSE)),"",(VLOOKUP($E33,'A-1 Site Habitat Baseline'!$D$1:$O$258,5,FALSE))))</f>
        <v/>
      </c>
      <c r="H33" s="520" t="str">
        <f>IF(E33="","",IF(ISNA(VLOOKUP($E33,'A-1 Site Habitat Baseline'!$D$1:$O$258,6,FALSE)),"",(VLOOKUP($E33,'A-1 Site Habitat Baseline'!$D$1:$O$258,6,FALSE))))</f>
        <v/>
      </c>
      <c r="I33" s="520" t="str">
        <f>IF(E33="","",IF(ISNA(VLOOKUP($E33,'A-1 Site Habitat Baseline'!$D$1:$O$258,7,FALSE)),"",(VLOOKUP($E33,'A-1 Site Habitat Baseline'!$D$1:$O$258,7,FALSE))))</f>
        <v/>
      </c>
      <c r="J33" s="520" t="str">
        <f>IF(E33="","",IF(ISNA(VLOOKUP($E33,'A-1 Site Habitat Baseline'!$D$1:$O$258,8,FALSE)),"",(VLOOKUP($E33,'A-1 Site Habitat Baseline'!$D$1:$O$258,8,FALSE))))</f>
        <v/>
      </c>
      <c r="K33" s="520" t="str">
        <f>IF(E33="","",IF(ISNA(VLOOKUP($E33,'A-1 Site Habitat Baseline'!$D$1:$O$258,9,FALSE)),"",(VLOOKUP($E33,'A-1 Site Habitat Baseline'!$D$1:$O$258,9,FALSE))))</f>
        <v/>
      </c>
      <c r="L33" s="520" t="str">
        <f>IF(E33="","",IF(ISNA(VLOOKUP($E33,'A-1 Site Habitat Baseline'!$D$1:$O$258,11,FALSE)),"",(VLOOKUP($E33,'A-1 Site Habitat Baseline'!$D$1:$O$258,11,FALSE))))</f>
        <v/>
      </c>
      <c r="M33" s="520" t="str">
        <f>IF(E33="","",IF(ISNA(VLOOKUP($E33,'A-1 Site Habitat Baseline'!$D$1:$O$258,12,FALSE)),"",(VLOOKUP($E33,'A-1 Site Habitat Baseline'!$D$1:$O$258,12,FALSE))))</f>
        <v/>
      </c>
      <c r="N33" s="532" t="str">
        <f>IF(E33="","",IF(ISNA(VLOOKUP($E33,'A-1 Site Habitat Baseline'!$D$1:$X$258,14,FALSE)),"",(VLOOKUP($E33,'A-1 Site Habitat Baseline'!$D$1:$X$258,14,FALSE))))</f>
        <v/>
      </c>
      <c r="O33" s="524" t="str">
        <f>IF(E33="","",IF(ISNA(VLOOKUP($E33,'A-1 Site Habitat Baseline'!$D$1:$X$258,16,FALSE)),"",(VLOOKUP($E33,'A-1 Site Habitat Baseline'!$D$1:$X$258,13,FALSE))))</f>
        <v/>
      </c>
      <c r="P33" s="237" t="str">
        <f>IFERROR(INDEX('G-1 All Habitats'!$AG$3:$AG$15,MATCH(Q33,'G-1 All Habitats'!$AF$3:$AF$15,0)),"")</f>
        <v/>
      </c>
      <c r="Q33" s="238" t="str">
        <f t="shared" si="9"/>
        <v/>
      </c>
      <c r="R33" s="238" t="str">
        <f t="shared" si="10"/>
        <v/>
      </c>
      <c r="S33" s="392" t="str">
        <f>IFERROR(INDEX('G-1 All Habitats'!$B$3:$B$129,MATCH(R33,'G-1 All Habitats'!$A$3:$A$129,0)),"")</f>
        <v/>
      </c>
      <c r="T33" s="498" t="str">
        <f t="shared" si="1"/>
        <v/>
      </c>
      <c r="U33" s="499" t="str">
        <f t="shared" si="2"/>
        <v/>
      </c>
      <c r="V33" s="537" t="str">
        <f t="shared" si="3"/>
        <v/>
      </c>
      <c r="W33" s="520" t="str">
        <f>IF(S33="","",VLOOKUP(S33,'G-1 All Habitats'!$B$2:$M$129,10,FALSE))</f>
        <v/>
      </c>
      <c r="X33" s="520" t="str">
        <f>IFERROR(VLOOKUP(W33,'G-1 All Habitats'!$V$3:$W$7,2,FALSE),"")</f>
        <v/>
      </c>
      <c r="Y33" s="79"/>
      <c r="Z33" s="524" t="str">
        <f>IFERROR(INDEX('G-8 Condition Look up'!$A$3:$H$130,MATCH(S33,'G-8 Condition Look up'!$A$3:$A$130,0),MATCH(Y33,'G-8 Condition Look up'!$A$3:$H$3,0)),"")</f>
        <v/>
      </c>
      <c r="AA33" s="71"/>
      <c r="AB33" s="520" t="str">
        <f>IF(AA33="","",IF(VLOOKUP(AA33,'G-3 Multipliers'!$L$3:$N$6,2,FALSE)=0,"Spatial Data Missing ⚠",VLOOKUP(AA33,'G-3 Multipliers'!$L$3:$N$6,2,FALSE)))</f>
        <v/>
      </c>
      <c r="AC33" s="524" t="str">
        <f>IF(AA33="","",IF(VLOOKUP(AA33,'G-3 Multipliers'!$L$3:$N$6,3,FALSE)=0,"Spatial Data Missing ⚠",VLOOKUP(AA33,'G-3 Multipliers'!$L$3:$N$6,3,FALSE)))</f>
        <v/>
      </c>
      <c r="AD33" s="539" t="str">
        <f t="shared" si="0"/>
        <v/>
      </c>
      <c r="AE33" s="82"/>
      <c r="AF33" s="82"/>
      <c r="AG33" s="507" t="str">
        <f t="shared" si="4"/>
        <v/>
      </c>
      <c r="AH33" s="521" t="str">
        <f t="shared" si="5"/>
        <v/>
      </c>
      <c r="AI33" s="522" t="str">
        <f>IF(AH33="Check Data","Check Data",IFERROR(VLOOKUP(AH33,'G-4 Temporal multipliers'!$A$4:$C$36,3,FALSE),""))</f>
        <v/>
      </c>
      <c r="AJ33" s="498" t="str">
        <f>IF(S33="","",VLOOKUP(S33,'G-3 Multipliers'!$A$2:$E$129,4,FALSE))</f>
        <v/>
      </c>
      <c r="AK33" s="507" t="str">
        <f t="shared" si="6"/>
        <v/>
      </c>
      <c r="AL33" s="507" t="str">
        <f t="shared" si="7"/>
        <v/>
      </c>
      <c r="AM33" s="540" t="str">
        <f>IFERROR(IF(F33="","",IF(AH33="Check Data ⚠","Check Data ⚠",VLOOKUP(AL33, 'G-3 Multipliers'!$P$2:$Q$6,2,FALSE))),"")</f>
        <v/>
      </c>
      <c r="AN33" s="513" t="str">
        <f t="shared" si="8"/>
        <v/>
      </c>
      <c r="AO33" s="239"/>
      <c r="AP33" s="240"/>
    </row>
    <row r="34" spans="1:42" x14ac:dyDescent="0.3">
      <c r="A34" s="47" t="str">
        <f>IF(E34="","",IF(ISNA(VLOOKUP($E34,'A-1 Site Habitat Baseline'!$D$1:$O$258,2,FALSE)),"",(VLOOKUP($E34,'A-1 Site Habitat Baseline'!$D$1:$O$258,2,FALSE))))</f>
        <v/>
      </c>
      <c r="B34" s="47" t="str">
        <f>IF(E34="","",IF(ISNA(VLOOKUP($E34,'A-1 Site Habitat Baseline'!$D$1:$O$258,3,FALSE)),"",(VLOOKUP($E34,'A-1 Site Habitat Baseline'!$D$1:$O$258,3,FALSE))))</f>
        <v/>
      </c>
      <c r="C34" s="47" t="str">
        <f>IFERROR(INDEX('G-8 Condition Look up'!$I$4:$I$130,MATCH(S34,'G-8 Condition Look up'!$A$4:$A$130,0)),"")</f>
        <v/>
      </c>
      <c r="E34" s="531" t="str">
        <f>'A-1 Site Habitat Baseline'!AL33</f>
        <v/>
      </c>
      <c r="F34" s="520" t="str">
        <f>IF(E34="","",IF(ISNA(VLOOKUP($E34,'A-1 Site Habitat Baseline'!$D$1:$O$258,4,FALSE)),"",(VLOOKUP($E34,'A-1 Site Habitat Baseline'!$D$1:$O$258,4,FALSE))))</f>
        <v/>
      </c>
      <c r="G34" s="520" t="str">
        <f>IF(E34="","",IF(ISNA(VLOOKUP($E34,'A-1 Site Habitat Baseline'!$D$1:$O$258,5,FALSE)),"",(VLOOKUP($E34,'A-1 Site Habitat Baseline'!$D$1:$O$258,5,FALSE))))</f>
        <v/>
      </c>
      <c r="H34" s="520" t="str">
        <f>IF(E34="","",IF(ISNA(VLOOKUP($E34,'A-1 Site Habitat Baseline'!$D$1:$O$258,6,FALSE)),"",(VLOOKUP($E34,'A-1 Site Habitat Baseline'!$D$1:$O$258,6,FALSE))))</f>
        <v/>
      </c>
      <c r="I34" s="520" t="str">
        <f>IF(E34="","",IF(ISNA(VLOOKUP($E34,'A-1 Site Habitat Baseline'!$D$1:$O$258,7,FALSE)),"",(VLOOKUP($E34,'A-1 Site Habitat Baseline'!$D$1:$O$258,7,FALSE))))</f>
        <v/>
      </c>
      <c r="J34" s="520" t="str">
        <f>IF(E34="","",IF(ISNA(VLOOKUP($E34,'A-1 Site Habitat Baseline'!$D$1:$O$258,8,FALSE)),"",(VLOOKUP($E34,'A-1 Site Habitat Baseline'!$D$1:$O$258,8,FALSE))))</f>
        <v/>
      </c>
      <c r="K34" s="520" t="str">
        <f>IF(E34="","",IF(ISNA(VLOOKUP($E34,'A-1 Site Habitat Baseline'!$D$1:$O$258,9,FALSE)),"",(VLOOKUP($E34,'A-1 Site Habitat Baseline'!$D$1:$O$258,9,FALSE))))</f>
        <v/>
      </c>
      <c r="L34" s="520" t="str">
        <f>IF(E34="","",IF(ISNA(VLOOKUP($E34,'A-1 Site Habitat Baseline'!$D$1:$O$258,11,FALSE)),"",(VLOOKUP($E34,'A-1 Site Habitat Baseline'!$D$1:$O$258,11,FALSE))))</f>
        <v/>
      </c>
      <c r="M34" s="520" t="str">
        <f>IF(E34="","",IF(ISNA(VLOOKUP($E34,'A-1 Site Habitat Baseline'!$D$1:$O$258,12,FALSE)),"",(VLOOKUP($E34,'A-1 Site Habitat Baseline'!$D$1:$O$258,12,FALSE))))</f>
        <v/>
      </c>
      <c r="N34" s="532" t="str">
        <f>IF(E34="","",IF(ISNA(VLOOKUP($E34,'A-1 Site Habitat Baseline'!$D$1:$X$258,14,FALSE)),"",(VLOOKUP($E34,'A-1 Site Habitat Baseline'!$D$1:$X$258,14,FALSE))))</f>
        <v/>
      </c>
      <c r="O34" s="524" t="str">
        <f>IF(E34="","",IF(ISNA(VLOOKUP($E34,'A-1 Site Habitat Baseline'!$D$1:$X$258,16,FALSE)),"",(VLOOKUP($E34,'A-1 Site Habitat Baseline'!$D$1:$X$258,13,FALSE))))</f>
        <v/>
      </c>
      <c r="P34" s="237" t="str">
        <f>IFERROR(INDEX('G-1 All Habitats'!$AG$3:$AG$15,MATCH(Q34,'G-1 All Habitats'!$AF$3:$AF$15,0)),"")</f>
        <v/>
      </c>
      <c r="Q34" s="238" t="str">
        <f t="shared" si="9"/>
        <v/>
      </c>
      <c r="R34" s="238" t="str">
        <f t="shared" si="10"/>
        <v/>
      </c>
      <c r="S34" s="392" t="str">
        <f>IFERROR(INDEX('G-1 All Habitats'!$B$3:$B$129,MATCH(R34,'G-1 All Habitats'!$A$3:$A$129,0)),"")</f>
        <v/>
      </c>
      <c r="T34" s="498" t="str">
        <f t="shared" si="1"/>
        <v/>
      </c>
      <c r="U34" s="499" t="str">
        <f t="shared" si="2"/>
        <v/>
      </c>
      <c r="V34" s="537" t="str">
        <f t="shared" si="3"/>
        <v/>
      </c>
      <c r="W34" s="520" t="str">
        <f>IF(S34="","",VLOOKUP(S34,'G-1 All Habitats'!$B$2:$M$129,10,FALSE))</f>
        <v/>
      </c>
      <c r="X34" s="520" t="str">
        <f>IFERROR(VLOOKUP(W34,'G-1 All Habitats'!$V$3:$W$7,2,FALSE),"")</f>
        <v/>
      </c>
      <c r="Y34" s="79"/>
      <c r="Z34" s="524" t="str">
        <f>IFERROR(INDEX('G-8 Condition Look up'!$A$3:$H$130,MATCH(S34,'G-8 Condition Look up'!$A$3:$A$130,0),MATCH(Y34,'G-8 Condition Look up'!$A$3:$H$3,0)),"")</f>
        <v/>
      </c>
      <c r="AA34" s="71"/>
      <c r="AB34" s="520" t="str">
        <f>IF(AA34="","",IF(VLOOKUP(AA34,'G-3 Multipliers'!$L$3:$N$6,2,FALSE)=0,"Spatial Data Missing ⚠",VLOOKUP(AA34,'G-3 Multipliers'!$L$3:$N$6,2,FALSE)))</f>
        <v/>
      </c>
      <c r="AC34" s="524" t="str">
        <f>IF(AA34="","",IF(VLOOKUP(AA34,'G-3 Multipliers'!$L$3:$N$6,3,FALSE)=0,"Spatial Data Missing ⚠",VLOOKUP(AA34,'G-3 Multipliers'!$L$3:$N$6,3,FALSE)))</f>
        <v/>
      </c>
      <c r="AD34" s="539" t="str">
        <f t="shared" si="0"/>
        <v/>
      </c>
      <c r="AE34" s="82"/>
      <c r="AF34" s="82"/>
      <c r="AG34" s="507" t="str">
        <f t="shared" si="4"/>
        <v/>
      </c>
      <c r="AH34" s="521" t="str">
        <f t="shared" si="5"/>
        <v/>
      </c>
      <c r="AI34" s="522" t="str">
        <f>IF(AH34="Check Data","Check Data",IFERROR(VLOOKUP(AH34,'G-4 Temporal multipliers'!$A$4:$C$36,3,FALSE),""))</f>
        <v/>
      </c>
      <c r="AJ34" s="498" t="str">
        <f>IF(S34="","",VLOOKUP(S34,'G-3 Multipliers'!$A$2:$E$129,4,FALSE))</f>
        <v/>
      </c>
      <c r="AK34" s="507" t="str">
        <f t="shared" si="6"/>
        <v/>
      </c>
      <c r="AL34" s="507" t="str">
        <f t="shared" si="7"/>
        <v/>
      </c>
      <c r="AM34" s="540" t="str">
        <f>IFERROR(IF(F34="","",IF(AH34="Check Data ⚠","Check Data ⚠",VLOOKUP(AL34, 'G-3 Multipliers'!$P$2:$Q$6,2,FALSE))),"")</f>
        <v/>
      </c>
      <c r="AN34" s="513" t="str">
        <f t="shared" si="8"/>
        <v/>
      </c>
      <c r="AO34" s="239"/>
      <c r="AP34" s="240"/>
    </row>
    <row r="35" spans="1:42" x14ac:dyDescent="0.3">
      <c r="A35" s="47" t="str">
        <f>IF(E35="","",IF(ISNA(VLOOKUP($E35,'A-1 Site Habitat Baseline'!$D$1:$O$258,2,FALSE)),"",(VLOOKUP($E35,'A-1 Site Habitat Baseline'!$D$1:$O$258,2,FALSE))))</f>
        <v/>
      </c>
      <c r="B35" s="47" t="str">
        <f>IF(E35="","",IF(ISNA(VLOOKUP($E35,'A-1 Site Habitat Baseline'!$D$1:$O$258,3,FALSE)),"",(VLOOKUP($E35,'A-1 Site Habitat Baseline'!$D$1:$O$258,3,FALSE))))</f>
        <v/>
      </c>
      <c r="C35" s="47" t="str">
        <f>IFERROR(INDEX('G-8 Condition Look up'!$I$4:$I$130,MATCH(S35,'G-8 Condition Look up'!$A$4:$A$130,0)),"")</f>
        <v/>
      </c>
      <c r="E35" s="531" t="str">
        <f>'A-1 Site Habitat Baseline'!AL34</f>
        <v/>
      </c>
      <c r="F35" s="520" t="str">
        <f>IF(E35="","",IF(ISNA(VLOOKUP($E35,'A-1 Site Habitat Baseline'!$D$1:$O$258,4,FALSE)),"",(VLOOKUP($E35,'A-1 Site Habitat Baseline'!$D$1:$O$258,4,FALSE))))</f>
        <v/>
      </c>
      <c r="G35" s="520" t="str">
        <f>IF(E35="","",IF(ISNA(VLOOKUP($E35,'A-1 Site Habitat Baseline'!$D$1:$O$258,5,FALSE)),"",(VLOOKUP($E35,'A-1 Site Habitat Baseline'!$D$1:$O$258,5,FALSE))))</f>
        <v/>
      </c>
      <c r="H35" s="520" t="str">
        <f>IF(E35="","",IF(ISNA(VLOOKUP($E35,'A-1 Site Habitat Baseline'!$D$1:$O$258,6,FALSE)),"",(VLOOKUP($E35,'A-1 Site Habitat Baseline'!$D$1:$O$258,6,FALSE))))</f>
        <v/>
      </c>
      <c r="I35" s="520" t="str">
        <f>IF(E35="","",IF(ISNA(VLOOKUP($E35,'A-1 Site Habitat Baseline'!$D$1:$O$258,7,FALSE)),"",(VLOOKUP($E35,'A-1 Site Habitat Baseline'!$D$1:$O$258,7,FALSE))))</f>
        <v/>
      </c>
      <c r="J35" s="520" t="str">
        <f>IF(E35="","",IF(ISNA(VLOOKUP($E35,'A-1 Site Habitat Baseline'!$D$1:$O$258,8,FALSE)),"",(VLOOKUP($E35,'A-1 Site Habitat Baseline'!$D$1:$O$258,8,FALSE))))</f>
        <v/>
      </c>
      <c r="K35" s="520" t="str">
        <f>IF(E35="","",IF(ISNA(VLOOKUP($E35,'A-1 Site Habitat Baseline'!$D$1:$O$258,9,FALSE)),"",(VLOOKUP($E35,'A-1 Site Habitat Baseline'!$D$1:$O$258,9,FALSE))))</f>
        <v/>
      </c>
      <c r="L35" s="520" t="str">
        <f>IF(E35="","",IF(ISNA(VLOOKUP($E35,'A-1 Site Habitat Baseline'!$D$1:$O$258,11,FALSE)),"",(VLOOKUP($E35,'A-1 Site Habitat Baseline'!$D$1:$O$258,11,FALSE))))</f>
        <v/>
      </c>
      <c r="M35" s="520" t="str">
        <f>IF(E35="","",IF(ISNA(VLOOKUP($E35,'A-1 Site Habitat Baseline'!$D$1:$O$258,12,FALSE)),"",(VLOOKUP($E35,'A-1 Site Habitat Baseline'!$D$1:$O$258,12,FALSE))))</f>
        <v/>
      </c>
      <c r="N35" s="532" t="str">
        <f>IF(E35="","",IF(ISNA(VLOOKUP($E35,'A-1 Site Habitat Baseline'!$D$1:$X$258,14,FALSE)),"",(VLOOKUP($E35,'A-1 Site Habitat Baseline'!$D$1:$X$258,14,FALSE))))</f>
        <v/>
      </c>
      <c r="O35" s="524" t="str">
        <f>IF(E35="","",IF(ISNA(VLOOKUP($E35,'A-1 Site Habitat Baseline'!$D$1:$X$258,16,FALSE)),"",(VLOOKUP($E35,'A-1 Site Habitat Baseline'!$D$1:$X$258,13,FALSE))))</f>
        <v/>
      </c>
      <c r="P35" s="237" t="str">
        <f>IFERROR(INDEX('G-1 All Habitats'!$AG$3:$AG$15,MATCH(Q35,'G-1 All Habitats'!$AF$3:$AF$15,0)),"")</f>
        <v/>
      </c>
      <c r="Q35" s="238" t="str">
        <f t="shared" si="9"/>
        <v/>
      </c>
      <c r="R35" s="238" t="str">
        <f t="shared" si="10"/>
        <v/>
      </c>
      <c r="S35" s="392" t="str">
        <f>IFERROR(INDEX('G-1 All Habitats'!$B$3:$B$129,MATCH(R35,'G-1 All Habitats'!$A$3:$A$129,0)),"")</f>
        <v/>
      </c>
      <c r="T35" s="498" t="str">
        <f t="shared" si="1"/>
        <v/>
      </c>
      <c r="U35" s="499" t="str">
        <f t="shared" si="2"/>
        <v/>
      </c>
      <c r="V35" s="537" t="str">
        <f t="shared" si="3"/>
        <v/>
      </c>
      <c r="W35" s="520" t="str">
        <f>IF(S35="","",VLOOKUP(S35,'G-1 All Habitats'!$B$2:$M$129,10,FALSE))</f>
        <v/>
      </c>
      <c r="X35" s="520" t="str">
        <f>IFERROR(VLOOKUP(W35,'G-1 All Habitats'!$V$3:$W$7,2,FALSE),"")</f>
        <v/>
      </c>
      <c r="Y35" s="79"/>
      <c r="Z35" s="524" t="str">
        <f>IFERROR(INDEX('G-8 Condition Look up'!$A$3:$H$130,MATCH(S35,'G-8 Condition Look up'!$A$3:$A$130,0),MATCH(Y35,'G-8 Condition Look up'!$A$3:$H$3,0)),"")</f>
        <v/>
      </c>
      <c r="AA35" s="71"/>
      <c r="AB35" s="520" t="str">
        <f>IF(AA35="","",IF(VLOOKUP(AA35,'G-3 Multipliers'!$L$3:$N$6,2,FALSE)=0,"Spatial Data Missing ⚠",VLOOKUP(AA35,'G-3 Multipliers'!$L$3:$N$6,2,FALSE)))</f>
        <v/>
      </c>
      <c r="AC35" s="524" t="str">
        <f>IF(AA35="","",IF(VLOOKUP(AA35,'G-3 Multipliers'!$L$3:$N$6,3,FALSE)=0,"Spatial Data Missing ⚠",VLOOKUP(AA35,'G-3 Multipliers'!$L$3:$N$6,3,FALSE)))</f>
        <v/>
      </c>
      <c r="AD35" s="539" t="str">
        <f t="shared" si="0"/>
        <v/>
      </c>
      <c r="AE35" s="82"/>
      <c r="AF35" s="82"/>
      <c r="AG35" s="507" t="str">
        <f t="shared" si="4"/>
        <v/>
      </c>
      <c r="AH35" s="521" t="str">
        <f t="shared" si="5"/>
        <v/>
      </c>
      <c r="AI35" s="522" t="str">
        <f>IF(AH35="Check Data","Check Data",IFERROR(VLOOKUP(AH35,'G-4 Temporal multipliers'!$A$4:$C$36,3,FALSE),""))</f>
        <v/>
      </c>
      <c r="AJ35" s="498" t="str">
        <f>IF(S35="","",VLOOKUP(S35,'G-3 Multipliers'!$A$2:$E$129,4,FALSE))</f>
        <v/>
      </c>
      <c r="AK35" s="507" t="str">
        <f t="shared" si="6"/>
        <v/>
      </c>
      <c r="AL35" s="507" t="str">
        <f t="shared" si="7"/>
        <v/>
      </c>
      <c r="AM35" s="540" t="str">
        <f>IFERROR(IF(F35="","",IF(AH35="Check Data ⚠","Check Data ⚠",VLOOKUP(AL35, 'G-3 Multipliers'!$P$2:$Q$6,2,FALSE))),"")</f>
        <v/>
      </c>
      <c r="AN35" s="513" t="str">
        <f t="shared" si="8"/>
        <v/>
      </c>
      <c r="AO35" s="239"/>
      <c r="AP35" s="240"/>
    </row>
    <row r="36" spans="1:42" x14ac:dyDescent="0.3">
      <c r="A36" s="47" t="str">
        <f>IF(E36="","",IF(ISNA(VLOOKUP($E36,'A-1 Site Habitat Baseline'!$D$1:$O$258,2,FALSE)),"",(VLOOKUP($E36,'A-1 Site Habitat Baseline'!$D$1:$O$258,2,FALSE))))</f>
        <v/>
      </c>
      <c r="B36" s="47" t="str">
        <f>IF(E36="","",IF(ISNA(VLOOKUP($E36,'A-1 Site Habitat Baseline'!$D$1:$O$258,3,FALSE)),"",(VLOOKUP($E36,'A-1 Site Habitat Baseline'!$D$1:$O$258,3,FALSE))))</f>
        <v/>
      </c>
      <c r="C36" s="47" t="str">
        <f>IFERROR(INDEX('G-8 Condition Look up'!$I$4:$I$130,MATCH(S36,'G-8 Condition Look up'!$A$4:$A$130,0)),"")</f>
        <v/>
      </c>
      <c r="E36" s="531" t="str">
        <f>'A-1 Site Habitat Baseline'!AL35</f>
        <v/>
      </c>
      <c r="F36" s="520" t="str">
        <f>IF(E36="","",IF(ISNA(VLOOKUP($E36,'A-1 Site Habitat Baseline'!$D$1:$O$258,4,FALSE)),"",(VLOOKUP($E36,'A-1 Site Habitat Baseline'!$D$1:$O$258,4,FALSE))))</f>
        <v/>
      </c>
      <c r="G36" s="520" t="str">
        <f>IF(E36="","",IF(ISNA(VLOOKUP($E36,'A-1 Site Habitat Baseline'!$D$1:$O$258,5,FALSE)),"",(VLOOKUP($E36,'A-1 Site Habitat Baseline'!$D$1:$O$258,5,FALSE))))</f>
        <v/>
      </c>
      <c r="H36" s="520" t="str">
        <f>IF(E36="","",IF(ISNA(VLOOKUP($E36,'A-1 Site Habitat Baseline'!$D$1:$O$258,6,FALSE)),"",(VLOOKUP($E36,'A-1 Site Habitat Baseline'!$D$1:$O$258,6,FALSE))))</f>
        <v/>
      </c>
      <c r="I36" s="520" t="str">
        <f>IF(E36="","",IF(ISNA(VLOOKUP($E36,'A-1 Site Habitat Baseline'!$D$1:$O$258,7,FALSE)),"",(VLOOKUP($E36,'A-1 Site Habitat Baseline'!$D$1:$O$258,7,FALSE))))</f>
        <v/>
      </c>
      <c r="J36" s="520" t="str">
        <f>IF(E36="","",IF(ISNA(VLOOKUP($E36,'A-1 Site Habitat Baseline'!$D$1:$O$258,8,FALSE)),"",(VLOOKUP($E36,'A-1 Site Habitat Baseline'!$D$1:$O$258,8,FALSE))))</f>
        <v/>
      </c>
      <c r="K36" s="520" t="str">
        <f>IF(E36="","",IF(ISNA(VLOOKUP($E36,'A-1 Site Habitat Baseline'!$D$1:$O$258,9,FALSE)),"",(VLOOKUP($E36,'A-1 Site Habitat Baseline'!$D$1:$O$258,9,FALSE))))</f>
        <v/>
      </c>
      <c r="L36" s="520" t="str">
        <f>IF(E36="","",IF(ISNA(VLOOKUP($E36,'A-1 Site Habitat Baseline'!$D$1:$O$258,11,FALSE)),"",(VLOOKUP($E36,'A-1 Site Habitat Baseline'!$D$1:$O$258,11,FALSE))))</f>
        <v/>
      </c>
      <c r="M36" s="520" t="str">
        <f>IF(E36="","",IF(ISNA(VLOOKUP($E36,'A-1 Site Habitat Baseline'!$D$1:$O$258,12,FALSE)),"",(VLOOKUP($E36,'A-1 Site Habitat Baseline'!$D$1:$O$258,12,FALSE))))</f>
        <v/>
      </c>
      <c r="N36" s="532" t="str">
        <f>IF(E36="","",IF(ISNA(VLOOKUP($E36,'A-1 Site Habitat Baseline'!$D$1:$X$258,14,FALSE)),"",(VLOOKUP($E36,'A-1 Site Habitat Baseline'!$D$1:$X$258,14,FALSE))))</f>
        <v/>
      </c>
      <c r="O36" s="524" t="str">
        <f>IF(E36="","",IF(ISNA(VLOOKUP($E36,'A-1 Site Habitat Baseline'!$D$1:$X$258,16,FALSE)),"",(VLOOKUP($E36,'A-1 Site Habitat Baseline'!$D$1:$X$258,13,FALSE))))</f>
        <v/>
      </c>
      <c r="P36" s="237" t="str">
        <f>IFERROR(INDEX('G-1 All Habitats'!$AG$3:$AG$15,MATCH(Q36,'G-1 All Habitats'!$AF$3:$AF$15,0)),"")</f>
        <v/>
      </c>
      <c r="Q36" s="238" t="str">
        <f t="shared" si="9"/>
        <v/>
      </c>
      <c r="R36" s="238" t="str">
        <f t="shared" si="10"/>
        <v/>
      </c>
      <c r="S36" s="392" t="str">
        <f>IFERROR(INDEX('G-1 All Habitats'!$B$3:$B$129,MATCH(R36,'G-1 All Habitats'!$A$3:$A$129,0)),"")</f>
        <v/>
      </c>
      <c r="T36" s="498" t="str">
        <f t="shared" si="1"/>
        <v/>
      </c>
      <c r="U36" s="499" t="str">
        <f t="shared" si="2"/>
        <v/>
      </c>
      <c r="V36" s="537" t="str">
        <f t="shared" si="3"/>
        <v/>
      </c>
      <c r="W36" s="520" t="str">
        <f>IF(S36="","",VLOOKUP(S36,'G-1 All Habitats'!$B$2:$M$129,10,FALSE))</f>
        <v/>
      </c>
      <c r="X36" s="520" t="str">
        <f>IFERROR(VLOOKUP(W36,'G-1 All Habitats'!$V$3:$W$7,2,FALSE),"")</f>
        <v/>
      </c>
      <c r="Y36" s="79"/>
      <c r="Z36" s="524" t="str">
        <f>IFERROR(INDEX('G-8 Condition Look up'!$A$3:$H$130,MATCH(S36,'G-8 Condition Look up'!$A$3:$A$130,0),MATCH(Y36,'G-8 Condition Look up'!$A$3:$H$3,0)),"")</f>
        <v/>
      </c>
      <c r="AA36" s="71"/>
      <c r="AB36" s="520" t="str">
        <f>IF(AA36="","",IF(VLOOKUP(AA36,'G-3 Multipliers'!$L$3:$N$6,2,FALSE)=0,"Spatial Data Missing ⚠",VLOOKUP(AA36,'G-3 Multipliers'!$L$3:$N$6,2,FALSE)))</f>
        <v/>
      </c>
      <c r="AC36" s="524" t="str">
        <f>IF(AA36="","",IF(VLOOKUP(AA36,'G-3 Multipliers'!$L$3:$N$6,3,FALSE)=0,"Spatial Data Missing ⚠",VLOOKUP(AA36,'G-3 Multipliers'!$L$3:$N$6,3,FALSE)))</f>
        <v/>
      </c>
      <c r="AD36" s="539" t="str">
        <f t="shared" si="0"/>
        <v/>
      </c>
      <c r="AE36" s="82"/>
      <c r="AF36" s="82"/>
      <c r="AG36" s="507" t="str">
        <f t="shared" si="4"/>
        <v/>
      </c>
      <c r="AH36" s="521" t="str">
        <f t="shared" si="5"/>
        <v/>
      </c>
      <c r="AI36" s="522" t="str">
        <f>IF(AH36="Check Data","Check Data",IFERROR(VLOOKUP(AH36,'G-4 Temporal multipliers'!$A$4:$C$36,3,FALSE),""))</f>
        <v/>
      </c>
      <c r="AJ36" s="498" t="str">
        <f>IF(S36="","",VLOOKUP(S36,'G-3 Multipliers'!$A$2:$E$129,4,FALSE))</f>
        <v/>
      </c>
      <c r="AK36" s="507" t="str">
        <f t="shared" si="6"/>
        <v/>
      </c>
      <c r="AL36" s="507" t="str">
        <f t="shared" si="7"/>
        <v/>
      </c>
      <c r="AM36" s="540" t="str">
        <f>IFERROR(IF(F36="","",IF(AH36="Check Data ⚠","Check Data ⚠",VLOOKUP(AL36, 'G-3 Multipliers'!$P$2:$Q$6,2,FALSE))),"")</f>
        <v/>
      </c>
      <c r="AN36" s="513" t="str">
        <f t="shared" si="8"/>
        <v/>
      </c>
      <c r="AO36" s="239"/>
      <c r="AP36" s="240"/>
    </row>
    <row r="37" spans="1:42" x14ac:dyDescent="0.3">
      <c r="A37" s="47" t="str">
        <f>IF(E37="","",IF(ISNA(VLOOKUP($E37,'A-1 Site Habitat Baseline'!$D$1:$O$258,2,FALSE)),"",(VLOOKUP($E37,'A-1 Site Habitat Baseline'!$D$1:$O$258,2,FALSE))))</f>
        <v/>
      </c>
      <c r="B37" s="47" t="str">
        <f>IF(E37="","",IF(ISNA(VLOOKUP($E37,'A-1 Site Habitat Baseline'!$D$1:$O$258,3,FALSE)),"",(VLOOKUP($E37,'A-1 Site Habitat Baseline'!$D$1:$O$258,3,FALSE))))</f>
        <v/>
      </c>
      <c r="C37" s="47" t="str">
        <f>IFERROR(INDEX('G-8 Condition Look up'!$I$4:$I$130,MATCH(S37,'G-8 Condition Look up'!$A$4:$A$130,0)),"")</f>
        <v/>
      </c>
      <c r="E37" s="531" t="str">
        <f>'A-1 Site Habitat Baseline'!AL36</f>
        <v/>
      </c>
      <c r="F37" s="520" t="str">
        <f>IF(E37="","",IF(ISNA(VLOOKUP($E37,'A-1 Site Habitat Baseline'!$D$1:$O$258,4,FALSE)),"",(VLOOKUP($E37,'A-1 Site Habitat Baseline'!$D$1:$O$258,4,FALSE))))</f>
        <v/>
      </c>
      <c r="G37" s="520" t="str">
        <f>IF(E37="","",IF(ISNA(VLOOKUP($E37,'A-1 Site Habitat Baseline'!$D$1:$O$258,5,FALSE)),"",(VLOOKUP($E37,'A-1 Site Habitat Baseline'!$D$1:$O$258,5,FALSE))))</f>
        <v/>
      </c>
      <c r="H37" s="520" t="str">
        <f>IF(E37="","",IF(ISNA(VLOOKUP($E37,'A-1 Site Habitat Baseline'!$D$1:$O$258,6,FALSE)),"",(VLOOKUP($E37,'A-1 Site Habitat Baseline'!$D$1:$O$258,6,FALSE))))</f>
        <v/>
      </c>
      <c r="I37" s="520" t="str">
        <f>IF(E37="","",IF(ISNA(VLOOKUP($E37,'A-1 Site Habitat Baseline'!$D$1:$O$258,7,FALSE)),"",(VLOOKUP($E37,'A-1 Site Habitat Baseline'!$D$1:$O$258,7,FALSE))))</f>
        <v/>
      </c>
      <c r="J37" s="520" t="str">
        <f>IF(E37="","",IF(ISNA(VLOOKUP($E37,'A-1 Site Habitat Baseline'!$D$1:$O$258,8,FALSE)),"",(VLOOKUP($E37,'A-1 Site Habitat Baseline'!$D$1:$O$258,8,FALSE))))</f>
        <v/>
      </c>
      <c r="K37" s="520" t="str">
        <f>IF(E37="","",IF(ISNA(VLOOKUP($E37,'A-1 Site Habitat Baseline'!$D$1:$O$258,9,FALSE)),"",(VLOOKUP($E37,'A-1 Site Habitat Baseline'!$D$1:$O$258,9,FALSE))))</f>
        <v/>
      </c>
      <c r="L37" s="520" t="str">
        <f>IF(E37="","",IF(ISNA(VLOOKUP($E37,'A-1 Site Habitat Baseline'!$D$1:$O$258,11,FALSE)),"",(VLOOKUP($E37,'A-1 Site Habitat Baseline'!$D$1:$O$258,11,FALSE))))</f>
        <v/>
      </c>
      <c r="M37" s="520" t="str">
        <f>IF(E37="","",IF(ISNA(VLOOKUP($E37,'A-1 Site Habitat Baseline'!$D$1:$O$258,12,FALSE)),"",(VLOOKUP($E37,'A-1 Site Habitat Baseline'!$D$1:$O$258,12,FALSE))))</f>
        <v/>
      </c>
      <c r="N37" s="532" t="str">
        <f>IF(E37="","",IF(ISNA(VLOOKUP($E37,'A-1 Site Habitat Baseline'!$D$1:$X$258,14,FALSE)),"",(VLOOKUP($E37,'A-1 Site Habitat Baseline'!$D$1:$X$258,14,FALSE))))</f>
        <v/>
      </c>
      <c r="O37" s="524" t="str">
        <f>IF(E37="","",IF(ISNA(VLOOKUP($E37,'A-1 Site Habitat Baseline'!$D$1:$X$258,16,FALSE)),"",(VLOOKUP($E37,'A-1 Site Habitat Baseline'!$D$1:$X$258,13,FALSE))))</f>
        <v/>
      </c>
      <c r="P37" s="237" t="str">
        <f>IFERROR(INDEX('G-1 All Habitats'!$AG$3:$AG$15,MATCH(Q37,'G-1 All Habitats'!$AF$3:$AF$15,0)),"")</f>
        <v/>
      </c>
      <c r="Q37" s="238" t="str">
        <f t="shared" si="9"/>
        <v/>
      </c>
      <c r="R37" s="238" t="str">
        <f t="shared" si="10"/>
        <v/>
      </c>
      <c r="S37" s="392" t="str">
        <f>IFERROR(INDEX('G-1 All Habitats'!$B$3:$B$129,MATCH(R37,'G-1 All Habitats'!$A$3:$A$129,0)),"")</f>
        <v/>
      </c>
      <c r="T37" s="498" t="str">
        <f t="shared" si="1"/>
        <v/>
      </c>
      <c r="U37" s="499" t="str">
        <f t="shared" si="2"/>
        <v/>
      </c>
      <c r="V37" s="537" t="str">
        <f t="shared" si="3"/>
        <v/>
      </c>
      <c r="W37" s="520" t="str">
        <f>IF(S37="","",VLOOKUP(S37,'G-1 All Habitats'!$B$2:$M$129,10,FALSE))</f>
        <v/>
      </c>
      <c r="X37" s="520" t="str">
        <f>IFERROR(VLOOKUP(W37,'G-1 All Habitats'!$V$3:$W$7,2,FALSE),"")</f>
        <v/>
      </c>
      <c r="Y37" s="79"/>
      <c r="Z37" s="524" t="str">
        <f>IFERROR(INDEX('G-8 Condition Look up'!$A$3:$H$130,MATCH(S37,'G-8 Condition Look up'!$A$3:$A$130,0),MATCH(Y37,'G-8 Condition Look up'!$A$3:$H$3,0)),"")</f>
        <v/>
      </c>
      <c r="AA37" s="71"/>
      <c r="AB37" s="520" t="str">
        <f>IF(AA37="","",IF(VLOOKUP(AA37,'G-3 Multipliers'!$L$3:$N$6,2,FALSE)=0,"Spatial Data Missing ⚠",VLOOKUP(AA37,'G-3 Multipliers'!$L$3:$N$6,2,FALSE)))</f>
        <v/>
      </c>
      <c r="AC37" s="524" t="str">
        <f>IF(AA37="","",IF(VLOOKUP(AA37,'G-3 Multipliers'!$L$3:$N$6,3,FALSE)=0,"Spatial Data Missing ⚠",VLOOKUP(AA37,'G-3 Multipliers'!$L$3:$N$6,3,FALSE)))</f>
        <v/>
      </c>
      <c r="AD37" s="539" t="str">
        <f t="shared" si="0"/>
        <v/>
      </c>
      <c r="AE37" s="82"/>
      <c r="AF37" s="82"/>
      <c r="AG37" s="507" t="str">
        <f t="shared" si="4"/>
        <v/>
      </c>
      <c r="AH37" s="521" t="str">
        <f t="shared" si="5"/>
        <v/>
      </c>
      <c r="AI37" s="522" t="str">
        <f>IF(AH37="Check Data","Check Data",IFERROR(VLOOKUP(AH37,'G-4 Temporal multipliers'!$A$4:$C$36,3,FALSE),""))</f>
        <v/>
      </c>
      <c r="AJ37" s="498" t="str">
        <f>IF(S37="","",VLOOKUP(S37,'G-3 Multipliers'!$A$2:$E$129,4,FALSE))</f>
        <v/>
      </c>
      <c r="AK37" s="507" t="str">
        <f t="shared" si="6"/>
        <v/>
      </c>
      <c r="AL37" s="507" t="str">
        <f t="shared" si="7"/>
        <v/>
      </c>
      <c r="AM37" s="540" t="str">
        <f>IFERROR(IF(F37="","",IF(AH37="Check Data ⚠","Check Data ⚠",VLOOKUP(AL37, 'G-3 Multipliers'!$P$2:$Q$6,2,FALSE))),"")</f>
        <v/>
      </c>
      <c r="AN37" s="513" t="str">
        <f t="shared" si="8"/>
        <v/>
      </c>
      <c r="AO37" s="239"/>
      <c r="AP37" s="240"/>
    </row>
    <row r="38" spans="1:42" x14ac:dyDescent="0.3">
      <c r="A38" s="47" t="str">
        <f>IF(E38="","",IF(ISNA(VLOOKUP($E38,'A-1 Site Habitat Baseline'!$D$1:$O$258,2,FALSE)),"",(VLOOKUP($E38,'A-1 Site Habitat Baseline'!$D$1:$O$258,2,FALSE))))</f>
        <v/>
      </c>
      <c r="B38" s="47" t="str">
        <f>IF(E38="","",IF(ISNA(VLOOKUP($E38,'A-1 Site Habitat Baseline'!$D$1:$O$258,3,FALSE)),"",(VLOOKUP($E38,'A-1 Site Habitat Baseline'!$D$1:$O$258,3,FALSE))))</f>
        <v/>
      </c>
      <c r="C38" s="47" t="str">
        <f>IFERROR(INDEX('G-8 Condition Look up'!$I$4:$I$130,MATCH(S38,'G-8 Condition Look up'!$A$4:$A$130,0)),"")</f>
        <v/>
      </c>
      <c r="E38" s="531" t="str">
        <f>'A-1 Site Habitat Baseline'!AL37</f>
        <v/>
      </c>
      <c r="F38" s="520" t="str">
        <f>IF(E38="","",IF(ISNA(VLOOKUP($E38,'A-1 Site Habitat Baseline'!$D$1:$O$258,4,FALSE)),"",(VLOOKUP($E38,'A-1 Site Habitat Baseline'!$D$1:$O$258,4,FALSE))))</f>
        <v/>
      </c>
      <c r="G38" s="520" t="str">
        <f>IF(E38="","",IF(ISNA(VLOOKUP($E38,'A-1 Site Habitat Baseline'!$D$1:$O$258,5,FALSE)),"",(VLOOKUP($E38,'A-1 Site Habitat Baseline'!$D$1:$O$258,5,FALSE))))</f>
        <v/>
      </c>
      <c r="H38" s="520" t="str">
        <f>IF(E38="","",IF(ISNA(VLOOKUP($E38,'A-1 Site Habitat Baseline'!$D$1:$O$258,6,FALSE)),"",(VLOOKUP($E38,'A-1 Site Habitat Baseline'!$D$1:$O$258,6,FALSE))))</f>
        <v/>
      </c>
      <c r="I38" s="520" t="str">
        <f>IF(E38="","",IF(ISNA(VLOOKUP($E38,'A-1 Site Habitat Baseline'!$D$1:$O$258,7,FALSE)),"",(VLOOKUP($E38,'A-1 Site Habitat Baseline'!$D$1:$O$258,7,FALSE))))</f>
        <v/>
      </c>
      <c r="J38" s="520" t="str">
        <f>IF(E38="","",IF(ISNA(VLOOKUP($E38,'A-1 Site Habitat Baseline'!$D$1:$O$258,8,FALSE)),"",(VLOOKUP($E38,'A-1 Site Habitat Baseline'!$D$1:$O$258,8,FALSE))))</f>
        <v/>
      </c>
      <c r="K38" s="520" t="str">
        <f>IF(E38="","",IF(ISNA(VLOOKUP($E38,'A-1 Site Habitat Baseline'!$D$1:$O$258,9,FALSE)),"",(VLOOKUP($E38,'A-1 Site Habitat Baseline'!$D$1:$O$258,9,FALSE))))</f>
        <v/>
      </c>
      <c r="L38" s="520" t="str">
        <f>IF(E38="","",IF(ISNA(VLOOKUP($E38,'A-1 Site Habitat Baseline'!$D$1:$O$258,11,FALSE)),"",(VLOOKUP($E38,'A-1 Site Habitat Baseline'!$D$1:$O$258,11,FALSE))))</f>
        <v/>
      </c>
      <c r="M38" s="520" t="str">
        <f>IF(E38="","",IF(ISNA(VLOOKUP($E38,'A-1 Site Habitat Baseline'!$D$1:$O$258,12,FALSE)),"",(VLOOKUP($E38,'A-1 Site Habitat Baseline'!$D$1:$O$258,12,FALSE))))</f>
        <v/>
      </c>
      <c r="N38" s="532" t="str">
        <f>IF(E38="","",IF(ISNA(VLOOKUP($E38,'A-1 Site Habitat Baseline'!$D$1:$X$258,14,FALSE)),"",(VLOOKUP($E38,'A-1 Site Habitat Baseline'!$D$1:$X$258,14,FALSE))))</f>
        <v/>
      </c>
      <c r="O38" s="524" t="str">
        <f>IF(E38="","",IF(ISNA(VLOOKUP($E38,'A-1 Site Habitat Baseline'!$D$1:$X$258,16,FALSE)),"",(VLOOKUP($E38,'A-1 Site Habitat Baseline'!$D$1:$X$258,13,FALSE))))</f>
        <v/>
      </c>
      <c r="P38" s="237" t="str">
        <f>IFERROR(INDEX('G-1 All Habitats'!$AG$3:$AG$15,MATCH(Q38,'G-1 All Habitats'!$AF$3:$AF$15,0)),"")</f>
        <v/>
      </c>
      <c r="Q38" s="238" t="str">
        <f t="shared" si="9"/>
        <v/>
      </c>
      <c r="R38" s="238" t="str">
        <f t="shared" si="10"/>
        <v/>
      </c>
      <c r="S38" s="392" t="str">
        <f>IFERROR(INDEX('G-1 All Habitats'!$B$3:$B$129,MATCH(R38,'G-1 All Habitats'!$A$3:$A$129,0)),"")</f>
        <v/>
      </c>
      <c r="T38" s="498" t="str">
        <f t="shared" si="1"/>
        <v/>
      </c>
      <c r="U38" s="499" t="str">
        <f t="shared" si="2"/>
        <v/>
      </c>
      <c r="V38" s="537" t="str">
        <f t="shared" si="3"/>
        <v/>
      </c>
      <c r="W38" s="520" t="str">
        <f>IF(S38="","",VLOOKUP(S38,'G-1 All Habitats'!$B$2:$M$129,10,FALSE))</f>
        <v/>
      </c>
      <c r="X38" s="520" t="str">
        <f>IFERROR(VLOOKUP(W38,'G-1 All Habitats'!$V$3:$W$7,2,FALSE),"")</f>
        <v/>
      </c>
      <c r="Y38" s="79"/>
      <c r="Z38" s="524" t="str">
        <f>IFERROR(INDEX('G-8 Condition Look up'!$A$3:$H$130,MATCH(S38,'G-8 Condition Look up'!$A$3:$A$130,0),MATCH(Y38,'G-8 Condition Look up'!$A$3:$H$3,0)),"")</f>
        <v/>
      </c>
      <c r="AA38" s="71"/>
      <c r="AB38" s="520" t="str">
        <f>IF(AA38="","",IF(VLOOKUP(AA38,'G-3 Multipliers'!$L$3:$N$6,2,FALSE)=0,"Spatial Data Missing ⚠",VLOOKUP(AA38,'G-3 Multipliers'!$L$3:$N$6,2,FALSE)))</f>
        <v/>
      </c>
      <c r="AC38" s="524" t="str">
        <f>IF(AA38="","",IF(VLOOKUP(AA38,'G-3 Multipliers'!$L$3:$N$6,3,FALSE)=0,"Spatial Data Missing ⚠",VLOOKUP(AA38,'G-3 Multipliers'!$L$3:$N$6,3,FALSE)))</f>
        <v/>
      </c>
      <c r="AD38" s="539" t="str">
        <f t="shared" si="0"/>
        <v/>
      </c>
      <c r="AE38" s="82"/>
      <c r="AF38" s="82"/>
      <c r="AG38" s="507" t="str">
        <f t="shared" si="4"/>
        <v/>
      </c>
      <c r="AH38" s="521" t="str">
        <f t="shared" si="5"/>
        <v/>
      </c>
      <c r="AI38" s="522" t="str">
        <f>IF(AH38="Check Data","Check Data",IFERROR(VLOOKUP(AH38,'G-4 Temporal multipliers'!$A$4:$C$36,3,FALSE),""))</f>
        <v/>
      </c>
      <c r="AJ38" s="498" t="str">
        <f>IF(S38="","",VLOOKUP(S38,'G-3 Multipliers'!$A$2:$E$129,4,FALSE))</f>
        <v/>
      </c>
      <c r="AK38" s="507" t="str">
        <f t="shared" si="6"/>
        <v/>
      </c>
      <c r="AL38" s="507" t="str">
        <f t="shared" si="7"/>
        <v/>
      </c>
      <c r="AM38" s="540" t="str">
        <f>IFERROR(IF(F38="","",IF(AH38="Check Data ⚠","Check Data ⚠",VLOOKUP(AL38, 'G-3 Multipliers'!$P$2:$Q$6,2,FALSE))),"")</f>
        <v/>
      </c>
      <c r="AN38" s="513" t="str">
        <f t="shared" si="8"/>
        <v/>
      </c>
      <c r="AO38" s="239"/>
      <c r="AP38" s="240"/>
    </row>
    <row r="39" spans="1:42" x14ac:dyDescent="0.3">
      <c r="A39" s="47" t="str">
        <f>IF(E39="","",IF(ISNA(VLOOKUP($E39,'A-1 Site Habitat Baseline'!$D$1:$O$258,2,FALSE)),"",(VLOOKUP($E39,'A-1 Site Habitat Baseline'!$D$1:$O$258,2,FALSE))))</f>
        <v/>
      </c>
      <c r="B39" s="47" t="str">
        <f>IF(E39="","",IF(ISNA(VLOOKUP($E39,'A-1 Site Habitat Baseline'!$D$1:$O$258,3,FALSE)),"",(VLOOKUP($E39,'A-1 Site Habitat Baseline'!$D$1:$O$258,3,FALSE))))</f>
        <v/>
      </c>
      <c r="C39" s="47" t="str">
        <f>IFERROR(INDEX('G-8 Condition Look up'!$I$4:$I$130,MATCH(S39,'G-8 Condition Look up'!$A$4:$A$130,0)),"")</f>
        <v/>
      </c>
      <c r="E39" s="531" t="str">
        <f>'A-1 Site Habitat Baseline'!AL38</f>
        <v/>
      </c>
      <c r="F39" s="520" t="str">
        <f>IF(E39="","",IF(ISNA(VLOOKUP($E39,'A-1 Site Habitat Baseline'!$D$1:$O$258,4,FALSE)),"",(VLOOKUP($E39,'A-1 Site Habitat Baseline'!$D$1:$O$258,4,FALSE))))</f>
        <v/>
      </c>
      <c r="G39" s="520" t="str">
        <f>IF(E39="","",IF(ISNA(VLOOKUP($E39,'A-1 Site Habitat Baseline'!$D$1:$O$258,5,FALSE)),"",(VLOOKUP($E39,'A-1 Site Habitat Baseline'!$D$1:$O$258,5,FALSE))))</f>
        <v/>
      </c>
      <c r="H39" s="520" t="str">
        <f>IF(E39="","",IF(ISNA(VLOOKUP($E39,'A-1 Site Habitat Baseline'!$D$1:$O$258,6,FALSE)),"",(VLOOKUP($E39,'A-1 Site Habitat Baseline'!$D$1:$O$258,6,FALSE))))</f>
        <v/>
      </c>
      <c r="I39" s="520" t="str">
        <f>IF(E39="","",IF(ISNA(VLOOKUP($E39,'A-1 Site Habitat Baseline'!$D$1:$O$258,7,FALSE)),"",(VLOOKUP($E39,'A-1 Site Habitat Baseline'!$D$1:$O$258,7,FALSE))))</f>
        <v/>
      </c>
      <c r="J39" s="520" t="str">
        <f>IF(E39="","",IF(ISNA(VLOOKUP($E39,'A-1 Site Habitat Baseline'!$D$1:$O$258,8,FALSE)),"",(VLOOKUP($E39,'A-1 Site Habitat Baseline'!$D$1:$O$258,8,FALSE))))</f>
        <v/>
      </c>
      <c r="K39" s="520" t="str">
        <f>IF(E39="","",IF(ISNA(VLOOKUP($E39,'A-1 Site Habitat Baseline'!$D$1:$O$258,9,FALSE)),"",(VLOOKUP($E39,'A-1 Site Habitat Baseline'!$D$1:$O$258,9,FALSE))))</f>
        <v/>
      </c>
      <c r="L39" s="520" t="str">
        <f>IF(E39="","",IF(ISNA(VLOOKUP($E39,'A-1 Site Habitat Baseline'!$D$1:$O$258,11,FALSE)),"",(VLOOKUP($E39,'A-1 Site Habitat Baseline'!$D$1:$O$258,11,FALSE))))</f>
        <v/>
      </c>
      <c r="M39" s="520" t="str">
        <f>IF(E39="","",IF(ISNA(VLOOKUP($E39,'A-1 Site Habitat Baseline'!$D$1:$O$258,12,FALSE)),"",(VLOOKUP($E39,'A-1 Site Habitat Baseline'!$D$1:$O$258,12,FALSE))))</f>
        <v/>
      </c>
      <c r="N39" s="532" t="str">
        <f>IF(E39="","",IF(ISNA(VLOOKUP($E39,'A-1 Site Habitat Baseline'!$D$1:$X$258,14,FALSE)),"",(VLOOKUP($E39,'A-1 Site Habitat Baseline'!$D$1:$X$258,14,FALSE))))</f>
        <v/>
      </c>
      <c r="O39" s="524" t="str">
        <f>IF(E39="","",IF(ISNA(VLOOKUP($E39,'A-1 Site Habitat Baseline'!$D$1:$X$258,16,FALSE)),"",(VLOOKUP($E39,'A-1 Site Habitat Baseline'!$D$1:$X$258,13,FALSE))))</f>
        <v/>
      </c>
      <c r="P39" s="237" t="str">
        <f>IFERROR(INDEX('G-1 All Habitats'!$AG$3:$AG$15,MATCH(Q39,'G-1 All Habitats'!$AF$3:$AF$15,0)),"")</f>
        <v/>
      </c>
      <c r="Q39" s="238" t="str">
        <f t="shared" si="9"/>
        <v/>
      </c>
      <c r="R39" s="238" t="str">
        <f t="shared" si="10"/>
        <v/>
      </c>
      <c r="S39" s="392" t="str">
        <f>IFERROR(INDEX('G-1 All Habitats'!$B$3:$B$129,MATCH(R39,'G-1 All Habitats'!$A$3:$A$129,0)),"")</f>
        <v/>
      </c>
      <c r="T39" s="498" t="str">
        <f t="shared" si="1"/>
        <v/>
      </c>
      <c r="U39" s="499" t="str">
        <f t="shared" si="2"/>
        <v/>
      </c>
      <c r="V39" s="537" t="str">
        <f t="shared" si="3"/>
        <v/>
      </c>
      <c r="W39" s="520" t="str">
        <f>IF(S39="","",VLOOKUP(S39,'G-1 All Habitats'!$B$2:$M$129,10,FALSE))</f>
        <v/>
      </c>
      <c r="X39" s="520" t="str">
        <f>IFERROR(VLOOKUP(W39,'G-1 All Habitats'!$V$3:$W$7,2,FALSE),"")</f>
        <v/>
      </c>
      <c r="Y39" s="79"/>
      <c r="Z39" s="524" t="str">
        <f>IFERROR(INDEX('G-8 Condition Look up'!$A$3:$H$130,MATCH(S39,'G-8 Condition Look up'!$A$3:$A$130,0),MATCH(Y39,'G-8 Condition Look up'!$A$3:$H$3,0)),"")</f>
        <v/>
      </c>
      <c r="AA39" s="71"/>
      <c r="AB39" s="520" t="str">
        <f>IF(AA39="","",IF(VLOOKUP(AA39,'G-3 Multipliers'!$L$3:$N$6,2,FALSE)=0,"Spatial Data Missing ⚠",VLOOKUP(AA39,'G-3 Multipliers'!$L$3:$N$6,2,FALSE)))</f>
        <v/>
      </c>
      <c r="AC39" s="524" t="str">
        <f>IF(AA39="","",IF(VLOOKUP(AA39,'G-3 Multipliers'!$L$3:$N$6,3,FALSE)=0,"Spatial Data Missing ⚠",VLOOKUP(AA39,'G-3 Multipliers'!$L$3:$N$6,3,FALSE)))</f>
        <v/>
      </c>
      <c r="AD39" s="539" t="str">
        <f t="shared" si="0"/>
        <v/>
      </c>
      <c r="AE39" s="82"/>
      <c r="AF39" s="82"/>
      <c r="AG39" s="507" t="str">
        <f t="shared" si="4"/>
        <v/>
      </c>
      <c r="AH39" s="521" t="str">
        <f t="shared" si="5"/>
        <v/>
      </c>
      <c r="AI39" s="522" t="str">
        <f>IF(AH39="Check Data","Check Data",IFERROR(VLOOKUP(AH39,'G-4 Temporal multipliers'!$A$4:$C$36,3,FALSE),""))</f>
        <v/>
      </c>
      <c r="AJ39" s="498" t="str">
        <f>IF(S39="","",VLOOKUP(S39,'G-3 Multipliers'!$A$2:$E$129,4,FALSE))</f>
        <v/>
      </c>
      <c r="AK39" s="507" t="str">
        <f t="shared" si="6"/>
        <v/>
      </c>
      <c r="AL39" s="507" t="str">
        <f t="shared" si="7"/>
        <v/>
      </c>
      <c r="AM39" s="540" t="str">
        <f>IFERROR(IF(F39="","",IF(AH39="Check Data ⚠","Check Data ⚠",VLOOKUP(AL39, 'G-3 Multipliers'!$P$2:$Q$6,2,FALSE))),"")</f>
        <v/>
      </c>
      <c r="AN39" s="513" t="str">
        <f t="shared" si="8"/>
        <v/>
      </c>
      <c r="AO39" s="239"/>
      <c r="AP39" s="240"/>
    </row>
    <row r="40" spans="1:42" x14ac:dyDescent="0.3">
      <c r="A40" s="47" t="str">
        <f>IF(E40="","",IF(ISNA(VLOOKUP($E40,'A-1 Site Habitat Baseline'!$D$1:$O$258,2,FALSE)),"",(VLOOKUP($E40,'A-1 Site Habitat Baseline'!$D$1:$O$258,2,FALSE))))</f>
        <v/>
      </c>
      <c r="B40" s="47" t="str">
        <f>IF(E40="","",IF(ISNA(VLOOKUP($E40,'A-1 Site Habitat Baseline'!$D$1:$O$258,3,FALSE)),"",(VLOOKUP($E40,'A-1 Site Habitat Baseline'!$D$1:$O$258,3,FALSE))))</f>
        <v/>
      </c>
      <c r="C40" s="47" t="str">
        <f>IFERROR(INDEX('G-8 Condition Look up'!$I$4:$I$130,MATCH(S40,'G-8 Condition Look up'!$A$4:$A$130,0)),"")</f>
        <v/>
      </c>
      <c r="E40" s="531" t="str">
        <f>'A-1 Site Habitat Baseline'!AL39</f>
        <v/>
      </c>
      <c r="F40" s="520" t="str">
        <f>IF(E40="","",IF(ISNA(VLOOKUP($E40,'A-1 Site Habitat Baseline'!$D$1:$O$258,4,FALSE)),"",(VLOOKUP($E40,'A-1 Site Habitat Baseline'!$D$1:$O$258,4,FALSE))))</f>
        <v/>
      </c>
      <c r="G40" s="520" t="str">
        <f>IF(E40="","",IF(ISNA(VLOOKUP($E40,'A-1 Site Habitat Baseline'!$D$1:$O$258,5,FALSE)),"",(VLOOKUP($E40,'A-1 Site Habitat Baseline'!$D$1:$O$258,5,FALSE))))</f>
        <v/>
      </c>
      <c r="H40" s="520" t="str">
        <f>IF(E40="","",IF(ISNA(VLOOKUP($E40,'A-1 Site Habitat Baseline'!$D$1:$O$258,6,FALSE)),"",(VLOOKUP($E40,'A-1 Site Habitat Baseline'!$D$1:$O$258,6,FALSE))))</f>
        <v/>
      </c>
      <c r="I40" s="520" t="str">
        <f>IF(E40="","",IF(ISNA(VLOOKUP($E40,'A-1 Site Habitat Baseline'!$D$1:$O$258,7,FALSE)),"",(VLOOKUP($E40,'A-1 Site Habitat Baseline'!$D$1:$O$258,7,FALSE))))</f>
        <v/>
      </c>
      <c r="J40" s="520" t="str">
        <f>IF(E40="","",IF(ISNA(VLOOKUP($E40,'A-1 Site Habitat Baseline'!$D$1:$O$258,8,FALSE)),"",(VLOOKUP($E40,'A-1 Site Habitat Baseline'!$D$1:$O$258,8,FALSE))))</f>
        <v/>
      </c>
      <c r="K40" s="520" t="str">
        <f>IF(E40="","",IF(ISNA(VLOOKUP($E40,'A-1 Site Habitat Baseline'!$D$1:$O$258,9,FALSE)),"",(VLOOKUP($E40,'A-1 Site Habitat Baseline'!$D$1:$O$258,9,FALSE))))</f>
        <v/>
      </c>
      <c r="L40" s="520" t="str">
        <f>IF(E40="","",IF(ISNA(VLOOKUP($E40,'A-1 Site Habitat Baseline'!$D$1:$O$258,11,FALSE)),"",(VLOOKUP($E40,'A-1 Site Habitat Baseline'!$D$1:$O$258,11,FALSE))))</f>
        <v/>
      </c>
      <c r="M40" s="520" t="str">
        <f>IF(E40="","",IF(ISNA(VLOOKUP($E40,'A-1 Site Habitat Baseline'!$D$1:$O$258,12,FALSE)),"",(VLOOKUP($E40,'A-1 Site Habitat Baseline'!$D$1:$O$258,12,FALSE))))</f>
        <v/>
      </c>
      <c r="N40" s="532" t="str">
        <f>IF(E40="","",IF(ISNA(VLOOKUP($E40,'A-1 Site Habitat Baseline'!$D$1:$X$258,14,FALSE)),"",(VLOOKUP($E40,'A-1 Site Habitat Baseline'!$D$1:$X$258,14,FALSE))))</f>
        <v/>
      </c>
      <c r="O40" s="524" t="str">
        <f>IF(E40="","",IF(ISNA(VLOOKUP($E40,'A-1 Site Habitat Baseline'!$D$1:$X$258,16,FALSE)),"",(VLOOKUP($E40,'A-1 Site Habitat Baseline'!$D$1:$X$258,13,FALSE))))</f>
        <v/>
      </c>
      <c r="P40" s="237" t="str">
        <f>IFERROR(INDEX('G-1 All Habitats'!$AG$3:$AG$15,MATCH(Q40,'G-1 All Habitats'!$AF$3:$AF$15,0)),"")</f>
        <v/>
      </c>
      <c r="Q40" s="238" t="str">
        <f t="shared" si="9"/>
        <v/>
      </c>
      <c r="R40" s="238" t="str">
        <f t="shared" si="10"/>
        <v/>
      </c>
      <c r="S40" s="392" t="str">
        <f>IFERROR(INDEX('G-1 All Habitats'!$B$3:$B$129,MATCH(R40,'G-1 All Habitats'!$A$3:$A$129,0)),"")</f>
        <v/>
      </c>
      <c r="T40" s="498" t="str">
        <f t="shared" si="1"/>
        <v/>
      </c>
      <c r="U40" s="499" t="str">
        <f t="shared" si="2"/>
        <v/>
      </c>
      <c r="V40" s="537" t="str">
        <f t="shared" si="3"/>
        <v/>
      </c>
      <c r="W40" s="520" t="str">
        <f>IF(S40="","",VLOOKUP(S40,'G-1 All Habitats'!$B$2:$M$129,10,FALSE))</f>
        <v/>
      </c>
      <c r="X40" s="520" t="str">
        <f>IFERROR(VLOOKUP(W40,'G-1 All Habitats'!$V$3:$W$7,2,FALSE),"")</f>
        <v/>
      </c>
      <c r="Y40" s="79"/>
      <c r="Z40" s="524" t="str">
        <f>IFERROR(INDEX('G-8 Condition Look up'!$A$3:$H$130,MATCH(S40,'G-8 Condition Look up'!$A$3:$A$130,0),MATCH(Y40,'G-8 Condition Look up'!$A$3:$H$3,0)),"")</f>
        <v/>
      </c>
      <c r="AA40" s="71"/>
      <c r="AB40" s="520" t="str">
        <f>IF(AA40="","",IF(VLOOKUP(AA40,'G-3 Multipliers'!$L$3:$N$6,2,FALSE)=0,"Spatial Data Missing ⚠",VLOOKUP(AA40,'G-3 Multipliers'!$L$3:$N$6,2,FALSE)))</f>
        <v/>
      </c>
      <c r="AC40" s="524" t="str">
        <f>IF(AA40="","",IF(VLOOKUP(AA40,'G-3 Multipliers'!$L$3:$N$6,3,FALSE)=0,"Spatial Data Missing ⚠",VLOOKUP(AA40,'G-3 Multipliers'!$L$3:$N$6,3,FALSE)))</f>
        <v/>
      </c>
      <c r="AD40" s="539" t="str">
        <f t="shared" si="0"/>
        <v/>
      </c>
      <c r="AE40" s="82"/>
      <c r="AF40" s="82"/>
      <c r="AG40" s="507" t="str">
        <f t="shared" si="4"/>
        <v/>
      </c>
      <c r="AH40" s="521" t="str">
        <f t="shared" si="5"/>
        <v/>
      </c>
      <c r="AI40" s="522" t="str">
        <f>IF(AH40="Check Data","Check Data",IFERROR(VLOOKUP(AH40,'G-4 Temporal multipliers'!$A$4:$C$36,3,FALSE),""))</f>
        <v/>
      </c>
      <c r="AJ40" s="498" t="str">
        <f>IF(S40="","",VLOOKUP(S40,'G-3 Multipliers'!$A$2:$E$129,4,FALSE))</f>
        <v/>
      </c>
      <c r="AK40" s="507" t="str">
        <f t="shared" si="6"/>
        <v/>
      </c>
      <c r="AL40" s="507" t="str">
        <f t="shared" si="7"/>
        <v/>
      </c>
      <c r="AM40" s="540" t="str">
        <f>IFERROR(IF(F40="","",IF(AH40="Check Data ⚠","Check Data ⚠",VLOOKUP(AL40, 'G-3 Multipliers'!$P$2:$Q$6,2,FALSE))),"")</f>
        <v/>
      </c>
      <c r="AN40" s="513" t="str">
        <f t="shared" si="8"/>
        <v/>
      </c>
      <c r="AO40" s="239"/>
      <c r="AP40" s="240"/>
    </row>
    <row r="41" spans="1:42" x14ac:dyDescent="0.3">
      <c r="A41" s="47" t="str">
        <f>IF(E41="","",IF(ISNA(VLOOKUP($E41,'A-1 Site Habitat Baseline'!$D$1:$O$258,2,FALSE)),"",(VLOOKUP($E41,'A-1 Site Habitat Baseline'!$D$1:$O$258,2,FALSE))))</f>
        <v/>
      </c>
      <c r="B41" s="47" t="str">
        <f>IF(E41="","",IF(ISNA(VLOOKUP($E41,'A-1 Site Habitat Baseline'!$D$1:$O$258,3,FALSE)),"",(VLOOKUP($E41,'A-1 Site Habitat Baseline'!$D$1:$O$258,3,FALSE))))</f>
        <v/>
      </c>
      <c r="C41" s="47" t="str">
        <f>IFERROR(INDEX('G-8 Condition Look up'!$I$4:$I$130,MATCH(S41,'G-8 Condition Look up'!$A$4:$A$130,0)),"")</f>
        <v/>
      </c>
      <c r="E41" s="531" t="str">
        <f>'A-1 Site Habitat Baseline'!AL40</f>
        <v/>
      </c>
      <c r="F41" s="520" t="str">
        <f>IF(E41="","",IF(ISNA(VLOOKUP($E41,'A-1 Site Habitat Baseline'!$D$1:$O$258,4,FALSE)),"",(VLOOKUP($E41,'A-1 Site Habitat Baseline'!$D$1:$O$258,4,FALSE))))</f>
        <v/>
      </c>
      <c r="G41" s="520" t="str">
        <f>IF(E41="","",IF(ISNA(VLOOKUP($E41,'A-1 Site Habitat Baseline'!$D$1:$O$258,5,FALSE)),"",(VLOOKUP($E41,'A-1 Site Habitat Baseline'!$D$1:$O$258,5,FALSE))))</f>
        <v/>
      </c>
      <c r="H41" s="520" t="str">
        <f>IF(E41="","",IF(ISNA(VLOOKUP($E41,'A-1 Site Habitat Baseline'!$D$1:$O$258,6,FALSE)),"",(VLOOKUP($E41,'A-1 Site Habitat Baseline'!$D$1:$O$258,6,FALSE))))</f>
        <v/>
      </c>
      <c r="I41" s="520" t="str">
        <f>IF(E41="","",IF(ISNA(VLOOKUP($E41,'A-1 Site Habitat Baseline'!$D$1:$O$258,7,FALSE)),"",(VLOOKUP($E41,'A-1 Site Habitat Baseline'!$D$1:$O$258,7,FALSE))))</f>
        <v/>
      </c>
      <c r="J41" s="520" t="str">
        <f>IF(E41="","",IF(ISNA(VLOOKUP($E41,'A-1 Site Habitat Baseline'!$D$1:$O$258,8,FALSE)),"",(VLOOKUP($E41,'A-1 Site Habitat Baseline'!$D$1:$O$258,8,FALSE))))</f>
        <v/>
      </c>
      <c r="K41" s="520" t="str">
        <f>IF(E41="","",IF(ISNA(VLOOKUP($E41,'A-1 Site Habitat Baseline'!$D$1:$O$258,9,FALSE)),"",(VLOOKUP($E41,'A-1 Site Habitat Baseline'!$D$1:$O$258,9,FALSE))))</f>
        <v/>
      </c>
      <c r="L41" s="520" t="str">
        <f>IF(E41="","",IF(ISNA(VLOOKUP($E41,'A-1 Site Habitat Baseline'!$D$1:$O$258,11,FALSE)),"",(VLOOKUP($E41,'A-1 Site Habitat Baseline'!$D$1:$O$258,11,FALSE))))</f>
        <v/>
      </c>
      <c r="M41" s="520" t="str">
        <f>IF(E41="","",IF(ISNA(VLOOKUP($E41,'A-1 Site Habitat Baseline'!$D$1:$O$258,12,FALSE)),"",(VLOOKUP($E41,'A-1 Site Habitat Baseline'!$D$1:$O$258,12,FALSE))))</f>
        <v/>
      </c>
      <c r="N41" s="532" t="str">
        <f>IF(E41="","",IF(ISNA(VLOOKUP($E41,'A-1 Site Habitat Baseline'!$D$1:$X$258,14,FALSE)),"",(VLOOKUP($E41,'A-1 Site Habitat Baseline'!$D$1:$X$258,14,FALSE))))</f>
        <v/>
      </c>
      <c r="O41" s="524" t="str">
        <f>IF(E41="","",IF(ISNA(VLOOKUP($E41,'A-1 Site Habitat Baseline'!$D$1:$X$258,16,FALSE)),"",(VLOOKUP($E41,'A-1 Site Habitat Baseline'!$D$1:$X$258,13,FALSE))))</f>
        <v/>
      </c>
      <c r="P41" s="237" t="str">
        <f>IFERROR(INDEX('G-1 All Habitats'!$AG$3:$AG$15,MATCH(Q41,'G-1 All Habitats'!$AF$3:$AF$15,0)),"")</f>
        <v/>
      </c>
      <c r="Q41" s="238" t="str">
        <f t="shared" si="9"/>
        <v/>
      </c>
      <c r="R41" s="238" t="str">
        <f t="shared" si="10"/>
        <v/>
      </c>
      <c r="S41" s="392" t="str">
        <f>IFERROR(INDEX('G-1 All Habitats'!$B$3:$B$129,MATCH(R41,'G-1 All Habitats'!$A$3:$A$129,0)),"")</f>
        <v/>
      </c>
      <c r="T41" s="498" t="str">
        <f t="shared" si="1"/>
        <v/>
      </c>
      <c r="U41" s="499" t="str">
        <f t="shared" si="2"/>
        <v/>
      </c>
      <c r="V41" s="537" t="str">
        <f t="shared" si="3"/>
        <v/>
      </c>
      <c r="W41" s="520" t="str">
        <f>IF(S41="","",VLOOKUP(S41,'G-1 All Habitats'!$B$2:$M$129,10,FALSE))</f>
        <v/>
      </c>
      <c r="X41" s="520" t="str">
        <f>IFERROR(VLOOKUP(W41,'G-1 All Habitats'!$V$3:$W$7,2,FALSE),"")</f>
        <v/>
      </c>
      <c r="Y41" s="79"/>
      <c r="Z41" s="524" t="str">
        <f>IFERROR(INDEX('G-8 Condition Look up'!$A$3:$H$130,MATCH(S41,'G-8 Condition Look up'!$A$3:$A$130,0),MATCH(Y41,'G-8 Condition Look up'!$A$3:$H$3,0)),"")</f>
        <v/>
      </c>
      <c r="AA41" s="71"/>
      <c r="AB41" s="520" t="str">
        <f>IF(AA41="","",IF(VLOOKUP(AA41,'G-3 Multipliers'!$L$3:$N$6,2,FALSE)=0,"Spatial Data Missing ⚠",VLOOKUP(AA41,'G-3 Multipliers'!$L$3:$N$6,2,FALSE)))</f>
        <v/>
      </c>
      <c r="AC41" s="524" t="str">
        <f>IF(AA41="","",IF(VLOOKUP(AA41,'G-3 Multipliers'!$L$3:$N$6,3,FALSE)=0,"Spatial Data Missing ⚠",VLOOKUP(AA41,'G-3 Multipliers'!$L$3:$N$6,3,FALSE)))</f>
        <v/>
      </c>
      <c r="AD41" s="539" t="str">
        <f t="shared" si="0"/>
        <v/>
      </c>
      <c r="AE41" s="82"/>
      <c r="AF41" s="82"/>
      <c r="AG41" s="507" t="str">
        <f t="shared" si="4"/>
        <v/>
      </c>
      <c r="AH41" s="521" t="str">
        <f t="shared" si="5"/>
        <v/>
      </c>
      <c r="AI41" s="522" t="str">
        <f>IF(AH41="Check Data","Check Data",IFERROR(VLOOKUP(AH41,'G-4 Temporal multipliers'!$A$4:$C$36,3,FALSE),""))</f>
        <v/>
      </c>
      <c r="AJ41" s="498" t="str">
        <f>IF(S41="","",VLOOKUP(S41,'G-3 Multipliers'!$A$2:$E$129,4,FALSE))</f>
        <v/>
      </c>
      <c r="AK41" s="507" t="str">
        <f t="shared" si="6"/>
        <v/>
      </c>
      <c r="AL41" s="507" t="str">
        <f t="shared" si="7"/>
        <v/>
      </c>
      <c r="AM41" s="540" t="str">
        <f>IFERROR(IF(F41="","",IF(AH41="Check Data ⚠","Check Data ⚠",VLOOKUP(AL41, 'G-3 Multipliers'!$P$2:$Q$6,2,FALSE))),"")</f>
        <v/>
      </c>
      <c r="AN41" s="513" t="str">
        <f t="shared" si="8"/>
        <v/>
      </c>
      <c r="AO41" s="239"/>
      <c r="AP41" s="240"/>
    </row>
    <row r="42" spans="1:42" x14ac:dyDescent="0.3">
      <c r="A42" s="47" t="str">
        <f>IF(E42="","",IF(ISNA(VLOOKUP($E42,'A-1 Site Habitat Baseline'!$D$1:$O$258,2,FALSE)),"",(VLOOKUP($E42,'A-1 Site Habitat Baseline'!$D$1:$O$258,2,FALSE))))</f>
        <v/>
      </c>
      <c r="B42" s="47" t="str">
        <f>IF(E42="","",IF(ISNA(VLOOKUP($E42,'A-1 Site Habitat Baseline'!$D$1:$O$258,3,FALSE)),"",(VLOOKUP($E42,'A-1 Site Habitat Baseline'!$D$1:$O$258,3,FALSE))))</f>
        <v/>
      </c>
      <c r="C42" s="47" t="str">
        <f>IFERROR(INDEX('G-8 Condition Look up'!$I$4:$I$130,MATCH(S42,'G-8 Condition Look up'!$A$4:$A$130,0)),"")</f>
        <v/>
      </c>
      <c r="E42" s="531" t="str">
        <f>'A-1 Site Habitat Baseline'!AL41</f>
        <v/>
      </c>
      <c r="F42" s="520" t="str">
        <f>IF(E42="","",IF(ISNA(VLOOKUP($E42,'A-1 Site Habitat Baseline'!$D$1:$O$258,4,FALSE)),"",(VLOOKUP($E42,'A-1 Site Habitat Baseline'!$D$1:$O$258,4,FALSE))))</f>
        <v/>
      </c>
      <c r="G42" s="520" t="str">
        <f>IF(E42="","",IF(ISNA(VLOOKUP($E42,'A-1 Site Habitat Baseline'!$D$1:$O$258,5,FALSE)),"",(VLOOKUP($E42,'A-1 Site Habitat Baseline'!$D$1:$O$258,5,FALSE))))</f>
        <v/>
      </c>
      <c r="H42" s="520" t="str">
        <f>IF(E42="","",IF(ISNA(VLOOKUP($E42,'A-1 Site Habitat Baseline'!$D$1:$O$258,6,FALSE)),"",(VLOOKUP($E42,'A-1 Site Habitat Baseline'!$D$1:$O$258,6,FALSE))))</f>
        <v/>
      </c>
      <c r="I42" s="520" t="str">
        <f>IF(E42="","",IF(ISNA(VLOOKUP($E42,'A-1 Site Habitat Baseline'!$D$1:$O$258,7,FALSE)),"",(VLOOKUP($E42,'A-1 Site Habitat Baseline'!$D$1:$O$258,7,FALSE))))</f>
        <v/>
      </c>
      <c r="J42" s="520" t="str">
        <f>IF(E42="","",IF(ISNA(VLOOKUP($E42,'A-1 Site Habitat Baseline'!$D$1:$O$258,8,FALSE)),"",(VLOOKUP($E42,'A-1 Site Habitat Baseline'!$D$1:$O$258,8,FALSE))))</f>
        <v/>
      </c>
      <c r="K42" s="520" t="str">
        <f>IF(E42="","",IF(ISNA(VLOOKUP($E42,'A-1 Site Habitat Baseline'!$D$1:$O$258,9,FALSE)),"",(VLOOKUP($E42,'A-1 Site Habitat Baseline'!$D$1:$O$258,9,FALSE))))</f>
        <v/>
      </c>
      <c r="L42" s="520" t="str">
        <f>IF(E42="","",IF(ISNA(VLOOKUP($E42,'A-1 Site Habitat Baseline'!$D$1:$O$258,11,FALSE)),"",(VLOOKUP($E42,'A-1 Site Habitat Baseline'!$D$1:$O$258,11,FALSE))))</f>
        <v/>
      </c>
      <c r="M42" s="520" t="str">
        <f>IF(E42="","",IF(ISNA(VLOOKUP($E42,'A-1 Site Habitat Baseline'!$D$1:$O$258,12,FALSE)),"",(VLOOKUP($E42,'A-1 Site Habitat Baseline'!$D$1:$O$258,12,FALSE))))</f>
        <v/>
      </c>
      <c r="N42" s="532" t="str">
        <f>IF(E42="","",IF(ISNA(VLOOKUP($E42,'A-1 Site Habitat Baseline'!$D$1:$X$258,14,FALSE)),"",(VLOOKUP($E42,'A-1 Site Habitat Baseline'!$D$1:$X$258,14,FALSE))))</f>
        <v/>
      </c>
      <c r="O42" s="524" t="str">
        <f>IF(E42="","",IF(ISNA(VLOOKUP($E42,'A-1 Site Habitat Baseline'!$D$1:$X$258,16,FALSE)),"",(VLOOKUP($E42,'A-1 Site Habitat Baseline'!$D$1:$X$258,13,FALSE))))</f>
        <v/>
      </c>
      <c r="P42" s="237" t="str">
        <f>IFERROR(INDEX('G-1 All Habitats'!$AG$3:$AG$15,MATCH(Q42,'G-1 All Habitats'!$AF$3:$AF$15,0)),"")</f>
        <v/>
      </c>
      <c r="Q42" s="238" t="str">
        <f t="shared" si="9"/>
        <v/>
      </c>
      <c r="R42" s="238" t="str">
        <f t="shared" si="10"/>
        <v/>
      </c>
      <c r="S42" s="392" t="str">
        <f>IFERROR(INDEX('G-1 All Habitats'!$B$3:$B$129,MATCH(R42,'G-1 All Habitats'!$A$3:$A$129,0)),"")</f>
        <v/>
      </c>
      <c r="T42" s="498" t="str">
        <f t="shared" si="1"/>
        <v/>
      </c>
      <c r="U42" s="499" t="str">
        <f t="shared" si="2"/>
        <v/>
      </c>
      <c r="V42" s="537" t="str">
        <f t="shared" si="3"/>
        <v/>
      </c>
      <c r="W42" s="520" t="str">
        <f>IF(S42="","",VLOOKUP(S42,'G-1 All Habitats'!$B$2:$M$129,10,FALSE))</f>
        <v/>
      </c>
      <c r="X42" s="520" t="str">
        <f>IFERROR(VLOOKUP(W42,'G-1 All Habitats'!$V$3:$W$7,2,FALSE),"")</f>
        <v/>
      </c>
      <c r="Y42" s="79"/>
      <c r="Z42" s="524" t="str">
        <f>IFERROR(INDEX('G-8 Condition Look up'!$A$3:$H$130,MATCH(S42,'G-8 Condition Look up'!$A$3:$A$130,0),MATCH(Y42,'G-8 Condition Look up'!$A$3:$H$3,0)),"")</f>
        <v/>
      </c>
      <c r="AA42" s="71"/>
      <c r="AB42" s="520" t="str">
        <f>IF(AA42="","",IF(VLOOKUP(AA42,'G-3 Multipliers'!$L$3:$N$6,2,FALSE)=0,"Spatial Data Missing ⚠",VLOOKUP(AA42,'G-3 Multipliers'!$L$3:$N$6,2,FALSE)))</f>
        <v/>
      </c>
      <c r="AC42" s="524" t="str">
        <f>IF(AA42="","",IF(VLOOKUP(AA42,'G-3 Multipliers'!$L$3:$N$6,3,FALSE)=0,"Spatial Data Missing ⚠",VLOOKUP(AA42,'G-3 Multipliers'!$L$3:$N$6,3,FALSE)))</f>
        <v/>
      </c>
      <c r="AD42" s="539" t="str">
        <f t="shared" si="0"/>
        <v/>
      </c>
      <c r="AE42" s="82"/>
      <c r="AF42" s="82"/>
      <c r="AG42" s="507" t="str">
        <f t="shared" si="4"/>
        <v/>
      </c>
      <c r="AH42" s="521" t="str">
        <f t="shared" si="5"/>
        <v/>
      </c>
      <c r="AI42" s="522" t="str">
        <f>IF(AH42="Check Data","Check Data",IFERROR(VLOOKUP(AH42,'G-4 Temporal multipliers'!$A$4:$C$36,3,FALSE),""))</f>
        <v/>
      </c>
      <c r="AJ42" s="498" t="str">
        <f>IF(S42="","",VLOOKUP(S42,'G-3 Multipliers'!$A$2:$E$129,4,FALSE))</f>
        <v/>
      </c>
      <c r="AK42" s="507" t="str">
        <f t="shared" si="6"/>
        <v/>
      </c>
      <c r="AL42" s="507" t="str">
        <f t="shared" si="7"/>
        <v/>
      </c>
      <c r="AM42" s="540" t="str">
        <f>IFERROR(IF(F42="","",IF(AH42="Check Data ⚠","Check Data ⚠",VLOOKUP(AL42, 'G-3 Multipliers'!$P$2:$Q$6,2,FALSE))),"")</f>
        <v/>
      </c>
      <c r="AN42" s="513" t="str">
        <f t="shared" si="8"/>
        <v/>
      </c>
      <c r="AO42" s="239"/>
      <c r="AP42" s="240"/>
    </row>
    <row r="43" spans="1:42" x14ac:dyDescent="0.3">
      <c r="A43" s="47" t="str">
        <f>IF(E43="","",IF(ISNA(VLOOKUP($E43,'A-1 Site Habitat Baseline'!$D$1:$O$258,2,FALSE)),"",(VLOOKUP($E43,'A-1 Site Habitat Baseline'!$D$1:$O$258,2,FALSE))))</f>
        <v/>
      </c>
      <c r="B43" s="47" t="str">
        <f>IF(E43="","",IF(ISNA(VLOOKUP($E43,'A-1 Site Habitat Baseline'!$D$1:$O$258,3,FALSE)),"",(VLOOKUP($E43,'A-1 Site Habitat Baseline'!$D$1:$O$258,3,FALSE))))</f>
        <v/>
      </c>
      <c r="C43" s="47" t="str">
        <f>IFERROR(INDEX('G-8 Condition Look up'!$I$4:$I$130,MATCH(S43,'G-8 Condition Look up'!$A$4:$A$130,0)),"")</f>
        <v/>
      </c>
      <c r="E43" s="531" t="str">
        <f>'A-1 Site Habitat Baseline'!AL42</f>
        <v/>
      </c>
      <c r="F43" s="520" t="str">
        <f>IF(E43="","",IF(ISNA(VLOOKUP($E43,'A-1 Site Habitat Baseline'!$D$1:$O$258,4,FALSE)),"",(VLOOKUP($E43,'A-1 Site Habitat Baseline'!$D$1:$O$258,4,FALSE))))</f>
        <v/>
      </c>
      <c r="G43" s="520" t="str">
        <f>IF(E43="","",IF(ISNA(VLOOKUP($E43,'A-1 Site Habitat Baseline'!$D$1:$O$258,5,FALSE)),"",(VLOOKUP($E43,'A-1 Site Habitat Baseline'!$D$1:$O$258,5,FALSE))))</f>
        <v/>
      </c>
      <c r="H43" s="520" t="str">
        <f>IF(E43="","",IF(ISNA(VLOOKUP($E43,'A-1 Site Habitat Baseline'!$D$1:$O$258,6,FALSE)),"",(VLOOKUP($E43,'A-1 Site Habitat Baseline'!$D$1:$O$258,6,FALSE))))</f>
        <v/>
      </c>
      <c r="I43" s="520" t="str">
        <f>IF(E43="","",IF(ISNA(VLOOKUP($E43,'A-1 Site Habitat Baseline'!$D$1:$O$258,7,FALSE)),"",(VLOOKUP($E43,'A-1 Site Habitat Baseline'!$D$1:$O$258,7,FALSE))))</f>
        <v/>
      </c>
      <c r="J43" s="520" t="str">
        <f>IF(E43="","",IF(ISNA(VLOOKUP($E43,'A-1 Site Habitat Baseline'!$D$1:$O$258,8,FALSE)),"",(VLOOKUP($E43,'A-1 Site Habitat Baseline'!$D$1:$O$258,8,FALSE))))</f>
        <v/>
      </c>
      <c r="K43" s="520" t="str">
        <f>IF(E43="","",IF(ISNA(VLOOKUP($E43,'A-1 Site Habitat Baseline'!$D$1:$O$258,9,FALSE)),"",(VLOOKUP($E43,'A-1 Site Habitat Baseline'!$D$1:$O$258,9,FALSE))))</f>
        <v/>
      </c>
      <c r="L43" s="520" t="str">
        <f>IF(E43="","",IF(ISNA(VLOOKUP($E43,'A-1 Site Habitat Baseline'!$D$1:$O$258,11,FALSE)),"",(VLOOKUP($E43,'A-1 Site Habitat Baseline'!$D$1:$O$258,11,FALSE))))</f>
        <v/>
      </c>
      <c r="M43" s="520" t="str">
        <f>IF(E43="","",IF(ISNA(VLOOKUP($E43,'A-1 Site Habitat Baseline'!$D$1:$O$258,12,FALSE)),"",(VLOOKUP($E43,'A-1 Site Habitat Baseline'!$D$1:$O$258,12,FALSE))))</f>
        <v/>
      </c>
      <c r="N43" s="532" t="str">
        <f>IF(E43="","",IF(ISNA(VLOOKUP($E43,'A-1 Site Habitat Baseline'!$D$1:$X$258,14,FALSE)),"",(VLOOKUP($E43,'A-1 Site Habitat Baseline'!$D$1:$X$258,14,FALSE))))</f>
        <v/>
      </c>
      <c r="O43" s="524" t="str">
        <f>IF(E43="","",IF(ISNA(VLOOKUP($E43,'A-1 Site Habitat Baseline'!$D$1:$X$258,16,FALSE)),"",(VLOOKUP($E43,'A-1 Site Habitat Baseline'!$D$1:$X$258,13,FALSE))))</f>
        <v/>
      </c>
      <c r="P43" s="237" t="str">
        <f>IFERROR(INDEX('G-1 All Habitats'!$AG$3:$AG$15,MATCH(Q43,'G-1 All Habitats'!$AF$3:$AF$15,0)),"")</f>
        <v/>
      </c>
      <c r="Q43" s="238" t="str">
        <f t="shared" si="9"/>
        <v/>
      </c>
      <c r="R43" s="238" t="str">
        <f t="shared" si="10"/>
        <v/>
      </c>
      <c r="S43" s="392" t="str">
        <f>IFERROR(INDEX('G-1 All Habitats'!$B$3:$B$129,MATCH(R43,'G-1 All Habitats'!$A$3:$A$129,0)),"")</f>
        <v/>
      </c>
      <c r="T43" s="498" t="str">
        <f t="shared" si="1"/>
        <v/>
      </c>
      <c r="U43" s="499" t="str">
        <f t="shared" si="2"/>
        <v/>
      </c>
      <c r="V43" s="537" t="str">
        <f t="shared" si="3"/>
        <v/>
      </c>
      <c r="W43" s="520" t="str">
        <f>IF(S43="","",VLOOKUP(S43,'G-1 All Habitats'!$B$2:$M$129,10,FALSE))</f>
        <v/>
      </c>
      <c r="X43" s="520" t="str">
        <f>IFERROR(VLOOKUP(W43,'G-1 All Habitats'!$V$3:$W$7,2,FALSE),"")</f>
        <v/>
      </c>
      <c r="Y43" s="79"/>
      <c r="Z43" s="524" t="str">
        <f>IFERROR(INDEX('G-8 Condition Look up'!$A$3:$H$130,MATCH(S43,'G-8 Condition Look up'!$A$3:$A$130,0),MATCH(Y43,'G-8 Condition Look up'!$A$3:$H$3,0)),"")</f>
        <v/>
      </c>
      <c r="AA43" s="71"/>
      <c r="AB43" s="520" t="str">
        <f>IF(AA43="","",IF(VLOOKUP(AA43,'G-3 Multipliers'!$L$3:$N$6,2,FALSE)=0,"Spatial Data Missing ⚠",VLOOKUP(AA43,'G-3 Multipliers'!$L$3:$N$6,2,FALSE)))</f>
        <v/>
      </c>
      <c r="AC43" s="524" t="str">
        <f>IF(AA43="","",IF(VLOOKUP(AA43,'G-3 Multipliers'!$L$3:$N$6,3,FALSE)=0,"Spatial Data Missing ⚠",VLOOKUP(AA43,'G-3 Multipliers'!$L$3:$N$6,3,FALSE)))</f>
        <v/>
      </c>
      <c r="AD43" s="539" t="str">
        <f t="shared" si="0"/>
        <v/>
      </c>
      <c r="AE43" s="82"/>
      <c r="AF43" s="82"/>
      <c r="AG43" s="507" t="str">
        <f t="shared" si="4"/>
        <v/>
      </c>
      <c r="AH43" s="521" t="str">
        <f t="shared" si="5"/>
        <v/>
      </c>
      <c r="AI43" s="522" t="str">
        <f>IF(AH43="Check Data","Check Data",IFERROR(VLOOKUP(AH43,'G-4 Temporal multipliers'!$A$4:$C$36,3,FALSE),""))</f>
        <v/>
      </c>
      <c r="AJ43" s="498" t="str">
        <f>IF(S43="","",VLOOKUP(S43,'G-3 Multipliers'!$A$2:$E$129,4,FALSE))</f>
        <v/>
      </c>
      <c r="AK43" s="507" t="str">
        <f t="shared" si="6"/>
        <v/>
      </c>
      <c r="AL43" s="507" t="str">
        <f t="shared" si="7"/>
        <v/>
      </c>
      <c r="AM43" s="540" t="str">
        <f>IFERROR(IF(F43="","",IF(AH43="Check Data ⚠","Check Data ⚠",VLOOKUP(AL43, 'G-3 Multipliers'!$P$2:$Q$6,2,FALSE))),"")</f>
        <v/>
      </c>
      <c r="AN43" s="513" t="str">
        <f t="shared" si="8"/>
        <v/>
      </c>
      <c r="AO43" s="239"/>
      <c r="AP43" s="240"/>
    </row>
    <row r="44" spans="1:42" x14ac:dyDescent="0.3">
      <c r="A44" s="47" t="str">
        <f>IF(E44="","",IF(ISNA(VLOOKUP($E44,'A-1 Site Habitat Baseline'!$D$1:$O$258,2,FALSE)),"",(VLOOKUP($E44,'A-1 Site Habitat Baseline'!$D$1:$O$258,2,FALSE))))</f>
        <v/>
      </c>
      <c r="B44" s="47" t="str">
        <f>IF(E44="","",IF(ISNA(VLOOKUP($E44,'A-1 Site Habitat Baseline'!$D$1:$O$258,3,FALSE)),"",(VLOOKUP($E44,'A-1 Site Habitat Baseline'!$D$1:$O$258,3,FALSE))))</f>
        <v/>
      </c>
      <c r="C44" s="47" t="str">
        <f>IFERROR(INDEX('G-8 Condition Look up'!$I$4:$I$130,MATCH(S44,'G-8 Condition Look up'!$A$4:$A$130,0)),"")</f>
        <v/>
      </c>
      <c r="E44" s="531" t="str">
        <f>'A-1 Site Habitat Baseline'!AL43</f>
        <v/>
      </c>
      <c r="F44" s="520" t="str">
        <f>IF(E44="","",IF(ISNA(VLOOKUP($E44,'A-1 Site Habitat Baseline'!$D$1:$O$258,4,FALSE)),"",(VLOOKUP($E44,'A-1 Site Habitat Baseline'!$D$1:$O$258,4,FALSE))))</f>
        <v/>
      </c>
      <c r="G44" s="520" t="str">
        <f>IF(E44="","",IF(ISNA(VLOOKUP($E44,'A-1 Site Habitat Baseline'!$D$1:$O$258,5,FALSE)),"",(VLOOKUP($E44,'A-1 Site Habitat Baseline'!$D$1:$O$258,5,FALSE))))</f>
        <v/>
      </c>
      <c r="H44" s="520" t="str">
        <f>IF(E44="","",IF(ISNA(VLOOKUP($E44,'A-1 Site Habitat Baseline'!$D$1:$O$258,6,FALSE)),"",(VLOOKUP($E44,'A-1 Site Habitat Baseline'!$D$1:$O$258,6,FALSE))))</f>
        <v/>
      </c>
      <c r="I44" s="520" t="str">
        <f>IF(E44="","",IF(ISNA(VLOOKUP($E44,'A-1 Site Habitat Baseline'!$D$1:$O$258,7,FALSE)),"",(VLOOKUP($E44,'A-1 Site Habitat Baseline'!$D$1:$O$258,7,FALSE))))</f>
        <v/>
      </c>
      <c r="J44" s="520" t="str">
        <f>IF(E44="","",IF(ISNA(VLOOKUP($E44,'A-1 Site Habitat Baseline'!$D$1:$O$258,8,FALSE)),"",(VLOOKUP($E44,'A-1 Site Habitat Baseline'!$D$1:$O$258,8,FALSE))))</f>
        <v/>
      </c>
      <c r="K44" s="520" t="str">
        <f>IF(E44="","",IF(ISNA(VLOOKUP($E44,'A-1 Site Habitat Baseline'!$D$1:$O$258,9,FALSE)),"",(VLOOKUP($E44,'A-1 Site Habitat Baseline'!$D$1:$O$258,9,FALSE))))</f>
        <v/>
      </c>
      <c r="L44" s="520" t="str">
        <f>IF(E44="","",IF(ISNA(VLOOKUP($E44,'A-1 Site Habitat Baseline'!$D$1:$O$258,11,FALSE)),"",(VLOOKUP($E44,'A-1 Site Habitat Baseline'!$D$1:$O$258,11,FALSE))))</f>
        <v/>
      </c>
      <c r="M44" s="520" t="str">
        <f>IF(E44="","",IF(ISNA(VLOOKUP($E44,'A-1 Site Habitat Baseline'!$D$1:$O$258,12,FALSE)),"",(VLOOKUP($E44,'A-1 Site Habitat Baseline'!$D$1:$O$258,12,FALSE))))</f>
        <v/>
      </c>
      <c r="N44" s="532" t="str">
        <f>IF(E44="","",IF(ISNA(VLOOKUP($E44,'A-1 Site Habitat Baseline'!$D$1:$X$258,14,FALSE)),"",(VLOOKUP($E44,'A-1 Site Habitat Baseline'!$D$1:$X$258,14,FALSE))))</f>
        <v/>
      </c>
      <c r="O44" s="524" t="str">
        <f>IF(E44="","",IF(ISNA(VLOOKUP($E44,'A-1 Site Habitat Baseline'!$D$1:$X$258,16,FALSE)),"",(VLOOKUP($E44,'A-1 Site Habitat Baseline'!$D$1:$X$258,13,FALSE))))</f>
        <v/>
      </c>
      <c r="P44" s="237" t="str">
        <f>IFERROR(INDEX('G-1 All Habitats'!$AG$3:$AG$15,MATCH(Q44,'G-1 All Habitats'!$AF$3:$AF$15,0)),"")</f>
        <v/>
      </c>
      <c r="Q44" s="238" t="str">
        <f t="shared" si="9"/>
        <v/>
      </c>
      <c r="R44" s="238" t="str">
        <f t="shared" si="10"/>
        <v/>
      </c>
      <c r="S44" s="392" t="str">
        <f>IFERROR(INDEX('G-1 All Habitats'!$B$3:$B$129,MATCH(R44,'G-1 All Habitats'!$A$3:$A$129,0)),"")</f>
        <v/>
      </c>
      <c r="T44" s="498" t="str">
        <f t="shared" si="1"/>
        <v/>
      </c>
      <c r="U44" s="499" t="str">
        <f t="shared" si="2"/>
        <v/>
      </c>
      <c r="V44" s="537" t="str">
        <f t="shared" si="3"/>
        <v/>
      </c>
      <c r="W44" s="520" t="str">
        <f>IF(S44="","",VLOOKUP(S44,'G-1 All Habitats'!$B$2:$M$129,10,FALSE))</f>
        <v/>
      </c>
      <c r="X44" s="520" t="str">
        <f>IFERROR(VLOOKUP(W44,'G-1 All Habitats'!$V$3:$W$7,2,FALSE),"")</f>
        <v/>
      </c>
      <c r="Y44" s="79"/>
      <c r="Z44" s="524" t="str">
        <f>IFERROR(INDEX('G-8 Condition Look up'!$A$3:$H$130,MATCH(S44,'G-8 Condition Look up'!$A$3:$A$130,0),MATCH(Y44,'G-8 Condition Look up'!$A$3:$H$3,0)),"")</f>
        <v/>
      </c>
      <c r="AA44" s="71"/>
      <c r="AB44" s="520" t="str">
        <f>IF(AA44="","",IF(VLOOKUP(AA44,'G-3 Multipliers'!$L$3:$N$6,2,FALSE)=0,"Spatial Data Missing ⚠",VLOOKUP(AA44,'G-3 Multipliers'!$L$3:$N$6,2,FALSE)))</f>
        <v/>
      </c>
      <c r="AC44" s="524" t="str">
        <f>IF(AA44="","",IF(VLOOKUP(AA44,'G-3 Multipliers'!$L$3:$N$6,3,FALSE)=0,"Spatial Data Missing ⚠",VLOOKUP(AA44,'G-3 Multipliers'!$L$3:$N$6,3,FALSE)))</f>
        <v/>
      </c>
      <c r="AD44" s="539" t="str">
        <f t="shared" si="0"/>
        <v/>
      </c>
      <c r="AE44" s="82"/>
      <c r="AF44" s="82"/>
      <c r="AG44" s="507" t="str">
        <f t="shared" si="4"/>
        <v/>
      </c>
      <c r="AH44" s="521" t="str">
        <f t="shared" si="5"/>
        <v/>
      </c>
      <c r="AI44" s="522" t="str">
        <f>IF(AH44="Check Data","Check Data",IFERROR(VLOOKUP(AH44,'G-4 Temporal multipliers'!$A$4:$C$36,3,FALSE),""))</f>
        <v/>
      </c>
      <c r="AJ44" s="498" t="str">
        <f>IF(S44="","",VLOOKUP(S44,'G-3 Multipliers'!$A$2:$E$129,4,FALSE))</f>
        <v/>
      </c>
      <c r="AK44" s="507" t="str">
        <f t="shared" si="6"/>
        <v/>
      </c>
      <c r="AL44" s="507" t="str">
        <f t="shared" si="7"/>
        <v/>
      </c>
      <c r="AM44" s="540" t="str">
        <f>IFERROR(IF(F44="","",IF(AH44="Check Data ⚠","Check Data ⚠",VLOOKUP(AL44, 'G-3 Multipliers'!$P$2:$Q$6,2,FALSE))),"")</f>
        <v/>
      </c>
      <c r="AN44" s="513" t="str">
        <f t="shared" si="8"/>
        <v/>
      </c>
      <c r="AO44" s="239"/>
      <c r="AP44" s="240"/>
    </row>
    <row r="45" spans="1:42" x14ac:dyDescent="0.3">
      <c r="A45" s="47" t="str">
        <f>IF(E45="","",IF(ISNA(VLOOKUP($E45,'A-1 Site Habitat Baseline'!$D$1:$O$258,2,FALSE)),"",(VLOOKUP($E45,'A-1 Site Habitat Baseline'!$D$1:$O$258,2,FALSE))))</f>
        <v/>
      </c>
      <c r="B45" s="47" t="str">
        <f>IF(E45="","",IF(ISNA(VLOOKUP($E45,'A-1 Site Habitat Baseline'!$D$1:$O$258,3,FALSE)),"",(VLOOKUP($E45,'A-1 Site Habitat Baseline'!$D$1:$O$258,3,FALSE))))</f>
        <v/>
      </c>
      <c r="C45" s="47" t="str">
        <f>IFERROR(INDEX('G-8 Condition Look up'!$I$4:$I$130,MATCH(S45,'G-8 Condition Look up'!$A$4:$A$130,0)),"")</f>
        <v/>
      </c>
      <c r="E45" s="531" t="str">
        <f>'A-1 Site Habitat Baseline'!AL44</f>
        <v/>
      </c>
      <c r="F45" s="520" t="str">
        <f>IF(E45="","",IF(ISNA(VLOOKUP($E45,'A-1 Site Habitat Baseline'!$D$1:$O$258,4,FALSE)),"",(VLOOKUP($E45,'A-1 Site Habitat Baseline'!$D$1:$O$258,4,FALSE))))</f>
        <v/>
      </c>
      <c r="G45" s="520" t="str">
        <f>IF(E45="","",IF(ISNA(VLOOKUP($E45,'A-1 Site Habitat Baseline'!$D$1:$O$258,5,FALSE)),"",(VLOOKUP($E45,'A-1 Site Habitat Baseline'!$D$1:$O$258,5,FALSE))))</f>
        <v/>
      </c>
      <c r="H45" s="520" t="str">
        <f>IF(E45="","",IF(ISNA(VLOOKUP($E45,'A-1 Site Habitat Baseline'!$D$1:$O$258,6,FALSE)),"",(VLOOKUP($E45,'A-1 Site Habitat Baseline'!$D$1:$O$258,6,FALSE))))</f>
        <v/>
      </c>
      <c r="I45" s="520" t="str">
        <f>IF(E45="","",IF(ISNA(VLOOKUP($E45,'A-1 Site Habitat Baseline'!$D$1:$O$258,7,FALSE)),"",(VLOOKUP($E45,'A-1 Site Habitat Baseline'!$D$1:$O$258,7,FALSE))))</f>
        <v/>
      </c>
      <c r="J45" s="520" t="str">
        <f>IF(E45="","",IF(ISNA(VLOOKUP($E45,'A-1 Site Habitat Baseline'!$D$1:$O$258,8,FALSE)),"",(VLOOKUP($E45,'A-1 Site Habitat Baseline'!$D$1:$O$258,8,FALSE))))</f>
        <v/>
      </c>
      <c r="K45" s="520" t="str">
        <f>IF(E45="","",IF(ISNA(VLOOKUP($E45,'A-1 Site Habitat Baseline'!$D$1:$O$258,9,FALSE)),"",(VLOOKUP($E45,'A-1 Site Habitat Baseline'!$D$1:$O$258,9,FALSE))))</f>
        <v/>
      </c>
      <c r="L45" s="520" t="str">
        <f>IF(E45="","",IF(ISNA(VLOOKUP($E45,'A-1 Site Habitat Baseline'!$D$1:$O$258,11,FALSE)),"",(VLOOKUP($E45,'A-1 Site Habitat Baseline'!$D$1:$O$258,11,FALSE))))</f>
        <v/>
      </c>
      <c r="M45" s="520" t="str">
        <f>IF(E45="","",IF(ISNA(VLOOKUP($E45,'A-1 Site Habitat Baseline'!$D$1:$O$258,12,FALSE)),"",(VLOOKUP($E45,'A-1 Site Habitat Baseline'!$D$1:$O$258,12,FALSE))))</f>
        <v/>
      </c>
      <c r="N45" s="532" t="str">
        <f>IF(E45="","",IF(ISNA(VLOOKUP($E45,'A-1 Site Habitat Baseline'!$D$1:$X$258,14,FALSE)),"",(VLOOKUP($E45,'A-1 Site Habitat Baseline'!$D$1:$X$258,14,FALSE))))</f>
        <v/>
      </c>
      <c r="O45" s="524" t="str">
        <f>IF(E45="","",IF(ISNA(VLOOKUP($E45,'A-1 Site Habitat Baseline'!$D$1:$X$258,16,FALSE)),"",(VLOOKUP($E45,'A-1 Site Habitat Baseline'!$D$1:$X$258,13,FALSE))))</f>
        <v/>
      </c>
      <c r="P45" s="237" t="str">
        <f>IFERROR(INDEX('G-1 All Habitats'!$AG$3:$AG$15,MATCH(Q45,'G-1 All Habitats'!$AF$3:$AF$15,0)),"")</f>
        <v/>
      </c>
      <c r="Q45" s="238" t="str">
        <f t="shared" si="9"/>
        <v/>
      </c>
      <c r="R45" s="238" t="str">
        <f t="shared" si="10"/>
        <v/>
      </c>
      <c r="S45" s="392" t="str">
        <f>IFERROR(INDEX('G-1 All Habitats'!$B$3:$B$129,MATCH(R45,'G-1 All Habitats'!$A$3:$A$129,0)),"")</f>
        <v/>
      </c>
      <c r="T45" s="498" t="str">
        <f t="shared" si="1"/>
        <v/>
      </c>
      <c r="U45" s="499" t="str">
        <f t="shared" si="2"/>
        <v/>
      </c>
      <c r="V45" s="537" t="str">
        <f t="shared" si="3"/>
        <v/>
      </c>
      <c r="W45" s="520" t="str">
        <f>IF(S45="","",VLOOKUP(S45,'G-1 All Habitats'!$B$2:$M$129,10,FALSE))</f>
        <v/>
      </c>
      <c r="X45" s="520" t="str">
        <f>IFERROR(VLOOKUP(W45,'G-1 All Habitats'!$V$3:$W$7,2,FALSE),"")</f>
        <v/>
      </c>
      <c r="Y45" s="79"/>
      <c r="Z45" s="524" t="str">
        <f>IFERROR(INDEX('G-8 Condition Look up'!$A$3:$H$130,MATCH(S45,'G-8 Condition Look up'!$A$3:$A$130,0),MATCH(Y45,'G-8 Condition Look up'!$A$3:$H$3,0)),"")</f>
        <v/>
      </c>
      <c r="AA45" s="71"/>
      <c r="AB45" s="520" t="str">
        <f>IF(AA45="","",IF(VLOOKUP(AA45,'G-3 Multipliers'!$L$3:$N$6,2,FALSE)=0,"Spatial Data Missing ⚠",VLOOKUP(AA45,'G-3 Multipliers'!$L$3:$N$6,2,FALSE)))</f>
        <v/>
      </c>
      <c r="AC45" s="524" t="str">
        <f>IF(AA45="","",IF(VLOOKUP(AA45,'G-3 Multipliers'!$L$3:$N$6,3,FALSE)=0,"Spatial Data Missing ⚠",VLOOKUP(AA45,'G-3 Multipliers'!$L$3:$N$6,3,FALSE)))</f>
        <v/>
      </c>
      <c r="AD45" s="539" t="str">
        <f t="shared" si="0"/>
        <v/>
      </c>
      <c r="AE45" s="82"/>
      <c r="AF45" s="82"/>
      <c r="AG45" s="507" t="str">
        <f t="shared" si="4"/>
        <v/>
      </c>
      <c r="AH45" s="521" t="str">
        <f t="shared" si="5"/>
        <v/>
      </c>
      <c r="AI45" s="522" t="str">
        <f>IF(AH45="Check Data","Check Data",IFERROR(VLOOKUP(AH45,'G-4 Temporal multipliers'!$A$4:$C$36,3,FALSE),""))</f>
        <v/>
      </c>
      <c r="AJ45" s="498" t="str">
        <f>IF(S45="","",VLOOKUP(S45,'G-3 Multipliers'!$A$2:$E$129,4,FALSE))</f>
        <v/>
      </c>
      <c r="AK45" s="507" t="str">
        <f t="shared" si="6"/>
        <v/>
      </c>
      <c r="AL45" s="507" t="str">
        <f t="shared" si="7"/>
        <v/>
      </c>
      <c r="AM45" s="540" t="str">
        <f>IFERROR(IF(F45="","",IF(AH45="Check Data ⚠","Check Data ⚠",VLOOKUP(AL45, 'G-3 Multipliers'!$P$2:$Q$6,2,FALSE))),"")</f>
        <v/>
      </c>
      <c r="AN45" s="513" t="str">
        <f t="shared" si="8"/>
        <v/>
      </c>
      <c r="AO45" s="239"/>
      <c r="AP45" s="240"/>
    </row>
    <row r="46" spans="1:42" x14ac:dyDescent="0.3">
      <c r="A46" s="47" t="str">
        <f>IF(E46="","",IF(ISNA(VLOOKUP($E46,'A-1 Site Habitat Baseline'!$D$1:$O$258,2,FALSE)),"",(VLOOKUP($E46,'A-1 Site Habitat Baseline'!$D$1:$O$258,2,FALSE))))</f>
        <v/>
      </c>
      <c r="B46" s="47" t="str">
        <f>IF(E46="","",IF(ISNA(VLOOKUP($E46,'A-1 Site Habitat Baseline'!$D$1:$O$258,3,FALSE)),"",(VLOOKUP($E46,'A-1 Site Habitat Baseline'!$D$1:$O$258,3,FALSE))))</f>
        <v/>
      </c>
      <c r="C46" s="47" t="str">
        <f>IFERROR(INDEX('G-8 Condition Look up'!$I$4:$I$130,MATCH(S46,'G-8 Condition Look up'!$A$4:$A$130,0)),"")</f>
        <v/>
      </c>
      <c r="E46" s="531" t="str">
        <f>'A-1 Site Habitat Baseline'!AL45</f>
        <v/>
      </c>
      <c r="F46" s="520" t="str">
        <f>IF(E46="","",IF(ISNA(VLOOKUP($E46,'A-1 Site Habitat Baseline'!$D$1:$O$258,4,FALSE)),"",(VLOOKUP($E46,'A-1 Site Habitat Baseline'!$D$1:$O$258,4,FALSE))))</f>
        <v/>
      </c>
      <c r="G46" s="520" t="str">
        <f>IF(E46="","",IF(ISNA(VLOOKUP($E46,'A-1 Site Habitat Baseline'!$D$1:$O$258,5,FALSE)),"",(VLOOKUP($E46,'A-1 Site Habitat Baseline'!$D$1:$O$258,5,FALSE))))</f>
        <v/>
      </c>
      <c r="H46" s="520" t="str">
        <f>IF(E46="","",IF(ISNA(VLOOKUP($E46,'A-1 Site Habitat Baseline'!$D$1:$O$258,6,FALSE)),"",(VLOOKUP($E46,'A-1 Site Habitat Baseline'!$D$1:$O$258,6,FALSE))))</f>
        <v/>
      </c>
      <c r="I46" s="520" t="str">
        <f>IF(E46="","",IF(ISNA(VLOOKUP($E46,'A-1 Site Habitat Baseline'!$D$1:$O$258,7,FALSE)),"",(VLOOKUP($E46,'A-1 Site Habitat Baseline'!$D$1:$O$258,7,FALSE))))</f>
        <v/>
      </c>
      <c r="J46" s="520" t="str">
        <f>IF(E46="","",IF(ISNA(VLOOKUP($E46,'A-1 Site Habitat Baseline'!$D$1:$O$258,8,FALSE)),"",(VLOOKUP($E46,'A-1 Site Habitat Baseline'!$D$1:$O$258,8,FALSE))))</f>
        <v/>
      </c>
      <c r="K46" s="520" t="str">
        <f>IF(E46="","",IF(ISNA(VLOOKUP($E46,'A-1 Site Habitat Baseline'!$D$1:$O$258,9,FALSE)),"",(VLOOKUP($E46,'A-1 Site Habitat Baseline'!$D$1:$O$258,9,FALSE))))</f>
        <v/>
      </c>
      <c r="L46" s="520" t="str">
        <f>IF(E46="","",IF(ISNA(VLOOKUP($E46,'A-1 Site Habitat Baseline'!$D$1:$O$258,11,FALSE)),"",(VLOOKUP($E46,'A-1 Site Habitat Baseline'!$D$1:$O$258,11,FALSE))))</f>
        <v/>
      </c>
      <c r="M46" s="520" t="str">
        <f>IF(E46="","",IF(ISNA(VLOOKUP($E46,'A-1 Site Habitat Baseline'!$D$1:$O$258,12,FALSE)),"",(VLOOKUP($E46,'A-1 Site Habitat Baseline'!$D$1:$O$258,12,FALSE))))</f>
        <v/>
      </c>
      <c r="N46" s="532" t="str">
        <f>IF(E46="","",IF(ISNA(VLOOKUP($E46,'A-1 Site Habitat Baseline'!$D$1:$X$258,14,FALSE)),"",(VLOOKUP($E46,'A-1 Site Habitat Baseline'!$D$1:$X$258,14,FALSE))))</f>
        <v/>
      </c>
      <c r="O46" s="524" t="str">
        <f>IF(E46="","",IF(ISNA(VLOOKUP($E46,'A-1 Site Habitat Baseline'!$D$1:$X$258,16,FALSE)),"",(VLOOKUP($E46,'A-1 Site Habitat Baseline'!$D$1:$X$258,13,FALSE))))</f>
        <v/>
      </c>
      <c r="P46" s="237" t="str">
        <f>IFERROR(INDEX('G-1 All Habitats'!$AG$3:$AG$15,MATCH(Q46,'G-1 All Habitats'!$AF$3:$AF$15,0)),"")</f>
        <v/>
      </c>
      <c r="Q46" s="238" t="str">
        <f t="shared" si="9"/>
        <v/>
      </c>
      <c r="R46" s="238" t="str">
        <f t="shared" si="10"/>
        <v/>
      </c>
      <c r="S46" s="392" t="str">
        <f>IFERROR(INDEX('G-1 All Habitats'!$B$3:$B$129,MATCH(R46,'G-1 All Habitats'!$A$3:$A$129,0)),"")</f>
        <v/>
      </c>
      <c r="T46" s="498" t="str">
        <f t="shared" si="1"/>
        <v/>
      </c>
      <c r="U46" s="499" t="str">
        <f t="shared" si="2"/>
        <v/>
      </c>
      <c r="V46" s="537" t="str">
        <f t="shared" si="3"/>
        <v/>
      </c>
      <c r="W46" s="520" t="str">
        <f>IF(S46="","",VLOOKUP(S46,'G-1 All Habitats'!$B$2:$M$129,10,FALSE))</f>
        <v/>
      </c>
      <c r="X46" s="520" t="str">
        <f>IFERROR(VLOOKUP(W46,'G-1 All Habitats'!$V$3:$W$7,2,FALSE),"")</f>
        <v/>
      </c>
      <c r="Y46" s="79"/>
      <c r="Z46" s="524" t="str">
        <f>IFERROR(INDEX('G-8 Condition Look up'!$A$3:$H$130,MATCH(S46,'G-8 Condition Look up'!$A$3:$A$130,0),MATCH(Y46,'G-8 Condition Look up'!$A$3:$H$3,0)),"")</f>
        <v/>
      </c>
      <c r="AA46" s="71"/>
      <c r="AB46" s="520" t="str">
        <f>IF(AA46="","",IF(VLOOKUP(AA46,'G-3 Multipliers'!$L$3:$N$6,2,FALSE)=0,"Spatial Data Missing ⚠",VLOOKUP(AA46,'G-3 Multipliers'!$L$3:$N$6,2,FALSE)))</f>
        <v/>
      </c>
      <c r="AC46" s="524" t="str">
        <f>IF(AA46="","",IF(VLOOKUP(AA46,'G-3 Multipliers'!$L$3:$N$6,3,FALSE)=0,"Spatial Data Missing ⚠",VLOOKUP(AA46,'G-3 Multipliers'!$L$3:$N$6,3,FALSE)))</f>
        <v/>
      </c>
      <c r="AD46" s="539" t="str">
        <f t="shared" si="0"/>
        <v/>
      </c>
      <c r="AE46" s="82"/>
      <c r="AF46" s="82"/>
      <c r="AG46" s="507" t="str">
        <f t="shared" si="4"/>
        <v/>
      </c>
      <c r="AH46" s="521" t="str">
        <f t="shared" si="5"/>
        <v/>
      </c>
      <c r="AI46" s="522" t="str">
        <f>IF(AH46="Check Data","Check Data",IFERROR(VLOOKUP(AH46,'G-4 Temporal multipliers'!$A$4:$C$36,3,FALSE),""))</f>
        <v/>
      </c>
      <c r="AJ46" s="498" t="str">
        <f>IF(S46="","",VLOOKUP(S46,'G-3 Multipliers'!$A$2:$E$129,4,FALSE))</f>
        <v/>
      </c>
      <c r="AK46" s="507" t="str">
        <f t="shared" si="6"/>
        <v/>
      </c>
      <c r="AL46" s="507" t="str">
        <f t="shared" si="7"/>
        <v/>
      </c>
      <c r="AM46" s="540" t="str">
        <f>IFERROR(IF(F46="","",IF(AH46="Check Data ⚠","Check Data ⚠",VLOOKUP(AL46, 'G-3 Multipliers'!$P$2:$Q$6,2,FALSE))),"")</f>
        <v/>
      </c>
      <c r="AN46" s="513" t="str">
        <f t="shared" si="8"/>
        <v/>
      </c>
      <c r="AO46" s="239"/>
      <c r="AP46" s="240"/>
    </row>
    <row r="47" spans="1:42" x14ac:dyDescent="0.3">
      <c r="A47" s="47" t="str">
        <f>IF(E47="","",IF(ISNA(VLOOKUP($E47,'A-1 Site Habitat Baseline'!$D$1:$O$258,2,FALSE)),"",(VLOOKUP($E47,'A-1 Site Habitat Baseline'!$D$1:$O$258,2,FALSE))))</f>
        <v/>
      </c>
      <c r="B47" s="47" t="str">
        <f>IF(E47="","",IF(ISNA(VLOOKUP($E47,'A-1 Site Habitat Baseline'!$D$1:$O$258,3,FALSE)),"",(VLOOKUP($E47,'A-1 Site Habitat Baseline'!$D$1:$O$258,3,FALSE))))</f>
        <v/>
      </c>
      <c r="C47" s="47" t="str">
        <f>IFERROR(INDEX('G-8 Condition Look up'!$I$4:$I$130,MATCH(S47,'G-8 Condition Look up'!$A$4:$A$130,0)),"")</f>
        <v/>
      </c>
      <c r="E47" s="531" t="str">
        <f>'A-1 Site Habitat Baseline'!AL46</f>
        <v/>
      </c>
      <c r="F47" s="520" t="str">
        <f>IF(E47="","",IF(ISNA(VLOOKUP($E47,'A-1 Site Habitat Baseline'!$D$1:$O$258,4,FALSE)),"",(VLOOKUP($E47,'A-1 Site Habitat Baseline'!$D$1:$O$258,4,FALSE))))</f>
        <v/>
      </c>
      <c r="G47" s="520" t="str">
        <f>IF(E47="","",IF(ISNA(VLOOKUP($E47,'A-1 Site Habitat Baseline'!$D$1:$O$258,5,FALSE)),"",(VLOOKUP($E47,'A-1 Site Habitat Baseline'!$D$1:$O$258,5,FALSE))))</f>
        <v/>
      </c>
      <c r="H47" s="520" t="str">
        <f>IF(E47="","",IF(ISNA(VLOOKUP($E47,'A-1 Site Habitat Baseline'!$D$1:$O$258,6,FALSE)),"",(VLOOKUP($E47,'A-1 Site Habitat Baseline'!$D$1:$O$258,6,FALSE))))</f>
        <v/>
      </c>
      <c r="I47" s="520" t="str">
        <f>IF(E47="","",IF(ISNA(VLOOKUP($E47,'A-1 Site Habitat Baseline'!$D$1:$O$258,7,FALSE)),"",(VLOOKUP($E47,'A-1 Site Habitat Baseline'!$D$1:$O$258,7,FALSE))))</f>
        <v/>
      </c>
      <c r="J47" s="520" t="str">
        <f>IF(E47="","",IF(ISNA(VLOOKUP($E47,'A-1 Site Habitat Baseline'!$D$1:$O$258,8,FALSE)),"",(VLOOKUP($E47,'A-1 Site Habitat Baseline'!$D$1:$O$258,8,FALSE))))</f>
        <v/>
      </c>
      <c r="K47" s="520" t="str">
        <f>IF(E47="","",IF(ISNA(VLOOKUP($E47,'A-1 Site Habitat Baseline'!$D$1:$O$258,9,FALSE)),"",(VLOOKUP($E47,'A-1 Site Habitat Baseline'!$D$1:$O$258,9,FALSE))))</f>
        <v/>
      </c>
      <c r="L47" s="520" t="str">
        <f>IF(E47="","",IF(ISNA(VLOOKUP($E47,'A-1 Site Habitat Baseline'!$D$1:$O$258,11,FALSE)),"",(VLOOKUP($E47,'A-1 Site Habitat Baseline'!$D$1:$O$258,11,FALSE))))</f>
        <v/>
      </c>
      <c r="M47" s="520" t="str">
        <f>IF(E47="","",IF(ISNA(VLOOKUP($E47,'A-1 Site Habitat Baseline'!$D$1:$O$258,12,FALSE)),"",(VLOOKUP($E47,'A-1 Site Habitat Baseline'!$D$1:$O$258,12,FALSE))))</f>
        <v/>
      </c>
      <c r="N47" s="532" t="str">
        <f>IF(E47="","",IF(ISNA(VLOOKUP($E47,'A-1 Site Habitat Baseline'!$D$1:$X$258,14,FALSE)),"",(VLOOKUP($E47,'A-1 Site Habitat Baseline'!$D$1:$X$258,14,FALSE))))</f>
        <v/>
      </c>
      <c r="O47" s="524" t="str">
        <f>IF(E47="","",IF(ISNA(VLOOKUP($E47,'A-1 Site Habitat Baseline'!$D$1:$X$258,16,FALSE)),"",(VLOOKUP($E47,'A-1 Site Habitat Baseline'!$D$1:$X$258,13,FALSE))))</f>
        <v/>
      </c>
      <c r="P47" s="237" t="str">
        <f>IFERROR(INDEX('G-1 All Habitats'!$AG$3:$AG$15,MATCH(Q47,'G-1 All Habitats'!$AF$3:$AF$15,0)),"")</f>
        <v/>
      </c>
      <c r="Q47" s="238" t="str">
        <f t="shared" si="9"/>
        <v/>
      </c>
      <c r="R47" s="238" t="str">
        <f t="shared" si="10"/>
        <v/>
      </c>
      <c r="S47" s="392" t="str">
        <f>IFERROR(INDEX('G-1 All Habitats'!$B$3:$B$129,MATCH(R47,'G-1 All Habitats'!$A$3:$A$129,0)),"")</f>
        <v/>
      </c>
      <c r="T47" s="498" t="str">
        <f t="shared" si="1"/>
        <v/>
      </c>
      <c r="U47" s="499" t="str">
        <f t="shared" si="2"/>
        <v/>
      </c>
      <c r="V47" s="537" t="str">
        <f t="shared" si="3"/>
        <v/>
      </c>
      <c r="W47" s="520" t="str">
        <f>IF(S47="","",VLOOKUP(S47,'G-1 All Habitats'!$B$2:$M$129,10,FALSE))</f>
        <v/>
      </c>
      <c r="X47" s="520" t="str">
        <f>IFERROR(VLOOKUP(W47,'G-1 All Habitats'!$V$3:$W$7,2,FALSE),"")</f>
        <v/>
      </c>
      <c r="Y47" s="79"/>
      <c r="Z47" s="524" t="str">
        <f>IFERROR(INDEX('G-8 Condition Look up'!$A$3:$H$130,MATCH(S47,'G-8 Condition Look up'!$A$3:$A$130,0),MATCH(Y47,'G-8 Condition Look up'!$A$3:$H$3,0)),"")</f>
        <v/>
      </c>
      <c r="AA47" s="71"/>
      <c r="AB47" s="520" t="str">
        <f>IF(AA47="","",IF(VLOOKUP(AA47,'G-3 Multipliers'!$L$3:$N$6,2,FALSE)=0,"Spatial Data Missing ⚠",VLOOKUP(AA47,'G-3 Multipliers'!$L$3:$N$6,2,FALSE)))</f>
        <v/>
      </c>
      <c r="AC47" s="524" t="str">
        <f>IF(AA47="","",IF(VLOOKUP(AA47,'G-3 Multipliers'!$L$3:$N$6,3,FALSE)=0,"Spatial Data Missing ⚠",VLOOKUP(AA47,'G-3 Multipliers'!$L$3:$N$6,3,FALSE)))</f>
        <v/>
      </c>
      <c r="AD47" s="539" t="str">
        <f t="shared" si="0"/>
        <v/>
      </c>
      <c r="AE47" s="82"/>
      <c r="AF47" s="82"/>
      <c r="AG47" s="507" t="str">
        <f t="shared" si="4"/>
        <v/>
      </c>
      <c r="AH47" s="521" t="str">
        <f t="shared" si="5"/>
        <v/>
      </c>
      <c r="AI47" s="522" t="str">
        <f>IF(AH47="Check Data","Check Data",IFERROR(VLOOKUP(AH47,'G-4 Temporal multipliers'!$A$4:$C$36,3,FALSE),""))</f>
        <v/>
      </c>
      <c r="AJ47" s="498" t="str">
        <f>IF(S47="","",VLOOKUP(S47,'G-3 Multipliers'!$A$2:$E$129,4,FALSE))</f>
        <v/>
      </c>
      <c r="AK47" s="507" t="str">
        <f t="shared" si="6"/>
        <v/>
      </c>
      <c r="AL47" s="507" t="str">
        <f t="shared" si="7"/>
        <v/>
      </c>
      <c r="AM47" s="540" t="str">
        <f>IFERROR(IF(F47="","",IF(AH47="Check Data ⚠","Check Data ⚠",VLOOKUP(AL47, 'G-3 Multipliers'!$P$2:$Q$6,2,FALSE))),"")</f>
        <v/>
      </c>
      <c r="AN47" s="513" t="str">
        <f t="shared" si="8"/>
        <v/>
      </c>
      <c r="AO47" s="239"/>
      <c r="AP47" s="240"/>
    </row>
    <row r="48" spans="1:42" x14ac:dyDescent="0.3">
      <c r="A48" s="47" t="str">
        <f>IF(E48="","",IF(ISNA(VLOOKUP($E48,'A-1 Site Habitat Baseline'!$D$1:$O$258,2,FALSE)),"",(VLOOKUP($E48,'A-1 Site Habitat Baseline'!$D$1:$O$258,2,FALSE))))</f>
        <v/>
      </c>
      <c r="B48" s="47" t="str">
        <f>IF(E48="","",IF(ISNA(VLOOKUP($E48,'A-1 Site Habitat Baseline'!$D$1:$O$258,3,FALSE)),"",(VLOOKUP($E48,'A-1 Site Habitat Baseline'!$D$1:$O$258,3,FALSE))))</f>
        <v/>
      </c>
      <c r="C48" s="47" t="str">
        <f>IFERROR(INDEX('G-8 Condition Look up'!$I$4:$I$130,MATCH(S48,'G-8 Condition Look up'!$A$4:$A$130,0)),"")</f>
        <v/>
      </c>
      <c r="E48" s="531" t="str">
        <f>'A-1 Site Habitat Baseline'!AL47</f>
        <v/>
      </c>
      <c r="F48" s="520" t="str">
        <f>IF(E48="","",IF(ISNA(VLOOKUP($E48,'A-1 Site Habitat Baseline'!$D$1:$O$258,4,FALSE)),"",(VLOOKUP($E48,'A-1 Site Habitat Baseline'!$D$1:$O$258,4,FALSE))))</f>
        <v/>
      </c>
      <c r="G48" s="520" t="str">
        <f>IF(E48="","",IF(ISNA(VLOOKUP($E48,'A-1 Site Habitat Baseline'!$D$1:$O$258,5,FALSE)),"",(VLOOKUP($E48,'A-1 Site Habitat Baseline'!$D$1:$O$258,5,FALSE))))</f>
        <v/>
      </c>
      <c r="H48" s="520" t="str">
        <f>IF(E48="","",IF(ISNA(VLOOKUP($E48,'A-1 Site Habitat Baseline'!$D$1:$O$258,6,FALSE)),"",(VLOOKUP($E48,'A-1 Site Habitat Baseline'!$D$1:$O$258,6,FALSE))))</f>
        <v/>
      </c>
      <c r="I48" s="520" t="str">
        <f>IF(E48="","",IF(ISNA(VLOOKUP($E48,'A-1 Site Habitat Baseline'!$D$1:$O$258,7,FALSE)),"",(VLOOKUP($E48,'A-1 Site Habitat Baseline'!$D$1:$O$258,7,FALSE))))</f>
        <v/>
      </c>
      <c r="J48" s="520" t="str">
        <f>IF(E48="","",IF(ISNA(VLOOKUP($E48,'A-1 Site Habitat Baseline'!$D$1:$O$258,8,FALSE)),"",(VLOOKUP($E48,'A-1 Site Habitat Baseline'!$D$1:$O$258,8,FALSE))))</f>
        <v/>
      </c>
      <c r="K48" s="520" t="str">
        <f>IF(E48="","",IF(ISNA(VLOOKUP($E48,'A-1 Site Habitat Baseline'!$D$1:$O$258,9,FALSE)),"",(VLOOKUP($E48,'A-1 Site Habitat Baseline'!$D$1:$O$258,9,FALSE))))</f>
        <v/>
      </c>
      <c r="L48" s="520" t="str">
        <f>IF(E48="","",IF(ISNA(VLOOKUP($E48,'A-1 Site Habitat Baseline'!$D$1:$O$258,11,FALSE)),"",(VLOOKUP($E48,'A-1 Site Habitat Baseline'!$D$1:$O$258,11,FALSE))))</f>
        <v/>
      </c>
      <c r="M48" s="520" t="str">
        <f>IF(E48="","",IF(ISNA(VLOOKUP($E48,'A-1 Site Habitat Baseline'!$D$1:$O$258,12,FALSE)),"",(VLOOKUP($E48,'A-1 Site Habitat Baseline'!$D$1:$O$258,12,FALSE))))</f>
        <v/>
      </c>
      <c r="N48" s="532" t="str">
        <f>IF(E48="","",IF(ISNA(VLOOKUP($E48,'A-1 Site Habitat Baseline'!$D$1:$X$258,14,FALSE)),"",(VLOOKUP($E48,'A-1 Site Habitat Baseline'!$D$1:$X$258,14,FALSE))))</f>
        <v/>
      </c>
      <c r="O48" s="524" t="str">
        <f>IF(E48="","",IF(ISNA(VLOOKUP($E48,'A-1 Site Habitat Baseline'!$D$1:$X$258,16,FALSE)),"",(VLOOKUP($E48,'A-1 Site Habitat Baseline'!$D$1:$X$258,13,FALSE))))</f>
        <v/>
      </c>
      <c r="P48" s="237" t="str">
        <f>IFERROR(INDEX('G-1 All Habitats'!$AG$3:$AG$15,MATCH(Q48,'G-1 All Habitats'!$AF$3:$AF$15,0)),"")</f>
        <v/>
      </c>
      <c r="Q48" s="238" t="str">
        <f t="shared" si="9"/>
        <v/>
      </c>
      <c r="R48" s="238" t="str">
        <f t="shared" si="10"/>
        <v/>
      </c>
      <c r="S48" s="392" t="str">
        <f>IFERROR(INDEX('G-1 All Habitats'!$B$3:$B$129,MATCH(R48,'G-1 All Habitats'!$A$3:$A$129,0)),"")</f>
        <v/>
      </c>
      <c r="T48" s="498" t="str">
        <f t="shared" si="1"/>
        <v/>
      </c>
      <c r="U48" s="499" t="str">
        <f t="shared" si="2"/>
        <v/>
      </c>
      <c r="V48" s="537" t="str">
        <f t="shared" si="3"/>
        <v/>
      </c>
      <c r="W48" s="520" t="str">
        <f>IF(S48="","",VLOOKUP(S48,'G-1 All Habitats'!$B$2:$M$129,10,FALSE))</f>
        <v/>
      </c>
      <c r="X48" s="520" t="str">
        <f>IFERROR(VLOOKUP(W48,'G-1 All Habitats'!$V$3:$W$7,2,FALSE),"")</f>
        <v/>
      </c>
      <c r="Y48" s="79"/>
      <c r="Z48" s="524" t="str">
        <f>IFERROR(INDEX('G-8 Condition Look up'!$A$3:$H$130,MATCH(S48,'G-8 Condition Look up'!$A$3:$A$130,0),MATCH(Y48,'G-8 Condition Look up'!$A$3:$H$3,0)),"")</f>
        <v/>
      </c>
      <c r="AA48" s="71"/>
      <c r="AB48" s="520" t="str">
        <f>IF(AA48="","",IF(VLOOKUP(AA48,'G-3 Multipliers'!$L$3:$N$6,2,FALSE)=0,"Spatial Data Missing ⚠",VLOOKUP(AA48,'G-3 Multipliers'!$L$3:$N$6,2,FALSE)))</f>
        <v/>
      </c>
      <c r="AC48" s="524" t="str">
        <f>IF(AA48="","",IF(VLOOKUP(AA48,'G-3 Multipliers'!$L$3:$N$6,3,FALSE)=0,"Spatial Data Missing ⚠",VLOOKUP(AA48,'G-3 Multipliers'!$L$3:$N$6,3,FALSE)))</f>
        <v/>
      </c>
      <c r="AD48" s="539" t="str">
        <f t="shared" si="0"/>
        <v/>
      </c>
      <c r="AE48" s="82"/>
      <c r="AF48" s="82"/>
      <c r="AG48" s="507" t="str">
        <f t="shared" si="4"/>
        <v/>
      </c>
      <c r="AH48" s="521" t="str">
        <f t="shared" si="5"/>
        <v/>
      </c>
      <c r="AI48" s="522" t="str">
        <f>IF(AH48="Check Data","Check Data",IFERROR(VLOOKUP(AH48,'G-4 Temporal multipliers'!$A$4:$C$36,3,FALSE),""))</f>
        <v/>
      </c>
      <c r="AJ48" s="498" t="str">
        <f>IF(S48="","",VLOOKUP(S48,'G-3 Multipliers'!$A$2:$E$129,4,FALSE))</f>
        <v/>
      </c>
      <c r="AK48" s="507" t="str">
        <f t="shared" si="6"/>
        <v/>
      </c>
      <c r="AL48" s="507" t="str">
        <f t="shared" si="7"/>
        <v/>
      </c>
      <c r="AM48" s="540" t="str">
        <f>IFERROR(IF(F48="","",IF(AH48="Check Data ⚠","Check Data ⚠",VLOOKUP(AL48, 'G-3 Multipliers'!$P$2:$Q$6,2,FALSE))),"")</f>
        <v/>
      </c>
      <c r="AN48" s="513" t="str">
        <f t="shared" si="8"/>
        <v/>
      </c>
      <c r="AO48" s="239"/>
      <c r="AP48" s="240"/>
    </row>
    <row r="49" spans="1:42" x14ac:dyDescent="0.3">
      <c r="A49" s="47" t="str">
        <f>IF(E49="","",IF(ISNA(VLOOKUP($E49,'A-1 Site Habitat Baseline'!$D$1:$O$258,2,FALSE)),"",(VLOOKUP($E49,'A-1 Site Habitat Baseline'!$D$1:$O$258,2,FALSE))))</f>
        <v/>
      </c>
      <c r="B49" s="47" t="str">
        <f>IF(E49="","",IF(ISNA(VLOOKUP($E49,'A-1 Site Habitat Baseline'!$D$1:$O$258,3,FALSE)),"",(VLOOKUP($E49,'A-1 Site Habitat Baseline'!$D$1:$O$258,3,FALSE))))</f>
        <v/>
      </c>
      <c r="C49" s="47" t="str">
        <f>IFERROR(INDEX('G-8 Condition Look up'!$I$4:$I$130,MATCH(S49,'G-8 Condition Look up'!$A$4:$A$130,0)),"")</f>
        <v/>
      </c>
      <c r="E49" s="531" t="str">
        <f>'A-1 Site Habitat Baseline'!AL48</f>
        <v/>
      </c>
      <c r="F49" s="520" t="str">
        <f>IF(E49="","",IF(ISNA(VLOOKUP($E49,'A-1 Site Habitat Baseline'!$D$1:$O$258,4,FALSE)),"",(VLOOKUP($E49,'A-1 Site Habitat Baseline'!$D$1:$O$258,4,FALSE))))</f>
        <v/>
      </c>
      <c r="G49" s="520" t="str">
        <f>IF(E49="","",IF(ISNA(VLOOKUP($E49,'A-1 Site Habitat Baseline'!$D$1:$O$258,5,FALSE)),"",(VLOOKUP($E49,'A-1 Site Habitat Baseline'!$D$1:$O$258,5,FALSE))))</f>
        <v/>
      </c>
      <c r="H49" s="520" t="str">
        <f>IF(E49="","",IF(ISNA(VLOOKUP($E49,'A-1 Site Habitat Baseline'!$D$1:$O$258,6,FALSE)),"",(VLOOKUP($E49,'A-1 Site Habitat Baseline'!$D$1:$O$258,6,FALSE))))</f>
        <v/>
      </c>
      <c r="I49" s="520" t="str">
        <f>IF(E49="","",IF(ISNA(VLOOKUP($E49,'A-1 Site Habitat Baseline'!$D$1:$O$258,7,FALSE)),"",(VLOOKUP($E49,'A-1 Site Habitat Baseline'!$D$1:$O$258,7,FALSE))))</f>
        <v/>
      </c>
      <c r="J49" s="520" t="str">
        <f>IF(E49="","",IF(ISNA(VLOOKUP($E49,'A-1 Site Habitat Baseline'!$D$1:$O$258,8,FALSE)),"",(VLOOKUP($E49,'A-1 Site Habitat Baseline'!$D$1:$O$258,8,FALSE))))</f>
        <v/>
      </c>
      <c r="K49" s="520" t="str">
        <f>IF(E49="","",IF(ISNA(VLOOKUP($E49,'A-1 Site Habitat Baseline'!$D$1:$O$258,9,FALSE)),"",(VLOOKUP($E49,'A-1 Site Habitat Baseline'!$D$1:$O$258,9,FALSE))))</f>
        <v/>
      </c>
      <c r="L49" s="520" t="str">
        <f>IF(E49="","",IF(ISNA(VLOOKUP($E49,'A-1 Site Habitat Baseline'!$D$1:$O$258,11,FALSE)),"",(VLOOKUP($E49,'A-1 Site Habitat Baseline'!$D$1:$O$258,11,FALSE))))</f>
        <v/>
      </c>
      <c r="M49" s="520" t="str">
        <f>IF(E49="","",IF(ISNA(VLOOKUP($E49,'A-1 Site Habitat Baseline'!$D$1:$O$258,12,FALSE)),"",(VLOOKUP($E49,'A-1 Site Habitat Baseline'!$D$1:$O$258,12,FALSE))))</f>
        <v/>
      </c>
      <c r="N49" s="532" t="str">
        <f>IF(E49="","",IF(ISNA(VLOOKUP($E49,'A-1 Site Habitat Baseline'!$D$1:$X$258,14,FALSE)),"",(VLOOKUP($E49,'A-1 Site Habitat Baseline'!$D$1:$X$258,14,FALSE))))</f>
        <v/>
      </c>
      <c r="O49" s="524" t="str">
        <f>IF(E49="","",IF(ISNA(VLOOKUP($E49,'A-1 Site Habitat Baseline'!$D$1:$X$258,16,FALSE)),"",(VLOOKUP($E49,'A-1 Site Habitat Baseline'!$D$1:$X$258,13,FALSE))))</f>
        <v/>
      </c>
      <c r="P49" s="237" t="str">
        <f>IFERROR(INDEX('G-1 All Habitats'!$AG$3:$AG$15,MATCH(Q49,'G-1 All Habitats'!$AF$3:$AF$15,0)),"")</f>
        <v/>
      </c>
      <c r="Q49" s="238" t="str">
        <f t="shared" si="9"/>
        <v/>
      </c>
      <c r="R49" s="238" t="str">
        <f t="shared" si="10"/>
        <v/>
      </c>
      <c r="S49" s="392" t="str">
        <f>IFERROR(INDEX('G-1 All Habitats'!$B$3:$B$129,MATCH(R49,'G-1 All Habitats'!$A$3:$A$129,0)),"")</f>
        <v/>
      </c>
      <c r="T49" s="498" t="str">
        <f t="shared" si="1"/>
        <v/>
      </c>
      <c r="U49" s="499" t="str">
        <f t="shared" si="2"/>
        <v/>
      </c>
      <c r="V49" s="537" t="str">
        <f t="shared" si="3"/>
        <v/>
      </c>
      <c r="W49" s="520" t="str">
        <f>IF(S49="","",VLOOKUP(S49,'G-1 All Habitats'!$B$2:$M$129,10,FALSE))</f>
        <v/>
      </c>
      <c r="X49" s="520" t="str">
        <f>IFERROR(VLOOKUP(W49,'G-1 All Habitats'!$V$3:$W$7,2,FALSE),"")</f>
        <v/>
      </c>
      <c r="Y49" s="79"/>
      <c r="Z49" s="524" t="str">
        <f>IFERROR(INDEX('G-8 Condition Look up'!$A$3:$H$130,MATCH(S49,'G-8 Condition Look up'!$A$3:$A$130,0),MATCH(Y49,'G-8 Condition Look up'!$A$3:$H$3,0)),"")</f>
        <v/>
      </c>
      <c r="AA49" s="71"/>
      <c r="AB49" s="520" t="str">
        <f>IF(AA49="","",IF(VLOOKUP(AA49,'G-3 Multipliers'!$L$3:$N$6,2,FALSE)=0,"Spatial Data Missing ⚠",VLOOKUP(AA49,'G-3 Multipliers'!$L$3:$N$6,2,FALSE)))</f>
        <v/>
      </c>
      <c r="AC49" s="524" t="str">
        <f>IF(AA49="","",IF(VLOOKUP(AA49,'G-3 Multipliers'!$L$3:$N$6,3,FALSE)=0,"Spatial Data Missing ⚠",VLOOKUP(AA49,'G-3 Multipliers'!$L$3:$N$6,3,FALSE)))</f>
        <v/>
      </c>
      <c r="AD49" s="539" t="str">
        <f t="shared" si="0"/>
        <v/>
      </c>
      <c r="AE49" s="82"/>
      <c r="AF49" s="82"/>
      <c r="AG49" s="507" t="str">
        <f t="shared" si="4"/>
        <v/>
      </c>
      <c r="AH49" s="521" t="str">
        <f t="shared" si="5"/>
        <v/>
      </c>
      <c r="AI49" s="522" t="str">
        <f>IF(AH49="Check Data","Check Data",IFERROR(VLOOKUP(AH49,'G-4 Temporal multipliers'!$A$4:$C$36,3,FALSE),""))</f>
        <v/>
      </c>
      <c r="AJ49" s="498" t="str">
        <f>IF(S49="","",VLOOKUP(S49,'G-3 Multipliers'!$A$2:$E$129,4,FALSE))</f>
        <v/>
      </c>
      <c r="AK49" s="507" t="str">
        <f t="shared" si="6"/>
        <v/>
      </c>
      <c r="AL49" s="507" t="str">
        <f t="shared" si="7"/>
        <v/>
      </c>
      <c r="AM49" s="540" t="str">
        <f>IFERROR(IF(F49="","",IF(AH49="Check Data ⚠","Check Data ⚠",VLOOKUP(AL49, 'G-3 Multipliers'!$P$2:$Q$6,2,FALSE))),"")</f>
        <v/>
      </c>
      <c r="AN49" s="513" t="str">
        <f t="shared" si="8"/>
        <v/>
      </c>
      <c r="AO49" s="239"/>
      <c r="AP49" s="240"/>
    </row>
    <row r="50" spans="1:42" x14ac:dyDescent="0.3">
      <c r="A50" s="47" t="str">
        <f>IF(E50="","",IF(ISNA(VLOOKUP($E50,'A-1 Site Habitat Baseline'!$D$1:$O$258,2,FALSE)),"",(VLOOKUP($E50,'A-1 Site Habitat Baseline'!$D$1:$O$258,2,FALSE))))</f>
        <v/>
      </c>
      <c r="B50" s="47" t="str">
        <f>IF(E50="","",IF(ISNA(VLOOKUP($E50,'A-1 Site Habitat Baseline'!$D$1:$O$258,3,FALSE)),"",(VLOOKUP($E50,'A-1 Site Habitat Baseline'!$D$1:$O$258,3,FALSE))))</f>
        <v/>
      </c>
      <c r="C50" s="47" t="str">
        <f>IFERROR(INDEX('G-8 Condition Look up'!$I$4:$I$130,MATCH(S50,'G-8 Condition Look up'!$A$4:$A$130,0)),"")</f>
        <v/>
      </c>
      <c r="E50" s="531" t="str">
        <f>'A-1 Site Habitat Baseline'!AL49</f>
        <v/>
      </c>
      <c r="F50" s="520" t="str">
        <f>IF(E50="","",IF(ISNA(VLOOKUP($E50,'A-1 Site Habitat Baseline'!$D$1:$O$258,4,FALSE)),"",(VLOOKUP($E50,'A-1 Site Habitat Baseline'!$D$1:$O$258,4,FALSE))))</f>
        <v/>
      </c>
      <c r="G50" s="520" t="str">
        <f>IF(E50="","",IF(ISNA(VLOOKUP($E50,'A-1 Site Habitat Baseline'!$D$1:$O$258,5,FALSE)),"",(VLOOKUP($E50,'A-1 Site Habitat Baseline'!$D$1:$O$258,5,FALSE))))</f>
        <v/>
      </c>
      <c r="H50" s="520" t="str">
        <f>IF(E50="","",IF(ISNA(VLOOKUP($E50,'A-1 Site Habitat Baseline'!$D$1:$O$258,6,FALSE)),"",(VLOOKUP($E50,'A-1 Site Habitat Baseline'!$D$1:$O$258,6,FALSE))))</f>
        <v/>
      </c>
      <c r="I50" s="520" t="str">
        <f>IF(E50="","",IF(ISNA(VLOOKUP($E50,'A-1 Site Habitat Baseline'!$D$1:$O$258,7,FALSE)),"",(VLOOKUP($E50,'A-1 Site Habitat Baseline'!$D$1:$O$258,7,FALSE))))</f>
        <v/>
      </c>
      <c r="J50" s="520" t="str">
        <f>IF(E50="","",IF(ISNA(VLOOKUP($E50,'A-1 Site Habitat Baseline'!$D$1:$O$258,8,FALSE)),"",(VLOOKUP($E50,'A-1 Site Habitat Baseline'!$D$1:$O$258,8,FALSE))))</f>
        <v/>
      </c>
      <c r="K50" s="520" t="str">
        <f>IF(E50="","",IF(ISNA(VLOOKUP($E50,'A-1 Site Habitat Baseline'!$D$1:$O$258,9,FALSE)),"",(VLOOKUP($E50,'A-1 Site Habitat Baseline'!$D$1:$O$258,9,FALSE))))</f>
        <v/>
      </c>
      <c r="L50" s="520" t="str">
        <f>IF(E50="","",IF(ISNA(VLOOKUP($E50,'A-1 Site Habitat Baseline'!$D$1:$O$258,11,FALSE)),"",(VLOOKUP($E50,'A-1 Site Habitat Baseline'!$D$1:$O$258,11,FALSE))))</f>
        <v/>
      </c>
      <c r="M50" s="520" t="str">
        <f>IF(E50="","",IF(ISNA(VLOOKUP($E50,'A-1 Site Habitat Baseline'!$D$1:$O$258,12,FALSE)),"",(VLOOKUP($E50,'A-1 Site Habitat Baseline'!$D$1:$O$258,12,FALSE))))</f>
        <v/>
      </c>
      <c r="N50" s="532" t="str">
        <f>IF(E50="","",IF(ISNA(VLOOKUP($E50,'A-1 Site Habitat Baseline'!$D$1:$X$258,14,FALSE)),"",(VLOOKUP($E50,'A-1 Site Habitat Baseline'!$D$1:$X$258,14,FALSE))))</f>
        <v/>
      </c>
      <c r="O50" s="524" t="str">
        <f>IF(E50="","",IF(ISNA(VLOOKUP($E50,'A-1 Site Habitat Baseline'!$D$1:$X$258,16,FALSE)),"",(VLOOKUP($E50,'A-1 Site Habitat Baseline'!$D$1:$X$258,13,FALSE))))</f>
        <v/>
      </c>
      <c r="P50" s="237" t="str">
        <f>IFERROR(INDEX('G-1 All Habitats'!$AG$3:$AG$15,MATCH(Q50,'G-1 All Habitats'!$AF$3:$AF$15,0)),"")</f>
        <v/>
      </c>
      <c r="Q50" s="238" t="str">
        <f t="shared" si="9"/>
        <v/>
      </c>
      <c r="R50" s="238" t="str">
        <f t="shared" si="10"/>
        <v/>
      </c>
      <c r="S50" s="392" t="str">
        <f>IFERROR(INDEX('G-1 All Habitats'!$B$3:$B$129,MATCH(R50,'G-1 All Habitats'!$A$3:$A$129,0)),"")</f>
        <v/>
      </c>
      <c r="T50" s="498" t="str">
        <f t="shared" si="1"/>
        <v/>
      </c>
      <c r="U50" s="499" t="str">
        <f t="shared" si="2"/>
        <v/>
      </c>
      <c r="V50" s="537" t="str">
        <f t="shared" si="3"/>
        <v/>
      </c>
      <c r="W50" s="520" t="str">
        <f>IF(S50="","",VLOOKUP(S50,'G-1 All Habitats'!$B$2:$M$129,10,FALSE))</f>
        <v/>
      </c>
      <c r="X50" s="520" t="str">
        <f>IFERROR(VLOOKUP(W50,'G-1 All Habitats'!$V$3:$W$7,2,FALSE),"")</f>
        <v/>
      </c>
      <c r="Y50" s="79"/>
      <c r="Z50" s="524" t="str">
        <f>IFERROR(INDEX('G-8 Condition Look up'!$A$3:$H$130,MATCH(S50,'G-8 Condition Look up'!$A$3:$A$130,0),MATCH(Y50,'G-8 Condition Look up'!$A$3:$H$3,0)),"")</f>
        <v/>
      </c>
      <c r="AA50" s="71"/>
      <c r="AB50" s="520" t="str">
        <f>IF(AA50="","",IF(VLOOKUP(AA50,'G-3 Multipliers'!$L$3:$N$6,2,FALSE)=0,"Spatial Data Missing ⚠",VLOOKUP(AA50,'G-3 Multipliers'!$L$3:$N$6,2,FALSE)))</f>
        <v/>
      </c>
      <c r="AC50" s="524" t="str">
        <f>IF(AA50="","",IF(VLOOKUP(AA50,'G-3 Multipliers'!$L$3:$N$6,3,FALSE)=0,"Spatial Data Missing ⚠",VLOOKUP(AA50,'G-3 Multipliers'!$L$3:$N$6,3,FALSE)))</f>
        <v/>
      </c>
      <c r="AD50" s="539" t="str">
        <f t="shared" si="0"/>
        <v/>
      </c>
      <c r="AE50" s="82"/>
      <c r="AF50" s="82"/>
      <c r="AG50" s="507" t="str">
        <f t="shared" si="4"/>
        <v/>
      </c>
      <c r="AH50" s="521" t="str">
        <f t="shared" si="5"/>
        <v/>
      </c>
      <c r="AI50" s="522" t="str">
        <f>IF(AH50="Check Data","Check Data",IFERROR(VLOOKUP(AH50,'G-4 Temporal multipliers'!$A$4:$C$36,3,FALSE),""))</f>
        <v/>
      </c>
      <c r="AJ50" s="498" t="str">
        <f>IF(S50="","",VLOOKUP(S50,'G-3 Multipliers'!$A$2:$E$129,4,FALSE))</f>
        <v/>
      </c>
      <c r="AK50" s="507" t="str">
        <f t="shared" si="6"/>
        <v/>
      </c>
      <c r="AL50" s="507" t="str">
        <f t="shared" si="7"/>
        <v/>
      </c>
      <c r="AM50" s="540" t="str">
        <f>IFERROR(IF(F50="","",IF(AH50="Check Data ⚠","Check Data ⚠",VLOOKUP(AL50, 'G-3 Multipliers'!$P$2:$Q$6,2,FALSE))),"")</f>
        <v/>
      </c>
      <c r="AN50" s="513" t="str">
        <f t="shared" si="8"/>
        <v/>
      </c>
      <c r="AO50" s="239"/>
      <c r="AP50" s="240"/>
    </row>
    <row r="51" spans="1:42" x14ac:dyDescent="0.3">
      <c r="A51" s="47" t="str">
        <f>IF(E51="","",IF(ISNA(VLOOKUP($E51,'A-1 Site Habitat Baseline'!$D$1:$O$258,2,FALSE)),"",(VLOOKUP($E51,'A-1 Site Habitat Baseline'!$D$1:$O$258,2,FALSE))))</f>
        <v/>
      </c>
      <c r="B51" s="47" t="str">
        <f>IF(E51="","",IF(ISNA(VLOOKUP($E51,'A-1 Site Habitat Baseline'!$D$1:$O$258,3,FALSE)),"",(VLOOKUP($E51,'A-1 Site Habitat Baseline'!$D$1:$O$258,3,FALSE))))</f>
        <v/>
      </c>
      <c r="C51" s="47" t="str">
        <f>IFERROR(INDEX('G-8 Condition Look up'!$I$4:$I$130,MATCH(S51,'G-8 Condition Look up'!$A$4:$A$130,0)),"")</f>
        <v/>
      </c>
      <c r="E51" s="531" t="str">
        <f>'A-1 Site Habitat Baseline'!AL50</f>
        <v/>
      </c>
      <c r="F51" s="520" t="str">
        <f>IF(E51="","",IF(ISNA(VLOOKUP($E51,'A-1 Site Habitat Baseline'!$D$1:$O$258,4,FALSE)),"",(VLOOKUP($E51,'A-1 Site Habitat Baseline'!$D$1:$O$258,4,FALSE))))</f>
        <v/>
      </c>
      <c r="G51" s="520" t="str">
        <f>IF(E51="","",IF(ISNA(VLOOKUP($E51,'A-1 Site Habitat Baseline'!$D$1:$O$258,5,FALSE)),"",(VLOOKUP($E51,'A-1 Site Habitat Baseline'!$D$1:$O$258,5,FALSE))))</f>
        <v/>
      </c>
      <c r="H51" s="520" t="str">
        <f>IF(E51="","",IF(ISNA(VLOOKUP($E51,'A-1 Site Habitat Baseline'!$D$1:$O$258,6,FALSE)),"",(VLOOKUP($E51,'A-1 Site Habitat Baseline'!$D$1:$O$258,6,FALSE))))</f>
        <v/>
      </c>
      <c r="I51" s="520" t="str">
        <f>IF(E51="","",IF(ISNA(VLOOKUP($E51,'A-1 Site Habitat Baseline'!$D$1:$O$258,7,FALSE)),"",(VLOOKUP($E51,'A-1 Site Habitat Baseline'!$D$1:$O$258,7,FALSE))))</f>
        <v/>
      </c>
      <c r="J51" s="520" t="str">
        <f>IF(E51="","",IF(ISNA(VLOOKUP($E51,'A-1 Site Habitat Baseline'!$D$1:$O$258,8,FALSE)),"",(VLOOKUP($E51,'A-1 Site Habitat Baseline'!$D$1:$O$258,8,FALSE))))</f>
        <v/>
      </c>
      <c r="K51" s="520" t="str">
        <f>IF(E51="","",IF(ISNA(VLOOKUP($E51,'A-1 Site Habitat Baseline'!$D$1:$O$258,9,FALSE)),"",(VLOOKUP($E51,'A-1 Site Habitat Baseline'!$D$1:$O$258,9,FALSE))))</f>
        <v/>
      </c>
      <c r="L51" s="520" t="str">
        <f>IF(E51="","",IF(ISNA(VLOOKUP($E51,'A-1 Site Habitat Baseline'!$D$1:$O$258,11,FALSE)),"",(VLOOKUP($E51,'A-1 Site Habitat Baseline'!$D$1:$O$258,11,FALSE))))</f>
        <v/>
      </c>
      <c r="M51" s="520" t="str">
        <f>IF(E51="","",IF(ISNA(VLOOKUP($E51,'A-1 Site Habitat Baseline'!$D$1:$O$258,12,FALSE)),"",(VLOOKUP($E51,'A-1 Site Habitat Baseline'!$D$1:$O$258,12,FALSE))))</f>
        <v/>
      </c>
      <c r="N51" s="532" t="str">
        <f>IF(E51="","",IF(ISNA(VLOOKUP($E51,'A-1 Site Habitat Baseline'!$D$1:$X$258,14,FALSE)),"",(VLOOKUP($E51,'A-1 Site Habitat Baseline'!$D$1:$X$258,14,FALSE))))</f>
        <v/>
      </c>
      <c r="O51" s="524" t="str">
        <f>IF(E51="","",IF(ISNA(VLOOKUP($E51,'A-1 Site Habitat Baseline'!$D$1:$X$258,16,FALSE)),"",(VLOOKUP($E51,'A-1 Site Habitat Baseline'!$D$1:$X$258,13,FALSE))))</f>
        <v/>
      </c>
      <c r="P51" s="237" t="str">
        <f>IFERROR(INDEX('G-1 All Habitats'!$AG$3:$AG$15,MATCH(Q51,'G-1 All Habitats'!$AF$3:$AF$15,0)),"")</f>
        <v/>
      </c>
      <c r="Q51" s="238" t="str">
        <f t="shared" si="9"/>
        <v/>
      </c>
      <c r="R51" s="238" t="str">
        <f t="shared" si="10"/>
        <v/>
      </c>
      <c r="S51" s="392" t="str">
        <f>IFERROR(INDEX('G-1 All Habitats'!$B$3:$B$129,MATCH(R51,'G-1 All Habitats'!$A$3:$A$129,0)),"")</f>
        <v/>
      </c>
      <c r="T51" s="498" t="str">
        <f t="shared" si="1"/>
        <v/>
      </c>
      <c r="U51" s="499" t="str">
        <f t="shared" si="2"/>
        <v/>
      </c>
      <c r="V51" s="537" t="str">
        <f t="shared" si="3"/>
        <v/>
      </c>
      <c r="W51" s="520" t="str">
        <f>IF(S51="","",VLOOKUP(S51,'G-1 All Habitats'!$B$2:$M$129,10,FALSE))</f>
        <v/>
      </c>
      <c r="X51" s="520" t="str">
        <f>IFERROR(VLOOKUP(W51,'G-1 All Habitats'!$V$3:$W$7,2,FALSE),"")</f>
        <v/>
      </c>
      <c r="Y51" s="79"/>
      <c r="Z51" s="524" t="str">
        <f>IFERROR(INDEX('G-8 Condition Look up'!$A$3:$H$130,MATCH(S51,'G-8 Condition Look up'!$A$3:$A$130,0),MATCH(Y51,'G-8 Condition Look up'!$A$3:$H$3,0)),"")</f>
        <v/>
      </c>
      <c r="AA51" s="71"/>
      <c r="AB51" s="520" t="str">
        <f>IF(AA51="","",IF(VLOOKUP(AA51,'G-3 Multipliers'!$L$3:$N$6,2,FALSE)=0,"Spatial Data Missing ⚠",VLOOKUP(AA51,'G-3 Multipliers'!$L$3:$N$6,2,FALSE)))</f>
        <v/>
      </c>
      <c r="AC51" s="524" t="str">
        <f>IF(AA51="","",IF(VLOOKUP(AA51,'G-3 Multipliers'!$L$3:$N$6,3,FALSE)=0,"Spatial Data Missing ⚠",VLOOKUP(AA51,'G-3 Multipliers'!$L$3:$N$6,3,FALSE)))</f>
        <v/>
      </c>
      <c r="AD51" s="539" t="str">
        <f t="shared" si="0"/>
        <v/>
      </c>
      <c r="AE51" s="82"/>
      <c r="AF51" s="82"/>
      <c r="AG51" s="507" t="str">
        <f t="shared" si="4"/>
        <v/>
      </c>
      <c r="AH51" s="521" t="str">
        <f t="shared" si="5"/>
        <v/>
      </c>
      <c r="AI51" s="522" t="str">
        <f>IF(AH51="Check Data","Check Data",IFERROR(VLOOKUP(AH51,'G-4 Temporal multipliers'!$A$4:$C$36,3,FALSE),""))</f>
        <v/>
      </c>
      <c r="AJ51" s="498" t="str">
        <f>IF(S51="","",VLOOKUP(S51,'G-3 Multipliers'!$A$2:$E$129,4,FALSE))</f>
        <v/>
      </c>
      <c r="AK51" s="507" t="str">
        <f t="shared" si="6"/>
        <v/>
      </c>
      <c r="AL51" s="507" t="str">
        <f t="shared" si="7"/>
        <v/>
      </c>
      <c r="AM51" s="540" t="str">
        <f>IFERROR(IF(F51="","",IF(AH51="Check Data ⚠","Check Data ⚠",VLOOKUP(AL51, 'G-3 Multipliers'!$P$2:$Q$6,2,FALSE))),"")</f>
        <v/>
      </c>
      <c r="AN51" s="513" t="str">
        <f t="shared" si="8"/>
        <v/>
      </c>
      <c r="AO51" s="239"/>
      <c r="AP51" s="240"/>
    </row>
    <row r="52" spans="1:42" x14ac:dyDescent="0.3">
      <c r="A52" s="47" t="str">
        <f>IF(E52="","",IF(ISNA(VLOOKUP($E52,'A-1 Site Habitat Baseline'!$D$1:$O$258,2,FALSE)),"",(VLOOKUP($E52,'A-1 Site Habitat Baseline'!$D$1:$O$258,2,FALSE))))</f>
        <v/>
      </c>
      <c r="B52" s="47" t="str">
        <f>IF(E52="","",IF(ISNA(VLOOKUP($E52,'A-1 Site Habitat Baseline'!$D$1:$O$258,3,FALSE)),"",(VLOOKUP($E52,'A-1 Site Habitat Baseline'!$D$1:$O$258,3,FALSE))))</f>
        <v/>
      </c>
      <c r="C52" s="47" t="str">
        <f>IFERROR(INDEX('G-8 Condition Look up'!$I$4:$I$130,MATCH(S52,'G-8 Condition Look up'!$A$4:$A$130,0)),"")</f>
        <v/>
      </c>
      <c r="E52" s="531" t="str">
        <f>'A-1 Site Habitat Baseline'!AL51</f>
        <v/>
      </c>
      <c r="F52" s="520" t="str">
        <f>IF(E52="","",IF(ISNA(VLOOKUP($E52,'A-1 Site Habitat Baseline'!$D$1:$O$258,4,FALSE)),"",(VLOOKUP($E52,'A-1 Site Habitat Baseline'!$D$1:$O$258,4,FALSE))))</f>
        <v/>
      </c>
      <c r="G52" s="520" t="str">
        <f>IF(E52="","",IF(ISNA(VLOOKUP($E52,'A-1 Site Habitat Baseline'!$D$1:$O$258,5,FALSE)),"",(VLOOKUP($E52,'A-1 Site Habitat Baseline'!$D$1:$O$258,5,FALSE))))</f>
        <v/>
      </c>
      <c r="H52" s="520" t="str">
        <f>IF(E52="","",IF(ISNA(VLOOKUP($E52,'A-1 Site Habitat Baseline'!$D$1:$O$258,6,FALSE)),"",(VLOOKUP($E52,'A-1 Site Habitat Baseline'!$D$1:$O$258,6,FALSE))))</f>
        <v/>
      </c>
      <c r="I52" s="520" t="str">
        <f>IF(E52="","",IF(ISNA(VLOOKUP($E52,'A-1 Site Habitat Baseline'!$D$1:$O$258,7,FALSE)),"",(VLOOKUP($E52,'A-1 Site Habitat Baseline'!$D$1:$O$258,7,FALSE))))</f>
        <v/>
      </c>
      <c r="J52" s="520" t="str">
        <f>IF(E52="","",IF(ISNA(VLOOKUP($E52,'A-1 Site Habitat Baseline'!$D$1:$O$258,8,FALSE)),"",(VLOOKUP($E52,'A-1 Site Habitat Baseline'!$D$1:$O$258,8,FALSE))))</f>
        <v/>
      </c>
      <c r="K52" s="520" t="str">
        <f>IF(E52="","",IF(ISNA(VLOOKUP($E52,'A-1 Site Habitat Baseline'!$D$1:$O$258,9,FALSE)),"",(VLOOKUP($E52,'A-1 Site Habitat Baseline'!$D$1:$O$258,9,FALSE))))</f>
        <v/>
      </c>
      <c r="L52" s="520" t="str">
        <f>IF(E52="","",IF(ISNA(VLOOKUP($E52,'A-1 Site Habitat Baseline'!$D$1:$O$258,11,FALSE)),"",(VLOOKUP($E52,'A-1 Site Habitat Baseline'!$D$1:$O$258,11,FALSE))))</f>
        <v/>
      </c>
      <c r="M52" s="520" t="str">
        <f>IF(E52="","",IF(ISNA(VLOOKUP($E52,'A-1 Site Habitat Baseline'!$D$1:$O$258,12,FALSE)),"",(VLOOKUP($E52,'A-1 Site Habitat Baseline'!$D$1:$O$258,12,FALSE))))</f>
        <v/>
      </c>
      <c r="N52" s="532" t="str">
        <f>IF(E52="","",IF(ISNA(VLOOKUP($E52,'A-1 Site Habitat Baseline'!$D$1:$X$258,14,FALSE)),"",(VLOOKUP($E52,'A-1 Site Habitat Baseline'!$D$1:$X$258,14,FALSE))))</f>
        <v/>
      </c>
      <c r="O52" s="524" t="str">
        <f>IF(E52="","",IF(ISNA(VLOOKUP($E52,'A-1 Site Habitat Baseline'!$D$1:$X$258,16,FALSE)),"",(VLOOKUP($E52,'A-1 Site Habitat Baseline'!$D$1:$X$258,13,FALSE))))</f>
        <v/>
      </c>
      <c r="P52" s="237" t="str">
        <f>IFERROR(INDEX('G-1 All Habitats'!$AG$3:$AG$15,MATCH(Q52,'G-1 All Habitats'!$AF$3:$AF$15,0)),"")</f>
        <v/>
      </c>
      <c r="Q52" s="238" t="str">
        <f t="shared" si="9"/>
        <v/>
      </c>
      <c r="R52" s="238" t="str">
        <f t="shared" si="10"/>
        <v/>
      </c>
      <c r="S52" s="392" t="str">
        <f>IFERROR(INDEX('G-1 All Habitats'!$B$3:$B$129,MATCH(R52,'G-1 All Habitats'!$A$3:$A$129,0)),"")</f>
        <v/>
      </c>
      <c r="T52" s="498" t="str">
        <f t="shared" si="1"/>
        <v/>
      </c>
      <c r="U52" s="499" t="str">
        <f t="shared" si="2"/>
        <v/>
      </c>
      <c r="V52" s="537" t="str">
        <f t="shared" si="3"/>
        <v/>
      </c>
      <c r="W52" s="520" t="str">
        <f>IF(S52="","",VLOOKUP(S52,'G-1 All Habitats'!$B$2:$M$129,10,FALSE))</f>
        <v/>
      </c>
      <c r="X52" s="520" t="str">
        <f>IFERROR(VLOOKUP(W52,'G-1 All Habitats'!$V$3:$W$7,2,FALSE),"")</f>
        <v/>
      </c>
      <c r="Y52" s="79"/>
      <c r="Z52" s="524" t="str">
        <f>IFERROR(INDEX('G-8 Condition Look up'!$A$3:$H$130,MATCH(S52,'G-8 Condition Look up'!$A$3:$A$130,0),MATCH(Y52,'G-8 Condition Look up'!$A$3:$H$3,0)),"")</f>
        <v/>
      </c>
      <c r="AA52" s="71"/>
      <c r="AB52" s="520" t="str">
        <f>IF(AA52="","",IF(VLOOKUP(AA52,'G-3 Multipliers'!$L$3:$N$6,2,FALSE)=0,"Spatial Data Missing ⚠",VLOOKUP(AA52,'G-3 Multipliers'!$L$3:$N$6,2,FALSE)))</f>
        <v/>
      </c>
      <c r="AC52" s="524" t="str">
        <f>IF(AA52="","",IF(VLOOKUP(AA52,'G-3 Multipliers'!$L$3:$N$6,3,FALSE)=0,"Spatial Data Missing ⚠",VLOOKUP(AA52,'G-3 Multipliers'!$L$3:$N$6,3,FALSE)))</f>
        <v/>
      </c>
      <c r="AD52" s="539" t="str">
        <f t="shared" si="0"/>
        <v/>
      </c>
      <c r="AE52" s="82"/>
      <c r="AF52" s="82"/>
      <c r="AG52" s="507" t="str">
        <f t="shared" si="4"/>
        <v/>
      </c>
      <c r="AH52" s="521" t="str">
        <f t="shared" si="5"/>
        <v/>
      </c>
      <c r="AI52" s="522" t="str">
        <f>IF(AH52="Check Data","Check Data",IFERROR(VLOOKUP(AH52,'G-4 Temporal multipliers'!$A$4:$C$36,3,FALSE),""))</f>
        <v/>
      </c>
      <c r="AJ52" s="498" t="str">
        <f>IF(S52="","",VLOOKUP(S52,'G-3 Multipliers'!$A$2:$E$129,4,FALSE))</f>
        <v/>
      </c>
      <c r="AK52" s="507" t="str">
        <f t="shared" si="6"/>
        <v/>
      </c>
      <c r="AL52" s="507" t="str">
        <f t="shared" si="7"/>
        <v/>
      </c>
      <c r="AM52" s="540" t="str">
        <f>IFERROR(IF(F52="","",IF(AH52="Check Data ⚠","Check Data ⚠",VLOOKUP(AL52, 'G-3 Multipliers'!$P$2:$Q$6,2,FALSE))),"")</f>
        <v/>
      </c>
      <c r="AN52" s="513" t="str">
        <f t="shared" si="8"/>
        <v/>
      </c>
      <c r="AO52" s="239"/>
      <c r="AP52" s="240"/>
    </row>
    <row r="53" spans="1:42" x14ac:dyDescent="0.3">
      <c r="A53" s="47" t="str">
        <f>IF(E53="","",IF(ISNA(VLOOKUP($E53,'A-1 Site Habitat Baseline'!$D$1:$O$258,2,FALSE)),"",(VLOOKUP($E53,'A-1 Site Habitat Baseline'!$D$1:$O$258,2,FALSE))))</f>
        <v/>
      </c>
      <c r="B53" s="47" t="str">
        <f>IF(E53="","",IF(ISNA(VLOOKUP($E53,'A-1 Site Habitat Baseline'!$D$1:$O$258,3,FALSE)),"",(VLOOKUP($E53,'A-1 Site Habitat Baseline'!$D$1:$O$258,3,FALSE))))</f>
        <v/>
      </c>
      <c r="C53" s="47" t="str">
        <f>IFERROR(INDEX('G-8 Condition Look up'!$I$4:$I$130,MATCH(S53,'G-8 Condition Look up'!$A$4:$A$130,0)),"")</f>
        <v/>
      </c>
      <c r="E53" s="531" t="str">
        <f>'A-1 Site Habitat Baseline'!AL52</f>
        <v/>
      </c>
      <c r="F53" s="520" t="str">
        <f>IF(E53="","",IF(ISNA(VLOOKUP($E53,'A-1 Site Habitat Baseline'!$D$1:$O$258,4,FALSE)),"",(VLOOKUP($E53,'A-1 Site Habitat Baseline'!$D$1:$O$258,4,FALSE))))</f>
        <v/>
      </c>
      <c r="G53" s="520" t="str">
        <f>IF(E53="","",IF(ISNA(VLOOKUP($E53,'A-1 Site Habitat Baseline'!$D$1:$O$258,5,FALSE)),"",(VLOOKUP($E53,'A-1 Site Habitat Baseline'!$D$1:$O$258,5,FALSE))))</f>
        <v/>
      </c>
      <c r="H53" s="520" t="str">
        <f>IF(E53="","",IF(ISNA(VLOOKUP($E53,'A-1 Site Habitat Baseline'!$D$1:$O$258,6,FALSE)),"",(VLOOKUP($E53,'A-1 Site Habitat Baseline'!$D$1:$O$258,6,FALSE))))</f>
        <v/>
      </c>
      <c r="I53" s="520" t="str">
        <f>IF(E53="","",IF(ISNA(VLOOKUP($E53,'A-1 Site Habitat Baseline'!$D$1:$O$258,7,FALSE)),"",(VLOOKUP($E53,'A-1 Site Habitat Baseline'!$D$1:$O$258,7,FALSE))))</f>
        <v/>
      </c>
      <c r="J53" s="520" t="str">
        <f>IF(E53="","",IF(ISNA(VLOOKUP($E53,'A-1 Site Habitat Baseline'!$D$1:$O$258,8,FALSE)),"",(VLOOKUP($E53,'A-1 Site Habitat Baseline'!$D$1:$O$258,8,FALSE))))</f>
        <v/>
      </c>
      <c r="K53" s="520" t="str">
        <f>IF(E53="","",IF(ISNA(VLOOKUP($E53,'A-1 Site Habitat Baseline'!$D$1:$O$258,9,FALSE)),"",(VLOOKUP($E53,'A-1 Site Habitat Baseline'!$D$1:$O$258,9,FALSE))))</f>
        <v/>
      </c>
      <c r="L53" s="520" t="str">
        <f>IF(E53="","",IF(ISNA(VLOOKUP($E53,'A-1 Site Habitat Baseline'!$D$1:$O$258,11,FALSE)),"",(VLOOKUP($E53,'A-1 Site Habitat Baseline'!$D$1:$O$258,11,FALSE))))</f>
        <v/>
      </c>
      <c r="M53" s="520" t="str">
        <f>IF(E53="","",IF(ISNA(VLOOKUP($E53,'A-1 Site Habitat Baseline'!$D$1:$O$258,12,FALSE)),"",(VLOOKUP($E53,'A-1 Site Habitat Baseline'!$D$1:$O$258,12,FALSE))))</f>
        <v/>
      </c>
      <c r="N53" s="532" t="str">
        <f>IF(E53="","",IF(ISNA(VLOOKUP($E53,'A-1 Site Habitat Baseline'!$D$1:$X$258,14,FALSE)),"",(VLOOKUP($E53,'A-1 Site Habitat Baseline'!$D$1:$X$258,14,FALSE))))</f>
        <v/>
      </c>
      <c r="O53" s="524" t="str">
        <f>IF(E53="","",IF(ISNA(VLOOKUP($E53,'A-1 Site Habitat Baseline'!$D$1:$X$258,16,FALSE)),"",(VLOOKUP($E53,'A-1 Site Habitat Baseline'!$D$1:$X$258,13,FALSE))))</f>
        <v/>
      </c>
      <c r="P53" s="237" t="str">
        <f>IFERROR(INDEX('G-1 All Habitats'!$AG$3:$AG$15,MATCH(Q53,'G-1 All Habitats'!$AF$3:$AF$15,0)),"")</f>
        <v/>
      </c>
      <c r="Q53" s="238" t="str">
        <f t="shared" si="9"/>
        <v/>
      </c>
      <c r="R53" s="238" t="str">
        <f t="shared" si="10"/>
        <v/>
      </c>
      <c r="S53" s="392" t="str">
        <f>IFERROR(INDEX('G-1 All Habitats'!$B$3:$B$129,MATCH(R53,'G-1 All Habitats'!$A$3:$A$129,0)),"")</f>
        <v/>
      </c>
      <c r="T53" s="498" t="str">
        <f t="shared" si="1"/>
        <v/>
      </c>
      <c r="U53" s="499" t="str">
        <f t="shared" si="2"/>
        <v/>
      </c>
      <c r="V53" s="537" t="str">
        <f t="shared" si="3"/>
        <v/>
      </c>
      <c r="W53" s="520" t="str">
        <f>IF(S53="","",VLOOKUP(S53,'G-1 All Habitats'!$B$2:$M$129,10,FALSE))</f>
        <v/>
      </c>
      <c r="X53" s="520" t="str">
        <f>IFERROR(VLOOKUP(W53,'G-1 All Habitats'!$V$3:$W$7,2,FALSE),"")</f>
        <v/>
      </c>
      <c r="Y53" s="79"/>
      <c r="Z53" s="524" t="str">
        <f>IFERROR(INDEX('G-8 Condition Look up'!$A$3:$H$130,MATCH(S53,'G-8 Condition Look up'!$A$3:$A$130,0),MATCH(Y53,'G-8 Condition Look up'!$A$3:$H$3,0)),"")</f>
        <v/>
      </c>
      <c r="AA53" s="71"/>
      <c r="AB53" s="520" t="str">
        <f>IF(AA53="","",IF(VLOOKUP(AA53,'G-3 Multipliers'!$L$3:$N$6,2,FALSE)=0,"Spatial Data Missing ⚠",VLOOKUP(AA53,'G-3 Multipliers'!$L$3:$N$6,2,FALSE)))</f>
        <v/>
      </c>
      <c r="AC53" s="524" t="str">
        <f>IF(AA53="","",IF(VLOOKUP(AA53,'G-3 Multipliers'!$L$3:$N$6,3,FALSE)=0,"Spatial Data Missing ⚠",VLOOKUP(AA53,'G-3 Multipliers'!$L$3:$N$6,3,FALSE)))</f>
        <v/>
      </c>
      <c r="AD53" s="539" t="str">
        <f t="shared" si="0"/>
        <v/>
      </c>
      <c r="AE53" s="82"/>
      <c r="AF53" s="82"/>
      <c r="AG53" s="507" t="str">
        <f t="shared" si="4"/>
        <v/>
      </c>
      <c r="AH53" s="521" t="str">
        <f t="shared" si="5"/>
        <v/>
      </c>
      <c r="AI53" s="522" t="str">
        <f>IF(AH53="Check Data","Check Data",IFERROR(VLOOKUP(AH53,'G-4 Temporal multipliers'!$A$4:$C$36,3,FALSE),""))</f>
        <v/>
      </c>
      <c r="AJ53" s="498" t="str">
        <f>IF(S53="","",VLOOKUP(S53,'G-3 Multipliers'!$A$2:$E$129,4,FALSE))</f>
        <v/>
      </c>
      <c r="AK53" s="507" t="str">
        <f t="shared" si="6"/>
        <v/>
      </c>
      <c r="AL53" s="507" t="str">
        <f t="shared" si="7"/>
        <v/>
      </c>
      <c r="AM53" s="540" t="str">
        <f>IFERROR(IF(F53="","",IF(AH53="Check Data ⚠","Check Data ⚠",VLOOKUP(AL53, 'G-3 Multipliers'!$P$2:$Q$6,2,FALSE))),"")</f>
        <v/>
      </c>
      <c r="AN53" s="513" t="str">
        <f t="shared" si="8"/>
        <v/>
      </c>
      <c r="AO53" s="239"/>
      <c r="AP53" s="240"/>
    </row>
    <row r="54" spans="1:42" x14ac:dyDescent="0.3">
      <c r="A54" s="47" t="str">
        <f>IF(E54="","",IF(ISNA(VLOOKUP($E54,'A-1 Site Habitat Baseline'!$D$1:$O$258,2,FALSE)),"",(VLOOKUP($E54,'A-1 Site Habitat Baseline'!$D$1:$O$258,2,FALSE))))</f>
        <v/>
      </c>
      <c r="B54" s="47" t="str">
        <f>IF(E54="","",IF(ISNA(VLOOKUP($E54,'A-1 Site Habitat Baseline'!$D$1:$O$258,3,FALSE)),"",(VLOOKUP($E54,'A-1 Site Habitat Baseline'!$D$1:$O$258,3,FALSE))))</f>
        <v/>
      </c>
      <c r="C54" s="47" t="str">
        <f>IFERROR(INDEX('G-8 Condition Look up'!$I$4:$I$130,MATCH(S54,'G-8 Condition Look up'!$A$4:$A$130,0)),"")</f>
        <v/>
      </c>
      <c r="E54" s="531" t="str">
        <f>'A-1 Site Habitat Baseline'!AL53</f>
        <v/>
      </c>
      <c r="F54" s="520" t="str">
        <f>IF(E54="","",IF(ISNA(VLOOKUP($E54,'A-1 Site Habitat Baseline'!$D$1:$O$258,4,FALSE)),"",(VLOOKUP($E54,'A-1 Site Habitat Baseline'!$D$1:$O$258,4,FALSE))))</f>
        <v/>
      </c>
      <c r="G54" s="520" t="str">
        <f>IF(E54="","",IF(ISNA(VLOOKUP($E54,'A-1 Site Habitat Baseline'!$D$1:$O$258,5,FALSE)),"",(VLOOKUP($E54,'A-1 Site Habitat Baseline'!$D$1:$O$258,5,FALSE))))</f>
        <v/>
      </c>
      <c r="H54" s="520" t="str">
        <f>IF(E54="","",IF(ISNA(VLOOKUP($E54,'A-1 Site Habitat Baseline'!$D$1:$O$258,6,FALSE)),"",(VLOOKUP($E54,'A-1 Site Habitat Baseline'!$D$1:$O$258,6,FALSE))))</f>
        <v/>
      </c>
      <c r="I54" s="520" t="str">
        <f>IF(E54="","",IF(ISNA(VLOOKUP($E54,'A-1 Site Habitat Baseline'!$D$1:$O$258,7,FALSE)),"",(VLOOKUP($E54,'A-1 Site Habitat Baseline'!$D$1:$O$258,7,FALSE))))</f>
        <v/>
      </c>
      <c r="J54" s="520" t="str">
        <f>IF(E54="","",IF(ISNA(VLOOKUP($E54,'A-1 Site Habitat Baseline'!$D$1:$O$258,8,FALSE)),"",(VLOOKUP($E54,'A-1 Site Habitat Baseline'!$D$1:$O$258,8,FALSE))))</f>
        <v/>
      </c>
      <c r="K54" s="520" t="str">
        <f>IF(E54="","",IF(ISNA(VLOOKUP($E54,'A-1 Site Habitat Baseline'!$D$1:$O$258,9,FALSE)),"",(VLOOKUP($E54,'A-1 Site Habitat Baseline'!$D$1:$O$258,9,FALSE))))</f>
        <v/>
      </c>
      <c r="L54" s="520" t="str">
        <f>IF(E54="","",IF(ISNA(VLOOKUP($E54,'A-1 Site Habitat Baseline'!$D$1:$O$258,11,FALSE)),"",(VLOOKUP($E54,'A-1 Site Habitat Baseline'!$D$1:$O$258,11,FALSE))))</f>
        <v/>
      </c>
      <c r="M54" s="520" t="str">
        <f>IF(E54="","",IF(ISNA(VLOOKUP($E54,'A-1 Site Habitat Baseline'!$D$1:$O$258,12,FALSE)),"",(VLOOKUP($E54,'A-1 Site Habitat Baseline'!$D$1:$O$258,12,FALSE))))</f>
        <v/>
      </c>
      <c r="N54" s="532" t="str">
        <f>IF(E54="","",IF(ISNA(VLOOKUP($E54,'A-1 Site Habitat Baseline'!$D$1:$X$258,14,FALSE)),"",(VLOOKUP($E54,'A-1 Site Habitat Baseline'!$D$1:$X$258,14,FALSE))))</f>
        <v/>
      </c>
      <c r="O54" s="524" t="str">
        <f>IF(E54="","",IF(ISNA(VLOOKUP($E54,'A-1 Site Habitat Baseline'!$D$1:$X$258,16,FALSE)),"",(VLOOKUP($E54,'A-1 Site Habitat Baseline'!$D$1:$X$258,13,FALSE))))</f>
        <v/>
      </c>
      <c r="P54" s="237" t="str">
        <f>IFERROR(INDEX('G-1 All Habitats'!$AG$3:$AG$15,MATCH(Q54,'G-1 All Habitats'!$AF$3:$AF$15,0)),"")</f>
        <v/>
      </c>
      <c r="Q54" s="238" t="str">
        <f t="shared" si="9"/>
        <v/>
      </c>
      <c r="R54" s="238" t="str">
        <f t="shared" si="10"/>
        <v/>
      </c>
      <c r="S54" s="392" t="str">
        <f>IFERROR(INDEX('G-1 All Habitats'!$B$3:$B$129,MATCH(R54,'G-1 All Habitats'!$A$3:$A$129,0)),"")</f>
        <v/>
      </c>
      <c r="T54" s="498" t="str">
        <f t="shared" si="1"/>
        <v/>
      </c>
      <c r="U54" s="499" t="str">
        <f t="shared" si="2"/>
        <v/>
      </c>
      <c r="V54" s="537" t="str">
        <f t="shared" si="3"/>
        <v/>
      </c>
      <c r="W54" s="520" t="str">
        <f>IF(S54="","",VLOOKUP(S54,'G-1 All Habitats'!$B$2:$M$129,10,FALSE))</f>
        <v/>
      </c>
      <c r="X54" s="520" t="str">
        <f>IFERROR(VLOOKUP(W54,'G-1 All Habitats'!$V$3:$W$7,2,FALSE),"")</f>
        <v/>
      </c>
      <c r="Y54" s="79"/>
      <c r="Z54" s="524" t="str">
        <f>IFERROR(INDEX('G-8 Condition Look up'!$A$3:$H$130,MATCH(S54,'G-8 Condition Look up'!$A$3:$A$130,0),MATCH(Y54,'G-8 Condition Look up'!$A$3:$H$3,0)),"")</f>
        <v/>
      </c>
      <c r="AA54" s="71"/>
      <c r="AB54" s="520" t="str">
        <f>IF(AA54="","",IF(VLOOKUP(AA54,'G-3 Multipliers'!$L$3:$N$6,2,FALSE)=0,"Spatial Data Missing ⚠",VLOOKUP(AA54,'G-3 Multipliers'!$L$3:$N$6,2,FALSE)))</f>
        <v/>
      </c>
      <c r="AC54" s="524" t="str">
        <f>IF(AA54="","",IF(VLOOKUP(AA54,'G-3 Multipliers'!$L$3:$N$6,3,FALSE)=0,"Spatial Data Missing ⚠",VLOOKUP(AA54,'G-3 Multipliers'!$L$3:$N$6,3,FALSE)))</f>
        <v/>
      </c>
      <c r="AD54" s="539" t="str">
        <f t="shared" si="0"/>
        <v/>
      </c>
      <c r="AE54" s="82"/>
      <c r="AF54" s="82"/>
      <c r="AG54" s="507" t="str">
        <f t="shared" si="4"/>
        <v/>
      </c>
      <c r="AH54" s="521" t="str">
        <f t="shared" si="5"/>
        <v/>
      </c>
      <c r="AI54" s="522" t="str">
        <f>IF(AH54="Check Data","Check Data",IFERROR(VLOOKUP(AH54,'G-4 Temporal multipliers'!$A$4:$C$36,3,FALSE),""))</f>
        <v/>
      </c>
      <c r="AJ54" s="498" t="str">
        <f>IF(S54="","",VLOOKUP(S54,'G-3 Multipliers'!$A$2:$E$129,4,FALSE))</f>
        <v/>
      </c>
      <c r="AK54" s="507" t="str">
        <f t="shared" si="6"/>
        <v/>
      </c>
      <c r="AL54" s="507" t="str">
        <f t="shared" si="7"/>
        <v/>
      </c>
      <c r="AM54" s="540" t="str">
        <f>IFERROR(IF(F54="","",IF(AH54="Check Data ⚠","Check Data ⚠",VLOOKUP(AL54, 'G-3 Multipliers'!$P$2:$Q$6,2,FALSE))),"")</f>
        <v/>
      </c>
      <c r="AN54" s="513" t="str">
        <f t="shared" si="8"/>
        <v/>
      </c>
      <c r="AO54" s="239"/>
      <c r="AP54" s="240"/>
    </row>
    <row r="55" spans="1:42" x14ac:dyDescent="0.3">
      <c r="A55" s="47" t="str">
        <f>IF(E55="","",IF(ISNA(VLOOKUP($E55,'A-1 Site Habitat Baseline'!$D$1:$O$258,2,FALSE)),"",(VLOOKUP($E55,'A-1 Site Habitat Baseline'!$D$1:$O$258,2,FALSE))))</f>
        <v/>
      </c>
      <c r="B55" s="47" t="str">
        <f>IF(E55="","",IF(ISNA(VLOOKUP($E55,'A-1 Site Habitat Baseline'!$D$1:$O$258,3,FALSE)),"",(VLOOKUP($E55,'A-1 Site Habitat Baseline'!$D$1:$O$258,3,FALSE))))</f>
        <v/>
      </c>
      <c r="C55" s="47" t="str">
        <f>IFERROR(INDEX('G-8 Condition Look up'!$I$4:$I$130,MATCH(S55,'G-8 Condition Look up'!$A$4:$A$130,0)),"")</f>
        <v/>
      </c>
      <c r="E55" s="531" t="str">
        <f>'A-1 Site Habitat Baseline'!AL54</f>
        <v/>
      </c>
      <c r="F55" s="520" t="str">
        <f>IF(E55="","",IF(ISNA(VLOOKUP($E55,'A-1 Site Habitat Baseline'!$D$1:$O$258,4,FALSE)),"",(VLOOKUP($E55,'A-1 Site Habitat Baseline'!$D$1:$O$258,4,FALSE))))</f>
        <v/>
      </c>
      <c r="G55" s="520" t="str">
        <f>IF(E55="","",IF(ISNA(VLOOKUP($E55,'A-1 Site Habitat Baseline'!$D$1:$O$258,5,FALSE)),"",(VLOOKUP($E55,'A-1 Site Habitat Baseline'!$D$1:$O$258,5,FALSE))))</f>
        <v/>
      </c>
      <c r="H55" s="520" t="str">
        <f>IF(E55="","",IF(ISNA(VLOOKUP($E55,'A-1 Site Habitat Baseline'!$D$1:$O$258,6,FALSE)),"",(VLOOKUP($E55,'A-1 Site Habitat Baseline'!$D$1:$O$258,6,FALSE))))</f>
        <v/>
      </c>
      <c r="I55" s="520" t="str">
        <f>IF(E55="","",IF(ISNA(VLOOKUP($E55,'A-1 Site Habitat Baseline'!$D$1:$O$258,7,FALSE)),"",(VLOOKUP($E55,'A-1 Site Habitat Baseline'!$D$1:$O$258,7,FALSE))))</f>
        <v/>
      </c>
      <c r="J55" s="520" t="str">
        <f>IF(E55="","",IF(ISNA(VLOOKUP($E55,'A-1 Site Habitat Baseline'!$D$1:$O$258,8,FALSE)),"",(VLOOKUP($E55,'A-1 Site Habitat Baseline'!$D$1:$O$258,8,FALSE))))</f>
        <v/>
      </c>
      <c r="K55" s="520" t="str">
        <f>IF(E55="","",IF(ISNA(VLOOKUP($E55,'A-1 Site Habitat Baseline'!$D$1:$O$258,9,FALSE)),"",(VLOOKUP($E55,'A-1 Site Habitat Baseline'!$D$1:$O$258,9,FALSE))))</f>
        <v/>
      </c>
      <c r="L55" s="520" t="str">
        <f>IF(E55="","",IF(ISNA(VLOOKUP($E55,'A-1 Site Habitat Baseline'!$D$1:$O$258,11,FALSE)),"",(VLOOKUP($E55,'A-1 Site Habitat Baseline'!$D$1:$O$258,11,FALSE))))</f>
        <v/>
      </c>
      <c r="M55" s="520" t="str">
        <f>IF(E55="","",IF(ISNA(VLOOKUP($E55,'A-1 Site Habitat Baseline'!$D$1:$O$258,12,FALSE)),"",(VLOOKUP($E55,'A-1 Site Habitat Baseline'!$D$1:$O$258,12,FALSE))))</f>
        <v/>
      </c>
      <c r="N55" s="532" t="str">
        <f>IF(E55="","",IF(ISNA(VLOOKUP($E55,'A-1 Site Habitat Baseline'!$D$1:$X$258,14,FALSE)),"",(VLOOKUP($E55,'A-1 Site Habitat Baseline'!$D$1:$X$258,14,FALSE))))</f>
        <v/>
      </c>
      <c r="O55" s="524" t="str">
        <f>IF(E55="","",IF(ISNA(VLOOKUP($E55,'A-1 Site Habitat Baseline'!$D$1:$X$258,16,FALSE)),"",(VLOOKUP($E55,'A-1 Site Habitat Baseline'!$D$1:$X$258,13,FALSE))))</f>
        <v/>
      </c>
      <c r="P55" s="237" t="str">
        <f>IFERROR(INDEX('G-1 All Habitats'!$AG$3:$AG$15,MATCH(Q55,'G-1 All Habitats'!$AF$3:$AF$15,0)),"")</f>
        <v/>
      </c>
      <c r="Q55" s="238" t="str">
        <f t="shared" si="9"/>
        <v/>
      </c>
      <c r="R55" s="238" t="str">
        <f t="shared" si="10"/>
        <v/>
      </c>
      <c r="S55" s="392" t="str">
        <f>IFERROR(INDEX('G-1 All Habitats'!$B$3:$B$129,MATCH(R55,'G-1 All Habitats'!$A$3:$A$129,0)),"")</f>
        <v/>
      </c>
      <c r="T55" s="498" t="str">
        <f t="shared" si="1"/>
        <v/>
      </c>
      <c r="U55" s="499" t="str">
        <f t="shared" si="2"/>
        <v/>
      </c>
      <c r="V55" s="537" t="str">
        <f t="shared" si="3"/>
        <v/>
      </c>
      <c r="W55" s="520" t="str">
        <f>IF(S55="","",VLOOKUP(S55,'G-1 All Habitats'!$B$2:$M$129,10,FALSE))</f>
        <v/>
      </c>
      <c r="X55" s="520" t="str">
        <f>IFERROR(VLOOKUP(W55,'G-1 All Habitats'!$V$3:$W$7,2,FALSE),"")</f>
        <v/>
      </c>
      <c r="Y55" s="79"/>
      <c r="Z55" s="524" t="str">
        <f>IFERROR(INDEX('G-8 Condition Look up'!$A$3:$H$130,MATCH(S55,'G-8 Condition Look up'!$A$3:$A$130,0),MATCH(Y55,'G-8 Condition Look up'!$A$3:$H$3,0)),"")</f>
        <v/>
      </c>
      <c r="AA55" s="71"/>
      <c r="AB55" s="520" t="str">
        <f>IF(AA55="","",IF(VLOOKUP(AA55,'G-3 Multipliers'!$L$3:$N$6,2,FALSE)=0,"Spatial Data Missing ⚠",VLOOKUP(AA55,'G-3 Multipliers'!$L$3:$N$6,2,FALSE)))</f>
        <v/>
      </c>
      <c r="AC55" s="524" t="str">
        <f>IF(AA55="","",IF(VLOOKUP(AA55,'G-3 Multipliers'!$L$3:$N$6,3,FALSE)=0,"Spatial Data Missing ⚠",VLOOKUP(AA55,'G-3 Multipliers'!$L$3:$N$6,3,FALSE)))</f>
        <v/>
      </c>
      <c r="AD55" s="539" t="str">
        <f t="shared" si="0"/>
        <v/>
      </c>
      <c r="AE55" s="82"/>
      <c r="AF55" s="82"/>
      <c r="AG55" s="507" t="str">
        <f t="shared" si="4"/>
        <v/>
      </c>
      <c r="AH55" s="521" t="str">
        <f t="shared" si="5"/>
        <v/>
      </c>
      <c r="AI55" s="522" t="str">
        <f>IF(AH55="Check Data","Check Data",IFERROR(VLOOKUP(AH55,'G-4 Temporal multipliers'!$A$4:$C$36,3,FALSE),""))</f>
        <v/>
      </c>
      <c r="AJ55" s="498" t="str">
        <f>IF(S55="","",VLOOKUP(S55,'G-3 Multipliers'!$A$2:$E$129,4,FALSE))</f>
        <v/>
      </c>
      <c r="AK55" s="507" t="str">
        <f t="shared" si="6"/>
        <v/>
      </c>
      <c r="AL55" s="507" t="str">
        <f t="shared" si="7"/>
        <v/>
      </c>
      <c r="AM55" s="540" t="str">
        <f>IFERROR(IF(F55="","",IF(AH55="Check Data ⚠","Check Data ⚠",VLOOKUP(AL55, 'G-3 Multipliers'!$P$2:$Q$6,2,FALSE))),"")</f>
        <v/>
      </c>
      <c r="AN55" s="513" t="str">
        <f t="shared" si="8"/>
        <v/>
      </c>
      <c r="AO55" s="239"/>
      <c r="AP55" s="240"/>
    </row>
    <row r="56" spans="1:42" x14ac:dyDescent="0.3">
      <c r="A56" s="47" t="str">
        <f>IF(E56="","",IF(ISNA(VLOOKUP($E56,'A-1 Site Habitat Baseline'!$D$1:$O$258,2,FALSE)),"",(VLOOKUP($E56,'A-1 Site Habitat Baseline'!$D$1:$O$258,2,FALSE))))</f>
        <v/>
      </c>
      <c r="B56" s="47" t="str">
        <f>IF(E56="","",IF(ISNA(VLOOKUP($E56,'A-1 Site Habitat Baseline'!$D$1:$O$258,3,FALSE)),"",(VLOOKUP($E56,'A-1 Site Habitat Baseline'!$D$1:$O$258,3,FALSE))))</f>
        <v/>
      </c>
      <c r="C56" s="47" t="str">
        <f>IFERROR(INDEX('G-8 Condition Look up'!$I$4:$I$130,MATCH(S56,'G-8 Condition Look up'!$A$4:$A$130,0)),"")</f>
        <v/>
      </c>
      <c r="E56" s="531" t="str">
        <f>'A-1 Site Habitat Baseline'!AL55</f>
        <v/>
      </c>
      <c r="F56" s="520" t="str">
        <f>IF(E56="","",IF(ISNA(VLOOKUP($E56,'A-1 Site Habitat Baseline'!$D$1:$O$258,4,FALSE)),"",(VLOOKUP($E56,'A-1 Site Habitat Baseline'!$D$1:$O$258,4,FALSE))))</f>
        <v/>
      </c>
      <c r="G56" s="520" t="str">
        <f>IF(E56="","",IF(ISNA(VLOOKUP($E56,'A-1 Site Habitat Baseline'!$D$1:$O$258,5,FALSE)),"",(VLOOKUP($E56,'A-1 Site Habitat Baseline'!$D$1:$O$258,5,FALSE))))</f>
        <v/>
      </c>
      <c r="H56" s="520" t="str">
        <f>IF(E56="","",IF(ISNA(VLOOKUP($E56,'A-1 Site Habitat Baseline'!$D$1:$O$258,6,FALSE)),"",(VLOOKUP($E56,'A-1 Site Habitat Baseline'!$D$1:$O$258,6,FALSE))))</f>
        <v/>
      </c>
      <c r="I56" s="520" t="str">
        <f>IF(E56="","",IF(ISNA(VLOOKUP($E56,'A-1 Site Habitat Baseline'!$D$1:$O$258,7,FALSE)),"",(VLOOKUP($E56,'A-1 Site Habitat Baseline'!$D$1:$O$258,7,FALSE))))</f>
        <v/>
      </c>
      <c r="J56" s="520" t="str">
        <f>IF(E56="","",IF(ISNA(VLOOKUP($E56,'A-1 Site Habitat Baseline'!$D$1:$O$258,8,FALSE)),"",(VLOOKUP($E56,'A-1 Site Habitat Baseline'!$D$1:$O$258,8,FALSE))))</f>
        <v/>
      </c>
      <c r="K56" s="520" t="str">
        <f>IF(E56="","",IF(ISNA(VLOOKUP($E56,'A-1 Site Habitat Baseline'!$D$1:$O$258,9,FALSE)),"",(VLOOKUP($E56,'A-1 Site Habitat Baseline'!$D$1:$O$258,9,FALSE))))</f>
        <v/>
      </c>
      <c r="L56" s="520" t="str">
        <f>IF(E56="","",IF(ISNA(VLOOKUP($E56,'A-1 Site Habitat Baseline'!$D$1:$O$258,11,FALSE)),"",(VLOOKUP($E56,'A-1 Site Habitat Baseline'!$D$1:$O$258,11,FALSE))))</f>
        <v/>
      </c>
      <c r="M56" s="520" t="str">
        <f>IF(E56="","",IF(ISNA(VLOOKUP($E56,'A-1 Site Habitat Baseline'!$D$1:$O$258,12,FALSE)),"",(VLOOKUP($E56,'A-1 Site Habitat Baseline'!$D$1:$O$258,12,FALSE))))</f>
        <v/>
      </c>
      <c r="N56" s="532" t="str">
        <f>IF(E56="","",IF(ISNA(VLOOKUP($E56,'A-1 Site Habitat Baseline'!$D$1:$X$258,14,FALSE)),"",(VLOOKUP($E56,'A-1 Site Habitat Baseline'!$D$1:$X$258,14,FALSE))))</f>
        <v/>
      </c>
      <c r="O56" s="524" t="str">
        <f>IF(E56="","",IF(ISNA(VLOOKUP($E56,'A-1 Site Habitat Baseline'!$D$1:$X$258,16,FALSE)),"",(VLOOKUP($E56,'A-1 Site Habitat Baseline'!$D$1:$X$258,13,FALSE))))</f>
        <v/>
      </c>
      <c r="P56" s="237" t="str">
        <f>IFERROR(INDEX('G-1 All Habitats'!$AG$3:$AG$15,MATCH(Q56,'G-1 All Habitats'!$AF$3:$AF$15,0)),"")</f>
        <v/>
      </c>
      <c r="Q56" s="238" t="str">
        <f t="shared" si="9"/>
        <v/>
      </c>
      <c r="R56" s="238" t="str">
        <f t="shared" si="10"/>
        <v/>
      </c>
      <c r="S56" s="392" t="str">
        <f>IFERROR(INDEX('G-1 All Habitats'!$B$3:$B$129,MATCH(R56,'G-1 All Habitats'!$A$3:$A$129,0)),"")</f>
        <v/>
      </c>
      <c r="T56" s="498" t="str">
        <f t="shared" si="1"/>
        <v/>
      </c>
      <c r="U56" s="499" t="str">
        <f t="shared" si="2"/>
        <v/>
      </c>
      <c r="V56" s="537" t="str">
        <f t="shared" si="3"/>
        <v/>
      </c>
      <c r="W56" s="520" t="str">
        <f>IF(S56="","",VLOOKUP(S56,'G-1 All Habitats'!$B$2:$M$129,10,FALSE))</f>
        <v/>
      </c>
      <c r="X56" s="520" t="str">
        <f>IFERROR(VLOOKUP(W56,'G-1 All Habitats'!$V$3:$W$7,2,FALSE),"")</f>
        <v/>
      </c>
      <c r="Y56" s="79"/>
      <c r="Z56" s="524" t="str">
        <f>IFERROR(INDEX('G-8 Condition Look up'!$A$3:$H$130,MATCH(S56,'G-8 Condition Look up'!$A$3:$A$130,0),MATCH(Y56,'G-8 Condition Look up'!$A$3:$H$3,0)),"")</f>
        <v/>
      </c>
      <c r="AA56" s="71"/>
      <c r="AB56" s="520" t="str">
        <f>IF(AA56="","",IF(VLOOKUP(AA56,'G-3 Multipliers'!$L$3:$N$6,2,FALSE)=0,"Spatial Data Missing ⚠",VLOOKUP(AA56,'G-3 Multipliers'!$L$3:$N$6,2,FALSE)))</f>
        <v/>
      </c>
      <c r="AC56" s="524" t="str">
        <f>IF(AA56="","",IF(VLOOKUP(AA56,'G-3 Multipliers'!$L$3:$N$6,3,FALSE)=0,"Spatial Data Missing ⚠",VLOOKUP(AA56,'G-3 Multipliers'!$L$3:$N$6,3,FALSE)))</f>
        <v/>
      </c>
      <c r="AD56" s="539" t="str">
        <f t="shared" si="0"/>
        <v/>
      </c>
      <c r="AE56" s="82"/>
      <c r="AF56" s="82"/>
      <c r="AG56" s="507" t="str">
        <f t="shared" si="4"/>
        <v/>
      </c>
      <c r="AH56" s="521" t="str">
        <f t="shared" si="5"/>
        <v/>
      </c>
      <c r="AI56" s="522" t="str">
        <f>IF(AH56="Check Data","Check Data",IFERROR(VLOOKUP(AH56,'G-4 Temporal multipliers'!$A$4:$C$36,3,FALSE),""))</f>
        <v/>
      </c>
      <c r="AJ56" s="498" t="str">
        <f>IF(S56="","",VLOOKUP(S56,'G-3 Multipliers'!$A$2:$E$129,4,FALSE))</f>
        <v/>
      </c>
      <c r="AK56" s="507" t="str">
        <f t="shared" si="6"/>
        <v/>
      </c>
      <c r="AL56" s="507" t="str">
        <f t="shared" si="7"/>
        <v/>
      </c>
      <c r="AM56" s="540" t="str">
        <f>IFERROR(IF(F56="","",IF(AH56="Check Data ⚠","Check Data ⚠",VLOOKUP(AL56, 'G-3 Multipliers'!$P$2:$Q$6,2,FALSE))),"")</f>
        <v/>
      </c>
      <c r="AN56" s="513" t="str">
        <f t="shared" si="8"/>
        <v/>
      </c>
      <c r="AO56" s="239"/>
      <c r="AP56" s="240"/>
    </row>
    <row r="57" spans="1:42" x14ac:dyDescent="0.3">
      <c r="A57" s="47" t="str">
        <f>IF(E57="","",IF(ISNA(VLOOKUP($E57,'A-1 Site Habitat Baseline'!$D$1:$O$258,2,FALSE)),"",(VLOOKUP($E57,'A-1 Site Habitat Baseline'!$D$1:$O$258,2,FALSE))))</f>
        <v/>
      </c>
      <c r="B57" s="47" t="str">
        <f>IF(E57="","",IF(ISNA(VLOOKUP($E57,'A-1 Site Habitat Baseline'!$D$1:$O$258,3,FALSE)),"",(VLOOKUP($E57,'A-1 Site Habitat Baseline'!$D$1:$O$258,3,FALSE))))</f>
        <v/>
      </c>
      <c r="C57" s="47" t="str">
        <f>IFERROR(INDEX('G-8 Condition Look up'!$I$4:$I$130,MATCH(S57,'G-8 Condition Look up'!$A$4:$A$130,0)),"")</f>
        <v/>
      </c>
      <c r="E57" s="531" t="str">
        <f>'A-1 Site Habitat Baseline'!AL56</f>
        <v/>
      </c>
      <c r="F57" s="520" t="str">
        <f>IF(E57="","",IF(ISNA(VLOOKUP($E57,'A-1 Site Habitat Baseline'!$D$1:$O$258,4,FALSE)),"",(VLOOKUP($E57,'A-1 Site Habitat Baseline'!$D$1:$O$258,4,FALSE))))</f>
        <v/>
      </c>
      <c r="G57" s="520" t="str">
        <f>IF(E57="","",IF(ISNA(VLOOKUP($E57,'A-1 Site Habitat Baseline'!$D$1:$O$258,5,FALSE)),"",(VLOOKUP($E57,'A-1 Site Habitat Baseline'!$D$1:$O$258,5,FALSE))))</f>
        <v/>
      </c>
      <c r="H57" s="520" t="str">
        <f>IF(E57="","",IF(ISNA(VLOOKUP($E57,'A-1 Site Habitat Baseline'!$D$1:$O$258,6,FALSE)),"",(VLOOKUP($E57,'A-1 Site Habitat Baseline'!$D$1:$O$258,6,FALSE))))</f>
        <v/>
      </c>
      <c r="I57" s="520" t="str">
        <f>IF(E57="","",IF(ISNA(VLOOKUP($E57,'A-1 Site Habitat Baseline'!$D$1:$O$258,7,FALSE)),"",(VLOOKUP($E57,'A-1 Site Habitat Baseline'!$D$1:$O$258,7,FALSE))))</f>
        <v/>
      </c>
      <c r="J57" s="520" t="str">
        <f>IF(E57="","",IF(ISNA(VLOOKUP($E57,'A-1 Site Habitat Baseline'!$D$1:$O$258,8,FALSE)),"",(VLOOKUP($E57,'A-1 Site Habitat Baseline'!$D$1:$O$258,8,FALSE))))</f>
        <v/>
      </c>
      <c r="K57" s="520" t="str">
        <f>IF(E57="","",IF(ISNA(VLOOKUP($E57,'A-1 Site Habitat Baseline'!$D$1:$O$258,9,FALSE)),"",(VLOOKUP($E57,'A-1 Site Habitat Baseline'!$D$1:$O$258,9,FALSE))))</f>
        <v/>
      </c>
      <c r="L57" s="520" t="str">
        <f>IF(E57="","",IF(ISNA(VLOOKUP($E57,'A-1 Site Habitat Baseline'!$D$1:$O$258,11,FALSE)),"",(VLOOKUP($E57,'A-1 Site Habitat Baseline'!$D$1:$O$258,11,FALSE))))</f>
        <v/>
      </c>
      <c r="M57" s="520" t="str">
        <f>IF(E57="","",IF(ISNA(VLOOKUP($E57,'A-1 Site Habitat Baseline'!$D$1:$O$258,12,FALSE)),"",(VLOOKUP($E57,'A-1 Site Habitat Baseline'!$D$1:$O$258,12,FALSE))))</f>
        <v/>
      </c>
      <c r="N57" s="532" t="str">
        <f>IF(E57="","",IF(ISNA(VLOOKUP($E57,'A-1 Site Habitat Baseline'!$D$1:$X$258,14,FALSE)),"",(VLOOKUP($E57,'A-1 Site Habitat Baseline'!$D$1:$X$258,14,FALSE))))</f>
        <v/>
      </c>
      <c r="O57" s="524" t="str">
        <f>IF(E57="","",IF(ISNA(VLOOKUP($E57,'A-1 Site Habitat Baseline'!$D$1:$X$258,16,FALSE)),"",(VLOOKUP($E57,'A-1 Site Habitat Baseline'!$D$1:$X$258,13,FALSE))))</f>
        <v/>
      </c>
      <c r="P57" s="237" t="str">
        <f>IFERROR(INDEX('G-1 All Habitats'!$AG$3:$AG$15,MATCH(Q57,'G-1 All Habitats'!$AF$3:$AF$15,0)),"")</f>
        <v/>
      </c>
      <c r="Q57" s="238" t="str">
        <f t="shared" si="9"/>
        <v/>
      </c>
      <c r="R57" s="238" t="str">
        <f t="shared" si="10"/>
        <v/>
      </c>
      <c r="S57" s="392" t="str">
        <f>IFERROR(INDEX('G-1 All Habitats'!$B$3:$B$129,MATCH(R57,'G-1 All Habitats'!$A$3:$A$129,0)),"")</f>
        <v/>
      </c>
      <c r="T57" s="498" t="str">
        <f t="shared" si="1"/>
        <v/>
      </c>
      <c r="U57" s="499" t="str">
        <f t="shared" si="2"/>
        <v/>
      </c>
      <c r="V57" s="537" t="str">
        <f t="shared" si="3"/>
        <v/>
      </c>
      <c r="W57" s="520" t="str">
        <f>IF(S57="","",VLOOKUP(S57,'G-1 All Habitats'!$B$2:$M$129,10,FALSE))</f>
        <v/>
      </c>
      <c r="X57" s="520" t="str">
        <f>IFERROR(VLOOKUP(W57,'G-1 All Habitats'!$V$3:$W$7,2,FALSE),"")</f>
        <v/>
      </c>
      <c r="Y57" s="79"/>
      <c r="Z57" s="524" t="str">
        <f>IFERROR(INDEX('G-8 Condition Look up'!$A$3:$H$130,MATCH(S57,'G-8 Condition Look up'!$A$3:$A$130,0),MATCH(Y57,'G-8 Condition Look up'!$A$3:$H$3,0)),"")</f>
        <v/>
      </c>
      <c r="AA57" s="71"/>
      <c r="AB57" s="520" t="str">
        <f>IF(AA57="","",IF(VLOOKUP(AA57,'G-3 Multipliers'!$L$3:$N$6,2,FALSE)=0,"Spatial Data Missing ⚠",VLOOKUP(AA57,'G-3 Multipliers'!$L$3:$N$6,2,FALSE)))</f>
        <v/>
      </c>
      <c r="AC57" s="524" t="str">
        <f>IF(AA57="","",IF(VLOOKUP(AA57,'G-3 Multipliers'!$L$3:$N$6,3,FALSE)=0,"Spatial Data Missing ⚠",VLOOKUP(AA57,'G-3 Multipliers'!$L$3:$N$6,3,FALSE)))</f>
        <v/>
      </c>
      <c r="AD57" s="539" t="str">
        <f t="shared" si="0"/>
        <v/>
      </c>
      <c r="AE57" s="82"/>
      <c r="AF57" s="82"/>
      <c r="AG57" s="507" t="str">
        <f t="shared" si="4"/>
        <v/>
      </c>
      <c r="AH57" s="521" t="str">
        <f t="shared" si="5"/>
        <v/>
      </c>
      <c r="AI57" s="522" t="str">
        <f>IF(AH57="Check Data","Check Data",IFERROR(VLOOKUP(AH57,'G-4 Temporal multipliers'!$A$4:$C$36,3,FALSE),""))</f>
        <v/>
      </c>
      <c r="AJ57" s="498" t="str">
        <f>IF(S57="","",VLOOKUP(S57,'G-3 Multipliers'!$A$2:$E$129,4,FALSE))</f>
        <v/>
      </c>
      <c r="AK57" s="507" t="str">
        <f t="shared" si="6"/>
        <v/>
      </c>
      <c r="AL57" s="507" t="str">
        <f t="shared" si="7"/>
        <v/>
      </c>
      <c r="AM57" s="540" t="str">
        <f>IFERROR(IF(F57="","",IF(AH57="Check Data ⚠","Check Data ⚠",VLOOKUP(AL57, 'G-3 Multipliers'!$P$2:$Q$6,2,FALSE))),"")</f>
        <v/>
      </c>
      <c r="AN57" s="513" t="str">
        <f t="shared" si="8"/>
        <v/>
      </c>
      <c r="AO57" s="239"/>
      <c r="AP57" s="240"/>
    </row>
    <row r="58" spans="1:42" x14ac:dyDescent="0.3">
      <c r="A58" s="47" t="str">
        <f>IF(E58="","",IF(ISNA(VLOOKUP($E58,'A-1 Site Habitat Baseline'!$D$1:$O$258,2,FALSE)),"",(VLOOKUP($E58,'A-1 Site Habitat Baseline'!$D$1:$O$258,2,FALSE))))</f>
        <v/>
      </c>
      <c r="B58" s="47" t="str">
        <f>IF(E58="","",IF(ISNA(VLOOKUP($E58,'A-1 Site Habitat Baseline'!$D$1:$O$258,3,FALSE)),"",(VLOOKUP($E58,'A-1 Site Habitat Baseline'!$D$1:$O$258,3,FALSE))))</f>
        <v/>
      </c>
      <c r="C58" s="47" t="str">
        <f>IFERROR(INDEX('G-8 Condition Look up'!$I$4:$I$130,MATCH(S58,'G-8 Condition Look up'!$A$4:$A$130,0)),"")</f>
        <v/>
      </c>
      <c r="E58" s="531" t="str">
        <f>'A-1 Site Habitat Baseline'!AL57</f>
        <v/>
      </c>
      <c r="F58" s="520" t="str">
        <f>IF(E58="","",IF(ISNA(VLOOKUP($E58,'A-1 Site Habitat Baseline'!$D$1:$O$258,4,FALSE)),"",(VLOOKUP($E58,'A-1 Site Habitat Baseline'!$D$1:$O$258,4,FALSE))))</f>
        <v/>
      </c>
      <c r="G58" s="520" t="str">
        <f>IF(E58="","",IF(ISNA(VLOOKUP($E58,'A-1 Site Habitat Baseline'!$D$1:$O$258,5,FALSE)),"",(VLOOKUP($E58,'A-1 Site Habitat Baseline'!$D$1:$O$258,5,FALSE))))</f>
        <v/>
      </c>
      <c r="H58" s="520" t="str">
        <f>IF(E58="","",IF(ISNA(VLOOKUP($E58,'A-1 Site Habitat Baseline'!$D$1:$O$258,6,FALSE)),"",(VLOOKUP($E58,'A-1 Site Habitat Baseline'!$D$1:$O$258,6,FALSE))))</f>
        <v/>
      </c>
      <c r="I58" s="520" t="str">
        <f>IF(E58="","",IF(ISNA(VLOOKUP($E58,'A-1 Site Habitat Baseline'!$D$1:$O$258,7,FALSE)),"",(VLOOKUP($E58,'A-1 Site Habitat Baseline'!$D$1:$O$258,7,FALSE))))</f>
        <v/>
      </c>
      <c r="J58" s="520" t="str">
        <f>IF(E58="","",IF(ISNA(VLOOKUP($E58,'A-1 Site Habitat Baseline'!$D$1:$O$258,8,FALSE)),"",(VLOOKUP($E58,'A-1 Site Habitat Baseline'!$D$1:$O$258,8,FALSE))))</f>
        <v/>
      </c>
      <c r="K58" s="520" t="str">
        <f>IF(E58="","",IF(ISNA(VLOOKUP($E58,'A-1 Site Habitat Baseline'!$D$1:$O$258,9,FALSE)),"",(VLOOKUP($E58,'A-1 Site Habitat Baseline'!$D$1:$O$258,9,FALSE))))</f>
        <v/>
      </c>
      <c r="L58" s="520" t="str">
        <f>IF(E58="","",IF(ISNA(VLOOKUP($E58,'A-1 Site Habitat Baseline'!$D$1:$O$258,11,FALSE)),"",(VLOOKUP($E58,'A-1 Site Habitat Baseline'!$D$1:$O$258,11,FALSE))))</f>
        <v/>
      </c>
      <c r="M58" s="520" t="str">
        <f>IF(E58="","",IF(ISNA(VLOOKUP($E58,'A-1 Site Habitat Baseline'!$D$1:$O$258,12,FALSE)),"",(VLOOKUP($E58,'A-1 Site Habitat Baseline'!$D$1:$O$258,12,FALSE))))</f>
        <v/>
      </c>
      <c r="N58" s="532" t="str">
        <f>IF(E58="","",IF(ISNA(VLOOKUP($E58,'A-1 Site Habitat Baseline'!$D$1:$X$258,14,FALSE)),"",(VLOOKUP($E58,'A-1 Site Habitat Baseline'!$D$1:$X$258,14,FALSE))))</f>
        <v/>
      </c>
      <c r="O58" s="524" t="str">
        <f>IF(E58="","",IF(ISNA(VLOOKUP($E58,'A-1 Site Habitat Baseline'!$D$1:$X$258,16,FALSE)),"",(VLOOKUP($E58,'A-1 Site Habitat Baseline'!$D$1:$X$258,13,FALSE))))</f>
        <v/>
      </c>
      <c r="P58" s="237" t="str">
        <f>IFERROR(INDEX('G-1 All Habitats'!$AG$3:$AG$15,MATCH(Q58,'G-1 All Habitats'!$AF$3:$AF$15,0)),"")</f>
        <v/>
      </c>
      <c r="Q58" s="238" t="str">
        <f t="shared" si="9"/>
        <v/>
      </c>
      <c r="R58" s="238" t="str">
        <f t="shared" si="10"/>
        <v/>
      </c>
      <c r="S58" s="392" t="str">
        <f>IFERROR(INDEX('G-1 All Habitats'!$B$3:$B$129,MATCH(R58,'G-1 All Habitats'!$A$3:$A$129,0)),"")</f>
        <v/>
      </c>
      <c r="T58" s="498" t="str">
        <f t="shared" si="1"/>
        <v/>
      </c>
      <c r="U58" s="499" t="str">
        <f t="shared" si="2"/>
        <v/>
      </c>
      <c r="V58" s="537" t="str">
        <f t="shared" si="3"/>
        <v/>
      </c>
      <c r="W58" s="520" t="str">
        <f>IF(S58="","",VLOOKUP(S58,'G-1 All Habitats'!$B$2:$M$129,10,FALSE))</f>
        <v/>
      </c>
      <c r="X58" s="520" t="str">
        <f>IFERROR(VLOOKUP(W58,'G-1 All Habitats'!$V$3:$W$7,2,FALSE),"")</f>
        <v/>
      </c>
      <c r="Y58" s="79"/>
      <c r="Z58" s="524" t="str">
        <f>IFERROR(INDEX('G-8 Condition Look up'!$A$3:$H$130,MATCH(S58,'G-8 Condition Look up'!$A$3:$A$130,0),MATCH(Y58,'G-8 Condition Look up'!$A$3:$H$3,0)),"")</f>
        <v/>
      </c>
      <c r="AA58" s="71"/>
      <c r="AB58" s="520" t="str">
        <f>IF(AA58="","",IF(VLOOKUP(AA58,'G-3 Multipliers'!$L$3:$N$6,2,FALSE)=0,"Spatial Data Missing ⚠",VLOOKUP(AA58,'G-3 Multipliers'!$L$3:$N$6,2,FALSE)))</f>
        <v/>
      </c>
      <c r="AC58" s="524" t="str">
        <f>IF(AA58="","",IF(VLOOKUP(AA58,'G-3 Multipliers'!$L$3:$N$6,3,FALSE)=0,"Spatial Data Missing ⚠",VLOOKUP(AA58,'G-3 Multipliers'!$L$3:$N$6,3,FALSE)))</f>
        <v/>
      </c>
      <c r="AD58" s="539" t="str">
        <f t="shared" si="0"/>
        <v/>
      </c>
      <c r="AE58" s="82"/>
      <c r="AF58" s="82"/>
      <c r="AG58" s="507" t="str">
        <f t="shared" si="4"/>
        <v/>
      </c>
      <c r="AH58" s="521" t="str">
        <f t="shared" si="5"/>
        <v/>
      </c>
      <c r="AI58" s="522" t="str">
        <f>IF(AH58="Check Data","Check Data",IFERROR(VLOOKUP(AH58,'G-4 Temporal multipliers'!$A$4:$C$36,3,FALSE),""))</f>
        <v/>
      </c>
      <c r="AJ58" s="498" t="str">
        <f>IF(S58="","",VLOOKUP(S58,'G-3 Multipliers'!$A$2:$E$129,4,FALSE))</f>
        <v/>
      </c>
      <c r="AK58" s="507" t="str">
        <f t="shared" si="6"/>
        <v/>
      </c>
      <c r="AL58" s="507" t="str">
        <f t="shared" si="7"/>
        <v/>
      </c>
      <c r="AM58" s="540" t="str">
        <f>IFERROR(IF(F58="","",IF(AH58="Check Data ⚠","Check Data ⚠",VLOOKUP(AL58, 'G-3 Multipliers'!$P$2:$Q$6,2,FALSE))),"")</f>
        <v/>
      </c>
      <c r="AN58" s="513" t="str">
        <f t="shared" si="8"/>
        <v/>
      </c>
      <c r="AO58" s="239"/>
      <c r="AP58" s="240"/>
    </row>
    <row r="59" spans="1:42" x14ac:dyDescent="0.3">
      <c r="A59" s="47" t="str">
        <f>IF(E59="","",IF(ISNA(VLOOKUP($E59,'A-1 Site Habitat Baseline'!$D$1:$O$258,2,FALSE)),"",(VLOOKUP($E59,'A-1 Site Habitat Baseline'!$D$1:$O$258,2,FALSE))))</f>
        <v/>
      </c>
      <c r="B59" s="47" t="str">
        <f>IF(E59="","",IF(ISNA(VLOOKUP($E59,'A-1 Site Habitat Baseline'!$D$1:$O$258,3,FALSE)),"",(VLOOKUP($E59,'A-1 Site Habitat Baseline'!$D$1:$O$258,3,FALSE))))</f>
        <v/>
      </c>
      <c r="C59" s="47" t="str">
        <f>IFERROR(INDEX('G-8 Condition Look up'!$I$4:$I$130,MATCH(S59,'G-8 Condition Look up'!$A$4:$A$130,0)),"")</f>
        <v/>
      </c>
      <c r="E59" s="531" t="str">
        <f>'A-1 Site Habitat Baseline'!AL58</f>
        <v/>
      </c>
      <c r="F59" s="520" t="str">
        <f>IF(E59="","",IF(ISNA(VLOOKUP($E59,'A-1 Site Habitat Baseline'!$D$1:$O$258,4,FALSE)),"",(VLOOKUP($E59,'A-1 Site Habitat Baseline'!$D$1:$O$258,4,FALSE))))</f>
        <v/>
      </c>
      <c r="G59" s="520" t="str">
        <f>IF(E59="","",IF(ISNA(VLOOKUP($E59,'A-1 Site Habitat Baseline'!$D$1:$O$258,5,FALSE)),"",(VLOOKUP($E59,'A-1 Site Habitat Baseline'!$D$1:$O$258,5,FALSE))))</f>
        <v/>
      </c>
      <c r="H59" s="520" t="str">
        <f>IF(E59="","",IF(ISNA(VLOOKUP($E59,'A-1 Site Habitat Baseline'!$D$1:$O$258,6,FALSE)),"",(VLOOKUP($E59,'A-1 Site Habitat Baseline'!$D$1:$O$258,6,FALSE))))</f>
        <v/>
      </c>
      <c r="I59" s="520" t="str">
        <f>IF(E59="","",IF(ISNA(VLOOKUP($E59,'A-1 Site Habitat Baseline'!$D$1:$O$258,7,FALSE)),"",(VLOOKUP($E59,'A-1 Site Habitat Baseline'!$D$1:$O$258,7,FALSE))))</f>
        <v/>
      </c>
      <c r="J59" s="520" t="str">
        <f>IF(E59="","",IF(ISNA(VLOOKUP($E59,'A-1 Site Habitat Baseline'!$D$1:$O$258,8,FALSE)),"",(VLOOKUP($E59,'A-1 Site Habitat Baseline'!$D$1:$O$258,8,FALSE))))</f>
        <v/>
      </c>
      <c r="K59" s="520" t="str">
        <f>IF(E59="","",IF(ISNA(VLOOKUP($E59,'A-1 Site Habitat Baseline'!$D$1:$O$258,9,FALSE)),"",(VLOOKUP($E59,'A-1 Site Habitat Baseline'!$D$1:$O$258,9,FALSE))))</f>
        <v/>
      </c>
      <c r="L59" s="520" t="str">
        <f>IF(E59="","",IF(ISNA(VLOOKUP($E59,'A-1 Site Habitat Baseline'!$D$1:$O$258,11,FALSE)),"",(VLOOKUP($E59,'A-1 Site Habitat Baseline'!$D$1:$O$258,11,FALSE))))</f>
        <v/>
      </c>
      <c r="M59" s="520" t="str">
        <f>IF(E59="","",IF(ISNA(VLOOKUP($E59,'A-1 Site Habitat Baseline'!$D$1:$O$258,12,FALSE)),"",(VLOOKUP($E59,'A-1 Site Habitat Baseline'!$D$1:$O$258,12,FALSE))))</f>
        <v/>
      </c>
      <c r="N59" s="532" t="str">
        <f>IF(E59="","",IF(ISNA(VLOOKUP($E59,'A-1 Site Habitat Baseline'!$D$1:$X$258,14,FALSE)),"",(VLOOKUP($E59,'A-1 Site Habitat Baseline'!$D$1:$X$258,14,FALSE))))</f>
        <v/>
      </c>
      <c r="O59" s="524" t="str">
        <f>IF(E59="","",IF(ISNA(VLOOKUP($E59,'A-1 Site Habitat Baseline'!$D$1:$X$258,16,FALSE)),"",(VLOOKUP($E59,'A-1 Site Habitat Baseline'!$D$1:$X$258,13,FALSE))))</f>
        <v/>
      </c>
      <c r="P59" s="237" t="str">
        <f>IFERROR(INDEX('G-1 All Habitats'!$AG$3:$AG$15,MATCH(Q59,'G-1 All Habitats'!$AF$3:$AF$15,0)),"")</f>
        <v/>
      </c>
      <c r="Q59" s="238" t="str">
        <f t="shared" si="9"/>
        <v/>
      </c>
      <c r="R59" s="238" t="str">
        <f t="shared" si="10"/>
        <v/>
      </c>
      <c r="S59" s="392" t="str">
        <f>IFERROR(INDEX('G-1 All Habitats'!$B$3:$B$129,MATCH(R59,'G-1 All Habitats'!$A$3:$A$129,0)),"")</f>
        <v/>
      </c>
      <c r="T59" s="498" t="str">
        <f t="shared" si="1"/>
        <v/>
      </c>
      <c r="U59" s="499" t="str">
        <f t="shared" si="2"/>
        <v/>
      </c>
      <c r="V59" s="537" t="str">
        <f t="shared" si="3"/>
        <v/>
      </c>
      <c r="W59" s="520" t="str">
        <f>IF(S59="","",VLOOKUP(S59,'G-1 All Habitats'!$B$2:$M$129,10,FALSE))</f>
        <v/>
      </c>
      <c r="X59" s="520" t="str">
        <f>IFERROR(VLOOKUP(W59,'G-1 All Habitats'!$V$3:$W$7,2,FALSE),"")</f>
        <v/>
      </c>
      <c r="Y59" s="79"/>
      <c r="Z59" s="524" t="str">
        <f>IFERROR(INDEX('G-8 Condition Look up'!$A$3:$H$130,MATCH(S59,'G-8 Condition Look up'!$A$3:$A$130,0),MATCH(Y59,'G-8 Condition Look up'!$A$3:$H$3,0)),"")</f>
        <v/>
      </c>
      <c r="AA59" s="71"/>
      <c r="AB59" s="520" t="str">
        <f>IF(AA59="","",IF(VLOOKUP(AA59,'G-3 Multipliers'!$L$3:$N$6,2,FALSE)=0,"Spatial Data Missing ⚠",VLOOKUP(AA59,'G-3 Multipliers'!$L$3:$N$6,2,FALSE)))</f>
        <v/>
      </c>
      <c r="AC59" s="524" t="str">
        <f>IF(AA59="","",IF(VLOOKUP(AA59,'G-3 Multipliers'!$L$3:$N$6,3,FALSE)=0,"Spatial Data Missing ⚠",VLOOKUP(AA59,'G-3 Multipliers'!$L$3:$N$6,3,FALSE)))</f>
        <v/>
      </c>
      <c r="AD59" s="539" t="str">
        <f t="shared" si="0"/>
        <v/>
      </c>
      <c r="AE59" s="82"/>
      <c r="AF59" s="82"/>
      <c r="AG59" s="507" t="str">
        <f t="shared" si="4"/>
        <v/>
      </c>
      <c r="AH59" s="521" t="str">
        <f t="shared" si="5"/>
        <v/>
      </c>
      <c r="AI59" s="522" t="str">
        <f>IF(AH59="Check Data","Check Data",IFERROR(VLOOKUP(AH59,'G-4 Temporal multipliers'!$A$4:$C$36,3,FALSE),""))</f>
        <v/>
      </c>
      <c r="AJ59" s="498" t="str">
        <f>IF(S59="","",VLOOKUP(S59,'G-3 Multipliers'!$A$2:$E$129,4,FALSE))</f>
        <v/>
      </c>
      <c r="AK59" s="507" t="str">
        <f t="shared" si="6"/>
        <v/>
      </c>
      <c r="AL59" s="507" t="str">
        <f t="shared" si="7"/>
        <v/>
      </c>
      <c r="AM59" s="540" t="str">
        <f>IFERROR(IF(F59="","",IF(AH59="Check Data ⚠","Check Data ⚠",VLOOKUP(AL59, 'G-3 Multipliers'!$P$2:$Q$6,2,FALSE))),"")</f>
        <v/>
      </c>
      <c r="AN59" s="513" t="str">
        <f t="shared" si="8"/>
        <v/>
      </c>
      <c r="AO59" s="239"/>
      <c r="AP59" s="240"/>
    </row>
    <row r="60" spans="1:42" x14ac:dyDescent="0.3">
      <c r="A60" s="47" t="str">
        <f>IF(E60="","",IF(ISNA(VLOOKUP($E60,'A-1 Site Habitat Baseline'!$D$1:$O$258,2,FALSE)),"",(VLOOKUP($E60,'A-1 Site Habitat Baseline'!$D$1:$O$258,2,FALSE))))</f>
        <v/>
      </c>
      <c r="B60" s="47" t="str">
        <f>IF(E60="","",IF(ISNA(VLOOKUP($E60,'A-1 Site Habitat Baseline'!$D$1:$O$258,3,FALSE)),"",(VLOOKUP($E60,'A-1 Site Habitat Baseline'!$D$1:$O$258,3,FALSE))))</f>
        <v/>
      </c>
      <c r="C60" s="47" t="str">
        <f>IFERROR(INDEX('G-8 Condition Look up'!$I$4:$I$130,MATCH(S60,'G-8 Condition Look up'!$A$4:$A$130,0)),"")</f>
        <v/>
      </c>
      <c r="E60" s="531" t="str">
        <f>'A-1 Site Habitat Baseline'!AL59</f>
        <v/>
      </c>
      <c r="F60" s="520" t="str">
        <f>IF(E60="","",IF(ISNA(VLOOKUP($E60,'A-1 Site Habitat Baseline'!$D$1:$O$258,4,FALSE)),"",(VLOOKUP($E60,'A-1 Site Habitat Baseline'!$D$1:$O$258,4,FALSE))))</f>
        <v/>
      </c>
      <c r="G60" s="520" t="str">
        <f>IF(E60="","",IF(ISNA(VLOOKUP($E60,'A-1 Site Habitat Baseline'!$D$1:$O$258,5,FALSE)),"",(VLOOKUP($E60,'A-1 Site Habitat Baseline'!$D$1:$O$258,5,FALSE))))</f>
        <v/>
      </c>
      <c r="H60" s="520" t="str">
        <f>IF(E60="","",IF(ISNA(VLOOKUP($E60,'A-1 Site Habitat Baseline'!$D$1:$O$258,6,FALSE)),"",(VLOOKUP($E60,'A-1 Site Habitat Baseline'!$D$1:$O$258,6,FALSE))))</f>
        <v/>
      </c>
      <c r="I60" s="520" t="str">
        <f>IF(E60="","",IF(ISNA(VLOOKUP($E60,'A-1 Site Habitat Baseline'!$D$1:$O$258,7,FALSE)),"",(VLOOKUP($E60,'A-1 Site Habitat Baseline'!$D$1:$O$258,7,FALSE))))</f>
        <v/>
      </c>
      <c r="J60" s="520" t="str">
        <f>IF(E60="","",IF(ISNA(VLOOKUP($E60,'A-1 Site Habitat Baseline'!$D$1:$O$258,8,FALSE)),"",(VLOOKUP($E60,'A-1 Site Habitat Baseline'!$D$1:$O$258,8,FALSE))))</f>
        <v/>
      </c>
      <c r="K60" s="520" t="str">
        <f>IF(E60="","",IF(ISNA(VLOOKUP($E60,'A-1 Site Habitat Baseline'!$D$1:$O$258,9,FALSE)),"",(VLOOKUP($E60,'A-1 Site Habitat Baseline'!$D$1:$O$258,9,FALSE))))</f>
        <v/>
      </c>
      <c r="L60" s="520" t="str">
        <f>IF(E60="","",IF(ISNA(VLOOKUP($E60,'A-1 Site Habitat Baseline'!$D$1:$O$258,11,FALSE)),"",(VLOOKUP($E60,'A-1 Site Habitat Baseline'!$D$1:$O$258,11,FALSE))))</f>
        <v/>
      </c>
      <c r="M60" s="520" t="str">
        <f>IF(E60="","",IF(ISNA(VLOOKUP($E60,'A-1 Site Habitat Baseline'!$D$1:$O$258,12,FALSE)),"",(VLOOKUP($E60,'A-1 Site Habitat Baseline'!$D$1:$O$258,12,FALSE))))</f>
        <v/>
      </c>
      <c r="N60" s="532" t="str">
        <f>IF(E60="","",IF(ISNA(VLOOKUP($E60,'A-1 Site Habitat Baseline'!$D$1:$X$258,14,FALSE)),"",(VLOOKUP($E60,'A-1 Site Habitat Baseline'!$D$1:$X$258,14,FALSE))))</f>
        <v/>
      </c>
      <c r="O60" s="524" t="str">
        <f>IF(E60="","",IF(ISNA(VLOOKUP($E60,'A-1 Site Habitat Baseline'!$D$1:$X$258,16,FALSE)),"",(VLOOKUP($E60,'A-1 Site Habitat Baseline'!$D$1:$X$258,13,FALSE))))</f>
        <v/>
      </c>
      <c r="P60" s="237" t="str">
        <f>IFERROR(INDEX('G-1 All Habitats'!$AG$3:$AG$15,MATCH(Q60,'G-1 All Habitats'!$AF$3:$AF$15,0)),"")</f>
        <v/>
      </c>
      <c r="Q60" s="238" t="str">
        <f t="shared" si="9"/>
        <v/>
      </c>
      <c r="R60" s="238" t="str">
        <f t="shared" si="10"/>
        <v/>
      </c>
      <c r="S60" s="392" t="str">
        <f>IFERROR(INDEX('G-1 All Habitats'!$B$3:$B$129,MATCH(R60,'G-1 All Habitats'!$A$3:$A$129,0)),"")</f>
        <v/>
      </c>
      <c r="T60" s="498" t="str">
        <f t="shared" si="1"/>
        <v/>
      </c>
      <c r="U60" s="499" t="str">
        <f t="shared" si="2"/>
        <v/>
      </c>
      <c r="V60" s="537" t="str">
        <f t="shared" si="3"/>
        <v/>
      </c>
      <c r="W60" s="520" t="str">
        <f>IF(S60="","",VLOOKUP(S60,'G-1 All Habitats'!$B$2:$M$129,10,FALSE))</f>
        <v/>
      </c>
      <c r="X60" s="520" t="str">
        <f>IFERROR(VLOOKUP(W60,'G-1 All Habitats'!$V$3:$W$7,2,FALSE),"")</f>
        <v/>
      </c>
      <c r="Y60" s="79"/>
      <c r="Z60" s="524" t="str">
        <f>IFERROR(INDEX('G-8 Condition Look up'!$A$3:$H$130,MATCH(S60,'G-8 Condition Look up'!$A$3:$A$130,0),MATCH(Y60,'G-8 Condition Look up'!$A$3:$H$3,0)),"")</f>
        <v/>
      </c>
      <c r="AA60" s="71"/>
      <c r="AB60" s="520" t="str">
        <f>IF(AA60="","",IF(VLOOKUP(AA60,'G-3 Multipliers'!$L$3:$N$6,2,FALSE)=0,"Spatial Data Missing ⚠",VLOOKUP(AA60,'G-3 Multipliers'!$L$3:$N$6,2,FALSE)))</f>
        <v/>
      </c>
      <c r="AC60" s="524" t="str">
        <f>IF(AA60="","",IF(VLOOKUP(AA60,'G-3 Multipliers'!$L$3:$N$6,3,FALSE)=0,"Spatial Data Missing ⚠",VLOOKUP(AA60,'G-3 Multipliers'!$L$3:$N$6,3,FALSE)))</f>
        <v/>
      </c>
      <c r="AD60" s="539" t="str">
        <f t="shared" si="0"/>
        <v/>
      </c>
      <c r="AE60" s="82"/>
      <c r="AF60" s="82"/>
      <c r="AG60" s="507" t="str">
        <f t="shared" si="4"/>
        <v/>
      </c>
      <c r="AH60" s="521" t="str">
        <f t="shared" si="5"/>
        <v/>
      </c>
      <c r="AI60" s="522" t="str">
        <f>IF(AH60="Check Data","Check Data",IFERROR(VLOOKUP(AH60,'G-4 Temporal multipliers'!$A$4:$C$36,3,FALSE),""))</f>
        <v/>
      </c>
      <c r="AJ60" s="498" t="str">
        <f>IF(S60="","",VLOOKUP(S60,'G-3 Multipliers'!$A$2:$E$129,4,FALSE))</f>
        <v/>
      </c>
      <c r="AK60" s="507" t="str">
        <f t="shared" si="6"/>
        <v/>
      </c>
      <c r="AL60" s="507" t="str">
        <f t="shared" si="7"/>
        <v/>
      </c>
      <c r="AM60" s="540" t="str">
        <f>IFERROR(IF(F60="","",IF(AH60="Check Data ⚠","Check Data ⚠",VLOOKUP(AL60, 'G-3 Multipliers'!$P$2:$Q$6,2,FALSE))),"")</f>
        <v/>
      </c>
      <c r="AN60" s="513" t="str">
        <f t="shared" si="8"/>
        <v/>
      </c>
      <c r="AO60" s="239"/>
      <c r="AP60" s="240"/>
    </row>
    <row r="61" spans="1:42" x14ac:dyDescent="0.3">
      <c r="A61" s="47" t="str">
        <f>IF(E61="","",IF(ISNA(VLOOKUP($E61,'A-1 Site Habitat Baseline'!$D$1:$O$258,2,FALSE)),"",(VLOOKUP($E61,'A-1 Site Habitat Baseline'!$D$1:$O$258,2,FALSE))))</f>
        <v/>
      </c>
      <c r="B61" s="47" t="str">
        <f>IF(E61="","",IF(ISNA(VLOOKUP($E61,'A-1 Site Habitat Baseline'!$D$1:$O$258,3,FALSE)),"",(VLOOKUP($E61,'A-1 Site Habitat Baseline'!$D$1:$O$258,3,FALSE))))</f>
        <v/>
      </c>
      <c r="C61" s="47" t="str">
        <f>IFERROR(INDEX('G-8 Condition Look up'!$I$4:$I$130,MATCH(S61,'G-8 Condition Look up'!$A$4:$A$130,0)),"")</f>
        <v/>
      </c>
      <c r="E61" s="531" t="str">
        <f>'A-1 Site Habitat Baseline'!AL60</f>
        <v/>
      </c>
      <c r="F61" s="520" t="str">
        <f>IF(E61="","",IF(ISNA(VLOOKUP($E61,'A-1 Site Habitat Baseline'!$D$1:$O$258,4,FALSE)),"",(VLOOKUP($E61,'A-1 Site Habitat Baseline'!$D$1:$O$258,4,FALSE))))</f>
        <v/>
      </c>
      <c r="G61" s="520" t="str">
        <f>IF(E61="","",IF(ISNA(VLOOKUP($E61,'A-1 Site Habitat Baseline'!$D$1:$O$258,5,FALSE)),"",(VLOOKUP($E61,'A-1 Site Habitat Baseline'!$D$1:$O$258,5,FALSE))))</f>
        <v/>
      </c>
      <c r="H61" s="520" t="str">
        <f>IF(E61="","",IF(ISNA(VLOOKUP($E61,'A-1 Site Habitat Baseline'!$D$1:$O$258,6,FALSE)),"",(VLOOKUP($E61,'A-1 Site Habitat Baseline'!$D$1:$O$258,6,FALSE))))</f>
        <v/>
      </c>
      <c r="I61" s="520" t="str">
        <f>IF(E61="","",IF(ISNA(VLOOKUP($E61,'A-1 Site Habitat Baseline'!$D$1:$O$258,7,FALSE)),"",(VLOOKUP($E61,'A-1 Site Habitat Baseline'!$D$1:$O$258,7,FALSE))))</f>
        <v/>
      </c>
      <c r="J61" s="520" t="str">
        <f>IF(E61="","",IF(ISNA(VLOOKUP($E61,'A-1 Site Habitat Baseline'!$D$1:$O$258,8,FALSE)),"",(VLOOKUP($E61,'A-1 Site Habitat Baseline'!$D$1:$O$258,8,FALSE))))</f>
        <v/>
      </c>
      <c r="K61" s="520" t="str">
        <f>IF(E61="","",IF(ISNA(VLOOKUP($E61,'A-1 Site Habitat Baseline'!$D$1:$O$258,9,FALSE)),"",(VLOOKUP($E61,'A-1 Site Habitat Baseline'!$D$1:$O$258,9,FALSE))))</f>
        <v/>
      </c>
      <c r="L61" s="520" t="str">
        <f>IF(E61="","",IF(ISNA(VLOOKUP($E61,'A-1 Site Habitat Baseline'!$D$1:$O$258,11,FALSE)),"",(VLOOKUP($E61,'A-1 Site Habitat Baseline'!$D$1:$O$258,11,FALSE))))</f>
        <v/>
      </c>
      <c r="M61" s="520" t="str">
        <f>IF(E61="","",IF(ISNA(VLOOKUP($E61,'A-1 Site Habitat Baseline'!$D$1:$O$258,12,FALSE)),"",(VLOOKUP($E61,'A-1 Site Habitat Baseline'!$D$1:$O$258,12,FALSE))))</f>
        <v/>
      </c>
      <c r="N61" s="532" t="str">
        <f>IF(E61="","",IF(ISNA(VLOOKUP($E61,'A-1 Site Habitat Baseline'!$D$1:$X$258,14,FALSE)),"",(VLOOKUP($E61,'A-1 Site Habitat Baseline'!$D$1:$X$258,14,FALSE))))</f>
        <v/>
      </c>
      <c r="O61" s="524" t="str">
        <f>IF(E61="","",IF(ISNA(VLOOKUP($E61,'A-1 Site Habitat Baseline'!$D$1:$X$258,16,FALSE)),"",(VLOOKUP($E61,'A-1 Site Habitat Baseline'!$D$1:$X$258,13,FALSE))))</f>
        <v/>
      </c>
      <c r="P61" s="237" t="str">
        <f>IFERROR(INDEX('G-1 All Habitats'!$AG$3:$AG$15,MATCH(Q61,'G-1 All Habitats'!$AF$3:$AF$15,0)),"")</f>
        <v/>
      </c>
      <c r="Q61" s="238" t="str">
        <f t="shared" si="9"/>
        <v/>
      </c>
      <c r="R61" s="238" t="str">
        <f t="shared" si="10"/>
        <v/>
      </c>
      <c r="S61" s="392" t="str">
        <f>IFERROR(INDEX('G-1 All Habitats'!$B$3:$B$129,MATCH(R61,'G-1 All Habitats'!$A$3:$A$129,0)),"")</f>
        <v/>
      </c>
      <c r="T61" s="498" t="str">
        <f t="shared" si="1"/>
        <v/>
      </c>
      <c r="U61" s="499" t="str">
        <f t="shared" si="2"/>
        <v/>
      </c>
      <c r="V61" s="537" t="str">
        <f t="shared" si="3"/>
        <v/>
      </c>
      <c r="W61" s="520" t="str">
        <f>IF(S61="","",VLOOKUP(S61,'G-1 All Habitats'!$B$2:$M$129,10,FALSE))</f>
        <v/>
      </c>
      <c r="X61" s="520" t="str">
        <f>IFERROR(VLOOKUP(W61,'G-1 All Habitats'!$V$3:$W$7,2,FALSE),"")</f>
        <v/>
      </c>
      <c r="Y61" s="79"/>
      <c r="Z61" s="524" t="str">
        <f>IFERROR(INDEX('G-8 Condition Look up'!$A$3:$H$130,MATCH(S61,'G-8 Condition Look up'!$A$3:$A$130,0),MATCH(Y61,'G-8 Condition Look up'!$A$3:$H$3,0)),"")</f>
        <v/>
      </c>
      <c r="AA61" s="71"/>
      <c r="AB61" s="520" t="str">
        <f>IF(AA61="","",IF(VLOOKUP(AA61,'G-3 Multipliers'!$L$3:$N$6,2,FALSE)=0,"Spatial Data Missing ⚠",VLOOKUP(AA61,'G-3 Multipliers'!$L$3:$N$6,2,FALSE)))</f>
        <v/>
      </c>
      <c r="AC61" s="524" t="str">
        <f>IF(AA61="","",IF(VLOOKUP(AA61,'G-3 Multipliers'!$L$3:$N$6,3,FALSE)=0,"Spatial Data Missing ⚠",VLOOKUP(AA61,'G-3 Multipliers'!$L$3:$N$6,3,FALSE)))</f>
        <v/>
      </c>
      <c r="AD61" s="539" t="str">
        <f t="shared" si="0"/>
        <v/>
      </c>
      <c r="AE61" s="82"/>
      <c r="AF61" s="82"/>
      <c r="AG61" s="507" t="str">
        <f t="shared" si="4"/>
        <v/>
      </c>
      <c r="AH61" s="521" t="str">
        <f t="shared" si="5"/>
        <v/>
      </c>
      <c r="AI61" s="522" t="str">
        <f>IF(AH61="Check Data","Check Data",IFERROR(VLOOKUP(AH61,'G-4 Temporal multipliers'!$A$4:$C$36,3,FALSE),""))</f>
        <v/>
      </c>
      <c r="AJ61" s="498" t="str">
        <f>IF(S61="","",VLOOKUP(S61,'G-3 Multipliers'!$A$2:$E$129,4,FALSE))</f>
        <v/>
      </c>
      <c r="AK61" s="507" t="str">
        <f t="shared" si="6"/>
        <v/>
      </c>
      <c r="AL61" s="507" t="str">
        <f t="shared" si="7"/>
        <v/>
      </c>
      <c r="AM61" s="540" t="str">
        <f>IFERROR(IF(F61="","",IF(AH61="Check Data ⚠","Check Data ⚠",VLOOKUP(AL61, 'G-3 Multipliers'!$P$2:$Q$6,2,FALSE))),"")</f>
        <v/>
      </c>
      <c r="AN61" s="513" t="str">
        <f t="shared" si="8"/>
        <v/>
      </c>
      <c r="AO61" s="239"/>
      <c r="AP61" s="240"/>
    </row>
    <row r="62" spans="1:42" x14ac:dyDescent="0.3">
      <c r="A62" s="47" t="str">
        <f>IF(E62="","",IF(ISNA(VLOOKUP($E62,'A-1 Site Habitat Baseline'!$D$1:$O$258,2,FALSE)),"",(VLOOKUP($E62,'A-1 Site Habitat Baseline'!$D$1:$O$258,2,FALSE))))</f>
        <v/>
      </c>
      <c r="B62" s="47" t="str">
        <f>IF(E62="","",IF(ISNA(VLOOKUP($E62,'A-1 Site Habitat Baseline'!$D$1:$O$258,3,FALSE)),"",(VLOOKUP($E62,'A-1 Site Habitat Baseline'!$D$1:$O$258,3,FALSE))))</f>
        <v/>
      </c>
      <c r="C62" s="47" t="str">
        <f>IFERROR(INDEX('G-8 Condition Look up'!$I$4:$I$130,MATCH(S62,'G-8 Condition Look up'!$A$4:$A$130,0)),"")</f>
        <v/>
      </c>
      <c r="E62" s="531" t="str">
        <f>'A-1 Site Habitat Baseline'!AL61</f>
        <v/>
      </c>
      <c r="F62" s="520" t="str">
        <f>IF(E62="","",IF(ISNA(VLOOKUP($E62,'A-1 Site Habitat Baseline'!$D$1:$O$258,4,FALSE)),"",(VLOOKUP($E62,'A-1 Site Habitat Baseline'!$D$1:$O$258,4,FALSE))))</f>
        <v/>
      </c>
      <c r="G62" s="520" t="str">
        <f>IF(E62="","",IF(ISNA(VLOOKUP($E62,'A-1 Site Habitat Baseline'!$D$1:$O$258,5,FALSE)),"",(VLOOKUP($E62,'A-1 Site Habitat Baseline'!$D$1:$O$258,5,FALSE))))</f>
        <v/>
      </c>
      <c r="H62" s="520" t="str">
        <f>IF(E62="","",IF(ISNA(VLOOKUP($E62,'A-1 Site Habitat Baseline'!$D$1:$O$258,6,FALSE)),"",(VLOOKUP($E62,'A-1 Site Habitat Baseline'!$D$1:$O$258,6,FALSE))))</f>
        <v/>
      </c>
      <c r="I62" s="520" t="str">
        <f>IF(E62="","",IF(ISNA(VLOOKUP($E62,'A-1 Site Habitat Baseline'!$D$1:$O$258,7,FALSE)),"",(VLOOKUP($E62,'A-1 Site Habitat Baseline'!$D$1:$O$258,7,FALSE))))</f>
        <v/>
      </c>
      <c r="J62" s="520" t="str">
        <f>IF(E62="","",IF(ISNA(VLOOKUP($E62,'A-1 Site Habitat Baseline'!$D$1:$O$258,8,FALSE)),"",(VLOOKUP($E62,'A-1 Site Habitat Baseline'!$D$1:$O$258,8,FALSE))))</f>
        <v/>
      </c>
      <c r="K62" s="520" t="str">
        <f>IF(E62="","",IF(ISNA(VLOOKUP($E62,'A-1 Site Habitat Baseline'!$D$1:$O$258,9,FALSE)),"",(VLOOKUP($E62,'A-1 Site Habitat Baseline'!$D$1:$O$258,9,FALSE))))</f>
        <v/>
      </c>
      <c r="L62" s="520" t="str">
        <f>IF(E62="","",IF(ISNA(VLOOKUP($E62,'A-1 Site Habitat Baseline'!$D$1:$O$258,11,FALSE)),"",(VLOOKUP($E62,'A-1 Site Habitat Baseline'!$D$1:$O$258,11,FALSE))))</f>
        <v/>
      </c>
      <c r="M62" s="520" t="str">
        <f>IF(E62="","",IF(ISNA(VLOOKUP($E62,'A-1 Site Habitat Baseline'!$D$1:$O$258,12,FALSE)),"",(VLOOKUP($E62,'A-1 Site Habitat Baseline'!$D$1:$O$258,12,FALSE))))</f>
        <v/>
      </c>
      <c r="N62" s="532" t="str">
        <f>IF(E62="","",IF(ISNA(VLOOKUP($E62,'A-1 Site Habitat Baseline'!$D$1:$X$258,14,FALSE)),"",(VLOOKUP($E62,'A-1 Site Habitat Baseline'!$D$1:$X$258,14,FALSE))))</f>
        <v/>
      </c>
      <c r="O62" s="524" t="str">
        <f>IF(E62="","",IF(ISNA(VLOOKUP($E62,'A-1 Site Habitat Baseline'!$D$1:$X$258,16,FALSE)),"",(VLOOKUP($E62,'A-1 Site Habitat Baseline'!$D$1:$X$258,13,FALSE))))</f>
        <v/>
      </c>
      <c r="P62" s="237" t="str">
        <f>IFERROR(INDEX('G-1 All Habitats'!$AG$3:$AG$15,MATCH(Q62,'G-1 All Habitats'!$AF$3:$AF$15,0)),"")</f>
        <v/>
      </c>
      <c r="Q62" s="238" t="str">
        <f t="shared" si="9"/>
        <v/>
      </c>
      <c r="R62" s="238" t="str">
        <f t="shared" si="10"/>
        <v/>
      </c>
      <c r="S62" s="392" t="str">
        <f>IFERROR(INDEX('G-1 All Habitats'!$B$3:$B$129,MATCH(R62,'G-1 All Habitats'!$A$3:$A$129,0)),"")</f>
        <v/>
      </c>
      <c r="T62" s="498" t="str">
        <f t="shared" si="1"/>
        <v/>
      </c>
      <c r="U62" s="499" t="str">
        <f t="shared" si="2"/>
        <v/>
      </c>
      <c r="V62" s="537" t="str">
        <f t="shared" si="3"/>
        <v/>
      </c>
      <c r="W62" s="520" t="str">
        <f>IF(S62="","",VLOOKUP(S62,'G-1 All Habitats'!$B$2:$M$129,10,FALSE))</f>
        <v/>
      </c>
      <c r="X62" s="520" t="str">
        <f>IFERROR(VLOOKUP(W62,'G-1 All Habitats'!$V$3:$W$7,2,FALSE),"")</f>
        <v/>
      </c>
      <c r="Y62" s="79"/>
      <c r="Z62" s="524" t="str">
        <f>IFERROR(INDEX('G-8 Condition Look up'!$A$3:$H$130,MATCH(S62,'G-8 Condition Look up'!$A$3:$A$130,0),MATCH(Y62,'G-8 Condition Look up'!$A$3:$H$3,0)),"")</f>
        <v/>
      </c>
      <c r="AA62" s="71"/>
      <c r="AB62" s="520" t="str">
        <f>IF(AA62="","",IF(VLOOKUP(AA62,'G-3 Multipliers'!$L$3:$N$6,2,FALSE)=0,"Spatial Data Missing ⚠",VLOOKUP(AA62,'G-3 Multipliers'!$L$3:$N$6,2,FALSE)))</f>
        <v/>
      </c>
      <c r="AC62" s="524" t="str">
        <f>IF(AA62="","",IF(VLOOKUP(AA62,'G-3 Multipliers'!$L$3:$N$6,3,FALSE)=0,"Spatial Data Missing ⚠",VLOOKUP(AA62,'G-3 Multipliers'!$L$3:$N$6,3,FALSE)))</f>
        <v/>
      </c>
      <c r="AD62" s="539" t="str">
        <f t="shared" si="0"/>
        <v/>
      </c>
      <c r="AE62" s="82"/>
      <c r="AF62" s="82"/>
      <c r="AG62" s="507" t="str">
        <f t="shared" si="4"/>
        <v/>
      </c>
      <c r="AH62" s="521" t="str">
        <f t="shared" si="5"/>
        <v/>
      </c>
      <c r="AI62" s="522" t="str">
        <f>IF(AH62="Check Data","Check Data",IFERROR(VLOOKUP(AH62,'G-4 Temporal multipliers'!$A$4:$C$36,3,FALSE),""))</f>
        <v/>
      </c>
      <c r="AJ62" s="498" t="str">
        <f>IF(S62="","",VLOOKUP(S62,'G-3 Multipliers'!$A$2:$E$129,4,FALSE))</f>
        <v/>
      </c>
      <c r="AK62" s="507" t="str">
        <f t="shared" si="6"/>
        <v/>
      </c>
      <c r="AL62" s="507" t="str">
        <f t="shared" si="7"/>
        <v/>
      </c>
      <c r="AM62" s="540" t="str">
        <f>IFERROR(IF(F62="","",IF(AH62="Check Data ⚠","Check Data ⚠",VLOOKUP(AL62, 'G-3 Multipliers'!$P$2:$Q$6,2,FALSE))),"")</f>
        <v/>
      </c>
      <c r="AN62" s="513" t="str">
        <f t="shared" si="8"/>
        <v/>
      </c>
      <c r="AO62" s="239"/>
      <c r="AP62" s="240"/>
    </row>
    <row r="63" spans="1:42" x14ac:dyDescent="0.3">
      <c r="A63" s="47" t="str">
        <f>IF(E63="","",IF(ISNA(VLOOKUP($E63,'A-1 Site Habitat Baseline'!$D$1:$O$258,2,FALSE)),"",(VLOOKUP($E63,'A-1 Site Habitat Baseline'!$D$1:$O$258,2,FALSE))))</f>
        <v/>
      </c>
      <c r="B63" s="47" t="str">
        <f>IF(E63="","",IF(ISNA(VLOOKUP($E63,'A-1 Site Habitat Baseline'!$D$1:$O$258,3,FALSE)),"",(VLOOKUP($E63,'A-1 Site Habitat Baseline'!$D$1:$O$258,3,FALSE))))</f>
        <v/>
      </c>
      <c r="C63" s="47" t="str">
        <f>IFERROR(INDEX('G-8 Condition Look up'!$I$4:$I$130,MATCH(S63,'G-8 Condition Look up'!$A$4:$A$130,0)),"")</f>
        <v/>
      </c>
      <c r="E63" s="531" t="str">
        <f>'A-1 Site Habitat Baseline'!AL62</f>
        <v/>
      </c>
      <c r="F63" s="520" t="str">
        <f>IF(E63="","",IF(ISNA(VLOOKUP($E63,'A-1 Site Habitat Baseline'!$D$1:$O$258,4,FALSE)),"",(VLOOKUP($E63,'A-1 Site Habitat Baseline'!$D$1:$O$258,4,FALSE))))</f>
        <v/>
      </c>
      <c r="G63" s="520" t="str">
        <f>IF(E63="","",IF(ISNA(VLOOKUP($E63,'A-1 Site Habitat Baseline'!$D$1:$O$258,5,FALSE)),"",(VLOOKUP($E63,'A-1 Site Habitat Baseline'!$D$1:$O$258,5,FALSE))))</f>
        <v/>
      </c>
      <c r="H63" s="520" t="str">
        <f>IF(E63="","",IF(ISNA(VLOOKUP($E63,'A-1 Site Habitat Baseline'!$D$1:$O$258,6,FALSE)),"",(VLOOKUP($E63,'A-1 Site Habitat Baseline'!$D$1:$O$258,6,FALSE))))</f>
        <v/>
      </c>
      <c r="I63" s="520" t="str">
        <f>IF(E63="","",IF(ISNA(VLOOKUP($E63,'A-1 Site Habitat Baseline'!$D$1:$O$258,7,FALSE)),"",(VLOOKUP($E63,'A-1 Site Habitat Baseline'!$D$1:$O$258,7,FALSE))))</f>
        <v/>
      </c>
      <c r="J63" s="520" t="str">
        <f>IF(E63="","",IF(ISNA(VLOOKUP($E63,'A-1 Site Habitat Baseline'!$D$1:$O$258,8,FALSE)),"",(VLOOKUP($E63,'A-1 Site Habitat Baseline'!$D$1:$O$258,8,FALSE))))</f>
        <v/>
      </c>
      <c r="K63" s="520" t="str">
        <f>IF(E63="","",IF(ISNA(VLOOKUP($E63,'A-1 Site Habitat Baseline'!$D$1:$O$258,9,FALSE)),"",(VLOOKUP($E63,'A-1 Site Habitat Baseline'!$D$1:$O$258,9,FALSE))))</f>
        <v/>
      </c>
      <c r="L63" s="520" t="str">
        <f>IF(E63="","",IF(ISNA(VLOOKUP($E63,'A-1 Site Habitat Baseline'!$D$1:$O$258,11,FALSE)),"",(VLOOKUP($E63,'A-1 Site Habitat Baseline'!$D$1:$O$258,11,FALSE))))</f>
        <v/>
      </c>
      <c r="M63" s="520" t="str">
        <f>IF(E63="","",IF(ISNA(VLOOKUP($E63,'A-1 Site Habitat Baseline'!$D$1:$O$258,12,FALSE)),"",(VLOOKUP($E63,'A-1 Site Habitat Baseline'!$D$1:$O$258,12,FALSE))))</f>
        <v/>
      </c>
      <c r="N63" s="532" t="str">
        <f>IF(E63="","",IF(ISNA(VLOOKUP($E63,'A-1 Site Habitat Baseline'!$D$1:$X$258,14,FALSE)),"",(VLOOKUP($E63,'A-1 Site Habitat Baseline'!$D$1:$X$258,14,FALSE))))</f>
        <v/>
      </c>
      <c r="O63" s="524" t="str">
        <f>IF(E63="","",IF(ISNA(VLOOKUP($E63,'A-1 Site Habitat Baseline'!$D$1:$X$258,16,FALSE)),"",(VLOOKUP($E63,'A-1 Site Habitat Baseline'!$D$1:$X$258,13,FALSE))))</f>
        <v/>
      </c>
      <c r="P63" s="237" t="str">
        <f>IFERROR(INDEX('G-1 All Habitats'!$AG$3:$AG$15,MATCH(Q63,'G-1 All Habitats'!$AF$3:$AF$15,0)),"")</f>
        <v/>
      </c>
      <c r="Q63" s="238" t="str">
        <f t="shared" si="9"/>
        <v/>
      </c>
      <c r="R63" s="238" t="str">
        <f t="shared" si="10"/>
        <v/>
      </c>
      <c r="S63" s="392" t="str">
        <f>IFERROR(INDEX('G-1 All Habitats'!$B$3:$B$129,MATCH(R63,'G-1 All Habitats'!$A$3:$A$129,0)),"")</f>
        <v/>
      </c>
      <c r="T63" s="498" t="str">
        <f t="shared" si="1"/>
        <v/>
      </c>
      <c r="U63" s="499" t="str">
        <f t="shared" si="2"/>
        <v/>
      </c>
      <c r="V63" s="537" t="str">
        <f t="shared" si="3"/>
        <v/>
      </c>
      <c r="W63" s="520" t="str">
        <f>IF(S63="","",VLOOKUP(S63,'G-1 All Habitats'!$B$2:$M$129,10,FALSE))</f>
        <v/>
      </c>
      <c r="X63" s="520" t="str">
        <f>IFERROR(VLOOKUP(W63,'G-1 All Habitats'!$V$3:$W$7,2,FALSE),"")</f>
        <v/>
      </c>
      <c r="Y63" s="79"/>
      <c r="Z63" s="524" t="str">
        <f>IFERROR(INDEX('G-8 Condition Look up'!$A$3:$H$130,MATCH(S63,'G-8 Condition Look up'!$A$3:$A$130,0),MATCH(Y63,'G-8 Condition Look up'!$A$3:$H$3,0)),"")</f>
        <v/>
      </c>
      <c r="AA63" s="71"/>
      <c r="AB63" s="520" t="str">
        <f>IF(AA63="","",IF(VLOOKUP(AA63,'G-3 Multipliers'!$L$3:$N$6,2,FALSE)=0,"Spatial Data Missing ⚠",VLOOKUP(AA63,'G-3 Multipliers'!$L$3:$N$6,2,FALSE)))</f>
        <v/>
      </c>
      <c r="AC63" s="524" t="str">
        <f>IF(AA63="","",IF(VLOOKUP(AA63,'G-3 Multipliers'!$L$3:$N$6,3,FALSE)=0,"Spatial Data Missing ⚠",VLOOKUP(AA63,'G-3 Multipliers'!$L$3:$N$6,3,FALSE)))</f>
        <v/>
      </c>
      <c r="AD63" s="539" t="str">
        <f t="shared" si="0"/>
        <v/>
      </c>
      <c r="AE63" s="82"/>
      <c r="AF63" s="82"/>
      <c r="AG63" s="507" t="str">
        <f t="shared" si="4"/>
        <v/>
      </c>
      <c r="AH63" s="521" t="str">
        <f t="shared" si="5"/>
        <v/>
      </c>
      <c r="AI63" s="522" t="str">
        <f>IF(AH63="Check Data","Check Data",IFERROR(VLOOKUP(AH63,'G-4 Temporal multipliers'!$A$4:$C$36,3,FALSE),""))</f>
        <v/>
      </c>
      <c r="AJ63" s="498" t="str">
        <f>IF(S63="","",VLOOKUP(S63,'G-3 Multipliers'!$A$2:$E$129,4,FALSE))</f>
        <v/>
      </c>
      <c r="AK63" s="507" t="str">
        <f t="shared" si="6"/>
        <v/>
      </c>
      <c r="AL63" s="507" t="str">
        <f t="shared" si="7"/>
        <v/>
      </c>
      <c r="AM63" s="540" t="str">
        <f>IFERROR(IF(F63="","",IF(AH63="Check Data ⚠","Check Data ⚠",VLOOKUP(AL63, 'G-3 Multipliers'!$P$2:$Q$6,2,FALSE))),"")</f>
        <v/>
      </c>
      <c r="AN63" s="513" t="str">
        <f t="shared" si="8"/>
        <v/>
      </c>
      <c r="AO63" s="239"/>
      <c r="AP63" s="240"/>
    </row>
    <row r="64" spans="1:42" x14ac:dyDescent="0.3">
      <c r="A64" s="47" t="str">
        <f>IF(E64="","",IF(ISNA(VLOOKUP($E64,'A-1 Site Habitat Baseline'!$D$1:$O$258,2,FALSE)),"",(VLOOKUP($E64,'A-1 Site Habitat Baseline'!$D$1:$O$258,2,FALSE))))</f>
        <v/>
      </c>
      <c r="B64" s="47" t="str">
        <f>IF(E64="","",IF(ISNA(VLOOKUP($E64,'A-1 Site Habitat Baseline'!$D$1:$O$258,3,FALSE)),"",(VLOOKUP($E64,'A-1 Site Habitat Baseline'!$D$1:$O$258,3,FALSE))))</f>
        <v/>
      </c>
      <c r="C64" s="47" t="str">
        <f>IFERROR(INDEX('G-8 Condition Look up'!$I$4:$I$130,MATCH(S64,'G-8 Condition Look up'!$A$4:$A$130,0)),"")</f>
        <v/>
      </c>
      <c r="E64" s="531" t="str">
        <f>'A-1 Site Habitat Baseline'!AL63</f>
        <v/>
      </c>
      <c r="F64" s="520" t="str">
        <f>IF(E64="","",IF(ISNA(VLOOKUP($E64,'A-1 Site Habitat Baseline'!$D$1:$O$258,4,FALSE)),"",(VLOOKUP($E64,'A-1 Site Habitat Baseline'!$D$1:$O$258,4,FALSE))))</f>
        <v/>
      </c>
      <c r="G64" s="520" t="str">
        <f>IF(E64="","",IF(ISNA(VLOOKUP($E64,'A-1 Site Habitat Baseline'!$D$1:$O$258,5,FALSE)),"",(VLOOKUP($E64,'A-1 Site Habitat Baseline'!$D$1:$O$258,5,FALSE))))</f>
        <v/>
      </c>
      <c r="H64" s="520" t="str">
        <f>IF(E64="","",IF(ISNA(VLOOKUP($E64,'A-1 Site Habitat Baseline'!$D$1:$O$258,6,FALSE)),"",(VLOOKUP($E64,'A-1 Site Habitat Baseline'!$D$1:$O$258,6,FALSE))))</f>
        <v/>
      </c>
      <c r="I64" s="520" t="str">
        <f>IF(E64="","",IF(ISNA(VLOOKUP($E64,'A-1 Site Habitat Baseline'!$D$1:$O$258,7,FALSE)),"",(VLOOKUP($E64,'A-1 Site Habitat Baseline'!$D$1:$O$258,7,FALSE))))</f>
        <v/>
      </c>
      <c r="J64" s="520" t="str">
        <f>IF(E64="","",IF(ISNA(VLOOKUP($E64,'A-1 Site Habitat Baseline'!$D$1:$O$258,8,FALSE)),"",(VLOOKUP($E64,'A-1 Site Habitat Baseline'!$D$1:$O$258,8,FALSE))))</f>
        <v/>
      </c>
      <c r="K64" s="520" t="str">
        <f>IF(E64="","",IF(ISNA(VLOOKUP($E64,'A-1 Site Habitat Baseline'!$D$1:$O$258,9,FALSE)),"",(VLOOKUP($E64,'A-1 Site Habitat Baseline'!$D$1:$O$258,9,FALSE))))</f>
        <v/>
      </c>
      <c r="L64" s="520" t="str">
        <f>IF(E64="","",IF(ISNA(VLOOKUP($E64,'A-1 Site Habitat Baseline'!$D$1:$O$258,11,FALSE)),"",(VLOOKUP($E64,'A-1 Site Habitat Baseline'!$D$1:$O$258,11,FALSE))))</f>
        <v/>
      </c>
      <c r="M64" s="520" t="str">
        <f>IF(E64="","",IF(ISNA(VLOOKUP($E64,'A-1 Site Habitat Baseline'!$D$1:$O$258,12,FALSE)),"",(VLOOKUP($E64,'A-1 Site Habitat Baseline'!$D$1:$O$258,12,FALSE))))</f>
        <v/>
      </c>
      <c r="N64" s="532" t="str">
        <f>IF(E64="","",IF(ISNA(VLOOKUP($E64,'A-1 Site Habitat Baseline'!$D$1:$X$258,14,FALSE)),"",(VLOOKUP($E64,'A-1 Site Habitat Baseline'!$D$1:$X$258,14,FALSE))))</f>
        <v/>
      </c>
      <c r="O64" s="524" t="str">
        <f>IF(E64="","",IF(ISNA(VLOOKUP($E64,'A-1 Site Habitat Baseline'!$D$1:$X$258,16,FALSE)),"",(VLOOKUP($E64,'A-1 Site Habitat Baseline'!$D$1:$X$258,13,FALSE))))</f>
        <v/>
      </c>
      <c r="P64" s="237" t="str">
        <f>IFERROR(INDEX('G-1 All Habitats'!$AG$3:$AG$15,MATCH(Q64,'G-1 All Habitats'!$AF$3:$AF$15,0)),"")</f>
        <v/>
      </c>
      <c r="Q64" s="238" t="str">
        <f t="shared" si="9"/>
        <v/>
      </c>
      <c r="R64" s="238" t="str">
        <f t="shared" si="10"/>
        <v/>
      </c>
      <c r="S64" s="392" t="str">
        <f>IFERROR(INDEX('G-1 All Habitats'!$B$3:$B$129,MATCH(R64,'G-1 All Habitats'!$A$3:$A$129,0)),"")</f>
        <v/>
      </c>
      <c r="T64" s="498" t="str">
        <f t="shared" si="1"/>
        <v/>
      </c>
      <c r="U64" s="499" t="str">
        <f t="shared" si="2"/>
        <v/>
      </c>
      <c r="V64" s="537" t="str">
        <f t="shared" si="3"/>
        <v/>
      </c>
      <c r="W64" s="520" t="str">
        <f>IF(S64="","",VLOOKUP(S64,'G-1 All Habitats'!$B$2:$M$129,10,FALSE))</f>
        <v/>
      </c>
      <c r="X64" s="520" t="str">
        <f>IFERROR(VLOOKUP(W64,'G-1 All Habitats'!$V$3:$W$7,2,FALSE),"")</f>
        <v/>
      </c>
      <c r="Y64" s="79"/>
      <c r="Z64" s="524" t="str">
        <f>IFERROR(INDEX('G-8 Condition Look up'!$A$3:$H$130,MATCH(S64,'G-8 Condition Look up'!$A$3:$A$130,0),MATCH(Y64,'G-8 Condition Look up'!$A$3:$H$3,0)),"")</f>
        <v/>
      </c>
      <c r="AA64" s="71"/>
      <c r="AB64" s="520" t="str">
        <f>IF(AA64="","",IF(VLOOKUP(AA64,'G-3 Multipliers'!$L$3:$N$6,2,FALSE)=0,"Spatial Data Missing ⚠",VLOOKUP(AA64,'G-3 Multipliers'!$L$3:$N$6,2,FALSE)))</f>
        <v/>
      </c>
      <c r="AC64" s="524" t="str">
        <f>IF(AA64="","",IF(VLOOKUP(AA64,'G-3 Multipliers'!$L$3:$N$6,3,FALSE)=0,"Spatial Data Missing ⚠",VLOOKUP(AA64,'G-3 Multipliers'!$L$3:$N$6,3,FALSE)))</f>
        <v/>
      </c>
      <c r="AD64" s="539" t="str">
        <f t="shared" si="0"/>
        <v/>
      </c>
      <c r="AE64" s="82"/>
      <c r="AF64" s="82"/>
      <c r="AG64" s="507" t="str">
        <f t="shared" si="4"/>
        <v/>
      </c>
      <c r="AH64" s="521" t="str">
        <f t="shared" si="5"/>
        <v/>
      </c>
      <c r="AI64" s="522" t="str">
        <f>IF(AH64="Check Data","Check Data",IFERROR(VLOOKUP(AH64,'G-4 Temporal multipliers'!$A$4:$C$36,3,FALSE),""))</f>
        <v/>
      </c>
      <c r="AJ64" s="498" t="str">
        <f>IF(S64="","",VLOOKUP(S64,'G-3 Multipliers'!$A$2:$E$129,4,FALSE))</f>
        <v/>
      </c>
      <c r="AK64" s="507" t="str">
        <f t="shared" si="6"/>
        <v/>
      </c>
      <c r="AL64" s="507" t="str">
        <f t="shared" si="7"/>
        <v/>
      </c>
      <c r="AM64" s="540" t="str">
        <f>IFERROR(IF(F64="","",IF(AH64="Check Data ⚠","Check Data ⚠",VLOOKUP(AL64, 'G-3 Multipliers'!$P$2:$Q$6,2,FALSE))),"")</f>
        <v/>
      </c>
      <c r="AN64" s="513" t="str">
        <f t="shared" si="8"/>
        <v/>
      </c>
      <c r="AO64" s="239"/>
      <c r="AP64" s="240"/>
    </row>
    <row r="65" spans="1:42" x14ac:dyDescent="0.3">
      <c r="A65" s="47" t="str">
        <f>IF(E65="","",IF(ISNA(VLOOKUP($E65,'A-1 Site Habitat Baseline'!$D$1:$O$258,2,FALSE)),"",(VLOOKUP($E65,'A-1 Site Habitat Baseline'!$D$1:$O$258,2,FALSE))))</f>
        <v/>
      </c>
      <c r="B65" s="47" t="str">
        <f>IF(E65="","",IF(ISNA(VLOOKUP($E65,'A-1 Site Habitat Baseline'!$D$1:$O$258,3,FALSE)),"",(VLOOKUP($E65,'A-1 Site Habitat Baseline'!$D$1:$O$258,3,FALSE))))</f>
        <v/>
      </c>
      <c r="C65" s="47" t="str">
        <f>IFERROR(INDEX('G-8 Condition Look up'!$I$4:$I$130,MATCH(S65,'G-8 Condition Look up'!$A$4:$A$130,0)),"")</f>
        <v/>
      </c>
      <c r="E65" s="531" t="str">
        <f>'A-1 Site Habitat Baseline'!AL64</f>
        <v/>
      </c>
      <c r="F65" s="520" t="str">
        <f>IF(E65="","",IF(ISNA(VLOOKUP($E65,'A-1 Site Habitat Baseline'!$D$1:$O$258,4,FALSE)),"",(VLOOKUP($E65,'A-1 Site Habitat Baseline'!$D$1:$O$258,4,FALSE))))</f>
        <v/>
      </c>
      <c r="G65" s="520" t="str">
        <f>IF(E65="","",IF(ISNA(VLOOKUP($E65,'A-1 Site Habitat Baseline'!$D$1:$O$258,5,FALSE)),"",(VLOOKUP($E65,'A-1 Site Habitat Baseline'!$D$1:$O$258,5,FALSE))))</f>
        <v/>
      </c>
      <c r="H65" s="520" t="str">
        <f>IF(E65="","",IF(ISNA(VLOOKUP($E65,'A-1 Site Habitat Baseline'!$D$1:$O$258,6,FALSE)),"",(VLOOKUP($E65,'A-1 Site Habitat Baseline'!$D$1:$O$258,6,FALSE))))</f>
        <v/>
      </c>
      <c r="I65" s="520" t="str">
        <f>IF(E65="","",IF(ISNA(VLOOKUP($E65,'A-1 Site Habitat Baseline'!$D$1:$O$258,7,FALSE)),"",(VLOOKUP($E65,'A-1 Site Habitat Baseline'!$D$1:$O$258,7,FALSE))))</f>
        <v/>
      </c>
      <c r="J65" s="520" t="str">
        <f>IF(E65="","",IF(ISNA(VLOOKUP($E65,'A-1 Site Habitat Baseline'!$D$1:$O$258,8,FALSE)),"",(VLOOKUP($E65,'A-1 Site Habitat Baseline'!$D$1:$O$258,8,FALSE))))</f>
        <v/>
      </c>
      <c r="K65" s="520" t="str">
        <f>IF(E65="","",IF(ISNA(VLOOKUP($E65,'A-1 Site Habitat Baseline'!$D$1:$O$258,9,FALSE)),"",(VLOOKUP($E65,'A-1 Site Habitat Baseline'!$D$1:$O$258,9,FALSE))))</f>
        <v/>
      </c>
      <c r="L65" s="520" t="str">
        <f>IF(E65="","",IF(ISNA(VLOOKUP($E65,'A-1 Site Habitat Baseline'!$D$1:$O$258,11,FALSE)),"",(VLOOKUP($E65,'A-1 Site Habitat Baseline'!$D$1:$O$258,11,FALSE))))</f>
        <v/>
      </c>
      <c r="M65" s="520" t="str">
        <f>IF(E65="","",IF(ISNA(VLOOKUP($E65,'A-1 Site Habitat Baseline'!$D$1:$O$258,12,FALSE)),"",(VLOOKUP($E65,'A-1 Site Habitat Baseline'!$D$1:$O$258,12,FALSE))))</f>
        <v/>
      </c>
      <c r="N65" s="532" t="str">
        <f>IF(E65="","",IF(ISNA(VLOOKUP($E65,'A-1 Site Habitat Baseline'!$D$1:$X$258,14,FALSE)),"",(VLOOKUP($E65,'A-1 Site Habitat Baseline'!$D$1:$X$258,14,FALSE))))</f>
        <v/>
      </c>
      <c r="O65" s="524" t="str">
        <f>IF(E65="","",IF(ISNA(VLOOKUP($E65,'A-1 Site Habitat Baseline'!$D$1:$X$258,16,FALSE)),"",(VLOOKUP($E65,'A-1 Site Habitat Baseline'!$D$1:$X$258,13,FALSE))))</f>
        <v/>
      </c>
      <c r="P65" s="237" t="str">
        <f>IFERROR(INDEX('G-1 All Habitats'!$AG$3:$AG$15,MATCH(Q65,'G-1 All Habitats'!$AF$3:$AF$15,0)),"")</f>
        <v/>
      </c>
      <c r="Q65" s="238" t="str">
        <f t="shared" si="9"/>
        <v/>
      </c>
      <c r="R65" s="238" t="str">
        <f t="shared" si="10"/>
        <v/>
      </c>
      <c r="S65" s="392" t="str">
        <f>IFERROR(INDEX('G-1 All Habitats'!$B$3:$B$129,MATCH(R65,'G-1 All Habitats'!$A$3:$A$129,0)),"")</f>
        <v/>
      </c>
      <c r="T65" s="498" t="str">
        <f t="shared" si="1"/>
        <v/>
      </c>
      <c r="U65" s="499" t="str">
        <f t="shared" si="2"/>
        <v/>
      </c>
      <c r="V65" s="537" t="str">
        <f t="shared" si="3"/>
        <v/>
      </c>
      <c r="W65" s="520" t="str">
        <f>IF(S65="","",VLOOKUP(S65,'G-1 All Habitats'!$B$2:$M$129,10,FALSE))</f>
        <v/>
      </c>
      <c r="X65" s="520" t="str">
        <f>IFERROR(VLOOKUP(W65,'G-1 All Habitats'!$V$3:$W$7,2,FALSE),"")</f>
        <v/>
      </c>
      <c r="Y65" s="79"/>
      <c r="Z65" s="524" t="str">
        <f>IFERROR(INDEX('G-8 Condition Look up'!$A$3:$H$130,MATCH(S65,'G-8 Condition Look up'!$A$3:$A$130,0),MATCH(Y65,'G-8 Condition Look up'!$A$3:$H$3,0)),"")</f>
        <v/>
      </c>
      <c r="AA65" s="71"/>
      <c r="AB65" s="520" t="str">
        <f>IF(AA65="","",IF(VLOOKUP(AA65,'G-3 Multipliers'!$L$3:$N$6,2,FALSE)=0,"Spatial Data Missing ⚠",VLOOKUP(AA65,'G-3 Multipliers'!$L$3:$N$6,2,FALSE)))</f>
        <v/>
      </c>
      <c r="AC65" s="524" t="str">
        <f>IF(AA65="","",IF(VLOOKUP(AA65,'G-3 Multipliers'!$L$3:$N$6,3,FALSE)=0,"Spatial Data Missing ⚠",VLOOKUP(AA65,'G-3 Multipliers'!$L$3:$N$6,3,FALSE)))</f>
        <v/>
      </c>
      <c r="AD65" s="539" t="str">
        <f t="shared" si="0"/>
        <v/>
      </c>
      <c r="AE65" s="82"/>
      <c r="AF65" s="82"/>
      <c r="AG65" s="507" t="str">
        <f t="shared" si="4"/>
        <v/>
      </c>
      <c r="AH65" s="521" t="str">
        <f t="shared" si="5"/>
        <v/>
      </c>
      <c r="AI65" s="522" t="str">
        <f>IF(AH65="Check Data","Check Data",IFERROR(VLOOKUP(AH65,'G-4 Temporal multipliers'!$A$4:$C$36,3,FALSE),""))</f>
        <v/>
      </c>
      <c r="AJ65" s="498" t="str">
        <f>IF(S65="","",VLOOKUP(S65,'G-3 Multipliers'!$A$2:$E$129,4,FALSE))</f>
        <v/>
      </c>
      <c r="AK65" s="507" t="str">
        <f t="shared" si="6"/>
        <v/>
      </c>
      <c r="AL65" s="507" t="str">
        <f t="shared" si="7"/>
        <v/>
      </c>
      <c r="AM65" s="540" t="str">
        <f>IFERROR(IF(F65="","",IF(AH65="Check Data ⚠","Check Data ⚠",VLOOKUP(AL65, 'G-3 Multipliers'!$P$2:$Q$6,2,FALSE))),"")</f>
        <v/>
      </c>
      <c r="AN65" s="513" t="str">
        <f t="shared" si="8"/>
        <v/>
      </c>
      <c r="AO65" s="239"/>
      <c r="AP65" s="240"/>
    </row>
    <row r="66" spans="1:42" x14ac:dyDescent="0.3">
      <c r="A66" s="47" t="str">
        <f>IF(E66="","",IF(ISNA(VLOOKUP($E66,'A-1 Site Habitat Baseline'!$D$1:$O$258,2,FALSE)),"",(VLOOKUP($E66,'A-1 Site Habitat Baseline'!$D$1:$O$258,2,FALSE))))</f>
        <v/>
      </c>
      <c r="B66" s="47" t="str">
        <f>IF(E66="","",IF(ISNA(VLOOKUP($E66,'A-1 Site Habitat Baseline'!$D$1:$O$258,3,FALSE)),"",(VLOOKUP($E66,'A-1 Site Habitat Baseline'!$D$1:$O$258,3,FALSE))))</f>
        <v/>
      </c>
      <c r="C66" s="47" t="str">
        <f>IFERROR(INDEX('G-8 Condition Look up'!$I$4:$I$130,MATCH(S66,'G-8 Condition Look up'!$A$4:$A$130,0)),"")</f>
        <v/>
      </c>
      <c r="E66" s="531" t="str">
        <f>'A-1 Site Habitat Baseline'!AL65</f>
        <v/>
      </c>
      <c r="F66" s="520" t="str">
        <f>IF(E66="","",IF(ISNA(VLOOKUP($E66,'A-1 Site Habitat Baseline'!$D$1:$O$258,4,FALSE)),"",(VLOOKUP($E66,'A-1 Site Habitat Baseline'!$D$1:$O$258,4,FALSE))))</f>
        <v/>
      </c>
      <c r="G66" s="520" t="str">
        <f>IF(E66="","",IF(ISNA(VLOOKUP($E66,'A-1 Site Habitat Baseline'!$D$1:$O$258,5,FALSE)),"",(VLOOKUP($E66,'A-1 Site Habitat Baseline'!$D$1:$O$258,5,FALSE))))</f>
        <v/>
      </c>
      <c r="H66" s="520" t="str">
        <f>IF(E66="","",IF(ISNA(VLOOKUP($E66,'A-1 Site Habitat Baseline'!$D$1:$O$258,6,FALSE)),"",(VLOOKUP($E66,'A-1 Site Habitat Baseline'!$D$1:$O$258,6,FALSE))))</f>
        <v/>
      </c>
      <c r="I66" s="520" t="str">
        <f>IF(E66="","",IF(ISNA(VLOOKUP($E66,'A-1 Site Habitat Baseline'!$D$1:$O$258,7,FALSE)),"",(VLOOKUP($E66,'A-1 Site Habitat Baseline'!$D$1:$O$258,7,FALSE))))</f>
        <v/>
      </c>
      <c r="J66" s="520" t="str">
        <f>IF(E66="","",IF(ISNA(VLOOKUP($E66,'A-1 Site Habitat Baseline'!$D$1:$O$258,8,FALSE)),"",(VLOOKUP($E66,'A-1 Site Habitat Baseline'!$D$1:$O$258,8,FALSE))))</f>
        <v/>
      </c>
      <c r="K66" s="520" t="str">
        <f>IF(E66="","",IF(ISNA(VLOOKUP($E66,'A-1 Site Habitat Baseline'!$D$1:$O$258,9,FALSE)),"",(VLOOKUP($E66,'A-1 Site Habitat Baseline'!$D$1:$O$258,9,FALSE))))</f>
        <v/>
      </c>
      <c r="L66" s="520" t="str">
        <f>IF(E66="","",IF(ISNA(VLOOKUP($E66,'A-1 Site Habitat Baseline'!$D$1:$O$258,11,FALSE)),"",(VLOOKUP($E66,'A-1 Site Habitat Baseline'!$D$1:$O$258,11,FALSE))))</f>
        <v/>
      </c>
      <c r="M66" s="520" t="str">
        <f>IF(E66="","",IF(ISNA(VLOOKUP($E66,'A-1 Site Habitat Baseline'!$D$1:$O$258,12,FALSE)),"",(VLOOKUP($E66,'A-1 Site Habitat Baseline'!$D$1:$O$258,12,FALSE))))</f>
        <v/>
      </c>
      <c r="N66" s="532" t="str">
        <f>IF(E66="","",IF(ISNA(VLOOKUP($E66,'A-1 Site Habitat Baseline'!$D$1:$X$258,14,FALSE)),"",(VLOOKUP($E66,'A-1 Site Habitat Baseline'!$D$1:$X$258,14,FALSE))))</f>
        <v/>
      </c>
      <c r="O66" s="524" t="str">
        <f>IF(E66="","",IF(ISNA(VLOOKUP($E66,'A-1 Site Habitat Baseline'!$D$1:$X$258,16,FALSE)),"",(VLOOKUP($E66,'A-1 Site Habitat Baseline'!$D$1:$X$258,13,FALSE))))</f>
        <v/>
      </c>
      <c r="P66" s="237" t="str">
        <f>IFERROR(INDEX('G-1 All Habitats'!$AG$3:$AG$15,MATCH(Q66,'G-1 All Habitats'!$AF$3:$AF$15,0)),"")</f>
        <v/>
      </c>
      <c r="Q66" s="238" t="str">
        <f t="shared" si="9"/>
        <v/>
      </c>
      <c r="R66" s="238" t="str">
        <f t="shared" si="10"/>
        <v/>
      </c>
      <c r="S66" s="392" t="str">
        <f>IFERROR(INDEX('G-1 All Habitats'!$B$3:$B$129,MATCH(R66,'G-1 All Habitats'!$A$3:$A$129,0)),"")</f>
        <v/>
      </c>
      <c r="T66" s="498" t="str">
        <f t="shared" si="1"/>
        <v/>
      </c>
      <c r="U66" s="499" t="str">
        <f t="shared" si="2"/>
        <v/>
      </c>
      <c r="V66" s="537" t="str">
        <f t="shared" si="3"/>
        <v/>
      </c>
      <c r="W66" s="520" t="str">
        <f>IF(S66="","",VLOOKUP(S66,'G-1 All Habitats'!$B$2:$M$129,10,FALSE))</f>
        <v/>
      </c>
      <c r="X66" s="520" t="str">
        <f>IFERROR(VLOOKUP(W66,'G-1 All Habitats'!$V$3:$W$7,2,FALSE),"")</f>
        <v/>
      </c>
      <c r="Y66" s="79"/>
      <c r="Z66" s="524" t="str">
        <f>IFERROR(INDEX('G-8 Condition Look up'!$A$3:$H$130,MATCH(S66,'G-8 Condition Look up'!$A$3:$A$130,0),MATCH(Y66,'G-8 Condition Look up'!$A$3:$H$3,0)),"")</f>
        <v/>
      </c>
      <c r="AA66" s="71"/>
      <c r="AB66" s="520" t="str">
        <f>IF(AA66="","",IF(VLOOKUP(AA66,'G-3 Multipliers'!$L$3:$N$6,2,FALSE)=0,"Spatial Data Missing ⚠",VLOOKUP(AA66,'G-3 Multipliers'!$L$3:$N$6,2,FALSE)))</f>
        <v/>
      </c>
      <c r="AC66" s="524" t="str">
        <f>IF(AA66="","",IF(VLOOKUP(AA66,'G-3 Multipliers'!$L$3:$N$6,3,FALSE)=0,"Spatial Data Missing ⚠",VLOOKUP(AA66,'G-3 Multipliers'!$L$3:$N$6,3,FALSE)))</f>
        <v/>
      </c>
      <c r="AD66" s="539" t="str">
        <f t="shared" si="0"/>
        <v/>
      </c>
      <c r="AE66" s="82"/>
      <c r="AF66" s="82"/>
      <c r="AG66" s="507" t="str">
        <f t="shared" si="4"/>
        <v/>
      </c>
      <c r="AH66" s="521" t="str">
        <f t="shared" si="5"/>
        <v/>
      </c>
      <c r="AI66" s="522" t="str">
        <f>IF(AH66="Check Data","Check Data",IFERROR(VLOOKUP(AH66,'G-4 Temporal multipliers'!$A$4:$C$36,3,FALSE),""))</f>
        <v/>
      </c>
      <c r="AJ66" s="498" t="str">
        <f>IF(S66="","",VLOOKUP(S66,'G-3 Multipliers'!$A$2:$E$129,4,FALSE))</f>
        <v/>
      </c>
      <c r="AK66" s="507" t="str">
        <f t="shared" si="6"/>
        <v/>
      </c>
      <c r="AL66" s="507" t="str">
        <f t="shared" si="7"/>
        <v/>
      </c>
      <c r="AM66" s="540" t="str">
        <f>IFERROR(IF(F66="","",IF(AH66="Check Data ⚠","Check Data ⚠",VLOOKUP(AL66, 'G-3 Multipliers'!$P$2:$Q$6,2,FALSE))),"")</f>
        <v/>
      </c>
      <c r="AN66" s="513" t="str">
        <f t="shared" si="8"/>
        <v/>
      </c>
      <c r="AO66" s="239"/>
      <c r="AP66" s="240"/>
    </row>
    <row r="67" spans="1:42" x14ac:dyDescent="0.3">
      <c r="A67" s="47" t="str">
        <f>IF(E67="","",IF(ISNA(VLOOKUP($E67,'A-1 Site Habitat Baseline'!$D$1:$O$258,2,FALSE)),"",(VLOOKUP($E67,'A-1 Site Habitat Baseline'!$D$1:$O$258,2,FALSE))))</f>
        <v/>
      </c>
      <c r="B67" s="47" t="str">
        <f>IF(E67="","",IF(ISNA(VLOOKUP($E67,'A-1 Site Habitat Baseline'!$D$1:$O$258,3,FALSE)),"",(VLOOKUP($E67,'A-1 Site Habitat Baseline'!$D$1:$O$258,3,FALSE))))</f>
        <v/>
      </c>
      <c r="C67" s="47" t="str">
        <f>IFERROR(INDEX('G-8 Condition Look up'!$I$4:$I$130,MATCH(S67,'G-8 Condition Look up'!$A$4:$A$130,0)),"")</f>
        <v/>
      </c>
      <c r="E67" s="531" t="str">
        <f>'A-1 Site Habitat Baseline'!AL66</f>
        <v/>
      </c>
      <c r="F67" s="520" t="str">
        <f>IF(E67="","",IF(ISNA(VLOOKUP($E67,'A-1 Site Habitat Baseline'!$D$1:$O$258,4,FALSE)),"",(VLOOKUP($E67,'A-1 Site Habitat Baseline'!$D$1:$O$258,4,FALSE))))</f>
        <v/>
      </c>
      <c r="G67" s="520" t="str">
        <f>IF(E67="","",IF(ISNA(VLOOKUP($E67,'A-1 Site Habitat Baseline'!$D$1:$O$258,5,FALSE)),"",(VLOOKUP($E67,'A-1 Site Habitat Baseline'!$D$1:$O$258,5,FALSE))))</f>
        <v/>
      </c>
      <c r="H67" s="520" t="str">
        <f>IF(E67="","",IF(ISNA(VLOOKUP($E67,'A-1 Site Habitat Baseline'!$D$1:$O$258,6,FALSE)),"",(VLOOKUP($E67,'A-1 Site Habitat Baseline'!$D$1:$O$258,6,FALSE))))</f>
        <v/>
      </c>
      <c r="I67" s="520" t="str">
        <f>IF(E67="","",IF(ISNA(VLOOKUP($E67,'A-1 Site Habitat Baseline'!$D$1:$O$258,7,FALSE)),"",(VLOOKUP($E67,'A-1 Site Habitat Baseline'!$D$1:$O$258,7,FALSE))))</f>
        <v/>
      </c>
      <c r="J67" s="520" t="str">
        <f>IF(E67="","",IF(ISNA(VLOOKUP($E67,'A-1 Site Habitat Baseline'!$D$1:$O$258,8,FALSE)),"",(VLOOKUP($E67,'A-1 Site Habitat Baseline'!$D$1:$O$258,8,FALSE))))</f>
        <v/>
      </c>
      <c r="K67" s="520" t="str">
        <f>IF(E67="","",IF(ISNA(VLOOKUP($E67,'A-1 Site Habitat Baseline'!$D$1:$O$258,9,FALSE)),"",(VLOOKUP($E67,'A-1 Site Habitat Baseline'!$D$1:$O$258,9,FALSE))))</f>
        <v/>
      </c>
      <c r="L67" s="520" t="str">
        <f>IF(E67="","",IF(ISNA(VLOOKUP($E67,'A-1 Site Habitat Baseline'!$D$1:$O$258,11,FALSE)),"",(VLOOKUP($E67,'A-1 Site Habitat Baseline'!$D$1:$O$258,11,FALSE))))</f>
        <v/>
      </c>
      <c r="M67" s="520" t="str">
        <f>IF(E67="","",IF(ISNA(VLOOKUP($E67,'A-1 Site Habitat Baseline'!$D$1:$O$258,12,FALSE)),"",(VLOOKUP($E67,'A-1 Site Habitat Baseline'!$D$1:$O$258,12,FALSE))))</f>
        <v/>
      </c>
      <c r="N67" s="532" t="str">
        <f>IF(E67="","",IF(ISNA(VLOOKUP($E67,'A-1 Site Habitat Baseline'!$D$1:$X$258,14,FALSE)),"",(VLOOKUP($E67,'A-1 Site Habitat Baseline'!$D$1:$X$258,14,FALSE))))</f>
        <v/>
      </c>
      <c r="O67" s="524" t="str">
        <f>IF(E67="","",IF(ISNA(VLOOKUP($E67,'A-1 Site Habitat Baseline'!$D$1:$X$258,16,FALSE)),"",(VLOOKUP($E67,'A-1 Site Habitat Baseline'!$D$1:$X$258,13,FALSE))))</f>
        <v/>
      </c>
      <c r="P67" s="237" t="str">
        <f>IFERROR(INDEX('G-1 All Habitats'!$AG$3:$AG$15,MATCH(Q67,'G-1 All Habitats'!$AF$3:$AF$15,0)),"")</f>
        <v/>
      </c>
      <c r="Q67" s="238" t="str">
        <f t="shared" si="9"/>
        <v/>
      </c>
      <c r="R67" s="238" t="str">
        <f t="shared" si="10"/>
        <v/>
      </c>
      <c r="S67" s="392" t="str">
        <f>IFERROR(INDEX('G-1 All Habitats'!$B$3:$B$129,MATCH(R67,'G-1 All Habitats'!$A$3:$A$129,0)),"")</f>
        <v/>
      </c>
      <c r="T67" s="498" t="str">
        <f t="shared" si="1"/>
        <v/>
      </c>
      <c r="U67" s="499" t="str">
        <f t="shared" si="2"/>
        <v/>
      </c>
      <c r="V67" s="537" t="str">
        <f t="shared" si="3"/>
        <v/>
      </c>
      <c r="W67" s="520" t="str">
        <f>IF(S67="","",VLOOKUP(S67,'G-1 All Habitats'!$B$2:$M$129,10,FALSE))</f>
        <v/>
      </c>
      <c r="X67" s="520" t="str">
        <f>IFERROR(VLOOKUP(W67,'G-1 All Habitats'!$V$3:$W$7,2,FALSE),"")</f>
        <v/>
      </c>
      <c r="Y67" s="79"/>
      <c r="Z67" s="524" t="str">
        <f>IFERROR(INDEX('G-8 Condition Look up'!$A$3:$H$130,MATCH(S67,'G-8 Condition Look up'!$A$3:$A$130,0),MATCH(Y67,'G-8 Condition Look up'!$A$3:$H$3,0)),"")</f>
        <v/>
      </c>
      <c r="AA67" s="71"/>
      <c r="AB67" s="520" t="str">
        <f>IF(AA67="","",IF(VLOOKUP(AA67,'G-3 Multipliers'!$L$3:$N$6,2,FALSE)=0,"Spatial Data Missing ⚠",VLOOKUP(AA67,'G-3 Multipliers'!$L$3:$N$6,2,FALSE)))</f>
        <v/>
      </c>
      <c r="AC67" s="524" t="str">
        <f>IF(AA67="","",IF(VLOOKUP(AA67,'G-3 Multipliers'!$L$3:$N$6,3,FALSE)=0,"Spatial Data Missing ⚠",VLOOKUP(AA67,'G-3 Multipliers'!$L$3:$N$6,3,FALSE)))</f>
        <v/>
      </c>
      <c r="AD67" s="539" t="str">
        <f t="shared" si="0"/>
        <v/>
      </c>
      <c r="AE67" s="82"/>
      <c r="AF67" s="82"/>
      <c r="AG67" s="507" t="str">
        <f t="shared" si="4"/>
        <v/>
      </c>
      <c r="AH67" s="521" t="str">
        <f t="shared" si="5"/>
        <v/>
      </c>
      <c r="AI67" s="522" t="str">
        <f>IF(AH67="Check Data","Check Data",IFERROR(VLOOKUP(AH67,'G-4 Temporal multipliers'!$A$4:$C$36,3,FALSE),""))</f>
        <v/>
      </c>
      <c r="AJ67" s="498" t="str">
        <f>IF(S67="","",VLOOKUP(S67,'G-3 Multipliers'!$A$2:$E$129,4,FALSE))</f>
        <v/>
      </c>
      <c r="AK67" s="507" t="str">
        <f t="shared" si="6"/>
        <v/>
      </c>
      <c r="AL67" s="507" t="str">
        <f t="shared" si="7"/>
        <v/>
      </c>
      <c r="AM67" s="540" t="str">
        <f>IFERROR(IF(F67="","",IF(AH67="Check Data ⚠","Check Data ⚠",VLOOKUP(AL67, 'G-3 Multipliers'!$P$2:$Q$6,2,FALSE))),"")</f>
        <v/>
      </c>
      <c r="AN67" s="513" t="str">
        <f t="shared" si="8"/>
        <v/>
      </c>
      <c r="AO67" s="239"/>
      <c r="AP67" s="240"/>
    </row>
    <row r="68" spans="1:42" x14ac:dyDescent="0.3">
      <c r="A68" s="47" t="str">
        <f>IF(E68="","",IF(ISNA(VLOOKUP($E68,'A-1 Site Habitat Baseline'!$D$1:$O$258,2,FALSE)),"",(VLOOKUP($E68,'A-1 Site Habitat Baseline'!$D$1:$O$258,2,FALSE))))</f>
        <v/>
      </c>
      <c r="B68" s="47" t="str">
        <f>IF(E68="","",IF(ISNA(VLOOKUP($E68,'A-1 Site Habitat Baseline'!$D$1:$O$258,3,FALSE)),"",(VLOOKUP($E68,'A-1 Site Habitat Baseline'!$D$1:$O$258,3,FALSE))))</f>
        <v/>
      </c>
      <c r="C68" s="47" t="str">
        <f>IFERROR(INDEX('G-8 Condition Look up'!$I$4:$I$130,MATCH(S68,'G-8 Condition Look up'!$A$4:$A$130,0)),"")</f>
        <v/>
      </c>
      <c r="E68" s="531" t="str">
        <f>'A-1 Site Habitat Baseline'!AL67</f>
        <v/>
      </c>
      <c r="F68" s="520" t="str">
        <f>IF(E68="","",IF(ISNA(VLOOKUP($E68,'A-1 Site Habitat Baseline'!$D$1:$O$258,4,FALSE)),"",(VLOOKUP($E68,'A-1 Site Habitat Baseline'!$D$1:$O$258,4,FALSE))))</f>
        <v/>
      </c>
      <c r="G68" s="520" t="str">
        <f>IF(E68="","",IF(ISNA(VLOOKUP($E68,'A-1 Site Habitat Baseline'!$D$1:$O$258,5,FALSE)),"",(VLOOKUP($E68,'A-1 Site Habitat Baseline'!$D$1:$O$258,5,FALSE))))</f>
        <v/>
      </c>
      <c r="H68" s="520" t="str">
        <f>IF(E68="","",IF(ISNA(VLOOKUP($E68,'A-1 Site Habitat Baseline'!$D$1:$O$258,6,FALSE)),"",(VLOOKUP($E68,'A-1 Site Habitat Baseline'!$D$1:$O$258,6,FALSE))))</f>
        <v/>
      </c>
      <c r="I68" s="520" t="str">
        <f>IF(E68="","",IF(ISNA(VLOOKUP($E68,'A-1 Site Habitat Baseline'!$D$1:$O$258,7,FALSE)),"",(VLOOKUP($E68,'A-1 Site Habitat Baseline'!$D$1:$O$258,7,FALSE))))</f>
        <v/>
      </c>
      <c r="J68" s="520" t="str">
        <f>IF(E68="","",IF(ISNA(VLOOKUP($E68,'A-1 Site Habitat Baseline'!$D$1:$O$258,8,FALSE)),"",(VLOOKUP($E68,'A-1 Site Habitat Baseline'!$D$1:$O$258,8,FALSE))))</f>
        <v/>
      </c>
      <c r="K68" s="520" t="str">
        <f>IF(E68="","",IF(ISNA(VLOOKUP($E68,'A-1 Site Habitat Baseline'!$D$1:$O$258,9,FALSE)),"",(VLOOKUP($E68,'A-1 Site Habitat Baseline'!$D$1:$O$258,9,FALSE))))</f>
        <v/>
      </c>
      <c r="L68" s="520" t="str">
        <f>IF(E68="","",IF(ISNA(VLOOKUP($E68,'A-1 Site Habitat Baseline'!$D$1:$O$258,11,FALSE)),"",(VLOOKUP($E68,'A-1 Site Habitat Baseline'!$D$1:$O$258,11,FALSE))))</f>
        <v/>
      </c>
      <c r="M68" s="520" t="str">
        <f>IF(E68="","",IF(ISNA(VLOOKUP($E68,'A-1 Site Habitat Baseline'!$D$1:$O$258,12,FALSE)),"",(VLOOKUP($E68,'A-1 Site Habitat Baseline'!$D$1:$O$258,12,FALSE))))</f>
        <v/>
      </c>
      <c r="N68" s="532" t="str">
        <f>IF(E68="","",IF(ISNA(VLOOKUP($E68,'A-1 Site Habitat Baseline'!$D$1:$X$258,14,FALSE)),"",(VLOOKUP($E68,'A-1 Site Habitat Baseline'!$D$1:$X$258,14,FALSE))))</f>
        <v/>
      </c>
      <c r="O68" s="524" t="str">
        <f>IF(E68="","",IF(ISNA(VLOOKUP($E68,'A-1 Site Habitat Baseline'!$D$1:$X$258,16,FALSE)),"",(VLOOKUP($E68,'A-1 Site Habitat Baseline'!$D$1:$X$258,13,FALSE))))</f>
        <v/>
      </c>
      <c r="P68" s="237" t="str">
        <f>IFERROR(INDEX('G-1 All Habitats'!$AG$3:$AG$15,MATCH(Q68,'G-1 All Habitats'!$AF$3:$AF$15,0)),"")</f>
        <v/>
      </c>
      <c r="Q68" s="238" t="str">
        <f t="shared" si="9"/>
        <v/>
      </c>
      <c r="R68" s="238" t="str">
        <f t="shared" si="10"/>
        <v/>
      </c>
      <c r="S68" s="392" t="str">
        <f>IFERROR(INDEX('G-1 All Habitats'!$B$3:$B$129,MATCH(R68,'G-1 All Habitats'!$A$3:$A$129,0)),"")</f>
        <v/>
      </c>
      <c r="T68" s="498" t="str">
        <f t="shared" si="1"/>
        <v/>
      </c>
      <c r="U68" s="499" t="str">
        <f t="shared" si="2"/>
        <v/>
      </c>
      <c r="V68" s="537" t="str">
        <f t="shared" si="3"/>
        <v/>
      </c>
      <c r="W68" s="520" t="str">
        <f>IF(S68="","",VLOOKUP(S68,'G-1 All Habitats'!$B$2:$M$129,10,FALSE))</f>
        <v/>
      </c>
      <c r="X68" s="520" t="str">
        <f>IFERROR(VLOOKUP(W68,'G-1 All Habitats'!$V$3:$W$7,2,FALSE),"")</f>
        <v/>
      </c>
      <c r="Y68" s="79"/>
      <c r="Z68" s="524" t="str">
        <f>IFERROR(INDEX('G-8 Condition Look up'!$A$3:$H$130,MATCH(S68,'G-8 Condition Look up'!$A$3:$A$130,0),MATCH(Y68,'G-8 Condition Look up'!$A$3:$H$3,0)),"")</f>
        <v/>
      </c>
      <c r="AA68" s="71"/>
      <c r="AB68" s="520" t="str">
        <f>IF(AA68="","",IF(VLOOKUP(AA68,'G-3 Multipliers'!$L$3:$N$6,2,FALSE)=0,"Spatial Data Missing ⚠",VLOOKUP(AA68,'G-3 Multipliers'!$L$3:$N$6,2,FALSE)))</f>
        <v/>
      </c>
      <c r="AC68" s="524" t="str">
        <f>IF(AA68="","",IF(VLOOKUP(AA68,'G-3 Multipliers'!$L$3:$N$6,3,FALSE)=0,"Spatial Data Missing ⚠",VLOOKUP(AA68,'G-3 Multipliers'!$L$3:$N$6,3,FALSE)))</f>
        <v/>
      </c>
      <c r="AD68" s="539" t="str">
        <f t="shared" si="0"/>
        <v/>
      </c>
      <c r="AE68" s="82"/>
      <c r="AF68" s="82"/>
      <c r="AG68" s="507" t="str">
        <f t="shared" si="4"/>
        <v/>
      </c>
      <c r="AH68" s="521" t="str">
        <f t="shared" si="5"/>
        <v/>
      </c>
      <c r="AI68" s="522" t="str">
        <f>IF(AH68="Check Data","Check Data",IFERROR(VLOOKUP(AH68,'G-4 Temporal multipliers'!$A$4:$C$36,3,FALSE),""))</f>
        <v/>
      </c>
      <c r="AJ68" s="498" t="str">
        <f>IF(S68="","",VLOOKUP(S68,'G-3 Multipliers'!$A$2:$E$129,4,FALSE))</f>
        <v/>
      </c>
      <c r="AK68" s="507" t="str">
        <f t="shared" si="6"/>
        <v/>
      </c>
      <c r="AL68" s="507" t="str">
        <f t="shared" si="7"/>
        <v/>
      </c>
      <c r="AM68" s="540" t="str">
        <f>IFERROR(IF(F68="","",IF(AH68="Check Data ⚠","Check Data ⚠",VLOOKUP(AL68, 'G-3 Multipliers'!$P$2:$Q$6,2,FALSE))),"")</f>
        <v/>
      </c>
      <c r="AN68" s="513" t="str">
        <f t="shared" si="8"/>
        <v/>
      </c>
      <c r="AO68" s="239"/>
      <c r="AP68" s="240"/>
    </row>
    <row r="69" spans="1:42" x14ac:dyDescent="0.3">
      <c r="A69" s="47" t="str">
        <f>IF(E69="","",IF(ISNA(VLOOKUP($E69,'A-1 Site Habitat Baseline'!$D$1:$O$258,2,FALSE)),"",(VLOOKUP($E69,'A-1 Site Habitat Baseline'!$D$1:$O$258,2,FALSE))))</f>
        <v/>
      </c>
      <c r="B69" s="47" t="str">
        <f>IF(E69="","",IF(ISNA(VLOOKUP($E69,'A-1 Site Habitat Baseline'!$D$1:$O$258,3,FALSE)),"",(VLOOKUP($E69,'A-1 Site Habitat Baseline'!$D$1:$O$258,3,FALSE))))</f>
        <v/>
      </c>
      <c r="C69" s="47" t="str">
        <f>IFERROR(INDEX('G-8 Condition Look up'!$I$4:$I$130,MATCH(S69,'G-8 Condition Look up'!$A$4:$A$130,0)),"")</f>
        <v/>
      </c>
      <c r="E69" s="531" t="str">
        <f>'A-1 Site Habitat Baseline'!AL68</f>
        <v/>
      </c>
      <c r="F69" s="520" t="str">
        <f>IF(E69="","",IF(ISNA(VLOOKUP($E69,'A-1 Site Habitat Baseline'!$D$1:$O$258,4,FALSE)),"",(VLOOKUP($E69,'A-1 Site Habitat Baseline'!$D$1:$O$258,4,FALSE))))</f>
        <v/>
      </c>
      <c r="G69" s="520" t="str">
        <f>IF(E69="","",IF(ISNA(VLOOKUP($E69,'A-1 Site Habitat Baseline'!$D$1:$O$258,5,FALSE)),"",(VLOOKUP($E69,'A-1 Site Habitat Baseline'!$D$1:$O$258,5,FALSE))))</f>
        <v/>
      </c>
      <c r="H69" s="520" t="str">
        <f>IF(E69="","",IF(ISNA(VLOOKUP($E69,'A-1 Site Habitat Baseline'!$D$1:$O$258,6,FALSE)),"",(VLOOKUP($E69,'A-1 Site Habitat Baseline'!$D$1:$O$258,6,FALSE))))</f>
        <v/>
      </c>
      <c r="I69" s="520" t="str">
        <f>IF(E69="","",IF(ISNA(VLOOKUP($E69,'A-1 Site Habitat Baseline'!$D$1:$O$258,7,FALSE)),"",(VLOOKUP($E69,'A-1 Site Habitat Baseline'!$D$1:$O$258,7,FALSE))))</f>
        <v/>
      </c>
      <c r="J69" s="520" t="str">
        <f>IF(E69="","",IF(ISNA(VLOOKUP($E69,'A-1 Site Habitat Baseline'!$D$1:$O$258,8,FALSE)),"",(VLOOKUP($E69,'A-1 Site Habitat Baseline'!$D$1:$O$258,8,FALSE))))</f>
        <v/>
      </c>
      <c r="K69" s="520" t="str">
        <f>IF(E69="","",IF(ISNA(VLOOKUP($E69,'A-1 Site Habitat Baseline'!$D$1:$O$258,9,FALSE)),"",(VLOOKUP($E69,'A-1 Site Habitat Baseline'!$D$1:$O$258,9,FALSE))))</f>
        <v/>
      </c>
      <c r="L69" s="520" t="str">
        <f>IF(E69="","",IF(ISNA(VLOOKUP($E69,'A-1 Site Habitat Baseline'!$D$1:$O$258,11,FALSE)),"",(VLOOKUP($E69,'A-1 Site Habitat Baseline'!$D$1:$O$258,11,FALSE))))</f>
        <v/>
      </c>
      <c r="M69" s="520" t="str">
        <f>IF(E69="","",IF(ISNA(VLOOKUP($E69,'A-1 Site Habitat Baseline'!$D$1:$O$258,12,FALSE)),"",(VLOOKUP($E69,'A-1 Site Habitat Baseline'!$D$1:$O$258,12,FALSE))))</f>
        <v/>
      </c>
      <c r="N69" s="532" t="str">
        <f>IF(E69="","",IF(ISNA(VLOOKUP($E69,'A-1 Site Habitat Baseline'!$D$1:$X$258,14,FALSE)),"",(VLOOKUP($E69,'A-1 Site Habitat Baseline'!$D$1:$X$258,14,FALSE))))</f>
        <v/>
      </c>
      <c r="O69" s="524" t="str">
        <f>IF(E69="","",IF(ISNA(VLOOKUP($E69,'A-1 Site Habitat Baseline'!$D$1:$X$258,16,FALSE)),"",(VLOOKUP($E69,'A-1 Site Habitat Baseline'!$D$1:$X$258,13,FALSE))))</f>
        <v/>
      </c>
      <c r="P69" s="237" t="str">
        <f>IFERROR(INDEX('G-1 All Habitats'!$AG$3:$AG$15,MATCH(Q69,'G-1 All Habitats'!$AF$3:$AF$15,0)),"")</f>
        <v/>
      </c>
      <c r="Q69" s="238" t="str">
        <f t="shared" si="9"/>
        <v/>
      </c>
      <c r="R69" s="238" t="str">
        <f t="shared" si="10"/>
        <v/>
      </c>
      <c r="S69" s="392" t="str">
        <f>IFERROR(INDEX('G-1 All Habitats'!$B$3:$B$129,MATCH(R69,'G-1 All Habitats'!$A$3:$A$129,0)),"")</f>
        <v/>
      </c>
      <c r="T69" s="498" t="str">
        <f t="shared" si="1"/>
        <v/>
      </c>
      <c r="U69" s="499" t="str">
        <f t="shared" si="2"/>
        <v/>
      </c>
      <c r="V69" s="537" t="str">
        <f t="shared" si="3"/>
        <v/>
      </c>
      <c r="W69" s="520" t="str">
        <f>IF(S69="","",VLOOKUP(S69,'G-1 All Habitats'!$B$2:$M$129,10,FALSE))</f>
        <v/>
      </c>
      <c r="X69" s="520" t="str">
        <f>IFERROR(VLOOKUP(W69,'G-1 All Habitats'!$V$3:$W$7,2,FALSE),"")</f>
        <v/>
      </c>
      <c r="Y69" s="79"/>
      <c r="Z69" s="524" t="str">
        <f>IFERROR(INDEX('G-8 Condition Look up'!$A$3:$H$130,MATCH(S69,'G-8 Condition Look up'!$A$3:$A$130,0),MATCH(Y69,'G-8 Condition Look up'!$A$3:$H$3,0)),"")</f>
        <v/>
      </c>
      <c r="AA69" s="71"/>
      <c r="AB69" s="520" t="str">
        <f>IF(AA69="","",IF(VLOOKUP(AA69,'G-3 Multipliers'!$L$3:$N$6,2,FALSE)=0,"Spatial Data Missing ⚠",VLOOKUP(AA69,'G-3 Multipliers'!$L$3:$N$6,2,FALSE)))</f>
        <v/>
      </c>
      <c r="AC69" s="524" t="str">
        <f>IF(AA69="","",IF(VLOOKUP(AA69,'G-3 Multipliers'!$L$3:$N$6,3,FALSE)=0,"Spatial Data Missing ⚠",VLOOKUP(AA69,'G-3 Multipliers'!$L$3:$N$6,3,FALSE)))</f>
        <v/>
      </c>
      <c r="AD69" s="539" t="str">
        <f t="shared" si="0"/>
        <v/>
      </c>
      <c r="AE69" s="82"/>
      <c r="AF69" s="82"/>
      <c r="AG69" s="507" t="str">
        <f t="shared" si="4"/>
        <v/>
      </c>
      <c r="AH69" s="521" t="str">
        <f t="shared" si="5"/>
        <v/>
      </c>
      <c r="AI69" s="522" t="str">
        <f>IF(AH69="Check Data","Check Data",IFERROR(VLOOKUP(AH69,'G-4 Temporal multipliers'!$A$4:$C$36,3,FALSE),""))</f>
        <v/>
      </c>
      <c r="AJ69" s="498" t="str">
        <f>IF(S69="","",VLOOKUP(S69,'G-3 Multipliers'!$A$2:$E$129,4,FALSE))</f>
        <v/>
      </c>
      <c r="AK69" s="507" t="str">
        <f t="shared" si="6"/>
        <v/>
      </c>
      <c r="AL69" s="507" t="str">
        <f t="shared" si="7"/>
        <v/>
      </c>
      <c r="AM69" s="540" t="str">
        <f>IFERROR(IF(F69="","",IF(AH69="Check Data ⚠","Check Data ⚠",VLOOKUP(AL69, 'G-3 Multipliers'!$P$2:$Q$6,2,FALSE))),"")</f>
        <v/>
      </c>
      <c r="AN69" s="513" t="str">
        <f t="shared" si="8"/>
        <v/>
      </c>
      <c r="AO69" s="239"/>
      <c r="AP69" s="240"/>
    </row>
    <row r="70" spans="1:42" x14ac:dyDescent="0.3">
      <c r="A70" s="47" t="str">
        <f>IF(E70="","",IF(ISNA(VLOOKUP($E70,'A-1 Site Habitat Baseline'!$D$1:$O$258,2,FALSE)),"",(VLOOKUP($E70,'A-1 Site Habitat Baseline'!$D$1:$O$258,2,FALSE))))</f>
        <v/>
      </c>
      <c r="B70" s="47" t="str">
        <f>IF(E70="","",IF(ISNA(VLOOKUP($E70,'A-1 Site Habitat Baseline'!$D$1:$O$258,3,FALSE)),"",(VLOOKUP($E70,'A-1 Site Habitat Baseline'!$D$1:$O$258,3,FALSE))))</f>
        <v/>
      </c>
      <c r="C70" s="47" t="str">
        <f>IFERROR(INDEX('G-8 Condition Look up'!$I$4:$I$130,MATCH(S70,'G-8 Condition Look up'!$A$4:$A$130,0)),"")</f>
        <v/>
      </c>
      <c r="E70" s="531" t="str">
        <f>'A-1 Site Habitat Baseline'!AL69</f>
        <v/>
      </c>
      <c r="F70" s="520" t="str">
        <f>IF(E70="","",IF(ISNA(VLOOKUP($E70,'A-1 Site Habitat Baseline'!$D$1:$O$258,4,FALSE)),"",(VLOOKUP($E70,'A-1 Site Habitat Baseline'!$D$1:$O$258,4,FALSE))))</f>
        <v/>
      </c>
      <c r="G70" s="520" t="str">
        <f>IF(E70="","",IF(ISNA(VLOOKUP($E70,'A-1 Site Habitat Baseline'!$D$1:$O$258,5,FALSE)),"",(VLOOKUP($E70,'A-1 Site Habitat Baseline'!$D$1:$O$258,5,FALSE))))</f>
        <v/>
      </c>
      <c r="H70" s="520" t="str">
        <f>IF(E70="","",IF(ISNA(VLOOKUP($E70,'A-1 Site Habitat Baseline'!$D$1:$O$258,6,FALSE)),"",(VLOOKUP($E70,'A-1 Site Habitat Baseline'!$D$1:$O$258,6,FALSE))))</f>
        <v/>
      </c>
      <c r="I70" s="520" t="str">
        <f>IF(E70="","",IF(ISNA(VLOOKUP($E70,'A-1 Site Habitat Baseline'!$D$1:$O$258,7,FALSE)),"",(VLOOKUP($E70,'A-1 Site Habitat Baseline'!$D$1:$O$258,7,FALSE))))</f>
        <v/>
      </c>
      <c r="J70" s="520" t="str">
        <f>IF(E70="","",IF(ISNA(VLOOKUP($E70,'A-1 Site Habitat Baseline'!$D$1:$O$258,8,FALSE)),"",(VLOOKUP($E70,'A-1 Site Habitat Baseline'!$D$1:$O$258,8,FALSE))))</f>
        <v/>
      </c>
      <c r="K70" s="520" t="str">
        <f>IF(E70="","",IF(ISNA(VLOOKUP($E70,'A-1 Site Habitat Baseline'!$D$1:$O$258,9,FALSE)),"",(VLOOKUP($E70,'A-1 Site Habitat Baseline'!$D$1:$O$258,9,FALSE))))</f>
        <v/>
      </c>
      <c r="L70" s="520" t="str">
        <f>IF(E70="","",IF(ISNA(VLOOKUP($E70,'A-1 Site Habitat Baseline'!$D$1:$O$258,11,FALSE)),"",(VLOOKUP($E70,'A-1 Site Habitat Baseline'!$D$1:$O$258,11,FALSE))))</f>
        <v/>
      </c>
      <c r="M70" s="520" t="str">
        <f>IF(E70="","",IF(ISNA(VLOOKUP($E70,'A-1 Site Habitat Baseline'!$D$1:$O$258,12,FALSE)),"",(VLOOKUP($E70,'A-1 Site Habitat Baseline'!$D$1:$O$258,12,FALSE))))</f>
        <v/>
      </c>
      <c r="N70" s="532" t="str">
        <f>IF(E70="","",IF(ISNA(VLOOKUP($E70,'A-1 Site Habitat Baseline'!$D$1:$X$258,14,FALSE)),"",(VLOOKUP($E70,'A-1 Site Habitat Baseline'!$D$1:$X$258,14,FALSE))))</f>
        <v/>
      </c>
      <c r="O70" s="524" t="str">
        <f>IF(E70="","",IF(ISNA(VLOOKUP($E70,'A-1 Site Habitat Baseline'!$D$1:$X$258,16,FALSE)),"",(VLOOKUP($E70,'A-1 Site Habitat Baseline'!$D$1:$X$258,13,FALSE))))</f>
        <v/>
      </c>
      <c r="P70" s="237" t="str">
        <f>IFERROR(INDEX('G-1 All Habitats'!$AG$3:$AG$15,MATCH(Q70,'G-1 All Habitats'!$AF$3:$AF$15,0)),"")</f>
        <v/>
      </c>
      <c r="Q70" s="238" t="str">
        <f t="shared" si="9"/>
        <v/>
      </c>
      <c r="R70" s="238" t="str">
        <f t="shared" si="10"/>
        <v/>
      </c>
      <c r="S70" s="392" t="str">
        <f>IFERROR(INDEX('G-1 All Habitats'!$B$3:$B$129,MATCH(R70,'G-1 All Habitats'!$A$3:$A$129,0)),"")</f>
        <v/>
      </c>
      <c r="T70" s="498" t="str">
        <f t="shared" si="1"/>
        <v/>
      </c>
      <c r="U70" s="499" t="str">
        <f t="shared" si="2"/>
        <v/>
      </c>
      <c r="V70" s="537" t="str">
        <f t="shared" si="3"/>
        <v/>
      </c>
      <c r="W70" s="520" t="str">
        <f>IF(S70="","",VLOOKUP(S70,'G-1 All Habitats'!$B$2:$M$129,10,FALSE))</f>
        <v/>
      </c>
      <c r="X70" s="520" t="str">
        <f>IFERROR(VLOOKUP(W70,'G-1 All Habitats'!$V$3:$W$7,2,FALSE),"")</f>
        <v/>
      </c>
      <c r="Y70" s="79"/>
      <c r="Z70" s="524" t="str">
        <f>IFERROR(INDEX('G-8 Condition Look up'!$A$3:$H$130,MATCH(S70,'G-8 Condition Look up'!$A$3:$A$130,0),MATCH(Y70,'G-8 Condition Look up'!$A$3:$H$3,0)),"")</f>
        <v/>
      </c>
      <c r="AA70" s="71"/>
      <c r="AB70" s="520" t="str">
        <f>IF(AA70="","",IF(VLOOKUP(AA70,'G-3 Multipliers'!$L$3:$N$6,2,FALSE)=0,"Spatial Data Missing ⚠",VLOOKUP(AA70,'G-3 Multipliers'!$L$3:$N$6,2,FALSE)))</f>
        <v/>
      </c>
      <c r="AC70" s="524" t="str">
        <f>IF(AA70="","",IF(VLOOKUP(AA70,'G-3 Multipliers'!$L$3:$N$6,3,FALSE)=0,"Spatial Data Missing ⚠",VLOOKUP(AA70,'G-3 Multipliers'!$L$3:$N$6,3,FALSE)))</f>
        <v/>
      </c>
      <c r="AD70" s="539" t="str">
        <f t="shared" si="0"/>
        <v/>
      </c>
      <c r="AE70" s="82"/>
      <c r="AF70" s="82"/>
      <c r="AG70" s="507" t="str">
        <f t="shared" si="4"/>
        <v/>
      </c>
      <c r="AH70" s="521" t="str">
        <f t="shared" si="5"/>
        <v/>
      </c>
      <c r="AI70" s="522" t="str">
        <f>IF(AH70="Check Data","Check Data",IFERROR(VLOOKUP(AH70,'G-4 Temporal multipliers'!$A$4:$C$36,3,FALSE),""))</f>
        <v/>
      </c>
      <c r="AJ70" s="498" t="str">
        <f>IF(S70="","",VLOOKUP(S70,'G-3 Multipliers'!$A$2:$E$129,4,FALSE))</f>
        <v/>
      </c>
      <c r="AK70" s="507" t="str">
        <f t="shared" si="6"/>
        <v/>
      </c>
      <c r="AL70" s="507" t="str">
        <f t="shared" si="7"/>
        <v/>
      </c>
      <c r="AM70" s="540" t="str">
        <f>IFERROR(IF(F70="","",IF(AH70="Check Data ⚠","Check Data ⚠",VLOOKUP(AL70, 'G-3 Multipliers'!$P$2:$Q$6,2,FALSE))),"")</f>
        <v/>
      </c>
      <c r="AN70" s="513" t="str">
        <f t="shared" si="8"/>
        <v/>
      </c>
      <c r="AO70" s="239"/>
      <c r="AP70" s="240"/>
    </row>
    <row r="71" spans="1:42" x14ac:dyDescent="0.3">
      <c r="A71" s="47" t="str">
        <f>IF(E71="","",IF(ISNA(VLOOKUP($E71,'A-1 Site Habitat Baseline'!$D$1:$O$258,2,FALSE)),"",(VLOOKUP($E71,'A-1 Site Habitat Baseline'!$D$1:$O$258,2,FALSE))))</f>
        <v/>
      </c>
      <c r="B71" s="47" t="str">
        <f>IF(E71="","",IF(ISNA(VLOOKUP($E71,'A-1 Site Habitat Baseline'!$D$1:$O$258,3,FALSE)),"",(VLOOKUP($E71,'A-1 Site Habitat Baseline'!$D$1:$O$258,3,FALSE))))</f>
        <v/>
      </c>
      <c r="C71" s="47" t="str">
        <f>IFERROR(INDEX('G-8 Condition Look up'!$I$4:$I$130,MATCH(S71,'G-8 Condition Look up'!$A$4:$A$130,0)),"")</f>
        <v/>
      </c>
      <c r="E71" s="531" t="str">
        <f>'A-1 Site Habitat Baseline'!AL70</f>
        <v/>
      </c>
      <c r="F71" s="520" t="str">
        <f>IF(E71="","",IF(ISNA(VLOOKUP($E71,'A-1 Site Habitat Baseline'!$D$1:$O$258,4,FALSE)),"",(VLOOKUP($E71,'A-1 Site Habitat Baseline'!$D$1:$O$258,4,FALSE))))</f>
        <v/>
      </c>
      <c r="G71" s="520" t="str">
        <f>IF(E71="","",IF(ISNA(VLOOKUP($E71,'A-1 Site Habitat Baseline'!$D$1:$O$258,5,FALSE)),"",(VLOOKUP($E71,'A-1 Site Habitat Baseline'!$D$1:$O$258,5,FALSE))))</f>
        <v/>
      </c>
      <c r="H71" s="520" t="str">
        <f>IF(E71="","",IF(ISNA(VLOOKUP($E71,'A-1 Site Habitat Baseline'!$D$1:$O$258,6,FALSE)),"",(VLOOKUP($E71,'A-1 Site Habitat Baseline'!$D$1:$O$258,6,FALSE))))</f>
        <v/>
      </c>
      <c r="I71" s="520" t="str">
        <f>IF(E71="","",IF(ISNA(VLOOKUP($E71,'A-1 Site Habitat Baseline'!$D$1:$O$258,7,FALSE)),"",(VLOOKUP($E71,'A-1 Site Habitat Baseline'!$D$1:$O$258,7,FALSE))))</f>
        <v/>
      </c>
      <c r="J71" s="520" t="str">
        <f>IF(E71="","",IF(ISNA(VLOOKUP($E71,'A-1 Site Habitat Baseline'!$D$1:$O$258,8,FALSE)),"",(VLOOKUP($E71,'A-1 Site Habitat Baseline'!$D$1:$O$258,8,FALSE))))</f>
        <v/>
      </c>
      <c r="K71" s="520" t="str">
        <f>IF(E71="","",IF(ISNA(VLOOKUP($E71,'A-1 Site Habitat Baseline'!$D$1:$O$258,9,FALSE)),"",(VLOOKUP($E71,'A-1 Site Habitat Baseline'!$D$1:$O$258,9,FALSE))))</f>
        <v/>
      </c>
      <c r="L71" s="520" t="str">
        <f>IF(E71="","",IF(ISNA(VLOOKUP($E71,'A-1 Site Habitat Baseline'!$D$1:$O$258,11,FALSE)),"",(VLOOKUP($E71,'A-1 Site Habitat Baseline'!$D$1:$O$258,11,FALSE))))</f>
        <v/>
      </c>
      <c r="M71" s="520" t="str">
        <f>IF(E71="","",IF(ISNA(VLOOKUP($E71,'A-1 Site Habitat Baseline'!$D$1:$O$258,12,FALSE)),"",(VLOOKUP($E71,'A-1 Site Habitat Baseline'!$D$1:$O$258,12,FALSE))))</f>
        <v/>
      </c>
      <c r="N71" s="532" t="str">
        <f>IF(E71="","",IF(ISNA(VLOOKUP($E71,'A-1 Site Habitat Baseline'!$D$1:$X$258,14,FALSE)),"",(VLOOKUP($E71,'A-1 Site Habitat Baseline'!$D$1:$X$258,14,FALSE))))</f>
        <v/>
      </c>
      <c r="O71" s="524" t="str">
        <f>IF(E71="","",IF(ISNA(VLOOKUP($E71,'A-1 Site Habitat Baseline'!$D$1:$X$258,16,FALSE)),"",(VLOOKUP($E71,'A-1 Site Habitat Baseline'!$D$1:$X$258,13,FALSE))))</f>
        <v/>
      </c>
      <c r="P71" s="237" t="str">
        <f>IFERROR(INDEX('G-1 All Habitats'!$AG$3:$AG$15,MATCH(Q71,'G-1 All Habitats'!$AF$3:$AF$15,0)),"")</f>
        <v/>
      </c>
      <c r="Q71" s="238" t="str">
        <f t="shared" si="9"/>
        <v/>
      </c>
      <c r="R71" s="238" t="str">
        <f t="shared" si="10"/>
        <v/>
      </c>
      <c r="S71" s="392" t="str">
        <f>IFERROR(INDEX('G-1 All Habitats'!$B$3:$B$129,MATCH(R71,'G-1 All Habitats'!$A$3:$A$129,0)),"")</f>
        <v/>
      </c>
      <c r="T71" s="498" t="str">
        <f t="shared" si="1"/>
        <v/>
      </c>
      <c r="U71" s="499" t="str">
        <f t="shared" si="2"/>
        <v/>
      </c>
      <c r="V71" s="537" t="str">
        <f t="shared" si="3"/>
        <v/>
      </c>
      <c r="W71" s="520" t="str">
        <f>IF(S71="","",VLOOKUP(S71,'G-1 All Habitats'!$B$2:$M$129,10,FALSE))</f>
        <v/>
      </c>
      <c r="X71" s="520" t="str">
        <f>IFERROR(VLOOKUP(W71,'G-1 All Habitats'!$V$3:$W$7,2,FALSE),"")</f>
        <v/>
      </c>
      <c r="Y71" s="79"/>
      <c r="Z71" s="524" t="str">
        <f>IFERROR(INDEX('G-8 Condition Look up'!$A$3:$H$130,MATCH(S71,'G-8 Condition Look up'!$A$3:$A$130,0),MATCH(Y71,'G-8 Condition Look up'!$A$3:$H$3,0)),"")</f>
        <v/>
      </c>
      <c r="AA71" s="71"/>
      <c r="AB71" s="520" t="str">
        <f>IF(AA71="","",IF(VLOOKUP(AA71,'G-3 Multipliers'!$L$3:$N$6,2,FALSE)=0,"Spatial Data Missing ⚠",VLOOKUP(AA71,'G-3 Multipliers'!$L$3:$N$6,2,FALSE)))</f>
        <v/>
      </c>
      <c r="AC71" s="524" t="str">
        <f>IF(AA71="","",IF(VLOOKUP(AA71,'G-3 Multipliers'!$L$3:$N$6,3,FALSE)=0,"Spatial Data Missing ⚠",VLOOKUP(AA71,'G-3 Multipliers'!$L$3:$N$6,3,FALSE)))</f>
        <v/>
      </c>
      <c r="AD71" s="539" t="str">
        <f t="shared" si="0"/>
        <v/>
      </c>
      <c r="AE71" s="82"/>
      <c r="AF71" s="82"/>
      <c r="AG71" s="507" t="str">
        <f t="shared" si="4"/>
        <v/>
      </c>
      <c r="AH71" s="521" t="str">
        <f t="shared" si="5"/>
        <v/>
      </c>
      <c r="AI71" s="522" t="str">
        <f>IF(AH71="Check Data","Check Data",IFERROR(VLOOKUP(AH71,'G-4 Temporal multipliers'!$A$4:$C$36,3,FALSE),""))</f>
        <v/>
      </c>
      <c r="AJ71" s="498" t="str">
        <f>IF(S71="","",VLOOKUP(S71,'G-3 Multipliers'!$A$2:$E$129,4,FALSE))</f>
        <v/>
      </c>
      <c r="AK71" s="507" t="str">
        <f t="shared" si="6"/>
        <v/>
      </c>
      <c r="AL71" s="507" t="str">
        <f t="shared" si="7"/>
        <v/>
      </c>
      <c r="AM71" s="540" t="str">
        <f>IFERROR(IF(F71="","",IF(AH71="Check Data ⚠","Check Data ⚠",VLOOKUP(AL71, 'G-3 Multipliers'!$P$2:$Q$6,2,FALSE))),"")</f>
        <v/>
      </c>
      <c r="AN71" s="513" t="str">
        <f t="shared" si="8"/>
        <v/>
      </c>
      <c r="AO71" s="239"/>
      <c r="AP71" s="240"/>
    </row>
    <row r="72" spans="1:42" x14ac:dyDescent="0.3">
      <c r="A72" s="47" t="str">
        <f>IF(E72="","",IF(ISNA(VLOOKUP($E72,'A-1 Site Habitat Baseline'!$D$1:$O$258,2,FALSE)),"",(VLOOKUP($E72,'A-1 Site Habitat Baseline'!$D$1:$O$258,2,FALSE))))</f>
        <v/>
      </c>
      <c r="B72" s="47" t="str">
        <f>IF(E72="","",IF(ISNA(VLOOKUP($E72,'A-1 Site Habitat Baseline'!$D$1:$O$258,3,FALSE)),"",(VLOOKUP($E72,'A-1 Site Habitat Baseline'!$D$1:$O$258,3,FALSE))))</f>
        <v/>
      </c>
      <c r="C72" s="47" t="str">
        <f>IFERROR(INDEX('G-8 Condition Look up'!$I$4:$I$130,MATCH(S72,'G-8 Condition Look up'!$A$4:$A$130,0)),"")</f>
        <v/>
      </c>
      <c r="E72" s="531" t="str">
        <f>'A-1 Site Habitat Baseline'!AL71</f>
        <v/>
      </c>
      <c r="F72" s="520" t="str">
        <f>IF(E72="","",IF(ISNA(VLOOKUP($E72,'A-1 Site Habitat Baseline'!$D$1:$O$258,4,FALSE)),"",(VLOOKUP($E72,'A-1 Site Habitat Baseline'!$D$1:$O$258,4,FALSE))))</f>
        <v/>
      </c>
      <c r="G72" s="520" t="str">
        <f>IF(E72="","",IF(ISNA(VLOOKUP($E72,'A-1 Site Habitat Baseline'!$D$1:$O$258,5,FALSE)),"",(VLOOKUP($E72,'A-1 Site Habitat Baseline'!$D$1:$O$258,5,FALSE))))</f>
        <v/>
      </c>
      <c r="H72" s="520" t="str">
        <f>IF(E72="","",IF(ISNA(VLOOKUP($E72,'A-1 Site Habitat Baseline'!$D$1:$O$258,6,FALSE)),"",(VLOOKUP($E72,'A-1 Site Habitat Baseline'!$D$1:$O$258,6,FALSE))))</f>
        <v/>
      </c>
      <c r="I72" s="520" t="str">
        <f>IF(E72="","",IF(ISNA(VLOOKUP($E72,'A-1 Site Habitat Baseline'!$D$1:$O$258,7,FALSE)),"",(VLOOKUP($E72,'A-1 Site Habitat Baseline'!$D$1:$O$258,7,FALSE))))</f>
        <v/>
      </c>
      <c r="J72" s="520" t="str">
        <f>IF(E72="","",IF(ISNA(VLOOKUP($E72,'A-1 Site Habitat Baseline'!$D$1:$O$258,8,FALSE)),"",(VLOOKUP($E72,'A-1 Site Habitat Baseline'!$D$1:$O$258,8,FALSE))))</f>
        <v/>
      </c>
      <c r="K72" s="520" t="str">
        <f>IF(E72="","",IF(ISNA(VLOOKUP($E72,'A-1 Site Habitat Baseline'!$D$1:$O$258,9,FALSE)),"",(VLOOKUP($E72,'A-1 Site Habitat Baseline'!$D$1:$O$258,9,FALSE))))</f>
        <v/>
      </c>
      <c r="L72" s="520" t="str">
        <f>IF(E72="","",IF(ISNA(VLOOKUP($E72,'A-1 Site Habitat Baseline'!$D$1:$O$258,11,FALSE)),"",(VLOOKUP($E72,'A-1 Site Habitat Baseline'!$D$1:$O$258,11,FALSE))))</f>
        <v/>
      </c>
      <c r="M72" s="520" t="str">
        <f>IF(E72="","",IF(ISNA(VLOOKUP($E72,'A-1 Site Habitat Baseline'!$D$1:$O$258,12,FALSE)),"",(VLOOKUP($E72,'A-1 Site Habitat Baseline'!$D$1:$O$258,12,FALSE))))</f>
        <v/>
      </c>
      <c r="N72" s="532" t="str">
        <f>IF(E72="","",IF(ISNA(VLOOKUP($E72,'A-1 Site Habitat Baseline'!$D$1:$X$258,14,FALSE)),"",(VLOOKUP($E72,'A-1 Site Habitat Baseline'!$D$1:$X$258,14,FALSE))))</f>
        <v/>
      </c>
      <c r="O72" s="524" t="str">
        <f>IF(E72="","",IF(ISNA(VLOOKUP($E72,'A-1 Site Habitat Baseline'!$D$1:$X$258,16,FALSE)),"",(VLOOKUP($E72,'A-1 Site Habitat Baseline'!$D$1:$X$258,13,FALSE))))</f>
        <v/>
      </c>
      <c r="P72" s="237" t="str">
        <f>IFERROR(INDEX('G-1 All Habitats'!$AG$3:$AG$15,MATCH(Q72,'G-1 All Habitats'!$AF$3:$AF$15,0)),"")</f>
        <v/>
      </c>
      <c r="Q72" s="238" t="str">
        <f t="shared" si="9"/>
        <v/>
      </c>
      <c r="R72" s="238" t="str">
        <f t="shared" si="10"/>
        <v/>
      </c>
      <c r="S72" s="392" t="str">
        <f>IFERROR(INDEX('G-1 All Habitats'!$B$3:$B$129,MATCH(R72,'G-1 All Habitats'!$A$3:$A$129,0)),"")</f>
        <v/>
      </c>
      <c r="T72" s="498" t="str">
        <f t="shared" si="1"/>
        <v/>
      </c>
      <c r="U72" s="499" t="str">
        <f t="shared" si="2"/>
        <v/>
      </c>
      <c r="V72" s="537" t="str">
        <f t="shared" si="3"/>
        <v/>
      </c>
      <c r="W72" s="520" t="str">
        <f>IF(S72="","",VLOOKUP(S72,'G-1 All Habitats'!$B$2:$M$129,10,FALSE))</f>
        <v/>
      </c>
      <c r="X72" s="520" t="str">
        <f>IFERROR(VLOOKUP(W72,'G-1 All Habitats'!$V$3:$W$7,2,FALSE),"")</f>
        <v/>
      </c>
      <c r="Y72" s="79"/>
      <c r="Z72" s="524" t="str">
        <f>IFERROR(INDEX('G-8 Condition Look up'!$A$3:$H$130,MATCH(S72,'G-8 Condition Look up'!$A$3:$A$130,0),MATCH(Y72,'G-8 Condition Look up'!$A$3:$H$3,0)),"")</f>
        <v/>
      </c>
      <c r="AA72" s="71"/>
      <c r="AB72" s="520" t="str">
        <f>IF(AA72="","",IF(VLOOKUP(AA72,'G-3 Multipliers'!$L$3:$N$6,2,FALSE)=0,"Spatial Data Missing ⚠",VLOOKUP(AA72,'G-3 Multipliers'!$L$3:$N$6,2,FALSE)))</f>
        <v/>
      </c>
      <c r="AC72" s="524" t="str">
        <f>IF(AA72="","",IF(VLOOKUP(AA72,'G-3 Multipliers'!$L$3:$N$6,3,FALSE)=0,"Spatial Data Missing ⚠",VLOOKUP(AA72,'G-3 Multipliers'!$L$3:$N$6,3,FALSE)))</f>
        <v/>
      </c>
      <c r="AD72" s="539" t="str">
        <f t="shared" si="0"/>
        <v/>
      </c>
      <c r="AE72" s="82"/>
      <c r="AF72" s="82"/>
      <c r="AG72" s="507" t="str">
        <f t="shared" si="4"/>
        <v/>
      </c>
      <c r="AH72" s="521" t="str">
        <f t="shared" si="5"/>
        <v/>
      </c>
      <c r="AI72" s="522" t="str">
        <f>IF(AH72="Check Data","Check Data",IFERROR(VLOOKUP(AH72,'G-4 Temporal multipliers'!$A$4:$C$36,3,FALSE),""))</f>
        <v/>
      </c>
      <c r="AJ72" s="498" t="str">
        <f>IF(S72="","",VLOOKUP(S72,'G-3 Multipliers'!$A$2:$E$129,4,FALSE))</f>
        <v/>
      </c>
      <c r="AK72" s="507" t="str">
        <f t="shared" si="6"/>
        <v/>
      </c>
      <c r="AL72" s="507" t="str">
        <f t="shared" si="7"/>
        <v/>
      </c>
      <c r="AM72" s="540" t="str">
        <f>IFERROR(IF(F72="","",IF(AH72="Check Data ⚠","Check Data ⚠",VLOOKUP(AL72, 'G-3 Multipliers'!$P$2:$Q$6,2,FALSE))),"")</f>
        <v/>
      </c>
      <c r="AN72" s="513" t="str">
        <f t="shared" si="8"/>
        <v/>
      </c>
      <c r="AO72" s="239"/>
      <c r="AP72" s="240"/>
    </row>
    <row r="73" spans="1:42" x14ac:dyDescent="0.3">
      <c r="A73" s="47" t="str">
        <f>IF(E73="","",IF(ISNA(VLOOKUP($E73,'A-1 Site Habitat Baseline'!$D$1:$O$258,2,FALSE)),"",(VLOOKUP($E73,'A-1 Site Habitat Baseline'!$D$1:$O$258,2,FALSE))))</f>
        <v/>
      </c>
      <c r="B73" s="47" t="str">
        <f>IF(E73="","",IF(ISNA(VLOOKUP($E73,'A-1 Site Habitat Baseline'!$D$1:$O$258,3,FALSE)),"",(VLOOKUP($E73,'A-1 Site Habitat Baseline'!$D$1:$O$258,3,FALSE))))</f>
        <v/>
      </c>
      <c r="C73" s="47" t="str">
        <f>IFERROR(INDEX('G-8 Condition Look up'!$I$4:$I$130,MATCH(S73,'G-8 Condition Look up'!$A$4:$A$130,0)),"")</f>
        <v/>
      </c>
      <c r="E73" s="531" t="str">
        <f>'A-1 Site Habitat Baseline'!AL72</f>
        <v/>
      </c>
      <c r="F73" s="520" t="str">
        <f>IF(E73="","",IF(ISNA(VLOOKUP($E73,'A-1 Site Habitat Baseline'!$D$1:$O$258,4,FALSE)),"",(VLOOKUP($E73,'A-1 Site Habitat Baseline'!$D$1:$O$258,4,FALSE))))</f>
        <v/>
      </c>
      <c r="G73" s="520" t="str">
        <f>IF(E73="","",IF(ISNA(VLOOKUP($E73,'A-1 Site Habitat Baseline'!$D$1:$O$258,5,FALSE)),"",(VLOOKUP($E73,'A-1 Site Habitat Baseline'!$D$1:$O$258,5,FALSE))))</f>
        <v/>
      </c>
      <c r="H73" s="520" t="str">
        <f>IF(E73="","",IF(ISNA(VLOOKUP($E73,'A-1 Site Habitat Baseline'!$D$1:$O$258,6,FALSE)),"",(VLOOKUP($E73,'A-1 Site Habitat Baseline'!$D$1:$O$258,6,FALSE))))</f>
        <v/>
      </c>
      <c r="I73" s="520" t="str">
        <f>IF(E73="","",IF(ISNA(VLOOKUP($E73,'A-1 Site Habitat Baseline'!$D$1:$O$258,7,FALSE)),"",(VLOOKUP($E73,'A-1 Site Habitat Baseline'!$D$1:$O$258,7,FALSE))))</f>
        <v/>
      </c>
      <c r="J73" s="520" t="str">
        <f>IF(E73="","",IF(ISNA(VLOOKUP($E73,'A-1 Site Habitat Baseline'!$D$1:$O$258,8,FALSE)),"",(VLOOKUP($E73,'A-1 Site Habitat Baseline'!$D$1:$O$258,8,FALSE))))</f>
        <v/>
      </c>
      <c r="K73" s="520" t="str">
        <f>IF(E73="","",IF(ISNA(VLOOKUP($E73,'A-1 Site Habitat Baseline'!$D$1:$O$258,9,FALSE)),"",(VLOOKUP($E73,'A-1 Site Habitat Baseline'!$D$1:$O$258,9,FALSE))))</f>
        <v/>
      </c>
      <c r="L73" s="520" t="str">
        <f>IF(E73="","",IF(ISNA(VLOOKUP($E73,'A-1 Site Habitat Baseline'!$D$1:$O$258,11,FALSE)),"",(VLOOKUP($E73,'A-1 Site Habitat Baseline'!$D$1:$O$258,11,FALSE))))</f>
        <v/>
      </c>
      <c r="M73" s="520" t="str">
        <f>IF(E73="","",IF(ISNA(VLOOKUP($E73,'A-1 Site Habitat Baseline'!$D$1:$O$258,12,FALSE)),"",(VLOOKUP($E73,'A-1 Site Habitat Baseline'!$D$1:$O$258,12,FALSE))))</f>
        <v/>
      </c>
      <c r="N73" s="532" t="str">
        <f>IF(E73="","",IF(ISNA(VLOOKUP($E73,'A-1 Site Habitat Baseline'!$D$1:$X$258,14,FALSE)),"",(VLOOKUP($E73,'A-1 Site Habitat Baseline'!$D$1:$X$258,14,FALSE))))</f>
        <v/>
      </c>
      <c r="O73" s="524" t="str">
        <f>IF(E73="","",IF(ISNA(VLOOKUP($E73,'A-1 Site Habitat Baseline'!$D$1:$X$258,16,FALSE)),"",(VLOOKUP($E73,'A-1 Site Habitat Baseline'!$D$1:$X$258,13,FALSE))))</f>
        <v/>
      </c>
      <c r="P73" s="237" t="str">
        <f>IFERROR(INDEX('G-1 All Habitats'!$AG$3:$AG$15,MATCH(Q73,'G-1 All Habitats'!$AF$3:$AF$15,0)),"")</f>
        <v/>
      </c>
      <c r="Q73" s="238" t="str">
        <f t="shared" si="9"/>
        <v/>
      </c>
      <c r="R73" s="238" t="str">
        <f t="shared" si="10"/>
        <v/>
      </c>
      <c r="S73" s="392" t="str">
        <f>IFERROR(INDEX('G-1 All Habitats'!$B$3:$B$129,MATCH(R73,'G-1 All Habitats'!$A$3:$A$129,0)),"")</f>
        <v/>
      </c>
      <c r="T73" s="498" t="str">
        <f t="shared" si="1"/>
        <v/>
      </c>
      <c r="U73" s="499" t="str">
        <f t="shared" si="2"/>
        <v/>
      </c>
      <c r="V73" s="537" t="str">
        <f t="shared" si="3"/>
        <v/>
      </c>
      <c r="W73" s="520" t="str">
        <f>IF(S73="","",VLOOKUP(S73,'G-1 All Habitats'!$B$2:$M$129,10,FALSE))</f>
        <v/>
      </c>
      <c r="X73" s="520" t="str">
        <f>IFERROR(VLOOKUP(W73,'G-1 All Habitats'!$V$3:$W$7,2,FALSE),"")</f>
        <v/>
      </c>
      <c r="Y73" s="79"/>
      <c r="Z73" s="524" t="str">
        <f>IFERROR(INDEX('G-8 Condition Look up'!$A$3:$H$130,MATCH(S73,'G-8 Condition Look up'!$A$3:$A$130,0),MATCH(Y73,'G-8 Condition Look up'!$A$3:$H$3,0)),"")</f>
        <v/>
      </c>
      <c r="AA73" s="71"/>
      <c r="AB73" s="520" t="str">
        <f>IF(AA73="","",IF(VLOOKUP(AA73,'G-3 Multipliers'!$L$3:$N$6,2,FALSE)=0,"Spatial Data Missing ⚠",VLOOKUP(AA73,'G-3 Multipliers'!$L$3:$N$6,2,FALSE)))</f>
        <v/>
      </c>
      <c r="AC73" s="524" t="str">
        <f>IF(AA73="","",IF(VLOOKUP(AA73,'G-3 Multipliers'!$L$3:$N$6,3,FALSE)=0,"Spatial Data Missing ⚠",VLOOKUP(AA73,'G-3 Multipliers'!$L$3:$N$6,3,FALSE)))</f>
        <v/>
      </c>
      <c r="AD73" s="539" t="str">
        <f t="shared" si="0"/>
        <v/>
      </c>
      <c r="AE73" s="82"/>
      <c r="AF73" s="82"/>
      <c r="AG73" s="507" t="str">
        <f t="shared" si="4"/>
        <v/>
      </c>
      <c r="AH73" s="521" t="str">
        <f t="shared" si="5"/>
        <v/>
      </c>
      <c r="AI73" s="522" t="str">
        <f>IF(AH73="Check Data","Check Data",IFERROR(VLOOKUP(AH73,'G-4 Temporal multipliers'!$A$4:$C$36,3,FALSE),""))</f>
        <v/>
      </c>
      <c r="AJ73" s="498" t="str">
        <f>IF(S73="","",VLOOKUP(S73,'G-3 Multipliers'!$A$2:$E$129,4,FALSE))</f>
        <v/>
      </c>
      <c r="AK73" s="507" t="str">
        <f t="shared" si="6"/>
        <v/>
      </c>
      <c r="AL73" s="507" t="str">
        <f t="shared" si="7"/>
        <v/>
      </c>
      <c r="AM73" s="540" t="str">
        <f>IFERROR(IF(F73="","",IF(AH73="Check Data ⚠","Check Data ⚠",VLOOKUP(AL73, 'G-3 Multipliers'!$P$2:$Q$6,2,FALSE))),"")</f>
        <v/>
      </c>
      <c r="AN73" s="513" t="str">
        <f t="shared" si="8"/>
        <v/>
      </c>
      <c r="AO73" s="239"/>
      <c r="AP73" s="240"/>
    </row>
    <row r="74" spans="1:42" x14ac:dyDescent="0.3">
      <c r="A74" s="47" t="str">
        <f>IF(E74="","",IF(ISNA(VLOOKUP($E74,'A-1 Site Habitat Baseline'!$D$1:$O$258,2,FALSE)),"",(VLOOKUP($E74,'A-1 Site Habitat Baseline'!$D$1:$O$258,2,FALSE))))</f>
        <v/>
      </c>
      <c r="B74" s="47" t="str">
        <f>IF(E74="","",IF(ISNA(VLOOKUP($E74,'A-1 Site Habitat Baseline'!$D$1:$O$258,3,FALSE)),"",(VLOOKUP($E74,'A-1 Site Habitat Baseline'!$D$1:$O$258,3,FALSE))))</f>
        <v/>
      </c>
      <c r="C74" s="47" t="str">
        <f>IFERROR(INDEX('G-8 Condition Look up'!$I$4:$I$130,MATCH(S74,'G-8 Condition Look up'!$A$4:$A$130,0)),"")</f>
        <v/>
      </c>
      <c r="E74" s="531" t="str">
        <f>'A-1 Site Habitat Baseline'!AL73</f>
        <v/>
      </c>
      <c r="F74" s="520" t="str">
        <f>IF(E74="","",IF(ISNA(VLOOKUP($E74,'A-1 Site Habitat Baseline'!$D$1:$O$258,4,FALSE)),"",(VLOOKUP($E74,'A-1 Site Habitat Baseline'!$D$1:$O$258,4,FALSE))))</f>
        <v/>
      </c>
      <c r="G74" s="520" t="str">
        <f>IF(E74="","",IF(ISNA(VLOOKUP($E74,'A-1 Site Habitat Baseline'!$D$1:$O$258,5,FALSE)),"",(VLOOKUP($E74,'A-1 Site Habitat Baseline'!$D$1:$O$258,5,FALSE))))</f>
        <v/>
      </c>
      <c r="H74" s="520" t="str">
        <f>IF(E74="","",IF(ISNA(VLOOKUP($E74,'A-1 Site Habitat Baseline'!$D$1:$O$258,6,FALSE)),"",(VLOOKUP($E74,'A-1 Site Habitat Baseline'!$D$1:$O$258,6,FALSE))))</f>
        <v/>
      </c>
      <c r="I74" s="520" t="str">
        <f>IF(E74="","",IF(ISNA(VLOOKUP($E74,'A-1 Site Habitat Baseline'!$D$1:$O$258,7,FALSE)),"",(VLOOKUP($E74,'A-1 Site Habitat Baseline'!$D$1:$O$258,7,FALSE))))</f>
        <v/>
      </c>
      <c r="J74" s="520" t="str">
        <f>IF(E74="","",IF(ISNA(VLOOKUP($E74,'A-1 Site Habitat Baseline'!$D$1:$O$258,8,FALSE)),"",(VLOOKUP($E74,'A-1 Site Habitat Baseline'!$D$1:$O$258,8,FALSE))))</f>
        <v/>
      </c>
      <c r="K74" s="520" t="str">
        <f>IF(E74="","",IF(ISNA(VLOOKUP($E74,'A-1 Site Habitat Baseline'!$D$1:$O$258,9,FALSE)),"",(VLOOKUP($E74,'A-1 Site Habitat Baseline'!$D$1:$O$258,9,FALSE))))</f>
        <v/>
      </c>
      <c r="L74" s="520" t="str">
        <f>IF(E74="","",IF(ISNA(VLOOKUP($E74,'A-1 Site Habitat Baseline'!$D$1:$O$258,11,FALSE)),"",(VLOOKUP($E74,'A-1 Site Habitat Baseline'!$D$1:$O$258,11,FALSE))))</f>
        <v/>
      </c>
      <c r="M74" s="520" t="str">
        <f>IF(E74="","",IF(ISNA(VLOOKUP($E74,'A-1 Site Habitat Baseline'!$D$1:$O$258,12,FALSE)),"",(VLOOKUP($E74,'A-1 Site Habitat Baseline'!$D$1:$O$258,12,FALSE))))</f>
        <v/>
      </c>
      <c r="N74" s="532" t="str">
        <f>IF(E74="","",IF(ISNA(VLOOKUP($E74,'A-1 Site Habitat Baseline'!$D$1:$X$258,14,FALSE)),"",(VLOOKUP($E74,'A-1 Site Habitat Baseline'!$D$1:$X$258,14,FALSE))))</f>
        <v/>
      </c>
      <c r="O74" s="524" t="str">
        <f>IF(E74="","",IF(ISNA(VLOOKUP($E74,'A-1 Site Habitat Baseline'!$D$1:$X$258,16,FALSE)),"",(VLOOKUP($E74,'A-1 Site Habitat Baseline'!$D$1:$X$258,13,FALSE))))</f>
        <v/>
      </c>
      <c r="P74" s="237" t="str">
        <f>IFERROR(INDEX('G-1 All Habitats'!$AG$3:$AG$15,MATCH(Q74,'G-1 All Habitats'!$AF$3:$AF$15,0)),"")</f>
        <v/>
      </c>
      <c r="Q74" s="238" t="str">
        <f t="shared" si="9"/>
        <v/>
      </c>
      <c r="R74" s="238" t="str">
        <f t="shared" si="10"/>
        <v/>
      </c>
      <c r="S74" s="392" t="str">
        <f>IFERROR(INDEX('G-1 All Habitats'!$B$3:$B$129,MATCH(R74,'G-1 All Habitats'!$A$3:$A$129,0)),"")</f>
        <v/>
      </c>
      <c r="T74" s="498" t="str">
        <f t="shared" si="1"/>
        <v/>
      </c>
      <c r="U74" s="499" t="str">
        <f t="shared" si="2"/>
        <v/>
      </c>
      <c r="V74" s="537" t="str">
        <f t="shared" si="3"/>
        <v/>
      </c>
      <c r="W74" s="520" t="str">
        <f>IF(S74="","",VLOOKUP(S74,'G-1 All Habitats'!$B$2:$M$129,10,FALSE))</f>
        <v/>
      </c>
      <c r="X74" s="520" t="str">
        <f>IFERROR(VLOOKUP(W74,'G-1 All Habitats'!$V$3:$W$7,2,FALSE),"")</f>
        <v/>
      </c>
      <c r="Y74" s="79"/>
      <c r="Z74" s="524" t="str">
        <f>IFERROR(INDEX('G-8 Condition Look up'!$A$3:$H$130,MATCH(S74,'G-8 Condition Look up'!$A$3:$A$130,0),MATCH(Y74,'G-8 Condition Look up'!$A$3:$H$3,0)),"")</f>
        <v/>
      </c>
      <c r="AA74" s="71"/>
      <c r="AB74" s="520" t="str">
        <f>IF(AA74="","",IF(VLOOKUP(AA74,'G-3 Multipliers'!$L$3:$N$6,2,FALSE)=0,"Spatial Data Missing ⚠",VLOOKUP(AA74,'G-3 Multipliers'!$L$3:$N$6,2,FALSE)))</f>
        <v/>
      </c>
      <c r="AC74" s="524" t="str">
        <f>IF(AA74="","",IF(VLOOKUP(AA74,'G-3 Multipliers'!$L$3:$N$6,3,FALSE)=0,"Spatial Data Missing ⚠",VLOOKUP(AA74,'G-3 Multipliers'!$L$3:$N$6,3,FALSE)))</f>
        <v/>
      </c>
      <c r="AD74" s="539" t="str">
        <f t="shared" si="0"/>
        <v/>
      </c>
      <c r="AE74" s="82"/>
      <c r="AF74" s="82"/>
      <c r="AG74" s="507" t="str">
        <f t="shared" si="4"/>
        <v/>
      </c>
      <c r="AH74" s="521" t="str">
        <f t="shared" si="5"/>
        <v/>
      </c>
      <c r="AI74" s="522" t="str">
        <f>IF(AH74="Check Data","Check Data",IFERROR(VLOOKUP(AH74,'G-4 Temporal multipliers'!$A$4:$C$36,3,FALSE),""))</f>
        <v/>
      </c>
      <c r="AJ74" s="498" t="str">
        <f>IF(S74="","",VLOOKUP(S74,'G-3 Multipliers'!$A$2:$E$129,4,FALSE))</f>
        <v/>
      </c>
      <c r="AK74" s="507" t="str">
        <f t="shared" si="6"/>
        <v/>
      </c>
      <c r="AL74" s="507" t="str">
        <f t="shared" si="7"/>
        <v/>
      </c>
      <c r="AM74" s="540" t="str">
        <f>IFERROR(IF(F74="","",IF(AH74="Check Data ⚠","Check Data ⚠",VLOOKUP(AL74, 'G-3 Multipliers'!$P$2:$Q$6,2,FALSE))),"")</f>
        <v/>
      </c>
      <c r="AN74" s="513" t="str">
        <f t="shared" si="8"/>
        <v/>
      </c>
      <c r="AO74" s="239"/>
      <c r="AP74" s="240"/>
    </row>
    <row r="75" spans="1:42" x14ac:dyDescent="0.3">
      <c r="A75" s="47" t="str">
        <f>IF(E75="","",IF(ISNA(VLOOKUP($E75,'A-1 Site Habitat Baseline'!$D$1:$O$258,2,FALSE)),"",(VLOOKUP($E75,'A-1 Site Habitat Baseline'!$D$1:$O$258,2,FALSE))))</f>
        <v/>
      </c>
      <c r="B75" s="47" t="str">
        <f>IF(E75="","",IF(ISNA(VLOOKUP($E75,'A-1 Site Habitat Baseline'!$D$1:$O$258,3,FALSE)),"",(VLOOKUP($E75,'A-1 Site Habitat Baseline'!$D$1:$O$258,3,FALSE))))</f>
        <v/>
      </c>
      <c r="C75" s="47" t="str">
        <f>IFERROR(INDEX('G-8 Condition Look up'!$I$4:$I$130,MATCH(S75,'G-8 Condition Look up'!$A$4:$A$130,0)),"")</f>
        <v/>
      </c>
      <c r="E75" s="531" t="str">
        <f>'A-1 Site Habitat Baseline'!AL74</f>
        <v/>
      </c>
      <c r="F75" s="520" t="str">
        <f>IF(E75="","",IF(ISNA(VLOOKUP($E75,'A-1 Site Habitat Baseline'!$D$1:$O$258,4,FALSE)),"",(VLOOKUP($E75,'A-1 Site Habitat Baseline'!$D$1:$O$258,4,FALSE))))</f>
        <v/>
      </c>
      <c r="G75" s="520" t="str">
        <f>IF(E75="","",IF(ISNA(VLOOKUP($E75,'A-1 Site Habitat Baseline'!$D$1:$O$258,5,FALSE)),"",(VLOOKUP($E75,'A-1 Site Habitat Baseline'!$D$1:$O$258,5,FALSE))))</f>
        <v/>
      </c>
      <c r="H75" s="520" t="str">
        <f>IF(E75="","",IF(ISNA(VLOOKUP($E75,'A-1 Site Habitat Baseline'!$D$1:$O$258,6,FALSE)),"",(VLOOKUP($E75,'A-1 Site Habitat Baseline'!$D$1:$O$258,6,FALSE))))</f>
        <v/>
      </c>
      <c r="I75" s="520" t="str">
        <f>IF(E75="","",IF(ISNA(VLOOKUP($E75,'A-1 Site Habitat Baseline'!$D$1:$O$258,7,FALSE)),"",(VLOOKUP($E75,'A-1 Site Habitat Baseline'!$D$1:$O$258,7,FALSE))))</f>
        <v/>
      </c>
      <c r="J75" s="520" t="str">
        <f>IF(E75="","",IF(ISNA(VLOOKUP($E75,'A-1 Site Habitat Baseline'!$D$1:$O$258,8,FALSE)),"",(VLOOKUP($E75,'A-1 Site Habitat Baseline'!$D$1:$O$258,8,FALSE))))</f>
        <v/>
      </c>
      <c r="K75" s="520" t="str">
        <f>IF(E75="","",IF(ISNA(VLOOKUP($E75,'A-1 Site Habitat Baseline'!$D$1:$O$258,9,FALSE)),"",(VLOOKUP($E75,'A-1 Site Habitat Baseline'!$D$1:$O$258,9,FALSE))))</f>
        <v/>
      </c>
      <c r="L75" s="520" t="str">
        <f>IF(E75="","",IF(ISNA(VLOOKUP($E75,'A-1 Site Habitat Baseline'!$D$1:$O$258,11,FALSE)),"",(VLOOKUP($E75,'A-1 Site Habitat Baseline'!$D$1:$O$258,11,FALSE))))</f>
        <v/>
      </c>
      <c r="M75" s="520" t="str">
        <f>IF(E75="","",IF(ISNA(VLOOKUP($E75,'A-1 Site Habitat Baseline'!$D$1:$O$258,12,FALSE)),"",(VLOOKUP($E75,'A-1 Site Habitat Baseline'!$D$1:$O$258,12,FALSE))))</f>
        <v/>
      </c>
      <c r="N75" s="532" t="str">
        <f>IF(E75="","",IF(ISNA(VLOOKUP($E75,'A-1 Site Habitat Baseline'!$D$1:$X$258,14,FALSE)),"",(VLOOKUP($E75,'A-1 Site Habitat Baseline'!$D$1:$X$258,14,FALSE))))</f>
        <v/>
      </c>
      <c r="O75" s="524" t="str">
        <f>IF(E75="","",IF(ISNA(VLOOKUP($E75,'A-1 Site Habitat Baseline'!$D$1:$X$258,16,FALSE)),"",(VLOOKUP($E75,'A-1 Site Habitat Baseline'!$D$1:$X$258,13,FALSE))))</f>
        <v/>
      </c>
      <c r="P75" s="237" t="str">
        <f>IFERROR(INDEX('G-1 All Habitats'!$AG$3:$AG$15,MATCH(Q75,'G-1 All Habitats'!$AF$3:$AF$15,0)),"")</f>
        <v/>
      </c>
      <c r="Q75" s="238" t="str">
        <f t="shared" si="9"/>
        <v/>
      </c>
      <c r="R75" s="238" t="str">
        <f t="shared" si="10"/>
        <v/>
      </c>
      <c r="S75" s="392" t="str">
        <f>IFERROR(INDEX('G-1 All Habitats'!$B$3:$B$129,MATCH(R75,'G-1 All Habitats'!$A$3:$A$129,0)),"")</f>
        <v/>
      </c>
      <c r="T75" s="498" t="str">
        <f t="shared" si="1"/>
        <v/>
      </c>
      <c r="U75" s="499" t="str">
        <f t="shared" si="2"/>
        <v/>
      </c>
      <c r="V75" s="537" t="str">
        <f t="shared" si="3"/>
        <v/>
      </c>
      <c r="W75" s="520" t="str">
        <f>IF(S75="","",VLOOKUP(S75,'G-1 All Habitats'!$B$2:$M$129,10,FALSE))</f>
        <v/>
      </c>
      <c r="X75" s="520" t="str">
        <f>IFERROR(VLOOKUP(W75,'G-1 All Habitats'!$V$3:$W$7,2,FALSE),"")</f>
        <v/>
      </c>
      <c r="Y75" s="79"/>
      <c r="Z75" s="524" t="str">
        <f>IFERROR(INDEX('G-8 Condition Look up'!$A$3:$H$130,MATCH(S75,'G-8 Condition Look up'!$A$3:$A$130,0),MATCH(Y75,'G-8 Condition Look up'!$A$3:$H$3,0)),"")</f>
        <v/>
      </c>
      <c r="AA75" s="71"/>
      <c r="AB75" s="520" t="str">
        <f>IF(AA75="","",IF(VLOOKUP(AA75,'G-3 Multipliers'!$L$3:$N$6,2,FALSE)=0,"Spatial Data Missing ⚠",VLOOKUP(AA75,'G-3 Multipliers'!$L$3:$N$6,2,FALSE)))</f>
        <v/>
      </c>
      <c r="AC75" s="524" t="str">
        <f>IF(AA75="","",IF(VLOOKUP(AA75,'G-3 Multipliers'!$L$3:$N$6,3,FALSE)=0,"Spatial Data Missing ⚠",VLOOKUP(AA75,'G-3 Multipliers'!$L$3:$N$6,3,FALSE)))</f>
        <v/>
      </c>
      <c r="AD75" s="539" t="str">
        <f t="shared" si="0"/>
        <v/>
      </c>
      <c r="AE75" s="82"/>
      <c r="AF75" s="82"/>
      <c r="AG75" s="507" t="str">
        <f t="shared" si="4"/>
        <v/>
      </c>
      <c r="AH75" s="521" t="str">
        <f t="shared" si="5"/>
        <v/>
      </c>
      <c r="AI75" s="522" t="str">
        <f>IF(AH75="Check Data","Check Data",IFERROR(VLOOKUP(AH75,'G-4 Temporal multipliers'!$A$4:$C$36,3,FALSE),""))</f>
        <v/>
      </c>
      <c r="AJ75" s="498" t="str">
        <f>IF(S75="","",VLOOKUP(S75,'G-3 Multipliers'!$A$2:$E$129,4,FALSE))</f>
        <v/>
      </c>
      <c r="AK75" s="507" t="str">
        <f t="shared" si="6"/>
        <v/>
      </c>
      <c r="AL75" s="507" t="str">
        <f t="shared" si="7"/>
        <v/>
      </c>
      <c r="AM75" s="540" t="str">
        <f>IFERROR(IF(F75="","",IF(AH75="Check Data ⚠","Check Data ⚠",VLOOKUP(AL75, 'G-3 Multipliers'!$P$2:$Q$6,2,FALSE))),"")</f>
        <v/>
      </c>
      <c r="AN75" s="513" t="str">
        <f t="shared" si="8"/>
        <v/>
      </c>
      <c r="AO75" s="239"/>
      <c r="AP75" s="240"/>
    </row>
    <row r="76" spans="1:42" x14ac:dyDescent="0.3">
      <c r="A76" s="47" t="str">
        <f>IF(E76="","",IF(ISNA(VLOOKUP($E76,'A-1 Site Habitat Baseline'!$D$1:$O$258,2,FALSE)),"",(VLOOKUP($E76,'A-1 Site Habitat Baseline'!$D$1:$O$258,2,FALSE))))</f>
        <v/>
      </c>
      <c r="B76" s="47" t="str">
        <f>IF(E76="","",IF(ISNA(VLOOKUP($E76,'A-1 Site Habitat Baseline'!$D$1:$O$258,3,FALSE)),"",(VLOOKUP($E76,'A-1 Site Habitat Baseline'!$D$1:$O$258,3,FALSE))))</f>
        <v/>
      </c>
      <c r="C76" s="47" t="str">
        <f>IFERROR(INDEX('G-8 Condition Look up'!$I$4:$I$130,MATCH(S76,'G-8 Condition Look up'!$A$4:$A$130,0)),"")</f>
        <v/>
      </c>
      <c r="E76" s="531" t="str">
        <f>'A-1 Site Habitat Baseline'!AL75</f>
        <v/>
      </c>
      <c r="F76" s="520" t="str">
        <f>IF(E76="","",IF(ISNA(VLOOKUP($E76,'A-1 Site Habitat Baseline'!$D$1:$O$258,4,FALSE)),"",(VLOOKUP($E76,'A-1 Site Habitat Baseline'!$D$1:$O$258,4,FALSE))))</f>
        <v/>
      </c>
      <c r="G76" s="520" t="str">
        <f>IF(E76="","",IF(ISNA(VLOOKUP($E76,'A-1 Site Habitat Baseline'!$D$1:$O$258,5,FALSE)),"",(VLOOKUP($E76,'A-1 Site Habitat Baseline'!$D$1:$O$258,5,FALSE))))</f>
        <v/>
      </c>
      <c r="H76" s="520" t="str">
        <f>IF(E76="","",IF(ISNA(VLOOKUP($E76,'A-1 Site Habitat Baseline'!$D$1:$O$258,6,FALSE)),"",(VLOOKUP($E76,'A-1 Site Habitat Baseline'!$D$1:$O$258,6,FALSE))))</f>
        <v/>
      </c>
      <c r="I76" s="520" t="str">
        <f>IF(E76="","",IF(ISNA(VLOOKUP($E76,'A-1 Site Habitat Baseline'!$D$1:$O$258,7,FALSE)),"",(VLOOKUP($E76,'A-1 Site Habitat Baseline'!$D$1:$O$258,7,FALSE))))</f>
        <v/>
      </c>
      <c r="J76" s="520" t="str">
        <f>IF(E76="","",IF(ISNA(VLOOKUP($E76,'A-1 Site Habitat Baseline'!$D$1:$O$258,8,FALSE)),"",(VLOOKUP($E76,'A-1 Site Habitat Baseline'!$D$1:$O$258,8,FALSE))))</f>
        <v/>
      </c>
      <c r="K76" s="520" t="str">
        <f>IF(E76="","",IF(ISNA(VLOOKUP($E76,'A-1 Site Habitat Baseline'!$D$1:$O$258,9,FALSE)),"",(VLOOKUP($E76,'A-1 Site Habitat Baseline'!$D$1:$O$258,9,FALSE))))</f>
        <v/>
      </c>
      <c r="L76" s="520" t="str">
        <f>IF(E76="","",IF(ISNA(VLOOKUP($E76,'A-1 Site Habitat Baseline'!$D$1:$O$258,11,FALSE)),"",(VLOOKUP($E76,'A-1 Site Habitat Baseline'!$D$1:$O$258,11,FALSE))))</f>
        <v/>
      </c>
      <c r="M76" s="520" t="str">
        <f>IF(E76="","",IF(ISNA(VLOOKUP($E76,'A-1 Site Habitat Baseline'!$D$1:$O$258,12,FALSE)),"",(VLOOKUP($E76,'A-1 Site Habitat Baseline'!$D$1:$O$258,12,FALSE))))</f>
        <v/>
      </c>
      <c r="N76" s="532" t="str">
        <f>IF(E76="","",IF(ISNA(VLOOKUP($E76,'A-1 Site Habitat Baseline'!$D$1:$X$258,14,FALSE)),"",(VLOOKUP($E76,'A-1 Site Habitat Baseline'!$D$1:$X$258,14,FALSE))))</f>
        <v/>
      </c>
      <c r="O76" s="524" t="str">
        <f>IF(E76="","",IF(ISNA(VLOOKUP($E76,'A-1 Site Habitat Baseline'!$D$1:$X$258,16,FALSE)),"",(VLOOKUP($E76,'A-1 Site Habitat Baseline'!$D$1:$X$258,13,FALSE))))</f>
        <v/>
      </c>
      <c r="P76" s="237" t="str">
        <f>IFERROR(INDEX('G-1 All Habitats'!$AG$3:$AG$15,MATCH(Q76,'G-1 All Habitats'!$AF$3:$AF$15,0)),"")</f>
        <v/>
      </c>
      <c r="Q76" s="238" t="str">
        <f t="shared" si="9"/>
        <v/>
      </c>
      <c r="R76" s="238" t="str">
        <f t="shared" si="10"/>
        <v/>
      </c>
      <c r="S76" s="392" t="str">
        <f>IFERROR(INDEX('G-1 All Habitats'!$B$3:$B$129,MATCH(R76,'G-1 All Habitats'!$A$3:$A$129,0)),"")</f>
        <v/>
      </c>
      <c r="T76" s="498" t="str">
        <f t="shared" si="1"/>
        <v/>
      </c>
      <c r="U76" s="499" t="str">
        <f t="shared" si="2"/>
        <v/>
      </c>
      <c r="V76" s="537" t="str">
        <f t="shared" ref="V76:V139" si="11">IF(S76="","",VLOOKUP(E76,BaselineHabSite,17,FALSE))</f>
        <v/>
      </c>
      <c r="W76" s="520" t="str">
        <f>IF(S76="","",VLOOKUP(S76,'G-1 All Habitats'!$B$2:$M$129,10,FALSE))</f>
        <v/>
      </c>
      <c r="X76" s="520" t="str">
        <f>IFERROR(VLOOKUP(W76,'G-1 All Habitats'!$V$3:$W$7,2,FALSE),"")</f>
        <v/>
      </c>
      <c r="Y76" s="79"/>
      <c r="Z76" s="524" t="str">
        <f>IFERROR(INDEX('G-8 Condition Look up'!$A$3:$H$130,MATCH(S76,'G-8 Condition Look up'!$A$3:$A$130,0),MATCH(Y76,'G-8 Condition Look up'!$A$3:$H$3,0)),"")</f>
        <v/>
      </c>
      <c r="AA76" s="71"/>
      <c r="AB76" s="520" t="str">
        <f>IF(AA76="","",IF(VLOOKUP(AA76,'G-3 Multipliers'!$L$3:$N$6,2,FALSE)=0,"Spatial Data Missing ⚠",VLOOKUP(AA76,'G-3 Multipliers'!$L$3:$N$6,2,FALSE)))</f>
        <v/>
      </c>
      <c r="AC76" s="524" t="str">
        <f>IF(AA76="","",IF(VLOOKUP(AA76,'G-3 Multipliers'!$L$3:$N$6,3,FALSE)=0,"Spatial Data Missing ⚠",VLOOKUP(AA76,'G-3 Multipliers'!$L$3:$N$6,3,FALSE)))</f>
        <v/>
      </c>
      <c r="AD76" s="539" t="str">
        <f t="shared" ref="AD76:AD139" si="12">IFERROR(IF(OR(LEFT(U76,5)="Error ▲",LEFT(T76,5)="Error ▲"),"Check Data ⚠",INDEX(EnhanceTemporal,MATCH(S76,EnhanceHabitat,0),MATCH(U76,EnhanceCondition,0))),"")</f>
        <v/>
      </c>
      <c r="AE76" s="82"/>
      <c r="AF76" s="82"/>
      <c r="AG76" s="507" t="str">
        <f t="shared" si="4"/>
        <v/>
      </c>
      <c r="AH76" s="521" t="str">
        <f t="shared" si="5"/>
        <v/>
      </c>
      <c r="AI76" s="522" t="str">
        <f>IF(AH76="Check Data","Check Data",IFERROR(VLOOKUP(AH76,'G-4 Temporal multipliers'!$A$4:$C$36,3,FALSE),""))</f>
        <v/>
      </c>
      <c r="AJ76" s="498" t="str">
        <f>IF(S76="","",VLOOKUP(S76,'G-3 Multipliers'!$A$2:$E$129,4,FALSE))</f>
        <v/>
      </c>
      <c r="AK76" s="507" t="str">
        <f t="shared" si="6"/>
        <v/>
      </c>
      <c r="AL76" s="507" t="str">
        <f t="shared" si="7"/>
        <v/>
      </c>
      <c r="AM76" s="540" t="str">
        <f>IFERROR(IF(F76="","",IF(AH76="Check Data ⚠","Check Data ⚠",VLOOKUP(AL76, 'G-3 Multipliers'!$P$2:$Q$6,2,FALSE))),"")</f>
        <v/>
      </c>
      <c r="AN76" s="513" t="str">
        <f t="shared" ref="AN76:AN139" si="13">IFERROR(((((V76*X76*Z76)-(V76*I76*K76))*(AM76*AI76))+(V76*I76*K76))*(AC76),"")</f>
        <v/>
      </c>
      <c r="AO76" s="239"/>
      <c r="AP76" s="240"/>
    </row>
    <row r="77" spans="1:42" x14ac:dyDescent="0.3">
      <c r="A77" s="47" t="str">
        <f>IF(E77="","",IF(ISNA(VLOOKUP($E77,'A-1 Site Habitat Baseline'!$D$1:$O$258,2,FALSE)),"",(VLOOKUP($E77,'A-1 Site Habitat Baseline'!$D$1:$O$258,2,FALSE))))</f>
        <v/>
      </c>
      <c r="B77" s="47" t="str">
        <f>IF(E77="","",IF(ISNA(VLOOKUP($E77,'A-1 Site Habitat Baseline'!$D$1:$O$258,3,FALSE)),"",(VLOOKUP($E77,'A-1 Site Habitat Baseline'!$D$1:$O$258,3,FALSE))))</f>
        <v/>
      </c>
      <c r="C77" s="47" t="str">
        <f>IFERROR(INDEX('G-8 Condition Look up'!$I$4:$I$130,MATCH(S77,'G-8 Condition Look up'!$A$4:$A$130,0)),"")</f>
        <v/>
      </c>
      <c r="E77" s="531" t="str">
        <f>'A-1 Site Habitat Baseline'!AL76</f>
        <v/>
      </c>
      <c r="F77" s="520" t="str">
        <f>IF(E77="","",IF(ISNA(VLOOKUP($E77,'A-1 Site Habitat Baseline'!$D$1:$O$258,4,FALSE)),"",(VLOOKUP($E77,'A-1 Site Habitat Baseline'!$D$1:$O$258,4,FALSE))))</f>
        <v/>
      </c>
      <c r="G77" s="520" t="str">
        <f>IF(E77="","",IF(ISNA(VLOOKUP($E77,'A-1 Site Habitat Baseline'!$D$1:$O$258,5,FALSE)),"",(VLOOKUP($E77,'A-1 Site Habitat Baseline'!$D$1:$O$258,5,FALSE))))</f>
        <v/>
      </c>
      <c r="H77" s="520" t="str">
        <f>IF(E77="","",IF(ISNA(VLOOKUP($E77,'A-1 Site Habitat Baseline'!$D$1:$O$258,6,FALSE)),"",(VLOOKUP($E77,'A-1 Site Habitat Baseline'!$D$1:$O$258,6,FALSE))))</f>
        <v/>
      </c>
      <c r="I77" s="520" t="str">
        <f>IF(E77="","",IF(ISNA(VLOOKUP($E77,'A-1 Site Habitat Baseline'!$D$1:$O$258,7,FALSE)),"",(VLOOKUP($E77,'A-1 Site Habitat Baseline'!$D$1:$O$258,7,FALSE))))</f>
        <v/>
      </c>
      <c r="J77" s="520" t="str">
        <f>IF(E77="","",IF(ISNA(VLOOKUP($E77,'A-1 Site Habitat Baseline'!$D$1:$O$258,8,FALSE)),"",(VLOOKUP($E77,'A-1 Site Habitat Baseline'!$D$1:$O$258,8,FALSE))))</f>
        <v/>
      </c>
      <c r="K77" s="520" t="str">
        <f>IF(E77="","",IF(ISNA(VLOOKUP($E77,'A-1 Site Habitat Baseline'!$D$1:$O$258,9,FALSE)),"",(VLOOKUP($E77,'A-1 Site Habitat Baseline'!$D$1:$O$258,9,FALSE))))</f>
        <v/>
      </c>
      <c r="L77" s="520" t="str">
        <f>IF(E77="","",IF(ISNA(VLOOKUP($E77,'A-1 Site Habitat Baseline'!$D$1:$O$258,11,FALSE)),"",(VLOOKUP($E77,'A-1 Site Habitat Baseline'!$D$1:$O$258,11,FALSE))))</f>
        <v/>
      </c>
      <c r="M77" s="520" t="str">
        <f>IF(E77="","",IF(ISNA(VLOOKUP($E77,'A-1 Site Habitat Baseline'!$D$1:$O$258,12,FALSE)),"",(VLOOKUP($E77,'A-1 Site Habitat Baseline'!$D$1:$O$258,12,FALSE))))</f>
        <v/>
      </c>
      <c r="N77" s="532" t="str">
        <f>IF(E77="","",IF(ISNA(VLOOKUP($E77,'A-1 Site Habitat Baseline'!$D$1:$X$258,14,FALSE)),"",(VLOOKUP($E77,'A-1 Site Habitat Baseline'!$D$1:$X$258,14,FALSE))))</f>
        <v/>
      </c>
      <c r="O77" s="524" t="str">
        <f>IF(E77="","",IF(ISNA(VLOOKUP($E77,'A-1 Site Habitat Baseline'!$D$1:$X$258,16,FALSE)),"",(VLOOKUP($E77,'A-1 Site Habitat Baseline'!$D$1:$X$258,13,FALSE))))</f>
        <v/>
      </c>
      <c r="P77" s="237" t="str">
        <f>IFERROR(INDEX('G-1 All Habitats'!$AG$3:$AG$15,MATCH(Q77,'G-1 All Habitats'!$AF$3:$AF$15,0)),"")</f>
        <v/>
      </c>
      <c r="Q77" s="238" t="str">
        <f t="shared" ref="Q77:Q140" si="14">A77</f>
        <v/>
      </c>
      <c r="R77" s="238" t="str">
        <f t="shared" ref="R77:R140" si="15">IF(B77="","",B77)</f>
        <v/>
      </c>
      <c r="S77" s="392" t="str">
        <f>IFERROR(INDEX('G-1 All Habitats'!$B$3:$B$129,MATCH(R77,'G-1 All Habitats'!$A$3:$A$129,0)),"")</f>
        <v/>
      </c>
      <c r="T77" s="498" t="str">
        <f t="shared" ref="T77:T140" si="16">IF(E77="","",IF(AND(LEFT(O77,6)="Same d",I77&gt;X77),"Error - Trading rules not satisfied ▲",IF(AND(LEFT(O77,6)="Same b",AND(LEFT(F77,5)&lt;&gt;LEFT(S77,5),I77&gt;X77)),"Error - Trading rules not satisfied ▲",IF(AND(LEFT(O77,6)="Same h",F77&lt;&gt;S77),"Error - Trading rules not satisfied ▲",IF(AND(LEFT(O77,6)="Bespok",F77&lt;&gt;S77),"Error - Trading rules not satisfied ▲",IF(X77&lt;I77,"Error Trading Down ▲",H77&amp;" - "&amp;W77))))))</f>
        <v/>
      </c>
      <c r="U77" s="499" t="str">
        <f t="shared" ref="U77:U140" si="17">IF(F77="","",IF(AND(LEFT(F77,55)&lt;&gt;LEFT(S77,55),T77= "High - High"),"Error - Not like for like ▲",IF(AND(I77=X77,K77&gt;Z77),"Error - Can not reduce condition ▲",IF(AND(I77=X77,K77=Z77),"Error - No enhancement ▲",IF(X77&lt;I77,"Error Trading Down ▲",IF(AND(F77&lt;&gt;S77,I77&lt;X77),"Lower Distinctiveness Habitat"&amp;" - "&amp;Y77,J77&amp;" - "&amp;Y77))))))</f>
        <v/>
      </c>
      <c r="V77" s="537" t="str">
        <f t="shared" si="11"/>
        <v/>
      </c>
      <c r="W77" s="520" t="str">
        <f>IF(S77="","",VLOOKUP(S77,'G-1 All Habitats'!$B$2:$M$129,10,FALSE))</f>
        <v/>
      </c>
      <c r="X77" s="520" t="str">
        <f>IFERROR(VLOOKUP(W77,'G-1 All Habitats'!$V$3:$W$7,2,FALSE),"")</f>
        <v/>
      </c>
      <c r="Y77" s="79"/>
      <c r="Z77" s="524" t="str">
        <f>IFERROR(INDEX('G-8 Condition Look up'!$A$3:$H$130,MATCH(S77,'G-8 Condition Look up'!$A$3:$A$130,0),MATCH(Y77,'G-8 Condition Look up'!$A$3:$H$3,0)),"")</f>
        <v/>
      </c>
      <c r="AA77" s="71"/>
      <c r="AB77" s="520" t="str">
        <f>IF(AA77="","",IF(VLOOKUP(AA77,'G-3 Multipliers'!$L$3:$N$6,2,FALSE)=0,"Spatial Data Missing ⚠",VLOOKUP(AA77,'G-3 Multipliers'!$L$3:$N$6,2,FALSE)))</f>
        <v/>
      </c>
      <c r="AC77" s="524" t="str">
        <f>IF(AA77="","",IF(VLOOKUP(AA77,'G-3 Multipliers'!$L$3:$N$6,3,FALSE)=0,"Spatial Data Missing ⚠",VLOOKUP(AA77,'G-3 Multipliers'!$L$3:$N$6,3,FALSE)))</f>
        <v/>
      </c>
      <c r="AD77" s="539" t="str">
        <f t="shared" si="12"/>
        <v/>
      </c>
      <c r="AE77" s="82"/>
      <c r="AF77" s="82"/>
      <c r="AG77" s="507" t="str">
        <f t="shared" ref="AG77:AG140" si="18">IF(AD77="","",IF(AD77="Check Data ⚠","Check Data ⚠",IF(R77="","",IF(AND(AE77&gt;0,AF77&gt;0),"Error -both advance and delayed habitat creation ▲",IF(AND(OR(AE77="Habitat already in target condition",AD77&lt;=AE77),AF77=0),"Check details - Is there evidence that habitat has reached target condition? ⚠",IF(O76="","",IF(AE77&gt;0,"Check details - Is there evidence habitat creation started/in place? ⚠",IF(AF77&gt;0,"Check details- Delay in starting habitat in required condition? ⚠","Standard time to target condition applied"))))))))</f>
        <v/>
      </c>
      <c r="AH77" s="521" t="str">
        <f t="shared" ref="AH77:AH140" si="19">IF(LEFT(AG77,5)="Error ▲","Check Data ⚠",IF(AG77="Check Data ⚠","Check Data ⚠",IF(AD77="","",IF(AD77="Not Possible","Check Data ⚠",IF(AND(AD77="30+",AE77=0),"30+",IF(AND(AD77="30+",AE77="30+"),0,IF(AND(AD77="30+",AE77&lt;30),30-AE77,IF(AD77="30+",30-AE77,IF(AE77&gt;AD77,0,IF(AF77="30+","30+",IF(AD77+AF77&gt;30,"30+",IF(AD77+AF77&gt;30,"30+",IF(AD77-AE77&gt;30,"30+",IF(AD77+AF77-AE77&gt;0,AD77+AF77-AE77,IF(AD77-AE77&gt;0,AD77-AE77,AD77+AF77-AE77)))))))))))))))</f>
        <v/>
      </c>
      <c r="AI77" s="522" t="str">
        <f>IF(AH77="Check Data","Check Data",IFERROR(VLOOKUP(AH77,'G-4 Temporal multipliers'!$A$4:$C$36,3,FALSE),""))</f>
        <v/>
      </c>
      <c r="AJ77" s="498" t="str">
        <f>IF(S77="","",VLOOKUP(S77,'G-3 Multipliers'!$A$2:$E$129,4,FALSE))</f>
        <v/>
      </c>
      <c r="AK77" s="507" t="str">
        <f t="shared" ref="AK77:AK140" si="20">IF(E77="","",IF(AG77="Check details - Is there evidence that habitat has reached target condition? ⚠","Low Difficulty - only applicable if all habitat created before losses ⚠","Standard difficulty applied"))</f>
        <v/>
      </c>
      <c r="AL77" s="507" t="str">
        <f t="shared" ref="AL77:AL140" si="21">(IF(AND(AK77="Standard difficulty applied",AD77&gt;AE77),AJ77,IF(AND(AK77="Low Difficulty - only applicable if all habitat created before losses ⚠",AE77&gt;=AD77),"Low", AJ77)))</f>
        <v/>
      </c>
      <c r="AM77" s="540" t="str">
        <f>IFERROR(IF(F77="","",IF(AH77="Check Data ⚠","Check Data ⚠",VLOOKUP(AL77, 'G-3 Multipliers'!$P$2:$Q$6,2,FALSE))),"")</f>
        <v/>
      </c>
      <c r="AN77" s="513" t="str">
        <f t="shared" si="13"/>
        <v/>
      </c>
      <c r="AO77" s="239"/>
      <c r="AP77" s="240"/>
    </row>
    <row r="78" spans="1:42" x14ac:dyDescent="0.3">
      <c r="A78" s="47" t="str">
        <f>IF(E78="","",IF(ISNA(VLOOKUP($E78,'A-1 Site Habitat Baseline'!$D$1:$O$258,2,FALSE)),"",(VLOOKUP($E78,'A-1 Site Habitat Baseline'!$D$1:$O$258,2,FALSE))))</f>
        <v/>
      </c>
      <c r="B78" s="47" t="str">
        <f>IF(E78="","",IF(ISNA(VLOOKUP($E78,'A-1 Site Habitat Baseline'!$D$1:$O$258,3,FALSE)),"",(VLOOKUP($E78,'A-1 Site Habitat Baseline'!$D$1:$O$258,3,FALSE))))</f>
        <v/>
      </c>
      <c r="C78" s="47" t="str">
        <f>IFERROR(INDEX('G-8 Condition Look up'!$I$4:$I$130,MATCH(S78,'G-8 Condition Look up'!$A$4:$A$130,0)),"")</f>
        <v/>
      </c>
      <c r="E78" s="531" t="str">
        <f>'A-1 Site Habitat Baseline'!AL77</f>
        <v/>
      </c>
      <c r="F78" s="520" t="str">
        <f>IF(E78="","",IF(ISNA(VLOOKUP($E78,'A-1 Site Habitat Baseline'!$D$1:$O$258,4,FALSE)),"",(VLOOKUP($E78,'A-1 Site Habitat Baseline'!$D$1:$O$258,4,FALSE))))</f>
        <v/>
      </c>
      <c r="G78" s="520" t="str">
        <f>IF(E78="","",IF(ISNA(VLOOKUP($E78,'A-1 Site Habitat Baseline'!$D$1:$O$258,5,FALSE)),"",(VLOOKUP($E78,'A-1 Site Habitat Baseline'!$D$1:$O$258,5,FALSE))))</f>
        <v/>
      </c>
      <c r="H78" s="520" t="str">
        <f>IF(E78="","",IF(ISNA(VLOOKUP($E78,'A-1 Site Habitat Baseline'!$D$1:$O$258,6,FALSE)),"",(VLOOKUP($E78,'A-1 Site Habitat Baseline'!$D$1:$O$258,6,FALSE))))</f>
        <v/>
      </c>
      <c r="I78" s="520" t="str">
        <f>IF(E78="","",IF(ISNA(VLOOKUP($E78,'A-1 Site Habitat Baseline'!$D$1:$O$258,7,FALSE)),"",(VLOOKUP($E78,'A-1 Site Habitat Baseline'!$D$1:$O$258,7,FALSE))))</f>
        <v/>
      </c>
      <c r="J78" s="520" t="str">
        <f>IF(E78="","",IF(ISNA(VLOOKUP($E78,'A-1 Site Habitat Baseline'!$D$1:$O$258,8,FALSE)),"",(VLOOKUP($E78,'A-1 Site Habitat Baseline'!$D$1:$O$258,8,FALSE))))</f>
        <v/>
      </c>
      <c r="K78" s="520" t="str">
        <f>IF(E78="","",IF(ISNA(VLOOKUP($E78,'A-1 Site Habitat Baseline'!$D$1:$O$258,9,FALSE)),"",(VLOOKUP($E78,'A-1 Site Habitat Baseline'!$D$1:$O$258,9,FALSE))))</f>
        <v/>
      </c>
      <c r="L78" s="520" t="str">
        <f>IF(E78="","",IF(ISNA(VLOOKUP($E78,'A-1 Site Habitat Baseline'!$D$1:$O$258,11,FALSE)),"",(VLOOKUP($E78,'A-1 Site Habitat Baseline'!$D$1:$O$258,11,FALSE))))</f>
        <v/>
      </c>
      <c r="M78" s="520" t="str">
        <f>IF(E78="","",IF(ISNA(VLOOKUP($E78,'A-1 Site Habitat Baseline'!$D$1:$O$258,12,FALSE)),"",(VLOOKUP($E78,'A-1 Site Habitat Baseline'!$D$1:$O$258,12,FALSE))))</f>
        <v/>
      </c>
      <c r="N78" s="532" t="str">
        <f>IF(E78="","",IF(ISNA(VLOOKUP($E78,'A-1 Site Habitat Baseline'!$D$1:$X$258,14,FALSE)),"",(VLOOKUP($E78,'A-1 Site Habitat Baseline'!$D$1:$X$258,14,FALSE))))</f>
        <v/>
      </c>
      <c r="O78" s="524" t="str">
        <f>IF(E78="","",IF(ISNA(VLOOKUP($E78,'A-1 Site Habitat Baseline'!$D$1:$X$258,16,FALSE)),"",(VLOOKUP($E78,'A-1 Site Habitat Baseline'!$D$1:$X$258,13,FALSE))))</f>
        <v/>
      </c>
      <c r="P78" s="237" t="str">
        <f>IFERROR(INDEX('G-1 All Habitats'!$AG$3:$AG$15,MATCH(Q78,'G-1 All Habitats'!$AF$3:$AF$15,0)),"")</f>
        <v/>
      </c>
      <c r="Q78" s="238" t="str">
        <f t="shared" si="14"/>
        <v/>
      </c>
      <c r="R78" s="238" t="str">
        <f t="shared" si="15"/>
        <v/>
      </c>
      <c r="S78" s="392" t="str">
        <f>IFERROR(INDEX('G-1 All Habitats'!$B$3:$B$129,MATCH(R78,'G-1 All Habitats'!$A$3:$A$129,0)),"")</f>
        <v/>
      </c>
      <c r="T78" s="498" t="str">
        <f t="shared" si="16"/>
        <v/>
      </c>
      <c r="U78" s="499" t="str">
        <f t="shared" si="17"/>
        <v/>
      </c>
      <c r="V78" s="537" t="str">
        <f t="shared" si="11"/>
        <v/>
      </c>
      <c r="W78" s="520" t="str">
        <f>IF(S78="","",VLOOKUP(S78,'G-1 All Habitats'!$B$2:$M$129,10,FALSE))</f>
        <v/>
      </c>
      <c r="X78" s="520" t="str">
        <f>IFERROR(VLOOKUP(W78,'G-1 All Habitats'!$V$3:$W$7,2,FALSE),"")</f>
        <v/>
      </c>
      <c r="Y78" s="79"/>
      <c r="Z78" s="524" t="str">
        <f>IFERROR(INDEX('G-8 Condition Look up'!$A$3:$H$130,MATCH(S78,'G-8 Condition Look up'!$A$3:$A$130,0),MATCH(Y78,'G-8 Condition Look up'!$A$3:$H$3,0)),"")</f>
        <v/>
      </c>
      <c r="AA78" s="71"/>
      <c r="AB78" s="520" t="str">
        <f>IF(AA78="","",IF(VLOOKUP(AA78,'G-3 Multipliers'!$L$3:$N$6,2,FALSE)=0,"Spatial Data Missing ⚠",VLOOKUP(AA78,'G-3 Multipliers'!$L$3:$N$6,2,FALSE)))</f>
        <v/>
      </c>
      <c r="AC78" s="524" t="str">
        <f>IF(AA78="","",IF(VLOOKUP(AA78,'G-3 Multipliers'!$L$3:$N$6,3,FALSE)=0,"Spatial Data Missing ⚠",VLOOKUP(AA78,'G-3 Multipliers'!$L$3:$N$6,3,FALSE)))</f>
        <v/>
      </c>
      <c r="AD78" s="539" t="str">
        <f t="shared" si="12"/>
        <v/>
      </c>
      <c r="AE78" s="82"/>
      <c r="AF78" s="82"/>
      <c r="AG78" s="507" t="str">
        <f t="shared" si="18"/>
        <v/>
      </c>
      <c r="AH78" s="521" t="str">
        <f t="shared" si="19"/>
        <v/>
      </c>
      <c r="AI78" s="522" t="str">
        <f>IF(AH78="Check Data","Check Data",IFERROR(VLOOKUP(AH78,'G-4 Temporal multipliers'!$A$4:$C$36,3,FALSE),""))</f>
        <v/>
      </c>
      <c r="AJ78" s="498" t="str">
        <f>IF(S78="","",VLOOKUP(S78,'G-3 Multipliers'!$A$2:$E$129,4,FALSE))</f>
        <v/>
      </c>
      <c r="AK78" s="507" t="str">
        <f t="shared" si="20"/>
        <v/>
      </c>
      <c r="AL78" s="507" t="str">
        <f t="shared" si="21"/>
        <v/>
      </c>
      <c r="AM78" s="540" t="str">
        <f>IFERROR(IF(F78="","",IF(AH78="Check Data ⚠","Check Data ⚠",VLOOKUP(AL78, 'G-3 Multipliers'!$P$2:$Q$6,2,FALSE))),"")</f>
        <v/>
      </c>
      <c r="AN78" s="513" t="str">
        <f t="shared" si="13"/>
        <v/>
      </c>
      <c r="AO78" s="239"/>
      <c r="AP78" s="240"/>
    </row>
    <row r="79" spans="1:42" x14ac:dyDescent="0.3">
      <c r="A79" s="47" t="str">
        <f>IF(E79="","",IF(ISNA(VLOOKUP($E79,'A-1 Site Habitat Baseline'!$D$1:$O$258,2,FALSE)),"",(VLOOKUP($E79,'A-1 Site Habitat Baseline'!$D$1:$O$258,2,FALSE))))</f>
        <v/>
      </c>
      <c r="B79" s="47" t="str">
        <f>IF(E79="","",IF(ISNA(VLOOKUP($E79,'A-1 Site Habitat Baseline'!$D$1:$O$258,3,FALSE)),"",(VLOOKUP($E79,'A-1 Site Habitat Baseline'!$D$1:$O$258,3,FALSE))))</f>
        <v/>
      </c>
      <c r="C79" s="47" t="str">
        <f>IFERROR(INDEX('G-8 Condition Look up'!$I$4:$I$130,MATCH(S79,'G-8 Condition Look up'!$A$4:$A$130,0)),"")</f>
        <v/>
      </c>
      <c r="E79" s="531" t="str">
        <f>'A-1 Site Habitat Baseline'!AL78</f>
        <v/>
      </c>
      <c r="F79" s="520" t="str">
        <f>IF(E79="","",IF(ISNA(VLOOKUP($E79,'A-1 Site Habitat Baseline'!$D$1:$O$258,4,FALSE)),"",(VLOOKUP($E79,'A-1 Site Habitat Baseline'!$D$1:$O$258,4,FALSE))))</f>
        <v/>
      </c>
      <c r="G79" s="520" t="str">
        <f>IF(E79="","",IF(ISNA(VLOOKUP($E79,'A-1 Site Habitat Baseline'!$D$1:$O$258,5,FALSE)),"",(VLOOKUP($E79,'A-1 Site Habitat Baseline'!$D$1:$O$258,5,FALSE))))</f>
        <v/>
      </c>
      <c r="H79" s="520" t="str">
        <f>IF(E79="","",IF(ISNA(VLOOKUP($E79,'A-1 Site Habitat Baseline'!$D$1:$O$258,6,FALSE)),"",(VLOOKUP($E79,'A-1 Site Habitat Baseline'!$D$1:$O$258,6,FALSE))))</f>
        <v/>
      </c>
      <c r="I79" s="520" t="str">
        <f>IF(E79="","",IF(ISNA(VLOOKUP($E79,'A-1 Site Habitat Baseline'!$D$1:$O$258,7,FALSE)),"",(VLOOKUP($E79,'A-1 Site Habitat Baseline'!$D$1:$O$258,7,FALSE))))</f>
        <v/>
      </c>
      <c r="J79" s="520" t="str">
        <f>IF(E79="","",IF(ISNA(VLOOKUP($E79,'A-1 Site Habitat Baseline'!$D$1:$O$258,8,FALSE)),"",(VLOOKUP($E79,'A-1 Site Habitat Baseline'!$D$1:$O$258,8,FALSE))))</f>
        <v/>
      </c>
      <c r="K79" s="520" t="str">
        <f>IF(E79="","",IF(ISNA(VLOOKUP($E79,'A-1 Site Habitat Baseline'!$D$1:$O$258,9,FALSE)),"",(VLOOKUP($E79,'A-1 Site Habitat Baseline'!$D$1:$O$258,9,FALSE))))</f>
        <v/>
      </c>
      <c r="L79" s="520" t="str">
        <f>IF(E79="","",IF(ISNA(VLOOKUP($E79,'A-1 Site Habitat Baseline'!$D$1:$O$258,11,FALSE)),"",(VLOOKUP($E79,'A-1 Site Habitat Baseline'!$D$1:$O$258,11,FALSE))))</f>
        <v/>
      </c>
      <c r="M79" s="520" t="str">
        <f>IF(E79="","",IF(ISNA(VLOOKUP($E79,'A-1 Site Habitat Baseline'!$D$1:$O$258,12,FALSE)),"",(VLOOKUP($E79,'A-1 Site Habitat Baseline'!$D$1:$O$258,12,FALSE))))</f>
        <v/>
      </c>
      <c r="N79" s="532" t="str">
        <f>IF(E79="","",IF(ISNA(VLOOKUP($E79,'A-1 Site Habitat Baseline'!$D$1:$X$258,14,FALSE)),"",(VLOOKUP($E79,'A-1 Site Habitat Baseline'!$D$1:$X$258,14,FALSE))))</f>
        <v/>
      </c>
      <c r="O79" s="524" t="str">
        <f>IF(E79="","",IF(ISNA(VLOOKUP($E79,'A-1 Site Habitat Baseline'!$D$1:$X$258,16,FALSE)),"",(VLOOKUP($E79,'A-1 Site Habitat Baseline'!$D$1:$X$258,13,FALSE))))</f>
        <v/>
      </c>
      <c r="P79" s="237" t="str">
        <f>IFERROR(INDEX('G-1 All Habitats'!$AG$3:$AG$15,MATCH(Q79,'G-1 All Habitats'!$AF$3:$AF$15,0)),"")</f>
        <v/>
      </c>
      <c r="Q79" s="238" t="str">
        <f t="shared" si="14"/>
        <v/>
      </c>
      <c r="R79" s="238" t="str">
        <f t="shared" si="15"/>
        <v/>
      </c>
      <c r="S79" s="392" t="str">
        <f>IFERROR(INDEX('G-1 All Habitats'!$B$3:$B$129,MATCH(R79,'G-1 All Habitats'!$A$3:$A$129,0)),"")</f>
        <v/>
      </c>
      <c r="T79" s="498" t="str">
        <f t="shared" si="16"/>
        <v/>
      </c>
      <c r="U79" s="499" t="str">
        <f t="shared" si="17"/>
        <v/>
      </c>
      <c r="V79" s="537" t="str">
        <f t="shared" si="11"/>
        <v/>
      </c>
      <c r="W79" s="520" t="str">
        <f>IF(S79="","",VLOOKUP(S79,'G-1 All Habitats'!$B$2:$M$129,10,FALSE))</f>
        <v/>
      </c>
      <c r="X79" s="520" t="str">
        <f>IFERROR(VLOOKUP(W79,'G-1 All Habitats'!$V$3:$W$7,2,FALSE),"")</f>
        <v/>
      </c>
      <c r="Y79" s="79"/>
      <c r="Z79" s="524" t="str">
        <f>IFERROR(INDEX('G-8 Condition Look up'!$A$3:$H$130,MATCH(S79,'G-8 Condition Look up'!$A$3:$A$130,0),MATCH(Y79,'G-8 Condition Look up'!$A$3:$H$3,0)),"")</f>
        <v/>
      </c>
      <c r="AA79" s="71"/>
      <c r="AB79" s="520" t="str">
        <f>IF(AA79="","",IF(VLOOKUP(AA79,'G-3 Multipliers'!$L$3:$N$6,2,FALSE)=0,"Spatial Data Missing ⚠",VLOOKUP(AA79,'G-3 Multipliers'!$L$3:$N$6,2,FALSE)))</f>
        <v/>
      </c>
      <c r="AC79" s="524" t="str">
        <f>IF(AA79="","",IF(VLOOKUP(AA79,'G-3 Multipliers'!$L$3:$N$6,3,FALSE)=0,"Spatial Data Missing ⚠",VLOOKUP(AA79,'G-3 Multipliers'!$L$3:$N$6,3,FALSE)))</f>
        <v/>
      </c>
      <c r="AD79" s="539" t="str">
        <f t="shared" si="12"/>
        <v/>
      </c>
      <c r="AE79" s="82"/>
      <c r="AF79" s="82"/>
      <c r="AG79" s="507" t="str">
        <f t="shared" si="18"/>
        <v/>
      </c>
      <c r="AH79" s="521" t="str">
        <f t="shared" si="19"/>
        <v/>
      </c>
      <c r="AI79" s="522" t="str">
        <f>IF(AH79="Check Data","Check Data",IFERROR(VLOOKUP(AH79,'G-4 Temporal multipliers'!$A$4:$C$36,3,FALSE),""))</f>
        <v/>
      </c>
      <c r="AJ79" s="498" t="str">
        <f>IF(S79="","",VLOOKUP(S79,'G-3 Multipliers'!$A$2:$E$129,4,FALSE))</f>
        <v/>
      </c>
      <c r="AK79" s="507" t="str">
        <f t="shared" si="20"/>
        <v/>
      </c>
      <c r="AL79" s="507" t="str">
        <f t="shared" si="21"/>
        <v/>
      </c>
      <c r="AM79" s="540" t="str">
        <f>IFERROR(IF(F79="","",IF(AH79="Check Data ⚠","Check Data ⚠",VLOOKUP(AL79, 'G-3 Multipliers'!$P$2:$Q$6,2,FALSE))),"")</f>
        <v/>
      </c>
      <c r="AN79" s="513" t="str">
        <f t="shared" si="13"/>
        <v/>
      </c>
      <c r="AO79" s="239"/>
      <c r="AP79" s="240"/>
    </row>
    <row r="80" spans="1:42" x14ac:dyDescent="0.3">
      <c r="A80" s="47" t="str">
        <f>IF(E80="","",IF(ISNA(VLOOKUP($E80,'A-1 Site Habitat Baseline'!$D$1:$O$258,2,FALSE)),"",(VLOOKUP($E80,'A-1 Site Habitat Baseline'!$D$1:$O$258,2,FALSE))))</f>
        <v/>
      </c>
      <c r="B80" s="47" t="str">
        <f>IF(E80="","",IF(ISNA(VLOOKUP($E80,'A-1 Site Habitat Baseline'!$D$1:$O$258,3,FALSE)),"",(VLOOKUP($E80,'A-1 Site Habitat Baseline'!$D$1:$O$258,3,FALSE))))</f>
        <v/>
      </c>
      <c r="C80" s="47" t="str">
        <f>IFERROR(INDEX('G-8 Condition Look up'!$I$4:$I$130,MATCH(S80,'G-8 Condition Look up'!$A$4:$A$130,0)),"")</f>
        <v/>
      </c>
      <c r="E80" s="531" t="str">
        <f>'A-1 Site Habitat Baseline'!AL79</f>
        <v/>
      </c>
      <c r="F80" s="520" t="str">
        <f>IF(E80="","",IF(ISNA(VLOOKUP($E80,'A-1 Site Habitat Baseline'!$D$1:$O$258,4,FALSE)),"",(VLOOKUP($E80,'A-1 Site Habitat Baseline'!$D$1:$O$258,4,FALSE))))</f>
        <v/>
      </c>
      <c r="G80" s="520" t="str">
        <f>IF(E80="","",IF(ISNA(VLOOKUP($E80,'A-1 Site Habitat Baseline'!$D$1:$O$258,5,FALSE)),"",(VLOOKUP($E80,'A-1 Site Habitat Baseline'!$D$1:$O$258,5,FALSE))))</f>
        <v/>
      </c>
      <c r="H80" s="520" t="str">
        <f>IF(E80="","",IF(ISNA(VLOOKUP($E80,'A-1 Site Habitat Baseline'!$D$1:$O$258,6,FALSE)),"",(VLOOKUP($E80,'A-1 Site Habitat Baseline'!$D$1:$O$258,6,FALSE))))</f>
        <v/>
      </c>
      <c r="I80" s="520" t="str">
        <f>IF(E80="","",IF(ISNA(VLOOKUP($E80,'A-1 Site Habitat Baseline'!$D$1:$O$258,7,FALSE)),"",(VLOOKUP($E80,'A-1 Site Habitat Baseline'!$D$1:$O$258,7,FALSE))))</f>
        <v/>
      </c>
      <c r="J80" s="520" t="str">
        <f>IF(E80="","",IF(ISNA(VLOOKUP($E80,'A-1 Site Habitat Baseline'!$D$1:$O$258,8,FALSE)),"",(VLOOKUP($E80,'A-1 Site Habitat Baseline'!$D$1:$O$258,8,FALSE))))</f>
        <v/>
      </c>
      <c r="K80" s="520" t="str">
        <f>IF(E80="","",IF(ISNA(VLOOKUP($E80,'A-1 Site Habitat Baseline'!$D$1:$O$258,9,FALSE)),"",(VLOOKUP($E80,'A-1 Site Habitat Baseline'!$D$1:$O$258,9,FALSE))))</f>
        <v/>
      </c>
      <c r="L80" s="520" t="str">
        <f>IF(E80="","",IF(ISNA(VLOOKUP($E80,'A-1 Site Habitat Baseline'!$D$1:$O$258,11,FALSE)),"",(VLOOKUP($E80,'A-1 Site Habitat Baseline'!$D$1:$O$258,11,FALSE))))</f>
        <v/>
      </c>
      <c r="M80" s="520" t="str">
        <f>IF(E80="","",IF(ISNA(VLOOKUP($E80,'A-1 Site Habitat Baseline'!$D$1:$O$258,12,FALSE)),"",(VLOOKUP($E80,'A-1 Site Habitat Baseline'!$D$1:$O$258,12,FALSE))))</f>
        <v/>
      </c>
      <c r="N80" s="532" t="str">
        <f>IF(E80="","",IF(ISNA(VLOOKUP($E80,'A-1 Site Habitat Baseline'!$D$1:$X$258,14,FALSE)),"",(VLOOKUP($E80,'A-1 Site Habitat Baseline'!$D$1:$X$258,14,FALSE))))</f>
        <v/>
      </c>
      <c r="O80" s="524" t="str">
        <f>IF(E80="","",IF(ISNA(VLOOKUP($E80,'A-1 Site Habitat Baseline'!$D$1:$X$258,16,FALSE)),"",(VLOOKUP($E80,'A-1 Site Habitat Baseline'!$D$1:$X$258,13,FALSE))))</f>
        <v/>
      </c>
      <c r="P80" s="237" t="str">
        <f>IFERROR(INDEX('G-1 All Habitats'!$AG$3:$AG$15,MATCH(Q80,'G-1 All Habitats'!$AF$3:$AF$15,0)),"")</f>
        <v/>
      </c>
      <c r="Q80" s="238" t="str">
        <f t="shared" si="14"/>
        <v/>
      </c>
      <c r="R80" s="238" t="str">
        <f t="shared" si="15"/>
        <v/>
      </c>
      <c r="S80" s="392" t="str">
        <f>IFERROR(INDEX('G-1 All Habitats'!$B$3:$B$129,MATCH(R80,'G-1 All Habitats'!$A$3:$A$129,0)),"")</f>
        <v/>
      </c>
      <c r="T80" s="498" t="str">
        <f t="shared" si="16"/>
        <v/>
      </c>
      <c r="U80" s="499" t="str">
        <f t="shared" si="17"/>
        <v/>
      </c>
      <c r="V80" s="537" t="str">
        <f t="shared" si="11"/>
        <v/>
      </c>
      <c r="W80" s="520" t="str">
        <f>IF(S80="","",VLOOKUP(S80,'G-1 All Habitats'!$B$2:$M$129,10,FALSE))</f>
        <v/>
      </c>
      <c r="X80" s="520" t="str">
        <f>IFERROR(VLOOKUP(W80,'G-1 All Habitats'!$V$3:$W$7,2,FALSE),"")</f>
        <v/>
      </c>
      <c r="Y80" s="79"/>
      <c r="Z80" s="524" t="str">
        <f>IFERROR(INDEX('G-8 Condition Look up'!$A$3:$H$130,MATCH(S80,'G-8 Condition Look up'!$A$3:$A$130,0),MATCH(Y80,'G-8 Condition Look up'!$A$3:$H$3,0)),"")</f>
        <v/>
      </c>
      <c r="AA80" s="71"/>
      <c r="AB80" s="520" t="str">
        <f>IF(AA80="","",IF(VLOOKUP(AA80,'G-3 Multipliers'!$L$3:$N$6,2,FALSE)=0,"Spatial Data Missing ⚠",VLOOKUP(AA80,'G-3 Multipliers'!$L$3:$N$6,2,FALSE)))</f>
        <v/>
      </c>
      <c r="AC80" s="524" t="str">
        <f>IF(AA80="","",IF(VLOOKUP(AA80,'G-3 Multipliers'!$L$3:$N$6,3,FALSE)=0,"Spatial Data Missing ⚠",VLOOKUP(AA80,'G-3 Multipliers'!$L$3:$N$6,3,FALSE)))</f>
        <v/>
      </c>
      <c r="AD80" s="539" t="str">
        <f t="shared" si="12"/>
        <v/>
      </c>
      <c r="AE80" s="82"/>
      <c r="AF80" s="82"/>
      <c r="AG80" s="507" t="str">
        <f t="shared" si="18"/>
        <v/>
      </c>
      <c r="AH80" s="521" t="str">
        <f t="shared" si="19"/>
        <v/>
      </c>
      <c r="AI80" s="522" t="str">
        <f>IF(AH80="Check Data","Check Data",IFERROR(VLOOKUP(AH80,'G-4 Temporal multipliers'!$A$4:$C$36,3,FALSE),""))</f>
        <v/>
      </c>
      <c r="AJ80" s="498" t="str">
        <f>IF(S80="","",VLOOKUP(S80,'G-3 Multipliers'!$A$2:$E$129,4,FALSE))</f>
        <v/>
      </c>
      <c r="AK80" s="507" t="str">
        <f t="shared" si="20"/>
        <v/>
      </c>
      <c r="AL80" s="507" t="str">
        <f t="shared" si="21"/>
        <v/>
      </c>
      <c r="AM80" s="540" t="str">
        <f>IFERROR(IF(F80="","",IF(AH80="Check Data ⚠","Check Data ⚠",VLOOKUP(AL80, 'G-3 Multipliers'!$P$2:$Q$6,2,FALSE))),"")</f>
        <v/>
      </c>
      <c r="AN80" s="513" t="str">
        <f t="shared" si="13"/>
        <v/>
      </c>
      <c r="AO80" s="239"/>
      <c r="AP80" s="240"/>
    </row>
    <row r="81" spans="1:42" x14ac:dyDescent="0.3">
      <c r="A81" s="47" t="str">
        <f>IF(E81="","",IF(ISNA(VLOOKUP($E81,'A-1 Site Habitat Baseline'!$D$1:$O$258,2,FALSE)),"",(VLOOKUP($E81,'A-1 Site Habitat Baseline'!$D$1:$O$258,2,FALSE))))</f>
        <v/>
      </c>
      <c r="B81" s="47" t="str">
        <f>IF(E81="","",IF(ISNA(VLOOKUP($E81,'A-1 Site Habitat Baseline'!$D$1:$O$258,3,FALSE)),"",(VLOOKUP($E81,'A-1 Site Habitat Baseline'!$D$1:$O$258,3,FALSE))))</f>
        <v/>
      </c>
      <c r="C81" s="47" t="str">
        <f>IFERROR(INDEX('G-8 Condition Look up'!$I$4:$I$130,MATCH(S81,'G-8 Condition Look up'!$A$4:$A$130,0)),"")</f>
        <v/>
      </c>
      <c r="E81" s="531" t="str">
        <f>'A-1 Site Habitat Baseline'!AL80</f>
        <v/>
      </c>
      <c r="F81" s="520" t="str">
        <f>IF(E81="","",IF(ISNA(VLOOKUP($E81,'A-1 Site Habitat Baseline'!$D$1:$O$258,4,FALSE)),"",(VLOOKUP($E81,'A-1 Site Habitat Baseline'!$D$1:$O$258,4,FALSE))))</f>
        <v/>
      </c>
      <c r="G81" s="520" t="str">
        <f>IF(E81="","",IF(ISNA(VLOOKUP($E81,'A-1 Site Habitat Baseline'!$D$1:$O$258,5,FALSE)),"",(VLOOKUP($E81,'A-1 Site Habitat Baseline'!$D$1:$O$258,5,FALSE))))</f>
        <v/>
      </c>
      <c r="H81" s="520" t="str">
        <f>IF(E81="","",IF(ISNA(VLOOKUP($E81,'A-1 Site Habitat Baseline'!$D$1:$O$258,6,FALSE)),"",(VLOOKUP($E81,'A-1 Site Habitat Baseline'!$D$1:$O$258,6,FALSE))))</f>
        <v/>
      </c>
      <c r="I81" s="520" t="str">
        <f>IF(E81="","",IF(ISNA(VLOOKUP($E81,'A-1 Site Habitat Baseline'!$D$1:$O$258,7,FALSE)),"",(VLOOKUP($E81,'A-1 Site Habitat Baseline'!$D$1:$O$258,7,FALSE))))</f>
        <v/>
      </c>
      <c r="J81" s="520" t="str">
        <f>IF(E81="","",IF(ISNA(VLOOKUP($E81,'A-1 Site Habitat Baseline'!$D$1:$O$258,8,FALSE)),"",(VLOOKUP($E81,'A-1 Site Habitat Baseline'!$D$1:$O$258,8,FALSE))))</f>
        <v/>
      </c>
      <c r="K81" s="520" t="str">
        <f>IF(E81="","",IF(ISNA(VLOOKUP($E81,'A-1 Site Habitat Baseline'!$D$1:$O$258,9,FALSE)),"",(VLOOKUP($E81,'A-1 Site Habitat Baseline'!$D$1:$O$258,9,FALSE))))</f>
        <v/>
      </c>
      <c r="L81" s="520" t="str">
        <f>IF(E81="","",IF(ISNA(VLOOKUP($E81,'A-1 Site Habitat Baseline'!$D$1:$O$258,11,FALSE)),"",(VLOOKUP($E81,'A-1 Site Habitat Baseline'!$D$1:$O$258,11,FALSE))))</f>
        <v/>
      </c>
      <c r="M81" s="520" t="str">
        <f>IF(E81="","",IF(ISNA(VLOOKUP($E81,'A-1 Site Habitat Baseline'!$D$1:$O$258,12,FALSE)),"",(VLOOKUP($E81,'A-1 Site Habitat Baseline'!$D$1:$O$258,12,FALSE))))</f>
        <v/>
      </c>
      <c r="N81" s="532" t="str">
        <f>IF(E81="","",IF(ISNA(VLOOKUP($E81,'A-1 Site Habitat Baseline'!$D$1:$X$258,14,FALSE)),"",(VLOOKUP($E81,'A-1 Site Habitat Baseline'!$D$1:$X$258,14,FALSE))))</f>
        <v/>
      </c>
      <c r="O81" s="524" t="str">
        <f>IF(E81="","",IF(ISNA(VLOOKUP($E81,'A-1 Site Habitat Baseline'!$D$1:$X$258,16,FALSE)),"",(VLOOKUP($E81,'A-1 Site Habitat Baseline'!$D$1:$X$258,13,FALSE))))</f>
        <v/>
      </c>
      <c r="P81" s="237" t="str">
        <f>IFERROR(INDEX('G-1 All Habitats'!$AG$3:$AG$15,MATCH(Q81,'G-1 All Habitats'!$AF$3:$AF$15,0)),"")</f>
        <v/>
      </c>
      <c r="Q81" s="238" t="str">
        <f t="shared" si="14"/>
        <v/>
      </c>
      <c r="R81" s="238" t="str">
        <f t="shared" si="15"/>
        <v/>
      </c>
      <c r="S81" s="392" t="str">
        <f>IFERROR(INDEX('G-1 All Habitats'!$B$3:$B$129,MATCH(R81,'G-1 All Habitats'!$A$3:$A$129,0)),"")</f>
        <v/>
      </c>
      <c r="T81" s="498" t="str">
        <f t="shared" si="16"/>
        <v/>
      </c>
      <c r="U81" s="499" t="str">
        <f t="shared" si="17"/>
        <v/>
      </c>
      <c r="V81" s="537" t="str">
        <f t="shared" si="11"/>
        <v/>
      </c>
      <c r="W81" s="520" t="str">
        <f>IF(S81="","",VLOOKUP(S81,'G-1 All Habitats'!$B$2:$M$129,10,FALSE))</f>
        <v/>
      </c>
      <c r="X81" s="520" t="str">
        <f>IFERROR(VLOOKUP(W81,'G-1 All Habitats'!$V$3:$W$7,2,FALSE),"")</f>
        <v/>
      </c>
      <c r="Y81" s="79"/>
      <c r="Z81" s="524" t="str">
        <f>IFERROR(INDEX('G-8 Condition Look up'!$A$3:$H$130,MATCH(S81,'G-8 Condition Look up'!$A$3:$A$130,0),MATCH(Y81,'G-8 Condition Look up'!$A$3:$H$3,0)),"")</f>
        <v/>
      </c>
      <c r="AA81" s="71"/>
      <c r="AB81" s="520" t="str">
        <f>IF(AA81="","",IF(VLOOKUP(AA81,'G-3 Multipliers'!$L$3:$N$6,2,FALSE)=0,"Spatial Data Missing ⚠",VLOOKUP(AA81,'G-3 Multipliers'!$L$3:$N$6,2,FALSE)))</f>
        <v/>
      </c>
      <c r="AC81" s="524" t="str">
        <f>IF(AA81="","",IF(VLOOKUP(AA81,'G-3 Multipliers'!$L$3:$N$6,3,FALSE)=0,"Spatial Data Missing ⚠",VLOOKUP(AA81,'G-3 Multipliers'!$L$3:$N$6,3,FALSE)))</f>
        <v/>
      </c>
      <c r="AD81" s="539" t="str">
        <f t="shared" si="12"/>
        <v/>
      </c>
      <c r="AE81" s="82"/>
      <c r="AF81" s="82"/>
      <c r="AG81" s="507" t="str">
        <f t="shared" si="18"/>
        <v/>
      </c>
      <c r="AH81" s="521" t="str">
        <f t="shared" si="19"/>
        <v/>
      </c>
      <c r="AI81" s="522" t="str">
        <f>IF(AH81="Check Data","Check Data",IFERROR(VLOOKUP(AH81,'G-4 Temporal multipliers'!$A$4:$C$36,3,FALSE),""))</f>
        <v/>
      </c>
      <c r="AJ81" s="498" t="str">
        <f>IF(S81="","",VLOOKUP(S81,'G-3 Multipliers'!$A$2:$E$129,4,FALSE))</f>
        <v/>
      </c>
      <c r="AK81" s="507" t="str">
        <f t="shared" si="20"/>
        <v/>
      </c>
      <c r="AL81" s="507" t="str">
        <f t="shared" si="21"/>
        <v/>
      </c>
      <c r="AM81" s="540" t="str">
        <f>IFERROR(IF(F81="","",IF(AH81="Check Data ⚠","Check Data ⚠",VLOOKUP(AL81, 'G-3 Multipliers'!$P$2:$Q$6,2,FALSE))),"")</f>
        <v/>
      </c>
      <c r="AN81" s="513" t="str">
        <f t="shared" si="13"/>
        <v/>
      </c>
      <c r="AO81" s="239"/>
      <c r="AP81" s="240"/>
    </row>
    <row r="82" spans="1:42" x14ac:dyDescent="0.3">
      <c r="A82" s="47" t="str">
        <f>IF(E82="","",IF(ISNA(VLOOKUP($E82,'A-1 Site Habitat Baseline'!$D$1:$O$258,2,FALSE)),"",(VLOOKUP($E82,'A-1 Site Habitat Baseline'!$D$1:$O$258,2,FALSE))))</f>
        <v/>
      </c>
      <c r="B82" s="47" t="str">
        <f>IF(E82="","",IF(ISNA(VLOOKUP($E82,'A-1 Site Habitat Baseline'!$D$1:$O$258,3,FALSE)),"",(VLOOKUP($E82,'A-1 Site Habitat Baseline'!$D$1:$O$258,3,FALSE))))</f>
        <v/>
      </c>
      <c r="C82" s="47" t="str">
        <f>IFERROR(INDEX('G-8 Condition Look up'!$I$4:$I$130,MATCH(S82,'G-8 Condition Look up'!$A$4:$A$130,0)),"")</f>
        <v/>
      </c>
      <c r="E82" s="531" t="str">
        <f>'A-1 Site Habitat Baseline'!AL81</f>
        <v/>
      </c>
      <c r="F82" s="520" t="str">
        <f>IF(E82="","",IF(ISNA(VLOOKUP($E82,'A-1 Site Habitat Baseline'!$D$1:$O$258,4,FALSE)),"",(VLOOKUP($E82,'A-1 Site Habitat Baseline'!$D$1:$O$258,4,FALSE))))</f>
        <v/>
      </c>
      <c r="G82" s="520" t="str">
        <f>IF(E82="","",IF(ISNA(VLOOKUP($E82,'A-1 Site Habitat Baseline'!$D$1:$O$258,5,FALSE)),"",(VLOOKUP($E82,'A-1 Site Habitat Baseline'!$D$1:$O$258,5,FALSE))))</f>
        <v/>
      </c>
      <c r="H82" s="520" t="str">
        <f>IF(E82="","",IF(ISNA(VLOOKUP($E82,'A-1 Site Habitat Baseline'!$D$1:$O$258,6,FALSE)),"",(VLOOKUP($E82,'A-1 Site Habitat Baseline'!$D$1:$O$258,6,FALSE))))</f>
        <v/>
      </c>
      <c r="I82" s="520" t="str">
        <f>IF(E82="","",IF(ISNA(VLOOKUP($E82,'A-1 Site Habitat Baseline'!$D$1:$O$258,7,FALSE)),"",(VLOOKUP($E82,'A-1 Site Habitat Baseline'!$D$1:$O$258,7,FALSE))))</f>
        <v/>
      </c>
      <c r="J82" s="520" t="str">
        <f>IF(E82="","",IF(ISNA(VLOOKUP($E82,'A-1 Site Habitat Baseline'!$D$1:$O$258,8,FALSE)),"",(VLOOKUP($E82,'A-1 Site Habitat Baseline'!$D$1:$O$258,8,FALSE))))</f>
        <v/>
      </c>
      <c r="K82" s="520" t="str">
        <f>IF(E82="","",IF(ISNA(VLOOKUP($E82,'A-1 Site Habitat Baseline'!$D$1:$O$258,9,FALSE)),"",(VLOOKUP($E82,'A-1 Site Habitat Baseline'!$D$1:$O$258,9,FALSE))))</f>
        <v/>
      </c>
      <c r="L82" s="520" t="str">
        <f>IF(E82="","",IF(ISNA(VLOOKUP($E82,'A-1 Site Habitat Baseline'!$D$1:$O$258,11,FALSE)),"",(VLOOKUP($E82,'A-1 Site Habitat Baseline'!$D$1:$O$258,11,FALSE))))</f>
        <v/>
      </c>
      <c r="M82" s="520" t="str">
        <f>IF(E82="","",IF(ISNA(VLOOKUP($E82,'A-1 Site Habitat Baseline'!$D$1:$O$258,12,FALSE)),"",(VLOOKUP($E82,'A-1 Site Habitat Baseline'!$D$1:$O$258,12,FALSE))))</f>
        <v/>
      </c>
      <c r="N82" s="532" t="str">
        <f>IF(E82="","",IF(ISNA(VLOOKUP($E82,'A-1 Site Habitat Baseline'!$D$1:$X$258,14,FALSE)),"",(VLOOKUP($E82,'A-1 Site Habitat Baseline'!$D$1:$X$258,14,FALSE))))</f>
        <v/>
      </c>
      <c r="O82" s="524" t="str">
        <f>IF(E82="","",IF(ISNA(VLOOKUP($E82,'A-1 Site Habitat Baseline'!$D$1:$X$258,16,FALSE)),"",(VLOOKUP($E82,'A-1 Site Habitat Baseline'!$D$1:$X$258,13,FALSE))))</f>
        <v/>
      </c>
      <c r="P82" s="237" t="str">
        <f>IFERROR(INDEX('G-1 All Habitats'!$AG$3:$AG$15,MATCH(Q82,'G-1 All Habitats'!$AF$3:$AF$15,0)),"")</f>
        <v/>
      </c>
      <c r="Q82" s="238" t="str">
        <f t="shared" si="14"/>
        <v/>
      </c>
      <c r="R82" s="238" t="str">
        <f t="shared" si="15"/>
        <v/>
      </c>
      <c r="S82" s="392" t="str">
        <f>IFERROR(INDEX('G-1 All Habitats'!$B$3:$B$129,MATCH(R82,'G-1 All Habitats'!$A$3:$A$129,0)),"")</f>
        <v/>
      </c>
      <c r="T82" s="498" t="str">
        <f t="shared" si="16"/>
        <v/>
      </c>
      <c r="U82" s="499" t="str">
        <f t="shared" si="17"/>
        <v/>
      </c>
      <c r="V82" s="537" t="str">
        <f t="shared" si="11"/>
        <v/>
      </c>
      <c r="W82" s="520" t="str">
        <f>IF(S82="","",VLOOKUP(S82,'G-1 All Habitats'!$B$2:$M$129,10,FALSE))</f>
        <v/>
      </c>
      <c r="X82" s="520" t="str">
        <f>IFERROR(VLOOKUP(W82,'G-1 All Habitats'!$V$3:$W$7,2,FALSE),"")</f>
        <v/>
      </c>
      <c r="Y82" s="79"/>
      <c r="Z82" s="524" t="str">
        <f>IFERROR(INDEX('G-8 Condition Look up'!$A$3:$H$130,MATCH(S82,'G-8 Condition Look up'!$A$3:$A$130,0),MATCH(Y82,'G-8 Condition Look up'!$A$3:$H$3,0)),"")</f>
        <v/>
      </c>
      <c r="AA82" s="71"/>
      <c r="AB82" s="520" t="str">
        <f>IF(AA82="","",IF(VLOOKUP(AA82,'G-3 Multipliers'!$L$3:$N$6,2,FALSE)=0,"Spatial Data Missing ⚠",VLOOKUP(AA82,'G-3 Multipliers'!$L$3:$N$6,2,FALSE)))</f>
        <v/>
      </c>
      <c r="AC82" s="524" t="str">
        <f>IF(AA82="","",IF(VLOOKUP(AA82,'G-3 Multipliers'!$L$3:$N$6,3,FALSE)=0,"Spatial Data Missing ⚠",VLOOKUP(AA82,'G-3 Multipliers'!$L$3:$N$6,3,FALSE)))</f>
        <v/>
      </c>
      <c r="AD82" s="539" t="str">
        <f t="shared" si="12"/>
        <v/>
      </c>
      <c r="AE82" s="82"/>
      <c r="AF82" s="82"/>
      <c r="AG82" s="507" t="str">
        <f t="shared" si="18"/>
        <v/>
      </c>
      <c r="AH82" s="521" t="str">
        <f t="shared" si="19"/>
        <v/>
      </c>
      <c r="AI82" s="522" t="str">
        <f>IF(AH82="Check Data","Check Data",IFERROR(VLOOKUP(AH82,'G-4 Temporal multipliers'!$A$4:$C$36,3,FALSE),""))</f>
        <v/>
      </c>
      <c r="AJ82" s="498" t="str">
        <f>IF(S82="","",VLOOKUP(S82,'G-3 Multipliers'!$A$2:$E$129,4,FALSE))</f>
        <v/>
      </c>
      <c r="AK82" s="507" t="str">
        <f t="shared" si="20"/>
        <v/>
      </c>
      <c r="AL82" s="507" t="str">
        <f t="shared" si="21"/>
        <v/>
      </c>
      <c r="AM82" s="540" t="str">
        <f>IFERROR(IF(F82="","",IF(AH82="Check Data ⚠","Check Data ⚠",VLOOKUP(AL82, 'G-3 Multipliers'!$P$2:$Q$6,2,FALSE))),"")</f>
        <v/>
      </c>
      <c r="AN82" s="513" t="str">
        <f t="shared" si="13"/>
        <v/>
      </c>
      <c r="AO82" s="239"/>
      <c r="AP82" s="240"/>
    </row>
    <row r="83" spans="1:42" x14ac:dyDescent="0.3">
      <c r="A83" s="47" t="str">
        <f>IF(E83="","",IF(ISNA(VLOOKUP($E83,'A-1 Site Habitat Baseline'!$D$1:$O$258,2,FALSE)),"",(VLOOKUP($E83,'A-1 Site Habitat Baseline'!$D$1:$O$258,2,FALSE))))</f>
        <v/>
      </c>
      <c r="B83" s="47" t="str">
        <f>IF(E83="","",IF(ISNA(VLOOKUP($E83,'A-1 Site Habitat Baseline'!$D$1:$O$258,3,FALSE)),"",(VLOOKUP($E83,'A-1 Site Habitat Baseline'!$D$1:$O$258,3,FALSE))))</f>
        <v/>
      </c>
      <c r="C83" s="47" t="str">
        <f>IFERROR(INDEX('G-8 Condition Look up'!$I$4:$I$130,MATCH(S83,'G-8 Condition Look up'!$A$4:$A$130,0)),"")</f>
        <v/>
      </c>
      <c r="E83" s="531" t="str">
        <f>'A-1 Site Habitat Baseline'!AL82</f>
        <v/>
      </c>
      <c r="F83" s="520" t="str">
        <f>IF(E83="","",IF(ISNA(VLOOKUP($E83,'A-1 Site Habitat Baseline'!$D$1:$O$258,4,FALSE)),"",(VLOOKUP($E83,'A-1 Site Habitat Baseline'!$D$1:$O$258,4,FALSE))))</f>
        <v/>
      </c>
      <c r="G83" s="520" t="str">
        <f>IF(E83="","",IF(ISNA(VLOOKUP($E83,'A-1 Site Habitat Baseline'!$D$1:$O$258,5,FALSE)),"",(VLOOKUP($E83,'A-1 Site Habitat Baseline'!$D$1:$O$258,5,FALSE))))</f>
        <v/>
      </c>
      <c r="H83" s="520" t="str">
        <f>IF(E83="","",IF(ISNA(VLOOKUP($E83,'A-1 Site Habitat Baseline'!$D$1:$O$258,6,FALSE)),"",(VLOOKUP($E83,'A-1 Site Habitat Baseline'!$D$1:$O$258,6,FALSE))))</f>
        <v/>
      </c>
      <c r="I83" s="520" t="str">
        <f>IF(E83="","",IF(ISNA(VLOOKUP($E83,'A-1 Site Habitat Baseline'!$D$1:$O$258,7,FALSE)),"",(VLOOKUP($E83,'A-1 Site Habitat Baseline'!$D$1:$O$258,7,FALSE))))</f>
        <v/>
      </c>
      <c r="J83" s="520" t="str">
        <f>IF(E83="","",IF(ISNA(VLOOKUP($E83,'A-1 Site Habitat Baseline'!$D$1:$O$258,8,FALSE)),"",(VLOOKUP($E83,'A-1 Site Habitat Baseline'!$D$1:$O$258,8,FALSE))))</f>
        <v/>
      </c>
      <c r="K83" s="520" t="str">
        <f>IF(E83="","",IF(ISNA(VLOOKUP($E83,'A-1 Site Habitat Baseline'!$D$1:$O$258,9,FALSE)),"",(VLOOKUP($E83,'A-1 Site Habitat Baseline'!$D$1:$O$258,9,FALSE))))</f>
        <v/>
      </c>
      <c r="L83" s="520" t="str">
        <f>IF(E83="","",IF(ISNA(VLOOKUP($E83,'A-1 Site Habitat Baseline'!$D$1:$O$258,11,FALSE)),"",(VLOOKUP($E83,'A-1 Site Habitat Baseline'!$D$1:$O$258,11,FALSE))))</f>
        <v/>
      </c>
      <c r="M83" s="520" t="str">
        <f>IF(E83="","",IF(ISNA(VLOOKUP($E83,'A-1 Site Habitat Baseline'!$D$1:$O$258,12,FALSE)),"",(VLOOKUP($E83,'A-1 Site Habitat Baseline'!$D$1:$O$258,12,FALSE))))</f>
        <v/>
      </c>
      <c r="N83" s="532" t="str">
        <f>IF(E83="","",IF(ISNA(VLOOKUP($E83,'A-1 Site Habitat Baseline'!$D$1:$X$258,14,FALSE)),"",(VLOOKUP($E83,'A-1 Site Habitat Baseline'!$D$1:$X$258,14,FALSE))))</f>
        <v/>
      </c>
      <c r="O83" s="524" t="str">
        <f>IF(E83="","",IF(ISNA(VLOOKUP($E83,'A-1 Site Habitat Baseline'!$D$1:$X$258,16,FALSE)),"",(VLOOKUP($E83,'A-1 Site Habitat Baseline'!$D$1:$X$258,13,FALSE))))</f>
        <v/>
      </c>
      <c r="P83" s="237" t="str">
        <f>IFERROR(INDEX('G-1 All Habitats'!$AG$3:$AG$15,MATCH(Q83,'G-1 All Habitats'!$AF$3:$AF$15,0)),"")</f>
        <v/>
      </c>
      <c r="Q83" s="238" t="str">
        <f t="shared" si="14"/>
        <v/>
      </c>
      <c r="R83" s="238" t="str">
        <f t="shared" si="15"/>
        <v/>
      </c>
      <c r="S83" s="392" t="str">
        <f>IFERROR(INDEX('G-1 All Habitats'!$B$3:$B$129,MATCH(R83,'G-1 All Habitats'!$A$3:$A$129,0)),"")</f>
        <v/>
      </c>
      <c r="T83" s="498" t="str">
        <f t="shared" si="16"/>
        <v/>
      </c>
      <c r="U83" s="499" t="str">
        <f t="shared" si="17"/>
        <v/>
      </c>
      <c r="V83" s="537" t="str">
        <f t="shared" si="11"/>
        <v/>
      </c>
      <c r="W83" s="520" t="str">
        <f>IF(S83="","",VLOOKUP(S83,'G-1 All Habitats'!$B$2:$M$129,10,FALSE))</f>
        <v/>
      </c>
      <c r="X83" s="520" t="str">
        <f>IFERROR(VLOOKUP(W83,'G-1 All Habitats'!$V$3:$W$7,2,FALSE),"")</f>
        <v/>
      </c>
      <c r="Y83" s="79"/>
      <c r="Z83" s="524" t="str">
        <f>IFERROR(INDEX('G-8 Condition Look up'!$A$3:$H$130,MATCH(S83,'G-8 Condition Look up'!$A$3:$A$130,0),MATCH(Y83,'G-8 Condition Look up'!$A$3:$H$3,0)),"")</f>
        <v/>
      </c>
      <c r="AA83" s="71"/>
      <c r="AB83" s="520" t="str">
        <f>IF(AA83="","",IF(VLOOKUP(AA83,'G-3 Multipliers'!$L$3:$N$6,2,FALSE)=0,"Spatial Data Missing ⚠",VLOOKUP(AA83,'G-3 Multipliers'!$L$3:$N$6,2,FALSE)))</f>
        <v/>
      </c>
      <c r="AC83" s="524" t="str">
        <f>IF(AA83="","",IF(VLOOKUP(AA83,'G-3 Multipliers'!$L$3:$N$6,3,FALSE)=0,"Spatial Data Missing ⚠",VLOOKUP(AA83,'G-3 Multipliers'!$L$3:$N$6,3,FALSE)))</f>
        <v/>
      </c>
      <c r="AD83" s="539" t="str">
        <f t="shared" si="12"/>
        <v/>
      </c>
      <c r="AE83" s="82"/>
      <c r="AF83" s="82"/>
      <c r="AG83" s="507" t="str">
        <f t="shared" si="18"/>
        <v/>
      </c>
      <c r="AH83" s="521" t="str">
        <f t="shared" si="19"/>
        <v/>
      </c>
      <c r="AI83" s="522" t="str">
        <f>IF(AH83="Check Data","Check Data",IFERROR(VLOOKUP(AH83,'G-4 Temporal multipliers'!$A$4:$C$36,3,FALSE),""))</f>
        <v/>
      </c>
      <c r="AJ83" s="498" t="str">
        <f>IF(S83="","",VLOOKUP(S83,'G-3 Multipliers'!$A$2:$E$129,4,FALSE))</f>
        <v/>
      </c>
      <c r="AK83" s="507" t="str">
        <f t="shared" si="20"/>
        <v/>
      </c>
      <c r="AL83" s="507" t="str">
        <f t="shared" si="21"/>
        <v/>
      </c>
      <c r="AM83" s="540" t="str">
        <f>IFERROR(IF(F83="","",IF(AH83="Check Data ⚠","Check Data ⚠",VLOOKUP(AL83, 'G-3 Multipliers'!$P$2:$Q$6,2,FALSE))),"")</f>
        <v/>
      </c>
      <c r="AN83" s="513" t="str">
        <f t="shared" si="13"/>
        <v/>
      </c>
      <c r="AO83" s="239"/>
      <c r="AP83" s="240"/>
    </row>
    <row r="84" spans="1:42" x14ac:dyDescent="0.3">
      <c r="A84" s="47" t="str">
        <f>IF(E84="","",IF(ISNA(VLOOKUP($E84,'A-1 Site Habitat Baseline'!$D$1:$O$258,2,FALSE)),"",(VLOOKUP($E84,'A-1 Site Habitat Baseline'!$D$1:$O$258,2,FALSE))))</f>
        <v/>
      </c>
      <c r="B84" s="47" t="str">
        <f>IF(E84="","",IF(ISNA(VLOOKUP($E84,'A-1 Site Habitat Baseline'!$D$1:$O$258,3,FALSE)),"",(VLOOKUP($E84,'A-1 Site Habitat Baseline'!$D$1:$O$258,3,FALSE))))</f>
        <v/>
      </c>
      <c r="C84" s="47" t="str">
        <f>IFERROR(INDEX('G-8 Condition Look up'!$I$4:$I$130,MATCH(S84,'G-8 Condition Look up'!$A$4:$A$130,0)),"")</f>
        <v/>
      </c>
      <c r="E84" s="531" t="str">
        <f>'A-1 Site Habitat Baseline'!AL83</f>
        <v/>
      </c>
      <c r="F84" s="520" t="str">
        <f>IF(E84="","",IF(ISNA(VLOOKUP($E84,'A-1 Site Habitat Baseline'!$D$1:$O$258,4,FALSE)),"",(VLOOKUP($E84,'A-1 Site Habitat Baseline'!$D$1:$O$258,4,FALSE))))</f>
        <v/>
      </c>
      <c r="G84" s="520" t="str">
        <f>IF(E84="","",IF(ISNA(VLOOKUP($E84,'A-1 Site Habitat Baseline'!$D$1:$O$258,5,FALSE)),"",(VLOOKUP($E84,'A-1 Site Habitat Baseline'!$D$1:$O$258,5,FALSE))))</f>
        <v/>
      </c>
      <c r="H84" s="520" t="str">
        <f>IF(E84="","",IF(ISNA(VLOOKUP($E84,'A-1 Site Habitat Baseline'!$D$1:$O$258,6,FALSE)),"",(VLOOKUP($E84,'A-1 Site Habitat Baseline'!$D$1:$O$258,6,FALSE))))</f>
        <v/>
      </c>
      <c r="I84" s="520" t="str">
        <f>IF(E84="","",IF(ISNA(VLOOKUP($E84,'A-1 Site Habitat Baseline'!$D$1:$O$258,7,FALSE)),"",(VLOOKUP($E84,'A-1 Site Habitat Baseline'!$D$1:$O$258,7,FALSE))))</f>
        <v/>
      </c>
      <c r="J84" s="520" t="str">
        <f>IF(E84="","",IF(ISNA(VLOOKUP($E84,'A-1 Site Habitat Baseline'!$D$1:$O$258,8,FALSE)),"",(VLOOKUP($E84,'A-1 Site Habitat Baseline'!$D$1:$O$258,8,FALSE))))</f>
        <v/>
      </c>
      <c r="K84" s="520" t="str">
        <f>IF(E84="","",IF(ISNA(VLOOKUP($E84,'A-1 Site Habitat Baseline'!$D$1:$O$258,9,FALSE)),"",(VLOOKUP($E84,'A-1 Site Habitat Baseline'!$D$1:$O$258,9,FALSE))))</f>
        <v/>
      </c>
      <c r="L84" s="520" t="str">
        <f>IF(E84="","",IF(ISNA(VLOOKUP($E84,'A-1 Site Habitat Baseline'!$D$1:$O$258,11,FALSE)),"",(VLOOKUP($E84,'A-1 Site Habitat Baseline'!$D$1:$O$258,11,FALSE))))</f>
        <v/>
      </c>
      <c r="M84" s="520" t="str">
        <f>IF(E84="","",IF(ISNA(VLOOKUP($E84,'A-1 Site Habitat Baseline'!$D$1:$O$258,12,FALSE)),"",(VLOOKUP($E84,'A-1 Site Habitat Baseline'!$D$1:$O$258,12,FALSE))))</f>
        <v/>
      </c>
      <c r="N84" s="532" t="str">
        <f>IF(E84="","",IF(ISNA(VLOOKUP($E84,'A-1 Site Habitat Baseline'!$D$1:$X$258,14,FALSE)),"",(VLOOKUP($E84,'A-1 Site Habitat Baseline'!$D$1:$X$258,14,FALSE))))</f>
        <v/>
      </c>
      <c r="O84" s="524" t="str">
        <f>IF(E84="","",IF(ISNA(VLOOKUP($E84,'A-1 Site Habitat Baseline'!$D$1:$X$258,16,FALSE)),"",(VLOOKUP($E84,'A-1 Site Habitat Baseline'!$D$1:$X$258,13,FALSE))))</f>
        <v/>
      </c>
      <c r="P84" s="237" t="str">
        <f>IFERROR(INDEX('G-1 All Habitats'!$AG$3:$AG$15,MATCH(Q84,'G-1 All Habitats'!$AF$3:$AF$15,0)),"")</f>
        <v/>
      </c>
      <c r="Q84" s="238" t="str">
        <f t="shared" si="14"/>
        <v/>
      </c>
      <c r="R84" s="238" t="str">
        <f t="shared" si="15"/>
        <v/>
      </c>
      <c r="S84" s="392" t="str">
        <f>IFERROR(INDEX('G-1 All Habitats'!$B$3:$B$129,MATCH(R84,'G-1 All Habitats'!$A$3:$A$129,0)),"")</f>
        <v/>
      </c>
      <c r="T84" s="498" t="str">
        <f t="shared" si="16"/>
        <v/>
      </c>
      <c r="U84" s="499" t="str">
        <f t="shared" si="17"/>
        <v/>
      </c>
      <c r="V84" s="537" t="str">
        <f t="shared" si="11"/>
        <v/>
      </c>
      <c r="W84" s="520" t="str">
        <f>IF(S84="","",VLOOKUP(S84,'G-1 All Habitats'!$B$2:$M$129,10,FALSE))</f>
        <v/>
      </c>
      <c r="X84" s="520" t="str">
        <f>IFERROR(VLOOKUP(W84,'G-1 All Habitats'!$V$3:$W$7,2,FALSE),"")</f>
        <v/>
      </c>
      <c r="Y84" s="79"/>
      <c r="Z84" s="524" t="str">
        <f>IFERROR(INDEX('G-8 Condition Look up'!$A$3:$H$130,MATCH(S84,'G-8 Condition Look up'!$A$3:$A$130,0),MATCH(Y84,'G-8 Condition Look up'!$A$3:$H$3,0)),"")</f>
        <v/>
      </c>
      <c r="AA84" s="71"/>
      <c r="AB84" s="520" t="str">
        <f>IF(AA84="","",IF(VLOOKUP(AA84,'G-3 Multipliers'!$L$3:$N$6,2,FALSE)=0,"Spatial Data Missing ⚠",VLOOKUP(AA84,'G-3 Multipliers'!$L$3:$N$6,2,FALSE)))</f>
        <v/>
      </c>
      <c r="AC84" s="524" t="str">
        <f>IF(AA84="","",IF(VLOOKUP(AA84,'G-3 Multipliers'!$L$3:$N$6,3,FALSE)=0,"Spatial Data Missing ⚠",VLOOKUP(AA84,'G-3 Multipliers'!$L$3:$N$6,3,FALSE)))</f>
        <v/>
      </c>
      <c r="AD84" s="539" t="str">
        <f t="shared" si="12"/>
        <v/>
      </c>
      <c r="AE84" s="82"/>
      <c r="AF84" s="82"/>
      <c r="AG84" s="507" t="str">
        <f t="shared" si="18"/>
        <v/>
      </c>
      <c r="AH84" s="521" t="str">
        <f t="shared" si="19"/>
        <v/>
      </c>
      <c r="AI84" s="522" t="str">
        <f>IF(AH84="Check Data","Check Data",IFERROR(VLOOKUP(AH84,'G-4 Temporal multipliers'!$A$4:$C$36,3,FALSE),""))</f>
        <v/>
      </c>
      <c r="AJ84" s="498" t="str">
        <f>IF(S84="","",VLOOKUP(S84,'G-3 Multipliers'!$A$2:$E$129,4,FALSE))</f>
        <v/>
      </c>
      <c r="AK84" s="507" t="str">
        <f t="shared" si="20"/>
        <v/>
      </c>
      <c r="AL84" s="507" t="str">
        <f t="shared" si="21"/>
        <v/>
      </c>
      <c r="AM84" s="540" t="str">
        <f>IFERROR(IF(F84="","",IF(AH84="Check Data ⚠","Check Data ⚠",VLOOKUP(AL84, 'G-3 Multipliers'!$P$2:$Q$6,2,FALSE))),"")</f>
        <v/>
      </c>
      <c r="AN84" s="513" t="str">
        <f t="shared" si="13"/>
        <v/>
      </c>
      <c r="AO84" s="239"/>
      <c r="AP84" s="240"/>
    </row>
    <row r="85" spans="1:42" x14ac:dyDescent="0.3">
      <c r="A85" s="47" t="str">
        <f>IF(E85="","",IF(ISNA(VLOOKUP($E85,'A-1 Site Habitat Baseline'!$D$1:$O$258,2,FALSE)),"",(VLOOKUP($E85,'A-1 Site Habitat Baseline'!$D$1:$O$258,2,FALSE))))</f>
        <v/>
      </c>
      <c r="B85" s="47" t="str">
        <f>IF(E85="","",IF(ISNA(VLOOKUP($E85,'A-1 Site Habitat Baseline'!$D$1:$O$258,3,FALSE)),"",(VLOOKUP($E85,'A-1 Site Habitat Baseline'!$D$1:$O$258,3,FALSE))))</f>
        <v/>
      </c>
      <c r="C85" s="47" t="str">
        <f>IFERROR(INDEX('G-8 Condition Look up'!$I$4:$I$130,MATCH(S85,'G-8 Condition Look up'!$A$4:$A$130,0)),"")</f>
        <v/>
      </c>
      <c r="E85" s="531" t="str">
        <f>'A-1 Site Habitat Baseline'!AL84</f>
        <v/>
      </c>
      <c r="F85" s="520" t="str">
        <f>IF(E85="","",IF(ISNA(VLOOKUP($E85,'A-1 Site Habitat Baseline'!$D$1:$O$258,4,FALSE)),"",(VLOOKUP($E85,'A-1 Site Habitat Baseline'!$D$1:$O$258,4,FALSE))))</f>
        <v/>
      </c>
      <c r="G85" s="520" t="str">
        <f>IF(E85="","",IF(ISNA(VLOOKUP($E85,'A-1 Site Habitat Baseline'!$D$1:$O$258,5,FALSE)),"",(VLOOKUP($E85,'A-1 Site Habitat Baseline'!$D$1:$O$258,5,FALSE))))</f>
        <v/>
      </c>
      <c r="H85" s="520" t="str">
        <f>IF(E85="","",IF(ISNA(VLOOKUP($E85,'A-1 Site Habitat Baseline'!$D$1:$O$258,6,FALSE)),"",(VLOOKUP($E85,'A-1 Site Habitat Baseline'!$D$1:$O$258,6,FALSE))))</f>
        <v/>
      </c>
      <c r="I85" s="520" t="str">
        <f>IF(E85="","",IF(ISNA(VLOOKUP($E85,'A-1 Site Habitat Baseline'!$D$1:$O$258,7,FALSE)),"",(VLOOKUP($E85,'A-1 Site Habitat Baseline'!$D$1:$O$258,7,FALSE))))</f>
        <v/>
      </c>
      <c r="J85" s="520" t="str">
        <f>IF(E85="","",IF(ISNA(VLOOKUP($E85,'A-1 Site Habitat Baseline'!$D$1:$O$258,8,FALSE)),"",(VLOOKUP($E85,'A-1 Site Habitat Baseline'!$D$1:$O$258,8,FALSE))))</f>
        <v/>
      </c>
      <c r="K85" s="520" t="str">
        <f>IF(E85="","",IF(ISNA(VLOOKUP($E85,'A-1 Site Habitat Baseline'!$D$1:$O$258,9,FALSE)),"",(VLOOKUP($E85,'A-1 Site Habitat Baseline'!$D$1:$O$258,9,FALSE))))</f>
        <v/>
      </c>
      <c r="L85" s="520" t="str">
        <f>IF(E85="","",IF(ISNA(VLOOKUP($E85,'A-1 Site Habitat Baseline'!$D$1:$O$258,11,FALSE)),"",(VLOOKUP($E85,'A-1 Site Habitat Baseline'!$D$1:$O$258,11,FALSE))))</f>
        <v/>
      </c>
      <c r="M85" s="520" t="str">
        <f>IF(E85="","",IF(ISNA(VLOOKUP($E85,'A-1 Site Habitat Baseline'!$D$1:$O$258,12,FALSE)),"",(VLOOKUP($E85,'A-1 Site Habitat Baseline'!$D$1:$O$258,12,FALSE))))</f>
        <v/>
      </c>
      <c r="N85" s="532" t="str">
        <f>IF(E85="","",IF(ISNA(VLOOKUP($E85,'A-1 Site Habitat Baseline'!$D$1:$X$258,14,FALSE)),"",(VLOOKUP($E85,'A-1 Site Habitat Baseline'!$D$1:$X$258,14,FALSE))))</f>
        <v/>
      </c>
      <c r="O85" s="524" t="str">
        <f>IF(E85="","",IF(ISNA(VLOOKUP($E85,'A-1 Site Habitat Baseline'!$D$1:$X$258,16,FALSE)),"",(VLOOKUP($E85,'A-1 Site Habitat Baseline'!$D$1:$X$258,13,FALSE))))</f>
        <v/>
      </c>
      <c r="P85" s="237" t="str">
        <f>IFERROR(INDEX('G-1 All Habitats'!$AG$3:$AG$15,MATCH(Q85,'G-1 All Habitats'!$AF$3:$AF$15,0)),"")</f>
        <v/>
      </c>
      <c r="Q85" s="238" t="str">
        <f t="shared" si="14"/>
        <v/>
      </c>
      <c r="R85" s="238" t="str">
        <f t="shared" si="15"/>
        <v/>
      </c>
      <c r="S85" s="392" t="str">
        <f>IFERROR(INDEX('G-1 All Habitats'!$B$3:$B$129,MATCH(R85,'G-1 All Habitats'!$A$3:$A$129,0)),"")</f>
        <v/>
      </c>
      <c r="T85" s="498" t="str">
        <f t="shared" si="16"/>
        <v/>
      </c>
      <c r="U85" s="499" t="str">
        <f t="shared" si="17"/>
        <v/>
      </c>
      <c r="V85" s="537" t="str">
        <f t="shared" si="11"/>
        <v/>
      </c>
      <c r="W85" s="520" t="str">
        <f>IF(S85="","",VLOOKUP(S85,'G-1 All Habitats'!$B$2:$M$129,10,FALSE))</f>
        <v/>
      </c>
      <c r="X85" s="520" t="str">
        <f>IFERROR(VLOOKUP(W85,'G-1 All Habitats'!$V$3:$W$7,2,FALSE),"")</f>
        <v/>
      </c>
      <c r="Y85" s="79"/>
      <c r="Z85" s="524" t="str">
        <f>IFERROR(INDEX('G-8 Condition Look up'!$A$3:$H$130,MATCH(S85,'G-8 Condition Look up'!$A$3:$A$130,0),MATCH(Y85,'G-8 Condition Look up'!$A$3:$H$3,0)),"")</f>
        <v/>
      </c>
      <c r="AA85" s="71"/>
      <c r="AB85" s="520" t="str">
        <f>IF(AA85="","",IF(VLOOKUP(AA85,'G-3 Multipliers'!$L$3:$N$6,2,FALSE)=0,"Spatial Data Missing ⚠",VLOOKUP(AA85,'G-3 Multipliers'!$L$3:$N$6,2,FALSE)))</f>
        <v/>
      </c>
      <c r="AC85" s="524" t="str">
        <f>IF(AA85="","",IF(VLOOKUP(AA85,'G-3 Multipliers'!$L$3:$N$6,3,FALSE)=0,"Spatial Data Missing ⚠",VLOOKUP(AA85,'G-3 Multipliers'!$L$3:$N$6,3,FALSE)))</f>
        <v/>
      </c>
      <c r="AD85" s="539" t="str">
        <f t="shared" si="12"/>
        <v/>
      </c>
      <c r="AE85" s="82"/>
      <c r="AF85" s="82"/>
      <c r="AG85" s="507" t="str">
        <f t="shared" si="18"/>
        <v/>
      </c>
      <c r="AH85" s="521" t="str">
        <f t="shared" si="19"/>
        <v/>
      </c>
      <c r="AI85" s="522" t="str">
        <f>IF(AH85="Check Data","Check Data",IFERROR(VLOOKUP(AH85,'G-4 Temporal multipliers'!$A$4:$C$36,3,FALSE),""))</f>
        <v/>
      </c>
      <c r="AJ85" s="498" t="str">
        <f>IF(S85="","",VLOOKUP(S85,'G-3 Multipliers'!$A$2:$E$129,4,FALSE))</f>
        <v/>
      </c>
      <c r="AK85" s="507" t="str">
        <f t="shared" si="20"/>
        <v/>
      </c>
      <c r="AL85" s="507" t="str">
        <f t="shared" si="21"/>
        <v/>
      </c>
      <c r="AM85" s="540" t="str">
        <f>IFERROR(IF(F85="","",IF(AH85="Check Data ⚠","Check Data ⚠",VLOOKUP(AL85, 'G-3 Multipliers'!$P$2:$Q$6,2,FALSE))),"")</f>
        <v/>
      </c>
      <c r="AN85" s="513" t="str">
        <f t="shared" si="13"/>
        <v/>
      </c>
      <c r="AO85" s="239"/>
      <c r="AP85" s="240"/>
    </row>
    <row r="86" spans="1:42" x14ac:dyDescent="0.3">
      <c r="A86" s="47" t="str">
        <f>IF(E86="","",IF(ISNA(VLOOKUP($E86,'A-1 Site Habitat Baseline'!$D$1:$O$258,2,FALSE)),"",(VLOOKUP($E86,'A-1 Site Habitat Baseline'!$D$1:$O$258,2,FALSE))))</f>
        <v/>
      </c>
      <c r="B86" s="47" t="str">
        <f>IF(E86="","",IF(ISNA(VLOOKUP($E86,'A-1 Site Habitat Baseline'!$D$1:$O$258,3,FALSE)),"",(VLOOKUP($E86,'A-1 Site Habitat Baseline'!$D$1:$O$258,3,FALSE))))</f>
        <v/>
      </c>
      <c r="C86" s="47" t="str">
        <f>IFERROR(INDEX('G-8 Condition Look up'!$I$4:$I$130,MATCH(S86,'G-8 Condition Look up'!$A$4:$A$130,0)),"")</f>
        <v/>
      </c>
      <c r="E86" s="531" t="str">
        <f>'A-1 Site Habitat Baseline'!AL85</f>
        <v/>
      </c>
      <c r="F86" s="520" t="str">
        <f>IF(E86="","",IF(ISNA(VLOOKUP($E86,'A-1 Site Habitat Baseline'!$D$1:$O$258,4,FALSE)),"",(VLOOKUP($E86,'A-1 Site Habitat Baseline'!$D$1:$O$258,4,FALSE))))</f>
        <v/>
      </c>
      <c r="G86" s="520" t="str">
        <f>IF(E86="","",IF(ISNA(VLOOKUP($E86,'A-1 Site Habitat Baseline'!$D$1:$O$258,5,FALSE)),"",(VLOOKUP($E86,'A-1 Site Habitat Baseline'!$D$1:$O$258,5,FALSE))))</f>
        <v/>
      </c>
      <c r="H86" s="520" t="str">
        <f>IF(E86="","",IF(ISNA(VLOOKUP($E86,'A-1 Site Habitat Baseline'!$D$1:$O$258,6,FALSE)),"",(VLOOKUP($E86,'A-1 Site Habitat Baseline'!$D$1:$O$258,6,FALSE))))</f>
        <v/>
      </c>
      <c r="I86" s="520" t="str">
        <f>IF(E86="","",IF(ISNA(VLOOKUP($E86,'A-1 Site Habitat Baseline'!$D$1:$O$258,7,FALSE)),"",(VLOOKUP($E86,'A-1 Site Habitat Baseline'!$D$1:$O$258,7,FALSE))))</f>
        <v/>
      </c>
      <c r="J86" s="520" t="str">
        <f>IF(E86="","",IF(ISNA(VLOOKUP($E86,'A-1 Site Habitat Baseline'!$D$1:$O$258,8,FALSE)),"",(VLOOKUP($E86,'A-1 Site Habitat Baseline'!$D$1:$O$258,8,FALSE))))</f>
        <v/>
      </c>
      <c r="K86" s="520" t="str">
        <f>IF(E86="","",IF(ISNA(VLOOKUP($E86,'A-1 Site Habitat Baseline'!$D$1:$O$258,9,FALSE)),"",(VLOOKUP($E86,'A-1 Site Habitat Baseline'!$D$1:$O$258,9,FALSE))))</f>
        <v/>
      </c>
      <c r="L86" s="520" t="str">
        <f>IF(E86="","",IF(ISNA(VLOOKUP($E86,'A-1 Site Habitat Baseline'!$D$1:$O$258,11,FALSE)),"",(VLOOKUP($E86,'A-1 Site Habitat Baseline'!$D$1:$O$258,11,FALSE))))</f>
        <v/>
      </c>
      <c r="M86" s="520" t="str">
        <f>IF(E86="","",IF(ISNA(VLOOKUP($E86,'A-1 Site Habitat Baseline'!$D$1:$O$258,12,FALSE)),"",(VLOOKUP($E86,'A-1 Site Habitat Baseline'!$D$1:$O$258,12,FALSE))))</f>
        <v/>
      </c>
      <c r="N86" s="532" t="str">
        <f>IF(E86="","",IF(ISNA(VLOOKUP($E86,'A-1 Site Habitat Baseline'!$D$1:$X$258,14,FALSE)),"",(VLOOKUP($E86,'A-1 Site Habitat Baseline'!$D$1:$X$258,14,FALSE))))</f>
        <v/>
      </c>
      <c r="O86" s="524" t="str">
        <f>IF(E86="","",IF(ISNA(VLOOKUP($E86,'A-1 Site Habitat Baseline'!$D$1:$X$258,16,FALSE)),"",(VLOOKUP($E86,'A-1 Site Habitat Baseline'!$D$1:$X$258,13,FALSE))))</f>
        <v/>
      </c>
      <c r="P86" s="237" t="str">
        <f>IFERROR(INDEX('G-1 All Habitats'!$AG$3:$AG$15,MATCH(Q86,'G-1 All Habitats'!$AF$3:$AF$15,0)),"")</f>
        <v/>
      </c>
      <c r="Q86" s="238" t="str">
        <f t="shared" si="14"/>
        <v/>
      </c>
      <c r="R86" s="238" t="str">
        <f t="shared" si="15"/>
        <v/>
      </c>
      <c r="S86" s="392" t="str">
        <f>IFERROR(INDEX('G-1 All Habitats'!$B$3:$B$129,MATCH(R86,'G-1 All Habitats'!$A$3:$A$129,0)),"")</f>
        <v/>
      </c>
      <c r="T86" s="498" t="str">
        <f t="shared" si="16"/>
        <v/>
      </c>
      <c r="U86" s="499" t="str">
        <f t="shared" si="17"/>
        <v/>
      </c>
      <c r="V86" s="537" t="str">
        <f t="shared" si="11"/>
        <v/>
      </c>
      <c r="W86" s="520" t="str">
        <f>IF(S86="","",VLOOKUP(S86,'G-1 All Habitats'!$B$2:$M$129,10,FALSE))</f>
        <v/>
      </c>
      <c r="X86" s="520" t="str">
        <f>IFERROR(VLOOKUP(W86,'G-1 All Habitats'!$V$3:$W$7,2,FALSE),"")</f>
        <v/>
      </c>
      <c r="Y86" s="79"/>
      <c r="Z86" s="524" t="str">
        <f>IFERROR(INDEX('G-8 Condition Look up'!$A$3:$H$130,MATCH(S86,'G-8 Condition Look up'!$A$3:$A$130,0),MATCH(Y86,'G-8 Condition Look up'!$A$3:$H$3,0)),"")</f>
        <v/>
      </c>
      <c r="AA86" s="71"/>
      <c r="AB86" s="520" t="str">
        <f>IF(AA86="","",IF(VLOOKUP(AA86,'G-3 Multipliers'!$L$3:$N$6,2,FALSE)=0,"Spatial Data Missing ⚠",VLOOKUP(AA86,'G-3 Multipliers'!$L$3:$N$6,2,FALSE)))</f>
        <v/>
      </c>
      <c r="AC86" s="524" t="str">
        <f>IF(AA86="","",IF(VLOOKUP(AA86,'G-3 Multipliers'!$L$3:$N$6,3,FALSE)=0,"Spatial Data Missing ⚠",VLOOKUP(AA86,'G-3 Multipliers'!$L$3:$N$6,3,FALSE)))</f>
        <v/>
      </c>
      <c r="AD86" s="539" t="str">
        <f t="shared" si="12"/>
        <v/>
      </c>
      <c r="AE86" s="82"/>
      <c r="AF86" s="82"/>
      <c r="AG86" s="507" t="str">
        <f t="shared" si="18"/>
        <v/>
      </c>
      <c r="AH86" s="521" t="str">
        <f t="shared" si="19"/>
        <v/>
      </c>
      <c r="AI86" s="522" t="str">
        <f>IF(AH86="Check Data","Check Data",IFERROR(VLOOKUP(AH86,'G-4 Temporal multipliers'!$A$4:$C$36,3,FALSE),""))</f>
        <v/>
      </c>
      <c r="AJ86" s="498" t="str">
        <f>IF(S86="","",VLOOKUP(S86,'G-3 Multipliers'!$A$2:$E$129,4,FALSE))</f>
        <v/>
      </c>
      <c r="AK86" s="507" t="str">
        <f t="shared" si="20"/>
        <v/>
      </c>
      <c r="AL86" s="507" t="str">
        <f t="shared" si="21"/>
        <v/>
      </c>
      <c r="AM86" s="540" t="str">
        <f>IFERROR(IF(F86="","",IF(AH86="Check Data ⚠","Check Data ⚠",VLOOKUP(AL86, 'G-3 Multipliers'!$P$2:$Q$6,2,FALSE))),"")</f>
        <v/>
      </c>
      <c r="AN86" s="513" t="str">
        <f t="shared" si="13"/>
        <v/>
      </c>
      <c r="AO86" s="239"/>
      <c r="AP86" s="240"/>
    </row>
    <row r="87" spans="1:42" x14ac:dyDescent="0.3">
      <c r="A87" s="47" t="str">
        <f>IF(E87="","",IF(ISNA(VLOOKUP($E87,'A-1 Site Habitat Baseline'!$D$1:$O$258,2,FALSE)),"",(VLOOKUP($E87,'A-1 Site Habitat Baseline'!$D$1:$O$258,2,FALSE))))</f>
        <v/>
      </c>
      <c r="B87" s="47" t="str">
        <f>IF(E87="","",IF(ISNA(VLOOKUP($E87,'A-1 Site Habitat Baseline'!$D$1:$O$258,3,FALSE)),"",(VLOOKUP($E87,'A-1 Site Habitat Baseline'!$D$1:$O$258,3,FALSE))))</f>
        <v/>
      </c>
      <c r="C87" s="47" t="str">
        <f>IFERROR(INDEX('G-8 Condition Look up'!$I$4:$I$130,MATCH(S87,'G-8 Condition Look up'!$A$4:$A$130,0)),"")</f>
        <v/>
      </c>
      <c r="E87" s="531" t="str">
        <f>'A-1 Site Habitat Baseline'!AL86</f>
        <v/>
      </c>
      <c r="F87" s="520" t="str">
        <f>IF(E87="","",IF(ISNA(VLOOKUP($E87,'A-1 Site Habitat Baseline'!$D$1:$O$258,4,FALSE)),"",(VLOOKUP($E87,'A-1 Site Habitat Baseline'!$D$1:$O$258,4,FALSE))))</f>
        <v/>
      </c>
      <c r="G87" s="520" t="str">
        <f>IF(E87="","",IF(ISNA(VLOOKUP($E87,'A-1 Site Habitat Baseline'!$D$1:$O$258,5,FALSE)),"",(VLOOKUP($E87,'A-1 Site Habitat Baseline'!$D$1:$O$258,5,FALSE))))</f>
        <v/>
      </c>
      <c r="H87" s="520" t="str">
        <f>IF(E87="","",IF(ISNA(VLOOKUP($E87,'A-1 Site Habitat Baseline'!$D$1:$O$258,6,FALSE)),"",(VLOOKUP($E87,'A-1 Site Habitat Baseline'!$D$1:$O$258,6,FALSE))))</f>
        <v/>
      </c>
      <c r="I87" s="520" t="str">
        <f>IF(E87="","",IF(ISNA(VLOOKUP($E87,'A-1 Site Habitat Baseline'!$D$1:$O$258,7,FALSE)),"",(VLOOKUP($E87,'A-1 Site Habitat Baseline'!$D$1:$O$258,7,FALSE))))</f>
        <v/>
      </c>
      <c r="J87" s="520" t="str">
        <f>IF(E87="","",IF(ISNA(VLOOKUP($E87,'A-1 Site Habitat Baseline'!$D$1:$O$258,8,FALSE)),"",(VLOOKUP($E87,'A-1 Site Habitat Baseline'!$D$1:$O$258,8,FALSE))))</f>
        <v/>
      </c>
      <c r="K87" s="520" t="str">
        <f>IF(E87="","",IF(ISNA(VLOOKUP($E87,'A-1 Site Habitat Baseline'!$D$1:$O$258,9,FALSE)),"",(VLOOKUP($E87,'A-1 Site Habitat Baseline'!$D$1:$O$258,9,FALSE))))</f>
        <v/>
      </c>
      <c r="L87" s="520" t="str">
        <f>IF(E87="","",IF(ISNA(VLOOKUP($E87,'A-1 Site Habitat Baseline'!$D$1:$O$258,11,FALSE)),"",(VLOOKUP($E87,'A-1 Site Habitat Baseline'!$D$1:$O$258,11,FALSE))))</f>
        <v/>
      </c>
      <c r="M87" s="520" t="str">
        <f>IF(E87="","",IF(ISNA(VLOOKUP($E87,'A-1 Site Habitat Baseline'!$D$1:$O$258,12,FALSE)),"",(VLOOKUP($E87,'A-1 Site Habitat Baseline'!$D$1:$O$258,12,FALSE))))</f>
        <v/>
      </c>
      <c r="N87" s="532" t="str">
        <f>IF(E87="","",IF(ISNA(VLOOKUP($E87,'A-1 Site Habitat Baseline'!$D$1:$X$258,14,FALSE)),"",(VLOOKUP($E87,'A-1 Site Habitat Baseline'!$D$1:$X$258,14,FALSE))))</f>
        <v/>
      </c>
      <c r="O87" s="524" t="str">
        <f>IF(E87="","",IF(ISNA(VLOOKUP($E87,'A-1 Site Habitat Baseline'!$D$1:$X$258,16,FALSE)),"",(VLOOKUP($E87,'A-1 Site Habitat Baseline'!$D$1:$X$258,13,FALSE))))</f>
        <v/>
      </c>
      <c r="P87" s="237" t="str">
        <f>IFERROR(INDEX('G-1 All Habitats'!$AG$3:$AG$15,MATCH(Q87,'G-1 All Habitats'!$AF$3:$AF$15,0)),"")</f>
        <v/>
      </c>
      <c r="Q87" s="238" t="str">
        <f t="shared" si="14"/>
        <v/>
      </c>
      <c r="R87" s="238" t="str">
        <f t="shared" si="15"/>
        <v/>
      </c>
      <c r="S87" s="392" t="str">
        <f>IFERROR(INDEX('G-1 All Habitats'!$B$3:$B$129,MATCH(R87,'G-1 All Habitats'!$A$3:$A$129,0)),"")</f>
        <v/>
      </c>
      <c r="T87" s="498" t="str">
        <f t="shared" si="16"/>
        <v/>
      </c>
      <c r="U87" s="499" t="str">
        <f t="shared" si="17"/>
        <v/>
      </c>
      <c r="V87" s="537" t="str">
        <f t="shared" si="11"/>
        <v/>
      </c>
      <c r="W87" s="520" t="str">
        <f>IF(S87="","",VLOOKUP(S87,'G-1 All Habitats'!$B$2:$M$129,10,FALSE))</f>
        <v/>
      </c>
      <c r="X87" s="520" t="str">
        <f>IFERROR(VLOOKUP(W87,'G-1 All Habitats'!$V$3:$W$7,2,FALSE),"")</f>
        <v/>
      </c>
      <c r="Y87" s="79"/>
      <c r="Z87" s="524" t="str">
        <f>IFERROR(INDEX('G-8 Condition Look up'!$A$3:$H$130,MATCH(S87,'G-8 Condition Look up'!$A$3:$A$130,0),MATCH(Y87,'G-8 Condition Look up'!$A$3:$H$3,0)),"")</f>
        <v/>
      </c>
      <c r="AA87" s="71"/>
      <c r="AB87" s="520" t="str">
        <f>IF(AA87="","",IF(VLOOKUP(AA87,'G-3 Multipliers'!$L$3:$N$6,2,FALSE)=0,"Spatial Data Missing ⚠",VLOOKUP(AA87,'G-3 Multipliers'!$L$3:$N$6,2,FALSE)))</f>
        <v/>
      </c>
      <c r="AC87" s="524" t="str">
        <f>IF(AA87="","",IF(VLOOKUP(AA87,'G-3 Multipliers'!$L$3:$N$6,3,FALSE)=0,"Spatial Data Missing ⚠",VLOOKUP(AA87,'G-3 Multipliers'!$L$3:$N$6,3,FALSE)))</f>
        <v/>
      </c>
      <c r="AD87" s="539" t="str">
        <f t="shared" si="12"/>
        <v/>
      </c>
      <c r="AE87" s="82"/>
      <c r="AF87" s="82"/>
      <c r="AG87" s="507" t="str">
        <f t="shared" si="18"/>
        <v/>
      </c>
      <c r="AH87" s="521" t="str">
        <f t="shared" si="19"/>
        <v/>
      </c>
      <c r="AI87" s="522" t="str">
        <f>IF(AH87="Check Data","Check Data",IFERROR(VLOOKUP(AH87,'G-4 Temporal multipliers'!$A$4:$C$36,3,FALSE),""))</f>
        <v/>
      </c>
      <c r="AJ87" s="498" t="str">
        <f>IF(S87="","",VLOOKUP(S87,'G-3 Multipliers'!$A$2:$E$129,4,FALSE))</f>
        <v/>
      </c>
      <c r="AK87" s="507" t="str">
        <f t="shared" si="20"/>
        <v/>
      </c>
      <c r="AL87" s="507" t="str">
        <f t="shared" si="21"/>
        <v/>
      </c>
      <c r="AM87" s="540" t="str">
        <f>IFERROR(IF(F87="","",IF(AH87="Check Data ⚠","Check Data ⚠",VLOOKUP(AL87, 'G-3 Multipliers'!$P$2:$Q$6,2,FALSE))),"")</f>
        <v/>
      </c>
      <c r="AN87" s="513" t="str">
        <f t="shared" si="13"/>
        <v/>
      </c>
      <c r="AO87" s="239"/>
      <c r="AP87" s="240"/>
    </row>
    <row r="88" spans="1:42" x14ac:dyDescent="0.3">
      <c r="A88" s="47" t="str">
        <f>IF(E88="","",IF(ISNA(VLOOKUP($E88,'A-1 Site Habitat Baseline'!$D$1:$O$258,2,FALSE)),"",(VLOOKUP($E88,'A-1 Site Habitat Baseline'!$D$1:$O$258,2,FALSE))))</f>
        <v/>
      </c>
      <c r="B88" s="47" t="str">
        <f>IF(E88="","",IF(ISNA(VLOOKUP($E88,'A-1 Site Habitat Baseline'!$D$1:$O$258,3,FALSE)),"",(VLOOKUP($E88,'A-1 Site Habitat Baseline'!$D$1:$O$258,3,FALSE))))</f>
        <v/>
      </c>
      <c r="C88" s="47" t="str">
        <f>IFERROR(INDEX('G-8 Condition Look up'!$I$4:$I$130,MATCH(S88,'G-8 Condition Look up'!$A$4:$A$130,0)),"")</f>
        <v/>
      </c>
      <c r="E88" s="531" t="str">
        <f>'A-1 Site Habitat Baseline'!AL87</f>
        <v/>
      </c>
      <c r="F88" s="520" t="str">
        <f>IF(E88="","",IF(ISNA(VLOOKUP($E88,'A-1 Site Habitat Baseline'!$D$1:$O$258,4,FALSE)),"",(VLOOKUP($E88,'A-1 Site Habitat Baseline'!$D$1:$O$258,4,FALSE))))</f>
        <v/>
      </c>
      <c r="G88" s="520" t="str">
        <f>IF(E88="","",IF(ISNA(VLOOKUP($E88,'A-1 Site Habitat Baseline'!$D$1:$O$258,5,FALSE)),"",(VLOOKUP($E88,'A-1 Site Habitat Baseline'!$D$1:$O$258,5,FALSE))))</f>
        <v/>
      </c>
      <c r="H88" s="520" t="str">
        <f>IF(E88="","",IF(ISNA(VLOOKUP($E88,'A-1 Site Habitat Baseline'!$D$1:$O$258,6,FALSE)),"",(VLOOKUP($E88,'A-1 Site Habitat Baseline'!$D$1:$O$258,6,FALSE))))</f>
        <v/>
      </c>
      <c r="I88" s="520" t="str">
        <f>IF(E88="","",IF(ISNA(VLOOKUP($E88,'A-1 Site Habitat Baseline'!$D$1:$O$258,7,FALSE)),"",(VLOOKUP($E88,'A-1 Site Habitat Baseline'!$D$1:$O$258,7,FALSE))))</f>
        <v/>
      </c>
      <c r="J88" s="520" t="str">
        <f>IF(E88="","",IF(ISNA(VLOOKUP($E88,'A-1 Site Habitat Baseline'!$D$1:$O$258,8,FALSE)),"",(VLOOKUP($E88,'A-1 Site Habitat Baseline'!$D$1:$O$258,8,FALSE))))</f>
        <v/>
      </c>
      <c r="K88" s="520" t="str">
        <f>IF(E88="","",IF(ISNA(VLOOKUP($E88,'A-1 Site Habitat Baseline'!$D$1:$O$258,9,FALSE)),"",(VLOOKUP($E88,'A-1 Site Habitat Baseline'!$D$1:$O$258,9,FALSE))))</f>
        <v/>
      </c>
      <c r="L88" s="520" t="str">
        <f>IF(E88="","",IF(ISNA(VLOOKUP($E88,'A-1 Site Habitat Baseline'!$D$1:$O$258,11,FALSE)),"",(VLOOKUP($E88,'A-1 Site Habitat Baseline'!$D$1:$O$258,11,FALSE))))</f>
        <v/>
      </c>
      <c r="M88" s="520" t="str">
        <f>IF(E88="","",IF(ISNA(VLOOKUP($E88,'A-1 Site Habitat Baseline'!$D$1:$O$258,12,FALSE)),"",(VLOOKUP($E88,'A-1 Site Habitat Baseline'!$D$1:$O$258,12,FALSE))))</f>
        <v/>
      </c>
      <c r="N88" s="532" t="str">
        <f>IF(E88="","",IF(ISNA(VLOOKUP($E88,'A-1 Site Habitat Baseline'!$D$1:$X$258,14,FALSE)),"",(VLOOKUP($E88,'A-1 Site Habitat Baseline'!$D$1:$X$258,14,FALSE))))</f>
        <v/>
      </c>
      <c r="O88" s="524" t="str">
        <f>IF(E88="","",IF(ISNA(VLOOKUP($E88,'A-1 Site Habitat Baseline'!$D$1:$X$258,16,FALSE)),"",(VLOOKUP($E88,'A-1 Site Habitat Baseline'!$D$1:$X$258,13,FALSE))))</f>
        <v/>
      </c>
      <c r="P88" s="237" t="str">
        <f>IFERROR(INDEX('G-1 All Habitats'!$AG$3:$AG$15,MATCH(Q88,'G-1 All Habitats'!$AF$3:$AF$15,0)),"")</f>
        <v/>
      </c>
      <c r="Q88" s="238" t="str">
        <f t="shared" si="14"/>
        <v/>
      </c>
      <c r="R88" s="238" t="str">
        <f t="shared" si="15"/>
        <v/>
      </c>
      <c r="S88" s="392" t="str">
        <f>IFERROR(INDEX('G-1 All Habitats'!$B$3:$B$129,MATCH(R88,'G-1 All Habitats'!$A$3:$A$129,0)),"")</f>
        <v/>
      </c>
      <c r="T88" s="498" t="str">
        <f t="shared" si="16"/>
        <v/>
      </c>
      <c r="U88" s="499" t="str">
        <f t="shared" si="17"/>
        <v/>
      </c>
      <c r="V88" s="537" t="str">
        <f t="shared" si="11"/>
        <v/>
      </c>
      <c r="W88" s="520" t="str">
        <f>IF(S88="","",VLOOKUP(S88,'G-1 All Habitats'!$B$2:$M$129,10,FALSE))</f>
        <v/>
      </c>
      <c r="X88" s="520" t="str">
        <f>IFERROR(VLOOKUP(W88,'G-1 All Habitats'!$V$3:$W$7,2,FALSE),"")</f>
        <v/>
      </c>
      <c r="Y88" s="79"/>
      <c r="Z88" s="524" t="str">
        <f>IFERROR(INDEX('G-8 Condition Look up'!$A$3:$H$130,MATCH(S88,'G-8 Condition Look up'!$A$3:$A$130,0),MATCH(Y88,'G-8 Condition Look up'!$A$3:$H$3,0)),"")</f>
        <v/>
      </c>
      <c r="AA88" s="71"/>
      <c r="AB88" s="520" t="str">
        <f>IF(AA88="","",IF(VLOOKUP(AA88,'G-3 Multipliers'!$L$3:$N$6,2,FALSE)=0,"Spatial Data Missing ⚠",VLOOKUP(AA88,'G-3 Multipliers'!$L$3:$N$6,2,FALSE)))</f>
        <v/>
      </c>
      <c r="AC88" s="524" t="str">
        <f>IF(AA88="","",IF(VLOOKUP(AA88,'G-3 Multipliers'!$L$3:$N$6,3,FALSE)=0,"Spatial Data Missing ⚠",VLOOKUP(AA88,'G-3 Multipliers'!$L$3:$N$6,3,FALSE)))</f>
        <v/>
      </c>
      <c r="AD88" s="539" t="str">
        <f t="shared" si="12"/>
        <v/>
      </c>
      <c r="AE88" s="82"/>
      <c r="AF88" s="82"/>
      <c r="AG88" s="507" t="str">
        <f t="shared" si="18"/>
        <v/>
      </c>
      <c r="AH88" s="521" t="str">
        <f t="shared" si="19"/>
        <v/>
      </c>
      <c r="AI88" s="522" t="str">
        <f>IF(AH88="Check Data","Check Data",IFERROR(VLOOKUP(AH88,'G-4 Temporal multipliers'!$A$4:$C$36,3,FALSE),""))</f>
        <v/>
      </c>
      <c r="AJ88" s="498" t="str">
        <f>IF(S88="","",VLOOKUP(S88,'G-3 Multipliers'!$A$2:$E$129,4,FALSE))</f>
        <v/>
      </c>
      <c r="AK88" s="507" t="str">
        <f t="shared" si="20"/>
        <v/>
      </c>
      <c r="AL88" s="507" t="str">
        <f t="shared" si="21"/>
        <v/>
      </c>
      <c r="AM88" s="540" t="str">
        <f>IFERROR(IF(F88="","",IF(AH88="Check Data ⚠","Check Data ⚠",VLOOKUP(AL88, 'G-3 Multipliers'!$P$2:$Q$6,2,FALSE))),"")</f>
        <v/>
      </c>
      <c r="AN88" s="513" t="str">
        <f t="shared" si="13"/>
        <v/>
      </c>
      <c r="AO88" s="239"/>
      <c r="AP88" s="240"/>
    </row>
    <row r="89" spans="1:42" x14ac:dyDescent="0.3">
      <c r="A89" s="47" t="str">
        <f>IF(E89="","",IF(ISNA(VLOOKUP($E89,'A-1 Site Habitat Baseline'!$D$1:$O$258,2,FALSE)),"",(VLOOKUP($E89,'A-1 Site Habitat Baseline'!$D$1:$O$258,2,FALSE))))</f>
        <v/>
      </c>
      <c r="B89" s="47" t="str">
        <f>IF(E89="","",IF(ISNA(VLOOKUP($E89,'A-1 Site Habitat Baseline'!$D$1:$O$258,3,FALSE)),"",(VLOOKUP($E89,'A-1 Site Habitat Baseline'!$D$1:$O$258,3,FALSE))))</f>
        <v/>
      </c>
      <c r="C89" s="47" t="str">
        <f>IFERROR(INDEX('G-8 Condition Look up'!$I$4:$I$130,MATCH(S89,'G-8 Condition Look up'!$A$4:$A$130,0)),"")</f>
        <v/>
      </c>
      <c r="E89" s="531" t="str">
        <f>'A-1 Site Habitat Baseline'!AL88</f>
        <v/>
      </c>
      <c r="F89" s="520" t="str">
        <f>IF(E89="","",IF(ISNA(VLOOKUP($E89,'A-1 Site Habitat Baseline'!$D$1:$O$258,4,FALSE)),"",(VLOOKUP($E89,'A-1 Site Habitat Baseline'!$D$1:$O$258,4,FALSE))))</f>
        <v/>
      </c>
      <c r="G89" s="520" t="str">
        <f>IF(E89="","",IF(ISNA(VLOOKUP($E89,'A-1 Site Habitat Baseline'!$D$1:$O$258,5,FALSE)),"",(VLOOKUP($E89,'A-1 Site Habitat Baseline'!$D$1:$O$258,5,FALSE))))</f>
        <v/>
      </c>
      <c r="H89" s="520" t="str">
        <f>IF(E89="","",IF(ISNA(VLOOKUP($E89,'A-1 Site Habitat Baseline'!$D$1:$O$258,6,FALSE)),"",(VLOOKUP($E89,'A-1 Site Habitat Baseline'!$D$1:$O$258,6,FALSE))))</f>
        <v/>
      </c>
      <c r="I89" s="520" t="str">
        <f>IF(E89="","",IF(ISNA(VLOOKUP($E89,'A-1 Site Habitat Baseline'!$D$1:$O$258,7,FALSE)),"",(VLOOKUP($E89,'A-1 Site Habitat Baseline'!$D$1:$O$258,7,FALSE))))</f>
        <v/>
      </c>
      <c r="J89" s="520" t="str">
        <f>IF(E89="","",IF(ISNA(VLOOKUP($E89,'A-1 Site Habitat Baseline'!$D$1:$O$258,8,FALSE)),"",(VLOOKUP($E89,'A-1 Site Habitat Baseline'!$D$1:$O$258,8,FALSE))))</f>
        <v/>
      </c>
      <c r="K89" s="520" t="str">
        <f>IF(E89="","",IF(ISNA(VLOOKUP($E89,'A-1 Site Habitat Baseline'!$D$1:$O$258,9,FALSE)),"",(VLOOKUP($E89,'A-1 Site Habitat Baseline'!$D$1:$O$258,9,FALSE))))</f>
        <v/>
      </c>
      <c r="L89" s="520" t="str">
        <f>IF(E89="","",IF(ISNA(VLOOKUP($E89,'A-1 Site Habitat Baseline'!$D$1:$O$258,11,FALSE)),"",(VLOOKUP($E89,'A-1 Site Habitat Baseline'!$D$1:$O$258,11,FALSE))))</f>
        <v/>
      </c>
      <c r="M89" s="520" t="str">
        <f>IF(E89="","",IF(ISNA(VLOOKUP($E89,'A-1 Site Habitat Baseline'!$D$1:$O$258,12,FALSE)),"",(VLOOKUP($E89,'A-1 Site Habitat Baseline'!$D$1:$O$258,12,FALSE))))</f>
        <v/>
      </c>
      <c r="N89" s="532" t="str">
        <f>IF(E89="","",IF(ISNA(VLOOKUP($E89,'A-1 Site Habitat Baseline'!$D$1:$X$258,14,FALSE)),"",(VLOOKUP($E89,'A-1 Site Habitat Baseline'!$D$1:$X$258,14,FALSE))))</f>
        <v/>
      </c>
      <c r="O89" s="524" t="str">
        <f>IF(E89="","",IF(ISNA(VLOOKUP($E89,'A-1 Site Habitat Baseline'!$D$1:$X$258,16,FALSE)),"",(VLOOKUP($E89,'A-1 Site Habitat Baseline'!$D$1:$X$258,13,FALSE))))</f>
        <v/>
      </c>
      <c r="P89" s="237" t="str">
        <f>IFERROR(INDEX('G-1 All Habitats'!$AG$3:$AG$15,MATCH(Q89,'G-1 All Habitats'!$AF$3:$AF$15,0)),"")</f>
        <v/>
      </c>
      <c r="Q89" s="238" t="str">
        <f t="shared" si="14"/>
        <v/>
      </c>
      <c r="R89" s="238" t="str">
        <f t="shared" si="15"/>
        <v/>
      </c>
      <c r="S89" s="392" t="str">
        <f>IFERROR(INDEX('G-1 All Habitats'!$B$3:$B$129,MATCH(R89,'G-1 All Habitats'!$A$3:$A$129,0)),"")</f>
        <v/>
      </c>
      <c r="T89" s="498" t="str">
        <f t="shared" si="16"/>
        <v/>
      </c>
      <c r="U89" s="499" t="str">
        <f t="shared" si="17"/>
        <v/>
      </c>
      <c r="V89" s="537" t="str">
        <f t="shared" si="11"/>
        <v/>
      </c>
      <c r="W89" s="520" t="str">
        <f>IF(S89="","",VLOOKUP(S89,'G-1 All Habitats'!$B$2:$M$129,10,FALSE))</f>
        <v/>
      </c>
      <c r="X89" s="520" t="str">
        <f>IFERROR(VLOOKUP(W89,'G-1 All Habitats'!$V$3:$W$7,2,FALSE),"")</f>
        <v/>
      </c>
      <c r="Y89" s="79"/>
      <c r="Z89" s="524" t="str">
        <f>IFERROR(INDEX('G-8 Condition Look up'!$A$3:$H$130,MATCH(S89,'G-8 Condition Look up'!$A$3:$A$130,0),MATCH(Y89,'G-8 Condition Look up'!$A$3:$H$3,0)),"")</f>
        <v/>
      </c>
      <c r="AA89" s="71"/>
      <c r="AB89" s="520" t="str">
        <f>IF(AA89="","",IF(VLOOKUP(AA89,'G-3 Multipliers'!$L$3:$N$6,2,FALSE)=0,"Spatial Data Missing ⚠",VLOOKUP(AA89,'G-3 Multipliers'!$L$3:$N$6,2,FALSE)))</f>
        <v/>
      </c>
      <c r="AC89" s="524" t="str">
        <f>IF(AA89="","",IF(VLOOKUP(AA89,'G-3 Multipliers'!$L$3:$N$6,3,FALSE)=0,"Spatial Data Missing ⚠",VLOOKUP(AA89,'G-3 Multipliers'!$L$3:$N$6,3,FALSE)))</f>
        <v/>
      </c>
      <c r="AD89" s="539" t="str">
        <f t="shared" si="12"/>
        <v/>
      </c>
      <c r="AE89" s="82"/>
      <c r="AF89" s="82"/>
      <c r="AG89" s="507" t="str">
        <f t="shared" si="18"/>
        <v/>
      </c>
      <c r="AH89" s="521" t="str">
        <f t="shared" si="19"/>
        <v/>
      </c>
      <c r="AI89" s="522" t="str">
        <f>IF(AH89="Check Data","Check Data",IFERROR(VLOOKUP(AH89,'G-4 Temporal multipliers'!$A$4:$C$36,3,FALSE),""))</f>
        <v/>
      </c>
      <c r="AJ89" s="498" t="str">
        <f>IF(S89="","",VLOOKUP(S89,'G-3 Multipliers'!$A$2:$E$129,4,FALSE))</f>
        <v/>
      </c>
      <c r="AK89" s="507" t="str">
        <f t="shared" si="20"/>
        <v/>
      </c>
      <c r="AL89" s="507" t="str">
        <f t="shared" si="21"/>
        <v/>
      </c>
      <c r="AM89" s="540" t="str">
        <f>IFERROR(IF(F89="","",IF(AH89="Check Data ⚠","Check Data ⚠",VLOOKUP(AL89, 'G-3 Multipliers'!$P$2:$Q$6,2,FALSE))),"")</f>
        <v/>
      </c>
      <c r="AN89" s="513" t="str">
        <f t="shared" si="13"/>
        <v/>
      </c>
      <c r="AO89" s="239"/>
      <c r="AP89" s="240"/>
    </row>
    <row r="90" spans="1:42" x14ac:dyDescent="0.3">
      <c r="A90" s="47" t="str">
        <f>IF(E90="","",IF(ISNA(VLOOKUP($E90,'A-1 Site Habitat Baseline'!$D$1:$O$258,2,FALSE)),"",(VLOOKUP($E90,'A-1 Site Habitat Baseline'!$D$1:$O$258,2,FALSE))))</f>
        <v/>
      </c>
      <c r="B90" s="47" t="str">
        <f>IF(E90="","",IF(ISNA(VLOOKUP($E90,'A-1 Site Habitat Baseline'!$D$1:$O$258,3,FALSE)),"",(VLOOKUP($E90,'A-1 Site Habitat Baseline'!$D$1:$O$258,3,FALSE))))</f>
        <v/>
      </c>
      <c r="C90" s="47" t="str">
        <f>IFERROR(INDEX('G-8 Condition Look up'!$I$4:$I$130,MATCH(S90,'G-8 Condition Look up'!$A$4:$A$130,0)),"")</f>
        <v/>
      </c>
      <c r="E90" s="531" t="str">
        <f>'A-1 Site Habitat Baseline'!AL89</f>
        <v/>
      </c>
      <c r="F90" s="520" t="str">
        <f>IF(E90="","",IF(ISNA(VLOOKUP($E90,'A-1 Site Habitat Baseline'!$D$1:$O$258,4,FALSE)),"",(VLOOKUP($E90,'A-1 Site Habitat Baseline'!$D$1:$O$258,4,FALSE))))</f>
        <v/>
      </c>
      <c r="G90" s="520" t="str">
        <f>IF(E90="","",IF(ISNA(VLOOKUP($E90,'A-1 Site Habitat Baseline'!$D$1:$O$258,5,FALSE)),"",(VLOOKUP($E90,'A-1 Site Habitat Baseline'!$D$1:$O$258,5,FALSE))))</f>
        <v/>
      </c>
      <c r="H90" s="520" t="str">
        <f>IF(E90="","",IF(ISNA(VLOOKUP($E90,'A-1 Site Habitat Baseline'!$D$1:$O$258,6,FALSE)),"",(VLOOKUP($E90,'A-1 Site Habitat Baseline'!$D$1:$O$258,6,FALSE))))</f>
        <v/>
      </c>
      <c r="I90" s="520" t="str">
        <f>IF(E90="","",IF(ISNA(VLOOKUP($E90,'A-1 Site Habitat Baseline'!$D$1:$O$258,7,FALSE)),"",(VLOOKUP($E90,'A-1 Site Habitat Baseline'!$D$1:$O$258,7,FALSE))))</f>
        <v/>
      </c>
      <c r="J90" s="520" t="str">
        <f>IF(E90="","",IF(ISNA(VLOOKUP($E90,'A-1 Site Habitat Baseline'!$D$1:$O$258,8,FALSE)),"",(VLOOKUP($E90,'A-1 Site Habitat Baseline'!$D$1:$O$258,8,FALSE))))</f>
        <v/>
      </c>
      <c r="K90" s="520" t="str">
        <f>IF(E90="","",IF(ISNA(VLOOKUP($E90,'A-1 Site Habitat Baseline'!$D$1:$O$258,9,FALSE)),"",(VLOOKUP($E90,'A-1 Site Habitat Baseline'!$D$1:$O$258,9,FALSE))))</f>
        <v/>
      </c>
      <c r="L90" s="520" t="str">
        <f>IF(E90="","",IF(ISNA(VLOOKUP($E90,'A-1 Site Habitat Baseline'!$D$1:$O$258,11,FALSE)),"",(VLOOKUP($E90,'A-1 Site Habitat Baseline'!$D$1:$O$258,11,FALSE))))</f>
        <v/>
      </c>
      <c r="M90" s="520" t="str">
        <f>IF(E90="","",IF(ISNA(VLOOKUP($E90,'A-1 Site Habitat Baseline'!$D$1:$O$258,12,FALSE)),"",(VLOOKUP($E90,'A-1 Site Habitat Baseline'!$D$1:$O$258,12,FALSE))))</f>
        <v/>
      </c>
      <c r="N90" s="532" t="str">
        <f>IF(E90="","",IF(ISNA(VLOOKUP($E90,'A-1 Site Habitat Baseline'!$D$1:$X$258,14,FALSE)),"",(VLOOKUP($E90,'A-1 Site Habitat Baseline'!$D$1:$X$258,14,FALSE))))</f>
        <v/>
      </c>
      <c r="O90" s="524" t="str">
        <f>IF(E90="","",IF(ISNA(VLOOKUP($E90,'A-1 Site Habitat Baseline'!$D$1:$X$258,16,FALSE)),"",(VLOOKUP($E90,'A-1 Site Habitat Baseline'!$D$1:$X$258,13,FALSE))))</f>
        <v/>
      </c>
      <c r="P90" s="237" t="str">
        <f>IFERROR(INDEX('G-1 All Habitats'!$AG$3:$AG$15,MATCH(Q90,'G-1 All Habitats'!$AF$3:$AF$15,0)),"")</f>
        <v/>
      </c>
      <c r="Q90" s="238" t="str">
        <f t="shared" si="14"/>
        <v/>
      </c>
      <c r="R90" s="238" t="str">
        <f t="shared" si="15"/>
        <v/>
      </c>
      <c r="S90" s="392" t="str">
        <f>IFERROR(INDEX('G-1 All Habitats'!$B$3:$B$129,MATCH(R90,'G-1 All Habitats'!$A$3:$A$129,0)),"")</f>
        <v/>
      </c>
      <c r="T90" s="498" t="str">
        <f t="shared" si="16"/>
        <v/>
      </c>
      <c r="U90" s="499" t="str">
        <f t="shared" si="17"/>
        <v/>
      </c>
      <c r="V90" s="537" t="str">
        <f t="shared" si="11"/>
        <v/>
      </c>
      <c r="W90" s="520" t="str">
        <f>IF(S90="","",VLOOKUP(S90,'G-1 All Habitats'!$B$2:$M$129,10,FALSE))</f>
        <v/>
      </c>
      <c r="X90" s="520" t="str">
        <f>IFERROR(VLOOKUP(W90,'G-1 All Habitats'!$V$3:$W$7,2,FALSE),"")</f>
        <v/>
      </c>
      <c r="Y90" s="79"/>
      <c r="Z90" s="524" t="str">
        <f>IFERROR(INDEX('G-8 Condition Look up'!$A$3:$H$130,MATCH(S90,'G-8 Condition Look up'!$A$3:$A$130,0),MATCH(Y90,'G-8 Condition Look up'!$A$3:$H$3,0)),"")</f>
        <v/>
      </c>
      <c r="AA90" s="71"/>
      <c r="AB90" s="520" t="str">
        <f>IF(AA90="","",IF(VLOOKUP(AA90,'G-3 Multipliers'!$L$3:$N$6,2,FALSE)=0,"Spatial Data Missing ⚠",VLOOKUP(AA90,'G-3 Multipliers'!$L$3:$N$6,2,FALSE)))</f>
        <v/>
      </c>
      <c r="AC90" s="524" t="str">
        <f>IF(AA90="","",IF(VLOOKUP(AA90,'G-3 Multipliers'!$L$3:$N$6,3,FALSE)=0,"Spatial Data Missing ⚠",VLOOKUP(AA90,'G-3 Multipliers'!$L$3:$N$6,3,FALSE)))</f>
        <v/>
      </c>
      <c r="AD90" s="539" t="str">
        <f t="shared" si="12"/>
        <v/>
      </c>
      <c r="AE90" s="82"/>
      <c r="AF90" s="82"/>
      <c r="AG90" s="507" t="str">
        <f t="shared" si="18"/>
        <v/>
      </c>
      <c r="AH90" s="521" t="str">
        <f t="shared" si="19"/>
        <v/>
      </c>
      <c r="AI90" s="522" t="str">
        <f>IF(AH90="Check Data","Check Data",IFERROR(VLOOKUP(AH90,'G-4 Temporal multipliers'!$A$4:$C$36,3,FALSE),""))</f>
        <v/>
      </c>
      <c r="AJ90" s="498" t="str">
        <f>IF(S90="","",VLOOKUP(S90,'G-3 Multipliers'!$A$2:$E$129,4,FALSE))</f>
        <v/>
      </c>
      <c r="AK90" s="507" t="str">
        <f t="shared" si="20"/>
        <v/>
      </c>
      <c r="AL90" s="507" t="str">
        <f t="shared" si="21"/>
        <v/>
      </c>
      <c r="AM90" s="540" t="str">
        <f>IFERROR(IF(F90="","",IF(AH90="Check Data ⚠","Check Data ⚠",VLOOKUP(AL90, 'G-3 Multipliers'!$P$2:$Q$6,2,FALSE))),"")</f>
        <v/>
      </c>
      <c r="AN90" s="513" t="str">
        <f t="shared" si="13"/>
        <v/>
      </c>
      <c r="AO90" s="239"/>
      <c r="AP90" s="240"/>
    </row>
    <row r="91" spans="1:42" x14ac:dyDescent="0.3">
      <c r="A91" s="47" t="str">
        <f>IF(E91="","",IF(ISNA(VLOOKUP($E91,'A-1 Site Habitat Baseline'!$D$1:$O$258,2,FALSE)),"",(VLOOKUP($E91,'A-1 Site Habitat Baseline'!$D$1:$O$258,2,FALSE))))</f>
        <v/>
      </c>
      <c r="B91" s="47" t="str">
        <f>IF(E91="","",IF(ISNA(VLOOKUP($E91,'A-1 Site Habitat Baseline'!$D$1:$O$258,3,FALSE)),"",(VLOOKUP($E91,'A-1 Site Habitat Baseline'!$D$1:$O$258,3,FALSE))))</f>
        <v/>
      </c>
      <c r="C91" s="47" t="str">
        <f>IFERROR(INDEX('G-8 Condition Look up'!$I$4:$I$130,MATCH(S91,'G-8 Condition Look up'!$A$4:$A$130,0)),"")</f>
        <v/>
      </c>
      <c r="E91" s="531" t="str">
        <f>'A-1 Site Habitat Baseline'!AL90</f>
        <v/>
      </c>
      <c r="F91" s="520" t="str">
        <f>IF(E91="","",IF(ISNA(VLOOKUP($E91,'A-1 Site Habitat Baseline'!$D$1:$O$258,4,FALSE)),"",(VLOOKUP($E91,'A-1 Site Habitat Baseline'!$D$1:$O$258,4,FALSE))))</f>
        <v/>
      </c>
      <c r="G91" s="520" t="str">
        <f>IF(E91="","",IF(ISNA(VLOOKUP($E91,'A-1 Site Habitat Baseline'!$D$1:$O$258,5,FALSE)),"",(VLOOKUP($E91,'A-1 Site Habitat Baseline'!$D$1:$O$258,5,FALSE))))</f>
        <v/>
      </c>
      <c r="H91" s="520" t="str">
        <f>IF(E91="","",IF(ISNA(VLOOKUP($E91,'A-1 Site Habitat Baseline'!$D$1:$O$258,6,FALSE)),"",(VLOOKUP($E91,'A-1 Site Habitat Baseline'!$D$1:$O$258,6,FALSE))))</f>
        <v/>
      </c>
      <c r="I91" s="520" t="str">
        <f>IF(E91="","",IF(ISNA(VLOOKUP($E91,'A-1 Site Habitat Baseline'!$D$1:$O$258,7,FALSE)),"",(VLOOKUP($E91,'A-1 Site Habitat Baseline'!$D$1:$O$258,7,FALSE))))</f>
        <v/>
      </c>
      <c r="J91" s="520" t="str">
        <f>IF(E91="","",IF(ISNA(VLOOKUP($E91,'A-1 Site Habitat Baseline'!$D$1:$O$258,8,FALSE)),"",(VLOOKUP($E91,'A-1 Site Habitat Baseline'!$D$1:$O$258,8,FALSE))))</f>
        <v/>
      </c>
      <c r="K91" s="520" t="str">
        <f>IF(E91="","",IF(ISNA(VLOOKUP($E91,'A-1 Site Habitat Baseline'!$D$1:$O$258,9,FALSE)),"",(VLOOKUP($E91,'A-1 Site Habitat Baseline'!$D$1:$O$258,9,FALSE))))</f>
        <v/>
      </c>
      <c r="L91" s="520" t="str">
        <f>IF(E91="","",IF(ISNA(VLOOKUP($E91,'A-1 Site Habitat Baseline'!$D$1:$O$258,11,FALSE)),"",(VLOOKUP($E91,'A-1 Site Habitat Baseline'!$D$1:$O$258,11,FALSE))))</f>
        <v/>
      </c>
      <c r="M91" s="520" t="str">
        <f>IF(E91="","",IF(ISNA(VLOOKUP($E91,'A-1 Site Habitat Baseline'!$D$1:$O$258,12,FALSE)),"",(VLOOKUP($E91,'A-1 Site Habitat Baseline'!$D$1:$O$258,12,FALSE))))</f>
        <v/>
      </c>
      <c r="N91" s="532" t="str">
        <f>IF(E91="","",IF(ISNA(VLOOKUP($E91,'A-1 Site Habitat Baseline'!$D$1:$X$258,14,FALSE)),"",(VLOOKUP($E91,'A-1 Site Habitat Baseline'!$D$1:$X$258,14,FALSE))))</f>
        <v/>
      </c>
      <c r="O91" s="524" t="str">
        <f>IF(E91="","",IF(ISNA(VLOOKUP($E91,'A-1 Site Habitat Baseline'!$D$1:$X$258,16,FALSE)),"",(VLOOKUP($E91,'A-1 Site Habitat Baseline'!$D$1:$X$258,13,FALSE))))</f>
        <v/>
      </c>
      <c r="P91" s="237" t="str">
        <f>IFERROR(INDEX('G-1 All Habitats'!$AG$3:$AG$15,MATCH(Q91,'G-1 All Habitats'!$AF$3:$AF$15,0)),"")</f>
        <v/>
      </c>
      <c r="Q91" s="238" t="str">
        <f t="shared" si="14"/>
        <v/>
      </c>
      <c r="R91" s="238" t="str">
        <f t="shared" si="15"/>
        <v/>
      </c>
      <c r="S91" s="392" t="str">
        <f>IFERROR(INDEX('G-1 All Habitats'!$B$3:$B$129,MATCH(R91,'G-1 All Habitats'!$A$3:$A$129,0)),"")</f>
        <v/>
      </c>
      <c r="T91" s="498" t="str">
        <f t="shared" si="16"/>
        <v/>
      </c>
      <c r="U91" s="499" t="str">
        <f t="shared" si="17"/>
        <v/>
      </c>
      <c r="V91" s="537" t="str">
        <f t="shared" si="11"/>
        <v/>
      </c>
      <c r="W91" s="520" t="str">
        <f>IF(S91="","",VLOOKUP(S91,'G-1 All Habitats'!$B$2:$M$129,10,FALSE))</f>
        <v/>
      </c>
      <c r="X91" s="520" t="str">
        <f>IFERROR(VLOOKUP(W91,'G-1 All Habitats'!$V$3:$W$7,2,FALSE),"")</f>
        <v/>
      </c>
      <c r="Y91" s="79"/>
      <c r="Z91" s="524" t="str">
        <f>IFERROR(INDEX('G-8 Condition Look up'!$A$3:$H$130,MATCH(S91,'G-8 Condition Look up'!$A$3:$A$130,0),MATCH(Y91,'G-8 Condition Look up'!$A$3:$H$3,0)),"")</f>
        <v/>
      </c>
      <c r="AA91" s="71"/>
      <c r="AB91" s="520" t="str">
        <f>IF(AA91="","",IF(VLOOKUP(AA91,'G-3 Multipliers'!$L$3:$N$6,2,FALSE)=0,"Spatial Data Missing ⚠",VLOOKUP(AA91,'G-3 Multipliers'!$L$3:$N$6,2,FALSE)))</f>
        <v/>
      </c>
      <c r="AC91" s="524" t="str">
        <f>IF(AA91="","",IF(VLOOKUP(AA91,'G-3 Multipliers'!$L$3:$N$6,3,FALSE)=0,"Spatial Data Missing ⚠",VLOOKUP(AA91,'G-3 Multipliers'!$L$3:$N$6,3,FALSE)))</f>
        <v/>
      </c>
      <c r="AD91" s="539" t="str">
        <f t="shared" si="12"/>
        <v/>
      </c>
      <c r="AE91" s="82"/>
      <c r="AF91" s="82"/>
      <c r="AG91" s="507" t="str">
        <f t="shared" si="18"/>
        <v/>
      </c>
      <c r="AH91" s="521" t="str">
        <f t="shared" si="19"/>
        <v/>
      </c>
      <c r="AI91" s="522" t="str">
        <f>IF(AH91="Check Data","Check Data",IFERROR(VLOOKUP(AH91,'G-4 Temporal multipliers'!$A$4:$C$36,3,FALSE),""))</f>
        <v/>
      </c>
      <c r="AJ91" s="498" t="str">
        <f>IF(S91="","",VLOOKUP(S91,'G-3 Multipliers'!$A$2:$E$129,4,FALSE))</f>
        <v/>
      </c>
      <c r="AK91" s="507" t="str">
        <f t="shared" si="20"/>
        <v/>
      </c>
      <c r="AL91" s="507" t="str">
        <f t="shared" si="21"/>
        <v/>
      </c>
      <c r="AM91" s="540" t="str">
        <f>IFERROR(IF(F91="","",IF(AH91="Check Data ⚠","Check Data ⚠",VLOOKUP(AL91, 'G-3 Multipliers'!$P$2:$Q$6,2,FALSE))),"")</f>
        <v/>
      </c>
      <c r="AN91" s="513" t="str">
        <f t="shared" si="13"/>
        <v/>
      </c>
      <c r="AO91" s="239"/>
      <c r="AP91" s="240"/>
    </row>
    <row r="92" spans="1:42" x14ac:dyDescent="0.3">
      <c r="A92" s="47" t="str">
        <f>IF(E92="","",IF(ISNA(VLOOKUP($E92,'A-1 Site Habitat Baseline'!$D$1:$O$258,2,FALSE)),"",(VLOOKUP($E92,'A-1 Site Habitat Baseline'!$D$1:$O$258,2,FALSE))))</f>
        <v/>
      </c>
      <c r="B92" s="47" t="str">
        <f>IF(E92="","",IF(ISNA(VLOOKUP($E92,'A-1 Site Habitat Baseline'!$D$1:$O$258,3,FALSE)),"",(VLOOKUP($E92,'A-1 Site Habitat Baseline'!$D$1:$O$258,3,FALSE))))</f>
        <v/>
      </c>
      <c r="C92" s="47" t="str">
        <f>IFERROR(INDEX('G-8 Condition Look up'!$I$4:$I$130,MATCH(S92,'G-8 Condition Look up'!$A$4:$A$130,0)),"")</f>
        <v/>
      </c>
      <c r="E92" s="531" t="str">
        <f>'A-1 Site Habitat Baseline'!AL91</f>
        <v/>
      </c>
      <c r="F92" s="520" t="str">
        <f>IF(E92="","",IF(ISNA(VLOOKUP($E92,'A-1 Site Habitat Baseline'!$D$1:$O$258,4,FALSE)),"",(VLOOKUP($E92,'A-1 Site Habitat Baseline'!$D$1:$O$258,4,FALSE))))</f>
        <v/>
      </c>
      <c r="G92" s="520" t="str">
        <f>IF(E92="","",IF(ISNA(VLOOKUP($E92,'A-1 Site Habitat Baseline'!$D$1:$O$258,5,FALSE)),"",(VLOOKUP($E92,'A-1 Site Habitat Baseline'!$D$1:$O$258,5,FALSE))))</f>
        <v/>
      </c>
      <c r="H92" s="520" t="str">
        <f>IF(E92="","",IF(ISNA(VLOOKUP($E92,'A-1 Site Habitat Baseline'!$D$1:$O$258,6,FALSE)),"",(VLOOKUP($E92,'A-1 Site Habitat Baseline'!$D$1:$O$258,6,FALSE))))</f>
        <v/>
      </c>
      <c r="I92" s="520" t="str">
        <f>IF(E92="","",IF(ISNA(VLOOKUP($E92,'A-1 Site Habitat Baseline'!$D$1:$O$258,7,FALSE)),"",(VLOOKUP($E92,'A-1 Site Habitat Baseline'!$D$1:$O$258,7,FALSE))))</f>
        <v/>
      </c>
      <c r="J92" s="520" t="str">
        <f>IF(E92="","",IF(ISNA(VLOOKUP($E92,'A-1 Site Habitat Baseline'!$D$1:$O$258,8,FALSE)),"",(VLOOKUP($E92,'A-1 Site Habitat Baseline'!$D$1:$O$258,8,FALSE))))</f>
        <v/>
      </c>
      <c r="K92" s="520" t="str">
        <f>IF(E92="","",IF(ISNA(VLOOKUP($E92,'A-1 Site Habitat Baseline'!$D$1:$O$258,9,FALSE)),"",(VLOOKUP($E92,'A-1 Site Habitat Baseline'!$D$1:$O$258,9,FALSE))))</f>
        <v/>
      </c>
      <c r="L92" s="520" t="str">
        <f>IF(E92="","",IF(ISNA(VLOOKUP($E92,'A-1 Site Habitat Baseline'!$D$1:$O$258,11,FALSE)),"",(VLOOKUP($E92,'A-1 Site Habitat Baseline'!$D$1:$O$258,11,FALSE))))</f>
        <v/>
      </c>
      <c r="M92" s="520" t="str">
        <f>IF(E92="","",IF(ISNA(VLOOKUP($E92,'A-1 Site Habitat Baseline'!$D$1:$O$258,12,FALSE)),"",(VLOOKUP($E92,'A-1 Site Habitat Baseline'!$D$1:$O$258,12,FALSE))))</f>
        <v/>
      </c>
      <c r="N92" s="532" t="str">
        <f>IF(E92="","",IF(ISNA(VLOOKUP($E92,'A-1 Site Habitat Baseline'!$D$1:$X$258,14,FALSE)),"",(VLOOKUP($E92,'A-1 Site Habitat Baseline'!$D$1:$X$258,14,FALSE))))</f>
        <v/>
      </c>
      <c r="O92" s="524" t="str">
        <f>IF(E92="","",IF(ISNA(VLOOKUP($E92,'A-1 Site Habitat Baseline'!$D$1:$X$258,16,FALSE)),"",(VLOOKUP($E92,'A-1 Site Habitat Baseline'!$D$1:$X$258,13,FALSE))))</f>
        <v/>
      </c>
      <c r="P92" s="237" t="str">
        <f>IFERROR(INDEX('G-1 All Habitats'!$AG$3:$AG$15,MATCH(Q92,'G-1 All Habitats'!$AF$3:$AF$15,0)),"")</f>
        <v/>
      </c>
      <c r="Q92" s="238" t="str">
        <f t="shared" si="14"/>
        <v/>
      </c>
      <c r="R92" s="238" t="str">
        <f t="shared" si="15"/>
        <v/>
      </c>
      <c r="S92" s="392" t="str">
        <f>IFERROR(INDEX('G-1 All Habitats'!$B$3:$B$129,MATCH(R92,'G-1 All Habitats'!$A$3:$A$129,0)),"")</f>
        <v/>
      </c>
      <c r="T92" s="498" t="str">
        <f t="shared" si="16"/>
        <v/>
      </c>
      <c r="U92" s="499" t="str">
        <f t="shared" si="17"/>
        <v/>
      </c>
      <c r="V92" s="537" t="str">
        <f t="shared" si="11"/>
        <v/>
      </c>
      <c r="W92" s="520" t="str">
        <f>IF(S92="","",VLOOKUP(S92,'G-1 All Habitats'!$B$2:$M$129,10,FALSE))</f>
        <v/>
      </c>
      <c r="X92" s="520" t="str">
        <f>IFERROR(VLOOKUP(W92,'G-1 All Habitats'!$V$3:$W$7,2,FALSE),"")</f>
        <v/>
      </c>
      <c r="Y92" s="79"/>
      <c r="Z92" s="524" t="str">
        <f>IFERROR(INDEX('G-8 Condition Look up'!$A$3:$H$130,MATCH(S92,'G-8 Condition Look up'!$A$3:$A$130,0),MATCH(Y92,'G-8 Condition Look up'!$A$3:$H$3,0)),"")</f>
        <v/>
      </c>
      <c r="AA92" s="71"/>
      <c r="AB92" s="520" t="str">
        <f>IF(AA92="","",IF(VLOOKUP(AA92,'G-3 Multipliers'!$L$3:$N$6,2,FALSE)=0,"Spatial Data Missing ⚠",VLOOKUP(AA92,'G-3 Multipliers'!$L$3:$N$6,2,FALSE)))</f>
        <v/>
      </c>
      <c r="AC92" s="524" t="str">
        <f>IF(AA92="","",IF(VLOOKUP(AA92,'G-3 Multipliers'!$L$3:$N$6,3,FALSE)=0,"Spatial Data Missing ⚠",VLOOKUP(AA92,'G-3 Multipliers'!$L$3:$N$6,3,FALSE)))</f>
        <v/>
      </c>
      <c r="AD92" s="539" t="str">
        <f t="shared" si="12"/>
        <v/>
      </c>
      <c r="AE92" s="82"/>
      <c r="AF92" s="82"/>
      <c r="AG92" s="507" t="str">
        <f t="shared" si="18"/>
        <v/>
      </c>
      <c r="AH92" s="521" t="str">
        <f t="shared" si="19"/>
        <v/>
      </c>
      <c r="AI92" s="522" t="str">
        <f>IF(AH92="Check Data","Check Data",IFERROR(VLOOKUP(AH92,'G-4 Temporal multipliers'!$A$4:$C$36,3,FALSE),""))</f>
        <v/>
      </c>
      <c r="AJ92" s="498" t="str">
        <f>IF(S92="","",VLOOKUP(S92,'G-3 Multipliers'!$A$2:$E$129,4,FALSE))</f>
        <v/>
      </c>
      <c r="AK92" s="507" t="str">
        <f t="shared" si="20"/>
        <v/>
      </c>
      <c r="AL92" s="507" t="str">
        <f t="shared" si="21"/>
        <v/>
      </c>
      <c r="AM92" s="540" t="str">
        <f>IFERROR(IF(F92="","",IF(AH92="Check Data ⚠","Check Data ⚠",VLOOKUP(AL92, 'G-3 Multipliers'!$P$2:$Q$6,2,FALSE))),"")</f>
        <v/>
      </c>
      <c r="AN92" s="513" t="str">
        <f t="shared" si="13"/>
        <v/>
      </c>
      <c r="AO92" s="239"/>
      <c r="AP92" s="240"/>
    </row>
    <row r="93" spans="1:42" x14ac:dyDescent="0.3">
      <c r="A93" s="47" t="str">
        <f>IF(E93="","",IF(ISNA(VLOOKUP($E93,'A-1 Site Habitat Baseline'!$D$1:$O$258,2,FALSE)),"",(VLOOKUP($E93,'A-1 Site Habitat Baseline'!$D$1:$O$258,2,FALSE))))</f>
        <v/>
      </c>
      <c r="B93" s="47" t="str">
        <f>IF(E93="","",IF(ISNA(VLOOKUP($E93,'A-1 Site Habitat Baseline'!$D$1:$O$258,3,FALSE)),"",(VLOOKUP($E93,'A-1 Site Habitat Baseline'!$D$1:$O$258,3,FALSE))))</f>
        <v/>
      </c>
      <c r="C93" s="47" t="str">
        <f>IFERROR(INDEX('G-8 Condition Look up'!$I$4:$I$130,MATCH(S93,'G-8 Condition Look up'!$A$4:$A$130,0)),"")</f>
        <v/>
      </c>
      <c r="E93" s="531" t="str">
        <f>'A-1 Site Habitat Baseline'!AL92</f>
        <v/>
      </c>
      <c r="F93" s="520" t="str">
        <f>IF(E93="","",IF(ISNA(VLOOKUP($E93,'A-1 Site Habitat Baseline'!$D$1:$O$258,4,FALSE)),"",(VLOOKUP($E93,'A-1 Site Habitat Baseline'!$D$1:$O$258,4,FALSE))))</f>
        <v/>
      </c>
      <c r="G93" s="520" t="str">
        <f>IF(E93="","",IF(ISNA(VLOOKUP($E93,'A-1 Site Habitat Baseline'!$D$1:$O$258,5,FALSE)),"",(VLOOKUP($E93,'A-1 Site Habitat Baseline'!$D$1:$O$258,5,FALSE))))</f>
        <v/>
      </c>
      <c r="H93" s="520" t="str">
        <f>IF(E93="","",IF(ISNA(VLOOKUP($E93,'A-1 Site Habitat Baseline'!$D$1:$O$258,6,FALSE)),"",(VLOOKUP($E93,'A-1 Site Habitat Baseline'!$D$1:$O$258,6,FALSE))))</f>
        <v/>
      </c>
      <c r="I93" s="520" t="str">
        <f>IF(E93="","",IF(ISNA(VLOOKUP($E93,'A-1 Site Habitat Baseline'!$D$1:$O$258,7,FALSE)),"",(VLOOKUP($E93,'A-1 Site Habitat Baseline'!$D$1:$O$258,7,FALSE))))</f>
        <v/>
      </c>
      <c r="J93" s="520" t="str">
        <f>IF(E93="","",IF(ISNA(VLOOKUP($E93,'A-1 Site Habitat Baseline'!$D$1:$O$258,8,FALSE)),"",(VLOOKUP($E93,'A-1 Site Habitat Baseline'!$D$1:$O$258,8,FALSE))))</f>
        <v/>
      </c>
      <c r="K93" s="520" t="str">
        <f>IF(E93="","",IF(ISNA(VLOOKUP($E93,'A-1 Site Habitat Baseline'!$D$1:$O$258,9,FALSE)),"",(VLOOKUP($E93,'A-1 Site Habitat Baseline'!$D$1:$O$258,9,FALSE))))</f>
        <v/>
      </c>
      <c r="L93" s="520" t="str">
        <f>IF(E93="","",IF(ISNA(VLOOKUP($E93,'A-1 Site Habitat Baseline'!$D$1:$O$258,11,FALSE)),"",(VLOOKUP($E93,'A-1 Site Habitat Baseline'!$D$1:$O$258,11,FALSE))))</f>
        <v/>
      </c>
      <c r="M93" s="520" t="str">
        <f>IF(E93="","",IF(ISNA(VLOOKUP($E93,'A-1 Site Habitat Baseline'!$D$1:$O$258,12,FALSE)),"",(VLOOKUP($E93,'A-1 Site Habitat Baseline'!$D$1:$O$258,12,FALSE))))</f>
        <v/>
      </c>
      <c r="N93" s="532" t="str">
        <f>IF(E93="","",IF(ISNA(VLOOKUP($E93,'A-1 Site Habitat Baseline'!$D$1:$X$258,14,FALSE)),"",(VLOOKUP($E93,'A-1 Site Habitat Baseline'!$D$1:$X$258,14,FALSE))))</f>
        <v/>
      </c>
      <c r="O93" s="524" t="str">
        <f>IF(E93="","",IF(ISNA(VLOOKUP($E93,'A-1 Site Habitat Baseline'!$D$1:$X$258,16,FALSE)),"",(VLOOKUP($E93,'A-1 Site Habitat Baseline'!$D$1:$X$258,13,FALSE))))</f>
        <v/>
      </c>
      <c r="P93" s="237" t="str">
        <f>IFERROR(INDEX('G-1 All Habitats'!$AG$3:$AG$15,MATCH(Q93,'G-1 All Habitats'!$AF$3:$AF$15,0)),"")</f>
        <v/>
      </c>
      <c r="Q93" s="238" t="str">
        <f t="shared" si="14"/>
        <v/>
      </c>
      <c r="R93" s="238" t="str">
        <f t="shared" si="15"/>
        <v/>
      </c>
      <c r="S93" s="392" t="str">
        <f>IFERROR(INDEX('G-1 All Habitats'!$B$3:$B$129,MATCH(R93,'G-1 All Habitats'!$A$3:$A$129,0)),"")</f>
        <v/>
      </c>
      <c r="T93" s="498" t="str">
        <f t="shared" si="16"/>
        <v/>
      </c>
      <c r="U93" s="499" t="str">
        <f t="shared" si="17"/>
        <v/>
      </c>
      <c r="V93" s="537" t="str">
        <f t="shared" si="11"/>
        <v/>
      </c>
      <c r="W93" s="520" t="str">
        <f>IF(S93="","",VLOOKUP(S93,'G-1 All Habitats'!$B$2:$M$129,10,FALSE))</f>
        <v/>
      </c>
      <c r="X93" s="520" t="str">
        <f>IFERROR(VLOOKUP(W93,'G-1 All Habitats'!$V$3:$W$7,2,FALSE),"")</f>
        <v/>
      </c>
      <c r="Y93" s="79"/>
      <c r="Z93" s="524" t="str">
        <f>IFERROR(INDEX('G-8 Condition Look up'!$A$3:$H$130,MATCH(S93,'G-8 Condition Look up'!$A$3:$A$130,0),MATCH(Y93,'G-8 Condition Look up'!$A$3:$H$3,0)),"")</f>
        <v/>
      </c>
      <c r="AA93" s="71"/>
      <c r="AB93" s="520" t="str">
        <f>IF(AA93="","",IF(VLOOKUP(AA93,'G-3 Multipliers'!$L$3:$N$6,2,FALSE)=0,"Spatial Data Missing ⚠",VLOOKUP(AA93,'G-3 Multipliers'!$L$3:$N$6,2,FALSE)))</f>
        <v/>
      </c>
      <c r="AC93" s="524" t="str">
        <f>IF(AA93="","",IF(VLOOKUP(AA93,'G-3 Multipliers'!$L$3:$N$6,3,FALSE)=0,"Spatial Data Missing ⚠",VLOOKUP(AA93,'G-3 Multipliers'!$L$3:$N$6,3,FALSE)))</f>
        <v/>
      </c>
      <c r="AD93" s="539" t="str">
        <f t="shared" si="12"/>
        <v/>
      </c>
      <c r="AE93" s="82"/>
      <c r="AF93" s="82"/>
      <c r="AG93" s="507" t="str">
        <f t="shared" si="18"/>
        <v/>
      </c>
      <c r="AH93" s="521" t="str">
        <f t="shared" si="19"/>
        <v/>
      </c>
      <c r="AI93" s="522" t="str">
        <f>IF(AH93="Check Data","Check Data",IFERROR(VLOOKUP(AH93,'G-4 Temporal multipliers'!$A$4:$C$36,3,FALSE),""))</f>
        <v/>
      </c>
      <c r="AJ93" s="498" t="str">
        <f>IF(S93="","",VLOOKUP(S93,'G-3 Multipliers'!$A$2:$E$129,4,FALSE))</f>
        <v/>
      </c>
      <c r="AK93" s="507" t="str">
        <f t="shared" si="20"/>
        <v/>
      </c>
      <c r="AL93" s="507" t="str">
        <f t="shared" si="21"/>
        <v/>
      </c>
      <c r="AM93" s="540" t="str">
        <f>IFERROR(IF(F93="","",IF(AH93="Check Data ⚠","Check Data ⚠",VLOOKUP(AL93, 'G-3 Multipliers'!$P$2:$Q$6,2,FALSE))),"")</f>
        <v/>
      </c>
      <c r="AN93" s="513" t="str">
        <f t="shared" si="13"/>
        <v/>
      </c>
      <c r="AO93" s="239"/>
      <c r="AP93" s="240"/>
    </row>
    <row r="94" spans="1:42" x14ac:dyDescent="0.3">
      <c r="A94" s="47" t="str">
        <f>IF(E94="","",IF(ISNA(VLOOKUP($E94,'A-1 Site Habitat Baseline'!$D$1:$O$258,2,FALSE)),"",(VLOOKUP($E94,'A-1 Site Habitat Baseline'!$D$1:$O$258,2,FALSE))))</f>
        <v/>
      </c>
      <c r="B94" s="47" t="str">
        <f>IF(E94="","",IF(ISNA(VLOOKUP($E94,'A-1 Site Habitat Baseline'!$D$1:$O$258,3,FALSE)),"",(VLOOKUP($E94,'A-1 Site Habitat Baseline'!$D$1:$O$258,3,FALSE))))</f>
        <v/>
      </c>
      <c r="C94" s="47" t="str">
        <f>IFERROR(INDEX('G-8 Condition Look up'!$I$4:$I$130,MATCH(S94,'G-8 Condition Look up'!$A$4:$A$130,0)),"")</f>
        <v/>
      </c>
      <c r="E94" s="531" t="str">
        <f>'A-1 Site Habitat Baseline'!AL93</f>
        <v/>
      </c>
      <c r="F94" s="520" t="str">
        <f>IF(E94="","",IF(ISNA(VLOOKUP($E94,'A-1 Site Habitat Baseline'!$D$1:$O$258,4,FALSE)),"",(VLOOKUP($E94,'A-1 Site Habitat Baseline'!$D$1:$O$258,4,FALSE))))</f>
        <v/>
      </c>
      <c r="G94" s="520" t="str">
        <f>IF(E94="","",IF(ISNA(VLOOKUP($E94,'A-1 Site Habitat Baseline'!$D$1:$O$258,5,FALSE)),"",(VLOOKUP($E94,'A-1 Site Habitat Baseline'!$D$1:$O$258,5,FALSE))))</f>
        <v/>
      </c>
      <c r="H94" s="520" t="str">
        <f>IF(E94="","",IF(ISNA(VLOOKUP($E94,'A-1 Site Habitat Baseline'!$D$1:$O$258,6,FALSE)),"",(VLOOKUP($E94,'A-1 Site Habitat Baseline'!$D$1:$O$258,6,FALSE))))</f>
        <v/>
      </c>
      <c r="I94" s="520" t="str">
        <f>IF(E94="","",IF(ISNA(VLOOKUP($E94,'A-1 Site Habitat Baseline'!$D$1:$O$258,7,FALSE)),"",(VLOOKUP($E94,'A-1 Site Habitat Baseline'!$D$1:$O$258,7,FALSE))))</f>
        <v/>
      </c>
      <c r="J94" s="520" t="str">
        <f>IF(E94="","",IF(ISNA(VLOOKUP($E94,'A-1 Site Habitat Baseline'!$D$1:$O$258,8,FALSE)),"",(VLOOKUP($E94,'A-1 Site Habitat Baseline'!$D$1:$O$258,8,FALSE))))</f>
        <v/>
      </c>
      <c r="K94" s="520" t="str">
        <f>IF(E94="","",IF(ISNA(VLOOKUP($E94,'A-1 Site Habitat Baseline'!$D$1:$O$258,9,FALSE)),"",(VLOOKUP($E94,'A-1 Site Habitat Baseline'!$D$1:$O$258,9,FALSE))))</f>
        <v/>
      </c>
      <c r="L94" s="520" t="str">
        <f>IF(E94="","",IF(ISNA(VLOOKUP($E94,'A-1 Site Habitat Baseline'!$D$1:$O$258,11,FALSE)),"",(VLOOKUP($E94,'A-1 Site Habitat Baseline'!$D$1:$O$258,11,FALSE))))</f>
        <v/>
      </c>
      <c r="M94" s="520" t="str">
        <f>IF(E94="","",IF(ISNA(VLOOKUP($E94,'A-1 Site Habitat Baseline'!$D$1:$O$258,12,FALSE)),"",(VLOOKUP($E94,'A-1 Site Habitat Baseline'!$D$1:$O$258,12,FALSE))))</f>
        <v/>
      </c>
      <c r="N94" s="532" t="str">
        <f>IF(E94="","",IF(ISNA(VLOOKUP($E94,'A-1 Site Habitat Baseline'!$D$1:$X$258,14,FALSE)),"",(VLOOKUP($E94,'A-1 Site Habitat Baseline'!$D$1:$X$258,14,FALSE))))</f>
        <v/>
      </c>
      <c r="O94" s="524" t="str">
        <f>IF(E94="","",IF(ISNA(VLOOKUP($E94,'A-1 Site Habitat Baseline'!$D$1:$X$258,16,FALSE)),"",(VLOOKUP($E94,'A-1 Site Habitat Baseline'!$D$1:$X$258,13,FALSE))))</f>
        <v/>
      </c>
      <c r="P94" s="237" t="str">
        <f>IFERROR(INDEX('G-1 All Habitats'!$AG$3:$AG$15,MATCH(Q94,'G-1 All Habitats'!$AF$3:$AF$15,0)),"")</f>
        <v/>
      </c>
      <c r="Q94" s="238" t="str">
        <f t="shared" si="14"/>
        <v/>
      </c>
      <c r="R94" s="238" t="str">
        <f t="shared" si="15"/>
        <v/>
      </c>
      <c r="S94" s="392" t="str">
        <f>IFERROR(INDEX('G-1 All Habitats'!$B$3:$B$129,MATCH(R94,'G-1 All Habitats'!$A$3:$A$129,0)),"")</f>
        <v/>
      </c>
      <c r="T94" s="498" t="str">
        <f t="shared" si="16"/>
        <v/>
      </c>
      <c r="U94" s="499" t="str">
        <f t="shared" si="17"/>
        <v/>
      </c>
      <c r="V94" s="537" t="str">
        <f t="shared" si="11"/>
        <v/>
      </c>
      <c r="W94" s="520" t="str">
        <f>IF(S94="","",VLOOKUP(S94,'G-1 All Habitats'!$B$2:$M$129,10,FALSE))</f>
        <v/>
      </c>
      <c r="X94" s="520" t="str">
        <f>IFERROR(VLOOKUP(W94,'G-1 All Habitats'!$V$3:$W$7,2,FALSE),"")</f>
        <v/>
      </c>
      <c r="Y94" s="79"/>
      <c r="Z94" s="524" t="str">
        <f>IFERROR(INDEX('G-8 Condition Look up'!$A$3:$H$130,MATCH(S94,'G-8 Condition Look up'!$A$3:$A$130,0),MATCH(Y94,'G-8 Condition Look up'!$A$3:$H$3,0)),"")</f>
        <v/>
      </c>
      <c r="AA94" s="71"/>
      <c r="AB94" s="520" t="str">
        <f>IF(AA94="","",IF(VLOOKUP(AA94,'G-3 Multipliers'!$L$3:$N$6,2,FALSE)=0,"Spatial Data Missing ⚠",VLOOKUP(AA94,'G-3 Multipliers'!$L$3:$N$6,2,FALSE)))</f>
        <v/>
      </c>
      <c r="AC94" s="524" t="str">
        <f>IF(AA94="","",IF(VLOOKUP(AA94,'G-3 Multipliers'!$L$3:$N$6,3,FALSE)=0,"Spatial Data Missing ⚠",VLOOKUP(AA94,'G-3 Multipliers'!$L$3:$N$6,3,FALSE)))</f>
        <v/>
      </c>
      <c r="AD94" s="539" t="str">
        <f t="shared" si="12"/>
        <v/>
      </c>
      <c r="AE94" s="82"/>
      <c r="AF94" s="82"/>
      <c r="AG94" s="507" t="str">
        <f t="shared" si="18"/>
        <v/>
      </c>
      <c r="AH94" s="521" t="str">
        <f t="shared" si="19"/>
        <v/>
      </c>
      <c r="AI94" s="522" t="str">
        <f>IF(AH94="Check Data","Check Data",IFERROR(VLOOKUP(AH94,'G-4 Temporal multipliers'!$A$4:$C$36,3,FALSE),""))</f>
        <v/>
      </c>
      <c r="AJ94" s="498" t="str">
        <f>IF(S94="","",VLOOKUP(S94,'G-3 Multipliers'!$A$2:$E$129,4,FALSE))</f>
        <v/>
      </c>
      <c r="AK94" s="507" t="str">
        <f t="shared" si="20"/>
        <v/>
      </c>
      <c r="AL94" s="507" t="str">
        <f t="shared" si="21"/>
        <v/>
      </c>
      <c r="AM94" s="540" t="str">
        <f>IFERROR(IF(F94="","",IF(AH94="Check Data ⚠","Check Data ⚠",VLOOKUP(AL94, 'G-3 Multipliers'!$P$2:$Q$6,2,FALSE))),"")</f>
        <v/>
      </c>
      <c r="AN94" s="513" t="str">
        <f t="shared" si="13"/>
        <v/>
      </c>
      <c r="AO94" s="239"/>
      <c r="AP94" s="240"/>
    </row>
    <row r="95" spans="1:42" x14ac:dyDescent="0.3">
      <c r="A95" s="47" t="str">
        <f>IF(E95="","",IF(ISNA(VLOOKUP($E95,'A-1 Site Habitat Baseline'!$D$1:$O$258,2,FALSE)),"",(VLOOKUP($E95,'A-1 Site Habitat Baseline'!$D$1:$O$258,2,FALSE))))</f>
        <v/>
      </c>
      <c r="B95" s="47" t="str">
        <f>IF(E95="","",IF(ISNA(VLOOKUP($E95,'A-1 Site Habitat Baseline'!$D$1:$O$258,3,FALSE)),"",(VLOOKUP($E95,'A-1 Site Habitat Baseline'!$D$1:$O$258,3,FALSE))))</f>
        <v/>
      </c>
      <c r="C95" s="47" t="str">
        <f>IFERROR(INDEX('G-8 Condition Look up'!$I$4:$I$130,MATCH(S95,'G-8 Condition Look up'!$A$4:$A$130,0)),"")</f>
        <v/>
      </c>
      <c r="E95" s="531" t="str">
        <f>'A-1 Site Habitat Baseline'!AL94</f>
        <v/>
      </c>
      <c r="F95" s="520" t="str">
        <f>IF(E95="","",IF(ISNA(VLOOKUP($E95,'A-1 Site Habitat Baseline'!$D$1:$O$258,4,FALSE)),"",(VLOOKUP($E95,'A-1 Site Habitat Baseline'!$D$1:$O$258,4,FALSE))))</f>
        <v/>
      </c>
      <c r="G95" s="520" t="str">
        <f>IF(E95="","",IF(ISNA(VLOOKUP($E95,'A-1 Site Habitat Baseline'!$D$1:$O$258,5,FALSE)),"",(VLOOKUP($E95,'A-1 Site Habitat Baseline'!$D$1:$O$258,5,FALSE))))</f>
        <v/>
      </c>
      <c r="H95" s="520" t="str">
        <f>IF(E95="","",IF(ISNA(VLOOKUP($E95,'A-1 Site Habitat Baseline'!$D$1:$O$258,6,FALSE)),"",(VLOOKUP($E95,'A-1 Site Habitat Baseline'!$D$1:$O$258,6,FALSE))))</f>
        <v/>
      </c>
      <c r="I95" s="520" t="str">
        <f>IF(E95="","",IF(ISNA(VLOOKUP($E95,'A-1 Site Habitat Baseline'!$D$1:$O$258,7,FALSE)),"",(VLOOKUP($E95,'A-1 Site Habitat Baseline'!$D$1:$O$258,7,FALSE))))</f>
        <v/>
      </c>
      <c r="J95" s="520" t="str">
        <f>IF(E95="","",IF(ISNA(VLOOKUP($E95,'A-1 Site Habitat Baseline'!$D$1:$O$258,8,FALSE)),"",(VLOOKUP($E95,'A-1 Site Habitat Baseline'!$D$1:$O$258,8,FALSE))))</f>
        <v/>
      </c>
      <c r="K95" s="520" t="str">
        <f>IF(E95="","",IF(ISNA(VLOOKUP($E95,'A-1 Site Habitat Baseline'!$D$1:$O$258,9,FALSE)),"",(VLOOKUP($E95,'A-1 Site Habitat Baseline'!$D$1:$O$258,9,FALSE))))</f>
        <v/>
      </c>
      <c r="L95" s="520" t="str">
        <f>IF(E95="","",IF(ISNA(VLOOKUP($E95,'A-1 Site Habitat Baseline'!$D$1:$O$258,11,FALSE)),"",(VLOOKUP($E95,'A-1 Site Habitat Baseline'!$D$1:$O$258,11,FALSE))))</f>
        <v/>
      </c>
      <c r="M95" s="520" t="str">
        <f>IF(E95="","",IF(ISNA(VLOOKUP($E95,'A-1 Site Habitat Baseline'!$D$1:$O$258,12,FALSE)),"",(VLOOKUP($E95,'A-1 Site Habitat Baseline'!$D$1:$O$258,12,FALSE))))</f>
        <v/>
      </c>
      <c r="N95" s="532" t="str">
        <f>IF(E95="","",IF(ISNA(VLOOKUP($E95,'A-1 Site Habitat Baseline'!$D$1:$X$258,14,FALSE)),"",(VLOOKUP($E95,'A-1 Site Habitat Baseline'!$D$1:$X$258,14,FALSE))))</f>
        <v/>
      </c>
      <c r="O95" s="524" t="str">
        <f>IF(E95="","",IF(ISNA(VLOOKUP($E95,'A-1 Site Habitat Baseline'!$D$1:$X$258,16,FALSE)),"",(VLOOKUP($E95,'A-1 Site Habitat Baseline'!$D$1:$X$258,13,FALSE))))</f>
        <v/>
      </c>
      <c r="P95" s="237" t="str">
        <f>IFERROR(INDEX('G-1 All Habitats'!$AG$3:$AG$15,MATCH(Q95,'G-1 All Habitats'!$AF$3:$AF$15,0)),"")</f>
        <v/>
      </c>
      <c r="Q95" s="238" t="str">
        <f t="shared" si="14"/>
        <v/>
      </c>
      <c r="R95" s="238" t="str">
        <f t="shared" si="15"/>
        <v/>
      </c>
      <c r="S95" s="392" t="str">
        <f>IFERROR(INDEX('G-1 All Habitats'!$B$3:$B$129,MATCH(R95,'G-1 All Habitats'!$A$3:$A$129,0)),"")</f>
        <v/>
      </c>
      <c r="T95" s="498" t="str">
        <f t="shared" si="16"/>
        <v/>
      </c>
      <c r="U95" s="499" t="str">
        <f t="shared" si="17"/>
        <v/>
      </c>
      <c r="V95" s="537" t="str">
        <f t="shared" si="11"/>
        <v/>
      </c>
      <c r="W95" s="520" t="str">
        <f>IF(S95="","",VLOOKUP(S95,'G-1 All Habitats'!$B$2:$M$129,10,FALSE))</f>
        <v/>
      </c>
      <c r="X95" s="520" t="str">
        <f>IFERROR(VLOOKUP(W95,'G-1 All Habitats'!$V$3:$W$7,2,FALSE),"")</f>
        <v/>
      </c>
      <c r="Y95" s="79"/>
      <c r="Z95" s="524" t="str">
        <f>IFERROR(INDEX('G-8 Condition Look up'!$A$3:$H$130,MATCH(S95,'G-8 Condition Look up'!$A$3:$A$130,0),MATCH(Y95,'G-8 Condition Look up'!$A$3:$H$3,0)),"")</f>
        <v/>
      </c>
      <c r="AA95" s="71"/>
      <c r="AB95" s="520" t="str">
        <f>IF(AA95="","",IF(VLOOKUP(AA95,'G-3 Multipliers'!$L$3:$N$6,2,FALSE)=0,"Spatial Data Missing ⚠",VLOOKUP(AA95,'G-3 Multipliers'!$L$3:$N$6,2,FALSE)))</f>
        <v/>
      </c>
      <c r="AC95" s="524" t="str">
        <f>IF(AA95="","",IF(VLOOKUP(AA95,'G-3 Multipliers'!$L$3:$N$6,3,FALSE)=0,"Spatial Data Missing ⚠",VLOOKUP(AA95,'G-3 Multipliers'!$L$3:$N$6,3,FALSE)))</f>
        <v/>
      </c>
      <c r="AD95" s="539" t="str">
        <f t="shared" si="12"/>
        <v/>
      </c>
      <c r="AE95" s="82"/>
      <c r="AF95" s="82"/>
      <c r="AG95" s="507" t="str">
        <f t="shared" si="18"/>
        <v/>
      </c>
      <c r="AH95" s="521" t="str">
        <f t="shared" si="19"/>
        <v/>
      </c>
      <c r="AI95" s="522" t="str">
        <f>IF(AH95="Check Data","Check Data",IFERROR(VLOOKUP(AH95,'G-4 Temporal multipliers'!$A$4:$C$36,3,FALSE),""))</f>
        <v/>
      </c>
      <c r="AJ95" s="498" t="str">
        <f>IF(S95="","",VLOOKUP(S95,'G-3 Multipliers'!$A$2:$E$129,4,FALSE))</f>
        <v/>
      </c>
      <c r="AK95" s="507" t="str">
        <f t="shared" si="20"/>
        <v/>
      </c>
      <c r="AL95" s="507" t="str">
        <f t="shared" si="21"/>
        <v/>
      </c>
      <c r="AM95" s="540" t="str">
        <f>IFERROR(IF(F95="","",IF(AH95="Check Data ⚠","Check Data ⚠",VLOOKUP(AL95, 'G-3 Multipliers'!$P$2:$Q$6,2,FALSE))),"")</f>
        <v/>
      </c>
      <c r="AN95" s="513" t="str">
        <f t="shared" si="13"/>
        <v/>
      </c>
      <c r="AO95" s="239"/>
      <c r="AP95" s="240"/>
    </row>
    <row r="96" spans="1:42" x14ac:dyDescent="0.3">
      <c r="A96" s="47" t="str">
        <f>IF(E96="","",IF(ISNA(VLOOKUP($E96,'A-1 Site Habitat Baseline'!$D$1:$O$258,2,FALSE)),"",(VLOOKUP($E96,'A-1 Site Habitat Baseline'!$D$1:$O$258,2,FALSE))))</f>
        <v/>
      </c>
      <c r="B96" s="47" t="str">
        <f>IF(E96="","",IF(ISNA(VLOOKUP($E96,'A-1 Site Habitat Baseline'!$D$1:$O$258,3,FALSE)),"",(VLOOKUP($E96,'A-1 Site Habitat Baseline'!$D$1:$O$258,3,FALSE))))</f>
        <v/>
      </c>
      <c r="C96" s="47" t="str">
        <f>IFERROR(INDEX('G-8 Condition Look up'!$I$4:$I$130,MATCH(S96,'G-8 Condition Look up'!$A$4:$A$130,0)),"")</f>
        <v/>
      </c>
      <c r="E96" s="531" t="str">
        <f>'A-1 Site Habitat Baseline'!AL95</f>
        <v/>
      </c>
      <c r="F96" s="520" t="str">
        <f>IF(E96="","",IF(ISNA(VLOOKUP($E96,'A-1 Site Habitat Baseline'!$D$1:$O$258,4,FALSE)),"",(VLOOKUP($E96,'A-1 Site Habitat Baseline'!$D$1:$O$258,4,FALSE))))</f>
        <v/>
      </c>
      <c r="G96" s="520" t="str">
        <f>IF(E96="","",IF(ISNA(VLOOKUP($E96,'A-1 Site Habitat Baseline'!$D$1:$O$258,5,FALSE)),"",(VLOOKUP($E96,'A-1 Site Habitat Baseline'!$D$1:$O$258,5,FALSE))))</f>
        <v/>
      </c>
      <c r="H96" s="520" t="str">
        <f>IF(E96="","",IF(ISNA(VLOOKUP($E96,'A-1 Site Habitat Baseline'!$D$1:$O$258,6,FALSE)),"",(VLOOKUP($E96,'A-1 Site Habitat Baseline'!$D$1:$O$258,6,FALSE))))</f>
        <v/>
      </c>
      <c r="I96" s="520" t="str">
        <f>IF(E96="","",IF(ISNA(VLOOKUP($E96,'A-1 Site Habitat Baseline'!$D$1:$O$258,7,FALSE)),"",(VLOOKUP($E96,'A-1 Site Habitat Baseline'!$D$1:$O$258,7,FALSE))))</f>
        <v/>
      </c>
      <c r="J96" s="520" t="str">
        <f>IF(E96="","",IF(ISNA(VLOOKUP($E96,'A-1 Site Habitat Baseline'!$D$1:$O$258,8,FALSE)),"",(VLOOKUP($E96,'A-1 Site Habitat Baseline'!$D$1:$O$258,8,FALSE))))</f>
        <v/>
      </c>
      <c r="K96" s="520" t="str">
        <f>IF(E96="","",IF(ISNA(VLOOKUP($E96,'A-1 Site Habitat Baseline'!$D$1:$O$258,9,FALSE)),"",(VLOOKUP($E96,'A-1 Site Habitat Baseline'!$D$1:$O$258,9,FALSE))))</f>
        <v/>
      </c>
      <c r="L96" s="520" t="str">
        <f>IF(E96="","",IF(ISNA(VLOOKUP($E96,'A-1 Site Habitat Baseline'!$D$1:$O$258,11,FALSE)),"",(VLOOKUP($E96,'A-1 Site Habitat Baseline'!$D$1:$O$258,11,FALSE))))</f>
        <v/>
      </c>
      <c r="M96" s="520" t="str">
        <f>IF(E96="","",IF(ISNA(VLOOKUP($E96,'A-1 Site Habitat Baseline'!$D$1:$O$258,12,FALSE)),"",(VLOOKUP($E96,'A-1 Site Habitat Baseline'!$D$1:$O$258,12,FALSE))))</f>
        <v/>
      </c>
      <c r="N96" s="532" t="str">
        <f>IF(E96="","",IF(ISNA(VLOOKUP($E96,'A-1 Site Habitat Baseline'!$D$1:$X$258,14,FALSE)),"",(VLOOKUP($E96,'A-1 Site Habitat Baseline'!$D$1:$X$258,14,FALSE))))</f>
        <v/>
      </c>
      <c r="O96" s="524" t="str">
        <f>IF(E96="","",IF(ISNA(VLOOKUP($E96,'A-1 Site Habitat Baseline'!$D$1:$X$258,16,FALSE)),"",(VLOOKUP($E96,'A-1 Site Habitat Baseline'!$D$1:$X$258,13,FALSE))))</f>
        <v/>
      </c>
      <c r="P96" s="237" t="str">
        <f>IFERROR(INDEX('G-1 All Habitats'!$AG$3:$AG$15,MATCH(Q96,'G-1 All Habitats'!$AF$3:$AF$15,0)),"")</f>
        <v/>
      </c>
      <c r="Q96" s="238" t="str">
        <f t="shared" si="14"/>
        <v/>
      </c>
      <c r="R96" s="238" t="str">
        <f t="shared" si="15"/>
        <v/>
      </c>
      <c r="S96" s="392" t="str">
        <f>IFERROR(INDEX('G-1 All Habitats'!$B$3:$B$129,MATCH(R96,'G-1 All Habitats'!$A$3:$A$129,0)),"")</f>
        <v/>
      </c>
      <c r="T96" s="498" t="str">
        <f t="shared" si="16"/>
        <v/>
      </c>
      <c r="U96" s="499" t="str">
        <f t="shared" si="17"/>
        <v/>
      </c>
      <c r="V96" s="537" t="str">
        <f t="shared" si="11"/>
        <v/>
      </c>
      <c r="W96" s="520" t="str">
        <f>IF(S96="","",VLOOKUP(S96,'G-1 All Habitats'!$B$2:$M$129,10,FALSE))</f>
        <v/>
      </c>
      <c r="X96" s="520" t="str">
        <f>IFERROR(VLOOKUP(W96,'G-1 All Habitats'!$V$3:$W$7,2,FALSE),"")</f>
        <v/>
      </c>
      <c r="Y96" s="79"/>
      <c r="Z96" s="524" t="str">
        <f>IFERROR(INDEX('G-8 Condition Look up'!$A$3:$H$130,MATCH(S96,'G-8 Condition Look up'!$A$3:$A$130,0),MATCH(Y96,'G-8 Condition Look up'!$A$3:$H$3,0)),"")</f>
        <v/>
      </c>
      <c r="AA96" s="71"/>
      <c r="AB96" s="520" t="str">
        <f>IF(AA96="","",IF(VLOOKUP(AA96,'G-3 Multipliers'!$L$3:$N$6,2,FALSE)=0,"Spatial Data Missing ⚠",VLOOKUP(AA96,'G-3 Multipliers'!$L$3:$N$6,2,FALSE)))</f>
        <v/>
      </c>
      <c r="AC96" s="524" t="str">
        <f>IF(AA96="","",IF(VLOOKUP(AA96,'G-3 Multipliers'!$L$3:$N$6,3,FALSE)=0,"Spatial Data Missing ⚠",VLOOKUP(AA96,'G-3 Multipliers'!$L$3:$N$6,3,FALSE)))</f>
        <v/>
      </c>
      <c r="AD96" s="539" t="str">
        <f t="shared" si="12"/>
        <v/>
      </c>
      <c r="AE96" s="82"/>
      <c r="AF96" s="82"/>
      <c r="AG96" s="507" t="str">
        <f t="shared" si="18"/>
        <v/>
      </c>
      <c r="AH96" s="521" t="str">
        <f t="shared" si="19"/>
        <v/>
      </c>
      <c r="AI96" s="522" t="str">
        <f>IF(AH96="Check Data","Check Data",IFERROR(VLOOKUP(AH96,'G-4 Temporal multipliers'!$A$4:$C$36,3,FALSE),""))</f>
        <v/>
      </c>
      <c r="AJ96" s="498" t="str">
        <f>IF(S96="","",VLOOKUP(S96,'G-3 Multipliers'!$A$2:$E$129,4,FALSE))</f>
        <v/>
      </c>
      <c r="AK96" s="507" t="str">
        <f t="shared" si="20"/>
        <v/>
      </c>
      <c r="AL96" s="507" t="str">
        <f t="shared" si="21"/>
        <v/>
      </c>
      <c r="AM96" s="540" t="str">
        <f>IFERROR(IF(F96="","",IF(AH96="Check Data ⚠","Check Data ⚠",VLOOKUP(AL96, 'G-3 Multipliers'!$P$2:$Q$6,2,FALSE))),"")</f>
        <v/>
      </c>
      <c r="AN96" s="513" t="str">
        <f t="shared" si="13"/>
        <v/>
      </c>
      <c r="AO96" s="239"/>
      <c r="AP96" s="240"/>
    </row>
    <row r="97" spans="1:42" x14ac:dyDescent="0.3">
      <c r="A97" s="47" t="str">
        <f>IF(E97="","",IF(ISNA(VLOOKUP($E97,'A-1 Site Habitat Baseline'!$D$1:$O$258,2,FALSE)),"",(VLOOKUP($E97,'A-1 Site Habitat Baseline'!$D$1:$O$258,2,FALSE))))</f>
        <v/>
      </c>
      <c r="B97" s="47" t="str">
        <f>IF(E97="","",IF(ISNA(VLOOKUP($E97,'A-1 Site Habitat Baseline'!$D$1:$O$258,3,FALSE)),"",(VLOOKUP($E97,'A-1 Site Habitat Baseline'!$D$1:$O$258,3,FALSE))))</f>
        <v/>
      </c>
      <c r="C97" s="47" t="str">
        <f>IFERROR(INDEX('G-8 Condition Look up'!$I$4:$I$130,MATCH(S97,'G-8 Condition Look up'!$A$4:$A$130,0)),"")</f>
        <v/>
      </c>
      <c r="E97" s="531" t="str">
        <f>'A-1 Site Habitat Baseline'!AL96</f>
        <v/>
      </c>
      <c r="F97" s="520" t="str">
        <f>IF(E97="","",IF(ISNA(VLOOKUP($E97,'A-1 Site Habitat Baseline'!$D$1:$O$258,4,FALSE)),"",(VLOOKUP($E97,'A-1 Site Habitat Baseline'!$D$1:$O$258,4,FALSE))))</f>
        <v/>
      </c>
      <c r="G97" s="520" t="str">
        <f>IF(E97="","",IF(ISNA(VLOOKUP($E97,'A-1 Site Habitat Baseline'!$D$1:$O$258,5,FALSE)),"",(VLOOKUP($E97,'A-1 Site Habitat Baseline'!$D$1:$O$258,5,FALSE))))</f>
        <v/>
      </c>
      <c r="H97" s="520" t="str">
        <f>IF(E97="","",IF(ISNA(VLOOKUP($E97,'A-1 Site Habitat Baseline'!$D$1:$O$258,6,FALSE)),"",(VLOOKUP($E97,'A-1 Site Habitat Baseline'!$D$1:$O$258,6,FALSE))))</f>
        <v/>
      </c>
      <c r="I97" s="520" t="str">
        <f>IF(E97="","",IF(ISNA(VLOOKUP($E97,'A-1 Site Habitat Baseline'!$D$1:$O$258,7,FALSE)),"",(VLOOKUP($E97,'A-1 Site Habitat Baseline'!$D$1:$O$258,7,FALSE))))</f>
        <v/>
      </c>
      <c r="J97" s="520" t="str">
        <f>IF(E97="","",IF(ISNA(VLOOKUP($E97,'A-1 Site Habitat Baseline'!$D$1:$O$258,8,FALSE)),"",(VLOOKUP($E97,'A-1 Site Habitat Baseline'!$D$1:$O$258,8,FALSE))))</f>
        <v/>
      </c>
      <c r="K97" s="520" t="str">
        <f>IF(E97="","",IF(ISNA(VLOOKUP($E97,'A-1 Site Habitat Baseline'!$D$1:$O$258,9,FALSE)),"",(VLOOKUP($E97,'A-1 Site Habitat Baseline'!$D$1:$O$258,9,FALSE))))</f>
        <v/>
      </c>
      <c r="L97" s="520" t="str">
        <f>IF(E97="","",IF(ISNA(VLOOKUP($E97,'A-1 Site Habitat Baseline'!$D$1:$O$258,11,FALSE)),"",(VLOOKUP($E97,'A-1 Site Habitat Baseline'!$D$1:$O$258,11,FALSE))))</f>
        <v/>
      </c>
      <c r="M97" s="520" t="str">
        <f>IF(E97="","",IF(ISNA(VLOOKUP($E97,'A-1 Site Habitat Baseline'!$D$1:$O$258,12,FALSE)),"",(VLOOKUP($E97,'A-1 Site Habitat Baseline'!$D$1:$O$258,12,FALSE))))</f>
        <v/>
      </c>
      <c r="N97" s="532" t="str">
        <f>IF(E97="","",IF(ISNA(VLOOKUP($E97,'A-1 Site Habitat Baseline'!$D$1:$X$258,14,FALSE)),"",(VLOOKUP($E97,'A-1 Site Habitat Baseline'!$D$1:$X$258,14,FALSE))))</f>
        <v/>
      </c>
      <c r="O97" s="524" t="str">
        <f>IF(E97="","",IF(ISNA(VLOOKUP($E97,'A-1 Site Habitat Baseline'!$D$1:$X$258,16,FALSE)),"",(VLOOKUP($E97,'A-1 Site Habitat Baseline'!$D$1:$X$258,13,FALSE))))</f>
        <v/>
      </c>
      <c r="P97" s="237" t="str">
        <f>IFERROR(INDEX('G-1 All Habitats'!$AG$3:$AG$15,MATCH(Q97,'G-1 All Habitats'!$AF$3:$AF$15,0)),"")</f>
        <v/>
      </c>
      <c r="Q97" s="238" t="str">
        <f t="shared" si="14"/>
        <v/>
      </c>
      <c r="R97" s="238" t="str">
        <f t="shared" si="15"/>
        <v/>
      </c>
      <c r="S97" s="392" t="str">
        <f>IFERROR(INDEX('G-1 All Habitats'!$B$3:$B$129,MATCH(R97,'G-1 All Habitats'!$A$3:$A$129,0)),"")</f>
        <v/>
      </c>
      <c r="T97" s="498" t="str">
        <f t="shared" si="16"/>
        <v/>
      </c>
      <c r="U97" s="499" t="str">
        <f t="shared" si="17"/>
        <v/>
      </c>
      <c r="V97" s="537" t="str">
        <f t="shared" si="11"/>
        <v/>
      </c>
      <c r="W97" s="520" t="str">
        <f>IF(S97="","",VLOOKUP(S97,'G-1 All Habitats'!$B$2:$M$129,10,FALSE))</f>
        <v/>
      </c>
      <c r="X97" s="520" t="str">
        <f>IFERROR(VLOOKUP(W97,'G-1 All Habitats'!$V$3:$W$7,2,FALSE),"")</f>
        <v/>
      </c>
      <c r="Y97" s="79"/>
      <c r="Z97" s="524" t="str">
        <f>IFERROR(INDEX('G-8 Condition Look up'!$A$3:$H$130,MATCH(S97,'G-8 Condition Look up'!$A$3:$A$130,0),MATCH(Y97,'G-8 Condition Look up'!$A$3:$H$3,0)),"")</f>
        <v/>
      </c>
      <c r="AA97" s="71"/>
      <c r="AB97" s="520" t="str">
        <f>IF(AA97="","",IF(VLOOKUP(AA97,'G-3 Multipliers'!$L$3:$N$6,2,FALSE)=0,"Spatial Data Missing ⚠",VLOOKUP(AA97,'G-3 Multipliers'!$L$3:$N$6,2,FALSE)))</f>
        <v/>
      </c>
      <c r="AC97" s="524" t="str">
        <f>IF(AA97="","",IF(VLOOKUP(AA97,'G-3 Multipliers'!$L$3:$N$6,3,FALSE)=0,"Spatial Data Missing ⚠",VLOOKUP(AA97,'G-3 Multipliers'!$L$3:$N$6,3,FALSE)))</f>
        <v/>
      </c>
      <c r="AD97" s="539" t="str">
        <f t="shared" si="12"/>
        <v/>
      </c>
      <c r="AE97" s="82"/>
      <c r="AF97" s="82"/>
      <c r="AG97" s="507" t="str">
        <f t="shared" si="18"/>
        <v/>
      </c>
      <c r="AH97" s="521" t="str">
        <f t="shared" si="19"/>
        <v/>
      </c>
      <c r="AI97" s="522" t="str">
        <f>IF(AH97="Check Data","Check Data",IFERROR(VLOOKUP(AH97,'G-4 Temporal multipliers'!$A$4:$C$36,3,FALSE),""))</f>
        <v/>
      </c>
      <c r="AJ97" s="498" t="str">
        <f>IF(S97="","",VLOOKUP(S97,'G-3 Multipliers'!$A$2:$E$129,4,FALSE))</f>
        <v/>
      </c>
      <c r="AK97" s="507" t="str">
        <f t="shared" si="20"/>
        <v/>
      </c>
      <c r="AL97" s="507" t="str">
        <f t="shared" si="21"/>
        <v/>
      </c>
      <c r="AM97" s="540" t="str">
        <f>IFERROR(IF(F97="","",IF(AH97="Check Data ⚠","Check Data ⚠",VLOOKUP(AL97, 'G-3 Multipliers'!$P$2:$Q$6,2,FALSE))),"")</f>
        <v/>
      </c>
      <c r="AN97" s="513" t="str">
        <f t="shared" si="13"/>
        <v/>
      </c>
      <c r="AO97" s="239"/>
      <c r="AP97" s="240"/>
    </row>
    <row r="98" spans="1:42" x14ac:dyDescent="0.3">
      <c r="A98" s="47" t="str">
        <f>IF(E98="","",IF(ISNA(VLOOKUP($E98,'A-1 Site Habitat Baseline'!$D$1:$O$258,2,FALSE)),"",(VLOOKUP($E98,'A-1 Site Habitat Baseline'!$D$1:$O$258,2,FALSE))))</f>
        <v/>
      </c>
      <c r="B98" s="47" t="str">
        <f>IF(E98="","",IF(ISNA(VLOOKUP($E98,'A-1 Site Habitat Baseline'!$D$1:$O$258,3,FALSE)),"",(VLOOKUP($E98,'A-1 Site Habitat Baseline'!$D$1:$O$258,3,FALSE))))</f>
        <v/>
      </c>
      <c r="C98" s="47" t="str">
        <f>IFERROR(INDEX('G-8 Condition Look up'!$I$4:$I$130,MATCH(S98,'G-8 Condition Look up'!$A$4:$A$130,0)),"")</f>
        <v/>
      </c>
      <c r="E98" s="531" t="str">
        <f>'A-1 Site Habitat Baseline'!AL97</f>
        <v/>
      </c>
      <c r="F98" s="520" t="str">
        <f>IF(E98="","",IF(ISNA(VLOOKUP($E98,'A-1 Site Habitat Baseline'!$D$1:$O$258,4,FALSE)),"",(VLOOKUP($E98,'A-1 Site Habitat Baseline'!$D$1:$O$258,4,FALSE))))</f>
        <v/>
      </c>
      <c r="G98" s="520" t="str">
        <f>IF(E98="","",IF(ISNA(VLOOKUP($E98,'A-1 Site Habitat Baseline'!$D$1:$O$258,5,FALSE)),"",(VLOOKUP($E98,'A-1 Site Habitat Baseline'!$D$1:$O$258,5,FALSE))))</f>
        <v/>
      </c>
      <c r="H98" s="520" t="str">
        <f>IF(E98="","",IF(ISNA(VLOOKUP($E98,'A-1 Site Habitat Baseline'!$D$1:$O$258,6,FALSE)),"",(VLOOKUP($E98,'A-1 Site Habitat Baseline'!$D$1:$O$258,6,FALSE))))</f>
        <v/>
      </c>
      <c r="I98" s="520" t="str">
        <f>IF(E98="","",IF(ISNA(VLOOKUP($E98,'A-1 Site Habitat Baseline'!$D$1:$O$258,7,FALSE)),"",(VLOOKUP($E98,'A-1 Site Habitat Baseline'!$D$1:$O$258,7,FALSE))))</f>
        <v/>
      </c>
      <c r="J98" s="520" t="str">
        <f>IF(E98="","",IF(ISNA(VLOOKUP($E98,'A-1 Site Habitat Baseline'!$D$1:$O$258,8,FALSE)),"",(VLOOKUP($E98,'A-1 Site Habitat Baseline'!$D$1:$O$258,8,FALSE))))</f>
        <v/>
      </c>
      <c r="K98" s="520" t="str">
        <f>IF(E98="","",IF(ISNA(VLOOKUP($E98,'A-1 Site Habitat Baseline'!$D$1:$O$258,9,FALSE)),"",(VLOOKUP($E98,'A-1 Site Habitat Baseline'!$D$1:$O$258,9,FALSE))))</f>
        <v/>
      </c>
      <c r="L98" s="520" t="str">
        <f>IF(E98="","",IF(ISNA(VLOOKUP($E98,'A-1 Site Habitat Baseline'!$D$1:$O$258,11,FALSE)),"",(VLOOKUP($E98,'A-1 Site Habitat Baseline'!$D$1:$O$258,11,FALSE))))</f>
        <v/>
      </c>
      <c r="M98" s="520" t="str">
        <f>IF(E98="","",IF(ISNA(VLOOKUP($E98,'A-1 Site Habitat Baseline'!$D$1:$O$258,12,FALSE)),"",(VLOOKUP($E98,'A-1 Site Habitat Baseline'!$D$1:$O$258,12,FALSE))))</f>
        <v/>
      </c>
      <c r="N98" s="532" t="str">
        <f>IF(E98="","",IF(ISNA(VLOOKUP($E98,'A-1 Site Habitat Baseline'!$D$1:$X$258,14,FALSE)),"",(VLOOKUP($E98,'A-1 Site Habitat Baseline'!$D$1:$X$258,14,FALSE))))</f>
        <v/>
      </c>
      <c r="O98" s="524" t="str">
        <f>IF(E98="","",IF(ISNA(VLOOKUP($E98,'A-1 Site Habitat Baseline'!$D$1:$X$258,16,FALSE)),"",(VLOOKUP($E98,'A-1 Site Habitat Baseline'!$D$1:$X$258,13,FALSE))))</f>
        <v/>
      </c>
      <c r="P98" s="237" t="str">
        <f>IFERROR(INDEX('G-1 All Habitats'!$AG$3:$AG$15,MATCH(Q98,'G-1 All Habitats'!$AF$3:$AF$15,0)),"")</f>
        <v/>
      </c>
      <c r="Q98" s="238" t="str">
        <f t="shared" si="14"/>
        <v/>
      </c>
      <c r="R98" s="238" t="str">
        <f t="shared" si="15"/>
        <v/>
      </c>
      <c r="S98" s="392" t="str">
        <f>IFERROR(INDEX('G-1 All Habitats'!$B$3:$B$129,MATCH(R98,'G-1 All Habitats'!$A$3:$A$129,0)),"")</f>
        <v/>
      </c>
      <c r="T98" s="498" t="str">
        <f t="shared" si="16"/>
        <v/>
      </c>
      <c r="U98" s="499" t="str">
        <f t="shared" si="17"/>
        <v/>
      </c>
      <c r="V98" s="537" t="str">
        <f t="shared" si="11"/>
        <v/>
      </c>
      <c r="W98" s="520" t="str">
        <f>IF(S98="","",VLOOKUP(S98,'G-1 All Habitats'!$B$2:$M$129,10,FALSE))</f>
        <v/>
      </c>
      <c r="X98" s="520" t="str">
        <f>IFERROR(VLOOKUP(W98,'G-1 All Habitats'!$V$3:$W$7,2,FALSE),"")</f>
        <v/>
      </c>
      <c r="Y98" s="79"/>
      <c r="Z98" s="524" t="str">
        <f>IFERROR(INDEX('G-8 Condition Look up'!$A$3:$H$130,MATCH(S98,'G-8 Condition Look up'!$A$3:$A$130,0),MATCH(Y98,'G-8 Condition Look up'!$A$3:$H$3,0)),"")</f>
        <v/>
      </c>
      <c r="AA98" s="71"/>
      <c r="AB98" s="520" t="str">
        <f>IF(AA98="","",IF(VLOOKUP(AA98,'G-3 Multipliers'!$L$3:$N$6,2,FALSE)=0,"Spatial Data Missing ⚠",VLOOKUP(AA98,'G-3 Multipliers'!$L$3:$N$6,2,FALSE)))</f>
        <v/>
      </c>
      <c r="AC98" s="524" t="str">
        <f>IF(AA98="","",IF(VLOOKUP(AA98,'G-3 Multipliers'!$L$3:$N$6,3,FALSE)=0,"Spatial Data Missing ⚠",VLOOKUP(AA98,'G-3 Multipliers'!$L$3:$N$6,3,FALSE)))</f>
        <v/>
      </c>
      <c r="AD98" s="539" t="str">
        <f t="shared" si="12"/>
        <v/>
      </c>
      <c r="AE98" s="82"/>
      <c r="AF98" s="82"/>
      <c r="AG98" s="507" t="str">
        <f t="shared" si="18"/>
        <v/>
      </c>
      <c r="AH98" s="521" t="str">
        <f t="shared" si="19"/>
        <v/>
      </c>
      <c r="AI98" s="522" t="str">
        <f>IF(AH98="Check Data","Check Data",IFERROR(VLOOKUP(AH98,'G-4 Temporal multipliers'!$A$4:$C$36,3,FALSE),""))</f>
        <v/>
      </c>
      <c r="AJ98" s="498" t="str">
        <f>IF(S98="","",VLOOKUP(S98,'G-3 Multipliers'!$A$2:$E$129,4,FALSE))</f>
        <v/>
      </c>
      <c r="AK98" s="507" t="str">
        <f t="shared" si="20"/>
        <v/>
      </c>
      <c r="AL98" s="507" t="str">
        <f t="shared" si="21"/>
        <v/>
      </c>
      <c r="AM98" s="540" t="str">
        <f>IFERROR(IF(F98="","",IF(AH98="Check Data ⚠","Check Data ⚠",VLOOKUP(AL98, 'G-3 Multipliers'!$P$2:$Q$6,2,FALSE))),"")</f>
        <v/>
      </c>
      <c r="AN98" s="513" t="str">
        <f t="shared" si="13"/>
        <v/>
      </c>
      <c r="AO98" s="239"/>
      <c r="AP98" s="240"/>
    </row>
    <row r="99" spans="1:42" x14ac:dyDescent="0.3">
      <c r="A99" s="47" t="str">
        <f>IF(E99="","",IF(ISNA(VLOOKUP($E99,'A-1 Site Habitat Baseline'!$D$1:$O$258,2,FALSE)),"",(VLOOKUP($E99,'A-1 Site Habitat Baseline'!$D$1:$O$258,2,FALSE))))</f>
        <v/>
      </c>
      <c r="B99" s="47" t="str">
        <f>IF(E99="","",IF(ISNA(VLOOKUP($E99,'A-1 Site Habitat Baseline'!$D$1:$O$258,3,FALSE)),"",(VLOOKUP($E99,'A-1 Site Habitat Baseline'!$D$1:$O$258,3,FALSE))))</f>
        <v/>
      </c>
      <c r="C99" s="47" t="str">
        <f>IFERROR(INDEX('G-8 Condition Look up'!$I$4:$I$130,MATCH(S99,'G-8 Condition Look up'!$A$4:$A$130,0)),"")</f>
        <v/>
      </c>
      <c r="E99" s="531" t="str">
        <f>'A-1 Site Habitat Baseline'!AL98</f>
        <v/>
      </c>
      <c r="F99" s="520" t="str">
        <f>IF(E99="","",IF(ISNA(VLOOKUP($E99,'A-1 Site Habitat Baseline'!$D$1:$O$258,4,FALSE)),"",(VLOOKUP($E99,'A-1 Site Habitat Baseline'!$D$1:$O$258,4,FALSE))))</f>
        <v/>
      </c>
      <c r="G99" s="520" t="str">
        <f>IF(E99="","",IF(ISNA(VLOOKUP($E99,'A-1 Site Habitat Baseline'!$D$1:$O$258,5,FALSE)),"",(VLOOKUP($E99,'A-1 Site Habitat Baseline'!$D$1:$O$258,5,FALSE))))</f>
        <v/>
      </c>
      <c r="H99" s="520" t="str">
        <f>IF(E99="","",IF(ISNA(VLOOKUP($E99,'A-1 Site Habitat Baseline'!$D$1:$O$258,6,FALSE)),"",(VLOOKUP($E99,'A-1 Site Habitat Baseline'!$D$1:$O$258,6,FALSE))))</f>
        <v/>
      </c>
      <c r="I99" s="520" t="str">
        <f>IF(E99="","",IF(ISNA(VLOOKUP($E99,'A-1 Site Habitat Baseline'!$D$1:$O$258,7,FALSE)),"",(VLOOKUP($E99,'A-1 Site Habitat Baseline'!$D$1:$O$258,7,FALSE))))</f>
        <v/>
      </c>
      <c r="J99" s="520" t="str">
        <f>IF(E99="","",IF(ISNA(VLOOKUP($E99,'A-1 Site Habitat Baseline'!$D$1:$O$258,8,FALSE)),"",(VLOOKUP($E99,'A-1 Site Habitat Baseline'!$D$1:$O$258,8,FALSE))))</f>
        <v/>
      </c>
      <c r="K99" s="520" t="str">
        <f>IF(E99="","",IF(ISNA(VLOOKUP($E99,'A-1 Site Habitat Baseline'!$D$1:$O$258,9,FALSE)),"",(VLOOKUP($E99,'A-1 Site Habitat Baseline'!$D$1:$O$258,9,FALSE))))</f>
        <v/>
      </c>
      <c r="L99" s="520" t="str">
        <f>IF(E99="","",IF(ISNA(VLOOKUP($E99,'A-1 Site Habitat Baseline'!$D$1:$O$258,11,FALSE)),"",(VLOOKUP($E99,'A-1 Site Habitat Baseline'!$D$1:$O$258,11,FALSE))))</f>
        <v/>
      </c>
      <c r="M99" s="520" t="str">
        <f>IF(E99="","",IF(ISNA(VLOOKUP($E99,'A-1 Site Habitat Baseline'!$D$1:$O$258,12,FALSE)),"",(VLOOKUP($E99,'A-1 Site Habitat Baseline'!$D$1:$O$258,12,FALSE))))</f>
        <v/>
      </c>
      <c r="N99" s="532" t="str">
        <f>IF(E99="","",IF(ISNA(VLOOKUP($E99,'A-1 Site Habitat Baseline'!$D$1:$X$258,14,FALSE)),"",(VLOOKUP($E99,'A-1 Site Habitat Baseline'!$D$1:$X$258,14,FALSE))))</f>
        <v/>
      </c>
      <c r="O99" s="524" t="str">
        <f>IF(E99="","",IF(ISNA(VLOOKUP($E99,'A-1 Site Habitat Baseline'!$D$1:$X$258,16,FALSE)),"",(VLOOKUP($E99,'A-1 Site Habitat Baseline'!$D$1:$X$258,13,FALSE))))</f>
        <v/>
      </c>
      <c r="P99" s="237" t="str">
        <f>IFERROR(INDEX('G-1 All Habitats'!$AG$3:$AG$15,MATCH(Q99,'G-1 All Habitats'!$AF$3:$AF$15,0)),"")</f>
        <v/>
      </c>
      <c r="Q99" s="238" t="str">
        <f t="shared" si="14"/>
        <v/>
      </c>
      <c r="R99" s="238" t="str">
        <f t="shared" si="15"/>
        <v/>
      </c>
      <c r="S99" s="392" t="str">
        <f>IFERROR(INDEX('G-1 All Habitats'!$B$3:$B$129,MATCH(R99,'G-1 All Habitats'!$A$3:$A$129,0)),"")</f>
        <v/>
      </c>
      <c r="T99" s="498" t="str">
        <f t="shared" si="16"/>
        <v/>
      </c>
      <c r="U99" s="499" t="str">
        <f t="shared" si="17"/>
        <v/>
      </c>
      <c r="V99" s="537" t="str">
        <f t="shared" si="11"/>
        <v/>
      </c>
      <c r="W99" s="520" t="str">
        <f>IF(S99="","",VLOOKUP(S99,'G-1 All Habitats'!$B$2:$M$129,10,FALSE))</f>
        <v/>
      </c>
      <c r="X99" s="520" t="str">
        <f>IFERROR(VLOOKUP(W99,'G-1 All Habitats'!$V$3:$W$7,2,FALSE),"")</f>
        <v/>
      </c>
      <c r="Y99" s="79"/>
      <c r="Z99" s="524" t="str">
        <f>IFERROR(INDEX('G-8 Condition Look up'!$A$3:$H$130,MATCH(S99,'G-8 Condition Look up'!$A$3:$A$130,0),MATCH(Y99,'G-8 Condition Look up'!$A$3:$H$3,0)),"")</f>
        <v/>
      </c>
      <c r="AA99" s="71"/>
      <c r="AB99" s="520" t="str">
        <f>IF(AA99="","",IF(VLOOKUP(AA99,'G-3 Multipliers'!$L$3:$N$6,2,FALSE)=0,"Spatial Data Missing ⚠",VLOOKUP(AA99,'G-3 Multipliers'!$L$3:$N$6,2,FALSE)))</f>
        <v/>
      </c>
      <c r="AC99" s="524" t="str">
        <f>IF(AA99="","",IF(VLOOKUP(AA99,'G-3 Multipliers'!$L$3:$N$6,3,FALSE)=0,"Spatial Data Missing ⚠",VLOOKUP(AA99,'G-3 Multipliers'!$L$3:$N$6,3,FALSE)))</f>
        <v/>
      </c>
      <c r="AD99" s="539" t="str">
        <f t="shared" si="12"/>
        <v/>
      </c>
      <c r="AE99" s="82"/>
      <c r="AF99" s="82"/>
      <c r="AG99" s="507" t="str">
        <f t="shared" si="18"/>
        <v/>
      </c>
      <c r="AH99" s="521" t="str">
        <f t="shared" si="19"/>
        <v/>
      </c>
      <c r="AI99" s="522" t="str">
        <f>IF(AH99="Check Data","Check Data",IFERROR(VLOOKUP(AH99,'G-4 Temporal multipliers'!$A$4:$C$36,3,FALSE),""))</f>
        <v/>
      </c>
      <c r="AJ99" s="498" t="str">
        <f>IF(S99="","",VLOOKUP(S99,'G-3 Multipliers'!$A$2:$E$129,4,FALSE))</f>
        <v/>
      </c>
      <c r="AK99" s="507" t="str">
        <f t="shared" si="20"/>
        <v/>
      </c>
      <c r="AL99" s="507" t="str">
        <f t="shared" si="21"/>
        <v/>
      </c>
      <c r="AM99" s="540" t="str">
        <f>IFERROR(IF(F99="","",IF(AH99="Check Data ⚠","Check Data ⚠",VLOOKUP(AL99, 'G-3 Multipliers'!$P$2:$Q$6,2,FALSE))),"")</f>
        <v/>
      </c>
      <c r="AN99" s="513" t="str">
        <f t="shared" si="13"/>
        <v/>
      </c>
      <c r="AO99" s="239"/>
      <c r="AP99" s="240"/>
    </row>
    <row r="100" spans="1:42" x14ac:dyDescent="0.3">
      <c r="A100" s="47" t="str">
        <f>IF(E100="","",IF(ISNA(VLOOKUP($E100,'A-1 Site Habitat Baseline'!$D$1:$O$258,2,FALSE)),"",(VLOOKUP($E100,'A-1 Site Habitat Baseline'!$D$1:$O$258,2,FALSE))))</f>
        <v/>
      </c>
      <c r="B100" s="47" t="str">
        <f>IF(E100="","",IF(ISNA(VLOOKUP($E100,'A-1 Site Habitat Baseline'!$D$1:$O$258,3,FALSE)),"",(VLOOKUP($E100,'A-1 Site Habitat Baseline'!$D$1:$O$258,3,FALSE))))</f>
        <v/>
      </c>
      <c r="C100" s="47" t="str">
        <f>IFERROR(INDEX('G-8 Condition Look up'!$I$4:$I$130,MATCH(S100,'G-8 Condition Look up'!$A$4:$A$130,0)),"")</f>
        <v/>
      </c>
      <c r="E100" s="531" t="str">
        <f>'A-1 Site Habitat Baseline'!AL99</f>
        <v/>
      </c>
      <c r="F100" s="520" t="str">
        <f>IF(E100="","",IF(ISNA(VLOOKUP($E100,'A-1 Site Habitat Baseline'!$D$1:$O$258,4,FALSE)),"",(VLOOKUP($E100,'A-1 Site Habitat Baseline'!$D$1:$O$258,4,FALSE))))</f>
        <v/>
      </c>
      <c r="G100" s="520" t="str">
        <f>IF(E100="","",IF(ISNA(VLOOKUP($E100,'A-1 Site Habitat Baseline'!$D$1:$O$258,5,FALSE)),"",(VLOOKUP($E100,'A-1 Site Habitat Baseline'!$D$1:$O$258,5,FALSE))))</f>
        <v/>
      </c>
      <c r="H100" s="520" t="str">
        <f>IF(E100="","",IF(ISNA(VLOOKUP($E100,'A-1 Site Habitat Baseline'!$D$1:$O$258,6,FALSE)),"",(VLOOKUP($E100,'A-1 Site Habitat Baseline'!$D$1:$O$258,6,FALSE))))</f>
        <v/>
      </c>
      <c r="I100" s="520" t="str">
        <f>IF(E100="","",IF(ISNA(VLOOKUP($E100,'A-1 Site Habitat Baseline'!$D$1:$O$258,7,FALSE)),"",(VLOOKUP($E100,'A-1 Site Habitat Baseline'!$D$1:$O$258,7,FALSE))))</f>
        <v/>
      </c>
      <c r="J100" s="520" t="str">
        <f>IF(E100="","",IF(ISNA(VLOOKUP($E100,'A-1 Site Habitat Baseline'!$D$1:$O$258,8,FALSE)),"",(VLOOKUP($E100,'A-1 Site Habitat Baseline'!$D$1:$O$258,8,FALSE))))</f>
        <v/>
      </c>
      <c r="K100" s="520" t="str">
        <f>IF(E100="","",IF(ISNA(VLOOKUP($E100,'A-1 Site Habitat Baseline'!$D$1:$O$258,9,FALSE)),"",(VLOOKUP($E100,'A-1 Site Habitat Baseline'!$D$1:$O$258,9,FALSE))))</f>
        <v/>
      </c>
      <c r="L100" s="520" t="str">
        <f>IF(E100="","",IF(ISNA(VLOOKUP($E100,'A-1 Site Habitat Baseline'!$D$1:$O$258,11,FALSE)),"",(VLOOKUP($E100,'A-1 Site Habitat Baseline'!$D$1:$O$258,11,FALSE))))</f>
        <v/>
      </c>
      <c r="M100" s="520" t="str">
        <f>IF(E100="","",IF(ISNA(VLOOKUP($E100,'A-1 Site Habitat Baseline'!$D$1:$O$258,12,FALSE)),"",(VLOOKUP($E100,'A-1 Site Habitat Baseline'!$D$1:$O$258,12,FALSE))))</f>
        <v/>
      </c>
      <c r="N100" s="532" t="str">
        <f>IF(E100="","",IF(ISNA(VLOOKUP($E100,'A-1 Site Habitat Baseline'!$D$1:$X$258,14,FALSE)),"",(VLOOKUP($E100,'A-1 Site Habitat Baseline'!$D$1:$X$258,14,FALSE))))</f>
        <v/>
      </c>
      <c r="O100" s="524" t="str">
        <f>IF(E100="","",IF(ISNA(VLOOKUP($E100,'A-1 Site Habitat Baseline'!$D$1:$X$258,16,FALSE)),"",(VLOOKUP($E100,'A-1 Site Habitat Baseline'!$D$1:$X$258,13,FALSE))))</f>
        <v/>
      </c>
      <c r="P100" s="237" t="str">
        <f>IFERROR(INDEX('G-1 All Habitats'!$AG$3:$AG$15,MATCH(Q100,'G-1 All Habitats'!$AF$3:$AF$15,0)),"")</f>
        <v/>
      </c>
      <c r="Q100" s="238" t="str">
        <f t="shared" si="14"/>
        <v/>
      </c>
      <c r="R100" s="238" t="str">
        <f t="shared" si="15"/>
        <v/>
      </c>
      <c r="S100" s="392" t="str">
        <f>IFERROR(INDEX('G-1 All Habitats'!$B$3:$B$129,MATCH(R100,'G-1 All Habitats'!$A$3:$A$129,0)),"")</f>
        <v/>
      </c>
      <c r="T100" s="498" t="str">
        <f t="shared" si="16"/>
        <v/>
      </c>
      <c r="U100" s="499" t="str">
        <f t="shared" si="17"/>
        <v/>
      </c>
      <c r="V100" s="537" t="str">
        <f t="shared" si="11"/>
        <v/>
      </c>
      <c r="W100" s="520" t="str">
        <f>IF(S100="","",VLOOKUP(S100,'G-1 All Habitats'!$B$2:$M$129,10,FALSE))</f>
        <v/>
      </c>
      <c r="X100" s="520" t="str">
        <f>IFERROR(VLOOKUP(W100,'G-1 All Habitats'!$V$3:$W$7,2,FALSE),"")</f>
        <v/>
      </c>
      <c r="Y100" s="79"/>
      <c r="Z100" s="524" t="str">
        <f>IFERROR(INDEX('G-8 Condition Look up'!$A$3:$H$130,MATCH(S100,'G-8 Condition Look up'!$A$3:$A$130,0),MATCH(Y100,'G-8 Condition Look up'!$A$3:$H$3,0)),"")</f>
        <v/>
      </c>
      <c r="AA100" s="71"/>
      <c r="AB100" s="520" t="str">
        <f>IF(AA100="","",IF(VLOOKUP(AA100,'G-3 Multipliers'!$L$3:$N$6,2,FALSE)=0,"Spatial Data Missing ⚠",VLOOKUP(AA100,'G-3 Multipliers'!$L$3:$N$6,2,FALSE)))</f>
        <v/>
      </c>
      <c r="AC100" s="524" t="str">
        <f>IF(AA100="","",IF(VLOOKUP(AA100,'G-3 Multipliers'!$L$3:$N$6,3,FALSE)=0,"Spatial Data Missing ⚠",VLOOKUP(AA100,'G-3 Multipliers'!$L$3:$N$6,3,FALSE)))</f>
        <v/>
      </c>
      <c r="AD100" s="539" t="str">
        <f t="shared" si="12"/>
        <v/>
      </c>
      <c r="AE100" s="82"/>
      <c r="AF100" s="82"/>
      <c r="AG100" s="507" t="str">
        <f t="shared" si="18"/>
        <v/>
      </c>
      <c r="AH100" s="521" t="str">
        <f t="shared" si="19"/>
        <v/>
      </c>
      <c r="AI100" s="522" t="str">
        <f>IF(AH100="Check Data","Check Data",IFERROR(VLOOKUP(AH100,'G-4 Temporal multipliers'!$A$4:$C$36,3,FALSE),""))</f>
        <v/>
      </c>
      <c r="AJ100" s="498" t="str">
        <f>IF(S100="","",VLOOKUP(S100,'G-3 Multipliers'!$A$2:$E$129,4,FALSE))</f>
        <v/>
      </c>
      <c r="AK100" s="507" t="str">
        <f t="shared" si="20"/>
        <v/>
      </c>
      <c r="AL100" s="507" t="str">
        <f t="shared" si="21"/>
        <v/>
      </c>
      <c r="AM100" s="540" t="str">
        <f>IFERROR(IF(F100="","",IF(AH100="Check Data ⚠","Check Data ⚠",VLOOKUP(AL100, 'G-3 Multipliers'!$P$2:$Q$6,2,FALSE))),"")</f>
        <v/>
      </c>
      <c r="AN100" s="513" t="str">
        <f t="shared" si="13"/>
        <v/>
      </c>
      <c r="AO100" s="239"/>
      <c r="AP100" s="240"/>
    </row>
    <row r="101" spans="1:42" x14ac:dyDescent="0.3">
      <c r="A101" s="47" t="str">
        <f>IF(E101="","",IF(ISNA(VLOOKUP($E101,'A-1 Site Habitat Baseline'!$D$1:$O$258,2,FALSE)),"",(VLOOKUP($E101,'A-1 Site Habitat Baseline'!$D$1:$O$258,2,FALSE))))</f>
        <v/>
      </c>
      <c r="B101" s="47" t="str">
        <f>IF(E101="","",IF(ISNA(VLOOKUP($E101,'A-1 Site Habitat Baseline'!$D$1:$O$258,3,FALSE)),"",(VLOOKUP($E101,'A-1 Site Habitat Baseline'!$D$1:$O$258,3,FALSE))))</f>
        <v/>
      </c>
      <c r="C101" s="47" t="str">
        <f>IFERROR(INDEX('G-8 Condition Look up'!$I$4:$I$130,MATCH(S101,'G-8 Condition Look up'!$A$4:$A$130,0)),"")</f>
        <v/>
      </c>
      <c r="E101" s="531" t="str">
        <f>'A-1 Site Habitat Baseline'!AL100</f>
        <v/>
      </c>
      <c r="F101" s="520" t="str">
        <f>IF(E101="","",IF(ISNA(VLOOKUP($E101,'A-1 Site Habitat Baseline'!$D$1:$O$258,4,FALSE)),"",(VLOOKUP($E101,'A-1 Site Habitat Baseline'!$D$1:$O$258,4,FALSE))))</f>
        <v/>
      </c>
      <c r="G101" s="520" t="str">
        <f>IF(E101="","",IF(ISNA(VLOOKUP($E101,'A-1 Site Habitat Baseline'!$D$1:$O$258,5,FALSE)),"",(VLOOKUP($E101,'A-1 Site Habitat Baseline'!$D$1:$O$258,5,FALSE))))</f>
        <v/>
      </c>
      <c r="H101" s="520" t="str">
        <f>IF(E101="","",IF(ISNA(VLOOKUP($E101,'A-1 Site Habitat Baseline'!$D$1:$O$258,6,FALSE)),"",(VLOOKUP($E101,'A-1 Site Habitat Baseline'!$D$1:$O$258,6,FALSE))))</f>
        <v/>
      </c>
      <c r="I101" s="520" t="str">
        <f>IF(E101="","",IF(ISNA(VLOOKUP($E101,'A-1 Site Habitat Baseline'!$D$1:$O$258,7,FALSE)),"",(VLOOKUP($E101,'A-1 Site Habitat Baseline'!$D$1:$O$258,7,FALSE))))</f>
        <v/>
      </c>
      <c r="J101" s="520" t="str">
        <f>IF(E101="","",IF(ISNA(VLOOKUP($E101,'A-1 Site Habitat Baseline'!$D$1:$O$258,8,FALSE)),"",(VLOOKUP($E101,'A-1 Site Habitat Baseline'!$D$1:$O$258,8,FALSE))))</f>
        <v/>
      </c>
      <c r="K101" s="520" t="str">
        <f>IF(E101="","",IF(ISNA(VLOOKUP($E101,'A-1 Site Habitat Baseline'!$D$1:$O$258,9,FALSE)),"",(VLOOKUP($E101,'A-1 Site Habitat Baseline'!$D$1:$O$258,9,FALSE))))</f>
        <v/>
      </c>
      <c r="L101" s="520" t="str">
        <f>IF(E101="","",IF(ISNA(VLOOKUP($E101,'A-1 Site Habitat Baseline'!$D$1:$O$258,11,FALSE)),"",(VLOOKUP($E101,'A-1 Site Habitat Baseline'!$D$1:$O$258,11,FALSE))))</f>
        <v/>
      </c>
      <c r="M101" s="520" t="str">
        <f>IF(E101="","",IF(ISNA(VLOOKUP($E101,'A-1 Site Habitat Baseline'!$D$1:$O$258,12,FALSE)),"",(VLOOKUP($E101,'A-1 Site Habitat Baseline'!$D$1:$O$258,12,FALSE))))</f>
        <v/>
      </c>
      <c r="N101" s="532" t="str">
        <f>IF(E101="","",IF(ISNA(VLOOKUP($E101,'A-1 Site Habitat Baseline'!$D$1:$X$258,14,FALSE)),"",(VLOOKUP($E101,'A-1 Site Habitat Baseline'!$D$1:$X$258,14,FALSE))))</f>
        <v/>
      </c>
      <c r="O101" s="524" t="str">
        <f>IF(E101="","",IF(ISNA(VLOOKUP($E101,'A-1 Site Habitat Baseline'!$D$1:$X$258,16,FALSE)),"",(VLOOKUP($E101,'A-1 Site Habitat Baseline'!$D$1:$X$258,13,FALSE))))</f>
        <v/>
      </c>
      <c r="P101" s="237" t="str">
        <f>IFERROR(INDEX('G-1 All Habitats'!$AG$3:$AG$15,MATCH(Q101,'G-1 All Habitats'!$AF$3:$AF$15,0)),"")</f>
        <v/>
      </c>
      <c r="Q101" s="238" t="str">
        <f t="shared" si="14"/>
        <v/>
      </c>
      <c r="R101" s="238" t="str">
        <f t="shared" si="15"/>
        <v/>
      </c>
      <c r="S101" s="392" t="str">
        <f>IFERROR(INDEX('G-1 All Habitats'!$B$3:$B$129,MATCH(R101,'G-1 All Habitats'!$A$3:$A$129,0)),"")</f>
        <v/>
      </c>
      <c r="T101" s="498" t="str">
        <f t="shared" si="16"/>
        <v/>
      </c>
      <c r="U101" s="499" t="str">
        <f t="shared" si="17"/>
        <v/>
      </c>
      <c r="V101" s="537" t="str">
        <f t="shared" si="11"/>
        <v/>
      </c>
      <c r="W101" s="520" t="str">
        <f>IF(S101="","",VLOOKUP(S101,'G-1 All Habitats'!$B$2:$M$129,10,FALSE))</f>
        <v/>
      </c>
      <c r="X101" s="520" t="str">
        <f>IFERROR(VLOOKUP(W101,'G-1 All Habitats'!$V$3:$W$7,2,FALSE),"")</f>
        <v/>
      </c>
      <c r="Y101" s="79"/>
      <c r="Z101" s="524" t="str">
        <f>IFERROR(INDEX('G-8 Condition Look up'!$A$3:$H$130,MATCH(S101,'G-8 Condition Look up'!$A$3:$A$130,0),MATCH(Y101,'G-8 Condition Look up'!$A$3:$H$3,0)),"")</f>
        <v/>
      </c>
      <c r="AA101" s="71"/>
      <c r="AB101" s="520" t="str">
        <f>IF(AA101="","",IF(VLOOKUP(AA101,'G-3 Multipliers'!$L$3:$N$6,2,FALSE)=0,"Spatial Data Missing ⚠",VLOOKUP(AA101,'G-3 Multipliers'!$L$3:$N$6,2,FALSE)))</f>
        <v/>
      </c>
      <c r="AC101" s="524" t="str">
        <f>IF(AA101="","",IF(VLOOKUP(AA101,'G-3 Multipliers'!$L$3:$N$6,3,FALSE)=0,"Spatial Data Missing ⚠",VLOOKUP(AA101,'G-3 Multipliers'!$L$3:$N$6,3,FALSE)))</f>
        <v/>
      </c>
      <c r="AD101" s="539" t="str">
        <f t="shared" si="12"/>
        <v/>
      </c>
      <c r="AE101" s="82"/>
      <c r="AF101" s="82"/>
      <c r="AG101" s="507" t="str">
        <f t="shared" si="18"/>
        <v/>
      </c>
      <c r="AH101" s="521" t="str">
        <f t="shared" si="19"/>
        <v/>
      </c>
      <c r="AI101" s="522" t="str">
        <f>IF(AH101="Check Data","Check Data",IFERROR(VLOOKUP(AH101,'G-4 Temporal multipliers'!$A$4:$C$36,3,FALSE),""))</f>
        <v/>
      </c>
      <c r="AJ101" s="498" t="str">
        <f>IF(S101="","",VLOOKUP(S101,'G-3 Multipliers'!$A$2:$E$129,4,FALSE))</f>
        <v/>
      </c>
      <c r="AK101" s="507" t="str">
        <f t="shared" si="20"/>
        <v/>
      </c>
      <c r="AL101" s="507" t="str">
        <f t="shared" si="21"/>
        <v/>
      </c>
      <c r="AM101" s="540" t="str">
        <f>IFERROR(IF(F101="","",IF(AH101="Check Data ⚠","Check Data ⚠",VLOOKUP(AL101, 'G-3 Multipliers'!$P$2:$Q$6,2,FALSE))),"")</f>
        <v/>
      </c>
      <c r="AN101" s="513" t="str">
        <f t="shared" si="13"/>
        <v/>
      </c>
      <c r="AO101" s="239"/>
      <c r="AP101" s="240"/>
    </row>
    <row r="102" spans="1:42" x14ac:dyDescent="0.3">
      <c r="A102" s="47" t="str">
        <f>IF(E102="","",IF(ISNA(VLOOKUP($E102,'A-1 Site Habitat Baseline'!$D$1:$O$258,2,FALSE)),"",(VLOOKUP($E102,'A-1 Site Habitat Baseline'!$D$1:$O$258,2,FALSE))))</f>
        <v/>
      </c>
      <c r="B102" s="47" t="str">
        <f>IF(E102="","",IF(ISNA(VLOOKUP($E102,'A-1 Site Habitat Baseline'!$D$1:$O$258,3,FALSE)),"",(VLOOKUP($E102,'A-1 Site Habitat Baseline'!$D$1:$O$258,3,FALSE))))</f>
        <v/>
      </c>
      <c r="C102" s="47" t="str">
        <f>IFERROR(INDEX('G-8 Condition Look up'!$I$4:$I$130,MATCH(S102,'G-8 Condition Look up'!$A$4:$A$130,0)),"")</f>
        <v/>
      </c>
      <c r="E102" s="531" t="str">
        <f>'A-1 Site Habitat Baseline'!AL101</f>
        <v/>
      </c>
      <c r="F102" s="520" t="str">
        <f>IF(E102="","",IF(ISNA(VLOOKUP($E102,'A-1 Site Habitat Baseline'!$D$1:$O$258,4,FALSE)),"",(VLOOKUP($E102,'A-1 Site Habitat Baseline'!$D$1:$O$258,4,FALSE))))</f>
        <v/>
      </c>
      <c r="G102" s="520" t="str">
        <f>IF(E102="","",IF(ISNA(VLOOKUP($E102,'A-1 Site Habitat Baseline'!$D$1:$O$258,5,FALSE)),"",(VLOOKUP($E102,'A-1 Site Habitat Baseline'!$D$1:$O$258,5,FALSE))))</f>
        <v/>
      </c>
      <c r="H102" s="520" t="str">
        <f>IF(E102="","",IF(ISNA(VLOOKUP($E102,'A-1 Site Habitat Baseline'!$D$1:$O$258,6,FALSE)),"",(VLOOKUP($E102,'A-1 Site Habitat Baseline'!$D$1:$O$258,6,FALSE))))</f>
        <v/>
      </c>
      <c r="I102" s="520" t="str">
        <f>IF(E102="","",IF(ISNA(VLOOKUP($E102,'A-1 Site Habitat Baseline'!$D$1:$O$258,7,FALSE)),"",(VLOOKUP($E102,'A-1 Site Habitat Baseline'!$D$1:$O$258,7,FALSE))))</f>
        <v/>
      </c>
      <c r="J102" s="520" t="str">
        <f>IF(E102="","",IF(ISNA(VLOOKUP($E102,'A-1 Site Habitat Baseline'!$D$1:$O$258,8,FALSE)),"",(VLOOKUP($E102,'A-1 Site Habitat Baseline'!$D$1:$O$258,8,FALSE))))</f>
        <v/>
      </c>
      <c r="K102" s="520" t="str">
        <f>IF(E102="","",IF(ISNA(VLOOKUP($E102,'A-1 Site Habitat Baseline'!$D$1:$O$258,9,FALSE)),"",(VLOOKUP($E102,'A-1 Site Habitat Baseline'!$D$1:$O$258,9,FALSE))))</f>
        <v/>
      </c>
      <c r="L102" s="520" t="str">
        <f>IF(E102="","",IF(ISNA(VLOOKUP($E102,'A-1 Site Habitat Baseline'!$D$1:$O$258,11,FALSE)),"",(VLOOKUP($E102,'A-1 Site Habitat Baseline'!$D$1:$O$258,11,FALSE))))</f>
        <v/>
      </c>
      <c r="M102" s="520" t="str">
        <f>IF(E102="","",IF(ISNA(VLOOKUP($E102,'A-1 Site Habitat Baseline'!$D$1:$O$258,12,FALSE)),"",(VLOOKUP($E102,'A-1 Site Habitat Baseline'!$D$1:$O$258,12,FALSE))))</f>
        <v/>
      </c>
      <c r="N102" s="532" t="str">
        <f>IF(E102="","",IF(ISNA(VLOOKUP($E102,'A-1 Site Habitat Baseline'!$D$1:$X$258,14,FALSE)),"",(VLOOKUP($E102,'A-1 Site Habitat Baseline'!$D$1:$X$258,14,FALSE))))</f>
        <v/>
      </c>
      <c r="O102" s="524" t="str">
        <f>IF(E102="","",IF(ISNA(VLOOKUP($E102,'A-1 Site Habitat Baseline'!$D$1:$X$258,16,FALSE)),"",(VLOOKUP($E102,'A-1 Site Habitat Baseline'!$D$1:$X$258,13,FALSE))))</f>
        <v/>
      </c>
      <c r="P102" s="237" t="str">
        <f>IFERROR(INDEX('G-1 All Habitats'!$AG$3:$AG$15,MATCH(Q102,'G-1 All Habitats'!$AF$3:$AF$15,0)),"")</f>
        <v/>
      </c>
      <c r="Q102" s="238" t="str">
        <f t="shared" si="14"/>
        <v/>
      </c>
      <c r="R102" s="238" t="str">
        <f t="shared" si="15"/>
        <v/>
      </c>
      <c r="S102" s="392" t="str">
        <f>IFERROR(INDEX('G-1 All Habitats'!$B$3:$B$129,MATCH(R102,'G-1 All Habitats'!$A$3:$A$129,0)),"")</f>
        <v/>
      </c>
      <c r="T102" s="498" t="str">
        <f t="shared" si="16"/>
        <v/>
      </c>
      <c r="U102" s="499" t="str">
        <f t="shared" si="17"/>
        <v/>
      </c>
      <c r="V102" s="537" t="str">
        <f t="shared" si="11"/>
        <v/>
      </c>
      <c r="W102" s="520" t="str">
        <f>IF(S102="","",VLOOKUP(S102,'G-1 All Habitats'!$B$2:$M$129,10,FALSE))</f>
        <v/>
      </c>
      <c r="X102" s="520" t="str">
        <f>IFERROR(VLOOKUP(W102,'G-1 All Habitats'!$V$3:$W$7,2,FALSE),"")</f>
        <v/>
      </c>
      <c r="Y102" s="79"/>
      <c r="Z102" s="524" t="str">
        <f>IFERROR(INDEX('G-8 Condition Look up'!$A$3:$H$130,MATCH(S102,'G-8 Condition Look up'!$A$3:$A$130,0),MATCH(Y102,'G-8 Condition Look up'!$A$3:$H$3,0)),"")</f>
        <v/>
      </c>
      <c r="AA102" s="71"/>
      <c r="AB102" s="520" t="str">
        <f>IF(AA102="","",IF(VLOOKUP(AA102,'G-3 Multipliers'!$L$3:$N$6,2,FALSE)=0,"Spatial Data Missing ⚠",VLOOKUP(AA102,'G-3 Multipliers'!$L$3:$N$6,2,FALSE)))</f>
        <v/>
      </c>
      <c r="AC102" s="524" t="str">
        <f>IF(AA102="","",IF(VLOOKUP(AA102,'G-3 Multipliers'!$L$3:$N$6,3,FALSE)=0,"Spatial Data Missing ⚠",VLOOKUP(AA102,'G-3 Multipliers'!$L$3:$N$6,3,FALSE)))</f>
        <v/>
      </c>
      <c r="AD102" s="539" t="str">
        <f t="shared" si="12"/>
        <v/>
      </c>
      <c r="AE102" s="82"/>
      <c r="AF102" s="82"/>
      <c r="AG102" s="507" t="str">
        <f t="shared" si="18"/>
        <v/>
      </c>
      <c r="AH102" s="521" t="str">
        <f t="shared" si="19"/>
        <v/>
      </c>
      <c r="AI102" s="522" t="str">
        <f>IF(AH102="Check Data","Check Data",IFERROR(VLOOKUP(AH102,'G-4 Temporal multipliers'!$A$4:$C$36,3,FALSE),""))</f>
        <v/>
      </c>
      <c r="AJ102" s="498" t="str">
        <f>IF(S102="","",VLOOKUP(S102,'G-3 Multipliers'!$A$2:$E$129,4,FALSE))</f>
        <v/>
      </c>
      <c r="AK102" s="507" t="str">
        <f t="shared" si="20"/>
        <v/>
      </c>
      <c r="AL102" s="507" t="str">
        <f t="shared" si="21"/>
        <v/>
      </c>
      <c r="AM102" s="540" t="str">
        <f>IFERROR(IF(F102="","",IF(AH102="Check Data ⚠","Check Data ⚠",VLOOKUP(AL102, 'G-3 Multipliers'!$P$2:$Q$6,2,FALSE))),"")</f>
        <v/>
      </c>
      <c r="AN102" s="513" t="str">
        <f t="shared" si="13"/>
        <v/>
      </c>
      <c r="AO102" s="239"/>
      <c r="AP102" s="240"/>
    </row>
    <row r="103" spans="1:42" x14ac:dyDescent="0.3">
      <c r="A103" s="47" t="str">
        <f>IF(E103="","",IF(ISNA(VLOOKUP($E103,'A-1 Site Habitat Baseline'!$D$1:$O$258,2,FALSE)),"",(VLOOKUP($E103,'A-1 Site Habitat Baseline'!$D$1:$O$258,2,FALSE))))</f>
        <v/>
      </c>
      <c r="B103" s="47" t="str">
        <f>IF(E103="","",IF(ISNA(VLOOKUP($E103,'A-1 Site Habitat Baseline'!$D$1:$O$258,3,FALSE)),"",(VLOOKUP($E103,'A-1 Site Habitat Baseline'!$D$1:$O$258,3,FALSE))))</f>
        <v/>
      </c>
      <c r="C103" s="47" t="str">
        <f>IFERROR(INDEX('G-8 Condition Look up'!$I$4:$I$130,MATCH(S103,'G-8 Condition Look up'!$A$4:$A$130,0)),"")</f>
        <v/>
      </c>
      <c r="E103" s="531" t="str">
        <f>'A-1 Site Habitat Baseline'!AL102</f>
        <v/>
      </c>
      <c r="F103" s="520" t="str">
        <f>IF(E103="","",IF(ISNA(VLOOKUP($E103,'A-1 Site Habitat Baseline'!$D$1:$O$258,4,FALSE)),"",(VLOOKUP($E103,'A-1 Site Habitat Baseline'!$D$1:$O$258,4,FALSE))))</f>
        <v/>
      </c>
      <c r="G103" s="520" t="str">
        <f>IF(E103="","",IF(ISNA(VLOOKUP($E103,'A-1 Site Habitat Baseline'!$D$1:$O$258,5,FALSE)),"",(VLOOKUP($E103,'A-1 Site Habitat Baseline'!$D$1:$O$258,5,FALSE))))</f>
        <v/>
      </c>
      <c r="H103" s="520" t="str">
        <f>IF(E103="","",IF(ISNA(VLOOKUP($E103,'A-1 Site Habitat Baseline'!$D$1:$O$258,6,FALSE)),"",(VLOOKUP($E103,'A-1 Site Habitat Baseline'!$D$1:$O$258,6,FALSE))))</f>
        <v/>
      </c>
      <c r="I103" s="520" t="str">
        <f>IF(E103="","",IF(ISNA(VLOOKUP($E103,'A-1 Site Habitat Baseline'!$D$1:$O$258,7,FALSE)),"",(VLOOKUP($E103,'A-1 Site Habitat Baseline'!$D$1:$O$258,7,FALSE))))</f>
        <v/>
      </c>
      <c r="J103" s="520" t="str">
        <f>IF(E103="","",IF(ISNA(VLOOKUP($E103,'A-1 Site Habitat Baseline'!$D$1:$O$258,8,FALSE)),"",(VLOOKUP($E103,'A-1 Site Habitat Baseline'!$D$1:$O$258,8,FALSE))))</f>
        <v/>
      </c>
      <c r="K103" s="520" t="str">
        <f>IF(E103="","",IF(ISNA(VLOOKUP($E103,'A-1 Site Habitat Baseline'!$D$1:$O$258,9,FALSE)),"",(VLOOKUP($E103,'A-1 Site Habitat Baseline'!$D$1:$O$258,9,FALSE))))</f>
        <v/>
      </c>
      <c r="L103" s="520" t="str">
        <f>IF(E103="","",IF(ISNA(VLOOKUP($E103,'A-1 Site Habitat Baseline'!$D$1:$O$258,11,FALSE)),"",(VLOOKUP($E103,'A-1 Site Habitat Baseline'!$D$1:$O$258,11,FALSE))))</f>
        <v/>
      </c>
      <c r="M103" s="520" t="str">
        <f>IF(E103="","",IF(ISNA(VLOOKUP($E103,'A-1 Site Habitat Baseline'!$D$1:$O$258,12,FALSE)),"",(VLOOKUP($E103,'A-1 Site Habitat Baseline'!$D$1:$O$258,12,FALSE))))</f>
        <v/>
      </c>
      <c r="N103" s="532" t="str">
        <f>IF(E103="","",IF(ISNA(VLOOKUP($E103,'A-1 Site Habitat Baseline'!$D$1:$X$258,14,FALSE)),"",(VLOOKUP($E103,'A-1 Site Habitat Baseline'!$D$1:$X$258,14,FALSE))))</f>
        <v/>
      </c>
      <c r="O103" s="524" t="str">
        <f>IF(E103="","",IF(ISNA(VLOOKUP($E103,'A-1 Site Habitat Baseline'!$D$1:$X$258,16,FALSE)),"",(VLOOKUP($E103,'A-1 Site Habitat Baseline'!$D$1:$X$258,13,FALSE))))</f>
        <v/>
      </c>
      <c r="P103" s="237" t="str">
        <f>IFERROR(INDEX('G-1 All Habitats'!$AG$3:$AG$15,MATCH(Q103,'G-1 All Habitats'!$AF$3:$AF$15,0)),"")</f>
        <v/>
      </c>
      <c r="Q103" s="238" t="str">
        <f t="shared" si="14"/>
        <v/>
      </c>
      <c r="R103" s="238" t="str">
        <f t="shared" si="15"/>
        <v/>
      </c>
      <c r="S103" s="392" t="str">
        <f>IFERROR(INDEX('G-1 All Habitats'!$B$3:$B$129,MATCH(R103,'G-1 All Habitats'!$A$3:$A$129,0)),"")</f>
        <v/>
      </c>
      <c r="T103" s="498" t="str">
        <f t="shared" si="16"/>
        <v/>
      </c>
      <c r="U103" s="499" t="str">
        <f t="shared" si="17"/>
        <v/>
      </c>
      <c r="V103" s="537" t="str">
        <f t="shared" si="11"/>
        <v/>
      </c>
      <c r="W103" s="520" t="str">
        <f>IF(S103="","",VLOOKUP(S103,'G-1 All Habitats'!$B$2:$M$129,10,FALSE))</f>
        <v/>
      </c>
      <c r="X103" s="520" t="str">
        <f>IFERROR(VLOOKUP(W103,'G-1 All Habitats'!$V$3:$W$7,2,FALSE),"")</f>
        <v/>
      </c>
      <c r="Y103" s="79"/>
      <c r="Z103" s="524" t="str">
        <f>IFERROR(INDEX('G-8 Condition Look up'!$A$3:$H$130,MATCH(S103,'G-8 Condition Look up'!$A$3:$A$130,0),MATCH(Y103,'G-8 Condition Look up'!$A$3:$H$3,0)),"")</f>
        <v/>
      </c>
      <c r="AA103" s="71"/>
      <c r="AB103" s="520" t="str">
        <f>IF(AA103="","",IF(VLOOKUP(AA103,'G-3 Multipliers'!$L$3:$N$6,2,FALSE)=0,"Spatial Data Missing ⚠",VLOOKUP(AA103,'G-3 Multipliers'!$L$3:$N$6,2,FALSE)))</f>
        <v/>
      </c>
      <c r="AC103" s="524" t="str">
        <f>IF(AA103="","",IF(VLOOKUP(AA103,'G-3 Multipliers'!$L$3:$N$6,3,FALSE)=0,"Spatial Data Missing ⚠",VLOOKUP(AA103,'G-3 Multipliers'!$L$3:$N$6,3,FALSE)))</f>
        <v/>
      </c>
      <c r="AD103" s="539" t="str">
        <f t="shared" si="12"/>
        <v/>
      </c>
      <c r="AE103" s="82"/>
      <c r="AF103" s="82"/>
      <c r="AG103" s="507" t="str">
        <f t="shared" si="18"/>
        <v/>
      </c>
      <c r="AH103" s="521" t="str">
        <f t="shared" si="19"/>
        <v/>
      </c>
      <c r="AI103" s="522" t="str">
        <f>IF(AH103="Check Data","Check Data",IFERROR(VLOOKUP(AH103,'G-4 Temporal multipliers'!$A$4:$C$36,3,FALSE),""))</f>
        <v/>
      </c>
      <c r="AJ103" s="498" t="str">
        <f>IF(S103="","",VLOOKUP(S103,'G-3 Multipliers'!$A$2:$E$129,4,FALSE))</f>
        <v/>
      </c>
      <c r="AK103" s="507" t="str">
        <f t="shared" si="20"/>
        <v/>
      </c>
      <c r="AL103" s="507" t="str">
        <f t="shared" si="21"/>
        <v/>
      </c>
      <c r="AM103" s="540" t="str">
        <f>IFERROR(IF(F103="","",IF(AH103="Check Data ⚠","Check Data ⚠",VLOOKUP(AL103, 'G-3 Multipliers'!$P$2:$Q$6,2,FALSE))),"")</f>
        <v/>
      </c>
      <c r="AN103" s="513" t="str">
        <f t="shared" si="13"/>
        <v/>
      </c>
      <c r="AO103" s="239"/>
      <c r="AP103" s="240"/>
    </row>
    <row r="104" spans="1:42" x14ac:dyDescent="0.3">
      <c r="A104" s="47" t="str">
        <f>IF(E104="","",IF(ISNA(VLOOKUP($E104,'A-1 Site Habitat Baseline'!$D$1:$O$258,2,FALSE)),"",(VLOOKUP($E104,'A-1 Site Habitat Baseline'!$D$1:$O$258,2,FALSE))))</f>
        <v/>
      </c>
      <c r="B104" s="47" t="str">
        <f>IF(E104="","",IF(ISNA(VLOOKUP($E104,'A-1 Site Habitat Baseline'!$D$1:$O$258,3,FALSE)),"",(VLOOKUP($E104,'A-1 Site Habitat Baseline'!$D$1:$O$258,3,FALSE))))</f>
        <v/>
      </c>
      <c r="C104" s="47" t="str">
        <f>IFERROR(INDEX('G-8 Condition Look up'!$I$4:$I$130,MATCH(S104,'G-8 Condition Look up'!$A$4:$A$130,0)),"")</f>
        <v/>
      </c>
      <c r="E104" s="531" t="str">
        <f>'A-1 Site Habitat Baseline'!AL103</f>
        <v/>
      </c>
      <c r="F104" s="520" t="str">
        <f>IF(E104="","",IF(ISNA(VLOOKUP($E104,'A-1 Site Habitat Baseline'!$D$1:$O$258,4,FALSE)),"",(VLOOKUP($E104,'A-1 Site Habitat Baseline'!$D$1:$O$258,4,FALSE))))</f>
        <v/>
      </c>
      <c r="G104" s="520" t="str">
        <f>IF(E104="","",IF(ISNA(VLOOKUP($E104,'A-1 Site Habitat Baseline'!$D$1:$O$258,5,FALSE)),"",(VLOOKUP($E104,'A-1 Site Habitat Baseline'!$D$1:$O$258,5,FALSE))))</f>
        <v/>
      </c>
      <c r="H104" s="520" t="str">
        <f>IF(E104="","",IF(ISNA(VLOOKUP($E104,'A-1 Site Habitat Baseline'!$D$1:$O$258,6,FALSE)),"",(VLOOKUP($E104,'A-1 Site Habitat Baseline'!$D$1:$O$258,6,FALSE))))</f>
        <v/>
      </c>
      <c r="I104" s="520" t="str">
        <f>IF(E104="","",IF(ISNA(VLOOKUP($E104,'A-1 Site Habitat Baseline'!$D$1:$O$258,7,FALSE)),"",(VLOOKUP($E104,'A-1 Site Habitat Baseline'!$D$1:$O$258,7,FALSE))))</f>
        <v/>
      </c>
      <c r="J104" s="520" t="str">
        <f>IF(E104="","",IF(ISNA(VLOOKUP($E104,'A-1 Site Habitat Baseline'!$D$1:$O$258,8,FALSE)),"",(VLOOKUP($E104,'A-1 Site Habitat Baseline'!$D$1:$O$258,8,FALSE))))</f>
        <v/>
      </c>
      <c r="K104" s="520" t="str">
        <f>IF(E104="","",IF(ISNA(VLOOKUP($E104,'A-1 Site Habitat Baseline'!$D$1:$O$258,9,FALSE)),"",(VLOOKUP($E104,'A-1 Site Habitat Baseline'!$D$1:$O$258,9,FALSE))))</f>
        <v/>
      </c>
      <c r="L104" s="520" t="str">
        <f>IF(E104="","",IF(ISNA(VLOOKUP($E104,'A-1 Site Habitat Baseline'!$D$1:$O$258,11,FALSE)),"",(VLOOKUP($E104,'A-1 Site Habitat Baseline'!$D$1:$O$258,11,FALSE))))</f>
        <v/>
      </c>
      <c r="M104" s="520" t="str">
        <f>IF(E104="","",IF(ISNA(VLOOKUP($E104,'A-1 Site Habitat Baseline'!$D$1:$O$258,12,FALSE)),"",(VLOOKUP($E104,'A-1 Site Habitat Baseline'!$D$1:$O$258,12,FALSE))))</f>
        <v/>
      </c>
      <c r="N104" s="532" t="str">
        <f>IF(E104="","",IF(ISNA(VLOOKUP($E104,'A-1 Site Habitat Baseline'!$D$1:$X$258,14,FALSE)),"",(VLOOKUP($E104,'A-1 Site Habitat Baseline'!$D$1:$X$258,14,FALSE))))</f>
        <v/>
      </c>
      <c r="O104" s="524" t="str">
        <f>IF(E104="","",IF(ISNA(VLOOKUP($E104,'A-1 Site Habitat Baseline'!$D$1:$X$258,16,FALSE)),"",(VLOOKUP($E104,'A-1 Site Habitat Baseline'!$D$1:$X$258,13,FALSE))))</f>
        <v/>
      </c>
      <c r="P104" s="237" t="str">
        <f>IFERROR(INDEX('G-1 All Habitats'!$AG$3:$AG$15,MATCH(Q104,'G-1 All Habitats'!$AF$3:$AF$15,0)),"")</f>
        <v/>
      </c>
      <c r="Q104" s="238" t="str">
        <f t="shared" si="14"/>
        <v/>
      </c>
      <c r="R104" s="238" t="str">
        <f t="shared" si="15"/>
        <v/>
      </c>
      <c r="S104" s="392" t="str">
        <f>IFERROR(INDEX('G-1 All Habitats'!$B$3:$B$129,MATCH(R104,'G-1 All Habitats'!$A$3:$A$129,0)),"")</f>
        <v/>
      </c>
      <c r="T104" s="498" t="str">
        <f t="shared" si="16"/>
        <v/>
      </c>
      <c r="U104" s="499" t="str">
        <f t="shared" si="17"/>
        <v/>
      </c>
      <c r="V104" s="537" t="str">
        <f t="shared" si="11"/>
        <v/>
      </c>
      <c r="W104" s="520" t="str">
        <f>IF(S104="","",VLOOKUP(S104,'G-1 All Habitats'!$B$2:$M$129,10,FALSE))</f>
        <v/>
      </c>
      <c r="X104" s="520" t="str">
        <f>IFERROR(VLOOKUP(W104,'G-1 All Habitats'!$V$3:$W$7,2,FALSE),"")</f>
        <v/>
      </c>
      <c r="Y104" s="79"/>
      <c r="Z104" s="524" t="str">
        <f>IFERROR(INDEX('G-8 Condition Look up'!$A$3:$H$130,MATCH(S104,'G-8 Condition Look up'!$A$3:$A$130,0),MATCH(Y104,'G-8 Condition Look up'!$A$3:$H$3,0)),"")</f>
        <v/>
      </c>
      <c r="AA104" s="71"/>
      <c r="AB104" s="520" t="str">
        <f>IF(AA104="","",IF(VLOOKUP(AA104,'G-3 Multipliers'!$L$3:$N$6,2,FALSE)=0,"Spatial Data Missing ⚠",VLOOKUP(AA104,'G-3 Multipliers'!$L$3:$N$6,2,FALSE)))</f>
        <v/>
      </c>
      <c r="AC104" s="524" t="str">
        <f>IF(AA104="","",IF(VLOOKUP(AA104,'G-3 Multipliers'!$L$3:$N$6,3,FALSE)=0,"Spatial Data Missing ⚠",VLOOKUP(AA104,'G-3 Multipliers'!$L$3:$N$6,3,FALSE)))</f>
        <v/>
      </c>
      <c r="AD104" s="539" t="str">
        <f t="shared" si="12"/>
        <v/>
      </c>
      <c r="AE104" s="82"/>
      <c r="AF104" s="82"/>
      <c r="AG104" s="507" t="str">
        <f t="shared" si="18"/>
        <v/>
      </c>
      <c r="AH104" s="521" t="str">
        <f t="shared" si="19"/>
        <v/>
      </c>
      <c r="AI104" s="522" t="str">
        <f>IF(AH104="Check Data","Check Data",IFERROR(VLOOKUP(AH104,'G-4 Temporal multipliers'!$A$4:$C$36,3,FALSE),""))</f>
        <v/>
      </c>
      <c r="AJ104" s="498" t="str">
        <f>IF(S104="","",VLOOKUP(S104,'G-3 Multipliers'!$A$2:$E$129,4,FALSE))</f>
        <v/>
      </c>
      <c r="AK104" s="507" t="str">
        <f t="shared" si="20"/>
        <v/>
      </c>
      <c r="AL104" s="507" t="str">
        <f t="shared" si="21"/>
        <v/>
      </c>
      <c r="AM104" s="540" t="str">
        <f>IFERROR(IF(F104="","",IF(AH104="Check Data ⚠","Check Data ⚠",VLOOKUP(AL104, 'G-3 Multipliers'!$P$2:$Q$6,2,FALSE))),"")</f>
        <v/>
      </c>
      <c r="AN104" s="513" t="str">
        <f t="shared" si="13"/>
        <v/>
      </c>
      <c r="AO104" s="239"/>
      <c r="AP104" s="240"/>
    </row>
    <row r="105" spans="1:42" x14ac:dyDescent="0.3">
      <c r="A105" s="47" t="str">
        <f>IF(E105="","",IF(ISNA(VLOOKUP($E105,'A-1 Site Habitat Baseline'!$D$1:$O$258,2,FALSE)),"",(VLOOKUP($E105,'A-1 Site Habitat Baseline'!$D$1:$O$258,2,FALSE))))</f>
        <v/>
      </c>
      <c r="B105" s="47" t="str">
        <f>IF(E105="","",IF(ISNA(VLOOKUP($E105,'A-1 Site Habitat Baseline'!$D$1:$O$258,3,FALSE)),"",(VLOOKUP($E105,'A-1 Site Habitat Baseline'!$D$1:$O$258,3,FALSE))))</f>
        <v/>
      </c>
      <c r="C105" s="47" t="str">
        <f>IFERROR(INDEX('G-8 Condition Look up'!$I$4:$I$130,MATCH(S105,'G-8 Condition Look up'!$A$4:$A$130,0)),"")</f>
        <v/>
      </c>
      <c r="E105" s="531" t="str">
        <f>'A-1 Site Habitat Baseline'!AL104</f>
        <v/>
      </c>
      <c r="F105" s="520" t="str">
        <f>IF(E105="","",IF(ISNA(VLOOKUP($E105,'A-1 Site Habitat Baseline'!$D$1:$O$258,4,FALSE)),"",(VLOOKUP($E105,'A-1 Site Habitat Baseline'!$D$1:$O$258,4,FALSE))))</f>
        <v/>
      </c>
      <c r="G105" s="520" t="str">
        <f>IF(E105="","",IF(ISNA(VLOOKUP($E105,'A-1 Site Habitat Baseline'!$D$1:$O$258,5,FALSE)),"",(VLOOKUP($E105,'A-1 Site Habitat Baseline'!$D$1:$O$258,5,FALSE))))</f>
        <v/>
      </c>
      <c r="H105" s="520" t="str">
        <f>IF(E105="","",IF(ISNA(VLOOKUP($E105,'A-1 Site Habitat Baseline'!$D$1:$O$258,6,FALSE)),"",(VLOOKUP($E105,'A-1 Site Habitat Baseline'!$D$1:$O$258,6,FALSE))))</f>
        <v/>
      </c>
      <c r="I105" s="520" t="str">
        <f>IF(E105="","",IF(ISNA(VLOOKUP($E105,'A-1 Site Habitat Baseline'!$D$1:$O$258,7,FALSE)),"",(VLOOKUP($E105,'A-1 Site Habitat Baseline'!$D$1:$O$258,7,FALSE))))</f>
        <v/>
      </c>
      <c r="J105" s="520" t="str">
        <f>IF(E105="","",IF(ISNA(VLOOKUP($E105,'A-1 Site Habitat Baseline'!$D$1:$O$258,8,FALSE)),"",(VLOOKUP($E105,'A-1 Site Habitat Baseline'!$D$1:$O$258,8,FALSE))))</f>
        <v/>
      </c>
      <c r="K105" s="520" t="str">
        <f>IF(E105="","",IF(ISNA(VLOOKUP($E105,'A-1 Site Habitat Baseline'!$D$1:$O$258,9,FALSE)),"",(VLOOKUP($E105,'A-1 Site Habitat Baseline'!$D$1:$O$258,9,FALSE))))</f>
        <v/>
      </c>
      <c r="L105" s="520" t="str">
        <f>IF(E105="","",IF(ISNA(VLOOKUP($E105,'A-1 Site Habitat Baseline'!$D$1:$O$258,11,FALSE)),"",(VLOOKUP($E105,'A-1 Site Habitat Baseline'!$D$1:$O$258,11,FALSE))))</f>
        <v/>
      </c>
      <c r="M105" s="520" t="str">
        <f>IF(E105="","",IF(ISNA(VLOOKUP($E105,'A-1 Site Habitat Baseline'!$D$1:$O$258,12,FALSE)),"",(VLOOKUP($E105,'A-1 Site Habitat Baseline'!$D$1:$O$258,12,FALSE))))</f>
        <v/>
      </c>
      <c r="N105" s="532" t="str">
        <f>IF(E105="","",IF(ISNA(VLOOKUP($E105,'A-1 Site Habitat Baseline'!$D$1:$X$258,14,FALSE)),"",(VLOOKUP($E105,'A-1 Site Habitat Baseline'!$D$1:$X$258,14,FALSE))))</f>
        <v/>
      </c>
      <c r="O105" s="524" t="str">
        <f>IF(E105="","",IF(ISNA(VLOOKUP($E105,'A-1 Site Habitat Baseline'!$D$1:$X$258,16,FALSE)),"",(VLOOKUP($E105,'A-1 Site Habitat Baseline'!$D$1:$X$258,13,FALSE))))</f>
        <v/>
      </c>
      <c r="P105" s="237" t="str">
        <f>IFERROR(INDEX('G-1 All Habitats'!$AG$3:$AG$15,MATCH(Q105,'G-1 All Habitats'!$AF$3:$AF$15,0)),"")</f>
        <v/>
      </c>
      <c r="Q105" s="238" t="str">
        <f t="shared" si="14"/>
        <v/>
      </c>
      <c r="R105" s="238" t="str">
        <f t="shared" si="15"/>
        <v/>
      </c>
      <c r="S105" s="392" t="str">
        <f>IFERROR(INDEX('G-1 All Habitats'!$B$3:$B$129,MATCH(R105,'G-1 All Habitats'!$A$3:$A$129,0)),"")</f>
        <v/>
      </c>
      <c r="T105" s="498" t="str">
        <f t="shared" si="16"/>
        <v/>
      </c>
      <c r="U105" s="499" t="str">
        <f t="shared" si="17"/>
        <v/>
      </c>
      <c r="V105" s="537" t="str">
        <f t="shared" si="11"/>
        <v/>
      </c>
      <c r="W105" s="520" t="str">
        <f>IF(S105="","",VLOOKUP(S105,'G-1 All Habitats'!$B$2:$M$129,10,FALSE))</f>
        <v/>
      </c>
      <c r="X105" s="520" t="str">
        <f>IFERROR(VLOOKUP(W105,'G-1 All Habitats'!$V$3:$W$7,2,FALSE),"")</f>
        <v/>
      </c>
      <c r="Y105" s="79"/>
      <c r="Z105" s="524" t="str">
        <f>IFERROR(INDEX('G-8 Condition Look up'!$A$3:$H$130,MATCH(S105,'G-8 Condition Look up'!$A$3:$A$130,0),MATCH(Y105,'G-8 Condition Look up'!$A$3:$H$3,0)),"")</f>
        <v/>
      </c>
      <c r="AA105" s="71"/>
      <c r="AB105" s="520" t="str">
        <f>IF(AA105="","",IF(VLOOKUP(AA105,'G-3 Multipliers'!$L$3:$N$6,2,FALSE)=0,"Spatial Data Missing ⚠",VLOOKUP(AA105,'G-3 Multipliers'!$L$3:$N$6,2,FALSE)))</f>
        <v/>
      </c>
      <c r="AC105" s="524" t="str">
        <f>IF(AA105="","",IF(VLOOKUP(AA105,'G-3 Multipliers'!$L$3:$N$6,3,FALSE)=0,"Spatial Data Missing ⚠",VLOOKUP(AA105,'G-3 Multipliers'!$L$3:$N$6,3,FALSE)))</f>
        <v/>
      </c>
      <c r="AD105" s="539" t="str">
        <f t="shared" si="12"/>
        <v/>
      </c>
      <c r="AE105" s="82"/>
      <c r="AF105" s="82"/>
      <c r="AG105" s="507" t="str">
        <f t="shared" si="18"/>
        <v/>
      </c>
      <c r="AH105" s="521" t="str">
        <f t="shared" si="19"/>
        <v/>
      </c>
      <c r="AI105" s="522" t="str">
        <f>IF(AH105="Check Data","Check Data",IFERROR(VLOOKUP(AH105,'G-4 Temporal multipliers'!$A$4:$C$36,3,FALSE),""))</f>
        <v/>
      </c>
      <c r="AJ105" s="498" t="str">
        <f>IF(S105="","",VLOOKUP(S105,'G-3 Multipliers'!$A$2:$E$129,4,FALSE))</f>
        <v/>
      </c>
      <c r="AK105" s="507" t="str">
        <f t="shared" si="20"/>
        <v/>
      </c>
      <c r="AL105" s="507" t="str">
        <f t="shared" si="21"/>
        <v/>
      </c>
      <c r="AM105" s="540" t="str">
        <f>IFERROR(IF(F105="","",IF(AH105="Check Data ⚠","Check Data ⚠",VLOOKUP(AL105, 'G-3 Multipliers'!$P$2:$Q$6,2,FALSE))),"")</f>
        <v/>
      </c>
      <c r="AN105" s="513" t="str">
        <f t="shared" si="13"/>
        <v/>
      </c>
      <c r="AO105" s="239"/>
      <c r="AP105" s="240"/>
    </row>
    <row r="106" spans="1:42" x14ac:dyDescent="0.3">
      <c r="A106" s="47" t="str">
        <f>IF(E106="","",IF(ISNA(VLOOKUP($E106,'A-1 Site Habitat Baseline'!$D$1:$O$258,2,FALSE)),"",(VLOOKUP($E106,'A-1 Site Habitat Baseline'!$D$1:$O$258,2,FALSE))))</f>
        <v/>
      </c>
      <c r="B106" s="47" t="str">
        <f>IF(E106="","",IF(ISNA(VLOOKUP($E106,'A-1 Site Habitat Baseline'!$D$1:$O$258,3,FALSE)),"",(VLOOKUP($E106,'A-1 Site Habitat Baseline'!$D$1:$O$258,3,FALSE))))</f>
        <v/>
      </c>
      <c r="C106" s="47" t="str">
        <f>IFERROR(INDEX('G-8 Condition Look up'!$I$4:$I$130,MATCH(S106,'G-8 Condition Look up'!$A$4:$A$130,0)),"")</f>
        <v/>
      </c>
      <c r="E106" s="531" t="str">
        <f>'A-1 Site Habitat Baseline'!AL105</f>
        <v/>
      </c>
      <c r="F106" s="520" t="str">
        <f>IF(E106="","",IF(ISNA(VLOOKUP($E106,'A-1 Site Habitat Baseline'!$D$1:$O$258,4,FALSE)),"",(VLOOKUP($E106,'A-1 Site Habitat Baseline'!$D$1:$O$258,4,FALSE))))</f>
        <v/>
      </c>
      <c r="G106" s="520" t="str">
        <f>IF(E106="","",IF(ISNA(VLOOKUP($E106,'A-1 Site Habitat Baseline'!$D$1:$O$258,5,FALSE)),"",(VLOOKUP($E106,'A-1 Site Habitat Baseline'!$D$1:$O$258,5,FALSE))))</f>
        <v/>
      </c>
      <c r="H106" s="520" t="str">
        <f>IF(E106="","",IF(ISNA(VLOOKUP($E106,'A-1 Site Habitat Baseline'!$D$1:$O$258,6,FALSE)),"",(VLOOKUP($E106,'A-1 Site Habitat Baseline'!$D$1:$O$258,6,FALSE))))</f>
        <v/>
      </c>
      <c r="I106" s="520" t="str">
        <f>IF(E106="","",IF(ISNA(VLOOKUP($E106,'A-1 Site Habitat Baseline'!$D$1:$O$258,7,FALSE)),"",(VLOOKUP($E106,'A-1 Site Habitat Baseline'!$D$1:$O$258,7,FALSE))))</f>
        <v/>
      </c>
      <c r="J106" s="520" t="str">
        <f>IF(E106="","",IF(ISNA(VLOOKUP($E106,'A-1 Site Habitat Baseline'!$D$1:$O$258,8,FALSE)),"",(VLOOKUP($E106,'A-1 Site Habitat Baseline'!$D$1:$O$258,8,FALSE))))</f>
        <v/>
      </c>
      <c r="K106" s="520" t="str">
        <f>IF(E106="","",IF(ISNA(VLOOKUP($E106,'A-1 Site Habitat Baseline'!$D$1:$O$258,9,FALSE)),"",(VLOOKUP($E106,'A-1 Site Habitat Baseline'!$D$1:$O$258,9,FALSE))))</f>
        <v/>
      </c>
      <c r="L106" s="520" t="str">
        <f>IF(E106="","",IF(ISNA(VLOOKUP($E106,'A-1 Site Habitat Baseline'!$D$1:$O$258,11,FALSE)),"",(VLOOKUP($E106,'A-1 Site Habitat Baseline'!$D$1:$O$258,11,FALSE))))</f>
        <v/>
      </c>
      <c r="M106" s="520" t="str">
        <f>IF(E106="","",IF(ISNA(VLOOKUP($E106,'A-1 Site Habitat Baseline'!$D$1:$O$258,12,FALSE)),"",(VLOOKUP($E106,'A-1 Site Habitat Baseline'!$D$1:$O$258,12,FALSE))))</f>
        <v/>
      </c>
      <c r="N106" s="532" t="str">
        <f>IF(E106="","",IF(ISNA(VLOOKUP($E106,'A-1 Site Habitat Baseline'!$D$1:$X$258,14,FALSE)),"",(VLOOKUP($E106,'A-1 Site Habitat Baseline'!$D$1:$X$258,14,FALSE))))</f>
        <v/>
      </c>
      <c r="O106" s="524" t="str">
        <f>IF(E106="","",IF(ISNA(VLOOKUP($E106,'A-1 Site Habitat Baseline'!$D$1:$X$258,16,FALSE)),"",(VLOOKUP($E106,'A-1 Site Habitat Baseline'!$D$1:$X$258,13,FALSE))))</f>
        <v/>
      </c>
      <c r="P106" s="237" t="str">
        <f>IFERROR(INDEX('G-1 All Habitats'!$AG$3:$AG$15,MATCH(Q106,'G-1 All Habitats'!$AF$3:$AF$15,0)),"")</f>
        <v/>
      </c>
      <c r="Q106" s="238" t="str">
        <f t="shared" si="14"/>
        <v/>
      </c>
      <c r="R106" s="238" t="str">
        <f t="shared" si="15"/>
        <v/>
      </c>
      <c r="S106" s="392" t="str">
        <f>IFERROR(INDEX('G-1 All Habitats'!$B$3:$B$129,MATCH(R106,'G-1 All Habitats'!$A$3:$A$129,0)),"")</f>
        <v/>
      </c>
      <c r="T106" s="498" t="str">
        <f t="shared" si="16"/>
        <v/>
      </c>
      <c r="U106" s="499" t="str">
        <f t="shared" si="17"/>
        <v/>
      </c>
      <c r="V106" s="537" t="str">
        <f t="shared" si="11"/>
        <v/>
      </c>
      <c r="W106" s="520" t="str">
        <f>IF(S106="","",VLOOKUP(S106,'G-1 All Habitats'!$B$2:$M$129,10,FALSE))</f>
        <v/>
      </c>
      <c r="X106" s="520" t="str">
        <f>IFERROR(VLOOKUP(W106,'G-1 All Habitats'!$V$3:$W$7,2,FALSE),"")</f>
        <v/>
      </c>
      <c r="Y106" s="79"/>
      <c r="Z106" s="524" t="str">
        <f>IFERROR(INDEX('G-8 Condition Look up'!$A$3:$H$130,MATCH(S106,'G-8 Condition Look up'!$A$3:$A$130,0),MATCH(Y106,'G-8 Condition Look up'!$A$3:$H$3,0)),"")</f>
        <v/>
      </c>
      <c r="AA106" s="71"/>
      <c r="AB106" s="520" t="str">
        <f>IF(AA106="","",IF(VLOOKUP(AA106,'G-3 Multipliers'!$L$3:$N$6,2,FALSE)=0,"Spatial Data Missing ⚠",VLOOKUP(AA106,'G-3 Multipliers'!$L$3:$N$6,2,FALSE)))</f>
        <v/>
      </c>
      <c r="AC106" s="524" t="str">
        <f>IF(AA106="","",IF(VLOOKUP(AA106,'G-3 Multipliers'!$L$3:$N$6,3,FALSE)=0,"Spatial Data Missing ⚠",VLOOKUP(AA106,'G-3 Multipliers'!$L$3:$N$6,3,FALSE)))</f>
        <v/>
      </c>
      <c r="AD106" s="539" t="str">
        <f t="shared" si="12"/>
        <v/>
      </c>
      <c r="AE106" s="82"/>
      <c r="AF106" s="82"/>
      <c r="AG106" s="507" t="str">
        <f t="shared" si="18"/>
        <v/>
      </c>
      <c r="AH106" s="521" t="str">
        <f t="shared" si="19"/>
        <v/>
      </c>
      <c r="AI106" s="522" t="str">
        <f>IF(AH106="Check Data","Check Data",IFERROR(VLOOKUP(AH106,'G-4 Temporal multipliers'!$A$4:$C$36,3,FALSE),""))</f>
        <v/>
      </c>
      <c r="AJ106" s="498" t="str">
        <f>IF(S106="","",VLOOKUP(S106,'G-3 Multipliers'!$A$2:$E$129,4,FALSE))</f>
        <v/>
      </c>
      <c r="AK106" s="507" t="str">
        <f t="shared" si="20"/>
        <v/>
      </c>
      <c r="AL106" s="507" t="str">
        <f t="shared" si="21"/>
        <v/>
      </c>
      <c r="AM106" s="540" t="str">
        <f>IFERROR(IF(F106="","",IF(AH106="Check Data ⚠","Check Data ⚠",VLOOKUP(AL106, 'G-3 Multipliers'!$P$2:$Q$6,2,FALSE))),"")</f>
        <v/>
      </c>
      <c r="AN106" s="513" t="str">
        <f t="shared" si="13"/>
        <v/>
      </c>
      <c r="AO106" s="239"/>
      <c r="AP106" s="240"/>
    </row>
    <row r="107" spans="1:42" x14ac:dyDescent="0.3">
      <c r="A107" s="47" t="str">
        <f>IF(E107="","",IF(ISNA(VLOOKUP($E107,'A-1 Site Habitat Baseline'!$D$1:$O$258,2,FALSE)),"",(VLOOKUP($E107,'A-1 Site Habitat Baseline'!$D$1:$O$258,2,FALSE))))</f>
        <v/>
      </c>
      <c r="B107" s="47" t="str">
        <f>IF(E107="","",IF(ISNA(VLOOKUP($E107,'A-1 Site Habitat Baseline'!$D$1:$O$258,3,FALSE)),"",(VLOOKUP($E107,'A-1 Site Habitat Baseline'!$D$1:$O$258,3,FALSE))))</f>
        <v/>
      </c>
      <c r="C107" s="47" t="str">
        <f>IFERROR(INDEX('G-8 Condition Look up'!$I$4:$I$130,MATCH(S107,'G-8 Condition Look up'!$A$4:$A$130,0)),"")</f>
        <v/>
      </c>
      <c r="E107" s="531" t="str">
        <f>'A-1 Site Habitat Baseline'!AL106</f>
        <v/>
      </c>
      <c r="F107" s="520" t="str">
        <f>IF(E107="","",IF(ISNA(VLOOKUP($E107,'A-1 Site Habitat Baseline'!$D$1:$O$258,4,FALSE)),"",(VLOOKUP($E107,'A-1 Site Habitat Baseline'!$D$1:$O$258,4,FALSE))))</f>
        <v/>
      </c>
      <c r="G107" s="520" t="str">
        <f>IF(E107="","",IF(ISNA(VLOOKUP($E107,'A-1 Site Habitat Baseline'!$D$1:$O$258,5,FALSE)),"",(VLOOKUP($E107,'A-1 Site Habitat Baseline'!$D$1:$O$258,5,FALSE))))</f>
        <v/>
      </c>
      <c r="H107" s="520" t="str">
        <f>IF(E107="","",IF(ISNA(VLOOKUP($E107,'A-1 Site Habitat Baseline'!$D$1:$O$258,6,FALSE)),"",(VLOOKUP($E107,'A-1 Site Habitat Baseline'!$D$1:$O$258,6,FALSE))))</f>
        <v/>
      </c>
      <c r="I107" s="520" t="str">
        <f>IF(E107="","",IF(ISNA(VLOOKUP($E107,'A-1 Site Habitat Baseline'!$D$1:$O$258,7,FALSE)),"",(VLOOKUP($E107,'A-1 Site Habitat Baseline'!$D$1:$O$258,7,FALSE))))</f>
        <v/>
      </c>
      <c r="J107" s="520" t="str">
        <f>IF(E107="","",IF(ISNA(VLOOKUP($E107,'A-1 Site Habitat Baseline'!$D$1:$O$258,8,FALSE)),"",(VLOOKUP($E107,'A-1 Site Habitat Baseline'!$D$1:$O$258,8,FALSE))))</f>
        <v/>
      </c>
      <c r="K107" s="520" t="str">
        <f>IF(E107="","",IF(ISNA(VLOOKUP($E107,'A-1 Site Habitat Baseline'!$D$1:$O$258,9,FALSE)),"",(VLOOKUP($E107,'A-1 Site Habitat Baseline'!$D$1:$O$258,9,FALSE))))</f>
        <v/>
      </c>
      <c r="L107" s="520" t="str">
        <f>IF(E107="","",IF(ISNA(VLOOKUP($E107,'A-1 Site Habitat Baseline'!$D$1:$O$258,11,FALSE)),"",(VLOOKUP($E107,'A-1 Site Habitat Baseline'!$D$1:$O$258,11,FALSE))))</f>
        <v/>
      </c>
      <c r="M107" s="520" t="str">
        <f>IF(E107="","",IF(ISNA(VLOOKUP($E107,'A-1 Site Habitat Baseline'!$D$1:$O$258,12,FALSE)),"",(VLOOKUP($E107,'A-1 Site Habitat Baseline'!$D$1:$O$258,12,FALSE))))</f>
        <v/>
      </c>
      <c r="N107" s="532" t="str">
        <f>IF(E107="","",IF(ISNA(VLOOKUP($E107,'A-1 Site Habitat Baseline'!$D$1:$X$258,14,FALSE)),"",(VLOOKUP($E107,'A-1 Site Habitat Baseline'!$D$1:$X$258,14,FALSE))))</f>
        <v/>
      </c>
      <c r="O107" s="524" t="str">
        <f>IF(E107="","",IF(ISNA(VLOOKUP($E107,'A-1 Site Habitat Baseline'!$D$1:$X$258,16,FALSE)),"",(VLOOKUP($E107,'A-1 Site Habitat Baseline'!$D$1:$X$258,13,FALSE))))</f>
        <v/>
      </c>
      <c r="P107" s="237" t="str">
        <f>IFERROR(INDEX('G-1 All Habitats'!$AG$3:$AG$15,MATCH(Q107,'G-1 All Habitats'!$AF$3:$AF$15,0)),"")</f>
        <v/>
      </c>
      <c r="Q107" s="238" t="str">
        <f t="shared" si="14"/>
        <v/>
      </c>
      <c r="R107" s="238" t="str">
        <f t="shared" si="15"/>
        <v/>
      </c>
      <c r="S107" s="392" t="str">
        <f>IFERROR(INDEX('G-1 All Habitats'!$B$3:$B$129,MATCH(R107,'G-1 All Habitats'!$A$3:$A$129,0)),"")</f>
        <v/>
      </c>
      <c r="T107" s="498" t="str">
        <f t="shared" si="16"/>
        <v/>
      </c>
      <c r="U107" s="499" t="str">
        <f t="shared" si="17"/>
        <v/>
      </c>
      <c r="V107" s="537" t="str">
        <f t="shared" si="11"/>
        <v/>
      </c>
      <c r="W107" s="520" t="str">
        <f>IF(S107="","",VLOOKUP(S107,'G-1 All Habitats'!$B$2:$M$129,10,FALSE))</f>
        <v/>
      </c>
      <c r="X107" s="520" t="str">
        <f>IFERROR(VLOOKUP(W107,'G-1 All Habitats'!$V$3:$W$7,2,FALSE),"")</f>
        <v/>
      </c>
      <c r="Y107" s="79"/>
      <c r="Z107" s="524" t="str">
        <f>IFERROR(INDEX('G-8 Condition Look up'!$A$3:$H$130,MATCH(S107,'G-8 Condition Look up'!$A$3:$A$130,0),MATCH(Y107,'G-8 Condition Look up'!$A$3:$H$3,0)),"")</f>
        <v/>
      </c>
      <c r="AA107" s="71"/>
      <c r="AB107" s="520" t="str">
        <f>IF(AA107="","",IF(VLOOKUP(AA107,'G-3 Multipliers'!$L$3:$N$6,2,FALSE)=0,"Spatial Data Missing ⚠",VLOOKUP(AA107,'G-3 Multipliers'!$L$3:$N$6,2,FALSE)))</f>
        <v/>
      </c>
      <c r="AC107" s="524" t="str">
        <f>IF(AA107="","",IF(VLOOKUP(AA107,'G-3 Multipliers'!$L$3:$N$6,3,FALSE)=0,"Spatial Data Missing ⚠",VLOOKUP(AA107,'G-3 Multipliers'!$L$3:$N$6,3,FALSE)))</f>
        <v/>
      </c>
      <c r="AD107" s="539" t="str">
        <f t="shared" si="12"/>
        <v/>
      </c>
      <c r="AE107" s="82"/>
      <c r="AF107" s="82"/>
      <c r="AG107" s="507" t="str">
        <f t="shared" si="18"/>
        <v/>
      </c>
      <c r="AH107" s="521" t="str">
        <f t="shared" si="19"/>
        <v/>
      </c>
      <c r="AI107" s="522" t="str">
        <f>IF(AH107="Check Data","Check Data",IFERROR(VLOOKUP(AH107,'G-4 Temporal multipliers'!$A$4:$C$36,3,FALSE),""))</f>
        <v/>
      </c>
      <c r="AJ107" s="498" t="str">
        <f>IF(S107="","",VLOOKUP(S107,'G-3 Multipliers'!$A$2:$E$129,4,FALSE))</f>
        <v/>
      </c>
      <c r="AK107" s="507" t="str">
        <f t="shared" si="20"/>
        <v/>
      </c>
      <c r="AL107" s="507" t="str">
        <f t="shared" si="21"/>
        <v/>
      </c>
      <c r="AM107" s="540" t="str">
        <f>IFERROR(IF(F107="","",IF(AH107="Check Data ⚠","Check Data ⚠",VLOOKUP(AL107, 'G-3 Multipliers'!$P$2:$Q$6,2,FALSE))),"")</f>
        <v/>
      </c>
      <c r="AN107" s="513" t="str">
        <f t="shared" si="13"/>
        <v/>
      </c>
      <c r="AO107" s="239"/>
      <c r="AP107" s="240"/>
    </row>
    <row r="108" spans="1:42" x14ac:dyDescent="0.3">
      <c r="A108" s="47" t="str">
        <f>IF(E108="","",IF(ISNA(VLOOKUP($E108,'A-1 Site Habitat Baseline'!$D$1:$O$258,2,FALSE)),"",(VLOOKUP($E108,'A-1 Site Habitat Baseline'!$D$1:$O$258,2,FALSE))))</f>
        <v/>
      </c>
      <c r="B108" s="47" t="str">
        <f>IF(E108="","",IF(ISNA(VLOOKUP($E108,'A-1 Site Habitat Baseline'!$D$1:$O$258,3,FALSE)),"",(VLOOKUP($E108,'A-1 Site Habitat Baseline'!$D$1:$O$258,3,FALSE))))</f>
        <v/>
      </c>
      <c r="C108" s="47" t="str">
        <f>IFERROR(INDEX('G-8 Condition Look up'!$I$4:$I$130,MATCH(S108,'G-8 Condition Look up'!$A$4:$A$130,0)),"")</f>
        <v/>
      </c>
      <c r="E108" s="531" t="str">
        <f>'A-1 Site Habitat Baseline'!AL107</f>
        <v/>
      </c>
      <c r="F108" s="520" t="str">
        <f>IF(E108="","",IF(ISNA(VLOOKUP($E108,'A-1 Site Habitat Baseline'!$D$1:$O$258,4,FALSE)),"",(VLOOKUP($E108,'A-1 Site Habitat Baseline'!$D$1:$O$258,4,FALSE))))</f>
        <v/>
      </c>
      <c r="G108" s="520" t="str">
        <f>IF(E108="","",IF(ISNA(VLOOKUP($E108,'A-1 Site Habitat Baseline'!$D$1:$O$258,5,FALSE)),"",(VLOOKUP($E108,'A-1 Site Habitat Baseline'!$D$1:$O$258,5,FALSE))))</f>
        <v/>
      </c>
      <c r="H108" s="520" t="str">
        <f>IF(E108="","",IF(ISNA(VLOOKUP($E108,'A-1 Site Habitat Baseline'!$D$1:$O$258,6,FALSE)),"",(VLOOKUP($E108,'A-1 Site Habitat Baseline'!$D$1:$O$258,6,FALSE))))</f>
        <v/>
      </c>
      <c r="I108" s="520" t="str">
        <f>IF(E108="","",IF(ISNA(VLOOKUP($E108,'A-1 Site Habitat Baseline'!$D$1:$O$258,7,FALSE)),"",(VLOOKUP($E108,'A-1 Site Habitat Baseline'!$D$1:$O$258,7,FALSE))))</f>
        <v/>
      </c>
      <c r="J108" s="520" t="str">
        <f>IF(E108="","",IF(ISNA(VLOOKUP($E108,'A-1 Site Habitat Baseline'!$D$1:$O$258,8,FALSE)),"",(VLOOKUP($E108,'A-1 Site Habitat Baseline'!$D$1:$O$258,8,FALSE))))</f>
        <v/>
      </c>
      <c r="K108" s="520" t="str">
        <f>IF(E108="","",IF(ISNA(VLOOKUP($E108,'A-1 Site Habitat Baseline'!$D$1:$O$258,9,FALSE)),"",(VLOOKUP($E108,'A-1 Site Habitat Baseline'!$D$1:$O$258,9,FALSE))))</f>
        <v/>
      </c>
      <c r="L108" s="520" t="str">
        <f>IF(E108="","",IF(ISNA(VLOOKUP($E108,'A-1 Site Habitat Baseline'!$D$1:$O$258,11,FALSE)),"",(VLOOKUP($E108,'A-1 Site Habitat Baseline'!$D$1:$O$258,11,FALSE))))</f>
        <v/>
      </c>
      <c r="M108" s="520" t="str">
        <f>IF(E108="","",IF(ISNA(VLOOKUP($E108,'A-1 Site Habitat Baseline'!$D$1:$O$258,12,FALSE)),"",(VLOOKUP($E108,'A-1 Site Habitat Baseline'!$D$1:$O$258,12,FALSE))))</f>
        <v/>
      </c>
      <c r="N108" s="532" t="str">
        <f>IF(E108="","",IF(ISNA(VLOOKUP($E108,'A-1 Site Habitat Baseline'!$D$1:$X$258,14,FALSE)),"",(VLOOKUP($E108,'A-1 Site Habitat Baseline'!$D$1:$X$258,14,FALSE))))</f>
        <v/>
      </c>
      <c r="O108" s="524" t="str">
        <f>IF(E108="","",IF(ISNA(VLOOKUP($E108,'A-1 Site Habitat Baseline'!$D$1:$X$258,16,FALSE)),"",(VLOOKUP($E108,'A-1 Site Habitat Baseline'!$D$1:$X$258,13,FALSE))))</f>
        <v/>
      </c>
      <c r="P108" s="237" t="str">
        <f>IFERROR(INDEX('G-1 All Habitats'!$AG$3:$AG$15,MATCH(Q108,'G-1 All Habitats'!$AF$3:$AF$15,0)),"")</f>
        <v/>
      </c>
      <c r="Q108" s="238" t="str">
        <f t="shared" si="14"/>
        <v/>
      </c>
      <c r="R108" s="238" t="str">
        <f t="shared" si="15"/>
        <v/>
      </c>
      <c r="S108" s="392" t="str">
        <f>IFERROR(INDEX('G-1 All Habitats'!$B$3:$B$129,MATCH(R108,'G-1 All Habitats'!$A$3:$A$129,0)),"")</f>
        <v/>
      </c>
      <c r="T108" s="498" t="str">
        <f t="shared" si="16"/>
        <v/>
      </c>
      <c r="U108" s="499" t="str">
        <f t="shared" si="17"/>
        <v/>
      </c>
      <c r="V108" s="537" t="str">
        <f t="shared" si="11"/>
        <v/>
      </c>
      <c r="W108" s="520" t="str">
        <f>IF(S108="","",VLOOKUP(S108,'G-1 All Habitats'!$B$2:$M$129,10,FALSE))</f>
        <v/>
      </c>
      <c r="X108" s="520" t="str">
        <f>IFERROR(VLOOKUP(W108,'G-1 All Habitats'!$V$3:$W$7,2,FALSE),"")</f>
        <v/>
      </c>
      <c r="Y108" s="79"/>
      <c r="Z108" s="524" t="str">
        <f>IFERROR(INDEX('G-8 Condition Look up'!$A$3:$H$130,MATCH(S108,'G-8 Condition Look up'!$A$3:$A$130,0),MATCH(Y108,'G-8 Condition Look up'!$A$3:$H$3,0)),"")</f>
        <v/>
      </c>
      <c r="AA108" s="71"/>
      <c r="AB108" s="520" t="str">
        <f>IF(AA108="","",IF(VLOOKUP(AA108,'G-3 Multipliers'!$L$3:$N$6,2,FALSE)=0,"Spatial Data Missing ⚠",VLOOKUP(AA108,'G-3 Multipliers'!$L$3:$N$6,2,FALSE)))</f>
        <v/>
      </c>
      <c r="AC108" s="524" t="str">
        <f>IF(AA108="","",IF(VLOOKUP(AA108,'G-3 Multipliers'!$L$3:$N$6,3,FALSE)=0,"Spatial Data Missing ⚠",VLOOKUP(AA108,'G-3 Multipliers'!$L$3:$N$6,3,FALSE)))</f>
        <v/>
      </c>
      <c r="AD108" s="539" t="str">
        <f t="shared" si="12"/>
        <v/>
      </c>
      <c r="AE108" s="82"/>
      <c r="AF108" s="82"/>
      <c r="AG108" s="507" t="str">
        <f t="shared" si="18"/>
        <v/>
      </c>
      <c r="AH108" s="521" t="str">
        <f t="shared" si="19"/>
        <v/>
      </c>
      <c r="AI108" s="522" t="str">
        <f>IF(AH108="Check Data","Check Data",IFERROR(VLOOKUP(AH108,'G-4 Temporal multipliers'!$A$4:$C$36,3,FALSE),""))</f>
        <v/>
      </c>
      <c r="AJ108" s="498" t="str">
        <f>IF(S108="","",VLOOKUP(S108,'G-3 Multipliers'!$A$2:$E$129,4,FALSE))</f>
        <v/>
      </c>
      <c r="AK108" s="507" t="str">
        <f t="shared" si="20"/>
        <v/>
      </c>
      <c r="AL108" s="507" t="str">
        <f t="shared" si="21"/>
        <v/>
      </c>
      <c r="AM108" s="540" t="str">
        <f>IFERROR(IF(F108="","",IF(AH108="Check Data ⚠","Check Data ⚠",VLOOKUP(AL108, 'G-3 Multipliers'!$P$2:$Q$6,2,FALSE))),"")</f>
        <v/>
      </c>
      <c r="AN108" s="513" t="str">
        <f t="shared" si="13"/>
        <v/>
      </c>
      <c r="AO108" s="239"/>
      <c r="AP108" s="240"/>
    </row>
    <row r="109" spans="1:42" x14ac:dyDescent="0.3">
      <c r="A109" s="47" t="str">
        <f>IF(E109="","",IF(ISNA(VLOOKUP($E109,'A-1 Site Habitat Baseline'!$D$1:$O$258,2,FALSE)),"",(VLOOKUP($E109,'A-1 Site Habitat Baseline'!$D$1:$O$258,2,FALSE))))</f>
        <v/>
      </c>
      <c r="B109" s="47" t="str">
        <f>IF(E109="","",IF(ISNA(VLOOKUP($E109,'A-1 Site Habitat Baseline'!$D$1:$O$258,3,FALSE)),"",(VLOOKUP($E109,'A-1 Site Habitat Baseline'!$D$1:$O$258,3,FALSE))))</f>
        <v/>
      </c>
      <c r="C109" s="47" t="str">
        <f>IFERROR(INDEX('G-8 Condition Look up'!$I$4:$I$130,MATCH(S109,'G-8 Condition Look up'!$A$4:$A$130,0)),"")</f>
        <v/>
      </c>
      <c r="E109" s="531" t="str">
        <f>'A-1 Site Habitat Baseline'!AL108</f>
        <v/>
      </c>
      <c r="F109" s="520" t="str">
        <f>IF(E109="","",IF(ISNA(VLOOKUP($E109,'A-1 Site Habitat Baseline'!$D$1:$O$258,4,FALSE)),"",(VLOOKUP($E109,'A-1 Site Habitat Baseline'!$D$1:$O$258,4,FALSE))))</f>
        <v/>
      </c>
      <c r="G109" s="520" t="str">
        <f>IF(E109="","",IF(ISNA(VLOOKUP($E109,'A-1 Site Habitat Baseline'!$D$1:$O$258,5,FALSE)),"",(VLOOKUP($E109,'A-1 Site Habitat Baseline'!$D$1:$O$258,5,FALSE))))</f>
        <v/>
      </c>
      <c r="H109" s="520" t="str">
        <f>IF(E109="","",IF(ISNA(VLOOKUP($E109,'A-1 Site Habitat Baseline'!$D$1:$O$258,6,FALSE)),"",(VLOOKUP($E109,'A-1 Site Habitat Baseline'!$D$1:$O$258,6,FALSE))))</f>
        <v/>
      </c>
      <c r="I109" s="520" t="str">
        <f>IF(E109="","",IF(ISNA(VLOOKUP($E109,'A-1 Site Habitat Baseline'!$D$1:$O$258,7,FALSE)),"",(VLOOKUP($E109,'A-1 Site Habitat Baseline'!$D$1:$O$258,7,FALSE))))</f>
        <v/>
      </c>
      <c r="J109" s="520" t="str">
        <f>IF(E109="","",IF(ISNA(VLOOKUP($E109,'A-1 Site Habitat Baseline'!$D$1:$O$258,8,FALSE)),"",(VLOOKUP($E109,'A-1 Site Habitat Baseline'!$D$1:$O$258,8,FALSE))))</f>
        <v/>
      </c>
      <c r="K109" s="520" t="str">
        <f>IF(E109="","",IF(ISNA(VLOOKUP($E109,'A-1 Site Habitat Baseline'!$D$1:$O$258,9,FALSE)),"",(VLOOKUP($E109,'A-1 Site Habitat Baseline'!$D$1:$O$258,9,FALSE))))</f>
        <v/>
      </c>
      <c r="L109" s="520" t="str">
        <f>IF(E109="","",IF(ISNA(VLOOKUP($E109,'A-1 Site Habitat Baseline'!$D$1:$O$258,11,FALSE)),"",(VLOOKUP($E109,'A-1 Site Habitat Baseline'!$D$1:$O$258,11,FALSE))))</f>
        <v/>
      </c>
      <c r="M109" s="520" t="str">
        <f>IF(E109="","",IF(ISNA(VLOOKUP($E109,'A-1 Site Habitat Baseline'!$D$1:$O$258,12,FALSE)),"",(VLOOKUP($E109,'A-1 Site Habitat Baseline'!$D$1:$O$258,12,FALSE))))</f>
        <v/>
      </c>
      <c r="N109" s="532" t="str">
        <f>IF(E109="","",IF(ISNA(VLOOKUP($E109,'A-1 Site Habitat Baseline'!$D$1:$X$258,14,FALSE)),"",(VLOOKUP($E109,'A-1 Site Habitat Baseline'!$D$1:$X$258,14,FALSE))))</f>
        <v/>
      </c>
      <c r="O109" s="524" t="str">
        <f>IF(E109="","",IF(ISNA(VLOOKUP($E109,'A-1 Site Habitat Baseline'!$D$1:$X$258,16,FALSE)),"",(VLOOKUP($E109,'A-1 Site Habitat Baseline'!$D$1:$X$258,13,FALSE))))</f>
        <v/>
      </c>
      <c r="P109" s="237" t="str">
        <f>IFERROR(INDEX('G-1 All Habitats'!$AG$3:$AG$15,MATCH(Q109,'G-1 All Habitats'!$AF$3:$AF$15,0)),"")</f>
        <v/>
      </c>
      <c r="Q109" s="238" t="str">
        <f t="shared" si="14"/>
        <v/>
      </c>
      <c r="R109" s="238" t="str">
        <f t="shared" si="15"/>
        <v/>
      </c>
      <c r="S109" s="392" t="str">
        <f>IFERROR(INDEX('G-1 All Habitats'!$B$3:$B$129,MATCH(R109,'G-1 All Habitats'!$A$3:$A$129,0)),"")</f>
        <v/>
      </c>
      <c r="T109" s="498" t="str">
        <f t="shared" si="16"/>
        <v/>
      </c>
      <c r="U109" s="499" t="str">
        <f t="shared" si="17"/>
        <v/>
      </c>
      <c r="V109" s="537" t="str">
        <f t="shared" si="11"/>
        <v/>
      </c>
      <c r="W109" s="520" t="str">
        <f>IF(S109="","",VLOOKUP(S109,'G-1 All Habitats'!$B$2:$M$129,10,FALSE))</f>
        <v/>
      </c>
      <c r="X109" s="520" t="str">
        <f>IFERROR(VLOOKUP(W109,'G-1 All Habitats'!$V$3:$W$7,2,FALSE),"")</f>
        <v/>
      </c>
      <c r="Y109" s="79"/>
      <c r="Z109" s="524" t="str">
        <f>IFERROR(INDEX('G-8 Condition Look up'!$A$3:$H$130,MATCH(S109,'G-8 Condition Look up'!$A$3:$A$130,0),MATCH(Y109,'G-8 Condition Look up'!$A$3:$H$3,0)),"")</f>
        <v/>
      </c>
      <c r="AA109" s="71"/>
      <c r="AB109" s="520" t="str">
        <f>IF(AA109="","",IF(VLOOKUP(AA109,'G-3 Multipliers'!$L$3:$N$6,2,FALSE)=0,"Spatial Data Missing ⚠",VLOOKUP(AA109,'G-3 Multipliers'!$L$3:$N$6,2,FALSE)))</f>
        <v/>
      </c>
      <c r="AC109" s="524" t="str">
        <f>IF(AA109="","",IF(VLOOKUP(AA109,'G-3 Multipliers'!$L$3:$N$6,3,FALSE)=0,"Spatial Data Missing ⚠",VLOOKUP(AA109,'G-3 Multipliers'!$L$3:$N$6,3,FALSE)))</f>
        <v/>
      </c>
      <c r="AD109" s="539" t="str">
        <f t="shared" si="12"/>
        <v/>
      </c>
      <c r="AE109" s="82"/>
      <c r="AF109" s="82"/>
      <c r="AG109" s="507" t="str">
        <f t="shared" si="18"/>
        <v/>
      </c>
      <c r="AH109" s="521" t="str">
        <f t="shared" si="19"/>
        <v/>
      </c>
      <c r="AI109" s="522" t="str">
        <f>IF(AH109="Check Data","Check Data",IFERROR(VLOOKUP(AH109,'G-4 Temporal multipliers'!$A$4:$C$36,3,FALSE),""))</f>
        <v/>
      </c>
      <c r="AJ109" s="498" t="str">
        <f>IF(S109="","",VLOOKUP(S109,'G-3 Multipliers'!$A$2:$E$129,4,FALSE))</f>
        <v/>
      </c>
      <c r="AK109" s="507" t="str">
        <f t="shared" si="20"/>
        <v/>
      </c>
      <c r="AL109" s="507" t="str">
        <f t="shared" si="21"/>
        <v/>
      </c>
      <c r="AM109" s="540" t="str">
        <f>IFERROR(IF(F109="","",IF(AH109="Check Data ⚠","Check Data ⚠",VLOOKUP(AL109, 'G-3 Multipliers'!$P$2:$Q$6,2,FALSE))),"")</f>
        <v/>
      </c>
      <c r="AN109" s="513" t="str">
        <f t="shared" si="13"/>
        <v/>
      </c>
      <c r="AO109" s="239"/>
      <c r="AP109" s="240"/>
    </row>
    <row r="110" spans="1:42" x14ac:dyDescent="0.3">
      <c r="A110" s="47" t="str">
        <f>IF(E110="","",IF(ISNA(VLOOKUP($E110,'A-1 Site Habitat Baseline'!$D$1:$O$258,2,FALSE)),"",(VLOOKUP($E110,'A-1 Site Habitat Baseline'!$D$1:$O$258,2,FALSE))))</f>
        <v/>
      </c>
      <c r="B110" s="47" t="str">
        <f>IF(E110="","",IF(ISNA(VLOOKUP($E110,'A-1 Site Habitat Baseline'!$D$1:$O$258,3,FALSE)),"",(VLOOKUP($E110,'A-1 Site Habitat Baseline'!$D$1:$O$258,3,FALSE))))</f>
        <v/>
      </c>
      <c r="C110" s="47" t="str">
        <f>IFERROR(INDEX('G-8 Condition Look up'!$I$4:$I$130,MATCH(S110,'G-8 Condition Look up'!$A$4:$A$130,0)),"")</f>
        <v/>
      </c>
      <c r="E110" s="531" t="str">
        <f>'A-1 Site Habitat Baseline'!AL109</f>
        <v/>
      </c>
      <c r="F110" s="520" t="str">
        <f>IF(E110="","",IF(ISNA(VLOOKUP($E110,'A-1 Site Habitat Baseline'!$D$1:$O$258,4,FALSE)),"",(VLOOKUP($E110,'A-1 Site Habitat Baseline'!$D$1:$O$258,4,FALSE))))</f>
        <v/>
      </c>
      <c r="G110" s="520" t="str">
        <f>IF(E110="","",IF(ISNA(VLOOKUP($E110,'A-1 Site Habitat Baseline'!$D$1:$O$258,5,FALSE)),"",(VLOOKUP($E110,'A-1 Site Habitat Baseline'!$D$1:$O$258,5,FALSE))))</f>
        <v/>
      </c>
      <c r="H110" s="520" t="str">
        <f>IF(E110="","",IF(ISNA(VLOOKUP($E110,'A-1 Site Habitat Baseline'!$D$1:$O$258,6,FALSE)),"",(VLOOKUP($E110,'A-1 Site Habitat Baseline'!$D$1:$O$258,6,FALSE))))</f>
        <v/>
      </c>
      <c r="I110" s="520" t="str">
        <f>IF(E110="","",IF(ISNA(VLOOKUP($E110,'A-1 Site Habitat Baseline'!$D$1:$O$258,7,FALSE)),"",(VLOOKUP($E110,'A-1 Site Habitat Baseline'!$D$1:$O$258,7,FALSE))))</f>
        <v/>
      </c>
      <c r="J110" s="520" t="str">
        <f>IF(E110="","",IF(ISNA(VLOOKUP($E110,'A-1 Site Habitat Baseline'!$D$1:$O$258,8,FALSE)),"",(VLOOKUP($E110,'A-1 Site Habitat Baseline'!$D$1:$O$258,8,FALSE))))</f>
        <v/>
      </c>
      <c r="K110" s="520" t="str">
        <f>IF(E110="","",IF(ISNA(VLOOKUP($E110,'A-1 Site Habitat Baseline'!$D$1:$O$258,9,FALSE)),"",(VLOOKUP($E110,'A-1 Site Habitat Baseline'!$D$1:$O$258,9,FALSE))))</f>
        <v/>
      </c>
      <c r="L110" s="520" t="str">
        <f>IF(E110="","",IF(ISNA(VLOOKUP($E110,'A-1 Site Habitat Baseline'!$D$1:$O$258,11,FALSE)),"",(VLOOKUP($E110,'A-1 Site Habitat Baseline'!$D$1:$O$258,11,FALSE))))</f>
        <v/>
      </c>
      <c r="M110" s="520" t="str">
        <f>IF(E110="","",IF(ISNA(VLOOKUP($E110,'A-1 Site Habitat Baseline'!$D$1:$O$258,12,FALSE)),"",(VLOOKUP($E110,'A-1 Site Habitat Baseline'!$D$1:$O$258,12,FALSE))))</f>
        <v/>
      </c>
      <c r="N110" s="532" t="str">
        <f>IF(E110="","",IF(ISNA(VLOOKUP($E110,'A-1 Site Habitat Baseline'!$D$1:$X$258,14,FALSE)),"",(VLOOKUP($E110,'A-1 Site Habitat Baseline'!$D$1:$X$258,14,FALSE))))</f>
        <v/>
      </c>
      <c r="O110" s="524" t="str">
        <f>IF(E110="","",IF(ISNA(VLOOKUP($E110,'A-1 Site Habitat Baseline'!$D$1:$X$258,16,FALSE)),"",(VLOOKUP($E110,'A-1 Site Habitat Baseline'!$D$1:$X$258,13,FALSE))))</f>
        <v/>
      </c>
      <c r="P110" s="237" t="str">
        <f>IFERROR(INDEX('G-1 All Habitats'!$AG$3:$AG$15,MATCH(Q110,'G-1 All Habitats'!$AF$3:$AF$15,0)),"")</f>
        <v/>
      </c>
      <c r="Q110" s="238" t="str">
        <f t="shared" si="14"/>
        <v/>
      </c>
      <c r="R110" s="238" t="str">
        <f t="shared" si="15"/>
        <v/>
      </c>
      <c r="S110" s="392" t="str">
        <f>IFERROR(INDEX('G-1 All Habitats'!$B$3:$B$129,MATCH(R110,'G-1 All Habitats'!$A$3:$A$129,0)),"")</f>
        <v/>
      </c>
      <c r="T110" s="498" t="str">
        <f t="shared" si="16"/>
        <v/>
      </c>
      <c r="U110" s="499" t="str">
        <f t="shared" si="17"/>
        <v/>
      </c>
      <c r="V110" s="537" t="str">
        <f t="shared" si="11"/>
        <v/>
      </c>
      <c r="W110" s="520" t="str">
        <f>IF(S110="","",VLOOKUP(S110,'G-1 All Habitats'!$B$2:$M$129,10,FALSE))</f>
        <v/>
      </c>
      <c r="X110" s="520" t="str">
        <f>IFERROR(VLOOKUP(W110,'G-1 All Habitats'!$V$3:$W$7,2,FALSE),"")</f>
        <v/>
      </c>
      <c r="Y110" s="79"/>
      <c r="Z110" s="524" t="str">
        <f>IFERROR(INDEX('G-8 Condition Look up'!$A$3:$H$130,MATCH(S110,'G-8 Condition Look up'!$A$3:$A$130,0),MATCH(Y110,'G-8 Condition Look up'!$A$3:$H$3,0)),"")</f>
        <v/>
      </c>
      <c r="AA110" s="71"/>
      <c r="AB110" s="520" t="str">
        <f>IF(AA110="","",IF(VLOOKUP(AA110,'G-3 Multipliers'!$L$3:$N$6,2,FALSE)=0,"Spatial Data Missing ⚠",VLOOKUP(AA110,'G-3 Multipliers'!$L$3:$N$6,2,FALSE)))</f>
        <v/>
      </c>
      <c r="AC110" s="524" t="str">
        <f>IF(AA110="","",IF(VLOOKUP(AA110,'G-3 Multipliers'!$L$3:$N$6,3,FALSE)=0,"Spatial Data Missing ⚠",VLOOKUP(AA110,'G-3 Multipliers'!$L$3:$N$6,3,FALSE)))</f>
        <v/>
      </c>
      <c r="AD110" s="539" t="str">
        <f t="shared" si="12"/>
        <v/>
      </c>
      <c r="AE110" s="82"/>
      <c r="AF110" s="82"/>
      <c r="AG110" s="507" t="str">
        <f t="shared" si="18"/>
        <v/>
      </c>
      <c r="AH110" s="521" t="str">
        <f t="shared" si="19"/>
        <v/>
      </c>
      <c r="AI110" s="522" t="str">
        <f>IF(AH110="Check Data","Check Data",IFERROR(VLOOKUP(AH110,'G-4 Temporal multipliers'!$A$4:$C$36,3,FALSE),""))</f>
        <v/>
      </c>
      <c r="AJ110" s="498" t="str">
        <f>IF(S110="","",VLOOKUP(S110,'G-3 Multipliers'!$A$2:$E$129,4,FALSE))</f>
        <v/>
      </c>
      <c r="AK110" s="507" t="str">
        <f t="shared" si="20"/>
        <v/>
      </c>
      <c r="AL110" s="507" t="str">
        <f t="shared" si="21"/>
        <v/>
      </c>
      <c r="AM110" s="540" t="str">
        <f>IFERROR(IF(F110="","",IF(AH110="Check Data ⚠","Check Data ⚠",VLOOKUP(AL110, 'G-3 Multipliers'!$P$2:$Q$6,2,FALSE))),"")</f>
        <v/>
      </c>
      <c r="AN110" s="513" t="str">
        <f t="shared" si="13"/>
        <v/>
      </c>
      <c r="AO110" s="239"/>
      <c r="AP110" s="240"/>
    </row>
    <row r="111" spans="1:42" x14ac:dyDescent="0.3">
      <c r="A111" s="47" t="str">
        <f>IF(E111="","",IF(ISNA(VLOOKUP($E111,'A-1 Site Habitat Baseline'!$D$1:$O$258,2,FALSE)),"",(VLOOKUP($E111,'A-1 Site Habitat Baseline'!$D$1:$O$258,2,FALSE))))</f>
        <v/>
      </c>
      <c r="B111" s="47" t="str">
        <f>IF(E111="","",IF(ISNA(VLOOKUP($E111,'A-1 Site Habitat Baseline'!$D$1:$O$258,3,FALSE)),"",(VLOOKUP($E111,'A-1 Site Habitat Baseline'!$D$1:$O$258,3,FALSE))))</f>
        <v/>
      </c>
      <c r="C111" s="47" t="str">
        <f>IFERROR(INDEX('G-8 Condition Look up'!$I$4:$I$130,MATCH(S111,'G-8 Condition Look up'!$A$4:$A$130,0)),"")</f>
        <v/>
      </c>
      <c r="E111" s="531" t="str">
        <f>'A-1 Site Habitat Baseline'!AL110</f>
        <v/>
      </c>
      <c r="F111" s="520" t="str">
        <f>IF(E111="","",IF(ISNA(VLOOKUP($E111,'A-1 Site Habitat Baseline'!$D$1:$O$258,4,FALSE)),"",(VLOOKUP($E111,'A-1 Site Habitat Baseline'!$D$1:$O$258,4,FALSE))))</f>
        <v/>
      </c>
      <c r="G111" s="520" t="str">
        <f>IF(E111="","",IF(ISNA(VLOOKUP($E111,'A-1 Site Habitat Baseline'!$D$1:$O$258,5,FALSE)),"",(VLOOKUP($E111,'A-1 Site Habitat Baseline'!$D$1:$O$258,5,FALSE))))</f>
        <v/>
      </c>
      <c r="H111" s="520" t="str">
        <f>IF(E111="","",IF(ISNA(VLOOKUP($E111,'A-1 Site Habitat Baseline'!$D$1:$O$258,6,FALSE)),"",(VLOOKUP($E111,'A-1 Site Habitat Baseline'!$D$1:$O$258,6,FALSE))))</f>
        <v/>
      </c>
      <c r="I111" s="520" t="str">
        <f>IF(E111="","",IF(ISNA(VLOOKUP($E111,'A-1 Site Habitat Baseline'!$D$1:$O$258,7,FALSE)),"",(VLOOKUP($E111,'A-1 Site Habitat Baseline'!$D$1:$O$258,7,FALSE))))</f>
        <v/>
      </c>
      <c r="J111" s="520" t="str">
        <f>IF(E111="","",IF(ISNA(VLOOKUP($E111,'A-1 Site Habitat Baseline'!$D$1:$O$258,8,FALSE)),"",(VLOOKUP($E111,'A-1 Site Habitat Baseline'!$D$1:$O$258,8,FALSE))))</f>
        <v/>
      </c>
      <c r="K111" s="520" t="str">
        <f>IF(E111="","",IF(ISNA(VLOOKUP($E111,'A-1 Site Habitat Baseline'!$D$1:$O$258,9,FALSE)),"",(VLOOKUP($E111,'A-1 Site Habitat Baseline'!$D$1:$O$258,9,FALSE))))</f>
        <v/>
      </c>
      <c r="L111" s="520" t="str">
        <f>IF(E111="","",IF(ISNA(VLOOKUP($E111,'A-1 Site Habitat Baseline'!$D$1:$O$258,11,FALSE)),"",(VLOOKUP($E111,'A-1 Site Habitat Baseline'!$D$1:$O$258,11,FALSE))))</f>
        <v/>
      </c>
      <c r="M111" s="520" t="str">
        <f>IF(E111="","",IF(ISNA(VLOOKUP($E111,'A-1 Site Habitat Baseline'!$D$1:$O$258,12,FALSE)),"",(VLOOKUP($E111,'A-1 Site Habitat Baseline'!$D$1:$O$258,12,FALSE))))</f>
        <v/>
      </c>
      <c r="N111" s="532" t="str">
        <f>IF(E111="","",IF(ISNA(VLOOKUP($E111,'A-1 Site Habitat Baseline'!$D$1:$X$258,14,FALSE)),"",(VLOOKUP($E111,'A-1 Site Habitat Baseline'!$D$1:$X$258,14,FALSE))))</f>
        <v/>
      </c>
      <c r="O111" s="524" t="str">
        <f>IF(E111="","",IF(ISNA(VLOOKUP($E111,'A-1 Site Habitat Baseline'!$D$1:$X$258,16,FALSE)),"",(VLOOKUP($E111,'A-1 Site Habitat Baseline'!$D$1:$X$258,13,FALSE))))</f>
        <v/>
      </c>
      <c r="P111" s="237" t="str">
        <f>IFERROR(INDEX('G-1 All Habitats'!$AG$3:$AG$15,MATCH(Q111,'G-1 All Habitats'!$AF$3:$AF$15,0)),"")</f>
        <v/>
      </c>
      <c r="Q111" s="238" t="str">
        <f t="shared" si="14"/>
        <v/>
      </c>
      <c r="R111" s="238" t="str">
        <f t="shared" si="15"/>
        <v/>
      </c>
      <c r="S111" s="392" t="str">
        <f>IFERROR(INDEX('G-1 All Habitats'!$B$3:$B$129,MATCH(R111,'G-1 All Habitats'!$A$3:$A$129,0)),"")</f>
        <v/>
      </c>
      <c r="T111" s="498" t="str">
        <f t="shared" si="16"/>
        <v/>
      </c>
      <c r="U111" s="499" t="str">
        <f t="shared" si="17"/>
        <v/>
      </c>
      <c r="V111" s="537" t="str">
        <f t="shared" si="11"/>
        <v/>
      </c>
      <c r="W111" s="520" t="str">
        <f>IF(S111="","",VLOOKUP(S111,'G-1 All Habitats'!$B$2:$M$129,10,FALSE))</f>
        <v/>
      </c>
      <c r="X111" s="520" t="str">
        <f>IFERROR(VLOOKUP(W111,'G-1 All Habitats'!$V$3:$W$7,2,FALSE),"")</f>
        <v/>
      </c>
      <c r="Y111" s="79"/>
      <c r="Z111" s="524" t="str">
        <f>IFERROR(INDEX('G-8 Condition Look up'!$A$3:$H$130,MATCH(S111,'G-8 Condition Look up'!$A$3:$A$130,0),MATCH(Y111,'G-8 Condition Look up'!$A$3:$H$3,0)),"")</f>
        <v/>
      </c>
      <c r="AA111" s="71"/>
      <c r="AB111" s="520" t="str">
        <f>IF(AA111="","",IF(VLOOKUP(AA111,'G-3 Multipliers'!$L$3:$N$6,2,FALSE)=0,"Spatial Data Missing ⚠",VLOOKUP(AA111,'G-3 Multipliers'!$L$3:$N$6,2,FALSE)))</f>
        <v/>
      </c>
      <c r="AC111" s="524" t="str">
        <f>IF(AA111="","",IF(VLOOKUP(AA111,'G-3 Multipliers'!$L$3:$N$6,3,FALSE)=0,"Spatial Data Missing ⚠",VLOOKUP(AA111,'G-3 Multipliers'!$L$3:$N$6,3,FALSE)))</f>
        <v/>
      </c>
      <c r="AD111" s="539" t="str">
        <f t="shared" si="12"/>
        <v/>
      </c>
      <c r="AE111" s="82"/>
      <c r="AF111" s="82"/>
      <c r="AG111" s="507" t="str">
        <f t="shared" si="18"/>
        <v/>
      </c>
      <c r="AH111" s="521" t="str">
        <f t="shared" si="19"/>
        <v/>
      </c>
      <c r="AI111" s="522" t="str">
        <f>IF(AH111="Check Data","Check Data",IFERROR(VLOOKUP(AH111,'G-4 Temporal multipliers'!$A$4:$C$36,3,FALSE),""))</f>
        <v/>
      </c>
      <c r="AJ111" s="498" t="str">
        <f>IF(S111="","",VLOOKUP(S111,'G-3 Multipliers'!$A$2:$E$129,4,FALSE))</f>
        <v/>
      </c>
      <c r="AK111" s="507" t="str">
        <f t="shared" si="20"/>
        <v/>
      </c>
      <c r="AL111" s="507" t="str">
        <f t="shared" si="21"/>
        <v/>
      </c>
      <c r="AM111" s="540" t="str">
        <f>IFERROR(IF(F111="","",IF(AH111="Check Data ⚠","Check Data ⚠",VLOOKUP(AL111, 'G-3 Multipliers'!$P$2:$Q$6,2,FALSE))),"")</f>
        <v/>
      </c>
      <c r="AN111" s="513" t="str">
        <f t="shared" si="13"/>
        <v/>
      </c>
      <c r="AO111" s="239"/>
      <c r="AP111" s="240"/>
    </row>
    <row r="112" spans="1:42" x14ac:dyDescent="0.3">
      <c r="A112" s="47" t="str">
        <f>IF(E112="","",IF(ISNA(VLOOKUP($E112,'A-1 Site Habitat Baseline'!$D$1:$O$258,2,FALSE)),"",(VLOOKUP($E112,'A-1 Site Habitat Baseline'!$D$1:$O$258,2,FALSE))))</f>
        <v/>
      </c>
      <c r="B112" s="47" t="str">
        <f>IF(E112="","",IF(ISNA(VLOOKUP($E112,'A-1 Site Habitat Baseline'!$D$1:$O$258,3,FALSE)),"",(VLOOKUP($E112,'A-1 Site Habitat Baseline'!$D$1:$O$258,3,FALSE))))</f>
        <v/>
      </c>
      <c r="C112" s="47" t="str">
        <f>IFERROR(INDEX('G-8 Condition Look up'!$I$4:$I$130,MATCH(S112,'G-8 Condition Look up'!$A$4:$A$130,0)),"")</f>
        <v/>
      </c>
      <c r="E112" s="531" t="str">
        <f>'A-1 Site Habitat Baseline'!AL111</f>
        <v/>
      </c>
      <c r="F112" s="520" t="str">
        <f>IF(E112="","",IF(ISNA(VLOOKUP($E112,'A-1 Site Habitat Baseline'!$D$1:$O$258,4,FALSE)),"",(VLOOKUP($E112,'A-1 Site Habitat Baseline'!$D$1:$O$258,4,FALSE))))</f>
        <v/>
      </c>
      <c r="G112" s="520" t="str">
        <f>IF(E112="","",IF(ISNA(VLOOKUP($E112,'A-1 Site Habitat Baseline'!$D$1:$O$258,5,FALSE)),"",(VLOOKUP($E112,'A-1 Site Habitat Baseline'!$D$1:$O$258,5,FALSE))))</f>
        <v/>
      </c>
      <c r="H112" s="520" t="str">
        <f>IF(E112="","",IF(ISNA(VLOOKUP($E112,'A-1 Site Habitat Baseline'!$D$1:$O$258,6,FALSE)),"",(VLOOKUP($E112,'A-1 Site Habitat Baseline'!$D$1:$O$258,6,FALSE))))</f>
        <v/>
      </c>
      <c r="I112" s="520" t="str">
        <f>IF(E112="","",IF(ISNA(VLOOKUP($E112,'A-1 Site Habitat Baseline'!$D$1:$O$258,7,FALSE)),"",(VLOOKUP($E112,'A-1 Site Habitat Baseline'!$D$1:$O$258,7,FALSE))))</f>
        <v/>
      </c>
      <c r="J112" s="520" t="str">
        <f>IF(E112="","",IF(ISNA(VLOOKUP($E112,'A-1 Site Habitat Baseline'!$D$1:$O$258,8,FALSE)),"",(VLOOKUP($E112,'A-1 Site Habitat Baseline'!$D$1:$O$258,8,FALSE))))</f>
        <v/>
      </c>
      <c r="K112" s="520" t="str">
        <f>IF(E112="","",IF(ISNA(VLOOKUP($E112,'A-1 Site Habitat Baseline'!$D$1:$O$258,9,FALSE)),"",(VLOOKUP($E112,'A-1 Site Habitat Baseline'!$D$1:$O$258,9,FALSE))))</f>
        <v/>
      </c>
      <c r="L112" s="520" t="str">
        <f>IF(E112="","",IF(ISNA(VLOOKUP($E112,'A-1 Site Habitat Baseline'!$D$1:$O$258,11,FALSE)),"",(VLOOKUP($E112,'A-1 Site Habitat Baseline'!$D$1:$O$258,11,FALSE))))</f>
        <v/>
      </c>
      <c r="M112" s="520" t="str">
        <f>IF(E112="","",IF(ISNA(VLOOKUP($E112,'A-1 Site Habitat Baseline'!$D$1:$O$258,12,FALSE)),"",(VLOOKUP($E112,'A-1 Site Habitat Baseline'!$D$1:$O$258,12,FALSE))))</f>
        <v/>
      </c>
      <c r="N112" s="532" t="str">
        <f>IF(E112="","",IF(ISNA(VLOOKUP($E112,'A-1 Site Habitat Baseline'!$D$1:$X$258,14,FALSE)),"",(VLOOKUP($E112,'A-1 Site Habitat Baseline'!$D$1:$X$258,14,FALSE))))</f>
        <v/>
      </c>
      <c r="O112" s="524" t="str">
        <f>IF(E112="","",IF(ISNA(VLOOKUP($E112,'A-1 Site Habitat Baseline'!$D$1:$X$258,16,FALSE)),"",(VLOOKUP($E112,'A-1 Site Habitat Baseline'!$D$1:$X$258,13,FALSE))))</f>
        <v/>
      </c>
      <c r="P112" s="237" t="str">
        <f>IFERROR(INDEX('G-1 All Habitats'!$AG$3:$AG$15,MATCH(Q112,'G-1 All Habitats'!$AF$3:$AF$15,0)),"")</f>
        <v/>
      </c>
      <c r="Q112" s="238" t="str">
        <f t="shared" si="14"/>
        <v/>
      </c>
      <c r="R112" s="238" t="str">
        <f t="shared" si="15"/>
        <v/>
      </c>
      <c r="S112" s="392" t="str">
        <f>IFERROR(INDEX('G-1 All Habitats'!$B$3:$B$129,MATCH(R112,'G-1 All Habitats'!$A$3:$A$129,0)),"")</f>
        <v/>
      </c>
      <c r="T112" s="498" t="str">
        <f t="shared" si="16"/>
        <v/>
      </c>
      <c r="U112" s="499" t="str">
        <f t="shared" si="17"/>
        <v/>
      </c>
      <c r="V112" s="537" t="str">
        <f t="shared" si="11"/>
        <v/>
      </c>
      <c r="W112" s="520" t="str">
        <f>IF(S112="","",VLOOKUP(S112,'G-1 All Habitats'!$B$2:$M$129,10,FALSE))</f>
        <v/>
      </c>
      <c r="X112" s="520" t="str">
        <f>IFERROR(VLOOKUP(W112,'G-1 All Habitats'!$V$3:$W$7,2,FALSE),"")</f>
        <v/>
      </c>
      <c r="Y112" s="79"/>
      <c r="Z112" s="524" t="str">
        <f>IFERROR(INDEX('G-8 Condition Look up'!$A$3:$H$130,MATCH(S112,'G-8 Condition Look up'!$A$3:$A$130,0),MATCH(Y112,'G-8 Condition Look up'!$A$3:$H$3,0)),"")</f>
        <v/>
      </c>
      <c r="AA112" s="71"/>
      <c r="AB112" s="520" t="str">
        <f>IF(AA112="","",IF(VLOOKUP(AA112,'G-3 Multipliers'!$L$3:$N$6,2,FALSE)=0,"Spatial Data Missing ⚠",VLOOKUP(AA112,'G-3 Multipliers'!$L$3:$N$6,2,FALSE)))</f>
        <v/>
      </c>
      <c r="AC112" s="524" t="str">
        <f>IF(AA112="","",IF(VLOOKUP(AA112,'G-3 Multipliers'!$L$3:$N$6,3,FALSE)=0,"Spatial Data Missing ⚠",VLOOKUP(AA112,'G-3 Multipliers'!$L$3:$N$6,3,FALSE)))</f>
        <v/>
      </c>
      <c r="AD112" s="539" t="str">
        <f t="shared" si="12"/>
        <v/>
      </c>
      <c r="AE112" s="82"/>
      <c r="AF112" s="82"/>
      <c r="AG112" s="507" t="str">
        <f t="shared" si="18"/>
        <v/>
      </c>
      <c r="AH112" s="521" t="str">
        <f t="shared" si="19"/>
        <v/>
      </c>
      <c r="AI112" s="522" t="str">
        <f>IF(AH112="Check Data","Check Data",IFERROR(VLOOKUP(AH112,'G-4 Temporal multipliers'!$A$4:$C$36,3,FALSE),""))</f>
        <v/>
      </c>
      <c r="AJ112" s="498" t="str">
        <f>IF(S112="","",VLOOKUP(S112,'G-3 Multipliers'!$A$2:$E$129,4,FALSE))</f>
        <v/>
      </c>
      <c r="AK112" s="507" t="str">
        <f t="shared" si="20"/>
        <v/>
      </c>
      <c r="AL112" s="507" t="str">
        <f t="shared" si="21"/>
        <v/>
      </c>
      <c r="AM112" s="540" t="str">
        <f>IFERROR(IF(F112="","",IF(AH112="Check Data ⚠","Check Data ⚠",VLOOKUP(AL112, 'G-3 Multipliers'!$P$2:$Q$6,2,FALSE))),"")</f>
        <v/>
      </c>
      <c r="AN112" s="513" t="str">
        <f t="shared" si="13"/>
        <v/>
      </c>
      <c r="AO112" s="239"/>
      <c r="AP112" s="240"/>
    </row>
    <row r="113" spans="1:42" x14ac:dyDescent="0.3">
      <c r="A113" s="47" t="str">
        <f>IF(E113="","",IF(ISNA(VLOOKUP($E113,'A-1 Site Habitat Baseline'!$D$1:$O$258,2,FALSE)),"",(VLOOKUP($E113,'A-1 Site Habitat Baseline'!$D$1:$O$258,2,FALSE))))</f>
        <v/>
      </c>
      <c r="B113" s="47" t="str">
        <f>IF(E113="","",IF(ISNA(VLOOKUP($E113,'A-1 Site Habitat Baseline'!$D$1:$O$258,3,FALSE)),"",(VLOOKUP($E113,'A-1 Site Habitat Baseline'!$D$1:$O$258,3,FALSE))))</f>
        <v/>
      </c>
      <c r="C113" s="47" t="str">
        <f>IFERROR(INDEX('G-8 Condition Look up'!$I$4:$I$130,MATCH(S113,'G-8 Condition Look up'!$A$4:$A$130,0)),"")</f>
        <v/>
      </c>
      <c r="E113" s="531" t="str">
        <f>'A-1 Site Habitat Baseline'!AL112</f>
        <v/>
      </c>
      <c r="F113" s="520" t="str">
        <f>IF(E113="","",IF(ISNA(VLOOKUP($E113,'A-1 Site Habitat Baseline'!$D$1:$O$258,4,FALSE)),"",(VLOOKUP($E113,'A-1 Site Habitat Baseline'!$D$1:$O$258,4,FALSE))))</f>
        <v/>
      </c>
      <c r="G113" s="520" t="str">
        <f>IF(E113="","",IF(ISNA(VLOOKUP($E113,'A-1 Site Habitat Baseline'!$D$1:$O$258,5,FALSE)),"",(VLOOKUP($E113,'A-1 Site Habitat Baseline'!$D$1:$O$258,5,FALSE))))</f>
        <v/>
      </c>
      <c r="H113" s="520" t="str">
        <f>IF(E113="","",IF(ISNA(VLOOKUP($E113,'A-1 Site Habitat Baseline'!$D$1:$O$258,6,FALSE)),"",(VLOOKUP($E113,'A-1 Site Habitat Baseline'!$D$1:$O$258,6,FALSE))))</f>
        <v/>
      </c>
      <c r="I113" s="520" t="str">
        <f>IF(E113="","",IF(ISNA(VLOOKUP($E113,'A-1 Site Habitat Baseline'!$D$1:$O$258,7,FALSE)),"",(VLOOKUP($E113,'A-1 Site Habitat Baseline'!$D$1:$O$258,7,FALSE))))</f>
        <v/>
      </c>
      <c r="J113" s="520" t="str">
        <f>IF(E113="","",IF(ISNA(VLOOKUP($E113,'A-1 Site Habitat Baseline'!$D$1:$O$258,8,FALSE)),"",(VLOOKUP($E113,'A-1 Site Habitat Baseline'!$D$1:$O$258,8,FALSE))))</f>
        <v/>
      </c>
      <c r="K113" s="520" t="str">
        <f>IF(E113="","",IF(ISNA(VLOOKUP($E113,'A-1 Site Habitat Baseline'!$D$1:$O$258,9,FALSE)),"",(VLOOKUP($E113,'A-1 Site Habitat Baseline'!$D$1:$O$258,9,FALSE))))</f>
        <v/>
      </c>
      <c r="L113" s="520" t="str">
        <f>IF(E113="","",IF(ISNA(VLOOKUP($E113,'A-1 Site Habitat Baseline'!$D$1:$O$258,11,FALSE)),"",(VLOOKUP($E113,'A-1 Site Habitat Baseline'!$D$1:$O$258,11,FALSE))))</f>
        <v/>
      </c>
      <c r="M113" s="520" t="str">
        <f>IF(E113="","",IF(ISNA(VLOOKUP($E113,'A-1 Site Habitat Baseline'!$D$1:$O$258,12,FALSE)),"",(VLOOKUP($E113,'A-1 Site Habitat Baseline'!$D$1:$O$258,12,FALSE))))</f>
        <v/>
      </c>
      <c r="N113" s="532" t="str">
        <f>IF(E113="","",IF(ISNA(VLOOKUP($E113,'A-1 Site Habitat Baseline'!$D$1:$X$258,14,FALSE)),"",(VLOOKUP($E113,'A-1 Site Habitat Baseline'!$D$1:$X$258,14,FALSE))))</f>
        <v/>
      </c>
      <c r="O113" s="524" t="str">
        <f>IF(E113="","",IF(ISNA(VLOOKUP($E113,'A-1 Site Habitat Baseline'!$D$1:$X$258,16,FALSE)),"",(VLOOKUP($E113,'A-1 Site Habitat Baseline'!$D$1:$X$258,13,FALSE))))</f>
        <v/>
      </c>
      <c r="P113" s="237" t="str">
        <f>IFERROR(INDEX('G-1 All Habitats'!$AG$3:$AG$15,MATCH(Q113,'G-1 All Habitats'!$AF$3:$AF$15,0)),"")</f>
        <v/>
      </c>
      <c r="Q113" s="238" t="str">
        <f t="shared" si="14"/>
        <v/>
      </c>
      <c r="R113" s="238" t="str">
        <f t="shared" si="15"/>
        <v/>
      </c>
      <c r="S113" s="392" t="str">
        <f>IFERROR(INDEX('G-1 All Habitats'!$B$3:$B$129,MATCH(R113,'G-1 All Habitats'!$A$3:$A$129,0)),"")</f>
        <v/>
      </c>
      <c r="T113" s="498" t="str">
        <f t="shared" si="16"/>
        <v/>
      </c>
      <c r="U113" s="499" t="str">
        <f t="shared" si="17"/>
        <v/>
      </c>
      <c r="V113" s="537" t="str">
        <f t="shared" si="11"/>
        <v/>
      </c>
      <c r="W113" s="520" t="str">
        <f>IF(S113="","",VLOOKUP(S113,'G-1 All Habitats'!$B$2:$M$129,10,FALSE))</f>
        <v/>
      </c>
      <c r="X113" s="520" t="str">
        <f>IFERROR(VLOOKUP(W113,'G-1 All Habitats'!$V$3:$W$7,2,FALSE),"")</f>
        <v/>
      </c>
      <c r="Y113" s="79"/>
      <c r="Z113" s="524" t="str">
        <f>IFERROR(INDEX('G-8 Condition Look up'!$A$3:$H$130,MATCH(S113,'G-8 Condition Look up'!$A$3:$A$130,0),MATCH(Y113,'G-8 Condition Look up'!$A$3:$H$3,0)),"")</f>
        <v/>
      </c>
      <c r="AA113" s="71"/>
      <c r="AB113" s="520" t="str">
        <f>IF(AA113="","",IF(VLOOKUP(AA113,'G-3 Multipliers'!$L$3:$N$6,2,FALSE)=0,"Spatial Data Missing ⚠",VLOOKUP(AA113,'G-3 Multipliers'!$L$3:$N$6,2,FALSE)))</f>
        <v/>
      </c>
      <c r="AC113" s="524" t="str">
        <f>IF(AA113="","",IF(VLOOKUP(AA113,'G-3 Multipliers'!$L$3:$N$6,3,FALSE)=0,"Spatial Data Missing ⚠",VLOOKUP(AA113,'G-3 Multipliers'!$L$3:$N$6,3,FALSE)))</f>
        <v/>
      </c>
      <c r="AD113" s="539" t="str">
        <f t="shared" si="12"/>
        <v/>
      </c>
      <c r="AE113" s="82"/>
      <c r="AF113" s="82"/>
      <c r="AG113" s="507" t="str">
        <f t="shared" si="18"/>
        <v/>
      </c>
      <c r="AH113" s="521" t="str">
        <f t="shared" si="19"/>
        <v/>
      </c>
      <c r="AI113" s="522" t="str">
        <f>IF(AH113="Check Data","Check Data",IFERROR(VLOOKUP(AH113,'G-4 Temporal multipliers'!$A$4:$C$36,3,FALSE),""))</f>
        <v/>
      </c>
      <c r="AJ113" s="498" t="str">
        <f>IF(S113="","",VLOOKUP(S113,'G-3 Multipliers'!$A$2:$E$129,4,FALSE))</f>
        <v/>
      </c>
      <c r="AK113" s="507" t="str">
        <f t="shared" si="20"/>
        <v/>
      </c>
      <c r="AL113" s="507" t="str">
        <f t="shared" si="21"/>
        <v/>
      </c>
      <c r="AM113" s="540" t="str">
        <f>IFERROR(IF(F113="","",IF(AH113="Check Data ⚠","Check Data ⚠",VLOOKUP(AL113, 'G-3 Multipliers'!$P$2:$Q$6,2,FALSE))),"")</f>
        <v/>
      </c>
      <c r="AN113" s="513" t="str">
        <f t="shared" si="13"/>
        <v/>
      </c>
      <c r="AO113" s="239"/>
      <c r="AP113" s="240"/>
    </row>
    <row r="114" spans="1:42" x14ac:dyDescent="0.3">
      <c r="A114" s="47" t="str">
        <f>IF(E114="","",IF(ISNA(VLOOKUP($E114,'A-1 Site Habitat Baseline'!$D$1:$O$258,2,FALSE)),"",(VLOOKUP($E114,'A-1 Site Habitat Baseline'!$D$1:$O$258,2,FALSE))))</f>
        <v/>
      </c>
      <c r="B114" s="47" t="str">
        <f>IF(E114="","",IF(ISNA(VLOOKUP($E114,'A-1 Site Habitat Baseline'!$D$1:$O$258,3,FALSE)),"",(VLOOKUP($E114,'A-1 Site Habitat Baseline'!$D$1:$O$258,3,FALSE))))</f>
        <v/>
      </c>
      <c r="C114" s="47" t="str">
        <f>IFERROR(INDEX('G-8 Condition Look up'!$I$4:$I$130,MATCH(S114,'G-8 Condition Look up'!$A$4:$A$130,0)),"")</f>
        <v/>
      </c>
      <c r="E114" s="531" t="str">
        <f>'A-1 Site Habitat Baseline'!AL113</f>
        <v/>
      </c>
      <c r="F114" s="520" t="str">
        <f>IF(E114="","",IF(ISNA(VLOOKUP($E114,'A-1 Site Habitat Baseline'!$D$1:$O$258,4,FALSE)),"",(VLOOKUP($E114,'A-1 Site Habitat Baseline'!$D$1:$O$258,4,FALSE))))</f>
        <v/>
      </c>
      <c r="G114" s="520" t="str">
        <f>IF(E114="","",IF(ISNA(VLOOKUP($E114,'A-1 Site Habitat Baseline'!$D$1:$O$258,5,FALSE)),"",(VLOOKUP($E114,'A-1 Site Habitat Baseline'!$D$1:$O$258,5,FALSE))))</f>
        <v/>
      </c>
      <c r="H114" s="520" t="str">
        <f>IF(E114="","",IF(ISNA(VLOOKUP($E114,'A-1 Site Habitat Baseline'!$D$1:$O$258,6,FALSE)),"",(VLOOKUP($E114,'A-1 Site Habitat Baseline'!$D$1:$O$258,6,FALSE))))</f>
        <v/>
      </c>
      <c r="I114" s="520" t="str">
        <f>IF(E114="","",IF(ISNA(VLOOKUP($E114,'A-1 Site Habitat Baseline'!$D$1:$O$258,7,FALSE)),"",(VLOOKUP($E114,'A-1 Site Habitat Baseline'!$D$1:$O$258,7,FALSE))))</f>
        <v/>
      </c>
      <c r="J114" s="520" t="str">
        <f>IF(E114="","",IF(ISNA(VLOOKUP($E114,'A-1 Site Habitat Baseline'!$D$1:$O$258,8,FALSE)),"",(VLOOKUP($E114,'A-1 Site Habitat Baseline'!$D$1:$O$258,8,FALSE))))</f>
        <v/>
      </c>
      <c r="K114" s="520" t="str">
        <f>IF(E114="","",IF(ISNA(VLOOKUP($E114,'A-1 Site Habitat Baseline'!$D$1:$O$258,9,FALSE)),"",(VLOOKUP($E114,'A-1 Site Habitat Baseline'!$D$1:$O$258,9,FALSE))))</f>
        <v/>
      </c>
      <c r="L114" s="520" t="str">
        <f>IF(E114="","",IF(ISNA(VLOOKUP($E114,'A-1 Site Habitat Baseline'!$D$1:$O$258,11,FALSE)),"",(VLOOKUP($E114,'A-1 Site Habitat Baseline'!$D$1:$O$258,11,FALSE))))</f>
        <v/>
      </c>
      <c r="M114" s="520" t="str">
        <f>IF(E114="","",IF(ISNA(VLOOKUP($E114,'A-1 Site Habitat Baseline'!$D$1:$O$258,12,FALSE)),"",(VLOOKUP($E114,'A-1 Site Habitat Baseline'!$D$1:$O$258,12,FALSE))))</f>
        <v/>
      </c>
      <c r="N114" s="532" t="str">
        <f>IF(E114="","",IF(ISNA(VLOOKUP($E114,'A-1 Site Habitat Baseline'!$D$1:$X$258,14,FALSE)),"",(VLOOKUP($E114,'A-1 Site Habitat Baseline'!$D$1:$X$258,14,FALSE))))</f>
        <v/>
      </c>
      <c r="O114" s="524" t="str">
        <f>IF(E114="","",IF(ISNA(VLOOKUP($E114,'A-1 Site Habitat Baseline'!$D$1:$X$258,16,FALSE)),"",(VLOOKUP($E114,'A-1 Site Habitat Baseline'!$D$1:$X$258,13,FALSE))))</f>
        <v/>
      </c>
      <c r="P114" s="237" t="str">
        <f>IFERROR(INDEX('G-1 All Habitats'!$AG$3:$AG$15,MATCH(Q114,'G-1 All Habitats'!$AF$3:$AF$15,0)),"")</f>
        <v/>
      </c>
      <c r="Q114" s="238" t="str">
        <f t="shared" si="14"/>
        <v/>
      </c>
      <c r="R114" s="238" t="str">
        <f t="shared" si="15"/>
        <v/>
      </c>
      <c r="S114" s="392" t="str">
        <f>IFERROR(INDEX('G-1 All Habitats'!$B$3:$B$129,MATCH(R114,'G-1 All Habitats'!$A$3:$A$129,0)),"")</f>
        <v/>
      </c>
      <c r="T114" s="498" t="str">
        <f t="shared" si="16"/>
        <v/>
      </c>
      <c r="U114" s="499" t="str">
        <f t="shared" si="17"/>
        <v/>
      </c>
      <c r="V114" s="537" t="str">
        <f t="shared" si="11"/>
        <v/>
      </c>
      <c r="W114" s="520" t="str">
        <f>IF(S114="","",VLOOKUP(S114,'G-1 All Habitats'!$B$2:$M$129,10,FALSE))</f>
        <v/>
      </c>
      <c r="X114" s="520" t="str">
        <f>IFERROR(VLOOKUP(W114,'G-1 All Habitats'!$V$3:$W$7,2,FALSE),"")</f>
        <v/>
      </c>
      <c r="Y114" s="79"/>
      <c r="Z114" s="524" t="str">
        <f>IFERROR(INDEX('G-8 Condition Look up'!$A$3:$H$130,MATCH(S114,'G-8 Condition Look up'!$A$3:$A$130,0),MATCH(Y114,'G-8 Condition Look up'!$A$3:$H$3,0)),"")</f>
        <v/>
      </c>
      <c r="AA114" s="71"/>
      <c r="AB114" s="520" t="str">
        <f>IF(AA114="","",IF(VLOOKUP(AA114,'G-3 Multipliers'!$L$3:$N$6,2,FALSE)=0,"Spatial Data Missing ⚠",VLOOKUP(AA114,'G-3 Multipliers'!$L$3:$N$6,2,FALSE)))</f>
        <v/>
      </c>
      <c r="AC114" s="524" t="str">
        <f>IF(AA114="","",IF(VLOOKUP(AA114,'G-3 Multipliers'!$L$3:$N$6,3,FALSE)=0,"Spatial Data Missing ⚠",VLOOKUP(AA114,'G-3 Multipliers'!$L$3:$N$6,3,FALSE)))</f>
        <v/>
      </c>
      <c r="AD114" s="539" t="str">
        <f t="shared" si="12"/>
        <v/>
      </c>
      <c r="AE114" s="82"/>
      <c r="AF114" s="82"/>
      <c r="AG114" s="507" t="str">
        <f t="shared" si="18"/>
        <v/>
      </c>
      <c r="AH114" s="521" t="str">
        <f t="shared" si="19"/>
        <v/>
      </c>
      <c r="AI114" s="522" t="str">
        <f>IF(AH114="Check Data","Check Data",IFERROR(VLOOKUP(AH114,'G-4 Temporal multipliers'!$A$4:$C$36,3,FALSE),""))</f>
        <v/>
      </c>
      <c r="AJ114" s="498" t="str">
        <f>IF(S114="","",VLOOKUP(S114,'G-3 Multipliers'!$A$2:$E$129,4,FALSE))</f>
        <v/>
      </c>
      <c r="AK114" s="507" t="str">
        <f t="shared" si="20"/>
        <v/>
      </c>
      <c r="AL114" s="507" t="str">
        <f t="shared" si="21"/>
        <v/>
      </c>
      <c r="AM114" s="540" t="str">
        <f>IFERROR(IF(F114="","",IF(AH114="Check Data ⚠","Check Data ⚠",VLOOKUP(AL114, 'G-3 Multipliers'!$P$2:$Q$6,2,FALSE))),"")</f>
        <v/>
      </c>
      <c r="AN114" s="513" t="str">
        <f t="shared" si="13"/>
        <v/>
      </c>
      <c r="AO114" s="239"/>
      <c r="AP114" s="240"/>
    </row>
    <row r="115" spans="1:42" x14ac:dyDescent="0.3">
      <c r="A115" s="47" t="str">
        <f>IF(E115="","",IF(ISNA(VLOOKUP($E115,'A-1 Site Habitat Baseline'!$D$1:$O$258,2,FALSE)),"",(VLOOKUP($E115,'A-1 Site Habitat Baseline'!$D$1:$O$258,2,FALSE))))</f>
        <v/>
      </c>
      <c r="B115" s="47" t="str">
        <f>IF(E115="","",IF(ISNA(VLOOKUP($E115,'A-1 Site Habitat Baseline'!$D$1:$O$258,3,FALSE)),"",(VLOOKUP($E115,'A-1 Site Habitat Baseline'!$D$1:$O$258,3,FALSE))))</f>
        <v/>
      </c>
      <c r="C115" s="47" t="str">
        <f>IFERROR(INDEX('G-8 Condition Look up'!$I$4:$I$130,MATCH(S115,'G-8 Condition Look up'!$A$4:$A$130,0)),"")</f>
        <v/>
      </c>
      <c r="E115" s="531" t="str">
        <f>'A-1 Site Habitat Baseline'!AL114</f>
        <v/>
      </c>
      <c r="F115" s="520" t="str">
        <f>IF(E115="","",IF(ISNA(VLOOKUP($E115,'A-1 Site Habitat Baseline'!$D$1:$O$258,4,FALSE)),"",(VLOOKUP($E115,'A-1 Site Habitat Baseline'!$D$1:$O$258,4,FALSE))))</f>
        <v/>
      </c>
      <c r="G115" s="520" t="str">
        <f>IF(E115="","",IF(ISNA(VLOOKUP($E115,'A-1 Site Habitat Baseline'!$D$1:$O$258,5,FALSE)),"",(VLOOKUP($E115,'A-1 Site Habitat Baseline'!$D$1:$O$258,5,FALSE))))</f>
        <v/>
      </c>
      <c r="H115" s="520" t="str">
        <f>IF(E115="","",IF(ISNA(VLOOKUP($E115,'A-1 Site Habitat Baseline'!$D$1:$O$258,6,FALSE)),"",(VLOOKUP($E115,'A-1 Site Habitat Baseline'!$D$1:$O$258,6,FALSE))))</f>
        <v/>
      </c>
      <c r="I115" s="520" t="str">
        <f>IF(E115="","",IF(ISNA(VLOOKUP($E115,'A-1 Site Habitat Baseline'!$D$1:$O$258,7,FALSE)),"",(VLOOKUP($E115,'A-1 Site Habitat Baseline'!$D$1:$O$258,7,FALSE))))</f>
        <v/>
      </c>
      <c r="J115" s="520" t="str">
        <f>IF(E115="","",IF(ISNA(VLOOKUP($E115,'A-1 Site Habitat Baseline'!$D$1:$O$258,8,FALSE)),"",(VLOOKUP($E115,'A-1 Site Habitat Baseline'!$D$1:$O$258,8,FALSE))))</f>
        <v/>
      </c>
      <c r="K115" s="520" t="str">
        <f>IF(E115="","",IF(ISNA(VLOOKUP($E115,'A-1 Site Habitat Baseline'!$D$1:$O$258,9,FALSE)),"",(VLOOKUP($E115,'A-1 Site Habitat Baseline'!$D$1:$O$258,9,FALSE))))</f>
        <v/>
      </c>
      <c r="L115" s="520" t="str">
        <f>IF(E115="","",IF(ISNA(VLOOKUP($E115,'A-1 Site Habitat Baseline'!$D$1:$O$258,11,FALSE)),"",(VLOOKUP($E115,'A-1 Site Habitat Baseline'!$D$1:$O$258,11,FALSE))))</f>
        <v/>
      </c>
      <c r="M115" s="520" t="str">
        <f>IF(E115="","",IF(ISNA(VLOOKUP($E115,'A-1 Site Habitat Baseline'!$D$1:$O$258,12,FALSE)),"",(VLOOKUP($E115,'A-1 Site Habitat Baseline'!$D$1:$O$258,12,FALSE))))</f>
        <v/>
      </c>
      <c r="N115" s="532" t="str">
        <f>IF(E115="","",IF(ISNA(VLOOKUP($E115,'A-1 Site Habitat Baseline'!$D$1:$X$258,14,FALSE)),"",(VLOOKUP($E115,'A-1 Site Habitat Baseline'!$D$1:$X$258,14,FALSE))))</f>
        <v/>
      </c>
      <c r="O115" s="524" t="str">
        <f>IF(E115="","",IF(ISNA(VLOOKUP($E115,'A-1 Site Habitat Baseline'!$D$1:$X$258,16,FALSE)),"",(VLOOKUP($E115,'A-1 Site Habitat Baseline'!$D$1:$X$258,13,FALSE))))</f>
        <v/>
      </c>
      <c r="P115" s="237" t="str">
        <f>IFERROR(INDEX('G-1 All Habitats'!$AG$3:$AG$15,MATCH(Q115,'G-1 All Habitats'!$AF$3:$AF$15,0)),"")</f>
        <v/>
      </c>
      <c r="Q115" s="238" t="str">
        <f t="shared" si="14"/>
        <v/>
      </c>
      <c r="R115" s="238" t="str">
        <f t="shared" si="15"/>
        <v/>
      </c>
      <c r="S115" s="392" t="str">
        <f>IFERROR(INDEX('G-1 All Habitats'!$B$3:$B$129,MATCH(R115,'G-1 All Habitats'!$A$3:$A$129,0)),"")</f>
        <v/>
      </c>
      <c r="T115" s="498" t="str">
        <f t="shared" si="16"/>
        <v/>
      </c>
      <c r="U115" s="499" t="str">
        <f t="shared" si="17"/>
        <v/>
      </c>
      <c r="V115" s="537" t="str">
        <f t="shared" si="11"/>
        <v/>
      </c>
      <c r="W115" s="520" t="str">
        <f>IF(S115="","",VLOOKUP(S115,'G-1 All Habitats'!$B$2:$M$129,10,FALSE))</f>
        <v/>
      </c>
      <c r="X115" s="520" t="str">
        <f>IFERROR(VLOOKUP(W115,'G-1 All Habitats'!$V$3:$W$7,2,FALSE),"")</f>
        <v/>
      </c>
      <c r="Y115" s="79"/>
      <c r="Z115" s="524" t="str">
        <f>IFERROR(INDEX('G-8 Condition Look up'!$A$3:$H$130,MATCH(S115,'G-8 Condition Look up'!$A$3:$A$130,0),MATCH(Y115,'G-8 Condition Look up'!$A$3:$H$3,0)),"")</f>
        <v/>
      </c>
      <c r="AA115" s="71"/>
      <c r="AB115" s="520" t="str">
        <f>IF(AA115="","",IF(VLOOKUP(AA115,'G-3 Multipliers'!$L$3:$N$6,2,FALSE)=0,"Spatial Data Missing ⚠",VLOOKUP(AA115,'G-3 Multipliers'!$L$3:$N$6,2,FALSE)))</f>
        <v/>
      </c>
      <c r="AC115" s="524" t="str">
        <f>IF(AA115="","",IF(VLOOKUP(AA115,'G-3 Multipliers'!$L$3:$N$6,3,FALSE)=0,"Spatial Data Missing ⚠",VLOOKUP(AA115,'G-3 Multipliers'!$L$3:$N$6,3,FALSE)))</f>
        <v/>
      </c>
      <c r="AD115" s="539" t="str">
        <f t="shared" si="12"/>
        <v/>
      </c>
      <c r="AE115" s="82"/>
      <c r="AF115" s="82"/>
      <c r="AG115" s="507" t="str">
        <f t="shared" si="18"/>
        <v/>
      </c>
      <c r="AH115" s="521" t="str">
        <f t="shared" si="19"/>
        <v/>
      </c>
      <c r="AI115" s="522" t="str">
        <f>IF(AH115="Check Data","Check Data",IFERROR(VLOOKUP(AH115,'G-4 Temporal multipliers'!$A$4:$C$36,3,FALSE),""))</f>
        <v/>
      </c>
      <c r="AJ115" s="498" t="str">
        <f>IF(S115="","",VLOOKUP(S115,'G-3 Multipliers'!$A$2:$E$129,4,FALSE))</f>
        <v/>
      </c>
      <c r="AK115" s="507" t="str">
        <f t="shared" si="20"/>
        <v/>
      </c>
      <c r="AL115" s="507" t="str">
        <f t="shared" si="21"/>
        <v/>
      </c>
      <c r="AM115" s="540" t="str">
        <f>IFERROR(IF(F115="","",IF(AH115="Check Data ⚠","Check Data ⚠",VLOOKUP(AL115, 'G-3 Multipliers'!$P$2:$Q$6,2,FALSE))),"")</f>
        <v/>
      </c>
      <c r="AN115" s="513" t="str">
        <f t="shared" si="13"/>
        <v/>
      </c>
      <c r="AO115" s="239"/>
      <c r="AP115" s="240"/>
    </row>
    <row r="116" spans="1:42" x14ac:dyDescent="0.3">
      <c r="A116" s="47" t="str">
        <f>IF(E116="","",IF(ISNA(VLOOKUP($E116,'A-1 Site Habitat Baseline'!$D$1:$O$258,2,FALSE)),"",(VLOOKUP($E116,'A-1 Site Habitat Baseline'!$D$1:$O$258,2,FALSE))))</f>
        <v/>
      </c>
      <c r="B116" s="47" t="str">
        <f>IF(E116="","",IF(ISNA(VLOOKUP($E116,'A-1 Site Habitat Baseline'!$D$1:$O$258,3,FALSE)),"",(VLOOKUP($E116,'A-1 Site Habitat Baseline'!$D$1:$O$258,3,FALSE))))</f>
        <v/>
      </c>
      <c r="C116" s="47" t="str">
        <f>IFERROR(INDEX('G-8 Condition Look up'!$I$4:$I$130,MATCH(S116,'G-8 Condition Look up'!$A$4:$A$130,0)),"")</f>
        <v/>
      </c>
      <c r="E116" s="531" t="str">
        <f>'A-1 Site Habitat Baseline'!AL115</f>
        <v/>
      </c>
      <c r="F116" s="520" t="str">
        <f>IF(E116="","",IF(ISNA(VLOOKUP($E116,'A-1 Site Habitat Baseline'!$D$1:$O$258,4,FALSE)),"",(VLOOKUP($E116,'A-1 Site Habitat Baseline'!$D$1:$O$258,4,FALSE))))</f>
        <v/>
      </c>
      <c r="G116" s="520" t="str">
        <f>IF(E116="","",IF(ISNA(VLOOKUP($E116,'A-1 Site Habitat Baseline'!$D$1:$O$258,5,FALSE)),"",(VLOOKUP($E116,'A-1 Site Habitat Baseline'!$D$1:$O$258,5,FALSE))))</f>
        <v/>
      </c>
      <c r="H116" s="520" t="str">
        <f>IF(E116="","",IF(ISNA(VLOOKUP($E116,'A-1 Site Habitat Baseline'!$D$1:$O$258,6,FALSE)),"",(VLOOKUP($E116,'A-1 Site Habitat Baseline'!$D$1:$O$258,6,FALSE))))</f>
        <v/>
      </c>
      <c r="I116" s="520" t="str">
        <f>IF(E116="","",IF(ISNA(VLOOKUP($E116,'A-1 Site Habitat Baseline'!$D$1:$O$258,7,FALSE)),"",(VLOOKUP($E116,'A-1 Site Habitat Baseline'!$D$1:$O$258,7,FALSE))))</f>
        <v/>
      </c>
      <c r="J116" s="520" t="str">
        <f>IF(E116="","",IF(ISNA(VLOOKUP($E116,'A-1 Site Habitat Baseline'!$D$1:$O$258,8,FALSE)),"",(VLOOKUP($E116,'A-1 Site Habitat Baseline'!$D$1:$O$258,8,FALSE))))</f>
        <v/>
      </c>
      <c r="K116" s="520" t="str">
        <f>IF(E116="","",IF(ISNA(VLOOKUP($E116,'A-1 Site Habitat Baseline'!$D$1:$O$258,9,FALSE)),"",(VLOOKUP($E116,'A-1 Site Habitat Baseline'!$D$1:$O$258,9,FALSE))))</f>
        <v/>
      </c>
      <c r="L116" s="520" t="str">
        <f>IF(E116="","",IF(ISNA(VLOOKUP($E116,'A-1 Site Habitat Baseline'!$D$1:$O$258,11,FALSE)),"",(VLOOKUP($E116,'A-1 Site Habitat Baseline'!$D$1:$O$258,11,FALSE))))</f>
        <v/>
      </c>
      <c r="M116" s="520" t="str">
        <f>IF(E116="","",IF(ISNA(VLOOKUP($E116,'A-1 Site Habitat Baseline'!$D$1:$O$258,12,FALSE)),"",(VLOOKUP($E116,'A-1 Site Habitat Baseline'!$D$1:$O$258,12,FALSE))))</f>
        <v/>
      </c>
      <c r="N116" s="532" t="str">
        <f>IF(E116="","",IF(ISNA(VLOOKUP($E116,'A-1 Site Habitat Baseline'!$D$1:$X$258,14,FALSE)),"",(VLOOKUP($E116,'A-1 Site Habitat Baseline'!$D$1:$X$258,14,FALSE))))</f>
        <v/>
      </c>
      <c r="O116" s="524" t="str">
        <f>IF(E116="","",IF(ISNA(VLOOKUP($E116,'A-1 Site Habitat Baseline'!$D$1:$X$258,16,FALSE)),"",(VLOOKUP($E116,'A-1 Site Habitat Baseline'!$D$1:$X$258,13,FALSE))))</f>
        <v/>
      </c>
      <c r="P116" s="237" t="str">
        <f>IFERROR(INDEX('G-1 All Habitats'!$AG$3:$AG$15,MATCH(Q116,'G-1 All Habitats'!$AF$3:$AF$15,0)),"")</f>
        <v/>
      </c>
      <c r="Q116" s="238" t="str">
        <f t="shared" si="14"/>
        <v/>
      </c>
      <c r="R116" s="238" t="str">
        <f t="shared" si="15"/>
        <v/>
      </c>
      <c r="S116" s="392" t="str">
        <f>IFERROR(INDEX('G-1 All Habitats'!$B$3:$B$129,MATCH(R116,'G-1 All Habitats'!$A$3:$A$129,0)),"")</f>
        <v/>
      </c>
      <c r="T116" s="498" t="str">
        <f t="shared" si="16"/>
        <v/>
      </c>
      <c r="U116" s="499" t="str">
        <f t="shared" si="17"/>
        <v/>
      </c>
      <c r="V116" s="537" t="str">
        <f t="shared" si="11"/>
        <v/>
      </c>
      <c r="W116" s="520" t="str">
        <f>IF(S116="","",VLOOKUP(S116,'G-1 All Habitats'!$B$2:$M$129,10,FALSE))</f>
        <v/>
      </c>
      <c r="X116" s="520" t="str">
        <f>IFERROR(VLOOKUP(W116,'G-1 All Habitats'!$V$3:$W$7,2,FALSE),"")</f>
        <v/>
      </c>
      <c r="Y116" s="79"/>
      <c r="Z116" s="524" t="str">
        <f>IFERROR(INDEX('G-8 Condition Look up'!$A$3:$H$130,MATCH(S116,'G-8 Condition Look up'!$A$3:$A$130,0),MATCH(Y116,'G-8 Condition Look up'!$A$3:$H$3,0)),"")</f>
        <v/>
      </c>
      <c r="AA116" s="71"/>
      <c r="AB116" s="520" t="str">
        <f>IF(AA116="","",IF(VLOOKUP(AA116,'G-3 Multipliers'!$L$3:$N$6,2,FALSE)=0,"Spatial Data Missing ⚠",VLOOKUP(AA116,'G-3 Multipliers'!$L$3:$N$6,2,FALSE)))</f>
        <v/>
      </c>
      <c r="AC116" s="524" t="str">
        <f>IF(AA116="","",IF(VLOOKUP(AA116,'G-3 Multipliers'!$L$3:$N$6,3,FALSE)=0,"Spatial Data Missing ⚠",VLOOKUP(AA116,'G-3 Multipliers'!$L$3:$N$6,3,FALSE)))</f>
        <v/>
      </c>
      <c r="AD116" s="539" t="str">
        <f t="shared" si="12"/>
        <v/>
      </c>
      <c r="AE116" s="82"/>
      <c r="AF116" s="82"/>
      <c r="AG116" s="507" t="str">
        <f t="shared" si="18"/>
        <v/>
      </c>
      <c r="AH116" s="521" t="str">
        <f t="shared" si="19"/>
        <v/>
      </c>
      <c r="AI116" s="522" t="str">
        <f>IF(AH116="Check Data","Check Data",IFERROR(VLOOKUP(AH116,'G-4 Temporal multipliers'!$A$4:$C$36,3,FALSE),""))</f>
        <v/>
      </c>
      <c r="AJ116" s="498" t="str">
        <f>IF(S116="","",VLOOKUP(S116,'G-3 Multipliers'!$A$2:$E$129,4,FALSE))</f>
        <v/>
      </c>
      <c r="AK116" s="507" t="str">
        <f t="shared" si="20"/>
        <v/>
      </c>
      <c r="AL116" s="507" t="str">
        <f t="shared" si="21"/>
        <v/>
      </c>
      <c r="AM116" s="540" t="str">
        <f>IFERROR(IF(F116="","",IF(AH116="Check Data ⚠","Check Data ⚠",VLOOKUP(AL116, 'G-3 Multipliers'!$P$2:$Q$6,2,FALSE))),"")</f>
        <v/>
      </c>
      <c r="AN116" s="513" t="str">
        <f t="shared" si="13"/>
        <v/>
      </c>
      <c r="AO116" s="239"/>
      <c r="AP116" s="240"/>
    </row>
    <row r="117" spans="1:42" x14ac:dyDescent="0.3">
      <c r="A117" s="47" t="str">
        <f>IF(E117="","",IF(ISNA(VLOOKUP($E117,'A-1 Site Habitat Baseline'!$D$1:$O$258,2,FALSE)),"",(VLOOKUP($E117,'A-1 Site Habitat Baseline'!$D$1:$O$258,2,FALSE))))</f>
        <v/>
      </c>
      <c r="B117" s="47" t="str">
        <f>IF(E117="","",IF(ISNA(VLOOKUP($E117,'A-1 Site Habitat Baseline'!$D$1:$O$258,3,FALSE)),"",(VLOOKUP($E117,'A-1 Site Habitat Baseline'!$D$1:$O$258,3,FALSE))))</f>
        <v/>
      </c>
      <c r="C117" s="47" t="str">
        <f>IFERROR(INDEX('G-8 Condition Look up'!$I$4:$I$130,MATCH(S117,'G-8 Condition Look up'!$A$4:$A$130,0)),"")</f>
        <v/>
      </c>
      <c r="E117" s="531" t="str">
        <f>'A-1 Site Habitat Baseline'!AL116</f>
        <v/>
      </c>
      <c r="F117" s="520" t="str">
        <f>IF(E117="","",IF(ISNA(VLOOKUP($E117,'A-1 Site Habitat Baseline'!$D$1:$O$258,4,FALSE)),"",(VLOOKUP($E117,'A-1 Site Habitat Baseline'!$D$1:$O$258,4,FALSE))))</f>
        <v/>
      </c>
      <c r="G117" s="520" t="str">
        <f>IF(E117="","",IF(ISNA(VLOOKUP($E117,'A-1 Site Habitat Baseline'!$D$1:$O$258,5,FALSE)),"",(VLOOKUP($E117,'A-1 Site Habitat Baseline'!$D$1:$O$258,5,FALSE))))</f>
        <v/>
      </c>
      <c r="H117" s="520" t="str">
        <f>IF(E117="","",IF(ISNA(VLOOKUP($E117,'A-1 Site Habitat Baseline'!$D$1:$O$258,6,FALSE)),"",(VLOOKUP($E117,'A-1 Site Habitat Baseline'!$D$1:$O$258,6,FALSE))))</f>
        <v/>
      </c>
      <c r="I117" s="520" t="str">
        <f>IF(E117="","",IF(ISNA(VLOOKUP($E117,'A-1 Site Habitat Baseline'!$D$1:$O$258,7,FALSE)),"",(VLOOKUP($E117,'A-1 Site Habitat Baseline'!$D$1:$O$258,7,FALSE))))</f>
        <v/>
      </c>
      <c r="J117" s="520" t="str">
        <f>IF(E117="","",IF(ISNA(VLOOKUP($E117,'A-1 Site Habitat Baseline'!$D$1:$O$258,8,FALSE)),"",(VLOOKUP($E117,'A-1 Site Habitat Baseline'!$D$1:$O$258,8,FALSE))))</f>
        <v/>
      </c>
      <c r="K117" s="520" t="str">
        <f>IF(E117="","",IF(ISNA(VLOOKUP($E117,'A-1 Site Habitat Baseline'!$D$1:$O$258,9,FALSE)),"",(VLOOKUP($E117,'A-1 Site Habitat Baseline'!$D$1:$O$258,9,FALSE))))</f>
        <v/>
      </c>
      <c r="L117" s="520" t="str">
        <f>IF(E117="","",IF(ISNA(VLOOKUP($E117,'A-1 Site Habitat Baseline'!$D$1:$O$258,11,FALSE)),"",(VLOOKUP($E117,'A-1 Site Habitat Baseline'!$D$1:$O$258,11,FALSE))))</f>
        <v/>
      </c>
      <c r="M117" s="520" t="str">
        <f>IF(E117="","",IF(ISNA(VLOOKUP($E117,'A-1 Site Habitat Baseline'!$D$1:$O$258,12,FALSE)),"",(VLOOKUP($E117,'A-1 Site Habitat Baseline'!$D$1:$O$258,12,FALSE))))</f>
        <v/>
      </c>
      <c r="N117" s="532" t="str">
        <f>IF(E117="","",IF(ISNA(VLOOKUP($E117,'A-1 Site Habitat Baseline'!$D$1:$X$258,14,FALSE)),"",(VLOOKUP($E117,'A-1 Site Habitat Baseline'!$D$1:$X$258,14,FALSE))))</f>
        <v/>
      </c>
      <c r="O117" s="524" t="str">
        <f>IF(E117="","",IF(ISNA(VLOOKUP($E117,'A-1 Site Habitat Baseline'!$D$1:$X$258,16,FALSE)),"",(VLOOKUP($E117,'A-1 Site Habitat Baseline'!$D$1:$X$258,13,FALSE))))</f>
        <v/>
      </c>
      <c r="P117" s="237" t="str">
        <f>IFERROR(INDEX('G-1 All Habitats'!$AG$3:$AG$15,MATCH(Q117,'G-1 All Habitats'!$AF$3:$AF$15,0)),"")</f>
        <v/>
      </c>
      <c r="Q117" s="238" t="str">
        <f t="shared" si="14"/>
        <v/>
      </c>
      <c r="R117" s="238" t="str">
        <f t="shared" si="15"/>
        <v/>
      </c>
      <c r="S117" s="392" t="str">
        <f>IFERROR(INDEX('G-1 All Habitats'!$B$3:$B$129,MATCH(R117,'G-1 All Habitats'!$A$3:$A$129,0)),"")</f>
        <v/>
      </c>
      <c r="T117" s="498" t="str">
        <f t="shared" si="16"/>
        <v/>
      </c>
      <c r="U117" s="499" t="str">
        <f t="shared" si="17"/>
        <v/>
      </c>
      <c r="V117" s="537" t="str">
        <f t="shared" si="11"/>
        <v/>
      </c>
      <c r="W117" s="520" t="str">
        <f>IF(S117="","",VLOOKUP(S117,'G-1 All Habitats'!$B$2:$M$129,10,FALSE))</f>
        <v/>
      </c>
      <c r="X117" s="520" t="str">
        <f>IFERROR(VLOOKUP(W117,'G-1 All Habitats'!$V$3:$W$7,2,FALSE),"")</f>
        <v/>
      </c>
      <c r="Y117" s="79"/>
      <c r="Z117" s="524" t="str">
        <f>IFERROR(INDEX('G-8 Condition Look up'!$A$3:$H$130,MATCH(S117,'G-8 Condition Look up'!$A$3:$A$130,0),MATCH(Y117,'G-8 Condition Look up'!$A$3:$H$3,0)),"")</f>
        <v/>
      </c>
      <c r="AA117" s="71"/>
      <c r="AB117" s="520" t="str">
        <f>IF(AA117="","",IF(VLOOKUP(AA117,'G-3 Multipliers'!$L$3:$N$6,2,FALSE)=0,"Spatial Data Missing ⚠",VLOOKUP(AA117,'G-3 Multipliers'!$L$3:$N$6,2,FALSE)))</f>
        <v/>
      </c>
      <c r="AC117" s="524" t="str">
        <f>IF(AA117="","",IF(VLOOKUP(AA117,'G-3 Multipliers'!$L$3:$N$6,3,FALSE)=0,"Spatial Data Missing ⚠",VLOOKUP(AA117,'G-3 Multipliers'!$L$3:$N$6,3,FALSE)))</f>
        <v/>
      </c>
      <c r="AD117" s="539" t="str">
        <f t="shared" si="12"/>
        <v/>
      </c>
      <c r="AE117" s="82"/>
      <c r="AF117" s="82"/>
      <c r="AG117" s="507" t="str">
        <f t="shared" si="18"/>
        <v/>
      </c>
      <c r="AH117" s="521" t="str">
        <f t="shared" si="19"/>
        <v/>
      </c>
      <c r="AI117" s="522" t="str">
        <f>IF(AH117="Check Data","Check Data",IFERROR(VLOOKUP(AH117,'G-4 Temporal multipliers'!$A$4:$C$36,3,FALSE),""))</f>
        <v/>
      </c>
      <c r="AJ117" s="498" t="str">
        <f>IF(S117="","",VLOOKUP(S117,'G-3 Multipliers'!$A$2:$E$129,4,FALSE))</f>
        <v/>
      </c>
      <c r="AK117" s="507" t="str">
        <f t="shared" si="20"/>
        <v/>
      </c>
      <c r="AL117" s="507" t="str">
        <f t="shared" si="21"/>
        <v/>
      </c>
      <c r="AM117" s="540" t="str">
        <f>IFERROR(IF(F117="","",IF(AH117="Check Data ⚠","Check Data ⚠",VLOOKUP(AL117, 'G-3 Multipliers'!$P$2:$Q$6,2,FALSE))),"")</f>
        <v/>
      </c>
      <c r="AN117" s="513" t="str">
        <f t="shared" si="13"/>
        <v/>
      </c>
      <c r="AO117" s="239"/>
      <c r="AP117" s="240"/>
    </row>
    <row r="118" spans="1:42" x14ac:dyDescent="0.3">
      <c r="A118" s="47" t="str">
        <f>IF(E118="","",IF(ISNA(VLOOKUP($E118,'A-1 Site Habitat Baseline'!$D$1:$O$258,2,FALSE)),"",(VLOOKUP($E118,'A-1 Site Habitat Baseline'!$D$1:$O$258,2,FALSE))))</f>
        <v/>
      </c>
      <c r="B118" s="47" t="str">
        <f>IF(E118="","",IF(ISNA(VLOOKUP($E118,'A-1 Site Habitat Baseline'!$D$1:$O$258,3,FALSE)),"",(VLOOKUP($E118,'A-1 Site Habitat Baseline'!$D$1:$O$258,3,FALSE))))</f>
        <v/>
      </c>
      <c r="C118" s="47" t="str">
        <f>IFERROR(INDEX('G-8 Condition Look up'!$I$4:$I$130,MATCH(S118,'G-8 Condition Look up'!$A$4:$A$130,0)),"")</f>
        <v/>
      </c>
      <c r="E118" s="531" t="str">
        <f>'A-1 Site Habitat Baseline'!AL117</f>
        <v/>
      </c>
      <c r="F118" s="520" t="str">
        <f>IF(E118="","",IF(ISNA(VLOOKUP($E118,'A-1 Site Habitat Baseline'!$D$1:$O$258,4,FALSE)),"",(VLOOKUP($E118,'A-1 Site Habitat Baseline'!$D$1:$O$258,4,FALSE))))</f>
        <v/>
      </c>
      <c r="G118" s="520" t="str">
        <f>IF(E118="","",IF(ISNA(VLOOKUP($E118,'A-1 Site Habitat Baseline'!$D$1:$O$258,5,FALSE)),"",(VLOOKUP($E118,'A-1 Site Habitat Baseline'!$D$1:$O$258,5,FALSE))))</f>
        <v/>
      </c>
      <c r="H118" s="520" t="str">
        <f>IF(E118="","",IF(ISNA(VLOOKUP($E118,'A-1 Site Habitat Baseline'!$D$1:$O$258,6,FALSE)),"",(VLOOKUP($E118,'A-1 Site Habitat Baseline'!$D$1:$O$258,6,FALSE))))</f>
        <v/>
      </c>
      <c r="I118" s="520" t="str">
        <f>IF(E118="","",IF(ISNA(VLOOKUP($E118,'A-1 Site Habitat Baseline'!$D$1:$O$258,7,FALSE)),"",(VLOOKUP($E118,'A-1 Site Habitat Baseline'!$D$1:$O$258,7,FALSE))))</f>
        <v/>
      </c>
      <c r="J118" s="520" t="str">
        <f>IF(E118="","",IF(ISNA(VLOOKUP($E118,'A-1 Site Habitat Baseline'!$D$1:$O$258,8,FALSE)),"",(VLOOKUP($E118,'A-1 Site Habitat Baseline'!$D$1:$O$258,8,FALSE))))</f>
        <v/>
      </c>
      <c r="K118" s="520" t="str">
        <f>IF(E118="","",IF(ISNA(VLOOKUP($E118,'A-1 Site Habitat Baseline'!$D$1:$O$258,9,FALSE)),"",(VLOOKUP($E118,'A-1 Site Habitat Baseline'!$D$1:$O$258,9,FALSE))))</f>
        <v/>
      </c>
      <c r="L118" s="520" t="str">
        <f>IF(E118="","",IF(ISNA(VLOOKUP($E118,'A-1 Site Habitat Baseline'!$D$1:$O$258,11,FALSE)),"",(VLOOKUP($E118,'A-1 Site Habitat Baseline'!$D$1:$O$258,11,FALSE))))</f>
        <v/>
      </c>
      <c r="M118" s="520" t="str">
        <f>IF(E118="","",IF(ISNA(VLOOKUP($E118,'A-1 Site Habitat Baseline'!$D$1:$O$258,12,FALSE)),"",(VLOOKUP($E118,'A-1 Site Habitat Baseline'!$D$1:$O$258,12,FALSE))))</f>
        <v/>
      </c>
      <c r="N118" s="532" t="str">
        <f>IF(E118="","",IF(ISNA(VLOOKUP($E118,'A-1 Site Habitat Baseline'!$D$1:$X$258,14,FALSE)),"",(VLOOKUP($E118,'A-1 Site Habitat Baseline'!$D$1:$X$258,14,FALSE))))</f>
        <v/>
      </c>
      <c r="O118" s="524" t="str">
        <f>IF(E118="","",IF(ISNA(VLOOKUP($E118,'A-1 Site Habitat Baseline'!$D$1:$X$258,16,FALSE)),"",(VLOOKUP($E118,'A-1 Site Habitat Baseline'!$D$1:$X$258,13,FALSE))))</f>
        <v/>
      </c>
      <c r="P118" s="237" t="str">
        <f>IFERROR(INDEX('G-1 All Habitats'!$AG$3:$AG$15,MATCH(Q118,'G-1 All Habitats'!$AF$3:$AF$15,0)),"")</f>
        <v/>
      </c>
      <c r="Q118" s="238" t="str">
        <f t="shared" si="14"/>
        <v/>
      </c>
      <c r="R118" s="238" t="str">
        <f t="shared" si="15"/>
        <v/>
      </c>
      <c r="S118" s="392" t="str">
        <f>IFERROR(INDEX('G-1 All Habitats'!$B$3:$B$129,MATCH(R118,'G-1 All Habitats'!$A$3:$A$129,0)),"")</f>
        <v/>
      </c>
      <c r="T118" s="498" t="str">
        <f t="shared" si="16"/>
        <v/>
      </c>
      <c r="U118" s="499" t="str">
        <f t="shared" si="17"/>
        <v/>
      </c>
      <c r="V118" s="537" t="str">
        <f t="shared" si="11"/>
        <v/>
      </c>
      <c r="W118" s="520" t="str">
        <f>IF(S118="","",VLOOKUP(S118,'G-1 All Habitats'!$B$2:$M$129,10,FALSE))</f>
        <v/>
      </c>
      <c r="X118" s="520" t="str">
        <f>IFERROR(VLOOKUP(W118,'G-1 All Habitats'!$V$3:$W$7,2,FALSE),"")</f>
        <v/>
      </c>
      <c r="Y118" s="79"/>
      <c r="Z118" s="524" t="str">
        <f>IFERROR(INDEX('G-8 Condition Look up'!$A$3:$H$130,MATCH(S118,'G-8 Condition Look up'!$A$3:$A$130,0),MATCH(Y118,'G-8 Condition Look up'!$A$3:$H$3,0)),"")</f>
        <v/>
      </c>
      <c r="AA118" s="71"/>
      <c r="AB118" s="520" t="str">
        <f>IF(AA118="","",IF(VLOOKUP(AA118,'G-3 Multipliers'!$L$3:$N$6,2,FALSE)=0,"Spatial Data Missing ⚠",VLOOKUP(AA118,'G-3 Multipliers'!$L$3:$N$6,2,FALSE)))</f>
        <v/>
      </c>
      <c r="AC118" s="524" t="str">
        <f>IF(AA118="","",IF(VLOOKUP(AA118,'G-3 Multipliers'!$L$3:$N$6,3,FALSE)=0,"Spatial Data Missing ⚠",VLOOKUP(AA118,'G-3 Multipliers'!$L$3:$N$6,3,FALSE)))</f>
        <v/>
      </c>
      <c r="AD118" s="539" t="str">
        <f t="shared" si="12"/>
        <v/>
      </c>
      <c r="AE118" s="82"/>
      <c r="AF118" s="82"/>
      <c r="AG118" s="507" t="str">
        <f t="shared" si="18"/>
        <v/>
      </c>
      <c r="AH118" s="521" t="str">
        <f t="shared" si="19"/>
        <v/>
      </c>
      <c r="AI118" s="522" t="str">
        <f>IF(AH118="Check Data","Check Data",IFERROR(VLOOKUP(AH118,'G-4 Temporal multipliers'!$A$4:$C$36,3,FALSE),""))</f>
        <v/>
      </c>
      <c r="AJ118" s="498" t="str">
        <f>IF(S118="","",VLOOKUP(S118,'G-3 Multipliers'!$A$2:$E$129,4,FALSE))</f>
        <v/>
      </c>
      <c r="AK118" s="507" t="str">
        <f t="shared" si="20"/>
        <v/>
      </c>
      <c r="AL118" s="507" t="str">
        <f t="shared" si="21"/>
        <v/>
      </c>
      <c r="AM118" s="540" t="str">
        <f>IFERROR(IF(F118="","",IF(AH118="Check Data ⚠","Check Data ⚠",VLOOKUP(AL118, 'G-3 Multipliers'!$P$2:$Q$6,2,FALSE))),"")</f>
        <v/>
      </c>
      <c r="AN118" s="513" t="str">
        <f t="shared" si="13"/>
        <v/>
      </c>
      <c r="AO118" s="239"/>
      <c r="AP118" s="240"/>
    </row>
    <row r="119" spans="1:42" x14ac:dyDescent="0.3">
      <c r="A119" s="47" t="str">
        <f>IF(E119="","",IF(ISNA(VLOOKUP($E119,'A-1 Site Habitat Baseline'!$D$1:$O$258,2,FALSE)),"",(VLOOKUP($E119,'A-1 Site Habitat Baseline'!$D$1:$O$258,2,FALSE))))</f>
        <v/>
      </c>
      <c r="B119" s="47" t="str">
        <f>IF(E119="","",IF(ISNA(VLOOKUP($E119,'A-1 Site Habitat Baseline'!$D$1:$O$258,3,FALSE)),"",(VLOOKUP($E119,'A-1 Site Habitat Baseline'!$D$1:$O$258,3,FALSE))))</f>
        <v/>
      </c>
      <c r="C119" s="47" t="str">
        <f>IFERROR(INDEX('G-8 Condition Look up'!$I$4:$I$130,MATCH(S119,'G-8 Condition Look up'!$A$4:$A$130,0)),"")</f>
        <v/>
      </c>
      <c r="E119" s="531" t="str">
        <f>'A-1 Site Habitat Baseline'!AL118</f>
        <v/>
      </c>
      <c r="F119" s="520" t="str">
        <f>IF(E119="","",IF(ISNA(VLOOKUP($E119,'A-1 Site Habitat Baseline'!$D$1:$O$258,4,FALSE)),"",(VLOOKUP($E119,'A-1 Site Habitat Baseline'!$D$1:$O$258,4,FALSE))))</f>
        <v/>
      </c>
      <c r="G119" s="520" t="str">
        <f>IF(E119="","",IF(ISNA(VLOOKUP($E119,'A-1 Site Habitat Baseline'!$D$1:$O$258,5,FALSE)),"",(VLOOKUP($E119,'A-1 Site Habitat Baseline'!$D$1:$O$258,5,FALSE))))</f>
        <v/>
      </c>
      <c r="H119" s="520" t="str">
        <f>IF(E119="","",IF(ISNA(VLOOKUP($E119,'A-1 Site Habitat Baseline'!$D$1:$O$258,6,FALSE)),"",(VLOOKUP($E119,'A-1 Site Habitat Baseline'!$D$1:$O$258,6,FALSE))))</f>
        <v/>
      </c>
      <c r="I119" s="520" t="str">
        <f>IF(E119="","",IF(ISNA(VLOOKUP($E119,'A-1 Site Habitat Baseline'!$D$1:$O$258,7,FALSE)),"",(VLOOKUP($E119,'A-1 Site Habitat Baseline'!$D$1:$O$258,7,FALSE))))</f>
        <v/>
      </c>
      <c r="J119" s="520" t="str">
        <f>IF(E119="","",IF(ISNA(VLOOKUP($E119,'A-1 Site Habitat Baseline'!$D$1:$O$258,8,FALSE)),"",(VLOOKUP($E119,'A-1 Site Habitat Baseline'!$D$1:$O$258,8,FALSE))))</f>
        <v/>
      </c>
      <c r="K119" s="520" t="str">
        <f>IF(E119="","",IF(ISNA(VLOOKUP($E119,'A-1 Site Habitat Baseline'!$D$1:$O$258,9,FALSE)),"",(VLOOKUP($E119,'A-1 Site Habitat Baseline'!$D$1:$O$258,9,FALSE))))</f>
        <v/>
      </c>
      <c r="L119" s="520" t="str">
        <f>IF(E119="","",IF(ISNA(VLOOKUP($E119,'A-1 Site Habitat Baseline'!$D$1:$O$258,11,FALSE)),"",(VLOOKUP($E119,'A-1 Site Habitat Baseline'!$D$1:$O$258,11,FALSE))))</f>
        <v/>
      </c>
      <c r="M119" s="520" t="str">
        <f>IF(E119="","",IF(ISNA(VLOOKUP($E119,'A-1 Site Habitat Baseline'!$D$1:$O$258,12,FALSE)),"",(VLOOKUP($E119,'A-1 Site Habitat Baseline'!$D$1:$O$258,12,FALSE))))</f>
        <v/>
      </c>
      <c r="N119" s="532" t="str">
        <f>IF(E119="","",IF(ISNA(VLOOKUP($E119,'A-1 Site Habitat Baseline'!$D$1:$X$258,14,FALSE)),"",(VLOOKUP($E119,'A-1 Site Habitat Baseline'!$D$1:$X$258,14,FALSE))))</f>
        <v/>
      </c>
      <c r="O119" s="524" t="str">
        <f>IF(E119="","",IF(ISNA(VLOOKUP($E119,'A-1 Site Habitat Baseline'!$D$1:$X$258,16,FALSE)),"",(VLOOKUP($E119,'A-1 Site Habitat Baseline'!$D$1:$X$258,13,FALSE))))</f>
        <v/>
      </c>
      <c r="P119" s="237" t="str">
        <f>IFERROR(INDEX('G-1 All Habitats'!$AG$3:$AG$15,MATCH(Q119,'G-1 All Habitats'!$AF$3:$AF$15,0)),"")</f>
        <v/>
      </c>
      <c r="Q119" s="238" t="str">
        <f t="shared" si="14"/>
        <v/>
      </c>
      <c r="R119" s="238" t="str">
        <f t="shared" si="15"/>
        <v/>
      </c>
      <c r="S119" s="392" t="str">
        <f>IFERROR(INDEX('G-1 All Habitats'!$B$3:$B$129,MATCH(R119,'G-1 All Habitats'!$A$3:$A$129,0)),"")</f>
        <v/>
      </c>
      <c r="T119" s="498" t="str">
        <f t="shared" si="16"/>
        <v/>
      </c>
      <c r="U119" s="499" t="str">
        <f t="shared" si="17"/>
        <v/>
      </c>
      <c r="V119" s="537" t="str">
        <f t="shared" si="11"/>
        <v/>
      </c>
      <c r="W119" s="520" t="str">
        <f>IF(S119="","",VLOOKUP(S119,'G-1 All Habitats'!$B$2:$M$129,10,FALSE))</f>
        <v/>
      </c>
      <c r="X119" s="520" t="str">
        <f>IFERROR(VLOOKUP(W119,'G-1 All Habitats'!$V$3:$W$7,2,FALSE),"")</f>
        <v/>
      </c>
      <c r="Y119" s="79"/>
      <c r="Z119" s="524" t="str">
        <f>IFERROR(INDEX('G-8 Condition Look up'!$A$3:$H$130,MATCH(S119,'G-8 Condition Look up'!$A$3:$A$130,0),MATCH(Y119,'G-8 Condition Look up'!$A$3:$H$3,0)),"")</f>
        <v/>
      </c>
      <c r="AA119" s="71"/>
      <c r="AB119" s="520" t="str">
        <f>IF(AA119="","",IF(VLOOKUP(AA119,'G-3 Multipliers'!$L$3:$N$6,2,FALSE)=0,"Spatial Data Missing ⚠",VLOOKUP(AA119,'G-3 Multipliers'!$L$3:$N$6,2,FALSE)))</f>
        <v/>
      </c>
      <c r="AC119" s="524" t="str">
        <f>IF(AA119="","",IF(VLOOKUP(AA119,'G-3 Multipliers'!$L$3:$N$6,3,FALSE)=0,"Spatial Data Missing ⚠",VLOOKUP(AA119,'G-3 Multipliers'!$L$3:$N$6,3,FALSE)))</f>
        <v/>
      </c>
      <c r="AD119" s="539" t="str">
        <f t="shared" si="12"/>
        <v/>
      </c>
      <c r="AE119" s="82"/>
      <c r="AF119" s="82"/>
      <c r="AG119" s="507" t="str">
        <f t="shared" si="18"/>
        <v/>
      </c>
      <c r="AH119" s="521" t="str">
        <f t="shared" si="19"/>
        <v/>
      </c>
      <c r="AI119" s="522" t="str">
        <f>IF(AH119="Check Data","Check Data",IFERROR(VLOOKUP(AH119,'G-4 Temporal multipliers'!$A$4:$C$36,3,FALSE),""))</f>
        <v/>
      </c>
      <c r="AJ119" s="498" t="str">
        <f>IF(S119="","",VLOOKUP(S119,'G-3 Multipliers'!$A$2:$E$129,4,FALSE))</f>
        <v/>
      </c>
      <c r="AK119" s="507" t="str">
        <f t="shared" si="20"/>
        <v/>
      </c>
      <c r="AL119" s="507" t="str">
        <f t="shared" si="21"/>
        <v/>
      </c>
      <c r="AM119" s="540" t="str">
        <f>IFERROR(IF(F119="","",IF(AH119="Check Data ⚠","Check Data ⚠",VLOOKUP(AL119, 'G-3 Multipliers'!$P$2:$Q$6,2,FALSE))),"")</f>
        <v/>
      </c>
      <c r="AN119" s="513" t="str">
        <f t="shared" si="13"/>
        <v/>
      </c>
      <c r="AO119" s="239"/>
      <c r="AP119" s="240"/>
    </row>
    <row r="120" spans="1:42" x14ac:dyDescent="0.3">
      <c r="A120" s="47" t="str">
        <f>IF(E120="","",IF(ISNA(VLOOKUP($E120,'A-1 Site Habitat Baseline'!$D$1:$O$258,2,FALSE)),"",(VLOOKUP($E120,'A-1 Site Habitat Baseline'!$D$1:$O$258,2,FALSE))))</f>
        <v/>
      </c>
      <c r="B120" s="47" t="str">
        <f>IF(E120="","",IF(ISNA(VLOOKUP($E120,'A-1 Site Habitat Baseline'!$D$1:$O$258,3,FALSE)),"",(VLOOKUP($E120,'A-1 Site Habitat Baseline'!$D$1:$O$258,3,FALSE))))</f>
        <v/>
      </c>
      <c r="C120" s="47" t="str">
        <f>IFERROR(INDEX('G-8 Condition Look up'!$I$4:$I$130,MATCH(S120,'G-8 Condition Look up'!$A$4:$A$130,0)),"")</f>
        <v/>
      </c>
      <c r="E120" s="531" t="str">
        <f>'A-1 Site Habitat Baseline'!AL119</f>
        <v/>
      </c>
      <c r="F120" s="520" t="str">
        <f>IF(E120="","",IF(ISNA(VLOOKUP($E120,'A-1 Site Habitat Baseline'!$D$1:$O$258,4,FALSE)),"",(VLOOKUP($E120,'A-1 Site Habitat Baseline'!$D$1:$O$258,4,FALSE))))</f>
        <v/>
      </c>
      <c r="G120" s="520" t="str">
        <f>IF(E120="","",IF(ISNA(VLOOKUP($E120,'A-1 Site Habitat Baseline'!$D$1:$O$258,5,FALSE)),"",(VLOOKUP($E120,'A-1 Site Habitat Baseline'!$D$1:$O$258,5,FALSE))))</f>
        <v/>
      </c>
      <c r="H120" s="520" t="str">
        <f>IF(E120="","",IF(ISNA(VLOOKUP($E120,'A-1 Site Habitat Baseline'!$D$1:$O$258,6,FALSE)),"",(VLOOKUP($E120,'A-1 Site Habitat Baseline'!$D$1:$O$258,6,FALSE))))</f>
        <v/>
      </c>
      <c r="I120" s="520" t="str">
        <f>IF(E120="","",IF(ISNA(VLOOKUP($E120,'A-1 Site Habitat Baseline'!$D$1:$O$258,7,FALSE)),"",(VLOOKUP($E120,'A-1 Site Habitat Baseline'!$D$1:$O$258,7,FALSE))))</f>
        <v/>
      </c>
      <c r="J120" s="520" t="str">
        <f>IF(E120="","",IF(ISNA(VLOOKUP($E120,'A-1 Site Habitat Baseline'!$D$1:$O$258,8,FALSE)),"",(VLOOKUP($E120,'A-1 Site Habitat Baseline'!$D$1:$O$258,8,FALSE))))</f>
        <v/>
      </c>
      <c r="K120" s="520" t="str">
        <f>IF(E120="","",IF(ISNA(VLOOKUP($E120,'A-1 Site Habitat Baseline'!$D$1:$O$258,9,FALSE)),"",(VLOOKUP($E120,'A-1 Site Habitat Baseline'!$D$1:$O$258,9,FALSE))))</f>
        <v/>
      </c>
      <c r="L120" s="520" t="str">
        <f>IF(E120="","",IF(ISNA(VLOOKUP($E120,'A-1 Site Habitat Baseline'!$D$1:$O$258,11,FALSE)),"",(VLOOKUP($E120,'A-1 Site Habitat Baseline'!$D$1:$O$258,11,FALSE))))</f>
        <v/>
      </c>
      <c r="M120" s="520" t="str">
        <f>IF(E120="","",IF(ISNA(VLOOKUP($E120,'A-1 Site Habitat Baseline'!$D$1:$O$258,12,FALSE)),"",(VLOOKUP($E120,'A-1 Site Habitat Baseline'!$D$1:$O$258,12,FALSE))))</f>
        <v/>
      </c>
      <c r="N120" s="532" t="str">
        <f>IF(E120="","",IF(ISNA(VLOOKUP($E120,'A-1 Site Habitat Baseline'!$D$1:$X$258,14,FALSE)),"",(VLOOKUP($E120,'A-1 Site Habitat Baseline'!$D$1:$X$258,14,FALSE))))</f>
        <v/>
      </c>
      <c r="O120" s="524" t="str">
        <f>IF(E120="","",IF(ISNA(VLOOKUP($E120,'A-1 Site Habitat Baseline'!$D$1:$X$258,16,FALSE)),"",(VLOOKUP($E120,'A-1 Site Habitat Baseline'!$D$1:$X$258,13,FALSE))))</f>
        <v/>
      </c>
      <c r="P120" s="237" t="str">
        <f>IFERROR(INDEX('G-1 All Habitats'!$AG$3:$AG$15,MATCH(Q120,'G-1 All Habitats'!$AF$3:$AF$15,0)),"")</f>
        <v/>
      </c>
      <c r="Q120" s="238" t="str">
        <f t="shared" si="14"/>
        <v/>
      </c>
      <c r="R120" s="238" t="str">
        <f t="shared" si="15"/>
        <v/>
      </c>
      <c r="S120" s="392" t="str">
        <f>IFERROR(INDEX('G-1 All Habitats'!$B$3:$B$129,MATCH(R120,'G-1 All Habitats'!$A$3:$A$129,0)),"")</f>
        <v/>
      </c>
      <c r="T120" s="498" t="str">
        <f t="shared" si="16"/>
        <v/>
      </c>
      <c r="U120" s="499" t="str">
        <f t="shared" si="17"/>
        <v/>
      </c>
      <c r="V120" s="537" t="str">
        <f t="shared" si="11"/>
        <v/>
      </c>
      <c r="W120" s="520" t="str">
        <f>IF(S120="","",VLOOKUP(S120,'G-1 All Habitats'!$B$2:$M$129,10,FALSE))</f>
        <v/>
      </c>
      <c r="X120" s="520" t="str">
        <f>IFERROR(VLOOKUP(W120,'G-1 All Habitats'!$V$3:$W$7,2,FALSE),"")</f>
        <v/>
      </c>
      <c r="Y120" s="79"/>
      <c r="Z120" s="524" t="str">
        <f>IFERROR(INDEX('G-8 Condition Look up'!$A$3:$H$130,MATCH(S120,'G-8 Condition Look up'!$A$3:$A$130,0),MATCH(Y120,'G-8 Condition Look up'!$A$3:$H$3,0)),"")</f>
        <v/>
      </c>
      <c r="AA120" s="71"/>
      <c r="AB120" s="520" t="str">
        <f>IF(AA120="","",IF(VLOOKUP(AA120,'G-3 Multipliers'!$L$3:$N$6,2,FALSE)=0,"Spatial Data Missing ⚠",VLOOKUP(AA120,'G-3 Multipliers'!$L$3:$N$6,2,FALSE)))</f>
        <v/>
      </c>
      <c r="AC120" s="524" t="str">
        <f>IF(AA120="","",IF(VLOOKUP(AA120,'G-3 Multipliers'!$L$3:$N$6,3,FALSE)=0,"Spatial Data Missing ⚠",VLOOKUP(AA120,'G-3 Multipliers'!$L$3:$N$6,3,FALSE)))</f>
        <v/>
      </c>
      <c r="AD120" s="539" t="str">
        <f t="shared" si="12"/>
        <v/>
      </c>
      <c r="AE120" s="82"/>
      <c r="AF120" s="82"/>
      <c r="AG120" s="507" t="str">
        <f t="shared" si="18"/>
        <v/>
      </c>
      <c r="AH120" s="521" t="str">
        <f t="shared" si="19"/>
        <v/>
      </c>
      <c r="AI120" s="522" t="str">
        <f>IF(AH120="Check Data","Check Data",IFERROR(VLOOKUP(AH120,'G-4 Temporal multipliers'!$A$4:$C$36,3,FALSE),""))</f>
        <v/>
      </c>
      <c r="AJ120" s="498" t="str">
        <f>IF(S120="","",VLOOKUP(S120,'G-3 Multipliers'!$A$2:$E$129,4,FALSE))</f>
        <v/>
      </c>
      <c r="AK120" s="507" t="str">
        <f t="shared" si="20"/>
        <v/>
      </c>
      <c r="AL120" s="507" t="str">
        <f t="shared" si="21"/>
        <v/>
      </c>
      <c r="AM120" s="540" t="str">
        <f>IFERROR(IF(F120="","",IF(AH120="Check Data ⚠","Check Data ⚠",VLOOKUP(AL120, 'G-3 Multipliers'!$P$2:$Q$6,2,FALSE))),"")</f>
        <v/>
      </c>
      <c r="AN120" s="513" t="str">
        <f t="shared" si="13"/>
        <v/>
      </c>
      <c r="AO120" s="239"/>
      <c r="AP120" s="240"/>
    </row>
    <row r="121" spans="1:42" x14ac:dyDescent="0.3">
      <c r="A121" s="47" t="str">
        <f>IF(E121="","",IF(ISNA(VLOOKUP($E121,'A-1 Site Habitat Baseline'!$D$1:$O$258,2,FALSE)),"",(VLOOKUP($E121,'A-1 Site Habitat Baseline'!$D$1:$O$258,2,FALSE))))</f>
        <v/>
      </c>
      <c r="B121" s="47" t="str">
        <f>IF(E121="","",IF(ISNA(VLOOKUP($E121,'A-1 Site Habitat Baseline'!$D$1:$O$258,3,FALSE)),"",(VLOOKUP($E121,'A-1 Site Habitat Baseline'!$D$1:$O$258,3,FALSE))))</f>
        <v/>
      </c>
      <c r="C121" s="47" t="str">
        <f>IFERROR(INDEX('G-8 Condition Look up'!$I$4:$I$130,MATCH(S121,'G-8 Condition Look up'!$A$4:$A$130,0)),"")</f>
        <v/>
      </c>
      <c r="E121" s="531" t="str">
        <f>'A-1 Site Habitat Baseline'!AL120</f>
        <v/>
      </c>
      <c r="F121" s="520" t="str">
        <f>IF(E121="","",IF(ISNA(VLOOKUP($E121,'A-1 Site Habitat Baseline'!$D$1:$O$258,4,FALSE)),"",(VLOOKUP($E121,'A-1 Site Habitat Baseline'!$D$1:$O$258,4,FALSE))))</f>
        <v/>
      </c>
      <c r="G121" s="520" t="str">
        <f>IF(E121="","",IF(ISNA(VLOOKUP($E121,'A-1 Site Habitat Baseline'!$D$1:$O$258,5,FALSE)),"",(VLOOKUP($E121,'A-1 Site Habitat Baseline'!$D$1:$O$258,5,FALSE))))</f>
        <v/>
      </c>
      <c r="H121" s="520" t="str">
        <f>IF(E121="","",IF(ISNA(VLOOKUP($E121,'A-1 Site Habitat Baseline'!$D$1:$O$258,6,FALSE)),"",(VLOOKUP($E121,'A-1 Site Habitat Baseline'!$D$1:$O$258,6,FALSE))))</f>
        <v/>
      </c>
      <c r="I121" s="520" t="str">
        <f>IF(E121="","",IF(ISNA(VLOOKUP($E121,'A-1 Site Habitat Baseline'!$D$1:$O$258,7,FALSE)),"",(VLOOKUP($E121,'A-1 Site Habitat Baseline'!$D$1:$O$258,7,FALSE))))</f>
        <v/>
      </c>
      <c r="J121" s="520" t="str">
        <f>IF(E121="","",IF(ISNA(VLOOKUP($E121,'A-1 Site Habitat Baseline'!$D$1:$O$258,8,FALSE)),"",(VLOOKUP($E121,'A-1 Site Habitat Baseline'!$D$1:$O$258,8,FALSE))))</f>
        <v/>
      </c>
      <c r="K121" s="520" t="str">
        <f>IF(E121="","",IF(ISNA(VLOOKUP($E121,'A-1 Site Habitat Baseline'!$D$1:$O$258,9,FALSE)),"",(VLOOKUP($E121,'A-1 Site Habitat Baseline'!$D$1:$O$258,9,FALSE))))</f>
        <v/>
      </c>
      <c r="L121" s="520" t="str">
        <f>IF(E121="","",IF(ISNA(VLOOKUP($E121,'A-1 Site Habitat Baseline'!$D$1:$O$258,11,FALSE)),"",(VLOOKUP($E121,'A-1 Site Habitat Baseline'!$D$1:$O$258,11,FALSE))))</f>
        <v/>
      </c>
      <c r="M121" s="520" t="str">
        <f>IF(E121="","",IF(ISNA(VLOOKUP($E121,'A-1 Site Habitat Baseline'!$D$1:$O$258,12,FALSE)),"",(VLOOKUP($E121,'A-1 Site Habitat Baseline'!$D$1:$O$258,12,FALSE))))</f>
        <v/>
      </c>
      <c r="N121" s="532" t="str">
        <f>IF(E121="","",IF(ISNA(VLOOKUP($E121,'A-1 Site Habitat Baseline'!$D$1:$X$258,14,FALSE)),"",(VLOOKUP($E121,'A-1 Site Habitat Baseline'!$D$1:$X$258,14,FALSE))))</f>
        <v/>
      </c>
      <c r="O121" s="524" t="str">
        <f>IF(E121="","",IF(ISNA(VLOOKUP($E121,'A-1 Site Habitat Baseline'!$D$1:$X$258,16,FALSE)),"",(VLOOKUP($E121,'A-1 Site Habitat Baseline'!$D$1:$X$258,13,FALSE))))</f>
        <v/>
      </c>
      <c r="P121" s="237" t="str">
        <f>IFERROR(INDEX('G-1 All Habitats'!$AG$3:$AG$15,MATCH(Q121,'G-1 All Habitats'!$AF$3:$AF$15,0)),"")</f>
        <v/>
      </c>
      <c r="Q121" s="238" t="str">
        <f t="shared" si="14"/>
        <v/>
      </c>
      <c r="R121" s="238" t="str">
        <f t="shared" si="15"/>
        <v/>
      </c>
      <c r="S121" s="392" t="str">
        <f>IFERROR(INDEX('G-1 All Habitats'!$B$3:$B$129,MATCH(R121,'G-1 All Habitats'!$A$3:$A$129,0)),"")</f>
        <v/>
      </c>
      <c r="T121" s="498" t="str">
        <f t="shared" si="16"/>
        <v/>
      </c>
      <c r="U121" s="499" t="str">
        <f t="shared" si="17"/>
        <v/>
      </c>
      <c r="V121" s="537" t="str">
        <f t="shared" si="11"/>
        <v/>
      </c>
      <c r="W121" s="520" t="str">
        <f>IF(S121="","",VLOOKUP(S121,'G-1 All Habitats'!$B$2:$M$129,10,FALSE))</f>
        <v/>
      </c>
      <c r="X121" s="520" t="str">
        <f>IFERROR(VLOOKUP(W121,'G-1 All Habitats'!$V$3:$W$7,2,FALSE),"")</f>
        <v/>
      </c>
      <c r="Y121" s="79"/>
      <c r="Z121" s="524" t="str">
        <f>IFERROR(INDEX('G-8 Condition Look up'!$A$3:$H$130,MATCH(S121,'G-8 Condition Look up'!$A$3:$A$130,0),MATCH(Y121,'G-8 Condition Look up'!$A$3:$H$3,0)),"")</f>
        <v/>
      </c>
      <c r="AA121" s="71"/>
      <c r="AB121" s="520" t="str">
        <f>IF(AA121="","",IF(VLOOKUP(AA121,'G-3 Multipliers'!$L$3:$N$6,2,FALSE)=0,"Spatial Data Missing ⚠",VLOOKUP(AA121,'G-3 Multipliers'!$L$3:$N$6,2,FALSE)))</f>
        <v/>
      </c>
      <c r="AC121" s="524" t="str">
        <f>IF(AA121="","",IF(VLOOKUP(AA121,'G-3 Multipliers'!$L$3:$N$6,3,FALSE)=0,"Spatial Data Missing ⚠",VLOOKUP(AA121,'G-3 Multipliers'!$L$3:$N$6,3,FALSE)))</f>
        <v/>
      </c>
      <c r="AD121" s="539" t="str">
        <f t="shared" si="12"/>
        <v/>
      </c>
      <c r="AE121" s="82"/>
      <c r="AF121" s="82"/>
      <c r="AG121" s="507" t="str">
        <f t="shared" si="18"/>
        <v/>
      </c>
      <c r="AH121" s="521" t="str">
        <f t="shared" si="19"/>
        <v/>
      </c>
      <c r="AI121" s="522" t="str">
        <f>IF(AH121="Check Data","Check Data",IFERROR(VLOOKUP(AH121,'G-4 Temporal multipliers'!$A$4:$C$36,3,FALSE),""))</f>
        <v/>
      </c>
      <c r="AJ121" s="498" t="str">
        <f>IF(S121="","",VLOOKUP(S121,'G-3 Multipliers'!$A$2:$E$129,4,FALSE))</f>
        <v/>
      </c>
      <c r="AK121" s="507" t="str">
        <f t="shared" si="20"/>
        <v/>
      </c>
      <c r="AL121" s="507" t="str">
        <f t="shared" si="21"/>
        <v/>
      </c>
      <c r="AM121" s="540" t="str">
        <f>IFERROR(IF(F121="","",IF(AH121="Check Data ⚠","Check Data ⚠",VLOOKUP(AL121, 'G-3 Multipliers'!$P$2:$Q$6,2,FALSE))),"")</f>
        <v/>
      </c>
      <c r="AN121" s="513" t="str">
        <f t="shared" si="13"/>
        <v/>
      </c>
      <c r="AO121" s="239"/>
      <c r="AP121" s="240"/>
    </row>
    <row r="122" spans="1:42" x14ac:dyDescent="0.3">
      <c r="A122" s="47" t="str">
        <f>IF(E122="","",IF(ISNA(VLOOKUP($E122,'A-1 Site Habitat Baseline'!$D$1:$O$258,2,FALSE)),"",(VLOOKUP($E122,'A-1 Site Habitat Baseline'!$D$1:$O$258,2,FALSE))))</f>
        <v/>
      </c>
      <c r="B122" s="47" t="str">
        <f>IF(E122="","",IF(ISNA(VLOOKUP($E122,'A-1 Site Habitat Baseline'!$D$1:$O$258,3,FALSE)),"",(VLOOKUP($E122,'A-1 Site Habitat Baseline'!$D$1:$O$258,3,FALSE))))</f>
        <v/>
      </c>
      <c r="C122" s="47" t="str">
        <f>IFERROR(INDEX('G-8 Condition Look up'!$I$4:$I$130,MATCH(S122,'G-8 Condition Look up'!$A$4:$A$130,0)),"")</f>
        <v/>
      </c>
      <c r="E122" s="531" t="str">
        <f>'A-1 Site Habitat Baseline'!AL121</f>
        <v/>
      </c>
      <c r="F122" s="520" t="str">
        <f>IF(E122="","",IF(ISNA(VLOOKUP($E122,'A-1 Site Habitat Baseline'!$D$1:$O$258,4,FALSE)),"",(VLOOKUP($E122,'A-1 Site Habitat Baseline'!$D$1:$O$258,4,FALSE))))</f>
        <v/>
      </c>
      <c r="G122" s="520" t="str">
        <f>IF(E122="","",IF(ISNA(VLOOKUP($E122,'A-1 Site Habitat Baseline'!$D$1:$O$258,5,FALSE)),"",(VLOOKUP($E122,'A-1 Site Habitat Baseline'!$D$1:$O$258,5,FALSE))))</f>
        <v/>
      </c>
      <c r="H122" s="520" t="str">
        <f>IF(E122="","",IF(ISNA(VLOOKUP($E122,'A-1 Site Habitat Baseline'!$D$1:$O$258,6,FALSE)),"",(VLOOKUP($E122,'A-1 Site Habitat Baseline'!$D$1:$O$258,6,FALSE))))</f>
        <v/>
      </c>
      <c r="I122" s="520" t="str">
        <f>IF(E122="","",IF(ISNA(VLOOKUP($E122,'A-1 Site Habitat Baseline'!$D$1:$O$258,7,FALSE)),"",(VLOOKUP($E122,'A-1 Site Habitat Baseline'!$D$1:$O$258,7,FALSE))))</f>
        <v/>
      </c>
      <c r="J122" s="520" t="str">
        <f>IF(E122="","",IF(ISNA(VLOOKUP($E122,'A-1 Site Habitat Baseline'!$D$1:$O$258,8,FALSE)),"",(VLOOKUP($E122,'A-1 Site Habitat Baseline'!$D$1:$O$258,8,FALSE))))</f>
        <v/>
      </c>
      <c r="K122" s="520" t="str">
        <f>IF(E122="","",IF(ISNA(VLOOKUP($E122,'A-1 Site Habitat Baseline'!$D$1:$O$258,9,FALSE)),"",(VLOOKUP($E122,'A-1 Site Habitat Baseline'!$D$1:$O$258,9,FALSE))))</f>
        <v/>
      </c>
      <c r="L122" s="520" t="str">
        <f>IF(E122="","",IF(ISNA(VLOOKUP($E122,'A-1 Site Habitat Baseline'!$D$1:$O$258,11,FALSE)),"",(VLOOKUP($E122,'A-1 Site Habitat Baseline'!$D$1:$O$258,11,FALSE))))</f>
        <v/>
      </c>
      <c r="M122" s="520" t="str">
        <f>IF(E122="","",IF(ISNA(VLOOKUP($E122,'A-1 Site Habitat Baseline'!$D$1:$O$258,12,FALSE)),"",(VLOOKUP($E122,'A-1 Site Habitat Baseline'!$D$1:$O$258,12,FALSE))))</f>
        <v/>
      </c>
      <c r="N122" s="532" t="str">
        <f>IF(E122="","",IF(ISNA(VLOOKUP($E122,'A-1 Site Habitat Baseline'!$D$1:$X$258,14,FALSE)),"",(VLOOKUP($E122,'A-1 Site Habitat Baseline'!$D$1:$X$258,14,FALSE))))</f>
        <v/>
      </c>
      <c r="O122" s="524" t="str">
        <f>IF(E122="","",IF(ISNA(VLOOKUP($E122,'A-1 Site Habitat Baseline'!$D$1:$X$258,16,FALSE)),"",(VLOOKUP($E122,'A-1 Site Habitat Baseline'!$D$1:$X$258,13,FALSE))))</f>
        <v/>
      </c>
      <c r="P122" s="237" t="str">
        <f>IFERROR(INDEX('G-1 All Habitats'!$AG$3:$AG$15,MATCH(Q122,'G-1 All Habitats'!$AF$3:$AF$15,0)),"")</f>
        <v/>
      </c>
      <c r="Q122" s="238" t="str">
        <f t="shared" si="14"/>
        <v/>
      </c>
      <c r="R122" s="238" t="str">
        <f t="shared" si="15"/>
        <v/>
      </c>
      <c r="S122" s="392" t="str">
        <f>IFERROR(INDEX('G-1 All Habitats'!$B$3:$B$129,MATCH(R122,'G-1 All Habitats'!$A$3:$A$129,0)),"")</f>
        <v/>
      </c>
      <c r="T122" s="498" t="str">
        <f t="shared" si="16"/>
        <v/>
      </c>
      <c r="U122" s="499" t="str">
        <f t="shared" si="17"/>
        <v/>
      </c>
      <c r="V122" s="537" t="str">
        <f t="shared" si="11"/>
        <v/>
      </c>
      <c r="W122" s="520" t="str">
        <f>IF(S122="","",VLOOKUP(S122,'G-1 All Habitats'!$B$2:$M$129,10,FALSE))</f>
        <v/>
      </c>
      <c r="X122" s="520" t="str">
        <f>IFERROR(VLOOKUP(W122,'G-1 All Habitats'!$V$3:$W$7,2,FALSE),"")</f>
        <v/>
      </c>
      <c r="Y122" s="79"/>
      <c r="Z122" s="524" t="str">
        <f>IFERROR(INDEX('G-8 Condition Look up'!$A$3:$H$130,MATCH(S122,'G-8 Condition Look up'!$A$3:$A$130,0),MATCH(Y122,'G-8 Condition Look up'!$A$3:$H$3,0)),"")</f>
        <v/>
      </c>
      <c r="AA122" s="71"/>
      <c r="AB122" s="520" t="str">
        <f>IF(AA122="","",IF(VLOOKUP(AA122,'G-3 Multipliers'!$L$3:$N$6,2,FALSE)=0,"Spatial Data Missing ⚠",VLOOKUP(AA122,'G-3 Multipliers'!$L$3:$N$6,2,FALSE)))</f>
        <v/>
      </c>
      <c r="AC122" s="524" t="str">
        <f>IF(AA122="","",IF(VLOOKUP(AA122,'G-3 Multipliers'!$L$3:$N$6,3,FALSE)=0,"Spatial Data Missing ⚠",VLOOKUP(AA122,'G-3 Multipliers'!$L$3:$N$6,3,FALSE)))</f>
        <v/>
      </c>
      <c r="AD122" s="539" t="str">
        <f t="shared" si="12"/>
        <v/>
      </c>
      <c r="AE122" s="82"/>
      <c r="AF122" s="82"/>
      <c r="AG122" s="507" t="str">
        <f t="shared" si="18"/>
        <v/>
      </c>
      <c r="AH122" s="521" t="str">
        <f t="shared" si="19"/>
        <v/>
      </c>
      <c r="AI122" s="522" t="str">
        <f>IF(AH122="Check Data","Check Data",IFERROR(VLOOKUP(AH122,'G-4 Temporal multipliers'!$A$4:$C$36,3,FALSE),""))</f>
        <v/>
      </c>
      <c r="AJ122" s="498" t="str">
        <f>IF(S122="","",VLOOKUP(S122,'G-3 Multipliers'!$A$2:$E$129,4,FALSE))</f>
        <v/>
      </c>
      <c r="AK122" s="507" t="str">
        <f t="shared" si="20"/>
        <v/>
      </c>
      <c r="AL122" s="507" t="str">
        <f t="shared" si="21"/>
        <v/>
      </c>
      <c r="AM122" s="540" t="str">
        <f>IFERROR(IF(F122="","",IF(AH122="Check Data ⚠","Check Data ⚠",VLOOKUP(AL122, 'G-3 Multipliers'!$P$2:$Q$6,2,FALSE))),"")</f>
        <v/>
      </c>
      <c r="AN122" s="513" t="str">
        <f t="shared" si="13"/>
        <v/>
      </c>
      <c r="AO122" s="239"/>
      <c r="AP122" s="240"/>
    </row>
    <row r="123" spans="1:42" x14ac:dyDescent="0.3">
      <c r="A123" s="47" t="str">
        <f>IF(E123="","",IF(ISNA(VLOOKUP($E123,'A-1 Site Habitat Baseline'!$D$1:$O$258,2,FALSE)),"",(VLOOKUP($E123,'A-1 Site Habitat Baseline'!$D$1:$O$258,2,FALSE))))</f>
        <v/>
      </c>
      <c r="B123" s="47" t="str">
        <f>IF(E123="","",IF(ISNA(VLOOKUP($E123,'A-1 Site Habitat Baseline'!$D$1:$O$258,3,FALSE)),"",(VLOOKUP($E123,'A-1 Site Habitat Baseline'!$D$1:$O$258,3,FALSE))))</f>
        <v/>
      </c>
      <c r="C123" s="47" t="str">
        <f>IFERROR(INDEX('G-8 Condition Look up'!$I$4:$I$130,MATCH(S123,'G-8 Condition Look up'!$A$4:$A$130,0)),"")</f>
        <v/>
      </c>
      <c r="E123" s="531" t="str">
        <f>'A-1 Site Habitat Baseline'!AL122</f>
        <v/>
      </c>
      <c r="F123" s="520" t="str">
        <f>IF(E123="","",IF(ISNA(VLOOKUP($E123,'A-1 Site Habitat Baseline'!$D$1:$O$258,4,FALSE)),"",(VLOOKUP($E123,'A-1 Site Habitat Baseline'!$D$1:$O$258,4,FALSE))))</f>
        <v/>
      </c>
      <c r="G123" s="520" t="str">
        <f>IF(E123="","",IF(ISNA(VLOOKUP($E123,'A-1 Site Habitat Baseline'!$D$1:$O$258,5,FALSE)),"",(VLOOKUP($E123,'A-1 Site Habitat Baseline'!$D$1:$O$258,5,FALSE))))</f>
        <v/>
      </c>
      <c r="H123" s="520" t="str">
        <f>IF(E123="","",IF(ISNA(VLOOKUP($E123,'A-1 Site Habitat Baseline'!$D$1:$O$258,6,FALSE)),"",(VLOOKUP($E123,'A-1 Site Habitat Baseline'!$D$1:$O$258,6,FALSE))))</f>
        <v/>
      </c>
      <c r="I123" s="520" t="str">
        <f>IF(E123="","",IF(ISNA(VLOOKUP($E123,'A-1 Site Habitat Baseline'!$D$1:$O$258,7,FALSE)),"",(VLOOKUP($E123,'A-1 Site Habitat Baseline'!$D$1:$O$258,7,FALSE))))</f>
        <v/>
      </c>
      <c r="J123" s="520" t="str">
        <f>IF(E123="","",IF(ISNA(VLOOKUP($E123,'A-1 Site Habitat Baseline'!$D$1:$O$258,8,FALSE)),"",(VLOOKUP($E123,'A-1 Site Habitat Baseline'!$D$1:$O$258,8,FALSE))))</f>
        <v/>
      </c>
      <c r="K123" s="520" t="str">
        <f>IF(E123="","",IF(ISNA(VLOOKUP($E123,'A-1 Site Habitat Baseline'!$D$1:$O$258,9,FALSE)),"",(VLOOKUP($E123,'A-1 Site Habitat Baseline'!$D$1:$O$258,9,FALSE))))</f>
        <v/>
      </c>
      <c r="L123" s="520" t="str">
        <f>IF(E123="","",IF(ISNA(VLOOKUP($E123,'A-1 Site Habitat Baseline'!$D$1:$O$258,11,FALSE)),"",(VLOOKUP($E123,'A-1 Site Habitat Baseline'!$D$1:$O$258,11,FALSE))))</f>
        <v/>
      </c>
      <c r="M123" s="520" t="str">
        <f>IF(E123="","",IF(ISNA(VLOOKUP($E123,'A-1 Site Habitat Baseline'!$D$1:$O$258,12,FALSE)),"",(VLOOKUP($E123,'A-1 Site Habitat Baseline'!$D$1:$O$258,12,FALSE))))</f>
        <v/>
      </c>
      <c r="N123" s="532" t="str">
        <f>IF(E123="","",IF(ISNA(VLOOKUP($E123,'A-1 Site Habitat Baseline'!$D$1:$X$258,14,FALSE)),"",(VLOOKUP($E123,'A-1 Site Habitat Baseline'!$D$1:$X$258,14,FALSE))))</f>
        <v/>
      </c>
      <c r="O123" s="524" t="str">
        <f>IF(E123="","",IF(ISNA(VLOOKUP($E123,'A-1 Site Habitat Baseline'!$D$1:$X$258,16,FALSE)),"",(VLOOKUP($E123,'A-1 Site Habitat Baseline'!$D$1:$X$258,13,FALSE))))</f>
        <v/>
      </c>
      <c r="P123" s="237" t="str">
        <f>IFERROR(INDEX('G-1 All Habitats'!$AG$3:$AG$15,MATCH(Q123,'G-1 All Habitats'!$AF$3:$AF$15,0)),"")</f>
        <v/>
      </c>
      <c r="Q123" s="238" t="str">
        <f t="shared" si="14"/>
        <v/>
      </c>
      <c r="R123" s="238" t="str">
        <f t="shared" si="15"/>
        <v/>
      </c>
      <c r="S123" s="392" t="str">
        <f>IFERROR(INDEX('G-1 All Habitats'!$B$3:$B$129,MATCH(R123,'G-1 All Habitats'!$A$3:$A$129,0)),"")</f>
        <v/>
      </c>
      <c r="T123" s="498" t="str">
        <f t="shared" si="16"/>
        <v/>
      </c>
      <c r="U123" s="499" t="str">
        <f t="shared" si="17"/>
        <v/>
      </c>
      <c r="V123" s="537" t="str">
        <f t="shared" si="11"/>
        <v/>
      </c>
      <c r="W123" s="520" t="str">
        <f>IF(S123="","",VLOOKUP(S123,'G-1 All Habitats'!$B$2:$M$129,10,FALSE))</f>
        <v/>
      </c>
      <c r="X123" s="520" t="str">
        <f>IFERROR(VLOOKUP(W123,'G-1 All Habitats'!$V$3:$W$7,2,FALSE),"")</f>
        <v/>
      </c>
      <c r="Y123" s="79"/>
      <c r="Z123" s="524" t="str">
        <f>IFERROR(INDEX('G-8 Condition Look up'!$A$3:$H$130,MATCH(S123,'G-8 Condition Look up'!$A$3:$A$130,0),MATCH(Y123,'G-8 Condition Look up'!$A$3:$H$3,0)),"")</f>
        <v/>
      </c>
      <c r="AA123" s="71"/>
      <c r="AB123" s="520" t="str">
        <f>IF(AA123="","",IF(VLOOKUP(AA123,'G-3 Multipliers'!$L$3:$N$6,2,FALSE)=0,"Spatial Data Missing ⚠",VLOOKUP(AA123,'G-3 Multipliers'!$L$3:$N$6,2,FALSE)))</f>
        <v/>
      </c>
      <c r="AC123" s="524" t="str">
        <f>IF(AA123="","",IF(VLOOKUP(AA123,'G-3 Multipliers'!$L$3:$N$6,3,FALSE)=0,"Spatial Data Missing ⚠",VLOOKUP(AA123,'G-3 Multipliers'!$L$3:$N$6,3,FALSE)))</f>
        <v/>
      </c>
      <c r="AD123" s="539" t="str">
        <f t="shared" si="12"/>
        <v/>
      </c>
      <c r="AE123" s="82"/>
      <c r="AF123" s="82"/>
      <c r="AG123" s="507" t="str">
        <f t="shared" si="18"/>
        <v/>
      </c>
      <c r="AH123" s="521" t="str">
        <f t="shared" si="19"/>
        <v/>
      </c>
      <c r="AI123" s="522" t="str">
        <f>IF(AH123="Check Data","Check Data",IFERROR(VLOOKUP(AH123,'G-4 Temporal multipliers'!$A$4:$C$36,3,FALSE),""))</f>
        <v/>
      </c>
      <c r="AJ123" s="498" t="str">
        <f>IF(S123="","",VLOOKUP(S123,'G-3 Multipliers'!$A$2:$E$129,4,FALSE))</f>
        <v/>
      </c>
      <c r="AK123" s="507" t="str">
        <f t="shared" si="20"/>
        <v/>
      </c>
      <c r="AL123" s="507" t="str">
        <f t="shared" si="21"/>
        <v/>
      </c>
      <c r="AM123" s="540" t="str">
        <f>IFERROR(IF(F123="","",IF(AH123="Check Data ⚠","Check Data ⚠",VLOOKUP(AL123, 'G-3 Multipliers'!$P$2:$Q$6,2,FALSE))),"")</f>
        <v/>
      </c>
      <c r="AN123" s="513" t="str">
        <f t="shared" si="13"/>
        <v/>
      </c>
      <c r="AO123" s="239"/>
      <c r="AP123" s="240"/>
    </row>
    <row r="124" spans="1:42" x14ac:dyDescent="0.3">
      <c r="A124" s="47" t="str">
        <f>IF(E124="","",IF(ISNA(VLOOKUP($E124,'A-1 Site Habitat Baseline'!$D$1:$O$258,2,FALSE)),"",(VLOOKUP($E124,'A-1 Site Habitat Baseline'!$D$1:$O$258,2,FALSE))))</f>
        <v/>
      </c>
      <c r="B124" s="47" t="str">
        <f>IF(E124="","",IF(ISNA(VLOOKUP($E124,'A-1 Site Habitat Baseline'!$D$1:$O$258,3,FALSE)),"",(VLOOKUP($E124,'A-1 Site Habitat Baseline'!$D$1:$O$258,3,FALSE))))</f>
        <v/>
      </c>
      <c r="C124" s="47" t="str">
        <f>IFERROR(INDEX('G-8 Condition Look up'!$I$4:$I$130,MATCH(S124,'G-8 Condition Look up'!$A$4:$A$130,0)),"")</f>
        <v/>
      </c>
      <c r="E124" s="531" t="str">
        <f>'A-1 Site Habitat Baseline'!AL123</f>
        <v/>
      </c>
      <c r="F124" s="520" t="str">
        <f>IF(E124="","",IF(ISNA(VLOOKUP($E124,'A-1 Site Habitat Baseline'!$D$1:$O$258,4,FALSE)),"",(VLOOKUP($E124,'A-1 Site Habitat Baseline'!$D$1:$O$258,4,FALSE))))</f>
        <v/>
      </c>
      <c r="G124" s="520" t="str">
        <f>IF(E124="","",IF(ISNA(VLOOKUP($E124,'A-1 Site Habitat Baseline'!$D$1:$O$258,5,FALSE)),"",(VLOOKUP($E124,'A-1 Site Habitat Baseline'!$D$1:$O$258,5,FALSE))))</f>
        <v/>
      </c>
      <c r="H124" s="520" t="str">
        <f>IF(E124="","",IF(ISNA(VLOOKUP($E124,'A-1 Site Habitat Baseline'!$D$1:$O$258,6,FALSE)),"",(VLOOKUP($E124,'A-1 Site Habitat Baseline'!$D$1:$O$258,6,FALSE))))</f>
        <v/>
      </c>
      <c r="I124" s="520" t="str">
        <f>IF(E124="","",IF(ISNA(VLOOKUP($E124,'A-1 Site Habitat Baseline'!$D$1:$O$258,7,FALSE)),"",(VLOOKUP($E124,'A-1 Site Habitat Baseline'!$D$1:$O$258,7,FALSE))))</f>
        <v/>
      </c>
      <c r="J124" s="520" t="str">
        <f>IF(E124="","",IF(ISNA(VLOOKUP($E124,'A-1 Site Habitat Baseline'!$D$1:$O$258,8,FALSE)),"",(VLOOKUP($E124,'A-1 Site Habitat Baseline'!$D$1:$O$258,8,FALSE))))</f>
        <v/>
      </c>
      <c r="K124" s="520" t="str">
        <f>IF(E124="","",IF(ISNA(VLOOKUP($E124,'A-1 Site Habitat Baseline'!$D$1:$O$258,9,FALSE)),"",(VLOOKUP($E124,'A-1 Site Habitat Baseline'!$D$1:$O$258,9,FALSE))))</f>
        <v/>
      </c>
      <c r="L124" s="520" t="str">
        <f>IF(E124="","",IF(ISNA(VLOOKUP($E124,'A-1 Site Habitat Baseline'!$D$1:$O$258,11,FALSE)),"",(VLOOKUP($E124,'A-1 Site Habitat Baseline'!$D$1:$O$258,11,FALSE))))</f>
        <v/>
      </c>
      <c r="M124" s="520" t="str">
        <f>IF(E124="","",IF(ISNA(VLOOKUP($E124,'A-1 Site Habitat Baseline'!$D$1:$O$258,12,FALSE)),"",(VLOOKUP($E124,'A-1 Site Habitat Baseline'!$D$1:$O$258,12,FALSE))))</f>
        <v/>
      </c>
      <c r="N124" s="532" t="str">
        <f>IF(E124="","",IF(ISNA(VLOOKUP($E124,'A-1 Site Habitat Baseline'!$D$1:$X$258,14,FALSE)),"",(VLOOKUP($E124,'A-1 Site Habitat Baseline'!$D$1:$X$258,14,FALSE))))</f>
        <v/>
      </c>
      <c r="O124" s="524" t="str">
        <f>IF(E124="","",IF(ISNA(VLOOKUP($E124,'A-1 Site Habitat Baseline'!$D$1:$X$258,16,FALSE)),"",(VLOOKUP($E124,'A-1 Site Habitat Baseline'!$D$1:$X$258,13,FALSE))))</f>
        <v/>
      </c>
      <c r="P124" s="237" t="str">
        <f>IFERROR(INDEX('G-1 All Habitats'!$AG$3:$AG$15,MATCH(Q124,'G-1 All Habitats'!$AF$3:$AF$15,0)),"")</f>
        <v/>
      </c>
      <c r="Q124" s="238" t="str">
        <f t="shared" si="14"/>
        <v/>
      </c>
      <c r="R124" s="238" t="str">
        <f t="shared" si="15"/>
        <v/>
      </c>
      <c r="S124" s="392" t="str">
        <f>IFERROR(INDEX('G-1 All Habitats'!$B$3:$B$129,MATCH(R124,'G-1 All Habitats'!$A$3:$A$129,0)),"")</f>
        <v/>
      </c>
      <c r="T124" s="498" t="str">
        <f t="shared" si="16"/>
        <v/>
      </c>
      <c r="U124" s="499" t="str">
        <f t="shared" si="17"/>
        <v/>
      </c>
      <c r="V124" s="537" t="str">
        <f t="shared" si="11"/>
        <v/>
      </c>
      <c r="W124" s="520" t="str">
        <f>IF(S124="","",VLOOKUP(S124,'G-1 All Habitats'!$B$2:$M$129,10,FALSE))</f>
        <v/>
      </c>
      <c r="X124" s="520" t="str">
        <f>IFERROR(VLOOKUP(W124,'G-1 All Habitats'!$V$3:$W$7,2,FALSE),"")</f>
        <v/>
      </c>
      <c r="Y124" s="79"/>
      <c r="Z124" s="524" t="str">
        <f>IFERROR(INDEX('G-8 Condition Look up'!$A$3:$H$130,MATCH(S124,'G-8 Condition Look up'!$A$3:$A$130,0),MATCH(Y124,'G-8 Condition Look up'!$A$3:$H$3,0)),"")</f>
        <v/>
      </c>
      <c r="AA124" s="71"/>
      <c r="AB124" s="520" t="str">
        <f>IF(AA124="","",IF(VLOOKUP(AA124,'G-3 Multipliers'!$L$3:$N$6,2,FALSE)=0,"Spatial Data Missing ⚠",VLOOKUP(AA124,'G-3 Multipliers'!$L$3:$N$6,2,FALSE)))</f>
        <v/>
      </c>
      <c r="AC124" s="524" t="str">
        <f>IF(AA124="","",IF(VLOOKUP(AA124,'G-3 Multipliers'!$L$3:$N$6,3,FALSE)=0,"Spatial Data Missing ⚠",VLOOKUP(AA124,'G-3 Multipliers'!$L$3:$N$6,3,FALSE)))</f>
        <v/>
      </c>
      <c r="AD124" s="539" t="str">
        <f t="shared" si="12"/>
        <v/>
      </c>
      <c r="AE124" s="82"/>
      <c r="AF124" s="82"/>
      <c r="AG124" s="507" t="str">
        <f t="shared" si="18"/>
        <v/>
      </c>
      <c r="AH124" s="521" t="str">
        <f t="shared" si="19"/>
        <v/>
      </c>
      <c r="AI124" s="522" t="str">
        <f>IF(AH124="Check Data","Check Data",IFERROR(VLOOKUP(AH124,'G-4 Temporal multipliers'!$A$4:$C$36,3,FALSE),""))</f>
        <v/>
      </c>
      <c r="AJ124" s="498" t="str">
        <f>IF(S124="","",VLOOKUP(S124,'G-3 Multipliers'!$A$2:$E$129,4,FALSE))</f>
        <v/>
      </c>
      <c r="AK124" s="507" t="str">
        <f t="shared" si="20"/>
        <v/>
      </c>
      <c r="AL124" s="507" t="str">
        <f t="shared" si="21"/>
        <v/>
      </c>
      <c r="AM124" s="540" t="str">
        <f>IFERROR(IF(F124="","",IF(AH124="Check Data ⚠","Check Data ⚠",VLOOKUP(AL124, 'G-3 Multipliers'!$P$2:$Q$6,2,FALSE))),"")</f>
        <v/>
      </c>
      <c r="AN124" s="513" t="str">
        <f t="shared" si="13"/>
        <v/>
      </c>
      <c r="AO124" s="239"/>
      <c r="AP124" s="240"/>
    </row>
    <row r="125" spans="1:42" x14ac:dyDescent="0.3">
      <c r="A125" s="47" t="str">
        <f>IF(E125="","",IF(ISNA(VLOOKUP($E125,'A-1 Site Habitat Baseline'!$D$1:$O$258,2,FALSE)),"",(VLOOKUP($E125,'A-1 Site Habitat Baseline'!$D$1:$O$258,2,FALSE))))</f>
        <v/>
      </c>
      <c r="B125" s="47" t="str">
        <f>IF(E125="","",IF(ISNA(VLOOKUP($E125,'A-1 Site Habitat Baseline'!$D$1:$O$258,3,FALSE)),"",(VLOOKUP($E125,'A-1 Site Habitat Baseline'!$D$1:$O$258,3,FALSE))))</f>
        <v/>
      </c>
      <c r="C125" s="47" t="str">
        <f>IFERROR(INDEX('G-8 Condition Look up'!$I$4:$I$130,MATCH(S125,'G-8 Condition Look up'!$A$4:$A$130,0)),"")</f>
        <v/>
      </c>
      <c r="E125" s="531" t="str">
        <f>'A-1 Site Habitat Baseline'!AL124</f>
        <v/>
      </c>
      <c r="F125" s="520" t="str">
        <f>IF(E125="","",IF(ISNA(VLOOKUP($E125,'A-1 Site Habitat Baseline'!$D$1:$O$258,4,FALSE)),"",(VLOOKUP($E125,'A-1 Site Habitat Baseline'!$D$1:$O$258,4,FALSE))))</f>
        <v/>
      </c>
      <c r="G125" s="520" t="str">
        <f>IF(E125="","",IF(ISNA(VLOOKUP($E125,'A-1 Site Habitat Baseline'!$D$1:$O$258,5,FALSE)),"",(VLOOKUP($E125,'A-1 Site Habitat Baseline'!$D$1:$O$258,5,FALSE))))</f>
        <v/>
      </c>
      <c r="H125" s="520" t="str">
        <f>IF(E125="","",IF(ISNA(VLOOKUP($E125,'A-1 Site Habitat Baseline'!$D$1:$O$258,6,FALSE)),"",(VLOOKUP($E125,'A-1 Site Habitat Baseline'!$D$1:$O$258,6,FALSE))))</f>
        <v/>
      </c>
      <c r="I125" s="520" t="str">
        <f>IF(E125="","",IF(ISNA(VLOOKUP($E125,'A-1 Site Habitat Baseline'!$D$1:$O$258,7,FALSE)),"",(VLOOKUP($E125,'A-1 Site Habitat Baseline'!$D$1:$O$258,7,FALSE))))</f>
        <v/>
      </c>
      <c r="J125" s="520" t="str">
        <f>IF(E125="","",IF(ISNA(VLOOKUP($E125,'A-1 Site Habitat Baseline'!$D$1:$O$258,8,FALSE)),"",(VLOOKUP($E125,'A-1 Site Habitat Baseline'!$D$1:$O$258,8,FALSE))))</f>
        <v/>
      </c>
      <c r="K125" s="520" t="str">
        <f>IF(E125="","",IF(ISNA(VLOOKUP($E125,'A-1 Site Habitat Baseline'!$D$1:$O$258,9,FALSE)),"",(VLOOKUP($E125,'A-1 Site Habitat Baseline'!$D$1:$O$258,9,FALSE))))</f>
        <v/>
      </c>
      <c r="L125" s="520" t="str">
        <f>IF(E125="","",IF(ISNA(VLOOKUP($E125,'A-1 Site Habitat Baseline'!$D$1:$O$258,11,FALSE)),"",(VLOOKUP($E125,'A-1 Site Habitat Baseline'!$D$1:$O$258,11,FALSE))))</f>
        <v/>
      </c>
      <c r="M125" s="520" t="str">
        <f>IF(E125="","",IF(ISNA(VLOOKUP($E125,'A-1 Site Habitat Baseline'!$D$1:$O$258,12,FALSE)),"",(VLOOKUP($E125,'A-1 Site Habitat Baseline'!$D$1:$O$258,12,FALSE))))</f>
        <v/>
      </c>
      <c r="N125" s="532" t="str">
        <f>IF(E125="","",IF(ISNA(VLOOKUP($E125,'A-1 Site Habitat Baseline'!$D$1:$X$258,14,FALSE)),"",(VLOOKUP($E125,'A-1 Site Habitat Baseline'!$D$1:$X$258,14,FALSE))))</f>
        <v/>
      </c>
      <c r="O125" s="524" t="str">
        <f>IF(E125="","",IF(ISNA(VLOOKUP($E125,'A-1 Site Habitat Baseline'!$D$1:$X$258,16,FALSE)),"",(VLOOKUP($E125,'A-1 Site Habitat Baseline'!$D$1:$X$258,13,FALSE))))</f>
        <v/>
      </c>
      <c r="P125" s="237" t="str">
        <f>IFERROR(INDEX('G-1 All Habitats'!$AG$3:$AG$15,MATCH(Q125,'G-1 All Habitats'!$AF$3:$AF$15,0)),"")</f>
        <v/>
      </c>
      <c r="Q125" s="238" t="str">
        <f t="shared" si="14"/>
        <v/>
      </c>
      <c r="R125" s="238" t="str">
        <f t="shared" si="15"/>
        <v/>
      </c>
      <c r="S125" s="392" t="str">
        <f>IFERROR(INDEX('G-1 All Habitats'!$B$3:$B$129,MATCH(R125,'G-1 All Habitats'!$A$3:$A$129,0)),"")</f>
        <v/>
      </c>
      <c r="T125" s="498" t="str">
        <f t="shared" si="16"/>
        <v/>
      </c>
      <c r="U125" s="499" t="str">
        <f t="shared" si="17"/>
        <v/>
      </c>
      <c r="V125" s="537" t="str">
        <f t="shared" si="11"/>
        <v/>
      </c>
      <c r="W125" s="520" t="str">
        <f>IF(S125="","",VLOOKUP(S125,'G-1 All Habitats'!$B$2:$M$129,10,FALSE))</f>
        <v/>
      </c>
      <c r="X125" s="520" t="str">
        <f>IFERROR(VLOOKUP(W125,'G-1 All Habitats'!$V$3:$W$7,2,FALSE),"")</f>
        <v/>
      </c>
      <c r="Y125" s="79"/>
      <c r="Z125" s="524" t="str">
        <f>IFERROR(INDEX('G-8 Condition Look up'!$A$3:$H$130,MATCH(S125,'G-8 Condition Look up'!$A$3:$A$130,0),MATCH(Y125,'G-8 Condition Look up'!$A$3:$H$3,0)),"")</f>
        <v/>
      </c>
      <c r="AA125" s="71"/>
      <c r="AB125" s="520" t="str">
        <f>IF(AA125="","",IF(VLOOKUP(AA125,'G-3 Multipliers'!$L$3:$N$6,2,FALSE)=0,"Spatial Data Missing ⚠",VLOOKUP(AA125,'G-3 Multipliers'!$L$3:$N$6,2,FALSE)))</f>
        <v/>
      </c>
      <c r="AC125" s="524" t="str">
        <f>IF(AA125="","",IF(VLOOKUP(AA125,'G-3 Multipliers'!$L$3:$N$6,3,FALSE)=0,"Spatial Data Missing ⚠",VLOOKUP(AA125,'G-3 Multipliers'!$L$3:$N$6,3,FALSE)))</f>
        <v/>
      </c>
      <c r="AD125" s="539" t="str">
        <f t="shared" si="12"/>
        <v/>
      </c>
      <c r="AE125" s="82"/>
      <c r="AF125" s="82"/>
      <c r="AG125" s="507" t="str">
        <f t="shared" si="18"/>
        <v/>
      </c>
      <c r="AH125" s="521" t="str">
        <f t="shared" si="19"/>
        <v/>
      </c>
      <c r="AI125" s="522" t="str">
        <f>IF(AH125="Check Data","Check Data",IFERROR(VLOOKUP(AH125,'G-4 Temporal multipliers'!$A$4:$C$36,3,FALSE),""))</f>
        <v/>
      </c>
      <c r="AJ125" s="498" t="str">
        <f>IF(S125="","",VLOOKUP(S125,'G-3 Multipliers'!$A$2:$E$129,4,FALSE))</f>
        <v/>
      </c>
      <c r="AK125" s="507" t="str">
        <f t="shared" si="20"/>
        <v/>
      </c>
      <c r="AL125" s="507" t="str">
        <f t="shared" si="21"/>
        <v/>
      </c>
      <c r="AM125" s="540" t="str">
        <f>IFERROR(IF(F125="","",IF(AH125="Check Data ⚠","Check Data ⚠",VLOOKUP(AL125, 'G-3 Multipliers'!$P$2:$Q$6,2,FALSE))),"")</f>
        <v/>
      </c>
      <c r="AN125" s="513" t="str">
        <f t="shared" si="13"/>
        <v/>
      </c>
      <c r="AO125" s="239"/>
      <c r="AP125" s="240"/>
    </row>
    <row r="126" spans="1:42" x14ac:dyDescent="0.3">
      <c r="A126" s="47" t="str">
        <f>IF(E126="","",IF(ISNA(VLOOKUP($E126,'A-1 Site Habitat Baseline'!$D$1:$O$258,2,FALSE)),"",(VLOOKUP($E126,'A-1 Site Habitat Baseline'!$D$1:$O$258,2,FALSE))))</f>
        <v/>
      </c>
      <c r="B126" s="47" t="str">
        <f>IF(E126="","",IF(ISNA(VLOOKUP($E126,'A-1 Site Habitat Baseline'!$D$1:$O$258,3,FALSE)),"",(VLOOKUP($E126,'A-1 Site Habitat Baseline'!$D$1:$O$258,3,FALSE))))</f>
        <v/>
      </c>
      <c r="C126" s="47" t="str">
        <f>IFERROR(INDEX('G-8 Condition Look up'!$I$4:$I$130,MATCH(S126,'G-8 Condition Look up'!$A$4:$A$130,0)),"")</f>
        <v/>
      </c>
      <c r="E126" s="531" t="str">
        <f>'A-1 Site Habitat Baseline'!AL125</f>
        <v/>
      </c>
      <c r="F126" s="520" t="str">
        <f>IF(E126="","",IF(ISNA(VLOOKUP($E126,'A-1 Site Habitat Baseline'!$D$1:$O$258,4,FALSE)),"",(VLOOKUP($E126,'A-1 Site Habitat Baseline'!$D$1:$O$258,4,FALSE))))</f>
        <v/>
      </c>
      <c r="G126" s="520" t="str">
        <f>IF(E126="","",IF(ISNA(VLOOKUP($E126,'A-1 Site Habitat Baseline'!$D$1:$O$258,5,FALSE)),"",(VLOOKUP($E126,'A-1 Site Habitat Baseline'!$D$1:$O$258,5,FALSE))))</f>
        <v/>
      </c>
      <c r="H126" s="520" t="str">
        <f>IF(E126="","",IF(ISNA(VLOOKUP($E126,'A-1 Site Habitat Baseline'!$D$1:$O$258,6,FALSE)),"",(VLOOKUP($E126,'A-1 Site Habitat Baseline'!$D$1:$O$258,6,FALSE))))</f>
        <v/>
      </c>
      <c r="I126" s="520" t="str">
        <f>IF(E126="","",IF(ISNA(VLOOKUP($E126,'A-1 Site Habitat Baseline'!$D$1:$O$258,7,FALSE)),"",(VLOOKUP($E126,'A-1 Site Habitat Baseline'!$D$1:$O$258,7,FALSE))))</f>
        <v/>
      </c>
      <c r="J126" s="520" t="str">
        <f>IF(E126="","",IF(ISNA(VLOOKUP($E126,'A-1 Site Habitat Baseline'!$D$1:$O$258,8,FALSE)),"",(VLOOKUP($E126,'A-1 Site Habitat Baseline'!$D$1:$O$258,8,FALSE))))</f>
        <v/>
      </c>
      <c r="K126" s="520" t="str">
        <f>IF(E126="","",IF(ISNA(VLOOKUP($E126,'A-1 Site Habitat Baseline'!$D$1:$O$258,9,FALSE)),"",(VLOOKUP($E126,'A-1 Site Habitat Baseline'!$D$1:$O$258,9,FALSE))))</f>
        <v/>
      </c>
      <c r="L126" s="520" t="str">
        <f>IF(E126="","",IF(ISNA(VLOOKUP($E126,'A-1 Site Habitat Baseline'!$D$1:$O$258,11,FALSE)),"",(VLOOKUP($E126,'A-1 Site Habitat Baseline'!$D$1:$O$258,11,FALSE))))</f>
        <v/>
      </c>
      <c r="M126" s="520" t="str">
        <f>IF(E126="","",IF(ISNA(VLOOKUP($E126,'A-1 Site Habitat Baseline'!$D$1:$O$258,12,FALSE)),"",(VLOOKUP($E126,'A-1 Site Habitat Baseline'!$D$1:$O$258,12,FALSE))))</f>
        <v/>
      </c>
      <c r="N126" s="532" t="str">
        <f>IF(E126="","",IF(ISNA(VLOOKUP($E126,'A-1 Site Habitat Baseline'!$D$1:$X$258,14,FALSE)),"",(VLOOKUP($E126,'A-1 Site Habitat Baseline'!$D$1:$X$258,14,FALSE))))</f>
        <v/>
      </c>
      <c r="O126" s="524" t="str">
        <f>IF(E126="","",IF(ISNA(VLOOKUP($E126,'A-1 Site Habitat Baseline'!$D$1:$X$258,16,FALSE)),"",(VLOOKUP($E126,'A-1 Site Habitat Baseline'!$D$1:$X$258,13,FALSE))))</f>
        <v/>
      </c>
      <c r="P126" s="237" t="str">
        <f>IFERROR(INDEX('G-1 All Habitats'!$AG$3:$AG$15,MATCH(Q126,'G-1 All Habitats'!$AF$3:$AF$15,0)),"")</f>
        <v/>
      </c>
      <c r="Q126" s="238" t="str">
        <f t="shared" si="14"/>
        <v/>
      </c>
      <c r="R126" s="238" t="str">
        <f t="shared" si="15"/>
        <v/>
      </c>
      <c r="S126" s="392" t="str">
        <f>IFERROR(INDEX('G-1 All Habitats'!$B$3:$B$129,MATCH(R126,'G-1 All Habitats'!$A$3:$A$129,0)),"")</f>
        <v/>
      </c>
      <c r="T126" s="498" t="str">
        <f t="shared" si="16"/>
        <v/>
      </c>
      <c r="U126" s="499" t="str">
        <f t="shared" si="17"/>
        <v/>
      </c>
      <c r="V126" s="537" t="str">
        <f t="shared" si="11"/>
        <v/>
      </c>
      <c r="W126" s="520" t="str">
        <f>IF(S126="","",VLOOKUP(S126,'G-1 All Habitats'!$B$2:$M$129,10,FALSE))</f>
        <v/>
      </c>
      <c r="X126" s="520" t="str">
        <f>IFERROR(VLOOKUP(W126,'G-1 All Habitats'!$V$3:$W$7,2,FALSE),"")</f>
        <v/>
      </c>
      <c r="Y126" s="79"/>
      <c r="Z126" s="524" t="str">
        <f>IFERROR(INDEX('G-8 Condition Look up'!$A$3:$H$130,MATCH(S126,'G-8 Condition Look up'!$A$3:$A$130,0),MATCH(Y126,'G-8 Condition Look up'!$A$3:$H$3,0)),"")</f>
        <v/>
      </c>
      <c r="AA126" s="71"/>
      <c r="AB126" s="520" t="str">
        <f>IF(AA126="","",IF(VLOOKUP(AA126,'G-3 Multipliers'!$L$3:$N$6,2,FALSE)=0,"Spatial Data Missing ⚠",VLOOKUP(AA126,'G-3 Multipliers'!$L$3:$N$6,2,FALSE)))</f>
        <v/>
      </c>
      <c r="AC126" s="524" t="str">
        <f>IF(AA126="","",IF(VLOOKUP(AA126,'G-3 Multipliers'!$L$3:$N$6,3,FALSE)=0,"Spatial Data Missing ⚠",VLOOKUP(AA126,'G-3 Multipliers'!$L$3:$N$6,3,FALSE)))</f>
        <v/>
      </c>
      <c r="AD126" s="539" t="str">
        <f t="shared" si="12"/>
        <v/>
      </c>
      <c r="AE126" s="82"/>
      <c r="AF126" s="82"/>
      <c r="AG126" s="507" t="str">
        <f t="shared" si="18"/>
        <v/>
      </c>
      <c r="AH126" s="521" t="str">
        <f t="shared" si="19"/>
        <v/>
      </c>
      <c r="AI126" s="522" t="str">
        <f>IF(AH126="Check Data","Check Data",IFERROR(VLOOKUP(AH126,'G-4 Temporal multipliers'!$A$4:$C$36,3,FALSE),""))</f>
        <v/>
      </c>
      <c r="AJ126" s="498" t="str">
        <f>IF(S126="","",VLOOKUP(S126,'G-3 Multipliers'!$A$2:$E$129,4,FALSE))</f>
        <v/>
      </c>
      <c r="AK126" s="507" t="str">
        <f t="shared" si="20"/>
        <v/>
      </c>
      <c r="AL126" s="507" t="str">
        <f t="shared" si="21"/>
        <v/>
      </c>
      <c r="AM126" s="540" t="str">
        <f>IFERROR(IF(F126="","",IF(AH126="Check Data ⚠","Check Data ⚠",VLOOKUP(AL126, 'G-3 Multipliers'!$P$2:$Q$6,2,FALSE))),"")</f>
        <v/>
      </c>
      <c r="AN126" s="513" t="str">
        <f t="shared" si="13"/>
        <v/>
      </c>
      <c r="AO126" s="239"/>
      <c r="AP126" s="240"/>
    </row>
    <row r="127" spans="1:42" x14ac:dyDescent="0.3">
      <c r="A127" s="47" t="str">
        <f>IF(E127="","",IF(ISNA(VLOOKUP($E127,'A-1 Site Habitat Baseline'!$D$1:$O$258,2,FALSE)),"",(VLOOKUP($E127,'A-1 Site Habitat Baseline'!$D$1:$O$258,2,FALSE))))</f>
        <v/>
      </c>
      <c r="B127" s="47" t="str">
        <f>IF(E127="","",IF(ISNA(VLOOKUP($E127,'A-1 Site Habitat Baseline'!$D$1:$O$258,3,FALSE)),"",(VLOOKUP($E127,'A-1 Site Habitat Baseline'!$D$1:$O$258,3,FALSE))))</f>
        <v/>
      </c>
      <c r="C127" s="47" t="str">
        <f>IFERROR(INDEX('G-8 Condition Look up'!$I$4:$I$130,MATCH(S127,'G-8 Condition Look up'!$A$4:$A$130,0)),"")</f>
        <v/>
      </c>
      <c r="E127" s="531" t="str">
        <f>'A-1 Site Habitat Baseline'!AL126</f>
        <v/>
      </c>
      <c r="F127" s="520" t="str">
        <f>IF(E127="","",IF(ISNA(VLOOKUP($E127,'A-1 Site Habitat Baseline'!$D$1:$O$258,4,FALSE)),"",(VLOOKUP($E127,'A-1 Site Habitat Baseline'!$D$1:$O$258,4,FALSE))))</f>
        <v/>
      </c>
      <c r="G127" s="520" t="str">
        <f>IF(E127="","",IF(ISNA(VLOOKUP($E127,'A-1 Site Habitat Baseline'!$D$1:$O$258,5,FALSE)),"",(VLOOKUP($E127,'A-1 Site Habitat Baseline'!$D$1:$O$258,5,FALSE))))</f>
        <v/>
      </c>
      <c r="H127" s="520" t="str">
        <f>IF(E127="","",IF(ISNA(VLOOKUP($E127,'A-1 Site Habitat Baseline'!$D$1:$O$258,6,FALSE)),"",(VLOOKUP($E127,'A-1 Site Habitat Baseline'!$D$1:$O$258,6,FALSE))))</f>
        <v/>
      </c>
      <c r="I127" s="520" t="str">
        <f>IF(E127="","",IF(ISNA(VLOOKUP($E127,'A-1 Site Habitat Baseline'!$D$1:$O$258,7,FALSE)),"",(VLOOKUP($E127,'A-1 Site Habitat Baseline'!$D$1:$O$258,7,FALSE))))</f>
        <v/>
      </c>
      <c r="J127" s="520" t="str">
        <f>IF(E127="","",IF(ISNA(VLOOKUP($E127,'A-1 Site Habitat Baseline'!$D$1:$O$258,8,FALSE)),"",(VLOOKUP($E127,'A-1 Site Habitat Baseline'!$D$1:$O$258,8,FALSE))))</f>
        <v/>
      </c>
      <c r="K127" s="520" t="str">
        <f>IF(E127="","",IF(ISNA(VLOOKUP($E127,'A-1 Site Habitat Baseline'!$D$1:$O$258,9,FALSE)),"",(VLOOKUP($E127,'A-1 Site Habitat Baseline'!$D$1:$O$258,9,FALSE))))</f>
        <v/>
      </c>
      <c r="L127" s="520" t="str">
        <f>IF(E127="","",IF(ISNA(VLOOKUP($E127,'A-1 Site Habitat Baseline'!$D$1:$O$258,11,FALSE)),"",(VLOOKUP($E127,'A-1 Site Habitat Baseline'!$D$1:$O$258,11,FALSE))))</f>
        <v/>
      </c>
      <c r="M127" s="520" t="str">
        <f>IF(E127="","",IF(ISNA(VLOOKUP($E127,'A-1 Site Habitat Baseline'!$D$1:$O$258,12,FALSE)),"",(VLOOKUP($E127,'A-1 Site Habitat Baseline'!$D$1:$O$258,12,FALSE))))</f>
        <v/>
      </c>
      <c r="N127" s="532" t="str">
        <f>IF(E127="","",IF(ISNA(VLOOKUP($E127,'A-1 Site Habitat Baseline'!$D$1:$X$258,14,FALSE)),"",(VLOOKUP($E127,'A-1 Site Habitat Baseline'!$D$1:$X$258,14,FALSE))))</f>
        <v/>
      </c>
      <c r="O127" s="524" t="str">
        <f>IF(E127="","",IF(ISNA(VLOOKUP($E127,'A-1 Site Habitat Baseline'!$D$1:$X$258,16,FALSE)),"",(VLOOKUP($E127,'A-1 Site Habitat Baseline'!$D$1:$X$258,13,FALSE))))</f>
        <v/>
      </c>
      <c r="P127" s="237" t="str">
        <f>IFERROR(INDEX('G-1 All Habitats'!$AG$3:$AG$15,MATCH(Q127,'G-1 All Habitats'!$AF$3:$AF$15,0)),"")</f>
        <v/>
      </c>
      <c r="Q127" s="238" t="str">
        <f t="shared" si="14"/>
        <v/>
      </c>
      <c r="R127" s="238" t="str">
        <f t="shared" si="15"/>
        <v/>
      </c>
      <c r="S127" s="392" t="str">
        <f>IFERROR(INDEX('G-1 All Habitats'!$B$3:$B$129,MATCH(R127,'G-1 All Habitats'!$A$3:$A$129,0)),"")</f>
        <v/>
      </c>
      <c r="T127" s="498" t="str">
        <f t="shared" si="16"/>
        <v/>
      </c>
      <c r="U127" s="499" t="str">
        <f t="shared" si="17"/>
        <v/>
      </c>
      <c r="V127" s="537" t="str">
        <f t="shared" si="11"/>
        <v/>
      </c>
      <c r="W127" s="520" t="str">
        <f>IF(S127="","",VLOOKUP(S127,'G-1 All Habitats'!$B$2:$M$129,10,FALSE))</f>
        <v/>
      </c>
      <c r="X127" s="520" t="str">
        <f>IFERROR(VLOOKUP(W127,'G-1 All Habitats'!$V$3:$W$7,2,FALSE),"")</f>
        <v/>
      </c>
      <c r="Y127" s="79"/>
      <c r="Z127" s="524" t="str">
        <f>IFERROR(INDEX('G-8 Condition Look up'!$A$3:$H$130,MATCH(S127,'G-8 Condition Look up'!$A$3:$A$130,0),MATCH(Y127,'G-8 Condition Look up'!$A$3:$H$3,0)),"")</f>
        <v/>
      </c>
      <c r="AA127" s="71"/>
      <c r="AB127" s="520" t="str">
        <f>IF(AA127="","",IF(VLOOKUP(AA127,'G-3 Multipliers'!$L$3:$N$6,2,FALSE)=0,"Spatial Data Missing ⚠",VLOOKUP(AA127,'G-3 Multipliers'!$L$3:$N$6,2,FALSE)))</f>
        <v/>
      </c>
      <c r="AC127" s="524" t="str">
        <f>IF(AA127="","",IF(VLOOKUP(AA127,'G-3 Multipliers'!$L$3:$N$6,3,FALSE)=0,"Spatial Data Missing ⚠",VLOOKUP(AA127,'G-3 Multipliers'!$L$3:$N$6,3,FALSE)))</f>
        <v/>
      </c>
      <c r="AD127" s="539" t="str">
        <f t="shared" si="12"/>
        <v/>
      </c>
      <c r="AE127" s="82"/>
      <c r="AF127" s="82"/>
      <c r="AG127" s="507" t="str">
        <f t="shared" si="18"/>
        <v/>
      </c>
      <c r="AH127" s="521" t="str">
        <f t="shared" si="19"/>
        <v/>
      </c>
      <c r="AI127" s="522" t="str">
        <f>IF(AH127="Check Data","Check Data",IFERROR(VLOOKUP(AH127,'G-4 Temporal multipliers'!$A$4:$C$36,3,FALSE),""))</f>
        <v/>
      </c>
      <c r="AJ127" s="498" t="str">
        <f>IF(S127="","",VLOOKUP(S127,'G-3 Multipliers'!$A$2:$E$129,4,FALSE))</f>
        <v/>
      </c>
      <c r="AK127" s="507" t="str">
        <f t="shared" si="20"/>
        <v/>
      </c>
      <c r="AL127" s="507" t="str">
        <f t="shared" si="21"/>
        <v/>
      </c>
      <c r="AM127" s="540" t="str">
        <f>IFERROR(IF(F127="","",IF(AH127="Check Data ⚠","Check Data ⚠",VLOOKUP(AL127, 'G-3 Multipliers'!$P$2:$Q$6,2,FALSE))),"")</f>
        <v/>
      </c>
      <c r="AN127" s="513" t="str">
        <f t="shared" si="13"/>
        <v/>
      </c>
      <c r="AO127" s="239"/>
      <c r="AP127" s="240"/>
    </row>
    <row r="128" spans="1:42" x14ac:dyDescent="0.3">
      <c r="A128" s="47" t="str">
        <f>IF(E128="","",IF(ISNA(VLOOKUP($E128,'A-1 Site Habitat Baseline'!$D$1:$O$258,2,FALSE)),"",(VLOOKUP($E128,'A-1 Site Habitat Baseline'!$D$1:$O$258,2,FALSE))))</f>
        <v/>
      </c>
      <c r="B128" s="47" t="str">
        <f>IF(E128="","",IF(ISNA(VLOOKUP($E128,'A-1 Site Habitat Baseline'!$D$1:$O$258,3,FALSE)),"",(VLOOKUP($E128,'A-1 Site Habitat Baseline'!$D$1:$O$258,3,FALSE))))</f>
        <v/>
      </c>
      <c r="C128" s="47" t="str">
        <f>IFERROR(INDEX('G-8 Condition Look up'!$I$4:$I$130,MATCH(S128,'G-8 Condition Look up'!$A$4:$A$130,0)),"")</f>
        <v/>
      </c>
      <c r="E128" s="531" t="str">
        <f>'A-1 Site Habitat Baseline'!AL127</f>
        <v/>
      </c>
      <c r="F128" s="520" t="str">
        <f>IF(E128="","",IF(ISNA(VLOOKUP($E128,'A-1 Site Habitat Baseline'!$D$1:$O$258,4,FALSE)),"",(VLOOKUP($E128,'A-1 Site Habitat Baseline'!$D$1:$O$258,4,FALSE))))</f>
        <v/>
      </c>
      <c r="G128" s="520" t="str">
        <f>IF(E128="","",IF(ISNA(VLOOKUP($E128,'A-1 Site Habitat Baseline'!$D$1:$O$258,5,FALSE)),"",(VLOOKUP($E128,'A-1 Site Habitat Baseline'!$D$1:$O$258,5,FALSE))))</f>
        <v/>
      </c>
      <c r="H128" s="520" t="str">
        <f>IF(E128="","",IF(ISNA(VLOOKUP($E128,'A-1 Site Habitat Baseline'!$D$1:$O$258,6,FALSE)),"",(VLOOKUP($E128,'A-1 Site Habitat Baseline'!$D$1:$O$258,6,FALSE))))</f>
        <v/>
      </c>
      <c r="I128" s="520" t="str">
        <f>IF(E128="","",IF(ISNA(VLOOKUP($E128,'A-1 Site Habitat Baseline'!$D$1:$O$258,7,FALSE)),"",(VLOOKUP($E128,'A-1 Site Habitat Baseline'!$D$1:$O$258,7,FALSE))))</f>
        <v/>
      </c>
      <c r="J128" s="520" t="str">
        <f>IF(E128="","",IF(ISNA(VLOOKUP($E128,'A-1 Site Habitat Baseline'!$D$1:$O$258,8,FALSE)),"",(VLOOKUP($E128,'A-1 Site Habitat Baseline'!$D$1:$O$258,8,FALSE))))</f>
        <v/>
      </c>
      <c r="K128" s="520" t="str">
        <f>IF(E128="","",IF(ISNA(VLOOKUP($E128,'A-1 Site Habitat Baseline'!$D$1:$O$258,9,FALSE)),"",(VLOOKUP($E128,'A-1 Site Habitat Baseline'!$D$1:$O$258,9,FALSE))))</f>
        <v/>
      </c>
      <c r="L128" s="520" t="str">
        <f>IF(E128="","",IF(ISNA(VLOOKUP($E128,'A-1 Site Habitat Baseline'!$D$1:$O$258,11,FALSE)),"",(VLOOKUP($E128,'A-1 Site Habitat Baseline'!$D$1:$O$258,11,FALSE))))</f>
        <v/>
      </c>
      <c r="M128" s="520" t="str">
        <f>IF(E128="","",IF(ISNA(VLOOKUP($E128,'A-1 Site Habitat Baseline'!$D$1:$O$258,12,FALSE)),"",(VLOOKUP($E128,'A-1 Site Habitat Baseline'!$D$1:$O$258,12,FALSE))))</f>
        <v/>
      </c>
      <c r="N128" s="532" t="str">
        <f>IF(E128="","",IF(ISNA(VLOOKUP($E128,'A-1 Site Habitat Baseline'!$D$1:$X$258,14,FALSE)),"",(VLOOKUP($E128,'A-1 Site Habitat Baseline'!$D$1:$X$258,14,FALSE))))</f>
        <v/>
      </c>
      <c r="O128" s="524" t="str">
        <f>IF(E128="","",IF(ISNA(VLOOKUP($E128,'A-1 Site Habitat Baseline'!$D$1:$X$258,16,FALSE)),"",(VLOOKUP($E128,'A-1 Site Habitat Baseline'!$D$1:$X$258,13,FALSE))))</f>
        <v/>
      </c>
      <c r="P128" s="237" t="str">
        <f>IFERROR(INDEX('G-1 All Habitats'!$AG$3:$AG$15,MATCH(Q128,'G-1 All Habitats'!$AF$3:$AF$15,0)),"")</f>
        <v/>
      </c>
      <c r="Q128" s="238" t="str">
        <f t="shared" si="14"/>
        <v/>
      </c>
      <c r="R128" s="238" t="str">
        <f t="shared" si="15"/>
        <v/>
      </c>
      <c r="S128" s="392" t="str">
        <f>IFERROR(INDEX('G-1 All Habitats'!$B$3:$B$129,MATCH(R128,'G-1 All Habitats'!$A$3:$A$129,0)),"")</f>
        <v/>
      </c>
      <c r="T128" s="498" t="str">
        <f t="shared" si="16"/>
        <v/>
      </c>
      <c r="U128" s="499" t="str">
        <f t="shared" si="17"/>
        <v/>
      </c>
      <c r="V128" s="537" t="str">
        <f t="shared" si="11"/>
        <v/>
      </c>
      <c r="W128" s="520" t="str">
        <f>IF(S128="","",VLOOKUP(S128,'G-1 All Habitats'!$B$2:$M$129,10,FALSE))</f>
        <v/>
      </c>
      <c r="X128" s="520" t="str">
        <f>IFERROR(VLOOKUP(W128,'G-1 All Habitats'!$V$3:$W$7,2,FALSE),"")</f>
        <v/>
      </c>
      <c r="Y128" s="79"/>
      <c r="Z128" s="524" t="str">
        <f>IFERROR(INDEX('G-8 Condition Look up'!$A$3:$H$130,MATCH(S128,'G-8 Condition Look up'!$A$3:$A$130,0),MATCH(Y128,'G-8 Condition Look up'!$A$3:$H$3,0)),"")</f>
        <v/>
      </c>
      <c r="AA128" s="71"/>
      <c r="AB128" s="520" t="str">
        <f>IF(AA128="","",IF(VLOOKUP(AA128,'G-3 Multipliers'!$L$3:$N$6,2,FALSE)=0,"Spatial Data Missing ⚠",VLOOKUP(AA128,'G-3 Multipliers'!$L$3:$N$6,2,FALSE)))</f>
        <v/>
      </c>
      <c r="AC128" s="524" t="str">
        <f>IF(AA128="","",IF(VLOOKUP(AA128,'G-3 Multipliers'!$L$3:$N$6,3,FALSE)=0,"Spatial Data Missing ⚠",VLOOKUP(AA128,'G-3 Multipliers'!$L$3:$N$6,3,FALSE)))</f>
        <v/>
      </c>
      <c r="AD128" s="539" t="str">
        <f t="shared" si="12"/>
        <v/>
      </c>
      <c r="AE128" s="82"/>
      <c r="AF128" s="82"/>
      <c r="AG128" s="507" t="str">
        <f t="shared" si="18"/>
        <v/>
      </c>
      <c r="AH128" s="521" t="str">
        <f t="shared" si="19"/>
        <v/>
      </c>
      <c r="AI128" s="522" t="str">
        <f>IF(AH128="Check Data","Check Data",IFERROR(VLOOKUP(AH128,'G-4 Temporal multipliers'!$A$4:$C$36,3,FALSE),""))</f>
        <v/>
      </c>
      <c r="AJ128" s="498" t="str">
        <f>IF(S128="","",VLOOKUP(S128,'G-3 Multipliers'!$A$2:$E$129,4,FALSE))</f>
        <v/>
      </c>
      <c r="AK128" s="507" t="str">
        <f t="shared" si="20"/>
        <v/>
      </c>
      <c r="AL128" s="507" t="str">
        <f t="shared" si="21"/>
        <v/>
      </c>
      <c r="AM128" s="540" t="str">
        <f>IFERROR(IF(F128="","",IF(AH128="Check Data ⚠","Check Data ⚠",VLOOKUP(AL128, 'G-3 Multipliers'!$P$2:$Q$6,2,FALSE))),"")</f>
        <v/>
      </c>
      <c r="AN128" s="513" t="str">
        <f t="shared" si="13"/>
        <v/>
      </c>
      <c r="AO128" s="239"/>
      <c r="AP128" s="240"/>
    </row>
    <row r="129" spans="1:42" x14ac:dyDescent="0.3">
      <c r="A129" s="47" t="str">
        <f>IF(E129="","",IF(ISNA(VLOOKUP($E129,'A-1 Site Habitat Baseline'!$D$1:$O$258,2,FALSE)),"",(VLOOKUP($E129,'A-1 Site Habitat Baseline'!$D$1:$O$258,2,FALSE))))</f>
        <v/>
      </c>
      <c r="B129" s="47" t="str">
        <f>IF(E129="","",IF(ISNA(VLOOKUP($E129,'A-1 Site Habitat Baseline'!$D$1:$O$258,3,FALSE)),"",(VLOOKUP($E129,'A-1 Site Habitat Baseline'!$D$1:$O$258,3,FALSE))))</f>
        <v/>
      </c>
      <c r="C129" s="47" t="str">
        <f>IFERROR(INDEX('G-8 Condition Look up'!$I$4:$I$130,MATCH(S129,'G-8 Condition Look up'!$A$4:$A$130,0)),"")</f>
        <v/>
      </c>
      <c r="E129" s="531" t="str">
        <f>'A-1 Site Habitat Baseline'!AL128</f>
        <v/>
      </c>
      <c r="F129" s="520" t="str">
        <f>IF(E129="","",IF(ISNA(VLOOKUP($E129,'A-1 Site Habitat Baseline'!$D$1:$O$258,4,FALSE)),"",(VLOOKUP($E129,'A-1 Site Habitat Baseline'!$D$1:$O$258,4,FALSE))))</f>
        <v/>
      </c>
      <c r="G129" s="520" t="str">
        <f>IF(E129="","",IF(ISNA(VLOOKUP($E129,'A-1 Site Habitat Baseline'!$D$1:$O$258,5,FALSE)),"",(VLOOKUP($E129,'A-1 Site Habitat Baseline'!$D$1:$O$258,5,FALSE))))</f>
        <v/>
      </c>
      <c r="H129" s="520" t="str">
        <f>IF(E129="","",IF(ISNA(VLOOKUP($E129,'A-1 Site Habitat Baseline'!$D$1:$O$258,6,FALSE)),"",(VLOOKUP($E129,'A-1 Site Habitat Baseline'!$D$1:$O$258,6,FALSE))))</f>
        <v/>
      </c>
      <c r="I129" s="520" t="str">
        <f>IF(E129="","",IF(ISNA(VLOOKUP($E129,'A-1 Site Habitat Baseline'!$D$1:$O$258,7,FALSE)),"",(VLOOKUP($E129,'A-1 Site Habitat Baseline'!$D$1:$O$258,7,FALSE))))</f>
        <v/>
      </c>
      <c r="J129" s="520" t="str">
        <f>IF(E129="","",IF(ISNA(VLOOKUP($E129,'A-1 Site Habitat Baseline'!$D$1:$O$258,8,FALSE)),"",(VLOOKUP($E129,'A-1 Site Habitat Baseline'!$D$1:$O$258,8,FALSE))))</f>
        <v/>
      </c>
      <c r="K129" s="520" t="str">
        <f>IF(E129="","",IF(ISNA(VLOOKUP($E129,'A-1 Site Habitat Baseline'!$D$1:$O$258,9,FALSE)),"",(VLOOKUP($E129,'A-1 Site Habitat Baseline'!$D$1:$O$258,9,FALSE))))</f>
        <v/>
      </c>
      <c r="L129" s="520" t="str">
        <f>IF(E129="","",IF(ISNA(VLOOKUP($E129,'A-1 Site Habitat Baseline'!$D$1:$O$258,11,FALSE)),"",(VLOOKUP($E129,'A-1 Site Habitat Baseline'!$D$1:$O$258,11,FALSE))))</f>
        <v/>
      </c>
      <c r="M129" s="520" t="str">
        <f>IF(E129="","",IF(ISNA(VLOOKUP($E129,'A-1 Site Habitat Baseline'!$D$1:$O$258,12,FALSE)),"",(VLOOKUP($E129,'A-1 Site Habitat Baseline'!$D$1:$O$258,12,FALSE))))</f>
        <v/>
      </c>
      <c r="N129" s="532" t="str">
        <f>IF(E129="","",IF(ISNA(VLOOKUP($E129,'A-1 Site Habitat Baseline'!$D$1:$X$258,14,FALSE)),"",(VLOOKUP($E129,'A-1 Site Habitat Baseline'!$D$1:$X$258,14,FALSE))))</f>
        <v/>
      </c>
      <c r="O129" s="524" t="str">
        <f>IF(E129="","",IF(ISNA(VLOOKUP($E129,'A-1 Site Habitat Baseline'!$D$1:$X$258,16,FALSE)),"",(VLOOKUP($E129,'A-1 Site Habitat Baseline'!$D$1:$X$258,13,FALSE))))</f>
        <v/>
      </c>
      <c r="P129" s="237" t="str">
        <f>IFERROR(INDEX('G-1 All Habitats'!$AG$3:$AG$15,MATCH(Q129,'G-1 All Habitats'!$AF$3:$AF$15,0)),"")</f>
        <v/>
      </c>
      <c r="Q129" s="238" t="str">
        <f t="shared" si="14"/>
        <v/>
      </c>
      <c r="R129" s="238" t="str">
        <f t="shared" si="15"/>
        <v/>
      </c>
      <c r="S129" s="392" t="str">
        <f>IFERROR(INDEX('G-1 All Habitats'!$B$3:$B$129,MATCH(R129,'G-1 All Habitats'!$A$3:$A$129,0)),"")</f>
        <v/>
      </c>
      <c r="T129" s="498" t="str">
        <f t="shared" si="16"/>
        <v/>
      </c>
      <c r="U129" s="499" t="str">
        <f t="shared" si="17"/>
        <v/>
      </c>
      <c r="V129" s="537" t="str">
        <f t="shared" si="11"/>
        <v/>
      </c>
      <c r="W129" s="520" t="str">
        <f>IF(S129="","",VLOOKUP(S129,'G-1 All Habitats'!$B$2:$M$129,10,FALSE))</f>
        <v/>
      </c>
      <c r="X129" s="520" t="str">
        <f>IFERROR(VLOOKUP(W129,'G-1 All Habitats'!$V$3:$W$7,2,FALSE),"")</f>
        <v/>
      </c>
      <c r="Y129" s="79"/>
      <c r="Z129" s="524" t="str">
        <f>IFERROR(INDEX('G-8 Condition Look up'!$A$3:$H$130,MATCH(S129,'G-8 Condition Look up'!$A$3:$A$130,0),MATCH(Y129,'G-8 Condition Look up'!$A$3:$H$3,0)),"")</f>
        <v/>
      </c>
      <c r="AA129" s="71"/>
      <c r="AB129" s="520" t="str">
        <f>IF(AA129="","",IF(VLOOKUP(AA129,'G-3 Multipliers'!$L$3:$N$6,2,FALSE)=0,"Spatial Data Missing ⚠",VLOOKUP(AA129,'G-3 Multipliers'!$L$3:$N$6,2,FALSE)))</f>
        <v/>
      </c>
      <c r="AC129" s="524" t="str">
        <f>IF(AA129="","",IF(VLOOKUP(AA129,'G-3 Multipliers'!$L$3:$N$6,3,FALSE)=0,"Spatial Data Missing ⚠",VLOOKUP(AA129,'G-3 Multipliers'!$L$3:$N$6,3,FALSE)))</f>
        <v/>
      </c>
      <c r="AD129" s="539" t="str">
        <f t="shared" si="12"/>
        <v/>
      </c>
      <c r="AE129" s="82"/>
      <c r="AF129" s="82"/>
      <c r="AG129" s="507" t="str">
        <f t="shared" si="18"/>
        <v/>
      </c>
      <c r="AH129" s="521" t="str">
        <f t="shared" si="19"/>
        <v/>
      </c>
      <c r="AI129" s="522" t="str">
        <f>IF(AH129="Check Data","Check Data",IFERROR(VLOOKUP(AH129,'G-4 Temporal multipliers'!$A$4:$C$36,3,FALSE),""))</f>
        <v/>
      </c>
      <c r="AJ129" s="498" t="str">
        <f>IF(S129="","",VLOOKUP(S129,'G-3 Multipliers'!$A$2:$E$129,4,FALSE))</f>
        <v/>
      </c>
      <c r="AK129" s="507" t="str">
        <f t="shared" si="20"/>
        <v/>
      </c>
      <c r="AL129" s="507" t="str">
        <f t="shared" si="21"/>
        <v/>
      </c>
      <c r="AM129" s="540" t="str">
        <f>IFERROR(IF(F129="","",IF(AH129="Check Data ⚠","Check Data ⚠",VLOOKUP(AL129, 'G-3 Multipliers'!$P$2:$Q$6,2,FALSE))),"")</f>
        <v/>
      </c>
      <c r="AN129" s="513" t="str">
        <f t="shared" si="13"/>
        <v/>
      </c>
      <c r="AO129" s="239"/>
      <c r="AP129" s="240"/>
    </row>
    <row r="130" spans="1:42" x14ac:dyDescent="0.3">
      <c r="A130" s="47" t="str">
        <f>IF(E130="","",IF(ISNA(VLOOKUP($E130,'A-1 Site Habitat Baseline'!$D$1:$O$258,2,FALSE)),"",(VLOOKUP($E130,'A-1 Site Habitat Baseline'!$D$1:$O$258,2,FALSE))))</f>
        <v/>
      </c>
      <c r="B130" s="47" t="str">
        <f>IF(E130="","",IF(ISNA(VLOOKUP($E130,'A-1 Site Habitat Baseline'!$D$1:$O$258,3,FALSE)),"",(VLOOKUP($E130,'A-1 Site Habitat Baseline'!$D$1:$O$258,3,FALSE))))</f>
        <v/>
      </c>
      <c r="C130" s="47" t="str">
        <f>IFERROR(INDEX('G-8 Condition Look up'!$I$4:$I$130,MATCH(S130,'G-8 Condition Look up'!$A$4:$A$130,0)),"")</f>
        <v/>
      </c>
      <c r="E130" s="531" t="str">
        <f>'A-1 Site Habitat Baseline'!AL129</f>
        <v/>
      </c>
      <c r="F130" s="520" t="str">
        <f>IF(E130="","",IF(ISNA(VLOOKUP($E130,'A-1 Site Habitat Baseline'!$D$1:$O$258,4,FALSE)),"",(VLOOKUP($E130,'A-1 Site Habitat Baseline'!$D$1:$O$258,4,FALSE))))</f>
        <v/>
      </c>
      <c r="G130" s="520" t="str">
        <f>IF(E130="","",IF(ISNA(VLOOKUP($E130,'A-1 Site Habitat Baseline'!$D$1:$O$258,5,FALSE)),"",(VLOOKUP($E130,'A-1 Site Habitat Baseline'!$D$1:$O$258,5,FALSE))))</f>
        <v/>
      </c>
      <c r="H130" s="520" t="str">
        <f>IF(E130="","",IF(ISNA(VLOOKUP($E130,'A-1 Site Habitat Baseline'!$D$1:$O$258,6,FALSE)),"",(VLOOKUP($E130,'A-1 Site Habitat Baseline'!$D$1:$O$258,6,FALSE))))</f>
        <v/>
      </c>
      <c r="I130" s="520" t="str">
        <f>IF(E130="","",IF(ISNA(VLOOKUP($E130,'A-1 Site Habitat Baseline'!$D$1:$O$258,7,FALSE)),"",(VLOOKUP($E130,'A-1 Site Habitat Baseline'!$D$1:$O$258,7,FALSE))))</f>
        <v/>
      </c>
      <c r="J130" s="520" t="str">
        <f>IF(E130="","",IF(ISNA(VLOOKUP($E130,'A-1 Site Habitat Baseline'!$D$1:$O$258,8,FALSE)),"",(VLOOKUP($E130,'A-1 Site Habitat Baseline'!$D$1:$O$258,8,FALSE))))</f>
        <v/>
      </c>
      <c r="K130" s="520" t="str">
        <f>IF(E130="","",IF(ISNA(VLOOKUP($E130,'A-1 Site Habitat Baseline'!$D$1:$O$258,9,FALSE)),"",(VLOOKUP($E130,'A-1 Site Habitat Baseline'!$D$1:$O$258,9,FALSE))))</f>
        <v/>
      </c>
      <c r="L130" s="520" t="str">
        <f>IF(E130="","",IF(ISNA(VLOOKUP($E130,'A-1 Site Habitat Baseline'!$D$1:$O$258,11,FALSE)),"",(VLOOKUP($E130,'A-1 Site Habitat Baseline'!$D$1:$O$258,11,FALSE))))</f>
        <v/>
      </c>
      <c r="M130" s="520" t="str">
        <f>IF(E130="","",IF(ISNA(VLOOKUP($E130,'A-1 Site Habitat Baseline'!$D$1:$O$258,12,FALSE)),"",(VLOOKUP($E130,'A-1 Site Habitat Baseline'!$D$1:$O$258,12,FALSE))))</f>
        <v/>
      </c>
      <c r="N130" s="532" t="str">
        <f>IF(E130="","",IF(ISNA(VLOOKUP($E130,'A-1 Site Habitat Baseline'!$D$1:$X$258,14,FALSE)),"",(VLOOKUP($E130,'A-1 Site Habitat Baseline'!$D$1:$X$258,14,FALSE))))</f>
        <v/>
      </c>
      <c r="O130" s="524" t="str">
        <f>IF(E130="","",IF(ISNA(VLOOKUP($E130,'A-1 Site Habitat Baseline'!$D$1:$X$258,16,FALSE)),"",(VLOOKUP($E130,'A-1 Site Habitat Baseline'!$D$1:$X$258,13,FALSE))))</f>
        <v/>
      </c>
      <c r="P130" s="237" t="str">
        <f>IFERROR(INDEX('G-1 All Habitats'!$AG$3:$AG$15,MATCH(Q130,'G-1 All Habitats'!$AF$3:$AF$15,0)),"")</f>
        <v/>
      </c>
      <c r="Q130" s="238" t="str">
        <f t="shared" si="14"/>
        <v/>
      </c>
      <c r="R130" s="238" t="str">
        <f t="shared" si="15"/>
        <v/>
      </c>
      <c r="S130" s="392" t="str">
        <f>IFERROR(INDEX('G-1 All Habitats'!$B$3:$B$129,MATCH(R130,'G-1 All Habitats'!$A$3:$A$129,0)),"")</f>
        <v/>
      </c>
      <c r="T130" s="498" t="str">
        <f t="shared" si="16"/>
        <v/>
      </c>
      <c r="U130" s="499" t="str">
        <f t="shared" si="17"/>
        <v/>
      </c>
      <c r="V130" s="537" t="str">
        <f t="shared" si="11"/>
        <v/>
      </c>
      <c r="W130" s="520" t="str">
        <f>IF(S130="","",VLOOKUP(S130,'G-1 All Habitats'!$B$2:$M$129,10,FALSE))</f>
        <v/>
      </c>
      <c r="X130" s="520" t="str">
        <f>IFERROR(VLOOKUP(W130,'G-1 All Habitats'!$V$3:$W$7,2,FALSE),"")</f>
        <v/>
      </c>
      <c r="Y130" s="79"/>
      <c r="Z130" s="524" t="str">
        <f>IFERROR(INDEX('G-8 Condition Look up'!$A$3:$H$130,MATCH(S130,'G-8 Condition Look up'!$A$3:$A$130,0),MATCH(Y130,'G-8 Condition Look up'!$A$3:$H$3,0)),"")</f>
        <v/>
      </c>
      <c r="AA130" s="71"/>
      <c r="AB130" s="520" t="str">
        <f>IF(AA130="","",IF(VLOOKUP(AA130,'G-3 Multipliers'!$L$3:$N$6,2,FALSE)=0,"Spatial Data Missing ⚠",VLOOKUP(AA130,'G-3 Multipliers'!$L$3:$N$6,2,FALSE)))</f>
        <v/>
      </c>
      <c r="AC130" s="524" t="str">
        <f>IF(AA130="","",IF(VLOOKUP(AA130,'G-3 Multipliers'!$L$3:$N$6,3,FALSE)=0,"Spatial Data Missing ⚠",VLOOKUP(AA130,'G-3 Multipliers'!$L$3:$N$6,3,FALSE)))</f>
        <v/>
      </c>
      <c r="AD130" s="539" t="str">
        <f t="shared" si="12"/>
        <v/>
      </c>
      <c r="AE130" s="82"/>
      <c r="AF130" s="82"/>
      <c r="AG130" s="507" t="str">
        <f t="shared" si="18"/>
        <v/>
      </c>
      <c r="AH130" s="521" t="str">
        <f t="shared" si="19"/>
        <v/>
      </c>
      <c r="AI130" s="522" t="str">
        <f>IF(AH130="Check Data","Check Data",IFERROR(VLOOKUP(AH130,'G-4 Temporal multipliers'!$A$4:$C$36,3,FALSE),""))</f>
        <v/>
      </c>
      <c r="AJ130" s="498" t="str">
        <f>IF(S130="","",VLOOKUP(S130,'G-3 Multipliers'!$A$2:$E$129,4,FALSE))</f>
        <v/>
      </c>
      <c r="AK130" s="507" t="str">
        <f t="shared" si="20"/>
        <v/>
      </c>
      <c r="AL130" s="507" t="str">
        <f t="shared" si="21"/>
        <v/>
      </c>
      <c r="AM130" s="540" t="str">
        <f>IFERROR(IF(F130="","",IF(AH130="Check Data ⚠","Check Data ⚠",VLOOKUP(AL130, 'G-3 Multipliers'!$P$2:$Q$6,2,FALSE))),"")</f>
        <v/>
      </c>
      <c r="AN130" s="513" t="str">
        <f t="shared" si="13"/>
        <v/>
      </c>
      <c r="AO130" s="239"/>
      <c r="AP130" s="240"/>
    </row>
    <row r="131" spans="1:42" x14ac:dyDescent="0.3">
      <c r="A131" s="47" t="str">
        <f>IF(E131="","",IF(ISNA(VLOOKUP($E131,'A-1 Site Habitat Baseline'!$D$1:$O$258,2,FALSE)),"",(VLOOKUP($E131,'A-1 Site Habitat Baseline'!$D$1:$O$258,2,FALSE))))</f>
        <v/>
      </c>
      <c r="B131" s="47" t="str">
        <f>IF(E131="","",IF(ISNA(VLOOKUP($E131,'A-1 Site Habitat Baseline'!$D$1:$O$258,3,FALSE)),"",(VLOOKUP($E131,'A-1 Site Habitat Baseline'!$D$1:$O$258,3,FALSE))))</f>
        <v/>
      </c>
      <c r="C131" s="47" t="str">
        <f>IFERROR(INDEX('G-8 Condition Look up'!$I$4:$I$130,MATCH(S131,'G-8 Condition Look up'!$A$4:$A$130,0)),"")</f>
        <v/>
      </c>
      <c r="E131" s="531" t="str">
        <f>'A-1 Site Habitat Baseline'!AL130</f>
        <v/>
      </c>
      <c r="F131" s="520" t="str">
        <f>IF(E131="","",IF(ISNA(VLOOKUP($E131,'A-1 Site Habitat Baseline'!$D$1:$O$258,4,FALSE)),"",(VLOOKUP($E131,'A-1 Site Habitat Baseline'!$D$1:$O$258,4,FALSE))))</f>
        <v/>
      </c>
      <c r="G131" s="520" t="str">
        <f>IF(E131="","",IF(ISNA(VLOOKUP($E131,'A-1 Site Habitat Baseline'!$D$1:$O$258,5,FALSE)),"",(VLOOKUP($E131,'A-1 Site Habitat Baseline'!$D$1:$O$258,5,FALSE))))</f>
        <v/>
      </c>
      <c r="H131" s="520" t="str">
        <f>IF(E131="","",IF(ISNA(VLOOKUP($E131,'A-1 Site Habitat Baseline'!$D$1:$O$258,6,FALSE)),"",(VLOOKUP($E131,'A-1 Site Habitat Baseline'!$D$1:$O$258,6,FALSE))))</f>
        <v/>
      </c>
      <c r="I131" s="520" t="str">
        <f>IF(E131="","",IF(ISNA(VLOOKUP($E131,'A-1 Site Habitat Baseline'!$D$1:$O$258,7,FALSE)),"",(VLOOKUP($E131,'A-1 Site Habitat Baseline'!$D$1:$O$258,7,FALSE))))</f>
        <v/>
      </c>
      <c r="J131" s="520" t="str">
        <f>IF(E131="","",IF(ISNA(VLOOKUP($E131,'A-1 Site Habitat Baseline'!$D$1:$O$258,8,FALSE)),"",(VLOOKUP($E131,'A-1 Site Habitat Baseline'!$D$1:$O$258,8,FALSE))))</f>
        <v/>
      </c>
      <c r="K131" s="520" t="str">
        <f>IF(E131="","",IF(ISNA(VLOOKUP($E131,'A-1 Site Habitat Baseline'!$D$1:$O$258,9,FALSE)),"",(VLOOKUP($E131,'A-1 Site Habitat Baseline'!$D$1:$O$258,9,FALSE))))</f>
        <v/>
      </c>
      <c r="L131" s="520" t="str">
        <f>IF(E131="","",IF(ISNA(VLOOKUP($E131,'A-1 Site Habitat Baseline'!$D$1:$O$258,11,FALSE)),"",(VLOOKUP($E131,'A-1 Site Habitat Baseline'!$D$1:$O$258,11,FALSE))))</f>
        <v/>
      </c>
      <c r="M131" s="520" t="str">
        <f>IF(E131="","",IF(ISNA(VLOOKUP($E131,'A-1 Site Habitat Baseline'!$D$1:$O$258,12,FALSE)),"",(VLOOKUP($E131,'A-1 Site Habitat Baseline'!$D$1:$O$258,12,FALSE))))</f>
        <v/>
      </c>
      <c r="N131" s="532" t="str">
        <f>IF(E131="","",IF(ISNA(VLOOKUP($E131,'A-1 Site Habitat Baseline'!$D$1:$X$258,14,FALSE)),"",(VLOOKUP($E131,'A-1 Site Habitat Baseline'!$D$1:$X$258,14,FALSE))))</f>
        <v/>
      </c>
      <c r="O131" s="524" t="str">
        <f>IF(E131="","",IF(ISNA(VLOOKUP($E131,'A-1 Site Habitat Baseline'!$D$1:$X$258,16,FALSE)),"",(VLOOKUP($E131,'A-1 Site Habitat Baseline'!$D$1:$X$258,13,FALSE))))</f>
        <v/>
      </c>
      <c r="P131" s="237" t="str">
        <f>IFERROR(INDEX('G-1 All Habitats'!$AG$3:$AG$15,MATCH(Q131,'G-1 All Habitats'!$AF$3:$AF$15,0)),"")</f>
        <v/>
      </c>
      <c r="Q131" s="238" t="str">
        <f t="shared" si="14"/>
        <v/>
      </c>
      <c r="R131" s="238" t="str">
        <f t="shared" si="15"/>
        <v/>
      </c>
      <c r="S131" s="392" t="str">
        <f>IFERROR(INDEX('G-1 All Habitats'!$B$3:$B$129,MATCH(R131,'G-1 All Habitats'!$A$3:$A$129,0)),"")</f>
        <v/>
      </c>
      <c r="T131" s="498" t="str">
        <f t="shared" si="16"/>
        <v/>
      </c>
      <c r="U131" s="499" t="str">
        <f t="shared" si="17"/>
        <v/>
      </c>
      <c r="V131" s="537" t="str">
        <f t="shared" si="11"/>
        <v/>
      </c>
      <c r="W131" s="520" t="str">
        <f>IF(S131="","",VLOOKUP(S131,'G-1 All Habitats'!$B$2:$M$129,10,FALSE))</f>
        <v/>
      </c>
      <c r="X131" s="520" t="str">
        <f>IFERROR(VLOOKUP(W131,'G-1 All Habitats'!$V$3:$W$7,2,FALSE),"")</f>
        <v/>
      </c>
      <c r="Y131" s="79"/>
      <c r="Z131" s="524" t="str">
        <f>IFERROR(INDEX('G-8 Condition Look up'!$A$3:$H$130,MATCH(S131,'G-8 Condition Look up'!$A$3:$A$130,0),MATCH(Y131,'G-8 Condition Look up'!$A$3:$H$3,0)),"")</f>
        <v/>
      </c>
      <c r="AA131" s="71"/>
      <c r="AB131" s="520" t="str">
        <f>IF(AA131="","",IF(VLOOKUP(AA131,'G-3 Multipliers'!$L$3:$N$6,2,FALSE)=0,"Spatial Data Missing ⚠",VLOOKUP(AA131,'G-3 Multipliers'!$L$3:$N$6,2,FALSE)))</f>
        <v/>
      </c>
      <c r="AC131" s="524" t="str">
        <f>IF(AA131="","",IF(VLOOKUP(AA131,'G-3 Multipliers'!$L$3:$N$6,3,FALSE)=0,"Spatial Data Missing ⚠",VLOOKUP(AA131,'G-3 Multipliers'!$L$3:$N$6,3,FALSE)))</f>
        <v/>
      </c>
      <c r="AD131" s="539" t="str">
        <f t="shared" si="12"/>
        <v/>
      </c>
      <c r="AE131" s="82"/>
      <c r="AF131" s="82"/>
      <c r="AG131" s="507" t="str">
        <f t="shared" si="18"/>
        <v/>
      </c>
      <c r="AH131" s="521" t="str">
        <f t="shared" si="19"/>
        <v/>
      </c>
      <c r="AI131" s="522" t="str">
        <f>IF(AH131="Check Data","Check Data",IFERROR(VLOOKUP(AH131,'G-4 Temporal multipliers'!$A$4:$C$36,3,FALSE),""))</f>
        <v/>
      </c>
      <c r="AJ131" s="498" t="str">
        <f>IF(S131="","",VLOOKUP(S131,'G-3 Multipliers'!$A$2:$E$129,4,FALSE))</f>
        <v/>
      </c>
      <c r="AK131" s="507" t="str">
        <f t="shared" si="20"/>
        <v/>
      </c>
      <c r="AL131" s="507" t="str">
        <f t="shared" si="21"/>
        <v/>
      </c>
      <c r="AM131" s="540" t="str">
        <f>IFERROR(IF(F131="","",IF(AH131="Check Data ⚠","Check Data ⚠",VLOOKUP(AL131, 'G-3 Multipliers'!$P$2:$Q$6,2,FALSE))),"")</f>
        <v/>
      </c>
      <c r="AN131" s="513" t="str">
        <f t="shared" si="13"/>
        <v/>
      </c>
      <c r="AO131" s="239"/>
      <c r="AP131" s="240"/>
    </row>
    <row r="132" spans="1:42" x14ac:dyDescent="0.3">
      <c r="A132" s="47" t="str">
        <f>IF(E132="","",IF(ISNA(VLOOKUP($E132,'A-1 Site Habitat Baseline'!$D$1:$O$258,2,FALSE)),"",(VLOOKUP($E132,'A-1 Site Habitat Baseline'!$D$1:$O$258,2,FALSE))))</f>
        <v/>
      </c>
      <c r="B132" s="47" t="str">
        <f>IF(E132="","",IF(ISNA(VLOOKUP($E132,'A-1 Site Habitat Baseline'!$D$1:$O$258,3,FALSE)),"",(VLOOKUP($E132,'A-1 Site Habitat Baseline'!$D$1:$O$258,3,FALSE))))</f>
        <v/>
      </c>
      <c r="C132" s="47" t="str">
        <f>IFERROR(INDEX('G-8 Condition Look up'!$I$4:$I$130,MATCH(S132,'G-8 Condition Look up'!$A$4:$A$130,0)),"")</f>
        <v/>
      </c>
      <c r="E132" s="531" t="str">
        <f>'A-1 Site Habitat Baseline'!AL131</f>
        <v/>
      </c>
      <c r="F132" s="520" t="str">
        <f>IF(E132="","",IF(ISNA(VLOOKUP($E132,'A-1 Site Habitat Baseline'!$D$1:$O$258,4,FALSE)),"",(VLOOKUP($E132,'A-1 Site Habitat Baseline'!$D$1:$O$258,4,FALSE))))</f>
        <v/>
      </c>
      <c r="G132" s="520" t="str">
        <f>IF(E132="","",IF(ISNA(VLOOKUP($E132,'A-1 Site Habitat Baseline'!$D$1:$O$258,5,FALSE)),"",(VLOOKUP($E132,'A-1 Site Habitat Baseline'!$D$1:$O$258,5,FALSE))))</f>
        <v/>
      </c>
      <c r="H132" s="520" t="str">
        <f>IF(E132="","",IF(ISNA(VLOOKUP($E132,'A-1 Site Habitat Baseline'!$D$1:$O$258,6,FALSE)),"",(VLOOKUP($E132,'A-1 Site Habitat Baseline'!$D$1:$O$258,6,FALSE))))</f>
        <v/>
      </c>
      <c r="I132" s="520" t="str">
        <f>IF(E132="","",IF(ISNA(VLOOKUP($E132,'A-1 Site Habitat Baseline'!$D$1:$O$258,7,FALSE)),"",(VLOOKUP($E132,'A-1 Site Habitat Baseline'!$D$1:$O$258,7,FALSE))))</f>
        <v/>
      </c>
      <c r="J132" s="520" t="str">
        <f>IF(E132="","",IF(ISNA(VLOOKUP($E132,'A-1 Site Habitat Baseline'!$D$1:$O$258,8,FALSE)),"",(VLOOKUP($E132,'A-1 Site Habitat Baseline'!$D$1:$O$258,8,FALSE))))</f>
        <v/>
      </c>
      <c r="K132" s="520" t="str">
        <f>IF(E132="","",IF(ISNA(VLOOKUP($E132,'A-1 Site Habitat Baseline'!$D$1:$O$258,9,FALSE)),"",(VLOOKUP($E132,'A-1 Site Habitat Baseline'!$D$1:$O$258,9,FALSE))))</f>
        <v/>
      </c>
      <c r="L132" s="520" t="str">
        <f>IF(E132="","",IF(ISNA(VLOOKUP($E132,'A-1 Site Habitat Baseline'!$D$1:$O$258,11,FALSE)),"",(VLOOKUP($E132,'A-1 Site Habitat Baseline'!$D$1:$O$258,11,FALSE))))</f>
        <v/>
      </c>
      <c r="M132" s="520" t="str">
        <f>IF(E132="","",IF(ISNA(VLOOKUP($E132,'A-1 Site Habitat Baseline'!$D$1:$O$258,12,FALSE)),"",(VLOOKUP($E132,'A-1 Site Habitat Baseline'!$D$1:$O$258,12,FALSE))))</f>
        <v/>
      </c>
      <c r="N132" s="532" t="str">
        <f>IF(E132="","",IF(ISNA(VLOOKUP($E132,'A-1 Site Habitat Baseline'!$D$1:$X$258,14,FALSE)),"",(VLOOKUP($E132,'A-1 Site Habitat Baseline'!$D$1:$X$258,14,FALSE))))</f>
        <v/>
      </c>
      <c r="O132" s="524" t="str">
        <f>IF(E132="","",IF(ISNA(VLOOKUP($E132,'A-1 Site Habitat Baseline'!$D$1:$X$258,16,FALSE)),"",(VLOOKUP($E132,'A-1 Site Habitat Baseline'!$D$1:$X$258,13,FALSE))))</f>
        <v/>
      </c>
      <c r="P132" s="237" t="str">
        <f>IFERROR(INDEX('G-1 All Habitats'!$AG$3:$AG$15,MATCH(Q132,'G-1 All Habitats'!$AF$3:$AF$15,0)),"")</f>
        <v/>
      </c>
      <c r="Q132" s="238" t="str">
        <f t="shared" si="14"/>
        <v/>
      </c>
      <c r="R132" s="238" t="str">
        <f t="shared" si="15"/>
        <v/>
      </c>
      <c r="S132" s="392" t="str">
        <f>IFERROR(INDEX('G-1 All Habitats'!$B$3:$B$129,MATCH(R132,'G-1 All Habitats'!$A$3:$A$129,0)),"")</f>
        <v/>
      </c>
      <c r="T132" s="498" t="str">
        <f t="shared" si="16"/>
        <v/>
      </c>
      <c r="U132" s="499" t="str">
        <f t="shared" si="17"/>
        <v/>
      </c>
      <c r="V132" s="537" t="str">
        <f t="shared" si="11"/>
        <v/>
      </c>
      <c r="W132" s="520" t="str">
        <f>IF(S132="","",VLOOKUP(S132,'G-1 All Habitats'!$B$2:$M$129,10,FALSE))</f>
        <v/>
      </c>
      <c r="X132" s="520" t="str">
        <f>IFERROR(VLOOKUP(W132,'G-1 All Habitats'!$V$3:$W$7,2,FALSE),"")</f>
        <v/>
      </c>
      <c r="Y132" s="79"/>
      <c r="Z132" s="524" t="str">
        <f>IFERROR(INDEX('G-8 Condition Look up'!$A$3:$H$130,MATCH(S132,'G-8 Condition Look up'!$A$3:$A$130,0),MATCH(Y132,'G-8 Condition Look up'!$A$3:$H$3,0)),"")</f>
        <v/>
      </c>
      <c r="AA132" s="71"/>
      <c r="AB132" s="520" t="str">
        <f>IF(AA132="","",IF(VLOOKUP(AA132,'G-3 Multipliers'!$L$3:$N$6,2,FALSE)=0,"Spatial Data Missing ⚠",VLOOKUP(AA132,'G-3 Multipliers'!$L$3:$N$6,2,FALSE)))</f>
        <v/>
      </c>
      <c r="AC132" s="524" t="str">
        <f>IF(AA132="","",IF(VLOOKUP(AA132,'G-3 Multipliers'!$L$3:$N$6,3,FALSE)=0,"Spatial Data Missing ⚠",VLOOKUP(AA132,'G-3 Multipliers'!$L$3:$N$6,3,FALSE)))</f>
        <v/>
      </c>
      <c r="AD132" s="539" t="str">
        <f t="shared" si="12"/>
        <v/>
      </c>
      <c r="AE132" s="82"/>
      <c r="AF132" s="82"/>
      <c r="AG132" s="507" t="str">
        <f t="shared" si="18"/>
        <v/>
      </c>
      <c r="AH132" s="521" t="str">
        <f t="shared" si="19"/>
        <v/>
      </c>
      <c r="AI132" s="522" t="str">
        <f>IF(AH132="Check Data","Check Data",IFERROR(VLOOKUP(AH132,'G-4 Temporal multipliers'!$A$4:$C$36,3,FALSE),""))</f>
        <v/>
      </c>
      <c r="AJ132" s="498" t="str">
        <f>IF(S132="","",VLOOKUP(S132,'G-3 Multipliers'!$A$2:$E$129,4,FALSE))</f>
        <v/>
      </c>
      <c r="AK132" s="507" t="str">
        <f t="shared" si="20"/>
        <v/>
      </c>
      <c r="AL132" s="507" t="str">
        <f t="shared" si="21"/>
        <v/>
      </c>
      <c r="AM132" s="540" t="str">
        <f>IFERROR(IF(F132="","",IF(AH132="Check Data ⚠","Check Data ⚠",VLOOKUP(AL132, 'G-3 Multipliers'!$P$2:$Q$6,2,FALSE))),"")</f>
        <v/>
      </c>
      <c r="AN132" s="513" t="str">
        <f t="shared" si="13"/>
        <v/>
      </c>
      <c r="AO132" s="239"/>
      <c r="AP132" s="240"/>
    </row>
    <row r="133" spans="1:42" x14ac:dyDescent="0.3">
      <c r="A133" s="47" t="str">
        <f>IF(E133="","",IF(ISNA(VLOOKUP($E133,'A-1 Site Habitat Baseline'!$D$1:$O$258,2,FALSE)),"",(VLOOKUP($E133,'A-1 Site Habitat Baseline'!$D$1:$O$258,2,FALSE))))</f>
        <v/>
      </c>
      <c r="B133" s="47" t="str">
        <f>IF(E133="","",IF(ISNA(VLOOKUP($E133,'A-1 Site Habitat Baseline'!$D$1:$O$258,3,FALSE)),"",(VLOOKUP($E133,'A-1 Site Habitat Baseline'!$D$1:$O$258,3,FALSE))))</f>
        <v/>
      </c>
      <c r="C133" s="47" t="str">
        <f>IFERROR(INDEX('G-8 Condition Look up'!$I$4:$I$130,MATCH(S133,'G-8 Condition Look up'!$A$4:$A$130,0)),"")</f>
        <v/>
      </c>
      <c r="E133" s="531" t="str">
        <f>'A-1 Site Habitat Baseline'!AL132</f>
        <v/>
      </c>
      <c r="F133" s="520" t="str">
        <f>IF(E133="","",IF(ISNA(VLOOKUP($E133,'A-1 Site Habitat Baseline'!$D$1:$O$258,4,FALSE)),"",(VLOOKUP($E133,'A-1 Site Habitat Baseline'!$D$1:$O$258,4,FALSE))))</f>
        <v/>
      </c>
      <c r="G133" s="520" t="str">
        <f>IF(E133="","",IF(ISNA(VLOOKUP($E133,'A-1 Site Habitat Baseline'!$D$1:$O$258,5,FALSE)),"",(VLOOKUP($E133,'A-1 Site Habitat Baseline'!$D$1:$O$258,5,FALSE))))</f>
        <v/>
      </c>
      <c r="H133" s="520" t="str">
        <f>IF(E133="","",IF(ISNA(VLOOKUP($E133,'A-1 Site Habitat Baseline'!$D$1:$O$258,6,FALSE)),"",(VLOOKUP($E133,'A-1 Site Habitat Baseline'!$D$1:$O$258,6,FALSE))))</f>
        <v/>
      </c>
      <c r="I133" s="520" t="str">
        <f>IF(E133="","",IF(ISNA(VLOOKUP($E133,'A-1 Site Habitat Baseline'!$D$1:$O$258,7,FALSE)),"",(VLOOKUP($E133,'A-1 Site Habitat Baseline'!$D$1:$O$258,7,FALSE))))</f>
        <v/>
      </c>
      <c r="J133" s="520" t="str">
        <f>IF(E133="","",IF(ISNA(VLOOKUP($E133,'A-1 Site Habitat Baseline'!$D$1:$O$258,8,FALSE)),"",(VLOOKUP($E133,'A-1 Site Habitat Baseline'!$D$1:$O$258,8,FALSE))))</f>
        <v/>
      </c>
      <c r="K133" s="520" t="str">
        <f>IF(E133="","",IF(ISNA(VLOOKUP($E133,'A-1 Site Habitat Baseline'!$D$1:$O$258,9,FALSE)),"",(VLOOKUP($E133,'A-1 Site Habitat Baseline'!$D$1:$O$258,9,FALSE))))</f>
        <v/>
      </c>
      <c r="L133" s="520" t="str">
        <f>IF(E133="","",IF(ISNA(VLOOKUP($E133,'A-1 Site Habitat Baseline'!$D$1:$O$258,11,FALSE)),"",(VLOOKUP($E133,'A-1 Site Habitat Baseline'!$D$1:$O$258,11,FALSE))))</f>
        <v/>
      </c>
      <c r="M133" s="520" t="str">
        <f>IF(E133="","",IF(ISNA(VLOOKUP($E133,'A-1 Site Habitat Baseline'!$D$1:$O$258,12,FALSE)),"",(VLOOKUP($E133,'A-1 Site Habitat Baseline'!$D$1:$O$258,12,FALSE))))</f>
        <v/>
      </c>
      <c r="N133" s="532" t="str">
        <f>IF(E133="","",IF(ISNA(VLOOKUP($E133,'A-1 Site Habitat Baseline'!$D$1:$X$258,14,FALSE)),"",(VLOOKUP($E133,'A-1 Site Habitat Baseline'!$D$1:$X$258,14,FALSE))))</f>
        <v/>
      </c>
      <c r="O133" s="524" t="str">
        <f>IF(E133="","",IF(ISNA(VLOOKUP($E133,'A-1 Site Habitat Baseline'!$D$1:$X$258,16,FALSE)),"",(VLOOKUP($E133,'A-1 Site Habitat Baseline'!$D$1:$X$258,13,FALSE))))</f>
        <v/>
      </c>
      <c r="P133" s="237" t="str">
        <f>IFERROR(INDEX('G-1 All Habitats'!$AG$3:$AG$15,MATCH(Q133,'G-1 All Habitats'!$AF$3:$AF$15,0)),"")</f>
        <v/>
      </c>
      <c r="Q133" s="238" t="str">
        <f t="shared" si="14"/>
        <v/>
      </c>
      <c r="R133" s="238" t="str">
        <f t="shared" si="15"/>
        <v/>
      </c>
      <c r="S133" s="392" t="str">
        <f>IFERROR(INDEX('G-1 All Habitats'!$B$3:$B$129,MATCH(R133,'G-1 All Habitats'!$A$3:$A$129,0)),"")</f>
        <v/>
      </c>
      <c r="T133" s="498" t="str">
        <f t="shared" si="16"/>
        <v/>
      </c>
      <c r="U133" s="499" t="str">
        <f t="shared" si="17"/>
        <v/>
      </c>
      <c r="V133" s="537" t="str">
        <f t="shared" si="11"/>
        <v/>
      </c>
      <c r="W133" s="520" t="str">
        <f>IF(S133="","",VLOOKUP(S133,'G-1 All Habitats'!$B$2:$M$129,10,FALSE))</f>
        <v/>
      </c>
      <c r="X133" s="520" t="str">
        <f>IFERROR(VLOOKUP(W133,'G-1 All Habitats'!$V$3:$W$7,2,FALSE),"")</f>
        <v/>
      </c>
      <c r="Y133" s="79"/>
      <c r="Z133" s="524" t="str">
        <f>IFERROR(INDEX('G-8 Condition Look up'!$A$3:$H$130,MATCH(S133,'G-8 Condition Look up'!$A$3:$A$130,0),MATCH(Y133,'G-8 Condition Look up'!$A$3:$H$3,0)),"")</f>
        <v/>
      </c>
      <c r="AA133" s="71"/>
      <c r="AB133" s="520" t="str">
        <f>IF(AA133="","",IF(VLOOKUP(AA133,'G-3 Multipliers'!$L$3:$N$6,2,FALSE)=0,"Spatial Data Missing ⚠",VLOOKUP(AA133,'G-3 Multipliers'!$L$3:$N$6,2,FALSE)))</f>
        <v/>
      </c>
      <c r="AC133" s="524" t="str">
        <f>IF(AA133="","",IF(VLOOKUP(AA133,'G-3 Multipliers'!$L$3:$N$6,3,FALSE)=0,"Spatial Data Missing ⚠",VLOOKUP(AA133,'G-3 Multipliers'!$L$3:$N$6,3,FALSE)))</f>
        <v/>
      </c>
      <c r="AD133" s="539" t="str">
        <f t="shared" si="12"/>
        <v/>
      </c>
      <c r="AE133" s="82"/>
      <c r="AF133" s="82"/>
      <c r="AG133" s="507" t="str">
        <f t="shared" si="18"/>
        <v/>
      </c>
      <c r="AH133" s="521" t="str">
        <f t="shared" si="19"/>
        <v/>
      </c>
      <c r="AI133" s="522" t="str">
        <f>IF(AH133="Check Data","Check Data",IFERROR(VLOOKUP(AH133,'G-4 Temporal multipliers'!$A$4:$C$36,3,FALSE),""))</f>
        <v/>
      </c>
      <c r="AJ133" s="498" t="str">
        <f>IF(S133="","",VLOOKUP(S133,'G-3 Multipliers'!$A$2:$E$129,4,FALSE))</f>
        <v/>
      </c>
      <c r="AK133" s="507" t="str">
        <f t="shared" si="20"/>
        <v/>
      </c>
      <c r="AL133" s="507" t="str">
        <f t="shared" si="21"/>
        <v/>
      </c>
      <c r="AM133" s="540" t="str">
        <f>IFERROR(IF(F133="","",IF(AH133="Check Data ⚠","Check Data ⚠",VLOOKUP(AL133, 'G-3 Multipliers'!$P$2:$Q$6,2,FALSE))),"")</f>
        <v/>
      </c>
      <c r="AN133" s="513" t="str">
        <f t="shared" si="13"/>
        <v/>
      </c>
      <c r="AO133" s="239"/>
      <c r="AP133" s="240"/>
    </row>
    <row r="134" spans="1:42" x14ac:dyDescent="0.3">
      <c r="A134" s="47" t="str">
        <f>IF(E134="","",IF(ISNA(VLOOKUP($E134,'A-1 Site Habitat Baseline'!$D$1:$O$258,2,FALSE)),"",(VLOOKUP($E134,'A-1 Site Habitat Baseline'!$D$1:$O$258,2,FALSE))))</f>
        <v/>
      </c>
      <c r="B134" s="47" t="str">
        <f>IF(E134="","",IF(ISNA(VLOOKUP($E134,'A-1 Site Habitat Baseline'!$D$1:$O$258,3,FALSE)),"",(VLOOKUP($E134,'A-1 Site Habitat Baseline'!$D$1:$O$258,3,FALSE))))</f>
        <v/>
      </c>
      <c r="C134" s="47" t="str">
        <f>IFERROR(INDEX('G-8 Condition Look up'!$I$4:$I$130,MATCH(S134,'G-8 Condition Look up'!$A$4:$A$130,0)),"")</f>
        <v/>
      </c>
      <c r="E134" s="531" t="str">
        <f>'A-1 Site Habitat Baseline'!AL133</f>
        <v/>
      </c>
      <c r="F134" s="520" t="str">
        <f>IF(E134="","",IF(ISNA(VLOOKUP($E134,'A-1 Site Habitat Baseline'!$D$1:$O$258,4,FALSE)),"",(VLOOKUP($E134,'A-1 Site Habitat Baseline'!$D$1:$O$258,4,FALSE))))</f>
        <v/>
      </c>
      <c r="G134" s="520" t="str">
        <f>IF(E134="","",IF(ISNA(VLOOKUP($E134,'A-1 Site Habitat Baseline'!$D$1:$O$258,5,FALSE)),"",(VLOOKUP($E134,'A-1 Site Habitat Baseline'!$D$1:$O$258,5,FALSE))))</f>
        <v/>
      </c>
      <c r="H134" s="520" t="str">
        <f>IF(E134="","",IF(ISNA(VLOOKUP($E134,'A-1 Site Habitat Baseline'!$D$1:$O$258,6,FALSE)),"",(VLOOKUP($E134,'A-1 Site Habitat Baseline'!$D$1:$O$258,6,FALSE))))</f>
        <v/>
      </c>
      <c r="I134" s="520" t="str">
        <f>IF(E134="","",IF(ISNA(VLOOKUP($E134,'A-1 Site Habitat Baseline'!$D$1:$O$258,7,FALSE)),"",(VLOOKUP($E134,'A-1 Site Habitat Baseline'!$D$1:$O$258,7,FALSE))))</f>
        <v/>
      </c>
      <c r="J134" s="520" t="str">
        <f>IF(E134="","",IF(ISNA(VLOOKUP($E134,'A-1 Site Habitat Baseline'!$D$1:$O$258,8,FALSE)),"",(VLOOKUP($E134,'A-1 Site Habitat Baseline'!$D$1:$O$258,8,FALSE))))</f>
        <v/>
      </c>
      <c r="K134" s="520" t="str">
        <f>IF(E134="","",IF(ISNA(VLOOKUP($E134,'A-1 Site Habitat Baseline'!$D$1:$O$258,9,FALSE)),"",(VLOOKUP($E134,'A-1 Site Habitat Baseline'!$D$1:$O$258,9,FALSE))))</f>
        <v/>
      </c>
      <c r="L134" s="520" t="str">
        <f>IF(E134="","",IF(ISNA(VLOOKUP($E134,'A-1 Site Habitat Baseline'!$D$1:$O$258,11,FALSE)),"",(VLOOKUP($E134,'A-1 Site Habitat Baseline'!$D$1:$O$258,11,FALSE))))</f>
        <v/>
      </c>
      <c r="M134" s="520" t="str">
        <f>IF(E134="","",IF(ISNA(VLOOKUP($E134,'A-1 Site Habitat Baseline'!$D$1:$O$258,12,FALSE)),"",(VLOOKUP($E134,'A-1 Site Habitat Baseline'!$D$1:$O$258,12,FALSE))))</f>
        <v/>
      </c>
      <c r="N134" s="532" t="str">
        <f>IF(E134="","",IF(ISNA(VLOOKUP($E134,'A-1 Site Habitat Baseline'!$D$1:$X$258,14,FALSE)),"",(VLOOKUP($E134,'A-1 Site Habitat Baseline'!$D$1:$X$258,14,FALSE))))</f>
        <v/>
      </c>
      <c r="O134" s="524" t="str">
        <f>IF(E134="","",IF(ISNA(VLOOKUP($E134,'A-1 Site Habitat Baseline'!$D$1:$X$258,16,FALSE)),"",(VLOOKUP($E134,'A-1 Site Habitat Baseline'!$D$1:$X$258,13,FALSE))))</f>
        <v/>
      </c>
      <c r="P134" s="237" t="str">
        <f>IFERROR(INDEX('G-1 All Habitats'!$AG$3:$AG$15,MATCH(Q134,'G-1 All Habitats'!$AF$3:$AF$15,0)),"")</f>
        <v/>
      </c>
      <c r="Q134" s="238" t="str">
        <f t="shared" si="14"/>
        <v/>
      </c>
      <c r="R134" s="238" t="str">
        <f t="shared" si="15"/>
        <v/>
      </c>
      <c r="S134" s="392" t="str">
        <f>IFERROR(INDEX('G-1 All Habitats'!$B$3:$B$129,MATCH(R134,'G-1 All Habitats'!$A$3:$A$129,0)),"")</f>
        <v/>
      </c>
      <c r="T134" s="498" t="str">
        <f t="shared" si="16"/>
        <v/>
      </c>
      <c r="U134" s="499" t="str">
        <f t="shared" si="17"/>
        <v/>
      </c>
      <c r="V134" s="537" t="str">
        <f t="shared" si="11"/>
        <v/>
      </c>
      <c r="W134" s="520" t="str">
        <f>IF(S134="","",VLOOKUP(S134,'G-1 All Habitats'!$B$2:$M$129,10,FALSE))</f>
        <v/>
      </c>
      <c r="X134" s="520" t="str">
        <f>IFERROR(VLOOKUP(W134,'G-1 All Habitats'!$V$3:$W$7,2,FALSE),"")</f>
        <v/>
      </c>
      <c r="Y134" s="79"/>
      <c r="Z134" s="524" t="str">
        <f>IFERROR(INDEX('G-8 Condition Look up'!$A$3:$H$130,MATCH(S134,'G-8 Condition Look up'!$A$3:$A$130,0),MATCH(Y134,'G-8 Condition Look up'!$A$3:$H$3,0)),"")</f>
        <v/>
      </c>
      <c r="AA134" s="71"/>
      <c r="AB134" s="520" t="str">
        <f>IF(AA134="","",IF(VLOOKUP(AA134,'G-3 Multipliers'!$L$3:$N$6,2,FALSE)=0,"Spatial Data Missing ⚠",VLOOKUP(AA134,'G-3 Multipliers'!$L$3:$N$6,2,FALSE)))</f>
        <v/>
      </c>
      <c r="AC134" s="524" t="str">
        <f>IF(AA134="","",IF(VLOOKUP(AA134,'G-3 Multipliers'!$L$3:$N$6,3,FALSE)=0,"Spatial Data Missing ⚠",VLOOKUP(AA134,'G-3 Multipliers'!$L$3:$N$6,3,FALSE)))</f>
        <v/>
      </c>
      <c r="AD134" s="539" t="str">
        <f t="shared" si="12"/>
        <v/>
      </c>
      <c r="AE134" s="82"/>
      <c r="AF134" s="82"/>
      <c r="AG134" s="507" t="str">
        <f t="shared" si="18"/>
        <v/>
      </c>
      <c r="AH134" s="521" t="str">
        <f t="shared" si="19"/>
        <v/>
      </c>
      <c r="AI134" s="522" t="str">
        <f>IF(AH134="Check Data","Check Data",IFERROR(VLOOKUP(AH134,'G-4 Temporal multipliers'!$A$4:$C$36,3,FALSE),""))</f>
        <v/>
      </c>
      <c r="AJ134" s="498" t="str">
        <f>IF(S134="","",VLOOKUP(S134,'G-3 Multipliers'!$A$2:$E$129,4,FALSE))</f>
        <v/>
      </c>
      <c r="AK134" s="507" t="str">
        <f t="shared" si="20"/>
        <v/>
      </c>
      <c r="AL134" s="507" t="str">
        <f t="shared" si="21"/>
        <v/>
      </c>
      <c r="AM134" s="540" t="str">
        <f>IFERROR(IF(F134="","",IF(AH134="Check Data ⚠","Check Data ⚠",VLOOKUP(AL134, 'G-3 Multipliers'!$P$2:$Q$6,2,FALSE))),"")</f>
        <v/>
      </c>
      <c r="AN134" s="513" t="str">
        <f t="shared" si="13"/>
        <v/>
      </c>
      <c r="AO134" s="239"/>
      <c r="AP134" s="240"/>
    </row>
    <row r="135" spans="1:42" x14ac:dyDescent="0.3">
      <c r="A135" s="47" t="str">
        <f>IF(E135="","",IF(ISNA(VLOOKUP($E135,'A-1 Site Habitat Baseline'!$D$1:$O$258,2,FALSE)),"",(VLOOKUP($E135,'A-1 Site Habitat Baseline'!$D$1:$O$258,2,FALSE))))</f>
        <v/>
      </c>
      <c r="B135" s="47" t="str">
        <f>IF(E135="","",IF(ISNA(VLOOKUP($E135,'A-1 Site Habitat Baseline'!$D$1:$O$258,3,FALSE)),"",(VLOOKUP($E135,'A-1 Site Habitat Baseline'!$D$1:$O$258,3,FALSE))))</f>
        <v/>
      </c>
      <c r="C135" s="47" t="str">
        <f>IFERROR(INDEX('G-8 Condition Look up'!$I$4:$I$130,MATCH(S135,'G-8 Condition Look up'!$A$4:$A$130,0)),"")</f>
        <v/>
      </c>
      <c r="E135" s="531" t="str">
        <f>'A-1 Site Habitat Baseline'!AL134</f>
        <v/>
      </c>
      <c r="F135" s="520" t="str">
        <f>IF(E135="","",IF(ISNA(VLOOKUP($E135,'A-1 Site Habitat Baseline'!$D$1:$O$258,4,FALSE)),"",(VLOOKUP($E135,'A-1 Site Habitat Baseline'!$D$1:$O$258,4,FALSE))))</f>
        <v/>
      </c>
      <c r="G135" s="520" t="str">
        <f>IF(E135="","",IF(ISNA(VLOOKUP($E135,'A-1 Site Habitat Baseline'!$D$1:$O$258,5,FALSE)),"",(VLOOKUP($E135,'A-1 Site Habitat Baseline'!$D$1:$O$258,5,FALSE))))</f>
        <v/>
      </c>
      <c r="H135" s="520" t="str">
        <f>IF(E135="","",IF(ISNA(VLOOKUP($E135,'A-1 Site Habitat Baseline'!$D$1:$O$258,6,FALSE)),"",(VLOOKUP($E135,'A-1 Site Habitat Baseline'!$D$1:$O$258,6,FALSE))))</f>
        <v/>
      </c>
      <c r="I135" s="520" t="str">
        <f>IF(E135="","",IF(ISNA(VLOOKUP($E135,'A-1 Site Habitat Baseline'!$D$1:$O$258,7,FALSE)),"",(VLOOKUP($E135,'A-1 Site Habitat Baseline'!$D$1:$O$258,7,FALSE))))</f>
        <v/>
      </c>
      <c r="J135" s="520" t="str">
        <f>IF(E135="","",IF(ISNA(VLOOKUP($E135,'A-1 Site Habitat Baseline'!$D$1:$O$258,8,FALSE)),"",(VLOOKUP($E135,'A-1 Site Habitat Baseline'!$D$1:$O$258,8,FALSE))))</f>
        <v/>
      </c>
      <c r="K135" s="520" t="str">
        <f>IF(E135="","",IF(ISNA(VLOOKUP($E135,'A-1 Site Habitat Baseline'!$D$1:$O$258,9,FALSE)),"",(VLOOKUP($E135,'A-1 Site Habitat Baseline'!$D$1:$O$258,9,FALSE))))</f>
        <v/>
      </c>
      <c r="L135" s="520" t="str">
        <f>IF(E135="","",IF(ISNA(VLOOKUP($E135,'A-1 Site Habitat Baseline'!$D$1:$O$258,11,FALSE)),"",(VLOOKUP($E135,'A-1 Site Habitat Baseline'!$D$1:$O$258,11,FALSE))))</f>
        <v/>
      </c>
      <c r="M135" s="520" t="str">
        <f>IF(E135="","",IF(ISNA(VLOOKUP($E135,'A-1 Site Habitat Baseline'!$D$1:$O$258,12,FALSE)),"",(VLOOKUP($E135,'A-1 Site Habitat Baseline'!$D$1:$O$258,12,FALSE))))</f>
        <v/>
      </c>
      <c r="N135" s="532" t="str">
        <f>IF(E135="","",IF(ISNA(VLOOKUP($E135,'A-1 Site Habitat Baseline'!$D$1:$X$258,14,FALSE)),"",(VLOOKUP($E135,'A-1 Site Habitat Baseline'!$D$1:$X$258,14,FALSE))))</f>
        <v/>
      </c>
      <c r="O135" s="524" t="str">
        <f>IF(E135="","",IF(ISNA(VLOOKUP($E135,'A-1 Site Habitat Baseline'!$D$1:$X$258,16,FALSE)),"",(VLOOKUP($E135,'A-1 Site Habitat Baseline'!$D$1:$X$258,13,FALSE))))</f>
        <v/>
      </c>
      <c r="P135" s="237" t="str">
        <f>IFERROR(INDEX('G-1 All Habitats'!$AG$3:$AG$15,MATCH(Q135,'G-1 All Habitats'!$AF$3:$AF$15,0)),"")</f>
        <v/>
      </c>
      <c r="Q135" s="238" t="str">
        <f t="shared" si="14"/>
        <v/>
      </c>
      <c r="R135" s="238" t="str">
        <f t="shared" si="15"/>
        <v/>
      </c>
      <c r="S135" s="392" t="str">
        <f>IFERROR(INDEX('G-1 All Habitats'!$B$3:$B$129,MATCH(R135,'G-1 All Habitats'!$A$3:$A$129,0)),"")</f>
        <v/>
      </c>
      <c r="T135" s="498" t="str">
        <f t="shared" si="16"/>
        <v/>
      </c>
      <c r="U135" s="499" t="str">
        <f t="shared" si="17"/>
        <v/>
      </c>
      <c r="V135" s="537" t="str">
        <f t="shared" si="11"/>
        <v/>
      </c>
      <c r="W135" s="520" t="str">
        <f>IF(S135="","",VLOOKUP(S135,'G-1 All Habitats'!$B$2:$M$129,10,FALSE))</f>
        <v/>
      </c>
      <c r="X135" s="520" t="str">
        <f>IFERROR(VLOOKUP(W135,'G-1 All Habitats'!$V$3:$W$7,2,FALSE),"")</f>
        <v/>
      </c>
      <c r="Y135" s="79"/>
      <c r="Z135" s="524" t="str">
        <f>IFERROR(INDEX('G-8 Condition Look up'!$A$3:$H$130,MATCH(S135,'G-8 Condition Look up'!$A$3:$A$130,0),MATCH(Y135,'G-8 Condition Look up'!$A$3:$H$3,0)),"")</f>
        <v/>
      </c>
      <c r="AA135" s="71"/>
      <c r="AB135" s="520" t="str">
        <f>IF(AA135="","",IF(VLOOKUP(AA135,'G-3 Multipliers'!$L$3:$N$6,2,FALSE)=0,"Spatial Data Missing ⚠",VLOOKUP(AA135,'G-3 Multipliers'!$L$3:$N$6,2,FALSE)))</f>
        <v/>
      </c>
      <c r="AC135" s="524" t="str">
        <f>IF(AA135="","",IF(VLOOKUP(AA135,'G-3 Multipliers'!$L$3:$N$6,3,FALSE)=0,"Spatial Data Missing ⚠",VLOOKUP(AA135,'G-3 Multipliers'!$L$3:$N$6,3,FALSE)))</f>
        <v/>
      </c>
      <c r="AD135" s="539" t="str">
        <f t="shared" si="12"/>
        <v/>
      </c>
      <c r="AE135" s="82"/>
      <c r="AF135" s="82"/>
      <c r="AG135" s="507" t="str">
        <f t="shared" si="18"/>
        <v/>
      </c>
      <c r="AH135" s="521" t="str">
        <f t="shared" si="19"/>
        <v/>
      </c>
      <c r="AI135" s="522" t="str">
        <f>IF(AH135="Check Data","Check Data",IFERROR(VLOOKUP(AH135,'G-4 Temporal multipliers'!$A$4:$C$36,3,FALSE),""))</f>
        <v/>
      </c>
      <c r="AJ135" s="498" t="str">
        <f>IF(S135="","",VLOOKUP(S135,'G-3 Multipliers'!$A$2:$E$129,4,FALSE))</f>
        <v/>
      </c>
      <c r="AK135" s="507" t="str">
        <f t="shared" si="20"/>
        <v/>
      </c>
      <c r="AL135" s="507" t="str">
        <f t="shared" si="21"/>
        <v/>
      </c>
      <c r="AM135" s="540" t="str">
        <f>IFERROR(IF(F135="","",IF(AH135="Check Data ⚠","Check Data ⚠",VLOOKUP(AL135, 'G-3 Multipliers'!$P$2:$Q$6,2,FALSE))),"")</f>
        <v/>
      </c>
      <c r="AN135" s="513" t="str">
        <f t="shared" si="13"/>
        <v/>
      </c>
      <c r="AO135" s="239"/>
      <c r="AP135" s="240"/>
    </row>
    <row r="136" spans="1:42" x14ac:dyDescent="0.3">
      <c r="A136" s="47" t="str">
        <f>IF(E136="","",IF(ISNA(VLOOKUP($E136,'A-1 Site Habitat Baseline'!$D$1:$O$258,2,FALSE)),"",(VLOOKUP($E136,'A-1 Site Habitat Baseline'!$D$1:$O$258,2,FALSE))))</f>
        <v/>
      </c>
      <c r="B136" s="47" t="str">
        <f>IF(E136="","",IF(ISNA(VLOOKUP($E136,'A-1 Site Habitat Baseline'!$D$1:$O$258,3,FALSE)),"",(VLOOKUP($E136,'A-1 Site Habitat Baseline'!$D$1:$O$258,3,FALSE))))</f>
        <v/>
      </c>
      <c r="C136" s="47" t="str">
        <f>IFERROR(INDEX('G-8 Condition Look up'!$I$4:$I$130,MATCH(S136,'G-8 Condition Look up'!$A$4:$A$130,0)),"")</f>
        <v/>
      </c>
      <c r="E136" s="531" t="str">
        <f>'A-1 Site Habitat Baseline'!AL135</f>
        <v/>
      </c>
      <c r="F136" s="520" t="str">
        <f>IF(E136="","",IF(ISNA(VLOOKUP($E136,'A-1 Site Habitat Baseline'!$D$1:$O$258,4,FALSE)),"",(VLOOKUP($E136,'A-1 Site Habitat Baseline'!$D$1:$O$258,4,FALSE))))</f>
        <v/>
      </c>
      <c r="G136" s="520" t="str">
        <f>IF(E136="","",IF(ISNA(VLOOKUP($E136,'A-1 Site Habitat Baseline'!$D$1:$O$258,5,FALSE)),"",(VLOOKUP($E136,'A-1 Site Habitat Baseline'!$D$1:$O$258,5,FALSE))))</f>
        <v/>
      </c>
      <c r="H136" s="520" t="str">
        <f>IF(E136="","",IF(ISNA(VLOOKUP($E136,'A-1 Site Habitat Baseline'!$D$1:$O$258,6,FALSE)),"",(VLOOKUP($E136,'A-1 Site Habitat Baseline'!$D$1:$O$258,6,FALSE))))</f>
        <v/>
      </c>
      <c r="I136" s="520" t="str">
        <f>IF(E136="","",IF(ISNA(VLOOKUP($E136,'A-1 Site Habitat Baseline'!$D$1:$O$258,7,FALSE)),"",(VLOOKUP($E136,'A-1 Site Habitat Baseline'!$D$1:$O$258,7,FALSE))))</f>
        <v/>
      </c>
      <c r="J136" s="520" t="str">
        <f>IF(E136="","",IF(ISNA(VLOOKUP($E136,'A-1 Site Habitat Baseline'!$D$1:$O$258,8,FALSE)),"",(VLOOKUP($E136,'A-1 Site Habitat Baseline'!$D$1:$O$258,8,FALSE))))</f>
        <v/>
      </c>
      <c r="K136" s="520" t="str">
        <f>IF(E136="","",IF(ISNA(VLOOKUP($E136,'A-1 Site Habitat Baseline'!$D$1:$O$258,9,FALSE)),"",(VLOOKUP($E136,'A-1 Site Habitat Baseline'!$D$1:$O$258,9,FALSE))))</f>
        <v/>
      </c>
      <c r="L136" s="520" t="str">
        <f>IF(E136="","",IF(ISNA(VLOOKUP($E136,'A-1 Site Habitat Baseline'!$D$1:$O$258,11,FALSE)),"",(VLOOKUP($E136,'A-1 Site Habitat Baseline'!$D$1:$O$258,11,FALSE))))</f>
        <v/>
      </c>
      <c r="M136" s="520" t="str">
        <f>IF(E136="","",IF(ISNA(VLOOKUP($E136,'A-1 Site Habitat Baseline'!$D$1:$O$258,12,FALSE)),"",(VLOOKUP($E136,'A-1 Site Habitat Baseline'!$D$1:$O$258,12,FALSE))))</f>
        <v/>
      </c>
      <c r="N136" s="532" t="str">
        <f>IF(E136="","",IF(ISNA(VLOOKUP($E136,'A-1 Site Habitat Baseline'!$D$1:$X$258,14,FALSE)),"",(VLOOKUP($E136,'A-1 Site Habitat Baseline'!$D$1:$X$258,14,FALSE))))</f>
        <v/>
      </c>
      <c r="O136" s="524" t="str">
        <f>IF(E136="","",IF(ISNA(VLOOKUP($E136,'A-1 Site Habitat Baseline'!$D$1:$X$258,16,FALSE)),"",(VLOOKUP($E136,'A-1 Site Habitat Baseline'!$D$1:$X$258,13,FALSE))))</f>
        <v/>
      </c>
      <c r="P136" s="237" t="str">
        <f>IFERROR(INDEX('G-1 All Habitats'!$AG$3:$AG$15,MATCH(Q136,'G-1 All Habitats'!$AF$3:$AF$15,0)),"")</f>
        <v/>
      </c>
      <c r="Q136" s="238" t="str">
        <f t="shared" si="14"/>
        <v/>
      </c>
      <c r="R136" s="238" t="str">
        <f t="shared" si="15"/>
        <v/>
      </c>
      <c r="S136" s="392" t="str">
        <f>IFERROR(INDEX('G-1 All Habitats'!$B$3:$B$129,MATCH(R136,'G-1 All Habitats'!$A$3:$A$129,0)),"")</f>
        <v/>
      </c>
      <c r="T136" s="498" t="str">
        <f t="shared" si="16"/>
        <v/>
      </c>
      <c r="U136" s="499" t="str">
        <f t="shared" si="17"/>
        <v/>
      </c>
      <c r="V136" s="537" t="str">
        <f t="shared" si="11"/>
        <v/>
      </c>
      <c r="W136" s="520" t="str">
        <f>IF(S136="","",VLOOKUP(S136,'G-1 All Habitats'!$B$2:$M$129,10,FALSE))</f>
        <v/>
      </c>
      <c r="X136" s="520" t="str">
        <f>IFERROR(VLOOKUP(W136,'G-1 All Habitats'!$V$3:$W$7,2,FALSE),"")</f>
        <v/>
      </c>
      <c r="Y136" s="79"/>
      <c r="Z136" s="524" t="str">
        <f>IFERROR(INDEX('G-8 Condition Look up'!$A$3:$H$130,MATCH(S136,'G-8 Condition Look up'!$A$3:$A$130,0),MATCH(Y136,'G-8 Condition Look up'!$A$3:$H$3,0)),"")</f>
        <v/>
      </c>
      <c r="AA136" s="71"/>
      <c r="AB136" s="520" t="str">
        <f>IF(AA136="","",IF(VLOOKUP(AA136,'G-3 Multipliers'!$L$3:$N$6,2,FALSE)=0,"Spatial Data Missing ⚠",VLOOKUP(AA136,'G-3 Multipliers'!$L$3:$N$6,2,FALSE)))</f>
        <v/>
      </c>
      <c r="AC136" s="524" t="str">
        <f>IF(AA136="","",IF(VLOOKUP(AA136,'G-3 Multipliers'!$L$3:$N$6,3,FALSE)=0,"Spatial Data Missing ⚠",VLOOKUP(AA136,'G-3 Multipliers'!$L$3:$N$6,3,FALSE)))</f>
        <v/>
      </c>
      <c r="AD136" s="539" t="str">
        <f t="shared" si="12"/>
        <v/>
      </c>
      <c r="AE136" s="82"/>
      <c r="AF136" s="82"/>
      <c r="AG136" s="507" t="str">
        <f t="shared" si="18"/>
        <v/>
      </c>
      <c r="AH136" s="521" t="str">
        <f t="shared" si="19"/>
        <v/>
      </c>
      <c r="AI136" s="522" t="str">
        <f>IF(AH136="Check Data","Check Data",IFERROR(VLOOKUP(AH136,'G-4 Temporal multipliers'!$A$4:$C$36,3,FALSE),""))</f>
        <v/>
      </c>
      <c r="AJ136" s="498" t="str">
        <f>IF(S136="","",VLOOKUP(S136,'G-3 Multipliers'!$A$2:$E$129,4,FALSE))</f>
        <v/>
      </c>
      <c r="AK136" s="507" t="str">
        <f t="shared" si="20"/>
        <v/>
      </c>
      <c r="AL136" s="507" t="str">
        <f t="shared" si="21"/>
        <v/>
      </c>
      <c r="AM136" s="540" t="str">
        <f>IFERROR(IF(F136="","",IF(AH136="Check Data ⚠","Check Data ⚠",VLOOKUP(AL136, 'G-3 Multipliers'!$P$2:$Q$6,2,FALSE))),"")</f>
        <v/>
      </c>
      <c r="AN136" s="513" t="str">
        <f t="shared" si="13"/>
        <v/>
      </c>
      <c r="AO136" s="239"/>
      <c r="AP136" s="240"/>
    </row>
    <row r="137" spans="1:42" x14ac:dyDescent="0.3">
      <c r="A137" s="47" t="str">
        <f>IF(E137="","",IF(ISNA(VLOOKUP($E137,'A-1 Site Habitat Baseline'!$D$1:$O$258,2,FALSE)),"",(VLOOKUP($E137,'A-1 Site Habitat Baseline'!$D$1:$O$258,2,FALSE))))</f>
        <v/>
      </c>
      <c r="B137" s="47" t="str">
        <f>IF(E137="","",IF(ISNA(VLOOKUP($E137,'A-1 Site Habitat Baseline'!$D$1:$O$258,3,FALSE)),"",(VLOOKUP($E137,'A-1 Site Habitat Baseline'!$D$1:$O$258,3,FALSE))))</f>
        <v/>
      </c>
      <c r="C137" s="47" t="str">
        <f>IFERROR(INDEX('G-8 Condition Look up'!$I$4:$I$130,MATCH(S137,'G-8 Condition Look up'!$A$4:$A$130,0)),"")</f>
        <v/>
      </c>
      <c r="E137" s="531" t="str">
        <f>'A-1 Site Habitat Baseline'!AL136</f>
        <v/>
      </c>
      <c r="F137" s="520" t="str">
        <f>IF(E137="","",IF(ISNA(VLOOKUP($E137,'A-1 Site Habitat Baseline'!$D$1:$O$258,4,FALSE)),"",(VLOOKUP($E137,'A-1 Site Habitat Baseline'!$D$1:$O$258,4,FALSE))))</f>
        <v/>
      </c>
      <c r="G137" s="520" t="str">
        <f>IF(E137="","",IF(ISNA(VLOOKUP($E137,'A-1 Site Habitat Baseline'!$D$1:$O$258,5,FALSE)),"",(VLOOKUP($E137,'A-1 Site Habitat Baseline'!$D$1:$O$258,5,FALSE))))</f>
        <v/>
      </c>
      <c r="H137" s="520" t="str">
        <f>IF(E137="","",IF(ISNA(VLOOKUP($E137,'A-1 Site Habitat Baseline'!$D$1:$O$258,6,FALSE)),"",(VLOOKUP($E137,'A-1 Site Habitat Baseline'!$D$1:$O$258,6,FALSE))))</f>
        <v/>
      </c>
      <c r="I137" s="520" t="str">
        <f>IF(E137="","",IF(ISNA(VLOOKUP($E137,'A-1 Site Habitat Baseline'!$D$1:$O$258,7,FALSE)),"",(VLOOKUP($E137,'A-1 Site Habitat Baseline'!$D$1:$O$258,7,FALSE))))</f>
        <v/>
      </c>
      <c r="J137" s="520" t="str">
        <f>IF(E137="","",IF(ISNA(VLOOKUP($E137,'A-1 Site Habitat Baseline'!$D$1:$O$258,8,FALSE)),"",(VLOOKUP($E137,'A-1 Site Habitat Baseline'!$D$1:$O$258,8,FALSE))))</f>
        <v/>
      </c>
      <c r="K137" s="520" t="str">
        <f>IF(E137="","",IF(ISNA(VLOOKUP($E137,'A-1 Site Habitat Baseline'!$D$1:$O$258,9,FALSE)),"",(VLOOKUP($E137,'A-1 Site Habitat Baseline'!$D$1:$O$258,9,FALSE))))</f>
        <v/>
      </c>
      <c r="L137" s="520" t="str">
        <f>IF(E137="","",IF(ISNA(VLOOKUP($E137,'A-1 Site Habitat Baseline'!$D$1:$O$258,11,FALSE)),"",(VLOOKUP($E137,'A-1 Site Habitat Baseline'!$D$1:$O$258,11,FALSE))))</f>
        <v/>
      </c>
      <c r="M137" s="520" t="str">
        <f>IF(E137="","",IF(ISNA(VLOOKUP($E137,'A-1 Site Habitat Baseline'!$D$1:$O$258,12,FALSE)),"",(VLOOKUP($E137,'A-1 Site Habitat Baseline'!$D$1:$O$258,12,FALSE))))</f>
        <v/>
      </c>
      <c r="N137" s="532" t="str">
        <f>IF(E137="","",IF(ISNA(VLOOKUP($E137,'A-1 Site Habitat Baseline'!$D$1:$X$258,14,FALSE)),"",(VLOOKUP($E137,'A-1 Site Habitat Baseline'!$D$1:$X$258,14,FALSE))))</f>
        <v/>
      </c>
      <c r="O137" s="524" t="str">
        <f>IF(E137="","",IF(ISNA(VLOOKUP($E137,'A-1 Site Habitat Baseline'!$D$1:$X$258,16,FALSE)),"",(VLOOKUP($E137,'A-1 Site Habitat Baseline'!$D$1:$X$258,13,FALSE))))</f>
        <v/>
      </c>
      <c r="P137" s="237" t="str">
        <f>IFERROR(INDEX('G-1 All Habitats'!$AG$3:$AG$15,MATCH(Q137,'G-1 All Habitats'!$AF$3:$AF$15,0)),"")</f>
        <v/>
      </c>
      <c r="Q137" s="238" t="str">
        <f t="shared" si="14"/>
        <v/>
      </c>
      <c r="R137" s="238" t="str">
        <f t="shared" si="15"/>
        <v/>
      </c>
      <c r="S137" s="392" t="str">
        <f>IFERROR(INDEX('G-1 All Habitats'!$B$3:$B$129,MATCH(R137,'G-1 All Habitats'!$A$3:$A$129,0)),"")</f>
        <v/>
      </c>
      <c r="T137" s="498" t="str">
        <f t="shared" si="16"/>
        <v/>
      </c>
      <c r="U137" s="499" t="str">
        <f t="shared" si="17"/>
        <v/>
      </c>
      <c r="V137" s="537" t="str">
        <f t="shared" si="11"/>
        <v/>
      </c>
      <c r="W137" s="520" t="str">
        <f>IF(S137="","",VLOOKUP(S137,'G-1 All Habitats'!$B$2:$M$129,10,FALSE))</f>
        <v/>
      </c>
      <c r="X137" s="520" t="str">
        <f>IFERROR(VLOOKUP(W137,'G-1 All Habitats'!$V$3:$W$7,2,FALSE),"")</f>
        <v/>
      </c>
      <c r="Y137" s="79"/>
      <c r="Z137" s="524" t="str">
        <f>IFERROR(INDEX('G-8 Condition Look up'!$A$3:$H$130,MATCH(S137,'G-8 Condition Look up'!$A$3:$A$130,0),MATCH(Y137,'G-8 Condition Look up'!$A$3:$H$3,0)),"")</f>
        <v/>
      </c>
      <c r="AA137" s="71"/>
      <c r="AB137" s="520" t="str">
        <f>IF(AA137="","",IF(VLOOKUP(AA137,'G-3 Multipliers'!$L$3:$N$6,2,FALSE)=0,"Spatial Data Missing ⚠",VLOOKUP(AA137,'G-3 Multipliers'!$L$3:$N$6,2,FALSE)))</f>
        <v/>
      </c>
      <c r="AC137" s="524" t="str">
        <f>IF(AA137="","",IF(VLOOKUP(AA137,'G-3 Multipliers'!$L$3:$N$6,3,FALSE)=0,"Spatial Data Missing ⚠",VLOOKUP(AA137,'G-3 Multipliers'!$L$3:$N$6,3,FALSE)))</f>
        <v/>
      </c>
      <c r="AD137" s="539" t="str">
        <f t="shared" si="12"/>
        <v/>
      </c>
      <c r="AE137" s="82"/>
      <c r="AF137" s="82"/>
      <c r="AG137" s="507" t="str">
        <f t="shared" si="18"/>
        <v/>
      </c>
      <c r="AH137" s="521" t="str">
        <f t="shared" si="19"/>
        <v/>
      </c>
      <c r="AI137" s="522" t="str">
        <f>IF(AH137="Check Data","Check Data",IFERROR(VLOOKUP(AH137,'G-4 Temporal multipliers'!$A$4:$C$36,3,FALSE),""))</f>
        <v/>
      </c>
      <c r="AJ137" s="498" t="str">
        <f>IF(S137="","",VLOOKUP(S137,'G-3 Multipliers'!$A$2:$E$129,4,FALSE))</f>
        <v/>
      </c>
      <c r="AK137" s="507" t="str">
        <f t="shared" si="20"/>
        <v/>
      </c>
      <c r="AL137" s="507" t="str">
        <f t="shared" si="21"/>
        <v/>
      </c>
      <c r="AM137" s="540" t="str">
        <f>IFERROR(IF(F137="","",IF(AH137="Check Data ⚠","Check Data ⚠",VLOOKUP(AL137, 'G-3 Multipliers'!$P$2:$Q$6,2,FALSE))),"")</f>
        <v/>
      </c>
      <c r="AN137" s="513" t="str">
        <f t="shared" si="13"/>
        <v/>
      </c>
      <c r="AO137" s="239"/>
      <c r="AP137" s="240"/>
    </row>
    <row r="138" spans="1:42" x14ac:dyDescent="0.3">
      <c r="A138" s="47" t="str">
        <f>IF(E138="","",IF(ISNA(VLOOKUP($E138,'A-1 Site Habitat Baseline'!$D$1:$O$258,2,FALSE)),"",(VLOOKUP($E138,'A-1 Site Habitat Baseline'!$D$1:$O$258,2,FALSE))))</f>
        <v/>
      </c>
      <c r="B138" s="47" t="str">
        <f>IF(E138="","",IF(ISNA(VLOOKUP($E138,'A-1 Site Habitat Baseline'!$D$1:$O$258,3,FALSE)),"",(VLOOKUP($E138,'A-1 Site Habitat Baseline'!$D$1:$O$258,3,FALSE))))</f>
        <v/>
      </c>
      <c r="C138" s="47" t="str">
        <f>IFERROR(INDEX('G-8 Condition Look up'!$I$4:$I$130,MATCH(S138,'G-8 Condition Look up'!$A$4:$A$130,0)),"")</f>
        <v/>
      </c>
      <c r="E138" s="531" t="str">
        <f>'A-1 Site Habitat Baseline'!AL137</f>
        <v/>
      </c>
      <c r="F138" s="520" t="str">
        <f>IF(E138="","",IF(ISNA(VLOOKUP($E138,'A-1 Site Habitat Baseline'!$D$1:$O$258,4,FALSE)),"",(VLOOKUP($E138,'A-1 Site Habitat Baseline'!$D$1:$O$258,4,FALSE))))</f>
        <v/>
      </c>
      <c r="G138" s="520" t="str">
        <f>IF(E138="","",IF(ISNA(VLOOKUP($E138,'A-1 Site Habitat Baseline'!$D$1:$O$258,5,FALSE)),"",(VLOOKUP($E138,'A-1 Site Habitat Baseline'!$D$1:$O$258,5,FALSE))))</f>
        <v/>
      </c>
      <c r="H138" s="520" t="str">
        <f>IF(E138="","",IF(ISNA(VLOOKUP($E138,'A-1 Site Habitat Baseline'!$D$1:$O$258,6,FALSE)),"",(VLOOKUP($E138,'A-1 Site Habitat Baseline'!$D$1:$O$258,6,FALSE))))</f>
        <v/>
      </c>
      <c r="I138" s="520" t="str">
        <f>IF(E138="","",IF(ISNA(VLOOKUP($E138,'A-1 Site Habitat Baseline'!$D$1:$O$258,7,FALSE)),"",(VLOOKUP($E138,'A-1 Site Habitat Baseline'!$D$1:$O$258,7,FALSE))))</f>
        <v/>
      </c>
      <c r="J138" s="520" t="str">
        <f>IF(E138="","",IF(ISNA(VLOOKUP($E138,'A-1 Site Habitat Baseline'!$D$1:$O$258,8,FALSE)),"",(VLOOKUP($E138,'A-1 Site Habitat Baseline'!$D$1:$O$258,8,FALSE))))</f>
        <v/>
      </c>
      <c r="K138" s="520" t="str">
        <f>IF(E138="","",IF(ISNA(VLOOKUP($E138,'A-1 Site Habitat Baseline'!$D$1:$O$258,9,FALSE)),"",(VLOOKUP($E138,'A-1 Site Habitat Baseline'!$D$1:$O$258,9,FALSE))))</f>
        <v/>
      </c>
      <c r="L138" s="520" t="str">
        <f>IF(E138="","",IF(ISNA(VLOOKUP($E138,'A-1 Site Habitat Baseline'!$D$1:$O$258,11,FALSE)),"",(VLOOKUP($E138,'A-1 Site Habitat Baseline'!$D$1:$O$258,11,FALSE))))</f>
        <v/>
      </c>
      <c r="M138" s="520" t="str">
        <f>IF(E138="","",IF(ISNA(VLOOKUP($E138,'A-1 Site Habitat Baseline'!$D$1:$O$258,12,FALSE)),"",(VLOOKUP($E138,'A-1 Site Habitat Baseline'!$D$1:$O$258,12,FALSE))))</f>
        <v/>
      </c>
      <c r="N138" s="532" t="str">
        <f>IF(E138="","",IF(ISNA(VLOOKUP($E138,'A-1 Site Habitat Baseline'!$D$1:$X$258,14,FALSE)),"",(VLOOKUP($E138,'A-1 Site Habitat Baseline'!$D$1:$X$258,14,FALSE))))</f>
        <v/>
      </c>
      <c r="O138" s="524" t="str">
        <f>IF(E138="","",IF(ISNA(VLOOKUP($E138,'A-1 Site Habitat Baseline'!$D$1:$X$258,16,FALSE)),"",(VLOOKUP($E138,'A-1 Site Habitat Baseline'!$D$1:$X$258,13,FALSE))))</f>
        <v/>
      </c>
      <c r="P138" s="237" t="str">
        <f>IFERROR(INDEX('G-1 All Habitats'!$AG$3:$AG$15,MATCH(Q138,'G-1 All Habitats'!$AF$3:$AF$15,0)),"")</f>
        <v/>
      </c>
      <c r="Q138" s="238" t="str">
        <f t="shared" si="14"/>
        <v/>
      </c>
      <c r="R138" s="238" t="str">
        <f t="shared" si="15"/>
        <v/>
      </c>
      <c r="S138" s="392" t="str">
        <f>IFERROR(INDEX('G-1 All Habitats'!$B$3:$B$129,MATCH(R138,'G-1 All Habitats'!$A$3:$A$129,0)),"")</f>
        <v/>
      </c>
      <c r="T138" s="498" t="str">
        <f t="shared" si="16"/>
        <v/>
      </c>
      <c r="U138" s="499" t="str">
        <f t="shared" si="17"/>
        <v/>
      </c>
      <c r="V138" s="537" t="str">
        <f t="shared" si="11"/>
        <v/>
      </c>
      <c r="W138" s="520" t="str">
        <f>IF(S138="","",VLOOKUP(S138,'G-1 All Habitats'!$B$2:$M$129,10,FALSE))</f>
        <v/>
      </c>
      <c r="X138" s="520" t="str">
        <f>IFERROR(VLOOKUP(W138,'G-1 All Habitats'!$V$3:$W$7,2,FALSE),"")</f>
        <v/>
      </c>
      <c r="Y138" s="79"/>
      <c r="Z138" s="524" t="str">
        <f>IFERROR(INDEX('G-8 Condition Look up'!$A$3:$H$130,MATCH(S138,'G-8 Condition Look up'!$A$3:$A$130,0),MATCH(Y138,'G-8 Condition Look up'!$A$3:$H$3,0)),"")</f>
        <v/>
      </c>
      <c r="AA138" s="71"/>
      <c r="AB138" s="520" t="str">
        <f>IF(AA138="","",IF(VLOOKUP(AA138,'G-3 Multipliers'!$L$3:$N$6,2,FALSE)=0,"Spatial Data Missing ⚠",VLOOKUP(AA138,'G-3 Multipliers'!$L$3:$N$6,2,FALSE)))</f>
        <v/>
      </c>
      <c r="AC138" s="524" t="str">
        <f>IF(AA138="","",IF(VLOOKUP(AA138,'G-3 Multipliers'!$L$3:$N$6,3,FALSE)=0,"Spatial Data Missing ⚠",VLOOKUP(AA138,'G-3 Multipliers'!$L$3:$N$6,3,FALSE)))</f>
        <v/>
      </c>
      <c r="AD138" s="539" t="str">
        <f t="shared" si="12"/>
        <v/>
      </c>
      <c r="AE138" s="82"/>
      <c r="AF138" s="82"/>
      <c r="AG138" s="507" t="str">
        <f t="shared" si="18"/>
        <v/>
      </c>
      <c r="AH138" s="521" t="str">
        <f t="shared" si="19"/>
        <v/>
      </c>
      <c r="AI138" s="522" t="str">
        <f>IF(AH138="Check Data","Check Data",IFERROR(VLOOKUP(AH138,'G-4 Temporal multipliers'!$A$4:$C$36,3,FALSE),""))</f>
        <v/>
      </c>
      <c r="AJ138" s="498" t="str">
        <f>IF(S138="","",VLOOKUP(S138,'G-3 Multipliers'!$A$2:$E$129,4,FALSE))</f>
        <v/>
      </c>
      <c r="AK138" s="507" t="str">
        <f t="shared" si="20"/>
        <v/>
      </c>
      <c r="AL138" s="507" t="str">
        <f t="shared" si="21"/>
        <v/>
      </c>
      <c r="AM138" s="540" t="str">
        <f>IFERROR(IF(F138="","",IF(AH138="Check Data ⚠","Check Data ⚠",VLOOKUP(AL138, 'G-3 Multipliers'!$P$2:$Q$6,2,FALSE))),"")</f>
        <v/>
      </c>
      <c r="AN138" s="513" t="str">
        <f t="shared" si="13"/>
        <v/>
      </c>
      <c r="AO138" s="239"/>
      <c r="AP138" s="240"/>
    </row>
    <row r="139" spans="1:42" x14ac:dyDescent="0.3">
      <c r="A139" s="47" t="str">
        <f>IF(E139="","",IF(ISNA(VLOOKUP($E139,'A-1 Site Habitat Baseline'!$D$1:$O$258,2,FALSE)),"",(VLOOKUP($E139,'A-1 Site Habitat Baseline'!$D$1:$O$258,2,FALSE))))</f>
        <v/>
      </c>
      <c r="B139" s="47" t="str">
        <f>IF(E139="","",IF(ISNA(VLOOKUP($E139,'A-1 Site Habitat Baseline'!$D$1:$O$258,3,FALSE)),"",(VLOOKUP($E139,'A-1 Site Habitat Baseline'!$D$1:$O$258,3,FALSE))))</f>
        <v/>
      </c>
      <c r="C139" s="47" t="str">
        <f>IFERROR(INDEX('G-8 Condition Look up'!$I$4:$I$130,MATCH(S139,'G-8 Condition Look up'!$A$4:$A$130,0)),"")</f>
        <v/>
      </c>
      <c r="E139" s="531" t="str">
        <f>'A-1 Site Habitat Baseline'!AL138</f>
        <v/>
      </c>
      <c r="F139" s="520" t="str">
        <f>IF(E139="","",IF(ISNA(VLOOKUP($E139,'A-1 Site Habitat Baseline'!$D$1:$O$258,4,FALSE)),"",(VLOOKUP($E139,'A-1 Site Habitat Baseline'!$D$1:$O$258,4,FALSE))))</f>
        <v/>
      </c>
      <c r="G139" s="520" t="str">
        <f>IF(E139="","",IF(ISNA(VLOOKUP($E139,'A-1 Site Habitat Baseline'!$D$1:$O$258,5,FALSE)),"",(VLOOKUP($E139,'A-1 Site Habitat Baseline'!$D$1:$O$258,5,FALSE))))</f>
        <v/>
      </c>
      <c r="H139" s="520" t="str">
        <f>IF(E139="","",IF(ISNA(VLOOKUP($E139,'A-1 Site Habitat Baseline'!$D$1:$O$258,6,FALSE)),"",(VLOOKUP($E139,'A-1 Site Habitat Baseline'!$D$1:$O$258,6,FALSE))))</f>
        <v/>
      </c>
      <c r="I139" s="520" t="str">
        <f>IF(E139="","",IF(ISNA(VLOOKUP($E139,'A-1 Site Habitat Baseline'!$D$1:$O$258,7,FALSE)),"",(VLOOKUP($E139,'A-1 Site Habitat Baseline'!$D$1:$O$258,7,FALSE))))</f>
        <v/>
      </c>
      <c r="J139" s="520" t="str">
        <f>IF(E139="","",IF(ISNA(VLOOKUP($E139,'A-1 Site Habitat Baseline'!$D$1:$O$258,8,FALSE)),"",(VLOOKUP($E139,'A-1 Site Habitat Baseline'!$D$1:$O$258,8,FALSE))))</f>
        <v/>
      </c>
      <c r="K139" s="520" t="str">
        <f>IF(E139="","",IF(ISNA(VLOOKUP($E139,'A-1 Site Habitat Baseline'!$D$1:$O$258,9,FALSE)),"",(VLOOKUP($E139,'A-1 Site Habitat Baseline'!$D$1:$O$258,9,FALSE))))</f>
        <v/>
      </c>
      <c r="L139" s="520" t="str">
        <f>IF(E139="","",IF(ISNA(VLOOKUP($E139,'A-1 Site Habitat Baseline'!$D$1:$O$258,11,FALSE)),"",(VLOOKUP($E139,'A-1 Site Habitat Baseline'!$D$1:$O$258,11,FALSE))))</f>
        <v/>
      </c>
      <c r="M139" s="520" t="str">
        <f>IF(E139="","",IF(ISNA(VLOOKUP($E139,'A-1 Site Habitat Baseline'!$D$1:$O$258,12,FALSE)),"",(VLOOKUP($E139,'A-1 Site Habitat Baseline'!$D$1:$O$258,12,FALSE))))</f>
        <v/>
      </c>
      <c r="N139" s="532" t="str">
        <f>IF(E139="","",IF(ISNA(VLOOKUP($E139,'A-1 Site Habitat Baseline'!$D$1:$X$258,14,FALSE)),"",(VLOOKUP($E139,'A-1 Site Habitat Baseline'!$D$1:$X$258,14,FALSE))))</f>
        <v/>
      </c>
      <c r="O139" s="524" t="str">
        <f>IF(E139="","",IF(ISNA(VLOOKUP($E139,'A-1 Site Habitat Baseline'!$D$1:$X$258,16,FALSE)),"",(VLOOKUP($E139,'A-1 Site Habitat Baseline'!$D$1:$X$258,13,FALSE))))</f>
        <v/>
      </c>
      <c r="P139" s="237" t="str">
        <f>IFERROR(INDEX('G-1 All Habitats'!$AG$3:$AG$15,MATCH(Q139,'G-1 All Habitats'!$AF$3:$AF$15,0)),"")</f>
        <v/>
      </c>
      <c r="Q139" s="238" t="str">
        <f t="shared" si="14"/>
        <v/>
      </c>
      <c r="R139" s="238" t="str">
        <f t="shared" si="15"/>
        <v/>
      </c>
      <c r="S139" s="392" t="str">
        <f>IFERROR(INDEX('G-1 All Habitats'!$B$3:$B$129,MATCH(R139,'G-1 All Habitats'!$A$3:$A$129,0)),"")</f>
        <v/>
      </c>
      <c r="T139" s="498" t="str">
        <f t="shared" si="16"/>
        <v/>
      </c>
      <c r="U139" s="499" t="str">
        <f t="shared" si="17"/>
        <v/>
      </c>
      <c r="V139" s="537" t="str">
        <f t="shared" si="11"/>
        <v/>
      </c>
      <c r="W139" s="520" t="str">
        <f>IF(S139="","",VLOOKUP(S139,'G-1 All Habitats'!$B$2:$M$129,10,FALSE))</f>
        <v/>
      </c>
      <c r="X139" s="520" t="str">
        <f>IFERROR(VLOOKUP(W139,'G-1 All Habitats'!$V$3:$W$7,2,FALSE),"")</f>
        <v/>
      </c>
      <c r="Y139" s="79"/>
      <c r="Z139" s="524" t="str">
        <f>IFERROR(INDEX('G-8 Condition Look up'!$A$3:$H$130,MATCH(S139,'G-8 Condition Look up'!$A$3:$A$130,0),MATCH(Y139,'G-8 Condition Look up'!$A$3:$H$3,0)),"")</f>
        <v/>
      </c>
      <c r="AA139" s="71"/>
      <c r="AB139" s="520" t="str">
        <f>IF(AA139="","",IF(VLOOKUP(AA139,'G-3 Multipliers'!$L$3:$N$6,2,FALSE)=0,"Spatial Data Missing ⚠",VLOOKUP(AA139,'G-3 Multipliers'!$L$3:$N$6,2,FALSE)))</f>
        <v/>
      </c>
      <c r="AC139" s="524" t="str">
        <f>IF(AA139="","",IF(VLOOKUP(AA139,'G-3 Multipliers'!$L$3:$N$6,3,FALSE)=0,"Spatial Data Missing ⚠",VLOOKUP(AA139,'G-3 Multipliers'!$L$3:$N$6,3,FALSE)))</f>
        <v/>
      </c>
      <c r="AD139" s="539" t="str">
        <f t="shared" si="12"/>
        <v/>
      </c>
      <c r="AE139" s="82"/>
      <c r="AF139" s="82"/>
      <c r="AG139" s="507" t="str">
        <f t="shared" si="18"/>
        <v/>
      </c>
      <c r="AH139" s="521" t="str">
        <f t="shared" si="19"/>
        <v/>
      </c>
      <c r="AI139" s="522" t="str">
        <f>IF(AH139="Check Data","Check Data",IFERROR(VLOOKUP(AH139,'G-4 Temporal multipliers'!$A$4:$C$36,3,FALSE),""))</f>
        <v/>
      </c>
      <c r="AJ139" s="498" t="str">
        <f>IF(S139="","",VLOOKUP(S139,'G-3 Multipliers'!$A$2:$E$129,4,FALSE))</f>
        <v/>
      </c>
      <c r="AK139" s="507" t="str">
        <f t="shared" si="20"/>
        <v/>
      </c>
      <c r="AL139" s="507" t="str">
        <f t="shared" si="21"/>
        <v/>
      </c>
      <c r="AM139" s="540" t="str">
        <f>IFERROR(IF(F139="","",IF(AH139="Check Data ⚠","Check Data ⚠",VLOOKUP(AL139, 'G-3 Multipliers'!$P$2:$Q$6,2,FALSE))),"")</f>
        <v/>
      </c>
      <c r="AN139" s="513" t="str">
        <f t="shared" si="13"/>
        <v/>
      </c>
      <c r="AO139" s="239"/>
      <c r="AP139" s="240"/>
    </row>
    <row r="140" spans="1:42" x14ac:dyDescent="0.3">
      <c r="A140" s="47" t="str">
        <f>IF(E140="","",IF(ISNA(VLOOKUP($E140,'A-1 Site Habitat Baseline'!$D$1:$O$258,2,FALSE)),"",(VLOOKUP($E140,'A-1 Site Habitat Baseline'!$D$1:$O$258,2,FALSE))))</f>
        <v/>
      </c>
      <c r="B140" s="47" t="str">
        <f>IF(E140="","",IF(ISNA(VLOOKUP($E140,'A-1 Site Habitat Baseline'!$D$1:$O$258,3,FALSE)),"",(VLOOKUP($E140,'A-1 Site Habitat Baseline'!$D$1:$O$258,3,FALSE))))</f>
        <v/>
      </c>
      <c r="C140" s="47" t="str">
        <f>IFERROR(INDEX('G-8 Condition Look up'!$I$4:$I$130,MATCH(S140,'G-8 Condition Look up'!$A$4:$A$130,0)),"")</f>
        <v/>
      </c>
      <c r="E140" s="531" t="str">
        <f>'A-1 Site Habitat Baseline'!AL139</f>
        <v/>
      </c>
      <c r="F140" s="520" t="str">
        <f>IF(E140="","",IF(ISNA(VLOOKUP($E140,'A-1 Site Habitat Baseline'!$D$1:$O$258,4,FALSE)),"",(VLOOKUP($E140,'A-1 Site Habitat Baseline'!$D$1:$O$258,4,FALSE))))</f>
        <v/>
      </c>
      <c r="G140" s="520" t="str">
        <f>IF(E140="","",IF(ISNA(VLOOKUP($E140,'A-1 Site Habitat Baseline'!$D$1:$O$258,5,FALSE)),"",(VLOOKUP($E140,'A-1 Site Habitat Baseline'!$D$1:$O$258,5,FALSE))))</f>
        <v/>
      </c>
      <c r="H140" s="520" t="str">
        <f>IF(E140="","",IF(ISNA(VLOOKUP($E140,'A-1 Site Habitat Baseline'!$D$1:$O$258,6,FALSE)),"",(VLOOKUP($E140,'A-1 Site Habitat Baseline'!$D$1:$O$258,6,FALSE))))</f>
        <v/>
      </c>
      <c r="I140" s="520" t="str">
        <f>IF(E140="","",IF(ISNA(VLOOKUP($E140,'A-1 Site Habitat Baseline'!$D$1:$O$258,7,FALSE)),"",(VLOOKUP($E140,'A-1 Site Habitat Baseline'!$D$1:$O$258,7,FALSE))))</f>
        <v/>
      </c>
      <c r="J140" s="520" t="str">
        <f>IF(E140="","",IF(ISNA(VLOOKUP($E140,'A-1 Site Habitat Baseline'!$D$1:$O$258,8,FALSE)),"",(VLOOKUP($E140,'A-1 Site Habitat Baseline'!$D$1:$O$258,8,FALSE))))</f>
        <v/>
      </c>
      <c r="K140" s="520" t="str">
        <f>IF(E140="","",IF(ISNA(VLOOKUP($E140,'A-1 Site Habitat Baseline'!$D$1:$O$258,9,FALSE)),"",(VLOOKUP($E140,'A-1 Site Habitat Baseline'!$D$1:$O$258,9,FALSE))))</f>
        <v/>
      </c>
      <c r="L140" s="520" t="str">
        <f>IF(E140="","",IF(ISNA(VLOOKUP($E140,'A-1 Site Habitat Baseline'!$D$1:$O$258,11,FALSE)),"",(VLOOKUP($E140,'A-1 Site Habitat Baseline'!$D$1:$O$258,11,FALSE))))</f>
        <v/>
      </c>
      <c r="M140" s="520" t="str">
        <f>IF(E140="","",IF(ISNA(VLOOKUP($E140,'A-1 Site Habitat Baseline'!$D$1:$O$258,12,FALSE)),"",(VLOOKUP($E140,'A-1 Site Habitat Baseline'!$D$1:$O$258,12,FALSE))))</f>
        <v/>
      </c>
      <c r="N140" s="532" t="str">
        <f>IF(E140="","",IF(ISNA(VLOOKUP($E140,'A-1 Site Habitat Baseline'!$D$1:$X$258,14,FALSE)),"",(VLOOKUP($E140,'A-1 Site Habitat Baseline'!$D$1:$X$258,14,FALSE))))</f>
        <v/>
      </c>
      <c r="O140" s="524" t="str">
        <f>IF(E140="","",IF(ISNA(VLOOKUP($E140,'A-1 Site Habitat Baseline'!$D$1:$X$258,16,FALSE)),"",(VLOOKUP($E140,'A-1 Site Habitat Baseline'!$D$1:$X$258,13,FALSE))))</f>
        <v/>
      </c>
      <c r="P140" s="237" t="str">
        <f>IFERROR(INDEX('G-1 All Habitats'!$AG$3:$AG$15,MATCH(Q140,'G-1 All Habitats'!$AF$3:$AF$15,0)),"")</f>
        <v/>
      </c>
      <c r="Q140" s="238" t="str">
        <f t="shared" si="14"/>
        <v/>
      </c>
      <c r="R140" s="238" t="str">
        <f t="shared" si="15"/>
        <v/>
      </c>
      <c r="S140" s="392" t="str">
        <f>IFERROR(INDEX('G-1 All Habitats'!$B$3:$B$129,MATCH(R140,'G-1 All Habitats'!$A$3:$A$129,0)),"")</f>
        <v/>
      </c>
      <c r="T140" s="498" t="str">
        <f t="shared" si="16"/>
        <v/>
      </c>
      <c r="U140" s="499" t="str">
        <f t="shared" si="17"/>
        <v/>
      </c>
      <c r="V140" s="537" t="str">
        <f t="shared" ref="V140:V203" si="22">IF(S140="","",VLOOKUP(E140,BaselineHabSite,17,FALSE))</f>
        <v/>
      </c>
      <c r="W140" s="520" t="str">
        <f>IF(S140="","",VLOOKUP(S140,'G-1 All Habitats'!$B$2:$M$129,10,FALSE))</f>
        <v/>
      </c>
      <c r="X140" s="520" t="str">
        <f>IFERROR(VLOOKUP(W140,'G-1 All Habitats'!$V$3:$W$7,2,FALSE),"")</f>
        <v/>
      </c>
      <c r="Y140" s="79"/>
      <c r="Z140" s="524" t="str">
        <f>IFERROR(INDEX('G-8 Condition Look up'!$A$3:$H$130,MATCH(S140,'G-8 Condition Look up'!$A$3:$A$130,0),MATCH(Y140,'G-8 Condition Look up'!$A$3:$H$3,0)),"")</f>
        <v/>
      </c>
      <c r="AA140" s="71"/>
      <c r="AB140" s="520" t="str">
        <f>IF(AA140="","",IF(VLOOKUP(AA140,'G-3 Multipliers'!$L$3:$N$6,2,FALSE)=0,"Spatial Data Missing ⚠",VLOOKUP(AA140,'G-3 Multipliers'!$L$3:$N$6,2,FALSE)))</f>
        <v/>
      </c>
      <c r="AC140" s="524" t="str">
        <f>IF(AA140="","",IF(VLOOKUP(AA140,'G-3 Multipliers'!$L$3:$N$6,3,FALSE)=0,"Spatial Data Missing ⚠",VLOOKUP(AA140,'G-3 Multipliers'!$L$3:$N$6,3,FALSE)))</f>
        <v/>
      </c>
      <c r="AD140" s="539" t="str">
        <f t="shared" ref="AD140:AD203" si="23">IFERROR(IF(OR(LEFT(U140,5)="Error ▲",LEFT(T140,5)="Error ▲"),"Check Data ⚠",INDEX(EnhanceTemporal,MATCH(S140,EnhanceHabitat,0),MATCH(U140,EnhanceCondition,0))),"")</f>
        <v/>
      </c>
      <c r="AE140" s="82"/>
      <c r="AF140" s="82"/>
      <c r="AG140" s="507" t="str">
        <f t="shared" si="18"/>
        <v/>
      </c>
      <c r="AH140" s="521" t="str">
        <f t="shared" si="19"/>
        <v/>
      </c>
      <c r="AI140" s="522" t="str">
        <f>IF(AH140="Check Data","Check Data",IFERROR(VLOOKUP(AH140,'G-4 Temporal multipliers'!$A$4:$C$36,3,FALSE),""))</f>
        <v/>
      </c>
      <c r="AJ140" s="498" t="str">
        <f>IF(S140="","",VLOOKUP(S140,'G-3 Multipliers'!$A$2:$E$129,4,FALSE))</f>
        <v/>
      </c>
      <c r="AK140" s="507" t="str">
        <f t="shared" si="20"/>
        <v/>
      </c>
      <c r="AL140" s="507" t="str">
        <f t="shared" si="21"/>
        <v/>
      </c>
      <c r="AM140" s="540" t="str">
        <f>IFERROR(IF(F140="","",IF(AH140="Check Data ⚠","Check Data ⚠",VLOOKUP(AL140, 'G-3 Multipliers'!$P$2:$Q$6,2,FALSE))),"")</f>
        <v/>
      </c>
      <c r="AN140" s="513" t="str">
        <f t="shared" ref="AN140:AN203" si="24">IFERROR(((((V140*X140*Z140)-(V140*I140*K140))*(AM140*AI140))+(V140*I140*K140))*(AC140),"")</f>
        <v/>
      </c>
      <c r="AO140" s="239"/>
      <c r="AP140" s="240"/>
    </row>
    <row r="141" spans="1:42" x14ac:dyDescent="0.3">
      <c r="A141" s="47" t="str">
        <f>IF(E141="","",IF(ISNA(VLOOKUP($E141,'A-1 Site Habitat Baseline'!$D$1:$O$258,2,FALSE)),"",(VLOOKUP($E141,'A-1 Site Habitat Baseline'!$D$1:$O$258,2,FALSE))))</f>
        <v/>
      </c>
      <c r="B141" s="47" t="str">
        <f>IF(E141="","",IF(ISNA(VLOOKUP($E141,'A-1 Site Habitat Baseline'!$D$1:$O$258,3,FALSE)),"",(VLOOKUP($E141,'A-1 Site Habitat Baseline'!$D$1:$O$258,3,FALSE))))</f>
        <v/>
      </c>
      <c r="C141" s="47" t="str">
        <f>IFERROR(INDEX('G-8 Condition Look up'!$I$4:$I$130,MATCH(S141,'G-8 Condition Look up'!$A$4:$A$130,0)),"")</f>
        <v/>
      </c>
      <c r="E141" s="531" t="str">
        <f>'A-1 Site Habitat Baseline'!AL140</f>
        <v/>
      </c>
      <c r="F141" s="520" t="str">
        <f>IF(E141="","",IF(ISNA(VLOOKUP($E141,'A-1 Site Habitat Baseline'!$D$1:$O$258,4,FALSE)),"",(VLOOKUP($E141,'A-1 Site Habitat Baseline'!$D$1:$O$258,4,FALSE))))</f>
        <v/>
      </c>
      <c r="G141" s="520" t="str">
        <f>IF(E141="","",IF(ISNA(VLOOKUP($E141,'A-1 Site Habitat Baseline'!$D$1:$O$258,5,FALSE)),"",(VLOOKUP($E141,'A-1 Site Habitat Baseline'!$D$1:$O$258,5,FALSE))))</f>
        <v/>
      </c>
      <c r="H141" s="520" t="str">
        <f>IF(E141="","",IF(ISNA(VLOOKUP($E141,'A-1 Site Habitat Baseline'!$D$1:$O$258,6,FALSE)),"",(VLOOKUP($E141,'A-1 Site Habitat Baseline'!$D$1:$O$258,6,FALSE))))</f>
        <v/>
      </c>
      <c r="I141" s="520" t="str">
        <f>IF(E141="","",IF(ISNA(VLOOKUP($E141,'A-1 Site Habitat Baseline'!$D$1:$O$258,7,FALSE)),"",(VLOOKUP($E141,'A-1 Site Habitat Baseline'!$D$1:$O$258,7,FALSE))))</f>
        <v/>
      </c>
      <c r="J141" s="520" t="str">
        <f>IF(E141="","",IF(ISNA(VLOOKUP($E141,'A-1 Site Habitat Baseline'!$D$1:$O$258,8,FALSE)),"",(VLOOKUP($E141,'A-1 Site Habitat Baseline'!$D$1:$O$258,8,FALSE))))</f>
        <v/>
      </c>
      <c r="K141" s="520" t="str">
        <f>IF(E141="","",IF(ISNA(VLOOKUP($E141,'A-1 Site Habitat Baseline'!$D$1:$O$258,9,FALSE)),"",(VLOOKUP($E141,'A-1 Site Habitat Baseline'!$D$1:$O$258,9,FALSE))))</f>
        <v/>
      </c>
      <c r="L141" s="520" t="str">
        <f>IF(E141="","",IF(ISNA(VLOOKUP($E141,'A-1 Site Habitat Baseline'!$D$1:$O$258,11,FALSE)),"",(VLOOKUP($E141,'A-1 Site Habitat Baseline'!$D$1:$O$258,11,FALSE))))</f>
        <v/>
      </c>
      <c r="M141" s="520" t="str">
        <f>IF(E141="","",IF(ISNA(VLOOKUP($E141,'A-1 Site Habitat Baseline'!$D$1:$O$258,12,FALSE)),"",(VLOOKUP($E141,'A-1 Site Habitat Baseline'!$D$1:$O$258,12,FALSE))))</f>
        <v/>
      </c>
      <c r="N141" s="532" t="str">
        <f>IF(E141="","",IF(ISNA(VLOOKUP($E141,'A-1 Site Habitat Baseline'!$D$1:$X$258,14,FALSE)),"",(VLOOKUP($E141,'A-1 Site Habitat Baseline'!$D$1:$X$258,14,FALSE))))</f>
        <v/>
      </c>
      <c r="O141" s="524" t="str">
        <f>IF(E141="","",IF(ISNA(VLOOKUP($E141,'A-1 Site Habitat Baseline'!$D$1:$X$258,16,FALSE)),"",(VLOOKUP($E141,'A-1 Site Habitat Baseline'!$D$1:$X$258,13,FALSE))))</f>
        <v/>
      </c>
      <c r="P141" s="237" t="str">
        <f>IFERROR(INDEX('G-1 All Habitats'!$AG$3:$AG$15,MATCH(Q141,'G-1 All Habitats'!$AF$3:$AF$15,0)),"")</f>
        <v/>
      </c>
      <c r="Q141" s="238" t="str">
        <f t="shared" ref="Q141:Q204" si="25">A141</f>
        <v/>
      </c>
      <c r="R141" s="238" t="str">
        <f t="shared" ref="R141:R204" si="26">IF(B141="","",B141)</f>
        <v/>
      </c>
      <c r="S141" s="392" t="str">
        <f>IFERROR(INDEX('G-1 All Habitats'!$B$3:$B$129,MATCH(R141,'G-1 All Habitats'!$A$3:$A$129,0)),"")</f>
        <v/>
      </c>
      <c r="T141" s="498" t="str">
        <f t="shared" ref="T141:T204" si="27">IF(E141="","",IF(AND(LEFT(O141,6)="Same d",I141&gt;X141),"Error - Trading rules not satisfied ▲",IF(AND(LEFT(O141,6)="Same b",AND(LEFT(F141,5)&lt;&gt;LEFT(S141,5),I141&gt;X141)),"Error - Trading rules not satisfied ▲",IF(AND(LEFT(O141,6)="Same h",F141&lt;&gt;S141),"Error - Trading rules not satisfied ▲",IF(AND(LEFT(O141,6)="Bespok",F141&lt;&gt;S141),"Error - Trading rules not satisfied ▲",IF(X141&lt;I141,"Error Trading Down ▲",H141&amp;" - "&amp;W141))))))</f>
        <v/>
      </c>
      <c r="U141" s="499" t="str">
        <f t="shared" ref="U141:U204" si="28">IF(F141="","",IF(AND(LEFT(F141,55)&lt;&gt;LEFT(S141,55),T141= "High - High"),"Error - Not like for like ▲",IF(AND(I141=X141,K141&gt;Z141),"Error - Can not reduce condition ▲",IF(AND(I141=X141,K141=Z141),"Error - No enhancement ▲",IF(X141&lt;I141,"Error Trading Down ▲",IF(AND(F141&lt;&gt;S141,I141&lt;X141),"Lower Distinctiveness Habitat"&amp;" - "&amp;Y141,J141&amp;" - "&amp;Y141))))))</f>
        <v/>
      </c>
      <c r="V141" s="537" t="str">
        <f t="shared" si="22"/>
        <v/>
      </c>
      <c r="W141" s="520" t="str">
        <f>IF(S141="","",VLOOKUP(S141,'G-1 All Habitats'!$B$2:$M$129,10,FALSE))</f>
        <v/>
      </c>
      <c r="X141" s="520" t="str">
        <f>IFERROR(VLOOKUP(W141,'G-1 All Habitats'!$V$3:$W$7,2,FALSE),"")</f>
        <v/>
      </c>
      <c r="Y141" s="79"/>
      <c r="Z141" s="524" t="str">
        <f>IFERROR(INDEX('G-8 Condition Look up'!$A$3:$H$130,MATCH(S141,'G-8 Condition Look up'!$A$3:$A$130,0),MATCH(Y141,'G-8 Condition Look up'!$A$3:$H$3,0)),"")</f>
        <v/>
      </c>
      <c r="AA141" s="71"/>
      <c r="AB141" s="520" t="str">
        <f>IF(AA141="","",IF(VLOOKUP(AA141,'G-3 Multipliers'!$L$3:$N$6,2,FALSE)=0,"Spatial Data Missing ⚠",VLOOKUP(AA141,'G-3 Multipliers'!$L$3:$N$6,2,FALSE)))</f>
        <v/>
      </c>
      <c r="AC141" s="524" t="str">
        <f>IF(AA141="","",IF(VLOOKUP(AA141,'G-3 Multipliers'!$L$3:$N$6,3,FALSE)=0,"Spatial Data Missing ⚠",VLOOKUP(AA141,'G-3 Multipliers'!$L$3:$N$6,3,FALSE)))</f>
        <v/>
      </c>
      <c r="AD141" s="539" t="str">
        <f t="shared" si="23"/>
        <v/>
      </c>
      <c r="AE141" s="82"/>
      <c r="AF141" s="82"/>
      <c r="AG141" s="507" t="str">
        <f t="shared" ref="AG141:AG204" si="29">IF(AD141="","",IF(AD141="Check Data ⚠","Check Data ⚠",IF(R141="","",IF(AND(AE141&gt;0,AF141&gt;0),"Error -both advance and delayed habitat creation ▲",IF(AND(OR(AE141="Habitat already in target condition",AD141&lt;=AE141),AF141=0),"Check details - Is there evidence that habitat has reached target condition? ⚠",IF(O140="","",IF(AE141&gt;0,"Check details - Is there evidence habitat creation started/in place? ⚠",IF(AF141&gt;0,"Check details- Delay in starting habitat in required condition? ⚠","Standard time to target condition applied"))))))))</f>
        <v/>
      </c>
      <c r="AH141" s="521" t="str">
        <f t="shared" ref="AH141:AH204" si="30">IF(LEFT(AG141,5)="Error ▲","Check Data ⚠",IF(AG141="Check Data ⚠","Check Data ⚠",IF(AD141="","",IF(AD141="Not Possible","Check Data ⚠",IF(AND(AD141="30+",AE141=0),"30+",IF(AND(AD141="30+",AE141="30+"),0,IF(AND(AD141="30+",AE141&lt;30),30-AE141,IF(AD141="30+",30-AE141,IF(AE141&gt;AD141,0,IF(AF141="30+","30+",IF(AD141+AF141&gt;30,"30+",IF(AD141+AF141&gt;30,"30+",IF(AD141-AE141&gt;30,"30+",IF(AD141+AF141-AE141&gt;0,AD141+AF141-AE141,IF(AD141-AE141&gt;0,AD141-AE141,AD141+AF141-AE141)))))))))))))))</f>
        <v/>
      </c>
      <c r="AI141" s="522" t="str">
        <f>IF(AH141="Check Data","Check Data",IFERROR(VLOOKUP(AH141,'G-4 Temporal multipliers'!$A$4:$C$36,3,FALSE),""))</f>
        <v/>
      </c>
      <c r="AJ141" s="498" t="str">
        <f>IF(S141="","",VLOOKUP(S141,'G-3 Multipliers'!$A$2:$E$129,4,FALSE))</f>
        <v/>
      </c>
      <c r="AK141" s="507" t="str">
        <f t="shared" ref="AK141:AK204" si="31">IF(E141="","",IF(AG141="Check details - Is there evidence that habitat has reached target condition? ⚠","Low Difficulty - only applicable if all habitat created before losses ⚠","Standard difficulty applied"))</f>
        <v/>
      </c>
      <c r="AL141" s="507" t="str">
        <f t="shared" ref="AL141:AL204" si="32">(IF(AND(AK141="Standard difficulty applied",AD141&gt;AE141),AJ141,IF(AND(AK141="Low Difficulty - only applicable if all habitat created before losses ⚠",AE141&gt;=AD141),"Low", AJ141)))</f>
        <v/>
      </c>
      <c r="AM141" s="540" t="str">
        <f>IFERROR(IF(F141="","",IF(AH141="Check Data ⚠","Check Data ⚠",VLOOKUP(AL141, 'G-3 Multipliers'!$P$2:$Q$6,2,FALSE))),"")</f>
        <v/>
      </c>
      <c r="AN141" s="513" t="str">
        <f t="shared" si="24"/>
        <v/>
      </c>
      <c r="AO141" s="239"/>
      <c r="AP141" s="240"/>
    </row>
    <row r="142" spans="1:42" x14ac:dyDescent="0.3">
      <c r="A142" s="47" t="str">
        <f>IF(E142="","",IF(ISNA(VLOOKUP($E142,'A-1 Site Habitat Baseline'!$D$1:$O$258,2,FALSE)),"",(VLOOKUP($E142,'A-1 Site Habitat Baseline'!$D$1:$O$258,2,FALSE))))</f>
        <v/>
      </c>
      <c r="B142" s="47" t="str">
        <f>IF(E142="","",IF(ISNA(VLOOKUP($E142,'A-1 Site Habitat Baseline'!$D$1:$O$258,3,FALSE)),"",(VLOOKUP($E142,'A-1 Site Habitat Baseline'!$D$1:$O$258,3,FALSE))))</f>
        <v/>
      </c>
      <c r="C142" s="47" t="str">
        <f>IFERROR(INDEX('G-8 Condition Look up'!$I$4:$I$130,MATCH(S142,'G-8 Condition Look up'!$A$4:$A$130,0)),"")</f>
        <v/>
      </c>
      <c r="E142" s="531" t="str">
        <f>'A-1 Site Habitat Baseline'!AL141</f>
        <v/>
      </c>
      <c r="F142" s="520" t="str">
        <f>IF(E142="","",IF(ISNA(VLOOKUP($E142,'A-1 Site Habitat Baseline'!$D$1:$O$258,4,FALSE)),"",(VLOOKUP($E142,'A-1 Site Habitat Baseline'!$D$1:$O$258,4,FALSE))))</f>
        <v/>
      </c>
      <c r="G142" s="520" t="str">
        <f>IF(E142="","",IF(ISNA(VLOOKUP($E142,'A-1 Site Habitat Baseline'!$D$1:$O$258,5,FALSE)),"",(VLOOKUP($E142,'A-1 Site Habitat Baseline'!$D$1:$O$258,5,FALSE))))</f>
        <v/>
      </c>
      <c r="H142" s="520" t="str">
        <f>IF(E142="","",IF(ISNA(VLOOKUP($E142,'A-1 Site Habitat Baseline'!$D$1:$O$258,6,FALSE)),"",(VLOOKUP($E142,'A-1 Site Habitat Baseline'!$D$1:$O$258,6,FALSE))))</f>
        <v/>
      </c>
      <c r="I142" s="520" t="str">
        <f>IF(E142="","",IF(ISNA(VLOOKUP($E142,'A-1 Site Habitat Baseline'!$D$1:$O$258,7,FALSE)),"",(VLOOKUP($E142,'A-1 Site Habitat Baseline'!$D$1:$O$258,7,FALSE))))</f>
        <v/>
      </c>
      <c r="J142" s="520" t="str">
        <f>IF(E142="","",IF(ISNA(VLOOKUP($E142,'A-1 Site Habitat Baseline'!$D$1:$O$258,8,FALSE)),"",(VLOOKUP($E142,'A-1 Site Habitat Baseline'!$D$1:$O$258,8,FALSE))))</f>
        <v/>
      </c>
      <c r="K142" s="520" t="str">
        <f>IF(E142="","",IF(ISNA(VLOOKUP($E142,'A-1 Site Habitat Baseline'!$D$1:$O$258,9,FALSE)),"",(VLOOKUP($E142,'A-1 Site Habitat Baseline'!$D$1:$O$258,9,FALSE))))</f>
        <v/>
      </c>
      <c r="L142" s="520" t="str">
        <f>IF(E142="","",IF(ISNA(VLOOKUP($E142,'A-1 Site Habitat Baseline'!$D$1:$O$258,11,FALSE)),"",(VLOOKUP($E142,'A-1 Site Habitat Baseline'!$D$1:$O$258,11,FALSE))))</f>
        <v/>
      </c>
      <c r="M142" s="520" t="str">
        <f>IF(E142="","",IF(ISNA(VLOOKUP($E142,'A-1 Site Habitat Baseline'!$D$1:$O$258,12,FALSE)),"",(VLOOKUP($E142,'A-1 Site Habitat Baseline'!$D$1:$O$258,12,FALSE))))</f>
        <v/>
      </c>
      <c r="N142" s="532" t="str">
        <f>IF(E142="","",IF(ISNA(VLOOKUP($E142,'A-1 Site Habitat Baseline'!$D$1:$X$258,14,FALSE)),"",(VLOOKUP($E142,'A-1 Site Habitat Baseline'!$D$1:$X$258,14,FALSE))))</f>
        <v/>
      </c>
      <c r="O142" s="524" t="str">
        <f>IF(E142="","",IF(ISNA(VLOOKUP($E142,'A-1 Site Habitat Baseline'!$D$1:$X$258,16,FALSE)),"",(VLOOKUP($E142,'A-1 Site Habitat Baseline'!$D$1:$X$258,13,FALSE))))</f>
        <v/>
      </c>
      <c r="P142" s="237" t="str">
        <f>IFERROR(INDEX('G-1 All Habitats'!$AG$3:$AG$15,MATCH(Q142,'G-1 All Habitats'!$AF$3:$AF$15,0)),"")</f>
        <v/>
      </c>
      <c r="Q142" s="238" t="str">
        <f t="shared" si="25"/>
        <v/>
      </c>
      <c r="R142" s="238" t="str">
        <f t="shared" si="26"/>
        <v/>
      </c>
      <c r="S142" s="392" t="str">
        <f>IFERROR(INDEX('G-1 All Habitats'!$B$3:$B$129,MATCH(R142,'G-1 All Habitats'!$A$3:$A$129,0)),"")</f>
        <v/>
      </c>
      <c r="T142" s="498" t="str">
        <f t="shared" si="27"/>
        <v/>
      </c>
      <c r="U142" s="499" t="str">
        <f t="shared" si="28"/>
        <v/>
      </c>
      <c r="V142" s="537" t="str">
        <f t="shared" si="22"/>
        <v/>
      </c>
      <c r="W142" s="520" t="str">
        <f>IF(S142="","",VLOOKUP(S142,'G-1 All Habitats'!$B$2:$M$129,10,FALSE))</f>
        <v/>
      </c>
      <c r="X142" s="520" t="str">
        <f>IFERROR(VLOOKUP(W142,'G-1 All Habitats'!$V$3:$W$7,2,FALSE),"")</f>
        <v/>
      </c>
      <c r="Y142" s="79"/>
      <c r="Z142" s="524" t="str">
        <f>IFERROR(INDEX('G-8 Condition Look up'!$A$3:$H$130,MATCH(S142,'G-8 Condition Look up'!$A$3:$A$130,0),MATCH(Y142,'G-8 Condition Look up'!$A$3:$H$3,0)),"")</f>
        <v/>
      </c>
      <c r="AA142" s="71"/>
      <c r="AB142" s="520" t="str">
        <f>IF(AA142="","",IF(VLOOKUP(AA142,'G-3 Multipliers'!$L$3:$N$6,2,FALSE)=0,"Spatial Data Missing ⚠",VLOOKUP(AA142,'G-3 Multipliers'!$L$3:$N$6,2,FALSE)))</f>
        <v/>
      </c>
      <c r="AC142" s="524" t="str">
        <f>IF(AA142="","",IF(VLOOKUP(AA142,'G-3 Multipliers'!$L$3:$N$6,3,FALSE)=0,"Spatial Data Missing ⚠",VLOOKUP(AA142,'G-3 Multipliers'!$L$3:$N$6,3,FALSE)))</f>
        <v/>
      </c>
      <c r="AD142" s="539" t="str">
        <f t="shared" si="23"/>
        <v/>
      </c>
      <c r="AE142" s="82"/>
      <c r="AF142" s="82"/>
      <c r="AG142" s="507" t="str">
        <f t="shared" si="29"/>
        <v/>
      </c>
      <c r="AH142" s="521" t="str">
        <f t="shared" si="30"/>
        <v/>
      </c>
      <c r="AI142" s="522" t="str">
        <f>IF(AH142="Check Data","Check Data",IFERROR(VLOOKUP(AH142,'G-4 Temporal multipliers'!$A$4:$C$36,3,FALSE),""))</f>
        <v/>
      </c>
      <c r="AJ142" s="498" t="str">
        <f>IF(S142="","",VLOOKUP(S142,'G-3 Multipliers'!$A$2:$E$129,4,FALSE))</f>
        <v/>
      </c>
      <c r="AK142" s="507" t="str">
        <f t="shared" si="31"/>
        <v/>
      </c>
      <c r="AL142" s="507" t="str">
        <f t="shared" si="32"/>
        <v/>
      </c>
      <c r="AM142" s="540" t="str">
        <f>IFERROR(IF(F142="","",IF(AH142="Check Data ⚠","Check Data ⚠",VLOOKUP(AL142, 'G-3 Multipliers'!$P$2:$Q$6,2,FALSE))),"")</f>
        <v/>
      </c>
      <c r="AN142" s="513" t="str">
        <f t="shared" si="24"/>
        <v/>
      </c>
      <c r="AO142" s="239"/>
      <c r="AP142" s="240"/>
    </row>
    <row r="143" spans="1:42" x14ac:dyDescent="0.3">
      <c r="A143" s="47" t="str">
        <f>IF(E143="","",IF(ISNA(VLOOKUP($E143,'A-1 Site Habitat Baseline'!$D$1:$O$258,2,FALSE)),"",(VLOOKUP($E143,'A-1 Site Habitat Baseline'!$D$1:$O$258,2,FALSE))))</f>
        <v/>
      </c>
      <c r="B143" s="47" t="str">
        <f>IF(E143="","",IF(ISNA(VLOOKUP($E143,'A-1 Site Habitat Baseline'!$D$1:$O$258,3,FALSE)),"",(VLOOKUP($E143,'A-1 Site Habitat Baseline'!$D$1:$O$258,3,FALSE))))</f>
        <v/>
      </c>
      <c r="C143" s="47" t="str">
        <f>IFERROR(INDEX('G-8 Condition Look up'!$I$4:$I$130,MATCH(S143,'G-8 Condition Look up'!$A$4:$A$130,0)),"")</f>
        <v/>
      </c>
      <c r="E143" s="531" t="str">
        <f>'A-1 Site Habitat Baseline'!AL142</f>
        <v/>
      </c>
      <c r="F143" s="520" t="str">
        <f>IF(E143="","",IF(ISNA(VLOOKUP($E143,'A-1 Site Habitat Baseline'!$D$1:$O$258,4,FALSE)),"",(VLOOKUP($E143,'A-1 Site Habitat Baseline'!$D$1:$O$258,4,FALSE))))</f>
        <v/>
      </c>
      <c r="G143" s="520" t="str">
        <f>IF(E143="","",IF(ISNA(VLOOKUP($E143,'A-1 Site Habitat Baseline'!$D$1:$O$258,5,FALSE)),"",(VLOOKUP($E143,'A-1 Site Habitat Baseline'!$D$1:$O$258,5,FALSE))))</f>
        <v/>
      </c>
      <c r="H143" s="520" t="str">
        <f>IF(E143="","",IF(ISNA(VLOOKUP($E143,'A-1 Site Habitat Baseline'!$D$1:$O$258,6,FALSE)),"",(VLOOKUP($E143,'A-1 Site Habitat Baseline'!$D$1:$O$258,6,FALSE))))</f>
        <v/>
      </c>
      <c r="I143" s="520" t="str">
        <f>IF(E143="","",IF(ISNA(VLOOKUP($E143,'A-1 Site Habitat Baseline'!$D$1:$O$258,7,FALSE)),"",(VLOOKUP($E143,'A-1 Site Habitat Baseline'!$D$1:$O$258,7,FALSE))))</f>
        <v/>
      </c>
      <c r="J143" s="520" t="str">
        <f>IF(E143="","",IF(ISNA(VLOOKUP($E143,'A-1 Site Habitat Baseline'!$D$1:$O$258,8,FALSE)),"",(VLOOKUP($E143,'A-1 Site Habitat Baseline'!$D$1:$O$258,8,FALSE))))</f>
        <v/>
      </c>
      <c r="K143" s="520" t="str">
        <f>IF(E143="","",IF(ISNA(VLOOKUP($E143,'A-1 Site Habitat Baseline'!$D$1:$O$258,9,FALSE)),"",(VLOOKUP($E143,'A-1 Site Habitat Baseline'!$D$1:$O$258,9,FALSE))))</f>
        <v/>
      </c>
      <c r="L143" s="520" t="str">
        <f>IF(E143="","",IF(ISNA(VLOOKUP($E143,'A-1 Site Habitat Baseline'!$D$1:$O$258,11,FALSE)),"",(VLOOKUP($E143,'A-1 Site Habitat Baseline'!$D$1:$O$258,11,FALSE))))</f>
        <v/>
      </c>
      <c r="M143" s="520" t="str">
        <f>IF(E143="","",IF(ISNA(VLOOKUP($E143,'A-1 Site Habitat Baseline'!$D$1:$O$258,12,FALSE)),"",(VLOOKUP($E143,'A-1 Site Habitat Baseline'!$D$1:$O$258,12,FALSE))))</f>
        <v/>
      </c>
      <c r="N143" s="532" t="str">
        <f>IF(E143="","",IF(ISNA(VLOOKUP($E143,'A-1 Site Habitat Baseline'!$D$1:$X$258,14,FALSE)),"",(VLOOKUP($E143,'A-1 Site Habitat Baseline'!$D$1:$X$258,14,FALSE))))</f>
        <v/>
      </c>
      <c r="O143" s="524" t="str">
        <f>IF(E143="","",IF(ISNA(VLOOKUP($E143,'A-1 Site Habitat Baseline'!$D$1:$X$258,16,FALSE)),"",(VLOOKUP($E143,'A-1 Site Habitat Baseline'!$D$1:$X$258,13,FALSE))))</f>
        <v/>
      </c>
      <c r="P143" s="237" t="str">
        <f>IFERROR(INDEX('G-1 All Habitats'!$AG$3:$AG$15,MATCH(Q143,'G-1 All Habitats'!$AF$3:$AF$15,0)),"")</f>
        <v/>
      </c>
      <c r="Q143" s="238" t="str">
        <f t="shared" si="25"/>
        <v/>
      </c>
      <c r="R143" s="238" t="str">
        <f t="shared" si="26"/>
        <v/>
      </c>
      <c r="S143" s="392" t="str">
        <f>IFERROR(INDEX('G-1 All Habitats'!$B$3:$B$129,MATCH(R143,'G-1 All Habitats'!$A$3:$A$129,0)),"")</f>
        <v/>
      </c>
      <c r="T143" s="498" t="str">
        <f t="shared" si="27"/>
        <v/>
      </c>
      <c r="U143" s="499" t="str">
        <f t="shared" si="28"/>
        <v/>
      </c>
      <c r="V143" s="537" t="str">
        <f t="shared" si="22"/>
        <v/>
      </c>
      <c r="W143" s="520" t="str">
        <f>IF(S143="","",VLOOKUP(S143,'G-1 All Habitats'!$B$2:$M$129,10,FALSE))</f>
        <v/>
      </c>
      <c r="X143" s="520" t="str">
        <f>IFERROR(VLOOKUP(W143,'G-1 All Habitats'!$V$3:$W$7,2,FALSE),"")</f>
        <v/>
      </c>
      <c r="Y143" s="79"/>
      <c r="Z143" s="524" t="str">
        <f>IFERROR(INDEX('G-8 Condition Look up'!$A$3:$H$130,MATCH(S143,'G-8 Condition Look up'!$A$3:$A$130,0),MATCH(Y143,'G-8 Condition Look up'!$A$3:$H$3,0)),"")</f>
        <v/>
      </c>
      <c r="AA143" s="71"/>
      <c r="AB143" s="520" t="str">
        <f>IF(AA143="","",IF(VLOOKUP(AA143,'G-3 Multipliers'!$L$3:$N$6,2,FALSE)=0,"Spatial Data Missing ⚠",VLOOKUP(AA143,'G-3 Multipliers'!$L$3:$N$6,2,FALSE)))</f>
        <v/>
      </c>
      <c r="AC143" s="524" t="str">
        <f>IF(AA143="","",IF(VLOOKUP(AA143,'G-3 Multipliers'!$L$3:$N$6,3,FALSE)=0,"Spatial Data Missing ⚠",VLOOKUP(AA143,'G-3 Multipliers'!$L$3:$N$6,3,FALSE)))</f>
        <v/>
      </c>
      <c r="AD143" s="539" t="str">
        <f t="shared" si="23"/>
        <v/>
      </c>
      <c r="AE143" s="82"/>
      <c r="AF143" s="82"/>
      <c r="AG143" s="507" t="str">
        <f t="shared" si="29"/>
        <v/>
      </c>
      <c r="AH143" s="521" t="str">
        <f t="shared" si="30"/>
        <v/>
      </c>
      <c r="AI143" s="522" t="str">
        <f>IF(AH143="Check Data","Check Data",IFERROR(VLOOKUP(AH143,'G-4 Temporal multipliers'!$A$4:$C$36,3,FALSE),""))</f>
        <v/>
      </c>
      <c r="AJ143" s="498" t="str">
        <f>IF(S143="","",VLOOKUP(S143,'G-3 Multipliers'!$A$2:$E$129,4,FALSE))</f>
        <v/>
      </c>
      <c r="AK143" s="507" t="str">
        <f t="shared" si="31"/>
        <v/>
      </c>
      <c r="AL143" s="507" t="str">
        <f t="shared" si="32"/>
        <v/>
      </c>
      <c r="AM143" s="540" t="str">
        <f>IFERROR(IF(F143="","",IF(AH143="Check Data ⚠","Check Data ⚠",VLOOKUP(AL143, 'G-3 Multipliers'!$P$2:$Q$6,2,FALSE))),"")</f>
        <v/>
      </c>
      <c r="AN143" s="513" t="str">
        <f t="shared" si="24"/>
        <v/>
      </c>
      <c r="AO143" s="239"/>
      <c r="AP143" s="240"/>
    </row>
    <row r="144" spans="1:42" x14ac:dyDescent="0.3">
      <c r="A144" s="47" t="str">
        <f>IF(E144="","",IF(ISNA(VLOOKUP($E144,'A-1 Site Habitat Baseline'!$D$1:$O$258,2,FALSE)),"",(VLOOKUP($E144,'A-1 Site Habitat Baseline'!$D$1:$O$258,2,FALSE))))</f>
        <v/>
      </c>
      <c r="B144" s="47" t="str">
        <f>IF(E144="","",IF(ISNA(VLOOKUP($E144,'A-1 Site Habitat Baseline'!$D$1:$O$258,3,FALSE)),"",(VLOOKUP($E144,'A-1 Site Habitat Baseline'!$D$1:$O$258,3,FALSE))))</f>
        <v/>
      </c>
      <c r="C144" s="47" t="str">
        <f>IFERROR(INDEX('G-8 Condition Look up'!$I$4:$I$130,MATCH(S144,'G-8 Condition Look up'!$A$4:$A$130,0)),"")</f>
        <v/>
      </c>
      <c r="E144" s="531" t="str">
        <f>'A-1 Site Habitat Baseline'!AL143</f>
        <v/>
      </c>
      <c r="F144" s="520" t="str">
        <f>IF(E144="","",IF(ISNA(VLOOKUP($E144,'A-1 Site Habitat Baseline'!$D$1:$O$258,4,FALSE)),"",(VLOOKUP($E144,'A-1 Site Habitat Baseline'!$D$1:$O$258,4,FALSE))))</f>
        <v/>
      </c>
      <c r="G144" s="520" t="str">
        <f>IF(E144="","",IF(ISNA(VLOOKUP($E144,'A-1 Site Habitat Baseline'!$D$1:$O$258,5,FALSE)),"",(VLOOKUP($E144,'A-1 Site Habitat Baseline'!$D$1:$O$258,5,FALSE))))</f>
        <v/>
      </c>
      <c r="H144" s="520" t="str">
        <f>IF(E144="","",IF(ISNA(VLOOKUP($E144,'A-1 Site Habitat Baseline'!$D$1:$O$258,6,FALSE)),"",(VLOOKUP($E144,'A-1 Site Habitat Baseline'!$D$1:$O$258,6,FALSE))))</f>
        <v/>
      </c>
      <c r="I144" s="520" t="str">
        <f>IF(E144="","",IF(ISNA(VLOOKUP($E144,'A-1 Site Habitat Baseline'!$D$1:$O$258,7,FALSE)),"",(VLOOKUP($E144,'A-1 Site Habitat Baseline'!$D$1:$O$258,7,FALSE))))</f>
        <v/>
      </c>
      <c r="J144" s="520" t="str">
        <f>IF(E144="","",IF(ISNA(VLOOKUP($E144,'A-1 Site Habitat Baseline'!$D$1:$O$258,8,FALSE)),"",(VLOOKUP($E144,'A-1 Site Habitat Baseline'!$D$1:$O$258,8,FALSE))))</f>
        <v/>
      </c>
      <c r="K144" s="520" t="str">
        <f>IF(E144="","",IF(ISNA(VLOOKUP($E144,'A-1 Site Habitat Baseline'!$D$1:$O$258,9,FALSE)),"",(VLOOKUP($E144,'A-1 Site Habitat Baseline'!$D$1:$O$258,9,FALSE))))</f>
        <v/>
      </c>
      <c r="L144" s="520" t="str">
        <f>IF(E144="","",IF(ISNA(VLOOKUP($E144,'A-1 Site Habitat Baseline'!$D$1:$O$258,11,FALSE)),"",(VLOOKUP($E144,'A-1 Site Habitat Baseline'!$D$1:$O$258,11,FALSE))))</f>
        <v/>
      </c>
      <c r="M144" s="520" t="str">
        <f>IF(E144="","",IF(ISNA(VLOOKUP($E144,'A-1 Site Habitat Baseline'!$D$1:$O$258,12,FALSE)),"",(VLOOKUP($E144,'A-1 Site Habitat Baseline'!$D$1:$O$258,12,FALSE))))</f>
        <v/>
      </c>
      <c r="N144" s="532" t="str">
        <f>IF(E144="","",IF(ISNA(VLOOKUP($E144,'A-1 Site Habitat Baseline'!$D$1:$X$258,14,FALSE)),"",(VLOOKUP($E144,'A-1 Site Habitat Baseline'!$D$1:$X$258,14,FALSE))))</f>
        <v/>
      </c>
      <c r="O144" s="524" t="str">
        <f>IF(E144="","",IF(ISNA(VLOOKUP($E144,'A-1 Site Habitat Baseline'!$D$1:$X$258,16,FALSE)),"",(VLOOKUP($E144,'A-1 Site Habitat Baseline'!$D$1:$X$258,13,FALSE))))</f>
        <v/>
      </c>
      <c r="P144" s="237" t="str">
        <f>IFERROR(INDEX('G-1 All Habitats'!$AG$3:$AG$15,MATCH(Q144,'G-1 All Habitats'!$AF$3:$AF$15,0)),"")</f>
        <v/>
      </c>
      <c r="Q144" s="238" t="str">
        <f t="shared" si="25"/>
        <v/>
      </c>
      <c r="R144" s="238" t="str">
        <f t="shared" si="26"/>
        <v/>
      </c>
      <c r="S144" s="392" t="str">
        <f>IFERROR(INDEX('G-1 All Habitats'!$B$3:$B$129,MATCH(R144,'G-1 All Habitats'!$A$3:$A$129,0)),"")</f>
        <v/>
      </c>
      <c r="T144" s="498" t="str">
        <f t="shared" si="27"/>
        <v/>
      </c>
      <c r="U144" s="499" t="str">
        <f t="shared" si="28"/>
        <v/>
      </c>
      <c r="V144" s="537" t="str">
        <f t="shared" si="22"/>
        <v/>
      </c>
      <c r="W144" s="520" t="str">
        <f>IF(S144="","",VLOOKUP(S144,'G-1 All Habitats'!$B$2:$M$129,10,FALSE))</f>
        <v/>
      </c>
      <c r="X144" s="520" t="str">
        <f>IFERROR(VLOOKUP(W144,'G-1 All Habitats'!$V$3:$W$7,2,FALSE),"")</f>
        <v/>
      </c>
      <c r="Y144" s="79"/>
      <c r="Z144" s="524" t="str">
        <f>IFERROR(INDEX('G-8 Condition Look up'!$A$3:$H$130,MATCH(S144,'G-8 Condition Look up'!$A$3:$A$130,0),MATCH(Y144,'G-8 Condition Look up'!$A$3:$H$3,0)),"")</f>
        <v/>
      </c>
      <c r="AA144" s="71"/>
      <c r="AB144" s="520" t="str">
        <f>IF(AA144="","",IF(VLOOKUP(AA144,'G-3 Multipliers'!$L$3:$N$6,2,FALSE)=0,"Spatial Data Missing ⚠",VLOOKUP(AA144,'G-3 Multipliers'!$L$3:$N$6,2,FALSE)))</f>
        <v/>
      </c>
      <c r="AC144" s="524" t="str">
        <f>IF(AA144="","",IF(VLOOKUP(AA144,'G-3 Multipliers'!$L$3:$N$6,3,FALSE)=0,"Spatial Data Missing ⚠",VLOOKUP(AA144,'G-3 Multipliers'!$L$3:$N$6,3,FALSE)))</f>
        <v/>
      </c>
      <c r="AD144" s="539" t="str">
        <f t="shared" si="23"/>
        <v/>
      </c>
      <c r="AE144" s="82"/>
      <c r="AF144" s="82"/>
      <c r="AG144" s="507" t="str">
        <f t="shared" si="29"/>
        <v/>
      </c>
      <c r="AH144" s="521" t="str">
        <f t="shared" si="30"/>
        <v/>
      </c>
      <c r="AI144" s="522" t="str">
        <f>IF(AH144="Check Data","Check Data",IFERROR(VLOOKUP(AH144,'G-4 Temporal multipliers'!$A$4:$C$36,3,FALSE),""))</f>
        <v/>
      </c>
      <c r="AJ144" s="498" t="str">
        <f>IF(S144="","",VLOOKUP(S144,'G-3 Multipliers'!$A$2:$E$129,4,FALSE))</f>
        <v/>
      </c>
      <c r="AK144" s="507" t="str">
        <f t="shared" si="31"/>
        <v/>
      </c>
      <c r="AL144" s="507" t="str">
        <f t="shared" si="32"/>
        <v/>
      </c>
      <c r="AM144" s="540" t="str">
        <f>IFERROR(IF(F144="","",IF(AH144="Check Data ⚠","Check Data ⚠",VLOOKUP(AL144, 'G-3 Multipliers'!$P$2:$Q$6,2,FALSE))),"")</f>
        <v/>
      </c>
      <c r="AN144" s="513" t="str">
        <f t="shared" si="24"/>
        <v/>
      </c>
      <c r="AO144" s="239"/>
      <c r="AP144" s="240"/>
    </row>
    <row r="145" spans="1:42" x14ac:dyDescent="0.3">
      <c r="A145" s="47" t="str">
        <f>IF(E145="","",IF(ISNA(VLOOKUP($E145,'A-1 Site Habitat Baseline'!$D$1:$O$258,2,FALSE)),"",(VLOOKUP($E145,'A-1 Site Habitat Baseline'!$D$1:$O$258,2,FALSE))))</f>
        <v/>
      </c>
      <c r="B145" s="47" t="str">
        <f>IF(E145="","",IF(ISNA(VLOOKUP($E145,'A-1 Site Habitat Baseline'!$D$1:$O$258,3,FALSE)),"",(VLOOKUP($E145,'A-1 Site Habitat Baseline'!$D$1:$O$258,3,FALSE))))</f>
        <v/>
      </c>
      <c r="C145" s="47" t="str">
        <f>IFERROR(INDEX('G-8 Condition Look up'!$I$4:$I$130,MATCH(S145,'G-8 Condition Look up'!$A$4:$A$130,0)),"")</f>
        <v/>
      </c>
      <c r="E145" s="531" t="str">
        <f>'A-1 Site Habitat Baseline'!AL144</f>
        <v/>
      </c>
      <c r="F145" s="520" t="str">
        <f>IF(E145="","",IF(ISNA(VLOOKUP($E145,'A-1 Site Habitat Baseline'!$D$1:$O$258,4,FALSE)),"",(VLOOKUP($E145,'A-1 Site Habitat Baseline'!$D$1:$O$258,4,FALSE))))</f>
        <v/>
      </c>
      <c r="G145" s="520" t="str">
        <f>IF(E145="","",IF(ISNA(VLOOKUP($E145,'A-1 Site Habitat Baseline'!$D$1:$O$258,5,FALSE)),"",(VLOOKUP($E145,'A-1 Site Habitat Baseline'!$D$1:$O$258,5,FALSE))))</f>
        <v/>
      </c>
      <c r="H145" s="520" t="str">
        <f>IF(E145="","",IF(ISNA(VLOOKUP($E145,'A-1 Site Habitat Baseline'!$D$1:$O$258,6,FALSE)),"",(VLOOKUP($E145,'A-1 Site Habitat Baseline'!$D$1:$O$258,6,FALSE))))</f>
        <v/>
      </c>
      <c r="I145" s="520" t="str">
        <f>IF(E145="","",IF(ISNA(VLOOKUP($E145,'A-1 Site Habitat Baseline'!$D$1:$O$258,7,FALSE)),"",(VLOOKUP($E145,'A-1 Site Habitat Baseline'!$D$1:$O$258,7,FALSE))))</f>
        <v/>
      </c>
      <c r="J145" s="520" t="str">
        <f>IF(E145="","",IF(ISNA(VLOOKUP($E145,'A-1 Site Habitat Baseline'!$D$1:$O$258,8,FALSE)),"",(VLOOKUP($E145,'A-1 Site Habitat Baseline'!$D$1:$O$258,8,FALSE))))</f>
        <v/>
      </c>
      <c r="K145" s="520" t="str">
        <f>IF(E145="","",IF(ISNA(VLOOKUP($E145,'A-1 Site Habitat Baseline'!$D$1:$O$258,9,FALSE)),"",(VLOOKUP($E145,'A-1 Site Habitat Baseline'!$D$1:$O$258,9,FALSE))))</f>
        <v/>
      </c>
      <c r="L145" s="520" t="str">
        <f>IF(E145="","",IF(ISNA(VLOOKUP($E145,'A-1 Site Habitat Baseline'!$D$1:$O$258,11,FALSE)),"",(VLOOKUP($E145,'A-1 Site Habitat Baseline'!$D$1:$O$258,11,FALSE))))</f>
        <v/>
      </c>
      <c r="M145" s="520" t="str">
        <f>IF(E145="","",IF(ISNA(VLOOKUP($E145,'A-1 Site Habitat Baseline'!$D$1:$O$258,12,FALSE)),"",(VLOOKUP($E145,'A-1 Site Habitat Baseline'!$D$1:$O$258,12,FALSE))))</f>
        <v/>
      </c>
      <c r="N145" s="532" t="str">
        <f>IF(E145="","",IF(ISNA(VLOOKUP($E145,'A-1 Site Habitat Baseline'!$D$1:$X$258,14,FALSE)),"",(VLOOKUP($E145,'A-1 Site Habitat Baseline'!$D$1:$X$258,14,FALSE))))</f>
        <v/>
      </c>
      <c r="O145" s="524" t="str">
        <f>IF(E145="","",IF(ISNA(VLOOKUP($E145,'A-1 Site Habitat Baseline'!$D$1:$X$258,16,FALSE)),"",(VLOOKUP($E145,'A-1 Site Habitat Baseline'!$D$1:$X$258,13,FALSE))))</f>
        <v/>
      </c>
      <c r="P145" s="237" t="str">
        <f>IFERROR(INDEX('G-1 All Habitats'!$AG$3:$AG$15,MATCH(Q145,'G-1 All Habitats'!$AF$3:$AF$15,0)),"")</f>
        <v/>
      </c>
      <c r="Q145" s="238" t="str">
        <f t="shared" si="25"/>
        <v/>
      </c>
      <c r="R145" s="238" t="str">
        <f t="shared" si="26"/>
        <v/>
      </c>
      <c r="S145" s="392" t="str">
        <f>IFERROR(INDEX('G-1 All Habitats'!$B$3:$B$129,MATCH(R145,'G-1 All Habitats'!$A$3:$A$129,0)),"")</f>
        <v/>
      </c>
      <c r="T145" s="498" t="str">
        <f t="shared" si="27"/>
        <v/>
      </c>
      <c r="U145" s="499" t="str">
        <f t="shared" si="28"/>
        <v/>
      </c>
      <c r="V145" s="537" t="str">
        <f t="shared" si="22"/>
        <v/>
      </c>
      <c r="W145" s="520" t="str">
        <f>IF(S145="","",VLOOKUP(S145,'G-1 All Habitats'!$B$2:$M$129,10,FALSE))</f>
        <v/>
      </c>
      <c r="X145" s="520" t="str">
        <f>IFERROR(VLOOKUP(W145,'G-1 All Habitats'!$V$3:$W$7,2,FALSE),"")</f>
        <v/>
      </c>
      <c r="Y145" s="79"/>
      <c r="Z145" s="524" t="str">
        <f>IFERROR(INDEX('G-8 Condition Look up'!$A$3:$H$130,MATCH(S145,'G-8 Condition Look up'!$A$3:$A$130,0),MATCH(Y145,'G-8 Condition Look up'!$A$3:$H$3,0)),"")</f>
        <v/>
      </c>
      <c r="AA145" s="71"/>
      <c r="AB145" s="520" t="str">
        <f>IF(AA145="","",IF(VLOOKUP(AA145,'G-3 Multipliers'!$L$3:$N$6,2,FALSE)=0,"Spatial Data Missing ⚠",VLOOKUP(AA145,'G-3 Multipliers'!$L$3:$N$6,2,FALSE)))</f>
        <v/>
      </c>
      <c r="AC145" s="524" t="str">
        <f>IF(AA145="","",IF(VLOOKUP(AA145,'G-3 Multipliers'!$L$3:$N$6,3,FALSE)=0,"Spatial Data Missing ⚠",VLOOKUP(AA145,'G-3 Multipliers'!$L$3:$N$6,3,FALSE)))</f>
        <v/>
      </c>
      <c r="AD145" s="539" t="str">
        <f t="shared" si="23"/>
        <v/>
      </c>
      <c r="AE145" s="82"/>
      <c r="AF145" s="82"/>
      <c r="AG145" s="507" t="str">
        <f t="shared" si="29"/>
        <v/>
      </c>
      <c r="AH145" s="521" t="str">
        <f t="shared" si="30"/>
        <v/>
      </c>
      <c r="AI145" s="522" t="str">
        <f>IF(AH145="Check Data","Check Data",IFERROR(VLOOKUP(AH145,'G-4 Temporal multipliers'!$A$4:$C$36,3,FALSE),""))</f>
        <v/>
      </c>
      <c r="AJ145" s="498" t="str">
        <f>IF(S145="","",VLOOKUP(S145,'G-3 Multipliers'!$A$2:$E$129,4,FALSE))</f>
        <v/>
      </c>
      <c r="AK145" s="507" t="str">
        <f t="shared" si="31"/>
        <v/>
      </c>
      <c r="AL145" s="507" t="str">
        <f t="shared" si="32"/>
        <v/>
      </c>
      <c r="AM145" s="540" t="str">
        <f>IFERROR(IF(F145="","",IF(AH145="Check Data ⚠","Check Data ⚠",VLOOKUP(AL145, 'G-3 Multipliers'!$P$2:$Q$6,2,FALSE))),"")</f>
        <v/>
      </c>
      <c r="AN145" s="513" t="str">
        <f t="shared" si="24"/>
        <v/>
      </c>
      <c r="AO145" s="239"/>
      <c r="AP145" s="240"/>
    </row>
    <row r="146" spans="1:42" x14ac:dyDescent="0.3">
      <c r="A146" s="47" t="str">
        <f>IF(E146="","",IF(ISNA(VLOOKUP($E146,'A-1 Site Habitat Baseline'!$D$1:$O$258,2,FALSE)),"",(VLOOKUP($E146,'A-1 Site Habitat Baseline'!$D$1:$O$258,2,FALSE))))</f>
        <v/>
      </c>
      <c r="B146" s="47" t="str">
        <f>IF(E146="","",IF(ISNA(VLOOKUP($E146,'A-1 Site Habitat Baseline'!$D$1:$O$258,3,FALSE)),"",(VLOOKUP($E146,'A-1 Site Habitat Baseline'!$D$1:$O$258,3,FALSE))))</f>
        <v/>
      </c>
      <c r="C146" s="47" t="str">
        <f>IFERROR(INDEX('G-8 Condition Look up'!$I$4:$I$130,MATCH(S146,'G-8 Condition Look up'!$A$4:$A$130,0)),"")</f>
        <v/>
      </c>
      <c r="E146" s="531" t="str">
        <f>'A-1 Site Habitat Baseline'!AL145</f>
        <v/>
      </c>
      <c r="F146" s="520" t="str">
        <f>IF(E146="","",IF(ISNA(VLOOKUP($E146,'A-1 Site Habitat Baseline'!$D$1:$O$258,4,FALSE)),"",(VLOOKUP($E146,'A-1 Site Habitat Baseline'!$D$1:$O$258,4,FALSE))))</f>
        <v/>
      </c>
      <c r="G146" s="520" t="str">
        <f>IF(E146="","",IF(ISNA(VLOOKUP($E146,'A-1 Site Habitat Baseline'!$D$1:$O$258,5,FALSE)),"",(VLOOKUP($E146,'A-1 Site Habitat Baseline'!$D$1:$O$258,5,FALSE))))</f>
        <v/>
      </c>
      <c r="H146" s="520" t="str">
        <f>IF(E146="","",IF(ISNA(VLOOKUP($E146,'A-1 Site Habitat Baseline'!$D$1:$O$258,6,FALSE)),"",(VLOOKUP($E146,'A-1 Site Habitat Baseline'!$D$1:$O$258,6,FALSE))))</f>
        <v/>
      </c>
      <c r="I146" s="520" t="str">
        <f>IF(E146="","",IF(ISNA(VLOOKUP($E146,'A-1 Site Habitat Baseline'!$D$1:$O$258,7,FALSE)),"",(VLOOKUP($E146,'A-1 Site Habitat Baseline'!$D$1:$O$258,7,FALSE))))</f>
        <v/>
      </c>
      <c r="J146" s="520" t="str">
        <f>IF(E146="","",IF(ISNA(VLOOKUP($E146,'A-1 Site Habitat Baseline'!$D$1:$O$258,8,FALSE)),"",(VLOOKUP($E146,'A-1 Site Habitat Baseline'!$D$1:$O$258,8,FALSE))))</f>
        <v/>
      </c>
      <c r="K146" s="520" t="str">
        <f>IF(E146="","",IF(ISNA(VLOOKUP($E146,'A-1 Site Habitat Baseline'!$D$1:$O$258,9,FALSE)),"",(VLOOKUP($E146,'A-1 Site Habitat Baseline'!$D$1:$O$258,9,FALSE))))</f>
        <v/>
      </c>
      <c r="L146" s="520" t="str">
        <f>IF(E146="","",IF(ISNA(VLOOKUP($E146,'A-1 Site Habitat Baseline'!$D$1:$O$258,11,FALSE)),"",(VLOOKUP($E146,'A-1 Site Habitat Baseline'!$D$1:$O$258,11,FALSE))))</f>
        <v/>
      </c>
      <c r="M146" s="520" t="str">
        <f>IF(E146="","",IF(ISNA(VLOOKUP($E146,'A-1 Site Habitat Baseline'!$D$1:$O$258,12,FALSE)),"",(VLOOKUP($E146,'A-1 Site Habitat Baseline'!$D$1:$O$258,12,FALSE))))</f>
        <v/>
      </c>
      <c r="N146" s="532" t="str">
        <f>IF(E146="","",IF(ISNA(VLOOKUP($E146,'A-1 Site Habitat Baseline'!$D$1:$X$258,14,FALSE)),"",(VLOOKUP($E146,'A-1 Site Habitat Baseline'!$D$1:$X$258,14,FALSE))))</f>
        <v/>
      </c>
      <c r="O146" s="524" t="str">
        <f>IF(E146="","",IF(ISNA(VLOOKUP($E146,'A-1 Site Habitat Baseline'!$D$1:$X$258,16,FALSE)),"",(VLOOKUP($E146,'A-1 Site Habitat Baseline'!$D$1:$X$258,13,FALSE))))</f>
        <v/>
      </c>
      <c r="P146" s="237" t="str">
        <f>IFERROR(INDEX('G-1 All Habitats'!$AG$3:$AG$15,MATCH(Q146,'G-1 All Habitats'!$AF$3:$AF$15,0)),"")</f>
        <v/>
      </c>
      <c r="Q146" s="238" t="str">
        <f t="shared" si="25"/>
        <v/>
      </c>
      <c r="R146" s="238" t="str">
        <f t="shared" si="26"/>
        <v/>
      </c>
      <c r="S146" s="392" t="str">
        <f>IFERROR(INDEX('G-1 All Habitats'!$B$3:$B$129,MATCH(R146,'G-1 All Habitats'!$A$3:$A$129,0)),"")</f>
        <v/>
      </c>
      <c r="T146" s="498" t="str">
        <f t="shared" si="27"/>
        <v/>
      </c>
      <c r="U146" s="499" t="str">
        <f t="shared" si="28"/>
        <v/>
      </c>
      <c r="V146" s="537" t="str">
        <f t="shared" si="22"/>
        <v/>
      </c>
      <c r="W146" s="520" t="str">
        <f>IF(S146="","",VLOOKUP(S146,'G-1 All Habitats'!$B$2:$M$129,10,FALSE))</f>
        <v/>
      </c>
      <c r="X146" s="520" t="str">
        <f>IFERROR(VLOOKUP(W146,'G-1 All Habitats'!$V$3:$W$7,2,FALSE),"")</f>
        <v/>
      </c>
      <c r="Y146" s="79"/>
      <c r="Z146" s="524" t="str">
        <f>IFERROR(INDEX('G-8 Condition Look up'!$A$3:$H$130,MATCH(S146,'G-8 Condition Look up'!$A$3:$A$130,0),MATCH(Y146,'G-8 Condition Look up'!$A$3:$H$3,0)),"")</f>
        <v/>
      </c>
      <c r="AA146" s="71"/>
      <c r="AB146" s="520" t="str">
        <f>IF(AA146="","",IF(VLOOKUP(AA146,'G-3 Multipliers'!$L$3:$N$6,2,FALSE)=0,"Spatial Data Missing ⚠",VLOOKUP(AA146,'G-3 Multipliers'!$L$3:$N$6,2,FALSE)))</f>
        <v/>
      </c>
      <c r="AC146" s="524" t="str">
        <f>IF(AA146="","",IF(VLOOKUP(AA146,'G-3 Multipliers'!$L$3:$N$6,3,FALSE)=0,"Spatial Data Missing ⚠",VLOOKUP(AA146,'G-3 Multipliers'!$L$3:$N$6,3,FALSE)))</f>
        <v/>
      </c>
      <c r="AD146" s="539" t="str">
        <f t="shared" si="23"/>
        <v/>
      </c>
      <c r="AE146" s="82"/>
      <c r="AF146" s="82"/>
      <c r="AG146" s="507" t="str">
        <f t="shared" si="29"/>
        <v/>
      </c>
      <c r="AH146" s="521" t="str">
        <f t="shared" si="30"/>
        <v/>
      </c>
      <c r="AI146" s="522" t="str">
        <f>IF(AH146="Check Data","Check Data",IFERROR(VLOOKUP(AH146,'G-4 Temporal multipliers'!$A$4:$C$36,3,FALSE),""))</f>
        <v/>
      </c>
      <c r="AJ146" s="498" t="str">
        <f>IF(S146="","",VLOOKUP(S146,'G-3 Multipliers'!$A$2:$E$129,4,FALSE))</f>
        <v/>
      </c>
      <c r="AK146" s="507" t="str">
        <f t="shared" si="31"/>
        <v/>
      </c>
      <c r="AL146" s="507" t="str">
        <f t="shared" si="32"/>
        <v/>
      </c>
      <c r="AM146" s="540" t="str">
        <f>IFERROR(IF(F146="","",IF(AH146="Check Data ⚠","Check Data ⚠",VLOOKUP(AL146, 'G-3 Multipliers'!$P$2:$Q$6,2,FALSE))),"")</f>
        <v/>
      </c>
      <c r="AN146" s="513" t="str">
        <f t="shared" si="24"/>
        <v/>
      </c>
      <c r="AO146" s="239"/>
      <c r="AP146" s="240"/>
    </row>
    <row r="147" spans="1:42" x14ac:dyDescent="0.3">
      <c r="A147" s="47" t="str">
        <f>IF(E147="","",IF(ISNA(VLOOKUP($E147,'A-1 Site Habitat Baseline'!$D$1:$O$258,2,FALSE)),"",(VLOOKUP($E147,'A-1 Site Habitat Baseline'!$D$1:$O$258,2,FALSE))))</f>
        <v/>
      </c>
      <c r="B147" s="47" t="str">
        <f>IF(E147="","",IF(ISNA(VLOOKUP($E147,'A-1 Site Habitat Baseline'!$D$1:$O$258,3,FALSE)),"",(VLOOKUP($E147,'A-1 Site Habitat Baseline'!$D$1:$O$258,3,FALSE))))</f>
        <v/>
      </c>
      <c r="C147" s="47" t="str">
        <f>IFERROR(INDEX('G-8 Condition Look up'!$I$4:$I$130,MATCH(S147,'G-8 Condition Look up'!$A$4:$A$130,0)),"")</f>
        <v/>
      </c>
      <c r="E147" s="531" t="str">
        <f>'A-1 Site Habitat Baseline'!AL146</f>
        <v/>
      </c>
      <c r="F147" s="520" t="str">
        <f>IF(E147="","",IF(ISNA(VLOOKUP($E147,'A-1 Site Habitat Baseline'!$D$1:$O$258,4,FALSE)),"",(VLOOKUP($E147,'A-1 Site Habitat Baseline'!$D$1:$O$258,4,FALSE))))</f>
        <v/>
      </c>
      <c r="G147" s="520" t="str">
        <f>IF(E147="","",IF(ISNA(VLOOKUP($E147,'A-1 Site Habitat Baseline'!$D$1:$O$258,5,FALSE)),"",(VLOOKUP($E147,'A-1 Site Habitat Baseline'!$D$1:$O$258,5,FALSE))))</f>
        <v/>
      </c>
      <c r="H147" s="520" t="str">
        <f>IF(E147="","",IF(ISNA(VLOOKUP($E147,'A-1 Site Habitat Baseline'!$D$1:$O$258,6,FALSE)),"",(VLOOKUP($E147,'A-1 Site Habitat Baseline'!$D$1:$O$258,6,FALSE))))</f>
        <v/>
      </c>
      <c r="I147" s="520" t="str">
        <f>IF(E147="","",IF(ISNA(VLOOKUP($E147,'A-1 Site Habitat Baseline'!$D$1:$O$258,7,FALSE)),"",(VLOOKUP($E147,'A-1 Site Habitat Baseline'!$D$1:$O$258,7,FALSE))))</f>
        <v/>
      </c>
      <c r="J147" s="520" t="str">
        <f>IF(E147="","",IF(ISNA(VLOOKUP($E147,'A-1 Site Habitat Baseline'!$D$1:$O$258,8,FALSE)),"",(VLOOKUP($E147,'A-1 Site Habitat Baseline'!$D$1:$O$258,8,FALSE))))</f>
        <v/>
      </c>
      <c r="K147" s="520" t="str">
        <f>IF(E147="","",IF(ISNA(VLOOKUP($E147,'A-1 Site Habitat Baseline'!$D$1:$O$258,9,FALSE)),"",(VLOOKUP($E147,'A-1 Site Habitat Baseline'!$D$1:$O$258,9,FALSE))))</f>
        <v/>
      </c>
      <c r="L147" s="520" t="str">
        <f>IF(E147="","",IF(ISNA(VLOOKUP($E147,'A-1 Site Habitat Baseline'!$D$1:$O$258,11,FALSE)),"",(VLOOKUP($E147,'A-1 Site Habitat Baseline'!$D$1:$O$258,11,FALSE))))</f>
        <v/>
      </c>
      <c r="M147" s="520" t="str">
        <f>IF(E147="","",IF(ISNA(VLOOKUP($E147,'A-1 Site Habitat Baseline'!$D$1:$O$258,12,FALSE)),"",(VLOOKUP($E147,'A-1 Site Habitat Baseline'!$D$1:$O$258,12,FALSE))))</f>
        <v/>
      </c>
      <c r="N147" s="532" t="str">
        <f>IF(E147="","",IF(ISNA(VLOOKUP($E147,'A-1 Site Habitat Baseline'!$D$1:$X$258,14,FALSE)),"",(VLOOKUP($E147,'A-1 Site Habitat Baseline'!$D$1:$X$258,14,FALSE))))</f>
        <v/>
      </c>
      <c r="O147" s="524" t="str">
        <f>IF(E147="","",IF(ISNA(VLOOKUP($E147,'A-1 Site Habitat Baseline'!$D$1:$X$258,16,FALSE)),"",(VLOOKUP($E147,'A-1 Site Habitat Baseline'!$D$1:$X$258,13,FALSE))))</f>
        <v/>
      </c>
      <c r="P147" s="237" t="str">
        <f>IFERROR(INDEX('G-1 All Habitats'!$AG$3:$AG$15,MATCH(Q147,'G-1 All Habitats'!$AF$3:$AF$15,0)),"")</f>
        <v/>
      </c>
      <c r="Q147" s="238" t="str">
        <f t="shared" si="25"/>
        <v/>
      </c>
      <c r="R147" s="238" t="str">
        <f t="shared" si="26"/>
        <v/>
      </c>
      <c r="S147" s="392" t="str">
        <f>IFERROR(INDEX('G-1 All Habitats'!$B$3:$B$129,MATCH(R147,'G-1 All Habitats'!$A$3:$A$129,0)),"")</f>
        <v/>
      </c>
      <c r="T147" s="498" t="str">
        <f t="shared" si="27"/>
        <v/>
      </c>
      <c r="U147" s="499" t="str">
        <f t="shared" si="28"/>
        <v/>
      </c>
      <c r="V147" s="537" t="str">
        <f t="shared" si="22"/>
        <v/>
      </c>
      <c r="W147" s="520" t="str">
        <f>IF(S147="","",VLOOKUP(S147,'G-1 All Habitats'!$B$2:$M$129,10,FALSE))</f>
        <v/>
      </c>
      <c r="X147" s="520" t="str">
        <f>IFERROR(VLOOKUP(W147,'G-1 All Habitats'!$V$3:$W$7,2,FALSE),"")</f>
        <v/>
      </c>
      <c r="Y147" s="79"/>
      <c r="Z147" s="524" t="str">
        <f>IFERROR(INDEX('G-8 Condition Look up'!$A$3:$H$130,MATCH(S147,'G-8 Condition Look up'!$A$3:$A$130,0),MATCH(Y147,'G-8 Condition Look up'!$A$3:$H$3,0)),"")</f>
        <v/>
      </c>
      <c r="AA147" s="71"/>
      <c r="AB147" s="520" t="str">
        <f>IF(AA147="","",IF(VLOOKUP(AA147,'G-3 Multipliers'!$L$3:$N$6,2,FALSE)=0,"Spatial Data Missing ⚠",VLOOKUP(AA147,'G-3 Multipliers'!$L$3:$N$6,2,FALSE)))</f>
        <v/>
      </c>
      <c r="AC147" s="524" t="str">
        <f>IF(AA147="","",IF(VLOOKUP(AA147,'G-3 Multipliers'!$L$3:$N$6,3,FALSE)=0,"Spatial Data Missing ⚠",VLOOKUP(AA147,'G-3 Multipliers'!$L$3:$N$6,3,FALSE)))</f>
        <v/>
      </c>
      <c r="AD147" s="539" t="str">
        <f t="shared" si="23"/>
        <v/>
      </c>
      <c r="AE147" s="82"/>
      <c r="AF147" s="82"/>
      <c r="AG147" s="507" t="str">
        <f t="shared" si="29"/>
        <v/>
      </c>
      <c r="AH147" s="521" t="str">
        <f t="shared" si="30"/>
        <v/>
      </c>
      <c r="AI147" s="522" t="str">
        <f>IF(AH147="Check Data","Check Data",IFERROR(VLOOKUP(AH147,'G-4 Temporal multipliers'!$A$4:$C$36,3,FALSE),""))</f>
        <v/>
      </c>
      <c r="AJ147" s="498" t="str">
        <f>IF(S147="","",VLOOKUP(S147,'G-3 Multipliers'!$A$2:$E$129,4,FALSE))</f>
        <v/>
      </c>
      <c r="AK147" s="507" t="str">
        <f t="shared" si="31"/>
        <v/>
      </c>
      <c r="AL147" s="507" t="str">
        <f t="shared" si="32"/>
        <v/>
      </c>
      <c r="AM147" s="540" t="str">
        <f>IFERROR(IF(F147="","",IF(AH147="Check Data ⚠","Check Data ⚠",VLOOKUP(AL147, 'G-3 Multipliers'!$P$2:$Q$6,2,FALSE))),"")</f>
        <v/>
      </c>
      <c r="AN147" s="513" t="str">
        <f t="shared" si="24"/>
        <v/>
      </c>
      <c r="AO147" s="239"/>
      <c r="AP147" s="240"/>
    </row>
    <row r="148" spans="1:42" x14ac:dyDescent="0.3">
      <c r="A148" s="47" t="str">
        <f>IF(E148="","",IF(ISNA(VLOOKUP($E148,'A-1 Site Habitat Baseline'!$D$1:$O$258,2,FALSE)),"",(VLOOKUP($E148,'A-1 Site Habitat Baseline'!$D$1:$O$258,2,FALSE))))</f>
        <v/>
      </c>
      <c r="B148" s="47" t="str">
        <f>IF(E148="","",IF(ISNA(VLOOKUP($E148,'A-1 Site Habitat Baseline'!$D$1:$O$258,3,FALSE)),"",(VLOOKUP($E148,'A-1 Site Habitat Baseline'!$D$1:$O$258,3,FALSE))))</f>
        <v/>
      </c>
      <c r="C148" s="47" t="str">
        <f>IFERROR(INDEX('G-8 Condition Look up'!$I$4:$I$130,MATCH(S148,'G-8 Condition Look up'!$A$4:$A$130,0)),"")</f>
        <v/>
      </c>
      <c r="E148" s="531" t="str">
        <f>'A-1 Site Habitat Baseline'!AL147</f>
        <v/>
      </c>
      <c r="F148" s="520" t="str">
        <f>IF(E148="","",IF(ISNA(VLOOKUP($E148,'A-1 Site Habitat Baseline'!$D$1:$O$258,4,FALSE)),"",(VLOOKUP($E148,'A-1 Site Habitat Baseline'!$D$1:$O$258,4,FALSE))))</f>
        <v/>
      </c>
      <c r="G148" s="520" t="str">
        <f>IF(E148="","",IF(ISNA(VLOOKUP($E148,'A-1 Site Habitat Baseline'!$D$1:$O$258,5,FALSE)),"",(VLOOKUP($E148,'A-1 Site Habitat Baseline'!$D$1:$O$258,5,FALSE))))</f>
        <v/>
      </c>
      <c r="H148" s="520" t="str">
        <f>IF(E148="","",IF(ISNA(VLOOKUP($E148,'A-1 Site Habitat Baseline'!$D$1:$O$258,6,FALSE)),"",(VLOOKUP($E148,'A-1 Site Habitat Baseline'!$D$1:$O$258,6,FALSE))))</f>
        <v/>
      </c>
      <c r="I148" s="520" t="str">
        <f>IF(E148="","",IF(ISNA(VLOOKUP($E148,'A-1 Site Habitat Baseline'!$D$1:$O$258,7,FALSE)),"",(VLOOKUP($E148,'A-1 Site Habitat Baseline'!$D$1:$O$258,7,FALSE))))</f>
        <v/>
      </c>
      <c r="J148" s="520" t="str">
        <f>IF(E148="","",IF(ISNA(VLOOKUP($E148,'A-1 Site Habitat Baseline'!$D$1:$O$258,8,FALSE)),"",(VLOOKUP($E148,'A-1 Site Habitat Baseline'!$D$1:$O$258,8,FALSE))))</f>
        <v/>
      </c>
      <c r="K148" s="520" t="str">
        <f>IF(E148="","",IF(ISNA(VLOOKUP($E148,'A-1 Site Habitat Baseline'!$D$1:$O$258,9,FALSE)),"",(VLOOKUP($E148,'A-1 Site Habitat Baseline'!$D$1:$O$258,9,FALSE))))</f>
        <v/>
      </c>
      <c r="L148" s="520" t="str">
        <f>IF(E148="","",IF(ISNA(VLOOKUP($E148,'A-1 Site Habitat Baseline'!$D$1:$O$258,11,FALSE)),"",(VLOOKUP($E148,'A-1 Site Habitat Baseline'!$D$1:$O$258,11,FALSE))))</f>
        <v/>
      </c>
      <c r="M148" s="520" t="str">
        <f>IF(E148="","",IF(ISNA(VLOOKUP($E148,'A-1 Site Habitat Baseline'!$D$1:$O$258,12,FALSE)),"",(VLOOKUP($E148,'A-1 Site Habitat Baseline'!$D$1:$O$258,12,FALSE))))</f>
        <v/>
      </c>
      <c r="N148" s="532" t="str">
        <f>IF(E148="","",IF(ISNA(VLOOKUP($E148,'A-1 Site Habitat Baseline'!$D$1:$X$258,14,FALSE)),"",(VLOOKUP($E148,'A-1 Site Habitat Baseline'!$D$1:$X$258,14,FALSE))))</f>
        <v/>
      </c>
      <c r="O148" s="524" t="str">
        <f>IF(E148="","",IF(ISNA(VLOOKUP($E148,'A-1 Site Habitat Baseline'!$D$1:$X$258,16,FALSE)),"",(VLOOKUP($E148,'A-1 Site Habitat Baseline'!$D$1:$X$258,13,FALSE))))</f>
        <v/>
      </c>
      <c r="P148" s="237" t="str">
        <f>IFERROR(INDEX('G-1 All Habitats'!$AG$3:$AG$15,MATCH(Q148,'G-1 All Habitats'!$AF$3:$AF$15,0)),"")</f>
        <v/>
      </c>
      <c r="Q148" s="238" t="str">
        <f t="shared" si="25"/>
        <v/>
      </c>
      <c r="R148" s="238" t="str">
        <f t="shared" si="26"/>
        <v/>
      </c>
      <c r="S148" s="392" t="str">
        <f>IFERROR(INDEX('G-1 All Habitats'!$B$3:$B$129,MATCH(R148,'G-1 All Habitats'!$A$3:$A$129,0)),"")</f>
        <v/>
      </c>
      <c r="T148" s="498" t="str">
        <f t="shared" si="27"/>
        <v/>
      </c>
      <c r="U148" s="499" t="str">
        <f t="shared" si="28"/>
        <v/>
      </c>
      <c r="V148" s="537" t="str">
        <f t="shared" si="22"/>
        <v/>
      </c>
      <c r="W148" s="520" t="str">
        <f>IF(S148="","",VLOOKUP(S148,'G-1 All Habitats'!$B$2:$M$129,10,FALSE))</f>
        <v/>
      </c>
      <c r="X148" s="520" t="str">
        <f>IFERROR(VLOOKUP(W148,'G-1 All Habitats'!$V$3:$W$7,2,FALSE),"")</f>
        <v/>
      </c>
      <c r="Y148" s="79"/>
      <c r="Z148" s="524" t="str">
        <f>IFERROR(INDEX('G-8 Condition Look up'!$A$3:$H$130,MATCH(S148,'G-8 Condition Look up'!$A$3:$A$130,0),MATCH(Y148,'G-8 Condition Look up'!$A$3:$H$3,0)),"")</f>
        <v/>
      </c>
      <c r="AA148" s="71"/>
      <c r="AB148" s="520" t="str">
        <f>IF(AA148="","",IF(VLOOKUP(AA148,'G-3 Multipliers'!$L$3:$N$6,2,FALSE)=0,"Spatial Data Missing ⚠",VLOOKUP(AA148,'G-3 Multipliers'!$L$3:$N$6,2,FALSE)))</f>
        <v/>
      </c>
      <c r="AC148" s="524" t="str">
        <f>IF(AA148="","",IF(VLOOKUP(AA148,'G-3 Multipliers'!$L$3:$N$6,3,FALSE)=0,"Spatial Data Missing ⚠",VLOOKUP(AA148,'G-3 Multipliers'!$L$3:$N$6,3,FALSE)))</f>
        <v/>
      </c>
      <c r="AD148" s="539" t="str">
        <f t="shared" si="23"/>
        <v/>
      </c>
      <c r="AE148" s="82"/>
      <c r="AF148" s="82"/>
      <c r="AG148" s="507" t="str">
        <f t="shared" si="29"/>
        <v/>
      </c>
      <c r="AH148" s="521" t="str">
        <f t="shared" si="30"/>
        <v/>
      </c>
      <c r="AI148" s="522" t="str">
        <f>IF(AH148="Check Data","Check Data",IFERROR(VLOOKUP(AH148,'G-4 Temporal multipliers'!$A$4:$C$36,3,FALSE),""))</f>
        <v/>
      </c>
      <c r="AJ148" s="498" t="str">
        <f>IF(S148="","",VLOOKUP(S148,'G-3 Multipliers'!$A$2:$E$129,4,FALSE))</f>
        <v/>
      </c>
      <c r="AK148" s="507" t="str">
        <f t="shared" si="31"/>
        <v/>
      </c>
      <c r="AL148" s="507" t="str">
        <f t="shared" si="32"/>
        <v/>
      </c>
      <c r="AM148" s="540" t="str">
        <f>IFERROR(IF(F148="","",IF(AH148="Check Data ⚠","Check Data ⚠",VLOOKUP(AL148, 'G-3 Multipliers'!$P$2:$Q$6,2,FALSE))),"")</f>
        <v/>
      </c>
      <c r="AN148" s="513" t="str">
        <f t="shared" si="24"/>
        <v/>
      </c>
      <c r="AO148" s="239"/>
      <c r="AP148" s="240"/>
    </row>
    <row r="149" spans="1:42" x14ac:dyDescent="0.3">
      <c r="A149" s="47" t="str">
        <f>IF(E149="","",IF(ISNA(VLOOKUP($E149,'A-1 Site Habitat Baseline'!$D$1:$O$258,2,FALSE)),"",(VLOOKUP($E149,'A-1 Site Habitat Baseline'!$D$1:$O$258,2,FALSE))))</f>
        <v/>
      </c>
      <c r="B149" s="47" t="str">
        <f>IF(E149="","",IF(ISNA(VLOOKUP($E149,'A-1 Site Habitat Baseline'!$D$1:$O$258,3,FALSE)),"",(VLOOKUP($E149,'A-1 Site Habitat Baseline'!$D$1:$O$258,3,FALSE))))</f>
        <v/>
      </c>
      <c r="C149" s="47" t="str">
        <f>IFERROR(INDEX('G-8 Condition Look up'!$I$4:$I$130,MATCH(S149,'G-8 Condition Look up'!$A$4:$A$130,0)),"")</f>
        <v/>
      </c>
      <c r="E149" s="531" t="str">
        <f>'A-1 Site Habitat Baseline'!AL148</f>
        <v/>
      </c>
      <c r="F149" s="520" t="str">
        <f>IF(E149="","",IF(ISNA(VLOOKUP($E149,'A-1 Site Habitat Baseline'!$D$1:$O$258,4,FALSE)),"",(VLOOKUP($E149,'A-1 Site Habitat Baseline'!$D$1:$O$258,4,FALSE))))</f>
        <v/>
      </c>
      <c r="G149" s="520" t="str">
        <f>IF(E149="","",IF(ISNA(VLOOKUP($E149,'A-1 Site Habitat Baseline'!$D$1:$O$258,5,FALSE)),"",(VLOOKUP($E149,'A-1 Site Habitat Baseline'!$D$1:$O$258,5,FALSE))))</f>
        <v/>
      </c>
      <c r="H149" s="520" t="str">
        <f>IF(E149="","",IF(ISNA(VLOOKUP($E149,'A-1 Site Habitat Baseline'!$D$1:$O$258,6,FALSE)),"",(VLOOKUP($E149,'A-1 Site Habitat Baseline'!$D$1:$O$258,6,FALSE))))</f>
        <v/>
      </c>
      <c r="I149" s="520" t="str">
        <f>IF(E149="","",IF(ISNA(VLOOKUP($E149,'A-1 Site Habitat Baseline'!$D$1:$O$258,7,FALSE)),"",(VLOOKUP($E149,'A-1 Site Habitat Baseline'!$D$1:$O$258,7,FALSE))))</f>
        <v/>
      </c>
      <c r="J149" s="520" t="str">
        <f>IF(E149="","",IF(ISNA(VLOOKUP($E149,'A-1 Site Habitat Baseline'!$D$1:$O$258,8,FALSE)),"",(VLOOKUP($E149,'A-1 Site Habitat Baseline'!$D$1:$O$258,8,FALSE))))</f>
        <v/>
      </c>
      <c r="K149" s="520" t="str">
        <f>IF(E149="","",IF(ISNA(VLOOKUP($E149,'A-1 Site Habitat Baseline'!$D$1:$O$258,9,FALSE)),"",(VLOOKUP($E149,'A-1 Site Habitat Baseline'!$D$1:$O$258,9,FALSE))))</f>
        <v/>
      </c>
      <c r="L149" s="520" t="str">
        <f>IF(E149="","",IF(ISNA(VLOOKUP($E149,'A-1 Site Habitat Baseline'!$D$1:$O$258,11,FALSE)),"",(VLOOKUP($E149,'A-1 Site Habitat Baseline'!$D$1:$O$258,11,FALSE))))</f>
        <v/>
      </c>
      <c r="M149" s="520" t="str">
        <f>IF(E149="","",IF(ISNA(VLOOKUP($E149,'A-1 Site Habitat Baseline'!$D$1:$O$258,12,FALSE)),"",(VLOOKUP($E149,'A-1 Site Habitat Baseline'!$D$1:$O$258,12,FALSE))))</f>
        <v/>
      </c>
      <c r="N149" s="532" t="str">
        <f>IF(E149="","",IF(ISNA(VLOOKUP($E149,'A-1 Site Habitat Baseline'!$D$1:$X$258,14,FALSE)),"",(VLOOKUP($E149,'A-1 Site Habitat Baseline'!$D$1:$X$258,14,FALSE))))</f>
        <v/>
      </c>
      <c r="O149" s="524" t="str">
        <f>IF(E149="","",IF(ISNA(VLOOKUP($E149,'A-1 Site Habitat Baseline'!$D$1:$X$258,16,FALSE)),"",(VLOOKUP($E149,'A-1 Site Habitat Baseline'!$D$1:$X$258,13,FALSE))))</f>
        <v/>
      </c>
      <c r="P149" s="237" t="str">
        <f>IFERROR(INDEX('G-1 All Habitats'!$AG$3:$AG$15,MATCH(Q149,'G-1 All Habitats'!$AF$3:$AF$15,0)),"")</f>
        <v/>
      </c>
      <c r="Q149" s="238" t="str">
        <f t="shared" si="25"/>
        <v/>
      </c>
      <c r="R149" s="238" t="str">
        <f t="shared" si="26"/>
        <v/>
      </c>
      <c r="S149" s="392" t="str">
        <f>IFERROR(INDEX('G-1 All Habitats'!$B$3:$B$129,MATCH(R149,'G-1 All Habitats'!$A$3:$A$129,0)),"")</f>
        <v/>
      </c>
      <c r="T149" s="498" t="str">
        <f t="shared" si="27"/>
        <v/>
      </c>
      <c r="U149" s="499" t="str">
        <f t="shared" si="28"/>
        <v/>
      </c>
      <c r="V149" s="537" t="str">
        <f t="shared" si="22"/>
        <v/>
      </c>
      <c r="W149" s="520" t="str">
        <f>IF(S149="","",VLOOKUP(S149,'G-1 All Habitats'!$B$2:$M$129,10,FALSE))</f>
        <v/>
      </c>
      <c r="X149" s="520" t="str">
        <f>IFERROR(VLOOKUP(W149,'G-1 All Habitats'!$V$3:$W$7,2,FALSE),"")</f>
        <v/>
      </c>
      <c r="Y149" s="79"/>
      <c r="Z149" s="524" t="str">
        <f>IFERROR(INDEX('G-8 Condition Look up'!$A$3:$H$130,MATCH(S149,'G-8 Condition Look up'!$A$3:$A$130,0),MATCH(Y149,'G-8 Condition Look up'!$A$3:$H$3,0)),"")</f>
        <v/>
      </c>
      <c r="AA149" s="71"/>
      <c r="AB149" s="520" t="str">
        <f>IF(AA149="","",IF(VLOOKUP(AA149,'G-3 Multipliers'!$L$3:$N$6,2,FALSE)=0,"Spatial Data Missing ⚠",VLOOKUP(AA149,'G-3 Multipliers'!$L$3:$N$6,2,FALSE)))</f>
        <v/>
      </c>
      <c r="AC149" s="524" t="str">
        <f>IF(AA149="","",IF(VLOOKUP(AA149,'G-3 Multipliers'!$L$3:$N$6,3,FALSE)=0,"Spatial Data Missing ⚠",VLOOKUP(AA149,'G-3 Multipliers'!$L$3:$N$6,3,FALSE)))</f>
        <v/>
      </c>
      <c r="AD149" s="539" t="str">
        <f t="shared" si="23"/>
        <v/>
      </c>
      <c r="AE149" s="82"/>
      <c r="AF149" s="82"/>
      <c r="AG149" s="507" t="str">
        <f t="shared" si="29"/>
        <v/>
      </c>
      <c r="AH149" s="521" t="str">
        <f t="shared" si="30"/>
        <v/>
      </c>
      <c r="AI149" s="522" t="str">
        <f>IF(AH149="Check Data","Check Data",IFERROR(VLOOKUP(AH149,'G-4 Temporal multipliers'!$A$4:$C$36,3,FALSE),""))</f>
        <v/>
      </c>
      <c r="AJ149" s="498" t="str">
        <f>IF(S149="","",VLOOKUP(S149,'G-3 Multipliers'!$A$2:$E$129,4,FALSE))</f>
        <v/>
      </c>
      <c r="AK149" s="507" t="str">
        <f t="shared" si="31"/>
        <v/>
      </c>
      <c r="AL149" s="507" t="str">
        <f t="shared" si="32"/>
        <v/>
      </c>
      <c r="AM149" s="540" t="str">
        <f>IFERROR(IF(F149="","",IF(AH149="Check Data ⚠","Check Data ⚠",VLOOKUP(AL149, 'G-3 Multipliers'!$P$2:$Q$6,2,FALSE))),"")</f>
        <v/>
      </c>
      <c r="AN149" s="513" t="str">
        <f t="shared" si="24"/>
        <v/>
      </c>
      <c r="AO149" s="239"/>
      <c r="AP149" s="240"/>
    </row>
    <row r="150" spans="1:42" x14ac:dyDescent="0.3">
      <c r="A150" s="47" t="str">
        <f>IF(E150="","",IF(ISNA(VLOOKUP($E150,'A-1 Site Habitat Baseline'!$D$1:$O$258,2,FALSE)),"",(VLOOKUP($E150,'A-1 Site Habitat Baseline'!$D$1:$O$258,2,FALSE))))</f>
        <v/>
      </c>
      <c r="B150" s="47" t="str">
        <f>IF(E150="","",IF(ISNA(VLOOKUP($E150,'A-1 Site Habitat Baseline'!$D$1:$O$258,3,FALSE)),"",(VLOOKUP($E150,'A-1 Site Habitat Baseline'!$D$1:$O$258,3,FALSE))))</f>
        <v/>
      </c>
      <c r="C150" s="47" t="str">
        <f>IFERROR(INDEX('G-8 Condition Look up'!$I$4:$I$130,MATCH(S150,'G-8 Condition Look up'!$A$4:$A$130,0)),"")</f>
        <v/>
      </c>
      <c r="E150" s="531" t="str">
        <f>'A-1 Site Habitat Baseline'!AL149</f>
        <v/>
      </c>
      <c r="F150" s="520" t="str">
        <f>IF(E150="","",IF(ISNA(VLOOKUP($E150,'A-1 Site Habitat Baseline'!$D$1:$O$258,4,FALSE)),"",(VLOOKUP($E150,'A-1 Site Habitat Baseline'!$D$1:$O$258,4,FALSE))))</f>
        <v/>
      </c>
      <c r="G150" s="520" t="str">
        <f>IF(E150="","",IF(ISNA(VLOOKUP($E150,'A-1 Site Habitat Baseline'!$D$1:$O$258,5,FALSE)),"",(VLOOKUP($E150,'A-1 Site Habitat Baseline'!$D$1:$O$258,5,FALSE))))</f>
        <v/>
      </c>
      <c r="H150" s="520" t="str">
        <f>IF(E150="","",IF(ISNA(VLOOKUP($E150,'A-1 Site Habitat Baseline'!$D$1:$O$258,6,FALSE)),"",(VLOOKUP($E150,'A-1 Site Habitat Baseline'!$D$1:$O$258,6,FALSE))))</f>
        <v/>
      </c>
      <c r="I150" s="520" t="str">
        <f>IF(E150="","",IF(ISNA(VLOOKUP($E150,'A-1 Site Habitat Baseline'!$D$1:$O$258,7,FALSE)),"",(VLOOKUP($E150,'A-1 Site Habitat Baseline'!$D$1:$O$258,7,FALSE))))</f>
        <v/>
      </c>
      <c r="J150" s="520" t="str">
        <f>IF(E150="","",IF(ISNA(VLOOKUP($E150,'A-1 Site Habitat Baseline'!$D$1:$O$258,8,FALSE)),"",(VLOOKUP($E150,'A-1 Site Habitat Baseline'!$D$1:$O$258,8,FALSE))))</f>
        <v/>
      </c>
      <c r="K150" s="520" t="str">
        <f>IF(E150="","",IF(ISNA(VLOOKUP($E150,'A-1 Site Habitat Baseline'!$D$1:$O$258,9,FALSE)),"",(VLOOKUP($E150,'A-1 Site Habitat Baseline'!$D$1:$O$258,9,FALSE))))</f>
        <v/>
      </c>
      <c r="L150" s="520" t="str">
        <f>IF(E150="","",IF(ISNA(VLOOKUP($E150,'A-1 Site Habitat Baseline'!$D$1:$O$258,11,FALSE)),"",(VLOOKUP($E150,'A-1 Site Habitat Baseline'!$D$1:$O$258,11,FALSE))))</f>
        <v/>
      </c>
      <c r="M150" s="520" t="str">
        <f>IF(E150="","",IF(ISNA(VLOOKUP($E150,'A-1 Site Habitat Baseline'!$D$1:$O$258,12,FALSE)),"",(VLOOKUP($E150,'A-1 Site Habitat Baseline'!$D$1:$O$258,12,FALSE))))</f>
        <v/>
      </c>
      <c r="N150" s="532" t="str">
        <f>IF(E150="","",IF(ISNA(VLOOKUP($E150,'A-1 Site Habitat Baseline'!$D$1:$X$258,14,FALSE)),"",(VLOOKUP($E150,'A-1 Site Habitat Baseline'!$D$1:$X$258,14,FALSE))))</f>
        <v/>
      </c>
      <c r="O150" s="524" t="str">
        <f>IF(E150="","",IF(ISNA(VLOOKUP($E150,'A-1 Site Habitat Baseline'!$D$1:$X$258,16,FALSE)),"",(VLOOKUP($E150,'A-1 Site Habitat Baseline'!$D$1:$X$258,13,FALSE))))</f>
        <v/>
      </c>
      <c r="P150" s="237" t="str">
        <f>IFERROR(INDEX('G-1 All Habitats'!$AG$3:$AG$15,MATCH(Q150,'G-1 All Habitats'!$AF$3:$AF$15,0)),"")</f>
        <v/>
      </c>
      <c r="Q150" s="238" t="str">
        <f t="shared" si="25"/>
        <v/>
      </c>
      <c r="R150" s="238" t="str">
        <f t="shared" si="26"/>
        <v/>
      </c>
      <c r="S150" s="392" t="str">
        <f>IFERROR(INDEX('G-1 All Habitats'!$B$3:$B$129,MATCH(R150,'G-1 All Habitats'!$A$3:$A$129,0)),"")</f>
        <v/>
      </c>
      <c r="T150" s="498" t="str">
        <f t="shared" si="27"/>
        <v/>
      </c>
      <c r="U150" s="499" t="str">
        <f t="shared" si="28"/>
        <v/>
      </c>
      <c r="V150" s="537" t="str">
        <f t="shared" si="22"/>
        <v/>
      </c>
      <c r="W150" s="520" t="str">
        <f>IF(S150="","",VLOOKUP(S150,'G-1 All Habitats'!$B$2:$M$129,10,FALSE))</f>
        <v/>
      </c>
      <c r="X150" s="520" t="str">
        <f>IFERROR(VLOOKUP(W150,'G-1 All Habitats'!$V$3:$W$7,2,FALSE),"")</f>
        <v/>
      </c>
      <c r="Y150" s="79"/>
      <c r="Z150" s="524" t="str">
        <f>IFERROR(INDEX('G-8 Condition Look up'!$A$3:$H$130,MATCH(S150,'G-8 Condition Look up'!$A$3:$A$130,0),MATCH(Y150,'G-8 Condition Look up'!$A$3:$H$3,0)),"")</f>
        <v/>
      </c>
      <c r="AA150" s="71"/>
      <c r="AB150" s="520" t="str">
        <f>IF(AA150="","",IF(VLOOKUP(AA150,'G-3 Multipliers'!$L$3:$N$6,2,FALSE)=0,"Spatial Data Missing ⚠",VLOOKUP(AA150,'G-3 Multipliers'!$L$3:$N$6,2,FALSE)))</f>
        <v/>
      </c>
      <c r="AC150" s="524" t="str">
        <f>IF(AA150="","",IF(VLOOKUP(AA150,'G-3 Multipliers'!$L$3:$N$6,3,FALSE)=0,"Spatial Data Missing ⚠",VLOOKUP(AA150,'G-3 Multipliers'!$L$3:$N$6,3,FALSE)))</f>
        <v/>
      </c>
      <c r="AD150" s="539" t="str">
        <f t="shared" si="23"/>
        <v/>
      </c>
      <c r="AE150" s="82"/>
      <c r="AF150" s="82"/>
      <c r="AG150" s="507" t="str">
        <f t="shared" si="29"/>
        <v/>
      </c>
      <c r="AH150" s="521" t="str">
        <f t="shared" si="30"/>
        <v/>
      </c>
      <c r="AI150" s="522" t="str">
        <f>IF(AH150="Check Data","Check Data",IFERROR(VLOOKUP(AH150,'G-4 Temporal multipliers'!$A$4:$C$36,3,FALSE),""))</f>
        <v/>
      </c>
      <c r="AJ150" s="498" t="str">
        <f>IF(S150="","",VLOOKUP(S150,'G-3 Multipliers'!$A$2:$E$129,4,FALSE))</f>
        <v/>
      </c>
      <c r="AK150" s="507" t="str">
        <f t="shared" si="31"/>
        <v/>
      </c>
      <c r="AL150" s="507" t="str">
        <f t="shared" si="32"/>
        <v/>
      </c>
      <c r="AM150" s="540" t="str">
        <f>IFERROR(IF(F150="","",IF(AH150="Check Data ⚠","Check Data ⚠",VLOOKUP(AL150, 'G-3 Multipliers'!$P$2:$Q$6,2,FALSE))),"")</f>
        <v/>
      </c>
      <c r="AN150" s="513" t="str">
        <f t="shared" si="24"/>
        <v/>
      </c>
      <c r="AO150" s="239"/>
      <c r="AP150" s="240"/>
    </row>
    <row r="151" spans="1:42" x14ac:dyDescent="0.3">
      <c r="A151" s="47" t="str">
        <f>IF(E151="","",IF(ISNA(VLOOKUP($E151,'A-1 Site Habitat Baseline'!$D$1:$O$258,2,FALSE)),"",(VLOOKUP($E151,'A-1 Site Habitat Baseline'!$D$1:$O$258,2,FALSE))))</f>
        <v/>
      </c>
      <c r="B151" s="47" t="str">
        <f>IF(E151="","",IF(ISNA(VLOOKUP($E151,'A-1 Site Habitat Baseline'!$D$1:$O$258,3,FALSE)),"",(VLOOKUP($E151,'A-1 Site Habitat Baseline'!$D$1:$O$258,3,FALSE))))</f>
        <v/>
      </c>
      <c r="C151" s="47" t="str">
        <f>IFERROR(INDEX('G-8 Condition Look up'!$I$4:$I$130,MATCH(S151,'G-8 Condition Look up'!$A$4:$A$130,0)),"")</f>
        <v/>
      </c>
      <c r="E151" s="531" t="str">
        <f>'A-1 Site Habitat Baseline'!AL150</f>
        <v/>
      </c>
      <c r="F151" s="520" t="str">
        <f>IF(E151="","",IF(ISNA(VLOOKUP($E151,'A-1 Site Habitat Baseline'!$D$1:$O$258,4,FALSE)),"",(VLOOKUP($E151,'A-1 Site Habitat Baseline'!$D$1:$O$258,4,FALSE))))</f>
        <v/>
      </c>
      <c r="G151" s="520" t="str">
        <f>IF(E151="","",IF(ISNA(VLOOKUP($E151,'A-1 Site Habitat Baseline'!$D$1:$O$258,5,FALSE)),"",(VLOOKUP($E151,'A-1 Site Habitat Baseline'!$D$1:$O$258,5,FALSE))))</f>
        <v/>
      </c>
      <c r="H151" s="520" t="str">
        <f>IF(E151="","",IF(ISNA(VLOOKUP($E151,'A-1 Site Habitat Baseline'!$D$1:$O$258,6,FALSE)),"",(VLOOKUP($E151,'A-1 Site Habitat Baseline'!$D$1:$O$258,6,FALSE))))</f>
        <v/>
      </c>
      <c r="I151" s="520" t="str">
        <f>IF(E151="","",IF(ISNA(VLOOKUP($E151,'A-1 Site Habitat Baseline'!$D$1:$O$258,7,FALSE)),"",(VLOOKUP($E151,'A-1 Site Habitat Baseline'!$D$1:$O$258,7,FALSE))))</f>
        <v/>
      </c>
      <c r="J151" s="520" t="str">
        <f>IF(E151="","",IF(ISNA(VLOOKUP($E151,'A-1 Site Habitat Baseline'!$D$1:$O$258,8,FALSE)),"",(VLOOKUP($E151,'A-1 Site Habitat Baseline'!$D$1:$O$258,8,FALSE))))</f>
        <v/>
      </c>
      <c r="K151" s="520" t="str">
        <f>IF(E151="","",IF(ISNA(VLOOKUP($E151,'A-1 Site Habitat Baseline'!$D$1:$O$258,9,FALSE)),"",(VLOOKUP($E151,'A-1 Site Habitat Baseline'!$D$1:$O$258,9,FALSE))))</f>
        <v/>
      </c>
      <c r="L151" s="520" t="str">
        <f>IF(E151="","",IF(ISNA(VLOOKUP($E151,'A-1 Site Habitat Baseline'!$D$1:$O$258,11,FALSE)),"",(VLOOKUP($E151,'A-1 Site Habitat Baseline'!$D$1:$O$258,11,FALSE))))</f>
        <v/>
      </c>
      <c r="M151" s="520" t="str">
        <f>IF(E151="","",IF(ISNA(VLOOKUP($E151,'A-1 Site Habitat Baseline'!$D$1:$O$258,12,FALSE)),"",(VLOOKUP($E151,'A-1 Site Habitat Baseline'!$D$1:$O$258,12,FALSE))))</f>
        <v/>
      </c>
      <c r="N151" s="532" t="str">
        <f>IF(E151="","",IF(ISNA(VLOOKUP($E151,'A-1 Site Habitat Baseline'!$D$1:$X$258,14,FALSE)),"",(VLOOKUP($E151,'A-1 Site Habitat Baseline'!$D$1:$X$258,14,FALSE))))</f>
        <v/>
      </c>
      <c r="O151" s="524" t="str">
        <f>IF(E151="","",IF(ISNA(VLOOKUP($E151,'A-1 Site Habitat Baseline'!$D$1:$X$258,16,FALSE)),"",(VLOOKUP($E151,'A-1 Site Habitat Baseline'!$D$1:$X$258,13,FALSE))))</f>
        <v/>
      </c>
      <c r="P151" s="237" t="str">
        <f>IFERROR(INDEX('G-1 All Habitats'!$AG$3:$AG$15,MATCH(Q151,'G-1 All Habitats'!$AF$3:$AF$15,0)),"")</f>
        <v/>
      </c>
      <c r="Q151" s="238" t="str">
        <f t="shared" si="25"/>
        <v/>
      </c>
      <c r="R151" s="238" t="str">
        <f t="shared" si="26"/>
        <v/>
      </c>
      <c r="S151" s="392" t="str">
        <f>IFERROR(INDEX('G-1 All Habitats'!$B$3:$B$129,MATCH(R151,'G-1 All Habitats'!$A$3:$A$129,0)),"")</f>
        <v/>
      </c>
      <c r="T151" s="498" t="str">
        <f t="shared" si="27"/>
        <v/>
      </c>
      <c r="U151" s="499" t="str">
        <f t="shared" si="28"/>
        <v/>
      </c>
      <c r="V151" s="537" t="str">
        <f t="shared" si="22"/>
        <v/>
      </c>
      <c r="W151" s="520" t="str">
        <f>IF(S151="","",VLOOKUP(S151,'G-1 All Habitats'!$B$2:$M$129,10,FALSE))</f>
        <v/>
      </c>
      <c r="X151" s="520" t="str">
        <f>IFERROR(VLOOKUP(W151,'G-1 All Habitats'!$V$3:$W$7,2,FALSE),"")</f>
        <v/>
      </c>
      <c r="Y151" s="79"/>
      <c r="Z151" s="524" t="str">
        <f>IFERROR(INDEX('G-8 Condition Look up'!$A$3:$H$130,MATCH(S151,'G-8 Condition Look up'!$A$3:$A$130,0),MATCH(Y151,'G-8 Condition Look up'!$A$3:$H$3,0)),"")</f>
        <v/>
      </c>
      <c r="AA151" s="71"/>
      <c r="AB151" s="520" t="str">
        <f>IF(AA151="","",IF(VLOOKUP(AA151,'G-3 Multipliers'!$L$3:$N$6,2,FALSE)=0,"Spatial Data Missing ⚠",VLOOKUP(AA151,'G-3 Multipliers'!$L$3:$N$6,2,FALSE)))</f>
        <v/>
      </c>
      <c r="AC151" s="524" t="str">
        <f>IF(AA151="","",IF(VLOOKUP(AA151,'G-3 Multipliers'!$L$3:$N$6,3,FALSE)=0,"Spatial Data Missing ⚠",VLOOKUP(AA151,'G-3 Multipliers'!$L$3:$N$6,3,FALSE)))</f>
        <v/>
      </c>
      <c r="AD151" s="539" t="str">
        <f t="shared" si="23"/>
        <v/>
      </c>
      <c r="AE151" s="82"/>
      <c r="AF151" s="82"/>
      <c r="AG151" s="507" t="str">
        <f t="shared" si="29"/>
        <v/>
      </c>
      <c r="AH151" s="521" t="str">
        <f t="shared" si="30"/>
        <v/>
      </c>
      <c r="AI151" s="522" t="str">
        <f>IF(AH151="Check Data","Check Data",IFERROR(VLOOKUP(AH151,'G-4 Temporal multipliers'!$A$4:$C$36,3,FALSE),""))</f>
        <v/>
      </c>
      <c r="AJ151" s="498" t="str">
        <f>IF(S151="","",VLOOKUP(S151,'G-3 Multipliers'!$A$2:$E$129,4,FALSE))</f>
        <v/>
      </c>
      <c r="AK151" s="507" t="str">
        <f t="shared" si="31"/>
        <v/>
      </c>
      <c r="AL151" s="507" t="str">
        <f t="shared" si="32"/>
        <v/>
      </c>
      <c r="AM151" s="540" t="str">
        <f>IFERROR(IF(F151="","",IF(AH151="Check Data ⚠","Check Data ⚠",VLOOKUP(AL151, 'G-3 Multipliers'!$P$2:$Q$6,2,FALSE))),"")</f>
        <v/>
      </c>
      <c r="AN151" s="513" t="str">
        <f t="shared" si="24"/>
        <v/>
      </c>
      <c r="AO151" s="239"/>
      <c r="AP151" s="240"/>
    </row>
    <row r="152" spans="1:42" x14ac:dyDescent="0.3">
      <c r="A152" s="47" t="str">
        <f>IF(E152="","",IF(ISNA(VLOOKUP($E152,'A-1 Site Habitat Baseline'!$D$1:$O$258,2,FALSE)),"",(VLOOKUP($E152,'A-1 Site Habitat Baseline'!$D$1:$O$258,2,FALSE))))</f>
        <v/>
      </c>
      <c r="B152" s="47" t="str">
        <f>IF(E152="","",IF(ISNA(VLOOKUP($E152,'A-1 Site Habitat Baseline'!$D$1:$O$258,3,FALSE)),"",(VLOOKUP($E152,'A-1 Site Habitat Baseline'!$D$1:$O$258,3,FALSE))))</f>
        <v/>
      </c>
      <c r="C152" s="47" t="str">
        <f>IFERROR(INDEX('G-8 Condition Look up'!$I$4:$I$130,MATCH(S152,'G-8 Condition Look up'!$A$4:$A$130,0)),"")</f>
        <v/>
      </c>
      <c r="E152" s="531" t="str">
        <f>'A-1 Site Habitat Baseline'!AL151</f>
        <v/>
      </c>
      <c r="F152" s="520" t="str">
        <f>IF(E152="","",IF(ISNA(VLOOKUP($E152,'A-1 Site Habitat Baseline'!$D$1:$O$258,4,FALSE)),"",(VLOOKUP($E152,'A-1 Site Habitat Baseline'!$D$1:$O$258,4,FALSE))))</f>
        <v/>
      </c>
      <c r="G152" s="520" t="str">
        <f>IF(E152="","",IF(ISNA(VLOOKUP($E152,'A-1 Site Habitat Baseline'!$D$1:$O$258,5,FALSE)),"",(VLOOKUP($E152,'A-1 Site Habitat Baseline'!$D$1:$O$258,5,FALSE))))</f>
        <v/>
      </c>
      <c r="H152" s="520" t="str">
        <f>IF(E152="","",IF(ISNA(VLOOKUP($E152,'A-1 Site Habitat Baseline'!$D$1:$O$258,6,FALSE)),"",(VLOOKUP($E152,'A-1 Site Habitat Baseline'!$D$1:$O$258,6,FALSE))))</f>
        <v/>
      </c>
      <c r="I152" s="520" t="str">
        <f>IF(E152="","",IF(ISNA(VLOOKUP($E152,'A-1 Site Habitat Baseline'!$D$1:$O$258,7,FALSE)),"",(VLOOKUP($E152,'A-1 Site Habitat Baseline'!$D$1:$O$258,7,FALSE))))</f>
        <v/>
      </c>
      <c r="J152" s="520" t="str">
        <f>IF(E152="","",IF(ISNA(VLOOKUP($E152,'A-1 Site Habitat Baseline'!$D$1:$O$258,8,FALSE)),"",(VLOOKUP($E152,'A-1 Site Habitat Baseline'!$D$1:$O$258,8,FALSE))))</f>
        <v/>
      </c>
      <c r="K152" s="520" t="str">
        <f>IF(E152="","",IF(ISNA(VLOOKUP($E152,'A-1 Site Habitat Baseline'!$D$1:$O$258,9,FALSE)),"",(VLOOKUP($E152,'A-1 Site Habitat Baseline'!$D$1:$O$258,9,FALSE))))</f>
        <v/>
      </c>
      <c r="L152" s="520" t="str">
        <f>IF(E152="","",IF(ISNA(VLOOKUP($E152,'A-1 Site Habitat Baseline'!$D$1:$O$258,11,FALSE)),"",(VLOOKUP($E152,'A-1 Site Habitat Baseline'!$D$1:$O$258,11,FALSE))))</f>
        <v/>
      </c>
      <c r="M152" s="520" t="str">
        <f>IF(E152="","",IF(ISNA(VLOOKUP($E152,'A-1 Site Habitat Baseline'!$D$1:$O$258,12,FALSE)),"",(VLOOKUP($E152,'A-1 Site Habitat Baseline'!$D$1:$O$258,12,FALSE))))</f>
        <v/>
      </c>
      <c r="N152" s="532" t="str">
        <f>IF(E152="","",IF(ISNA(VLOOKUP($E152,'A-1 Site Habitat Baseline'!$D$1:$X$258,14,FALSE)),"",(VLOOKUP($E152,'A-1 Site Habitat Baseline'!$D$1:$X$258,14,FALSE))))</f>
        <v/>
      </c>
      <c r="O152" s="524" t="str">
        <f>IF(E152="","",IF(ISNA(VLOOKUP($E152,'A-1 Site Habitat Baseline'!$D$1:$X$258,16,FALSE)),"",(VLOOKUP($E152,'A-1 Site Habitat Baseline'!$D$1:$X$258,13,FALSE))))</f>
        <v/>
      </c>
      <c r="P152" s="237" t="str">
        <f>IFERROR(INDEX('G-1 All Habitats'!$AG$3:$AG$15,MATCH(Q152,'G-1 All Habitats'!$AF$3:$AF$15,0)),"")</f>
        <v/>
      </c>
      <c r="Q152" s="238" t="str">
        <f t="shared" si="25"/>
        <v/>
      </c>
      <c r="R152" s="238" t="str">
        <f t="shared" si="26"/>
        <v/>
      </c>
      <c r="S152" s="392" t="str">
        <f>IFERROR(INDEX('G-1 All Habitats'!$B$3:$B$129,MATCH(R152,'G-1 All Habitats'!$A$3:$A$129,0)),"")</f>
        <v/>
      </c>
      <c r="T152" s="498" t="str">
        <f t="shared" si="27"/>
        <v/>
      </c>
      <c r="U152" s="499" t="str">
        <f t="shared" si="28"/>
        <v/>
      </c>
      <c r="V152" s="537" t="str">
        <f t="shared" si="22"/>
        <v/>
      </c>
      <c r="W152" s="520" t="str">
        <f>IF(S152="","",VLOOKUP(S152,'G-1 All Habitats'!$B$2:$M$129,10,FALSE))</f>
        <v/>
      </c>
      <c r="X152" s="520" t="str">
        <f>IFERROR(VLOOKUP(W152,'G-1 All Habitats'!$V$3:$W$7,2,FALSE),"")</f>
        <v/>
      </c>
      <c r="Y152" s="79"/>
      <c r="Z152" s="524" t="str">
        <f>IFERROR(INDEX('G-8 Condition Look up'!$A$3:$H$130,MATCH(S152,'G-8 Condition Look up'!$A$3:$A$130,0),MATCH(Y152,'G-8 Condition Look up'!$A$3:$H$3,0)),"")</f>
        <v/>
      </c>
      <c r="AA152" s="71"/>
      <c r="AB152" s="520" t="str">
        <f>IF(AA152="","",IF(VLOOKUP(AA152,'G-3 Multipliers'!$L$3:$N$6,2,FALSE)=0,"Spatial Data Missing ⚠",VLOOKUP(AA152,'G-3 Multipliers'!$L$3:$N$6,2,FALSE)))</f>
        <v/>
      </c>
      <c r="AC152" s="524" t="str">
        <f>IF(AA152="","",IF(VLOOKUP(AA152,'G-3 Multipliers'!$L$3:$N$6,3,FALSE)=0,"Spatial Data Missing ⚠",VLOOKUP(AA152,'G-3 Multipliers'!$L$3:$N$6,3,FALSE)))</f>
        <v/>
      </c>
      <c r="AD152" s="539" t="str">
        <f t="shared" si="23"/>
        <v/>
      </c>
      <c r="AE152" s="82"/>
      <c r="AF152" s="82"/>
      <c r="AG152" s="507" t="str">
        <f t="shared" si="29"/>
        <v/>
      </c>
      <c r="AH152" s="521" t="str">
        <f t="shared" si="30"/>
        <v/>
      </c>
      <c r="AI152" s="522" t="str">
        <f>IF(AH152="Check Data","Check Data",IFERROR(VLOOKUP(AH152,'G-4 Temporal multipliers'!$A$4:$C$36,3,FALSE),""))</f>
        <v/>
      </c>
      <c r="AJ152" s="498" t="str">
        <f>IF(S152="","",VLOOKUP(S152,'G-3 Multipliers'!$A$2:$E$129,4,FALSE))</f>
        <v/>
      </c>
      <c r="AK152" s="507" t="str">
        <f t="shared" si="31"/>
        <v/>
      </c>
      <c r="AL152" s="507" t="str">
        <f t="shared" si="32"/>
        <v/>
      </c>
      <c r="AM152" s="540" t="str">
        <f>IFERROR(IF(F152="","",IF(AH152="Check Data ⚠","Check Data ⚠",VLOOKUP(AL152, 'G-3 Multipliers'!$P$2:$Q$6,2,FALSE))),"")</f>
        <v/>
      </c>
      <c r="AN152" s="513" t="str">
        <f t="shared" si="24"/>
        <v/>
      </c>
      <c r="AO152" s="239"/>
      <c r="AP152" s="240"/>
    </row>
    <row r="153" spans="1:42" x14ac:dyDescent="0.3">
      <c r="A153" s="47" t="str">
        <f>IF(E153="","",IF(ISNA(VLOOKUP($E153,'A-1 Site Habitat Baseline'!$D$1:$O$258,2,FALSE)),"",(VLOOKUP($E153,'A-1 Site Habitat Baseline'!$D$1:$O$258,2,FALSE))))</f>
        <v/>
      </c>
      <c r="B153" s="47" t="str">
        <f>IF(E153="","",IF(ISNA(VLOOKUP($E153,'A-1 Site Habitat Baseline'!$D$1:$O$258,3,FALSE)),"",(VLOOKUP($E153,'A-1 Site Habitat Baseline'!$D$1:$O$258,3,FALSE))))</f>
        <v/>
      </c>
      <c r="C153" s="47" t="str">
        <f>IFERROR(INDEX('G-8 Condition Look up'!$I$4:$I$130,MATCH(S153,'G-8 Condition Look up'!$A$4:$A$130,0)),"")</f>
        <v/>
      </c>
      <c r="E153" s="531" t="str">
        <f>'A-1 Site Habitat Baseline'!AL152</f>
        <v/>
      </c>
      <c r="F153" s="520" t="str">
        <f>IF(E153="","",IF(ISNA(VLOOKUP($E153,'A-1 Site Habitat Baseline'!$D$1:$O$258,4,FALSE)),"",(VLOOKUP($E153,'A-1 Site Habitat Baseline'!$D$1:$O$258,4,FALSE))))</f>
        <v/>
      </c>
      <c r="G153" s="520" t="str">
        <f>IF(E153="","",IF(ISNA(VLOOKUP($E153,'A-1 Site Habitat Baseline'!$D$1:$O$258,5,FALSE)),"",(VLOOKUP($E153,'A-1 Site Habitat Baseline'!$D$1:$O$258,5,FALSE))))</f>
        <v/>
      </c>
      <c r="H153" s="520" t="str">
        <f>IF(E153="","",IF(ISNA(VLOOKUP($E153,'A-1 Site Habitat Baseline'!$D$1:$O$258,6,FALSE)),"",(VLOOKUP($E153,'A-1 Site Habitat Baseline'!$D$1:$O$258,6,FALSE))))</f>
        <v/>
      </c>
      <c r="I153" s="520" t="str">
        <f>IF(E153="","",IF(ISNA(VLOOKUP($E153,'A-1 Site Habitat Baseline'!$D$1:$O$258,7,FALSE)),"",(VLOOKUP($E153,'A-1 Site Habitat Baseline'!$D$1:$O$258,7,FALSE))))</f>
        <v/>
      </c>
      <c r="J153" s="520" t="str">
        <f>IF(E153="","",IF(ISNA(VLOOKUP($E153,'A-1 Site Habitat Baseline'!$D$1:$O$258,8,FALSE)),"",(VLOOKUP($E153,'A-1 Site Habitat Baseline'!$D$1:$O$258,8,FALSE))))</f>
        <v/>
      </c>
      <c r="K153" s="520" t="str">
        <f>IF(E153="","",IF(ISNA(VLOOKUP($E153,'A-1 Site Habitat Baseline'!$D$1:$O$258,9,FALSE)),"",(VLOOKUP($E153,'A-1 Site Habitat Baseline'!$D$1:$O$258,9,FALSE))))</f>
        <v/>
      </c>
      <c r="L153" s="520" t="str">
        <f>IF(E153="","",IF(ISNA(VLOOKUP($E153,'A-1 Site Habitat Baseline'!$D$1:$O$258,11,FALSE)),"",(VLOOKUP($E153,'A-1 Site Habitat Baseline'!$D$1:$O$258,11,FALSE))))</f>
        <v/>
      </c>
      <c r="M153" s="520" t="str">
        <f>IF(E153="","",IF(ISNA(VLOOKUP($E153,'A-1 Site Habitat Baseline'!$D$1:$O$258,12,FALSE)),"",(VLOOKUP($E153,'A-1 Site Habitat Baseline'!$D$1:$O$258,12,FALSE))))</f>
        <v/>
      </c>
      <c r="N153" s="532" t="str">
        <f>IF(E153="","",IF(ISNA(VLOOKUP($E153,'A-1 Site Habitat Baseline'!$D$1:$X$258,14,FALSE)),"",(VLOOKUP($E153,'A-1 Site Habitat Baseline'!$D$1:$X$258,14,FALSE))))</f>
        <v/>
      </c>
      <c r="O153" s="524" t="str">
        <f>IF(E153="","",IF(ISNA(VLOOKUP($E153,'A-1 Site Habitat Baseline'!$D$1:$X$258,16,FALSE)),"",(VLOOKUP($E153,'A-1 Site Habitat Baseline'!$D$1:$X$258,13,FALSE))))</f>
        <v/>
      </c>
      <c r="P153" s="237" t="str">
        <f>IFERROR(INDEX('G-1 All Habitats'!$AG$3:$AG$15,MATCH(Q153,'G-1 All Habitats'!$AF$3:$AF$15,0)),"")</f>
        <v/>
      </c>
      <c r="Q153" s="238" t="str">
        <f t="shared" si="25"/>
        <v/>
      </c>
      <c r="R153" s="238" t="str">
        <f t="shared" si="26"/>
        <v/>
      </c>
      <c r="S153" s="392" t="str">
        <f>IFERROR(INDEX('G-1 All Habitats'!$B$3:$B$129,MATCH(R153,'G-1 All Habitats'!$A$3:$A$129,0)),"")</f>
        <v/>
      </c>
      <c r="T153" s="498" t="str">
        <f t="shared" si="27"/>
        <v/>
      </c>
      <c r="U153" s="499" t="str">
        <f t="shared" si="28"/>
        <v/>
      </c>
      <c r="V153" s="537" t="str">
        <f t="shared" si="22"/>
        <v/>
      </c>
      <c r="W153" s="520" t="str">
        <f>IF(S153="","",VLOOKUP(S153,'G-1 All Habitats'!$B$2:$M$129,10,FALSE))</f>
        <v/>
      </c>
      <c r="X153" s="520" t="str">
        <f>IFERROR(VLOOKUP(W153,'G-1 All Habitats'!$V$3:$W$7,2,FALSE),"")</f>
        <v/>
      </c>
      <c r="Y153" s="79"/>
      <c r="Z153" s="524" t="str">
        <f>IFERROR(INDEX('G-8 Condition Look up'!$A$3:$H$130,MATCH(S153,'G-8 Condition Look up'!$A$3:$A$130,0),MATCH(Y153,'G-8 Condition Look up'!$A$3:$H$3,0)),"")</f>
        <v/>
      </c>
      <c r="AA153" s="71"/>
      <c r="AB153" s="520" t="str">
        <f>IF(AA153="","",IF(VLOOKUP(AA153,'G-3 Multipliers'!$L$3:$N$6,2,FALSE)=0,"Spatial Data Missing ⚠",VLOOKUP(AA153,'G-3 Multipliers'!$L$3:$N$6,2,FALSE)))</f>
        <v/>
      </c>
      <c r="AC153" s="524" t="str">
        <f>IF(AA153="","",IF(VLOOKUP(AA153,'G-3 Multipliers'!$L$3:$N$6,3,FALSE)=0,"Spatial Data Missing ⚠",VLOOKUP(AA153,'G-3 Multipliers'!$L$3:$N$6,3,FALSE)))</f>
        <v/>
      </c>
      <c r="AD153" s="539" t="str">
        <f t="shared" si="23"/>
        <v/>
      </c>
      <c r="AE153" s="82"/>
      <c r="AF153" s="82"/>
      <c r="AG153" s="507" t="str">
        <f t="shared" si="29"/>
        <v/>
      </c>
      <c r="AH153" s="521" t="str">
        <f t="shared" si="30"/>
        <v/>
      </c>
      <c r="AI153" s="522" t="str">
        <f>IF(AH153="Check Data","Check Data",IFERROR(VLOOKUP(AH153,'G-4 Temporal multipliers'!$A$4:$C$36,3,FALSE),""))</f>
        <v/>
      </c>
      <c r="AJ153" s="498" t="str">
        <f>IF(S153="","",VLOOKUP(S153,'G-3 Multipliers'!$A$2:$E$129,4,FALSE))</f>
        <v/>
      </c>
      <c r="AK153" s="507" t="str">
        <f t="shared" si="31"/>
        <v/>
      </c>
      <c r="AL153" s="507" t="str">
        <f t="shared" si="32"/>
        <v/>
      </c>
      <c r="AM153" s="540" t="str">
        <f>IFERROR(IF(F153="","",IF(AH153="Check Data ⚠","Check Data ⚠",VLOOKUP(AL153, 'G-3 Multipliers'!$P$2:$Q$6,2,FALSE))),"")</f>
        <v/>
      </c>
      <c r="AN153" s="513" t="str">
        <f t="shared" si="24"/>
        <v/>
      </c>
      <c r="AO153" s="239"/>
      <c r="AP153" s="240"/>
    </row>
    <row r="154" spans="1:42" x14ac:dyDescent="0.3">
      <c r="A154" s="47" t="str">
        <f>IF(E154="","",IF(ISNA(VLOOKUP($E154,'A-1 Site Habitat Baseline'!$D$1:$O$258,2,FALSE)),"",(VLOOKUP($E154,'A-1 Site Habitat Baseline'!$D$1:$O$258,2,FALSE))))</f>
        <v/>
      </c>
      <c r="B154" s="47" t="str">
        <f>IF(E154="","",IF(ISNA(VLOOKUP($E154,'A-1 Site Habitat Baseline'!$D$1:$O$258,3,FALSE)),"",(VLOOKUP($E154,'A-1 Site Habitat Baseline'!$D$1:$O$258,3,FALSE))))</f>
        <v/>
      </c>
      <c r="C154" s="47" t="str">
        <f>IFERROR(INDEX('G-8 Condition Look up'!$I$4:$I$130,MATCH(S154,'G-8 Condition Look up'!$A$4:$A$130,0)),"")</f>
        <v/>
      </c>
      <c r="E154" s="531" t="str">
        <f>'A-1 Site Habitat Baseline'!AL153</f>
        <v/>
      </c>
      <c r="F154" s="520" t="str">
        <f>IF(E154="","",IF(ISNA(VLOOKUP($E154,'A-1 Site Habitat Baseline'!$D$1:$O$258,4,FALSE)),"",(VLOOKUP($E154,'A-1 Site Habitat Baseline'!$D$1:$O$258,4,FALSE))))</f>
        <v/>
      </c>
      <c r="G154" s="520" t="str">
        <f>IF(E154="","",IF(ISNA(VLOOKUP($E154,'A-1 Site Habitat Baseline'!$D$1:$O$258,5,FALSE)),"",(VLOOKUP($E154,'A-1 Site Habitat Baseline'!$D$1:$O$258,5,FALSE))))</f>
        <v/>
      </c>
      <c r="H154" s="520" t="str">
        <f>IF(E154="","",IF(ISNA(VLOOKUP($E154,'A-1 Site Habitat Baseline'!$D$1:$O$258,6,FALSE)),"",(VLOOKUP($E154,'A-1 Site Habitat Baseline'!$D$1:$O$258,6,FALSE))))</f>
        <v/>
      </c>
      <c r="I154" s="520" t="str">
        <f>IF(E154="","",IF(ISNA(VLOOKUP($E154,'A-1 Site Habitat Baseline'!$D$1:$O$258,7,FALSE)),"",(VLOOKUP($E154,'A-1 Site Habitat Baseline'!$D$1:$O$258,7,FALSE))))</f>
        <v/>
      </c>
      <c r="J154" s="520" t="str">
        <f>IF(E154="","",IF(ISNA(VLOOKUP($E154,'A-1 Site Habitat Baseline'!$D$1:$O$258,8,FALSE)),"",(VLOOKUP($E154,'A-1 Site Habitat Baseline'!$D$1:$O$258,8,FALSE))))</f>
        <v/>
      </c>
      <c r="K154" s="520" t="str">
        <f>IF(E154="","",IF(ISNA(VLOOKUP($E154,'A-1 Site Habitat Baseline'!$D$1:$O$258,9,FALSE)),"",(VLOOKUP($E154,'A-1 Site Habitat Baseline'!$D$1:$O$258,9,FALSE))))</f>
        <v/>
      </c>
      <c r="L154" s="520" t="str">
        <f>IF(E154="","",IF(ISNA(VLOOKUP($E154,'A-1 Site Habitat Baseline'!$D$1:$O$258,11,FALSE)),"",(VLOOKUP($E154,'A-1 Site Habitat Baseline'!$D$1:$O$258,11,FALSE))))</f>
        <v/>
      </c>
      <c r="M154" s="520" t="str">
        <f>IF(E154="","",IF(ISNA(VLOOKUP($E154,'A-1 Site Habitat Baseline'!$D$1:$O$258,12,FALSE)),"",(VLOOKUP($E154,'A-1 Site Habitat Baseline'!$D$1:$O$258,12,FALSE))))</f>
        <v/>
      </c>
      <c r="N154" s="532" t="str">
        <f>IF(E154="","",IF(ISNA(VLOOKUP($E154,'A-1 Site Habitat Baseline'!$D$1:$X$258,14,FALSE)),"",(VLOOKUP($E154,'A-1 Site Habitat Baseline'!$D$1:$X$258,14,FALSE))))</f>
        <v/>
      </c>
      <c r="O154" s="524" t="str">
        <f>IF(E154="","",IF(ISNA(VLOOKUP($E154,'A-1 Site Habitat Baseline'!$D$1:$X$258,16,FALSE)),"",(VLOOKUP($E154,'A-1 Site Habitat Baseline'!$D$1:$X$258,13,FALSE))))</f>
        <v/>
      </c>
      <c r="P154" s="237" t="str">
        <f>IFERROR(INDEX('G-1 All Habitats'!$AG$3:$AG$15,MATCH(Q154,'G-1 All Habitats'!$AF$3:$AF$15,0)),"")</f>
        <v/>
      </c>
      <c r="Q154" s="238" t="str">
        <f t="shared" si="25"/>
        <v/>
      </c>
      <c r="R154" s="238" t="str">
        <f t="shared" si="26"/>
        <v/>
      </c>
      <c r="S154" s="392" t="str">
        <f>IFERROR(INDEX('G-1 All Habitats'!$B$3:$B$129,MATCH(R154,'G-1 All Habitats'!$A$3:$A$129,0)),"")</f>
        <v/>
      </c>
      <c r="T154" s="498" t="str">
        <f t="shared" si="27"/>
        <v/>
      </c>
      <c r="U154" s="499" t="str">
        <f t="shared" si="28"/>
        <v/>
      </c>
      <c r="V154" s="537" t="str">
        <f t="shared" si="22"/>
        <v/>
      </c>
      <c r="W154" s="520" t="str">
        <f>IF(S154="","",VLOOKUP(S154,'G-1 All Habitats'!$B$2:$M$129,10,FALSE))</f>
        <v/>
      </c>
      <c r="X154" s="520" t="str">
        <f>IFERROR(VLOOKUP(W154,'G-1 All Habitats'!$V$3:$W$7,2,FALSE),"")</f>
        <v/>
      </c>
      <c r="Y154" s="79"/>
      <c r="Z154" s="524" t="str">
        <f>IFERROR(INDEX('G-8 Condition Look up'!$A$3:$H$130,MATCH(S154,'G-8 Condition Look up'!$A$3:$A$130,0),MATCH(Y154,'G-8 Condition Look up'!$A$3:$H$3,0)),"")</f>
        <v/>
      </c>
      <c r="AA154" s="71"/>
      <c r="AB154" s="520" t="str">
        <f>IF(AA154="","",IF(VLOOKUP(AA154,'G-3 Multipliers'!$L$3:$N$6,2,FALSE)=0,"Spatial Data Missing ⚠",VLOOKUP(AA154,'G-3 Multipliers'!$L$3:$N$6,2,FALSE)))</f>
        <v/>
      </c>
      <c r="AC154" s="524" t="str">
        <f>IF(AA154="","",IF(VLOOKUP(AA154,'G-3 Multipliers'!$L$3:$N$6,3,FALSE)=0,"Spatial Data Missing ⚠",VLOOKUP(AA154,'G-3 Multipliers'!$L$3:$N$6,3,FALSE)))</f>
        <v/>
      </c>
      <c r="AD154" s="539" t="str">
        <f t="shared" si="23"/>
        <v/>
      </c>
      <c r="AE154" s="82"/>
      <c r="AF154" s="82"/>
      <c r="AG154" s="507" t="str">
        <f t="shared" si="29"/>
        <v/>
      </c>
      <c r="AH154" s="521" t="str">
        <f t="shared" si="30"/>
        <v/>
      </c>
      <c r="AI154" s="522" t="str">
        <f>IF(AH154="Check Data","Check Data",IFERROR(VLOOKUP(AH154,'G-4 Temporal multipliers'!$A$4:$C$36,3,FALSE),""))</f>
        <v/>
      </c>
      <c r="AJ154" s="498" t="str">
        <f>IF(S154="","",VLOOKUP(S154,'G-3 Multipliers'!$A$2:$E$129,4,FALSE))</f>
        <v/>
      </c>
      <c r="AK154" s="507" t="str">
        <f t="shared" si="31"/>
        <v/>
      </c>
      <c r="AL154" s="507" t="str">
        <f t="shared" si="32"/>
        <v/>
      </c>
      <c r="AM154" s="540" t="str">
        <f>IFERROR(IF(F154="","",IF(AH154="Check Data ⚠","Check Data ⚠",VLOOKUP(AL154, 'G-3 Multipliers'!$P$2:$Q$6,2,FALSE))),"")</f>
        <v/>
      </c>
      <c r="AN154" s="513" t="str">
        <f t="shared" si="24"/>
        <v/>
      </c>
      <c r="AO154" s="239"/>
      <c r="AP154" s="240"/>
    </row>
    <row r="155" spans="1:42" x14ac:dyDescent="0.3">
      <c r="A155" s="47" t="str">
        <f>IF(E155="","",IF(ISNA(VLOOKUP($E155,'A-1 Site Habitat Baseline'!$D$1:$O$258,2,FALSE)),"",(VLOOKUP($E155,'A-1 Site Habitat Baseline'!$D$1:$O$258,2,FALSE))))</f>
        <v/>
      </c>
      <c r="B155" s="47" t="str">
        <f>IF(E155="","",IF(ISNA(VLOOKUP($E155,'A-1 Site Habitat Baseline'!$D$1:$O$258,3,FALSE)),"",(VLOOKUP($E155,'A-1 Site Habitat Baseline'!$D$1:$O$258,3,FALSE))))</f>
        <v/>
      </c>
      <c r="C155" s="47" t="str">
        <f>IFERROR(INDEX('G-8 Condition Look up'!$I$4:$I$130,MATCH(S155,'G-8 Condition Look up'!$A$4:$A$130,0)),"")</f>
        <v/>
      </c>
      <c r="E155" s="531" t="str">
        <f>'A-1 Site Habitat Baseline'!AL154</f>
        <v/>
      </c>
      <c r="F155" s="520" t="str">
        <f>IF(E155="","",IF(ISNA(VLOOKUP($E155,'A-1 Site Habitat Baseline'!$D$1:$O$258,4,FALSE)),"",(VLOOKUP($E155,'A-1 Site Habitat Baseline'!$D$1:$O$258,4,FALSE))))</f>
        <v/>
      </c>
      <c r="G155" s="520" t="str">
        <f>IF(E155="","",IF(ISNA(VLOOKUP($E155,'A-1 Site Habitat Baseline'!$D$1:$O$258,5,FALSE)),"",(VLOOKUP($E155,'A-1 Site Habitat Baseline'!$D$1:$O$258,5,FALSE))))</f>
        <v/>
      </c>
      <c r="H155" s="520" t="str">
        <f>IF(E155="","",IF(ISNA(VLOOKUP($E155,'A-1 Site Habitat Baseline'!$D$1:$O$258,6,FALSE)),"",(VLOOKUP($E155,'A-1 Site Habitat Baseline'!$D$1:$O$258,6,FALSE))))</f>
        <v/>
      </c>
      <c r="I155" s="520" t="str">
        <f>IF(E155="","",IF(ISNA(VLOOKUP($E155,'A-1 Site Habitat Baseline'!$D$1:$O$258,7,FALSE)),"",(VLOOKUP($E155,'A-1 Site Habitat Baseline'!$D$1:$O$258,7,FALSE))))</f>
        <v/>
      </c>
      <c r="J155" s="520" t="str">
        <f>IF(E155="","",IF(ISNA(VLOOKUP($E155,'A-1 Site Habitat Baseline'!$D$1:$O$258,8,FALSE)),"",(VLOOKUP($E155,'A-1 Site Habitat Baseline'!$D$1:$O$258,8,FALSE))))</f>
        <v/>
      </c>
      <c r="K155" s="520" t="str">
        <f>IF(E155="","",IF(ISNA(VLOOKUP($E155,'A-1 Site Habitat Baseline'!$D$1:$O$258,9,FALSE)),"",(VLOOKUP($E155,'A-1 Site Habitat Baseline'!$D$1:$O$258,9,FALSE))))</f>
        <v/>
      </c>
      <c r="L155" s="520" t="str">
        <f>IF(E155="","",IF(ISNA(VLOOKUP($E155,'A-1 Site Habitat Baseline'!$D$1:$O$258,11,FALSE)),"",(VLOOKUP($E155,'A-1 Site Habitat Baseline'!$D$1:$O$258,11,FALSE))))</f>
        <v/>
      </c>
      <c r="M155" s="520" t="str">
        <f>IF(E155="","",IF(ISNA(VLOOKUP($E155,'A-1 Site Habitat Baseline'!$D$1:$O$258,12,FALSE)),"",(VLOOKUP($E155,'A-1 Site Habitat Baseline'!$D$1:$O$258,12,FALSE))))</f>
        <v/>
      </c>
      <c r="N155" s="532" t="str">
        <f>IF(E155="","",IF(ISNA(VLOOKUP($E155,'A-1 Site Habitat Baseline'!$D$1:$X$258,14,FALSE)),"",(VLOOKUP($E155,'A-1 Site Habitat Baseline'!$D$1:$X$258,14,FALSE))))</f>
        <v/>
      </c>
      <c r="O155" s="524" t="str">
        <f>IF(E155="","",IF(ISNA(VLOOKUP($E155,'A-1 Site Habitat Baseline'!$D$1:$X$258,16,FALSE)),"",(VLOOKUP($E155,'A-1 Site Habitat Baseline'!$D$1:$X$258,13,FALSE))))</f>
        <v/>
      </c>
      <c r="P155" s="237" t="str">
        <f>IFERROR(INDEX('G-1 All Habitats'!$AG$3:$AG$15,MATCH(Q155,'G-1 All Habitats'!$AF$3:$AF$15,0)),"")</f>
        <v/>
      </c>
      <c r="Q155" s="238" t="str">
        <f t="shared" si="25"/>
        <v/>
      </c>
      <c r="R155" s="238" t="str">
        <f t="shared" si="26"/>
        <v/>
      </c>
      <c r="S155" s="392" t="str">
        <f>IFERROR(INDEX('G-1 All Habitats'!$B$3:$B$129,MATCH(R155,'G-1 All Habitats'!$A$3:$A$129,0)),"")</f>
        <v/>
      </c>
      <c r="T155" s="498" t="str">
        <f t="shared" si="27"/>
        <v/>
      </c>
      <c r="U155" s="499" t="str">
        <f t="shared" si="28"/>
        <v/>
      </c>
      <c r="V155" s="537" t="str">
        <f t="shared" si="22"/>
        <v/>
      </c>
      <c r="W155" s="520" t="str">
        <f>IF(S155="","",VLOOKUP(S155,'G-1 All Habitats'!$B$2:$M$129,10,FALSE))</f>
        <v/>
      </c>
      <c r="X155" s="520" t="str">
        <f>IFERROR(VLOOKUP(W155,'G-1 All Habitats'!$V$3:$W$7,2,FALSE),"")</f>
        <v/>
      </c>
      <c r="Y155" s="79"/>
      <c r="Z155" s="524" t="str">
        <f>IFERROR(INDEX('G-8 Condition Look up'!$A$3:$H$130,MATCH(S155,'G-8 Condition Look up'!$A$3:$A$130,0),MATCH(Y155,'G-8 Condition Look up'!$A$3:$H$3,0)),"")</f>
        <v/>
      </c>
      <c r="AA155" s="71"/>
      <c r="AB155" s="520" t="str">
        <f>IF(AA155="","",IF(VLOOKUP(AA155,'G-3 Multipliers'!$L$3:$N$6,2,FALSE)=0,"Spatial Data Missing ⚠",VLOOKUP(AA155,'G-3 Multipliers'!$L$3:$N$6,2,FALSE)))</f>
        <v/>
      </c>
      <c r="AC155" s="524" t="str">
        <f>IF(AA155="","",IF(VLOOKUP(AA155,'G-3 Multipliers'!$L$3:$N$6,3,FALSE)=0,"Spatial Data Missing ⚠",VLOOKUP(AA155,'G-3 Multipliers'!$L$3:$N$6,3,FALSE)))</f>
        <v/>
      </c>
      <c r="AD155" s="539" t="str">
        <f t="shared" si="23"/>
        <v/>
      </c>
      <c r="AE155" s="82"/>
      <c r="AF155" s="82"/>
      <c r="AG155" s="507" t="str">
        <f t="shared" si="29"/>
        <v/>
      </c>
      <c r="AH155" s="521" t="str">
        <f t="shared" si="30"/>
        <v/>
      </c>
      <c r="AI155" s="522" t="str">
        <f>IF(AH155="Check Data","Check Data",IFERROR(VLOOKUP(AH155,'G-4 Temporal multipliers'!$A$4:$C$36,3,FALSE),""))</f>
        <v/>
      </c>
      <c r="AJ155" s="498" t="str">
        <f>IF(S155="","",VLOOKUP(S155,'G-3 Multipliers'!$A$2:$E$129,4,FALSE))</f>
        <v/>
      </c>
      <c r="AK155" s="507" t="str">
        <f t="shared" si="31"/>
        <v/>
      </c>
      <c r="AL155" s="507" t="str">
        <f t="shared" si="32"/>
        <v/>
      </c>
      <c r="AM155" s="540" t="str">
        <f>IFERROR(IF(F155="","",IF(AH155="Check Data ⚠","Check Data ⚠",VLOOKUP(AL155, 'G-3 Multipliers'!$P$2:$Q$6,2,FALSE))),"")</f>
        <v/>
      </c>
      <c r="AN155" s="513" t="str">
        <f t="shared" si="24"/>
        <v/>
      </c>
      <c r="AO155" s="239"/>
      <c r="AP155" s="240"/>
    </row>
    <row r="156" spans="1:42" x14ac:dyDescent="0.3">
      <c r="A156" s="47" t="str">
        <f>IF(E156="","",IF(ISNA(VLOOKUP($E156,'A-1 Site Habitat Baseline'!$D$1:$O$258,2,FALSE)),"",(VLOOKUP($E156,'A-1 Site Habitat Baseline'!$D$1:$O$258,2,FALSE))))</f>
        <v/>
      </c>
      <c r="B156" s="47" t="str">
        <f>IF(E156="","",IF(ISNA(VLOOKUP($E156,'A-1 Site Habitat Baseline'!$D$1:$O$258,3,FALSE)),"",(VLOOKUP($E156,'A-1 Site Habitat Baseline'!$D$1:$O$258,3,FALSE))))</f>
        <v/>
      </c>
      <c r="C156" s="47" t="str">
        <f>IFERROR(INDEX('G-8 Condition Look up'!$I$4:$I$130,MATCH(S156,'G-8 Condition Look up'!$A$4:$A$130,0)),"")</f>
        <v/>
      </c>
      <c r="E156" s="531" t="str">
        <f>'A-1 Site Habitat Baseline'!AL155</f>
        <v/>
      </c>
      <c r="F156" s="520" t="str">
        <f>IF(E156="","",IF(ISNA(VLOOKUP($E156,'A-1 Site Habitat Baseline'!$D$1:$O$258,4,FALSE)),"",(VLOOKUP($E156,'A-1 Site Habitat Baseline'!$D$1:$O$258,4,FALSE))))</f>
        <v/>
      </c>
      <c r="G156" s="520" t="str">
        <f>IF(E156="","",IF(ISNA(VLOOKUP($E156,'A-1 Site Habitat Baseline'!$D$1:$O$258,5,FALSE)),"",(VLOOKUP($E156,'A-1 Site Habitat Baseline'!$D$1:$O$258,5,FALSE))))</f>
        <v/>
      </c>
      <c r="H156" s="520" t="str">
        <f>IF(E156="","",IF(ISNA(VLOOKUP($E156,'A-1 Site Habitat Baseline'!$D$1:$O$258,6,FALSE)),"",(VLOOKUP($E156,'A-1 Site Habitat Baseline'!$D$1:$O$258,6,FALSE))))</f>
        <v/>
      </c>
      <c r="I156" s="520" t="str">
        <f>IF(E156="","",IF(ISNA(VLOOKUP($E156,'A-1 Site Habitat Baseline'!$D$1:$O$258,7,FALSE)),"",(VLOOKUP($E156,'A-1 Site Habitat Baseline'!$D$1:$O$258,7,FALSE))))</f>
        <v/>
      </c>
      <c r="J156" s="520" t="str">
        <f>IF(E156="","",IF(ISNA(VLOOKUP($E156,'A-1 Site Habitat Baseline'!$D$1:$O$258,8,FALSE)),"",(VLOOKUP($E156,'A-1 Site Habitat Baseline'!$D$1:$O$258,8,FALSE))))</f>
        <v/>
      </c>
      <c r="K156" s="520" t="str">
        <f>IF(E156="","",IF(ISNA(VLOOKUP($E156,'A-1 Site Habitat Baseline'!$D$1:$O$258,9,FALSE)),"",(VLOOKUP($E156,'A-1 Site Habitat Baseline'!$D$1:$O$258,9,FALSE))))</f>
        <v/>
      </c>
      <c r="L156" s="520" t="str">
        <f>IF(E156="","",IF(ISNA(VLOOKUP($E156,'A-1 Site Habitat Baseline'!$D$1:$O$258,11,FALSE)),"",(VLOOKUP($E156,'A-1 Site Habitat Baseline'!$D$1:$O$258,11,FALSE))))</f>
        <v/>
      </c>
      <c r="M156" s="520" t="str">
        <f>IF(E156="","",IF(ISNA(VLOOKUP($E156,'A-1 Site Habitat Baseline'!$D$1:$O$258,12,FALSE)),"",(VLOOKUP($E156,'A-1 Site Habitat Baseline'!$D$1:$O$258,12,FALSE))))</f>
        <v/>
      </c>
      <c r="N156" s="532" t="str">
        <f>IF(E156="","",IF(ISNA(VLOOKUP($E156,'A-1 Site Habitat Baseline'!$D$1:$X$258,14,FALSE)),"",(VLOOKUP($E156,'A-1 Site Habitat Baseline'!$D$1:$X$258,14,FALSE))))</f>
        <v/>
      </c>
      <c r="O156" s="524" t="str">
        <f>IF(E156="","",IF(ISNA(VLOOKUP($E156,'A-1 Site Habitat Baseline'!$D$1:$X$258,16,FALSE)),"",(VLOOKUP($E156,'A-1 Site Habitat Baseline'!$D$1:$X$258,13,FALSE))))</f>
        <v/>
      </c>
      <c r="P156" s="237" t="str">
        <f>IFERROR(INDEX('G-1 All Habitats'!$AG$3:$AG$15,MATCH(Q156,'G-1 All Habitats'!$AF$3:$AF$15,0)),"")</f>
        <v/>
      </c>
      <c r="Q156" s="238" t="str">
        <f t="shared" si="25"/>
        <v/>
      </c>
      <c r="R156" s="238" t="str">
        <f t="shared" si="26"/>
        <v/>
      </c>
      <c r="S156" s="392" t="str">
        <f>IFERROR(INDEX('G-1 All Habitats'!$B$3:$B$129,MATCH(R156,'G-1 All Habitats'!$A$3:$A$129,0)),"")</f>
        <v/>
      </c>
      <c r="T156" s="498" t="str">
        <f t="shared" si="27"/>
        <v/>
      </c>
      <c r="U156" s="499" t="str">
        <f t="shared" si="28"/>
        <v/>
      </c>
      <c r="V156" s="537" t="str">
        <f t="shared" si="22"/>
        <v/>
      </c>
      <c r="W156" s="520" t="str">
        <f>IF(S156="","",VLOOKUP(S156,'G-1 All Habitats'!$B$2:$M$129,10,FALSE))</f>
        <v/>
      </c>
      <c r="X156" s="520" t="str">
        <f>IFERROR(VLOOKUP(W156,'G-1 All Habitats'!$V$3:$W$7,2,FALSE),"")</f>
        <v/>
      </c>
      <c r="Y156" s="79"/>
      <c r="Z156" s="524" t="str">
        <f>IFERROR(INDEX('G-8 Condition Look up'!$A$3:$H$130,MATCH(S156,'G-8 Condition Look up'!$A$3:$A$130,0),MATCH(Y156,'G-8 Condition Look up'!$A$3:$H$3,0)),"")</f>
        <v/>
      </c>
      <c r="AA156" s="71"/>
      <c r="AB156" s="520" t="str">
        <f>IF(AA156="","",IF(VLOOKUP(AA156,'G-3 Multipliers'!$L$3:$N$6,2,FALSE)=0,"Spatial Data Missing ⚠",VLOOKUP(AA156,'G-3 Multipliers'!$L$3:$N$6,2,FALSE)))</f>
        <v/>
      </c>
      <c r="AC156" s="524" t="str">
        <f>IF(AA156="","",IF(VLOOKUP(AA156,'G-3 Multipliers'!$L$3:$N$6,3,FALSE)=0,"Spatial Data Missing ⚠",VLOOKUP(AA156,'G-3 Multipliers'!$L$3:$N$6,3,FALSE)))</f>
        <v/>
      </c>
      <c r="AD156" s="539" t="str">
        <f t="shared" si="23"/>
        <v/>
      </c>
      <c r="AE156" s="82"/>
      <c r="AF156" s="82"/>
      <c r="AG156" s="507" t="str">
        <f t="shared" si="29"/>
        <v/>
      </c>
      <c r="AH156" s="521" t="str">
        <f t="shared" si="30"/>
        <v/>
      </c>
      <c r="AI156" s="522" t="str">
        <f>IF(AH156="Check Data","Check Data",IFERROR(VLOOKUP(AH156,'G-4 Temporal multipliers'!$A$4:$C$36,3,FALSE),""))</f>
        <v/>
      </c>
      <c r="AJ156" s="498" t="str">
        <f>IF(S156="","",VLOOKUP(S156,'G-3 Multipliers'!$A$2:$E$129,4,FALSE))</f>
        <v/>
      </c>
      <c r="AK156" s="507" t="str">
        <f t="shared" si="31"/>
        <v/>
      </c>
      <c r="AL156" s="507" t="str">
        <f t="shared" si="32"/>
        <v/>
      </c>
      <c r="AM156" s="540" t="str">
        <f>IFERROR(IF(F156="","",IF(AH156="Check Data ⚠","Check Data ⚠",VLOOKUP(AL156, 'G-3 Multipliers'!$P$2:$Q$6,2,FALSE))),"")</f>
        <v/>
      </c>
      <c r="AN156" s="513" t="str">
        <f t="shared" si="24"/>
        <v/>
      </c>
      <c r="AO156" s="239"/>
      <c r="AP156" s="240"/>
    </row>
    <row r="157" spans="1:42" x14ac:dyDescent="0.3">
      <c r="A157" s="47" t="str">
        <f>IF(E157="","",IF(ISNA(VLOOKUP($E157,'A-1 Site Habitat Baseline'!$D$1:$O$258,2,FALSE)),"",(VLOOKUP($E157,'A-1 Site Habitat Baseline'!$D$1:$O$258,2,FALSE))))</f>
        <v/>
      </c>
      <c r="B157" s="47" t="str">
        <f>IF(E157="","",IF(ISNA(VLOOKUP($E157,'A-1 Site Habitat Baseline'!$D$1:$O$258,3,FALSE)),"",(VLOOKUP($E157,'A-1 Site Habitat Baseline'!$D$1:$O$258,3,FALSE))))</f>
        <v/>
      </c>
      <c r="C157" s="47" t="str">
        <f>IFERROR(INDEX('G-8 Condition Look up'!$I$4:$I$130,MATCH(S157,'G-8 Condition Look up'!$A$4:$A$130,0)),"")</f>
        <v/>
      </c>
      <c r="E157" s="531" t="str">
        <f>'A-1 Site Habitat Baseline'!AL156</f>
        <v/>
      </c>
      <c r="F157" s="520" t="str">
        <f>IF(E157="","",IF(ISNA(VLOOKUP($E157,'A-1 Site Habitat Baseline'!$D$1:$O$258,4,FALSE)),"",(VLOOKUP($E157,'A-1 Site Habitat Baseline'!$D$1:$O$258,4,FALSE))))</f>
        <v/>
      </c>
      <c r="G157" s="520" t="str">
        <f>IF(E157="","",IF(ISNA(VLOOKUP($E157,'A-1 Site Habitat Baseline'!$D$1:$O$258,5,FALSE)),"",(VLOOKUP($E157,'A-1 Site Habitat Baseline'!$D$1:$O$258,5,FALSE))))</f>
        <v/>
      </c>
      <c r="H157" s="520" t="str">
        <f>IF(E157="","",IF(ISNA(VLOOKUP($E157,'A-1 Site Habitat Baseline'!$D$1:$O$258,6,FALSE)),"",(VLOOKUP($E157,'A-1 Site Habitat Baseline'!$D$1:$O$258,6,FALSE))))</f>
        <v/>
      </c>
      <c r="I157" s="520" t="str">
        <f>IF(E157="","",IF(ISNA(VLOOKUP($E157,'A-1 Site Habitat Baseline'!$D$1:$O$258,7,FALSE)),"",(VLOOKUP($E157,'A-1 Site Habitat Baseline'!$D$1:$O$258,7,FALSE))))</f>
        <v/>
      </c>
      <c r="J157" s="520" t="str">
        <f>IF(E157="","",IF(ISNA(VLOOKUP($E157,'A-1 Site Habitat Baseline'!$D$1:$O$258,8,FALSE)),"",(VLOOKUP($E157,'A-1 Site Habitat Baseline'!$D$1:$O$258,8,FALSE))))</f>
        <v/>
      </c>
      <c r="K157" s="520" t="str">
        <f>IF(E157="","",IF(ISNA(VLOOKUP($E157,'A-1 Site Habitat Baseline'!$D$1:$O$258,9,FALSE)),"",(VLOOKUP($E157,'A-1 Site Habitat Baseline'!$D$1:$O$258,9,FALSE))))</f>
        <v/>
      </c>
      <c r="L157" s="520" t="str">
        <f>IF(E157="","",IF(ISNA(VLOOKUP($E157,'A-1 Site Habitat Baseline'!$D$1:$O$258,11,FALSE)),"",(VLOOKUP($E157,'A-1 Site Habitat Baseline'!$D$1:$O$258,11,FALSE))))</f>
        <v/>
      </c>
      <c r="M157" s="520" t="str">
        <f>IF(E157="","",IF(ISNA(VLOOKUP($E157,'A-1 Site Habitat Baseline'!$D$1:$O$258,12,FALSE)),"",(VLOOKUP($E157,'A-1 Site Habitat Baseline'!$D$1:$O$258,12,FALSE))))</f>
        <v/>
      </c>
      <c r="N157" s="532" t="str">
        <f>IF(E157="","",IF(ISNA(VLOOKUP($E157,'A-1 Site Habitat Baseline'!$D$1:$X$258,14,FALSE)),"",(VLOOKUP($E157,'A-1 Site Habitat Baseline'!$D$1:$X$258,14,FALSE))))</f>
        <v/>
      </c>
      <c r="O157" s="524" t="str">
        <f>IF(E157="","",IF(ISNA(VLOOKUP($E157,'A-1 Site Habitat Baseline'!$D$1:$X$258,16,FALSE)),"",(VLOOKUP($E157,'A-1 Site Habitat Baseline'!$D$1:$X$258,13,FALSE))))</f>
        <v/>
      </c>
      <c r="P157" s="237" t="str">
        <f>IFERROR(INDEX('G-1 All Habitats'!$AG$3:$AG$15,MATCH(Q157,'G-1 All Habitats'!$AF$3:$AF$15,0)),"")</f>
        <v/>
      </c>
      <c r="Q157" s="238" t="str">
        <f t="shared" si="25"/>
        <v/>
      </c>
      <c r="R157" s="238" t="str">
        <f t="shared" si="26"/>
        <v/>
      </c>
      <c r="S157" s="392" t="str">
        <f>IFERROR(INDEX('G-1 All Habitats'!$B$3:$B$129,MATCH(R157,'G-1 All Habitats'!$A$3:$A$129,0)),"")</f>
        <v/>
      </c>
      <c r="T157" s="498" t="str">
        <f t="shared" si="27"/>
        <v/>
      </c>
      <c r="U157" s="499" t="str">
        <f t="shared" si="28"/>
        <v/>
      </c>
      <c r="V157" s="537" t="str">
        <f t="shared" si="22"/>
        <v/>
      </c>
      <c r="W157" s="520" t="str">
        <f>IF(S157="","",VLOOKUP(S157,'G-1 All Habitats'!$B$2:$M$129,10,FALSE))</f>
        <v/>
      </c>
      <c r="X157" s="520" t="str">
        <f>IFERROR(VLOOKUP(W157,'G-1 All Habitats'!$V$3:$W$7,2,FALSE),"")</f>
        <v/>
      </c>
      <c r="Y157" s="79"/>
      <c r="Z157" s="524" t="str">
        <f>IFERROR(INDEX('G-8 Condition Look up'!$A$3:$H$130,MATCH(S157,'G-8 Condition Look up'!$A$3:$A$130,0),MATCH(Y157,'G-8 Condition Look up'!$A$3:$H$3,0)),"")</f>
        <v/>
      </c>
      <c r="AA157" s="71"/>
      <c r="AB157" s="520" t="str">
        <f>IF(AA157="","",IF(VLOOKUP(AA157,'G-3 Multipliers'!$L$3:$N$6,2,FALSE)=0,"Spatial Data Missing ⚠",VLOOKUP(AA157,'G-3 Multipliers'!$L$3:$N$6,2,FALSE)))</f>
        <v/>
      </c>
      <c r="AC157" s="524" t="str">
        <f>IF(AA157="","",IF(VLOOKUP(AA157,'G-3 Multipliers'!$L$3:$N$6,3,FALSE)=0,"Spatial Data Missing ⚠",VLOOKUP(AA157,'G-3 Multipliers'!$L$3:$N$6,3,FALSE)))</f>
        <v/>
      </c>
      <c r="AD157" s="539" t="str">
        <f t="shared" si="23"/>
        <v/>
      </c>
      <c r="AE157" s="82"/>
      <c r="AF157" s="82"/>
      <c r="AG157" s="507" t="str">
        <f t="shared" si="29"/>
        <v/>
      </c>
      <c r="AH157" s="521" t="str">
        <f t="shared" si="30"/>
        <v/>
      </c>
      <c r="AI157" s="522" t="str">
        <f>IF(AH157="Check Data","Check Data",IFERROR(VLOOKUP(AH157,'G-4 Temporal multipliers'!$A$4:$C$36,3,FALSE),""))</f>
        <v/>
      </c>
      <c r="AJ157" s="498" t="str">
        <f>IF(S157="","",VLOOKUP(S157,'G-3 Multipliers'!$A$2:$E$129,4,FALSE))</f>
        <v/>
      </c>
      <c r="AK157" s="507" t="str">
        <f t="shared" si="31"/>
        <v/>
      </c>
      <c r="AL157" s="507" t="str">
        <f t="shared" si="32"/>
        <v/>
      </c>
      <c r="AM157" s="540" t="str">
        <f>IFERROR(IF(F157="","",IF(AH157="Check Data ⚠","Check Data ⚠",VLOOKUP(AL157, 'G-3 Multipliers'!$P$2:$Q$6,2,FALSE))),"")</f>
        <v/>
      </c>
      <c r="AN157" s="513" t="str">
        <f t="shared" si="24"/>
        <v/>
      </c>
      <c r="AO157" s="239"/>
      <c r="AP157" s="240"/>
    </row>
    <row r="158" spans="1:42" x14ac:dyDescent="0.3">
      <c r="A158" s="47" t="str">
        <f>IF(E158="","",IF(ISNA(VLOOKUP($E158,'A-1 Site Habitat Baseline'!$D$1:$O$258,2,FALSE)),"",(VLOOKUP($E158,'A-1 Site Habitat Baseline'!$D$1:$O$258,2,FALSE))))</f>
        <v/>
      </c>
      <c r="B158" s="47" t="str">
        <f>IF(E158="","",IF(ISNA(VLOOKUP($E158,'A-1 Site Habitat Baseline'!$D$1:$O$258,3,FALSE)),"",(VLOOKUP($E158,'A-1 Site Habitat Baseline'!$D$1:$O$258,3,FALSE))))</f>
        <v/>
      </c>
      <c r="C158" s="47" t="str">
        <f>IFERROR(INDEX('G-8 Condition Look up'!$I$4:$I$130,MATCH(S158,'G-8 Condition Look up'!$A$4:$A$130,0)),"")</f>
        <v/>
      </c>
      <c r="E158" s="531" t="str">
        <f>'A-1 Site Habitat Baseline'!AL157</f>
        <v/>
      </c>
      <c r="F158" s="520" t="str">
        <f>IF(E158="","",IF(ISNA(VLOOKUP($E158,'A-1 Site Habitat Baseline'!$D$1:$O$258,4,FALSE)),"",(VLOOKUP($E158,'A-1 Site Habitat Baseline'!$D$1:$O$258,4,FALSE))))</f>
        <v/>
      </c>
      <c r="G158" s="520" t="str">
        <f>IF(E158="","",IF(ISNA(VLOOKUP($E158,'A-1 Site Habitat Baseline'!$D$1:$O$258,5,FALSE)),"",(VLOOKUP($E158,'A-1 Site Habitat Baseline'!$D$1:$O$258,5,FALSE))))</f>
        <v/>
      </c>
      <c r="H158" s="520" t="str">
        <f>IF(E158="","",IF(ISNA(VLOOKUP($E158,'A-1 Site Habitat Baseline'!$D$1:$O$258,6,FALSE)),"",(VLOOKUP($E158,'A-1 Site Habitat Baseline'!$D$1:$O$258,6,FALSE))))</f>
        <v/>
      </c>
      <c r="I158" s="520" t="str">
        <f>IF(E158="","",IF(ISNA(VLOOKUP($E158,'A-1 Site Habitat Baseline'!$D$1:$O$258,7,FALSE)),"",(VLOOKUP($E158,'A-1 Site Habitat Baseline'!$D$1:$O$258,7,FALSE))))</f>
        <v/>
      </c>
      <c r="J158" s="520" t="str">
        <f>IF(E158="","",IF(ISNA(VLOOKUP($E158,'A-1 Site Habitat Baseline'!$D$1:$O$258,8,FALSE)),"",(VLOOKUP($E158,'A-1 Site Habitat Baseline'!$D$1:$O$258,8,FALSE))))</f>
        <v/>
      </c>
      <c r="K158" s="520" t="str">
        <f>IF(E158="","",IF(ISNA(VLOOKUP($E158,'A-1 Site Habitat Baseline'!$D$1:$O$258,9,FALSE)),"",(VLOOKUP($E158,'A-1 Site Habitat Baseline'!$D$1:$O$258,9,FALSE))))</f>
        <v/>
      </c>
      <c r="L158" s="520" t="str">
        <f>IF(E158="","",IF(ISNA(VLOOKUP($E158,'A-1 Site Habitat Baseline'!$D$1:$O$258,11,FALSE)),"",(VLOOKUP($E158,'A-1 Site Habitat Baseline'!$D$1:$O$258,11,FALSE))))</f>
        <v/>
      </c>
      <c r="M158" s="520" t="str">
        <f>IF(E158="","",IF(ISNA(VLOOKUP($E158,'A-1 Site Habitat Baseline'!$D$1:$O$258,12,FALSE)),"",(VLOOKUP($E158,'A-1 Site Habitat Baseline'!$D$1:$O$258,12,FALSE))))</f>
        <v/>
      </c>
      <c r="N158" s="532" t="str">
        <f>IF(E158="","",IF(ISNA(VLOOKUP($E158,'A-1 Site Habitat Baseline'!$D$1:$X$258,14,FALSE)),"",(VLOOKUP($E158,'A-1 Site Habitat Baseline'!$D$1:$X$258,14,FALSE))))</f>
        <v/>
      </c>
      <c r="O158" s="524" t="str">
        <f>IF(E158="","",IF(ISNA(VLOOKUP($E158,'A-1 Site Habitat Baseline'!$D$1:$X$258,16,FALSE)),"",(VLOOKUP($E158,'A-1 Site Habitat Baseline'!$D$1:$X$258,13,FALSE))))</f>
        <v/>
      </c>
      <c r="P158" s="237" t="str">
        <f>IFERROR(INDEX('G-1 All Habitats'!$AG$3:$AG$15,MATCH(Q158,'G-1 All Habitats'!$AF$3:$AF$15,0)),"")</f>
        <v/>
      </c>
      <c r="Q158" s="238" t="str">
        <f t="shared" si="25"/>
        <v/>
      </c>
      <c r="R158" s="238" t="str">
        <f t="shared" si="26"/>
        <v/>
      </c>
      <c r="S158" s="392" t="str">
        <f>IFERROR(INDEX('G-1 All Habitats'!$B$3:$B$129,MATCH(R158,'G-1 All Habitats'!$A$3:$A$129,0)),"")</f>
        <v/>
      </c>
      <c r="T158" s="498" t="str">
        <f t="shared" si="27"/>
        <v/>
      </c>
      <c r="U158" s="499" t="str">
        <f t="shared" si="28"/>
        <v/>
      </c>
      <c r="V158" s="537" t="str">
        <f t="shared" si="22"/>
        <v/>
      </c>
      <c r="W158" s="520" t="str">
        <f>IF(S158="","",VLOOKUP(S158,'G-1 All Habitats'!$B$2:$M$129,10,FALSE))</f>
        <v/>
      </c>
      <c r="X158" s="520" t="str">
        <f>IFERROR(VLOOKUP(W158,'G-1 All Habitats'!$V$3:$W$7,2,FALSE),"")</f>
        <v/>
      </c>
      <c r="Y158" s="79"/>
      <c r="Z158" s="524" t="str">
        <f>IFERROR(INDEX('G-8 Condition Look up'!$A$3:$H$130,MATCH(S158,'G-8 Condition Look up'!$A$3:$A$130,0),MATCH(Y158,'G-8 Condition Look up'!$A$3:$H$3,0)),"")</f>
        <v/>
      </c>
      <c r="AA158" s="71"/>
      <c r="AB158" s="520" t="str">
        <f>IF(AA158="","",IF(VLOOKUP(AA158,'G-3 Multipliers'!$L$3:$N$6,2,FALSE)=0,"Spatial Data Missing ⚠",VLOOKUP(AA158,'G-3 Multipliers'!$L$3:$N$6,2,FALSE)))</f>
        <v/>
      </c>
      <c r="AC158" s="524" t="str">
        <f>IF(AA158="","",IF(VLOOKUP(AA158,'G-3 Multipliers'!$L$3:$N$6,3,FALSE)=0,"Spatial Data Missing ⚠",VLOOKUP(AA158,'G-3 Multipliers'!$L$3:$N$6,3,FALSE)))</f>
        <v/>
      </c>
      <c r="AD158" s="539" t="str">
        <f t="shared" si="23"/>
        <v/>
      </c>
      <c r="AE158" s="82"/>
      <c r="AF158" s="82"/>
      <c r="AG158" s="507" t="str">
        <f t="shared" si="29"/>
        <v/>
      </c>
      <c r="AH158" s="521" t="str">
        <f t="shared" si="30"/>
        <v/>
      </c>
      <c r="AI158" s="522" t="str">
        <f>IF(AH158="Check Data","Check Data",IFERROR(VLOOKUP(AH158,'G-4 Temporal multipliers'!$A$4:$C$36,3,FALSE),""))</f>
        <v/>
      </c>
      <c r="AJ158" s="498" t="str">
        <f>IF(S158="","",VLOOKUP(S158,'G-3 Multipliers'!$A$2:$E$129,4,FALSE))</f>
        <v/>
      </c>
      <c r="AK158" s="507" t="str">
        <f t="shared" si="31"/>
        <v/>
      </c>
      <c r="AL158" s="507" t="str">
        <f t="shared" si="32"/>
        <v/>
      </c>
      <c r="AM158" s="540" t="str">
        <f>IFERROR(IF(F158="","",IF(AH158="Check Data ⚠","Check Data ⚠",VLOOKUP(AL158, 'G-3 Multipliers'!$P$2:$Q$6,2,FALSE))),"")</f>
        <v/>
      </c>
      <c r="AN158" s="513" t="str">
        <f t="shared" si="24"/>
        <v/>
      </c>
      <c r="AO158" s="239"/>
      <c r="AP158" s="240"/>
    </row>
    <row r="159" spans="1:42" x14ac:dyDescent="0.3">
      <c r="A159" s="47" t="str">
        <f>IF(E159="","",IF(ISNA(VLOOKUP($E159,'A-1 Site Habitat Baseline'!$D$1:$O$258,2,FALSE)),"",(VLOOKUP($E159,'A-1 Site Habitat Baseline'!$D$1:$O$258,2,FALSE))))</f>
        <v/>
      </c>
      <c r="B159" s="47" t="str">
        <f>IF(E159="","",IF(ISNA(VLOOKUP($E159,'A-1 Site Habitat Baseline'!$D$1:$O$258,3,FALSE)),"",(VLOOKUP($E159,'A-1 Site Habitat Baseline'!$D$1:$O$258,3,FALSE))))</f>
        <v/>
      </c>
      <c r="C159" s="47" t="str">
        <f>IFERROR(INDEX('G-8 Condition Look up'!$I$4:$I$130,MATCH(S159,'G-8 Condition Look up'!$A$4:$A$130,0)),"")</f>
        <v/>
      </c>
      <c r="E159" s="531" t="str">
        <f>'A-1 Site Habitat Baseline'!AL158</f>
        <v/>
      </c>
      <c r="F159" s="520" t="str">
        <f>IF(E159="","",IF(ISNA(VLOOKUP($E159,'A-1 Site Habitat Baseline'!$D$1:$O$258,4,FALSE)),"",(VLOOKUP($E159,'A-1 Site Habitat Baseline'!$D$1:$O$258,4,FALSE))))</f>
        <v/>
      </c>
      <c r="G159" s="520" t="str">
        <f>IF(E159="","",IF(ISNA(VLOOKUP($E159,'A-1 Site Habitat Baseline'!$D$1:$O$258,5,FALSE)),"",(VLOOKUP($E159,'A-1 Site Habitat Baseline'!$D$1:$O$258,5,FALSE))))</f>
        <v/>
      </c>
      <c r="H159" s="520" t="str">
        <f>IF(E159="","",IF(ISNA(VLOOKUP($E159,'A-1 Site Habitat Baseline'!$D$1:$O$258,6,FALSE)),"",(VLOOKUP($E159,'A-1 Site Habitat Baseline'!$D$1:$O$258,6,FALSE))))</f>
        <v/>
      </c>
      <c r="I159" s="520" t="str">
        <f>IF(E159="","",IF(ISNA(VLOOKUP($E159,'A-1 Site Habitat Baseline'!$D$1:$O$258,7,FALSE)),"",(VLOOKUP($E159,'A-1 Site Habitat Baseline'!$D$1:$O$258,7,FALSE))))</f>
        <v/>
      </c>
      <c r="J159" s="520" t="str">
        <f>IF(E159="","",IF(ISNA(VLOOKUP($E159,'A-1 Site Habitat Baseline'!$D$1:$O$258,8,FALSE)),"",(VLOOKUP($E159,'A-1 Site Habitat Baseline'!$D$1:$O$258,8,FALSE))))</f>
        <v/>
      </c>
      <c r="K159" s="520" t="str">
        <f>IF(E159="","",IF(ISNA(VLOOKUP($E159,'A-1 Site Habitat Baseline'!$D$1:$O$258,9,FALSE)),"",(VLOOKUP($E159,'A-1 Site Habitat Baseline'!$D$1:$O$258,9,FALSE))))</f>
        <v/>
      </c>
      <c r="L159" s="520" t="str">
        <f>IF(E159="","",IF(ISNA(VLOOKUP($E159,'A-1 Site Habitat Baseline'!$D$1:$O$258,11,FALSE)),"",(VLOOKUP($E159,'A-1 Site Habitat Baseline'!$D$1:$O$258,11,FALSE))))</f>
        <v/>
      </c>
      <c r="M159" s="520" t="str">
        <f>IF(E159="","",IF(ISNA(VLOOKUP($E159,'A-1 Site Habitat Baseline'!$D$1:$O$258,12,FALSE)),"",(VLOOKUP($E159,'A-1 Site Habitat Baseline'!$D$1:$O$258,12,FALSE))))</f>
        <v/>
      </c>
      <c r="N159" s="532" t="str">
        <f>IF(E159="","",IF(ISNA(VLOOKUP($E159,'A-1 Site Habitat Baseline'!$D$1:$X$258,14,FALSE)),"",(VLOOKUP($E159,'A-1 Site Habitat Baseline'!$D$1:$X$258,14,FALSE))))</f>
        <v/>
      </c>
      <c r="O159" s="524" t="str">
        <f>IF(E159="","",IF(ISNA(VLOOKUP($E159,'A-1 Site Habitat Baseline'!$D$1:$X$258,16,FALSE)),"",(VLOOKUP($E159,'A-1 Site Habitat Baseline'!$D$1:$X$258,13,FALSE))))</f>
        <v/>
      </c>
      <c r="P159" s="237" t="str">
        <f>IFERROR(INDEX('G-1 All Habitats'!$AG$3:$AG$15,MATCH(Q159,'G-1 All Habitats'!$AF$3:$AF$15,0)),"")</f>
        <v/>
      </c>
      <c r="Q159" s="238" t="str">
        <f t="shared" si="25"/>
        <v/>
      </c>
      <c r="R159" s="238" t="str">
        <f t="shared" si="26"/>
        <v/>
      </c>
      <c r="S159" s="392" t="str">
        <f>IFERROR(INDEX('G-1 All Habitats'!$B$3:$B$129,MATCH(R159,'G-1 All Habitats'!$A$3:$A$129,0)),"")</f>
        <v/>
      </c>
      <c r="T159" s="498" t="str">
        <f t="shared" si="27"/>
        <v/>
      </c>
      <c r="U159" s="499" t="str">
        <f t="shared" si="28"/>
        <v/>
      </c>
      <c r="V159" s="537" t="str">
        <f t="shared" si="22"/>
        <v/>
      </c>
      <c r="W159" s="520" t="str">
        <f>IF(S159="","",VLOOKUP(S159,'G-1 All Habitats'!$B$2:$M$129,10,FALSE))</f>
        <v/>
      </c>
      <c r="X159" s="520" t="str">
        <f>IFERROR(VLOOKUP(W159,'G-1 All Habitats'!$V$3:$W$7,2,FALSE),"")</f>
        <v/>
      </c>
      <c r="Y159" s="79"/>
      <c r="Z159" s="524" t="str">
        <f>IFERROR(INDEX('G-8 Condition Look up'!$A$3:$H$130,MATCH(S159,'G-8 Condition Look up'!$A$3:$A$130,0),MATCH(Y159,'G-8 Condition Look up'!$A$3:$H$3,0)),"")</f>
        <v/>
      </c>
      <c r="AA159" s="71"/>
      <c r="AB159" s="520" t="str">
        <f>IF(AA159="","",IF(VLOOKUP(AA159,'G-3 Multipliers'!$L$3:$N$6,2,FALSE)=0,"Spatial Data Missing ⚠",VLOOKUP(AA159,'G-3 Multipliers'!$L$3:$N$6,2,FALSE)))</f>
        <v/>
      </c>
      <c r="AC159" s="524" t="str">
        <f>IF(AA159="","",IF(VLOOKUP(AA159,'G-3 Multipliers'!$L$3:$N$6,3,FALSE)=0,"Spatial Data Missing ⚠",VLOOKUP(AA159,'G-3 Multipliers'!$L$3:$N$6,3,FALSE)))</f>
        <v/>
      </c>
      <c r="AD159" s="539" t="str">
        <f t="shared" si="23"/>
        <v/>
      </c>
      <c r="AE159" s="82"/>
      <c r="AF159" s="82"/>
      <c r="AG159" s="507" t="str">
        <f t="shared" si="29"/>
        <v/>
      </c>
      <c r="AH159" s="521" t="str">
        <f t="shared" si="30"/>
        <v/>
      </c>
      <c r="AI159" s="522" t="str">
        <f>IF(AH159="Check Data","Check Data",IFERROR(VLOOKUP(AH159,'G-4 Temporal multipliers'!$A$4:$C$36,3,FALSE),""))</f>
        <v/>
      </c>
      <c r="AJ159" s="498" t="str">
        <f>IF(S159="","",VLOOKUP(S159,'G-3 Multipliers'!$A$2:$E$129,4,FALSE))</f>
        <v/>
      </c>
      <c r="AK159" s="507" t="str">
        <f t="shared" si="31"/>
        <v/>
      </c>
      <c r="AL159" s="507" t="str">
        <f t="shared" si="32"/>
        <v/>
      </c>
      <c r="AM159" s="540" t="str">
        <f>IFERROR(IF(F159="","",IF(AH159="Check Data ⚠","Check Data ⚠",VLOOKUP(AL159, 'G-3 Multipliers'!$P$2:$Q$6,2,FALSE))),"")</f>
        <v/>
      </c>
      <c r="AN159" s="513" t="str">
        <f t="shared" si="24"/>
        <v/>
      </c>
      <c r="AO159" s="239"/>
      <c r="AP159" s="240"/>
    </row>
    <row r="160" spans="1:42" x14ac:dyDescent="0.3">
      <c r="A160" s="47" t="str">
        <f>IF(E160="","",IF(ISNA(VLOOKUP($E160,'A-1 Site Habitat Baseline'!$D$1:$O$258,2,FALSE)),"",(VLOOKUP($E160,'A-1 Site Habitat Baseline'!$D$1:$O$258,2,FALSE))))</f>
        <v/>
      </c>
      <c r="B160" s="47" t="str">
        <f>IF(E160="","",IF(ISNA(VLOOKUP($E160,'A-1 Site Habitat Baseline'!$D$1:$O$258,3,FALSE)),"",(VLOOKUP($E160,'A-1 Site Habitat Baseline'!$D$1:$O$258,3,FALSE))))</f>
        <v/>
      </c>
      <c r="C160" s="47" t="str">
        <f>IFERROR(INDEX('G-8 Condition Look up'!$I$4:$I$130,MATCH(S160,'G-8 Condition Look up'!$A$4:$A$130,0)),"")</f>
        <v/>
      </c>
      <c r="E160" s="531" t="str">
        <f>'A-1 Site Habitat Baseline'!AL159</f>
        <v/>
      </c>
      <c r="F160" s="520" t="str">
        <f>IF(E160="","",IF(ISNA(VLOOKUP($E160,'A-1 Site Habitat Baseline'!$D$1:$O$258,4,FALSE)),"",(VLOOKUP($E160,'A-1 Site Habitat Baseline'!$D$1:$O$258,4,FALSE))))</f>
        <v/>
      </c>
      <c r="G160" s="520" t="str">
        <f>IF(E160="","",IF(ISNA(VLOOKUP($E160,'A-1 Site Habitat Baseline'!$D$1:$O$258,5,FALSE)),"",(VLOOKUP($E160,'A-1 Site Habitat Baseline'!$D$1:$O$258,5,FALSE))))</f>
        <v/>
      </c>
      <c r="H160" s="520" t="str">
        <f>IF(E160="","",IF(ISNA(VLOOKUP($E160,'A-1 Site Habitat Baseline'!$D$1:$O$258,6,FALSE)),"",(VLOOKUP($E160,'A-1 Site Habitat Baseline'!$D$1:$O$258,6,FALSE))))</f>
        <v/>
      </c>
      <c r="I160" s="520" t="str">
        <f>IF(E160="","",IF(ISNA(VLOOKUP($E160,'A-1 Site Habitat Baseline'!$D$1:$O$258,7,FALSE)),"",(VLOOKUP($E160,'A-1 Site Habitat Baseline'!$D$1:$O$258,7,FALSE))))</f>
        <v/>
      </c>
      <c r="J160" s="520" t="str">
        <f>IF(E160="","",IF(ISNA(VLOOKUP($E160,'A-1 Site Habitat Baseline'!$D$1:$O$258,8,FALSE)),"",(VLOOKUP($E160,'A-1 Site Habitat Baseline'!$D$1:$O$258,8,FALSE))))</f>
        <v/>
      </c>
      <c r="K160" s="520" t="str">
        <f>IF(E160="","",IF(ISNA(VLOOKUP($E160,'A-1 Site Habitat Baseline'!$D$1:$O$258,9,FALSE)),"",(VLOOKUP($E160,'A-1 Site Habitat Baseline'!$D$1:$O$258,9,FALSE))))</f>
        <v/>
      </c>
      <c r="L160" s="520" t="str">
        <f>IF(E160="","",IF(ISNA(VLOOKUP($E160,'A-1 Site Habitat Baseline'!$D$1:$O$258,11,FALSE)),"",(VLOOKUP($E160,'A-1 Site Habitat Baseline'!$D$1:$O$258,11,FALSE))))</f>
        <v/>
      </c>
      <c r="M160" s="520" t="str">
        <f>IF(E160="","",IF(ISNA(VLOOKUP($E160,'A-1 Site Habitat Baseline'!$D$1:$O$258,12,FALSE)),"",(VLOOKUP($E160,'A-1 Site Habitat Baseline'!$D$1:$O$258,12,FALSE))))</f>
        <v/>
      </c>
      <c r="N160" s="532" t="str">
        <f>IF(E160="","",IF(ISNA(VLOOKUP($E160,'A-1 Site Habitat Baseline'!$D$1:$X$258,14,FALSE)),"",(VLOOKUP($E160,'A-1 Site Habitat Baseline'!$D$1:$X$258,14,FALSE))))</f>
        <v/>
      </c>
      <c r="O160" s="524" t="str">
        <f>IF(E160="","",IF(ISNA(VLOOKUP($E160,'A-1 Site Habitat Baseline'!$D$1:$X$258,16,FALSE)),"",(VLOOKUP($E160,'A-1 Site Habitat Baseline'!$D$1:$X$258,13,FALSE))))</f>
        <v/>
      </c>
      <c r="P160" s="237" t="str">
        <f>IFERROR(INDEX('G-1 All Habitats'!$AG$3:$AG$15,MATCH(Q160,'G-1 All Habitats'!$AF$3:$AF$15,0)),"")</f>
        <v/>
      </c>
      <c r="Q160" s="238" t="str">
        <f t="shared" si="25"/>
        <v/>
      </c>
      <c r="R160" s="238" t="str">
        <f t="shared" si="26"/>
        <v/>
      </c>
      <c r="S160" s="392" t="str">
        <f>IFERROR(INDEX('G-1 All Habitats'!$B$3:$B$129,MATCH(R160,'G-1 All Habitats'!$A$3:$A$129,0)),"")</f>
        <v/>
      </c>
      <c r="T160" s="498" t="str">
        <f t="shared" si="27"/>
        <v/>
      </c>
      <c r="U160" s="499" t="str">
        <f t="shared" si="28"/>
        <v/>
      </c>
      <c r="V160" s="537" t="str">
        <f t="shared" si="22"/>
        <v/>
      </c>
      <c r="W160" s="520" t="str">
        <f>IF(S160="","",VLOOKUP(S160,'G-1 All Habitats'!$B$2:$M$129,10,FALSE))</f>
        <v/>
      </c>
      <c r="X160" s="520" t="str">
        <f>IFERROR(VLOOKUP(W160,'G-1 All Habitats'!$V$3:$W$7,2,FALSE),"")</f>
        <v/>
      </c>
      <c r="Y160" s="79"/>
      <c r="Z160" s="524" t="str">
        <f>IFERROR(INDEX('G-8 Condition Look up'!$A$3:$H$130,MATCH(S160,'G-8 Condition Look up'!$A$3:$A$130,0),MATCH(Y160,'G-8 Condition Look up'!$A$3:$H$3,0)),"")</f>
        <v/>
      </c>
      <c r="AA160" s="71"/>
      <c r="AB160" s="520" t="str">
        <f>IF(AA160="","",IF(VLOOKUP(AA160,'G-3 Multipliers'!$L$3:$N$6,2,FALSE)=0,"Spatial Data Missing ⚠",VLOOKUP(AA160,'G-3 Multipliers'!$L$3:$N$6,2,FALSE)))</f>
        <v/>
      </c>
      <c r="AC160" s="524" t="str">
        <f>IF(AA160="","",IF(VLOOKUP(AA160,'G-3 Multipliers'!$L$3:$N$6,3,FALSE)=0,"Spatial Data Missing ⚠",VLOOKUP(AA160,'G-3 Multipliers'!$L$3:$N$6,3,FALSE)))</f>
        <v/>
      </c>
      <c r="AD160" s="539" t="str">
        <f t="shared" si="23"/>
        <v/>
      </c>
      <c r="AE160" s="82"/>
      <c r="AF160" s="82"/>
      <c r="AG160" s="507" t="str">
        <f t="shared" si="29"/>
        <v/>
      </c>
      <c r="AH160" s="521" t="str">
        <f t="shared" si="30"/>
        <v/>
      </c>
      <c r="AI160" s="522" t="str">
        <f>IF(AH160="Check Data","Check Data",IFERROR(VLOOKUP(AH160,'G-4 Temporal multipliers'!$A$4:$C$36,3,FALSE),""))</f>
        <v/>
      </c>
      <c r="AJ160" s="498" t="str">
        <f>IF(S160="","",VLOOKUP(S160,'G-3 Multipliers'!$A$2:$E$129,4,FALSE))</f>
        <v/>
      </c>
      <c r="AK160" s="507" t="str">
        <f t="shared" si="31"/>
        <v/>
      </c>
      <c r="AL160" s="507" t="str">
        <f t="shared" si="32"/>
        <v/>
      </c>
      <c r="AM160" s="540" t="str">
        <f>IFERROR(IF(F160="","",IF(AH160="Check Data ⚠","Check Data ⚠",VLOOKUP(AL160, 'G-3 Multipliers'!$P$2:$Q$6,2,FALSE))),"")</f>
        <v/>
      </c>
      <c r="AN160" s="513" t="str">
        <f t="shared" si="24"/>
        <v/>
      </c>
      <c r="AO160" s="239"/>
      <c r="AP160" s="240"/>
    </row>
    <row r="161" spans="1:42" x14ac:dyDescent="0.3">
      <c r="A161" s="47" t="str">
        <f>IF(E161="","",IF(ISNA(VLOOKUP($E161,'A-1 Site Habitat Baseline'!$D$1:$O$258,2,FALSE)),"",(VLOOKUP($E161,'A-1 Site Habitat Baseline'!$D$1:$O$258,2,FALSE))))</f>
        <v/>
      </c>
      <c r="B161" s="47" t="str">
        <f>IF(E161="","",IF(ISNA(VLOOKUP($E161,'A-1 Site Habitat Baseline'!$D$1:$O$258,3,FALSE)),"",(VLOOKUP($E161,'A-1 Site Habitat Baseline'!$D$1:$O$258,3,FALSE))))</f>
        <v/>
      </c>
      <c r="C161" s="47" t="str">
        <f>IFERROR(INDEX('G-8 Condition Look up'!$I$4:$I$130,MATCH(S161,'G-8 Condition Look up'!$A$4:$A$130,0)),"")</f>
        <v/>
      </c>
      <c r="E161" s="531" t="str">
        <f>'A-1 Site Habitat Baseline'!AL160</f>
        <v/>
      </c>
      <c r="F161" s="520" t="str">
        <f>IF(E161="","",IF(ISNA(VLOOKUP($E161,'A-1 Site Habitat Baseline'!$D$1:$O$258,4,FALSE)),"",(VLOOKUP($E161,'A-1 Site Habitat Baseline'!$D$1:$O$258,4,FALSE))))</f>
        <v/>
      </c>
      <c r="G161" s="520" t="str">
        <f>IF(E161="","",IF(ISNA(VLOOKUP($E161,'A-1 Site Habitat Baseline'!$D$1:$O$258,5,FALSE)),"",(VLOOKUP($E161,'A-1 Site Habitat Baseline'!$D$1:$O$258,5,FALSE))))</f>
        <v/>
      </c>
      <c r="H161" s="520" t="str">
        <f>IF(E161="","",IF(ISNA(VLOOKUP($E161,'A-1 Site Habitat Baseline'!$D$1:$O$258,6,FALSE)),"",(VLOOKUP($E161,'A-1 Site Habitat Baseline'!$D$1:$O$258,6,FALSE))))</f>
        <v/>
      </c>
      <c r="I161" s="520" t="str">
        <f>IF(E161="","",IF(ISNA(VLOOKUP($E161,'A-1 Site Habitat Baseline'!$D$1:$O$258,7,FALSE)),"",(VLOOKUP($E161,'A-1 Site Habitat Baseline'!$D$1:$O$258,7,FALSE))))</f>
        <v/>
      </c>
      <c r="J161" s="520" t="str">
        <f>IF(E161="","",IF(ISNA(VLOOKUP($E161,'A-1 Site Habitat Baseline'!$D$1:$O$258,8,FALSE)),"",(VLOOKUP($E161,'A-1 Site Habitat Baseline'!$D$1:$O$258,8,FALSE))))</f>
        <v/>
      </c>
      <c r="K161" s="520" t="str">
        <f>IF(E161="","",IF(ISNA(VLOOKUP($E161,'A-1 Site Habitat Baseline'!$D$1:$O$258,9,FALSE)),"",(VLOOKUP($E161,'A-1 Site Habitat Baseline'!$D$1:$O$258,9,FALSE))))</f>
        <v/>
      </c>
      <c r="L161" s="520" t="str">
        <f>IF(E161="","",IF(ISNA(VLOOKUP($E161,'A-1 Site Habitat Baseline'!$D$1:$O$258,11,FALSE)),"",(VLOOKUP($E161,'A-1 Site Habitat Baseline'!$D$1:$O$258,11,FALSE))))</f>
        <v/>
      </c>
      <c r="M161" s="520" t="str">
        <f>IF(E161="","",IF(ISNA(VLOOKUP($E161,'A-1 Site Habitat Baseline'!$D$1:$O$258,12,FALSE)),"",(VLOOKUP($E161,'A-1 Site Habitat Baseline'!$D$1:$O$258,12,FALSE))))</f>
        <v/>
      </c>
      <c r="N161" s="532" t="str">
        <f>IF(E161="","",IF(ISNA(VLOOKUP($E161,'A-1 Site Habitat Baseline'!$D$1:$X$258,14,FALSE)),"",(VLOOKUP($E161,'A-1 Site Habitat Baseline'!$D$1:$X$258,14,FALSE))))</f>
        <v/>
      </c>
      <c r="O161" s="524" t="str">
        <f>IF(E161="","",IF(ISNA(VLOOKUP($E161,'A-1 Site Habitat Baseline'!$D$1:$X$258,16,FALSE)),"",(VLOOKUP($E161,'A-1 Site Habitat Baseline'!$D$1:$X$258,13,FALSE))))</f>
        <v/>
      </c>
      <c r="P161" s="237" t="str">
        <f>IFERROR(INDEX('G-1 All Habitats'!$AG$3:$AG$15,MATCH(Q161,'G-1 All Habitats'!$AF$3:$AF$15,0)),"")</f>
        <v/>
      </c>
      <c r="Q161" s="238" t="str">
        <f t="shared" si="25"/>
        <v/>
      </c>
      <c r="R161" s="238" t="str">
        <f t="shared" si="26"/>
        <v/>
      </c>
      <c r="S161" s="392" t="str">
        <f>IFERROR(INDEX('G-1 All Habitats'!$B$3:$B$129,MATCH(R161,'G-1 All Habitats'!$A$3:$A$129,0)),"")</f>
        <v/>
      </c>
      <c r="T161" s="498" t="str">
        <f t="shared" si="27"/>
        <v/>
      </c>
      <c r="U161" s="499" t="str">
        <f t="shared" si="28"/>
        <v/>
      </c>
      <c r="V161" s="537" t="str">
        <f t="shared" si="22"/>
        <v/>
      </c>
      <c r="W161" s="520" t="str">
        <f>IF(S161="","",VLOOKUP(S161,'G-1 All Habitats'!$B$2:$M$129,10,FALSE))</f>
        <v/>
      </c>
      <c r="X161" s="520" t="str">
        <f>IFERROR(VLOOKUP(W161,'G-1 All Habitats'!$V$3:$W$7,2,FALSE),"")</f>
        <v/>
      </c>
      <c r="Y161" s="79"/>
      <c r="Z161" s="524" t="str">
        <f>IFERROR(INDEX('G-8 Condition Look up'!$A$3:$H$130,MATCH(S161,'G-8 Condition Look up'!$A$3:$A$130,0),MATCH(Y161,'G-8 Condition Look up'!$A$3:$H$3,0)),"")</f>
        <v/>
      </c>
      <c r="AA161" s="71"/>
      <c r="AB161" s="520" t="str">
        <f>IF(AA161="","",IF(VLOOKUP(AA161,'G-3 Multipliers'!$L$3:$N$6,2,FALSE)=0,"Spatial Data Missing ⚠",VLOOKUP(AA161,'G-3 Multipliers'!$L$3:$N$6,2,FALSE)))</f>
        <v/>
      </c>
      <c r="AC161" s="524" t="str">
        <f>IF(AA161="","",IF(VLOOKUP(AA161,'G-3 Multipliers'!$L$3:$N$6,3,FALSE)=0,"Spatial Data Missing ⚠",VLOOKUP(AA161,'G-3 Multipliers'!$L$3:$N$6,3,FALSE)))</f>
        <v/>
      </c>
      <c r="AD161" s="539" t="str">
        <f t="shared" si="23"/>
        <v/>
      </c>
      <c r="AE161" s="82"/>
      <c r="AF161" s="82"/>
      <c r="AG161" s="507" t="str">
        <f t="shared" si="29"/>
        <v/>
      </c>
      <c r="AH161" s="521" t="str">
        <f t="shared" si="30"/>
        <v/>
      </c>
      <c r="AI161" s="522" t="str">
        <f>IF(AH161="Check Data","Check Data",IFERROR(VLOOKUP(AH161,'G-4 Temporal multipliers'!$A$4:$C$36,3,FALSE),""))</f>
        <v/>
      </c>
      <c r="AJ161" s="498" t="str">
        <f>IF(S161="","",VLOOKUP(S161,'G-3 Multipliers'!$A$2:$E$129,4,FALSE))</f>
        <v/>
      </c>
      <c r="AK161" s="507" t="str">
        <f t="shared" si="31"/>
        <v/>
      </c>
      <c r="AL161" s="507" t="str">
        <f t="shared" si="32"/>
        <v/>
      </c>
      <c r="AM161" s="540" t="str">
        <f>IFERROR(IF(F161="","",IF(AH161="Check Data ⚠","Check Data ⚠",VLOOKUP(AL161, 'G-3 Multipliers'!$P$2:$Q$6,2,FALSE))),"")</f>
        <v/>
      </c>
      <c r="AN161" s="513" t="str">
        <f t="shared" si="24"/>
        <v/>
      </c>
      <c r="AO161" s="239"/>
      <c r="AP161" s="240"/>
    </row>
    <row r="162" spans="1:42" x14ac:dyDescent="0.3">
      <c r="A162" s="47" t="str">
        <f>IF(E162="","",IF(ISNA(VLOOKUP($E162,'A-1 Site Habitat Baseline'!$D$1:$O$258,2,FALSE)),"",(VLOOKUP($E162,'A-1 Site Habitat Baseline'!$D$1:$O$258,2,FALSE))))</f>
        <v/>
      </c>
      <c r="B162" s="47" t="str">
        <f>IF(E162="","",IF(ISNA(VLOOKUP($E162,'A-1 Site Habitat Baseline'!$D$1:$O$258,3,FALSE)),"",(VLOOKUP($E162,'A-1 Site Habitat Baseline'!$D$1:$O$258,3,FALSE))))</f>
        <v/>
      </c>
      <c r="C162" s="47" t="str">
        <f>IFERROR(INDEX('G-8 Condition Look up'!$I$4:$I$130,MATCH(S162,'G-8 Condition Look up'!$A$4:$A$130,0)),"")</f>
        <v/>
      </c>
      <c r="E162" s="531" t="str">
        <f>'A-1 Site Habitat Baseline'!AL161</f>
        <v/>
      </c>
      <c r="F162" s="520" t="str">
        <f>IF(E162="","",IF(ISNA(VLOOKUP($E162,'A-1 Site Habitat Baseline'!$D$1:$O$258,4,FALSE)),"",(VLOOKUP($E162,'A-1 Site Habitat Baseline'!$D$1:$O$258,4,FALSE))))</f>
        <v/>
      </c>
      <c r="G162" s="520" t="str">
        <f>IF(E162="","",IF(ISNA(VLOOKUP($E162,'A-1 Site Habitat Baseline'!$D$1:$O$258,5,FALSE)),"",(VLOOKUP($E162,'A-1 Site Habitat Baseline'!$D$1:$O$258,5,FALSE))))</f>
        <v/>
      </c>
      <c r="H162" s="520" t="str">
        <f>IF(E162="","",IF(ISNA(VLOOKUP($E162,'A-1 Site Habitat Baseline'!$D$1:$O$258,6,FALSE)),"",(VLOOKUP($E162,'A-1 Site Habitat Baseline'!$D$1:$O$258,6,FALSE))))</f>
        <v/>
      </c>
      <c r="I162" s="520" t="str">
        <f>IF(E162="","",IF(ISNA(VLOOKUP($E162,'A-1 Site Habitat Baseline'!$D$1:$O$258,7,FALSE)),"",(VLOOKUP($E162,'A-1 Site Habitat Baseline'!$D$1:$O$258,7,FALSE))))</f>
        <v/>
      </c>
      <c r="J162" s="520" t="str">
        <f>IF(E162="","",IF(ISNA(VLOOKUP($E162,'A-1 Site Habitat Baseline'!$D$1:$O$258,8,FALSE)),"",(VLOOKUP($E162,'A-1 Site Habitat Baseline'!$D$1:$O$258,8,FALSE))))</f>
        <v/>
      </c>
      <c r="K162" s="520" t="str">
        <f>IF(E162="","",IF(ISNA(VLOOKUP($E162,'A-1 Site Habitat Baseline'!$D$1:$O$258,9,FALSE)),"",(VLOOKUP($E162,'A-1 Site Habitat Baseline'!$D$1:$O$258,9,FALSE))))</f>
        <v/>
      </c>
      <c r="L162" s="520" t="str">
        <f>IF(E162="","",IF(ISNA(VLOOKUP($E162,'A-1 Site Habitat Baseline'!$D$1:$O$258,11,FALSE)),"",(VLOOKUP($E162,'A-1 Site Habitat Baseline'!$D$1:$O$258,11,FALSE))))</f>
        <v/>
      </c>
      <c r="M162" s="520" t="str">
        <f>IF(E162="","",IF(ISNA(VLOOKUP($E162,'A-1 Site Habitat Baseline'!$D$1:$O$258,12,FALSE)),"",(VLOOKUP($E162,'A-1 Site Habitat Baseline'!$D$1:$O$258,12,FALSE))))</f>
        <v/>
      </c>
      <c r="N162" s="532" t="str">
        <f>IF(E162="","",IF(ISNA(VLOOKUP($E162,'A-1 Site Habitat Baseline'!$D$1:$X$258,14,FALSE)),"",(VLOOKUP($E162,'A-1 Site Habitat Baseline'!$D$1:$X$258,14,FALSE))))</f>
        <v/>
      </c>
      <c r="O162" s="524" t="str">
        <f>IF(E162="","",IF(ISNA(VLOOKUP($E162,'A-1 Site Habitat Baseline'!$D$1:$X$258,16,FALSE)),"",(VLOOKUP($E162,'A-1 Site Habitat Baseline'!$D$1:$X$258,13,FALSE))))</f>
        <v/>
      </c>
      <c r="P162" s="237" t="str">
        <f>IFERROR(INDEX('G-1 All Habitats'!$AG$3:$AG$15,MATCH(Q162,'G-1 All Habitats'!$AF$3:$AF$15,0)),"")</f>
        <v/>
      </c>
      <c r="Q162" s="238" t="str">
        <f t="shared" si="25"/>
        <v/>
      </c>
      <c r="R162" s="238" t="str">
        <f t="shared" si="26"/>
        <v/>
      </c>
      <c r="S162" s="392" t="str">
        <f>IFERROR(INDEX('G-1 All Habitats'!$B$3:$B$129,MATCH(R162,'G-1 All Habitats'!$A$3:$A$129,0)),"")</f>
        <v/>
      </c>
      <c r="T162" s="498" t="str">
        <f t="shared" si="27"/>
        <v/>
      </c>
      <c r="U162" s="499" t="str">
        <f t="shared" si="28"/>
        <v/>
      </c>
      <c r="V162" s="537" t="str">
        <f t="shared" si="22"/>
        <v/>
      </c>
      <c r="W162" s="520" t="str">
        <f>IF(S162="","",VLOOKUP(S162,'G-1 All Habitats'!$B$2:$M$129,10,FALSE))</f>
        <v/>
      </c>
      <c r="X162" s="520" t="str">
        <f>IFERROR(VLOOKUP(W162,'G-1 All Habitats'!$V$3:$W$7,2,FALSE),"")</f>
        <v/>
      </c>
      <c r="Y162" s="79"/>
      <c r="Z162" s="524" t="str">
        <f>IFERROR(INDEX('G-8 Condition Look up'!$A$3:$H$130,MATCH(S162,'G-8 Condition Look up'!$A$3:$A$130,0),MATCH(Y162,'G-8 Condition Look up'!$A$3:$H$3,0)),"")</f>
        <v/>
      </c>
      <c r="AA162" s="71"/>
      <c r="AB162" s="520" t="str">
        <f>IF(AA162="","",IF(VLOOKUP(AA162,'G-3 Multipliers'!$L$3:$N$6,2,FALSE)=0,"Spatial Data Missing ⚠",VLOOKUP(AA162,'G-3 Multipliers'!$L$3:$N$6,2,FALSE)))</f>
        <v/>
      </c>
      <c r="AC162" s="524" t="str">
        <f>IF(AA162="","",IF(VLOOKUP(AA162,'G-3 Multipliers'!$L$3:$N$6,3,FALSE)=0,"Spatial Data Missing ⚠",VLOOKUP(AA162,'G-3 Multipliers'!$L$3:$N$6,3,FALSE)))</f>
        <v/>
      </c>
      <c r="AD162" s="539" t="str">
        <f t="shared" si="23"/>
        <v/>
      </c>
      <c r="AE162" s="82"/>
      <c r="AF162" s="82"/>
      <c r="AG162" s="507" t="str">
        <f t="shared" si="29"/>
        <v/>
      </c>
      <c r="AH162" s="521" t="str">
        <f t="shared" si="30"/>
        <v/>
      </c>
      <c r="AI162" s="522" t="str">
        <f>IF(AH162="Check Data","Check Data",IFERROR(VLOOKUP(AH162,'G-4 Temporal multipliers'!$A$4:$C$36,3,FALSE),""))</f>
        <v/>
      </c>
      <c r="AJ162" s="498" t="str">
        <f>IF(S162="","",VLOOKUP(S162,'G-3 Multipliers'!$A$2:$E$129,4,FALSE))</f>
        <v/>
      </c>
      <c r="AK162" s="507" t="str">
        <f t="shared" si="31"/>
        <v/>
      </c>
      <c r="AL162" s="507" t="str">
        <f t="shared" si="32"/>
        <v/>
      </c>
      <c r="AM162" s="540" t="str">
        <f>IFERROR(IF(F162="","",IF(AH162="Check Data ⚠","Check Data ⚠",VLOOKUP(AL162, 'G-3 Multipliers'!$P$2:$Q$6,2,FALSE))),"")</f>
        <v/>
      </c>
      <c r="AN162" s="513" t="str">
        <f t="shared" si="24"/>
        <v/>
      </c>
      <c r="AO162" s="239"/>
      <c r="AP162" s="240"/>
    </row>
    <row r="163" spans="1:42" x14ac:dyDescent="0.3">
      <c r="A163" s="47" t="str">
        <f>IF(E163="","",IF(ISNA(VLOOKUP($E163,'A-1 Site Habitat Baseline'!$D$1:$O$258,2,FALSE)),"",(VLOOKUP($E163,'A-1 Site Habitat Baseline'!$D$1:$O$258,2,FALSE))))</f>
        <v/>
      </c>
      <c r="B163" s="47" t="str">
        <f>IF(E163="","",IF(ISNA(VLOOKUP($E163,'A-1 Site Habitat Baseline'!$D$1:$O$258,3,FALSE)),"",(VLOOKUP($E163,'A-1 Site Habitat Baseline'!$D$1:$O$258,3,FALSE))))</f>
        <v/>
      </c>
      <c r="C163" s="47" t="str">
        <f>IFERROR(INDEX('G-8 Condition Look up'!$I$4:$I$130,MATCH(S163,'G-8 Condition Look up'!$A$4:$A$130,0)),"")</f>
        <v/>
      </c>
      <c r="E163" s="531" t="str">
        <f>'A-1 Site Habitat Baseline'!AL162</f>
        <v/>
      </c>
      <c r="F163" s="520" t="str">
        <f>IF(E163="","",IF(ISNA(VLOOKUP($E163,'A-1 Site Habitat Baseline'!$D$1:$O$258,4,FALSE)),"",(VLOOKUP($E163,'A-1 Site Habitat Baseline'!$D$1:$O$258,4,FALSE))))</f>
        <v/>
      </c>
      <c r="G163" s="520" t="str">
        <f>IF(E163="","",IF(ISNA(VLOOKUP($E163,'A-1 Site Habitat Baseline'!$D$1:$O$258,5,FALSE)),"",(VLOOKUP($E163,'A-1 Site Habitat Baseline'!$D$1:$O$258,5,FALSE))))</f>
        <v/>
      </c>
      <c r="H163" s="520" t="str">
        <f>IF(E163="","",IF(ISNA(VLOOKUP($E163,'A-1 Site Habitat Baseline'!$D$1:$O$258,6,FALSE)),"",(VLOOKUP($E163,'A-1 Site Habitat Baseline'!$D$1:$O$258,6,FALSE))))</f>
        <v/>
      </c>
      <c r="I163" s="520" t="str">
        <f>IF(E163="","",IF(ISNA(VLOOKUP($E163,'A-1 Site Habitat Baseline'!$D$1:$O$258,7,FALSE)),"",(VLOOKUP($E163,'A-1 Site Habitat Baseline'!$D$1:$O$258,7,FALSE))))</f>
        <v/>
      </c>
      <c r="J163" s="520" t="str">
        <f>IF(E163="","",IF(ISNA(VLOOKUP($E163,'A-1 Site Habitat Baseline'!$D$1:$O$258,8,FALSE)),"",(VLOOKUP($E163,'A-1 Site Habitat Baseline'!$D$1:$O$258,8,FALSE))))</f>
        <v/>
      </c>
      <c r="K163" s="520" t="str">
        <f>IF(E163="","",IF(ISNA(VLOOKUP($E163,'A-1 Site Habitat Baseline'!$D$1:$O$258,9,FALSE)),"",(VLOOKUP($E163,'A-1 Site Habitat Baseline'!$D$1:$O$258,9,FALSE))))</f>
        <v/>
      </c>
      <c r="L163" s="520" t="str">
        <f>IF(E163="","",IF(ISNA(VLOOKUP($E163,'A-1 Site Habitat Baseline'!$D$1:$O$258,11,FALSE)),"",(VLOOKUP($E163,'A-1 Site Habitat Baseline'!$D$1:$O$258,11,FALSE))))</f>
        <v/>
      </c>
      <c r="M163" s="520" t="str">
        <f>IF(E163="","",IF(ISNA(VLOOKUP($E163,'A-1 Site Habitat Baseline'!$D$1:$O$258,12,FALSE)),"",(VLOOKUP($E163,'A-1 Site Habitat Baseline'!$D$1:$O$258,12,FALSE))))</f>
        <v/>
      </c>
      <c r="N163" s="532" t="str">
        <f>IF(E163="","",IF(ISNA(VLOOKUP($E163,'A-1 Site Habitat Baseline'!$D$1:$X$258,14,FALSE)),"",(VLOOKUP($E163,'A-1 Site Habitat Baseline'!$D$1:$X$258,14,FALSE))))</f>
        <v/>
      </c>
      <c r="O163" s="524" t="str">
        <f>IF(E163="","",IF(ISNA(VLOOKUP($E163,'A-1 Site Habitat Baseline'!$D$1:$X$258,16,FALSE)),"",(VLOOKUP($E163,'A-1 Site Habitat Baseline'!$D$1:$X$258,13,FALSE))))</f>
        <v/>
      </c>
      <c r="P163" s="237" t="str">
        <f>IFERROR(INDEX('G-1 All Habitats'!$AG$3:$AG$15,MATCH(Q163,'G-1 All Habitats'!$AF$3:$AF$15,0)),"")</f>
        <v/>
      </c>
      <c r="Q163" s="238" t="str">
        <f t="shared" si="25"/>
        <v/>
      </c>
      <c r="R163" s="238" t="str">
        <f t="shared" si="26"/>
        <v/>
      </c>
      <c r="S163" s="392" t="str">
        <f>IFERROR(INDEX('G-1 All Habitats'!$B$3:$B$129,MATCH(R163,'G-1 All Habitats'!$A$3:$A$129,0)),"")</f>
        <v/>
      </c>
      <c r="T163" s="498" t="str">
        <f t="shared" si="27"/>
        <v/>
      </c>
      <c r="U163" s="499" t="str">
        <f t="shared" si="28"/>
        <v/>
      </c>
      <c r="V163" s="537" t="str">
        <f t="shared" si="22"/>
        <v/>
      </c>
      <c r="W163" s="520" t="str">
        <f>IF(S163="","",VLOOKUP(S163,'G-1 All Habitats'!$B$2:$M$129,10,FALSE))</f>
        <v/>
      </c>
      <c r="X163" s="520" t="str">
        <f>IFERROR(VLOOKUP(W163,'G-1 All Habitats'!$V$3:$W$7,2,FALSE),"")</f>
        <v/>
      </c>
      <c r="Y163" s="79"/>
      <c r="Z163" s="524" t="str">
        <f>IFERROR(INDEX('G-8 Condition Look up'!$A$3:$H$130,MATCH(S163,'G-8 Condition Look up'!$A$3:$A$130,0),MATCH(Y163,'G-8 Condition Look up'!$A$3:$H$3,0)),"")</f>
        <v/>
      </c>
      <c r="AA163" s="71"/>
      <c r="AB163" s="520" t="str">
        <f>IF(AA163="","",IF(VLOOKUP(AA163,'G-3 Multipliers'!$L$3:$N$6,2,FALSE)=0,"Spatial Data Missing ⚠",VLOOKUP(AA163,'G-3 Multipliers'!$L$3:$N$6,2,FALSE)))</f>
        <v/>
      </c>
      <c r="AC163" s="524" t="str">
        <f>IF(AA163="","",IF(VLOOKUP(AA163,'G-3 Multipliers'!$L$3:$N$6,3,FALSE)=0,"Spatial Data Missing ⚠",VLOOKUP(AA163,'G-3 Multipliers'!$L$3:$N$6,3,FALSE)))</f>
        <v/>
      </c>
      <c r="AD163" s="539" t="str">
        <f t="shared" si="23"/>
        <v/>
      </c>
      <c r="AE163" s="82"/>
      <c r="AF163" s="82"/>
      <c r="AG163" s="507" t="str">
        <f t="shared" si="29"/>
        <v/>
      </c>
      <c r="AH163" s="521" t="str">
        <f t="shared" si="30"/>
        <v/>
      </c>
      <c r="AI163" s="522" t="str">
        <f>IF(AH163="Check Data","Check Data",IFERROR(VLOOKUP(AH163,'G-4 Temporal multipliers'!$A$4:$C$36,3,FALSE),""))</f>
        <v/>
      </c>
      <c r="AJ163" s="498" t="str">
        <f>IF(S163="","",VLOOKUP(S163,'G-3 Multipliers'!$A$2:$E$129,4,FALSE))</f>
        <v/>
      </c>
      <c r="AK163" s="507" t="str">
        <f t="shared" si="31"/>
        <v/>
      </c>
      <c r="AL163" s="507" t="str">
        <f t="shared" si="32"/>
        <v/>
      </c>
      <c r="AM163" s="540" t="str">
        <f>IFERROR(IF(F163="","",IF(AH163="Check Data ⚠","Check Data ⚠",VLOOKUP(AL163, 'G-3 Multipliers'!$P$2:$Q$6,2,FALSE))),"")</f>
        <v/>
      </c>
      <c r="AN163" s="513" t="str">
        <f t="shared" si="24"/>
        <v/>
      </c>
      <c r="AO163" s="239"/>
      <c r="AP163" s="240"/>
    </row>
    <row r="164" spans="1:42" x14ac:dyDescent="0.3">
      <c r="A164" s="47" t="str">
        <f>IF(E164="","",IF(ISNA(VLOOKUP($E164,'A-1 Site Habitat Baseline'!$D$1:$O$258,2,FALSE)),"",(VLOOKUP($E164,'A-1 Site Habitat Baseline'!$D$1:$O$258,2,FALSE))))</f>
        <v/>
      </c>
      <c r="B164" s="47" t="str">
        <f>IF(E164="","",IF(ISNA(VLOOKUP($E164,'A-1 Site Habitat Baseline'!$D$1:$O$258,3,FALSE)),"",(VLOOKUP($E164,'A-1 Site Habitat Baseline'!$D$1:$O$258,3,FALSE))))</f>
        <v/>
      </c>
      <c r="C164" s="47" t="str">
        <f>IFERROR(INDEX('G-8 Condition Look up'!$I$4:$I$130,MATCH(S164,'G-8 Condition Look up'!$A$4:$A$130,0)),"")</f>
        <v/>
      </c>
      <c r="E164" s="531" t="str">
        <f>'A-1 Site Habitat Baseline'!AL163</f>
        <v/>
      </c>
      <c r="F164" s="520" t="str">
        <f>IF(E164="","",IF(ISNA(VLOOKUP($E164,'A-1 Site Habitat Baseline'!$D$1:$O$258,4,FALSE)),"",(VLOOKUP($E164,'A-1 Site Habitat Baseline'!$D$1:$O$258,4,FALSE))))</f>
        <v/>
      </c>
      <c r="G164" s="520" t="str">
        <f>IF(E164="","",IF(ISNA(VLOOKUP($E164,'A-1 Site Habitat Baseline'!$D$1:$O$258,5,FALSE)),"",(VLOOKUP($E164,'A-1 Site Habitat Baseline'!$D$1:$O$258,5,FALSE))))</f>
        <v/>
      </c>
      <c r="H164" s="520" t="str">
        <f>IF(E164="","",IF(ISNA(VLOOKUP($E164,'A-1 Site Habitat Baseline'!$D$1:$O$258,6,FALSE)),"",(VLOOKUP($E164,'A-1 Site Habitat Baseline'!$D$1:$O$258,6,FALSE))))</f>
        <v/>
      </c>
      <c r="I164" s="520" t="str">
        <f>IF(E164="","",IF(ISNA(VLOOKUP($E164,'A-1 Site Habitat Baseline'!$D$1:$O$258,7,FALSE)),"",(VLOOKUP($E164,'A-1 Site Habitat Baseline'!$D$1:$O$258,7,FALSE))))</f>
        <v/>
      </c>
      <c r="J164" s="520" t="str">
        <f>IF(E164="","",IF(ISNA(VLOOKUP($E164,'A-1 Site Habitat Baseline'!$D$1:$O$258,8,FALSE)),"",(VLOOKUP($E164,'A-1 Site Habitat Baseline'!$D$1:$O$258,8,FALSE))))</f>
        <v/>
      </c>
      <c r="K164" s="520" t="str">
        <f>IF(E164="","",IF(ISNA(VLOOKUP($E164,'A-1 Site Habitat Baseline'!$D$1:$O$258,9,FALSE)),"",(VLOOKUP($E164,'A-1 Site Habitat Baseline'!$D$1:$O$258,9,FALSE))))</f>
        <v/>
      </c>
      <c r="L164" s="520" t="str">
        <f>IF(E164="","",IF(ISNA(VLOOKUP($E164,'A-1 Site Habitat Baseline'!$D$1:$O$258,11,FALSE)),"",(VLOOKUP($E164,'A-1 Site Habitat Baseline'!$D$1:$O$258,11,FALSE))))</f>
        <v/>
      </c>
      <c r="M164" s="520" t="str">
        <f>IF(E164="","",IF(ISNA(VLOOKUP($E164,'A-1 Site Habitat Baseline'!$D$1:$O$258,12,FALSE)),"",(VLOOKUP($E164,'A-1 Site Habitat Baseline'!$D$1:$O$258,12,FALSE))))</f>
        <v/>
      </c>
      <c r="N164" s="532" t="str">
        <f>IF(E164="","",IF(ISNA(VLOOKUP($E164,'A-1 Site Habitat Baseline'!$D$1:$X$258,14,FALSE)),"",(VLOOKUP($E164,'A-1 Site Habitat Baseline'!$D$1:$X$258,14,FALSE))))</f>
        <v/>
      </c>
      <c r="O164" s="524" t="str">
        <f>IF(E164="","",IF(ISNA(VLOOKUP($E164,'A-1 Site Habitat Baseline'!$D$1:$X$258,16,FALSE)),"",(VLOOKUP($E164,'A-1 Site Habitat Baseline'!$D$1:$X$258,13,FALSE))))</f>
        <v/>
      </c>
      <c r="P164" s="237" t="str">
        <f>IFERROR(INDEX('G-1 All Habitats'!$AG$3:$AG$15,MATCH(Q164,'G-1 All Habitats'!$AF$3:$AF$15,0)),"")</f>
        <v/>
      </c>
      <c r="Q164" s="238" t="str">
        <f t="shared" si="25"/>
        <v/>
      </c>
      <c r="R164" s="238" t="str">
        <f t="shared" si="26"/>
        <v/>
      </c>
      <c r="S164" s="392" t="str">
        <f>IFERROR(INDEX('G-1 All Habitats'!$B$3:$B$129,MATCH(R164,'G-1 All Habitats'!$A$3:$A$129,0)),"")</f>
        <v/>
      </c>
      <c r="T164" s="498" t="str">
        <f t="shared" si="27"/>
        <v/>
      </c>
      <c r="U164" s="499" t="str">
        <f t="shared" si="28"/>
        <v/>
      </c>
      <c r="V164" s="537" t="str">
        <f t="shared" si="22"/>
        <v/>
      </c>
      <c r="W164" s="520" t="str">
        <f>IF(S164="","",VLOOKUP(S164,'G-1 All Habitats'!$B$2:$M$129,10,FALSE))</f>
        <v/>
      </c>
      <c r="X164" s="520" t="str">
        <f>IFERROR(VLOOKUP(W164,'G-1 All Habitats'!$V$3:$W$7,2,FALSE),"")</f>
        <v/>
      </c>
      <c r="Y164" s="79"/>
      <c r="Z164" s="524" t="str">
        <f>IFERROR(INDEX('G-8 Condition Look up'!$A$3:$H$130,MATCH(S164,'G-8 Condition Look up'!$A$3:$A$130,0),MATCH(Y164,'G-8 Condition Look up'!$A$3:$H$3,0)),"")</f>
        <v/>
      </c>
      <c r="AA164" s="71"/>
      <c r="AB164" s="520" t="str">
        <f>IF(AA164="","",IF(VLOOKUP(AA164,'G-3 Multipliers'!$L$3:$N$6,2,FALSE)=0,"Spatial Data Missing ⚠",VLOOKUP(AA164,'G-3 Multipliers'!$L$3:$N$6,2,FALSE)))</f>
        <v/>
      </c>
      <c r="AC164" s="524" t="str">
        <f>IF(AA164="","",IF(VLOOKUP(AA164,'G-3 Multipliers'!$L$3:$N$6,3,FALSE)=0,"Spatial Data Missing ⚠",VLOOKUP(AA164,'G-3 Multipliers'!$L$3:$N$6,3,FALSE)))</f>
        <v/>
      </c>
      <c r="AD164" s="539" t="str">
        <f t="shared" si="23"/>
        <v/>
      </c>
      <c r="AE164" s="82"/>
      <c r="AF164" s="82"/>
      <c r="AG164" s="507" t="str">
        <f t="shared" si="29"/>
        <v/>
      </c>
      <c r="AH164" s="521" t="str">
        <f t="shared" si="30"/>
        <v/>
      </c>
      <c r="AI164" s="522" t="str">
        <f>IF(AH164="Check Data","Check Data",IFERROR(VLOOKUP(AH164,'G-4 Temporal multipliers'!$A$4:$C$36,3,FALSE),""))</f>
        <v/>
      </c>
      <c r="AJ164" s="498" t="str">
        <f>IF(S164="","",VLOOKUP(S164,'G-3 Multipliers'!$A$2:$E$129,4,FALSE))</f>
        <v/>
      </c>
      <c r="AK164" s="507" t="str">
        <f t="shared" si="31"/>
        <v/>
      </c>
      <c r="AL164" s="507" t="str">
        <f t="shared" si="32"/>
        <v/>
      </c>
      <c r="AM164" s="540" t="str">
        <f>IFERROR(IF(F164="","",IF(AH164="Check Data ⚠","Check Data ⚠",VLOOKUP(AL164, 'G-3 Multipliers'!$P$2:$Q$6,2,FALSE))),"")</f>
        <v/>
      </c>
      <c r="AN164" s="513" t="str">
        <f t="shared" si="24"/>
        <v/>
      </c>
      <c r="AO164" s="239"/>
      <c r="AP164" s="240"/>
    </row>
    <row r="165" spans="1:42" x14ac:dyDescent="0.3">
      <c r="A165" s="47" t="str">
        <f>IF(E165="","",IF(ISNA(VLOOKUP($E165,'A-1 Site Habitat Baseline'!$D$1:$O$258,2,FALSE)),"",(VLOOKUP($E165,'A-1 Site Habitat Baseline'!$D$1:$O$258,2,FALSE))))</f>
        <v/>
      </c>
      <c r="B165" s="47" t="str">
        <f>IF(E165="","",IF(ISNA(VLOOKUP($E165,'A-1 Site Habitat Baseline'!$D$1:$O$258,3,FALSE)),"",(VLOOKUP($E165,'A-1 Site Habitat Baseline'!$D$1:$O$258,3,FALSE))))</f>
        <v/>
      </c>
      <c r="C165" s="47" t="str">
        <f>IFERROR(INDEX('G-8 Condition Look up'!$I$4:$I$130,MATCH(S165,'G-8 Condition Look up'!$A$4:$A$130,0)),"")</f>
        <v/>
      </c>
      <c r="E165" s="531" t="str">
        <f>'A-1 Site Habitat Baseline'!AL164</f>
        <v/>
      </c>
      <c r="F165" s="520" t="str">
        <f>IF(E165="","",IF(ISNA(VLOOKUP($E165,'A-1 Site Habitat Baseline'!$D$1:$O$258,4,FALSE)),"",(VLOOKUP($E165,'A-1 Site Habitat Baseline'!$D$1:$O$258,4,FALSE))))</f>
        <v/>
      </c>
      <c r="G165" s="520" t="str">
        <f>IF(E165="","",IF(ISNA(VLOOKUP($E165,'A-1 Site Habitat Baseline'!$D$1:$O$258,5,FALSE)),"",(VLOOKUP($E165,'A-1 Site Habitat Baseline'!$D$1:$O$258,5,FALSE))))</f>
        <v/>
      </c>
      <c r="H165" s="520" t="str">
        <f>IF(E165="","",IF(ISNA(VLOOKUP($E165,'A-1 Site Habitat Baseline'!$D$1:$O$258,6,FALSE)),"",(VLOOKUP($E165,'A-1 Site Habitat Baseline'!$D$1:$O$258,6,FALSE))))</f>
        <v/>
      </c>
      <c r="I165" s="520" t="str">
        <f>IF(E165="","",IF(ISNA(VLOOKUP($E165,'A-1 Site Habitat Baseline'!$D$1:$O$258,7,FALSE)),"",(VLOOKUP($E165,'A-1 Site Habitat Baseline'!$D$1:$O$258,7,FALSE))))</f>
        <v/>
      </c>
      <c r="J165" s="520" t="str">
        <f>IF(E165="","",IF(ISNA(VLOOKUP($E165,'A-1 Site Habitat Baseline'!$D$1:$O$258,8,FALSE)),"",(VLOOKUP($E165,'A-1 Site Habitat Baseline'!$D$1:$O$258,8,FALSE))))</f>
        <v/>
      </c>
      <c r="K165" s="520" t="str">
        <f>IF(E165="","",IF(ISNA(VLOOKUP($E165,'A-1 Site Habitat Baseline'!$D$1:$O$258,9,FALSE)),"",(VLOOKUP($E165,'A-1 Site Habitat Baseline'!$D$1:$O$258,9,FALSE))))</f>
        <v/>
      </c>
      <c r="L165" s="520" t="str">
        <f>IF(E165="","",IF(ISNA(VLOOKUP($E165,'A-1 Site Habitat Baseline'!$D$1:$O$258,11,FALSE)),"",(VLOOKUP($E165,'A-1 Site Habitat Baseline'!$D$1:$O$258,11,FALSE))))</f>
        <v/>
      </c>
      <c r="M165" s="520" t="str">
        <f>IF(E165="","",IF(ISNA(VLOOKUP($E165,'A-1 Site Habitat Baseline'!$D$1:$O$258,12,FALSE)),"",(VLOOKUP($E165,'A-1 Site Habitat Baseline'!$D$1:$O$258,12,FALSE))))</f>
        <v/>
      </c>
      <c r="N165" s="532" t="str">
        <f>IF(E165="","",IF(ISNA(VLOOKUP($E165,'A-1 Site Habitat Baseline'!$D$1:$X$258,14,FALSE)),"",(VLOOKUP($E165,'A-1 Site Habitat Baseline'!$D$1:$X$258,14,FALSE))))</f>
        <v/>
      </c>
      <c r="O165" s="524" t="str">
        <f>IF(E165="","",IF(ISNA(VLOOKUP($E165,'A-1 Site Habitat Baseline'!$D$1:$X$258,16,FALSE)),"",(VLOOKUP($E165,'A-1 Site Habitat Baseline'!$D$1:$X$258,13,FALSE))))</f>
        <v/>
      </c>
      <c r="P165" s="237" t="str">
        <f>IFERROR(INDEX('G-1 All Habitats'!$AG$3:$AG$15,MATCH(Q165,'G-1 All Habitats'!$AF$3:$AF$15,0)),"")</f>
        <v/>
      </c>
      <c r="Q165" s="238" t="str">
        <f t="shared" si="25"/>
        <v/>
      </c>
      <c r="R165" s="238" t="str">
        <f t="shared" si="26"/>
        <v/>
      </c>
      <c r="S165" s="392" t="str">
        <f>IFERROR(INDEX('G-1 All Habitats'!$B$3:$B$129,MATCH(R165,'G-1 All Habitats'!$A$3:$A$129,0)),"")</f>
        <v/>
      </c>
      <c r="T165" s="498" t="str">
        <f t="shared" si="27"/>
        <v/>
      </c>
      <c r="U165" s="499" t="str">
        <f t="shared" si="28"/>
        <v/>
      </c>
      <c r="V165" s="537" t="str">
        <f t="shared" si="22"/>
        <v/>
      </c>
      <c r="W165" s="520" t="str">
        <f>IF(S165="","",VLOOKUP(S165,'G-1 All Habitats'!$B$2:$M$129,10,FALSE))</f>
        <v/>
      </c>
      <c r="X165" s="520" t="str">
        <f>IFERROR(VLOOKUP(W165,'G-1 All Habitats'!$V$3:$W$7,2,FALSE),"")</f>
        <v/>
      </c>
      <c r="Y165" s="79"/>
      <c r="Z165" s="524" t="str">
        <f>IFERROR(INDEX('G-8 Condition Look up'!$A$3:$H$130,MATCH(S165,'G-8 Condition Look up'!$A$3:$A$130,0),MATCH(Y165,'G-8 Condition Look up'!$A$3:$H$3,0)),"")</f>
        <v/>
      </c>
      <c r="AA165" s="71"/>
      <c r="AB165" s="520" t="str">
        <f>IF(AA165="","",IF(VLOOKUP(AA165,'G-3 Multipliers'!$L$3:$N$6,2,FALSE)=0,"Spatial Data Missing ⚠",VLOOKUP(AA165,'G-3 Multipliers'!$L$3:$N$6,2,FALSE)))</f>
        <v/>
      </c>
      <c r="AC165" s="524" t="str">
        <f>IF(AA165="","",IF(VLOOKUP(AA165,'G-3 Multipliers'!$L$3:$N$6,3,FALSE)=0,"Spatial Data Missing ⚠",VLOOKUP(AA165,'G-3 Multipliers'!$L$3:$N$6,3,FALSE)))</f>
        <v/>
      </c>
      <c r="AD165" s="539" t="str">
        <f t="shared" si="23"/>
        <v/>
      </c>
      <c r="AE165" s="82"/>
      <c r="AF165" s="82"/>
      <c r="AG165" s="507" t="str">
        <f t="shared" si="29"/>
        <v/>
      </c>
      <c r="AH165" s="521" t="str">
        <f t="shared" si="30"/>
        <v/>
      </c>
      <c r="AI165" s="522" t="str">
        <f>IF(AH165="Check Data","Check Data",IFERROR(VLOOKUP(AH165,'G-4 Temporal multipliers'!$A$4:$C$36,3,FALSE),""))</f>
        <v/>
      </c>
      <c r="AJ165" s="498" t="str">
        <f>IF(S165="","",VLOOKUP(S165,'G-3 Multipliers'!$A$2:$E$129,4,FALSE))</f>
        <v/>
      </c>
      <c r="AK165" s="507" t="str">
        <f t="shared" si="31"/>
        <v/>
      </c>
      <c r="AL165" s="507" t="str">
        <f t="shared" si="32"/>
        <v/>
      </c>
      <c r="AM165" s="540" t="str">
        <f>IFERROR(IF(F165="","",IF(AH165="Check Data ⚠","Check Data ⚠",VLOOKUP(AL165, 'G-3 Multipliers'!$P$2:$Q$6,2,FALSE))),"")</f>
        <v/>
      </c>
      <c r="AN165" s="513" t="str">
        <f t="shared" si="24"/>
        <v/>
      </c>
      <c r="AO165" s="239"/>
      <c r="AP165" s="240"/>
    </row>
    <row r="166" spans="1:42" x14ac:dyDescent="0.3">
      <c r="A166" s="47" t="str">
        <f>IF(E166="","",IF(ISNA(VLOOKUP($E166,'A-1 Site Habitat Baseline'!$D$1:$O$258,2,FALSE)),"",(VLOOKUP($E166,'A-1 Site Habitat Baseline'!$D$1:$O$258,2,FALSE))))</f>
        <v/>
      </c>
      <c r="B166" s="47" t="str">
        <f>IF(E166="","",IF(ISNA(VLOOKUP($E166,'A-1 Site Habitat Baseline'!$D$1:$O$258,3,FALSE)),"",(VLOOKUP($E166,'A-1 Site Habitat Baseline'!$D$1:$O$258,3,FALSE))))</f>
        <v/>
      </c>
      <c r="C166" s="47" t="str">
        <f>IFERROR(INDEX('G-8 Condition Look up'!$I$4:$I$130,MATCH(S166,'G-8 Condition Look up'!$A$4:$A$130,0)),"")</f>
        <v/>
      </c>
      <c r="E166" s="531" t="str">
        <f>'A-1 Site Habitat Baseline'!AL165</f>
        <v/>
      </c>
      <c r="F166" s="520" t="str">
        <f>IF(E166="","",IF(ISNA(VLOOKUP($E166,'A-1 Site Habitat Baseline'!$D$1:$O$258,4,FALSE)),"",(VLOOKUP($E166,'A-1 Site Habitat Baseline'!$D$1:$O$258,4,FALSE))))</f>
        <v/>
      </c>
      <c r="G166" s="520" t="str">
        <f>IF(E166="","",IF(ISNA(VLOOKUP($E166,'A-1 Site Habitat Baseline'!$D$1:$O$258,5,FALSE)),"",(VLOOKUP($E166,'A-1 Site Habitat Baseline'!$D$1:$O$258,5,FALSE))))</f>
        <v/>
      </c>
      <c r="H166" s="520" t="str">
        <f>IF(E166="","",IF(ISNA(VLOOKUP($E166,'A-1 Site Habitat Baseline'!$D$1:$O$258,6,FALSE)),"",(VLOOKUP($E166,'A-1 Site Habitat Baseline'!$D$1:$O$258,6,FALSE))))</f>
        <v/>
      </c>
      <c r="I166" s="520" t="str">
        <f>IF(E166="","",IF(ISNA(VLOOKUP($E166,'A-1 Site Habitat Baseline'!$D$1:$O$258,7,FALSE)),"",(VLOOKUP($E166,'A-1 Site Habitat Baseline'!$D$1:$O$258,7,FALSE))))</f>
        <v/>
      </c>
      <c r="J166" s="520" t="str">
        <f>IF(E166="","",IF(ISNA(VLOOKUP($E166,'A-1 Site Habitat Baseline'!$D$1:$O$258,8,FALSE)),"",(VLOOKUP($E166,'A-1 Site Habitat Baseline'!$D$1:$O$258,8,FALSE))))</f>
        <v/>
      </c>
      <c r="K166" s="520" t="str">
        <f>IF(E166="","",IF(ISNA(VLOOKUP($E166,'A-1 Site Habitat Baseline'!$D$1:$O$258,9,FALSE)),"",(VLOOKUP($E166,'A-1 Site Habitat Baseline'!$D$1:$O$258,9,FALSE))))</f>
        <v/>
      </c>
      <c r="L166" s="520" t="str">
        <f>IF(E166="","",IF(ISNA(VLOOKUP($E166,'A-1 Site Habitat Baseline'!$D$1:$O$258,11,FALSE)),"",(VLOOKUP($E166,'A-1 Site Habitat Baseline'!$D$1:$O$258,11,FALSE))))</f>
        <v/>
      </c>
      <c r="M166" s="520" t="str">
        <f>IF(E166="","",IF(ISNA(VLOOKUP($E166,'A-1 Site Habitat Baseline'!$D$1:$O$258,12,FALSE)),"",(VLOOKUP($E166,'A-1 Site Habitat Baseline'!$D$1:$O$258,12,FALSE))))</f>
        <v/>
      </c>
      <c r="N166" s="532" t="str">
        <f>IF(E166="","",IF(ISNA(VLOOKUP($E166,'A-1 Site Habitat Baseline'!$D$1:$X$258,14,FALSE)),"",(VLOOKUP($E166,'A-1 Site Habitat Baseline'!$D$1:$X$258,14,FALSE))))</f>
        <v/>
      </c>
      <c r="O166" s="524" t="str">
        <f>IF(E166="","",IF(ISNA(VLOOKUP($E166,'A-1 Site Habitat Baseline'!$D$1:$X$258,16,FALSE)),"",(VLOOKUP($E166,'A-1 Site Habitat Baseline'!$D$1:$X$258,13,FALSE))))</f>
        <v/>
      </c>
      <c r="P166" s="237" t="str">
        <f>IFERROR(INDEX('G-1 All Habitats'!$AG$3:$AG$15,MATCH(Q166,'G-1 All Habitats'!$AF$3:$AF$15,0)),"")</f>
        <v/>
      </c>
      <c r="Q166" s="238" t="str">
        <f t="shared" si="25"/>
        <v/>
      </c>
      <c r="R166" s="238" t="str">
        <f t="shared" si="26"/>
        <v/>
      </c>
      <c r="S166" s="392" t="str">
        <f>IFERROR(INDEX('G-1 All Habitats'!$B$3:$B$129,MATCH(R166,'G-1 All Habitats'!$A$3:$A$129,0)),"")</f>
        <v/>
      </c>
      <c r="T166" s="498" t="str">
        <f t="shared" si="27"/>
        <v/>
      </c>
      <c r="U166" s="499" t="str">
        <f t="shared" si="28"/>
        <v/>
      </c>
      <c r="V166" s="537" t="str">
        <f t="shared" si="22"/>
        <v/>
      </c>
      <c r="W166" s="520" t="str">
        <f>IF(S166="","",VLOOKUP(S166,'G-1 All Habitats'!$B$2:$M$129,10,FALSE))</f>
        <v/>
      </c>
      <c r="X166" s="520" t="str">
        <f>IFERROR(VLOOKUP(W166,'G-1 All Habitats'!$V$3:$W$7,2,FALSE),"")</f>
        <v/>
      </c>
      <c r="Y166" s="79"/>
      <c r="Z166" s="524" t="str">
        <f>IFERROR(INDEX('G-8 Condition Look up'!$A$3:$H$130,MATCH(S166,'G-8 Condition Look up'!$A$3:$A$130,0),MATCH(Y166,'G-8 Condition Look up'!$A$3:$H$3,0)),"")</f>
        <v/>
      </c>
      <c r="AA166" s="71"/>
      <c r="AB166" s="520" t="str">
        <f>IF(AA166="","",IF(VLOOKUP(AA166,'G-3 Multipliers'!$L$3:$N$6,2,FALSE)=0,"Spatial Data Missing ⚠",VLOOKUP(AA166,'G-3 Multipliers'!$L$3:$N$6,2,FALSE)))</f>
        <v/>
      </c>
      <c r="AC166" s="524" t="str">
        <f>IF(AA166="","",IF(VLOOKUP(AA166,'G-3 Multipliers'!$L$3:$N$6,3,FALSE)=0,"Spatial Data Missing ⚠",VLOOKUP(AA166,'G-3 Multipliers'!$L$3:$N$6,3,FALSE)))</f>
        <v/>
      </c>
      <c r="AD166" s="539" t="str">
        <f t="shared" si="23"/>
        <v/>
      </c>
      <c r="AE166" s="82"/>
      <c r="AF166" s="82"/>
      <c r="AG166" s="507" t="str">
        <f t="shared" si="29"/>
        <v/>
      </c>
      <c r="AH166" s="521" t="str">
        <f t="shared" si="30"/>
        <v/>
      </c>
      <c r="AI166" s="522" t="str">
        <f>IF(AH166="Check Data","Check Data",IFERROR(VLOOKUP(AH166,'G-4 Temporal multipliers'!$A$4:$C$36,3,FALSE),""))</f>
        <v/>
      </c>
      <c r="AJ166" s="498" t="str">
        <f>IF(S166="","",VLOOKUP(S166,'G-3 Multipliers'!$A$2:$E$129,4,FALSE))</f>
        <v/>
      </c>
      <c r="AK166" s="507" t="str">
        <f t="shared" si="31"/>
        <v/>
      </c>
      <c r="AL166" s="507" t="str">
        <f t="shared" si="32"/>
        <v/>
      </c>
      <c r="AM166" s="540" t="str">
        <f>IFERROR(IF(F166="","",IF(AH166="Check Data ⚠","Check Data ⚠",VLOOKUP(AL166, 'G-3 Multipliers'!$P$2:$Q$6,2,FALSE))),"")</f>
        <v/>
      </c>
      <c r="AN166" s="513" t="str">
        <f t="shared" si="24"/>
        <v/>
      </c>
      <c r="AO166" s="239"/>
      <c r="AP166" s="240"/>
    </row>
    <row r="167" spans="1:42" x14ac:dyDescent="0.3">
      <c r="A167" s="47" t="str">
        <f>IF(E167="","",IF(ISNA(VLOOKUP($E167,'A-1 Site Habitat Baseline'!$D$1:$O$258,2,FALSE)),"",(VLOOKUP($E167,'A-1 Site Habitat Baseline'!$D$1:$O$258,2,FALSE))))</f>
        <v/>
      </c>
      <c r="B167" s="47" t="str">
        <f>IF(E167="","",IF(ISNA(VLOOKUP($E167,'A-1 Site Habitat Baseline'!$D$1:$O$258,3,FALSE)),"",(VLOOKUP($E167,'A-1 Site Habitat Baseline'!$D$1:$O$258,3,FALSE))))</f>
        <v/>
      </c>
      <c r="C167" s="47" t="str">
        <f>IFERROR(INDEX('G-8 Condition Look up'!$I$4:$I$130,MATCH(S167,'G-8 Condition Look up'!$A$4:$A$130,0)),"")</f>
        <v/>
      </c>
      <c r="E167" s="531" t="str">
        <f>'A-1 Site Habitat Baseline'!AL166</f>
        <v/>
      </c>
      <c r="F167" s="520" t="str">
        <f>IF(E167="","",IF(ISNA(VLOOKUP($E167,'A-1 Site Habitat Baseline'!$D$1:$O$258,4,FALSE)),"",(VLOOKUP($E167,'A-1 Site Habitat Baseline'!$D$1:$O$258,4,FALSE))))</f>
        <v/>
      </c>
      <c r="G167" s="520" t="str">
        <f>IF(E167="","",IF(ISNA(VLOOKUP($E167,'A-1 Site Habitat Baseline'!$D$1:$O$258,5,FALSE)),"",(VLOOKUP($E167,'A-1 Site Habitat Baseline'!$D$1:$O$258,5,FALSE))))</f>
        <v/>
      </c>
      <c r="H167" s="520" t="str">
        <f>IF(E167="","",IF(ISNA(VLOOKUP($E167,'A-1 Site Habitat Baseline'!$D$1:$O$258,6,FALSE)),"",(VLOOKUP($E167,'A-1 Site Habitat Baseline'!$D$1:$O$258,6,FALSE))))</f>
        <v/>
      </c>
      <c r="I167" s="520" t="str">
        <f>IF(E167="","",IF(ISNA(VLOOKUP($E167,'A-1 Site Habitat Baseline'!$D$1:$O$258,7,FALSE)),"",(VLOOKUP($E167,'A-1 Site Habitat Baseline'!$D$1:$O$258,7,FALSE))))</f>
        <v/>
      </c>
      <c r="J167" s="520" t="str">
        <f>IF(E167="","",IF(ISNA(VLOOKUP($E167,'A-1 Site Habitat Baseline'!$D$1:$O$258,8,FALSE)),"",(VLOOKUP($E167,'A-1 Site Habitat Baseline'!$D$1:$O$258,8,FALSE))))</f>
        <v/>
      </c>
      <c r="K167" s="520" t="str">
        <f>IF(E167="","",IF(ISNA(VLOOKUP($E167,'A-1 Site Habitat Baseline'!$D$1:$O$258,9,FALSE)),"",(VLOOKUP($E167,'A-1 Site Habitat Baseline'!$D$1:$O$258,9,FALSE))))</f>
        <v/>
      </c>
      <c r="L167" s="520" t="str">
        <f>IF(E167="","",IF(ISNA(VLOOKUP($E167,'A-1 Site Habitat Baseline'!$D$1:$O$258,11,FALSE)),"",(VLOOKUP($E167,'A-1 Site Habitat Baseline'!$D$1:$O$258,11,FALSE))))</f>
        <v/>
      </c>
      <c r="M167" s="520" t="str">
        <f>IF(E167="","",IF(ISNA(VLOOKUP($E167,'A-1 Site Habitat Baseline'!$D$1:$O$258,12,FALSE)),"",(VLOOKUP($E167,'A-1 Site Habitat Baseline'!$D$1:$O$258,12,FALSE))))</f>
        <v/>
      </c>
      <c r="N167" s="532" t="str">
        <f>IF(E167="","",IF(ISNA(VLOOKUP($E167,'A-1 Site Habitat Baseline'!$D$1:$X$258,14,FALSE)),"",(VLOOKUP($E167,'A-1 Site Habitat Baseline'!$D$1:$X$258,14,FALSE))))</f>
        <v/>
      </c>
      <c r="O167" s="524" t="str">
        <f>IF(E167="","",IF(ISNA(VLOOKUP($E167,'A-1 Site Habitat Baseline'!$D$1:$X$258,16,FALSE)),"",(VLOOKUP($E167,'A-1 Site Habitat Baseline'!$D$1:$X$258,13,FALSE))))</f>
        <v/>
      </c>
      <c r="P167" s="237" t="str">
        <f>IFERROR(INDEX('G-1 All Habitats'!$AG$3:$AG$15,MATCH(Q167,'G-1 All Habitats'!$AF$3:$AF$15,0)),"")</f>
        <v/>
      </c>
      <c r="Q167" s="238" t="str">
        <f t="shared" si="25"/>
        <v/>
      </c>
      <c r="R167" s="238" t="str">
        <f t="shared" si="26"/>
        <v/>
      </c>
      <c r="S167" s="392" t="str">
        <f>IFERROR(INDEX('G-1 All Habitats'!$B$3:$B$129,MATCH(R167,'G-1 All Habitats'!$A$3:$A$129,0)),"")</f>
        <v/>
      </c>
      <c r="T167" s="498" t="str">
        <f t="shared" si="27"/>
        <v/>
      </c>
      <c r="U167" s="499" t="str">
        <f t="shared" si="28"/>
        <v/>
      </c>
      <c r="V167" s="537" t="str">
        <f t="shared" si="22"/>
        <v/>
      </c>
      <c r="W167" s="520" t="str">
        <f>IF(S167="","",VLOOKUP(S167,'G-1 All Habitats'!$B$2:$M$129,10,FALSE))</f>
        <v/>
      </c>
      <c r="X167" s="520" t="str">
        <f>IFERROR(VLOOKUP(W167,'G-1 All Habitats'!$V$3:$W$7,2,FALSE),"")</f>
        <v/>
      </c>
      <c r="Y167" s="79"/>
      <c r="Z167" s="524" t="str">
        <f>IFERROR(INDEX('G-8 Condition Look up'!$A$3:$H$130,MATCH(S167,'G-8 Condition Look up'!$A$3:$A$130,0),MATCH(Y167,'G-8 Condition Look up'!$A$3:$H$3,0)),"")</f>
        <v/>
      </c>
      <c r="AA167" s="71"/>
      <c r="AB167" s="520" t="str">
        <f>IF(AA167="","",IF(VLOOKUP(AA167,'G-3 Multipliers'!$L$3:$N$6,2,FALSE)=0,"Spatial Data Missing ⚠",VLOOKUP(AA167,'G-3 Multipliers'!$L$3:$N$6,2,FALSE)))</f>
        <v/>
      </c>
      <c r="AC167" s="524" t="str">
        <f>IF(AA167="","",IF(VLOOKUP(AA167,'G-3 Multipliers'!$L$3:$N$6,3,FALSE)=0,"Spatial Data Missing ⚠",VLOOKUP(AA167,'G-3 Multipliers'!$L$3:$N$6,3,FALSE)))</f>
        <v/>
      </c>
      <c r="AD167" s="539" t="str">
        <f t="shared" si="23"/>
        <v/>
      </c>
      <c r="AE167" s="82"/>
      <c r="AF167" s="82"/>
      <c r="AG167" s="507" t="str">
        <f t="shared" si="29"/>
        <v/>
      </c>
      <c r="AH167" s="521" t="str">
        <f t="shared" si="30"/>
        <v/>
      </c>
      <c r="AI167" s="522" t="str">
        <f>IF(AH167="Check Data","Check Data",IFERROR(VLOOKUP(AH167,'G-4 Temporal multipliers'!$A$4:$C$36,3,FALSE),""))</f>
        <v/>
      </c>
      <c r="AJ167" s="498" t="str">
        <f>IF(S167="","",VLOOKUP(S167,'G-3 Multipliers'!$A$2:$E$129,4,FALSE))</f>
        <v/>
      </c>
      <c r="AK167" s="507" t="str">
        <f t="shared" si="31"/>
        <v/>
      </c>
      <c r="AL167" s="507" t="str">
        <f t="shared" si="32"/>
        <v/>
      </c>
      <c r="AM167" s="540" t="str">
        <f>IFERROR(IF(F167="","",IF(AH167="Check Data ⚠","Check Data ⚠",VLOOKUP(AL167, 'G-3 Multipliers'!$P$2:$Q$6,2,FALSE))),"")</f>
        <v/>
      </c>
      <c r="AN167" s="513" t="str">
        <f t="shared" si="24"/>
        <v/>
      </c>
      <c r="AO167" s="239"/>
      <c r="AP167" s="240"/>
    </row>
    <row r="168" spans="1:42" x14ac:dyDescent="0.3">
      <c r="A168" s="47" t="str">
        <f>IF(E168="","",IF(ISNA(VLOOKUP($E168,'A-1 Site Habitat Baseline'!$D$1:$O$258,2,FALSE)),"",(VLOOKUP($E168,'A-1 Site Habitat Baseline'!$D$1:$O$258,2,FALSE))))</f>
        <v/>
      </c>
      <c r="B168" s="47" t="str">
        <f>IF(E168="","",IF(ISNA(VLOOKUP($E168,'A-1 Site Habitat Baseline'!$D$1:$O$258,3,FALSE)),"",(VLOOKUP($E168,'A-1 Site Habitat Baseline'!$D$1:$O$258,3,FALSE))))</f>
        <v/>
      </c>
      <c r="C168" s="47" t="str">
        <f>IFERROR(INDEX('G-8 Condition Look up'!$I$4:$I$130,MATCH(S168,'G-8 Condition Look up'!$A$4:$A$130,0)),"")</f>
        <v/>
      </c>
      <c r="E168" s="531" t="str">
        <f>'A-1 Site Habitat Baseline'!AL167</f>
        <v/>
      </c>
      <c r="F168" s="520" t="str">
        <f>IF(E168="","",IF(ISNA(VLOOKUP($E168,'A-1 Site Habitat Baseline'!$D$1:$O$258,4,FALSE)),"",(VLOOKUP($E168,'A-1 Site Habitat Baseline'!$D$1:$O$258,4,FALSE))))</f>
        <v/>
      </c>
      <c r="G168" s="520" t="str">
        <f>IF(E168="","",IF(ISNA(VLOOKUP($E168,'A-1 Site Habitat Baseline'!$D$1:$O$258,5,FALSE)),"",(VLOOKUP($E168,'A-1 Site Habitat Baseline'!$D$1:$O$258,5,FALSE))))</f>
        <v/>
      </c>
      <c r="H168" s="520" t="str">
        <f>IF(E168="","",IF(ISNA(VLOOKUP($E168,'A-1 Site Habitat Baseline'!$D$1:$O$258,6,FALSE)),"",(VLOOKUP($E168,'A-1 Site Habitat Baseline'!$D$1:$O$258,6,FALSE))))</f>
        <v/>
      </c>
      <c r="I168" s="520" t="str">
        <f>IF(E168="","",IF(ISNA(VLOOKUP($E168,'A-1 Site Habitat Baseline'!$D$1:$O$258,7,FALSE)),"",(VLOOKUP($E168,'A-1 Site Habitat Baseline'!$D$1:$O$258,7,FALSE))))</f>
        <v/>
      </c>
      <c r="J168" s="520" t="str">
        <f>IF(E168="","",IF(ISNA(VLOOKUP($E168,'A-1 Site Habitat Baseline'!$D$1:$O$258,8,FALSE)),"",(VLOOKUP($E168,'A-1 Site Habitat Baseline'!$D$1:$O$258,8,FALSE))))</f>
        <v/>
      </c>
      <c r="K168" s="520" t="str">
        <f>IF(E168="","",IF(ISNA(VLOOKUP($E168,'A-1 Site Habitat Baseline'!$D$1:$O$258,9,FALSE)),"",(VLOOKUP($E168,'A-1 Site Habitat Baseline'!$D$1:$O$258,9,FALSE))))</f>
        <v/>
      </c>
      <c r="L168" s="520" t="str">
        <f>IF(E168="","",IF(ISNA(VLOOKUP($E168,'A-1 Site Habitat Baseline'!$D$1:$O$258,11,FALSE)),"",(VLOOKUP($E168,'A-1 Site Habitat Baseline'!$D$1:$O$258,11,FALSE))))</f>
        <v/>
      </c>
      <c r="M168" s="520" t="str">
        <f>IF(E168="","",IF(ISNA(VLOOKUP($E168,'A-1 Site Habitat Baseline'!$D$1:$O$258,12,FALSE)),"",(VLOOKUP($E168,'A-1 Site Habitat Baseline'!$D$1:$O$258,12,FALSE))))</f>
        <v/>
      </c>
      <c r="N168" s="532" t="str">
        <f>IF(E168="","",IF(ISNA(VLOOKUP($E168,'A-1 Site Habitat Baseline'!$D$1:$X$258,14,FALSE)),"",(VLOOKUP($E168,'A-1 Site Habitat Baseline'!$D$1:$X$258,14,FALSE))))</f>
        <v/>
      </c>
      <c r="O168" s="524" t="str">
        <f>IF(E168="","",IF(ISNA(VLOOKUP($E168,'A-1 Site Habitat Baseline'!$D$1:$X$258,16,FALSE)),"",(VLOOKUP($E168,'A-1 Site Habitat Baseline'!$D$1:$X$258,13,FALSE))))</f>
        <v/>
      </c>
      <c r="P168" s="237" t="str">
        <f>IFERROR(INDEX('G-1 All Habitats'!$AG$3:$AG$15,MATCH(Q168,'G-1 All Habitats'!$AF$3:$AF$15,0)),"")</f>
        <v/>
      </c>
      <c r="Q168" s="238" t="str">
        <f t="shared" si="25"/>
        <v/>
      </c>
      <c r="R168" s="238" t="str">
        <f t="shared" si="26"/>
        <v/>
      </c>
      <c r="S168" s="392" t="str">
        <f>IFERROR(INDEX('G-1 All Habitats'!$B$3:$B$129,MATCH(R168,'G-1 All Habitats'!$A$3:$A$129,0)),"")</f>
        <v/>
      </c>
      <c r="T168" s="498" t="str">
        <f t="shared" si="27"/>
        <v/>
      </c>
      <c r="U168" s="499" t="str">
        <f t="shared" si="28"/>
        <v/>
      </c>
      <c r="V168" s="537" t="str">
        <f t="shared" si="22"/>
        <v/>
      </c>
      <c r="W168" s="520" t="str">
        <f>IF(S168="","",VLOOKUP(S168,'G-1 All Habitats'!$B$2:$M$129,10,FALSE))</f>
        <v/>
      </c>
      <c r="X168" s="520" t="str">
        <f>IFERROR(VLOOKUP(W168,'G-1 All Habitats'!$V$3:$W$7,2,FALSE),"")</f>
        <v/>
      </c>
      <c r="Y168" s="79"/>
      <c r="Z168" s="524" t="str">
        <f>IFERROR(INDEX('G-8 Condition Look up'!$A$3:$H$130,MATCH(S168,'G-8 Condition Look up'!$A$3:$A$130,0),MATCH(Y168,'G-8 Condition Look up'!$A$3:$H$3,0)),"")</f>
        <v/>
      </c>
      <c r="AA168" s="71"/>
      <c r="AB168" s="520" t="str">
        <f>IF(AA168="","",IF(VLOOKUP(AA168,'G-3 Multipliers'!$L$3:$N$6,2,FALSE)=0,"Spatial Data Missing ⚠",VLOOKUP(AA168,'G-3 Multipliers'!$L$3:$N$6,2,FALSE)))</f>
        <v/>
      </c>
      <c r="AC168" s="524" t="str">
        <f>IF(AA168="","",IF(VLOOKUP(AA168,'G-3 Multipliers'!$L$3:$N$6,3,FALSE)=0,"Spatial Data Missing ⚠",VLOOKUP(AA168,'G-3 Multipliers'!$L$3:$N$6,3,FALSE)))</f>
        <v/>
      </c>
      <c r="AD168" s="539" t="str">
        <f t="shared" si="23"/>
        <v/>
      </c>
      <c r="AE168" s="82"/>
      <c r="AF168" s="82"/>
      <c r="AG168" s="507" t="str">
        <f t="shared" si="29"/>
        <v/>
      </c>
      <c r="AH168" s="521" t="str">
        <f t="shared" si="30"/>
        <v/>
      </c>
      <c r="AI168" s="522" t="str">
        <f>IF(AH168="Check Data","Check Data",IFERROR(VLOOKUP(AH168,'G-4 Temporal multipliers'!$A$4:$C$36,3,FALSE),""))</f>
        <v/>
      </c>
      <c r="AJ168" s="498" t="str">
        <f>IF(S168="","",VLOOKUP(S168,'G-3 Multipliers'!$A$2:$E$129,4,FALSE))</f>
        <v/>
      </c>
      <c r="AK168" s="507" t="str">
        <f t="shared" si="31"/>
        <v/>
      </c>
      <c r="AL168" s="507" t="str">
        <f t="shared" si="32"/>
        <v/>
      </c>
      <c r="AM168" s="540" t="str">
        <f>IFERROR(IF(F168="","",IF(AH168="Check Data ⚠","Check Data ⚠",VLOOKUP(AL168, 'G-3 Multipliers'!$P$2:$Q$6,2,FALSE))),"")</f>
        <v/>
      </c>
      <c r="AN168" s="513" t="str">
        <f t="shared" si="24"/>
        <v/>
      </c>
      <c r="AO168" s="239"/>
      <c r="AP168" s="240"/>
    </row>
    <row r="169" spans="1:42" x14ac:dyDescent="0.3">
      <c r="A169" s="47" t="str">
        <f>IF(E169="","",IF(ISNA(VLOOKUP($E169,'A-1 Site Habitat Baseline'!$D$1:$O$258,2,FALSE)),"",(VLOOKUP($E169,'A-1 Site Habitat Baseline'!$D$1:$O$258,2,FALSE))))</f>
        <v/>
      </c>
      <c r="B169" s="47" t="str">
        <f>IF(E169="","",IF(ISNA(VLOOKUP($E169,'A-1 Site Habitat Baseline'!$D$1:$O$258,3,FALSE)),"",(VLOOKUP($E169,'A-1 Site Habitat Baseline'!$D$1:$O$258,3,FALSE))))</f>
        <v/>
      </c>
      <c r="C169" s="47" t="str">
        <f>IFERROR(INDEX('G-8 Condition Look up'!$I$4:$I$130,MATCH(S169,'G-8 Condition Look up'!$A$4:$A$130,0)),"")</f>
        <v/>
      </c>
      <c r="E169" s="531" t="str">
        <f>'A-1 Site Habitat Baseline'!AL168</f>
        <v/>
      </c>
      <c r="F169" s="520" t="str">
        <f>IF(E169="","",IF(ISNA(VLOOKUP($E169,'A-1 Site Habitat Baseline'!$D$1:$O$258,4,FALSE)),"",(VLOOKUP($E169,'A-1 Site Habitat Baseline'!$D$1:$O$258,4,FALSE))))</f>
        <v/>
      </c>
      <c r="G169" s="520" t="str">
        <f>IF(E169="","",IF(ISNA(VLOOKUP($E169,'A-1 Site Habitat Baseline'!$D$1:$O$258,5,FALSE)),"",(VLOOKUP($E169,'A-1 Site Habitat Baseline'!$D$1:$O$258,5,FALSE))))</f>
        <v/>
      </c>
      <c r="H169" s="520" t="str">
        <f>IF(E169="","",IF(ISNA(VLOOKUP($E169,'A-1 Site Habitat Baseline'!$D$1:$O$258,6,FALSE)),"",(VLOOKUP($E169,'A-1 Site Habitat Baseline'!$D$1:$O$258,6,FALSE))))</f>
        <v/>
      </c>
      <c r="I169" s="520" t="str">
        <f>IF(E169="","",IF(ISNA(VLOOKUP($E169,'A-1 Site Habitat Baseline'!$D$1:$O$258,7,FALSE)),"",(VLOOKUP($E169,'A-1 Site Habitat Baseline'!$D$1:$O$258,7,FALSE))))</f>
        <v/>
      </c>
      <c r="J169" s="520" t="str">
        <f>IF(E169="","",IF(ISNA(VLOOKUP($E169,'A-1 Site Habitat Baseline'!$D$1:$O$258,8,FALSE)),"",(VLOOKUP($E169,'A-1 Site Habitat Baseline'!$D$1:$O$258,8,FALSE))))</f>
        <v/>
      </c>
      <c r="K169" s="520" t="str">
        <f>IF(E169="","",IF(ISNA(VLOOKUP($E169,'A-1 Site Habitat Baseline'!$D$1:$O$258,9,FALSE)),"",(VLOOKUP($E169,'A-1 Site Habitat Baseline'!$D$1:$O$258,9,FALSE))))</f>
        <v/>
      </c>
      <c r="L169" s="520" t="str">
        <f>IF(E169="","",IF(ISNA(VLOOKUP($E169,'A-1 Site Habitat Baseline'!$D$1:$O$258,11,FALSE)),"",(VLOOKUP($E169,'A-1 Site Habitat Baseline'!$D$1:$O$258,11,FALSE))))</f>
        <v/>
      </c>
      <c r="M169" s="520" t="str">
        <f>IF(E169="","",IF(ISNA(VLOOKUP($E169,'A-1 Site Habitat Baseline'!$D$1:$O$258,12,FALSE)),"",(VLOOKUP($E169,'A-1 Site Habitat Baseline'!$D$1:$O$258,12,FALSE))))</f>
        <v/>
      </c>
      <c r="N169" s="532" t="str">
        <f>IF(E169="","",IF(ISNA(VLOOKUP($E169,'A-1 Site Habitat Baseline'!$D$1:$X$258,14,FALSE)),"",(VLOOKUP($E169,'A-1 Site Habitat Baseline'!$D$1:$X$258,14,FALSE))))</f>
        <v/>
      </c>
      <c r="O169" s="524" t="str">
        <f>IF(E169="","",IF(ISNA(VLOOKUP($E169,'A-1 Site Habitat Baseline'!$D$1:$X$258,16,FALSE)),"",(VLOOKUP($E169,'A-1 Site Habitat Baseline'!$D$1:$X$258,13,FALSE))))</f>
        <v/>
      </c>
      <c r="P169" s="237" t="str">
        <f>IFERROR(INDEX('G-1 All Habitats'!$AG$3:$AG$15,MATCH(Q169,'G-1 All Habitats'!$AF$3:$AF$15,0)),"")</f>
        <v/>
      </c>
      <c r="Q169" s="238" t="str">
        <f t="shared" si="25"/>
        <v/>
      </c>
      <c r="R169" s="238" t="str">
        <f t="shared" si="26"/>
        <v/>
      </c>
      <c r="S169" s="392" t="str">
        <f>IFERROR(INDEX('G-1 All Habitats'!$B$3:$B$129,MATCH(R169,'G-1 All Habitats'!$A$3:$A$129,0)),"")</f>
        <v/>
      </c>
      <c r="T169" s="498" t="str">
        <f t="shared" si="27"/>
        <v/>
      </c>
      <c r="U169" s="499" t="str">
        <f t="shared" si="28"/>
        <v/>
      </c>
      <c r="V169" s="537" t="str">
        <f t="shared" si="22"/>
        <v/>
      </c>
      <c r="W169" s="520" t="str">
        <f>IF(S169="","",VLOOKUP(S169,'G-1 All Habitats'!$B$2:$M$129,10,FALSE))</f>
        <v/>
      </c>
      <c r="X169" s="520" t="str">
        <f>IFERROR(VLOOKUP(W169,'G-1 All Habitats'!$V$3:$W$7,2,FALSE),"")</f>
        <v/>
      </c>
      <c r="Y169" s="79"/>
      <c r="Z169" s="524" t="str">
        <f>IFERROR(INDEX('G-8 Condition Look up'!$A$3:$H$130,MATCH(S169,'G-8 Condition Look up'!$A$3:$A$130,0),MATCH(Y169,'G-8 Condition Look up'!$A$3:$H$3,0)),"")</f>
        <v/>
      </c>
      <c r="AA169" s="71"/>
      <c r="AB169" s="520" t="str">
        <f>IF(AA169="","",IF(VLOOKUP(AA169,'G-3 Multipliers'!$L$3:$N$6,2,FALSE)=0,"Spatial Data Missing ⚠",VLOOKUP(AA169,'G-3 Multipliers'!$L$3:$N$6,2,FALSE)))</f>
        <v/>
      </c>
      <c r="AC169" s="524" t="str">
        <f>IF(AA169="","",IF(VLOOKUP(AA169,'G-3 Multipliers'!$L$3:$N$6,3,FALSE)=0,"Spatial Data Missing ⚠",VLOOKUP(AA169,'G-3 Multipliers'!$L$3:$N$6,3,FALSE)))</f>
        <v/>
      </c>
      <c r="AD169" s="539" t="str">
        <f t="shared" si="23"/>
        <v/>
      </c>
      <c r="AE169" s="82"/>
      <c r="AF169" s="82"/>
      <c r="AG169" s="507" t="str">
        <f t="shared" si="29"/>
        <v/>
      </c>
      <c r="AH169" s="521" t="str">
        <f t="shared" si="30"/>
        <v/>
      </c>
      <c r="AI169" s="522" t="str">
        <f>IF(AH169="Check Data","Check Data",IFERROR(VLOOKUP(AH169,'G-4 Temporal multipliers'!$A$4:$C$36,3,FALSE),""))</f>
        <v/>
      </c>
      <c r="AJ169" s="498" t="str">
        <f>IF(S169="","",VLOOKUP(S169,'G-3 Multipliers'!$A$2:$E$129,4,FALSE))</f>
        <v/>
      </c>
      <c r="AK169" s="507" t="str">
        <f t="shared" si="31"/>
        <v/>
      </c>
      <c r="AL169" s="507" t="str">
        <f t="shared" si="32"/>
        <v/>
      </c>
      <c r="AM169" s="540" t="str">
        <f>IFERROR(IF(F169="","",IF(AH169="Check Data ⚠","Check Data ⚠",VLOOKUP(AL169, 'G-3 Multipliers'!$P$2:$Q$6,2,FALSE))),"")</f>
        <v/>
      </c>
      <c r="AN169" s="513" t="str">
        <f t="shared" si="24"/>
        <v/>
      </c>
      <c r="AO169" s="239"/>
      <c r="AP169" s="240"/>
    </row>
    <row r="170" spans="1:42" x14ac:dyDescent="0.3">
      <c r="A170" s="47" t="str">
        <f>IF(E170="","",IF(ISNA(VLOOKUP($E170,'A-1 Site Habitat Baseline'!$D$1:$O$258,2,FALSE)),"",(VLOOKUP($E170,'A-1 Site Habitat Baseline'!$D$1:$O$258,2,FALSE))))</f>
        <v/>
      </c>
      <c r="B170" s="47" t="str">
        <f>IF(E170="","",IF(ISNA(VLOOKUP($E170,'A-1 Site Habitat Baseline'!$D$1:$O$258,3,FALSE)),"",(VLOOKUP($E170,'A-1 Site Habitat Baseline'!$D$1:$O$258,3,FALSE))))</f>
        <v/>
      </c>
      <c r="C170" s="47" t="str">
        <f>IFERROR(INDEX('G-8 Condition Look up'!$I$4:$I$130,MATCH(S170,'G-8 Condition Look up'!$A$4:$A$130,0)),"")</f>
        <v/>
      </c>
      <c r="E170" s="531" t="str">
        <f>'A-1 Site Habitat Baseline'!AL169</f>
        <v/>
      </c>
      <c r="F170" s="520" t="str">
        <f>IF(E170="","",IF(ISNA(VLOOKUP($E170,'A-1 Site Habitat Baseline'!$D$1:$O$258,4,FALSE)),"",(VLOOKUP($E170,'A-1 Site Habitat Baseline'!$D$1:$O$258,4,FALSE))))</f>
        <v/>
      </c>
      <c r="G170" s="520" t="str">
        <f>IF(E170="","",IF(ISNA(VLOOKUP($E170,'A-1 Site Habitat Baseline'!$D$1:$O$258,5,FALSE)),"",(VLOOKUP($E170,'A-1 Site Habitat Baseline'!$D$1:$O$258,5,FALSE))))</f>
        <v/>
      </c>
      <c r="H170" s="520" t="str">
        <f>IF(E170="","",IF(ISNA(VLOOKUP($E170,'A-1 Site Habitat Baseline'!$D$1:$O$258,6,FALSE)),"",(VLOOKUP($E170,'A-1 Site Habitat Baseline'!$D$1:$O$258,6,FALSE))))</f>
        <v/>
      </c>
      <c r="I170" s="520" t="str">
        <f>IF(E170="","",IF(ISNA(VLOOKUP($E170,'A-1 Site Habitat Baseline'!$D$1:$O$258,7,FALSE)),"",(VLOOKUP($E170,'A-1 Site Habitat Baseline'!$D$1:$O$258,7,FALSE))))</f>
        <v/>
      </c>
      <c r="J170" s="520" t="str">
        <f>IF(E170="","",IF(ISNA(VLOOKUP($E170,'A-1 Site Habitat Baseline'!$D$1:$O$258,8,FALSE)),"",(VLOOKUP($E170,'A-1 Site Habitat Baseline'!$D$1:$O$258,8,FALSE))))</f>
        <v/>
      </c>
      <c r="K170" s="520" t="str">
        <f>IF(E170="","",IF(ISNA(VLOOKUP($E170,'A-1 Site Habitat Baseline'!$D$1:$O$258,9,FALSE)),"",(VLOOKUP($E170,'A-1 Site Habitat Baseline'!$D$1:$O$258,9,FALSE))))</f>
        <v/>
      </c>
      <c r="L170" s="520" t="str">
        <f>IF(E170="","",IF(ISNA(VLOOKUP($E170,'A-1 Site Habitat Baseline'!$D$1:$O$258,11,FALSE)),"",(VLOOKUP($E170,'A-1 Site Habitat Baseline'!$D$1:$O$258,11,FALSE))))</f>
        <v/>
      </c>
      <c r="M170" s="520" t="str">
        <f>IF(E170="","",IF(ISNA(VLOOKUP($E170,'A-1 Site Habitat Baseline'!$D$1:$O$258,12,FALSE)),"",(VLOOKUP($E170,'A-1 Site Habitat Baseline'!$D$1:$O$258,12,FALSE))))</f>
        <v/>
      </c>
      <c r="N170" s="532" t="str">
        <f>IF(E170="","",IF(ISNA(VLOOKUP($E170,'A-1 Site Habitat Baseline'!$D$1:$X$258,14,FALSE)),"",(VLOOKUP($E170,'A-1 Site Habitat Baseline'!$D$1:$X$258,14,FALSE))))</f>
        <v/>
      </c>
      <c r="O170" s="524" t="str">
        <f>IF(E170="","",IF(ISNA(VLOOKUP($E170,'A-1 Site Habitat Baseline'!$D$1:$X$258,16,FALSE)),"",(VLOOKUP($E170,'A-1 Site Habitat Baseline'!$D$1:$X$258,13,FALSE))))</f>
        <v/>
      </c>
      <c r="P170" s="237" t="str">
        <f>IFERROR(INDEX('G-1 All Habitats'!$AG$3:$AG$15,MATCH(Q170,'G-1 All Habitats'!$AF$3:$AF$15,0)),"")</f>
        <v/>
      </c>
      <c r="Q170" s="238" t="str">
        <f t="shared" si="25"/>
        <v/>
      </c>
      <c r="R170" s="238" t="str">
        <f t="shared" si="26"/>
        <v/>
      </c>
      <c r="S170" s="392" t="str">
        <f>IFERROR(INDEX('G-1 All Habitats'!$B$3:$B$129,MATCH(R170,'G-1 All Habitats'!$A$3:$A$129,0)),"")</f>
        <v/>
      </c>
      <c r="T170" s="498" t="str">
        <f t="shared" si="27"/>
        <v/>
      </c>
      <c r="U170" s="499" t="str">
        <f t="shared" si="28"/>
        <v/>
      </c>
      <c r="V170" s="537" t="str">
        <f t="shared" si="22"/>
        <v/>
      </c>
      <c r="W170" s="520" t="str">
        <f>IF(S170="","",VLOOKUP(S170,'G-1 All Habitats'!$B$2:$M$129,10,FALSE))</f>
        <v/>
      </c>
      <c r="X170" s="520" t="str">
        <f>IFERROR(VLOOKUP(W170,'G-1 All Habitats'!$V$3:$W$7,2,FALSE),"")</f>
        <v/>
      </c>
      <c r="Y170" s="79"/>
      <c r="Z170" s="524" t="str">
        <f>IFERROR(INDEX('G-8 Condition Look up'!$A$3:$H$130,MATCH(S170,'G-8 Condition Look up'!$A$3:$A$130,0),MATCH(Y170,'G-8 Condition Look up'!$A$3:$H$3,0)),"")</f>
        <v/>
      </c>
      <c r="AA170" s="71"/>
      <c r="AB170" s="520" t="str">
        <f>IF(AA170="","",IF(VLOOKUP(AA170,'G-3 Multipliers'!$L$3:$N$6,2,FALSE)=0,"Spatial Data Missing ⚠",VLOOKUP(AA170,'G-3 Multipliers'!$L$3:$N$6,2,FALSE)))</f>
        <v/>
      </c>
      <c r="AC170" s="524" t="str">
        <f>IF(AA170="","",IF(VLOOKUP(AA170,'G-3 Multipliers'!$L$3:$N$6,3,FALSE)=0,"Spatial Data Missing ⚠",VLOOKUP(AA170,'G-3 Multipliers'!$L$3:$N$6,3,FALSE)))</f>
        <v/>
      </c>
      <c r="AD170" s="539" t="str">
        <f t="shared" si="23"/>
        <v/>
      </c>
      <c r="AE170" s="82"/>
      <c r="AF170" s="82"/>
      <c r="AG170" s="507" t="str">
        <f t="shared" si="29"/>
        <v/>
      </c>
      <c r="AH170" s="521" t="str">
        <f t="shared" si="30"/>
        <v/>
      </c>
      <c r="AI170" s="522" t="str">
        <f>IF(AH170="Check Data","Check Data",IFERROR(VLOOKUP(AH170,'G-4 Temporal multipliers'!$A$4:$C$36,3,FALSE),""))</f>
        <v/>
      </c>
      <c r="AJ170" s="498" t="str">
        <f>IF(S170="","",VLOOKUP(S170,'G-3 Multipliers'!$A$2:$E$129,4,FALSE))</f>
        <v/>
      </c>
      <c r="AK170" s="507" t="str">
        <f t="shared" si="31"/>
        <v/>
      </c>
      <c r="AL170" s="507" t="str">
        <f t="shared" si="32"/>
        <v/>
      </c>
      <c r="AM170" s="540" t="str">
        <f>IFERROR(IF(F170="","",IF(AH170="Check Data ⚠","Check Data ⚠",VLOOKUP(AL170, 'G-3 Multipliers'!$P$2:$Q$6,2,FALSE))),"")</f>
        <v/>
      </c>
      <c r="AN170" s="513" t="str">
        <f t="shared" si="24"/>
        <v/>
      </c>
      <c r="AO170" s="239"/>
      <c r="AP170" s="240"/>
    </row>
    <row r="171" spans="1:42" x14ac:dyDescent="0.3">
      <c r="A171" s="47" t="str">
        <f>IF(E171="","",IF(ISNA(VLOOKUP($E171,'A-1 Site Habitat Baseline'!$D$1:$O$258,2,FALSE)),"",(VLOOKUP($E171,'A-1 Site Habitat Baseline'!$D$1:$O$258,2,FALSE))))</f>
        <v/>
      </c>
      <c r="B171" s="47" t="str">
        <f>IF(E171="","",IF(ISNA(VLOOKUP($E171,'A-1 Site Habitat Baseline'!$D$1:$O$258,3,FALSE)),"",(VLOOKUP($E171,'A-1 Site Habitat Baseline'!$D$1:$O$258,3,FALSE))))</f>
        <v/>
      </c>
      <c r="C171" s="47" t="str">
        <f>IFERROR(INDEX('G-8 Condition Look up'!$I$4:$I$130,MATCH(S171,'G-8 Condition Look up'!$A$4:$A$130,0)),"")</f>
        <v/>
      </c>
      <c r="E171" s="531" t="str">
        <f>'A-1 Site Habitat Baseline'!AL170</f>
        <v/>
      </c>
      <c r="F171" s="520" t="str">
        <f>IF(E171="","",IF(ISNA(VLOOKUP($E171,'A-1 Site Habitat Baseline'!$D$1:$O$258,4,FALSE)),"",(VLOOKUP($E171,'A-1 Site Habitat Baseline'!$D$1:$O$258,4,FALSE))))</f>
        <v/>
      </c>
      <c r="G171" s="520" t="str">
        <f>IF(E171="","",IF(ISNA(VLOOKUP($E171,'A-1 Site Habitat Baseline'!$D$1:$O$258,5,FALSE)),"",(VLOOKUP($E171,'A-1 Site Habitat Baseline'!$D$1:$O$258,5,FALSE))))</f>
        <v/>
      </c>
      <c r="H171" s="520" t="str">
        <f>IF(E171="","",IF(ISNA(VLOOKUP($E171,'A-1 Site Habitat Baseline'!$D$1:$O$258,6,FALSE)),"",(VLOOKUP($E171,'A-1 Site Habitat Baseline'!$D$1:$O$258,6,FALSE))))</f>
        <v/>
      </c>
      <c r="I171" s="520" t="str">
        <f>IF(E171="","",IF(ISNA(VLOOKUP($E171,'A-1 Site Habitat Baseline'!$D$1:$O$258,7,FALSE)),"",(VLOOKUP($E171,'A-1 Site Habitat Baseline'!$D$1:$O$258,7,FALSE))))</f>
        <v/>
      </c>
      <c r="J171" s="520" t="str">
        <f>IF(E171="","",IF(ISNA(VLOOKUP($E171,'A-1 Site Habitat Baseline'!$D$1:$O$258,8,FALSE)),"",(VLOOKUP($E171,'A-1 Site Habitat Baseline'!$D$1:$O$258,8,FALSE))))</f>
        <v/>
      </c>
      <c r="K171" s="520" t="str">
        <f>IF(E171="","",IF(ISNA(VLOOKUP($E171,'A-1 Site Habitat Baseline'!$D$1:$O$258,9,FALSE)),"",(VLOOKUP($E171,'A-1 Site Habitat Baseline'!$D$1:$O$258,9,FALSE))))</f>
        <v/>
      </c>
      <c r="L171" s="520" t="str">
        <f>IF(E171="","",IF(ISNA(VLOOKUP($E171,'A-1 Site Habitat Baseline'!$D$1:$O$258,11,FALSE)),"",(VLOOKUP($E171,'A-1 Site Habitat Baseline'!$D$1:$O$258,11,FALSE))))</f>
        <v/>
      </c>
      <c r="M171" s="520" t="str">
        <f>IF(E171="","",IF(ISNA(VLOOKUP($E171,'A-1 Site Habitat Baseline'!$D$1:$O$258,12,FALSE)),"",(VLOOKUP($E171,'A-1 Site Habitat Baseline'!$D$1:$O$258,12,FALSE))))</f>
        <v/>
      </c>
      <c r="N171" s="532" t="str">
        <f>IF(E171="","",IF(ISNA(VLOOKUP($E171,'A-1 Site Habitat Baseline'!$D$1:$X$258,14,FALSE)),"",(VLOOKUP($E171,'A-1 Site Habitat Baseline'!$D$1:$X$258,14,FALSE))))</f>
        <v/>
      </c>
      <c r="O171" s="524" t="str">
        <f>IF(E171="","",IF(ISNA(VLOOKUP($E171,'A-1 Site Habitat Baseline'!$D$1:$X$258,16,FALSE)),"",(VLOOKUP($E171,'A-1 Site Habitat Baseline'!$D$1:$X$258,13,FALSE))))</f>
        <v/>
      </c>
      <c r="P171" s="237" t="str">
        <f>IFERROR(INDEX('G-1 All Habitats'!$AG$3:$AG$15,MATCH(Q171,'G-1 All Habitats'!$AF$3:$AF$15,0)),"")</f>
        <v/>
      </c>
      <c r="Q171" s="238" t="str">
        <f t="shared" si="25"/>
        <v/>
      </c>
      <c r="R171" s="238" t="str">
        <f t="shared" si="26"/>
        <v/>
      </c>
      <c r="S171" s="392" t="str">
        <f>IFERROR(INDEX('G-1 All Habitats'!$B$3:$B$129,MATCH(R171,'G-1 All Habitats'!$A$3:$A$129,0)),"")</f>
        <v/>
      </c>
      <c r="T171" s="498" t="str">
        <f t="shared" si="27"/>
        <v/>
      </c>
      <c r="U171" s="499" t="str">
        <f t="shared" si="28"/>
        <v/>
      </c>
      <c r="V171" s="537" t="str">
        <f t="shared" si="22"/>
        <v/>
      </c>
      <c r="W171" s="520" t="str">
        <f>IF(S171="","",VLOOKUP(S171,'G-1 All Habitats'!$B$2:$M$129,10,FALSE))</f>
        <v/>
      </c>
      <c r="X171" s="520" t="str">
        <f>IFERROR(VLOOKUP(W171,'G-1 All Habitats'!$V$3:$W$7,2,FALSE),"")</f>
        <v/>
      </c>
      <c r="Y171" s="79"/>
      <c r="Z171" s="524" t="str">
        <f>IFERROR(INDEX('G-8 Condition Look up'!$A$3:$H$130,MATCH(S171,'G-8 Condition Look up'!$A$3:$A$130,0),MATCH(Y171,'G-8 Condition Look up'!$A$3:$H$3,0)),"")</f>
        <v/>
      </c>
      <c r="AA171" s="71"/>
      <c r="AB171" s="520" t="str">
        <f>IF(AA171="","",IF(VLOOKUP(AA171,'G-3 Multipliers'!$L$3:$N$6,2,FALSE)=0,"Spatial Data Missing ⚠",VLOOKUP(AA171,'G-3 Multipliers'!$L$3:$N$6,2,FALSE)))</f>
        <v/>
      </c>
      <c r="AC171" s="524" t="str">
        <f>IF(AA171="","",IF(VLOOKUP(AA171,'G-3 Multipliers'!$L$3:$N$6,3,FALSE)=0,"Spatial Data Missing ⚠",VLOOKUP(AA171,'G-3 Multipliers'!$L$3:$N$6,3,FALSE)))</f>
        <v/>
      </c>
      <c r="AD171" s="539" t="str">
        <f t="shared" si="23"/>
        <v/>
      </c>
      <c r="AE171" s="82"/>
      <c r="AF171" s="82"/>
      <c r="AG171" s="507" t="str">
        <f t="shared" si="29"/>
        <v/>
      </c>
      <c r="AH171" s="521" t="str">
        <f t="shared" si="30"/>
        <v/>
      </c>
      <c r="AI171" s="522" t="str">
        <f>IF(AH171="Check Data","Check Data",IFERROR(VLOOKUP(AH171,'G-4 Temporal multipliers'!$A$4:$C$36,3,FALSE),""))</f>
        <v/>
      </c>
      <c r="AJ171" s="498" t="str">
        <f>IF(S171="","",VLOOKUP(S171,'G-3 Multipliers'!$A$2:$E$129,4,FALSE))</f>
        <v/>
      </c>
      <c r="AK171" s="507" t="str">
        <f t="shared" si="31"/>
        <v/>
      </c>
      <c r="AL171" s="507" t="str">
        <f t="shared" si="32"/>
        <v/>
      </c>
      <c r="AM171" s="540" t="str">
        <f>IFERROR(IF(F171="","",IF(AH171="Check Data ⚠","Check Data ⚠",VLOOKUP(AL171, 'G-3 Multipliers'!$P$2:$Q$6,2,FALSE))),"")</f>
        <v/>
      </c>
      <c r="AN171" s="513" t="str">
        <f t="shared" si="24"/>
        <v/>
      </c>
      <c r="AO171" s="239"/>
      <c r="AP171" s="240"/>
    </row>
    <row r="172" spans="1:42" x14ac:dyDescent="0.3">
      <c r="A172" s="47" t="str">
        <f>IF(E172="","",IF(ISNA(VLOOKUP($E172,'A-1 Site Habitat Baseline'!$D$1:$O$258,2,FALSE)),"",(VLOOKUP($E172,'A-1 Site Habitat Baseline'!$D$1:$O$258,2,FALSE))))</f>
        <v/>
      </c>
      <c r="B172" s="47" t="str">
        <f>IF(E172="","",IF(ISNA(VLOOKUP($E172,'A-1 Site Habitat Baseline'!$D$1:$O$258,3,FALSE)),"",(VLOOKUP($E172,'A-1 Site Habitat Baseline'!$D$1:$O$258,3,FALSE))))</f>
        <v/>
      </c>
      <c r="C172" s="47" t="str">
        <f>IFERROR(INDEX('G-8 Condition Look up'!$I$4:$I$130,MATCH(S172,'G-8 Condition Look up'!$A$4:$A$130,0)),"")</f>
        <v/>
      </c>
      <c r="E172" s="531" t="str">
        <f>'A-1 Site Habitat Baseline'!AL171</f>
        <v/>
      </c>
      <c r="F172" s="520" t="str">
        <f>IF(E172="","",IF(ISNA(VLOOKUP($E172,'A-1 Site Habitat Baseline'!$D$1:$O$258,4,FALSE)),"",(VLOOKUP($E172,'A-1 Site Habitat Baseline'!$D$1:$O$258,4,FALSE))))</f>
        <v/>
      </c>
      <c r="G172" s="520" t="str">
        <f>IF(E172="","",IF(ISNA(VLOOKUP($E172,'A-1 Site Habitat Baseline'!$D$1:$O$258,5,FALSE)),"",(VLOOKUP($E172,'A-1 Site Habitat Baseline'!$D$1:$O$258,5,FALSE))))</f>
        <v/>
      </c>
      <c r="H172" s="520" t="str">
        <f>IF(E172="","",IF(ISNA(VLOOKUP($E172,'A-1 Site Habitat Baseline'!$D$1:$O$258,6,FALSE)),"",(VLOOKUP($E172,'A-1 Site Habitat Baseline'!$D$1:$O$258,6,FALSE))))</f>
        <v/>
      </c>
      <c r="I172" s="520" t="str">
        <f>IF(E172="","",IF(ISNA(VLOOKUP($E172,'A-1 Site Habitat Baseline'!$D$1:$O$258,7,FALSE)),"",(VLOOKUP($E172,'A-1 Site Habitat Baseline'!$D$1:$O$258,7,FALSE))))</f>
        <v/>
      </c>
      <c r="J172" s="520" t="str">
        <f>IF(E172="","",IF(ISNA(VLOOKUP($E172,'A-1 Site Habitat Baseline'!$D$1:$O$258,8,FALSE)),"",(VLOOKUP($E172,'A-1 Site Habitat Baseline'!$D$1:$O$258,8,FALSE))))</f>
        <v/>
      </c>
      <c r="K172" s="520" t="str">
        <f>IF(E172="","",IF(ISNA(VLOOKUP($E172,'A-1 Site Habitat Baseline'!$D$1:$O$258,9,FALSE)),"",(VLOOKUP($E172,'A-1 Site Habitat Baseline'!$D$1:$O$258,9,FALSE))))</f>
        <v/>
      </c>
      <c r="L172" s="520" t="str">
        <f>IF(E172="","",IF(ISNA(VLOOKUP($E172,'A-1 Site Habitat Baseline'!$D$1:$O$258,11,FALSE)),"",(VLOOKUP($E172,'A-1 Site Habitat Baseline'!$D$1:$O$258,11,FALSE))))</f>
        <v/>
      </c>
      <c r="M172" s="520" t="str">
        <f>IF(E172="","",IF(ISNA(VLOOKUP($E172,'A-1 Site Habitat Baseline'!$D$1:$O$258,12,FALSE)),"",(VLOOKUP($E172,'A-1 Site Habitat Baseline'!$D$1:$O$258,12,FALSE))))</f>
        <v/>
      </c>
      <c r="N172" s="532" t="str">
        <f>IF(E172="","",IF(ISNA(VLOOKUP($E172,'A-1 Site Habitat Baseline'!$D$1:$X$258,14,FALSE)),"",(VLOOKUP($E172,'A-1 Site Habitat Baseline'!$D$1:$X$258,14,FALSE))))</f>
        <v/>
      </c>
      <c r="O172" s="524" t="str">
        <f>IF(E172="","",IF(ISNA(VLOOKUP($E172,'A-1 Site Habitat Baseline'!$D$1:$X$258,16,FALSE)),"",(VLOOKUP($E172,'A-1 Site Habitat Baseline'!$D$1:$X$258,13,FALSE))))</f>
        <v/>
      </c>
      <c r="P172" s="237" t="str">
        <f>IFERROR(INDEX('G-1 All Habitats'!$AG$3:$AG$15,MATCH(Q172,'G-1 All Habitats'!$AF$3:$AF$15,0)),"")</f>
        <v/>
      </c>
      <c r="Q172" s="238" t="str">
        <f t="shared" si="25"/>
        <v/>
      </c>
      <c r="R172" s="238" t="str">
        <f t="shared" si="26"/>
        <v/>
      </c>
      <c r="S172" s="392" t="str">
        <f>IFERROR(INDEX('G-1 All Habitats'!$B$3:$B$129,MATCH(R172,'G-1 All Habitats'!$A$3:$A$129,0)),"")</f>
        <v/>
      </c>
      <c r="T172" s="498" t="str">
        <f t="shared" si="27"/>
        <v/>
      </c>
      <c r="U172" s="499" t="str">
        <f t="shared" si="28"/>
        <v/>
      </c>
      <c r="V172" s="537" t="str">
        <f t="shared" si="22"/>
        <v/>
      </c>
      <c r="W172" s="520" t="str">
        <f>IF(S172="","",VLOOKUP(S172,'G-1 All Habitats'!$B$2:$M$129,10,FALSE))</f>
        <v/>
      </c>
      <c r="X172" s="520" t="str">
        <f>IFERROR(VLOOKUP(W172,'G-1 All Habitats'!$V$3:$W$7,2,FALSE),"")</f>
        <v/>
      </c>
      <c r="Y172" s="79"/>
      <c r="Z172" s="524" t="str">
        <f>IFERROR(INDEX('G-8 Condition Look up'!$A$3:$H$130,MATCH(S172,'G-8 Condition Look up'!$A$3:$A$130,0),MATCH(Y172,'G-8 Condition Look up'!$A$3:$H$3,0)),"")</f>
        <v/>
      </c>
      <c r="AA172" s="71"/>
      <c r="AB172" s="520" t="str">
        <f>IF(AA172="","",IF(VLOOKUP(AA172,'G-3 Multipliers'!$L$3:$N$6,2,FALSE)=0,"Spatial Data Missing ⚠",VLOOKUP(AA172,'G-3 Multipliers'!$L$3:$N$6,2,FALSE)))</f>
        <v/>
      </c>
      <c r="AC172" s="524" t="str">
        <f>IF(AA172="","",IF(VLOOKUP(AA172,'G-3 Multipliers'!$L$3:$N$6,3,FALSE)=0,"Spatial Data Missing ⚠",VLOOKUP(AA172,'G-3 Multipliers'!$L$3:$N$6,3,FALSE)))</f>
        <v/>
      </c>
      <c r="AD172" s="539" t="str">
        <f t="shared" si="23"/>
        <v/>
      </c>
      <c r="AE172" s="82"/>
      <c r="AF172" s="82"/>
      <c r="AG172" s="507" t="str">
        <f t="shared" si="29"/>
        <v/>
      </c>
      <c r="AH172" s="521" t="str">
        <f t="shared" si="30"/>
        <v/>
      </c>
      <c r="AI172" s="522" t="str">
        <f>IF(AH172="Check Data","Check Data",IFERROR(VLOOKUP(AH172,'G-4 Temporal multipliers'!$A$4:$C$36,3,FALSE),""))</f>
        <v/>
      </c>
      <c r="AJ172" s="498" t="str">
        <f>IF(S172="","",VLOOKUP(S172,'G-3 Multipliers'!$A$2:$E$129,4,FALSE))</f>
        <v/>
      </c>
      <c r="AK172" s="507" t="str">
        <f t="shared" si="31"/>
        <v/>
      </c>
      <c r="AL172" s="507" t="str">
        <f t="shared" si="32"/>
        <v/>
      </c>
      <c r="AM172" s="540" t="str">
        <f>IFERROR(IF(F172="","",IF(AH172="Check Data ⚠","Check Data ⚠",VLOOKUP(AL172, 'G-3 Multipliers'!$P$2:$Q$6,2,FALSE))),"")</f>
        <v/>
      </c>
      <c r="AN172" s="513" t="str">
        <f t="shared" si="24"/>
        <v/>
      </c>
      <c r="AO172" s="239"/>
      <c r="AP172" s="240"/>
    </row>
    <row r="173" spans="1:42" x14ac:dyDescent="0.3">
      <c r="A173" s="47" t="str">
        <f>IF(E173="","",IF(ISNA(VLOOKUP($E173,'A-1 Site Habitat Baseline'!$D$1:$O$258,2,FALSE)),"",(VLOOKUP($E173,'A-1 Site Habitat Baseline'!$D$1:$O$258,2,FALSE))))</f>
        <v/>
      </c>
      <c r="B173" s="47" t="str">
        <f>IF(E173="","",IF(ISNA(VLOOKUP($E173,'A-1 Site Habitat Baseline'!$D$1:$O$258,3,FALSE)),"",(VLOOKUP($E173,'A-1 Site Habitat Baseline'!$D$1:$O$258,3,FALSE))))</f>
        <v/>
      </c>
      <c r="C173" s="47" t="str">
        <f>IFERROR(INDEX('G-8 Condition Look up'!$I$4:$I$130,MATCH(S173,'G-8 Condition Look up'!$A$4:$A$130,0)),"")</f>
        <v/>
      </c>
      <c r="E173" s="531" t="str">
        <f>'A-1 Site Habitat Baseline'!AL172</f>
        <v/>
      </c>
      <c r="F173" s="520" t="str">
        <f>IF(E173="","",IF(ISNA(VLOOKUP($E173,'A-1 Site Habitat Baseline'!$D$1:$O$258,4,FALSE)),"",(VLOOKUP($E173,'A-1 Site Habitat Baseline'!$D$1:$O$258,4,FALSE))))</f>
        <v/>
      </c>
      <c r="G173" s="520" t="str">
        <f>IF(E173="","",IF(ISNA(VLOOKUP($E173,'A-1 Site Habitat Baseline'!$D$1:$O$258,5,FALSE)),"",(VLOOKUP($E173,'A-1 Site Habitat Baseline'!$D$1:$O$258,5,FALSE))))</f>
        <v/>
      </c>
      <c r="H173" s="520" t="str">
        <f>IF(E173="","",IF(ISNA(VLOOKUP($E173,'A-1 Site Habitat Baseline'!$D$1:$O$258,6,FALSE)),"",(VLOOKUP($E173,'A-1 Site Habitat Baseline'!$D$1:$O$258,6,FALSE))))</f>
        <v/>
      </c>
      <c r="I173" s="520" t="str">
        <f>IF(E173="","",IF(ISNA(VLOOKUP($E173,'A-1 Site Habitat Baseline'!$D$1:$O$258,7,FALSE)),"",(VLOOKUP($E173,'A-1 Site Habitat Baseline'!$D$1:$O$258,7,FALSE))))</f>
        <v/>
      </c>
      <c r="J173" s="520" t="str">
        <f>IF(E173="","",IF(ISNA(VLOOKUP($E173,'A-1 Site Habitat Baseline'!$D$1:$O$258,8,FALSE)),"",(VLOOKUP($E173,'A-1 Site Habitat Baseline'!$D$1:$O$258,8,FALSE))))</f>
        <v/>
      </c>
      <c r="K173" s="520" t="str">
        <f>IF(E173="","",IF(ISNA(VLOOKUP($E173,'A-1 Site Habitat Baseline'!$D$1:$O$258,9,FALSE)),"",(VLOOKUP($E173,'A-1 Site Habitat Baseline'!$D$1:$O$258,9,FALSE))))</f>
        <v/>
      </c>
      <c r="L173" s="520" t="str">
        <f>IF(E173="","",IF(ISNA(VLOOKUP($E173,'A-1 Site Habitat Baseline'!$D$1:$O$258,11,FALSE)),"",(VLOOKUP($E173,'A-1 Site Habitat Baseline'!$D$1:$O$258,11,FALSE))))</f>
        <v/>
      </c>
      <c r="M173" s="520" t="str">
        <f>IF(E173="","",IF(ISNA(VLOOKUP($E173,'A-1 Site Habitat Baseline'!$D$1:$O$258,12,FALSE)),"",(VLOOKUP($E173,'A-1 Site Habitat Baseline'!$D$1:$O$258,12,FALSE))))</f>
        <v/>
      </c>
      <c r="N173" s="532" t="str">
        <f>IF(E173="","",IF(ISNA(VLOOKUP($E173,'A-1 Site Habitat Baseline'!$D$1:$X$258,14,FALSE)),"",(VLOOKUP($E173,'A-1 Site Habitat Baseline'!$D$1:$X$258,14,FALSE))))</f>
        <v/>
      </c>
      <c r="O173" s="524" t="str">
        <f>IF(E173="","",IF(ISNA(VLOOKUP($E173,'A-1 Site Habitat Baseline'!$D$1:$X$258,16,FALSE)),"",(VLOOKUP($E173,'A-1 Site Habitat Baseline'!$D$1:$X$258,13,FALSE))))</f>
        <v/>
      </c>
      <c r="P173" s="237" t="str">
        <f>IFERROR(INDEX('G-1 All Habitats'!$AG$3:$AG$15,MATCH(Q173,'G-1 All Habitats'!$AF$3:$AF$15,0)),"")</f>
        <v/>
      </c>
      <c r="Q173" s="238" t="str">
        <f t="shared" si="25"/>
        <v/>
      </c>
      <c r="R173" s="238" t="str">
        <f t="shared" si="26"/>
        <v/>
      </c>
      <c r="S173" s="392" t="str">
        <f>IFERROR(INDEX('G-1 All Habitats'!$B$3:$B$129,MATCH(R173,'G-1 All Habitats'!$A$3:$A$129,0)),"")</f>
        <v/>
      </c>
      <c r="T173" s="498" t="str">
        <f t="shared" si="27"/>
        <v/>
      </c>
      <c r="U173" s="499" t="str">
        <f t="shared" si="28"/>
        <v/>
      </c>
      <c r="V173" s="537" t="str">
        <f t="shared" si="22"/>
        <v/>
      </c>
      <c r="W173" s="520" t="str">
        <f>IF(S173="","",VLOOKUP(S173,'G-1 All Habitats'!$B$2:$M$129,10,FALSE))</f>
        <v/>
      </c>
      <c r="X173" s="520" t="str">
        <f>IFERROR(VLOOKUP(W173,'G-1 All Habitats'!$V$3:$W$7,2,FALSE),"")</f>
        <v/>
      </c>
      <c r="Y173" s="79"/>
      <c r="Z173" s="524" t="str">
        <f>IFERROR(INDEX('G-8 Condition Look up'!$A$3:$H$130,MATCH(S173,'G-8 Condition Look up'!$A$3:$A$130,0),MATCH(Y173,'G-8 Condition Look up'!$A$3:$H$3,0)),"")</f>
        <v/>
      </c>
      <c r="AA173" s="71"/>
      <c r="AB173" s="520" t="str">
        <f>IF(AA173="","",IF(VLOOKUP(AA173,'G-3 Multipliers'!$L$3:$N$6,2,FALSE)=0,"Spatial Data Missing ⚠",VLOOKUP(AA173,'G-3 Multipliers'!$L$3:$N$6,2,FALSE)))</f>
        <v/>
      </c>
      <c r="AC173" s="524" t="str">
        <f>IF(AA173="","",IF(VLOOKUP(AA173,'G-3 Multipliers'!$L$3:$N$6,3,FALSE)=0,"Spatial Data Missing ⚠",VLOOKUP(AA173,'G-3 Multipliers'!$L$3:$N$6,3,FALSE)))</f>
        <v/>
      </c>
      <c r="AD173" s="539" t="str">
        <f t="shared" si="23"/>
        <v/>
      </c>
      <c r="AE173" s="82"/>
      <c r="AF173" s="82"/>
      <c r="AG173" s="507" t="str">
        <f t="shared" si="29"/>
        <v/>
      </c>
      <c r="AH173" s="521" t="str">
        <f t="shared" si="30"/>
        <v/>
      </c>
      <c r="AI173" s="522" t="str">
        <f>IF(AH173="Check Data","Check Data",IFERROR(VLOOKUP(AH173,'G-4 Temporal multipliers'!$A$4:$C$36,3,FALSE),""))</f>
        <v/>
      </c>
      <c r="AJ173" s="498" t="str">
        <f>IF(S173="","",VLOOKUP(S173,'G-3 Multipliers'!$A$2:$E$129,4,FALSE))</f>
        <v/>
      </c>
      <c r="AK173" s="507" t="str">
        <f t="shared" si="31"/>
        <v/>
      </c>
      <c r="AL173" s="507" t="str">
        <f t="shared" si="32"/>
        <v/>
      </c>
      <c r="AM173" s="540" t="str">
        <f>IFERROR(IF(F173="","",IF(AH173="Check Data ⚠","Check Data ⚠",VLOOKUP(AL173, 'G-3 Multipliers'!$P$2:$Q$6,2,FALSE))),"")</f>
        <v/>
      </c>
      <c r="AN173" s="513" t="str">
        <f t="shared" si="24"/>
        <v/>
      </c>
      <c r="AO173" s="239"/>
      <c r="AP173" s="240"/>
    </row>
    <row r="174" spans="1:42" x14ac:dyDescent="0.3">
      <c r="A174" s="47" t="str">
        <f>IF(E174="","",IF(ISNA(VLOOKUP($E174,'A-1 Site Habitat Baseline'!$D$1:$O$258,2,FALSE)),"",(VLOOKUP($E174,'A-1 Site Habitat Baseline'!$D$1:$O$258,2,FALSE))))</f>
        <v/>
      </c>
      <c r="B174" s="47" t="str">
        <f>IF(E174="","",IF(ISNA(VLOOKUP($E174,'A-1 Site Habitat Baseline'!$D$1:$O$258,3,FALSE)),"",(VLOOKUP($E174,'A-1 Site Habitat Baseline'!$D$1:$O$258,3,FALSE))))</f>
        <v/>
      </c>
      <c r="C174" s="47" t="str">
        <f>IFERROR(INDEX('G-8 Condition Look up'!$I$4:$I$130,MATCH(S174,'G-8 Condition Look up'!$A$4:$A$130,0)),"")</f>
        <v/>
      </c>
      <c r="E174" s="531" t="str">
        <f>'A-1 Site Habitat Baseline'!AL173</f>
        <v/>
      </c>
      <c r="F174" s="520" t="str">
        <f>IF(E174="","",IF(ISNA(VLOOKUP($E174,'A-1 Site Habitat Baseline'!$D$1:$O$258,4,FALSE)),"",(VLOOKUP($E174,'A-1 Site Habitat Baseline'!$D$1:$O$258,4,FALSE))))</f>
        <v/>
      </c>
      <c r="G174" s="520" t="str">
        <f>IF(E174="","",IF(ISNA(VLOOKUP($E174,'A-1 Site Habitat Baseline'!$D$1:$O$258,5,FALSE)),"",(VLOOKUP($E174,'A-1 Site Habitat Baseline'!$D$1:$O$258,5,FALSE))))</f>
        <v/>
      </c>
      <c r="H174" s="520" t="str">
        <f>IF(E174="","",IF(ISNA(VLOOKUP($E174,'A-1 Site Habitat Baseline'!$D$1:$O$258,6,FALSE)),"",(VLOOKUP($E174,'A-1 Site Habitat Baseline'!$D$1:$O$258,6,FALSE))))</f>
        <v/>
      </c>
      <c r="I174" s="520" t="str">
        <f>IF(E174="","",IF(ISNA(VLOOKUP($E174,'A-1 Site Habitat Baseline'!$D$1:$O$258,7,FALSE)),"",(VLOOKUP($E174,'A-1 Site Habitat Baseline'!$D$1:$O$258,7,FALSE))))</f>
        <v/>
      </c>
      <c r="J174" s="520" t="str">
        <f>IF(E174="","",IF(ISNA(VLOOKUP($E174,'A-1 Site Habitat Baseline'!$D$1:$O$258,8,FALSE)),"",(VLOOKUP($E174,'A-1 Site Habitat Baseline'!$D$1:$O$258,8,FALSE))))</f>
        <v/>
      </c>
      <c r="K174" s="520" t="str">
        <f>IF(E174="","",IF(ISNA(VLOOKUP($E174,'A-1 Site Habitat Baseline'!$D$1:$O$258,9,FALSE)),"",(VLOOKUP($E174,'A-1 Site Habitat Baseline'!$D$1:$O$258,9,FALSE))))</f>
        <v/>
      </c>
      <c r="L174" s="520" t="str">
        <f>IF(E174="","",IF(ISNA(VLOOKUP($E174,'A-1 Site Habitat Baseline'!$D$1:$O$258,11,FALSE)),"",(VLOOKUP($E174,'A-1 Site Habitat Baseline'!$D$1:$O$258,11,FALSE))))</f>
        <v/>
      </c>
      <c r="M174" s="520" t="str">
        <f>IF(E174="","",IF(ISNA(VLOOKUP($E174,'A-1 Site Habitat Baseline'!$D$1:$O$258,12,FALSE)),"",(VLOOKUP($E174,'A-1 Site Habitat Baseline'!$D$1:$O$258,12,FALSE))))</f>
        <v/>
      </c>
      <c r="N174" s="532" t="str">
        <f>IF(E174="","",IF(ISNA(VLOOKUP($E174,'A-1 Site Habitat Baseline'!$D$1:$X$258,14,FALSE)),"",(VLOOKUP($E174,'A-1 Site Habitat Baseline'!$D$1:$X$258,14,FALSE))))</f>
        <v/>
      </c>
      <c r="O174" s="524" t="str">
        <f>IF(E174="","",IF(ISNA(VLOOKUP($E174,'A-1 Site Habitat Baseline'!$D$1:$X$258,16,FALSE)),"",(VLOOKUP($E174,'A-1 Site Habitat Baseline'!$D$1:$X$258,13,FALSE))))</f>
        <v/>
      </c>
      <c r="P174" s="237" t="str">
        <f>IFERROR(INDEX('G-1 All Habitats'!$AG$3:$AG$15,MATCH(Q174,'G-1 All Habitats'!$AF$3:$AF$15,0)),"")</f>
        <v/>
      </c>
      <c r="Q174" s="238" t="str">
        <f t="shared" si="25"/>
        <v/>
      </c>
      <c r="R174" s="238" t="str">
        <f t="shared" si="26"/>
        <v/>
      </c>
      <c r="S174" s="392" t="str">
        <f>IFERROR(INDEX('G-1 All Habitats'!$B$3:$B$129,MATCH(R174,'G-1 All Habitats'!$A$3:$A$129,0)),"")</f>
        <v/>
      </c>
      <c r="T174" s="498" t="str">
        <f t="shared" si="27"/>
        <v/>
      </c>
      <c r="U174" s="499" t="str">
        <f t="shared" si="28"/>
        <v/>
      </c>
      <c r="V174" s="537" t="str">
        <f t="shared" si="22"/>
        <v/>
      </c>
      <c r="W174" s="520" t="str">
        <f>IF(S174="","",VLOOKUP(S174,'G-1 All Habitats'!$B$2:$M$129,10,FALSE))</f>
        <v/>
      </c>
      <c r="X174" s="520" t="str">
        <f>IFERROR(VLOOKUP(W174,'G-1 All Habitats'!$V$3:$W$7,2,FALSE),"")</f>
        <v/>
      </c>
      <c r="Y174" s="79"/>
      <c r="Z174" s="524" t="str">
        <f>IFERROR(INDEX('G-8 Condition Look up'!$A$3:$H$130,MATCH(S174,'G-8 Condition Look up'!$A$3:$A$130,0),MATCH(Y174,'G-8 Condition Look up'!$A$3:$H$3,0)),"")</f>
        <v/>
      </c>
      <c r="AA174" s="71"/>
      <c r="AB174" s="520" t="str">
        <f>IF(AA174="","",IF(VLOOKUP(AA174,'G-3 Multipliers'!$L$3:$N$6,2,FALSE)=0,"Spatial Data Missing ⚠",VLOOKUP(AA174,'G-3 Multipliers'!$L$3:$N$6,2,FALSE)))</f>
        <v/>
      </c>
      <c r="AC174" s="524" t="str">
        <f>IF(AA174="","",IF(VLOOKUP(AA174,'G-3 Multipliers'!$L$3:$N$6,3,FALSE)=0,"Spatial Data Missing ⚠",VLOOKUP(AA174,'G-3 Multipliers'!$L$3:$N$6,3,FALSE)))</f>
        <v/>
      </c>
      <c r="AD174" s="539" t="str">
        <f t="shared" si="23"/>
        <v/>
      </c>
      <c r="AE174" s="82"/>
      <c r="AF174" s="82"/>
      <c r="AG174" s="507" t="str">
        <f t="shared" si="29"/>
        <v/>
      </c>
      <c r="AH174" s="521" t="str">
        <f t="shared" si="30"/>
        <v/>
      </c>
      <c r="AI174" s="522" t="str">
        <f>IF(AH174="Check Data","Check Data",IFERROR(VLOOKUP(AH174,'G-4 Temporal multipliers'!$A$4:$C$36,3,FALSE),""))</f>
        <v/>
      </c>
      <c r="AJ174" s="498" t="str">
        <f>IF(S174="","",VLOOKUP(S174,'G-3 Multipliers'!$A$2:$E$129,4,FALSE))</f>
        <v/>
      </c>
      <c r="AK174" s="507" t="str">
        <f t="shared" si="31"/>
        <v/>
      </c>
      <c r="AL174" s="507" t="str">
        <f t="shared" si="32"/>
        <v/>
      </c>
      <c r="AM174" s="540" t="str">
        <f>IFERROR(IF(F174="","",IF(AH174="Check Data ⚠","Check Data ⚠",VLOOKUP(AL174, 'G-3 Multipliers'!$P$2:$Q$6,2,FALSE))),"")</f>
        <v/>
      </c>
      <c r="AN174" s="513" t="str">
        <f t="shared" si="24"/>
        <v/>
      </c>
      <c r="AO174" s="239"/>
      <c r="AP174" s="240"/>
    </row>
    <row r="175" spans="1:42" x14ac:dyDescent="0.3">
      <c r="A175" s="47" t="str">
        <f>IF(E175="","",IF(ISNA(VLOOKUP($E175,'A-1 Site Habitat Baseline'!$D$1:$O$258,2,FALSE)),"",(VLOOKUP($E175,'A-1 Site Habitat Baseline'!$D$1:$O$258,2,FALSE))))</f>
        <v/>
      </c>
      <c r="B175" s="47" t="str">
        <f>IF(E175="","",IF(ISNA(VLOOKUP($E175,'A-1 Site Habitat Baseline'!$D$1:$O$258,3,FALSE)),"",(VLOOKUP($E175,'A-1 Site Habitat Baseline'!$D$1:$O$258,3,FALSE))))</f>
        <v/>
      </c>
      <c r="C175" s="47" t="str">
        <f>IFERROR(INDEX('G-8 Condition Look up'!$I$4:$I$130,MATCH(S175,'G-8 Condition Look up'!$A$4:$A$130,0)),"")</f>
        <v/>
      </c>
      <c r="E175" s="531" t="str">
        <f>'A-1 Site Habitat Baseline'!AL174</f>
        <v/>
      </c>
      <c r="F175" s="520" t="str">
        <f>IF(E175="","",IF(ISNA(VLOOKUP($E175,'A-1 Site Habitat Baseline'!$D$1:$O$258,4,FALSE)),"",(VLOOKUP($E175,'A-1 Site Habitat Baseline'!$D$1:$O$258,4,FALSE))))</f>
        <v/>
      </c>
      <c r="G175" s="520" t="str">
        <f>IF(E175="","",IF(ISNA(VLOOKUP($E175,'A-1 Site Habitat Baseline'!$D$1:$O$258,5,FALSE)),"",(VLOOKUP($E175,'A-1 Site Habitat Baseline'!$D$1:$O$258,5,FALSE))))</f>
        <v/>
      </c>
      <c r="H175" s="520" t="str">
        <f>IF(E175="","",IF(ISNA(VLOOKUP($E175,'A-1 Site Habitat Baseline'!$D$1:$O$258,6,FALSE)),"",(VLOOKUP($E175,'A-1 Site Habitat Baseline'!$D$1:$O$258,6,FALSE))))</f>
        <v/>
      </c>
      <c r="I175" s="520" t="str">
        <f>IF(E175="","",IF(ISNA(VLOOKUP($E175,'A-1 Site Habitat Baseline'!$D$1:$O$258,7,FALSE)),"",(VLOOKUP($E175,'A-1 Site Habitat Baseline'!$D$1:$O$258,7,FALSE))))</f>
        <v/>
      </c>
      <c r="J175" s="520" t="str">
        <f>IF(E175="","",IF(ISNA(VLOOKUP($E175,'A-1 Site Habitat Baseline'!$D$1:$O$258,8,FALSE)),"",(VLOOKUP($E175,'A-1 Site Habitat Baseline'!$D$1:$O$258,8,FALSE))))</f>
        <v/>
      </c>
      <c r="K175" s="520" t="str">
        <f>IF(E175="","",IF(ISNA(VLOOKUP($E175,'A-1 Site Habitat Baseline'!$D$1:$O$258,9,FALSE)),"",(VLOOKUP($E175,'A-1 Site Habitat Baseline'!$D$1:$O$258,9,FALSE))))</f>
        <v/>
      </c>
      <c r="L175" s="520" t="str">
        <f>IF(E175="","",IF(ISNA(VLOOKUP($E175,'A-1 Site Habitat Baseline'!$D$1:$O$258,11,FALSE)),"",(VLOOKUP($E175,'A-1 Site Habitat Baseline'!$D$1:$O$258,11,FALSE))))</f>
        <v/>
      </c>
      <c r="M175" s="520" t="str">
        <f>IF(E175="","",IF(ISNA(VLOOKUP($E175,'A-1 Site Habitat Baseline'!$D$1:$O$258,12,FALSE)),"",(VLOOKUP($E175,'A-1 Site Habitat Baseline'!$D$1:$O$258,12,FALSE))))</f>
        <v/>
      </c>
      <c r="N175" s="532" t="str">
        <f>IF(E175="","",IF(ISNA(VLOOKUP($E175,'A-1 Site Habitat Baseline'!$D$1:$X$258,14,FALSE)),"",(VLOOKUP($E175,'A-1 Site Habitat Baseline'!$D$1:$X$258,14,FALSE))))</f>
        <v/>
      </c>
      <c r="O175" s="524" t="str">
        <f>IF(E175="","",IF(ISNA(VLOOKUP($E175,'A-1 Site Habitat Baseline'!$D$1:$X$258,16,FALSE)),"",(VLOOKUP($E175,'A-1 Site Habitat Baseline'!$D$1:$X$258,13,FALSE))))</f>
        <v/>
      </c>
      <c r="P175" s="237" t="str">
        <f>IFERROR(INDEX('G-1 All Habitats'!$AG$3:$AG$15,MATCH(Q175,'G-1 All Habitats'!$AF$3:$AF$15,0)),"")</f>
        <v/>
      </c>
      <c r="Q175" s="238" t="str">
        <f t="shared" si="25"/>
        <v/>
      </c>
      <c r="R175" s="238" t="str">
        <f t="shared" si="26"/>
        <v/>
      </c>
      <c r="S175" s="392" t="str">
        <f>IFERROR(INDEX('G-1 All Habitats'!$B$3:$B$129,MATCH(R175,'G-1 All Habitats'!$A$3:$A$129,0)),"")</f>
        <v/>
      </c>
      <c r="T175" s="498" t="str">
        <f t="shared" si="27"/>
        <v/>
      </c>
      <c r="U175" s="499" t="str">
        <f t="shared" si="28"/>
        <v/>
      </c>
      <c r="V175" s="537" t="str">
        <f t="shared" si="22"/>
        <v/>
      </c>
      <c r="W175" s="520" t="str">
        <f>IF(S175="","",VLOOKUP(S175,'G-1 All Habitats'!$B$2:$M$129,10,FALSE))</f>
        <v/>
      </c>
      <c r="X175" s="520" t="str">
        <f>IFERROR(VLOOKUP(W175,'G-1 All Habitats'!$V$3:$W$7,2,FALSE),"")</f>
        <v/>
      </c>
      <c r="Y175" s="79"/>
      <c r="Z175" s="524" t="str">
        <f>IFERROR(INDEX('G-8 Condition Look up'!$A$3:$H$130,MATCH(S175,'G-8 Condition Look up'!$A$3:$A$130,0),MATCH(Y175,'G-8 Condition Look up'!$A$3:$H$3,0)),"")</f>
        <v/>
      </c>
      <c r="AA175" s="71"/>
      <c r="AB175" s="520" t="str">
        <f>IF(AA175="","",IF(VLOOKUP(AA175,'G-3 Multipliers'!$L$3:$N$6,2,FALSE)=0,"Spatial Data Missing ⚠",VLOOKUP(AA175,'G-3 Multipliers'!$L$3:$N$6,2,FALSE)))</f>
        <v/>
      </c>
      <c r="AC175" s="524" t="str">
        <f>IF(AA175="","",IF(VLOOKUP(AA175,'G-3 Multipliers'!$L$3:$N$6,3,FALSE)=0,"Spatial Data Missing ⚠",VLOOKUP(AA175,'G-3 Multipliers'!$L$3:$N$6,3,FALSE)))</f>
        <v/>
      </c>
      <c r="AD175" s="539" t="str">
        <f t="shared" si="23"/>
        <v/>
      </c>
      <c r="AE175" s="82"/>
      <c r="AF175" s="82"/>
      <c r="AG175" s="507" t="str">
        <f t="shared" si="29"/>
        <v/>
      </c>
      <c r="AH175" s="521" t="str">
        <f t="shared" si="30"/>
        <v/>
      </c>
      <c r="AI175" s="522" t="str">
        <f>IF(AH175="Check Data","Check Data",IFERROR(VLOOKUP(AH175,'G-4 Temporal multipliers'!$A$4:$C$36,3,FALSE),""))</f>
        <v/>
      </c>
      <c r="AJ175" s="498" t="str">
        <f>IF(S175="","",VLOOKUP(S175,'G-3 Multipliers'!$A$2:$E$129,4,FALSE))</f>
        <v/>
      </c>
      <c r="AK175" s="507" t="str">
        <f t="shared" si="31"/>
        <v/>
      </c>
      <c r="AL175" s="507" t="str">
        <f t="shared" si="32"/>
        <v/>
      </c>
      <c r="AM175" s="540" t="str">
        <f>IFERROR(IF(F175="","",IF(AH175="Check Data ⚠","Check Data ⚠",VLOOKUP(AL175, 'G-3 Multipliers'!$P$2:$Q$6,2,FALSE))),"")</f>
        <v/>
      </c>
      <c r="AN175" s="513" t="str">
        <f t="shared" si="24"/>
        <v/>
      </c>
      <c r="AO175" s="239"/>
      <c r="AP175" s="240"/>
    </row>
    <row r="176" spans="1:42" x14ac:dyDescent="0.3">
      <c r="A176" s="47" t="str">
        <f>IF(E176="","",IF(ISNA(VLOOKUP($E176,'A-1 Site Habitat Baseline'!$D$1:$O$258,2,FALSE)),"",(VLOOKUP($E176,'A-1 Site Habitat Baseline'!$D$1:$O$258,2,FALSE))))</f>
        <v/>
      </c>
      <c r="B176" s="47" t="str">
        <f>IF(E176="","",IF(ISNA(VLOOKUP($E176,'A-1 Site Habitat Baseline'!$D$1:$O$258,3,FALSE)),"",(VLOOKUP($E176,'A-1 Site Habitat Baseline'!$D$1:$O$258,3,FALSE))))</f>
        <v/>
      </c>
      <c r="C176" s="47" t="str">
        <f>IFERROR(INDEX('G-8 Condition Look up'!$I$4:$I$130,MATCH(S176,'G-8 Condition Look up'!$A$4:$A$130,0)),"")</f>
        <v/>
      </c>
      <c r="E176" s="531" t="str">
        <f>'A-1 Site Habitat Baseline'!AL175</f>
        <v/>
      </c>
      <c r="F176" s="520" t="str">
        <f>IF(E176="","",IF(ISNA(VLOOKUP($E176,'A-1 Site Habitat Baseline'!$D$1:$O$258,4,FALSE)),"",(VLOOKUP($E176,'A-1 Site Habitat Baseline'!$D$1:$O$258,4,FALSE))))</f>
        <v/>
      </c>
      <c r="G176" s="520" t="str">
        <f>IF(E176="","",IF(ISNA(VLOOKUP($E176,'A-1 Site Habitat Baseline'!$D$1:$O$258,5,FALSE)),"",(VLOOKUP($E176,'A-1 Site Habitat Baseline'!$D$1:$O$258,5,FALSE))))</f>
        <v/>
      </c>
      <c r="H176" s="520" t="str">
        <f>IF(E176="","",IF(ISNA(VLOOKUP($E176,'A-1 Site Habitat Baseline'!$D$1:$O$258,6,FALSE)),"",(VLOOKUP($E176,'A-1 Site Habitat Baseline'!$D$1:$O$258,6,FALSE))))</f>
        <v/>
      </c>
      <c r="I176" s="520" t="str">
        <f>IF(E176="","",IF(ISNA(VLOOKUP($E176,'A-1 Site Habitat Baseline'!$D$1:$O$258,7,FALSE)),"",(VLOOKUP($E176,'A-1 Site Habitat Baseline'!$D$1:$O$258,7,FALSE))))</f>
        <v/>
      </c>
      <c r="J176" s="520" t="str">
        <f>IF(E176="","",IF(ISNA(VLOOKUP($E176,'A-1 Site Habitat Baseline'!$D$1:$O$258,8,FALSE)),"",(VLOOKUP($E176,'A-1 Site Habitat Baseline'!$D$1:$O$258,8,FALSE))))</f>
        <v/>
      </c>
      <c r="K176" s="520" t="str">
        <f>IF(E176="","",IF(ISNA(VLOOKUP($E176,'A-1 Site Habitat Baseline'!$D$1:$O$258,9,FALSE)),"",(VLOOKUP($E176,'A-1 Site Habitat Baseline'!$D$1:$O$258,9,FALSE))))</f>
        <v/>
      </c>
      <c r="L176" s="520" t="str">
        <f>IF(E176="","",IF(ISNA(VLOOKUP($E176,'A-1 Site Habitat Baseline'!$D$1:$O$258,11,FALSE)),"",(VLOOKUP($E176,'A-1 Site Habitat Baseline'!$D$1:$O$258,11,FALSE))))</f>
        <v/>
      </c>
      <c r="M176" s="520" t="str">
        <f>IF(E176="","",IF(ISNA(VLOOKUP($E176,'A-1 Site Habitat Baseline'!$D$1:$O$258,12,FALSE)),"",(VLOOKUP($E176,'A-1 Site Habitat Baseline'!$D$1:$O$258,12,FALSE))))</f>
        <v/>
      </c>
      <c r="N176" s="532" t="str">
        <f>IF(E176="","",IF(ISNA(VLOOKUP($E176,'A-1 Site Habitat Baseline'!$D$1:$X$258,14,FALSE)),"",(VLOOKUP($E176,'A-1 Site Habitat Baseline'!$D$1:$X$258,14,FALSE))))</f>
        <v/>
      </c>
      <c r="O176" s="524" t="str">
        <f>IF(E176="","",IF(ISNA(VLOOKUP($E176,'A-1 Site Habitat Baseline'!$D$1:$X$258,16,FALSE)),"",(VLOOKUP($E176,'A-1 Site Habitat Baseline'!$D$1:$X$258,13,FALSE))))</f>
        <v/>
      </c>
      <c r="P176" s="237" t="str">
        <f>IFERROR(INDEX('G-1 All Habitats'!$AG$3:$AG$15,MATCH(Q176,'G-1 All Habitats'!$AF$3:$AF$15,0)),"")</f>
        <v/>
      </c>
      <c r="Q176" s="238" t="str">
        <f t="shared" si="25"/>
        <v/>
      </c>
      <c r="R176" s="238" t="str">
        <f t="shared" si="26"/>
        <v/>
      </c>
      <c r="S176" s="392" t="str">
        <f>IFERROR(INDEX('G-1 All Habitats'!$B$3:$B$129,MATCH(R176,'G-1 All Habitats'!$A$3:$A$129,0)),"")</f>
        <v/>
      </c>
      <c r="T176" s="498" t="str">
        <f t="shared" si="27"/>
        <v/>
      </c>
      <c r="U176" s="499" t="str">
        <f t="shared" si="28"/>
        <v/>
      </c>
      <c r="V176" s="537" t="str">
        <f t="shared" si="22"/>
        <v/>
      </c>
      <c r="W176" s="520" t="str">
        <f>IF(S176="","",VLOOKUP(S176,'G-1 All Habitats'!$B$2:$M$129,10,FALSE))</f>
        <v/>
      </c>
      <c r="X176" s="520" t="str">
        <f>IFERROR(VLOOKUP(W176,'G-1 All Habitats'!$V$3:$W$7,2,FALSE),"")</f>
        <v/>
      </c>
      <c r="Y176" s="79"/>
      <c r="Z176" s="524" t="str">
        <f>IFERROR(INDEX('G-8 Condition Look up'!$A$3:$H$130,MATCH(S176,'G-8 Condition Look up'!$A$3:$A$130,0),MATCH(Y176,'G-8 Condition Look up'!$A$3:$H$3,0)),"")</f>
        <v/>
      </c>
      <c r="AA176" s="71"/>
      <c r="AB176" s="520" t="str">
        <f>IF(AA176="","",IF(VLOOKUP(AA176,'G-3 Multipliers'!$L$3:$N$6,2,FALSE)=0,"Spatial Data Missing ⚠",VLOOKUP(AA176,'G-3 Multipliers'!$L$3:$N$6,2,FALSE)))</f>
        <v/>
      </c>
      <c r="AC176" s="524" t="str">
        <f>IF(AA176="","",IF(VLOOKUP(AA176,'G-3 Multipliers'!$L$3:$N$6,3,FALSE)=0,"Spatial Data Missing ⚠",VLOOKUP(AA176,'G-3 Multipliers'!$L$3:$N$6,3,FALSE)))</f>
        <v/>
      </c>
      <c r="AD176" s="539" t="str">
        <f t="shared" si="23"/>
        <v/>
      </c>
      <c r="AE176" s="82"/>
      <c r="AF176" s="82"/>
      <c r="AG176" s="507" t="str">
        <f t="shared" si="29"/>
        <v/>
      </c>
      <c r="AH176" s="521" t="str">
        <f t="shared" si="30"/>
        <v/>
      </c>
      <c r="AI176" s="522" t="str">
        <f>IF(AH176="Check Data","Check Data",IFERROR(VLOOKUP(AH176,'G-4 Temporal multipliers'!$A$4:$C$36,3,FALSE),""))</f>
        <v/>
      </c>
      <c r="AJ176" s="498" t="str">
        <f>IF(S176="","",VLOOKUP(S176,'G-3 Multipliers'!$A$2:$E$129,4,FALSE))</f>
        <v/>
      </c>
      <c r="AK176" s="507" t="str">
        <f t="shared" si="31"/>
        <v/>
      </c>
      <c r="AL176" s="507" t="str">
        <f t="shared" si="32"/>
        <v/>
      </c>
      <c r="AM176" s="540" t="str">
        <f>IFERROR(IF(F176="","",IF(AH176="Check Data ⚠","Check Data ⚠",VLOOKUP(AL176, 'G-3 Multipliers'!$P$2:$Q$6,2,FALSE))),"")</f>
        <v/>
      </c>
      <c r="AN176" s="513" t="str">
        <f t="shared" si="24"/>
        <v/>
      </c>
      <c r="AO176" s="239"/>
      <c r="AP176" s="240"/>
    </row>
    <row r="177" spans="1:42" x14ac:dyDescent="0.3">
      <c r="A177" s="47" t="str">
        <f>IF(E177="","",IF(ISNA(VLOOKUP($E177,'A-1 Site Habitat Baseline'!$D$1:$O$258,2,FALSE)),"",(VLOOKUP($E177,'A-1 Site Habitat Baseline'!$D$1:$O$258,2,FALSE))))</f>
        <v/>
      </c>
      <c r="B177" s="47" t="str">
        <f>IF(E177="","",IF(ISNA(VLOOKUP($E177,'A-1 Site Habitat Baseline'!$D$1:$O$258,3,FALSE)),"",(VLOOKUP($E177,'A-1 Site Habitat Baseline'!$D$1:$O$258,3,FALSE))))</f>
        <v/>
      </c>
      <c r="C177" s="47" t="str">
        <f>IFERROR(INDEX('G-8 Condition Look up'!$I$4:$I$130,MATCH(S177,'G-8 Condition Look up'!$A$4:$A$130,0)),"")</f>
        <v/>
      </c>
      <c r="E177" s="531" t="str">
        <f>'A-1 Site Habitat Baseline'!AL176</f>
        <v/>
      </c>
      <c r="F177" s="520" t="str">
        <f>IF(E177="","",IF(ISNA(VLOOKUP($E177,'A-1 Site Habitat Baseline'!$D$1:$O$258,4,FALSE)),"",(VLOOKUP($E177,'A-1 Site Habitat Baseline'!$D$1:$O$258,4,FALSE))))</f>
        <v/>
      </c>
      <c r="G177" s="520" t="str">
        <f>IF(E177="","",IF(ISNA(VLOOKUP($E177,'A-1 Site Habitat Baseline'!$D$1:$O$258,5,FALSE)),"",(VLOOKUP($E177,'A-1 Site Habitat Baseline'!$D$1:$O$258,5,FALSE))))</f>
        <v/>
      </c>
      <c r="H177" s="520" t="str">
        <f>IF(E177="","",IF(ISNA(VLOOKUP($E177,'A-1 Site Habitat Baseline'!$D$1:$O$258,6,FALSE)),"",(VLOOKUP($E177,'A-1 Site Habitat Baseline'!$D$1:$O$258,6,FALSE))))</f>
        <v/>
      </c>
      <c r="I177" s="520" t="str">
        <f>IF(E177="","",IF(ISNA(VLOOKUP($E177,'A-1 Site Habitat Baseline'!$D$1:$O$258,7,FALSE)),"",(VLOOKUP($E177,'A-1 Site Habitat Baseline'!$D$1:$O$258,7,FALSE))))</f>
        <v/>
      </c>
      <c r="J177" s="520" t="str">
        <f>IF(E177="","",IF(ISNA(VLOOKUP($E177,'A-1 Site Habitat Baseline'!$D$1:$O$258,8,FALSE)),"",(VLOOKUP($E177,'A-1 Site Habitat Baseline'!$D$1:$O$258,8,FALSE))))</f>
        <v/>
      </c>
      <c r="K177" s="520" t="str">
        <f>IF(E177="","",IF(ISNA(VLOOKUP($E177,'A-1 Site Habitat Baseline'!$D$1:$O$258,9,FALSE)),"",(VLOOKUP($E177,'A-1 Site Habitat Baseline'!$D$1:$O$258,9,FALSE))))</f>
        <v/>
      </c>
      <c r="L177" s="520" t="str">
        <f>IF(E177="","",IF(ISNA(VLOOKUP($E177,'A-1 Site Habitat Baseline'!$D$1:$O$258,11,FALSE)),"",(VLOOKUP($E177,'A-1 Site Habitat Baseline'!$D$1:$O$258,11,FALSE))))</f>
        <v/>
      </c>
      <c r="M177" s="520" t="str">
        <f>IF(E177="","",IF(ISNA(VLOOKUP($E177,'A-1 Site Habitat Baseline'!$D$1:$O$258,12,FALSE)),"",(VLOOKUP($E177,'A-1 Site Habitat Baseline'!$D$1:$O$258,12,FALSE))))</f>
        <v/>
      </c>
      <c r="N177" s="532" t="str">
        <f>IF(E177="","",IF(ISNA(VLOOKUP($E177,'A-1 Site Habitat Baseline'!$D$1:$X$258,14,FALSE)),"",(VLOOKUP($E177,'A-1 Site Habitat Baseline'!$D$1:$X$258,14,FALSE))))</f>
        <v/>
      </c>
      <c r="O177" s="524" t="str">
        <f>IF(E177="","",IF(ISNA(VLOOKUP($E177,'A-1 Site Habitat Baseline'!$D$1:$X$258,16,FALSE)),"",(VLOOKUP($E177,'A-1 Site Habitat Baseline'!$D$1:$X$258,13,FALSE))))</f>
        <v/>
      </c>
      <c r="P177" s="237" t="str">
        <f>IFERROR(INDEX('G-1 All Habitats'!$AG$3:$AG$15,MATCH(Q177,'G-1 All Habitats'!$AF$3:$AF$15,0)),"")</f>
        <v/>
      </c>
      <c r="Q177" s="238" t="str">
        <f t="shared" si="25"/>
        <v/>
      </c>
      <c r="R177" s="238" t="str">
        <f t="shared" si="26"/>
        <v/>
      </c>
      <c r="S177" s="392" t="str">
        <f>IFERROR(INDEX('G-1 All Habitats'!$B$3:$B$129,MATCH(R177,'G-1 All Habitats'!$A$3:$A$129,0)),"")</f>
        <v/>
      </c>
      <c r="T177" s="498" t="str">
        <f t="shared" si="27"/>
        <v/>
      </c>
      <c r="U177" s="499" t="str">
        <f t="shared" si="28"/>
        <v/>
      </c>
      <c r="V177" s="537" t="str">
        <f t="shared" si="22"/>
        <v/>
      </c>
      <c r="W177" s="520" t="str">
        <f>IF(S177="","",VLOOKUP(S177,'G-1 All Habitats'!$B$2:$M$129,10,FALSE))</f>
        <v/>
      </c>
      <c r="X177" s="520" t="str">
        <f>IFERROR(VLOOKUP(W177,'G-1 All Habitats'!$V$3:$W$7,2,FALSE),"")</f>
        <v/>
      </c>
      <c r="Y177" s="79"/>
      <c r="Z177" s="524" t="str">
        <f>IFERROR(INDEX('G-8 Condition Look up'!$A$3:$H$130,MATCH(S177,'G-8 Condition Look up'!$A$3:$A$130,0),MATCH(Y177,'G-8 Condition Look up'!$A$3:$H$3,0)),"")</f>
        <v/>
      </c>
      <c r="AA177" s="71"/>
      <c r="AB177" s="520" t="str">
        <f>IF(AA177="","",IF(VLOOKUP(AA177,'G-3 Multipliers'!$L$3:$N$6,2,FALSE)=0,"Spatial Data Missing ⚠",VLOOKUP(AA177,'G-3 Multipliers'!$L$3:$N$6,2,FALSE)))</f>
        <v/>
      </c>
      <c r="AC177" s="524" t="str">
        <f>IF(AA177="","",IF(VLOOKUP(AA177,'G-3 Multipliers'!$L$3:$N$6,3,FALSE)=0,"Spatial Data Missing ⚠",VLOOKUP(AA177,'G-3 Multipliers'!$L$3:$N$6,3,FALSE)))</f>
        <v/>
      </c>
      <c r="AD177" s="539" t="str">
        <f t="shared" si="23"/>
        <v/>
      </c>
      <c r="AE177" s="82"/>
      <c r="AF177" s="82"/>
      <c r="AG177" s="507" t="str">
        <f t="shared" si="29"/>
        <v/>
      </c>
      <c r="AH177" s="521" t="str">
        <f t="shared" si="30"/>
        <v/>
      </c>
      <c r="AI177" s="522" t="str">
        <f>IF(AH177="Check Data","Check Data",IFERROR(VLOOKUP(AH177,'G-4 Temporal multipliers'!$A$4:$C$36,3,FALSE),""))</f>
        <v/>
      </c>
      <c r="AJ177" s="498" t="str">
        <f>IF(S177="","",VLOOKUP(S177,'G-3 Multipliers'!$A$2:$E$129,4,FALSE))</f>
        <v/>
      </c>
      <c r="AK177" s="507" t="str">
        <f t="shared" si="31"/>
        <v/>
      </c>
      <c r="AL177" s="507" t="str">
        <f t="shared" si="32"/>
        <v/>
      </c>
      <c r="AM177" s="540" t="str">
        <f>IFERROR(IF(F177="","",IF(AH177="Check Data ⚠","Check Data ⚠",VLOOKUP(AL177, 'G-3 Multipliers'!$P$2:$Q$6,2,FALSE))),"")</f>
        <v/>
      </c>
      <c r="AN177" s="513" t="str">
        <f t="shared" si="24"/>
        <v/>
      </c>
      <c r="AO177" s="239"/>
      <c r="AP177" s="240"/>
    </row>
    <row r="178" spans="1:42" x14ac:dyDescent="0.3">
      <c r="A178" s="47" t="str">
        <f>IF(E178="","",IF(ISNA(VLOOKUP($E178,'A-1 Site Habitat Baseline'!$D$1:$O$258,2,FALSE)),"",(VLOOKUP($E178,'A-1 Site Habitat Baseline'!$D$1:$O$258,2,FALSE))))</f>
        <v/>
      </c>
      <c r="B178" s="47" t="str">
        <f>IF(E178="","",IF(ISNA(VLOOKUP($E178,'A-1 Site Habitat Baseline'!$D$1:$O$258,3,FALSE)),"",(VLOOKUP($E178,'A-1 Site Habitat Baseline'!$D$1:$O$258,3,FALSE))))</f>
        <v/>
      </c>
      <c r="C178" s="47" t="str">
        <f>IFERROR(INDEX('G-8 Condition Look up'!$I$4:$I$130,MATCH(S178,'G-8 Condition Look up'!$A$4:$A$130,0)),"")</f>
        <v/>
      </c>
      <c r="E178" s="531" t="str">
        <f>'A-1 Site Habitat Baseline'!AL177</f>
        <v/>
      </c>
      <c r="F178" s="520" t="str">
        <f>IF(E178="","",IF(ISNA(VLOOKUP($E178,'A-1 Site Habitat Baseline'!$D$1:$O$258,4,FALSE)),"",(VLOOKUP($E178,'A-1 Site Habitat Baseline'!$D$1:$O$258,4,FALSE))))</f>
        <v/>
      </c>
      <c r="G178" s="520" t="str">
        <f>IF(E178="","",IF(ISNA(VLOOKUP($E178,'A-1 Site Habitat Baseline'!$D$1:$O$258,5,FALSE)),"",(VLOOKUP($E178,'A-1 Site Habitat Baseline'!$D$1:$O$258,5,FALSE))))</f>
        <v/>
      </c>
      <c r="H178" s="520" t="str">
        <f>IF(E178="","",IF(ISNA(VLOOKUP($E178,'A-1 Site Habitat Baseline'!$D$1:$O$258,6,FALSE)),"",(VLOOKUP($E178,'A-1 Site Habitat Baseline'!$D$1:$O$258,6,FALSE))))</f>
        <v/>
      </c>
      <c r="I178" s="520" t="str">
        <f>IF(E178="","",IF(ISNA(VLOOKUP($E178,'A-1 Site Habitat Baseline'!$D$1:$O$258,7,FALSE)),"",(VLOOKUP($E178,'A-1 Site Habitat Baseline'!$D$1:$O$258,7,FALSE))))</f>
        <v/>
      </c>
      <c r="J178" s="520" t="str">
        <f>IF(E178="","",IF(ISNA(VLOOKUP($E178,'A-1 Site Habitat Baseline'!$D$1:$O$258,8,FALSE)),"",(VLOOKUP($E178,'A-1 Site Habitat Baseline'!$D$1:$O$258,8,FALSE))))</f>
        <v/>
      </c>
      <c r="K178" s="520" t="str">
        <f>IF(E178="","",IF(ISNA(VLOOKUP($E178,'A-1 Site Habitat Baseline'!$D$1:$O$258,9,FALSE)),"",(VLOOKUP($E178,'A-1 Site Habitat Baseline'!$D$1:$O$258,9,FALSE))))</f>
        <v/>
      </c>
      <c r="L178" s="520" t="str">
        <f>IF(E178="","",IF(ISNA(VLOOKUP($E178,'A-1 Site Habitat Baseline'!$D$1:$O$258,11,FALSE)),"",(VLOOKUP($E178,'A-1 Site Habitat Baseline'!$D$1:$O$258,11,FALSE))))</f>
        <v/>
      </c>
      <c r="M178" s="520" t="str">
        <f>IF(E178="","",IF(ISNA(VLOOKUP($E178,'A-1 Site Habitat Baseline'!$D$1:$O$258,12,FALSE)),"",(VLOOKUP($E178,'A-1 Site Habitat Baseline'!$D$1:$O$258,12,FALSE))))</f>
        <v/>
      </c>
      <c r="N178" s="532" t="str">
        <f>IF(E178="","",IF(ISNA(VLOOKUP($E178,'A-1 Site Habitat Baseline'!$D$1:$X$258,14,FALSE)),"",(VLOOKUP($E178,'A-1 Site Habitat Baseline'!$D$1:$X$258,14,FALSE))))</f>
        <v/>
      </c>
      <c r="O178" s="524" t="str">
        <f>IF(E178="","",IF(ISNA(VLOOKUP($E178,'A-1 Site Habitat Baseline'!$D$1:$X$258,16,FALSE)),"",(VLOOKUP($E178,'A-1 Site Habitat Baseline'!$D$1:$X$258,13,FALSE))))</f>
        <v/>
      </c>
      <c r="P178" s="237" t="str">
        <f>IFERROR(INDEX('G-1 All Habitats'!$AG$3:$AG$15,MATCH(Q178,'G-1 All Habitats'!$AF$3:$AF$15,0)),"")</f>
        <v/>
      </c>
      <c r="Q178" s="238" t="str">
        <f t="shared" si="25"/>
        <v/>
      </c>
      <c r="R178" s="238" t="str">
        <f t="shared" si="26"/>
        <v/>
      </c>
      <c r="S178" s="392" t="str">
        <f>IFERROR(INDEX('G-1 All Habitats'!$B$3:$B$129,MATCH(R178,'G-1 All Habitats'!$A$3:$A$129,0)),"")</f>
        <v/>
      </c>
      <c r="T178" s="498" t="str">
        <f t="shared" si="27"/>
        <v/>
      </c>
      <c r="U178" s="499" t="str">
        <f t="shared" si="28"/>
        <v/>
      </c>
      <c r="V178" s="537" t="str">
        <f t="shared" si="22"/>
        <v/>
      </c>
      <c r="W178" s="520" t="str">
        <f>IF(S178="","",VLOOKUP(S178,'G-1 All Habitats'!$B$2:$M$129,10,FALSE))</f>
        <v/>
      </c>
      <c r="X178" s="520" t="str">
        <f>IFERROR(VLOOKUP(W178,'G-1 All Habitats'!$V$3:$W$7,2,FALSE),"")</f>
        <v/>
      </c>
      <c r="Y178" s="79"/>
      <c r="Z178" s="524" t="str">
        <f>IFERROR(INDEX('G-8 Condition Look up'!$A$3:$H$130,MATCH(S178,'G-8 Condition Look up'!$A$3:$A$130,0),MATCH(Y178,'G-8 Condition Look up'!$A$3:$H$3,0)),"")</f>
        <v/>
      </c>
      <c r="AA178" s="71"/>
      <c r="AB178" s="520" t="str">
        <f>IF(AA178="","",IF(VLOOKUP(AA178,'G-3 Multipliers'!$L$3:$N$6,2,FALSE)=0,"Spatial Data Missing ⚠",VLOOKUP(AA178,'G-3 Multipliers'!$L$3:$N$6,2,FALSE)))</f>
        <v/>
      </c>
      <c r="AC178" s="524" t="str">
        <f>IF(AA178="","",IF(VLOOKUP(AA178,'G-3 Multipliers'!$L$3:$N$6,3,FALSE)=0,"Spatial Data Missing ⚠",VLOOKUP(AA178,'G-3 Multipliers'!$L$3:$N$6,3,FALSE)))</f>
        <v/>
      </c>
      <c r="AD178" s="539" t="str">
        <f t="shared" si="23"/>
        <v/>
      </c>
      <c r="AE178" s="82"/>
      <c r="AF178" s="82"/>
      <c r="AG178" s="507" t="str">
        <f t="shared" si="29"/>
        <v/>
      </c>
      <c r="AH178" s="521" t="str">
        <f t="shared" si="30"/>
        <v/>
      </c>
      <c r="AI178" s="522" t="str">
        <f>IF(AH178="Check Data","Check Data",IFERROR(VLOOKUP(AH178,'G-4 Temporal multipliers'!$A$4:$C$36,3,FALSE),""))</f>
        <v/>
      </c>
      <c r="AJ178" s="498" t="str">
        <f>IF(S178="","",VLOOKUP(S178,'G-3 Multipliers'!$A$2:$E$129,4,FALSE))</f>
        <v/>
      </c>
      <c r="AK178" s="507" t="str">
        <f t="shared" si="31"/>
        <v/>
      </c>
      <c r="AL178" s="507" t="str">
        <f t="shared" si="32"/>
        <v/>
      </c>
      <c r="AM178" s="540" t="str">
        <f>IFERROR(IF(F178="","",IF(AH178="Check Data ⚠","Check Data ⚠",VLOOKUP(AL178, 'G-3 Multipliers'!$P$2:$Q$6,2,FALSE))),"")</f>
        <v/>
      </c>
      <c r="AN178" s="513" t="str">
        <f t="shared" si="24"/>
        <v/>
      </c>
      <c r="AO178" s="239"/>
      <c r="AP178" s="240"/>
    </row>
    <row r="179" spans="1:42" x14ac:dyDescent="0.3">
      <c r="A179" s="47" t="str">
        <f>IF(E179="","",IF(ISNA(VLOOKUP($E179,'A-1 Site Habitat Baseline'!$D$1:$O$258,2,FALSE)),"",(VLOOKUP($E179,'A-1 Site Habitat Baseline'!$D$1:$O$258,2,FALSE))))</f>
        <v/>
      </c>
      <c r="B179" s="47" t="str">
        <f>IF(E179="","",IF(ISNA(VLOOKUP($E179,'A-1 Site Habitat Baseline'!$D$1:$O$258,3,FALSE)),"",(VLOOKUP($E179,'A-1 Site Habitat Baseline'!$D$1:$O$258,3,FALSE))))</f>
        <v/>
      </c>
      <c r="C179" s="47" t="str">
        <f>IFERROR(INDEX('G-8 Condition Look up'!$I$4:$I$130,MATCH(S179,'G-8 Condition Look up'!$A$4:$A$130,0)),"")</f>
        <v/>
      </c>
      <c r="E179" s="531" t="str">
        <f>'A-1 Site Habitat Baseline'!AL178</f>
        <v/>
      </c>
      <c r="F179" s="520" t="str">
        <f>IF(E179="","",IF(ISNA(VLOOKUP($E179,'A-1 Site Habitat Baseline'!$D$1:$O$258,4,FALSE)),"",(VLOOKUP($E179,'A-1 Site Habitat Baseline'!$D$1:$O$258,4,FALSE))))</f>
        <v/>
      </c>
      <c r="G179" s="520" t="str">
        <f>IF(E179="","",IF(ISNA(VLOOKUP($E179,'A-1 Site Habitat Baseline'!$D$1:$O$258,5,FALSE)),"",(VLOOKUP($E179,'A-1 Site Habitat Baseline'!$D$1:$O$258,5,FALSE))))</f>
        <v/>
      </c>
      <c r="H179" s="520" t="str">
        <f>IF(E179="","",IF(ISNA(VLOOKUP($E179,'A-1 Site Habitat Baseline'!$D$1:$O$258,6,FALSE)),"",(VLOOKUP($E179,'A-1 Site Habitat Baseline'!$D$1:$O$258,6,FALSE))))</f>
        <v/>
      </c>
      <c r="I179" s="520" t="str">
        <f>IF(E179="","",IF(ISNA(VLOOKUP($E179,'A-1 Site Habitat Baseline'!$D$1:$O$258,7,FALSE)),"",(VLOOKUP($E179,'A-1 Site Habitat Baseline'!$D$1:$O$258,7,FALSE))))</f>
        <v/>
      </c>
      <c r="J179" s="520" t="str">
        <f>IF(E179="","",IF(ISNA(VLOOKUP($E179,'A-1 Site Habitat Baseline'!$D$1:$O$258,8,FALSE)),"",(VLOOKUP($E179,'A-1 Site Habitat Baseline'!$D$1:$O$258,8,FALSE))))</f>
        <v/>
      </c>
      <c r="K179" s="520" t="str">
        <f>IF(E179="","",IF(ISNA(VLOOKUP($E179,'A-1 Site Habitat Baseline'!$D$1:$O$258,9,FALSE)),"",(VLOOKUP($E179,'A-1 Site Habitat Baseline'!$D$1:$O$258,9,FALSE))))</f>
        <v/>
      </c>
      <c r="L179" s="520" t="str">
        <f>IF(E179="","",IF(ISNA(VLOOKUP($E179,'A-1 Site Habitat Baseline'!$D$1:$O$258,11,FALSE)),"",(VLOOKUP($E179,'A-1 Site Habitat Baseline'!$D$1:$O$258,11,FALSE))))</f>
        <v/>
      </c>
      <c r="M179" s="520" t="str">
        <f>IF(E179="","",IF(ISNA(VLOOKUP($E179,'A-1 Site Habitat Baseline'!$D$1:$O$258,12,FALSE)),"",(VLOOKUP($E179,'A-1 Site Habitat Baseline'!$D$1:$O$258,12,FALSE))))</f>
        <v/>
      </c>
      <c r="N179" s="532" t="str">
        <f>IF(E179="","",IF(ISNA(VLOOKUP($E179,'A-1 Site Habitat Baseline'!$D$1:$X$258,14,FALSE)),"",(VLOOKUP($E179,'A-1 Site Habitat Baseline'!$D$1:$X$258,14,FALSE))))</f>
        <v/>
      </c>
      <c r="O179" s="524" t="str">
        <f>IF(E179="","",IF(ISNA(VLOOKUP($E179,'A-1 Site Habitat Baseline'!$D$1:$X$258,16,FALSE)),"",(VLOOKUP($E179,'A-1 Site Habitat Baseline'!$D$1:$X$258,13,FALSE))))</f>
        <v/>
      </c>
      <c r="P179" s="237" t="str">
        <f>IFERROR(INDEX('G-1 All Habitats'!$AG$3:$AG$15,MATCH(Q179,'G-1 All Habitats'!$AF$3:$AF$15,0)),"")</f>
        <v/>
      </c>
      <c r="Q179" s="238" t="str">
        <f t="shared" si="25"/>
        <v/>
      </c>
      <c r="R179" s="238" t="str">
        <f t="shared" si="26"/>
        <v/>
      </c>
      <c r="S179" s="392" t="str">
        <f>IFERROR(INDEX('G-1 All Habitats'!$B$3:$B$129,MATCH(R179,'G-1 All Habitats'!$A$3:$A$129,0)),"")</f>
        <v/>
      </c>
      <c r="T179" s="498" t="str">
        <f t="shared" si="27"/>
        <v/>
      </c>
      <c r="U179" s="499" t="str">
        <f t="shared" si="28"/>
        <v/>
      </c>
      <c r="V179" s="537" t="str">
        <f t="shared" si="22"/>
        <v/>
      </c>
      <c r="W179" s="520" t="str">
        <f>IF(S179="","",VLOOKUP(S179,'G-1 All Habitats'!$B$2:$M$129,10,FALSE))</f>
        <v/>
      </c>
      <c r="X179" s="520" t="str">
        <f>IFERROR(VLOOKUP(W179,'G-1 All Habitats'!$V$3:$W$7,2,FALSE),"")</f>
        <v/>
      </c>
      <c r="Y179" s="79"/>
      <c r="Z179" s="524" t="str">
        <f>IFERROR(INDEX('G-8 Condition Look up'!$A$3:$H$130,MATCH(S179,'G-8 Condition Look up'!$A$3:$A$130,0),MATCH(Y179,'G-8 Condition Look up'!$A$3:$H$3,0)),"")</f>
        <v/>
      </c>
      <c r="AA179" s="71"/>
      <c r="AB179" s="520" t="str">
        <f>IF(AA179="","",IF(VLOOKUP(AA179,'G-3 Multipliers'!$L$3:$N$6,2,FALSE)=0,"Spatial Data Missing ⚠",VLOOKUP(AA179,'G-3 Multipliers'!$L$3:$N$6,2,FALSE)))</f>
        <v/>
      </c>
      <c r="AC179" s="524" t="str">
        <f>IF(AA179="","",IF(VLOOKUP(AA179,'G-3 Multipliers'!$L$3:$N$6,3,FALSE)=0,"Spatial Data Missing ⚠",VLOOKUP(AA179,'G-3 Multipliers'!$L$3:$N$6,3,FALSE)))</f>
        <v/>
      </c>
      <c r="AD179" s="539" t="str">
        <f t="shared" si="23"/>
        <v/>
      </c>
      <c r="AE179" s="82"/>
      <c r="AF179" s="82"/>
      <c r="AG179" s="507" t="str">
        <f t="shared" si="29"/>
        <v/>
      </c>
      <c r="AH179" s="521" t="str">
        <f t="shared" si="30"/>
        <v/>
      </c>
      <c r="AI179" s="522" t="str">
        <f>IF(AH179="Check Data","Check Data",IFERROR(VLOOKUP(AH179,'G-4 Temporal multipliers'!$A$4:$C$36,3,FALSE),""))</f>
        <v/>
      </c>
      <c r="AJ179" s="498" t="str">
        <f>IF(S179="","",VLOOKUP(S179,'G-3 Multipliers'!$A$2:$E$129,4,FALSE))</f>
        <v/>
      </c>
      <c r="AK179" s="507" t="str">
        <f t="shared" si="31"/>
        <v/>
      </c>
      <c r="AL179" s="507" t="str">
        <f t="shared" si="32"/>
        <v/>
      </c>
      <c r="AM179" s="540" t="str">
        <f>IFERROR(IF(F179="","",IF(AH179="Check Data ⚠","Check Data ⚠",VLOOKUP(AL179, 'G-3 Multipliers'!$P$2:$Q$6,2,FALSE))),"")</f>
        <v/>
      </c>
      <c r="AN179" s="513" t="str">
        <f t="shared" si="24"/>
        <v/>
      </c>
      <c r="AO179" s="239"/>
      <c r="AP179" s="240"/>
    </row>
    <row r="180" spans="1:42" x14ac:dyDescent="0.3">
      <c r="A180" s="47" t="str">
        <f>IF(E180="","",IF(ISNA(VLOOKUP($E180,'A-1 Site Habitat Baseline'!$D$1:$O$258,2,FALSE)),"",(VLOOKUP($E180,'A-1 Site Habitat Baseline'!$D$1:$O$258,2,FALSE))))</f>
        <v/>
      </c>
      <c r="B180" s="47" t="str">
        <f>IF(E180="","",IF(ISNA(VLOOKUP($E180,'A-1 Site Habitat Baseline'!$D$1:$O$258,3,FALSE)),"",(VLOOKUP($E180,'A-1 Site Habitat Baseline'!$D$1:$O$258,3,FALSE))))</f>
        <v/>
      </c>
      <c r="C180" s="47" t="str">
        <f>IFERROR(INDEX('G-8 Condition Look up'!$I$4:$I$130,MATCH(S180,'G-8 Condition Look up'!$A$4:$A$130,0)),"")</f>
        <v/>
      </c>
      <c r="E180" s="531" t="str">
        <f>'A-1 Site Habitat Baseline'!AL179</f>
        <v/>
      </c>
      <c r="F180" s="520" t="str">
        <f>IF(E180="","",IF(ISNA(VLOOKUP($E180,'A-1 Site Habitat Baseline'!$D$1:$O$258,4,FALSE)),"",(VLOOKUP($E180,'A-1 Site Habitat Baseline'!$D$1:$O$258,4,FALSE))))</f>
        <v/>
      </c>
      <c r="G180" s="520" t="str">
        <f>IF(E180="","",IF(ISNA(VLOOKUP($E180,'A-1 Site Habitat Baseline'!$D$1:$O$258,5,FALSE)),"",(VLOOKUP($E180,'A-1 Site Habitat Baseline'!$D$1:$O$258,5,FALSE))))</f>
        <v/>
      </c>
      <c r="H180" s="520" t="str">
        <f>IF(E180="","",IF(ISNA(VLOOKUP($E180,'A-1 Site Habitat Baseline'!$D$1:$O$258,6,FALSE)),"",(VLOOKUP($E180,'A-1 Site Habitat Baseline'!$D$1:$O$258,6,FALSE))))</f>
        <v/>
      </c>
      <c r="I180" s="520" t="str">
        <f>IF(E180="","",IF(ISNA(VLOOKUP($E180,'A-1 Site Habitat Baseline'!$D$1:$O$258,7,FALSE)),"",(VLOOKUP($E180,'A-1 Site Habitat Baseline'!$D$1:$O$258,7,FALSE))))</f>
        <v/>
      </c>
      <c r="J180" s="520" t="str">
        <f>IF(E180="","",IF(ISNA(VLOOKUP($E180,'A-1 Site Habitat Baseline'!$D$1:$O$258,8,FALSE)),"",(VLOOKUP($E180,'A-1 Site Habitat Baseline'!$D$1:$O$258,8,FALSE))))</f>
        <v/>
      </c>
      <c r="K180" s="520" t="str">
        <f>IF(E180="","",IF(ISNA(VLOOKUP($E180,'A-1 Site Habitat Baseline'!$D$1:$O$258,9,FALSE)),"",(VLOOKUP($E180,'A-1 Site Habitat Baseline'!$D$1:$O$258,9,FALSE))))</f>
        <v/>
      </c>
      <c r="L180" s="520" t="str">
        <f>IF(E180="","",IF(ISNA(VLOOKUP($E180,'A-1 Site Habitat Baseline'!$D$1:$O$258,11,FALSE)),"",(VLOOKUP($E180,'A-1 Site Habitat Baseline'!$D$1:$O$258,11,FALSE))))</f>
        <v/>
      </c>
      <c r="M180" s="520" t="str">
        <f>IF(E180="","",IF(ISNA(VLOOKUP($E180,'A-1 Site Habitat Baseline'!$D$1:$O$258,12,FALSE)),"",(VLOOKUP($E180,'A-1 Site Habitat Baseline'!$D$1:$O$258,12,FALSE))))</f>
        <v/>
      </c>
      <c r="N180" s="532" t="str">
        <f>IF(E180="","",IF(ISNA(VLOOKUP($E180,'A-1 Site Habitat Baseline'!$D$1:$X$258,14,FALSE)),"",(VLOOKUP($E180,'A-1 Site Habitat Baseline'!$D$1:$X$258,14,FALSE))))</f>
        <v/>
      </c>
      <c r="O180" s="524" t="str">
        <f>IF(E180="","",IF(ISNA(VLOOKUP($E180,'A-1 Site Habitat Baseline'!$D$1:$X$258,16,FALSE)),"",(VLOOKUP($E180,'A-1 Site Habitat Baseline'!$D$1:$X$258,13,FALSE))))</f>
        <v/>
      </c>
      <c r="P180" s="237" t="str">
        <f>IFERROR(INDEX('G-1 All Habitats'!$AG$3:$AG$15,MATCH(Q180,'G-1 All Habitats'!$AF$3:$AF$15,0)),"")</f>
        <v/>
      </c>
      <c r="Q180" s="238" t="str">
        <f t="shared" si="25"/>
        <v/>
      </c>
      <c r="R180" s="238" t="str">
        <f t="shared" si="26"/>
        <v/>
      </c>
      <c r="S180" s="392" t="str">
        <f>IFERROR(INDEX('G-1 All Habitats'!$B$3:$B$129,MATCH(R180,'G-1 All Habitats'!$A$3:$A$129,0)),"")</f>
        <v/>
      </c>
      <c r="T180" s="498" t="str">
        <f t="shared" si="27"/>
        <v/>
      </c>
      <c r="U180" s="499" t="str">
        <f t="shared" si="28"/>
        <v/>
      </c>
      <c r="V180" s="537" t="str">
        <f t="shared" si="22"/>
        <v/>
      </c>
      <c r="W180" s="520" t="str">
        <f>IF(S180="","",VLOOKUP(S180,'G-1 All Habitats'!$B$2:$M$129,10,FALSE))</f>
        <v/>
      </c>
      <c r="X180" s="520" t="str">
        <f>IFERROR(VLOOKUP(W180,'G-1 All Habitats'!$V$3:$W$7,2,FALSE),"")</f>
        <v/>
      </c>
      <c r="Y180" s="79"/>
      <c r="Z180" s="524" t="str">
        <f>IFERROR(INDEX('G-8 Condition Look up'!$A$3:$H$130,MATCH(S180,'G-8 Condition Look up'!$A$3:$A$130,0),MATCH(Y180,'G-8 Condition Look up'!$A$3:$H$3,0)),"")</f>
        <v/>
      </c>
      <c r="AA180" s="71"/>
      <c r="AB180" s="520" t="str">
        <f>IF(AA180="","",IF(VLOOKUP(AA180,'G-3 Multipliers'!$L$3:$N$6,2,FALSE)=0,"Spatial Data Missing ⚠",VLOOKUP(AA180,'G-3 Multipliers'!$L$3:$N$6,2,FALSE)))</f>
        <v/>
      </c>
      <c r="AC180" s="524" t="str">
        <f>IF(AA180="","",IF(VLOOKUP(AA180,'G-3 Multipliers'!$L$3:$N$6,3,FALSE)=0,"Spatial Data Missing ⚠",VLOOKUP(AA180,'G-3 Multipliers'!$L$3:$N$6,3,FALSE)))</f>
        <v/>
      </c>
      <c r="AD180" s="539" t="str">
        <f t="shared" si="23"/>
        <v/>
      </c>
      <c r="AE180" s="82"/>
      <c r="AF180" s="82"/>
      <c r="AG180" s="507" t="str">
        <f t="shared" si="29"/>
        <v/>
      </c>
      <c r="AH180" s="521" t="str">
        <f t="shared" si="30"/>
        <v/>
      </c>
      <c r="AI180" s="522" t="str">
        <f>IF(AH180="Check Data","Check Data",IFERROR(VLOOKUP(AH180,'G-4 Temporal multipliers'!$A$4:$C$36,3,FALSE),""))</f>
        <v/>
      </c>
      <c r="AJ180" s="498" t="str">
        <f>IF(S180="","",VLOOKUP(S180,'G-3 Multipliers'!$A$2:$E$129,4,FALSE))</f>
        <v/>
      </c>
      <c r="AK180" s="507" t="str">
        <f t="shared" si="31"/>
        <v/>
      </c>
      <c r="AL180" s="507" t="str">
        <f t="shared" si="32"/>
        <v/>
      </c>
      <c r="AM180" s="540" t="str">
        <f>IFERROR(IF(F180="","",IF(AH180="Check Data ⚠","Check Data ⚠",VLOOKUP(AL180, 'G-3 Multipliers'!$P$2:$Q$6,2,FALSE))),"")</f>
        <v/>
      </c>
      <c r="AN180" s="513" t="str">
        <f t="shared" si="24"/>
        <v/>
      </c>
      <c r="AO180" s="239"/>
      <c r="AP180" s="240"/>
    </row>
    <row r="181" spans="1:42" x14ac:dyDescent="0.3">
      <c r="A181" s="47" t="str">
        <f>IF(E181="","",IF(ISNA(VLOOKUP($E181,'A-1 Site Habitat Baseline'!$D$1:$O$258,2,FALSE)),"",(VLOOKUP($E181,'A-1 Site Habitat Baseline'!$D$1:$O$258,2,FALSE))))</f>
        <v/>
      </c>
      <c r="B181" s="47" t="str">
        <f>IF(E181="","",IF(ISNA(VLOOKUP($E181,'A-1 Site Habitat Baseline'!$D$1:$O$258,3,FALSE)),"",(VLOOKUP($E181,'A-1 Site Habitat Baseline'!$D$1:$O$258,3,FALSE))))</f>
        <v/>
      </c>
      <c r="C181" s="47" t="str">
        <f>IFERROR(INDEX('G-8 Condition Look up'!$I$4:$I$130,MATCH(S181,'G-8 Condition Look up'!$A$4:$A$130,0)),"")</f>
        <v/>
      </c>
      <c r="E181" s="531" t="str">
        <f>'A-1 Site Habitat Baseline'!AL180</f>
        <v/>
      </c>
      <c r="F181" s="520" t="str">
        <f>IF(E181="","",IF(ISNA(VLOOKUP($E181,'A-1 Site Habitat Baseline'!$D$1:$O$258,4,FALSE)),"",(VLOOKUP($E181,'A-1 Site Habitat Baseline'!$D$1:$O$258,4,FALSE))))</f>
        <v/>
      </c>
      <c r="G181" s="520" t="str">
        <f>IF(E181="","",IF(ISNA(VLOOKUP($E181,'A-1 Site Habitat Baseline'!$D$1:$O$258,5,FALSE)),"",(VLOOKUP($E181,'A-1 Site Habitat Baseline'!$D$1:$O$258,5,FALSE))))</f>
        <v/>
      </c>
      <c r="H181" s="520" t="str">
        <f>IF(E181="","",IF(ISNA(VLOOKUP($E181,'A-1 Site Habitat Baseline'!$D$1:$O$258,6,FALSE)),"",(VLOOKUP($E181,'A-1 Site Habitat Baseline'!$D$1:$O$258,6,FALSE))))</f>
        <v/>
      </c>
      <c r="I181" s="520" t="str">
        <f>IF(E181="","",IF(ISNA(VLOOKUP($E181,'A-1 Site Habitat Baseline'!$D$1:$O$258,7,FALSE)),"",(VLOOKUP($E181,'A-1 Site Habitat Baseline'!$D$1:$O$258,7,FALSE))))</f>
        <v/>
      </c>
      <c r="J181" s="520" t="str">
        <f>IF(E181="","",IF(ISNA(VLOOKUP($E181,'A-1 Site Habitat Baseline'!$D$1:$O$258,8,FALSE)),"",(VLOOKUP($E181,'A-1 Site Habitat Baseline'!$D$1:$O$258,8,FALSE))))</f>
        <v/>
      </c>
      <c r="K181" s="520" t="str">
        <f>IF(E181="","",IF(ISNA(VLOOKUP($E181,'A-1 Site Habitat Baseline'!$D$1:$O$258,9,FALSE)),"",(VLOOKUP($E181,'A-1 Site Habitat Baseline'!$D$1:$O$258,9,FALSE))))</f>
        <v/>
      </c>
      <c r="L181" s="520" t="str">
        <f>IF(E181="","",IF(ISNA(VLOOKUP($E181,'A-1 Site Habitat Baseline'!$D$1:$O$258,11,FALSE)),"",(VLOOKUP($E181,'A-1 Site Habitat Baseline'!$D$1:$O$258,11,FALSE))))</f>
        <v/>
      </c>
      <c r="M181" s="520" t="str">
        <f>IF(E181="","",IF(ISNA(VLOOKUP($E181,'A-1 Site Habitat Baseline'!$D$1:$O$258,12,FALSE)),"",(VLOOKUP($E181,'A-1 Site Habitat Baseline'!$D$1:$O$258,12,FALSE))))</f>
        <v/>
      </c>
      <c r="N181" s="532" t="str">
        <f>IF(E181="","",IF(ISNA(VLOOKUP($E181,'A-1 Site Habitat Baseline'!$D$1:$X$258,14,FALSE)),"",(VLOOKUP($E181,'A-1 Site Habitat Baseline'!$D$1:$X$258,14,FALSE))))</f>
        <v/>
      </c>
      <c r="O181" s="524" t="str">
        <f>IF(E181="","",IF(ISNA(VLOOKUP($E181,'A-1 Site Habitat Baseline'!$D$1:$X$258,16,FALSE)),"",(VLOOKUP($E181,'A-1 Site Habitat Baseline'!$D$1:$X$258,13,FALSE))))</f>
        <v/>
      </c>
      <c r="P181" s="237" t="str">
        <f>IFERROR(INDEX('G-1 All Habitats'!$AG$3:$AG$15,MATCH(Q181,'G-1 All Habitats'!$AF$3:$AF$15,0)),"")</f>
        <v/>
      </c>
      <c r="Q181" s="238" t="str">
        <f t="shared" si="25"/>
        <v/>
      </c>
      <c r="R181" s="238" t="str">
        <f t="shared" si="26"/>
        <v/>
      </c>
      <c r="S181" s="392" t="str">
        <f>IFERROR(INDEX('G-1 All Habitats'!$B$3:$B$129,MATCH(R181,'G-1 All Habitats'!$A$3:$A$129,0)),"")</f>
        <v/>
      </c>
      <c r="T181" s="498" t="str">
        <f t="shared" si="27"/>
        <v/>
      </c>
      <c r="U181" s="499" t="str">
        <f t="shared" si="28"/>
        <v/>
      </c>
      <c r="V181" s="537" t="str">
        <f t="shared" si="22"/>
        <v/>
      </c>
      <c r="W181" s="520" t="str">
        <f>IF(S181="","",VLOOKUP(S181,'G-1 All Habitats'!$B$2:$M$129,10,FALSE))</f>
        <v/>
      </c>
      <c r="X181" s="520" t="str">
        <f>IFERROR(VLOOKUP(W181,'G-1 All Habitats'!$V$3:$W$7,2,FALSE),"")</f>
        <v/>
      </c>
      <c r="Y181" s="79"/>
      <c r="Z181" s="524" t="str">
        <f>IFERROR(INDEX('G-8 Condition Look up'!$A$3:$H$130,MATCH(S181,'G-8 Condition Look up'!$A$3:$A$130,0),MATCH(Y181,'G-8 Condition Look up'!$A$3:$H$3,0)),"")</f>
        <v/>
      </c>
      <c r="AA181" s="71"/>
      <c r="AB181" s="520" t="str">
        <f>IF(AA181="","",IF(VLOOKUP(AA181,'G-3 Multipliers'!$L$3:$N$6,2,FALSE)=0,"Spatial Data Missing ⚠",VLOOKUP(AA181,'G-3 Multipliers'!$L$3:$N$6,2,FALSE)))</f>
        <v/>
      </c>
      <c r="AC181" s="524" t="str">
        <f>IF(AA181="","",IF(VLOOKUP(AA181,'G-3 Multipliers'!$L$3:$N$6,3,FALSE)=0,"Spatial Data Missing ⚠",VLOOKUP(AA181,'G-3 Multipliers'!$L$3:$N$6,3,FALSE)))</f>
        <v/>
      </c>
      <c r="AD181" s="539" t="str">
        <f t="shared" si="23"/>
        <v/>
      </c>
      <c r="AE181" s="82"/>
      <c r="AF181" s="82"/>
      <c r="AG181" s="507" t="str">
        <f t="shared" si="29"/>
        <v/>
      </c>
      <c r="AH181" s="521" t="str">
        <f t="shared" si="30"/>
        <v/>
      </c>
      <c r="AI181" s="522" t="str">
        <f>IF(AH181="Check Data","Check Data",IFERROR(VLOOKUP(AH181,'G-4 Temporal multipliers'!$A$4:$C$36,3,FALSE),""))</f>
        <v/>
      </c>
      <c r="AJ181" s="498" t="str">
        <f>IF(S181="","",VLOOKUP(S181,'G-3 Multipliers'!$A$2:$E$129,4,FALSE))</f>
        <v/>
      </c>
      <c r="AK181" s="507" t="str">
        <f t="shared" si="31"/>
        <v/>
      </c>
      <c r="AL181" s="507" t="str">
        <f t="shared" si="32"/>
        <v/>
      </c>
      <c r="AM181" s="540" t="str">
        <f>IFERROR(IF(F181="","",IF(AH181="Check Data ⚠","Check Data ⚠",VLOOKUP(AL181, 'G-3 Multipliers'!$P$2:$Q$6,2,FALSE))),"")</f>
        <v/>
      </c>
      <c r="AN181" s="513" t="str">
        <f t="shared" si="24"/>
        <v/>
      </c>
      <c r="AO181" s="239"/>
      <c r="AP181" s="240"/>
    </row>
    <row r="182" spans="1:42" x14ac:dyDescent="0.3">
      <c r="A182" s="47" t="str">
        <f>IF(E182="","",IF(ISNA(VLOOKUP($E182,'A-1 Site Habitat Baseline'!$D$1:$O$258,2,FALSE)),"",(VLOOKUP($E182,'A-1 Site Habitat Baseline'!$D$1:$O$258,2,FALSE))))</f>
        <v/>
      </c>
      <c r="B182" s="47" t="str">
        <f>IF(E182="","",IF(ISNA(VLOOKUP($E182,'A-1 Site Habitat Baseline'!$D$1:$O$258,3,FALSE)),"",(VLOOKUP($E182,'A-1 Site Habitat Baseline'!$D$1:$O$258,3,FALSE))))</f>
        <v/>
      </c>
      <c r="C182" s="47" t="str">
        <f>IFERROR(INDEX('G-8 Condition Look up'!$I$4:$I$130,MATCH(S182,'G-8 Condition Look up'!$A$4:$A$130,0)),"")</f>
        <v/>
      </c>
      <c r="E182" s="531" t="str">
        <f>'A-1 Site Habitat Baseline'!AL181</f>
        <v/>
      </c>
      <c r="F182" s="520" t="str">
        <f>IF(E182="","",IF(ISNA(VLOOKUP($E182,'A-1 Site Habitat Baseline'!$D$1:$O$258,4,FALSE)),"",(VLOOKUP($E182,'A-1 Site Habitat Baseline'!$D$1:$O$258,4,FALSE))))</f>
        <v/>
      </c>
      <c r="G182" s="520" t="str">
        <f>IF(E182="","",IF(ISNA(VLOOKUP($E182,'A-1 Site Habitat Baseline'!$D$1:$O$258,5,FALSE)),"",(VLOOKUP($E182,'A-1 Site Habitat Baseline'!$D$1:$O$258,5,FALSE))))</f>
        <v/>
      </c>
      <c r="H182" s="520" t="str">
        <f>IF(E182="","",IF(ISNA(VLOOKUP($E182,'A-1 Site Habitat Baseline'!$D$1:$O$258,6,FALSE)),"",(VLOOKUP($E182,'A-1 Site Habitat Baseline'!$D$1:$O$258,6,FALSE))))</f>
        <v/>
      </c>
      <c r="I182" s="520" t="str">
        <f>IF(E182="","",IF(ISNA(VLOOKUP($E182,'A-1 Site Habitat Baseline'!$D$1:$O$258,7,FALSE)),"",(VLOOKUP($E182,'A-1 Site Habitat Baseline'!$D$1:$O$258,7,FALSE))))</f>
        <v/>
      </c>
      <c r="J182" s="520" t="str">
        <f>IF(E182="","",IF(ISNA(VLOOKUP($E182,'A-1 Site Habitat Baseline'!$D$1:$O$258,8,FALSE)),"",(VLOOKUP($E182,'A-1 Site Habitat Baseline'!$D$1:$O$258,8,FALSE))))</f>
        <v/>
      </c>
      <c r="K182" s="520" t="str">
        <f>IF(E182="","",IF(ISNA(VLOOKUP($E182,'A-1 Site Habitat Baseline'!$D$1:$O$258,9,FALSE)),"",(VLOOKUP($E182,'A-1 Site Habitat Baseline'!$D$1:$O$258,9,FALSE))))</f>
        <v/>
      </c>
      <c r="L182" s="520" t="str">
        <f>IF(E182="","",IF(ISNA(VLOOKUP($E182,'A-1 Site Habitat Baseline'!$D$1:$O$258,11,FALSE)),"",(VLOOKUP($E182,'A-1 Site Habitat Baseline'!$D$1:$O$258,11,FALSE))))</f>
        <v/>
      </c>
      <c r="M182" s="520" t="str">
        <f>IF(E182="","",IF(ISNA(VLOOKUP($E182,'A-1 Site Habitat Baseline'!$D$1:$O$258,12,FALSE)),"",(VLOOKUP($E182,'A-1 Site Habitat Baseline'!$D$1:$O$258,12,FALSE))))</f>
        <v/>
      </c>
      <c r="N182" s="532" t="str">
        <f>IF(E182="","",IF(ISNA(VLOOKUP($E182,'A-1 Site Habitat Baseline'!$D$1:$X$258,14,FALSE)),"",(VLOOKUP($E182,'A-1 Site Habitat Baseline'!$D$1:$X$258,14,FALSE))))</f>
        <v/>
      </c>
      <c r="O182" s="524" t="str">
        <f>IF(E182="","",IF(ISNA(VLOOKUP($E182,'A-1 Site Habitat Baseline'!$D$1:$X$258,16,FALSE)),"",(VLOOKUP($E182,'A-1 Site Habitat Baseline'!$D$1:$X$258,13,FALSE))))</f>
        <v/>
      </c>
      <c r="P182" s="237" t="str">
        <f>IFERROR(INDEX('G-1 All Habitats'!$AG$3:$AG$15,MATCH(Q182,'G-1 All Habitats'!$AF$3:$AF$15,0)),"")</f>
        <v/>
      </c>
      <c r="Q182" s="238" t="str">
        <f t="shared" si="25"/>
        <v/>
      </c>
      <c r="R182" s="238" t="str">
        <f t="shared" si="26"/>
        <v/>
      </c>
      <c r="S182" s="392" t="str">
        <f>IFERROR(INDEX('G-1 All Habitats'!$B$3:$B$129,MATCH(R182,'G-1 All Habitats'!$A$3:$A$129,0)),"")</f>
        <v/>
      </c>
      <c r="T182" s="498" t="str">
        <f t="shared" si="27"/>
        <v/>
      </c>
      <c r="U182" s="499" t="str">
        <f t="shared" si="28"/>
        <v/>
      </c>
      <c r="V182" s="537" t="str">
        <f t="shared" si="22"/>
        <v/>
      </c>
      <c r="W182" s="520" t="str">
        <f>IF(S182="","",VLOOKUP(S182,'G-1 All Habitats'!$B$2:$M$129,10,FALSE))</f>
        <v/>
      </c>
      <c r="X182" s="520" t="str">
        <f>IFERROR(VLOOKUP(W182,'G-1 All Habitats'!$V$3:$W$7,2,FALSE),"")</f>
        <v/>
      </c>
      <c r="Y182" s="79"/>
      <c r="Z182" s="524" t="str">
        <f>IFERROR(INDEX('G-8 Condition Look up'!$A$3:$H$130,MATCH(S182,'G-8 Condition Look up'!$A$3:$A$130,0),MATCH(Y182,'G-8 Condition Look up'!$A$3:$H$3,0)),"")</f>
        <v/>
      </c>
      <c r="AA182" s="71"/>
      <c r="AB182" s="520" t="str">
        <f>IF(AA182="","",IF(VLOOKUP(AA182,'G-3 Multipliers'!$L$3:$N$6,2,FALSE)=0,"Spatial Data Missing ⚠",VLOOKUP(AA182,'G-3 Multipliers'!$L$3:$N$6,2,FALSE)))</f>
        <v/>
      </c>
      <c r="AC182" s="524" t="str">
        <f>IF(AA182="","",IF(VLOOKUP(AA182,'G-3 Multipliers'!$L$3:$N$6,3,FALSE)=0,"Spatial Data Missing ⚠",VLOOKUP(AA182,'G-3 Multipliers'!$L$3:$N$6,3,FALSE)))</f>
        <v/>
      </c>
      <c r="AD182" s="539" t="str">
        <f t="shared" si="23"/>
        <v/>
      </c>
      <c r="AE182" s="82"/>
      <c r="AF182" s="82"/>
      <c r="AG182" s="507" t="str">
        <f t="shared" si="29"/>
        <v/>
      </c>
      <c r="AH182" s="521" t="str">
        <f t="shared" si="30"/>
        <v/>
      </c>
      <c r="AI182" s="522" t="str">
        <f>IF(AH182="Check Data","Check Data",IFERROR(VLOOKUP(AH182,'G-4 Temporal multipliers'!$A$4:$C$36,3,FALSE),""))</f>
        <v/>
      </c>
      <c r="AJ182" s="498" t="str">
        <f>IF(S182="","",VLOOKUP(S182,'G-3 Multipliers'!$A$2:$E$129,4,FALSE))</f>
        <v/>
      </c>
      <c r="AK182" s="507" t="str">
        <f t="shared" si="31"/>
        <v/>
      </c>
      <c r="AL182" s="507" t="str">
        <f t="shared" si="32"/>
        <v/>
      </c>
      <c r="AM182" s="540" t="str">
        <f>IFERROR(IF(F182="","",IF(AH182="Check Data ⚠","Check Data ⚠",VLOOKUP(AL182, 'G-3 Multipliers'!$P$2:$Q$6,2,FALSE))),"")</f>
        <v/>
      </c>
      <c r="AN182" s="513" t="str">
        <f t="shared" si="24"/>
        <v/>
      </c>
      <c r="AO182" s="239"/>
      <c r="AP182" s="240"/>
    </row>
    <row r="183" spans="1:42" x14ac:dyDescent="0.3">
      <c r="A183" s="47" t="str">
        <f>IF(E183="","",IF(ISNA(VLOOKUP($E183,'A-1 Site Habitat Baseline'!$D$1:$O$258,2,FALSE)),"",(VLOOKUP($E183,'A-1 Site Habitat Baseline'!$D$1:$O$258,2,FALSE))))</f>
        <v/>
      </c>
      <c r="B183" s="47" t="str">
        <f>IF(E183="","",IF(ISNA(VLOOKUP($E183,'A-1 Site Habitat Baseline'!$D$1:$O$258,3,FALSE)),"",(VLOOKUP($E183,'A-1 Site Habitat Baseline'!$D$1:$O$258,3,FALSE))))</f>
        <v/>
      </c>
      <c r="C183" s="47" t="str">
        <f>IFERROR(INDEX('G-8 Condition Look up'!$I$4:$I$130,MATCH(S183,'G-8 Condition Look up'!$A$4:$A$130,0)),"")</f>
        <v/>
      </c>
      <c r="E183" s="531" t="str">
        <f>'A-1 Site Habitat Baseline'!AL182</f>
        <v/>
      </c>
      <c r="F183" s="520" t="str">
        <f>IF(E183="","",IF(ISNA(VLOOKUP($E183,'A-1 Site Habitat Baseline'!$D$1:$O$258,4,FALSE)),"",(VLOOKUP($E183,'A-1 Site Habitat Baseline'!$D$1:$O$258,4,FALSE))))</f>
        <v/>
      </c>
      <c r="G183" s="520" t="str">
        <f>IF(E183="","",IF(ISNA(VLOOKUP($E183,'A-1 Site Habitat Baseline'!$D$1:$O$258,5,FALSE)),"",(VLOOKUP($E183,'A-1 Site Habitat Baseline'!$D$1:$O$258,5,FALSE))))</f>
        <v/>
      </c>
      <c r="H183" s="520" t="str">
        <f>IF(E183="","",IF(ISNA(VLOOKUP($E183,'A-1 Site Habitat Baseline'!$D$1:$O$258,6,FALSE)),"",(VLOOKUP($E183,'A-1 Site Habitat Baseline'!$D$1:$O$258,6,FALSE))))</f>
        <v/>
      </c>
      <c r="I183" s="520" t="str">
        <f>IF(E183="","",IF(ISNA(VLOOKUP($E183,'A-1 Site Habitat Baseline'!$D$1:$O$258,7,FALSE)),"",(VLOOKUP($E183,'A-1 Site Habitat Baseline'!$D$1:$O$258,7,FALSE))))</f>
        <v/>
      </c>
      <c r="J183" s="520" t="str">
        <f>IF(E183="","",IF(ISNA(VLOOKUP($E183,'A-1 Site Habitat Baseline'!$D$1:$O$258,8,FALSE)),"",(VLOOKUP($E183,'A-1 Site Habitat Baseline'!$D$1:$O$258,8,FALSE))))</f>
        <v/>
      </c>
      <c r="K183" s="520" t="str">
        <f>IF(E183="","",IF(ISNA(VLOOKUP($E183,'A-1 Site Habitat Baseline'!$D$1:$O$258,9,FALSE)),"",(VLOOKUP($E183,'A-1 Site Habitat Baseline'!$D$1:$O$258,9,FALSE))))</f>
        <v/>
      </c>
      <c r="L183" s="520" t="str">
        <f>IF(E183="","",IF(ISNA(VLOOKUP($E183,'A-1 Site Habitat Baseline'!$D$1:$O$258,11,FALSE)),"",(VLOOKUP($E183,'A-1 Site Habitat Baseline'!$D$1:$O$258,11,FALSE))))</f>
        <v/>
      </c>
      <c r="M183" s="520" t="str">
        <f>IF(E183="","",IF(ISNA(VLOOKUP($E183,'A-1 Site Habitat Baseline'!$D$1:$O$258,12,FALSE)),"",(VLOOKUP($E183,'A-1 Site Habitat Baseline'!$D$1:$O$258,12,FALSE))))</f>
        <v/>
      </c>
      <c r="N183" s="532" t="str">
        <f>IF(E183="","",IF(ISNA(VLOOKUP($E183,'A-1 Site Habitat Baseline'!$D$1:$X$258,14,FALSE)),"",(VLOOKUP($E183,'A-1 Site Habitat Baseline'!$D$1:$X$258,14,FALSE))))</f>
        <v/>
      </c>
      <c r="O183" s="524" t="str">
        <f>IF(E183="","",IF(ISNA(VLOOKUP($E183,'A-1 Site Habitat Baseline'!$D$1:$X$258,16,FALSE)),"",(VLOOKUP($E183,'A-1 Site Habitat Baseline'!$D$1:$X$258,13,FALSE))))</f>
        <v/>
      </c>
      <c r="P183" s="237" t="str">
        <f>IFERROR(INDEX('G-1 All Habitats'!$AG$3:$AG$15,MATCH(Q183,'G-1 All Habitats'!$AF$3:$AF$15,0)),"")</f>
        <v/>
      </c>
      <c r="Q183" s="238" t="str">
        <f t="shared" si="25"/>
        <v/>
      </c>
      <c r="R183" s="238" t="str">
        <f t="shared" si="26"/>
        <v/>
      </c>
      <c r="S183" s="392" t="str">
        <f>IFERROR(INDEX('G-1 All Habitats'!$B$3:$B$129,MATCH(R183,'G-1 All Habitats'!$A$3:$A$129,0)),"")</f>
        <v/>
      </c>
      <c r="T183" s="498" t="str">
        <f t="shared" si="27"/>
        <v/>
      </c>
      <c r="U183" s="499" t="str">
        <f t="shared" si="28"/>
        <v/>
      </c>
      <c r="V183" s="537" t="str">
        <f t="shared" si="22"/>
        <v/>
      </c>
      <c r="W183" s="520" t="str">
        <f>IF(S183="","",VLOOKUP(S183,'G-1 All Habitats'!$B$2:$M$129,10,FALSE))</f>
        <v/>
      </c>
      <c r="X183" s="520" t="str">
        <f>IFERROR(VLOOKUP(W183,'G-1 All Habitats'!$V$3:$W$7,2,FALSE),"")</f>
        <v/>
      </c>
      <c r="Y183" s="79"/>
      <c r="Z183" s="524" t="str">
        <f>IFERROR(INDEX('G-8 Condition Look up'!$A$3:$H$130,MATCH(S183,'G-8 Condition Look up'!$A$3:$A$130,0),MATCH(Y183,'G-8 Condition Look up'!$A$3:$H$3,0)),"")</f>
        <v/>
      </c>
      <c r="AA183" s="71"/>
      <c r="AB183" s="520" t="str">
        <f>IF(AA183="","",IF(VLOOKUP(AA183,'G-3 Multipliers'!$L$3:$N$6,2,FALSE)=0,"Spatial Data Missing ⚠",VLOOKUP(AA183,'G-3 Multipliers'!$L$3:$N$6,2,FALSE)))</f>
        <v/>
      </c>
      <c r="AC183" s="524" t="str">
        <f>IF(AA183="","",IF(VLOOKUP(AA183,'G-3 Multipliers'!$L$3:$N$6,3,FALSE)=0,"Spatial Data Missing ⚠",VLOOKUP(AA183,'G-3 Multipliers'!$L$3:$N$6,3,FALSE)))</f>
        <v/>
      </c>
      <c r="AD183" s="539" t="str">
        <f t="shared" si="23"/>
        <v/>
      </c>
      <c r="AE183" s="82"/>
      <c r="AF183" s="82"/>
      <c r="AG183" s="507" t="str">
        <f t="shared" si="29"/>
        <v/>
      </c>
      <c r="AH183" s="521" t="str">
        <f t="shared" si="30"/>
        <v/>
      </c>
      <c r="AI183" s="522" t="str">
        <f>IF(AH183="Check Data","Check Data",IFERROR(VLOOKUP(AH183,'G-4 Temporal multipliers'!$A$4:$C$36,3,FALSE),""))</f>
        <v/>
      </c>
      <c r="AJ183" s="498" t="str">
        <f>IF(S183="","",VLOOKUP(S183,'G-3 Multipliers'!$A$2:$E$129,4,FALSE))</f>
        <v/>
      </c>
      <c r="AK183" s="507" t="str">
        <f t="shared" si="31"/>
        <v/>
      </c>
      <c r="AL183" s="507" t="str">
        <f t="shared" si="32"/>
        <v/>
      </c>
      <c r="AM183" s="540" t="str">
        <f>IFERROR(IF(F183="","",IF(AH183="Check Data ⚠","Check Data ⚠",VLOOKUP(AL183, 'G-3 Multipliers'!$P$2:$Q$6,2,FALSE))),"")</f>
        <v/>
      </c>
      <c r="AN183" s="513" t="str">
        <f t="shared" si="24"/>
        <v/>
      </c>
      <c r="AO183" s="239"/>
      <c r="AP183" s="240"/>
    </row>
    <row r="184" spans="1:42" x14ac:dyDescent="0.3">
      <c r="A184" s="47" t="str">
        <f>IF(E184="","",IF(ISNA(VLOOKUP($E184,'A-1 Site Habitat Baseline'!$D$1:$O$258,2,FALSE)),"",(VLOOKUP($E184,'A-1 Site Habitat Baseline'!$D$1:$O$258,2,FALSE))))</f>
        <v/>
      </c>
      <c r="B184" s="47" t="str">
        <f>IF(E184="","",IF(ISNA(VLOOKUP($E184,'A-1 Site Habitat Baseline'!$D$1:$O$258,3,FALSE)),"",(VLOOKUP($E184,'A-1 Site Habitat Baseline'!$D$1:$O$258,3,FALSE))))</f>
        <v/>
      </c>
      <c r="C184" s="47" t="str">
        <f>IFERROR(INDEX('G-8 Condition Look up'!$I$4:$I$130,MATCH(S184,'G-8 Condition Look up'!$A$4:$A$130,0)),"")</f>
        <v/>
      </c>
      <c r="E184" s="531" t="str">
        <f>'A-1 Site Habitat Baseline'!AL183</f>
        <v/>
      </c>
      <c r="F184" s="520" t="str">
        <f>IF(E184="","",IF(ISNA(VLOOKUP($E184,'A-1 Site Habitat Baseline'!$D$1:$O$258,4,FALSE)),"",(VLOOKUP($E184,'A-1 Site Habitat Baseline'!$D$1:$O$258,4,FALSE))))</f>
        <v/>
      </c>
      <c r="G184" s="520" t="str">
        <f>IF(E184="","",IF(ISNA(VLOOKUP($E184,'A-1 Site Habitat Baseline'!$D$1:$O$258,5,FALSE)),"",(VLOOKUP($E184,'A-1 Site Habitat Baseline'!$D$1:$O$258,5,FALSE))))</f>
        <v/>
      </c>
      <c r="H184" s="520" t="str">
        <f>IF(E184="","",IF(ISNA(VLOOKUP($E184,'A-1 Site Habitat Baseline'!$D$1:$O$258,6,FALSE)),"",(VLOOKUP($E184,'A-1 Site Habitat Baseline'!$D$1:$O$258,6,FALSE))))</f>
        <v/>
      </c>
      <c r="I184" s="520" t="str">
        <f>IF(E184="","",IF(ISNA(VLOOKUP($E184,'A-1 Site Habitat Baseline'!$D$1:$O$258,7,FALSE)),"",(VLOOKUP($E184,'A-1 Site Habitat Baseline'!$D$1:$O$258,7,FALSE))))</f>
        <v/>
      </c>
      <c r="J184" s="520" t="str">
        <f>IF(E184="","",IF(ISNA(VLOOKUP($E184,'A-1 Site Habitat Baseline'!$D$1:$O$258,8,FALSE)),"",(VLOOKUP($E184,'A-1 Site Habitat Baseline'!$D$1:$O$258,8,FALSE))))</f>
        <v/>
      </c>
      <c r="K184" s="520" t="str">
        <f>IF(E184="","",IF(ISNA(VLOOKUP($E184,'A-1 Site Habitat Baseline'!$D$1:$O$258,9,FALSE)),"",(VLOOKUP($E184,'A-1 Site Habitat Baseline'!$D$1:$O$258,9,FALSE))))</f>
        <v/>
      </c>
      <c r="L184" s="520" t="str">
        <f>IF(E184="","",IF(ISNA(VLOOKUP($E184,'A-1 Site Habitat Baseline'!$D$1:$O$258,11,FALSE)),"",(VLOOKUP($E184,'A-1 Site Habitat Baseline'!$D$1:$O$258,11,FALSE))))</f>
        <v/>
      </c>
      <c r="M184" s="520" t="str">
        <f>IF(E184="","",IF(ISNA(VLOOKUP($E184,'A-1 Site Habitat Baseline'!$D$1:$O$258,12,FALSE)),"",(VLOOKUP($E184,'A-1 Site Habitat Baseline'!$D$1:$O$258,12,FALSE))))</f>
        <v/>
      </c>
      <c r="N184" s="532" t="str">
        <f>IF(E184="","",IF(ISNA(VLOOKUP($E184,'A-1 Site Habitat Baseline'!$D$1:$X$258,14,FALSE)),"",(VLOOKUP($E184,'A-1 Site Habitat Baseline'!$D$1:$X$258,14,FALSE))))</f>
        <v/>
      </c>
      <c r="O184" s="524" t="str">
        <f>IF(E184="","",IF(ISNA(VLOOKUP($E184,'A-1 Site Habitat Baseline'!$D$1:$X$258,16,FALSE)),"",(VLOOKUP($E184,'A-1 Site Habitat Baseline'!$D$1:$X$258,13,FALSE))))</f>
        <v/>
      </c>
      <c r="P184" s="237" t="str">
        <f>IFERROR(INDEX('G-1 All Habitats'!$AG$3:$AG$15,MATCH(Q184,'G-1 All Habitats'!$AF$3:$AF$15,0)),"")</f>
        <v/>
      </c>
      <c r="Q184" s="238" t="str">
        <f t="shared" si="25"/>
        <v/>
      </c>
      <c r="R184" s="238" t="str">
        <f t="shared" si="26"/>
        <v/>
      </c>
      <c r="S184" s="392" t="str">
        <f>IFERROR(INDEX('G-1 All Habitats'!$B$3:$B$129,MATCH(R184,'G-1 All Habitats'!$A$3:$A$129,0)),"")</f>
        <v/>
      </c>
      <c r="T184" s="498" t="str">
        <f t="shared" si="27"/>
        <v/>
      </c>
      <c r="U184" s="499" t="str">
        <f t="shared" si="28"/>
        <v/>
      </c>
      <c r="V184" s="537" t="str">
        <f t="shared" si="22"/>
        <v/>
      </c>
      <c r="W184" s="520" t="str">
        <f>IF(S184="","",VLOOKUP(S184,'G-1 All Habitats'!$B$2:$M$129,10,FALSE))</f>
        <v/>
      </c>
      <c r="X184" s="520" t="str">
        <f>IFERROR(VLOOKUP(W184,'G-1 All Habitats'!$V$3:$W$7,2,FALSE),"")</f>
        <v/>
      </c>
      <c r="Y184" s="79"/>
      <c r="Z184" s="524" t="str">
        <f>IFERROR(INDEX('G-8 Condition Look up'!$A$3:$H$130,MATCH(S184,'G-8 Condition Look up'!$A$3:$A$130,0),MATCH(Y184,'G-8 Condition Look up'!$A$3:$H$3,0)),"")</f>
        <v/>
      </c>
      <c r="AA184" s="71"/>
      <c r="AB184" s="520" t="str">
        <f>IF(AA184="","",IF(VLOOKUP(AA184,'G-3 Multipliers'!$L$3:$N$6,2,FALSE)=0,"Spatial Data Missing ⚠",VLOOKUP(AA184,'G-3 Multipliers'!$L$3:$N$6,2,FALSE)))</f>
        <v/>
      </c>
      <c r="AC184" s="524" t="str">
        <f>IF(AA184="","",IF(VLOOKUP(AA184,'G-3 Multipliers'!$L$3:$N$6,3,FALSE)=0,"Spatial Data Missing ⚠",VLOOKUP(AA184,'G-3 Multipliers'!$L$3:$N$6,3,FALSE)))</f>
        <v/>
      </c>
      <c r="AD184" s="539" t="str">
        <f t="shared" si="23"/>
        <v/>
      </c>
      <c r="AE184" s="82"/>
      <c r="AF184" s="82"/>
      <c r="AG184" s="507" t="str">
        <f t="shared" si="29"/>
        <v/>
      </c>
      <c r="AH184" s="521" t="str">
        <f t="shared" si="30"/>
        <v/>
      </c>
      <c r="AI184" s="522" t="str">
        <f>IF(AH184="Check Data","Check Data",IFERROR(VLOOKUP(AH184,'G-4 Temporal multipliers'!$A$4:$C$36,3,FALSE),""))</f>
        <v/>
      </c>
      <c r="AJ184" s="498" t="str">
        <f>IF(S184="","",VLOOKUP(S184,'G-3 Multipliers'!$A$2:$E$129,4,FALSE))</f>
        <v/>
      </c>
      <c r="AK184" s="507" t="str">
        <f t="shared" si="31"/>
        <v/>
      </c>
      <c r="AL184" s="507" t="str">
        <f t="shared" si="32"/>
        <v/>
      </c>
      <c r="AM184" s="540" t="str">
        <f>IFERROR(IF(F184="","",IF(AH184="Check Data ⚠","Check Data ⚠",VLOOKUP(AL184, 'G-3 Multipliers'!$P$2:$Q$6,2,FALSE))),"")</f>
        <v/>
      </c>
      <c r="AN184" s="513" t="str">
        <f t="shared" si="24"/>
        <v/>
      </c>
      <c r="AO184" s="239"/>
      <c r="AP184" s="240"/>
    </row>
    <row r="185" spans="1:42" x14ac:dyDescent="0.3">
      <c r="A185" s="47" t="str">
        <f>IF(E185="","",IF(ISNA(VLOOKUP($E185,'A-1 Site Habitat Baseline'!$D$1:$O$258,2,FALSE)),"",(VLOOKUP($E185,'A-1 Site Habitat Baseline'!$D$1:$O$258,2,FALSE))))</f>
        <v/>
      </c>
      <c r="B185" s="47" t="str">
        <f>IF(E185="","",IF(ISNA(VLOOKUP($E185,'A-1 Site Habitat Baseline'!$D$1:$O$258,3,FALSE)),"",(VLOOKUP($E185,'A-1 Site Habitat Baseline'!$D$1:$O$258,3,FALSE))))</f>
        <v/>
      </c>
      <c r="C185" s="47" t="str">
        <f>IFERROR(INDEX('G-8 Condition Look up'!$I$4:$I$130,MATCH(S185,'G-8 Condition Look up'!$A$4:$A$130,0)),"")</f>
        <v/>
      </c>
      <c r="E185" s="531" t="str">
        <f>'A-1 Site Habitat Baseline'!AL184</f>
        <v/>
      </c>
      <c r="F185" s="520" t="str">
        <f>IF(E185="","",IF(ISNA(VLOOKUP($E185,'A-1 Site Habitat Baseline'!$D$1:$O$258,4,FALSE)),"",(VLOOKUP($E185,'A-1 Site Habitat Baseline'!$D$1:$O$258,4,FALSE))))</f>
        <v/>
      </c>
      <c r="G185" s="520" t="str">
        <f>IF(E185="","",IF(ISNA(VLOOKUP($E185,'A-1 Site Habitat Baseline'!$D$1:$O$258,5,FALSE)),"",(VLOOKUP($E185,'A-1 Site Habitat Baseline'!$D$1:$O$258,5,FALSE))))</f>
        <v/>
      </c>
      <c r="H185" s="520" t="str">
        <f>IF(E185="","",IF(ISNA(VLOOKUP($E185,'A-1 Site Habitat Baseline'!$D$1:$O$258,6,FALSE)),"",(VLOOKUP($E185,'A-1 Site Habitat Baseline'!$D$1:$O$258,6,FALSE))))</f>
        <v/>
      </c>
      <c r="I185" s="520" t="str">
        <f>IF(E185="","",IF(ISNA(VLOOKUP($E185,'A-1 Site Habitat Baseline'!$D$1:$O$258,7,FALSE)),"",(VLOOKUP($E185,'A-1 Site Habitat Baseline'!$D$1:$O$258,7,FALSE))))</f>
        <v/>
      </c>
      <c r="J185" s="520" t="str">
        <f>IF(E185="","",IF(ISNA(VLOOKUP($E185,'A-1 Site Habitat Baseline'!$D$1:$O$258,8,FALSE)),"",(VLOOKUP($E185,'A-1 Site Habitat Baseline'!$D$1:$O$258,8,FALSE))))</f>
        <v/>
      </c>
      <c r="K185" s="520" t="str">
        <f>IF(E185="","",IF(ISNA(VLOOKUP($E185,'A-1 Site Habitat Baseline'!$D$1:$O$258,9,FALSE)),"",(VLOOKUP($E185,'A-1 Site Habitat Baseline'!$D$1:$O$258,9,FALSE))))</f>
        <v/>
      </c>
      <c r="L185" s="520" t="str">
        <f>IF(E185="","",IF(ISNA(VLOOKUP($E185,'A-1 Site Habitat Baseline'!$D$1:$O$258,11,FALSE)),"",(VLOOKUP($E185,'A-1 Site Habitat Baseline'!$D$1:$O$258,11,FALSE))))</f>
        <v/>
      </c>
      <c r="M185" s="520" t="str">
        <f>IF(E185="","",IF(ISNA(VLOOKUP($E185,'A-1 Site Habitat Baseline'!$D$1:$O$258,12,FALSE)),"",(VLOOKUP($E185,'A-1 Site Habitat Baseline'!$D$1:$O$258,12,FALSE))))</f>
        <v/>
      </c>
      <c r="N185" s="532" t="str">
        <f>IF(E185="","",IF(ISNA(VLOOKUP($E185,'A-1 Site Habitat Baseline'!$D$1:$X$258,14,FALSE)),"",(VLOOKUP($E185,'A-1 Site Habitat Baseline'!$D$1:$X$258,14,FALSE))))</f>
        <v/>
      </c>
      <c r="O185" s="524" t="str">
        <f>IF(E185="","",IF(ISNA(VLOOKUP($E185,'A-1 Site Habitat Baseline'!$D$1:$X$258,16,FALSE)),"",(VLOOKUP($E185,'A-1 Site Habitat Baseline'!$D$1:$X$258,13,FALSE))))</f>
        <v/>
      </c>
      <c r="P185" s="237" t="str">
        <f>IFERROR(INDEX('G-1 All Habitats'!$AG$3:$AG$15,MATCH(Q185,'G-1 All Habitats'!$AF$3:$AF$15,0)),"")</f>
        <v/>
      </c>
      <c r="Q185" s="238" t="str">
        <f t="shared" si="25"/>
        <v/>
      </c>
      <c r="R185" s="238" t="str">
        <f t="shared" si="26"/>
        <v/>
      </c>
      <c r="S185" s="392" t="str">
        <f>IFERROR(INDEX('G-1 All Habitats'!$B$3:$B$129,MATCH(R185,'G-1 All Habitats'!$A$3:$A$129,0)),"")</f>
        <v/>
      </c>
      <c r="T185" s="498" t="str">
        <f t="shared" si="27"/>
        <v/>
      </c>
      <c r="U185" s="499" t="str">
        <f t="shared" si="28"/>
        <v/>
      </c>
      <c r="V185" s="537" t="str">
        <f t="shared" si="22"/>
        <v/>
      </c>
      <c r="W185" s="520" t="str">
        <f>IF(S185="","",VLOOKUP(S185,'G-1 All Habitats'!$B$2:$M$129,10,FALSE))</f>
        <v/>
      </c>
      <c r="X185" s="520" t="str">
        <f>IFERROR(VLOOKUP(W185,'G-1 All Habitats'!$V$3:$W$7,2,FALSE),"")</f>
        <v/>
      </c>
      <c r="Y185" s="79"/>
      <c r="Z185" s="524" t="str">
        <f>IFERROR(INDEX('G-8 Condition Look up'!$A$3:$H$130,MATCH(S185,'G-8 Condition Look up'!$A$3:$A$130,0),MATCH(Y185,'G-8 Condition Look up'!$A$3:$H$3,0)),"")</f>
        <v/>
      </c>
      <c r="AA185" s="71"/>
      <c r="AB185" s="520" t="str">
        <f>IF(AA185="","",IF(VLOOKUP(AA185,'G-3 Multipliers'!$L$3:$N$6,2,FALSE)=0,"Spatial Data Missing ⚠",VLOOKUP(AA185,'G-3 Multipliers'!$L$3:$N$6,2,FALSE)))</f>
        <v/>
      </c>
      <c r="AC185" s="524" t="str">
        <f>IF(AA185="","",IF(VLOOKUP(AA185,'G-3 Multipliers'!$L$3:$N$6,3,FALSE)=0,"Spatial Data Missing ⚠",VLOOKUP(AA185,'G-3 Multipliers'!$L$3:$N$6,3,FALSE)))</f>
        <v/>
      </c>
      <c r="AD185" s="539" t="str">
        <f t="shared" si="23"/>
        <v/>
      </c>
      <c r="AE185" s="82"/>
      <c r="AF185" s="82"/>
      <c r="AG185" s="507" t="str">
        <f t="shared" si="29"/>
        <v/>
      </c>
      <c r="AH185" s="521" t="str">
        <f t="shared" si="30"/>
        <v/>
      </c>
      <c r="AI185" s="522" t="str">
        <f>IF(AH185="Check Data","Check Data",IFERROR(VLOOKUP(AH185,'G-4 Temporal multipliers'!$A$4:$C$36,3,FALSE),""))</f>
        <v/>
      </c>
      <c r="AJ185" s="498" t="str">
        <f>IF(S185="","",VLOOKUP(S185,'G-3 Multipliers'!$A$2:$E$129,4,FALSE))</f>
        <v/>
      </c>
      <c r="AK185" s="507" t="str">
        <f t="shared" si="31"/>
        <v/>
      </c>
      <c r="AL185" s="507" t="str">
        <f t="shared" si="32"/>
        <v/>
      </c>
      <c r="AM185" s="540" t="str">
        <f>IFERROR(IF(F185="","",IF(AH185="Check Data ⚠","Check Data ⚠",VLOOKUP(AL185, 'G-3 Multipliers'!$P$2:$Q$6,2,FALSE))),"")</f>
        <v/>
      </c>
      <c r="AN185" s="513" t="str">
        <f t="shared" si="24"/>
        <v/>
      </c>
      <c r="AO185" s="239"/>
      <c r="AP185" s="240"/>
    </row>
    <row r="186" spans="1:42" x14ac:dyDescent="0.3">
      <c r="A186" s="47" t="str">
        <f>IF(E186="","",IF(ISNA(VLOOKUP($E186,'A-1 Site Habitat Baseline'!$D$1:$O$258,2,FALSE)),"",(VLOOKUP($E186,'A-1 Site Habitat Baseline'!$D$1:$O$258,2,FALSE))))</f>
        <v/>
      </c>
      <c r="B186" s="47" t="str">
        <f>IF(E186="","",IF(ISNA(VLOOKUP($E186,'A-1 Site Habitat Baseline'!$D$1:$O$258,3,FALSE)),"",(VLOOKUP($E186,'A-1 Site Habitat Baseline'!$D$1:$O$258,3,FALSE))))</f>
        <v/>
      </c>
      <c r="C186" s="47" t="str">
        <f>IFERROR(INDEX('G-8 Condition Look up'!$I$4:$I$130,MATCH(S186,'G-8 Condition Look up'!$A$4:$A$130,0)),"")</f>
        <v/>
      </c>
      <c r="E186" s="531" t="str">
        <f>'A-1 Site Habitat Baseline'!AL185</f>
        <v/>
      </c>
      <c r="F186" s="520" t="str">
        <f>IF(E186="","",IF(ISNA(VLOOKUP($E186,'A-1 Site Habitat Baseline'!$D$1:$O$258,4,FALSE)),"",(VLOOKUP($E186,'A-1 Site Habitat Baseline'!$D$1:$O$258,4,FALSE))))</f>
        <v/>
      </c>
      <c r="G186" s="520" t="str">
        <f>IF(E186="","",IF(ISNA(VLOOKUP($E186,'A-1 Site Habitat Baseline'!$D$1:$O$258,5,FALSE)),"",(VLOOKUP($E186,'A-1 Site Habitat Baseline'!$D$1:$O$258,5,FALSE))))</f>
        <v/>
      </c>
      <c r="H186" s="520" t="str">
        <f>IF(E186="","",IF(ISNA(VLOOKUP($E186,'A-1 Site Habitat Baseline'!$D$1:$O$258,6,FALSE)),"",(VLOOKUP($E186,'A-1 Site Habitat Baseline'!$D$1:$O$258,6,FALSE))))</f>
        <v/>
      </c>
      <c r="I186" s="520" t="str">
        <f>IF(E186="","",IF(ISNA(VLOOKUP($E186,'A-1 Site Habitat Baseline'!$D$1:$O$258,7,FALSE)),"",(VLOOKUP($E186,'A-1 Site Habitat Baseline'!$D$1:$O$258,7,FALSE))))</f>
        <v/>
      </c>
      <c r="J186" s="520" t="str">
        <f>IF(E186="","",IF(ISNA(VLOOKUP($E186,'A-1 Site Habitat Baseline'!$D$1:$O$258,8,FALSE)),"",(VLOOKUP($E186,'A-1 Site Habitat Baseline'!$D$1:$O$258,8,FALSE))))</f>
        <v/>
      </c>
      <c r="K186" s="520" t="str">
        <f>IF(E186="","",IF(ISNA(VLOOKUP($E186,'A-1 Site Habitat Baseline'!$D$1:$O$258,9,FALSE)),"",(VLOOKUP($E186,'A-1 Site Habitat Baseline'!$D$1:$O$258,9,FALSE))))</f>
        <v/>
      </c>
      <c r="L186" s="520" t="str">
        <f>IF(E186="","",IF(ISNA(VLOOKUP($E186,'A-1 Site Habitat Baseline'!$D$1:$O$258,11,FALSE)),"",(VLOOKUP($E186,'A-1 Site Habitat Baseline'!$D$1:$O$258,11,FALSE))))</f>
        <v/>
      </c>
      <c r="M186" s="520" t="str">
        <f>IF(E186="","",IF(ISNA(VLOOKUP($E186,'A-1 Site Habitat Baseline'!$D$1:$O$258,12,FALSE)),"",(VLOOKUP($E186,'A-1 Site Habitat Baseline'!$D$1:$O$258,12,FALSE))))</f>
        <v/>
      </c>
      <c r="N186" s="532" t="str">
        <f>IF(E186="","",IF(ISNA(VLOOKUP($E186,'A-1 Site Habitat Baseline'!$D$1:$X$258,14,FALSE)),"",(VLOOKUP($E186,'A-1 Site Habitat Baseline'!$D$1:$X$258,14,FALSE))))</f>
        <v/>
      </c>
      <c r="O186" s="524" t="str">
        <f>IF(E186="","",IF(ISNA(VLOOKUP($E186,'A-1 Site Habitat Baseline'!$D$1:$X$258,16,FALSE)),"",(VLOOKUP($E186,'A-1 Site Habitat Baseline'!$D$1:$X$258,13,FALSE))))</f>
        <v/>
      </c>
      <c r="P186" s="237" t="str">
        <f>IFERROR(INDEX('G-1 All Habitats'!$AG$3:$AG$15,MATCH(Q186,'G-1 All Habitats'!$AF$3:$AF$15,0)),"")</f>
        <v/>
      </c>
      <c r="Q186" s="238" t="str">
        <f t="shared" si="25"/>
        <v/>
      </c>
      <c r="R186" s="238" t="str">
        <f t="shared" si="26"/>
        <v/>
      </c>
      <c r="S186" s="392" t="str">
        <f>IFERROR(INDEX('G-1 All Habitats'!$B$3:$B$129,MATCH(R186,'G-1 All Habitats'!$A$3:$A$129,0)),"")</f>
        <v/>
      </c>
      <c r="T186" s="498" t="str">
        <f t="shared" si="27"/>
        <v/>
      </c>
      <c r="U186" s="499" t="str">
        <f t="shared" si="28"/>
        <v/>
      </c>
      <c r="V186" s="537" t="str">
        <f t="shared" si="22"/>
        <v/>
      </c>
      <c r="W186" s="520" t="str">
        <f>IF(S186="","",VLOOKUP(S186,'G-1 All Habitats'!$B$2:$M$129,10,FALSE))</f>
        <v/>
      </c>
      <c r="X186" s="520" t="str">
        <f>IFERROR(VLOOKUP(W186,'G-1 All Habitats'!$V$3:$W$7,2,FALSE),"")</f>
        <v/>
      </c>
      <c r="Y186" s="79"/>
      <c r="Z186" s="524" t="str">
        <f>IFERROR(INDEX('G-8 Condition Look up'!$A$3:$H$130,MATCH(S186,'G-8 Condition Look up'!$A$3:$A$130,0),MATCH(Y186,'G-8 Condition Look up'!$A$3:$H$3,0)),"")</f>
        <v/>
      </c>
      <c r="AA186" s="71"/>
      <c r="AB186" s="520" t="str">
        <f>IF(AA186="","",IF(VLOOKUP(AA186,'G-3 Multipliers'!$L$3:$N$6,2,FALSE)=0,"Spatial Data Missing ⚠",VLOOKUP(AA186,'G-3 Multipliers'!$L$3:$N$6,2,FALSE)))</f>
        <v/>
      </c>
      <c r="AC186" s="524" t="str">
        <f>IF(AA186="","",IF(VLOOKUP(AA186,'G-3 Multipliers'!$L$3:$N$6,3,FALSE)=0,"Spatial Data Missing ⚠",VLOOKUP(AA186,'G-3 Multipliers'!$L$3:$N$6,3,FALSE)))</f>
        <v/>
      </c>
      <c r="AD186" s="539" t="str">
        <f t="shared" si="23"/>
        <v/>
      </c>
      <c r="AE186" s="82"/>
      <c r="AF186" s="82"/>
      <c r="AG186" s="507" t="str">
        <f t="shared" si="29"/>
        <v/>
      </c>
      <c r="AH186" s="521" t="str">
        <f t="shared" si="30"/>
        <v/>
      </c>
      <c r="AI186" s="522" t="str">
        <f>IF(AH186="Check Data","Check Data",IFERROR(VLOOKUP(AH186,'G-4 Temporal multipliers'!$A$4:$C$36,3,FALSE),""))</f>
        <v/>
      </c>
      <c r="AJ186" s="498" t="str">
        <f>IF(S186="","",VLOOKUP(S186,'G-3 Multipliers'!$A$2:$E$129,4,FALSE))</f>
        <v/>
      </c>
      <c r="AK186" s="507" t="str">
        <f t="shared" si="31"/>
        <v/>
      </c>
      <c r="AL186" s="507" t="str">
        <f t="shared" si="32"/>
        <v/>
      </c>
      <c r="AM186" s="540" t="str">
        <f>IFERROR(IF(F186="","",IF(AH186="Check Data ⚠","Check Data ⚠",VLOOKUP(AL186, 'G-3 Multipliers'!$P$2:$Q$6,2,FALSE))),"")</f>
        <v/>
      </c>
      <c r="AN186" s="513" t="str">
        <f t="shared" si="24"/>
        <v/>
      </c>
      <c r="AO186" s="239"/>
      <c r="AP186" s="240"/>
    </row>
    <row r="187" spans="1:42" x14ac:dyDescent="0.3">
      <c r="A187" s="47" t="str">
        <f>IF(E187="","",IF(ISNA(VLOOKUP($E187,'A-1 Site Habitat Baseline'!$D$1:$O$258,2,FALSE)),"",(VLOOKUP($E187,'A-1 Site Habitat Baseline'!$D$1:$O$258,2,FALSE))))</f>
        <v/>
      </c>
      <c r="B187" s="47" t="str">
        <f>IF(E187="","",IF(ISNA(VLOOKUP($E187,'A-1 Site Habitat Baseline'!$D$1:$O$258,3,FALSE)),"",(VLOOKUP($E187,'A-1 Site Habitat Baseline'!$D$1:$O$258,3,FALSE))))</f>
        <v/>
      </c>
      <c r="C187" s="47" t="str">
        <f>IFERROR(INDEX('G-8 Condition Look up'!$I$4:$I$130,MATCH(S187,'G-8 Condition Look up'!$A$4:$A$130,0)),"")</f>
        <v/>
      </c>
      <c r="E187" s="531" t="str">
        <f>'A-1 Site Habitat Baseline'!AL186</f>
        <v/>
      </c>
      <c r="F187" s="520" t="str">
        <f>IF(E187="","",IF(ISNA(VLOOKUP($E187,'A-1 Site Habitat Baseline'!$D$1:$O$258,4,FALSE)),"",(VLOOKUP($E187,'A-1 Site Habitat Baseline'!$D$1:$O$258,4,FALSE))))</f>
        <v/>
      </c>
      <c r="G187" s="520" t="str">
        <f>IF(E187="","",IF(ISNA(VLOOKUP($E187,'A-1 Site Habitat Baseline'!$D$1:$O$258,5,FALSE)),"",(VLOOKUP($E187,'A-1 Site Habitat Baseline'!$D$1:$O$258,5,FALSE))))</f>
        <v/>
      </c>
      <c r="H187" s="520" t="str">
        <f>IF(E187="","",IF(ISNA(VLOOKUP($E187,'A-1 Site Habitat Baseline'!$D$1:$O$258,6,FALSE)),"",(VLOOKUP($E187,'A-1 Site Habitat Baseline'!$D$1:$O$258,6,FALSE))))</f>
        <v/>
      </c>
      <c r="I187" s="520" t="str">
        <f>IF(E187="","",IF(ISNA(VLOOKUP($E187,'A-1 Site Habitat Baseline'!$D$1:$O$258,7,FALSE)),"",(VLOOKUP($E187,'A-1 Site Habitat Baseline'!$D$1:$O$258,7,FALSE))))</f>
        <v/>
      </c>
      <c r="J187" s="520" t="str">
        <f>IF(E187="","",IF(ISNA(VLOOKUP($E187,'A-1 Site Habitat Baseline'!$D$1:$O$258,8,FALSE)),"",(VLOOKUP($E187,'A-1 Site Habitat Baseline'!$D$1:$O$258,8,FALSE))))</f>
        <v/>
      </c>
      <c r="K187" s="520" t="str">
        <f>IF(E187="","",IF(ISNA(VLOOKUP($E187,'A-1 Site Habitat Baseline'!$D$1:$O$258,9,FALSE)),"",(VLOOKUP($E187,'A-1 Site Habitat Baseline'!$D$1:$O$258,9,FALSE))))</f>
        <v/>
      </c>
      <c r="L187" s="520" t="str">
        <f>IF(E187="","",IF(ISNA(VLOOKUP($E187,'A-1 Site Habitat Baseline'!$D$1:$O$258,11,FALSE)),"",(VLOOKUP($E187,'A-1 Site Habitat Baseline'!$D$1:$O$258,11,FALSE))))</f>
        <v/>
      </c>
      <c r="M187" s="520" t="str">
        <f>IF(E187="","",IF(ISNA(VLOOKUP($E187,'A-1 Site Habitat Baseline'!$D$1:$O$258,12,FALSE)),"",(VLOOKUP($E187,'A-1 Site Habitat Baseline'!$D$1:$O$258,12,FALSE))))</f>
        <v/>
      </c>
      <c r="N187" s="532" t="str">
        <f>IF(E187="","",IF(ISNA(VLOOKUP($E187,'A-1 Site Habitat Baseline'!$D$1:$X$258,14,FALSE)),"",(VLOOKUP($E187,'A-1 Site Habitat Baseline'!$D$1:$X$258,14,FALSE))))</f>
        <v/>
      </c>
      <c r="O187" s="524" t="str">
        <f>IF(E187="","",IF(ISNA(VLOOKUP($E187,'A-1 Site Habitat Baseline'!$D$1:$X$258,16,FALSE)),"",(VLOOKUP($E187,'A-1 Site Habitat Baseline'!$D$1:$X$258,13,FALSE))))</f>
        <v/>
      </c>
      <c r="P187" s="237" t="str">
        <f>IFERROR(INDEX('G-1 All Habitats'!$AG$3:$AG$15,MATCH(Q187,'G-1 All Habitats'!$AF$3:$AF$15,0)),"")</f>
        <v/>
      </c>
      <c r="Q187" s="238" t="str">
        <f t="shared" si="25"/>
        <v/>
      </c>
      <c r="R187" s="238" t="str">
        <f t="shared" si="26"/>
        <v/>
      </c>
      <c r="S187" s="392" t="str">
        <f>IFERROR(INDEX('G-1 All Habitats'!$B$3:$B$129,MATCH(R187,'G-1 All Habitats'!$A$3:$A$129,0)),"")</f>
        <v/>
      </c>
      <c r="T187" s="498" t="str">
        <f t="shared" si="27"/>
        <v/>
      </c>
      <c r="U187" s="499" t="str">
        <f t="shared" si="28"/>
        <v/>
      </c>
      <c r="V187" s="537" t="str">
        <f t="shared" si="22"/>
        <v/>
      </c>
      <c r="W187" s="520" t="str">
        <f>IF(S187="","",VLOOKUP(S187,'G-1 All Habitats'!$B$2:$M$129,10,FALSE))</f>
        <v/>
      </c>
      <c r="X187" s="520" t="str">
        <f>IFERROR(VLOOKUP(W187,'G-1 All Habitats'!$V$3:$W$7,2,FALSE),"")</f>
        <v/>
      </c>
      <c r="Y187" s="79"/>
      <c r="Z187" s="524" t="str">
        <f>IFERROR(INDEX('G-8 Condition Look up'!$A$3:$H$130,MATCH(S187,'G-8 Condition Look up'!$A$3:$A$130,0),MATCH(Y187,'G-8 Condition Look up'!$A$3:$H$3,0)),"")</f>
        <v/>
      </c>
      <c r="AA187" s="71"/>
      <c r="AB187" s="520" t="str">
        <f>IF(AA187="","",IF(VLOOKUP(AA187,'G-3 Multipliers'!$L$3:$N$6,2,FALSE)=0,"Spatial Data Missing ⚠",VLOOKUP(AA187,'G-3 Multipliers'!$L$3:$N$6,2,FALSE)))</f>
        <v/>
      </c>
      <c r="AC187" s="524" t="str">
        <f>IF(AA187="","",IF(VLOOKUP(AA187,'G-3 Multipliers'!$L$3:$N$6,3,FALSE)=0,"Spatial Data Missing ⚠",VLOOKUP(AA187,'G-3 Multipliers'!$L$3:$N$6,3,FALSE)))</f>
        <v/>
      </c>
      <c r="AD187" s="539" t="str">
        <f t="shared" si="23"/>
        <v/>
      </c>
      <c r="AE187" s="82"/>
      <c r="AF187" s="82"/>
      <c r="AG187" s="507" t="str">
        <f t="shared" si="29"/>
        <v/>
      </c>
      <c r="AH187" s="521" t="str">
        <f t="shared" si="30"/>
        <v/>
      </c>
      <c r="AI187" s="522" t="str">
        <f>IF(AH187="Check Data","Check Data",IFERROR(VLOOKUP(AH187,'G-4 Temporal multipliers'!$A$4:$C$36,3,FALSE),""))</f>
        <v/>
      </c>
      <c r="AJ187" s="498" t="str">
        <f>IF(S187="","",VLOOKUP(S187,'G-3 Multipliers'!$A$2:$E$129,4,FALSE))</f>
        <v/>
      </c>
      <c r="AK187" s="507" t="str">
        <f t="shared" si="31"/>
        <v/>
      </c>
      <c r="AL187" s="507" t="str">
        <f t="shared" si="32"/>
        <v/>
      </c>
      <c r="AM187" s="540" t="str">
        <f>IFERROR(IF(F187="","",IF(AH187="Check Data ⚠","Check Data ⚠",VLOOKUP(AL187, 'G-3 Multipliers'!$P$2:$Q$6,2,FALSE))),"")</f>
        <v/>
      </c>
      <c r="AN187" s="513" t="str">
        <f t="shared" si="24"/>
        <v/>
      </c>
      <c r="AO187" s="239"/>
      <c r="AP187" s="240"/>
    </row>
    <row r="188" spans="1:42" x14ac:dyDescent="0.3">
      <c r="A188" s="47" t="str">
        <f>IF(E188="","",IF(ISNA(VLOOKUP($E188,'A-1 Site Habitat Baseline'!$D$1:$O$258,2,FALSE)),"",(VLOOKUP($E188,'A-1 Site Habitat Baseline'!$D$1:$O$258,2,FALSE))))</f>
        <v/>
      </c>
      <c r="B188" s="47" t="str">
        <f>IF(E188="","",IF(ISNA(VLOOKUP($E188,'A-1 Site Habitat Baseline'!$D$1:$O$258,3,FALSE)),"",(VLOOKUP($E188,'A-1 Site Habitat Baseline'!$D$1:$O$258,3,FALSE))))</f>
        <v/>
      </c>
      <c r="C188" s="47" t="str">
        <f>IFERROR(INDEX('G-8 Condition Look up'!$I$4:$I$130,MATCH(S188,'G-8 Condition Look up'!$A$4:$A$130,0)),"")</f>
        <v/>
      </c>
      <c r="E188" s="531" t="str">
        <f>'A-1 Site Habitat Baseline'!AL187</f>
        <v/>
      </c>
      <c r="F188" s="520" t="str">
        <f>IF(E188="","",IF(ISNA(VLOOKUP($E188,'A-1 Site Habitat Baseline'!$D$1:$O$258,4,FALSE)),"",(VLOOKUP($E188,'A-1 Site Habitat Baseline'!$D$1:$O$258,4,FALSE))))</f>
        <v/>
      </c>
      <c r="G188" s="520" t="str">
        <f>IF(E188="","",IF(ISNA(VLOOKUP($E188,'A-1 Site Habitat Baseline'!$D$1:$O$258,5,FALSE)),"",(VLOOKUP($E188,'A-1 Site Habitat Baseline'!$D$1:$O$258,5,FALSE))))</f>
        <v/>
      </c>
      <c r="H188" s="520" t="str">
        <f>IF(E188="","",IF(ISNA(VLOOKUP($E188,'A-1 Site Habitat Baseline'!$D$1:$O$258,6,FALSE)),"",(VLOOKUP($E188,'A-1 Site Habitat Baseline'!$D$1:$O$258,6,FALSE))))</f>
        <v/>
      </c>
      <c r="I188" s="520" t="str">
        <f>IF(E188="","",IF(ISNA(VLOOKUP($E188,'A-1 Site Habitat Baseline'!$D$1:$O$258,7,FALSE)),"",(VLOOKUP($E188,'A-1 Site Habitat Baseline'!$D$1:$O$258,7,FALSE))))</f>
        <v/>
      </c>
      <c r="J188" s="520" t="str">
        <f>IF(E188="","",IF(ISNA(VLOOKUP($E188,'A-1 Site Habitat Baseline'!$D$1:$O$258,8,FALSE)),"",(VLOOKUP($E188,'A-1 Site Habitat Baseline'!$D$1:$O$258,8,FALSE))))</f>
        <v/>
      </c>
      <c r="K188" s="520" t="str">
        <f>IF(E188="","",IF(ISNA(VLOOKUP($E188,'A-1 Site Habitat Baseline'!$D$1:$O$258,9,FALSE)),"",(VLOOKUP($E188,'A-1 Site Habitat Baseline'!$D$1:$O$258,9,FALSE))))</f>
        <v/>
      </c>
      <c r="L188" s="520" t="str">
        <f>IF(E188="","",IF(ISNA(VLOOKUP($E188,'A-1 Site Habitat Baseline'!$D$1:$O$258,11,FALSE)),"",(VLOOKUP($E188,'A-1 Site Habitat Baseline'!$D$1:$O$258,11,FALSE))))</f>
        <v/>
      </c>
      <c r="M188" s="520" t="str">
        <f>IF(E188="","",IF(ISNA(VLOOKUP($E188,'A-1 Site Habitat Baseline'!$D$1:$O$258,12,FALSE)),"",(VLOOKUP($E188,'A-1 Site Habitat Baseline'!$D$1:$O$258,12,FALSE))))</f>
        <v/>
      </c>
      <c r="N188" s="532" t="str">
        <f>IF(E188="","",IF(ISNA(VLOOKUP($E188,'A-1 Site Habitat Baseline'!$D$1:$X$258,14,FALSE)),"",(VLOOKUP($E188,'A-1 Site Habitat Baseline'!$D$1:$X$258,14,FALSE))))</f>
        <v/>
      </c>
      <c r="O188" s="524" t="str">
        <f>IF(E188="","",IF(ISNA(VLOOKUP($E188,'A-1 Site Habitat Baseline'!$D$1:$X$258,16,FALSE)),"",(VLOOKUP($E188,'A-1 Site Habitat Baseline'!$D$1:$X$258,13,FALSE))))</f>
        <v/>
      </c>
      <c r="P188" s="237" t="str">
        <f>IFERROR(INDEX('G-1 All Habitats'!$AG$3:$AG$15,MATCH(Q188,'G-1 All Habitats'!$AF$3:$AF$15,0)),"")</f>
        <v/>
      </c>
      <c r="Q188" s="238" t="str">
        <f t="shared" si="25"/>
        <v/>
      </c>
      <c r="R188" s="238" t="str">
        <f t="shared" si="26"/>
        <v/>
      </c>
      <c r="S188" s="392" t="str">
        <f>IFERROR(INDEX('G-1 All Habitats'!$B$3:$B$129,MATCH(R188,'G-1 All Habitats'!$A$3:$A$129,0)),"")</f>
        <v/>
      </c>
      <c r="T188" s="498" t="str">
        <f t="shared" si="27"/>
        <v/>
      </c>
      <c r="U188" s="499" t="str">
        <f t="shared" si="28"/>
        <v/>
      </c>
      <c r="V188" s="537" t="str">
        <f t="shared" si="22"/>
        <v/>
      </c>
      <c r="W188" s="520" t="str">
        <f>IF(S188="","",VLOOKUP(S188,'G-1 All Habitats'!$B$2:$M$129,10,FALSE))</f>
        <v/>
      </c>
      <c r="X188" s="520" t="str">
        <f>IFERROR(VLOOKUP(W188,'G-1 All Habitats'!$V$3:$W$7,2,FALSE),"")</f>
        <v/>
      </c>
      <c r="Y188" s="79"/>
      <c r="Z188" s="524" t="str">
        <f>IFERROR(INDEX('G-8 Condition Look up'!$A$3:$H$130,MATCH(S188,'G-8 Condition Look up'!$A$3:$A$130,0),MATCH(Y188,'G-8 Condition Look up'!$A$3:$H$3,0)),"")</f>
        <v/>
      </c>
      <c r="AA188" s="71"/>
      <c r="AB188" s="520" t="str">
        <f>IF(AA188="","",IF(VLOOKUP(AA188,'G-3 Multipliers'!$L$3:$N$6,2,FALSE)=0,"Spatial Data Missing ⚠",VLOOKUP(AA188,'G-3 Multipliers'!$L$3:$N$6,2,FALSE)))</f>
        <v/>
      </c>
      <c r="AC188" s="524" t="str">
        <f>IF(AA188="","",IF(VLOOKUP(AA188,'G-3 Multipliers'!$L$3:$N$6,3,FALSE)=0,"Spatial Data Missing ⚠",VLOOKUP(AA188,'G-3 Multipliers'!$L$3:$N$6,3,FALSE)))</f>
        <v/>
      </c>
      <c r="AD188" s="539" t="str">
        <f t="shared" si="23"/>
        <v/>
      </c>
      <c r="AE188" s="82"/>
      <c r="AF188" s="82"/>
      <c r="AG188" s="507" t="str">
        <f t="shared" si="29"/>
        <v/>
      </c>
      <c r="AH188" s="521" t="str">
        <f t="shared" si="30"/>
        <v/>
      </c>
      <c r="AI188" s="522" t="str">
        <f>IF(AH188="Check Data","Check Data",IFERROR(VLOOKUP(AH188,'G-4 Temporal multipliers'!$A$4:$C$36,3,FALSE),""))</f>
        <v/>
      </c>
      <c r="AJ188" s="498" t="str">
        <f>IF(S188="","",VLOOKUP(S188,'G-3 Multipliers'!$A$2:$E$129,4,FALSE))</f>
        <v/>
      </c>
      <c r="AK188" s="507" t="str">
        <f t="shared" si="31"/>
        <v/>
      </c>
      <c r="AL188" s="507" t="str">
        <f t="shared" si="32"/>
        <v/>
      </c>
      <c r="AM188" s="540" t="str">
        <f>IFERROR(IF(F188="","",IF(AH188="Check Data ⚠","Check Data ⚠",VLOOKUP(AL188, 'G-3 Multipliers'!$P$2:$Q$6,2,FALSE))),"")</f>
        <v/>
      </c>
      <c r="AN188" s="513" t="str">
        <f t="shared" si="24"/>
        <v/>
      </c>
      <c r="AO188" s="239"/>
      <c r="AP188" s="240"/>
    </row>
    <row r="189" spans="1:42" x14ac:dyDescent="0.3">
      <c r="A189" s="47" t="str">
        <f>IF(E189="","",IF(ISNA(VLOOKUP($E189,'A-1 Site Habitat Baseline'!$D$1:$O$258,2,FALSE)),"",(VLOOKUP($E189,'A-1 Site Habitat Baseline'!$D$1:$O$258,2,FALSE))))</f>
        <v/>
      </c>
      <c r="B189" s="47" t="str">
        <f>IF(E189="","",IF(ISNA(VLOOKUP($E189,'A-1 Site Habitat Baseline'!$D$1:$O$258,3,FALSE)),"",(VLOOKUP($E189,'A-1 Site Habitat Baseline'!$D$1:$O$258,3,FALSE))))</f>
        <v/>
      </c>
      <c r="C189" s="47" t="str">
        <f>IFERROR(INDEX('G-8 Condition Look up'!$I$4:$I$130,MATCH(S189,'G-8 Condition Look up'!$A$4:$A$130,0)),"")</f>
        <v/>
      </c>
      <c r="E189" s="531" t="str">
        <f>'A-1 Site Habitat Baseline'!AL188</f>
        <v/>
      </c>
      <c r="F189" s="520" t="str">
        <f>IF(E189="","",IF(ISNA(VLOOKUP($E189,'A-1 Site Habitat Baseline'!$D$1:$O$258,4,FALSE)),"",(VLOOKUP($E189,'A-1 Site Habitat Baseline'!$D$1:$O$258,4,FALSE))))</f>
        <v/>
      </c>
      <c r="G189" s="520" t="str">
        <f>IF(E189="","",IF(ISNA(VLOOKUP($E189,'A-1 Site Habitat Baseline'!$D$1:$O$258,5,FALSE)),"",(VLOOKUP($E189,'A-1 Site Habitat Baseline'!$D$1:$O$258,5,FALSE))))</f>
        <v/>
      </c>
      <c r="H189" s="520" t="str">
        <f>IF(E189="","",IF(ISNA(VLOOKUP($E189,'A-1 Site Habitat Baseline'!$D$1:$O$258,6,FALSE)),"",(VLOOKUP($E189,'A-1 Site Habitat Baseline'!$D$1:$O$258,6,FALSE))))</f>
        <v/>
      </c>
      <c r="I189" s="520" t="str">
        <f>IF(E189="","",IF(ISNA(VLOOKUP($E189,'A-1 Site Habitat Baseline'!$D$1:$O$258,7,FALSE)),"",(VLOOKUP($E189,'A-1 Site Habitat Baseline'!$D$1:$O$258,7,FALSE))))</f>
        <v/>
      </c>
      <c r="J189" s="520" t="str">
        <f>IF(E189="","",IF(ISNA(VLOOKUP($E189,'A-1 Site Habitat Baseline'!$D$1:$O$258,8,FALSE)),"",(VLOOKUP($E189,'A-1 Site Habitat Baseline'!$D$1:$O$258,8,FALSE))))</f>
        <v/>
      </c>
      <c r="K189" s="520" t="str">
        <f>IF(E189="","",IF(ISNA(VLOOKUP($E189,'A-1 Site Habitat Baseline'!$D$1:$O$258,9,FALSE)),"",(VLOOKUP($E189,'A-1 Site Habitat Baseline'!$D$1:$O$258,9,FALSE))))</f>
        <v/>
      </c>
      <c r="L189" s="520" t="str">
        <f>IF(E189="","",IF(ISNA(VLOOKUP($E189,'A-1 Site Habitat Baseline'!$D$1:$O$258,11,FALSE)),"",(VLOOKUP($E189,'A-1 Site Habitat Baseline'!$D$1:$O$258,11,FALSE))))</f>
        <v/>
      </c>
      <c r="M189" s="520" t="str">
        <f>IF(E189="","",IF(ISNA(VLOOKUP($E189,'A-1 Site Habitat Baseline'!$D$1:$O$258,12,FALSE)),"",(VLOOKUP($E189,'A-1 Site Habitat Baseline'!$D$1:$O$258,12,FALSE))))</f>
        <v/>
      </c>
      <c r="N189" s="532" t="str">
        <f>IF(E189="","",IF(ISNA(VLOOKUP($E189,'A-1 Site Habitat Baseline'!$D$1:$X$258,14,FALSE)),"",(VLOOKUP($E189,'A-1 Site Habitat Baseline'!$D$1:$X$258,14,FALSE))))</f>
        <v/>
      </c>
      <c r="O189" s="524" t="str">
        <f>IF(E189="","",IF(ISNA(VLOOKUP($E189,'A-1 Site Habitat Baseline'!$D$1:$X$258,16,FALSE)),"",(VLOOKUP($E189,'A-1 Site Habitat Baseline'!$D$1:$X$258,13,FALSE))))</f>
        <v/>
      </c>
      <c r="P189" s="237" t="str">
        <f>IFERROR(INDEX('G-1 All Habitats'!$AG$3:$AG$15,MATCH(Q189,'G-1 All Habitats'!$AF$3:$AF$15,0)),"")</f>
        <v/>
      </c>
      <c r="Q189" s="238" t="str">
        <f t="shared" si="25"/>
        <v/>
      </c>
      <c r="R189" s="238" t="str">
        <f t="shared" si="26"/>
        <v/>
      </c>
      <c r="S189" s="392" t="str">
        <f>IFERROR(INDEX('G-1 All Habitats'!$B$3:$B$129,MATCH(R189,'G-1 All Habitats'!$A$3:$A$129,0)),"")</f>
        <v/>
      </c>
      <c r="T189" s="498" t="str">
        <f t="shared" si="27"/>
        <v/>
      </c>
      <c r="U189" s="499" t="str">
        <f t="shared" si="28"/>
        <v/>
      </c>
      <c r="V189" s="537" t="str">
        <f t="shared" si="22"/>
        <v/>
      </c>
      <c r="W189" s="520" t="str">
        <f>IF(S189="","",VLOOKUP(S189,'G-1 All Habitats'!$B$2:$M$129,10,FALSE))</f>
        <v/>
      </c>
      <c r="X189" s="520" t="str">
        <f>IFERROR(VLOOKUP(W189,'G-1 All Habitats'!$V$3:$W$7,2,FALSE),"")</f>
        <v/>
      </c>
      <c r="Y189" s="79"/>
      <c r="Z189" s="524" t="str">
        <f>IFERROR(INDEX('G-8 Condition Look up'!$A$3:$H$130,MATCH(S189,'G-8 Condition Look up'!$A$3:$A$130,0),MATCH(Y189,'G-8 Condition Look up'!$A$3:$H$3,0)),"")</f>
        <v/>
      </c>
      <c r="AA189" s="71"/>
      <c r="AB189" s="520" t="str">
        <f>IF(AA189="","",IF(VLOOKUP(AA189,'G-3 Multipliers'!$L$3:$N$6,2,FALSE)=0,"Spatial Data Missing ⚠",VLOOKUP(AA189,'G-3 Multipliers'!$L$3:$N$6,2,FALSE)))</f>
        <v/>
      </c>
      <c r="AC189" s="524" t="str">
        <f>IF(AA189="","",IF(VLOOKUP(AA189,'G-3 Multipliers'!$L$3:$N$6,3,FALSE)=0,"Spatial Data Missing ⚠",VLOOKUP(AA189,'G-3 Multipliers'!$L$3:$N$6,3,FALSE)))</f>
        <v/>
      </c>
      <c r="AD189" s="539" t="str">
        <f t="shared" si="23"/>
        <v/>
      </c>
      <c r="AE189" s="82"/>
      <c r="AF189" s="82"/>
      <c r="AG189" s="507" t="str">
        <f t="shared" si="29"/>
        <v/>
      </c>
      <c r="AH189" s="521" t="str">
        <f t="shared" si="30"/>
        <v/>
      </c>
      <c r="AI189" s="522" t="str">
        <f>IF(AH189="Check Data","Check Data",IFERROR(VLOOKUP(AH189,'G-4 Temporal multipliers'!$A$4:$C$36,3,FALSE),""))</f>
        <v/>
      </c>
      <c r="AJ189" s="498" t="str">
        <f>IF(S189="","",VLOOKUP(S189,'G-3 Multipliers'!$A$2:$E$129,4,FALSE))</f>
        <v/>
      </c>
      <c r="AK189" s="507" t="str">
        <f t="shared" si="31"/>
        <v/>
      </c>
      <c r="AL189" s="507" t="str">
        <f t="shared" si="32"/>
        <v/>
      </c>
      <c r="AM189" s="540" t="str">
        <f>IFERROR(IF(F189="","",IF(AH189="Check Data ⚠","Check Data ⚠",VLOOKUP(AL189, 'G-3 Multipliers'!$P$2:$Q$6,2,FALSE))),"")</f>
        <v/>
      </c>
      <c r="AN189" s="513" t="str">
        <f t="shared" si="24"/>
        <v/>
      </c>
      <c r="AO189" s="239"/>
      <c r="AP189" s="240"/>
    </row>
    <row r="190" spans="1:42" x14ac:dyDescent="0.3">
      <c r="A190" s="47" t="str">
        <f>IF(E190="","",IF(ISNA(VLOOKUP($E190,'A-1 Site Habitat Baseline'!$D$1:$O$258,2,FALSE)),"",(VLOOKUP($E190,'A-1 Site Habitat Baseline'!$D$1:$O$258,2,FALSE))))</f>
        <v/>
      </c>
      <c r="B190" s="47" t="str">
        <f>IF(E190="","",IF(ISNA(VLOOKUP($E190,'A-1 Site Habitat Baseline'!$D$1:$O$258,3,FALSE)),"",(VLOOKUP($E190,'A-1 Site Habitat Baseline'!$D$1:$O$258,3,FALSE))))</f>
        <v/>
      </c>
      <c r="C190" s="47" t="str">
        <f>IFERROR(INDEX('G-8 Condition Look up'!$I$4:$I$130,MATCH(S190,'G-8 Condition Look up'!$A$4:$A$130,0)),"")</f>
        <v/>
      </c>
      <c r="E190" s="531" t="str">
        <f>'A-1 Site Habitat Baseline'!AL189</f>
        <v/>
      </c>
      <c r="F190" s="520" t="str">
        <f>IF(E190="","",IF(ISNA(VLOOKUP($E190,'A-1 Site Habitat Baseline'!$D$1:$O$258,4,FALSE)),"",(VLOOKUP($E190,'A-1 Site Habitat Baseline'!$D$1:$O$258,4,FALSE))))</f>
        <v/>
      </c>
      <c r="G190" s="520" t="str">
        <f>IF(E190="","",IF(ISNA(VLOOKUP($E190,'A-1 Site Habitat Baseline'!$D$1:$O$258,5,FALSE)),"",(VLOOKUP($E190,'A-1 Site Habitat Baseline'!$D$1:$O$258,5,FALSE))))</f>
        <v/>
      </c>
      <c r="H190" s="520" t="str">
        <f>IF(E190="","",IF(ISNA(VLOOKUP($E190,'A-1 Site Habitat Baseline'!$D$1:$O$258,6,FALSE)),"",(VLOOKUP($E190,'A-1 Site Habitat Baseline'!$D$1:$O$258,6,FALSE))))</f>
        <v/>
      </c>
      <c r="I190" s="520" t="str">
        <f>IF(E190="","",IF(ISNA(VLOOKUP($E190,'A-1 Site Habitat Baseline'!$D$1:$O$258,7,FALSE)),"",(VLOOKUP($E190,'A-1 Site Habitat Baseline'!$D$1:$O$258,7,FALSE))))</f>
        <v/>
      </c>
      <c r="J190" s="520" t="str">
        <f>IF(E190="","",IF(ISNA(VLOOKUP($E190,'A-1 Site Habitat Baseline'!$D$1:$O$258,8,FALSE)),"",(VLOOKUP($E190,'A-1 Site Habitat Baseline'!$D$1:$O$258,8,FALSE))))</f>
        <v/>
      </c>
      <c r="K190" s="520" t="str">
        <f>IF(E190="","",IF(ISNA(VLOOKUP($E190,'A-1 Site Habitat Baseline'!$D$1:$O$258,9,FALSE)),"",(VLOOKUP($E190,'A-1 Site Habitat Baseline'!$D$1:$O$258,9,FALSE))))</f>
        <v/>
      </c>
      <c r="L190" s="520" t="str">
        <f>IF(E190="","",IF(ISNA(VLOOKUP($E190,'A-1 Site Habitat Baseline'!$D$1:$O$258,11,FALSE)),"",(VLOOKUP($E190,'A-1 Site Habitat Baseline'!$D$1:$O$258,11,FALSE))))</f>
        <v/>
      </c>
      <c r="M190" s="520" t="str">
        <f>IF(E190="","",IF(ISNA(VLOOKUP($E190,'A-1 Site Habitat Baseline'!$D$1:$O$258,12,FALSE)),"",(VLOOKUP($E190,'A-1 Site Habitat Baseline'!$D$1:$O$258,12,FALSE))))</f>
        <v/>
      </c>
      <c r="N190" s="532" t="str">
        <f>IF(E190="","",IF(ISNA(VLOOKUP($E190,'A-1 Site Habitat Baseline'!$D$1:$X$258,14,FALSE)),"",(VLOOKUP($E190,'A-1 Site Habitat Baseline'!$D$1:$X$258,14,FALSE))))</f>
        <v/>
      </c>
      <c r="O190" s="524" t="str">
        <f>IF(E190="","",IF(ISNA(VLOOKUP($E190,'A-1 Site Habitat Baseline'!$D$1:$X$258,16,FALSE)),"",(VLOOKUP($E190,'A-1 Site Habitat Baseline'!$D$1:$X$258,13,FALSE))))</f>
        <v/>
      </c>
      <c r="P190" s="237" t="str">
        <f>IFERROR(INDEX('G-1 All Habitats'!$AG$3:$AG$15,MATCH(Q190,'G-1 All Habitats'!$AF$3:$AF$15,0)),"")</f>
        <v/>
      </c>
      <c r="Q190" s="238" t="str">
        <f t="shared" si="25"/>
        <v/>
      </c>
      <c r="R190" s="238" t="str">
        <f t="shared" si="26"/>
        <v/>
      </c>
      <c r="S190" s="392" t="str">
        <f>IFERROR(INDEX('G-1 All Habitats'!$B$3:$B$129,MATCH(R190,'G-1 All Habitats'!$A$3:$A$129,0)),"")</f>
        <v/>
      </c>
      <c r="T190" s="498" t="str">
        <f t="shared" si="27"/>
        <v/>
      </c>
      <c r="U190" s="499" t="str">
        <f t="shared" si="28"/>
        <v/>
      </c>
      <c r="V190" s="537" t="str">
        <f t="shared" si="22"/>
        <v/>
      </c>
      <c r="W190" s="520" t="str">
        <f>IF(S190="","",VLOOKUP(S190,'G-1 All Habitats'!$B$2:$M$129,10,FALSE))</f>
        <v/>
      </c>
      <c r="X190" s="520" t="str">
        <f>IFERROR(VLOOKUP(W190,'G-1 All Habitats'!$V$3:$W$7,2,FALSE),"")</f>
        <v/>
      </c>
      <c r="Y190" s="79"/>
      <c r="Z190" s="524" t="str">
        <f>IFERROR(INDEX('G-8 Condition Look up'!$A$3:$H$130,MATCH(S190,'G-8 Condition Look up'!$A$3:$A$130,0),MATCH(Y190,'G-8 Condition Look up'!$A$3:$H$3,0)),"")</f>
        <v/>
      </c>
      <c r="AA190" s="71"/>
      <c r="AB190" s="520" t="str">
        <f>IF(AA190="","",IF(VLOOKUP(AA190,'G-3 Multipliers'!$L$3:$N$6,2,FALSE)=0,"Spatial Data Missing ⚠",VLOOKUP(AA190,'G-3 Multipliers'!$L$3:$N$6,2,FALSE)))</f>
        <v/>
      </c>
      <c r="AC190" s="524" t="str">
        <f>IF(AA190="","",IF(VLOOKUP(AA190,'G-3 Multipliers'!$L$3:$N$6,3,FALSE)=0,"Spatial Data Missing ⚠",VLOOKUP(AA190,'G-3 Multipliers'!$L$3:$N$6,3,FALSE)))</f>
        <v/>
      </c>
      <c r="AD190" s="539" t="str">
        <f t="shared" si="23"/>
        <v/>
      </c>
      <c r="AE190" s="82"/>
      <c r="AF190" s="82"/>
      <c r="AG190" s="507" t="str">
        <f t="shared" si="29"/>
        <v/>
      </c>
      <c r="AH190" s="521" t="str">
        <f t="shared" si="30"/>
        <v/>
      </c>
      <c r="AI190" s="522" t="str">
        <f>IF(AH190="Check Data","Check Data",IFERROR(VLOOKUP(AH190,'G-4 Temporal multipliers'!$A$4:$C$36,3,FALSE),""))</f>
        <v/>
      </c>
      <c r="AJ190" s="498" t="str">
        <f>IF(S190="","",VLOOKUP(S190,'G-3 Multipliers'!$A$2:$E$129,4,FALSE))</f>
        <v/>
      </c>
      <c r="AK190" s="507" t="str">
        <f t="shared" si="31"/>
        <v/>
      </c>
      <c r="AL190" s="507" t="str">
        <f t="shared" si="32"/>
        <v/>
      </c>
      <c r="AM190" s="540" t="str">
        <f>IFERROR(IF(F190="","",IF(AH190="Check Data ⚠","Check Data ⚠",VLOOKUP(AL190, 'G-3 Multipliers'!$P$2:$Q$6,2,FALSE))),"")</f>
        <v/>
      </c>
      <c r="AN190" s="513" t="str">
        <f t="shared" si="24"/>
        <v/>
      </c>
      <c r="AO190" s="239"/>
      <c r="AP190" s="240"/>
    </row>
    <row r="191" spans="1:42" x14ac:dyDescent="0.3">
      <c r="A191" s="47" t="str">
        <f>IF(E191="","",IF(ISNA(VLOOKUP($E191,'A-1 Site Habitat Baseline'!$D$1:$O$258,2,FALSE)),"",(VLOOKUP($E191,'A-1 Site Habitat Baseline'!$D$1:$O$258,2,FALSE))))</f>
        <v/>
      </c>
      <c r="B191" s="47" t="str">
        <f>IF(E191="","",IF(ISNA(VLOOKUP($E191,'A-1 Site Habitat Baseline'!$D$1:$O$258,3,FALSE)),"",(VLOOKUP($E191,'A-1 Site Habitat Baseline'!$D$1:$O$258,3,FALSE))))</f>
        <v/>
      </c>
      <c r="C191" s="47" t="str">
        <f>IFERROR(INDEX('G-8 Condition Look up'!$I$4:$I$130,MATCH(S191,'G-8 Condition Look up'!$A$4:$A$130,0)),"")</f>
        <v/>
      </c>
      <c r="E191" s="531" t="str">
        <f>'A-1 Site Habitat Baseline'!AL190</f>
        <v/>
      </c>
      <c r="F191" s="520" t="str">
        <f>IF(E191="","",IF(ISNA(VLOOKUP($E191,'A-1 Site Habitat Baseline'!$D$1:$O$258,4,FALSE)),"",(VLOOKUP($E191,'A-1 Site Habitat Baseline'!$D$1:$O$258,4,FALSE))))</f>
        <v/>
      </c>
      <c r="G191" s="520" t="str">
        <f>IF(E191="","",IF(ISNA(VLOOKUP($E191,'A-1 Site Habitat Baseline'!$D$1:$O$258,5,FALSE)),"",(VLOOKUP($E191,'A-1 Site Habitat Baseline'!$D$1:$O$258,5,FALSE))))</f>
        <v/>
      </c>
      <c r="H191" s="520" t="str">
        <f>IF(E191="","",IF(ISNA(VLOOKUP($E191,'A-1 Site Habitat Baseline'!$D$1:$O$258,6,FALSE)),"",(VLOOKUP($E191,'A-1 Site Habitat Baseline'!$D$1:$O$258,6,FALSE))))</f>
        <v/>
      </c>
      <c r="I191" s="520" t="str">
        <f>IF(E191="","",IF(ISNA(VLOOKUP($E191,'A-1 Site Habitat Baseline'!$D$1:$O$258,7,FALSE)),"",(VLOOKUP($E191,'A-1 Site Habitat Baseline'!$D$1:$O$258,7,FALSE))))</f>
        <v/>
      </c>
      <c r="J191" s="520" t="str">
        <f>IF(E191="","",IF(ISNA(VLOOKUP($E191,'A-1 Site Habitat Baseline'!$D$1:$O$258,8,FALSE)),"",(VLOOKUP($E191,'A-1 Site Habitat Baseline'!$D$1:$O$258,8,FALSE))))</f>
        <v/>
      </c>
      <c r="K191" s="520" t="str">
        <f>IF(E191="","",IF(ISNA(VLOOKUP($E191,'A-1 Site Habitat Baseline'!$D$1:$O$258,9,FALSE)),"",(VLOOKUP($E191,'A-1 Site Habitat Baseline'!$D$1:$O$258,9,FALSE))))</f>
        <v/>
      </c>
      <c r="L191" s="520" t="str">
        <f>IF(E191="","",IF(ISNA(VLOOKUP($E191,'A-1 Site Habitat Baseline'!$D$1:$O$258,11,FALSE)),"",(VLOOKUP($E191,'A-1 Site Habitat Baseline'!$D$1:$O$258,11,FALSE))))</f>
        <v/>
      </c>
      <c r="M191" s="520" t="str">
        <f>IF(E191="","",IF(ISNA(VLOOKUP($E191,'A-1 Site Habitat Baseline'!$D$1:$O$258,12,FALSE)),"",(VLOOKUP($E191,'A-1 Site Habitat Baseline'!$D$1:$O$258,12,FALSE))))</f>
        <v/>
      </c>
      <c r="N191" s="532" t="str">
        <f>IF(E191="","",IF(ISNA(VLOOKUP($E191,'A-1 Site Habitat Baseline'!$D$1:$X$258,14,FALSE)),"",(VLOOKUP($E191,'A-1 Site Habitat Baseline'!$D$1:$X$258,14,FALSE))))</f>
        <v/>
      </c>
      <c r="O191" s="524" t="str">
        <f>IF(E191="","",IF(ISNA(VLOOKUP($E191,'A-1 Site Habitat Baseline'!$D$1:$X$258,16,FALSE)),"",(VLOOKUP($E191,'A-1 Site Habitat Baseline'!$D$1:$X$258,13,FALSE))))</f>
        <v/>
      </c>
      <c r="P191" s="237" t="str">
        <f>IFERROR(INDEX('G-1 All Habitats'!$AG$3:$AG$15,MATCH(Q191,'G-1 All Habitats'!$AF$3:$AF$15,0)),"")</f>
        <v/>
      </c>
      <c r="Q191" s="238" t="str">
        <f t="shared" si="25"/>
        <v/>
      </c>
      <c r="R191" s="238" t="str">
        <f t="shared" si="26"/>
        <v/>
      </c>
      <c r="S191" s="392" t="str">
        <f>IFERROR(INDEX('G-1 All Habitats'!$B$3:$B$129,MATCH(R191,'G-1 All Habitats'!$A$3:$A$129,0)),"")</f>
        <v/>
      </c>
      <c r="T191" s="498" t="str">
        <f t="shared" si="27"/>
        <v/>
      </c>
      <c r="U191" s="499" t="str">
        <f t="shared" si="28"/>
        <v/>
      </c>
      <c r="V191" s="537" t="str">
        <f t="shared" si="22"/>
        <v/>
      </c>
      <c r="W191" s="520" t="str">
        <f>IF(S191="","",VLOOKUP(S191,'G-1 All Habitats'!$B$2:$M$129,10,FALSE))</f>
        <v/>
      </c>
      <c r="X191" s="520" t="str">
        <f>IFERROR(VLOOKUP(W191,'G-1 All Habitats'!$V$3:$W$7,2,FALSE),"")</f>
        <v/>
      </c>
      <c r="Y191" s="79"/>
      <c r="Z191" s="524" t="str">
        <f>IFERROR(INDEX('G-8 Condition Look up'!$A$3:$H$130,MATCH(S191,'G-8 Condition Look up'!$A$3:$A$130,0),MATCH(Y191,'G-8 Condition Look up'!$A$3:$H$3,0)),"")</f>
        <v/>
      </c>
      <c r="AA191" s="71"/>
      <c r="AB191" s="520" t="str">
        <f>IF(AA191="","",IF(VLOOKUP(AA191,'G-3 Multipliers'!$L$3:$N$6,2,FALSE)=0,"Spatial Data Missing ⚠",VLOOKUP(AA191,'G-3 Multipliers'!$L$3:$N$6,2,FALSE)))</f>
        <v/>
      </c>
      <c r="AC191" s="524" t="str">
        <f>IF(AA191="","",IF(VLOOKUP(AA191,'G-3 Multipliers'!$L$3:$N$6,3,FALSE)=0,"Spatial Data Missing ⚠",VLOOKUP(AA191,'G-3 Multipliers'!$L$3:$N$6,3,FALSE)))</f>
        <v/>
      </c>
      <c r="AD191" s="539" t="str">
        <f t="shared" si="23"/>
        <v/>
      </c>
      <c r="AE191" s="82"/>
      <c r="AF191" s="82"/>
      <c r="AG191" s="507" t="str">
        <f t="shared" si="29"/>
        <v/>
      </c>
      <c r="AH191" s="521" t="str">
        <f t="shared" si="30"/>
        <v/>
      </c>
      <c r="AI191" s="522" t="str">
        <f>IF(AH191="Check Data","Check Data",IFERROR(VLOOKUP(AH191,'G-4 Temporal multipliers'!$A$4:$C$36,3,FALSE),""))</f>
        <v/>
      </c>
      <c r="AJ191" s="498" t="str">
        <f>IF(S191="","",VLOOKUP(S191,'G-3 Multipliers'!$A$2:$E$129,4,FALSE))</f>
        <v/>
      </c>
      <c r="AK191" s="507" t="str">
        <f t="shared" si="31"/>
        <v/>
      </c>
      <c r="AL191" s="507" t="str">
        <f t="shared" si="32"/>
        <v/>
      </c>
      <c r="AM191" s="540" t="str">
        <f>IFERROR(IF(F191="","",IF(AH191="Check Data ⚠","Check Data ⚠",VLOOKUP(AL191, 'G-3 Multipliers'!$P$2:$Q$6,2,FALSE))),"")</f>
        <v/>
      </c>
      <c r="AN191" s="513" t="str">
        <f t="shared" si="24"/>
        <v/>
      </c>
      <c r="AO191" s="239"/>
      <c r="AP191" s="240"/>
    </row>
    <row r="192" spans="1:42" x14ac:dyDescent="0.3">
      <c r="A192" s="47" t="str">
        <f>IF(E192="","",IF(ISNA(VLOOKUP($E192,'A-1 Site Habitat Baseline'!$D$1:$O$258,2,FALSE)),"",(VLOOKUP($E192,'A-1 Site Habitat Baseline'!$D$1:$O$258,2,FALSE))))</f>
        <v/>
      </c>
      <c r="B192" s="47" t="str">
        <f>IF(E192="","",IF(ISNA(VLOOKUP($E192,'A-1 Site Habitat Baseline'!$D$1:$O$258,3,FALSE)),"",(VLOOKUP($E192,'A-1 Site Habitat Baseline'!$D$1:$O$258,3,FALSE))))</f>
        <v/>
      </c>
      <c r="C192" s="47" t="str">
        <f>IFERROR(INDEX('G-8 Condition Look up'!$I$4:$I$130,MATCH(S192,'G-8 Condition Look up'!$A$4:$A$130,0)),"")</f>
        <v/>
      </c>
      <c r="E192" s="531" t="str">
        <f>'A-1 Site Habitat Baseline'!AL191</f>
        <v/>
      </c>
      <c r="F192" s="520" t="str">
        <f>IF(E192="","",IF(ISNA(VLOOKUP($E192,'A-1 Site Habitat Baseline'!$D$1:$O$258,4,FALSE)),"",(VLOOKUP($E192,'A-1 Site Habitat Baseline'!$D$1:$O$258,4,FALSE))))</f>
        <v/>
      </c>
      <c r="G192" s="520" t="str">
        <f>IF(E192="","",IF(ISNA(VLOOKUP($E192,'A-1 Site Habitat Baseline'!$D$1:$O$258,5,FALSE)),"",(VLOOKUP($E192,'A-1 Site Habitat Baseline'!$D$1:$O$258,5,FALSE))))</f>
        <v/>
      </c>
      <c r="H192" s="520" t="str">
        <f>IF(E192="","",IF(ISNA(VLOOKUP($E192,'A-1 Site Habitat Baseline'!$D$1:$O$258,6,FALSE)),"",(VLOOKUP($E192,'A-1 Site Habitat Baseline'!$D$1:$O$258,6,FALSE))))</f>
        <v/>
      </c>
      <c r="I192" s="520" t="str">
        <f>IF(E192="","",IF(ISNA(VLOOKUP($E192,'A-1 Site Habitat Baseline'!$D$1:$O$258,7,FALSE)),"",(VLOOKUP($E192,'A-1 Site Habitat Baseline'!$D$1:$O$258,7,FALSE))))</f>
        <v/>
      </c>
      <c r="J192" s="520" t="str">
        <f>IF(E192="","",IF(ISNA(VLOOKUP($E192,'A-1 Site Habitat Baseline'!$D$1:$O$258,8,FALSE)),"",(VLOOKUP($E192,'A-1 Site Habitat Baseline'!$D$1:$O$258,8,FALSE))))</f>
        <v/>
      </c>
      <c r="K192" s="520" t="str">
        <f>IF(E192="","",IF(ISNA(VLOOKUP($E192,'A-1 Site Habitat Baseline'!$D$1:$O$258,9,FALSE)),"",(VLOOKUP($E192,'A-1 Site Habitat Baseline'!$D$1:$O$258,9,FALSE))))</f>
        <v/>
      </c>
      <c r="L192" s="520" t="str">
        <f>IF(E192="","",IF(ISNA(VLOOKUP($E192,'A-1 Site Habitat Baseline'!$D$1:$O$258,11,FALSE)),"",(VLOOKUP($E192,'A-1 Site Habitat Baseline'!$D$1:$O$258,11,FALSE))))</f>
        <v/>
      </c>
      <c r="M192" s="520" t="str">
        <f>IF(E192="","",IF(ISNA(VLOOKUP($E192,'A-1 Site Habitat Baseline'!$D$1:$O$258,12,FALSE)),"",(VLOOKUP($E192,'A-1 Site Habitat Baseline'!$D$1:$O$258,12,FALSE))))</f>
        <v/>
      </c>
      <c r="N192" s="532" t="str">
        <f>IF(E192="","",IF(ISNA(VLOOKUP($E192,'A-1 Site Habitat Baseline'!$D$1:$X$258,14,FALSE)),"",(VLOOKUP($E192,'A-1 Site Habitat Baseline'!$D$1:$X$258,14,FALSE))))</f>
        <v/>
      </c>
      <c r="O192" s="524" t="str">
        <f>IF(E192="","",IF(ISNA(VLOOKUP($E192,'A-1 Site Habitat Baseline'!$D$1:$X$258,16,FALSE)),"",(VLOOKUP($E192,'A-1 Site Habitat Baseline'!$D$1:$X$258,13,FALSE))))</f>
        <v/>
      </c>
      <c r="P192" s="237" t="str">
        <f>IFERROR(INDEX('G-1 All Habitats'!$AG$3:$AG$15,MATCH(Q192,'G-1 All Habitats'!$AF$3:$AF$15,0)),"")</f>
        <v/>
      </c>
      <c r="Q192" s="238" t="str">
        <f t="shared" si="25"/>
        <v/>
      </c>
      <c r="R192" s="238" t="str">
        <f t="shared" si="26"/>
        <v/>
      </c>
      <c r="S192" s="392" t="str">
        <f>IFERROR(INDEX('G-1 All Habitats'!$B$3:$B$129,MATCH(R192,'G-1 All Habitats'!$A$3:$A$129,0)),"")</f>
        <v/>
      </c>
      <c r="T192" s="498" t="str">
        <f t="shared" si="27"/>
        <v/>
      </c>
      <c r="U192" s="499" t="str">
        <f t="shared" si="28"/>
        <v/>
      </c>
      <c r="V192" s="537" t="str">
        <f t="shared" si="22"/>
        <v/>
      </c>
      <c r="W192" s="520" t="str">
        <f>IF(S192="","",VLOOKUP(S192,'G-1 All Habitats'!$B$2:$M$129,10,FALSE))</f>
        <v/>
      </c>
      <c r="X192" s="520" t="str">
        <f>IFERROR(VLOOKUP(W192,'G-1 All Habitats'!$V$3:$W$7,2,FALSE),"")</f>
        <v/>
      </c>
      <c r="Y192" s="79"/>
      <c r="Z192" s="524" t="str">
        <f>IFERROR(INDEX('G-8 Condition Look up'!$A$3:$H$130,MATCH(S192,'G-8 Condition Look up'!$A$3:$A$130,0),MATCH(Y192,'G-8 Condition Look up'!$A$3:$H$3,0)),"")</f>
        <v/>
      </c>
      <c r="AA192" s="71"/>
      <c r="AB192" s="520" t="str">
        <f>IF(AA192="","",IF(VLOOKUP(AA192,'G-3 Multipliers'!$L$3:$N$6,2,FALSE)=0,"Spatial Data Missing ⚠",VLOOKUP(AA192,'G-3 Multipliers'!$L$3:$N$6,2,FALSE)))</f>
        <v/>
      </c>
      <c r="AC192" s="524" t="str">
        <f>IF(AA192="","",IF(VLOOKUP(AA192,'G-3 Multipliers'!$L$3:$N$6,3,FALSE)=0,"Spatial Data Missing ⚠",VLOOKUP(AA192,'G-3 Multipliers'!$L$3:$N$6,3,FALSE)))</f>
        <v/>
      </c>
      <c r="AD192" s="539" t="str">
        <f t="shared" si="23"/>
        <v/>
      </c>
      <c r="AE192" s="82"/>
      <c r="AF192" s="82"/>
      <c r="AG192" s="507" t="str">
        <f t="shared" si="29"/>
        <v/>
      </c>
      <c r="AH192" s="521" t="str">
        <f t="shared" si="30"/>
        <v/>
      </c>
      <c r="AI192" s="522" t="str">
        <f>IF(AH192="Check Data","Check Data",IFERROR(VLOOKUP(AH192,'G-4 Temporal multipliers'!$A$4:$C$36,3,FALSE),""))</f>
        <v/>
      </c>
      <c r="AJ192" s="498" t="str">
        <f>IF(S192="","",VLOOKUP(S192,'G-3 Multipliers'!$A$2:$E$129,4,FALSE))</f>
        <v/>
      </c>
      <c r="AK192" s="507" t="str">
        <f t="shared" si="31"/>
        <v/>
      </c>
      <c r="AL192" s="507" t="str">
        <f t="shared" si="32"/>
        <v/>
      </c>
      <c r="AM192" s="540" t="str">
        <f>IFERROR(IF(F192="","",IF(AH192="Check Data ⚠","Check Data ⚠",VLOOKUP(AL192, 'G-3 Multipliers'!$P$2:$Q$6,2,FALSE))),"")</f>
        <v/>
      </c>
      <c r="AN192" s="513" t="str">
        <f t="shared" si="24"/>
        <v/>
      </c>
      <c r="AO192" s="239"/>
      <c r="AP192" s="240"/>
    </row>
    <row r="193" spans="1:42" x14ac:dyDescent="0.3">
      <c r="A193" s="47" t="str">
        <f>IF(E193="","",IF(ISNA(VLOOKUP($E193,'A-1 Site Habitat Baseline'!$D$1:$O$258,2,FALSE)),"",(VLOOKUP($E193,'A-1 Site Habitat Baseline'!$D$1:$O$258,2,FALSE))))</f>
        <v/>
      </c>
      <c r="B193" s="47" t="str">
        <f>IF(E193="","",IF(ISNA(VLOOKUP($E193,'A-1 Site Habitat Baseline'!$D$1:$O$258,3,FALSE)),"",(VLOOKUP($E193,'A-1 Site Habitat Baseline'!$D$1:$O$258,3,FALSE))))</f>
        <v/>
      </c>
      <c r="C193" s="47" t="str">
        <f>IFERROR(INDEX('G-8 Condition Look up'!$I$4:$I$130,MATCH(S193,'G-8 Condition Look up'!$A$4:$A$130,0)),"")</f>
        <v/>
      </c>
      <c r="E193" s="531" t="str">
        <f>'A-1 Site Habitat Baseline'!AL192</f>
        <v/>
      </c>
      <c r="F193" s="520" t="str">
        <f>IF(E193="","",IF(ISNA(VLOOKUP($E193,'A-1 Site Habitat Baseline'!$D$1:$O$258,4,FALSE)),"",(VLOOKUP($E193,'A-1 Site Habitat Baseline'!$D$1:$O$258,4,FALSE))))</f>
        <v/>
      </c>
      <c r="G193" s="520" t="str">
        <f>IF(E193="","",IF(ISNA(VLOOKUP($E193,'A-1 Site Habitat Baseline'!$D$1:$O$258,5,FALSE)),"",(VLOOKUP($E193,'A-1 Site Habitat Baseline'!$D$1:$O$258,5,FALSE))))</f>
        <v/>
      </c>
      <c r="H193" s="520" t="str">
        <f>IF(E193="","",IF(ISNA(VLOOKUP($E193,'A-1 Site Habitat Baseline'!$D$1:$O$258,6,FALSE)),"",(VLOOKUP($E193,'A-1 Site Habitat Baseline'!$D$1:$O$258,6,FALSE))))</f>
        <v/>
      </c>
      <c r="I193" s="520" t="str">
        <f>IF(E193="","",IF(ISNA(VLOOKUP($E193,'A-1 Site Habitat Baseline'!$D$1:$O$258,7,FALSE)),"",(VLOOKUP($E193,'A-1 Site Habitat Baseline'!$D$1:$O$258,7,FALSE))))</f>
        <v/>
      </c>
      <c r="J193" s="520" t="str">
        <f>IF(E193="","",IF(ISNA(VLOOKUP($E193,'A-1 Site Habitat Baseline'!$D$1:$O$258,8,FALSE)),"",(VLOOKUP($E193,'A-1 Site Habitat Baseline'!$D$1:$O$258,8,FALSE))))</f>
        <v/>
      </c>
      <c r="K193" s="520" t="str">
        <f>IF(E193="","",IF(ISNA(VLOOKUP($E193,'A-1 Site Habitat Baseline'!$D$1:$O$258,9,FALSE)),"",(VLOOKUP($E193,'A-1 Site Habitat Baseline'!$D$1:$O$258,9,FALSE))))</f>
        <v/>
      </c>
      <c r="L193" s="520" t="str">
        <f>IF(E193="","",IF(ISNA(VLOOKUP($E193,'A-1 Site Habitat Baseline'!$D$1:$O$258,11,FALSE)),"",(VLOOKUP($E193,'A-1 Site Habitat Baseline'!$D$1:$O$258,11,FALSE))))</f>
        <v/>
      </c>
      <c r="M193" s="520" t="str">
        <f>IF(E193="","",IF(ISNA(VLOOKUP($E193,'A-1 Site Habitat Baseline'!$D$1:$O$258,12,FALSE)),"",(VLOOKUP($E193,'A-1 Site Habitat Baseline'!$D$1:$O$258,12,FALSE))))</f>
        <v/>
      </c>
      <c r="N193" s="532" t="str">
        <f>IF(E193="","",IF(ISNA(VLOOKUP($E193,'A-1 Site Habitat Baseline'!$D$1:$X$258,14,FALSE)),"",(VLOOKUP($E193,'A-1 Site Habitat Baseline'!$D$1:$X$258,14,FALSE))))</f>
        <v/>
      </c>
      <c r="O193" s="524" t="str">
        <f>IF(E193="","",IF(ISNA(VLOOKUP($E193,'A-1 Site Habitat Baseline'!$D$1:$X$258,16,FALSE)),"",(VLOOKUP($E193,'A-1 Site Habitat Baseline'!$D$1:$X$258,13,FALSE))))</f>
        <v/>
      </c>
      <c r="P193" s="237" t="str">
        <f>IFERROR(INDEX('G-1 All Habitats'!$AG$3:$AG$15,MATCH(Q193,'G-1 All Habitats'!$AF$3:$AF$15,0)),"")</f>
        <v/>
      </c>
      <c r="Q193" s="238" t="str">
        <f t="shared" si="25"/>
        <v/>
      </c>
      <c r="R193" s="238" t="str">
        <f t="shared" si="26"/>
        <v/>
      </c>
      <c r="S193" s="392" t="str">
        <f>IFERROR(INDEX('G-1 All Habitats'!$B$3:$B$129,MATCH(R193,'G-1 All Habitats'!$A$3:$A$129,0)),"")</f>
        <v/>
      </c>
      <c r="T193" s="498" t="str">
        <f t="shared" si="27"/>
        <v/>
      </c>
      <c r="U193" s="499" t="str">
        <f t="shared" si="28"/>
        <v/>
      </c>
      <c r="V193" s="537" t="str">
        <f t="shared" si="22"/>
        <v/>
      </c>
      <c r="W193" s="520" t="str">
        <f>IF(S193="","",VLOOKUP(S193,'G-1 All Habitats'!$B$2:$M$129,10,FALSE))</f>
        <v/>
      </c>
      <c r="X193" s="520" t="str">
        <f>IFERROR(VLOOKUP(W193,'G-1 All Habitats'!$V$3:$W$7,2,FALSE),"")</f>
        <v/>
      </c>
      <c r="Y193" s="79"/>
      <c r="Z193" s="524" t="str">
        <f>IFERROR(INDEX('G-8 Condition Look up'!$A$3:$H$130,MATCH(S193,'G-8 Condition Look up'!$A$3:$A$130,0),MATCH(Y193,'G-8 Condition Look up'!$A$3:$H$3,0)),"")</f>
        <v/>
      </c>
      <c r="AA193" s="71"/>
      <c r="AB193" s="520" t="str">
        <f>IF(AA193="","",IF(VLOOKUP(AA193,'G-3 Multipliers'!$L$3:$N$6,2,FALSE)=0,"Spatial Data Missing ⚠",VLOOKUP(AA193,'G-3 Multipliers'!$L$3:$N$6,2,FALSE)))</f>
        <v/>
      </c>
      <c r="AC193" s="524" t="str">
        <f>IF(AA193="","",IF(VLOOKUP(AA193,'G-3 Multipliers'!$L$3:$N$6,3,FALSE)=0,"Spatial Data Missing ⚠",VLOOKUP(AA193,'G-3 Multipliers'!$L$3:$N$6,3,FALSE)))</f>
        <v/>
      </c>
      <c r="AD193" s="539" t="str">
        <f t="shared" si="23"/>
        <v/>
      </c>
      <c r="AE193" s="82"/>
      <c r="AF193" s="82"/>
      <c r="AG193" s="507" t="str">
        <f t="shared" si="29"/>
        <v/>
      </c>
      <c r="AH193" s="521" t="str">
        <f t="shared" si="30"/>
        <v/>
      </c>
      <c r="AI193" s="522" t="str">
        <f>IF(AH193="Check Data","Check Data",IFERROR(VLOOKUP(AH193,'G-4 Temporal multipliers'!$A$4:$C$36,3,FALSE),""))</f>
        <v/>
      </c>
      <c r="AJ193" s="498" t="str">
        <f>IF(S193="","",VLOOKUP(S193,'G-3 Multipliers'!$A$2:$E$129,4,FALSE))</f>
        <v/>
      </c>
      <c r="AK193" s="507" t="str">
        <f t="shared" si="31"/>
        <v/>
      </c>
      <c r="AL193" s="507" t="str">
        <f t="shared" si="32"/>
        <v/>
      </c>
      <c r="AM193" s="540" t="str">
        <f>IFERROR(IF(F193="","",IF(AH193="Check Data ⚠","Check Data ⚠",VLOOKUP(AL193, 'G-3 Multipliers'!$P$2:$Q$6,2,FALSE))),"")</f>
        <v/>
      </c>
      <c r="AN193" s="513" t="str">
        <f t="shared" si="24"/>
        <v/>
      </c>
      <c r="AO193" s="239"/>
      <c r="AP193" s="240"/>
    </row>
    <row r="194" spans="1:42" x14ac:dyDescent="0.3">
      <c r="A194" s="47" t="str">
        <f>IF(E194="","",IF(ISNA(VLOOKUP($E194,'A-1 Site Habitat Baseline'!$D$1:$O$258,2,FALSE)),"",(VLOOKUP($E194,'A-1 Site Habitat Baseline'!$D$1:$O$258,2,FALSE))))</f>
        <v/>
      </c>
      <c r="B194" s="47" t="str">
        <f>IF(E194="","",IF(ISNA(VLOOKUP($E194,'A-1 Site Habitat Baseline'!$D$1:$O$258,3,FALSE)),"",(VLOOKUP($E194,'A-1 Site Habitat Baseline'!$D$1:$O$258,3,FALSE))))</f>
        <v/>
      </c>
      <c r="C194" s="47" t="str">
        <f>IFERROR(INDEX('G-8 Condition Look up'!$I$4:$I$130,MATCH(S194,'G-8 Condition Look up'!$A$4:$A$130,0)),"")</f>
        <v/>
      </c>
      <c r="E194" s="531" t="str">
        <f>'A-1 Site Habitat Baseline'!AL193</f>
        <v/>
      </c>
      <c r="F194" s="520" t="str">
        <f>IF(E194="","",IF(ISNA(VLOOKUP($E194,'A-1 Site Habitat Baseline'!$D$1:$O$258,4,FALSE)),"",(VLOOKUP($E194,'A-1 Site Habitat Baseline'!$D$1:$O$258,4,FALSE))))</f>
        <v/>
      </c>
      <c r="G194" s="520" t="str">
        <f>IF(E194="","",IF(ISNA(VLOOKUP($E194,'A-1 Site Habitat Baseline'!$D$1:$O$258,5,FALSE)),"",(VLOOKUP($E194,'A-1 Site Habitat Baseline'!$D$1:$O$258,5,FALSE))))</f>
        <v/>
      </c>
      <c r="H194" s="520" t="str">
        <f>IF(E194="","",IF(ISNA(VLOOKUP($E194,'A-1 Site Habitat Baseline'!$D$1:$O$258,6,FALSE)),"",(VLOOKUP($E194,'A-1 Site Habitat Baseline'!$D$1:$O$258,6,FALSE))))</f>
        <v/>
      </c>
      <c r="I194" s="520" t="str">
        <f>IF(E194="","",IF(ISNA(VLOOKUP($E194,'A-1 Site Habitat Baseline'!$D$1:$O$258,7,FALSE)),"",(VLOOKUP($E194,'A-1 Site Habitat Baseline'!$D$1:$O$258,7,FALSE))))</f>
        <v/>
      </c>
      <c r="J194" s="520" t="str">
        <f>IF(E194="","",IF(ISNA(VLOOKUP($E194,'A-1 Site Habitat Baseline'!$D$1:$O$258,8,FALSE)),"",(VLOOKUP($E194,'A-1 Site Habitat Baseline'!$D$1:$O$258,8,FALSE))))</f>
        <v/>
      </c>
      <c r="K194" s="520" t="str">
        <f>IF(E194="","",IF(ISNA(VLOOKUP($E194,'A-1 Site Habitat Baseline'!$D$1:$O$258,9,FALSE)),"",(VLOOKUP($E194,'A-1 Site Habitat Baseline'!$D$1:$O$258,9,FALSE))))</f>
        <v/>
      </c>
      <c r="L194" s="520" t="str">
        <f>IF(E194="","",IF(ISNA(VLOOKUP($E194,'A-1 Site Habitat Baseline'!$D$1:$O$258,11,FALSE)),"",(VLOOKUP($E194,'A-1 Site Habitat Baseline'!$D$1:$O$258,11,FALSE))))</f>
        <v/>
      </c>
      <c r="M194" s="520" t="str">
        <f>IF(E194="","",IF(ISNA(VLOOKUP($E194,'A-1 Site Habitat Baseline'!$D$1:$O$258,12,FALSE)),"",(VLOOKUP($E194,'A-1 Site Habitat Baseline'!$D$1:$O$258,12,FALSE))))</f>
        <v/>
      </c>
      <c r="N194" s="532" t="str">
        <f>IF(E194="","",IF(ISNA(VLOOKUP($E194,'A-1 Site Habitat Baseline'!$D$1:$X$258,14,FALSE)),"",(VLOOKUP($E194,'A-1 Site Habitat Baseline'!$D$1:$X$258,14,FALSE))))</f>
        <v/>
      </c>
      <c r="O194" s="524" t="str">
        <f>IF(E194="","",IF(ISNA(VLOOKUP($E194,'A-1 Site Habitat Baseline'!$D$1:$X$258,16,FALSE)),"",(VLOOKUP($E194,'A-1 Site Habitat Baseline'!$D$1:$X$258,13,FALSE))))</f>
        <v/>
      </c>
      <c r="P194" s="237" t="str">
        <f>IFERROR(INDEX('G-1 All Habitats'!$AG$3:$AG$15,MATCH(Q194,'G-1 All Habitats'!$AF$3:$AF$15,0)),"")</f>
        <v/>
      </c>
      <c r="Q194" s="238" t="str">
        <f t="shared" si="25"/>
        <v/>
      </c>
      <c r="R194" s="238" t="str">
        <f t="shared" si="26"/>
        <v/>
      </c>
      <c r="S194" s="392" t="str">
        <f>IFERROR(INDEX('G-1 All Habitats'!$B$3:$B$129,MATCH(R194,'G-1 All Habitats'!$A$3:$A$129,0)),"")</f>
        <v/>
      </c>
      <c r="T194" s="498" t="str">
        <f t="shared" si="27"/>
        <v/>
      </c>
      <c r="U194" s="499" t="str">
        <f t="shared" si="28"/>
        <v/>
      </c>
      <c r="V194" s="537" t="str">
        <f t="shared" si="22"/>
        <v/>
      </c>
      <c r="W194" s="520" t="str">
        <f>IF(S194="","",VLOOKUP(S194,'G-1 All Habitats'!$B$2:$M$129,10,FALSE))</f>
        <v/>
      </c>
      <c r="X194" s="520" t="str">
        <f>IFERROR(VLOOKUP(W194,'G-1 All Habitats'!$V$3:$W$7,2,FALSE),"")</f>
        <v/>
      </c>
      <c r="Y194" s="79"/>
      <c r="Z194" s="524" t="str">
        <f>IFERROR(INDEX('G-8 Condition Look up'!$A$3:$H$130,MATCH(S194,'G-8 Condition Look up'!$A$3:$A$130,0),MATCH(Y194,'G-8 Condition Look up'!$A$3:$H$3,0)),"")</f>
        <v/>
      </c>
      <c r="AA194" s="71"/>
      <c r="AB194" s="520" t="str">
        <f>IF(AA194="","",IF(VLOOKUP(AA194,'G-3 Multipliers'!$L$3:$N$6,2,FALSE)=0,"Spatial Data Missing ⚠",VLOOKUP(AA194,'G-3 Multipliers'!$L$3:$N$6,2,FALSE)))</f>
        <v/>
      </c>
      <c r="AC194" s="524" t="str">
        <f>IF(AA194="","",IF(VLOOKUP(AA194,'G-3 Multipliers'!$L$3:$N$6,3,FALSE)=0,"Spatial Data Missing ⚠",VLOOKUP(AA194,'G-3 Multipliers'!$L$3:$N$6,3,FALSE)))</f>
        <v/>
      </c>
      <c r="AD194" s="539" t="str">
        <f t="shared" si="23"/>
        <v/>
      </c>
      <c r="AE194" s="82"/>
      <c r="AF194" s="82"/>
      <c r="AG194" s="507" t="str">
        <f t="shared" si="29"/>
        <v/>
      </c>
      <c r="AH194" s="521" t="str">
        <f t="shared" si="30"/>
        <v/>
      </c>
      <c r="AI194" s="522" t="str">
        <f>IF(AH194="Check Data","Check Data",IFERROR(VLOOKUP(AH194,'G-4 Temporal multipliers'!$A$4:$C$36,3,FALSE),""))</f>
        <v/>
      </c>
      <c r="AJ194" s="498" t="str">
        <f>IF(S194="","",VLOOKUP(S194,'G-3 Multipliers'!$A$2:$E$129,4,FALSE))</f>
        <v/>
      </c>
      <c r="AK194" s="507" t="str">
        <f t="shared" si="31"/>
        <v/>
      </c>
      <c r="AL194" s="507" t="str">
        <f t="shared" si="32"/>
        <v/>
      </c>
      <c r="AM194" s="540" t="str">
        <f>IFERROR(IF(F194="","",IF(AH194="Check Data ⚠","Check Data ⚠",VLOOKUP(AL194, 'G-3 Multipliers'!$P$2:$Q$6,2,FALSE))),"")</f>
        <v/>
      </c>
      <c r="AN194" s="513" t="str">
        <f t="shared" si="24"/>
        <v/>
      </c>
      <c r="AO194" s="239"/>
      <c r="AP194" s="240"/>
    </row>
    <row r="195" spans="1:42" x14ac:dyDescent="0.3">
      <c r="A195" s="47" t="str">
        <f>IF(E195="","",IF(ISNA(VLOOKUP($E195,'A-1 Site Habitat Baseline'!$D$1:$O$258,2,FALSE)),"",(VLOOKUP($E195,'A-1 Site Habitat Baseline'!$D$1:$O$258,2,FALSE))))</f>
        <v/>
      </c>
      <c r="B195" s="47" t="str">
        <f>IF(E195="","",IF(ISNA(VLOOKUP($E195,'A-1 Site Habitat Baseline'!$D$1:$O$258,3,FALSE)),"",(VLOOKUP($E195,'A-1 Site Habitat Baseline'!$D$1:$O$258,3,FALSE))))</f>
        <v/>
      </c>
      <c r="C195" s="47" t="str">
        <f>IFERROR(INDEX('G-8 Condition Look up'!$I$4:$I$130,MATCH(S195,'G-8 Condition Look up'!$A$4:$A$130,0)),"")</f>
        <v/>
      </c>
      <c r="E195" s="531" t="str">
        <f>'A-1 Site Habitat Baseline'!AL194</f>
        <v/>
      </c>
      <c r="F195" s="520" t="str">
        <f>IF(E195="","",IF(ISNA(VLOOKUP($E195,'A-1 Site Habitat Baseline'!$D$1:$O$258,4,FALSE)),"",(VLOOKUP($E195,'A-1 Site Habitat Baseline'!$D$1:$O$258,4,FALSE))))</f>
        <v/>
      </c>
      <c r="G195" s="520" t="str">
        <f>IF(E195="","",IF(ISNA(VLOOKUP($E195,'A-1 Site Habitat Baseline'!$D$1:$O$258,5,FALSE)),"",(VLOOKUP($E195,'A-1 Site Habitat Baseline'!$D$1:$O$258,5,FALSE))))</f>
        <v/>
      </c>
      <c r="H195" s="520" t="str">
        <f>IF(E195="","",IF(ISNA(VLOOKUP($E195,'A-1 Site Habitat Baseline'!$D$1:$O$258,6,FALSE)),"",(VLOOKUP($E195,'A-1 Site Habitat Baseline'!$D$1:$O$258,6,FALSE))))</f>
        <v/>
      </c>
      <c r="I195" s="520" t="str">
        <f>IF(E195="","",IF(ISNA(VLOOKUP($E195,'A-1 Site Habitat Baseline'!$D$1:$O$258,7,FALSE)),"",(VLOOKUP($E195,'A-1 Site Habitat Baseline'!$D$1:$O$258,7,FALSE))))</f>
        <v/>
      </c>
      <c r="J195" s="520" t="str">
        <f>IF(E195="","",IF(ISNA(VLOOKUP($E195,'A-1 Site Habitat Baseline'!$D$1:$O$258,8,FALSE)),"",(VLOOKUP($E195,'A-1 Site Habitat Baseline'!$D$1:$O$258,8,FALSE))))</f>
        <v/>
      </c>
      <c r="K195" s="520" t="str">
        <f>IF(E195="","",IF(ISNA(VLOOKUP($E195,'A-1 Site Habitat Baseline'!$D$1:$O$258,9,FALSE)),"",(VLOOKUP($E195,'A-1 Site Habitat Baseline'!$D$1:$O$258,9,FALSE))))</f>
        <v/>
      </c>
      <c r="L195" s="520" t="str">
        <f>IF(E195="","",IF(ISNA(VLOOKUP($E195,'A-1 Site Habitat Baseline'!$D$1:$O$258,11,FALSE)),"",(VLOOKUP($E195,'A-1 Site Habitat Baseline'!$D$1:$O$258,11,FALSE))))</f>
        <v/>
      </c>
      <c r="M195" s="520" t="str">
        <f>IF(E195="","",IF(ISNA(VLOOKUP($E195,'A-1 Site Habitat Baseline'!$D$1:$O$258,12,FALSE)),"",(VLOOKUP($E195,'A-1 Site Habitat Baseline'!$D$1:$O$258,12,FALSE))))</f>
        <v/>
      </c>
      <c r="N195" s="532" t="str">
        <f>IF(E195="","",IF(ISNA(VLOOKUP($E195,'A-1 Site Habitat Baseline'!$D$1:$X$258,14,FALSE)),"",(VLOOKUP($E195,'A-1 Site Habitat Baseline'!$D$1:$X$258,14,FALSE))))</f>
        <v/>
      </c>
      <c r="O195" s="524" t="str">
        <f>IF(E195="","",IF(ISNA(VLOOKUP($E195,'A-1 Site Habitat Baseline'!$D$1:$X$258,16,FALSE)),"",(VLOOKUP($E195,'A-1 Site Habitat Baseline'!$D$1:$X$258,13,FALSE))))</f>
        <v/>
      </c>
      <c r="P195" s="237" t="str">
        <f>IFERROR(INDEX('G-1 All Habitats'!$AG$3:$AG$15,MATCH(Q195,'G-1 All Habitats'!$AF$3:$AF$15,0)),"")</f>
        <v/>
      </c>
      <c r="Q195" s="238" t="str">
        <f t="shared" si="25"/>
        <v/>
      </c>
      <c r="R195" s="238" t="str">
        <f t="shared" si="26"/>
        <v/>
      </c>
      <c r="S195" s="392" t="str">
        <f>IFERROR(INDEX('G-1 All Habitats'!$B$3:$B$129,MATCH(R195,'G-1 All Habitats'!$A$3:$A$129,0)),"")</f>
        <v/>
      </c>
      <c r="T195" s="498" t="str">
        <f t="shared" si="27"/>
        <v/>
      </c>
      <c r="U195" s="499" t="str">
        <f t="shared" si="28"/>
        <v/>
      </c>
      <c r="V195" s="537" t="str">
        <f t="shared" si="22"/>
        <v/>
      </c>
      <c r="W195" s="520" t="str">
        <f>IF(S195="","",VLOOKUP(S195,'G-1 All Habitats'!$B$2:$M$129,10,FALSE))</f>
        <v/>
      </c>
      <c r="X195" s="520" t="str">
        <f>IFERROR(VLOOKUP(W195,'G-1 All Habitats'!$V$3:$W$7,2,FALSE),"")</f>
        <v/>
      </c>
      <c r="Y195" s="79"/>
      <c r="Z195" s="524" t="str">
        <f>IFERROR(INDEX('G-8 Condition Look up'!$A$3:$H$130,MATCH(S195,'G-8 Condition Look up'!$A$3:$A$130,0),MATCH(Y195,'G-8 Condition Look up'!$A$3:$H$3,0)),"")</f>
        <v/>
      </c>
      <c r="AA195" s="71"/>
      <c r="AB195" s="520" t="str">
        <f>IF(AA195="","",IF(VLOOKUP(AA195,'G-3 Multipliers'!$L$3:$N$6,2,FALSE)=0,"Spatial Data Missing ⚠",VLOOKUP(AA195,'G-3 Multipliers'!$L$3:$N$6,2,FALSE)))</f>
        <v/>
      </c>
      <c r="AC195" s="524" t="str">
        <f>IF(AA195="","",IF(VLOOKUP(AA195,'G-3 Multipliers'!$L$3:$N$6,3,FALSE)=0,"Spatial Data Missing ⚠",VLOOKUP(AA195,'G-3 Multipliers'!$L$3:$N$6,3,FALSE)))</f>
        <v/>
      </c>
      <c r="AD195" s="539" t="str">
        <f t="shared" si="23"/>
        <v/>
      </c>
      <c r="AE195" s="82"/>
      <c r="AF195" s="82"/>
      <c r="AG195" s="507" t="str">
        <f t="shared" si="29"/>
        <v/>
      </c>
      <c r="AH195" s="521" t="str">
        <f t="shared" si="30"/>
        <v/>
      </c>
      <c r="AI195" s="522" t="str">
        <f>IF(AH195="Check Data","Check Data",IFERROR(VLOOKUP(AH195,'G-4 Temporal multipliers'!$A$4:$C$36,3,FALSE),""))</f>
        <v/>
      </c>
      <c r="AJ195" s="498" t="str">
        <f>IF(S195="","",VLOOKUP(S195,'G-3 Multipliers'!$A$2:$E$129,4,FALSE))</f>
        <v/>
      </c>
      <c r="AK195" s="507" t="str">
        <f t="shared" si="31"/>
        <v/>
      </c>
      <c r="AL195" s="507" t="str">
        <f t="shared" si="32"/>
        <v/>
      </c>
      <c r="AM195" s="540" t="str">
        <f>IFERROR(IF(F195="","",IF(AH195="Check Data ⚠","Check Data ⚠",VLOOKUP(AL195, 'G-3 Multipliers'!$P$2:$Q$6,2,FALSE))),"")</f>
        <v/>
      </c>
      <c r="AN195" s="513" t="str">
        <f t="shared" si="24"/>
        <v/>
      </c>
      <c r="AO195" s="239"/>
      <c r="AP195" s="240"/>
    </row>
    <row r="196" spans="1:42" x14ac:dyDescent="0.3">
      <c r="A196" s="47" t="str">
        <f>IF(E196="","",IF(ISNA(VLOOKUP($E196,'A-1 Site Habitat Baseline'!$D$1:$O$258,2,FALSE)),"",(VLOOKUP($E196,'A-1 Site Habitat Baseline'!$D$1:$O$258,2,FALSE))))</f>
        <v/>
      </c>
      <c r="B196" s="47" t="str">
        <f>IF(E196="","",IF(ISNA(VLOOKUP($E196,'A-1 Site Habitat Baseline'!$D$1:$O$258,3,FALSE)),"",(VLOOKUP($E196,'A-1 Site Habitat Baseline'!$D$1:$O$258,3,FALSE))))</f>
        <v/>
      </c>
      <c r="C196" s="47" t="str">
        <f>IFERROR(INDEX('G-8 Condition Look up'!$I$4:$I$130,MATCH(S196,'G-8 Condition Look up'!$A$4:$A$130,0)),"")</f>
        <v/>
      </c>
      <c r="E196" s="531" t="str">
        <f>'A-1 Site Habitat Baseline'!AL195</f>
        <v/>
      </c>
      <c r="F196" s="520" t="str">
        <f>IF(E196="","",IF(ISNA(VLOOKUP($E196,'A-1 Site Habitat Baseline'!$D$1:$O$258,4,FALSE)),"",(VLOOKUP($E196,'A-1 Site Habitat Baseline'!$D$1:$O$258,4,FALSE))))</f>
        <v/>
      </c>
      <c r="G196" s="520" t="str">
        <f>IF(E196="","",IF(ISNA(VLOOKUP($E196,'A-1 Site Habitat Baseline'!$D$1:$O$258,5,FALSE)),"",(VLOOKUP($E196,'A-1 Site Habitat Baseline'!$D$1:$O$258,5,FALSE))))</f>
        <v/>
      </c>
      <c r="H196" s="520" t="str">
        <f>IF(E196="","",IF(ISNA(VLOOKUP($E196,'A-1 Site Habitat Baseline'!$D$1:$O$258,6,FALSE)),"",(VLOOKUP($E196,'A-1 Site Habitat Baseline'!$D$1:$O$258,6,FALSE))))</f>
        <v/>
      </c>
      <c r="I196" s="520" t="str">
        <f>IF(E196="","",IF(ISNA(VLOOKUP($E196,'A-1 Site Habitat Baseline'!$D$1:$O$258,7,FALSE)),"",(VLOOKUP($E196,'A-1 Site Habitat Baseline'!$D$1:$O$258,7,FALSE))))</f>
        <v/>
      </c>
      <c r="J196" s="520" t="str">
        <f>IF(E196="","",IF(ISNA(VLOOKUP($E196,'A-1 Site Habitat Baseline'!$D$1:$O$258,8,FALSE)),"",(VLOOKUP($E196,'A-1 Site Habitat Baseline'!$D$1:$O$258,8,FALSE))))</f>
        <v/>
      </c>
      <c r="K196" s="520" t="str">
        <f>IF(E196="","",IF(ISNA(VLOOKUP($E196,'A-1 Site Habitat Baseline'!$D$1:$O$258,9,FALSE)),"",(VLOOKUP($E196,'A-1 Site Habitat Baseline'!$D$1:$O$258,9,FALSE))))</f>
        <v/>
      </c>
      <c r="L196" s="520" t="str">
        <f>IF(E196="","",IF(ISNA(VLOOKUP($E196,'A-1 Site Habitat Baseline'!$D$1:$O$258,11,FALSE)),"",(VLOOKUP($E196,'A-1 Site Habitat Baseline'!$D$1:$O$258,11,FALSE))))</f>
        <v/>
      </c>
      <c r="M196" s="520" t="str">
        <f>IF(E196="","",IF(ISNA(VLOOKUP($E196,'A-1 Site Habitat Baseline'!$D$1:$O$258,12,FALSE)),"",(VLOOKUP($E196,'A-1 Site Habitat Baseline'!$D$1:$O$258,12,FALSE))))</f>
        <v/>
      </c>
      <c r="N196" s="532" t="str">
        <f>IF(E196="","",IF(ISNA(VLOOKUP($E196,'A-1 Site Habitat Baseline'!$D$1:$X$258,14,FALSE)),"",(VLOOKUP($E196,'A-1 Site Habitat Baseline'!$D$1:$X$258,14,FALSE))))</f>
        <v/>
      </c>
      <c r="O196" s="524" t="str">
        <f>IF(E196="","",IF(ISNA(VLOOKUP($E196,'A-1 Site Habitat Baseline'!$D$1:$X$258,16,FALSE)),"",(VLOOKUP($E196,'A-1 Site Habitat Baseline'!$D$1:$X$258,13,FALSE))))</f>
        <v/>
      </c>
      <c r="P196" s="237" t="str">
        <f>IFERROR(INDEX('G-1 All Habitats'!$AG$3:$AG$15,MATCH(Q196,'G-1 All Habitats'!$AF$3:$AF$15,0)),"")</f>
        <v/>
      </c>
      <c r="Q196" s="238" t="str">
        <f t="shared" si="25"/>
        <v/>
      </c>
      <c r="R196" s="238" t="str">
        <f t="shared" si="26"/>
        <v/>
      </c>
      <c r="S196" s="392" t="str">
        <f>IFERROR(INDEX('G-1 All Habitats'!$B$3:$B$129,MATCH(R196,'G-1 All Habitats'!$A$3:$A$129,0)),"")</f>
        <v/>
      </c>
      <c r="T196" s="498" t="str">
        <f t="shared" si="27"/>
        <v/>
      </c>
      <c r="U196" s="499" t="str">
        <f t="shared" si="28"/>
        <v/>
      </c>
      <c r="V196" s="537" t="str">
        <f t="shared" si="22"/>
        <v/>
      </c>
      <c r="W196" s="520" t="str">
        <f>IF(S196="","",VLOOKUP(S196,'G-1 All Habitats'!$B$2:$M$129,10,FALSE))</f>
        <v/>
      </c>
      <c r="X196" s="520" t="str">
        <f>IFERROR(VLOOKUP(W196,'G-1 All Habitats'!$V$3:$W$7,2,FALSE),"")</f>
        <v/>
      </c>
      <c r="Y196" s="79"/>
      <c r="Z196" s="524" t="str">
        <f>IFERROR(INDEX('G-8 Condition Look up'!$A$3:$H$130,MATCH(S196,'G-8 Condition Look up'!$A$3:$A$130,0),MATCH(Y196,'G-8 Condition Look up'!$A$3:$H$3,0)),"")</f>
        <v/>
      </c>
      <c r="AA196" s="71"/>
      <c r="AB196" s="520" t="str">
        <f>IF(AA196="","",IF(VLOOKUP(AA196,'G-3 Multipliers'!$L$3:$N$6,2,FALSE)=0,"Spatial Data Missing ⚠",VLOOKUP(AA196,'G-3 Multipliers'!$L$3:$N$6,2,FALSE)))</f>
        <v/>
      </c>
      <c r="AC196" s="524" t="str">
        <f>IF(AA196="","",IF(VLOOKUP(AA196,'G-3 Multipliers'!$L$3:$N$6,3,FALSE)=0,"Spatial Data Missing ⚠",VLOOKUP(AA196,'G-3 Multipliers'!$L$3:$N$6,3,FALSE)))</f>
        <v/>
      </c>
      <c r="AD196" s="539" t="str">
        <f t="shared" si="23"/>
        <v/>
      </c>
      <c r="AE196" s="82"/>
      <c r="AF196" s="82"/>
      <c r="AG196" s="507" t="str">
        <f t="shared" si="29"/>
        <v/>
      </c>
      <c r="AH196" s="521" t="str">
        <f t="shared" si="30"/>
        <v/>
      </c>
      <c r="AI196" s="522" t="str">
        <f>IF(AH196="Check Data","Check Data",IFERROR(VLOOKUP(AH196,'G-4 Temporal multipliers'!$A$4:$C$36,3,FALSE),""))</f>
        <v/>
      </c>
      <c r="AJ196" s="498" t="str">
        <f>IF(S196="","",VLOOKUP(S196,'G-3 Multipliers'!$A$2:$E$129,4,FALSE))</f>
        <v/>
      </c>
      <c r="AK196" s="507" t="str">
        <f t="shared" si="31"/>
        <v/>
      </c>
      <c r="AL196" s="507" t="str">
        <f t="shared" si="32"/>
        <v/>
      </c>
      <c r="AM196" s="540" t="str">
        <f>IFERROR(IF(F196="","",IF(AH196="Check Data ⚠","Check Data ⚠",VLOOKUP(AL196, 'G-3 Multipliers'!$P$2:$Q$6,2,FALSE))),"")</f>
        <v/>
      </c>
      <c r="AN196" s="513" t="str">
        <f t="shared" si="24"/>
        <v/>
      </c>
      <c r="AO196" s="239"/>
      <c r="AP196" s="240"/>
    </row>
    <row r="197" spans="1:42" x14ac:dyDescent="0.3">
      <c r="A197" s="47" t="str">
        <f>IF(E197="","",IF(ISNA(VLOOKUP($E197,'A-1 Site Habitat Baseline'!$D$1:$O$258,2,FALSE)),"",(VLOOKUP($E197,'A-1 Site Habitat Baseline'!$D$1:$O$258,2,FALSE))))</f>
        <v/>
      </c>
      <c r="B197" s="47" t="str">
        <f>IF(E197="","",IF(ISNA(VLOOKUP($E197,'A-1 Site Habitat Baseline'!$D$1:$O$258,3,FALSE)),"",(VLOOKUP($E197,'A-1 Site Habitat Baseline'!$D$1:$O$258,3,FALSE))))</f>
        <v/>
      </c>
      <c r="C197" s="47" t="str">
        <f>IFERROR(INDEX('G-8 Condition Look up'!$I$4:$I$130,MATCH(S197,'G-8 Condition Look up'!$A$4:$A$130,0)),"")</f>
        <v/>
      </c>
      <c r="E197" s="531" t="str">
        <f>'A-1 Site Habitat Baseline'!AL196</f>
        <v/>
      </c>
      <c r="F197" s="520" t="str">
        <f>IF(E197="","",IF(ISNA(VLOOKUP($E197,'A-1 Site Habitat Baseline'!$D$1:$O$258,4,FALSE)),"",(VLOOKUP($E197,'A-1 Site Habitat Baseline'!$D$1:$O$258,4,FALSE))))</f>
        <v/>
      </c>
      <c r="G197" s="520" t="str">
        <f>IF(E197="","",IF(ISNA(VLOOKUP($E197,'A-1 Site Habitat Baseline'!$D$1:$O$258,5,FALSE)),"",(VLOOKUP($E197,'A-1 Site Habitat Baseline'!$D$1:$O$258,5,FALSE))))</f>
        <v/>
      </c>
      <c r="H197" s="520" t="str">
        <f>IF(E197="","",IF(ISNA(VLOOKUP($E197,'A-1 Site Habitat Baseline'!$D$1:$O$258,6,FALSE)),"",(VLOOKUP($E197,'A-1 Site Habitat Baseline'!$D$1:$O$258,6,FALSE))))</f>
        <v/>
      </c>
      <c r="I197" s="520" t="str">
        <f>IF(E197="","",IF(ISNA(VLOOKUP($E197,'A-1 Site Habitat Baseline'!$D$1:$O$258,7,FALSE)),"",(VLOOKUP($E197,'A-1 Site Habitat Baseline'!$D$1:$O$258,7,FALSE))))</f>
        <v/>
      </c>
      <c r="J197" s="520" t="str">
        <f>IF(E197="","",IF(ISNA(VLOOKUP($E197,'A-1 Site Habitat Baseline'!$D$1:$O$258,8,FALSE)),"",(VLOOKUP($E197,'A-1 Site Habitat Baseline'!$D$1:$O$258,8,FALSE))))</f>
        <v/>
      </c>
      <c r="K197" s="520" t="str">
        <f>IF(E197="","",IF(ISNA(VLOOKUP($E197,'A-1 Site Habitat Baseline'!$D$1:$O$258,9,FALSE)),"",(VLOOKUP($E197,'A-1 Site Habitat Baseline'!$D$1:$O$258,9,FALSE))))</f>
        <v/>
      </c>
      <c r="L197" s="520" t="str">
        <f>IF(E197="","",IF(ISNA(VLOOKUP($E197,'A-1 Site Habitat Baseline'!$D$1:$O$258,11,FALSE)),"",(VLOOKUP($E197,'A-1 Site Habitat Baseline'!$D$1:$O$258,11,FALSE))))</f>
        <v/>
      </c>
      <c r="M197" s="520" t="str">
        <f>IF(E197="","",IF(ISNA(VLOOKUP($E197,'A-1 Site Habitat Baseline'!$D$1:$O$258,12,FALSE)),"",(VLOOKUP($E197,'A-1 Site Habitat Baseline'!$D$1:$O$258,12,FALSE))))</f>
        <v/>
      </c>
      <c r="N197" s="532" t="str">
        <f>IF(E197="","",IF(ISNA(VLOOKUP($E197,'A-1 Site Habitat Baseline'!$D$1:$X$258,14,FALSE)),"",(VLOOKUP($E197,'A-1 Site Habitat Baseline'!$D$1:$X$258,14,FALSE))))</f>
        <v/>
      </c>
      <c r="O197" s="524" t="str">
        <f>IF(E197="","",IF(ISNA(VLOOKUP($E197,'A-1 Site Habitat Baseline'!$D$1:$X$258,16,FALSE)),"",(VLOOKUP($E197,'A-1 Site Habitat Baseline'!$D$1:$X$258,13,FALSE))))</f>
        <v/>
      </c>
      <c r="P197" s="237" t="str">
        <f>IFERROR(INDEX('G-1 All Habitats'!$AG$3:$AG$15,MATCH(Q197,'G-1 All Habitats'!$AF$3:$AF$15,0)),"")</f>
        <v/>
      </c>
      <c r="Q197" s="238" t="str">
        <f t="shared" si="25"/>
        <v/>
      </c>
      <c r="R197" s="238" t="str">
        <f t="shared" si="26"/>
        <v/>
      </c>
      <c r="S197" s="392" t="str">
        <f>IFERROR(INDEX('G-1 All Habitats'!$B$3:$B$129,MATCH(R197,'G-1 All Habitats'!$A$3:$A$129,0)),"")</f>
        <v/>
      </c>
      <c r="T197" s="498" t="str">
        <f t="shared" si="27"/>
        <v/>
      </c>
      <c r="U197" s="499" t="str">
        <f t="shared" si="28"/>
        <v/>
      </c>
      <c r="V197" s="537" t="str">
        <f t="shared" si="22"/>
        <v/>
      </c>
      <c r="W197" s="520" t="str">
        <f>IF(S197="","",VLOOKUP(S197,'G-1 All Habitats'!$B$2:$M$129,10,FALSE))</f>
        <v/>
      </c>
      <c r="X197" s="520" t="str">
        <f>IFERROR(VLOOKUP(W197,'G-1 All Habitats'!$V$3:$W$7,2,FALSE),"")</f>
        <v/>
      </c>
      <c r="Y197" s="79"/>
      <c r="Z197" s="524" t="str">
        <f>IFERROR(INDEX('G-8 Condition Look up'!$A$3:$H$130,MATCH(S197,'G-8 Condition Look up'!$A$3:$A$130,0),MATCH(Y197,'G-8 Condition Look up'!$A$3:$H$3,0)),"")</f>
        <v/>
      </c>
      <c r="AA197" s="71"/>
      <c r="AB197" s="520" t="str">
        <f>IF(AA197="","",IF(VLOOKUP(AA197,'G-3 Multipliers'!$L$3:$N$6,2,FALSE)=0,"Spatial Data Missing ⚠",VLOOKUP(AA197,'G-3 Multipliers'!$L$3:$N$6,2,FALSE)))</f>
        <v/>
      </c>
      <c r="AC197" s="524" t="str">
        <f>IF(AA197="","",IF(VLOOKUP(AA197,'G-3 Multipliers'!$L$3:$N$6,3,FALSE)=0,"Spatial Data Missing ⚠",VLOOKUP(AA197,'G-3 Multipliers'!$L$3:$N$6,3,FALSE)))</f>
        <v/>
      </c>
      <c r="AD197" s="539" t="str">
        <f t="shared" si="23"/>
        <v/>
      </c>
      <c r="AE197" s="82"/>
      <c r="AF197" s="82"/>
      <c r="AG197" s="507" t="str">
        <f t="shared" si="29"/>
        <v/>
      </c>
      <c r="AH197" s="521" t="str">
        <f t="shared" si="30"/>
        <v/>
      </c>
      <c r="AI197" s="522" t="str">
        <f>IF(AH197="Check Data","Check Data",IFERROR(VLOOKUP(AH197,'G-4 Temporal multipliers'!$A$4:$C$36,3,FALSE),""))</f>
        <v/>
      </c>
      <c r="AJ197" s="498" t="str">
        <f>IF(S197="","",VLOOKUP(S197,'G-3 Multipliers'!$A$2:$E$129,4,FALSE))</f>
        <v/>
      </c>
      <c r="AK197" s="507" t="str">
        <f t="shared" si="31"/>
        <v/>
      </c>
      <c r="AL197" s="507" t="str">
        <f t="shared" si="32"/>
        <v/>
      </c>
      <c r="AM197" s="540" t="str">
        <f>IFERROR(IF(F197="","",IF(AH197="Check Data ⚠","Check Data ⚠",VLOOKUP(AL197, 'G-3 Multipliers'!$P$2:$Q$6,2,FALSE))),"")</f>
        <v/>
      </c>
      <c r="AN197" s="513" t="str">
        <f t="shared" si="24"/>
        <v/>
      </c>
      <c r="AO197" s="239"/>
      <c r="AP197" s="240"/>
    </row>
    <row r="198" spans="1:42" x14ac:dyDescent="0.3">
      <c r="A198" s="47" t="str">
        <f>IF(E198="","",IF(ISNA(VLOOKUP($E198,'A-1 Site Habitat Baseline'!$D$1:$O$258,2,FALSE)),"",(VLOOKUP($E198,'A-1 Site Habitat Baseline'!$D$1:$O$258,2,FALSE))))</f>
        <v/>
      </c>
      <c r="B198" s="47" t="str">
        <f>IF(E198="","",IF(ISNA(VLOOKUP($E198,'A-1 Site Habitat Baseline'!$D$1:$O$258,3,FALSE)),"",(VLOOKUP($E198,'A-1 Site Habitat Baseline'!$D$1:$O$258,3,FALSE))))</f>
        <v/>
      </c>
      <c r="C198" s="47" t="str">
        <f>IFERROR(INDEX('G-8 Condition Look up'!$I$4:$I$130,MATCH(S198,'G-8 Condition Look up'!$A$4:$A$130,0)),"")</f>
        <v/>
      </c>
      <c r="E198" s="531" t="str">
        <f>'A-1 Site Habitat Baseline'!AL197</f>
        <v/>
      </c>
      <c r="F198" s="520" t="str">
        <f>IF(E198="","",IF(ISNA(VLOOKUP($E198,'A-1 Site Habitat Baseline'!$D$1:$O$258,4,FALSE)),"",(VLOOKUP($E198,'A-1 Site Habitat Baseline'!$D$1:$O$258,4,FALSE))))</f>
        <v/>
      </c>
      <c r="G198" s="520" t="str">
        <f>IF(E198="","",IF(ISNA(VLOOKUP($E198,'A-1 Site Habitat Baseline'!$D$1:$O$258,5,FALSE)),"",(VLOOKUP($E198,'A-1 Site Habitat Baseline'!$D$1:$O$258,5,FALSE))))</f>
        <v/>
      </c>
      <c r="H198" s="520" t="str">
        <f>IF(E198="","",IF(ISNA(VLOOKUP($E198,'A-1 Site Habitat Baseline'!$D$1:$O$258,6,FALSE)),"",(VLOOKUP($E198,'A-1 Site Habitat Baseline'!$D$1:$O$258,6,FALSE))))</f>
        <v/>
      </c>
      <c r="I198" s="520" t="str">
        <f>IF(E198="","",IF(ISNA(VLOOKUP($E198,'A-1 Site Habitat Baseline'!$D$1:$O$258,7,FALSE)),"",(VLOOKUP($E198,'A-1 Site Habitat Baseline'!$D$1:$O$258,7,FALSE))))</f>
        <v/>
      </c>
      <c r="J198" s="520" t="str">
        <f>IF(E198="","",IF(ISNA(VLOOKUP($E198,'A-1 Site Habitat Baseline'!$D$1:$O$258,8,FALSE)),"",(VLOOKUP($E198,'A-1 Site Habitat Baseline'!$D$1:$O$258,8,FALSE))))</f>
        <v/>
      </c>
      <c r="K198" s="520" t="str">
        <f>IF(E198="","",IF(ISNA(VLOOKUP($E198,'A-1 Site Habitat Baseline'!$D$1:$O$258,9,FALSE)),"",(VLOOKUP($E198,'A-1 Site Habitat Baseline'!$D$1:$O$258,9,FALSE))))</f>
        <v/>
      </c>
      <c r="L198" s="520" t="str">
        <f>IF(E198="","",IF(ISNA(VLOOKUP($E198,'A-1 Site Habitat Baseline'!$D$1:$O$258,11,FALSE)),"",(VLOOKUP($E198,'A-1 Site Habitat Baseline'!$D$1:$O$258,11,FALSE))))</f>
        <v/>
      </c>
      <c r="M198" s="520" t="str">
        <f>IF(E198="","",IF(ISNA(VLOOKUP($E198,'A-1 Site Habitat Baseline'!$D$1:$O$258,12,FALSE)),"",(VLOOKUP($E198,'A-1 Site Habitat Baseline'!$D$1:$O$258,12,FALSE))))</f>
        <v/>
      </c>
      <c r="N198" s="532" t="str">
        <f>IF(E198="","",IF(ISNA(VLOOKUP($E198,'A-1 Site Habitat Baseline'!$D$1:$X$258,14,FALSE)),"",(VLOOKUP($E198,'A-1 Site Habitat Baseline'!$D$1:$X$258,14,FALSE))))</f>
        <v/>
      </c>
      <c r="O198" s="524" t="str">
        <f>IF(E198="","",IF(ISNA(VLOOKUP($E198,'A-1 Site Habitat Baseline'!$D$1:$X$258,16,FALSE)),"",(VLOOKUP($E198,'A-1 Site Habitat Baseline'!$D$1:$X$258,13,FALSE))))</f>
        <v/>
      </c>
      <c r="P198" s="237" t="str">
        <f>IFERROR(INDEX('G-1 All Habitats'!$AG$3:$AG$15,MATCH(Q198,'G-1 All Habitats'!$AF$3:$AF$15,0)),"")</f>
        <v/>
      </c>
      <c r="Q198" s="238" t="str">
        <f t="shared" si="25"/>
        <v/>
      </c>
      <c r="R198" s="238" t="str">
        <f t="shared" si="26"/>
        <v/>
      </c>
      <c r="S198" s="392" t="str">
        <f>IFERROR(INDEX('G-1 All Habitats'!$B$3:$B$129,MATCH(R198,'G-1 All Habitats'!$A$3:$A$129,0)),"")</f>
        <v/>
      </c>
      <c r="T198" s="498" t="str">
        <f t="shared" si="27"/>
        <v/>
      </c>
      <c r="U198" s="499" t="str">
        <f t="shared" si="28"/>
        <v/>
      </c>
      <c r="V198" s="537" t="str">
        <f t="shared" si="22"/>
        <v/>
      </c>
      <c r="W198" s="520" t="str">
        <f>IF(S198="","",VLOOKUP(S198,'G-1 All Habitats'!$B$2:$M$129,10,FALSE))</f>
        <v/>
      </c>
      <c r="X198" s="520" t="str">
        <f>IFERROR(VLOOKUP(W198,'G-1 All Habitats'!$V$3:$W$7,2,FALSE),"")</f>
        <v/>
      </c>
      <c r="Y198" s="79"/>
      <c r="Z198" s="524" t="str">
        <f>IFERROR(INDEX('G-8 Condition Look up'!$A$3:$H$130,MATCH(S198,'G-8 Condition Look up'!$A$3:$A$130,0),MATCH(Y198,'G-8 Condition Look up'!$A$3:$H$3,0)),"")</f>
        <v/>
      </c>
      <c r="AA198" s="71"/>
      <c r="AB198" s="520" t="str">
        <f>IF(AA198="","",IF(VLOOKUP(AA198,'G-3 Multipliers'!$L$3:$N$6,2,FALSE)=0,"Spatial Data Missing ⚠",VLOOKUP(AA198,'G-3 Multipliers'!$L$3:$N$6,2,FALSE)))</f>
        <v/>
      </c>
      <c r="AC198" s="524" t="str">
        <f>IF(AA198="","",IF(VLOOKUP(AA198,'G-3 Multipliers'!$L$3:$N$6,3,FALSE)=0,"Spatial Data Missing ⚠",VLOOKUP(AA198,'G-3 Multipliers'!$L$3:$N$6,3,FALSE)))</f>
        <v/>
      </c>
      <c r="AD198" s="539" t="str">
        <f t="shared" si="23"/>
        <v/>
      </c>
      <c r="AE198" s="82"/>
      <c r="AF198" s="82"/>
      <c r="AG198" s="507" t="str">
        <f t="shared" si="29"/>
        <v/>
      </c>
      <c r="AH198" s="521" t="str">
        <f t="shared" si="30"/>
        <v/>
      </c>
      <c r="AI198" s="522" t="str">
        <f>IF(AH198="Check Data","Check Data",IFERROR(VLOOKUP(AH198,'G-4 Temporal multipliers'!$A$4:$C$36,3,FALSE),""))</f>
        <v/>
      </c>
      <c r="AJ198" s="498" t="str">
        <f>IF(S198="","",VLOOKUP(S198,'G-3 Multipliers'!$A$2:$E$129,4,FALSE))</f>
        <v/>
      </c>
      <c r="AK198" s="507" t="str">
        <f t="shared" si="31"/>
        <v/>
      </c>
      <c r="AL198" s="507" t="str">
        <f t="shared" si="32"/>
        <v/>
      </c>
      <c r="AM198" s="540" t="str">
        <f>IFERROR(IF(F198="","",IF(AH198="Check Data ⚠","Check Data ⚠",VLOOKUP(AL198, 'G-3 Multipliers'!$P$2:$Q$6,2,FALSE))),"")</f>
        <v/>
      </c>
      <c r="AN198" s="513" t="str">
        <f t="shared" si="24"/>
        <v/>
      </c>
      <c r="AO198" s="239"/>
      <c r="AP198" s="240"/>
    </row>
    <row r="199" spans="1:42" x14ac:dyDescent="0.3">
      <c r="A199" s="47" t="str">
        <f>IF(E199="","",IF(ISNA(VLOOKUP($E199,'A-1 Site Habitat Baseline'!$D$1:$O$258,2,FALSE)),"",(VLOOKUP($E199,'A-1 Site Habitat Baseline'!$D$1:$O$258,2,FALSE))))</f>
        <v/>
      </c>
      <c r="B199" s="47" t="str">
        <f>IF(E199="","",IF(ISNA(VLOOKUP($E199,'A-1 Site Habitat Baseline'!$D$1:$O$258,3,FALSE)),"",(VLOOKUP($E199,'A-1 Site Habitat Baseline'!$D$1:$O$258,3,FALSE))))</f>
        <v/>
      </c>
      <c r="C199" s="47" t="str">
        <f>IFERROR(INDEX('G-8 Condition Look up'!$I$4:$I$130,MATCH(S199,'G-8 Condition Look up'!$A$4:$A$130,0)),"")</f>
        <v/>
      </c>
      <c r="E199" s="531" t="str">
        <f>'A-1 Site Habitat Baseline'!AL198</f>
        <v/>
      </c>
      <c r="F199" s="520" t="str">
        <f>IF(E199="","",IF(ISNA(VLOOKUP($E199,'A-1 Site Habitat Baseline'!$D$1:$O$258,4,FALSE)),"",(VLOOKUP($E199,'A-1 Site Habitat Baseline'!$D$1:$O$258,4,FALSE))))</f>
        <v/>
      </c>
      <c r="G199" s="520" t="str">
        <f>IF(E199="","",IF(ISNA(VLOOKUP($E199,'A-1 Site Habitat Baseline'!$D$1:$O$258,5,FALSE)),"",(VLOOKUP($E199,'A-1 Site Habitat Baseline'!$D$1:$O$258,5,FALSE))))</f>
        <v/>
      </c>
      <c r="H199" s="520" t="str">
        <f>IF(E199="","",IF(ISNA(VLOOKUP($E199,'A-1 Site Habitat Baseline'!$D$1:$O$258,6,FALSE)),"",(VLOOKUP($E199,'A-1 Site Habitat Baseline'!$D$1:$O$258,6,FALSE))))</f>
        <v/>
      </c>
      <c r="I199" s="520" t="str">
        <f>IF(E199="","",IF(ISNA(VLOOKUP($E199,'A-1 Site Habitat Baseline'!$D$1:$O$258,7,FALSE)),"",(VLOOKUP($E199,'A-1 Site Habitat Baseline'!$D$1:$O$258,7,FALSE))))</f>
        <v/>
      </c>
      <c r="J199" s="520" t="str">
        <f>IF(E199="","",IF(ISNA(VLOOKUP($E199,'A-1 Site Habitat Baseline'!$D$1:$O$258,8,FALSE)),"",(VLOOKUP($E199,'A-1 Site Habitat Baseline'!$D$1:$O$258,8,FALSE))))</f>
        <v/>
      </c>
      <c r="K199" s="520" t="str">
        <f>IF(E199="","",IF(ISNA(VLOOKUP($E199,'A-1 Site Habitat Baseline'!$D$1:$O$258,9,FALSE)),"",(VLOOKUP($E199,'A-1 Site Habitat Baseline'!$D$1:$O$258,9,FALSE))))</f>
        <v/>
      </c>
      <c r="L199" s="520" t="str">
        <f>IF(E199="","",IF(ISNA(VLOOKUP($E199,'A-1 Site Habitat Baseline'!$D$1:$O$258,11,FALSE)),"",(VLOOKUP($E199,'A-1 Site Habitat Baseline'!$D$1:$O$258,11,FALSE))))</f>
        <v/>
      </c>
      <c r="M199" s="520" t="str">
        <f>IF(E199="","",IF(ISNA(VLOOKUP($E199,'A-1 Site Habitat Baseline'!$D$1:$O$258,12,FALSE)),"",(VLOOKUP($E199,'A-1 Site Habitat Baseline'!$D$1:$O$258,12,FALSE))))</f>
        <v/>
      </c>
      <c r="N199" s="532" t="str">
        <f>IF(E199="","",IF(ISNA(VLOOKUP($E199,'A-1 Site Habitat Baseline'!$D$1:$X$258,14,FALSE)),"",(VLOOKUP($E199,'A-1 Site Habitat Baseline'!$D$1:$X$258,14,FALSE))))</f>
        <v/>
      </c>
      <c r="O199" s="524" t="str">
        <f>IF(E199="","",IF(ISNA(VLOOKUP($E199,'A-1 Site Habitat Baseline'!$D$1:$X$258,16,FALSE)),"",(VLOOKUP($E199,'A-1 Site Habitat Baseline'!$D$1:$X$258,13,FALSE))))</f>
        <v/>
      </c>
      <c r="P199" s="237" t="str">
        <f>IFERROR(INDEX('G-1 All Habitats'!$AG$3:$AG$15,MATCH(Q199,'G-1 All Habitats'!$AF$3:$AF$15,0)),"")</f>
        <v/>
      </c>
      <c r="Q199" s="238" t="str">
        <f t="shared" si="25"/>
        <v/>
      </c>
      <c r="R199" s="238" t="str">
        <f t="shared" si="26"/>
        <v/>
      </c>
      <c r="S199" s="392" t="str">
        <f>IFERROR(INDEX('G-1 All Habitats'!$B$3:$B$129,MATCH(R199,'G-1 All Habitats'!$A$3:$A$129,0)),"")</f>
        <v/>
      </c>
      <c r="T199" s="498" t="str">
        <f t="shared" si="27"/>
        <v/>
      </c>
      <c r="U199" s="499" t="str">
        <f t="shared" si="28"/>
        <v/>
      </c>
      <c r="V199" s="537" t="str">
        <f t="shared" si="22"/>
        <v/>
      </c>
      <c r="W199" s="520" t="str">
        <f>IF(S199="","",VLOOKUP(S199,'G-1 All Habitats'!$B$2:$M$129,10,FALSE))</f>
        <v/>
      </c>
      <c r="X199" s="520" t="str">
        <f>IFERROR(VLOOKUP(W199,'G-1 All Habitats'!$V$3:$W$7,2,FALSE),"")</f>
        <v/>
      </c>
      <c r="Y199" s="79"/>
      <c r="Z199" s="524" t="str">
        <f>IFERROR(INDEX('G-8 Condition Look up'!$A$3:$H$130,MATCH(S199,'G-8 Condition Look up'!$A$3:$A$130,0),MATCH(Y199,'G-8 Condition Look up'!$A$3:$H$3,0)),"")</f>
        <v/>
      </c>
      <c r="AA199" s="71"/>
      <c r="AB199" s="520" t="str">
        <f>IF(AA199="","",IF(VLOOKUP(AA199,'G-3 Multipliers'!$L$3:$N$6,2,FALSE)=0,"Spatial Data Missing ⚠",VLOOKUP(AA199,'G-3 Multipliers'!$L$3:$N$6,2,FALSE)))</f>
        <v/>
      </c>
      <c r="AC199" s="524" t="str">
        <f>IF(AA199="","",IF(VLOOKUP(AA199,'G-3 Multipliers'!$L$3:$N$6,3,FALSE)=0,"Spatial Data Missing ⚠",VLOOKUP(AA199,'G-3 Multipliers'!$L$3:$N$6,3,FALSE)))</f>
        <v/>
      </c>
      <c r="AD199" s="539" t="str">
        <f t="shared" si="23"/>
        <v/>
      </c>
      <c r="AE199" s="82"/>
      <c r="AF199" s="82"/>
      <c r="AG199" s="507" t="str">
        <f t="shared" si="29"/>
        <v/>
      </c>
      <c r="AH199" s="521" t="str">
        <f t="shared" si="30"/>
        <v/>
      </c>
      <c r="AI199" s="522" t="str">
        <f>IF(AH199="Check Data","Check Data",IFERROR(VLOOKUP(AH199,'G-4 Temporal multipliers'!$A$4:$C$36,3,FALSE),""))</f>
        <v/>
      </c>
      <c r="AJ199" s="498" t="str">
        <f>IF(S199="","",VLOOKUP(S199,'G-3 Multipliers'!$A$2:$E$129,4,FALSE))</f>
        <v/>
      </c>
      <c r="AK199" s="507" t="str">
        <f t="shared" si="31"/>
        <v/>
      </c>
      <c r="AL199" s="507" t="str">
        <f t="shared" si="32"/>
        <v/>
      </c>
      <c r="AM199" s="540" t="str">
        <f>IFERROR(IF(F199="","",IF(AH199="Check Data ⚠","Check Data ⚠",VLOOKUP(AL199, 'G-3 Multipliers'!$P$2:$Q$6,2,FALSE))),"")</f>
        <v/>
      </c>
      <c r="AN199" s="513" t="str">
        <f t="shared" si="24"/>
        <v/>
      </c>
      <c r="AO199" s="239"/>
      <c r="AP199" s="240"/>
    </row>
    <row r="200" spans="1:42" x14ac:dyDescent="0.3">
      <c r="A200" s="47" t="str">
        <f>IF(E200="","",IF(ISNA(VLOOKUP($E200,'A-1 Site Habitat Baseline'!$D$1:$O$258,2,FALSE)),"",(VLOOKUP($E200,'A-1 Site Habitat Baseline'!$D$1:$O$258,2,FALSE))))</f>
        <v/>
      </c>
      <c r="B200" s="47" t="str">
        <f>IF(E200="","",IF(ISNA(VLOOKUP($E200,'A-1 Site Habitat Baseline'!$D$1:$O$258,3,FALSE)),"",(VLOOKUP($E200,'A-1 Site Habitat Baseline'!$D$1:$O$258,3,FALSE))))</f>
        <v/>
      </c>
      <c r="C200" s="47" t="str">
        <f>IFERROR(INDEX('G-8 Condition Look up'!$I$4:$I$130,MATCH(S200,'G-8 Condition Look up'!$A$4:$A$130,0)),"")</f>
        <v/>
      </c>
      <c r="E200" s="531" t="str">
        <f>'A-1 Site Habitat Baseline'!AL199</f>
        <v/>
      </c>
      <c r="F200" s="520" t="str">
        <f>IF(E200="","",IF(ISNA(VLOOKUP($E200,'A-1 Site Habitat Baseline'!$D$1:$O$258,4,FALSE)),"",(VLOOKUP($E200,'A-1 Site Habitat Baseline'!$D$1:$O$258,4,FALSE))))</f>
        <v/>
      </c>
      <c r="G200" s="520" t="str">
        <f>IF(E200="","",IF(ISNA(VLOOKUP($E200,'A-1 Site Habitat Baseline'!$D$1:$O$258,5,FALSE)),"",(VLOOKUP($E200,'A-1 Site Habitat Baseline'!$D$1:$O$258,5,FALSE))))</f>
        <v/>
      </c>
      <c r="H200" s="520" t="str">
        <f>IF(E200="","",IF(ISNA(VLOOKUP($E200,'A-1 Site Habitat Baseline'!$D$1:$O$258,6,FALSE)),"",(VLOOKUP($E200,'A-1 Site Habitat Baseline'!$D$1:$O$258,6,FALSE))))</f>
        <v/>
      </c>
      <c r="I200" s="520" t="str">
        <f>IF(E200="","",IF(ISNA(VLOOKUP($E200,'A-1 Site Habitat Baseline'!$D$1:$O$258,7,FALSE)),"",(VLOOKUP($E200,'A-1 Site Habitat Baseline'!$D$1:$O$258,7,FALSE))))</f>
        <v/>
      </c>
      <c r="J200" s="520" t="str">
        <f>IF(E200="","",IF(ISNA(VLOOKUP($E200,'A-1 Site Habitat Baseline'!$D$1:$O$258,8,FALSE)),"",(VLOOKUP($E200,'A-1 Site Habitat Baseline'!$D$1:$O$258,8,FALSE))))</f>
        <v/>
      </c>
      <c r="K200" s="520" t="str">
        <f>IF(E200="","",IF(ISNA(VLOOKUP($E200,'A-1 Site Habitat Baseline'!$D$1:$O$258,9,FALSE)),"",(VLOOKUP($E200,'A-1 Site Habitat Baseline'!$D$1:$O$258,9,FALSE))))</f>
        <v/>
      </c>
      <c r="L200" s="520" t="str">
        <f>IF(E200="","",IF(ISNA(VLOOKUP($E200,'A-1 Site Habitat Baseline'!$D$1:$O$258,11,FALSE)),"",(VLOOKUP($E200,'A-1 Site Habitat Baseline'!$D$1:$O$258,11,FALSE))))</f>
        <v/>
      </c>
      <c r="M200" s="520" t="str">
        <f>IF(E200="","",IF(ISNA(VLOOKUP($E200,'A-1 Site Habitat Baseline'!$D$1:$O$258,12,FALSE)),"",(VLOOKUP($E200,'A-1 Site Habitat Baseline'!$D$1:$O$258,12,FALSE))))</f>
        <v/>
      </c>
      <c r="N200" s="532" t="str">
        <f>IF(E200="","",IF(ISNA(VLOOKUP($E200,'A-1 Site Habitat Baseline'!$D$1:$X$258,14,FALSE)),"",(VLOOKUP($E200,'A-1 Site Habitat Baseline'!$D$1:$X$258,14,FALSE))))</f>
        <v/>
      </c>
      <c r="O200" s="524" t="str">
        <f>IF(E200="","",IF(ISNA(VLOOKUP($E200,'A-1 Site Habitat Baseline'!$D$1:$X$258,16,FALSE)),"",(VLOOKUP($E200,'A-1 Site Habitat Baseline'!$D$1:$X$258,13,FALSE))))</f>
        <v/>
      </c>
      <c r="P200" s="237" t="str">
        <f>IFERROR(INDEX('G-1 All Habitats'!$AG$3:$AG$15,MATCH(Q200,'G-1 All Habitats'!$AF$3:$AF$15,0)),"")</f>
        <v/>
      </c>
      <c r="Q200" s="238" t="str">
        <f t="shared" si="25"/>
        <v/>
      </c>
      <c r="R200" s="238" t="str">
        <f t="shared" si="26"/>
        <v/>
      </c>
      <c r="S200" s="392" t="str">
        <f>IFERROR(INDEX('G-1 All Habitats'!$B$3:$B$129,MATCH(R200,'G-1 All Habitats'!$A$3:$A$129,0)),"")</f>
        <v/>
      </c>
      <c r="T200" s="498" t="str">
        <f t="shared" si="27"/>
        <v/>
      </c>
      <c r="U200" s="499" t="str">
        <f t="shared" si="28"/>
        <v/>
      </c>
      <c r="V200" s="537" t="str">
        <f t="shared" si="22"/>
        <v/>
      </c>
      <c r="W200" s="520" t="str">
        <f>IF(S200="","",VLOOKUP(S200,'G-1 All Habitats'!$B$2:$M$129,10,FALSE))</f>
        <v/>
      </c>
      <c r="X200" s="520" t="str">
        <f>IFERROR(VLOOKUP(W200,'G-1 All Habitats'!$V$3:$W$7,2,FALSE),"")</f>
        <v/>
      </c>
      <c r="Y200" s="79"/>
      <c r="Z200" s="524" t="str">
        <f>IFERROR(INDEX('G-8 Condition Look up'!$A$3:$H$130,MATCH(S200,'G-8 Condition Look up'!$A$3:$A$130,0),MATCH(Y200,'G-8 Condition Look up'!$A$3:$H$3,0)),"")</f>
        <v/>
      </c>
      <c r="AA200" s="71"/>
      <c r="AB200" s="520" t="str">
        <f>IF(AA200="","",IF(VLOOKUP(AA200,'G-3 Multipliers'!$L$3:$N$6,2,FALSE)=0,"Spatial Data Missing ⚠",VLOOKUP(AA200,'G-3 Multipliers'!$L$3:$N$6,2,FALSE)))</f>
        <v/>
      </c>
      <c r="AC200" s="524" t="str">
        <f>IF(AA200="","",IF(VLOOKUP(AA200,'G-3 Multipliers'!$L$3:$N$6,3,FALSE)=0,"Spatial Data Missing ⚠",VLOOKUP(AA200,'G-3 Multipliers'!$L$3:$N$6,3,FALSE)))</f>
        <v/>
      </c>
      <c r="AD200" s="539" t="str">
        <f t="shared" si="23"/>
        <v/>
      </c>
      <c r="AE200" s="82"/>
      <c r="AF200" s="82"/>
      <c r="AG200" s="507" t="str">
        <f t="shared" si="29"/>
        <v/>
      </c>
      <c r="AH200" s="521" t="str">
        <f t="shared" si="30"/>
        <v/>
      </c>
      <c r="AI200" s="522" t="str">
        <f>IF(AH200="Check Data","Check Data",IFERROR(VLOOKUP(AH200,'G-4 Temporal multipliers'!$A$4:$C$36,3,FALSE),""))</f>
        <v/>
      </c>
      <c r="AJ200" s="498" t="str">
        <f>IF(S200="","",VLOOKUP(S200,'G-3 Multipliers'!$A$2:$E$129,4,FALSE))</f>
        <v/>
      </c>
      <c r="AK200" s="507" t="str">
        <f t="shared" si="31"/>
        <v/>
      </c>
      <c r="AL200" s="507" t="str">
        <f t="shared" si="32"/>
        <v/>
      </c>
      <c r="AM200" s="540" t="str">
        <f>IFERROR(IF(F200="","",IF(AH200="Check Data ⚠","Check Data ⚠",VLOOKUP(AL200, 'G-3 Multipliers'!$P$2:$Q$6,2,FALSE))),"")</f>
        <v/>
      </c>
      <c r="AN200" s="513" t="str">
        <f t="shared" si="24"/>
        <v/>
      </c>
      <c r="AO200" s="239"/>
      <c r="AP200" s="240"/>
    </row>
    <row r="201" spans="1:42" x14ac:dyDescent="0.3">
      <c r="A201" s="47" t="str">
        <f>IF(E201="","",IF(ISNA(VLOOKUP($E201,'A-1 Site Habitat Baseline'!$D$1:$O$258,2,FALSE)),"",(VLOOKUP($E201,'A-1 Site Habitat Baseline'!$D$1:$O$258,2,FALSE))))</f>
        <v/>
      </c>
      <c r="B201" s="47" t="str">
        <f>IF(E201="","",IF(ISNA(VLOOKUP($E201,'A-1 Site Habitat Baseline'!$D$1:$O$258,3,FALSE)),"",(VLOOKUP($E201,'A-1 Site Habitat Baseline'!$D$1:$O$258,3,FALSE))))</f>
        <v/>
      </c>
      <c r="C201" s="47" t="str">
        <f>IFERROR(INDEX('G-8 Condition Look up'!$I$4:$I$130,MATCH(S201,'G-8 Condition Look up'!$A$4:$A$130,0)),"")</f>
        <v/>
      </c>
      <c r="E201" s="531" t="str">
        <f>'A-1 Site Habitat Baseline'!AL200</f>
        <v/>
      </c>
      <c r="F201" s="520" t="str">
        <f>IF(E201="","",IF(ISNA(VLOOKUP($E201,'A-1 Site Habitat Baseline'!$D$1:$O$258,4,FALSE)),"",(VLOOKUP($E201,'A-1 Site Habitat Baseline'!$D$1:$O$258,4,FALSE))))</f>
        <v/>
      </c>
      <c r="G201" s="520" t="str">
        <f>IF(E201="","",IF(ISNA(VLOOKUP($E201,'A-1 Site Habitat Baseline'!$D$1:$O$258,5,FALSE)),"",(VLOOKUP($E201,'A-1 Site Habitat Baseline'!$D$1:$O$258,5,FALSE))))</f>
        <v/>
      </c>
      <c r="H201" s="520" t="str">
        <f>IF(E201="","",IF(ISNA(VLOOKUP($E201,'A-1 Site Habitat Baseline'!$D$1:$O$258,6,FALSE)),"",(VLOOKUP($E201,'A-1 Site Habitat Baseline'!$D$1:$O$258,6,FALSE))))</f>
        <v/>
      </c>
      <c r="I201" s="520" t="str">
        <f>IF(E201="","",IF(ISNA(VLOOKUP($E201,'A-1 Site Habitat Baseline'!$D$1:$O$258,7,FALSE)),"",(VLOOKUP($E201,'A-1 Site Habitat Baseline'!$D$1:$O$258,7,FALSE))))</f>
        <v/>
      </c>
      <c r="J201" s="520" t="str">
        <f>IF(E201="","",IF(ISNA(VLOOKUP($E201,'A-1 Site Habitat Baseline'!$D$1:$O$258,8,FALSE)),"",(VLOOKUP($E201,'A-1 Site Habitat Baseline'!$D$1:$O$258,8,FALSE))))</f>
        <v/>
      </c>
      <c r="K201" s="520" t="str">
        <f>IF(E201="","",IF(ISNA(VLOOKUP($E201,'A-1 Site Habitat Baseline'!$D$1:$O$258,9,FALSE)),"",(VLOOKUP($E201,'A-1 Site Habitat Baseline'!$D$1:$O$258,9,FALSE))))</f>
        <v/>
      </c>
      <c r="L201" s="520" t="str">
        <f>IF(E201="","",IF(ISNA(VLOOKUP($E201,'A-1 Site Habitat Baseline'!$D$1:$O$258,11,FALSE)),"",(VLOOKUP($E201,'A-1 Site Habitat Baseline'!$D$1:$O$258,11,FALSE))))</f>
        <v/>
      </c>
      <c r="M201" s="520" t="str">
        <f>IF(E201="","",IF(ISNA(VLOOKUP($E201,'A-1 Site Habitat Baseline'!$D$1:$O$258,12,FALSE)),"",(VLOOKUP($E201,'A-1 Site Habitat Baseline'!$D$1:$O$258,12,FALSE))))</f>
        <v/>
      </c>
      <c r="N201" s="532" t="str">
        <f>IF(E201="","",IF(ISNA(VLOOKUP($E201,'A-1 Site Habitat Baseline'!$D$1:$X$258,14,FALSE)),"",(VLOOKUP($E201,'A-1 Site Habitat Baseline'!$D$1:$X$258,14,FALSE))))</f>
        <v/>
      </c>
      <c r="O201" s="524" t="str">
        <f>IF(E201="","",IF(ISNA(VLOOKUP($E201,'A-1 Site Habitat Baseline'!$D$1:$X$258,16,FALSE)),"",(VLOOKUP($E201,'A-1 Site Habitat Baseline'!$D$1:$X$258,13,FALSE))))</f>
        <v/>
      </c>
      <c r="P201" s="237" t="str">
        <f>IFERROR(INDEX('G-1 All Habitats'!$AG$3:$AG$15,MATCH(Q201,'G-1 All Habitats'!$AF$3:$AF$15,0)),"")</f>
        <v/>
      </c>
      <c r="Q201" s="238" t="str">
        <f t="shared" si="25"/>
        <v/>
      </c>
      <c r="R201" s="238" t="str">
        <f t="shared" si="26"/>
        <v/>
      </c>
      <c r="S201" s="392" t="str">
        <f>IFERROR(INDEX('G-1 All Habitats'!$B$3:$B$129,MATCH(R201,'G-1 All Habitats'!$A$3:$A$129,0)),"")</f>
        <v/>
      </c>
      <c r="T201" s="498" t="str">
        <f t="shared" si="27"/>
        <v/>
      </c>
      <c r="U201" s="499" t="str">
        <f t="shared" si="28"/>
        <v/>
      </c>
      <c r="V201" s="537" t="str">
        <f t="shared" si="22"/>
        <v/>
      </c>
      <c r="W201" s="520" t="str">
        <f>IF(S201="","",VLOOKUP(S201,'G-1 All Habitats'!$B$2:$M$129,10,FALSE))</f>
        <v/>
      </c>
      <c r="X201" s="520" t="str">
        <f>IFERROR(VLOOKUP(W201,'G-1 All Habitats'!$V$3:$W$7,2,FALSE),"")</f>
        <v/>
      </c>
      <c r="Y201" s="79"/>
      <c r="Z201" s="524" t="str">
        <f>IFERROR(INDEX('G-8 Condition Look up'!$A$3:$H$130,MATCH(S201,'G-8 Condition Look up'!$A$3:$A$130,0),MATCH(Y201,'G-8 Condition Look up'!$A$3:$H$3,0)),"")</f>
        <v/>
      </c>
      <c r="AA201" s="71"/>
      <c r="AB201" s="520" t="str">
        <f>IF(AA201="","",IF(VLOOKUP(AA201,'G-3 Multipliers'!$L$3:$N$6,2,FALSE)=0,"Spatial Data Missing ⚠",VLOOKUP(AA201,'G-3 Multipliers'!$L$3:$N$6,2,FALSE)))</f>
        <v/>
      </c>
      <c r="AC201" s="524" t="str">
        <f>IF(AA201="","",IF(VLOOKUP(AA201,'G-3 Multipliers'!$L$3:$N$6,3,FALSE)=0,"Spatial Data Missing ⚠",VLOOKUP(AA201,'G-3 Multipliers'!$L$3:$N$6,3,FALSE)))</f>
        <v/>
      </c>
      <c r="AD201" s="539" t="str">
        <f t="shared" si="23"/>
        <v/>
      </c>
      <c r="AE201" s="82"/>
      <c r="AF201" s="82"/>
      <c r="AG201" s="507" t="str">
        <f t="shared" si="29"/>
        <v/>
      </c>
      <c r="AH201" s="521" t="str">
        <f t="shared" si="30"/>
        <v/>
      </c>
      <c r="AI201" s="522" t="str">
        <f>IF(AH201="Check Data","Check Data",IFERROR(VLOOKUP(AH201,'G-4 Temporal multipliers'!$A$4:$C$36,3,FALSE),""))</f>
        <v/>
      </c>
      <c r="AJ201" s="498" t="str">
        <f>IF(S201="","",VLOOKUP(S201,'G-3 Multipliers'!$A$2:$E$129,4,FALSE))</f>
        <v/>
      </c>
      <c r="AK201" s="507" t="str">
        <f t="shared" si="31"/>
        <v/>
      </c>
      <c r="AL201" s="507" t="str">
        <f t="shared" si="32"/>
        <v/>
      </c>
      <c r="AM201" s="540" t="str">
        <f>IFERROR(IF(F201="","",IF(AH201="Check Data ⚠","Check Data ⚠",VLOOKUP(AL201, 'G-3 Multipliers'!$P$2:$Q$6,2,FALSE))),"")</f>
        <v/>
      </c>
      <c r="AN201" s="513" t="str">
        <f t="shared" si="24"/>
        <v/>
      </c>
      <c r="AO201" s="239"/>
      <c r="AP201" s="240"/>
    </row>
    <row r="202" spans="1:42" x14ac:dyDescent="0.3">
      <c r="A202" s="47" t="str">
        <f>IF(E202="","",IF(ISNA(VLOOKUP($E202,'A-1 Site Habitat Baseline'!$D$1:$O$258,2,FALSE)),"",(VLOOKUP($E202,'A-1 Site Habitat Baseline'!$D$1:$O$258,2,FALSE))))</f>
        <v/>
      </c>
      <c r="B202" s="47" t="str">
        <f>IF(E202="","",IF(ISNA(VLOOKUP($E202,'A-1 Site Habitat Baseline'!$D$1:$O$258,3,FALSE)),"",(VLOOKUP($E202,'A-1 Site Habitat Baseline'!$D$1:$O$258,3,FALSE))))</f>
        <v/>
      </c>
      <c r="C202" s="47" t="str">
        <f>IFERROR(INDEX('G-8 Condition Look up'!$I$4:$I$130,MATCH(S202,'G-8 Condition Look up'!$A$4:$A$130,0)),"")</f>
        <v/>
      </c>
      <c r="E202" s="531" t="str">
        <f>'A-1 Site Habitat Baseline'!AL201</f>
        <v/>
      </c>
      <c r="F202" s="520" t="str">
        <f>IF(E202="","",IF(ISNA(VLOOKUP($E202,'A-1 Site Habitat Baseline'!$D$1:$O$258,4,FALSE)),"",(VLOOKUP($E202,'A-1 Site Habitat Baseline'!$D$1:$O$258,4,FALSE))))</f>
        <v/>
      </c>
      <c r="G202" s="520" t="str">
        <f>IF(E202="","",IF(ISNA(VLOOKUP($E202,'A-1 Site Habitat Baseline'!$D$1:$O$258,5,FALSE)),"",(VLOOKUP($E202,'A-1 Site Habitat Baseline'!$D$1:$O$258,5,FALSE))))</f>
        <v/>
      </c>
      <c r="H202" s="520" t="str">
        <f>IF(E202="","",IF(ISNA(VLOOKUP($E202,'A-1 Site Habitat Baseline'!$D$1:$O$258,6,FALSE)),"",(VLOOKUP($E202,'A-1 Site Habitat Baseline'!$D$1:$O$258,6,FALSE))))</f>
        <v/>
      </c>
      <c r="I202" s="520" t="str">
        <f>IF(E202="","",IF(ISNA(VLOOKUP($E202,'A-1 Site Habitat Baseline'!$D$1:$O$258,7,FALSE)),"",(VLOOKUP($E202,'A-1 Site Habitat Baseline'!$D$1:$O$258,7,FALSE))))</f>
        <v/>
      </c>
      <c r="J202" s="520" t="str">
        <f>IF(E202="","",IF(ISNA(VLOOKUP($E202,'A-1 Site Habitat Baseline'!$D$1:$O$258,8,FALSE)),"",(VLOOKUP($E202,'A-1 Site Habitat Baseline'!$D$1:$O$258,8,FALSE))))</f>
        <v/>
      </c>
      <c r="K202" s="520" t="str">
        <f>IF(E202="","",IF(ISNA(VLOOKUP($E202,'A-1 Site Habitat Baseline'!$D$1:$O$258,9,FALSE)),"",(VLOOKUP($E202,'A-1 Site Habitat Baseline'!$D$1:$O$258,9,FALSE))))</f>
        <v/>
      </c>
      <c r="L202" s="520" t="str">
        <f>IF(E202="","",IF(ISNA(VLOOKUP($E202,'A-1 Site Habitat Baseline'!$D$1:$O$258,11,FALSE)),"",(VLOOKUP($E202,'A-1 Site Habitat Baseline'!$D$1:$O$258,11,FALSE))))</f>
        <v/>
      </c>
      <c r="M202" s="520" t="str">
        <f>IF(E202="","",IF(ISNA(VLOOKUP($E202,'A-1 Site Habitat Baseline'!$D$1:$O$258,12,FALSE)),"",(VLOOKUP($E202,'A-1 Site Habitat Baseline'!$D$1:$O$258,12,FALSE))))</f>
        <v/>
      </c>
      <c r="N202" s="532" t="str">
        <f>IF(E202="","",IF(ISNA(VLOOKUP($E202,'A-1 Site Habitat Baseline'!$D$1:$X$258,14,FALSE)),"",(VLOOKUP($E202,'A-1 Site Habitat Baseline'!$D$1:$X$258,14,FALSE))))</f>
        <v/>
      </c>
      <c r="O202" s="524" t="str">
        <f>IF(E202="","",IF(ISNA(VLOOKUP($E202,'A-1 Site Habitat Baseline'!$D$1:$X$258,16,FALSE)),"",(VLOOKUP($E202,'A-1 Site Habitat Baseline'!$D$1:$X$258,13,FALSE))))</f>
        <v/>
      </c>
      <c r="P202" s="237" t="str">
        <f>IFERROR(INDEX('G-1 All Habitats'!$AG$3:$AG$15,MATCH(Q202,'G-1 All Habitats'!$AF$3:$AF$15,0)),"")</f>
        <v/>
      </c>
      <c r="Q202" s="238" t="str">
        <f t="shared" si="25"/>
        <v/>
      </c>
      <c r="R202" s="238" t="str">
        <f t="shared" si="26"/>
        <v/>
      </c>
      <c r="S202" s="392" t="str">
        <f>IFERROR(INDEX('G-1 All Habitats'!$B$3:$B$129,MATCH(R202,'G-1 All Habitats'!$A$3:$A$129,0)),"")</f>
        <v/>
      </c>
      <c r="T202" s="498" t="str">
        <f t="shared" si="27"/>
        <v/>
      </c>
      <c r="U202" s="499" t="str">
        <f t="shared" si="28"/>
        <v/>
      </c>
      <c r="V202" s="537" t="str">
        <f t="shared" si="22"/>
        <v/>
      </c>
      <c r="W202" s="520" t="str">
        <f>IF(S202="","",VLOOKUP(S202,'G-1 All Habitats'!$B$2:$M$129,10,FALSE))</f>
        <v/>
      </c>
      <c r="X202" s="520" t="str">
        <f>IFERROR(VLOOKUP(W202,'G-1 All Habitats'!$V$3:$W$7,2,FALSE),"")</f>
        <v/>
      </c>
      <c r="Y202" s="79"/>
      <c r="Z202" s="524" t="str">
        <f>IFERROR(INDEX('G-8 Condition Look up'!$A$3:$H$130,MATCH(S202,'G-8 Condition Look up'!$A$3:$A$130,0),MATCH(Y202,'G-8 Condition Look up'!$A$3:$H$3,0)),"")</f>
        <v/>
      </c>
      <c r="AA202" s="71"/>
      <c r="AB202" s="520" t="str">
        <f>IF(AA202="","",IF(VLOOKUP(AA202,'G-3 Multipliers'!$L$3:$N$6,2,FALSE)=0,"Spatial Data Missing ⚠",VLOOKUP(AA202,'G-3 Multipliers'!$L$3:$N$6,2,FALSE)))</f>
        <v/>
      </c>
      <c r="AC202" s="524" t="str">
        <f>IF(AA202="","",IF(VLOOKUP(AA202,'G-3 Multipliers'!$L$3:$N$6,3,FALSE)=0,"Spatial Data Missing ⚠",VLOOKUP(AA202,'G-3 Multipliers'!$L$3:$N$6,3,FALSE)))</f>
        <v/>
      </c>
      <c r="AD202" s="539" t="str">
        <f t="shared" si="23"/>
        <v/>
      </c>
      <c r="AE202" s="82"/>
      <c r="AF202" s="82"/>
      <c r="AG202" s="507" t="str">
        <f t="shared" si="29"/>
        <v/>
      </c>
      <c r="AH202" s="521" t="str">
        <f t="shared" si="30"/>
        <v/>
      </c>
      <c r="AI202" s="522" t="str">
        <f>IF(AH202="Check Data","Check Data",IFERROR(VLOOKUP(AH202,'G-4 Temporal multipliers'!$A$4:$C$36,3,FALSE),""))</f>
        <v/>
      </c>
      <c r="AJ202" s="498" t="str">
        <f>IF(S202="","",VLOOKUP(S202,'G-3 Multipliers'!$A$2:$E$129,4,FALSE))</f>
        <v/>
      </c>
      <c r="AK202" s="507" t="str">
        <f t="shared" si="31"/>
        <v/>
      </c>
      <c r="AL202" s="507" t="str">
        <f t="shared" si="32"/>
        <v/>
      </c>
      <c r="AM202" s="540" t="str">
        <f>IFERROR(IF(F202="","",IF(AH202="Check Data ⚠","Check Data ⚠",VLOOKUP(AL202, 'G-3 Multipliers'!$P$2:$Q$6,2,FALSE))),"")</f>
        <v/>
      </c>
      <c r="AN202" s="513" t="str">
        <f t="shared" si="24"/>
        <v/>
      </c>
      <c r="AO202" s="239"/>
      <c r="AP202" s="240"/>
    </row>
    <row r="203" spans="1:42" x14ac:dyDescent="0.3">
      <c r="A203" s="47" t="str">
        <f>IF(E203="","",IF(ISNA(VLOOKUP($E203,'A-1 Site Habitat Baseline'!$D$1:$O$258,2,FALSE)),"",(VLOOKUP($E203,'A-1 Site Habitat Baseline'!$D$1:$O$258,2,FALSE))))</f>
        <v/>
      </c>
      <c r="B203" s="47" t="str">
        <f>IF(E203="","",IF(ISNA(VLOOKUP($E203,'A-1 Site Habitat Baseline'!$D$1:$O$258,3,FALSE)),"",(VLOOKUP($E203,'A-1 Site Habitat Baseline'!$D$1:$O$258,3,FALSE))))</f>
        <v/>
      </c>
      <c r="C203" s="47" t="str">
        <f>IFERROR(INDEX('G-8 Condition Look up'!$I$4:$I$130,MATCH(S203,'G-8 Condition Look up'!$A$4:$A$130,0)),"")</f>
        <v/>
      </c>
      <c r="E203" s="531" t="str">
        <f>'A-1 Site Habitat Baseline'!AL202</f>
        <v/>
      </c>
      <c r="F203" s="520" t="str">
        <f>IF(E203="","",IF(ISNA(VLOOKUP($E203,'A-1 Site Habitat Baseline'!$D$1:$O$258,4,FALSE)),"",(VLOOKUP($E203,'A-1 Site Habitat Baseline'!$D$1:$O$258,4,FALSE))))</f>
        <v/>
      </c>
      <c r="G203" s="520" t="str">
        <f>IF(E203="","",IF(ISNA(VLOOKUP($E203,'A-1 Site Habitat Baseline'!$D$1:$O$258,5,FALSE)),"",(VLOOKUP($E203,'A-1 Site Habitat Baseline'!$D$1:$O$258,5,FALSE))))</f>
        <v/>
      </c>
      <c r="H203" s="520" t="str">
        <f>IF(E203="","",IF(ISNA(VLOOKUP($E203,'A-1 Site Habitat Baseline'!$D$1:$O$258,6,FALSE)),"",(VLOOKUP($E203,'A-1 Site Habitat Baseline'!$D$1:$O$258,6,FALSE))))</f>
        <v/>
      </c>
      <c r="I203" s="520" t="str">
        <f>IF(E203="","",IF(ISNA(VLOOKUP($E203,'A-1 Site Habitat Baseline'!$D$1:$O$258,7,FALSE)),"",(VLOOKUP($E203,'A-1 Site Habitat Baseline'!$D$1:$O$258,7,FALSE))))</f>
        <v/>
      </c>
      <c r="J203" s="520" t="str">
        <f>IF(E203="","",IF(ISNA(VLOOKUP($E203,'A-1 Site Habitat Baseline'!$D$1:$O$258,8,FALSE)),"",(VLOOKUP($E203,'A-1 Site Habitat Baseline'!$D$1:$O$258,8,FALSE))))</f>
        <v/>
      </c>
      <c r="K203" s="520" t="str">
        <f>IF(E203="","",IF(ISNA(VLOOKUP($E203,'A-1 Site Habitat Baseline'!$D$1:$O$258,9,FALSE)),"",(VLOOKUP($E203,'A-1 Site Habitat Baseline'!$D$1:$O$258,9,FALSE))))</f>
        <v/>
      </c>
      <c r="L203" s="520" t="str">
        <f>IF(E203="","",IF(ISNA(VLOOKUP($E203,'A-1 Site Habitat Baseline'!$D$1:$O$258,11,FALSE)),"",(VLOOKUP($E203,'A-1 Site Habitat Baseline'!$D$1:$O$258,11,FALSE))))</f>
        <v/>
      </c>
      <c r="M203" s="520" t="str">
        <f>IF(E203="","",IF(ISNA(VLOOKUP($E203,'A-1 Site Habitat Baseline'!$D$1:$O$258,12,FALSE)),"",(VLOOKUP($E203,'A-1 Site Habitat Baseline'!$D$1:$O$258,12,FALSE))))</f>
        <v/>
      </c>
      <c r="N203" s="532" t="str">
        <f>IF(E203="","",IF(ISNA(VLOOKUP($E203,'A-1 Site Habitat Baseline'!$D$1:$X$258,14,FALSE)),"",(VLOOKUP($E203,'A-1 Site Habitat Baseline'!$D$1:$X$258,14,FALSE))))</f>
        <v/>
      </c>
      <c r="O203" s="524" t="str">
        <f>IF(E203="","",IF(ISNA(VLOOKUP($E203,'A-1 Site Habitat Baseline'!$D$1:$X$258,16,FALSE)),"",(VLOOKUP($E203,'A-1 Site Habitat Baseline'!$D$1:$X$258,13,FALSE))))</f>
        <v/>
      </c>
      <c r="P203" s="237" t="str">
        <f>IFERROR(INDEX('G-1 All Habitats'!$AG$3:$AG$15,MATCH(Q203,'G-1 All Habitats'!$AF$3:$AF$15,0)),"")</f>
        <v/>
      </c>
      <c r="Q203" s="238" t="str">
        <f t="shared" si="25"/>
        <v/>
      </c>
      <c r="R203" s="238" t="str">
        <f t="shared" si="26"/>
        <v/>
      </c>
      <c r="S203" s="392" t="str">
        <f>IFERROR(INDEX('G-1 All Habitats'!$B$3:$B$129,MATCH(R203,'G-1 All Habitats'!$A$3:$A$129,0)),"")</f>
        <v/>
      </c>
      <c r="T203" s="498" t="str">
        <f t="shared" si="27"/>
        <v/>
      </c>
      <c r="U203" s="499" t="str">
        <f t="shared" si="28"/>
        <v/>
      </c>
      <c r="V203" s="537" t="str">
        <f t="shared" si="22"/>
        <v/>
      </c>
      <c r="W203" s="520" t="str">
        <f>IF(S203="","",VLOOKUP(S203,'G-1 All Habitats'!$B$2:$M$129,10,FALSE))</f>
        <v/>
      </c>
      <c r="X203" s="520" t="str">
        <f>IFERROR(VLOOKUP(W203,'G-1 All Habitats'!$V$3:$W$7,2,FALSE),"")</f>
        <v/>
      </c>
      <c r="Y203" s="79"/>
      <c r="Z203" s="524" t="str">
        <f>IFERROR(INDEX('G-8 Condition Look up'!$A$3:$H$130,MATCH(S203,'G-8 Condition Look up'!$A$3:$A$130,0),MATCH(Y203,'G-8 Condition Look up'!$A$3:$H$3,0)),"")</f>
        <v/>
      </c>
      <c r="AA203" s="71"/>
      <c r="AB203" s="520" t="str">
        <f>IF(AA203="","",IF(VLOOKUP(AA203,'G-3 Multipliers'!$L$3:$N$6,2,FALSE)=0,"Spatial Data Missing ⚠",VLOOKUP(AA203,'G-3 Multipliers'!$L$3:$N$6,2,FALSE)))</f>
        <v/>
      </c>
      <c r="AC203" s="524" t="str">
        <f>IF(AA203="","",IF(VLOOKUP(AA203,'G-3 Multipliers'!$L$3:$N$6,3,FALSE)=0,"Spatial Data Missing ⚠",VLOOKUP(AA203,'G-3 Multipliers'!$L$3:$N$6,3,FALSE)))</f>
        <v/>
      </c>
      <c r="AD203" s="539" t="str">
        <f t="shared" si="23"/>
        <v/>
      </c>
      <c r="AE203" s="82"/>
      <c r="AF203" s="82"/>
      <c r="AG203" s="507" t="str">
        <f t="shared" si="29"/>
        <v/>
      </c>
      <c r="AH203" s="521" t="str">
        <f t="shared" si="30"/>
        <v/>
      </c>
      <c r="AI203" s="522" t="str">
        <f>IF(AH203="Check Data","Check Data",IFERROR(VLOOKUP(AH203,'G-4 Temporal multipliers'!$A$4:$C$36,3,FALSE),""))</f>
        <v/>
      </c>
      <c r="AJ203" s="498" t="str">
        <f>IF(S203="","",VLOOKUP(S203,'G-3 Multipliers'!$A$2:$E$129,4,FALSE))</f>
        <v/>
      </c>
      <c r="AK203" s="507" t="str">
        <f t="shared" si="31"/>
        <v/>
      </c>
      <c r="AL203" s="507" t="str">
        <f t="shared" si="32"/>
        <v/>
      </c>
      <c r="AM203" s="540" t="str">
        <f>IFERROR(IF(F203="","",IF(AH203="Check Data ⚠","Check Data ⚠",VLOOKUP(AL203, 'G-3 Multipliers'!$P$2:$Q$6,2,FALSE))),"")</f>
        <v/>
      </c>
      <c r="AN203" s="513" t="str">
        <f t="shared" si="24"/>
        <v/>
      </c>
      <c r="AO203" s="239"/>
      <c r="AP203" s="240"/>
    </row>
    <row r="204" spans="1:42" x14ac:dyDescent="0.3">
      <c r="A204" s="47" t="str">
        <f>IF(E204="","",IF(ISNA(VLOOKUP($E204,'A-1 Site Habitat Baseline'!$D$1:$O$258,2,FALSE)),"",(VLOOKUP($E204,'A-1 Site Habitat Baseline'!$D$1:$O$258,2,FALSE))))</f>
        <v/>
      </c>
      <c r="B204" s="47" t="str">
        <f>IF(E204="","",IF(ISNA(VLOOKUP($E204,'A-1 Site Habitat Baseline'!$D$1:$O$258,3,FALSE)),"",(VLOOKUP($E204,'A-1 Site Habitat Baseline'!$D$1:$O$258,3,FALSE))))</f>
        <v/>
      </c>
      <c r="C204" s="47" t="str">
        <f>IFERROR(INDEX('G-8 Condition Look up'!$I$4:$I$130,MATCH(S204,'G-8 Condition Look up'!$A$4:$A$130,0)),"")</f>
        <v/>
      </c>
      <c r="E204" s="531" t="str">
        <f>'A-1 Site Habitat Baseline'!AL203</f>
        <v/>
      </c>
      <c r="F204" s="520" t="str">
        <f>IF(E204="","",IF(ISNA(VLOOKUP($E204,'A-1 Site Habitat Baseline'!$D$1:$O$258,4,FALSE)),"",(VLOOKUP($E204,'A-1 Site Habitat Baseline'!$D$1:$O$258,4,FALSE))))</f>
        <v/>
      </c>
      <c r="G204" s="520" t="str">
        <f>IF(E204="","",IF(ISNA(VLOOKUP($E204,'A-1 Site Habitat Baseline'!$D$1:$O$258,5,FALSE)),"",(VLOOKUP($E204,'A-1 Site Habitat Baseline'!$D$1:$O$258,5,FALSE))))</f>
        <v/>
      </c>
      <c r="H204" s="520" t="str">
        <f>IF(E204="","",IF(ISNA(VLOOKUP($E204,'A-1 Site Habitat Baseline'!$D$1:$O$258,6,FALSE)),"",(VLOOKUP($E204,'A-1 Site Habitat Baseline'!$D$1:$O$258,6,FALSE))))</f>
        <v/>
      </c>
      <c r="I204" s="520" t="str">
        <f>IF(E204="","",IF(ISNA(VLOOKUP($E204,'A-1 Site Habitat Baseline'!$D$1:$O$258,7,FALSE)),"",(VLOOKUP($E204,'A-1 Site Habitat Baseline'!$D$1:$O$258,7,FALSE))))</f>
        <v/>
      </c>
      <c r="J204" s="520" t="str">
        <f>IF(E204="","",IF(ISNA(VLOOKUP($E204,'A-1 Site Habitat Baseline'!$D$1:$O$258,8,FALSE)),"",(VLOOKUP($E204,'A-1 Site Habitat Baseline'!$D$1:$O$258,8,FALSE))))</f>
        <v/>
      </c>
      <c r="K204" s="520" t="str">
        <f>IF(E204="","",IF(ISNA(VLOOKUP($E204,'A-1 Site Habitat Baseline'!$D$1:$O$258,9,FALSE)),"",(VLOOKUP($E204,'A-1 Site Habitat Baseline'!$D$1:$O$258,9,FALSE))))</f>
        <v/>
      </c>
      <c r="L204" s="520" t="str">
        <f>IF(E204="","",IF(ISNA(VLOOKUP($E204,'A-1 Site Habitat Baseline'!$D$1:$O$258,11,FALSE)),"",(VLOOKUP($E204,'A-1 Site Habitat Baseline'!$D$1:$O$258,11,FALSE))))</f>
        <v/>
      </c>
      <c r="M204" s="520" t="str">
        <f>IF(E204="","",IF(ISNA(VLOOKUP($E204,'A-1 Site Habitat Baseline'!$D$1:$O$258,12,FALSE)),"",(VLOOKUP($E204,'A-1 Site Habitat Baseline'!$D$1:$O$258,12,FALSE))))</f>
        <v/>
      </c>
      <c r="N204" s="532" t="str">
        <f>IF(E204="","",IF(ISNA(VLOOKUP($E204,'A-1 Site Habitat Baseline'!$D$1:$X$258,14,FALSE)),"",(VLOOKUP($E204,'A-1 Site Habitat Baseline'!$D$1:$X$258,14,FALSE))))</f>
        <v/>
      </c>
      <c r="O204" s="524" t="str">
        <f>IF(E204="","",IF(ISNA(VLOOKUP($E204,'A-1 Site Habitat Baseline'!$D$1:$X$258,16,FALSE)),"",(VLOOKUP($E204,'A-1 Site Habitat Baseline'!$D$1:$X$258,13,FALSE))))</f>
        <v/>
      </c>
      <c r="P204" s="237" t="str">
        <f>IFERROR(INDEX('G-1 All Habitats'!$AG$3:$AG$15,MATCH(Q204,'G-1 All Habitats'!$AF$3:$AF$15,0)),"")</f>
        <v/>
      </c>
      <c r="Q204" s="238" t="str">
        <f t="shared" si="25"/>
        <v/>
      </c>
      <c r="R204" s="238" t="str">
        <f t="shared" si="26"/>
        <v/>
      </c>
      <c r="S204" s="392" t="str">
        <f>IFERROR(INDEX('G-1 All Habitats'!$B$3:$B$129,MATCH(R204,'G-1 All Habitats'!$A$3:$A$129,0)),"")</f>
        <v/>
      </c>
      <c r="T204" s="498" t="str">
        <f t="shared" si="27"/>
        <v/>
      </c>
      <c r="U204" s="499" t="str">
        <f t="shared" si="28"/>
        <v/>
      </c>
      <c r="V204" s="537" t="str">
        <f t="shared" ref="V204:V257" si="33">IF(S204="","",VLOOKUP(E204,BaselineHabSite,17,FALSE))</f>
        <v/>
      </c>
      <c r="W204" s="520" t="str">
        <f>IF(S204="","",VLOOKUP(S204,'G-1 All Habitats'!$B$2:$M$129,10,FALSE))</f>
        <v/>
      </c>
      <c r="X204" s="520" t="str">
        <f>IFERROR(VLOOKUP(W204,'G-1 All Habitats'!$V$3:$W$7,2,FALSE),"")</f>
        <v/>
      </c>
      <c r="Y204" s="79"/>
      <c r="Z204" s="524" t="str">
        <f>IFERROR(INDEX('G-8 Condition Look up'!$A$3:$H$130,MATCH(S204,'G-8 Condition Look up'!$A$3:$A$130,0),MATCH(Y204,'G-8 Condition Look up'!$A$3:$H$3,0)),"")</f>
        <v/>
      </c>
      <c r="AA204" s="71"/>
      <c r="AB204" s="520" t="str">
        <f>IF(AA204="","",IF(VLOOKUP(AA204,'G-3 Multipliers'!$L$3:$N$6,2,FALSE)=0,"Spatial Data Missing ⚠",VLOOKUP(AA204,'G-3 Multipliers'!$L$3:$N$6,2,FALSE)))</f>
        <v/>
      </c>
      <c r="AC204" s="524" t="str">
        <f>IF(AA204="","",IF(VLOOKUP(AA204,'G-3 Multipliers'!$L$3:$N$6,3,FALSE)=0,"Spatial Data Missing ⚠",VLOOKUP(AA204,'G-3 Multipliers'!$L$3:$N$6,3,FALSE)))</f>
        <v/>
      </c>
      <c r="AD204" s="539" t="str">
        <f t="shared" ref="AD204:AD257" si="34">IFERROR(IF(OR(LEFT(U204,5)="Error ▲",LEFT(T204,5)="Error ▲"),"Check Data ⚠",INDEX(EnhanceTemporal,MATCH(S204,EnhanceHabitat,0),MATCH(U204,EnhanceCondition,0))),"")</f>
        <v/>
      </c>
      <c r="AE204" s="82"/>
      <c r="AF204" s="82"/>
      <c r="AG204" s="507" t="str">
        <f t="shared" si="29"/>
        <v/>
      </c>
      <c r="AH204" s="521" t="str">
        <f t="shared" si="30"/>
        <v/>
      </c>
      <c r="AI204" s="522" t="str">
        <f>IF(AH204="Check Data","Check Data",IFERROR(VLOOKUP(AH204,'G-4 Temporal multipliers'!$A$4:$C$36,3,FALSE),""))</f>
        <v/>
      </c>
      <c r="AJ204" s="498" t="str">
        <f>IF(S204="","",VLOOKUP(S204,'G-3 Multipliers'!$A$2:$E$129,4,FALSE))</f>
        <v/>
      </c>
      <c r="AK204" s="507" t="str">
        <f t="shared" si="31"/>
        <v/>
      </c>
      <c r="AL204" s="507" t="str">
        <f t="shared" si="32"/>
        <v/>
      </c>
      <c r="AM204" s="540" t="str">
        <f>IFERROR(IF(F204="","",IF(AH204="Check Data ⚠","Check Data ⚠",VLOOKUP(AL204, 'G-3 Multipliers'!$P$2:$Q$6,2,FALSE))),"")</f>
        <v/>
      </c>
      <c r="AN204" s="513" t="str">
        <f t="shared" ref="AN204:AN257" si="35">IFERROR(((((V204*X204*Z204)-(V204*I204*K204))*(AM204*AI204))+(V204*I204*K204))*(AC204),"")</f>
        <v/>
      </c>
      <c r="AO204" s="239"/>
      <c r="AP204" s="240"/>
    </row>
    <row r="205" spans="1:42" x14ac:dyDescent="0.3">
      <c r="A205" s="47" t="str">
        <f>IF(E205="","",IF(ISNA(VLOOKUP($E205,'A-1 Site Habitat Baseline'!$D$1:$O$258,2,FALSE)),"",(VLOOKUP($E205,'A-1 Site Habitat Baseline'!$D$1:$O$258,2,FALSE))))</f>
        <v/>
      </c>
      <c r="B205" s="47" t="str">
        <f>IF(E205="","",IF(ISNA(VLOOKUP($E205,'A-1 Site Habitat Baseline'!$D$1:$O$258,3,FALSE)),"",(VLOOKUP($E205,'A-1 Site Habitat Baseline'!$D$1:$O$258,3,FALSE))))</f>
        <v/>
      </c>
      <c r="C205" s="47" t="str">
        <f>IFERROR(INDEX('G-8 Condition Look up'!$I$4:$I$130,MATCH(S205,'G-8 Condition Look up'!$A$4:$A$130,0)),"")</f>
        <v/>
      </c>
      <c r="E205" s="531" t="str">
        <f>'A-1 Site Habitat Baseline'!AL204</f>
        <v/>
      </c>
      <c r="F205" s="520" t="str">
        <f>IF(E205="","",IF(ISNA(VLOOKUP($E205,'A-1 Site Habitat Baseline'!$D$1:$O$258,4,FALSE)),"",(VLOOKUP($E205,'A-1 Site Habitat Baseline'!$D$1:$O$258,4,FALSE))))</f>
        <v/>
      </c>
      <c r="G205" s="520" t="str">
        <f>IF(E205="","",IF(ISNA(VLOOKUP($E205,'A-1 Site Habitat Baseline'!$D$1:$O$258,5,FALSE)),"",(VLOOKUP($E205,'A-1 Site Habitat Baseline'!$D$1:$O$258,5,FALSE))))</f>
        <v/>
      </c>
      <c r="H205" s="520" t="str">
        <f>IF(E205="","",IF(ISNA(VLOOKUP($E205,'A-1 Site Habitat Baseline'!$D$1:$O$258,6,FALSE)),"",(VLOOKUP($E205,'A-1 Site Habitat Baseline'!$D$1:$O$258,6,FALSE))))</f>
        <v/>
      </c>
      <c r="I205" s="520" t="str">
        <f>IF(E205="","",IF(ISNA(VLOOKUP($E205,'A-1 Site Habitat Baseline'!$D$1:$O$258,7,FALSE)),"",(VLOOKUP($E205,'A-1 Site Habitat Baseline'!$D$1:$O$258,7,FALSE))))</f>
        <v/>
      </c>
      <c r="J205" s="520" t="str">
        <f>IF(E205="","",IF(ISNA(VLOOKUP($E205,'A-1 Site Habitat Baseline'!$D$1:$O$258,8,FALSE)),"",(VLOOKUP($E205,'A-1 Site Habitat Baseline'!$D$1:$O$258,8,FALSE))))</f>
        <v/>
      </c>
      <c r="K205" s="520" t="str">
        <f>IF(E205="","",IF(ISNA(VLOOKUP($E205,'A-1 Site Habitat Baseline'!$D$1:$O$258,9,FALSE)),"",(VLOOKUP($E205,'A-1 Site Habitat Baseline'!$D$1:$O$258,9,FALSE))))</f>
        <v/>
      </c>
      <c r="L205" s="520" t="str">
        <f>IF(E205="","",IF(ISNA(VLOOKUP($E205,'A-1 Site Habitat Baseline'!$D$1:$O$258,11,FALSE)),"",(VLOOKUP($E205,'A-1 Site Habitat Baseline'!$D$1:$O$258,11,FALSE))))</f>
        <v/>
      </c>
      <c r="M205" s="520" t="str">
        <f>IF(E205="","",IF(ISNA(VLOOKUP($E205,'A-1 Site Habitat Baseline'!$D$1:$O$258,12,FALSE)),"",(VLOOKUP($E205,'A-1 Site Habitat Baseline'!$D$1:$O$258,12,FALSE))))</f>
        <v/>
      </c>
      <c r="N205" s="532" t="str">
        <f>IF(E205="","",IF(ISNA(VLOOKUP($E205,'A-1 Site Habitat Baseline'!$D$1:$X$258,14,FALSE)),"",(VLOOKUP($E205,'A-1 Site Habitat Baseline'!$D$1:$X$258,14,FALSE))))</f>
        <v/>
      </c>
      <c r="O205" s="524" t="str">
        <f>IF(E205="","",IF(ISNA(VLOOKUP($E205,'A-1 Site Habitat Baseline'!$D$1:$X$258,16,FALSE)),"",(VLOOKUP($E205,'A-1 Site Habitat Baseline'!$D$1:$X$258,13,FALSE))))</f>
        <v/>
      </c>
      <c r="P205" s="237" t="str">
        <f>IFERROR(INDEX('G-1 All Habitats'!$AG$3:$AG$15,MATCH(Q205,'G-1 All Habitats'!$AF$3:$AF$15,0)),"")</f>
        <v/>
      </c>
      <c r="Q205" s="238" t="str">
        <f t="shared" ref="Q205:Q257" si="36">A205</f>
        <v/>
      </c>
      <c r="R205" s="238" t="str">
        <f t="shared" ref="R205:R257" si="37">IF(B205="","",B205)</f>
        <v/>
      </c>
      <c r="S205" s="392" t="str">
        <f>IFERROR(INDEX('G-1 All Habitats'!$B$3:$B$129,MATCH(R205,'G-1 All Habitats'!$A$3:$A$129,0)),"")</f>
        <v/>
      </c>
      <c r="T205" s="498" t="str">
        <f t="shared" ref="T205:T256" si="38">IF(E205="","",IF(AND(LEFT(O205,6)="Same d",I205&gt;X205),"Error - Trading rules not satisfied ▲",IF(AND(LEFT(O205,6)="Same b",AND(LEFT(F205,5)&lt;&gt;LEFT(S205,5),I205&gt;X205)),"Error - Trading rules not satisfied ▲",IF(AND(LEFT(O205,6)="Same h",F205&lt;&gt;S205),"Error - Trading rules not satisfied ▲",IF(AND(LEFT(O205,6)="Bespok",F205&lt;&gt;S205),"Error - Trading rules not satisfied ▲",IF(X205&lt;I205,"Error Trading Down ▲",H205&amp;" - "&amp;W205))))))</f>
        <v/>
      </c>
      <c r="U205" s="499" t="str">
        <f t="shared" ref="U205:U257" si="39">IF(F205="","",IF(AND(LEFT(F205,55)&lt;&gt;LEFT(S205,55),T205= "High - High"),"Error - Not like for like ▲",IF(AND(I205=X205,K205&gt;Z205),"Error - Can not reduce condition ▲",IF(AND(I205=X205,K205=Z205),"Error - No enhancement ▲",IF(X205&lt;I205,"Error Trading Down ▲",IF(AND(F205&lt;&gt;S205,I205&lt;X205),"Lower Distinctiveness Habitat"&amp;" - "&amp;Y205,J205&amp;" - "&amp;Y205))))))</f>
        <v/>
      </c>
      <c r="V205" s="537" t="str">
        <f t="shared" si="33"/>
        <v/>
      </c>
      <c r="W205" s="520" t="str">
        <f>IF(S205="","",VLOOKUP(S205,'G-1 All Habitats'!$B$2:$M$129,10,FALSE))</f>
        <v/>
      </c>
      <c r="X205" s="520" t="str">
        <f>IFERROR(VLOOKUP(W205,'G-1 All Habitats'!$V$3:$W$7,2,FALSE),"")</f>
        <v/>
      </c>
      <c r="Y205" s="79"/>
      <c r="Z205" s="524" t="str">
        <f>IFERROR(INDEX('G-8 Condition Look up'!$A$3:$H$130,MATCH(S205,'G-8 Condition Look up'!$A$3:$A$130,0),MATCH(Y205,'G-8 Condition Look up'!$A$3:$H$3,0)),"")</f>
        <v/>
      </c>
      <c r="AA205" s="71"/>
      <c r="AB205" s="520" t="str">
        <f>IF(AA205="","",IF(VLOOKUP(AA205,'G-3 Multipliers'!$L$3:$N$6,2,FALSE)=0,"Spatial Data Missing ⚠",VLOOKUP(AA205,'G-3 Multipliers'!$L$3:$N$6,2,FALSE)))</f>
        <v/>
      </c>
      <c r="AC205" s="524" t="str">
        <f>IF(AA205="","",IF(VLOOKUP(AA205,'G-3 Multipliers'!$L$3:$N$6,3,FALSE)=0,"Spatial Data Missing ⚠",VLOOKUP(AA205,'G-3 Multipliers'!$L$3:$N$6,3,FALSE)))</f>
        <v/>
      </c>
      <c r="AD205" s="539" t="str">
        <f t="shared" si="34"/>
        <v/>
      </c>
      <c r="AE205" s="82"/>
      <c r="AF205" s="82"/>
      <c r="AG205" s="507" t="str">
        <f t="shared" ref="AG205:AG257" si="40">IF(AD205="","",IF(AD205="Check Data ⚠","Check Data ⚠",IF(R205="","",IF(AND(AE205&gt;0,AF205&gt;0),"Error -both advance and delayed habitat creation ▲",IF(AND(OR(AE205="Habitat already in target condition",AD205&lt;=AE205),AF205=0),"Check details - Is there evidence that habitat has reached target condition? ⚠",IF(O204="","",IF(AE205&gt;0,"Check details - Is there evidence habitat creation started/in place? ⚠",IF(AF205&gt;0,"Check details- Delay in starting habitat in required condition? ⚠","Standard time to target condition applied"))))))))</f>
        <v/>
      </c>
      <c r="AH205" s="521" t="str">
        <f t="shared" ref="AH205:AH257" si="41">IF(LEFT(AG205,5)="Error ▲","Check Data ⚠",IF(AG205="Check Data ⚠","Check Data ⚠",IF(AD205="","",IF(AD205="Not Possible","Check Data ⚠",IF(AND(AD205="30+",AE205=0),"30+",IF(AND(AD205="30+",AE205="30+"),0,IF(AND(AD205="30+",AE205&lt;30),30-AE205,IF(AD205="30+",30-AE205,IF(AE205&gt;AD205,0,IF(AF205="30+","30+",IF(AD205+AF205&gt;30,"30+",IF(AD205+AF205&gt;30,"30+",IF(AD205-AE205&gt;30,"30+",IF(AD205+AF205-AE205&gt;0,AD205+AF205-AE205,IF(AD205-AE205&gt;0,AD205-AE205,AD205+AF205-AE205)))))))))))))))</f>
        <v/>
      </c>
      <c r="AI205" s="522" t="str">
        <f>IF(AH205="Check Data","Check Data",IFERROR(VLOOKUP(AH205,'G-4 Temporal multipliers'!$A$4:$C$36,3,FALSE),""))</f>
        <v/>
      </c>
      <c r="AJ205" s="498" t="str">
        <f>IF(S205="","",VLOOKUP(S205,'G-3 Multipliers'!$A$2:$E$129,4,FALSE))</f>
        <v/>
      </c>
      <c r="AK205" s="507" t="str">
        <f t="shared" ref="AK205:AK257" si="42">IF(E205="","",IF(AG205="Check details - Is there evidence that habitat has reached target condition? ⚠","Low Difficulty - only applicable if all habitat created before losses ⚠","Standard difficulty applied"))</f>
        <v/>
      </c>
      <c r="AL205" s="507" t="str">
        <f t="shared" ref="AL205:AL257" si="43">(IF(AND(AK205="Standard difficulty applied",AD205&gt;AE205),AJ205,IF(AND(AK205="Low Difficulty - only applicable if all habitat created before losses ⚠",AE205&gt;=AD205),"Low", AJ205)))</f>
        <v/>
      </c>
      <c r="AM205" s="540" t="str">
        <f>IFERROR(IF(F205="","",IF(AH205="Check Data ⚠","Check Data ⚠",VLOOKUP(AL205, 'G-3 Multipliers'!$P$2:$Q$6,2,FALSE))),"")</f>
        <v/>
      </c>
      <c r="AN205" s="513" t="str">
        <f t="shared" si="35"/>
        <v/>
      </c>
      <c r="AO205" s="239"/>
      <c r="AP205" s="240"/>
    </row>
    <row r="206" spans="1:42" x14ac:dyDescent="0.3">
      <c r="A206" s="47" t="str">
        <f>IF(E206="","",IF(ISNA(VLOOKUP($E206,'A-1 Site Habitat Baseline'!$D$1:$O$258,2,FALSE)),"",(VLOOKUP($E206,'A-1 Site Habitat Baseline'!$D$1:$O$258,2,FALSE))))</f>
        <v/>
      </c>
      <c r="B206" s="47" t="str">
        <f>IF(E206="","",IF(ISNA(VLOOKUP($E206,'A-1 Site Habitat Baseline'!$D$1:$O$258,3,FALSE)),"",(VLOOKUP($E206,'A-1 Site Habitat Baseline'!$D$1:$O$258,3,FALSE))))</f>
        <v/>
      </c>
      <c r="C206" s="47" t="str">
        <f>IFERROR(INDEX('G-8 Condition Look up'!$I$4:$I$130,MATCH(S206,'G-8 Condition Look up'!$A$4:$A$130,0)),"")</f>
        <v/>
      </c>
      <c r="E206" s="531" t="str">
        <f>'A-1 Site Habitat Baseline'!AL205</f>
        <v/>
      </c>
      <c r="F206" s="520" t="str">
        <f>IF(E206="","",IF(ISNA(VLOOKUP($E206,'A-1 Site Habitat Baseline'!$D$1:$O$258,4,FALSE)),"",(VLOOKUP($E206,'A-1 Site Habitat Baseline'!$D$1:$O$258,4,FALSE))))</f>
        <v/>
      </c>
      <c r="G206" s="520" t="str">
        <f>IF(E206="","",IF(ISNA(VLOOKUP($E206,'A-1 Site Habitat Baseline'!$D$1:$O$258,5,FALSE)),"",(VLOOKUP($E206,'A-1 Site Habitat Baseline'!$D$1:$O$258,5,FALSE))))</f>
        <v/>
      </c>
      <c r="H206" s="520" t="str">
        <f>IF(E206="","",IF(ISNA(VLOOKUP($E206,'A-1 Site Habitat Baseline'!$D$1:$O$258,6,FALSE)),"",(VLOOKUP($E206,'A-1 Site Habitat Baseline'!$D$1:$O$258,6,FALSE))))</f>
        <v/>
      </c>
      <c r="I206" s="520" t="str">
        <f>IF(E206="","",IF(ISNA(VLOOKUP($E206,'A-1 Site Habitat Baseline'!$D$1:$O$258,7,FALSE)),"",(VLOOKUP($E206,'A-1 Site Habitat Baseline'!$D$1:$O$258,7,FALSE))))</f>
        <v/>
      </c>
      <c r="J206" s="520" t="str">
        <f>IF(E206="","",IF(ISNA(VLOOKUP($E206,'A-1 Site Habitat Baseline'!$D$1:$O$258,8,FALSE)),"",(VLOOKUP($E206,'A-1 Site Habitat Baseline'!$D$1:$O$258,8,FALSE))))</f>
        <v/>
      </c>
      <c r="K206" s="520" t="str">
        <f>IF(E206="","",IF(ISNA(VLOOKUP($E206,'A-1 Site Habitat Baseline'!$D$1:$O$258,9,FALSE)),"",(VLOOKUP($E206,'A-1 Site Habitat Baseline'!$D$1:$O$258,9,FALSE))))</f>
        <v/>
      </c>
      <c r="L206" s="520" t="str">
        <f>IF(E206="","",IF(ISNA(VLOOKUP($E206,'A-1 Site Habitat Baseline'!$D$1:$O$258,11,FALSE)),"",(VLOOKUP($E206,'A-1 Site Habitat Baseline'!$D$1:$O$258,11,FALSE))))</f>
        <v/>
      </c>
      <c r="M206" s="520" t="str">
        <f>IF(E206="","",IF(ISNA(VLOOKUP($E206,'A-1 Site Habitat Baseline'!$D$1:$O$258,12,FALSE)),"",(VLOOKUP($E206,'A-1 Site Habitat Baseline'!$D$1:$O$258,12,FALSE))))</f>
        <v/>
      </c>
      <c r="N206" s="532" t="str">
        <f>IF(E206="","",IF(ISNA(VLOOKUP($E206,'A-1 Site Habitat Baseline'!$D$1:$X$258,14,FALSE)),"",(VLOOKUP($E206,'A-1 Site Habitat Baseline'!$D$1:$X$258,14,FALSE))))</f>
        <v/>
      </c>
      <c r="O206" s="524" t="str">
        <f>IF(E206="","",IF(ISNA(VLOOKUP($E206,'A-1 Site Habitat Baseline'!$D$1:$X$258,16,FALSE)),"",(VLOOKUP($E206,'A-1 Site Habitat Baseline'!$D$1:$X$258,13,FALSE))))</f>
        <v/>
      </c>
      <c r="P206" s="237" t="str">
        <f>IFERROR(INDEX('G-1 All Habitats'!$AG$3:$AG$15,MATCH(Q206,'G-1 All Habitats'!$AF$3:$AF$15,0)),"")</f>
        <v/>
      </c>
      <c r="Q206" s="238" t="str">
        <f t="shared" si="36"/>
        <v/>
      </c>
      <c r="R206" s="238" t="str">
        <f t="shared" si="37"/>
        <v/>
      </c>
      <c r="S206" s="392" t="str">
        <f>IFERROR(INDEX('G-1 All Habitats'!$B$3:$B$129,MATCH(R206,'G-1 All Habitats'!$A$3:$A$129,0)),"")</f>
        <v/>
      </c>
      <c r="T206" s="498" t="str">
        <f t="shared" si="38"/>
        <v/>
      </c>
      <c r="U206" s="499" t="str">
        <f t="shared" si="39"/>
        <v/>
      </c>
      <c r="V206" s="537" t="str">
        <f t="shared" si="33"/>
        <v/>
      </c>
      <c r="W206" s="520" t="str">
        <f>IF(S206="","",VLOOKUP(S206,'G-1 All Habitats'!$B$2:$M$129,10,FALSE))</f>
        <v/>
      </c>
      <c r="X206" s="520" t="str">
        <f>IFERROR(VLOOKUP(W206,'G-1 All Habitats'!$V$3:$W$7,2,FALSE),"")</f>
        <v/>
      </c>
      <c r="Y206" s="79"/>
      <c r="Z206" s="524" t="str">
        <f>IFERROR(INDEX('G-8 Condition Look up'!$A$3:$H$130,MATCH(S206,'G-8 Condition Look up'!$A$3:$A$130,0),MATCH(Y206,'G-8 Condition Look up'!$A$3:$H$3,0)),"")</f>
        <v/>
      </c>
      <c r="AA206" s="71"/>
      <c r="AB206" s="520" t="str">
        <f>IF(AA206="","",IF(VLOOKUP(AA206,'G-3 Multipliers'!$L$3:$N$6,2,FALSE)=0,"Spatial Data Missing ⚠",VLOOKUP(AA206,'G-3 Multipliers'!$L$3:$N$6,2,FALSE)))</f>
        <v/>
      </c>
      <c r="AC206" s="524" t="str">
        <f>IF(AA206="","",IF(VLOOKUP(AA206,'G-3 Multipliers'!$L$3:$N$6,3,FALSE)=0,"Spatial Data Missing ⚠",VLOOKUP(AA206,'G-3 Multipliers'!$L$3:$N$6,3,FALSE)))</f>
        <v/>
      </c>
      <c r="AD206" s="539" t="str">
        <f t="shared" si="34"/>
        <v/>
      </c>
      <c r="AE206" s="82"/>
      <c r="AF206" s="82"/>
      <c r="AG206" s="507" t="str">
        <f t="shared" si="40"/>
        <v/>
      </c>
      <c r="AH206" s="521" t="str">
        <f t="shared" si="41"/>
        <v/>
      </c>
      <c r="AI206" s="522" t="str">
        <f>IF(AH206="Check Data","Check Data",IFERROR(VLOOKUP(AH206,'G-4 Temporal multipliers'!$A$4:$C$36,3,FALSE),""))</f>
        <v/>
      </c>
      <c r="AJ206" s="498" t="str">
        <f>IF(S206="","",VLOOKUP(S206,'G-3 Multipliers'!$A$2:$E$129,4,FALSE))</f>
        <v/>
      </c>
      <c r="AK206" s="507" t="str">
        <f t="shared" si="42"/>
        <v/>
      </c>
      <c r="AL206" s="507" t="str">
        <f t="shared" si="43"/>
        <v/>
      </c>
      <c r="AM206" s="540" t="str">
        <f>IFERROR(IF(F206="","",IF(AH206="Check Data ⚠","Check Data ⚠",VLOOKUP(AL206, 'G-3 Multipliers'!$P$2:$Q$6,2,FALSE))),"")</f>
        <v/>
      </c>
      <c r="AN206" s="513" t="str">
        <f t="shared" si="35"/>
        <v/>
      </c>
      <c r="AO206" s="239"/>
      <c r="AP206" s="240"/>
    </row>
    <row r="207" spans="1:42" x14ac:dyDescent="0.3">
      <c r="A207" s="47" t="str">
        <f>IF(E207="","",IF(ISNA(VLOOKUP($E207,'A-1 Site Habitat Baseline'!$D$1:$O$258,2,FALSE)),"",(VLOOKUP($E207,'A-1 Site Habitat Baseline'!$D$1:$O$258,2,FALSE))))</f>
        <v/>
      </c>
      <c r="B207" s="47" t="str">
        <f>IF(E207="","",IF(ISNA(VLOOKUP($E207,'A-1 Site Habitat Baseline'!$D$1:$O$258,3,FALSE)),"",(VLOOKUP($E207,'A-1 Site Habitat Baseline'!$D$1:$O$258,3,FALSE))))</f>
        <v/>
      </c>
      <c r="C207" s="47" t="str">
        <f>IFERROR(INDEX('G-8 Condition Look up'!$I$4:$I$130,MATCH(S207,'G-8 Condition Look up'!$A$4:$A$130,0)),"")</f>
        <v/>
      </c>
      <c r="E207" s="531" t="str">
        <f>'A-1 Site Habitat Baseline'!AL206</f>
        <v/>
      </c>
      <c r="F207" s="520" t="str">
        <f>IF(E207="","",IF(ISNA(VLOOKUP($E207,'A-1 Site Habitat Baseline'!$D$1:$O$258,4,FALSE)),"",(VLOOKUP($E207,'A-1 Site Habitat Baseline'!$D$1:$O$258,4,FALSE))))</f>
        <v/>
      </c>
      <c r="G207" s="520" t="str">
        <f>IF(E207="","",IF(ISNA(VLOOKUP($E207,'A-1 Site Habitat Baseline'!$D$1:$O$258,5,FALSE)),"",(VLOOKUP($E207,'A-1 Site Habitat Baseline'!$D$1:$O$258,5,FALSE))))</f>
        <v/>
      </c>
      <c r="H207" s="520" t="str">
        <f>IF(E207="","",IF(ISNA(VLOOKUP($E207,'A-1 Site Habitat Baseline'!$D$1:$O$258,6,FALSE)),"",(VLOOKUP($E207,'A-1 Site Habitat Baseline'!$D$1:$O$258,6,FALSE))))</f>
        <v/>
      </c>
      <c r="I207" s="520" t="str">
        <f>IF(E207="","",IF(ISNA(VLOOKUP($E207,'A-1 Site Habitat Baseline'!$D$1:$O$258,7,FALSE)),"",(VLOOKUP($E207,'A-1 Site Habitat Baseline'!$D$1:$O$258,7,FALSE))))</f>
        <v/>
      </c>
      <c r="J207" s="520" t="str">
        <f>IF(E207="","",IF(ISNA(VLOOKUP($E207,'A-1 Site Habitat Baseline'!$D$1:$O$258,8,FALSE)),"",(VLOOKUP($E207,'A-1 Site Habitat Baseline'!$D$1:$O$258,8,FALSE))))</f>
        <v/>
      </c>
      <c r="K207" s="520" t="str">
        <f>IF(E207="","",IF(ISNA(VLOOKUP($E207,'A-1 Site Habitat Baseline'!$D$1:$O$258,9,FALSE)),"",(VLOOKUP($E207,'A-1 Site Habitat Baseline'!$D$1:$O$258,9,FALSE))))</f>
        <v/>
      </c>
      <c r="L207" s="520" t="str">
        <f>IF(E207="","",IF(ISNA(VLOOKUP($E207,'A-1 Site Habitat Baseline'!$D$1:$O$258,11,FALSE)),"",(VLOOKUP($E207,'A-1 Site Habitat Baseline'!$D$1:$O$258,11,FALSE))))</f>
        <v/>
      </c>
      <c r="M207" s="520" t="str">
        <f>IF(E207="","",IF(ISNA(VLOOKUP($E207,'A-1 Site Habitat Baseline'!$D$1:$O$258,12,FALSE)),"",(VLOOKUP($E207,'A-1 Site Habitat Baseline'!$D$1:$O$258,12,FALSE))))</f>
        <v/>
      </c>
      <c r="N207" s="532" t="str">
        <f>IF(E207="","",IF(ISNA(VLOOKUP($E207,'A-1 Site Habitat Baseline'!$D$1:$X$258,14,FALSE)),"",(VLOOKUP($E207,'A-1 Site Habitat Baseline'!$D$1:$X$258,14,FALSE))))</f>
        <v/>
      </c>
      <c r="O207" s="524" t="str">
        <f>IF(E207="","",IF(ISNA(VLOOKUP($E207,'A-1 Site Habitat Baseline'!$D$1:$X$258,16,FALSE)),"",(VLOOKUP($E207,'A-1 Site Habitat Baseline'!$D$1:$X$258,13,FALSE))))</f>
        <v/>
      </c>
      <c r="P207" s="237" t="str">
        <f>IFERROR(INDEX('G-1 All Habitats'!$AG$3:$AG$15,MATCH(Q207,'G-1 All Habitats'!$AF$3:$AF$15,0)),"")</f>
        <v/>
      </c>
      <c r="Q207" s="238" t="str">
        <f t="shared" si="36"/>
        <v/>
      </c>
      <c r="R207" s="238" t="str">
        <f t="shared" si="37"/>
        <v/>
      </c>
      <c r="S207" s="392" t="str">
        <f>IFERROR(INDEX('G-1 All Habitats'!$B$3:$B$129,MATCH(R207,'G-1 All Habitats'!$A$3:$A$129,0)),"")</f>
        <v/>
      </c>
      <c r="T207" s="498" t="str">
        <f t="shared" si="38"/>
        <v/>
      </c>
      <c r="U207" s="499" t="str">
        <f t="shared" si="39"/>
        <v/>
      </c>
      <c r="V207" s="537" t="str">
        <f t="shared" si="33"/>
        <v/>
      </c>
      <c r="W207" s="520" t="str">
        <f>IF(S207="","",VLOOKUP(S207,'G-1 All Habitats'!$B$2:$M$129,10,FALSE))</f>
        <v/>
      </c>
      <c r="X207" s="520" t="str">
        <f>IFERROR(VLOOKUP(W207,'G-1 All Habitats'!$V$3:$W$7,2,FALSE),"")</f>
        <v/>
      </c>
      <c r="Y207" s="79"/>
      <c r="Z207" s="524" t="str">
        <f>IFERROR(INDEX('G-8 Condition Look up'!$A$3:$H$130,MATCH(S207,'G-8 Condition Look up'!$A$3:$A$130,0),MATCH(Y207,'G-8 Condition Look up'!$A$3:$H$3,0)),"")</f>
        <v/>
      </c>
      <c r="AA207" s="71"/>
      <c r="AB207" s="520" t="str">
        <f>IF(AA207="","",IF(VLOOKUP(AA207,'G-3 Multipliers'!$L$3:$N$6,2,FALSE)=0,"Spatial Data Missing ⚠",VLOOKUP(AA207,'G-3 Multipliers'!$L$3:$N$6,2,FALSE)))</f>
        <v/>
      </c>
      <c r="AC207" s="524" t="str">
        <f>IF(AA207="","",IF(VLOOKUP(AA207,'G-3 Multipliers'!$L$3:$N$6,3,FALSE)=0,"Spatial Data Missing ⚠",VLOOKUP(AA207,'G-3 Multipliers'!$L$3:$N$6,3,FALSE)))</f>
        <v/>
      </c>
      <c r="AD207" s="539" t="str">
        <f t="shared" si="34"/>
        <v/>
      </c>
      <c r="AE207" s="82"/>
      <c r="AF207" s="82"/>
      <c r="AG207" s="507" t="str">
        <f t="shared" si="40"/>
        <v/>
      </c>
      <c r="AH207" s="521" t="str">
        <f t="shared" si="41"/>
        <v/>
      </c>
      <c r="AI207" s="522" t="str">
        <f>IF(AH207="Check Data","Check Data",IFERROR(VLOOKUP(AH207,'G-4 Temporal multipliers'!$A$4:$C$36,3,FALSE),""))</f>
        <v/>
      </c>
      <c r="AJ207" s="498" t="str">
        <f>IF(S207="","",VLOOKUP(S207,'G-3 Multipliers'!$A$2:$E$129,4,FALSE))</f>
        <v/>
      </c>
      <c r="AK207" s="507" t="str">
        <f t="shared" si="42"/>
        <v/>
      </c>
      <c r="AL207" s="507" t="str">
        <f t="shared" si="43"/>
        <v/>
      </c>
      <c r="AM207" s="540" t="str">
        <f>IFERROR(IF(F207="","",IF(AH207="Check Data ⚠","Check Data ⚠",VLOOKUP(AL207, 'G-3 Multipliers'!$P$2:$Q$6,2,FALSE))),"")</f>
        <v/>
      </c>
      <c r="AN207" s="513" t="str">
        <f t="shared" si="35"/>
        <v/>
      </c>
      <c r="AO207" s="239"/>
      <c r="AP207" s="240"/>
    </row>
    <row r="208" spans="1:42" x14ac:dyDescent="0.3">
      <c r="A208" s="47" t="str">
        <f>IF(E208="","",IF(ISNA(VLOOKUP($E208,'A-1 Site Habitat Baseline'!$D$1:$O$258,2,FALSE)),"",(VLOOKUP($E208,'A-1 Site Habitat Baseline'!$D$1:$O$258,2,FALSE))))</f>
        <v/>
      </c>
      <c r="B208" s="47" t="str">
        <f>IF(E208="","",IF(ISNA(VLOOKUP($E208,'A-1 Site Habitat Baseline'!$D$1:$O$258,3,FALSE)),"",(VLOOKUP($E208,'A-1 Site Habitat Baseline'!$D$1:$O$258,3,FALSE))))</f>
        <v/>
      </c>
      <c r="C208" s="47" t="str">
        <f>IFERROR(INDEX('G-8 Condition Look up'!$I$4:$I$130,MATCH(S208,'G-8 Condition Look up'!$A$4:$A$130,0)),"")</f>
        <v/>
      </c>
      <c r="E208" s="531" t="str">
        <f>'A-1 Site Habitat Baseline'!AL207</f>
        <v/>
      </c>
      <c r="F208" s="520" t="str">
        <f>IF(E208="","",IF(ISNA(VLOOKUP($E208,'A-1 Site Habitat Baseline'!$D$1:$O$258,4,FALSE)),"",(VLOOKUP($E208,'A-1 Site Habitat Baseline'!$D$1:$O$258,4,FALSE))))</f>
        <v/>
      </c>
      <c r="G208" s="520" t="str">
        <f>IF(E208="","",IF(ISNA(VLOOKUP($E208,'A-1 Site Habitat Baseline'!$D$1:$O$258,5,FALSE)),"",(VLOOKUP($E208,'A-1 Site Habitat Baseline'!$D$1:$O$258,5,FALSE))))</f>
        <v/>
      </c>
      <c r="H208" s="520" t="str">
        <f>IF(E208="","",IF(ISNA(VLOOKUP($E208,'A-1 Site Habitat Baseline'!$D$1:$O$258,6,FALSE)),"",(VLOOKUP($E208,'A-1 Site Habitat Baseline'!$D$1:$O$258,6,FALSE))))</f>
        <v/>
      </c>
      <c r="I208" s="520" t="str">
        <f>IF(E208="","",IF(ISNA(VLOOKUP($E208,'A-1 Site Habitat Baseline'!$D$1:$O$258,7,FALSE)),"",(VLOOKUP($E208,'A-1 Site Habitat Baseline'!$D$1:$O$258,7,FALSE))))</f>
        <v/>
      </c>
      <c r="J208" s="520" t="str">
        <f>IF(E208="","",IF(ISNA(VLOOKUP($E208,'A-1 Site Habitat Baseline'!$D$1:$O$258,8,FALSE)),"",(VLOOKUP($E208,'A-1 Site Habitat Baseline'!$D$1:$O$258,8,FALSE))))</f>
        <v/>
      </c>
      <c r="K208" s="520" t="str">
        <f>IF(E208="","",IF(ISNA(VLOOKUP($E208,'A-1 Site Habitat Baseline'!$D$1:$O$258,9,FALSE)),"",(VLOOKUP($E208,'A-1 Site Habitat Baseline'!$D$1:$O$258,9,FALSE))))</f>
        <v/>
      </c>
      <c r="L208" s="520" t="str">
        <f>IF(E208="","",IF(ISNA(VLOOKUP($E208,'A-1 Site Habitat Baseline'!$D$1:$O$258,11,FALSE)),"",(VLOOKUP($E208,'A-1 Site Habitat Baseline'!$D$1:$O$258,11,FALSE))))</f>
        <v/>
      </c>
      <c r="M208" s="520" t="str">
        <f>IF(E208="","",IF(ISNA(VLOOKUP($E208,'A-1 Site Habitat Baseline'!$D$1:$O$258,12,FALSE)),"",(VLOOKUP($E208,'A-1 Site Habitat Baseline'!$D$1:$O$258,12,FALSE))))</f>
        <v/>
      </c>
      <c r="N208" s="532" t="str">
        <f>IF(E208="","",IF(ISNA(VLOOKUP($E208,'A-1 Site Habitat Baseline'!$D$1:$X$258,14,FALSE)),"",(VLOOKUP($E208,'A-1 Site Habitat Baseline'!$D$1:$X$258,14,FALSE))))</f>
        <v/>
      </c>
      <c r="O208" s="524" t="str">
        <f>IF(E208="","",IF(ISNA(VLOOKUP($E208,'A-1 Site Habitat Baseline'!$D$1:$X$258,16,FALSE)),"",(VLOOKUP($E208,'A-1 Site Habitat Baseline'!$D$1:$X$258,13,FALSE))))</f>
        <v/>
      </c>
      <c r="P208" s="237" t="str">
        <f>IFERROR(INDEX('G-1 All Habitats'!$AG$3:$AG$15,MATCH(Q208,'G-1 All Habitats'!$AF$3:$AF$15,0)),"")</f>
        <v/>
      </c>
      <c r="Q208" s="238" t="str">
        <f t="shared" si="36"/>
        <v/>
      </c>
      <c r="R208" s="238" t="str">
        <f t="shared" si="37"/>
        <v/>
      </c>
      <c r="S208" s="392" t="str">
        <f>IFERROR(INDEX('G-1 All Habitats'!$B$3:$B$129,MATCH(R208,'G-1 All Habitats'!$A$3:$A$129,0)),"")</f>
        <v/>
      </c>
      <c r="T208" s="498" t="str">
        <f t="shared" si="38"/>
        <v/>
      </c>
      <c r="U208" s="499" t="str">
        <f t="shared" si="39"/>
        <v/>
      </c>
      <c r="V208" s="537" t="str">
        <f t="shared" si="33"/>
        <v/>
      </c>
      <c r="W208" s="520" t="str">
        <f>IF(S208="","",VLOOKUP(S208,'G-1 All Habitats'!$B$2:$M$129,10,FALSE))</f>
        <v/>
      </c>
      <c r="X208" s="520" t="str">
        <f>IFERROR(VLOOKUP(W208,'G-1 All Habitats'!$V$3:$W$7,2,FALSE),"")</f>
        <v/>
      </c>
      <c r="Y208" s="79"/>
      <c r="Z208" s="524" t="str">
        <f>IFERROR(INDEX('G-8 Condition Look up'!$A$3:$H$130,MATCH(S208,'G-8 Condition Look up'!$A$3:$A$130,0),MATCH(Y208,'G-8 Condition Look up'!$A$3:$H$3,0)),"")</f>
        <v/>
      </c>
      <c r="AA208" s="71"/>
      <c r="AB208" s="520" t="str">
        <f>IF(AA208="","",IF(VLOOKUP(AA208,'G-3 Multipliers'!$L$3:$N$6,2,FALSE)=0,"Spatial Data Missing ⚠",VLOOKUP(AA208,'G-3 Multipliers'!$L$3:$N$6,2,FALSE)))</f>
        <v/>
      </c>
      <c r="AC208" s="524" t="str">
        <f>IF(AA208="","",IF(VLOOKUP(AA208,'G-3 Multipliers'!$L$3:$N$6,3,FALSE)=0,"Spatial Data Missing ⚠",VLOOKUP(AA208,'G-3 Multipliers'!$L$3:$N$6,3,FALSE)))</f>
        <v/>
      </c>
      <c r="AD208" s="539" t="str">
        <f t="shared" si="34"/>
        <v/>
      </c>
      <c r="AE208" s="82"/>
      <c r="AF208" s="82"/>
      <c r="AG208" s="507" t="str">
        <f t="shared" si="40"/>
        <v/>
      </c>
      <c r="AH208" s="521" t="str">
        <f t="shared" si="41"/>
        <v/>
      </c>
      <c r="AI208" s="522" t="str">
        <f>IF(AH208="Check Data","Check Data",IFERROR(VLOOKUP(AH208,'G-4 Temporal multipliers'!$A$4:$C$36,3,FALSE),""))</f>
        <v/>
      </c>
      <c r="AJ208" s="498" t="str">
        <f>IF(S208="","",VLOOKUP(S208,'G-3 Multipliers'!$A$2:$E$129,4,FALSE))</f>
        <v/>
      </c>
      <c r="AK208" s="507" t="str">
        <f t="shared" si="42"/>
        <v/>
      </c>
      <c r="AL208" s="507" t="str">
        <f t="shared" si="43"/>
        <v/>
      </c>
      <c r="AM208" s="540" t="str">
        <f>IFERROR(IF(F208="","",IF(AH208="Check Data ⚠","Check Data ⚠",VLOOKUP(AL208, 'G-3 Multipliers'!$P$2:$Q$6,2,FALSE))),"")</f>
        <v/>
      </c>
      <c r="AN208" s="513" t="str">
        <f t="shared" si="35"/>
        <v/>
      </c>
      <c r="AO208" s="239"/>
      <c r="AP208" s="240"/>
    </row>
    <row r="209" spans="1:42" x14ac:dyDescent="0.3">
      <c r="A209" s="47" t="str">
        <f>IF(E209="","",IF(ISNA(VLOOKUP($E209,'A-1 Site Habitat Baseline'!$D$1:$O$258,2,FALSE)),"",(VLOOKUP($E209,'A-1 Site Habitat Baseline'!$D$1:$O$258,2,FALSE))))</f>
        <v/>
      </c>
      <c r="B209" s="47" t="str">
        <f>IF(E209="","",IF(ISNA(VLOOKUP($E209,'A-1 Site Habitat Baseline'!$D$1:$O$258,3,FALSE)),"",(VLOOKUP($E209,'A-1 Site Habitat Baseline'!$D$1:$O$258,3,FALSE))))</f>
        <v/>
      </c>
      <c r="C209" s="47" t="str">
        <f>IFERROR(INDEX('G-8 Condition Look up'!$I$4:$I$130,MATCH(S209,'G-8 Condition Look up'!$A$4:$A$130,0)),"")</f>
        <v/>
      </c>
      <c r="E209" s="531" t="str">
        <f>'A-1 Site Habitat Baseline'!AL208</f>
        <v/>
      </c>
      <c r="F209" s="520" t="str">
        <f>IF(E209="","",IF(ISNA(VLOOKUP($E209,'A-1 Site Habitat Baseline'!$D$1:$O$258,4,FALSE)),"",(VLOOKUP($E209,'A-1 Site Habitat Baseline'!$D$1:$O$258,4,FALSE))))</f>
        <v/>
      </c>
      <c r="G209" s="520" t="str">
        <f>IF(E209="","",IF(ISNA(VLOOKUP($E209,'A-1 Site Habitat Baseline'!$D$1:$O$258,5,FALSE)),"",(VLOOKUP($E209,'A-1 Site Habitat Baseline'!$D$1:$O$258,5,FALSE))))</f>
        <v/>
      </c>
      <c r="H209" s="520" t="str">
        <f>IF(E209="","",IF(ISNA(VLOOKUP($E209,'A-1 Site Habitat Baseline'!$D$1:$O$258,6,FALSE)),"",(VLOOKUP($E209,'A-1 Site Habitat Baseline'!$D$1:$O$258,6,FALSE))))</f>
        <v/>
      </c>
      <c r="I209" s="520" t="str">
        <f>IF(E209="","",IF(ISNA(VLOOKUP($E209,'A-1 Site Habitat Baseline'!$D$1:$O$258,7,FALSE)),"",(VLOOKUP($E209,'A-1 Site Habitat Baseline'!$D$1:$O$258,7,FALSE))))</f>
        <v/>
      </c>
      <c r="J209" s="520" t="str">
        <f>IF(E209="","",IF(ISNA(VLOOKUP($E209,'A-1 Site Habitat Baseline'!$D$1:$O$258,8,FALSE)),"",(VLOOKUP($E209,'A-1 Site Habitat Baseline'!$D$1:$O$258,8,FALSE))))</f>
        <v/>
      </c>
      <c r="K209" s="520" t="str">
        <f>IF(E209="","",IF(ISNA(VLOOKUP($E209,'A-1 Site Habitat Baseline'!$D$1:$O$258,9,FALSE)),"",(VLOOKUP($E209,'A-1 Site Habitat Baseline'!$D$1:$O$258,9,FALSE))))</f>
        <v/>
      </c>
      <c r="L209" s="520" t="str">
        <f>IF(E209="","",IF(ISNA(VLOOKUP($E209,'A-1 Site Habitat Baseline'!$D$1:$O$258,11,FALSE)),"",(VLOOKUP($E209,'A-1 Site Habitat Baseline'!$D$1:$O$258,11,FALSE))))</f>
        <v/>
      </c>
      <c r="M209" s="520" t="str">
        <f>IF(E209="","",IF(ISNA(VLOOKUP($E209,'A-1 Site Habitat Baseline'!$D$1:$O$258,12,FALSE)),"",(VLOOKUP($E209,'A-1 Site Habitat Baseline'!$D$1:$O$258,12,FALSE))))</f>
        <v/>
      </c>
      <c r="N209" s="532" t="str">
        <f>IF(E209="","",IF(ISNA(VLOOKUP($E209,'A-1 Site Habitat Baseline'!$D$1:$X$258,14,FALSE)),"",(VLOOKUP($E209,'A-1 Site Habitat Baseline'!$D$1:$X$258,14,FALSE))))</f>
        <v/>
      </c>
      <c r="O209" s="524" t="str">
        <f>IF(E209="","",IF(ISNA(VLOOKUP($E209,'A-1 Site Habitat Baseline'!$D$1:$X$258,16,FALSE)),"",(VLOOKUP($E209,'A-1 Site Habitat Baseline'!$D$1:$X$258,13,FALSE))))</f>
        <v/>
      </c>
      <c r="P209" s="237" t="str">
        <f>IFERROR(INDEX('G-1 All Habitats'!$AG$3:$AG$15,MATCH(Q209,'G-1 All Habitats'!$AF$3:$AF$15,0)),"")</f>
        <v/>
      </c>
      <c r="Q209" s="238" t="str">
        <f t="shared" si="36"/>
        <v/>
      </c>
      <c r="R209" s="238" t="str">
        <f t="shared" si="37"/>
        <v/>
      </c>
      <c r="S209" s="392" t="str">
        <f>IFERROR(INDEX('G-1 All Habitats'!$B$3:$B$129,MATCH(R209,'G-1 All Habitats'!$A$3:$A$129,0)),"")</f>
        <v/>
      </c>
      <c r="T209" s="498" t="str">
        <f t="shared" si="38"/>
        <v/>
      </c>
      <c r="U209" s="499" t="str">
        <f t="shared" si="39"/>
        <v/>
      </c>
      <c r="V209" s="537" t="str">
        <f t="shared" si="33"/>
        <v/>
      </c>
      <c r="W209" s="520" t="str">
        <f>IF(S209="","",VLOOKUP(S209,'G-1 All Habitats'!$B$2:$M$129,10,FALSE))</f>
        <v/>
      </c>
      <c r="X209" s="520" t="str">
        <f>IFERROR(VLOOKUP(W209,'G-1 All Habitats'!$V$3:$W$7,2,FALSE),"")</f>
        <v/>
      </c>
      <c r="Y209" s="79"/>
      <c r="Z209" s="524" t="str">
        <f>IFERROR(INDEX('G-8 Condition Look up'!$A$3:$H$130,MATCH(S209,'G-8 Condition Look up'!$A$3:$A$130,0),MATCH(Y209,'G-8 Condition Look up'!$A$3:$H$3,0)),"")</f>
        <v/>
      </c>
      <c r="AA209" s="71"/>
      <c r="AB209" s="520" t="str">
        <f>IF(AA209="","",IF(VLOOKUP(AA209,'G-3 Multipliers'!$L$3:$N$6,2,FALSE)=0,"Spatial Data Missing ⚠",VLOOKUP(AA209,'G-3 Multipliers'!$L$3:$N$6,2,FALSE)))</f>
        <v/>
      </c>
      <c r="AC209" s="524" t="str">
        <f>IF(AA209="","",IF(VLOOKUP(AA209,'G-3 Multipliers'!$L$3:$N$6,3,FALSE)=0,"Spatial Data Missing ⚠",VLOOKUP(AA209,'G-3 Multipliers'!$L$3:$N$6,3,FALSE)))</f>
        <v/>
      </c>
      <c r="AD209" s="539" t="str">
        <f t="shared" si="34"/>
        <v/>
      </c>
      <c r="AE209" s="82"/>
      <c r="AF209" s="82"/>
      <c r="AG209" s="507" t="str">
        <f t="shared" si="40"/>
        <v/>
      </c>
      <c r="AH209" s="521" t="str">
        <f t="shared" si="41"/>
        <v/>
      </c>
      <c r="AI209" s="522" t="str">
        <f>IF(AH209="Check Data","Check Data",IFERROR(VLOOKUP(AH209,'G-4 Temporal multipliers'!$A$4:$C$36,3,FALSE),""))</f>
        <v/>
      </c>
      <c r="AJ209" s="498" t="str">
        <f>IF(S209="","",VLOOKUP(S209,'G-3 Multipliers'!$A$2:$E$129,4,FALSE))</f>
        <v/>
      </c>
      <c r="AK209" s="507" t="str">
        <f t="shared" si="42"/>
        <v/>
      </c>
      <c r="AL209" s="507" t="str">
        <f t="shared" si="43"/>
        <v/>
      </c>
      <c r="AM209" s="540" t="str">
        <f>IFERROR(IF(F209="","",IF(AH209="Check Data ⚠","Check Data ⚠",VLOOKUP(AL209, 'G-3 Multipliers'!$P$2:$Q$6,2,FALSE))),"")</f>
        <v/>
      </c>
      <c r="AN209" s="513" t="str">
        <f t="shared" si="35"/>
        <v/>
      </c>
      <c r="AO209" s="239"/>
      <c r="AP209" s="240"/>
    </row>
    <row r="210" spans="1:42" x14ac:dyDescent="0.3">
      <c r="A210" s="47" t="str">
        <f>IF(E210="","",IF(ISNA(VLOOKUP($E210,'A-1 Site Habitat Baseline'!$D$1:$O$258,2,FALSE)),"",(VLOOKUP($E210,'A-1 Site Habitat Baseline'!$D$1:$O$258,2,FALSE))))</f>
        <v/>
      </c>
      <c r="B210" s="47" t="str">
        <f>IF(E210="","",IF(ISNA(VLOOKUP($E210,'A-1 Site Habitat Baseline'!$D$1:$O$258,3,FALSE)),"",(VLOOKUP($E210,'A-1 Site Habitat Baseline'!$D$1:$O$258,3,FALSE))))</f>
        <v/>
      </c>
      <c r="C210" s="47" t="str">
        <f>IFERROR(INDEX('G-8 Condition Look up'!$I$4:$I$130,MATCH(S210,'G-8 Condition Look up'!$A$4:$A$130,0)),"")</f>
        <v/>
      </c>
      <c r="E210" s="531" t="str">
        <f>'A-1 Site Habitat Baseline'!AL209</f>
        <v/>
      </c>
      <c r="F210" s="520" t="str">
        <f>IF(E210="","",IF(ISNA(VLOOKUP($E210,'A-1 Site Habitat Baseline'!$D$1:$O$258,4,FALSE)),"",(VLOOKUP($E210,'A-1 Site Habitat Baseline'!$D$1:$O$258,4,FALSE))))</f>
        <v/>
      </c>
      <c r="G210" s="520" t="str">
        <f>IF(E210="","",IF(ISNA(VLOOKUP($E210,'A-1 Site Habitat Baseline'!$D$1:$O$258,5,FALSE)),"",(VLOOKUP($E210,'A-1 Site Habitat Baseline'!$D$1:$O$258,5,FALSE))))</f>
        <v/>
      </c>
      <c r="H210" s="520" t="str">
        <f>IF(E210="","",IF(ISNA(VLOOKUP($E210,'A-1 Site Habitat Baseline'!$D$1:$O$258,6,FALSE)),"",(VLOOKUP($E210,'A-1 Site Habitat Baseline'!$D$1:$O$258,6,FALSE))))</f>
        <v/>
      </c>
      <c r="I210" s="520" t="str">
        <f>IF(E210="","",IF(ISNA(VLOOKUP($E210,'A-1 Site Habitat Baseline'!$D$1:$O$258,7,FALSE)),"",(VLOOKUP($E210,'A-1 Site Habitat Baseline'!$D$1:$O$258,7,FALSE))))</f>
        <v/>
      </c>
      <c r="J210" s="520" t="str">
        <f>IF(E210="","",IF(ISNA(VLOOKUP($E210,'A-1 Site Habitat Baseline'!$D$1:$O$258,8,FALSE)),"",(VLOOKUP($E210,'A-1 Site Habitat Baseline'!$D$1:$O$258,8,FALSE))))</f>
        <v/>
      </c>
      <c r="K210" s="520" t="str">
        <f>IF(E210="","",IF(ISNA(VLOOKUP($E210,'A-1 Site Habitat Baseline'!$D$1:$O$258,9,FALSE)),"",(VLOOKUP($E210,'A-1 Site Habitat Baseline'!$D$1:$O$258,9,FALSE))))</f>
        <v/>
      </c>
      <c r="L210" s="520" t="str">
        <f>IF(E210="","",IF(ISNA(VLOOKUP($E210,'A-1 Site Habitat Baseline'!$D$1:$O$258,11,FALSE)),"",(VLOOKUP($E210,'A-1 Site Habitat Baseline'!$D$1:$O$258,11,FALSE))))</f>
        <v/>
      </c>
      <c r="M210" s="520" t="str">
        <f>IF(E210="","",IF(ISNA(VLOOKUP($E210,'A-1 Site Habitat Baseline'!$D$1:$O$258,12,FALSE)),"",(VLOOKUP($E210,'A-1 Site Habitat Baseline'!$D$1:$O$258,12,FALSE))))</f>
        <v/>
      </c>
      <c r="N210" s="532" t="str">
        <f>IF(E210="","",IF(ISNA(VLOOKUP($E210,'A-1 Site Habitat Baseline'!$D$1:$X$258,14,FALSE)),"",(VLOOKUP($E210,'A-1 Site Habitat Baseline'!$D$1:$X$258,14,FALSE))))</f>
        <v/>
      </c>
      <c r="O210" s="524" t="str">
        <f>IF(E210="","",IF(ISNA(VLOOKUP($E210,'A-1 Site Habitat Baseline'!$D$1:$X$258,16,FALSE)),"",(VLOOKUP($E210,'A-1 Site Habitat Baseline'!$D$1:$X$258,13,FALSE))))</f>
        <v/>
      </c>
      <c r="P210" s="237" t="str">
        <f>IFERROR(INDEX('G-1 All Habitats'!$AG$3:$AG$15,MATCH(Q210,'G-1 All Habitats'!$AF$3:$AF$15,0)),"")</f>
        <v/>
      </c>
      <c r="Q210" s="238" t="str">
        <f t="shared" si="36"/>
        <v/>
      </c>
      <c r="R210" s="238" t="str">
        <f t="shared" si="37"/>
        <v/>
      </c>
      <c r="S210" s="392" t="str">
        <f>IFERROR(INDEX('G-1 All Habitats'!$B$3:$B$129,MATCH(R210,'G-1 All Habitats'!$A$3:$A$129,0)),"")</f>
        <v/>
      </c>
      <c r="T210" s="498" t="str">
        <f t="shared" si="38"/>
        <v/>
      </c>
      <c r="U210" s="499" t="str">
        <f t="shared" si="39"/>
        <v/>
      </c>
      <c r="V210" s="537" t="str">
        <f t="shared" si="33"/>
        <v/>
      </c>
      <c r="W210" s="520" t="str">
        <f>IF(S210="","",VLOOKUP(S210,'G-1 All Habitats'!$B$2:$M$129,10,FALSE))</f>
        <v/>
      </c>
      <c r="X210" s="520" t="str">
        <f>IFERROR(VLOOKUP(W210,'G-1 All Habitats'!$V$3:$W$7,2,FALSE),"")</f>
        <v/>
      </c>
      <c r="Y210" s="79"/>
      <c r="Z210" s="524" t="str">
        <f>IFERROR(INDEX('G-8 Condition Look up'!$A$3:$H$130,MATCH(S210,'G-8 Condition Look up'!$A$3:$A$130,0),MATCH(Y210,'G-8 Condition Look up'!$A$3:$H$3,0)),"")</f>
        <v/>
      </c>
      <c r="AA210" s="71"/>
      <c r="AB210" s="520" t="str">
        <f>IF(AA210="","",IF(VLOOKUP(AA210,'G-3 Multipliers'!$L$3:$N$6,2,FALSE)=0,"Spatial Data Missing ⚠",VLOOKUP(AA210,'G-3 Multipliers'!$L$3:$N$6,2,FALSE)))</f>
        <v/>
      </c>
      <c r="AC210" s="524" t="str">
        <f>IF(AA210="","",IF(VLOOKUP(AA210,'G-3 Multipliers'!$L$3:$N$6,3,FALSE)=0,"Spatial Data Missing ⚠",VLOOKUP(AA210,'G-3 Multipliers'!$L$3:$N$6,3,FALSE)))</f>
        <v/>
      </c>
      <c r="AD210" s="539" t="str">
        <f t="shared" si="34"/>
        <v/>
      </c>
      <c r="AE210" s="82"/>
      <c r="AF210" s="82"/>
      <c r="AG210" s="507" t="str">
        <f t="shared" si="40"/>
        <v/>
      </c>
      <c r="AH210" s="521" t="str">
        <f t="shared" si="41"/>
        <v/>
      </c>
      <c r="AI210" s="522" t="str">
        <f>IF(AH210="Check Data","Check Data",IFERROR(VLOOKUP(AH210,'G-4 Temporal multipliers'!$A$4:$C$36,3,FALSE),""))</f>
        <v/>
      </c>
      <c r="AJ210" s="498" t="str">
        <f>IF(S210="","",VLOOKUP(S210,'G-3 Multipliers'!$A$2:$E$129,4,FALSE))</f>
        <v/>
      </c>
      <c r="AK210" s="507" t="str">
        <f t="shared" si="42"/>
        <v/>
      </c>
      <c r="AL210" s="507" t="str">
        <f t="shared" si="43"/>
        <v/>
      </c>
      <c r="AM210" s="540" t="str">
        <f>IFERROR(IF(F210="","",IF(AH210="Check Data ⚠","Check Data ⚠",VLOOKUP(AL210, 'G-3 Multipliers'!$P$2:$Q$6,2,FALSE))),"")</f>
        <v/>
      </c>
      <c r="AN210" s="513" t="str">
        <f t="shared" si="35"/>
        <v/>
      </c>
      <c r="AO210" s="239"/>
      <c r="AP210" s="240"/>
    </row>
    <row r="211" spans="1:42" x14ac:dyDescent="0.3">
      <c r="A211" s="47" t="str">
        <f>IF(E211="","",IF(ISNA(VLOOKUP($E211,'A-1 Site Habitat Baseline'!$D$1:$O$258,2,FALSE)),"",(VLOOKUP($E211,'A-1 Site Habitat Baseline'!$D$1:$O$258,2,FALSE))))</f>
        <v/>
      </c>
      <c r="B211" s="47" t="str">
        <f>IF(E211="","",IF(ISNA(VLOOKUP($E211,'A-1 Site Habitat Baseline'!$D$1:$O$258,3,FALSE)),"",(VLOOKUP($E211,'A-1 Site Habitat Baseline'!$D$1:$O$258,3,FALSE))))</f>
        <v/>
      </c>
      <c r="C211" s="47" t="str">
        <f>IFERROR(INDEX('G-8 Condition Look up'!$I$4:$I$130,MATCH(S211,'G-8 Condition Look up'!$A$4:$A$130,0)),"")</f>
        <v/>
      </c>
      <c r="E211" s="531" t="str">
        <f>'A-1 Site Habitat Baseline'!AL210</f>
        <v/>
      </c>
      <c r="F211" s="520" t="str">
        <f>IF(E211="","",IF(ISNA(VLOOKUP($E211,'A-1 Site Habitat Baseline'!$D$1:$O$258,4,FALSE)),"",(VLOOKUP($E211,'A-1 Site Habitat Baseline'!$D$1:$O$258,4,FALSE))))</f>
        <v/>
      </c>
      <c r="G211" s="520" t="str">
        <f>IF(E211="","",IF(ISNA(VLOOKUP($E211,'A-1 Site Habitat Baseline'!$D$1:$O$258,5,FALSE)),"",(VLOOKUP($E211,'A-1 Site Habitat Baseline'!$D$1:$O$258,5,FALSE))))</f>
        <v/>
      </c>
      <c r="H211" s="520" t="str">
        <f>IF(E211="","",IF(ISNA(VLOOKUP($E211,'A-1 Site Habitat Baseline'!$D$1:$O$258,6,FALSE)),"",(VLOOKUP($E211,'A-1 Site Habitat Baseline'!$D$1:$O$258,6,FALSE))))</f>
        <v/>
      </c>
      <c r="I211" s="520" t="str">
        <f>IF(E211="","",IF(ISNA(VLOOKUP($E211,'A-1 Site Habitat Baseline'!$D$1:$O$258,7,FALSE)),"",(VLOOKUP($E211,'A-1 Site Habitat Baseline'!$D$1:$O$258,7,FALSE))))</f>
        <v/>
      </c>
      <c r="J211" s="520" t="str">
        <f>IF(E211="","",IF(ISNA(VLOOKUP($E211,'A-1 Site Habitat Baseline'!$D$1:$O$258,8,FALSE)),"",(VLOOKUP($E211,'A-1 Site Habitat Baseline'!$D$1:$O$258,8,FALSE))))</f>
        <v/>
      </c>
      <c r="K211" s="520" t="str">
        <f>IF(E211="","",IF(ISNA(VLOOKUP($E211,'A-1 Site Habitat Baseline'!$D$1:$O$258,9,FALSE)),"",(VLOOKUP($E211,'A-1 Site Habitat Baseline'!$D$1:$O$258,9,FALSE))))</f>
        <v/>
      </c>
      <c r="L211" s="520" t="str">
        <f>IF(E211="","",IF(ISNA(VLOOKUP($E211,'A-1 Site Habitat Baseline'!$D$1:$O$258,11,FALSE)),"",(VLOOKUP($E211,'A-1 Site Habitat Baseline'!$D$1:$O$258,11,FALSE))))</f>
        <v/>
      </c>
      <c r="M211" s="520" t="str">
        <f>IF(E211="","",IF(ISNA(VLOOKUP($E211,'A-1 Site Habitat Baseline'!$D$1:$O$258,12,FALSE)),"",(VLOOKUP($E211,'A-1 Site Habitat Baseline'!$D$1:$O$258,12,FALSE))))</f>
        <v/>
      </c>
      <c r="N211" s="532" t="str">
        <f>IF(E211="","",IF(ISNA(VLOOKUP($E211,'A-1 Site Habitat Baseline'!$D$1:$X$258,14,FALSE)),"",(VLOOKUP($E211,'A-1 Site Habitat Baseline'!$D$1:$X$258,14,FALSE))))</f>
        <v/>
      </c>
      <c r="O211" s="524" t="str">
        <f>IF(E211="","",IF(ISNA(VLOOKUP($E211,'A-1 Site Habitat Baseline'!$D$1:$X$258,16,FALSE)),"",(VLOOKUP($E211,'A-1 Site Habitat Baseline'!$D$1:$X$258,13,FALSE))))</f>
        <v/>
      </c>
      <c r="P211" s="237" t="str">
        <f>IFERROR(INDEX('G-1 All Habitats'!$AG$3:$AG$15,MATCH(Q211,'G-1 All Habitats'!$AF$3:$AF$15,0)),"")</f>
        <v/>
      </c>
      <c r="Q211" s="238" t="str">
        <f t="shared" si="36"/>
        <v/>
      </c>
      <c r="R211" s="238" t="str">
        <f t="shared" si="37"/>
        <v/>
      </c>
      <c r="S211" s="392" t="str">
        <f>IFERROR(INDEX('G-1 All Habitats'!$B$3:$B$129,MATCH(R211,'G-1 All Habitats'!$A$3:$A$129,0)),"")</f>
        <v/>
      </c>
      <c r="T211" s="498" t="str">
        <f t="shared" si="38"/>
        <v/>
      </c>
      <c r="U211" s="499" t="str">
        <f t="shared" si="39"/>
        <v/>
      </c>
      <c r="V211" s="537" t="str">
        <f t="shared" si="33"/>
        <v/>
      </c>
      <c r="W211" s="520" t="str">
        <f>IF(S211="","",VLOOKUP(S211,'G-1 All Habitats'!$B$2:$M$129,10,FALSE))</f>
        <v/>
      </c>
      <c r="X211" s="520" t="str">
        <f>IFERROR(VLOOKUP(W211,'G-1 All Habitats'!$V$3:$W$7,2,FALSE),"")</f>
        <v/>
      </c>
      <c r="Y211" s="79"/>
      <c r="Z211" s="524" t="str">
        <f>IFERROR(INDEX('G-8 Condition Look up'!$A$3:$H$130,MATCH(S211,'G-8 Condition Look up'!$A$3:$A$130,0),MATCH(Y211,'G-8 Condition Look up'!$A$3:$H$3,0)),"")</f>
        <v/>
      </c>
      <c r="AA211" s="71"/>
      <c r="AB211" s="520" t="str">
        <f>IF(AA211="","",IF(VLOOKUP(AA211,'G-3 Multipliers'!$L$3:$N$6,2,FALSE)=0,"Spatial Data Missing ⚠",VLOOKUP(AA211,'G-3 Multipliers'!$L$3:$N$6,2,FALSE)))</f>
        <v/>
      </c>
      <c r="AC211" s="524" t="str">
        <f>IF(AA211="","",IF(VLOOKUP(AA211,'G-3 Multipliers'!$L$3:$N$6,3,FALSE)=0,"Spatial Data Missing ⚠",VLOOKUP(AA211,'G-3 Multipliers'!$L$3:$N$6,3,FALSE)))</f>
        <v/>
      </c>
      <c r="AD211" s="539" t="str">
        <f t="shared" si="34"/>
        <v/>
      </c>
      <c r="AE211" s="82"/>
      <c r="AF211" s="82"/>
      <c r="AG211" s="507" t="str">
        <f t="shared" si="40"/>
        <v/>
      </c>
      <c r="AH211" s="521" t="str">
        <f t="shared" si="41"/>
        <v/>
      </c>
      <c r="AI211" s="522" t="str">
        <f>IF(AH211="Check Data","Check Data",IFERROR(VLOOKUP(AH211,'G-4 Temporal multipliers'!$A$4:$C$36,3,FALSE),""))</f>
        <v/>
      </c>
      <c r="AJ211" s="498" t="str">
        <f>IF(S211="","",VLOOKUP(S211,'G-3 Multipliers'!$A$2:$E$129,4,FALSE))</f>
        <v/>
      </c>
      <c r="AK211" s="507" t="str">
        <f t="shared" si="42"/>
        <v/>
      </c>
      <c r="AL211" s="507" t="str">
        <f t="shared" si="43"/>
        <v/>
      </c>
      <c r="AM211" s="540" t="str">
        <f>IFERROR(IF(F211="","",IF(AH211="Check Data ⚠","Check Data ⚠",VLOOKUP(AL211, 'G-3 Multipliers'!$P$2:$Q$6,2,FALSE))),"")</f>
        <v/>
      </c>
      <c r="AN211" s="513" t="str">
        <f t="shared" si="35"/>
        <v/>
      </c>
      <c r="AO211" s="239"/>
      <c r="AP211" s="240"/>
    </row>
    <row r="212" spans="1:42" x14ac:dyDescent="0.3">
      <c r="A212" s="47" t="str">
        <f>IF(E212="","",IF(ISNA(VLOOKUP($E212,'A-1 Site Habitat Baseline'!$D$1:$O$258,2,FALSE)),"",(VLOOKUP($E212,'A-1 Site Habitat Baseline'!$D$1:$O$258,2,FALSE))))</f>
        <v/>
      </c>
      <c r="B212" s="47" t="str">
        <f>IF(E212="","",IF(ISNA(VLOOKUP($E212,'A-1 Site Habitat Baseline'!$D$1:$O$258,3,FALSE)),"",(VLOOKUP($E212,'A-1 Site Habitat Baseline'!$D$1:$O$258,3,FALSE))))</f>
        <v/>
      </c>
      <c r="C212" s="47" t="str">
        <f>IFERROR(INDEX('G-8 Condition Look up'!$I$4:$I$130,MATCH(S212,'G-8 Condition Look up'!$A$4:$A$130,0)),"")</f>
        <v/>
      </c>
      <c r="E212" s="531" t="str">
        <f>'A-1 Site Habitat Baseline'!AL211</f>
        <v/>
      </c>
      <c r="F212" s="520" t="str">
        <f>IF(E212="","",IF(ISNA(VLOOKUP($E212,'A-1 Site Habitat Baseline'!$D$1:$O$258,4,FALSE)),"",(VLOOKUP($E212,'A-1 Site Habitat Baseline'!$D$1:$O$258,4,FALSE))))</f>
        <v/>
      </c>
      <c r="G212" s="520" t="str">
        <f>IF(E212="","",IF(ISNA(VLOOKUP($E212,'A-1 Site Habitat Baseline'!$D$1:$O$258,5,FALSE)),"",(VLOOKUP($E212,'A-1 Site Habitat Baseline'!$D$1:$O$258,5,FALSE))))</f>
        <v/>
      </c>
      <c r="H212" s="520" t="str">
        <f>IF(E212="","",IF(ISNA(VLOOKUP($E212,'A-1 Site Habitat Baseline'!$D$1:$O$258,6,FALSE)),"",(VLOOKUP($E212,'A-1 Site Habitat Baseline'!$D$1:$O$258,6,FALSE))))</f>
        <v/>
      </c>
      <c r="I212" s="520" t="str">
        <f>IF(E212="","",IF(ISNA(VLOOKUP($E212,'A-1 Site Habitat Baseline'!$D$1:$O$258,7,FALSE)),"",(VLOOKUP($E212,'A-1 Site Habitat Baseline'!$D$1:$O$258,7,FALSE))))</f>
        <v/>
      </c>
      <c r="J212" s="520" t="str">
        <f>IF(E212="","",IF(ISNA(VLOOKUP($E212,'A-1 Site Habitat Baseline'!$D$1:$O$258,8,FALSE)),"",(VLOOKUP($E212,'A-1 Site Habitat Baseline'!$D$1:$O$258,8,FALSE))))</f>
        <v/>
      </c>
      <c r="K212" s="520" t="str">
        <f>IF(E212="","",IF(ISNA(VLOOKUP($E212,'A-1 Site Habitat Baseline'!$D$1:$O$258,9,FALSE)),"",(VLOOKUP($E212,'A-1 Site Habitat Baseline'!$D$1:$O$258,9,FALSE))))</f>
        <v/>
      </c>
      <c r="L212" s="520" t="str">
        <f>IF(E212="","",IF(ISNA(VLOOKUP($E212,'A-1 Site Habitat Baseline'!$D$1:$O$258,11,FALSE)),"",(VLOOKUP($E212,'A-1 Site Habitat Baseline'!$D$1:$O$258,11,FALSE))))</f>
        <v/>
      </c>
      <c r="M212" s="520" t="str">
        <f>IF(E212="","",IF(ISNA(VLOOKUP($E212,'A-1 Site Habitat Baseline'!$D$1:$O$258,12,FALSE)),"",(VLOOKUP($E212,'A-1 Site Habitat Baseline'!$D$1:$O$258,12,FALSE))))</f>
        <v/>
      </c>
      <c r="N212" s="532" t="str">
        <f>IF(E212="","",IF(ISNA(VLOOKUP($E212,'A-1 Site Habitat Baseline'!$D$1:$X$258,14,FALSE)),"",(VLOOKUP($E212,'A-1 Site Habitat Baseline'!$D$1:$X$258,14,FALSE))))</f>
        <v/>
      </c>
      <c r="O212" s="524" t="str">
        <f>IF(E212="","",IF(ISNA(VLOOKUP($E212,'A-1 Site Habitat Baseline'!$D$1:$X$258,16,FALSE)),"",(VLOOKUP($E212,'A-1 Site Habitat Baseline'!$D$1:$X$258,13,FALSE))))</f>
        <v/>
      </c>
      <c r="P212" s="237" t="str">
        <f>IFERROR(INDEX('G-1 All Habitats'!$AG$3:$AG$15,MATCH(Q212,'G-1 All Habitats'!$AF$3:$AF$15,0)),"")</f>
        <v/>
      </c>
      <c r="Q212" s="238" t="str">
        <f t="shared" si="36"/>
        <v/>
      </c>
      <c r="R212" s="238" t="str">
        <f t="shared" si="37"/>
        <v/>
      </c>
      <c r="S212" s="392" t="str">
        <f>IFERROR(INDEX('G-1 All Habitats'!$B$3:$B$129,MATCH(R212,'G-1 All Habitats'!$A$3:$A$129,0)),"")</f>
        <v/>
      </c>
      <c r="T212" s="498" t="str">
        <f t="shared" si="38"/>
        <v/>
      </c>
      <c r="U212" s="499" t="str">
        <f t="shared" si="39"/>
        <v/>
      </c>
      <c r="V212" s="537" t="str">
        <f t="shared" si="33"/>
        <v/>
      </c>
      <c r="W212" s="520" t="str">
        <f>IF(S212="","",VLOOKUP(S212,'G-1 All Habitats'!$B$2:$M$129,10,FALSE))</f>
        <v/>
      </c>
      <c r="X212" s="520" t="str">
        <f>IFERROR(VLOOKUP(W212,'G-1 All Habitats'!$V$3:$W$7,2,FALSE),"")</f>
        <v/>
      </c>
      <c r="Y212" s="79"/>
      <c r="Z212" s="524" t="str">
        <f>IFERROR(INDEX('G-8 Condition Look up'!$A$3:$H$130,MATCH(S212,'G-8 Condition Look up'!$A$3:$A$130,0),MATCH(Y212,'G-8 Condition Look up'!$A$3:$H$3,0)),"")</f>
        <v/>
      </c>
      <c r="AA212" s="71"/>
      <c r="AB212" s="520" t="str">
        <f>IF(AA212="","",IF(VLOOKUP(AA212,'G-3 Multipliers'!$L$3:$N$6,2,FALSE)=0,"Spatial Data Missing ⚠",VLOOKUP(AA212,'G-3 Multipliers'!$L$3:$N$6,2,FALSE)))</f>
        <v/>
      </c>
      <c r="AC212" s="524" t="str">
        <f>IF(AA212="","",IF(VLOOKUP(AA212,'G-3 Multipliers'!$L$3:$N$6,3,FALSE)=0,"Spatial Data Missing ⚠",VLOOKUP(AA212,'G-3 Multipliers'!$L$3:$N$6,3,FALSE)))</f>
        <v/>
      </c>
      <c r="AD212" s="539" t="str">
        <f t="shared" si="34"/>
        <v/>
      </c>
      <c r="AE212" s="82"/>
      <c r="AF212" s="82"/>
      <c r="AG212" s="507" t="str">
        <f t="shared" si="40"/>
        <v/>
      </c>
      <c r="AH212" s="521" t="str">
        <f t="shared" si="41"/>
        <v/>
      </c>
      <c r="AI212" s="522" t="str">
        <f>IF(AH212="Check Data","Check Data",IFERROR(VLOOKUP(AH212,'G-4 Temporal multipliers'!$A$4:$C$36,3,FALSE),""))</f>
        <v/>
      </c>
      <c r="AJ212" s="498" t="str">
        <f>IF(S212="","",VLOOKUP(S212,'G-3 Multipliers'!$A$2:$E$129,4,FALSE))</f>
        <v/>
      </c>
      <c r="AK212" s="507" t="str">
        <f t="shared" si="42"/>
        <v/>
      </c>
      <c r="AL212" s="507" t="str">
        <f t="shared" si="43"/>
        <v/>
      </c>
      <c r="AM212" s="540" t="str">
        <f>IFERROR(IF(F212="","",IF(AH212="Check Data ⚠","Check Data ⚠",VLOOKUP(AL212, 'G-3 Multipliers'!$P$2:$Q$6,2,FALSE))),"")</f>
        <v/>
      </c>
      <c r="AN212" s="513" t="str">
        <f t="shared" si="35"/>
        <v/>
      </c>
      <c r="AO212" s="239"/>
      <c r="AP212" s="240"/>
    </row>
    <row r="213" spans="1:42" x14ac:dyDescent="0.3">
      <c r="A213" s="47" t="str">
        <f>IF(E213="","",IF(ISNA(VLOOKUP($E213,'A-1 Site Habitat Baseline'!$D$1:$O$258,2,FALSE)),"",(VLOOKUP($E213,'A-1 Site Habitat Baseline'!$D$1:$O$258,2,FALSE))))</f>
        <v/>
      </c>
      <c r="B213" s="47" t="str">
        <f>IF(E213="","",IF(ISNA(VLOOKUP($E213,'A-1 Site Habitat Baseline'!$D$1:$O$258,3,FALSE)),"",(VLOOKUP($E213,'A-1 Site Habitat Baseline'!$D$1:$O$258,3,FALSE))))</f>
        <v/>
      </c>
      <c r="C213" s="47" t="str">
        <f>IFERROR(INDEX('G-8 Condition Look up'!$I$4:$I$130,MATCH(S213,'G-8 Condition Look up'!$A$4:$A$130,0)),"")</f>
        <v/>
      </c>
      <c r="E213" s="531" t="str">
        <f>'A-1 Site Habitat Baseline'!AL212</f>
        <v/>
      </c>
      <c r="F213" s="520" t="str">
        <f>IF(E213="","",IF(ISNA(VLOOKUP($E213,'A-1 Site Habitat Baseline'!$D$1:$O$258,4,FALSE)),"",(VLOOKUP($E213,'A-1 Site Habitat Baseline'!$D$1:$O$258,4,FALSE))))</f>
        <v/>
      </c>
      <c r="G213" s="520" t="str">
        <f>IF(E213="","",IF(ISNA(VLOOKUP($E213,'A-1 Site Habitat Baseline'!$D$1:$O$258,5,FALSE)),"",(VLOOKUP($E213,'A-1 Site Habitat Baseline'!$D$1:$O$258,5,FALSE))))</f>
        <v/>
      </c>
      <c r="H213" s="520" t="str">
        <f>IF(E213="","",IF(ISNA(VLOOKUP($E213,'A-1 Site Habitat Baseline'!$D$1:$O$258,6,FALSE)),"",(VLOOKUP($E213,'A-1 Site Habitat Baseline'!$D$1:$O$258,6,FALSE))))</f>
        <v/>
      </c>
      <c r="I213" s="520" t="str">
        <f>IF(E213="","",IF(ISNA(VLOOKUP($E213,'A-1 Site Habitat Baseline'!$D$1:$O$258,7,FALSE)),"",(VLOOKUP($E213,'A-1 Site Habitat Baseline'!$D$1:$O$258,7,FALSE))))</f>
        <v/>
      </c>
      <c r="J213" s="520" t="str">
        <f>IF(E213="","",IF(ISNA(VLOOKUP($E213,'A-1 Site Habitat Baseline'!$D$1:$O$258,8,FALSE)),"",(VLOOKUP($E213,'A-1 Site Habitat Baseline'!$D$1:$O$258,8,FALSE))))</f>
        <v/>
      </c>
      <c r="K213" s="520" t="str">
        <f>IF(E213="","",IF(ISNA(VLOOKUP($E213,'A-1 Site Habitat Baseline'!$D$1:$O$258,9,FALSE)),"",(VLOOKUP($E213,'A-1 Site Habitat Baseline'!$D$1:$O$258,9,FALSE))))</f>
        <v/>
      </c>
      <c r="L213" s="520" t="str">
        <f>IF(E213="","",IF(ISNA(VLOOKUP($E213,'A-1 Site Habitat Baseline'!$D$1:$O$258,11,FALSE)),"",(VLOOKUP($E213,'A-1 Site Habitat Baseline'!$D$1:$O$258,11,FALSE))))</f>
        <v/>
      </c>
      <c r="M213" s="520" t="str">
        <f>IF(E213="","",IF(ISNA(VLOOKUP($E213,'A-1 Site Habitat Baseline'!$D$1:$O$258,12,FALSE)),"",(VLOOKUP($E213,'A-1 Site Habitat Baseline'!$D$1:$O$258,12,FALSE))))</f>
        <v/>
      </c>
      <c r="N213" s="532" t="str">
        <f>IF(E213="","",IF(ISNA(VLOOKUP($E213,'A-1 Site Habitat Baseline'!$D$1:$X$258,14,FALSE)),"",(VLOOKUP($E213,'A-1 Site Habitat Baseline'!$D$1:$X$258,14,FALSE))))</f>
        <v/>
      </c>
      <c r="O213" s="524" t="str">
        <f>IF(E213="","",IF(ISNA(VLOOKUP($E213,'A-1 Site Habitat Baseline'!$D$1:$X$258,16,FALSE)),"",(VLOOKUP($E213,'A-1 Site Habitat Baseline'!$D$1:$X$258,13,FALSE))))</f>
        <v/>
      </c>
      <c r="P213" s="237" t="str">
        <f>IFERROR(INDEX('G-1 All Habitats'!$AG$3:$AG$15,MATCH(Q213,'G-1 All Habitats'!$AF$3:$AF$15,0)),"")</f>
        <v/>
      </c>
      <c r="Q213" s="238" t="str">
        <f t="shared" si="36"/>
        <v/>
      </c>
      <c r="R213" s="238" t="str">
        <f t="shared" si="37"/>
        <v/>
      </c>
      <c r="S213" s="392" t="str">
        <f>IFERROR(INDEX('G-1 All Habitats'!$B$3:$B$129,MATCH(R213,'G-1 All Habitats'!$A$3:$A$129,0)),"")</f>
        <v/>
      </c>
      <c r="T213" s="498" t="str">
        <f t="shared" si="38"/>
        <v/>
      </c>
      <c r="U213" s="499" t="str">
        <f t="shared" si="39"/>
        <v/>
      </c>
      <c r="V213" s="537" t="str">
        <f t="shared" si="33"/>
        <v/>
      </c>
      <c r="W213" s="520" t="str">
        <f>IF(S213="","",VLOOKUP(S213,'G-1 All Habitats'!$B$2:$M$129,10,FALSE))</f>
        <v/>
      </c>
      <c r="X213" s="520" t="str">
        <f>IFERROR(VLOOKUP(W213,'G-1 All Habitats'!$V$3:$W$7,2,FALSE),"")</f>
        <v/>
      </c>
      <c r="Y213" s="79"/>
      <c r="Z213" s="524" t="str">
        <f>IFERROR(INDEX('G-8 Condition Look up'!$A$3:$H$130,MATCH(S213,'G-8 Condition Look up'!$A$3:$A$130,0),MATCH(Y213,'G-8 Condition Look up'!$A$3:$H$3,0)),"")</f>
        <v/>
      </c>
      <c r="AA213" s="71"/>
      <c r="AB213" s="520" t="str">
        <f>IF(AA213="","",IF(VLOOKUP(AA213,'G-3 Multipliers'!$L$3:$N$6,2,FALSE)=0,"Spatial Data Missing ⚠",VLOOKUP(AA213,'G-3 Multipliers'!$L$3:$N$6,2,FALSE)))</f>
        <v/>
      </c>
      <c r="AC213" s="524" t="str">
        <f>IF(AA213="","",IF(VLOOKUP(AA213,'G-3 Multipliers'!$L$3:$N$6,3,FALSE)=0,"Spatial Data Missing ⚠",VLOOKUP(AA213,'G-3 Multipliers'!$L$3:$N$6,3,FALSE)))</f>
        <v/>
      </c>
      <c r="AD213" s="539" t="str">
        <f t="shared" si="34"/>
        <v/>
      </c>
      <c r="AE213" s="82"/>
      <c r="AF213" s="82"/>
      <c r="AG213" s="507" t="str">
        <f t="shared" si="40"/>
        <v/>
      </c>
      <c r="AH213" s="521" t="str">
        <f t="shared" si="41"/>
        <v/>
      </c>
      <c r="AI213" s="522" t="str">
        <f>IF(AH213="Check Data","Check Data",IFERROR(VLOOKUP(AH213,'G-4 Temporal multipliers'!$A$4:$C$36,3,FALSE),""))</f>
        <v/>
      </c>
      <c r="AJ213" s="498" t="str">
        <f>IF(S213="","",VLOOKUP(S213,'G-3 Multipliers'!$A$2:$E$129,4,FALSE))</f>
        <v/>
      </c>
      <c r="AK213" s="507" t="str">
        <f t="shared" si="42"/>
        <v/>
      </c>
      <c r="AL213" s="507" t="str">
        <f t="shared" si="43"/>
        <v/>
      </c>
      <c r="AM213" s="540" t="str">
        <f>IFERROR(IF(F213="","",IF(AH213="Check Data ⚠","Check Data ⚠",VLOOKUP(AL213, 'G-3 Multipliers'!$P$2:$Q$6,2,FALSE))),"")</f>
        <v/>
      </c>
      <c r="AN213" s="513" t="str">
        <f t="shared" si="35"/>
        <v/>
      </c>
      <c r="AO213" s="239"/>
      <c r="AP213" s="240"/>
    </row>
    <row r="214" spans="1:42" x14ac:dyDescent="0.3">
      <c r="A214" s="47" t="str">
        <f>IF(E214="","",IF(ISNA(VLOOKUP($E214,'A-1 Site Habitat Baseline'!$D$1:$O$258,2,FALSE)),"",(VLOOKUP($E214,'A-1 Site Habitat Baseline'!$D$1:$O$258,2,FALSE))))</f>
        <v/>
      </c>
      <c r="B214" s="47" t="str">
        <f>IF(E214="","",IF(ISNA(VLOOKUP($E214,'A-1 Site Habitat Baseline'!$D$1:$O$258,3,FALSE)),"",(VLOOKUP($E214,'A-1 Site Habitat Baseline'!$D$1:$O$258,3,FALSE))))</f>
        <v/>
      </c>
      <c r="C214" s="47" t="str">
        <f>IFERROR(INDEX('G-8 Condition Look up'!$I$4:$I$130,MATCH(S214,'G-8 Condition Look up'!$A$4:$A$130,0)),"")</f>
        <v/>
      </c>
      <c r="E214" s="531" t="str">
        <f>'A-1 Site Habitat Baseline'!AL213</f>
        <v/>
      </c>
      <c r="F214" s="520" t="str">
        <f>IF(E214="","",IF(ISNA(VLOOKUP($E214,'A-1 Site Habitat Baseline'!$D$1:$O$258,4,FALSE)),"",(VLOOKUP($E214,'A-1 Site Habitat Baseline'!$D$1:$O$258,4,FALSE))))</f>
        <v/>
      </c>
      <c r="G214" s="520" t="str">
        <f>IF(E214="","",IF(ISNA(VLOOKUP($E214,'A-1 Site Habitat Baseline'!$D$1:$O$258,5,FALSE)),"",(VLOOKUP($E214,'A-1 Site Habitat Baseline'!$D$1:$O$258,5,FALSE))))</f>
        <v/>
      </c>
      <c r="H214" s="520" t="str">
        <f>IF(E214="","",IF(ISNA(VLOOKUP($E214,'A-1 Site Habitat Baseline'!$D$1:$O$258,6,FALSE)),"",(VLOOKUP($E214,'A-1 Site Habitat Baseline'!$D$1:$O$258,6,FALSE))))</f>
        <v/>
      </c>
      <c r="I214" s="520" t="str">
        <f>IF(E214="","",IF(ISNA(VLOOKUP($E214,'A-1 Site Habitat Baseline'!$D$1:$O$258,7,FALSE)),"",(VLOOKUP($E214,'A-1 Site Habitat Baseline'!$D$1:$O$258,7,FALSE))))</f>
        <v/>
      </c>
      <c r="J214" s="520" t="str">
        <f>IF(E214="","",IF(ISNA(VLOOKUP($E214,'A-1 Site Habitat Baseline'!$D$1:$O$258,8,FALSE)),"",(VLOOKUP($E214,'A-1 Site Habitat Baseline'!$D$1:$O$258,8,FALSE))))</f>
        <v/>
      </c>
      <c r="K214" s="520" t="str">
        <f>IF(E214="","",IF(ISNA(VLOOKUP($E214,'A-1 Site Habitat Baseline'!$D$1:$O$258,9,FALSE)),"",(VLOOKUP($E214,'A-1 Site Habitat Baseline'!$D$1:$O$258,9,FALSE))))</f>
        <v/>
      </c>
      <c r="L214" s="520" t="str">
        <f>IF(E214="","",IF(ISNA(VLOOKUP($E214,'A-1 Site Habitat Baseline'!$D$1:$O$258,11,FALSE)),"",(VLOOKUP($E214,'A-1 Site Habitat Baseline'!$D$1:$O$258,11,FALSE))))</f>
        <v/>
      </c>
      <c r="M214" s="520" t="str">
        <f>IF(E214="","",IF(ISNA(VLOOKUP($E214,'A-1 Site Habitat Baseline'!$D$1:$O$258,12,FALSE)),"",(VLOOKUP($E214,'A-1 Site Habitat Baseline'!$D$1:$O$258,12,FALSE))))</f>
        <v/>
      </c>
      <c r="N214" s="532" t="str">
        <f>IF(E214="","",IF(ISNA(VLOOKUP($E214,'A-1 Site Habitat Baseline'!$D$1:$X$258,14,FALSE)),"",(VLOOKUP($E214,'A-1 Site Habitat Baseline'!$D$1:$X$258,14,FALSE))))</f>
        <v/>
      </c>
      <c r="O214" s="524" t="str">
        <f>IF(E214="","",IF(ISNA(VLOOKUP($E214,'A-1 Site Habitat Baseline'!$D$1:$X$258,16,FALSE)),"",(VLOOKUP($E214,'A-1 Site Habitat Baseline'!$D$1:$X$258,13,FALSE))))</f>
        <v/>
      </c>
      <c r="P214" s="237" t="str">
        <f>IFERROR(INDEX('G-1 All Habitats'!$AG$3:$AG$15,MATCH(Q214,'G-1 All Habitats'!$AF$3:$AF$15,0)),"")</f>
        <v/>
      </c>
      <c r="Q214" s="238" t="str">
        <f t="shared" si="36"/>
        <v/>
      </c>
      <c r="R214" s="238" t="str">
        <f t="shared" si="37"/>
        <v/>
      </c>
      <c r="S214" s="392" t="str">
        <f>IFERROR(INDEX('G-1 All Habitats'!$B$3:$B$129,MATCH(R214,'G-1 All Habitats'!$A$3:$A$129,0)),"")</f>
        <v/>
      </c>
      <c r="T214" s="498" t="str">
        <f t="shared" si="38"/>
        <v/>
      </c>
      <c r="U214" s="499" t="str">
        <f t="shared" si="39"/>
        <v/>
      </c>
      <c r="V214" s="537" t="str">
        <f t="shared" si="33"/>
        <v/>
      </c>
      <c r="W214" s="520" t="str">
        <f>IF(S214="","",VLOOKUP(S214,'G-1 All Habitats'!$B$2:$M$129,10,FALSE))</f>
        <v/>
      </c>
      <c r="X214" s="520" t="str">
        <f>IFERROR(VLOOKUP(W214,'G-1 All Habitats'!$V$3:$W$7,2,FALSE),"")</f>
        <v/>
      </c>
      <c r="Y214" s="79"/>
      <c r="Z214" s="524" t="str">
        <f>IFERROR(INDEX('G-8 Condition Look up'!$A$3:$H$130,MATCH(S214,'G-8 Condition Look up'!$A$3:$A$130,0),MATCH(Y214,'G-8 Condition Look up'!$A$3:$H$3,0)),"")</f>
        <v/>
      </c>
      <c r="AA214" s="71"/>
      <c r="AB214" s="520" t="str">
        <f>IF(AA214="","",IF(VLOOKUP(AA214,'G-3 Multipliers'!$L$3:$N$6,2,FALSE)=0,"Spatial Data Missing ⚠",VLOOKUP(AA214,'G-3 Multipliers'!$L$3:$N$6,2,FALSE)))</f>
        <v/>
      </c>
      <c r="AC214" s="524" t="str">
        <f>IF(AA214="","",IF(VLOOKUP(AA214,'G-3 Multipliers'!$L$3:$N$6,3,FALSE)=0,"Spatial Data Missing ⚠",VLOOKUP(AA214,'G-3 Multipliers'!$L$3:$N$6,3,FALSE)))</f>
        <v/>
      </c>
      <c r="AD214" s="539" t="str">
        <f t="shared" si="34"/>
        <v/>
      </c>
      <c r="AE214" s="82"/>
      <c r="AF214" s="82"/>
      <c r="AG214" s="507" t="str">
        <f t="shared" si="40"/>
        <v/>
      </c>
      <c r="AH214" s="521" t="str">
        <f t="shared" si="41"/>
        <v/>
      </c>
      <c r="AI214" s="522" t="str">
        <f>IF(AH214="Check Data","Check Data",IFERROR(VLOOKUP(AH214,'G-4 Temporal multipliers'!$A$4:$C$36,3,FALSE),""))</f>
        <v/>
      </c>
      <c r="AJ214" s="498" t="str">
        <f>IF(S214="","",VLOOKUP(S214,'G-3 Multipliers'!$A$2:$E$129,4,FALSE))</f>
        <v/>
      </c>
      <c r="AK214" s="507" t="str">
        <f t="shared" si="42"/>
        <v/>
      </c>
      <c r="AL214" s="507" t="str">
        <f t="shared" si="43"/>
        <v/>
      </c>
      <c r="AM214" s="540" t="str">
        <f>IFERROR(IF(F214="","",IF(AH214="Check Data ⚠","Check Data ⚠",VLOOKUP(AL214, 'G-3 Multipliers'!$P$2:$Q$6,2,FALSE))),"")</f>
        <v/>
      </c>
      <c r="AN214" s="513" t="str">
        <f t="shared" si="35"/>
        <v/>
      </c>
      <c r="AO214" s="239"/>
      <c r="AP214" s="240"/>
    </row>
    <row r="215" spans="1:42" x14ac:dyDescent="0.3">
      <c r="A215" s="47" t="str">
        <f>IF(E215="","",IF(ISNA(VLOOKUP($E215,'A-1 Site Habitat Baseline'!$D$1:$O$258,2,FALSE)),"",(VLOOKUP($E215,'A-1 Site Habitat Baseline'!$D$1:$O$258,2,FALSE))))</f>
        <v/>
      </c>
      <c r="B215" s="47" t="str">
        <f>IF(E215="","",IF(ISNA(VLOOKUP($E215,'A-1 Site Habitat Baseline'!$D$1:$O$258,3,FALSE)),"",(VLOOKUP($E215,'A-1 Site Habitat Baseline'!$D$1:$O$258,3,FALSE))))</f>
        <v/>
      </c>
      <c r="C215" s="47" t="str">
        <f>IFERROR(INDEX('G-8 Condition Look up'!$I$4:$I$130,MATCH(S215,'G-8 Condition Look up'!$A$4:$A$130,0)),"")</f>
        <v/>
      </c>
      <c r="E215" s="531" t="str">
        <f>'A-1 Site Habitat Baseline'!AL214</f>
        <v/>
      </c>
      <c r="F215" s="520" t="str">
        <f>IF(E215="","",IF(ISNA(VLOOKUP($E215,'A-1 Site Habitat Baseline'!$D$1:$O$258,4,FALSE)),"",(VLOOKUP($E215,'A-1 Site Habitat Baseline'!$D$1:$O$258,4,FALSE))))</f>
        <v/>
      </c>
      <c r="G215" s="520" t="str">
        <f>IF(E215="","",IF(ISNA(VLOOKUP($E215,'A-1 Site Habitat Baseline'!$D$1:$O$258,5,FALSE)),"",(VLOOKUP($E215,'A-1 Site Habitat Baseline'!$D$1:$O$258,5,FALSE))))</f>
        <v/>
      </c>
      <c r="H215" s="520" t="str">
        <f>IF(E215="","",IF(ISNA(VLOOKUP($E215,'A-1 Site Habitat Baseline'!$D$1:$O$258,6,FALSE)),"",(VLOOKUP($E215,'A-1 Site Habitat Baseline'!$D$1:$O$258,6,FALSE))))</f>
        <v/>
      </c>
      <c r="I215" s="520" t="str">
        <f>IF(E215="","",IF(ISNA(VLOOKUP($E215,'A-1 Site Habitat Baseline'!$D$1:$O$258,7,FALSE)),"",(VLOOKUP($E215,'A-1 Site Habitat Baseline'!$D$1:$O$258,7,FALSE))))</f>
        <v/>
      </c>
      <c r="J215" s="520" t="str">
        <f>IF(E215="","",IF(ISNA(VLOOKUP($E215,'A-1 Site Habitat Baseline'!$D$1:$O$258,8,FALSE)),"",(VLOOKUP($E215,'A-1 Site Habitat Baseline'!$D$1:$O$258,8,FALSE))))</f>
        <v/>
      </c>
      <c r="K215" s="520" t="str">
        <f>IF(E215="","",IF(ISNA(VLOOKUP($E215,'A-1 Site Habitat Baseline'!$D$1:$O$258,9,FALSE)),"",(VLOOKUP($E215,'A-1 Site Habitat Baseline'!$D$1:$O$258,9,FALSE))))</f>
        <v/>
      </c>
      <c r="L215" s="520" t="str">
        <f>IF(E215="","",IF(ISNA(VLOOKUP($E215,'A-1 Site Habitat Baseline'!$D$1:$O$258,11,FALSE)),"",(VLOOKUP($E215,'A-1 Site Habitat Baseline'!$D$1:$O$258,11,FALSE))))</f>
        <v/>
      </c>
      <c r="M215" s="520" t="str">
        <f>IF(E215="","",IF(ISNA(VLOOKUP($E215,'A-1 Site Habitat Baseline'!$D$1:$O$258,12,FALSE)),"",(VLOOKUP($E215,'A-1 Site Habitat Baseline'!$D$1:$O$258,12,FALSE))))</f>
        <v/>
      </c>
      <c r="N215" s="532" t="str">
        <f>IF(E215="","",IF(ISNA(VLOOKUP($E215,'A-1 Site Habitat Baseline'!$D$1:$X$258,14,FALSE)),"",(VLOOKUP($E215,'A-1 Site Habitat Baseline'!$D$1:$X$258,14,FALSE))))</f>
        <v/>
      </c>
      <c r="O215" s="524" t="str">
        <f>IF(E215="","",IF(ISNA(VLOOKUP($E215,'A-1 Site Habitat Baseline'!$D$1:$X$258,16,FALSE)),"",(VLOOKUP($E215,'A-1 Site Habitat Baseline'!$D$1:$X$258,13,FALSE))))</f>
        <v/>
      </c>
      <c r="P215" s="237" t="str">
        <f>IFERROR(INDEX('G-1 All Habitats'!$AG$3:$AG$15,MATCH(Q215,'G-1 All Habitats'!$AF$3:$AF$15,0)),"")</f>
        <v/>
      </c>
      <c r="Q215" s="238" t="str">
        <f t="shared" si="36"/>
        <v/>
      </c>
      <c r="R215" s="238" t="str">
        <f t="shared" si="37"/>
        <v/>
      </c>
      <c r="S215" s="392" t="str">
        <f>IFERROR(INDEX('G-1 All Habitats'!$B$3:$B$129,MATCH(R215,'G-1 All Habitats'!$A$3:$A$129,0)),"")</f>
        <v/>
      </c>
      <c r="T215" s="498" t="str">
        <f t="shared" si="38"/>
        <v/>
      </c>
      <c r="U215" s="499" t="str">
        <f t="shared" si="39"/>
        <v/>
      </c>
      <c r="V215" s="537" t="str">
        <f t="shared" si="33"/>
        <v/>
      </c>
      <c r="W215" s="520" t="str">
        <f>IF(S215="","",VLOOKUP(S215,'G-1 All Habitats'!$B$2:$M$129,10,FALSE))</f>
        <v/>
      </c>
      <c r="X215" s="520" t="str">
        <f>IFERROR(VLOOKUP(W215,'G-1 All Habitats'!$V$3:$W$7,2,FALSE),"")</f>
        <v/>
      </c>
      <c r="Y215" s="79"/>
      <c r="Z215" s="524" t="str">
        <f>IFERROR(INDEX('G-8 Condition Look up'!$A$3:$H$130,MATCH(S215,'G-8 Condition Look up'!$A$3:$A$130,0),MATCH(Y215,'G-8 Condition Look up'!$A$3:$H$3,0)),"")</f>
        <v/>
      </c>
      <c r="AA215" s="71"/>
      <c r="AB215" s="520" t="str">
        <f>IF(AA215="","",IF(VLOOKUP(AA215,'G-3 Multipliers'!$L$3:$N$6,2,FALSE)=0,"Spatial Data Missing ⚠",VLOOKUP(AA215,'G-3 Multipliers'!$L$3:$N$6,2,FALSE)))</f>
        <v/>
      </c>
      <c r="AC215" s="524" t="str">
        <f>IF(AA215="","",IF(VLOOKUP(AA215,'G-3 Multipliers'!$L$3:$N$6,3,FALSE)=0,"Spatial Data Missing ⚠",VLOOKUP(AA215,'G-3 Multipliers'!$L$3:$N$6,3,FALSE)))</f>
        <v/>
      </c>
      <c r="AD215" s="539" t="str">
        <f t="shared" si="34"/>
        <v/>
      </c>
      <c r="AE215" s="82"/>
      <c r="AF215" s="82"/>
      <c r="AG215" s="507" t="str">
        <f t="shared" si="40"/>
        <v/>
      </c>
      <c r="AH215" s="521" t="str">
        <f t="shared" si="41"/>
        <v/>
      </c>
      <c r="AI215" s="522" t="str">
        <f>IF(AH215="Check Data","Check Data",IFERROR(VLOOKUP(AH215,'G-4 Temporal multipliers'!$A$4:$C$36,3,FALSE),""))</f>
        <v/>
      </c>
      <c r="AJ215" s="498" t="str">
        <f>IF(S215="","",VLOOKUP(S215,'G-3 Multipliers'!$A$2:$E$129,4,FALSE))</f>
        <v/>
      </c>
      <c r="AK215" s="507" t="str">
        <f t="shared" si="42"/>
        <v/>
      </c>
      <c r="AL215" s="507" t="str">
        <f t="shared" si="43"/>
        <v/>
      </c>
      <c r="AM215" s="540" t="str">
        <f>IFERROR(IF(F215="","",IF(AH215="Check Data ⚠","Check Data ⚠",VLOOKUP(AL215, 'G-3 Multipliers'!$P$2:$Q$6,2,FALSE))),"")</f>
        <v/>
      </c>
      <c r="AN215" s="513" t="str">
        <f t="shared" si="35"/>
        <v/>
      </c>
      <c r="AO215" s="239"/>
      <c r="AP215" s="240"/>
    </row>
    <row r="216" spans="1:42" x14ac:dyDescent="0.3">
      <c r="A216" s="47" t="str">
        <f>IF(E216="","",IF(ISNA(VLOOKUP($E216,'A-1 Site Habitat Baseline'!$D$1:$O$258,2,FALSE)),"",(VLOOKUP($E216,'A-1 Site Habitat Baseline'!$D$1:$O$258,2,FALSE))))</f>
        <v/>
      </c>
      <c r="B216" s="47" t="str">
        <f>IF(E216="","",IF(ISNA(VLOOKUP($E216,'A-1 Site Habitat Baseline'!$D$1:$O$258,3,FALSE)),"",(VLOOKUP($E216,'A-1 Site Habitat Baseline'!$D$1:$O$258,3,FALSE))))</f>
        <v/>
      </c>
      <c r="C216" s="47" t="str">
        <f>IFERROR(INDEX('G-8 Condition Look up'!$I$4:$I$130,MATCH(S216,'G-8 Condition Look up'!$A$4:$A$130,0)),"")</f>
        <v/>
      </c>
      <c r="E216" s="531" t="str">
        <f>'A-1 Site Habitat Baseline'!AL215</f>
        <v/>
      </c>
      <c r="F216" s="520" t="str">
        <f>IF(E216="","",IF(ISNA(VLOOKUP($E216,'A-1 Site Habitat Baseline'!$D$1:$O$258,4,FALSE)),"",(VLOOKUP($E216,'A-1 Site Habitat Baseline'!$D$1:$O$258,4,FALSE))))</f>
        <v/>
      </c>
      <c r="G216" s="520" t="str">
        <f>IF(E216="","",IF(ISNA(VLOOKUP($E216,'A-1 Site Habitat Baseline'!$D$1:$O$258,5,FALSE)),"",(VLOOKUP($E216,'A-1 Site Habitat Baseline'!$D$1:$O$258,5,FALSE))))</f>
        <v/>
      </c>
      <c r="H216" s="520" t="str">
        <f>IF(E216="","",IF(ISNA(VLOOKUP($E216,'A-1 Site Habitat Baseline'!$D$1:$O$258,6,FALSE)),"",(VLOOKUP($E216,'A-1 Site Habitat Baseline'!$D$1:$O$258,6,FALSE))))</f>
        <v/>
      </c>
      <c r="I216" s="520" t="str">
        <f>IF(E216="","",IF(ISNA(VLOOKUP($E216,'A-1 Site Habitat Baseline'!$D$1:$O$258,7,FALSE)),"",(VLOOKUP($E216,'A-1 Site Habitat Baseline'!$D$1:$O$258,7,FALSE))))</f>
        <v/>
      </c>
      <c r="J216" s="520" t="str">
        <f>IF(E216="","",IF(ISNA(VLOOKUP($E216,'A-1 Site Habitat Baseline'!$D$1:$O$258,8,FALSE)),"",(VLOOKUP($E216,'A-1 Site Habitat Baseline'!$D$1:$O$258,8,FALSE))))</f>
        <v/>
      </c>
      <c r="K216" s="520" t="str">
        <f>IF(E216="","",IF(ISNA(VLOOKUP($E216,'A-1 Site Habitat Baseline'!$D$1:$O$258,9,FALSE)),"",(VLOOKUP($E216,'A-1 Site Habitat Baseline'!$D$1:$O$258,9,FALSE))))</f>
        <v/>
      </c>
      <c r="L216" s="520" t="str">
        <f>IF(E216="","",IF(ISNA(VLOOKUP($E216,'A-1 Site Habitat Baseline'!$D$1:$O$258,11,FALSE)),"",(VLOOKUP($E216,'A-1 Site Habitat Baseline'!$D$1:$O$258,11,FALSE))))</f>
        <v/>
      </c>
      <c r="M216" s="520" t="str">
        <f>IF(E216="","",IF(ISNA(VLOOKUP($E216,'A-1 Site Habitat Baseline'!$D$1:$O$258,12,FALSE)),"",(VLOOKUP($E216,'A-1 Site Habitat Baseline'!$D$1:$O$258,12,FALSE))))</f>
        <v/>
      </c>
      <c r="N216" s="532" t="str">
        <f>IF(E216="","",IF(ISNA(VLOOKUP($E216,'A-1 Site Habitat Baseline'!$D$1:$X$258,14,FALSE)),"",(VLOOKUP($E216,'A-1 Site Habitat Baseline'!$D$1:$X$258,14,FALSE))))</f>
        <v/>
      </c>
      <c r="O216" s="524" t="str">
        <f>IF(E216="","",IF(ISNA(VLOOKUP($E216,'A-1 Site Habitat Baseline'!$D$1:$X$258,16,FALSE)),"",(VLOOKUP($E216,'A-1 Site Habitat Baseline'!$D$1:$X$258,13,FALSE))))</f>
        <v/>
      </c>
      <c r="P216" s="237" t="str">
        <f>IFERROR(INDEX('G-1 All Habitats'!$AG$3:$AG$15,MATCH(Q216,'G-1 All Habitats'!$AF$3:$AF$15,0)),"")</f>
        <v/>
      </c>
      <c r="Q216" s="238" t="str">
        <f t="shared" si="36"/>
        <v/>
      </c>
      <c r="R216" s="238" t="str">
        <f t="shared" si="37"/>
        <v/>
      </c>
      <c r="S216" s="392" t="str">
        <f>IFERROR(INDEX('G-1 All Habitats'!$B$3:$B$129,MATCH(R216,'G-1 All Habitats'!$A$3:$A$129,0)),"")</f>
        <v/>
      </c>
      <c r="T216" s="498" t="str">
        <f t="shared" si="38"/>
        <v/>
      </c>
      <c r="U216" s="499" t="str">
        <f t="shared" si="39"/>
        <v/>
      </c>
      <c r="V216" s="537" t="str">
        <f t="shared" si="33"/>
        <v/>
      </c>
      <c r="W216" s="520" t="str">
        <f>IF(S216="","",VLOOKUP(S216,'G-1 All Habitats'!$B$2:$M$129,10,FALSE))</f>
        <v/>
      </c>
      <c r="X216" s="520" t="str">
        <f>IFERROR(VLOOKUP(W216,'G-1 All Habitats'!$V$3:$W$7,2,FALSE),"")</f>
        <v/>
      </c>
      <c r="Y216" s="79"/>
      <c r="Z216" s="524" t="str">
        <f>IFERROR(INDEX('G-8 Condition Look up'!$A$3:$H$130,MATCH(S216,'G-8 Condition Look up'!$A$3:$A$130,0),MATCH(Y216,'G-8 Condition Look up'!$A$3:$H$3,0)),"")</f>
        <v/>
      </c>
      <c r="AA216" s="71"/>
      <c r="AB216" s="520" t="str">
        <f>IF(AA216="","",IF(VLOOKUP(AA216,'G-3 Multipliers'!$L$3:$N$6,2,FALSE)=0,"Spatial Data Missing ⚠",VLOOKUP(AA216,'G-3 Multipliers'!$L$3:$N$6,2,FALSE)))</f>
        <v/>
      </c>
      <c r="AC216" s="524" t="str">
        <f>IF(AA216="","",IF(VLOOKUP(AA216,'G-3 Multipliers'!$L$3:$N$6,3,FALSE)=0,"Spatial Data Missing ⚠",VLOOKUP(AA216,'G-3 Multipliers'!$L$3:$N$6,3,FALSE)))</f>
        <v/>
      </c>
      <c r="AD216" s="539" t="str">
        <f t="shared" si="34"/>
        <v/>
      </c>
      <c r="AE216" s="82"/>
      <c r="AF216" s="82"/>
      <c r="AG216" s="507" t="str">
        <f t="shared" si="40"/>
        <v/>
      </c>
      <c r="AH216" s="521" t="str">
        <f t="shared" si="41"/>
        <v/>
      </c>
      <c r="AI216" s="522" t="str">
        <f>IF(AH216="Check Data","Check Data",IFERROR(VLOOKUP(AH216,'G-4 Temporal multipliers'!$A$4:$C$36,3,FALSE),""))</f>
        <v/>
      </c>
      <c r="AJ216" s="498" t="str">
        <f>IF(S216="","",VLOOKUP(S216,'G-3 Multipliers'!$A$2:$E$129,4,FALSE))</f>
        <v/>
      </c>
      <c r="AK216" s="507" t="str">
        <f t="shared" si="42"/>
        <v/>
      </c>
      <c r="AL216" s="507" t="str">
        <f t="shared" si="43"/>
        <v/>
      </c>
      <c r="AM216" s="540" t="str">
        <f>IFERROR(IF(F216="","",IF(AH216="Check Data ⚠","Check Data ⚠",VLOOKUP(AL216, 'G-3 Multipliers'!$P$2:$Q$6,2,FALSE))),"")</f>
        <v/>
      </c>
      <c r="AN216" s="513" t="str">
        <f t="shared" si="35"/>
        <v/>
      </c>
      <c r="AO216" s="239"/>
      <c r="AP216" s="240"/>
    </row>
    <row r="217" spans="1:42" x14ac:dyDescent="0.3">
      <c r="A217" s="47" t="str">
        <f>IF(E217="","",IF(ISNA(VLOOKUP($E217,'A-1 Site Habitat Baseline'!$D$1:$O$258,2,FALSE)),"",(VLOOKUP($E217,'A-1 Site Habitat Baseline'!$D$1:$O$258,2,FALSE))))</f>
        <v/>
      </c>
      <c r="B217" s="47" t="str">
        <f>IF(E217="","",IF(ISNA(VLOOKUP($E217,'A-1 Site Habitat Baseline'!$D$1:$O$258,3,FALSE)),"",(VLOOKUP($E217,'A-1 Site Habitat Baseline'!$D$1:$O$258,3,FALSE))))</f>
        <v/>
      </c>
      <c r="C217" s="47" t="str">
        <f>IFERROR(INDEX('G-8 Condition Look up'!$I$4:$I$130,MATCH(S217,'G-8 Condition Look up'!$A$4:$A$130,0)),"")</f>
        <v/>
      </c>
      <c r="E217" s="531" t="str">
        <f>'A-1 Site Habitat Baseline'!AL216</f>
        <v/>
      </c>
      <c r="F217" s="520" t="str">
        <f>IF(E217="","",IF(ISNA(VLOOKUP($E217,'A-1 Site Habitat Baseline'!$D$1:$O$258,4,FALSE)),"",(VLOOKUP($E217,'A-1 Site Habitat Baseline'!$D$1:$O$258,4,FALSE))))</f>
        <v/>
      </c>
      <c r="G217" s="520" t="str">
        <f>IF(E217="","",IF(ISNA(VLOOKUP($E217,'A-1 Site Habitat Baseline'!$D$1:$O$258,5,FALSE)),"",(VLOOKUP($E217,'A-1 Site Habitat Baseline'!$D$1:$O$258,5,FALSE))))</f>
        <v/>
      </c>
      <c r="H217" s="520" t="str">
        <f>IF(E217="","",IF(ISNA(VLOOKUP($E217,'A-1 Site Habitat Baseline'!$D$1:$O$258,6,FALSE)),"",(VLOOKUP($E217,'A-1 Site Habitat Baseline'!$D$1:$O$258,6,FALSE))))</f>
        <v/>
      </c>
      <c r="I217" s="520" t="str">
        <f>IF(E217="","",IF(ISNA(VLOOKUP($E217,'A-1 Site Habitat Baseline'!$D$1:$O$258,7,FALSE)),"",(VLOOKUP($E217,'A-1 Site Habitat Baseline'!$D$1:$O$258,7,FALSE))))</f>
        <v/>
      </c>
      <c r="J217" s="520" t="str">
        <f>IF(E217="","",IF(ISNA(VLOOKUP($E217,'A-1 Site Habitat Baseline'!$D$1:$O$258,8,FALSE)),"",(VLOOKUP($E217,'A-1 Site Habitat Baseline'!$D$1:$O$258,8,FALSE))))</f>
        <v/>
      </c>
      <c r="K217" s="520" t="str">
        <f>IF(E217="","",IF(ISNA(VLOOKUP($E217,'A-1 Site Habitat Baseline'!$D$1:$O$258,9,FALSE)),"",(VLOOKUP($E217,'A-1 Site Habitat Baseline'!$D$1:$O$258,9,FALSE))))</f>
        <v/>
      </c>
      <c r="L217" s="520" t="str">
        <f>IF(E217="","",IF(ISNA(VLOOKUP($E217,'A-1 Site Habitat Baseline'!$D$1:$O$258,11,FALSE)),"",(VLOOKUP($E217,'A-1 Site Habitat Baseline'!$D$1:$O$258,11,FALSE))))</f>
        <v/>
      </c>
      <c r="M217" s="520" t="str">
        <f>IF(E217="","",IF(ISNA(VLOOKUP($E217,'A-1 Site Habitat Baseline'!$D$1:$O$258,12,FALSE)),"",(VLOOKUP($E217,'A-1 Site Habitat Baseline'!$D$1:$O$258,12,FALSE))))</f>
        <v/>
      </c>
      <c r="N217" s="532" t="str">
        <f>IF(E217="","",IF(ISNA(VLOOKUP($E217,'A-1 Site Habitat Baseline'!$D$1:$X$258,14,FALSE)),"",(VLOOKUP($E217,'A-1 Site Habitat Baseline'!$D$1:$X$258,14,FALSE))))</f>
        <v/>
      </c>
      <c r="O217" s="524" t="str">
        <f>IF(E217="","",IF(ISNA(VLOOKUP($E217,'A-1 Site Habitat Baseline'!$D$1:$X$258,16,FALSE)),"",(VLOOKUP($E217,'A-1 Site Habitat Baseline'!$D$1:$X$258,13,FALSE))))</f>
        <v/>
      </c>
      <c r="P217" s="237" t="str">
        <f>IFERROR(INDEX('G-1 All Habitats'!$AG$3:$AG$15,MATCH(Q217,'G-1 All Habitats'!$AF$3:$AF$15,0)),"")</f>
        <v/>
      </c>
      <c r="Q217" s="238" t="str">
        <f t="shared" si="36"/>
        <v/>
      </c>
      <c r="R217" s="238" t="str">
        <f t="shared" si="37"/>
        <v/>
      </c>
      <c r="S217" s="392" t="str">
        <f>IFERROR(INDEX('G-1 All Habitats'!$B$3:$B$129,MATCH(R217,'G-1 All Habitats'!$A$3:$A$129,0)),"")</f>
        <v/>
      </c>
      <c r="T217" s="498" t="str">
        <f t="shared" si="38"/>
        <v/>
      </c>
      <c r="U217" s="499" t="str">
        <f t="shared" si="39"/>
        <v/>
      </c>
      <c r="V217" s="537" t="str">
        <f t="shared" si="33"/>
        <v/>
      </c>
      <c r="W217" s="520" t="str">
        <f>IF(S217="","",VLOOKUP(S217,'G-1 All Habitats'!$B$2:$M$129,10,FALSE))</f>
        <v/>
      </c>
      <c r="X217" s="520" t="str">
        <f>IFERROR(VLOOKUP(W217,'G-1 All Habitats'!$V$3:$W$7,2,FALSE),"")</f>
        <v/>
      </c>
      <c r="Y217" s="79"/>
      <c r="Z217" s="524" t="str">
        <f>IFERROR(INDEX('G-8 Condition Look up'!$A$3:$H$130,MATCH(S217,'G-8 Condition Look up'!$A$3:$A$130,0),MATCH(Y217,'G-8 Condition Look up'!$A$3:$H$3,0)),"")</f>
        <v/>
      </c>
      <c r="AA217" s="71"/>
      <c r="AB217" s="520" t="str">
        <f>IF(AA217="","",IF(VLOOKUP(AA217,'G-3 Multipliers'!$L$3:$N$6,2,FALSE)=0,"Spatial Data Missing ⚠",VLOOKUP(AA217,'G-3 Multipliers'!$L$3:$N$6,2,FALSE)))</f>
        <v/>
      </c>
      <c r="AC217" s="524" t="str">
        <f>IF(AA217="","",IF(VLOOKUP(AA217,'G-3 Multipliers'!$L$3:$N$6,3,FALSE)=0,"Spatial Data Missing ⚠",VLOOKUP(AA217,'G-3 Multipliers'!$L$3:$N$6,3,FALSE)))</f>
        <v/>
      </c>
      <c r="AD217" s="539" t="str">
        <f t="shared" si="34"/>
        <v/>
      </c>
      <c r="AE217" s="82"/>
      <c r="AF217" s="82"/>
      <c r="AG217" s="507" t="str">
        <f t="shared" si="40"/>
        <v/>
      </c>
      <c r="AH217" s="521" t="str">
        <f t="shared" si="41"/>
        <v/>
      </c>
      <c r="AI217" s="522" t="str">
        <f>IF(AH217="Check Data","Check Data",IFERROR(VLOOKUP(AH217,'G-4 Temporal multipliers'!$A$4:$C$36,3,FALSE),""))</f>
        <v/>
      </c>
      <c r="AJ217" s="498" t="str">
        <f>IF(S217="","",VLOOKUP(S217,'G-3 Multipliers'!$A$2:$E$129,4,FALSE))</f>
        <v/>
      </c>
      <c r="AK217" s="507" t="str">
        <f t="shared" si="42"/>
        <v/>
      </c>
      <c r="AL217" s="507" t="str">
        <f t="shared" si="43"/>
        <v/>
      </c>
      <c r="AM217" s="540" t="str">
        <f>IFERROR(IF(F217="","",IF(AH217="Check Data ⚠","Check Data ⚠",VLOOKUP(AL217, 'G-3 Multipliers'!$P$2:$Q$6,2,FALSE))),"")</f>
        <v/>
      </c>
      <c r="AN217" s="513" t="str">
        <f t="shared" si="35"/>
        <v/>
      </c>
      <c r="AO217" s="239"/>
      <c r="AP217" s="240"/>
    </row>
    <row r="218" spans="1:42" x14ac:dyDescent="0.3">
      <c r="A218" s="47" t="str">
        <f>IF(E218="","",IF(ISNA(VLOOKUP($E218,'A-1 Site Habitat Baseline'!$D$1:$O$258,2,FALSE)),"",(VLOOKUP($E218,'A-1 Site Habitat Baseline'!$D$1:$O$258,2,FALSE))))</f>
        <v/>
      </c>
      <c r="B218" s="47" t="str">
        <f>IF(E218="","",IF(ISNA(VLOOKUP($E218,'A-1 Site Habitat Baseline'!$D$1:$O$258,3,FALSE)),"",(VLOOKUP($E218,'A-1 Site Habitat Baseline'!$D$1:$O$258,3,FALSE))))</f>
        <v/>
      </c>
      <c r="C218" s="47" t="str">
        <f>IFERROR(INDEX('G-8 Condition Look up'!$I$4:$I$130,MATCH(S218,'G-8 Condition Look up'!$A$4:$A$130,0)),"")</f>
        <v/>
      </c>
      <c r="E218" s="531" t="str">
        <f>'A-1 Site Habitat Baseline'!AL217</f>
        <v/>
      </c>
      <c r="F218" s="520" t="str">
        <f>IF(E218="","",IF(ISNA(VLOOKUP($E218,'A-1 Site Habitat Baseline'!$D$1:$O$258,4,FALSE)),"",(VLOOKUP($E218,'A-1 Site Habitat Baseline'!$D$1:$O$258,4,FALSE))))</f>
        <v/>
      </c>
      <c r="G218" s="520" t="str">
        <f>IF(E218="","",IF(ISNA(VLOOKUP($E218,'A-1 Site Habitat Baseline'!$D$1:$O$258,5,FALSE)),"",(VLOOKUP($E218,'A-1 Site Habitat Baseline'!$D$1:$O$258,5,FALSE))))</f>
        <v/>
      </c>
      <c r="H218" s="520" t="str">
        <f>IF(E218="","",IF(ISNA(VLOOKUP($E218,'A-1 Site Habitat Baseline'!$D$1:$O$258,6,FALSE)),"",(VLOOKUP($E218,'A-1 Site Habitat Baseline'!$D$1:$O$258,6,FALSE))))</f>
        <v/>
      </c>
      <c r="I218" s="520" t="str">
        <f>IF(E218="","",IF(ISNA(VLOOKUP($E218,'A-1 Site Habitat Baseline'!$D$1:$O$258,7,FALSE)),"",(VLOOKUP($E218,'A-1 Site Habitat Baseline'!$D$1:$O$258,7,FALSE))))</f>
        <v/>
      </c>
      <c r="J218" s="520" t="str">
        <f>IF(E218="","",IF(ISNA(VLOOKUP($E218,'A-1 Site Habitat Baseline'!$D$1:$O$258,8,FALSE)),"",(VLOOKUP($E218,'A-1 Site Habitat Baseline'!$D$1:$O$258,8,FALSE))))</f>
        <v/>
      </c>
      <c r="K218" s="520" t="str">
        <f>IF(E218="","",IF(ISNA(VLOOKUP($E218,'A-1 Site Habitat Baseline'!$D$1:$O$258,9,FALSE)),"",(VLOOKUP($E218,'A-1 Site Habitat Baseline'!$D$1:$O$258,9,FALSE))))</f>
        <v/>
      </c>
      <c r="L218" s="520" t="str">
        <f>IF(E218="","",IF(ISNA(VLOOKUP($E218,'A-1 Site Habitat Baseline'!$D$1:$O$258,11,FALSE)),"",(VLOOKUP($E218,'A-1 Site Habitat Baseline'!$D$1:$O$258,11,FALSE))))</f>
        <v/>
      </c>
      <c r="M218" s="520" t="str">
        <f>IF(E218="","",IF(ISNA(VLOOKUP($E218,'A-1 Site Habitat Baseline'!$D$1:$O$258,12,FALSE)),"",(VLOOKUP($E218,'A-1 Site Habitat Baseline'!$D$1:$O$258,12,FALSE))))</f>
        <v/>
      </c>
      <c r="N218" s="532" t="str">
        <f>IF(E218="","",IF(ISNA(VLOOKUP($E218,'A-1 Site Habitat Baseline'!$D$1:$X$258,14,FALSE)),"",(VLOOKUP($E218,'A-1 Site Habitat Baseline'!$D$1:$X$258,14,FALSE))))</f>
        <v/>
      </c>
      <c r="O218" s="524" t="str">
        <f>IF(E218="","",IF(ISNA(VLOOKUP($E218,'A-1 Site Habitat Baseline'!$D$1:$X$258,16,FALSE)),"",(VLOOKUP($E218,'A-1 Site Habitat Baseline'!$D$1:$X$258,13,FALSE))))</f>
        <v/>
      </c>
      <c r="P218" s="237" t="str">
        <f>IFERROR(INDEX('G-1 All Habitats'!$AG$3:$AG$15,MATCH(Q218,'G-1 All Habitats'!$AF$3:$AF$15,0)),"")</f>
        <v/>
      </c>
      <c r="Q218" s="238" t="str">
        <f t="shared" si="36"/>
        <v/>
      </c>
      <c r="R218" s="238" t="str">
        <f t="shared" si="37"/>
        <v/>
      </c>
      <c r="S218" s="392" t="str">
        <f>IFERROR(INDEX('G-1 All Habitats'!$B$3:$B$129,MATCH(R218,'G-1 All Habitats'!$A$3:$A$129,0)),"")</f>
        <v/>
      </c>
      <c r="T218" s="498" t="str">
        <f t="shared" si="38"/>
        <v/>
      </c>
      <c r="U218" s="499" t="str">
        <f t="shared" si="39"/>
        <v/>
      </c>
      <c r="V218" s="537" t="str">
        <f t="shared" si="33"/>
        <v/>
      </c>
      <c r="W218" s="520" t="str">
        <f>IF(S218="","",VLOOKUP(S218,'G-1 All Habitats'!$B$2:$M$129,10,FALSE))</f>
        <v/>
      </c>
      <c r="X218" s="520" t="str">
        <f>IFERROR(VLOOKUP(W218,'G-1 All Habitats'!$V$3:$W$7,2,FALSE),"")</f>
        <v/>
      </c>
      <c r="Y218" s="79"/>
      <c r="Z218" s="524" t="str">
        <f>IFERROR(INDEX('G-8 Condition Look up'!$A$3:$H$130,MATCH(S218,'G-8 Condition Look up'!$A$3:$A$130,0),MATCH(Y218,'G-8 Condition Look up'!$A$3:$H$3,0)),"")</f>
        <v/>
      </c>
      <c r="AA218" s="71"/>
      <c r="AB218" s="520" t="str">
        <f>IF(AA218="","",IF(VLOOKUP(AA218,'G-3 Multipliers'!$L$3:$N$6,2,FALSE)=0,"Spatial Data Missing ⚠",VLOOKUP(AA218,'G-3 Multipliers'!$L$3:$N$6,2,FALSE)))</f>
        <v/>
      </c>
      <c r="AC218" s="524" t="str">
        <f>IF(AA218="","",IF(VLOOKUP(AA218,'G-3 Multipliers'!$L$3:$N$6,3,FALSE)=0,"Spatial Data Missing ⚠",VLOOKUP(AA218,'G-3 Multipliers'!$L$3:$N$6,3,FALSE)))</f>
        <v/>
      </c>
      <c r="AD218" s="539" t="str">
        <f t="shared" si="34"/>
        <v/>
      </c>
      <c r="AE218" s="82"/>
      <c r="AF218" s="82"/>
      <c r="AG218" s="507" t="str">
        <f t="shared" si="40"/>
        <v/>
      </c>
      <c r="AH218" s="521" t="str">
        <f t="shared" si="41"/>
        <v/>
      </c>
      <c r="AI218" s="522" t="str">
        <f>IF(AH218="Check Data","Check Data",IFERROR(VLOOKUP(AH218,'G-4 Temporal multipliers'!$A$4:$C$36,3,FALSE),""))</f>
        <v/>
      </c>
      <c r="AJ218" s="498" t="str">
        <f>IF(S218="","",VLOOKUP(S218,'G-3 Multipliers'!$A$2:$E$129,4,FALSE))</f>
        <v/>
      </c>
      <c r="AK218" s="507" t="str">
        <f t="shared" si="42"/>
        <v/>
      </c>
      <c r="AL218" s="507" t="str">
        <f t="shared" si="43"/>
        <v/>
      </c>
      <c r="AM218" s="540" t="str">
        <f>IFERROR(IF(F218="","",IF(AH218="Check Data ⚠","Check Data ⚠",VLOOKUP(AL218, 'G-3 Multipliers'!$P$2:$Q$6,2,FALSE))),"")</f>
        <v/>
      </c>
      <c r="AN218" s="513" t="str">
        <f t="shared" si="35"/>
        <v/>
      </c>
      <c r="AO218" s="239"/>
      <c r="AP218" s="240"/>
    </row>
    <row r="219" spans="1:42" x14ac:dyDescent="0.3">
      <c r="A219" s="47" t="str">
        <f>IF(E219="","",IF(ISNA(VLOOKUP($E219,'A-1 Site Habitat Baseline'!$D$1:$O$258,2,FALSE)),"",(VLOOKUP($E219,'A-1 Site Habitat Baseline'!$D$1:$O$258,2,FALSE))))</f>
        <v/>
      </c>
      <c r="B219" s="47" t="str">
        <f>IF(E219="","",IF(ISNA(VLOOKUP($E219,'A-1 Site Habitat Baseline'!$D$1:$O$258,3,FALSE)),"",(VLOOKUP($E219,'A-1 Site Habitat Baseline'!$D$1:$O$258,3,FALSE))))</f>
        <v/>
      </c>
      <c r="C219" s="47" t="str">
        <f>IFERROR(INDEX('G-8 Condition Look up'!$I$4:$I$130,MATCH(S219,'G-8 Condition Look up'!$A$4:$A$130,0)),"")</f>
        <v/>
      </c>
      <c r="E219" s="531" t="str">
        <f>'A-1 Site Habitat Baseline'!AL218</f>
        <v/>
      </c>
      <c r="F219" s="520" t="str">
        <f>IF(E219="","",IF(ISNA(VLOOKUP($E219,'A-1 Site Habitat Baseline'!$D$1:$O$258,4,FALSE)),"",(VLOOKUP($E219,'A-1 Site Habitat Baseline'!$D$1:$O$258,4,FALSE))))</f>
        <v/>
      </c>
      <c r="G219" s="520" t="str">
        <f>IF(E219="","",IF(ISNA(VLOOKUP($E219,'A-1 Site Habitat Baseline'!$D$1:$O$258,5,FALSE)),"",(VLOOKUP($E219,'A-1 Site Habitat Baseline'!$D$1:$O$258,5,FALSE))))</f>
        <v/>
      </c>
      <c r="H219" s="520" t="str">
        <f>IF(E219="","",IF(ISNA(VLOOKUP($E219,'A-1 Site Habitat Baseline'!$D$1:$O$258,6,FALSE)),"",(VLOOKUP($E219,'A-1 Site Habitat Baseline'!$D$1:$O$258,6,FALSE))))</f>
        <v/>
      </c>
      <c r="I219" s="520" t="str">
        <f>IF(E219="","",IF(ISNA(VLOOKUP($E219,'A-1 Site Habitat Baseline'!$D$1:$O$258,7,FALSE)),"",(VLOOKUP($E219,'A-1 Site Habitat Baseline'!$D$1:$O$258,7,FALSE))))</f>
        <v/>
      </c>
      <c r="J219" s="520" t="str">
        <f>IF(E219="","",IF(ISNA(VLOOKUP($E219,'A-1 Site Habitat Baseline'!$D$1:$O$258,8,FALSE)),"",(VLOOKUP($E219,'A-1 Site Habitat Baseline'!$D$1:$O$258,8,FALSE))))</f>
        <v/>
      </c>
      <c r="K219" s="520" t="str">
        <f>IF(E219="","",IF(ISNA(VLOOKUP($E219,'A-1 Site Habitat Baseline'!$D$1:$O$258,9,FALSE)),"",(VLOOKUP($E219,'A-1 Site Habitat Baseline'!$D$1:$O$258,9,FALSE))))</f>
        <v/>
      </c>
      <c r="L219" s="520" t="str">
        <f>IF(E219="","",IF(ISNA(VLOOKUP($E219,'A-1 Site Habitat Baseline'!$D$1:$O$258,11,FALSE)),"",(VLOOKUP($E219,'A-1 Site Habitat Baseline'!$D$1:$O$258,11,FALSE))))</f>
        <v/>
      </c>
      <c r="M219" s="520" t="str">
        <f>IF(E219="","",IF(ISNA(VLOOKUP($E219,'A-1 Site Habitat Baseline'!$D$1:$O$258,12,FALSE)),"",(VLOOKUP($E219,'A-1 Site Habitat Baseline'!$D$1:$O$258,12,FALSE))))</f>
        <v/>
      </c>
      <c r="N219" s="532" t="str">
        <f>IF(E219="","",IF(ISNA(VLOOKUP($E219,'A-1 Site Habitat Baseline'!$D$1:$X$258,14,FALSE)),"",(VLOOKUP($E219,'A-1 Site Habitat Baseline'!$D$1:$X$258,14,FALSE))))</f>
        <v/>
      </c>
      <c r="O219" s="524" t="str">
        <f>IF(E219="","",IF(ISNA(VLOOKUP($E219,'A-1 Site Habitat Baseline'!$D$1:$X$258,16,FALSE)),"",(VLOOKUP($E219,'A-1 Site Habitat Baseline'!$D$1:$X$258,13,FALSE))))</f>
        <v/>
      </c>
      <c r="P219" s="237" t="str">
        <f>IFERROR(INDEX('G-1 All Habitats'!$AG$3:$AG$15,MATCH(Q219,'G-1 All Habitats'!$AF$3:$AF$15,0)),"")</f>
        <v/>
      </c>
      <c r="Q219" s="238" t="str">
        <f t="shared" si="36"/>
        <v/>
      </c>
      <c r="R219" s="238" t="str">
        <f t="shared" si="37"/>
        <v/>
      </c>
      <c r="S219" s="392" t="str">
        <f>IFERROR(INDEX('G-1 All Habitats'!$B$3:$B$129,MATCH(R219,'G-1 All Habitats'!$A$3:$A$129,0)),"")</f>
        <v/>
      </c>
      <c r="T219" s="498" t="str">
        <f t="shared" si="38"/>
        <v/>
      </c>
      <c r="U219" s="499" t="str">
        <f t="shared" si="39"/>
        <v/>
      </c>
      <c r="V219" s="537" t="str">
        <f t="shared" si="33"/>
        <v/>
      </c>
      <c r="W219" s="520" t="str">
        <f>IF(S219="","",VLOOKUP(S219,'G-1 All Habitats'!$B$2:$M$129,10,FALSE))</f>
        <v/>
      </c>
      <c r="X219" s="520" t="str">
        <f>IFERROR(VLOOKUP(W219,'G-1 All Habitats'!$V$3:$W$7,2,FALSE),"")</f>
        <v/>
      </c>
      <c r="Y219" s="79"/>
      <c r="Z219" s="524" t="str">
        <f>IFERROR(INDEX('G-8 Condition Look up'!$A$3:$H$130,MATCH(S219,'G-8 Condition Look up'!$A$3:$A$130,0),MATCH(Y219,'G-8 Condition Look up'!$A$3:$H$3,0)),"")</f>
        <v/>
      </c>
      <c r="AA219" s="71"/>
      <c r="AB219" s="520" t="str">
        <f>IF(AA219="","",IF(VLOOKUP(AA219,'G-3 Multipliers'!$L$3:$N$6,2,FALSE)=0,"Spatial Data Missing ⚠",VLOOKUP(AA219,'G-3 Multipliers'!$L$3:$N$6,2,FALSE)))</f>
        <v/>
      </c>
      <c r="AC219" s="524" t="str">
        <f>IF(AA219="","",IF(VLOOKUP(AA219,'G-3 Multipliers'!$L$3:$N$6,3,FALSE)=0,"Spatial Data Missing ⚠",VLOOKUP(AA219,'G-3 Multipliers'!$L$3:$N$6,3,FALSE)))</f>
        <v/>
      </c>
      <c r="AD219" s="539" t="str">
        <f t="shared" si="34"/>
        <v/>
      </c>
      <c r="AE219" s="82"/>
      <c r="AF219" s="82"/>
      <c r="AG219" s="507" t="str">
        <f t="shared" si="40"/>
        <v/>
      </c>
      <c r="AH219" s="521" t="str">
        <f t="shared" si="41"/>
        <v/>
      </c>
      <c r="AI219" s="522" t="str">
        <f>IF(AH219="Check Data","Check Data",IFERROR(VLOOKUP(AH219,'G-4 Temporal multipliers'!$A$4:$C$36,3,FALSE),""))</f>
        <v/>
      </c>
      <c r="AJ219" s="498" t="str">
        <f>IF(S219="","",VLOOKUP(S219,'G-3 Multipliers'!$A$2:$E$129,4,FALSE))</f>
        <v/>
      </c>
      <c r="AK219" s="507" t="str">
        <f t="shared" si="42"/>
        <v/>
      </c>
      <c r="AL219" s="507" t="str">
        <f t="shared" si="43"/>
        <v/>
      </c>
      <c r="AM219" s="540" t="str">
        <f>IFERROR(IF(F219="","",IF(AH219="Check Data ⚠","Check Data ⚠",VLOOKUP(AL219, 'G-3 Multipliers'!$P$2:$Q$6,2,FALSE))),"")</f>
        <v/>
      </c>
      <c r="AN219" s="513" t="str">
        <f t="shared" si="35"/>
        <v/>
      </c>
      <c r="AO219" s="239"/>
      <c r="AP219" s="240"/>
    </row>
    <row r="220" spans="1:42" x14ac:dyDescent="0.3">
      <c r="A220" s="47" t="str">
        <f>IF(E220="","",IF(ISNA(VLOOKUP($E220,'A-1 Site Habitat Baseline'!$D$1:$O$258,2,FALSE)),"",(VLOOKUP($E220,'A-1 Site Habitat Baseline'!$D$1:$O$258,2,FALSE))))</f>
        <v/>
      </c>
      <c r="B220" s="47" t="str">
        <f>IF(E220="","",IF(ISNA(VLOOKUP($E220,'A-1 Site Habitat Baseline'!$D$1:$O$258,3,FALSE)),"",(VLOOKUP($E220,'A-1 Site Habitat Baseline'!$D$1:$O$258,3,FALSE))))</f>
        <v/>
      </c>
      <c r="C220" s="47" t="str">
        <f>IFERROR(INDEX('G-8 Condition Look up'!$I$4:$I$130,MATCH(S220,'G-8 Condition Look up'!$A$4:$A$130,0)),"")</f>
        <v/>
      </c>
      <c r="E220" s="531" t="str">
        <f>'A-1 Site Habitat Baseline'!AL219</f>
        <v/>
      </c>
      <c r="F220" s="520" t="str">
        <f>IF(E220="","",IF(ISNA(VLOOKUP($E220,'A-1 Site Habitat Baseline'!$D$1:$O$258,4,FALSE)),"",(VLOOKUP($E220,'A-1 Site Habitat Baseline'!$D$1:$O$258,4,FALSE))))</f>
        <v/>
      </c>
      <c r="G220" s="520" t="str">
        <f>IF(E220="","",IF(ISNA(VLOOKUP($E220,'A-1 Site Habitat Baseline'!$D$1:$O$258,5,FALSE)),"",(VLOOKUP($E220,'A-1 Site Habitat Baseline'!$D$1:$O$258,5,FALSE))))</f>
        <v/>
      </c>
      <c r="H220" s="520" t="str">
        <f>IF(E220="","",IF(ISNA(VLOOKUP($E220,'A-1 Site Habitat Baseline'!$D$1:$O$258,6,FALSE)),"",(VLOOKUP($E220,'A-1 Site Habitat Baseline'!$D$1:$O$258,6,FALSE))))</f>
        <v/>
      </c>
      <c r="I220" s="520" t="str">
        <f>IF(E220="","",IF(ISNA(VLOOKUP($E220,'A-1 Site Habitat Baseline'!$D$1:$O$258,7,FALSE)),"",(VLOOKUP($E220,'A-1 Site Habitat Baseline'!$D$1:$O$258,7,FALSE))))</f>
        <v/>
      </c>
      <c r="J220" s="520" t="str">
        <f>IF(E220="","",IF(ISNA(VLOOKUP($E220,'A-1 Site Habitat Baseline'!$D$1:$O$258,8,FALSE)),"",(VLOOKUP($E220,'A-1 Site Habitat Baseline'!$D$1:$O$258,8,FALSE))))</f>
        <v/>
      </c>
      <c r="K220" s="520" t="str">
        <f>IF(E220="","",IF(ISNA(VLOOKUP($E220,'A-1 Site Habitat Baseline'!$D$1:$O$258,9,FALSE)),"",(VLOOKUP($E220,'A-1 Site Habitat Baseline'!$D$1:$O$258,9,FALSE))))</f>
        <v/>
      </c>
      <c r="L220" s="520" t="str">
        <f>IF(E220="","",IF(ISNA(VLOOKUP($E220,'A-1 Site Habitat Baseline'!$D$1:$O$258,11,FALSE)),"",(VLOOKUP($E220,'A-1 Site Habitat Baseline'!$D$1:$O$258,11,FALSE))))</f>
        <v/>
      </c>
      <c r="M220" s="520" t="str">
        <f>IF(E220="","",IF(ISNA(VLOOKUP($E220,'A-1 Site Habitat Baseline'!$D$1:$O$258,12,FALSE)),"",(VLOOKUP($E220,'A-1 Site Habitat Baseline'!$D$1:$O$258,12,FALSE))))</f>
        <v/>
      </c>
      <c r="N220" s="532" t="str">
        <f>IF(E220="","",IF(ISNA(VLOOKUP($E220,'A-1 Site Habitat Baseline'!$D$1:$X$258,14,FALSE)),"",(VLOOKUP($E220,'A-1 Site Habitat Baseline'!$D$1:$X$258,14,FALSE))))</f>
        <v/>
      </c>
      <c r="O220" s="524" t="str">
        <f>IF(E220="","",IF(ISNA(VLOOKUP($E220,'A-1 Site Habitat Baseline'!$D$1:$X$258,16,FALSE)),"",(VLOOKUP($E220,'A-1 Site Habitat Baseline'!$D$1:$X$258,13,FALSE))))</f>
        <v/>
      </c>
      <c r="P220" s="237" t="str">
        <f>IFERROR(INDEX('G-1 All Habitats'!$AG$3:$AG$15,MATCH(Q220,'G-1 All Habitats'!$AF$3:$AF$15,0)),"")</f>
        <v/>
      </c>
      <c r="Q220" s="238" t="str">
        <f t="shared" si="36"/>
        <v/>
      </c>
      <c r="R220" s="238" t="str">
        <f t="shared" si="37"/>
        <v/>
      </c>
      <c r="S220" s="392" t="str">
        <f>IFERROR(INDEX('G-1 All Habitats'!$B$3:$B$129,MATCH(R220,'G-1 All Habitats'!$A$3:$A$129,0)),"")</f>
        <v/>
      </c>
      <c r="T220" s="498" t="str">
        <f t="shared" si="38"/>
        <v/>
      </c>
      <c r="U220" s="499" t="str">
        <f t="shared" si="39"/>
        <v/>
      </c>
      <c r="V220" s="537" t="str">
        <f t="shared" si="33"/>
        <v/>
      </c>
      <c r="W220" s="520" t="str">
        <f>IF(S220="","",VLOOKUP(S220,'G-1 All Habitats'!$B$2:$M$129,10,FALSE))</f>
        <v/>
      </c>
      <c r="X220" s="520" t="str">
        <f>IFERROR(VLOOKUP(W220,'G-1 All Habitats'!$V$3:$W$7,2,FALSE),"")</f>
        <v/>
      </c>
      <c r="Y220" s="79"/>
      <c r="Z220" s="524" t="str">
        <f>IFERROR(INDEX('G-8 Condition Look up'!$A$3:$H$130,MATCH(S220,'G-8 Condition Look up'!$A$3:$A$130,0),MATCH(Y220,'G-8 Condition Look up'!$A$3:$H$3,0)),"")</f>
        <v/>
      </c>
      <c r="AA220" s="71"/>
      <c r="AB220" s="520" t="str">
        <f>IF(AA220="","",IF(VLOOKUP(AA220,'G-3 Multipliers'!$L$3:$N$6,2,FALSE)=0,"Spatial Data Missing ⚠",VLOOKUP(AA220,'G-3 Multipliers'!$L$3:$N$6,2,FALSE)))</f>
        <v/>
      </c>
      <c r="AC220" s="524" t="str">
        <f>IF(AA220="","",IF(VLOOKUP(AA220,'G-3 Multipliers'!$L$3:$N$6,3,FALSE)=0,"Spatial Data Missing ⚠",VLOOKUP(AA220,'G-3 Multipliers'!$L$3:$N$6,3,FALSE)))</f>
        <v/>
      </c>
      <c r="AD220" s="539" t="str">
        <f t="shared" si="34"/>
        <v/>
      </c>
      <c r="AE220" s="82"/>
      <c r="AF220" s="82"/>
      <c r="AG220" s="507" t="str">
        <f t="shared" si="40"/>
        <v/>
      </c>
      <c r="AH220" s="521" t="str">
        <f t="shared" si="41"/>
        <v/>
      </c>
      <c r="AI220" s="522" t="str">
        <f>IF(AH220="Check Data","Check Data",IFERROR(VLOOKUP(AH220,'G-4 Temporal multipliers'!$A$4:$C$36,3,FALSE),""))</f>
        <v/>
      </c>
      <c r="AJ220" s="498" t="str">
        <f>IF(S220="","",VLOOKUP(S220,'G-3 Multipliers'!$A$2:$E$129,4,FALSE))</f>
        <v/>
      </c>
      <c r="AK220" s="507" t="str">
        <f t="shared" si="42"/>
        <v/>
      </c>
      <c r="AL220" s="507" t="str">
        <f t="shared" si="43"/>
        <v/>
      </c>
      <c r="AM220" s="540" t="str">
        <f>IFERROR(IF(F220="","",IF(AH220="Check Data ⚠","Check Data ⚠",VLOOKUP(AL220, 'G-3 Multipliers'!$P$2:$Q$6,2,FALSE))),"")</f>
        <v/>
      </c>
      <c r="AN220" s="513" t="str">
        <f t="shared" si="35"/>
        <v/>
      </c>
      <c r="AO220" s="239"/>
      <c r="AP220" s="240"/>
    </row>
    <row r="221" spans="1:42" x14ac:dyDescent="0.3">
      <c r="A221" s="47" t="str">
        <f>IF(E221="","",IF(ISNA(VLOOKUP($E221,'A-1 Site Habitat Baseline'!$D$1:$O$258,2,FALSE)),"",(VLOOKUP($E221,'A-1 Site Habitat Baseline'!$D$1:$O$258,2,FALSE))))</f>
        <v/>
      </c>
      <c r="B221" s="47" t="str">
        <f>IF(E221="","",IF(ISNA(VLOOKUP($E221,'A-1 Site Habitat Baseline'!$D$1:$O$258,3,FALSE)),"",(VLOOKUP($E221,'A-1 Site Habitat Baseline'!$D$1:$O$258,3,FALSE))))</f>
        <v/>
      </c>
      <c r="C221" s="47" t="str">
        <f>IFERROR(INDEX('G-8 Condition Look up'!$I$4:$I$130,MATCH(S221,'G-8 Condition Look up'!$A$4:$A$130,0)),"")</f>
        <v/>
      </c>
      <c r="E221" s="531" t="str">
        <f>'A-1 Site Habitat Baseline'!AL220</f>
        <v/>
      </c>
      <c r="F221" s="520" t="str">
        <f>IF(E221="","",IF(ISNA(VLOOKUP($E221,'A-1 Site Habitat Baseline'!$D$1:$O$258,4,FALSE)),"",(VLOOKUP($E221,'A-1 Site Habitat Baseline'!$D$1:$O$258,4,FALSE))))</f>
        <v/>
      </c>
      <c r="G221" s="520" t="str">
        <f>IF(E221="","",IF(ISNA(VLOOKUP($E221,'A-1 Site Habitat Baseline'!$D$1:$O$258,5,FALSE)),"",(VLOOKUP($E221,'A-1 Site Habitat Baseline'!$D$1:$O$258,5,FALSE))))</f>
        <v/>
      </c>
      <c r="H221" s="520" t="str">
        <f>IF(E221="","",IF(ISNA(VLOOKUP($E221,'A-1 Site Habitat Baseline'!$D$1:$O$258,6,FALSE)),"",(VLOOKUP($E221,'A-1 Site Habitat Baseline'!$D$1:$O$258,6,FALSE))))</f>
        <v/>
      </c>
      <c r="I221" s="520" t="str">
        <f>IF(E221="","",IF(ISNA(VLOOKUP($E221,'A-1 Site Habitat Baseline'!$D$1:$O$258,7,FALSE)),"",(VLOOKUP($E221,'A-1 Site Habitat Baseline'!$D$1:$O$258,7,FALSE))))</f>
        <v/>
      </c>
      <c r="J221" s="520" t="str">
        <f>IF(E221="","",IF(ISNA(VLOOKUP($E221,'A-1 Site Habitat Baseline'!$D$1:$O$258,8,FALSE)),"",(VLOOKUP($E221,'A-1 Site Habitat Baseline'!$D$1:$O$258,8,FALSE))))</f>
        <v/>
      </c>
      <c r="K221" s="520" t="str">
        <f>IF(E221="","",IF(ISNA(VLOOKUP($E221,'A-1 Site Habitat Baseline'!$D$1:$O$258,9,FALSE)),"",(VLOOKUP($E221,'A-1 Site Habitat Baseline'!$D$1:$O$258,9,FALSE))))</f>
        <v/>
      </c>
      <c r="L221" s="520" t="str">
        <f>IF(E221="","",IF(ISNA(VLOOKUP($E221,'A-1 Site Habitat Baseline'!$D$1:$O$258,11,FALSE)),"",(VLOOKUP($E221,'A-1 Site Habitat Baseline'!$D$1:$O$258,11,FALSE))))</f>
        <v/>
      </c>
      <c r="M221" s="520" t="str">
        <f>IF(E221="","",IF(ISNA(VLOOKUP($E221,'A-1 Site Habitat Baseline'!$D$1:$O$258,12,FALSE)),"",(VLOOKUP($E221,'A-1 Site Habitat Baseline'!$D$1:$O$258,12,FALSE))))</f>
        <v/>
      </c>
      <c r="N221" s="532" t="str">
        <f>IF(E221="","",IF(ISNA(VLOOKUP($E221,'A-1 Site Habitat Baseline'!$D$1:$X$258,14,FALSE)),"",(VLOOKUP($E221,'A-1 Site Habitat Baseline'!$D$1:$X$258,14,FALSE))))</f>
        <v/>
      </c>
      <c r="O221" s="524" t="str">
        <f>IF(E221="","",IF(ISNA(VLOOKUP($E221,'A-1 Site Habitat Baseline'!$D$1:$X$258,16,FALSE)),"",(VLOOKUP($E221,'A-1 Site Habitat Baseline'!$D$1:$X$258,13,FALSE))))</f>
        <v/>
      </c>
      <c r="P221" s="237" t="str">
        <f>IFERROR(INDEX('G-1 All Habitats'!$AG$3:$AG$15,MATCH(Q221,'G-1 All Habitats'!$AF$3:$AF$15,0)),"")</f>
        <v/>
      </c>
      <c r="Q221" s="238" t="str">
        <f t="shared" si="36"/>
        <v/>
      </c>
      <c r="R221" s="238" t="str">
        <f t="shared" si="37"/>
        <v/>
      </c>
      <c r="S221" s="392" t="str">
        <f>IFERROR(INDEX('G-1 All Habitats'!$B$3:$B$129,MATCH(R221,'G-1 All Habitats'!$A$3:$A$129,0)),"")</f>
        <v/>
      </c>
      <c r="T221" s="498" t="str">
        <f t="shared" si="38"/>
        <v/>
      </c>
      <c r="U221" s="499" t="str">
        <f t="shared" si="39"/>
        <v/>
      </c>
      <c r="V221" s="537" t="str">
        <f t="shared" si="33"/>
        <v/>
      </c>
      <c r="W221" s="520" t="str">
        <f>IF(S221="","",VLOOKUP(S221,'G-1 All Habitats'!$B$2:$M$129,10,FALSE))</f>
        <v/>
      </c>
      <c r="X221" s="520" t="str">
        <f>IFERROR(VLOOKUP(W221,'G-1 All Habitats'!$V$3:$W$7,2,FALSE),"")</f>
        <v/>
      </c>
      <c r="Y221" s="79"/>
      <c r="Z221" s="524" t="str">
        <f>IFERROR(INDEX('G-8 Condition Look up'!$A$3:$H$130,MATCH(S221,'G-8 Condition Look up'!$A$3:$A$130,0),MATCH(Y221,'G-8 Condition Look up'!$A$3:$H$3,0)),"")</f>
        <v/>
      </c>
      <c r="AA221" s="71"/>
      <c r="AB221" s="520" t="str">
        <f>IF(AA221="","",IF(VLOOKUP(AA221,'G-3 Multipliers'!$L$3:$N$6,2,FALSE)=0,"Spatial Data Missing ⚠",VLOOKUP(AA221,'G-3 Multipliers'!$L$3:$N$6,2,FALSE)))</f>
        <v/>
      </c>
      <c r="AC221" s="524" t="str">
        <f>IF(AA221="","",IF(VLOOKUP(AA221,'G-3 Multipliers'!$L$3:$N$6,3,FALSE)=0,"Spatial Data Missing ⚠",VLOOKUP(AA221,'G-3 Multipliers'!$L$3:$N$6,3,FALSE)))</f>
        <v/>
      </c>
      <c r="AD221" s="539" t="str">
        <f t="shared" si="34"/>
        <v/>
      </c>
      <c r="AE221" s="82"/>
      <c r="AF221" s="82"/>
      <c r="AG221" s="507" t="str">
        <f t="shared" si="40"/>
        <v/>
      </c>
      <c r="AH221" s="521" t="str">
        <f t="shared" si="41"/>
        <v/>
      </c>
      <c r="AI221" s="522" t="str">
        <f>IF(AH221="Check Data","Check Data",IFERROR(VLOOKUP(AH221,'G-4 Temporal multipliers'!$A$4:$C$36,3,FALSE),""))</f>
        <v/>
      </c>
      <c r="AJ221" s="498" t="str">
        <f>IF(S221="","",VLOOKUP(S221,'G-3 Multipliers'!$A$2:$E$129,4,FALSE))</f>
        <v/>
      </c>
      <c r="AK221" s="507" t="str">
        <f t="shared" si="42"/>
        <v/>
      </c>
      <c r="AL221" s="507" t="str">
        <f t="shared" si="43"/>
        <v/>
      </c>
      <c r="AM221" s="540" t="str">
        <f>IFERROR(IF(F221="","",IF(AH221="Check Data ⚠","Check Data ⚠",VLOOKUP(AL221, 'G-3 Multipliers'!$P$2:$Q$6,2,FALSE))),"")</f>
        <v/>
      </c>
      <c r="AN221" s="513" t="str">
        <f t="shared" si="35"/>
        <v/>
      </c>
      <c r="AO221" s="239"/>
      <c r="AP221" s="240"/>
    </row>
    <row r="222" spans="1:42" x14ac:dyDescent="0.3">
      <c r="A222" s="47" t="str">
        <f>IF(E222="","",IF(ISNA(VLOOKUP($E222,'A-1 Site Habitat Baseline'!$D$1:$O$258,2,FALSE)),"",(VLOOKUP($E222,'A-1 Site Habitat Baseline'!$D$1:$O$258,2,FALSE))))</f>
        <v/>
      </c>
      <c r="B222" s="47" t="str">
        <f>IF(E222="","",IF(ISNA(VLOOKUP($E222,'A-1 Site Habitat Baseline'!$D$1:$O$258,3,FALSE)),"",(VLOOKUP($E222,'A-1 Site Habitat Baseline'!$D$1:$O$258,3,FALSE))))</f>
        <v/>
      </c>
      <c r="C222" s="47" t="str">
        <f>IFERROR(INDEX('G-8 Condition Look up'!$I$4:$I$130,MATCH(S222,'G-8 Condition Look up'!$A$4:$A$130,0)),"")</f>
        <v/>
      </c>
      <c r="E222" s="531" t="str">
        <f>'A-1 Site Habitat Baseline'!AL221</f>
        <v/>
      </c>
      <c r="F222" s="520" t="str">
        <f>IF(E222="","",IF(ISNA(VLOOKUP($E222,'A-1 Site Habitat Baseline'!$D$1:$O$258,4,FALSE)),"",(VLOOKUP($E222,'A-1 Site Habitat Baseline'!$D$1:$O$258,4,FALSE))))</f>
        <v/>
      </c>
      <c r="G222" s="520" t="str">
        <f>IF(E222="","",IF(ISNA(VLOOKUP($E222,'A-1 Site Habitat Baseline'!$D$1:$O$258,5,FALSE)),"",(VLOOKUP($E222,'A-1 Site Habitat Baseline'!$D$1:$O$258,5,FALSE))))</f>
        <v/>
      </c>
      <c r="H222" s="520" t="str">
        <f>IF(E222="","",IF(ISNA(VLOOKUP($E222,'A-1 Site Habitat Baseline'!$D$1:$O$258,6,FALSE)),"",(VLOOKUP($E222,'A-1 Site Habitat Baseline'!$D$1:$O$258,6,FALSE))))</f>
        <v/>
      </c>
      <c r="I222" s="520" t="str">
        <f>IF(E222="","",IF(ISNA(VLOOKUP($E222,'A-1 Site Habitat Baseline'!$D$1:$O$258,7,FALSE)),"",(VLOOKUP($E222,'A-1 Site Habitat Baseline'!$D$1:$O$258,7,FALSE))))</f>
        <v/>
      </c>
      <c r="J222" s="520" t="str">
        <f>IF(E222="","",IF(ISNA(VLOOKUP($E222,'A-1 Site Habitat Baseline'!$D$1:$O$258,8,FALSE)),"",(VLOOKUP($E222,'A-1 Site Habitat Baseline'!$D$1:$O$258,8,FALSE))))</f>
        <v/>
      </c>
      <c r="K222" s="520" t="str">
        <f>IF(E222="","",IF(ISNA(VLOOKUP($E222,'A-1 Site Habitat Baseline'!$D$1:$O$258,9,FALSE)),"",(VLOOKUP($E222,'A-1 Site Habitat Baseline'!$D$1:$O$258,9,FALSE))))</f>
        <v/>
      </c>
      <c r="L222" s="520" t="str">
        <f>IF(E222="","",IF(ISNA(VLOOKUP($E222,'A-1 Site Habitat Baseline'!$D$1:$O$258,11,FALSE)),"",(VLOOKUP($E222,'A-1 Site Habitat Baseline'!$D$1:$O$258,11,FALSE))))</f>
        <v/>
      </c>
      <c r="M222" s="520" t="str">
        <f>IF(E222="","",IF(ISNA(VLOOKUP($E222,'A-1 Site Habitat Baseline'!$D$1:$O$258,12,FALSE)),"",(VLOOKUP($E222,'A-1 Site Habitat Baseline'!$D$1:$O$258,12,FALSE))))</f>
        <v/>
      </c>
      <c r="N222" s="532" t="str">
        <f>IF(E222="","",IF(ISNA(VLOOKUP($E222,'A-1 Site Habitat Baseline'!$D$1:$X$258,14,FALSE)),"",(VLOOKUP($E222,'A-1 Site Habitat Baseline'!$D$1:$X$258,14,FALSE))))</f>
        <v/>
      </c>
      <c r="O222" s="524" t="str">
        <f>IF(E222="","",IF(ISNA(VLOOKUP($E222,'A-1 Site Habitat Baseline'!$D$1:$X$258,16,FALSE)),"",(VLOOKUP($E222,'A-1 Site Habitat Baseline'!$D$1:$X$258,13,FALSE))))</f>
        <v/>
      </c>
      <c r="P222" s="237" t="str">
        <f>IFERROR(INDEX('G-1 All Habitats'!$AG$3:$AG$15,MATCH(Q222,'G-1 All Habitats'!$AF$3:$AF$15,0)),"")</f>
        <v/>
      </c>
      <c r="Q222" s="238" t="str">
        <f t="shared" si="36"/>
        <v/>
      </c>
      <c r="R222" s="238" t="str">
        <f t="shared" si="37"/>
        <v/>
      </c>
      <c r="S222" s="392" t="str">
        <f>IFERROR(INDEX('G-1 All Habitats'!$B$3:$B$129,MATCH(R222,'G-1 All Habitats'!$A$3:$A$129,0)),"")</f>
        <v/>
      </c>
      <c r="T222" s="498" t="str">
        <f t="shared" si="38"/>
        <v/>
      </c>
      <c r="U222" s="499" t="str">
        <f t="shared" si="39"/>
        <v/>
      </c>
      <c r="V222" s="537" t="str">
        <f t="shared" si="33"/>
        <v/>
      </c>
      <c r="W222" s="520" t="str">
        <f>IF(S222="","",VLOOKUP(S222,'G-1 All Habitats'!$B$2:$M$129,10,FALSE))</f>
        <v/>
      </c>
      <c r="X222" s="520" t="str">
        <f>IFERROR(VLOOKUP(W222,'G-1 All Habitats'!$V$3:$W$7,2,FALSE),"")</f>
        <v/>
      </c>
      <c r="Y222" s="79"/>
      <c r="Z222" s="524" t="str">
        <f>IFERROR(INDEX('G-8 Condition Look up'!$A$3:$H$130,MATCH(S222,'G-8 Condition Look up'!$A$3:$A$130,0),MATCH(Y222,'G-8 Condition Look up'!$A$3:$H$3,0)),"")</f>
        <v/>
      </c>
      <c r="AA222" s="71"/>
      <c r="AB222" s="520" t="str">
        <f>IF(AA222="","",IF(VLOOKUP(AA222,'G-3 Multipliers'!$L$3:$N$6,2,FALSE)=0,"Spatial Data Missing ⚠",VLOOKUP(AA222,'G-3 Multipliers'!$L$3:$N$6,2,FALSE)))</f>
        <v/>
      </c>
      <c r="AC222" s="524" t="str">
        <f>IF(AA222="","",IF(VLOOKUP(AA222,'G-3 Multipliers'!$L$3:$N$6,3,FALSE)=0,"Spatial Data Missing ⚠",VLOOKUP(AA222,'G-3 Multipliers'!$L$3:$N$6,3,FALSE)))</f>
        <v/>
      </c>
      <c r="AD222" s="539" t="str">
        <f t="shared" si="34"/>
        <v/>
      </c>
      <c r="AE222" s="82"/>
      <c r="AF222" s="82"/>
      <c r="AG222" s="507" t="str">
        <f t="shared" si="40"/>
        <v/>
      </c>
      <c r="AH222" s="521" t="str">
        <f t="shared" si="41"/>
        <v/>
      </c>
      <c r="AI222" s="522" t="str">
        <f>IF(AH222="Check Data","Check Data",IFERROR(VLOOKUP(AH222,'G-4 Temporal multipliers'!$A$4:$C$36,3,FALSE),""))</f>
        <v/>
      </c>
      <c r="AJ222" s="498" t="str">
        <f>IF(S222="","",VLOOKUP(S222,'G-3 Multipliers'!$A$2:$E$129,4,FALSE))</f>
        <v/>
      </c>
      <c r="AK222" s="507" t="str">
        <f t="shared" si="42"/>
        <v/>
      </c>
      <c r="AL222" s="507" t="str">
        <f t="shared" si="43"/>
        <v/>
      </c>
      <c r="AM222" s="540" t="str">
        <f>IFERROR(IF(F222="","",IF(AH222="Check Data ⚠","Check Data ⚠",VLOOKUP(AL222, 'G-3 Multipliers'!$P$2:$Q$6,2,FALSE))),"")</f>
        <v/>
      </c>
      <c r="AN222" s="513" t="str">
        <f t="shared" si="35"/>
        <v/>
      </c>
      <c r="AO222" s="239"/>
      <c r="AP222" s="240"/>
    </row>
    <row r="223" spans="1:42" x14ac:dyDescent="0.3">
      <c r="A223" s="47" t="str">
        <f>IF(E223="","",IF(ISNA(VLOOKUP($E223,'A-1 Site Habitat Baseline'!$D$1:$O$258,2,FALSE)),"",(VLOOKUP($E223,'A-1 Site Habitat Baseline'!$D$1:$O$258,2,FALSE))))</f>
        <v/>
      </c>
      <c r="B223" s="47" t="str">
        <f>IF(E223="","",IF(ISNA(VLOOKUP($E223,'A-1 Site Habitat Baseline'!$D$1:$O$258,3,FALSE)),"",(VLOOKUP($E223,'A-1 Site Habitat Baseline'!$D$1:$O$258,3,FALSE))))</f>
        <v/>
      </c>
      <c r="C223" s="47" t="str">
        <f>IFERROR(INDEX('G-8 Condition Look up'!$I$4:$I$130,MATCH(S223,'G-8 Condition Look up'!$A$4:$A$130,0)),"")</f>
        <v/>
      </c>
      <c r="E223" s="531" t="str">
        <f>'A-1 Site Habitat Baseline'!AL222</f>
        <v/>
      </c>
      <c r="F223" s="520" t="str">
        <f>IF(E223="","",IF(ISNA(VLOOKUP($E223,'A-1 Site Habitat Baseline'!$D$1:$O$258,4,FALSE)),"",(VLOOKUP($E223,'A-1 Site Habitat Baseline'!$D$1:$O$258,4,FALSE))))</f>
        <v/>
      </c>
      <c r="G223" s="520" t="str">
        <f>IF(E223="","",IF(ISNA(VLOOKUP($E223,'A-1 Site Habitat Baseline'!$D$1:$O$258,5,FALSE)),"",(VLOOKUP($E223,'A-1 Site Habitat Baseline'!$D$1:$O$258,5,FALSE))))</f>
        <v/>
      </c>
      <c r="H223" s="520" t="str">
        <f>IF(E223="","",IF(ISNA(VLOOKUP($E223,'A-1 Site Habitat Baseline'!$D$1:$O$258,6,FALSE)),"",(VLOOKUP($E223,'A-1 Site Habitat Baseline'!$D$1:$O$258,6,FALSE))))</f>
        <v/>
      </c>
      <c r="I223" s="520" t="str">
        <f>IF(E223="","",IF(ISNA(VLOOKUP($E223,'A-1 Site Habitat Baseline'!$D$1:$O$258,7,FALSE)),"",(VLOOKUP($E223,'A-1 Site Habitat Baseline'!$D$1:$O$258,7,FALSE))))</f>
        <v/>
      </c>
      <c r="J223" s="520" t="str">
        <f>IF(E223="","",IF(ISNA(VLOOKUP($E223,'A-1 Site Habitat Baseline'!$D$1:$O$258,8,FALSE)),"",(VLOOKUP($E223,'A-1 Site Habitat Baseline'!$D$1:$O$258,8,FALSE))))</f>
        <v/>
      </c>
      <c r="K223" s="520" t="str">
        <f>IF(E223="","",IF(ISNA(VLOOKUP($E223,'A-1 Site Habitat Baseline'!$D$1:$O$258,9,FALSE)),"",(VLOOKUP($E223,'A-1 Site Habitat Baseline'!$D$1:$O$258,9,FALSE))))</f>
        <v/>
      </c>
      <c r="L223" s="520" t="str">
        <f>IF(E223="","",IF(ISNA(VLOOKUP($E223,'A-1 Site Habitat Baseline'!$D$1:$O$258,11,FALSE)),"",(VLOOKUP($E223,'A-1 Site Habitat Baseline'!$D$1:$O$258,11,FALSE))))</f>
        <v/>
      </c>
      <c r="M223" s="520" t="str">
        <f>IF(E223="","",IF(ISNA(VLOOKUP($E223,'A-1 Site Habitat Baseline'!$D$1:$O$258,12,FALSE)),"",(VLOOKUP($E223,'A-1 Site Habitat Baseline'!$D$1:$O$258,12,FALSE))))</f>
        <v/>
      </c>
      <c r="N223" s="532" t="str">
        <f>IF(E223="","",IF(ISNA(VLOOKUP($E223,'A-1 Site Habitat Baseline'!$D$1:$X$258,14,FALSE)),"",(VLOOKUP($E223,'A-1 Site Habitat Baseline'!$D$1:$X$258,14,FALSE))))</f>
        <v/>
      </c>
      <c r="O223" s="524" t="str">
        <f>IF(E223="","",IF(ISNA(VLOOKUP($E223,'A-1 Site Habitat Baseline'!$D$1:$X$258,16,FALSE)),"",(VLOOKUP($E223,'A-1 Site Habitat Baseline'!$D$1:$X$258,13,FALSE))))</f>
        <v/>
      </c>
      <c r="P223" s="237" t="str">
        <f>IFERROR(INDEX('G-1 All Habitats'!$AG$3:$AG$15,MATCH(Q223,'G-1 All Habitats'!$AF$3:$AF$15,0)),"")</f>
        <v/>
      </c>
      <c r="Q223" s="238" t="str">
        <f t="shared" si="36"/>
        <v/>
      </c>
      <c r="R223" s="238" t="str">
        <f t="shared" si="37"/>
        <v/>
      </c>
      <c r="S223" s="392" t="str">
        <f>IFERROR(INDEX('G-1 All Habitats'!$B$3:$B$129,MATCH(R223,'G-1 All Habitats'!$A$3:$A$129,0)),"")</f>
        <v/>
      </c>
      <c r="T223" s="498" t="str">
        <f t="shared" si="38"/>
        <v/>
      </c>
      <c r="U223" s="499" t="str">
        <f t="shared" si="39"/>
        <v/>
      </c>
      <c r="V223" s="537" t="str">
        <f t="shared" si="33"/>
        <v/>
      </c>
      <c r="W223" s="520" t="str">
        <f>IF(S223="","",VLOOKUP(S223,'G-1 All Habitats'!$B$2:$M$129,10,FALSE))</f>
        <v/>
      </c>
      <c r="X223" s="520" t="str">
        <f>IFERROR(VLOOKUP(W223,'G-1 All Habitats'!$V$3:$W$7,2,FALSE),"")</f>
        <v/>
      </c>
      <c r="Y223" s="79"/>
      <c r="Z223" s="524" t="str">
        <f>IFERROR(INDEX('G-8 Condition Look up'!$A$3:$H$130,MATCH(S223,'G-8 Condition Look up'!$A$3:$A$130,0),MATCH(Y223,'G-8 Condition Look up'!$A$3:$H$3,0)),"")</f>
        <v/>
      </c>
      <c r="AA223" s="71"/>
      <c r="AB223" s="520" t="str">
        <f>IF(AA223="","",IF(VLOOKUP(AA223,'G-3 Multipliers'!$L$3:$N$6,2,FALSE)=0,"Spatial Data Missing ⚠",VLOOKUP(AA223,'G-3 Multipliers'!$L$3:$N$6,2,FALSE)))</f>
        <v/>
      </c>
      <c r="AC223" s="524" t="str">
        <f>IF(AA223="","",IF(VLOOKUP(AA223,'G-3 Multipliers'!$L$3:$N$6,3,FALSE)=0,"Spatial Data Missing ⚠",VLOOKUP(AA223,'G-3 Multipliers'!$L$3:$N$6,3,FALSE)))</f>
        <v/>
      </c>
      <c r="AD223" s="539" t="str">
        <f t="shared" si="34"/>
        <v/>
      </c>
      <c r="AE223" s="82"/>
      <c r="AF223" s="82"/>
      <c r="AG223" s="507" t="str">
        <f t="shared" si="40"/>
        <v/>
      </c>
      <c r="AH223" s="521" t="str">
        <f t="shared" si="41"/>
        <v/>
      </c>
      <c r="AI223" s="522" t="str">
        <f>IF(AH223="Check Data","Check Data",IFERROR(VLOOKUP(AH223,'G-4 Temporal multipliers'!$A$4:$C$36,3,FALSE),""))</f>
        <v/>
      </c>
      <c r="AJ223" s="498" t="str">
        <f>IF(S223="","",VLOOKUP(S223,'G-3 Multipliers'!$A$2:$E$129,4,FALSE))</f>
        <v/>
      </c>
      <c r="AK223" s="507" t="str">
        <f t="shared" si="42"/>
        <v/>
      </c>
      <c r="AL223" s="507" t="str">
        <f t="shared" si="43"/>
        <v/>
      </c>
      <c r="AM223" s="540" t="str">
        <f>IFERROR(IF(F223="","",IF(AH223="Check Data ⚠","Check Data ⚠",VLOOKUP(AL223, 'G-3 Multipliers'!$P$2:$Q$6,2,FALSE))),"")</f>
        <v/>
      </c>
      <c r="AN223" s="513" t="str">
        <f t="shared" si="35"/>
        <v/>
      </c>
      <c r="AO223" s="239"/>
      <c r="AP223" s="240"/>
    </row>
    <row r="224" spans="1:42" x14ac:dyDescent="0.3">
      <c r="A224" s="47" t="str">
        <f>IF(E224="","",IF(ISNA(VLOOKUP($E224,'A-1 Site Habitat Baseline'!$D$1:$O$258,2,FALSE)),"",(VLOOKUP($E224,'A-1 Site Habitat Baseline'!$D$1:$O$258,2,FALSE))))</f>
        <v/>
      </c>
      <c r="B224" s="47" t="str">
        <f>IF(E224="","",IF(ISNA(VLOOKUP($E224,'A-1 Site Habitat Baseline'!$D$1:$O$258,3,FALSE)),"",(VLOOKUP($E224,'A-1 Site Habitat Baseline'!$D$1:$O$258,3,FALSE))))</f>
        <v/>
      </c>
      <c r="C224" s="47" t="str">
        <f>IFERROR(INDEX('G-8 Condition Look up'!$I$4:$I$130,MATCH(S224,'G-8 Condition Look up'!$A$4:$A$130,0)),"")</f>
        <v/>
      </c>
      <c r="E224" s="531" t="str">
        <f>'A-1 Site Habitat Baseline'!AL223</f>
        <v/>
      </c>
      <c r="F224" s="520" t="str">
        <f>IF(E224="","",IF(ISNA(VLOOKUP($E224,'A-1 Site Habitat Baseline'!$D$1:$O$258,4,FALSE)),"",(VLOOKUP($E224,'A-1 Site Habitat Baseline'!$D$1:$O$258,4,FALSE))))</f>
        <v/>
      </c>
      <c r="G224" s="520" t="str">
        <f>IF(E224="","",IF(ISNA(VLOOKUP($E224,'A-1 Site Habitat Baseline'!$D$1:$O$258,5,FALSE)),"",(VLOOKUP($E224,'A-1 Site Habitat Baseline'!$D$1:$O$258,5,FALSE))))</f>
        <v/>
      </c>
      <c r="H224" s="520" t="str">
        <f>IF(E224="","",IF(ISNA(VLOOKUP($E224,'A-1 Site Habitat Baseline'!$D$1:$O$258,6,FALSE)),"",(VLOOKUP($E224,'A-1 Site Habitat Baseline'!$D$1:$O$258,6,FALSE))))</f>
        <v/>
      </c>
      <c r="I224" s="520" t="str">
        <f>IF(E224="","",IF(ISNA(VLOOKUP($E224,'A-1 Site Habitat Baseline'!$D$1:$O$258,7,FALSE)),"",(VLOOKUP($E224,'A-1 Site Habitat Baseline'!$D$1:$O$258,7,FALSE))))</f>
        <v/>
      </c>
      <c r="J224" s="520" t="str">
        <f>IF(E224="","",IF(ISNA(VLOOKUP($E224,'A-1 Site Habitat Baseline'!$D$1:$O$258,8,FALSE)),"",(VLOOKUP($E224,'A-1 Site Habitat Baseline'!$D$1:$O$258,8,FALSE))))</f>
        <v/>
      </c>
      <c r="K224" s="520" t="str">
        <f>IF(E224="","",IF(ISNA(VLOOKUP($E224,'A-1 Site Habitat Baseline'!$D$1:$O$258,9,FALSE)),"",(VLOOKUP($E224,'A-1 Site Habitat Baseline'!$D$1:$O$258,9,FALSE))))</f>
        <v/>
      </c>
      <c r="L224" s="520" t="str">
        <f>IF(E224="","",IF(ISNA(VLOOKUP($E224,'A-1 Site Habitat Baseline'!$D$1:$O$258,11,FALSE)),"",(VLOOKUP($E224,'A-1 Site Habitat Baseline'!$D$1:$O$258,11,FALSE))))</f>
        <v/>
      </c>
      <c r="M224" s="520" t="str">
        <f>IF(E224="","",IF(ISNA(VLOOKUP($E224,'A-1 Site Habitat Baseline'!$D$1:$O$258,12,FALSE)),"",(VLOOKUP($E224,'A-1 Site Habitat Baseline'!$D$1:$O$258,12,FALSE))))</f>
        <v/>
      </c>
      <c r="N224" s="532" t="str">
        <f>IF(E224="","",IF(ISNA(VLOOKUP($E224,'A-1 Site Habitat Baseline'!$D$1:$X$258,14,FALSE)),"",(VLOOKUP($E224,'A-1 Site Habitat Baseline'!$D$1:$X$258,14,FALSE))))</f>
        <v/>
      </c>
      <c r="O224" s="524" t="str">
        <f>IF(E224="","",IF(ISNA(VLOOKUP($E224,'A-1 Site Habitat Baseline'!$D$1:$X$258,16,FALSE)),"",(VLOOKUP($E224,'A-1 Site Habitat Baseline'!$D$1:$X$258,13,FALSE))))</f>
        <v/>
      </c>
      <c r="P224" s="237" t="str">
        <f>IFERROR(INDEX('G-1 All Habitats'!$AG$3:$AG$15,MATCH(Q224,'G-1 All Habitats'!$AF$3:$AF$15,0)),"")</f>
        <v/>
      </c>
      <c r="Q224" s="238" t="str">
        <f t="shared" si="36"/>
        <v/>
      </c>
      <c r="R224" s="238" t="str">
        <f t="shared" si="37"/>
        <v/>
      </c>
      <c r="S224" s="392" t="str">
        <f>IFERROR(INDEX('G-1 All Habitats'!$B$3:$B$129,MATCH(R224,'G-1 All Habitats'!$A$3:$A$129,0)),"")</f>
        <v/>
      </c>
      <c r="T224" s="498" t="str">
        <f t="shared" si="38"/>
        <v/>
      </c>
      <c r="U224" s="499" t="str">
        <f t="shared" si="39"/>
        <v/>
      </c>
      <c r="V224" s="537" t="str">
        <f t="shared" si="33"/>
        <v/>
      </c>
      <c r="W224" s="520" t="str">
        <f>IF(S224="","",VLOOKUP(S224,'G-1 All Habitats'!$B$2:$M$129,10,FALSE))</f>
        <v/>
      </c>
      <c r="X224" s="520" t="str">
        <f>IFERROR(VLOOKUP(W224,'G-1 All Habitats'!$V$3:$W$7,2,FALSE),"")</f>
        <v/>
      </c>
      <c r="Y224" s="79"/>
      <c r="Z224" s="524" t="str">
        <f>IFERROR(INDEX('G-8 Condition Look up'!$A$3:$H$130,MATCH(S224,'G-8 Condition Look up'!$A$3:$A$130,0),MATCH(Y224,'G-8 Condition Look up'!$A$3:$H$3,0)),"")</f>
        <v/>
      </c>
      <c r="AA224" s="71"/>
      <c r="AB224" s="520" t="str">
        <f>IF(AA224="","",IF(VLOOKUP(AA224,'G-3 Multipliers'!$L$3:$N$6,2,FALSE)=0,"Spatial Data Missing ⚠",VLOOKUP(AA224,'G-3 Multipliers'!$L$3:$N$6,2,FALSE)))</f>
        <v/>
      </c>
      <c r="AC224" s="524" t="str">
        <f>IF(AA224="","",IF(VLOOKUP(AA224,'G-3 Multipliers'!$L$3:$N$6,3,FALSE)=0,"Spatial Data Missing ⚠",VLOOKUP(AA224,'G-3 Multipliers'!$L$3:$N$6,3,FALSE)))</f>
        <v/>
      </c>
      <c r="AD224" s="539" t="str">
        <f t="shared" si="34"/>
        <v/>
      </c>
      <c r="AE224" s="82"/>
      <c r="AF224" s="82"/>
      <c r="AG224" s="507" t="str">
        <f t="shared" si="40"/>
        <v/>
      </c>
      <c r="AH224" s="521" t="str">
        <f t="shared" si="41"/>
        <v/>
      </c>
      <c r="AI224" s="522" t="str">
        <f>IF(AH224="Check Data","Check Data",IFERROR(VLOOKUP(AH224,'G-4 Temporal multipliers'!$A$4:$C$36,3,FALSE),""))</f>
        <v/>
      </c>
      <c r="AJ224" s="498" t="str">
        <f>IF(S224="","",VLOOKUP(S224,'G-3 Multipliers'!$A$2:$E$129,4,FALSE))</f>
        <v/>
      </c>
      <c r="AK224" s="507" t="str">
        <f t="shared" si="42"/>
        <v/>
      </c>
      <c r="AL224" s="507" t="str">
        <f t="shared" si="43"/>
        <v/>
      </c>
      <c r="AM224" s="540" t="str">
        <f>IFERROR(IF(F224="","",IF(AH224="Check Data ⚠","Check Data ⚠",VLOOKUP(AL224, 'G-3 Multipliers'!$P$2:$Q$6,2,FALSE))),"")</f>
        <v/>
      </c>
      <c r="AN224" s="513" t="str">
        <f t="shared" si="35"/>
        <v/>
      </c>
      <c r="AO224" s="239"/>
      <c r="AP224" s="240"/>
    </row>
    <row r="225" spans="1:42" x14ac:dyDescent="0.3">
      <c r="A225" s="47" t="str">
        <f>IF(E225="","",IF(ISNA(VLOOKUP($E225,'A-1 Site Habitat Baseline'!$D$1:$O$258,2,FALSE)),"",(VLOOKUP($E225,'A-1 Site Habitat Baseline'!$D$1:$O$258,2,FALSE))))</f>
        <v/>
      </c>
      <c r="B225" s="47" t="str">
        <f>IF(E225="","",IF(ISNA(VLOOKUP($E225,'A-1 Site Habitat Baseline'!$D$1:$O$258,3,FALSE)),"",(VLOOKUP($E225,'A-1 Site Habitat Baseline'!$D$1:$O$258,3,FALSE))))</f>
        <v/>
      </c>
      <c r="C225" s="47" t="str">
        <f>IFERROR(INDEX('G-8 Condition Look up'!$I$4:$I$130,MATCH(S225,'G-8 Condition Look up'!$A$4:$A$130,0)),"")</f>
        <v/>
      </c>
      <c r="E225" s="531" t="str">
        <f>'A-1 Site Habitat Baseline'!AL224</f>
        <v/>
      </c>
      <c r="F225" s="520" t="str">
        <f>IF(E225="","",IF(ISNA(VLOOKUP($E225,'A-1 Site Habitat Baseline'!$D$1:$O$258,4,FALSE)),"",(VLOOKUP($E225,'A-1 Site Habitat Baseline'!$D$1:$O$258,4,FALSE))))</f>
        <v/>
      </c>
      <c r="G225" s="520" t="str">
        <f>IF(E225="","",IF(ISNA(VLOOKUP($E225,'A-1 Site Habitat Baseline'!$D$1:$O$258,5,FALSE)),"",(VLOOKUP($E225,'A-1 Site Habitat Baseline'!$D$1:$O$258,5,FALSE))))</f>
        <v/>
      </c>
      <c r="H225" s="520" t="str">
        <f>IF(E225="","",IF(ISNA(VLOOKUP($E225,'A-1 Site Habitat Baseline'!$D$1:$O$258,6,FALSE)),"",(VLOOKUP($E225,'A-1 Site Habitat Baseline'!$D$1:$O$258,6,FALSE))))</f>
        <v/>
      </c>
      <c r="I225" s="520" t="str">
        <f>IF(E225="","",IF(ISNA(VLOOKUP($E225,'A-1 Site Habitat Baseline'!$D$1:$O$258,7,FALSE)),"",(VLOOKUP($E225,'A-1 Site Habitat Baseline'!$D$1:$O$258,7,FALSE))))</f>
        <v/>
      </c>
      <c r="J225" s="520" t="str">
        <f>IF(E225="","",IF(ISNA(VLOOKUP($E225,'A-1 Site Habitat Baseline'!$D$1:$O$258,8,FALSE)),"",(VLOOKUP($E225,'A-1 Site Habitat Baseline'!$D$1:$O$258,8,FALSE))))</f>
        <v/>
      </c>
      <c r="K225" s="520" t="str">
        <f>IF(E225="","",IF(ISNA(VLOOKUP($E225,'A-1 Site Habitat Baseline'!$D$1:$O$258,9,FALSE)),"",(VLOOKUP($E225,'A-1 Site Habitat Baseline'!$D$1:$O$258,9,FALSE))))</f>
        <v/>
      </c>
      <c r="L225" s="520" t="str">
        <f>IF(E225="","",IF(ISNA(VLOOKUP($E225,'A-1 Site Habitat Baseline'!$D$1:$O$258,11,FALSE)),"",(VLOOKUP($E225,'A-1 Site Habitat Baseline'!$D$1:$O$258,11,FALSE))))</f>
        <v/>
      </c>
      <c r="M225" s="520" t="str">
        <f>IF(E225="","",IF(ISNA(VLOOKUP($E225,'A-1 Site Habitat Baseline'!$D$1:$O$258,12,FALSE)),"",(VLOOKUP($E225,'A-1 Site Habitat Baseline'!$D$1:$O$258,12,FALSE))))</f>
        <v/>
      </c>
      <c r="N225" s="532" t="str">
        <f>IF(E225="","",IF(ISNA(VLOOKUP($E225,'A-1 Site Habitat Baseline'!$D$1:$X$258,14,FALSE)),"",(VLOOKUP($E225,'A-1 Site Habitat Baseline'!$D$1:$X$258,14,FALSE))))</f>
        <v/>
      </c>
      <c r="O225" s="524" t="str">
        <f>IF(E225="","",IF(ISNA(VLOOKUP($E225,'A-1 Site Habitat Baseline'!$D$1:$X$258,16,FALSE)),"",(VLOOKUP($E225,'A-1 Site Habitat Baseline'!$D$1:$X$258,13,FALSE))))</f>
        <v/>
      </c>
      <c r="P225" s="237" t="str">
        <f>IFERROR(INDEX('G-1 All Habitats'!$AG$3:$AG$15,MATCH(Q225,'G-1 All Habitats'!$AF$3:$AF$15,0)),"")</f>
        <v/>
      </c>
      <c r="Q225" s="238" t="str">
        <f t="shared" si="36"/>
        <v/>
      </c>
      <c r="R225" s="238" t="str">
        <f t="shared" si="37"/>
        <v/>
      </c>
      <c r="S225" s="392" t="str">
        <f>IFERROR(INDEX('G-1 All Habitats'!$B$3:$B$129,MATCH(R225,'G-1 All Habitats'!$A$3:$A$129,0)),"")</f>
        <v/>
      </c>
      <c r="T225" s="498" t="str">
        <f t="shared" si="38"/>
        <v/>
      </c>
      <c r="U225" s="499" t="str">
        <f t="shared" si="39"/>
        <v/>
      </c>
      <c r="V225" s="537" t="str">
        <f t="shared" si="33"/>
        <v/>
      </c>
      <c r="W225" s="520" t="str">
        <f>IF(S225="","",VLOOKUP(S225,'G-1 All Habitats'!$B$2:$M$129,10,FALSE))</f>
        <v/>
      </c>
      <c r="X225" s="520" t="str">
        <f>IFERROR(VLOOKUP(W225,'G-1 All Habitats'!$V$3:$W$7,2,FALSE),"")</f>
        <v/>
      </c>
      <c r="Y225" s="79"/>
      <c r="Z225" s="524" t="str">
        <f>IFERROR(INDEX('G-8 Condition Look up'!$A$3:$H$130,MATCH(S225,'G-8 Condition Look up'!$A$3:$A$130,0),MATCH(Y225,'G-8 Condition Look up'!$A$3:$H$3,0)),"")</f>
        <v/>
      </c>
      <c r="AA225" s="71"/>
      <c r="AB225" s="520" t="str">
        <f>IF(AA225="","",IF(VLOOKUP(AA225,'G-3 Multipliers'!$L$3:$N$6,2,FALSE)=0,"Spatial Data Missing ⚠",VLOOKUP(AA225,'G-3 Multipliers'!$L$3:$N$6,2,FALSE)))</f>
        <v/>
      </c>
      <c r="AC225" s="524" t="str">
        <f>IF(AA225="","",IF(VLOOKUP(AA225,'G-3 Multipliers'!$L$3:$N$6,3,FALSE)=0,"Spatial Data Missing ⚠",VLOOKUP(AA225,'G-3 Multipliers'!$L$3:$N$6,3,FALSE)))</f>
        <v/>
      </c>
      <c r="AD225" s="539" t="str">
        <f t="shared" si="34"/>
        <v/>
      </c>
      <c r="AE225" s="82"/>
      <c r="AF225" s="82"/>
      <c r="AG225" s="507" t="str">
        <f t="shared" si="40"/>
        <v/>
      </c>
      <c r="AH225" s="521" t="str">
        <f t="shared" si="41"/>
        <v/>
      </c>
      <c r="AI225" s="522" t="str">
        <f>IF(AH225="Check Data","Check Data",IFERROR(VLOOKUP(AH225,'G-4 Temporal multipliers'!$A$4:$C$36,3,FALSE),""))</f>
        <v/>
      </c>
      <c r="AJ225" s="498" t="str">
        <f>IF(S225="","",VLOOKUP(S225,'G-3 Multipliers'!$A$2:$E$129,4,FALSE))</f>
        <v/>
      </c>
      <c r="AK225" s="507" t="str">
        <f t="shared" si="42"/>
        <v/>
      </c>
      <c r="AL225" s="507" t="str">
        <f t="shared" si="43"/>
        <v/>
      </c>
      <c r="AM225" s="540" t="str">
        <f>IFERROR(IF(F225="","",IF(AH225="Check Data ⚠","Check Data ⚠",VLOOKUP(AL225, 'G-3 Multipliers'!$P$2:$Q$6,2,FALSE))),"")</f>
        <v/>
      </c>
      <c r="AN225" s="513" t="str">
        <f t="shared" si="35"/>
        <v/>
      </c>
      <c r="AO225" s="239"/>
      <c r="AP225" s="240"/>
    </row>
    <row r="226" spans="1:42" x14ac:dyDescent="0.3">
      <c r="A226" s="47" t="str">
        <f>IF(E226="","",IF(ISNA(VLOOKUP($E226,'A-1 Site Habitat Baseline'!$D$1:$O$258,2,FALSE)),"",(VLOOKUP($E226,'A-1 Site Habitat Baseline'!$D$1:$O$258,2,FALSE))))</f>
        <v/>
      </c>
      <c r="B226" s="47" t="str">
        <f>IF(E226="","",IF(ISNA(VLOOKUP($E226,'A-1 Site Habitat Baseline'!$D$1:$O$258,3,FALSE)),"",(VLOOKUP($E226,'A-1 Site Habitat Baseline'!$D$1:$O$258,3,FALSE))))</f>
        <v/>
      </c>
      <c r="C226" s="47" t="str">
        <f>IFERROR(INDEX('G-8 Condition Look up'!$I$4:$I$130,MATCH(S226,'G-8 Condition Look up'!$A$4:$A$130,0)),"")</f>
        <v/>
      </c>
      <c r="E226" s="531" t="str">
        <f>'A-1 Site Habitat Baseline'!AL225</f>
        <v/>
      </c>
      <c r="F226" s="520" t="str">
        <f>IF(E226="","",IF(ISNA(VLOOKUP($E226,'A-1 Site Habitat Baseline'!$D$1:$O$258,4,FALSE)),"",(VLOOKUP($E226,'A-1 Site Habitat Baseline'!$D$1:$O$258,4,FALSE))))</f>
        <v/>
      </c>
      <c r="G226" s="520" t="str">
        <f>IF(E226="","",IF(ISNA(VLOOKUP($E226,'A-1 Site Habitat Baseline'!$D$1:$O$258,5,FALSE)),"",(VLOOKUP($E226,'A-1 Site Habitat Baseline'!$D$1:$O$258,5,FALSE))))</f>
        <v/>
      </c>
      <c r="H226" s="520" t="str">
        <f>IF(E226="","",IF(ISNA(VLOOKUP($E226,'A-1 Site Habitat Baseline'!$D$1:$O$258,6,FALSE)),"",(VLOOKUP($E226,'A-1 Site Habitat Baseline'!$D$1:$O$258,6,FALSE))))</f>
        <v/>
      </c>
      <c r="I226" s="520" t="str">
        <f>IF(E226="","",IF(ISNA(VLOOKUP($E226,'A-1 Site Habitat Baseline'!$D$1:$O$258,7,FALSE)),"",(VLOOKUP($E226,'A-1 Site Habitat Baseline'!$D$1:$O$258,7,FALSE))))</f>
        <v/>
      </c>
      <c r="J226" s="520" t="str">
        <f>IF(E226="","",IF(ISNA(VLOOKUP($E226,'A-1 Site Habitat Baseline'!$D$1:$O$258,8,FALSE)),"",(VLOOKUP($E226,'A-1 Site Habitat Baseline'!$D$1:$O$258,8,FALSE))))</f>
        <v/>
      </c>
      <c r="K226" s="520" t="str">
        <f>IF(E226="","",IF(ISNA(VLOOKUP($E226,'A-1 Site Habitat Baseline'!$D$1:$O$258,9,FALSE)),"",(VLOOKUP($E226,'A-1 Site Habitat Baseline'!$D$1:$O$258,9,FALSE))))</f>
        <v/>
      </c>
      <c r="L226" s="520" t="str">
        <f>IF(E226="","",IF(ISNA(VLOOKUP($E226,'A-1 Site Habitat Baseline'!$D$1:$O$258,11,FALSE)),"",(VLOOKUP($E226,'A-1 Site Habitat Baseline'!$D$1:$O$258,11,FALSE))))</f>
        <v/>
      </c>
      <c r="M226" s="520" t="str">
        <f>IF(E226="","",IF(ISNA(VLOOKUP($E226,'A-1 Site Habitat Baseline'!$D$1:$O$258,12,FALSE)),"",(VLOOKUP($E226,'A-1 Site Habitat Baseline'!$D$1:$O$258,12,FALSE))))</f>
        <v/>
      </c>
      <c r="N226" s="532" t="str">
        <f>IF(E226="","",IF(ISNA(VLOOKUP($E226,'A-1 Site Habitat Baseline'!$D$1:$X$258,14,FALSE)),"",(VLOOKUP($E226,'A-1 Site Habitat Baseline'!$D$1:$X$258,14,FALSE))))</f>
        <v/>
      </c>
      <c r="O226" s="524" t="str">
        <f>IF(E226="","",IF(ISNA(VLOOKUP($E226,'A-1 Site Habitat Baseline'!$D$1:$X$258,16,FALSE)),"",(VLOOKUP($E226,'A-1 Site Habitat Baseline'!$D$1:$X$258,13,FALSE))))</f>
        <v/>
      </c>
      <c r="P226" s="237" t="str">
        <f>IFERROR(INDEX('G-1 All Habitats'!$AG$3:$AG$15,MATCH(Q226,'G-1 All Habitats'!$AF$3:$AF$15,0)),"")</f>
        <v/>
      </c>
      <c r="Q226" s="238" t="str">
        <f t="shared" si="36"/>
        <v/>
      </c>
      <c r="R226" s="238" t="str">
        <f t="shared" si="37"/>
        <v/>
      </c>
      <c r="S226" s="392" t="str">
        <f>IFERROR(INDEX('G-1 All Habitats'!$B$3:$B$129,MATCH(R226,'G-1 All Habitats'!$A$3:$A$129,0)),"")</f>
        <v/>
      </c>
      <c r="T226" s="498" t="str">
        <f t="shared" si="38"/>
        <v/>
      </c>
      <c r="U226" s="499" t="str">
        <f t="shared" si="39"/>
        <v/>
      </c>
      <c r="V226" s="537" t="str">
        <f t="shared" si="33"/>
        <v/>
      </c>
      <c r="W226" s="520" t="str">
        <f>IF(S226="","",VLOOKUP(S226,'G-1 All Habitats'!$B$2:$M$129,10,FALSE))</f>
        <v/>
      </c>
      <c r="X226" s="520" t="str">
        <f>IFERROR(VLOOKUP(W226,'G-1 All Habitats'!$V$3:$W$7,2,FALSE),"")</f>
        <v/>
      </c>
      <c r="Y226" s="79"/>
      <c r="Z226" s="524" t="str">
        <f>IFERROR(INDEX('G-8 Condition Look up'!$A$3:$H$130,MATCH(S226,'G-8 Condition Look up'!$A$3:$A$130,0),MATCH(Y226,'G-8 Condition Look up'!$A$3:$H$3,0)),"")</f>
        <v/>
      </c>
      <c r="AA226" s="71"/>
      <c r="AB226" s="520" t="str">
        <f>IF(AA226="","",IF(VLOOKUP(AA226,'G-3 Multipliers'!$L$3:$N$6,2,FALSE)=0,"Spatial Data Missing ⚠",VLOOKUP(AA226,'G-3 Multipliers'!$L$3:$N$6,2,FALSE)))</f>
        <v/>
      </c>
      <c r="AC226" s="524" t="str">
        <f>IF(AA226="","",IF(VLOOKUP(AA226,'G-3 Multipliers'!$L$3:$N$6,3,FALSE)=0,"Spatial Data Missing ⚠",VLOOKUP(AA226,'G-3 Multipliers'!$L$3:$N$6,3,FALSE)))</f>
        <v/>
      </c>
      <c r="AD226" s="539" t="str">
        <f t="shared" si="34"/>
        <v/>
      </c>
      <c r="AE226" s="82"/>
      <c r="AF226" s="82"/>
      <c r="AG226" s="507" t="str">
        <f t="shared" si="40"/>
        <v/>
      </c>
      <c r="AH226" s="521" t="str">
        <f t="shared" si="41"/>
        <v/>
      </c>
      <c r="AI226" s="522" t="str">
        <f>IF(AH226="Check Data","Check Data",IFERROR(VLOOKUP(AH226,'G-4 Temporal multipliers'!$A$4:$C$36,3,FALSE),""))</f>
        <v/>
      </c>
      <c r="AJ226" s="498" t="str">
        <f>IF(S226="","",VLOOKUP(S226,'G-3 Multipliers'!$A$2:$E$129,4,FALSE))</f>
        <v/>
      </c>
      <c r="AK226" s="507" t="str">
        <f t="shared" si="42"/>
        <v/>
      </c>
      <c r="AL226" s="507" t="str">
        <f t="shared" si="43"/>
        <v/>
      </c>
      <c r="AM226" s="540" t="str">
        <f>IFERROR(IF(F226="","",IF(AH226="Check Data ⚠","Check Data ⚠",VLOOKUP(AL226, 'G-3 Multipliers'!$P$2:$Q$6,2,FALSE))),"")</f>
        <v/>
      </c>
      <c r="AN226" s="513" t="str">
        <f t="shared" si="35"/>
        <v/>
      </c>
      <c r="AO226" s="239"/>
      <c r="AP226" s="240"/>
    </row>
    <row r="227" spans="1:42" x14ac:dyDescent="0.3">
      <c r="A227" s="47" t="str">
        <f>IF(E227="","",IF(ISNA(VLOOKUP($E227,'A-1 Site Habitat Baseline'!$D$1:$O$258,2,FALSE)),"",(VLOOKUP($E227,'A-1 Site Habitat Baseline'!$D$1:$O$258,2,FALSE))))</f>
        <v/>
      </c>
      <c r="B227" s="47" t="str">
        <f>IF(E227="","",IF(ISNA(VLOOKUP($E227,'A-1 Site Habitat Baseline'!$D$1:$O$258,3,FALSE)),"",(VLOOKUP($E227,'A-1 Site Habitat Baseline'!$D$1:$O$258,3,FALSE))))</f>
        <v/>
      </c>
      <c r="C227" s="47" t="str">
        <f>IFERROR(INDEX('G-8 Condition Look up'!$I$4:$I$130,MATCH(S227,'G-8 Condition Look up'!$A$4:$A$130,0)),"")</f>
        <v/>
      </c>
      <c r="E227" s="531" t="str">
        <f>'A-1 Site Habitat Baseline'!AL226</f>
        <v/>
      </c>
      <c r="F227" s="520" t="str">
        <f>IF(E227="","",IF(ISNA(VLOOKUP($E227,'A-1 Site Habitat Baseline'!$D$1:$O$258,4,FALSE)),"",(VLOOKUP($E227,'A-1 Site Habitat Baseline'!$D$1:$O$258,4,FALSE))))</f>
        <v/>
      </c>
      <c r="G227" s="520" t="str">
        <f>IF(E227="","",IF(ISNA(VLOOKUP($E227,'A-1 Site Habitat Baseline'!$D$1:$O$258,5,FALSE)),"",(VLOOKUP($E227,'A-1 Site Habitat Baseline'!$D$1:$O$258,5,FALSE))))</f>
        <v/>
      </c>
      <c r="H227" s="520" t="str">
        <f>IF(E227="","",IF(ISNA(VLOOKUP($E227,'A-1 Site Habitat Baseline'!$D$1:$O$258,6,FALSE)),"",(VLOOKUP($E227,'A-1 Site Habitat Baseline'!$D$1:$O$258,6,FALSE))))</f>
        <v/>
      </c>
      <c r="I227" s="520" t="str">
        <f>IF(E227="","",IF(ISNA(VLOOKUP($E227,'A-1 Site Habitat Baseline'!$D$1:$O$258,7,FALSE)),"",(VLOOKUP($E227,'A-1 Site Habitat Baseline'!$D$1:$O$258,7,FALSE))))</f>
        <v/>
      </c>
      <c r="J227" s="520" t="str">
        <f>IF(E227="","",IF(ISNA(VLOOKUP($E227,'A-1 Site Habitat Baseline'!$D$1:$O$258,8,FALSE)),"",(VLOOKUP($E227,'A-1 Site Habitat Baseline'!$D$1:$O$258,8,FALSE))))</f>
        <v/>
      </c>
      <c r="K227" s="520" t="str">
        <f>IF(E227="","",IF(ISNA(VLOOKUP($E227,'A-1 Site Habitat Baseline'!$D$1:$O$258,9,FALSE)),"",(VLOOKUP($E227,'A-1 Site Habitat Baseline'!$D$1:$O$258,9,FALSE))))</f>
        <v/>
      </c>
      <c r="L227" s="520" t="str">
        <f>IF(E227="","",IF(ISNA(VLOOKUP($E227,'A-1 Site Habitat Baseline'!$D$1:$O$258,11,FALSE)),"",(VLOOKUP($E227,'A-1 Site Habitat Baseline'!$D$1:$O$258,11,FALSE))))</f>
        <v/>
      </c>
      <c r="M227" s="520" t="str">
        <f>IF(E227="","",IF(ISNA(VLOOKUP($E227,'A-1 Site Habitat Baseline'!$D$1:$O$258,12,FALSE)),"",(VLOOKUP($E227,'A-1 Site Habitat Baseline'!$D$1:$O$258,12,FALSE))))</f>
        <v/>
      </c>
      <c r="N227" s="532" t="str">
        <f>IF(E227="","",IF(ISNA(VLOOKUP($E227,'A-1 Site Habitat Baseline'!$D$1:$X$258,14,FALSE)),"",(VLOOKUP($E227,'A-1 Site Habitat Baseline'!$D$1:$X$258,14,FALSE))))</f>
        <v/>
      </c>
      <c r="O227" s="524" t="str">
        <f>IF(E227="","",IF(ISNA(VLOOKUP($E227,'A-1 Site Habitat Baseline'!$D$1:$X$258,16,FALSE)),"",(VLOOKUP($E227,'A-1 Site Habitat Baseline'!$D$1:$X$258,13,FALSE))))</f>
        <v/>
      </c>
      <c r="P227" s="237" t="str">
        <f>IFERROR(INDEX('G-1 All Habitats'!$AG$3:$AG$15,MATCH(Q227,'G-1 All Habitats'!$AF$3:$AF$15,0)),"")</f>
        <v/>
      </c>
      <c r="Q227" s="238" t="str">
        <f t="shared" si="36"/>
        <v/>
      </c>
      <c r="R227" s="238" t="str">
        <f t="shared" si="37"/>
        <v/>
      </c>
      <c r="S227" s="392" t="str">
        <f>IFERROR(INDEX('G-1 All Habitats'!$B$3:$B$129,MATCH(R227,'G-1 All Habitats'!$A$3:$A$129,0)),"")</f>
        <v/>
      </c>
      <c r="T227" s="498" t="str">
        <f t="shared" si="38"/>
        <v/>
      </c>
      <c r="U227" s="499" t="str">
        <f t="shared" si="39"/>
        <v/>
      </c>
      <c r="V227" s="537" t="str">
        <f t="shared" si="33"/>
        <v/>
      </c>
      <c r="W227" s="520" t="str">
        <f>IF(S227="","",VLOOKUP(S227,'G-1 All Habitats'!$B$2:$M$129,10,FALSE))</f>
        <v/>
      </c>
      <c r="X227" s="520" t="str">
        <f>IFERROR(VLOOKUP(W227,'G-1 All Habitats'!$V$3:$W$7,2,FALSE),"")</f>
        <v/>
      </c>
      <c r="Y227" s="79"/>
      <c r="Z227" s="524" t="str">
        <f>IFERROR(INDEX('G-8 Condition Look up'!$A$3:$H$130,MATCH(S227,'G-8 Condition Look up'!$A$3:$A$130,0),MATCH(Y227,'G-8 Condition Look up'!$A$3:$H$3,0)),"")</f>
        <v/>
      </c>
      <c r="AA227" s="71"/>
      <c r="AB227" s="520" t="str">
        <f>IF(AA227="","",IF(VLOOKUP(AA227,'G-3 Multipliers'!$L$3:$N$6,2,FALSE)=0,"Spatial Data Missing ⚠",VLOOKUP(AA227,'G-3 Multipliers'!$L$3:$N$6,2,FALSE)))</f>
        <v/>
      </c>
      <c r="AC227" s="524" t="str">
        <f>IF(AA227="","",IF(VLOOKUP(AA227,'G-3 Multipliers'!$L$3:$N$6,3,FALSE)=0,"Spatial Data Missing ⚠",VLOOKUP(AA227,'G-3 Multipliers'!$L$3:$N$6,3,FALSE)))</f>
        <v/>
      </c>
      <c r="AD227" s="539" t="str">
        <f t="shared" si="34"/>
        <v/>
      </c>
      <c r="AE227" s="82"/>
      <c r="AF227" s="82"/>
      <c r="AG227" s="507" t="str">
        <f>IF(AD227="","",IF(AD227="Check Data ⚠","Check Data ⚠",IF(R227="","",IF(AND(AE227&gt;0,AF227&gt;0),"Error -both advance and delayed habitat creation ▲",IF(AND(OR(AE227="Habitat already in target condition",AD227&lt;=AE227),AF227=0),"Check details - Is there evidence that habitat has reached target condition? ⚠",IF(O226="","",IF(AE227&gt;0,"Check details - Is there evidence habitat creation started/in place? ⚠",IF(AF227&gt;0,"Check details- Delay in starting habitat in required condition? ⚠","Standard time to target condition applied"))))))))</f>
        <v/>
      </c>
      <c r="AH227" s="521" t="str">
        <f>IF(LEFT(AG227,5)="Error ▲","Check Data ⚠",IF(AG227="Check Data ⚠","Check Data ⚠",IF(AD227="","",IF(AD227="Not Possible","Check Data ⚠",IF(AND(AD227="30+",AE227=0),"30+",IF(AND(AD227="30+",AE227="30+"),0,IF(AND(AD227="30+",AE227&lt;30),30-AE227,IF(AD227="30+",30-AE227,IF(AE227&gt;AD227,0,IF(AF227="30+","30+",IF(AD227+AF227&gt;30,"30+",IF(AD227+AF227&gt;30,"30+",IF(AD227-AE227&gt;30,"30+",IF(AD227+AF227-AE227&gt;0,AD227+AF227-AE227,IF(AD227-AE227&gt;0,AD227-AE227,AD227+AF227-AE227)))))))))))))))</f>
        <v/>
      </c>
      <c r="AI227" s="522" t="str">
        <f>IF(AH227="Check Data","Check Data",IFERROR(VLOOKUP(AH227,'G-4 Temporal multipliers'!$A$4:$C$36,3,FALSE),""))</f>
        <v/>
      </c>
      <c r="AJ227" s="498" t="str">
        <f>IF(S227="","",VLOOKUP(S227,'G-3 Multipliers'!$A$2:$E$129,4,FALSE))</f>
        <v/>
      </c>
      <c r="AK227" s="507" t="str">
        <f t="shared" si="42"/>
        <v/>
      </c>
      <c r="AL227" s="507" t="str">
        <f>(IF(AND(AK227="Standard difficulty applied",AD227&gt;AE227),AJ227,IF(AND(AK227="Low Difficulty - only applicable if all habitat created before losses ⚠",AE227&gt;=AD227),"Low", AJ227)))</f>
        <v/>
      </c>
      <c r="AM227" s="540" t="str">
        <f>IFERROR(IF(F227="","",IF(AH227="Check Data ⚠","Check Data ⚠",VLOOKUP(AL227, 'G-3 Multipliers'!$P$2:$Q$6,2,FALSE))),"")</f>
        <v/>
      </c>
      <c r="AN227" s="513" t="str">
        <f t="shared" si="35"/>
        <v/>
      </c>
      <c r="AO227" s="239"/>
      <c r="AP227" s="240"/>
    </row>
    <row r="228" spans="1:42" x14ac:dyDescent="0.3">
      <c r="A228" s="47" t="str">
        <f>IF(E228="","",IF(ISNA(VLOOKUP($E228,'A-1 Site Habitat Baseline'!$D$1:$O$258,2,FALSE)),"",(VLOOKUP($E228,'A-1 Site Habitat Baseline'!$D$1:$O$258,2,FALSE))))</f>
        <v/>
      </c>
      <c r="B228" s="47" t="str">
        <f>IF(E228="","",IF(ISNA(VLOOKUP($E228,'A-1 Site Habitat Baseline'!$D$1:$O$258,3,FALSE)),"",(VLOOKUP($E228,'A-1 Site Habitat Baseline'!$D$1:$O$258,3,FALSE))))</f>
        <v/>
      </c>
      <c r="C228" s="47" t="str">
        <f>IFERROR(INDEX('G-8 Condition Look up'!$I$4:$I$130,MATCH(S228,'G-8 Condition Look up'!$A$4:$A$130,0)),"")</f>
        <v/>
      </c>
      <c r="E228" s="531" t="str">
        <f>'A-1 Site Habitat Baseline'!AL227</f>
        <v/>
      </c>
      <c r="F228" s="520" t="str">
        <f>IF(E228="","",IF(ISNA(VLOOKUP($E228,'A-1 Site Habitat Baseline'!$D$1:$O$258,4,FALSE)),"",(VLOOKUP($E228,'A-1 Site Habitat Baseline'!$D$1:$O$258,4,FALSE))))</f>
        <v/>
      </c>
      <c r="G228" s="520" t="str">
        <f>IF(E228="","",IF(ISNA(VLOOKUP($E228,'A-1 Site Habitat Baseline'!$D$1:$O$258,5,FALSE)),"",(VLOOKUP($E228,'A-1 Site Habitat Baseline'!$D$1:$O$258,5,FALSE))))</f>
        <v/>
      </c>
      <c r="H228" s="520" t="str">
        <f>IF(E228="","",IF(ISNA(VLOOKUP($E228,'A-1 Site Habitat Baseline'!$D$1:$O$258,6,FALSE)),"",(VLOOKUP($E228,'A-1 Site Habitat Baseline'!$D$1:$O$258,6,FALSE))))</f>
        <v/>
      </c>
      <c r="I228" s="520" t="str">
        <f>IF(E228="","",IF(ISNA(VLOOKUP($E228,'A-1 Site Habitat Baseline'!$D$1:$O$258,7,FALSE)),"",(VLOOKUP($E228,'A-1 Site Habitat Baseline'!$D$1:$O$258,7,FALSE))))</f>
        <v/>
      </c>
      <c r="J228" s="520" t="str">
        <f>IF(E228="","",IF(ISNA(VLOOKUP($E228,'A-1 Site Habitat Baseline'!$D$1:$O$258,8,FALSE)),"",(VLOOKUP($E228,'A-1 Site Habitat Baseline'!$D$1:$O$258,8,FALSE))))</f>
        <v/>
      </c>
      <c r="K228" s="520" t="str">
        <f>IF(E228="","",IF(ISNA(VLOOKUP($E228,'A-1 Site Habitat Baseline'!$D$1:$O$258,9,FALSE)),"",(VLOOKUP($E228,'A-1 Site Habitat Baseline'!$D$1:$O$258,9,FALSE))))</f>
        <v/>
      </c>
      <c r="L228" s="520" t="str">
        <f>IF(E228="","",IF(ISNA(VLOOKUP($E228,'A-1 Site Habitat Baseline'!$D$1:$O$258,11,FALSE)),"",(VLOOKUP($E228,'A-1 Site Habitat Baseline'!$D$1:$O$258,11,FALSE))))</f>
        <v/>
      </c>
      <c r="M228" s="520" t="str">
        <f>IF(E228="","",IF(ISNA(VLOOKUP($E228,'A-1 Site Habitat Baseline'!$D$1:$O$258,12,FALSE)),"",(VLOOKUP($E228,'A-1 Site Habitat Baseline'!$D$1:$O$258,12,FALSE))))</f>
        <v/>
      </c>
      <c r="N228" s="532" t="str">
        <f>IF(E228="","",IF(ISNA(VLOOKUP($E228,'A-1 Site Habitat Baseline'!$D$1:$X$258,14,FALSE)),"",(VLOOKUP($E228,'A-1 Site Habitat Baseline'!$D$1:$X$258,14,FALSE))))</f>
        <v/>
      </c>
      <c r="O228" s="524" t="str">
        <f>IF(E228="","",IF(ISNA(VLOOKUP($E228,'A-1 Site Habitat Baseline'!$D$1:$X$258,16,FALSE)),"",(VLOOKUP($E228,'A-1 Site Habitat Baseline'!$D$1:$X$258,13,FALSE))))</f>
        <v/>
      </c>
      <c r="P228" s="237" t="str">
        <f>IFERROR(INDEX('G-1 All Habitats'!$AG$3:$AG$15,MATCH(Q228,'G-1 All Habitats'!$AF$3:$AF$15,0)),"")</f>
        <v/>
      </c>
      <c r="Q228" s="238" t="str">
        <f t="shared" si="36"/>
        <v/>
      </c>
      <c r="R228" s="238" t="str">
        <f t="shared" si="37"/>
        <v/>
      </c>
      <c r="S228" s="392" t="str">
        <f>IFERROR(INDEX('G-1 All Habitats'!$B$3:$B$129,MATCH(R228,'G-1 All Habitats'!$A$3:$A$129,0)),"")</f>
        <v/>
      </c>
      <c r="T228" s="498" t="str">
        <f t="shared" si="38"/>
        <v/>
      </c>
      <c r="U228" s="499" t="str">
        <f t="shared" si="39"/>
        <v/>
      </c>
      <c r="V228" s="537" t="str">
        <f t="shared" si="33"/>
        <v/>
      </c>
      <c r="W228" s="520" t="str">
        <f>IF(S228="","",VLOOKUP(S228,'G-1 All Habitats'!$B$2:$M$129,10,FALSE))</f>
        <v/>
      </c>
      <c r="X228" s="520" t="str">
        <f>IFERROR(VLOOKUP(W228,'G-1 All Habitats'!$V$3:$W$7,2,FALSE),"")</f>
        <v/>
      </c>
      <c r="Y228" s="79"/>
      <c r="Z228" s="524" t="str">
        <f>IFERROR(INDEX('G-8 Condition Look up'!$A$3:$H$130,MATCH(S228,'G-8 Condition Look up'!$A$3:$A$130,0),MATCH(Y228,'G-8 Condition Look up'!$A$3:$H$3,0)),"")</f>
        <v/>
      </c>
      <c r="AA228" s="71"/>
      <c r="AB228" s="520" t="str">
        <f>IF(AA228="","",IF(VLOOKUP(AA228,'G-3 Multipliers'!$L$3:$N$6,2,FALSE)=0,"Spatial Data Missing ⚠",VLOOKUP(AA228,'G-3 Multipliers'!$L$3:$N$6,2,FALSE)))</f>
        <v/>
      </c>
      <c r="AC228" s="524" t="str">
        <f>IF(AA228="","",IF(VLOOKUP(AA228,'G-3 Multipliers'!$L$3:$N$6,3,FALSE)=0,"Spatial Data Missing ⚠",VLOOKUP(AA228,'G-3 Multipliers'!$L$3:$N$6,3,FALSE)))</f>
        <v/>
      </c>
      <c r="AD228" s="539" t="str">
        <f t="shared" si="34"/>
        <v/>
      </c>
      <c r="AE228" s="82"/>
      <c r="AF228" s="82"/>
      <c r="AG228" s="507" t="str">
        <f t="shared" si="40"/>
        <v/>
      </c>
      <c r="AH228" s="521" t="str">
        <f t="shared" si="41"/>
        <v/>
      </c>
      <c r="AI228" s="522" t="str">
        <f>IF(AH228="Check Data","Check Data",IFERROR(VLOOKUP(AH228,'G-4 Temporal multipliers'!$A$4:$C$36,3,FALSE),""))</f>
        <v/>
      </c>
      <c r="AJ228" s="498" t="str">
        <f>IF(S228="","",VLOOKUP(S228,'G-3 Multipliers'!$A$2:$E$129,4,FALSE))</f>
        <v/>
      </c>
      <c r="AK228" s="507" t="str">
        <f t="shared" si="42"/>
        <v/>
      </c>
      <c r="AL228" s="507" t="str">
        <f t="shared" si="43"/>
        <v/>
      </c>
      <c r="AM228" s="540" t="str">
        <f>IFERROR(IF(F228="","",IF(AH228="Check Data ⚠","Check Data ⚠",VLOOKUP(AL228, 'G-3 Multipliers'!$P$2:$Q$6,2,FALSE))),"")</f>
        <v/>
      </c>
      <c r="AN228" s="513" t="str">
        <f t="shared" si="35"/>
        <v/>
      </c>
      <c r="AO228" s="239"/>
      <c r="AP228" s="240"/>
    </row>
    <row r="229" spans="1:42" x14ac:dyDescent="0.3">
      <c r="A229" s="47" t="str">
        <f>IF(E229="","",IF(ISNA(VLOOKUP($E229,'A-1 Site Habitat Baseline'!$D$1:$O$258,2,FALSE)),"",(VLOOKUP($E229,'A-1 Site Habitat Baseline'!$D$1:$O$258,2,FALSE))))</f>
        <v/>
      </c>
      <c r="B229" s="47" t="str">
        <f>IF(E229="","",IF(ISNA(VLOOKUP($E229,'A-1 Site Habitat Baseline'!$D$1:$O$258,3,FALSE)),"",(VLOOKUP($E229,'A-1 Site Habitat Baseline'!$D$1:$O$258,3,FALSE))))</f>
        <v/>
      </c>
      <c r="C229" s="47" t="str">
        <f>IFERROR(INDEX('G-8 Condition Look up'!$I$4:$I$130,MATCH(S229,'G-8 Condition Look up'!$A$4:$A$130,0)),"")</f>
        <v/>
      </c>
      <c r="E229" s="531" t="str">
        <f>'A-1 Site Habitat Baseline'!AL228</f>
        <v/>
      </c>
      <c r="F229" s="520" t="str">
        <f>IF(E229="","",IF(ISNA(VLOOKUP($E229,'A-1 Site Habitat Baseline'!$D$1:$O$258,4,FALSE)),"",(VLOOKUP($E229,'A-1 Site Habitat Baseline'!$D$1:$O$258,4,FALSE))))</f>
        <v/>
      </c>
      <c r="G229" s="520" t="str">
        <f>IF(E229="","",IF(ISNA(VLOOKUP($E229,'A-1 Site Habitat Baseline'!$D$1:$O$258,5,FALSE)),"",(VLOOKUP($E229,'A-1 Site Habitat Baseline'!$D$1:$O$258,5,FALSE))))</f>
        <v/>
      </c>
      <c r="H229" s="520" t="str">
        <f>IF(E229="","",IF(ISNA(VLOOKUP($E229,'A-1 Site Habitat Baseline'!$D$1:$O$258,6,FALSE)),"",(VLOOKUP($E229,'A-1 Site Habitat Baseline'!$D$1:$O$258,6,FALSE))))</f>
        <v/>
      </c>
      <c r="I229" s="520" t="str">
        <f>IF(E229="","",IF(ISNA(VLOOKUP($E229,'A-1 Site Habitat Baseline'!$D$1:$O$258,7,FALSE)),"",(VLOOKUP($E229,'A-1 Site Habitat Baseline'!$D$1:$O$258,7,FALSE))))</f>
        <v/>
      </c>
      <c r="J229" s="520" t="str">
        <f>IF(E229="","",IF(ISNA(VLOOKUP($E229,'A-1 Site Habitat Baseline'!$D$1:$O$258,8,FALSE)),"",(VLOOKUP($E229,'A-1 Site Habitat Baseline'!$D$1:$O$258,8,FALSE))))</f>
        <v/>
      </c>
      <c r="K229" s="520" t="str">
        <f>IF(E229="","",IF(ISNA(VLOOKUP($E229,'A-1 Site Habitat Baseline'!$D$1:$O$258,9,FALSE)),"",(VLOOKUP($E229,'A-1 Site Habitat Baseline'!$D$1:$O$258,9,FALSE))))</f>
        <v/>
      </c>
      <c r="L229" s="520" t="str">
        <f>IF(E229="","",IF(ISNA(VLOOKUP($E229,'A-1 Site Habitat Baseline'!$D$1:$O$258,11,FALSE)),"",(VLOOKUP($E229,'A-1 Site Habitat Baseline'!$D$1:$O$258,11,FALSE))))</f>
        <v/>
      </c>
      <c r="M229" s="520" t="str">
        <f>IF(E229="","",IF(ISNA(VLOOKUP($E229,'A-1 Site Habitat Baseline'!$D$1:$O$258,12,FALSE)),"",(VLOOKUP($E229,'A-1 Site Habitat Baseline'!$D$1:$O$258,12,FALSE))))</f>
        <v/>
      </c>
      <c r="N229" s="532" t="str">
        <f>IF(E229="","",IF(ISNA(VLOOKUP($E229,'A-1 Site Habitat Baseline'!$D$1:$X$258,14,FALSE)),"",(VLOOKUP($E229,'A-1 Site Habitat Baseline'!$D$1:$X$258,14,FALSE))))</f>
        <v/>
      </c>
      <c r="O229" s="524" t="str">
        <f>IF(E229="","",IF(ISNA(VLOOKUP($E229,'A-1 Site Habitat Baseline'!$D$1:$X$258,16,FALSE)),"",(VLOOKUP($E229,'A-1 Site Habitat Baseline'!$D$1:$X$258,13,FALSE))))</f>
        <v/>
      </c>
      <c r="P229" s="237" t="str">
        <f>IFERROR(INDEX('G-1 All Habitats'!$AG$3:$AG$15,MATCH(Q229,'G-1 All Habitats'!$AF$3:$AF$15,0)),"")</f>
        <v/>
      </c>
      <c r="Q229" s="238" t="str">
        <f t="shared" si="36"/>
        <v/>
      </c>
      <c r="R229" s="238" t="str">
        <f t="shared" si="37"/>
        <v/>
      </c>
      <c r="S229" s="392" t="str">
        <f>IFERROR(INDEX('G-1 All Habitats'!$B$3:$B$129,MATCH(R229,'G-1 All Habitats'!$A$3:$A$129,0)),"")</f>
        <v/>
      </c>
      <c r="T229" s="498" t="str">
        <f t="shared" si="38"/>
        <v/>
      </c>
      <c r="U229" s="499" t="str">
        <f t="shared" si="39"/>
        <v/>
      </c>
      <c r="V229" s="537" t="str">
        <f t="shared" si="33"/>
        <v/>
      </c>
      <c r="W229" s="520" t="str">
        <f>IF(S229="","",VLOOKUP(S229,'G-1 All Habitats'!$B$2:$M$129,10,FALSE))</f>
        <v/>
      </c>
      <c r="X229" s="520" t="str">
        <f>IFERROR(VLOOKUP(W229,'G-1 All Habitats'!$V$3:$W$7,2,FALSE),"")</f>
        <v/>
      </c>
      <c r="Y229" s="79"/>
      <c r="Z229" s="524" t="str">
        <f>IFERROR(INDEX('G-8 Condition Look up'!$A$3:$H$130,MATCH(S229,'G-8 Condition Look up'!$A$3:$A$130,0),MATCH(Y229,'G-8 Condition Look up'!$A$3:$H$3,0)),"")</f>
        <v/>
      </c>
      <c r="AA229" s="71"/>
      <c r="AB229" s="520" t="str">
        <f>IF(AA229="","",IF(VLOOKUP(AA229,'G-3 Multipliers'!$L$3:$N$6,2,FALSE)=0,"Spatial Data Missing ⚠",VLOOKUP(AA229,'G-3 Multipliers'!$L$3:$N$6,2,FALSE)))</f>
        <v/>
      </c>
      <c r="AC229" s="524" t="str">
        <f>IF(AA229="","",IF(VLOOKUP(AA229,'G-3 Multipliers'!$L$3:$N$6,3,FALSE)=0,"Spatial Data Missing ⚠",VLOOKUP(AA229,'G-3 Multipliers'!$L$3:$N$6,3,FALSE)))</f>
        <v/>
      </c>
      <c r="AD229" s="539" t="str">
        <f t="shared" si="34"/>
        <v/>
      </c>
      <c r="AE229" s="82"/>
      <c r="AF229" s="82"/>
      <c r="AG229" s="507" t="str">
        <f t="shared" si="40"/>
        <v/>
      </c>
      <c r="AH229" s="521" t="str">
        <f t="shared" si="41"/>
        <v/>
      </c>
      <c r="AI229" s="522" t="str">
        <f>IF(AH229="Check Data","Check Data",IFERROR(VLOOKUP(AH229,'G-4 Temporal multipliers'!$A$4:$C$36,3,FALSE),""))</f>
        <v/>
      </c>
      <c r="AJ229" s="498" t="str">
        <f>IF(S229="","",VLOOKUP(S229,'G-3 Multipliers'!$A$2:$E$129,4,FALSE))</f>
        <v/>
      </c>
      <c r="AK229" s="507" t="str">
        <f t="shared" si="42"/>
        <v/>
      </c>
      <c r="AL229" s="507" t="str">
        <f t="shared" si="43"/>
        <v/>
      </c>
      <c r="AM229" s="540" t="str">
        <f>IFERROR(IF(F229="","",IF(AH229="Check Data ⚠","Check Data ⚠",VLOOKUP(AL229, 'G-3 Multipliers'!$P$2:$Q$6,2,FALSE))),"")</f>
        <v/>
      </c>
      <c r="AN229" s="513" t="str">
        <f t="shared" si="35"/>
        <v/>
      </c>
      <c r="AO229" s="239"/>
      <c r="AP229" s="240"/>
    </row>
    <row r="230" spans="1:42" x14ac:dyDescent="0.3">
      <c r="A230" s="47" t="str">
        <f>IF(E230="","",IF(ISNA(VLOOKUP($E230,'A-1 Site Habitat Baseline'!$D$1:$O$258,2,FALSE)),"",(VLOOKUP($E230,'A-1 Site Habitat Baseline'!$D$1:$O$258,2,FALSE))))</f>
        <v/>
      </c>
      <c r="B230" s="47" t="str">
        <f>IF(E230="","",IF(ISNA(VLOOKUP($E230,'A-1 Site Habitat Baseline'!$D$1:$O$258,3,FALSE)),"",(VLOOKUP($E230,'A-1 Site Habitat Baseline'!$D$1:$O$258,3,FALSE))))</f>
        <v/>
      </c>
      <c r="C230" s="47" t="str">
        <f>IFERROR(INDEX('G-8 Condition Look up'!$I$4:$I$130,MATCH(S230,'G-8 Condition Look up'!$A$4:$A$130,0)),"")</f>
        <v/>
      </c>
      <c r="E230" s="531" t="str">
        <f>'A-1 Site Habitat Baseline'!AL229</f>
        <v/>
      </c>
      <c r="F230" s="520" t="str">
        <f>IF(E230="","",IF(ISNA(VLOOKUP($E230,'A-1 Site Habitat Baseline'!$D$1:$O$258,4,FALSE)),"",(VLOOKUP($E230,'A-1 Site Habitat Baseline'!$D$1:$O$258,4,FALSE))))</f>
        <v/>
      </c>
      <c r="G230" s="520" t="str">
        <f>IF(E230="","",IF(ISNA(VLOOKUP($E230,'A-1 Site Habitat Baseline'!$D$1:$O$258,5,FALSE)),"",(VLOOKUP($E230,'A-1 Site Habitat Baseline'!$D$1:$O$258,5,FALSE))))</f>
        <v/>
      </c>
      <c r="H230" s="520" t="str">
        <f>IF(E230="","",IF(ISNA(VLOOKUP($E230,'A-1 Site Habitat Baseline'!$D$1:$O$258,6,FALSE)),"",(VLOOKUP($E230,'A-1 Site Habitat Baseline'!$D$1:$O$258,6,FALSE))))</f>
        <v/>
      </c>
      <c r="I230" s="520" t="str">
        <f>IF(E230="","",IF(ISNA(VLOOKUP($E230,'A-1 Site Habitat Baseline'!$D$1:$O$258,7,FALSE)),"",(VLOOKUP($E230,'A-1 Site Habitat Baseline'!$D$1:$O$258,7,FALSE))))</f>
        <v/>
      </c>
      <c r="J230" s="520" t="str">
        <f>IF(E230="","",IF(ISNA(VLOOKUP($E230,'A-1 Site Habitat Baseline'!$D$1:$O$258,8,FALSE)),"",(VLOOKUP($E230,'A-1 Site Habitat Baseline'!$D$1:$O$258,8,FALSE))))</f>
        <v/>
      </c>
      <c r="K230" s="520" t="str">
        <f>IF(E230="","",IF(ISNA(VLOOKUP($E230,'A-1 Site Habitat Baseline'!$D$1:$O$258,9,FALSE)),"",(VLOOKUP($E230,'A-1 Site Habitat Baseline'!$D$1:$O$258,9,FALSE))))</f>
        <v/>
      </c>
      <c r="L230" s="520" t="str">
        <f>IF(E230="","",IF(ISNA(VLOOKUP($E230,'A-1 Site Habitat Baseline'!$D$1:$O$258,11,FALSE)),"",(VLOOKUP($E230,'A-1 Site Habitat Baseline'!$D$1:$O$258,11,FALSE))))</f>
        <v/>
      </c>
      <c r="M230" s="520" t="str">
        <f>IF(E230="","",IF(ISNA(VLOOKUP($E230,'A-1 Site Habitat Baseline'!$D$1:$O$258,12,FALSE)),"",(VLOOKUP($E230,'A-1 Site Habitat Baseline'!$D$1:$O$258,12,FALSE))))</f>
        <v/>
      </c>
      <c r="N230" s="532" t="str">
        <f>IF(E230="","",IF(ISNA(VLOOKUP($E230,'A-1 Site Habitat Baseline'!$D$1:$X$258,14,FALSE)),"",(VLOOKUP($E230,'A-1 Site Habitat Baseline'!$D$1:$X$258,14,FALSE))))</f>
        <v/>
      </c>
      <c r="O230" s="524" t="str">
        <f>IF(E230="","",IF(ISNA(VLOOKUP($E230,'A-1 Site Habitat Baseline'!$D$1:$X$258,16,FALSE)),"",(VLOOKUP($E230,'A-1 Site Habitat Baseline'!$D$1:$X$258,13,FALSE))))</f>
        <v/>
      </c>
      <c r="P230" s="237" t="str">
        <f>IFERROR(INDEX('G-1 All Habitats'!$AG$3:$AG$15,MATCH(Q230,'G-1 All Habitats'!$AF$3:$AF$15,0)),"")</f>
        <v/>
      </c>
      <c r="Q230" s="238" t="str">
        <f t="shared" si="36"/>
        <v/>
      </c>
      <c r="R230" s="238" t="str">
        <f t="shared" si="37"/>
        <v/>
      </c>
      <c r="S230" s="392" t="str">
        <f>IFERROR(INDEX('G-1 All Habitats'!$B$3:$B$129,MATCH(R230,'G-1 All Habitats'!$A$3:$A$129,0)),"")</f>
        <v/>
      </c>
      <c r="T230" s="498" t="str">
        <f t="shared" si="38"/>
        <v/>
      </c>
      <c r="U230" s="499" t="str">
        <f t="shared" si="39"/>
        <v/>
      </c>
      <c r="V230" s="537" t="str">
        <f t="shared" si="33"/>
        <v/>
      </c>
      <c r="W230" s="520" t="str">
        <f>IF(S230="","",VLOOKUP(S230,'G-1 All Habitats'!$B$2:$M$129,10,FALSE))</f>
        <v/>
      </c>
      <c r="X230" s="520" t="str">
        <f>IFERROR(VLOOKUP(W230,'G-1 All Habitats'!$V$3:$W$7,2,FALSE),"")</f>
        <v/>
      </c>
      <c r="Y230" s="79"/>
      <c r="Z230" s="524" t="str">
        <f>IFERROR(INDEX('G-8 Condition Look up'!$A$3:$H$130,MATCH(S230,'G-8 Condition Look up'!$A$3:$A$130,0),MATCH(Y230,'G-8 Condition Look up'!$A$3:$H$3,0)),"")</f>
        <v/>
      </c>
      <c r="AA230" s="71"/>
      <c r="AB230" s="520" t="str">
        <f>IF(AA230="","",IF(VLOOKUP(AA230,'G-3 Multipliers'!$L$3:$N$6,2,FALSE)=0,"Spatial Data Missing ⚠",VLOOKUP(AA230,'G-3 Multipliers'!$L$3:$N$6,2,FALSE)))</f>
        <v/>
      </c>
      <c r="AC230" s="524" t="str">
        <f>IF(AA230="","",IF(VLOOKUP(AA230,'G-3 Multipliers'!$L$3:$N$6,3,FALSE)=0,"Spatial Data Missing ⚠",VLOOKUP(AA230,'G-3 Multipliers'!$L$3:$N$6,3,FALSE)))</f>
        <v/>
      </c>
      <c r="AD230" s="539" t="str">
        <f t="shared" si="34"/>
        <v/>
      </c>
      <c r="AE230" s="82"/>
      <c r="AF230" s="82"/>
      <c r="AG230" s="507" t="str">
        <f t="shared" si="40"/>
        <v/>
      </c>
      <c r="AH230" s="521" t="str">
        <f t="shared" si="41"/>
        <v/>
      </c>
      <c r="AI230" s="522" t="str">
        <f>IF(AH230="Check Data","Check Data",IFERROR(VLOOKUP(AH230,'G-4 Temporal multipliers'!$A$4:$C$36,3,FALSE),""))</f>
        <v/>
      </c>
      <c r="AJ230" s="498" t="str">
        <f>IF(S230="","",VLOOKUP(S230,'G-3 Multipliers'!$A$2:$E$129,4,FALSE))</f>
        <v/>
      </c>
      <c r="AK230" s="507" t="str">
        <f t="shared" si="42"/>
        <v/>
      </c>
      <c r="AL230" s="507" t="str">
        <f t="shared" si="43"/>
        <v/>
      </c>
      <c r="AM230" s="540" t="str">
        <f>IFERROR(IF(F230="","",IF(AH230="Check Data ⚠","Check Data ⚠",VLOOKUP(AL230, 'G-3 Multipliers'!$P$2:$Q$6,2,FALSE))),"")</f>
        <v/>
      </c>
      <c r="AN230" s="513" t="str">
        <f t="shared" si="35"/>
        <v/>
      </c>
      <c r="AO230" s="239"/>
      <c r="AP230" s="240"/>
    </row>
    <row r="231" spans="1:42" x14ac:dyDescent="0.3">
      <c r="A231" s="47" t="str">
        <f>IF(E231="","",IF(ISNA(VLOOKUP($E231,'A-1 Site Habitat Baseline'!$D$1:$O$258,2,FALSE)),"",(VLOOKUP($E231,'A-1 Site Habitat Baseline'!$D$1:$O$258,2,FALSE))))</f>
        <v/>
      </c>
      <c r="B231" s="47" t="str">
        <f>IF(E231="","",IF(ISNA(VLOOKUP($E231,'A-1 Site Habitat Baseline'!$D$1:$O$258,3,FALSE)),"",(VLOOKUP($E231,'A-1 Site Habitat Baseline'!$D$1:$O$258,3,FALSE))))</f>
        <v/>
      </c>
      <c r="C231" s="47" t="str">
        <f>IFERROR(INDEX('G-8 Condition Look up'!$I$4:$I$130,MATCH(S231,'G-8 Condition Look up'!$A$4:$A$130,0)),"")</f>
        <v/>
      </c>
      <c r="E231" s="531" t="str">
        <f>'A-1 Site Habitat Baseline'!AL230</f>
        <v/>
      </c>
      <c r="F231" s="520" t="str">
        <f>IF(E231="","",IF(ISNA(VLOOKUP($E231,'A-1 Site Habitat Baseline'!$D$1:$O$258,4,FALSE)),"",(VLOOKUP($E231,'A-1 Site Habitat Baseline'!$D$1:$O$258,4,FALSE))))</f>
        <v/>
      </c>
      <c r="G231" s="520" t="str">
        <f>IF(E231="","",IF(ISNA(VLOOKUP($E231,'A-1 Site Habitat Baseline'!$D$1:$O$258,5,FALSE)),"",(VLOOKUP($E231,'A-1 Site Habitat Baseline'!$D$1:$O$258,5,FALSE))))</f>
        <v/>
      </c>
      <c r="H231" s="520" t="str">
        <f>IF(E231="","",IF(ISNA(VLOOKUP($E231,'A-1 Site Habitat Baseline'!$D$1:$O$258,6,FALSE)),"",(VLOOKUP($E231,'A-1 Site Habitat Baseline'!$D$1:$O$258,6,FALSE))))</f>
        <v/>
      </c>
      <c r="I231" s="520" t="str">
        <f>IF(E231="","",IF(ISNA(VLOOKUP($E231,'A-1 Site Habitat Baseline'!$D$1:$O$258,7,FALSE)),"",(VLOOKUP($E231,'A-1 Site Habitat Baseline'!$D$1:$O$258,7,FALSE))))</f>
        <v/>
      </c>
      <c r="J231" s="520" t="str">
        <f>IF(E231="","",IF(ISNA(VLOOKUP($E231,'A-1 Site Habitat Baseline'!$D$1:$O$258,8,FALSE)),"",(VLOOKUP($E231,'A-1 Site Habitat Baseline'!$D$1:$O$258,8,FALSE))))</f>
        <v/>
      </c>
      <c r="K231" s="520" t="str">
        <f>IF(E231="","",IF(ISNA(VLOOKUP($E231,'A-1 Site Habitat Baseline'!$D$1:$O$258,9,FALSE)),"",(VLOOKUP($E231,'A-1 Site Habitat Baseline'!$D$1:$O$258,9,FALSE))))</f>
        <v/>
      </c>
      <c r="L231" s="520" t="str">
        <f>IF(E231="","",IF(ISNA(VLOOKUP($E231,'A-1 Site Habitat Baseline'!$D$1:$O$258,11,FALSE)),"",(VLOOKUP($E231,'A-1 Site Habitat Baseline'!$D$1:$O$258,11,FALSE))))</f>
        <v/>
      </c>
      <c r="M231" s="520" t="str">
        <f>IF(E231="","",IF(ISNA(VLOOKUP($E231,'A-1 Site Habitat Baseline'!$D$1:$O$258,12,FALSE)),"",(VLOOKUP($E231,'A-1 Site Habitat Baseline'!$D$1:$O$258,12,FALSE))))</f>
        <v/>
      </c>
      <c r="N231" s="532" t="str">
        <f>IF(E231="","",IF(ISNA(VLOOKUP($E231,'A-1 Site Habitat Baseline'!$D$1:$X$258,14,FALSE)),"",(VLOOKUP($E231,'A-1 Site Habitat Baseline'!$D$1:$X$258,14,FALSE))))</f>
        <v/>
      </c>
      <c r="O231" s="524" t="str">
        <f>IF(E231="","",IF(ISNA(VLOOKUP($E231,'A-1 Site Habitat Baseline'!$D$1:$X$258,16,FALSE)),"",(VLOOKUP($E231,'A-1 Site Habitat Baseline'!$D$1:$X$258,13,FALSE))))</f>
        <v/>
      </c>
      <c r="P231" s="237" t="str">
        <f>IFERROR(INDEX('G-1 All Habitats'!$AG$3:$AG$15,MATCH(Q231,'G-1 All Habitats'!$AF$3:$AF$15,0)),"")</f>
        <v/>
      </c>
      <c r="Q231" s="238" t="str">
        <f t="shared" si="36"/>
        <v/>
      </c>
      <c r="R231" s="238" t="str">
        <f t="shared" si="37"/>
        <v/>
      </c>
      <c r="S231" s="392" t="str">
        <f>IFERROR(INDEX('G-1 All Habitats'!$B$3:$B$129,MATCH(R231,'G-1 All Habitats'!$A$3:$A$129,0)),"")</f>
        <v/>
      </c>
      <c r="T231" s="498" t="str">
        <f t="shared" si="38"/>
        <v/>
      </c>
      <c r="U231" s="499" t="str">
        <f t="shared" si="39"/>
        <v/>
      </c>
      <c r="V231" s="537" t="str">
        <f t="shared" si="33"/>
        <v/>
      </c>
      <c r="W231" s="520" t="str">
        <f>IF(S231="","",VLOOKUP(S231,'G-1 All Habitats'!$B$2:$M$129,10,FALSE))</f>
        <v/>
      </c>
      <c r="X231" s="520" t="str">
        <f>IFERROR(VLOOKUP(W231,'G-1 All Habitats'!$V$3:$W$7,2,FALSE),"")</f>
        <v/>
      </c>
      <c r="Y231" s="79"/>
      <c r="Z231" s="524" t="str">
        <f>IFERROR(INDEX('G-8 Condition Look up'!$A$3:$H$130,MATCH(S231,'G-8 Condition Look up'!$A$3:$A$130,0),MATCH(Y231,'G-8 Condition Look up'!$A$3:$H$3,0)),"")</f>
        <v/>
      </c>
      <c r="AA231" s="71"/>
      <c r="AB231" s="520" t="str">
        <f>IF(AA231="","",IF(VLOOKUP(AA231,'G-3 Multipliers'!$L$3:$N$6,2,FALSE)=0,"Spatial Data Missing ⚠",VLOOKUP(AA231,'G-3 Multipliers'!$L$3:$N$6,2,FALSE)))</f>
        <v/>
      </c>
      <c r="AC231" s="524" t="str">
        <f>IF(AA231="","",IF(VLOOKUP(AA231,'G-3 Multipliers'!$L$3:$N$6,3,FALSE)=0,"Spatial Data Missing ⚠",VLOOKUP(AA231,'G-3 Multipliers'!$L$3:$N$6,3,FALSE)))</f>
        <v/>
      </c>
      <c r="AD231" s="539" t="str">
        <f t="shared" si="34"/>
        <v/>
      </c>
      <c r="AE231" s="82"/>
      <c r="AF231" s="82"/>
      <c r="AG231" s="507" t="str">
        <f t="shared" si="40"/>
        <v/>
      </c>
      <c r="AH231" s="521" t="str">
        <f t="shared" si="41"/>
        <v/>
      </c>
      <c r="AI231" s="522" t="str">
        <f>IF(AH231="Check Data","Check Data",IFERROR(VLOOKUP(AH231,'G-4 Temporal multipliers'!$A$4:$C$36,3,FALSE),""))</f>
        <v/>
      </c>
      <c r="AJ231" s="498" t="str">
        <f>IF(S231="","",VLOOKUP(S231,'G-3 Multipliers'!$A$2:$E$129,4,FALSE))</f>
        <v/>
      </c>
      <c r="AK231" s="507" t="str">
        <f t="shared" si="42"/>
        <v/>
      </c>
      <c r="AL231" s="507" t="str">
        <f t="shared" si="43"/>
        <v/>
      </c>
      <c r="AM231" s="540" t="str">
        <f>IFERROR(IF(F231="","",IF(AH231="Check Data ⚠","Check Data ⚠",VLOOKUP(AL231, 'G-3 Multipliers'!$P$2:$Q$6,2,FALSE))),"")</f>
        <v/>
      </c>
      <c r="AN231" s="513" t="str">
        <f t="shared" si="35"/>
        <v/>
      </c>
      <c r="AO231" s="239"/>
      <c r="AP231" s="240"/>
    </row>
    <row r="232" spans="1:42" x14ac:dyDescent="0.3">
      <c r="A232" s="47" t="str">
        <f>IF(E232="","",IF(ISNA(VLOOKUP($E232,'A-1 Site Habitat Baseline'!$D$1:$O$258,2,FALSE)),"",(VLOOKUP($E232,'A-1 Site Habitat Baseline'!$D$1:$O$258,2,FALSE))))</f>
        <v/>
      </c>
      <c r="B232" s="47" t="str">
        <f>IF(E232="","",IF(ISNA(VLOOKUP($E232,'A-1 Site Habitat Baseline'!$D$1:$O$258,3,FALSE)),"",(VLOOKUP($E232,'A-1 Site Habitat Baseline'!$D$1:$O$258,3,FALSE))))</f>
        <v/>
      </c>
      <c r="C232" s="47" t="str">
        <f>IFERROR(INDEX('G-8 Condition Look up'!$I$4:$I$130,MATCH(S232,'G-8 Condition Look up'!$A$4:$A$130,0)),"")</f>
        <v/>
      </c>
      <c r="E232" s="531" t="str">
        <f>'A-1 Site Habitat Baseline'!AL231</f>
        <v/>
      </c>
      <c r="F232" s="520" t="str">
        <f>IF(E232="","",IF(ISNA(VLOOKUP($E232,'A-1 Site Habitat Baseline'!$D$1:$O$258,4,FALSE)),"",(VLOOKUP($E232,'A-1 Site Habitat Baseline'!$D$1:$O$258,4,FALSE))))</f>
        <v/>
      </c>
      <c r="G232" s="520" t="str">
        <f>IF(E232="","",IF(ISNA(VLOOKUP($E232,'A-1 Site Habitat Baseline'!$D$1:$O$258,5,FALSE)),"",(VLOOKUP($E232,'A-1 Site Habitat Baseline'!$D$1:$O$258,5,FALSE))))</f>
        <v/>
      </c>
      <c r="H232" s="520" t="str">
        <f>IF(E232="","",IF(ISNA(VLOOKUP($E232,'A-1 Site Habitat Baseline'!$D$1:$O$258,6,FALSE)),"",(VLOOKUP($E232,'A-1 Site Habitat Baseline'!$D$1:$O$258,6,FALSE))))</f>
        <v/>
      </c>
      <c r="I232" s="520" t="str">
        <f>IF(E232="","",IF(ISNA(VLOOKUP($E232,'A-1 Site Habitat Baseline'!$D$1:$O$258,7,FALSE)),"",(VLOOKUP($E232,'A-1 Site Habitat Baseline'!$D$1:$O$258,7,FALSE))))</f>
        <v/>
      </c>
      <c r="J232" s="520" t="str">
        <f>IF(E232="","",IF(ISNA(VLOOKUP($E232,'A-1 Site Habitat Baseline'!$D$1:$O$258,8,FALSE)),"",(VLOOKUP($E232,'A-1 Site Habitat Baseline'!$D$1:$O$258,8,FALSE))))</f>
        <v/>
      </c>
      <c r="K232" s="520" t="str">
        <f>IF(E232="","",IF(ISNA(VLOOKUP($E232,'A-1 Site Habitat Baseline'!$D$1:$O$258,9,FALSE)),"",(VLOOKUP($E232,'A-1 Site Habitat Baseline'!$D$1:$O$258,9,FALSE))))</f>
        <v/>
      </c>
      <c r="L232" s="520" t="str">
        <f>IF(E232="","",IF(ISNA(VLOOKUP($E232,'A-1 Site Habitat Baseline'!$D$1:$O$258,11,FALSE)),"",(VLOOKUP($E232,'A-1 Site Habitat Baseline'!$D$1:$O$258,11,FALSE))))</f>
        <v/>
      </c>
      <c r="M232" s="520" t="str">
        <f>IF(E232="","",IF(ISNA(VLOOKUP($E232,'A-1 Site Habitat Baseline'!$D$1:$O$258,12,FALSE)),"",(VLOOKUP($E232,'A-1 Site Habitat Baseline'!$D$1:$O$258,12,FALSE))))</f>
        <v/>
      </c>
      <c r="N232" s="532" t="str">
        <f>IF(E232="","",IF(ISNA(VLOOKUP($E232,'A-1 Site Habitat Baseline'!$D$1:$X$258,14,FALSE)),"",(VLOOKUP($E232,'A-1 Site Habitat Baseline'!$D$1:$X$258,14,FALSE))))</f>
        <v/>
      </c>
      <c r="O232" s="524" t="str">
        <f>IF(E232="","",IF(ISNA(VLOOKUP($E232,'A-1 Site Habitat Baseline'!$D$1:$X$258,16,FALSE)),"",(VLOOKUP($E232,'A-1 Site Habitat Baseline'!$D$1:$X$258,13,FALSE))))</f>
        <v/>
      </c>
      <c r="P232" s="237" t="str">
        <f>IFERROR(INDEX('G-1 All Habitats'!$AG$3:$AG$15,MATCH(Q232,'G-1 All Habitats'!$AF$3:$AF$15,0)),"")</f>
        <v/>
      </c>
      <c r="Q232" s="238" t="str">
        <f t="shared" si="36"/>
        <v/>
      </c>
      <c r="R232" s="238" t="str">
        <f t="shared" si="37"/>
        <v/>
      </c>
      <c r="S232" s="392" t="str">
        <f>IFERROR(INDEX('G-1 All Habitats'!$B$3:$B$129,MATCH(R232,'G-1 All Habitats'!$A$3:$A$129,0)),"")</f>
        <v/>
      </c>
      <c r="T232" s="498" t="str">
        <f t="shared" si="38"/>
        <v/>
      </c>
      <c r="U232" s="499" t="str">
        <f t="shared" si="39"/>
        <v/>
      </c>
      <c r="V232" s="537" t="str">
        <f t="shared" si="33"/>
        <v/>
      </c>
      <c r="W232" s="520" t="str">
        <f>IF(S232="","",VLOOKUP(S232,'G-1 All Habitats'!$B$2:$M$129,10,FALSE))</f>
        <v/>
      </c>
      <c r="X232" s="520" t="str">
        <f>IFERROR(VLOOKUP(W232,'G-1 All Habitats'!$V$3:$W$7,2,FALSE),"")</f>
        <v/>
      </c>
      <c r="Y232" s="79"/>
      <c r="Z232" s="524" t="str">
        <f>IFERROR(INDEX('G-8 Condition Look up'!$A$3:$H$130,MATCH(S232,'G-8 Condition Look up'!$A$3:$A$130,0),MATCH(Y232,'G-8 Condition Look up'!$A$3:$H$3,0)),"")</f>
        <v/>
      </c>
      <c r="AA232" s="71"/>
      <c r="AB232" s="520" t="str">
        <f>IF(AA232="","",IF(VLOOKUP(AA232,'G-3 Multipliers'!$L$3:$N$6,2,FALSE)=0,"Spatial Data Missing ⚠",VLOOKUP(AA232,'G-3 Multipliers'!$L$3:$N$6,2,FALSE)))</f>
        <v/>
      </c>
      <c r="AC232" s="524" t="str">
        <f>IF(AA232="","",IF(VLOOKUP(AA232,'G-3 Multipliers'!$L$3:$N$6,3,FALSE)=0,"Spatial Data Missing ⚠",VLOOKUP(AA232,'G-3 Multipliers'!$L$3:$N$6,3,FALSE)))</f>
        <v/>
      </c>
      <c r="AD232" s="539" t="str">
        <f t="shared" si="34"/>
        <v/>
      </c>
      <c r="AE232" s="82"/>
      <c r="AF232" s="82"/>
      <c r="AG232" s="507" t="str">
        <f t="shared" si="40"/>
        <v/>
      </c>
      <c r="AH232" s="521" t="str">
        <f t="shared" si="41"/>
        <v/>
      </c>
      <c r="AI232" s="522" t="str">
        <f>IF(AH232="Check Data","Check Data",IFERROR(VLOOKUP(AH232,'G-4 Temporal multipliers'!$A$4:$C$36,3,FALSE),""))</f>
        <v/>
      </c>
      <c r="AJ232" s="498" t="str">
        <f>IF(S232="","",VLOOKUP(S232,'G-3 Multipliers'!$A$2:$E$129,4,FALSE))</f>
        <v/>
      </c>
      <c r="AK232" s="507" t="str">
        <f t="shared" si="42"/>
        <v/>
      </c>
      <c r="AL232" s="507" t="str">
        <f t="shared" si="43"/>
        <v/>
      </c>
      <c r="AM232" s="540" t="str">
        <f>IFERROR(IF(F232="","",IF(AH232="Check Data ⚠","Check Data ⚠",VLOOKUP(AL232, 'G-3 Multipliers'!$P$2:$Q$6,2,FALSE))),"")</f>
        <v/>
      </c>
      <c r="AN232" s="513" t="str">
        <f t="shared" si="35"/>
        <v/>
      </c>
      <c r="AO232" s="239"/>
      <c r="AP232" s="240"/>
    </row>
    <row r="233" spans="1:42" x14ac:dyDescent="0.3">
      <c r="A233" s="47" t="str">
        <f>IF(E233="","",IF(ISNA(VLOOKUP($E233,'A-1 Site Habitat Baseline'!$D$1:$O$258,2,FALSE)),"",(VLOOKUP($E233,'A-1 Site Habitat Baseline'!$D$1:$O$258,2,FALSE))))</f>
        <v/>
      </c>
      <c r="B233" s="47" t="str">
        <f>IF(E233="","",IF(ISNA(VLOOKUP($E233,'A-1 Site Habitat Baseline'!$D$1:$O$258,3,FALSE)),"",(VLOOKUP($E233,'A-1 Site Habitat Baseline'!$D$1:$O$258,3,FALSE))))</f>
        <v/>
      </c>
      <c r="C233" s="47" t="str">
        <f>IFERROR(INDEX('G-8 Condition Look up'!$I$4:$I$130,MATCH(S233,'G-8 Condition Look up'!$A$4:$A$130,0)),"")</f>
        <v/>
      </c>
      <c r="E233" s="531" t="str">
        <f>'A-1 Site Habitat Baseline'!AL232</f>
        <v/>
      </c>
      <c r="F233" s="520" t="str">
        <f>IF(E233="","",IF(ISNA(VLOOKUP($E233,'A-1 Site Habitat Baseline'!$D$1:$O$258,4,FALSE)),"",(VLOOKUP($E233,'A-1 Site Habitat Baseline'!$D$1:$O$258,4,FALSE))))</f>
        <v/>
      </c>
      <c r="G233" s="520" t="str">
        <f>IF(E233="","",IF(ISNA(VLOOKUP($E233,'A-1 Site Habitat Baseline'!$D$1:$O$258,5,FALSE)),"",(VLOOKUP($E233,'A-1 Site Habitat Baseline'!$D$1:$O$258,5,FALSE))))</f>
        <v/>
      </c>
      <c r="H233" s="520" t="str">
        <f>IF(E233="","",IF(ISNA(VLOOKUP($E233,'A-1 Site Habitat Baseline'!$D$1:$O$258,6,FALSE)),"",(VLOOKUP($E233,'A-1 Site Habitat Baseline'!$D$1:$O$258,6,FALSE))))</f>
        <v/>
      </c>
      <c r="I233" s="520" t="str">
        <f>IF(E233="","",IF(ISNA(VLOOKUP($E233,'A-1 Site Habitat Baseline'!$D$1:$O$258,7,FALSE)),"",(VLOOKUP($E233,'A-1 Site Habitat Baseline'!$D$1:$O$258,7,FALSE))))</f>
        <v/>
      </c>
      <c r="J233" s="520" t="str">
        <f>IF(E233="","",IF(ISNA(VLOOKUP($E233,'A-1 Site Habitat Baseline'!$D$1:$O$258,8,FALSE)),"",(VLOOKUP($E233,'A-1 Site Habitat Baseline'!$D$1:$O$258,8,FALSE))))</f>
        <v/>
      </c>
      <c r="K233" s="520" t="str">
        <f>IF(E233="","",IF(ISNA(VLOOKUP($E233,'A-1 Site Habitat Baseline'!$D$1:$O$258,9,FALSE)),"",(VLOOKUP($E233,'A-1 Site Habitat Baseline'!$D$1:$O$258,9,FALSE))))</f>
        <v/>
      </c>
      <c r="L233" s="520" t="str">
        <f>IF(E233="","",IF(ISNA(VLOOKUP($E233,'A-1 Site Habitat Baseline'!$D$1:$O$258,11,FALSE)),"",(VLOOKUP($E233,'A-1 Site Habitat Baseline'!$D$1:$O$258,11,FALSE))))</f>
        <v/>
      </c>
      <c r="M233" s="520" t="str">
        <f>IF(E233="","",IF(ISNA(VLOOKUP($E233,'A-1 Site Habitat Baseline'!$D$1:$O$258,12,FALSE)),"",(VLOOKUP($E233,'A-1 Site Habitat Baseline'!$D$1:$O$258,12,FALSE))))</f>
        <v/>
      </c>
      <c r="N233" s="532" t="str">
        <f>IF(E233="","",IF(ISNA(VLOOKUP($E233,'A-1 Site Habitat Baseline'!$D$1:$X$258,14,FALSE)),"",(VLOOKUP($E233,'A-1 Site Habitat Baseline'!$D$1:$X$258,14,FALSE))))</f>
        <v/>
      </c>
      <c r="O233" s="524" t="str">
        <f>IF(E233="","",IF(ISNA(VLOOKUP($E233,'A-1 Site Habitat Baseline'!$D$1:$X$258,16,FALSE)),"",(VLOOKUP($E233,'A-1 Site Habitat Baseline'!$D$1:$X$258,13,FALSE))))</f>
        <v/>
      </c>
      <c r="P233" s="237" t="str">
        <f>IFERROR(INDEX('G-1 All Habitats'!$AG$3:$AG$15,MATCH(Q233,'G-1 All Habitats'!$AF$3:$AF$15,0)),"")</f>
        <v/>
      </c>
      <c r="Q233" s="238" t="str">
        <f t="shared" si="36"/>
        <v/>
      </c>
      <c r="R233" s="238" t="str">
        <f t="shared" si="37"/>
        <v/>
      </c>
      <c r="S233" s="392" t="str">
        <f>IFERROR(INDEX('G-1 All Habitats'!$B$3:$B$129,MATCH(R233,'G-1 All Habitats'!$A$3:$A$129,0)),"")</f>
        <v/>
      </c>
      <c r="T233" s="498" t="str">
        <f t="shared" si="38"/>
        <v/>
      </c>
      <c r="U233" s="499" t="str">
        <f t="shared" si="39"/>
        <v/>
      </c>
      <c r="V233" s="537" t="str">
        <f t="shared" si="33"/>
        <v/>
      </c>
      <c r="W233" s="520" t="str">
        <f>IF(S233="","",VLOOKUP(S233,'G-1 All Habitats'!$B$2:$M$129,10,FALSE))</f>
        <v/>
      </c>
      <c r="X233" s="520" t="str">
        <f>IFERROR(VLOOKUP(W233,'G-1 All Habitats'!$V$3:$W$7,2,FALSE),"")</f>
        <v/>
      </c>
      <c r="Y233" s="79"/>
      <c r="Z233" s="524" t="str">
        <f>IFERROR(INDEX('G-8 Condition Look up'!$A$3:$H$130,MATCH(S233,'G-8 Condition Look up'!$A$3:$A$130,0),MATCH(Y233,'G-8 Condition Look up'!$A$3:$H$3,0)),"")</f>
        <v/>
      </c>
      <c r="AA233" s="71"/>
      <c r="AB233" s="520" t="str">
        <f>IF(AA233="","",IF(VLOOKUP(AA233,'G-3 Multipliers'!$L$3:$N$6,2,FALSE)=0,"Spatial Data Missing ⚠",VLOOKUP(AA233,'G-3 Multipliers'!$L$3:$N$6,2,FALSE)))</f>
        <v/>
      </c>
      <c r="AC233" s="524" t="str">
        <f>IF(AA233="","",IF(VLOOKUP(AA233,'G-3 Multipliers'!$L$3:$N$6,3,FALSE)=0,"Spatial Data Missing ⚠",VLOOKUP(AA233,'G-3 Multipliers'!$L$3:$N$6,3,FALSE)))</f>
        <v/>
      </c>
      <c r="AD233" s="539" t="str">
        <f t="shared" si="34"/>
        <v/>
      </c>
      <c r="AE233" s="82"/>
      <c r="AF233" s="82"/>
      <c r="AG233" s="507" t="str">
        <f t="shared" si="40"/>
        <v/>
      </c>
      <c r="AH233" s="521" t="str">
        <f t="shared" si="41"/>
        <v/>
      </c>
      <c r="AI233" s="522" t="str">
        <f>IF(AH233="Check Data","Check Data",IFERROR(VLOOKUP(AH233,'G-4 Temporal multipliers'!$A$4:$C$36,3,FALSE),""))</f>
        <v/>
      </c>
      <c r="AJ233" s="498" t="str">
        <f>IF(S233="","",VLOOKUP(S233,'G-3 Multipliers'!$A$2:$E$129,4,FALSE))</f>
        <v/>
      </c>
      <c r="AK233" s="507" t="str">
        <f t="shared" si="42"/>
        <v/>
      </c>
      <c r="AL233" s="507" t="str">
        <f t="shared" si="43"/>
        <v/>
      </c>
      <c r="AM233" s="540" t="str">
        <f>IFERROR(IF(F233="","",IF(AH233="Check Data ⚠","Check Data ⚠",VLOOKUP(AL233, 'G-3 Multipliers'!$P$2:$Q$6,2,FALSE))),"")</f>
        <v/>
      </c>
      <c r="AN233" s="513" t="str">
        <f t="shared" si="35"/>
        <v/>
      </c>
      <c r="AO233" s="239"/>
      <c r="AP233" s="240"/>
    </row>
    <row r="234" spans="1:42" x14ac:dyDescent="0.3">
      <c r="A234" s="47" t="str">
        <f>IF(E234="","",IF(ISNA(VLOOKUP($E234,'A-1 Site Habitat Baseline'!$D$1:$O$258,2,FALSE)),"",(VLOOKUP($E234,'A-1 Site Habitat Baseline'!$D$1:$O$258,2,FALSE))))</f>
        <v/>
      </c>
      <c r="B234" s="47" t="str">
        <f>IF(E234="","",IF(ISNA(VLOOKUP($E234,'A-1 Site Habitat Baseline'!$D$1:$O$258,3,FALSE)),"",(VLOOKUP($E234,'A-1 Site Habitat Baseline'!$D$1:$O$258,3,FALSE))))</f>
        <v/>
      </c>
      <c r="C234" s="47" t="str">
        <f>IFERROR(INDEX('G-8 Condition Look up'!$I$4:$I$130,MATCH(S234,'G-8 Condition Look up'!$A$4:$A$130,0)),"")</f>
        <v/>
      </c>
      <c r="E234" s="531" t="str">
        <f>'A-1 Site Habitat Baseline'!AL233</f>
        <v/>
      </c>
      <c r="F234" s="520" t="str">
        <f>IF(E234="","",IF(ISNA(VLOOKUP($E234,'A-1 Site Habitat Baseline'!$D$1:$O$258,4,FALSE)),"",(VLOOKUP($E234,'A-1 Site Habitat Baseline'!$D$1:$O$258,4,FALSE))))</f>
        <v/>
      </c>
      <c r="G234" s="520" t="str">
        <f>IF(E234="","",IF(ISNA(VLOOKUP($E234,'A-1 Site Habitat Baseline'!$D$1:$O$258,5,FALSE)),"",(VLOOKUP($E234,'A-1 Site Habitat Baseline'!$D$1:$O$258,5,FALSE))))</f>
        <v/>
      </c>
      <c r="H234" s="520" t="str">
        <f>IF(E234="","",IF(ISNA(VLOOKUP($E234,'A-1 Site Habitat Baseline'!$D$1:$O$258,6,FALSE)),"",(VLOOKUP($E234,'A-1 Site Habitat Baseline'!$D$1:$O$258,6,FALSE))))</f>
        <v/>
      </c>
      <c r="I234" s="520" t="str">
        <f>IF(E234="","",IF(ISNA(VLOOKUP($E234,'A-1 Site Habitat Baseline'!$D$1:$O$258,7,FALSE)),"",(VLOOKUP($E234,'A-1 Site Habitat Baseline'!$D$1:$O$258,7,FALSE))))</f>
        <v/>
      </c>
      <c r="J234" s="520" t="str">
        <f>IF(E234="","",IF(ISNA(VLOOKUP($E234,'A-1 Site Habitat Baseline'!$D$1:$O$258,8,FALSE)),"",(VLOOKUP($E234,'A-1 Site Habitat Baseline'!$D$1:$O$258,8,FALSE))))</f>
        <v/>
      </c>
      <c r="K234" s="520" t="str">
        <f>IF(E234="","",IF(ISNA(VLOOKUP($E234,'A-1 Site Habitat Baseline'!$D$1:$O$258,9,FALSE)),"",(VLOOKUP($E234,'A-1 Site Habitat Baseline'!$D$1:$O$258,9,FALSE))))</f>
        <v/>
      </c>
      <c r="L234" s="520" t="str">
        <f>IF(E234="","",IF(ISNA(VLOOKUP($E234,'A-1 Site Habitat Baseline'!$D$1:$O$258,11,FALSE)),"",(VLOOKUP($E234,'A-1 Site Habitat Baseline'!$D$1:$O$258,11,FALSE))))</f>
        <v/>
      </c>
      <c r="M234" s="520" t="str">
        <f>IF(E234="","",IF(ISNA(VLOOKUP($E234,'A-1 Site Habitat Baseline'!$D$1:$O$258,12,FALSE)),"",(VLOOKUP($E234,'A-1 Site Habitat Baseline'!$D$1:$O$258,12,FALSE))))</f>
        <v/>
      </c>
      <c r="N234" s="532" t="str">
        <f>IF(E234="","",IF(ISNA(VLOOKUP($E234,'A-1 Site Habitat Baseline'!$D$1:$X$258,14,FALSE)),"",(VLOOKUP($E234,'A-1 Site Habitat Baseline'!$D$1:$X$258,14,FALSE))))</f>
        <v/>
      </c>
      <c r="O234" s="524" t="str">
        <f>IF(E234="","",IF(ISNA(VLOOKUP($E234,'A-1 Site Habitat Baseline'!$D$1:$X$258,16,FALSE)),"",(VLOOKUP($E234,'A-1 Site Habitat Baseline'!$D$1:$X$258,13,FALSE))))</f>
        <v/>
      </c>
      <c r="P234" s="237" t="str">
        <f>IFERROR(INDEX('G-1 All Habitats'!$AG$3:$AG$15,MATCH(Q234,'G-1 All Habitats'!$AF$3:$AF$15,0)),"")</f>
        <v/>
      </c>
      <c r="Q234" s="238" t="str">
        <f t="shared" si="36"/>
        <v/>
      </c>
      <c r="R234" s="238" t="str">
        <f t="shared" si="37"/>
        <v/>
      </c>
      <c r="S234" s="392" t="str">
        <f>IFERROR(INDEX('G-1 All Habitats'!$B$3:$B$129,MATCH(R234,'G-1 All Habitats'!$A$3:$A$129,0)),"")</f>
        <v/>
      </c>
      <c r="T234" s="498" t="str">
        <f t="shared" si="38"/>
        <v/>
      </c>
      <c r="U234" s="499" t="str">
        <f t="shared" si="39"/>
        <v/>
      </c>
      <c r="V234" s="537" t="str">
        <f t="shared" si="33"/>
        <v/>
      </c>
      <c r="W234" s="520" t="str">
        <f>IF(S234="","",VLOOKUP(S234,'G-1 All Habitats'!$B$2:$M$129,10,FALSE))</f>
        <v/>
      </c>
      <c r="X234" s="520" t="str">
        <f>IFERROR(VLOOKUP(W234,'G-1 All Habitats'!$V$3:$W$7,2,FALSE),"")</f>
        <v/>
      </c>
      <c r="Y234" s="79"/>
      <c r="Z234" s="524" t="str">
        <f>IFERROR(INDEX('G-8 Condition Look up'!$A$3:$H$130,MATCH(S234,'G-8 Condition Look up'!$A$3:$A$130,0),MATCH(Y234,'G-8 Condition Look up'!$A$3:$H$3,0)),"")</f>
        <v/>
      </c>
      <c r="AA234" s="71"/>
      <c r="AB234" s="520" t="str">
        <f>IF(AA234="","",IF(VLOOKUP(AA234,'G-3 Multipliers'!$L$3:$N$6,2,FALSE)=0,"Spatial Data Missing ⚠",VLOOKUP(AA234,'G-3 Multipliers'!$L$3:$N$6,2,FALSE)))</f>
        <v/>
      </c>
      <c r="AC234" s="524" t="str">
        <f>IF(AA234="","",IF(VLOOKUP(AA234,'G-3 Multipliers'!$L$3:$N$6,3,FALSE)=0,"Spatial Data Missing ⚠",VLOOKUP(AA234,'G-3 Multipliers'!$L$3:$N$6,3,FALSE)))</f>
        <v/>
      </c>
      <c r="AD234" s="539" t="str">
        <f t="shared" si="34"/>
        <v/>
      </c>
      <c r="AE234" s="82"/>
      <c r="AF234" s="82"/>
      <c r="AG234" s="507" t="str">
        <f t="shared" si="40"/>
        <v/>
      </c>
      <c r="AH234" s="521" t="str">
        <f t="shared" si="41"/>
        <v/>
      </c>
      <c r="AI234" s="522" t="str">
        <f>IF(AH234="Check Data","Check Data",IFERROR(VLOOKUP(AH234,'G-4 Temporal multipliers'!$A$4:$C$36,3,FALSE),""))</f>
        <v/>
      </c>
      <c r="AJ234" s="498" t="str">
        <f>IF(S234="","",VLOOKUP(S234,'G-3 Multipliers'!$A$2:$E$129,4,FALSE))</f>
        <v/>
      </c>
      <c r="AK234" s="507" t="str">
        <f t="shared" si="42"/>
        <v/>
      </c>
      <c r="AL234" s="507" t="str">
        <f t="shared" si="43"/>
        <v/>
      </c>
      <c r="AM234" s="540" t="str">
        <f>IFERROR(IF(F234="","",IF(AH234="Check Data ⚠","Check Data ⚠",VLOOKUP(AL234, 'G-3 Multipliers'!$P$2:$Q$6,2,FALSE))),"")</f>
        <v/>
      </c>
      <c r="AN234" s="513" t="str">
        <f t="shared" si="35"/>
        <v/>
      </c>
      <c r="AO234" s="239"/>
      <c r="AP234" s="240"/>
    </row>
    <row r="235" spans="1:42" x14ac:dyDescent="0.3">
      <c r="A235" s="47" t="str">
        <f>IF(E235="","",IF(ISNA(VLOOKUP($E235,'A-1 Site Habitat Baseline'!$D$1:$O$258,2,FALSE)),"",(VLOOKUP($E235,'A-1 Site Habitat Baseline'!$D$1:$O$258,2,FALSE))))</f>
        <v/>
      </c>
      <c r="B235" s="47" t="str">
        <f>IF(E235="","",IF(ISNA(VLOOKUP($E235,'A-1 Site Habitat Baseline'!$D$1:$O$258,3,FALSE)),"",(VLOOKUP($E235,'A-1 Site Habitat Baseline'!$D$1:$O$258,3,FALSE))))</f>
        <v/>
      </c>
      <c r="C235" s="47" t="str">
        <f>IFERROR(INDEX('G-8 Condition Look up'!$I$4:$I$130,MATCH(S235,'G-8 Condition Look up'!$A$4:$A$130,0)),"")</f>
        <v/>
      </c>
      <c r="E235" s="531" t="str">
        <f>'A-1 Site Habitat Baseline'!AL234</f>
        <v/>
      </c>
      <c r="F235" s="520" t="str">
        <f>IF(E235="","",IF(ISNA(VLOOKUP($E235,'A-1 Site Habitat Baseline'!$D$1:$O$258,4,FALSE)),"",(VLOOKUP($E235,'A-1 Site Habitat Baseline'!$D$1:$O$258,4,FALSE))))</f>
        <v/>
      </c>
      <c r="G235" s="520" t="str">
        <f>IF(E235="","",IF(ISNA(VLOOKUP($E235,'A-1 Site Habitat Baseline'!$D$1:$O$258,5,FALSE)),"",(VLOOKUP($E235,'A-1 Site Habitat Baseline'!$D$1:$O$258,5,FALSE))))</f>
        <v/>
      </c>
      <c r="H235" s="520" t="str">
        <f>IF(E235="","",IF(ISNA(VLOOKUP($E235,'A-1 Site Habitat Baseline'!$D$1:$O$258,6,FALSE)),"",(VLOOKUP($E235,'A-1 Site Habitat Baseline'!$D$1:$O$258,6,FALSE))))</f>
        <v/>
      </c>
      <c r="I235" s="520" t="str">
        <f>IF(E235="","",IF(ISNA(VLOOKUP($E235,'A-1 Site Habitat Baseline'!$D$1:$O$258,7,FALSE)),"",(VLOOKUP($E235,'A-1 Site Habitat Baseline'!$D$1:$O$258,7,FALSE))))</f>
        <v/>
      </c>
      <c r="J235" s="520" t="str">
        <f>IF(E235="","",IF(ISNA(VLOOKUP($E235,'A-1 Site Habitat Baseline'!$D$1:$O$258,8,FALSE)),"",(VLOOKUP($E235,'A-1 Site Habitat Baseline'!$D$1:$O$258,8,FALSE))))</f>
        <v/>
      </c>
      <c r="K235" s="520" t="str">
        <f>IF(E235="","",IF(ISNA(VLOOKUP($E235,'A-1 Site Habitat Baseline'!$D$1:$O$258,9,FALSE)),"",(VLOOKUP($E235,'A-1 Site Habitat Baseline'!$D$1:$O$258,9,FALSE))))</f>
        <v/>
      </c>
      <c r="L235" s="520" t="str">
        <f>IF(E235="","",IF(ISNA(VLOOKUP($E235,'A-1 Site Habitat Baseline'!$D$1:$O$258,11,FALSE)),"",(VLOOKUP($E235,'A-1 Site Habitat Baseline'!$D$1:$O$258,11,FALSE))))</f>
        <v/>
      </c>
      <c r="M235" s="520" t="str">
        <f>IF(E235="","",IF(ISNA(VLOOKUP($E235,'A-1 Site Habitat Baseline'!$D$1:$O$258,12,FALSE)),"",(VLOOKUP($E235,'A-1 Site Habitat Baseline'!$D$1:$O$258,12,FALSE))))</f>
        <v/>
      </c>
      <c r="N235" s="532" t="str">
        <f>IF(E235="","",IF(ISNA(VLOOKUP($E235,'A-1 Site Habitat Baseline'!$D$1:$X$258,14,FALSE)),"",(VLOOKUP($E235,'A-1 Site Habitat Baseline'!$D$1:$X$258,14,FALSE))))</f>
        <v/>
      </c>
      <c r="O235" s="524" t="str">
        <f>IF(E235="","",IF(ISNA(VLOOKUP($E235,'A-1 Site Habitat Baseline'!$D$1:$X$258,16,FALSE)),"",(VLOOKUP($E235,'A-1 Site Habitat Baseline'!$D$1:$X$258,13,FALSE))))</f>
        <v/>
      </c>
      <c r="P235" s="237" t="str">
        <f>IFERROR(INDEX('G-1 All Habitats'!$AG$3:$AG$15,MATCH(Q235,'G-1 All Habitats'!$AF$3:$AF$15,0)),"")</f>
        <v/>
      </c>
      <c r="Q235" s="238" t="str">
        <f t="shared" si="36"/>
        <v/>
      </c>
      <c r="R235" s="238" t="str">
        <f t="shared" si="37"/>
        <v/>
      </c>
      <c r="S235" s="392" t="str">
        <f>IFERROR(INDEX('G-1 All Habitats'!$B$3:$B$129,MATCH(R235,'G-1 All Habitats'!$A$3:$A$129,0)),"")</f>
        <v/>
      </c>
      <c r="T235" s="498" t="str">
        <f t="shared" si="38"/>
        <v/>
      </c>
      <c r="U235" s="499" t="str">
        <f t="shared" si="39"/>
        <v/>
      </c>
      <c r="V235" s="537" t="str">
        <f t="shared" si="33"/>
        <v/>
      </c>
      <c r="W235" s="520" t="str">
        <f>IF(S235="","",VLOOKUP(S235,'G-1 All Habitats'!$B$2:$M$129,10,FALSE))</f>
        <v/>
      </c>
      <c r="X235" s="520" t="str">
        <f>IFERROR(VLOOKUP(W235,'G-1 All Habitats'!$V$3:$W$7,2,FALSE),"")</f>
        <v/>
      </c>
      <c r="Y235" s="79"/>
      <c r="Z235" s="524" t="str">
        <f>IFERROR(INDEX('G-8 Condition Look up'!$A$3:$H$130,MATCH(S235,'G-8 Condition Look up'!$A$3:$A$130,0),MATCH(Y235,'G-8 Condition Look up'!$A$3:$H$3,0)),"")</f>
        <v/>
      </c>
      <c r="AA235" s="71"/>
      <c r="AB235" s="520" t="str">
        <f>IF(AA235="","",IF(VLOOKUP(AA235,'G-3 Multipliers'!$L$3:$N$6,2,FALSE)=0,"Spatial Data Missing ⚠",VLOOKUP(AA235,'G-3 Multipliers'!$L$3:$N$6,2,FALSE)))</f>
        <v/>
      </c>
      <c r="AC235" s="524" t="str">
        <f>IF(AA235="","",IF(VLOOKUP(AA235,'G-3 Multipliers'!$L$3:$N$6,3,FALSE)=0,"Spatial Data Missing ⚠",VLOOKUP(AA235,'G-3 Multipliers'!$L$3:$N$6,3,FALSE)))</f>
        <v/>
      </c>
      <c r="AD235" s="539" t="str">
        <f t="shared" si="34"/>
        <v/>
      </c>
      <c r="AE235" s="82"/>
      <c r="AF235" s="82"/>
      <c r="AG235" s="507" t="str">
        <f t="shared" si="40"/>
        <v/>
      </c>
      <c r="AH235" s="521" t="str">
        <f t="shared" si="41"/>
        <v/>
      </c>
      <c r="AI235" s="522" t="str">
        <f>IF(AH235="Check Data","Check Data",IFERROR(VLOOKUP(AH235,'G-4 Temporal multipliers'!$A$4:$C$36,3,FALSE),""))</f>
        <v/>
      </c>
      <c r="AJ235" s="498" t="str">
        <f>IF(S235="","",VLOOKUP(S235,'G-3 Multipliers'!$A$2:$E$129,4,FALSE))</f>
        <v/>
      </c>
      <c r="AK235" s="507" t="str">
        <f t="shared" si="42"/>
        <v/>
      </c>
      <c r="AL235" s="507" t="str">
        <f t="shared" si="43"/>
        <v/>
      </c>
      <c r="AM235" s="540" t="str">
        <f>IFERROR(IF(F235="","",IF(AH235="Check Data ⚠","Check Data ⚠",VLOOKUP(AL235, 'G-3 Multipliers'!$P$2:$Q$6,2,FALSE))),"")</f>
        <v/>
      </c>
      <c r="AN235" s="513" t="str">
        <f t="shared" si="35"/>
        <v/>
      </c>
      <c r="AO235" s="239"/>
      <c r="AP235" s="240"/>
    </row>
    <row r="236" spans="1:42" x14ac:dyDescent="0.3">
      <c r="A236" s="47" t="str">
        <f>IF(E236="","",IF(ISNA(VLOOKUP($E236,'A-1 Site Habitat Baseline'!$D$1:$O$258,2,FALSE)),"",(VLOOKUP($E236,'A-1 Site Habitat Baseline'!$D$1:$O$258,2,FALSE))))</f>
        <v/>
      </c>
      <c r="B236" s="47" t="str">
        <f>IF(E236="","",IF(ISNA(VLOOKUP($E236,'A-1 Site Habitat Baseline'!$D$1:$O$258,3,FALSE)),"",(VLOOKUP($E236,'A-1 Site Habitat Baseline'!$D$1:$O$258,3,FALSE))))</f>
        <v/>
      </c>
      <c r="C236" s="47" t="str">
        <f>IFERROR(INDEX('G-8 Condition Look up'!$I$4:$I$130,MATCH(S236,'G-8 Condition Look up'!$A$4:$A$130,0)),"")</f>
        <v/>
      </c>
      <c r="E236" s="531" t="str">
        <f>'A-1 Site Habitat Baseline'!AL235</f>
        <v/>
      </c>
      <c r="F236" s="520" t="str">
        <f>IF(E236="","",IF(ISNA(VLOOKUP($E236,'A-1 Site Habitat Baseline'!$D$1:$O$258,4,FALSE)),"",(VLOOKUP($E236,'A-1 Site Habitat Baseline'!$D$1:$O$258,4,FALSE))))</f>
        <v/>
      </c>
      <c r="G236" s="520" t="str">
        <f>IF(E236="","",IF(ISNA(VLOOKUP($E236,'A-1 Site Habitat Baseline'!$D$1:$O$258,5,FALSE)),"",(VLOOKUP($E236,'A-1 Site Habitat Baseline'!$D$1:$O$258,5,FALSE))))</f>
        <v/>
      </c>
      <c r="H236" s="520" t="str">
        <f>IF(E236="","",IF(ISNA(VLOOKUP($E236,'A-1 Site Habitat Baseline'!$D$1:$O$258,6,FALSE)),"",(VLOOKUP($E236,'A-1 Site Habitat Baseline'!$D$1:$O$258,6,FALSE))))</f>
        <v/>
      </c>
      <c r="I236" s="520" t="str">
        <f>IF(E236="","",IF(ISNA(VLOOKUP($E236,'A-1 Site Habitat Baseline'!$D$1:$O$258,7,FALSE)),"",(VLOOKUP($E236,'A-1 Site Habitat Baseline'!$D$1:$O$258,7,FALSE))))</f>
        <v/>
      </c>
      <c r="J236" s="520" t="str">
        <f>IF(E236="","",IF(ISNA(VLOOKUP($E236,'A-1 Site Habitat Baseline'!$D$1:$O$258,8,FALSE)),"",(VLOOKUP($E236,'A-1 Site Habitat Baseline'!$D$1:$O$258,8,FALSE))))</f>
        <v/>
      </c>
      <c r="K236" s="520" t="str">
        <f>IF(E236="","",IF(ISNA(VLOOKUP($E236,'A-1 Site Habitat Baseline'!$D$1:$O$258,9,FALSE)),"",(VLOOKUP($E236,'A-1 Site Habitat Baseline'!$D$1:$O$258,9,FALSE))))</f>
        <v/>
      </c>
      <c r="L236" s="520" t="str">
        <f>IF(E236="","",IF(ISNA(VLOOKUP($E236,'A-1 Site Habitat Baseline'!$D$1:$O$258,11,FALSE)),"",(VLOOKUP($E236,'A-1 Site Habitat Baseline'!$D$1:$O$258,11,FALSE))))</f>
        <v/>
      </c>
      <c r="M236" s="520" t="str">
        <f>IF(E236="","",IF(ISNA(VLOOKUP($E236,'A-1 Site Habitat Baseline'!$D$1:$O$258,12,FALSE)),"",(VLOOKUP($E236,'A-1 Site Habitat Baseline'!$D$1:$O$258,12,FALSE))))</f>
        <v/>
      </c>
      <c r="N236" s="532" t="str">
        <f>IF(E236="","",IF(ISNA(VLOOKUP($E236,'A-1 Site Habitat Baseline'!$D$1:$X$258,14,FALSE)),"",(VLOOKUP($E236,'A-1 Site Habitat Baseline'!$D$1:$X$258,14,FALSE))))</f>
        <v/>
      </c>
      <c r="O236" s="524" t="str">
        <f>IF(E236="","",IF(ISNA(VLOOKUP($E236,'A-1 Site Habitat Baseline'!$D$1:$X$258,16,FALSE)),"",(VLOOKUP($E236,'A-1 Site Habitat Baseline'!$D$1:$X$258,13,FALSE))))</f>
        <v/>
      </c>
      <c r="P236" s="237" t="str">
        <f>IFERROR(INDEX('G-1 All Habitats'!$AG$3:$AG$15,MATCH(Q236,'G-1 All Habitats'!$AF$3:$AF$15,0)),"")</f>
        <v/>
      </c>
      <c r="Q236" s="238" t="str">
        <f t="shared" si="36"/>
        <v/>
      </c>
      <c r="R236" s="238" t="str">
        <f t="shared" si="37"/>
        <v/>
      </c>
      <c r="S236" s="392" t="str">
        <f>IFERROR(INDEX('G-1 All Habitats'!$B$3:$B$129,MATCH(R236,'G-1 All Habitats'!$A$3:$A$129,0)),"")</f>
        <v/>
      </c>
      <c r="T236" s="498" t="str">
        <f t="shared" si="38"/>
        <v/>
      </c>
      <c r="U236" s="499" t="str">
        <f t="shared" si="39"/>
        <v/>
      </c>
      <c r="V236" s="537" t="str">
        <f t="shared" si="33"/>
        <v/>
      </c>
      <c r="W236" s="520" t="str">
        <f>IF(S236="","",VLOOKUP(S236,'G-1 All Habitats'!$B$2:$M$129,10,FALSE))</f>
        <v/>
      </c>
      <c r="X236" s="520" t="str">
        <f>IFERROR(VLOOKUP(W236,'G-1 All Habitats'!$V$3:$W$7,2,FALSE),"")</f>
        <v/>
      </c>
      <c r="Y236" s="79"/>
      <c r="Z236" s="524" t="str">
        <f>IFERROR(INDEX('G-8 Condition Look up'!$A$3:$H$130,MATCH(S236,'G-8 Condition Look up'!$A$3:$A$130,0),MATCH(Y236,'G-8 Condition Look up'!$A$3:$H$3,0)),"")</f>
        <v/>
      </c>
      <c r="AA236" s="71"/>
      <c r="AB236" s="520" t="str">
        <f>IF(AA236="","",IF(VLOOKUP(AA236,'G-3 Multipliers'!$L$3:$N$6,2,FALSE)=0,"Spatial Data Missing ⚠",VLOOKUP(AA236,'G-3 Multipliers'!$L$3:$N$6,2,FALSE)))</f>
        <v/>
      </c>
      <c r="AC236" s="524" t="str">
        <f>IF(AA236="","",IF(VLOOKUP(AA236,'G-3 Multipliers'!$L$3:$N$6,3,FALSE)=0,"Spatial Data Missing ⚠",VLOOKUP(AA236,'G-3 Multipliers'!$L$3:$N$6,3,FALSE)))</f>
        <v/>
      </c>
      <c r="AD236" s="539" t="str">
        <f t="shared" si="34"/>
        <v/>
      </c>
      <c r="AE236" s="82"/>
      <c r="AF236" s="82"/>
      <c r="AG236" s="507" t="str">
        <f t="shared" si="40"/>
        <v/>
      </c>
      <c r="AH236" s="521" t="str">
        <f t="shared" si="41"/>
        <v/>
      </c>
      <c r="AI236" s="522" t="str">
        <f>IF(AH236="Check Data","Check Data",IFERROR(VLOOKUP(AH236,'G-4 Temporal multipliers'!$A$4:$C$36,3,FALSE),""))</f>
        <v/>
      </c>
      <c r="AJ236" s="498" t="str">
        <f>IF(S236="","",VLOOKUP(S236,'G-3 Multipliers'!$A$2:$E$129,4,FALSE))</f>
        <v/>
      </c>
      <c r="AK236" s="507" t="str">
        <f t="shared" si="42"/>
        <v/>
      </c>
      <c r="AL236" s="507" t="str">
        <f t="shared" si="43"/>
        <v/>
      </c>
      <c r="AM236" s="540" t="str">
        <f>IFERROR(IF(F236="","",IF(AH236="Check Data ⚠","Check Data ⚠",VLOOKUP(AL236, 'G-3 Multipliers'!$P$2:$Q$6,2,FALSE))),"")</f>
        <v/>
      </c>
      <c r="AN236" s="513" t="str">
        <f t="shared" si="35"/>
        <v/>
      </c>
      <c r="AO236" s="239"/>
      <c r="AP236" s="240"/>
    </row>
    <row r="237" spans="1:42" x14ac:dyDescent="0.3">
      <c r="A237" s="47" t="str">
        <f>IF(E237="","",IF(ISNA(VLOOKUP($E237,'A-1 Site Habitat Baseline'!$D$1:$O$258,2,FALSE)),"",(VLOOKUP($E237,'A-1 Site Habitat Baseline'!$D$1:$O$258,2,FALSE))))</f>
        <v/>
      </c>
      <c r="B237" s="47" t="str">
        <f>IF(E237="","",IF(ISNA(VLOOKUP($E237,'A-1 Site Habitat Baseline'!$D$1:$O$258,3,FALSE)),"",(VLOOKUP($E237,'A-1 Site Habitat Baseline'!$D$1:$O$258,3,FALSE))))</f>
        <v/>
      </c>
      <c r="C237" s="47" t="str">
        <f>IFERROR(INDEX('G-8 Condition Look up'!$I$4:$I$130,MATCH(S237,'G-8 Condition Look up'!$A$4:$A$130,0)),"")</f>
        <v/>
      </c>
      <c r="E237" s="531" t="str">
        <f>'A-1 Site Habitat Baseline'!AL236</f>
        <v/>
      </c>
      <c r="F237" s="520" t="str">
        <f>IF(E237="","",IF(ISNA(VLOOKUP($E237,'A-1 Site Habitat Baseline'!$D$1:$O$258,4,FALSE)),"",(VLOOKUP($E237,'A-1 Site Habitat Baseline'!$D$1:$O$258,4,FALSE))))</f>
        <v/>
      </c>
      <c r="G237" s="520" t="str">
        <f>IF(E237="","",IF(ISNA(VLOOKUP($E237,'A-1 Site Habitat Baseline'!$D$1:$O$258,5,FALSE)),"",(VLOOKUP($E237,'A-1 Site Habitat Baseline'!$D$1:$O$258,5,FALSE))))</f>
        <v/>
      </c>
      <c r="H237" s="520" t="str">
        <f>IF(E237="","",IF(ISNA(VLOOKUP($E237,'A-1 Site Habitat Baseline'!$D$1:$O$258,6,FALSE)),"",(VLOOKUP($E237,'A-1 Site Habitat Baseline'!$D$1:$O$258,6,FALSE))))</f>
        <v/>
      </c>
      <c r="I237" s="520" t="str">
        <f>IF(E237="","",IF(ISNA(VLOOKUP($E237,'A-1 Site Habitat Baseline'!$D$1:$O$258,7,FALSE)),"",(VLOOKUP($E237,'A-1 Site Habitat Baseline'!$D$1:$O$258,7,FALSE))))</f>
        <v/>
      </c>
      <c r="J237" s="520" t="str">
        <f>IF(E237="","",IF(ISNA(VLOOKUP($E237,'A-1 Site Habitat Baseline'!$D$1:$O$258,8,FALSE)),"",(VLOOKUP($E237,'A-1 Site Habitat Baseline'!$D$1:$O$258,8,FALSE))))</f>
        <v/>
      </c>
      <c r="K237" s="520" t="str">
        <f>IF(E237="","",IF(ISNA(VLOOKUP($E237,'A-1 Site Habitat Baseline'!$D$1:$O$258,9,FALSE)),"",(VLOOKUP($E237,'A-1 Site Habitat Baseline'!$D$1:$O$258,9,FALSE))))</f>
        <v/>
      </c>
      <c r="L237" s="520" t="str">
        <f>IF(E237="","",IF(ISNA(VLOOKUP($E237,'A-1 Site Habitat Baseline'!$D$1:$O$258,11,FALSE)),"",(VLOOKUP($E237,'A-1 Site Habitat Baseline'!$D$1:$O$258,11,FALSE))))</f>
        <v/>
      </c>
      <c r="M237" s="520" t="str">
        <f>IF(E237="","",IF(ISNA(VLOOKUP($E237,'A-1 Site Habitat Baseline'!$D$1:$O$258,12,FALSE)),"",(VLOOKUP($E237,'A-1 Site Habitat Baseline'!$D$1:$O$258,12,FALSE))))</f>
        <v/>
      </c>
      <c r="N237" s="532" t="str">
        <f>IF(E237="","",IF(ISNA(VLOOKUP($E237,'A-1 Site Habitat Baseline'!$D$1:$X$258,14,FALSE)),"",(VLOOKUP($E237,'A-1 Site Habitat Baseline'!$D$1:$X$258,14,FALSE))))</f>
        <v/>
      </c>
      <c r="O237" s="524" t="str">
        <f>IF(E237="","",IF(ISNA(VLOOKUP($E237,'A-1 Site Habitat Baseline'!$D$1:$X$258,16,FALSE)),"",(VLOOKUP($E237,'A-1 Site Habitat Baseline'!$D$1:$X$258,13,FALSE))))</f>
        <v/>
      </c>
      <c r="P237" s="237" t="str">
        <f>IFERROR(INDEX('G-1 All Habitats'!$AG$3:$AG$15,MATCH(Q237,'G-1 All Habitats'!$AF$3:$AF$15,0)),"")</f>
        <v/>
      </c>
      <c r="Q237" s="238" t="str">
        <f t="shared" si="36"/>
        <v/>
      </c>
      <c r="R237" s="238" t="str">
        <f t="shared" si="37"/>
        <v/>
      </c>
      <c r="S237" s="392" t="str">
        <f>IFERROR(INDEX('G-1 All Habitats'!$B$3:$B$129,MATCH(R237,'G-1 All Habitats'!$A$3:$A$129,0)),"")</f>
        <v/>
      </c>
      <c r="T237" s="498" t="str">
        <f t="shared" si="38"/>
        <v/>
      </c>
      <c r="U237" s="499" t="str">
        <f t="shared" si="39"/>
        <v/>
      </c>
      <c r="V237" s="537" t="str">
        <f t="shared" si="33"/>
        <v/>
      </c>
      <c r="W237" s="520" t="str">
        <f>IF(S237="","",VLOOKUP(S237,'G-1 All Habitats'!$B$2:$M$129,10,FALSE))</f>
        <v/>
      </c>
      <c r="X237" s="520" t="str">
        <f>IFERROR(VLOOKUP(W237,'G-1 All Habitats'!$V$3:$W$7,2,FALSE),"")</f>
        <v/>
      </c>
      <c r="Y237" s="79"/>
      <c r="Z237" s="524" t="str">
        <f>IFERROR(INDEX('G-8 Condition Look up'!$A$3:$H$130,MATCH(S237,'G-8 Condition Look up'!$A$3:$A$130,0),MATCH(Y237,'G-8 Condition Look up'!$A$3:$H$3,0)),"")</f>
        <v/>
      </c>
      <c r="AA237" s="71"/>
      <c r="AB237" s="520" t="str">
        <f>IF(AA237="","",IF(VLOOKUP(AA237,'G-3 Multipliers'!$L$3:$N$6,2,FALSE)=0,"Spatial Data Missing ⚠",VLOOKUP(AA237,'G-3 Multipliers'!$L$3:$N$6,2,FALSE)))</f>
        <v/>
      </c>
      <c r="AC237" s="524" t="str">
        <f>IF(AA237="","",IF(VLOOKUP(AA237,'G-3 Multipliers'!$L$3:$N$6,3,FALSE)=0,"Spatial Data Missing ⚠",VLOOKUP(AA237,'G-3 Multipliers'!$L$3:$N$6,3,FALSE)))</f>
        <v/>
      </c>
      <c r="AD237" s="539" t="str">
        <f t="shared" si="34"/>
        <v/>
      </c>
      <c r="AE237" s="82"/>
      <c r="AF237" s="82"/>
      <c r="AG237" s="507" t="str">
        <f t="shared" si="40"/>
        <v/>
      </c>
      <c r="AH237" s="521" t="str">
        <f t="shared" si="41"/>
        <v/>
      </c>
      <c r="AI237" s="522" t="str">
        <f>IF(AH237="Check Data","Check Data",IFERROR(VLOOKUP(AH237,'G-4 Temporal multipliers'!$A$4:$C$36,3,FALSE),""))</f>
        <v/>
      </c>
      <c r="AJ237" s="498" t="str">
        <f>IF(S237="","",VLOOKUP(S237,'G-3 Multipliers'!$A$2:$E$129,4,FALSE))</f>
        <v/>
      </c>
      <c r="AK237" s="507" t="str">
        <f t="shared" si="42"/>
        <v/>
      </c>
      <c r="AL237" s="507" t="str">
        <f t="shared" si="43"/>
        <v/>
      </c>
      <c r="AM237" s="540" t="str">
        <f>IFERROR(IF(F237="","",IF(AH237="Check Data ⚠","Check Data ⚠",VLOOKUP(AL237, 'G-3 Multipliers'!$P$2:$Q$6,2,FALSE))),"")</f>
        <v/>
      </c>
      <c r="AN237" s="513" t="str">
        <f t="shared" si="35"/>
        <v/>
      </c>
      <c r="AO237" s="239"/>
      <c r="AP237" s="240"/>
    </row>
    <row r="238" spans="1:42" x14ac:dyDescent="0.3">
      <c r="A238" s="47" t="str">
        <f>IF(E238="","",IF(ISNA(VLOOKUP($E238,'A-1 Site Habitat Baseline'!$D$1:$O$258,2,FALSE)),"",(VLOOKUP($E238,'A-1 Site Habitat Baseline'!$D$1:$O$258,2,FALSE))))</f>
        <v/>
      </c>
      <c r="B238" s="47" t="str">
        <f>IF(E238="","",IF(ISNA(VLOOKUP($E238,'A-1 Site Habitat Baseline'!$D$1:$O$258,3,FALSE)),"",(VLOOKUP($E238,'A-1 Site Habitat Baseline'!$D$1:$O$258,3,FALSE))))</f>
        <v/>
      </c>
      <c r="C238" s="47" t="str">
        <f>IFERROR(INDEX('G-8 Condition Look up'!$I$4:$I$130,MATCH(S238,'G-8 Condition Look up'!$A$4:$A$130,0)),"")</f>
        <v/>
      </c>
      <c r="E238" s="531" t="str">
        <f>'A-1 Site Habitat Baseline'!AL237</f>
        <v/>
      </c>
      <c r="F238" s="520" t="str">
        <f>IF(E238="","",IF(ISNA(VLOOKUP($E238,'A-1 Site Habitat Baseline'!$D$1:$O$258,4,FALSE)),"",(VLOOKUP($E238,'A-1 Site Habitat Baseline'!$D$1:$O$258,4,FALSE))))</f>
        <v/>
      </c>
      <c r="G238" s="520" t="str">
        <f>IF(E238="","",IF(ISNA(VLOOKUP($E238,'A-1 Site Habitat Baseline'!$D$1:$O$258,5,FALSE)),"",(VLOOKUP($E238,'A-1 Site Habitat Baseline'!$D$1:$O$258,5,FALSE))))</f>
        <v/>
      </c>
      <c r="H238" s="520" t="str">
        <f>IF(E238="","",IF(ISNA(VLOOKUP($E238,'A-1 Site Habitat Baseline'!$D$1:$O$258,6,FALSE)),"",(VLOOKUP($E238,'A-1 Site Habitat Baseline'!$D$1:$O$258,6,FALSE))))</f>
        <v/>
      </c>
      <c r="I238" s="520" t="str">
        <f>IF(E238="","",IF(ISNA(VLOOKUP($E238,'A-1 Site Habitat Baseline'!$D$1:$O$258,7,FALSE)),"",(VLOOKUP($E238,'A-1 Site Habitat Baseline'!$D$1:$O$258,7,FALSE))))</f>
        <v/>
      </c>
      <c r="J238" s="520" t="str">
        <f>IF(E238="","",IF(ISNA(VLOOKUP($E238,'A-1 Site Habitat Baseline'!$D$1:$O$258,8,FALSE)),"",(VLOOKUP($E238,'A-1 Site Habitat Baseline'!$D$1:$O$258,8,FALSE))))</f>
        <v/>
      </c>
      <c r="K238" s="520" t="str">
        <f>IF(E238="","",IF(ISNA(VLOOKUP($E238,'A-1 Site Habitat Baseline'!$D$1:$O$258,9,FALSE)),"",(VLOOKUP($E238,'A-1 Site Habitat Baseline'!$D$1:$O$258,9,FALSE))))</f>
        <v/>
      </c>
      <c r="L238" s="520" t="str">
        <f>IF(E238="","",IF(ISNA(VLOOKUP($E238,'A-1 Site Habitat Baseline'!$D$1:$O$258,11,FALSE)),"",(VLOOKUP($E238,'A-1 Site Habitat Baseline'!$D$1:$O$258,11,FALSE))))</f>
        <v/>
      </c>
      <c r="M238" s="520" t="str">
        <f>IF(E238="","",IF(ISNA(VLOOKUP($E238,'A-1 Site Habitat Baseline'!$D$1:$O$258,12,FALSE)),"",(VLOOKUP($E238,'A-1 Site Habitat Baseline'!$D$1:$O$258,12,FALSE))))</f>
        <v/>
      </c>
      <c r="N238" s="532" t="str">
        <f>IF(E238="","",IF(ISNA(VLOOKUP($E238,'A-1 Site Habitat Baseline'!$D$1:$X$258,14,FALSE)),"",(VLOOKUP($E238,'A-1 Site Habitat Baseline'!$D$1:$X$258,14,FALSE))))</f>
        <v/>
      </c>
      <c r="O238" s="524" t="str">
        <f>IF(E238="","",IF(ISNA(VLOOKUP($E238,'A-1 Site Habitat Baseline'!$D$1:$X$258,16,FALSE)),"",(VLOOKUP($E238,'A-1 Site Habitat Baseline'!$D$1:$X$258,13,FALSE))))</f>
        <v/>
      </c>
      <c r="P238" s="237" t="str">
        <f>IFERROR(INDEX('G-1 All Habitats'!$AG$3:$AG$15,MATCH(Q238,'G-1 All Habitats'!$AF$3:$AF$15,0)),"")</f>
        <v/>
      </c>
      <c r="Q238" s="238" t="str">
        <f t="shared" si="36"/>
        <v/>
      </c>
      <c r="R238" s="238" t="str">
        <f t="shared" si="37"/>
        <v/>
      </c>
      <c r="S238" s="392" t="str">
        <f>IFERROR(INDEX('G-1 All Habitats'!$B$3:$B$129,MATCH(R238,'G-1 All Habitats'!$A$3:$A$129,0)),"")</f>
        <v/>
      </c>
      <c r="T238" s="498" t="str">
        <f t="shared" si="38"/>
        <v/>
      </c>
      <c r="U238" s="499" t="str">
        <f t="shared" si="39"/>
        <v/>
      </c>
      <c r="V238" s="537" t="str">
        <f t="shared" si="33"/>
        <v/>
      </c>
      <c r="W238" s="520" t="str">
        <f>IF(S238="","",VLOOKUP(S238,'G-1 All Habitats'!$B$2:$M$129,10,FALSE))</f>
        <v/>
      </c>
      <c r="X238" s="520" t="str">
        <f>IFERROR(VLOOKUP(W238,'G-1 All Habitats'!$V$3:$W$7,2,FALSE),"")</f>
        <v/>
      </c>
      <c r="Y238" s="79"/>
      <c r="Z238" s="524" t="str">
        <f>IFERROR(INDEX('G-8 Condition Look up'!$A$3:$H$130,MATCH(S238,'G-8 Condition Look up'!$A$3:$A$130,0),MATCH(Y238,'G-8 Condition Look up'!$A$3:$H$3,0)),"")</f>
        <v/>
      </c>
      <c r="AA238" s="71"/>
      <c r="AB238" s="520" t="str">
        <f>IF(AA238="","",IF(VLOOKUP(AA238,'G-3 Multipliers'!$L$3:$N$6,2,FALSE)=0,"Spatial Data Missing ⚠",VLOOKUP(AA238,'G-3 Multipliers'!$L$3:$N$6,2,FALSE)))</f>
        <v/>
      </c>
      <c r="AC238" s="524" t="str">
        <f>IF(AA238="","",IF(VLOOKUP(AA238,'G-3 Multipliers'!$L$3:$N$6,3,FALSE)=0,"Spatial Data Missing ⚠",VLOOKUP(AA238,'G-3 Multipliers'!$L$3:$N$6,3,FALSE)))</f>
        <v/>
      </c>
      <c r="AD238" s="539" t="str">
        <f t="shared" si="34"/>
        <v/>
      </c>
      <c r="AE238" s="82"/>
      <c r="AF238" s="82"/>
      <c r="AG238" s="507" t="str">
        <f t="shared" si="40"/>
        <v/>
      </c>
      <c r="AH238" s="521" t="str">
        <f t="shared" si="41"/>
        <v/>
      </c>
      <c r="AI238" s="522" t="str">
        <f>IF(AH238="Check Data","Check Data",IFERROR(VLOOKUP(AH238,'G-4 Temporal multipliers'!$A$4:$C$36,3,FALSE),""))</f>
        <v/>
      </c>
      <c r="AJ238" s="498" t="str">
        <f>IF(S238="","",VLOOKUP(S238,'G-3 Multipliers'!$A$2:$E$129,4,FALSE))</f>
        <v/>
      </c>
      <c r="AK238" s="507" t="str">
        <f t="shared" si="42"/>
        <v/>
      </c>
      <c r="AL238" s="507" t="str">
        <f t="shared" si="43"/>
        <v/>
      </c>
      <c r="AM238" s="540" t="str">
        <f>IFERROR(IF(F238="","",IF(AH238="Check Data ⚠","Check Data ⚠",VLOOKUP(AL238, 'G-3 Multipliers'!$P$2:$Q$6,2,FALSE))),"")</f>
        <v/>
      </c>
      <c r="AN238" s="513" t="str">
        <f t="shared" si="35"/>
        <v/>
      </c>
      <c r="AO238" s="239"/>
      <c r="AP238" s="240"/>
    </row>
    <row r="239" spans="1:42" x14ac:dyDescent="0.3">
      <c r="A239" s="47" t="str">
        <f>IF(E239="","",IF(ISNA(VLOOKUP($E239,'A-1 Site Habitat Baseline'!$D$1:$O$258,2,FALSE)),"",(VLOOKUP($E239,'A-1 Site Habitat Baseline'!$D$1:$O$258,2,FALSE))))</f>
        <v/>
      </c>
      <c r="B239" s="47" t="str">
        <f>IF(E239="","",IF(ISNA(VLOOKUP($E239,'A-1 Site Habitat Baseline'!$D$1:$O$258,3,FALSE)),"",(VLOOKUP($E239,'A-1 Site Habitat Baseline'!$D$1:$O$258,3,FALSE))))</f>
        <v/>
      </c>
      <c r="C239" s="47" t="str">
        <f>IFERROR(INDEX('G-8 Condition Look up'!$I$4:$I$130,MATCH(S239,'G-8 Condition Look up'!$A$4:$A$130,0)),"")</f>
        <v/>
      </c>
      <c r="E239" s="531" t="str">
        <f>'A-1 Site Habitat Baseline'!AL238</f>
        <v/>
      </c>
      <c r="F239" s="520" t="str">
        <f>IF(E239="","",IF(ISNA(VLOOKUP($E239,'A-1 Site Habitat Baseline'!$D$1:$O$258,4,FALSE)),"",(VLOOKUP($E239,'A-1 Site Habitat Baseline'!$D$1:$O$258,4,FALSE))))</f>
        <v/>
      </c>
      <c r="G239" s="520" t="str">
        <f>IF(E239="","",IF(ISNA(VLOOKUP($E239,'A-1 Site Habitat Baseline'!$D$1:$O$258,5,FALSE)),"",(VLOOKUP($E239,'A-1 Site Habitat Baseline'!$D$1:$O$258,5,FALSE))))</f>
        <v/>
      </c>
      <c r="H239" s="520" t="str">
        <f>IF(E239="","",IF(ISNA(VLOOKUP($E239,'A-1 Site Habitat Baseline'!$D$1:$O$258,6,FALSE)),"",(VLOOKUP($E239,'A-1 Site Habitat Baseline'!$D$1:$O$258,6,FALSE))))</f>
        <v/>
      </c>
      <c r="I239" s="520" t="str">
        <f>IF(E239="","",IF(ISNA(VLOOKUP($E239,'A-1 Site Habitat Baseline'!$D$1:$O$258,7,FALSE)),"",(VLOOKUP($E239,'A-1 Site Habitat Baseline'!$D$1:$O$258,7,FALSE))))</f>
        <v/>
      </c>
      <c r="J239" s="520" t="str">
        <f>IF(E239="","",IF(ISNA(VLOOKUP($E239,'A-1 Site Habitat Baseline'!$D$1:$O$258,8,FALSE)),"",(VLOOKUP($E239,'A-1 Site Habitat Baseline'!$D$1:$O$258,8,FALSE))))</f>
        <v/>
      </c>
      <c r="K239" s="520" t="str">
        <f>IF(E239="","",IF(ISNA(VLOOKUP($E239,'A-1 Site Habitat Baseline'!$D$1:$O$258,9,FALSE)),"",(VLOOKUP($E239,'A-1 Site Habitat Baseline'!$D$1:$O$258,9,FALSE))))</f>
        <v/>
      </c>
      <c r="L239" s="520" t="str">
        <f>IF(E239="","",IF(ISNA(VLOOKUP($E239,'A-1 Site Habitat Baseline'!$D$1:$O$258,11,FALSE)),"",(VLOOKUP($E239,'A-1 Site Habitat Baseline'!$D$1:$O$258,11,FALSE))))</f>
        <v/>
      </c>
      <c r="M239" s="520" t="str">
        <f>IF(E239="","",IF(ISNA(VLOOKUP($E239,'A-1 Site Habitat Baseline'!$D$1:$O$258,12,FALSE)),"",(VLOOKUP($E239,'A-1 Site Habitat Baseline'!$D$1:$O$258,12,FALSE))))</f>
        <v/>
      </c>
      <c r="N239" s="532" t="str">
        <f>IF(E239="","",IF(ISNA(VLOOKUP($E239,'A-1 Site Habitat Baseline'!$D$1:$X$258,14,FALSE)),"",(VLOOKUP($E239,'A-1 Site Habitat Baseline'!$D$1:$X$258,14,FALSE))))</f>
        <v/>
      </c>
      <c r="O239" s="524" t="str">
        <f>IF(E239="","",IF(ISNA(VLOOKUP($E239,'A-1 Site Habitat Baseline'!$D$1:$X$258,16,FALSE)),"",(VLOOKUP($E239,'A-1 Site Habitat Baseline'!$D$1:$X$258,13,FALSE))))</f>
        <v/>
      </c>
      <c r="P239" s="237" t="str">
        <f>IFERROR(INDEX('G-1 All Habitats'!$AG$3:$AG$15,MATCH(Q239,'G-1 All Habitats'!$AF$3:$AF$15,0)),"")</f>
        <v/>
      </c>
      <c r="Q239" s="238" t="str">
        <f t="shared" si="36"/>
        <v/>
      </c>
      <c r="R239" s="238" t="str">
        <f t="shared" si="37"/>
        <v/>
      </c>
      <c r="S239" s="392" t="str">
        <f>IFERROR(INDEX('G-1 All Habitats'!$B$3:$B$129,MATCH(R239,'G-1 All Habitats'!$A$3:$A$129,0)),"")</f>
        <v/>
      </c>
      <c r="T239" s="498" t="str">
        <f t="shared" si="38"/>
        <v/>
      </c>
      <c r="U239" s="499" t="str">
        <f t="shared" si="39"/>
        <v/>
      </c>
      <c r="V239" s="537" t="str">
        <f t="shared" si="33"/>
        <v/>
      </c>
      <c r="W239" s="520" t="str">
        <f>IF(S239="","",VLOOKUP(S239,'G-1 All Habitats'!$B$2:$M$129,10,FALSE))</f>
        <v/>
      </c>
      <c r="X239" s="520" t="str">
        <f>IFERROR(VLOOKUP(W239,'G-1 All Habitats'!$V$3:$W$7,2,FALSE),"")</f>
        <v/>
      </c>
      <c r="Y239" s="79"/>
      <c r="Z239" s="524" t="str">
        <f>IFERROR(INDEX('G-8 Condition Look up'!$A$3:$H$130,MATCH(S239,'G-8 Condition Look up'!$A$3:$A$130,0),MATCH(Y239,'G-8 Condition Look up'!$A$3:$H$3,0)),"")</f>
        <v/>
      </c>
      <c r="AA239" s="71"/>
      <c r="AB239" s="520" t="str">
        <f>IF(AA239="","",IF(VLOOKUP(AA239,'G-3 Multipliers'!$L$3:$N$6,2,FALSE)=0,"Spatial Data Missing ⚠",VLOOKUP(AA239,'G-3 Multipliers'!$L$3:$N$6,2,FALSE)))</f>
        <v/>
      </c>
      <c r="AC239" s="524" t="str">
        <f>IF(AA239="","",IF(VLOOKUP(AA239,'G-3 Multipliers'!$L$3:$N$6,3,FALSE)=0,"Spatial Data Missing ⚠",VLOOKUP(AA239,'G-3 Multipliers'!$L$3:$N$6,3,FALSE)))</f>
        <v/>
      </c>
      <c r="AD239" s="539" t="str">
        <f t="shared" si="34"/>
        <v/>
      </c>
      <c r="AE239" s="82"/>
      <c r="AF239" s="82"/>
      <c r="AG239" s="507" t="str">
        <f t="shared" si="40"/>
        <v/>
      </c>
      <c r="AH239" s="521" t="str">
        <f t="shared" si="41"/>
        <v/>
      </c>
      <c r="AI239" s="522" t="str">
        <f>IF(AH239="Check Data","Check Data",IFERROR(VLOOKUP(AH239,'G-4 Temporal multipliers'!$A$4:$C$36,3,FALSE),""))</f>
        <v/>
      </c>
      <c r="AJ239" s="498" t="str">
        <f>IF(S239="","",VLOOKUP(S239,'G-3 Multipliers'!$A$2:$E$129,4,FALSE))</f>
        <v/>
      </c>
      <c r="AK239" s="507" t="str">
        <f t="shared" si="42"/>
        <v/>
      </c>
      <c r="AL239" s="507" t="str">
        <f t="shared" si="43"/>
        <v/>
      </c>
      <c r="AM239" s="540" t="str">
        <f>IFERROR(IF(F239="","",IF(AH239="Check Data ⚠","Check Data ⚠",VLOOKUP(AL239, 'G-3 Multipliers'!$P$2:$Q$6,2,FALSE))),"")</f>
        <v/>
      </c>
      <c r="AN239" s="513" t="str">
        <f t="shared" si="35"/>
        <v/>
      </c>
      <c r="AO239" s="239"/>
      <c r="AP239" s="240"/>
    </row>
    <row r="240" spans="1:42" x14ac:dyDescent="0.3">
      <c r="A240" s="47" t="str">
        <f>IF(E240="","",IF(ISNA(VLOOKUP($E240,'A-1 Site Habitat Baseline'!$D$1:$O$258,2,FALSE)),"",(VLOOKUP($E240,'A-1 Site Habitat Baseline'!$D$1:$O$258,2,FALSE))))</f>
        <v/>
      </c>
      <c r="B240" s="47" t="str">
        <f>IF(E240="","",IF(ISNA(VLOOKUP($E240,'A-1 Site Habitat Baseline'!$D$1:$O$258,3,FALSE)),"",(VLOOKUP($E240,'A-1 Site Habitat Baseline'!$D$1:$O$258,3,FALSE))))</f>
        <v/>
      </c>
      <c r="C240" s="47" t="str">
        <f>IFERROR(INDEX('G-8 Condition Look up'!$I$4:$I$130,MATCH(S240,'G-8 Condition Look up'!$A$4:$A$130,0)),"")</f>
        <v/>
      </c>
      <c r="E240" s="531" t="str">
        <f>'A-1 Site Habitat Baseline'!AL239</f>
        <v/>
      </c>
      <c r="F240" s="520" t="str">
        <f>IF(E240="","",IF(ISNA(VLOOKUP($E240,'A-1 Site Habitat Baseline'!$D$1:$O$258,4,FALSE)),"",(VLOOKUP($E240,'A-1 Site Habitat Baseline'!$D$1:$O$258,4,FALSE))))</f>
        <v/>
      </c>
      <c r="G240" s="520" t="str">
        <f>IF(E240="","",IF(ISNA(VLOOKUP($E240,'A-1 Site Habitat Baseline'!$D$1:$O$258,5,FALSE)),"",(VLOOKUP($E240,'A-1 Site Habitat Baseline'!$D$1:$O$258,5,FALSE))))</f>
        <v/>
      </c>
      <c r="H240" s="520" t="str">
        <f>IF(E240="","",IF(ISNA(VLOOKUP($E240,'A-1 Site Habitat Baseline'!$D$1:$O$258,6,FALSE)),"",(VLOOKUP($E240,'A-1 Site Habitat Baseline'!$D$1:$O$258,6,FALSE))))</f>
        <v/>
      </c>
      <c r="I240" s="520" t="str">
        <f>IF(E240="","",IF(ISNA(VLOOKUP($E240,'A-1 Site Habitat Baseline'!$D$1:$O$258,7,FALSE)),"",(VLOOKUP($E240,'A-1 Site Habitat Baseline'!$D$1:$O$258,7,FALSE))))</f>
        <v/>
      </c>
      <c r="J240" s="520" t="str">
        <f>IF(E240="","",IF(ISNA(VLOOKUP($E240,'A-1 Site Habitat Baseline'!$D$1:$O$258,8,FALSE)),"",(VLOOKUP($E240,'A-1 Site Habitat Baseline'!$D$1:$O$258,8,FALSE))))</f>
        <v/>
      </c>
      <c r="K240" s="520" t="str">
        <f>IF(E240="","",IF(ISNA(VLOOKUP($E240,'A-1 Site Habitat Baseline'!$D$1:$O$258,9,FALSE)),"",(VLOOKUP($E240,'A-1 Site Habitat Baseline'!$D$1:$O$258,9,FALSE))))</f>
        <v/>
      </c>
      <c r="L240" s="520" t="str">
        <f>IF(E240="","",IF(ISNA(VLOOKUP($E240,'A-1 Site Habitat Baseline'!$D$1:$O$258,11,FALSE)),"",(VLOOKUP($E240,'A-1 Site Habitat Baseline'!$D$1:$O$258,11,FALSE))))</f>
        <v/>
      </c>
      <c r="M240" s="520" t="str">
        <f>IF(E240="","",IF(ISNA(VLOOKUP($E240,'A-1 Site Habitat Baseline'!$D$1:$O$258,12,FALSE)),"",(VLOOKUP($E240,'A-1 Site Habitat Baseline'!$D$1:$O$258,12,FALSE))))</f>
        <v/>
      </c>
      <c r="N240" s="532" t="str">
        <f>IF(E240="","",IF(ISNA(VLOOKUP($E240,'A-1 Site Habitat Baseline'!$D$1:$X$258,14,FALSE)),"",(VLOOKUP($E240,'A-1 Site Habitat Baseline'!$D$1:$X$258,14,FALSE))))</f>
        <v/>
      </c>
      <c r="O240" s="524" t="str">
        <f>IF(E240="","",IF(ISNA(VLOOKUP($E240,'A-1 Site Habitat Baseline'!$D$1:$X$258,16,FALSE)),"",(VLOOKUP($E240,'A-1 Site Habitat Baseline'!$D$1:$X$258,13,FALSE))))</f>
        <v/>
      </c>
      <c r="P240" s="237" t="str">
        <f>IFERROR(INDEX('G-1 All Habitats'!$AG$3:$AG$15,MATCH(Q240,'G-1 All Habitats'!$AF$3:$AF$15,0)),"")</f>
        <v/>
      </c>
      <c r="Q240" s="238" t="str">
        <f t="shared" si="36"/>
        <v/>
      </c>
      <c r="R240" s="238" t="str">
        <f t="shared" si="37"/>
        <v/>
      </c>
      <c r="S240" s="392" t="str">
        <f>IFERROR(INDEX('G-1 All Habitats'!$B$3:$B$129,MATCH(R240,'G-1 All Habitats'!$A$3:$A$129,0)),"")</f>
        <v/>
      </c>
      <c r="T240" s="498" t="str">
        <f t="shared" si="38"/>
        <v/>
      </c>
      <c r="U240" s="499" t="str">
        <f t="shared" si="39"/>
        <v/>
      </c>
      <c r="V240" s="537" t="str">
        <f t="shared" si="33"/>
        <v/>
      </c>
      <c r="W240" s="520" t="str">
        <f>IF(S240="","",VLOOKUP(S240,'G-1 All Habitats'!$B$2:$M$129,10,FALSE))</f>
        <v/>
      </c>
      <c r="X240" s="520" t="str">
        <f>IFERROR(VLOOKUP(W240,'G-1 All Habitats'!$V$3:$W$7,2,FALSE),"")</f>
        <v/>
      </c>
      <c r="Y240" s="79"/>
      <c r="Z240" s="524" t="str">
        <f>IFERROR(INDEX('G-8 Condition Look up'!$A$3:$H$130,MATCH(S240,'G-8 Condition Look up'!$A$3:$A$130,0),MATCH(Y240,'G-8 Condition Look up'!$A$3:$H$3,0)),"")</f>
        <v/>
      </c>
      <c r="AA240" s="71"/>
      <c r="AB240" s="520" t="str">
        <f>IF(AA240="","",IF(VLOOKUP(AA240,'G-3 Multipliers'!$L$3:$N$6,2,FALSE)=0,"Spatial Data Missing ⚠",VLOOKUP(AA240,'G-3 Multipliers'!$L$3:$N$6,2,FALSE)))</f>
        <v/>
      </c>
      <c r="AC240" s="524" t="str">
        <f>IF(AA240="","",IF(VLOOKUP(AA240,'G-3 Multipliers'!$L$3:$N$6,3,FALSE)=0,"Spatial Data Missing ⚠",VLOOKUP(AA240,'G-3 Multipliers'!$L$3:$N$6,3,FALSE)))</f>
        <v/>
      </c>
      <c r="AD240" s="539" t="str">
        <f t="shared" si="34"/>
        <v/>
      </c>
      <c r="AE240" s="82"/>
      <c r="AF240" s="82"/>
      <c r="AG240" s="507" t="str">
        <f t="shared" si="40"/>
        <v/>
      </c>
      <c r="AH240" s="521" t="str">
        <f t="shared" si="41"/>
        <v/>
      </c>
      <c r="AI240" s="522" t="str">
        <f>IF(AH240="Check Data","Check Data",IFERROR(VLOOKUP(AH240,'G-4 Temporal multipliers'!$A$4:$C$36,3,FALSE),""))</f>
        <v/>
      </c>
      <c r="AJ240" s="498" t="str">
        <f>IF(S240="","",VLOOKUP(S240,'G-3 Multipliers'!$A$2:$E$129,4,FALSE))</f>
        <v/>
      </c>
      <c r="AK240" s="507" t="str">
        <f t="shared" si="42"/>
        <v/>
      </c>
      <c r="AL240" s="507" t="str">
        <f t="shared" si="43"/>
        <v/>
      </c>
      <c r="AM240" s="540" t="str">
        <f>IFERROR(IF(F240="","",IF(AH240="Check Data ⚠","Check Data ⚠",VLOOKUP(AL240, 'G-3 Multipliers'!$P$2:$Q$6,2,FALSE))),"")</f>
        <v/>
      </c>
      <c r="AN240" s="513" t="str">
        <f t="shared" si="35"/>
        <v/>
      </c>
      <c r="AO240" s="239"/>
      <c r="AP240" s="240"/>
    </row>
    <row r="241" spans="1:42" x14ac:dyDescent="0.3">
      <c r="A241" s="47" t="str">
        <f>IF(E241="","",IF(ISNA(VLOOKUP($E241,'A-1 Site Habitat Baseline'!$D$1:$O$258,2,FALSE)),"",(VLOOKUP($E241,'A-1 Site Habitat Baseline'!$D$1:$O$258,2,FALSE))))</f>
        <v/>
      </c>
      <c r="B241" s="47" t="str">
        <f>IF(E241="","",IF(ISNA(VLOOKUP($E241,'A-1 Site Habitat Baseline'!$D$1:$O$258,3,FALSE)),"",(VLOOKUP($E241,'A-1 Site Habitat Baseline'!$D$1:$O$258,3,FALSE))))</f>
        <v/>
      </c>
      <c r="C241" s="47" t="str">
        <f>IFERROR(INDEX('G-8 Condition Look up'!$I$4:$I$130,MATCH(S241,'G-8 Condition Look up'!$A$4:$A$130,0)),"")</f>
        <v/>
      </c>
      <c r="E241" s="531" t="str">
        <f>'A-1 Site Habitat Baseline'!AL240</f>
        <v/>
      </c>
      <c r="F241" s="520" t="str">
        <f>IF(E241="","",IF(ISNA(VLOOKUP($E241,'A-1 Site Habitat Baseline'!$D$1:$O$258,4,FALSE)),"",(VLOOKUP($E241,'A-1 Site Habitat Baseline'!$D$1:$O$258,4,FALSE))))</f>
        <v/>
      </c>
      <c r="G241" s="520" t="str">
        <f>IF(E241="","",IF(ISNA(VLOOKUP($E241,'A-1 Site Habitat Baseline'!$D$1:$O$258,5,FALSE)),"",(VLOOKUP($E241,'A-1 Site Habitat Baseline'!$D$1:$O$258,5,FALSE))))</f>
        <v/>
      </c>
      <c r="H241" s="520" t="str">
        <f>IF(E241="","",IF(ISNA(VLOOKUP($E241,'A-1 Site Habitat Baseline'!$D$1:$O$258,6,FALSE)),"",(VLOOKUP($E241,'A-1 Site Habitat Baseline'!$D$1:$O$258,6,FALSE))))</f>
        <v/>
      </c>
      <c r="I241" s="520" t="str">
        <f>IF(E241="","",IF(ISNA(VLOOKUP($E241,'A-1 Site Habitat Baseline'!$D$1:$O$258,7,FALSE)),"",(VLOOKUP($E241,'A-1 Site Habitat Baseline'!$D$1:$O$258,7,FALSE))))</f>
        <v/>
      </c>
      <c r="J241" s="520" t="str">
        <f>IF(E241="","",IF(ISNA(VLOOKUP($E241,'A-1 Site Habitat Baseline'!$D$1:$O$258,8,FALSE)),"",(VLOOKUP($E241,'A-1 Site Habitat Baseline'!$D$1:$O$258,8,FALSE))))</f>
        <v/>
      </c>
      <c r="K241" s="520" t="str">
        <f>IF(E241="","",IF(ISNA(VLOOKUP($E241,'A-1 Site Habitat Baseline'!$D$1:$O$258,9,FALSE)),"",(VLOOKUP($E241,'A-1 Site Habitat Baseline'!$D$1:$O$258,9,FALSE))))</f>
        <v/>
      </c>
      <c r="L241" s="520" t="str">
        <f>IF(E241="","",IF(ISNA(VLOOKUP($E241,'A-1 Site Habitat Baseline'!$D$1:$O$258,11,FALSE)),"",(VLOOKUP($E241,'A-1 Site Habitat Baseline'!$D$1:$O$258,11,FALSE))))</f>
        <v/>
      </c>
      <c r="M241" s="520" t="str">
        <f>IF(E241="","",IF(ISNA(VLOOKUP($E241,'A-1 Site Habitat Baseline'!$D$1:$O$258,12,FALSE)),"",(VLOOKUP($E241,'A-1 Site Habitat Baseline'!$D$1:$O$258,12,FALSE))))</f>
        <v/>
      </c>
      <c r="N241" s="532" t="str">
        <f>IF(E241="","",IF(ISNA(VLOOKUP($E241,'A-1 Site Habitat Baseline'!$D$1:$X$258,14,FALSE)),"",(VLOOKUP($E241,'A-1 Site Habitat Baseline'!$D$1:$X$258,14,FALSE))))</f>
        <v/>
      </c>
      <c r="O241" s="524" t="str">
        <f>IF(E241="","",IF(ISNA(VLOOKUP($E241,'A-1 Site Habitat Baseline'!$D$1:$X$258,16,FALSE)),"",(VLOOKUP($E241,'A-1 Site Habitat Baseline'!$D$1:$X$258,13,FALSE))))</f>
        <v/>
      </c>
      <c r="P241" s="237" t="str">
        <f>IFERROR(INDEX('G-1 All Habitats'!$AG$3:$AG$15,MATCH(Q241,'G-1 All Habitats'!$AF$3:$AF$15,0)),"")</f>
        <v/>
      </c>
      <c r="Q241" s="238" t="str">
        <f t="shared" si="36"/>
        <v/>
      </c>
      <c r="R241" s="238" t="str">
        <f t="shared" si="37"/>
        <v/>
      </c>
      <c r="S241" s="392" t="str">
        <f>IFERROR(INDEX('G-1 All Habitats'!$B$3:$B$129,MATCH(R241,'G-1 All Habitats'!$A$3:$A$129,0)),"")</f>
        <v/>
      </c>
      <c r="T241" s="498" t="str">
        <f t="shared" si="38"/>
        <v/>
      </c>
      <c r="U241" s="499" t="str">
        <f t="shared" si="39"/>
        <v/>
      </c>
      <c r="V241" s="537" t="str">
        <f t="shared" si="33"/>
        <v/>
      </c>
      <c r="W241" s="520" t="str">
        <f>IF(S241="","",VLOOKUP(S241,'G-1 All Habitats'!$B$2:$M$129,10,FALSE))</f>
        <v/>
      </c>
      <c r="X241" s="520" t="str">
        <f>IFERROR(VLOOKUP(W241,'G-1 All Habitats'!$V$3:$W$7,2,FALSE),"")</f>
        <v/>
      </c>
      <c r="Y241" s="79"/>
      <c r="Z241" s="524" t="str">
        <f>IFERROR(INDEX('G-8 Condition Look up'!$A$3:$H$130,MATCH(S241,'G-8 Condition Look up'!$A$3:$A$130,0),MATCH(Y241,'G-8 Condition Look up'!$A$3:$H$3,0)),"")</f>
        <v/>
      </c>
      <c r="AA241" s="71"/>
      <c r="AB241" s="520" t="str">
        <f>IF(AA241="","",IF(VLOOKUP(AA241,'G-3 Multipliers'!$L$3:$N$6,2,FALSE)=0,"Spatial Data Missing ⚠",VLOOKUP(AA241,'G-3 Multipliers'!$L$3:$N$6,2,FALSE)))</f>
        <v/>
      </c>
      <c r="AC241" s="524" t="str">
        <f>IF(AA241="","",IF(VLOOKUP(AA241,'G-3 Multipliers'!$L$3:$N$6,3,FALSE)=0,"Spatial Data Missing ⚠",VLOOKUP(AA241,'G-3 Multipliers'!$L$3:$N$6,3,FALSE)))</f>
        <v/>
      </c>
      <c r="AD241" s="539" t="str">
        <f t="shared" si="34"/>
        <v/>
      </c>
      <c r="AE241" s="82"/>
      <c r="AF241" s="82"/>
      <c r="AG241" s="507" t="str">
        <f t="shared" si="40"/>
        <v/>
      </c>
      <c r="AH241" s="521" t="str">
        <f t="shared" si="41"/>
        <v/>
      </c>
      <c r="AI241" s="522" t="str">
        <f>IF(AH241="Check Data","Check Data",IFERROR(VLOOKUP(AH241,'G-4 Temporal multipliers'!$A$4:$C$36,3,FALSE),""))</f>
        <v/>
      </c>
      <c r="AJ241" s="498" t="str">
        <f>IF(S241="","",VLOOKUP(S241,'G-3 Multipliers'!$A$2:$E$129,4,FALSE))</f>
        <v/>
      </c>
      <c r="AK241" s="507" t="str">
        <f t="shared" si="42"/>
        <v/>
      </c>
      <c r="AL241" s="507" t="str">
        <f t="shared" si="43"/>
        <v/>
      </c>
      <c r="AM241" s="540" t="str">
        <f>IFERROR(IF(F241="","",IF(AH241="Check Data ⚠","Check Data ⚠",VLOOKUP(AL241, 'G-3 Multipliers'!$P$2:$Q$6,2,FALSE))),"")</f>
        <v/>
      </c>
      <c r="AN241" s="513" t="str">
        <f t="shared" si="35"/>
        <v/>
      </c>
      <c r="AO241" s="239"/>
      <c r="AP241" s="240"/>
    </row>
    <row r="242" spans="1:42" x14ac:dyDescent="0.3">
      <c r="A242" s="47" t="str">
        <f>IF(E242="","",IF(ISNA(VLOOKUP($E242,'A-1 Site Habitat Baseline'!$D$1:$O$258,2,FALSE)),"",(VLOOKUP($E242,'A-1 Site Habitat Baseline'!$D$1:$O$258,2,FALSE))))</f>
        <v/>
      </c>
      <c r="B242" s="47" t="str">
        <f>IF(E242="","",IF(ISNA(VLOOKUP($E242,'A-1 Site Habitat Baseline'!$D$1:$O$258,3,FALSE)),"",(VLOOKUP($E242,'A-1 Site Habitat Baseline'!$D$1:$O$258,3,FALSE))))</f>
        <v/>
      </c>
      <c r="C242" s="47" t="str">
        <f>IFERROR(INDEX('G-8 Condition Look up'!$I$4:$I$130,MATCH(S242,'G-8 Condition Look up'!$A$4:$A$130,0)),"")</f>
        <v/>
      </c>
      <c r="E242" s="531" t="str">
        <f>'A-1 Site Habitat Baseline'!AL241</f>
        <v/>
      </c>
      <c r="F242" s="520" t="str">
        <f>IF(E242="","",IF(ISNA(VLOOKUP($E242,'A-1 Site Habitat Baseline'!$D$1:$O$258,4,FALSE)),"",(VLOOKUP($E242,'A-1 Site Habitat Baseline'!$D$1:$O$258,4,FALSE))))</f>
        <v/>
      </c>
      <c r="G242" s="520" t="str">
        <f>IF(E242="","",IF(ISNA(VLOOKUP($E242,'A-1 Site Habitat Baseline'!$D$1:$O$258,5,FALSE)),"",(VLOOKUP($E242,'A-1 Site Habitat Baseline'!$D$1:$O$258,5,FALSE))))</f>
        <v/>
      </c>
      <c r="H242" s="520" t="str">
        <f>IF(E242="","",IF(ISNA(VLOOKUP($E242,'A-1 Site Habitat Baseline'!$D$1:$O$258,6,FALSE)),"",(VLOOKUP($E242,'A-1 Site Habitat Baseline'!$D$1:$O$258,6,FALSE))))</f>
        <v/>
      </c>
      <c r="I242" s="520" t="str">
        <f>IF(E242="","",IF(ISNA(VLOOKUP($E242,'A-1 Site Habitat Baseline'!$D$1:$O$258,7,FALSE)),"",(VLOOKUP($E242,'A-1 Site Habitat Baseline'!$D$1:$O$258,7,FALSE))))</f>
        <v/>
      </c>
      <c r="J242" s="520" t="str">
        <f>IF(E242="","",IF(ISNA(VLOOKUP($E242,'A-1 Site Habitat Baseline'!$D$1:$O$258,8,FALSE)),"",(VLOOKUP($E242,'A-1 Site Habitat Baseline'!$D$1:$O$258,8,FALSE))))</f>
        <v/>
      </c>
      <c r="K242" s="520" t="str">
        <f>IF(E242="","",IF(ISNA(VLOOKUP($E242,'A-1 Site Habitat Baseline'!$D$1:$O$258,9,FALSE)),"",(VLOOKUP($E242,'A-1 Site Habitat Baseline'!$D$1:$O$258,9,FALSE))))</f>
        <v/>
      </c>
      <c r="L242" s="520" t="str">
        <f>IF(E242="","",IF(ISNA(VLOOKUP($E242,'A-1 Site Habitat Baseline'!$D$1:$O$258,11,FALSE)),"",(VLOOKUP($E242,'A-1 Site Habitat Baseline'!$D$1:$O$258,11,FALSE))))</f>
        <v/>
      </c>
      <c r="M242" s="520" t="str">
        <f>IF(E242="","",IF(ISNA(VLOOKUP($E242,'A-1 Site Habitat Baseline'!$D$1:$O$258,12,FALSE)),"",(VLOOKUP($E242,'A-1 Site Habitat Baseline'!$D$1:$O$258,12,FALSE))))</f>
        <v/>
      </c>
      <c r="N242" s="532" t="str">
        <f>IF(E242="","",IF(ISNA(VLOOKUP($E242,'A-1 Site Habitat Baseline'!$D$1:$X$258,14,FALSE)),"",(VLOOKUP($E242,'A-1 Site Habitat Baseline'!$D$1:$X$258,14,FALSE))))</f>
        <v/>
      </c>
      <c r="O242" s="524" t="str">
        <f>IF(E242="","",IF(ISNA(VLOOKUP($E242,'A-1 Site Habitat Baseline'!$D$1:$X$258,16,FALSE)),"",(VLOOKUP($E242,'A-1 Site Habitat Baseline'!$D$1:$X$258,13,FALSE))))</f>
        <v/>
      </c>
      <c r="P242" s="237" t="str">
        <f>IFERROR(INDEX('G-1 All Habitats'!$AG$3:$AG$15,MATCH(Q242,'G-1 All Habitats'!$AF$3:$AF$15,0)),"")</f>
        <v/>
      </c>
      <c r="Q242" s="238" t="str">
        <f t="shared" si="36"/>
        <v/>
      </c>
      <c r="R242" s="238" t="str">
        <f t="shared" si="37"/>
        <v/>
      </c>
      <c r="S242" s="392" t="str">
        <f>IFERROR(INDEX('G-1 All Habitats'!$B$3:$B$129,MATCH(R242,'G-1 All Habitats'!$A$3:$A$129,0)),"")</f>
        <v/>
      </c>
      <c r="T242" s="498" t="str">
        <f t="shared" si="38"/>
        <v/>
      </c>
      <c r="U242" s="499" t="str">
        <f t="shared" si="39"/>
        <v/>
      </c>
      <c r="V242" s="537" t="str">
        <f t="shared" si="33"/>
        <v/>
      </c>
      <c r="W242" s="520" t="str">
        <f>IF(S242="","",VLOOKUP(S242,'G-1 All Habitats'!$B$2:$M$129,10,FALSE))</f>
        <v/>
      </c>
      <c r="X242" s="520" t="str">
        <f>IFERROR(VLOOKUP(W242,'G-1 All Habitats'!$V$3:$W$7,2,FALSE),"")</f>
        <v/>
      </c>
      <c r="Y242" s="79"/>
      <c r="Z242" s="524" t="str">
        <f>IFERROR(INDEX('G-8 Condition Look up'!$A$3:$H$130,MATCH(S242,'G-8 Condition Look up'!$A$3:$A$130,0),MATCH(Y242,'G-8 Condition Look up'!$A$3:$H$3,0)),"")</f>
        <v/>
      </c>
      <c r="AA242" s="71"/>
      <c r="AB242" s="520" t="str">
        <f>IF(AA242="","",IF(VLOOKUP(AA242,'G-3 Multipliers'!$L$3:$N$6,2,FALSE)=0,"Spatial Data Missing ⚠",VLOOKUP(AA242,'G-3 Multipliers'!$L$3:$N$6,2,FALSE)))</f>
        <v/>
      </c>
      <c r="AC242" s="524" t="str">
        <f>IF(AA242="","",IF(VLOOKUP(AA242,'G-3 Multipliers'!$L$3:$N$6,3,FALSE)=0,"Spatial Data Missing ⚠",VLOOKUP(AA242,'G-3 Multipliers'!$L$3:$N$6,3,FALSE)))</f>
        <v/>
      </c>
      <c r="AD242" s="539" t="str">
        <f t="shared" si="34"/>
        <v/>
      </c>
      <c r="AE242" s="82"/>
      <c r="AF242" s="82"/>
      <c r="AG242" s="507" t="str">
        <f t="shared" si="40"/>
        <v/>
      </c>
      <c r="AH242" s="521" t="str">
        <f t="shared" si="41"/>
        <v/>
      </c>
      <c r="AI242" s="522" t="str">
        <f>IF(AH242="Check Data","Check Data",IFERROR(VLOOKUP(AH242,'G-4 Temporal multipliers'!$A$4:$C$36,3,FALSE),""))</f>
        <v/>
      </c>
      <c r="AJ242" s="498" t="str">
        <f>IF(S242="","",VLOOKUP(S242,'G-3 Multipliers'!$A$2:$E$129,4,FALSE))</f>
        <v/>
      </c>
      <c r="AK242" s="507" t="str">
        <f t="shared" si="42"/>
        <v/>
      </c>
      <c r="AL242" s="507" t="str">
        <f t="shared" si="43"/>
        <v/>
      </c>
      <c r="AM242" s="540" t="str">
        <f>IFERROR(IF(F242="","",IF(AH242="Check Data ⚠","Check Data ⚠",VLOOKUP(AL242, 'G-3 Multipliers'!$P$2:$Q$6,2,FALSE))),"")</f>
        <v/>
      </c>
      <c r="AN242" s="513" t="str">
        <f t="shared" si="35"/>
        <v/>
      </c>
      <c r="AO242" s="239"/>
      <c r="AP242" s="240"/>
    </row>
    <row r="243" spans="1:42" x14ac:dyDescent="0.3">
      <c r="A243" s="47" t="str">
        <f>IF(E243="","",IF(ISNA(VLOOKUP($E243,'A-1 Site Habitat Baseline'!$D$1:$O$258,2,FALSE)),"",(VLOOKUP($E243,'A-1 Site Habitat Baseline'!$D$1:$O$258,2,FALSE))))</f>
        <v/>
      </c>
      <c r="B243" s="47" t="str">
        <f>IF(E243="","",IF(ISNA(VLOOKUP($E243,'A-1 Site Habitat Baseline'!$D$1:$O$258,3,FALSE)),"",(VLOOKUP($E243,'A-1 Site Habitat Baseline'!$D$1:$O$258,3,FALSE))))</f>
        <v/>
      </c>
      <c r="C243" s="47" t="str">
        <f>IFERROR(INDEX('G-8 Condition Look up'!$I$4:$I$130,MATCH(S243,'G-8 Condition Look up'!$A$4:$A$130,0)),"")</f>
        <v/>
      </c>
      <c r="E243" s="531" t="str">
        <f>'A-1 Site Habitat Baseline'!AL242</f>
        <v/>
      </c>
      <c r="F243" s="520" t="str">
        <f>IF(E243="","",IF(ISNA(VLOOKUP($E243,'A-1 Site Habitat Baseline'!$D$1:$O$258,4,FALSE)),"",(VLOOKUP($E243,'A-1 Site Habitat Baseline'!$D$1:$O$258,4,FALSE))))</f>
        <v/>
      </c>
      <c r="G243" s="520" t="str">
        <f>IF(E243="","",IF(ISNA(VLOOKUP($E243,'A-1 Site Habitat Baseline'!$D$1:$O$258,5,FALSE)),"",(VLOOKUP($E243,'A-1 Site Habitat Baseline'!$D$1:$O$258,5,FALSE))))</f>
        <v/>
      </c>
      <c r="H243" s="520" t="str">
        <f>IF(E243="","",IF(ISNA(VLOOKUP($E243,'A-1 Site Habitat Baseline'!$D$1:$O$258,6,FALSE)),"",(VLOOKUP($E243,'A-1 Site Habitat Baseline'!$D$1:$O$258,6,FALSE))))</f>
        <v/>
      </c>
      <c r="I243" s="520" t="str">
        <f>IF(E243="","",IF(ISNA(VLOOKUP($E243,'A-1 Site Habitat Baseline'!$D$1:$O$258,7,FALSE)),"",(VLOOKUP($E243,'A-1 Site Habitat Baseline'!$D$1:$O$258,7,FALSE))))</f>
        <v/>
      </c>
      <c r="J243" s="520" t="str">
        <f>IF(E243="","",IF(ISNA(VLOOKUP($E243,'A-1 Site Habitat Baseline'!$D$1:$O$258,8,FALSE)),"",(VLOOKUP($E243,'A-1 Site Habitat Baseline'!$D$1:$O$258,8,FALSE))))</f>
        <v/>
      </c>
      <c r="K243" s="520" t="str">
        <f>IF(E243="","",IF(ISNA(VLOOKUP($E243,'A-1 Site Habitat Baseline'!$D$1:$O$258,9,FALSE)),"",(VLOOKUP($E243,'A-1 Site Habitat Baseline'!$D$1:$O$258,9,FALSE))))</f>
        <v/>
      </c>
      <c r="L243" s="520" t="str">
        <f>IF(E243="","",IF(ISNA(VLOOKUP($E243,'A-1 Site Habitat Baseline'!$D$1:$O$258,11,FALSE)),"",(VLOOKUP($E243,'A-1 Site Habitat Baseline'!$D$1:$O$258,11,FALSE))))</f>
        <v/>
      </c>
      <c r="M243" s="520" t="str">
        <f>IF(E243="","",IF(ISNA(VLOOKUP($E243,'A-1 Site Habitat Baseline'!$D$1:$O$258,12,FALSE)),"",(VLOOKUP($E243,'A-1 Site Habitat Baseline'!$D$1:$O$258,12,FALSE))))</f>
        <v/>
      </c>
      <c r="N243" s="532" t="str">
        <f>IF(E243="","",IF(ISNA(VLOOKUP($E243,'A-1 Site Habitat Baseline'!$D$1:$X$258,14,FALSE)),"",(VLOOKUP($E243,'A-1 Site Habitat Baseline'!$D$1:$X$258,14,FALSE))))</f>
        <v/>
      </c>
      <c r="O243" s="524" t="str">
        <f>IF(E243="","",IF(ISNA(VLOOKUP($E243,'A-1 Site Habitat Baseline'!$D$1:$X$258,16,FALSE)),"",(VLOOKUP($E243,'A-1 Site Habitat Baseline'!$D$1:$X$258,13,FALSE))))</f>
        <v/>
      </c>
      <c r="P243" s="237" t="str">
        <f>IFERROR(INDEX('G-1 All Habitats'!$AG$3:$AG$15,MATCH(Q243,'G-1 All Habitats'!$AF$3:$AF$15,0)),"")</f>
        <v/>
      </c>
      <c r="Q243" s="238" t="str">
        <f t="shared" si="36"/>
        <v/>
      </c>
      <c r="R243" s="238" t="str">
        <f t="shared" si="37"/>
        <v/>
      </c>
      <c r="S243" s="392" t="str">
        <f>IFERROR(INDEX('G-1 All Habitats'!$B$3:$B$129,MATCH(R243,'G-1 All Habitats'!$A$3:$A$129,0)),"")</f>
        <v/>
      </c>
      <c r="T243" s="498" t="str">
        <f t="shared" si="38"/>
        <v/>
      </c>
      <c r="U243" s="499" t="str">
        <f t="shared" si="39"/>
        <v/>
      </c>
      <c r="V243" s="537" t="str">
        <f t="shared" si="33"/>
        <v/>
      </c>
      <c r="W243" s="520" t="str">
        <f>IF(S243="","",VLOOKUP(S243,'G-1 All Habitats'!$B$2:$M$129,10,FALSE))</f>
        <v/>
      </c>
      <c r="X243" s="520" t="str">
        <f>IFERROR(VLOOKUP(W243,'G-1 All Habitats'!$V$3:$W$7,2,FALSE),"")</f>
        <v/>
      </c>
      <c r="Y243" s="79"/>
      <c r="Z243" s="524" t="str">
        <f>IFERROR(INDEX('G-8 Condition Look up'!$A$3:$H$130,MATCH(S243,'G-8 Condition Look up'!$A$3:$A$130,0),MATCH(Y243,'G-8 Condition Look up'!$A$3:$H$3,0)),"")</f>
        <v/>
      </c>
      <c r="AA243" s="71"/>
      <c r="AB243" s="520" t="str">
        <f>IF(AA243="","",IF(VLOOKUP(AA243,'G-3 Multipliers'!$L$3:$N$6,2,FALSE)=0,"Spatial Data Missing ⚠",VLOOKUP(AA243,'G-3 Multipliers'!$L$3:$N$6,2,FALSE)))</f>
        <v/>
      </c>
      <c r="AC243" s="524" t="str">
        <f>IF(AA243="","",IF(VLOOKUP(AA243,'G-3 Multipliers'!$L$3:$N$6,3,FALSE)=0,"Spatial Data Missing ⚠",VLOOKUP(AA243,'G-3 Multipliers'!$L$3:$N$6,3,FALSE)))</f>
        <v/>
      </c>
      <c r="AD243" s="539" t="str">
        <f t="shared" si="34"/>
        <v/>
      </c>
      <c r="AE243" s="82"/>
      <c r="AF243" s="82"/>
      <c r="AG243" s="507" t="str">
        <f t="shared" si="40"/>
        <v/>
      </c>
      <c r="AH243" s="521" t="str">
        <f t="shared" si="41"/>
        <v/>
      </c>
      <c r="AI243" s="522" t="str">
        <f>IF(AH243="Check Data","Check Data",IFERROR(VLOOKUP(AH243,'G-4 Temporal multipliers'!$A$4:$C$36,3,FALSE),""))</f>
        <v/>
      </c>
      <c r="AJ243" s="498" t="str">
        <f>IF(S243="","",VLOOKUP(S243,'G-3 Multipliers'!$A$2:$E$129,4,FALSE))</f>
        <v/>
      </c>
      <c r="AK243" s="507" t="str">
        <f t="shared" si="42"/>
        <v/>
      </c>
      <c r="AL243" s="507" t="str">
        <f t="shared" si="43"/>
        <v/>
      </c>
      <c r="AM243" s="540" t="str">
        <f>IFERROR(IF(F243="","",IF(AH243="Check Data ⚠","Check Data ⚠",VLOOKUP(AL243, 'G-3 Multipliers'!$P$2:$Q$6,2,FALSE))),"")</f>
        <v/>
      </c>
      <c r="AN243" s="513" t="str">
        <f t="shared" si="35"/>
        <v/>
      </c>
      <c r="AO243" s="239"/>
      <c r="AP243" s="240"/>
    </row>
    <row r="244" spans="1:42" x14ac:dyDescent="0.3">
      <c r="A244" s="47" t="str">
        <f>IF(E244="","",IF(ISNA(VLOOKUP($E244,'A-1 Site Habitat Baseline'!$D$1:$O$258,2,FALSE)),"",(VLOOKUP($E244,'A-1 Site Habitat Baseline'!$D$1:$O$258,2,FALSE))))</f>
        <v/>
      </c>
      <c r="B244" s="47" t="str">
        <f>IF(E244="","",IF(ISNA(VLOOKUP($E244,'A-1 Site Habitat Baseline'!$D$1:$O$258,3,FALSE)),"",(VLOOKUP($E244,'A-1 Site Habitat Baseline'!$D$1:$O$258,3,FALSE))))</f>
        <v/>
      </c>
      <c r="C244" s="47" t="str">
        <f>IFERROR(INDEX('G-8 Condition Look up'!$I$4:$I$130,MATCH(S244,'G-8 Condition Look up'!$A$4:$A$130,0)),"")</f>
        <v/>
      </c>
      <c r="E244" s="531" t="str">
        <f>'A-1 Site Habitat Baseline'!AL243</f>
        <v/>
      </c>
      <c r="F244" s="520" t="str">
        <f>IF(E244="","",IF(ISNA(VLOOKUP($E244,'A-1 Site Habitat Baseline'!$D$1:$O$258,4,FALSE)),"",(VLOOKUP($E244,'A-1 Site Habitat Baseline'!$D$1:$O$258,4,FALSE))))</f>
        <v/>
      </c>
      <c r="G244" s="520" t="str">
        <f>IF(E244="","",IF(ISNA(VLOOKUP($E244,'A-1 Site Habitat Baseline'!$D$1:$O$258,5,FALSE)),"",(VLOOKUP($E244,'A-1 Site Habitat Baseline'!$D$1:$O$258,5,FALSE))))</f>
        <v/>
      </c>
      <c r="H244" s="520" t="str">
        <f>IF(E244="","",IF(ISNA(VLOOKUP($E244,'A-1 Site Habitat Baseline'!$D$1:$O$258,6,FALSE)),"",(VLOOKUP($E244,'A-1 Site Habitat Baseline'!$D$1:$O$258,6,FALSE))))</f>
        <v/>
      </c>
      <c r="I244" s="520" t="str">
        <f>IF(E244="","",IF(ISNA(VLOOKUP($E244,'A-1 Site Habitat Baseline'!$D$1:$O$258,7,FALSE)),"",(VLOOKUP($E244,'A-1 Site Habitat Baseline'!$D$1:$O$258,7,FALSE))))</f>
        <v/>
      </c>
      <c r="J244" s="520" t="str">
        <f>IF(E244="","",IF(ISNA(VLOOKUP($E244,'A-1 Site Habitat Baseline'!$D$1:$O$258,8,FALSE)),"",(VLOOKUP($E244,'A-1 Site Habitat Baseline'!$D$1:$O$258,8,FALSE))))</f>
        <v/>
      </c>
      <c r="K244" s="520" t="str">
        <f>IF(E244="","",IF(ISNA(VLOOKUP($E244,'A-1 Site Habitat Baseline'!$D$1:$O$258,9,FALSE)),"",(VLOOKUP($E244,'A-1 Site Habitat Baseline'!$D$1:$O$258,9,FALSE))))</f>
        <v/>
      </c>
      <c r="L244" s="520" t="str">
        <f>IF(E244="","",IF(ISNA(VLOOKUP($E244,'A-1 Site Habitat Baseline'!$D$1:$O$258,11,FALSE)),"",(VLOOKUP($E244,'A-1 Site Habitat Baseline'!$D$1:$O$258,11,FALSE))))</f>
        <v/>
      </c>
      <c r="M244" s="520" t="str">
        <f>IF(E244="","",IF(ISNA(VLOOKUP($E244,'A-1 Site Habitat Baseline'!$D$1:$O$258,12,FALSE)),"",(VLOOKUP($E244,'A-1 Site Habitat Baseline'!$D$1:$O$258,12,FALSE))))</f>
        <v/>
      </c>
      <c r="N244" s="532" t="str">
        <f>IF(E244="","",IF(ISNA(VLOOKUP($E244,'A-1 Site Habitat Baseline'!$D$1:$X$258,14,FALSE)),"",(VLOOKUP($E244,'A-1 Site Habitat Baseline'!$D$1:$X$258,14,FALSE))))</f>
        <v/>
      </c>
      <c r="O244" s="524" t="str">
        <f>IF(E244="","",IF(ISNA(VLOOKUP($E244,'A-1 Site Habitat Baseline'!$D$1:$X$258,16,FALSE)),"",(VLOOKUP($E244,'A-1 Site Habitat Baseline'!$D$1:$X$258,13,FALSE))))</f>
        <v/>
      </c>
      <c r="P244" s="237" t="str">
        <f>IFERROR(INDEX('G-1 All Habitats'!$AG$3:$AG$15,MATCH(Q244,'G-1 All Habitats'!$AF$3:$AF$15,0)),"")</f>
        <v/>
      </c>
      <c r="Q244" s="238" t="str">
        <f t="shared" si="36"/>
        <v/>
      </c>
      <c r="R244" s="238" t="str">
        <f t="shared" si="37"/>
        <v/>
      </c>
      <c r="S244" s="392" t="str">
        <f>IFERROR(INDEX('G-1 All Habitats'!$B$3:$B$129,MATCH(R244,'G-1 All Habitats'!$A$3:$A$129,0)),"")</f>
        <v/>
      </c>
      <c r="T244" s="498" t="str">
        <f t="shared" si="38"/>
        <v/>
      </c>
      <c r="U244" s="499" t="str">
        <f t="shared" si="39"/>
        <v/>
      </c>
      <c r="V244" s="537" t="str">
        <f t="shared" si="33"/>
        <v/>
      </c>
      <c r="W244" s="520" t="str">
        <f>IF(S244="","",VLOOKUP(S244,'G-1 All Habitats'!$B$2:$M$129,10,FALSE))</f>
        <v/>
      </c>
      <c r="X244" s="520" t="str">
        <f>IFERROR(VLOOKUP(W244,'G-1 All Habitats'!$V$3:$W$7,2,FALSE),"")</f>
        <v/>
      </c>
      <c r="Y244" s="79"/>
      <c r="Z244" s="524" t="str">
        <f>IFERROR(INDEX('G-8 Condition Look up'!$A$3:$H$130,MATCH(S244,'G-8 Condition Look up'!$A$3:$A$130,0),MATCH(Y244,'G-8 Condition Look up'!$A$3:$H$3,0)),"")</f>
        <v/>
      </c>
      <c r="AA244" s="71"/>
      <c r="AB244" s="520" t="str">
        <f>IF(AA244="","",IF(VLOOKUP(AA244,'G-3 Multipliers'!$L$3:$N$6,2,FALSE)=0,"Spatial Data Missing ⚠",VLOOKUP(AA244,'G-3 Multipliers'!$L$3:$N$6,2,FALSE)))</f>
        <v/>
      </c>
      <c r="AC244" s="524" t="str">
        <f>IF(AA244="","",IF(VLOOKUP(AA244,'G-3 Multipliers'!$L$3:$N$6,3,FALSE)=0,"Spatial Data Missing ⚠",VLOOKUP(AA244,'G-3 Multipliers'!$L$3:$N$6,3,FALSE)))</f>
        <v/>
      </c>
      <c r="AD244" s="539" t="str">
        <f t="shared" si="34"/>
        <v/>
      </c>
      <c r="AE244" s="82"/>
      <c r="AF244" s="82"/>
      <c r="AG244" s="507" t="str">
        <f t="shared" si="40"/>
        <v/>
      </c>
      <c r="AH244" s="521" t="str">
        <f t="shared" si="41"/>
        <v/>
      </c>
      <c r="AI244" s="522" t="str">
        <f>IF(AH244="Check Data","Check Data",IFERROR(VLOOKUP(AH244,'G-4 Temporal multipliers'!$A$4:$C$36,3,FALSE),""))</f>
        <v/>
      </c>
      <c r="AJ244" s="498" t="str">
        <f>IF(S244="","",VLOOKUP(S244,'G-3 Multipliers'!$A$2:$E$129,4,FALSE))</f>
        <v/>
      </c>
      <c r="AK244" s="507" t="str">
        <f t="shared" si="42"/>
        <v/>
      </c>
      <c r="AL244" s="507" t="str">
        <f t="shared" si="43"/>
        <v/>
      </c>
      <c r="AM244" s="540" t="str">
        <f>IFERROR(IF(F244="","",IF(AH244="Check Data ⚠","Check Data ⚠",VLOOKUP(AL244, 'G-3 Multipliers'!$P$2:$Q$6,2,FALSE))),"")</f>
        <v/>
      </c>
      <c r="AN244" s="513" t="str">
        <f t="shared" si="35"/>
        <v/>
      </c>
      <c r="AO244" s="239"/>
      <c r="AP244" s="240"/>
    </row>
    <row r="245" spans="1:42" x14ac:dyDescent="0.3">
      <c r="A245" s="47" t="str">
        <f>IF(E245="","",IF(ISNA(VLOOKUP($E245,'A-1 Site Habitat Baseline'!$D$1:$O$258,2,FALSE)),"",(VLOOKUP($E245,'A-1 Site Habitat Baseline'!$D$1:$O$258,2,FALSE))))</f>
        <v/>
      </c>
      <c r="B245" s="47" t="str">
        <f>IF(E245="","",IF(ISNA(VLOOKUP($E245,'A-1 Site Habitat Baseline'!$D$1:$O$258,3,FALSE)),"",(VLOOKUP($E245,'A-1 Site Habitat Baseline'!$D$1:$O$258,3,FALSE))))</f>
        <v/>
      </c>
      <c r="C245" s="47" t="str">
        <f>IFERROR(INDEX('G-8 Condition Look up'!$I$4:$I$130,MATCH(S245,'G-8 Condition Look up'!$A$4:$A$130,0)),"")</f>
        <v/>
      </c>
      <c r="E245" s="531" t="str">
        <f>'A-1 Site Habitat Baseline'!AL244</f>
        <v/>
      </c>
      <c r="F245" s="520" t="str">
        <f>IF(E245="","",IF(ISNA(VLOOKUP($E245,'A-1 Site Habitat Baseline'!$D$1:$O$258,4,FALSE)),"",(VLOOKUP($E245,'A-1 Site Habitat Baseline'!$D$1:$O$258,4,FALSE))))</f>
        <v/>
      </c>
      <c r="G245" s="520" t="str">
        <f>IF(E245="","",IF(ISNA(VLOOKUP($E245,'A-1 Site Habitat Baseline'!$D$1:$O$258,5,FALSE)),"",(VLOOKUP($E245,'A-1 Site Habitat Baseline'!$D$1:$O$258,5,FALSE))))</f>
        <v/>
      </c>
      <c r="H245" s="520" t="str">
        <f>IF(E245="","",IF(ISNA(VLOOKUP($E245,'A-1 Site Habitat Baseline'!$D$1:$O$258,6,FALSE)),"",(VLOOKUP($E245,'A-1 Site Habitat Baseline'!$D$1:$O$258,6,FALSE))))</f>
        <v/>
      </c>
      <c r="I245" s="520" t="str">
        <f>IF(E245="","",IF(ISNA(VLOOKUP($E245,'A-1 Site Habitat Baseline'!$D$1:$O$258,7,FALSE)),"",(VLOOKUP($E245,'A-1 Site Habitat Baseline'!$D$1:$O$258,7,FALSE))))</f>
        <v/>
      </c>
      <c r="J245" s="520" t="str">
        <f>IF(E245="","",IF(ISNA(VLOOKUP($E245,'A-1 Site Habitat Baseline'!$D$1:$O$258,8,FALSE)),"",(VLOOKUP($E245,'A-1 Site Habitat Baseline'!$D$1:$O$258,8,FALSE))))</f>
        <v/>
      </c>
      <c r="K245" s="520" t="str">
        <f>IF(E245="","",IF(ISNA(VLOOKUP($E245,'A-1 Site Habitat Baseline'!$D$1:$O$258,9,FALSE)),"",(VLOOKUP($E245,'A-1 Site Habitat Baseline'!$D$1:$O$258,9,FALSE))))</f>
        <v/>
      </c>
      <c r="L245" s="520" t="str">
        <f>IF(E245="","",IF(ISNA(VLOOKUP($E245,'A-1 Site Habitat Baseline'!$D$1:$O$258,11,FALSE)),"",(VLOOKUP($E245,'A-1 Site Habitat Baseline'!$D$1:$O$258,11,FALSE))))</f>
        <v/>
      </c>
      <c r="M245" s="520" t="str">
        <f>IF(E245="","",IF(ISNA(VLOOKUP($E245,'A-1 Site Habitat Baseline'!$D$1:$O$258,12,FALSE)),"",(VLOOKUP($E245,'A-1 Site Habitat Baseline'!$D$1:$O$258,12,FALSE))))</f>
        <v/>
      </c>
      <c r="N245" s="532" t="str">
        <f>IF(E245="","",IF(ISNA(VLOOKUP($E245,'A-1 Site Habitat Baseline'!$D$1:$X$258,14,FALSE)),"",(VLOOKUP($E245,'A-1 Site Habitat Baseline'!$D$1:$X$258,14,FALSE))))</f>
        <v/>
      </c>
      <c r="O245" s="524" t="str">
        <f>IF(E245="","",IF(ISNA(VLOOKUP($E245,'A-1 Site Habitat Baseline'!$D$1:$X$258,16,FALSE)),"",(VLOOKUP($E245,'A-1 Site Habitat Baseline'!$D$1:$X$258,13,FALSE))))</f>
        <v/>
      </c>
      <c r="P245" s="237" t="str">
        <f>IFERROR(INDEX('G-1 All Habitats'!$AG$3:$AG$15,MATCH(Q245,'G-1 All Habitats'!$AF$3:$AF$15,0)),"")</f>
        <v/>
      </c>
      <c r="Q245" s="238" t="str">
        <f t="shared" si="36"/>
        <v/>
      </c>
      <c r="R245" s="238" t="str">
        <f t="shared" si="37"/>
        <v/>
      </c>
      <c r="S245" s="392" t="str">
        <f>IFERROR(INDEX('G-1 All Habitats'!$B$3:$B$129,MATCH(R245,'G-1 All Habitats'!$A$3:$A$129,0)),"")</f>
        <v/>
      </c>
      <c r="T245" s="498" t="str">
        <f t="shared" si="38"/>
        <v/>
      </c>
      <c r="U245" s="499" t="str">
        <f t="shared" si="39"/>
        <v/>
      </c>
      <c r="V245" s="537" t="str">
        <f t="shared" si="33"/>
        <v/>
      </c>
      <c r="W245" s="520" t="str">
        <f>IF(S245="","",VLOOKUP(S245,'G-1 All Habitats'!$B$2:$M$129,10,FALSE))</f>
        <v/>
      </c>
      <c r="X245" s="520" t="str">
        <f>IFERROR(VLOOKUP(W245,'G-1 All Habitats'!$V$3:$W$7,2,FALSE),"")</f>
        <v/>
      </c>
      <c r="Y245" s="79"/>
      <c r="Z245" s="524" t="str">
        <f>IFERROR(INDEX('G-8 Condition Look up'!$A$3:$H$130,MATCH(S245,'G-8 Condition Look up'!$A$3:$A$130,0),MATCH(Y245,'G-8 Condition Look up'!$A$3:$H$3,0)),"")</f>
        <v/>
      </c>
      <c r="AA245" s="71"/>
      <c r="AB245" s="520" t="str">
        <f>IF(AA245="","",IF(VLOOKUP(AA245,'G-3 Multipliers'!$L$3:$N$6,2,FALSE)=0,"Spatial Data Missing ⚠",VLOOKUP(AA245,'G-3 Multipliers'!$L$3:$N$6,2,FALSE)))</f>
        <v/>
      </c>
      <c r="AC245" s="524" t="str">
        <f>IF(AA245="","",IF(VLOOKUP(AA245,'G-3 Multipliers'!$L$3:$N$6,3,FALSE)=0,"Spatial Data Missing ⚠",VLOOKUP(AA245,'G-3 Multipliers'!$L$3:$N$6,3,FALSE)))</f>
        <v/>
      </c>
      <c r="AD245" s="539" t="str">
        <f t="shared" si="34"/>
        <v/>
      </c>
      <c r="AE245" s="82"/>
      <c r="AF245" s="82"/>
      <c r="AG245" s="507" t="str">
        <f t="shared" si="40"/>
        <v/>
      </c>
      <c r="AH245" s="521" t="str">
        <f t="shared" si="41"/>
        <v/>
      </c>
      <c r="AI245" s="522" t="str">
        <f>IF(AH245="Check Data","Check Data",IFERROR(VLOOKUP(AH245,'G-4 Temporal multipliers'!$A$4:$C$36,3,FALSE),""))</f>
        <v/>
      </c>
      <c r="AJ245" s="498" t="str">
        <f>IF(S245="","",VLOOKUP(S245,'G-3 Multipliers'!$A$2:$E$129,4,FALSE))</f>
        <v/>
      </c>
      <c r="AK245" s="507" t="str">
        <f t="shared" si="42"/>
        <v/>
      </c>
      <c r="AL245" s="507" t="str">
        <f t="shared" si="43"/>
        <v/>
      </c>
      <c r="AM245" s="540" t="str">
        <f>IFERROR(IF(F245="","",IF(AH245="Check Data ⚠","Check Data ⚠",VLOOKUP(AL245, 'G-3 Multipliers'!$P$2:$Q$6,2,FALSE))),"")</f>
        <v/>
      </c>
      <c r="AN245" s="513" t="str">
        <f t="shared" si="35"/>
        <v/>
      </c>
      <c r="AO245" s="239"/>
      <c r="AP245" s="240"/>
    </row>
    <row r="246" spans="1:42" x14ac:dyDescent="0.3">
      <c r="A246" s="47" t="str">
        <f>IF(E246="","",IF(ISNA(VLOOKUP($E246,'A-1 Site Habitat Baseline'!$D$1:$O$258,2,FALSE)),"",(VLOOKUP($E246,'A-1 Site Habitat Baseline'!$D$1:$O$258,2,FALSE))))</f>
        <v/>
      </c>
      <c r="B246" s="47" t="str">
        <f>IF(E246="","",IF(ISNA(VLOOKUP($E246,'A-1 Site Habitat Baseline'!$D$1:$O$258,3,FALSE)),"",(VLOOKUP($E246,'A-1 Site Habitat Baseline'!$D$1:$O$258,3,FALSE))))</f>
        <v/>
      </c>
      <c r="C246" s="47" t="str">
        <f>IFERROR(INDEX('G-8 Condition Look up'!$I$4:$I$130,MATCH(S246,'G-8 Condition Look up'!$A$4:$A$130,0)),"")</f>
        <v/>
      </c>
      <c r="E246" s="531" t="str">
        <f>'A-1 Site Habitat Baseline'!AL245</f>
        <v/>
      </c>
      <c r="F246" s="520" t="str">
        <f>IF(E246="","",IF(ISNA(VLOOKUP($E246,'A-1 Site Habitat Baseline'!$D$1:$O$258,4,FALSE)),"",(VLOOKUP($E246,'A-1 Site Habitat Baseline'!$D$1:$O$258,4,FALSE))))</f>
        <v/>
      </c>
      <c r="G246" s="520" t="str">
        <f>IF(E246="","",IF(ISNA(VLOOKUP($E246,'A-1 Site Habitat Baseline'!$D$1:$O$258,5,FALSE)),"",(VLOOKUP($E246,'A-1 Site Habitat Baseline'!$D$1:$O$258,5,FALSE))))</f>
        <v/>
      </c>
      <c r="H246" s="520" t="str">
        <f>IF(E246="","",IF(ISNA(VLOOKUP($E246,'A-1 Site Habitat Baseline'!$D$1:$O$258,6,FALSE)),"",(VLOOKUP($E246,'A-1 Site Habitat Baseline'!$D$1:$O$258,6,FALSE))))</f>
        <v/>
      </c>
      <c r="I246" s="520" t="str">
        <f>IF(E246="","",IF(ISNA(VLOOKUP($E246,'A-1 Site Habitat Baseline'!$D$1:$O$258,7,FALSE)),"",(VLOOKUP($E246,'A-1 Site Habitat Baseline'!$D$1:$O$258,7,FALSE))))</f>
        <v/>
      </c>
      <c r="J246" s="520" t="str">
        <f>IF(E246="","",IF(ISNA(VLOOKUP($E246,'A-1 Site Habitat Baseline'!$D$1:$O$258,8,FALSE)),"",(VLOOKUP($E246,'A-1 Site Habitat Baseline'!$D$1:$O$258,8,FALSE))))</f>
        <v/>
      </c>
      <c r="K246" s="520" t="str">
        <f>IF(E246="","",IF(ISNA(VLOOKUP($E246,'A-1 Site Habitat Baseline'!$D$1:$O$258,9,FALSE)),"",(VLOOKUP($E246,'A-1 Site Habitat Baseline'!$D$1:$O$258,9,FALSE))))</f>
        <v/>
      </c>
      <c r="L246" s="520" t="str">
        <f>IF(E246="","",IF(ISNA(VLOOKUP($E246,'A-1 Site Habitat Baseline'!$D$1:$O$258,11,FALSE)),"",(VLOOKUP($E246,'A-1 Site Habitat Baseline'!$D$1:$O$258,11,FALSE))))</f>
        <v/>
      </c>
      <c r="M246" s="520" t="str">
        <f>IF(E246="","",IF(ISNA(VLOOKUP($E246,'A-1 Site Habitat Baseline'!$D$1:$O$258,12,FALSE)),"",(VLOOKUP($E246,'A-1 Site Habitat Baseline'!$D$1:$O$258,12,FALSE))))</f>
        <v/>
      </c>
      <c r="N246" s="532" t="str">
        <f>IF(E246="","",IF(ISNA(VLOOKUP($E246,'A-1 Site Habitat Baseline'!$D$1:$X$258,14,FALSE)),"",(VLOOKUP($E246,'A-1 Site Habitat Baseline'!$D$1:$X$258,14,FALSE))))</f>
        <v/>
      </c>
      <c r="O246" s="524" t="str">
        <f>IF(E246="","",IF(ISNA(VLOOKUP($E246,'A-1 Site Habitat Baseline'!$D$1:$X$258,16,FALSE)),"",(VLOOKUP($E246,'A-1 Site Habitat Baseline'!$D$1:$X$258,13,FALSE))))</f>
        <v/>
      </c>
      <c r="P246" s="237" t="str">
        <f>IFERROR(INDEX('G-1 All Habitats'!$AG$3:$AG$15,MATCH(Q246,'G-1 All Habitats'!$AF$3:$AF$15,0)),"")</f>
        <v/>
      </c>
      <c r="Q246" s="238" t="str">
        <f t="shared" si="36"/>
        <v/>
      </c>
      <c r="R246" s="238" t="str">
        <f t="shared" si="37"/>
        <v/>
      </c>
      <c r="S246" s="392" t="str">
        <f>IFERROR(INDEX('G-1 All Habitats'!$B$3:$B$129,MATCH(R246,'G-1 All Habitats'!$A$3:$A$129,0)),"")</f>
        <v/>
      </c>
      <c r="T246" s="498" t="str">
        <f t="shared" si="38"/>
        <v/>
      </c>
      <c r="U246" s="499" t="str">
        <f t="shared" si="39"/>
        <v/>
      </c>
      <c r="V246" s="537" t="str">
        <f t="shared" si="33"/>
        <v/>
      </c>
      <c r="W246" s="520" t="str">
        <f>IF(S246="","",VLOOKUP(S246,'G-1 All Habitats'!$B$2:$M$129,10,FALSE))</f>
        <v/>
      </c>
      <c r="X246" s="520" t="str">
        <f>IFERROR(VLOOKUP(W246,'G-1 All Habitats'!$V$3:$W$7,2,FALSE),"")</f>
        <v/>
      </c>
      <c r="Y246" s="79"/>
      <c r="Z246" s="524" t="str">
        <f>IFERROR(INDEX('G-8 Condition Look up'!$A$3:$H$130,MATCH(S246,'G-8 Condition Look up'!$A$3:$A$130,0),MATCH(Y246,'G-8 Condition Look up'!$A$3:$H$3,0)),"")</f>
        <v/>
      </c>
      <c r="AA246" s="71"/>
      <c r="AB246" s="520" t="str">
        <f>IF(AA246="","",IF(VLOOKUP(AA246,'G-3 Multipliers'!$L$3:$N$6,2,FALSE)=0,"Spatial Data Missing ⚠",VLOOKUP(AA246,'G-3 Multipliers'!$L$3:$N$6,2,FALSE)))</f>
        <v/>
      </c>
      <c r="AC246" s="524" t="str">
        <f>IF(AA246="","",IF(VLOOKUP(AA246,'G-3 Multipliers'!$L$3:$N$6,3,FALSE)=0,"Spatial Data Missing ⚠",VLOOKUP(AA246,'G-3 Multipliers'!$L$3:$N$6,3,FALSE)))</f>
        <v/>
      </c>
      <c r="AD246" s="539" t="str">
        <f t="shared" si="34"/>
        <v/>
      </c>
      <c r="AE246" s="82"/>
      <c r="AF246" s="82"/>
      <c r="AG246" s="507" t="str">
        <f t="shared" si="40"/>
        <v/>
      </c>
      <c r="AH246" s="521" t="str">
        <f t="shared" si="41"/>
        <v/>
      </c>
      <c r="AI246" s="522" t="str">
        <f>IF(AH246="Check Data","Check Data",IFERROR(VLOOKUP(AH246,'G-4 Temporal multipliers'!$A$4:$C$36,3,FALSE),""))</f>
        <v/>
      </c>
      <c r="AJ246" s="498" t="str">
        <f>IF(S246="","",VLOOKUP(S246,'G-3 Multipliers'!$A$2:$E$129,4,FALSE))</f>
        <v/>
      </c>
      <c r="AK246" s="507" t="str">
        <f t="shared" si="42"/>
        <v/>
      </c>
      <c r="AL246" s="507" t="str">
        <f t="shared" si="43"/>
        <v/>
      </c>
      <c r="AM246" s="540" t="str">
        <f>IFERROR(IF(F246="","",IF(AH246="Check Data ⚠","Check Data ⚠",VLOOKUP(AL246, 'G-3 Multipliers'!$P$2:$Q$6,2,FALSE))),"")</f>
        <v/>
      </c>
      <c r="AN246" s="513" t="str">
        <f t="shared" si="35"/>
        <v/>
      </c>
      <c r="AO246" s="239"/>
      <c r="AP246" s="240"/>
    </row>
    <row r="247" spans="1:42" x14ac:dyDescent="0.3">
      <c r="A247" s="47" t="str">
        <f>IF(E247="","",IF(ISNA(VLOOKUP($E247,'A-1 Site Habitat Baseline'!$D$1:$O$258,2,FALSE)),"",(VLOOKUP($E247,'A-1 Site Habitat Baseline'!$D$1:$O$258,2,FALSE))))</f>
        <v/>
      </c>
      <c r="B247" s="47" t="str">
        <f>IF(E247="","",IF(ISNA(VLOOKUP($E247,'A-1 Site Habitat Baseline'!$D$1:$O$258,3,FALSE)),"",(VLOOKUP($E247,'A-1 Site Habitat Baseline'!$D$1:$O$258,3,FALSE))))</f>
        <v/>
      </c>
      <c r="C247" s="47" t="str">
        <f>IFERROR(INDEX('G-8 Condition Look up'!$I$4:$I$130,MATCH(S247,'G-8 Condition Look up'!$A$4:$A$130,0)),"")</f>
        <v/>
      </c>
      <c r="E247" s="531" t="str">
        <f>'A-1 Site Habitat Baseline'!AL246</f>
        <v/>
      </c>
      <c r="F247" s="520" t="str">
        <f>IF(E247="","",IF(ISNA(VLOOKUP($E247,'A-1 Site Habitat Baseline'!$D$1:$O$258,4,FALSE)),"",(VLOOKUP($E247,'A-1 Site Habitat Baseline'!$D$1:$O$258,4,FALSE))))</f>
        <v/>
      </c>
      <c r="G247" s="520" t="str">
        <f>IF(E247="","",IF(ISNA(VLOOKUP($E247,'A-1 Site Habitat Baseline'!$D$1:$O$258,5,FALSE)),"",(VLOOKUP($E247,'A-1 Site Habitat Baseline'!$D$1:$O$258,5,FALSE))))</f>
        <v/>
      </c>
      <c r="H247" s="520" t="str">
        <f>IF(E247="","",IF(ISNA(VLOOKUP($E247,'A-1 Site Habitat Baseline'!$D$1:$O$258,6,FALSE)),"",(VLOOKUP($E247,'A-1 Site Habitat Baseline'!$D$1:$O$258,6,FALSE))))</f>
        <v/>
      </c>
      <c r="I247" s="520" t="str">
        <f>IF(E247="","",IF(ISNA(VLOOKUP($E247,'A-1 Site Habitat Baseline'!$D$1:$O$258,7,FALSE)),"",(VLOOKUP($E247,'A-1 Site Habitat Baseline'!$D$1:$O$258,7,FALSE))))</f>
        <v/>
      </c>
      <c r="J247" s="520" t="str">
        <f>IF(E247="","",IF(ISNA(VLOOKUP($E247,'A-1 Site Habitat Baseline'!$D$1:$O$258,8,FALSE)),"",(VLOOKUP($E247,'A-1 Site Habitat Baseline'!$D$1:$O$258,8,FALSE))))</f>
        <v/>
      </c>
      <c r="K247" s="520" t="str">
        <f>IF(E247="","",IF(ISNA(VLOOKUP($E247,'A-1 Site Habitat Baseline'!$D$1:$O$258,9,FALSE)),"",(VLOOKUP($E247,'A-1 Site Habitat Baseline'!$D$1:$O$258,9,FALSE))))</f>
        <v/>
      </c>
      <c r="L247" s="520" t="str">
        <f>IF(E247="","",IF(ISNA(VLOOKUP($E247,'A-1 Site Habitat Baseline'!$D$1:$O$258,11,FALSE)),"",(VLOOKUP($E247,'A-1 Site Habitat Baseline'!$D$1:$O$258,11,FALSE))))</f>
        <v/>
      </c>
      <c r="M247" s="520" t="str">
        <f>IF(E247="","",IF(ISNA(VLOOKUP($E247,'A-1 Site Habitat Baseline'!$D$1:$O$258,12,FALSE)),"",(VLOOKUP($E247,'A-1 Site Habitat Baseline'!$D$1:$O$258,12,FALSE))))</f>
        <v/>
      </c>
      <c r="N247" s="532" t="str">
        <f>IF(E247="","",IF(ISNA(VLOOKUP($E247,'A-1 Site Habitat Baseline'!$D$1:$X$258,14,FALSE)),"",(VLOOKUP($E247,'A-1 Site Habitat Baseline'!$D$1:$X$258,14,FALSE))))</f>
        <v/>
      </c>
      <c r="O247" s="524" t="str">
        <f>IF(E247="","",IF(ISNA(VLOOKUP($E247,'A-1 Site Habitat Baseline'!$D$1:$X$258,16,FALSE)),"",(VLOOKUP($E247,'A-1 Site Habitat Baseline'!$D$1:$X$258,13,FALSE))))</f>
        <v/>
      </c>
      <c r="P247" s="237" t="str">
        <f>IFERROR(INDEX('G-1 All Habitats'!$AG$3:$AG$15,MATCH(Q247,'G-1 All Habitats'!$AF$3:$AF$15,0)),"")</f>
        <v/>
      </c>
      <c r="Q247" s="238" t="str">
        <f t="shared" si="36"/>
        <v/>
      </c>
      <c r="R247" s="238" t="str">
        <f t="shared" si="37"/>
        <v/>
      </c>
      <c r="S247" s="392" t="str">
        <f>IFERROR(INDEX('G-1 All Habitats'!$B$3:$B$129,MATCH(R247,'G-1 All Habitats'!$A$3:$A$129,0)),"")</f>
        <v/>
      </c>
      <c r="T247" s="498" t="str">
        <f t="shared" si="38"/>
        <v/>
      </c>
      <c r="U247" s="499" t="str">
        <f t="shared" si="39"/>
        <v/>
      </c>
      <c r="V247" s="537" t="str">
        <f t="shared" si="33"/>
        <v/>
      </c>
      <c r="W247" s="520" t="str">
        <f>IF(S247="","",VLOOKUP(S247,'G-1 All Habitats'!$B$2:$M$129,10,FALSE))</f>
        <v/>
      </c>
      <c r="X247" s="520" t="str">
        <f>IFERROR(VLOOKUP(W247,'G-1 All Habitats'!$V$3:$W$7,2,FALSE),"")</f>
        <v/>
      </c>
      <c r="Y247" s="79"/>
      <c r="Z247" s="524" t="str">
        <f>IFERROR(INDEX('G-8 Condition Look up'!$A$3:$H$130,MATCH(S247,'G-8 Condition Look up'!$A$3:$A$130,0),MATCH(Y247,'G-8 Condition Look up'!$A$3:$H$3,0)),"")</f>
        <v/>
      </c>
      <c r="AA247" s="71"/>
      <c r="AB247" s="520" t="str">
        <f>IF(AA247="","",IF(VLOOKUP(AA247,'G-3 Multipliers'!$L$3:$N$6,2,FALSE)=0,"Spatial Data Missing ⚠",VLOOKUP(AA247,'G-3 Multipliers'!$L$3:$N$6,2,FALSE)))</f>
        <v/>
      </c>
      <c r="AC247" s="524" t="str">
        <f>IF(AA247="","",IF(VLOOKUP(AA247,'G-3 Multipliers'!$L$3:$N$6,3,FALSE)=0,"Spatial Data Missing ⚠",VLOOKUP(AA247,'G-3 Multipliers'!$L$3:$N$6,3,FALSE)))</f>
        <v/>
      </c>
      <c r="AD247" s="539" t="str">
        <f t="shared" si="34"/>
        <v/>
      </c>
      <c r="AE247" s="82"/>
      <c r="AF247" s="82"/>
      <c r="AG247" s="507" t="str">
        <f t="shared" si="40"/>
        <v/>
      </c>
      <c r="AH247" s="521" t="str">
        <f t="shared" si="41"/>
        <v/>
      </c>
      <c r="AI247" s="522" t="str">
        <f>IF(AH247="Check Data","Check Data",IFERROR(VLOOKUP(AH247,'G-4 Temporal multipliers'!$A$4:$C$36,3,FALSE),""))</f>
        <v/>
      </c>
      <c r="AJ247" s="498" t="str">
        <f>IF(S247="","",VLOOKUP(S247,'G-3 Multipliers'!$A$2:$E$129,4,FALSE))</f>
        <v/>
      </c>
      <c r="AK247" s="507" t="str">
        <f t="shared" si="42"/>
        <v/>
      </c>
      <c r="AL247" s="507" t="str">
        <f t="shared" si="43"/>
        <v/>
      </c>
      <c r="AM247" s="540" t="str">
        <f>IFERROR(IF(F247="","",IF(AH247="Check Data ⚠","Check Data ⚠",VLOOKUP(AL247, 'G-3 Multipliers'!$P$2:$Q$6,2,FALSE))),"")</f>
        <v/>
      </c>
      <c r="AN247" s="513" t="str">
        <f t="shared" si="35"/>
        <v/>
      </c>
      <c r="AO247" s="239"/>
      <c r="AP247" s="240"/>
    </row>
    <row r="248" spans="1:42" x14ac:dyDescent="0.3">
      <c r="A248" s="47" t="str">
        <f>IF(E248="","",IF(ISNA(VLOOKUP($E248,'A-1 Site Habitat Baseline'!$D$1:$O$258,2,FALSE)),"",(VLOOKUP($E248,'A-1 Site Habitat Baseline'!$D$1:$O$258,2,FALSE))))</f>
        <v/>
      </c>
      <c r="B248" s="47" t="str">
        <f>IF(E248="","",IF(ISNA(VLOOKUP($E248,'A-1 Site Habitat Baseline'!$D$1:$O$258,3,FALSE)),"",(VLOOKUP($E248,'A-1 Site Habitat Baseline'!$D$1:$O$258,3,FALSE))))</f>
        <v/>
      </c>
      <c r="C248" s="47" t="str">
        <f>IFERROR(INDEX('G-8 Condition Look up'!$I$4:$I$130,MATCH(S248,'G-8 Condition Look up'!$A$4:$A$130,0)),"")</f>
        <v/>
      </c>
      <c r="E248" s="531" t="str">
        <f>'A-1 Site Habitat Baseline'!AL247</f>
        <v/>
      </c>
      <c r="F248" s="520" t="str">
        <f>IF(E248="","",IF(ISNA(VLOOKUP($E248,'A-1 Site Habitat Baseline'!$D$1:$O$258,4,FALSE)),"",(VLOOKUP($E248,'A-1 Site Habitat Baseline'!$D$1:$O$258,4,FALSE))))</f>
        <v/>
      </c>
      <c r="G248" s="520" t="str">
        <f>IF(E248="","",IF(ISNA(VLOOKUP($E248,'A-1 Site Habitat Baseline'!$D$1:$O$258,5,FALSE)),"",(VLOOKUP($E248,'A-1 Site Habitat Baseline'!$D$1:$O$258,5,FALSE))))</f>
        <v/>
      </c>
      <c r="H248" s="520" t="str">
        <f>IF(E248="","",IF(ISNA(VLOOKUP($E248,'A-1 Site Habitat Baseline'!$D$1:$O$258,6,FALSE)),"",(VLOOKUP($E248,'A-1 Site Habitat Baseline'!$D$1:$O$258,6,FALSE))))</f>
        <v/>
      </c>
      <c r="I248" s="520" t="str">
        <f>IF(E248="","",IF(ISNA(VLOOKUP($E248,'A-1 Site Habitat Baseline'!$D$1:$O$258,7,FALSE)),"",(VLOOKUP($E248,'A-1 Site Habitat Baseline'!$D$1:$O$258,7,FALSE))))</f>
        <v/>
      </c>
      <c r="J248" s="520" t="str">
        <f>IF(E248="","",IF(ISNA(VLOOKUP($E248,'A-1 Site Habitat Baseline'!$D$1:$O$258,8,FALSE)),"",(VLOOKUP($E248,'A-1 Site Habitat Baseline'!$D$1:$O$258,8,FALSE))))</f>
        <v/>
      </c>
      <c r="K248" s="520" t="str">
        <f>IF(E248="","",IF(ISNA(VLOOKUP($E248,'A-1 Site Habitat Baseline'!$D$1:$O$258,9,FALSE)),"",(VLOOKUP($E248,'A-1 Site Habitat Baseline'!$D$1:$O$258,9,FALSE))))</f>
        <v/>
      </c>
      <c r="L248" s="520" t="str">
        <f>IF(E248="","",IF(ISNA(VLOOKUP($E248,'A-1 Site Habitat Baseline'!$D$1:$O$258,11,FALSE)),"",(VLOOKUP($E248,'A-1 Site Habitat Baseline'!$D$1:$O$258,11,FALSE))))</f>
        <v/>
      </c>
      <c r="M248" s="520" t="str">
        <f>IF(E248="","",IF(ISNA(VLOOKUP($E248,'A-1 Site Habitat Baseline'!$D$1:$O$258,12,FALSE)),"",(VLOOKUP($E248,'A-1 Site Habitat Baseline'!$D$1:$O$258,12,FALSE))))</f>
        <v/>
      </c>
      <c r="N248" s="532" t="str">
        <f>IF(E248="","",IF(ISNA(VLOOKUP($E248,'A-1 Site Habitat Baseline'!$D$1:$X$258,14,FALSE)),"",(VLOOKUP($E248,'A-1 Site Habitat Baseline'!$D$1:$X$258,14,FALSE))))</f>
        <v/>
      </c>
      <c r="O248" s="524" t="str">
        <f>IF(E248="","",IF(ISNA(VLOOKUP($E248,'A-1 Site Habitat Baseline'!$D$1:$X$258,16,FALSE)),"",(VLOOKUP($E248,'A-1 Site Habitat Baseline'!$D$1:$X$258,13,FALSE))))</f>
        <v/>
      </c>
      <c r="P248" s="237" t="str">
        <f>IFERROR(INDEX('G-1 All Habitats'!$AG$3:$AG$15,MATCH(Q248,'G-1 All Habitats'!$AF$3:$AF$15,0)),"")</f>
        <v/>
      </c>
      <c r="Q248" s="238" t="str">
        <f t="shared" si="36"/>
        <v/>
      </c>
      <c r="R248" s="238" t="str">
        <f t="shared" si="37"/>
        <v/>
      </c>
      <c r="S248" s="392" t="str">
        <f>IFERROR(INDEX('G-1 All Habitats'!$B$3:$B$129,MATCH(R248,'G-1 All Habitats'!$A$3:$A$129,0)),"")</f>
        <v/>
      </c>
      <c r="T248" s="498" t="str">
        <f t="shared" si="38"/>
        <v/>
      </c>
      <c r="U248" s="499" t="str">
        <f t="shared" si="39"/>
        <v/>
      </c>
      <c r="V248" s="537" t="str">
        <f t="shared" si="33"/>
        <v/>
      </c>
      <c r="W248" s="520" t="str">
        <f>IF(S248="","",VLOOKUP(S248,'G-1 All Habitats'!$B$2:$M$129,10,FALSE))</f>
        <v/>
      </c>
      <c r="X248" s="520" t="str">
        <f>IFERROR(VLOOKUP(W248,'G-1 All Habitats'!$V$3:$W$7,2,FALSE),"")</f>
        <v/>
      </c>
      <c r="Y248" s="79"/>
      <c r="Z248" s="524" t="str">
        <f>IFERROR(INDEX('G-8 Condition Look up'!$A$3:$H$130,MATCH(S248,'G-8 Condition Look up'!$A$3:$A$130,0),MATCH(Y248,'G-8 Condition Look up'!$A$3:$H$3,0)),"")</f>
        <v/>
      </c>
      <c r="AA248" s="71"/>
      <c r="AB248" s="520" t="str">
        <f>IF(AA248="","",IF(VLOOKUP(AA248,'G-3 Multipliers'!$L$3:$N$6,2,FALSE)=0,"Spatial Data Missing ⚠",VLOOKUP(AA248,'G-3 Multipliers'!$L$3:$N$6,2,FALSE)))</f>
        <v/>
      </c>
      <c r="AC248" s="524" t="str">
        <f>IF(AA248="","",IF(VLOOKUP(AA248,'G-3 Multipliers'!$L$3:$N$6,3,FALSE)=0,"Spatial Data Missing ⚠",VLOOKUP(AA248,'G-3 Multipliers'!$L$3:$N$6,3,FALSE)))</f>
        <v/>
      </c>
      <c r="AD248" s="539" t="str">
        <f t="shared" si="34"/>
        <v/>
      </c>
      <c r="AE248" s="82"/>
      <c r="AF248" s="82"/>
      <c r="AG248" s="507" t="str">
        <f t="shared" si="40"/>
        <v/>
      </c>
      <c r="AH248" s="521" t="str">
        <f t="shared" si="41"/>
        <v/>
      </c>
      <c r="AI248" s="522" t="str">
        <f>IF(AH248="Check Data","Check Data",IFERROR(VLOOKUP(AH248,'G-4 Temporal multipliers'!$A$4:$C$36,3,FALSE),""))</f>
        <v/>
      </c>
      <c r="AJ248" s="498" t="str">
        <f>IF(S248="","",VLOOKUP(S248,'G-3 Multipliers'!$A$2:$E$129,4,FALSE))</f>
        <v/>
      </c>
      <c r="AK248" s="507" t="str">
        <f t="shared" si="42"/>
        <v/>
      </c>
      <c r="AL248" s="507" t="str">
        <f t="shared" si="43"/>
        <v/>
      </c>
      <c r="AM248" s="540" t="str">
        <f>IFERROR(IF(F248="","",IF(AH248="Check Data ⚠","Check Data ⚠",VLOOKUP(AL248, 'G-3 Multipliers'!$P$2:$Q$6,2,FALSE))),"")</f>
        <v/>
      </c>
      <c r="AN248" s="513" t="str">
        <f t="shared" si="35"/>
        <v/>
      </c>
      <c r="AO248" s="239"/>
      <c r="AP248" s="240"/>
    </row>
    <row r="249" spans="1:42" x14ac:dyDescent="0.3">
      <c r="A249" s="47" t="str">
        <f>IF(E249="","",IF(ISNA(VLOOKUP($E249,'A-1 Site Habitat Baseline'!$D$1:$O$258,2,FALSE)),"",(VLOOKUP($E249,'A-1 Site Habitat Baseline'!$D$1:$O$258,2,FALSE))))</f>
        <v/>
      </c>
      <c r="B249" s="47" t="str">
        <f>IF(E249="","",IF(ISNA(VLOOKUP($E249,'A-1 Site Habitat Baseline'!$D$1:$O$258,3,FALSE)),"",(VLOOKUP($E249,'A-1 Site Habitat Baseline'!$D$1:$O$258,3,FALSE))))</f>
        <v/>
      </c>
      <c r="C249" s="47" t="str">
        <f>IFERROR(INDEX('G-8 Condition Look up'!$I$4:$I$130,MATCH(S249,'G-8 Condition Look up'!$A$4:$A$130,0)),"")</f>
        <v/>
      </c>
      <c r="E249" s="531" t="str">
        <f>'A-1 Site Habitat Baseline'!AL248</f>
        <v/>
      </c>
      <c r="F249" s="520" t="str">
        <f>IF(E249="","",IF(ISNA(VLOOKUP($E249,'A-1 Site Habitat Baseline'!$D$1:$O$258,4,FALSE)),"",(VLOOKUP($E249,'A-1 Site Habitat Baseline'!$D$1:$O$258,4,FALSE))))</f>
        <v/>
      </c>
      <c r="G249" s="520" t="str">
        <f>IF(E249="","",IF(ISNA(VLOOKUP($E249,'A-1 Site Habitat Baseline'!$D$1:$O$258,5,FALSE)),"",(VLOOKUP($E249,'A-1 Site Habitat Baseline'!$D$1:$O$258,5,FALSE))))</f>
        <v/>
      </c>
      <c r="H249" s="520" t="str">
        <f>IF(E249="","",IF(ISNA(VLOOKUP($E249,'A-1 Site Habitat Baseline'!$D$1:$O$258,6,FALSE)),"",(VLOOKUP($E249,'A-1 Site Habitat Baseline'!$D$1:$O$258,6,FALSE))))</f>
        <v/>
      </c>
      <c r="I249" s="520" t="str">
        <f>IF(E249="","",IF(ISNA(VLOOKUP($E249,'A-1 Site Habitat Baseline'!$D$1:$O$258,7,FALSE)),"",(VLOOKUP($E249,'A-1 Site Habitat Baseline'!$D$1:$O$258,7,FALSE))))</f>
        <v/>
      </c>
      <c r="J249" s="520" t="str">
        <f>IF(E249="","",IF(ISNA(VLOOKUP($E249,'A-1 Site Habitat Baseline'!$D$1:$O$258,8,FALSE)),"",(VLOOKUP($E249,'A-1 Site Habitat Baseline'!$D$1:$O$258,8,FALSE))))</f>
        <v/>
      </c>
      <c r="K249" s="520" t="str">
        <f>IF(E249="","",IF(ISNA(VLOOKUP($E249,'A-1 Site Habitat Baseline'!$D$1:$O$258,9,FALSE)),"",(VLOOKUP($E249,'A-1 Site Habitat Baseline'!$D$1:$O$258,9,FALSE))))</f>
        <v/>
      </c>
      <c r="L249" s="520" t="str">
        <f>IF(E249="","",IF(ISNA(VLOOKUP($E249,'A-1 Site Habitat Baseline'!$D$1:$O$258,11,FALSE)),"",(VLOOKUP($E249,'A-1 Site Habitat Baseline'!$D$1:$O$258,11,FALSE))))</f>
        <v/>
      </c>
      <c r="M249" s="520" t="str">
        <f>IF(E249="","",IF(ISNA(VLOOKUP($E249,'A-1 Site Habitat Baseline'!$D$1:$O$258,12,FALSE)),"",(VLOOKUP($E249,'A-1 Site Habitat Baseline'!$D$1:$O$258,12,FALSE))))</f>
        <v/>
      </c>
      <c r="N249" s="532" t="str">
        <f>IF(E249="","",IF(ISNA(VLOOKUP($E249,'A-1 Site Habitat Baseline'!$D$1:$X$258,14,FALSE)),"",(VLOOKUP($E249,'A-1 Site Habitat Baseline'!$D$1:$X$258,14,FALSE))))</f>
        <v/>
      </c>
      <c r="O249" s="524" t="str">
        <f>IF(E249="","",IF(ISNA(VLOOKUP($E249,'A-1 Site Habitat Baseline'!$D$1:$X$258,16,FALSE)),"",(VLOOKUP($E249,'A-1 Site Habitat Baseline'!$D$1:$X$258,13,FALSE))))</f>
        <v/>
      </c>
      <c r="P249" s="237" t="str">
        <f>IFERROR(INDEX('G-1 All Habitats'!$AG$3:$AG$15,MATCH(Q249,'G-1 All Habitats'!$AF$3:$AF$15,0)),"")</f>
        <v/>
      </c>
      <c r="Q249" s="238" t="str">
        <f t="shared" si="36"/>
        <v/>
      </c>
      <c r="R249" s="238" t="str">
        <f t="shared" si="37"/>
        <v/>
      </c>
      <c r="S249" s="392" t="str">
        <f>IFERROR(INDEX('G-1 All Habitats'!$B$3:$B$129,MATCH(R249,'G-1 All Habitats'!$A$3:$A$129,0)),"")</f>
        <v/>
      </c>
      <c r="T249" s="498" t="str">
        <f t="shared" si="38"/>
        <v/>
      </c>
      <c r="U249" s="499" t="str">
        <f t="shared" si="39"/>
        <v/>
      </c>
      <c r="V249" s="537" t="str">
        <f t="shared" si="33"/>
        <v/>
      </c>
      <c r="W249" s="520" t="str">
        <f>IF(S249="","",VLOOKUP(S249,'G-1 All Habitats'!$B$2:$M$129,10,FALSE))</f>
        <v/>
      </c>
      <c r="X249" s="520" t="str">
        <f>IFERROR(VLOOKUP(W249,'G-1 All Habitats'!$V$3:$W$7,2,FALSE),"")</f>
        <v/>
      </c>
      <c r="Y249" s="79"/>
      <c r="Z249" s="524" t="str">
        <f>IFERROR(INDEX('G-8 Condition Look up'!$A$3:$H$130,MATCH(S249,'G-8 Condition Look up'!$A$3:$A$130,0),MATCH(Y249,'G-8 Condition Look up'!$A$3:$H$3,0)),"")</f>
        <v/>
      </c>
      <c r="AA249" s="71"/>
      <c r="AB249" s="520" t="str">
        <f>IF(AA249="","",IF(VLOOKUP(AA249,'G-3 Multipliers'!$L$3:$N$6,2,FALSE)=0,"Spatial Data Missing ⚠",VLOOKUP(AA249,'G-3 Multipliers'!$L$3:$N$6,2,FALSE)))</f>
        <v/>
      </c>
      <c r="AC249" s="524" t="str">
        <f>IF(AA249="","",IF(VLOOKUP(AA249,'G-3 Multipliers'!$L$3:$N$6,3,FALSE)=0,"Spatial Data Missing ⚠",VLOOKUP(AA249,'G-3 Multipliers'!$L$3:$N$6,3,FALSE)))</f>
        <v/>
      </c>
      <c r="AD249" s="539" t="str">
        <f t="shared" si="34"/>
        <v/>
      </c>
      <c r="AE249" s="82"/>
      <c r="AF249" s="82"/>
      <c r="AG249" s="507" t="str">
        <f t="shared" si="40"/>
        <v/>
      </c>
      <c r="AH249" s="521" t="str">
        <f t="shared" si="41"/>
        <v/>
      </c>
      <c r="AI249" s="522" t="str">
        <f>IF(AH249="Check Data","Check Data",IFERROR(VLOOKUP(AH249,'G-4 Temporal multipliers'!$A$4:$C$36,3,FALSE),""))</f>
        <v/>
      </c>
      <c r="AJ249" s="498" t="str">
        <f>IF(S249="","",VLOOKUP(S249,'G-3 Multipliers'!$A$2:$E$129,4,FALSE))</f>
        <v/>
      </c>
      <c r="AK249" s="507" t="str">
        <f t="shared" si="42"/>
        <v/>
      </c>
      <c r="AL249" s="507" t="str">
        <f t="shared" si="43"/>
        <v/>
      </c>
      <c r="AM249" s="540" t="str">
        <f>IFERROR(IF(F249="","",IF(AH249="Check Data ⚠","Check Data ⚠",VLOOKUP(AL249, 'G-3 Multipliers'!$P$2:$Q$6,2,FALSE))),"")</f>
        <v/>
      </c>
      <c r="AN249" s="513" t="str">
        <f t="shared" si="35"/>
        <v/>
      </c>
      <c r="AO249" s="239"/>
      <c r="AP249" s="240"/>
    </row>
    <row r="250" spans="1:42" x14ac:dyDescent="0.3">
      <c r="A250" s="47" t="str">
        <f>IF(E250="","",IF(ISNA(VLOOKUP($E250,'A-1 Site Habitat Baseline'!$D$1:$O$258,2,FALSE)),"",(VLOOKUP($E250,'A-1 Site Habitat Baseline'!$D$1:$O$258,2,FALSE))))</f>
        <v/>
      </c>
      <c r="B250" s="47" t="str">
        <f>IF(E250="","",IF(ISNA(VLOOKUP($E250,'A-1 Site Habitat Baseline'!$D$1:$O$258,3,FALSE)),"",(VLOOKUP($E250,'A-1 Site Habitat Baseline'!$D$1:$O$258,3,FALSE))))</f>
        <v/>
      </c>
      <c r="C250" s="47" t="str">
        <f>IFERROR(INDEX('G-8 Condition Look up'!$I$4:$I$130,MATCH(S250,'G-8 Condition Look up'!$A$4:$A$130,0)),"")</f>
        <v/>
      </c>
      <c r="E250" s="531" t="str">
        <f>'A-1 Site Habitat Baseline'!AL249</f>
        <v/>
      </c>
      <c r="F250" s="520" t="str">
        <f>IF(E250="","",IF(ISNA(VLOOKUP($E250,'A-1 Site Habitat Baseline'!$D$1:$O$258,4,FALSE)),"",(VLOOKUP($E250,'A-1 Site Habitat Baseline'!$D$1:$O$258,4,FALSE))))</f>
        <v/>
      </c>
      <c r="G250" s="520" t="str">
        <f>IF(E250="","",IF(ISNA(VLOOKUP($E250,'A-1 Site Habitat Baseline'!$D$1:$O$258,5,FALSE)),"",(VLOOKUP($E250,'A-1 Site Habitat Baseline'!$D$1:$O$258,5,FALSE))))</f>
        <v/>
      </c>
      <c r="H250" s="520" t="str">
        <f>IF(E250="","",IF(ISNA(VLOOKUP($E250,'A-1 Site Habitat Baseline'!$D$1:$O$258,6,FALSE)),"",(VLOOKUP($E250,'A-1 Site Habitat Baseline'!$D$1:$O$258,6,FALSE))))</f>
        <v/>
      </c>
      <c r="I250" s="520" t="str">
        <f>IF(E250="","",IF(ISNA(VLOOKUP($E250,'A-1 Site Habitat Baseline'!$D$1:$O$258,7,FALSE)),"",(VLOOKUP($E250,'A-1 Site Habitat Baseline'!$D$1:$O$258,7,FALSE))))</f>
        <v/>
      </c>
      <c r="J250" s="520" t="str">
        <f>IF(E250="","",IF(ISNA(VLOOKUP($E250,'A-1 Site Habitat Baseline'!$D$1:$O$258,8,FALSE)),"",(VLOOKUP($E250,'A-1 Site Habitat Baseline'!$D$1:$O$258,8,FALSE))))</f>
        <v/>
      </c>
      <c r="K250" s="520" t="str">
        <f>IF(E250="","",IF(ISNA(VLOOKUP($E250,'A-1 Site Habitat Baseline'!$D$1:$O$258,9,FALSE)),"",(VLOOKUP($E250,'A-1 Site Habitat Baseline'!$D$1:$O$258,9,FALSE))))</f>
        <v/>
      </c>
      <c r="L250" s="520" t="str">
        <f>IF(E250="","",IF(ISNA(VLOOKUP($E250,'A-1 Site Habitat Baseline'!$D$1:$O$258,11,FALSE)),"",(VLOOKUP($E250,'A-1 Site Habitat Baseline'!$D$1:$O$258,11,FALSE))))</f>
        <v/>
      </c>
      <c r="M250" s="520" t="str">
        <f>IF(E250="","",IF(ISNA(VLOOKUP($E250,'A-1 Site Habitat Baseline'!$D$1:$O$258,12,FALSE)),"",(VLOOKUP($E250,'A-1 Site Habitat Baseline'!$D$1:$O$258,12,FALSE))))</f>
        <v/>
      </c>
      <c r="N250" s="532" t="str">
        <f>IF(E250="","",IF(ISNA(VLOOKUP($E250,'A-1 Site Habitat Baseline'!$D$1:$X$258,14,FALSE)),"",(VLOOKUP($E250,'A-1 Site Habitat Baseline'!$D$1:$X$258,14,FALSE))))</f>
        <v/>
      </c>
      <c r="O250" s="524" t="str">
        <f>IF(E250="","",IF(ISNA(VLOOKUP($E250,'A-1 Site Habitat Baseline'!$D$1:$X$258,16,FALSE)),"",(VLOOKUP($E250,'A-1 Site Habitat Baseline'!$D$1:$X$258,13,FALSE))))</f>
        <v/>
      </c>
      <c r="P250" s="237" t="str">
        <f>IFERROR(INDEX('G-1 All Habitats'!$AG$3:$AG$15,MATCH(Q250,'G-1 All Habitats'!$AF$3:$AF$15,0)),"")</f>
        <v/>
      </c>
      <c r="Q250" s="238" t="str">
        <f t="shared" si="36"/>
        <v/>
      </c>
      <c r="R250" s="238" t="str">
        <f t="shared" si="37"/>
        <v/>
      </c>
      <c r="S250" s="392" t="str">
        <f>IFERROR(INDEX('G-1 All Habitats'!$B$3:$B$129,MATCH(R250,'G-1 All Habitats'!$A$3:$A$129,0)),"")</f>
        <v/>
      </c>
      <c r="T250" s="498" t="str">
        <f t="shared" si="38"/>
        <v/>
      </c>
      <c r="U250" s="499" t="str">
        <f t="shared" si="39"/>
        <v/>
      </c>
      <c r="V250" s="537" t="str">
        <f t="shared" si="33"/>
        <v/>
      </c>
      <c r="W250" s="520" t="str">
        <f>IF(S250="","",VLOOKUP(S250,'G-1 All Habitats'!$B$2:$M$129,10,FALSE))</f>
        <v/>
      </c>
      <c r="X250" s="520" t="str">
        <f>IFERROR(VLOOKUP(W250,'G-1 All Habitats'!$V$3:$W$7,2,FALSE),"")</f>
        <v/>
      </c>
      <c r="Y250" s="79"/>
      <c r="Z250" s="524" t="str">
        <f>IFERROR(INDEX('G-8 Condition Look up'!$A$3:$H$130,MATCH(S250,'G-8 Condition Look up'!$A$3:$A$130,0),MATCH(Y250,'G-8 Condition Look up'!$A$3:$H$3,0)),"")</f>
        <v/>
      </c>
      <c r="AA250" s="71"/>
      <c r="AB250" s="520" t="str">
        <f>IF(AA250="","",IF(VLOOKUP(AA250,'G-3 Multipliers'!$L$3:$N$6,2,FALSE)=0,"Spatial Data Missing ⚠",VLOOKUP(AA250,'G-3 Multipliers'!$L$3:$N$6,2,FALSE)))</f>
        <v/>
      </c>
      <c r="AC250" s="524" t="str">
        <f>IF(AA250="","",IF(VLOOKUP(AA250,'G-3 Multipliers'!$L$3:$N$6,3,FALSE)=0,"Spatial Data Missing ⚠",VLOOKUP(AA250,'G-3 Multipliers'!$L$3:$N$6,3,FALSE)))</f>
        <v/>
      </c>
      <c r="AD250" s="539" t="str">
        <f t="shared" si="34"/>
        <v/>
      </c>
      <c r="AE250" s="82"/>
      <c r="AF250" s="82"/>
      <c r="AG250" s="507" t="str">
        <f t="shared" si="40"/>
        <v/>
      </c>
      <c r="AH250" s="521" t="str">
        <f t="shared" si="41"/>
        <v/>
      </c>
      <c r="AI250" s="522" t="str">
        <f>IF(AH250="Check Data","Check Data",IFERROR(VLOOKUP(AH250,'G-4 Temporal multipliers'!$A$4:$C$36,3,FALSE),""))</f>
        <v/>
      </c>
      <c r="AJ250" s="498" t="str">
        <f>IF(S250="","",VLOOKUP(S250,'G-3 Multipliers'!$A$2:$E$129,4,FALSE))</f>
        <v/>
      </c>
      <c r="AK250" s="507" t="str">
        <f t="shared" si="42"/>
        <v/>
      </c>
      <c r="AL250" s="507" t="str">
        <f t="shared" si="43"/>
        <v/>
      </c>
      <c r="AM250" s="540" t="str">
        <f>IFERROR(IF(F250="","",IF(AH250="Check Data ⚠","Check Data ⚠",VLOOKUP(AL250, 'G-3 Multipliers'!$P$2:$Q$6,2,FALSE))),"")</f>
        <v/>
      </c>
      <c r="AN250" s="513" t="str">
        <f t="shared" si="35"/>
        <v/>
      </c>
      <c r="AO250" s="239"/>
      <c r="AP250" s="240"/>
    </row>
    <row r="251" spans="1:42" x14ac:dyDescent="0.3">
      <c r="A251" s="47" t="str">
        <f>IF(E251="","",IF(ISNA(VLOOKUP($E251,'A-1 Site Habitat Baseline'!$D$1:$O$258,2,FALSE)),"",(VLOOKUP($E251,'A-1 Site Habitat Baseline'!$D$1:$O$258,2,FALSE))))</f>
        <v/>
      </c>
      <c r="B251" s="47" t="str">
        <f>IF(E251="","",IF(ISNA(VLOOKUP($E251,'A-1 Site Habitat Baseline'!$D$1:$O$258,3,FALSE)),"",(VLOOKUP($E251,'A-1 Site Habitat Baseline'!$D$1:$O$258,3,FALSE))))</f>
        <v/>
      </c>
      <c r="C251" s="47" t="str">
        <f>IFERROR(INDEX('G-8 Condition Look up'!$I$4:$I$130,MATCH(S251,'G-8 Condition Look up'!$A$4:$A$130,0)),"")</f>
        <v/>
      </c>
      <c r="E251" s="531" t="str">
        <f>'A-1 Site Habitat Baseline'!AL250</f>
        <v/>
      </c>
      <c r="F251" s="520" t="str">
        <f>IF(E251="","",IF(ISNA(VLOOKUP($E251,'A-1 Site Habitat Baseline'!$D$1:$O$258,4,FALSE)),"",(VLOOKUP($E251,'A-1 Site Habitat Baseline'!$D$1:$O$258,4,FALSE))))</f>
        <v/>
      </c>
      <c r="G251" s="520" t="str">
        <f>IF(E251="","",IF(ISNA(VLOOKUP($E251,'A-1 Site Habitat Baseline'!$D$1:$O$258,5,FALSE)),"",(VLOOKUP($E251,'A-1 Site Habitat Baseline'!$D$1:$O$258,5,FALSE))))</f>
        <v/>
      </c>
      <c r="H251" s="520" t="str">
        <f>IF(E251="","",IF(ISNA(VLOOKUP($E251,'A-1 Site Habitat Baseline'!$D$1:$O$258,6,FALSE)),"",(VLOOKUP($E251,'A-1 Site Habitat Baseline'!$D$1:$O$258,6,FALSE))))</f>
        <v/>
      </c>
      <c r="I251" s="520" t="str">
        <f>IF(E251="","",IF(ISNA(VLOOKUP($E251,'A-1 Site Habitat Baseline'!$D$1:$O$258,7,FALSE)),"",(VLOOKUP($E251,'A-1 Site Habitat Baseline'!$D$1:$O$258,7,FALSE))))</f>
        <v/>
      </c>
      <c r="J251" s="520" t="str">
        <f>IF(E251="","",IF(ISNA(VLOOKUP($E251,'A-1 Site Habitat Baseline'!$D$1:$O$258,8,FALSE)),"",(VLOOKUP($E251,'A-1 Site Habitat Baseline'!$D$1:$O$258,8,FALSE))))</f>
        <v/>
      </c>
      <c r="K251" s="520" t="str">
        <f>IF(E251="","",IF(ISNA(VLOOKUP($E251,'A-1 Site Habitat Baseline'!$D$1:$O$258,9,FALSE)),"",(VLOOKUP($E251,'A-1 Site Habitat Baseline'!$D$1:$O$258,9,FALSE))))</f>
        <v/>
      </c>
      <c r="L251" s="520" t="str">
        <f>IF(E251="","",IF(ISNA(VLOOKUP($E251,'A-1 Site Habitat Baseline'!$D$1:$O$258,11,FALSE)),"",(VLOOKUP($E251,'A-1 Site Habitat Baseline'!$D$1:$O$258,11,FALSE))))</f>
        <v/>
      </c>
      <c r="M251" s="520" t="str">
        <f>IF(E251="","",IF(ISNA(VLOOKUP($E251,'A-1 Site Habitat Baseline'!$D$1:$O$258,12,FALSE)),"",(VLOOKUP($E251,'A-1 Site Habitat Baseline'!$D$1:$O$258,12,FALSE))))</f>
        <v/>
      </c>
      <c r="N251" s="532" t="str">
        <f>IF(E251="","",IF(ISNA(VLOOKUP($E251,'A-1 Site Habitat Baseline'!$D$1:$X$258,14,FALSE)),"",(VLOOKUP($E251,'A-1 Site Habitat Baseline'!$D$1:$X$258,14,FALSE))))</f>
        <v/>
      </c>
      <c r="O251" s="524" t="str">
        <f>IF(E251="","",IF(ISNA(VLOOKUP($E251,'A-1 Site Habitat Baseline'!$D$1:$X$258,16,FALSE)),"",(VLOOKUP($E251,'A-1 Site Habitat Baseline'!$D$1:$X$258,13,FALSE))))</f>
        <v/>
      </c>
      <c r="P251" s="237" t="str">
        <f>IFERROR(INDEX('G-1 All Habitats'!$AG$3:$AG$15,MATCH(Q251,'G-1 All Habitats'!$AF$3:$AF$15,0)),"")</f>
        <v/>
      </c>
      <c r="Q251" s="238" t="str">
        <f t="shared" si="36"/>
        <v/>
      </c>
      <c r="R251" s="238" t="str">
        <f t="shared" si="37"/>
        <v/>
      </c>
      <c r="S251" s="392" t="str">
        <f>IFERROR(INDEX('G-1 All Habitats'!$B$3:$B$129,MATCH(R251,'G-1 All Habitats'!$A$3:$A$129,0)),"")</f>
        <v/>
      </c>
      <c r="T251" s="498" t="str">
        <f t="shared" si="38"/>
        <v/>
      </c>
      <c r="U251" s="499" t="str">
        <f t="shared" si="39"/>
        <v/>
      </c>
      <c r="V251" s="537" t="str">
        <f t="shared" si="33"/>
        <v/>
      </c>
      <c r="W251" s="520" t="str">
        <f>IF(S251="","",VLOOKUP(S251,'G-1 All Habitats'!$B$2:$M$129,10,FALSE))</f>
        <v/>
      </c>
      <c r="X251" s="520" t="str">
        <f>IFERROR(VLOOKUP(W251,'G-1 All Habitats'!$V$3:$W$7,2,FALSE),"")</f>
        <v/>
      </c>
      <c r="Y251" s="79"/>
      <c r="Z251" s="524" t="str">
        <f>IFERROR(INDEX('G-8 Condition Look up'!$A$3:$H$130,MATCH(S251,'G-8 Condition Look up'!$A$3:$A$130,0),MATCH(Y251,'G-8 Condition Look up'!$A$3:$H$3,0)),"")</f>
        <v/>
      </c>
      <c r="AA251" s="71"/>
      <c r="AB251" s="520" t="str">
        <f>IF(AA251="","",IF(VLOOKUP(AA251,'G-3 Multipliers'!$L$3:$N$6,2,FALSE)=0,"Spatial Data Missing ⚠",VLOOKUP(AA251,'G-3 Multipliers'!$L$3:$N$6,2,FALSE)))</f>
        <v/>
      </c>
      <c r="AC251" s="524" t="str">
        <f>IF(AA251="","",IF(VLOOKUP(AA251,'G-3 Multipliers'!$L$3:$N$6,3,FALSE)=0,"Spatial Data Missing ⚠",VLOOKUP(AA251,'G-3 Multipliers'!$L$3:$N$6,3,FALSE)))</f>
        <v/>
      </c>
      <c r="AD251" s="539" t="str">
        <f t="shared" si="34"/>
        <v/>
      </c>
      <c r="AE251" s="82"/>
      <c r="AF251" s="82"/>
      <c r="AG251" s="507" t="str">
        <f t="shared" si="40"/>
        <v/>
      </c>
      <c r="AH251" s="521" t="str">
        <f t="shared" si="41"/>
        <v/>
      </c>
      <c r="AI251" s="522" t="str">
        <f>IF(AH251="Check Data","Check Data",IFERROR(VLOOKUP(AH251,'G-4 Temporal multipliers'!$A$4:$C$36,3,FALSE),""))</f>
        <v/>
      </c>
      <c r="AJ251" s="498" t="str">
        <f>IF(S251="","",VLOOKUP(S251,'G-3 Multipliers'!$A$2:$E$129,4,FALSE))</f>
        <v/>
      </c>
      <c r="AK251" s="507" t="str">
        <f t="shared" si="42"/>
        <v/>
      </c>
      <c r="AL251" s="507" t="str">
        <f t="shared" si="43"/>
        <v/>
      </c>
      <c r="AM251" s="540" t="str">
        <f>IFERROR(IF(F251="","",IF(AH251="Check Data ⚠","Check Data ⚠",VLOOKUP(AL251, 'G-3 Multipliers'!$P$2:$Q$6,2,FALSE))),"")</f>
        <v/>
      </c>
      <c r="AN251" s="513" t="str">
        <f t="shared" si="35"/>
        <v/>
      </c>
      <c r="AO251" s="239"/>
      <c r="AP251" s="240"/>
    </row>
    <row r="252" spans="1:42" x14ac:dyDescent="0.3">
      <c r="A252" s="47" t="str">
        <f>IF(E252="","",IF(ISNA(VLOOKUP($E252,'A-1 Site Habitat Baseline'!$D$1:$O$258,2,FALSE)),"",(VLOOKUP($E252,'A-1 Site Habitat Baseline'!$D$1:$O$258,2,FALSE))))</f>
        <v/>
      </c>
      <c r="B252" s="47" t="str">
        <f>IF(E252="","",IF(ISNA(VLOOKUP($E252,'A-1 Site Habitat Baseline'!$D$1:$O$258,3,FALSE)),"",(VLOOKUP($E252,'A-1 Site Habitat Baseline'!$D$1:$O$258,3,FALSE))))</f>
        <v/>
      </c>
      <c r="C252" s="47" t="str">
        <f>IFERROR(INDEX('G-8 Condition Look up'!$I$4:$I$130,MATCH(S252,'G-8 Condition Look up'!$A$4:$A$130,0)),"")</f>
        <v/>
      </c>
      <c r="E252" s="531" t="str">
        <f>'A-1 Site Habitat Baseline'!AL251</f>
        <v/>
      </c>
      <c r="F252" s="520" t="str">
        <f>IF(E252="","",IF(ISNA(VLOOKUP($E252,'A-1 Site Habitat Baseline'!$D$1:$O$258,4,FALSE)),"",(VLOOKUP($E252,'A-1 Site Habitat Baseline'!$D$1:$O$258,4,FALSE))))</f>
        <v/>
      </c>
      <c r="G252" s="520" t="str">
        <f>IF(E252="","",IF(ISNA(VLOOKUP($E252,'A-1 Site Habitat Baseline'!$D$1:$O$258,5,FALSE)),"",(VLOOKUP($E252,'A-1 Site Habitat Baseline'!$D$1:$O$258,5,FALSE))))</f>
        <v/>
      </c>
      <c r="H252" s="520" t="str">
        <f>IF(E252="","",IF(ISNA(VLOOKUP($E252,'A-1 Site Habitat Baseline'!$D$1:$O$258,6,FALSE)),"",(VLOOKUP($E252,'A-1 Site Habitat Baseline'!$D$1:$O$258,6,FALSE))))</f>
        <v/>
      </c>
      <c r="I252" s="520" t="str">
        <f>IF(E252="","",IF(ISNA(VLOOKUP($E252,'A-1 Site Habitat Baseline'!$D$1:$O$258,7,FALSE)),"",(VLOOKUP($E252,'A-1 Site Habitat Baseline'!$D$1:$O$258,7,FALSE))))</f>
        <v/>
      </c>
      <c r="J252" s="520" t="str">
        <f>IF(E252="","",IF(ISNA(VLOOKUP($E252,'A-1 Site Habitat Baseline'!$D$1:$O$258,8,FALSE)),"",(VLOOKUP($E252,'A-1 Site Habitat Baseline'!$D$1:$O$258,8,FALSE))))</f>
        <v/>
      </c>
      <c r="K252" s="520" t="str">
        <f>IF(E252="","",IF(ISNA(VLOOKUP($E252,'A-1 Site Habitat Baseline'!$D$1:$O$258,9,FALSE)),"",(VLOOKUP($E252,'A-1 Site Habitat Baseline'!$D$1:$O$258,9,FALSE))))</f>
        <v/>
      </c>
      <c r="L252" s="520" t="str">
        <f>IF(E252="","",IF(ISNA(VLOOKUP($E252,'A-1 Site Habitat Baseline'!$D$1:$O$258,11,FALSE)),"",(VLOOKUP($E252,'A-1 Site Habitat Baseline'!$D$1:$O$258,11,FALSE))))</f>
        <v/>
      </c>
      <c r="M252" s="520" t="str">
        <f>IF(E252="","",IF(ISNA(VLOOKUP($E252,'A-1 Site Habitat Baseline'!$D$1:$O$258,12,FALSE)),"",(VLOOKUP($E252,'A-1 Site Habitat Baseline'!$D$1:$O$258,12,FALSE))))</f>
        <v/>
      </c>
      <c r="N252" s="532" t="str">
        <f>IF(E252="","",IF(ISNA(VLOOKUP($E252,'A-1 Site Habitat Baseline'!$D$1:$X$258,14,FALSE)),"",(VLOOKUP($E252,'A-1 Site Habitat Baseline'!$D$1:$X$258,14,FALSE))))</f>
        <v/>
      </c>
      <c r="O252" s="524" t="str">
        <f>IF(E252="","",IF(ISNA(VLOOKUP($E252,'A-1 Site Habitat Baseline'!$D$1:$X$258,16,FALSE)),"",(VLOOKUP($E252,'A-1 Site Habitat Baseline'!$D$1:$X$258,13,FALSE))))</f>
        <v/>
      </c>
      <c r="P252" s="237" t="str">
        <f>IFERROR(INDEX('G-1 All Habitats'!$AG$3:$AG$15,MATCH(Q252,'G-1 All Habitats'!$AF$3:$AF$15,0)),"")</f>
        <v/>
      </c>
      <c r="Q252" s="238" t="str">
        <f t="shared" si="36"/>
        <v/>
      </c>
      <c r="R252" s="238" t="str">
        <f t="shared" si="37"/>
        <v/>
      </c>
      <c r="S252" s="392" t="str">
        <f>IFERROR(INDEX('G-1 All Habitats'!$B$3:$B$129,MATCH(R252,'G-1 All Habitats'!$A$3:$A$129,0)),"")</f>
        <v/>
      </c>
      <c r="T252" s="498" t="str">
        <f t="shared" si="38"/>
        <v/>
      </c>
      <c r="U252" s="499" t="str">
        <f t="shared" si="39"/>
        <v/>
      </c>
      <c r="V252" s="537" t="str">
        <f t="shared" si="33"/>
        <v/>
      </c>
      <c r="W252" s="520" t="str">
        <f>IF(S252="","",VLOOKUP(S252,'G-1 All Habitats'!$B$2:$M$129,10,FALSE))</f>
        <v/>
      </c>
      <c r="X252" s="520" t="str">
        <f>IFERROR(VLOOKUP(W252,'G-1 All Habitats'!$V$3:$W$7,2,FALSE),"")</f>
        <v/>
      </c>
      <c r="Y252" s="79"/>
      <c r="Z252" s="524" t="str">
        <f>IFERROR(INDEX('G-8 Condition Look up'!$A$3:$H$130,MATCH(S252,'G-8 Condition Look up'!$A$3:$A$130,0),MATCH(Y252,'G-8 Condition Look up'!$A$3:$H$3,0)),"")</f>
        <v/>
      </c>
      <c r="AA252" s="71"/>
      <c r="AB252" s="520" t="str">
        <f>IF(AA252="","",IF(VLOOKUP(AA252,'G-3 Multipliers'!$L$3:$N$6,2,FALSE)=0,"Spatial Data Missing ⚠",VLOOKUP(AA252,'G-3 Multipliers'!$L$3:$N$6,2,FALSE)))</f>
        <v/>
      </c>
      <c r="AC252" s="524" t="str">
        <f>IF(AA252="","",IF(VLOOKUP(AA252,'G-3 Multipliers'!$L$3:$N$6,3,FALSE)=0,"Spatial Data Missing ⚠",VLOOKUP(AA252,'G-3 Multipliers'!$L$3:$N$6,3,FALSE)))</f>
        <v/>
      </c>
      <c r="AD252" s="539" t="str">
        <f t="shared" si="34"/>
        <v/>
      </c>
      <c r="AE252" s="82"/>
      <c r="AF252" s="82"/>
      <c r="AG252" s="507" t="str">
        <f t="shared" si="40"/>
        <v/>
      </c>
      <c r="AH252" s="521" t="str">
        <f t="shared" si="41"/>
        <v/>
      </c>
      <c r="AI252" s="522" t="str">
        <f>IF(AH252="Check Data","Check Data",IFERROR(VLOOKUP(AH252,'G-4 Temporal multipliers'!$A$4:$C$36,3,FALSE),""))</f>
        <v/>
      </c>
      <c r="AJ252" s="498" t="str">
        <f>IF(S252="","",VLOOKUP(S252,'G-3 Multipliers'!$A$2:$E$129,4,FALSE))</f>
        <v/>
      </c>
      <c r="AK252" s="507" t="str">
        <f t="shared" si="42"/>
        <v/>
      </c>
      <c r="AL252" s="507" t="str">
        <f t="shared" si="43"/>
        <v/>
      </c>
      <c r="AM252" s="540" t="str">
        <f>IFERROR(IF(F252="","",IF(AH252="Check Data ⚠","Check Data ⚠",VLOOKUP(AL252, 'G-3 Multipliers'!$P$2:$Q$6,2,FALSE))),"")</f>
        <v/>
      </c>
      <c r="AN252" s="513" t="str">
        <f t="shared" si="35"/>
        <v/>
      </c>
      <c r="AO252" s="239"/>
      <c r="AP252" s="240"/>
    </row>
    <row r="253" spans="1:42" x14ac:dyDescent="0.3">
      <c r="A253" s="47" t="str">
        <f>IF(E253="","",IF(ISNA(VLOOKUP($E253,'A-1 Site Habitat Baseline'!$D$1:$O$258,2,FALSE)),"",(VLOOKUP($E253,'A-1 Site Habitat Baseline'!$D$1:$O$258,2,FALSE))))</f>
        <v/>
      </c>
      <c r="B253" s="47" t="str">
        <f>IF(E253="","",IF(ISNA(VLOOKUP($E253,'A-1 Site Habitat Baseline'!$D$1:$O$258,3,FALSE)),"",(VLOOKUP($E253,'A-1 Site Habitat Baseline'!$D$1:$O$258,3,FALSE))))</f>
        <v/>
      </c>
      <c r="C253" s="47" t="str">
        <f>IFERROR(INDEX('G-8 Condition Look up'!$I$4:$I$130,MATCH(S253,'G-8 Condition Look up'!$A$4:$A$130,0)),"")</f>
        <v/>
      </c>
      <c r="E253" s="531" t="str">
        <f>'A-1 Site Habitat Baseline'!AL252</f>
        <v/>
      </c>
      <c r="F253" s="520" t="str">
        <f>IF(E253="","",IF(ISNA(VLOOKUP($E253,'A-1 Site Habitat Baseline'!$D$1:$O$258,4,FALSE)),"",(VLOOKUP($E253,'A-1 Site Habitat Baseline'!$D$1:$O$258,4,FALSE))))</f>
        <v/>
      </c>
      <c r="G253" s="520" t="str">
        <f>IF(E253="","",IF(ISNA(VLOOKUP($E253,'A-1 Site Habitat Baseline'!$D$1:$O$258,5,FALSE)),"",(VLOOKUP($E253,'A-1 Site Habitat Baseline'!$D$1:$O$258,5,FALSE))))</f>
        <v/>
      </c>
      <c r="H253" s="520" t="str">
        <f>IF(E253="","",IF(ISNA(VLOOKUP($E253,'A-1 Site Habitat Baseline'!$D$1:$O$258,6,FALSE)),"",(VLOOKUP($E253,'A-1 Site Habitat Baseline'!$D$1:$O$258,6,FALSE))))</f>
        <v/>
      </c>
      <c r="I253" s="520" t="str">
        <f>IF(E253="","",IF(ISNA(VLOOKUP($E253,'A-1 Site Habitat Baseline'!$D$1:$O$258,7,FALSE)),"",(VLOOKUP($E253,'A-1 Site Habitat Baseline'!$D$1:$O$258,7,FALSE))))</f>
        <v/>
      </c>
      <c r="J253" s="520" t="str">
        <f>IF(E253="","",IF(ISNA(VLOOKUP($E253,'A-1 Site Habitat Baseline'!$D$1:$O$258,8,FALSE)),"",(VLOOKUP($E253,'A-1 Site Habitat Baseline'!$D$1:$O$258,8,FALSE))))</f>
        <v/>
      </c>
      <c r="K253" s="520" t="str">
        <f>IF(E253="","",IF(ISNA(VLOOKUP($E253,'A-1 Site Habitat Baseline'!$D$1:$O$258,9,FALSE)),"",(VLOOKUP($E253,'A-1 Site Habitat Baseline'!$D$1:$O$258,9,FALSE))))</f>
        <v/>
      </c>
      <c r="L253" s="520" t="str">
        <f>IF(E253="","",IF(ISNA(VLOOKUP($E253,'A-1 Site Habitat Baseline'!$D$1:$O$258,11,FALSE)),"",(VLOOKUP($E253,'A-1 Site Habitat Baseline'!$D$1:$O$258,11,FALSE))))</f>
        <v/>
      </c>
      <c r="M253" s="520" t="str">
        <f>IF(E253="","",IF(ISNA(VLOOKUP($E253,'A-1 Site Habitat Baseline'!$D$1:$O$258,12,FALSE)),"",(VLOOKUP($E253,'A-1 Site Habitat Baseline'!$D$1:$O$258,12,FALSE))))</f>
        <v/>
      </c>
      <c r="N253" s="532" t="str">
        <f>IF(E253="","",IF(ISNA(VLOOKUP($E253,'A-1 Site Habitat Baseline'!$D$1:$X$258,14,FALSE)),"",(VLOOKUP($E253,'A-1 Site Habitat Baseline'!$D$1:$X$258,14,FALSE))))</f>
        <v/>
      </c>
      <c r="O253" s="524" t="str">
        <f>IF(E253="","",IF(ISNA(VLOOKUP($E253,'A-1 Site Habitat Baseline'!$D$1:$X$258,16,FALSE)),"",(VLOOKUP($E253,'A-1 Site Habitat Baseline'!$D$1:$X$258,13,FALSE))))</f>
        <v/>
      </c>
      <c r="P253" s="237" t="str">
        <f>IFERROR(INDEX('G-1 All Habitats'!$AG$3:$AG$15,MATCH(Q253,'G-1 All Habitats'!$AF$3:$AF$15,0)),"")</f>
        <v/>
      </c>
      <c r="Q253" s="238" t="str">
        <f t="shared" si="36"/>
        <v/>
      </c>
      <c r="R253" s="238" t="str">
        <f t="shared" si="37"/>
        <v/>
      </c>
      <c r="S253" s="392" t="str">
        <f>IFERROR(INDEX('G-1 All Habitats'!$B$3:$B$129,MATCH(R253,'G-1 All Habitats'!$A$3:$A$129,0)),"")</f>
        <v/>
      </c>
      <c r="T253" s="498" t="str">
        <f t="shared" si="38"/>
        <v/>
      </c>
      <c r="U253" s="499" t="str">
        <f t="shared" si="39"/>
        <v/>
      </c>
      <c r="V253" s="537" t="str">
        <f t="shared" si="33"/>
        <v/>
      </c>
      <c r="W253" s="520" t="str">
        <f>IF(S253="","",VLOOKUP(S253,'G-1 All Habitats'!$B$2:$M$129,10,FALSE))</f>
        <v/>
      </c>
      <c r="X253" s="520" t="str">
        <f>IFERROR(VLOOKUP(W253,'G-1 All Habitats'!$V$3:$W$7,2,FALSE),"")</f>
        <v/>
      </c>
      <c r="Y253" s="79"/>
      <c r="Z253" s="524" t="str">
        <f>IFERROR(INDEX('G-8 Condition Look up'!$A$3:$H$130,MATCH(S253,'G-8 Condition Look up'!$A$3:$A$130,0),MATCH(Y253,'G-8 Condition Look up'!$A$3:$H$3,0)),"")</f>
        <v/>
      </c>
      <c r="AA253" s="71"/>
      <c r="AB253" s="520" t="str">
        <f>IF(AA253="","",IF(VLOOKUP(AA253,'G-3 Multipliers'!$L$3:$N$6,2,FALSE)=0,"Spatial Data Missing ⚠",VLOOKUP(AA253,'G-3 Multipliers'!$L$3:$N$6,2,FALSE)))</f>
        <v/>
      </c>
      <c r="AC253" s="524" t="str">
        <f>IF(AA253="","",IF(VLOOKUP(AA253,'G-3 Multipliers'!$L$3:$N$6,3,FALSE)=0,"Spatial Data Missing ⚠",VLOOKUP(AA253,'G-3 Multipliers'!$L$3:$N$6,3,FALSE)))</f>
        <v/>
      </c>
      <c r="AD253" s="539" t="str">
        <f t="shared" si="34"/>
        <v/>
      </c>
      <c r="AE253" s="82"/>
      <c r="AF253" s="82"/>
      <c r="AG253" s="507" t="str">
        <f t="shared" si="40"/>
        <v/>
      </c>
      <c r="AH253" s="521" t="str">
        <f t="shared" si="41"/>
        <v/>
      </c>
      <c r="AI253" s="522" t="str">
        <f>IF(AH253="Check Data","Check Data",IFERROR(VLOOKUP(AH253,'G-4 Temporal multipliers'!$A$4:$C$36,3,FALSE),""))</f>
        <v/>
      </c>
      <c r="AJ253" s="498" t="str">
        <f>IF(S253="","",VLOOKUP(S253,'G-3 Multipliers'!$A$2:$E$129,4,FALSE))</f>
        <v/>
      </c>
      <c r="AK253" s="507" t="str">
        <f t="shared" si="42"/>
        <v/>
      </c>
      <c r="AL253" s="507" t="str">
        <f t="shared" si="43"/>
        <v/>
      </c>
      <c r="AM253" s="540" t="str">
        <f>IFERROR(IF(F253="","",IF(AH253="Check Data ⚠","Check Data ⚠",VLOOKUP(AL253, 'G-3 Multipliers'!$P$2:$Q$6,2,FALSE))),"")</f>
        <v/>
      </c>
      <c r="AN253" s="513" t="str">
        <f t="shared" si="35"/>
        <v/>
      </c>
      <c r="AO253" s="239"/>
      <c r="AP253" s="240"/>
    </row>
    <row r="254" spans="1:42" x14ac:dyDescent="0.3">
      <c r="A254" s="47" t="str">
        <f>IF(E254="","",IF(ISNA(VLOOKUP($E254,'A-1 Site Habitat Baseline'!$D$1:$O$258,2,FALSE)),"",(VLOOKUP($E254,'A-1 Site Habitat Baseline'!$D$1:$O$258,2,FALSE))))</f>
        <v/>
      </c>
      <c r="B254" s="47" t="str">
        <f>IF(E254="","",IF(ISNA(VLOOKUP($E254,'A-1 Site Habitat Baseline'!$D$1:$O$258,3,FALSE)),"",(VLOOKUP($E254,'A-1 Site Habitat Baseline'!$D$1:$O$258,3,FALSE))))</f>
        <v/>
      </c>
      <c r="C254" s="47" t="str">
        <f>IFERROR(INDEX('G-8 Condition Look up'!$I$4:$I$130,MATCH(S254,'G-8 Condition Look up'!$A$4:$A$130,0)),"")</f>
        <v/>
      </c>
      <c r="E254" s="531" t="str">
        <f>'A-1 Site Habitat Baseline'!AL253</f>
        <v/>
      </c>
      <c r="F254" s="520" t="str">
        <f>IF(E254="","",IF(ISNA(VLOOKUP($E254,'A-1 Site Habitat Baseline'!$D$1:$O$258,4,FALSE)),"",(VLOOKUP($E254,'A-1 Site Habitat Baseline'!$D$1:$O$258,4,FALSE))))</f>
        <v/>
      </c>
      <c r="G254" s="520" t="str">
        <f>IF(E254="","",IF(ISNA(VLOOKUP($E254,'A-1 Site Habitat Baseline'!$D$1:$O$258,5,FALSE)),"",(VLOOKUP($E254,'A-1 Site Habitat Baseline'!$D$1:$O$258,5,FALSE))))</f>
        <v/>
      </c>
      <c r="H254" s="520" t="str">
        <f>IF(E254="","",IF(ISNA(VLOOKUP($E254,'A-1 Site Habitat Baseline'!$D$1:$O$258,6,FALSE)),"",(VLOOKUP($E254,'A-1 Site Habitat Baseline'!$D$1:$O$258,6,FALSE))))</f>
        <v/>
      </c>
      <c r="I254" s="520" t="str">
        <f>IF(E254="","",IF(ISNA(VLOOKUP($E254,'A-1 Site Habitat Baseline'!$D$1:$O$258,7,FALSE)),"",(VLOOKUP($E254,'A-1 Site Habitat Baseline'!$D$1:$O$258,7,FALSE))))</f>
        <v/>
      </c>
      <c r="J254" s="520" t="str">
        <f>IF(E254="","",IF(ISNA(VLOOKUP($E254,'A-1 Site Habitat Baseline'!$D$1:$O$258,8,FALSE)),"",(VLOOKUP($E254,'A-1 Site Habitat Baseline'!$D$1:$O$258,8,FALSE))))</f>
        <v/>
      </c>
      <c r="K254" s="520" t="str">
        <f>IF(E254="","",IF(ISNA(VLOOKUP($E254,'A-1 Site Habitat Baseline'!$D$1:$O$258,9,FALSE)),"",(VLOOKUP($E254,'A-1 Site Habitat Baseline'!$D$1:$O$258,9,FALSE))))</f>
        <v/>
      </c>
      <c r="L254" s="520" t="str">
        <f>IF(E254="","",IF(ISNA(VLOOKUP($E254,'A-1 Site Habitat Baseline'!$D$1:$O$258,11,FALSE)),"",(VLOOKUP($E254,'A-1 Site Habitat Baseline'!$D$1:$O$258,11,FALSE))))</f>
        <v/>
      </c>
      <c r="M254" s="520" t="str">
        <f>IF(E254="","",IF(ISNA(VLOOKUP($E254,'A-1 Site Habitat Baseline'!$D$1:$O$258,12,FALSE)),"",(VLOOKUP($E254,'A-1 Site Habitat Baseline'!$D$1:$O$258,12,FALSE))))</f>
        <v/>
      </c>
      <c r="N254" s="532" t="str">
        <f>IF(E254="","",IF(ISNA(VLOOKUP($E254,'A-1 Site Habitat Baseline'!$D$1:$X$258,14,FALSE)),"",(VLOOKUP($E254,'A-1 Site Habitat Baseline'!$D$1:$X$258,14,FALSE))))</f>
        <v/>
      </c>
      <c r="O254" s="524" t="str">
        <f>IF(E254="","",IF(ISNA(VLOOKUP($E254,'A-1 Site Habitat Baseline'!$D$1:$X$258,16,FALSE)),"",(VLOOKUP($E254,'A-1 Site Habitat Baseline'!$D$1:$X$258,13,FALSE))))</f>
        <v/>
      </c>
      <c r="P254" s="237" t="str">
        <f>IFERROR(INDEX('G-1 All Habitats'!$AG$3:$AG$15,MATCH(Q254,'G-1 All Habitats'!$AF$3:$AF$15,0)),"")</f>
        <v/>
      </c>
      <c r="Q254" s="238" t="str">
        <f t="shared" si="36"/>
        <v/>
      </c>
      <c r="R254" s="238" t="str">
        <f t="shared" si="37"/>
        <v/>
      </c>
      <c r="S254" s="392" t="str">
        <f>IFERROR(INDEX('G-1 All Habitats'!$B$3:$B$129,MATCH(R254,'G-1 All Habitats'!$A$3:$A$129,0)),"")</f>
        <v/>
      </c>
      <c r="T254" s="498" t="str">
        <f t="shared" si="38"/>
        <v/>
      </c>
      <c r="U254" s="499" t="str">
        <f t="shared" si="39"/>
        <v/>
      </c>
      <c r="V254" s="537" t="str">
        <f t="shared" si="33"/>
        <v/>
      </c>
      <c r="W254" s="520" t="str">
        <f>IF(S254="","",VLOOKUP(S254,'G-1 All Habitats'!$B$2:$M$129,10,FALSE))</f>
        <v/>
      </c>
      <c r="X254" s="520" t="str">
        <f>IFERROR(VLOOKUP(W254,'G-1 All Habitats'!$V$3:$W$7,2,FALSE),"")</f>
        <v/>
      </c>
      <c r="Y254" s="79"/>
      <c r="Z254" s="524" t="str">
        <f>IFERROR(INDEX('G-8 Condition Look up'!$A$3:$H$130,MATCH(S254,'G-8 Condition Look up'!$A$3:$A$130,0),MATCH(Y254,'G-8 Condition Look up'!$A$3:$H$3,0)),"")</f>
        <v/>
      </c>
      <c r="AA254" s="71"/>
      <c r="AB254" s="520" t="str">
        <f>IF(AA254="","",IF(VLOOKUP(AA254,'G-3 Multipliers'!$L$3:$N$6,2,FALSE)=0,"Spatial Data Missing ⚠",VLOOKUP(AA254,'G-3 Multipliers'!$L$3:$N$6,2,FALSE)))</f>
        <v/>
      </c>
      <c r="AC254" s="524" t="str">
        <f>IF(AA254="","",IF(VLOOKUP(AA254,'G-3 Multipliers'!$L$3:$N$6,3,FALSE)=0,"Spatial Data Missing ⚠",VLOOKUP(AA254,'G-3 Multipliers'!$L$3:$N$6,3,FALSE)))</f>
        <v/>
      </c>
      <c r="AD254" s="539" t="str">
        <f t="shared" si="34"/>
        <v/>
      </c>
      <c r="AE254" s="82"/>
      <c r="AF254" s="82"/>
      <c r="AG254" s="507" t="str">
        <f t="shared" si="40"/>
        <v/>
      </c>
      <c r="AH254" s="521" t="str">
        <f t="shared" si="41"/>
        <v/>
      </c>
      <c r="AI254" s="522" t="str">
        <f>IF(AH254="Check Data","Check Data",IFERROR(VLOOKUP(AH254,'G-4 Temporal multipliers'!$A$4:$C$36,3,FALSE),""))</f>
        <v/>
      </c>
      <c r="AJ254" s="498" t="str">
        <f>IF(S254="","",VLOOKUP(S254,'G-3 Multipliers'!$A$2:$E$129,4,FALSE))</f>
        <v/>
      </c>
      <c r="AK254" s="507" t="str">
        <f t="shared" si="42"/>
        <v/>
      </c>
      <c r="AL254" s="507" t="str">
        <f t="shared" si="43"/>
        <v/>
      </c>
      <c r="AM254" s="540" t="str">
        <f>IFERROR(IF(F254="","",IF(AH254="Check Data ⚠","Check Data ⚠",VLOOKUP(AL254, 'G-3 Multipliers'!$P$2:$Q$6,2,FALSE))),"")</f>
        <v/>
      </c>
      <c r="AN254" s="513" t="str">
        <f t="shared" si="35"/>
        <v/>
      </c>
      <c r="AO254" s="239"/>
      <c r="AP254" s="240"/>
    </row>
    <row r="255" spans="1:42" x14ac:dyDescent="0.3">
      <c r="A255" s="47" t="str">
        <f>IF(E255="","",IF(ISNA(VLOOKUP($E255,'A-1 Site Habitat Baseline'!$D$1:$O$258,2,FALSE)),"",(VLOOKUP($E255,'A-1 Site Habitat Baseline'!$D$1:$O$258,2,FALSE))))</f>
        <v/>
      </c>
      <c r="B255" s="47" t="str">
        <f>IF(E255="","",IF(ISNA(VLOOKUP($E255,'A-1 Site Habitat Baseline'!$D$1:$O$258,3,FALSE)),"",(VLOOKUP($E255,'A-1 Site Habitat Baseline'!$D$1:$O$258,3,FALSE))))</f>
        <v/>
      </c>
      <c r="C255" s="47" t="str">
        <f>IFERROR(INDEX('G-8 Condition Look up'!$I$4:$I$130,MATCH(S255,'G-8 Condition Look up'!$A$4:$A$130,0)),"")</f>
        <v/>
      </c>
      <c r="E255" s="531" t="str">
        <f>'A-1 Site Habitat Baseline'!AL254</f>
        <v/>
      </c>
      <c r="F255" s="520" t="str">
        <f>IF(E255="","",IF(ISNA(VLOOKUP($E255,'A-1 Site Habitat Baseline'!$D$1:$O$258,4,FALSE)),"",(VLOOKUP($E255,'A-1 Site Habitat Baseline'!$D$1:$O$258,4,FALSE))))</f>
        <v/>
      </c>
      <c r="G255" s="520" t="str">
        <f>IF(E255="","",IF(ISNA(VLOOKUP($E255,'A-1 Site Habitat Baseline'!$D$1:$O$258,5,FALSE)),"",(VLOOKUP($E255,'A-1 Site Habitat Baseline'!$D$1:$O$258,5,FALSE))))</f>
        <v/>
      </c>
      <c r="H255" s="520" t="str">
        <f>IF(E255="","",IF(ISNA(VLOOKUP($E255,'A-1 Site Habitat Baseline'!$D$1:$O$258,6,FALSE)),"",(VLOOKUP($E255,'A-1 Site Habitat Baseline'!$D$1:$O$258,6,FALSE))))</f>
        <v/>
      </c>
      <c r="I255" s="520" t="str">
        <f>IF(E255="","",IF(ISNA(VLOOKUP($E255,'A-1 Site Habitat Baseline'!$D$1:$O$258,7,FALSE)),"",(VLOOKUP($E255,'A-1 Site Habitat Baseline'!$D$1:$O$258,7,FALSE))))</f>
        <v/>
      </c>
      <c r="J255" s="520" t="str">
        <f>IF(E255="","",IF(ISNA(VLOOKUP($E255,'A-1 Site Habitat Baseline'!$D$1:$O$258,8,FALSE)),"",(VLOOKUP($E255,'A-1 Site Habitat Baseline'!$D$1:$O$258,8,FALSE))))</f>
        <v/>
      </c>
      <c r="K255" s="520" t="str">
        <f>IF(E255="","",IF(ISNA(VLOOKUP($E255,'A-1 Site Habitat Baseline'!$D$1:$O$258,9,FALSE)),"",(VLOOKUP($E255,'A-1 Site Habitat Baseline'!$D$1:$O$258,9,FALSE))))</f>
        <v/>
      </c>
      <c r="L255" s="520" t="str">
        <f>IF(E255="","",IF(ISNA(VLOOKUP($E255,'A-1 Site Habitat Baseline'!$D$1:$O$258,11,FALSE)),"",(VLOOKUP($E255,'A-1 Site Habitat Baseline'!$D$1:$O$258,11,FALSE))))</f>
        <v/>
      </c>
      <c r="M255" s="520" t="str">
        <f>IF(E255="","",IF(ISNA(VLOOKUP($E255,'A-1 Site Habitat Baseline'!$D$1:$O$258,12,FALSE)),"",(VLOOKUP($E255,'A-1 Site Habitat Baseline'!$D$1:$O$258,12,FALSE))))</f>
        <v/>
      </c>
      <c r="N255" s="532" t="str">
        <f>IF(E255="","",IF(ISNA(VLOOKUP($E255,'A-1 Site Habitat Baseline'!$D$1:$X$258,14,FALSE)),"",(VLOOKUP($E255,'A-1 Site Habitat Baseline'!$D$1:$X$258,14,FALSE))))</f>
        <v/>
      </c>
      <c r="O255" s="524" t="str">
        <f>IF(E255="","",IF(ISNA(VLOOKUP($E255,'A-1 Site Habitat Baseline'!$D$1:$X$258,16,FALSE)),"",(VLOOKUP($E255,'A-1 Site Habitat Baseline'!$D$1:$X$258,13,FALSE))))</f>
        <v/>
      </c>
      <c r="P255" s="237" t="str">
        <f>IFERROR(INDEX('G-1 All Habitats'!$AG$3:$AG$15,MATCH(Q255,'G-1 All Habitats'!$AF$3:$AF$15,0)),"")</f>
        <v/>
      </c>
      <c r="Q255" s="238" t="str">
        <f t="shared" si="36"/>
        <v/>
      </c>
      <c r="R255" s="238" t="str">
        <f t="shared" si="37"/>
        <v/>
      </c>
      <c r="S255" s="392" t="str">
        <f>IFERROR(INDEX('G-1 All Habitats'!$B$3:$B$129,MATCH(R255,'G-1 All Habitats'!$A$3:$A$129,0)),"")</f>
        <v/>
      </c>
      <c r="T255" s="498" t="str">
        <f t="shared" si="38"/>
        <v/>
      </c>
      <c r="U255" s="499" t="str">
        <f t="shared" si="39"/>
        <v/>
      </c>
      <c r="V255" s="537" t="str">
        <f t="shared" si="33"/>
        <v/>
      </c>
      <c r="W255" s="520" t="str">
        <f>IF(S255="","",VLOOKUP(S255,'G-1 All Habitats'!$B$2:$M$129,10,FALSE))</f>
        <v/>
      </c>
      <c r="X255" s="520" t="str">
        <f>IFERROR(VLOOKUP(W255,'G-1 All Habitats'!$V$3:$W$7,2,FALSE),"")</f>
        <v/>
      </c>
      <c r="Y255" s="79"/>
      <c r="Z255" s="524" t="str">
        <f>IFERROR(INDEX('G-8 Condition Look up'!$A$3:$H$130,MATCH(S255,'G-8 Condition Look up'!$A$3:$A$130,0),MATCH(Y255,'G-8 Condition Look up'!$A$3:$H$3,0)),"")</f>
        <v/>
      </c>
      <c r="AA255" s="71"/>
      <c r="AB255" s="520" t="str">
        <f>IF(AA255="","",IF(VLOOKUP(AA255,'G-3 Multipliers'!$L$3:$N$6,2,FALSE)=0,"Spatial Data Missing ⚠",VLOOKUP(AA255,'G-3 Multipliers'!$L$3:$N$6,2,FALSE)))</f>
        <v/>
      </c>
      <c r="AC255" s="524" t="str">
        <f>IF(AA255="","",IF(VLOOKUP(AA255,'G-3 Multipliers'!$L$3:$N$6,3,FALSE)=0,"Spatial Data Missing ⚠",VLOOKUP(AA255,'G-3 Multipliers'!$L$3:$N$6,3,FALSE)))</f>
        <v/>
      </c>
      <c r="AD255" s="539" t="str">
        <f t="shared" si="34"/>
        <v/>
      </c>
      <c r="AE255" s="82"/>
      <c r="AF255" s="82"/>
      <c r="AG255" s="507" t="str">
        <f t="shared" si="40"/>
        <v/>
      </c>
      <c r="AH255" s="521" t="str">
        <f t="shared" si="41"/>
        <v/>
      </c>
      <c r="AI255" s="522" t="str">
        <f>IF(AH255="Check Data","Check Data",IFERROR(VLOOKUP(AH255,'G-4 Temporal multipliers'!$A$4:$C$36,3,FALSE),""))</f>
        <v/>
      </c>
      <c r="AJ255" s="498" t="str">
        <f>IF(S255="","",VLOOKUP(S255,'G-3 Multipliers'!$A$2:$E$129,4,FALSE))</f>
        <v/>
      </c>
      <c r="AK255" s="507" t="str">
        <f t="shared" si="42"/>
        <v/>
      </c>
      <c r="AL255" s="507" t="str">
        <f t="shared" si="43"/>
        <v/>
      </c>
      <c r="AM255" s="540" t="str">
        <f>IFERROR(IF(F255="","",IF(AH255="Check Data ⚠","Check Data ⚠",VLOOKUP(AL255, 'G-3 Multipliers'!$P$2:$Q$6,2,FALSE))),"")</f>
        <v/>
      </c>
      <c r="AN255" s="513" t="str">
        <f t="shared" si="35"/>
        <v/>
      </c>
      <c r="AO255" s="239"/>
      <c r="AP255" s="240"/>
    </row>
    <row r="256" spans="1:42" x14ac:dyDescent="0.3">
      <c r="A256" s="47" t="str">
        <f>IF(E256="","",IF(ISNA(VLOOKUP($E256,'A-1 Site Habitat Baseline'!$D$1:$O$258,2,FALSE)),"",(VLOOKUP($E256,'A-1 Site Habitat Baseline'!$D$1:$O$258,2,FALSE))))</f>
        <v/>
      </c>
      <c r="B256" s="47" t="str">
        <f>IF(E256="","",IF(ISNA(VLOOKUP($E256,'A-1 Site Habitat Baseline'!$D$1:$O$258,3,FALSE)),"",(VLOOKUP($E256,'A-1 Site Habitat Baseline'!$D$1:$O$258,3,FALSE))))</f>
        <v/>
      </c>
      <c r="C256" s="47" t="str">
        <f>IFERROR(INDEX('G-8 Condition Look up'!$I$4:$I$130,MATCH(S256,'G-8 Condition Look up'!$A$4:$A$130,0)),"")</f>
        <v/>
      </c>
      <c r="E256" s="531" t="str">
        <f>'A-1 Site Habitat Baseline'!AL255</f>
        <v/>
      </c>
      <c r="F256" s="520" t="str">
        <f>IF(E256="","",IF(ISNA(VLOOKUP($E256,'A-1 Site Habitat Baseline'!$D$1:$O$258,4,FALSE)),"",(VLOOKUP($E256,'A-1 Site Habitat Baseline'!$D$1:$O$258,4,FALSE))))</f>
        <v/>
      </c>
      <c r="G256" s="520" t="str">
        <f>IF(E256="","",IF(ISNA(VLOOKUP($E256,'A-1 Site Habitat Baseline'!$D$1:$O$258,5,FALSE)),"",(VLOOKUP($E256,'A-1 Site Habitat Baseline'!$D$1:$O$258,5,FALSE))))</f>
        <v/>
      </c>
      <c r="H256" s="520" t="str">
        <f>IF(E256="","",IF(ISNA(VLOOKUP($E256,'A-1 Site Habitat Baseline'!$D$1:$O$258,6,FALSE)),"",(VLOOKUP($E256,'A-1 Site Habitat Baseline'!$D$1:$O$258,6,FALSE))))</f>
        <v/>
      </c>
      <c r="I256" s="520" t="str">
        <f>IF(E256="","",IF(ISNA(VLOOKUP($E256,'A-1 Site Habitat Baseline'!$D$1:$O$258,7,FALSE)),"",(VLOOKUP($E256,'A-1 Site Habitat Baseline'!$D$1:$O$258,7,FALSE))))</f>
        <v/>
      </c>
      <c r="J256" s="520" t="str">
        <f>IF(E256="","",IF(ISNA(VLOOKUP($E256,'A-1 Site Habitat Baseline'!$D$1:$O$258,8,FALSE)),"",(VLOOKUP($E256,'A-1 Site Habitat Baseline'!$D$1:$O$258,8,FALSE))))</f>
        <v/>
      </c>
      <c r="K256" s="520" t="str">
        <f>IF(E256="","",IF(ISNA(VLOOKUP($E256,'A-1 Site Habitat Baseline'!$D$1:$O$258,9,FALSE)),"",(VLOOKUP($E256,'A-1 Site Habitat Baseline'!$D$1:$O$258,9,FALSE))))</f>
        <v/>
      </c>
      <c r="L256" s="520" t="str">
        <f>IF(E256="","",IF(ISNA(VLOOKUP($E256,'A-1 Site Habitat Baseline'!$D$1:$O$258,11,FALSE)),"",(VLOOKUP($E256,'A-1 Site Habitat Baseline'!$D$1:$O$258,11,FALSE))))</f>
        <v/>
      </c>
      <c r="M256" s="520" t="str">
        <f>IF(E256="","",IF(ISNA(VLOOKUP($E256,'A-1 Site Habitat Baseline'!$D$1:$O$258,12,FALSE)),"",(VLOOKUP($E256,'A-1 Site Habitat Baseline'!$D$1:$O$258,12,FALSE))))</f>
        <v/>
      </c>
      <c r="N256" s="532" t="str">
        <f>IF(E256="","",IF(ISNA(VLOOKUP($E256,'A-1 Site Habitat Baseline'!$D$1:$X$258,14,FALSE)),"",(VLOOKUP($E256,'A-1 Site Habitat Baseline'!$D$1:$X$258,14,FALSE))))</f>
        <v/>
      </c>
      <c r="O256" s="524" t="str">
        <f>IF(E256="","",IF(ISNA(VLOOKUP($E256,'A-1 Site Habitat Baseline'!$D$1:$X$258,16,FALSE)),"",(VLOOKUP($E256,'A-1 Site Habitat Baseline'!$D$1:$X$258,13,FALSE))))</f>
        <v/>
      </c>
      <c r="P256" s="237" t="str">
        <f>IFERROR(INDEX('G-1 All Habitats'!$AG$3:$AG$15,MATCH(Q256,'G-1 All Habitats'!$AF$3:$AF$15,0)),"")</f>
        <v/>
      </c>
      <c r="Q256" s="238" t="str">
        <f t="shared" si="36"/>
        <v/>
      </c>
      <c r="R256" s="238" t="str">
        <f t="shared" si="37"/>
        <v/>
      </c>
      <c r="S256" s="392" t="str">
        <f>IFERROR(INDEX('G-1 All Habitats'!$B$3:$B$129,MATCH(R256,'G-1 All Habitats'!$A$3:$A$129,0)),"")</f>
        <v/>
      </c>
      <c r="T256" s="498" t="str">
        <f t="shared" si="38"/>
        <v/>
      </c>
      <c r="U256" s="499" t="str">
        <f t="shared" si="39"/>
        <v/>
      </c>
      <c r="V256" s="537" t="str">
        <f t="shared" si="33"/>
        <v/>
      </c>
      <c r="W256" s="520" t="str">
        <f>IF(S256="","",VLOOKUP(S256,'G-1 All Habitats'!$B$2:$M$129,10,FALSE))</f>
        <v/>
      </c>
      <c r="X256" s="520" t="str">
        <f>IFERROR(VLOOKUP(W256,'G-1 All Habitats'!$V$3:$W$7,2,FALSE),"")</f>
        <v/>
      </c>
      <c r="Y256" s="79"/>
      <c r="Z256" s="524" t="str">
        <f>IFERROR(INDEX('G-8 Condition Look up'!$A$3:$H$130,MATCH(S256,'G-8 Condition Look up'!$A$3:$A$130,0),MATCH(Y256,'G-8 Condition Look up'!$A$3:$H$3,0)),"")</f>
        <v/>
      </c>
      <c r="AA256" s="71"/>
      <c r="AB256" s="520" t="str">
        <f>IF(AA256="","",IF(VLOOKUP(AA256,'G-3 Multipliers'!$L$3:$N$6,2,FALSE)=0,"Spatial Data Missing ⚠",VLOOKUP(AA256,'G-3 Multipliers'!$L$3:$N$6,2,FALSE)))</f>
        <v/>
      </c>
      <c r="AC256" s="524" t="str">
        <f>IF(AA256="","",IF(VLOOKUP(AA256,'G-3 Multipliers'!$L$3:$N$6,3,FALSE)=0,"Spatial Data Missing ⚠",VLOOKUP(AA256,'G-3 Multipliers'!$L$3:$N$6,3,FALSE)))</f>
        <v/>
      </c>
      <c r="AD256" s="539" t="str">
        <f t="shared" si="34"/>
        <v/>
      </c>
      <c r="AE256" s="82"/>
      <c r="AF256" s="82"/>
      <c r="AG256" s="507" t="str">
        <f t="shared" si="40"/>
        <v/>
      </c>
      <c r="AH256" s="521" t="str">
        <f t="shared" si="41"/>
        <v/>
      </c>
      <c r="AI256" s="522" t="str">
        <f>IF(AH256="Check Data","Check Data",IFERROR(VLOOKUP(AH256,'G-4 Temporal multipliers'!$A$4:$C$36,3,FALSE),""))</f>
        <v/>
      </c>
      <c r="AJ256" s="498" t="str">
        <f>IF(S256="","",VLOOKUP(S256,'G-3 Multipliers'!$A$2:$E$129,4,FALSE))</f>
        <v/>
      </c>
      <c r="AK256" s="507" t="str">
        <f t="shared" si="42"/>
        <v/>
      </c>
      <c r="AL256" s="507" t="str">
        <f t="shared" si="43"/>
        <v/>
      </c>
      <c r="AM256" s="540" t="str">
        <f>IFERROR(IF(F256="","",IF(AH256="Check Data ⚠","Check Data ⚠",VLOOKUP(AL256, 'G-3 Multipliers'!$P$2:$Q$6,2,FALSE))),"")</f>
        <v/>
      </c>
      <c r="AN256" s="513" t="str">
        <f t="shared" si="35"/>
        <v/>
      </c>
      <c r="AO256" s="239"/>
      <c r="AP256" s="240"/>
    </row>
    <row r="257" spans="1:42" ht="14.5" thickBot="1" x14ac:dyDescent="0.35">
      <c r="A257" s="47" t="str">
        <f>IF(E257="","",IF(ISNA(VLOOKUP($E257,'A-1 Site Habitat Baseline'!$D$1:$O$258,2,FALSE)),"",(VLOOKUP($E257,'A-1 Site Habitat Baseline'!$D$1:$O$258,2,FALSE))))</f>
        <v/>
      </c>
      <c r="B257" s="47" t="str">
        <f>IF(E257="","",IF(ISNA(VLOOKUP($E257,'A-1 Site Habitat Baseline'!$D$1:$O$258,3,FALSE)),"",(VLOOKUP($E257,'A-1 Site Habitat Baseline'!$D$1:$O$258,3,FALSE))))</f>
        <v/>
      </c>
      <c r="C257" s="47" t="str">
        <f>IFERROR(INDEX('G-8 Condition Look up'!$I$4:$I$130,MATCH(S257,'G-8 Condition Look up'!$A$4:$A$130,0)),"")</f>
        <v/>
      </c>
      <c r="E257" s="533" t="str">
        <f>'A-1 Site Habitat Baseline'!AL256</f>
        <v/>
      </c>
      <c r="F257" s="534" t="str">
        <f>IF(E257="","",IF(ISNA(VLOOKUP($E257,'A-1 Site Habitat Baseline'!$D$1:$O$258,4,FALSE)),"",(VLOOKUP($E257,'A-1 Site Habitat Baseline'!$D$1:$O$258,4,FALSE))))</f>
        <v/>
      </c>
      <c r="G257" s="534" t="str">
        <f>IF(E257="","",IF(ISNA(VLOOKUP($E257,'A-1 Site Habitat Baseline'!$D$1:$O$258,5,FALSE)),"",(VLOOKUP($E257,'A-1 Site Habitat Baseline'!$D$1:$O$258,5,FALSE))))</f>
        <v/>
      </c>
      <c r="H257" s="534" t="str">
        <f>IF(E257="","",IF(ISNA(VLOOKUP($E257,'A-1 Site Habitat Baseline'!$D$1:$O$258,6,FALSE)),"",(VLOOKUP($E257,'A-1 Site Habitat Baseline'!$D$1:$O$258,6,FALSE))))</f>
        <v/>
      </c>
      <c r="I257" s="534" t="str">
        <f>IF(E257="","",IF(ISNA(VLOOKUP($E257,'A-1 Site Habitat Baseline'!$D$1:$O$258,7,FALSE)),"",(VLOOKUP($E257,'A-1 Site Habitat Baseline'!$D$1:$O$258,7,FALSE))))</f>
        <v/>
      </c>
      <c r="J257" s="534" t="str">
        <f>IF(E257="","",IF(ISNA(VLOOKUP($E257,'A-1 Site Habitat Baseline'!$D$1:$O$258,8,FALSE)),"",(VLOOKUP($E257,'A-1 Site Habitat Baseline'!$D$1:$O$258,8,FALSE))))</f>
        <v/>
      </c>
      <c r="K257" s="534" t="str">
        <f>IF(E257="","",IF(ISNA(VLOOKUP($E257,'A-1 Site Habitat Baseline'!$D$1:$O$258,9,FALSE)),"",(VLOOKUP($E257,'A-1 Site Habitat Baseline'!$D$1:$O$258,9,FALSE))))</f>
        <v/>
      </c>
      <c r="L257" s="534" t="str">
        <f>IF(E257="","",IF(ISNA(VLOOKUP($E257,'A-1 Site Habitat Baseline'!$D$1:$O$258,11,FALSE)),"",(VLOOKUP($E257,'A-1 Site Habitat Baseline'!$D$1:$O$258,11,FALSE))))</f>
        <v/>
      </c>
      <c r="M257" s="534" t="str">
        <f>IF(E257="","",IF(ISNA(VLOOKUP($E257,'A-1 Site Habitat Baseline'!$D$1:$O$258,12,FALSE)),"",(VLOOKUP($E257,'A-1 Site Habitat Baseline'!$D$1:$O$258,12,FALSE))))</f>
        <v/>
      </c>
      <c r="N257" s="535" t="str">
        <f>IF(E257="","",IF(ISNA(VLOOKUP($E257,'A-1 Site Habitat Baseline'!$D$1:$X$258,14,FALSE)),"",(VLOOKUP($E257,'A-1 Site Habitat Baseline'!$D$1:$X$258,14,FALSE))))</f>
        <v/>
      </c>
      <c r="O257" s="536" t="str">
        <f>IF(E257="","",IF(ISNA(VLOOKUP($E257,'A-1 Site Habitat Baseline'!$D$1:$X$258,16,FALSE)),"",(VLOOKUP($E257,'A-1 Site Habitat Baseline'!$D$1:$X$258,13,FALSE))))</f>
        <v/>
      </c>
      <c r="P257" s="431" t="str">
        <f>IFERROR(INDEX('G-1 All Habitats'!$AG$3:$AG$15,MATCH(Q257,'G-1 All Habitats'!$AF$3:$AF$15,0)),"")</f>
        <v/>
      </c>
      <c r="Q257" s="432" t="str">
        <f t="shared" si="36"/>
        <v/>
      </c>
      <c r="R257" s="238" t="str">
        <f t="shared" si="37"/>
        <v/>
      </c>
      <c r="S257" s="433" t="str">
        <f>IFERROR(INDEX('G-1 All Habitats'!$B$3:$B$129,MATCH(R257,'G-1 All Habitats'!$A$3:$A$129,0)),"")</f>
        <v/>
      </c>
      <c r="T257" s="498" t="str">
        <f>IF(E257="","",IF(AND(LEFT(O257,6)="Same d",I257&gt;X257),"Error - Trading rules not satisfied ▲",IF(AND(LEFT(O257,6)="Same b",AND(LEFT(F257,5)&lt;&gt;LEFT(S257,5),I257&gt;X257)),"Error - Trading rules not satisfied ▲",IF(AND(LEFT(O257,6)="Same h",F257&lt;&gt;S257),"Error - Trading rules not satisfied ▲",IF(AND(LEFT(O257,6)="Bespok",F257&lt;&gt;S257),"Error - Trading rules not satisfied ▲",IF(X257&lt;I257,"Error Trading Down ▲",H257&amp;" - "&amp;W257))))))</f>
        <v/>
      </c>
      <c r="U257" s="499" t="str">
        <f t="shared" si="39"/>
        <v/>
      </c>
      <c r="V257" s="538" t="str">
        <f t="shared" si="33"/>
        <v/>
      </c>
      <c r="W257" s="534" t="str">
        <f>IF(S257="","",VLOOKUP(S257,'G-1 All Habitats'!$B$2:$M$129,10,FALSE))</f>
        <v/>
      </c>
      <c r="X257" s="534" t="str">
        <f>IFERROR(VLOOKUP(W257,'G-1 All Habitats'!$V$3:$W$7,2,FALSE),"")</f>
        <v/>
      </c>
      <c r="Y257" s="341"/>
      <c r="Z257" s="536" t="str">
        <f>IFERROR(INDEX('G-8 Condition Look up'!$A$3:$H$130,MATCH(S257,'G-8 Condition Look up'!$A$3:$A$130,0),MATCH(Y257,'G-8 Condition Look up'!$A$3:$H$3,0)),"")</f>
        <v/>
      </c>
      <c r="AA257" s="434"/>
      <c r="AB257" s="520" t="str">
        <f>IF(AA257="","",IF(VLOOKUP(AA257,'G-3 Multipliers'!$L$3:$N$6,2,FALSE)=0,"Spatial Data Missing ⚠",VLOOKUP(AA257,'G-3 Multipliers'!$L$3:$N$6,2,FALSE)))</f>
        <v/>
      </c>
      <c r="AC257" s="536" t="str">
        <f>IF(AA257="","",IF(VLOOKUP(AA257,'G-3 Multipliers'!$L$3:$N$6,3,FALSE)=0,"Spatial Data Missing ⚠",VLOOKUP(AA257,'G-3 Multipliers'!$L$3:$N$6,3,FALSE)))</f>
        <v/>
      </c>
      <c r="AD257" s="539" t="str">
        <f t="shared" si="34"/>
        <v/>
      </c>
      <c r="AE257" s="341"/>
      <c r="AF257" s="341"/>
      <c r="AG257" s="507" t="str">
        <f t="shared" si="40"/>
        <v/>
      </c>
      <c r="AH257" s="521" t="str">
        <f t="shared" si="41"/>
        <v/>
      </c>
      <c r="AI257" s="541" t="str">
        <f>IF(AH257="Check Data","Check Data",IFERROR(VLOOKUP(AH257,'G-4 Temporal multipliers'!$A$4:$C$36,3,FALSE),""))</f>
        <v/>
      </c>
      <c r="AJ257" s="538" t="str">
        <f>IF(S257="","",VLOOKUP(S257,'G-3 Multipliers'!$A$2:$E$129,4,FALSE))</f>
        <v/>
      </c>
      <c r="AK257" s="507" t="str">
        <f t="shared" si="42"/>
        <v/>
      </c>
      <c r="AL257" s="507" t="str">
        <f t="shared" si="43"/>
        <v/>
      </c>
      <c r="AM257" s="540" t="str">
        <f>IFERROR(IF(F257="","",IF(AH257="Check Data ⚠","Check Data ⚠",VLOOKUP(AL257, 'G-3 Multipliers'!$P$2:$Q$6,2,FALSE))),"")</f>
        <v/>
      </c>
      <c r="AN257" s="542" t="str">
        <f t="shared" si="35"/>
        <v/>
      </c>
      <c r="AO257" s="429"/>
      <c r="AP257" s="435"/>
    </row>
    <row r="258" spans="1:42" ht="14.5" thickBot="1" x14ac:dyDescent="0.35">
      <c r="E258" s="430"/>
      <c r="F258" s="430"/>
      <c r="G258" s="430"/>
      <c r="H258" s="430"/>
      <c r="I258" s="430"/>
      <c r="J258" s="430"/>
      <c r="K258" s="430"/>
      <c r="L258" s="430"/>
      <c r="M258" s="430"/>
      <c r="N258" s="430"/>
      <c r="O258" s="430"/>
      <c r="P258" s="430"/>
      <c r="Q258" s="430"/>
      <c r="R258" s="430"/>
      <c r="S258" s="430"/>
      <c r="T258" s="430"/>
      <c r="U258" s="277"/>
      <c r="V258" s="503" t="e">
        <f>SUM(V12:V257)</f>
        <v>#N/A</v>
      </c>
      <c r="W258" s="430"/>
      <c r="X258" s="430"/>
      <c r="Y258" s="430"/>
      <c r="Z258" s="430"/>
      <c r="AA258" s="430"/>
      <c r="AB258" s="430"/>
      <c r="AC258" s="430"/>
      <c r="AD258" s="430"/>
      <c r="AE258" s="430"/>
      <c r="AF258" s="430"/>
      <c r="AG258" s="430"/>
      <c r="AH258" s="430"/>
      <c r="AI258" s="430"/>
      <c r="AJ258" s="430"/>
      <c r="AK258" s="430"/>
      <c r="AL258" s="430"/>
      <c r="AM258" s="277"/>
      <c r="AN258" s="503">
        <f>(SUM(AN12:AN257))</f>
        <v>0</v>
      </c>
      <c r="AO258" s="430"/>
      <c r="AP258" s="430"/>
    </row>
    <row r="259" spans="1:42" ht="18" x14ac:dyDescent="0.4">
      <c r="V259" s="922" t="e">
        <f>IF(V258&lt;&gt;'A-1 Site Habitat Baseline'!T259,"Error - Area of habitat enhancement must match the area from sheet A1 ▲","")</f>
        <v>#N/A</v>
      </c>
      <c r="W259" s="922"/>
      <c r="X259" s="922"/>
      <c r="Y259" s="922"/>
      <c r="Z259" s="922"/>
      <c r="AA259" s="922"/>
    </row>
    <row r="260" spans="1:42" x14ac:dyDescent="0.3"/>
    <row r="261" spans="1:42" x14ac:dyDescent="0.3"/>
    <row r="262" spans="1:42" x14ac:dyDescent="0.3"/>
    <row r="263" spans="1:42" x14ac:dyDescent="0.3"/>
    <row r="264" spans="1:42" x14ac:dyDescent="0.3"/>
    <row r="265" spans="1:42" x14ac:dyDescent="0.3"/>
    <row r="266" spans="1:42" x14ac:dyDescent="0.3"/>
  </sheetData>
  <sheetProtection algorithmName="SHA-512" hashValue="qdKEl0WQgmHHTfjygEoSn+VrYjmto566Grhl0jMM7h5XKnAR+mJ3HWCAuQl/5Wjx9gCNOWFxFJc+SqwJ/42cDg==" saltValue="PPSTPbbFmWwW8fSoUhSrZA==" spinCount="100000" sheet="1" objects="1" scenarios="1"/>
  <customSheetViews>
    <customSheetView guid="{8BDA793C-C9C5-4FC6-A0A5-F1109F6D4F22}" topLeftCell="D1">
      <pane ySplit="11" topLeftCell="A12" activePane="bottomLeft" state="frozen"/>
      <selection pane="bottomLeft"/>
    </customSheetView>
  </customSheetViews>
  <mergeCells count="19">
    <mergeCell ref="AO10:AP10"/>
    <mergeCell ref="F10:O10"/>
    <mergeCell ref="AA10:AC10"/>
    <mergeCell ref="V10:V11"/>
    <mergeCell ref="AN10:AN11"/>
    <mergeCell ref="Z10:Z11"/>
    <mergeCell ref="Y10:Y11"/>
    <mergeCell ref="X10:X11"/>
    <mergeCell ref="W10:W11"/>
    <mergeCell ref="AD10:AI10"/>
    <mergeCell ref="V259:AA259"/>
    <mergeCell ref="Q9:AM9"/>
    <mergeCell ref="AJ10:AM10"/>
    <mergeCell ref="E2:G2"/>
    <mergeCell ref="E3:G4"/>
    <mergeCell ref="Q10:R10"/>
    <mergeCell ref="T10:U10"/>
    <mergeCell ref="AD5:AI6"/>
    <mergeCell ref="AD2:AI3"/>
  </mergeCells>
  <conditionalFormatting sqref="Z12">
    <cfRule type="cellIs" dxfId="247" priority="32" operator="equal">
      <formula>"Not Possible"</formula>
    </cfRule>
  </conditionalFormatting>
  <conditionalFormatting sqref="Z13:Z257">
    <cfRule type="cellIs" dxfId="246" priority="25" operator="equal">
      <formula>"Not Possible"</formula>
    </cfRule>
  </conditionalFormatting>
  <conditionalFormatting sqref="AN12:AN257">
    <cfRule type="containsText" dxfId="245" priority="23" operator="containsText" text="Existing Value Not Required">
      <formula>NOT(ISERROR(SEARCH("Existing Value Not Required",AN12)))</formula>
    </cfRule>
    <cfRule type="containsText" dxfId="244" priority="24" operator="containsText" text="Existing Value Required">
      <formula>NOT(ISERROR(SEARCH("Existing Value Required",AN12)))</formula>
    </cfRule>
  </conditionalFormatting>
  <conditionalFormatting sqref="AN256:AN257">
    <cfRule type="containsText" dxfId="243" priority="21" operator="containsText" text="Existing Value Not Required">
      <formula>NOT(ISERROR(SEARCH("Existing Value Not Required",AN256)))</formula>
    </cfRule>
    <cfRule type="containsText" dxfId="242" priority="22" operator="containsText" text="Existing Value Required">
      <formula>NOT(ISERROR(SEARCH("Existing Value Required",AN256)))</formula>
    </cfRule>
  </conditionalFormatting>
  <conditionalFormatting sqref="AD2">
    <cfRule type="containsText" dxfId="241" priority="20" operator="containsText" text="Note">
      <formula>NOT(ISERROR(SEARCH("Note",AD2)))</formula>
    </cfRule>
  </conditionalFormatting>
  <conditionalFormatting sqref="T12:T257">
    <cfRule type="containsText" dxfId="240" priority="19" operator="containsText" text="Error">
      <formula>NOT(ISERROR(SEARCH("Error",T12)))</formula>
    </cfRule>
  </conditionalFormatting>
  <conditionalFormatting sqref="U12:U258">
    <cfRule type="containsText" dxfId="239" priority="18" operator="containsText" text="Error">
      <formula>NOT(ISERROR(SEARCH("Error",U12)))</formula>
    </cfRule>
  </conditionalFormatting>
  <conditionalFormatting sqref="AB12:AB257">
    <cfRule type="containsText" dxfId="238" priority="17" operator="containsText" text="Spatial">
      <formula>NOT(ISERROR(SEARCH("Spatial",AB12)))</formula>
    </cfRule>
  </conditionalFormatting>
  <conditionalFormatting sqref="AC12:AC257">
    <cfRule type="containsText" dxfId="237" priority="16" operator="containsText" text="Spatial">
      <formula>NOT(ISERROR(SEARCH("Spatial",AC12)))</formula>
    </cfRule>
  </conditionalFormatting>
  <conditionalFormatting sqref="AD12:AD257">
    <cfRule type="containsText" dxfId="236" priority="15" operator="containsText" text="Check Data">
      <formula>NOT(ISERROR(SEARCH("Check Data",AD12)))</formula>
    </cfRule>
  </conditionalFormatting>
  <conditionalFormatting sqref="AG12:AG257">
    <cfRule type="containsText" dxfId="235" priority="13" operator="containsText" text="Error">
      <formula>NOT(ISERROR(SEARCH("Error",AG12)))</formula>
    </cfRule>
    <cfRule type="containsText" dxfId="234" priority="14" operator="containsText" text="Check">
      <formula>NOT(ISERROR(SEARCH("Check",AG12)))</formula>
    </cfRule>
  </conditionalFormatting>
  <conditionalFormatting sqref="AH12:AH257">
    <cfRule type="containsText" dxfId="233" priority="11" operator="containsText" text="Check Data ⚠">
      <formula>NOT(ISERROR(SEARCH("Check Data ⚠",AH12)))</formula>
    </cfRule>
    <cfRule type="containsText" dxfId="232" priority="12" operator="containsText" text="Error ▲">
      <formula>NOT(ISERROR(SEARCH("Error ▲",AH12)))</formula>
    </cfRule>
  </conditionalFormatting>
  <conditionalFormatting sqref="AI12:AI257">
    <cfRule type="containsText" dxfId="231" priority="9" operator="containsText" text="Check Data ⚠">
      <formula>NOT(ISERROR(SEARCH("Check Data ⚠",AI12)))</formula>
    </cfRule>
  </conditionalFormatting>
  <conditionalFormatting sqref="AK12:AK257">
    <cfRule type="containsText" dxfId="230" priority="8" operator="containsText" text="No - Low Difficulty - only applicable if all habitat created before losses ⚠">
      <formula>NOT(ISERROR(SEARCH("No - Low Difficulty - only applicable if all habitat created before losses ⚠",AK12)))</formula>
    </cfRule>
  </conditionalFormatting>
  <conditionalFormatting sqref="AM12:AM258">
    <cfRule type="containsText" dxfId="229" priority="7" operator="containsText" text="Check Data ⚠">
      <formula>NOT(ISERROR(SEARCH("Check Data ⚠",AM12)))</formula>
    </cfRule>
  </conditionalFormatting>
  <conditionalFormatting sqref="O12:O257">
    <cfRule type="beginsWith" dxfId="228" priority="3" operator="beginsWith" text="Bespoke">
      <formula>LEFT(O12,LEN("Bespoke"))="Bespoke"</formula>
    </cfRule>
    <cfRule type="beginsWith" dxfId="227" priority="4" operator="beginsWith" text="Same distinctiveness">
      <formula>LEFT(O12,LEN("Same distinctiveness"))="Same distinctiveness"</formula>
    </cfRule>
    <cfRule type="beginsWith" dxfId="226" priority="5" operator="beginsWith" text="Same broad">
      <formula>LEFT(O12,LEN("Same broad"))="Same broad"</formula>
    </cfRule>
    <cfRule type="beginsWith" dxfId="225" priority="6" operator="beginsWith" text="Same Habitat">
      <formula>LEFT(O12,LEN("Same Habitat"))="Same Habitat"</formula>
    </cfRule>
  </conditionalFormatting>
  <conditionalFormatting sqref="V259:AA259">
    <cfRule type="containsText" dxfId="224" priority="2" operator="containsText" text="Error">
      <formula>NOT(ISERROR(SEARCH("Error",V259)))</formula>
    </cfRule>
  </conditionalFormatting>
  <conditionalFormatting sqref="AD5">
    <cfRule type="containsText" dxfId="223" priority="1" operator="containsText" text="Change">
      <formula>NOT(ISERROR(SEARCH("Change",AD5)))</formula>
    </cfRule>
  </conditionalFormatting>
  <dataValidations count="3">
    <dataValidation allowBlank="1" showErrorMessage="1" errorTitle="Invalid Habitat" error="Select from List" sqref="S12:S257" xr:uid="{00000000-0002-0000-0D00-000001000000}"/>
    <dataValidation type="list" allowBlank="1" showInputMessage="1" showErrorMessage="1" sqref="Y12:Y257" xr:uid="{00000000-0002-0000-0D00-000002000000}">
      <formula1>INDIRECT(C12)</formula1>
    </dataValidation>
    <dataValidation type="list" allowBlank="1" showInputMessage="1" showErrorMessage="1" sqref="R12:R257" xr:uid="{4E63D83B-2213-4261-A0F6-5924AE99B179}">
      <formula1>INDIRECT(P12)</formula1>
    </dataValidation>
  </dataValidations>
  <pageMargins left="0.7" right="0.7" top="0.75" bottom="0.75" header="0.3" footer="0.3"/>
  <pageSetup paperSize="9" orientation="portrait" horizontalDpi="90" verticalDpi="90" r:id="rId1"/>
  <ignoredErrors>
    <ignoredError sqref="V258" unlockedFormula="1"/>
  </ignoredErrors>
  <drawing r:id="rId2"/>
  <extLst>
    <ext xmlns:x14="http://schemas.microsoft.com/office/spreadsheetml/2009/9/main" uri="{78C0D931-6437-407d-A8EE-F0AAD7539E65}">
      <x14:conditionalFormattings>
        <x14:conditionalFormatting xmlns:xm="http://schemas.microsoft.com/office/excel/2006/main">
          <x14:cfRule type="iconSet" priority="10" id="{00000000-000E-0000-0A00-00000A000000}">
            <x14:iconSet iconSet="3Symbols" custom="1">
              <x14:cfvo type="percent">
                <xm:f>0</xm:f>
              </x14:cfvo>
              <x14:cfvo type="num">
                <xm:f>0</xm:f>
              </x14:cfvo>
              <x14:cfvo type="num" gte="0">
                <xm:f>30</xm:f>
              </x14:cfvo>
              <x14:cfIcon iconSet="NoIcons" iconId="0"/>
              <x14:cfIcon iconSet="NoIcons" iconId="0"/>
              <x14:cfIcon iconSet="3Symbols" iconId="1"/>
            </x14:iconSet>
          </x14:cfRule>
          <xm:sqref>AH12:AH257</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D00-000003000000}">
          <x14:formula1>
            <xm:f>'G-3 Multipliers'!$L$4:$L$6</xm:f>
          </x14:formula1>
          <xm:sqref>AA12:AA257</xm:sqref>
        </x14:dataValidation>
        <x14:dataValidation type="list" allowBlank="1" showInputMessage="1" showErrorMessage="1" xr:uid="{00000000-0002-0000-0D00-000004000000}">
          <x14:formula1>
            <xm:f>'G-4 Temporal multipliers'!$A$41:$A$72</xm:f>
          </x14:formula1>
          <xm:sqref>AE12:AF257</xm:sqref>
        </x14:dataValidation>
        <x14:dataValidation type="list" allowBlank="1" showInputMessage="1" showErrorMessage="1" xr:uid="{00000000-0002-0000-0D00-000005000000}">
          <x14:formula1>
            <xm:f>'G-1 All Habitats'!$AF$3:$AF$15</xm:f>
          </x14:formula1>
          <xm:sqref>Q12:Q257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4">
    <tabColor rgb="FF006600"/>
  </sheetPr>
  <dimension ref="A1:AQ271"/>
  <sheetViews>
    <sheetView topLeftCell="D1" workbookViewId="0"/>
  </sheetViews>
  <sheetFormatPr defaultColWidth="0" defaultRowHeight="14" zeroHeight="1" x14ac:dyDescent="0.3"/>
  <cols>
    <col min="1" max="1" width="3.7265625" style="31" hidden="1" customWidth="1"/>
    <col min="2" max="2" width="24.453125" style="31" hidden="1" customWidth="1"/>
    <col min="3" max="3" width="39.26953125" style="31" hidden="1" customWidth="1"/>
    <col min="4" max="4" width="10.453125" style="31" customWidth="1"/>
    <col min="5" max="5" width="22.1796875" style="31" customWidth="1"/>
    <col min="6" max="6" width="70.1796875" style="31" customWidth="1"/>
    <col min="7" max="7" width="76.81640625" style="31" hidden="1" customWidth="1"/>
    <col min="8" max="8" width="12.1796875" style="31" customWidth="1"/>
    <col min="9" max="9" width="17.7265625" style="31" customWidth="1"/>
    <col min="10" max="10" width="7.81640625" style="31" hidden="1" customWidth="1"/>
    <col min="11" max="11" width="14.26953125" style="31" customWidth="1"/>
    <col min="12" max="12" width="9.7265625" style="31" hidden="1" customWidth="1"/>
    <col min="13" max="13" width="41.7265625" style="31" customWidth="1"/>
    <col min="14" max="14" width="20.453125" style="31" hidden="1" customWidth="1"/>
    <col min="15" max="15" width="13.1796875" style="31" hidden="1" customWidth="1"/>
    <col min="16" max="16" width="30.453125" style="31" customWidth="1"/>
    <col min="17" max="17" width="13.453125" style="31" customWidth="1"/>
    <col min="18" max="18" width="3.7265625" style="31" customWidth="1"/>
    <col min="19" max="19" width="11.54296875" style="31" customWidth="1"/>
    <col min="20" max="20" width="12.1796875" style="31" customWidth="1"/>
    <col min="21" max="21" width="10.1796875" style="31" customWidth="1"/>
    <col min="22" max="22" width="13" style="31" customWidth="1"/>
    <col min="23" max="23" width="13.1796875" style="31" customWidth="1"/>
    <col min="24" max="24" width="15.54296875" style="31" customWidth="1"/>
    <col min="25" max="25" width="16.81640625" style="31" customWidth="1"/>
    <col min="26" max="27" width="50.1796875" style="31" customWidth="1"/>
    <col min="28" max="28" width="8.81640625" style="31" customWidth="1"/>
    <col min="29" max="31" width="8.81640625" style="31" hidden="1" customWidth="1"/>
    <col min="32" max="32" width="14.26953125" style="31" hidden="1" customWidth="1"/>
    <col min="33" max="16384" width="8.81640625" style="31" hidden="1"/>
  </cols>
  <sheetData>
    <row r="1" spans="1:43" ht="12.75" customHeight="1" thickBot="1" x14ac:dyDescent="0.35"/>
    <row r="2" spans="1:43" ht="19.5" customHeight="1" thickBot="1" x14ac:dyDescent="0.35">
      <c r="D2" s="947" t="str">
        <f>IF(Start!F12="","",Start!F12)</f>
        <v>NCP Car Park, Bath Road, West Drayton, Greater London</v>
      </c>
      <c r="E2" s="948"/>
      <c r="F2" s="949"/>
    </row>
    <row r="3" spans="1:43" ht="15" customHeight="1" x14ac:dyDescent="0.3">
      <c r="D3" s="941" t="str">
        <f ca="1">MID(CELL("filename",C1),FIND("]",CELL("filename",C1))+1,256)</f>
        <v>D-1 Off Site Habitat Baseline</v>
      </c>
      <c r="E3" s="942"/>
      <c r="F3" s="943"/>
    </row>
    <row r="4" spans="1:43" ht="19.899999999999999" customHeight="1" thickBot="1" x14ac:dyDescent="0.35">
      <c r="D4" s="944"/>
      <c r="E4" s="945"/>
      <c r="F4" s="946"/>
    </row>
    <row r="5" spans="1:43" ht="24" customHeight="1" x14ac:dyDescent="0.3"/>
    <row r="6" spans="1:43" ht="15.75" customHeight="1" x14ac:dyDescent="0.3"/>
    <row r="7" spans="1:43" ht="16.149999999999999" customHeight="1" x14ac:dyDescent="0.3">
      <c r="D7" s="132"/>
      <c r="E7" s="132"/>
      <c r="F7" s="132"/>
      <c r="M7" s="131"/>
    </row>
    <row r="8" spans="1:43" ht="22.9" customHeight="1" thickBot="1" x14ac:dyDescent="0.35">
      <c r="D8" s="132"/>
      <c r="E8" s="132"/>
      <c r="F8" s="132"/>
    </row>
    <row r="9" spans="1:43" s="42" customFormat="1" ht="30" customHeight="1" thickBot="1" x14ac:dyDescent="0.35">
      <c r="D9" s="247"/>
      <c r="E9" s="939" t="s">
        <v>188</v>
      </c>
      <c r="F9" s="939"/>
      <c r="G9" s="939"/>
      <c r="H9" s="939"/>
      <c r="I9" s="939" t="s">
        <v>272</v>
      </c>
      <c r="J9" s="939"/>
      <c r="K9" s="939" t="s">
        <v>273</v>
      </c>
      <c r="L9" s="939"/>
      <c r="M9" s="939" t="s">
        <v>191</v>
      </c>
      <c r="N9" s="939"/>
      <c r="O9" s="939"/>
      <c r="P9" s="939" t="s">
        <v>192</v>
      </c>
      <c r="Q9" s="133" t="s">
        <v>193</v>
      </c>
      <c r="R9" s="138"/>
      <c r="S9" s="939" t="s">
        <v>194</v>
      </c>
      <c r="T9" s="939"/>
      <c r="U9" s="939"/>
      <c r="V9" s="939"/>
      <c r="W9" s="939"/>
      <c r="X9" s="939"/>
      <c r="Y9" s="939" t="s">
        <v>195</v>
      </c>
      <c r="Z9" s="939" t="s">
        <v>196</v>
      </c>
      <c r="AA9" s="939"/>
      <c r="AC9" s="42" t="s">
        <v>187</v>
      </c>
      <c r="AD9" s="42" t="s">
        <v>187</v>
      </c>
      <c r="AF9" s="248" t="s">
        <v>197</v>
      </c>
      <c r="AG9" s="248"/>
      <c r="AH9" s="248"/>
      <c r="AI9" s="248"/>
      <c r="AJ9" s="248"/>
      <c r="AK9" s="248" t="s">
        <v>198</v>
      </c>
      <c r="AL9" s="156"/>
      <c r="AM9" s="156"/>
      <c r="AN9" s="156"/>
    </row>
    <row r="10" spans="1:43" ht="57" customHeight="1" thickBot="1" x14ac:dyDescent="0.35">
      <c r="B10" s="131" t="s">
        <v>200</v>
      </c>
      <c r="D10" s="135" t="s">
        <v>254</v>
      </c>
      <c r="E10" s="136" t="s">
        <v>274</v>
      </c>
      <c r="F10" s="136" t="s">
        <v>275</v>
      </c>
      <c r="G10" s="136" t="s">
        <v>204</v>
      </c>
      <c r="H10" s="137" t="s">
        <v>205</v>
      </c>
      <c r="I10" s="135" t="s">
        <v>189</v>
      </c>
      <c r="J10" s="137" t="s">
        <v>206</v>
      </c>
      <c r="K10" s="135" t="s">
        <v>190</v>
      </c>
      <c r="L10" s="137" t="s">
        <v>206</v>
      </c>
      <c r="M10" s="135" t="s">
        <v>191</v>
      </c>
      <c r="N10" s="136" t="s">
        <v>191</v>
      </c>
      <c r="O10" s="137" t="s">
        <v>231</v>
      </c>
      <c r="P10" s="940"/>
      <c r="Q10" s="167" t="s">
        <v>208</v>
      </c>
      <c r="R10" s="138"/>
      <c r="S10" s="135" t="s">
        <v>209</v>
      </c>
      <c r="T10" s="136" t="s">
        <v>210</v>
      </c>
      <c r="U10" s="136" t="s">
        <v>211</v>
      </c>
      <c r="V10" s="136" t="s">
        <v>212</v>
      </c>
      <c r="W10" s="136" t="s">
        <v>276</v>
      </c>
      <c r="X10" s="137" t="s">
        <v>214</v>
      </c>
      <c r="Y10" s="940"/>
      <c r="Z10" s="135" t="s">
        <v>215</v>
      </c>
      <c r="AA10" s="370" t="s">
        <v>216</v>
      </c>
      <c r="AC10" s="249" t="s">
        <v>217</v>
      </c>
      <c r="AD10" s="249" t="s">
        <v>277</v>
      </c>
      <c r="AE10" s="42"/>
      <c r="AF10" s="156" t="s">
        <v>219</v>
      </c>
      <c r="AG10" s="156" t="s">
        <v>220</v>
      </c>
      <c r="AH10" s="156" t="s">
        <v>221</v>
      </c>
      <c r="AI10" s="156" t="s">
        <v>222</v>
      </c>
      <c r="AJ10" s="156"/>
      <c r="AK10" s="156" t="s">
        <v>219</v>
      </c>
      <c r="AL10" s="156" t="s">
        <v>220</v>
      </c>
      <c r="AM10" s="156" t="s">
        <v>221</v>
      </c>
      <c r="AN10" s="156"/>
      <c r="AQ10" s="31" t="s">
        <v>199</v>
      </c>
    </row>
    <row r="11" spans="1:43" x14ac:dyDescent="0.3">
      <c r="A11" s="31" t="str">
        <f>IFERROR(INDEX('G-1 All Habitats'!$AG$3:$AG$15,MATCH(E11,'G-1 All Habitats'!$AF$3:$AF$15,0)),"")</f>
        <v/>
      </c>
      <c r="B11" s="31" t="str">
        <f>IFERROR(INDEX('G-8 Condition Look up'!$I$4:$I$130,MATCH(G11,'G-8 Condition Look up'!$A$4:$A$130,0)),"")</f>
        <v/>
      </c>
      <c r="D11" s="368">
        <v>1</v>
      </c>
      <c r="E11" s="377"/>
      <c r="F11" s="377"/>
      <c r="G11" s="378" t="str">
        <f>IFERROR(INDEX('G-1 All Habitats'!$B$3:$B$129,MATCH(F11,'G-1 All Habitats'!$A$3:$A$129,0)),"")</f>
        <v/>
      </c>
      <c r="H11" s="172"/>
      <c r="I11" s="498" t="str">
        <f>IF(G11="","",VLOOKUP(G11,'G-1 All Habitats'!$B$2:$M$129,10,FALSE))</f>
        <v/>
      </c>
      <c r="J11" s="499" t="str">
        <f>IFERROR(VLOOKUP(I11,'G-1 All Habitats'!$V$3:$W$7,2,FALSE),"")</f>
        <v/>
      </c>
      <c r="K11" s="145"/>
      <c r="L11" s="499" t="str">
        <f>IFERROR(INDEX('G-8 Condition Look up'!$A$3:$H$130,MATCH(G11,'G-8 Condition Look up'!$A$3:$A$130,0),MATCH(K11,'G-8 Condition Look up'!$A$3:$H$3,0)),"")</f>
        <v/>
      </c>
      <c r="M11" s="154"/>
      <c r="N11" s="520" t="str">
        <f>IF(M11="","",IF(VLOOKUP(M11,'G-3 Multipliers'!$L$3:$N$6,2,FALSE)=0,"Spatial Data Missing ⚠",VLOOKUP(M11,'G-3 Multipliers'!$L$3:$N$6,2,FALSE)))</f>
        <v/>
      </c>
      <c r="O11" s="524" t="str">
        <f>IF(M11="","",IF(VLOOKUP(M11,'G-3 Multipliers'!$L$3:$N$6,3,FALSE)=0,"Spatial Data Missing ⚠",VLOOKUP(M11,'G-3 Multipliers'!$L$3:$N$6,3,FALSE)))</f>
        <v/>
      </c>
      <c r="P11" s="506" t="str">
        <f>IFERROR(VLOOKUP(G11,'G-1 All Habitats'!$B$2:$M$129,12,FALSE),"")</f>
        <v/>
      </c>
      <c r="Q11" s="513" t="str">
        <f>IFERROR(IF(P11="","",IF(AND(P11='G-1 All Habitats'!$X$3,T11&gt;0),U11+V11,IF(AND(P11='G-1 All Habitats'!$X$3,S11&gt;0),U11+V11,IF(AND(P11='G-1 All Habitats'!$X$3,AC11&gt;0),"Any Loss Unacceptable",IF(AND(P11='G-1 All Habitats'!$X$3,W11&gt;0),"Any Loss Unacceptable",H11*J11*L11*O11))))),"Check Data ⚠")</f>
        <v/>
      </c>
      <c r="R11" s="50"/>
      <c r="S11" s="71"/>
      <c r="T11" s="72"/>
      <c r="U11" s="511" t="str">
        <f>IFERROR(S11*J11*L11*O11,"")</f>
        <v/>
      </c>
      <c r="V11" s="511" t="str">
        <f>IFERROR(T11*J11*L11*O11,"")</f>
        <v/>
      </c>
      <c r="W11" s="511" t="str">
        <f>IF(E11="","",IF(H11&lt;S11+T11,"Error in Areas ▲",IF(P11&lt;&gt;'G-1 All Habitats'!$X$3,H11-S11-T11,IF(AND(P11='G-1 All Habitats'!$X$3,Y11="Yes"),"Unacceptable Loss ▲",IF(AND(P11='G-1 All Habitats'!$X$3,Y11="No"),AC11,IF(AND(P11='G-1 All Habitats'!$X$3,Y11=""),AC11,IF(AND(P11='G-1 All Habitats'!$X$3,AC11="None",AC11),IF(AND(P11='G-1 All Habitats'!$X$3,AC11&gt;0),H11-S11-T11))))))))</f>
        <v/>
      </c>
      <c r="X11" s="545" t="str">
        <f>IFERROR(IF(H11="","",IF(H11-S11-T11=0&lt;0,"Error in Areas ▲",IF(S11+T11&gt;H11,"Error in Areas ▲",IF(AND(P11='G-1 All Habitats'!$X$3,Y11="Yes"),"Alternative Compensation",IF(W11=0,0,IF(P11='G-1 All Habitats'!$X$3,"Unacceptable Loss",Q11-U11-V11)))))),"Check Data ⚠")</f>
        <v/>
      </c>
      <c r="Y11" s="72"/>
      <c r="Z11" s="149"/>
      <c r="AA11" s="150"/>
      <c r="AC11" s="251" t="str">
        <f>IF(P11="","",IF(P11='G-1 All Habitats'!$X$3,H11-S11-T11,"None"))</f>
        <v/>
      </c>
      <c r="AD11" s="252" t="str">
        <f>IFERROR(AC11*J11*L11*O11,IF(P11="","","None"))</f>
        <v/>
      </c>
      <c r="AF11" s="156" t="str">
        <f t="shared" ref="AF11:AF74" si="0">IF(G11="","",IF(S11&gt;0,TRUE,FALSE))</f>
        <v/>
      </c>
      <c r="AG11" s="156" t="str">
        <f t="shared" ref="AG11:AG74" si="1">IF(H11="","",IF(T11&gt;0,TRUE,FALSE))</f>
        <v/>
      </c>
      <c r="AH11" s="156" t="str">
        <f>IF(I11="","",IF(#REF!&gt;0,TRUE,FALSE))</f>
        <v/>
      </c>
      <c r="AI11" s="156">
        <v>1</v>
      </c>
      <c r="AJ11" s="156"/>
      <c r="AK11" s="156" t="str">
        <f t="array" ref="AK11">IFERROR(INDEX($AI$11:$AI$259, MATCH(0, IF(TRUE=$AF$11:$AF$259, COUNTIF($AK$10:$AK10, $AI$11:$AI$259), ""), 0)),"")</f>
        <v/>
      </c>
      <c r="AL11" s="156" t="str">
        <f t="array" ref="AL11">IFERROR(INDEX($AI$11:$AI$259, MATCH(0, IF(TRUE=$AG$11:$AG$259, COUNTIF($AL$10:$AL10, $AI$11:$AI$259), ""), 0)),"")</f>
        <v/>
      </c>
      <c r="AM11" s="156" t="str">
        <f t="array" ref="AM11">IFERROR(INDEX($AI$11:$AI$259, MATCH(0, IF(TRUE=$AH$11:$AH$259, COUNTIF($AM$10:$AM10, $AI$11:$AI$259), ""), 0)),"")</f>
        <v/>
      </c>
      <c r="AQ11" s="31">
        <f>IF(X11="Unacceptable Loss",1,0)</f>
        <v>0</v>
      </c>
    </row>
    <row r="12" spans="1:43" x14ac:dyDescent="0.3">
      <c r="A12" s="31" t="str">
        <f>IFERROR(INDEX('G-1 All Habitats'!$AG$3:$AG$15,MATCH(E12,'G-1 All Habitats'!$AF$3:$AF$15,0)),"")</f>
        <v/>
      </c>
      <c r="B12" s="31" t="str">
        <f>IFERROR(INDEX('G-8 Condition Look up'!$I$4:$I$130,MATCH(G12,'G-8 Condition Look up'!$A$4:$A$130,0)),"")</f>
        <v/>
      </c>
      <c r="D12" s="141">
        <v>2</v>
      </c>
      <c r="E12" s="203"/>
      <c r="F12" s="203"/>
      <c r="G12" s="250" t="str">
        <f>IFERROR(INDEX('G-1 All Habitats'!$B$3:$B$129,MATCH(F12,'G-1 All Habitats'!$A$3:$A$129,0)),"")</f>
        <v/>
      </c>
      <c r="H12" s="172"/>
      <c r="I12" s="498" t="str">
        <f>IF(G12="","",VLOOKUP(G12,'G-1 All Habitats'!$B$2:$M$129,10,FALSE))</f>
        <v/>
      </c>
      <c r="J12" s="499" t="str">
        <f>IFERROR(VLOOKUP(I12,'G-1 All Habitats'!$V$3:$W$7,2,FALSE),"")</f>
        <v/>
      </c>
      <c r="K12" s="145"/>
      <c r="L12" s="499" t="str">
        <f>IFERROR(INDEX('G-8 Condition Look up'!$A$3:$H$130,MATCH(G12,'G-8 Condition Look up'!$A$3:$A$130,0),MATCH(K12,'G-8 Condition Look up'!$A$3:$H$3,0)),"")</f>
        <v/>
      </c>
      <c r="M12" s="154"/>
      <c r="N12" s="520" t="str">
        <f>IF(M12="","",IF(VLOOKUP(M12,'G-3 Multipliers'!$L$3:$N$6,2,FALSE)=0,"Spatial Data Missing ⚠",VLOOKUP(M12,'G-3 Multipliers'!$L$3:$N$6,2,FALSE)))</f>
        <v/>
      </c>
      <c r="O12" s="524" t="str">
        <f>IF(M12="","",IF(VLOOKUP(M12,'G-3 Multipliers'!$L$3:$N$6,3,FALSE)=0,"Spatial Data Missing ⚠",VLOOKUP(M12,'G-3 Multipliers'!$L$3:$N$6,3,FALSE)))</f>
        <v/>
      </c>
      <c r="P12" s="506" t="str">
        <f>IFERROR(VLOOKUP(G12,'G-1 All Habitats'!$B$2:$M$129,12,FALSE),"")</f>
        <v/>
      </c>
      <c r="Q12" s="513" t="str">
        <f>IFERROR(IF(P12="","",IF(AND(P12='G-1 All Habitats'!$X$3,T12&gt;0),U12+V12,IF(AND(P12='G-1 All Habitats'!$X$3,S12&gt;0),U12+V12,IF(AND(P12='G-1 All Habitats'!$X$3,AC12&gt;0),"Any Loss Unacceptable",IF(AND(P12='G-1 All Habitats'!$X$3,W12&gt;0),"Any Loss Unacceptable",H12*J12*L12*O12))))),"Check Data ⚠")</f>
        <v/>
      </c>
      <c r="R12" s="50"/>
      <c r="S12" s="71"/>
      <c r="T12" s="72"/>
      <c r="U12" s="511" t="str">
        <f t="shared" ref="U12:U75" si="2">IFERROR(S12*J12*L12*O12,"")</f>
        <v/>
      </c>
      <c r="V12" s="511" t="str">
        <f t="shared" ref="V12:V75" si="3">IFERROR(T12*J12*L12*O12,"")</f>
        <v/>
      </c>
      <c r="W12" s="511" t="str">
        <f>IF(E12="","",IF(H12&lt;S12+T12,"Error in Areas ▲",IF(P12&lt;&gt;'G-1 All Habitats'!$X$3,H12-S12-T12,IF(AND(P12='G-1 All Habitats'!$X$3,Y12="Yes"),"Unacceptable Loss ▲",IF(AND(P12='G-1 All Habitats'!$X$3,Y12="No"),AC12,IF(AND(P12='G-1 All Habitats'!$X$3,Y12=""),AC12,IF(AND(P12='G-1 All Habitats'!$X$3,AC12="None",AC12),IF(AND(P12='G-1 All Habitats'!$X$3,AC12&gt;0),H12-S12-T12))))))))</f>
        <v/>
      </c>
      <c r="X12" s="545" t="str">
        <f>IFERROR(IF(H12="","",IF(H12-S12-T12=0&lt;0,"Error in Areas ▲",IF(S12+T12&gt;H12,"Error in Areas ▲",IF(AND(P12='G-1 All Habitats'!$X$3,Y12="Yes"),"Alternative Compensation",IF(W12=0,0,IF(P12='G-1 All Habitats'!$X$3,"Unacceptable Loss",Q12-U12-V12)))))),"Check Data ⚠")</f>
        <v/>
      </c>
      <c r="Y12" s="72"/>
      <c r="Z12" s="151"/>
      <c r="AA12" s="152"/>
      <c r="AC12" s="251" t="str">
        <f>IF(P12="","",IF(P12='G-1 All Habitats'!$X$3,H12-S12-T12,"None"))</f>
        <v/>
      </c>
      <c r="AD12" s="252" t="str">
        <f t="shared" ref="AD12:AD75" si="4">IFERROR(AC12*J12*L12*O12,IF(P12="","","None"))</f>
        <v/>
      </c>
      <c r="AF12" s="156" t="str">
        <f t="shared" si="0"/>
        <v/>
      </c>
      <c r="AG12" s="156" t="str">
        <f t="shared" si="1"/>
        <v/>
      </c>
      <c r="AH12" s="156" t="str">
        <f>IF(I12="","",IF(#REF!&gt;0,TRUE,FALSE))</f>
        <v/>
      </c>
      <c r="AI12" s="156">
        <v>2</v>
      </c>
      <c r="AJ12" s="156"/>
      <c r="AK12" s="156" t="str">
        <f t="array" ref="AK12">IFERROR(INDEX($AI$11:$AI$259, MATCH(0, IF(TRUE=$AF$11:$AF$259, COUNTIF($AK$10:$AK11, $AI$11:$AI$259), ""), 0)),"")</f>
        <v/>
      </c>
      <c r="AL12" s="156" t="str">
        <f t="array" ref="AL12">IFERROR(INDEX($AI$11:$AI$259, MATCH(0, IF(TRUE=$AG$11:$AG$259, COUNTIF($AL$10:$AL11, $AI$11:$AI$259), ""), 0)),"")</f>
        <v/>
      </c>
      <c r="AM12" s="156" t="str">
        <f t="array" ref="AM12">IFERROR(INDEX($AI$11:$AI$259, MATCH(0, IF(TRUE=$AH$11:$AH$259, COUNTIF($AM$10:$AM11, $AI$11:$AI$259), ""), 0)),"")</f>
        <v/>
      </c>
      <c r="AQ12" s="31">
        <f t="shared" ref="AQ12:AQ75" si="5">IF(X12="Unacceptable Loss",1,0)</f>
        <v>0</v>
      </c>
    </row>
    <row r="13" spans="1:43" x14ac:dyDescent="0.3">
      <c r="A13" s="31" t="str">
        <f>IFERROR(INDEX('G-1 All Habitats'!$AG$3:$AG$15,MATCH(E13,'G-1 All Habitats'!$AF$3:$AF$15,0)),"")</f>
        <v/>
      </c>
      <c r="B13" s="31" t="str">
        <f>IFERROR(INDEX('G-8 Condition Look up'!$I$4:$I$130,MATCH(G13,'G-8 Condition Look up'!$A$4:$A$130,0)),"")</f>
        <v/>
      </c>
      <c r="D13" s="141">
        <v>3</v>
      </c>
      <c r="E13" s="203"/>
      <c r="F13" s="203"/>
      <c r="G13" s="250" t="str">
        <f>IFERROR(INDEX('G-1 All Habitats'!$B$3:$B$129,MATCH(F13,'G-1 All Habitats'!$A$3:$A$129,0)),"")</f>
        <v/>
      </c>
      <c r="H13" s="172"/>
      <c r="I13" s="498" t="str">
        <f>IF(G13="","",VLOOKUP(G13,'G-1 All Habitats'!$B$2:$M$129,10,FALSE))</f>
        <v/>
      </c>
      <c r="J13" s="499" t="str">
        <f>IFERROR(VLOOKUP(I13,'G-1 All Habitats'!$V$3:$W$7,2,FALSE),"")</f>
        <v/>
      </c>
      <c r="K13" s="145"/>
      <c r="L13" s="499" t="str">
        <f>IFERROR(INDEX('G-8 Condition Look up'!$A$3:$H$130,MATCH(G13,'G-8 Condition Look up'!$A$3:$A$130,0),MATCH(K13,'G-8 Condition Look up'!$A$3:$H$3,0)),"")</f>
        <v/>
      </c>
      <c r="M13" s="154"/>
      <c r="N13" s="520" t="str">
        <f>IF(M13="","",IF(VLOOKUP(M13,'G-3 Multipliers'!$L$3:$N$6,2,FALSE)=0,"Spatial Data Missing ⚠",VLOOKUP(M13,'G-3 Multipliers'!$L$3:$N$6,2,FALSE)))</f>
        <v/>
      </c>
      <c r="O13" s="524" t="str">
        <f>IF(M13="","",IF(VLOOKUP(M13,'G-3 Multipliers'!$L$3:$N$6,3,FALSE)=0,"Spatial Data Missing ⚠",VLOOKUP(M13,'G-3 Multipliers'!$L$3:$N$6,3,FALSE)))</f>
        <v/>
      </c>
      <c r="P13" s="506" t="str">
        <f>IFERROR(VLOOKUP(G13,'G-1 All Habitats'!$B$2:$M$129,12,FALSE),"")</f>
        <v/>
      </c>
      <c r="Q13" s="513" t="str">
        <f>IFERROR(IF(P13="","",IF(AND(P13='G-1 All Habitats'!$X$3,T13&gt;0),U13+V13,IF(AND(P13='G-1 All Habitats'!$X$3,S13&gt;0),U13+V13,IF(AND(P13='G-1 All Habitats'!$X$3,AC13&gt;0),"Any Loss Unacceptable",IF(AND(P13='G-1 All Habitats'!$X$3,W13&gt;0),"Any Loss Unacceptable",H13*J13*L13*O13))))),"Check Data ⚠")</f>
        <v/>
      </c>
      <c r="R13" s="50"/>
      <c r="S13" s="71"/>
      <c r="T13" s="72"/>
      <c r="U13" s="511" t="str">
        <f t="shared" si="2"/>
        <v/>
      </c>
      <c r="V13" s="511" t="str">
        <f t="shared" si="3"/>
        <v/>
      </c>
      <c r="W13" s="511" t="str">
        <f>IF(E13="","",IF(H13&lt;S13+T13,"Error in Areas ▲",IF(P13&lt;&gt;'G-1 All Habitats'!$X$3,H13-S13-T13,IF(AND(P13='G-1 All Habitats'!$X$3,Y13="Yes"),"Unacceptable Loss ▲",IF(AND(P13='G-1 All Habitats'!$X$3,Y13="No"),AC13,IF(AND(P13='G-1 All Habitats'!$X$3,Y13=""),AC13,IF(AND(P13='G-1 All Habitats'!$X$3,AC13="None",AC13),IF(AND(P13='G-1 All Habitats'!$X$3,AC13&gt;0),H13-S13-T13))))))))</f>
        <v/>
      </c>
      <c r="X13" s="545" t="str">
        <f>IFERROR(IF(H13="","",IF(H13-S13-T13=0&lt;0,"Error in Areas ▲",IF(S13+T13&gt;H13,"Error in Areas ▲",IF(AND(P13='G-1 All Habitats'!$X$3,Y13="Yes"),"Alternative Compensation",IF(W13=0,0,IF(P13='G-1 All Habitats'!$X$3,"Unacceptable Loss",Q13-U13-V13)))))),"Check Data ⚠")</f>
        <v/>
      </c>
      <c r="Y13" s="72"/>
      <c r="Z13" s="151"/>
      <c r="AA13" s="152"/>
      <c r="AC13" s="251" t="str">
        <f>IF(P13="","",IF(P13='G-1 All Habitats'!$X$3,H13-S13-T13,"None"))</f>
        <v/>
      </c>
      <c r="AD13" s="252" t="str">
        <f t="shared" si="4"/>
        <v/>
      </c>
      <c r="AF13" s="156" t="str">
        <f t="shared" si="0"/>
        <v/>
      </c>
      <c r="AG13" s="156" t="str">
        <f t="shared" si="1"/>
        <v/>
      </c>
      <c r="AH13" s="156" t="str">
        <f>IF(I13="","",IF(#REF!&gt;0,TRUE,FALSE))</f>
        <v/>
      </c>
      <c r="AI13" s="156">
        <v>3</v>
      </c>
      <c r="AJ13" s="156"/>
      <c r="AK13" s="156" t="str">
        <f t="array" ref="AK13">IFERROR(INDEX($AI$11:$AI$259, MATCH(0, IF(TRUE=$AF$11:$AF$259, COUNTIF($AK$10:$AK12, $AI$11:$AI$259), ""), 0)),"")</f>
        <v/>
      </c>
      <c r="AL13" s="156" t="str">
        <f t="array" ref="AL13">IFERROR(INDEX($AI$11:$AI$259, MATCH(0, IF(TRUE=$AG$11:$AG$259, COUNTIF($AL$10:$AL12, $AI$11:$AI$259), ""), 0)),"")</f>
        <v/>
      </c>
      <c r="AM13" s="156" t="str">
        <f t="array" ref="AM13">IFERROR(INDEX($AI$11:$AI$259, MATCH(0, IF(TRUE=$AH$11:$AH$259, COUNTIF($AM$10:$AM12, $AI$11:$AI$259), ""), 0)),"")</f>
        <v/>
      </c>
      <c r="AQ13" s="31">
        <f t="shared" si="5"/>
        <v>0</v>
      </c>
    </row>
    <row r="14" spans="1:43" x14ac:dyDescent="0.3">
      <c r="A14" s="31" t="str">
        <f>IFERROR(INDEX('G-1 All Habitats'!$AG$3:$AG$15,MATCH(E14,'G-1 All Habitats'!$AF$3:$AF$15,0)),"")</f>
        <v/>
      </c>
      <c r="B14" s="31" t="str">
        <f>IFERROR(INDEX('G-8 Condition Look up'!$I$4:$I$130,MATCH(G14,'G-8 Condition Look up'!$A$4:$A$130,0)),"")</f>
        <v/>
      </c>
      <c r="D14" s="141">
        <v>4</v>
      </c>
      <c r="E14" s="203"/>
      <c r="F14" s="203"/>
      <c r="G14" s="250" t="str">
        <f>IFERROR(INDEX('G-1 All Habitats'!$B$3:$B$129,MATCH(F14,'G-1 All Habitats'!$A$3:$A$129,0)),"")</f>
        <v/>
      </c>
      <c r="H14" s="172"/>
      <c r="I14" s="498" t="str">
        <f>IF(G14="","",VLOOKUP(G14,'G-1 All Habitats'!$B$2:$M$129,10,FALSE))</f>
        <v/>
      </c>
      <c r="J14" s="499" t="str">
        <f>IFERROR(VLOOKUP(I14,'G-1 All Habitats'!$V$3:$W$7,2,FALSE),"")</f>
        <v/>
      </c>
      <c r="K14" s="145"/>
      <c r="L14" s="499" t="str">
        <f>IFERROR(INDEX('G-8 Condition Look up'!$A$3:$H$130,MATCH(G14,'G-8 Condition Look up'!$A$3:$A$130,0),MATCH(K14,'G-8 Condition Look up'!$A$3:$H$3,0)),"")</f>
        <v/>
      </c>
      <c r="M14" s="154"/>
      <c r="N14" s="520" t="str">
        <f>IF(M14="","",IF(VLOOKUP(M14,'G-3 Multipliers'!$L$3:$N$6,2,FALSE)=0,"Spatial Data Missing ⚠",VLOOKUP(M14,'G-3 Multipliers'!$L$3:$N$6,2,FALSE)))</f>
        <v/>
      </c>
      <c r="O14" s="524" t="str">
        <f>IF(M14="","",IF(VLOOKUP(M14,'G-3 Multipliers'!$L$3:$N$6,3,FALSE)=0,"Spatial Data Missing ⚠",VLOOKUP(M14,'G-3 Multipliers'!$L$3:$N$6,3,FALSE)))</f>
        <v/>
      </c>
      <c r="P14" s="506" t="str">
        <f>IFERROR(VLOOKUP(G14,'G-1 All Habitats'!$B$2:$M$129,12,FALSE),"")</f>
        <v/>
      </c>
      <c r="Q14" s="513" t="str">
        <f>IFERROR(IF(P14="","",IF(AND(P14='G-1 All Habitats'!$X$3,T14&gt;0),U14+V14,IF(AND(P14='G-1 All Habitats'!$X$3,S14&gt;0),U14+V14,IF(AND(P14='G-1 All Habitats'!$X$3,AC14&gt;0),"Any Loss Unacceptable",IF(AND(P14='G-1 All Habitats'!$X$3,W14&gt;0),"Any Loss Unacceptable",H14*J14*L14*O14))))),"Check Data ⚠")</f>
        <v/>
      </c>
      <c r="R14" s="50"/>
      <c r="S14" s="71"/>
      <c r="T14" s="72"/>
      <c r="U14" s="511" t="str">
        <f t="shared" si="2"/>
        <v/>
      </c>
      <c r="V14" s="511" t="str">
        <f t="shared" si="3"/>
        <v/>
      </c>
      <c r="W14" s="511" t="str">
        <f>IF(E14="","",IF(H14&lt;S14+T14,"Error in Areas ▲",IF(P14&lt;&gt;'G-1 All Habitats'!$X$3,H14-S14-T14,IF(AND(P14='G-1 All Habitats'!$X$3,Y14="Yes"),"Unacceptable Loss ▲",IF(AND(P14='G-1 All Habitats'!$X$3,Y14="No"),AC14,IF(AND(P14='G-1 All Habitats'!$X$3,Y14=""),AC14,IF(AND(P14='G-1 All Habitats'!$X$3,AC14="None",AC14),IF(AND(P14='G-1 All Habitats'!$X$3,AC14&gt;0),H14-S14-T14))))))))</f>
        <v/>
      </c>
      <c r="X14" s="545" t="str">
        <f>IFERROR(IF(H14="","",IF(H14-S14-T14=0&lt;0,"Error in Areas ▲",IF(S14+T14&gt;H14,"Error in Areas ▲",IF(AND(P14='G-1 All Habitats'!$X$3,Y14="Yes"),"Alternative Compensation",IF(W14=0,0,IF(P14='G-1 All Habitats'!$X$3,"Unacceptable Loss",Q14-U14-V14)))))),"Check Data ⚠")</f>
        <v/>
      </c>
      <c r="Y14" s="72"/>
      <c r="Z14" s="151"/>
      <c r="AA14" s="152"/>
      <c r="AC14" s="251" t="str">
        <f>IF(P14="","",IF(P14='G-1 All Habitats'!$X$3,H14-S14-T14,"None"))</f>
        <v/>
      </c>
      <c r="AD14" s="252" t="str">
        <f t="shared" si="4"/>
        <v/>
      </c>
      <c r="AF14" s="156" t="str">
        <f t="shared" si="0"/>
        <v/>
      </c>
      <c r="AG14" s="156" t="str">
        <f t="shared" si="1"/>
        <v/>
      </c>
      <c r="AH14" s="156" t="str">
        <f>IF(I14="","",IF(#REF!&gt;0,TRUE,FALSE))</f>
        <v/>
      </c>
      <c r="AI14" s="156">
        <v>4</v>
      </c>
      <c r="AJ14" s="156"/>
      <c r="AK14" s="156" t="str">
        <f t="array" ref="AK14">IFERROR(INDEX($AI$11:$AI$259, MATCH(0, IF(TRUE=$AF$11:$AF$259, COUNTIF($AK$10:$AK13, $AI$11:$AI$259), ""), 0)),"")</f>
        <v/>
      </c>
      <c r="AL14" s="156" t="str">
        <f t="array" ref="AL14">IFERROR(INDEX($AI$11:$AI$259, MATCH(0, IF(TRUE=$AG$11:$AG$259, COUNTIF($AL$10:$AL13, $AI$11:$AI$259), ""), 0)),"")</f>
        <v/>
      </c>
      <c r="AM14" s="156" t="str">
        <f t="array" ref="AM14">IFERROR(INDEX($AI$11:$AI$259, MATCH(0, IF(TRUE=$AH$11:$AH$259, COUNTIF($AM$10:$AM13, $AI$11:$AI$259), ""), 0)),"")</f>
        <v/>
      </c>
      <c r="AQ14" s="31">
        <f t="shared" si="5"/>
        <v>0</v>
      </c>
    </row>
    <row r="15" spans="1:43" x14ac:dyDescent="0.3">
      <c r="A15" s="31" t="str">
        <f>IFERROR(INDEX('G-1 All Habitats'!$AG$3:$AG$15,MATCH(E15,'G-1 All Habitats'!$AF$3:$AF$15,0)),"")</f>
        <v/>
      </c>
      <c r="B15" s="31" t="str">
        <f>IFERROR(INDEX('G-8 Condition Look up'!$I$4:$I$130,MATCH(G15,'G-8 Condition Look up'!$A$4:$A$130,0)),"")</f>
        <v/>
      </c>
      <c r="D15" s="141">
        <v>5</v>
      </c>
      <c r="E15" s="203"/>
      <c r="F15" s="203"/>
      <c r="G15" s="250" t="str">
        <f>IFERROR(INDEX('G-1 All Habitats'!$B$3:$B$129,MATCH(F15,'G-1 All Habitats'!$A$3:$A$129,0)),"")</f>
        <v/>
      </c>
      <c r="H15" s="172"/>
      <c r="I15" s="498" t="str">
        <f>IF(G15="","",VLOOKUP(G15,'G-1 All Habitats'!$B$2:$M$129,10,FALSE))</f>
        <v/>
      </c>
      <c r="J15" s="499" t="str">
        <f>IFERROR(VLOOKUP(I15,'G-1 All Habitats'!$V$3:$W$7,2,FALSE),"")</f>
        <v/>
      </c>
      <c r="K15" s="145"/>
      <c r="L15" s="499" t="str">
        <f>IFERROR(INDEX('G-8 Condition Look up'!$A$3:$H$130,MATCH(G15,'G-8 Condition Look up'!$A$3:$A$130,0),MATCH(K15,'G-8 Condition Look up'!$A$3:$H$3,0)),"")</f>
        <v/>
      </c>
      <c r="M15" s="154"/>
      <c r="N15" s="520" t="str">
        <f>IF(M15="","",IF(VLOOKUP(M15,'G-3 Multipliers'!$L$3:$N$6,2,FALSE)=0,"Spatial Data Missing ⚠",VLOOKUP(M15,'G-3 Multipliers'!$L$3:$N$6,2,FALSE)))</f>
        <v/>
      </c>
      <c r="O15" s="524" t="str">
        <f>IF(M15="","",IF(VLOOKUP(M15,'G-3 Multipliers'!$L$3:$N$6,3,FALSE)=0,"Spatial Data Missing ⚠",VLOOKUP(M15,'G-3 Multipliers'!$L$3:$N$6,3,FALSE)))</f>
        <v/>
      </c>
      <c r="P15" s="506" t="str">
        <f>IFERROR(VLOOKUP(G15,'G-1 All Habitats'!$B$2:$M$129,12,FALSE),"")</f>
        <v/>
      </c>
      <c r="Q15" s="513" t="str">
        <f>IFERROR(IF(P15="","",IF(AND(P15='G-1 All Habitats'!$X$3,T15&gt;0),U15+V15,IF(AND(P15='G-1 All Habitats'!$X$3,S15&gt;0),U15+V15,IF(AND(P15='G-1 All Habitats'!$X$3,AC15&gt;0),"Any Loss Unacceptable",IF(AND(P15='G-1 All Habitats'!$X$3,W15&gt;0),"Any Loss Unacceptable",H15*J15*L15*O15))))),"Check Data ⚠")</f>
        <v/>
      </c>
      <c r="R15" s="50"/>
      <c r="S15" s="71"/>
      <c r="T15" s="72"/>
      <c r="U15" s="511" t="str">
        <f t="shared" si="2"/>
        <v/>
      </c>
      <c r="V15" s="511" t="str">
        <f t="shared" si="3"/>
        <v/>
      </c>
      <c r="W15" s="511" t="str">
        <f>IF(E15="","",IF(H15&lt;S15+T15,"Error in Areas ▲",IF(P15&lt;&gt;'G-1 All Habitats'!$X$3,H15-S15-T15,IF(AND(P15='G-1 All Habitats'!$X$3,Y15="Yes"),"Unacceptable Loss ▲",IF(AND(P15='G-1 All Habitats'!$X$3,Y15="No"),AC15,IF(AND(P15='G-1 All Habitats'!$X$3,Y15=""),AC15,IF(AND(P15='G-1 All Habitats'!$X$3,AC15="None",AC15),IF(AND(P15='G-1 All Habitats'!$X$3,AC15&gt;0),H15-S15-T15))))))))</f>
        <v/>
      </c>
      <c r="X15" s="545" t="str">
        <f>IFERROR(IF(H15="","",IF(H15-S15-T15=0&lt;0,"Error in Areas ▲",IF(S15+T15&gt;H15,"Error in Areas ▲",IF(AND(P15='G-1 All Habitats'!$X$3,Y15="Yes"),"Alternative Compensation",IF(W15=0,0,IF(P15='G-1 All Habitats'!$X$3,"Unacceptable Loss",Q15-U15-V15)))))),"Check Data ⚠")</f>
        <v/>
      </c>
      <c r="Y15" s="72"/>
      <c r="Z15" s="151"/>
      <c r="AA15" s="152"/>
      <c r="AC15" s="251" t="str">
        <f>IF(P15="","",IF(P15='G-1 All Habitats'!$X$3,H15-S15-T15,"None"))</f>
        <v/>
      </c>
      <c r="AD15" s="252" t="str">
        <f t="shared" si="4"/>
        <v/>
      </c>
      <c r="AF15" s="156" t="str">
        <f t="shared" si="0"/>
        <v/>
      </c>
      <c r="AG15" s="156" t="str">
        <f t="shared" si="1"/>
        <v/>
      </c>
      <c r="AH15" s="156" t="str">
        <f>IF(I15="","",IF(#REF!&gt;0,TRUE,FALSE))</f>
        <v/>
      </c>
      <c r="AI15" s="156">
        <v>5</v>
      </c>
      <c r="AJ15" s="156"/>
      <c r="AK15" s="156" t="str">
        <f t="array" ref="AK15">IFERROR(INDEX($AI$11:$AI$259, MATCH(0, IF(TRUE=$AF$11:$AF$259, COUNTIF($AK$10:$AK14, $AI$11:$AI$259), ""), 0)),"")</f>
        <v/>
      </c>
      <c r="AL15" s="156" t="str">
        <f t="array" ref="AL15">IFERROR(INDEX($AI$11:$AI$259, MATCH(0, IF(TRUE=$AG$11:$AG$259, COUNTIF($AL$10:$AL14, $AI$11:$AI$259), ""), 0)),"")</f>
        <v/>
      </c>
      <c r="AM15" s="156" t="str">
        <f t="array" ref="AM15">IFERROR(INDEX($AI$11:$AI$259, MATCH(0, IF(TRUE=$AH$11:$AH$259, COUNTIF($AM$10:$AM14, $AI$11:$AI$259), ""), 0)),"")</f>
        <v/>
      </c>
      <c r="AQ15" s="31">
        <f t="shared" si="5"/>
        <v>0</v>
      </c>
    </row>
    <row r="16" spans="1:43" x14ac:dyDescent="0.3">
      <c r="A16" s="31" t="str">
        <f>IFERROR(INDEX('G-1 All Habitats'!$AG$3:$AG$15,MATCH(E16,'G-1 All Habitats'!$AF$3:$AF$15,0)),"")</f>
        <v/>
      </c>
      <c r="B16" s="31" t="str">
        <f>IFERROR(INDEX('G-8 Condition Look up'!$I$4:$I$130,MATCH(G16,'G-8 Condition Look up'!$A$4:$A$130,0)),"")</f>
        <v/>
      </c>
      <c r="D16" s="141">
        <v>6</v>
      </c>
      <c r="E16" s="203"/>
      <c r="F16" s="203"/>
      <c r="G16" s="250" t="str">
        <f>IFERROR(INDEX('G-1 All Habitats'!$B$3:$B$129,MATCH(F16,'G-1 All Habitats'!$A$3:$A$129,0)),"")</f>
        <v/>
      </c>
      <c r="H16" s="172"/>
      <c r="I16" s="498" t="str">
        <f>IF(G16="","",VLOOKUP(G16,'G-1 All Habitats'!$B$2:$M$129,10,FALSE))</f>
        <v/>
      </c>
      <c r="J16" s="499" t="str">
        <f>IFERROR(VLOOKUP(I16,'G-1 All Habitats'!$V$3:$W$7,2,FALSE),"")</f>
        <v/>
      </c>
      <c r="K16" s="145"/>
      <c r="L16" s="499" t="str">
        <f>IFERROR(INDEX('G-8 Condition Look up'!$A$3:$H$130,MATCH(G16,'G-8 Condition Look up'!$A$3:$A$130,0),MATCH(K16,'G-8 Condition Look up'!$A$3:$H$3,0)),"")</f>
        <v/>
      </c>
      <c r="M16" s="154"/>
      <c r="N16" s="520" t="str">
        <f>IF(M16="","",IF(VLOOKUP(M16,'G-3 Multipliers'!$L$3:$N$6,2,FALSE)=0,"Spatial Data Missing ⚠",VLOOKUP(M16,'G-3 Multipliers'!$L$3:$N$6,2,FALSE)))</f>
        <v/>
      </c>
      <c r="O16" s="524" t="str">
        <f>IF(M16="","",IF(VLOOKUP(M16,'G-3 Multipliers'!$L$3:$N$6,3,FALSE)=0,"Spatial Data Missing ⚠",VLOOKUP(M16,'G-3 Multipliers'!$L$3:$N$6,3,FALSE)))</f>
        <v/>
      </c>
      <c r="P16" s="506" t="str">
        <f>IFERROR(VLOOKUP(G16,'G-1 All Habitats'!$B$2:$M$129,12,FALSE),"")</f>
        <v/>
      </c>
      <c r="Q16" s="513" t="str">
        <f>IFERROR(IF(P16="","",IF(AND(P16='G-1 All Habitats'!$X$3,T16&gt;0),U16+V16,IF(AND(P16='G-1 All Habitats'!$X$3,S16&gt;0),U16+V16,IF(AND(P16='G-1 All Habitats'!$X$3,AC16&gt;0),"Any Loss Unacceptable",IF(AND(P16='G-1 All Habitats'!$X$3,W16&gt;0),"Any Loss Unacceptable",H16*J16*L16*O16))))),"Check Data ⚠")</f>
        <v/>
      </c>
      <c r="R16" s="50"/>
      <c r="S16" s="71"/>
      <c r="T16" s="72"/>
      <c r="U16" s="511" t="str">
        <f t="shared" si="2"/>
        <v/>
      </c>
      <c r="V16" s="511" t="str">
        <f t="shared" si="3"/>
        <v/>
      </c>
      <c r="W16" s="511" t="str">
        <f>IF(E16="","",IF(H16&lt;S16+T16,"Error in Areas ▲",IF(P16&lt;&gt;'G-1 All Habitats'!$X$3,H16-S16-T16,IF(AND(P16='G-1 All Habitats'!$X$3,Y16="Yes"),"Unacceptable Loss ▲",IF(AND(P16='G-1 All Habitats'!$X$3,Y16="No"),AC16,IF(AND(P16='G-1 All Habitats'!$X$3,Y16=""),AC16,IF(AND(P16='G-1 All Habitats'!$X$3,AC16="None",AC16),IF(AND(P16='G-1 All Habitats'!$X$3,AC16&gt;0),H16-S16-T16))))))))</f>
        <v/>
      </c>
      <c r="X16" s="545" t="str">
        <f>IFERROR(IF(H16="","",IF(H16-S16-T16=0&lt;0,"Error in Areas ▲",IF(S16+T16&gt;H16,"Error in Areas ▲",IF(AND(P16='G-1 All Habitats'!$X$3,Y16="Yes"),"Alternative Compensation",IF(W16=0,0,IF(P16='G-1 All Habitats'!$X$3,"Unacceptable Loss",Q16-U16-V16)))))),"Check Data ⚠")</f>
        <v/>
      </c>
      <c r="Y16" s="72"/>
      <c r="Z16" s="151"/>
      <c r="AA16" s="152"/>
      <c r="AC16" s="251" t="str">
        <f>IF(P16="","",IF(P16='G-1 All Habitats'!$X$3,H16-S16-T16,"None"))</f>
        <v/>
      </c>
      <c r="AD16" s="252" t="str">
        <f t="shared" si="4"/>
        <v/>
      </c>
      <c r="AF16" s="156" t="str">
        <f t="shared" si="0"/>
        <v/>
      </c>
      <c r="AG16" s="156" t="str">
        <f t="shared" si="1"/>
        <v/>
      </c>
      <c r="AH16" s="156" t="str">
        <f>IF(I16="","",IF(#REF!&gt;0,TRUE,FALSE))</f>
        <v/>
      </c>
      <c r="AI16" s="156">
        <v>6</v>
      </c>
      <c r="AJ16" s="156"/>
      <c r="AK16" s="156" t="str">
        <f t="array" ref="AK16">IFERROR(INDEX($AI$11:$AI$259, MATCH(0, IF(TRUE=$AF$11:$AF$259, COUNTIF($AK$10:$AK15, $AI$11:$AI$259), ""), 0)),"")</f>
        <v/>
      </c>
      <c r="AL16" s="156" t="str">
        <f t="array" ref="AL16">IFERROR(INDEX($AI$11:$AI$259, MATCH(0, IF(TRUE=$AG$11:$AG$259, COUNTIF($AL$10:$AL15, $AI$11:$AI$259), ""), 0)),"")</f>
        <v/>
      </c>
      <c r="AM16" s="156" t="str">
        <f t="array" ref="AM16">IFERROR(INDEX($AI$11:$AI$259, MATCH(0, IF(TRUE=$AH$11:$AH$259, COUNTIF($AM$10:$AM15, $AI$11:$AI$259), ""), 0)),"")</f>
        <v/>
      </c>
      <c r="AQ16" s="31">
        <f t="shared" si="5"/>
        <v>0</v>
      </c>
    </row>
    <row r="17" spans="1:43" x14ac:dyDescent="0.3">
      <c r="A17" s="31" t="str">
        <f>IFERROR(INDEX('G-1 All Habitats'!$AG$3:$AG$15,MATCH(E17,'G-1 All Habitats'!$AF$3:$AF$15,0)),"")</f>
        <v/>
      </c>
      <c r="B17" s="31" t="str">
        <f>IFERROR(INDEX('G-8 Condition Look up'!$I$4:$I$130,MATCH(G17,'G-8 Condition Look up'!$A$4:$A$130,0)),"")</f>
        <v/>
      </c>
      <c r="D17" s="141">
        <v>7</v>
      </c>
      <c r="E17" s="203"/>
      <c r="F17" s="203"/>
      <c r="G17" s="250" t="str">
        <f>IFERROR(INDEX('G-1 All Habitats'!$B$3:$B$129,MATCH(F17,'G-1 All Habitats'!$A$3:$A$129,0)),"")</f>
        <v/>
      </c>
      <c r="H17" s="172"/>
      <c r="I17" s="498" t="str">
        <f>IF(G17="","",VLOOKUP(G17,'G-1 All Habitats'!$B$2:$M$129,10,FALSE))</f>
        <v/>
      </c>
      <c r="J17" s="499" t="str">
        <f>IFERROR(VLOOKUP(I17,'G-1 All Habitats'!$V$3:$W$7,2,FALSE),"")</f>
        <v/>
      </c>
      <c r="K17" s="145"/>
      <c r="L17" s="499" t="str">
        <f>IFERROR(INDEX('G-8 Condition Look up'!$A$3:$H$130,MATCH(G17,'G-8 Condition Look up'!$A$3:$A$130,0),MATCH(K17,'G-8 Condition Look up'!$A$3:$H$3,0)),"")</f>
        <v/>
      </c>
      <c r="M17" s="154"/>
      <c r="N17" s="520" t="str">
        <f>IF(M17="","",IF(VLOOKUP(M17,'G-3 Multipliers'!$L$3:$N$6,2,FALSE)=0,"Spatial Data Missing ⚠",VLOOKUP(M17,'G-3 Multipliers'!$L$3:$N$6,2,FALSE)))</f>
        <v/>
      </c>
      <c r="O17" s="524" t="str">
        <f>IF(M17="","",IF(VLOOKUP(M17,'G-3 Multipliers'!$L$3:$N$6,3,FALSE)=0,"Spatial Data Missing ⚠",VLOOKUP(M17,'G-3 Multipliers'!$L$3:$N$6,3,FALSE)))</f>
        <v/>
      </c>
      <c r="P17" s="506" t="str">
        <f>IFERROR(VLOOKUP(G17,'G-1 All Habitats'!$B$2:$M$129,12,FALSE),"")</f>
        <v/>
      </c>
      <c r="Q17" s="513" t="str">
        <f>IFERROR(IF(P17="","",IF(AND(P17='G-1 All Habitats'!$X$3,T17&gt;0),U17+V17,IF(AND(P17='G-1 All Habitats'!$X$3,S17&gt;0),U17+V17,IF(AND(P17='G-1 All Habitats'!$X$3,AC17&gt;0),"Any Loss Unacceptable",IF(AND(P17='G-1 All Habitats'!$X$3,W17&gt;0),"Any Loss Unacceptable",H17*J17*L17*O17))))),"Check Data ⚠")</f>
        <v/>
      </c>
      <c r="R17" s="50"/>
      <c r="S17" s="71"/>
      <c r="T17" s="72"/>
      <c r="U17" s="511" t="str">
        <f t="shared" si="2"/>
        <v/>
      </c>
      <c r="V17" s="511" t="str">
        <f t="shared" si="3"/>
        <v/>
      </c>
      <c r="W17" s="511" t="str">
        <f>IF(E17="","",IF(H17&lt;S17+T17,"Error in Areas ▲",IF(P17&lt;&gt;'G-1 All Habitats'!$X$3,H17-S17-T17,IF(AND(P17='G-1 All Habitats'!$X$3,Y17="Yes"),"Unacceptable Loss ▲",IF(AND(P17='G-1 All Habitats'!$X$3,Y17="No"),AC17,IF(AND(P17='G-1 All Habitats'!$X$3,Y17=""),AC17,IF(AND(P17='G-1 All Habitats'!$X$3,AC17="None",AC17),IF(AND(P17='G-1 All Habitats'!$X$3,AC17&gt;0),H17-S17-T17))))))))</f>
        <v/>
      </c>
      <c r="X17" s="545" t="str">
        <f>IFERROR(IF(H17="","",IF(H17-S17-T17=0&lt;0,"Error in Areas ▲",IF(S17+T17&gt;H17,"Error in Areas ▲",IF(AND(P17='G-1 All Habitats'!$X$3,Y17="Yes"),"Alternative Compensation",IF(W17=0,0,IF(P17='G-1 All Habitats'!$X$3,"Unacceptable Loss",Q17-U17-V17)))))),"Check Data ⚠")</f>
        <v/>
      </c>
      <c r="Y17" s="72"/>
      <c r="Z17" s="151"/>
      <c r="AA17" s="152"/>
      <c r="AC17" s="251" t="str">
        <f>IF(P17="","",IF(P17='G-1 All Habitats'!$X$3,H17-S17-T17,"None"))</f>
        <v/>
      </c>
      <c r="AD17" s="252" t="str">
        <f t="shared" si="4"/>
        <v/>
      </c>
      <c r="AF17" s="156" t="str">
        <f t="shared" si="0"/>
        <v/>
      </c>
      <c r="AG17" s="156" t="str">
        <f t="shared" si="1"/>
        <v/>
      </c>
      <c r="AH17" s="156" t="str">
        <f>IF(I17="","",IF(#REF!&gt;0,TRUE,FALSE))</f>
        <v/>
      </c>
      <c r="AI17" s="156">
        <v>7</v>
      </c>
      <c r="AJ17" s="156"/>
      <c r="AK17" s="156" t="str">
        <f t="array" ref="AK17">IFERROR(INDEX($AI$11:$AI$259, MATCH(0, IF(TRUE=$AF$11:$AF$259, COUNTIF($AK$10:$AK16, $AI$11:$AI$259), ""), 0)),"")</f>
        <v/>
      </c>
      <c r="AL17" s="156" t="str">
        <f t="array" ref="AL17">IFERROR(INDEX($AI$11:$AI$259, MATCH(0, IF(TRUE=$AG$11:$AG$259, COUNTIF($AL$10:$AL16, $AI$11:$AI$259), ""), 0)),"")</f>
        <v/>
      </c>
      <c r="AM17" s="156" t="str">
        <f t="array" ref="AM17">IFERROR(INDEX($AI$11:$AI$259, MATCH(0, IF(TRUE=$AH$11:$AH$259, COUNTIF($AM$10:$AM16, $AI$11:$AI$259), ""), 0)),"")</f>
        <v/>
      </c>
      <c r="AQ17" s="31">
        <f t="shared" si="5"/>
        <v>0</v>
      </c>
    </row>
    <row r="18" spans="1:43" x14ac:dyDescent="0.3">
      <c r="A18" s="31" t="str">
        <f>IFERROR(INDEX('G-1 All Habitats'!$AG$3:$AG$15,MATCH(E18,'G-1 All Habitats'!$AF$3:$AF$15,0)),"")</f>
        <v/>
      </c>
      <c r="B18" s="31" t="str">
        <f>IFERROR(INDEX('G-8 Condition Look up'!$I$4:$I$130,MATCH(G18,'G-8 Condition Look up'!$A$4:$A$130,0)),"")</f>
        <v/>
      </c>
      <c r="D18" s="141">
        <v>8</v>
      </c>
      <c r="E18" s="203"/>
      <c r="F18" s="203"/>
      <c r="G18" s="250" t="str">
        <f>IFERROR(INDEX('G-1 All Habitats'!$B$3:$B$129,MATCH(F18,'G-1 All Habitats'!$A$3:$A$129,0)),"")</f>
        <v/>
      </c>
      <c r="H18" s="172"/>
      <c r="I18" s="498" t="str">
        <f>IF(G18="","",VLOOKUP(G18,'G-1 All Habitats'!$B$2:$M$129,10,FALSE))</f>
        <v/>
      </c>
      <c r="J18" s="499" t="str">
        <f>IFERROR(VLOOKUP(I18,'G-1 All Habitats'!$V$3:$W$7,2,FALSE),"")</f>
        <v/>
      </c>
      <c r="K18" s="145"/>
      <c r="L18" s="499" t="str">
        <f>IFERROR(INDEX('G-8 Condition Look up'!$A$3:$H$130,MATCH(G18,'G-8 Condition Look up'!$A$3:$A$130,0),MATCH(K18,'G-8 Condition Look up'!$A$3:$H$3,0)),"")</f>
        <v/>
      </c>
      <c r="M18" s="154"/>
      <c r="N18" s="520" t="str">
        <f>IF(M18="","",IF(VLOOKUP(M18,'G-3 Multipliers'!$L$3:$N$6,2,FALSE)=0,"Spatial Data Missing ⚠",VLOOKUP(M18,'G-3 Multipliers'!$L$3:$N$6,2,FALSE)))</f>
        <v/>
      </c>
      <c r="O18" s="524" t="str">
        <f>IF(M18="","",IF(VLOOKUP(M18,'G-3 Multipliers'!$L$3:$N$6,3,FALSE)=0,"Spatial Data Missing ⚠",VLOOKUP(M18,'G-3 Multipliers'!$L$3:$N$6,3,FALSE)))</f>
        <v/>
      </c>
      <c r="P18" s="506" t="str">
        <f>IFERROR(VLOOKUP(G18,'G-1 All Habitats'!$B$2:$M$129,12,FALSE),"")</f>
        <v/>
      </c>
      <c r="Q18" s="513" t="str">
        <f>IFERROR(IF(P18="","",IF(AND(P18='G-1 All Habitats'!$X$3,T18&gt;0),U18+V18,IF(AND(P18='G-1 All Habitats'!$X$3,S18&gt;0),U18+V18,IF(AND(P18='G-1 All Habitats'!$X$3,AC18&gt;0),"Any Loss Unacceptable",IF(AND(P18='G-1 All Habitats'!$X$3,W18&gt;0),"Any Loss Unacceptable",H18*J18*L18*O18))))),"Check Data ⚠")</f>
        <v/>
      </c>
      <c r="R18" s="50"/>
      <c r="S18" s="71"/>
      <c r="T18" s="72"/>
      <c r="U18" s="511" t="str">
        <f t="shared" si="2"/>
        <v/>
      </c>
      <c r="V18" s="511" t="str">
        <f t="shared" si="3"/>
        <v/>
      </c>
      <c r="W18" s="511" t="str">
        <f>IF(E18="","",IF(H18&lt;S18+T18,"Error in Areas ▲",IF(P18&lt;&gt;'G-1 All Habitats'!$X$3,H18-S18-T18,IF(AND(P18='G-1 All Habitats'!$X$3,Y18="Yes"),"Unacceptable Loss ▲",IF(AND(P18='G-1 All Habitats'!$X$3,Y18="No"),AC18,IF(AND(P18='G-1 All Habitats'!$X$3,Y18=""),AC18,IF(AND(P18='G-1 All Habitats'!$X$3,AC18="None",AC18),IF(AND(P18='G-1 All Habitats'!$X$3,AC18&gt;0),H18-S18-T18))))))))</f>
        <v/>
      </c>
      <c r="X18" s="545" t="str">
        <f>IFERROR(IF(H18="","",IF(H18-S18-T18=0&lt;0,"Error in Areas ▲",IF(S18+T18&gt;H18,"Error in Areas ▲",IF(AND(P18='G-1 All Habitats'!$X$3,Y18="Yes"),"Alternative Compensation",IF(W18=0,0,IF(P18='G-1 All Habitats'!$X$3,"Unacceptable Loss",Q18-U18-V18)))))),"Check Data ⚠")</f>
        <v/>
      </c>
      <c r="Y18" s="72"/>
      <c r="Z18" s="151"/>
      <c r="AA18" s="152"/>
      <c r="AC18" s="251" t="str">
        <f>IF(P18="","",IF(P18='G-1 All Habitats'!$X$3,H18-S18-T18,"None"))</f>
        <v/>
      </c>
      <c r="AD18" s="252" t="str">
        <f t="shared" si="4"/>
        <v/>
      </c>
      <c r="AF18" s="156" t="str">
        <f t="shared" si="0"/>
        <v/>
      </c>
      <c r="AG18" s="156" t="str">
        <f t="shared" si="1"/>
        <v/>
      </c>
      <c r="AH18" s="156" t="str">
        <f>IF(I18="","",IF(#REF!&gt;0,TRUE,FALSE))</f>
        <v/>
      </c>
      <c r="AI18" s="156">
        <v>8</v>
      </c>
      <c r="AJ18" s="156"/>
      <c r="AK18" s="156" t="str">
        <f t="array" ref="AK18">IFERROR(INDEX($AI$11:$AI$259, MATCH(0, IF(TRUE=$AF$11:$AF$259, COUNTIF($AK$10:$AK17, $AI$11:$AI$259), ""), 0)),"")</f>
        <v/>
      </c>
      <c r="AL18" s="156" t="str">
        <f t="array" ref="AL18">IFERROR(INDEX($AI$11:$AI$259, MATCH(0, IF(TRUE=$AG$11:$AG$259, COUNTIF($AL$10:$AL17, $AI$11:$AI$259), ""), 0)),"")</f>
        <v/>
      </c>
      <c r="AM18" s="156" t="str">
        <f t="array" ref="AM18">IFERROR(INDEX($AI$11:$AI$259, MATCH(0, IF(TRUE=$AH$11:$AH$259, COUNTIF($AM$10:$AM17, $AI$11:$AI$259), ""), 0)),"")</f>
        <v/>
      </c>
      <c r="AQ18" s="31">
        <f t="shared" si="5"/>
        <v>0</v>
      </c>
    </row>
    <row r="19" spans="1:43" x14ac:dyDescent="0.3">
      <c r="A19" s="31" t="str">
        <f>IFERROR(INDEX('G-1 All Habitats'!$AG$3:$AG$15,MATCH(E19,'G-1 All Habitats'!$AF$3:$AF$15,0)),"")</f>
        <v/>
      </c>
      <c r="B19" s="31" t="str">
        <f>IFERROR(INDEX('G-8 Condition Look up'!$I$4:$I$130,MATCH(G19,'G-8 Condition Look up'!$A$4:$A$130,0)),"")</f>
        <v/>
      </c>
      <c r="D19" s="141">
        <v>9</v>
      </c>
      <c r="E19" s="203"/>
      <c r="F19" s="203"/>
      <c r="G19" s="250" t="str">
        <f>IFERROR(INDEX('G-1 All Habitats'!$B$3:$B$129,MATCH(F19,'G-1 All Habitats'!$A$3:$A$129,0)),"")</f>
        <v/>
      </c>
      <c r="H19" s="172"/>
      <c r="I19" s="498" t="str">
        <f>IF(G19="","",VLOOKUP(G19,'G-1 All Habitats'!$B$2:$M$129,10,FALSE))</f>
        <v/>
      </c>
      <c r="J19" s="499" t="str">
        <f>IFERROR(VLOOKUP(I19,'G-1 All Habitats'!$V$3:$W$7,2,FALSE),"")</f>
        <v/>
      </c>
      <c r="K19" s="145"/>
      <c r="L19" s="499" t="str">
        <f>IFERROR(INDEX('G-8 Condition Look up'!$A$3:$H$130,MATCH(G19,'G-8 Condition Look up'!$A$3:$A$130,0),MATCH(K19,'G-8 Condition Look up'!$A$3:$H$3,0)),"")</f>
        <v/>
      </c>
      <c r="M19" s="154"/>
      <c r="N19" s="520" t="str">
        <f>IF(M19="","",IF(VLOOKUP(M19,'G-3 Multipliers'!$L$3:$N$6,2,FALSE)=0,"Spatial Data Missing ⚠",VLOOKUP(M19,'G-3 Multipliers'!$L$3:$N$6,2,FALSE)))</f>
        <v/>
      </c>
      <c r="O19" s="524" t="str">
        <f>IF(M19="","",IF(VLOOKUP(M19,'G-3 Multipliers'!$L$3:$N$6,3,FALSE)=0,"Spatial Data Missing ⚠",VLOOKUP(M19,'G-3 Multipliers'!$L$3:$N$6,3,FALSE)))</f>
        <v/>
      </c>
      <c r="P19" s="506" t="str">
        <f>IFERROR(VLOOKUP(G19,'G-1 All Habitats'!$B$2:$M$129,12,FALSE),"")</f>
        <v/>
      </c>
      <c r="Q19" s="513" t="str">
        <f>IFERROR(IF(P19="","",IF(AND(P19='G-1 All Habitats'!$X$3,T19&gt;0),U19+V19,IF(AND(P19='G-1 All Habitats'!$X$3,S19&gt;0),U19+V19,IF(AND(P19='G-1 All Habitats'!$X$3,AC19&gt;0),"Any Loss Unacceptable",IF(AND(P19='G-1 All Habitats'!$X$3,W19&gt;0),"Any Loss Unacceptable",H19*J19*L19*O19))))),"Check Data ⚠")</f>
        <v/>
      </c>
      <c r="R19" s="50"/>
      <c r="S19" s="71"/>
      <c r="T19" s="72"/>
      <c r="U19" s="511" t="str">
        <f t="shared" si="2"/>
        <v/>
      </c>
      <c r="V19" s="511" t="str">
        <f t="shared" si="3"/>
        <v/>
      </c>
      <c r="W19" s="511" t="str">
        <f>IF(E19="","",IF(H19&lt;S19+T19,"Error in Areas ▲",IF(P19&lt;&gt;'G-1 All Habitats'!$X$3,H19-S19-T19,IF(AND(P19='G-1 All Habitats'!$X$3,Y19="Yes"),"Unacceptable Loss ▲",IF(AND(P19='G-1 All Habitats'!$X$3,Y19="No"),AC19,IF(AND(P19='G-1 All Habitats'!$X$3,Y19=""),AC19,IF(AND(P19='G-1 All Habitats'!$X$3,AC19="None",AC19),IF(AND(P19='G-1 All Habitats'!$X$3,AC19&gt;0),H19-S19-T19))))))))</f>
        <v/>
      </c>
      <c r="X19" s="545" t="str">
        <f>IFERROR(IF(H19="","",IF(H19-S19-T19=0&lt;0,"Error in Areas ▲",IF(S19+T19&gt;H19,"Error in Areas ▲",IF(AND(P19='G-1 All Habitats'!$X$3,Y19="Yes"),"Alternative Compensation",IF(W19=0,0,IF(P19='G-1 All Habitats'!$X$3,"Unacceptable Loss",Q19-U19-V19)))))),"Check Data ⚠")</f>
        <v/>
      </c>
      <c r="Y19" s="72"/>
      <c r="Z19" s="151"/>
      <c r="AA19" s="152"/>
      <c r="AC19" s="251" t="str">
        <f>IF(P19="","",IF(P19='G-1 All Habitats'!$X$3,H19-S19-T19,"None"))</f>
        <v/>
      </c>
      <c r="AD19" s="252" t="str">
        <f t="shared" si="4"/>
        <v/>
      </c>
      <c r="AF19" s="156" t="str">
        <f t="shared" si="0"/>
        <v/>
      </c>
      <c r="AG19" s="156" t="str">
        <f t="shared" si="1"/>
        <v/>
      </c>
      <c r="AH19" s="156" t="str">
        <f>IF(I19="","",IF(#REF!&gt;0,TRUE,FALSE))</f>
        <v/>
      </c>
      <c r="AI19" s="156">
        <v>9</v>
      </c>
      <c r="AJ19" s="156"/>
      <c r="AK19" s="156" t="str">
        <f t="array" ref="AK19">IFERROR(INDEX($AI$11:$AI$259, MATCH(0, IF(TRUE=$AF$11:$AF$259, COUNTIF($AK$10:$AK18, $AI$11:$AI$259), ""), 0)),"")</f>
        <v/>
      </c>
      <c r="AL19" s="156" t="str">
        <f t="array" ref="AL19">IFERROR(INDEX($AI$11:$AI$259, MATCH(0, IF(TRUE=$AG$11:$AG$259, COUNTIF($AL$10:$AL18, $AI$11:$AI$259), ""), 0)),"")</f>
        <v/>
      </c>
      <c r="AM19" s="156" t="str">
        <f t="array" ref="AM19">IFERROR(INDEX($AI$11:$AI$259, MATCH(0, IF(TRUE=$AH$11:$AH$259, COUNTIF($AM$10:$AM18, $AI$11:$AI$259), ""), 0)),"")</f>
        <v/>
      </c>
      <c r="AQ19" s="31">
        <f t="shared" si="5"/>
        <v>0</v>
      </c>
    </row>
    <row r="20" spans="1:43" x14ac:dyDescent="0.3">
      <c r="A20" s="31" t="str">
        <f>IFERROR(INDEX('G-1 All Habitats'!$AG$3:$AG$15,MATCH(E20,'G-1 All Habitats'!$AF$3:$AF$15,0)),"")</f>
        <v/>
      </c>
      <c r="B20" s="31" t="str">
        <f>IFERROR(INDEX('G-8 Condition Look up'!$I$4:$I$130,MATCH(G20,'G-8 Condition Look up'!$A$4:$A$130,0)),"")</f>
        <v/>
      </c>
      <c r="D20" s="141">
        <v>10</v>
      </c>
      <c r="E20" s="203"/>
      <c r="F20" s="203"/>
      <c r="G20" s="250" t="str">
        <f>IFERROR(INDEX('G-1 All Habitats'!$B$3:$B$129,MATCH(F20,'G-1 All Habitats'!$A$3:$A$129,0)),"")</f>
        <v/>
      </c>
      <c r="H20" s="172"/>
      <c r="I20" s="498" t="str">
        <f>IF(G20="","",VLOOKUP(G20,'G-1 All Habitats'!$B$2:$M$129,10,FALSE))</f>
        <v/>
      </c>
      <c r="J20" s="499" t="str">
        <f>IFERROR(VLOOKUP(I20,'G-1 All Habitats'!$V$3:$W$7,2,FALSE),"")</f>
        <v/>
      </c>
      <c r="K20" s="145"/>
      <c r="L20" s="499" t="str">
        <f>IFERROR(INDEX('G-8 Condition Look up'!$A$3:$H$130,MATCH(G20,'G-8 Condition Look up'!$A$3:$A$130,0),MATCH(K20,'G-8 Condition Look up'!$A$3:$H$3,0)),"")</f>
        <v/>
      </c>
      <c r="M20" s="154"/>
      <c r="N20" s="520" t="str">
        <f>IF(M20="","",IF(VLOOKUP(M20,'G-3 Multipliers'!$L$3:$N$6,2,FALSE)=0,"Spatial Data Missing ⚠",VLOOKUP(M20,'G-3 Multipliers'!$L$3:$N$6,2,FALSE)))</f>
        <v/>
      </c>
      <c r="O20" s="524" t="str">
        <f>IF(M20="","",IF(VLOOKUP(M20,'G-3 Multipliers'!$L$3:$N$6,3,FALSE)=0,"Spatial Data Missing ⚠",VLOOKUP(M20,'G-3 Multipliers'!$L$3:$N$6,3,FALSE)))</f>
        <v/>
      </c>
      <c r="P20" s="506" t="str">
        <f>IFERROR(VLOOKUP(G20,'G-1 All Habitats'!$B$2:$M$129,12,FALSE),"")</f>
        <v/>
      </c>
      <c r="Q20" s="513" t="str">
        <f>IFERROR(IF(P20="","",IF(AND(P20='G-1 All Habitats'!$X$3,T20&gt;0),U20+V20,IF(AND(P20='G-1 All Habitats'!$X$3,S20&gt;0),U20+V20,IF(AND(P20='G-1 All Habitats'!$X$3,AC20&gt;0),"Any Loss Unacceptable",IF(AND(P20='G-1 All Habitats'!$X$3,W20&gt;0),"Any Loss Unacceptable",H20*J20*L20*O20))))),"Check Data ⚠")</f>
        <v/>
      </c>
      <c r="R20" s="50"/>
      <c r="S20" s="71"/>
      <c r="T20" s="72"/>
      <c r="U20" s="511" t="str">
        <f t="shared" si="2"/>
        <v/>
      </c>
      <c r="V20" s="511" t="str">
        <f t="shared" si="3"/>
        <v/>
      </c>
      <c r="W20" s="511" t="str">
        <f>IF(E20="","",IF(H20&lt;S20+T20,"Error in Areas ▲",IF(P20&lt;&gt;'G-1 All Habitats'!$X$3,H20-S20-T20,IF(AND(P20='G-1 All Habitats'!$X$3,Y20="Yes"),"Unacceptable Loss ▲",IF(AND(P20='G-1 All Habitats'!$X$3,Y20="No"),AC20,IF(AND(P20='G-1 All Habitats'!$X$3,Y20=""),AC20,IF(AND(P20='G-1 All Habitats'!$X$3,AC20="None",AC20),IF(AND(P20='G-1 All Habitats'!$X$3,AC20&gt;0),H20-S20-T20))))))))</f>
        <v/>
      </c>
      <c r="X20" s="545" t="str">
        <f>IFERROR(IF(H20="","",IF(H20-S20-T20=0&lt;0,"Error in Areas ▲",IF(S20+T20&gt;H20,"Error in Areas ▲",IF(AND(P20='G-1 All Habitats'!$X$3,Y20="Yes"),"Alternative Compensation",IF(W20=0,0,IF(P20='G-1 All Habitats'!$X$3,"Unacceptable Loss",Q20-U20-V20)))))),"Check Data ⚠")</f>
        <v/>
      </c>
      <c r="Y20" s="72"/>
      <c r="Z20" s="151"/>
      <c r="AA20" s="152"/>
      <c r="AC20" s="251" t="str">
        <f>IF(P20="","",IF(P20='G-1 All Habitats'!$X$3,H20-S20-T20,"None"))</f>
        <v/>
      </c>
      <c r="AD20" s="252" t="str">
        <f t="shared" si="4"/>
        <v/>
      </c>
      <c r="AF20" s="156" t="str">
        <f t="shared" si="0"/>
        <v/>
      </c>
      <c r="AG20" s="156" t="str">
        <f t="shared" si="1"/>
        <v/>
      </c>
      <c r="AH20" s="156" t="str">
        <f>IF(I20="","",IF(#REF!&gt;0,TRUE,FALSE))</f>
        <v/>
      </c>
      <c r="AI20" s="156">
        <v>10</v>
      </c>
      <c r="AJ20" s="156"/>
      <c r="AK20" s="156" t="str">
        <f t="array" ref="AK20">IFERROR(INDEX($AI$11:$AI$259, MATCH(0, IF(TRUE=$AF$11:$AF$259, COUNTIF($AK$10:$AK19, $AI$11:$AI$259), ""), 0)),"")</f>
        <v/>
      </c>
      <c r="AL20" s="156" t="str">
        <f t="array" ref="AL20">IFERROR(INDEX($AI$11:$AI$259, MATCH(0, IF(TRUE=$AG$11:$AG$259, COUNTIF($AL$10:$AL19, $AI$11:$AI$259), ""), 0)),"")</f>
        <v/>
      </c>
      <c r="AM20" s="156" t="str">
        <f t="array" ref="AM20">IFERROR(INDEX($AI$11:$AI$259, MATCH(0, IF(TRUE=$AH$11:$AH$259, COUNTIF($AM$10:$AM19, $AI$11:$AI$259), ""), 0)),"")</f>
        <v/>
      </c>
      <c r="AQ20" s="31">
        <f t="shared" si="5"/>
        <v>0</v>
      </c>
    </row>
    <row r="21" spans="1:43" x14ac:dyDescent="0.3">
      <c r="A21" s="31" t="str">
        <f>IFERROR(INDEX('G-1 All Habitats'!$AG$3:$AG$15,MATCH(E21,'G-1 All Habitats'!$AF$3:$AF$15,0)),"")</f>
        <v/>
      </c>
      <c r="B21" s="31" t="str">
        <f>IFERROR(INDEX('G-8 Condition Look up'!$I$4:$I$130,MATCH(G21,'G-8 Condition Look up'!$A$4:$A$130,0)),"")</f>
        <v/>
      </c>
      <c r="D21" s="141">
        <v>11</v>
      </c>
      <c r="E21" s="203"/>
      <c r="F21" s="203"/>
      <c r="G21" s="250" t="str">
        <f>IFERROR(INDEX('G-1 All Habitats'!$B$3:$B$129,MATCH(F21,'G-1 All Habitats'!$A$3:$A$129,0)),"")</f>
        <v/>
      </c>
      <c r="H21" s="172"/>
      <c r="I21" s="498" t="str">
        <f>IF(G21="","",VLOOKUP(G21,'G-1 All Habitats'!$B$2:$M$129,10,FALSE))</f>
        <v/>
      </c>
      <c r="J21" s="499" t="str">
        <f>IFERROR(VLOOKUP(I21,'G-1 All Habitats'!$V$3:$W$7,2,FALSE),"")</f>
        <v/>
      </c>
      <c r="K21" s="145"/>
      <c r="L21" s="499" t="str">
        <f>IFERROR(INDEX('G-8 Condition Look up'!$A$3:$H$130,MATCH(G21,'G-8 Condition Look up'!$A$3:$A$130,0),MATCH(K21,'G-8 Condition Look up'!$A$3:$H$3,0)),"")</f>
        <v/>
      </c>
      <c r="M21" s="154"/>
      <c r="N21" s="520" t="str">
        <f>IF(M21="","",IF(VLOOKUP(M21,'G-3 Multipliers'!$L$3:$N$6,2,FALSE)=0,"Spatial Data Missing ⚠",VLOOKUP(M21,'G-3 Multipliers'!$L$3:$N$6,2,FALSE)))</f>
        <v/>
      </c>
      <c r="O21" s="524" t="str">
        <f>IF(M21="","",IF(VLOOKUP(M21,'G-3 Multipliers'!$L$3:$N$6,3,FALSE)=0,"Spatial Data Missing ⚠",VLOOKUP(M21,'G-3 Multipliers'!$L$3:$N$6,3,FALSE)))</f>
        <v/>
      </c>
      <c r="P21" s="506" t="str">
        <f>IFERROR(VLOOKUP(G21,'G-1 All Habitats'!$B$2:$M$129,12,FALSE),"")</f>
        <v/>
      </c>
      <c r="Q21" s="513" t="str">
        <f>IFERROR(IF(P21="","",IF(AND(P21='G-1 All Habitats'!$X$3,T21&gt;0),U21+V21,IF(AND(P21='G-1 All Habitats'!$X$3,S21&gt;0),U21+V21,IF(AND(P21='G-1 All Habitats'!$X$3,AC21&gt;0),"Any Loss Unacceptable",IF(AND(P21='G-1 All Habitats'!$X$3,W21&gt;0),"Any Loss Unacceptable",H21*J21*L21*O21))))),"Check Data ⚠")</f>
        <v/>
      </c>
      <c r="R21" s="50"/>
      <c r="S21" s="71"/>
      <c r="T21" s="72"/>
      <c r="U21" s="511" t="str">
        <f t="shared" si="2"/>
        <v/>
      </c>
      <c r="V21" s="511" t="str">
        <f t="shared" si="3"/>
        <v/>
      </c>
      <c r="W21" s="511" t="str">
        <f>IF(E21="","",IF(H21&lt;S21+T21,"Error in Areas ▲",IF(P21&lt;&gt;'G-1 All Habitats'!$X$3,H21-S21-T21,IF(AND(P21='G-1 All Habitats'!$X$3,Y21="Yes"),"Unacceptable Loss ▲",IF(AND(P21='G-1 All Habitats'!$X$3,Y21="No"),AC21,IF(AND(P21='G-1 All Habitats'!$X$3,Y21=""),AC21,IF(AND(P21='G-1 All Habitats'!$X$3,AC21="None",AC21),IF(AND(P21='G-1 All Habitats'!$X$3,AC21&gt;0),H21-S21-T21))))))))</f>
        <v/>
      </c>
      <c r="X21" s="545" t="str">
        <f>IFERROR(IF(H21="","",IF(H21-S21-T21=0&lt;0,"Error in Areas ▲",IF(S21+T21&gt;H21,"Error in Areas ▲",IF(AND(P21='G-1 All Habitats'!$X$3,Y21="Yes"),"Alternative Compensation",IF(W21=0,0,IF(P21='G-1 All Habitats'!$X$3,"Unacceptable Loss",Q21-U21-V21)))))),"Check Data ⚠")</f>
        <v/>
      </c>
      <c r="Y21" s="72"/>
      <c r="Z21" s="151"/>
      <c r="AA21" s="152"/>
      <c r="AC21" s="251" t="str">
        <f>IF(P21="","",IF(P21='G-1 All Habitats'!$X$3,H21-S21-T21,"None"))</f>
        <v/>
      </c>
      <c r="AD21" s="252" t="str">
        <f t="shared" si="4"/>
        <v/>
      </c>
      <c r="AF21" s="156" t="str">
        <f t="shared" si="0"/>
        <v/>
      </c>
      <c r="AG21" s="156" t="str">
        <f t="shared" si="1"/>
        <v/>
      </c>
      <c r="AH21" s="156" t="str">
        <f>IF(I21="","",IF(#REF!&gt;0,TRUE,FALSE))</f>
        <v/>
      </c>
      <c r="AI21" s="156">
        <v>11</v>
      </c>
      <c r="AJ21" s="156"/>
      <c r="AK21" s="156" t="str">
        <f t="array" ref="AK21">IFERROR(INDEX($AI$11:$AI$259, MATCH(0, IF(TRUE=$AF$11:$AF$259, COUNTIF($AK$10:$AK20, $AI$11:$AI$259), ""), 0)),"")</f>
        <v/>
      </c>
      <c r="AL21" s="156" t="str">
        <f t="array" ref="AL21">IFERROR(INDEX($AI$11:$AI$259, MATCH(0, IF(TRUE=$AG$11:$AG$259, COUNTIF($AL$10:$AL20, $AI$11:$AI$259), ""), 0)),"")</f>
        <v/>
      </c>
      <c r="AM21" s="156" t="str">
        <f t="array" ref="AM21">IFERROR(INDEX($AI$11:$AI$259, MATCH(0, IF(TRUE=$AH$11:$AH$259, COUNTIF($AM$10:$AM20, $AI$11:$AI$259), ""), 0)),"")</f>
        <v/>
      </c>
      <c r="AQ21" s="31">
        <f t="shared" si="5"/>
        <v>0</v>
      </c>
    </row>
    <row r="22" spans="1:43" x14ac:dyDescent="0.3">
      <c r="A22" s="31" t="str">
        <f>IFERROR(INDEX('G-1 All Habitats'!$AG$3:$AG$15,MATCH(E22,'G-1 All Habitats'!$AF$3:$AF$15,0)),"")</f>
        <v/>
      </c>
      <c r="B22" s="31" t="str">
        <f>IFERROR(INDEX('G-8 Condition Look up'!$I$4:$I$130,MATCH(G22,'G-8 Condition Look up'!$A$4:$A$130,0)),"")</f>
        <v/>
      </c>
      <c r="D22" s="141">
        <v>12</v>
      </c>
      <c r="E22" s="203"/>
      <c r="F22" s="203"/>
      <c r="G22" s="250" t="str">
        <f>IFERROR(INDEX('G-1 All Habitats'!$B$3:$B$129,MATCH(F22,'G-1 All Habitats'!$A$3:$A$129,0)),"")</f>
        <v/>
      </c>
      <c r="H22" s="172"/>
      <c r="I22" s="498" t="str">
        <f>IF(G22="","",VLOOKUP(G22,'G-1 All Habitats'!$B$2:$M$129,10,FALSE))</f>
        <v/>
      </c>
      <c r="J22" s="499" t="str">
        <f>IFERROR(VLOOKUP(I22,'G-1 All Habitats'!$V$3:$W$7,2,FALSE),"")</f>
        <v/>
      </c>
      <c r="K22" s="145"/>
      <c r="L22" s="499" t="str">
        <f>IFERROR(INDEX('G-8 Condition Look up'!$A$3:$H$130,MATCH(G22,'G-8 Condition Look up'!$A$3:$A$130,0),MATCH(K22,'G-8 Condition Look up'!$A$3:$H$3,0)),"")</f>
        <v/>
      </c>
      <c r="M22" s="154"/>
      <c r="N22" s="520" t="str">
        <f>IF(M22="","",IF(VLOOKUP(M22,'G-3 Multipliers'!$L$3:$N$6,2,FALSE)=0,"Spatial Data Missing ⚠",VLOOKUP(M22,'G-3 Multipliers'!$L$3:$N$6,2,FALSE)))</f>
        <v/>
      </c>
      <c r="O22" s="524" t="str">
        <f>IF(M22="","",IF(VLOOKUP(M22,'G-3 Multipliers'!$L$3:$N$6,3,FALSE)=0,"Spatial Data Missing ⚠",VLOOKUP(M22,'G-3 Multipliers'!$L$3:$N$6,3,FALSE)))</f>
        <v/>
      </c>
      <c r="P22" s="506" t="str">
        <f>IFERROR(VLOOKUP(G22,'G-1 All Habitats'!$B$2:$M$129,12,FALSE),"")</f>
        <v/>
      </c>
      <c r="Q22" s="513" t="str">
        <f>IFERROR(IF(P22="","",IF(AND(P22='G-1 All Habitats'!$X$3,T22&gt;0),U22+V22,IF(AND(P22='G-1 All Habitats'!$X$3,S22&gt;0),U22+V22,IF(AND(P22='G-1 All Habitats'!$X$3,AC22&gt;0),"Any Loss Unacceptable",IF(AND(P22='G-1 All Habitats'!$X$3,W22&gt;0),"Any Loss Unacceptable",H22*J22*L22*O22))))),"Check Data ⚠")</f>
        <v/>
      </c>
      <c r="R22" s="50"/>
      <c r="S22" s="71"/>
      <c r="T22" s="72"/>
      <c r="U22" s="511" t="str">
        <f t="shared" si="2"/>
        <v/>
      </c>
      <c r="V22" s="511" t="str">
        <f t="shared" si="3"/>
        <v/>
      </c>
      <c r="W22" s="511" t="str">
        <f>IF(E22="","",IF(H22&lt;S22+T22,"Error in Areas ▲",IF(P22&lt;&gt;'G-1 All Habitats'!$X$3,H22-S22-T22,IF(AND(P22='G-1 All Habitats'!$X$3,Y22="Yes"),"Unacceptable Loss ▲",IF(AND(P22='G-1 All Habitats'!$X$3,Y22="No"),AC22,IF(AND(P22='G-1 All Habitats'!$X$3,Y22=""),AC22,IF(AND(P22='G-1 All Habitats'!$X$3,AC22="None",AC22),IF(AND(P22='G-1 All Habitats'!$X$3,AC22&gt;0),H22-S22-T22))))))))</f>
        <v/>
      </c>
      <c r="X22" s="545" t="str">
        <f>IFERROR(IF(H22="","",IF(H22-S22-T22=0&lt;0,"Error in Areas ▲",IF(S22+T22&gt;H22,"Error in Areas ▲",IF(AND(P22='G-1 All Habitats'!$X$3,Y22="Yes"),"Alternative Compensation",IF(W22=0,0,IF(P22='G-1 All Habitats'!$X$3,"Unacceptable Loss",Q22-U22-V22)))))),"Check Data ⚠")</f>
        <v/>
      </c>
      <c r="Y22" s="72"/>
      <c r="Z22" s="151"/>
      <c r="AA22" s="152"/>
      <c r="AC22" s="251" t="str">
        <f>IF(P22="","",IF(P22='G-1 All Habitats'!$X$3,H22-S22-T22,"None"))</f>
        <v/>
      </c>
      <c r="AD22" s="252" t="str">
        <f t="shared" si="4"/>
        <v/>
      </c>
      <c r="AF22" s="156" t="str">
        <f t="shared" si="0"/>
        <v/>
      </c>
      <c r="AG22" s="156" t="str">
        <f t="shared" si="1"/>
        <v/>
      </c>
      <c r="AH22" s="156" t="str">
        <f>IF(I22="","",IF(#REF!&gt;0,TRUE,FALSE))</f>
        <v/>
      </c>
      <c r="AI22" s="156">
        <v>12</v>
      </c>
      <c r="AJ22" s="156"/>
      <c r="AK22" s="156" t="str">
        <f t="array" ref="AK22">IFERROR(INDEX($AI$11:$AI$259, MATCH(0, IF(TRUE=$AF$11:$AF$259, COUNTIF($AK$10:$AK21, $AI$11:$AI$259), ""), 0)),"")</f>
        <v/>
      </c>
      <c r="AL22" s="156" t="str">
        <f t="array" ref="AL22">IFERROR(INDEX($AI$11:$AI$259, MATCH(0, IF(TRUE=$AG$11:$AG$259, COUNTIF($AL$10:$AL21, $AI$11:$AI$259), ""), 0)),"")</f>
        <v/>
      </c>
      <c r="AM22" s="156" t="str">
        <f t="array" ref="AM22">IFERROR(INDEX($AI$11:$AI$259, MATCH(0, IF(TRUE=$AH$11:$AH$259, COUNTIF($AM$10:$AM21, $AI$11:$AI$259), ""), 0)),"")</f>
        <v/>
      </c>
      <c r="AQ22" s="31">
        <f t="shared" si="5"/>
        <v>0</v>
      </c>
    </row>
    <row r="23" spans="1:43" x14ac:dyDescent="0.3">
      <c r="A23" s="31" t="str">
        <f>IFERROR(INDEX('G-1 All Habitats'!$AG$3:$AG$15,MATCH(E23,'G-1 All Habitats'!$AF$3:$AF$15,0)),"")</f>
        <v/>
      </c>
      <c r="B23" s="31" t="str">
        <f>IFERROR(INDEX('G-8 Condition Look up'!$I$4:$I$130,MATCH(G23,'G-8 Condition Look up'!$A$4:$A$130,0)),"")</f>
        <v/>
      </c>
      <c r="D23" s="141">
        <v>13</v>
      </c>
      <c r="E23" s="203"/>
      <c r="F23" s="203"/>
      <c r="G23" s="250" t="str">
        <f>IFERROR(INDEX('G-1 All Habitats'!$B$3:$B$129,MATCH(F23,'G-1 All Habitats'!$A$3:$A$129,0)),"")</f>
        <v/>
      </c>
      <c r="H23" s="172"/>
      <c r="I23" s="498" t="str">
        <f>IF(G23="","",VLOOKUP(G23,'G-1 All Habitats'!$B$2:$M$129,10,FALSE))</f>
        <v/>
      </c>
      <c r="J23" s="499" t="str">
        <f>IFERROR(VLOOKUP(I23,'G-1 All Habitats'!$V$3:$W$7,2,FALSE),"")</f>
        <v/>
      </c>
      <c r="K23" s="145"/>
      <c r="L23" s="499" t="str">
        <f>IFERROR(INDEX('G-8 Condition Look up'!$A$3:$H$130,MATCH(G23,'G-8 Condition Look up'!$A$3:$A$130,0),MATCH(K23,'G-8 Condition Look up'!$A$3:$H$3,0)),"")</f>
        <v/>
      </c>
      <c r="M23" s="154"/>
      <c r="N23" s="520" t="str">
        <f>IF(M23="","",IF(VLOOKUP(M23,'G-3 Multipliers'!$L$3:$N$6,2,FALSE)=0,"Spatial Data Missing ⚠",VLOOKUP(M23,'G-3 Multipliers'!$L$3:$N$6,2,FALSE)))</f>
        <v/>
      </c>
      <c r="O23" s="524" t="str">
        <f>IF(M23="","",IF(VLOOKUP(M23,'G-3 Multipliers'!$L$3:$N$6,3,FALSE)=0,"Spatial Data Missing ⚠",VLOOKUP(M23,'G-3 Multipliers'!$L$3:$N$6,3,FALSE)))</f>
        <v/>
      </c>
      <c r="P23" s="506" t="str">
        <f>IFERROR(VLOOKUP(G23,'G-1 All Habitats'!$B$2:$M$129,12,FALSE),"")</f>
        <v/>
      </c>
      <c r="Q23" s="513" t="str">
        <f>IFERROR(IF(P23="","",IF(AND(P23='G-1 All Habitats'!$X$3,T23&gt;0),U23+V23,IF(AND(P23='G-1 All Habitats'!$X$3,S23&gt;0),U23+V23,IF(AND(P23='G-1 All Habitats'!$X$3,AC23&gt;0),"Any Loss Unacceptable",IF(AND(P23='G-1 All Habitats'!$X$3,W23&gt;0),"Any Loss Unacceptable",H23*J23*L23*O23))))),"Check Data ⚠")</f>
        <v/>
      </c>
      <c r="R23" s="50"/>
      <c r="S23" s="71"/>
      <c r="T23" s="72"/>
      <c r="U23" s="511" t="str">
        <f t="shared" si="2"/>
        <v/>
      </c>
      <c r="V23" s="511" t="str">
        <f t="shared" si="3"/>
        <v/>
      </c>
      <c r="W23" s="511" t="str">
        <f>IF(E23="","",IF(H23&lt;S23+T23,"Error in Areas ▲",IF(P23&lt;&gt;'G-1 All Habitats'!$X$3,H23-S23-T23,IF(AND(P23='G-1 All Habitats'!$X$3,Y23="Yes"),"Unacceptable Loss ▲",IF(AND(P23='G-1 All Habitats'!$X$3,Y23="No"),AC23,IF(AND(P23='G-1 All Habitats'!$X$3,Y23=""),AC23,IF(AND(P23='G-1 All Habitats'!$X$3,AC23="None",AC23),IF(AND(P23='G-1 All Habitats'!$X$3,AC23&gt;0),H23-S23-T23))))))))</f>
        <v/>
      </c>
      <c r="X23" s="545" t="str">
        <f>IFERROR(IF(H23="","",IF(H23-S23-T23=0&lt;0,"Error in Areas ▲",IF(S23+T23&gt;H23,"Error in Areas ▲",IF(AND(P23='G-1 All Habitats'!$X$3,Y23="Yes"),"Alternative Compensation",IF(W23=0,0,IF(P23='G-1 All Habitats'!$X$3,"Unacceptable Loss",Q23-U23-V23)))))),"Check Data ⚠")</f>
        <v/>
      </c>
      <c r="Y23" s="72"/>
      <c r="Z23" s="151"/>
      <c r="AA23" s="152"/>
      <c r="AC23" s="251" t="str">
        <f>IF(P23="","",IF(P23='G-1 All Habitats'!$X$3,H23-S23-T23,"None"))</f>
        <v/>
      </c>
      <c r="AD23" s="252" t="str">
        <f t="shared" si="4"/>
        <v/>
      </c>
      <c r="AF23" s="156" t="str">
        <f t="shared" si="0"/>
        <v/>
      </c>
      <c r="AG23" s="156" t="str">
        <f t="shared" si="1"/>
        <v/>
      </c>
      <c r="AH23" s="156" t="str">
        <f>IF(I23="","",IF(#REF!&gt;0,TRUE,FALSE))</f>
        <v/>
      </c>
      <c r="AI23" s="156">
        <v>13</v>
      </c>
      <c r="AJ23" s="156"/>
      <c r="AK23" s="156" t="str">
        <f t="array" ref="AK23">IFERROR(INDEX($AI$11:$AI$259, MATCH(0, IF(TRUE=$AF$11:$AF$259, COUNTIF($AK$10:$AK22, $AI$11:$AI$259), ""), 0)),"")</f>
        <v/>
      </c>
      <c r="AL23" s="156" t="str">
        <f t="array" ref="AL23">IFERROR(INDEX($AI$11:$AI$259, MATCH(0, IF(TRUE=$AG$11:$AG$259, COUNTIF($AL$10:$AL22, $AI$11:$AI$259), ""), 0)),"")</f>
        <v/>
      </c>
      <c r="AM23" s="156" t="str">
        <f t="array" ref="AM23">IFERROR(INDEX($AI$11:$AI$259, MATCH(0, IF(TRUE=$AH$11:$AH$259, COUNTIF($AM$10:$AM22, $AI$11:$AI$259), ""), 0)),"")</f>
        <v/>
      </c>
      <c r="AQ23" s="31">
        <f t="shared" si="5"/>
        <v>0</v>
      </c>
    </row>
    <row r="24" spans="1:43" x14ac:dyDescent="0.3">
      <c r="A24" s="31" t="str">
        <f>IFERROR(INDEX('G-1 All Habitats'!$AG$3:$AG$15,MATCH(E24,'G-1 All Habitats'!$AF$3:$AF$15,0)),"")</f>
        <v/>
      </c>
      <c r="B24" s="31" t="str">
        <f>IFERROR(INDEX('G-8 Condition Look up'!$I$4:$I$130,MATCH(G24,'G-8 Condition Look up'!$A$4:$A$130,0)),"")</f>
        <v/>
      </c>
      <c r="D24" s="141">
        <v>14</v>
      </c>
      <c r="E24" s="203"/>
      <c r="F24" s="203"/>
      <c r="G24" s="250" t="str">
        <f>IFERROR(INDEX('G-1 All Habitats'!$B$3:$B$129,MATCH(F24,'G-1 All Habitats'!$A$3:$A$129,0)),"")</f>
        <v/>
      </c>
      <c r="H24" s="172"/>
      <c r="I24" s="498" t="str">
        <f>IF(G24="","",VLOOKUP(G24,'G-1 All Habitats'!$B$2:$M$129,10,FALSE))</f>
        <v/>
      </c>
      <c r="J24" s="499" t="str">
        <f>IFERROR(VLOOKUP(I24,'G-1 All Habitats'!$V$3:$W$7,2,FALSE),"")</f>
        <v/>
      </c>
      <c r="K24" s="145"/>
      <c r="L24" s="499" t="str">
        <f>IFERROR(INDEX('G-8 Condition Look up'!$A$3:$H$130,MATCH(G24,'G-8 Condition Look up'!$A$3:$A$130,0),MATCH(K24,'G-8 Condition Look up'!$A$3:$H$3,0)),"")</f>
        <v/>
      </c>
      <c r="M24" s="154"/>
      <c r="N24" s="520" t="str">
        <f>IF(M24="","",IF(VLOOKUP(M24,'G-3 Multipliers'!$L$3:$N$6,2,FALSE)=0,"Spatial Data Missing ⚠",VLOOKUP(M24,'G-3 Multipliers'!$L$3:$N$6,2,FALSE)))</f>
        <v/>
      </c>
      <c r="O24" s="524" t="str">
        <f>IF(M24="","",IF(VLOOKUP(M24,'G-3 Multipliers'!$L$3:$N$6,3,FALSE)=0,"Spatial Data Missing ⚠",VLOOKUP(M24,'G-3 Multipliers'!$L$3:$N$6,3,FALSE)))</f>
        <v/>
      </c>
      <c r="P24" s="506" t="str">
        <f>IFERROR(VLOOKUP(G24,'G-1 All Habitats'!$B$2:$M$129,12,FALSE),"")</f>
        <v/>
      </c>
      <c r="Q24" s="513" t="str">
        <f>IFERROR(IF(P24="","",IF(AND(P24='G-1 All Habitats'!$X$3,T24&gt;0),U24+V24,IF(AND(P24='G-1 All Habitats'!$X$3,S24&gt;0),U24+V24,IF(AND(P24='G-1 All Habitats'!$X$3,AC24&gt;0),"Any Loss Unacceptable",IF(AND(P24='G-1 All Habitats'!$X$3,W24&gt;0),"Any Loss Unacceptable",H24*J24*L24*O24))))),"Check Data ⚠")</f>
        <v/>
      </c>
      <c r="R24" s="50"/>
      <c r="S24" s="71"/>
      <c r="T24" s="72"/>
      <c r="U24" s="511" t="str">
        <f t="shared" si="2"/>
        <v/>
      </c>
      <c r="V24" s="511" t="str">
        <f t="shared" si="3"/>
        <v/>
      </c>
      <c r="W24" s="511" t="str">
        <f>IF(E24="","",IF(H24&lt;S24+T24,"Error in Areas ▲",IF(P24&lt;&gt;'G-1 All Habitats'!$X$3,H24-S24-T24,IF(AND(P24='G-1 All Habitats'!$X$3,Y24="Yes"),"Unacceptable Loss ▲",IF(AND(P24='G-1 All Habitats'!$X$3,Y24="No"),AC24,IF(AND(P24='G-1 All Habitats'!$X$3,Y24=""),AC24,IF(AND(P24='G-1 All Habitats'!$X$3,AC24="None",AC24),IF(AND(P24='G-1 All Habitats'!$X$3,AC24&gt;0),H24-S24-T24))))))))</f>
        <v/>
      </c>
      <c r="X24" s="545" t="str">
        <f>IFERROR(IF(H24="","",IF(H24-S24-T24=0&lt;0,"Error in Areas ▲",IF(S24+T24&gt;H24,"Error in Areas ▲",IF(AND(P24='G-1 All Habitats'!$X$3,Y24="Yes"),"Alternative Compensation",IF(W24=0,0,IF(P24='G-1 All Habitats'!$X$3,"Unacceptable Loss",Q24-U24-V24)))))),"Check Data ⚠")</f>
        <v/>
      </c>
      <c r="Y24" s="72"/>
      <c r="Z24" s="151"/>
      <c r="AA24" s="152"/>
      <c r="AC24" s="251" t="str">
        <f>IF(P24="","",IF(P24='G-1 All Habitats'!$X$3,H24-S24-T24,"None"))</f>
        <v/>
      </c>
      <c r="AD24" s="252" t="str">
        <f t="shared" si="4"/>
        <v/>
      </c>
      <c r="AF24" s="156" t="str">
        <f t="shared" si="0"/>
        <v/>
      </c>
      <c r="AG24" s="156" t="str">
        <f t="shared" si="1"/>
        <v/>
      </c>
      <c r="AH24" s="156" t="str">
        <f>IF(I24="","",IF(#REF!&gt;0,TRUE,FALSE))</f>
        <v/>
      </c>
      <c r="AI24" s="156">
        <v>14</v>
      </c>
      <c r="AJ24" s="156"/>
      <c r="AK24" s="156" t="str">
        <f t="array" ref="AK24">IFERROR(INDEX($AI$11:$AI$259, MATCH(0, IF(TRUE=$AF$11:$AF$259, COUNTIF($AK$10:$AK23, $AI$11:$AI$259), ""), 0)),"")</f>
        <v/>
      </c>
      <c r="AL24" s="156" t="str">
        <f t="array" ref="AL24">IFERROR(INDEX($AI$11:$AI$259, MATCH(0, IF(TRUE=$AG$11:$AG$259, COUNTIF($AL$10:$AL23, $AI$11:$AI$259), ""), 0)),"")</f>
        <v/>
      </c>
      <c r="AM24" s="156" t="str">
        <f t="array" ref="AM24">IFERROR(INDEX($AI$11:$AI$259, MATCH(0, IF(TRUE=$AH$11:$AH$259, COUNTIF($AM$10:$AM23, $AI$11:$AI$259), ""), 0)),"")</f>
        <v/>
      </c>
      <c r="AQ24" s="31">
        <f t="shared" si="5"/>
        <v>0</v>
      </c>
    </row>
    <row r="25" spans="1:43" x14ac:dyDescent="0.3">
      <c r="A25" s="31" t="str">
        <f>IFERROR(INDEX('G-1 All Habitats'!$AG$3:$AG$15,MATCH(E25,'G-1 All Habitats'!$AF$3:$AF$15,0)),"")</f>
        <v/>
      </c>
      <c r="B25" s="31" t="str">
        <f>IFERROR(INDEX('G-8 Condition Look up'!$I$4:$I$130,MATCH(G25,'G-8 Condition Look up'!$A$4:$A$130,0)),"")</f>
        <v/>
      </c>
      <c r="D25" s="141">
        <v>15</v>
      </c>
      <c r="E25" s="203"/>
      <c r="F25" s="203"/>
      <c r="G25" s="250" t="str">
        <f>IFERROR(INDEX('G-1 All Habitats'!$B$3:$B$129,MATCH(F25,'G-1 All Habitats'!$A$3:$A$129,0)),"")</f>
        <v/>
      </c>
      <c r="H25" s="172"/>
      <c r="I25" s="498" t="str">
        <f>IF(G25="","",VLOOKUP(G25,'G-1 All Habitats'!$B$2:$M$129,10,FALSE))</f>
        <v/>
      </c>
      <c r="J25" s="499" t="str">
        <f>IFERROR(VLOOKUP(I25,'G-1 All Habitats'!$V$3:$W$7,2,FALSE),"")</f>
        <v/>
      </c>
      <c r="K25" s="145"/>
      <c r="L25" s="499" t="str">
        <f>IFERROR(INDEX('G-8 Condition Look up'!$A$3:$H$130,MATCH(G25,'G-8 Condition Look up'!$A$3:$A$130,0),MATCH(K25,'G-8 Condition Look up'!$A$3:$H$3,0)),"")</f>
        <v/>
      </c>
      <c r="M25" s="154"/>
      <c r="N25" s="520" t="str">
        <f>IF(M25="","",IF(VLOOKUP(M25,'G-3 Multipliers'!$L$3:$N$6,2,FALSE)=0,"Spatial Data Missing ⚠",VLOOKUP(M25,'G-3 Multipliers'!$L$3:$N$6,2,FALSE)))</f>
        <v/>
      </c>
      <c r="O25" s="524" t="str">
        <f>IF(M25="","",IF(VLOOKUP(M25,'G-3 Multipliers'!$L$3:$N$6,3,FALSE)=0,"Spatial Data Missing ⚠",VLOOKUP(M25,'G-3 Multipliers'!$L$3:$N$6,3,FALSE)))</f>
        <v/>
      </c>
      <c r="P25" s="506" t="str">
        <f>IFERROR(VLOOKUP(G25,'G-1 All Habitats'!$B$2:$M$129,12,FALSE),"")</f>
        <v/>
      </c>
      <c r="Q25" s="513" t="str">
        <f>IFERROR(IF(P25="","",IF(AND(P25='G-1 All Habitats'!$X$3,T25&gt;0),U25+V25,IF(AND(P25='G-1 All Habitats'!$X$3,S25&gt;0),U25+V25,IF(AND(P25='G-1 All Habitats'!$X$3,AC25&gt;0),"Any Loss Unacceptable",IF(AND(P25='G-1 All Habitats'!$X$3,W25&gt;0),"Any Loss Unacceptable",H25*J25*L25*O25))))),"Check Data ⚠")</f>
        <v/>
      </c>
      <c r="R25" s="50"/>
      <c r="S25" s="71"/>
      <c r="T25" s="72"/>
      <c r="U25" s="511" t="str">
        <f t="shared" si="2"/>
        <v/>
      </c>
      <c r="V25" s="511" t="str">
        <f t="shared" si="3"/>
        <v/>
      </c>
      <c r="W25" s="511" t="str">
        <f>IF(E25="","",IF(H25&lt;S25+T25,"Error in Areas ▲",IF(P25&lt;&gt;'G-1 All Habitats'!$X$3,H25-S25-T25,IF(AND(P25='G-1 All Habitats'!$X$3,Y25="Yes"),"Unacceptable Loss ▲",IF(AND(P25='G-1 All Habitats'!$X$3,Y25="No"),AC25,IF(AND(P25='G-1 All Habitats'!$X$3,Y25=""),AC25,IF(AND(P25='G-1 All Habitats'!$X$3,AC25="None",AC25),IF(AND(P25='G-1 All Habitats'!$X$3,AC25&gt;0),H25-S25-T25))))))))</f>
        <v/>
      </c>
      <c r="X25" s="545" t="str">
        <f>IFERROR(IF(H25="","",IF(H25-S25-T25=0&lt;0,"Error in Areas ▲",IF(S25+T25&gt;H25,"Error in Areas ▲",IF(AND(P25='G-1 All Habitats'!$X$3,Y25="Yes"),"Alternative Compensation",IF(W25=0,0,IF(P25='G-1 All Habitats'!$X$3,"Unacceptable Loss",Q25-U25-V25)))))),"Check Data ⚠")</f>
        <v/>
      </c>
      <c r="Y25" s="72"/>
      <c r="Z25" s="151"/>
      <c r="AA25" s="152"/>
      <c r="AC25" s="251" t="str">
        <f>IF(P25="","",IF(P25='G-1 All Habitats'!$X$3,H25-S25-T25,"None"))</f>
        <v/>
      </c>
      <c r="AD25" s="252" t="str">
        <f t="shared" si="4"/>
        <v/>
      </c>
      <c r="AF25" s="156" t="str">
        <f t="shared" si="0"/>
        <v/>
      </c>
      <c r="AG25" s="156" t="str">
        <f t="shared" si="1"/>
        <v/>
      </c>
      <c r="AH25" s="156" t="str">
        <f>IF(I25="","",IF(#REF!&gt;0,TRUE,FALSE))</f>
        <v/>
      </c>
      <c r="AI25" s="156">
        <v>15</v>
      </c>
      <c r="AJ25" s="156"/>
      <c r="AK25" s="156" t="str">
        <f t="array" ref="AK25">IFERROR(INDEX($AI$11:$AI$259, MATCH(0, IF(TRUE=$AF$11:$AF$259, COUNTIF($AK$10:$AK24, $AI$11:$AI$259), ""), 0)),"")</f>
        <v/>
      </c>
      <c r="AL25" s="156" t="str">
        <f t="array" ref="AL25">IFERROR(INDEX($AI$11:$AI$259, MATCH(0, IF(TRUE=$AG$11:$AG$259, COUNTIF($AL$10:$AL24, $AI$11:$AI$259), ""), 0)),"")</f>
        <v/>
      </c>
      <c r="AM25" s="156" t="str">
        <f t="array" ref="AM25">IFERROR(INDEX($AI$11:$AI$259, MATCH(0, IF(TRUE=$AH$11:$AH$259, COUNTIF($AM$10:$AM24, $AI$11:$AI$259), ""), 0)),"")</f>
        <v/>
      </c>
      <c r="AQ25" s="31">
        <f t="shared" si="5"/>
        <v>0</v>
      </c>
    </row>
    <row r="26" spans="1:43" x14ac:dyDescent="0.3">
      <c r="A26" s="31" t="str">
        <f>IFERROR(INDEX('G-1 All Habitats'!$AG$3:$AG$15,MATCH(E26,'G-1 All Habitats'!$AF$3:$AF$15,0)),"")</f>
        <v/>
      </c>
      <c r="B26" s="31" t="str">
        <f>IFERROR(INDEX('G-8 Condition Look up'!$I$4:$I$130,MATCH(G26,'G-8 Condition Look up'!$A$4:$A$130,0)),"")</f>
        <v/>
      </c>
      <c r="D26" s="141">
        <v>16</v>
      </c>
      <c r="E26" s="203"/>
      <c r="F26" s="203"/>
      <c r="G26" s="250" t="str">
        <f>IFERROR(INDEX('G-1 All Habitats'!$B$3:$B$129,MATCH(F26,'G-1 All Habitats'!$A$3:$A$129,0)),"")</f>
        <v/>
      </c>
      <c r="H26" s="172"/>
      <c r="I26" s="498" t="str">
        <f>IF(G26="","",VLOOKUP(G26,'G-1 All Habitats'!$B$2:$M$129,10,FALSE))</f>
        <v/>
      </c>
      <c r="J26" s="499" t="str">
        <f>IFERROR(VLOOKUP(I26,'G-1 All Habitats'!$V$3:$W$7,2,FALSE),"")</f>
        <v/>
      </c>
      <c r="K26" s="145"/>
      <c r="L26" s="499" t="str">
        <f>IFERROR(INDEX('G-8 Condition Look up'!$A$3:$H$130,MATCH(G26,'G-8 Condition Look up'!$A$3:$A$130,0),MATCH(K26,'G-8 Condition Look up'!$A$3:$H$3,0)),"")</f>
        <v/>
      </c>
      <c r="M26" s="154"/>
      <c r="N26" s="520" t="str">
        <f>IF(M26="","",IF(VLOOKUP(M26,'G-3 Multipliers'!$L$3:$N$6,2,FALSE)=0,"Spatial Data Missing ⚠",VLOOKUP(M26,'G-3 Multipliers'!$L$3:$N$6,2,FALSE)))</f>
        <v/>
      </c>
      <c r="O26" s="524" t="str">
        <f>IF(M26="","",IF(VLOOKUP(M26,'G-3 Multipliers'!$L$3:$N$6,3,FALSE)=0,"Spatial Data Missing ⚠",VLOOKUP(M26,'G-3 Multipliers'!$L$3:$N$6,3,FALSE)))</f>
        <v/>
      </c>
      <c r="P26" s="506" t="str">
        <f>IFERROR(VLOOKUP(G26,'G-1 All Habitats'!$B$2:$M$129,12,FALSE),"")</f>
        <v/>
      </c>
      <c r="Q26" s="513" t="str">
        <f>IFERROR(IF(P26="","",IF(AND(P26='G-1 All Habitats'!$X$3,T26&gt;0),U26+V26,IF(AND(P26='G-1 All Habitats'!$X$3,S26&gt;0),U26+V26,IF(AND(P26='G-1 All Habitats'!$X$3,AC26&gt;0),"Any Loss Unacceptable",IF(AND(P26='G-1 All Habitats'!$X$3,W26&gt;0),"Any Loss Unacceptable",H26*J26*L26*O26))))),"Check Data ⚠")</f>
        <v/>
      </c>
      <c r="R26" s="50"/>
      <c r="S26" s="71"/>
      <c r="T26" s="72"/>
      <c r="U26" s="511" t="str">
        <f t="shared" si="2"/>
        <v/>
      </c>
      <c r="V26" s="511" t="str">
        <f t="shared" si="3"/>
        <v/>
      </c>
      <c r="W26" s="511" t="str">
        <f>IF(E26="","",IF(H26&lt;S26+T26,"Error in Areas ▲",IF(P26&lt;&gt;'G-1 All Habitats'!$X$3,H26-S26-T26,IF(AND(P26='G-1 All Habitats'!$X$3,Y26="Yes"),"Unacceptable Loss ▲",IF(AND(P26='G-1 All Habitats'!$X$3,Y26="No"),AC26,IF(AND(P26='G-1 All Habitats'!$X$3,Y26=""),AC26,IF(AND(P26='G-1 All Habitats'!$X$3,AC26="None",AC26),IF(AND(P26='G-1 All Habitats'!$X$3,AC26&gt;0),H26-S26-T26))))))))</f>
        <v/>
      </c>
      <c r="X26" s="545" t="str">
        <f>IFERROR(IF(H26="","",IF(H26-S26-T26=0&lt;0,"Error in Areas ▲",IF(S26+T26&gt;H26,"Error in Areas ▲",IF(AND(P26='G-1 All Habitats'!$X$3,Y26="Yes"),"Alternative Compensation",IF(W26=0,0,IF(P26='G-1 All Habitats'!$X$3,"Unacceptable Loss",Q26-U26-V26)))))),"Check Data ⚠")</f>
        <v/>
      </c>
      <c r="Y26" s="72"/>
      <c r="Z26" s="151"/>
      <c r="AA26" s="152"/>
      <c r="AC26" s="251" t="str">
        <f>IF(P26="","",IF(P26='G-1 All Habitats'!$X$3,H26-S26-T26,"None"))</f>
        <v/>
      </c>
      <c r="AD26" s="252" t="str">
        <f t="shared" si="4"/>
        <v/>
      </c>
      <c r="AF26" s="156" t="str">
        <f t="shared" si="0"/>
        <v/>
      </c>
      <c r="AG26" s="156" t="str">
        <f t="shared" si="1"/>
        <v/>
      </c>
      <c r="AH26" s="156" t="str">
        <f>IF(I26="","",IF(#REF!&gt;0,TRUE,FALSE))</f>
        <v/>
      </c>
      <c r="AI26" s="156">
        <v>16</v>
      </c>
      <c r="AJ26" s="156"/>
      <c r="AK26" s="156" t="str">
        <f t="array" ref="AK26">IFERROR(INDEX($AI$11:$AI$259, MATCH(0, IF(TRUE=$AF$11:$AF$259, COUNTIF($AK$10:$AK25, $AI$11:$AI$259), ""), 0)),"")</f>
        <v/>
      </c>
      <c r="AL26" s="156" t="str">
        <f t="array" ref="AL26">IFERROR(INDEX($AI$11:$AI$259, MATCH(0, IF(TRUE=$AG$11:$AG$259, COUNTIF($AL$10:$AL25, $AI$11:$AI$259), ""), 0)),"")</f>
        <v/>
      </c>
      <c r="AM26" s="156" t="str">
        <f t="array" ref="AM26">IFERROR(INDEX($AI$11:$AI$259, MATCH(0, IF(TRUE=$AH$11:$AH$259, COUNTIF($AM$10:$AM25, $AI$11:$AI$259), ""), 0)),"")</f>
        <v/>
      </c>
      <c r="AQ26" s="31">
        <f t="shared" si="5"/>
        <v>0</v>
      </c>
    </row>
    <row r="27" spans="1:43" x14ac:dyDescent="0.3">
      <c r="A27" s="31" t="str">
        <f>IFERROR(INDEX('G-1 All Habitats'!$AG$3:$AG$15,MATCH(E27,'G-1 All Habitats'!$AF$3:$AF$15,0)),"")</f>
        <v/>
      </c>
      <c r="B27" s="31" t="str">
        <f>IFERROR(INDEX('G-8 Condition Look up'!$I$4:$I$130,MATCH(G27,'G-8 Condition Look up'!$A$4:$A$130,0)),"")</f>
        <v/>
      </c>
      <c r="D27" s="141">
        <v>17</v>
      </c>
      <c r="E27" s="203"/>
      <c r="F27" s="203"/>
      <c r="G27" s="250" t="str">
        <f>IFERROR(INDEX('G-1 All Habitats'!$B$3:$B$129,MATCH(F27,'G-1 All Habitats'!$A$3:$A$129,0)),"")</f>
        <v/>
      </c>
      <c r="H27" s="172"/>
      <c r="I27" s="498" t="str">
        <f>IF(G27="","",VLOOKUP(G27,'G-1 All Habitats'!$B$2:$M$129,10,FALSE))</f>
        <v/>
      </c>
      <c r="J27" s="499" t="str">
        <f>IFERROR(VLOOKUP(I27,'G-1 All Habitats'!$V$3:$W$7,2,FALSE),"")</f>
        <v/>
      </c>
      <c r="K27" s="145"/>
      <c r="L27" s="499" t="str">
        <f>IFERROR(INDEX('G-8 Condition Look up'!$A$3:$H$130,MATCH(G27,'G-8 Condition Look up'!$A$3:$A$130,0),MATCH(K27,'G-8 Condition Look up'!$A$3:$H$3,0)),"")</f>
        <v/>
      </c>
      <c r="M27" s="154"/>
      <c r="N27" s="520" t="str">
        <f>IF(M27="","",IF(VLOOKUP(M27,'G-3 Multipliers'!$L$3:$N$6,2,FALSE)=0,"Spatial Data Missing ⚠",VLOOKUP(M27,'G-3 Multipliers'!$L$3:$N$6,2,FALSE)))</f>
        <v/>
      </c>
      <c r="O27" s="524" t="str">
        <f>IF(M27="","",IF(VLOOKUP(M27,'G-3 Multipliers'!$L$3:$N$6,3,FALSE)=0,"Spatial Data Missing ⚠",VLOOKUP(M27,'G-3 Multipliers'!$L$3:$N$6,3,FALSE)))</f>
        <v/>
      </c>
      <c r="P27" s="506" t="str">
        <f>IFERROR(VLOOKUP(G27,'G-1 All Habitats'!$B$2:$M$129,12,FALSE),"")</f>
        <v/>
      </c>
      <c r="Q27" s="513" t="str">
        <f>IFERROR(IF(P27="","",IF(AND(P27='G-1 All Habitats'!$X$3,T27&gt;0),U27+V27,IF(AND(P27='G-1 All Habitats'!$X$3,S27&gt;0),U27+V27,IF(AND(P27='G-1 All Habitats'!$X$3,AC27&gt;0),"Any Loss Unacceptable",IF(AND(P27='G-1 All Habitats'!$X$3,W27&gt;0),"Any Loss Unacceptable",H27*J27*L27*O27))))),"Check Data ⚠")</f>
        <v/>
      </c>
      <c r="R27" s="50"/>
      <c r="S27" s="71"/>
      <c r="T27" s="72"/>
      <c r="U27" s="511" t="str">
        <f t="shared" si="2"/>
        <v/>
      </c>
      <c r="V27" s="511" t="str">
        <f t="shared" si="3"/>
        <v/>
      </c>
      <c r="W27" s="511" t="str">
        <f>IF(E27="","",IF(H27&lt;S27+T27,"Error in Areas ▲",IF(P27&lt;&gt;'G-1 All Habitats'!$X$3,H27-S27-T27,IF(AND(P27='G-1 All Habitats'!$X$3,Y27="Yes"),"Unacceptable Loss ▲",IF(AND(P27='G-1 All Habitats'!$X$3,Y27="No"),AC27,IF(AND(P27='G-1 All Habitats'!$X$3,Y27=""),AC27,IF(AND(P27='G-1 All Habitats'!$X$3,AC27="None",AC27),IF(AND(P27='G-1 All Habitats'!$X$3,AC27&gt;0),H27-S27-T27))))))))</f>
        <v/>
      </c>
      <c r="X27" s="545" t="str">
        <f>IFERROR(IF(H27="","",IF(H27-S27-T27=0&lt;0,"Error in Areas ▲",IF(S27+T27&gt;H27,"Error in Areas ▲",IF(AND(P27='G-1 All Habitats'!$X$3,Y27="Yes"),"Alternative Compensation",IF(W27=0,0,IF(P27='G-1 All Habitats'!$X$3,"Unacceptable Loss",Q27-U27-V27)))))),"Check Data ⚠")</f>
        <v/>
      </c>
      <c r="Y27" s="72"/>
      <c r="Z27" s="151"/>
      <c r="AA27" s="152"/>
      <c r="AC27" s="251" t="str">
        <f>IF(P27="","",IF(P27='G-1 All Habitats'!$X$3,H27-S27-T27,"None"))</f>
        <v/>
      </c>
      <c r="AD27" s="252" t="str">
        <f t="shared" si="4"/>
        <v/>
      </c>
      <c r="AF27" s="156" t="str">
        <f t="shared" si="0"/>
        <v/>
      </c>
      <c r="AG27" s="156" t="str">
        <f t="shared" si="1"/>
        <v/>
      </c>
      <c r="AH27" s="156" t="str">
        <f>IF(I27="","",IF(#REF!&gt;0,TRUE,FALSE))</f>
        <v/>
      </c>
      <c r="AI27" s="156">
        <v>17</v>
      </c>
      <c r="AJ27" s="156"/>
      <c r="AK27" s="156" t="str">
        <f t="array" ref="AK27">IFERROR(INDEX($AI$11:$AI$259, MATCH(0, IF(TRUE=$AF$11:$AF$259, COUNTIF($AK$10:$AK26, $AI$11:$AI$259), ""), 0)),"")</f>
        <v/>
      </c>
      <c r="AL27" s="156" t="str">
        <f t="array" ref="AL27">IFERROR(INDEX($AI$11:$AI$259, MATCH(0, IF(TRUE=$AG$11:$AG$259, COUNTIF($AL$10:$AL26, $AI$11:$AI$259), ""), 0)),"")</f>
        <v/>
      </c>
      <c r="AM27" s="156" t="str">
        <f t="array" ref="AM27">IFERROR(INDEX($AI$11:$AI$259, MATCH(0, IF(TRUE=$AH$11:$AH$259, COUNTIF($AM$10:$AM26, $AI$11:$AI$259), ""), 0)),"")</f>
        <v/>
      </c>
      <c r="AQ27" s="31">
        <f t="shared" si="5"/>
        <v>0</v>
      </c>
    </row>
    <row r="28" spans="1:43" x14ac:dyDescent="0.3">
      <c r="A28" s="31" t="str">
        <f>IFERROR(INDEX('G-1 All Habitats'!$AG$3:$AG$15,MATCH(E28,'G-1 All Habitats'!$AF$3:$AF$15,0)),"")</f>
        <v/>
      </c>
      <c r="B28" s="31" t="str">
        <f>IFERROR(INDEX('G-8 Condition Look up'!$I$4:$I$130,MATCH(G28,'G-8 Condition Look up'!$A$4:$A$130,0)),"")</f>
        <v/>
      </c>
      <c r="D28" s="141">
        <v>18</v>
      </c>
      <c r="E28" s="203"/>
      <c r="F28" s="203"/>
      <c r="G28" s="250" t="str">
        <f>IFERROR(INDEX('G-1 All Habitats'!$B$3:$B$129,MATCH(F28,'G-1 All Habitats'!$A$3:$A$129,0)),"")</f>
        <v/>
      </c>
      <c r="H28" s="172"/>
      <c r="I28" s="498" t="str">
        <f>IF(G28="","",VLOOKUP(G28,'G-1 All Habitats'!$B$2:$M$129,10,FALSE))</f>
        <v/>
      </c>
      <c r="J28" s="499" t="str">
        <f>IFERROR(VLOOKUP(I28,'G-1 All Habitats'!$V$3:$W$7,2,FALSE),"")</f>
        <v/>
      </c>
      <c r="K28" s="145"/>
      <c r="L28" s="499" t="str">
        <f>IFERROR(INDEX('G-8 Condition Look up'!$A$3:$H$130,MATCH(G28,'G-8 Condition Look up'!$A$3:$A$130,0),MATCH(K28,'G-8 Condition Look up'!$A$3:$H$3,0)),"")</f>
        <v/>
      </c>
      <c r="M28" s="154"/>
      <c r="N28" s="520" t="str">
        <f>IF(M28="","",IF(VLOOKUP(M28,'G-3 Multipliers'!$L$3:$N$6,2,FALSE)=0,"Spatial Data Missing ⚠",VLOOKUP(M28,'G-3 Multipliers'!$L$3:$N$6,2,FALSE)))</f>
        <v/>
      </c>
      <c r="O28" s="524" t="str">
        <f>IF(M28="","",IF(VLOOKUP(M28,'G-3 Multipliers'!$L$3:$N$6,3,FALSE)=0,"Spatial Data Missing ⚠",VLOOKUP(M28,'G-3 Multipliers'!$L$3:$N$6,3,FALSE)))</f>
        <v/>
      </c>
      <c r="P28" s="506" t="str">
        <f>IFERROR(VLOOKUP(G28,'G-1 All Habitats'!$B$2:$M$129,12,FALSE),"")</f>
        <v/>
      </c>
      <c r="Q28" s="513" t="str">
        <f>IFERROR(IF(P28="","",IF(AND(P28='G-1 All Habitats'!$X$3,T28&gt;0),U28+V28,IF(AND(P28='G-1 All Habitats'!$X$3,S28&gt;0),U28+V28,IF(AND(P28='G-1 All Habitats'!$X$3,AC28&gt;0),"Any Loss Unacceptable",IF(AND(P28='G-1 All Habitats'!$X$3,W28&gt;0),"Any Loss Unacceptable",H28*J28*L28*O28))))),"Check Data ⚠")</f>
        <v/>
      </c>
      <c r="R28" s="50"/>
      <c r="S28" s="71"/>
      <c r="T28" s="72"/>
      <c r="U28" s="511" t="str">
        <f t="shared" si="2"/>
        <v/>
      </c>
      <c r="V28" s="511" t="str">
        <f t="shared" si="3"/>
        <v/>
      </c>
      <c r="W28" s="511" t="str">
        <f>IF(E28="","",IF(H28&lt;S28+T28,"Error in Areas ▲",IF(P28&lt;&gt;'G-1 All Habitats'!$X$3,H28-S28-T28,IF(AND(P28='G-1 All Habitats'!$X$3,Y28="Yes"),"Unacceptable Loss ▲",IF(AND(P28='G-1 All Habitats'!$X$3,Y28="No"),AC28,IF(AND(P28='G-1 All Habitats'!$X$3,Y28=""),AC28,IF(AND(P28='G-1 All Habitats'!$X$3,AC28="None",AC28),IF(AND(P28='G-1 All Habitats'!$X$3,AC28&gt;0),H28-S28-T28))))))))</f>
        <v/>
      </c>
      <c r="X28" s="545" t="str">
        <f>IFERROR(IF(H28="","",IF(H28-S28-T28=0&lt;0,"Error in Areas ▲",IF(S28+T28&gt;H28,"Error in Areas ▲",IF(AND(P28='G-1 All Habitats'!$X$3,Y28="Yes"),"Alternative Compensation",IF(W28=0,0,IF(P28='G-1 All Habitats'!$X$3,"Unacceptable Loss",Q28-U28-V28)))))),"Check Data ⚠")</f>
        <v/>
      </c>
      <c r="Y28" s="72"/>
      <c r="Z28" s="151"/>
      <c r="AA28" s="152"/>
      <c r="AC28" s="251" t="str">
        <f>IF(P28="","",IF(P28='G-1 All Habitats'!$X$3,H28-S28-T28,"None"))</f>
        <v/>
      </c>
      <c r="AD28" s="252" t="str">
        <f t="shared" si="4"/>
        <v/>
      </c>
      <c r="AF28" s="156" t="str">
        <f t="shared" si="0"/>
        <v/>
      </c>
      <c r="AG28" s="156" t="str">
        <f t="shared" si="1"/>
        <v/>
      </c>
      <c r="AH28" s="156" t="str">
        <f>IF(I28="","",IF(#REF!&gt;0,TRUE,FALSE))</f>
        <v/>
      </c>
      <c r="AI28" s="156">
        <v>18</v>
      </c>
      <c r="AJ28" s="156"/>
      <c r="AK28" s="156" t="str">
        <f t="array" ref="AK28">IFERROR(INDEX($AI$11:$AI$259, MATCH(0, IF(TRUE=$AF$11:$AF$259, COUNTIF($AK$10:$AK27, $AI$11:$AI$259), ""), 0)),"")</f>
        <v/>
      </c>
      <c r="AL28" s="156" t="str">
        <f t="array" ref="AL28">IFERROR(INDEX($AI$11:$AI$259, MATCH(0, IF(TRUE=$AG$11:$AG$259, COUNTIF($AL$10:$AL27, $AI$11:$AI$259), ""), 0)),"")</f>
        <v/>
      </c>
      <c r="AM28" s="156" t="str">
        <f t="array" ref="AM28">IFERROR(INDEX($AI$11:$AI$259, MATCH(0, IF(TRUE=$AH$11:$AH$259, COUNTIF($AM$10:$AM27, $AI$11:$AI$259), ""), 0)),"")</f>
        <v/>
      </c>
      <c r="AQ28" s="31">
        <f t="shared" si="5"/>
        <v>0</v>
      </c>
    </row>
    <row r="29" spans="1:43" x14ac:dyDescent="0.3">
      <c r="A29" s="31" t="str">
        <f>IFERROR(INDEX('G-1 All Habitats'!$AG$3:$AG$15,MATCH(E29,'G-1 All Habitats'!$AF$3:$AF$15,0)),"")</f>
        <v/>
      </c>
      <c r="B29" s="31" t="str">
        <f>IFERROR(INDEX('G-8 Condition Look up'!$I$4:$I$130,MATCH(G29,'G-8 Condition Look up'!$A$4:$A$130,0)),"")</f>
        <v/>
      </c>
      <c r="D29" s="141">
        <v>19</v>
      </c>
      <c r="E29" s="203"/>
      <c r="F29" s="203"/>
      <c r="G29" s="250" t="str">
        <f>IFERROR(INDEX('G-1 All Habitats'!$B$3:$B$129,MATCH(F29,'G-1 All Habitats'!$A$3:$A$129,0)),"")</f>
        <v/>
      </c>
      <c r="H29" s="172"/>
      <c r="I29" s="498" t="str">
        <f>IF(G29="","",VLOOKUP(G29,'G-1 All Habitats'!$B$2:$M$129,10,FALSE))</f>
        <v/>
      </c>
      <c r="J29" s="499" t="str">
        <f>IFERROR(VLOOKUP(I29,'G-1 All Habitats'!$V$3:$W$7,2,FALSE),"")</f>
        <v/>
      </c>
      <c r="K29" s="145"/>
      <c r="L29" s="499" t="str">
        <f>IFERROR(INDEX('G-8 Condition Look up'!$A$3:$H$130,MATCH(G29,'G-8 Condition Look up'!$A$3:$A$130,0),MATCH(K29,'G-8 Condition Look up'!$A$3:$H$3,0)),"")</f>
        <v/>
      </c>
      <c r="M29" s="154"/>
      <c r="N29" s="520" t="str">
        <f>IF(M29="","",IF(VLOOKUP(M29,'G-3 Multipliers'!$L$3:$N$6,2,FALSE)=0,"Spatial Data Missing ⚠",VLOOKUP(M29,'G-3 Multipliers'!$L$3:$N$6,2,FALSE)))</f>
        <v/>
      </c>
      <c r="O29" s="524" t="str">
        <f>IF(M29="","",IF(VLOOKUP(M29,'G-3 Multipliers'!$L$3:$N$6,3,FALSE)=0,"Spatial Data Missing ⚠",VLOOKUP(M29,'G-3 Multipliers'!$L$3:$N$6,3,FALSE)))</f>
        <v/>
      </c>
      <c r="P29" s="506" t="str">
        <f>IFERROR(VLOOKUP(G29,'G-1 All Habitats'!$B$2:$M$129,12,FALSE),"")</f>
        <v/>
      </c>
      <c r="Q29" s="513" t="str">
        <f>IFERROR(IF(P29="","",IF(AND(P29='G-1 All Habitats'!$X$3,T29&gt;0),U29+V29,IF(AND(P29='G-1 All Habitats'!$X$3,S29&gt;0),U29+V29,IF(AND(P29='G-1 All Habitats'!$X$3,AC29&gt;0),"Any Loss Unacceptable",IF(AND(P29='G-1 All Habitats'!$X$3,W29&gt;0),"Any Loss Unacceptable",H29*J29*L29*O29))))),"Check Data ⚠")</f>
        <v/>
      </c>
      <c r="R29" s="50"/>
      <c r="S29" s="71"/>
      <c r="T29" s="72"/>
      <c r="U29" s="511" t="str">
        <f t="shared" si="2"/>
        <v/>
      </c>
      <c r="V29" s="511" t="str">
        <f t="shared" si="3"/>
        <v/>
      </c>
      <c r="W29" s="511" t="str">
        <f>IF(E29="","",IF(H29&lt;S29+T29,"Error in Areas ▲",IF(P29&lt;&gt;'G-1 All Habitats'!$X$3,H29-S29-T29,IF(AND(P29='G-1 All Habitats'!$X$3,Y29="Yes"),"Unacceptable Loss ▲",IF(AND(P29='G-1 All Habitats'!$X$3,Y29="No"),AC29,IF(AND(P29='G-1 All Habitats'!$X$3,Y29=""),AC29,IF(AND(P29='G-1 All Habitats'!$X$3,AC29="None",AC29),IF(AND(P29='G-1 All Habitats'!$X$3,AC29&gt;0),H29-S29-T29))))))))</f>
        <v/>
      </c>
      <c r="X29" s="545" t="str">
        <f>IFERROR(IF(H29="","",IF(H29-S29-T29=0&lt;0,"Error in Areas ▲",IF(S29+T29&gt;H29,"Error in Areas ▲",IF(AND(P29='G-1 All Habitats'!$X$3,Y29="Yes"),"Alternative Compensation",IF(W29=0,0,IF(P29='G-1 All Habitats'!$X$3,"Unacceptable Loss",Q29-U29-V29)))))),"Check Data ⚠")</f>
        <v/>
      </c>
      <c r="Y29" s="72"/>
      <c r="Z29" s="151"/>
      <c r="AA29" s="152"/>
      <c r="AC29" s="251" t="str">
        <f>IF(P29="","",IF(P29='G-1 All Habitats'!$X$3,H29-S29-T29,"None"))</f>
        <v/>
      </c>
      <c r="AD29" s="252" t="str">
        <f t="shared" si="4"/>
        <v/>
      </c>
      <c r="AF29" s="156" t="str">
        <f t="shared" si="0"/>
        <v/>
      </c>
      <c r="AG29" s="156" t="str">
        <f t="shared" si="1"/>
        <v/>
      </c>
      <c r="AH29" s="156" t="str">
        <f>IF(I29="","",IF(#REF!&gt;0,TRUE,FALSE))</f>
        <v/>
      </c>
      <c r="AI29" s="156">
        <v>19</v>
      </c>
      <c r="AJ29" s="156"/>
      <c r="AK29" s="156" t="str">
        <f t="array" ref="AK29">IFERROR(INDEX($AI$11:$AI$259, MATCH(0, IF(TRUE=$AF$11:$AF$259, COUNTIF($AK$10:$AK28, $AI$11:$AI$259), ""), 0)),"")</f>
        <v/>
      </c>
      <c r="AL29" s="156" t="str">
        <f t="array" ref="AL29">IFERROR(INDEX($AI$11:$AI$259, MATCH(0, IF(TRUE=$AG$11:$AG$259, COUNTIF($AL$10:$AL28, $AI$11:$AI$259), ""), 0)),"")</f>
        <v/>
      </c>
      <c r="AM29" s="156" t="str">
        <f t="array" ref="AM29">IFERROR(INDEX($AI$11:$AI$259, MATCH(0, IF(TRUE=$AH$11:$AH$259, COUNTIF($AM$10:$AM28, $AI$11:$AI$259), ""), 0)),"")</f>
        <v/>
      </c>
      <c r="AQ29" s="31">
        <f t="shared" si="5"/>
        <v>0</v>
      </c>
    </row>
    <row r="30" spans="1:43" x14ac:dyDescent="0.3">
      <c r="A30" s="31" t="str">
        <f>IFERROR(INDEX('G-1 All Habitats'!$AG$3:$AG$15,MATCH(E30,'G-1 All Habitats'!$AF$3:$AF$15,0)),"")</f>
        <v/>
      </c>
      <c r="B30" s="31" t="str">
        <f>IFERROR(INDEX('G-8 Condition Look up'!$I$4:$I$130,MATCH(G30,'G-8 Condition Look up'!$A$4:$A$130,0)),"")</f>
        <v/>
      </c>
      <c r="D30" s="141">
        <v>20</v>
      </c>
      <c r="E30" s="203"/>
      <c r="F30" s="203"/>
      <c r="G30" s="250" t="str">
        <f>IFERROR(INDEX('G-1 All Habitats'!$B$3:$B$129,MATCH(F30,'G-1 All Habitats'!$A$3:$A$129,0)),"")</f>
        <v/>
      </c>
      <c r="H30" s="172"/>
      <c r="I30" s="498" t="str">
        <f>IF(G30="","",VLOOKUP(G30,'G-1 All Habitats'!$B$2:$M$129,10,FALSE))</f>
        <v/>
      </c>
      <c r="J30" s="499" t="str">
        <f>IFERROR(VLOOKUP(I30,'G-1 All Habitats'!$V$3:$W$7,2,FALSE),"")</f>
        <v/>
      </c>
      <c r="K30" s="145"/>
      <c r="L30" s="499" t="str">
        <f>IFERROR(INDEX('G-8 Condition Look up'!$A$3:$H$130,MATCH(G30,'G-8 Condition Look up'!$A$3:$A$130,0),MATCH(K30,'G-8 Condition Look up'!$A$3:$H$3,0)),"")</f>
        <v/>
      </c>
      <c r="M30" s="154"/>
      <c r="N30" s="520" t="str">
        <f>IF(M30="","",IF(VLOOKUP(M30,'G-3 Multipliers'!$L$3:$N$6,2,FALSE)=0,"Spatial Data Missing ⚠",VLOOKUP(M30,'G-3 Multipliers'!$L$3:$N$6,2,FALSE)))</f>
        <v/>
      </c>
      <c r="O30" s="524" t="str">
        <f>IF(M30="","",IF(VLOOKUP(M30,'G-3 Multipliers'!$L$3:$N$6,3,FALSE)=0,"Spatial Data Missing ⚠",VLOOKUP(M30,'G-3 Multipliers'!$L$3:$N$6,3,FALSE)))</f>
        <v/>
      </c>
      <c r="P30" s="506" t="str">
        <f>IFERROR(VLOOKUP(G30,'G-1 All Habitats'!$B$2:$M$129,12,FALSE),"")</f>
        <v/>
      </c>
      <c r="Q30" s="513" t="str">
        <f>IFERROR(IF(P30="","",IF(AND(P30='G-1 All Habitats'!$X$3,T30&gt;0),U30+V30,IF(AND(P30='G-1 All Habitats'!$X$3,S30&gt;0),U30+V30,IF(AND(P30='G-1 All Habitats'!$X$3,AC30&gt;0),"Any Loss Unacceptable",IF(AND(P30='G-1 All Habitats'!$X$3,W30&gt;0),"Any Loss Unacceptable",H30*J30*L30*O30))))),"Check Data ⚠")</f>
        <v/>
      </c>
      <c r="R30" s="50"/>
      <c r="S30" s="71"/>
      <c r="T30" s="72"/>
      <c r="U30" s="511" t="str">
        <f t="shared" si="2"/>
        <v/>
      </c>
      <c r="V30" s="511" t="str">
        <f t="shared" si="3"/>
        <v/>
      </c>
      <c r="W30" s="511" t="str">
        <f>IF(E30="","",IF(H30&lt;S30+T30,"Error in Areas ▲",IF(P30&lt;&gt;'G-1 All Habitats'!$X$3,H30-S30-T30,IF(AND(P30='G-1 All Habitats'!$X$3,Y30="Yes"),"Unacceptable Loss ▲",IF(AND(P30='G-1 All Habitats'!$X$3,Y30="No"),AC30,IF(AND(P30='G-1 All Habitats'!$X$3,Y30=""),AC30,IF(AND(P30='G-1 All Habitats'!$X$3,AC30="None",AC30),IF(AND(P30='G-1 All Habitats'!$X$3,AC30&gt;0),H30-S30-T30))))))))</f>
        <v/>
      </c>
      <c r="X30" s="545" t="str">
        <f>IFERROR(IF(H30="","",IF(H30-S30-T30=0&lt;0,"Error in Areas ▲",IF(S30+T30&gt;H30,"Error in Areas ▲",IF(AND(P30='G-1 All Habitats'!$X$3,Y30="Yes"),"Alternative Compensation",IF(W30=0,0,IF(P30='G-1 All Habitats'!$X$3,"Unacceptable Loss",Q30-U30-V30)))))),"Check Data ⚠")</f>
        <v/>
      </c>
      <c r="Y30" s="72"/>
      <c r="Z30" s="151"/>
      <c r="AA30" s="152"/>
      <c r="AC30" s="251" t="str">
        <f>IF(P30="","",IF(P30='G-1 All Habitats'!$X$3,H30-S30-T30,"None"))</f>
        <v/>
      </c>
      <c r="AD30" s="252" t="str">
        <f t="shared" si="4"/>
        <v/>
      </c>
      <c r="AF30" s="156" t="str">
        <f t="shared" si="0"/>
        <v/>
      </c>
      <c r="AG30" s="156" t="str">
        <f t="shared" si="1"/>
        <v/>
      </c>
      <c r="AH30" s="156" t="str">
        <f>IF(I30="","",IF(#REF!&gt;0,TRUE,FALSE))</f>
        <v/>
      </c>
      <c r="AI30" s="156">
        <v>20</v>
      </c>
      <c r="AJ30" s="156"/>
      <c r="AK30" s="156" t="str">
        <f t="array" ref="AK30">IFERROR(INDEX($AI$11:$AI$259, MATCH(0, IF(TRUE=$AF$11:$AF$259, COUNTIF($AK$10:$AK29, $AI$11:$AI$259), ""), 0)),"")</f>
        <v/>
      </c>
      <c r="AL30" s="156" t="str">
        <f t="array" ref="AL30">IFERROR(INDEX($AI$11:$AI$259, MATCH(0, IF(TRUE=$AG$11:$AG$259, COUNTIF($AL$10:$AL29, $AI$11:$AI$259), ""), 0)),"")</f>
        <v/>
      </c>
      <c r="AM30" s="156" t="str">
        <f t="array" ref="AM30">IFERROR(INDEX($AI$11:$AI$259, MATCH(0, IF(TRUE=$AH$11:$AH$259, COUNTIF($AM$10:$AM29, $AI$11:$AI$259), ""), 0)),"")</f>
        <v/>
      </c>
      <c r="AQ30" s="31">
        <f t="shared" si="5"/>
        <v>0</v>
      </c>
    </row>
    <row r="31" spans="1:43" x14ac:dyDescent="0.3">
      <c r="A31" s="31" t="str">
        <f>IFERROR(INDEX('G-1 All Habitats'!$AG$3:$AG$15,MATCH(E31,'G-1 All Habitats'!$AF$3:$AF$15,0)),"")</f>
        <v/>
      </c>
      <c r="B31" s="31" t="str">
        <f>IFERROR(INDEX('G-8 Condition Look up'!$I$4:$I$130,MATCH(G31,'G-8 Condition Look up'!$A$4:$A$130,0)),"")</f>
        <v/>
      </c>
      <c r="D31" s="141">
        <v>21</v>
      </c>
      <c r="E31" s="203"/>
      <c r="F31" s="203"/>
      <c r="G31" s="250" t="str">
        <f>IFERROR(INDEX('G-1 All Habitats'!$B$3:$B$129,MATCH(F31,'G-1 All Habitats'!$A$3:$A$129,0)),"")</f>
        <v/>
      </c>
      <c r="H31" s="172"/>
      <c r="I31" s="498" t="str">
        <f>IF(G31="","",VLOOKUP(G31,'G-1 All Habitats'!$B$2:$M$129,10,FALSE))</f>
        <v/>
      </c>
      <c r="J31" s="499" t="str">
        <f>IFERROR(VLOOKUP(I31,'G-1 All Habitats'!$V$3:$W$7,2,FALSE),"")</f>
        <v/>
      </c>
      <c r="K31" s="145"/>
      <c r="L31" s="499" t="str">
        <f>IFERROR(INDEX('G-8 Condition Look up'!$A$3:$H$130,MATCH(G31,'G-8 Condition Look up'!$A$3:$A$130,0),MATCH(K31,'G-8 Condition Look up'!$A$3:$H$3,0)),"")</f>
        <v/>
      </c>
      <c r="M31" s="154"/>
      <c r="N31" s="520" t="str">
        <f>IF(M31="","",IF(VLOOKUP(M31,'G-3 Multipliers'!$L$3:$N$6,2,FALSE)=0,"Spatial Data Missing ⚠",VLOOKUP(M31,'G-3 Multipliers'!$L$3:$N$6,2,FALSE)))</f>
        <v/>
      </c>
      <c r="O31" s="524" t="str">
        <f>IF(M31="","",IF(VLOOKUP(M31,'G-3 Multipliers'!$L$3:$N$6,3,FALSE)=0,"Spatial Data Missing ⚠",VLOOKUP(M31,'G-3 Multipliers'!$L$3:$N$6,3,FALSE)))</f>
        <v/>
      </c>
      <c r="P31" s="506" t="str">
        <f>IFERROR(VLOOKUP(G31,'G-1 All Habitats'!$B$2:$M$129,12,FALSE),"")</f>
        <v/>
      </c>
      <c r="Q31" s="513" t="str">
        <f>IFERROR(IF(P31="","",IF(AND(P31='G-1 All Habitats'!$X$3,T31&gt;0),U31+V31,IF(AND(P31='G-1 All Habitats'!$X$3,S31&gt;0),U31+V31,IF(AND(P31='G-1 All Habitats'!$X$3,AC31&gt;0),"Any Loss Unacceptable",IF(AND(P31='G-1 All Habitats'!$X$3,W31&gt;0),"Any Loss Unacceptable",H31*J31*L31*O31))))),"Check Data ⚠")</f>
        <v/>
      </c>
      <c r="R31" s="50"/>
      <c r="S31" s="71"/>
      <c r="T31" s="72"/>
      <c r="U31" s="511" t="str">
        <f t="shared" si="2"/>
        <v/>
      </c>
      <c r="V31" s="511" t="str">
        <f t="shared" si="3"/>
        <v/>
      </c>
      <c r="W31" s="511" t="str">
        <f>IF(E31="","",IF(H31&lt;S31+T31,"Error in Areas ▲",IF(P31&lt;&gt;'G-1 All Habitats'!$X$3,H31-S31-T31,IF(AND(P31='G-1 All Habitats'!$X$3,Y31="Yes"),"Unacceptable Loss ▲",IF(AND(P31='G-1 All Habitats'!$X$3,Y31="No"),AC31,IF(AND(P31='G-1 All Habitats'!$X$3,Y31=""),AC31,IF(AND(P31='G-1 All Habitats'!$X$3,AC31="None",AC31),IF(AND(P31='G-1 All Habitats'!$X$3,AC31&gt;0),H31-S31-T31))))))))</f>
        <v/>
      </c>
      <c r="X31" s="545" t="str">
        <f>IFERROR(IF(H31="","",IF(H31-S31-T31=0&lt;0,"Error in Areas ▲",IF(S31+T31&gt;H31,"Error in Areas ▲",IF(AND(P31='G-1 All Habitats'!$X$3,Y31="Yes"),"Alternative Compensation",IF(W31=0,0,IF(P31='G-1 All Habitats'!$X$3,"Unacceptable Loss",Q31-U31-V31)))))),"Check Data ⚠")</f>
        <v/>
      </c>
      <c r="Y31" s="72"/>
      <c r="Z31" s="151"/>
      <c r="AA31" s="152"/>
      <c r="AC31" s="251" t="str">
        <f>IF(P31="","",IF(P31='G-1 All Habitats'!$X$3,H31-S31-T31,"None"))</f>
        <v/>
      </c>
      <c r="AD31" s="252" t="str">
        <f t="shared" si="4"/>
        <v/>
      </c>
      <c r="AF31" s="156" t="str">
        <f t="shared" si="0"/>
        <v/>
      </c>
      <c r="AG31" s="156" t="str">
        <f t="shared" si="1"/>
        <v/>
      </c>
      <c r="AH31" s="156" t="str">
        <f>IF(I31="","",IF(#REF!&gt;0,TRUE,FALSE))</f>
        <v/>
      </c>
      <c r="AI31" s="156">
        <v>21</v>
      </c>
      <c r="AJ31" s="156"/>
      <c r="AK31" s="156" t="str">
        <f t="array" ref="AK31">IFERROR(INDEX($AI$11:$AI$259, MATCH(0, IF(TRUE=$AF$11:$AF$259, COUNTIF($AK$10:$AK30, $AI$11:$AI$259), ""), 0)),"")</f>
        <v/>
      </c>
      <c r="AL31" s="156" t="str">
        <f t="array" ref="AL31">IFERROR(INDEX($AI$11:$AI$259, MATCH(0, IF(TRUE=$AG$11:$AG$259, COUNTIF($AL$10:$AL30, $AI$11:$AI$259), ""), 0)),"")</f>
        <v/>
      </c>
      <c r="AM31" s="156" t="str">
        <f t="array" ref="AM31">IFERROR(INDEX($AI$11:$AI$259, MATCH(0, IF(TRUE=$AH$11:$AH$259, COUNTIF($AM$10:$AM30, $AI$11:$AI$259), ""), 0)),"")</f>
        <v/>
      </c>
      <c r="AQ31" s="31">
        <f t="shared" si="5"/>
        <v>0</v>
      </c>
    </row>
    <row r="32" spans="1:43" x14ac:dyDescent="0.3">
      <c r="A32" s="31" t="str">
        <f>IFERROR(INDEX('G-1 All Habitats'!$AG$3:$AG$15,MATCH(E32,'G-1 All Habitats'!$AF$3:$AF$15,0)),"")</f>
        <v/>
      </c>
      <c r="B32" s="31" t="str">
        <f>IFERROR(INDEX('G-8 Condition Look up'!$I$4:$I$130,MATCH(G32,'G-8 Condition Look up'!$A$4:$A$130,0)),"")</f>
        <v/>
      </c>
      <c r="D32" s="141">
        <v>22</v>
      </c>
      <c r="E32" s="203"/>
      <c r="F32" s="203"/>
      <c r="G32" s="250" t="str">
        <f>IFERROR(INDEX('G-1 All Habitats'!$B$3:$B$129,MATCH(F32,'G-1 All Habitats'!$A$3:$A$129,0)),"")</f>
        <v/>
      </c>
      <c r="H32" s="172"/>
      <c r="I32" s="498" t="str">
        <f>IF(G32="","",VLOOKUP(G32,'G-1 All Habitats'!$B$2:$M$129,10,FALSE))</f>
        <v/>
      </c>
      <c r="J32" s="499" t="str">
        <f>IFERROR(VLOOKUP(I32,'G-1 All Habitats'!$V$3:$W$7,2,FALSE),"")</f>
        <v/>
      </c>
      <c r="K32" s="145"/>
      <c r="L32" s="499" t="str">
        <f>IFERROR(INDEX('G-8 Condition Look up'!$A$3:$H$130,MATCH(G32,'G-8 Condition Look up'!$A$3:$A$130,0),MATCH(K32,'G-8 Condition Look up'!$A$3:$H$3,0)),"")</f>
        <v/>
      </c>
      <c r="M32" s="154"/>
      <c r="N32" s="520" t="str">
        <f>IF(M32="","",IF(VLOOKUP(M32,'G-3 Multipliers'!$L$3:$N$6,2,FALSE)=0,"Spatial Data Missing ⚠",VLOOKUP(M32,'G-3 Multipliers'!$L$3:$N$6,2,FALSE)))</f>
        <v/>
      </c>
      <c r="O32" s="524" t="str">
        <f>IF(M32="","",IF(VLOOKUP(M32,'G-3 Multipliers'!$L$3:$N$6,3,FALSE)=0,"Spatial Data Missing ⚠",VLOOKUP(M32,'G-3 Multipliers'!$L$3:$N$6,3,FALSE)))</f>
        <v/>
      </c>
      <c r="P32" s="506" t="str">
        <f>IFERROR(VLOOKUP(G32,'G-1 All Habitats'!$B$2:$M$129,12,FALSE),"")</f>
        <v/>
      </c>
      <c r="Q32" s="513" t="str">
        <f>IFERROR(IF(P32="","",IF(AND(P32='G-1 All Habitats'!$X$3,T32&gt;0),U32+V32,IF(AND(P32='G-1 All Habitats'!$X$3,S32&gt;0),U32+V32,IF(AND(P32='G-1 All Habitats'!$X$3,AC32&gt;0),"Any Loss Unacceptable",IF(AND(P32='G-1 All Habitats'!$X$3,W32&gt;0),"Any Loss Unacceptable",H32*J32*L32*O32))))),"Check Data ⚠")</f>
        <v/>
      </c>
      <c r="R32" s="50"/>
      <c r="S32" s="71"/>
      <c r="T32" s="72"/>
      <c r="U32" s="511" t="str">
        <f t="shared" si="2"/>
        <v/>
      </c>
      <c r="V32" s="511" t="str">
        <f t="shared" si="3"/>
        <v/>
      </c>
      <c r="W32" s="511" t="str">
        <f>IF(E32="","",IF(H32&lt;S32+T32,"Error in Areas ▲",IF(P32&lt;&gt;'G-1 All Habitats'!$X$3,H32-S32-T32,IF(AND(P32='G-1 All Habitats'!$X$3,Y32="Yes"),"Unacceptable Loss ▲",IF(AND(P32='G-1 All Habitats'!$X$3,Y32="No"),AC32,IF(AND(P32='G-1 All Habitats'!$X$3,Y32=""),AC32,IF(AND(P32='G-1 All Habitats'!$X$3,AC32="None",AC32),IF(AND(P32='G-1 All Habitats'!$X$3,AC32&gt;0),H32-S32-T32))))))))</f>
        <v/>
      </c>
      <c r="X32" s="545" t="str">
        <f>IFERROR(IF(H32="","",IF(H32-S32-T32=0&lt;0,"Error in Areas ▲",IF(S32+T32&gt;H32,"Error in Areas ▲",IF(AND(P32='G-1 All Habitats'!$X$3,Y32="Yes"),"Alternative Compensation",IF(W32=0,0,IF(P32='G-1 All Habitats'!$X$3,"Unacceptable Loss",Q32-U32-V32)))))),"Check Data ⚠")</f>
        <v/>
      </c>
      <c r="Y32" s="72"/>
      <c r="Z32" s="151"/>
      <c r="AA32" s="152"/>
      <c r="AC32" s="251" t="str">
        <f>IF(P32="","",IF(P32='G-1 All Habitats'!$X$3,H32-S32-T32,"None"))</f>
        <v/>
      </c>
      <c r="AD32" s="252" t="str">
        <f t="shared" si="4"/>
        <v/>
      </c>
      <c r="AF32" s="156" t="str">
        <f t="shared" si="0"/>
        <v/>
      </c>
      <c r="AG32" s="156" t="str">
        <f t="shared" si="1"/>
        <v/>
      </c>
      <c r="AH32" s="156" t="str">
        <f>IF(I32="","",IF(#REF!&gt;0,TRUE,FALSE))</f>
        <v/>
      </c>
      <c r="AI32" s="156">
        <v>22</v>
      </c>
      <c r="AJ32" s="156"/>
      <c r="AK32" s="156" t="str">
        <f t="array" ref="AK32">IFERROR(INDEX($AI$11:$AI$259, MATCH(0, IF(TRUE=$AF$11:$AF$259, COUNTIF($AK$10:$AK31, $AI$11:$AI$259), ""), 0)),"")</f>
        <v/>
      </c>
      <c r="AL32" s="156" t="str">
        <f t="array" ref="AL32">IFERROR(INDEX($AI$11:$AI$259, MATCH(0, IF(TRUE=$AG$11:$AG$259, COUNTIF($AL$10:$AL31, $AI$11:$AI$259), ""), 0)),"")</f>
        <v/>
      </c>
      <c r="AM32" s="156" t="str">
        <f t="array" ref="AM32">IFERROR(INDEX($AI$11:$AI$259, MATCH(0, IF(TRUE=$AH$11:$AH$259, COUNTIF($AM$10:$AM31, $AI$11:$AI$259), ""), 0)),"")</f>
        <v/>
      </c>
      <c r="AQ32" s="31">
        <f t="shared" si="5"/>
        <v>0</v>
      </c>
    </row>
    <row r="33" spans="1:43" x14ac:dyDescent="0.3">
      <c r="A33" s="31" t="str">
        <f>IFERROR(INDEX('G-1 All Habitats'!$AG$3:$AG$15,MATCH(E33,'G-1 All Habitats'!$AF$3:$AF$15,0)),"")</f>
        <v/>
      </c>
      <c r="B33" s="31" t="str">
        <f>IFERROR(INDEX('G-8 Condition Look up'!$I$4:$I$130,MATCH(G33,'G-8 Condition Look up'!$A$4:$A$130,0)),"")</f>
        <v/>
      </c>
      <c r="D33" s="141">
        <v>23</v>
      </c>
      <c r="E33" s="203"/>
      <c r="F33" s="203"/>
      <c r="G33" s="250" t="str">
        <f>IFERROR(INDEX('G-1 All Habitats'!$B$3:$B$129,MATCH(F33,'G-1 All Habitats'!$A$3:$A$129,0)),"")</f>
        <v/>
      </c>
      <c r="H33" s="172"/>
      <c r="I33" s="498" t="str">
        <f>IF(G33="","",VLOOKUP(G33,'G-1 All Habitats'!$B$2:$M$129,10,FALSE))</f>
        <v/>
      </c>
      <c r="J33" s="499" t="str">
        <f>IFERROR(VLOOKUP(I33,'G-1 All Habitats'!$V$3:$W$7,2,FALSE),"")</f>
        <v/>
      </c>
      <c r="K33" s="145"/>
      <c r="L33" s="499" t="str">
        <f>IFERROR(INDEX('G-8 Condition Look up'!$A$3:$H$130,MATCH(G33,'G-8 Condition Look up'!$A$3:$A$130,0),MATCH(K33,'G-8 Condition Look up'!$A$3:$H$3,0)),"")</f>
        <v/>
      </c>
      <c r="M33" s="154"/>
      <c r="N33" s="520" t="str">
        <f>IF(M33="","",IF(VLOOKUP(M33,'G-3 Multipliers'!$L$3:$N$6,2,FALSE)=0,"Spatial Data Missing ⚠",VLOOKUP(M33,'G-3 Multipliers'!$L$3:$N$6,2,FALSE)))</f>
        <v/>
      </c>
      <c r="O33" s="524" t="str">
        <f>IF(M33="","",IF(VLOOKUP(M33,'G-3 Multipliers'!$L$3:$N$6,3,FALSE)=0,"Spatial Data Missing ⚠",VLOOKUP(M33,'G-3 Multipliers'!$L$3:$N$6,3,FALSE)))</f>
        <v/>
      </c>
      <c r="P33" s="506" t="str">
        <f>IFERROR(VLOOKUP(G33,'G-1 All Habitats'!$B$2:$M$129,12,FALSE),"")</f>
        <v/>
      </c>
      <c r="Q33" s="513" t="str">
        <f>IFERROR(IF(P33="","",IF(AND(P33='G-1 All Habitats'!$X$3,T33&gt;0),U33+V33,IF(AND(P33='G-1 All Habitats'!$X$3,S33&gt;0),U33+V33,IF(AND(P33='G-1 All Habitats'!$X$3,AC33&gt;0),"Any Loss Unacceptable",IF(AND(P33='G-1 All Habitats'!$X$3,W33&gt;0),"Any Loss Unacceptable",H33*J33*L33*O33))))),"Check Data ⚠")</f>
        <v/>
      </c>
      <c r="R33" s="50"/>
      <c r="S33" s="71"/>
      <c r="T33" s="72"/>
      <c r="U33" s="511" t="str">
        <f t="shared" si="2"/>
        <v/>
      </c>
      <c r="V33" s="511" t="str">
        <f t="shared" si="3"/>
        <v/>
      </c>
      <c r="W33" s="511" t="str">
        <f>IF(E33="","",IF(H33&lt;S33+T33,"Error in Areas ▲",IF(P33&lt;&gt;'G-1 All Habitats'!$X$3,H33-S33-T33,IF(AND(P33='G-1 All Habitats'!$X$3,Y33="Yes"),"Unacceptable Loss ▲",IF(AND(P33='G-1 All Habitats'!$X$3,Y33="No"),AC33,IF(AND(P33='G-1 All Habitats'!$X$3,Y33=""),AC33,IF(AND(P33='G-1 All Habitats'!$X$3,AC33="None",AC33),IF(AND(P33='G-1 All Habitats'!$X$3,AC33&gt;0),H33-S33-T33))))))))</f>
        <v/>
      </c>
      <c r="X33" s="545" t="str">
        <f>IFERROR(IF(H33="","",IF(H33-S33-T33=0&lt;0,"Error in Areas ▲",IF(S33+T33&gt;H33,"Error in Areas ▲",IF(AND(P33='G-1 All Habitats'!$X$3,Y33="Yes"),"Alternative Compensation",IF(W33=0,0,IF(P33='G-1 All Habitats'!$X$3,"Unacceptable Loss",Q33-U33-V33)))))),"Check Data ⚠")</f>
        <v/>
      </c>
      <c r="Y33" s="72"/>
      <c r="Z33" s="151"/>
      <c r="AA33" s="152"/>
      <c r="AC33" s="251" t="str">
        <f>IF(P33="","",IF(P33='G-1 All Habitats'!$X$3,H33-S33-T33,"None"))</f>
        <v/>
      </c>
      <c r="AD33" s="252" t="str">
        <f t="shared" si="4"/>
        <v/>
      </c>
      <c r="AF33" s="156" t="str">
        <f t="shared" si="0"/>
        <v/>
      </c>
      <c r="AG33" s="156" t="str">
        <f t="shared" si="1"/>
        <v/>
      </c>
      <c r="AH33" s="156" t="str">
        <f>IF(I33="","",IF(#REF!&gt;0,TRUE,FALSE))</f>
        <v/>
      </c>
      <c r="AI33" s="156">
        <v>23</v>
      </c>
      <c r="AJ33" s="156"/>
      <c r="AK33" s="156" t="str">
        <f t="array" ref="AK33">IFERROR(INDEX($AI$11:$AI$259, MATCH(0, IF(TRUE=$AF$11:$AF$259, COUNTIF($AK$10:$AK32, $AI$11:$AI$259), ""), 0)),"")</f>
        <v/>
      </c>
      <c r="AL33" s="156" t="str">
        <f t="array" ref="AL33">IFERROR(INDEX($AI$11:$AI$259, MATCH(0, IF(TRUE=$AG$11:$AG$259, COUNTIF($AL$10:$AL32, $AI$11:$AI$259), ""), 0)),"")</f>
        <v/>
      </c>
      <c r="AM33" s="156" t="str">
        <f t="array" ref="AM33">IFERROR(INDEX($AI$11:$AI$259, MATCH(0, IF(TRUE=$AH$11:$AH$259, COUNTIF($AM$10:$AM32, $AI$11:$AI$259), ""), 0)),"")</f>
        <v/>
      </c>
      <c r="AQ33" s="31">
        <f t="shared" si="5"/>
        <v>0</v>
      </c>
    </row>
    <row r="34" spans="1:43" x14ac:dyDescent="0.3">
      <c r="A34" s="31" t="str">
        <f>IFERROR(INDEX('G-1 All Habitats'!$AG$3:$AG$15,MATCH(E34,'G-1 All Habitats'!$AF$3:$AF$15,0)),"")</f>
        <v/>
      </c>
      <c r="B34" s="31" t="str">
        <f>IFERROR(INDEX('G-8 Condition Look up'!$I$4:$I$130,MATCH(G34,'G-8 Condition Look up'!$A$4:$A$130,0)),"")</f>
        <v/>
      </c>
      <c r="D34" s="141">
        <v>24</v>
      </c>
      <c r="E34" s="203"/>
      <c r="F34" s="203"/>
      <c r="G34" s="250" t="str">
        <f>IFERROR(INDEX('G-1 All Habitats'!$B$3:$B$129,MATCH(F34,'G-1 All Habitats'!$A$3:$A$129,0)),"")</f>
        <v/>
      </c>
      <c r="H34" s="172"/>
      <c r="I34" s="498" t="str">
        <f>IF(G34="","",VLOOKUP(G34,'G-1 All Habitats'!$B$2:$M$129,10,FALSE))</f>
        <v/>
      </c>
      <c r="J34" s="499" t="str">
        <f>IFERROR(VLOOKUP(I34,'G-1 All Habitats'!$V$3:$W$7,2,FALSE),"")</f>
        <v/>
      </c>
      <c r="K34" s="145"/>
      <c r="L34" s="499" t="str">
        <f>IFERROR(INDEX('G-8 Condition Look up'!$A$3:$H$130,MATCH(G34,'G-8 Condition Look up'!$A$3:$A$130,0),MATCH(K34,'G-8 Condition Look up'!$A$3:$H$3,0)),"")</f>
        <v/>
      </c>
      <c r="M34" s="154"/>
      <c r="N34" s="520" t="str">
        <f>IF(M34="","",IF(VLOOKUP(M34,'G-3 Multipliers'!$L$3:$N$6,2,FALSE)=0,"Spatial Data Missing ⚠",VLOOKUP(M34,'G-3 Multipliers'!$L$3:$N$6,2,FALSE)))</f>
        <v/>
      </c>
      <c r="O34" s="524" t="str">
        <f>IF(M34="","",IF(VLOOKUP(M34,'G-3 Multipliers'!$L$3:$N$6,3,FALSE)=0,"Spatial Data Missing ⚠",VLOOKUP(M34,'G-3 Multipliers'!$L$3:$N$6,3,FALSE)))</f>
        <v/>
      </c>
      <c r="P34" s="506" t="str">
        <f>IFERROR(VLOOKUP(G34,'G-1 All Habitats'!$B$2:$M$129,12,FALSE),"")</f>
        <v/>
      </c>
      <c r="Q34" s="513" t="str">
        <f>IFERROR(IF(P34="","",IF(AND(P34='G-1 All Habitats'!$X$3,T34&gt;0),U34+V34,IF(AND(P34='G-1 All Habitats'!$X$3,S34&gt;0),U34+V34,IF(AND(P34='G-1 All Habitats'!$X$3,AC34&gt;0),"Any Loss Unacceptable",IF(AND(P34='G-1 All Habitats'!$X$3,W34&gt;0),"Any Loss Unacceptable",H34*J34*L34*O34))))),"Check Data ⚠")</f>
        <v/>
      </c>
      <c r="R34" s="50"/>
      <c r="S34" s="71"/>
      <c r="T34" s="72"/>
      <c r="U34" s="511" t="str">
        <f t="shared" si="2"/>
        <v/>
      </c>
      <c r="V34" s="511" t="str">
        <f t="shared" si="3"/>
        <v/>
      </c>
      <c r="W34" s="511" t="str">
        <f>IF(E34="","",IF(H34&lt;S34+T34,"Error in Areas ▲",IF(P34&lt;&gt;'G-1 All Habitats'!$X$3,H34-S34-T34,IF(AND(P34='G-1 All Habitats'!$X$3,Y34="Yes"),"Unacceptable Loss ▲",IF(AND(P34='G-1 All Habitats'!$X$3,Y34="No"),AC34,IF(AND(P34='G-1 All Habitats'!$X$3,Y34=""),AC34,IF(AND(P34='G-1 All Habitats'!$X$3,AC34="None",AC34),IF(AND(P34='G-1 All Habitats'!$X$3,AC34&gt;0),H34-S34-T34))))))))</f>
        <v/>
      </c>
      <c r="X34" s="545" t="str">
        <f>IFERROR(IF(H34="","",IF(H34-S34-T34=0&lt;0,"Error in Areas ▲",IF(S34+T34&gt;H34,"Error in Areas ▲",IF(AND(P34='G-1 All Habitats'!$X$3,Y34="Yes"),"Alternative Compensation",IF(W34=0,0,IF(P34='G-1 All Habitats'!$X$3,"Unacceptable Loss",Q34-U34-V34)))))),"Check Data ⚠")</f>
        <v/>
      </c>
      <c r="Y34" s="72"/>
      <c r="Z34" s="151"/>
      <c r="AA34" s="152"/>
      <c r="AC34" s="251" t="str">
        <f>IF(P34="","",IF(P34='G-1 All Habitats'!$X$3,H34-S34-T34,"None"))</f>
        <v/>
      </c>
      <c r="AD34" s="252" t="str">
        <f t="shared" si="4"/>
        <v/>
      </c>
      <c r="AF34" s="156" t="str">
        <f t="shared" si="0"/>
        <v/>
      </c>
      <c r="AG34" s="156" t="str">
        <f t="shared" si="1"/>
        <v/>
      </c>
      <c r="AH34" s="156" t="str">
        <f>IF(I34="","",IF(#REF!&gt;0,TRUE,FALSE))</f>
        <v/>
      </c>
      <c r="AI34" s="156">
        <v>24</v>
      </c>
      <c r="AJ34" s="156"/>
      <c r="AK34" s="156" t="str">
        <f t="array" ref="AK34">IFERROR(INDEX($AI$11:$AI$259, MATCH(0, IF(TRUE=$AF$11:$AF$259, COUNTIF($AK$10:$AK33, $AI$11:$AI$259), ""), 0)),"")</f>
        <v/>
      </c>
      <c r="AL34" s="156" t="str">
        <f t="array" ref="AL34">IFERROR(INDEX($AI$11:$AI$259, MATCH(0, IF(TRUE=$AG$11:$AG$259, COUNTIF($AL$10:$AL33, $AI$11:$AI$259), ""), 0)),"")</f>
        <v/>
      </c>
      <c r="AM34" s="156" t="str">
        <f t="array" ref="AM34">IFERROR(INDEX($AI$11:$AI$259, MATCH(0, IF(TRUE=$AH$11:$AH$259, COUNTIF($AM$10:$AM33, $AI$11:$AI$259), ""), 0)),"")</f>
        <v/>
      </c>
      <c r="AQ34" s="31">
        <f t="shared" si="5"/>
        <v>0</v>
      </c>
    </row>
    <row r="35" spans="1:43" x14ac:dyDescent="0.3">
      <c r="A35" s="31" t="str">
        <f>IFERROR(INDEX('G-1 All Habitats'!$AG$3:$AG$15,MATCH(E35,'G-1 All Habitats'!$AF$3:$AF$15,0)),"")</f>
        <v/>
      </c>
      <c r="B35" s="31" t="str">
        <f>IFERROR(INDEX('G-8 Condition Look up'!$I$4:$I$130,MATCH(G35,'G-8 Condition Look up'!$A$4:$A$130,0)),"")</f>
        <v/>
      </c>
      <c r="D35" s="141">
        <v>25</v>
      </c>
      <c r="E35" s="203"/>
      <c r="F35" s="203"/>
      <c r="G35" s="250" t="str">
        <f>IFERROR(INDEX('G-1 All Habitats'!$B$3:$B$129,MATCH(F35,'G-1 All Habitats'!$A$3:$A$129,0)),"")</f>
        <v/>
      </c>
      <c r="H35" s="172"/>
      <c r="I35" s="498" t="str">
        <f>IF(G35="","",VLOOKUP(G35,'G-1 All Habitats'!$B$2:$M$129,10,FALSE))</f>
        <v/>
      </c>
      <c r="J35" s="499" t="str">
        <f>IFERROR(VLOOKUP(I35,'G-1 All Habitats'!$V$3:$W$7,2,FALSE),"")</f>
        <v/>
      </c>
      <c r="K35" s="145"/>
      <c r="L35" s="499" t="str">
        <f>IFERROR(INDEX('G-8 Condition Look up'!$A$3:$H$130,MATCH(G35,'G-8 Condition Look up'!$A$3:$A$130,0),MATCH(K35,'G-8 Condition Look up'!$A$3:$H$3,0)),"")</f>
        <v/>
      </c>
      <c r="M35" s="154"/>
      <c r="N35" s="520" t="str">
        <f>IF(M35="","",IF(VLOOKUP(M35,'G-3 Multipliers'!$L$3:$N$6,2,FALSE)=0,"Spatial Data Missing ⚠",VLOOKUP(M35,'G-3 Multipliers'!$L$3:$N$6,2,FALSE)))</f>
        <v/>
      </c>
      <c r="O35" s="524" t="str">
        <f>IF(M35="","",IF(VLOOKUP(M35,'G-3 Multipliers'!$L$3:$N$6,3,FALSE)=0,"Spatial Data Missing ⚠",VLOOKUP(M35,'G-3 Multipliers'!$L$3:$N$6,3,FALSE)))</f>
        <v/>
      </c>
      <c r="P35" s="506" t="str">
        <f>IFERROR(VLOOKUP(G35,'G-1 All Habitats'!$B$2:$M$129,12,FALSE),"")</f>
        <v/>
      </c>
      <c r="Q35" s="513" t="str">
        <f>IFERROR(IF(P35="","",IF(AND(P35='G-1 All Habitats'!$X$3,T35&gt;0),U35+V35,IF(AND(P35='G-1 All Habitats'!$X$3,S35&gt;0),U35+V35,IF(AND(P35='G-1 All Habitats'!$X$3,AC35&gt;0),"Any Loss Unacceptable",IF(AND(P35='G-1 All Habitats'!$X$3,W35&gt;0),"Any Loss Unacceptable",H35*J35*L35*O35))))),"Check Data ⚠")</f>
        <v/>
      </c>
      <c r="R35" s="50"/>
      <c r="S35" s="71"/>
      <c r="T35" s="72"/>
      <c r="U35" s="511" t="str">
        <f t="shared" si="2"/>
        <v/>
      </c>
      <c r="V35" s="511" t="str">
        <f t="shared" si="3"/>
        <v/>
      </c>
      <c r="W35" s="511" t="str">
        <f>IF(E35="","",IF(H35&lt;S35+T35,"Error in Areas ▲",IF(P35&lt;&gt;'G-1 All Habitats'!$X$3,H35-S35-T35,IF(AND(P35='G-1 All Habitats'!$X$3,Y35="Yes"),"Unacceptable Loss ▲",IF(AND(P35='G-1 All Habitats'!$X$3,Y35="No"),AC35,IF(AND(P35='G-1 All Habitats'!$X$3,Y35=""),AC35,IF(AND(P35='G-1 All Habitats'!$X$3,AC35="None",AC35),IF(AND(P35='G-1 All Habitats'!$X$3,AC35&gt;0),H35-S35-T35))))))))</f>
        <v/>
      </c>
      <c r="X35" s="545" t="str">
        <f>IFERROR(IF(H35="","",IF(H35-S35-T35=0&lt;0,"Error in Areas ▲",IF(S35+T35&gt;H35,"Error in Areas ▲",IF(AND(P35='G-1 All Habitats'!$X$3,Y35="Yes"),"Alternative Compensation",IF(W35=0,0,IF(P35='G-1 All Habitats'!$X$3,"Unacceptable Loss",Q35-U35-V35)))))),"Check Data ⚠")</f>
        <v/>
      </c>
      <c r="Y35" s="72"/>
      <c r="Z35" s="151"/>
      <c r="AA35" s="152"/>
      <c r="AC35" s="251" t="str">
        <f>IF(P35="","",IF(P35='G-1 All Habitats'!$X$3,H35-S35-T35,"None"))</f>
        <v/>
      </c>
      <c r="AD35" s="252" t="str">
        <f t="shared" si="4"/>
        <v/>
      </c>
      <c r="AF35" s="156" t="str">
        <f t="shared" si="0"/>
        <v/>
      </c>
      <c r="AG35" s="156" t="str">
        <f t="shared" si="1"/>
        <v/>
      </c>
      <c r="AH35" s="156" t="str">
        <f>IF(I35="","",IF(#REF!&gt;0,TRUE,FALSE))</f>
        <v/>
      </c>
      <c r="AI35" s="156">
        <v>25</v>
      </c>
      <c r="AJ35" s="156"/>
      <c r="AK35" s="156" t="str">
        <f t="array" ref="AK35">IFERROR(INDEX($AI$11:$AI$259, MATCH(0, IF(TRUE=$AF$11:$AF$259, COUNTIF($AK$10:$AK34, $AI$11:$AI$259), ""), 0)),"")</f>
        <v/>
      </c>
      <c r="AL35" s="156" t="str">
        <f t="array" ref="AL35">IFERROR(INDEX($AI$11:$AI$259, MATCH(0, IF(TRUE=$AG$11:$AG$259, COUNTIF($AL$10:$AL34, $AI$11:$AI$259), ""), 0)),"")</f>
        <v/>
      </c>
      <c r="AM35" s="156" t="str">
        <f t="array" ref="AM35">IFERROR(INDEX($AI$11:$AI$259, MATCH(0, IF(TRUE=$AH$11:$AH$259, COUNTIF($AM$10:$AM34, $AI$11:$AI$259), ""), 0)),"")</f>
        <v/>
      </c>
      <c r="AQ35" s="31">
        <f t="shared" si="5"/>
        <v>0</v>
      </c>
    </row>
    <row r="36" spans="1:43" x14ac:dyDescent="0.3">
      <c r="A36" s="31" t="str">
        <f>IFERROR(INDEX('G-1 All Habitats'!$AG$3:$AG$15,MATCH(E36,'G-1 All Habitats'!$AF$3:$AF$15,0)),"")</f>
        <v/>
      </c>
      <c r="B36" s="31" t="str">
        <f>IFERROR(INDEX('G-8 Condition Look up'!$I$4:$I$130,MATCH(G36,'G-8 Condition Look up'!$A$4:$A$130,0)),"")</f>
        <v/>
      </c>
      <c r="D36" s="141">
        <v>26</v>
      </c>
      <c r="E36" s="203"/>
      <c r="F36" s="203"/>
      <c r="G36" s="250" t="str">
        <f>IFERROR(INDEX('G-1 All Habitats'!$B$3:$B$129,MATCH(F36,'G-1 All Habitats'!$A$3:$A$129,0)),"")</f>
        <v/>
      </c>
      <c r="H36" s="172"/>
      <c r="I36" s="498" t="str">
        <f>IF(G36="","",VLOOKUP(G36,'G-1 All Habitats'!$B$2:$M$129,10,FALSE))</f>
        <v/>
      </c>
      <c r="J36" s="499" t="str">
        <f>IFERROR(VLOOKUP(I36,'G-1 All Habitats'!$V$3:$W$7,2,FALSE),"")</f>
        <v/>
      </c>
      <c r="K36" s="145"/>
      <c r="L36" s="499" t="str">
        <f>IFERROR(INDEX('G-8 Condition Look up'!$A$3:$H$130,MATCH(G36,'G-8 Condition Look up'!$A$3:$A$130,0),MATCH(K36,'G-8 Condition Look up'!$A$3:$H$3,0)),"")</f>
        <v/>
      </c>
      <c r="M36" s="154"/>
      <c r="N36" s="520" t="str">
        <f>IF(M36="","",IF(VLOOKUP(M36,'G-3 Multipliers'!$L$3:$N$6,2,FALSE)=0,"Spatial Data Missing ⚠",VLOOKUP(M36,'G-3 Multipliers'!$L$3:$N$6,2,FALSE)))</f>
        <v/>
      </c>
      <c r="O36" s="524" t="str">
        <f>IF(M36="","",IF(VLOOKUP(M36,'G-3 Multipliers'!$L$3:$N$6,3,FALSE)=0,"Spatial Data Missing ⚠",VLOOKUP(M36,'G-3 Multipliers'!$L$3:$N$6,3,FALSE)))</f>
        <v/>
      </c>
      <c r="P36" s="506" t="str">
        <f>IFERROR(VLOOKUP(G36,'G-1 All Habitats'!$B$2:$M$129,12,FALSE),"")</f>
        <v/>
      </c>
      <c r="Q36" s="513" t="str">
        <f>IFERROR(IF(P36="","",IF(AND(P36='G-1 All Habitats'!$X$3,T36&gt;0),U36+V36,IF(AND(P36='G-1 All Habitats'!$X$3,S36&gt;0),U36+V36,IF(AND(P36='G-1 All Habitats'!$X$3,AC36&gt;0),"Any Loss Unacceptable",IF(AND(P36='G-1 All Habitats'!$X$3,W36&gt;0),"Any Loss Unacceptable",H36*J36*L36*O36))))),"Check Data ⚠")</f>
        <v/>
      </c>
      <c r="R36" s="50"/>
      <c r="S36" s="71"/>
      <c r="T36" s="72"/>
      <c r="U36" s="511" t="str">
        <f t="shared" si="2"/>
        <v/>
      </c>
      <c r="V36" s="511" t="str">
        <f t="shared" si="3"/>
        <v/>
      </c>
      <c r="W36" s="511" t="str">
        <f>IF(E36="","",IF(H36&lt;S36+T36,"Error in Areas ▲",IF(P36&lt;&gt;'G-1 All Habitats'!$X$3,H36-S36-T36,IF(AND(P36='G-1 All Habitats'!$X$3,Y36="Yes"),"Unacceptable Loss ▲",IF(AND(P36='G-1 All Habitats'!$X$3,Y36="No"),AC36,IF(AND(P36='G-1 All Habitats'!$X$3,Y36=""),AC36,IF(AND(P36='G-1 All Habitats'!$X$3,AC36="None",AC36),IF(AND(P36='G-1 All Habitats'!$X$3,AC36&gt;0),H36-S36-T36))))))))</f>
        <v/>
      </c>
      <c r="X36" s="545" t="str">
        <f>IFERROR(IF(H36="","",IF(H36-S36-T36=0&lt;0,"Error in Areas ▲",IF(S36+T36&gt;H36,"Error in Areas ▲",IF(AND(P36='G-1 All Habitats'!$X$3,Y36="Yes"),"Alternative Compensation",IF(W36=0,0,IF(P36='G-1 All Habitats'!$X$3,"Unacceptable Loss",Q36-U36-V36)))))),"Check Data ⚠")</f>
        <v/>
      </c>
      <c r="Y36" s="72"/>
      <c r="Z36" s="151"/>
      <c r="AA36" s="152"/>
      <c r="AC36" s="251" t="str">
        <f>IF(P36="","",IF(P36='G-1 All Habitats'!$X$3,H36-S36-T36,"None"))</f>
        <v/>
      </c>
      <c r="AD36" s="252" t="str">
        <f t="shared" si="4"/>
        <v/>
      </c>
      <c r="AF36" s="156" t="str">
        <f t="shared" si="0"/>
        <v/>
      </c>
      <c r="AG36" s="156" t="str">
        <f t="shared" si="1"/>
        <v/>
      </c>
      <c r="AH36" s="156" t="str">
        <f>IF(I36="","",IF(#REF!&gt;0,TRUE,FALSE))</f>
        <v/>
      </c>
      <c r="AI36" s="156">
        <v>26</v>
      </c>
      <c r="AJ36" s="156"/>
      <c r="AK36" s="156" t="str">
        <f t="array" ref="AK36">IFERROR(INDEX($AI$11:$AI$259, MATCH(0, IF(TRUE=$AF$11:$AF$259, COUNTIF($AK$10:$AK35, $AI$11:$AI$259), ""), 0)),"")</f>
        <v/>
      </c>
      <c r="AL36" s="156" t="str">
        <f t="array" ref="AL36">IFERROR(INDEX($AI$11:$AI$259, MATCH(0, IF(TRUE=$AG$11:$AG$259, COUNTIF($AL$10:$AL35, $AI$11:$AI$259), ""), 0)),"")</f>
        <v/>
      </c>
      <c r="AM36" s="156" t="str">
        <f t="array" ref="AM36">IFERROR(INDEX($AI$11:$AI$259, MATCH(0, IF(TRUE=$AH$11:$AH$259, COUNTIF($AM$10:$AM35, $AI$11:$AI$259), ""), 0)),"")</f>
        <v/>
      </c>
      <c r="AQ36" s="31">
        <f t="shared" si="5"/>
        <v>0</v>
      </c>
    </row>
    <row r="37" spans="1:43" x14ac:dyDescent="0.3">
      <c r="A37" s="31" t="str">
        <f>IFERROR(INDEX('G-1 All Habitats'!$AG$3:$AG$15,MATCH(E37,'G-1 All Habitats'!$AF$3:$AF$15,0)),"")</f>
        <v/>
      </c>
      <c r="B37" s="31" t="str">
        <f>IFERROR(INDEX('G-8 Condition Look up'!$I$4:$I$130,MATCH(G37,'G-8 Condition Look up'!$A$4:$A$130,0)),"")</f>
        <v/>
      </c>
      <c r="D37" s="141">
        <v>27</v>
      </c>
      <c r="E37" s="203"/>
      <c r="F37" s="203"/>
      <c r="G37" s="250" t="str">
        <f>IFERROR(INDEX('G-1 All Habitats'!$B$3:$B$129,MATCH(F37,'G-1 All Habitats'!$A$3:$A$129,0)),"")</f>
        <v/>
      </c>
      <c r="H37" s="172"/>
      <c r="I37" s="498" t="str">
        <f>IF(G37="","",VLOOKUP(G37,'G-1 All Habitats'!$B$2:$M$129,10,FALSE))</f>
        <v/>
      </c>
      <c r="J37" s="499" t="str">
        <f>IFERROR(VLOOKUP(I37,'G-1 All Habitats'!$V$3:$W$7,2,FALSE),"")</f>
        <v/>
      </c>
      <c r="K37" s="145"/>
      <c r="L37" s="499" t="str">
        <f>IFERROR(INDEX('G-8 Condition Look up'!$A$3:$H$130,MATCH(G37,'G-8 Condition Look up'!$A$3:$A$130,0),MATCH(K37,'G-8 Condition Look up'!$A$3:$H$3,0)),"")</f>
        <v/>
      </c>
      <c r="M37" s="154"/>
      <c r="N37" s="520" t="str">
        <f>IF(M37="","",IF(VLOOKUP(M37,'G-3 Multipliers'!$L$3:$N$6,2,FALSE)=0,"Spatial Data Missing ⚠",VLOOKUP(M37,'G-3 Multipliers'!$L$3:$N$6,2,FALSE)))</f>
        <v/>
      </c>
      <c r="O37" s="524" t="str">
        <f>IF(M37="","",IF(VLOOKUP(M37,'G-3 Multipliers'!$L$3:$N$6,3,FALSE)=0,"Spatial Data Missing ⚠",VLOOKUP(M37,'G-3 Multipliers'!$L$3:$N$6,3,FALSE)))</f>
        <v/>
      </c>
      <c r="P37" s="506" t="str">
        <f>IFERROR(VLOOKUP(G37,'G-1 All Habitats'!$B$2:$M$129,12,FALSE),"")</f>
        <v/>
      </c>
      <c r="Q37" s="513" t="str">
        <f>IFERROR(IF(P37="","",IF(AND(P37='G-1 All Habitats'!$X$3,T37&gt;0),U37+V37,IF(AND(P37='G-1 All Habitats'!$X$3,S37&gt;0),U37+V37,IF(AND(P37='G-1 All Habitats'!$X$3,AC37&gt;0),"Any Loss Unacceptable",IF(AND(P37='G-1 All Habitats'!$X$3,W37&gt;0),"Any Loss Unacceptable",H37*J37*L37*O37))))),"Check Data ⚠")</f>
        <v/>
      </c>
      <c r="R37" s="50"/>
      <c r="S37" s="71"/>
      <c r="T37" s="72"/>
      <c r="U37" s="511" t="str">
        <f t="shared" si="2"/>
        <v/>
      </c>
      <c r="V37" s="511" t="str">
        <f t="shared" si="3"/>
        <v/>
      </c>
      <c r="W37" s="511" t="str">
        <f>IF(E37="","",IF(H37&lt;S37+T37,"Error in Areas ▲",IF(P37&lt;&gt;'G-1 All Habitats'!$X$3,H37-S37-T37,IF(AND(P37='G-1 All Habitats'!$X$3,Y37="Yes"),"Unacceptable Loss ▲",IF(AND(P37='G-1 All Habitats'!$X$3,Y37="No"),AC37,IF(AND(P37='G-1 All Habitats'!$X$3,Y37=""),AC37,IF(AND(P37='G-1 All Habitats'!$X$3,AC37="None",AC37),IF(AND(P37='G-1 All Habitats'!$X$3,AC37&gt;0),H37-S37-T37))))))))</f>
        <v/>
      </c>
      <c r="X37" s="545" t="str">
        <f>IFERROR(IF(H37="","",IF(H37-S37-T37=0&lt;0,"Error in Areas ▲",IF(S37+T37&gt;H37,"Error in Areas ▲",IF(AND(P37='G-1 All Habitats'!$X$3,Y37="Yes"),"Alternative Compensation",IF(W37=0,0,IF(P37='G-1 All Habitats'!$X$3,"Unacceptable Loss",Q37-U37-V37)))))),"Check Data ⚠")</f>
        <v/>
      </c>
      <c r="Y37" s="72"/>
      <c r="Z37" s="151"/>
      <c r="AA37" s="152"/>
      <c r="AC37" s="251" t="str">
        <f>IF(P37="","",IF(P37='G-1 All Habitats'!$X$3,H37-S37-T37,"None"))</f>
        <v/>
      </c>
      <c r="AD37" s="252" t="str">
        <f t="shared" si="4"/>
        <v/>
      </c>
      <c r="AF37" s="156" t="str">
        <f t="shared" si="0"/>
        <v/>
      </c>
      <c r="AG37" s="156" t="str">
        <f t="shared" si="1"/>
        <v/>
      </c>
      <c r="AH37" s="156" t="str">
        <f>IF(I37="","",IF(#REF!&gt;0,TRUE,FALSE))</f>
        <v/>
      </c>
      <c r="AI37" s="156">
        <v>27</v>
      </c>
      <c r="AJ37" s="156"/>
      <c r="AK37" s="156" t="str">
        <f t="array" ref="AK37">IFERROR(INDEX($AI$11:$AI$259, MATCH(0, IF(TRUE=$AF$11:$AF$259, COUNTIF($AK$10:$AK36, $AI$11:$AI$259), ""), 0)),"")</f>
        <v/>
      </c>
      <c r="AL37" s="156" t="str">
        <f t="array" ref="AL37">IFERROR(INDEX($AI$11:$AI$259, MATCH(0, IF(TRUE=$AG$11:$AG$259, COUNTIF($AL$10:$AL36, $AI$11:$AI$259), ""), 0)),"")</f>
        <v/>
      </c>
      <c r="AM37" s="156" t="str">
        <f t="array" ref="AM37">IFERROR(INDEX($AI$11:$AI$259, MATCH(0, IF(TRUE=$AH$11:$AH$259, COUNTIF($AM$10:$AM36, $AI$11:$AI$259), ""), 0)),"")</f>
        <v/>
      </c>
      <c r="AQ37" s="31">
        <f t="shared" si="5"/>
        <v>0</v>
      </c>
    </row>
    <row r="38" spans="1:43" x14ac:dyDescent="0.3">
      <c r="A38" s="31" t="str">
        <f>IFERROR(INDEX('G-1 All Habitats'!$AG$3:$AG$15,MATCH(E38,'G-1 All Habitats'!$AF$3:$AF$15,0)),"")</f>
        <v/>
      </c>
      <c r="B38" s="31" t="str">
        <f>IFERROR(INDEX('G-8 Condition Look up'!$I$4:$I$130,MATCH(G38,'G-8 Condition Look up'!$A$4:$A$130,0)),"")</f>
        <v/>
      </c>
      <c r="D38" s="141">
        <v>28</v>
      </c>
      <c r="E38" s="203"/>
      <c r="F38" s="203"/>
      <c r="G38" s="250" t="str">
        <f>IFERROR(INDEX('G-1 All Habitats'!$B$3:$B$129,MATCH(F38,'G-1 All Habitats'!$A$3:$A$129,0)),"")</f>
        <v/>
      </c>
      <c r="H38" s="172"/>
      <c r="I38" s="498" t="str">
        <f>IF(G38="","",VLOOKUP(G38,'G-1 All Habitats'!$B$2:$M$129,10,FALSE))</f>
        <v/>
      </c>
      <c r="J38" s="499" t="str">
        <f>IFERROR(VLOOKUP(I38,'G-1 All Habitats'!$V$3:$W$7,2,FALSE),"")</f>
        <v/>
      </c>
      <c r="K38" s="145"/>
      <c r="L38" s="499" t="str">
        <f>IFERROR(INDEX('G-8 Condition Look up'!$A$3:$H$130,MATCH(G38,'G-8 Condition Look up'!$A$3:$A$130,0),MATCH(K38,'G-8 Condition Look up'!$A$3:$H$3,0)),"")</f>
        <v/>
      </c>
      <c r="M38" s="154"/>
      <c r="N38" s="520" t="str">
        <f>IF(M38="","",IF(VLOOKUP(M38,'G-3 Multipliers'!$L$3:$N$6,2,FALSE)=0,"Spatial Data Missing ⚠",VLOOKUP(M38,'G-3 Multipliers'!$L$3:$N$6,2,FALSE)))</f>
        <v/>
      </c>
      <c r="O38" s="524" t="str">
        <f>IF(M38="","",IF(VLOOKUP(M38,'G-3 Multipliers'!$L$3:$N$6,3,FALSE)=0,"Spatial Data Missing ⚠",VLOOKUP(M38,'G-3 Multipliers'!$L$3:$N$6,3,FALSE)))</f>
        <v/>
      </c>
      <c r="P38" s="506" t="str">
        <f>IFERROR(VLOOKUP(G38,'G-1 All Habitats'!$B$2:$M$129,12,FALSE),"")</f>
        <v/>
      </c>
      <c r="Q38" s="513" t="str">
        <f>IFERROR(IF(P38="","",IF(AND(P38='G-1 All Habitats'!$X$3,T38&gt;0),U38+V38,IF(AND(P38='G-1 All Habitats'!$X$3,S38&gt;0),U38+V38,IF(AND(P38='G-1 All Habitats'!$X$3,AC38&gt;0),"Any Loss Unacceptable",IF(AND(P38='G-1 All Habitats'!$X$3,W38&gt;0),"Any Loss Unacceptable",H38*J38*L38*O38))))),"Check Data ⚠")</f>
        <v/>
      </c>
      <c r="R38" s="50"/>
      <c r="S38" s="71"/>
      <c r="T38" s="72"/>
      <c r="U38" s="511" t="str">
        <f t="shared" si="2"/>
        <v/>
      </c>
      <c r="V38" s="511" t="str">
        <f t="shared" si="3"/>
        <v/>
      </c>
      <c r="W38" s="511" t="str">
        <f>IF(E38="","",IF(H38&lt;S38+T38,"Error in Areas ▲",IF(P38&lt;&gt;'G-1 All Habitats'!$X$3,H38-S38-T38,IF(AND(P38='G-1 All Habitats'!$X$3,Y38="Yes"),"Unacceptable Loss ▲",IF(AND(P38='G-1 All Habitats'!$X$3,Y38="No"),AC38,IF(AND(P38='G-1 All Habitats'!$X$3,Y38=""),AC38,IF(AND(P38='G-1 All Habitats'!$X$3,AC38="None",AC38),IF(AND(P38='G-1 All Habitats'!$X$3,AC38&gt;0),H38-S38-T38))))))))</f>
        <v/>
      </c>
      <c r="X38" s="545" t="str">
        <f>IFERROR(IF(H38="","",IF(H38-S38-T38=0&lt;0,"Error in Areas ▲",IF(S38+T38&gt;H38,"Error in Areas ▲",IF(AND(P38='G-1 All Habitats'!$X$3,Y38="Yes"),"Alternative Compensation",IF(W38=0,0,IF(P38='G-1 All Habitats'!$X$3,"Unacceptable Loss",Q38-U38-V38)))))),"Check Data ⚠")</f>
        <v/>
      </c>
      <c r="Y38" s="72"/>
      <c r="Z38" s="151"/>
      <c r="AA38" s="152"/>
      <c r="AC38" s="251" t="str">
        <f>IF(P38="","",IF(P38='G-1 All Habitats'!$X$3,H38-S38-T38,"None"))</f>
        <v/>
      </c>
      <c r="AD38" s="252" t="str">
        <f t="shared" si="4"/>
        <v/>
      </c>
      <c r="AF38" s="156" t="str">
        <f t="shared" si="0"/>
        <v/>
      </c>
      <c r="AG38" s="156" t="str">
        <f t="shared" si="1"/>
        <v/>
      </c>
      <c r="AH38" s="156" t="str">
        <f>IF(I38="","",IF(#REF!&gt;0,TRUE,FALSE))</f>
        <v/>
      </c>
      <c r="AI38" s="156">
        <v>28</v>
      </c>
      <c r="AJ38" s="156"/>
      <c r="AK38" s="156" t="str">
        <f t="array" ref="AK38">IFERROR(INDEX($AI$11:$AI$259, MATCH(0, IF(TRUE=$AF$11:$AF$259, COUNTIF($AK$10:$AK37, $AI$11:$AI$259), ""), 0)),"")</f>
        <v/>
      </c>
      <c r="AL38" s="156" t="str">
        <f t="array" ref="AL38">IFERROR(INDEX($AI$11:$AI$259, MATCH(0, IF(TRUE=$AG$11:$AG$259, COUNTIF($AL$10:$AL37, $AI$11:$AI$259), ""), 0)),"")</f>
        <v/>
      </c>
      <c r="AM38" s="156" t="str">
        <f t="array" ref="AM38">IFERROR(INDEX($AI$11:$AI$259, MATCH(0, IF(TRUE=$AH$11:$AH$259, COUNTIF($AM$10:$AM37, $AI$11:$AI$259), ""), 0)),"")</f>
        <v/>
      </c>
      <c r="AQ38" s="31">
        <f t="shared" si="5"/>
        <v>0</v>
      </c>
    </row>
    <row r="39" spans="1:43" x14ac:dyDescent="0.3">
      <c r="A39" s="31" t="str">
        <f>IFERROR(INDEX('G-1 All Habitats'!$AG$3:$AG$15,MATCH(E39,'G-1 All Habitats'!$AF$3:$AF$15,0)),"")</f>
        <v/>
      </c>
      <c r="B39" s="31" t="str">
        <f>IFERROR(INDEX('G-8 Condition Look up'!$I$4:$I$130,MATCH(G39,'G-8 Condition Look up'!$A$4:$A$130,0)),"")</f>
        <v/>
      </c>
      <c r="D39" s="141">
        <v>29</v>
      </c>
      <c r="E39" s="203"/>
      <c r="F39" s="203"/>
      <c r="G39" s="250" t="str">
        <f>IFERROR(INDEX('G-1 All Habitats'!$B$3:$B$129,MATCH(F39,'G-1 All Habitats'!$A$3:$A$129,0)),"")</f>
        <v/>
      </c>
      <c r="H39" s="172"/>
      <c r="I39" s="498" t="str">
        <f>IF(G39="","",VLOOKUP(G39,'G-1 All Habitats'!$B$2:$M$129,10,FALSE))</f>
        <v/>
      </c>
      <c r="J39" s="499" t="str">
        <f>IFERROR(VLOOKUP(I39,'G-1 All Habitats'!$V$3:$W$7,2,FALSE),"")</f>
        <v/>
      </c>
      <c r="K39" s="145"/>
      <c r="L39" s="499" t="str">
        <f>IFERROR(INDEX('G-8 Condition Look up'!$A$3:$H$130,MATCH(G39,'G-8 Condition Look up'!$A$3:$A$130,0),MATCH(K39,'G-8 Condition Look up'!$A$3:$H$3,0)),"")</f>
        <v/>
      </c>
      <c r="M39" s="154"/>
      <c r="N39" s="520" t="str">
        <f>IF(M39="","",IF(VLOOKUP(M39,'G-3 Multipliers'!$L$3:$N$6,2,FALSE)=0,"Spatial Data Missing ⚠",VLOOKUP(M39,'G-3 Multipliers'!$L$3:$N$6,2,FALSE)))</f>
        <v/>
      </c>
      <c r="O39" s="524" t="str">
        <f>IF(M39="","",IF(VLOOKUP(M39,'G-3 Multipliers'!$L$3:$N$6,3,FALSE)=0,"Spatial Data Missing ⚠",VLOOKUP(M39,'G-3 Multipliers'!$L$3:$N$6,3,FALSE)))</f>
        <v/>
      </c>
      <c r="P39" s="506" t="str">
        <f>IFERROR(VLOOKUP(G39,'G-1 All Habitats'!$B$2:$M$129,12,FALSE),"")</f>
        <v/>
      </c>
      <c r="Q39" s="513" t="str">
        <f>IFERROR(IF(P39="","",IF(AND(P39='G-1 All Habitats'!$X$3,T39&gt;0),U39+V39,IF(AND(P39='G-1 All Habitats'!$X$3,S39&gt;0),U39+V39,IF(AND(P39='G-1 All Habitats'!$X$3,AC39&gt;0),"Any Loss Unacceptable",IF(AND(P39='G-1 All Habitats'!$X$3,W39&gt;0),"Any Loss Unacceptable",H39*J39*L39*O39))))),"Check Data ⚠")</f>
        <v/>
      </c>
      <c r="R39" s="50"/>
      <c r="S39" s="71"/>
      <c r="T39" s="72"/>
      <c r="U39" s="511" t="str">
        <f t="shared" si="2"/>
        <v/>
      </c>
      <c r="V39" s="511" t="str">
        <f t="shared" si="3"/>
        <v/>
      </c>
      <c r="W39" s="511" t="str">
        <f>IF(E39="","",IF(H39&lt;S39+T39,"Error in Areas ▲",IF(P39&lt;&gt;'G-1 All Habitats'!$X$3,H39-S39-T39,IF(AND(P39='G-1 All Habitats'!$X$3,Y39="Yes"),"Unacceptable Loss ▲",IF(AND(P39='G-1 All Habitats'!$X$3,Y39="No"),AC39,IF(AND(P39='G-1 All Habitats'!$X$3,Y39=""),AC39,IF(AND(P39='G-1 All Habitats'!$X$3,AC39="None",AC39),IF(AND(P39='G-1 All Habitats'!$X$3,AC39&gt;0),H39-S39-T39))))))))</f>
        <v/>
      </c>
      <c r="X39" s="545" t="str">
        <f>IFERROR(IF(H39="","",IF(H39-S39-T39=0&lt;0,"Error in Areas ▲",IF(S39+T39&gt;H39,"Error in Areas ▲",IF(AND(P39='G-1 All Habitats'!$X$3,Y39="Yes"),"Alternative Compensation",IF(W39=0,0,IF(P39='G-1 All Habitats'!$X$3,"Unacceptable Loss",Q39-U39-V39)))))),"Check Data ⚠")</f>
        <v/>
      </c>
      <c r="Y39" s="72"/>
      <c r="Z39" s="151"/>
      <c r="AA39" s="152"/>
      <c r="AC39" s="251" t="str">
        <f>IF(P39="","",IF(P39='G-1 All Habitats'!$X$3,H39-S39-T39,"None"))</f>
        <v/>
      </c>
      <c r="AD39" s="252" t="str">
        <f t="shared" si="4"/>
        <v/>
      </c>
      <c r="AF39" s="156" t="str">
        <f t="shared" si="0"/>
        <v/>
      </c>
      <c r="AG39" s="156" t="str">
        <f t="shared" si="1"/>
        <v/>
      </c>
      <c r="AH39" s="156" t="str">
        <f>IF(I39="","",IF(#REF!&gt;0,TRUE,FALSE))</f>
        <v/>
      </c>
      <c r="AI39" s="156">
        <v>29</v>
      </c>
      <c r="AJ39" s="156"/>
      <c r="AK39" s="156" t="str">
        <f t="array" ref="AK39">IFERROR(INDEX($AI$11:$AI$259, MATCH(0, IF(TRUE=$AF$11:$AF$259, COUNTIF($AK$10:$AK38, $AI$11:$AI$259), ""), 0)),"")</f>
        <v/>
      </c>
      <c r="AL39" s="156" t="str">
        <f t="array" ref="AL39">IFERROR(INDEX($AI$11:$AI$259, MATCH(0, IF(TRUE=$AG$11:$AG$259, COUNTIF($AL$10:$AL38, $AI$11:$AI$259), ""), 0)),"")</f>
        <v/>
      </c>
      <c r="AM39" s="156" t="str">
        <f t="array" ref="AM39">IFERROR(INDEX($AI$11:$AI$259, MATCH(0, IF(TRUE=$AH$11:$AH$259, COUNTIF($AM$10:$AM38, $AI$11:$AI$259), ""), 0)),"")</f>
        <v/>
      </c>
      <c r="AQ39" s="31">
        <f t="shared" si="5"/>
        <v>0</v>
      </c>
    </row>
    <row r="40" spans="1:43" x14ac:dyDescent="0.3">
      <c r="A40" s="31" t="str">
        <f>IFERROR(INDEX('G-1 All Habitats'!$AG$3:$AG$15,MATCH(E40,'G-1 All Habitats'!$AF$3:$AF$15,0)),"")</f>
        <v/>
      </c>
      <c r="B40" s="31" t="str">
        <f>IFERROR(INDEX('G-8 Condition Look up'!$I$4:$I$130,MATCH(G40,'G-8 Condition Look up'!$A$4:$A$130,0)),"")</f>
        <v/>
      </c>
      <c r="D40" s="141">
        <v>30</v>
      </c>
      <c r="E40" s="203"/>
      <c r="F40" s="203"/>
      <c r="G40" s="250" t="str">
        <f>IFERROR(INDEX('G-1 All Habitats'!$B$3:$B$129,MATCH(F40,'G-1 All Habitats'!$A$3:$A$129,0)),"")</f>
        <v/>
      </c>
      <c r="H40" s="172"/>
      <c r="I40" s="498" t="str">
        <f>IF(G40="","",VLOOKUP(G40,'G-1 All Habitats'!$B$2:$M$129,10,FALSE))</f>
        <v/>
      </c>
      <c r="J40" s="499" t="str">
        <f>IFERROR(VLOOKUP(I40,'G-1 All Habitats'!$V$3:$W$7,2,FALSE),"")</f>
        <v/>
      </c>
      <c r="K40" s="145"/>
      <c r="L40" s="499" t="str">
        <f>IFERROR(INDEX('G-8 Condition Look up'!$A$3:$H$130,MATCH(G40,'G-8 Condition Look up'!$A$3:$A$130,0),MATCH(K40,'G-8 Condition Look up'!$A$3:$H$3,0)),"")</f>
        <v/>
      </c>
      <c r="M40" s="154"/>
      <c r="N40" s="520" t="str">
        <f>IF(M40="","",IF(VLOOKUP(M40,'G-3 Multipliers'!$L$3:$N$6,2,FALSE)=0,"Spatial Data Missing ⚠",VLOOKUP(M40,'G-3 Multipliers'!$L$3:$N$6,2,FALSE)))</f>
        <v/>
      </c>
      <c r="O40" s="524" t="str">
        <f>IF(M40="","",IF(VLOOKUP(M40,'G-3 Multipliers'!$L$3:$N$6,3,FALSE)=0,"Spatial Data Missing ⚠",VLOOKUP(M40,'G-3 Multipliers'!$L$3:$N$6,3,FALSE)))</f>
        <v/>
      </c>
      <c r="P40" s="506" t="str">
        <f>IFERROR(VLOOKUP(G40,'G-1 All Habitats'!$B$2:$M$129,12,FALSE),"")</f>
        <v/>
      </c>
      <c r="Q40" s="513" t="str">
        <f>IFERROR(IF(P40="","",IF(AND(P40='G-1 All Habitats'!$X$3,T40&gt;0),U40+V40,IF(AND(P40='G-1 All Habitats'!$X$3,S40&gt;0),U40+V40,IF(AND(P40='G-1 All Habitats'!$X$3,AC40&gt;0),"Any Loss Unacceptable",IF(AND(P40='G-1 All Habitats'!$X$3,W40&gt;0),"Any Loss Unacceptable",H40*J40*L40*O40))))),"Check Data ⚠")</f>
        <v/>
      </c>
      <c r="R40" s="50"/>
      <c r="S40" s="71"/>
      <c r="T40" s="72"/>
      <c r="U40" s="511" t="str">
        <f t="shared" si="2"/>
        <v/>
      </c>
      <c r="V40" s="511" t="str">
        <f t="shared" si="3"/>
        <v/>
      </c>
      <c r="W40" s="511" t="str">
        <f>IF(E40="","",IF(H40&lt;S40+T40,"Error in Areas ▲",IF(P40&lt;&gt;'G-1 All Habitats'!$X$3,H40-S40-T40,IF(AND(P40='G-1 All Habitats'!$X$3,Y40="Yes"),"Unacceptable Loss ▲",IF(AND(P40='G-1 All Habitats'!$X$3,Y40="No"),AC40,IF(AND(P40='G-1 All Habitats'!$X$3,Y40=""),AC40,IF(AND(P40='G-1 All Habitats'!$X$3,AC40="None",AC40),IF(AND(P40='G-1 All Habitats'!$X$3,AC40&gt;0),H40-S40-T40))))))))</f>
        <v/>
      </c>
      <c r="X40" s="545" t="str">
        <f>IFERROR(IF(H40="","",IF(H40-S40-T40=0&lt;0,"Error in Areas ▲",IF(S40+T40&gt;H40,"Error in Areas ▲",IF(AND(P40='G-1 All Habitats'!$X$3,Y40="Yes"),"Alternative Compensation",IF(W40=0,0,IF(P40='G-1 All Habitats'!$X$3,"Unacceptable Loss",Q40-U40-V40)))))),"Check Data ⚠")</f>
        <v/>
      </c>
      <c r="Y40" s="72"/>
      <c r="Z40" s="151"/>
      <c r="AA40" s="152"/>
      <c r="AC40" s="251" t="str">
        <f>IF(P40="","",IF(P40='G-1 All Habitats'!$X$3,H40-S40-T40,"None"))</f>
        <v/>
      </c>
      <c r="AD40" s="252" t="str">
        <f t="shared" si="4"/>
        <v/>
      </c>
      <c r="AF40" s="156" t="str">
        <f t="shared" si="0"/>
        <v/>
      </c>
      <c r="AG40" s="156" t="str">
        <f t="shared" si="1"/>
        <v/>
      </c>
      <c r="AH40" s="156" t="str">
        <f>IF(I40="","",IF(#REF!&gt;0,TRUE,FALSE))</f>
        <v/>
      </c>
      <c r="AI40" s="156">
        <v>30</v>
      </c>
      <c r="AJ40" s="156"/>
      <c r="AK40" s="156" t="str">
        <f t="array" ref="AK40">IFERROR(INDEX($AI$11:$AI$259, MATCH(0, IF(TRUE=$AF$11:$AF$259, COUNTIF($AK$10:$AK39, $AI$11:$AI$259), ""), 0)),"")</f>
        <v/>
      </c>
      <c r="AL40" s="156" t="str">
        <f t="array" ref="AL40">IFERROR(INDEX($AI$11:$AI$259, MATCH(0, IF(TRUE=$AG$11:$AG$259, COUNTIF($AL$10:$AL39, $AI$11:$AI$259), ""), 0)),"")</f>
        <v/>
      </c>
      <c r="AM40" s="156" t="str">
        <f t="array" ref="AM40">IFERROR(INDEX($AI$11:$AI$259, MATCH(0, IF(TRUE=$AH$11:$AH$259, COUNTIF($AM$10:$AM39, $AI$11:$AI$259), ""), 0)),"")</f>
        <v/>
      </c>
      <c r="AQ40" s="31">
        <f t="shared" si="5"/>
        <v>0</v>
      </c>
    </row>
    <row r="41" spans="1:43" x14ac:dyDescent="0.3">
      <c r="A41" s="31" t="str">
        <f>IFERROR(INDEX('G-1 All Habitats'!$AG$3:$AG$15,MATCH(E41,'G-1 All Habitats'!$AF$3:$AF$15,0)),"")</f>
        <v/>
      </c>
      <c r="B41" s="31" t="str">
        <f>IFERROR(INDEX('G-8 Condition Look up'!$I$4:$I$130,MATCH(G41,'G-8 Condition Look up'!$A$4:$A$130,0)),"")</f>
        <v/>
      </c>
      <c r="D41" s="141">
        <v>31</v>
      </c>
      <c r="E41" s="203"/>
      <c r="F41" s="203"/>
      <c r="G41" s="250" t="str">
        <f>IFERROR(INDEX('G-1 All Habitats'!$B$3:$B$129,MATCH(F41,'G-1 All Habitats'!$A$3:$A$129,0)),"")</f>
        <v/>
      </c>
      <c r="H41" s="172"/>
      <c r="I41" s="498" t="str">
        <f>IF(G41="","",VLOOKUP(G41,'G-1 All Habitats'!$B$2:$M$129,10,FALSE))</f>
        <v/>
      </c>
      <c r="J41" s="499" t="str">
        <f>IFERROR(VLOOKUP(I41,'G-1 All Habitats'!$V$3:$W$7,2,FALSE),"")</f>
        <v/>
      </c>
      <c r="K41" s="145"/>
      <c r="L41" s="499" t="str">
        <f>IFERROR(INDEX('G-8 Condition Look up'!$A$3:$H$130,MATCH(G41,'G-8 Condition Look up'!$A$3:$A$130,0),MATCH(K41,'G-8 Condition Look up'!$A$3:$H$3,0)),"")</f>
        <v/>
      </c>
      <c r="M41" s="154"/>
      <c r="N41" s="520" t="str">
        <f>IF(M41="","",IF(VLOOKUP(M41,'G-3 Multipliers'!$L$3:$N$6,2,FALSE)=0,"Spatial Data Missing ⚠",VLOOKUP(M41,'G-3 Multipliers'!$L$3:$N$6,2,FALSE)))</f>
        <v/>
      </c>
      <c r="O41" s="524" t="str">
        <f>IF(M41="","",IF(VLOOKUP(M41,'G-3 Multipliers'!$L$3:$N$6,3,FALSE)=0,"Spatial Data Missing ⚠",VLOOKUP(M41,'G-3 Multipliers'!$L$3:$N$6,3,FALSE)))</f>
        <v/>
      </c>
      <c r="P41" s="506" t="str">
        <f>IFERROR(VLOOKUP(G41,'G-1 All Habitats'!$B$2:$M$129,12,FALSE),"")</f>
        <v/>
      </c>
      <c r="Q41" s="513" t="str">
        <f>IFERROR(IF(P41="","",IF(AND(P41='G-1 All Habitats'!$X$3,T41&gt;0),U41+V41,IF(AND(P41='G-1 All Habitats'!$X$3,S41&gt;0),U41+V41,IF(AND(P41='G-1 All Habitats'!$X$3,AC41&gt;0),"Any Loss Unacceptable",IF(AND(P41='G-1 All Habitats'!$X$3,W41&gt;0),"Any Loss Unacceptable",H41*J41*L41*O41))))),"Check Data ⚠")</f>
        <v/>
      </c>
      <c r="R41" s="50"/>
      <c r="S41" s="71"/>
      <c r="T41" s="72"/>
      <c r="U41" s="511" t="str">
        <f t="shared" si="2"/>
        <v/>
      </c>
      <c r="V41" s="511" t="str">
        <f t="shared" si="3"/>
        <v/>
      </c>
      <c r="W41" s="511" t="str">
        <f>IF(E41="","",IF(H41&lt;S41+T41,"Error in Areas ▲",IF(P41&lt;&gt;'G-1 All Habitats'!$X$3,H41-S41-T41,IF(AND(P41='G-1 All Habitats'!$X$3,Y41="Yes"),"Unacceptable Loss ▲",IF(AND(P41='G-1 All Habitats'!$X$3,Y41="No"),AC41,IF(AND(P41='G-1 All Habitats'!$X$3,Y41=""),AC41,IF(AND(P41='G-1 All Habitats'!$X$3,AC41="None",AC41),IF(AND(P41='G-1 All Habitats'!$X$3,AC41&gt;0),H41-S41-T41))))))))</f>
        <v/>
      </c>
      <c r="X41" s="545" t="str">
        <f>IFERROR(IF(H41="","",IF(H41-S41-T41=0&lt;0,"Error in Areas ▲",IF(S41+T41&gt;H41,"Error in Areas ▲",IF(AND(P41='G-1 All Habitats'!$X$3,Y41="Yes"),"Alternative Compensation",IF(W41=0,0,IF(P41='G-1 All Habitats'!$X$3,"Unacceptable Loss",Q41-U41-V41)))))),"Check Data ⚠")</f>
        <v/>
      </c>
      <c r="Y41" s="72"/>
      <c r="Z41" s="151"/>
      <c r="AA41" s="152"/>
      <c r="AC41" s="251" t="str">
        <f>IF(P41="","",IF(P41='G-1 All Habitats'!$X$3,H41-S41-T41,"None"))</f>
        <v/>
      </c>
      <c r="AD41" s="252" t="str">
        <f t="shared" si="4"/>
        <v/>
      </c>
      <c r="AF41" s="156" t="str">
        <f t="shared" si="0"/>
        <v/>
      </c>
      <c r="AG41" s="156" t="str">
        <f t="shared" si="1"/>
        <v/>
      </c>
      <c r="AH41" s="156" t="str">
        <f>IF(I41="","",IF(#REF!&gt;0,TRUE,FALSE))</f>
        <v/>
      </c>
      <c r="AI41" s="156">
        <v>31</v>
      </c>
      <c r="AJ41" s="156"/>
      <c r="AK41" s="156" t="str">
        <f t="array" ref="AK41">IFERROR(INDEX($AI$11:$AI$259, MATCH(0, IF(TRUE=$AF$11:$AF$259, COUNTIF($AK$10:$AK40, $AI$11:$AI$259), ""), 0)),"")</f>
        <v/>
      </c>
      <c r="AL41" s="156" t="str">
        <f t="array" ref="AL41">IFERROR(INDEX($AI$11:$AI$259, MATCH(0, IF(TRUE=$AG$11:$AG$259, COUNTIF($AL$10:$AL40, $AI$11:$AI$259), ""), 0)),"")</f>
        <v/>
      </c>
      <c r="AM41" s="156" t="str">
        <f t="array" ref="AM41">IFERROR(INDEX($AI$11:$AI$259, MATCH(0, IF(TRUE=$AH$11:$AH$259, COUNTIF($AM$10:$AM40, $AI$11:$AI$259), ""), 0)),"")</f>
        <v/>
      </c>
      <c r="AQ41" s="31">
        <f t="shared" si="5"/>
        <v>0</v>
      </c>
    </row>
    <row r="42" spans="1:43" x14ac:dyDescent="0.3">
      <c r="A42" s="31" t="str">
        <f>IFERROR(INDEX('G-1 All Habitats'!$AG$3:$AG$15,MATCH(E42,'G-1 All Habitats'!$AF$3:$AF$15,0)),"")</f>
        <v/>
      </c>
      <c r="B42" s="31" t="str">
        <f>IFERROR(INDEX('G-8 Condition Look up'!$I$4:$I$130,MATCH(G42,'G-8 Condition Look up'!$A$4:$A$130,0)),"")</f>
        <v/>
      </c>
      <c r="D42" s="141">
        <v>32</v>
      </c>
      <c r="E42" s="203"/>
      <c r="F42" s="203"/>
      <c r="G42" s="250" t="str">
        <f>IFERROR(INDEX('G-1 All Habitats'!$B$3:$B$129,MATCH(F42,'G-1 All Habitats'!$A$3:$A$129,0)),"")</f>
        <v/>
      </c>
      <c r="H42" s="172"/>
      <c r="I42" s="498" t="str">
        <f>IF(G42="","",VLOOKUP(G42,'G-1 All Habitats'!$B$2:$M$129,10,FALSE))</f>
        <v/>
      </c>
      <c r="J42" s="499" t="str">
        <f>IFERROR(VLOOKUP(I42,'G-1 All Habitats'!$V$3:$W$7,2,FALSE),"")</f>
        <v/>
      </c>
      <c r="K42" s="145"/>
      <c r="L42" s="499" t="str">
        <f>IFERROR(INDEX('G-8 Condition Look up'!$A$3:$H$130,MATCH(G42,'G-8 Condition Look up'!$A$3:$A$130,0),MATCH(K42,'G-8 Condition Look up'!$A$3:$H$3,0)),"")</f>
        <v/>
      </c>
      <c r="M42" s="154"/>
      <c r="N42" s="520" t="str">
        <f>IF(M42="","",IF(VLOOKUP(M42,'G-3 Multipliers'!$L$3:$N$6,2,FALSE)=0,"Spatial Data Missing ⚠",VLOOKUP(M42,'G-3 Multipliers'!$L$3:$N$6,2,FALSE)))</f>
        <v/>
      </c>
      <c r="O42" s="524" t="str">
        <f>IF(M42="","",IF(VLOOKUP(M42,'G-3 Multipliers'!$L$3:$N$6,3,FALSE)=0,"Spatial Data Missing ⚠",VLOOKUP(M42,'G-3 Multipliers'!$L$3:$N$6,3,FALSE)))</f>
        <v/>
      </c>
      <c r="P42" s="506" t="str">
        <f>IFERROR(VLOOKUP(G42,'G-1 All Habitats'!$B$2:$M$129,12,FALSE),"")</f>
        <v/>
      </c>
      <c r="Q42" s="513" t="str">
        <f>IFERROR(IF(P42="","",IF(AND(P42='G-1 All Habitats'!$X$3,T42&gt;0),U42+V42,IF(AND(P42='G-1 All Habitats'!$X$3,S42&gt;0),U42+V42,IF(AND(P42='G-1 All Habitats'!$X$3,AC42&gt;0),"Any Loss Unacceptable",IF(AND(P42='G-1 All Habitats'!$X$3,W42&gt;0),"Any Loss Unacceptable",H42*J42*L42*O42))))),"Check Data ⚠")</f>
        <v/>
      </c>
      <c r="R42" s="50"/>
      <c r="S42" s="71"/>
      <c r="T42" s="72"/>
      <c r="U42" s="511" t="str">
        <f t="shared" si="2"/>
        <v/>
      </c>
      <c r="V42" s="511" t="str">
        <f t="shared" si="3"/>
        <v/>
      </c>
      <c r="W42" s="511" t="str">
        <f>IF(E42="","",IF(H42&lt;S42+T42,"Error in Areas ▲",IF(P42&lt;&gt;'G-1 All Habitats'!$X$3,H42-S42-T42,IF(AND(P42='G-1 All Habitats'!$X$3,Y42="Yes"),"Unacceptable Loss ▲",IF(AND(P42='G-1 All Habitats'!$X$3,Y42="No"),AC42,IF(AND(P42='G-1 All Habitats'!$X$3,Y42=""),AC42,IF(AND(P42='G-1 All Habitats'!$X$3,AC42="None",AC42),IF(AND(P42='G-1 All Habitats'!$X$3,AC42&gt;0),H42-S42-T42))))))))</f>
        <v/>
      </c>
      <c r="X42" s="545" t="str">
        <f>IFERROR(IF(H42="","",IF(H42-S42-T42=0&lt;0,"Error in Areas ▲",IF(S42+T42&gt;H42,"Error in Areas ▲",IF(AND(P42='G-1 All Habitats'!$X$3,Y42="Yes"),"Alternative Compensation",IF(W42=0,0,IF(P42='G-1 All Habitats'!$X$3,"Unacceptable Loss",Q42-U42-V42)))))),"Check Data ⚠")</f>
        <v/>
      </c>
      <c r="Y42" s="72"/>
      <c r="Z42" s="151"/>
      <c r="AA42" s="152"/>
      <c r="AC42" s="251" t="str">
        <f>IF(P42="","",IF(P42='G-1 All Habitats'!$X$3,H42-S42-T42,"None"))</f>
        <v/>
      </c>
      <c r="AD42" s="252" t="str">
        <f t="shared" si="4"/>
        <v/>
      </c>
      <c r="AF42" s="156" t="str">
        <f t="shared" si="0"/>
        <v/>
      </c>
      <c r="AG42" s="156" t="str">
        <f t="shared" si="1"/>
        <v/>
      </c>
      <c r="AH42" s="156" t="str">
        <f>IF(I42="","",IF(#REF!&gt;0,TRUE,FALSE))</f>
        <v/>
      </c>
      <c r="AI42" s="156">
        <v>32</v>
      </c>
      <c r="AJ42" s="156"/>
      <c r="AK42" s="156" t="str">
        <f t="array" ref="AK42">IFERROR(INDEX($AI$11:$AI$259, MATCH(0, IF(TRUE=$AF$11:$AF$259, COUNTIF($AK$10:$AK41, $AI$11:$AI$259), ""), 0)),"")</f>
        <v/>
      </c>
      <c r="AL42" s="156" t="str">
        <f t="array" ref="AL42">IFERROR(INDEX($AI$11:$AI$259, MATCH(0, IF(TRUE=$AG$11:$AG$259, COUNTIF($AL$10:$AL41, $AI$11:$AI$259), ""), 0)),"")</f>
        <v/>
      </c>
      <c r="AM42" s="156" t="str">
        <f t="array" ref="AM42">IFERROR(INDEX($AI$11:$AI$259, MATCH(0, IF(TRUE=$AH$11:$AH$259, COUNTIF($AM$10:$AM41, $AI$11:$AI$259), ""), 0)),"")</f>
        <v/>
      </c>
      <c r="AQ42" s="31">
        <f t="shared" si="5"/>
        <v>0</v>
      </c>
    </row>
    <row r="43" spans="1:43" x14ac:dyDescent="0.3">
      <c r="A43" s="31" t="str">
        <f>IFERROR(INDEX('G-1 All Habitats'!$AG$3:$AG$15,MATCH(E43,'G-1 All Habitats'!$AF$3:$AF$15,0)),"")</f>
        <v/>
      </c>
      <c r="B43" s="31" t="str">
        <f>IFERROR(INDEX('G-8 Condition Look up'!$I$4:$I$130,MATCH(G43,'G-8 Condition Look up'!$A$4:$A$130,0)),"")</f>
        <v/>
      </c>
      <c r="D43" s="141">
        <v>33</v>
      </c>
      <c r="E43" s="203"/>
      <c r="F43" s="203"/>
      <c r="G43" s="250" t="str">
        <f>IFERROR(INDEX('G-1 All Habitats'!$B$3:$B$129,MATCH(F43,'G-1 All Habitats'!$A$3:$A$129,0)),"")</f>
        <v/>
      </c>
      <c r="H43" s="172"/>
      <c r="I43" s="498" t="str">
        <f>IF(G43="","",VLOOKUP(G43,'G-1 All Habitats'!$B$2:$M$129,10,FALSE))</f>
        <v/>
      </c>
      <c r="J43" s="499" t="str">
        <f>IFERROR(VLOOKUP(I43,'G-1 All Habitats'!$V$3:$W$7,2,FALSE),"")</f>
        <v/>
      </c>
      <c r="K43" s="145"/>
      <c r="L43" s="499" t="str">
        <f>IFERROR(INDEX('G-8 Condition Look up'!$A$3:$H$130,MATCH(G43,'G-8 Condition Look up'!$A$3:$A$130,0),MATCH(K43,'G-8 Condition Look up'!$A$3:$H$3,0)),"")</f>
        <v/>
      </c>
      <c r="M43" s="154"/>
      <c r="N43" s="520" t="str">
        <f>IF(M43="","",IF(VLOOKUP(M43,'G-3 Multipliers'!$L$3:$N$6,2,FALSE)=0,"Spatial Data Missing ⚠",VLOOKUP(M43,'G-3 Multipliers'!$L$3:$N$6,2,FALSE)))</f>
        <v/>
      </c>
      <c r="O43" s="524" t="str">
        <f>IF(M43="","",IF(VLOOKUP(M43,'G-3 Multipliers'!$L$3:$N$6,3,FALSE)=0,"Spatial Data Missing ⚠",VLOOKUP(M43,'G-3 Multipliers'!$L$3:$N$6,3,FALSE)))</f>
        <v/>
      </c>
      <c r="P43" s="506" t="str">
        <f>IFERROR(VLOOKUP(G43,'G-1 All Habitats'!$B$2:$M$129,12,FALSE),"")</f>
        <v/>
      </c>
      <c r="Q43" s="513" t="str">
        <f>IFERROR(IF(P43="","",IF(AND(P43='G-1 All Habitats'!$X$3,T43&gt;0),U43+V43,IF(AND(P43='G-1 All Habitats'!$X$3,S43&gt;0),U43+V43,IF(AND(P43='G-1 All Habitats'!$X$3,AC43&gt;0),"Any Loss Unacceptable",IF(AND(P43='G-1 All Habitats'!$X$3,W43&gt;0),"Any Loss Unacceptable",H43*J43*L43*O43))))),"Check Data ⚠")</f>
        <v/>
      </c>
      <c r="R43" s="50"/>
      <c r="S43" s="71"/>
      <c r="T43" s="72"/>
      <c r="U43" s="511" t="str">
        <f t="shared" si="2"/>
        <v/>
      </c>
      <c r="V43" s="511" t="str">
        <f t="shared" si="3"/>
        <v/>
      </c>
      <c r="W43" s="511" t="str">
        <f>IF(E43="","",IF(H43&lt;S43+T43,"Error in Areas ▲",IF(P43&lt;&gt;'G-1 All Habitats'!$X$3,H43-S43-T43,IF(AND(P43='G-1 All Habitats'!$X$3,Y43="Yes"),"Unacceptable Loss ▲",IF(AND(P43='G-1 All Habitats'!$X$3,Y43="No"),AC43,IF(AND(P43='G-1 All Habitats'!$X$3,Y43=""),AC43,IF(AND(P43='G-1 All Habitats'!$X$3,AC43="None",AC43),IF(AND(P43='G-1 All Habitats'!$X$3,AC43&gt;0),H43-S43-T43))))))))</f>
        <v/>
      </c>
      <c r="X43" s="545" t="str">
        <f>IFERROR(IF(H43="","",IF(H43-S43-T43=0&lt;0,"Error in Areas ▲",IF(S43+T43&gt;H43,"Error in Areas ▲",IF(AND(P43='G-1 All Habitats'!$X$3,Y43="Yes"),"Alternative Compensation",IF(W43=0,0,IF(P43='G-1 All Habitats'!$X$3,"Unacceptable Loss",Q43-U43-V43)))))),"Check Data ⚠")</f>
        <v/>
      </c>
      <c r="Y43" s="72"/>
      <c r="Z43" s="151"/>
      <c r="AA43" s="152"/>
      <c r="AC43" s="251" t="str">
        <f>IF(P43="","",IF(P43='G-1 All Habitats'!$X$3,H43-S43-T43,"None"))</f>
        <v/>
      </c>
      <c r="AD43" s="252" t="str">
        <f t="shared" si="4"/>
        <v/>
      </c>
      <c r="AF43" s="156" t="str">
        <f t="shared" si="0"/>
        <v/>
      </c>
      <c r="AG43" s="156" t="str">
        <f t="shared" si="1"/>
        <v/>
      </c>
      <c r="AH43" s="156" t="str">
        <f>IF(I43="","",IF(#REF!&gt;0,TRUE,FALSE))</f>
        <v/>
      </c>
      <c r="AI43" s="156">
        <v>33</v>
      </c>
      <c r="AJ43" s="156"/>
      <c r="AK43" s="156" t="str">
        <f t="array" ref="AK43">IFERROR(INDEX($AI$11:$AI$259, MATCH(0, IF(TRUE=$AF$11:$AF$259, COUNTIF($AK$10:$AK42, $AI$11:$AI$259), ""), 0)),"")</f>
        <v/>
      </c>
      <c r="AL43" s="156" t="str">
        <f t="array" ref="AL43">IFERROR(INDEX($AI$11:$AI$259, MATCH(0, IF(TRUE=$AG$11:$AG$259, COUNTIF($AL$10:$AL42, $AI$11:$AI$259), ""), 0)),"")</f>
        <v/>
      </c>
      <c r="AM43" s="156" t="str">
        <f t="array" ref="AM43">IFERROR(INDEX($AI$11:$AI$259, MATCH(0, IF(TRUE=$AH$11:$AH$259, COUNTIF($AM$10:$AM42, $AI$11:$AI$259), ""), 0)),"")</f>
        <v/>
      </c>
      <c r="AQ43" s="31">
        <f t="shared" si="5"/>
        <v>0</v>
      </c>
    </row>
    <row r="44" spans="1:43" x14ac:dyDescent="0.3">
      <c r="A44" s="31" t="str">
        <f>IFERROR(INDEX('G-1 All Habitats'!$AG$3:$AG$15,MATCH(E44,'G-1 All Habitats'!$AF$3:$AF$15,0)),"")</f>
        <v/>
      </c>
      <c r="B44" s="31" t="str">
        <f>IFERROR(INDEX('G-8 Condition Look up'!$I$4:$I$130,MATCH(G44,'G-8 Condition Look up'!$A$4:$A$130,0)),"")</f>
        <v/>
      </c>
      <c r="D44" s="141">
        <v>34</v>
      </c>
      <c r="E44" s="203"/>
      <c r="F44" s="203"/>
      <c r="G44" s="250" t="str">
        <f>IFERROR(INDEX('G-1 All Habitats'!$B$3:$B$129,MATCH(F44,'G-1 All Habitats'!$A$3:$A$129,0)),"")</f>
        <v/>
      </c>
      <c r="H44" s="172"/>
      <c r="I44" s="498" t="str">
        <f>IF(G44="","",VLOOKUP(G44,'G-1 All Habitats'!$B$2:$M$129,10,FALSE))</f>
        <v/>
      </c>
      <c r="J44" s="499" t="str">
        <f>IFERROR(VLOOKUP(I44,'G-1 All Habitats'!$V$3:$W$7,2,FALSE),"")</f>
        <v/>
      </c>
      <c r="K44" s="145"/>
      <c r="L44" s="499" t="str">
        <f>IFERROR(INDEX('G-8 Condition Look up'!$A$3:$H$130,MATCH(G44,'G-8 Condition Look up'!$A$3:$A$130,0),MATCH(K44,'G-8 Condition Look up'!$A$3:$H$3,0)),"")</f>
        <v/>
      </c>
      <c r="M44" s="154"/>
      <c r="N44" s="520" t="str">
        <f>IF(M44="","",IF(VLOOKUP(M44,'G-3 Multipliers'!$L$3:$N$6,2,FALSE)=0,"Spatial Data Missing ⚠",VLOOKUP(M44,'G-3 Multipliers'!$L$3:$N$6,2,FALSE)))</f>
        <v/>
      </c>
      <c r="O44" s="524" t="str">
        <f>IF(M44="","",IF(VLOOKUP(M44,'G-3 Multipliers'!$L$3:$N$6,3,FALSE)=0,"Spatial Data Missing ⚠",VLOOKUP(M44,'G-3 Multipliers'!$L$3:$N$6,3,FALSE)))</f>
        <v/>
      </c>
      <c r="P44" s="506" t="str">
        <f>IFERROR(VLOOKUP(G44,'G-1 All Habitats'!$B$2:$M$129,12,FALSE),"")</f>
        <v/>
      </c>
      <c r="Q44" s="513" t="str">
        <f>IFERROR(IF(P44="","",IF(AND(P44='G-1 All Habitats'!$X$3,T44&gt;0),U44+V44,IF(AND(P44='G-1 All Habitats'!$X$3,S44&gt;0),U44+V44,IF(AND(P44='G-1 All Habitats'!$X$3,AC44&gt;0),"Any Loss Unacceptable",IF(AND(P44='G-1 All Habitats'!$X$3,W44&gt;0),"Any Loss Unacceptable",H44*J44*L44*O44))))),"Check Data ⚠")</f>
        <v/>
      </c>
      <c r="R44" s="50"/>
      <c r="S44" s="71"/>
      <c r="T44" s="72"/>
      <c r="U44" s="511" t="str">
        <f t="shared" si="2"/>
        <v/>
      </c>
      <c r="V44" s="511" t="str">
        <f t="shared" si="3"/>
        <v/>
      </c>
      <c r="W44" s="511" t="str">
        <f>IF(E44="","",IF(H44&lt;S44+T44,"Error in Areas ▲",IF(P44&lt;&gt;'G-1 All Habitats'!$X$3,H44-S44-T44,IF(AND(P44='G-1 All Habitats'!$X$3,Y44="Yes"),"Unacceptable Loss ▲",IF(AND(P44='G-1 All Habitats'!$X$3,Y44="No"),AC44,IF(AND(P44='G-1 All Habitats'!$X$3,Y44=""),AC44,IF(AND(P44='G-1 All Habitats'!$X$3,AC44="None",AC44),IF(AND(P44='G-1 All Habitats'!$X$3,AC44&gt;0),H44-S44-T44))))))))</f>
        <v/>
      </c>
      <c r="X44" s="545" t="str">
        <f>IFERROR(IF(H44="","",IF(H44-S44-T44=0&lt;0,"Error in Areas ▲",IF(S44+T44&gt;H44,"Error in Areas ▲",IF(AND(P44='G-1 All Habitats'!$X$3,Y44="Yes"),"Alternative Compensation",IF(W44=0,0,IF(P44='G-1 All Habitats'!$X$3,"Unacceptable Loss",Q44-U44-V44)))))),"Check Data ⚠")</f>
        <v/>
      </c>
      <c r="Y44" s="72"/>
      <c r="Z44" s="151"/>
      <c r="AA44" s="152"/>
      <c r="AC44" s="251" t="str">
        <f>IF(P44="","",IF(P44='G-1 All Habitats'!$X$3,H44-S44-T44,"None"))</f>
        <v/>
      </c>
      <c r="AD44" s="252" t="str">
        <f t="shared" si="4"/>
        <v/>
      </c>
      <c r="AF44" s="156" t="str">
        <f t="shared" si="0"/>
        <v/>
      </c>
      <c r="AG44" s="156" t="str">
        <f t="shared" si="1"/>
        <v/>
      </c>
      <c r="AH44" s="156" t="str">
        <f>IF(I44="","",IF(#REF!&gt;0,TRUE,FALSE))</f>
        <v/>
      </c>
      <c r="AI44" s="156">
        <v>34</v>
      </c>
      <c r="AJ44" s="156"/>
      <c r="AK44" s="156" t="str">
        <f t="array" ref="AK44">IFERROR(INDEX($AI$11:$AI$259, MATCH(0, IF(TRUE=$AF$11:$AF$259, COUNTIF($AK$10:$AK43, $AI$11:$AI$259), ""), 0)),"")</f>
        <v/>
      </c>
      <c r="AL44" s="156" t="str">
        <f t="array" ref="AL44">IFERROR(INDEX($AI$11:$AI$259, MATCH(0, IF(TRUE=$AG$11:$AG$259, COUNTIF($AL$10:$AL43, $AI$11:$AI$259), ""), 0)),"")</f>
        <v/>
      </c>
      <c r="AM44" s="156" t="str">
        <f t="array" ref="AM44">IFERROR(INDEX($AI$11:$AI$259, MATCH(0, IF(TRUE=$AH$11:$AH$259, COUNTIF($AM$10:$AM43, $AI$11:$AI$259), ""), 0)),"")</f>
        <v/>
      </c>
      <c r="AQ44" s="31">
        <f t="shared" si="5"/>
        <v>0</v>
      </c>
    </row>
    <row r="45" spans="1:43" x14ac:dyDescent="0.3">
      <c r="A45" s="31" t="str">
        <f>IFERROR(INDEX('G-1 All Habitats'!$AG$3:$AG$15,MATCH(E45,'G-1 All Habitats'!$AF$3:$AF$15,0)),"")</f>
        <v/>
      </c>
      <c r="B45" s="31" t="str">
        <f>IFERROR(INDEX('G-8 Condition Look up'!$I$4:$I$130,MATCH(G45,'G-8 Condition Look up'!$A$4:$A$130,0)),"")</f>
        <v/>
      </c>
      <c r="D45" s="141">
        <v>35</v>
      </c>
      <c r="E45" s="203"/>
      <c r="F45" s="203"/>
      <c r="G45" s="250" t="str">
        <f>IFERROR(INDEX('G-1 All Habitats'!$B$3:$B$129,MATCH(F45,'G-1 All Habitats'!$A$3:$A$129,0)),"")</f>
        <v/>
      </c>
      <c r="H45" s="172"/>
      <c r="I45" s="498" t="str">
        <f>IF(G45="","",VLOOKUP(G45,'G-1 All Habitats'!$B$2:$M$129,10,FALSE))</f>
        <v/>
      </c>
      <c r="J45" s="499" t="str">
        <f>IFERROR(VLOOKUP(I45,'G-1 All Habitats'!$V$3:$W$7,2,FALSE),"")</f>
        <v/>
      </c>
      <c r="K45" s="145"/>
      <c r="L45" s="499" t="str">
        <f>IFERROR(INDEX('G-8 Condition Look up'!$A$3:$H$130,MATCH(G45,'G-8 Condition Look up'!$A$3:$A$130,0),MATCH(K45,'G-8 Condition Look up'!$A$3:$H$3,0)),"")</f>
        <v/>
      </c>
      <c r="M45" s="154"/>
      <c r="N45" s="520" t="str">
        <f>IF(M45="","",IF(VLOOKUP(M45,'G-3 Multipliers'!$L$3:$N$6,2,FALSE)=0,"Spatial Data Missing ⚠",VLOOKUP(M45,'G-3 Multipliers'!$L$3:$N$6,2,FALSE)))</f>
        <v/>
      </c>
      <c r="O45" s="524" t="str">
        <f>IF(M45="","",IF(VLOOKUP(M45,'G-3 Multipliers'!$L$3:$N$6,3,FALSE)=0,"Spatial Data Missing ⚠",VLOOKUP(M45,'G-3 Multipliers'!$L$3:$N$6,3,FALSE)))</f>
        <v/>
      </c>
      <c r="P45" s="506" t="str">
        <f>IFERROR(VLOOKUP(G45,'G-1 All Habitats'!$B$2:$M$129,12,FALSE),"")</f>
        <v/>
      </c>
      <c r="Q45" s="513" t="str">
        <f>IFERROR(IF(P45="","",IF(AND(P45='G-1 All Habitats'!$X$3,T45&gt;0),U45+V45,IF(AND(P45='G-1 All Habitats'!$X$3,S45&gt;0),U45+V45,IF(AND(P45='G-1 All Habitats'!$X$3,AC45&gt;0),"Any Loss Unacceptable",IF(AND(P45='G-1 All Habitats'!$X$3,W45&gt;0),"Any Loss Unacceptable",H45*J45*L45*O45))))),"Check Data ⚠")</f>
        <v/>
      </c>
      <c r="R45" s="50"/>
      <c r="S45" s="71"/>
      <c r="T45" s="72"/>
      <c r="U45" s="511" t="str">
        <f t="shared" si="2"/>
        <v/>
      </c>
      <c r="V45" s="511" t="str">
        <f t="shared" si="3"/>
        <v/>
      </c>
      <c r="W45" s="511" t="str">
        <f>IF(E45="","",IF(H45&lt;S45+T45,"Error in Areas ▲",IF(P45&lt;&gt;'G-1 All Habitats'!$X$3,H45-S45-T45,IF(AND(P45='G-1 All Habitats'!$X$3,Y45="Yes"),"Unacceptable Loss ▲",IF(AND(P45='G-1 All Habitats'!$X$3,Y45="No"),AC45,IF(AND(P45='G-1 All Habitats'!$X$3,Y45=""),AC45,IF(AND(P45='G-1 All Habitats'!$X$3,AC45="None",AC45),IF(AND(P45='G-1 All Habitats'!$X$3,AC45&gt;0),H45-S45-T45))))))))</f>
        <v/>
      </c>
      <c r="X45" s="545" t="str">
        <f>IFERROR(IF(H45="","",IF(H45-S45-T45=0&lt;0,"Error in Areas ▲",IF(S45+T45&gt;H45,"Error in Areas ▲",IF(AND(P45='G-1 All Habitats'!$X$3,Y45="Yes"),"Alternative Compensation",IF(W45=0,0,IF(P45='G-1 All Habitats'!$X$3,"Unacceptable Loss",Q45-U45-V45)))))),"Check Data ⚠")</f>
        <v/>
      </c>
      <c r="Y45" s="72"/>
      <c r="Z45" s="151"/>
      <c r="AA45" s="152"/>
      <c r="AC45" s="251" t="str">
        <f>IF(P45="","",IF(P45='G-1 All Habitats'!$X$3,H45-S45-T45,"None"))</f>
        <v/>
      </c>
      <c r="AD45" s="252" t="str">
        <f t="shared" si="4"/>
        <v/>
      </c>
      <c r="AF45" s="156" t="str">
        <f t="shared" si="0"/>
        <v/>
      </c>
      <c r="AG45" s="156" t="str">
        <f t="shared" si="1"/>
        <v/>
      </c>
      <c r="AH45" s="156" t="str">
        <f>IF(I45="","",IF(#REF!&gt;0,TRUE,FALSE))</f>
        <v/>
      </c>
      <c r="AI45" s="156">
        <v>35</v>
      </c>
      <c r="AJ45" s="156"/>
      <c r="AK45" s="156" t="str">
        <f t="array" ref="AK45">IFERROR(INDEX($AI$11:$AI$259, MATCH(0, IF(TRUE=$AF$11:$AF$259, COUNTIF($AK$10:$AK44, $AI$11:$AI$259), ""), 0)),"")</f>
        <v/>
      </c>
      <c r="AL45" s="156" t="str">
        <f t="array" ref="AL45">IFERROR(INDEX($AI$11:$AI$259, MATCH(0, IF(TRUE=$AG$11:$AG$259, COUNTIF($AL$10:$AL44, $AI$11:$AI$259), ""), 0)),"")</f>
        <v/>
      </c>
      <c r="AM45" s="156" t="str">
        <f t="array" ref="AM45">IFERROR(INDEX($AI$11:$AI$259, MATCH(0, IF(TRUE=$AH$11:$AH$259, COUNTIF($AM$10:$AM44, $AI$11:$AI$259), ""), 0)),"")</f>
        <v/>
      </c>
      <c r="AQ45" s="31">
        <f t="shared" si="5"/>
        <v>0</v>
      </c>
    </row>
    <row r="46" spans="1:43" x14ac:dyDescent="0.3">
      <c r="A46" s="31" t="str">
        <f>IFERROR(INDEX('G-1 All Habitats'!$AG$3:$AG$15,MATCH(E46,'G-1 All Habitats'!$AF$3:$AF$15,0)),"")</f>
        <v/>
      </c>
      <c r="B46" s="31" t="str">
        <f>IFERROR(INDEX('G-8 Condition Look up'!$I$4:$I$130,MATCH(G46,'G-8 Condition Look up'!$A$4:$A$130,0)),"")</f>
        <v/>
      </c>
      <c r="D46" s="141">
        <v>36</v>
      </c>
      <c r="E46" s="203"/>
      <c r="F46" s="203"/>
      <c r="G46" s="250" t="str">
        <f>IFERROR(INDEX('G-1 All Habitats'!$B$3:$B$129,MATCH(F46,'G-1 All Habitats'!$A$3:$A$129,0)),"")</f>
        <v/>
      </c>
      <c r="H46" s="172"/>
      <c r="I46" s="498" t="str">
        <f>IF(G46="","",VLOOKUP(G46,'G-1 All Habitats'!$B$2:$M$129,10,FALSE))</f>
        <v/>
      </c>
      <c r="J46" s="499" t="str">
        <f>IFERROR(VLOOKUP(I46,'G-1 All Habitats'!$V$3:$W$7,2,FALSE),"")</f>
        <v/>
      </c>
      <c r="K46" s="145"/>
      <c r="L46" s="499" t="str">
        <f>IFERROR(INDEX('G-8 Condition Look up'!$A$3:$H$130,MATCH(G46,'G-8 Condition Look up'!$A$3:$A$130,0),MATCH(K46,'G-8 Condition Look up'!$A$3:$H$3,0)),"")</f>
        <v/>
      </c>
      <c r="M46" s="154"/>
      <c r="N46" s="520" t="str">
        <f>IF(M46="","",IF(VLOOKUP(M46,'G-3 Multipliers'!$L$3:$N$6,2,FALSE)=0,"Spatial Data Missing ⚠",VLOOKUP(M46,'G-3 Multipliers'!$L$3:$N$6,2,FALSE)))</f>
        <v/>
      </c>
      <c r="O46" s="524" t="str">
        <f>IF(M46="","",IF(VLOOKUP(M46,'G-3 Multipliers'!$L$3:$N$6,3,FALSE)=0,"Spatial Data Missing ⚠",VLOOKUP(M46,'G-3 Multipliers'!$L$3:$N$6,3,FALSE)))</f>
        <v/>
      </c>
      <c r="P46" s="506" t="str">
        <f>IFERROR(VLOOKUP(G46,'G-1 All Habitats'!$B$2:$M$129,12,FALSE),"")</f>
        <v/>
      </c>
      <c r="Q46" s="513" t="str">
        <f>IFERROR(IF(P46="","",IF(AND(P46='G-1 All Habitats'!$X$3,T46&gt;0),U46+V46,IF(AND(P46='G-1 All Habitats'!$X$3,S46&gt;0),U46+V46,IF(AND(P46='G-1 All Habitats'!$X$3,AC46&gt;0),"Any Loss Unacceptable",IF(AND(P46='G-1 All Habitats'!$X$3,W46&gt;0),"Any Loss Unacceptable",H46*J46*L46*O46))))),"Check Data ⚠")</f>
        <v/>
      </c>
      <c r="R46" s="50"/>
      <c r="S46" s="71"/>
      <c r="T46" s="72"/>
      <c r="U46" s="511" t="str">
        <f t="shared" si="2"/>
        <v/>
      </c>
      <c r="V46" s="511" t="str">
        <f t="shared" si="3"/>
        <v/>
      </c>
      <c r="W46" s="511" t="str">
        <f>IF(E46="","",IF(H46&lt;S46+T46,"Error in Areas ▲",IF(P46&lt;&gt;'G-1 All Habitats'!$X$3,H46-S46-T46,IF(AND(P46='G-1 All Habitats'!$X$3,Y46="Yes"),"Unacceptable Loss ▲",IF(AND(P46='G-1 All Habitats'!$X$3,Y46="No"),AC46,IF(AND(P46='G-1 All Habitats'!$X$3,Y46=""),AC46,IF(AND(P46='G-1 All Habitats'!$X$3,AC46="None",AC46),IF(AND(P46='G-1 All Habitats'!$X$3,AC46&gt;0),H46-S46-T46))))))))</f>
        <v/>
      </c>
      <c r="X46" s="545" t="str">
        <f>IFERROR(IF(H46="","",IF(H46-S46-T46=0&lt;0,"Error in Areas ▲",IF(S46+T46&gt;H46,"Error in Areas ▲",IF(AND(P46='G-1 All Habitats'!$X$3,Y46="Yes"),"Alternative Compensation",IF(W46=0,0,IF(P46='G-1 All Habitats'!$X$3,"Unacceptable Loss",Q46-U46-V46)))))),"Check Data ⚠")</f>
        <v/>
      </c>
      <c r="Y46" s="72"/>
      <c r="Z46" s="151"/>
      <c r="AA46" s="152"/>
      <c r="AC46" s="251" t="str">
        <f>IF(P46="","",IF(P46='G-1 All Habitats'!$X$3,H46-S46-T46,"None"))</f>
        <v/>
      </c>
      <c r="AD46" s="252" t="str">
        <f t="shared" si="4"/>
        <v/>
      </c>
      <c r="AF46" s="156" t="str">
        <f t="shared" si="0"/>
        <v/>
      </c>
      <c r="AG46" s="156" t="str">
        <f t="shared" si="1"/>
        <v/>
      </c>
      <c r="AH46" s="156" t="str">
        <f>IF(I46="","",IF(#REF!&gt;0,TRUE,FALSE))</f>
        <v/>
      </c>
      <c r="AI46" s="156">
        <v>36</v>
      </c>
      <c r="AJ46" s="156"/>
      <c r="AK46" s="156" t="str">
        <f t="array" ref="AK46">IFERROR(INDEX($AI$11:$AI$259, MATCH(0, IF(TRUE=$AF$11:$AF$259, COUNTIF($AK$10:$AK45, $AI$11:$AI$259), ""), 0)),"")</f>
        <v/>
      </c>
      <c r="AL46" s="156" t="str">
        <f t="array" ref="AL46">IFERROR(INDEX($AI$11:$AI$259, MATCH(0, IF(TRUE=$AG$11:$AG$259, COUNTIF($AL$10:$AL45, $AI$11:$AI$259), ""), 0)),"")</f>
        <v/>
      </c>
      <c r="AM46" s="156" t="str">
        <f t="array" ref="AM46">IFERROR(INDEX($AI$11:$AI$259, MATCH(0, IF(TRUE=$AH$11:$AH$259, COUNTIF($AM$10:$AM45, $AI$11:$AI$259), ""), 0)),"")</f>
        <v/>
      </c>
      <c r="AQ46" s="31">
        <f t="shared" si="5"/>
        <v>0</v>
      </c>
    </row>
    <row r="47" spans="1:43" x14ac:dyDescent="0.3">
      <c r="A47" s="31" t="str">
        <f>IFERROR(INDEX('G-1 All Habitats'!$AG$3:$AG$15,MATCH(E47,'G-1 All Habitats'!$AF$3:$AF$15,0)),"")</f>
        <v/>
      </c>
      <c r="B47" s="31" t="str">
        <f>IFERROR(INDEX('G-8 Condition Look up'!$I$4:$I$130,MATCH(G47,'G-8 Condition Look up'!$A$4:$A$130,0)),"")</f>
        <v/>
      </c>
      <c r="D47" s="141">
        <v>37</v>
      </c>
      <c r="E47" s="203"/>
      <c r="F47" s="203"/>
      <c r="G47" s="250" t="str">
        <f>IFERROR(INDEX('G-1 All Habitats'!$B$3:$B$129,MATCH(F47,'G-1 All Habitats'!$A$3:$A$129,0)),"")</f>
        <v/>
      </c>
      <c r="H47" s="172"/>
      <c r="I47" s="498" t="str">
        <f>IF(G47="","",VLOOKUP(G47,'G-1 All Habitats'!$B$2:$M$129,10,FALSE))</f>
        <v/>
      </c>
      <c r="J47" s="499" t="str">
        <f>IFERROR(VLOOKUP(I47,'G-1 All Habitats'!$V$3:$W$7,2,FALSE),"")</f>
        <v/>
      </c>
      <c r="K47" s="145"/>
      <c r="L47" s="499" t="str">
        <f>IFERROR(INDEX('G-8 Condition Look up'!$A$3:$H$130,MATCH(G47,'G-8 Condition Look up'!$A$3:$A$130,0),MATCH(K47,'G-8 Condition Look up'!$A$3:$H$3,0)),"")</f>
        <v/>
      </c>
      <c r="M47" s="154"/>
      <c r="N47" s="520" t="str">
        <f>IF(M47="","",IF(VLOOKUP(M47,'G-3 Multipliers'!$L$3:$N$6,2,FALSE)=0,"Spatial Data Missing ⚠",VLOOKUP(M47,'G-3 Multipliers'!$L$3:$N$6,2,FALSE)))</f>
        <v/>
      </c>
      <c r="O47" s="524" t="str">
        <f>IF(M47="","",IF(VLOOKUP(M47,'G-3 Multipliers'!$L$3:$N$6,3,FALSE)=0,"Spatial Data Missing ⚠",VLOOKUP(M47,'G-3 Multipliers'!$L$3:$N$6,3,FALSE)))</f>
        <v/>
      </c>
      <c r="P47" s="506" t="str">
        <f>IFERROR(VLOOKUP(G47,'G-1 All Habitats'!$B$2:$M$129,12,FALSE),"")</f>
        <v/>
      </c>
      <c r="Q47" s="513" t="str">
        <f>IFERROR(IF(P47="","",IF(AND(P47='G-1 All Habitats'!$X$3,T47&gt;0),U47+V47,IF(AND(P47='G-1 All Habitats'!$X$3,S47&gt;0),U47+V47,IF(AND(P47='G-1 All Habitats'!$X$3,AC47&gt;0),"Any Loss Unacceptable",IF(AND(P47='G-1 All Habitats'!$X$3,W47&gt;0),"Any Loss Unacceptable",H47*J47*L47*O47))))),"Check Data ⚠")</f>
        <v/>
      </c>
      <c r="R47" s="50"/>
      <c r="S47" s="71"/>
      <c r="T47" s="72"/>
      <c r="U47" s="511" t="str">
        <f t="shared" si="2"/>
        <v/>
      </c>
      <c r="V47" s="511" t="str">
        <f t="shared" si="3"/>
        <v/>
      </c>
      <c r="W47" s="511" t="str">
        <f>IF(E47="","",IF(H47&lt;S47+T47,"Error in Areas ▲",IF(P47&lt;&gt;'G-1 All Habitats'!$X$3,H47-S47-T47,IF(AND(P47='G-1 All Habitats'!$X$3,Y47="Yes"),"Unacceptable Loss ▲",IF(AND(P47='G-1 All Habitats'!$X$3,Y47="No"),AC47,IF(AND(P47='G-1 All Habitats'!$X$3,Y47=""),AC47,IF(AND(P47='G-1 All Habitats'!$X$3,AC47="None",AC47),IF(AND(P47='G-1 All Habitats'!$X$3,AC47&gt;0),H47-S47-T47))))))))</f>
        <v/>
      </c>
      <c r="X47" s="545" t="str">
        <f>IFERROR(IF(H47="","",IF(H47-S47-T47=0&lt;0,"Error in Areas ▲",IF(S47+T47&gt;H47,"Error in Areas ▲",IF(AND(P47='G-1 All Habitats'!$X$3,Y47="Yes"),"Alternative Compensation",IF(W47=0,0,IF(P47='G-1 All Habitats'!$X$3,"Unacceptable Loss",Q47-U47-V47)))))),"Check Data ⚠")</f>
        <v/>
      </c>
      <c r="Y47" s="72"/>
      <c r="Z47" s="151"/>
      <c r="AA47" s="152"/>
      <c r="AC47" s="251" t="str">
        <f>IF(P47="","",IF(P47='G-1 All Habitats'!$X$3,H47-S47-T47,"None"))</f>
        <v/>
      </c>
      <c r="AD47" s="252" t="str">
        <f t="shared" si="4"/>
        <v/>
      </c>
      <c r="AF47" s="156" t="str">
        <f t="shared" si="0"/>
        <v/>
      </c>
      <c r="AG47" s="156" t="str">
        <f t="shared" si="1"/>
        <v/>
      </c>
      <c r="AH47" s="156" t="str">
        <f>IF(I47="","",IF(#REF!&gt;0,TRUE,FALSE))</f>
        <v/>
      </c>
      <c r="AI47" s="156">
        <v>37</v>
      </c>
      <c r="AJ47" s="156"/>
      <c r="AK47" s="156" t="str">
        <f t="array" ref="AK47">IFERROR(INDEX($AI$11:$AI$259, MATCH(0, IF(TRUE=$AF$11:$AF$259, COUNTIF($AK$10:$AK46, $AI$11:$AI$259), ""), 0)),"")</f>
        <v/>
      </c>
      <c r="AL47" s="156" t="str">
        <f t="array" ref="AL47">IFERROR(INDEX($AI$11:$AI$259, MATCH(0, IF(TRUE=$AG$11:$AG$259, COUNTIF($AL$10:$AL46, $AI$11:$AI$259), ""), 0)),"")</f>
        <v/>
      </c>
      <c r="AM47" s="156" t="str">
        <f t="array" ref="AM47">IFERROR(INDEX($AI$11:$AI$259, MATCH(0, IF(TRUE=$AH$11:$AH$259, COUNTIF($AM$10:$AM46, $AI$11:$AI$259), ""), 0)),"")</f>
        <v/>
      </c>
      <c r="AQ47" s="31">
        <f t="shared" si="5"/>
        <v>0</v>
      </c>
    </row>
    <row r="48" spans="1:43" x14ac:dyDescent="0.3">
      <c r="A48" s="31" t="str">
        <f>IFERROR(INDEX('G-1 All Habitats'!$AG$3:$AG$15,MATCH(E48,'G-1 All Habitats'!$AF$3:$AF$15,0)),"")</f>
        <v/>
      </c>
      <c r="B48" s="31" t="str">
        <f>IFERROR(INDEX('G-8 Condition Look up'!$I$4:$I$130,MATCH(G48,'G-8 Condition Look up'!$A$4:$A$130,0)),"")</f>
        <v/>
      </c>
      <c r="D48" s="141">
        <v>38</v>
      </c>
      <c r="E48" s="203"/>
      <c r="F48" s="203"/>
      <c r="G48" s="250" t="str">
        <f>IFERROR(INDEX('G-1 All Habitats'!$B$3:$B$129,MATCH(F48,'G-1 All Habitats'!$A$3:$A$129,0)),"")</f>
        <v/>
      </c>
      <c r="H48" s="172"/>
      <c r="I48" s="498" t="str">
        <f>IF(G48="","",VLOOKUP(G48,'G-1 All Habitats'!$B$2:$M$129,10,FALSE))</f>
        <v/>
      </c>
      <c r="J48" s="499" t="str">
        <f>IFERROR(VLOOKUP(I48,'G-1 All Habitats'!$V$3:$W$7,2,FALSE),"")</f>
        <v/>
      </c>
      <c r="K48" s="145"/>
      <c r="L48" s="499" t="str">
        <f>IFERROR(INDEX('G-8 Condition Look up'!$A$3:$H$130,MATCH(G48,'G-8 Condition Look up'!$A$3:$A$130,0),MATCH(K48,'G-8 Condition Look up'!$A$3:$H$3,0)),"")</f>
        <v/>
      </c>
      <c r="M48" s="154"/>
      <c r="N48" s="520" t="str">
        <f>IF(M48="","",IF(VLOOKUP(M48,'G-3 Multipliers'!$L$3:$N$6,2,FALSE)=0,"Spatial Data Missing ⚠",VLOOKUP(M48,'G-3 Multipliers'!$L$3:$N$6,2,FALSE)))</f>
        <v/>
      </c>
      <c r="O48" s="524" t="str">
        <f>IF(M48="","",IF(VLOOKUP(M48,'G-3 Multipliers'!$L$3:$N$6,3,FALSE)=0,"Spatial Data Missing ⚠",VLOOKUP(M48,'G-3 Multipliers'!$L$3:$N$6,3,FALSE)))</f>
        <v/>
      </c>
      <c r="P48" s="506" t="str">
        <f>IFERROR(VLOOKUP(G48,'G-1 All Habitats'!$B$2:$M$129,12,FALSE),"")</f>
        <v/>
      </c>
      <c r="Q48" s="513" t="str">
        <f>IFERROR(IF(P48="","",IF(AND(P48='G-1 All Habitats'!$X$3,T48&gt;0),U48+V48,IF(AND(P48='G-1 All Habitats'!$X$3,S48&gt;0),U48+V48,IF(AND(P48='G-1 All Habitats'!$X$3,AC48&gt;0),"Any Loss Unacceptable",IF(AND(P48='G-1 All Habitats'!$X$3,W48&gt;0),"Any Loss Unacceptable",H48*J48*L48*O48))))),"Check Data ⚠")</f>
        <v/>
      </c>
      <c r="R48" s="50"/>
      <c r="S48" s="71"/>
      <c r="T48" s="72"/>
      <c r="U48" s="511" t="str">
        <f t="shared" si="2"/>
        <v/>
      </c>
      <c r="V48" s="511" t="str">
        <f t="shared" si="3"/>
        <v/>
      </c>
      <c r="W48" s="511" t="str">
        <f>IF(E48="","",IF(H48&lt;S48+T48,"Error in Areas ▲",IF(P48&lt;&gt;'G-1 All Habitats'!$X$3,H48-S48-T48,IF(AND(P48='G-1 All Habitats'!$X$3,Y48="Yes"),"Unacceptable Loss ▲",IF(AND(P48='G-1 All Habitats'!$X$3,Y48="No"),AC48,IF(AND(P48='G-1 All Habitats'!$X$3,Y48=""),AC48,IF(AND(P48='G-1 All Habitats'!$X$3,AC48="None",AC48),IF(AND(P48='G-1 All Habitats'!$X$3,AC48&gt;0),H48-S48-T48))))))))</f>
        <v/>
      </c>
      <c r="X48" s="545" t="str">
        <f>IFERROR(IF(H48="","",IF(H48-S48-T48=0&lt;0,"Error in Areas ▲",IF(S48+T48&gt;H48,"Error in Areas ▲",IF(AND(P48='G-1 All Habitats'!$X$3,Y48="Yes"),"Alternative Compensation",IF(W48=0,0,IF(P48='G-1 All Habitats'!$X$3,"Unacceptable Loss",Q48-U48-V48)))))),"Check Data ⚠")</f>
        <v/>
      </c>
      <c r="Y48" s="72"/>
      <c r="Z48" s="151"/>
      <c r="AA48" s="152"/>
      <c r="AC48" s="251" t="str">
        <f>IF(P48="","",IF(P48='G-1 All Habitats'!$X$3,H48-S48-T48,"None"))</f>
        <v/>
      </c>
      <c r="AD48" s="252" t="str">
        <f t="shared" si="4"/>
        <v/>
      </c>
      <c r="AF48" s="156" t="str">
        <f t="shared" si="0"/>
        <v/>
      </c>
      <c r="AG48" s="156" t="str">
        <f t="shared" si="1"/>
        <v/>
      </c>
      <c r="AH48" s="156" t="str">
        <f>IF(I48="","",IF(#REF!&gt;0,TRUE,FALSE))</f>
        <v/>
      </c>
      <c r="AI48" s="156">
        <v>38</v>
      </c>
      <c r="AJ48" s="156"/>
      <c r="AK48" s="156" t="str">
        <f t="array" ref="AK48">IFERROR(INDEX($AI$11:$AI$259, MATCH(0, IF(TRUE=$AF$11:$AF$259, COUNTIF($AK$10:$AK47, $AI$11:$AI$259), ""), 0)),"")</f>
        <v/>
      </c>
      <c r="AL48" s="156" t="str">
        <f t="array" ref="AL48">IFERROR(INDEX($AI$11:$AI$259, MATCH(0, IF(TRUE=$AG$11:$AG$259, COUNTIF($AL$10:$AL47, $AI$11:$AI$259), ""), 0)),"")</f>
        <v/>
      </c>
      <c r="AM48" s="156" t="str">
        <f t="array" ref="AM48">IFERROR(INDEX($AI$11:$AI$259, MATCH(0, IF(TRUE=$AH$11:$AH$259, COUNTIF($AM$10:$AM47, $AI$11:$AI$259), ""), 0)),"")</f>
        <v/>
      </c>
      <c r="AQ48" s="31">
        <f t="shared" si="5"/>
        <v>0</v>
      </c>
    </row>
    <row r="49" spans="1:43" x14ac:dyDescent="0.3">
      <c r="A49" s="31" t="str">
        <f>IFERROR(INDEX('G-1 All Habitats'!$AG$3:$AG$15,MATCH(E49,'G-1 All Habitats'!$AF$3:$AF$15,0)),"")</f>
        <v/>
      </c>
      <c r="B49" s="31" t="str">
        <f>IFERROR(INDEX('G-8 Condition Look up'!$I$4:$I$130,MATCH(G49,'G-8 Condition Look up'!$A$4:$A$130,0)),"")</f>
        <v/>
      </c>
      <c r="D49" s="141">
        <v>39</v>
      </c>
      <c r="E49" s="203"/>
      <c r="F49" s="203"/>
      <c r="G49" s="250" t="str">
        <f>IFERROR(INDEX('G-1 All Habitats'!$B$3:$B$129,MATCH(F49,'G-1 All Habitats'!$A$3:$A$129,0)),"")</f>
        <v/>
      </c>
      <c r="H49" s="172"/>
      <c r="I49" s="498" t="str">
        <f>IF(G49="","",VLOOKUP(G49,'G-1 All Habitats'!$B$2:$M$129,10,FALSE))</f>
        <v/>
      </c>
      <c r="J49" s="499" t="str">
        <f>IFERROR(VLOOKUP(I49,'G-1 All Habitats'!$V$3:$W$7,2,FALSE),"")</f>
        <v/>
      </c>
      <c r="K49" s="145"/>
      <c r="L49" s="499" t="str">
        <f>IFERROR(INDEX('G-8 Condition Look up'!$A$3:$H$130,MATCH(G49,'G-8 Condition Look up'!$A$3:$A$130,0),MATCH(K49,'G-8 Condition Look up'!$A$3:$H$3,0)),"")</f>
        <v/>
      </c>
      <c r="M49" s="154"/>
      <c r="N49" s="520" t="str">
        <f>IF(M49="","",IF(VLOOKUP(M49,'G-3 Multipliers'!$L$3:$N$6,2,FALSE)=0,"Spatial Data Missing ⚠",VLOOKUP(M49,'G-3 Multipliers'!$L$3:$N$6,2,FALSE)))</f>
        <v/>
      </c>
      <c r="O49" s="524" t="str">
        <f>IF(M49="","",IF(VLOOKUP(M49,'G-3 Multipliers'!$L$3:$N$6,3,FALSE)=0,"Spatial Data Missing ⚠",VLOOKUP(M49,'G-3 Multipliers'!$L$3:$N$6,3,FALSE)))</f>
        <v/>
      </c>
      <c r="P49" s="506" t="str">
        <f>IFERROR(VLOOKUP(G49,'G-1 All Habitats'!$B$2:$M$129,12,FALSE),"")</f>
        <v/>
      </c>
      <c r="Q49" s="513" t="str">
        <f>IFERROR(IF(P49="","",IF(AND(P49='G-1 All Habitats'!$X$3,T49&gt;0),U49+V49,IF(AND(P49='G-1 All Habitats'!$X$3,S49&gt;0),U49+V49,IF(AND(P49='G-1 All Habitats'!$X$3,AC49&gt;0),"Any Loss Unacceptable",IF(AND(P49='G-1 All Habitats'!$X$3,W49&gt;0),"Any Loss Unacceptable",H49*J49*L49*O49))))),"Check Data ⚠")</f>
        <v/>
      </c>
      <c r="R49" s="50"/>
      <c r="S49" s="71"/>
      <c r="T49" s="72"/>
      <c r="U49" s="511" t="str">
        <f t="shared" si="2"/>
        <v/>
      </c>
      <c r="V49" s="511" t="str">
        <f t="shared" si="3"/>
        <v/>
      </c>
      <c r="W49" s="511" t="str">
        <f>IF(E49="","",IF(H49&lt;S49+T49,"Error in Areas ▲",IF(P49&lt;&gt;'G-1 All Habitats'!$X$3,H49-S49-T49,IF(AND(P49='G-1 All Habitats'!$X$3,Y49="Yes"),"Unacceptable Loss ▲",IF(AND(P49='G-1 All Habitats'!$X$3,Y49="No"),AC49,IF(AND(P49='G-1 All Habitats'!$X$3,Y49=""),AC49,IF(AND(P49='G-1 All Habitats'!$X$3,AC49="None",AC49),IF(AND(P49='G-1 All Habitats'!$X$3,AC49&gt;0),H49-S49-T49))))))))</f>
        <v/>
      </c>
      <c r="X49" s="545" t="str">
        <f>IFERROR(IF(H49="","",IF(H49-S49-T49=0&lt;0,"Error in Areas ▲",IF(S49+T49&gt;H49,"Error in Areas ▲",IF(AND(P49='G-1 All Habitats'!$X$3,Y49="Yes"),"Alternative Compensation",IF(W49=0,0,IF(P49='G-1 All Habitats'!$X$3,"Unacceptable Loss",Q49-U49-V49)))))),"Check Data ⚠")</f>
        <v/>
      </c>
      <c r="Y49" s="72"/>
      <c r="Z49" s="151"/>
      <c r="AA49" s="152"/>
      <c r="AC49" s="251" t="str">
        <f>IF(P49="","",IF(P49='G-1 All Habitats'!$X$3,H49-S49-T49,"None"))</f>
        <v/>
      </c>
      <c r="AD49" s="252" t="str">
        <f t="shared" si="4"/>
        <v/>
      </c>
      <c r="AF49" s="156" t="str">
        <f t="shared" si="0"/>
        <v/>
      </c>
      <c r="AG49" s="156" t="str">
        <f t="shared" si="1"/>
        <v/>
      </c>
      <c r="AH49" s="156" t="str">
        <f>IF(I49="","",IF(#REF!&gt;0,TRUE,FALSE))</f>
        <v/>
      </c>
      <c r="AI49" s="156">
        <v>39</v>
      </c>
      <c r="AJ49" s="156"/>
      <c r="AK49" s="156" t="str">
        <f t="array" ref="AK49">IFERROR(INDEX($AI$11:$AI$259, MATCH(0, IF(TRUE=$AF$11:$AF$259, COUNTIF($AK$10:$AK48, $AI$11:$AI$259), ""), 0)),"")</f>
        <v/>
      </c>
      <c r="AL49" s="156" t="str">
        <f t="array" ref="AL49">IFERROR(INDEX($AI$11:$AI$259, MATCH(0, IF(TRUE=$AG$11:$AG$259, COUNTIF($AL$10:$AL48, $AI$11:$AI$259), ""), 0)),"")</f>
        <v/>
      </c>
      <c r="AM49" s="156" t="str">
        <f t="array" ref="AM49">IFERROR(INDEX($AI$11:$AI$259, MATCH(0, IF(TRUE=$AH$11:$AH$259, COUNTIF($AM$10:$AM48, $AI$11:$AI$259), ""), 0)),"")</f>
        <v/>
      </c>
      <c r="AQ49" s="31">
        <f t="shared" si="5"/>
        <v>0</v>
      </c>
    </row>
    <row r="50" spans="1:43" x14ac:dyDescent="0.3">
      <c r="A50" s="31" t="str">
        <f>IFERROR(INDEX('G-1 All Habitats'!$AG$3:$AG$15,MATCH(E50,'G-1 All Habitats'!$AF$3:$AF$15,0)),"")</f>
        <v/>
      </c>
      <c r="B50" s="31" t="str">
        <f>IFERROR(INDEX('G-8 Condition Look up'!$I$4:$I$130,MATCH(G50,'G-8 Condition Look up'!$A$4:$A$130,0)),"")</f>
        <v/>
      </c>
      <c r="D50" s="141">
        <v>40</v>
      </c>
      <c r="E50" s="203"/>
      <c r="F50" s="203"/>
      <c r="G50" s="250" t="str">
        <f>IFERROR(INDEX('G-1 All Habitats'!$B$3:$B$129,MATCH(F50,'G-1 All Habitats'!$A$3:$A$129,0)),"")</f>
        <v/>
      </c>
      <c r="H50" s="172"/>
      <c r="I50" s="498" t="str">
        <f>IF(G50="","",VLOOKUP(G50,'G-1 All Habitats'!$B$2:$M$129,10,FALSE))</f>
        <v/>
      </c>
      <c r="J50" s="499" t="str">
        <f>IFERROR(VLOOKUP(I50,'G-1 All Habitats'!$V$3:$W$7,2,FALSE),"")</f>
        <v/>
      </c>
      <c r="K50" s="145"/>
      <c r="L50" s="499" t="str">
        <f>IFERROR(INDEX('G-8 Condition Look up'!$A$3:$H$130,MATCH(G50,'G-8 Condition Look up'!$A$3:$A$130,0),MATCH(K50,'G-8 Condition Look up'!$A$3:$H$3,0)),"")</f>
        <v/>
      </c>
      <c r="M50" s="154"/>
      <c r="N50" s="520" t="str">
        <f>IF(M50="","",IF(VLOOKUP(M50,'G-3 Multipliers'!$L$3:$N$6,2,FALSE)=0,"Spatial Data Missing ⚠",VLOOKUP(M50,'G-3 Multipliers'!$L$3:$N$6,2,FALSE)))</f>
        <v/>
      </c>
      <c r="O50" s="524" t="str">
        <f>IF(M50="","",IF(VLOOKUP(M50,'G-3 Multipliers'!$L$3:$N$6,3,FALSE)=0,"Spatial Data Missing ⚠",VLOOKUP(M50,'G-3 Multipliers'!$L$3:$N$6,3,FALSE)))</f>
        <v/>
      </c>
      <c r="P50" s="506" t="str">
        <f>IFERROR(VLOOKUP(G50,'G-1 All Habitats'!$B$2:$M$129,12,FALSE),"")</f>
        <v/>
      </c>
      <c r="Q50" s="513" t="str">
        <f>IFERROR(IF(P50="","",IF(AND(P50='G-1 All Habitats'!$X$3,T50&gt;0),U50+V50,IF(AND(P50='G-1 All Habitats'!$X$3,S50&gt;0),U50+V50,IF(AND(P50='G-1 All Habitats'!$X$3,AC50&gt;0),"Any Loss Unacceptable",IF(AND(P50='G-1 All Habitats'!$X$3,W50&gt;0),"Any Loss Unacceptable",H50*J50*L50*O50))))),"Check Data ⚠")</f>
        <v/>
      </c>
      <c r="R50" s="50"/>
      <c r="S50" s="71"/>
      <c r="T50" s="72"/>
      <c r="U50" s="511" t="str">
        <f t="shared" si="2"/>
        <v/>
      </c>
      <c r="V50" s="511" t="str">
        <f t="shared" si="3"/>
        <v/>
      </c>
      <c r="W50" s="511" t="str">
        <f>IF(E50="","",IF(H50&lt;S50+T50,"Error in Areas ▲",IF(P50&lt;&gt;'G-1 All Habitats'!$X$3,H50-S50-T50,IF(AND(P50='G-1 All Habitats'!$X$3,Y50="Yes"),"Unacceptable Loss ▲",IF(AND(P50='G-1 All Habitats'!$X$3,Y50="No"),AC50,IF(AND(P50='G-1 All Habitats'!$X$3,Y50=""),AC50,IF(AND(P50='G-1 All Habitats'!$X$3,AC50="None",AC50),IF(AND(P50='G-1 All Habitats'!$X$3,AC50&gt;0),H50-S50-T50))))))))</f>
        <v/>
      </c>
      <c r="X50" s="545" t="str">
        <f>IFERROR(IF(H50="","",IF(H50-S50-T50=0&lt;0,"Error in Areas ▲",IF(S50+T50&gt;H50,"Error in Areas ▲",IF(AND(P50='G-1 All Habitats'!$X$3,Y50="Yes"),"Alternative Compensation",IF(W50=0,0,IF(P50='G-1 All Habitats'!$X$3,"Unacceptable Loss",Q50-U50-V50)))))),"Check Data ⚠")</f>
        <v/>
      </c>
      <c r="Y50" s="72"/>
      <c r="Z50" s="151"/>
      <c r="AA50" s="152"/>
      <c r="AC50" s="251" t="str">
        <f>IF(P50="","",IF(P50='G-1 All Habitats'!$X$3,H50-S50-T50,"None"))</f>
        <v/>
      </c>
      <c r="AD50" s="252" t="str">
        <f t="shared" si="4"/>
        <v/>
      </c>
      <c r="AF50" s="156" t="str">
        <f t="shared" si="0"/>
        <v/>
      </c>
      <c r="AG50" s="156" t="str">
        <f t="shared" si="1"/>
        <v/>
      </c>
      <c r="AH50" s="156" t="str">
        <f>IF(I50="","",IF(#REF!&gt;0,TRUE,FALSE))</f>
        <v/>
      </c>
      <c r="AI50" s="156">
        <v>40</v>
      </c>
      <c r="AJ50" s="156"/>
      <c r="AK50" s="156" t="str">
        <f t="array" ref="AK50">IFERROR(INDEX($AI$11:$AI$259, MATCH(0, IF(TRUE=$AF$11:$AF$259, COUNTIF($AK$10:$AK49, $AI$11:$AI$259), ""), 0)),"")</f>
        <v/>
      </c>
      <c r="AL50" s="156" t="str">
        <f t="array" ref="AL50">IFERROR(INDEX($AI$11:$AI$259, MATCH(0, IF(TRUE=$AG$11:$AG$259, COUNTIF($AL$10:$AL49, $AI$11:$AI$259), ""), 0)),"")</f>
        <v/>
      </c>
      <c r="AM50" s="156" t="str">
        <f t="array" ref="AM50">IFERROR(INDEX($AI$11:$AI$259, MATCH(0, IF(TRUE=$AH$11:$AH$259, COUNTIF($AM$10:$AM49, $AI$11:$AI$259), ""), 0)),"")</f>
        <v/>
      </c>
      <c r="AQ50" s="31">
        <f t="shared" si="5"/>
        <v>0</v>
      </c>
    </row>
    <row r="51" spans="1:43" x14ac:dyDescent="0.3">
      <c r="A51" s="31" t="str">
        <f>IFERROR(INDEX('G-1 All Habitats'!$AG$3:$AG$15,MATCH(E51,'G-1 All Habitats'!$AF$3:$AF$15,0)),"")</f>
        <v/>
      </c>
      <c r="B51" s="31" t="str">
        <f>IFERROR(INDEX('G-8 Condition Look up'!$I$4:$I$130,MATCH(G51,'G-8 Condition Look up'!$A$4:$A$130,0)),"")</f>
        <v/>
      </c>
      <c r="D51" s="141">
        <v>41</v>
      </c>
      <c r="E51" s="203"/>
      <c r="F51" s="203"/>
      <c r="G51" s="250" t="str">
        <f>IFERROR(INDEX('G-1 All Habitats'!$B$3:$B$129,MATCH(F51,'G-1 All Habitats'!$A$3:$A$129,0)),"")</f>
        <v/>
      </c>
      <c r="H51" s="172"/>
      <c r="I51" s="498" t="str">
        <f>IF(G51="","",VLOOKUP(G51,'G-1 All Habitats'!$B$2:$M$129,10,FALSE))</f>
        <v/>
      </c>
      <c r="J51" s="499" t="str">
        <f>IFERROR(VLOOKUP(I51,'G-1 All Habitats'!$V$3:$W$7,2,FALSE),"")</f>
        <v/>
      </c>
      <c r="K51" s="145"/>
      <c r="L51" s="499" t="str">
        <f>IFERROR(INDEX('G-8 Condition Look up'!$A$3:$H$130,MATCH(G51,'G-8 Condition Look up'!$A$3:$A$130,0),MATCH(K51,'G-8 Condition Look up'!$A$3:$H$3,0)),"")</f>
        <v/>
      </c>
      <c r="M51" s="154"/>
      <c r="N51" s="520" t="str">
        <f>IF(M51="","",IF(VLOOKUP(M51,'G-3 Multipliers'!$L$3:$N$6,2,FALSE)=0,"Spatial Data Missing ⚠",VLOOKUP(M51,'G-3 Multipliers'!$L$3:$N$6,2,FALSE)))</f>
        <v/>
      </c>
      <c r="O51" s="524" t="str">
        <f>IF(M51="","",IF(VLOOKUP(M51,'G-3 Multipliers'!$L$3:$N$6,3,FALSE)=0,"Spatial Data Missing ⚠",VLOOKUP(M51,'G-3 Multipliers'!$L$3:$N$6,3,FALSE)))</f>
        <v/>
      </c>
      <c r="P51" s="506" t="str">
        <f>IFERROR(VLOOKUP(G51,'G-1 All Habitats'!$B$2:$M$129,12,FALSE),"")</f>
        <v/>
      </c>
      <c r="Q51" s="513" t="str">
        <f>IFERROR(IF(P51="","",IF(AND(P51='G-1 All Habitats'!$X$3,T51&gt;0),U51+V51,IF(AND(P51='G-1 All Habitats'!$X$3,S51&gt;0),U51+V51,IF(AND(P51='G-1 All Habitats'!$X$3,AC51&gt;0),"Any Loss Unacceptable",IF(AND(P51='G-1 All Habitats'!$X$3,W51&gt;0),"Any Loss Unacceptable",H51*J51*L51*O51))))),"Check Data ⚠")</f>
        <v/>
      </c>
      <c r="R51" s="50"/>
      <c r="S51" s="71"/>
      <c r="T51" s="72"/>
      <c r="U51" s="511" t="str">
        <f t="shared" si="2"/>
        <v/>
      </c>
      <c r="V51" s="511" t="str">
        <f t="shared" si="3"/>
        <v/>
      </c>
      <c r="W51" s="511" t="str">
        <f>IF(E51="","",IF(H51&lt;S51+T51,"Error in Areas ▲",IF(P51&lt;&gt;'G-1 All Habitats'!$X$3,H51-S51-T51,IF(AND(P51='G-1 All Habitats'!$X$3,Y51="Yes"),"Unacceptable Loss ▲",IF(AND(P51='G-1 All Habitats'!$X$3,Y51="No"),AC51,IF(AND(P51='G-1 All Habitats'!$X$3,Y51=""),AC51,IF(AND(P51='G-1 All Habitats'!$X$3,AC51="None",AC51),IF(AND(P51='G-1 All Habitats'!$X$3,AC51&gt;0),H51-S51-T51))))))))</f>
        <v/>
      </c>
      <c r="X51" s="545" t="str">
        <f>IFERROR(IF(H51="","",IF(H51-S51-T51=0&lt;0,"Error in Areas ▲",IF(S51+T51&gt;H51,"Error in Areas ▲",IF(AND(P51='G-1 All Habitats'!$X$3,Y51="Yes"),"Alternative Compensation",IF(W51=0,0,IF(P51='G-1 All Habitats'!$X$3,"Unacceptable Loss",Q51-U51-V51)))))),"Check Data ⚠")</f>
        <v/>
      </c>
      <c r="Y51" s="72"/>
      <c r="Z51" s="151"/>
      <c r="AA51" s="152"/>
      <c r="AC51" s="251" t="str">
        <f>IF(P51="","",IF(P51='G-1 All Habitats'!$X$3,H51-S51-T51,"None"))</f>
        <v/>
      </c>
      <c r="AD51" s="252" t="str">
        <f t="shared" si="4"/>
        <v/>
      </c>
      <c r="AF51" s="156" t="str">
        <f t="shared" si="0"/>
        <v/>
      </c>
      <c r="AG51" s="156" t="str">
        <f t="shared" si="1"/>
        <v/>
      </c>
      <c r="AH51" s="156" t="str">
        <f>IF(I51="","",IF(#REF!&gt;0,TRUE,FALSE))</f>
        <v/>
      </c>
      <c r="AI51" s="156">
        <v>41</v>
      </c>
      <c r="AJ51" s="156"/>
      <c r="AK51" s="156" t="str">
        <f t="array" ref="AK51">IFERROR(INDEX($AI$11:$AI$259, MATCH(0, IF(TRUE=$AF$11:$AF$259, COUNTIF($AK$10:$AK50, $AI$11:$AI$259), ""), 0)),"")</f>
        <v/>
      </c>
      <c r="AL51" s="156" t="str">
        <f t="array" ref="AL51">IFERROR(INDEX($AI$11:$AI$259, MATCH(0, IF(TRUE=$AG$11:$AG$259, COUNTIF($AL$10:$AL50, $AI$11:$AI$259), ""), 0)),"")</f>
        <v/>
      </c>
      <c r="AM51" s="156" t="str">
        <f t="array" ref="AM51">IFERROR(INDEX($AI$11:$AI$259, MATCH(0, IF(TRUE=$AH$11:$AH$259, COUNTIF($AM$10:$AM50, $AI$11:$AI$259), ""), 0)),"")</f>
        <v/>
      </c>
      <c r="AQ51" s="31">
        <f t="shared" si="5"/>
        <v>0</v>
      </c>
    </row>
    <row r="52" spans="1:43" x14ac:dyDescent="0.3">
      <c r="A52" s="31" t="str">
        <f>IFERROR(INDEX('G-1 All Habitats'!$AG$3:$AG$15,MATCH(E52,'G-1 All Habitats'!$AF$3:$AF$15,0)),"")</f>
        <v/>
      </c>
      <c r="B52" s="31" t="str">
        <f>IFERROR(INDEX('G-8 Condition Look up'!$I$4:$I$130,MATCH(G52,'G-8 Condition Look up'!$A$4:$A$130,0)),"")</f>
        <v/>
      </c>
      <c r="D52" s="141">
        <v>42</v>
      </c>
      <c r="E52" s="203"/>
      <c r="F52" s="203"/>
      <c r="G52" s="250" t="str">
        <f>IFERROR(INDEX('G-1 All Habitats'!$B$3:$B$129,MATCH(F52,'G-1 All Habitats'!$A$3:$A$129,0)),"")</f>
        <v/>
      </c>
      <c r="H52" s="172"/>
      <c r="I52" s="498" t="str">
        <f>IF(G52="","",VLOOKUP(G52,'G-1 All Habitats'!$B$2:$M$129,10,FALSE))</f>
        <v/>
      </c>
      <c r="J52" s="499" t="str">
        <f>IFERROR(VLOOKUP(I52,'G-1 All Habitats'!$V$3:$W$7,2,FALSE),"")</f>
        <v/>
      </c>
      <c r="K52" s="145"/>
      <c r="L52" s="499" t="str">
        <f>IFERROR(INDEX('G-8 Condition Look up'!$A$3:$H$130,MATCH(G52,'G-8 Condition Look up'!$A$3:$A$130,0),MATCH(K52,'G-8 Condition Look up'!$A$3:$H$3,0)),"")</f>
        <v/>
      </c>
      <c r="M52" s="154"/>
      <c r="N52" s="520" t="str">
        <f>IF(M52="","",IF(VLOOKUP(M52,'G-3 Multipliers'!$L$3:$N$6,2,FALSE)=0,"Spatial Data Missing ⚠",VLOOKUP(M52,'G-3 Multipliers'!$L$3:$N$6,2,FALSE)))</f>
        <v/>
      </c>
      <c r="O52" s="524" t="str">
        <f>IF(M52="","",IF(VLOOKUP(M52,'G-3 Multipliers'!$L$3:$N$6,3,FALSE)=0,"Spatial Data Missing ⚠",VLOOKUP(M52,'G-3 Multipliers'!$L$3:$N$6,3,FALSE)))</f>
        <v/>
      </c>
      <c r="P52" s="506" t="str">
        <f>IFERROR(VLOOKUP(G52,'G-1 All Habitats'!$B$2:$M$129,12,FALSE),"")</f>
        <v/>
      </c>
      <c r="Q52" s="513" t="str">
        <f>IFERROR(IF(P52="","",IF(AND(P52='G-1 All Habitats'!$X$3,T52&gt;0),U52+V52,IF(AND(P52='G-1 All Habitats'!$X$3,S52&gt;0),U52+V52,IF(AND(P52='G-1 All Habitats'!$X$3,AC52&gt;0),"Any Loss Unacceptable",IF(AND(P52='G-1 All Habitats'!$X$3,W52&gt;0),"Any Loss Unacceptable",H52*J52*L52*O52))))),"Check Data ⚠")</f>
        <v/>
      </c>
      <c r="R52" s="50"/>
      <c r="S52" s="71"/>
      <c r="T52" s="72"/>
      <c r="U52" s="511" t="str">
        <f t="shared" si="2"/>
        <v/>
      </c>
      <c r="V52" s="511" t="str">
        <f t="shared" si="3"/>
        <v/>
      </c>
      <c r="W52" s="511" t="str">
        <f>IF(E52="","",IF(H52&lt;S52+T52,"Error in Areas ▲",IF(P52&lt;&gt;'G-1 All Habitats'!$X$3,H52-S52-T52,IF(AND(P52='G-1 All Habitats'!$X$3,Y52="Yes"),"Unacceptable Loss ▲",IF(AND(P52='G-1 All Habitats'!$X$3,Y52="No"),AC52,IF(AND(P52='G-1 All Habitats'!$X$3,Y52=""),AC52,IF(AND(P52='G-1 All Habitats'!$X$3,AC52="None",AC52),IF(AND(P52='G-1 All Habitats'!$X$3,AC52&gt;0),H52-S52-T52))))))))</f>
        <v/>
      </c>
      <c r="X52" s="545" t="str">
        <f>IFERROR(IF(H52="","",IF(H52-S52-T52=0&lt;0,"Error in Areas ▲",IF(S52+T52&gt;H52,"Error in Areas ▲",IF(AND(P52='G-1 All Habitats'!$X$3,Y52="Yes"),"Alternative Compensation",IF(W52=0,0,IF(P52='G-1 All Habitats'!$X$3,"Unacceptable Loss",Q52-U52-V52)))))),"Check Data ⚠")</f>
        <v/>
      </c>
      <c r="Y52" s="72"/>
      <c r="Z52" s="151"/>
      <c r="AA52" s="152"/>
      <c r="AC52" s="251" t="str">
        <f>IF(P52="","",IF(P52='G-1 All Habitats'!$X$3,H52-S52-T52,"None"))</f>
        <v/>
      </c>
      <c r="AD52" s="252" t="str">
        <f t="shared" si="4"/>
        <v/>
      </c>
      <c r="AF52" s="156" t="str">
        <f t="shared" si="0"/>
        <v/>
      </c>
      <c r="AG52" s="156" t="str">
        <f t="shared" si="1"/>
        <v/>
      </c>
      <c r="AH52" s="156" t="str">
        <f>IF(I52="","",IF(#REF!&gt;0,TRUE,FALSE))</f>
        <v/>
      </c>
      <c r="AI52" s="156">
        <v>42</v>
      </c>
      <c r="AJ52" s="156"/>
      <c r="AK52" s="156" t="str">
        <f t="array" ref="AK52">IFERROR(INDEX($AI$11:$AI$259, MATCH(0, IF(TRUE=$AF$11:$AF$259, COUNTIF($AK$10:$AK51, $AI$11:$AI$259), ""), 0)),"")</f>
        <v/>
      </c>
      <c r="AL52" s="156" t="str">
        <f t="array" ref="AL52">IFERROR(INDEX($AI$11:$AI$259, MATCH(0, IF(TRUE=$AG$11:$AG$259, COUNTIF($AL$10:$AL51, $AI$11:$AI$259), ""), 0)),"")</f>
        <v/>
      </c>
      <c r="AM52" s="156" t="str">
        <f t="array" ref="AM52">IFERROR(INDEX($AI$11:$AI$259, MATCH(0, IF(TRUE=$AH$11:$AH$259, COUNTIF($AM$10:$AM51, $AI$11:$AI$259), ""), 0)),"")</f>
        <v/>
      </c>
      <c r="AQ52" s="31">
        <f t="shared" si="5"/>
        <v>0</v>
      </c>
    </row>
    <row r="53" spans="1:43" x14ac:dyDescent="0.3">
      <c r="A53" s="31" t="str">
        <f>IFERROR(INDEX('G-1 All Habitats'!$AG$3:$AG$15,MATCH(E53,'G-1 All Habitats'!$AF$3:$AF$15,0)),"")</f>
        <v/>
      </c>
      <c r="B53" s="31" t="str">
        <f>IFERROR(INDEX('G-8 Condition Look up'!$I$4:$I$130,MATCH(G53,'G-8 Condition Look up'!$A$4:$A$130,0)),"")</f>
        <v/>
      </c>
      <c r="D53" s="141">
        <v>43</v>
      </c>
      <c r="E53" s="203"/>
      <c r="F53" s="203"/>
      <c r="G53" s="250" t="str">
        <f>IFERROR(INDEX('G-1 All Habitats'!$B$3:$B$129,MATCH(F53,'G-1 All Habitats'!$A$3:$A$129,0)),"")</f>
        <v/>
      </c>
      <c r="H53" s="172"/>
      <c r="I53" s="498" t="str">
        <f>IF(G53="","",VLOOKUP(G53,'G-1 All Habitats'!$B$2:$M$129,10,FALSE))</f>
        <v/>
      </c>
      <c r="J53" s="499" t="str">
        <f>IFERROR(VLOOKUP(I53,'G-1 All Habitats'!$V$3:$W$7,2,FALSE),"")</f>
        <v/>
      </c>
      <c r="K53" s="145"/>
      <c r="L53" s="499" t="str">
        <f>IFERROR(INDEX('G-8 Condition Look up'!$A$3:$H$130,MATCH(G53,'G-8 Condition Look up'!$A$3:$A$130,0),MATCH(K53,'G-8 Condition Look up'!$A$3:$H$3,0)),"")</f>
        <v/>
      </c>
      <c r="M53" s="154"/>
      <c r="N53" s="520" t="str">
        <f>IF(M53="","",IF(VLOOKUP(M53,'G-3 Multipliers'!$L$3:$N$6,2,FALSE)=0,"Spatial Data Missing ⚠",VLOOKUP(M53,'G-3 Multipliers'!$L$3:$N$6,2,FALSE)))</f>
        <v/>
      </c>
      <c r="O53" s="524" t="str">
        <f>IF(M53="","",IF(VLOOKUP(M53,'G-3 Multipliers'!$L$3:$N$6,3,FALSE)=0,"Spatial Data Missing ⚠",VLOOKUP(M53,'G-3 Multipliers'!$L$3:$N$6,3,FALSE)))</f>
        <v/>
      </c>
      <c r="P53" s="506" t="str">
        <f>IFERROR(VLOOKUP(G53,'G-1 All Habitats'!$B$2:$M$129,12,FALSE),"")</f>
        <v/>
      </c>
      <c r="Q53" s="513" t="str">
        <f>IFERROR(IF(P53="","",IF(AND(P53='G-1 All Habitats'!$X$3,T53&gt;0),U53+V53,IF(AND(P53='G-1 All Habitats'!$X$3,S53&gt;0),U53+V53,IF(AND(P53='G-1 All Habitats'!$X$3,AC53&gt;0),"Any Loss Unacceptable",IF(AND(P53='G-1 All Habitats'!$X$3,W53&gt;0),"Any Loss Unacceptable",H53*J53*L53*O53))))),"Check Data ⚠")</f>
        <v/>
      </c>
      <c r="R53" s="50"/>
      <c r="S53" s="71"/>
      <c r="T53" s="72"/>
      <c r="U53" s="511" t="str">
        <f t="shared" si="2"/>
        <v/>
      </c>
      <c r="V53" s="511" t="str">
        <f t="shared" si="3"/>
        <v/>
      </c>
      <c r="W53" s="511" t="str">
        <f>IF(E53="","",IF(H53&lt;S53+T53,"Error in Areas ▲",IF(P53&lt;&gt;'G-1 All Habitats'!$X$3,H53-S53-T53,IF(AND(P53='G-1 All Habitats'!$X$3,Y53="Yes"),"Unacceptable Loss ▲",IF(AND(P53='G-1 All Habitats'!$X$3,Y53="No"),AC53,IF(AND(P53='G-1 All Habitats'!$X$3,Y53=""),AC53,IF(AND(P53='G-1 All Habitats'!$X$3,AC53="None",AC53),IF(AND(P53='G-1 All Habitats'!$X$3,AC53&gt;0),H53-S53-T53))))))))</f>
        <v/>
      </c>
      <c r="X53" s="545" t="str">
        <f>IFERROR(IF(H53="","",IF(H53-S53-T53=0&lt;0,"Error in Areas ▲",IF(S53+T53&gt;H53,"Error in Areas ▲",IF(AND(P53='G-1 All Habitats'!$X$3,Y53="Yes"),"Alternative Compensation",IF(W53=0,0,IF(P53='G-1 All Habitats'!$X$3,"Unacceptable Loss",Q53-U53-V53)))))),"Check Data ⚠")</f>
        <v/>
      </c>
      <c r="Y53" s="72"/>
      <c r="Z53" s="151"/>
      <c r="AA53" s="152"/>
      <c r="AC53" s="251" t="str">
        <f>IF(P53="","",IF(P53='G-1 All Habitats'!$X$3,H53-S53-T53,"None"))</f>
        <v/>
      </c>
      <c r="AD53" s="252" t="str">
        <f t="shared" si="4"/>
        <v/>
      </c>
      <c r="AF53" s="156" t="str">
        <f t="shared" si="0"/>
        <v/>
      </c>
      <c r="AG53" s="156" t="str">
        <f t="shared" si="1"/>
        <v/>
      </c>
      <c r="AH53" s="156" t="str">
        <f>IF(I53="","",IF(#REF!&gt;0,TRUE,FALSE))</f>
        <v/>
      </c>
      <c r="AI53" s="156">
        <v>43</v>
      </c>
      <c r="AJ53" s="156"/>
      <c r="AK53" s="156" t="str">
        <f t="array" ref="AK53">IFERROR(INDEX($AI$11:$AI$259, MATCH(0, IF(TRUE=$AF$11:$AF$259, COUNTIF($AK$10:$AK52, $AI$11:$AI$259), ""), 0)),"")</f>
        <v/>
      </c>
      <c r="AL53" s="156" t="str">
        <f t="array" ref="AL53">IFERROR(INDEX($AI$11:$AI$259, MATCH(0, IF(TRUE=$AG$11:$AG$259, COUNTIF($AL$10:$AL52, $AI$11:$AI$259), ""), 0)),"")</f>
        <v/>
      </c>
      <c r="AM53" s="156" t="str">
        <f t="array" ref="AM53">IFERROR(INDEX($AI$11:$AI$259, MATCH(0, IF(TRUE=$AH$11:$AH$259, COUNTIF($AM$10:$AM52, $AI$11:$AI$259), ""), 0)),"")</f>
        <v/>
      </c>
      <c r="AQ53" s="31">
        <f t="shared" si="5"/>
        <v>0</v>
      </c>
    </row>
    <row r="54" spans="1:43" x14ac:dyDescent="0.3">
      <c r="A54" s="31" t="str">
        <f>IFERROR(INDEX('G-1 All Habitats'!$AG$3:$AG$15,MATCH(E54,'G-1 All Habitats'!$AF$3:$AF$15,0)),"")</f>
        <v/>
      </c>
      <c r="B54" s="31" t="str">
        <f>IFERROR(INDEX('G-8 Condition Look up'!$I$4:$I$130,MATCH(G54,'G-8 Condition Look up'!$A$4:$A$130,0)),"")</f>
        <v/>
      </c>
      <c r="D54" s="141">
        <v>44</v>
      </c>
      <c r="E54" s="203"/>
      <c r="F54" s="203"/>
      <c r="G54" s="250" t="str">
        <f>IFERROR(INDEX('G-1 All Habitats'!$B$3:$B$129,MATCH(F54,'G-1 All Habitats'!$A$3:$A$129,0)),"")</f>
        <v/>
      </c>
      <c r="H54" s="172"/>
      <c r="I54" s="498" t="str">
        <f>IF(G54="","",VLOOKUP(G54,'G-1 All Habitats'!$B$2:$M$129,10,FALSE))</f>
        <v/>
      </c>
      <c r="J54" s="499" t="str">
        <f>IFERROR(VLOOKUP(I54,'G-1 All Habitats'!$V$3:$W$7,2,FALSE),"")</f>
        <v/>
      </c>
      <c r="K54" s="145"/>
      <c r="L54" s="499" t="str">
        <f>IFERROR(INDEX('G-8 Condition Look up'!$A$3:$H$130,MATCH(G54,'G-8 Condition Look up'!$A$3:$A$130,0),MATCH(K54,'G-8 Condition Look up'!$A$3:$H$3,0)),"")</f>
        <v/>
      </c>
      <c r="M54" s="154"/>
      <c r="N54" s="520" t="str">
        <f>IF(M54="","",IF(VLOOKUP(M54,'G-3 Multipliers'!$L$3:$N$6,2,FALSE)=0,"Spatial Data Missing ⚠",VLOOKUP(M54,'G-3 Multipliers'!$L$3:$N$6,2,FALSE)))</f>
        <v/>
      </c>
      <c r="O54" s="524" t="str">
        <f>IF(M54="","",IF(VLOOKUP(M54,'G-3 Multipliers'!$L$3:$N$6,3,FALSE)=0,"Spatial Data Missing ⚠",VLOOKUP(M54,'G-3 Multipliers'!$L$3:$N$6,3,FALSE)))</f>
        <v/>
      </c>
      <c r="P54" s="506" t="str">
        <f>IFERROR(VLOOKUP(G54,'G-1 All Habitats'!$B$2:$M$129,12,FALSE),"")</f>
        <v/>
      </c>
      <c r="Q54" s="513" t="str">
        <f>IFERROR(IF(P54="","",IF(AND(P54='G-1 All Habitats'!$X$3,T54&gt;0),U54+V54,IF(AND(P54='G-1 All Habitats'!$X$3,S54&gt;0),U54+V54,IF(AND(P54='G-1 All Habitats'!$X$3,AC54&gt;0),"Any Loss Unacceptable",IF(AND(P54='G-1 All Habitats'!$X$3,W54&gt;0),"Any Loss Unacceptable",H54*J54*L54*O54))))),"Check Data ⚠")</f>
        <v/>
      </c>
      <c r="R54" s="50"/>
      <c r="S54" s="71"/>
      <c r="T54" s="72"/>
      <c r="U54" s="511" t="str">
        <f t="shared" si="2"/>
        <v/>
      </c>
      <c r="V54" s="511" t="str">
        <f t="shared" si="3"/>
        <v/>
      </c>
      <c r="W54" s="511" t="str">
        <f>IF(E54="","",IF(H54&lt;S54+T54,"Error in Areas ▲",IF(P54&lt;&gt;'G-1 All Habitats'!$X$3,H54-S54-T54,IF(AND(P54='G-1 All Habitats'!$X$3,Y54="Yes"),"Unacceptable Loss ▲",IF(AND(P54='G-1 All Habitats'!$X$3,Y54="No"),AC54,IF(AND(P54='G-1 All Habitats'!$X$3,Y54=""),AC54,IF(AND(P54='G-1 All Habitats'!$X$3,AC54="None",AC54),IF(AND(P54='G-1 All Habitats'!$X$3,AC54&gt;0),H54-S54-T54))))))))</f>
        <v/>
      </c>
      <c r="X54" s="545" t="str">
        <f>IFERROR(IF(H54="","",IF(H54-S54-T54=0&lt;0,"Error in Areas ▲",IF(S54+T54&gt;H54,"Error in Areas ▲",IF(AND(P54='G-1 All Habitats'!$X$3,Y54="Yes"),"Alternative Compensation",IF(W54=0,0,IF(P54='G-1 All Habitats'!$X$3,"Unacceptable Loss",Q54-U54-V54)))))),"Check Data ⚠")</f>
        <v/>
      </c>
      <c r="Y54" s="72"/>
      <c r="Z54" s="151"/>
      <c r="AA54" s="152"/>
      <c r="AC54" s="251" t="str">
        <f>IF(P54="","",IF(P54='G-1 All Habitats'!$X$3,H54-S54-T54,"None"))</f>
        <v/>
      </c>
      <c r="AD54" s="252" t="str">
        <f t="shared" si="4"/>
        <v/>
      </c>
      <c r="AF54" s="156" t="str">
        <f t="shared" si="0"/>
        <v/>
      </c>
      <c r="AG54" s="156" t="str">
        <f t="shared" si="1"/>
        <v/>
      </c>
      <c r="AH54" s="156" t="str">
        <f>IF(I54="","",IF(#REF!&gt;0,TRUE,FALSE))</f>
        <v/>
      </c>
      <c r="AI54" s="156">
        <v>44</v>
      </c>
      <c r="AJ54" s="156"/>
      <c r="AK54" s="156" t="str">
        <f t="array" ref="AK54">IFERROR(INDEX($AI$11:$AI$259, MATCH(0, IF(TRUE=$AF$11:$AF$259, COUNTIF($AK$10:$AK53, $AI$11:$AI$259), ""), 0)),"")</f>
        <v/>
      </c>
      <c r="AL54" s="156" t="str">
        <f t="array" ref="AL54">IFERROR(INDEX($AI$11:$AI$259, MATCH(0, IF(TRUE=$AG$11:$AG$259, COUNTIF($AL$10:$AL53, $AI$11:$AI$259), ""), 0)),"")</f>
        <v/>
      </c>
      <c r="AM54" s="156" t="str">
        <f t="array" ref="AM54">IFERROR(INDEX($AI$11:$AI$259, MATCH(0, IF(TRUE=$AH$11:$AH$259, COUNTIF($AM$10:$AM53, $AI$11:$AI$259), ""), 0)),"")</f>
        <v/>
      </c>
      <c r="AQ54" s="31">
        <f t="shared" si="5"/>
        <v>0</v>
      </c>
    </row>
    <row r="55" spans="1:43" x14ac:dyDescent="0.3">
      <c r="A55" s="31" t="str">
        <f>IFERROR(INDEX('G-1 All Habitats'!$AG$3:$AG$15,MATCH(E55,'G-1 All Habitats'!$AF$3:$AF$15,0)),"")</f>
        <v/>
      </c>
      <c r="B55" s="31" t="str">
        <f>IFERROR(INDEX('G-8 Condition Look up'!$I$4:$I$130,MATCH(G55,'G-8 Condition Look up'!$A$4:$A$130,0)),"")</f>
        <v/>
      </c>
      <c r="D55" s="141">
        <v>45</v>
      </c>
      <c r="E55" s="203"/>
      <c r="F55" s="203"/>
      <c r="G55" s="250" t="str">
        <f>IFERROR(INDEX('G-1 All Habitats'!$B$3:$B$129,MATCH(F55,'G-1 All Habitats'!$A$3:$A$129,0)),"")</f>
        <v/>
      </c>
      <c r="H55" s="172"/>
      <c r="I55" s="498" t="str">
        <f>IF(G55="","",VLOOKUP(G55,'G-1 All Habitats'!$B$2:$M$129,10,FALSE))</f>
        <v/>
      </c>
      <c r="J55" s="499" t="str">
        <f>IFERROR(VLOOKUP(I55,'G-1 All Habitats'!$V$3:$W$7,2,FALSE),"")</f>
        <v/>
      </c>
      <c r="K55" s="145"/>
      <c r="L55" s="499" t="str">
        <f>IFERROR(INDEX('G-8 Condition Look up'!$A$3:$H$130,MATCH(G55,'G-8 Condition Look up'!$A$3:$A$130,0),MATCH(K55,'G-8 Condition Look up'!$A$3:$H$3,0)),"")</f>
        <v/>
      </c>
      <c r="M55" s="154"/>
      <c r="N55" s="520" t="str">
        <f>IF(M55="","",IF(VLOOKUP(M55,'G-3 Multipliers'!$L$3:$N$6,2,FALSE)=0,"Spatial Data Missing ⚠",VLOOKUP(M55,'G-3 Multipliers'!$L$3:$N$6,2,FALSE)))</f>
        <v/>
      </c>
      <c r="O55" s="524" t="str">
        <f>IF(M55="","",IF(VLOOKUP(M55,'G-3 Multipliers'!$L$3:$N$6,3,FALSE)=0,"Spatial Data Missing ⚠",VLOOKUP(M55,'G-3 Multipliers'!$L$3:$N$6,3,FALSE)))</f>
        <v/>
      </c>
      <c r="P55" s="506" t="str">
        <f>IFERROR(VLOOKUP(G55,'G-1 All Habitats'!$B$2:$M$129,12,FALSE),"")</f>
        <v/>
      </c>
      <c r="Q55" s="513" t="str">
        <f>IFERROR(IF(P55="","",IF(AND(P55='G-1 All Habitats'!$X$3,T55&gt;0),U55+V55,IF(AND(P55='G-1 All Habitats'!$X$3,S55&gt;0),U55+V55,IF(AND(P55='G-1 All Habitats'!$X$3,AC55&gt;0),"Any Loss Unacceptable",IF(AND(P55='G-1 All Habitats'!$X$3,W55&gt;0),"Any Loss Unacceptable",H55*J55*L55*O55))))),"Check Data ⚠")</f>
        <v/>
      </c>
      <c r="R55" s="50"/>
      <c r="S55" s="71"/>
      <c r="T55" s="72"/>
      <c r="U55" s="511" t="str">
        <f t="shared" si="2"/>
        <v/>
      </c>
      <c r="V55" s="511" t="str">
        <f t="shared" si="3"/>
        <v/>
      </c>
      <c r="W55" s="511" t="str">
        <f>IF(E55="","",IF(H55&lt;S55+T55,"Error in Areas ▲",IF(P55&lt;&gt;'G-1 All Habitats'!$X$3,H55-S55-T55,IF(AND(P55='G-1 All Habitats'!$X$3,Y55="Yes"),"Unacceptable Loss ▲",IF(AND(P55='G-1 All Habitats'!$X$3,Y55="No"),AC55,IF(AND(P55='G-1 All Habitats'!$X$3,Y55=""),AC55,IF(AND(P55='G-1 All Habitats'!$X$3,AC55="None",AC55),IF(AND(P55='G-1 All Habitats'!$X$3,AC55&gt;0),H55-S55-T55))))))))</f>
        <v/>
      </c>
      <c r="X55" s="545" t="str">
        <f>IFERROR(IF(H55="","",IF(H55-S55-T55=0&lt;0,"Error in Areas ▲",IF(S55+T55&gt;H55,"Error in Areas ▲",IF(AND(P55='G-1 All Habitats'!$X$3,Y55="Yes"),"Alternative Compensation",IF(W55=0,0,IF(P55='G-1 All Habitats'!$X$3,"Unacceptable Loss",Q55-U55-V55)))))),"Check Data ⚠")</f>
        <v/>
      </c>
      <c r="Y55" s="72"/>
      <c r="Z55" s="151"/>
      <c r="AA55" s="152"/>
      <c r="AC55" s="251" t="str">
        <f>IF(P55="","",IF(P55='G-1 All Habitats'!$X$3,H55-S55-T55,"None"))</f>
        <v/>
      </c>
      <c r="AD55" s="252" t="str">
        <f t="shared" si="4"/>
        <v/>
      </c>
      <c r="AF55" s="156" t="str">
        <f t="shared" si="0"/>
        <v/>
      </c>
      <c r="AG55" s="156" t="str">
        <f t="shared" si="1"/>
        <v/>
      </c>
      <c r="AH55" s="156" t="str">
        <f>IF(I55="","",IF(#REF!&gt;0,TRUE,FALSE))</f>
        <v/>
      </c>
      <c r="AI55" s="156">
        <v>45</v>
      </c>
      <c r="AJ55" s="156"/>
      <c r="AK55" s="156" t="str">
        <f t="array" ref="AK55">IFERROR(INDEX($AI$11:$AI$259, MATCH(0, IF(TRUE=$AF$11:$AF$259, COUNTIF($AK$10:$AK54, $AI$11:$AI$259), ""), 0)),"")</f>
        <v/>
      </c>
      <c r="AL55" s="156" t="str">
        <f t="array" ref="AL55">IFERROR(INDEX($AI$11:$AI$259, MATCH(0, IF(TRUE=$AG$11:$AG$259, COUNTIF($AL$10:$AL54, $AI$11:$AI$259), ""), 0)),"")</f>
        <v/>
      </c>
      <c r="AM55" s="156" t="str">
        <f t="array" ref="AM55">IFERROR(INDEX($AI$11:$AI$259, MATCH(0, IF(TRUE=$AH$11:$AH$259, COUNTIF($AM$10:$AM54, $AI$11:$AI$259), ""), 0)),"")</f>
        <v/>
      </c>
      <c r="AQ55" s="31">
        <f t="shared" si="5"/>
        <v>0</v>
      </c>
    </row>
    <row r="56" spans="1:43" x14ac:dyDescent="0.3">
      <c r="A56" s="31" t="str">
        <f>IFERROR(INDEX('G-1 All Habitats'!$AG$3:$AG$15,MATCH(E56,'G-1 All Habitats'!$AF$3:$AF$15,0)),"")</f>
        <v/>
      </c>
      <c r="B56" s="31" t="str">
        <f>IFERROR(INDEX('G-8 Condition Look up'!$I$4:$I$130,MATCH(G56,'G-8 Condition Look up'!$A$4:$A$130,0)),"")</f>
        <v/>
      </c>
      <c r="D56" s="141">
        <v>46</v>
      </c>
      <c r="E56" s="203"/>
      <c r="F56" s="203"/>
      <c r="G56" s="250" t="str">
        <f>IFERROR(INDEX('G-1 All Habitats'!$B$3:$B$129,MATCH(F56,'G-1 All Habitats'!$A$3:$A$129,0)),"")</f>
        <v/>
      </c>
      <c r="H56" s="172"/>
      <c r="I56" s="498" t="str">
        <f>IF(G56="","",VLOOKUP(G56,'G-1 All Habitats'!$B$2:$M$129,10,FALSE))</f>
        <v/>
      </c>
      <c r="J56" s="499" t="str">
        <f>IFERROR(VLOOKUP(I56,'G-1 All Habitats'!$V$3:$W$7,2,FALSE),"")</f>
        <v/>
      </c>
      <c r="K56" s="145"/>
      <c r="L56" s="499" t="str">
        <f>IFERROR(INDEX('G-8 Condition Look up'!$A$3:$H$130,MATCH(G56,'G-8 Condition Look up'!$A$3:$A$130,0),MATCH(K56,'G-8 Condition Look up'!$A$3:$H$3,0)),"")</f>
        <v/>
      </c>
      <c r="M56" s="154"/>
      <c r="N56" s="520" t="str">
        <f>IF(M56="","",IF(VLOOKUP(M56,'G-3 Multipliers'!$L$3:$N$6,2,FALSE)=0,"Spatial Data Missing ⚠",VLOOKUP(M56,'G-3 Multipliers'!$L$3:$N$6,2,FALSE)))</f>
        <v/>
      </c>
      <c r="O56" s="524" t="str">
        <f>IF(M56="","",IF(VLOOKUP(M56,'G-3 Multipliers'!$L$3:$N$6,3,FALSE)=0,"Spatial Data Missing ⚠",VLOOKUP(M56,'G-3 Multipliers'!$L$3:$N$6,3,FALSE)))</f>
        <v/>
      </c>
      <c r="P56" s="506" t="str">
        <f>IFERROR(VLOOKUP(G56,'G-1 All Habitats'!$B$2:$M$129,12,FALSE),"")</f>
        <v/>
      </c>
      <c r="Q56" s="513" t="str">
        <f>IFERROR(IF(P56="","",IF(AND(P56='G-1 All Habitats'!$X$3,T56&gt;0),U56+V56,IF(AND(P56='G-1 All Habitats'!$X$3,S56&gt;0),U56+V56,IF(AND(P56='G-1 All Habitats'!$X$3,AC56&gt;0),"Any Loss Unacceptable",IF(AND(P56='G-1 All Habitats'!$X$3,W56&gt;0),"Any Loss Unacceptable",H56*J56*L56*O56))))),"Check Data ⚠")</f>
        <v/>
      </c>
      <c r="R56" s="50"/>
      <c r="S56" s="71"/>
      <c r="T56" s="72"/>
      <c r="U56" s="511" t="str">
        <f t="shared" si="2"/>
        <v/>
      </c>
      <c r="V56" s="511" t="str">
        <f t="shared" si="3"/>
        <v/>
      </c>
      <c r="W56" s="511" t="str">
        <f>IF(E56="","",IF(H56&lt;S56+T56,"Error in Areas ▲",IF(P56&lt;&gt;'G-1 All Habitats'!$X$3,H56-S56-T56,IF(AND(P56='G-1 All Habitats'!$X$3,Y56="Yes"),"Unacceptable Loss ▲",IF(AND(P56='G-1 All Habitats'!$X$3,Y56="No"),AC56,IF(AND(P56='G-1 All Habitats'!$X$3,Y56=""),AC56,IF(AND(P56='G-1 All Habitats'!$X$3,AC56="None",AC56),IF(AND(P56='G-1 All Habitats'!$X$3,AC56&gt;0),H56-S56-T56))))))))</f>
        <v/>
      </c>
      <c r="X56" s="545" t="str">
        <f>IFERROR(IF(H56="","",IF(H56-S56-T56=0&lt;0,"Error in Areas ▲",IF(S56+T56&gt;H56,"Error in Areas ▲",IF(AND(P56='G-1 All Habitats'!$X$3,Y56="Yes"),"Alternative Compensation",IF(W56=0,0,IF(P56='G-1 All Habitats'!$X$3,"Unacceptable Loss",Q56-U56-V56)))))),"Check Data ⚠")</f>
        <v/>
      </c>
      <c r="Y56" s="72"/>
      <c r="Z56" s="151"/>
      <c r="AA56" s="152"/>
      <c r="AC56" s="251" t="str">
        <f>IF(P56="","",IF(P56='G-1 All Habitats'!$X$3,H56-S56-T56,"None"))</f>
        <v/>
      </c>
      <c r="AD56" s="252" t="str">
        <f t="shared" si="4"/>
        <v/>
      </c>
      <c r="AF56" s="156" t="str">
        <f t="shared" si="0"/>
        <v/>
      </c>
      <c r="AG56" s="156" t="str">
        <f t="shared" si="1"/>
        <v/>
      </c>
      <c r="AH56" s="156" t="str">
        <f>IF(I56="","",IF(#REF!&gt;0,TRUE,FALSE))</f>
        <v/>
      </c>
      <c r="AI56" s="156">
        <v>46</v>
      </c>
      <c r="AJ56" s="156"/>
      <c r="AK56" s="156" t="str">
        <f t="array" ref="AK56">IFERROR(INDEX($AI$11:$AI$259, MATCH(0, IF(TRUE=$AF$11:$AF$259, COUNTIF($AK$10:$AK55, $AI$11:$AI$259), ""), 0)),"")</f>
        <v/>
      </c>
      <c r="AL56" s="156" t="str">
        <f t="array" ref="AL56">IFERROR(INDEX($AI$11:$AI$259, MATCH(0, IF(TRUE=$AG$11:$AG$259, COUNTIF($AL$10:$AL55, $AI$11:$AI$259), ""), 0)),"")</f>
        <v/>
      </c>
      <c r="AM56" s="156" t="str">
        <f t="array" ref="AM56">IFERROR(INDEX($AI$11:$AI$259, MATCH(0, IF(TRUE=$AH$11:$AH$259, COUNTIF($AM$10:$AM55, $AI$11:$AI$259), ""), 0)),"")</f>
        <v/>
      </c>
      <c r="AQ56" s="31">
        <f t="shared" si="5"/>
        <v>0</v>
      </c>
    </row>
    <row r="57" spans="1:43" x14ac:dyDescent="0.3">
      <c r="A57" s="31" t="str">
        <f>IFERROR(INDEX('G-1 All Habitats'!$AG$3:$AG$15,MATCH(E57,'G-1 All Habitats'!$AF$3:$AF$15,0)),"")</f>
        <v/>
      </c>
      <c r="B57" s="31" t="str">
        <f>IFERROR(INDEX('G-8 Condition Look up'!$I$4:$I$130,MATCH(G57,'G-8 Condition Look up'!$A$4:$A$130,0)),"")</f>
        <v/>
      </c>
      <c r="D57" s="141">
        <v>47</v>
      </c>
      <c r="E57" s="203"/>
      <c r="F57" s="203"/>
      <c r="G57" s="250" t="str">
        <f>IFERROR(INDEX('G-1 All Habitats'!$B$3:$B$129,MATCH(F57,'G-1 All Habitats'!$A$3:$A$129,0)),"")</f>
        <v/>
      </c>
      <c r="H57" s="172"/>
      <c r="I57" s="498" t="str">
        <f>IF(G57="","",VLOOKUP(G57,'G-1 All Habitats'!$B$2:$M$129,10,FALSE))</f>
        <v/>
      </c>
      <c r="J57" s="499" t="str">
        <f>IFERROR(VLOOKUP(I57,'G-1 All Habitats'!$V$3:$W$7,2,FALSE),"")</f>
        <v/>
      </c>
      <c r="K57" s="145"/>
      <c r="L57" s="499" t="str">
        <f>IFERROR(INDEX('G-8 Condition Look up'!$A$3:$H$130,MATCH(G57,'G-8 Condition Look up'!$A$3:$A$130,0),MATCH(K57,'G-8 Condition Look up'!$A$3:$H$3,0)),"")</f>
        <v/>
      </c>
      <c r="M57" s="154"/>
      <c r="N57" s="520" t="str">
        <f>IF(M57="","",IF(VLOOKUP(M57,'G-3 Multipliers'!$L$3:$N$6,2,FALSE)=0,"Spatial Data Missing ⚠",VLOOKUP(M57,'G-3 Multipliers'!$L$3:$N$6,2,FALSE)))</f>
        <v/>
      </c>
      <c r="O57" s="524" t="str">
        <f>IF(M57="","",IF(VLOOKUP(M57,'G-3 Multipliers'!$L$3:$N$6,3,FALSE)=0,"Spatial Data Missing ⚠",VLOOKUP(M57,'G-3 Multipliers'!$L$3:$N$6,3,FALSE)))</f>
        <v/>
      </c>
      <c r="P57" s="506" t="str">
        <f>IFERROR(VLOOKUP(G57,'G-1 All Habitats'!$B$2:$M$129,12,FALSE),"")</f>
        <v/>
      </c>
      <c r="Q57" s="513" t="str">
        <f>IFERROR(IF(P57="","",IF(AND(P57='G-1 All Habitats'!$X$3,T57&gt;0),U57+V57,IF(AND(P57='G-1 All Habitats'!$X$3,S57&gt;0),U57+V57,IF(AND(P57='G-1 All Habitats'!$X$3,AC57&gt;0),"Any Loss Unacceptable",IF(AND(P57='G-1 All Habitats'!$X$3,W57&gt;0),"Any Loss Unacceptable",H57*J57*L57*O57))))),"Check Data ⚠")</f>
        <v/>
      </c>
      <c r="R57" s="50"/>
      <c r="S57" s="71"/>
      <c r="T57" s="72"/>
      <c r="U57" s="511" t="str">
        <f t="shared" si="2"/>
        <v/>
      </c>
      <c r="V57" s="511" t="str">
        <f t="shared" si="3"/>
        <v/>
      </c>
      <c r="W57" s="511" t="str">
        <f>IF(E57="","",IF(H57&lt;S57+T57,"Error in Areas ▲",IF(P57&lt;&gt;'G-1 All Habitats'!$X$3,H57-S57-T57,IF(AND(P57='G-1 All Habitats'!$X$3,Y57="Yes"),"Unacceptable Loss ▲",IF(AND(P57='G-1 All Habitats'!$X$3,Y57="No"),AC57,IF(AND(P57='G-1 All Habitats'!$X$3,Y57=""),AC57,IF(AND(P57='G-1 All Habitats'!$X$3,AC57="None",AC57),IF(AND(P57='G-1 All Habitats'!$X$3,AC57&gt;0),H57-S57-T57))))))))</f>
        <v/>
      </c>
      <c r="X57" s="545" t="str">
        <f>IFERROR(IF(H57="","",IF(H57-S57-T57=0&lt;0,"Error in Areas ▲",IF(S57+T57&gt;H57,"Error in Areas ▲",IF(AND(P57='G-1 All Habitats'!$X$3,Y57="Yes"),"Alternative Compensation",IF(W57=0,0,IF(P57='G-1 All Habitats'!$X$3,"Unacceptable Loss",Q57-U57-V57)))))),"Check Data ⚠")</f>
        <v/>
      </c>
      <c r="Y57" s="72"/>
      <c r="Z57" s="151"/>
      <c r="AA57" s="152"/>
      <c r="AC57" s="251" t="str">
        <f>IF(P57="","",IF(P57='G-1 All Habitats'!$X$3,H57-S57-T57,"None"))</f>
        <v/>
      </c>
      <c r="AD57" s="252" t="str">
        <f t="shared" si="4"/>
        <v/>
      </c>
      <c r="AF57" s="156" t="str">
        <f t="shared" si="0"/>
        <v/>
      </c>
      <c r="AG57" s="156" t="str">
        <f t="shared" si="1"/>
        <v/>
      </c>
      <c r="AH57" s="156" t="str">
        <f>IF(I57="","",IF(#REF!&gt;0,TRUE,FALSE))</f>
        <v/>
      </c>
      <c r="AI57" s="156">
        <v>47</v>
      </c>
      <c r="AJ57" s="156"/>
      <c r="AK57" s="156" t="str">
        <f t="array" ref="AK57">IFERROR(INDEX($AI$11:$AI$259, MATCH(0, IF(TRUE=$AF$11:$AF$259, COUNTIF($AK$10:$AK56, $AI$11:$AI$259), ""), 0)),"")</f>
        <v/>
      </c>
      <c r="AL57" s="156" t="str">
        <f t="array" ref="AL57">IFERROR(INDEX($AI$11:$AI$259, MATCH(0, IF(TRUE=$AG$11:$AG$259, COUNTIF($AL$10:$AL56, $AI$11:$AI$259), ""), 0)),"")</f>
        <v/>
      </c>
      <c r="AM57" s="156" t="str">
        <f t="array" ref="AM57">IFERROR(INDEX($AI$11:$AI$259, MATCH(0, IF(TRUE=$AH$11:$AH$259, COUNTIF($AM$10:$AM56, $AI$11:$AI$259), ""), 0)),"")</f>
        <v/>
      </c>
      <c r="AQ57" s="31">
        <f t="shared" si="5"/>
        <v>0</v>
      </c>
    </row>
    <row r="58" spans="1:43" x14ac:dyDescent="0.3">
      <c r="A58" s="31" t="str">
        <f>IFERROR(INDEX('G-1 All Habitats'!$AG$3:$AG$15,MATCH(E58,'G-1 All Habitats'!$AF$3:$AF$15,0)),"")</f>
        <v/>
      </c>
      <c r="B58" s="31" t="str">
        <f>IFERROR(INDEX('G-8 Condition Look up'!$I$4:$I$130,MATCH(G58,'G-8 Condition Look up'!$A$4:$A$130,0)),"")</f>
        <v/>
      </c>
      <c r="D58" s="141">
        <v>48</v>
      </c>
      <c r="E58" s="203"/>
      <c r="F58" s="203"/>
      <c r="G58" s="250" t="str">
        <f>IFERROR(INDEX('G-1 All Habitats'!$B$3:$B$129,MATCH(F58,'G-1 All Habitats'!$A$3:$A$129,0)),"")</f>
        <v/>
      </c>
      <c r="H58" s="172"/>
      <c r="I58" s="498" t="str">
        <f>IF(G58="","",VLOOKUP(G58,'G-1 All Habitats'!$B$2:$M$129,10,FALSE))</f>
        <v/>
      </c>
      <c r="J58" s="499" t="str">
        <f>IFERROR(VLOOKUP(I58,'G-1 All Habitats'!$V$3:$W$7,2,FALSE),"")</f>
        <v/>
      </c>
      <c r="K58" s="145"/>
      <c r="L58" s="499" t="str">
        <f>IFERROR(INDEX('G-8 Condition Look up'!$A$3:$H$130,MATCH(G58,'G-8 Condition Look up'!$A$3:$A$130,0),MATCH(K58,'G-8 Condition Look up'!$A$3:$H$3,0)),"")</f>
        <v/>
      </c>
      <c r="M58" s="154"/>
      <c r="N58" s="520" t="str">
        <f>IF(M58="","",IF(VLOOKUP(M58,'G-3 Multipliers'!$L$3:$N$6,2,FALSE)=0,"Spatial Data Missing ⚠",VLOOKUP(M58,'G-3 Multipliers'!$L$3:$N$6,2,FALSE)))</f>
        <v/>
      </c>
      <c r="O58" s="524" t="str">
        <f>IF(M58="","",IF(VLOOKUP(M58,'G-3 Multipliers'!$L$3:$N$6,3,FALSE)=0,"Spatial Data Missing ⚠",VLOOKUP(M58,'G-3 Multipliers'!$L$3:$N$6,3,FALSE)))</f>
        <v/>
      </c>
      <c r="P58" s="506" t="str">
        <f>IFERROR(VLOOKUP(G58,'G-1 All Habitats'!$B$2:$M$129,12,FALSE),"")</f>
        <v/>
      </c>
      <c r="Q58" s="513" t="str">
        <f>IFERROR(IF(P58="","",IF(AND(P58='G-1 All Habitats'!$X$3,T58&gt;0),U58+V58,IF(AND(P58='G-1 All Habitats'!$X$3,S58&gt;0),U58+V58,IF(AND(P58='G-1 All Habitats'!$X$3,AC58&gt;0),"Any Loss Unacceptable",IF(AND(P58='G-1 All Habitats'!$X$3,W58&gt;0),"Any Loss Unacceptable",H58*J58*L58*O58))))),"Check Data ⚠")</f>
        <v/>
      </c>
      <c r="R58" s="50"/>
      <c r="S58" s="71"/>
      <c r="T58" s="72"/>
      <c r="U58" s="511" t="str">
        <f t="shared" si="2"/>
        <v/>
      </c>
      <c r="V58" s="511" t="str">
        <f t="shared" si="3"/>
        <v/>
      </c>
      <c r="W58" s="511" t="str">
        <f>IF(E58="","",IF(H58&lt;S58+T58,"Error in Areas ▲",IF(P58&lt;&gt;'G-1 All Habitats'!$X$3,H58-S58-T58,IF(AND(P58='G-1 All Habitats'!$X$3,Y58="Yes"),"Unacceptable Loss ▲",IF(AND(P58='G-1 All Habitats'!$X$3,Y58="No"),AC58,IF(AND(P58='G-1 All Habitats'!$X$3,Y58=""),AC58,IF(AND(P58='G-1 All Habitats'!$X$3,AC58="None",AC58),IF(AND(P58='G-1 All Habitats'!$X$3,AC58&gt;0),H58-S58-T58))))))))</f>
        <v/>
      </c>
      <c r="X58" s="545" t="str">
        <f>IFERROR(IF(H58="","",IF(H58-S58-T58=0&lt;0,"Error in Areas ▲",IF(S58+T58&gt;H58,"Error in Areas ▲",IF(AND(P58='G-1 All Habitats'!$X$3,Y58="Yes"),"Alternative Compensation",IF(W58=0,0,IF(P58='G-1 All Habitats'!$X$3,"Unacceptable Loss",Q58-U58-V58)))))),"Check Data ⚠")</f>
        <v/>
      </c>
      <c r="Y58" s="72"/>
      <c r="Z58" s="151"/>
      <c r="AA58" s="152"/>
      <c r="AC58" s="251" t="str">
        <f>IF(P58="","",IF(P58='G-1 All Habitats'!$X$3,H58-S58-T58,"None"))</f>
        <v/>
      </c>
      <c r="AD58" s="252" t="str">
        <f t="shared" si="4"/>
        <v/>
      </c>
      <c r="AF58" s="156" t="str">
        <f t="shared" si="0"/>
        <v/>
      </c>
      <c r="AG58" s="156" t="str">
        <f t="shared" si="1"/>
        <v/>
      </c>
      <c r="AH58" s="156" t="str">
        <f>IF(I58="","",IF(#REF!&gt;0,TRUE,FALSE))</f>
        <v/>
      </c>
      <c r="AI58" s="156">
        <v>48</v>
      </c>
      <c r="AJ58" s="156"/>
      <c r="AK58" s="156" t="str">
        <f t="array" ref="AK58">IFERROR(INDEX($AI$11:$AI$259, MATCH(0, IF(TRUE=$AF$11:$AF$259, COUNTIF($AK$10:$AK57, $AI$11:$AI$259), ""), 0)),"")</f>
        <v/>
      </c>
      <c r="AL58" s="156" t="str">
        <f t="array" ref="AL58">IFERROR(INDEX($AI$11:$AI$259, MATCH(0, IF(TRUE=$AG$11:$AG$259, COUNTIF($AL$10:$AL57, $AI$11:$AI$259), ""), 0)),"")</f>
        <v/>
      </c>
      <c r="AM58" s="156" t="str">
        <f t="array" ref="AM58">IFERROR(INDEX($AI$11:$AI$259, MATCH(0, IF(TRUE=$AH$11:$AH$259, COUNTIF($AM$10:$AM57, $AI$11:$AI$259), ""), 0)),"")</f>
        <v/>
      </c>
      <c r="AQ58" s="31">
        <f t="shared" si="5"/>
        <v>0</v>
      </c>
    </row>
    <row r="59" spans="1:43" x14ac:dyDescent="0.3">
      <c r="A59" s="31" t="str">
        <f>IFERROR(INDEX('G-1 All Habitats'!$AG$3:$AG$15,MATCH(E59,'G-1 All Habitats'!$AF$3:$AF$15,0)),"")</f>
        <v/>
      </c>
      <c r="B59" s="31" t="str">
        <f>IFERROR(INDEX('G-8 Condition Look up'!$I$4:$I$130,MATCH(G59,'G-8 Condition Look up'!$A$4:$A$130,0)),"")</f>
        <v/>
      </c>
      <c r="D59" s="141">
        <v>49</v>
      </c>
      <c r="E59" s="203"/>
      <c r="F59" s="203"/>
      <c r="G59" s="250" t="str">
        <f>IFERROR(INDEX('G-1 All Habitats'!$B$3:$B$129,MATCH(F59,'G-1 All Habitats'!$A$3:$A$129,0)),"")</f>
        <v/>
      </c>
      <c r="H59" s="172"/>
      <c r="I59" s="498" t="str">
        <f>IF(G59="","",VLOOKUP(G59,'G-1 All Habitats'!$B$2:$M$129,10,FALSE))</f>
        <v/>
      </c>
      <c r="J59" s="499" t="str">
        <f>IFERROR(VLOOKUP(I59,'G-1 All Habitats'!$V$3:$W$7,2,FALSE),"")</f>
        <v/>
      </c>
      <c r="K59" s="145"/>
      <c r="L59" s="499" t="str">
        <f>IFERROR(INDEX('G-8 Condition Look up'!$A$3:$H$130,MATCH(G59,'G-8 Condition Look up'!$A$3:$A$130,0),MATCH(K59,'G-8 Condition Look up'!$A$3:$H$3,0)),"")</f>
        <v/>
      </c>
      <c r="M59" s="154"/>
      <c r="N59" s="520" t="str">
        <f>IF(M59="","",IF(VLOOKUP(M59,'G-3 Multipliers'!$L$3:$N$6,2,FALSE)=0,"Spatial Data Missing ⚠",VLOOKUP(M59,'G-3 Multipliers'!$L$3:$N$6,2,FALSE)))</f>
        <v/>
      </c>
      <c r="O59" s="524" t="str">
        <f>IF(M59="","",IF(VLOOKUP(M59,'G-3 Multipliers'!$L$3:$N$6,3,FALSE)=0,"Spatial Data Missing ⚠",VLOOKUP(M59,'G-3 Multipliers'!$L$3:$N$6,3,FALSE)))</f>
        <v/>
      </c>
      <c r="P59" s="506" t="str">
        <f>IFERROR(VLOOKUP(G59,'G-1 All Habitats'!$B$2:$M$129,12,FALSE),"")</f>
        <v/>
      </c>
      <c r="Q59" s="513" t="str">
        <f>IFERROR(IF(P59="","",IF(AND(P59='G-1 All Habitats'!$X$3,T59&gt;0),U59+V59,IF(AND(P59='G-1 All Habitats'!$X$3,S59&gt;0),U59+V59,IF(AND(P59='G-1 All Habitats'!$X$3,AC59&gt;0),"Any Loss Unacceptable",IF(AND(P59='G-1 All Habitats'!$X$3,W59&gt;0),"Any Loss Unacceptable",H59*J59*L59*O59))))),"Check Data ⚠")</f>
        <v/>
      </c>
      <c r="R59" s="50"/>
      <c r="S59" s="71"/>
      <c r="T59" s="72"/>
      <c r="U59" s="511" t="str">
        <f t="shared" si="2"/>
        <v/>
      </c>
      <c r="V59" s="511" t="str">
        <f t="shared" si="3"/>
        <v/>
      </c>
      <c r="W59" s="511" t="str">
        <f>IF(E59="","",IF(H59&lt;S59+T59,"Error in Areas ▲",IF(P59&lt;&gt;'G-1 All Habitats'!$X$3,H59-S59-T59,IF(AND(P59='G-1 All Habitats'!$X$3,Y59="Yes"),"Unacceptable Loss ▲",IF(AND(P59='G-1 All Habitats'!$X$3,Y59="No"),AC59,IF(AND(P59='G-1 All Habitats'!$X$3,Y59=""),AC59,IF(AND(P59='G-1 All Habitats'!$X$3,AC59="None",AC59),IF(AND(P59='G-1 All Habitats'!$X$3,AC59&gt;0),H59-S59-T59))))))))</f>
        <v/>
      </c>
      <c r="X59" s="545" t="str">
        <f>IFERROR(IF(H59="","",IF(H59-S59-T59=0&lt;0,"Error in Areas ▲",IF(S59+T59&gt;H59,"Error in Areas ▲",IF(AND(P59='G-1 All Habitats'!$X$3,Y59="Yes"),"Alternative Compensation",IF(W59=0,0,IF(P59='G-1 All Habitats'!$X$3,"Unacceptable Loss",Q59-U59-V59)))))),"Check Data ⚠")</f>
        <v/>
      </c>
      <c r="Y59" s="72"/>
      <c r="Z59" s="151"/>
      <c r="AA59" s="152"/>
      <c r="AC59" s="251" t="str">
        <f>IF(P59="","",IF(P59='G-1 All Habitats'!$X$3,H59-S59-T59,"None"))</f>
        <v/>
      </c>
      <c r="AD59" s="252" t="str">
        <f t="shared" si="4"/>
        <v/>
      </c>
      <c r="AF59" s="156" t="str">
        <f t="shared" si="0"/>
        <v/>
      </c>
      <c r="AG59" s="156" t="str">
        <f t="shared" si="1"/>
        <v/>
      </c>
      <c r="AH59" s="156" t="str">
        <f>IF(I59="","",IF(#REF!&gt;0,TRUE,FALSE))</f>
        <v/>
      </c>
      <c r="AI59" s="156">
        <v>49</v>
      </c>
      <c r="AJ59" s="156"/>
      <c r="AK59" s="156" t="str">
        <f t="array" ref="AK59">IFERROR(INDEX($AI$11:$AI$259, MATCH(0, IF(TRUE=$AF$11:$AF$259, COUNTIF($AK$10:$AK58, $AI$11:$AI$259), ""), 0)),"")</f>
        <v/>
      </c>
      <c r="AL59" s="156" t="str">
        <f t="array" ref="AL59">IFERROR(INDEX($AI$11:$AI$259, MATCH(0, IF(TRUE=$AG$11:$AG$259, COUNTIF($AL$10:$AL58, $AI$11:$AI$259), ""), 0)),"")</f>
        <v/>
      </c>
      <c r="AM59" s="156" t="str">
        <f t="array" ref="AM59">IFERROR(INDEX($AI$11:$AI$259, MATCH(0, IF(TRUE=$AH$11:$AH$259, COUNTIF($AM$10:$AM58, $AI$11:$AI$259), ""), 0)),"")</f>
        <v/>
      </c>
      <c r="AQ59" s="31">
        <f t="shared" si="5"/>
        <v>0</v>
      </c>
    </row>
    <row r="60" spans="1:43" x14ac:dyDescent="0.3">
      <c r="A60" s="31" t="str">
        <f>IFERROR(INDEX('G-1 All Habitats'!$AG$3:$AG$15,MATCH(E60,'G-1 All Habitats'!$AF$3:$AF$15,0)),"")</f>
        <v/>
      </c>
      <c r="B60" s="31" t="str">
        <f>IFERROR(INDEX('G-8 Condition Look up'!$I$4:$I$130,MATCH(G60,'G-8 Condition Look up'!$A$4:$A$130,0)),"")</f>
        <v/>
      </c>
      <c r="D60" s="141">
        <v>50</v>
      </c>
      <c r="E60" s="203"/>
      <c r="F60" s="203"/>
      <c r="G60" s="250" t="str">
        <f>IFERROR(INDEX('G-1 All Habitats'!$B$3:$B$129,MATCH(F60,'G-1 All Habitats'!$A$3:$A$129,0)),"")</f>
        <v/>
      </c>
      <c r="H60" s="172"/>
      <c r="I60" s="498" t="str">
        <f>IF(G60="","",VLOOKUP(G60,'G-1 All Habitats'!$B$2:$M$129,10,FALSE))</f>
        <v/>
      </c>
      <c r="J60" s="499" t="str">
        <f>IFERROR(VLOOKUP(I60,'G-1 All Habitats'!$V$3:$W$7,2,FALSE),"")</f>
        <v/>
      </c>
      <c r="K60" s="145"/>
      <c r="L60" s="499" t="str">
        <f>IFERROR(INDEX('G-8 Condition Look up'!$A$3:$H$130,MATCH(G60,'G-8 Condition Look up'!$A$3:$A$130,0),MATCH(K60,'G-8 Condition Look up'!$A$3:$H$3,0)),"")</f>
        <v/>
      </c>
      <c r="M60" s="154"/>
      <c r="N60" s="520" t="str">
        <f>IF(M60="","",IF(VLOOKUP(M60,'G-3 Multipliers'!$L$3:$N$6,2,FALSE)=0,"Spatial Data Missing ⚠",VLOOKUP(M60,'G-3 Multipliers'!$L$3:$N$6,2,FALSE)))</f>
        <v/>
      </c>
      <c r="O60" s="524" t="str">
        <f>IF(M60="","",IF(VLOOKUP(M60,'G-3 Multipliers'!$L$3:$N$6,3,FALSE)=0,"Spatial Data Missing ⚠",VLOOKUP(M60,'G-3 Multipliers'!$L$3:$N$6,3,FALSE)))</f>
        <v/>
      </c>
      <c r="P60" s="506" t="str">
        <f>IFERROR(VLOOKUP(G60,'G-1 All Habitats'!$B$2:$M$129,12,FALSE),"")</f>
        <v/>
      </c>
      <c r="Q60" s="513" t="str">
        <f>IFERROR(IF(P60="","",IF(AND(P60='G-1 All Habitats'!$X$3,T60&gt;0),U60+V60,IF(AND(P60='G-1 All Habitats'!$X$3,S60&gt;0),U60+V60,IF(AND(P60='G-1 All Habitats'!$X$3,AC60&gt;0),"Any Loss Unacceptable",IF(AND(P60='G-1 All Habitats'!$X$3,W60&gt;0),"Any Loss Unacceptable",H60*J60*L60*O60))))),"Check Data ⚠")</f>
        <v/>
      </c>
      <c r="R60" s="50"/>
      <c r="S60" s="71"/>
      <c r="T60" s="72"/>
      <c r="U60" s="511" t="str">
        <f t="shared" si="2"/>
        <v/>
      </c>
      <c r="V60" s="511" t="str">
        <f t="shared" si="3"/>
        <v/>
      </c>
      <c r="W60" s="511" t="str">
        <f>IF(E60="","",IF(H60&lt;S60+T60,"Error in Areas ▲",IF(P60&lt;&gt;'G-1 All Habitats'!$X$3,H60-S60-T60,IF(AND(P60='G-1 All Habitats'!$X$3,Y60="Yes"),"Unacceptable Loss ▲",IF(AND(P60='G-1 All Habitats'!$X$3,Y60="No"),AC60,IF(AND(P60='G-1 All Habitats'!$X$3,Y60=""),AC60,IF(AND(P60='G-1 All Habitats'!$X$3,AC60="None",AC60),IF(AND(P60='G-1 All Habitats'!$X$3,AC60&gt;0),H60-S60-T60))))))))</f>
        <v/>
      </c>
      <c r="X60" s="545" t="str">
        <f>IFERROR(IF(H60="","",IF(H60-S60-T60=0&lt;0,"Error in Areas ▲",IF(S60+T60&gt;H60,"Error in Areas ▲",IF(AND(P60='G-1 All Habitats'!$X$3,Y60="Yes"),"Alternative Compensation",IF(W60=0,0,IF(P60='G-1 All Habitats'!$X$3,"Unacceptable Loss",Q60-U60-V60)))))),"Check Data ⚠")</f>
        <v/>
      </c>
      <c r="Y60" s="72"/>
      <c r="Z60" s="151"/>
      <c r="AA60" s="152"/>
      <c r="AC60" s="251" t="str">
        <f>IF(P60="","",IF(P60='G-1 All Habitats'!$X$3,H60-S60-T60,"None"))</f>
        <v/>
      </c>
      <c r="AD60" s="252" t="str">
        <f t="shared" si="4"/>
        <v/>
      </c>
      <c r="AF60" s="156" t="str">
        <f t="shared" si="0"/>
        <v/>
      </c>
      <c r="AG60" s="156" t="str">
        <f t="shared" si="1"/>
        <v/>
      </c>
      <c r="AH60" s="156" t="str">
        <f>IF(I60="","",IF(#REF!&gt;0,TRUE,FALSE))</f>
        <v/>
      </c>
      <c r="AI60" s="156">
        <v>50</v>
      </c>
      <c r="AJ60" s="156"/>
      <c r="AK60" s="156" t="str">
        <f t="array" ref="AK60">IFERROR(INDEX($AI$11:$AI$259, MATCH(0, IF(TRUE=$AF$11:$AF$259, COUNTIF($AK$10:$AK59, $AI$11:$AI$259), ""), 0)),"")</f>
        <v/>
      </c>
      <c r="AL60" s="156" t="str">
        <f t="array" ref="AL60">IFERROR(INDEX($AI$11:$AI$259, MATCH(0, IF(TRUE=$AG$11:$AG$259, COUNTIF($AL$10:$AL59, $AI$11:$AI$259), ""), 0)),"")</f>
        <v/>
      </c>
      <c r="AM60" s="156" t="str">
        <f t="array" ref="AM60">IFERROR(INDEX($AI$11:$AI$259, MATCH(0, IF(TRUE=$AH$11:$AH$259, COUNTIF($AM$10:$AM59, $AI$11:$AI$259), ""), 0)),"")</f>
        <v/>
      </c>
      <c r="AQ60" s="31">
        <f t="shared" si="5"/>
        <v>0</v>
      </c>
    </row>
    <row r="61" spans="1:43" x14ac:dyDescent="0.3">
      <c r="A61" s="31" t="str">
        <f>IFERROR(INDEX('G-1 All Habitats'!$AG$3:$AG$15,MATCH(E61,'G-1 All Habitats'!$AF$3:$AF$15,0)),"")</f>
        <v/>
      </c>
      <c r="B61" s="31" t="str">
        <f>IFERROR(INDEX('G-8 Condition Look up'!$I$4:$I$130,MATCH(G61,'G-8 Condition Look up'!$A$4:$A$130,0)),"")</f>
        <v/>
      </c>
      <c r="D61" s="141">
        <v>51</v>
      </c>
      <c r="E61" s="203"/>
      <c r="F61" s="203"/>
      <c r="G61" s="250" t="str">
        <f>IFERROR(INDEX('G-1 All Habitats'!$B$3:$B$129,MATCH(F61,'G-1 All Habitats'!$A$3:$A$129,0)),"")</f>
        <v/>
      </c>
      <c r="H61" s="172"/>
      <c r="I61" s="498" t="str">
        <f>IF(G61="","",VLOOKUP(G61,'G-1 All Habitats'!$B$2:$M$129,10,FALSE))</f>
        <v/>
      </c>
      <c r="J61" s="499" t="str">
        <f>IFERROR(VLOOKUP(I61,'G-1 All Habitats'!$V$3:$W$7,2,FALSE),"")</f>
        <v/>
      </c>
      <c r="K61" s="145"/>
      <c r="L61" s="499" t="str">
        <f>IFERROR(INDEX('G-8 Condition Look up'!$A$3:$H$130,MATCH(G61,'G-8 Condition Look up'!$A$3:$A$130,0),MATCH(K61,'G-8 Condition Look up'!$A$3:$H$3,0)),"")</f>
        <v/>
      </c>
      <c r="M61" s="154"/>
      <c r="N61" s="520" t="str">
        <f>IF(M61="","",IF(VLOOKUP(M61,'G-3 Multipliers'!$L$3:$N$6,2,FALSE)=0,"Spatial Data Missing ⚠",VLOOKUP(M61,'G-3 Multipliers'!$L$3:$N$6,2,FALSE)))</f>
        <v/>
      </c>
      <c r="O61" s="524" t="str">
        <f>IF(M61="","",IF(VLOOKUP(M61,'G-3 Multipliers'!$L$3:$N$6,3,FALSE)=0,"Spatial Data Missing ⚠",VLOOKUP(M61,'G-3 Multipliers'!$L$3:$N$6,3,FALSE)))</f>
        <v/>
      </c>
      <c r="P61" s="506" t="str">
        <f>IFERROR(VLOOKUP(G61,'G-1 All Habitats'!$B$2:$M$129,12,FALSE),"")</f>
        <v/>
      </c>
      <c r="Q61" s="513" t="str">
        <f>IFERROR(IF(P61="","",IF(AND(P61='G-1 All Habitats'!$X$3,T61&gt;0),U61+V61,IF(AND(P61='G-1 All Habitats'!$X$3,S61&gt;0),U61+V61,IF(AND(P61='G-1 All Habitats'!$X$3,AC61&gt;0),"Any Loss Unacceptable",IF(AND(P61='G-1 All Habitats'!$X$3,W61&gt;0),"Any Loss Unacceptable",H61*J61*L61*O61))))),"Check Data ⚠")</f>
        <v/>
      </c>
      <c r="R61" s="50"/>
      <c r="S61" s="71"/>
      <c r="T61" s="72"/>
      <c r="U61" s="511" t="str">
        <f t="shared" si="2"/>
        <v/>
      </c>
      <c r="V61" s="511" t="str">
        <f t="shared" si="3"/>
        <v/>
      </c>
      <c r="W61" s="511" t="str">
        <f>IF(E61="","",IF(H61&lt;S61+T61,"Error in Areas ▲",IF(P61&lt;&gt;'G-1 All Habitats'!$X$3,H61-S61-T61,IF(AND(P61='G-1 All Habitats'!$X$3,Y61="Yes"),"Unacceptable Loss ▲",IF(AND(P61='G-1 All Habitats'!$X$3,Y61="No"),AC61,IF(AND(P61='G-1 All Habitats'!$X$3,Y61=""),AC61,IF(AND(P61='G-1 All Habitats'!$X$3,AC61="None",AC61),IF(AND(P61='G-1 All Habitats'!$X$3,AC61&gt;0),H61-S61-T61))))))))</f>
        <v/>
      </c>
      <c r="X61" s="545" t="str">
        <f>IFERROR(IF(H61="","",IF(H61-S61-T61=0&lt;0,"Error in Areas ▲",IF(S61+T61&gt;H61,"Error in Areas ▲",IF(AND(P61='G-1 All Habitats'!$X$3,Y61="Yes"),"Alternative Compensation",IF(W61=0,0,IF(P61='G-1 All Habitats'!$X$3,"Unacceptable Loss",Q61-U61-V61)))))),"Check Data ⚠")</f>
        <v/>
      </c>
      <c r="Y61" s="72"/>
      <c r="Z61" s="151"/>
      <c r="AA61" s="152"/>
      <c r="AC61" s="251" t="str">
        <f>IF(P61="","",IF(P61='G-1 All Habitats'!$X$3,H61-S61-T61,"None"))</f>
        <v/>
      </c>
      <c r="AD61" s="252" t="str">
        <f t="shared" si="4"/>
        <v/>
      </c>
      <c r="AF61" s="156" t="str">
        <f t="shared" si="0"/>
        <v/>
      </c>
      <c r="AG61" s="156" t="str">
        <f t="shared" si="1"/>
        <v/>
      </c>
      <c r="AH61" s="156" t="str">
        <f>IF(I61="","",IF(#REF!&gt;0,TRUE,FALSE))</f>
        <v/>
      </c>
      <c r="AI61" s="156">
        <v>51</v>
      </c>
      <c r="AJ61" s="156"/>
      <c r="AK61" s="156" t="str">
        <f t="array" ref="AK61">IFERROR(INDEX($AI$11:$AI$259, MATCH(0, IF(TRUE=$AF$11:$AF$259, COUNTIF($AK$10:$AK60, $AI$11:$AI$259), ""), 0)),"")</f>
        <v/>
      </c>
      <c r="AL61" s="156" t="str">
        <f t="array" ref="AL61">IFERROR(INDEX($AI$11:$AI$259, MATCH(0, IF(TRUE=$AG$11:$AG$259, COUNTIF($AL$10:$AL60, $AI$11:$AI$259), ""), 0)),"")</f>
        <v/>
      </c>
      <c r="AM61" s="156" t="str">
        <f t="array" ref="AM61">IFERROR(INDEX($AI$11:$AI$259, MATCH(0, IF(TRUE=$AH$11:$AH$259, COUNTIF($AM$10:$AM60, $AI$11:$AI$259), ""), 0)),"")</f>
        <v/>
      </c>
      <c r="AQ61" s="31">
        <f t="shared" si="5"/>
        <v>0</v>
      </c>
    </row>
    <row r="62" spans="1:43" x14ac:dyDescent="0.3">
      <c r="A62" s="31" t="str">
        <f>IFERROR(INDEX('G-1 All Habitats'!$AG$3:$AG$15,MATCH(E62,'G-1 All Habitats'!$AF$3:$AF$15,0)),"")</f>
        <v/>
      </c>
      <c r="B62" s="31" t="str">
        <f>IFERROR(INDEX('G-8 Condition Look up'!$I$4:$I$130,MATCH(G62,'G-8 Condition Look up'!$A$4:$A$130,0)),"")</f>
        <v/>
      </c>
      <c r="D62" s="141">
        <v>52</v>
      </c>
      <c r="E62" s="203"/>
      <c r="F62" s="203"/>
      <c r="G62" s="250" t="str">
        <f>IFERROR(INDEX('G-1 All Habitats'!$B$3:$B$129,MATCH(F62,'G-1 All Habitats'!$A$3:$A$129,0)),"")</f>
        <v/>
      </c>
      <c r="H62" s="172"/>
      <c r="I62" s="498" t="str">
        <f>IF(G62="","",VLOOKUP(G62,'G-1 All Habitats'!$B$2:$M$129,10,FALSE))</f>
        <v/>
      </c>
      <c r="J62" s="499" t="str">
        <f>IFERROR(VLOOKUP(I62,'G-1 All Habitats'!$V$3:$W$7,2,FALSE),"")</f>
        <v/>
      </c>
      <c r="K62" s="145"/>
      <c r="L62" s="499" t="str">
        <f>IFERROR(INDEX('G-8 Condition Look up'!$A$3:$H$130,MATCH(G62,'G-8 Condition Look up'!$A$3:$A$130,0),MATCH(K62,'G-8 Condition Look up'!$A$3:$H$3,0)),"")</f>
        <v/>
      </c>
      <c r="M62" s="154"/>
      <c r="N62" s="520" t="str">
        <f>IF(M62="","",IF(VLOOKUP(M62,'G-3 Multipliers'!$L$3:$N$6,2,FALSE)=0,"Spatial Data Missing ⚠",VLOOKUP(M62,'G-3 Multipliers'!$L$3:$N$6,2,FALSE)))</f>
        <v/>
      </c>
      <c r="O62" s="524" t="str">
        <f>IF(M62="","",IF(VLOOKUP(M62,'G-3 Multipliers'!$L$3:$N$6,3,FALSE)=0,"Spatial Data Missing ⚠",VLOOKUP(M62,'G-3 Multipliers'!$L$3:$N$6,3,FALSE)))</f>
        <v/>
      </c>
      <c r="P62" s="506" t="str">
        <f>IFERROR(VLOOKUP(G62,'G-1 All Habitats'!$B$2:$M$129,12,FALSE),"")</f>
        <v/>
      </c>
      <c r="Q62" s="513" t="str">
        <f>IFERROR(IF(P62="","",IF(AND(P62='G-1 All Habitats'!$X$3,T62&gt;0),U62+V62,IF(AND(P62='G-1 All Habitats'!$X$3,S62&gt;0),U62+V62,IF(AND(P62='G-1 All Habitats'!$X$3,AC62&gt;0),"Any Loss Unacceptable",IF(AND(P62='G-1 All Habitats'!$X$3,W62&gt;0),"Any Loss Unacceptable",H62*J62*L62*O62))))),"Check Data ⚠")</f>
        <v/>
      </c>
      <c r="R62" s="50"/>
      <c r="S62" s="71"/>
      <c r="T62" s="72"/>
      <c r="U62" s="511" t="str">
        <f t="shared" si="2"/>
        <v/>
      </c>
      <c r="V62" s="511" t="str">
        <f t="shared" si="3"/>
        <v/>
      </c>
      <c r="W62" s="511" t="str">
        <f>IF(E62="","",IF(H62&lt;S62+T62,"Error in Areas ▲",IF(P62&lt;&gt;'G-1 All Habitats'!$X$3,H62-S62-T62,IF(AND(P62='G-1 All Habitats'!$X$3,Y62="Yes"),"Unacceptable Loss ▲",IF(AND(P62='G-1 All Habitats'!$X$3,Y62="No"),AC62,IF(AND(P62='G-1 All Habitats'!$X$3,Y62=""),AC62,IF(AND(P62='G-1 All Habitats'!$X$3,AC62="None",AC62),IF(AND(P62='G-1 All Habitats'!$X$3,AC62&gt;0),H62-S62-T62))))))))</f>
        <v/>
      </c>
      <c r="X62" s="545" t="str">
        <f>IFERROR(IF(H62="","",IF(H62-S62-T62=0&lt;0,"Error in Areas ▲",IF(S62+T62&gt;H62,"Error in Areas ▲",IF(AND(P62='G-1 All Habitats'!$X$3,Y62="Yes"),"Alternative Compensation",IF(W62=0,0,IF(P62='G-1 All Habitats'!$X$3,"Unacceptable Loss",Q62-U62-V62)))))),"Check Data ⚠")</f>
        <v/>
      </c>
      <c r="Y62" s="72"/>
      <c r="Z62" s="151"/>
      <c r="AA62" s="152"/>
      <c r="AC62" s="251" t="str">
        <f>IF(P62="","",IF(P62='G-1 All Habitats'!$X$3,H62-S62-T62,"None"))</f>
        <v/>
      </c>
      <c r="AD62" s="252" t="str">
        <f t="shared" si="4"/>
        <v/>
      </c>
      <c r="AF62" s="156" t="str">
        <f t="shared" si="0"/>
        <v/>
      </c>
      <c r="AG62" s="156" t="str">
        <f t="shared" si="1"/>
        <v/>
      </c>
      <c r="AH62" s="156" t="str">
        <f>IF(I62="","",IF(#REF!&gt;0,TRUE,FALSE))</f>
        <v/>
      </c>
      <c r="AI62" s="156">
        <v>52</v>
      </c>
      <c r="AJ62" s="156"/>
      <c r="AK62" s="156" t="str">
        <f t="array" ref="AK62">IFERROR(INDEX($AI$11:$AI$259, MATCH(0, IF(TRUE=$AF$11:$AF$259, COUNTIF($AK$10:$AK61, $AI$11:$AI$259), ""), 0)),"")</f>
        <v/>
      </c>
      <c r="AL62" s="156" t="str">
        <f t="array" ref="AL62">IFERROR(INDEX($AI$11:$AI$259, MATCH(0, IF(TRUE=$AG$11:$AG$259, COUNTIF($AL$10:$AL61, $AI$11:$AI$259), ""), 0)),"")</f>
        <v/>
      </c>
      <c r="AM62" s="156" t="str">
        <f t="array" ref="AM62">IFERROR(INDEX($AI$11:$AI$259, MATCH(0, IF(TRUE=$AH$11:$AH$259, COUNTIF($AM$10:$AM61, $AI$11:$AI$259), ""), 0)),"")</f>
        <v/>
      </c>
      <c r="AQ62" s="31">
        <f t="shared" si="5"/>
        <v>0</v>
      </c>
    </row>
    <row r="63" spans="1:43" x14ac:dyDescent="0.3">
      <c r="A63" s="31" t="str">
        <f>IFERROR(INDEX('G-1 All Habitats'!$AG$3:$AG$15,MATCH(E63,'G-1 All Habitats'!$AF$3:$AF$15,0)),"")</f>
        <v/>
      </c>
      <c r="B63" s="31" t="str">
        <f>IFERROR(INDEX('G-8 Condition Look up'!$I$4:$I$130,MATCH(G63,'G-8 Condition Look up'!$A$4:$A$130,0)),"")</f>
        <v/>
      </c>
      <c r="D63" s="141">
        <v>53</v>
      </c>
      <c r="E63" s="203"/>
      <c r="F63" s="203"/>
      <c r="G63" s="250" t="str">
        <f>IFERROR(INDEX('G-1 All Habitats'!$B$3:$B$129,MATCH(F63,'G-1 All Habitats'!$A$3:$A$129,0)),"")</f>
        <v/>
      </c>
      <c r="H63" s="172"/>
      <c r="I63" s="498" t="str">
        <f>IF(G63="","",VLOOKUP(G63,'G-1 All Habitats'!$B$2:$M$129,10,FALSE))</f>
        <v/>
      </c>
      <c r="J63" s="499" t="str">
        <f>IFERROR(VLOOKUP(I63,'G-1 All Habitats'!$V$3:$W$7,2,FALSE),"")</f>
        <v/>
      </c>
      <c r="K63" s="145"/>
      <c r="L63" s="499" t="str">
        <f>IFERROR(INDEX('G-8 Condition Look up'!$A$3:$H$130,MATCH(G63,'G-8 Condition Look up'!$A$3:$A$130,0),MATCH(K63,'G-8 Condition Look up'!$A$3:$H$3,0)),"")</f>
        <v/>
      </c>
      <c r="M63" s="154"/>
      <c r="N63" s="520" t="str">
        <f>IF(M63="","",IF(VLOOKUP(M63,'G-3 Multipliers'!$L$3:$N$6,2,FALSE)=0,"Spatial Data Missing ⚠",VLOOKUP(M63,'G-3 Multipliers'!$L$3:$N$6,2,FALSE)))</f>
        <v/>
      </c>
      <c r="O63" s="524" t="str">
        <f>IF(M63="","",IF(VLOOKUP(M63,'G-3 Multipliers'!$L$3:$N$6,3,FALSE)=0,"Spatial Data Missing ⚠",VLOOKUP(M63,'G-3 Multipliers'!$L$3:$N$6,3,FALSE)))</f>
        <v/>
      </c>
      <c r="P63" s="506" t="str">
        <f>IFERROR(VLOOKUP(G63,'G-1 All Habitats'!$B$2:$M$129,12,FALSE),"")</f>
        <v/>
      </c>
      <c r="Q63" s="513" t="str">
        <f>IFERROR(IF(P63="","",IF(AND(P63='G-1 All Habitats'!$X$3,T63&gt;0),U63+V63,IF(AND(P63='G-1 All Habitats'!$X$3,S63&gt;0),U63+V63,IF(AND(P63='G-1 All Habitats'!$X$3,AC63&gt;0),"Any Loss Unacceptable",IF(AND(P63='G-1 All Habitats'!$X$3,W63&gt;0),"Any Loss Unacceptable",H63*J63*L63*O63))))),"Check Data ⚠")</f>
        <v/>
      </c>
      <c r="R63" s="50"/>
      <c r="S63" s="71"/>
      <c r="T63" s="72"/>
      <c r="U63" s="511" t="str">
        <f t="shared" si="2"/>
        <v/>
      </c>
      <c r="V63" s="511" t="str">
        <f t="shared" si="3"/>
        <v/>
      </c>
      <c r="W63" s="511" t="str">
        <f>IF(E63="","",IF(H63&lt;S63+T63,"Error in Areas ▲",IF(P63&lt;&gt;'G-1 All Habitats'!$X$3,H63-S63-T63,IF(AND(P63='G-1 All Habitats'!$X$3,Y63="Yes"),"Unacceptable Loss ▲",IF(AND(P63='G-1 All Habitats'!$X$3,Y63="No"),AC63,IF(AND(P63='G-1 All Habitats'!$X$3,Y63=""),AC63,IF(AND(P63='G-1 All Habitats'!$X$3,AC63="None",AC63),IF(AND(P63='G-1 All Habitats'!$X$3,AC63&gt;0),H63-S63-T63))))))))</f>
        <v/>
      </c>
      <c r="X63" s="545" t="str">
        <f>IFERROR(IF(H63="","",IF(H63-S63-T63=0&lt;0,"Error in Areas ▲",IF(S63+T63&gt;H63,"Error in Areas ▲",IF(AND(P63='G-1 All Habitats'!$X$3,Y63="Yes"),"Alternative Compensation",IF(W63=0,0,IF(P63='G-1 All Habitats'!$X$3,"Unacceptable Loss",Q63-U63-V63)))))),"Check Data ⚠")</f>
        <v/>
      </c>
      <c r="Y63" s="72"/>
      <c r="Z63" s="151"/>
      <c r="AA63" s="152"/>
      <c r="AC63" s="251" t="str">
        <f>IF(P63="","",IF(P63='G-1 All Habitats'!$X$3,H63-S63-T63,"None"))</f>
        <v/>
      </c>
      <c r="AD63" s="252" t="str">
        <f t="shared" si="4"/>
        <v/>
      </c>
      <c r="AF63" s="156" t="str">
        <f t="shared" si="0"/>
        <v/>
      </c>
      <c r="AG63" s="156" t="str">
        <f t="shared" si="1"/>
        <v/>
      </c>
      <c r="AH63" s="156" t="str">
        <f>IF(I63="","",IF(#REF!&gt;0,TRUE,FALSE))</f>
        <v/>
      </c>
      <c r="AI63" s="156">
        <v>53</v>
      </c>
      <c r="AJ63" s="156"/>
      <c r="AK63" s="156" t="str">
        <f t="array" ref="AK63">IFERROR(INDEX($AI$11:$AI$259, MATCH(0, IF(TRUE=$AF$11:$AF$259, COUNTIF($AK$10:$AK62, $AI$11:$AI$259), ""), 0)),"")</f>
        <v/>
      </c>
      <c r="AL63" s="156" t="str">
        <f t="array" ref="AL63">IFERROR(INDEX($AI$11:$AI$259, MATCH(0, IF(TRUE=$AG$11:$AG$259, COUNTIF($AL$10:$AL62, $AI$11:$AI$259), ""), 0)),"")</f>
        <v/>
      </c>
      <c r="AM63" s="156" t="str">
        <f t="array" ref="AM63">IFERROR(INDEX($AI$11:$AI$259, MATCH(0, IF(TRUE=$AH$11:$AH$259, COUNTIF($AM$10:$AM62, $AI$11:$AI$259), ""), 0)),"")</f>
        <v/>
      </c>
      <c r="AQ63" s="31">
        <f t="shared" si="5"/>
        <v>0</v>
      </c>
    </row>
    <row r="64" spans="1:43" x14ac:dyDescent="0.3">
      <c r="A64" s="31" t="str">
        <f>IFERROR(INDEX('G-1 All Habitats'!$AG$3:$AG$15,MATCH(E64,'G-1 All Habitats'!$AF$3:$AF$15,0)),"")</f>
        <v/>
      </c>
      <c r="B64" s="31" t="str">
        <f>IFERROR(INDEX('G-8 Condition Look up'!$I$4:$I$130,MATCH(G64,'G-8 Condition Look up'!$A$4:$A$130,0)),"")</f>
        <v/>
      </c>
      <c r="D64" s="141">
        <v>54</v>
      </c>
      <c r="E64" s="203"/>
      <c r="F64" s="203"/>
      <c r="G64" s="250" t="str">
        <f>IFERROR(INDEX('G-1 All Habitats'!$B$3:$B$129,MATCH(F64,'G-1 All Habitats'!$A$3:$A$129,0)),"")</f>
        <v/>
      </c>
      <c r="H64" s="172"/>
      <c r="I64" s="498" t="str">
        <f>IF(G64="","",VLOOKUP(G64,'G-1 All Habitats'!$B$2:$M$129,10,FALSE))</f>
        <v/>
      </c>
      <c r="J64" s="499" t="str">
        <f>IFERROR(VLOOKUP(I64,'G-1 All Habitats'!$V$3:$W$7,2,FALSE),"")</f>
        <v/>
      </c>
      <c r="K64" s="145"/>
      <c r="L64" s="499" t="str">
        <f>IFERROR(INDEX('G-8 Condition Look up'!$A$3:$H$130,MATCH(G64,'G-8 Condition Look up'!$A$3:$A$130,0),MATCH(K64,'G-8 Condition Look up'!$A$3:$H$3,0)),"")</f>
        <v/>
      </c>
      <c r="M64" s="154"/>
      <c r="N64" s="520" t="str">
        <f>IF(M64="","",IF(VLOOKUP(M64,'G-3 Multipliers'!$L$3:$N$6,2,FALSE)=0,"Spatial Data Missing ⚠",VLOOKUP(M64,'G-3 Multipliers'!$L$3:$N$6,2,FALSE)))</f>
        <v/>
      </c>
      <c r="O64" s="524" t="str">
        <f>IF(M64="","",IF(VLOOKUP(M64,'G-3 Multipliers'!$L$3:$N$6,3,FALSE)=0,"Spatial Data Missing ⚠",VLOOKUP(M64,'G-3 Multipliers'!$L$3:$N$6,3,FALSE)))</f>
        <v/>
      </c>
      <c r="P64" s="506" t="str">
        <f>IFERROR(VLOOKUP(G64,'G-1 All Habitats'!$B$2:$M$129,12,FALSE),"")</f>
        <v/>
      </c>
      <c r="Q64" s="513" t="str">
        <f>IFERROR(IF(P64="","",IF(AND(P64='G-1 All Habitats'!$X$3,T64&gt;0),U64+V64,IF(AND(P64='G-1 All Habitats'!$X$3,S64&gt;0),U64+V64,IF(AND(P64='G-1 All Habitats'!$X$3,AC64&gt;0),"Any Loss Unacceptable",IF(AND(P64='G-1 All Habitats'!$X$3,W64&gt;0),"Any Loss Unacceptable",H64*J64*L64*O64))))),"Check Data ⚠")</f>
        <v/>
      </c>
      <c r="R64" s="50"/>
      <c r="S64" s="71"/>
      <c r="T64" s="72"/>
      <c r="U64" s="511" t="str">
        <f t="shared" si="2"/>
        <v/>
      </c>
      <c r="V64" s="511" t="str">
        <f t="shared" si="3"/>
        <v/>
      </c>
      <c r="W64" s="511" t="str">
        <f>IF(E64="","",IF(H64&lt;S64+T64,"Error in Areas ▲",IF(P64&lt;&gt;'G-1 All Habitats'!$X$3,H64-S64-T64,IF(AND(P64='G-1 All Habitats'!$X$3,Y64="Yes"),"Unacceptable Loss ▲",IF(AND(P64='G-1 All Habitats'!$X$3,Y64="No"),AC64,IF(AND(P64='G-1 All Habitats'!$X$3,Y64=""),AC64,IF(AND(P64='G-1 All Habitats'!$X$3,AC64="None",AC64),IF(AND(P64='G-1 All Habitats'!$X$3,AC64&gt;0),H64-S64-T64))))))))</f>
        <v/>
      </c>
      <c r="X64" s="545" t="str">
        <f>IFERROR(IF(H64="","",IF(H64-S64-T64=0&lt;0,"Error in Areas ▲",IF(S64+T64&gt;H64,"Error in Areas ▲",IF(AND(P64='G-1 All Habitats'!$X$3,Y64="Yes"),"Alternative Compensation",IF(W64=0,0,IF(P64='G-1 All Habitats'!$X$3,"Unacceptable Loss",Q64-U64-V64)))))),"Check Data ⚠")</f>
        <v/>
      </c>
      <c r="Y64" s="72"/>
      <c r="Z64" s="151"/>
      <c r="AA64" s="152"/>
      <c r="AC64" s="251" t="str">
        <f>IF(P64="","",IF(P64='G-1 All Habitats'!$X$3,H64-S64-T64,"None"))</f>
        <v/>
      </c>
      <c r="AD64" s="252" t="str">
        <f t="shared" si="4"/>
        <v/>
      </c>
      <c r="AF64" s="156" t="str">
        <f t="shared" si="0"/>
        <v/>
      </c>
      <c r="AG64" s="156" t="str">
        <f t="shared" si="1"/>
        <v/>
      </c>
      <c r="AH64" s="156" t="str">
        <f>IF(I64="","",IF(#REF!&gt;0,TRUE,FALSE))</f>
        <v/>
      </c>
      <c r="AI64" s="156">
        <v>54</v>
      </c>
      <c r="AJ64" s="156"/>
      <c r="AK64" s="156" t="str">
        <f t="array" ref="AK64">IFERROR(INDEX($AI$11:$AI$259, MATCH(0, IF(TRUE=$AF$11:$AF$259, COUNTIF($AK$10:$AK63, $AI$11:$AI$259), ""), 0)),"")</f>
        <v/>
      </c>
      <c r="AL64" s="156" t="str">
        <f t="array" ref="AL64">IFERROR(INDEX($AI$11:$AI$259, MATCH(0, IF(TRUE=$AG$11:$AG$259, COUNTIF($AL$10:$AL63, $AI$11:$AI$259), ""), 0)),"")</f>
        <v/>
      </c>
      <c r="AM64" s="156" t="str">
        <f t="array" ref="AM64">IFERROR(INDEX($AI$11:$AI$259, MATCH(0, IF(TRUE=$AH$11:$AH$259, COUNTIF($AM$10:$AM63, $AI$11:$AI$259), ""), 0)),"")</f>
        <v/>
      </c>
      <c r="AQ64" s="31">
        <f t="shared" si="5"/>
        <v>0</v>
      </c>
    </row>
    <row r="65" spans="1:43" x14ac:dyDescent="0.3">
      <c r="A65" s="31" t="str">
        <f>IFERROR(INDEX('G-1 All Habitats'!$AG$3:$AG$15,MATCH(E65,'G-1 All Habitats'!$AF$3:$AF$15,0)),"")</f>
        <v/>
      </c>
      <c r="B65" s="31" t="str">
        <f>IFERROR(INDEX('G-8 Condition Look up'!$I$4:$I$130,MATCH(G65,'G-8 Condition Look up'!$A$4:$A$130,0)),"")</f>
        <v/>
      </c>
      <c r="D65" s="141">
        <v>55</v>
      </c>
      <c r="E65" s="203"/>
      <c r="F65" s="203"/>
      <c r="G65" s="250" t="str">
        <f>IFERROR(INDEX('G-1 All Habitats'!$B$3:$B$129,MATCH(F65,'G-1 All Habitats'!$A$3:$A$129,0)),"")</f>
        <v/>
      </c>
      <c r="H65" s="172"/>
      <c r="I65" s="498" t="str">
        <f>IF(G65="","",VLOOKUP(G65,'G-1 All Habitats'!$B$2:$M$129,10,FALSE))</f>
        <v/>
      </c>
      <c r="J65" s="499" t="str">
        <f>IFERROR(VLOOKUP(I65,'G-1 All Habitats'!$V$3:$W$7,2,FALSE),"")</f>
        <v/>
      </c>
      <c r="K65" s="145"/>
      <c r="L65" s="499" t="str">
        <f>IFERROR(INDEX('G-8 Condition Look up'!$A$3:$H$130,MATCH(G65,'G-8 Condition Look up'!$A$3:$A$130,0),MATCH(K65,'G-8 Condition Look up'!$A$3:$H$3,0)),"")</f>
        <v/>
      </c>
      <c r="M65" s="154"/>
      <c r="N65" s="520" t="str">
        <f>IF(M65="","",IF(VLOOKUP(M65,'G-3 Multipliers'!$L$3:$N$6,2,FALSE)=0,"Spatial Data Missing ⚠",VLOOKUP(M65,'G-3 Multipliers'!$L$3:$N$6,2,FALSE)))</f>
        <v/>
      </c>
      <c r="O65" s="524" t="str">
        <f>IF(M65="","",IF(VLOOKUP(M65,'G-3 Multipliers'!$L$3:$N$6,3,FALSE)=0,"Spatial Data Missing ⚠",VLOOKUP(M65,'G-3 Multipliers'!$L$3:$N$6,3,FALSE)))</f>
        <v/>
      </c>
      <c r="P65" s="506" t="str">
        <f>IFERROR(VLOOKUP(G65,'G-1 All Habitats'!$B$2:$M$129,12,FALSE),"")</f>
        <v/>
      </c>
      <c r="Q65" s="513" t="str">
        <f>IFERROR(IF(P65="","",IF(AND(P65='G-1 All Habitats'!$X$3,T65&gt;0),U65+V65,IF(AND(P65='G-1 All Habitats'!$X$3,S65&gt;0),U65+V65,IF(AND(P65='G-1 All Habitats'!$X$3,AC65&gt;0),"Any Loss Unacceptable",IF(AND(P65='G-1 All Habitats'!$X$3,W65&gt;0),"Any Loss Unacceptable",H65*J65*L65*O65))))),"Check Data ⚠")</f>
        <v/>
      </c>
      <c r="R65" s="50"/>
      <c r="S65" s="71"/>
      <c r="T65" s="72"/>
      <c r="U65" s="511" t="str">
        <f t="shared" si="2"/>
        <v/>
      </c>
      <c r="V65" s="511" t="str">
        <f t="shared" si="3"/>
        <v/>
      </c>
      <c r="W65" s="511" t="str">
        <f>IF(E65="","",IF(H65&lt;S65+T65,"Error in Areas ▲",IF(P65&lt;&gt;'G-1 All Habitats'!$X$3,H65-S65-T65,IF(AND(P65='G-1 All Habitats'!$X$3,Y65="Yes"),"Unacceptable Loss ▲",IF(AND(P65='G-1 All Habitats'!$X$3,Y65="No"),AC65,IF(AND(P65='G-1 All Habitats'!$X$3,Y65=""),AC65,IF(AND(P65='G-1 All Habitats'!$X$3,AC65="None",AC65),IF(AND(P65='G-1 All Habitats'!$X$3,AC65&gt;0),H65-S65-T65))))))))</f>
        <v/>
      </c>
      <c r="X65" s="545" t="str">
        <f>IFERROR(IF(H65="","",IF(H65-S65-T65=0&lt;0,"Error in Areas ▲",IF(S65+T65&gt;H65,"Error in Areas ▲",IF(AND(P65='G-1 All Habitats'!$X$3,Y65="Yes"),"Alternative Compensation",IF(W65=0,0,IF(P65='G-1 All Habitats'!$X$3,"Unacceptable Loss",Q65-U65-V65)))))),"Check Data ⚠")</f>
        <v/>
      </c>
      <c r="Y65" s="72"/>
      <c r="Z65" s="151"/>
      <c r="AA65" s="152"/>
      <c r="AC65" s="251" t="str">
        <f>IF(P65="","",IF(P65='G-1 All Habitats'!$X$3,H65-S65-T65,"None"))</f>
        <v/>
      </c>
      <c r="AD65" s="252" t="str">
        <f t="shared" si="4"/>
        <v/>
      </c>
      <c r="AF65" s="156" t="str">
        <f t="shared" si="0"/>
        <v/>
      </c>
      <c r="AG65" s="156" t="str">
        <f t="shared" si="1"/>
        <v/>
      </c>
      <c r="AH65" s="156" t="str">
        <f>IF(I65="","",IF(#REF!&gt;0,TRUE,FALSE))</f>
        <v/>
      </c>
      <c r="AI65" s="156">
        <v>55</v>
      </c>
      <c r="AJ65" s="156"/>
      <c r="AK65" s="156" t="str">
        <f t="array" ref="AK65">IFERROR(INDEX($AI$11:$AI$259, MATCH(0, IF(TRUE=$AF$11:$AF$259, COUNTIF($AK$10:$AK64, $AI$11:$AI$259), ""), 0)),"")</f>
        <v/>
      </c>
      <c r="AL65" s="156" t="str">
        <f t="array" ref="AL65">IFERROR(INDEX($AI$11:$AI$259, MATCH(0, IF(TRUE=$AG$11:$AG$259, COUNTIF($AL$10:$AL64, $AI$11:$AI$259), ""), 0)),"")</f>
        <v/>
      </c>
      <c r="AM65" s="156" t="str">
        <f t="array" ref="AM65">IFERROR(INDEX($AI$11:$AI$259, MATCH(0, IF(TRUE=$AH$11:$AH$259, COUNTIF($AM$10:$AM64, $AI$11:$AI$259), ""), 0)),"")</f>
        <v/>
      </c>
      <c r="AQ65" s="31">
        <f t="shared" si="5"/>
        <v>0</v>
      </c>
    </row>
    <row r="66" spans="1:43" x14ac:dyDescent="0.3">
      <c r="A66" s="31" t="str">
        <f>IFERROR(INDEX('G-1 All Habitats'!$AG$3:$AG$15,MATCH(E66,'G-1 All Habitats'!$AF$3:$AF$15,0)),"")</f>
        <v/>
      </c>
      <c r="B66" s="31" t="str">
        <f>IFERROR(INDEX('G-8 Condition Look up'!$I$4:$I$130,MATCH(G66,'G-8 Condition Look up'!$A$4:$A$130,0)),"")</f>
        <v/>
      </c>
      <c r="D66" s="141">
        <v>56</v>
      </c>
      <c r="E66" s="203"/>
      <c r="F66" s="203"/>
      <c r="G66" s="250" t="str">
        <f>IFERROR(INDEX('G-1 All Habitats'!$B$3:$B$129,MATCH(F66,'G-1 All Habitats'!$A$3:$A$129,0)),"")</f>
        <v/>
      </c>
      <c r="H66" s="172"/>
      <c r="I66" s="498" t="str">
        <f>IF(G66="","",VLOOKUP(G66,'G-1 All Habitats'!$B$2:$M$129,10,FALSE))</f>
        <v/>
      </c>
      <c r="J66" s="499" t="str">
        <f>IFERROR(VLOOKUP(I66,'G-1 All Habitats'!$V$3:$W$7,2,FALSE),"")</f>
        <v/>
      </c>
      <c r="K66" s="145"/>
      <c r="L66" s="499" t="str">
        <f>IFERROR(INDEX('G-8 Condition Look up'!$A$3:$H$130,MATCH(G66,'G-8 Condition Look up'!$A$3:$A$130,0),MATCH(K66,'G-8 Condition Look up'!$A$3:$H$3,0)),"")</f>
        <v/>
      </c>
      <c r="M66" s="154"/>
      <c r="N66" s="520" t="str">
        <f>IF(M66="","",IF(VLOOKUP(M66,'G-3 Multipliers'!$L$3:$N$6,2,FALSE)=0,"Spatial Data Missing ⚠",VLOOKUP(M66,'G-3 Multipliers'!$L$3:$N$6,2,FALSE)))</f>
        <v/>
      </c>
      <c r="O66" s="524" t="str">
        <f>IF(M66="","",IF(VLOOKUP(M66,'G-3 Multipliers'!$L$3:$N$6,3,FALSE)=0,"Spatial Data Missing ⚠",VLOOKUP(M66,'G-3 Multipliers'!$L$3:$N$6,3,FALSE)))</f>
        <v/>
      </c>
      <c r="P66" s="506" t="str">
        <f>IFERROR(VLOOKUP(G66,'G-1 All Habitats'!$B$2:$M$129,12,FALSE),"")</f>
        <v/>
      </c>
      <c r="Q66" s="513" t="str">
        <f>IFERROR(IF(P66="","",IF(AND(P66='G-1 All Habitats'!$X$3,T66&gt;0),U66+V66,IF(AND(P66='G-1 All Habitats'!$X$3,S66&gt;0),U66+V66,IF(AND(P66='G-1 All Habitats'!$X$3,AC66&gt;0),"Any Loss Unacceptable",IF(AND(P66='G-1 All Habitats'!$X$3,W66&gt;0),"Any Loss Unacceptable",H66*J66*L66*O66))))),"Check Data ⚠")</f>
        <v/>
      </c>
      <c r="R66" s="50"/>
      <c r="S66" s="71"/>
      <c r="T66" s="72"/>
      <c r="U66" s="511" t="str">
        <f t="shared" si="2"/>
        <v/>
      </c>
      <c r="V66" s="511" t="str">
        <f t="shared" si="3"/>
        <v/>
      </c>
      <c r="W66" s="511" t="str">
        <f>IF(E66="","",IF(H66&lt;S66+T66,"Error in Areas ▲",IF(P66&lt;&gt;'G-1 All Habitats'!$X$3,H66-S66-T66,IF(AND(P66='G-1 All Habitats'!$X$3,Y66="Yes"),"Unacceptable Loss ▲",IF(AND(P66='G-1 All Habitats'!$X$3,Y66="No"),AC66,IF(AND(P66='G-1 All Habitats'!$X$3,Y66=""),AC66,IF(AND(P66='G-1 All Habitats'!$X$3,AC66="None",AC66),IF(AND(P66='G-1 All Habitats'!$X$3,AC66&gt;0),H66-S66-T66))))))))</f>
        <v/>
      </c>
      <c r="X66" s="545" t="str">
        <f>IFERROR(IF(H66="","",IF(H66-S66-T66=0&lt;0,"Error in Areas ▲",IF(S66+T66&gt;H66,"Error in Areas ▲",IF(AND(P66='G-1 All Habitats'!$X$3,Y66="Yes"),"Alternative Compensation",IF(W66=0,0,IF(P66='G-1 All Habitats'!$X$3,"Unacceptable Loss",Q66-U66-V66)))))),"Check Data ⚠")</f>
        <v/>
      </c>
      <c r="Y66" s="72"/>
      <c r="Z66" s="151"/>
      <c r="AA66" s="152"/>
      <c r="AC66" s="251" t="str">
        <f>IF(P66="","",IF(P66='G-1 All Habitats'!$X$3,H66-S66-T66,"None"))</f>
        <v/>
      </c>
      <c r="AD66" s="252" t="str">
        <f t="shared" si="4"/>
        <v/>
      </c>
      <c r="AF66" s="156" t="str">
        <f t="shared" si="0"/>
        <v/>
      </c>
      <c r="AG66" s="156" t="str">
        <f t="shared" si="1"/>
        <v/>
      </c>
      <c r="AH66" s="156" t="str">
        <f>IF(I66="","",IF(#REF!&gt;0,TRUE,FALSE))</f>
        <v/>
      </c>
      <c r="AI66" s="156">
        <v>56</v>
      </c>
      <c r="AJ66" s="156"/>
      <c r="AK66" s="156" t="str">
        <f t="array" ref="AK66">IFERROR(INDEX($AI$11:$AI$259, MATCH(0, IF(TRUE=$AF$11:$AF$259, COUNTIF($AK$10:$AK65, $AI$11:$AI$259), ""), 0)),"")</f>
        <v/>
      </c>
      <c r="AL66" s="156" t="str">
        <f t="array" ref="AL66">IFERROR(INDEX($AI$11:$AI$259, MATCH(0, IF(TRUE=$AG$11:$AG$259, COUNTIF($AL$10:$AL65, $AI$11:$AI$259), ""), 0)),"")</f>
        <v/>
      </c>
      <c r="AM66" s="156" t="str">
        <f t="array" ref="AM66">IFERROR(INDEX($AI$11:$AI$259, MATCH(0, IF(TRUE=$AH$11:$AH$259, COUNTIF($AM$10:$AM65, $AI$11:$AI$259), ""), 0)),"")</f>
        <v/>
      </c>
      <c r="AQ66" s="31">
        <f t="shared" si="5"/>
        <v>0</v>
      </c>
    </row>
    <row r="67" spans="1:43" x14ac:dyDescent="0.3">
      <c r="A67" s="31" t="str">
        <f>IFERROR(INDEX('G-1 All Habitats'!$AG$3:$AG$15,MATCH(E67,'G-1 All Habitats'!$AF$3:$AF$15,0)),"")</f>
        <v/>
      </c>
      <c r="B67" s="31" t="str">
        <f>IFERROR(INDEX('G-8 Condition Look up'!$I$4:$I$130,MATCH(G67,'G-8 Condition Look up'!$A$4:$A$130,0)),"")</f>
        <v/>
      </c>
      <c r="D67" s="141">
        <v>57</v>
      </c>
      <c r="E67" s="203"/>
      <c r="F67" s="203"/>
      <c r="G67" s="250" t="str">
        <f>IFERROR(INDEX('G-1 All Habitats'!$B$3:$B$129,MATCH(F67,'G-1 All Habitats'!$A$3:$A$129,0)),"")</f>
        <v/>
      </c>
      <c r="H67" s="172"/>
      <c r="I67" s="498" t="str">
        <f>IF(G67="","",VLOOKUP(G67,'G-1 All Habitats'!$B$2:$M$129,10,FALSE))</f>
        <v/>
      </c>
      <c r="J67" s="499" t="str">
        <f>IFERROR(VLOOKUP(I67,'G-1 All Habitats'!$V$3:$W$7,2,FALSE),"")</f>
        <v/>
      </c>
      <c r="K67" s="145"/>
      <c r="L67" s="499" t="str">
        <f>IFERROR(INDEX('G-8 Condition Look up'!$A$3:$H$130,MATCH(G67,'G-8 Condition Look up'!$A$3:$A$130,0),MATCH(K67,'G-8 Condition Look up'!$A$3:$H$3,0)),"")</f>
        <v/>
      </c>
      <c r="M67" s="154"/>
      <c r="N67" s="520" t="str">
        <f>IF(M67="","",IF(VLOOKUP(M67,'G-3 Multipliers'!$L$3:$N$6,2,FALSE)=0,"Spatial Data Missing ⚠",VLOOKUP(M67,'G-3 Multipliers'!$L$3:$N$6,2,FALSE)))</f>
        <v/>
      </c>
      <c r="O67" s="524" t="str">
        <f>IF(M67="","",IF(VLOOKUP(M67,'G-3 Multipliers'!$L$3:$N$6,3,FALSE)=0,"Spatial Data Missing ⚠",VLOOKUP(M67,'G-3 Multipliers'!$L$3:$N$6,3,FALSE)))</f>
        <v/>
      </c>
      <c r="P67" s="506" t="str">
        <f>IFERROR(VLOOKUP(G67,'G-1 All Habitats'!$B$2:$M$129,12,FALSE),"")</f>
        <v/>
      </c>
      <c r="Q67" s="513" t="str">
        <f>IFERROR(IF(P67="","",IF(AND(P67='G-1 All Habitats'!$X$3,T67&gt;0),U67+V67,IF(AND(P67='G-1 All Habitats'!$X$3,S67&gt;0),U67+V67,IF(AND(P67='G-1 All Habitats'!$X$3,AC67&gt;0),"Any Loss Unacceptable",IF(AND(P67='G-1 All Habitats'!$X$3,W67&gt;0),"Any Loss Unacceptable",H67*J67*L67*O67))))),"Check Data ⚠")</f>
        <v/>
      </c>
      <c r="R67" s="50"/>
      <c r="S67" s="71"/>
      <c r="T67" s="72"/>
      <c r="U67" s="511" t="str">
        <f t="shared" si="2"/>
        <v/>
      </c>
      <c r="V67" s="511" t="str">
        <f t="shared" si="3"/>
        <v/>
      </c>
      <c r="W67" s="511" t="str">
        <f>IF(E67="","",IF(H67&lt;S67+T67,"Error in Areas ▲",IF(P67&lt;&gt;'G-1 All Habitats'!$X$3,H67-S67-T67,IF(AND(P67='G-1 All Habitats'!$X$3,Y67="Yes"),"Unacceptable Loss ▲",IF(AND(P67='G-1 All Habitats'!$X$3,Y67="No"),AC67,IF(AND(P67='G-1 All Habitats'!$X$3,Y67=""),AC67,IF(AND(P67='G-1 All Habitats'!$X$3,AC67="None",AC67),IF(AND(P67='G-1 All Habitats'!$X$3,AC67&gt;0),H67-S67-T67))))))))</f>
        <v/>
      </c>
      <c r="X67" s="545" t="str">
        <f>IFERROR(IF(H67="","",IF(H67-S67-T67=0&lt;0,"Error in Areas ▲",IF(S67+T67&gt;H67,"Error in Areas ▲",IF(AND(P67='G-1 All Habitats'!$X$3,Y67="Yes"),"Alternative Compensation",IF(W67=0,0,IF(P67='G-1 All Habitats'!$X$3,"Unacceptable Loss",Q67-U67-V67)))))),"Check Data ⚠")</f>
        <v/>
      </c>
      <c r="Y67" s="72"/>
      <c r="Z67" s="151"/>
      <c r="AA67" s="152"/>
      <c r="AC67" s="251" t="str">
        <f>IF(P67="","",IF(P67='G-1 All Habitats'!$X$3,H67-S67-T67,"None"))</f>
        <v/>
      </c>
      <c r="AD67" s="252" t="str">
        <f t="shared" si="4"/>
        <v/>
      </c>
      <c r="AF67" s="156" t="str">
        <f t="shared" si="0"/>
        <v/>
      </c>
      <c r="AG67" s="156" t="str">
        <f t="shared" si="1"/>
        <v/>
      </c>
      <c r="AH67" s="156" t="str">
        <f>IF(I67="","",IF(#REF!&gt;0,TRUE,FALSE))</f>
        <v/>
      </c>
      <c r="AI67" s="156">
        <v>57</v>
      </c>
      <c r="AJ67" s="156"/>
      <c r="AK67" s="156" t="str">
        <f t="array" ref="AK67">IFERROR(INDEX($AI$11:$AI$259, MATCH(0, IF(TRUE=$AF$11:$AF$259, COUNTIF($AK$10:$AK66, $AI$11:$AI$259), ""), 0)),"")</f>
        <v/>
      </c>
      <c r="AL67" s="156" t="str">
        <f t="array" ref="AL67">IFERROR(INDEX($AI$11:$AI$259, MATCH(0, IF(TRUE=$AG$11:$AG$259, COUNTIF($AL$10:$AL66, $AI$11:$AI$259), ""), 0)),"")</f>
        <v/>
      </c>
      <c r="AM67" s="156" t="str">
        <f t="array" ref="AM67">IFERROR(INDEX($AI$11:$AI$259, MATCH(0, IF(TRUE=$AH$11:$AH$259, COUNTIF($AM$10:$AM66, $AI$11:$AI$259), ""), 0)),"")</f>
        <v/>
      </c>
      <c r="AQ67" s="31">
        <f t="shared" si="5"/>
        <v>0</v>
      </c>
    </row>
    <row r="68" spans="1:43" x14ac:dyDescent="0.3">
      <c r="A68" s="31" t="str">
        <f>IFERROR(INDEX('G-1 All Habitats'!$AG$3:$AG$15,MATCH(E68,'G-1 All Habitats'!$AF$3:$AF$15,0)),"")</f>
        <v/>
      </c>
      <c r="B68" s="31" t="str">
        <f>IFERROR(INDEX('G-8 Condition Look up'!$I$4:$I$130,MATCH(G68,'G-8 Condition Look up'!$A$4:$A$130,0)),"")</f>
        <v/>
      </c>
      <c r="D68" s="141">
        <v>58</v>
      </c>
      <c r="E68" s="203"/>
      <c r="F68" s="203"/>
      <c r="G68" s="250" t="str">
        <f>IFERROR(INDEX('G-1 All Habitats'!$B$3:$B$129,MATCH(F68,'G-1 All Habitats'!$A$3:$A$129,0)),"")</f>
        <v/>
      </c>
      <c r="H68" s="172"/>
      <c r="I68" s="498" t="str">
        <f>IF(G68="","",VLOOKUP(G68,'G-1 All Habitats'!$B$2:$M$129,10,FALSE))</f>
        <v/>
      </c>
      <c r="J68" s="499" t="str">
        <f>IFERROR(VLOOKUP(I68,'G-1 All Habitats'!$V$3:$W$7,2,FALSE),"")</f>
        <v/>
      </c>
      <c r="K68" s="145"/>
      <c r="L68" s="499" t="str">
        <f>IFERROR(INDEX('G-8 Condition Look up'!$A$3:$H$130,MATCH(G68,'G-8 Condition Look up'!$A$3:$A$130,0),MATCH(K68,'G-8 Condition Look up'!$A$3:$H$3,0)),"")</f>
        <v/>
      </c>
      <c r="M68" s="154"/>
      <c r="N68" s="520" t="str">
        <f>IF(M68="","",IF(VLOOKUP(M68,'G-3 Multipliers'!$L$3:$N$6,2,FALSE)=0,"Spatial Data Missing ⚠",VLOOKUP(M68,'G-3 Multipliers'!$L$3:$N$6,2,FALSE)))</f>
        <v/>
      </c>
      <c r="O68" s="524" t="str">
        <f>IF(M68="","",IF(VLOOKUP(M68,'G-3 Multipliers'!$L$3:$N$6,3,FALSE)=0,"Spatial Data Missing ⚠",VLOOKUP(M68,'G-3 Multipliers'!$L$3:$N$6,3,FALSE)))</f>
        <v/>
      </c>
      <c r="P68" s="506" t="str">
        <f>IFERROR(VLOOKUP(G68,'G-1 All Habitats'!$B$2:$M$129,12,FALSE),"")</f>
        <v/>
      </c>
      <c r="Q68" s="513" t="str">
        <f>IFERROR(IF(P68="","",IF(AND(P68='G-1 All Habitats'!$X$3,T68&gt;0),U68+V68,IF(AND(P68='G-1 All Habitats'!$X$3,S68&gt;0),U68+V68,IF(AND(P68='G-1 All Habitats'!$X$3,AC68&gt;0),"Any Loss Unacceptable",IF(AND(P68='G-1 All Habitats'!$X$3,W68&gt;0),"Any Loss Unacceptable",H68*J68*L68*O68))))),"Check Data ⚠")</f>
        <v/>
      </c>
      <c r="R68" s="50"/>
      <c r="S68" s="71"/>
      <c r="T68" s="72"/>
      <c r="U68" s="511" t="str">
        <f t="shared" si="2"/>
        <v/>
      </c>
      <c r="V68" s="511" t="str">
        <f t="shared" si="3"/>
        <v/>
      </c>
      <c r="W68" s="511" t="str">
        <f>IF(E68="","",IF(H68&lt;S68+T68,"Error in Areas ▲",IF(P68&lt;&gt;'G-1 All Habitats'!$X$3,H68-S68-T68,IF(AND(P68='G-1 All Habitats'!$X$3,Y68="Yes"),"Unacceptable Loss ▲",IF(AND(P68='G-1 All Habitats'!$X$3,Y68="No"),AC68,IF(AND(P68='G-1 All Habitats'!$X$3,Y68=""),AC68,IF(AND(P68='G-1 All Habitats'!$X$3,AC68="None",AC68),IF(AND(P68='G-1 All Habitats'!$X$3,AC68&gt;0),H68-S68-T68))))))))</f>
        <v/>
      </c>
      <c r="X68" s="545" t="str">
        <f>IFERROR(IF(H68="","",IF(H68-S68-T68=0&lt;0,"Error in Areas ▲",IF(S68+T68&gt;H68,"Error in Areas ▲",IF(AND(P68='G-1 All Habitats'!$X$3,Y68="Yes"),"Alternative Compensation",IF(W68=0,0,IF(P68='G-1 All Habitats'!$X$3,"Unacceptable Loss",Q68-U68-V68)))))),"Check Data ⚠")</f>
        <v/>
      </c>
      <c r="Y68" s="72"/>
      <c r="Z68" s="151"/>
      <c r="AA68" s="152"/>
      <c r="AC68" s="251" t="str">
        <f>IF(P68="","",IF(P68='G-1 All Habitats'!$X$3,H68-S68-T68,"None"))</f>
        <v/>
      </c>
      <c r="AD68" s="252" t="str">
        <f t="shared" si="4"/>
        <v/>
      </c>
      <c r="AF68" s="156" t="str">
        <f t="shared" si="0"/>
        <v/>
      </c>
      <c r="AG68" s="156" t="str">
        <f t="shared" si="1"/>
        <v/>
      </c>
      <c r="AH68" s="156" t="str">
        <f>IF(I68="","",IF(#REF!&gt;0,TRUE,FALSE))</f>
        <v/>
      </c>
      <c r="AI68" s="156">
        <v>58</v>
      </c>
      <c r="AJ68" s="156"/>
      <c r="AK68" s="156" t="str">
        <f t="array" ref="AK68">IFERROR(INDEX($AI$11:$AI$259, MATCH(0, IF(TRUE=$AF$11:$AF$259, COUNTIF($AK$10:$AK67, $AI$11:$AI$259), ""), 0)),"")</f>
        <v/>
      </c>
      <c r="AL68" s="156" t="str">
        <f t="array" ref="AL68">IFERROR(INDEX($AI$11:$AI$259, MATCH(0, IF(TRUE=$AG$11:$AG$259, COUNTIF($AL$10:$AL67, $AI$11:$AI$259), ""), 0)),"")</f>
        <v/>
      </c>
      <c r="AM68" s="156" t="str">
        <f t="array" ref="AM68">IFERROR(INDEX($AI$11:$AI$259, MATCH(0, IF(TRUE=$AH$11:$AH$259, COUNTIF($AM$10:$AM67, $AI$11:$AI$259), ""), 0)),"")</f>
        <v/>
      </c>
      <c r="AQ68" s="31">
        <f t="shared" si="5"/>
        <v>0</v>
      </c>
    </row>
    <row r="69" spans="1:43" x14ac:dyDescent="0.3">
      <c r="A69" s="31" t="str">
        <f>IFERROR(INDEX('G-1 All Habitats'!$AG$3:$AG$15,MATCH(E69,'G-1 All Habitats'!$AF$3:$AF$15,0)),"")</f>
        <v/>
      </c>
      <c r="B69" s="31" t="str">
        <f>IFERROR(INDEX('G-8 Condition Look up'!$I$4:$I$130,MATCH(G69,'G-8 Condition Look up'!$A$4:$A$130,0)),"")</f>
        <v/>
      </c>
      <c r="D69" s="141">
        <v>59</v>
      </c>
      <c r="E69" s="203"/>
      <c r="F69" s="203"/>
      <c r="G69" s="250" t="str">
        <f>IFERROR(INDEX('G-1 All Habitats'!$B$3:$B$129,MATCH(F69,'G-1 All Habitats'!$A$3:$A$129,0)),"")</f>
        <v/>
      </c>
      <c r="H69" s="172"/>
      <c r="I69" s="498" t="str">
        <f>IF(G69="","",VLOOKUP(G69,'G-1 All Habitats'!$B$2:$M$129,10,FALSE))</f>
        <v/>
      </c>
      <c r="J69" s="499" t="str">
        <f>IFERROR(VLOOKUP(I69,'G-1 All Habitats'!$V$3:$W$7,2,FALSE),"")</f>
        <v/>
      </c>
      <c r="K69" s="145"/>
      <c r="L69" s="499" t="str">
        <f>IFERROR(INDEX('G-8 Condition Look up'!$A$3:$H$130,MATCH(G69,'G-8 Condition Look up'!$A$3:$A$130,0),MATCH(K69,'G-8 Condition Look up'!$A$3:$H$3,0)),"")</f>
        <v/>
      </c>
      <c r="M69" s="154"/>
      <c r="N69" s="520" t="str">
        <f>IF(M69="","",IF(VLOOKUP(M69,'G-3 Multipliers'!$L$3:$N$6,2,FALSE)=0,"Spatial Data Missing ⚠",VLOOKUP(M69,'G-3 Multipliers'!$L$3:$N$6,2,FALSE)))</f>
        <v/>
      </c>
      <c r="O69" s="524" t="str">
        <f>IF(M69="","",IF(VLOOKUP(M69,'G-3 Multipliers'!$L$3:$N$6,3,FALSE)=0,"Spatial Data Missing ⚠",VLOOKUP(M69,'G-3 Multipliers'!$L$3:$N$6,3,FALSE)))</f>
        <v/>
      </c>
      <c r="P69" s="506" t="str">
        <f>IFERROR(VLOOKUP(G69,'G-1 All Habitats'!$B$2:$M$129,12,FALSE),"")</f>
        <v/>
      </c>
      <c r="Q69" s="513" t="str">
        <f>IFERROR(IF(P69="","",IF(AND(P69='G-1 All Habitats'!$X$3,T69&gt;0),U69+V69,IF(AND(P69='G-1 All Habitats'!$X$3,S69&gt;0),U69+V69,IF(AND(P69='G-1 All Habitats'!$X$3,AC69&gt;0),"Any Loss Unacceptable",IF(AND(P69='G-1 All Habitats'!$X$3,W69&gt;0),"Any Loss Unacceptable",H69*J69*L69*O69))))),"Check Data ⚠")</f>
        <v/>
      </c>
      <c r="R69" s="50"/>
      <c r="S69" s="71"/>
      <c r="T69" s="72"/>
      <c r="U69" s="511" t="str">
        <f t="shared" si="2"/>
        <v/>
      </c>
      <c r="V69" s="511" t="str">
        <f t="shared" si="3"/>
        <v/>
      </c>
      <c r="W69" s="511" t="str">
        <f>IF(E69="","",IF(H69&lt;S69+T69,"Error in Areas ▲",IF(P69&lt;&gt;'G-1 All Habitats'!$X$3,H69-S69-T69,IF(AND(P69='G-1 All Habitats'!$X$3,Y69="Yes"),"Unacceptable Loss ▲",IF(AND(P69='G-1 All Habitats'!$X$3,Y69="No"),AC69,IF(AND(P69='G-1 All Habitats'!$X$3,Y69=""),AC69,IF(AND(P69='G-1 All Habitats'!$X$3,AC69="None",AC69),IF(AND(P69='G-1 All Habitats'!$X$3,AC69&gt;0),H69-S69-T69))))))))</f>
        <v/>
      </c>
      <c r="X69" s="545" t="str">
        <f>IFERROR(IF(H69="","",IF(H69-S69-T69=0&lt;0,"Error in Areas ▲",IF(S69+T69&gt;H69,"Error in Areas ▲",IF(AND(P69='G-1 All Habitats'!$X$3,Y69="Yes"),"Alternative Compensation",IF(W69=0,0,IF(P69='G-1 All Habitats'!$X$3,"Unacceptable Loss",Q69-U69-V69)))))),"Check Data ⚠")</f>
        <v/>
      </c>
      <c r="Y69" s="72"/>
      <c r="Z69" s="151"/>
      <c r="AA69" s="152"/>
      <c r="AC69" s="251" t="str">
        <f>IF(P69="","",IF(P69='G-1 All Habitats'!$X$3,H69-S69-T69,"None"))</f>
        <v/>
      </c>
      <c r="AD69" s="252" t="str">
        <f t="shared" si="4"/>
        <v/>
      </c>
      <c r="AF69" s="156" t="str">
        <f t="shared" si="0"/>
        <v/>
      </c>
      <c r="AG69" s="156" t="str">
        <f t="shared" si="1"/>
        <v/>
      </c>
      <c r="AH69" s="156" t="str">
        <f>IF(I69="","",IF(#REF!&gt;0,TRUE,FALSE))</f>
        <v/>
      </c>
      <c r="AI69" s="156">
        <v>59</v>
      </c>
      <c r="AJ69" s="156"/>
      <c r="AK69" s="156" t="str">
        <f t="array" ref="AK69">IFERROR(INDEX($AI$11:$AI$259, MATCH(0, IF(TRUE=$AF$11:$AF$259, COUNTIF($AK$10:$AK68, $AI$11:$AI$259), ""), 0)),"")</f>
        <v/>
      </c>
      <c r="AL69" s="156" t="str">
        <f t="array" ref="AL69">IFERROR(INDEX($AI$11:$AI$259, MATCH(0, IF(TRUE=$AG$11:$AG$259, COUNTIF($AL$10:$AL68, $AI$11:$AI$259), ""), 0)),"")</f>
        <v/>
      </c>
      <c r="AM69" s="156" t="str">
        <f t="array" ref="AM69">IFERROR(INDEX($AI$11:$AI$259, MATCH(0, IF(TRUE=$AH$11:$AH$259, COUNTIF($AM$10:$AM68, $AI$11:$AI$259), ""), 0)),"")</f>
        <v/>
      </c>
      <c r="AQ69" s="31">
        <f t="shared" si="5"/>
        <v>0</v>
      </c>
    </row>
    <row r="70" spans="1:43" x14ac:dyDescent="0.3">
      <c r="A70" s="31" t="str">
        <f>IFERROR(INDEX('G-1 All Habitats'!$AG$3:$AG$15,MATCH(E70,'G-1 All Habitats'!$AF$3:$AF$15,0)),"")</f>
        <v/>
      </c>
      <c r="B70" s="31" t="str">
        <f>IFERROR(INDEX('G-8 Condition Look up'!$I$4:$I$130,MATCH(G70,'G-8 Condition Look up'!$A$4:$A$130,0)),"")</f>
        <v/>
      </c>
      <c r="D70" s="141">
        <v>60</v>
      </c>
      <c r="E70" s="203"/>
      <c r="F70" s="203"/>
      <c r="G70" s="250" t="str">
        <f>IFERROR(INDEX('G-1 All Habitats'!$B$3:$B$129,MATCH(F70,'G-1 All Habitats'!$A$3:$A$129,0)),"")</f>
        <v/>
      </c>
      <c r="H70" s="172"/>
      <c r="I70" s="498" t="str">
        <f>IF(G70="","",VLOOKUP(G70,'G-1 All Habitats'!$B$2:$M$129,10,FALSE))</f>
        <v/>
      </c>
      <c r="J70" s="499" t="str">
        <f>IFERROR(VLOOKUP(I70,'G-1 All Habitats'!$V$3:$W$7,2,FALSE),"")</f>
        <v/>
      </c>
      <c r="K70" s="145"/>
      <c r="L70" s="499" t="str">
        <f>IFERROR(INDEX('G-8 Condition Look up'!$A$3:$H$130,MATCH(G70,'G-8 Condition Look up'!$A$3:$A$130,0),MATCH(K70,'G-8 Condition Look up'!$A$3:$H$3,0)),"")</f>
        <v/>
      </c>
      <c r="M70" s="154"/>
      <c r="N70" s="520" t="str">
        <f>IF(M70="","",IF(VLOOKUP(M70,'G-3 Multipliers'!$L$3:$N$6,2,FALSE)=0,"Spatial Data Missing ⚠",VLOOKUP(M70,'G-3 Multipliers'!$L$3:$N$6,2,FALSE)))</f>
        <v/>
      </c>
      <c r="O70" s="524" t="str">
        <f>IF(M70="","",IF(VLOOKUP(M70,'G-3 Multipliers'!$L$3:$N$6,3,FALSE)=0,"Spatial Data Missing ⚠",VLOOKUP(M70,'G-3 Multipliers'!$L$3:$N$6,3,FALSE)))</f>
        <v/>
      </c>
      <c r="P70" s="506" t="str">
        <f>IFERROR(VLOOKUP(G70,'G-1 All Habitats'!$B$2:$M$129,12,FALSE),"")</f>
        <v/>
      </c>
      <c r="Q70" s="513" t="str">
        <f>IFERROR(IF(P70="","",IF(AND(P70='G-1 All Habitats'!$X$3,T70&gt;0),U70+V70,IF(AND(P70='G-1 All Habitats'!$X$3,S70&gt;0),U70+V70,IF(AND(P70='G-1 All Habitats'!$X$3,AC70&gt;0),"Any Loss Unacceptable",IF(AND(P70='G-1 All Habitats'!$X$3,W70&gt;0),"Any Loss Unacceptable",H70*J70*L70*O70))))),"Check Data ⚠")</f>
        <v/>
      </c>
      <c r="R70" s="50"/>
      <c r="S70" s="71"/>
      <c r="T70" s="72"/>
      <c r="U70" s="511" t="str">
        <f t="shared" si="2"/>
        <v/>
      </c>
      <c r="V70" s="511" t="str">
        <f t="shared" si="3"/>
        <v/>
      </c>
      <c r="W70" s="511" t="str">
        <f>IF(E70="","",IF(H70&lt;S70+T70,"Error in Areas ▲",IF(P70&lt;&gt;'G-1 All Habitats'!$X$3,H70-S70-T70,IF(AND(P70='G-1 All Habitats'!$X$3,Y70="Yes"),"Unacceptable Loss ▲",IF(AND(P70='G-1 All Habitats'!$X$3,Y70="No"),AC70,IF(AND(P70='G-1 All Habitats'!$X$3,Y70=""),AC70,IF(AND(P70='G-1 All Habitats'!$X$3,AC70="None",AC70),IF(AND(P70='G-1 All Habitats'!$X$3,AC70&gt;0),H70-S70-T70))))))))</f>
        <v/>
      </c>
      <c r="X70" s="545" t="str">
        <f>IFERROR(IF(H70="","",IF(H70-S70-T70=0&lt;0,"Error in Areas ▲",IF(S70+T70&gt;H70,"Error in Areas ▲",IF(AND(P70='G-1 All Habitats'!$X$3,Y70="Yes"),"Alternative Compensation",IF(W70=0,0,IF(P70='G-1 All Habitats'!$X$3,"Unacceptable Loss",Q70-U70-V70)))))),"Check Data ⚠")</f>
        <v/>
      </c>
      <c r="Y70" s="72"/>
      <c r="Z70" s="151"/>
      <c r="AA70" s="152"/>
      <c r="AC70" s="251" t="str">
        <f>IF(P70="","",IF(P70='G-1 All Habitats'!$X$3,H70-S70-T70,"None"))</f>
        <v/>
      </c>
      <c r="AD70" s="252" t="str">
        <f t="shared" si="4"/>
        <v/>
      </c>
      <c r="AF70" s="156" t="str">
        <f t="shared" si="0"/>
        <v/>
      </c>
      <c r="AG70" s="156" t="str">
        <f t="shared" si="1"/>
        <v/>
      </c>
      <c r="AH70" s="156" t="str">
        <f>IF(I70="","",IF(#REF!&gt;0,TRUE,FALSE))</f>
        <v/>
      </c>
      <c r="AI70" s="156">
        <v>60</v>
      </c>
      <c r="AJ70" s="156"/>
      <c r="AK70" s="156" t="str">
        <f t="array" ref="AK70">IFERROR(INDEX($AI$11:$AI$259, MATCH(0, IF(TRUE=$AF$11:$AF$259, COUNTIF($AK$10:$AK69, $AI$11:$AI$259), ""), 0)),"")</f>
        <v/>
      </c>
      <c r="AL70" s="156" t="str">
        <f t="array" ref="AL70">IFERROR(INDEX($AI$11:$AI$259, MATCH(0, IF(TRUE=$AG$11:$AG$259, COUNTIF($AL$10:$AL69, $AI$11:$AI$259), ""), 0)),"")</f>
        <v/>
      </c>
      <c r="AM70" s="156" t="str">
        <f t="array" ref="AM70">IFERROR(INDEX($AI$11:$AI$259, MATCH(0, IF(TRUE=$AH$11:$AH$259, COUNTIF($AM$10:$AM69, $AI$11:$AI$259), ""), 0)),"")</f>
        <v/>
      </c>
      <c r="AQ70" s="31">
        <f t="shared" si="5"/>
        <v>0</v>
      </c>
    </row>
    <row r="71" spans="1:43" x14ac:dyDescent="0.3">
      <c r="A71" s="31" t="str">
        <f>IFERROR(INDEX('G-1 All Habitats'!$AG$3:$AG$15,MATCH(E71,'G-1 All Habitats'!$AF$3:$AF$15,0)),"")</f>
        <v/>
      </c>
      <c r="B71" s="31" t="str">
        <f>IFERROR(INDEX('G-8 Condition Look up'!$I$4:$I$130,MATCH(G71,'G-8 Condition Look up'!$A$4:$A$130,0)),"")</f>
        <v/>
      </c>
      <c r="D71" s="141">
        <v>61</v>
      </c>
      <c r="E71" s="203"/>
      <c r="F71" s="203"/>
      <c r="G71" s="250" t="str">
        <f>IFERROR(INDEX('G-1 All Habitats'!$B$3:$B$129,MATCH(F71,'G-1 All Habitats'!$A$3:$A$129,0)),"")</f>
        <v/>
      </c>
      <c r="H71" s="172"/>
      <c r="I71" s="498" t="str">
        <f>IF(G71="","",VLOOKUP(G71,'G-1 All Habitats'!$B$2:$M$129,10,FALSE))</f>
        <v/>
      </c>
      <c r="J71" s="499" t="str">
        <f>IFERROR(VLOOKUP(I71,'G-1 All Habitats'!$V$3:$W$7,2,FALSE),"")</f>
        <v/>
      </c>
      <c r="K71" s="145"/>
      <c r="L71" s="499" t="str">
        <f>IFERROR(INDEX('G-8 Condition Look up'!$A$3:$H$130,MATCH(G71,'G-8 Condition Look up'!$A$3:$A$130,0),MATCH(K71,'G-8 Condition Look up'!$A$3:$H$3,0)),"")</f>
        <v/>
      </c>
      <c r="M71" s="154"/>
      <c r="N71" s="520" t="str">
        <f>IF(M71="","",IF(VLOOKUP(M71,'G-3 Multipliers'!$L$3:$N$6,2,FALSE)=0,"Spatial Data Missing ⚠",VLOOKUP(M71,'G-3 Multipliers'!$L$3:$N$6,2,FALSE)))</f>
        <v/>
      </c>
      <c r="O71" s="524" t="str">
        <f>IF(M71="","",IF(VLOOKUP(M71,'G-3 Multipliers'!$L$3:$N$6,3,FALSE)=0,"Spatial Data Missing ⚠",VLOOKUP(M71,'G-3 Multipliers'!$L$3:$N$6,3,FALSE)))</f>
        <v/>
      </c>
      <c r="P71" s="506" t="str">
        <f>IFERROR(VLOOKUP(G71,'G-1 All Habitats'!$B$2:$M$129,12,FALSE),"")</f>
        <v/>
      </c>
      <c r="Q71" s="513" t="str">
        <f>IFERROR(IF(P71="","",IF(AND(P71='G-1 All Habitats'!$X$3,T71&gt;0),U71+V71,IF(AND(P71='G-1 All Habitats'!$X$3,S71&gt;0),U71+V71,IF(AND(P71='G-1 All Habitats'!$X$3,AC71&gt;0),"Any Loss Unacceptable",IF(AND(P71='G-1 All Habitats'!$X$3,W71&gt;0),"Any Loss Unacceptable",H71*J71*L71*O71))))),"Check Data ⚠")</f>
        <v/>
      </c>
      <c r="R71" s="50"/>
      <c r="S71" s="71"/>
      <c r="T71" s="72"/>
      <c r="U71" s="511" t="str">
        <f t="shared" si="2"/>
        <v/>
      </c>
      <c r="V71" s="511" t="str">
        <f t="shared" si="3"/>
        <v/>
      </c>
      <c r="W71" s="511" t="str">
        <f>IF(E71="","",IF(H71&lt;S71+T71,"Error in Areas ▲",IF(P71&lt;&gt;'G-1 All Habitats'!$X$3,H71-S71-T71,IF(AND(P71='G-1 All Habitats'!$X$3,Y71="Yes"),"Unacceptable Loss ▲",IF(AND(P71='G-1 All Habitats'!$X$3,Y71="No"),AC71,IF(AND(P71='G-1 All Habitats'!$X$3,Y71=""),AC71,IF(AND(P71='G-1 All Habitats'!$X$3,AC71="None",AC71),IF(AND(P71='G-1 All Habitats'!$X$3,AC71&gt;0),H71-S71-T71))))))))</f>
        <v/>
      </c>
      <c r="X71" s="545" t="str">
        <f>IFERROR(IF(H71="","",IF(H71-S71-T71=0&lt;0,"Error in Areas ▲",IF(S71+T71&gt;H71,"Error in Areas ▲",IF(AND(P71='G-1 All Habitats'!$X$3,Y71="Yes"),"Alternative Compensation",IF(W71=0,0,IF(P71='G-1 All Habitats'!$X$3,"Unacceptable Loss",Q71-U71-V71)))))),"Check Data ⚠")</f>
        <v/>
      </c>
      <c r="Y71" s="72"/>
      <c r="Z71" s="151"/>
      <c r="AA71" s="152"/>
      <c r="AC71" s="251" t="str">
        <f>IF(P71="","",IF(P71='G-1 All Habitats'!$X$3,H71-S71-T71,"None"))</f>
        <v/>
      </c>
      <c r="AD71" s="252" t="str">
        <f t="shared" si="4"/>
        <v/>
      </c>
      <c r="AF71" s="156" t="str">
        <f t="shared" si="0"/>
        <v/>
      </c>
      <c r="AG71" s="156" t="str">
        <f t="shared" si="1"/>
        <v/>
      </c>
      <c r="AH71" s="156" t="str">
        <f>IF(I71="","",IF(#REF!&gt;0,TRUE,FALSE))</f>
        <v/>
      </c>
      <c r="AI71" s="156">
        <v>61</v>
      </c>
      <c r="AJ71" s="156"/>
      <c r="AK71" s="156" t="str">
        <f t="array" ref="AK71">IFERROR(INDEX($AI$11:$AI$259, MATCH(0, IF(TRUE=$AF$11:$AF$259, COUNTIF($AK$10:$AK70, $AI$11:$AI$259), ""), 0)),"")</f>
        <v/>
      </c>
      <c r="AL71" s="156" t="str">
        <f t="array" ref="AL71">IFERROR(INDEX($AI$11:$AI$259, MATCH(0, IF(TRUE=$AG$11:$AG$259, COUNTIF($AL$10:$AL70, $AI$11:$AI$259), ""), 0)),"")</f>
        <v/>
      </c>
      <c r="AM71" s="156" t="str">
        <f t="array" ref="AM71">IFERROR(INDEX($AI$11:$AI$259, MATCH(0, IF(TRUE=$AH$11:$AH$259, COUNTIF($AM$10:$AM70, $AI$11:$AI$259), ""), 0)),"")</f>
        <v/>
      </c>
      <c r="AQ71" s="31">
        <f t="shared" si="5"/>
        <v>0</v>
      </c>
    </row>
    <row r="72" spans="1:43" x14ac:dyDescent="0.3">
      <c r="A72" s="31" t="str">
        <f>IFERROR(INDEX('G-1 All Habitats'!$AG$3:$AG$15,MATCH(E72,'G-1 All Habitats'!$AF$3:$AF$15,0)),"")</f>
        <v/>
      </c>
      <c r="B72" s="31" t="str">
        <f>IFERROR(INDEX('G-8 Condition Look up'!$I$4:$I$130,MATCH(G72,'G-8 Condition Look up'!$A$4:$A$130,0)),"")</f>
        <v/>
      </c>
      <c r="D72" s="141">
        <v>62</v>
      </c>
      <c r="E72" s="203"/>
      <c r="F72" s="203"/>
      <c r="G72" s="250" t="str">
        <f>IFERROR(INDEX('G-1 All Habitats'!$B$3:$B$129,MATCH(F72,'G-1 All Habitats'!$A$3:$A$129,0)),"")</f>
        <v/>
      </c>
      <c r="H72" s="172"/>
      <c r="I72" s="498" t="str">
        <f>IF(G72="","",VLOOKUP(G72,'G-1 All Habitats'!$B$2:$M$129,10,FALSE))</f>
        <v/>
      </c>
      <c r="J72" s="499" t="str">
        <f>IFERROR(VLOOKUP(I72,'G-1 All Habitats'!$V$3:$W$7,2,FALSE),"")</f>
        <v/>
      </c>
      <c r="K72" s="145"/>
      <c r="L72" s="499" t="str">
        <f>IFERROR(INDEX('G-8 Condition Look up'!$A$3:$H$130,MATCH(G72,'G-8 Condition Look up'!$A$3:$A$130,0),MATCH(K72,'G-8 Condition Look up'!$A$3:$H$3,0)),"")</f>
        <v/>
      </c>
      <c r="M72" s="154"/>
      <c r="N72" s="520" t="str">
        <f>IF(M72="","",IF(VLOOKUP(M72,'G-3 Multipliers'!$L$3:$N$6,2,FALSE)=0,"Spatial Data Missing ⚠",VLOOKUP(M72,'G-3 Multipliers'!$L$3:$N$6,2,FALSE)))</f>
        <v/>
      </c>
      <c r="O72" s="524" t="str">
        <f>IF(M72="","",IF(VLOOKUP(M72,'G-3 Multipliers'!$L$3:$N$6,3,FALSE)=0,"Spatial Data Missing ⚠",VLOOKUP(M72,'G-3 Multipliers'!$L$3:$N$6,3,FALSE)))</f>
        <v/>
      </c>
      <c r="P72" s="506" t="str">
        <f>IFERROR(VLOOKUP(G72,'G-1 All Habitats'!$B$2:$M$129,12,FALSE),"")</f>
        <v/>
      </c>
      <c r="Q72" s="513" t="str">
        <f>IFERROR(IF(P72="","",IF(AND(P72='G-1 All Habitats'!$X$3,T72&gt;0),U72+V72,IF(AND(P72='G-1 All Habitats'!$X$3,S72&gt;0),U72+V72,IF(AND(P72='G-1 All Habitats'!$X$3,AC72&gt;0),"Any Loss Unacceptable",IF(AND(P72='G-1 All Habitats'!$X$3,W72&gt;0),"Any Loss Unacceptable",H72*J72*L72*O72))))),"Check Data ⚠")</f>
        <v/>
      </c>
      <c r="R72" s="50"/>
      <c r="S72" s="71"/>
      <c r="T72" s="72"/>
      <c r="U72" s="511" t="str">
        <f t="shared" si="2"/>
        <v/>
      </c>
      <c r="V72" s="511" t="str">
        <f t="shared" si="3"/>
        <v/>
      </c>
      <c r="W72" s="511" t="str">
        <f>IF(E72="","",IF(H72&lt;S72+T72,"Error in Areas ▲",IF(P72&lt;&gt;'G-1 All Habitats'!$X$3,H72-S72-T72,IF(AND(P72='G-1 All Habitats'!$X$3,Y72="Yes"),"Unacceptable Loss ▲",IF(AND(P72='G-1 All Habitats'!$X$3,Y72="No"),AC72,IF(AND(P72='G-1 All Habitats'!$X$3,Y72=""),AC72,IF(AND(P72='G-1 All Habitats'!$X$3,AC72="None",AC72),IF(AND(P72='G-1 All Habitats'!$X$3,AC72&gt;0),H72-S72-T72))))))))</f>
        <v/>
      </c>
      <c r="X72" s="545" t="str">
        <f>IFERROR(IF(H72="","",IF(H72-S72-T72=0&lt;0,"Error in Areas ▲",IF(S72+T72&gt;H72,"Error in Areas ▲",IF(AND(P72='G-1 All Habitats'!$X$3,Y72="Yes"),"Alternative Compensation",IF(W72=0,0,IF(P72='G-1 All Habitats'!$X$3,"Unacceptable Loss",Q72-U72-V72)))))),"Check Data ⚠")</f>
        <v/>
      </c>
      <c r="Y72" s="72"/>
      <c r="Z72" s="151"/>
      <c r="AA72" s="152"/>
      <c r="AC72" s="251" t="str">
        <f>IF(P72="","",IF(P72='G-1 All Habitats'!$X$3,H72-S72-T72,"None"))</f>
        <v/>
      </c>
      <c r="AD72" s="252" t="str">
        <f t="shared" si="4"/>
        <v/>
      </c>
      <c r="AF72" s="156" t="str">
        <f t="shared" si="0"/>
        <v/>
      </c>
      <c r="AG72" s="156" t="str">
        <f t="shared" si="1"/>
        <v/>
      </c>
      <c r="AH72" s="156" t="str">
        <f>IF(I72="","",IF(#REF!&gt;0,TRUE,FALSE))</f>
        <v/>
      </c>
      <c r="AI72" s="156">
        <v>62</v>
      </c>
      <c r="AJ72" s="156"/>
      <c r="AK72" s="156" t="str">
        <f t="array" ref="AK72">IFERROR(INDEX($AI$11:$AI$259, MATCH(0, IF(TRUE=$AF$11:$AF$259, COUNTIF($AK$10:$AK71, $AI$11:$AI$259), ""), 0)),"")</f>
        <v/>
      </c>
      <c r="AL72" s="156" t="str">
        <f t="array" ref="AL72">IFERROR(INDEX($AI$11:$AI$259, MATCH(0, IF(TRUE=$AG$11:$AG$259, COUNTIF($AL$10:$AL71, $AI$11:$AI$259), ""), 0)),"")</f>
        <v/>
      </c>
      <c r="AM72" s="156" t="str">
        <f t="array" ref="AM72">IFERROR(INDEX($AI$11:$AI$259, MATCH(0, IF(TRUE=$AH$11:$AH$259, COUNTIF($AM$10:$AM71, $AI$11:$AI$259), ""), 0)),"")</f>
        <v/>
      </c>
      <c r="AQ72" s="31">
        <f t="shared" si="5"/>
        <v>0</v>
      </c>
    </row>
    <row r="73" spans="1:43" x14ac:dyDescent="0.3">
      <c r="A73" s="31" t="str">
        <f>IFERROR(INDEX('G-1 All Habitats'!$AG$3:$AG$15,MATCH(E73,'G-1 All Habitats'!$AF$3:$AF$15,0)),"")</f>
        <v/>
      </c>
      <c r="B73" s="31" t="str">
        <f>IFERROR(INDEX('G-8 Condition Look up'!$I$4:$I$130,MATCH(G73,'G-8 Condition Look up'!$A$4:$A$130,0)),"")</f>
        <v/>
      </c>
      <c r="D73" s="141">
        <v>63</v>
      </c>
      <c r="E73" s="203"/>
      <c r="F73" s="203"/>
      <c r="G73" s="250" t="str">
        <f>IFERROR(INDEX('G-1 All Habitats'!$B$3:$B$129,MATCH(F73,'G-1 All Habitats'!$A$3:$A$129,0)),"")</f>
        <v/>
      </c>
      <c r="H73" s="172"/>
      <c r="I73" s="498" t="str">
        <f>IF(G73="","",VLOOKUP(G73,'G-1 All Habitats'!$B$2:$M$129,10,FALSE))</f>
        <v/>
      </c>
      <c r="J73" s="499" t="str">
        <f>IFERROR(VLOOKUP(I73,'G-1 All Habitats'!$V$3:$W$7,2,FALSE),"")</f>
        <v/>
      </c>
      <c r="K73" s="145"/>
      <c r="L73" s="499" t="str">
        <f>IFERROR(INDEX('G-8 Condition Look up'!$A$3:$H$130,MATCH(G73,'G-8 Condition Look up'!$A$3:$A$130,0),MATCH(K73,'G-8 Condition Look up'!$A$3:$H$3,0)),"")</f>
        <v/>
      </c>
      <c r="M73" s="154"/>
      <c r="N73" s="520" t="str">
        <f>IF(M73="","",IF(VLOOKUP(M73,'G-3 Multipliers'!$L$3:$N$6,2,FALSE)=0,"Spatial Data Missing ⚠",VLOOKUP(M73,'G-3 Multipliers'!$L$3:$N$6,2,FALSE)))</f>
        <v/>
      </c>
      <c r="O73" s="524" t="str">
        <f>IF(M73="","",IF(VLOOKUP(M73,'G-3 Multipliers'!$L$3:$N$6,3,FALSE)=0,"Spatial Data Missing ⚠",VLOOKUP(M73,'G-3 Multipliers'!$L$3:$N$6,3,FALSE)))</f>
        <v/>
      </c>
      <c r="P73" s="506" t="str">
        <f>IFERROR(VLOOKUP(G73,'G-1 All Habitats'!$B$2:$M$129,12,FALSE),"")</f>
        <v/>
      </c>
      <c r="Q73" s="513" t="str">
        <f>IFERROR(IF(P73="","",IF(AND(P73='G-1 All Habitats'!$X$3,T73&gt;0),U73+V73,IF(AND(P73='G-1 All Habitats'!$X$3,S73&gt;0),U73+V73,IF(AND(P73='G-1 All Habitats'!$X$3,AC73&gt;0),"Any Loss Unacceptable",IF(AND(P73='G-1 All Habitats'!$X$3,W73&gt;0),"Any Loss Unacceptable",H73*J73*L73*O73))))),"Check Data ⚠")</f>
        <v/>
      </c>
      <c r="R73" s="50"/>
      <c r="S73" s="71"/>
      <c r="T73" s="72"/>
      <c r="U73" s="511" t="str">
        <f t="shared" si="2"/>
        <v/>
      </c>
      <c r="V73" s="511" t="str">
        <f t="shared" si="3"/>
        <v/>
      </c>
      <c r="W73" s="511" t="str">
        <f>IF(E73="","",IF(H73&lt;S73+T73,"Error in Areas ▲",IF(P73&lt;&gt;'G-1 All Habitats'!$X$3,H73-S73-T73,IF(AND(P73='G-1 All Habitats'!$X$3,Y73="Yes"),"Unacceptable Loss ▲",IF(AND(P73='G-1 All Habitats'!$X$3,Y73="No"),AC73,IF(AND(P73='G-1 All Habitats'!$X$3,Y73=""),AC73,IF(AND(P73='G-1 All Habitats'!$X$3,AC73="None",AC73),IF(AND(P73='G-1 All Habitats'!$X$3,AC73&gt;0),H73-S73-T73))))))))</f>
        <v/>
      </c>
      <c r="X73" s="545" t="str">
        <f>IFERROR(IF(H73="","",IF(H73-S73-T73=0&lt;0,"Error in Areas ▲",IF(S73+T73&gt;H73,"Error in Areas ▲",IF(AND(P73='G-1 All Habitats'!$X$3,Y73="Yes"),"Alternative Compensation",IF(W73=0,0,IF(P73='G-1 All Habitats'!$X$3,"Unacceptable Loss",Q73-U73-V73)))))),"Check Data ⚠")</f>
        <v/>
      </c>
      <c r="Y73" s="72"/>
      <c r="Z73" s="151"/>
      <c r="AA73" s="152"/>
      <c r="AC73" s="251" t="str">
        <f>IF(P73="","",IF(P73='G-1 All Habitats'!$X$3,H73-S73-T73,"None"))</f>
        <v/>
      </c>
      <c r="AD73" s="252" t="str">
        <f t="shared" si="4"/>
        <v/>
      </c>
      <c r="AF73" s="156" t="str">
        <f t="shared" si="0"/>
        <v/>
      </c>
      <c r="AG73" s="156" t="str">
        <f t="shared" si="1"/>
        <v/>
      </c>
      <c r="AH73" s="156" t="str">
        <f>IF(I73="","",IF(#REF!&gt;0,TRUE,FALSE))</f>
        <v/>
      </c>
      <c r="AI73" s="156">
        <v>63</v>
      </c>
      <c r="AJ73" s="156"/>
      <c r="AK73" s="156" t="str">
        <f t="array" ref="AK73">IFERROR(INDEX($AI$11:$AI$259, MATCH(0, IF(TRUE=$AF$11:$AF$259, COUNTIF($AK$10:$AK72, $AI$11:$AI$259), ""), 0)),"")</f>
        <v/>
      </c>
      <c r="AL73" s="156" t="str">
        <f t="array" ref="AL73">IFERROR(INDEX($AI$11:$AI$259, MATCH(0, IF(TRUE=$AG$11:$AG$259, COUNTIF($AL$10:$AL72, $AI$11:$AI$259), ""), 0)),"")</f>
        <v/>
      </c>
      <c r="AM73" s="156" t="str">
        <f t="array" ref="AM73">IFERROR(INDEX($AI$11:$AI$259, MATCH(0, IF(TRUE=$AH$11:$AH$259, COUNTIF($AM$10:$AM72, $AI$11:$AI$259), ""), 0)),"")</f>
        <v/>
      </c>
      <c r="AQ73" s="31">
        <f t="shared" si="5"/>
        <v>0</v>
      </c>
    </row>
    <row r="74" spans="1:43" x14ac:dyDescent="0.3">
      <c r="A74" s="31" t="str">
        <f>IFERROR(INDEX('G-1 All Habitats'!$AG$3:$AG$15,MATCH(E74,'G-1 All Habitats'!$AF$3:$AF$15,0)),"")</f>
        <v/>
      </c>
      <c r="B74" s="31" t="str">
        <f>IFERROR(INDEX('G-8 Condition Look up'!$I$4:$I$130,MATCH(G74,'G-8 Condition Look up'!$A$4:$A$130,0)),"")</f>
        <v/>
      </c>
      <c r="D74" s="141">
        <v>64</v>
      </c>
      <c r="E74" s="203"/>
      <c r="F74" s="203"/>
      <c r="G74" s="250" t="str">
        <f>IFERROR(INDEX('G-1 All Habitats'!$B$3:$B$129,MATCH(F74,'G-1 All Habitats'!$A$3:$A$129,0)),"")</f>
        <v/>
      </c>
      <c r="H74" s="172"/>
      <c r="I74" s="498" t="str">
        <f>IF(G74="","",VLOOKUP(G74,'G-1 All Habitats'!$B$2:$M$129,10,FALSE))</f>
        <v/>
      </c>
      <c r="J74" s="499" t="str">
        <f>IFERROR(VLOOKUP(I74,'G-1 All Habitats'!$V$3:$W$7,2,FALSE),"")</f>
        <v/>
      </c>
      <c r="K74" s="145"/>
      <c r="L74" s="499" t="str">
        <f>IFERROR(INDEX('G-8 Condition Look up'!$A$3:$H$130,MATCH(G74,'G-8 Condition Look up'!$A$3:$A$130,0),MATCH(K74,'G-8 Condition Look up'!$A$3:$H$3,0)),"")</f>
        <v/>
      </c>
      <c r="M74" s="154"/>
      <c r="N74" s="520" t="str">
        <f>IF(M74="","",IF(VLOOKUP(M74,'G-3 Multipliers'!$L$3:$N$6,2,FALSE)=0,"Spatial Data Missing ⚠",VLOOKUP(M74,'G-3 Multipliers'!$L$3:$N$6,2,FALSE)))</f>
        <v/>
      </c>
      <c r="O74" s="524" t="str">
        <f>IF(M74="","",IF(VLOOKUP(M74,'G-3 Multipliers'!$L$3:$N$6,3,FALSE)=0,"Spatial Data Missing ⚠",VLOOKUP(M74,'G-3 Multipliers'!$L$3:$N$6,3,FALSE)))</f>
        <v/>
      </c>
      <c r="P74" s="506" t="str">
        <f>IFERROR(VLOOKUP(G74,'G-1 All Habitats'!$B$2:$M$129,12,FALSE),"")</f>
        <v/>
      </c>
      <c r="Q74" s="513" t="str">
        <f>IFERROR(IF(P74="","",IF(AND(P74='G-1 All Habitats'!$X$3,T74&gt;0),U74+V74,IF(AND(P74='G-1 All Habitats'!$X$3,S74&gt;0),U74+V74,IF(AND(P74='G-1 All Habitats'!$X$3,AC74&gt;0),"Any Loss Unacceptable",IF(AND(P74='G-1 All Habitats'!$X$3,W74&gt;0),"Any Loss Unacceptable",H74*J74*L74*O74))))),"Check Data ⚠")</f>
        <v/>
      </c>
      <c r="R74" s="50"/>
      <c r="S74" s="71"/>
      <c r="T74" s="72"/>
      <c r="U74" s="511" t="str">
        <f t="shared" si="2"/>
        <v/>
      </c>
      <c r="V74" s="511" t="str">
        <f t="shared" si="3"/>
        <v/>
      </c>
      <c r="W74" s="511" t="str">
        <f>IF(E74="","",IF(H74&lt;S74+T74,"Error in Areas ▲",IF(P74&lt;&gt;'G-1 All Habitats'!$X$3,H74-S74-T74,IF(AND(P74='G-1 All Habitats'!$X$3,Y74="Yes"),"Unacceptable Loss ▲",IF(AND(P74='G-1 All Habitats'!$X$3,Y74="No"),AC74,IF(AND(P74='G-1 All Habitats'!$X$3,Y74=""),AC74,IF(AND(P74='G-1 All Habitats'!$X$3,AC74="None",AC74),IF(AND(P74='G-1 All Habitats'!$X$3,AC74&gt;0),H74-S74-T74))))))))</f>
        <v/>
      </c>
      <c r="X74" s="545" t="str">
        <f>IFERROR(IF(H74="","",IF(H74-S74-T74=0&lt;0,"Error in Areas ▲",IF(S74+T74&gt;H74,"Error in Areas ▲",IF(AND(P74='G-1 All Habitats'!$X$3,Y74="Yes"),"Alternative Compensation",IF(W74=0,0,IF(P74='G-1 All Habitats'!$X$3,"Unacceptable Loss",Q74-U74-V74)))))),"Check Data ⚠")</f>
        <v/>
      </c>
      <c r="Y74" s="72"/>
      <c r="Z74" s="151"/>
      <c r="AA74" s="152"/>
      <c r="AC74" s="251" t="str">
        <f>IF(P74="","",IF(P74='G-1 All Habitats'!$X$3,H74-S74-T74,"None"))</f>
        <v/>
      </c>
      <c r="AD74" s="252" t="str">
        <f t="shared" si="4"/>
        <v/>
      </c>
      <c r="AF74" s="156" t="str">
        <f t="shared" si="0"/>
        <v/>
      </c>
      <c r="AG74" s="156" t="str">
        <f t="shared" si="1"/>
        <v/>
      </c>
      <c r="AH74" s="156" t="str">
        <f>IF(I74="","",IF(#REF!&gt;0,TRUE,FALSE))</f>
        <v/>
      </c>
      <c r="AI74" s="156">
        <v>64</v>
      </c>
      <c r="AJ74" s="156"/>
      <c r="AK74" s="156" t="str">
        <f t="array" ref="AK74">IFERROR(INDEX($AI$11:$AI$259, MATCH(0, IF(TRUE=$AF$11:$AF$259, COUNTIF($AK$10:$AK73, $AI$11:$AI$259), ""), 0)),"")</f>
        <v/>
      </c>
      <c r="AL74" s="156" t="str">
        <f t="array" ref="AL74">IFERROR(INDEX($AI$11:$AI$259, MATCH(0, IF(TRUE=$AG$11:$AG$259, COUNTIF($AL$10:$AL73, $AI$11:$AI$259), ""), 0)),"")</f>
        <v/>
      </c>
      <c r="AM74" s="156" t="str">
        <f t="array" ref="AM74">IFERROR(INDEX($AI$11:$AI$259, MATCH(0, IF(TRUE=$AH$11:$AH$259, COUNTIF($AM$10:$AM73, $AI$11:$AI$259), ""), 0)),"")</f>
        <v/>
      </c>
      <c r="AQ74" s="31">
        <f t="shared" si="5"/>
        <v>0</v>
      </c>
    </row>
    <row r="75" spans="1:43" x14ac:dyDescent="0.3">
      <c r="A75" s="31" t="str">
        <f>IFERROR(INDEX('G-1 All Habitats'!$AG$3:$AG$15,MATCH(E75,'G-1 All Habitats'!$AF$3:$AF$15,0)),"")</f>
        <v/>
      </c>
      <c r="B75" s="31" t="str">
        <f>IFERROR(INDEX('G-8 Condition Look up'!$I$4:$I$130,MATCH(G75,'G-8 Condition Look up'!$A$4:$A$130,0)),"")</f>
        <v/>
      </c>
      <c r="D75" s="141">
        <v>65</v>
      </c>
      <c r="E75" s="203"/>
      <c r="F75" s="203"/>
      <c r="G75" s="250" t="str">
        <f>IFERROR(INDEX('G-1 All Habitats'!$B$3:$B$129,MATCH(F75,'G-1 All Habitats'!$A$3:$A$129,0)),"")</f>
        <v/>
      </c>
      <c r="H75" s="172"/>
      <c r="I75" s="498" t="str">
        <f>IF(G75="","",VLOOKUP(G75,'G-1 All Habitats'!$B$2:$M$129,10,FALSE))</f>
        <v/>
      </c>
      <c r="J75" s="499" t="str">
        <f>IFERROR(VLOOKUP(I75,'G-1 All Habitats'!$V$3:$W$7,2,FALSE),"")</f>
        <v/>
      </c>
      <c r="K75" s="145"/>
      <c r="L75" s="499" t="str">
        <f>IFERROR(INDEX('G-8 Condition Look up'!$A$3:$H$130,MATCH(G75,'G-8 Condition Look up'!$A$3:$A$130,0),MATCH(K75,'G-8 Condition Look up'!$A$3:$H$3,0)),"")</f>
        <v/>
      </c>
      <c r="M75" s="154"/>
      <c r="N75" s="520" t="str">
        <f>IF(M75="","",IF(VLOOKUP(M75,'G-3 Multipliers'!$L$3:$N$6,2,FALSE)=0,"Spatial Data Missing ⚠",VLOOKUP(M75,'G-3 Multipliers'!$L$3:$N$6,2,FALSE)))</f>
        <v/>
      </c>
      <c r="O75" s="524" t="str">
        <f>IF(M75="","",IF(VLOOKUP(M75,'G-3 Multipliers'!$L$3:$N$6,3,FALSE)=0,"Spatial Data Missing ⚠",VLOOKUP(M75,'G-3 Multipliers'!$L$3:$N$6,3,FALSE)))</f>
        <v/>
      </c>
      <c r="P75" s="506" t="str">
        <f>IFERROR(VLOOKUP(G75,'G-1 All Habitats'!$B$2:$M$129,12,FALSE),"")</f>
        <v/>
      </c>
      <c r="Q75" s="513" t="str">
        <f>IFERROR(IF(P75="","",IF(AND(P75='G-1 All Habitats'!$X$3,T75&gt;0),U75+V75,IF(AND(P75='G-1 All Habitats'!$X$3,S75&gt;0),U75+V75,IF(AND(P75='G-1 All Habitats'!$X$3,AC75&gt;0),"Any Loss Unacceptable",IF(AND(P75='G-1 All Habitats'!$X$3,W75&gt;0),"Any Loss Unacceptable",H75*J75*L75*O75))))),"Check Data ⚠")</f>
        <v/>
      </c>
      <c r="R75" s="50"/>
      <c r="S75" s="71"/>
      <c r="T75" s="72"/>
      <c r="U75" s="511" t="str">
        <f t="shared" si="2"/>
        <v/>
      </c>
      <c r="V75" s="511" t="str">
        <f t="shared" si="3"/>
        <v/>
      </c>
      <c r="W75" s="511" t="str">
        <f>IF(E75="","",IF(H75&lt;S75+T75,"Error in Areas ▲",IF(P75&lt;&gt;'G-1 All Habitats'!$X$3,H75-S75-T75,IF(AND(P75='G-1 All Habitats'!$X$3,Y75="Yes"),"Unacceptable Loss ▲",IF(AND(P75='G-1 All Habitats'!$X$3,Y75="No"),AC75,IF(AND(P75='G-1 All Habitats'!$X$3,Y75=""),AC75,IF(AND(P75='G-1 All Habitats'!$X$3,AC75="None",AC75),IF(AND(P75='G-1 All Habitats'!$X$3,AC75&gt;0),H75-S75-T75))))))))</f>
        <v/>
      </c>
      <c r="X75" s="545" t="str">
        <f>IFERROR(IF(H75="","",IF(H75-S75-T75=0&lt;0,"Error in Areas ▲",IF(S75+T75&gt;H75,"Error in Areas ▲",IF(AND(P75='G-1 All Habitats'!$X$3,Y75="Yes"),"Alternative Compensation",IF(W75=0,0,IF(P75='G-1 All Habitats'!$X$3,"Unacceptable Loss",Q75-U75-V75)))))),"Check Data ⚠")</f>
        <v/>
      </c>
      <c r="Y75" s="72"/>
      <c r="Z75" s="151"/>
      <c r="AA75" s="152"/>
      <c r="AC75" s="251" t="str">
        <f>IF(P75="","",IF(P75='G-1 All Habitats'!$X$3,H75-S75-T75,"None"))</f>
        <v/>
      </c>
      <c r="AD75" s="252" t="str">
        <f t="shared" si="4"/>
        <v/>
      </c>
      <c r="AF75" s="156" t="str">
        <f t="shared" ref="AF75:AF138" si="6">IF(G75="","",IF(S75&gt;0,TRUE,FALSE))</f>
        <v/>
      </c>
      <c r="AG75" s="156" t="str">
        <f t="shared" ref="AG75:AG138" si="7">IF(H75="","",IF(T75&gt;0,TRUE,FALSE))</f>
        <v/>
      </c>
      <c r="AH75" s="156" t="str">
        <f>IF(I75="","",IF(#REF!&gt;0,TRUE,FALSE))</f>
        <v/>
      </c>
      <c r="AI75" s="156">
        <v>65</v>
      </c>
      <c r="AJ75" s="156"/>
      <c r="AK75" s="156" t="str">
        <f t="array" ref="AK75">IFERROR(INDEX($AI$11:$AI$259, MATCH(0, IF(TRUE=$AF$11:$AF$259, COUNTIF($AK$10:$AK74, $AI$11:$AI$259), ""), 0)),"")</f>
        <v/>
      </c>
      <c r="AL75" s="156" t="str">
        <f t="array" ref="AL75">IFERROR(INDEX($AI$11:$AI$259, MATCH(0, IF(TRUE=$AG$11:$AG$259, COUNTIF($AL$10:$AL74, $AI$11:$AI$259), ""), 0)),"")</f>
        <v/>
      </c>
      <c r="AM75" s="156" t="str">
        <f t="array" ref="AM75">IFERROR(INDEX($AI$11:$AI$259, MATCH(0, IF(TRUE=$AH$11:$AH$259, COUNTIF($AM$10:$AM74, $AI$11:$AI$259), ""), 0)),"")</f>
        <v/>
      </c>
      <c r="AQ75" s="31">
        <f t="shared" si="5"/>
        <v>0</v>
      </c>
    </row>
    <row r="76" spans="1:43" x14ac:dyDescent="0.3">
      <c r="A76" s="31" t="str">
        <f>IFERROR(INDEX('G-1 All Habitats'!$AG$3:$AG$15,MATCH(E76,'G-1 All Habitats'!$AF$3:$AF$15,0)),"")</f>
        <v/>
      </c>
      <c r="B76" s="31" t="str">
        <f>IFERROR(INDEX('G-8 Condition Look up'!$I$4:$I$130,MATCH(G76,'G-8 Condition Look up'!$A$4:$A$130,0)),"")</f>
        <v/>
      </c>
      <c r="D76" s="141">
        <v>66</v>
      </c>
      <c r="E76" s="203"/>
      <c r="F76" s="203"/>
      <c r="G76" s="250" t="str">
        <f>IFERROR(INDEX('G-1 All Habitats'!$B$3:$B$129,MATCH(F76,'G-1 All Habitats'!$A$3:$A$129,0)),"")</f>
        <v/>
      </c>
      <c r="H76" s="172"/>
      <c r="I76" s="498" t="str">
        <f>IF(G76="","",VLOOKUP(G76,'G-1 All Habitats'!$B$2:$M$129,10,FALSE))</f>
        <v/>
      </c>
      <c r="J76" s="499" t="str">
        <f>IFERROR(VLOOKUP(I76,'G-1 All Habitats'!$V$3:$W$7,2,FALSE),"")</f>
        <v/>
      </c>
      <c r="K76" s="145"/>
      <c r="L76" s="499" t="str">
        <f>IFERROR(INDEX('G-8 Condition Look up'!$A$3:$H$130,MATCH(G76,'G-8 Condition Look up'!$A$3:$A$130,0),MATCH(K76,'G-8 Condition Look up'!$A$3:$H$3,0)),"")</f>
        <v/>
      </c>
      <c r="M76" s="154"/>
      <c r="N76" s="520" t="str">
        <f>IF(M76="","",IF(VLOOKUP(M76,'G-3 Multipliers'!$L$3:$N$6,2,FALSE)=0,"Spatial Data Missing ⚠",VLOOKUP(M76,'G-3 Multipliers'!$L$3:$N$6,2,FALSE)))</f>
        <v/>
      </c>
      <c r="O76" s="524" t="str">
        <f>IF(M76="","",IF(VLOOKUP(M76,'G-3 Multipliers'!$L$3:$N$6,3,FALSE)=0,"Spatial Data Missing ⚠",VLOOKUP(M76,'G-3 Multipliers'!$L$3:$N$6,3,FALSE)))</f>
        <v/>
      </c>
      <c r="P76" s="506" t="str">
        <f>IFERROR(VLOOKUP(G76,'G-1 All Habitats'!$B$2:$M$129,12,FALSE),"")</f>
        <v/>
      </c>
      <c r="Q76" s="513" t="str">
        <f>IFERROR(IF(P76="","",IF(AND(P76='G-1 All Habitats'!$X$3,T76&gt;0),U76+V76,IF(AND(P76='G-1 All Habitats'!$X$3,S76&gt;0),U76+V76,IF(AND(P76='G-1 All Habitats'!$X$3,AC76&gt;0),"Any Loss Unacceptable",IF(AND(P76='G-1 All Habitats'!$X$3,W76&gt;0),"Any Loss Unacceptable",H76*J76*L76*O76))))),"Check Data ⚠")</f>
        <v/>
      </c>
      <c r="R76" s="50"/>
      <c r="S76" s="71"/>
      <c r="T76" s="72"/>
      <c r="U76" s="511" t="str">
        <f t="shared" ref="U76:U139" si="8">IFERROR(S76*J76*L76*O76,"")</f>
        <v/>
      </c>
      <c r="V76" s="511" t="str">
        <f t="shared" ref="V76:V139" si="9">IFERROR(T76*J76*L76*O76,"")</f>
        <v/>
      </c>
      <c r="W76" s="511" t="str">
        <f>IF(E76="","",IF(H76&lt;S76+T76,"Error in Areas ▲",IF(P76&lt;&gt;'G-1 All Habitats'!$X$3,H76-S76-T76,IF(AND(P76='G-1 All Habitats'!$X$3,Y76="Yes"),"Unacceptable Loss ▲",IF(AND(P76='G-1 All Habitats'!$X$3,Y76="No"),AC76,IF(AND(P76='G-1 All Habitats'!$X$3,Y76=""),AC76,IF(AND(P76='G-1 All Habitats'!$X$3,AC76="None",AC76),IF(AND(P76='G-1 All Habitats'!$X$3,AC76&gt;0),H76-S76-T76))))))))</f>
        <v/>
      </c>
      <c r="X76" s="545" t="str">
        <f>IFERROR(IF(H76="","",IF(H76-S76-T76=0&lt;0,"Error in Areas ▲",IF(S76+T76&gt;H76,"Error in Areas ▲",IF(AND(P76='G-1 All Habitats'!$X$3,Y76="Yes"),"Alternative Compensation",IF(W76=0,0,IF(P76='G-1 All Habitats'!$X$3,"Unacceptable Loss",Q76-U76-V76)))))),"Check Data ⚠")</f>
        <v/>
      </c>
      <c r="Y76" s="72"/>
      <c r="Z76" s="151"/>
      <c r="AA76" s="152"/>
      <c r="AC76" s="251" t="str">
        <f>IF(P76="","",IF(P76='G-1 All Habitats'!$X$3,H76-S76-T76,"None"))</f>
        <v/>
      </c>
      <c r="AD76" s="252" t="str">
        <f t="shared" ref="AD76:AD139" si="10">IFERROR(AC76*J76*L76*O76,IF(P76="","","None"))</f>
        <v/>
      </c>
      <c r="AF76" s="156" t="str">
        <f t="shared" si="6"/>
        <v/>
      </c>
      <c r="AG76" s="156" t="str">
        <f t="shared" si="7"/>
        <v/>
      </c>
      <c r="AH76" s="156" t="str">
        <f>IF(I76="","",IF(#REF!&gt;0,TRUE,FALSE))</f>
        <v/>
      </c>
      <c r="AI76" s="156">
        <v>66</v>
      </c>
      <c r="AJ76" s="156"/>
      <c r="AK76" s="156" t="str">
        <f t="array" ref="AK76">IFERROR(INDEX($AI$11:$AI$259, MATCH(0, IF(TRUE=$AF$11:$AF$259, COUNTIF($AK$10:$AK75, $AI$11:$AI$259), ""), 0)),"")</f>
        <v/>
      </c>
      <c r="AL76" s="156" t="str">
        <f t="array" ref="AL76">IFERROR(INDEX($AI$11:$AI$259, MATCH(0, IF(TRUE=$AG$11:$AG$259, COUNTIF($AL$10:$AL75, $AI$11:$AI$259), ""), 0)),"")</f>
        <v/>
      </c>
      <c r="AM76" s="156" t="str">
        <f t="array" ref="AM76">IFERROR(INDEX($AI$11:$AI$259, MATCH(0, IF(TRUE=$AH$11:$AH$259, COUNTIF($AM$10:$AM75, $AI$11:$AI$259), ""), 0)),"")</f>
        <v/>
      </c>
      <c r="AQ76" s="31">
        <f t="shared" ref="AQ76:AQ139" si="11">IF(X76="Unacceptable Loss",1,0)</f>
        <v>0</v>
      </c>
    </row>
    <row r="77" spans="1:43" x14ac:dyDescent="0.3">
      <c r="A77" s="31" t="str">
        <f>IFERROR(INDEX('G-1 All Habitats'!$AG$3:$AG$15,MATCH(E77,'G-1 All Habitats'!$AF$3:$AF$15,0)),"")</f>
        <v/>
      </c>
      <c r="B77" s="31" t="str">
        <f>IFERROR(INDEX('G-8 Condition Look up'!$I$4:$I$130,MATCH(G77,'G-8 Condition Look up'!$A$4:$A$130,0)),"")</f>
        <v/>
      </c>
      <c r="D77" s="141">
        <v>67</v>
      </c>
      <c r="E77" s="203"/>
      <c r="F77" s="203"/>
      <c r="G77" s="250" t="str">
        <f>IFERROR(INDEX('G-1 All Habitats'!$B$3:$B$129,MATCH(F77,'G-1 All Habitats'!$A$3:$A$129,0)),"")</f>
        <v/>
      </c>
      <c r="H77" s="172"/>
      <c r="I77" s="498" t="str">
        <f>IF(G77="","",VLOOKUP(G77,'G-1 All Habitats'!$B$2:$M$129,10,FALSE))</f>
        <v/>
      </c>
      <c r="J77" s="499" t="str">
        <f>IFERROR(VLOOKUP(I77,'G-1 All Habitats'!$V$3:$W$7,2,FALSE),"")</f>
        <v/>
      </c>
      <c r="K77" s="145"/>
      <c r="L77" s="499" t="str">
        <f>IFERROR(INDEX('G-8 Condition Look up'!$A$3:$H$130,MATCH(G77,'G-8 Condition Look up'!$A$3:$A$130,0),MATCH(K77,'G-8 Condition Look up'!$A$3:$H$3,0)),"")</f>
        <v/>
      </c>
      <c r="M77" s="154"/>
      <c r="N77" s="520" t="str">
        <f>IF(M77="","",IF(VLOOKUP(M77,'G-3 Multipliers'!$L$3:$N$6,2,FALSE)=0,"Spatial Data Missing ⚠",VLOOKUP(M77,'G-3 Multipliers'!$L$3:$N$6,2,FALSE)))</f>
        <v/>
      </c>
      <c r="O77" s="524" t="str">
        <f>IF(M77="","",IF(VLOOKUP(M77,'G-3 Multipliers'!$L$3:$N$6,3,FALSE)=0,"Spatial Data Missing ⚠",VLOOKUP(M77,'G-3 Multipliers'!$L$3:$N$6,3,FALSE)))</f>
        <v/>
      </c>
      <c r="P77" s="506" t="str">
        <f>IFERROR(VLOOKUP(G77,'G-1 All Habitats'!$B$2:$M$129,12,FALSE),"")</f>
        <v/>
      </c>
      <c r="Q77" s="513" t="str">
        <f>IFERROR(IF(P77="","",IF(AND(P77='G-1 All Habitats'!$X$3,T77&gt;0),U77+V77,IF(AND(P77='G-1 All Habitats'!$X$3,S77&gt;0),U77+V77,IF(AND(P77='G-1 All Habitats'!$X$3,AC77&gt;0),"Any Loss Unacceptable",IF(AND(P77='G-1 All Habitats'!$X$3,W77&gt;0),"Any Loss Unacceptable",H77*J77*L77*O77))))),"Check Data ⚠")</f>
        <v/>
      </c>
      <c r="R77" s="50"/>
      <c r="S77" s="71"/>
      <c r="T77" s="72"/>
      <c r="U77" s="511" t="str">
        <f t="shared" si="8"/>
        <v/>
      </c>
      <c r="V77" s="511" t="str">
        <f t="shared" si="9"/>
        <v/>
      </c>
      <c r="W77" s="511" t="str">
        <f>IF(E77="","",IF(H77&lt;S77+T77,"Error in Areas ▲",IF(P77&lt;&gt;'G-1 All Habitats'!$X$3,H77-S77-T77,IF(AND(P77='G-1 All Habitats'!$X$3,Y77="Yes"),"Unacceptable Loss ▲",IF(AND(P77='G-1 All Habitats'!$X$3,Y77="No"),AC77,IF(AND(P77='G-1 All Habitats'!$X$3,Y77=""),AC77,IF(AND(P77='G-1 All Habitats'!$X$3,AC77="None",AC77),IF(AND(P77='G-1 All Habitats'!$X$3,AC77&gt;0),H77-S77-T77))))))))</f>
        <v/>
      </c>
      <c r="X77" s="545" t="str">
        <f>IFERROR(IF(H77="","",IF(H77-S77-T77=0&lt;0,"Error in Areas ▲",IF(S77+T77&gt;H77,"Error in Areas ▲",IF(AND(P77='G-1 All Habitats'!$X$3,Y77="Yes"),"Alternative Compensation",IF(W77=0,0,IF(P77='G-1 All Habitats'!$X$3,"Unacceptable Loss",Q77-U77-V77)))))),"Check Data ⚠")</f>
        <v/>
      </c>
      <c r="Y77" s="72"/>
      <c r="Z77" s="151"/>
      <c r="AA77" s="152"/>
      <c r="AC77" s="251" t="str">
        <f>IF(P77="","",IF(P77='G-1 All Habitats'!$X$3,H77-S77-T77,"None"))</f>
        <v/>
      </c>
      <c r="AD77" s="252" t="str">
        <f t="shared" si="10"/>
        <v/>
      </c>
      <c r="AF77" s="156" t="str">
        <f t="shared" si="6"/>
        <v/>
      </c>
      <c r="AG77" s="156" t="str">
        <f t="shared" si="7"/>
        <v/>
      </c>
      <c r="AH77" s="156" t="str">
        <f>IF(I77="","",IF(#REF!&gt;0,TRUE,FALSE))</f>
        <v/>
      </c>
      <c r="AI77" s="156">
        <v>67</v>
      </c>
      <c r="AJ77" s="156"/>
      <c r="AK77" s="156" t="str">
        <f t="array" ref="AK77">IFERROR(INDEX($AI$11:$AI$259, MATCH(0, IF(TRUE=$AF$11:$AF$259, COUNTIF($AK$10:$AK76, $AI$11:$AI$259), ""), 0)),"")</f>
        <v/>
      </c>
      <c r="AL77" s="156" t="str">
        <f t="array" ref="AL77">IFERROR(INDEX($AI$11:$AI$259, MATCH(0, IF(TRUE=$AG$11:$AG$259, COUNTIF($AL$10:$AL76, $AI$11:$AI$259), ""), 0)),"")</f>
        <v/>
      </c>
      <c r="AM77" s="156" t="str">
        <f t="array" ref="AM77">IFERROR(INDEX($AI$11:$AI$259, MATCH(0, IF(TRUE=$AH$11:$AH$259, COUNTIF($AM$10:$AM76, $AI$11:$AI$259), ""), 0)),"")</f>
        <v/>
      </c>
      <c r="AQ77" s="31">
        <f t="shared" si="11"/>
        <v>0</v>
      </c>
    </row>
    <row r="78" spans="1:43" x14ac:dyDescent="0.3">
      <c r="A78" s="31" t="str">
        <f>IFERROR(INDEX('G-1 All Habitats'!$AG$3:$AG$15,MATCH(E78,'G-1 All Habitats'!$AF$3:$AF$15,0)),"")</f>
        <v/>
      </c>
      <c r="B78" s="31" t="str">
        <f>IFERROR(INDEX('G-8 Condition Look up'!$I$4:$I$130,MATCH(G78,'G-8 Condition Look up'!$A$4:$A$130,0)),"")</f>
        <v/>
      </c>
      <c r="D78" s="141">
        <v>68</v>
      </c>
      <c r="E78" s="203"/>
      <c r="F78" s="203"/>
      <c r="G78" s="250" t="str">
        <f>IFERROR(INDEX('G-1 All Habitats'!$B$3:$B$129,MATCH(F78,'G-1 All Habitats'!$A$3:$A$129,0)),"")</f>
        <v/>
      </c>
      <c r="H78" s="172"/>
      <c r="I78" s="498" t="str">
        <f>IF(G78="","",VLOOKUP(G78,'G-1 All Habitats'!$B$2:$M$129,10,FALSE))</f>
        <v/>
      </c>
      <c r="J78" s="499" t="str">
        <f>IFERROR(VLOOKUP(I78,'G-1 All Habitats'!$V$3:$W$7,2,FALSE),"")</f>
        <v/>
      </c>
      <c r="K78" s="145"/>
      <c r="L78" s="499" t="str">
        <f>IFERROR(INDEX('G-8 Condition Look up'!$A$3:$H$130,MATCH(G78,'G-8 Condition Look up'!$A$3:$A$130,0),MATCH(K78,'G-8 Condition Look up'!$A$3:$H$3,0)),"")</f>
        <v/>
      </c>
      <c r="M78" s="154"/>
      <c r="N78" s="520" t="str">
        <f>IF(M78="","",IF(VLOOKUP(M78,'G-3 Multipliers'!$L$3:$N$6,2,FALSE)=0,"Spatial Data Missing ⚠",VLOOKUP(M78,'G-3 Multipliers'!$L$3:$N$6,2,FALSE)))</f>
        <v/>
      </c>
      <c r="O78" s="524" t="str">
        <f>IF(M78="","",IF(VLOOKUP(M78,'G-3 Multipliers'!$L$3:$N$6,3,FALSE)=0,"Spatial Data Missing ⚠",VLOOKUP(M78,'G-3 Multipliers'!$L$3:$N$6,3,FALSE)))</f>
        <v/>
      </c>
      <c r="P78" s="506" t="str">
        <f>IFERROR(VLOOKUP(G78,'G-1 All Habitats'!$B$2:$M$129,12,FALSE),"")</f>
        <v/>
      </c>
      <c r="Q78" s="513" t="str">
        <f>IFERROR(IF(P78="","",IF(AND(P78='G-1 All Habitats'!$X$3,T78&gt;0),U78+V78,IF(AND(P78='G-1 All Habitats'!$X$3,S78&gt;0),U78+V78,IF(AND(P78='G-1 All Habitats'!$X$3,AC78&gt;0),"Any Loss Unacceptable",IF(AND(P78='G-1 All Habitats'!$X$3,W78&gt;0),"Any Loss Unacceptable",H78*J78*L78*O78))))),"Check Data ⚠")</f>
        <v/>
      </c>
      <c r="R78" s="50"/>
      <c r="S78" s="71"/>
      <c r="T78" s="72"/>
      <c r="U78" s="511" t="str">
        <f t="shared" si="8"/>
        <v/>
      </c>
      <c r="V78" s="511" t="str">
        <f t="shared" si="9"/>
        <v/>
      </c>
      <c r="W78" s="511" t="str">
        <f>IF(E78="","",IF(H78&lt;S78+T78,"Error in Areas ▲",IF(P78&lt;&gt;'G-1 All Habitats'!$X$3,H78-S78-T78,IF(AND(P78='G-1 All Habitats'!$X$3,Y78="Yes"),"Unacceptable Loss ▲",IF(AND(P78='G-1 All Habitats'!$X$3,Y78="No"),AC78,IF(AND(P78='G-1 All Habitats'!$X$3,Y78=""),AC78,IF(AND(P78='G-1 All Habitats'!$X$3,AC78="None",AC78),IF(AND(P78='G-1 All Habitats'!$X$3,AC78&gt;0),H78-S78-T78))))))))</f>
        <v/>
      </c>
      <c r="X78" s="545" t="str">
        <f>IFERROR(IF(H78="","",IF(H78-S78-T78=0&lt;0,"Error in Areas ▲",IF(S78+T78&gt;H78,"Error in Areas ▲",IF(AND(P78='G-1 All Habitats'!$X$3,Y78="Yes"),"Alternative Compensation",IF(W78=0,0,IF(P78='G-1 All Habitats'!$X$3,"Unacceptable Loss",Q78-U78-V78)))))),"Check Data ⚠")</f>
        <v/>
      </c>
      <c r="Y78" s="72"/>
      <c r="Z78" s="151"/>
      <c r="AA78" s="152"/>
      <c r="AC78" s="251" t="str">
        <f>IF(P78="","",IF(P78='G-1 All Habitats'!$X$3,H78-S78-T78,"None"))</f>
        <v/>
      </c>
      <c r="AD78" s="252" t="str">
        <f t="shared" si="10"/>
        <v/>
      </c>
      <c r="AF78" s="156" t="str">
        <f t="shared" si="6"/>
        <v/>
      </c>
      <c r="AG78" s="156" t="str">
        <f t="shared" si="7"/>
        <v/>
      </c>
      <c r="AH78" s="156" t="str">
        <f>IF(I78="","",IF(#REF!&gt;0,TRUE,FALSE))</f>
        <v/>
      </c>
      <c r="AI78" s="156">
        <v>68</v>
      </c>
      <c r="AJ78" s="156"/>
      <c r="AK78" s="156" t="str">
        <f t="array" ref="AK78">IFERROR(INDEX($AI$11:$AI$259, MATCH(0, IF(TRUE=$AF$11:$AF$259, COUNTIF($AK$10:$AK77, $AI$11:$AI$259), ""), 0)),"")</f>
        <v/>
      </c>
      <c r="AL78" s="156" t="str">
        <f t="array" ref="AL78">IFERROR(INDEX($AI$11:$AI$259, MATCH(0, IF(TRUE=$AG$11:$AG$259, COUNTIF($AL$10:$AL77, $AI$11:$AI$259), ""), 0)),"")</f>
        <v/>
      </c>
      <c r="AM78" s="156" t="str">
        <f t="array" ref="AM78">IFERROR(INDEX($AI$11:$AI$259, MATCH(0, IF(TRUE=$AH$11:$AH$259, COUNTIF($AM$10:$AM77, $AI$11:$AI$259), ""), 0)),"")</f>
        <v/>
      </c>
      <c r="AQ78" s="31">
        <f t="shared" si="11"/>
        <v>0</v>
      </c>
    </row>
    <row r="79" spans="1:43" x14ac:dyDescent="0.3">
      <c r="A79" s="31" t="str">
        <f>IFERROR(INDEX('G-1 All Habitats'!$AG$3:$AG$15,MATCH(E79,'G-1 All Habitats'!$AF$3:$AF$15,0)),"")</f>
        <v/>
      </c>
      <c r="B79" s="31" t="str">
        <f>IFERROR(INDEX('G-8 Condition Look up'!$I$4:$I$130,MATCH(G79,'G-8 Condition Look up'!$A$4:$A$130,0)),"")</f>
        <v/>
      </c>
      <c r="D79" s="141">
        <v>69</v>
      </c>
      <c r="E79" s="203"/>
      <c r="F79" s="203"/>
      <c r="G79" s="250" t="str">
        <f>IFERROR(INDEX('G-1 All Habitats'!$B$3:$B$129,MATCH(F79,'G-1 All Habitats'!$A$3:$A$129,0)),"")</f>
        <v/>
      </c>
      <c r="H79" s="172"/>
      <c r="I79" s="498" t="str">
        <f>IF(G79="","",VLOOKUP(G79,'G-1 All Habitats'!$B$2:$M$129,10,FALSE))</f>
        <v/>
      </c>
      <c r="J79" s="499" t="str">
        <f>IFERROR(VLOOKUP(I79,'G-1 All Habitats'!$V$3:$W$7,2,FALSE),"")</f>
        <v/>
      </c>
      <c r="K79" s="145"/>
      <c r="L79" s="499" t="str">
        <f>IFERROR(INDEX('G-8 Condition Look up'!$A$3:$H$130,MATCH(G79,'G-8 Condition Look up'!$A$3:$A$130,0),MATCH(K79,'G-8 Condition Look up'!$A$3:$H$3,0)),"")</f>
        <v/>
      </c>
      <c r="M79" s="154"/>
      <c r="N79" s="520" t="str">
        <f>IF(M79="","",IF(VLOOKUP(M79,'G-3 Multipliers'!$L$3:$N$6,2,FALSE)=0,"Spatial Data Missing ⚠",VLOOKUP(M79,'G-3 Multipliers'!$L$3:$N$6,2,FALSE)))</f>
        <v/>
      </c>
      <c r="O79" s="524" t="str">
        <f>IF(M79="","",IF(VLOOKUP(M79,'G-3 Multipliers'!$L$3:$N$6,3,FALSE)=0,"Spatial Data Missing ⚠",VLOOKUP(M79,'G-3 Multipliers'!$L$3:$N$6,3,FALSE)))</f>
        <v/>
      </c>
      <c r="P79" s="506" t="str">
        <f>IFERROR(VLOOKUP(G79,'G-1 All Habitats'!$B$2:$M$129,12,FALSE),"")</f>
        <v/>
      </c>
      <c r="Q79" s="513" t="str">
        <f>IFERROR(IF(P79="","",IF(AND(P79='G-1 All Habitats'!$X$3,T79&gt;0),U79+V79,IF(AND(P79='G-1 All Habitats'!$X$3,S79&gt;0),U79+V79,IF(AND(P79='G-1 All Habitats'!$X$3,AC79&gt;0),"Any Loss Unacceptable",IF(AND(P79='G-1 All Habitats'!$X$3,W79&gt;0),"Any Loss Unacceptable",H79*J79*L79*O79))))),"Check Data ⚠")</f>
        <v/>
      </c>
      <c r="R79" s="50"/>
      <c r="S79" s="71"/>
      <c r="T79" s="72"/>
      <c r="U79" s="511" t="str">
        <f t="shared" si="8"/>
        <v/>
      </c>
      <c r="V79" s="511" t="str">
        <f t="shared" si="9"/>
        <v/>
      </c>
      <c r="W79" s="511" t="str">
        <f>IF(E79="","",IF(H79&lt;S79+T79,"Error in Areas ▲",IF(P79&lt;&gt;'G-1 All Habitats'!$X$3,H79-S79-T79,IF(AND(P79='G-1 All Habitats'!$X$3,Y79="Yes"),"Unacceptable Loss ▲",IF(AND(P79='G-1 All Habitats'!$X$3,Y79="No"),AC79,IF(AND(P79='G-1 All Habitats'!$X$3,Y79=""),AC79,IF(AND(P79='G-1 All Habitats'!$X$3,AC79="None",AC79),IF(AND(P79='G-1 All Habitats'!$X$3,AC79&gt;0),H79-S79-T79))))))))</f>
        <v/>
      </c>
      <c r="X79" s="545" t="str">
        <f>IFERROR(IF(H79="","",IF(H79-S79-T79=0&lt;0,"Error in Areas ▲",IF(S79+T79&gt;H79,"Error in Areas ▲",IF(AND(P79='G-1 All Habitats'!$X$3,Y79="Yes"),"Alternative Compensation",IF(W79=0,0,IF(P79='G-1 All Habitats'!$X$3,"Unacceptable Loss",Q79-U79-V79)))))),"Check Data ⚠")</f>
        <v/>
      </c>
      <c r="Y79" s="72"/>
      <c r="Z79" s="151"/>
      <c r="AA79" s="152"/>
      <c r="AC79" s="251" t="str">
        <f>IF(P79="","",IF(P79='G-1 All Habitats'!$X$3,H79-S79-T79,"None"))</f>
        <v/>
      </c>
      <c r="AD79" s="252" t="str">
        <f t="shared" si="10"/>
        <v/>
      </c>
      <c r="AF79" s="156" t="str">
        <f t="shared" si="6"/>
        <v/>
      </c>
      <c r="AG79" s="156" t="str">
        <f t="shared" si="7"/>
        <v/>
      </c>
      <c r="AH79" s="156" t="str">
        <f>IF(I79="","",IF(#REF!&gt;0,TRUE,FALSE))</f>
        <v/>
      </c>
      <c r="AI79" s="156">
        <v>69</v>
      </c>
      <c r="AJ79" s="156"/>
      <c r="AK79" s="156" t="str">
        <f t="array" ref="AK79">IFERROR(INDEX($AI$11:$AI$259, MATCH(0, IF(TRUE=$AF$11:$AF$259, COUNTIF($AK$10:$AK78, $AI$11:$AI$259), ""), 0)),"")</f>
        <v/>
      </c>
      <c r="AL79" s="156" t="str">
        <f t="array" ref="AL79">IFERROR(INDEX($AI$11:$AI$259, MATCH(0, IF(TRUE=$AG$11:$AG$259, COUNTIF($AL$10:$AL78, $AI$11:$AI$259), ""), 0)),"")</f>
        <v/>
      </c>
      <c r="AM79" s="156" t="str">
        <f t="array" ref="AM79">IFERROR(INDEX($AI$11:$AI$259, MATCH(0, IF(TRUE=$AH$11:$AH$259, COUNTIF($AM$10:$AM78, $AI$11:$AI$259), ""), 0)),"")</f>
        <v/>
      </c>
      <c r="AQ79" s="31">
        <f t="shared" si="11"/>
        <v>0</v>
      </c>
    </row>
    <row r="80" spans="1:43" x14ac:dyDescent="0.3">
      <c r="A80" s="31" t="str">
        <f>IFERROR(INDEX('G-1 All Habitats'!$AG$3:$AG$15,MATCH(E80,'G-1 All Habitats'!$AF$3:$AF$15,0)),"")</f>
        <v/>
      </c>
      <c r="B80" s="31" t="str">
        <f>IFERROR(INDEX('G-8 Condition Look up'!$I$4:$I$130,MATCH(G80,'G-8 Condition Look up'!$A$4:$A$130,0)),"")</f>
        <v/>
      </c>
      <c r="D80" s="141">
        <v>70</v>
      </c>
      <c r="E80" s="203"/>
      <c r="F80" s="203"/>
      <c r="G80" s="250" t="str">
        <f>IFERROR(INDEX('G-1 All Habitats'!$B$3:$B$129,MATCH(F80,'G-1 All Habitats'!$A$3:$A$129,0)),"")</f>
        <v/>
      </c>
      <c r="H80" s="172"/>
      <c r="I80" s="498" t="str">
        <f>IF(G80="","",VLOOKUP(G80,'G-1 All Habitats'!$B$2:$M$129,10,FALSE))</f>
        <v/>
      </c>
      <c r="J80" s="499" t="str">
        <f>IFERROR(VLOOKUP(I80,'G-1 All Habitats'!$V$3:$W$7,2,FALSE),"")</f>
        <v/>
      </c>
      <c r="K80" s="145"/>
      <c r="L80" s="499" t="str">
        <f>IFERROR(INDEX('G-8 Condition Look up'!$A$3:$H$130,MATCH(G80,'G-8 Condition Look up'!$A$3:$A$130,0),MATCH(K80,'G-8 Condition Look up'!$A$3:$H$3,0)),"")</f>
        <v/>
      </c>
      <c r="M80" s="154"/>
      <c r="N80" s="520" t="str">
        <f>IF(M80="","",IF(VLOOKUP(M80,'G-3 Multipliers'!$L$3:$N$6,2,FALSE)=0,"Spatial Data Missing ⚠",VLOOKUP(M80,'G-3 Multipliers'!$L$3:$N$6,2,FALSE)))</f>
        <v/>
      </c>
      <c r="O80" s="524" t="str">
        <f>IF(M80="","",IF(VLOOKUP(M80,'G-3 Multipliers'!$L$3:$N$6,3,FALSE)=0,"Spatial Data Missing ⚠",VLOOKUP(M80,'G-3 Multipliers'!$L$3:$N$6,3,FALSE)))</f>
        <v/>
      </c>
      <c r="P80" s="506" t="str">
        <f>IFERROR(VLOOKUP(G80,'G-1 All Habitats'!$B$2:$M$129,12,FALSE),"")</f>
        <v/>
      </c>
      <c r="Q80" s="513" t="str">
        <f>IFERROR(IF(P80="","",IF(AND(P80='G-1 All Habitats'!$X$3,T80&gt;0),U80+V80,IF(AND(P80='G-1 All Habitats'!$X$3,S80&gt;0),U80+V80,IF(AND(P80='G-1 All Habitats'!$X$3,AC80&gt;0),"Any Loss Unacceptable",IF(AND(P80='G-1 All Habitats'!$X$3,W80&gt;0),"Any Loss Unacceptable",H80*J80*L80*O80))))),"Check Data ⚠")</f>
        <v/>
      </c>
      <c r="R80" s="50"/>
      <c r="S80" s="71"/>
      <c r="T80" s="72"/>
      <c r="U80" s="511" t="str">
        <f t="shared" si="8"/>
        <v/>
      </c>
      <c r="V80" s="511" t="str">
        <f t="shared" si="9"/>
        <v/>
      </c>
      <c r="W80" s="511" t="str">
        <f>IF(E80="","",IF(H80&lt;S80+T80,"Error in Areas ▲",IF(P80&lt;&gt;'G-1 All Habitats'!$X$3,H80-S80-T80,IF(AND(P80='G-1 All Habitats'!$X$3,Y80="Yes"),"Unacceptable Loss ▲",IF(AND(P80='G-1 All Habitats'!$X$3,Y80="No"),AC80,IF(AND(P80='G-1 All Habitats'!$X$3,Y80=""),AC80,IF(AND(P80='G-1 All Habitats'!$X$3,AC80="None",AC80),IF(AND(P80='G-1 All Habitats'!$X$3,AC80&gt;0),H80-S80-T80))))))))</f>
        <v/>
      </c>
      <c r="X80" s="545" t="str">
        <f>IFERROR(IF(H80="","",IF(H80-S80-T80=0&lt;0,"Error in Areas ▲",IF(S80+T80&gt;H80,"Error in Areas ▲",IF(AND(P80='G-1 All Habitats'!$X$3,Y80="Yes"),"Alternative Compensation",IF(W80=0,0,IF(P80='G-1 All Habitats'!$X$3,"Unacceptable Loss",Q80-U80-V80)))))),"Check Data ⚠")</f>
        <v/>
      </c>
      <c r="Y80" s="72"/>
      <c r="Z80" s="151"/>
      <c r="AA80" s="152"/>
      <c r="AC80" s="251" t="str">
        <f>IF(P80="","",IF(P80='G-1 All Habitats'!$X$3,H80-S80-T80,"None"))</f>
        <v/>
      </c>
      <c r="AD80" s="252" t="str">
        <f t="shared" si="10"/>
        <v/>
      </c>
      <c r="AF80" s="156" t="str">
        <f t="shared" si="6"/>
        <v/>
      </c>
      <c r="AG80" s="156" t="str">
        <f t="shared" si="7"/>
        <v/>
      </c>
      <c r="AH80" s="156" t="str">
        <f>IF(I80="","",IF(#REF!&gt;0,TRUE,FALSE))</f>
        <v/>
      </c>
      <c r="AI80" s="156">
        <v>70</v>
      </c>
      <c r="AJ80" s="156"/>
      <c r="AK80" s="156" t="str">
        <f t="array" ref="AK80">IFERROR(INDEX($AI$11:$AI$259, MATCH(0, IF(TRUE=$AF$11:$AF$259, COUNTIF($AK$10:$AK79, $AI$11:$AI$259), ""), 0)),"")</f>
        <v/>
      </c>
      <c r="AL80" s="156" t="str">
        <f t="array" ref="AL80">IFERROR(INDEX($AI$11:$AI$259, MATCH(0, IF(TRUE=$AG$11:$AG$259, COUNTIF($AL$10:$AL79, $AI$11:$AI$259), ""), 0)),"")</f>
        <v/>
      </c>
      <c r="AM80" s="156" t="str">
        <f t="array" ref="AM80">IFERROR(INDEX($AI$11:$AI$259, MATCH(0, IF(TRUE=$AH$11:$AH$259, COUNTIF($AM$10:$AM79, $AI$11:$AI$259), ""), 0)),"")</f>
        <v/>
      </c>
      <c r="AQ80" s="31">
        <f t="shared" si="11"/>
        <v>0</v>
      </c>
    </row>
    <row r="81" spans="1:43" x14ac:dyDescent="0.3">
      <c r="A81" s="31" t="str">
        <f>IFERROR(INDEX('G-1 All Habitats'!$AG$3:$AG$15,MATCH(E81,'G-1 All Habitats'!$AF$3:$AF$15,0)),"")</f>
        <v/>
      </c>
      <c r="B81" s="31" t="str">
        <f>IFERROR(INDEX('G-8 Condition Look up'!$I$4:$I$130,MATCH(G81,'G-8 Condition Look up'!$A$4:$A$130,0)),"")</f>
        <v/>
      </c>
      <c r="D81" s="141">
        <v>71</v>
      </c>
      <c r="E81" s="203"/>
      <c r="F81" s="203"/>
      <c r="G81" s="250" t="str">
        <f>IFERROR(INDEX('G-1 All Habitats'!$B$3:$B$129,MATCH(F81,'G-1 All Habitats'!$A$3:$A$129,0)),"")</f>
        <v/>
      </c>
      <c r="H81" s="172"/>
      <c r="I81" s="498" t="str">
        <f>IF(G81="","",VLOOKUP(G81,'G-1 All Habitats'!$B$2:$M$129,10,FALSE))</f>
        <v/>
      </c>
      <c r="J81" s="499" t="str">
        <f>IFERROR(VLOOKUP(I81,'G-1 All Habitats'!$V$3:$W$7,2,FALSE),"")</f>
        <v/>
      </c>
      <c r="K81" s="145"/>
      <c r="L81" s="499" t="str">
        <f>IFERROR(INDEX('G-8 Condition Look up'!$A$3:$H$130,MATCH(G81,'G-8 Condition Look up'!$A$3:$A$130,0),MATCH(K81,'G-8 Condition Look up'!$A$3:$H$3,0)),"")</f>
        <v/>
      </c>
      <c r="M81" s="154"/>
      <c r="N81" s="520" t="str">
        <f>IF(M81="","",IF(VLOOKUP(M81,'G-3 Multipliers'!$L$3:$N$6,2,FALSE)=0,"Spatial Data Missing ⚠",VLOOKUP(M81,'G-3 Multipliers'!$L$3:$N$6,2,FALSE)))</f>
        <v/>
      </c>
      <c r="O81" s="524" t="str">
        <f>IF(M81="","",IF(VLOOKUP(M81,'G-3 Multipliers'!$L$3:$N$6,3,FALSE)=0,"Spatial Data Missing ⚠",VLOOKUP(M81,'G-3 Multipliers'!$L$3:$N$6,3,FALSE)))</f>
        <v/>
      </c>
      <c r="P81" s="506" t="str">
        <f>IFERROR(VLOOKUP(G81,'G-1 All Habitats'!$B$2:$M$129,12,FALSE),"")</f>
        <v/>
      </c>
      <c r="Q81" s="513" t="str">
        <f>IFERROR(IF(P81="","",IF(AND(P81='G-1 All Habitats'!$X$3,T81&gt;0),U81+V81,IF(AND(P81='G-1 All Habitats'!$X$3,S81&gt;0),U81+V81,IF(AND(P81='G-1 All Habitats'!$X$3,AC81&gt;0),"Any Loss Unacceptable",IF(AND(P81='G-1 All Habitats'!$X$3,W81&gt;0),"Any Loss Unacceptable",H81*J81*L81*O81))))),"Check Data ⚠")</f>
        <v/>
      </c>
      <c r="R81" s="50"/>
      <c r="S81" s="71"/>
      <c r="T81" s="72"/>
      <c r="U81" s="511" t="str">
        <f t="shared" si="8"/>
        <v/>
      </c>
      <c r="V81" s="511" t="str">
        <f t="shared" si="9"/>
        <v/>
      </c>
      <c r="W81" s="511" t="str">
        <f>IF(E81="","",IF(H81&lt;S81+T81,"Error in Areas ▲",IF(P81&lt;&gt;'G-1 All Habitats'!$X$3,H81-S81-T81,IF(AND(P81='G-1 All Habitats'!$X$3,Y81="Yes"),"Unacceptable Loss ▲",IF(AND(P81='G-1 All Habitats'!$X$3,Y81="No"),AC81,IF(AND(P81='G-1 All Habitats'!$X$3,Y81=""),AC81,IF(AND(P81='G-1 All Habitats'!$X$3,AC81="None",AC81),IF(AND(P81='G-1 All Habitats'!$X$3,AC81&gt;0),H81-S81-T81))))))))</f>
        <v/>
      </c>
      <c r="X81" s="545" t="str">
        <f>IFERROR(IF(H81="","",IF(H81-S81-T81=0&lt;0,"Error in Areas ▲",IF(S81+T81&gt;H81,"Error in Areas ▲",IF(AND(P81='G-1 All Habitats'!$X$3,Y81="Yes"),"Alternative Compensation",IF(W81=0,0,IF(P81='G-1 All Habitats'!$X$3,"Unacceptable Loss",Q81-U81-V81)))))),"Check Data ⚠")</f>
        <v/>
      </c>
      <c r="Y81" s="72"/>
      <c r="Z81" s="151"/>
      <c r="AA81" s="152"/>
      <c r="AC81" s="251" t="str">
        <f>IF(P81="","",IF(P81='G-1 All Habitats'!$X$3,H81-S81-T81,"None"))</f>
        <v/>
      </c>
      <c r="AD81" s="252" t="str">
        <f t="shared" si="10"/>
        <v/>
      </c>
      <c r="AF81" s="156" t="str">
        <f t="shared" si="6"/>
        <v/>
      </c>
      <c r="AG81" s="156" t="str">
        <f t="shared" si="7"/>
        <v/>
      </c>
      <c r="AH81" s="156" t="str">
        <f>IF(I81="","",IF(#REF!&gt;0,TRUE,FALSE))</f>
        <v/>
      </c>
      <c r="AI81" s="156">
        <v>71</v>
      </c>
      <c r="AJ81" s="156"/>
      <c r="AK81" s="156" t="str">
        <f t="array" ref="AK81">IFERROR(INDEX($AI$11:$AI$259, MATCH(0, IF(TRUE=$AF$11:$AF$259, COUNTIF($AK$10:$AK80, $AI$11:$AI$259), ""), 0)),"")</f>
        <v/>
      </c>
      <c r="AL81" s="156" t="str">
        <f t="array" ref="AL81">IFERROR(INDEX($AI$11:$AI$259, MATCH(0, IF(TRUE=$AG$11:$AG$259, COUNTIF($AL$10:$AL80, $AI$11:$AI$259), ""), 0)),"")</f>
        <v/>
      </c>
      <c r="AM81" s="156" t="str">
        <f t="array" ref="AM81">IFERROR(INDEX($AI$11:$AI$259, MATCH(0, IF(TRUE=$AH$11:$AH$259, COUNTIF($AM$10:$AM80, $AI$11:$AI$259), ""), 0)),"")</f>
        <v/>
      </c>
      <c r="AQ81" s="31">
        <f t="shared" si="11"/>
        <v>0</v>
      </c>
    </row>
    <row r="82" spans="1:43" x14ac:dyDescent="0.3">
      <c r="A82" s="31" t="str">
        <f>IFERROR(INDEX('G-1 All Habitats'!$AG$3:$AG$15,MATCH(E82,'G-1 All Habitats'!$AF$3:$AF$15,0)),"")</f>
        <v/>
      </c>
      <c r="B82" s="31" t="str">
        <f>IFERROR(INDEX('G-8 Condition Look up'!$I$4:$I$130,MATCH(G82,'G-8 Condition Look up'!$A$4:$A$130,0)),"")</f>
        <v/>
      </c>
      <c r="D82" s="141">
        <v>72</v>
      </c>
      <c r="E82" s="203"/>
      <c r="F82" s="203"/>
      <c r="G82" s="250" t="str">
        <f>IFERROR(INDEX('G-1 All Habitats'!$B$3:$B$129,MATCH(F82,'G-1 All Habitats'!$A$3:$A$129,0)),"")</f>
        <v/>
      </c>
      <c r="H82" s="172"/>
      <c r="I82" s="498" t="str">
        <f>IF(G82="","",VLOOKUP(G82,'G-1 All Habitats'!$B$2:$M$129,10,FALSE))</f>
        <v/>
      </c>
      <c r="J82" s="499" t="str">
        <f>IFERROR(VLOOKUP(I82,'G-1 All Habitats'!$V$3:$W$7,2,FALSE),"")</f>
        <v/>
      </c>
      <c r="K82" s="145"/>
      <c r="L82" s="499" t="str">
        <f>IFERROR(INDEX('G-8 Condition Look up'!$A$3:$H$130,MATCH(G82,'G-8 Condition Look up'!$A$3:$A$130,0),MATCH(K82,'G-8 Condition Look up'!$A$3:$H$3,0)),"")</f>
        <v/>
      </c>
      <c r="M82" s="154"/>
      <c r="N82" s="520" t="str">
        <f>IF(M82="","",IF(VLOOKUP(M82,'G-3 Multipliers'!$L$3:$N$6,2,FALSE)=0,"Spatial Data Missing ⚠",VLOOKUP(M82,'G-3 Multipliers'!$L$3:$N$6,2,FALSE)))</f>
        <v/>
      </c>
      <c r="O82" s="524" t="str">
        <f>IF(M82="","",IF(VLOOKUP(M82,'G-3 Multipliers'!$L$3:$N$6,3,FALSE)=0,"Spatial Data Missing ⚠",VLOOKUP(M82,'G-3 Multipliers'!$L$3:$N$6,3,FALSE)))</f>
        <v/>
      </c>
      <c r="P82" s="506" t="str">
        <f>IFERROR(VLOOKUP(G82,'G-1 All Habitats'!$B$2:$M$129,12,FALSE),"")</f>
        <v/>
      </c>
      <c r="Q82" s="513" t="str">
        <f>IFERROR(IF(P82="","",IF(AND(P82='G-1 All Habitats'!$X$3,T82&gt;0),U82+V82,IF(AND(P82='G-1 All Habitats'!$X$3,S82&gt;0),U82+V82,IF(AND(P82='G-1 All Habitats'!$X$3,AC82&gt;0),"Any Loss Unacceptable",IF(AND(P82='G-1 All Habitats'!$X$3,W82&gt;0),"Any Loss Unacceptable",H82*J82*L82*O82))))),"Check Data ⚠")</f>
        <v/>
      </c>
      <c r="R82" s="50"/>
      <c r="S82" s="71"/>
      <c r="T82" s="72"/>
      <c r="U82" s="511" t="str">
        <f t="shared" si="8"/>
        <v/>
      </c>
      <c r="V82" s="511" t="str">
        <f t="shared" si="9"/>
        <v/>
      </c>
      <c r="W82" s="511" t="str">
        <f>IF(E82="","",IF(H82&lt;S82+T82,"Error in Areas ▲",IF(P82&lt;&gt;'G-1 All Habitats'!$X$3,H82-S82-T82,IF(AND(P82='G-1 All Habitats'!$X$3,Y82="Yes"),"Unacceptable Loss ▲",IF(AND(P82='G-1 All Habitats'!$X$3,Y82="No"),AC82,IF(AND(P82='G-1 All Habitats'!$X$3,Y82=""),AC82,IF(AND(P82='G-1 All Habitats'!$X$3,AC82="None",AC82),IF(AND(P82='G-1 All Habitats'!$X$3,AC82&gt;0),H82-S82-T82))))))))</f>
        <v/>
      </c>
      <c r="X82" s="545" t="str">
        <f>IFERROR(IF(H82="","",IF(H82-S82-T82=0&lt;0,"Error in Areas ▲",IF(S82+T82&gt;H82,"Error in Areas ▲",IF(AND(P82='G-1 All Habitats'!$X$3,Y82="Yes"),"Alternative Compensation",IF(W82=0,0,IF(P82='G-1 All Habitats'!$X$3,"Unacceptable Loss",Q82-U82-V82)))))),"Check Data ⚠")</f>
        <v/>
      </c>
      <c r="Y82" s="72"/>
      <c r="Z82" s="151"/>
      <c r="AA82" s="152"/>
      <c r="AC82" s="251" t="str">
        <f>IF(P82="","",IF(P82='G-1 All Habitats'!$X$3,H82-S82-T82,"None"))</f>
        <v/>
      </c>
      <c r="AD82" s="252" t="str">
        <f t="shared" si="10"/>
        <v/>
      </c>
      <c r="AF82" s="156" t="str">
        <f t="shared" si="6"/>
        <v/>
      </c>
      <c r="AG82" s="156" t="str">
        <f t="shared" si="7"/>
        <v/>
      </c>
      <c r="AH82" s="156" t="str">
        <f>IF(I82="","",IF(#REF!&gt;0,TRUE,FALSE))</f>
        <v/>
      </c>
      <c r="AI82" s="156">
        <v>72</v>
      </c>
      <c r="AJ82" s="156"/>
      <c r="AK82" s="156" t="str">
        <f t="array" ref="AK82">IFERROR(INDEX($AI$11:$AI$259, MATCH(0, IF(TRUE=$AF$11:$AF$259, COUNTIF($AK$10:$AK81, $AI$11:$AI$259), ""), 0)),"")</f>
        <v/>
      </c>
      <c r="AL82" s="156" t="str">
        <f t="array" ref="AL82">IFERROR(INDEX($AI$11:$AI$259, MATCH(0, IF(TRUE=$AG$11:$AG$259, COUNTIF($AL$10:$AL81, $AI$11:$AI$259), ""), 0)),"")</f>
        <v/>
      </c>
      <c r="AM82" s="156" t="str">
        <f t="array" ref="AM82">IFERROR(INDEX($AI$11:$AI$259, MATCH(0, IF(TRUE=$AH$11:$AH$259, COUNTIF($AM$10:$AM81, $AI$11:$AI$259), ""), 0)),"")</f>
        <v/>
      </c>
      <c r="AQ82" s="31">
        <f t="shared" si="11"/>
        <v>0</v>
      </c>
    </row>
    <row r="83" spans="1:43" x14ac:dyDescent="0.3">
      <c r="A83" s="31" t="str">
        <f>IFERROR(INDEX('G-1 All Habitats'!$AG$3:$AG$15,MATCH(E83,'G-1 All Habitats'!$AF$3:$AF$15,0)),"")</f>
        <v/>
      </c>
      <c r="B83" s="31" t="str">
        <f>IFERROR(INDEX('G-8 Condition Look up'!$I$4:$I$130,MATCH(G83,'G-8 Condition Look up'!$A$4:$A$130,0)),"")</f>
        <v/>
      </c>
      <c r="D83" s="141">
        <v>73</v>
      </c>
      <c r="E83" s="203"/>
      <c r="F83" s="203"/>
      <c r="G83" s="250" t="str">
        <f>IFERROR(INDEX('G-1 All Habitats'!$B$3:$B$129,MATCH(F83,'G-1 All Habitats'!$A$3:$A$129,0)),"")</f>
        <v/>
      </c>
      <c r="H83" s="172"/>
      <c r="I83" s="498" t="str">
        <f>IF(G83="","",VLOOKUP(G83,'G-1 All Habitats'!$B$2:$M$129,10,FALSE))</f>
        <v/>
      </c>
      <c r="J83" s="499" t="str">
        <f>IFERROR(VLOOKUP(I83,'G-1 All Habitats'!$V$3:$W$7,2,FALSE),"")</f>
        <v/>
      </c>
      <c r="K83" s="145"/>
      <c r="L83" s="499" t="str">
        <f>IFERROR(INDEX('G-8 Condition Look up'!$A$3:$H$130,MATCH(G83,'G-8 Condition Look up'!$A$3:$A$130,0),MATCH(K83,'G-8 Condition Look up'!$A$3:$H$3,0)),"")</f>
        <v/>
      </c>
      <c r="M83" s="154"/>
      <c r="N83" s="520" t="str">
        <f>IF(M83="","",IF(VLOOKUP(M83,'G-3 Multipliers'!$L$3:$N$6,2,FALSE)=0,"Spatial Data Missing ⚠",VLOOKUP(M83,'G-3 Multipliers'!$L$3:$N$6,2,FALSE)))</f>
        <v/>
      </c>
      <c r="O83" s="524" t="str">
        <f>IF(M83="","",IF(VLOOKUP(M83,'G-3 Multipliers'!$L$3:$N$6,3,FALSE)=0,"Spatial Data Missing ⚠",VLOOKUP(M83,'G-3 Multipliers'!$L$3:$N$6,3,FALSE)))</f>
        <v/>
      </c>
      <c r="P83" s="506" t="str">
        <f>IFERROR(VLOOKUP(G83,'G-1 All Habitats'!$B$2:$M$129,12,FALSE),"")</f>
        <v/>
      </c>
      <c r="Q83" s="513" t="str">
        <f>IFERROR(IF(P83="","",IF(AND(P83='G-1 All Habitats'!$X$3,T83&gt;0),U83+V83,IF(AND(P83='G-1 All Habitats'!$X$3,S83&gt;0),U83+V83,IF(AND(P83='G-1 All Habitats'!$X$3,AC83&gt;0),"Any Loss Unacceptable",IF(AND(P83='G-1 All Habitats'!$X$3,W83&gt;0),"Any Loss Unacceptable",H83*J83*L83*O83))))),"Check Data ⚠")</f>
        <v/>
      </c>
      <c r="R83" s="50"/>
      <c r="S83" s="71"/>
      <c r="T83" s="72"/>
      <c r="U83" s="511" t="str">
        <f t="shared" si="8"/>
        <v/>
      </c>
      <c r="V83" s="511" t="str">
        <f t="shared" si="9"/>
        <v/>
      </c>
      <c r="W83" s="511" t="str">
        <f>IF(E83="","",IF(H83&lt;S83+T83,"Error in Areas ▲",IF(P83&lt;&gt;'G-1 All Habitats'!$X$3,H83-S83-T83,IF(AND(P83='G-1 All Habitats'!$X$3,Y83="Yes"),"Unacceptable Loss ▲",IF(AND(P83='G-1 All Habitats'!$X$3,Y83="No"),AC83,IF(AND(P83='G-1 All Habitats'!$X$3,Y83=""),AC83,IF(AND(P83='G-1 All Habitats'!$X$3,AC83="None",AC83),IF(AND(P83='G-1 All Habitats'!$X$3,AC83&gt;0),H83-S83-T83))))))))</f>
        <v/>
      </c>
      <c r="X83" s="545" t="str">
        <f>IFERROR(IF(H83="","",IF(H83-S83-T83=0&lt;0,"Error in Areas ▲",IF(S83+T83&gt;H83,"Error in Areas ▲",IF(AND(P83='G-1 All Habitats'!$X$3,Y83="Yes"),"Alternative Compensation",IF(W83=0,0,IF(P83='G-1 All Habitats'!$X$3,"Unacceptable Loss",Q83-U83-V83)))))),"Check Data ⚠")</f>
        <v/>
      </c>
      <c r="Y83" s="72"/>
      <c r="Z83" s="151"/>
      <c r="AA83" s="152"/>
      <c r="AC83" s="251" t="str">
        <f>IF(P83="","",IF(P83='G-1 All Habitats'!$X$3,H83-S83-T83,"None"))</f>
        <v/>
      </c>
      <c r="AD83" s="252" t="str">
        <f t="shared" si="10"/>
        <v/>
      </c>
      <c r="AF83" s="156" t="str">
        <f t="shared" si="6"/>
        <v/>
      </c>
      <c r="AG83" s="156" t="str">
        <f t="shared" si="7"/>
        <v/>
      </c>
      <c r="AH83" s="156" t="str">
        <f>IF(I83="","",IF(#REF!&gt;0,TRUE,FALSE))</f>
        <v/>
      </c>
      <c r="AI83" s="156">
        <v>73</v>
      </c>
      <c r="AJ83" s="156"/>
      <c r="AK83" s="156" t="str">
        <f t="array" ref="AK83">IFERROR(INDEX($AI$11:$AI$259, MATCH(0, IF(TRUE=$AF$11:$AF$259, COUNTIF($AK$10:$AK82, $AI$11:$AI$259), ""), 0)),"")</f>
        <v/>
      </c>
      <c r="AL83" s="156" t="str">
        <f t="array" ref="AL83">IFERROR(INDEX($AI$11:$AI$259, MATCH(0, IF(TRUE=$AG$11:$AG$259, COUNTIF($AL$10:$AL82, $AI$11:$AI$259), ""), 0)),"")</f>
        <v/>
      </c>
      <c r="AM83" s="156" t="str">
        <f t="array" ref="AM83">IFERROR(INDEX($AI$11:$AI$259, MATCH(0, IF(TRUE=$AH$11:$AH$259, COUNTIF($AM$10:$AM82, $AI$11:$AI$259), ""), 0)),"")</f>
        <v/>
      </c>
      <c r="AQ83" s="31">
        <f t="shared" si="11"/>
        <v>0</v>
      </c>
    </row>
    <row r="84" spans="1:43" x14ac:dyDescent="0.3">
      <c r="A84" s="31" t="str">
        <f>IFERROR(INDEX('G-1 All Habitats'!$AG$3:$AG$15,MATCH(E84,'G-1 All Habitats'!$AF$3:$AF$15,0)),"")</f>
        <v/>
      </c>
      <c r="B84" s="31" t="str">
        <f>IFERROR(INDEX('G-8 Condition Look up'!$I$4:$I$130,MATCH(G84,'G-8 Condition Look up'!$A$4:$A$130,0)),"")</f>
        <v/>
      </c>
      <c r="D84" s="141">
        <v>74</v>
      </c>
      <c r="E84" s="203"/>
      <c r="F84" s="203"/>
      <c r="G84" s="250" t="str">
        <f>IFERROR(INDEX('G-1 All Habitats'!$B$3:$B$129,MATCH(F84,'G-1 All Habitats'!$A$3:$A$129,0)),"")</f>
        <v/>
      </c>
      <c r="H84" s="172"/>
      <c r="I84" s="498" t="str">
        <f>IF(G84="","",VLOOKUP(G84,'G-1 All Habitats'!$B$2:$M$129,10,FALSE))</f>
        <v/>
      </c>
      <c r="J84" s="499" t="str">
        <f>IFERROR(VLOOKUP(I84,'G-1 All Habitats'!$V$3:$W$7,2,FALSE),"")</f>
        <v/>
      </c>
      <c r="K84" s="145"/>
      <c r="L84" s="499" t="str">
        <f>IFERROR(INDEX('G-8 Condition Look up'!$A$3:$H$130,MATCH(G84,'G-8 Condition Look up'!$A$3:$A$130,0),MATCH(K84,'G-8 Condition Look up'!$A$3:$H$3,0)),"")</f>
        <v/>
      </c>
      <c r="M84" s="154"/>
      <c r="N84" s="520" t="str">
        <f>IF(M84="","",IF(VLOOKUP(M84,'G-3 Multipliers'!$L$3:$N$6,2,FALSE)=0,"Spatial Data Missing ⚠",VLOOKUP(M84,'G-3 Multipliers'!$L$3:$N$6,2,FALSE)))</f>
        <v/>
      </c>
      <c r="O84" s="524" t="str">
        <f>IF(M84="","",IF(VLOOKUP(M84,'G-3 Multipliers'!$L$3:$N$6,3,FALSE)=0,"Spatial Data Missing ⚠",VLOOKUP(M84,'G-3 Multipliers'!$L$3:$N$6,3,FALSE)))</f>
        <v/>
      </c>
      <c r="P84" s="506" t="str">
        <f>IFERROR(VLOOKUP(G84,'G-1 All Habitats'!$B$2:$M$129,12,FALSE),"")</f>
        <v/>
      </c>
      <c r="Q84" s="513" t="str">
        <f>IFERROR(IF(P84="","",IF(AND(P84='G-1 All Habitats'!$X$3,T84&gt;0),U84+V84,IF(AND(P84='G-1 All Habitats'!$X$3,S84&gt;0),U84+V84,IF(AND(P84='G-1 All Habitats'!$X$3,AC84&gt;0),"Any Loss Unacceptable",IF(AND(P84='G-1 All Habitats'!$X$3,W84&gt;0),"Any Loss Unacceptable",H84*J84*L84*O84))))),"Check Data ⚠")</f>
        <v/>
      </c>
      <c r="R84" s="50"/>
      <c r="S84" s="71"/>
      <c r="T84" s="72"/>
      <c r="U84" s="511" t="str">
        <f t="shared" si="8"/>
        <v/>
      </c>
      <c r="V84" s="511" t="str">
        <f t="shared" si="9"/>
        <v/>
      </c>
      <c r="W84" s="511" t="str">
        <f>IF(E84="","",IF(H84&lt;S84+T84,"Error in Areas ▲",IF(P84&lt;&gt;'G-1 All Habitats'!$X$3,H84-S84-T84,IF(AND(P84='G-1 All Habitats'!$X$3,Y84="Yes"),"Unacceptable Loss ▲",IF(AND(P84='G-1 All Habitats'!$X$3,Y84="No"),AC84,IF(AND(P84='G-1 All Habitats'!$X$3,Y84=""),AC84,IF(AND(P84='G-1 All Habitats'!$X$3,AC84="None",AC84),IF(AND(P84='G-1 All Habitats'!$X$3,AC84&gt;0),H84-S84-T84))))))))</f>
        <v/>
      </c>
      <c r="X84" s="545" t="str">
        <f>IFERROR(IF(H84="","",IF(H84-S84-T84=0&lt;0,"Error in Areas ▲",IF(S84+T84&gt;H84,"Error in Areas ▲",IF(AND(P84='G-1 All Habitats'!$X$3,Y84="Yes"),"Alternative Compensation",IF(W84=0,0,IF(P84='G-1 All Habitats'!$X$3,"Unacceptable Loss",Q84-U84-V84)))))),"Check Data ⚠")</f>
        <v/>
      </c>
      <c r="Y84" s="72"/>
      <c r="Z84" s="151"/>
      <c r="AA84" s="152"/>
      <c r="AC84" s="251" t="str">
        <f>IF(P84="","",IF(P84='G-1 All Habitats'!$X$3,H84-S84-T84,"None"))</f>
        <v/>
      </c>
      <c r="AD84" s="252" t="str">
        <f t="shared" si="10"/>
        <v/>
      </c>
      <c r="AF84" s="156" t="str">
        <f t="shared" si="6"/>
        <v/>
      </c>
      <c r="AG84" s="156" t="str">
        <f t="shared" si="7"/>
        <v/>
      </c>
      <c r="AH84" s="156" t="str">
        <f>IF(I84="","",IF(#REF!&gt;0,TRUE,FALSE))</f>
        <v/>
      </c>
      <c r="AI84" s="156">
        <v>74</v>
      </c>
      <c r="AJ84" s="156"/>
      <c r="AK84" s="156" t="str">
        <f t="array" ref="AK84">IFERROR(INDEX($AI$11:$AI$259, MATCH(0, IF(TRUE=$AF$11:$AF$259, COUNTIF($AK$10:$AK83, $AI$11:$AI$259), ""), 0)),"")</f>
        <v/>
      </c>
      <c r="AL84" s="156" t="str">
        <f t="array" ref="AL84">IFERROR(INDEX($AI$11:$AI$259, MATCH(0, IF(TRUE=$AG$11:$AG$259, COUNTIF($AL$10:$AL83, $AI$11:$AI$259), ""), 0)),"")</f>
        <v/>
      </c>
      <c r="AM84" s="156" t="str">
        <f t="array" ref="AM84">IFERROR(INDEX($AI$11:$AI$259, MATCH(0, IF(TRUE=$AH$11:$AH$259, COUNTIF($AM$10:$AM83, $AI$11:$AI$259), ""), 0)),"")</f>
        <v/>
      </c>
      <c r="AQ84" s="31">
        <f t="shared" si="11"/>
        <v>0</v>
      </c>
    </row>
    <row r="85" spans="1:43" x14ac:dyDescent="0.3">
      <c r="A85" s="31" t="str">
        <f>IFERROR(INDEX('G-1 All Habitats'!$AG$3:$AG$15,MATCH(E85,'G-1 All Habitats'!$AF$3:$AF$15,0)),"")</f>
        <v/>
      </c>
      <c r="B85" s="31" t="str">
        <f>IFERROR(INDEX('G-8 Condition Look up'!$I$4:$I$130,MATCH(G85,'G-8 Condition Look up'!$A$4:$A$130,0)),"")</f>
        <v/>
      </c>
      <c r="D85" s="141">
        <v>75</v>
      </c>
      <c r="E85" s="203"/>
      <c r="F85" s="203"/>
      <c r="G85" s="250" t="str">
        <f>IFERROR(INDEX('G-1 All Habitats'!$B$3:$B$129,MATCH(F85,'G-1 All Habitats'!$A$3:$A$129,0)),"")</f>
        <v/>
      </c>
      <c r="H85" s="172"/>
      <c r="I85" s="498" t="str">
        <f>IF(G85="","",VLOOKUP(G85,'G-1 All Habitats'!$B$2:$M$129,10,FALSE))</f>
        <v/>
      </c>
      <c r="J85" s="499" t="str">
        <f>IFERROR(VLOOKUP(I85,'G-1 All Habitats'!$V$3:$W$7,2,FALSE),"")</f>
        <v/>
      </c>
      <c r="K85" s="145"/>
      <c r="L85" s="499" t="str">
        <f>IFERROR(INDEX('G-8 Condition Look up'!$A$3:$H$130,MATCH(G85,'G-8 Condition Look up'!$A$3:$A$130,0),MATCH(K85,'G-8 Condition Look up'!$A$3:$H$3,0)),"")</f>
        <v/>
      </c>
      <c r="M85" s="154"/>
      <c r="N85" s="520" t="str">
        <f>IF(M85="","",IF(VLOOKUP(M85,'G-3 Multipliers'!$L$3:$N$6,2,FALSE)=0,"Spatial Data Missing ⚠",VLOOKUP(M85,'G-3 Multipliers'!$L$3:$N$6,2,FALSE)))</f>
        <v/>
      </c>
      <c r="O85" s="524" t="str">
        <f>IF(M85="","",IF(VLOOKUP(M85,'G-3 Multipliers'!$L$3:$N$6,3,FALSE)=0,"Spatial Data Missing ⚠",VLOOKUP(M85,'G-3 Multipliers'!$L$3:$N$6,3,FALSE)))</f>
        <v/>
      </c>
      <c r="P85" s="506" t="str">
        <f>IFERROR(VLOOKUP(G85,'G-1 All Habitats'!$B$2:$M$129,12,FALSE),"")</f>
        <v/>
      </c>
      <c r="Q85" s="513" t="str">
        <f>IFERROR(IF(P85="","",IF(AND(P85='G-1 All Habitats'!$X$3,T85&gt;0),U85+V85,IF(AND(P85='G-1 All Habitats'!$X$3,S85&gt;0),U85+V85,IF(AND(P85='G-1 All Habitats'!$X$3,AC85&gt;0),"Any Loss Unacceptable",IF(AND(P85='G-1 All Habitats'!$X$3,W85&gt;0),"Any Loss Unacceptable",H85*J85*L85*O85))))),"Check Data ⚠")</f>
        <v/>
      </c>
      <c r="R85" s="50"/>
      <c r="S85" s="71"/>
      <c r="T85" s="72"/>
      <c r="U85" s="511" t="str">
        <f t="shared" si="8"/>
        <v/>
      </c>
      <c r="V85" s="511" t="str">
        <f t="shared" si="9"/>
        <v/>
      </c>
      <c r="W85" s="511" t="str">
        <f>IF(E85="","",IF(H85&lt;S85+T85,"Error in Areas ▲",IF(P85&lt;&gt;'G-1 All Habitats'!$X$3,H85-S85-T85,IF(AND(P85='G-1 All Habitats'!$X$3,Y85="Yes"),"Unacceptable Loss ▲",IF(AND(P85='G-1 All Habitats'!$X$3,Y85="No"),AC85,IF(AND(P85='G-1 All Habitats'!$X$3,Y85=""),AC85,IF(AND(P85='G-1 All Habitats'!$X$3,AC85="None",AC85),IF(AND(P85='G-1 All Habitats'!$X$3,AC85&gt;0),H85-S85-T85))))))))</f>
        <v/>
      </c>
      <c r="X85" s="545" t="str">
        <f>IFERROR(IF(H85="","",IF(H85-S85-T85=0&lt;0,"Error in Areas ▲",IF(S85+T85&gt;H85,"Error in Areas ▲",IF(AND(P85='G-1 All Habitats'!$X$3,Y85="Yes"),"Alternative Compensation",IF(W85=0,0,IF(P85='G-1 All Habitats'!$X$3,"Unacceptable Loss",Q85-U85-V85)))))),"Check Data ⚠")</f>
        <v/>
      </c>
      <c r="Y85" s="72"/>
      <c r="Z85" s="151"/>
      <c r="AA85" s="152"/>
      <c r="AC85" s="251" t="str">
        <f>IF(P85="","",IF(P85='G-1 All Habitats'!$X$3,H85-S85-T85,"None"))</f>
        <v/>
      </c>
      <c r="AD85" s="252" t="str">
        <f t="shared" si="10"/>
        <v/>
      </c>
      <c r="AF85" s="156" t="str">
        <f t="shared" si="6"/>
        <v/>
      </c>
      <c r="AG85" s="156" t="str">
        <f t="shared" si="7"/>
        <v/>
      </c>
      <c r="AH85" s="156" t="str">
        <f>IF(I85="","",IF(#REF!&gt;0,TRUE,FALSE))</f>
        <v/>
      </c>
      <c r="AI85" s="156">
        <v>75</v>
      </c>
      <c r="AJ85" s="156"/>
      <c r="AK85" s="156" t="str">
        <f t="array" ref="AK85">IFERROR(INDEX($AI$11:$AI$259, MATCH(0, IF(TRUE=$AF$11:$AF$259, COUNTIF($AK$10:$AK84, $AI$11:$AI$259), ""), 0)),"")</f>
        <v/>
      </c>
      <c r="AL85" s="156" t="str">
        <f t="array" ref="AL85">IFERROR(INDEX($AI$11:$AI$259, MATCH(0, IF(TRUE=$AG$11:$AG$259, COUNTIF($AL$10:$AL84, $AI$11:$AI$259), ""), 0)),"")</f>
        <v/>
      </c>
      <c r="AM85" s="156" t="str">
        <f t="array" ref="AM85">IFERROR(INDEX($AI$11:$AI$259, MATCH(0, IF(TRUE=$AH$11:$AH$259, COUNTIF($AM$10:$AM84, $AI$11:$AI$259), ""), 0)),"")</f>
        <v/>
      </c>
      <c r="AQ85" s="31">
        <f t="shared" si="11"/>
        <v>0</v>
      </c>
    </row>
    <row r="86" spans="1:43" x14ac:dyDescent="0.3">
      <c r="A86" s="31" t="str">
        <f>IFERROR(INDEX('G-1 All Habitats'!$AG$3:$AG$15,MATCH(E86,'G-1 All Habitats'!$AF$3:$AF$15,0)),"")</f>
        <v/>
      </c>
      <c r="B86" s="31" t="str">
        <f>IFERROR(INDEX('G-8 Condition Look up'!$I$4:$I$130,MATCH(G86,'G-8 Condition Look up'!$A$4:$A$130,0)),"")</f>
        <v/>
      </c>
      <c r="D86" s="141">
        <v>76</v>
      </c>
      <c r="E86" s="203"/>
      <c r="F86" s="203"/>
      <c r="G86" s="250" t="str">
        <f>IFERROR(INDEX('G-1 All Habitats'!$B$3:$B$129,MATCH(F86,'G-1 All Habitats'!$A$3:$A$129,0)),"")</f>
        <v/>
      </c>
      <c r="H86" s="172"/>
      <c r="I86" s="498" t="str">
        <f>IF(G86="","",VLOOKUP(G86,'G-1 All Habitats'!$B$2:$M$129,10,FALSE))</f>
        <v/>
      </c>
      <c r="J86" s="499" t="str">
        <f>IFERROR(VLOOKUP(I86,'G-1 All Habitats'!$V$3:$W$7,2,FALSE),"")</f>
        <v/>
      </c>
      <c r="K86" s="145"/>
      <c r="L86" s="499" t="str">
        <f>IFERROR(INDEX('G-8 Condition Look up'!$A$3:$H$130,MATCH(G86,'G-8 Condition Look up'!$A$3:$A$130,0),MATCH(K86,'G-8 Condition Look up'!$A$3:$H$3,0)),"")</f>
        <v/>
      </c>
      <c r="M86" s="154"/>
      <c r="N86" s="520" t="str">
        <f>IF(M86="","",IF(VLOOKUP(M86,'G-3 Multipliers'!$L$3:$N$6,2,FALSE)=0,"Spatial Data Missing ⚠",VLOOKUP(M86,'G-3 Multipliers'!$L$3:$N$6,2,FALSE)))</f>
        <v/>
      </c>
      <c r="O86" s="524" t="str">
        <f>IF(M86="","",IF(VLOOKUP(M86,'G-3 Multipliers'!$L$3:$N$6,3,FALSE)=0,"Spatial Data Missing ⚠",VLOOKUP(M86,'G-3 Multipliers'!$L$3:$N$6,3,FALSE)))</f>
        <v/>
      </c>
      <c r="P86" s="506" t="str">
        <f>IFERROR(VLOOKUP(G86,'G-1 All Habitats'!$B$2:$M$129,12,FALSE),"")</f>
        <v/>
      </c>
      <c r="Q86" s="513" t="str">
        <f>IFERROR(IF(P86="","",IF(AND(P86='G-1 All Habitats'!$X$3,T86&gt;0),U86+V86,IF(AND(P86='G-1 All Habitats'!$X$3,S86&gt;0),U86+V86,IF(AND(P86='G-1 All Habitats'!$X$3,AC86&gt;0),"Any Loss Unacceptable",IF(AND(P86='G-1 All Habitats'!$X$3,W86&gt;0),"Any Loss Unacceptable",H86*J86*L86*O86))))),"Check Data ⚠")</f>
        <v/>
      </c>
      <c r="R86" s="50"/>
      <c r="S86" s="71"/>
      <c r="T86" s="72"/>
      <c r="U86" s="511" t="str">
        <f t="shared" si="8"/>
        <v/>
      </c>
      <c r="V86" s="511" t="str">
        <f t="shared" si="9"/>
        <v/>
      </c>
      <c r="W86" s="511" t="str">
        <f>IF(E86="","",IF(H86&lt;S86+T86,"Error in Areas ▲",IF(P86&lt;&gt;'G-1 All Habitats'!$X$3,H86-S86-T86,IF(AND(P86='G-1 All Habitats'!$X$3,Y86="Yes"),"Unacceptable Loss ▲",IF(AND(P86='G-1 All Habitats'!$X$3,Y86="No"),AC86,IF(AND(P86='G-1 All Habitats'!$X$3,Y86=""),AC86,IF(AND(P86='G-1 All Habitats'!$X$3,AC86="None",AC86),IF(AND(P86='G-1 All Habitats'!$X$3,AC86&gt;0),H86-S86-T86))))))))</f>
        <v/>
      </c>
      <c r="X86" s="545" t="str">
        <f>IFERROR(IF(H86="","",IF(H86-S86-T86=0&lt;0,"Error in Areas ▲",IF(S86+T86&gt;H86,"Error in Areas ▲",IF(AND(P86='G-1 All Habitats'!$X$3,Y86="Yes"),"Alternative Compensation",IF(W86=0,0,IF(P86='G-1 All Habitats'!$X$3,"Unacceptable Loss",Q86-U86-V86)))))),"Check Data ⚠")</f>
        <v/>
      </c>
      <c r="Y86" s="72"/>
      <c r="Z86" s="151"/>
      <c r="AA86" s="152"/>
      <c r="AC86" s="251" t="str">
        <f>IF(P86="","",IF(P86='G-1 All Habitats'!$X$3,H86-S86-T86,"None"))</f>
        <v/>
      </c>
      <c r="AD86" s="252" t="str">
        <f t="shared" si="10"/>
        <v/>
      </c>
      <c r="AF86" s="156" t="str">
        <f t="shared" si="6"/>
        <v/>
      </c>
      <c r="AG86" s="156" t="str">
        <f t="shared" si="7"/>
        <v/>
      </c>
      <c r="AH86" s="156" t="str">
        <f>IF(I86="","",IF(#REF!&gt;0,TRUE,FALSE))</f>
        <v/>
      </c>
      <c r="AI86" s="156">
        <v>76</v>
      </c>
      <c r="AJ86" s="156"/>
      <c r="AK86" s="156" t="str">
        <f t="array" ref="AK86">IFERROR(INDEX($AI$11:$AI$259, MATCH(0, IF(TRUE=$AF$11:$AF$259, COUNTIF($AK$10:$AK85, $AI$11:$AI$259), ""), 0)),"")</f>
        <v/>
      </c>
      <c r="AL86" s="156" t="str">
        <f t="array" ref="AL86">IFERROR(INDEX($AI$11:$AI$259, MATCH(0, IF(TRUE=$AG$11:$AG$259, COUNTIF($AL$10:$AL85, $AI$11:$AI$259), ""), 0)),"")</f>
        <v/>
      </c>
      <c r="AM86" s="156" t="str">
        <f t="array" ref="AM86">IFERROR(INDEX($AI$11:$AI$259, MATCH(0, IF(TRUE=$AH$11:$AH$259, COUNTIF($AM$10:$AM85, $AI$11:$AI$259), ""), 0)),"")</f>
        <v/>
      </c>
      <c r="AQ86" s="31">
        <f t="shared" si="11"/>
        <v>0</v>
      </c>
    </row>
    <row r="87" spans="1:43" x14ac:dyDescent="0.3">
      <c r="A87" s="31" t="str">
        <f>IFERROR(INDEX('G-1 All Habitats'!$AG$3:$AG$15,MATCH(E87,'G-1 All Habitats'!$AF$3:$AF$15,0)),"")</f>
        <v/>
      </c>
      <c r="B87" s="31" t="str">
        <f>IFERROR(INDEX('G-8 Condition Look up'!$I$4:$I$130,MATCH(G87,'G-8 Condition Look up'!$A$4:$A$130,0)),"")</f>
        <v/>
      </c>
      <c r="D87" s="141">
        <v>77</v>
      </c>
      <c r="E87" s="203"/>
      <c r="F87" s="203"/>
      <c r="G87" s="250" t="str">
        <f>IFERROR(INDEX('G-1 All Habitats'!$B$3:$B$129,MATCH(F87,'G-1 All Habitats'!$A$3:$A$129,0)),"")</f>
        <v/>
      </c>
      <c r="H87" s="172"/>
      <c r="I87" s="498" t="str">
        <f>IF(G87="","",VLOOKUP(G87,'G-1 All Habitats'!$B$2:$M$129,10,FALSE))</f>
        <v/>
      </c>
      <c r="J87" s="499" t="str">
        <f>IFERROR(VLOOKUP(I87,'G-1 All Habitats'!$V$3:$W$7,2,FALSE),"")</f>
        <v/>
      </c>
      <c r="K87" s="145"/>
      <c r="L87" s="499" t="str">
        <f>IFERROR(INDEX('G-8 Condition Look up'!$A$3:$H$130,MATCH(G87,'G-8 Condition Look up'!$A$3:$A$130,0),MATCH(K87,'G-8 Condition Look up'!$A$3:$H$3,0)),"")</f>
        <v/>
      </c>
      <c r="M87" s="154"/>
      <c r="N87" s="520" t="str">
        <f>IF(M87="","",IF(VLOOKUP(M87,'G-3 Multipliers'!$L$3:$N$6,2,FALSE)=0,"Spatial Data Missing ⚠",VLOOKUP(M87,'G-3 Multipliers'!$L$3:$N$6,2,FALSE)))</f>
        <v/>
      </c>
      <c r="O87" s="524" t="str">
        <f>IF(M87="","",IF(VLOOKUP(M87,'G-3 Multipliers'!$L$3:$N$6,3,FALSE)=0,"Spatial Data Missing ⚠",VLOOKUP(M87,'G-3 Multipliers'!$L$3:$N$6,3,FALSE)))</f>
        <v/>
      </c>
      <c r="P87" s="506" t="str">
        <f>IFERROR(VLOOKUP(G87,'G-1 All Habitats'!$B$2:$M$129,12,FALSE),"")</f>
        <v/>
      </c>
      <c r="Q87" s="513" t="str">
        <f>IFERROR(IF(P87="","",IF(AND(P87='G-1 All Habitats'!$X$3,T87&gt;0),U87+V87,IF(AND(P87='G-1 All Habitats'!$X$3,S87&gt;0),U87+V87,IF(AND(P87='G-1 All Habitats'!$X$3,AC87&gt;0),"Any Loss Unacceptable",IF(AND(P87='G-1 All Habitats'!$X$3,W87&gt;0),"Any Loss Unacceptable",H87*J87*L87*O87))))),"Check Data ⚠")</f>
        <v/>
      </c>
      <c r="R87" s="50"/>
      <c r="S87" s="71"/>
      <c r="T87" s="72"/>
      <c r="U87" s="511" t="str">
        <f t="shared" si="8"/>
        <v/>
      </c>
      <c r="V87" s="511" t="str">
        <f t="shared" si="9"/>
        <v/>
      </c>
      <c r="W87" s="511" t="str">
        <f>IF(E87="","",IF(H87&lt;S87+T87,"Error in Areas ▲",IF(P87&lt;&gt;'G-1 All Habitats'!$X$3,H87-S87-T87,IF(AND(P87='G-1 All Habitats'!$X$3,Y87="Yes"),"Unacceptable Loss ▲",IF(AND(P87='G-1 All Habitats'!$X$3,Y87="No"),AC87,IF(AND(P87='G-1 All Habitats'!$X$3,Y87=""),AC87,IF(AND(P87='G-1 All Habitats'!$X$3,AC87="None",AC87),IF(AND(P87='G-1 All Habitats'!$X$3,AC87&gt;0),H87-S87-T87))))))))</f>
        <v/>
      </c>
      <c r="X87" s="545" t="str">
        <f>IFERROR(IF(H87="","",IF(H87-S87-T87=0&lt;0,"Error in Areas ▲",IF(S87+T87&gt;H87,"Error in Areas ▲",IF(AND(P87='G-1 All Habitats'!$X$3,Y87="Yes"),"Alternative Compensation",IF(W87=0,0,IF(P87='G-1 All Habitats'!$X$3,"Unacceptable Loss",Q87-U87-V87)))))),"Check Data ⚠")</f>
        <v/>
      </c>
      <c r="Y87" s="72"/>
      <c r="Z87" s="151"/>
      <c r="AA87" s="152"/>
      <c r="AC87" s="251" t="str">
        <f>IF(P87="","",IF(P87='G-1 All Habitats'!$X$3,H87-S87-T87,"None"))</f>
        <v/>
      </c>
      <c r="AD87" s="252" t="str">
        <f t="shared" si="10"/>
        <v/>
      </c>
      <c r="AF87" s="156" t="str">
        <f t="shared" si="6"/>
        <v/>
      </c>
      <c r="AG87" s="156" t="str">
        <f t="shared" si="7"/>
        <v/>
      </c>
      <c r="AH87" s="156" t="str">
        <f>IF(I87="","",IF(#REF!&gt;0,TRUE,FALSE))</f>
        <v/>
      </c>
      <c r="AI87" s="156">
        <v>77</v>
      </c>
      <c r="AJ87" s="156"/>
      <c r="AK87" s="156" t="str">
        <f t="array" ref="AK87">IFERROR(INDEX($AI$11:$AI$259, MATCH(0, IF(TRUE=$AF$11:$AF$259, COUNTIF($AK$10:$AK86, $AI$11:$AI$259), ""), 0)),"")</f>
        <v/>
      </c>
      <c r="AL87" s="156" t="str">
        <f t="array" ref="AL87">IFERROR(INDEX($AI$11:$AI$259, MATCH(0, IF(TRUE=$AG$11:$AG$259, COUNTIF($AL$10:$AL86, $AI$11:$AI$259), ""), 0)),"")</f>
        <v/>
      </c>
      <c r="AM87" s="156" t="str">
        <f t="array" ref="AM87">IFERROR(INDEX($AI$11:$AI$259, MATCH(0, IF(TRUE=$AH$11:$AH$259, COUNTIF($AM$10:$AM86, $AI$11:$AI$259), ""), 0)),"")</f>
        <v/>
      </c>
      <c r="AQ87" s="31">
        <f t="shared" si="11"/>
        <v>0</v>
      </c>
    </row>
    <row r="88" spans="1:43" x14ac:dyDescent="0.3">
      <c r="A88" s="31" t="str">
        <f>IFERROR(INDEX('G-1 All Habitats'!$AG$3:$AG$15,MATCH(E88,'G-1 All Habitats'!$AF$3:$AF$15,0)),"")</f>
        <v/>
      </c>
      <c r="B88" s="31" t="str">
        <f>IFERROR(INDEX('G-8 Condition Look up'!$I$4:$I$130,MATCH(G88,'G-8 Condition Look up'!$A$4:$A$130,0)),"")</f>
        <v/>
      </c>
      <c r="D88" s="141">
        <v>78</v>
      </c>
      <c r="E88" s="203"/>
      <c r="F88" s="203"/>
      <c r="G88" s="250" t="str">
        <f>IFERROR(INDEX('G-1 All Habitats'!$B$3:$B$129,MATCH(F88,'G-1 All Habitats'!$A$3:$A$129,0)),"")</f>
        <v/>
      </c>
      <c r="H88" s="172"/>
      <c r="I88" s="498" t="str">
        <f>IF(G88="","",VLOOKUP(G88,'G-1 All Habitats'!$B$2:$M$129,10,FALSE))</f>
        <v/>
      </c>
      <c r="J88" s="499" t="str">
        <f>IFERROR(VLOOKUP(I88,'G-1 All Habitats'!$V$3:$W$7,2,FALSE),"")</f>
        <v/>
      </c>
      <c r="K88" s="145"/>
      <c r="L88" s="499" t="str">
        <f>IFERROR(INDEX('G-8 Condition Look up'!$A$3:$H$130,MATCH(G88,'G-8 Condition Look up'!$A$3:$A$130,0),MATCH(K88,'G-8 Condition Look up'!$A$3:$H$3,0)),"")</f>
        <v/>
      </c>
      <c r="M88" s="154"/>
      <c r="N88" s="520" t="str">
        <f>IF(M88="","",IF(VLOOKUP(M88,'G-3 Multipliers'!$L$3:$N$6,2,FALSE)=0,"Spatial Data Missing ⚠",VLOOKUP(M88,'G-3 Multipliers'!$L$3:$N$6,2,FALSE)))</f>
        <v/>
      </c>
      <c r="O88" s="524" t="str">
        <f>IF(M88="","",IF(VLOOKUP(M88,'G-3 Multipliers'!$L$3:$N$6,3,FALSE)=0,"Spatial Data Missing ⚠",VLOOKUP(M88,'G-3 Multipliers'!$L$3:$N$6,3,FALSE)))</f>
        <v/>
      </c>
      <c r="P88" s="506" t="str">
        <f>IFERROR(VLOOKUP(G88,'G-1 All Habitats'!$B$2:$M$129,12,FALSE),"")</f>
        <v/>
      </c>
      <c r="Q88" s="513" t="str">
        <f>IFERROR(IF(P88="","",IF(AND(P88='G-1 All Habitats'!$X$3,T88&gt;0),U88+V88,IF(AND(P88='G-1 All Habitats'!$X$3,S88&gt;0),U88+V88,IF(AND(P88='G-1 All Habitats'!$X$3,AC88&gt;0),"Any Loss Unacceptable",IF(AND(P88='G-1 All Habitats'!$X$3,W88&gt;0),"Any Loss Unacceptable",H88*J88*L88*O88))))),"Check Data ⚠")</f>
        <v/>
      </c>
      <c r="R88" s="50"/>
      <c r="S88" s="71"/>
      <c r="T88" s="72"/>
      <c r="U88" s="511" t="str">
        <f t="shared" si="8"/>
        <v/>
      </c>
      <c r="V88" s="511" t="str">
        <f t="shared" si="9"/>
        <v/>
      </c>
      <c r="W88" s="511" t="str">
        <f>IF(E88="","",IF(H88&lt;S88+T88,"Error in Areas ▲",IF(P88&lt;&gt;'G-1 All Habitats'!$X$3,H88-S88-T88,IF(AND(P88='G-1 All Habitats'!$X$3,Y88="Yes"),"Unacceptable Loss ▲",IF(AND(P88='G-1 All Habitats'!$X$3,Y88="No"),AC88,IF(AND(P88='G-1 All Habitats'!$X$3,Y88=""),AC88,IF(AND(P88='G-1 All Habitats'!$X$3,AC88="None",AC88),IF(AND(P88='G-1 All Habitats'!$X$3,AC88&gt;0),H88-S88-T88))))))))</f>
        <v/>
      </c>
      <c r="X88" s="545" t="str">
        <f>IFERROR(IF(H88="","",IF(H88-S88-T88=0&lt;0,"Error in Areas ▲",IF(S88+T88&gt;H88,"Error in Areas ▲",IF(AND(P88='G-1 All Habitats'!$X$3,Y88="Yes"),"Alternative Compensation",IF(W88=0,0,IF(P88='G-1 All Habitats'!$X$3,"Unacceptable Loss",Q88-U88-V88)))))),"Check Data ⚠")</f>
        <v/>
      </c>
      <c r="Y88" s="72"/>
      <c r="Z88" s="151"/>
      <c r="AA88" s="152"/>
      <c r="AC88" s="251" t="str">
        <f>IF(P88="","",IF(P88='G-1 All Habitats'!$X$3,H88-S88-T88,"None"))</f>
        <v/>
      </c>
      <c r="AD88" s="252" t="str">
        <f t="shared" si="10"/>
        <v/>
      </c>
      <c r="AF88" s="156" t="str">
        <f t="shared" si="6"/>
        <v/>
      </c>
      <c r="AG88" s="156" t="str">
        <f t="shared" si="7"/>
        <v/>
      </c>
      <c r="AH88" s="156" t="str">
        <f>IF(I88="","",IF(#REF!&gt;0,TRUE,FALSE))</f>
        <v/>
      </c>
      <c r="AI88" s="156">
        <v>78</v>
      </c>
      <c r="AJ88" s="156"/>
      <c r="AK88" s="156" t="str">
        <f t="array" ref="AK88">IFERROR(INDEX($AI$11:$AI$259, MATCH(0, IF(TRUE=$AF$11:$AF$259, COUNTIF($AK$10:$AK87, $AI$11:$AI$259), ""), 0)),"")</f>
        <v/>
      </c>
      <c r="AL88" s="156" t="str">
        <f t="array" ref="AL88">IFERROR(INDEX($AI$11:$AI$259, MATCH(0, IF(TRUE=$AG$11:$AG$259, COUNTIF($AL$10:$AL87, $AI$11:$AI$259), ""), 0)),"")</f>
        <v/>
      </c>
      <c r="AM88" s="156" t="str">
        <f t="array" ref="AM88">IFERROR(INDEX($AI$11:$AI$259, MATCH(0, IF(TRUE=$AH$11:$AH$259, COUNTIF($AM$10:$AM87, $AI$11:$AI$259), ""), 0)),"")</f>
        <v/>
      </c>
      <c r="AQ88" s="31">
        <f t="shared" si="11"/>
        <v>0</v>
      </c>
    </row>
    <row r="89" spans="1:43" x14ac:dyDescent="0.3">
      <c r="A89" s="31" t="str">
        <f>IFERROR(INDEX('G-1 All Habitats'!$AG$3:$AG$15,MATCH(E89,'G-1 All Habitats'!$AF$3:$AF$15,0)),"")</f>
        <v/>
      </c>
      <c r="B89" s="31" t="str">
        <f>IFERROR(INDEX('G-8 Condition Look up'!$I$4:$I$130,MATCH(G89,'G-8 Condition Look up'!$A$4:$A$130,0)),"")</f>
        <v/>
      </c>
      <c r="D89" s="141">
        <v>79</v>
      </c>
      <c r="E89" s="203"/>
      <c r="F89" s="203"/>
      <c r="G89" s="250" t="str">
        <f>IFERROR(INDEX('G-1 All Habitats'!$B$3:$B$129,MATCH(F89,'G-1 All Habitats'!$A$3:$A$129,0)),"")</f>
        <v/>
      </c>
      <c r="H89" s="172"/>
      <c r="I89" s="498" t="str">
        <f>IF(G89="","",VLOOKUP(G89,'G-1 All Habitats'!$B$2:$M$129,10,FALSE))</f>
        <v/>
      </c>
      <c r="J89" s="499" t="str">
        <f>IFERROR(VLOOKUP(I89,'G-1 All Habitats'!$V$3:$W$7,2,FALSE),"")</f>
        <v/>
      </c>
      <c r="K89" s="145"/>
      <c r="L89" s="499" t="str">
        <f>IFERROR(INDEX('G-8 Condition Look up'!$A$3:$H$130,MATCH(G89,'G-8 Condition Look up'!$A$3:$A$130,0),MATCH(K89,'G-8 Condition Look up'!$A$3:$H$3,0)),"")</f>
        <v/>
      </c>
      <c r="M89" s="154"/>
      <c r="N89" s="520" t="str">
        <f>IF(M89="","",IF(VLOOKUP(M89,'G-3 Multipliers'!$L$3:$N$6,2,FALSE)=0,"Spatial Data Missing ⚠",VLOOKUP(M89,'G-3 Multipliers'!$L$3:$N$6,2,FALSE)))</f>
        <v/>
      </c>
      <c r="O89" s="524" t="str">
        <f>IF(M89="","",IF(VLOOKUP(M89,'G-3 Multipliers'!$L$3:$N$6,3,FALSE)=0,"Spatial Data Missing ⚠",VLOOKUP(M89,'G-3 Multipliers'!$L$3:$N$6,3,FALSE)))</f>
        <v/>
      </c>
      <c r="P89" s="506" t="str">
        <f>IFERROR(VLOOKUP(G89,'G-1 All Habitats'!$B$2:$M$129,12,FALSE),"")</f>
        <v/>
      </c>
      <c r="Q89" s="513" t="str">
        <f>IFERROR(IF(P89="","",IF(AND(P89='G-1 All Habitats'!$X$3,T89&gt;0),U89+V89,IF(AND(P89='G-1 All Habitats'!$X$3,S89&gt;0),U89+V89,IF(AND(P89='G-1 All Habitats'!$X$3,AC89&gt;0),"Any Loss Unacceptable",IF(AND(P89='G-1 All Habitats'!$X$3,W89&gt;0),"Any Loss Unacceptable",H89*J89*L89*O89))))),"Check Data ⚠")</f>
        <v/>
      </c>
      <c r="R89" s="50"/>
      <c r="S89" s="71"/>
      <c r="T89" s="72"/>
      <c r="U89" s="511" t="str">
        <f t="shared" si="8"/>
        <v/>
      </c>
      <c r="V89" s="511" t="str">
        <f t="shared" si="9"/>
        <v/>
      </c>
      <c r="W89" s="511" t="str">
        <f>IF(E89="","",IF(H89&lt;S89+T89,"Error in Areas ▲",IF(P89&lt;&gt;'G-1 All Habitats'!$X$3,H89-S89-T89,IF(AND(P89='G-1 All Habitats'!$X$3,Y89="Yes"),"Unacceptable Loss ▲",IF(AND(P89='G-1 All Habitats'!$X$3,Y89="No"),AC89,IF(AND(P89='G-1 All Habitats'!$X$3,Y89=""),AC89,IF(AND(P89='G-1 All Habitats'!$X$3,AC89="None",AC89),IF(AND(P89='G-1 All Habitats'!$X$3,AC89&gt;0),H89-S89-T89))))))))</f>
        <v/>
      </c>
      <c r="X89" s="545" t="str">
        <f>IFERROR(IF(H89="","",IF(H89-S89-T89=0&lt;0,"Error in Areas ▲",IF(S89+T89&gt;H89,"Error in Areas ▲",IF(AND(P89='G-1 All Habitats'!$X$3,Y89="Yes"),"Alternative Compensation",IF(W89=0,0,IF(P89='G-1 All Habitats'!$X$3,"Unacceptable Loss",Q89-U89-V89)))))),"Check Data ⚠")</f>
        <v/>
      </c>
      <c r="Y89" s="72"/>
      <c r="Z89" s="151"/>
      <c r="AA89" s="152"/>
      <c r="AC89" s="251" t="str">
        <f>IF(P89="","",IF(P89='G-1 All Habitats'!$X$3,H89-S89-T89,"None"))</f>
        <v/>
      </c>
      <c r="AD89" s="252" t="str">
        <f t="shared" si="10"/>
        <v/>
      </c>
      <c r="AF89" s="156" t="str">
        <f t="shared" si="6"/>
        <v/>
      </c>
      <c r="AG89" s="156" t="str">
        <f t="shared" si="7"/>
        <v/>
      </c>
      <c r="AH89" s="156" t="str">
        <f>IF(I89="","",IF(#REF!&gt;0,TRUE,FALSE))</f>
        <v/>
      </c>
      <c r="AI89" s="156">
        <v>79</v>
      </c>
      <c r="AJ89" s="156"/>
      <c r="AK89" s="156" t="str">
        <f t="array" ref="AK89">IFERROR(INDEX($AI$11:$AI$259, MATCH(0, IF(TRUE=$AF$11:$AF$259, COUNTIF($AK$10:$AK88, $AI$11:$AI$259), ""), 0)),"")</f>
        <v/>
      </c>
      <c r="AL89" s="156" t="str">
        <f t="array" ref="AL89">IFERROR(INDEX($AI$11:$AI$259, MATCH(0, IF(TRUE=$AG$11:$AG$259, COUNTIF($AL$10:$AL88, $AI$11:$AI$259), ""), 0)),"")</f>
        <v/>
      </c>
      <c r="AM89" s="156" t="str">
        <f t="array" ref="AM89">IFERROR(INDEX($AI$11:$AI$259, MATCH(0, IF(TRUE=$AH$11:$AH$259, COUNTIF($AM$10:$AM88, $AI$11:$AI$259), ""), 0)),"")</f>
        <v/>
      </c>
      <c r="AQ89" s="31">
        <f t="shared" si="11"/>
        <v>0</v>
      </c>
    </row>
    <row r="90" spans="1:43" x14ac:dyDescent="0.3">
      <c r="A90" s="31" t="str">
        <f>IFERROR(INDEX('G-1 All Habitats'!$AG$3:$AG$15,MATCH(E90,'G-1 All Habitats'!$AF$3:$AF$15,0)),"")</f>
        <v/>
      </c>
      <c r="B90" s="31" t="str">
        <f>IFERROR(INDEX('G-8 Condition Look up'!$I$4:$I$130,MATCH(G90,'G-8 Condition Look up'!$A$4:$A$130,0)),"")</f>
        <v/>
      </c>
      <c r="D90" s="141">
        <v>80</v>
      </c>
      <c r="E90" s="203"/>
      <c r="F90" s="203"/>
      <c r="G90" s="250" t="str">
        <f>IFERROR(INDEX('G-1 All Habitats'!$B$3:$B$129,MATCH(F90,'G-1 All Habitats'!$A$3:$A$129,0)),"")</f>
        <v/>
      </c>
      <c r="H90" s="172"/>
      <c r="I90" s="498" t="str">
        <f>IF(G90="","",VLOOKUP(G90,'G-1 All Habitats'!$B$2:$M$129,10,FALSE))</f>
        <v/>
      </c>
      <c r="J90" s="499" t="str">
        <f>IFERROR(VLOOKUP(I90,'G-1 All Habitats'!$V$3:$W$7,2,FALSE),"")</f>
        <v/>
      </c>
      <c r="K90" s="145"/>
      <c r="L90" s="499" t="str">
        <f>IFERROR(INDEX('G-8 Condition Look up'!$A$3:$H$130,MATCH(G90,'G-8 Condition Look up'!$A$3:$A$130,0),MATCH(K90,'G-8 Condition Look up'!$A$3:$H$3,0)),"")</f>
        <v/>
      </c>
      <c r="M90" s="154"/>
      <c r="N90" s="520" t="str">
        <f>IF(M90="","",IF(VLOOKUP(M90,'G-3 Multipliers'!$L$3:$N$6,2,FALSE)=0,"Spatial Data Missing ⚠",VLOOKUP(M90,'G-3 Multipliers'!$L$3:$N$6,2,FALSE)))</f>
        <v/>
      </c>
      <c r="O90" s="524" t="str">
        <f>IF(M90="","",IF(VLOOKUP(M90,'G-3 Multipliers'!$L$3:$N$6,3,FALSE)=0,"Spatial Data Missing ⚠",VLOOKUP(M90,'G-3 Multipliers'!$L$3:$N$6,3,FALSE)))</f>
        <v/>
      </c>
      <c r="P90" s="506" t="str">
        <f>IFERROR(VLOOKUP(G90,'G-1 All Habitats'!$B$2:$M$129,12,FALSE),"")</f>
        <v/>
      </c>
      <c r="Q90" s="513" t="str">
        <f>IFERROR(IF(P90="","",IF(AND(P90='G-1 All Habitats'!$X$3,T90&gt;0),U90+V90,IF(AND(P90='G-1 All Habitats'!$X$3,S90&gt;0),U90+V90,IF(AND(P90='G-1 All Habitats'!$X$3,AC90&gt;0),"Any Loss Unacceptable",IF(AND(P90='G-1 All Habitats'!$X$3,W90&gt;0),"Any Loss Unacceptable",H90*J90*L90*O90))))),"Check Data ⚠")</f>
        <v/>
      </c>
      <c r="R90" s="50"/>
      <c r="S90" s="71"/>
      <c r="T90" s="72"/>
      <c r="U90" s="511" t="str">
        <f t="shared" si="8"/>
        <v/>
      </c>
      <c r="V90" s="511" t="str">
        <f t="shared" si="9"/>
        <v/>
      </c>
      <c r="W90" s="511" t="str">
        <f>IF(E90="","",IF(H90&lt;S90+T90,"Error in Areas ▲",IF(P90&lt;&gt;'G-1 All Habitats'!$X$3,H90-S90-T90,IF(AND(P90='G-1 All Habitats'!$X$3,Y90="Yes"),"Unacceptable Loss ▲",IF(AND(P90='G-1 All Habitats'!$X$3,Y90="No"),AC90,IF(AND(P90='G-1 All Habitats'!$X$3,Y90=""),AC90,IF(AND(P90='G-1 All Habitats'!$X$3,AC90="None",AC90),IF(AND(P90='G-1 All Habitats'!$X$3,AC90&gt;0),H90-S90-T90))))))))</f>
        <v/>
      </c>
      <c r="X90" s="545" t="str">
        <f>IFERROR(IF(H90="","",IF(H90-S90-T90=0&lt;0,"Error in Areas ▲",IF(S90+T90&gt;H90,"Error in Areas ▲",IF(AND(P90='G-1 All Habitats'!$X$3,Y90="Yes"),"Alternative Compensation",IF(W90=0,0,IF(P90='G-1 All Habitats'!$X$3,"Unacceptable Loss",Q90-U90-V90)))))),"Check Data ⚠")</f>
        <v/>
      </c>
      <c r="Y90" s="72"/>
      <c r="Z90" s="151"/>
      <c r="AA90" s="152"/>
      <c r="AC90" s="251" t="str">
        <f>IF(P90="","",IF(P90='G-1 All Habitats'!$X$3,H90-S90-T90,"None"))</f>
        <v/>
      </c>
      <c r="AD90" s="252" t="str">
        <f t="shared" si="10"/>
        <v/>
      </c>
      <c r="AF90" s="156" t="str">
        <f t="shared" si="6"/>
        <v/>
      </c>
      <c r="AG90" s="156" t="str">
        <f t="shared" si="7"/>
        <v/>
      </c>
      <c r="AH90" s="156" t="str">
        <f>IF(I90="","",IF(#REF!&gt;0,TRUE,FALSE))</f>
        <v/>
      </c>
      <c r="AI90" s="156">
        <v>80</v>
      </c>
      <c r="AJ90" s="156"/>
      <c r="AK90" s="156" t="str">
        <f t="array" ref="AK90">IFERROR(INDEX($AI$11:$AI$259, MATCH(0, IF(TRUE=$AF$11:$AF$259, COUNTIF($AK$10:$AK89, $AI$11:$AI$259), ""), 0)),"")</f>
        <v/>
      </c>
      <c r="AL90" s="156" t="str">
        <f t="array" ref="AL90">IFERROR(INDEX($AI$11:$AI$259, MATCH(0, IF(TRUE=$AG$11:$AG$259, COUNTIF($AL$10:$AL89, $AI$11:$AI$259), ""), 0)),"")</f>
        <v/>
      </c>
      <c r="AM90" s="156" t="str">
        <f t="array" ref="AM90">IFERROR(INDEX($AI$11:$AI$259, MATCH(0, IF(TRUE=$AH$11:$AH$259, COUNTIF($AM$10:$AM89, $AI$11:$AI$259), ""), 0)),"")</f>
        <v/>
      </c>
      <c r="AQ90" s="31">
        <f t="shared" si="11"/>
        <v>0</v>
      </c>
    </row>
    <row r="91" spans="1:43" x14ac:dyDescent="0.3">
      <c r="A91" s="31" t="str">
        <f>IFERROR(INDEX('G-1 All Habitats'!$AG$3:$AG$15,MATCH(E91,'G-1 All Habitats'!$AF$3:$AF$15,0)),"")</f>
        <v/>
      </c>
      <c r="B91" s="31" t="str">
        <f>IFERROR(INDEX('G-8 Condition Look up'!$I$4:$I$130,MATCH(G91,'G-8 Condition Look up'!$A$4:$A$130,0)),"")</f>
        <v/>
      </c>
      <c r="D91" s="141">
        <v>81</v>
      </c>
      <c r="E91" s="203"/>
      <c r="F91" s="203"/>
      <c r="G91" s="250" t="str">
        <f>IFERROR(INDEX('G-1 All Habitats'!$B$3:$B$129,MATCH(F91,'G-1 All Habitats'!$A$3:$A$129,0)),"")</f>
        <v/>
      </c>
      <c r="H91" s="172"/>
      <c r="I91" s="498" t="str">
        <f>IF(G91="","",VLOOKUP(G91,'G-1 All Habitats'!$B$2:$M$129,10,FALSE))</f>
        <v/>
      </c>
      <c r="J91" s="499" t="str">
        <f>IFERROR(VLOOKUP(I91,'G-1 All Habitats'!$V$3:$W$7,2,FALSE),"")</f>
        <v/>
      </c>
      <c r="K91" s="145"/>
      <c r="L91" s="499" t="str">
        <f>IFERROR(INDEX('G-8 Condition Look up'!$A$3:$H$130,MATCH(G91,'G-8 Condition Look up'!$A$3:$A$130,0),MATCH(K91,'G-8 Condition Look up'!$A$3:$H$3,0)),"")</f>
        <v/>
      </c>
      <c r="M91" s="154"/>
      <c r="N91" s="520" t="str">
        <f>IF(M91="","",IF(VLOOKUP(M91,'G-3 Multipliers'!$L$3:$N$6,2,FALSE)=0,"Spatial Data Missing ⚠",VLOOKUP(M91,'G-3 Multipliers'!$L$3:$N$6,2,FALSE)))</f>
        <v/>
      </c>
      <c r="O91" s="524" t="str">
        <f>IF(M91="","",IF(VLOOKUP(M91,'G-3 Multipliers'!$L$3:$N$6,3,FALSE)=0,"Spatial Data Missing ⚠",VLOOKUP(M91,'G-3 Multipliers'!$L$3:$N$6,3,FALSE)))</f>
        <v/>
      </c>
      <c r="P91" s="506" t="str">
        <f>IFERROR(VLOOKUP(G91,'G-1 All Habitats'!$B$2:$M$129,12,FALSE),"")</f>
        <v/>
      </c>
      <c r="Q91" s="513" t="str">
        <f>IFERROR(IF(P91="","",IF(AND(P91='G-1 All Habitats'!$X$3,T91&gt;0),U91+V91,IF(AND(P91='G-1 All Habitats'!$X$3,S91&gt;0),U91+V91,IF(AND(P91='G-1 All Habitats'!$X$3,AC91&gt;0),"Any Loss Unacceptable",IF(AND(P91='G-1 All Habitats'!$X$3,W91&gt;0),"Any Loss Unacceptable",H91*J91*L91*O91))))),"Check Data ⚠")</f>
        <v/>
      </c>
      <c r="R91" s="50"/>
      <c r="S91" s="71"/>
      <c r="T91" s="72"/>
      <c r="U91" s="511" t="str">
        <f t="shared" si="8"/>
        <v/>
      </c>
      <c r="V91" s="511" t="str">
        <f t="shared" si="9"/>
        <v/>
      </c>
      <c r="W91" s="511" t="str">
        <f>IF(E91="","",IF(H91&lt;S91+T91,"Error in Areas ▲",IF(P91&lt;&gt;'G-1 All Habitats'!$X$3,H91-S91-T91,IF(AND(P91='G-1 All Habitats'!$X$3,Y91="Yes"),"Unacceptable Loss ▲",IF(AND(P91='G-1 All Habitats'!$X$3,Y91="No"),AC91,IF(AND(P91='G-1 All Habitats'!$X$3,Y91=""),AC91,IF(AND(P91='G-1 All Habitats'!$X$3,AC91="None",AC91),IF(AND(P91='G-1 All Habitats'!$X$3,AC91&gt;0),H91-S91-T91))))))))</f>
        <v/>
      </c>
      <c r="X91" s="545" t="str">
        <f>IFERROR(IF(H91="","",IF(H91-S91-T91=0&lt;0,"Error in Areas ▲",IF(S91+T91&gt;H91,"Error in Areas ▲",IF(AND(P91='G-1 All Habitats'!$X$3,Y91="Yes"),"Alternative Compensation",IF(W91=0,0,IF(P91='G-1 All Habitats'!$X$3,"Unacceptable Loss",Q91-U91-V91)))))),"Check Data ⚠")</f>
        <v/>
      </c>
      <c r="Y91" s="72"/>
      <c r="Z91" s="151"/>
      <c r="AA91" s="152"/>
      <c r="AC91" s="251" t="str">
        <f>IF(P91="","",IF(P91='G-1 All Habitats'!$X$3,H91-S91-T91,"None"))</f>
        <v/>
      </c>
      <c r="AD91" s="252" t="str">
        <f t="shared" si="10"/>
        <v/>
      </c>
      <c r="AF91" s="156" t="str">
        <f t="shared" si="6"/>
        <v/>
      </c>
      <c r="AG91" s="156" t="str">
        <f t="shared" si="7"/>
        <v/>
      </c>
      <c r="AH91" s="156" t="str">
        <f>IF(I91="","",IF(#REF!&gt;0,TRUE,FALSE))</f>
        <v/>
      </c>
      <c r="AI91" s="156">
        <v>81</v>
      </c>
      <c r="AJ91" s="156"/>
      <c r="AK91" s="156" t="str">
        <f t="array" ref="AK91">IFERROR(INDEX($AI$11:$AI$259, MATCH(0, IF(TRUE=$AF$11:$AF$259, COUNTIF($AK$10:$AK90, $AI$11:$AI$259), ""), 0)),"")</f>
        <v/>
      </c>
      <c r="AL91" s="156" t="str">
        <f t="array" ref="AL91">IFERROR(INDEX($AI$11:$AI$259, MATCH(0, IF(TRUE=$AG$11:$AG$259, COUNTIF($AL$10:$AL90, $AI$11:$AI$259), ""), 0)),"")</f>
        <v/>
      </c>
      <c r="AM91" s="156" t="str">
        <f t="array" ref="AM91">IFERROR(INDEX($AI$11:$AI$259, MATCH(0, IF(TRUE=$AH$11:$AH$259, COUNTIF($AM$10:$AM90, $AI$11:$AI$259), ""), 0)),"")</f>
        <v/>
      </c>
      <c r="AQ91" s="31">
        <f t="shared" si="11"/>
        <v>0</v>
      </c>
    </row>
    <row r="92" spans="1:43" x14ac:dyDescent="0.3">
      <c r="A92" s="31" t="str">
        <f>IFERROR(INDEX('G-1 All Habitats'!$AG$3:$AG$15,MATCH(E92,'G-1 All Habitats'!$AF$3:$AF$15,0)),"")</f>
        <v/>
      </c>
      <c r="B92" s="31" t="str">
        <f>IFERROR(INDEX('G-8 Condition Look up'!$I$4:$I$130,MATCH(G92,'G-8 Condition Look up'!$A$4:$A$130,0)),"")</f>
        <v/>
      </c>
      <c r="D92" s="141">
        <v>82</v>
      </c>
      <c r="E92" s="203"/>
      <c r="F92" s="203"/>
      <c r="G92" s="250" t="str">
        <f>IFERROR(INDEX('G-1 All Habitats'!$B$3:$B$129,MATCH(F92,'G-1 All Habitats'!$A$3:$A$129,0)),"")</f>
        <v/>
      </c>
      <c r="H92" s="172"/>
      <c r="I92" s="498" t="str">
        <f>IF(G92="","",VLOOKUP(G92,'G-1 All Habitats'!$B$2:$M$129,10,FALSE))</f>
        <v/>
      </c>
      <c r="J92" s="499" t="str">
        <f>IFERROR(VLOOKUP(I92,'G-1 All Habitats'!$V$3:$W$7,2,FALSE),"")</f>
        <v/>
      </c>
      <c r="K92" s="145"/>
      <c r="L92" s="499" t="str">
        <f>IFERROR(INDEX('G-8 Condition Look up'!$A$3:$H$130,MATCH(G92,'G-8 Condition Look up'!$A$3:$A$130,0),MATCH(K92,'G-8 Condition Look up'!$A$3:$H$3,0)),"")</f>
        <v/>
      </c>
      <c r="M92" s="154"/>
      <c r="N92" s="520" t="str">
        <f>IF(M92="","",IF(VLOOKUP(M92,'G-3 Multipliers'!$L$3:$N$6,2,FALSE)=0,"Spatial Data Missing ⚠",VLOOKUP(M92,'G-3 Multipliers'!$L$3:$N$6,2,FALSE)))</f>
        <v/>
      </c>
      <c r="O92" s="524" t="str">
        <f>IF(M92="","",IF(VLOOKUP(M92,'G-3 Multipliers'!$L$3:$N$6,3,FALSE)=0,"Spatial Data Missing ⚠",VLOOKUP(M92,'G-3 Multipliers'!$L$3:$N$6,3,FALSE)))</f>
        <v/>
      </c>
      <c r="P92" s="506" t="str">
        <f>IFERROR(VLOOKUP(G92,'G-1 All Habitats'!$B$2:$M$129,12,FALSE),"")</f>
        <v/>
      </c>
      <c r="Q92" s="513" t="str">
        <f>IFERROR(IF(P92="","",IF(AND(P92='G-1 All Habitats'!$X$3,T92&gt;0),U92+V92,IF(AND(P92='G-1 All Habitats'!$X$3,S92&gt;0),U92+V92,IF(AND(P92='G-1 All Habitats'!$X$3,AC92&gt;0),"Any Loss Unacceptable",IF(AND(P92='G-1 All Habitats'!$X$3,W92&gt;0),"Any Loss Unacceptable",H92*J92*L92*O92))))),"Check Data ⚠")</f>
        <v/>
      </c>
      <c r="R92" s="50"/>
      <c r="S92" s="71"/>
      <c r="T92" s="72"/>
      <c r="U92" s="511" t="str">
        <f t="shared" si="8"/>
        <v/>
      </c>
      <c r="V92" s="511" t="str">
        <f t="shared" si="9"/>
        <v/>
      </c>
      <c r="W92" s="511" t="str">
        <f>IF(E92="","",IF(H92&lt;S92+T92,"Error in Areas ▲",IF(P92&lt;&gt;'G-1 All Habitats'!$X$3,H92-S92-T92,IF(AND(P92='G-1 All Habitats'!$X$3,Y92="Yes"),"Unacceptable Loss ▲",IF(AND(P92='G-1 All Habitats'!$X$3,Y92="No"),AC92,IF(AND(P92='G-1 All Habitats'!$X$3,Y92=""),AC92,IF(AND(P92='G-1 All Habitats'!$X$3,AC92="None",AC92),IF(AND(P92='G-1 All Habitats'!$X$3,AC92&gt;0),H92-S92-T92))))))))</f>
        <v/>
      </c>
      <c r="X92" s="545" t="str">
        <f>IFERROR(IF(H92="","",IF(H92-S92-T92=0&lt;0,"Error in Areas ▲",IF(S92+T92&gt;H92,"Error in Areas ▲",IF(AND(P92='G-1 All Habitats'!$X$3,Y92="Yes"),"Alternative Compensation",IF(W92=0,0,IF(P92='G-1 All Habitats'!$X$3,"Unacceptable Loss",Q92-U92-V92)))))),"Check Data ⚠")</f>
        <v/>
      </c>
      <c r="Y92" s="72"/>
      <c r="Z92" s="151"/>
      <c r="AA92" s="152"/>
      <c r="AC92" s="251" t="str">
        <f>IF(P92="","",IF(P92='G-1 All Habitats'!$X$3,H92-S92-T92,"None"))</f>
        <v/>
      </c>
      <c r="AD92" s="252" t="str">
        <f t="shared" si="10"/>
        <v/>
      </c>
      <c r="AF92" s="156" t="str">
        <f t="shared" si="6"/>
        <v/>
      </c>
      <c r="AG92" s="156" t="str">
        <f t="shared" si="7"/>
        <v/>
      </c>
      <c r="AH92" s="156" t="str">
        <f>IF(I92="","",IF(#REF!&gt;0,TRUE,FALSE))</f>
        <v/>
      </c>
      <c r="AI92" s="156">
        <v>82</v>
      </c>
      <c r="AJ92" s="156"/>
      <c r="AK92" s="156" t="str">
        <f t="array" ref="AK92">IFERROR(INDEX($AI$11:$AI$259, MATCH(0, IF(TRUE=$AF$11:$AF$259, COUNTIF($AK$10:$AK91, $AI$11:$AI$259), ""), 0)),"")</f>
        <v/>
      </c>
      <c r="AL92" s="156" t="str">
        <f t="array" ref="AL92">IFERROR(INDEX($AI$11:$AI$259, MATCH(0, IF(TRUE=$AG$11:$AG$259, COUNTIF($AL$10:$AL91, $AI$11:$AI$259), ""), 0)),"")</f>
        <v/>
      </c>
      <c r="AM92" s="156" t="str">
        <f t="array" ref="AM92">IFERROR(INDEX($AI$11:$AI$259, MATCH(0, IF(TRUE=$AH$11:$AH$259, COUNTIF($AM$10:$AM91, $AI$11:$AI$259), ""), 0)),"")</f>
        <v/>
      </c>
      <c r="AQ92" s="31">
        <f t="shared" si="11"/>
        <v>0</v>
      </c>
    </row>
    <row r="93" spans="1:43" x14ac:dyDescent="0.3">
      <c r="A93" s="31" t="str">
        <f>IFERROR(INDEX('G-1 All Habitats'!$AG$3:$AG$15,MATCH(E93,'G-1 All Habitats'!$AF$3:$AF$15,0)),"")</f>
        <v/>
      </c>
      <c r="B93" s="31" t="str">
        <f>IFERROR(INDEX('G-8 Condition Look up'!$I$4:$I$130,MATCH(G93,'G-8 Condition Look up'!$A$4:$A$130,0)),"")</f>
        <v/>
      </c>
      <c r="D93" s="141">
        <v>83</v>
      </c>
      <c r="E93" s="203"/>
      <c r="F93" s="203"/>
      <c r="G93" s="250" t="str">
        <f>IFERROR(INDEX('G-1 All Habitats'!$B$3:$B$129,MATCH(F93,'G-1 All Habitats'!$A$3:$A$129,0)),"")</f>
        <v/>
      </c>
      <c r="H93" s="172"/>
      <c r="I93" s="498" t="str">
        <f>IF(G93="","",VLOOKUP(G93,'G-1 All Habitats'!$B$2:$M$129,10,FALSE))</f>
        <v/>
      </c>
      <c r="J93" s="499" t="str">
        <f>IFERROR(VLOOKUP(I93,'G-1 All Habitats'!$V$3:$W$7,2,FALSE),"")</f>
        <v/>
      </c>
      <c r="K93" s="145"/>
      <c r="L93" s="499" t="str">
        <f>IFERROR(INDEX('G-8 Condition Look up'!$A$3:$H$130,MATCH(G93,'G-8 Condition Look up'!$A$3:$A$130,0),MATCH(K93,'G-8 Condition Look up'!$A$3:$H$3,0)),"")</f>
        <v/>
      </c>
      <c r="M93" s="154"/>
      <c r="N93" s="520" t="str">
        <f>IF(M93="","",IF(VLOOKUP(M93,'G-3 Multipliers'!$L$3:$N$6,2,FALSE)=0,"Spatial Data Missing ⚠",VLOOKUP(M93,'G-3 Multipliers'!$L$3:$N$6,2,FALSE)))</f>
        <v/>
      </c>
      <c r="O93" s="524" t="str">
        <f>IF(M93="","",IF(VLOOKUP(M93,'G-3 Multipliers'!$L$3:$N$6,3,FALSE)=0,"Spatial Data Missing ⚠",VLOOKUP(M93,'G-3 Multipliers'!$L$3:$N$6,3,FALSE)))</f>
        <v/>
      </c>
      <c r="P93" s="506" t="str">
        <f>IFERROR(VLOOKUP(G93,'G-1 All Habitats'!$B$2:$M$129,12,FALSE),"")</f>
        <v/>
      </c>
      <c r="Q93" s="513" t="str">
        <f>IFERROR(IF(P93="","",IF(AND(P93='G-1 All Habitats'!$X$3,T93&gt;0),U93+V93,IF(AND(P93='G-1 All Habitats'!$X$3,S93&gt;0),U93+V93,IF(AND(P93='G-1 All Habitats'!$X$3,AC93&gt;0),"Any Loss Unacceptable",IF(AND(P93='G-1 All Habitats'!$X$3,W93&gt;0),"Any Loss Unacceptable",H93*J93*L93*O93))))),"Check Data ⚠")</f>
        <v/>
      </c>
      <c r="R93" s="50"/>
      <c r="S93" s="71"/>
      <c r="T93" s="72"/>
      <c r="U93" s="511" t="str">
        <f t="shared" si="8"/>
        <v/>
      </c>
      <c r="V93" s="511" t="str">
        <f t="shared" si="9"/>
        <v/>
      </c>
      <c r="W93" s="511" t="str">
        <f>IF(E93="","",IF(H93&lt;S93+T93,"Error in Areas ▲",IF(P93&lt;&gt;'G-1 All Habitats'!$X$3,H93-S93-T93,IF(AND(P93='G-1 All Habitats'!$X$3,Y93="Yes"),"Unacceptable Loss ▲",IF(AND(P93='G-1 All Habitats'!$X$3,Y93="No"),AC93,IF(AND(P93='G-1 All Habitats'!$X$3,Y93=""),AC93,IF(AND(P93='G-1 All Habitats'!$X$3,AC93="None",AC93),IF(AND(P93='G-1 All Habitats'!$X$3,AC93&gt;0),H93-S93-T93))))))))</f>
        <v/>
      </c>
      <c r="X93" s="545" t="str">
        <f>IFERROR(IF(H93="","",IF(H93-S93-T93=0&lt;0,"Error in Areas ▲",IF(S93+T93&gt;H93,"Error in Areas ▲",IF(AND(P93='G-1 All Habitats'!$X$3,Y93="Yes"),"Alternative Compensation",IF(W93=0,0,IF(P93='G-1 All Habitats'!$X$3,"Unacceptable Loss",Q93-U93-V93)))))),"Check Data ⚠")</f>
        <v/>
      </c>
      <c r="Y93" s="72"/>
      <c r="Z93" s="151"/>
      <c r="AA93" s="152"/>
      <c r="AC93" s="251" t="str">
        <f>IF(P93="","",IF(P93='G-1 All Habitats'!$X$3,H93-S93-T93,"None"))</f>
        <v/>
      </c>
      <c r="AD93" s="252" t="str">
        <f t="shared" si="10"/>
        <v/>
      </c>
      <c r="AF93" s="156" t="str">
        <f t="shared" si="6"/>
        <v/>
      </c>
      <c r="AG93" s="156" t="str">
        <f t="shared" si="7"/>
        <v/>
      </c>
      <c r="AH93" s="156" t="str">
        <f>IF(I93="","",IF(#REF!&gt;0,TRUE,FALSE))</f>
        <v/>
      </c>
      <c r="AI93" s="156">
        <v>83</v>
      </c>
      <c r="AJ93" s="156"/>
      <c r="AK93" s="156" t="str">
        <f t="array" ref="AK93">IFERROR(INDEX($AI$11:$AI$259, MATCH(0, IF(TRUE=$AF$11:$AF$259, COUNTIF($AK$10:$AK92, $AI$11:$AI$259), ""), 0)),"")</f>
        <v/>
      </c>
      <c r="AL93" s="156" t="str">
        <f t="array" ref="AL93">IFERROR(INDEX($AI$11:$AI$259, MATCH(0, IF(TRUE=$AG$11:$AG$259, COUNTIF($AL$10:$AL92, $AI$11:$AI$259), ""), 0)),"")</f>
        <v/>
      </c>
      <c r="AM93" s="156" t="str">
        <f t="array" ref="AM93">IFERROR(INDEX($AI$11:$AI$259, MATCH(0, IF(TRUE=$AH$11:$AH$259, COUNTIF($AM$10:$AM92, $AI$11:$AI$259), ""), 0)),"")</f>
        <v/>
      </c>
      <c r="AQ93" s="31">
        <f t="shared" si="11"/>
        <v>0</v>
      </c>
    </row>
    <row r="94" spans="1:43" x14ac:dyDescent="0.3">
      <c r="A94" s="31" t="str">
        <f>IFERROR(INDEX('G-1 All Habitats'!$AG$3:$AG$15,MATCH(E94,'G-1 All Habitats'!$AF$3:$AF$15,0)),"")</f>
        <v/>
      </c>
      <c r="B94" s="31" t="str">
        <f>IFERROR(INDEX('G-8 Condition Look up'!$I$4:$I$130,MATCH(G94,'G-8 Condition Look up'!$A$4:$A$130,0)),"")</f>
        <v/>
      </c>
      <c r="D94" s="141">
        <v>84</v>
      </c>
      <c r="E94" s="203"/>
      <c r="F94" s="203"/>
      <c r="G94" s="250" t="str">
        <f>IFERROR(INDEX('G-1 All Habitats'!$B$3:$B$129,MATCH(F94,'G-1 All Habitats'!$A$3:$A$129,0)),"")</f>
        <v/>
      </c>
      <c r="H94" s="172"/>
      <c r="I94" s="498" t="str">
        <f>IF(G94="","",VLOOKUP(G94,'G-1 All Habitats'!$B$2:$M$129,10,FALSE))</f>
        <v/>
      </c>
      <c r="J94" s="499" t="str">
        <f>IFERROR(VLOOKUP(I94,'G-1 All Habitats'!$V$3:$W$7,2,FALSE),"")</f>
        <v/>
      </c>
      <c r="K94" s="145"/>
      <c r="L94" s="499" t="str">
        <f>IFERROR(INDEX('G-8 Condition Look up'!$A$3:$H$130,MATCH(G94,'G-8 Condition Look up'!$A$3:$A$130,0),MATCH(K94,'G-8 Condition Look up'!$A$3:$H$3,0)),"")</f>
        <v/>
      </c>
      <c r="M94" s="154"/>
      <c r="N94" s="520" t="str">
        <f>IF(M94="","",IF(VLOOKUP(M94,'G-3 Multipliers'!$L$3:$N$6,2,FALSE)=0,"Spatial Data Missing ⚠",VLOOKUP(M94,'G-3 Multipliers'!$L$3:$N$6,2,FALSE)))</f>
        <v/>
      </c>
      <c r="O94" s="524" t="str">
        <f>IF(M94="","",IF(VLOOKUP(M94,'G-3 Multipliers'!$L$3:$N$6,3,FALSE)=0,"Spatial Data Missing ⚠",VLOOKUP(M94,'G-3 Multipliers'!$L$3:$N$6,3,FALSE)))</f>
        <v/>
      </c>
      <c r="P94" s="506" t="str">
        <f>IFERROR(VLOOKUP(G94,'G-1 All Habitats'!$B$2:$M$129,12,FALSE),"")</f>
        <v/>
      </c>
      <c r="Q94" s="513" t="str">
        <f>IFERROR(IF(P94="","",IF(AND(P94='G-1 All Habitats'!$X$3,T94&gt;0),U94+V94,IF(AND(P94='G-1 All Habitats'!$X$3,S94&gt;0),U94+V94,IF(AND(P94='G-1 All Habitats'!$X$3,AC94&gt;0),"Any Loss Unacceptable",IF(AND(P94='G-1 All Habitats'!$X$3,W94&gt;0),"Any Loss Unacceptable",H94*J94*L94*O94))))),"Check Data ⚠")</f>
        <v/>
      </c>
      <c r="R94" s="50"/>
      <c r="S94" s="71"/>
      <c r="T94" s="72"/>
      <c r="U94" s="511" t="str">
        <f t="shared" si="8"/>
        <v/>
      </c>
      <c r="V94" s="511" t="str">
        <f t="shared" si="9"/>
        <v/>
      </c>
      <c r="W94" s="511" t="str">
        <f>IF(E94="","",IF(H94&lt;S94+T94,"Error in Areas ▲",IF(P94&lt;&gt;'G-1 All Habitats'!$X$3,H94-S94-T94,IF(AND(P94='G-1 All Habitats'!$X$3,Y94="Yes"),"Unacceptable Loss ▲",IF(AND(P94='G-1 All Habitats'!$X$3,Y94="No"),AC94,IF(AND(P94='G-1 All Habitats'!$X$3,Y94=""),AC94,IF(AND(P94='G-1 All Habitats'!$X$3,AC94="None",AC94),IF(AND(P94='G-1 All Habitats'!$X$3,AC94&gt;0),H94-S94-T94))))))))</f>
        <v/>
      </c>
      <c r="X94" s="545" t="str">
        <f>IFERROR(IF(H94="","",IF(H94-S94-T94=0&lt;0,"Error in Areas ▲",IF(S94+T94&gt;H94,"Error in Areas ▲",IF(AND(P94='G-1 All Habitats'!$X$3,Y94="Yes"),"Alternative Compensation",IF(W94=0,0,IF(P94='G-1 All Habitats'!$X$3,"Unacceptable Loss",Q94-U94-V94)))))),"Check Data ⚠")</f>
        <v/>
      </c>
      <c r="Y94" s="72"/>
      <c r="Z94" s="151"/>
      <c r="AA94" s="152"/>
      <c r="AC94" s="251" t="str">
        <f>IF(P94="","",IF(P94='G-1 All Habitats'!$X$3,H94-S94-T94,"None"))</f>
        <v/>
      </c>
      <c r="AD94" s="252" t="str">
        <f t="shared" si="10"/>
        <v/>
      </c>
      <c r="AF94" s="156" t="str">
        <f t="shared" si="6"/>
        <v/>
      </c>
      <c r="AG94" s="156" t="str">
        <f t="shared" si="7"/>
        <v/>
      </c>
      <c r="AH94" s="156" t="str">
        <f>IF(I94="","",IF(#REF!&gt;0,TRUE,FALSE))</f>
        <v/>
      </c>
      <c r="AI94" s="156">
        <v>84</v>
      </c>
      <c r="AJ94" s="156"/>
      <c r="AK94" s="156" t="str">
        <f t="array" ref="AK94">IFERROR(INDEX($AI$11:$AI$259, MATCH(0, IF(TRUE=$AF$11:$AF$259, COUNTIF($AK$10:$AK93, $AI$11:$AI$259), ""), 0)),"")</f>
        <v/>
      </c>
      <c r="AL94" s="156" t="str">
        <f t="array" ref="AL94">IFERROR(INDEX($AI$11:$AI$259, MATCH(0, IF(TRUE=$AG$11:$AG$259, COUNTIF($AL$10:$AL93, $AI$11:$AI$259), ""), 0)),"")</f>
        <v/>
      </c>
      <c r="AM94" s="156" t="str">
        <f t="array" ref="AM94">IFERROR(INDEX($AI$11:$AI$259, MATCH(0, IF(TRUE=$AH$11:$AH$259, COUNTIF($AM$10:$AM93, $AI$11:$AI$259), ""), 0)),"")</f>
        <v/>
      </c>
      <c r="AQ94" s="31">
        <f t="shared" si="11"/>
        <v>0</v>
      </c>
    </row>
    <row r="95" spans="1:43" x14ac:dyDescent="0.3">
      <c r="A95" s="31" t="str">
        <f>IFERROR(INDEX('G-1 All Habitats'!$AG$3:$AG$15,MATCH(E95,'G-1 All Habitats'!$AF$3:$AF$15,0)),"")</f>
        <v/>
      </c>
      <c r="B95" s="31" t="str">
        <f>IFERROR(INDEX('G-8 Condition Look up'!$I$4:$I$130,MATCH(G95,'G-8 Condition Look up'!$A$4:$A$130,0)),"")</f>
        <v/>
      </c>
      <c r="D95" s="141">
        <v>85</v>
      </c>
      <c r="E95" s="203"/>
      <c r="F95" s="203"/>
      <c r="G95" s="250" t="str">
        <f>IFERROR(INDEX('G-1 All Habitats'!$B$3:$B$129,MATCH(F95,'G-1 All Habitats'!$A$3:$A$129,0)),"")</f>
        <v/>
      </c>
      <c r="H95" s="172"/>
      <c r="I95" s="498" t="str">
        <f>IF(G95="","",VLOOKUP(G95,'G-1 All Habitats'!$B$2:$M$129,10,FALSE))</f>
        <v/>
      </c>
      <c r="J95" s="499" t="str">
        <f>IFERROR(VLOOKUP(I95,'G-1 All Habitats'!$V$3:$W$7,2,FALSE),"")</f>
        <v/>
      </c>
      <c r="K95" s="145"/>
      <c r="L95" s="499" t="str">
        <f>IFERROR(INDEX('G-8 Condition Look up'!$A$3:$H$130,MATCH(G95,'G-8 Condition Look up'!$A$3:$A$130,0),MATCH(K95,'G-8 Condition Look up'!$A$3:$H$3,0)),"")</f>
        <v/>
      </c>
      <c r="M95" s="154"/>
      <c r="N95" s="520" t="str">
        <f>IF(M95="","",IF(VLOOKUP(M95,'G-3 Multipliers'!$L$3:$N$6,2,FALSE)=0,"Spatial Data Missing ⚠",VLOOKUP(M95,'G-3 Multipliers'!$L$3:$N$6,2,FALSE)))</f>
        <v/>
      </c>
      <c r="O95" s="524" t="str">
        <f>IF(M95="","",IF(VLOOKUP(M95,'G-3 Multipliers'!$L$3:$N$6,3,FALSE)=0,"Spatial Data Missing ⚠",VLOOKUP(M95,'G-3 Multipliers'!$L$3:$N$6,3,FALSE)))</f>
        <v/>
      </c>
      <c r="P95" s="506" t="str">
        <f>IFERROR(VLOOKUP(G95,'G-1 All Habitats'!$B$2:$M$129,12,FALSE),"")</f>
        <v/>
      </c>
      <c r="Q95" s="513" t="str">
        <f>IFERROR(IF(P95="","",IF(AND(P95='G-1 All Habitats'!$X$3,T95&gt;0),U95+V95,IF(AND(P95='G-1 All Habitats'!$X$3,S95&gt;0),U95+V95,IF(AND(P95='G-1 All Habitats'!$X$3,AC95&gt;0),"Any Loss Unacceptable",IF(AND(P95='G-1 All Habitats'!$X$3,W95&gt;0),"Any Loss Unacceptable",H95*J95*L95*O95))))),"Check Data ⚠")</f>
        <v/>
      </c>
      <c r="R95" s="50"/>
      <c r="S95" s="71"/>
      <c r="T95" s="72"/>
      <c r="U95" s="511" t="str">
        <f t="shared" si="8"/>
        <v/>
      </c>
      <c r="V95" s="511" t="str">
        <f t="shared" si="9"/>
        <v/>
      </c>
      <c r="W95" s="511" t="str">
        <f>IF(E95="","",IF(H95&lt;S95+T95,"Error in Areas ▲",IF(P95&lt;&gt;'G-1 All Habitats'!$X$3,H95-S95-T95,IF(AND(P95='G-1 All Habitats'!$X$3,Y95="Yes"),"Unacceptable Loss ▲",IF(AND(P95='G-1 All Habitats'!$X$3,Y95="No"),AC95,IF(AND(P95='G-1 All Habitats'!$X$3,Y95=""),AC95,IF(AND(P95='G-1 All Habitats'!$X$3,AC95="None",AC95),IF(AND(P95='G-1 All Habitats'!$X$3,AC95&gt;0),H95-S95-T95))))))))</f>
        <v/>
      </c>
      <c r="X95" s="545" t="str">
        <f>IFERROR(IF(H95="","",IF(H95-S95-T95=0&lt;0,"Error in Areas ▲",IF(S95+T95&gt;H95,"Error in Areas ▲",IF(AND(P95='G-1 All Habitats'!$X$3,Y95="Yes"),"Alternative Compensation",IF(W95=0,0,IF(P95='G-1 All Habitats'!$X$3,"Unacceptable Loss",Q95-U95-V95)))))),"Check Data ⚠")</f>
        <v/>
      </c>
      <c r="Y95" s="72"/>
      <c r="Z95" s="151"/>
      <c r="AA95" s="152"/>
      <c r="AC95" s="251" t="str">
        <f>IF(P95="","",IF(P95='G-1 All Habitats'!$X$3,H95-S95-T95,"None"))</f>
        <v/>
      </c>
      <c r="AD95" s="252" t="str">
        <f t="shared" si="10"/>
        <v/>
      </c>
      <c r="AF95" s="156" t="str">
        <f t="shared" si="6"/>
        <v/>
      </c>
      <c r="AG95" s="156" t="str">
        <f t="shared" si="7"/>
        <v/>
      </c>
      <c r="AH95" s="156" t="str">
        <f>IF(I95="","",IF(#REF!&gt;0,TRUE,FALSE))</f>
        <v/>
      </c>
      <c r="AI95" s="156">
        <v>85</v>
      </c>
      <c r="AJ95" s="156"/>
      <c r="AK95" s="156" t="str">
        <f t="array" ref="AK95">IFERROR(INDEX($AI$11:$AI$259, MATCH(0, IF(TRUE=$AF$11:$AF$259, COUNTIF($AK$10:$AK94, $AI$11:$AI$259), ""), 0)),"")</f>
        <v/>
      </c>
      <c r="AL95" s="156" t="str">
        <f t="array" ref="AL95">IFERROR(INDEX($AI$11:$AI$259, MATCH(0, IF(TRUE=$AG$11:$AG$259, COUNTIF($AL$10:$AL94, $AI$11:$AI$259), ""), 0)),"")</f>
        <v/>
      </c>
      <c r="AM95" s="156" t="str">
        <f t="array" ref="AM95">IFERROR(INDEX($AI$11:$AI$259, MATCH(0, IF(TRUE=$AH$11:$AH$259, COUNTIF($AM$10:$AM94, $AI$11:$AI$259), ""), 0)),"")</f>
        <v/>
      </c>
      <c r="AQ95" s="31">
        <f t="shared" si="11"/>
        <v>0</v>
      </c>
    </row>
    <row r="96" spans="1:43" x14ac:dyDescent="0.3">
      <c r="A96" s="31" t="str">
        <f>IFERROR(INDEX('G-1 All Habitats'!$AG$3:$AG$15,MATCH(E96,'G-1 All Habitats'!$AF$3:$AF$15,0)),"")</f>
        <v/>
      </c>
      <c r="B96" s="31" t="str">
        <f>IFERROR(INDEX('G-8 Condition Look up'!$I$4:$I$130,MATCH(G96,'G-8 Condition Look up'!$A$4:$A$130,0)),"")</f>
        <v/>
      </c>
      <c r="D96" s="141">
        <v>86</v>
      </c>
      <c r="E96" s="203"/>
      <c r="F96" s="203"/>
      <c r="G96" s="250" t="str">
        <f>IFERROR(INDEX('G-1 All Habitats'!$B$3:$B$129,MATCH(F96,'G-1 All Habitats'!$A$3:$A$129,0)),"")</f>
        <v/>
      </c>
      <c r="H96" s="172"/>
      <c r="I96" s="498" t="str">
        <f>IF(G96="","",VLOOKUP(G96,'G-1 All Habitats'!$B$2:$M$129,10,FALSE))</f>
        <v/>
      </c>
      <c r="J96" s="499" t="str">
        <f>IFERROR(VLOOKUP(I96,'G-1 All Habitats'!$V$3:$W$7,2,FALSE),"")</f>
        <v/>
      </c>
      <c r="K96" s="145"/>
      <c r="L96" s="499" t="str">
        <f>IFERROR(INDEX('G-8 Condition Look up'!$A$3:$H$130,MATCH(G96,'G-8 Condition Look up'!$A$3:$A$130,0),MATCH(K96,'G-8 Condition Look up'!$A$3:$H$3,0)),"")</f>
        <v/>
      </c>
      <c r="M96" s="154"/>
      <c r="N96" s="520" t="str">
        <f>IF(M96="","",IF(VLOOKUP(M96,'G-3 Multipliers'!$L$3:$N$6,2,FALSE)=0,"Spatial Data Missing ⚠",VLOOKUP(M96,'G-3 Multipliers'!$L$3:$N$6,2,FALSE)))</f>
        <v/>
      </c>
      <c r="O96" s="524" t="str">
        <f>IF(M96="","",IF(VLOOKUP(M96,'G-3 Multipliers'!$L$3:$N$6,3,FALSE)=0,"Spatial Data Missing ⚠",VLOOKUP(M96,'G-3 Multipliers'!$L$3:$N$6,3,FALSE)))</f>
        <v/>
      </c>
      <c r="P96" s="506" t="str">
        <f>IFERROR(VLOOKUP(G96,'G-1 All Habitats'!$B$2:$M$129,12,FALSE),"")</f>
        <v/>
      </c>
      <c r="Q96" s="513" t="str">
        <f>IFERROR(IF(P96="","",IF(AND(P96='G-1 All Habitats'!$X$3,T96&gt;0),U96+V96,IF(AND(P96='G-1 All Habitats'!$X$3,S96&gt;0),U96+V96,IF(AND(P96='G-1 All Habitats'!$X$3,AC96&gt;0),"Any Loss Unacceptable",IF(AND(P96='G-1 All Habitats'!$X$3,W96&gt;0),"Any Loss Unacceptable",H96*J96*L96*O96))))),"Check Data ⚠")</f>
        <v/>
      </c>
      <c r="R96" s="50"/>
      <c r="S96" s="71"/>
      <c r="T96" s="72"/>
      <c r="U96" s="511" t="str">
        <f t="shared" si="8"/>
        <v/>
      </c>
      <c r="V96" s="511" t="str">
        <f t="shared" si="9"/>
        <v/>
      </c>
      <c r="W96" s="511" t="str">
        <f>IF(E96="","",IF(H96&lt;S96+T96,"Error in Areas ▲",IF(P96&lt;&gt;'G-1 All Habitats'!$X$3,H96-S96-T96,IF(AND(P96='G-1 All Habitats'!$X$3,Y96="Yes"),"Unacceptable Loss ▲",IF(AND(P96='G-1 All Habitats'!$X$3,Y96="No"),AC96,IF(AND(P96='G-1 All Habitats'!$X$3,Y96=""),AC96,IF(AND(P96='G-1 All Habitats'!$X$3,AC96="None",AC96),IF(AND(P96='G-1 All Habitats'!$X$3,AC96&gt;0),H96-S96-T96))))))))</f>
        <v/>
      </c>
      <c r="X96" s="545" t="str">
        <f>IFERROR(IF(H96="","",IF(H96-S96-T96=0&lt;0,"Error in Areas ▲",IF(S96+T96&gt;H96,"Error in Areas ▲",IF(AND(P96='G-1 All Habitats'!$X$3,Y96="Yes"),"Alternative Compensation",IF(W96=0,0,IF(P96='G-1 All Habitats'!$X$3,"Unacceptable Loss",Q96-U96-V96)))))),"Check Data ⚠")</f>
        <v/>
      </c>
      <c r="Y96" s="72"/>
      <c r="Z96" s="151"/>
      <c r="AA96" s="152"/>
      <c r="AC96" s="251" t="str">
        <f>IF(P96="","",IF(P96='G-1 All Habitats'!$X$3,H96-S96-T96,"None"))</f>
        <v/>
      </c>
      <c r="AD96" s="252" t="str">
        <f t="shared" si="10"/>
        <v/>
      </c>
      <c r="AF96" s="156" t="str">
        <f t="shared" si="6"/>
        <v/>
      </c>
      <c r="AG96" s="156" t="str">
        <f t="shared" si="7"/>
        <v/>
      </c>
      <c r="AH96" s="156" t="str">
        <f>IF(I96="","",IF(#REF!&gt;0,TRUE,FALSE))</f>
        <v/>
      </c>
      <c r="AI96" s="156">
        <v>86</v>
      </c>
      <c r="AJ96" s="156"/>
      <c r="AK96" s="156" t="str">
        <f t="array" ref="AK96">IFERROR(INDEX($AI$11:$AI$259, MATCH(0, IF(TRUE=$AF$11:$AF$259, COUNTIF($AK$10:$AK95, $AI$11:$AI$259), ""), 0)),"")</f>
        <v/>
      </c>
      <c r="AL96" s="156" t="str">
        <f t="array" ref="AL96">IFERROR(INDEX($AI$11:$AI$259, MATCH(0, IF(TRUE=$AG$11:$AG$259, COUNTIF($AL$10:$AL95, $AI$11:$AI$259), ""), 0)),"")</f>
        <v/>
      </c>
      <c r="AM96" s="156" t="str">
        <f t="array" ref="AM96">IFERROR(INDEX($AI$11:$AI$259, MATCH(0, IF(TRUE=$AH$11:$AH$259, COUNTIF($AM$10:$AM95, $AI$11:$AI$259), ""), 0)),"")</f>
        <v/>
      </c>
      <c r="AQ96" s="31">
        <f t="shared" si="11"/>
        <v>0</v>
      </c>
    </row>
    <row r="97" spans="1:43" x14ac:dyDescent="0.3">
      <c r="A97" s="31" t="str">
        <f>IFERROR(INDEX('G-1 All Habitats'!$AG$3:$AG$15,MATCH(E97,'G-1 All Habitats'!$AF$3:$AF$15,0)),"")</f>
        <v/>
      </c>
      <c r="B97" s="31" t="str">
        <f>IFERROR(INDEX('G-8 Condition Look up'!$I$4:$I$130,MATCH(G97,'G-8 Condition Look up'!$A$4:$A$130,0)),"")</f>
        <v/>
      </c>
      <c r="D97" s="141">
        <v>87</v>
      </c>
      <c r="E97" s="203"/>
      <c r="F97" s="203"/>
      <c r="G97" s="250" t="str">
        <f>IFERROR(INDEX('G-1 All Habitats'!$B$3:$B$129,MATCH(F97,'G-1 All Habitats'!$A$3:$A$129,0)),"")</f>
        <v/>
      </c>
      <c r="H97" s="172"/>
      <c r="I97" s="498" t="str">
        <f>IF(G97="","",VLOOKUP(G97,'G-1 All Habitats'!$B$2:$M$129,10,FALSE))</f>
        <v/>
      </c>
      <c r="J97" s="499" t="str">
        <f>IFERROR(VLOOKUP(I97,'G-1 All Habitats'!$V$3:$W$7,2,FALSE),"")</f>
        <v/>
      </c>
      <c r="K97" s="145"/>
      <c r="L97" s="499" t="str">
        <f>IFERROR(INDEX('G-8 Condition Look up'!$A$3:$H$130,MATCH(G97,'G-8 Condition Look up'!$A$3:$A$130,0),MATCH(K97,'G-8 Condition Look up'!$A$3:$H$3,0)),"")</f>
        <v/>
      </c>
      <c r="M97" s="154"/>
      <c r="N97" s="520" t="str">
        <f>IF(M97="","",IF(VLOOKUP(M97,'G-3 Multipliers'!$L$3:$N$6,2,FALSE)=0,"Spatial Data Missing ⚠",VLOOKUP(M97,'G-3 Multipliers'!$L$3:$N$6,2,FALSE)))</f>
        <v/>
      </c>
      <c r="O97" s="524" t="str">
        <f>IF(M97="","",IF(VLOOKUP(M97,'G-3 Multipliers'!$L$3:$N$6,3,FALSE)=0,"Spatial Data Missing ⚠",VLOOKUP(M97,'G-3 Multipliers'!$L$3:$N$6,3,FALSE)))</f>
        <v/>
      </c>
      <c r="P97" s="506" t="str">
        <f>IFERROR(VLOOKUP(G97,'G-1 All Habitats'!$B$2:$M$129,12,FALSE),"")</f>
        <v/>
      </c>
      <c r="Q97" s="513" t="str">
        <f>IFERROR(IF(P97="","",IF(AND(P97='G-1 All Habitats'!$X$3,T97&gt;0),U97+V97,IF(AND(P97='G-1 All Habitats'!$X$3,S97&gt;0),U97+V97,IF(AND(P97='G-1 All Habitats'!$X$3,AC97&gt;0),"Any Loss Unacceptable",IF(AND(P97='G-1 All Habitats'!$X$3,W97&gt;0),"Any Loss Unacceptable",H97*J97*L97*O97))))),"Check Data ⚠")</f>
        <v/>
      </c>
      <c r="R97" s="50"/>
      <c r="S97" s="71"/>
      <c r="T97" s="72"/>
      <c r="U97" s="511" t="str">
        <f t="shared" si="8"/>
        <v/>
      </c>
      <c r="V97" s="511" t="str">
        <f t="shared" si="9"/>
        <v/>
      </c>
      <c r="W97" s="511" t="str">
        <f>IF(E97="","",IF(H97&lt;S97+T97,"Error in Areas ▲",IF(P97&lt;&gt;'G-1 All Habitats'!$X$3,H97-S97-T97,IF(AND(P97='G-1 All Habitats'!$X$3,Y97="Yes"),"Unacceptable Loss ▲",IF(AND(P97='G-1 All Habitats'!$X$3,Y97="No"),AC97,IF(AND(P97='G-1 All Habitats'!$X$3,Y97=""),AC97,IF(AND(P97='G-1 All Habitats'!$X$3,AC97="None",AC97),IF(AND(P97='G-1 All Habitats'!$X$3,AC97&gt;0),H97-S97-T97))))))))</f>
        <v/>
      </c>
      <c r="X97" s="545" t="str">
        <f>IFERROR(IF(H97="","",IF(H97-S97-T97=0&lt;0,"Error in Areas ▲",IF(S97+T97&gt;H97,"Error in Areas ▲",IF(AND(P97='G-1 All Habitats'!$X$3,Y97="Yes"),"Alternative Compensation",IF(W97=0,0,IF(P97='G-1 All Habitats'!$X$3,"Unacceptable Loss",Q97-U97-V97)))))),"Check Data ⚠")</f>
        <v/>
      </c>
      <c r="Y97" s="72"/>
      <c r="Z97" s="151"/>
      <c r="AA97" s="152"/>
      <c r="AC97" s="251" t="str">
        <f>IF(P97="","",IF(P97='G-1 All Habitats'!$X$3,H97-S97-T97,"None"))</f>
        <v/>
      </c>
      <c r="AD97" s="252" t="str">
        <f t="shared" si="10"/>
        <v/>
      </c>
      <c r="AF97" s="156" t="str">
        <f t="shared" si="6"/>
        <v/>
      </c>
      <c r="AG97" s="156" t="str">
        <f t="shared" si="7"/>
        <v/>
      </c>
      <c r="AH97" s="156" t="str">
        <f>IF(I97="","",IF(#REF!&gt;0,TRUE,FALSE))</f>
        <v/>
      </c>
      <c r="AI97" s="156">
        <v>87</v>
      </c>
      <c r="AJ97" s="156"/>
      <c r="AK97" s="156" t="str">
        <f t="array" ref="AK97">IFERROR(INDEX($AI$11:$AI$259, MATCH(0, IF(TRUE=$AF$11:$AF$259, COUNTIF($AK$10:$AK96, $AI$11:$AI$259), ""), 0)),"")</f>
        <v/>
      </c>
      <c r="AL97" s="156" t="str">
        <f t="array" ref="AL97">IFERROR(INDEX($AI$11:$AI$259, MATCH(0, IF(TRUE=$AG$11:$AG$259, COUNTIF($AL$10:$AL96, $AI$11:$AI$259), ""), 0)),"")</f>
        <v/>
      </c>
      <c r="AM97" s="156" t="str">
        <f t="array" ref="AM97">IFERROR(INDEX($AI$11:$AI$259, MATCH(0, IF(TRUE=$AH$11:$AH$259, COUNTIF($AM$10:$AM96, $AI$11:$AI$259), ""), 0)),"")</f>
        <v/>
      </c>
      <c r="AQ97" s="31">
        <f t="shared" si="11"/>
        <v>0</v>
      </c>
    </row>
    <row r="98" spans="1:43" x14ac:dyDescent="0.3">
      <c r="A98" s="31" t="str">
        <f>IFERROR(INDEX('G-1 All Habitats'!$AG$3:$AG$15,MATCH(E98,'G-1 All Habitats'!$AF$3:$AF$15,0)),"")</f>
        <v/>
      </c>
      <c r="B98" s="31" t="str">
        <f>IFERROR(INDEX('G-8 Condition Look up'!$I$4:$I$130,MATCH(G98,'G-8 Condition Look up'!$A$4:$A$130,0)),"")</f>
        <v/>
      </c>
      <c r="D98" s="141">
        <v>88</v>
      </c>
      <c r="E98" s="203"/>
      <c r="F98" s="203"/>
      <c r="G98" s="250" t="str">
        <f>IFERROR(INDEX('G-1 All Habitats'!$B$3:$B$129,MATCH(F98,'G-1 All Habitats'!$A$3:$A$129,0)),"")</f>
        <v/>
      </c>
      <c r="H98" s="172"/>
      <c r="I98" s="498" t="str">
        <f>IF(G98="","",VLOOKUP(G98,'G-1 All Habitats'!$B$2:$M$129,10,FALSE))</f>
        <v/>
      </c>
      <c r="J98" s="499" t="str">
        <f>IFERROR(VLOOKUP(I98,'G-1 All Habitats'!$V$3:$W$7,2,FALSE),"")</f>
        <v/>
      </c>
      <c r="K98" s="145"/>
      <c r="L98" s="499" t="str">
        <f>IFERROR(INDEX('G-8 Condition Look up'!$A$3:$H$130,MATCH(G98,'G-8 Condition Look up'!$A$3:$A$130,0),MATCH(K98,'G-8 Condition Look up'!$A$3:$H$3,0)),"")</f>
        <v/>
      </c>
      <c r="M98" s="154"/>
      <c r="N98" s="520" t="str">
        <f>IF(M98="","",IF(VLOOKUP(M98,'G-3 Multipliers'!$L$3:$N$6,2,FALSE)=0,"Spatial Data Missing ⚠",VLOOKUP(M98,'G-3 Multipliers'!$L$3:$N$6,2,FALSE)))</f>
        <v/>
      </c>
      <c r="O98" s="524" t="str">
        <f>IF(M98="","",IF(VLOOKUP(M98,'G-3 Multipliers'!$L$3:$N$6,3,FALSE)=0,"Spatial Data Missing ⚠",VLOOKUP(M98,'G-3 Multipliers'!$L$3:$N$6,3,FALSE)))</f>
        <v/>
      </c>
      <c r="P98" s="506" t="str">
        <f>IFERROR(VLOOKUP(G98,'G-1 All Habitats'!$B$2:$M$129,12,FALSE),"")</f>
        <v/>
      </c>
      <c r="Q98" s="513" t="str">
        <f>IFERROR(IF(P98="","",IF(AND(P98='G-1 All Habitats'!$X$3,T98&gt;0),U98+V98,IF(AND(P98='G-1 All Habitats'!$X$3,S98&gt;0),U98+V98,IF(AND(P98='G-1 All Habitats'!$X$3,AC98&gt;0),"Any Loss Unacceptable",IF(AND(P98='G-1 All Habitats'!$X$3,W98&gt;0),"Any Loss Unacceptable",H98*J98*L98*O98))))),"Check Data ⚠")</f>
        <v/>
      </c>
      <c r="R98" s="50"/>
      <c r="S98" s="71"/>
      <c r="T98" s="72"/>
      <c r="U98" s="511" t="str">
        <f t="shared" si="8"/>
        <v/>
      </c>
      <c r="V98" s="511" t="str">
        <f t="shared" si="9"/>
        <v/>
      </c>
      <c r="W98" s="511" t="str">
        <f>IF(E98="","",IF(H98&lt;S98+T98,"Error in Areas ▲",IF(P98&lt;&gt;'G-1 All Habitats'!$X$3,H98-S98-T98,IF(AND(P98='G-1 All Habitats'!$X$3,Y98="Yes"),"Unacceptable Loss ▲",IF(AND(P98='G-1 All Habitats'!$X$3,Y98="No"),AC98,IF(AND(P98='G-1 All Habitats'!$X$3,Y98=""),AC98,IF(AND(P98='G-1 All Habitats'!$X$3,AC98="None",AC98),IF(AND(P98='G-1 All Habitats'!$X$3,AC98&gt;0),H98-S98-T98))))))))</f>
        <v/>
      </c>
      <c r="X98" s="545" t="str">
        <f>IFERROR(IF(H98="","",IF(H98-S98-T98=0&lt;0,"Error in Areas ▲",IF(S98+T98&gt;H98,"Error in Areas ▲",IF(AND(P98='G-1 All Habitats'!$X$3,Y98="Yes"),"Alternative Compensation",IF(W98=0,0,IF(P98='G-1 All Habitats'!$X$3,"Unacceptable Loss",Q98-U98-V98)))))),"Check Data ⚠")</f>
        <v/>
      </c>
      <c r="Y98" s="72"/>
      <c r="Z98" s="151"/>
      <c r="AA98" s="152"/>
      <c r="AC98" s="251" t="str">
        <f>IF(P98="","",IF(P98='G-1 All Habitats'!$X$3,H98-S98-T98,"None"))</f>
        <v/>
      </c>
      <c r="AD98" s="252" t="str">
        <f t="shared" si="10"/>
        <v/>
      </c>
      <c r="AF98" s="156" t="str">
        <f t="shared" si="6"/>
        <v/>
      </c>
      <c r="AG98" s="156" t="str">
        <f t="shared" si="7"/>
        <v/>
      </c>
      <c r="AH98" s="156" t="str">
        <f>IF(I98="","",IF(#REF!&gt;0,TRUE,FALSE))</f>
        <v/>
      </c>
      <c r="AI98" s="156">
        <v>88</v>
      </c>
      <c r="AJ98" s="156"/>
      <c r="AK98" s="156" t="str">
        <f t="array" ref="AK98">IFERROR(INDEX($AI$11:$AI$259, MATCH(0, IF(TRUE=$AF$11:$AF$259, COUNTIF($AK$10:$AK97, $AI$11:$AI$259), ""), 0)),"")</f>
        <v/>
      </c>
      <c r="AL98" s="156" t="str">
        <f t="array" ref="AL98">IFERROR(INDEX($AI$11:$AI$259, MATCH(0, IF(TRUE=$AG$11:$AG$259, COUNTIF($AL$10:$AL97, $AI$11:$AI$259), ""), 0)),"")</f>
        <v/>
      </c>
      <c r="AM98" s="156" t="str">
        <f t="array" ref="AM98">IFERROR(INDEX($AI$11:$AI$259, MATCH(0, IF(TRUE=$AH$11:$AH$259, COUNTIF($AM$10:$AM97, $AI$11:$AI$259), ""), 0)),"")</f>
        <v/>
      </c>
      <c r="AQ98" s="31">
        <f t="shared" si="11"/>
        <v>0</v>
      </c>
    </row>
    <row r="99" spans="1:43" x14ac:dyDescent="0.3">
      <c r="A99" s="31" t="str">
        <f>IFERROR(INDEX('G-1 All Habitats'!$AG$3:$AG$15,MATCH(E99,'G-1 All Habitats'!$AF$3:$AF$15,0)),"")</f>
        <v/>
      </c>
      <c r="B99" s="31" t="str">
        <f>IFERROR(INDEX('G-8 Condition Look up'!$I$4:$I$130,MATCH(G99,'G-8 Condition Look up'!$A$4:$A$130,0)),"")</f>
        <v/>
      </c>
      <c r="D99" s="141">
        <v>89</v>
      </c>
      <c r="E99" s="203"/>
      <c r="F99" s="203"/>
      <c r="G99" s="250" t="str">
        <f>IFERROR(INDEX('G-1 All Habitats'!$B$3:$B$129,MATCH(F99,'G-1 All Habitats'!$A$3:$A$129,0)),"")</f>
        <v/>
      </c>
      <c r="H99" s="172"/>
      <c r="I99" s="498" t="str">
        <f>IF(G99="","",VLOOKUP(G99,'G-1 All Habitats'!$B$2:$M$129,10,FALSE))</f>
        <v/>
      </c>
      <c r="J99" s="499" t="str">
        <f>IFERROR(VLOOKUP(I99,'G-1 All Habitats'!$V$3:$W$7,2,FALSE),"")</f>
        <v/>
      </c>
      <c r="K99" s="145"/>
      <c r="L99" s="499" t="str">
        <f>IFERROR(INDEX('G-8 Condition Look up'!$A$3:$H$130,MATCH(G99,'G-8 Condition Look up'!$A$3:$A$130,0),MATCH(K99,'G-8 Condition Look up'!$A$3:$H$3,0)),"")</f>
        <v/>
      </c>
      <c r="M99" s="154"/>
      <c r="N99" s="520" t="str">
        <f>IF(M99="","",IF(VLOOKUP(M99,'G-3 Multipliers'!$L$3:$N$6,2,FALSE)=0,"Spatial Data Missing ⚠",VLOOKUP(M99,'G-3 Multipliers'!$L$3:$N$6,2,FALSE)))</f>
        <v/>
      </c>
      <c r="O99" s="524" t="str">
        <f>IF(M99="","",IF(VLOOKUP(M99,'G-3 Multipliers'!$L$3:$N$6,3,FALSE)=0,"Spatial Data Missing ⚠",VLOOKUP(M99,'G-3 Multipliers'!$L$3:$N$6,3,FALSE)))</f>
        <v/>
      </c>
      <c r="P99" s="506" t="str">
        <f>IFERROR(VLOOKUP(G99,'G-1 All Habitats'!$B$2:$M$129,12,FALSE),"")</f>
        <v/>
      </c>
      <c r="Q99" s="513" t="str">
        <f>IFERROR(IF(P99="","",IF(AND(P99='G-1 All Habitats'!$X$3,T99&gt;0),U99+V99,IF(AND(P99='G-1 All Habitats'!$X$3,S99&gt;0),U99+V99,IF(AND(P99='G-1 All Habitats'!$X$3,AC99&gt;0),"Any Loss Unacceptable",IF(AND(P99='G-1 All Habitats'!$X$3,W99&gt;0),"Any Loss Unacceptable",H99*J99*L99*O99))))),"Check Data ⚠")</f>
        <v/>
      </c>
      <c r="R99" s="50"/>
      <c r="S99" s="71"/>
      <c r="T99" s="72"/>
      <c r="U99" s="511" t="str">
        <f t="shared" si="8"/>
        <v/>
      </c>
      <c r="V99" s="511" t="str">
        <f t="shared" si="9"/>
        <v/>
      </c>
      <c r="W99" s="511" t="str">
        <f>IF(E99="","",IF(H99&lt;S99+T99,"Error in Areas ▲",IF(P99&lt;&gt;'G-1 All Habitats'!$X$3,H99-S99-T99,IF(AND(P99='G-1 All Habitats'!$X$3,Y99="Yes"),"Unacceptable Loss ▲",IF(AND(P99='G-1 All Habitats'!$X$3,Y99="No"),AC99,IF(AND(P99='G-1 All Habitats'!$X$3,Y99=""),AC99,IF(AND(P99='G-1 All Habitats'!$X$3,AC99="None",AC99),IF(AND(P99='G-1 All Habitats'!$X$3,AC99&gt;0),H99-S99-T99))))))))</f>
        <v/>
      </c>
      <c r="X99" s="545" t="str">
        <f>IFERROR(IF(H99="","",IF(H99-S99-T99=0&lt;0,"Error in Areas ▲",IF(S99+T99&gt;H99,"Error in Areas ▲",IF(AND(P99='G-1 All Habitats'!$X$3,Y99="Yes"),"Alternative Compensation",IF(W99=0,0,IF(P99='G-1 All Habitats'!$X$3,"Unacceptable Loss",Q99-U99-V99)))))),"Check Data ⚠")</f>
        <v/>
      </c>
      <c r="Y99" s="72"/>
      <c r="Z99" s="151"/>
      <c r="AA99" s="152"/>
      <c r="AC99" s="251" t="str">
        <f>IF(P99="","",IF(P99='G-1 All Habitats'!$X$3,H99-S99-T99,"None"))</f>
        <v/>
      </c>
      <c r="AD99" s="252" t="str">
        <f t="shared" si="10"/>
        <v/>
      </c>
      <c r="AF99" s="156" t="str">
        <f t="shared" si="6"/>
        <v/>
      </c>
      <c r="AG99" s="156" t="str">
        <f t="shared" si="7"/>
        <v/>
      </c>
      <c r="AH99" s="156" t="str">
        <f>IF(I99="","",IF(#REF!&gt;0,TRUE,FALSE))</f>
        <v/>
      </c>
      <c r="AI99" s="156">
        <v>89</v>
      </c>
      <c r="AJ99" s="156"/>
      <c r="AK99" s="156" t="str">
        <f t="array" ref="AK99">IFERROR(INDEX($AI$11:$AI$259, MATCH(0, IF(TRUE=$AF$11:$AF$259, COUNTIF($AK$10:$AK98, $AI$11:$AI$259), ""), 0)),"")</f>
        <v/>
      </c>
      <c r="AL99" s="156" t="str">
        <f t="array" ref="AL99">IFERROR(INDEX($AI$11:$AI$259, MATCH(0, IF(TRUE=$AG$11:$AG$259, COUNTIF($AL$10:$AL98, $AI$11:$AI$259), ""), 0)),"")</f>
        <v/>
      </c>
      <c r="AM99" s="156" t="str">
        <f t="array" ref="AM99">IFERROR(INDEX($AI$11:$AI$259, MATCH(0, IF(TRUE=$AH$11:$AH$259, COUNTIF($AM$10:$AM98, $AI$11:$AI$259), ""), 0)),"")</f>
        <v/>
      </c>
      <c r="AQ99" s="31">
        <f t="shared" si="11"/>
        <v>0</v>
      </c>
    </row>
    <row r="100" spans="1:43" x14ac:dyDescent="0.3">
      <c r="A100" s="31" t="str">
        <f>IFERROR(INDEX('G-1 All Habitats'!$AG$3:$AG$15,MATCH(E100,'G-1 All Habitats'!$AF$3:$AF$15,0)),"")</f>
        <v/>
      </c>
      <c r="B100" s="31" t="str">
        <f>IFERROR(INDEX('G-8 Condition Look up'!$I$4:$I$130,MATCH(G100,'G-8 Condition Look up'!$A$4:$A$130,0)),"")</f>
        <v/>
      </c>
      <c r="D100" s="141">
        <v>90</v>
      </c>
      <c r="E100" s="203"/>
      <c r="F100" s="203"/>
      <c r="G100" s="250" t="str">
        <f>IFERROR(INDEX('G-1 All Habitats'!$B$3:$B$129,MATCH(F100,'G-1 All Habitats'!$A$3:$A$129,0)),"")</f>
        <v/>
      </c>
      <c r="H100" s="172"/>
      <c r="I100" s="498" t="str">
        <f>IF(G100="","",VLOOKUP(G100,'G-1 All Habitats'!$B$2:$M$129,10,FALSE))</f>
        <v/>
      </c>
      <c r="J100" s="499" t="str">
        <f>IFERROR(VLOOKUP(I100,'G-1 All Habitats'!$V$3:$W$7,2,FALSE),"")</f>
        <v/>
      </c>
      <c r="K100" s="145"/>
      <c r="L100" s="499" t="str">
        <f>IFERROR(INDEX('G-8 Condition Look up'!$A$3:$H$130,MATCH(G100,'G-8 Condition Look up'!$A$3:$A$130,0),MATCH(K100,'G-8 Condition Look up'!$A$3:$H$3,0)),"")</f>
        <v/>
      </c>
      <c r="M100" s="154"/>
      <c r="N100" s="520" t="str">
        <f>IF(M100="","",IF(VLOOKUP(M100,'G-3 Multipliers'!$L$3:$N$6,2,FALSE)=0,"Spatial Data Missing ⚠",VLOOKUP(M100,'G-3 Multipliers'!$L$3:$N$6,2,FALSE)))</f>
        <v/>
      </c>
      <c r="O100" s="524" t="str">
        <f>IF(M100="","",IF(VLOOKUP(M100,'G-3 Multipliers'!$L$3:$N$6,3,FALSE)=0,"Spatial Data Missing ⚠",VLOOKUP(M100,'G-3 Multipliers'!$L$3:$N$6,3,FALSE)))</f>
        <v/>
      </c>
      <c r="P100" s="506" t="str">
        <f>IFERROR(VLOOKUP(G100,'G-1 All Habitats'!$B$2:$M$129,12,FALSE),"")</f>
        <v/>
      </c>
      <c r="Q100" s="513" t="str">
        <f>IFERROR(IF(P100="","",IF(AND(P100='G-1 All Habitats'!$X$3,T100&gt;0),U100+V100,IF(AND(P100='G-1 All Habitats'!$X$3,S100&gt;0),U100+V100,IF(AND(P100='G-1 All Habitats'!$X$3,AC100&gt;0),"Any Loss Unacceptable",IF(AND(P100='G-1 All Habitats'!$X$3,W100&gt;0),"Any Loss Unacceptable",H100*J100*L100*O100))))),"Check Data ⚠")</f>
        <v/>
      </c>
      <c r="R100" s="50"/>
      <c r="S100" s="71"/>
      <c r="T100" s="72"/>
      <c r="U100" s="511" t="str">
        <f t="shared" si="8"/>
        <v/>
      </c>
      <c r="V100" s="511" t="str">
        <f t="shared" si="9"/>
        <v/>
      </c>
      <c r="W100" s="511" t="str">
        <f>IF(E100="","",IF(H100&lt;S100+T100,"Error in Areas ▲",IF(P100&lt;&gt;'G-1 All Habitats'!$X$3,H100-S100-T100,IF(AND(P100='G-1 All Habitats'!$X$3,Y100="Yes"),"Unacceptable Loss ▲",IF(AND(P100='G-1 All Habitats'!$X$3,Y100="No"),AC100,IF(AND(P100='G-1 All Habitats'!$X$3,Y100=""),AC100,IF(AND(P100='G-1 All Habitats'!$X$3,AC100="None",AC100),IF(AND(P100='G-1 All Habitats'!$X$3,AC100&gt;0),H100-S100-T100))))))))</f>
        <v/>
      </c>
      <c r="X100" s="545" t="str">
        <f>IFERROR(IF(H100="","",IF(H100-S100-T100=0&lt;0,"Error in Areas ▲",IF(S100+T100&gt;H100,"Error in Areas ▲",IF(AND(P100='G-1 All Habitats'!$X$3,Y100="Yes"),"Alternative Compensation",IF(W100=0,0,IF(P100='G-1 All Habitats'!$X$3,"Unacceptable Loss",Q100-U100-V100)))))),"Check Data ⚠")</f>
        <v/>
      </c>
      <c r="Y100" s="72"/>
      <c r="Z100" s="151"/>
      <c r="AA100" s="152"/>
      <c r="AC100" s="251" t="str">
        <f>IF(P100="","",IF(P100='G-1 All Habitats'!$X$3,H100-S100-T100,"None"))</f>
        <v/>
      </c>
      <c r="AD100" s="252" t="str">
        <f t="shared" si="10"/>
        <v/>
      </c>
      <c r="AF100" s="156" t="str">
        <f t="shared" si="6"/>
        <v/>
      </c>
      <c r="AG100" s="156" t="str">
        <f t="shared" si="7"/>
        <v/>
      </c>
      <c r="AH100" s="156" t="str">
        <f>IF(I100="","",IF(#REF!&gt;0,TRUE,FALSE))</f>
        <v/>
      </c>
      <c r="AI100" s="156">
        <v>90</v>
      </c>
      <c r="AJ100" s="156"/>
      <c r="AK100" s="156" t="str">
        <f t="array" ref="AK100">IFERROR(INDEX($AI$11:$AI$259, MATCH(0, IF(TRUE=$AF$11:$AF$259, COUNTIF($AK$10:$AK99, $AI$11:$AI$259), ""), 0)),"")</f>
        <v/>
      </c>
      <c r="AL100" s="156" t="str">
        <f t="array" ref="AL100">IFERROR(INDEX($AI$11:$AI$259, MATCH(0, IF(TRUE=$AG$11:$AG$259, COUNTIF($AL$10:$AL99, $AI$11:$AI$259), ""), 0)),"")</f>
        <v/>
      </c>
      <c r="AM100" s="156" t="str">
        <f t="array" ref="AM100">IFERROR(INDEX($AI$11:$AI$259, MATCH(0, IF(TRUE=$AH$11:$AH$259, COUNTIF($AM$10:$AM99, $AI$11:$AI$259), ""), 0)),"")</f>
        <v/>
      </c>
      <c r="AQ100" s="31">
        <f t="shared" si="11"/>
        <v>0</v>
      </c>
    </row>
    <row r="101" spans="1:43" x14ac:dyDescent="0.3">
      <c r="A101" s="31" t="str">
        <f>IFERROR(INDEX('G-1 All Habitats'!$AG$3:$AG$15,MATCH(E101,'G-1 All Habitats'!$AF$3:$AF$15,0)),"")</f>
        <v/>
      </c>
      <c r="B101" s="31" t="str">
        <f>IFERROR(INDEX('G-8 Condition Look up'!$I$4:$I$130,MATCH(G101,'G-8 Condition Look up'!$A$4:$A$130,0)),"")</f>
        <v/>
      </c>
      <c r="D101" s="141">
        <v>91</v>
      </c>
      <c r="E101" s="203"/>
      <c r="F101" s="203"/>
      <c r="G101" s="250" t="str">
        <f>IFERROR(INDEX('G-1 All Habitats'!$B$3:$B$129,MATCH(F101,'G-1 All Habitats'!$A$3:$A$129,0)),"")</f>
        <v/>
      </c>
      <c r="H101" s="172"/>
      <c r="I101" s="498" t="str">
        <f>IF(G101="","",VLOOKUP(G101,'G-1 All Habitats'!$B$2:$M$129,10,FALSE))</f>
        <v/>
      </c>
      <c r="J101" s="499" t="str">
        <f>IFERROR(VLOOKUP(I101,'G-1 All Habitats'!$V$3:$W$7,2,FALSE),"")</f>
        <v/>
      </c>
      <c r="K101" s="145"/>
      <c r="L101" s="499" t="str">
        <f>IFERROR(INDEX('G-8 Condition Look up'!$A$3:$H$130,MATCH(G101,'G-8 Condition Look up'!$A$3:$A$130,0),MATCH(K101,'G-8 Condition Look up'!$A$3:$H$3,0)),"")</f>
        <v/>
      </c>
      <c r="M101" s="154"/>
      <c r="N101" s="520" t="str">
        <f>IF(M101="","",IF(VLOOKUP(M101,'G-3 Multipliers'!$L$3:$N$6,2,FALSE)=0,"Spatial Data Missing ⚠",VLOOKUP(M101,'G-3 Multipliers'!$L$3:$N$6,2,FALSE)))</f>
        <v/>
      </c>
      <c r="O101" s="524" t="str">
        <f>IF(M101="","",IF(VLOOKUP(M101,'G-3 Multipliers'!$L$3:$N$6,3,FALSE)=0,"Spatial Data Missing ⚠",VLOOKUP(M101,'G-3 Multipliers'!$L$3:$N$6,3,FALSE)))</f>
        <v/>
      </c>
      <c r="P101" s="506" t="str">
        <f>IFERROR(VLOOKUP(G101,'G-1 All Habitats'!$B$2:$M$129,12,FALSE),"")</f>
        <v/>
      </c>
      <c r="Q101" s="513" t="str">
        <f>IFERROR(IF(P101="","",IF(AND(P101='G-1 All Habitats'!$X$3,T101&gt;0),U101+V101,IF(AND(P101='G-1 All Habitats'!$X$3,S101&gt;0),U101+V101,IF(AND(P101='G-1 All Habitats'!$X$3,AC101&gt;0),"Any Loss Unacceptable",IF(AND(P101='G-1 All Habitats'!$X$3,W101&gt;0),"Any Loss Unacceptable",H101*J101*L101*O101))))),"Check Data ⚠")</f>
        <v/>
      </c>
      <c r="R101" s="50"/>
      <c r="S101" s="71"/>
      <c r="T101" s="72"/>
      <c r="U101" s="511" t="str">
        <f t="shared" si="8"/>
        <v/>
      </c>
      <c r="V101" s="511" t="str">
        <f t="shared" si="9"/>
        <v/>
      </c>
      <c r="W101" s="511" t="str">
        <f>IF(E101="","",IF(H101&lt;S101+T101,"Error in Areas ▲",IF(P101&lt;&gt;'G-1 All Habitats'!$X$3,H101-S101-T101,IF(AND(P101='G-1 All Habitats'!$X$3,Y101="Yes"),"Unacceptable Loss ▲",IF(AND(P101='G-1 All Habitats'!$X$3,Y101="No"),AC101,IF(AND(P101='G-1 All Habitats'!$X$3,Y101=""),AC101,IF(AND(P101='G-1 All Habitats'!$X$3,AC101="None",AC101),IF(AND(P101='G-1 All Habitats'!$X$3,AC101&gt;0),H101-S101-T101))))))))</f>
        <v/>
      </c>
      <c r="X101" s="545" t="str">
        <f>IFERROR(IF(H101="","",IF(H101-S101-T101=0&lt;0,"Error in Areas ▲",IF(S101+T101&gt;H101,"Error in Areas ▲",IF(AND(P101='G-1 All Habitats'!$X$3,Y101="Yes"),"Alternative Compensation",IF(W101=0,0,IF(P101='G-1 All Habitats'!$X$3,"Unacceptable Loss",Q101-U101-V101)))))),"Check Data ⚠")</f>
        <v/>
      </c>
      <c r="Y101" s="72"/>
      <c r="Z101" s="151"/>
      <c r="AA101" s="152"/>
      <c r="AC101" s="251" t="str">
        <f>IF(P101="","",IF(P101='G-1 All Habitats'!$X$3,H101-S101-T101,"None"))</f>
        <v/>
      </c>
      <c r="AD101" s="252" t="str">
        <f t="shared" si="10"/>
        <v/>
      </c>
      <c r="AF101" s="156" t="str">
        <f t="shared" si="6"/>
        <v/>
      </c>
      <c r="AG101" s="156" t="str">
        <f t="shared" si="7"/>
        <v/>
      </c>
      <c r="AH101" s="156" t="str">
        <f>IF(I101="","",IF(#REF!&gt;0,TRUE,FALSE))</f>
        <v/>
      </c>
      <c r="AI101" s="156">
        <v>91</v>
      </c>
      <c r="AJ101" s="156"/>
      <c r="AK101" s="156" t="str">
        <f t="array" ref="AK101">IFERROR(INDEX($AI$11:$AI$259, MATCH(0, IF(TRUE=$AF$11:$AF$259, COUNTIF($AK$10:$AK100, $AI$11:$AI$259), ""), 0)),"")</f>
        <v/>
      </c>
      <c r="AL101" s="156" t="str">
        <f t="array" ref="AL101">IFERROR(INDEX($AI$11:$AI$259, MATCH(0, IF(TRUE=$AG$11:$AG$259, COUNTIF($AL$10:$AL100, $AI$11:$AI$259), ""), 0)),"")</f>
        <v/>
      </c>
      <c r="AM101" s="156" t="str">
        <f t="array" ref="AM101">IFERROR(INDEX($AI$11:$AI$259, MATCH(0, IF(TRUE=$AH$11:$AH$259, COUNTIF($AM$10:$AM100, $AI$11:$AI$259), ""), 0)),"")</f>
        <v/>
      </c>
      <c r="AQ101" s="31">
        <f t="shared" si="11"/>
        <v>0</v>
      </c>
    </row>
    <row r="102" spans="1:43" x14ac:dyDescent="0.3">
      <c r="A102" s="31" t="str">
        <f>IFERROR(INDEX('G-1 All Habitats'!$AG$3:$AG$15,MATCH(E102,'G-1 All Habitats'!$AF$3:$AF$15,0)),"")</f>
        <v/>
      </c>
      <c r="B102" s="31" t="str">
        <f>IFERROR(INDEX('G-8 Condition Look up'!$I$4:$I$130,MATCH(G102,'G-8 Condition Look up'!$A$4:$A$130,0)),"")</f>
        <v/>
      </c>
      <c r="D102" s="141">
        <v>92</v>
      </c>
      <c r="E102" s="203"/>
      <c r="F102" s="203"/>
      <c r="G102" s="250" t="str">
        <f>IFERROR(INDEX('G-1 All Habitats'!$B$3:$B$129,MATCH(F102,'G-1 All Habitats'!$A$3:$A$129,0)),"")</f>
        <v/>
      </c>
      <c r="H102" s="172"/>
      <c r="I102" s="498" t="str">
        <f>IF(G102="","",VLOOKUP(G102,'G-1 All Habitats'!$B$2:$M$129,10,FALSE))</f>
        <v/>
      </c>
      <c r="J102" s="499" t="str">
        <f>IFERROR(VLOOKUP(I102,'G-1 All Habitats'!$V$3:$W$7,2,FALSE),"")</f>
        <v/>
      </c>
      <c r="K102" s="145"/>
      <c r="L102" s="499" t="str">
        <f>IFERROR(INDEX('G-8 Condition Look up'!$A$3:$H$130,MATCH(G102,'G-8 Condition Look up'!$A$3:$A$130,0),MATCH(K102,'G-8 Condition Look up'!$A$3:$H$3,0)),"")</f>
        <v/>
      </c>
      <c r="M102" s="154"/>
      <c r="N102" s="520" t="str">
        <f>IF(M102="","",IF(VLOOKUP(M102,'G-3 Multipliers'!$L$3:$N$6,2,FALSE)=0,"Spatial Data Missing ⚠",VLOOKUP(M102,'G-3 Multipliers'!$L$3:$N$6,2,FALSE)))</f>
        <v/>
      </c>
      <c r="O102" s="524" t="str">
        <f>IF(M102="","",IF(VLOOKUP(M102,'G-3 Multipliers'!$L$3:$N$6,3,FALSE)=0,"Spatial Data Missing ⚠",VLOOKUP(M102,'G-3 Multipliers'!$L$3:$N$6,3,FALSE)))</f>
        <v/>
      </c>
      <c r="P102" s="506" t="str">
        <f>IFERROR(VLOOKUP(G102,'G-1 All Habitats'!$B$2:$M$129,12,FALSE),"")</f>
        <v/>
      </c>
      <c r="Q102" s="513" t="str">
        <f>IFERROR(IF(P102="","",IF(AND(P102='G-1 All Habitats'!$X$3,T102&gt;0),U102+V102,IF(AND(P102='G-1 All Habitats'!$X$3,S102&gt;0),U102+V102,IF(AND(P102='G-1 All Habitats'!$X$3,AC102&gt;0),"Any Loss Unacceptable",IF(AND(P102='G-1 All Habitats'!$X$3,W102&gt;0),"Any Loss Unacceptable",H102*J102*L102*O102))))),"Check Data ⚠")</f>
        <v/>
      </c>
      <c r="R102" s="50"/>
      <c r="S102" s="71"/>
      <c r="T102" s="72"/>
      <c r="U102" s="511" t="str">
        <f t="shared" si="8"/>
        <v/>
      </c>
      <c r="V102" s="511" t="str">
        <f t="shared" si="9"/>
        <v/>
      </c>
      <c r="W102" s="511" t="str">
        <f>IF(E102="","",IF(H102&lt;S102+T102,"Error in Areas ▲",IF(P102&lt;&gt;'G-1 All Habitats'!$X$3,H102-S102-T102,IF(AND(P102='G-1 All Habitats'!$X$3,Y102="Yes"),"Unacceptable Loss ▲",IF(AND(P102='G-1 All Habitats'!$X$3,Y102="No"),AC102,IF(AND(P102='G-1 All Habitats'!$X$3,Y102=""),AC102,IF(AND(P102='G-1 All Habitats'!$X$3,AC102="None",AC102),IF(AND(P102='G-1 All Habitats'!$X$3,AC102&gt;0),H102-S102-T102))))))))</f>
        <v/>
      </c>
      <c r="X102" s="545" t="str">
        <f>IFERROR(IF(H102="","",IF(H102-S102-T102=0&lt;0,"Error in Areas ▲",IF(S102+T102&gt;H102,"Error in Areas ▲",IF(AND(P102='G-1 All Habitats'!$X$3,Y102="Yes"),"Alternative Compensation",IF(W102=0,0,IF(P102='G-1 All Habitats'!$X$3,"Unacceptable Loss",Q102-U102-V102)))))),"Check Data ⚠")</f>
        <v/>
      </c>
      <c r="Y102" s="72"/>
      <c r="Z102" s="151"/>
      <c r="AA102" s="152"/>
      <c r="AC102" s="251" t="str">
        <f>IF(P102="","",IF(P102='G-1 All Habitats'!$X$3,H102-S102-T102,"None"))</f>
        <v/>
      </c>
      <c r="AD102" s="252" t="str">
        <f t="shared" si="10"/>
        <v/>
      </c>
      <c r="AF102" s="156" t="str">
        <f t="shared" si="6"/>
        <v/>
      </c>
      <c r="AG102" s="156" t="str">
        <f t="shared" si="7"/>
        <v/>
      </c>
      <c r="AH102" s="156" t="str">
        <f>IF(I102="","",IF(#REF!&gt;0,TRUE,FALSE))</f>
        <v/>
      </c>
      <c r="AI102" s="156">
        <v>92</v>
      </c>
      <c r="AJ102" s="156"/>
      <c r="AK102" s="156" t="str">
        <f t="array" ref="AK102">IFERROR(INDEX($AI$11:$AI$259, MATCH(0, IF(TRUE=$AF$11:$AF$259, COUNTIF($AK$10:$AK101, $AI$11:$AI$259), ""), 0)),"")</f>
        <v/>
      </c>
      <c r="AL102" s="156" t="str">
        <f t="array" ref="AL102">IFERROR(INDEX($AI$11:$AI$259, MATCH(0, IF(TRUE=$AG$11:$AG$259, COUNTIF($AL$10:$AL101, $AI$11:$AI$259), ""), 0)),"")</f>
        <v/>
      </c>
      <c r="AM102" s="156" t="str">
        <f t="array" ref="AM102">IFERROR(INDEX($AI$11:$AI$259, MATCH(0, IF(TRUE=$AH$11:$AH$259, COUNTIF($AM$10:$AM101, $AI$11:$AI$259), ""), 0)),"")</f>
        <v/>
      </c>
      <c r="AQ102" s="31">
        <f t="shared" si="11"/>
        <v>0</v>
      </c>
    </row>
    <row r="103" spans="1:43" x14ac:dyDescent="0.3">
      <c r="A103" s="31" t="str">
        <f>IFERROR(INDEX('G-1 All Habitats'!$AG$3:$AG$15,MATCH(E103,'G-1 All Habitats'!$AF$3:$AF$15,0)),"")</f>
        <v/>
      </c>
      <c r="B103" s="31" t="str">
        <f>IFERROR(INDEX('G-8 Condition Look up'!$I$4:$I$130,MATCH(G103,'G-8 Condition Look up'!$A$4:$A$130,0)),"")</f>
        <v/>
      </c>
      <c r="D103" s="141">
        <v>93</v>
      </c>
      <c r="E103" s="203"/>
      <c r="F103" s="203"/>
      <c r="G103" s="250" t="str">
        <f>IFERROR(INDEX('G-1 All Habitats'!$B$3:$B$129,MATCH(F103,'G-1 All Habitats'!$A$3:$A$129,0)),"")</f>
        <v/>
      </c>
      <c r="H103" s="172"/>
      <c r="I103" s="498" t="str">
        <f>IF(G103="","",VLOOKUP(G103,'G-1 All Habitats'!$B$2:$M$129,10,FALSE))</f>
        <v/>
      </c>
      <c r="J103" s="499" t="str">
        <f>IFERROR(VLOOKUP(I103,'G-1 All Habitats'!$V$3:$W$7,2,FALSE),"")</f>
        <v/>
      </c>
      <c r="K103" s="145"/>
      <c r="L103" s="499" t="str">
        <f>IFERROR(INDEX('G-8 Condition Look up'!$A$3:$H$130,MATCH(G103,'G-8 Condition Look up'!$A$3:$A$130,0),MATCH(K103,'G-8 Condition Look up'!$A$3:$H$3,0)),"")</f>
        <v/>
      </c>
      <c r="M103" s="154"/>
      <c r="N103" s="520" t="str">
        <f>IF(M103="","",IF(VLOOKUP(M103,'G-3 Multipliers'!$L$3:$N$6,2,FALSE)=0,"Spatial Data Missing ⚠",VLOOKUP(M103,'G-3 Multipliers'!$L$3:$N$6,2,FALSE)))</f>
        <v/>
      </c>
      <c r="O103" s="524" t="str">
        <f>IF(M103="","",IF(VLOOKUP(M103,'G-3 Multipliers'!$L$3:$N$6,3,FALSE)=0,"Spatial Data Missing ⚠",VLOOKUP(M103,'G-3 Multipliers'!$L$3:$N$6,3,FALSE)))</f>
        <v/>
      </c>
      <c r="P103" s="506" t="str">
        <f>IFERROR(VLOOKUP(G103,'G-1 All Habitats'!$B$2:$M$129,12,FALSE),"")</f>
        <v/>
      </c>
      <c r="Q103" s="513" t="str">
        <f>IFERROR(IF(P103="","",IF(AND(P103='G-1 All Habitats'!$X$3,T103&gt;0),U103+V103,IF(AND(P103='G-1 All Habitats'!$X$3,S103&gt;0),U103+V103,IF(AND(P103='G-1 All Habitats'!$X$3,AC103&gt;0),"Any Loss Unacceptable",IF(AND(P103='G-1 All Habitats'!$X$3,W103&gt;0),"Any Loss Unacceptable",H103*J103*L103*O103))))),"Check Data ⚠")</f>
        <v/>
      </c>
      <c r="R103" s="50"/>
      <c r="S103" s="71"/>
      <c r="T103" s="72"/>
      <c r="U103" s="511" t="str">
        <f t="shared" si="8"/>
        <v/>
      </c>
      <c r="V103" s="511" t="str">
        <f t="shared" si="9"/>
        <v/>
      </c>
      <c r="W103" s="511" t="str">
        <f>IF(E103="","",IF(H103&lt;S103+T103,"Error in Areas ▲",IF(P103&lt;&gt;'G-1 All Habitats'!$X$3,H103-S103-T103,IF(AND(P103='G-1 All Habitats'!$X$3,Y103="Yes"),"Unacceptable Loss ▲",IF(AND(P103='G-1 All Habitats'!$X$3,Y103="No"),AC103,IF(AND(P103='G-1 All Habitats'!$X$3,Y103=""),AC103,IF(AND(P103='G-1 All Habitats'!$X$3,AC103="None",AC103),IF(AND(P103='G-1 All Habitats'!$X$3,AC103&gt;0),H103-S103-T103))))))))</f>
        <v/>
      </c>
      <c r="X103" s="545" t="str">
        <f>IFERROR(IF(H103="","",IF(H103-S103-T103=0&lt;0,"Error in Areas ▲",IF(S103+T103&gt;H103,"Error in Areas ▲",IF(AND(P103='G-1 All Habitats'!$X$3,Y103="Yes"),"Alternative Compensation",IF(W103=0,0,IF(P103='G-1 All Habitats'!$X$3,"Unacceptable Loss",Q103-U103-V103)))))),"Check Data ⚠")</f>
        <v/>
      </c>
      <c r="Y103" s="72"/>
      <c r="Z103" s="151"/>
      <c r="AA103" s="152"/>
      <c r="AC103" s="251" t="str">
        <f>IF(P103="","",IF(P103='G-1 All Habitats'!$X$3,H103-S103-T103,"None"))</f>
        <v/>
      </c>
      <c r="AD103" s="252" t="str">
        <f t="shared" si="10"/>
        <v/>
      </c>
      <c r="AF103" s="156" t="str">
        <f t="shared" si="6"/>
        <v/>
      </c>
      <c r="AG103" s="156" t="str">
        <f t="shared" si="7"/>
        <v/>
      </c>
      <c r="AH103" s="156" t="str">
        <f>IF(I103="","",IF(#REF!&gt;0,TRUE,FALSE))</f>
        <v/>
      </c>
      <c r="AI103" s="156">
        <v>93</v>
      </c>
      <c r="AJ103" s="156"/>
      <c r="AK103" s="156" t="str">
        <f t="array" ref="AK103">IFERROR(INDEX($AI$11:$AI$259, MATCH(0, IF(TRUE=$AF$11:$AF$259, COUNTIF($AK$10:$AK102, $AI$11:$AI$259), ""), 0)),"")</f>
        <v/>
      </c>
      <c r="AL103" s="156" t="str">
        <f t="array" ref="AL103">IFERROR(INDEX($AI$11:$AI$259, MATCH(0, IF(TRUE=$AG$11:$AG$259, COUNTIF($AL$10:$AL102, $AI$11:$AI$259), ""), 0)),"")</f>
        <v/>
      </c>
      <c r="AM103" s="156" t="str">
        <f t="array" ref="AM103">IFERROR(INDEX($AI$11:$AI$259, MATCH(0, IF(TRUE=$AH$11:$AH$259, COUNTIF($AM$10:$AM102, $AI$11:$AI$259), ""), 0)),"")</f>
        <v/>
      </c>
      <c r="AQ103" s="31">
        <f t="shared" si="11"/>
        <v>0</v>
      </c>
    </row>
    <row r="104" spans="1:43" x14ac:dyDescent="0.3">
      <c r="A104" s="31" t="str">
        <f>IFERROR(INDEX('G-1 All Habitats'!$AG$3:$AG$15,MATCH(E104,'G-1 All Habitats'!$AF$3:$AF$15,0)),"")</f>
        <v/>
      </c>
      <c r="B104" s="31" t="str">
        <f>IFERROR(INDEX('G-8 Condition Look up'!$I$4:$I$130,MATCH(G104,'G-8 Condition Look up'!$A$4:$A$130,0)),"")</f>
        <v/>
      </c>
      <c r="D104" s="141">
        <v>94</v>
      </c>
      <c r="E104" s="203"/>
      <c r="F104" s="203"/>
      <c r="G104" s="250" t="str">
        <f>IFERROR(INDEX('G-1 All Habitats'!$B$3:$B$129,MATCH(F104,'G-1 All Habitats'!$A$3:$A$129,0)),"")</f>
        <v/>
      </c>
      <c r="H104" s="172"/>
      <c r="I104" s="498" t="str">
        <f>IF(G104="","",VLOOKUP(G104,'G-1 All Habitats'!$B$2:$M$129,10,FALSE))</f>
        <v/>
      </c>
      <c r="J104" s="499" t="str">
        <f>IFERROR(VLOOKUP(I104,'G-1 All Habitats'!$V$3:$W$7,2,FALSE),"")</f>
        <v/>
      </c>
      <c r="K104" s="145"/>
      <c r="L104" s="499" t="str">
        <f>IFERROR(INDEX('G-8 Condition Look up'!$A$3:$H$130,MATCH(G104,'G-8 Condition Look up'!$A$3:$A$130,0),MATCH(K104,'G-8 Condition Look up'!$A$3:$H$3,0)),"")</f>
        <v/>
      </c>
      <c r="M104" s="154"/>
      <c r="N104" s="520" t="str">
        <f>IF(M104="","",IF(VLOOKUP(M104,'G-3 Multipliers'!$L$3:$N$6,2,FALSE)=0,"Spatial Data Missing ⚠",VLOOKUP(M104,'G-3 Multipliers'!$L$3:$N$6,2,FALSE)))</f>
        <v/>
      </c>
      <c r="O104" s="524" t="str">
        <f>IF(M104="","",IF(VLOOKUP(M104,'G-3 Multipliers'!$L$3:$N$6,3,FALSE)=0,"Spatial Data Missing ⚠",VLOOKUP(M104,'G-3 Multipliers'!$L$3:$N$6,3,FALSE)))</f>
        <v/>
      </c>
      <c r="P104" s="506" t="str">
        <f>IFERROR(VLOOKUP(G104,'G-1 All Habitats'!$B$2:$M$129,12,FALSE),"")</f>
        <v/>
      </c>
      <c r="Q104" s="513" t="str">
        <f>IFERROR(IF(P104="","",IF(AND(P104='G-1 All Habitats'!$X$3,T104&gt;0),U104+V104,IF(AND(P104='G-1 All Habitats'!$X$3,S104&gt;0),U104+V104,IF(AND(P104='G-1 All Habitats'!$X$3,AC104&gt;0),"Any Loss Unacceptable",IF(AND(P104='G-1 All Habitats'!$X$3,W104&gt;0),"Any Loss Unacceptable",H104*J104*L104*O104))))),"Check Data ⚠")</f>
        <v/>
      </c>
      <c r="R104" s="50"/>
      <c r="S104" s="71"/>
      <c r="T104" s="72"/>
      <c r="U104" s="511" t="str">
        <f t="shared" si="8"/>
        <v/>
      </c>
      <c r="V104" s="511" t="str">
        <f t="shared" si="9"/>
        <v/>
      </c>
      <c r="W104" s="511" t="str">
        <f>IF(E104="","",IF(H104&lt;S104+T104,"Error in Areas ▲",IF(P104&lt;&gt;'G-1 All Habitats'!$X$3,H104-S104-T104,IF(AND(P104='G-1 All Habitats'!$X$3,Y104="Yes"),"Unacceptable Loss ▲",IF(AND(P104='G-1 All Habitats'!$X$3,Y104="No"),AC104,IF(AND(P104='G-1 All Habitats'!$X$3,Y104=""),AC104,IF(AND(P104='G-1 All Habitats'!$X$3,AC104="None",AC104),IF(AND(P104='G-1 All Habitats'!$X$3,AC104&gt;0),H104-S104-T104))))))))</f>
        <v/>
      </c>
      <c r="X104" s="545" t="str">
        <f>IFERROR(IF(H104="","",IF(H104-S104-T104=0&lt;0,"Error in Areas ▲",IF(S104+T104&gt;H104,"Error in Areas ▲",IF(AND(P104='G-1 All Habitats'!$X$3,Y104="Yes"),"Alternative Compensation",IF(W104=0,0,IF(P104='G-1 All Habitats'!$X$3,"Unacceptable Loss",Q104-U104-V104)))))),"Check Data ⚠")</f>
        <v/>
      </c>
      <c r="Y104" s="72"/>
      <c r="Z104" s="151"/>
      <c r="AA104" s="152"/>
      <c r="AC104" s="251" t="str">
        <f>IF(P104="","",IF(P104='G-1 All Habitats'!$X$3,H104-S104-T104,"None"))</f>
        <v/>
      </c>
      <c r="AD104" s="252" t="str">
        <f t="shared" si="10"/>
        <v/>
      </c>
      <c r="AF104" s="156" t="str">
        <f t="shared" si="6"/>
        <v/>
      </c>
      <c r="AG104" s="156" t="str">
        <f t="shared" si="7"/>
        <v/>
      </c>
      <c r="AH104" s="156" t="str">
        <f>IF(I104="","",IF(#REF!&gt;0,TRUE,FALSE))</f>
        <v/>
      </c>
      <c r="AI104" s="156">
        <v>94</v>
      </c>
      <c r="AJ104" s="156"/>
      <c r="AK104" s="156" t="str">
        <f t="array" ref="AK104">IFERROR(INDEX($AI$11:$AI$259, MATCH(0, IF(TRUE=$AF$11:$AF$259, COUNTIF($AK$10:$AK103, $AI$11:$AI$259), ""), 0)),"")</f>
        <v/>
      </c>
      <c r="AL104" s="156" t="str">
        <f t="array" ref="AL104">IFERROR(INDEX($AI$11:$AI$259, MATCH(0, IF(TRUE=$AG$11:$AG$259, COUNTIF($AL$10:$AL103, $AI$11:$AI$259), ""), 0)),"")</f>
        <v/>
      </c>
      <c r="AM104" s="156" t="str">
        <f t="array" ref="AM104">IFERROR(INDEX($AI$11:$AI$259, MATCH(0, IF(TRUE=$AH$11:$AH$259, COUNTIF($AM$10:$AM103, $AI$11:$AI$259), ""), 0)),"")</f>
        <v/>
      </c>
      <c r="AQ104" s="31">
        <f t="shared" si="11"/>
        <v>0</v>
      </c>
    </row>
    <row r="105" spans="1:43" x14ac:dyDescent="0.3">
      <c r="A105" s="31" t="str">
        <f>IFERROR(INDEX('G-1 All Habitats'!$AG$3:$AG$15,MATCH(E105,'G-1 All Habitats'!$AF$3:$AF$15,0)),"")</f>
        <v/>
      </c>
      <c r="B105" s="31" t="str">
        <f>IFERROR(INDEX('G-8 Condition Look up'!$I$4:$I$130,MATCH(G105,'G-8 Condition Look up'!$A$4:$A$130,0)),"")</f>
        <v/>
      </c>
      <c r="D105" s="141">
        <v>95</v>
      </c>
      <c r="E105" s="203"/>
      <c r="F105" s="203"/>
      <c r="G105" s="250" t="str">
        <f>IFERROR(INDEX('G-1 All Habitats'!$B$3:$B$129,MATCH(F105,'G-1 All Habitats'!$A$3:$A$129,0)),"")</f>
        <v/>
      </c>
      <c r="H105" s="172"/>
      <c r="I105" s="498" t="str">
        <f>IF(G105="","",VLOOKUP(G105,'G-1 All Habitats'!$B$2:$M$129,10,FALSE))</f>
        <v/>
      </c>
      <c r="J105" s="499" t="str">
        <f>IFERROR(VLOOKUP(I105,'G-1 All Habitats'!$V$3:$W$7,2,FALSE),"")</f>
        <v/>
      </c>
      <c r="K105" s="145"/>
      <c r="L105" s="499" t="str">
        <f>IFERROR(INDEX('G-8 Condition Look up'!$A$3:$H$130,MATCH(G105,'G-8 Condition Look up'!$A$3:$A$130,0),MATCH(K105,'G-8 Condition Look up'!$A$3:$H$3,0)),"")</f>
        <v/>
      </c>
      <c r="M105" s="154"/>
      <c r="N105" s="520" t="str">
        <f>IF(M105="","",IF(VLOOKUP(M105,'G-3 Multipliers'!$L$3:$N$6,2,FALSE)=0,"Spatial Data Missing ⚠",VLOOKUP(M105,'G-3 Multipliers'!$L$3:$N$6,2,FALSE)))</f>
        <v/>
      </c>
      <c r="O105" s="524" t="str">
        <f>IF(M105="","",IF(VLOOKUP(M105,'G-3 Multipliers'!$L$3:$N$6,3,FALSE)=0,"Spatial Data Missing ⚠",VLOOKUP(M105,'G-3 Multipliers'!$L$3:$N$6,3,FALSE)))</f>
        <v/>
      </c>
      <c r="P105" s="506" t="str">
        <f>IFERROR(VLOOKUP(G105,'G-1 All Habitats'!$B$2:$M$129,12,FALSE),"")</f>
        <v/>
      </c>
      <c r="Q105" s="513" t="str">
        <f>IFERROR(IF(P105="","",IF(AND(P105='G-1 All Habitats'!$X$3,T105&gt;0),U105+V105,IF(AND(P105='G-1 All Habitats'!$X$3,S105&gt;0),U105+V105,IF(AND(P105='G-1 All Habitats'!$X$3,AC105&gt;0),"Any Loss Unacceptable",IF(AND(P105='G-1 All Habitats'!$X$3,W105&gt;0),"Any Loss Unacceptable",H105*J105*L105*O105))))),"Check Data ⚠")</f>
        <v/>
      </c>
      <c r="R105" s="50"/>
      <c r="S105" s="71"/>
      <c r="T105" s="72"/>
      <c r="U105" s="511" t="str">
        <f t="shared" si="8"/>
        <v/>
      </c>
      <c r="V105" s="511" t="str">
        <f t="shared" si="9"/>
        <v/>
      </c>
      <c r="W105" s="511" t="str">
        <f>IF(E105="","",IF(H105&lt;S105+T105,"Error in Areas ▲",IF(P105&lt;&gt;'G-1 All Habitats'!$X$3,H105-S105-T105,IF(AND(P105='G-1 All Habitats'!$X$3,Y105="Yes"),"Unacceptable Loss ▲",IF(AND(P105='G-1 All Habitats'!$X$3,Y105="No"),AC105,IF(AND(P105='G-1 All Habitats'!$X$3,Y105=""),AC105,IF(AND(P105='G-1 All Habitats'!$X$3,AC105="None",AC105),IF(AND(P105='G-1 All Habitats'!$X$3,AC105&gt;0),H105-S105-T105))))))))</f>
        <v/>
      </c>
      <c r="X105" s="545" t="str">
        <f>IFERROR(IF(H105="","",IF(H105-S105-T105=0&lt;0,"Error in Areas ▲",IF(S105+T105&gt;H105,"Error in Areas ▲",IF(AND(P105='G-1 All Habitats'!$X$3,Y105="Yes"),"Alternative Compensation",IF(W105=0,0,IF(P105='G-1 All Habitats'!$X$3,"Unacceptable Loss",Q105-U105-V105)))))),"Check Data ⚠")</f>
        <v/>
      </c>
      <c r="Y105" s="72"/>
      <c r="Z105" s="151"/>
      <c r="AA105" s="152"/>
      <c r="AC105" s="251" t="str">
        <f>IF(P105="","",IF(P105='G-1 All Habitats'!$X$3,H105-S105-T105,"None"))</f>
        <v/>
      </c>
      <c r="AD105" s="252" t="str">
        <f t="shared" si="10"/>
        <v/>
      </c>
      <c r="AF105" s="156" t="str">
        <f t="shared" si="6"/>
        <v/>
      </c>
      <c r="AG105" s="156" t="str">
        <f t="shared" si="7"/>
        <v/>
      </c>
      <c r="AH105" s="156" t="str">
        <f>IF(I105="","",IF(#REF!&gt;0,TRUE,FALSE))</f>
        <v/>
      </c>
      <c r="AI105" s="156">
        <v>95</v>
      </c>
      <c r="AJ105" s="156"/>
      <c r="AK105" s="156" t="str">
        <f t="array" ref="AK105">IFERROR(INDEX($AI$11:$AI$259, MATCH(0, IF(TRUE=$AF$11:$AF$259, COUNTIF($AK$10:$AK104, $AI$11:$AI$259), ""), 0)),"")</f>
        <v/>
      </c>
      <c r="AL105" s="156" t="str">
        <f t="array" ref="AL105">IFERROR(INDEX($AI$11:$AI$259, MATCH(0, IF(TRUE=$AG$11:$AG$259, COUNTIF($AL$10:$AL104, $AI$11:$AI$259), ""), 0)),"")</f>
        <v/>
      </c>
      <c r="AM105" s="156" t="str">
        <f t="array" ref="AM105">IFERROR(INDEX($AI$11:$AI$259, MATCH(0, IF(TRUE=$AH$11:$AH$259, COUNTIF($AM$10:$AM104, $AI$11:$AI$259), ""), 0)),"")</f>
        <v/>
      </c>
      <c r="AQ105" s="31">
        <f t="shared" si="11"/>
        <v>0</v>
      </c>
    </row>
    <row r="106" spans="1:43" x14ac:dyDescent="0.3">
      <c r="A106" s="31" t="str">
        <f>IFERROR(INDEX('G-1 All Habitats'!$AG$3:$AG$15,MATCH(E106,'G-1 All Habitats'!$AF$3:$AF$15,0)),"")</f>
        <v/>
      </c>
      <c r="B106" s="31" t="str">
        <f>IFERROR(INDEX('G-8 Condition Look up'!$I$4:$I$130,MATCH(G106,'G-8 Condition Look up'!$A$4:$A$130,0)),"")</f>
        <v/>
      </c>
      <c r="D106" s="141">
        <v>96</v>
      </c>
      <c r="E106" s="203"/>
      <c r="F106" s="203"/>
      <c r="G106" s="250" t="str">
        <f>IFERROR(INDEX('G-1 All Habitats'!$B$3:$B$129,MATCH(F106,'G-1 All Habitats'!$A$3:$A$129,0)),"")</f>
        <v/>
      </c>
      <c r="H106" s="172"/>
      <c r="I106" s="498" t="str">
        <f>IF(G106="","",VLOOKUP(G106,'G-1 All Habitats'!$B$2:$M$129,10,FALSE))</f>
        <v/>
      </c>
      <c r="J106" s="499" t="str">
        <f>IFERROR(VLOOKUP(I106,'G-1 All Habitats'!$V$3:$W$7,2,FALSE),"")</f>
        <v/>
      </c>
      <c r="K106" s="145"/>
      <c r="L106" s="499" t="str">
        <f>IFERROR(INDEX('G-8 Condition Look up'!$A$3:$H$130,MATCH(G106,'G-8 Condition Look up'!$A$3:$A$130,0),MATCH(K106,'G-8 Condition Look up'!$A$3:$H$3,0)),"")</f>
        <v/>
      </c>
      <c r="M106" s="154"/>
      <c r="N106" s="520" t="str">
        <f>IF(M106="","",IF(VLOOKUP(M106,'G-3 Multipliers'!$L$3:$N$6,2,FALSE)=0,"Spatial Data Missing ⚠",VLOOKUP(M106,'G-3 Multipliers'!$L$3:$N$6,2,FALSE)))</f>
        <v/>
      </c>
      <c r="O106" s="524" t="str">
        <f>IF(M106="","",IF(VLOOKUP(M106,'G-3 Multipliers'!$L$3:$N$6,3,FALSE)=0,"Spatial Data Missing ⚠",VLOOKUP(M106,'G-3 Multipliers'!$L$3:$N$6,3,FALSE)))</f>
        <v/>
      </c>
      <c r="P106" s="506" t="str">
        <f>IFERROR(VLOOKUP(G106,'G-1 All Habitats'!$B$2:$M$129,12,FALSE),"")</f>
        <v/>
      </c>
      <c r="Q106" s="513" t="str">
        <f>IFERROR(IF(P106="","",IF(AND(P106='G-1 All Habitats'!$X$3,T106&gt;0),U106+V106,IF(AND(P106='G-1 All Habitats'!$X$3,S106&gt;0),U106+V106,IF(AND(P106='G-1 All Habitats'!$X$3,AC106&gt;0),"Any Loss Unacceptable",IF(AND(P106='G-1 All Habitats'!$X$3,W106&gt;0),"Any Loss Unacceptable",H106*J106*L106*O106))))),"Check Data ⚠")</f>
        <v/>
      </c>
      <c r="R106" s="50"/>
      <c r="S106" s="71"/>
      <c r="T106" s="72"/>
      <c r="U106" s="511" t="str">
        <f t="shared" si="8"/>
        <v/>
      </c>
      <c r="V106" s="511" t="str">
        <f t="shared" si="9"/>
        <v/>
      </c>
      <c r="W106" s="511" t="str">
        <f>IF(E106="","",IF(H106&lt;S106+T106,"Error in Areas ▲",IF(P106&lt;&gt;'G-1 All Habitats'!$X$3,H106-S106-T106,IF(AND(P106='G-1 All Habitats'!$X$3,Y106="Yes"),"Unacceptable Loss ▲",IF(AND(P106='G-1 All Habitats'!$X$3,Y106="No"),AC106,IF(AND(P106='G-1 All Habitats'!$X$3,Y106=""),AC106,IF(AND(P106='G-1 All Habitats'!$X$3,AC106="None",AC106),IF(AND(P106='G-1 All Habitats'!$X$3,AC106&gt;0),H106-S106-T106))))))))</f>
        <v/>
      </c>
      <c r="X106" s="545" t="str">
        <f>IFERROR(IF(H106="","",IF(H106-S106-T106=0&lt;0,"Error in Areas ▲",IF(S106+T106&gt;H106,"Error in Areas ▲",IF(AND(P106='G-1 All Habitats'!$X$3,Y106="Yes"),"Alternative Compensation",IF(W106=0,0,IF(P106='G-1 All Habitats'!$X$3,"Unacceptable Loss",Q106-U106-V106)))))),"Check Data ⚠")</f>
        <v/>
      </c>
      <c r="Y106" s="72"/>
      <c r="Z106" s="151"/>
      <c r="AA106" s="152"/>
      <c r="AC106" s="251" t="str">
        <f>IF(P106="","",IF(P106='G-1 All Habitats'!$X$3,H106-S106-T106,"None"))</f>
        <v/>
      </c>
      <c r="AD106" s="252" t="str">
        <f t="shared" si="10"/>
        <v/>
      </c>
      <c r="AF106" s="156" t="str">
        <f t="shared" si="6"/>
        <v/>
      </c>
      <c r="AG106" s="156" t="str">
        <f t="shared" si="7"/>
        <v/>
      </c>
      <c r="AH106" s="156" t="str">
        <f>IF(I106="","",IF(#REF!&gt;0,TRUE,FALSE))</f>
        <v/>
      </c>
      <c r="AI106" s="156">
        <v>96</v>
      </c>
      <c r="AJ106" s="156"/>
      <c r="AK106" s="156" t="str">
        <f t="array" ref="AK106">IFERROR(INDEX($AI$11:$AI$259, MATCH(0, IF(TRUE=$AF$11:$AF$259, COUNTIF($AK$10:$AK105, $AI$11:$AI$259), ""), 0)),"")</f>
        <v/>
      </c>
      <c r="AL106" s="156" t="str">
        <f t="array" ref="AL106">IFERROR(INDEX($AI$11:$AI$259, MATCH(0, IF(TRUE=$AG$11:$AG$259, COUNTIF($AL$10:$AL105, $AI$11:$AI$259), ""), 0)),"")</f>
        <v/>
      </c>
      <c r="AM106" s="156" t="str">
        <f t="array" ref="AM106">IFERROR(INDEX($AI$11:$AI$259, MATCH(0, IF(TRUE=$AH$11:$AH$259, COUNTIF($AM$10:$AM105, $AI$11:$AI$259), ""), 0)),"")</f>
        <v/>
      </c>
      <c r="AQ106" s="31">
        <f t="shared" si="11"/>
        <v>0</v>
      </c>
    </row>
    <row r="107" spans="1:43" x14ac:dyDescent="0.3">
      <c r="A107" s="31" t="str">
        <f>IFERROR(INDEX('G-1 All Habitats'!$AG$3:$AG$15,MATCH(E107,'G-1 All Habitats'!$AF$3:$AF$15,0)),"")</f>
        <v/>
      </c>
      <c r="B107" s="31" t="str">
        <f>IFERROR(INDEX('G-8 Condition Look up'!$I$4:$I$130,MATCH(G107,'G-8 Condition Look up'!$A$4:$A$130,0)),"")</f>
        <v/>
      </c>
      <c r="D107" s="141">
        <v>97</v>
      </c>
      <c r="E107" s="203"/>
      <c r="F107" s="203"/>
      <c r="G107" s="250" t="str">
        <f>IFERROR(INDEX('G-1 All Habitats'!$B$3:$B$129,MATCH(F107,'G-1 All Habitats'!$A$3:$A$129,0)),"")</f>
        <v/>
      </c>
      <c r="H107" s="172"/>
      <c r="I107" s="498" t="str">
        <f>IF(G107="","",VLOOKUP(G107,'G-1 All Habitats'!$B$2:$M$129,10,FALSE))</f>
        <v/>
      </c>
      <c r="J107" s="499" t="str">
        <f>IFERROR(VLOOKUP(I107,'G-1 All Habitats'!$V$3:$W$7,2,FALSE),"")</f>
        <v/>
      </c>
      <c r="K107" s="145"/>
      <c r="L107" s="499" t="str">
        <f>IFERROR(INDEX('G-8 Condition Look up'!$A$3:$H$130,MATCH(G107,'G-8 Condition Look up'!$A$3:$A$130,0),MATCH(K107,'G-8 Condition Look up'!$A$3:$H$3,0)),"")</f>
        <v/>
      </c>
      <c r="M107" s="154"/>
      <c r="N107" s="520" t="str">
        <f>IF(M107="","",IF(VLOOKUP(M107,'G-3 Multipliers'!$L$3:$N$6,2,FALSE)=0,"Spatial Data Missing ⚠",VLOOKUP(M107,'G-3 Multipliers'!$L$3:$N$6,2,FALSE)))</f>
        <v/>
      </c>
      <c r="O107" s="524" t="str">
        <f>IF(M107="","",IF(VLOOKUP(M107,'G-3 Multipliers'!$L$3:$N$6,3,FALSE)=0,"Spatial Data Missing ⚠",VLOOKUP(M107,'G-3 Multipliers'!$L$3:$N$6,3,FALSE)))</f>
        <v/>
      </c>
      <c r="P107" s="506" t="str">
        <f>IFERROR(VLOOKUP(G107,'G-1 All Habitats'!$B$2:$M$129,12,FALSE),"")</f>
        <v/>
      </c>
      <c r="Q107" s="513" t="str">
        <f>IFERROR(IF(P107="","",IF(AND(P107='G-1 All Habitats'!$X$3,T107&gt;0),U107+V107,IF(AND(P107='G-1 All Habitats'!$X$3,S107&gt;0),U107+V107,IF(AND(P107='G-1 All Habitats'!$X$3,AC107&gt;0),"Any Loss Unacceptable",IF(AND(P107='G-1 All Habitats'!$X$3,W107&gt;0),"Any Loss Unacceptable",H107*J107*L107*O107))))),"Check Data ⚠")</f>
        <v/>
      </c>
      <c r="R107" s="50"/>
      <c r="S107" s="71"/>
      <c r="T107" s="72"/>
      <c r="U107" s="511" t="str">
        <f t="shared" si="8"/>
        <v/>
      </c>
      <c r="V107" s="511" t="str">
        <f t="shared" si="9"/>
        <v/>
      </c>
      <c r="W107" s="511" t="str">
        <f>IF(E107="","",IF(H107&lt;S107+T107,"Error in Areas ▲",IF(P107&lt;&gt;'G-1 All Habitats'!$X$3,H107-S107-T107,IF(AND(P107='G-1 All Habitats'!$X$3,Y107="Yes"),"Unacceptable Loss ▲",IF(AND(P107='G-1 All Habitats'!$X$3,Y107="No"),AC107,IF(AND(P107='G-1 All Habitats'!$X$3,Y107=""),AC107,IF(AND(P107='G-1 All Habitats'!$X$3,AC107="None",AC107),IF(AND(P107='G-1 All Habitats'!$X$3,AC107&gt;0),H107-S107-T107))))))))</f>
        <v/>
      </c>
      <c r="X107" s="545" t="str">
        <f>IFERROR(IF(H107="","",IF(H107-S107-T107=0&lt;0,"Error in Areas ▲",IF(S107+T107&gt;H107,"Error in Areas ▲",IF(AND(P107='G-1 All Habitats'!$X$3,Y107="Yes"),"Alternative Compensation",IF(W107=0,0,IF(P107='G-1 All Habitats'!$X$3,"Unacceptable Loss",Q107-U107-V107)))))),"Check Data ⚠")</f>
        <v/>
      </c>
      <c r="Y107" s="72"/>
      <c r="Z107" s="151"/>
      <c r="AA107" s="152"/>
      <c r="AC107" s="251" t="str">
        <f>IF(P107="","",IF(P107='G-1 All Habitats'!$X$3,H107-S107-T107,"None"))</f>
        <v/>
      </c>
      <c r="AD107" s="252" t="str">
        <f t="shared" si="10"/>
        <v/>
      </c>
      <c r="AF107" s="156" t="str">
        <f t="shared" si="6"/>
        <v/>
      </c>
      <c r="AG107" s="156" t="str">
        <f t="shared" si="7"/>
        <v/>
      </c>
      <c r="AH107" s="156" t="str">
        <f>IF(I107="","",IF(#REF!&gt;0,TRUE,FALSE))</f>
        <v/>
      </c>
      <c r="AI107" s="156">
        <v>97</v>
      </c>
      <c r="AJ107" s="156"/>
      <c r="AK107" s="156" t="str">
        <f t="array" ref="AK107">IFERROR(INDEX($AI$11:$AI$259, MATCH(0, IF(TRUE=$AF$11:$AF$259, COUNTIF($AK$10:$AK106, $AI$11:$AI$259), ""), 0)),"")</f>
        <v/>
      </c>
      <c r="AL107" s="156" t="str">
        <f t="array" ref="AL107">IFERROR(INDEX($AI$11:$AI$259, MATCH(0, IF(TRUE=$AG$11:$AG$259, COUNTIF($AL$10:$AL106, $AI$11:$AI$259), ""), 0)),"")</f>
        <v/>
      </c>
      <c r="AM107" s="156" t="str">
        <f t="array" ref="AM107">IFERROR(INDEX($AI$11:$AI$259, MATCH(0, IF(TRUE=$AH$11:$AH$259, COUNTIF($AM$10:$AM106, $AI$11:$AI$259), ""), 0)),"")</f>
        <v/>
      </c>
      <c r="AQ107" s="31">
        <f t="shared" si="11"/>
        <v>0</v>
      </c>
    </row>
    <row r="108" spans="1:43" x14ac:dyDescent="0.3">
      <c r="A108" s="31" t="str">
        <f>IFERROR(INDEX('G-1 All Habitats'!$AG$3:$AG$15,MATCH(E108,'G-1 All Habitats'!$AF$3:$AF$15,0)),"")</f>
        <v/>
      </c>
      <c r="B108" s="31" t="str">
        <f>IFERROR(INDEX('G-8 Condition Look up'!$I$4:$I$130,MATCH(G108,'G-8 Condition Look up'!$A$4:$A$130,0)),"")</f>
        <v/>
      </c>
      <c r="D108" s="141">
        <v>98</v>
      </c>
      <c r="E108" s="203"/>
      <c r="F108" s="203"/>
      <c r="G108" s="250" t="str">
        <f>IFERROR(INDEX('G-1 All Habitats'!$B$3:$B$129,MATCH(F108,'G-1 All Habitats'!$A$3:$A$129,0)),"")</f>
        <v/>
      </c>
      <c r="H108" s="172"/>
      <c r="I108" s="498" t="str">
        <f>IF(G108="","",VLOOKUP(G108,'G-1 All Habitats'!$B$2:$M$129,10,FALSE))</f>
        <v/>
      </c>
      <c r="J108" s="499" t="str">
        <f>IFERROR(VLOOKUP(I108,'G-1 All Habitats'!$V$3:$W$7,2,FALSE),"")</f>
        <v/>
      </c>
      <c r="K108" s="145"/>
      <c r="L108" s="499" t="str">
        <f>IFERROR(INDEX('G-8 Condition Look up'!$A$3:$H$130,MATCH(G108,'G-8 Condition Look up'!$A$3:$A$130,0),MATCH(K108,'G-8 Condition Look up'!$A$3:$H$3,0)),"")</f>
        <v/>
      </c>
      <c r="M108" s="154"/>
      <c r="N108" s="520" t="str">
        <f>IF(M108="","",IF(VLOOKUP(M108,'G-3 Multipliers'!$L$3:$N$6,2,FALSE)=0,"Spatial Data Missing ⚠",VLOOKUP(M108,'G-3 Multipliers'!$L$3:$N$6,2,FALSE)))</f>
        <v/>
      </c>
      <c r="O108" s="524" t="str">
        <f>IF(M108="","",IF(VLOOKUP(M108,'G-3 Multipliers'!$L$3:$N$6,3,FALSE)=0,"Spatial Data Missing ⚠",VLOOKUP(M108,'G-3 Multipliers'!$L$3:$N$6,3,FALSE)))</f>
        <v/>
      </c>
      <c r="P108" s="506" t="str">
        <f>IFERROR(VLOOKUP(G108,'G-1 All Habitats'!$B$2:$M$129,12,FALSE),"")</f>
        <v/>
      </c>
      <c r="Q108" s="513" t="str">
        <f>IFERROR(IF(P108="","",IF(AND(P108='G-1 All Habitats'!$X$3,T108&gt;0),U108+V108,IF(AND(P108='G-1 All Habitats'!$X$3,S108&gt;0),U108+V108,IF(AND(P108='G-1 All Habitats'!$X$3,AC108&gt;0),"Any Loss Unacceptable",IF(AND(P108='G-1 All Habitats'!$X$3,W108&gt;0),"Any Loss Unacceptable",H108*J108*L108*O108))))),"Check Data ⚠")</f>
        <v/>
      </c>
      <c r="R108" s="50"/>
      <c r="S108" s="71"/>
      <c r="T108" s="72"/>
      <c r="U108" s="511" t="str">
        <f t="shared" si="8"/>
        <v/>
      </c>
      <c r="V108" s="511" t="str">
        <f t="shared" si="9"/>
        <v/>
      </c>
      <c r="W108" s="511" t="str">
        <f>IF(E108="","",IF(H108&lt;S108+T108,"Error in Areas ▲",IF(P108&lt;&gt;'G-1 All Habitats'!$X$3,H108-S108-T108,IF(AND(P108='G-1 All Habitats'!$X$3,Y108="Yes"),"Unacceptable Loss ▲",IF(AND(P108='G-1 All Habitats'!$X$3,Y108="No"),AC108,IF(AND(P108='G-1 All Habitats'!$X$3,Y108=""),AC108,IF(AND(P108='G-1 All Habitats'!$X$3,AC108="None",AC108),IF(AND(P108='G-1 All Habitats'!$X$3,AC108&gt;0),H108-S108-T108))))))))</f>
        <v/>
      </c>
      <c r="X108" s="545" t="str">
        <f>IFERROR(IF(H108="","",IF(H108-S108-T108=0&lt;0,"Error in Areas ▲",IF(S108+T108&gt;H108,"Error in Areas ▲",IF(AND(P108='G-1 All Habitats'!$X$3,Y108="Yes"),"Alternative Compensation",IF(W108=0,0,IF(P108='G-1 All Habitats'!$X$3,"Unacceptable Loss",Q108-U108-V108)))))),"Check Data ⚠")</f>
        <v/>
      </c>
      <c r="Y108" s="72"/>
      <c r="Z108" s="151"/>
      <c r="AA108" s="152"/>
      <c r="AC108" s="251" t="str">
        <f>IF(P108="","",IF(P108='G-1 All Habitats'!$X$3,H108-S108-T108,"None"))</f>
        <v/>
      </c>
      <c r="AD108" s="252" t="str">
        <f t="shared" si="10"/>
        <v/>
      </c>
      <c r="AF108" s="156" t="str">
        <f t="shared" si="6"/>
        <v/>
      </c>
      <c r="AG108" s="156" t="str">
        <f t="shared" si="7"/>
        <v/>
      </c>
      <c r="AH108" s="156" t="str">
        <f>IF(I108="","",IF(#REF!&gt;0,TRUE,FALSE))</f>
        <v/>
      </c>
      <c r="AI108" s="156">
        <v>98</v>
      </c>
      <c r="AJ108" s="156"/>
      <c r="AK108" s="156" t="str">
        <f t="array" ref="AK108">IFERROR(INDEX($AI$11:$AI$259, MATCH(0, IF(TRUE=$AF$11:$AF$259, COUNTIF($AK$10:$AK107, $AI$11:$AI$259), ""), 0)),"")</f>
        <v/>
      </c>
      <c r="AL108" s="156" t="str">
        <f t="array" ref="AL108">IFERROR(INDEX($AI$11:$AI$259, MATCH(0, IF(TRUE=$AG$11:$AG$259, COUNTIF($AL$10:$AL107, $AI$11:$AI$259), ""), 0)),"")</f>
        <v/>
      </c>
      <c r="AM108" s="156" t="str">
        <f t="array" ref="AM108">IFERROR(INDEX($AI$11:$AI$259, MATCH(0, IF(TRUE=$AH$11:$AH$259, COUNTIF($AM$10:$AM107, $AI$11:$AI$259), ""), 0)),"")</f>
        <v/>
      </c>
      <c r="AQ108" s="31">
        <f t="shared" si="11"/>
        <v>0</v>
      </c>
    </row>
    <row r="109" spans="1:43" x14ac:dyDescent="0.3">
      <c r="A109" s="31" t="str">
        <f>IFERROR(INDEX('G-1 All Habitats'!$AG$3:$AG$15,MATCH(E109,'G-1 All Habitats'!$AF$3:$AF$15,0)),"")</f>
        <v/>
      </c>
      <c r="B109" s="31" t="str">
        <f>IFERROR(INDEX('G-8 Condition Look up'!$I$4:$I$130,MATCH(G109,'G-8 Condition Look up'!$A$4:$A$130,0)),"")</f>
        <v/>
      </c>
      <c r="D109" s="141">
        <v>99</v>
      </c>
      <c r="E109" s="203"/>
      <c r="F109" s="203"/>
      <c r="G109" s="250" t="str">
        <f>IFERROR(INDEX('G-1 All Habitats'!$B$3:$B$129,MATCH(F109,'G-1 All Habitats'!$A$3:$A$129,0)),"")</f>
        <v/>
      </c>
      <c r="H109" s="172"/>
      <c r="I109" s="498" t="str">
        <f>IF(G109="","",VLOOKUP(G109,'G-1 All Habitats'!$B$2:$M$129,10,FALSE))</f>
        <v/>
      </c>
      <c r="J109" s="499" t="str">
        <f>IFERROR(VLOOKUP(I109,'G-1 All Habitats'!$V$3:$W$7,2,FALSE),"")</f>
        <v/>
      </c>
      <c r="K109" s="145"/>
      <c r="L109" s="499" t="str">
        <f>IFERROR(INDEX('G-8 Condition Look up'!$A$3:$H$130,MATCH(G109,'G-8 Condition Look up'!$A$3:$A$130,0),MATCH(K109,'G-8 Condition Look up'!$A$3:$H$3,0)),"")</f>
        <v/>
      </c>
      <c r="M109" s="154"/>
      <c r="N109" s="520" t="str">
        <f>IF(M109="","",IF(VLOOKUP(M109,'G-3 Multipliers'!$L$3:$N$6,2,FALSE)=0,"Spatial Data Missing ⚠",VLOOKUP(M109,'G-3 Multipliers'!$L$3:$N$6,2,FALSE)))</f>
        <v/>
      </c>
      <c r="O109" s="524" t="str">
        <f>IF(M109="","",IF(VLOOKUP(M109,'G-3 Multipliers'!$L$3:$N$6,3,FALSE)=0,"Spatial Data Missing ⚠",VLOOKUP(M109,'G-3 Multipliers'!$L$3:$N$6,3,FALSE)))</f>
        <v/>
      </c>
      <c r="P109" s="506" t="str">
        <f>IFERROR(VLOOKUP(G109,'G-1 All Habitats'!$B$2:$M$129,12,FALSE),"")</f>
        <v/>
      </c>
      <c r="Q109" s="513" t="str">
        <f>IFERROR(IF(P109="","",IF(AND(P109='G-1 All Habitats'!$X$3,T109&gt;0),U109+V109,IF(AND(P109='G-1 All Habitats'!$X$3,S109&gt;0),U109+V109,IF(AND(P109='G-1 All Habitats'!$X$3,AC109&gt;0),"Any Loss Unacceptable",IF(AND(P109='G-1 All Habitats'!$X$3,W109&gt;0),"Any Loss Unacceptable",H109*J109*L109*O109))))),"Check Data ⚠")</f>
        <v/>
      </c>
      <c r="R109" s="50"/>
      <c r="S109" s="71"/>
      <c r="T109" s="72"/>
      <c r="U109" s="511" t="str">
        <f t="shared" si="8"/>
        <v/>
      </c>
      <c r="V109" s="511" t="str">
        <f t="shared" si="9"/>
        <v/>
      </c>
      <c r="W109" s="511" t="str">
        <f>IF(E109="","",IF(H109&lt;S109+T109,"Error in Areas ▲",IF(P109&lt;&gt;'G-1 All Habitats'!$X$3,H109-S109-T109,IF(AND(P109='G-1 All Habitats'!$X$3,Y109="Yes"),"Unacceptable Loss ▲",IF(AND(P109='G-1 All Habitats'!$X$3,Y109="No"),AC109,IF(AND(P109='G-1 All Habitats'!$X$3,Y109=""),AC109,IF(AND(P109='G-1 All Habitats'!$X$3,AC109="None",AC109),IF(AND(P109='G-1 All Habitats'!$X$3,AC109&gt;0),H109-S109-T109))))))))</f>
        <v/>
      </c>
      <c r="X109" s="545" t="str">
        <f>IFERROR(IF(H109="","",IF(H109-S109-T109=0&lt;0,"Error in Areas ▲",IF(S109+T109&gt;H109,"Error in Areas ▲",IF(AND(P109='G-1 All Habitats'!$X$3,Y109="Yes"),"Alternative Compensation",IF(W109=0,0,IF(P109='G-1 All Habitats'!$X$3,"Unacceptable Loss",Q109-U109-V109)))))),"Check Data ⚠")</f>
        <v/>
      </c>
      <c r="Y109" s="72"/>
      <c r="Z109" s="151"/>
      <c r="AA109" s="152"/>
      <c r="AC109" s="251" t="str">
        <f>IF(P109="","",IF(P109='G-1 All Habitats'!$X$3,H109-S109-T109,"None"))</f>
        <v/>
      </c>
      <c r="AD109" s="252" t="str">
        <f t="shared" si="10"/>
        <v/>
      </c>
      <c r="AF109" s="156" t="str">
        <f t="shared" si="6"/>
        <v/>
      </c>
      <c r="AG109" s="156" t="str">
        <f t="shared" si="7"/>
        <v/>
      </c>
      <c r="AH109" s="156" t="str">
        <f>IF(I109="","",IF(#REF!&gt;0,TRUE,FALSE))</f>
        <v/>
      </c>
      <c r="AI109" s="156">
        <v>99</v>
      </c>
      <c r="AJ109" s="156"/>
      <c r="AK109" s="156" t="str">
        <f t="array" ref="AK109">IFERROR(INDEX($AI$11:$AI$259, MATCH(0, IF(TRUE=$AF$11:$AF$259, COUNTIF($AK$10:$AK108, $AI$11:$AI$259), ""), 0)),"")</f>
        <v/>
      </c>
      <c r="AL109" s="156" t="str">
        <f t="array" ref="AL109">IFERROR(INDEX($AI$11:$AI$259, MATCH(0, IF(TRUE=$AG$11:$AG$259, COUNTIF($AL$10:$AL108, $AI$11:$AI$259), ""), 0)),"")</f>
        <v/>
      </c>
      <c r="AM109" s="156" t="str">
        <f t="array" ref="AM109">IFERROR(INDEX($AI$11:$AI$259, MATCH(0, IF(TRUE=$AH$11:$AH$259, COUNTIF($AM$10:$AM108, $AI$11:$AI$259), ""), 0)),"")</f>
        <v/>
      </c>
      <c r="AQ109" s="31">
        <f t="shared" si="11"/>
        <v>0</v>
      </c>
    </row>
    <row r="110" spans="1:43" x14ac:dyDescent="0.3">
      <c r="A110" s="31" t="str">
        <f>IFERROR(INDEX('G-1 All Habitats'!$AG$3:$AG$15,MATCH(E110,'G-1 All Habitats'!$AF$3:$AF$15,0)),"")</f>
        <v/>
      </c>
      <c r="B110" s="31" t="str">
        <f>IFERROR(INDEX('G-8 Condition Look up'!$I$4:$I$130,MATCH(G110,'G-8 Condition Look up'!$A$4:$A$130,0)),"")</f>
        <v/>
      </c>
      <c r="D110" s="141">
        <v>100</v>
      </c>
      <c r="E110" s="203"/>
      <c r="F110" s="203"/>
      <c r="G110" s="250" t="str">
        <f>IFERROR(INDEX('G-1 All Habitats'!$B$3:$B$129,MATCH(F110,'G-1 All Habitats'!$A$3:$A$129,0)),"")</f>
        <v/>
      </c>
      <c r="H110" s="172"/>
      <c r="I110" s="498" t="str">
        <f>IF(G110="","",VLOOKUP(G110,'G-1 All Habitats'!$B$2:$M$129,10,FALSE))</f>
        <v/>
      </c>
      <c r="J110" s="499" t="str">
        <f>IFERROR(VLOOKUP(I110,'G-1 All Habitats'!$V$3:$W$7,2,FALSE),"")</f>
        <v/>
      </c>
      <c r="K110" s="145"/>
      <c r="L110" s="499" t="str">
        <f>IFERROR(INDEX('G-8 Condition Look up'!$A$3:$H$130,MATCH(G110,'G-8 Condition Look up'!$A$3:$A$130,0),MATCH(K110,'G-8 Condition Look up'!$A$3:$H$3,0)),"")</f>
        <v/>
      </c>
      <c r="M110" s="154"/>
      <c r="N110" s="520" t="str">
        <f>IF(M110="","",IF(VLOOKUP(M110,'G-3 Multipliers'!$L$3:$N$6,2,FALSE)=0,"Spatial Data Missing ⚠",VLOOKUP(M110,'G-3 Multipliers'!$L$3:$N$6,2,FALSE)))</f>
        <v/>
      </c>
      <c r="O110" s="524" t="str">
        <f>IF(M110="","",IF(VLOOKUP(M110,'G-3 Multipliers'!$L$3:$N$6,3,FALSE)=0,"Spatial Data Missing ⚠",VLOOKUP(M110,'G-3 Multipliers'!$L$3:$N$6,3,FALSE)))</f>
        <v/>
      </c>
      <c r="P110" s="506" t="str">
        <f>IFERROR(VLOOKUP(G110,'G-1 All Habitats'!$B$2:$M$129,12,FALSE),"")</f>
        <v/>
      </c>
      <c r="Q110" s="513" t="str">
        <f>IFERROR(IF(P110="","",IF(AND(P110='G-1 All Habitats'!$X$3,T110&gt;0),U110+V110,IF(AND(P110='G-1 All Habitats'!$X$3,S110&gt;0),U110+V110,IF(AND(P110='G-1 All Habitats'!$X$3,AC110&gt;0),"Any Loss Unacceptable",IF(AND(P110='G-1 All Habitats'!$X$3,W110&gt;0),"Any Loss Unacceptable",H110*J110*L110*O110))))),"Check Data ⚠")</f>
        <v/>
      </c>
      <c r="R110" s="50"/>
      <c r="S110" s="71"/>
      <c r="T110" s="72"/>
      <c r="U110" s="511" t="str">
        <f t="shared" si="8"/>
        <v/>
      </c>
      <c r="V110" s="511" t="str">
        <f t="shared" si="9"/>
        <v/>
      </c>
      <c r="W110" s="511" t="str">
        <f>IF(E110="","",IF(H110&lt;S110+T110,"Error in Areas ▲",IF(P110&lt;&gt;'G-1 All Habitats'!$X$3,H110-S110-T110,IF(AND(P110='G-1 All Habitats'!$X$3,Y110="Yes"),"Unacceptable Loss ▲",IF(AND(P110='G-1 All Habitats'!$X$3,Y110="No"),AC110,IF(AND(P110='G-1 All Habitats'!$X$3,Y110=""),AC110,IF(AND(P110='G-1 All Habitats'!$X$3,AC110="None",AC110),IF(AND(P110='G-1 All Habitats'!$X$3,AC110&gt;0),H110-S110-T110))))))))</f>
        <v/>
      </c>
      <c r="X110" s="545" t="str">
        <f>IFERROR(IF(H110="","",IF(H110-S110-T110=0&lt;0,"Error in Areas ▲",IF(S110+T110&gt;H110,"Error in Areas ▲",IF(AND(P110='G-1 All Habitats'!$X$3,Y110="Yes"),"Alternative Compensation",IF(W110=0,0,IF(P110='G-1 All Habitats'!$X$3,"Unacceptable Loss",Q110-U110-V110)))))),"Check Data ⚠")</f>
        <v/>
      </c>
      <c r="Y110" s="72"/>
      <c r="Z110" s="151"/>
      <c r="AA110" s="152"/>
      <c r="AC110" s="251" t="str">
        <f>IF(P110="","",IF(P110='G-1 All Habitats'!$X$3,H110-S110-T110,"None"))</f>
        <v/>
      </c>
      <c r="AD110" s="252" t="str">
        <f t="shared" si="10"/>
        <v/>
      </c>
      <c r="AF110" s="156" t="str">
        <f t="shared" si="6"/>
        <v/>
      </c>
      <c r="AG110" s="156" t="str">
        <f t="shared" si="7"/>
        <v/>
      </c>
      <c r="AH110" s="156" t="str">
        <f>IF(I110="","",IF(#REF!&gt;0,TRUE,FALSE))</f>
        <v/>
      </c>
      <c r="AI110" s="156">
        <v>100</v>
      </c>
      <c r="AJ110" s="156"/>
      <c r="AK110" s="156" t="str">
        <f t="array" ref="AK110">IFERROR(INDEX($AI$11:$AI$259, MATCH(0, IF(TRUE=$AF$11:$AF$259, COUNTIF($AK$10:$AK109, $AI$11:$AI$259), ""), 0)),"")</f>
        <v/>
      </c>
      <c r="AL110" s="156" t="str">
        <f t="array" ref="AL110">IFERROR(INDEX($AI$11:$AI$259, MATCH(0, IF(TRUE=$AG$11:$AG$259, COUNTIF($AL$10:$AL109, $AI$11:$AI$259), ""), 0)),"")</f>
        <v/>
      </c>
      <c r="AM110" s="156" t="str">
        <f t="array" ref="AM110">IFERROR(INDEX($AI$11:$AI$259, MATCH(0, IF(TRUE=$AH$11:$AH$259, COUNTIF($AM$10:$AM109, $AI$11:$AI$259), ""), 0)),"")</f>
        <v/>
      </c>
      <c r="AQ110" s="31">
        <f t="shared" si="11"/>
        <v>0</v>
      </c>
    </row>
    <row r="111" spans="1:43" x14ac:dyDescent="0.3">
      <c r="A111" s="31" t="str">
        <f>IFERROR(INDEX('G-1 All Habitats'!$AG$3:$AG$15,MATCH(E111,'G-1 All Habitats'!$AF$3:$AF$15,0)),"")</f>
        <v/>
      </c>
      <c r="B111" s="31" t="str">
        <f>IFERROR(INDEX('G-8 Condition Look up'!$I$4:$I$130,MATCH(G111,'G-8 Condition Look up'!$A$4:$A$130,0)),"")</f>
        <v/>
      </c>
      <c r="D111" s="141">
        <v>101</v>
      </c>
      <c r="E111" s="203"/>
      <c r="F111" s="203"/>
      <c r="G111" s="250" t="str">
        <f>IFERROR(INDEX('G-1 All Habitats'!$B$3:$B$129,MATCH(F111,'G-1 All Habitats'!$A$3:$A$129,0)),"")</f>
        <v/>
      </c>
      <c r="H111" s="172"/>
      <c r="I111" s="498" t="str">
        <f>IF(G111="","",VLOOKUP(G111,'G-1 All Habitats'!$B$2:$M$129,10,FALSE))</f>
        <v/>
      </c>
      <c r="J111" s="499" t="str">
        <f>IFERROR(VLOOKUP(I111,'G-1 All Habitats'!$V$3:$W$7,2,FALSE),"")</f>
        <v/>
      </c>
      <c r="K111" s="145"/>
      <c r="L111" s="499" t="str">
        <f>IFERROR(INDEX('G-8 Condition Look up'!$A$3:$H$130,MATCH(G111,'G-8 Condition Look up'!$A$3:$A$130,0),MATCH(K111,'G-8 Condition Look up'!$A$3:$H$3,0)),"")</f>
        <v/>
      </c>
      <c r="M111" s="154"/>
      <c r="N111" s="520" t="str">
        <f>IF(M111="","",IF(VLOOKUP(M111,'G-3 Multipliers'!$L$3:$N$6,2,FALSE)=0,"Spatial Data Missing ⚠",VLOOKUP(M111,'G-3 Multipliers'!$L$3:$N$6,2,FALSE)))</f>
        <v/>
      </c>
      <c r="O111" s="524" t="str">
        <f>IF(M111="","",IF(VLOOKUP(M111,'G-3 Multipliers'!$L$3:$N$6,3,FALSE)=0,"Spatial Data Missing ⚠",VLOOKUP(M111,'G-3 Multipliers'!$L$3:$N$6,3,FALSE)))</f>
        <v/>
      </c>
      <c r="P111" s="506" t="str">
        <f>IFERROR(VLOOKUP(G111,'G-1 All Habitats'!$B$2:$M$129,12,FALSE),"")</f>
        <v/>
      </c>
      <c r="Q111" s="513" t="str">
        <f>IFERROR(IF(P111="","",IF(AND(P111='G-1 All Habitats'!$X$3,T111&gt;0),U111+V111,IF(AND(P111='G-1 All Habitats'!$X$3,S111&gt;0),U111+V111,IF(AND(P111='G-1 All Habitats'!$X$3,AC111&gt;0),"Any Loss Unacceptable",IF(AND(P111='G-1 All Habitats'!$X$3,W111&gt;0),"Any Loss Unacceptable",H111*J111*L111*O111))))),"Check Data ⚠")</f>
        <v/>
      </c>
      <c r="R111" s="50"/>
      <c r="S111" s="71"/>
      <c r="T111" s="72"/>
      <c r="U111" s="511" t="str">
        <f t="shared" si="8"/>
        <v/>
      </c>
      <c r="V111" s="511" t="str">
        <f t="shared" si="9"/>
        <v/>
      </c>
      <c r="W111" s="511" t="str">
        <f>IF(E111="","",IF(H111&lt;S111+T111,"Error in Areas ▲",IF(P111&lt;&gt;'G-1 All Habitats'!$X$3,H111-S111-T111,IF(AND(P111='G-1 All Habitats'!$X$3,Y111="Yes"),"Unacceptable Loss ▲",IF(AND(P111='G-1 All Habitats'!$X$3,Y111="No"),AC111,IF(AND(P111='G-1 All Habitats'!$X$3,Y111=""),AC111,IF(AND(P111='G-1 All Habitats'!$X$3,AC111="None",AC111),IF(AND(P111='G-1 All Habitats'!$X$3,AC111&gt;0),H111-S111-T111))))))))</f>
        <v/>
      </c>
      <c r="X111" s="545" t="str">
        <f>IFERROR(IF(H111="","",IF(H111-S111-T111=0&lt;0,"Error in Areas ▲",IF(S111+T111&gt;H111,"Error in Areas ▲",IF(AND(P111='G-1 All Habitats'!$X$3,Y111="Yes"),"Alternative Compensation",IF(W111=0,0,IF(P111='G-1 All Habitats'!$X$3,"Unacceptable Loss",Q111-U111-V111)))))),"Check Data ⚠")</f>
        <v/>
      </c>
      <c r="Y111" s="72"/>
      <c r="Z111" s="151"/>
      <c r="AA111" s="152"/>
      <c r="AC111" s="251" t="str">
        <f>IF(P111="","",IF(P111='G-1 All Habitats'!$X$3,H111-S111-T111,"None"))</f>
        <v/>
      </c>
      <c r="AD111" s="252" t="str">
        <f t="shared" si="10"/>
        <v/>
      </c>
      <c r="AF111" s="156" t="str">
        <f t="shared" si="6"/>
        <v/>
      </c>
      <c r="AG111" s="156" t="str">
        <f t="shared" si="7"/>
        <v/>
      </c>
      <c r="AH111" s="156" t="str">
        <f>IF(I111="","",IF(#REF!&gt;0,TRUE,FALSE))</f>
        <v/>
      </c>
      <c r="AI111" s="156">
        <v>101</v>
      </c>
      <c r="AJ111" s="156"/>
      <c r="AK111" s="156" t="str">
        <f t="array" ref="AK111">IFERROR(INDEX($AI$11:$AI$259, MATCH(0, IF(TRUE=$AF$11:$AF$259, COUNTIF($AK$10:$AK110, $AI$11:$AI$259), ""), 0)),"")</f>
        <v/>
      </c>
      <c r="AL111" s="156" t="str">
        <f t="array" ref="AL111">IFERROR(INDEX($AI$11:$AI$259, MATCH(0, IF(TRUE=$AG$11:$AG$259, COUNTIF($AL$10:$AL110, $AI$11:$AI$259), ""), 0)),"")</f>
        <v/>
      </c>
      <c r="AM111" s="156" t="str">
        <f t="array" ref="AM111">IFERROR(INDEX($AI$11:$AI$259, MATCH(0, IF(TRUE=$AH$11:$AH$259, COUNTIF($AM$10:$AM110, $AI$11:$AI$259), ""), 0)),"")</f>
        <v/>
      </c>
      <c r="AQ111" s="31">
        <f t="shared" si="11"/>
        <v>0</v>
      </c>
    </row>
    <row r="112" spans="1:43" x14ac:dyDescent="0.3">
      <c r="A112" s="31" t="str">
        <f>IFERROR(INDEX('G-1 All Habitats'!$AG$3:$AG$15,MATCH(E112,'G-1 All Habitats'!$AF$3:$AF$15,0)),"")</f>
        <v/>
      </c>
      <c r="B112" s="31" t="str">
        <f>IFERROR(INDEX('G-8 Condition Look up'!$I$4:$I$130,MATCH(G112,'G-8 Condition Look up'!$A$4:$A$130,0)),"")</f>
        <v/>
      </c>
      <c r="D112" s="141">
        <v>102</v>
      </c>
      <c r="E112" s="203"/>
      <c r="F112" s="203"/>
      <c r="G112" s="250" t="str">
        <f>IFERROR(INDEX('G-1 All Habitats'!$B$3:$B$129,MATCH(F112,'G-1 All Habitats'!$A$3:$A$129,0)),"")</f>
        <v/>
      </c>
      <c r="H112" s="172"/>
      <c r="I112" s="498" t="str">
        <f>IF(G112="","",VLOOKUP(G112,'G-1 All Habitats'!$B$2:$M$129,10,FALSE))</f>
        <v/>
      </c>
      <c r="J112" s="499" t="str">
        <f>IFERROR(VLOOKUP(I112,'G-1 All Habitats'!$V$3:$W$7,2,FALSE),"")</f>
        <v/>
      </c>
      <c r="K112" s="145"/>
      <c r="L112" s="499" t="str">
        <f>IFERROR(INDEX('G-8 Condition Look up'!$A$3:$H$130,MATCH(G112,'G-8 Condition Look up'!$A$3:$A$130,0),MATCH(K112,'G-8 Condition Look up'!$A$3:$H$3,0)),"")</f>
        <v/>
      </c>
      <c r="M112" s="154"/>
      <c r="N112" s="520" t="str">
        <f>IF(M112="","",IF(VLOOKUP(M112,'G-3 Multipliers'!$L$3:$N$6,2,FALSE)=0,"Spatial Data Missing ⚠",VLOOKUP(M112,'G-3 Multipliers'!$L$3:$N$6,2,FALSE)))</f>
        <v/>
      </c>
      <c r="O112" s="524" t="str">
        <f>IF(M112="","",IF(VLOOKUP(M112,'G-3 Multipliers'!$L$3:$N$6,3,FALSE)=0,"Spatial Data Missing ⚠",VLOOKUP(M112,'G-3 Multipliers'!$L$3:$N$6,3,FALSE)))</f>
        <v/>
      </c>
      <c r="P112" s="506" t="str">
        <f>IFERROR(VLOOKUP(G112,'G-1 All Habitats'!$B$2:$M$129,12,FALSE),"")</f>
        <v/>
      </c>
      <c r="Q112" s="513" t="str">
        <f>IFERROR(IF(P112="","",IF(AND(P112='G-1 All Habitats'!$X$3,T112&gt;0),U112+V112,IF(AND(P112='G-1 All Habitats'!$X$3,S112&gt;0),U112+V112,IF(AND(P112='G-1 All Habitats'!$X$3,AC112&gt;0),"Any Loss Unacceptable",IF(AND(P112='G-1 All Habitats'!$X$3,W112&gt;0),"Any Loss Unacceptable",H112*J112*L112*O112))))),"Check Data ⚠")</f>
        <v/>
      </c>
      <c r="R112" s="50"/>
      <c r="S112" s="71"/>
      <c r="T112" s="72"/>
      <c r="U112" s="511" t="str">
        <f t="shared" si="8"/>
        <v/>
      </c>
      <c r="V112" s="511" t="str">
        <f t="shared" si="9"/>
        <v/>
      </c>
      <c r="W112" s="511" t="str">
        <f>IF(E112="","",IF(H112&lt;S112+T112,"Error in Areas ▲",IF(P112&lt;&gt;'G-1 All Habitats'!$X$3,H112-S112-T112,IF(AND(P112='G-1 All Habitats'!$X$3,Y112="Yes"),"Unacceptable Loss ▲",IF(AND(P112='G-1 All Habitats'!$X$3,Y112="No"),AC112,IF(AND(P112='G-1 All Habitats'!$X$3,Y112=""),AC112,IF(AND(P112='G-1 All Habitats'!$X$3,AC112="None",AC112),IF(AND(P112='G-1 All Habitats'!$X$3,AC112&gt;0),H112-S112-T112))))))))</f>
        <v/>
      </c>
      <c r="X112" s="545" t="str">
        <f>IFERROR(IF(H112="","",IF(H112-S112-T112=0&lt;0,"Error in Areas ▲",IF(S112+T112&gt;H112,"Error in Areas ▲",IF(AND(P112='G-1 All Habitats'!$X$3,Y112="Yes"),"Alternative Compensation",IF(W112=0,0,IF(P112='G-1 All Habitats'!$X$3,"Unacceptable Loss",Q112-U112-V112)))))),"Check Data ⚠")</f>
        <v/>
      </c>
      <c r="Y112" s="72"/>
      <c r="Z112" s="151"/>
      <c r="AA112" s="152"/>
      <c r="AC112" s="251" t="str">
        <f>IF(P112="","",IF(P112='G-1 All Habitats'!$X$3,H112-S112-T112,"None"))</f>
        <v/>
      </c>
      <c r="AD112" s="252" t="str">
        <f t="shared" si="10"/>
        <v/>
      </c>
      <c r="AF112" s="156" t="str">
        <f t="shared" si="6"/>
        <v/>
      </c>
      <c r="AG112" s="156" t="str">
        <f t="shared" si="7"/>
        <v/>
      </c>
      <c r="AH112" s="156" t="str">
        <f>IF(I112="","",IF(#REF!&gt;0,TRUE,FALSE))</f>
        <v/>
      </c>
      <c r="AI112" s="156">
        <v>102</v>
      </c>
      <c r="AJ112" s="156"/>
      <c r="AK112" s="156" t="str">
        <f t="array" ref="AK112">IFERROR(INDEX($AI$11:$AI$259, MATCH(0, IF(TRUE=$AF$11:$AF$259, COUNTIF($AK$10:$AK111, $AI$11:$AI$259), ""), 0)),"")</f>
        <v/>
      </c>
      <c r="AL112" s="156" t="str">
        <f t="array" ref="AL112">IFERROR(INDEX($AI$11:$AI$259, MATCH(0, IF(TRUE=$AG$11:$AG$259, COUNTIF($AL$10:$AL111, $AI$11:$AI$259), ""), 0)),"")</f>
        <v/>
      </c>
      <c r="AM112" s="156" t="str">
        <f t="array" ref="AM112">IFERROR(INDEX($AI$11:$AI$259, MATCH(0, IF(TRUE=$AH$11:$AH$259, COUNTIF($AM$10:$AM111, $AI$11:$AI$259), ""), 0)),"")</f>
        <v/>
      </c>
      <c r="AQ112" s="31">
        <f t="shared" si="11"/>
        <v>0</v>
      </c>
    </row>
    <row r="113" spans="1:43" x14ac:dyDescent="0.3">
      <c r="A113" s="31" t="str">
        <f>IFERROR(INDEX('G-1 All Habitats'!$AG$3:$AG$15,MATCH(E113,'G-1 All Habitats'!$AF$3:$AF$15,0)),"")</f>
        <v/>
      </c>
      <c r="B113" s="31" t="str">
        <f>IFERROR(INDEX('G-8 Condition Look up'!$I$4:$I$130,MATCH(G113,'G-8 Condition Look up'!$A$4:$A$130,0)),"")</f>
        <v/>
      </c>
      <c r="D113" s="141">
        <v>103</v>
      </c>
      <c r="E113" s="203"/>
      <c r="F113" s="203"/>
      <c r="G113" s="250" t="str">
        <f>IFERROR(INDEX('G-1 All Habitats'!$B$3:$B$129,MATCH(F113,'G-1 All Habitats'!$A$3:$A$129,0)),"")</f>
        <v/>
      </c>
      <c r="H113" s="172"/>
      <c r="I113" s="498" t="str">
        <f>IF(G113="","",VLOOKUP(G113,'G-1 All Habitats'!$B$2:$M$129,10,FALSE))</f>
        <v/>
      </c>
      <c r="J113" s="499" t="str">
        <f>IFERROR(VLOOKUP(I113,'G-1 All Habitats'!$V$3:$W$7,2,FALSE),"")</f>
        <v/>
      </c>
      <c r="K113" s="145"/>
      <c r="L113" s="499" t="str">
        <f>IFERROR(INDEX('G-8 Condition Look up'!$A$3:$H$130,MATCH(G113,'G-8 Condition Look up'!$A$3:$A$130,0),MATCH(K113,'G-8 Condition Look up'!$A$3:$H$3,0)),"")</f>
        <v/>
      </c>
      <c r="M113" s="154"/>
      <c r="N113" s="520" t="str">
        <f>IF(M113="","",IF(VLOOKUP(M113,'G-3 Multipliers'!$L$3:$N$6,2,FALSE)=0,"Spatial Data Missing ⚠",VLOOKUP(M113,'G-3 Multipliers'!$L$3:$N$6,2,FALSE)))</f>
        <v/>
      </c>
      <c r="O113" s="524" t="str">
        <f>IF(M113="","",IF(VLOOKUP(M113,'G-3 Multipliers'!$L$3:$N$6,3,FALSE)=0,"Spatial Data Missing ⚠",VLOOKUP(M113,'G-3 Multipliers'!$L$3:$N$6,3,FALSE)))</f>
        <v/>
      </c>
      <c r="P113" s="506" t="str">
        <f>IFERROR(VLOOKUP(G113,'G-1 All Habitats'!$B$2:$M$129,12,FALSE),"")</f>
        <v/>
      </c>
      <c r="Q113" s="513" t="str">
        <f>IFERROR(IF(P113="","",IF(AND(P113='G-1 All Habitats'!$X$3,T113&gt;0),U113+V113,IF(AND(P113='G-1 All Habitats'!$X$3,S113&gt;0),U113+V113,IF(AND(P113='G-1 All Habitats'!$X$3,AC113&gt;0),"Any Loss Unacceptable",IF(AND(P113='G-1 All Habitats'!$X$3,W113&gt;0),"Any Loss Unacceptable",H113*J113*L113*O113))))),"Check Data ⚠")</f>
        <v/>
      </c>
      <c r="R113" s="50"/>
      <c r="S113" s="71"/>
      <c r="T113" s="72"/>
      <c r="U113" s="511" t="str">
        <f t="shared" si="8"/>
        <v/>
      </c>
      <c r="V113" s="511" t="str">
        <f t="shared" si="9"/>
        <v/>
      </c>
      <c r="W113" s="511" t="str">
        <f>IF(E113="","",IF(H113&lt;S113+T113,"Error in Areas ▲",IF(P113&lt;&gt;'G-1 All Habitats'!$X$3,H113-S113-T113,IF(AND(P113='G-1 All Habitats'!$X$3,Y113="Yes"),"Unacceptable Loss ▲",IF(AND(P113='G-1 All Habitats'!$X$3,Y113="No"),AC113,IF(AND(P113='G-1 All Habitats'!$X$3,Y113=""),AC113,IF(AND(P113='G-1 All Habitats'!$X$3,AC113="None",AC113),IF(AND(P113='G-1 All Habitats'!$X$3,AC113&gt;0),H113-S113-T113))))))))</f>
        <v/>
      </c>
      <c r="X113" s="545" t="str">
        <f>IFERROR(IF(H113="","",IF(H113-S113-T113=0&lt;0,"Error in Areas ▲",IF(S113+T113&gt;H113,"Error in Areas ▲",IF(AND(P113='G-1 All Habitats'!$X$3,Y113="Yes"),"Alternative Compensation",IF(W113=0,0,IF(P113='G-1 All Habitats'!$X$3,"Unacceptable Loss",Q113-U113-V113)))))),"Check Data ⚠")</f>
        <v/>
      </c>
      <c r="Y113" s="72"/>
      <c r="Z113" s="151"/>
      <c r="AA113" s="152"/>
      <c r="AC113" s="251" t="str">
        <f>IF(P113="","",IF(P113='G-1 All Habitats'!$X$3,H113-S113-T113,"None"))</f>
        <v/>
      </c>
      <c r="AD113" s="252" t="str">
        <f t="shared" si="10"/>
        <v/>
      </c>
      <c r="AF113" s="156" t="str">
        <f t="shared" si="6"/>
        <v/>
      </c>
      <c r="AG113" s="156" t="str">
        <f t="shared" si="7"/>
        <v/>
      </c>
      <c r="AH113" s="156" t="str">
        <f>IF(I113="","",IF(#REF!&gt;0,TRUE,FALSE))</f>
        <v/>
      </c>
      <c r="AI113" s="156">
        <v>103</v>
      </c>
      <c r="AJ113" s="156"/>
      <c r="AK113" s="156" t="str">
        <f t="array" ref="AK113">IFERROR(INDEX($AI$11:$AI$259, MATCH(0, IF(TRUE=$AF$11:$AF$259, COUNTIF($AK$10:$AK112, $AI$11:$AI$259), ""), 0)),"")</f>
        <v/>
      </c>
      <c r="AL113" s="156" t="str">
        <f t="array" ref="AL113">IFERROR(INDEX($AI$11:$AI$259, MATCH(0, IF(TRUE=$AG$11:$AG$259, COUNTIF($AL$10:$AL112, $AI$11:$AI$259), ""), 0)),"")</f>
        <v/>
      </c>
      <c r="AM113" s="156" t="str">
        <f t="array" ref="AM113">IFERROR(INDEX($AI$11:$AI$259, MATCH(0, IF(TRUE=$AH$11:$AH$259, COUNTIF($AM$10:$AM112, $AI$11:$AI$259), ""), 0)),"")</f>
        <v/>
      </c>
      <c r="AQ113" s="31">
        <f t="shared" si="11"/>
        <v>0</v>
      </c>
    </row>
    <row r="114" spans="1:43" x14ac:dyDescent="0.3">
      <c r="A114" s="31" t="str">
        <f>IFERROR(INDEX('G-1 All Habitats'!$AG$3:$AG$15,MATCH(E114,'G-1 All Habitats'!$AF$3:$AF$15,0)),"")</f>
        <v/>
      </c>
      <c r="B114" s="31" t="str">
        <f>IFERROR(INDEX('G-8 Condition Look up'!$I$4:$I$130,MATCH(G114,'G-8 Condition Look up'!$A$4:$A$130,0)),"")</f>
        <v/>
      </c>
      <c r="D114" s="141">
        <v>104</v>
      </c>
      <c r="E114" s="203"/>
      <c r="F114" s="203"/>
      <c r="G114" s="250" t="str">
        <f>IFERROR(INDEX('G-1 All Habitats'!$B$3:$B$129,MATCH(F114,'G-1 All Habitats'!$A$3:$A$129,0)),"")</f>
        <v/>
      </c>
      <c r="H114" s="172"/>
      <c r="I114" s="498" t="str">
        <f>IF(G114="","",VLOOKUP(G114,'G-1 All Habitats'!$B$2:$M$129,10,FALSE))</f>
        <v/>
      </c>
      <c r="J114" s="499" t="str">
        <f>IFERROR(VLOOKUP(I114,'G-1 All Habitats'!$V$3:$W$7,2,FALSE),"")</f>
        <v/>
      </c>
      <c r="K114" s="145"/>
      <c r="L114" s="499" t="str">
        <f>IFERROR(INDEX('G-8 Condition Look up'!$A$3:$H$130,MATCH(G114,'G-8 Condition Look up'!$A$3:$A$130,0),MATCH(K114,'G-8 Condition Look up'!$A$3:$H$3,0)),"")</f>
        <v/>
      </c>
      <c r="M114" s="154"/>
      <c r="N114" s="520" t="str">
        <f>IF(M114="","",IF(VLOOKUP(M114,'G-3 Multipliers'!$L$3:$N$6,2,FALSE)=0,"Spatial Data Missing ⚠",VLOOKUP(M114,'G-3 Multipliers'!$L$3:$N$6,2,FALSE)))</f>
        <v/>
      </c>
      <c r="O114" s="524" t="str">
        <f>IF(M114="","",IF(VLOOKUP(M114,'G-3 Multipliers'!$L$3:$N$6,3,FALSE)=0,"Spatial Data Missing ⚠",VLOOKUP(M114,'G-3 Multipliers'!$L$3:$N$6,3,FALSE)))</f>
        <v/>
      </c>
      <c r="P114" s="506" t="str">
        <f>IFERROR(VLOOKUP(G114,'G-1 All Habitats'!$B$2:$M$129,12,FALSE),"")</f>
        <v/>
      </c>
      <c r="Q114" s="513" t="str">
        <f>IFERROR(IF(P114="","",IF(AND(P114='G-1 All Habitats'!$X$3,T114&gt;0),U114+V114,IF(AND(P114='G-1 All Habitats'!$X$3,S114&gt;0),U114+V114,IF(AND(P114='G-1 All Habitats'!$X$3,AC114&gt;0),"Any Loss Unacceptable",IF(AND(P114='G-1 All Habitats'!$X$3,W114&gt;0),"Any Loss Unacceptable",H114*J114*L114*O114))))),"Check Data ⚠")</f>
        <v/>
      </c>
      <c r="R114" s="50"/>
      <c r="S114" s="71"/>
      <c r="T114" s="72"/>
      <c r="U114" s="511" t="str">
        <f t="shared" si="8"/>
        <v/>
      </c>
      <c r="V114" s="511" t="str">
        <f t="shared" si="9"/>
        <v/>
      </c>
      <c r="W114" s="511" t="str">
        <f>IF(E114="","",IF(H114&lt;S114+T114,"Error in Areas ▲",IF(P114&lt;&gt;'G-1 All Habitats'!$X$3,H114-S114-T114,IF(AND(P114='G-1 All Habitats'!$X$3,Y114="Yes"),"Unacceptable Loss ▲",IF(AND(P114='G-1 All Habitats'!$X$3,Y114="No"),AC114,IF(AND(P114='G-1 All Habitats'!$X$3,Y114=""),AC114,IF(AND(P114='G-1 All Habitats'!$X$3,AC114="None",AC114),IF(AND(P114='G-1 All Habitats'!$X$3,AC114&gt;0),H114-S114-T114))))))))</f>
        <v/>
      </c>
      <c r="X114" s="545" t="str">
        <f>IFERROR(IF(H114="","",IF(H114-S114-T114=0&lt;0,"Error in Areas ▲",IF(S114+T114&gt;H114,"Error in Areas ▲",IF(AND(P114='G-1 All Habitats'!$X$3,Y114="Yes"),"Alternative Compensation",IF(W114=0,0,IF(P114='G-1 All Habitats'!$X$3,"Unacceptable Loss",Q114-U114-V114)))))),"Check Data ⚠")</f>
        <v/>
      </c>
      <c r="Y114" s="72"/>
      <c r="Z114" s="151"/>
      <c r="AA114" s="152"/>
      <c r="AC114" s="251" t="str">
        <f>IF(P114="","",IF(P114='G-1 All Habitats'!$X$3,H114-S114-T114,"None"))</f>
        <v/>
      </c>
      <c r="AD114" s="252" t="str">
        <f t="shared" si="10"/>
        <v/>
      </c>
      <c r="AF114" s="156" t="str">
        <f t="shared" si="6"/>
        <v/>
      </c>
      <c r="AG114" s="156" t="str">
        <f t="shared" si="7"/>
        <v/>
      </c>
      <c r="AH114" s="156" t="str">
        <f>IF(I114="","",IF(#REF!&gt;0,TRUE,FALSE))</f>
        <v/>
      </c>
      <c r="AI114" s="156">
        <v>104</v>
      </c>
      <c r="AJ114" s="156"/>
      <c r="AK114" s="156" t="str">
        <f t="array" ref="AK114">IFERROR(INDEX($AI$11:$AI$259, MATCH(0, IF(TRUE=$AF$11:$AF$259, COUNTIF($AK$10:$AK113, $AI$11:$AI$259), ""), 0)),"")</f>
        <v/>
      </c>
      <c r="AL114" s="156" t="str">
        <f t="array" ref="AL114">IFERROR(INDEX($AI$11:$AI$259, MATCH(0, IF(TRUE=$AG$11:$AG$259, COUNTIF($AL$10:$AL113, $AI$11:$AI$259), ""), 0)),"")</f>
        <v/>
      </c>
      <c r="AM114" s="156" t="str">
        <f t="array" ref="AM114">IFERROR(INDEX($AI$11:$AI$259, MATCH(0, IF(TRUE=$AH$11:$AH$259, COUNTIF($AM$10:$AM113, $AI$11:$AI$259), ""), 0)),"")</f>
        <v/>
      </c>
      <c r="AQ114" s="31">
        <f t="shared" si="11"/>
        <v>0</v>
      </c>
    </row>
    <row r="115" spans="1:43" x14ac:dyDescent="0.3">
      <c r="A115" s="31" t="str">
        <f>IFERROR(INDEX('G-1 All Habitats'!$AG$3:$AG$15,MATCH(E115,'G-1 All Habitats'!$AF$3:$AF$15,0)),"")</f>
        <v/>
      </c>
      <c r="B115" s="31" t="str">
        <f>IFERROR(INDEX('G-8 Condition Look up'!$I$4:$I$130,MATCH(G115,'G-8 Condition Look up'!$A$4:$A$130,0)),"")</f>
        <v/>
      </c>
      <c r="D115" s="141">
        <v>105</v>
      </c>
      <c r="E115" s="203"/>
      <c r="F115" s="203"/>
      <c r="G115" s="250" t="str">
        <f>IFERROR(INDEX('G-1 All Habitats'!$B$3:$B$129,MATCH(F115,'G-1 All Habitats'!$A$3:$A$129,0)),"")</f>
        <v/>
      </c>
      <c r="H115" s="172"/>
      <c r="I115" s="498" t="str">
        <f>IF(G115="","",VLOOKUP(G115,'G-1 All Habitats'!$B$2:$M$129,10,FALSE))</f>
        <v/>
      </c>
      <c r="J115" s="499" t="str">
        <f>IFERROR(VLOOKUP(I115,'G-1 All Habitats'!$V$3:$W$7,2,FALSE),"")</f>
        <v/>
      </c>
      <c r="K115" s="145"/>
      <c r="L115" s="499" t="str">
        <f>IFERROR(INDEX('G-8 Condition Look up'!$A$3:$H$130,MATCH(G115,'G-8 Condition Look up'!$A$3:$A$130,0),MATCH(K115,'G-8 Condition Look up'!$A$3:$H$3,0)),"")</f>
        <v/>
      </c>
      <c r="M115" s="154"/>
      <c r="N115" s="520" t="str">
        <f>IF(M115="","",IF(VLOOKUP(M115,'G-3 Multipliers'!$L$3:$N$6,2,FALSE)=0,"Spatial Data Missing ⚠",VLOOKUP(M115,'G-3 Multipliers'!$L$3:$N$6,2,FALSE)))</f>
        <v/>
      </c>
      <c r="O115" s="524" t="str">
        <f>IF(M115="","",IF(VLOOKUP(M115,'G-3 Multipliers'!$L$3:$N$6,3,FALSE)=0,"Spatial Data Missing ⚠",VLOOKUP(M115,'G-3 Multipliers'!$L$3:$N$6,3,FALSE)))</f>
        <v/>
      </c>
      <c r="P115" s="506" t="str">
        <f>IFERROR(VLOOKUP(G115,'G-1 All Habitats'!$B$2:$M$129,12,FALSE),"")</f>
        <v/>
      </c>
      <c r="Q115" s="513" t="str">
        <f>IFERROR(IF(P115="","",IF(AND(P115='G-1 All Habitats'!$X$3,T115&gt;0),U115+V115,IF(AND(P115='G-1 All Habitats'!$X$3,S115&gt;0),U115+V115,IF(AND(P115='G-1 All Habitats'!$X$3,AC115&gt;0),"Any Loss Unacceptable",IF(AND(P115='G-1 All Habitats'!$X$3,W115&gt;0),"Any Loss Unacceptable",H115*J115*L115*O115))))),"Check Data ⚠")</f>
        <v/>
      </c>
      <c r="R115" s="50"/>
      <c r="S115" s="71"/>
      <c r="T115" s="72"/>
      <c r="U115" s="511" t="str">
        <f t="shared" si="8"/>
        <v/>
      </c>
      <c r="V115" s="511" t="str">
        <f t="shared" si="9"/>
        <v/>
      </c>
      <c r="W115" s="511" t="str">
        <f>IF(E115="","",IF(H115&lt;S115+T115,"Error in Areas ▲",IF(P115&lt;&gt;'G-1 All Habitats'!$X$3,H115-S115-T115,IF(AND(P115='G-1 All Habitats'!$X$3,Y115="Yes"),"Unacceptable Loss ▲",IF(AND(P115='G-1 All Habitats'!$X$3,Y115="No"),AC115,IF(AND(P115='G-1 All Habitats'!$X$3,Y115=""),AC115,IF(AND(P115='G-1 All Habitats'!$X$3,AC115="None",AC115),IF(AND(P115='G-1 All Habitats'!$X$3,AC115&gt;0),H115-S115-T115))))))))</f>
        <v/>
      </c>
      <c r="X115" s="545" t="str">
        <f>IFERROR(IF(H115="","",IF(H115-S115-T115=0&lt;0,"Error in Areas ▲",IF(S115+T115&gt;H115,"Error in Areas ▲",IF(AND(P115='G-1 All Habitats'!$X$3,Y115="Yes"),"Alternative Compensation",IF(W115=0,0,IF(P115='G-1 All Habitats'!$X$3,"Unacceptable Loss",Q115-U115-V115)))))),"Check Data ⚠")</f>
        <v/>
      </c>
      <c r="Y115" s="72"/>
      <c r="Z115" s="151"/>
      <c r="AA115" s="152"/>
      <c r="AC115" s="251" t="str">
        <f>IF(P115="","",IF(P115='G-1 All Habitats'!$X$3,H115-S115-T115,"None"))</f>
        <v/>
      </c>
      <c r="AD115" s="252" t="str">
        <f t="shared" si="10"/>
        <v/>
      </c>
      <c r="AF115" s="156" t="str">
        <f t="shared" si="6"/>
        <v/>
      </c>
      <c r="AG115" s="156" t="str">
        <f t="shared" si="7"/>
        <v/>
      </c>
      <c r="AH115" s="156" t="str">
        <f>IF(I115="","",IF(#REF!&gt;0,TRUE,FALSE))</f>
        <v/>
      </c>
      <c r="AI115" s="156">
        <v>105</v>
      </c>
      <c r="AJ115" s="156"/>
      <c r="AK115" s="156" t="str">
        <f t="array" ref="AK115">IFERROR(INDEX($AI$11:$AI$259, MATCH(0, IF(TRUE=$AF$11:$AF$259, COUNTIF($AK$10:$AK114, $AI$11:$AI$259), ""), 0)),"")</f>
        <v/>
      </c>
      <c r="AL115" s="156" t="str">
        <f t="array" ref="AL115">IFERROR(INDEX($AI$11:$AI$259, MATCH(0, IF(TRUE=$AG$11:$AG$259, COUNTIF($AL$10:$AL114, $AI$11:$AI$259), ""), 0)),"")</f>
        <v/>
      </c>
      <c r="AM115" s="156" t="str">
        <f t="array" ref="AM115">IFERROR(INDEX($AI$11:$AI$259, MATCH(0, IF(TRUE=$AH$11:$AH$259, COUNTIF($AM$10:$AM114, $AI$11:$AI$259), ""), 0)),"")</f>
        <v/>
      </c>
      <c r="AQ115" s="31">
        <f t="shared" si="11"/>
        <v>0</v>
      </c>
    </row>
    <row r="116" spans="1:43" x14ac:dyDescent="0.3">
      <c r="A116" s="31" t="str">
        <f>IFERROR(INDEX('G-1 All Habitats'!$AG$3:$AG$15,MATCH(E116,'G-1 All Habitats'!$AF$3:$AF$15,0)),"")</f>
        <v/>
      </c>
      <c r="B116" s="31" t="str">
        <f>IFERROR(INDEX('G-8 Condition Look up'!$I$4:$I$130,MATCH(G116,'G-8 Condition Look up'!$A$4:$A$130,0)),"")</f>
        <v/>
      </c>
      <c r="D116" s="141">
        <v>106</v>
      </c>
      <c r="E116" s="203"/>
      <c r="F116" s="203"/>
      <c r="G116" s="250" t="str">
        <f>IFERROR(INDEX('G-1 All Habitats'!$B$3:$B$129,MATCH(F116,'G-1 All Habitats'!$A$3:$A$129,0)),"")</f>
        <v/>
      </c>
      <c r="H116" s="172"/>
      <c r="I116" s="498" t="str">
        <f>IF(G116="","",VLOOKUP(G116,'G-1 All Habitats'!$B$2:$M$129,10,FALSE))</f>
        <v/>
      </c>
      <c r="J116" s="499" t="str">
        <f>IFERROR(VLOOKUP(I116,'G-1 All Habitats'!$V$3:$W$7,2,FALSE),"")</f>
        <v/>
      </c>
      <c r="K116" s="145"/>
      <c r="L116" s="499" t="str">
        <f>IFERROR(INDEX('G-8 Condition Look up'!$A$3:$H$130,MATCH(G116,'G-8 Condition Look up'!$A$3:$A$130,0),MATCH(K116,'G-8 Condition Look up'!$A$3:$H$3,0)),"")</f>
        <v/>
      </c>
      <c r="M116" s="154"/>
      <c r="N116" s="520" t="str">
        <f>IF(M116="","",IF(VLOOKUP(M116,'G-3 Multipliers'!$L$3:$N$6,2,FALSE)=0,"Spatial Data Missing ⚠",VLOOKUP(M116,'G-3 Multipliers'!$L$3:$N$6,2,FALSE)))</f>
        <v/>
      </c>
      <c r="O116" s="524" t="str">
        <f>IF(M116="","",IF(VLOOKUP(M116,'G-3 Multipliers'!$L$3:$N$6,3,FALSE)=0,"Spatial Data Missing ⚠",VLOOKUP(M116,'G-3 Multipliers'!$L$3:$N$6,3,FALSE)))</f>
        <v/>
      </c>
      <c r="P116" s="506" t="str">
        <f>IFERROR(VLOOKUP(G116,'G-1 All Habitats'!$B$2:$M$129,12,FALSE),"")</f>
        <v/>
      </c>
      <c r="Q116" s="513" t="str">
        <f>IFERROR(IF(P116="","",IF(AND(P116='G-1 All Habitats'!$X$3,T116&gt;0),U116+V116,IF(AND(P116='G-1 All Habitats'!$X$3,S116&gt;0),U116+V116,IF(AND(P116='G-1 All Habitats'!$X$3,AC116&gt;0),"Any Loss Unacceptable",IF(AND(P116='G-1 All Habitats'!$X$3,W116&gt;0),"Any Loss Unacceptable",H116*J116*L116*O116))))),"Check Data ⚠")</f>
        <v/>
      </c>
      <c r="R116" s="50"/>
      <c r="S116" s="71"/>
      <c r="T116" s="72"/>
      <c r="U116" s="511" t="str">
        <f t="shared" si="8"/>
        <v/>
      </c>
      <c r="V116" s="511" t="str">
        <f t="shared" si="9"/>
        <v/>
      </c>
      <c r="W116" s="511" t="str">
        <f>IF(E116="","",IF(H116&lt;S116+T116,"Error in Areas ▲",IF(P116&lt;&gt;'G-1 All Habitats'!$X$3,H116-S116-T116,IF(AND(P116='G-1 All Habitats'!$X$3,Y116="Yes"),"Unacceptable Loss ▲",IF(AND(P116='G-1 All Habitats'!$X$3,Y116="No"),AC116,IF(AND(P116='G-1 All Habitats'!$X$3,Y116=""),AC116,IF(AND(P116='G-1 All Habitats'!$X$3,AC116="None",AC116),IF(AND(P116='G-1 All Habitats'!$X$3,AC116&gt;0),H116-S116-T116))))))))</f>
        <v/>
      </c>
      <c r="X116" s="545" t="str">
        <f>IFERROR(IF(H116="","",IF(H116-S116-T116=0&lt;0,"Error in Areas ▲",IF(S116+T116&gt;H116,"Error in Areas ▲",IF(AND(P116='G-1 All Habitats'!$X$3,Y116="Yes"),"Alternative Compensation",IF(W116=0,0,IF(P116='G-1 All Habitats'!$X$3,"Unacceptable Loss",Q116-U116-V116)))))),"Check Data ⚠")</f>
        <v/>
      </c>
      <c r="Y116" s="72"/>
      <c r="Z116" s="151"/>
      <c r="AA116" s="152"/>
      <c r="AC116" s="251" t="str">
        <f>IF(P116="","",IF(P116='G-1 All Habitats'!$X$3,H116-S116-T116,"None"))</f>
        <v/>
      </c>
      <c r="AD116" s="252" t="str">
        <f t="shared" si="10"/>
        <v/>
      </c>
      <c r="AF116" s="156" t="str">
        <f t="shared" si="6"/>
        <v/>
      </c>
      <c r="AG116" s="156" t="str">
        <f t="shared" si="7"/>
        <v/>
      </c>
      <c r="AH116" s="156" t="str">
        <f>IF(I116="","",IF(#REF!&gt;0,TRUE,FALSE))</f>
        <v/>
      </c>
      <c r="AI116" s="156">
        <v>106</v>
      </c>
      <c r="AJ116" s="156"/>
      <c r="AK116" s="156" t="str">
        <f t="array" ref="AK116">IFERROR(INDEX($AI$11:$AI$259, MATCH(0, IF(TRUE=$AF$11:$AF$259, COUNTIF($AK$10:$AK115, $AI$11:$AI$259), ""), 0)),"")</f>
        <v/>
      </c>
      <c r="AL116" s="156" t="str">
        <f t="array" ref="AL116">IFERROR(INDEX($AI$11:$AI$259, MATCH(0, IF(TRUE=$AG$11:$AG$259, COUNTIF($AL$10:$AL115, $AI$11:$AI$259), ""), 0)),"")</f>
        <v/>
      </c>
      <c r="AM116" s="156" t="str">
        <f t="array" ref="AM116">IFERROR(INDEX($AI$11:$AI$259, MATCH(0, IF(TRUE=$AH$11:$AH$259, COUNTIF($AM$10:$AM115, $AI$11:$AI$259), ""), 0)),"")</f>
        <v/>
      </c>
      <c r="AQ116" s="31">
        <f t="shared" si="11"/>
        <v>0</v>
      </c>
    </row>
    <row r="117" spans="1:43" x14ac:dyDescent="0.3">
      <c r="A117" s="31" t="str">
        <f>IFERROR(INDEX('G-1 All Habitats'!$AG$3:$AG$15,MATCH(E117,'G-1 All Habitats'!$AF$3:$AF$15,0)),"")</f>
        <v/>
      </c>
      <c r="B117" s="31" t="str">
        <f>IFERROR(INDEX('G-8 Condition Look up'!$I$4:$I$130,MATCH(G117,'G-8 Condition Look up'!$A$4:$A$130,0)),"")</f>
        <v/>
      </c>
      <c r="D117" s="141">
        <v>107</v>
      </c>
      <c r="E117" s="203"/>
      <c r="F117" s="203"/>
      <c r="G117" s="250" t="str">
        <f>IFERROR(INDEX('G-1 All Habitats'!$B$3:$B$129,MATCH(F117,'G-1 All Habitats'!$A$3:$A$129,0)),"")</f>
        <v/>
      </c>
      <c r="H117" s="172"/>
      <c r="I117" s="498" t="str">
        <f>IF(G117="","",VLOOKUP(G117,'G-1 All Habitats'!$B$2:$M$129,10,FALSE))</f>
        <v/>
      </c>
      <c r="J117" s="499" t="str">
        <f>IFERROR(VLOOKUP(I117,'G-1 All Habitats'!$V$3:$W$7,2,FALSE),"")</f>
        <v/>
      </c>
      <c r="K117" s="145"/>
      <c r="L117" s="499" t="str">
        <f>IFERROR(INDEX('G-8 Condition Look up'!$A$3:$H$130,MATCH(G117,'G-8 Condition Look up'!$A$3:$A$130,0),MATCH(K117,'G-8 Condition Look up'!$A$3:$H$3,0)),"")</f>
        <v/>
      </c>
      <c r="M117" s="154"/>
      <c r="N117" s="520" t="str">
        <f>IF(M117="","",IF(VLOOKUP(M117,'G-3 Multipliers'!$L$3:$N$6,2,FALSE)=0,"Spatial Data Missing ⚠",VLOOKUP(M117,'G-3 Multipliers'!$L$3:$N$6,2,FALSE)))</f>
        <v/>
      </c>
      <c r="O117" s="524" t="str">
        <f>IF(M117="","",IF(VLOOKUP(M117,'G-3 Multipliers'!$L$3:$N$6,3,FALSE)=0,"Spatial Data Missing ⚠",VLOOKUP(M117,'G-3 Multipliers'!$L$3:$N$6,3,FALSE)))</f>
        <v/>
      </c>
      <c r="P117" s="506" t="str">
        <f>IFERROR(VLOOKUP(G117,'G-1 All Habitats'!$B$2:$M$129,12,FALSE),"")</f>
        <v/>
      </c>
      <c r="Q117" s="513" t="str">
        <f>IFERROR(IF(P117="","",IF(AND(P117='G-1 All Habitats'!$X$3,T117&gt;0),U117+V117,IF(AND(P117='G-1 All Habitats'!$X$3,S117&gt;0),U117+V117,IF(AND(P117='G-1 All Habitats'!$X$3,AC117&gt;0),"Any Loss Unacceptable",IF(AND(P117='G-1 All Habitats'!$X$3,W117&gt;0),"Any Loss Unacceptable",H117*J117*L117*O117))))),"Check Data ⚠")</f>
        <v/>
      </c>
      <c r="R117" s="50"/>
      <c r="S117" s="71"/>
      <c r="T117" s="72"/>
      <c r="U117" s="511" t="str">
        <f t="shared" si="8"/>
        <v/>
      </c>
      <c r="V117" s="511" t="str">
        <f t="shared" si="9"/>
        <v/>
      </c>
      <c r="W117" s="511" t="str">
        <f>IF(E117="","",IF(H117&lt;S117+T117,"Error in Areas ▲",IF(P117&lt;&gt;'G-1 All Habitats'!$X$3,H117-S117-T117,IF(AND(P117='G-1 All Habitats'!$X$3,Y117="Yes"),"Unacceptable Loss ▲",IF(AND(P117='G-1 All Habitats'!$X$3,Y117="No"),AC117,IF(AND(P117='G-1 All Habitats'!$X$3,Y117=""),AC117,IF(AND(P117='G-1 All Habitats'!$X$3,AC117="None",AC117),IF(AND(P117='G-1 All Habitats'!$X$3,AC117&gt;0),H117-S117-T117))))))))</f>
        <v/>
      </c>
      <c r="X117" s="545" t="str">
        <f>IFERROR(IF(H117="","",IF(H117-S117-T117=0&lt;0,"Error in Areas ▲",IF(S117+T117&gt;H117,"Error in Areas ▲",IF(AND(P117='G-1 All Habitats'!$X$3,Y117="Yes"),"Alternative Compensation",IF(W117=0,0,IF(P117='G-1 All Habitats'!$X$3,"Unacceptable Loss",Q117-U117-V117)))))),"Check Data ⚠")</f>
        <v/>
      </c>
      <c r="Y117" s="72"/>
      <c r="Z117" s="151"/>
      <c r="AA117" s="152"/>
      <c r="AC117" s="251" t="str">
        <f>IF(P117="","",IF(P117='G-1 All Habitats'!$X$3,H117-S117-T117,"None"))</f>
        <v/>
      </c>
      <c r="AD117" s="252" t="str">
        <f t="shared" si="10"/>
        <v/>
      </c>
      <c r="AF117" s="156" t="str">
        <f t="shared" si="6"/>
        <v/>
      </c>
      <c r="AG117" s="156" t="str">
        <f t="shared" si="7"/>
        <v/>
      </c>
      <c r="AH117" s="156" t="str">
        <f>IF(I117="","",IF(#REF!&gt;0,TRUE,FALSE))</f>
        <v/>
      </c>
      <c r="AI117" s="156">
        <v>107</v>
      </c>
      <c r="AJ117" s="156"/>
      <c r="AK117" s="156" t="str">
        <f t="array" ref="AK117">IFERROR(INDEX($AI$11:$AI$259, MATCH(0, IF(TRUE=$AF$11:$AF$259, COUNTIF($AK$10:$AK116, $AI$11:$AI$259), ""), 0)),"")</f>
        <v/>
      </c>
      <c r="AL117" s="156" t="str">
        <f t="array" ref="AL117">IFERROR(INDEX($AI$11:$AI$259, MATCH(0, IF(TRUE=$AG$11:$AG$259, COUNTIF($AL$10:$AL116, $AI$11:$AI$259), ""), 0)),"")</f>
        <v/>
      </c>
      <c r="AM117" s="156" t="str">
        <f t="array" ref="AM117">IFERROR(INDEX($AI$11:$AI$259, MATCH(0, IF(TRUE=$AH$11:$AH$259, COUNTIF($AM$10:$AM116, $AI$11:$AI$259), ""), 0)),"")</f>
        <v/>
      </c>
      <c r="AQ117" s="31">
        <f t="shared" si="11"/>
        <v>0</v>
      </c>
    </row>
    <row r="118" spans="1:43" x14ac:dyDescent="0.3">
      <c r="A118" s="31" t="str">
        <f>IFERROR(INDEX('G-1 All Habitats'!$AG$3:$AG$15,MATCH(E118,'G-1 All Habitats'!$AF$3:$AF$15,0)),"")</f>
        <v/>
      </c>
      <c r="B118" s="31" t="str">
        <f>IFERROR(INDEX('G-8 Condition Look up'!$I$4:$I$130,MATCH(G118,'G-8 Condition Look up'!$A$4:$A$130,0)),"")</f>
        <v/>
      </c>
      <c r="D118" s="141">
        <v>108</v>
      </c>
      <c r="E118" s="203"/>
      <c r="F118" s="203"/>
      <c r="G118" s="250" t="str">
        <f>IFERROR(INDEX('G-1 All Habitats'!$B$3:$B$129,MATCH(F118,'G-1 All Habitats'!$A$3:$A$129,0)),"")</f>
        <v/>
      </c>
      <c r="H118" s="172"/>
      <c r="I118" s="498" t="str">
        <f>IF(G118="","",VLOOKUP(G118,'G-1 All Habitats'!$B$2:$M$129,10,FALSE))</f>
        <v/>
      </c>
      <c r="J118" s="499" t="str">
        <f>IFERROR(VLOOKUP(I118,'G-1 All Habitats'!$V$3:$W$7,2,FALSE),"")</f>
        <v/>
      </c>
      <c r="K118" s="145"/>
      <c r="L118" s="499" t="str">
        <f>IFERROR(INDEX('G-8 Condition Look up'!$A$3:$H$130,MATCH(G118,'G-8 Condition Look up'!$A$3:$A$130,0),MATCH(K118,'G-8 Condition Look up'!$A$3:$H$3,0)),"")</f>
        <v/>
      </c>
      <c r="M118" s="154"/>
      <c r="N118" s="520" t="str">
        <f>IF(M118="","",IF(VLOOKUP(M118,'G-3 Multipliers'!$L$3:$N$6,2,FALSE)=0,"Spatial Data Missing ⚠",VLOOKUP(M118,'G-3 Multipliers'!$L$3:$N$6,2,FALSE)))</f>
        <v/>
      </c>
      <c r="O118" s="524" t="str">
        <f>IF(M118="","",IF(VLOOKUP(M118,'G-3 Multipliers'!$L$3:$N$6,3,FALSE)=0,"Spatial Data Missing ⚠",VLOOKUP(M118,'G-3 Multipliers'!$L$3:$N$6,3,FALSE)))</f>
        <v/>
      </c>
      <c r="P118" s="506" t="str">
        <f>IFERROR(VLOOKUP(G118,'G-1 All Habitats'!$B$2:$M$129,12,FALSE),"")</f>
        <v/>
      </c>
      <c r="Q118" s="513" t="str">
        <f>IFERROR(IF(P118="","",IF(AND(P118='G-1 All Habitats'!$X$3,T118&gt;0),U118+V118,IF(AND(P118='G-1 All Habitats'!$X$3,S118&gt;0),U118+V118,IF(AND(P118='G-1 All Habitats'!$X$3,AC118&gt;0),"Any Loss Unacceptable",IF(AND(P118='G-1 All Habitats'!$X$3,W118&gt;0),"Any Loss Unacceptable",H118*J118*L118*O118))))),"Check Data ⚠")</f>
        <v/>
      </c>
      <c r="R118" s="50"/>
      <c r="S118" s="71"/>
      <c r="T118" s="72"/>
      <c r="U118" s="511" t="str">
        <f t="shared" si="8"/>
        <v/>
      </c>
      <c r="V118" s="511" t="str">
        <f t="shared" si="9"/>
        <v/>
      </c>
      <c r="W118" s="511" t="str">
        <f>IF(E118="","",IF(H118&lt;S118+T118,"Error in Areas ▲",IF(P118&lt;&gt;'G-1 All Habitats'!$X$3,H118-S118-T118,IF(AND(P118='G-1 All Habitats'!$X$3,Y118="Yes"),"Unacceptable Loss ▲",IF(AND(P118='G-1 All Habitats'!$X$3,Y118="No"),AC118,IF(AND(P118='G-1 All Habitats'!$X$3,Y118=""),AC118,IF(AND(P118='G-1 All Habitats'!$X$3,AC118="None",AC118),IF(AND(P118='G-1 All Habitats'!$X$3,AC118&gt;0),H118-S118-T118))))))))</f>
        <v/>
      </c>
      <c r="X118" s="545" t="str">
        <f>IFERROR(IF(H118="","",IF(H118-S118-T118=0&lt;0,"Error in Areas ▲",IF(S118+T118&gt;H118,"Error in Areas ▲",IF(AND(P118='G-1 All Habitats'!$X$3,Y118="Yes"),"Alternative Compensation",IF(W118=0,0,IF(P118='G-1 All Habitats'!$X$3,"Unacceptable Loss",Q118-U118-V118)))))),"Check Data ⚠")</f>
        <v/>
      </c>
      <c r="Y118" s="72"/>
      <c r="Z118" s="151"/>
      <c r="AA118" s="152"/>
      <c r="AC118" s="251" t="str">
        <f>IF(P118="","",IF(P118='G-1 All Habitats'!$X$3,H118-S118-T118,"None"))</f>
        <v/>
      </c>
      <c r="AD118" s="252" t="str">
        <f t="shared" si="10"/>
        <v/>
      </c>
      <c r="AF118" s="156" t="str">
        <f t="shared" si="6"/>
        <v/>
      </c>
      <c r="AG118" s="156" t="str">
        <f t="shared" si="7"/>
        <v/>
      </c>
      <c r="AH118" s="156" t="str">
        <f>IF(I118="","",IF(#REF!&gt;0,TRUE,FALSE))</f>
        <v/>
      </c>
      <c r="AI118" s="156">
        <v>108</v>
      </c>
      <c r="AJ118" s="156"/>
      <c r="AK118" s="156" t="str">
        <f t="array" ref="AK118">IFERROR(INDEX($AI$11:$AI$259, MATCH(0, IF(TRUE=$AF$11:$AF$259, COUNTIF($AK$10:$AK117, $AI$11:$AI$259), ""), 0)),"")</f>
        <v/>
      </c>
      <c r="AL118" s="156" t="str">
        <f t="array" ref="AL118">IFERROR(INDEX($AI$11:$AI$259, MATCH(0, IF(TRUE=$AG$11:$AG$259, COUNTIF($AL$10:$AL117, $AI$11:$AI$259), ""), 0)),"")</f>
        <v/>
      </c>
      <c r="AM118" s="156" t="str">
        <f t="array" ref="AM118">IFERROR(INDEX($AI$11:$AI$259, MATCH(0, IF(TRUE=$AH$11:$AH$259, COUNTIF($AM$10:$AM117, $AI$11:$AI$259), ""), 0)),"")</f>
        <v/>
      </c>
      <c r="AQ118" s="31">
        <f t="shared" si="11"/>
        <v>0</v>
      </c>
    </row>
    <row r="119" spans="1:43" x14ac:dyDescent="0.3">
      <c r="A119" s="31" t="str">
        <f>IFERROR(INDEX('G-1 All Habitats'!$AG$3:$AG$15,MATCH(E119,'G-1 All Habitats'!$AF$3:$AF$15,0)),"")</f>
        <v/>
      </c>
      <c r="B119" s="31" t="str">
        <f>IFERROR(INDEX('G-8 Condition Look up'!$I$4:$I$130,MATCH(G119,'G-8 Condition Look up'!$A$4:$A$130,0)),"")</f>
        <v/>
      </c>
      <c r="D119" s="141">
        <v>109</v>
      </c>
      <c r="E119" s="203"/>
      <c r="F119" s="203"/>
      <c r="G119" s="250" t="str">
        <f>IFERROR(INDEX('G-1 All Habitats'!$B$3:$B$129,MATCH(F119,'G-1 All Habitats'!$A$3:$A$129,0)),"")</f>
        <v/>
      </c>
      <c r="H119" s="172"/>
      <c r="I119" s="498" t="str">
        <f>IF(G119="","",VLOOKUP(G119,'G-1 All Habitats'!$B$2:$M$129,10,FALSE))</f>
        <v/>
      </c>
      <c r="J119" s="499" t="str">
        <f>IFERROR(VLOOKUP(I119,'G-1 All Habitats'!$V$3:$W$7,2,FALSE),"")</f>
        <v/>
      </c>
      <c r="K119" s="145"/>
      <c r="L119" s="499" t="str">
        <f>IFERROR(INDEX('G-8 Condition Look up'!$A$3:$H$130,MATCH(G119,'G-8 Condition Look up'!$A$3:$A$130,0),MATCH(K119,'G-8 Condition Look up'!$A$3:$H$3,0)),"")</f>
        <v/>
      </c>
      <c r="M119" s="154"/>
      <c r="N119" s="520" t="str">
        <f>IF(M119="","",IF(VLOOKUP(M119,'G-3 Multipliers'!$L$3:$N$6,2,FALSE)=0,"Spatial Data Missing ⚠",VLOOKUP(M119,'G-3 Multipliers'!$L$3:$N$6,2,FALSE)))</f>
        <v/>
      </c>
      <c r="O119" s="524" t="str">
        <f>IF(M119="","",IF(VLOOKUP(M119,'G-3 Multipliers'!$L$3:$N$6,3,FALSE)=0,"Spatial Data Missing ⚠",VLOOKUP(M119,'G-3 Multipliers'!$L$3:$N$6,3,FALSE)))</f>
        <v/>
      </c>
      <c r="P119" s="506" t="str">
        <f>IFERROR(VLOOKUP(G119,'G-1 All Habitats'!$B$2:$M$129,12,FALSE),"")</f>
        <v/>
      </c>
      <c r="Q119" s="513" t="str">
        <f>IFERROR(IF(P119="","",IF(AND(P119='G-1 All Habitats'!$X$3,T119&gt;0),U119+V119,IF(AND(P119='G-1 All Habitats'!$X$3,S119&gt;0),U119+V119,IF(AND(P119='G-1 All Habitats'!$X$3,AC119&gt;0),"Any Loss Unacceptable",IF(AND(P119='G-1 All Habitats'!$X$3,W119&gt;0),"Any Loss Unacceptable",H119*J119*L119*O119))))),"Check Data ⚠")</f>
        <v/>
      </c>
      <c r="R119" s="50"/>
      <c r="S119" s="71"/>
      <c r="T119" s="72"/>
      <c r="U119" s="511" t="str">
        <f t="shared" si="8"/>
        <v/>
      </c>
      <c r="V119" s="511" t="str">
        <f t="shared" si="9"/>
        <v/>
      </c>
      <c r="W119" s="511" t="str">
        <f>IF(E119="","",IF(H119&lt;S119+T119,"Error in Areas ▲",IF(P119&lt;&gt;'G-1 All Habitats'!$X$3,H119-S119-T119,IF(AND(P119='G-1 All Habitats'!$X$3,Y119="Yes"),"Unacceptable Loss ▲",IF(AND(P119='G-1 All Habitats'!$X$3,Y119="No"),AC119,IF(AND(P119='G-1 All Habitats'!$X$3,Y119=""),AC119,IF(AND(P119='G-1 All Habitats'!$X$3,AC119="None",AC119),IF(AND(P119='G-1 All Habitats'!$X$3,AC119&gt;0),H119-S119-T119))))))))</f>
        <v/>
      </c>
      <c r="X119" s="545" t="str">
        <f>IFERROR(IF(H119="","",IF(H119-S119-T119=0&lt;0,"Error in Areas ▲",IF(S119+T119&gt;H119,"Error in Areas ▲",IF(AND(P119='G-1 All Habitats'!$X$3,Y119="Yes"),"Alternative Compensation",IF(W119=0,0,IF(P119='G-1 All Habitats'!$X$3,"Unacceptable Loss",Q119-U119-V119)))))),"Check Data ⚠")</f>
        <v/>
      </c>
      <c r="Y119" s="72"/>
      <c r="Z119" s="151"/>
      <c r="AA119" s="152"/>
      <c r="AC119" s="251" t="str">
        <f>IF(P119="","",IF(P119='G-1 All Habitats'!$X$3,H119-S119-T119,"None"))</f>
        <v/>
      </c>
      <c r="AD119" s="252" t="str">
        <f t="shared" si="10"/>
        <v/>
      </c>
      <c r="AF119" s="156" t="str">
        <f t="shared" si="6"/>
        <v/>
      </c>
      <c r="AG119" s="156" t="str">
        <f t="shared" si="7"/>
        <v/>
      </c>
      <c r="AH119" s="156" t="str">
        <f>IF(I119="","",IF(#REF!&gt;0,TRUE,FALSE))</f>
        <v/>
      </c>
      <c r="AI119" s="156">
        <v>109</v>
      </c>
      <c r="AJ119" s="156"/>
      <c r="AK119" s="156" t="str">
        <f t="array" ref="AK119">IFERROR(INDEX($AI$11:$AI$259, MATCH(0, IF(TRUE=$AF$11:$AF$259, COUNTIF($AK$10:$AK118, $AI$11:$AI$259), ""), 0)),"")</f>
        <v/>
      </c>
      <c r="AL119" s="156" t="str">
        <f t="array" ref="AL119">IFERROR(INDEX($AI$11:$AI$259, MATCH(0, IF(TRUE=$AG$11:$AG$259, COUNTIF($AL$10:$AL118, $AI$11:$AI$259), ""), 0)),"")</f>
        <v/>
      </c>
      <c r="AM119" s="156" t="str">
        <f t="array" ref="AM119">IFERROR(INDEX($AI$11:$AI$259, MATCH(0, IF(TRUE=$AH$11:$AH$259, COUNTIF($AM$10:$AM118, $AI$11:$AI$259), ""), 0)),"")</f>
        <v/>
      </c>
      <c r="AQ119" s="31">
        <f t="shared" si="11"/>
        <v>0</v>
      </c>
    </row>
    <row r="120" spans="1:43" x14ac:dyDescent="0.3">
      <c r="A120" s="31" t="str">
        <f>IFERROR(INDEX('G-1 All Habitats'!$AG$3:$AG$15,MATCH(E120,'G-1 All Habitats'!$AF$3:$AF$15,0)),"")</f>
        <v/>
      </c>
      <c r="B120" s="31" t="str">
        <f>IFERROR(INDEX('G-8 Condition Look up'!$I$4:$I$130,MATCH(G120,'G-8 Condition Look up'!$A$4:$A$130,0)),"")</f>
        <v/>
      </c>
      <c r="D120" s="141">
        <v>110</v>
      </c>
      <c r="E120" s="203"/>
      <c r="F120" s="203"/>
      <c r="G120" s="250" t="str">
        <f>IFERROR(INDEX('G-1 All Habitats'!$B$3:$B$129,MATCH(F120,'G-1 All Habitats'!$A$3:$A$129,0)),"")</f>
        <v/>
      </c>
      <c r="H120" s="172"/>
      <c r="I120" s="498" t="str">
        <f>IF(G120="","",VLOOKUP(G120,'G-1 All Habitats'!$B$2:$M$129,10,FALSE))</f>
        <v/>
      </c>
      <c r="J120" s="499" t="str">
        <f>IFERROR(VLOOKUP(I120,'G-1 All Habitats'!$V$3:$W$7,2,FALSE),"")</f>
        <v/>
      </c>
      <c r="K120" s="145"/>
      <c r="L120" s="499" t="str">
        <f>IFERROR(INDEX('G-8 Condition Look up'!$A$3:$H$130,MATCH(G120,'G-8 Condition Look up'!$A$3:$A$130,0),MATCH(K120,'G-8 Condition Look up'!$A$3:$H$3,0)),"")</f>
        <v/>
      </c>
      <c r="M120" s="154"/>
      <c r="N120" s="520" t="str">
        <f>IF(M120="","",IF(VLOOKUP(M120,'G-3 Multipliers'!$L$3:$N$6,2,FALSE)=0,"Spatial Data Missing ⚠",VLOOKUP(M120,'G-3 Multipliers'!$L$3:$N$6,2,FALSE)))</f>
        <v/>
      </c>
      <c r="O120" s="524" t="str">
        <f>IF(M120="","",IF(VLOOKUP(M120,'G-3 Multipliers'!$L$3:$N$6,3,FALSE)=0,"Spatial Data Missing ⚠",VLOOKUP(M120,'G-3 Multipliers'!$L$3:$N$6,3,FALSE)))</f>
        <v/>
      </c>
      <c r="P120" s="506" t="str">
        <f>IFERROR(VLOOKUP(G120,'G-1 All Habitats'!$B$2:$M$129,12,FALSE),"")</f>
        <v/>
      </c>
      <c r="Q120" s="513" t="str">
        <f>IFERROR(IF(P120="","",IF(AND(P120='G-1 All Habitats'!$X$3,T120&gt;0),U120+V120,IF(AND(P120='G-1 All Habitats'!$X$3,S120&gt;0),U120+V120,IF(AND(P120='G-1 All Habitats'!$X$3,AC120&gt;0),"Any Loss Unacceptable",IF(AND(P120='G-1 All Habitats'!$X$3,W120&gt;0),"Any Loss Unacceptable",H120*J120*L120*O120))))),"Check Data ⚠")</f>
        <v/>
      </c>
      <c r="R120" s="50"/>
      <c r="S120" s="71"/>
      <c r="T120" s="72"/>
      <c r="U120" s="511" t="str">
        <f t="shared" si="8"/>
        <v/>
      </c>
      <c r="V120" s="511" t="str">
        <f t="shared" si="9"/>
        <v/>
      </c>
      <c r="W120" s="511" t="str">
        <f>IF(E120="","",IF(H120&lt;S120+T120,"Error in Areas ▲",IF(P120&lt;&gt;'G-1 All Habitats'!$X$3,H120-S120-T120,IF(AND(P120='G-1 All Habitats'!$X$3,Y120="Yes"),"Unacceptable Loss ▲",IF(AND(P120='G-1 All Habitats'!$X$3,Y120="No"),AC120,IF(AND(P120='G-1 All Habitats'!$X$3,Y120=""),AC120,IF(AND(P120='G-1 All Habitats'!$X$3,AC120="None",AC120),IF(AND(P120='G-1 All Habitats'!$X$3,AC120&gt;0),H120-S120-T120))))))))</f>
        <v/>
      </c>
      <c r="X120" s="545" t="str">
        <f>IFERROR(IF(H120="","",IF(H120-S120-T120=0&lt;0,"Error in Areas ▲",IF(S120+T120&gt;H120,"Error in Areas ▲",IF(AND(P120='G-1 All Habitats'!$X$3,Y120="Yes"),"Alternative Compensation",IF(W120=0,0,IF(P120='G-1 All Habitats'!$X$3,"Unacceptable Loss",Q120-U120-V120)))))),"Check Data ⚠")</f>
        <v/>
      </c>
      <c r="Y120" s="72"/>
      <c r="Z120" s="151"/>
      <c r="AA120" s="152"/>
      <c r="AC120" s="251" t="str">
        <f>IF(P120="","",IF(P120='G-1 All Habitats'!$X$3,H120-S120-T120,"None"))</f>
        <v/>
      </c>
      <c r="AD120" s="252" t="str">
        <f t="shared" si="10"/>
        <v/>
      </c>
      <c r="AF120" s="156" t="str">
        <f t="shared" si="6"/>
        <v/>
      </c>
      <c r="AG120" s="156" t="str">
        <f t="shared" si="7"/>
        <v/>
      </c>
      <c r="AH120" s="156" t="str">
        <f>IF(I120="","",IF(#REF!&gt;0,TRUE,FALSE))</f>
        <v/>
      </c>
      <c r="AI120" s="156">
        <v>110</v>
      </c>
      <c r="AJ120" s="156"/>
      <c r="AK120" s="156" t="str">
        <f t="array" ref="AK120">IFERROR(INDEX($AI$11:$AI$259, MATCH(0, IF(TRUE=$AF$11:$AF$259, COUNTIF($AK$10:$AK119, $AI$11:$AI$259), ""), 0)),"")</f>
        <v/>
      </c>
      <c r="AL120" s="156" t="str">
        <f t="array" ref="AL120">IFERROR(INDEX($AI$11:$AI$259, MATCH(0, IF(TRUE=$AG$11:$AG$259, COUNTIF($AL$10:$AL119, $AI$11:$AI$259), ""), 0)),"")</f>
        <v/>
      </c>
      <c r="AM120" s="156" t="str">
        <f t="array" ref="AM120">IFERROR(INDEX($AI$11:$AI$259, MATCH(0, IF(TRUE=$AH$11:$AH$259, COUNTIF($AM$10:$AM119, $AI$11:$AI$259), ""), 0)),"")</f>
        <v/>
      </c>
      <c r="AQ120" s="31">
        <f t="shared" si="11"/>
        <v>0</v>
      </c>
    </row>
    <row r="121" spans="1:43" x14ac:dyDescent="0.3">
      <c r="A121" s="31" t="str">
        <f>IFERROR(INDEX('G-1 All Habitats'!$AG$3:$AG$15,MATCH(E121,'G-1 All Habitats'!$AF$3:$AF$15,0)),"")</f>
        <v/>
      </c>
      <c r="B121" s="31" t="str">
        <f>IFERROR(INDEX('G-8 Condition Look up'!$I$4:$I$130,MATCH(G121,'G-8 Condition Look up'!$A$4:$A$130,0)),"")</f>
        <v/>
      </c>
      <c r="D121" s="141">
        <v>111</v>
      </c>
      <c r="E121" s="203"/>
      <c r="F121" s="203"/>
      <c r="G121" s="250" t="str">
        <f>IFERROR(INDEX('G-1 All Habitats'!$B$3:$B$129,MATCH(F121,'G-1 All Habitats'!$A$3:$A$129,0)),"")</f>
        <v/>
      </c>
      <c r="H121" s="172"/>
      <c r="I121" s="498" t="str">
        <f>IF(G121="","",VLOOKUP(G121,'G-1 All Habitats'!$B$2:$M$129,10,FALSE))</f>
        <v/>
      </c>
      <c r="J121" s="499" t="str">
        <f>IFERROR(VLOOKUP(I121,'G-1 All Habitats'!$V$3:$W$7,2,FALSE),"")</f>
        <v/>
      </c>
      <c r="K121" s="145"/>
      <c r="L121" s="499" t="str">
        <f>IFERROR(INDEX('G-8 Condition Look up'!$A$3:$H$130,MATCH(G121,'G-8 Condition Look up'!$A$3:$A$130,0),MATCH(K121,'G-8 Condition Look up'!$A$3:$H$3,0)),"")</f>
        <v/>
      </c>
      <c r="M121" s="154"/>
      <c r="N121" s="520" t="str">
        <f>IF(M121="","",IF(VLOOKUP(M121,'G-3 Multipliers'!$L$3:$N$6,2,FALSE)=0,"Spatial Data Missing ⚠",VLOOKUP(M121,'G-3 Multipliers'!$L$3:$N$6,2,FALSE)))</f>
        <v/>
      </c>
      <c r="O121" s="524" t="str">
        <f>IF(M121="","",IF(VLOOKUP(M121,'G-3 Multipliers'!$L$3:$N$6,3,FALSE)=0,"Spatial Data Missing ⚠",VLOOKUP(M121,'G-3 Multipliers'!$L$3:$N$6,3,FALSE)))</f>
        <v/>
      </c>
      <c r="P121" s="506" t="str">
        <f>IFERROR(VLOOKUP(G121,'G-1 All Habitats'!$B$2:$M$129,12,FALSE),"")</f>
        <v/>
      </c>
      <c r="Q121" s="513" t="str">
        <f>IFERROR(IF(P121="","",IF(AND(P121='G-1 All Habitats'!$X$3,T121&gt;0),U121+V121,IF(AND(P121='G-1 All Habitats'!$X$3,S121&gt;0),U121+V121,IF(AND(P121='G-1 All Habitats'!$X$3,AC121&gt;0),"Any Loss Unacceptable",IF(AND(P121='G-1 All Habitats'!$X$3,W121&gt;0),"Any Loss Unacceptable",H121*J121*L121*O121))))),"Check Data ⚠")</f>
        <v/>
      </c>
      <c r="R121" s="50"/>
      <c r="S121" s="71"/>
      <c r="T121" s="72"/>
      <c r="U121" s="511" t="str">
        <f t="shared" si="8"/>
        <v/>
      </c>
      <c r="V121" s="511" t="str">
        <f t="shared" si="9"/>
        <v/>
      </c>
      <c r="W121" s="511" t="str">
        <f>IF(E121="","",IF(H121&lt;S121+T121,"Error in Areas ▲",IF(P121&lt;&gt;'G-1 All Habitats'!$X$3,H121-S121-T121,IF(AND(P121='G-1 All Habitats'!$X$3,Y121="Yes"),"Unacceptable Loss ▲",IF(AND(P121='G-1 All Habitats'!$X$3,Y121="No"),AC121,IF(AND(P121='G-1 All Habitats'!$X$3,Y121=""),AC121,IF(AND(P121='G-1 All Habitats'!$X$3,AC121="None",AC121),IF(AND(P121='G-1 All Habitats'!$X$3,AC121&gt;0),H121-S121-T121))))))))</f>
        <v/>
      </c>
      <c r="X121" s="545" t="str">
        <f>IFERROR(IF(H121="","",IF(H121-S121-T121=0&lt;0,"Error in Areas ▲",IF(S121+T121&gt;H121,"Error in Areas ▲",IF(AND(P121='G-1 All Habitats'!$X$3,Y121="Yes"),"Alternative Compensation",IF(W121=0,0,IF(P121='G-1 All Habitats'!$X$3,"Unacceptable Loss",Q121-U121-V121)))))),"Check Data ⚠")</f>
        <v/>
      </c>
      <c r="Y121" s="72"/>
      <c r="Z121" s="151"/>
      <c r="AA121" s="152"/>
      <c r="AC121" s="251" t="str">
        <f>IF(P121="","",IF(P121='G-1 All Habitats'!$X$3,H121-S121-T121,"None"))</f>
        <v/>
      </c>
      <c r="AD121" s="252" t="str">
        <f t="shared" si="10"/>
        <v/>
      </c>
      <c r="AF121" s="156" t="str">
        <f t="shared" si="6"/>
        <v/>
      </c>
      <c r="AG121" s="156" t="str">
        <f t="shared" si="7"/>
        <v/>
      </c>
      <c r="AH121" s="156" t="str">
        <f>IF(I121="","",IF(#REF!&gt;0,TRUE,FALSE))</f>
        <v/>
      </c>
      <c r="AI121" s="156">
        <v>111</v>
      </c>
      <c r="AJ121" s="156"/>
      <c r="AK121" s="156" t="str">
        <f t="array" ref="AK121">IFERROR(INDEX($AI$11:$AI$259, MATCH(0, IF(TRUE=$AF$11:$AF$259, COUNTIF($AK$10:$AK120, $AI$11:$AI$259), ""), 0)),"")</f>
        <v/>
      </c>
      <c r="AL121" s="156" t="str">
        <f t="array" ref="AL121">IFERROR(INDEX($AI$11:$AI$259, MATCH(0, IF(TRUE=$AG$11:$AG$259, COUNTIF($AL$10:$AL120, $AI$11:$AI$259), ""), 0)),"")</f>
        <v/>
      </c>
      <c r="AM121" s="156" t="str">
        <f t="array" ref="AM121">IFERROR(INDEX($AI$11:$AI$259, MATCH(0, IF(TRUE=$AH$11:$AH$259, COUNTIF($AM$10:$AM120, $AI$11:$AI$259), ""), 0)),"")</f>
        <v/>
      </c>
      <c r="AQ121" s="31">
        <f t="shared" si="11"/>
        <v>0</v>
      </c>
    </row>
    <row r="122" spans="1:43" x14ac:dyDescent="0.3">
      <c r="A122" s="31" t="str">
        <f>IFERROR(INDEX('G-1 All Habitats'!$AG$3:$AG$15,MATCH(E122,'G-1 All Habitats'!$AF$3:$AF$15,0)),"")</f>
        <v/>
      </c>
      <c r="B122" s="31" t="str">
        <f>IFERROR(INDEX('G-8 Condition Look up'!$I$4:$I$130,MATCH(G122,'G-8 Condition Look up'!$A$4:$A$130,0)),"")</f>
        <v/>
      </c>
      <c r="D122" s="141">
        <v>112</v>
      </c>
      <c r="E122" s="203"/>
      <c r="F122" s="203"/>
      <c r="G122" s="250" t="str">
        <f>IFERROR(INDEX('G-1 All Habitats'!$B$3:$B$129,MATCH(F122,'G-1 All Habitats'!$A$3:$A$129,0)),"")</f>
        <v/>
      </c>
      <c r="H122" s="172"/>
      <c r="I122" s="498" t="str">
        <f>IF(G122="","",VLOOKUP(G122,'G-1 All Habitats'!$B$2:$M$129,10,FALSE))</f>
        <v/>
      </c>
      <c r="J122" s="499" t="str">
        <f>IFERROR(VLOOKUP(I122,'G-1 All Habitats'!$V$3:$W$7,2,FALSE),"")</f>
        <v/>
      </c>
      <c r="K122" s="145"/>
      <c r="L122" s="499" t="str">
        <f>IFERROR(INDEX('G-8 Condition Look up'!$A$3:$H$130,MATCH(G122,'G-8 Condition Look up'!$A$3:$A$130,0),MATCH(K122,'G-8 Condition Look up'!$A$3:$H$3,0)),"")</f>
        <v/>
      </c>
      <c r="M122" s="154"/>
      <c r="N122" s="520" t="str">
        <f>IF(M122="","",IF(VLOOKUP(M122,'G-3 Multipliers'!$L$3:$N$6,2,FALSE)=0,"Spatial Data Missing ⚠",VLOOKUP(M122,'G-3 Multipliers'!$L$3:$N$6,2,FALSE)))</f>
        <v/>
      </c>
      <c r="O122" s="524" t="str">
        <f>IF(M122="","",IF(VLOOKUP(M122,'G-3 Multipliers'!$L$3:$N$6,3,FALSE)=0,"Spatial Data Missing ⚠",VLOOKUP(M122,'G-3 Multipliers'!$L$3:$N$6,3,FALSE)))</f>
        <v/>
      </c>
      <c r="P122" s="506" t="str">
        <f>IFERROR(VLOOKUP(G122,'G-1 All Habitats'!$B$2:$M$129,12,FALSE),"")</f>
        <v/>
      </c>
      <c r="Q122" s="513" t="str">
        <f>IFERROR(IF(P122="","",IF(AND(P122='G-1 All Habitats'!$X$3,T122&gt;0),U122+V122,IF(AND(P122='G-1 All Habitats'!$X$3,S122&gt;0),U122+V122,IF(AND(P122='G-1 All Habitats'!$X$3,AC122&gt;0),"Any Loss Unacceptable",IF(AND(P122='G-1 All Habitats'!$X$3,W122&gt;0),"Any Loss Unacceptable",H122*J122*L122*O122))))),"Check Data ⚠")</f>
        <v/>
      </c>
      <c r="R122" s="50"/>
      <c r="S122" s="71"/>
      <c r="T122" s="72"/>
      <c r="U122" s="511" t="str">
        <f t="shared" si="8"/>
        <v/>
      </c>
      <c r="V122" s="511" t="str">
        <f t="shared" si="9"/>
        <v/>
      </c>
      <c r="W122" s="511" t="str">
        <f>IF(E122="","",IF(H122&lt;S122+T122,"Error in Areas ▲",IF(P122&lt;&gt;'G-1 All Habitats'!$X$3,H122-S122-T122,IF(AND(P122='G-1 All Habitats'!$X$3,Y122="Yes"),"Unacceptable Loss ▲",IF(AND(P122='G-1 All Habitats'!$X$3,Y122="No"),AC122,IF(AND(P122='G-1 All Habitats'!$X$3,Y122=""),AC122,IF(AND(P122='G-1 All Habitats'!$X$3,AC122="None",AC122),IF(AND(P122='G-1 All Habitats'!$X$3,AC122&gt;0),H122-S122-T122))))))))</f>
        <v/>
      </c>
      <c r="X122" s="545" t="str">
        <f>IFERROR(IF(H122="","",IF(H122-S122-T122=0&lt;0,"Error in Areas ▲",IF(S122+T122&gt;H122,"Error in Areas ▲",IF(AND(P122='G-1 All Habitats'!$X$3,Y122="Yes"),"Alternative Compensation",IF(W122=0,0,IF(P122='G-1 All Habitats'!$X$3,"Unacceptable Loss",Q122-U122-V122)))))),"Check Data ⚠")</f>
        <v/>
      </c>
      <c r="Y122" s="72"/>
      <c r="Z122" s="151"/>
      <c r="AA122" s="152"/>
      <c r="AC122" s="251" t="str">
        <f>IF(P122="","",IF(P122='G-1 All Habitats'!$X$3,H122-S122-T122,"None"))</f>
        <v/>
      </c>
      <c r="AD122" s="252" t="str">
        <f t="shared" si="10"/>
        <v/>
      </c>
      <c r="AF122" s="156" t="str">
        <f t="shared" si="6"/>
        <v/>
      </c>
      <c r="AG122" s="156" t="str">
        <f t="shared" si="7"/>
        <v/>
      </c>
      <c r="AH122" s="156" t="str">
        <f>IF(I122="","",IF(#REF!&gt;0,TRUE,FALSE))</f>
        <v/>
      </c>
      <c r="AI122" s="156">
        <v>112</v>
      </c>
      <c r="AJ122" s="156"/>
      <c r="AK122" s="156" t="str">
        <f t="array" ref="AK122">IFERROR(INDEX($AI$11:$AI$259, MATCH(0, IF(TRUE=$AF$11:$AF$259, COUNTIF($AK$10:$AK121, $AI$11:$AI$259), ""), 0)),"")</f>
        <v/>
      </c>
      <c r="AL122" s="156" t="str">
        <f t="array" ref="AL122">IFERROR(INDEX($AI$11:$AI$259, MATCH(0, IF(TRUE=$AG$11:$AG$259, COUNTIF($AL$10:$AL121, $AI$11:$AI$259), ""), 0)),"")</f>
        <v/>
      </c>
      <c r="AM122" s="156" t="str">
        <f t="array" ref="AM122">IFERROR(INDEX($AI$11:$AI$259, MATCH(0, IF(TRUE=$AH$11:$AH$259, COUNTIF($AM$10:$AM121, $AI$11:$AI$259), ""), 0)),"")</f>
        <v/>
      </c>
      <c r="AQ122" s="31">
        <f t="shared" si="11"/>
        <v>0</v>
      </c>
    </row>
    <row r="123" spans="1:43" x14ac:dyDescent="0.3">
      <c r="A123" s="31" t="str">
        <f>IFERROR(INDEX('G-1 All Habitats'!$AG$3:$AG$15,MATCH(E123,'G-1 All Habitats'!$AF$3:$AF$15,0)),"")</f>
        <v/>
      </c>
      <c r="B123" s="31" t="str">
        <f>IFERROR(INDEX('G-8 Condition Look up'!$I$4:$I$130,MATCH(G123,'G-8 Condition Look up'!$A$4:$A$130,0)),"")</f>
        <v/>
      </c>
      <c r="D123" s="141">
        <v>113</v>
      </c>
      <c r="E123" s="203"/>
      <c r="F123" s="203"/>
      <c r="G123" s="250" t="str">
        <f>IFERROR(INDEX('G-1 All Habitats'!$B$3:$B$129,MATCH(F123,'G-1 All Habitats'!$A$3:$A$129,0)),"")</f>
        <v/>
      </c>
      <c r="H123" s="172"/>
      <c r="I123" s="498" t="str">
        <f>IF(G123="","",VLOOKUP(G123,'G-1 All Habitats'!$B$2:$M$129,10,FALSE))</f>
        <v/>
      </c>
      <c r="J123" s="499" t="str">
        <f>IFERROR(VLOOKUP(I123,'G-1 All Habitats'!$V$3:$W$7,2,FALSE),"")</f>
        <v/>
      </c>
      <c r="K123" s="145"/>
      <c r="L123" s="499" t="str">
        <f>IFERROR(INDEX('G-8 Condition Look up'!$A$3:$H$130,MATCH(G123,'G-8 Condition Look up'!$A$3:$A$130,0),MATCH(K123,'G-8 Condition Look up'!$A$3:$H$3,0)),"")</f>
        <v/>
      </c>
      <c r="M123" s="154"/>
      <c r="N123" s="520" t="str">
        <f>IF(M123="","",IF(VLOOKUP(M123,'G-3 Multipliers'!$L$3:$N$6,2,FALSE)=0,"Spatial Data Missing ⚠",VLOOKUP(M123,'G-3 Multipliers'!$L$3:$N$6,2,FALSE)))</f>
        <v/>
      </c>
      <c r="O123" s="524" t="str">
        <f>IF(M123="","",IF(VLOOKUP(M123,'G-3 Multipliers'!$L$3:$N$6,3,FALSE)=0,"Spatial Data Missing ⚠",VLOOKUP(M123,'G-3 Multipliers'!$L$3:$N$6,3,FALSE)))</f>
        <v/>
      </c>
      <c r="P123" s="506" t="str">
        <f>IFERROR(VLOOKUP(G123,'G-1 All Habitats'!$B$2:$M$129,12,FALSE),"")</f>
        <v/>
      </c>
      <c r="Q123" s="513" t="str">
        <f>IFERROR(IF(P123="","",IF(AND(P123='G-1 All Habitats'!$X$3,T123&gt;0),U123+V123,IF(AND(P123='G-1 All Habitats'!$X$3,S123&gt;0),U123+V123,IF(AND(P123='G-1 All Habitats'!$X$3,AC123&gt;0),"Any Loss Unacceptable",IF(AND(P123='G-1 All Habitats'!$X$3,W123&gt;0),"Any Loss Unacceptable",H123*J123*L123*O123))))),"Check Data ⚠")</f>
        <v/>
      </c>
      <c r="R123" s="50"/>
      <c r="S123" s="71"/>
      <c r="T123" s="72"/>
      <c r="U123" s="511" t="str">
        <f t="shared" si="8"/>
        <v/>
      </c>
      <c r="V123" s="511" t="str">
        <f t="shared" si="9"/>
        <v/>
      </c>
      <c r="W123" s="511" t="str">
        <f>IF(E123="","",IF(H123&lt;S123+T123,"Error in Areas ▲",IF(P123&lt;&gt;'G-1 All Habitats'!$X$3,H123-S123-T123,IF(AND(P123='G-1 All Habitats'!$X$3,Y123="Yes"),"Unacceptable Loss ▲",IF(AND(P123='G-1 All Habitats'!$X$3,Y123="No"),AC123,IF(AND(P123='G-1 All Habitats'!$X$3,Y123=""),AC123,IF(AND(P123='G-1 All Habitats'!$X$3,AC123="None",AC123),IF(AND(P123='G-1 All Habitats'!$X$3,AC123&gt;0),H123-S123-T123))))))))</f>
        <v/>
      </c>
      <c r="X123" s="545" t="str">
        <f>IFERROR(IF(H123="","",IF(H123-S123-T123=0&lt;0,"Error in Areas ▲",IF(S123+T123&gt;H123,"Error in Areas ▲",IF(AND(P123='G-1 All Habitats'!$X$3,Y123="Yes"),"Alternative Compensation",IF(W123=0,0,IF(P123='G-1 All Habitats'!$X$3,"Unacceptable Loss",Q123-U123-V123)))))),"Check Data ⚠")</f>
        <v/>
      </c>
      <c r="Y123" s="72"/>
      <c r="Z123" s="151"/>
      <c r="AA123" s="152"/>
      <c r="AC123" s="251" t="str">
        <f>IF(P123="","",IF(P123='G-1 All Habitats'!$X$3,H123-S123-T123,"None"))</f>
        <v/>
      </c>
      <c r="AD123" s="252" t="str">
        <f t="shared" si="10"/>
        <v/>
      </c>
      <c r="AF123" s="156" t="str">
        <f t="shared" si="6"/>
        <v/>
      </c>
      <c r="AG123" s="156" t="str">
        <f t="shared" si="7"/>
        <v/>
      </c>
      <c r="AH123" s="156" t="str">
        <f>IF(I123="","",IF(#REF!&gt;0,TRUE,FALSE))</f>
        <v/>
      </c>
      <c r="AI123" s="156">
        <v>113</v>
      </c>
      <c r="AJ123" s="156"/>
      <c r="AK123" s="156" t="str">
        <f t="array" ref="AK123">IFERROR(INDEX($AI$11:$AI$259, MATCH(0, IF(TRUE=$AF$11:$AF$259, COUNTIF($AK$10:$AK122, $AI$11:$AI$259), ""), 0)),"")</f>
        <v/>
      </c>
      <c r="AL123" s="156" t="str">
        <f t="array" ref="AL123">IFERROR(INDEX($AI$11:$AI$259, MATCH(0, IF(TRUE=$AG$11:$AG$259, COUNTIF($AL$10:$AL122, $AI$11:$AI$259), ""), 0)),"")</f>
        <v/>
      </c>
      <c r="AM123" s="156" t="str">
        <f t="array" ref="AM123">IFERROR(INDEX($AI$11:$AI$259, MATCH(0, IF(TRUE=$AH$11:$AH$259, COUNTIF($AM$10:$AM122, $AI$11:$AI$259), ""), 0)),"")</f>
        <v/>
      </c>
      <c r="AQ123" s="31">
        <f t="shared" si="11"/>
        <v>0</v>
      </c>
    </row>
    <row r="124" spans="1:43" x14ac:dyDescent="0.3">
      <c r="A124" s="31" t="str">
        <f>IFERROR(INDEX('G-1 All Habitats'!$AG$3:$AG$15,MATCH(E124,'G-1 All Habitats'!$AF$3:$AF$15,0)),"")</f>
        <v/>
      </c>
      <c r="B124" s="31" t="str">
        <f>IFERROR(INDEX('G-8 Condition Look up'!$I$4:$I$130,MATCH(G124,'G-8 Condition Look up'!$A$4:$A$130,0)),"")</f>
        <v/>
      </c>
      <c r="D124" s="141">
        <v>114</v>
      </c>
      <c r="E124" s="203"/>
      <c r="F124" s="203"/>
      <c r="G124" s="250" t="str">
        <f>IFERROR(INDEX('G-1 All Habitats'!$B$3:$B$129,MATCH(F124,'G-1 All Habitats'!$A$3:$A$129,0)),"")</f>
        <v/>
      </c>
      <c r="H124" s="172"/>
      <c r="I124" s="498" t="str">
        <f>IF(G124="","",VLOOKUP(G124,'G-1 All Habitats'!$B$2:$M$129,10,FALSE))</f>
        <v/>
      </c>
      <c r="J124" s="499" t="str">
        <f>IFERROR(VLOOKUP(I124,'G-1 All Habitats'!$V$3:$W$7,2,FALSE),"")</f>
        <v/>
      </c>
      <c r="K124" s="145"/>
      <c r="L124" s="499" t="str">
        <f>IFERROR(INDEX('G-8 Condition Look up'!$A$3:$H$130,MATCH(G124,'G-8 Condition Look up'!$A$3:$A$130,0),MATCH(K124,'G-8 Condition Look up'!$A$3:$H$3,0)),"")</f>
        <v/>
      </c>
      <c r="M124" s="154"/>
      <c r="N124" s="520" t="str">
        <f>IF(M124="","",IF(VLOOKUP(M124,'G-3 Multipliers'!$L$3:$N$6,2,FALSE)=0,"Spatial Data Missing ⚠",VLOOKUP(M124,'G-3 Multipliers'!$L$3:$N$6,2,FALSE)))</f>
        <v/>
      </c>
      <c r="O124" s="524" t="str">
        <f>IF(M124="","",IF(VLOOKUP(M124,'G-3 Multipliers'!$L$3:$N$6,3,FALSE)=0,"Spatial Data Missing ⚠",VLOOKUP(M124,'G-3 Multipliers'!$L$3:$N$6,3,FALSE)))</f>
        <v/>
      </c>
      <c r="P124" s="506" t="str">
        <f>IFERROR(VLOOKUP(G124,'G-1 All Habitats'!$B$2:$M$129,12,FALSE),"")</f>
        <v/>
      </c>
      <c r="Q124" s="513" t="str">
        <f>IFERROR(IF(P124="","",IF(AND(P124='G-1 All Habitats'!$X$3,T124&gt;0),U124+V124,IF(AND(P124='G-1 All Habitats'!$X$3,S124&gt;0),U124+V124,IF(AND(P124='G-1 All Habitats'!$X$3,AC124&gt;0),"Any Loss Unacceptable",IF(AND(P124='G-1 All Habitats'!$X$3,W124&gt;0),"Any Loss Unacceptable",H124*J124*L124*O124))))),"Check Data ⚠")</f>
        <v/>
      </c>
      <c r="R124" s="50"/>
      <c r="S124" s="71"/>
      <c r="T124" s="72"/>
      <c r="U124" s="511" t="str">
        <f t="shared" si="8"/>
        <v/>
      </c>
      <c r="V124" s="511" t="str">
        <f t="shared" si="9"/>
        <v/>
      </c>
      <c r="W124" s="511" t="str">
        <f>IF(E124="","",IF(H124&lt;S124+T124,"Error in Areas ▲",IF(P124&lt;&gt;'G-1 All Habitats'!$X$3,H124-S124-T124,IF(AND(P124='G-1 All Habitats'!$X$3,Y124="Yes"),"Unacceptable Loss ▲",IF(AND(P124='G-1 All Habitats'!$X$3,Y124="No"),AC124,IF(AND(P124='G-1 All Habitats'!$X$3,Y124=""),AC124,IF(AND(P124='G-1 All Habitats'!$X$3,AC124="None",AC124),IF(AND(P124='G-1 All Habitats'!$X$3,AC124&gt;0),H124-S124-T124))))))))</f>
        <v/>
      </c>
      <c r="X124" s="545" t="str">
        <f>IFERROR(IF(H124="","",IF(H124-S124-T124=0&lt;0,"Error in Areas ▲",IF(S124+T124&gt;H124,"Error in Areas ▲",IF(AND(P124='G-1 All Habitats'!$X$3,Y124="Yes"),"Alternative Compensation",IF(W124=0,0,IF(P124='G-1 All Habitats'!$X$3,"Unacceptable Loss",Q124-U124-V124)))))),"Check Data ⚠")</f>
        <v/>
      </c>
      <c r="Y124" s="72"/>
      <c r="Z124" s="151"/>
      <c r="AA124" s="152"/>
      <c r="AC124" s="251" t="str">
        <f>IF(P124="","",IF(P124='G-1 All Habitats'!$X$3,H124-S124-T124,"None"))</f>
        <v/>
      </c>
      <c r="AD124" s="252" t="str">
        <f t="shared" si="10"/>
        <v/>
      </c>
      <c r="AF124" s="156" t="str">
        <f t="shared" si="6"/>
        <v/>
      </c>
      <c r="AG124" s="156" t="str">
        <f t="shared" si="7"/>
        <v/>
      </c>
      <c r="AH124" s="156" t="str">
        <f>IF(I124="","",IF(#REF!&gt;0,TRUE,FALSE))</f>
        <v/>
      </c>
      <c r="AI124" s="156">
        <v>114</v>
      </c>
      <c r="AJ124" s="156"/>
      <c r="AK124" s="156" t="str">
        <f t="array" ref="AK124">IFERROR(INDEX($AI$11:$AI$259, MATCH(0, IF(TRUE=$AF$11:$AF$259, COUNTIF($AK$10:$AK123, $AI$11:$AI$259), ""), 0)),"")</f>
        <v/>
      </c>
      <c r="AL124" s="156" t="str">
        <f t="array" ref="AL124">IFERROR(INDEX($AI$11:$AI$259, MATCH(0, IF(TRUE=$AG$11:$AG$259, COUNTIF($AL$10:$AL123, $AI$11:$AI$259), ""), 0)),"")</f>
        <v/>
      </c>
      <c r="AM124" s="156" t="str">
        <f t="array" ref="AM124">IFERROR(INDEX($AI$11:$AI$259, MATCH(0, IF(TRUE=$AH$11:$AH$259, COUNTIF($AM$10:$AM123, $AI$11:$AI$259), ""), 0)),"")</f>
        <v/>
      </c>
      <c r="AQ124" s="31">
        <f t="shared" si="11"/>
        <v>0</v>
      </c>
    </row>
    <row r="125" spans="1:43" x14ac:dyDescent="0.3">
      <c r="A125" s="31" t="str">
        <f>IFERROR(INDEX('G-1 All Habitats'!$AG$3:$AG$15,MATCH(E125,'G-1 All Habitats'!$AF$3:$AF$15,0)),"")</f>
        <v/>
      </c>
      <c r="B125" s="31" t="str">
        <f>IFERROR(INDEX('G-8 Condition Look up'!$I$4:$I$130,MATCH(G125,'G-8 Condition Look up'!$A$4:$A$130,0)),"")</f>
        <v/>
      </c>
      <c r="D125" s="141">
        <v>115</v>
      </c>
      <c r="E125" s="203"/>
      <c r="F125" s="203"/>
      <c r="G125" s="250" t="str">
        <f>IFERROR(INDEX('G-1 All Habitats'!$B$3:$B$129,MATCH(F125,'G-1 All Habitats'!$A$3:$A$129,0)),"")</f>
        <v/>
      </c>
      <c r="H125" s="172"/>
      <c r="I125" s="498" t="str">
        <f>IF(G125="","",VLOOKUP(G125,'G-1 All Habitats'!$B$2:$M$129,10,FALSE))</f>
        <v/>
      </c>
      <c r="J125" s="499" t="str">
        <f>IFERROR(VLOOKUP(I125,'G-1 All Habitats'!$V$3:$W$7,2,FALSE),"")</f>
        <v/>
      </c>
      <c r="K125" s="145"/>
      <c r="L125" s="499" t="str">
        <f>IFERROR(INDEX('G-8 Condition Look up'!$A$3:$H$130,MATCH(G125,'G-8 Condition Look up'!$A$3:$A$130,0),MATCH(K125,'G-8 Condition Look up'!$A$3:$H$3,0)),"")</f>
        <v/>
      </c>
      <c r="M125" s="154"/>
      <c r="N125" s="520" t="str">
        <f>IF(M125="","",IF(VLOOKUP(M125,'G-3 Multipliers'!$L$3:$N$6,2,FALSE)=0,"Spatial Data Missing ⚠",VLOOKUP(M125,'G-3 Multipliers'!$L$3:$N$6,2,FALSE)))</f>
        <v/>
      </c>
      <c r="O125" s="524" t="str">
        <f>IF(M125="","",IF(VLOOKUP(M125,'G-3 Multipliers'!$L$3:$N$6,3,FALSE)=0,"Spatial Data Missing ⚠",VLOOKUP(M125,'G-3 Multipliers'!$L$3:$N$6,3,FALSE)))</f>
        <v/>
      </c>
      <c r="P125" s="506" t="str">
        <f>IFERROR(VLOOKUP(G125,'G-1 All Habitats'!$B$2:$M$129,12,FALSE),"")</f>
        <v/>
      </c>
      <c r="Q125" s="513" t="str">
        <f>IFERROR(IF(P125="","",IF(AND(P125='G-1 All Habitats'!$X$3,T125&gt;0),U125+V125,IF(AND(P125='G-1 All Habitats'!$X$3,S125&gt;0),U125+V125,IF(AND(P125='G-1 All Habitats'!$X$3,AC125&gt;0),"Any Loss Unacceptable",IF(AND(P125='G-1 All Habitats'!$X$3,W125&gt;0),"Any Loss Unacceptable",H125*J125*L125*O125))))),"Check Data ⚠")</f>
        <v/>
      </c>
      <c r="R125" s="50"/>
      <c r="S125" s="71"/>
      <c r="T125" s="72"/>
      <c r="U125" s="511" t="str">
        <f t="shared" si="8"/>
        <v/>
      </c>
      <c r="V125" s="511" t="str">
        <f t="shared" si="9"/>
        <v/>
      </c>
      <c r="W125" s="511" t="str">
        <f>IF(E125="","",IF(H125&lt;S125+T125,"Error in Areas ▲",IF(P125&lt;&gt;'G-1 All Habitats'!$X$3,H125-S125-T125,IF(AND(P125='G-1 All Habitats'!$X$3,Y125="Yes"),"Unacceptable Loss ▲",IF(AND(P125='G-1 All Habitats'!$X$3,Y125="No"),AC125,IF(AND(P125='G-1 All Habitats'!$X$3,Y125=""),AC125,IF(AND(P125='G-1 All Habitats'!$X$3,AC125="None",AC125),IF(AND(P125='G-1 All Habitats'!$X$3,AC125&gt;0),H125-S125-T125))))))))</f>
        <v/>
      </c>
      <c r="X125" s="545" t="str">
        <f>IFERROR(IF(H125="","",IF(H125-S125-T125=0&lt;0,"Error in Areas ▲",IF(S125+T125&gt;H125,"Error in Areas ▲",IF(AND(P125='G-1 All Habitats'!$X$3,Y125="Yes"),"Alternative Compensation",IF(W125=0,0,IF(P125='G-1 All Habitats'!$X$3,"Unacceptable Loss",Q125-U125-V125)))))),"Check Data ⚠")</f>
        <v/>
      </c>
      <c r="Y125" s="72"/>
      <c r="Z125" s="151"/>
      <c r="AA125" s="152"/>
      <c r="AC125" s="251" t="str">
        <f>IF(P125="","",IF(P125='G-1 All Habitats'!$X$3,H125-S125-T125,"None"))</f>
        <v/>
      </c>
      <c r="AD125" s="252" t="str">
        <f t="shared" si="10"/>
        <v/>
      </c>
      <c r="AF125" s="156" t="str">
        <f t="shared" si="6"/>
        <v/>
      </c>
      <c r="AG125" s="156" t="str">
        <f t="shared" si="7"/>
        <v/>
      </c>
      <c r="AH125" s="156" t="str">
        <f>IF(I125="","",IF(#REF!&gt;0,TRUE,FALSE))</f>
        <v/>
      </c>
      <c r="AI125" s="156">
        <v>115</v>
      </c>
      <c r="AJ125" s="156"/>
      <c r="AK125" s="156" t="str">
        <f t="array" ref="AK125">IFERROR(INDEX($AI$11:$AI$259, MATCH(0, IF(TRUE=$AF$11:$AF$259, COUNTIF($AK$10:$AK124, $AI$11:$AI$259), ""), 0)),"")</f>
        <v/>
      </c>
      <c r="AL125" s="156" t="str">
        <f t="array" ref="AL125">IFERROR(INDEX($AI$11:$AI$259, MATCH(0, IF(TRUE=$AG$11:$AG$259, COUNTIF($AL$10:$AL124, $AI$11:$AI$259), ""), 0)),"")</f>
        <v/>
      </c>
      <c r="AM125" s="156" t="str">
        <f t="array" ref="AM125">IFERROR(INDEX($AI$11:$AI$259, MATCH(0, IF(TRUE=$AH$11:$AH$259, COUNTIF($AM$10:$AM124, $AI$11:$AI$259), ""), 0)),"")</f>
        <v/>
      </c>
      <c r="AQ125" s="31">
        <f t="shared" si="11"/>
        <v>0</v>
      </c>
    </row>
    <row r="126" spans="1:43" x14ac:dyDescent="0.3">
      <c r="A126" s="31" t="str">
        <f>IFERROR(INDEX('G-1 All Habitats'!$AG$3:$AG$15,MATCH(E126,'G-1 All Habitats'!$AF$3:$AF$15,0)),"")</f>
        <v/>
      </c>
      <c r="B126" s="31" t="str">
        <f>IFERROR(INDEX('G-8 Condition Look up'!$I$4:$I$130,MATCH(G126,'G-8 Condition Look up'!$A$4:$A$130,0)),"")</f>
        <v/>
      </c>
      <c r="D126" s="141">
        <v>116</v>
      </c>
      <c r="E126" s="203"/>
      <c r="F126" s="203"/>
      <c r="G126" s="250" t="str">
        <f>IFERROR(INDEX('G-1 All Habitats'!$B$3:$B$129,MATCH(F126,'G-1 All Habitats'!$A$3:$A$129,0)),"")</f>
        <v/>
      </c>
      <c r="H126" s="172"/>
      <c r="I126" s="498" t="str">
        <f>IF(G126="","",VLOOKUP(G126,'G-1 All Habitats'!$B$2:$M$129,10,FALSE))</f>
        <v/>
      </c>
      <c r="J126" s="499" t="str">
        <f>IFERROR(VLOOKUP(I126,'G-1 All Habitats'!$V$3:$W$7,2,FALSE),"")</f>
        <v/>
      </c>
      <c r="K126" s="145"/>
      <c r="L126" s="499" t="str">
        <f>IFERROR(INDEX('G-8 Condition Look up'!$A$3:$H$130,MATCH(G126,'G-8 Condition Look up'!$A$3:$A$130,0),MATCH(K126,'G-8 Condition Look up'!$A$3:$H$3,0)),"")</f>
        <v/>
      </c>
      <c r="M126" s="154"/>
      <c r="N126" s="520" t="str">
        <f>IF(M126="","",IF(VLOOKUP(M126,'G-3 Multipliers'!$L$3:$N$6,2,FALSE)=0,"Spatial Data Missing ⚠",VLOOKUP(M126,'G-3 Multipliers'!$L$3:$N$6,2,FALSE)))</f>
        <v/>
      </c>
      <c r="O126" s="524" t="str">
        <f>IF(M126="","",IF(VLOOKUP(M126,'G-3 Multipliers'!$L$3:$N$6,3,FALSE)=0,"Spatial Data Missing ⚠",VLOOKUP(M126,'G-3 Multipliers'!$L$3:$N$6,3,FALSE)))</f>
        <v/>
      </c>
      <c r="P126" s="506" t="str">
        <f>IFERROR(VLOOKUP(G126,'G-1 All Habitats'!$B$2:$M$129,12,FALSE),"")</f>
        <v/>
      </c>
      <c r="Q126" s="513" t="str">
        <f>IFERROR(IF(P126="","",IF(AND(P126='G-1 All Habitats'!$X$3,T126&gt;0),U126+V126,IF(AND(P126='G-1 All Habitats'!$X$3,S126&gt;0),U126+V126,IF(AND(P126='G-1 All Habitats'!$X$3,AC126&gt;0),"Any Loss Unacceptable",IF(AND(P126='G-1 All Habitats'!$X$3,W126&gt;0),"Any Loss Unacceptable",H126*J126*L126*O126))))),"Check Data ⚠")</f>
        <v/>
      </c>
      <c r="R126" s="50"/>
      <c r="S126" s="71"/>
      <c r="T126" s="72"/>
      <c r="U126" s="511" t="str">
        <f t="shared" si="8"/>
        <v/>
      </c>
      <c r="V126" s="511" t="str">
        <f t="shared" si="9"/>
        <v/>
      </c>
      <c r="W126" s="511" t="str">
        <f>IF(E126="","",IF(H126&lt;S126+T126,"Error in Areas ▲",IF(P126&lt;&gt;'G-1 All Habitats'!$X$3,H126-S126-T126,IF(AND(P126='G-1 All Habitats'!$X$3,Y126="Yes"),"Unacceptable Loss ▲",IF(AND(P126='G-1 All Habitats'!$X$3,Y126="No"),AC126,IF(AND(P126='G-1 All Habitats'!$X$3,Y126=""),AC126,IF(AND(P126='G-1 All Habitats'!$X$3,AC126="None",AC126),IF(AND(P126='G-1 All Habitats'!$X$3,AC126&gt;0),H126-S126-T126))))))))</f>
        <v/>
      </c>
      <c r="X126" s="545" t="str">
        <f>IFERROR(IF(H126="","",IF(H126-S126-T126=0&lt;0,"Error in Areas ▲",IF(S126+T126&gt;H126,"Error in Areas ▲",IF(AND(P126='G-1 All Habitats'!$X$3,Y126="Yes"),"Alternative Compensation",IF(W126=0,0,IF(P126='G-1 All Habitats'!$X$3,"Unacceptable Loss",Q126-U126-V126)))))),"Check Data ⚠")</f>
        <v/>
      </c>
      <c r="Y126" s="72"/>
      <c r="Z126" s="151"/>
      <c r="AA126" s="152"/>
      <c r="AC126" s="251" t="str">
        <f>IF(P126="","",IF(P126='G-1 All Habitats'!$X$3,H126-S126-T126,"None"))</f>
        <v/>
      </c>
      <c r="AD126" s="252" t="str">
        <f t="shared" si="10"/>
        <v/>
      </c>
      <c r="AF126" s="156" t="str">
        <f t="shared" si="6"/>
        <v/>
      </c>
      <c r="AG126" s="156" t="str">
        <f t="shared" si="7"/>
        <v/>
      </c>
      <c r="AH126" s="156" t="str">
        <f>IF(I126="","",IF(#REF!&gt;0,TRUE,FALSE))</f>
        <v/>
      </c>
      <c r="AI126" s="156">
        <v>116</v>
      </c>
      <c r="AJ126" s="156"/>
      <c r="AK126" s="156" t="str">
        <f t="array" ref="AK126">IFERROR(INDEX($AI$11:$AI$259, MATCH(0, IF(TRUE=$AF$11:$AF$259, COUNTIF($AK$10:$AK125, $AI$11:$AI$259), ""), 0)),"")</f>
        <v/>
      </c>
      <c r="AL126" s="156" t="str">
        <f t="array" ref="AL126">IFERROR(INDEX($AI$11:$AI$259, MATCH(0, IF(TRUE=$AG$11:$AG$259, COUNTIF($AL$10:$AL125, $AI$11:$AI$259), ""), 0)),"")</f>
        <v/>
      </c>
      <c r="AM126" s="156" t="str">
        <f t="array" ref="AM126">IFERROR(INDEX($AI$11:$AI$259, MATCH(0, IF(TRUE=$AH$11:$AH$259, COUNTIF($AM$10:$AM125, $AI$11:$AI$259), ""), 0)),"")</f>
        <v/>
      </c>
      <c r="AQ126" s="31">
        <f t="shared" si="11"/>
        <v>0</v>
      </c>
    </row>
    <row r="127" spans="1:43" x14ac:dyDescent="0.3">
      <c r="A127" s="31" t="str">
        <f>IFERROR(INDEX('G-1 All Habitats'!$AG$3:$AG$15,MATCH(E127,'G-1 All Habitats'!$AF$3:$AF$15,0)),"")</f>
        <v/>
      </c>
      <c r="B127" s="31" t="str">
        <f>IFERROR(INDEX('G-8 Condition Look up'!$I$4:$I$130,MATCH(G127,'G-8 Condition Look up'!$A$4:$A$130,0)),"")</f>
        <v/>
      </c>
      <c r="D127" s="141">
        <v>117</v>
      </c>
      <c r="E127" s="203"/>
      <c r="F127" s="203"/>
      <c r="G127" s="250" t="str">
        <f>IFERROR(INDEX('G-1 All Habitats'!$B$3:$B$129,MATCH(F127,'G-1 All Habitats'!$A$3:$A$129,0)),"")</f>
        <v/>
      </c>
      <c r="H127" s="172"/>
      <c r="I127" s="498" t="str">
        <f>IF(G127="","",VLOOKUP(G127,'G-1 All Habitats'!$B$2:$M$129,10,FALSE))</f>
        <v/>
      </c>
      <c r="J127" s="499" t="str">
        <f>IFERROR(VLOOKUP(I127,'G-1 All Habitats'!$V$3:$W$7,2,FALSE),"")</f>
        <v/>
      </c>
      <c r="K127" s="145"/>
      <c r="L127" s="499" t="str">
        <f>IFERROR(INDEX('G-8 Condition Look up'!$A$3:$H$130,MATCH(G127,'G-8 Condition Look up'!$A$3:$A$130,0),MATCH(K127,'G-8 Condition Look up'!$A$3:$H$3,0)),"")</f>
        <v/>
      </c>
      <c r="M127" s="154"/>
      <c r="N127" s="520" t="str">
        <f>IF(M127="","",IF(VLOOKUP(M127,'G-3 Multipliers'!$L$3:$N$6,2,FALSE)=0,"Spatial Data Missing ⚠",VLOOKUP(M127,'G-3 Multipliers'!$L$3:$N$6,2,FALSE)))</f>
        <v/>
      </c>
      <c r="O127" s="524" t="str">
        <f>IF(M127="","",IF(VLOOKUP(M127,'G-3 Multipliers'!$L$3:$N$6,3,FALSE)=0,"Spatial Data Missing ⚠",VLOOKUP(M127,'G-3 Multipliers'!$L$3:$N$6,3,FALSE)))</f>
        <v/>
      </c>
      <c r="P127" s="506" t="str">
        <f>IFERROR(VLOOKUP(G127,'G-1 All Habitats'!$B$2:$M$129,12,FALSE),"")</f>
        <v/>
      </c>
      <c r="Q127" s="513" t="str">
        <f>IFERROR(IF(P127="","",IF(AND(P127='G-1 All Habitats'!$X$3,T127&gt;0),U127+V127,IF(AND(P127='G-1 All Habitats'!$X$3,S127&gt;0),U127+V127,IF(AND(P127='G-1 All Habitats'!$X$3,AC127&gt;0),"Any Loss Unacceptable",IF(AND(P127='G-1 All Habitats'!$X$3,W127&gt;0),"Any Loss Unacceptable",H127*J127*L127*O127))))),"Check Data ⚠")</f>
        <v/>
      </c>
      <c r="R127" s="50"/>
      <c r="S127" s="71"/>
      <c r="T127" s="72"/>
      <c r="U127" s="511" t="str">
        <f t="shared" si="8"/>
        <v/>
      </c>
      <c r="V127" s="511" t="str">
        <f t="shared" si="9"/>
        <v/>
      </c>
      <c r="W127" s="511" t="str">
        <f>IF(E127="","",IF(H127&lt;S127+T127,"Error in Areas ▲",IF(P127&lt;&gt;'G-1 All Habitats'!$X$3,H127-S127-T127,IF(AND(P127='G-1 All Habitats'!$X$3,Y127="Yes"),"Unacceptable Loss ▲",IF(AND(P127='G-1 All Habitats'!$X$3,Y127="No"),AC127,IF(AND(P127='G-1 All Habitats'!$X$3,Y127=""),AC127,IF(AND(P127='G-1 All Habitats'!$X$3,AC127="None",AC127),IF(AND(P127='G-1 All Habitats'!$X$3,AC127&gt;0),H127-S127-T127))))))))</f>
        <v/>
      </c>
      <c r="X127" s="545" t="str">
        <f>IFERROR(IF(H127="","",IF(H127-S127-T127=0&lt;0,"Error in Areas ▲",IF(S127+T127&gt;H127,"Error in Areas ▲",IF(AND(P127='G-1 All Habitats'!$X$3,Y127="Yes"),"Alternative Compensation",IF(W127=0,0,IF(P127='G-1 All Habitats'!$X$3,"Unacceptable Loss",Q127-U127-V127)))))),"Check Data ⚠")</f>
        <v/>
      </c>
      <c r="Y127" s="72"/>
      <c r="Z127" s="151"/>
      <c r="AA127" s="152"/>
      <c r="AC127" s="251" t="str">
        <f>IF(P127="","",IF(P127='G-1 All Habitats'!$X$3,H127-S127-T127,"None"))</f>
        <v/>
      </c>
      <c r="AD127" s="252" t="str">
        <f t="shared" si="10"/>
        <v/>
      </c>
      <c r="AF127" s="156" t="str">
        <f t="shared" si="6"/>
        <v/>
      </c>
      <c r="AG127" s="156" t="str">
        <f t="shared" si="7"/>
        <v/>
      </c>
      <c r="AH127" s="156" t="str">
        <f>IF(I127="","",IF(#REF!&gt;0,TRUE,FALSE))</f>
        <v/>
      </c>
      <c r="AI127" s="156">
        <v>117</v>
      </c>
      <c r="AJ127" s="156"/>
      <c r="AK127" s="156" t="str">
        <f t="array" ref="AK127">IFERROR(INDEX($AI$11:$AI$259, MATCH(0, IF(TRUE=$AF$11:$AF$259, COUNTIF($AK$10:$AK126, $AI$11:$AI$259), ""), 0)),"")</f>
        <v/>
      </c>
      <c r="AL127" s="156" t="str">
        <f t="array" ref="AL127">IFERROR(INDEX($AI$11:$AI$259, MATCH(0, IF(TRUE=$AG$11:$AG$259, COUNTIF($AL$10:$AL126, $AI$11:$AI$259), ""), 0)),"")</f>
        <v/>
      </c>
      <c r="AM127" s="156" t="str">
        <f t="array" ref="AM127">IFERROR(INDEX($AI$11:$AI$259, MATCH(0, IF(TRUE=$AH$11:$AH$259, COUNTIF($AM$10:$AM126, $AI$11:$AI$259), ""), 0)),"")</f>
        <v/>
      </c>
      <c r="AQ127" s="31">
        <f t="shared" si="11"/>
        <v>0</v>
      </c>
    </row>
    <row r="128" spans="1:43" x14ac:dyDescent="0.3">
      <c r="A128" s="31" t="str">
        <f>IFERROR(INDEX('G-1 All Habitats'!$AG$3:$AG$15,MATCH(E128,'G-1 All Habitats'!$AF$3:$AF$15,0)),"")</f>
        <v/>
      </c>
      <c r="B128" s="31" t="str">
        <f>IFERROR(INDEX('G-8 Condition Look up'!$I$4:$I$130,MATCH(G128,'G-8 Condition Look up'!$A$4:$A$130,0)),"")</f>
        <v/>
      </c>
      <c r="D128" s="141">
        <v>118</v>
      </c>
      <c r="E128" s="203"/>
      <c r="F128" s="203"/>
      <c r="G128" s="250" t="str">
        <f>IFERROR(INDEX('G-1 All Habitats'!$B$3:$B$129,MATCH(F128,'G-1 All Habitats'!$A$3:$A$129,0)),"")</f>
        <v/>
      </c>
      <c r="H128" s="172"/>
      <c r="I128" s="498" t="str">
        <f>IF(G128="","",VLOOKUP(G128,'G-1 All Habitats'!$B$2:$M$129,10,FALSE))</f>
        <v/>
      </c>
      <c r="J128" s="499" t="str">
        <f>IFERROR(VLOOKUP(I128,'G-1 All Habitats'!$V$3:$W$7,2,FALSE),"")</f>
        <v/>
      </c>
      <c r="K128" s="145"/>
      <c r="L128" s="499" t="str">
        <f>IFERROR(INDEX('G-8 Condition Look up'!$A$3:$H$130,MATCH(G128,'G-8 Condition Look up'!$A$3:$A$130,0),MATCH(K128,'G-8 Condition Look up'!$A$3:$H$3,0)),"")</f>
        <v/>
      </c>
      <c r="M128" s="154"/>
      <c r="N128" s="520" t="str">
        <f>IF(M128="","",IF(VLOOKUP(M128,'G-3 Multipliers'!$L$3:$N$6,2,FALSE)=0,"Spatial Data Missing ⚠",VLOOKUP(M128,'G-3 Multipliers'!$L$3:$N$6,2,FALSE)))</f>
        <v/>
      </c>
      <c r="O128" s="524" t="str">
        <f>IF(M128="","",IF(VLOOKUP(M128,'G-3 Multipliers'!$L$3:$N$6,3,FALSE)=0,"Spatial Data Missing ⚠",VLOOKUP(M128,'G-3 Multipliers'!$L$3:$N$6,3,FALSE)))</f>
        <v/>
      </c>
      <c r="P128" s="506" t="str">
        <f>IFERROR(VLOOKUP(G128,'G-1 All Habitats'!$B$2:$M$129,12,FALSE),"")</f>
        <v/>
      </c>
      <c r="Q128" s="513" t="str">
        <f>IFERROR(IF(P128="","",IF(AND(P128='G-1 All Habitats'!$X$3,T128&gt;0),U128+V128,IF(AND(P128='G-1 All Habitats'!$X$3,S128&gt;0),U128+V128,IF(AND(P128='G-1 All Habitats'!$X$3,AC128&gt;0),"Any Loss Unacceptable",IF(AND(P128='G-1 All Habitats'!$X$3,W128&gt;0),"Any Loss Unacceptable",H128*J128*L128*O128))))),"Check Data ⚠")</f>
        <v/>
      </c>
      <c r="R128" s="50"/>
      <c r="S128" s="71"/>
      <c r="T128" s="72"/>
      <c r="U128" s="511" t="str">
        <f t="shared" si="8"/>
        <v/>
      </c>
      <c r="V128" s="511" t="str">
        <f t="shared" si="9"/>
        <v/>
      </c>
      <c r="W128" s="511" t="str">
        <f>IF(E128="","",IF(H128&lt;S128+T128,"Error in Areas ▲",IF(P128&lt;&gt;'G-1 All Habitats'!$X$3,H128-S128-T128,IF(AND(P128='G-1 All Habitats'!$X$3,Y128="Yes"),"Unacceptable Loss ▲",IF(AND(P128='G-1 All Habitats'!$X$3,Y128="No"),AC128,IF(AND(P128='G-1 All Habitats'!$X$3,Y128=""),AC128,IF(AND(P128='G-1 All Habitats'!$X$3,AC128="None",AC128),IF(AND(P128='G-1 All Habitats'!$X$3,AC128&gt;0),H128-S128-T128))))))))</f>
        <v/>
      </c>
      <c r="X128" s="545" t="str">
        <f>IFERROR(IF(H128="","",IF(H128-S128-T128=0&lt;0,"Error in Areas ▲",IF(S128+T128&gt;H128,"Error in Areas ▲",IF(AND(P128='G-1 All Habitats'!$X$3,Y128="Yes"),"Alternative Compensation",IF(W128=0,0,IF(P128='G-1 All Habitats'!$X$3,"Unacceptable Loss",Q128-U128-V128)))))),"Check Data ⚠")</f>
        <v/>
      </c>
      <c r="Y128" s="72"/>
      <c r="Z128" s="151"/>
      <c r="AA128" s="152"/>
      <c r="AC128" s="251" t="str">
        <f>IF(P128="","",IF(P128='G-1 All Habitats'!$X$3,H128-S128-T128,"None"))</f>
        <v/>
      </c>
      <c r="AD128" s="252" t="str">
        <f t="shared" si="10"/>
        <v/>
      </c>
      <c r="AF128" s="156" t="str">
        <f t="shared" si="6"/>
        <v/>
      </c>
      <c r="AG128" s="156" t="str">
        <f t="shared" si="7"/>
        <v/>
      </c>
      <c r="AH128" s="156" t="str">
        <f>IF(I128="","",IF(#REF!&gt;0,TRUE,FALSE))</f>
        <v/>
      </c>
      <c r="AI128" s="156">
        <v>118</v>
      </c>
      <c r="AJ128" s="156"/>
      <c r="AK128" s="156" t="str">
        <f t="array" ref="AK128">IFERROR(INDEX($AI$11:$AI$259, MATCH(0, IF(TRUE=$AF$11:$AF$259, COUNTIF($AK$10:$AK127, $AI$11:$AI$259), ""), 0)),"")</f>
        <v/>
      </c>
      <c r="AL128" s="156" t="str">
        <f t="array" ref="AL128">IFERROR(INDEX($AI$11:$AI$259, MATCH(0, IF(TRUE=$AG$11:$AG$259, COUNTIF($AL$10:$AL127, $AI$11:$AI$259), ""), 0)),"")</f>
        <v/>
      </c>
      <c r="AM128" s="156" t="str">
        <f t="array" ref="AM128">IFERROR(INDEX($AI$11:$AI$259, MATCH(0, IF(TRUE=$AH$11:$AH$259, COUNTIF($AM$10:$AM127, $AI$11:$AI$259), ""), 0)),"")</f>
        <v/>
      </c>
      <c r="AQ128" s="31">
        <f t="shared" si="11"/>
        <v>0</v>
      </c>
    </row>
    <row r="129" spans="1:43" x14ac:dyDescent="0.3">
      <c r="A129" s="31" t="str">
        <f>IFERROR(INDEX('G-1 All Habitats'!$AG$3:$AG$15,MATCH(E129,'G-1 All Habitats'!$AF$3:$AF$15,0)),"")</f>
        <v/>
      </c>
      <c r="B129" s="31" t="str">
        <f>IFERROR(INDEX('G-8 Condition Look up'!$I$4:$I$130,MATCH(G129,'G-8 Condition Look up'!$A$4:$A$130,0)),"")</f>
        <v/>
      </c>
      <c r="D129" s="141">
        <v>119</v>
      </c>
      <c r="E129" s="203"/>
      <c r="F129" s="203"/>
      <c r="G129" s="250" t="str">
        <f>IFERROR(INDEX('G-1 All Habitats'!$B$3:$B$129,MATCH(F129,'G-1 All Habitats'!$A$3:$A$129,0)),"")</f>
        <v/>
      </c>
      <c r="H129" s="172"/>
      <c r="I129" s="498" t="str">
        <f>IF(G129="","",VLOOKUP(G129,'G-1 All Habitats'!$B$2:$M$129,10,FALSE))</f>
        <v/>
      </c>
      <c r="J129" s="499" t="str">
        <f>IFERROR(VLOOKUP(I129,'G-1 All Habitats'!$V$3:$W$7,2,FALSE),"")</f>
        <v/>
      </c>
      <c r="K129" s="145"/>
      <c r="L129" s="499" t="str">
        <f>IFERROR(INDEX('G-8 Condition Look up'!$A$3:$H$130,MATCH(G129,'G-8 Condition Look up'!$A$3:$A$130,0),MATCH(K129,'G-8 Condition Look up'!$A$3:$H$3,0)),"")</f>
        <v/>
      </c>
      <c r="M129" s="154"/>
      <c r="N129" s="520" t="str">
        <f>IF(M129="","",IF(VLOOKUP(M129,'G-3 Multipliers'!$L$3:$N$6,2,FALSE)=0,"Spatial Data Missing ⚠",VLOOKUP(M129,'G-3 Multipliers'!$L$3:$N$6,2,FALSE)))</f>
        <v/>
      </c>
      <c r="O129" s="524" t="str">
        <f>IF(M129="","",IF(VLOOKUP(M129,'G-3 Multipliers'!$L$3:$N$6,3,FALSE)=0,"Spatial Data Missing ⚠",VLOOKUP(M129,'G-3 Multipliers'!$L$3:$N$6,3,FALSE)))</f>
        <v/>
      </c>
      <c r="P129" s="506" t="str">
        <f>IFERROR(VLOOKUP(G129,'G-1 All Habitats'!$B$2:$M$129,12,FALSE),"")</f>
        <v/>
      </c>
      <c r="Q129" s="513" t="str">
        <f>IFERROR(IF(P129="","",IF(AND(P129='G-1 All Habitats'!$X$3,T129&gt;0),U129+V129,IF(AND(P129='G-1 All Habitats'!$X$3,S129&gt;0),U129+V129,IF(AND(P129='G-1 All Habitats'!$X$3,AC129&gt;0),"Any Loss Unacceptable",IF(AND(P129='G-1 All Habitats'!$X$3,W129&gt;0),"Any Loss Unacceptable",H129*J129*L129*O129))))),"Check Data ⚠")</f>
        <v/>
      </c>
      <c r="R129" s="50"/>
      <c r="S129" s="71"/>
      <c r="T129" s="72"/>
      <c r="U129" s="511" t="str">
        <f t="shared" si="8"/>
        <v/>
      </c>
      <c r="V129" s="511" t="str">
        <f t="shared" si="9"/>
        <v/>
      </c>
      <c r="W129" s="511" t="str">
        <f>IF(E129="","",IF(H129&lt;S129+T129,"Error in Areas ▲",IF(P129&lt;&gt;'G-1 All Habitats'!$X$3,H129-S129-T129,IF(AND(P129='G-1 All Habitats'!$X$3,Y129="Yes"),"Unacceptable Loss ▲",IF(AND(P129='G-1 All Habitats'!$X$3,Y129="No"),AC129,IF(AND(P129='G-1 All Habitats'!$X$3,Y129=""),AC129,IF(AND(P129='G-1 All Habitats'!$X$3,AC129="None",AC129),IF(AND(P129='G-1 All Habitats'!$X$3,AC129&gt;0),H129-S129-T129))))))))</f>
        <v/>
      </c>
      <c r="X129" s="545" t="str">
        <f>IFERROR(IF(H129="","",IF(H129-S129-T129=0&lt;0,"Error in Areas ▲",IF(S129+T129&gt;H129,"Error in Areas ▲",IF(AND(P129='G-1 All Habitats'!$X$3,Y129="Yes"),"Alternative Compensation",IF(W129=0,0,IF(P129='G-1 All Habitats'!$X$3,"Unacceptable Loss",Q129-U129-V129)))))),"Check Data ⚠")</f>
        <v/>
      </c>
      <c r="Y129" s="72"/>
      <c r="Z129" s="151"/>
      <c r="AA129" s="152"/>
      <c r="AC129" s="251" t="str">
        <f>IF(P129="","",IF(P129='G-1 All Habitats'!$X$3,H129-S129-T129,"None"))</f>
        <v/>
      </c>
      <c r="AD129" s="252" t="str">
        <f t="shared" si="10"/>
        <v/>
      </c>
      <c r="AF129" s="156" t="str">
        <f t="shared" si="6"/>
        <v/>
      </c>
      <c r="AG129" s="156" t="str">
        <f t="shared" si="7"/>
        <v/>
      </c>
      <c r="AH129" s="156" t="str">
        <f>IF(I129="","",IF(#REF!&gt;0,TRUE,FALSE))</f>
        <v/>
      </c>
      <c r="AI129" s="156">
        <v>119</v>
      </c>
      <c r="AJ129" s="156"/>
      <c r="AK129" s="156" t="str">
        <f t="array" ref="AK129">IFERROR(INDEX($AI$11:$AI$259, MATCH(0, IF(TRUE=$AF$11:$AF$259, COUNTIF($AK$10:$AK128, $AI$11:$AI$259), ""), 0)),"")</f>
        <v/>
      </c>
      <c r="AL129" s="156" t="str">
        <f t="array" ref="AL129">IFERROR(INDEX($AI$11:$AI$259, MATCH(0, IF(TRUE=$AG$11:$AG$259, COUNTIF($AL$10:$AL128, $AI$11:$AI$259), ""), 0)),"")</f>
        <v/>
      </c>
      <c r="AM129" s="156" t="str">
        <f t="array" ref="AM129">IFERROR(INDEX($AI$11:$AI$259, MATCH(0, IF(TRUE=$AH$11:$AH$259, COUNTIF($AM$10:$AM128, $AI$11:$AI$259), ""), 0)),"")</f>
        <v/>
      </c>
      <c r="AQ129" s="31">
        <f t="shared" si="11"/>
        <v>0</v>
      </c>
    </row>
    <row r="130" spans="1:43" x14ac:dyDescent="0.3">
      <c r="A130" s="31" t="str">
        <f>IFERROR(INDEX('G-1 All Habitats'!$AG$3:$AG$15,MATCH(E130,'G-1 All Habitats'!$AF$3:$AF$15,0)),"")</f>
        <v/>
      </c>
      <c r="B130" s="31" t="str">
        <f>IFERROR(INDEX('G-8 Condition Look up'!$I$4:$I$130,MATCH(G130,'G-8 Condition Look up'!$A$4:$A$130,0)),"")</f>
        <v/>
      </c>
      <c r="D130" s="141">
        <v>120</v>
      </c>
      <c r="E130" s="203"/>
      <c r="F130" s="203"/>
      <c r="G130" s="250" t="str">
        <f>IFERROR(INDEX('G-1 All Habitats'!$B$3:$B$129,MATCH(F130,'G-1 All Habitats'!$A$3:$A$129,0)),"")</f>
        <v/>
      </c>
      <c r="H130" s="172"/>
      <c r="I130" s="498" t="str">
        <f>IF(G130="","",VLOOKUP(G130,'G-1 All Habitats'!$B$2:$M$129,10,FALSE))</f>
        <v/>
      </c>
      <c r="J130" s="499" t="str">
        <f>IFERROR(VLOOKUP(I130,'G-1 All Habitats'!$V$3:$W$7,2,FALSE),"")</f>
        <v/>
      </c>
      <c r="K130" s="145"/>
      <c r="L130" s="499" t="str">
        <f>IFERROR(INDEX('G-8 Condition Look up'!$A$3:$H$130,MATCH(G130,'G-8 Condition Look up'!$A$3:$A$130,0),MATCH(K130,'G-8 Condition Look up'!$A$3:$H$3,0)),"")</f>
        <v/>
      </c>
      <c r="M130" s="154"/>
      <c r="N130" s="520" t="str">
        <f>IF(M130="","",IF(VLOOKUP(M130,'G-3 Multipliers'!$L$3:$N$6,2,FALSE)=0,"Spatial Data Missing ⚠",VLOOKUP(M130,'G-3 Multipliers'!$L$3:$N$6,2,FALSE)))</f>
        <v/>
      </c>
      <c r="O130" s="524" t="str">
        <f>IF(M130="","",IF(VLOOKUP(M130,'G-3 Multipliers'!$L$3:$N$6,3,FALSE)=0,"Spatial Data Missing ⚠",VLOOKUP(M130,'G-3 Multipliers'!$L$3:$N$6,3,FALSE)))</f>
        <v/>
      </c>
      <c r="P130" s="506" t="str">
        <f>IFERROR(VLOOKUP(G130,'G-1 All Habitats'!$B$2:$M$129,12,FALSE),"")</f>
        <v/>
      </c>
      <c r="Q130" s="513" t="str">
        <f>IFERROR(IF(P130="","",IF(AND(P130='G-1 All Habitats'!$X$3,T130&gt;0),U130+V130,IF(AND(P130='G-1 All Habitats'!$X$3,S130&gt;0),U130+V130,IF(AND(P130='G-1 All Habitats'!$X$3,AC130&gt;0),"Any Loss Unacceptable",IF(AND(P130='G-1 All Habitats'!$X$3,W130&gt;0),"Any Loss Unacceptable",H130*J130*L130*O130))))),"Check Data ⚠")</f>
        <v/>
      </c>
      <c r="R130" s="50"/>
      <c r="S130" s="71"/>
      <c r="T130" s="72"/>
      <c r="U130" s="511" t="str">
        <f t="shared" si="8"/>
        <v/>
      </c>
      <c r="V130" s="511" t="str">
        <f t="shared" si="9"/>
        <v/>
      </c>
      <c r="W130" s="511" t="str">
        <f>IF(E130="","",IF(H130&lt;S130+T130,"Error in Areas ▲",IF(P130&lt;&gt;'G-1 All Habitats'!$X$3,H130-S130-T130,IF(AND(P130='G-1 All Habitats'!$X$3,Y130="Yes"),"Unacceptable Loss ▲",IF(AND(P130='G-1 All Habitats'!$X$3,Y130="No"),AC130,IF(AND(P130='G-1 All Habitats'!$X$3,Y130=""),AC130,IF(AND(P130='G-1 All Habitats'!$X$3,AC130="None",AC130),IF(AND(P130='G-1 All Habitats'!$X$3,AC130&gt;0),H130-S130-T130))))))))</f>
        <v/>
      </c>
      <c r="X130" s="545" t="str">
        <f>IFERROR(IF(H130="","",IF(H130-S130-T130=0&lt;0,"Error in Areas ▲",IF(S130+T130&gt;H130,"Error in Areas ▲",IF(AND(P130='G-1 All Habitats'!$X$3,Y130="Yes"),"Alternative Compensation",IF(W130=0,0,IF(P130='G-1 All Habitats'!$X$3,"Unacceptable Loss",Q130-U130-V130)))))),"Check Data ⚠")</f>
        <v/>
      </c>
      <c r="Y130" s="72"/>
      <c r="Z130" s="151"/>
      <c r="AA130" s="152"/>
      <c r="AC130" s="251" t="str">
        <f>IF(P130="","",IF(P130='G-1 All Habitats'!$X$3,H130-S130-T130,"None"))</f>
        <v/>
      </c>
      <c r="AD130" s="252" t="str">
        <f t="shared" si="10"/>
        <v/>
      </c>
      <c r="AF130" s="156" t="str">
        <f t="shared" si="6"/>
        <v/>
      </c>
      <c r="AG130" s="156" t="str">
        <f t="shared" si="7"/>
        <v/>
      </c>
      <c r="AH130" s="156" t="str">
        <f>IF(I130="","",IF(#REF!&gt;0,TRUE,FALSE))</f>
        <v/>
      </c>
      <c r="AI130" s="156">
        <v>120</v>
      </c>
      <c r="AJ130" s="156"/>
      <c r="AK130" s="156" t="str">
        <f t="array" ref="AK130">IFERROR(INDEX($AI$11:$AI$259, MATCH(0, IF(TRUE=$AF$11:$AF$259, COUNTIF($AK$10:$AK129, $AI$11:$AI$259), ""), 0)),"")</f>
        <v/>
      </c>
      <c r="AL130" s="156" t="str">
        <f t="array" ref="AL130">IFERROR(INDEX($AI$11:$AI$259, MATCH(0, IF(TRUE=$AG$11:$AG$259, COUNTIF($AL$10:$AL129, $AI$11:$AI$259), ""), 0)),"")</f>
        <v/>
      </c>
      <c r="AM130" s="156" t="str">
        <f t="array" ref="AM130">IFERROR(INDEX($AI$11:$AI$259, MATCH(0, IF(TRUE=$AH$11:$AH$259, COUNTIF($AM$10:$AM129, $AI$11:$AI$259), ""), 0)),"")</f>
        <v/>
      </c>
      <c r="AQ130" s="31">
        <f t="shared" si="11"/>
        <v>0</v>
      </c>
    </row>
    <row r="131" spans="1:43" x14ac:dyDescent="0.3">
      <c r="A131" s="31" t="str">
        <f>IFERROR(INDEX('G-1 All Habitats'!$AG$3:$AG$15,MATCH(E131,'G-1 All Habitats'!$AF$3:$AF$15,0)),"")</f>
        <v/>
      </c>
      <c r="B131" s="31" t="str">
        <f>IFERROR(INDEX('G-8 Condition Look up'!$I$4:$I$130,MATCH(G131,'G-8 Condition Look up'!$A$4:$A$130,0)),"")</f>
        <v/>
      </c>
      <c r="D131" s="141">
        <v>121</v>
      </c>
      <c r="E131" s="203"/>
      <c r="F131" s="203"/>
      <c r="G131" s="250" t="str">
        <f>IFERROR(INDEX('G-1 All Habitats'!$B$3:$B$129,MATCH(F131,'G-1 All Habitats'!$A$3:$A$129,0)),"")</f>
        <v/>
      </c>
      <c r="H131" s="172"/>
      <c r="I131" s="498" t="str">
        <f>IF(G131="","",VLOOKUP(G131,'G-1 All Habitats'!$B$2:$M$129,10,FALSE))</f>
        <v/>
      </c>
      <c r="J131" s="499" t="str">
        <f>IFERROR(VLOOKUP(I131,'G-1 All Habitats'!$V$3:$W$7,2,FALSE),"")</f>
        <v/>
      </c>
      <c r="K131" s="145"/>
      <c r="L131" s="499" t="str">
        <f>IFERROR(INDEX('G-8 Condition Look up'!$A$3:$H$130,MATCH(G131,'G-8 Condition Look up'!$A$3:$A$130,0),MATCH(K131,'G-8 Condition Look up'!$A$3:$H$3,0)),"")</f>
        <v/>
      </c>
      <c r="M131" s="154"/>
      <c r="N131" s="520" t="str">
        <f>IF(M131="","",IF(VLOOKUP(M131,'G-3 Multipliers'!$L$3:$N$6,2,FALSE)=0,"Spatial Data Missing ⚠",VLOOKUP(M131,'G-3 Multipliers'!$L$3:$N$6,2,FALSE)))</f>
        <v/>
      </c>
      <c r="O131" s="524" t="str">
        <f>IF(M131="","",IF(VLOOKUP(M131,'G-3 Multipliers'!$L$3:$N$6,3,FALSE)=0,"Spatial Data Missing ⚠",VLOOKUP(M131,'G-3 Multipliers'!$L$3:$N$6,3,FALSE)))</f>
        <v/>
      </c>
      <c r="P131" s="506" t="str">
        <f>IFERROR(VLOOKUP(G131,'G-1 All Habitats'!$B$2:$M$129,12,FALSE),"")</f>
        <v/>
      </c>
      <c r="Q131" s="513" t="str">
        <f>IFERROR(IF(P131="","",IF(AND(P131='G-1 All Habitats'!$X$3,T131&gt;0),U131+V131,IF(AND(P131='G-1 All Habitats'!$X$3,S131&gt;0),U131+V131,IF(AND(P131='G-1 All Habitats'!$X$3,AC131&gt;0),"Any Loss Unacceptable",IF(AND(P131='G-1 All Habitats'!$X$3,W131&gt;0),"Any Loss Unacceptable",H131*J131*L131*O131))))),"Check Data ⚠")</f>
        <v/>
      </c>
      <c r="R131" s="50"/>
      <c r="S131" s="71"/>
      <c r="T131" s="72"/>
      <c r="U131" s="511" t="str">
        <f t="shared" si="8"/>
        <v/>
      </c>
      <c r="V131" s="511" t="str">
        <f t="shared" si="9"/>
        <v/>
      </c>
      <c r="W131" s="511" t="str">
        <f>IF(E131="","",IF(H131&lt;S131+T131,"Error in Areas ▲",IF(P131&lt;&gt;'G-1 All Habitats'!$X$3,H131-S131-T131,IF(AND(P131='G-1 All Habitats'!$X$3,Y131="Yes"),"Unacceptable Loss ▲",IF(AND(P131='G-1 All Habitats'!$X$3,Y131="No"),AC131,IF(AND(P131='G-1 All Habitats'!$X$3,Y131=""),AC131,IF(AND(P131='G-1 All Habitats'!$X$3,AC131="None",AC131),IF(AND(P131='G-1 All Habitats'!$X$3,AC131&gt;0),H131-S131-T131))))))))</f>
        <v/>
      </c>
      <c r="X131" s="545" t="str">
        <f>IFERROR(IF(H131="","",IF(H131-S131-T131=0&lt;0,"Error in Areas ▲",IF(S131+T131&gt;H131,"Error in Areas ▲",IF(AND(P131='G-1 All Habitats'!$X$3,Y131="Yes"),"Alternative Compensation",IF(W131=0,0,IF(P131='G-1 All Habitats'!$X$3,"Unacceptable Loss",Q131-U131-V131)))))),"Check Data ⚠")</f>
        <v/>
      </c>
      <c r="Y131" s="72"/>
      <c r="Z131" s="151"/>
      <c r="AA131" s="152"/>
      <c r="AC131" s="251" t="str">
        <f>IF(P131="","",IF(P131='G-1 All Habitats'!$X$3,H131-S131-T131,"None"))</f>
        <v/>
      </c>
      <c r="AD131" s="252" t="str">
        <f t="shared" si="10"/>
        <v/>
      </c>
      <c r="AF131" s="156" t="str">
        <f t="shared" si="6"/>
        <v/>
      </c>
      <c r="AG131" s="156" t="str">
        <f t="shared" si="7"/>
        <v/>
      </c>
      <c r="AH131" s="156" t="str">
        <f>IF(I131="","",IF(#REF!&gt;0,TRUE,FALSE))</f>
        <v/>
      </c>
      <c r="AI131" s="156">
        <v>121</v>
      </c>
      <c r="AJ131" s="156"/>
      <c r="AK131" s="156" t="str">
        <f t="array" ref="AK131">IFERROR(INDEX($AI$11:$AI$259, MATCH(0, IF(TRUE=$AF$11:$AF$259, COUNTIF($AK$10:$AK130, $AI$11:$AI$259), ""), 0)),"")</f>
        <v/>
      </c>
      <c r="AL131" s="156" t="str">
        <f t="array" ref="AL131">IFERROR(INDEX($AI$11:$AI$259, MATCH(0, IF(TRUE=$AG$11:$AG$259, COUNTIF($AL$10:$AL130, $AI$11:$AI$259), ""), 0)),"")</f>
        <v/>
      </c>
      <c r="AM131" s="156" t="str">
        <f t="array" ref="AM131">IFERROR(INDEX($AI$11:$AI$259, MATCH(0, IF(TRUE=$AH$11:$AH$259, COUNTIF($AM$10:$AM130, $AI$11:$AI$259), ""), 0)),"")</f>
        <v/>
      </c>
      <c r="AQ131" s="31">
        <f t="shared" si="11"/>
        <v>0</v>
      </c>
    </row>
    <row r="132" spans="1:43" x14ac:dyDescent="0.3">
      <c r="A132" s="31" t="str">
        <f>IFERROR(INDEX('G-1 All Habitats'!$AG$3:$AG$15,MATCH(E132,'G-1 All Habitats'!$AF$3:$AF$15,0)),"")</f>
        <v/>
      </c>
      <c r="B132" s="31" t="str">
        <f>IFERROR(INDEX('G-8 Condition Look up'!$I$4:$I$130,MATCH(G132,'G-8 Condition Look up'!$A$4:$A$130,0)),"")</f>
        <v/>
      </c>
      <c r="D132" s="141">
        <v>122</v>
      </c>
      <c r="E132" s="203"/>
      <c r="F132" s="203"/>
      <c r="G132" s="250" t="str">
        <f>IFERROR(INDEX('G-1 All Habitats'!$B$3:$B$129,MATCH(F132,'G-1 All Habitats'!$A$3:$A$129,0)),"")</f>
        <v/>
      </c>
      <c r="H132" s="172"/>
      <c r="I132" s="498" t="str">
        <f>IF(G132="","",VLOOKUP(G132,'G-1 All Habitats'!$B$2:$M$129,10,FALSE))</f>
        <v/>
      </c>
      <c r="J132" s="499" t="str">
        <f>IFERROR(VLOOKUP(I132,'G-1 All Habitats'!$V$3:$W$7,2,FALSE),"")</f>
        <v/>
      </c>
      <c r="K132" s="145"/>
      <c r="L132" s="499" t="str">
        <f>IFERROR(INDEX('G-8 Condition Look up'!$A$3:$H$130,MATCH(G132,'G-8 Condition Look up'!$A$3:$A$130,0),MATCH(K132,'G-8 Condition Look up'!$A$3:$H$3,0)),"")</f>
        <v/>
      </c>
      <c r="M132" s="154"/>
      <c r="N132" s="520" t="str">
        <f>IF(M132="","",IF(VLOOKUP(M132,'G-3 Multipliers'!$L$3:$N$6,2,FALSE)=0,"Spatial Data Missing ⚠",VLOOKUP(M132,'G-3 Multipliers'!$L$3:$N$6,2,FALSE)))</f>
        <v/>
      </c>
      <c r="O132" s="524" t="str">
        <f>IF(M132="","",IF(VLOOKUP(M132,'G-3 Multipliers'!$L$3:$N$6,3,FALSE)=0,"Spatial Data Missing ⚠",VLOOKUP(M132,'G-3 Multipliers'!$L$3:$N$6,3,FALSE)))</f>
        <v/>
      </c>
      <c r="P132" s="506" t="str">
        <f>IFERROR(VLOOKUP(G132,'G-1 All Habitats'!$B$2:$M$129,12,FALSE),"")</f>
        <v/>
      </c>
      <c r="Q132" s="513" t="str">
        <f>IFERROR(IF(P132="","",IF(AND(P132='G-1 All Habitats'!$X$3,T132&gt;0),U132+V132,IF(AND(P132='G-1 All Habitats'!$X$3,S132&gt;0),U132+V132,IF(AND(P132='G-1 All Habitats'!$X$3,AC132&gt;0),"Any Loss Unacceptable",IF(AND(P132='G-1 All Habitats'!$X$3,W132&gt;0),"Any Loss Unacceptable",H132*J132*L132*O132))))),"Check Data ⚠")</f>
        <v/>
      </c>
      <c r="R132" s="50"/>
      <c r="S132" s="71"/>
      <c r="T132" s="72"/>
      <c r="U132" s="511" t="str">
        <f t="shared" si="8"/>
        <v/>
      </c>
      <c r="V132" s="511" t="str">
        <f t="shared" si="9"/>
        <v/>
      </c>
      <c r="W132" s="511" t="str">
        <f>IF(E132="","",IF(H132&lt;S132+T132,"Error in Areas ▲",IF(P132&lt;&gt;'G-1 All Habitats'!$X$3,H132-S132-T132,IF(AND(P132='G-1 All Habitats'!$X$3,Y132="Yes"),"Unacceptable Loss ▲",IF(AND(P132='G-1 All Habitats'!$X$3,Y132="No"),AC132,IF(AND(P132='G-1 All Habitats'!$X$3,Y132=""),AC132,IF(AND(P132='G-1 All Habitats'!$X$3,AC132="None",AC132),IF(AND(P132='G-1 All Habitats'!$X$3,AC132&gt;0),H132-S132-T132))))))))</f>
        <v/>
      </c>
      <c r="X132" s="545" t="str">
        <f>IFERROR(IF(H132="","",IF(H132-S132-T132=0&lt;0,"Error in Areas ▲",IF(S132+T132&gt;H132,"Error in Areas ▲",IF(AND(P132='G-1 All Habitats'!$X$3,Y132="Yes"),"Alternative Compensation",IF(W132=0,0,IF(P132='G-1 All Habitats'!$X$3,"Unacceptable Loss",Q132-U132-V132)))))),"Check Data ⚠")</f>
        <v/>
      </c>
      <c r="Y132" s="72"/>
      <c r="Z132" s="151"/>
      <c r="AA132" s="152"/>
      <c r="AC132" s="251" t="str">
        <f>IF(P132="","",IF(P132='G-1 All Habitats'!$X$3,H132-S132-T132,"None"))</f>
        <v/>
      </c>
      <c r="AD132" s="252" t="str">
        <f t="shared" si="10"/>
        <v/>
      </c>
      <c r="AF132" s="156" t="str">
        <f t="shared" si="6"/>
        <v/>
      </c>
      <c r="AG132" s="156" t="str">
        <f t="shared" si="7"/>
        <v/>
      </c>
      <c r="AH132" s="156" t="str">
        <f>IF(I132="","",IF(#REF!&gt;0,TRUE,FALSE))</f>
        <v/>
      </c>
      <c r="AI132" s="156">
        <v>122</v>
      </c>
      <c r="AJ132" s="156"/>
      <c r="AK132" s="156" t="str">
        <f t="array" ref="AK132">IFERROR(INDEX($AI$11:$AI$259, MATCH(0, IF(TRUE=$AF$11:$AF$259, COUNTIF($AK$10:$AK131, $AI$11:$AI$259), ""), 0)),"")</f>
        <v/>
      </c>
      <c r="AL132" s="156" t="str">
        <f t="array" ref="AL132">IFERROR(INDEX($AI$11:$AI$259, MATCH(0, IF(TRUE=$AG$11:$AG$259, COUNTIF($AL$10:$AL131, $AI$11:$AI$259), ""), 0)),"")</f>
        <v/>
      </c>
      <c r="AM132" s="156" t="str">
        <f t="array" ref="AM132">IFERROR(INDEX($AI$11:$AI$259, MATCH(0, IF(TRUE=$AH$11:$AH$259, COUNTIF($AM$10:$AM131, $AI$11:$AI$259), ""), 0)),"")</f>
        <v/>
      </c>
      <c r="AQ132" s="31">
        <f t="shared" si="11"/>
        <v>0</v>
      </c>
    </row>
    <row r="133" spans="1:43" x14ac:dyDescent="0.3">
      <c r="A133" s="31" t="str">
        <f>IFERROR(INDEX('G-1 All Habitats'!$AG$3:$AG$15,MATCH(E133,'G-1 All Habitats'!$AF$3:$AF$15,0)),"")</f>
        <v/>
      </c>
      <c r="B133" s="31" t="str">
        <f>IFERROR(INDEX('G-8 Condition Look up'!$I$4:$I$130,MATCH(G133,'G-8 Condition Look up'!$A$4:$A$130,0)),"")</f>
        <v/>
      </c>
      <c r="D133" s="141">
        <v>123</v>
      </c>
      <c r="E133" s="203"/>
      <c r="F133" s="203"/>
      <c r="G133" s="250" t="str">
        <f>IFERROR(INDEX('G-1 All Habitats'!$B$3:$B$129,MATCH(F133,'G-1 All Habitats'!$A$3:$A$129,0)),"")</f>
        <v/>
      </c>
      <c r="H133" s="172"/>
      <c r="I133" s="498" t="str">
        <f>IF(G133="","",VLOOKUP(G133,'G-1 All Habitats'!$B$2:$M$129,10,FALSE))</f>
        <v/>
      </c>
      <c r="J133" s="499" t="str">
        <f>IFERROR(VLOOKUP(I133,'G-1 All Habitats'!$V$3:$W$7,2,FALSE),"")</f>
        <v/>
      </c>
      <c r="K133" s="145"/>
      <c r="L133" s="499" t="str">
        <f>IFERROR(INDEX('G-8 Condition Look up'!$A$3:$H$130,MATCH(G133,'G-8 Condition Look up'!$A$3:$A$130,0),MATCH(K133,'G-8 Condition Look up'!$A$3:$H$3,0)),"")</f>
        <v/>
      </c>
      <c r="M133" s="154"/>
      <c r="N133" s="520" t="str">
        <f>IF(M133="","",IF(VLOOKUP(M133,'G-3 Multipliers'!$L$3:$N$6,2,FALSE)=0,"Spatial Data Missing ⚠",VLOOKUP(M133,'G-3 Multipliers'!$L$3:$N$6,2,FALSE)))</f>
        <v/>
      </c>
      <c r="O133" s="524" t="str">
        <f>IF(M133="","",IF(VLOOKUP(M133,'G-3 Multipliers'!$L$3:$N$6,3,FALSE)=0,"Spatial Data Missing ⚠",VLOOKUP(M133,'G-3 Multipliers'!$L$3:$N$6,3,FALSE)))</f>
        <v/>
      </c>
      <c r="P133" s="506" t="str">
        <f>IFERROR(VLOOKUP(G133,'G-1 All Habitats'!$B$2:$M$129,12,FALSE),"")</f>
        <v/>
      </c>
      <c r="Q133" s="513" t="str">
        <f>IFERROR(IF(P133="","",IF(AND(P133='G-1 All Habitats'!$X$3,T133&gt;0),U133+V133,IF(AND(P133='G-1 All Habitats'!$X$3,S133&gt;0),U133+V133,IF(AND(P133='G-1 All Habitats'!$X$3,AC133&gt;0),"Any Loss Unacceptable",IF(AND(P133='G-1 All Habitats'!$X$3,W133&gt;0),"Any Loss Unacceptable",H133*J133*L133*O133))))),"Check Data ⚠")</f>
        <v/>
      </c>
      <c r="R133" s="50"/>
      <c r="S133" s="71"/>
      <c r="T133" s="72"/>
      <c r="U133" s="511" t="str">
        <f t="shared" si="8"/>
        <v/>
      </c>
      <c r="V133" s="511" t="str">
        <f t="shared" si="9"/>
        <v/>
      </c>
      <c r="W133" s="511" t="str">
        <f>IF(E133="","",IF(H133&lt;S133+T133,"Error in Areas ▲",IF(P133&lt;&gt;'G-1 All Habitats'!$X$3,H133-S133-T133,IF(AND(P133='G-1 All Habitats'!$X$3,Y133="Yes"),"Unacceptable Loss ▲",IF(AND(P133='G-1 All Habitats'!$X$3,Y133="No"),AC133,IF(AND(P133='G-1 All Habitats'!$X$3,Y133=""),AC133,IF(AND(P133='G-1 All Habitats'!$X$3,AC133="None",AC133),IF(AND(P133='G-1 All Habitats'!$X$3,AC133&gt;0),H133-S133-T133))))))))</f>
        <v/>
      </c>
      <c r="X133" s="545" t="str">
        <f>IFERROR(IF(H133="","",IF(H133-S133-T133=0&lt;0,"Error in Areas ▲",IF(S133+T133&gt;H133,"Error in Areas ▲",IF(AND(P133='G-1 All Habitats'!$X$3,Y133="Yes"),"Alternative Compensation",IF(W133=0,0,IF(P133='G-1 All Habitats'!$X$3,"Unacceptable Loss",Q133-U133-V133)))))),"Check Data ⚠")</f>
        <v/>
      </c>
      <c r="Y133" s="72"/>
      <c r="Z133" s="151"/>
      <c r="AA133" s="152"/>
      <c r="AC133" s="251" t="str">
        <f>IF(P133="","",IF(P133='G-1 All Habitats'!$X$3,H133-S133-T133,"None"))</f>
        <v/>
      </c>
      <c r="AD133" s="252" t="str">
        <f t="shared" si="10"/>
        <v/>
      </c>
      <c r="AF133" s="156" t="str">
        <f t="shared" si="6"/>
        <v/>
      </c>
      <c r="AG133" s="156" t="str">
        <f t="shared" si="7"/>
        <v/>
      </c>
      <c r="AH133" s="156" t="str">
        <f>IF(I133="","",IF(#REF!&gt;0,TRUE,FALSE))</f>
        <v/>
      </c>
      <c r="AI133" s="156">
        <v>123</v>
      </c>
      <c r="AJ133" s="156"/>
      <c r="AK133" s="156" t="str">
        <f t="array" ref="AK133">IFERROR(INDEX($AI$11:$AI$259, MATCH(0, IF(TRUE=$AF$11:$AF$259, COUNTIF($AK$10:$AK132, $AI$11:$AI$259), ""), 0)),"")</f>
        <v/>
      </c>
      <c r="AL133" s="156" t="str">
        <f t="array" ref="AL133">IFERROR(INDEX($AI$11:$AI$259, MATCH(0, IF(TRUE=$AG$11:$AG$259, COUNTIF($AL$10:$AL132, $AI$11:$AI$259), ""), 0)),"")</f>
        <v/>
      </c>
      <c r="AM133" s="156" t="str">
        <f t="array" ref="AM133">IFERROR(INDEX($AI$11:$AI$259, MATCH(0, IF(TRUE=$AH$11:$AH$259, COUNTIF($AM$10:$AM132, $AI$11:$AI$259), ""), 0)),"")</f>
        <v/>
      </c>
      <c r="AQ133" s="31">
        <f t="shared" si="11"/>
        <v>0</v>
      </c>
    </row>
    <row r="134" spans="1:43" x14ac:dyDescent="0.3">
      <c r="A134" s="31" t="str">
        <f>IFERROR(INDEX('G-1 All Habitats'!$AG$3:$AG$15,MATCH(E134,'G-1 All Habitats'!$AF$3:$AF$15,0)),"")</f>
        <v/>
      </c>
      <c r="B134" s="31" t="str">
        <f>IFERROR(INDEX('G-8 Condition Look up'!$I$4:$I$130,MATCH(G134,'G-8 Condition Look up'!$A$4:$A$130,0)),"")</f>
        <v/>
      </c>
      <c r="D134" s="141">
        <v>124</v>
      </c>
      <c r="E134" s="203"/>
      <c r="F134" s="203"/>
      <c r="G134" s="250" t="str">
        <f>IFERROR(INDEX('G-1 All Habitats'!$B$3:$B$129,MATCH(F134,'G-1 All Habitats'!$A$3:$A$129,0)),"")</f>
        <v/>
      </c>
      <c r="H134" s="172"/>
      <c r="I134" s="498" t="str">
        <f>IF(G134="","",VLOOKUP(G134,'G-1 All Habitats'!$B$2:$M$129,10,FALSE))</f>
        <v/>
      </c>
      <c r="J134" s="499" t="str">
        <f>IFERROR(VLOOKUP(I134,'G-1 All Habitats'!$V$3:$W$7,2,FALSE),"")</f>
        <v/>
      </c>
      <c r="K134" s="145"/>
      <c r="L134" s="499" t="str">
        <f>IFERROR(INDEX('G-8 Condition Look up'!$A$3:$H$130,MATCH(G134,'G-8 Condition Look up'!$A$3:$A$130,0),MATCH(K134,'G-8 Condition Look up'!$A$3:$H$3,0)),"")</f>
        <v/>
      </c>
      <c r="M134" s="154"/>
      <c r="N134" s="520" t="str">
        <f>IF(M134="","",IF(VLOOKUP(M134,'G-3 Multipliers'!$L$3:$N$6,2,FALSE)=0,"Spatial Data Missing ⚠",VLOOKUP(M134,'G-3 Multipliers'!$L$3:$N$6,2,FALSE)))</f>
        <v/>
      </c>
      <c r="O134" s="524" t="str">
        <f>IF(M134="","",IF(VLOOKUP(M134,'G-3 Multipliers'!$L$3:$N$6,3,FALSE)=0,"Spatial Data Missing ⚠",VLOOKUP(M134,'G-3 Multipliers'!$L$3:$N$6,3,FALSE)))</f>
        <v/>
      </c>
      <c r="P134" s="506" t="str">
        <f>IFERROR(VLOOKUP(G134,'G-1 All Habitats'!$B$2:$M$129,12,FALSE),"")</f>
        <v/>
      </c>
      <c r="Q134" s="513" t="str">
        <f>IFERROR(IF(P134="","",IF(AND(P134='G-1 All Habitats'!$X$3,T134&gt;0),U134+V134,IF(AND(P134='G-1 All Habitats'!$X$3,S134&gt;0),U134+V134,IF(AND(P134='G-1 All Habitats'!$X$3,AC134&gt;0),"Any Loss Unacceptable",IF(AND(P134='G-1 All Habitats'!$X$3,W134&gt;0),"Any Loss Unacceptable",H134*J134*L134*O134))))),"Check Data ⚠")</f>
        <v/>
      </c>
      <c r="R134" s="50"/>
      <c r="S134" s="71"/>
      <c r="T134" s="72"/>
      <c r="U134" s="511" t="str">
        <f t="shared" si="8"/>
        <v/>
      </c>
      <c r="V134" s="511" t="str">
        <f t="shared" si="9"/>
        <v/>
      </c>
      <c r="W134" s="511" t="str">
        <f>IF(E134="","",IF(H134&lt;S134+T134,"Error in Areas ▲",IF(P134&lt;&gt;'G-1 All Habitats'!$X$3,H134-S134-T134,IF(AND(P134='G-1 All Habitats'!$X$3,Y134="Yes"),"Unacceptable Loss ▲",IF(AND(P134='G-1 All Habitats'!$X$3,Y134="No"),AC134,IF(AND(P134='G-1 All Habitats'!$X$3,Y134=""),AC134,IF(AND(P134='G-1 All Habitats'!$X$3,AC134="None",AC134),IF(AND(P134='G-1 All Habitats'!$X$3,AC134&gt;0),H134-S134-T134))))))))</f>
        <v/>
      </c>
      <c r="X134" s="545" t="str">
        <f>IFERROR(IF(H134="","",IF(H134-S134-T134=0&lt;0,"Error in Areas ▲",IF(S134+T134&gt;H134,"Error in Areas ▲",IF(AND(P134='G-1 All Habitats'!$X$3,Y134="Yes"),"Alternative Compensation",IF(W134=0,0,IF(P134='G-1 All Habitats'!$X$3,"Unacceptable Loss",Q134-U134-V134)))))),"Check Data ⚠")</f>
        <v/>
      </c>
      <c r="Y134" s="72"/>
      <c r="Z134" s="151"/>
      <c r="AA134" s="152"/>
      <c r="AC134" s="251" t="str">
        <f>IF(P134="","",IF(P134='G-1 All Habitats'!$X$3,H134-S134-T134,"None"))</f>
        <v/>
      </c>
      <c r="AD134" s="252" t="str">
        <f t="shared" si="10"/>
        <v/>
      </c>
      <c r="AF134" s="156" t="str">
        <f t="shared" si="6"/>
        <v/>
      </c>
      <c r="AG134" s="156" t="str">
        <f t="shared" si="7"/>
        <v/>
      </c>
      <c r="AH134" s="156" t="str">
        <f>IF(I134="","",IF(#REF!&gt;0,TRUE,FALSE))</f>
        <v/>
      </c>
      <c r="AI134" s="156">
        <v>124</v>
      </c>
      <c r="AJ134" s="156"/>
      <c r="AK134" s="156" t="str">
        <f t="array" ref="AK134">IFERROR(INDEX($AI$11:$AI$259, MATCH(0, IF(TRUE=$AF$11:$AF$259, COUNTIF($AK$10:$AK133, $AI$11:$AI$259), ""), 0)),"")</f>
        <v/>
      </c>
      <c r="AL134" s="156" t="str">
        <f t="array" ref="AL134">IFERROR(INDEX($AI$11:$AI$259, MATCH(0, IF(TRUE=$AG$11:$AG$259, COUNTIF($AL$10:$AL133, $AI$11:$AI$259), ""), 0)),"")</f>
        <v/>
      </c>
      <c r="AM134" s="156" t="str">
        <f t="array" ref="AM134">IFERROR(INDEX($AI$11:$AI$259, MATCH(0, IF(TRUE=$AH$11:$AH$259, COUNTIF($AM$10:$AM133, $AI$11:$AI$259), ""), 0)),"")</f>
        <v/>
      </c>
      <c r="AQ134" s="31">
        <f t="shared" si="11"/>
        <v>0</v>
      </c>
    </row>
    <row r="135" spans="1:43" x14ac:dyDescent="0.3">
      <c r="A135" s="31" t="str">
        <f>IFERROR(INDEX('G-1 All Habitats'!$AG$3:$AG$15,MATCH(E135,'G-1 All Habitats'!$AF$3:$AF$15,0)),"")</f>
        <v/>
      </c>
      <c r="B135" s="31" t="str">
        <f>IFERROR(INDEX('G-8 Condition Look up'!$I$4:$I$130,MATCH(G135,'G-8 Condition Look up'!$A$4:$A$130,0)),"")</f>
        <v/>
      </c>
      <c r="D135" s="141">
        <v>125</v>
      </c>
      <c r="E135" s="203"/>
      <c r="F135" s="203"/>
      <c r="G135" s="250" t="str">
        <f>IFERROR(INDEX('G-1 All Habitats'!$B$3:$B$129,MATCH(F135,'G-1 All Habitats'!$A$3:$A$129,0)),"")</f>
        <v/>
      </c>
      <c r="H135" s="172"/>
      <c r="I135" s="498" t="str">
        <f>IF(G135="","",VLOOKUP(G135,'G-1 All Habitats'!$B$2:$M$129,10,FALSE))</f>
        <v/>
      </c>
      <c r="J135" s="499" t="str">
        <f>IFERROR(VLOOKUP(I135,'G-1 All Habitats'!$V$3:$W$7,2,FALSE),"")</f>
        <v/>
      </c>
      <c r="K135" s="145"/>
      <c r="L135" s="499" t="str">
        <f>IFERROR(INDEX('G-8 Condition Look up'!$A$3:$H$130,MATCH(G135,'G-8 Condition Look up'!$A$3:$A$130,0),MATCH(K135,'G-8 Condition Look up'!$A$3:$H$3,0)),"")</f>
        <v/>
      </c>
      <c r="M135" s="154"/>
      <c r="N135" s="520" t="str">
        <f>IF(M135="","",IF(VLOOKUP(M135,'G-3 Multipliers'!$L$3:$N$6,2,FALSE)=0,"Spatial Data Missing ⚠",VLOOKUP(M135,'G-3 Multipliers'!$L$3:$N$6,2,FALSE)))</f>
        <v/>
      </c>
      <c r="O135" s="524" t="str">
        <f>IF(M135="","",IF(VLOOKUP(M135,'G-3 Multipliers'!$L$3:$N$6,3,FALSE)=0,"Spatial Data Missing ⚠",VLOOKUP(M135,'G-3 Multipliers'!$L$3:$N$6,3,FALSE)))</f>
        <v/>
      </c>
      <c r="P135" s="506" t="str">
        <f>IFERROR(VLOOKUP(G135,'G-1 All Habitats'!$B$2:$M$129,12,FALSE),"")</f>
        <v/>
      </c>
      <c r="Q135" s="513" t="str">
        <f>IFERROR(IF(P135="","",IF(AND(P135='G-1 All Habitats'!$X$3,T135&gt;0),U135+V135,IF(AND(P135='G-1 All Habitats'!$X$3,S135&gt;0),U135+V135,IF(AND(P135='G-1 All Habitats'!$X$3,AC135&gt;0),"Any Loss Unacceptable",IF(AND(P135='G-1 All Habitats'!$X$3,W135&gt;0),"Any Loss Unacceptable",H135*J135*L135*O135))))),"Check Data ⚠")</f>
        <v/>
      </c>
      <c r="R135" s="50"/>
      <c r="S135" s="71"/>
      <c r="T135" s="72"/>
      <c r="U135" s="511" t="str">
        <f t="shared" si="8"/>
        <v/>
      </c>
      <c r="V135" s="511" t="str">
        <f t="shared" si="9"/>
        <v/>
      </c>
      <c r="W135" s="511" t="str">
        <f>IF(E135="","",IF(H135&lt;S135+T135,"Error in Areas ▲",IF(P135&lt;&gt;'G-1 All Habitats'!$X$3,H135-S135-T135,IF(AND(P135='G-1 All Habitats'!$X$3,Y135="Yes"),"Unacceptable Loss ▲",IF(AND(P135='G-1 All Habitats'!$X$3,Y135="No"),AC135,IF(AND(P135='G-1 All Habitats'!$X$3,Y135=""),AC135,IF(AND(P135='G-1 All Habitats'!$X$3,AC135="None",AC135),IF(AND(P135='G-1 All Habitats'!$X$3,AC135&gt;0),H135-S135-T135))))))))</f>
        <v/>
      </c>
      <c r="X135" s="545" t="str">
        <f>IFERROR(IF(H135="","",IF(H135-S135-T135=0&lt;0,"Error in Areas ▲",IF(S135+T135&gt;H135,"Error in Areas ▲",IF(AND(P135='G-1 All Habitats'!$X$3,Y135="Yes"),"Alternative Compensation",IF(W135=0,0,IF(P135='G-1 All Habitats'!$X$3,"Unacceptable Loss",Q135-U135-V135)))))),"Check Data ⚠")</f>
        <v/>
      </c>
      <c r="Y135" s="72"/>
      <c r="Z135" s="151"/>
      <c r="AA135" s="152"/>
      <c r="AC135" s="251" t="str">
        <f>IF(P135="","",IF(P135='G-1 All Habitats'!$X$3,H135-S135-T135,"None"))</f>
        <v/>
      </c>
      <c r="AD135" s="252" t="str">
        <f t="shared" si="10"/>
        <v/>
      </c>
      <c r="AF135" s="156" t="str">
        <f t="shared" si="6"/>
        <v/>
      </c>
      <c r="AG135" s="156" t="str">
        <f t="shared" si="7"/>
        <v/>
      </c>
      <c r="AH135" s="156" t="str">
        <f>IF(I135="","",IF(#REF!&gt;0,TRUE,FALSE))</f>
        <v/>
      </c>
      <c r="AI135" s="156">
        <v>125</v>
      </c>
      <c r="AJ135" s="156"/>
      <c r="AK135" s="156" t="str">
        <f t="array" ref="AK135">IFERROR(INDEX($AI$11:$AI$259, MATCH(0, IF(TRUE=$AF$11:$AF$259, COUNTIF($AK$10:$AK134, $AI$11:$AI$259), ""), 0)),"")</f>
        <v/>
      </c>
      <c r="AL135" s="156" t="str">
        <f t="array" ref="AL135">IFERROR(INDEX($AI$11:$AI$259, MATCH(0, IF(TRUE=$AG$11:$AG$259, COUNTIF($AL$10:$AL134, $AI$11:$AI$259), ""), 0)),"")</f>
        <v/>
      </c>
      <c r="AM135" s="156" t="str">
        <f t="array" ref="AM135">IFERROR(INDEX($AI$11:$AI$259, MATCH(0, IF(TRUE=$AH$11:$AH$259, COUNTIF($AM$10:$AM134, $AI$11:$AI$259), ""), 0)),"")</f>
        <v/>
      </c>
      <c r="AQ135" s="31">
        <f t="shared" si="11"/>
        <v>0</v>
      </c>
    </row>
    <row r="136" spans="1:43" x14ac:dyDescent="0.3">
      <c r="A136" s="31" t="str">
        <f>IFERROR(INDEX('G-1 All Habitats'!$AG$3:$AG$15,MATCH(E136,'G-1 All Habitats'!$AF$3:$AF$15,0)),"")</f>
        <v/>
      </c>
      <c r="B136" s="31" t="str">
        <f>IFERROR(INDEX('G-8 Condition Look up'!$I$4:$I$130,MATCH(G136,'G-8 Condition Look up'!$A$4:$A$130,0)),"")</f>
        <v/>
      </c>
      <c r="D136" s="141">
        <v>126</v>
      </c>
      <c r="E136" s="203"/>
      <c r="F136" s="203"/>
      <c r="G136" s="250" t="str">
        <f>IFERROR(INDEX('G-1 All Habitats'!$B$3:$B$129,MATCH(F136,'G-1 All Habitats'!$A$3:$A$129,0)),"")</f>
        <v/>
      </c>
      <c r="H136" s="172"/>
      <c r="I136" s="498" t="str">
        <f>IF(G136="","",VLOOKUP(G136,'G-1 All Habitats'!$B$2:$M$129,10,FALSE))</f>
        <v/>
      </c>
      <c r="J136" s="499" t="str">
        <f>IFERROR(VLOOKUP(I136,'G-1 All Habitats'!$V$3:$W$7,2,FALSE),"")</f>
        <v/>
      </c>
      <c r="K136" s="145"/>
      <c r="L136" s="499" t="str">
        <f>IFERROR(INDEX('G-8 Condition Look up'!$A$3:$H$130,MATCH(G136,'G-8 Condition Look up'!$A$3:$A$130,0),MATCH(K136,'G-8 Condition Look up'!$A$3:$H$3,0)),"")</f>
        <v/>
      </c>
      <c r="M136" s="154"/>
      <c r="N136" s="520" t="str">
        <f>IF(M136="","",IF(VLOOKUP(M136,'G-3 Multipliers'!$L$3:$N$6,2,FALSE)=0,"Spatial Data Missing ⚠",VLOOKUP(M136,'G-3 Multipliers'!$L$3:$N$6,2,FALSE)))</f>
        <v/>
      </c>
      <c r="O136" s="524" t="str">
        <f>IF(M136="","",IF(VLOOKUP(M136,'G-3 Multipliers'!$L$3:$N$6,3,FALSE)=0,"Spatial Data Missing ⚠",VLOOKUP(M136,'G-3 Multipliers'!$L$3:$N$6,3,FALSE)))</f>
        <v/>
      </c>
      <c r="P136" s="506" t="str">
        <f>IFERROR(VLOOKUP(G136,'G-1 All Habitats'!$B$2:$M$129,12,FALSE),"")</f>
        <v/>
      </c>
      <c r="Q136" s="513" t="str">
        <f>IFERROR(IF(P136="","",IF(AND(P136='G-1 All Habitats'!$X$3,T136&gt;0),U136+V136,IF(AND(P136='G-1 All Habitats'!$X$3,S136&gt;0),U136+V136,IF(AND(P136='G-1 All Habitats'!$X$3,AC136&gt;0),"Any Loss Unacceptable",IF(AND(P136='G-1 All Habitats'!$X$3,W136&gt;0),"Any Loss Unacceptable",H136*J136*L136*O136))))),"Check Data ⚠")</f>
        <v/>
      </c>
      <c r="R136" s="50"/>
      <c r="S136" s="71"/>
      <c r="T136" s="72"/>
      <c r="U136" s="511" t="str">
        <f t="shared" si="8"/>
        <v/>
      </c>
      <c r="V136" s="511" t="str">
        <f t="shared" si="9"/>
        <v/>
      </c>
      <c r="W136" s="511" t="str">
        <f>IF(E136="","",IF(H136&lt;S136+T136,"Error in Areas ▲",IF(P136&lt;&gt;'G-1 All Habitats'!$X$3,H136-S136-T136,IF(AND(P136='G-1 All Habitats'!$X$3,Y136="Yes"),"Unacceptable Loss ▲",IF(AND(P136='G-1 All Habitats'!$X$3,Y136="No"),AC136,IF(AND(P136='G-1 All Habitats'!$X$3,Y136=""),AC136,IF(AND(P136='G-1 All Habitats'!$X$3,AC136="None",AC136),IF(AND(P136='G-1 All Habitats'!$X$3,AC136&gt;0),H136-S136-T136))))))))</f>
        <v/>
      </c>
      <c r="X136" s="545" t="str">
        <f>IFERROR(IF(H136="","",IF(H136-S136-T136=0&lt;0,"Error in Areas ▲",IF(S136+T136&gt;H136,"Error in Areas ▲",IF(AND(P136='G-1 All Habitats'!$X$3,Y136="Yes"),"Alternative Compensation",IF(W136=0,0,IF(P136='G-1 All Habitats'!$X$3,"Unacceptable Loss",Q136-U136-V136)))))),"Check Data ⚠")</f>
        <v/>
      </c>
      <c r="Y136" s="72"/>
      <c r="Z136" s="151"/>
      <c r="AA136" s="152"/>
      <c r="AC136" s="251" t="str">
        <f>IF(P136="","",IF(P136='G-1 All Habitats'!$X$3,H136-S136-T136,"None"))</f>
        <v/>
      </c>
      <c r="AD136" s="252" t="str">
        <f t="shared" si="10"/>
        <v/>
      </c>
      <c r="AF136" s="156" t="str">
        <f t="shared" si="6"/>
        <v/>
      </c>
      <c r="AG136" s="156" t="str">
        <f t="shared" si="7"/>
        <v/>
      </c>
      <c r="AH136" s="156" t="str">
        <f>IF(I136="","",IF(#REF!&gt;0,TRUE,FALSE))</f>
        <v/>
      </c>
      <c r="AI136" s="156">
        <v>126</v>
      </c>
      <c r="AJ136" s="156"/>
      <c r="AK136" s="156" t="str">
        <f t="array" ref="AK136">IFERROR(INDEX($AI$11:$AI$259, MATCH(0, IF(TRUE=$AF$11:$AF$259, COUNTIF($AK$10:$AK135, $AI$11:$AI$259), ""), 0)),"")</f>
        <v/>
      </c>
      <c r="AL136" s="156" t="str">
        <f t="array" ref="AL136">IFERROR(INDEX($AI$11:$AI$259, MATCH(0, IF(TRUE=$AG$11:$AG$259, COUNTIF($AL$10:$AL135, $AI$11:$AI$259), ""), 0)),"")</f>
        <v/>
      </c>
      <c r="AM136" s="156" t="str">
        <f t="array" ref="AM136">IFERROR(INDEX($AI$11:$AI$259, MATCH(0, IF(TRUE=$AH$11:$AH$259, COUNTIF($AM$10:$AM135, $AI$11:$AI$259), ""), 0)),"")</f>
        <v/>
      </c>
      <c r="AQ136" s="31">
        <f t="shared" si="11"/>
        <v>0</v>
      </c>
    </row>
    <row r="137" spans="1:43" x14ac:dyDescent="0.3">
      <c r="A137" s="31" t="str">
        <f>IFERROR(INDEX('G-1 All Habitats'!$AG$3:$AG$15,MATCH(E137,'G-1 All Habitats'!$AF$3:$AF$15,0)),"")</f>
        <v/>
      </c>
      <c r="B137" s="31" t="str">
        <f>IFERROR(INDEX('G-8 Condition Look up'!$I$4:$I$130,MATCH(G137,'G-8 Condition Look up'!$A$4:$A$130,0)),"")</f>
        <v/>
      </c>
      <c r="D137" s="141">
        <v>127</v>
      </c>
      <c r="E137" s="203"/>
      <c r="F137" s="203"/>
      <c r="G137" s="250" t="str">
        <f>IFERROR(INDEX('G-1 All Habitats'!$B$3:$B$129,MATCH(F137,'G-1 All Habitats'!$A$3:$A$129,0)),"")</f>
        <v/>
      </c>
      <c r="H137" s="172"/>
      <c r="I137" s="498" t="str">
        <f>IF(G137="","",VLOOKUP(G137,'G-1 All Habitats'!$B$2:$M$129,10,FALSE))</f>
        <v/>
      </c>
      <c r="J137" s="499" t="str">
        <f>IFERROR(VLOOKUP(I137,'G-1 All Habitats'!$V$3:$W$7,2,FALSE),"")</f>
        <v/>
      </c>
      <c r="K137" s="145"/>
      <c r="L137" s="499" t="str">
        <f>IFERROR(INDEX('G-8 Condition Look up'!$A$3:$H$130,MATCH(G137,'G-8 Condition Look up'!$A$3:$A$130,0),MATCH(K137,'G-8 Condition Look up'!$A$3:$H$3,0)),"")</f>
        <v/>
      </c>
      <c r="M137" s="154"/>
      <c r="N137" s="520" t="str">
        <f>IF(M137="","",IF(VLOOKUP(M137,'G-3 Multipliers'!$L$3:$N$6,2,FALSE)=0,"Spatial Data Missing ⚠",VLOOKUP(M137,'G-3 Multipliers'!$L$3:$N$6,2,FALSE)))</f>
        <v/>
      </c>
      <c r="O137" s="524" t="str">
        <f>IF(M137="","",IF(VLOOKUP(M137,'G-3 Multipliers'!$L$3:$N$6,3,FALSE)=0,"Spatial Data Missing ⚠",VLOOKUP(M137,'G-3 Multipliers'!$L$3:$N$6,3,FALSE)))</f>
        <v/>
      </c>
      <c r="P137" s="506" t="str">
        <f>IFERROR(VLOOKUP(G137,'G-1 All Habitats'!$B$2:$M$129,12,FALSE),"")</f>
        <v/>
      </c>
      <c r="Q137" s="513" t="str">
        <f>IFERROR(IF(P137="","",IF(AND(P137='G-1 All Habitats'!$X$3,T137&gt;0),U137+V137,IF(AND(P137='G-1 All Habitats'!$X$3,S137&gt;0),U137+V137,IF(AND(P137='G-1 All Habitats'!$X$3,AC137&gt;0),"Any Loss Unacceptable",IF(AND(P137='G-1 All Habitats'!$X$3,W137&gt;0),"Any Loss Unacceptable",H137*J137*L137*O137))))),"Check Data ⚠")</f>
        <v/>
      </c>
      <c r="R137" s="50"/>
      <c r="S137" s="71"/>
      <c r="T137" s="72"/>
      <c r="U137" s="511" t="str">
        <f t="shared" si="8"/>
        <v/>
      </c>
      <c r="V137" s="511" t="str">
        <f t="shared" si="9"/>
        <v/>
      </c>
      <c r="W137" s="511" t="str">
        <f>IF(E137="","",IF(H137&lt;S137+T137,"Error in Areas ▲",IF(P137&lt;&gt;'G-1 All Habitats'!$X$3,H137-S137-T137,IF(AND(P137='G-1 All Habitats'!$X$3,Y137="Yes"),"Unacceptable Loss ▲",IF(AND(P137='G-1 All Habitats'!$X$3,Y137="No"),AC137,IF(AND(P137='G-1 All Habitats'!$X$3,Y137=""),AC137,IF(AND(P137='G-1 All Habitats'!$X$3,AC137="None",AC137),IF(AND(P137='G-1 All Habitats'!$X$3,AC137&gt;0),H137-S137-T137))))))))</f>
        <v/>
      </c>
      <c r="X137" s="545" t="str">
        <f>IFERROR(IF(H137="","",IF(H137-S137-T137=0&lt;0,"Error in Areas ▲",IF(S137+T137&gt;H137,"Error in Areas ▲",IF(AND(P137='G-1 All Habitats'!$X$3,Y137="Yes"),"Alternative Compensation",IF(W137=0,0,IF(P137='G-1 All Habitats'!$X$3,"Unacceptable Loss",Q137-U137-V137)))))),"Check Data ⚠")</f>
        <v/>
      </c>
      <c r="Y137" s="72"/>
      <c r="Z137" s="151"/>
      <c r="AA137" s="152"/>
      <c r="AC137" s="251" t="str">
        <f>IF(P137="","",IF(P137='G-1 All Habitats'!$X$3,H137-S137-T137,"None"))</f>
        <v/>
      </c>
      <c r="AD137" s="252" t="str">
        <f t="shared" si="10"/>
        <v/>
      </c>
      <c r="AF137" s="156" t="str">
        <f t="shared" si="6"/>
        <v/>
      </c>
      <c r="AG137" s="156" t="str">
        <f t="shared" si="7"/>
        <v/>
      </c>
      <c r="AH137" s="156" t="str">
        <f>IF(I137="","",IF(#REF!&gt;0,TRUE,FALSE))</f>
        <v/>
      </c>
      <c r="AI137" s="156">
        <v>127</v>
      </c>
      <c r="AJ137" s="156"/>
      <c r="AK137" s="156" t="str">
        <f t="array" ref="AK137">IFERROR(INDEX($AI$11:$AI$259, MATCH(0, IF(TRUE=$AF$11:$AF$259, COUNTIF($AK$10:$AK136, $AI$11:$AI$259), ""), 0)),"")</f>
        <v/>
      </c>
      <c r="AL137" s="156" t="str">
        <f t="array" ref="AL137">IFERROR(INDEX($AI$11:$AI$259, MATCH(0, IF(TRUE=$AG$11:$AG$259, COUNTIF($AL$10:$AL136, $AI$11:$AI$259), ""), 0)),"")</f>
        <v/>
      </c>
      <c r="AM137" s="156" t="str">
        <f t="array" ref="AM137">IFERROR(INDEX($AI$11:$AI$259, MATCH(0, IF(TRUE=$AH$11:$AH$259, COUNTIF($AM$10:$AM136, $AI$11:$AI$259), ""), 0)),"")</f>
        <v/>
      </c>
      <c r="AQ137" s="31">
        <f t="shared" si="11"/>
        <v>0</v>
      </c>
    </row>
    <row r="138" spans="1:43" x14ac:dyDescent="0.3">
      <c r="A138" s="31" t="str">
        <f>IFERROR(INDEX('G-1 All Habitats'!$AG$3:$AG$15,MATCH(E138,'G-1 All Habitats'!$AF$3:$AF$15,0)),"")</f>
        <v/>
      </c>
      <c r="B138" s="31" t="str">
        <f>IFERROR(INDEX('G-8 Condition Look up'!$I$4:$I$130,MATCH(G138,'G-8 Condition Look up'!$A$4:$A$130,0)),"")</f>
        <v/>
      </c>
      <c r="D138" s="141">
        <v>128</v>
      </c>
      <c r="E138" s="203"/>
      <c r="F138" s="203"/>
      <c r="G138" s="250" t="str">
        <f>IFERROR(INDEX('G-1 All Habitats'!$B$3:$B$129,MATCH(F138,'G-1 All Habitats'!$A$3:$A$129,0)),"")</f>
        <v/>
      </c>
      <c r="H138" s="172"/>
      <c r="I138" s="498" t="str">
        <f>IF(G138="","",VLOOKUP(G138,'G-1 All Habitats'!$B$2:$M$129,10,FALSE))</f>
        <v/>
      </c>
      <c r="J138" s="499" t="str">
        <f>IFERROR(VLOOKUP(I138,'G-1 All Habitats'!$V$3:$W$7,2,FALSE),"")</f>
        <v/>
      </c>
      <c r="K138" s="145"/>
      <c r="L138" s="499" t="str">
        <f>IFERROR(INDEX('G-8 Condition Look up'!$A$3:$H$130,MATCH(G138,'G-8 Condition Look up'!$A$3:$A$130,0),MATCH(K138,'G-8 Condition Look up'!$A$3:$H$3,0)),"")</f>
        <v/>
      </c>
      <c r="M138" s="154"/>
      <c r="N138" s="520" t="str">
        <f>IF(M138="","",IF(VLOOKUP(M138,'G-3 Multipliers'!$L$3:$N$6,2,FALSE)=0,"Spatial Data Missing ⚠",VLOOKUP(M138,'G-3 Multipliers'!$L$3:$N$6,2,FALSE)))</f>
        <v/>
      </c>
      <c r="O138" s="524" t="str">
        <f>IF(M138="","",IF(VLOOKUP(M138,'G-3 Multipliers'!$L$3:$N$6,3,FALSE)=0,"Spatial Data Missing ⚠",VLOOKUP(M138,'G-3 Multipliers'!$L$3:$N$6,3,FALSE)))</f>
        <v/>
      </c>
      <c r="P138" s="506" t="str">
        <f>IFERROR(VLOOKUP(G138,'G-1 All Habitats'!$B$2:$M$129,12,FALSE),"")</f>
        <v/>
      </c>
      <c r="Q138" s="513" t="str">
        <f>IFERROR(IF(P138="","",IF(AND(P138='G-1 All Habitats'!$X$3,T138&gt;0),U138+V138,IF(AND(P138='G-1 All Habitats'!$X$3,S138&gt;0),U138+V138,IF(AND(P138='G-1 All Habitats'!$X$3,AC138&gt;0),"Any Loss Unacceptable",IF(AND(P138='G-1 All Habitats'!$X$3,W138&gt;0),"Any Loss Unacceptable",H138*J138*L138*O138))))),"Check Data ⚠")</f>
        <v/>
      </c>
      <c r="R138" s="50"/>
      <c r="S138" s="71"/>
      <c r="T138" s="72"/>
      <c r="U138" s="511" t="str">
        <f t="shared" si="8"/>
        <v/>
      </c>
      <c r="V138" s="511" t="str">
        <f t="shared" si="9"/>
        <v/>
      </c>
      <c r="W138" s="511" t="str">
        <f>IF(E138="","",IF(H138&lt;S138+T138,"Error in Areas ▲",IF(P138&lt;&gt;'G-1 All Habitats'!$X$3,H138-S138-T138,IF(AND(P138='G-1 All Habitats'!$X$3,Y138="Yes"),"Unacceptable Loss ▲",IF(AND(P138='G-1 All Habitats'!$X$3,Y138="No"),AC138,IF(AND(P138='G-1 All Habitats'!$X$3,Y138=""),AC138,IF(AND(P138='G-1 All Habitats'!$X$3,AC138="None",AC138),IF(AND(P138='G-1 All Habitats'!$X$3,AC138&gt;0),H138-S138-T138))))))))</f>
        <v/>
      </c>
      <c r="X138" s="545" t="str">
        <f>IFERROR(IF(H138="","",IF(H138-S138-T138=0&lt;0,"Error in Areas ▲",IF(S138+T138&gt;H138,"Error in Areas ▲",IF(AND(P138='G-1 All Habitats'!$X$3,Y138="Yes"),"Alternative Compensation",IF(W138=0,0,IF(P138='G-1 All Habitats'!$X$3,"Unacceptable Loss",Q138-U138-V138)))))),"Check Data ⚠")</f>
        <v/>
      </c>
      <c r="Y138" s="72"/>
      <c r="Z138" s="151"/>
      <c r="AA138" s="152"/>
      <c r="AC138" s="251" t="str">
        <f>IF(P138="","",IF(P138='G-1 All Habitats'!$X$3,H138-S138-T138,"None"))</f>
        <v/>
      </c>
      <c r="AD138" s="252" t="str">
        <f t="shared" si="10"/>
        <v/>
      </c>
      <c r="AF138" s="156" t="str">
        <f t="shared" si="6"/>
        <v/>
      </c>
      <c r="AG138" s="156" t="str">
        <f t="shared" si="7"/>
        <v/>
      </c>
      <c r="AH138" s="156" t="str">
        <f>IF(I138="","",IF(#REF!&gt;0,TRUE,FALSE))</f>
        <v/>
      </c>
      <c r="AI138" s="156">
        <v>128</v>
      </c>
      <c r="AJ138" s="156"/>
      <c r="AK138" s="156" t="str">
        <f t="array" ref="AK138">IFERROR(INDEX($AI$11:$AI$259, MATCH(0, IF(TRUE=$AF$11:$AF$259, COUNTIF($AK$10:$AK137, $AI$11:$AI$259), ""), 0)),"")</f>
        <v/>
      </c>
      <c r="AL138" s="156" t="str">
        <f t="array" ref="AL138">IFERROR(INDEX($AI$11:$AI$259, MATCH(0, IF(TRUE=$AG$11:$AG$259, COUNTIF($AL$10:$AL137, $AI$11:$AI$259), ""), 0)),"")</f>
        <v/>
      </c>
      <c r="AM138" s="156" t="str">
        <f t="array" ref="AM138">IFERROR(INDEX($AI$11:$AI$259, MATCH(0, IF(TRUE=$AH$11:$AH$259, COUNTIF($AM$10:$AM137, $AI$11:$AI$259), ""), 0)),"")</f>
        <v/>
      </c>
      <c r="AQ138" s="31">
        <f t="shared" si="11"/>
        <v>0</v>
      </c>
    </row>
    <row r="139" spans="1:43" x14ac:dyDescent="0.3">
      <c r="A139" s="31" t="str">
        <f>IFERROR(INDEX('G-1 All Habitats'!$AG$3:$AG$15,MATCH(E139,'G-1 All Habitats'!$AF$3:$AF$15,0)),"")</f>
        <v/>
      </c>
      <c r="B139" s="31" t="str">
        <f>IFERROR(INDEX('G-8 Condition Look up'!$I$4:$I$130,MATCH(G139,'G-8 Condition Look up'!$A$4:$A$130,0)),"")</f>
        <v/>
      </c>
      <c r="D139" s="141">
        <v>129</v>
      </c>
      <c r="E139" s="203"/>
      <c r="F139" s="203"/>
      <c r="G139" s="250" t="str">
        <f>IFERROR(INDEX('G-1 All Habitats'!$B$3:$B$129,MATCH(F139,'G-1 All Habitats'!$A$3:$A$129,0)),"")</f>
        <v/>
      </c>
      <c r="H139" s="172"/>
      <c r="I139" s="498" t="str">
        <f>IF(G139="","",VLOOKUP(G139,'G-1 All Habitats'!$B$2:$M$129,10,FALSE))</f>
        <v/>
      </c>
      <c r="J139" s="499" t="str">
        <f>IFERROR(VLOOKUP(I139,'G-1 All Habitats'!$V$3:$W$7,2,FALSE),"")</f>
        <v/>
      </c>
      <c r="K139" s="145"/>
      <c r="L139" s="499" t="str">
        <f>IFERROR(INDEX('G-8 Condition Look up'!$A$3:$H$130,MATCH(G139,'G-8 Condition Look up'!$A$3:$A$130,0),MATCH(K139,'G-8 Condition Look up'!$A$3:$H$3,0)),"")</f>
        <v/>
      </c>
      <c r="M139" s="154"/>
      <c r="N139" s="520" t="str">
        <f>IF(M139="","",IF(VLOOKUP(M139,'G-3 Multipliers'!$L$3:$N$6,2,FALSE)=0,"Spatial Data Missing ⚠",VLOOKUP(M139,'G-3 Multipliers'!$L$3:$N$6,2,FALSE)))</f>
        <v/>
      </c>
      <c r="O139" s="524" t="str">
        <f>IF(M139="","",IF(VLOOKUP(M139,'G-3 Multipliers'!$L$3:$N$6,3,FALSE)=0,"Spatial Data Missing ⚠",VLOOKUP(M139,'G-3 Multipliers'!$L$3:$N$6,3,FALSE)))</f>
        <v/>
      </c>
      <c r="P139" s="506" t="str">
        <f>IFERROR(VLOOKUP(G139,'G-1 All Habitats'!$B$2:$M$129,12,FALSE),"")</f>
        <v/>
      </c>
      <c r="Q139" s="513" t="str">
        <f>IFERROR(IF(P139="","",IF(AND(P139='G-1 All Habitats'!$X$3,T139&gt;0),U139+V139,IF(AND(P139='G-1 All Habitats'!$X$3,S139&gt;0),U139+V139,IF(AND(P139='G-1 All Habitats'!$X$3,AC139&gt;0),"Any Loss Unacceptable",IF(AND(P139='G-1 All Habitats'!$X$3,W139&gt;0),"Any Loss Unacceptable",H139*J139*L139*O139))))),"Check Data ⚠")</f>
        <v/>
      </c>
      <c r="R139" s="50"/>
      <c r="S139" s="71"/>
      <c r="T139" s="72"/>
      <c r="U139" s="511" t="str">
        <f t="shared" si="8"/>
        <v/>
      </c>
      <c r="V139" s="511" t="str">
        <f t="shared" si="9"/>
        <v/>
      </c>
      <c r="W139" s="511" t="str">
        <f>IF(E139="","",IF(H139&lt;S139+T139,"Error in Areas ▲",IF(P139&lt;&gt;'G-1 All Habitats'!$X$3,H139-S139-T139,IF(AND(P139='G-1 All Habitats'!$X$3,Y139="Yes"),"Unacceptable Loss ▲",IF(AND(P139='G-1 All Habitats'!$X$3,Y139="No"),AC139,IF(AND(P139='G-1 All Habitats'!$X$3,Y139=""),AC139,IF(AND(P139='G-1 All Habitats'!$X$3,AC139="None",AC139),IF(AND(P139='G-1 All Habitats'!$X$3,AC139&gt;0),H139-S139-T139))))))))</f>
        <v/>
      </c>
      <c r="X139" s="545" t="str">
        <f>IFERROR(IF(H139="","",IF(H139-S139-T139=0&lt;0,"Error in Areas ▲",IF(S139+T139&gt;H139,"Error in Areas ▲",IF(AND(P139='G-1 All Habitats'!$X$3,Y139="Yes"),"Alternative Compensation",IF(W139=0,0,IF(P139='G-1 All Habitats'!$X$3,"Unacceptable Loss",Q139-U139-V139)))))),"Check Data ⚠")</f>
        <v/>
      </c>
      <c r="Y139" s="72"/>
      <c r="Z139" s="151"/>
      <c r="AA139" s="152"/>
      <c r="AC139" s="251" t="str">
        <f>IF(P139="","",IF(P139='G-1 All Habitats'!$X$3,H139-S139-T139,"None"))</f>
        <v/>
      </c>
      <c r="AD139" s="252" t="str">
        <f t="shared" si="10"/>
        <v/>
      </c>
      <c r="AF139" s="156" t="str">
        <f t="shared" ref="AF139:AF202" si="12">IF(G139="","",IF(S139&gt;0,TRUE,FALSE))</f>
        <v/>
      </c>
      <c r="AG139" s="156" t="str">
        <f t="shared" ref="AG139:AG202" si="13">IF(H139="","",IF(T139&gt;0,TRUE,FALSE))</f>
        <v/>
      </c>
      <c r="AH139" s="156" t="str">
        <f>IF(I139="","",IF(#REF!&gt;0,TRUE,FALSE))</f>
        <v/>
      </c>
      <c r="AI139" s="156">
        <v>129</v>
      </c>
      <c r="AJ139" s="156"/>
      <c r="AK139" s="156" t="str">
        <f t="array" ref="AK139">IFERROR(INDEX($AI$11:$AI$259, MATCH(0, IF(TRUE=$AF$11:$AF$259, COUNTIF($AK$10:$AK138, $AI$11:$AI$259), ""), 0)),"")</f>
        <v/>
      </c>
      <c r="AL139" s="156" t="str">
        <f t="array" ref="AL139">IFERROR(INDEX($AI$11:$AI$259, MATCH(0, IF(TRUE=$AG$11:$AG$259, COUNTIF($AL$10:$AL138, $AI$11:$AI$259), ""), 0)),"")</f>
        <v/>
      </c>
      <c r="AM139" s="156" t="str">
        <f t="array" ref="AM139">IFERROR(INDEX($AI$11:$AI$259, MATCH(0, IF(TRUE=$AH$11:$AH$259, COUNTIF($AM$10:$AM138, $AI$11:$AI$259), ""), 0)),"")</f>
        <v/>
      </c>
      <c r="AQ139" s="31">
        <f t="shared" si="11"/>
        <v>0</v>
      </c>
    </row>
    <row r="140" spans="1:43" x14ac:dyDescent="0.3">
      <c r="A140" s="31" t="str">
        <f>IFERROR(INDEX('G-1 All Habitats'!$AG$3:$AG$15,MATCH(E140,'G-1 All Habitats'!$AF$3:$AF$15,0)),"")</f>
        <v/>
      </c>
      <c r="B140" s="31" t="str">
        <f>IFERROR(INDEX('G-8 Condition Look up'!$I$4:$I$130,MATCH(G140,'G-8 Condition Look up'!$A$4:$A$130,0)),"")</f>
        <v/>
      </c>
      <c r="D140" s="141">
        <v>130</v>
      </c>
      <c r="E140" s="203"/>
      <c r="F140" s="203"/>
      <c r="G140" s="250" t="str">
        <f>IFERROR(INDEX('G-1 All Habitats'!$B$3:$B$129,MATCH(F140,'G-1 All Habitats'!$A$3:$A$129,0)),"")</f>
        <v/>
      </c>
      <c r="H140" s="172"/>
      <c r="I140" s="498" t="str">
        <f>IF(G140="","",VLOOKUP(G140,'G-1 All Habitats'!$B$2:$M$129,10,FALSE))</f>
        <v/>
      </c>
      <c r="J140" s="499" t="str">
        <f>IFERROR(VLOOKUP(I140,'G-1 All Habitats'!$V$3:$W$7,2,FALSE),"")</f>
        <v/>
      </c>
      <c r="K140" s="145"/>
      <c r="L140" s="499" t="str">
        <f>IFERROR(INDEX('G-8 Condition Look up'!$A$3:$H$130,MATCH(G140,'G-8 Condition Look up'!$A$3:$A$130,0),MATCH(K140,'G-8 Condition Look up'!$A$3:$H$3,0)),"")</f>
        <v/>
      </c>
      <c r="M140" s="154"/>
      <c r="N140" s="520" t="str">
        <f>IF(M140="","",IF(VLOOKUP(M140,'G-3 Multipliers'!$L$3:$N$6,2,FALSE)=0,"Spatial Data Missing ⚠",VLOOKUP(M140,'G-3 Multipliers'!$L$3:$N$6,2,FALSE)))</f>
        <v/>
      </c>
      <c r="O140" s="524" t="str">
        <f>IF(M140="","",IF(VLOOKUP(M140,'G-3 Multipliers'!$L$3:$N$6,3,FALSE)=0,"Spatial Data Missing ⚠",VLOOKUP(M140,'G-3 Multipliers'!$L$3:$N$6,3,FALSE)))</f>
        <v/>
      </c>
      <c r="P140" s="506" t="str">
        <f>IFERROR(VLOOKUP(G140,'G-1 All Habitats'!$B$2:$M$129,12,FALSE),"")</f>
        <v/>
      </c>
      <c r="Q140" s="513" t="str">
        <f>IFERROR(IF(P140="","",IF(AND(P140='G-1 All Habitats'!$X$3,T140&gt;0),U140+V140,IF(AND(P140='G-1 All Habitats'!$X$3,S140&gt;0),U140+V140,IF(AND(P140='G-1 All Habitats'!$X$3,AC140&gt;0),"Any Loss Unacceptable",IF(AND(P140='G-1 All Habitats'!$X$3,W140&gt;0),"Any Loss Unacceptable",H140*J140*L140*O140))))),"Check Data ⚠")</f>
        <v/>
      </c>
      <c r="R140" s="50"/>
      <c r="S140" s="71"/>
      <c r="T140" s="72"/>
      <c r="U140" s="511" t="str">
        <f t="shared" ref="U140:U203" si="14">IFERROR(S140*J140*L140*O140,"")</f>
        <v/>
      </c>
      <c r="V140" s="511" t="str">
        <f t="shared" ref="V140:V203" si="15">IFERROR(T140*J140*L140*O140,"")</f>
        <v/>
      </c>
      <c r="W140" s="511" t="str">
        <f>IF(E140="","",IF(H140&lt;S140+T140,"Error in Areas ▲",IF(P140&lt;&gt;'G-1 All Habitats'!$X$3,H140-S140-T140,IF(AND(P140='G-1 All Habitats'!$X$3,Y140="Yes"),"Unacceptable Loss ▲",IF(AND(P140='G-1 All Habitats'!$X$3,Y140="No"),AC140,IF(AND(P140='G-1 All Habitats'!$X$3,Y140=""),AC140,IF(AND(P140='G-1 All Habitats'!$X$3,AC140="None",AC140),IF(AND(P140='G-1 All Habitats'!$X$3,AC140&gt;0),H140-S140-T140))))))))</f>
        <v/>
      </c>
      <c r="X140" s="545" t="str">
        <f>IFERROR(IF(H140="","",IF(H140-S140-T140=0&lt;0,"Error in Areas ▲",IF(S140+T140&gt;H140,"Error in Areas ▲",IF(AND(P140='G-1 All Habitats'!$X$3,Y140="Yes"),"Alternative Compensation",IF(W140=0,0,IF(P140='G-1 All Habitats'!$X$3,"Unacceptable Loss",Q140-U140-V140)))))),"Check Data ⚠")</f>
        <v/>
      </c>
      <c r="Y140" s="72"/>
      <c r="Z140" s="151"/>
      <c r="AA140" s="152"/>
      <c r="AC140" s="251" t="str">
        <f>IF(P140="","",IF(P140='G-1 All Habitats'!$X$3,H140-S140-T140,"None"))</f>
        <v/>
      </c>
      <c r="AD140" s="252" t="str">
        <f t="shared" ref="AD140:AD203" si="16">IFERROR(AC140*J140*L140*O140,IF(P140="","","None"))</f>
        <v/>
      </c>
      <c r="AF140" s="156" t="str">
        <f t="shared" si="12"/>
        <v/>
      </c>
      <c r="AG140" s="156" t="str">
        <f t="shared" si="13"/>
        <v/>
      </c>
      <c r="AH140" s="156" t="str">
        <f>IF(I140="","",IF(#REF!&gt;0,TRUE,FALSE))</f>
        <v/>
      </c>
      <c r="AI140" s="156">
        <v>130</v>
      </c>
      <c r="AJ140" s="156"/>
      <c r="AK140" s="156" t="str">
        <f t="array" ref="AK140">IFERROR(INDEX($AI$11:$AI$259, MATCH(0, IF(TRUE=$AF$11:$AF$259, COUNTIF($AK$10:$AK139, $AI$11:$AI$259), ""), 0)),"")</f>
        <v/>
      </c>
      <c r="AL140" s="156" t="str">
        <f t="array" ref="AL140">IFERROR(INDEX($AI$11:$AI$259, MATCH(0, IF(TRUE=$AG$11:$AG$259, COUNTIF($AL$10:$AL139, $AI$11:$AI$259), ""), 0)),"")</f>
        <v/>
      </c>
      <c r="AM140" s="156" t="str">
        <f t="array" ref="AM140">IFERROR(INDEX($AI$11:$AI$259, MATCH(0, IF(TRUE=$AH$11:$AH$259, COUNTIF($AM$10:$AM139, $AI$11:$AI$259), ""), 0)),"")</f>
        <v/>
      </c>
      <c r="AQ140" s="31">
        <f t="shared" ref="AQ140:AQ203" si="17">IF(X140="Unacceptable Loss",1,0)</f>
        <v>0</v>
      </c>
    </row>
    <row r="141" spans="1:43" x14ac:dyDescent="0.3">
      <c r="A141" s="31" t="str">
        <f>IFERROR(INDEX('G-1 All Habitats'!$AG$3:$AG$15,MATCH(E141,'G-1 All Habitats'!$AF$3:$AF$15,0)),"")</f>
        <v/>
      </c>
      <c r="B141" s="31" t="str">
        <f>IFERROR(INDEX('G-8 Condition Look up'!$I$4:$I$130,MATCH(G141,'G-8 Condition Look up'!$A$4:$A$130,0)),"")</f>
        <v/>
      </c>
      <c r="D141" s="141">
        <v>131</v>
      </c>
      <c r="E141" s="203"/>
      <c r="F141" s="203"/>
      <c r="G141" s="250" t="str">
        <f>IFERROR(INDEX('G-1 All Habitats'!$B$3:$B$129,MATCH(F141,'G-1 All Habitats'!$A$3:$A$129,0)),"")</f>
        <v/>
      </c>
      <c r="H141" s="172"/>
      <c r="I141" s="498" t="str">
        <f>IF(G141="","",VLOOKUP(G141,'G-1 All Habitats'!$B$2:$M$129,10,FALSE))</f>
        <v/>
      </c>
      <c r="J141" s="499" t="str">
        <f>IFERROR(VLOOKUP(I141,'G-1 All Habitats'!$V$3:$W$7,2,FALSE),"")</f>
        <v/>
      </c>
      <c r="K141" s="145"/>
      <c r="L141" s="499" t="str">
        <f>IFERROR(INDEX('G-8 Condition Look up'!$A$3:$H$130,MATCH(G141,'G-8 Condition Look up'!$A$3:$A$130,0),MATCH(K141,'G-8 Condition Look up'!$A$3:$H$3,0)),"")</f>
        <v/>
      </c>
      <c r="M141" s="154"/>
      <c r="N141" s="520" t="str">
        <f>IF(M141="","",IF(VLOOKUP(M141,'G-3 Multipliers'!$L$3:$N$6,2,FALSE)=0,"Spatial Data Missing ⚠",VLOOKUP(M141,'G-3 Multipliers'!$L$3:$N$6,2,FALSE)))</f>
        <v/>
      </c>
      <c r="O141" s="524" t="str">
        <f>IF(M141="","",IF(VLOOKUP(M141,'G-3 Multipliers'!$L$3:$N$6,3,FALSE)=0,"Spatial Data Missing ⚠",VLOOKUP(M141,'G-3 Multipliers'!$L$3:$N$6,3,FALSE)))</f>
        <v/>
      </c>
      <c r="P141" s="506" t="str">
        <f>IFERROR(VLOOKUP(G141,'G-1 All Habitats'!$B$2:$M$129,12,FALSE),"")</f>
        <v/>
      </c>
      <c r="Q141" s="513" t="str">
        <f>IFERROR(IF(P141="","",IF(AND(P141='G-1 All Habitats'!$X$3,T141&gt;0),U141+V141,IF(AND(P141='G-1 All Habitats'!$X$3,S141&gt;0),U141+V141,IF(AND(P141='G-1 All Habitats'!$X$3,AC141&gt;0),"Any Loss Unacceptable",IF(AND(P141='G-1 All Habitats'!$X$3,W141&gt;0),"Any Loss Unacceptable",H141*J141*L141*O141))))),"Check Data ⚠")</f>
        <v/>
      </c>
      <c r="R141" s="50"/>
      <c r="S141" s="71"/>
      <c r="T141" s="72"/>
      <c r="U141" s="511" t="str">
        <f t="shared" si="14"/>
        <v/>
      </c>
      <c r="V141" s="511" t="str">
        <f t="shared" si="15"/>
        <v/>
      </c>
      <c r="W141" s="511" t="str">
        <f>IF(E141="","",IF(H141&lt;S141+T141,"Error in Areas ▲",IF(P141&lt;&gt;'G-1 All Habitats'!$X$3,H141-S141-T141,IF(AND(P141='G-1 All Habitats'!$X$3,Y141="Yes"),"Unacceptable Loss ▲",IF(AND(P141='G-1 All Habitats'!$X$3,Y141="No"),AC141,IF(AND(P141='G-1 All Habitats'!$X$3,Y141=""),AC141,IF(AND(P141='G-1 All Habitats'!$X$3,AC141="None",AC141),IF(AND(P141='G-1 All Habitats'!$X$3,AC141&gt;0),H141-S141-T141))))))))</f>
        <v/>
      </c>
      <c r="X141" s="545" t="str">
        <f>IFERROR(IF(H141="","",IF(H141-S141-T141=0&lt;0,"Error in Areas ▲",IF(S141+T141&gt;H141,"Error in Areas ▲",IF(AND(P141='G-1 All Habitats'!$X$3,Y141="Yes"),"Alternative Compensation",IF(W141=0,0,IF(P141='G-1 All Habitats'!$X$3,"Unacceptable Loss",Q141-U141-V141)))))),"Check Data ⚠")</f>
        <v/>
      </c>
      <c r="Y141" s="72"/>
      <c r="Z141" s="151"/>
      <c r="AA141" s="152"/>
      <c r="AC141" s="251" t="str">
        <f>IF(P141="","",IF(P141='G-1 All Habitats'!$X$3,H141-S141-T141,"None"))</f>
        <v/>
      </c>
      <c r="AD141" s="252" t="str">
        <f t="shared" si="16"/>
        <v/>
      </c>
      <c r="AF141" s="156" t="str">
        <f t="shared" si="12"/>
        <v/>
      </c>
      <c r="AG141" s="156" t="str">
        <f t="shared" si="13"/>
        <v/>
      </c>
      <c r="AH141" s="156" t="str">
        <f>IF(I141="","",IF(#REF!&gt;0,TRUE,FALSE))</f>
        <v/>
      </c>
      <c r="AI141" s="156">
        <v>131</v>
      </c>
      <c r="AJ141" s="156"/>
      <c r="AK141" s="156" t="str">
        <f t="array" ref="AK141">IFERROR(INDEX($AI$11:$AI$259, MATCH(0, IF(TRUE=$AF$11:$AF$259, COUNTIF($AK$10:$AK140, $AI$11:$AI$259), ""), 0)),"")</f>
        <v/>
      </c>
      <c r="AL141" s="156" t="str">
        <f t="array" ref="AL141">IFERROR(INDEX($AI$11:$AI$259, MATCH(0, IF(TRUE=$AG$11:$AG$259, COUNTIF($AL$10:$AL140, $AI$11:$AI$259), ""), 0)),"")</f>
        <v/>
      </c>
      <c r="AM141" s="156" t="str">
        <f t="array" ref="AM141">IFERROR(INDEX($AI$11:$AI$259, MATCH(0, IF(TRUE=$AH$11:$AH$259, COUNTIF($AM$10:$AM140, $AI$11:$AI$259), ""), 0)),"")</f>
        <v/>
      </c>
      <c r="AQ141" s="31">
        <f t="shared" si="17"/>
        <v>0</v>
      </c>
    </row>
    <row r="142" spans="1:43" x14ac:dyDescent="0.3">
      <c r="A142" s="31" t="str">
        <f>IFERROR(INDEX('G-1 All Habitats'!$AG$3:$AG$15,MATCH(E142,'G-1 All Habitats'!$AF$3:$AF$15,0)),"")</f>
        <v/>
      </c>
      <c r="B142" s="31" t="str">
        <f>IFERROR(INDEX('G-8 Condition Look up'!$I$4:$I$130,MATCH(G142,'G-8 Condition Look up'!$A$4:$A$130,0)),"")</f>
        <v/>
      </c>
      <c r="D142" s="141">
        <v>132</v>
      </c>
      <c r="E142" s="203"/>
      <c r="F142" s="203"/>
      <c r="G142" s="250" t="str">
        <f>IFERROR(INDEX('G-1 All Habitats'!$B$3:$B$129,MATCH(F142,'G-1 All Habitats'!$A$3:$A$129,0)),"")</f>
        <v/>
      </c>
      <c r="H142" s="172"/>
      <c r="I142" s="498" t="str">
        <f>IF(G142="","",VLOOKUP(G142,'G-1 All Habitats'!$B$2:$M$129,10,FALSE))</f>
        <v/>
      </c>
      <c r="J142" s="499" t="str">
        <f>IFERROR(VLOOKUP(I142,'G-1 All Habitats'!$V$3:$W$7,2,FALSE),"")</f>
        <v/>
      </c>
      <c r="K142" s="145"/>
      <c r="L142" s="499" t="str">
        <f>IFERROR(INDEX('G-8 Condition Look up'!$A$3:$H$130,MATCH(G142,'G-8 Condition Look up'!$A$3:$A$130,0),MATCH(K142,'G-8 Condition Look up'!$A$3:$H$3,0)),"")</f>
        <v/>
      </c>
      <c r="M142" s="154"/>
      <c r="N142" s="520" t="str">
        <f>IF(M142="","",IF(VLOOKUP(M142,'G-3 Multipliers'!$L$3:$N$6,2,FALSE)=0,"Spatial Data Missing ⚠",VLOOKUP(M142,'G-3 Multipliers'!$L$3:$N$6,2,FALSE)))</f>
        <v/>
      </c>
      <c r="O142" s="524" t="str">
        <f>IF(M142="","",IF(VLOOKUP(M142,'G-3 Multipliers'!$L$3:$N$6,3,FALSE)=0,"Spatial Data Missing ⚠",VLOOKUP(M142,'G-3 Multipliers'!$L$3:$N$6,3,FALSE)))</f>
        <v/>
      </c>
      <c r="P142" s="506" t="str">
        <f>IFERROR(VLOOKUP(G142,'G-1 All Habitats'!$B$2:$M$129,12,FALSE),"")</f>
        <v/>
      </c>
      <c r="Q142" s="513" t="str">
        <f>IFERROR(IF(P142="","",IF(AND(P142='G-1 All Habitats'!$X$3,T142&gt;0),U142+V142,IF(AND(P142='G-1 All Habitats'!$X$3,S142&gt;0),U142+V142,IF(AND(P142='G-1 All Habitats'!$X$3,AC142&gt;0),"Any Loss Unacceptable",IF(AND(P142='G-1 All Habitats'!$X$3,W142&gt;0),"Any Loss Unacceptable",H142*J142*L142*O142))))),"Check Data ⚠")</f>
        <v/>
      </c>
      <c r="R142" s="50"/>
      <c r="S142" s="71"/>
      <c r="T142" s="72"/>
      <c r="U142" s="511" t="str">
        <f t="shared" si="14"/>
        <v/>
      </c>
      <c r="V142" s="511" t="str">
        <f t="shared" si="15"/>
        <v/>
      </c>
      <c r="W142" s="511" t="str">
        <f>IF(E142="","",IF(H142&lt;S142+T142,"Error in Areas ▲",IF(P142&lt;&gt;'G-1 All Habitats'!$X$3,H142-S142-T142,IF(AND(P142='G-1 All Habitats'!$X$3,Y142="Yes"),"Unacceptable Loss ▲",IF(AND(P142='G-1 All Habitats'!$X$3,Y142="No"),AC142,IF(AND(P142='G-1 All Habitats'!$X$3,Y142=""),AC142,IF(AND(P142='G-1 All Habitats'!$X$3,AC142="None",AC142),IF(AND(P142='G-1 All Habitats'!$X$3,AC142&gt;0),H142-S142-T142))))))))</f>
        <v/>
      </c>
      <c r="X142" s="545" t="str">
        <f>IFERROR(IF(H142="","",IF(H142-S142-T142=0&lt;0,"Error in Areas ▲",IF(S142+T142&gt;H142,"Error in Areas ▲",IF(AND(P142='G-1 All Habitats'!$X$3,Y142="Yes"),"Alternative Compensation",IF(W142=0,0,IF(P142='G-1 All Habitats'!$X$3,"Unacceptable Loss",Q142-U142-V142)))))),"Check Data ⚠")</f>
        <v/>
      </c>
      <c r="Y142" s="72"/>
      <c r="Z142" s="151"/>
      <c r="AA142" s="152"/>
      <c r="AC142" s="251" t="str">
        <f>IF(P142="","",IF(P142='G-1 All Habitats'!$X$3,H142-S142-T142,"None"))</f>
        <v/>
      </c>
      <c r="AD142" s="252" t="str">
        <f t="shared" si="16"/>
        <v/>
      </c>
      <c r="AF142" s="156" t="str">
        <f t="shared" si="12"/>
        <v/>
      </c>
      <c r="AG142" s="156" t="str">
        <f t="shared" si="13"/>
        <v/>
      </c>
      <c r="AH142" s="156" t="str">
        <f>IF(I142="","",IF(#REF!&gt;0,TRUE,FALSE))</f>
        <v/>
      </c>
      <c r="AI142" s="156">
        <v>132</v>
      </c>
      <c r="AJ142" s="156"/>
      <c r="AK142" s="156" t="str">
        <f t="array" ref="AK142">IFERROR(INDEX($AI$11:$AI$259, MATCH(0, IF(TRUE=$AF$11:$AF$259, COUNTIF($AK$10:$AK141, $AI$11:$AI$259), ""), 0)),"")</f>
        <v/>
      </c>
      <c r="AL142" s="156" t="str">
        <f t="array" ref="AL142">IFERROR(INDEX($AI$11:$AI$259, MATCH(0, IF(TRUE=$AG$11:$AG$259, COUNTIF($AL$10:$AL141, $AI$11:$AI$259), ""), 0)),"")</f>
        <v/>
      </c>
      <c r="AM142" s="156" t="str">
        <f t="array" ref="AM142">IFERROR(INDEX($AI$11:$AI$259, MATCH(0, IF(TRUE=$AH$11:$AH$259, COUNTIF($AM$10:$AM141, $AI$11:$AI$259), ""), 0)),"")</f>
        <v/>
      </c>
      <c r="AQ142" s="31">
        <f t="shared" si="17"/>
        <v>0</v>
      </c>
    </row>
    <row r="143" spans="1:43" x14ac:dyDescent="0.3">
      <c r="A143" s="31" t="str">
        <f>IFERROR(INDEX('G-1 All Habitats'!$AG$3:$AG$15,MATCH(E143,'G-1 All Habitats'!$AF$3:$AF$15,0)),"")</f>
        <v/>
      </c>
      <c r="B143" s="31" t="str">
        <f>IFERROR(INDEX('G-8 Condition Look up'!$I$4:$I$130,MATCH(G143,'G-8 Condition Look up'!$A$4:$A$130,0)),"")</f>
        <v/>
      </c>
      <c r="D143" s="141">
        <v>133</v>
      </c>
      <c r="E143" s="203"/>
      <c r="F143" s="203"/>
      <c r="G143" s="250" t="str">
        <f>IFERROR(INDEX('G-1 All Habitats'!$B$3:$B$129,MATCH(F143,'G-1 All Habitats'!$A$3:$A$129,0)),"")</f>
        <v/>
      </c>
      <c r="H143" s="172"/>
      <c r="I143" s="498" t="str">
        <f>IF(G143="","",VLOOKUP(G143,'G-1 All Habitats'!$B$2:$M$129,10,FALSE))</f>
        <v/>
      </c>
      <c r="J143" s="499" t="str">
        <f>IFERROR(VLOOKUP(I143,'G-1 All Habitats'!$V$3:$W$7,2,FALSE),"")</f>
        <v/>
      </c>
      <c r="K143" s="145"/>
      <c r="L143" s="499" t="str">
        <f>IFERROR(INDEX('G-8 Condition Look up'!$A$3:$H$130,MATCH(G143,'G-8 Condition Look up'!$A$3:$A$130,0),MATCH(K143,'G-8 Condition Look up'!$A$3:$H$3,0)),"")</f>
        <v/>
      </c>
      <c r="M143" s="154"/>
      <c r="N143" s="520" t="str">
        <f>IF(M143="","",IF(VLOOKUP(M143,'G-3 Multipliers'!$L$3:$N$6,2,FALSE)=0,"Spatial Data Missing ⚠",VLOOKUP(M143,'G-3 Multipliers'!$L$3:$N$6,2,FALSE)))</f>
        <v/>
      </c>
      <c r="O143" s="524" t="str">
        <f>IF(M143="","",IF(VLOOKUP(M143,'G-3 Multipliers'!$L$3:$N$6,3,FALSE)=0,"Spatial Data Missing ⚠",VLOOKUP(M143,'G-3 Multipliers'!$L$3:$N$6,3,FALSE)))</f>
        <v/>
      </c>
      <c r="P143" s="506" t="str">
        <f>IFERROR(VLOOKUP(G143,'G-1 All Habitats'!$B$2:$M$129,12,FALSE),"")</f>
        <v/>
      </c>
      <c r="Q143" s="513" t="str">
        <f>IFERROR(IF(P143="","",IF(AND(P143='G-1 All Habitats'!$X$3,T143&gt;0),U143+V143,IF(AND(P143='G-1 All Habitats'!$X$3,S143&gt;0),U143+V143,IF(AND(P143='G-1 All Habitats'!$X$3,AC143&gt;0),"Any Loss Unacceptable",IF(AND(P143='G-1 All Habitats'!$X$3,W143&gt;0),"Any Loss Unacceptable",H143*J143*L143*O143))))),"Check Data ⚠")</f>
        <v/>
      </c>
      <c r="R143" s="50"/>
      <c r="S143" s="71"/>
      <c r="T143" s="72"/>
      <c r="U143" s="511" t="str">
        <f t="shared" si="14"/>
        <v/>
      </c>
      <c r="V143" s="511" t="str">
        <f t="shared" si="15"/>
        <v/>
      </c>
      <c r="W143" s="511" t="str">
        <f>IF(E143="","",IF(H143&lt;S143+T143,"Error in Areas ▲",IF(P143&lt;&gt;'G-1 All Habitats'!$X$3,H143-S143-T143,IF(AND(P143='G-1 All Habitats'!$X$3,Y143="Yes"),"Unacceptable Loss ▲",IF(AND(P143='G-1 All Habitats'!$X$3,Y143="No"),AC143,IF(AND(P143='G-1 All Habitats'!$X$3,Y143=""),AC143,IF(AND(P143='G-1 All Habitats'!$X$3,AC143="None",AC143),IF(AND(P143='G-1 All Habitats'!$X$3,AC143&gt;0),H143-S143-T143))))))))</f>
        <v/>
      </c>
      <c r="X143" s="545" t="str">
        <f>IFERROR(IF(H143="","",IF(H143-S143-T143=0&lt;0,"Error in Areas ▲",IF(S143+T143&gt;H143,"Error in Areas ▲",IF(AND(P143='G-1 All Habitats'!$X$3,Y143="Yes"),"Alternative Compensation",IF(W143=0,0,IF(P143='G-1 All Habitats'!$X$3,"Unacceptable Loss",Q143-U143-V143)))))),"Check Data ⚠")</f>
        <v/>
      </c>
      <c r="Y143" s="72"/>
      <c r="Z143" s="151"/>
      <c r="AA143" s="152"/>
      <c r="AC143" s="251" t="str">
        <f>IF(P143="","",IF(P143='G-1 All Habitats'!$X$3,H143-S143-T143,"None"))</f>
        <v/>
      </c>
      <c r="AD143" s="252" t="str">
        <f t="shared" si="16"/>
        <v/>
      </c>
      <c r="AF143" s="156" t="str">
        <f t="shared" si="12"/>
        <v/>
      </c>
      <c r="AG143" s="156" t="str">
        <f t="shared" si="13"/>
        <v/>
      </c>
      <c r="AH143" s="156" t="str">
        <f>IF(I143="","",IF(#REF!&gt;0,TRUE,FALSE))</f>
        <v/>
      </c>
      <c r="AI143" s="156">
        <v>133</v>
      </c>
      <c r="AJ143" s="156"/>
      <c r="AK143" s="156" t="str">
        <f t="array" ref="AK143">IFERROR(INDEX($AI$11:$AI$259, MATCH(0, IF(TRUE=$AF$11:$AF$259, COUNTIF($AK$10:$AK142, $AI$11:$AI$259), ""), 0)),"")</f>
        <v/>
      </c>
      <c r="AL143" s="156" t="str">
        <f t="array" ref="AL143">IFERROR(INDEX($AI$11:$AI$259, MATCH(0, IF(TRUE=$AG$11:$AG$259, COUNTIF($AL$10:$AL142, $AI$11:$AI$259), ""), 0)),"")</f>
        <v/>
      </c>
      <c r="AM143" s="156" t="str">
        <f t="array" ref="AM143">IFERROR(INDEX($AI$11:$AI$259, MATCH(0, IF(TRUE=$AH$11:$AH$259, COUNTIF($AM$10:$AM142, $AI$11:$AI$259), ""), 0)),"")</f>
        <v/>
      </c>
      <c r="AQ143" s="31">
        <f t="shared" si="17"/>
        <v>0</v>
      </c>
    </row>
    <row r="144" spans="1:43" x14ac:dyDescent="0.3">
      <c r="A144" s="31" t="str">
        <f>IFERROR(INDEX('G-1 All Habitats'!$AG$3:$AG$15,MATCH(E144,'G-1 All Habitats'!$AF$3:$AF$15,0)),"")</f>
        <v/>
      </c>
      <c r="B144" s="31" t="str">
        <f>IFERROR(INDEX('G-8 Condition Look up'!$I$4:$I$130,MATCH(G144,'G-8 Condition Look up'!$A$4:$A$130,0)),"")</f>
        <v/>
      </c>
      <c r="D144" s="141">
        <v>134</v>
      </c>
      <c r="E144" s="203"/>
      <c r="F144" s="203"/>
      <c r="G144" s="250" t="str">
        <f>IFERROR(INDEX('G-1 All Habitats'!$B$3:$B$129,MATCH(F144,'G-1 All Habitats'!$A$3:$A$129,0)),"")</f>
        <v/>
      </c>
      <c r="H144" s="172"/>
      <c r="I144" s="498" t="str">
        <f>IF(G144="","",VLOOKUP(G144,'G-1 All Habitats'!$B$2:$M$129,10,FALSE))</f>
        <v/>
      </c>
      <c r="J144" s="499" t="str">
        <f>IFERROR(VLOOKUP(I144,'G-1 All Habitats'!$V$3:$W$7,2,FALSE),"")</f>
        <v/>
      </c>
      <c r="K144" s="145"/>
      <c r="L144" s="499" t="str">
        <f>IFERROR(INDEX('G-8 Condition Look up'!$A$3:$H$130,MATCH(G144,'G-8 Condition Look up'!$A$3:$A$130,0),MATCH(K144,'G-8 Condition Look up'!$A$3:$H$3,0)),"")</f>
        <v/>
      </c>
      <c r="M144" s="154"/>
      <c r="N144" s="520" t="str">
        <f>IF(M144="","",IF(VLOOKUP(M144,'G-3 Multipliers'!$L$3:$N$6,2,FALSE)=0,"Spatial Data Missing ⚠",VLOOKUP(M144,'G-3 Multipliers'!$L$3:$N$6,2,FALSE)))</f>
        <v/>
      </c>
      <c r="O144" s="524" t="str">
        <f>IF(M144="","",IF(VLOOKUP(M144,'G-3 Multipliers'!$L$3:$N$6,3,FALSE)=0,"Spatial Data Missing ⚠",VLOOKUP(M144,'G-3 Multipliers'!$L$3:$N$6,3,FALSE)))</f>
        <v/>
      </c>
      <c r="P144" s="506" t="str">
        <f>IFERROR(VLOOKUP(G144,'G-1 All Habitats'!$B$2:$M$129,12,FALSE),"")</f>
        <v/>
      </c>
      <c r="Q144" s="513" t="str">
        <f>IFERROR(IF(P144="","",IF(AND(P144='G-1 All Habitats'!$X$3,T144&gt;0),U144+V144,IF(AND(P144='G-1 All Habitats'!$X$3,S144&gt;0),U144+V144,IF(AND(P144='G-1 All Habitats'!$X$3,AC144&gt;0),"Any Loss Unacceptable",IF(AND(P144='G-1 All Habitats'!$X$3,W144&gt;0),"Any Loss Unacceptable",H144*J144*L144*O144))))),"Check Data ⚠")</f>
        <v/>
      </c>
      <c r="R144" s="50"/>
      <c r="S144" s="71"/>
      <c r="T144" s="72"/>
      <c r="U144" s="511" t="str">
        <f t="shared" si="14"/>
        <v/>
      </c>
      <c r="V144" s="511" t="str">
        <f t="shared" si="15"/>
        <v/>
      </c>
      <c r="W144" s="511" t="str">
        <f>IF(E144="","",IF(H144&lt;S144+T144,"Error in Areas ▲",IF(P144&lt;&gt;'G-1 All Habitats'!$X$3,H144-S144-T144,IF(AND(P144='G-1 All Habitats'!$X$3,Y144="Yes"),"Unacceptable Loss ▲",IF(AND(P144='G-1 All Habitats'!$X$3,Y144="No"),AC144,IF(AND(P144='G-1 All Habitats'!$X$3,Y144=""),AC144,IF(AND(P144='G-1 All Habitats'!$X$3,AC144="None",AC144),IF(AND(P144='G-1 All Habitats'!$X$3,AC144&gt;0),H144-S144-T144))))))))</f>
        <v/>
      </c>
      <c r="X144" s="545" t="str">
        <f>IFERROR(IF(H144="","",IF(H144-S144-T144=0&lt;0,"Error in Areas ▲",IF(S144+T144&gt;H144,"Error in Areas ▲",IF(AND(P144='G-1 All Habitats'!$X$3,Y144="Yes"),"Alternative Compensation",IF(W144=0,0,IF(P144='G-1 All Habitats'!$X$3,"Unacceptable Loss",Q144-U144-V144)))))),"Check Data ⚠")</f>
        <v/>
      </c>
      <c r="Y144" s="72"/>
      <c r="Z144" s="151"/>
      <c r="AA144" s="152"/>
      <c r="AC144" s="251" t="str">
        <f>IF(P144="","",IF(P144='G-1 All Habitats'!$X$3,H144-S144-T144,"None"))</f>
        <v/>
      </c>
      <c r="AD144" s="252" t="str">
        <f t="shared" si="16"/>
        <v/>
      </c>
      <c r="AF144" s="156" t="str">
        <f t="shared" si="12"/>
        <v/>
      </c>
      <c r="AG144" s="156" t="str">
        <f t="shared" si="13"/>
        <v/>
      </c>
      <c r="AH144" s="156" t="str">
        <f>IF(I144="","",IF(#REF!&gt;0,TRUE,FALSE))</f>
        <v/>
      </c>
      <c r="AI144" s="156">
        <v>134</v>
      </c>
      <c r="AJ144" s="156"/>
      <c r="AK144" s="156" t="str">
        <f t="array" ref="AK144">IFERROR(INDEX($AI$11:$AI$259, MATCH(0, IF(TRUE=$AF$11:$AF$259, COUNTIF($AK$10:$AK143, $AI$11:$AI$259), ""), 0)),"")</f>
        <v/>
      </c>
      <c r="AL144" s="156" t="str">
        <f t="array" ref="AL144">IFERROR(INDEX($AI$11:$AI$259, MATCH(0, IF(TRUE=$AG$11:$AG$259, COUNTIF($AL$10:$AL143, $AI$11:$AI$259), ""), 0)),"")</f>
        <v/>
      </c>
      <c r="AM144" s="156" t="str">
        <f t="array" ref="AM144">IFERROR(INDEX($AI$11:$AI$259, MATCH(0, IF(TRUE=$AH$11:$AH$259, COUNTIF($AM$10:$AM143, $AI$11:$AI$259), ""), 0)),"")</f>
        <v/>
      </c>
      <c r="AQ144" s="31">
        <f t="shared" si="17"/>
        <v>0</v>
      </c>
    </row>
    <row r="145" spans="1:43" x14ac:dyDescent="0.3">
      <c r="A145" s="31" t="str">
        <f>IFERROR(INDEX('G-1 All Habitats'!$AG$3:$AG$15,MATCH(E145,'G-1 All Habitats'!$AF$3:$AF$15,0)),"")</f>
        <v/>
      </c>
      <c r="B145" s="31" t="str">
        <f>IFERROR(INDEX('G-8 Condition Look up'!$I$4:$I$130,MATCH(G145,'G-8 Condition Look up'!$A$4:$A$130,0)),"")</f>
        <v/>
      </c>
      <c r="D145" s="141">
        <v>135</v>
      </c>
      <c r="E145" s="203"/>
      <c r="F145" s="203"/>
      <c r="G145" s="250" t="str">
        <f>IFERROR(INDEX('G-1 All Habitats'!$B$3:$B$129,MATCH(F145,'G-1 All Habitats'!$A$3:$A$129,0)),"")</f>
        <v/>
      </c>
      <c r="H145" s="172"/>
      <c r="I145" s="498" t="str">
        <f>IF(G145="","",VLOOKUP(G145,'G-1 All Habitats'!$B$2:$M$129,10,FALSE))</f>
        <v/>
      </c>
      <c r="J145" s="499" t="str">
        <f>IFERROR(VLOOKUP(I145,'G-1 All Habitats'!$V$3:$W$7,2,FALSE),"")</f>
        <v/>
      </c>
      <c r="K145" s="145"/>
      <c r="L145" s="499" t="str">
        <f>IFERROR(INDEX('G-8 Condition Look up'!$A$3:$H$130,MATCH(G145,'G-8 Condition Look up'!$A$3:$A$130,0),MATCH(K145,'G-8 Condition Look up'!$A$3:$H$3,0)),"")</f>
        <v/>
      </c>
      <c r="M145" s="154"/>
      <c r="N145" s="520" t="str">
        <f>IF(M145="","",IF(VLOOKUP(M145,'G-3 Multipliers'!$L$3:$N$6,2,FALSE)=0,"Spatial Data Missing ⚠",VLOOKUP(M145,'G-3 Multipliers'!$L$3:$N$6,2,FALSE)))</f>
        <v/>
      </c>
      <c r="O145" s="524" t="str">
        <f>IF(M145="","",IF(VLOOKUP(M145,'G-3 Multipliers'!$L$3:$N$6,3,FALSE)=0,"Spatial Data Missing ⚠",VLOOKUP(M145,'G-3 Multipliers'!$L$3:$N$6,3,FALSE)))</f>
        <v/>
      </c>
      <c r="P145" s="506" t="str">
        <f>IFERROR(VLOOKUP(G145,'G-1 All Habitats'!$B$2:$M$129,12,FALSE),"")</f>
        <v/>
      </c>
      <c r="Q145" s="513" t="str">
        <f>IFERROR(IF(P145="","",IF(AND(P145='G-1 All Habitats'!$X$3,T145&gt;0),U145+V145,IF(AND(P145='G-1 All Habitats'!$X$3,S145&gt;0),U145+V145,IF(AND(P145='G-1 All Habitats'!$X$3,AC145&gt;0),"Any Loss Unacceptable",IF(AND(P145='G-1 All Habitats'!$X$3,W145&gt;0),"Any Loss Unacceptable",H145*J145*L145*O145))))),"Check Data ⚠")</f>
        <v/>
      </c>
      <c r="R145" s="50"/>
      <c r="S145" s="71"/>
      <c r="T145" s="72"/>
      <c r="U145" s="511" t="str">
        <f t="shared" si="14"/>
        <v/>
      </c>
      <c r="V145" s="511" t="str">
        <f t="shared" si="15"/>
        <v/>
      </c>
      <c r="W145" s="511" t="str">
        <f>IF(E145="","",IF(H145&lt;S145+T145,"Error in Areas ▲",IF(P145&lt;&gt;'G-1 All Habitats'!$X$3,H145-S145-T145,IF(AND(P145='G-1 All Habitats'!$X$3,Y145="Yes"),"Unacceptable Loss ▲",IF(AND(P145='G-1 All Habitats'!$X$3,Y145="No"),AC145,IF(AND(P145='G-1 All Habitats'!$X$3,Y145=""),AC145,IF(AND(P145='G-1 All Habitats'!$X$3,AC145="None",AC145),IF(AND(P145='G-1 All Habitats'!$X$3,AC145&gt;0),H145-S145-T145))))))))</f>
        <v/>
      </c>
      <c r="X145" s="545" t="str">
        <f>IFERROR(IF(H145="","",IF(H145-S145-T145=0&lt;0,"Error in Areas ▲",IF(S145+T145&gt;H145,"Error in Areas ▲",IF(AND(P145='G-1 All Habitats'!$X$3,Y145="Yes"),"Alternative Compensation",IF(W145=0,0,IF(P145='G-1 All Habitats'!$X$3,"Unacceptable Loss",Q145-U145-V145)))))),"Check Data ⚠")</f>
        <v/>
      </c>
      <c r="Y145" s="72"/>
      <c r="Z145" s="151"/>
      <c r="AA145" s="152"/>
      <c r="AC145" s="251" t="str">
        <f>IF(P145="","",IF(P145='G-1 All Habitats'!$X$3,H145-S145-T145,"None"))</f>
        <v/>
      </c>
      <c r="AD145" s="252" t="str">
        <f t="shared" si="16"/>
        <v/>
      </c>
      <c r="AF145" s="156" t="str">
        <f t="shared" si="12"/>
        <v/>
      </c>
      <c r="AG145" s="156" t="str">
        <f t="shared" si="13"/>
        <v/>
      </c>
      <c r="AH145" s="156" t="str">
        <f>IF(I145="","",IF(#REF!&gt;0,TRUE,FALSE))</f>
        <v/>
      </c>
      <c r="AI145" s="156">
        <v>135</v>
      </c>
      <c r="AJ145" s="156"/>
      <c r="AK145" s="156" t="str">
        <f t="array" ref="AK145">IFERROR(INDEX($AI$11:$AI$259, MATCH(0, IF(TRUE=$AF$11:$AF$259, COUNTIF($AK$10:$AK144, $AI$11:$AI$259), ""), 0)),"")</f>
        <v/>
      </c>
      <c r="AL145" s="156" t="str">
        <f t="array" ref="AL145">IFERROR(INDEX($AI$11:$AI$259, MATCH(0, IF(TRUE=$AG$11:$AG$259, COUNTIF($AL$10:$AL144, $AI$11:$AI$259), ""), 0)),"")</f>
        <v/>
      </c>
      <c r="AM145" s="156" t="str">
        <f t="array" ref="AM145">IFERROR(INDEX($AI$11:$AI$259, MATCH(0, IF(TRUE=$AH$11:$AH$259, COUNTIF($AM$10:$AM144, $AI$11:$AI$259), ""), 0)),"")</f>
        <v/>
      </c>
      <c r="AQ145" s="31">
        <f t="shared" si="17"/>
        <v>0</v>
      </c>
    </row>
    <row r="146" spans="1:43" x14ac:dyDescent="0.3">
      <c r="A146" s="31" t="str">
        <f>IFERROR(INDEX('G-1 All Habitats'!$AG$3:$AG$15,MATCH(E146,'G-1 All Habitats'!$AF$3:$AF$15,0)),"")</f>
        <v/>
      </c>
      <c r="B146" s="31" t="str">
        <f>IFERROR(INDEX('G-8 Condition Look up'!$I$4:$I$130,MATCH(G146,'G-8 Condition Look up'!$A$4:$A$130,0)),"")</f>
        <v/>
      </c>
      <c r="D146" s="141">
        <v>136</v>
      </c>
      <c r="E146" s="203"/>
      <c r="F146" s="203"/>
      <c r="G146" s="250" t="str">
        <f>IFERROR(INDEX('G-1 All Habitats'!$B$3:$B$129,MATCH(F146,'G-1 All Habitats'!$A$3:$A$129,0)),"")</f>
        <v/>
      </c>
      <c r="H146" s="172"/>
      <c r="I146" s="498" t="str">
        <f>IF(G146="","",VLOOKUP(G146,'G-1 All Habitats'!$B$2:$M$129,10,FALSE))</f>
        <v/>
      </c>
      <c r="J146" s="499" t="str">
        <f>IFERROR(VLOOKUP(I146,'G-1 All Habitats'!$V$3:$W$7,2,FALSE),"")</f>
        <v/>
      </c>
      <c r="K146" s="145"/>
      <c r="L146" s="499" t="str">
        <f>IFERROR(INDEX('G-8 Condition Look up'!$A$3:$H$130,MATCH(G146,'G-8 Condition Look up'!$A$3:$A$130,0),MATCH(K146,'G-8 Condition Look up'!$A$3:$H$3,0)),"")</f>
        <v/>
      </c>
      <c r="M146" s="154"/>
      <c r="N146" s="520" t="str">
        <f>IF(M146="","",IF(VLOOKUP(M146,'G-3 Multipliers'!$L$3:$N$6,2,FALSE)=0,"Spatial Data Missing ⚠",VLOOKUP(M146,'G-3 Multipliers'!$L$3:$N$6,2,FALSE)))</f>
        <v/>
      </c>
      <c r="O146" s="524" t="str">
        <f>IF(M146="","",IF(VLOOKUP(M146,'G-3 Multipliers'!$L$3:$N$6,3,FALSE)=0,"Spatial Data Missing ⚠",VLOOKUP(M146,'G-3 Multipliers'!$L$3:$N$6,3,FALSE)))</f>
        <v/>
      </c>
      <c r="P146" s="506" t="str">
        <f>IFERROR(VLOOKUP(G146,'G-1 All Habitats'!$B$2:$M$129,12,FALSE),"")</f>
        <v/>
      </c>
      <c r="Q146" s="513" t="str">
        <f>IFERROR(IF(P146="","",IF(AND(P146='G-1 All Habitats'!$X$3,T146&gt;0),U146+V146,IF(AND(P146='G-1 All Habitats'!$X$3,S146&gt;0),U146+V146,IF(AND(P146='G-1 All Habitats'!$X$3,AC146&gt;0),"Any Loss Unacceptable",IF(AND(P146='G-1 All Habitats'!$X$3,W146&gt;0),"Any Loss Unacceptable",H146*J146*L146*O146))))),"Check Data ⚠")</f>
        <v/>
      </c>
      <c r="R146" s="50"/>
      <c r="S146" s="71"/>
      <c r="T146" s="72"/>
      <c r="U146" s="511" t="str">
        <f t="shared" si="14"/>
        <v/>
      </c>
      <c r="V146" s="511" t="str">
        <f t="shared" si="15"/>
        <v/>
      </c>
      <c r="W146" s="511" t="str">
        <f>IF(E146="","",IF(H146&lt;S146+T146,"Error in Areas ▲",IF(P146&lt;&gt;'G-1 All Habitats'!$X$3,H146-S146-T146,IF(AND(P146='G-1 All Habitats'!$X$3,Y146="Yes"),"Unacceptable Loss ▲",IF(AND(P146='G-1 All Habitats'!$X$3,Y146="No"),AC146,IF(AND(P146='G-1 All Habitats'!$X$3,Y146=""),AC146,IF(AND(P146='G-1 All Habitats'!$X$3,AC146="None",AC146),IF(AND(P146='G-1 All Habitats'!$X$3,AC146&gt;0),H146-S146-T146))))))))</f>
        <v/>
      </c>
      <c r="X146" s="545" t="str">
        <f>IFERROR(IF(H146="","",IF(H146-S146-T146=0&lt;0,"Error in Areas ▲",IF(S146+T146&gt;H146,"Error in Areas ▲",IF(AND(P146='G-1 All Habitats'!$X$3,Y146="Yes"),"Alternative Compensation",IF(W146=0,0,IF(P146='G-1 All Habitats'!$X$3,"Unacceptable Loss",Q146-U146-V146)))))),"Check Data ⚠")</f>
        <v/>
      </c>
      <c r="Y146" s="72"/>
      <c r="Z146" s="151"/>
      <c r="AA146" s="152"/>
      <c r="AC146" s="251" t="str">
        <f>IF(P146="","",IF(P146='G-1 All Habitats'!$X$3,H146-S146-T146,"None"))</f>
        <v/>
      </c>
      <c r="AD146" s="252" t="str">
        <f t="shared" si="16"/>
        <v/>
      </c>
      <c r="AF146" s="156" t="str">
        <f t="shared" si="12"/>
        <v/>
      </c>
      <c r="AG146" s="156" t="str">
        <f t="shared" si="13"/>
        <v/>
      </c>
      <c r="AH146" s="156" t="str">
        <f>IF(I146="","",IF(#REF!&gt;0,TRUE,FALSE))</f>
        <v/>
      </c>
      <c r="AI146" s="156">
        <v>136</v>
      </c>
      <c r="AJ146" s="156"/>
      <c r="AK146" s="156" t="str">
        <f t="array" ref="AK146">IFERROR(INDEX($AI$11:$AI$259, MATCH(0, IF(TRUE=$AF$11:$AF$259, COUNTIF($AK$10:$AK145, $AI$11:$AI$259), ""), 0)),"")</f>
        <v/>
      </c>
      <c r="AL146" s="156" t="str">
        <f t="array" ref="AL146">IFERROR(INDEX($AI$11:$AI$259, MATCH(0, IF(TRUE=$AG$11:$AG$259, COUNTIF($AL$10:$AL145, $AI$11:$AI$259), ""), 0)),"")</f>
        <v/>
      </c>
      <c r="AM146" s="156" t="str">
        <f t="array" ref="AM146">IFERROR(INDEX($AI$11:$AI$259, MATCH(0, IF(TRUE=$AH$11:$AH$259, COUNTIF($AM$10:$AM145, $AI$11:$AI$259), ""), 0)),"")</f>
        <v/>
      </c>
      <c r="AQ146" s="31">
        <f t="shared" si="17"/>
        <v>0</v>
      </c>
    </row>
    <row r="147" spans="1:43" x14ac:dyDescent="0.3">
      <c r="A147" s="31" t="str">
        <f>IFERROR(INDEX('G-1 All Habitats'!$AG$3:$AG$15,MATCH(E147,'G-1 All Habitats'!$AF$3:$AF$15,0)),"")</f>
        <v/>
      </c>
      <c r="B147" s="31" t="str">
        <f>IFERROR(INDEX('G-8 Condition Look up'!$I$4:$I$130,MATCH(G147,'G-8 Condition Look up'!$A$4:$A$130,0)),"")</f>
        <v/>
      </c>
      <c r="D147" s="141">
        <v>137</v>
      </c>
      <c r="E147" s="203"/>
      <c r="F147" s="203"/>
      <c r="G147" s="250" t="str">
        <f>IFERROR(INDEX('G-1 All Habitats'!$B$3:$B$129,MATCH(F147,'G-1 All Habitats'!$A$3:$A$129,0)),"")</f>
        <v/>
      </c>
      <c r="H147" s="172"/>
      <c r="I147" s="498" t="str">
        <f>IF(G147="","",VLOOKUP(G147,'G-1 All Habitats'!$B$2:$M$129,10,FALSE))</f>
        <v/>
      </c>
      <c r="J147" s="499" t="str">
        <f>IFERROR(VLOOKUP(I147,'G-1 All Habitats'!$V$3:$W$7,2,FALSE),"")</f>
        <v/>
      </c>
      <c r="K147" s="145"/>
      <c r="L147" s="499" t="str">
        <f>IFERROR(INDEX('G-8 Condition Look up'!$A$3:$H$130,MATCH(G147,'G-8 Condition Look up'!$A$3:$A$130,0),MATCH(K147,'G-8 Condition Look up'!$A$3:$H$3,0)),"")</f>
        <v/>
      </c>
      <c r="M147" s="154"/>
      <c r="N147" s="520" t="str">
        <f>IF(M147="","",IF(VLOOKUP(M147,'G-3 Multipliers'!$L$3:$N$6,2,FALSE)=0,"Spatial Data Missing ⚠",VLOOKUP(M147,'G-3 Multipliers'!$L$3:$N$6,2,FALSE)))</f>
        <v/>
      </c>
      <c r="O147" s="524" t="str">
        <f>IF(M147="","",IF(VLOOKUP(M147,'G-3 Multipliers'!$L$3:$N$6,3,FALSE)=0,"Spatial Data Missing ⚠",VLOOKUP(M147,'G-3 Multipliers'!$L$3:$N$6,3,FALSE)))</f>
        <v/>
      </c>
      <c r="P147" s="506" t="str">
        <f>IFERROR(VLOOKUP(G147,'G-1 All Habitats'!$B$2:$M$129,12,FALSE),"")</f>
        <v/>
      </c>
      <c r="Q147" s="513" t="str">
        <f>IFERROR(IF(P147="","",IF(AND(P147='G-1 All Habitats'!$X$3,T147&gt;0),U147+V147,IF(AND(P147='G-1 All Habitats'!$X$3,S147&gt;0),U147+V147,IF(AND(P147='G-1 All Habitats'!$X$3,AC147&gt;0),"Any Loss Unacceptable",IF(AND(P147='G-1 All Habitats'!$X$3,W147&gt;0),"Any Loss Unacceptable",H147*J147*L147*O147))))),"Check Data ⚠")</f>
        <v/>
      </c>
      <c r="R147" s="50"/>
      <c r="S147" s="71"/>
      <c r="T147" s="72"/>
      <c r="U147" s="511" t="str">
        <f t="shared" si="14"/>
        <v/>
      </c>
      <c r="V147" s="511" t="str">
        <f t="shared" si="15"/>
        <v/>
      </c>
      <c r="W147" s="511" t="str">
        <f>IF(E147="","",IF(H147&lt;S147+T147,"Error in Areas ▲",IF(P147&lt;&gt;'G-1 All Habitats'!$X$3,H147-S147-T147,IF(AND(P147='G-1 All Habitats'!$X$3,Y147="Yes"),"Unacceptable Loss ▲",IF(AND(P147='G-1 All Habitats'!$X$3,Y147="No"),AC147,IF(AND(P147='G-1 All Habitats'!$X$3,Y147=""),AC147,IF(AND(P147='G-1 All Habitats'!$X$3,AC147="None",AC147),IF(AND(P147='G-1 All Habitats'!$X$3,AC147&gt;0),H147-S147-T147))))))))</f>
        <v/>
      </c>
      <c r="X147" s="545" t="str">
        <f>IFERROR(IF(H147="","",IF(H147-S147-T147=0&lt;0,"Error in Areas ▲",IF(S147+T147&gt;H147,"Error in Areas ▲",IF(AND(P147='G-1 All Habitats'!$X$3,Y147="Yes"),"Alternative Compensation",IF(W147=0,0,IF(P147='G-1 All Habitats'!$X$3,"Unacceptable Loss",Q147-U147-V147)))))),"Check Data ⚠")</f>
        <v/>
      </c>
      <c r="Y147" s="72"/>
      <c r="Z147" s="151"/>
      <c r="AA147" s="152"/>
      <c r="AC147" s="251" t="str">
        <f>IF(P147="","",IF(P147='G-1 All Habitats'!$X$3,H147-S147-T147,"None"))</f>
        <v/>
      </c>
      <c r="AD147" s="252" t="str">
        <f t="shared" si="16"/>
        <v/>
      </c>
      <c r="AF147" s="156" t="str">
        <f t="shared" si="12"/>
        <v/>
      </c>
      <c r="AG147" s="156" t="str">
        <f t="shared" si="13"/>
        <v/>
      </c>
      <c r="AH147" s="156" t="str">
        <f>IF(I147="","",IF(#REF!&gt;0,TRUE,FALSE))</f>
        <v/>
      </c>
      <c r="AI147" s="156">
        <v>137</v>
      </c>
      <c r="AJ147" s="156"/>
      <c r="AK147" s="156" t="str">
        <f t="array" ref="AK147">IFERROR(INDEX($AI$11:$AI$259, MATCH(0, IF(TRUE=$AF$11:$AF$259, COUNTIF($AK$10:$AK146, $AI$11:$AI$259), ""), 0)),"")</f>
        <v/>
      </c>
      <c r="AL147" s="156" t="str">
        <f t="array" ref="AL147">IFERROR(INDEX($AI$11:$AI$259, MATCH(0, IF(TRUE=$AG$11:$AG$259, COUNTIF($AL$10:$AL146, $AI$11:$AI$259), ""), 0)),"")</f>
        <v/>
      </c>
      <c r="AM147" s="156" t="str">
        <f t="array" ref="AM147">IFERROR(INDEX($AI$11:$AI$259, MATCH(0, IF(TRUE=$AH$11:$AH$259, COUNTIF($AM$10:$AM146, $AI$11:$AI$259), ""), 0)),"")</f>
        <v/>
      </c>
      <c r="AQ147" s="31">
        <f t="shared" si="17"/>
        <v>0</v>
      </c>
    </row>
    <row r="148" spans="1:43" x14ac:dyDescent="0.3">
      <c r="A148" s="31" t="str">
        <f>IFERROR(INDEX('G-1 All Habitats'!$AG$3:$AG$15,MATCH(E148,'G-1 All Habitats'!$AF$3:$AF$15,0)),"")</f>
        <v/>
      </c>
      <c r="B148" s="31" t="str">
        <f>IFERROR(INDEX('G-8 Condition Look up'!$I$4:$I$130,MATCH(G148,'G-8 Condition Look up'!$A$4:$A$130,0)),"")</f>
        <v/>
      </c>
      <c r="D148" s="141">
        <v>138</v>
      </c>
      <c r="E148" s="203"/>
      <c r="F148" s="203"/>
      <c r="G148" s="250" t="str">
        <f>IFERROR(INDEX('G-1 All Habitats'!$B$3:$B$129,MATCH(F148,'G-1 All Habitats'!$A$3:$A$129,0)),"")</f>
        <v/>
      </c>
      <c r="H148" s="172"/>
      <c r="I148" s="498" t="str">
        <f>IF(G148="","",VLOOKUP(G148,'G-1 All Habitats'!$B$2:$M$129,10,FALSE))</f>
        <v/>
      </c>
      <c r="J148" s="499" t="str">
        <f>IFERROR(VLOOKUP(I148,'G-1 All Habitats'!$V$3:$W$7,2,FALSE),"")</f>
        <v/>
      </c>
      <c r="K148" s="145"/>
      <c r="L148" s="499" t="str">
        <f>IFERROR(INDEX('G-8 Condition Look up'!$A$3:$H$130,MATCH(G148,'G-8 Condition Look up'!$A$3:$A$130,0),MATCH(K148,'G-8 Condition Look up'!$A$3:$H$3,0)),"")</f>
        <v/>
      </c>
      <c r="M148" s="154"/>
      <c r="N148" s="520" t="str">
        <f>IF(M148="","",IF(VLOOKUP(M148,'G-3 Multipliers'!$L$3:$N$6,2,FALSE)=0,"Spatial Data Missing ⚠",VLOOKUP(M148,'G-3 Multipliers'!$L$3:$N$6,2,FALSE)))</f>
        <v/>
      </c>
      <c r="O148" s="524" t="str">
        <f>IF(M148="","",IF(VLOOKUP(M148,'G-3 Multipliers'!$L$3:$N$6,3,FALSE)=0,"Spatial Data Missing ⚠",VLOOKUP(M148,'G-3 Multipliers'!$L$3:$N$6,3,FALSE)))</f>
        <v/>
      </c>
      <c r="P148" s="506" t="str">
        <f>IFERROR(VLOOKUP(G148,'G-1 All Habitats'!$B$2:$M$129,12,FALSE),"")</f>
        <v/>
      </c>
      <c r="Q148" s="513" t="str">
        <f>IFERROR(IF(P148="","",IF(AND(P148='G-1 All Habitats'!$X$3,T148&gt;0),U148+V148,IF(AND(P148='G-1 All Habitats'!$X$3,S148&gt;0),U148+V148,IF(AND(P148='G-1 All Habitats'!$X$3,AC148&gt;0),"Any Loss Unacceptable",IF(AND(P148='G-1 All Habitats'!$X$3,W148&gt;0),"Any Loss Unacceptable",H148*J148*L148*O148))))),"Check Data ⚠")</f>
        <v/>
      </c>
      <c r="R148" s="50"/>
      <c r="S148" s="71"/>
      <c r="T148" s="72"/>
      <c r="U148" s="511" t="str">
        <f t="shared" si="14"/>
        <v/>
      </c>
      <c r="V148" s="511" t="str">
        <f t="shared" si="15"/>
        <v/>
      </c>
      <c r="W148" s="511" t="str">
        <f>IF(E148="","",IF(H148&lt;S148+T148,"Error in Areas ▲",IF(P148&lt;&gt;'G-1 All Habitats'!$X$3,H148-S148-T148,IF(AND(P148='G-1 All Habitats'!$X$3,Y148="Yes"),"Unacceptable Loss ▲",IF(AND(P148='G-1 All Habitats'!$X$3,Y148="No"),AC148,IF(AND(P148='G-1 All Habitats'!$X$3,Y148=""),AC148,IF(AND(P148='G-1 All Habitats'!$X$3,AC148="None",AC148),IF(AND(P148='G-1 All Habitats'!$X$3,AC148&gt;0),H148-S148-T148))))))))</f>
        <v/>
      </c>
      <c r="X148" s="545" t="str">
        <f>IFERROR(IF(H148="","",IF(H148-S148-T148=0&lt;0,"Error in Areas ▲",IF(S148+T148&gt;H148,"Error in Areas ▲",IF(AND(P148='G-1 All Habitats'!$X$3,Y148="Yes"),"Alternative Compensation",IF(W148=0,0,IF(P148='G-1 All Habitats'!$X$3,"Unacceptable Loss",Q148-U148-V148)))))),"Check Data ⚠")</f>
        <v/>
      </c>
      <c r="Y148" s="72"/>
      <c r="Z148" s="151"/>
      <c r="AA148" s="152"/>
      <c r="AC148" s="251" t="str">
        <f>IF(P148="","",IF(P148='G-1 All Habitats'!$X$3,H148-S148-T148,"None"))</f>
        <v/>
      </c>
      <c r="AD148" s="252" t="str">
        <f t="shared" si="16"/>
        <v/>
      </c>
      <c r="AF148" s="156" t="str">
        <f t="shared" si="12"/>
        <v/>
      </c>
      <c r="AG148" s="156" t="str">
        <f t="shared" si="13"/>
        <v/>
      </c>
      <c r="AH148" s="156" t="str">
        <f>IF(I148="","",IF(#REF!&gt;0,TRUE,FALSE))</f>
        <v/>
      </c>
      <c r="AI148" s="156">
        <v>138</v>
      </c>
      <c r="AJ148" s="156"/>
      <c r="AK148" s="156" t="str">
        <f t="array" ref="AK148">IFERROR(INDEX($AI$11:$AI$259, MATCH(0, IF(TRUE=$AF$11:$AF$259, COUNTIF($AK$10:$AK147, $AI$11:$AI$259), ""), 0)),"")</f>
        <v/>
      </c>
      <c r="AL148" s="156" t="str">
        <f t="array" ref="AL148">IFERROR(INDEX($AI$11:$AI$259, MATCH(0, IF(TRUE=$AG$11:$AG$259, COUNTIF($AL$10:$AL147, $AI$11:$AI$259), ""), 0)),"")</f>
        <v/>
      </c>
      <c r="AM148" s="156" t="str">
        <f t="array" ref="AM148">IFERROR(INDEX($AI$11:$AI$259, MATCH(0, IF(TRUE=$AH$11:$AH$259, COUNTIF($AM$10:$AM147, $AI$11:$AI$259), ""), 0)),"")</f>
        <v/>
      </c>
      <c r="AQ148" s="31">
        <f t="shared" si="17"/>
        <v>0</v>
      </c>
    </row>
    <row r="149" spans="1:43" x14ac:dyDescent="0.3">
      <c r="A149" s="31" t="str">
        <f>IFERROR(INDEX('G-1 All Habitats'!$AG$3:$AG$15,MATCH(E149,'G-1 All Habitats'!$AF$3:$AF$15,0)),"")</f>
        <v/>
      </c>
      <c r="B149" s="31" t="str">
        <f>IFERROR(INDEX('G-8 Condition Look up'!$I$4:$I$130,MATCH(G149,'G-8 Condition Look up'!$A$4:$A$130,0)),"")</f>
        <v/>
      </c>
      <c r="D149" s="141">
        <v>139</v>
      </c>
      <c r="E149" s="203"/>
      <c r="F149" s="203"/>
      <c r="G149" s="250" t="str">
        <f>IFERROR(INDEX('G-1 All Habitats'!$B$3:$B$129,MATCH(F149,'G-1 All Habitats'!$A$3:$A$129,0)),"")</f>
        <v/>
      </c>
      <c r="H149" s="172"/>
      <c r="I149" s="498" t="str">
        <f>IF(G149="","",VLOOKUP(G149,'G-1 All Habitats'!$B$2:$M$129,10,FALSE))</f>
        <v/>
      </c>
      <c r="J149" s="499" t="str">
        <f>IFERROR(VLOOKUP(I149,'G-1 All Habitats'!$V$3:$W$7,2,FALSE),"")</f>
        <v/>
      </c>
      <c r="K149" s="145"/>
      <c r="L149" s="499" t="str">
        <f>IFERROR(INDEX('G-8 Condition Look up'!$A$3:$H$130,MATCH(G149,'G-8 Condition Look up'!$A$3:$A$130,0),MATCH(K149,'G-8 Condition Look up'!$A$3:$H$3,0)),"")</f>
        <v/>
      </c>
      <c r="M149" s="154"/>
      <c r="N149" s="520" t="str">
        <f>IF(M149="","",IF(VLOOKUP(M149,'G-3 Multipliers'!$L$3:$N$6,2,FALSE)=0,"Spatial Data Missing ⚠",VLOOKUP(M149,'G-3 Multipliers'!$L$3:$N$6,2,FALSE)))</f>
        <v/>
      </c>
      <c r="O149" s="524" t="str">
        <f>IF(M149="","",IF(VLOOKUP(M149,'G-3 Multipliers'!$L$3:$N$6,3,FALSE)=0,"Spatial Data Missing ⚠",VLOOKUP(M149,'G-3 Multipliers'!$L$3:$N$6,3,FALSE)))</f>
        <v/>
      </c>
      <c r="P149" s="506" t="str">
        <f>IFERROR(VLOOKUP(G149,'G-1 All Habitats'!$B$2:$M$129,12,FALSE),"")</f>
        <v/>
      </c>
      <c r="Q149" s="513" t="str">
        <f>IFERROR(IF(P149="","",IF(AND(P149='G-1 All Habitats'!$X$3,T149&gt;0),U149+V149,IF(AND(P149='G-1 All Habitats'!$X$3,S149&gt;0),U149+V149,IF(AND(P149='G-1 All Habitats'!$X$3,AC149&gt;0),"Any Loss Unacceptable",IF(AND(P149='G-1 All Habitats'!$X$3,W149&gt;0),"Any Loss Unacceptable",H149*J149*L149*O149))))),"Check Data ⚠")</f>
        <v/>
      </c>
      <c r="R149" s="50"/>
      <c r="S149" s="71"/>
      <c r="T149" s="72"/>
      <c r="U149" s="511" t="str">
        <f t="shared" si="14"/>
        <v/>
      </c>
      <c r="V149" s="511" t="str">
        <f t="shared" si="15"/>
        <v/>
      </c>
      <c r="W149" s="511" t="str">
        <f>IF(E149="","",IF(H149&lt;S149+T149,"Error in Areas ▲",IF(P149&lt;&gt;'G-1 All Habitats'!$X$3,H149-S149-T149,IF(AND(P149='G-1 All Habitats'!$X$3,Y149="Yes"),"Unacceptable Loss ▲",IF(AND(P149='G-1 All Habitats'!$X$3,Y149="No"),AC149,IF(AND(P149='G-1 All Habitats'!$X$3,Y149=""),AC149,IF(AND(P149='G-1 All Habitats'!$X$3,AC149="None",AC149),IF(AND(P149='G-1 All Habitats'!$X$3,AC149&gt;0),H149-S149-T149))))))))</f>
        <v/>
      </c>
      <c r="X149" s="545" t="str">
        <f>IFERROR(IF(H149="","",IF(H149-S149-T149=0&lt;0,"Error in Areas ▲",IF(S149+T149&gt;H149,"Error in Areas ▲",IF(AND(P149='G-1 All Habitats'!$X$3,Y149="Yes"),"Alternative Compensation",IF(W149=0,0,IF(P149='G-1 All Habitats'!$X$3,"Unacceptable Loss",Q149-U149-V149)))))),"Check Data ⚠")</f>
        <v/>
      </c>
      <c r="Y149" s="72"/>
      <c r="Z149" s="151"/>
      <c r="AA149" s="152"/>
      <c r="AC149" s="251" t="str">
        <f>IF(P149="","",IF(P149='G-1 All Habitats'!$X$3,H149-S149-T149,"None"))</f>
        <v/>
      </c>
      <c r="AD149" s="252" t="str">
        <f t="shared" si="16"/>
        <v/>
      </c>
      <c r="AF149" s="156" t="str">
        <f t="shared" si="12"/>
        <v/>
      </c>
      <c r="AG149" s="156" t="str">
        <f t="shared" si="13"/>
        <v/>
      </c>
      <c r="AH149" s="156" t="str">
        <f>IF(I149="","",IF(#REF!&gt;0,TRUE,FALSE))</f>
        <v/>
      </c>
      <c r="AI149" s="156">
        <v>139</v>
      </c>
      <c r="AJ149" s="156"/>
      <c r="AK149" s="156" t="str">
        <f t="array" ref="AK149">IFERROR(INDEX($AI$11:$AI$259, MATCH(0, IF(TRUE=$AF$11:$AF$259, COUNTIF($AK$10:$AK148, $AI$11:$AI$259), ""), 0)),"")</f>
        <v/>
      </c>
      <c r="AL149" s="156" t="str">
        <f t="array" ref="AL149">IFERROR(INDEX($AI$11:$AI$259, MATCH(0, IF(TRUE=$AG$11:$AG$259, COUNTIF($AL$10:$AL148, $AI$11:$AI$259), ""), 0)),"")</f>
        <v/>
      </c>
      <c r="AM149" s="156" t="str">
        <f t="array" ref="AM149">IFERROR(INDEX($AI$11:$AI$259, MATCH(0, IF(TRUE=$AH$11:$AH$259, COUNTIF($AM$10:$AM148, $AI$11:$AI$259), ""), 0)),"")</f>
        <v/>
      </c>
      <c r="AQ149" s="31">
        <f t="shared" si="17"/>
        <v>0</v>
      </c>
    </row>
    <row r="150" spans="1:43" x14ac:dyDescent="0.3">
      <c r="A150" s="31" t="str">
        <f>IFERROR(INDEX('G-1 All Habitats'!$AG$3:$AG$15,MATCH(E150,'G-1 All Habitats'!$AF$3:$AF$15,0)),"")</f>
        <v/>
      </c>
      <c r="B150" s="31" t="str">
        <f>IFERROR(INDEX('G-8 Condition Look up'!$I$4:$I$130,MATCH(G150,'G-8 Condition Look up'!$A$4:$A$130,0)),"")</f>
        <v/>
      </c>
      <c r="D150" s="141">
        <v>140</v>
      </c>
      <c r="E150" s="203"/>
      <c r="F150" s="203"/>
      <c r="G150" s="250" t="str">
        <f>IFERROR(INDEX('G-1 All Habitats'!$B$3:$B$129,MATCH(F150,'G-1 All Habitats'!$A$3:$A$129,0)),"")</f>
        <v/>
      </c>
      <c r="H150" s="172"/>
      <c r="I150" s="498" t="str">
        <f>IF(G150="","",VLOOKUP(G150,'G-1 All Habitats'!$B$2:$M$129,10,FALSE))</f>
        <v/>
      </c>
      <c r="J150" s="499" t="str">
        <f>IFERROR(VLOOKUP(I150,'G-1 All Habitats'!$V$3:$W$7,2,FALSE),"")</f>
        <v/>
      </c>
      <c r="K150" s="145"/>
      <c r="L150" s="499" t="str">
        <f>IFERROR(INDEX('G-8 Condition Look up'!$A$3:$H$130,MATCH(G150,'G-8 Condition Look up'!$A$3:$A$130,0),MATCH(K150,'G-8 Condition Look up'!$A$3:$H$3,0)),"")</f>
        <v/>
      </c>
      <c r="M150" s="154"/>
      <c r="N150" s="520" t="str">
        <f>IF(M150="","",IF(VLOOKUP(M150,'G-3 Multipliers'!$L$3:$N$6,2,FALSE)=0,"Spatial Data Missing ⚠",VLOOKUP(M150,'G-3 Multipliers'!$L$3:$N$6,2,FALSE)))</f>
        <v/>
      </c>
      <c r="O150" s="524" t="str">
        <f>IF(M150="","",IF(VLOOKUP(M150,'G-3 Multipliers'!$L$3:$N$6,3,FALSE)=0,"Spatial Data Missing ⚠",VLOOKUP(M150,'G-3 Multipliers'!$L$3:$N$6,3,FALSE)))</f>
        <v/>
      </c>
      <c r="P150" s="506" t="str">
        <f>IFERROR(VLOOKUP(G150,'G-1 All Habitats'!$B$2:$M$129,12,FALSE),"")</f>
        <v/>
      </c>
      <c r="Q150" s="513" t="str">
        <f>IFERROR(IF(P150="","",IF(AND(P150='G-1 All Habitats'!$X$3,T150&gt;0),U150+V150,IF(AND(P150='G-1 All Habitats'!$X$3,S150&gt;0),U150+V150,IF(AND(P150='G-1 All Habitats'!$X$3,AC150&gt;0),"Any Loss Unacceptable",IF(AND(P150='G-1 All Habitats'!$X$3,W150&gt;0),"Any Loss Unacceptable",H150*J150*L150*O150))))),"Check Data ⚠")</f>
        <v/>
      </c>
      <c r="R150" s="50"/>
      <c r="S150" s="71"/>
      <c r="T150" s="72"/>
      <c r="U150" s="511" t="str">
        <f t="shared" si="14"/>
        <v/>
      </c>
      <c r="V150" s="511" t="str">
        <f t="shared" si="15"/>
        <v/>
      </c>
      <c r="W150" s="511" t="str">
        <f>IF(E150="","",IF(H150&lt;S150+T150,"Error in Areas ▲",IF(P150&lt;&gt;'G-1 All Habitats'!$X$3,H150-S150-T150,IF(AND(P150='G-1 All Habitats'!$X$3,Y150="Yes"),"Unacceptable Loss ▲",IF(AND(P150='G-1 All Habitats'!$X$3,Y150="No"),AC150,IF(AND(P150='G-1 All Habitats'!$X$3,Y150=""),AC150,IF(AND(P150='G-1 All Habitats'!$X$3,AC150="None",AC150),IF(AND(P150='G-1 All Habitats'!$X$3,AC150&gt;0),H150-S150-T150))))))))</f>
        <v/>
      </c>
      <c r="X150" s="545" t="str">
        <f>IFERROR(IF(H150="","",IF(H150-S150-T150=0&lt;0,"Error in Areas ▲",IF(S150+T150&gt;H150,"Error in Areas ▲",IF(AND(P150='G-1 All Habitats'!$X$3,Y150="Yes"),"Alternative Compensation",IF(W150=0,0,IF(P150='G-1 All Habitats'!$X$3,"Unacceptable Loss",Q150-U150-V150)))))),"Check Data ⚠")</f>
        <v/>
      </c>
      <c r="Y150" s="72"/>
      <c r="Z150" s="151"/>
      <c r="AA150" s="152"/>
      <c r="AC150" s="251" t="str">
        <f>IF(P150="","",IF(P150='G-1 All Habitats'!$X$3,H150-S150-T150,"None"))</f>
        <v/>
      </c>
      <c r="AD150" s="252" t="str">
        <f t="shared" si="16"/>
        <v/>
      </c>
      <c r="AF150" s="156" t="str">
        <f t="shared" si="12"/>
        <v/>
      </c>
      <c r="AG150" s="156" t="str">
        <f t="shared" si="13"/>
        <v/>
      </c>
      <c r="AH150" s="156" t="str">
        <f>IF(I150="","",IF(#REF!&gt;0,TRUE,FALSE))</f>
        <v/>
      </c>
      <c r="AI150" s="156">
        <v>140</v>
      </c>
      <c r="AJ150" s="156"/>
      <c r="AK150" s="156" t="str">
        <f t="array" ref="AK150">IFERROR(INDEX($AI$11:$AI$259, MATCH(0, IF(TRUE=$AF$11:$AF$259, COUNTIF($AK$10:$AK149, $AI$11:$AI$259), ""), 0)),"")</f>
        <v/>
      </c>
      <c r="AL150" s="156" t="str">
        <f t="array" ref="AL150">IFERROR(INDEX($AI$11:$AI$259, MATCH(0, IF(TRUE=$AG$11:$AG$259, COUNTIF($AL$10:$AL149, $AI$11:$AI$259), ""), 0)),"")</f>
        <v/>
      </c>
      <c r="AM150" s="156" t="str">
        <f t="array" ref="AM150">IFERROR(INDEX($AI$11:$AI$259, MATCH(0, IF(TRUE=$AH$11:$AH$259, COUNTIF($AM$10:$AM149, $AI$11:$AI$259), ""), 0)),"")</f>
        <v/>
      </c>
      <c r="AQ150" s="31">
        <f t="shared" si="17"/>
        <v>0</v>
      </c>
    </row>
    <row r="151" spans="1:43" x14ac:dyDescent="0.3">
      <c r="A151" s="31" t="str">
        <f>IFERROR(INDEX('G-1 All Habitats'!$AG$3:$AG$15,MATCH(E151,'G-1 All Habitats'!$AF$3:$AF$15,0)),"")</f>
        <v/>
      </c>
      <c r="B151" s="31" t="str">
        <f>IFERROR(INDEX('G-8 Condition Look up'!$I$4:$I$130,MATCH(G151,'G-8 Condition Look up'!$A$4:$A$130,0)),"")</f>
        <v/>
      </c>
      <c r="D151" s="141">
        <v>141</v>
      </c>
      <c r="E151" s="203"/>
      <c r="F151" s="203"/>
      <c r="G151" s="250" t="str">
        <f>IFERROR(INDEX('G-1 All Habitats'!$B$3:$B$129,MATCH(F151,'G-1 All Habitats'!$A$3:$A$129,0)),"")</f>
        <v/>
      </c>
      <c r="H151" s="172"/>
      <c r="I151" s="498" t="str">
        <f>IF(G151="","",VLOOKUP(G151,'G-1 All Habitats'!$B$2:$M$129,10,FALSE))</f>
        <v/>
      </c>
      <c r="J151" s="499" t="str">
        <f>IFERROR(VLOOKUP(I151,'G-1 All Habitats'!$V$3:$W$7,2,FALSE),"")</f>
        <v/>
      </c>
      <c r="K151" s="145"/>
      <c r="L151" s="499" t="str">
        <f>IFERROR(INDEX('G-8 Condition Look up'!$A$3:$H$130,MATCH(G151,'G-8 Condition Look up'!$A$3:$A$130,0),MATCH(K151,'G-8 Condition Look up'!$A$3:$H$3,0)),"")</f>
        <v/>
      </c>
      <c r="M151" s="154"/>
      <c r="N151" s="520" t="str">
        <f>IF(M151="","",IF(VLOOKUP(M151,'G-3 Multipliers'!$L$3:$N$6,2,FALSE)=0,"Spatial Data Missing ⚠",VLOOKUP(M151,'G-3 Multipliers'!$L$3:$N$6,2,FALSE)))</f>
        <v/>
      </c>
      <c r="O151" s="524" t="str">
        <f>IF(M151="","",IF(VLOOKUP(M151,'G-3 Multipliers'!$L$3:$N$6,3,FALSE)=0,"Spatial Data Missing ⚠",VLOOKUP(M151,'G-3 Multipliers'!$L$3:$N$6,3,FALSE)))</f>
        <v/>
      </c>
      <c r="P151" s="506" t="str">
        <f>IFERROR(VLOOKUP(G151,'G-1 All Habitats'!$B$2:$M$129,12,FALSE),"")</f>
        <v/>
      </c>
      <c r="Q151" s="513" t="str">
        <f>IFERROR(IF(P151="","",IF(AND(P151='G-1 All Habitats'!$X$3,T151&gt;0),U151+V151,IF(AND(P151='G-1 All Habitats'!$X$3,S151&gt;0),U151+V151,IF(AND(P151='G-1 All Habitats'!$X$3,AC151&gt;0),"Any Loss Unacceptable",IF(AND(P151='G-1 All Habitats'!$X$3,W151&gt;0),"Any Loss Unacceptable",H151*J151*L151*O151))))),"Check Data ⚠")</f>
        <v/>
      </c>
      <c r="R151" s="50"/>
      <c r="S151" s="71"/>
      <c r="T151" s="72"/>
      <c r="U151" s="511" t="str">
        <f t="shared" si="14"/>
        <v/>
      </c>
      <c r="V151" s="511" t="str">
        <f t="shared" si="15"/>
        <v/>
      </c>
      <c r="W151" s="511" t="str">
        <f>IF(E151="","",IF(H151&lt;S151+T151,"Error in Areas ▲",IF(P151&lt;&gt;'G-1 All Habitats'!$X$3,H151-S151-T151,IF(AND(P151='G-1 All Habitats'!$X$3,Y151="Yes"),"Unacceptable Loss ▲",IF(AND(P151='G-1 All Habitats'!$X$3,Y151="No"),AC151,IF(AND(P151='G-1 All Habitats'!$X$3,Y151=""),AC151,IF(AND(P151='G-1 All Habitats'!$X$3,AC151="None",AC151),IF(AND(P151='G-1 All Habitats'!$X$3,AC151&gt;0),H151-S151-T151))))))))</f>
        <v/>
      </c>
      <c r="X151" s="545" t="str">
        <f>IFERROR(IF(H151="","",IF(H151-S151-T151=0&lt;0,"Error in Areas ▲",IF(S151+T151&gt;H151,"Error in Areas ▲",IF(AND(P151='G-1 All Habitats'!$X$3,Y151="Yes"),"Alternative Compensation",IF(W151=0,0,IF(P151='G-1 All Habitats'!$X$3,"Unacceptable Loss",Q151-U151-V151)))))),"Check Data ⚠")</f>
        <v/>
      </c>
      <c r="Y151" s="72"/>
      <c r="Z151" s="151"/>
      <c r="AA151" s="152"/>
      <c r="AC151" s="251" t="str">
        <f>IF(P151="","",IF(P151='G-1 All Habitats'!$X$3,H151-S151-T151,"None"))</f>
        <v/>
      </c>
      <c r="AD151" s="252" t="str">
        <f t="shared" si="16"/>
        <v/>
      </c>
      <c r="AF151" s="156" t="str">
        <f t="shared" si="12"/>
        <v/>
      </c>
      <c r="AG151" s="156" t="str">
        <f t="shared" si="13"/>
        <v/>
      </c>
      <c r="AH151" s="156" t="str">
        <f>IF(I151="","",IF(#REF!&gt;0,TRUE,FALSE))</f>
        <v/>
      </c>
      <c r="AI151" s="156">
        <v>141</v>
      </c>
      <c r="AJ151" s="156"/>
      <c r="AK151" s="156" t="str">
        <f t="array" ref="AK151">IFERROR(INDEX($AI$11:$AI$259, MATCH(0, IF(TRUE=$AF$11:$AF$259, COUNTIF($AK$10:$AK150, $AI$11:$AI$259), ""), 0)),"")</f>
        <v/>
      </c>
      <c r="AL151" s="156" t="str">
        <f t="array" ref="AL151">IFERROR(INDEX($AI$11:$AI$259, MATCH(0, IF(TRUE=$AG$11:$AG$259, COUNTIF($AL$10:$AL150, $AI$11:$AI$259), ""), 0)),"")</f>
        <v/>
      </c>
      <c r="AM151" s="156" t="str">
        <f t="array" ref="AM151">IFERROR(INDEX($AI$11:$AI$259, MATCH(0, IF(TRUE=$AH$11:$AH$259, COUNTIF($AM$10:$AM150, $AI$11:$AI$259), ""), 0)),"")</f>
        <v/>
      </c>
      <c r="AQ151" s="31">
        <f t="shared" si="17"/>
        <v>0</v>
      </c>
    </row>
    <row r="152" spans="1:43" x14ac:dyDescent="0.3">
      <c r="A152" s="31" t="str">
        <f>IFERROR(INDEX('G-1 All Habitats'!$AG$3:$AG$15,MATCH(E152,'G-1 All Habitats'!$AF$3:$AF$15,0)),"")</f>
        <v/>
      </c>
      <c r="B152" s="31" t="str">
        <f>IFERROR(INDEX('G-8 Condition Look up'!$I$4:$I$130,MATCH(G152,'G-8 Condition Look up'!$A$4:$A$130,0)),"")</f>
        <v/>
      </c>
      <c r="D152" s="141">
        <v>142</v>
      </c>
      <c r="E152" s="203"/>
      <c r="F152" s="203"/>
      <c r="G152" s="250" t="str">
        <f>IFERROR(INDEX('G-1 All Habitats'!$B$3:$B$129,MATCH(F152,'G-1 All Habitats'!$A$3:$A$129,0)),"")</f>
        <v/>
      </c>
      <c r="H152" s="172"/>
      <c r="I152" s="498" t="str">
        <f>IF(G152="","",VLOOKUP(G152,'G-1 All Habitats'!$B$2:$M$129,10,FALSE))</f>
        <v/>
      </c>
      <c r="J152" s="499" t="str">
        <f>IFERROR(VLOOKUP(I152,'G-1 All Habitats'!$V$3:$W$7,2,FALSE),"")</f>
        <v/>
      </c>
      <c r="K152" s="145"/>
      <c r="L152" s="499" t="str">
        <f>IFERROR(INDEX('G-8 Condition Look up'!$A$3:$H$130,MATCH(G152,'G-8 Condition Look up'!$A$3:$A$130,0),MATCH(K152,'G-8 Condition Look up'!$A$3:$H$3,0)),"")</f>
        <v/>
      </c>
      <c r="M152" s="154"/>
      <c r="N152" s="520" t="str">
        <f>IF(M152="","",IF(VLOOKUP(M152,'G-3 Multipliers'!$L$3:$N$6,2,FALSE)=0,"Spatial Data Missing ⚠",VLOOKUP(M152,'G-3 Multipliers'!$L$3:$N$6,2,FALSE)))</f>
        <v/>
      </c>
      <c r="O152" s="524" t="str">
        <f>IF(M152="","",IF(VLOOKUP(M152,'G-3 Multipliers'!$L$3:$N$6,3,FALSE)=0,"Spatial Data Missing ⚠",VLOOKUP(M152,'G-3 Multipliers'!$L$3:$N$6,3,FALSE)))</f>
        <v/>
      </c>
      <c r="P152" s="506" t="str">
        <f>IFERROR(VLOOKUP(G152,'G-1 All Habitats'!$B$2:$M$129,12,FALSE),"")</f>
        <v/>
      </c>
      <c r="Q152" s="513" t="str">
        <f>IFERROR(IF(P152="","",IF(AND(P152='G-1 All Habitats'!$X$3,T152&gt;0),U152+V152,IF(AND(P152='G-1 All Habitats'!$X$3,S152&gt;0),U152+V152,IF(AND(P152='G-1 All Habitats'!$X$3,AC152&gt;0),"Any Loss Unacceptable",IF(AND(P152='G-1 All Habitats'!$X$3,W152&gt;0),"Any Loss Unacceptable",H152*J152*L152*O152))))),"Check Data ⚠")</f>
        <v/>
      </c>
      <c r="R152" s="50"/>
      <c r="S152" s="71"/>
      <c r="T152" s="72"/>
      <c r="U152" s="511" t="str">
        <f t="shared" si="14"/>
        <v/>
      </c>
      <c r="V152" s="511" t="str">
        <f t="shared" si="15"/>
        <v/>
      </c>
      <c r="W152" s="511" t="str">
        <f>IF(E152="","",IF(H152&lt;S152+T152,"Error in Areas ▲",IF(P152&lt;&gt;'G-1 All Habitats'!$X$3,H152-S152-T152,IF(AND(P152='G-1 All Habitats'!$X$3,Y152="Yes"),"Unacceptable Loss ▲",IF(AND(P152='G-1 All Habitats'!$X$3,Y152="No"),AC152,IF(AND(P152='G-1 All Habitats'!$X$3,Y152=""),AC152,IF(AND(P152='G-1 All Habitats'!$X$3,AC152="None",AC152),IF(AND(P152='G-1 All Habitats'!$X$3,AC152&gt;0),H152-S152-T152))))))))</f>
        <v/>
      </c>
      <c r="X152" s="545" t="str">
        <f>IFERROR(IF(H152="","",IF(H152-S152-T152=0&lt;0,"Error in Areas ▲",IF(S152+T152&gt;H152,"Error in Areas ▲",IF(AND(P152='G-1 All Habitats'!$X$3,Y152="Yes"),"Alternative Compensation",IF(W152=0,0,IF(P152='G-1 All Habitats'!$X$3,"Unacceptable Loss",Q152-U152-V152)))))),"Check Data ⚠")</f>
        <v/>
      </c>
      <c r="Y152" s="72"/>
      <c r="Z152" s="151"/>
      <c r="AA152" s="152"/>
      <c r="AC152" s="251" t="str">
        <f>IF(P152="","",IF(P152='G-1 All Habitats'!$X$3,H152-S152-T152,"None"))</f>
        <v/>
      </c>
      <c r="AD152" s="252" t="str">
        <f t="shared" si="16"/>
        <v/>
      </c>
      <c r="AF152" s="156" t="str">
        <f t="shared" si="12"/>
        <v/>
      </c>
      <c r="AG152" s="156" t="str">
        <f t="shared" si="13"/>
        <v/>
      </c>
      <c r="AH152" s="156" t="str">
        <f>IF(I152="","",IF(#REF!&gt;0,TRUE,FALSE))</f>
        <v/>
      </c>
      <c r="AI152" s="156">
        <v>142</v>
      </c>
      <c r="AJ152" s="156"/>
      <c r="AK152" s="156" t="str">
        <f t="array" ref="AK152">IFERROR(INDEX($AI$11:$AI$259, MATCH(0, IF(TRUE=$AF$11:$AF$259, COUNTIF($AK$10:$AK151, $AI$11:$AI$259), ""), 0)),"")</f>
        <v/>
      </c>
      <c r="AL152" s="156" t="str">
        <f t="array" ref="AL152">IFERROR(INDEX($AI$11:$AI$259, MATCH(0, IF(TRUE=$AG$11:$AG$259, COUNTIF($AL$10:$AL151, $AI$11:$AI$259), ""), 0)),"")</f>
        <v/>
      </c>
      <c r="AM152" s="156" t="str">
        <f t="array" ref="AM152">IFERROR(INDEX($AI$11:$AI$259, MATCH(0, IF(TRUE=$AH$11:$AH$259, COUNTIF($AM$10:$AM151, $AI$11:$AI$259), ""), 0)),"")</f>
        <v/>
      </c>
      <c r="AQ152" s="31">
        <f t="shared" si="17"/>
        <v>0</v>
      </c>
    </row>
    <row r="153" spans="1:43" x14ac:dyDescent="0.3">
      <c r="A153" s="31" t="str">
        <f>IFERROR(INDEX('G-1 All Habitats'!$AG$3:$AG$15,MATCH(E153,'G-1 All Habitats'!$AF$3:$AF$15,0)),"")</f>
        <v/>
      </c>
      <c r="B153" s="31" t="str">
        <f>IFERROR(INDEX('G-8 Condition Look up'!$I$4:$I$130,MATCH(G153,'G-8 Condition Look up'!$A$4:$A$130,0)),"")</f>
        <v/>
      </c>
      <c r="D153" s="141">
        <v>143</v>
      </c>
      <c r="E153" s="203"/>
      <c r="F153" s="203"/>
      <c r="G153" s="250" t="str">
        <f>IFERROR(INDEX('G-1 All Habitats'!$B$3:$B$129,MATCH(F153,'G-1 All Habitats'!$A$3:$A$129,0)),"")</f>
        <v/>
      </c>
      <c r="H153" s="172"/>
      <c r="I153" s="498" t="str">
        <f>IF(G153="","",VLOOKUP(G153,'G-1 All Habitats'!$B$2:$M$129,10,FALSE))</f>
        <v/>
      </c>
      <c r="J153" s="499" t="str">
        <f>IFERROR(VLOOKUP(I153,'G-1 All Habitats'!$V$3:$W$7,2,FALSE),"")</f>
        <v/>
      </c>
      <c r="K153" s="145"/>
      <c r="L153" s="499" t="str">
        <f>IFERROR(INDEX('G-8 Condition Look up'!$A$3:$H$130,MATCH(G153,'G-8 Condition Look up'!$A$3:$A$130,0),MATCH(K153,'G-8 Condition Look up'!$A$3:$H$3,0)),"")</f>
        <v/>
      </c>
      <c r="M153" s="154"/>
      <c r="N153" s="520" t="str">
        <f>IF(M153="","",IF(VLOOKUP(M153,'G-3 Multipliers'!$L$3:$N$6,2,FALSE)=0,"Spatial Data Missing ⚠",VLOOKUP(M153,'G-3 Multipliers'!$L$3:$N$6,2,FALSE)))</f>
        <v/>
      </c>
      <c r="O153" s="524" t="str">
        <f>IF(M153="","",IF(VLOOKUP(M153,'G-3 Multipliers'!$L$3:$N$6,3,FALSE)=0,"Spatial Data Missing ⚠",VLOOKUP(M153,'G-3 Multipliers'!$L$3:$N$6,3,FALSE)))</f>
        <v/>
      </c>
      <c r="P153" s="506" t="str">
        <f>IFERROR(VLOOKUP(G153,'G-1 All Habitats'!$B$2:$M$129,12,FALSE),"")</f>
        <v/>
      </c>
      <c r="Q153" s="513" t="str">
        <f>IFERROR(IF(P153="","",IF(AND(P153='G-1 All Habitats'!$X$3,T153&gt;0),U153+V153,IF(AND(P153='G-1 All Habitats'!$X$3,S153&gt;0),U153+V153,IF(AND(P153='G-1 All Habitats'!$X$3,AC153&gt;0),"Any Loss Unacceptable",IF(AND(P153='G-1 All Habitats'!$X$3,W153&gt;0),"Any Loss Unacceptable",H153*J153*L153*O153))))),"Check Data ⚠")</f>
        <v/>
      </c>
      <c r="R153" s="50"/>
      <c r="S153" s="71"/>
      <c r="T153" s="72"/>
      <c r="U153" s="511" t="str">
        <f t="shared" si="14"/>
        <v/>
      </c>
      <c r="V153" s="511" t="str">
        <f t="shared" si="15"/>
        <v/>
      </c>
      <c r="W153" s="511" t="str">
        <f>IF(E153="","",IF(H153&lt;S153+T153,"Error in Areas ▲",IF(P153&lt;&gt;'G-1 All Habitats'!$X$3,H153-S153-T153,IF(AND(P153='G-1 All Habitats'!$X$3,Y153="Yes"),"Unacceptable Loss ▲",IF(AND(P153='G-1 All Habitats'!$X$3,Y153="No"),AC153,IF(AND(P153='G-1 All Habitats'!$X$3,Y153=""),AC153,IF(AND(P153='G-1 All Habitats'!$X$3,AC153="None",AC153),IF(AND(P153='G-1 All Habitats'!$X$3,AC153&gt;0),H153-S153-T153))))))))</f>
        <v/>
      </c>
      <c r="X153" s="545" t="str">
        <f>IFERROR(IF(H153="","",IF(H153-S153-T153=0&lt;0,"Error in Areas ▲",IF(S153+T153&gt;H153,"Error in Areas ▲",IF(AND(P153='G-1 All Habitats'!$X$3,Y153="Yes"),"Alternative Compensation",IF(W153=0,0,IF(P153='G-1 All Habitats'!$X$3,"Unacceptable Loss",Q153-U153-V153)))))),"Check Data ⚠")</f>
        <v/>
      </c>
      <c r="Y153" s="72"/>
      <c r="Z153" s="151"/>
      <c r="AA153" s="152"/>
      <c r="AC153" s="251" t="str">
        <f>IF(P153="","",IF(P153='G-1 All Habitats'!$X$3,H153-S153-T153,"None"))</f>
        <v/>
      </c>
      <c r="AD153" s="252" t="str">
        <f t="shared" si="16"/>
        <v/>
      </c>
      <c r="AF153" s="156" t="str">
        <f t="shared" si="12"/>
        <v/>
      </c>
      <c r="AG153" s="156" t="str">
        <f t="shared" si="13"/>
        <v/>
      </c>
      <c r="AH153" s="156" t="str">
        <f>IF(I153="","",IF(#REF!&gt;0,TRUE,FALSE))</f>
        <v/>
      </c>
      <c r="AI153" s="156">
        <v>143</v>
      </c>
      <c r="AJ153" s="156"/>
      <c r="AK153" s="156" t="str">
        <f t="array" ref="AK153">IFERROR(INDEX($AI$11:$AI$259, MATCH(0, IF(TRUE=$AF$11:$AF$259, COUNTIF($AK$10:$AK152, $AI$11:$AI$259), ""), 0)),"")</f>
        <v/>
      </c>
      <c r="AL153" s="156" t="str">
        <f t="array" ref="AL153">IFERROR(INDEX($AI$11:$AI$259, MATCH(0, IF(TRUE=$AG$11:$AG$259, COUNTIF($AL$10:$AL152, $AI$11:$AI$259), ""), 0)),"")</f>
        <v/>
      </c>
      <c r="AM153" s="156" t="str">
        <f t="array" ref="AM153">IFERROR(INDEX($AI$11:$AI$259, MATCH(0, IF(TRUE=$AH$11:$AH$259, COUNTIF($AM$10:$AM152, $AI$11:$AI$259), ""), 0)),"")</f>
        <v/>
      </c>
      <c r="AQ153" s="31">
        <f t="shared" si="17"/>
        <v>0</v>
      </c>
    </row>
    <row r="154" spans="1:43" x14ac:dyDescent="0.3">
      <c r="A154" s="31" t="str">
        <f>IFERROR(INDEX('G-1 All Habitats'!$AG$3:$AG$15,MATCH(E154,'G-1 All Habitats'!$AF$3:$AF$15,0)),"")</f>
        <v/>
      </c>
      <c r="B154" s="31" t="str">
        <f>IFERROR(INDEX('G-8 Condition Look up'!$I$4:$I$130,MATCH(G154,'G-8 Condition Look up'!$A$4:$A$130,0)),"")</f>
        <v/>
      </c>
      <c r="D154" s="141">
        <v>144</v>
      </c>
      <c r="E154" s="203"/>
      <c r="F154" s="203"/>
      <c r="G154" s="250" t="str">
        <f>IFERROR(INDEX('G-1 All Habitats'!$B$3:$B$129,MATCH(F154,'G-1 All Habitats'!$A$3:$A$129,0)),"")</f>
        <v/>
      </c>
      <c r="H154" s="172"/>
      <c r="I154" s="498" t="str">
        <f>IF(G154="","",VLOOKUP(G154,'G-1 All Habitats'!$B$2:$M$129,10,FALSE))</f>
        <v/>
      </c>
      <c r="J154" s="499" t="str">
        <f>IFERROR(VLOOKUP(I154,'G-1 All Habitats'!$V$3:$W$7,2,FALSE),"")</f>
        <v/>
      </c>
      <c r="K154" s="145"/>
      <c r="L154" s="499" t="str">
        <f>IFERROR(INDEX('G-8 Condition Look up'!$A$3:$H$130,MATCH(G154,'G-8 Condition Look up'!$A$3:$A$130,0),MATCH(K154,'G-8 Condition Look up'!$A$3:$H$3,0)),"")</f>
        <v/>
      </c>
      <c r="M154" s="154"/>
      <c r="N154" s="520" t="str">
        <f>IF(M154="","",IF(VLOOKUP(M154,'G-3 Multipliers'!$L$3:$N$6,2,FALSE)=0,"Spatial Data Missing ⚠",VLOOKUP(M154,'G-3 Multipliers'!$L$3:$N$6,2,FALSE)))</f>
        <v/>
      </c>
      <c r="O154" s="524" t="str">
        <f>IF(M154="","",IF(VLOOKUP(M154,'G-3 Multipliers'!$L$3:$N$6,3,FALSE)=0,"Spatial Data Missing ⚠",VLOOKUP(M154,'G-3 Multipliers'!$L$3:$N$6,3,FALSE)))</f>
        <v/>
      </c>
      <c r="P154" s="506" t="str">
        <f>IFERROR(VLOOKUP(G154,'G-1 All Habitats'!$B$2:$M$129,12,FALSE),"")</f>
        <v/>
      </c>
      <c r="Q154" s="513" t="str">
        <f>IFERROR(IF(P154="","",IF(AND(P154='G-1 All Habitats'!$X$3,T154&gt;0),U154+V154,IF(AND(P154='G-1 All Habitats'!$X$3,S154&gt;0),U154+V154,IF(AND(P154='G-1 All Habitats'!$X$3,AC154&gt;0),"Any Loss Unacceptable",IF(AND(P154='G-1 All Habitats'!$X$3,W154&gt;0),"Any Loss Unacceptable",H154*J154*L154*O154))))),"Check Data ⚠")</f>
        <v/>
      </c>
      <c r="R154" s="50"/>
      <c r="S154" s="71"/>
      <c r="T154" s="72"/>
      <c r="U154" s="511" t="str">
        <f t="shared" si="14"/>
        <v/>
      </c>
      <c r="V154" s="511" t="str">
        <f t="shared" si="15"/>
        <v/>
      </c>
      <c r="W154" s="511" t="str">
        <f>IF(E154="","",IF(H154&lt;S154+T154,"Error in Areas ▲",IF(P154&lt;&gt;'G-1 All Habitats'!$X$3,H154-S154-T154,IF(AND(P154='G-1 All Habitats'!$X$3,Y154="Yes"),"Unacceptable Loss ▲",IF(AND(P154='G-1 All Habitats'!$X$3,Y154="No"),AC154,IF(AND(P154='G-1 All Habitats'!$X$3,Y154=""),AC154,IF(AND(P154='G-1 All Habitats'!$X$3,AC154="None",AC154),IF(AND(P154='G-1 All Habitats'!$X$3,AC154&gt;0),H154-S154-T154))))))))</f>
        <v/>
      </c>
      <c r="X154" s="545" t="str">
        <f>IFERROR(IF(H154="","",IF(H154-S154-T154=0&lt;0,"Error in Areas ▲",IF(S154+T154&gt;H154,"Error in Areas ▲",IF(AND(P154='G-1 All Habitats'!$X$3,Y154="Yes"),"Alternative Compensation",IF(W154=0,0,IF(P154='G-1 All Habitats'!$X$3,"Unacceptable Loss",Q154-U154-V154)))))),"Check Data ⚠")</f>
        <v/>
      </c>
      <c r="Y154" s="72"/>
      <c r="Z154" s="151"/>
      <c r="AA154" s="152"/>
      <c r="AC154" s="251" t="str">
        <f>IF(P154="","",IF(P154='G-1 All Habitats'!$X$3,H154-S154-T154,"None"))</f>
        <v/>
      </c>
      <c r="AD154" s="252" t="str">
        <f t="shared" si="16"/>
        <v/>
      </c>
      <c r="AF154" s="156" t="str">
        <f t="shared" si="12"/>
        <v/>
      </c>
      <c r="AG154" s="156" t="str">
        <f t="shared" si="13"/>
        <v/>
      </c>
      <c r="AH154" s="156" t="str">
        <f>IF(I154="","",IF(#REF!&gt;0,TRUE,FALSE))</f>
        <v/>
      </c>
      <c r="AI154" s="156">
        <v>144</v>
      </c>
      <c r="AJ154" s="156"/>
      <c r="AK154" s="156" t="str">
        <f t="array" ref="AK154">IFERROR(INDEX($AI$11:$AI$259, MATCH(0, IF(TRUE=$AF$11:$AF$259, COUNTIF($AK$10:$AK153, $AI$11:$AI$259), ""), 0)),"")</f>
        <v/>
      </c>
      <c r="AL154" s="156" t="str">
        <f t="array" ref="AL154">IFERROR(INDEX($AI$11:$AI$259, MATCH(0, IF(TRUE=$AG$11:$AG$259, COUNTIF($AL$10:$AL153, $AI$11:$AI$259), ""), 0)),"")</f>
        <v/>
      </c>
      <c r="AM154" s="156" t="str">
        <f t="array" ref="AM154">IFERROR(INDEX($AI$11:$AI$259, MATCH(0, IF(TRUE=$AH$11:$AH$259, COUNTIF($AM$10:$AM153, $AI$11:$AI$259), ""), 0)),"")</f>
        <v/>
      </c>
      <c r="AQ154" s="31">
        <f t="shared" si="17"/>
        <v>0</v>
      </c>
    </row>
    <row r="155" spans="1:43" x14ac:dyDescent="0.3">
      <c r="A155" s="31" t="str">
        <f>IFERROR(INDEX('G-1 All Habitats'!$AG$3:$AG$15,MATCH(E155,'G-1 All Habitats'!$AF$3:$AF$15,0)),"")</f>
        <v/>
      </c>
      <c r="B155" s="31" t="str">
        <f>IFERROR(INDEX('G-8 Condition Look up'!$I$4:$I$130,MATCH(G155,'G-8 Condition Look up'!$A$4:$A$130,0)),"")</f>
        <v/>
      </c>
      <c r="D155" s="141">
        <v>145</v>
      </c>
      <c r="E155" s="203"/>
      <c r="F155" s="203"/>
      <c r="G155" s="250" t="str">
        <f>IFERROR(INDEX('G-1 All Habitats'!$B$3:$B$129,MATCH(F155,'G-1 All Habitats'!$A$3:$A$129,0)),"")</f>
        <v/>
      </c>
      <c r="H155" s="172"/>
      <c r="I155" s="498" t="str">
        <f>IF(G155="","",VLOOKUP(G155,'G-1 All Habitats'!$B$2:$M$129,10,FALSE))</f>
        <v/>
      </c>
      <c r="J155" s="499" t="str">
        <f>IFERROR(VLOOKUP(I155,'G-1 All Habitats'!$V$3:$W$7,2,FALSE),"")</f>
        <v/>
      </c>
      <c r="K155" s="145"/>
      <c r="L155" s="499" t="str">
        <f>IFERROR(INDEX('G-8 Condition Look up'!$A$3:$H$130,MATCH(G155,'G-8 Condition Look up'!$A$3:$A$130,0),MATCH(K155,'G-8 Condition Look up'!$A$3:$H$3,0)),"")</f>
        <v/>
      </c>
      <c r="M155" s="154"/>
      <c r="N155" s="520" t="str">
        <f>IF(M155="","",IF(VLOOKUP(M155,'G-3 Multipliers'!$L$3:$N$6,2,FALSE)=0,"Spatial Data Missing ⚠",VLOOKUP(M155,'G-3 Multipliers'!$L$3:$N$6,2,FALSE)))</f>
        <v/>
      </c>
      <c r="O155" s="524" t="str">
        <f>IF(M155="","",IF(VLOOKUP(M155,'G-3 Multipliers'!$L$3:$N$6,3,FALSE)=0,"Spatial Data Missing ⚠",VLOOKUP(M155,'G-3 Multipliers'!$L$3:$N$6,3,FALSE)))</f>
        <v/>
      </c>
      <c r="P155" s="506" t="str">
        <f>IFERROR(VLOOKUP(G155,'G-1 All Habitats'!$B$2:$M$129,12,FALSE),"")</f>
        <v/>
      </c>
      <c r="Q155" s="513" t="str">
        <f>IFERROR(IF(P155="","",IF(AND(P155='G-1 All Habitats'!$X$3,T155&gt;0),U155+V155,IF(AND(P155='G-1 All Habitats'!$X$3,S155&gt;0),U155+V155,IF(AND(P155='G-1 All Habitats'!$X$3,AC155&gt;0),"Any Loss Unacceptable",IF(AND(P155='G-1 All Habitats'!$X$3,W155&gt;0),"Any Loss Unacceptable",H155*J155*L155*O155))))),"Check Data ⚠")</f>
        <v/>
      </c>
      <c r="R155" s="50"/>
      <c r="S155" s="71"/>
      <c r="T155" s="72"/>
      <c r="U155" s="511" t="str">
        <f t="shared" si="14"/>
        <v/>
      </c>
      <c r="V155" s="511" t="str">
        <f t="shared" si="15"/>
        <v/>
      </c>
      <c r="W155" s="511" t="str">
        <f>IF(E155="","",IF(H155&lt;S155+T155,"Error in Areas ▲",IF(P155&lt;&gt;'G-1 All Habitats'!$X$3,H155-S155-T155,IF(AND(P155='G-1 All Habitats'!$X$3,Y155="Yes"),"Unacceptable Loss ▲",IF(AND(P155='G-1 All Habitats'!$X$3,Y155="No"),AC155,IF(AND(P155='G-1 All Habitats'!$X$3,Y155=""),AC155,IF(AND(P155='G-1 All Habitats'!$X$3,AC155="None",AC155),IF(AND(P155='G-1 All Habitats'!$X$3,AC155&gt;0),H155-S155-T155))))))))</f>
        <v/>
      </c>
      <c r="X155" s="545" t="str">
        <f>IFERROR(IF(H155="","",IF(H155-S155-T155=0&lt;0,"Error in Areas ▲",IF(S155+T155&gt;H155,"Error in Areas ▲",IF(AND(P155='G-1 All Habitats'!$X$3,Y155="Yes"),"Alternative Compensation",IF(W155=0,0,IF(P155='G-1 All Habitats'!$X$3,"Unacceptable Loss",Q155-U155-V155)))))),"Check Data ⚠")</f>
        <v/>
      </c>
      <c r="Y155" s="72"/>
      <c r="Z155" s="151"/>
      <c r="AA155" s="152"/>
      <c r="AC155" s="251" t="str">
        <f>IF(P155="","",IF(P155='G-1 All Habitats'!$X$3,H155-S155-T155,"None"))</f>
        <v/>
      </c>
      <c r="AD155" s="252" t="str">
        <f t="shared" si="16"/>
        <v/>
      </c>
      <c r="AF155" s="156" t="str">
        <f t="shared" si="12"/>
        <v/>
      </c>
      <c r="AG155" s="156" t="str">
        <f t="shared" si="13"/>
        <v/>
      </c>
      <c r="AH155" s="156" t="str">
        <f>IF(I155="","",IF(#REF!&gt;0,TRUE,FALSE))</f>
        <v/>
      </c>
      <c r="AI155" s="156">
        <v>145</v>
      </c>
      <c r="AJ155" s="156"/>
      <c r="AK155" s="156" t="str">
        <f t="array" ref="AK155">IFERROR(INDEX($AI$11:$AI$259, MATCH(0, IF(TRUE=$AF$11:$AF$259, COUNTIF($AK$10:$AK154, $AI$11:$AI$259), ""), 0)),"")</f>
        <v/>
      </c>
      <c r="AL155" s="156" t="str">
        <f t="array" ref="AL155">IFERROR(INDEX($AI$11:$AI$259, MATCH(0, IF(TRUE=$AG$11:$AG$259, COUNTIF($AL$10:$AL154, $AI$11:$AI$259), ""), 0)),"")</f>
        <v/>
      </c>
      <c r="AM155" s="156" t="str">
        <f t="array" ref="AM155">IFERROR(INDEX($AI$11:$AI$259, MATCH(0, IF(TRUE=$AH$11:$AH$259, COUNTIF($AM$10:$AM154, $AI$11:$AI$259), ""), 0)),"")</f>
        <v/>
      </c>
      <c r="AQ155" s="31">
        <f t="shared" si="17"/>
        <v>0</v>
      </c>
    </row>
    <row r="156" spans="1:43" x14ac:dyDescent="0.3">
      <c r="A156" s="31" t="str">
        <f>IFERROR(INDEX('G-1 All Habitats'!$AG$3:$AG$15,MATCH(E156,'G-1 All Habitats'!$AF$3:$AF$15,0)),"")</f>
        <v/>
      </c>
      <c r="B156" s="31" t="str">
        <f>IFERROR(INDEX('G-8 Condition Look up'!$I$4:$I$130,MATCH(G156,'G-8 Condition Look up'!$A$4:$A$130,0)),"")</f>
        <v/>
      </c>
      <c r="D156" s="141">
        <v>146</v>
      </c>
      <c r="E156" s="203"/>
      <c r="F156" s="203"/>
      <c r="G156" s="250" t="str">
        <f>IFERROR(INDEX('G-1 All Habitats'!$B$3:$B$129,MATCH(F156,'G-1 All Habitats'!$A$3:$A$129,0)),"")</f>
        <v/>
      </c>
      <c r="H156" s="172"/>
      <c r="I156" s="498" t="str">
        <f>IF(G156="","",VLOOKUP(G156,'G-1 All Habitats'!$B$2:$M$129,10,FALSE))</f>
        <v/>
      </c>
      <c r="J156" s="499" t="str">
        <f>IFERROR(VLOOKUP(I156,'G-1 All Habitats'!$V$3:$W$7,2,FALSE),"")</f>
        <v/>
      </c>
      <c r="K156" s="145"/>
      <c r="L156" s="499" t="str">
        <f>IFERROR(INDEX('G-8 Condition Look up'!$A$3:$H$130,MATCH(G156,'G-8 Condition Look up'!$A$3:$A$130,0),MATCH(K156,'G-8 Condition Look up'!$A$3:$H$3,0)),"")</f>
        <v/>
      </c>
      <c r="M156" s="154"/>
      <c r="N156" s="520" t="str">
        <f>IF(M156="","",IF(VLOOKUP(M156,'G-3 Multipliers'!$L$3:$N$6,2,FALSE)=0,"Spatial Data Missing ⚠",VLOOKUP(M156,'G-3 Multipliers'!$L$3:$N$6,2,FALSE)))</f>
        <v/>
      </c>
      <c r="O156" s="524" t="str">
        <f>IF(M156="","",IF(VLOOKUP(M156,'G-3 Multipliers'!$L$3:$N$6,3,FALSE)=0,"Spatial Data Missing ⚠",VLOOKUP(M156,'G-3 Multipliers'!$L$3:$N$6,3,FALSE)))</f>
        <v/>
      </c>
      <c r="P156" s="506" t="str">
        <f>IFERROR(VLOOKUP(G156,'G-1 All Habitats'!$B$2:$M$129,12,FALSE),"")</f>
        <v/>
      </c>
      <c r="Q156" s="513" t="str">
        <f>IFERROR(IF(P156="","",IF(AND(P156='G-1 All Habitats'!$X$3,T156&gt;0),U156+V156,IF(AND(P156='G-1 All Habitats'!$X$3,S156&gt;0),U156+V156,IF(AND(P156='G-1 All Habitats'!$X$3,AC156&gt;0),"Any Loss Unacceptable",IF(AND(P156='G-1 All Habitats'!$X$3,W156&gt;0),"Any Loss Unacceptable",H156*J156*L156*O156))))),"Check Data ⚠")</f>
        <v/>
      </c>
      <c r="R156" s="50"/>
      <c r="S156" s="71"/>
      <c r="T156" s="72"/>
      <c r="U156" s="511" t="str">
        <f t="shared" si="14"/>
        <v/>
      </c>
      <c r="V156" s="511" t="str">
        <f t="shared" si="15"/>
        <v/>
      </c>
      <c r="W156" s="511" t="str">
        <f>IF(E156="","",IF(H156&lt;S156+T156,"Error in Areas ▲",IF(P156&lt;&gt;'G-1 All Habitats'!$X$3,H156-S156-T156,IF(AND(P156='G-1 All Habitats'!$X$3,Y156="Yes"),"Unacceptable Loss ▲",IF(AND(P156='G-1 All Habitats'!$X$3,Y156="No"),AC156,IF(AND(P156='G-1 All Habitats'!$X$3,Y156=""),AC156,IF(AND(P156='G-1 All Habitats'!$X$3,AC156="None",AC156),IF(AND(P156='G-1 All Habitats'!$X$3,AC156&gt;0),H156-S156-T156))))))))</f>
        <v/>
      </c>
      <c r="X156" s="545" t="str">
        <f>IFERROR(IF(H156="","",IF(H156-S156-T156=0&lt;0,"Error in Areas ▲",IF(S156+T156&gt;H156,"Error in Areas ▲",IF(AND(P156='G-1 All Habitats'!$X$3,Y156="Yes"),"Alternative Compensation",IF(W156=0,0,IF(P156='G-1 All Habitats'!$X$3,"Unacceptable Loss",Q156-U156-V156)))))),"Check Data ⚠")</f>
        <v/>
      </c>
      <c r="Y156" s="72"/>
      <c r="Z156" s="151"/>
      <c r="AA156" s="152"/>
      <c r="AC156" s="251" t="str">
        <f>IF(P156="","",IF(P156='G-1 All Habitats'!$X$3,H156-S156-T156,"None"))</f>
        <v/>
      </c>
      <c r="AD156" s="252" t="str">
        <f t="shared" si="16"/>
        <v/>
      </c>
      <c r="AF156" s="156" t="str">
        <f t="shared" si="12"/>
        <v/>
      </c>
      <c r="AG156" s="156" t="str">
        <f t="shared" si="13"/>
        <v/>
      </c>
      <c r="AH156" s="156" t="str">
        <f>IF(I156="","",IF(#REF!&gt;0,TRUE,FALSE))</f>
        <v/>
      </c>
      <c r="AI156" s="156">
        <v>146</v>
      </c>
      <c r="AJ156" s="156"/>
      <c r="AK156" s="156" t="str">
        <f t="array" ref="AK156">IFERROR(INDEX($AI$11:$AI$259, MATCH(0, IF(TRUE=$AF$11:$AF$259, COUNTIF($AK$10:$AK155, $AI$11:$AI$259), ""), 0)),"")</f>
        <v/>
      </c>
      <c r="AL156" s="156" t="str">
        <f t="array" ref="AL156">IFERROR(INDEX($AI$11:$AI$259, MATCH(0, IF(TRUE=$AG$11:$AG$259, COUNTIF($AL$10:$AL155, $AI$11:$AI$259), ""), 0)),"")</f>
        <v/>
      </c>
      <c r="AM156" s="156" t="str">
        <f t="array" ref="AM156">IFERROR(INDEX($AI$11:$AI$259, MATCH(0, IF(TRUE=$AH$11:$AH$259, COUNTIF($AM$10:$AM155, $AI$11:$AI$259), ""), 0)),"")</f>
        <v/>
      </c>
      <c r="AQ156" s="31">
        <f t="shared" si="17"/>
        <v>0</v>
      </c>
    </row>
    <row r="157" spans="1:43" x14ac:dyDescent="0.3">
      <c r="A157" s="31" t="str">
        <f>IFERROR(INDEX('G-1 All Habitats'!$AG$3:$AG$15,MATCH(E157,'G-1 All Habitats'!$AF$3:$AF$15,0)),"")</f>
        <v/>
      </c>
      <c r="B157" s="31" t="str">
        <f>IFERROR(INDEX('G-8 Condition Look up'!$I$4:$I$130,MATCH(G157,'G-8 Condition Look up'!$A$4:$A$130,0)),"")</f>
        <v/>
      </c>
      <c r="D157" s="141">
        <v>147</v>
      </c>
      <c r="E157" s="203"/>
      <c r="F157" s="203"/>
      <c r="G157" s="250" t="str">
        <f>IFERROR(INDEX('G-1 All Habitats'!$B$3:$B$129,MATCH(F157,'G-1 All Habitats'!$A$3:$A$129,0)),"")</f>
        <v/>
      </c>
      <c r="H157" s="172"/>
      <c r="I157" s="498" t="str">
        <f>IF(G157="","",VLOOKUP(G157,'G-1 All Habitats'!$B$2:$M$129,10,FALSE))</f>
        <v/>
      </c>
      <c r="J157" s="499" t="str">
        <f>IFERROR(VLOOKUP(I157,'G-1 All Habitats'!$V$3:$W$7,2,FALSE),"")</f>
        <v/>
      </c>
      <c r="K157" s="145"/>
      <c r="L157" s="499" t="str">
        <f>IFERROR(INDEX('G-8 Condition Look up'!$A$3:$H$130,MATCH(G157,'G-8 Condition Look up'!$A$3:$A$130,0),MATCH(K157,'G-8 Condition Look up'!$A$3:$H$3,0)),"")</f>
        <v/>
      </c>
      <c r="M157" s="154"/>
      <c r="N157" s="520" t="str">
        <f>IF(M157="","",IF(VLOOKUP(M157,'G-3 Multipliers'!$L$3:$N$6,2,FALSE)=0,"Spatial Data Missing ⚠",VLOOKUP(M157,'G-3 Multipliers'!$L$3:$N$6,2,FALSE)))</f>
        <v/>
      </c>
      <c r="O157" s="524" t="str">
        <f>IF(M157="","",IF(VLOOKUP(M157,'G-3 Multipliers'!$L$3:$N$6,3,FALSE)=0,"Spatial Data Missing ⚠",VLOOKUP(M157,'G-3 Multipliers'!$L$3:$N$6,3,FALSE)))</f>
        <v/>
      </c>
      <c r="P157" s="506" t="str">
        <f>IFERROR(VLOOKUP(G157,'G-1 All Habitats'!$B$2:$M$129,12,FALSE),"")</f>
        <v/>
      </c>
      <c r="Q157" s="513" t="str">
        <f>IFERROR(IF(P157="","",IF(AND(P157='G-1 All Habitats'!$X$3,T157&gt;0),U157+V157,IF(AND(P157='G-1 All Habitats'!$X$3,S157&gt;0),U157+V157,IF(AND(P157='G-1 All Habitats'!$X$3,AC157&gt;0),"Any Loss Unacceptable",IF(AND(P157='G-1 All Habitats'!$X$3,W157&gt;0),"Any Loss Unacceptable",H157*J157*L157*O157))))),"Check Data ⚠")</f>
        <v/>
      </c>
      <c r="R157" s="50"/>
      <c r="S157" s="71"/>
      <c r="T157" s="72"/>
      <c r="U157" s="511" t="str">
        <f t="shared" si="14"/>
        <v/>
      </c>
      <c r="V157" s="511" t="str">
        <f t="shared" si="15"/>
        <v/>
      </c>
      <c r="W157" s="511" t="str">
        <f>IF(E157="","",IF(H157&lt;S157+T157,"Error in Areas ▲",IF(P157&lt;&gt;'G-1 All Habitats'!$X$3,H157-S157-T157,IF(AND(P157='G-1 All Habitats'!$X$3,Y157="Yes"),"Unacceptable Loss ▲",IF(AND(P157='G-1 All Habitats'!$X$3,Y157="No"),AC157,IF(AND(P157='G-1 All Habitats'!$X$3,Y157=""),AC157,IF(AND(P157='G-1 All Habitats'!$X$3,AC157="None",AC157),IF(AND(P157='G-1 All Habitats'!$X$3,AC157&gt;0),H157-S157-T157))))))))</f>
        <v/>
      </c>
      <c r="X157" s="545" t="str">
        <f>IFERROR(IF(H157="","",IF(H157-S157-T157=0&lt;0,"Error in Areas ▲",IF(S157+T157&gt;H157,"Error in Areas ▲",IF(AND(P157='G-1 All Habitats'!$X$3,Y157="Yes"),"Alternative Compensation",IF(W157=0,0,IF(P157='G-1 All Habitats'!$X$3,"Unacceptable Loss",Q157-U157-V157)))))),"Check Data ⚠")</f>
        <v/>
      </c>
      <c r="Y157" s="72"/>
      <c r="Z157" s="151"/>
      <c r="AA157" s="152"/>
      <c r="AC157" s="251" t="str">
        <f>IF(P157="","",IF(P157='G-1 All Habitats'!$X$3,H157-S157-T157,"None"))</f>
        <v/>
      </c>
      <c r="AD157" s="252" t="str">
        <f t="shared" si="16"/>
        <v/>
      </c>
      <c r="AF157" s="156" t="str">
        <f t="shared" si="12"/>
        <v/>
      </c>
      <c r="AG157" s="156" t="str">
        <f t="shared" si="13"/>
        <v/>
      </c>
      <c r="AH157" s="156" t="str">
        <f>IF(I157="","",IF(#REF!&gt;0,TRUE,FALSE))</f>
        <v/>
      </c>
      <c r="AI157" s="156">
        <v>147</v>
      </c>
      <c r="AJ157" s="156"/>
      <c r="AK157" s="156" t="str">
        <f t="array" ref="AK157">IFERROR(INDEX($AI$11:$AI$259, MATCH(0, IF(TRUE=$AF$11:$AF$259, COUNTIF($AK$10:$AK156, $AI$11:$AI$259), ""), 0)),"")</f>
        <v/>
      </c>
      <c r="AL157" s="156" t="str">
        <f t="array" ref="AL157">IFERROR(INDEX($AI$11:$AI$259, MATCH(0, IF(TRUE=$AG$11:$AG$259, COUNTIF($AL$10:$AL156, $AI$11:$AI$259), ""), 0)),"")</f>
        <v/>
      </c>
      <c r="AM157" s="156" t="str">
        <f t="array" ref="AM157">IFERROR(INDEX($AI$11:$AI$259, MATCH(0, IF(TRUE=$AH$11:$AH$259, COUNTIF($AM$10:$AM156, $AI$11:$AI$259), ""), 0)),"")</f>
        <v/>
      </c>
      <c r="AQ157" s="31">
        <f t="shared" si="17"/>
        <v>0</v>
      </c>
    </row>
    <row r="158" spans="1:43" x14ac:dyDescent="0.3">
      <c r="A158" s="31" t="str">
        <f>IFERROR(INDEX('G-1 All Habitats'!$AG$3:$AG$15,MATCH(E158,'G-1 All Habitats'!$AF$3:$AF$15,0)),"")</f>
        <v/>
      </c>
      <c r="B158" s="31" t="str">
        <f>IFERROR(INDEX('G-8 Condition Look up'!$I$4:$I$130,MATCH(G158,'G-8 Condition Look up'!$A$4:$A$130,0)),"")</f>
        <v/>
      </c>
      <c r="D158" s="141">
        <v>148</v>
      </c>
      <c r="E158" s="203"/>
      <c r="F158" s="203"/>
      <c r="G158" s="250" t="str">
        <f>IFERROR(INDEX('G-1 All Habitats'!$B$3:$B$129,MATCH(F158,'G-1 All Habitats'!$A$3:$A$129,0)),"")</f>
        <v/>
      </c>
      <c r="H158" s="172"/>
      <c r="I158" s="498" t="str">
        <f>IF(G158="","",VLOOKUP(G158,'G-1 All Habitats'!$B$2:$M$129,10,FALSE))</f>
        <v/>
      </c>
      <c r="J158" s="499" t="str">
        <f>IFERROR(VLOOKUP(I158,'G-1 All Habitats'!$V$3:$W$7,2,FALSE),"")</f>
        <v/>
      </c>
      <c r="K158" s="145"/>
      <c r="L158" s="499" t="str">
        <f>IFERROR(INDEX('G-8 Condition Look up'!$A$3:$H$130,MATCH(G158,'G-8 Condition Look up'!$A$3:$A$130,0),MATCH(K158,'G-8 Condition Look up'!$A$3:$H$3,0)),"")</f>
        <v/>
      </c>
      <c r="M158" s="154"/>
      <c r="N158" s="520" t="str">
        <f>IF(M158="","",IF(VLOOKUP(M158,'G-3 Multipliers'!$L$3:$N$6,2,FALSE)=0,"Spatial Data Missing ⚠",VLOOKUP(M158,'G-3 Multipliers'!$L$3:$N$6,2,FALSE)))</f>
        <v/>
      </c>
      <c r="O158" s="524" t="str">
        <f>IF(M158="","",IF(VLOOKUP(M158,'G-3 Multipliers'!$L$3:$N$6,3,FALSE)=0,"Spatial Data Missing ⚠",VLOOKUP(M158,'G-3 Multipliers'!$L$3:$N$6,3,FALSE)))</f>
        <v/>
      </c>
      <c r="P158" s="506" t="str">
        <f>IFERROR(VLOOKUP(G158,'G-1 All Habitats'!$B$2:$M$129,12,FALSE),"")</f>
        <v/>
      </c>
      <c r="Q158" s="513" t="str">
        <f>IFERROR(IF(P158="","",IF(AND(P158='G-1 All Habitats'!$X$3,T158&gt;0),U158+V158,IF(AND(P158='G-1 All Habitats'!$X$3,S158&gt;0),U158+V158,IF(AND(P158='G-1 All Habitats'!$X$3,AC158&gt;0),"Any Loss Unacceptable",IF(AND(P158='G-1 All Habitats'!$X$3,W158&gt;0),"Any Loss Unacceptable",H158*J158*L158*O158))))),"Check Data ⚠")</f>
        <v/>
      </c>
      <c r="R158" s="50"/>
      <c r="S158" s="71"/>
      <c r="T158" s="72"/>
      <c r="U158" s="511" t="str">
        <f t="shared" si="14"/>
        <v/>
      </c>
      <c r="V158" s="511" t="str">
        <f t="shared" si="15"/>
        <v/>
      </c>
      <c r="W158" s="511" t="str">
        <f>IF(E158="","",IF(H158&lt;S158+T158,"Error in Areas ▲",IF(P158&lt;&gt;'G-1 All Habitats'!$X$3,H158-S158-T158,IF(AND(P158='G-1 All Habitats'!$X$3,Y158="Yes"),"Unacceptable Loss ▲",IF(AND(P158='G-1 All Habitats'!$X$3,Y158="No"),AC158,IF(AND(P158='G-1 All Habitats'!$X$3,Y158=""),AC158,IF(AND(P158='G-1 All Habitats'!$X$3,AC158="None",AC158),IF(AND(P158='G-1 All Habitats'!$X$3,AC158&gt;0),H158-S158-T158))))))))</f>
        <v/>
      </c>
      <c r="X158" s="545" t="str">
        <f>IFERROR(IF(H158="","",IF(H158-S158-T158=0&lt;0,"Error in Areas ▲",IF(S158+T158&gt;H158,"Error in Areas ▲",IF(AND(P158='G-1 All Habitats'!$X$3,Y158="Yes"),"Alternative Compensation",IF(W158=0,0,IF(P158='G-1 All Habitats'!$X$3,"Unacceptable Loss",Q158-U158-V158)))))),"Check Data ⚠")</f>
        <v/>
      </c>
      <c r="Y158" s="72"/>
      <c r="Z158" s="151"/>
      <c r="AA158" s="152"/>
      <c r="AC158" s="251" t="str">
        <f>IF(P158="","",IF(P158='G-1 All Habitats'!$X$3,H158-S158-T158,"None"))</f>
        <v/>
      </c>
      <c r="AD158" s="252" t="str">
        <f t="shared" si="16"/>
        <v/>
      </c>
      <c r="AF158" s="156" t="str">
        <f t="shared" si="12"/>
        <v/>
      </c>
      <c r="AG158" s="156" t="str">
        <f t="shared" si="13"/>
        <v/>
      </c>
      <c r="AH158" s="156" t="str">
        <f>IF(I158="","",IF(#REF!&gt;0,TRUE,FALSE))</f>
        <v/>
      </c>
      <c r="AI158" s="156">
        <v>148</v>
      </c>
      <c r="AJ158" s="156"/>
      <c r="AK158" s="156" t="str">
        <f t="array" ref="AK158">IFERROR(INDEX($AI$11:$AI$259, MATCH(0, IF(TRUE=$AF$11:$AF$259, COUNTIF($AK$10:$AK157, $AI$11:$AI$259), ""), 0)),"")</f>
        <v/>
      </c>
      <c r="AL158" s="156" t="str">
        <f t="array" ref="AL158">IFERROR(INDEX($AI$11:$AI$259, MATCH(0, IF(TRUE=$AG$11:$AG$259, COUNTIF($AL$10:$AL157, $AI$11:$AI$259), ""), 0)),"")</f>
        <v/>
      </c>
      <c r="AM158" s="156" t="str">
        <f t="array" ref="AM158">IFERROR(INDEX($AI$11:$AI$259, MATCH(0, IF(TRUE=$AH$11:$AH$259, COUNTIF($AM$10:$AM157, $AI$11:$AI$259), ""), 0)),"")</f>
        <v/>
      </c>
      <c r="AQ158" s="31">
        <f t="shared" si="17"/>
        <v>0</v>
      </c>
    </row>
    <row r="159" spans="1:43" x14ac:dyDescent="0.3">
      <c r="A159" s="31" t="str">
        <f>IFERROR(INDEX('G-1 All Habitats'!$AG$3:$AG$15,MATCH(E159,'G-1 All Habitats'!$AF$3:$AF$15,0)),"")</f>
        <v/>
      </c>
      <c r="B159" s="31" t="str">
        <f>IFERROR(INDEX('G-8 Condition Look up'!$I$4:$I$130,MATCH(G159,'G-8 Condition Look up'!$A$4:$A$130,0)),"")</f>
        <v/>
      </c>
      <c r="D159" s="141">
        <v>149</v>
      </c>
      <c r="E159" s="203"/>
      <c r="F159" s="203"/>
      <c r="G159" s="250" t="str">
        <f>IFERROR(INDEX('G-1 All Habitats'!$B$3:$B$129,MATCH(F159,'G-1 All Habitats'!$A$3:$A$129,0)),"")</f>
        <v/>
      </c>
      <c r="H159" s="172"/>
      <c r="I159" s="498" t="str">
        <f>IF(G159="","",VLOOKUP(G159,'G-1 All Habitats'!$B$2:$M$129,10,FALSE))</f>
        <v/>
      </c>
      <c r="J159" s="499" t="str">
        <f>IFERROR(VLOOKUP(I159,'G-1 All Habitats'!$V$3:$W$7,2,FALSE),"")</f>
        <v/>
      </c>
      <c r="K159" s="145"/>
      <c r="L159" s="499" t="str">
        <f>IFERROR(INDEX('G-8 Condition Look up'!$A$3:$H$130,MATCH(G159,'G-8 Condition Look up'!$A$3:$A$130,0),MATCH(K159,'G-8 Condition Look up'!$A$3:$H$3,0)),"")</f>
        <v/>
      </c>
      <c r="M159" s="154"/>
      <c r="N159" s="520" t="str">
        <f>IF(M159="","",IF(VLOOKUP(M159,'G-3 Multipliers'!$L$3:$N$6,2,FALSE)=0,"Spatial Data Missing ⚠",VLOOKUP(M159,'G-3 Multipliers'!$L$3:$N$6,2,FALSE)))</f>
        <v/>
      </c>
      <c r="O159" s="524" t="str">
        <f>IF(M159="","",IF(VLOOKUP(M159,'G-3 Multipliers'!$L$3:$N$6,3,FALSE)=0,"Spatial Data Missing ⚠",VLOOKUP(M159,'G-3 Multipliers'!$L$3:$N$6,3,FALSE)))</f>
        <v/>
      </c>
      <c r="P159" s="506" t="str">
        <f>IFERROR(VLOOKUP(G159,'G-1 All Habitats'!$B$2:$M$129,12,FALSE),"")</f>
        <v/>
      </c>
      <c r="Q159" s="513" t="str">
        <f>IFERROR(IF(P159="","",IF(AND(P159='G-1 All Habitats'!$X$3,T159&gt;0),U159+V159,IF(AND(P159='G-1 All Habitats'!$X$3,S159&gt;0),U159+V159,IF(AND(P159='G-1 All Habitats'!$X$3,AC159&gt;0),"Any Loss Unacceptable",IF(AND(P159='G-1 All Habitats'!$X$3,W159&gt;0),"Any Loss Unacceptable",H159*J159*L159*O159))))),"Check Data ⚠")</f>
        <v/>
      </c>
      <c r="R159" s="50"/>
      <c r="S159" s="71"/>
      <c r="T159" s="72"/>
      <c r="U159" s="511" t="str">
        <f t="shared" si="14"/>
        <v/>
      </c>
      <c r="V159" s="511" t="str">
        <f t="shared" si="15"/>
        <v/>
      </c>
      <c r="W159" s="511" t="str">
        <f>IF(E159="","",IF(H159&lt;S159+T159,"Error in Areas ▲",IF(P159&lt;&gt;'G-1 All Habitats'!$X$3,H159-S159-T159,IF(AND(P159='G-1 All Habitats'!$X$3,Y159="Yes"),"Unacceptable Loss ▲",IF(AND(P159='G-1 All Habitats'!$X$3,Y159="No"),AC159,IF(AND(P159='G-1 All Habitats'!$X$3,Y159=""),AC159,IF(AND(P159='G-1 All Habitats'!$X$3,AC159="None",AC159),IF(AND(P159='G-1 All Habitats'!$X$3,AC159&gt;0),H159-S159-T159))))))))</f>
        <v/>
      </c>
      <c r="X159" s="545" t="str">
        <f>IFERROR(IF(H159="","",IF(H159-S159-T159=0&lt;0,"Error in Areas ▲",IF(S159+T159&gt;H159,"Error in Areas ▲",IF(AND(P159='G-1 All Habitats'!$X$3,Y159="Yes"),"Alternative Compensation",IF(W159=0,0,IF(P159='G-1 All Habitats'!$X$3,"Unacceptable Loss",Q159-U159-V159)))))),"Check Data ⚠")</f>
        <v/>
      </c>
      <c r="Y159" s="72"/>
      <c r="Z159" s="151"/>
      <c r="AA159" s="152"/>
      <c r="AC159" s="251" t="str">
        <f>IF(P159="","",IF(P159='G-1 All Habitats'!$X$3,H159-S159-T159,"None"))</f>
        <v/>
      </c>
      <c r="AD159" s="252" t="str">
        <f t="shared" si="16"/>
        <v/>
      </c>
      <c r="AF159" s="156" t="str">
        <f t="shared" si="12"/>
        <v/>
      </c>
      <c r="AG159" s="156" t="str">
        <f t="shared" si="13"/>
        <v/>
      </c>
      <c r="AH159" s="156" t="str">
        <f>IF(I159="","",IF(#REF!&gt;0,TRUE,FALSE))</f>
        <v/>
      </c>
      <c r="AI159" s="156">
        <v>149</v>
      </c>
      <c r="AJ159" s="156"/>
      <c r="AK159" s="156" t="str">
        <f t="array" ref="AK159">IFERROR(INDEX($AI$11:$AI$259, MATCH(0, IF(TRUE=$AF$11:$AF$259, COUNTIF($AK$10:$AK158, $AI$11:$AI$259), ""), 0)),"")</f>
        <v/>
      </c>
      <c r="AL159" s="156" t="str">
        <f t="array" ref="AL159">IFERROR(INDEX($AI$11:$AI$259, MATCH(0, IF(TRUE=$AG$11:$AG$259, COUNTIF($AL$10:$AL158, $AI$11:$AI$259), ""), 0)),"")</f>
        <v/>
      </c>
      <c r="AM159" s="156" t="str">
        <f t="array" ref="AM159">IFERROR(INDEX($AI$11:$AI$259, MATCH(0, IF(TRUE=$AH$11:$AH$259, COUNTIF($AM$10:$AM158, $AI$11:$AI$259), ""), 0)),"")</f>
        <v/>
      </c>
      <c r="AQ159" s="31">
        <f t="shared" si="17"/>
        <v>0</v>
      </c>
    </row>
    <row r="160" spans="1:43" x14ac:dyDescent="0.3">
      <c r="A160" s="31" t="str">
        <f>IFERROR(INDEX('G-1 All Habitats'!$AG$3:$AG$15,MATCH(E160,'G-1 All Habitats'!$AF$3:$AF$15,0)),"")</f>
        <v/>
      </c>
      <c r="B160" s="31" t="str">
        <f>IFERROR(INDEX('G-8 Condition Look up'!$I$4:$I$130,MATCH(G160,'G-8 Condition Look up'!$A$4:$A$130,0)),"")</f>
        <v/>
      </c>
      <c r="D160" s="141">
        <v>150</v>
      </c>
      <c r="E160" s="203"/>
      <c r="F160" s="203"/>
      <c r="G160" s="250" t="str">
        <f>IFERROR(INDEX('G-1 All Habitats'!$B$3:$B$129,MATCH(F160,'G-1 All Habitats'!$A$3:$A$129,0)),"")</f>
        <v/>
      </c>
      <c r="H160" s="172"/>
      <c r="I160" s="498" t="str">
        <f>IF(G160="","",VLOOKUP(G160,'G-1 All Habitats'!$B$2:$M$129,10,FALSE))</f>
        <v/>
      </c>
      <c r="J160" s="499" t="str">
        <f>IFERROR(VLOOKUP(I160,'G-1 All Habitats'!$V$3:$W$7,2,FALSE),"")</f>
        <v/>
      </c>
      <c r="K160" s="145"/>
      <c r="L160" s="499" t="str">
        <f>IFERROR(INDEX('G-8 Condition Look up'!$A$3:$H$130,MATCH(G160,'G-8 Condition Look up'!$A$3:$A$130,0),MATCH(K160,'G-8 Condition Look up'!$A$3:$H$3,0)),"")</f>
        <v/>
      </c>
      <c r="M160" s="154"/>
      <c r="N160" s="520" t="str">
        <f>IF(M160="","",IF(VLOOKUP(M160,'G-3 Multipliers'!$L$3:$N$6,2,FALSE)=0,"Spatial Data Missing ⚠",VLOOKUP(M160,'G-3 Multipliers'!$L$3:$N$6,2,FALSE)))</f>
        <v/>
      </c>
      <c r="O160" s="524" t="str">
        <f>IF(M160="","",IF(VLOOKUP(M160,'G-3 Multipliers'!$L$3:$N$6,3,FALSE)=0,"Spatial Data Missing ⚠",VLOOKUP(M160,'G-3 Multipliers'!$L$3:$N$6,3,FALSE)))</f>
        <v/>
      </c>
      <c r="P160" s="506" t="str">
        <f>IFERROR(VLOOKUP(G160,'G-1 All Habitats'!$B$2:$M$129,12,FALSE),"")</f>
        <v/>
      </c>
      <c r="Q160" s="513" t="str">
        <f>IFERROR(IF(P160="","",IF(AND(P160='G-1 All Habitats'!$X$3,T160&gt;0),U160+V160,IF(AND(P160='G-1 All Habitats'!$X$3,S160&gt;0),U160+V160,IF(AND(P160='G-1 All Habitats'!$X$3,AC160&gt;0),"Any Loss Unacceptable",IF(AND(P160='G-1 All Habitats'!$X$3,W160&gt;0),"Any Loss Unacceptable",H160*J160*L160*O160))))),"Check Data ⚠")</f>
        <v/>
      </c>
      <c r="R160" s="50"/>
      <c r="S160" s="71"/>
      <c r="T160" s="72"/>
      <c r="U160" s="511" t="str">
        <f t="shared" si="14"/>
        <v/>
      </c>
      <c r="V160" s="511" t="str">
        <f t="shared" si="15"/>
        <v/>
      </c>
      <c r="W160" s="511" t="str">
        <f>IF(E160="","",IF(H160&lt;S160+T160,"Error in Areas ▲",IF(P160&lt;&gt;'G-1 All Habitats'!$X$3,H160-S160-T160,IF(AND(P160='G-1 All Habitats'!$X$3,Y160="Yes"),"Unacceptable Loss ▲",IF(AND(P160='G-1 All Habitats'!$X$3,Y160="No"),AC160,IF(AND(P160='G-1 All Habitats'!$X$3,Y160=""),AC160,IF(AND(P160='G-1 All Habitats'!$X$3,AC160="None",AC160),IF(AND(P160='G-1 All Habitats'!$X$3,AC160&gt;0),H160-S160-T160))))))))</f>
        <v/>
      </c>
      <c r="X160" s="545" t="str">
        <f>IFERROR(IF(H160="","",IF(H160-S160-T160=0&lt;0,"Error in Areas ▲",IF(S160+T160&gt;H160,"Error in Areas ▲",IF(AND(P160='G-1 All Habitats'!$X$3,Y160="Yes"),"Alternative Compensation",IF(W160=0,0,IF(P160='G-1 All Habitats'!$X$3,"Unacceptable Loss",Q160-U160-V160)))))),"Check Data ⚠")</f>
        <v/>
      </c>
      <c r="Y160" s="72"/>
      <c r="Z160" s="151"/>
      <c r="AA160" s="152"/>
      <c r="AC160" s="251" t="str">
        <f>IF(P160="","",IF(P160='G-1 All Habitats'!$X$3,H160-S160-T160,"None"))</f>
        <v/>
      </c>
      <c r="AD160" s="252" t="str">
        <f t="shared" si="16"/>
        <v/>
      </c>
      <c r="AF160" s="156" t="str">
        <f t="shared" si="12"/>
        <v/>
      </c>
      <c r="AG160" s="156" t="str">
        <f t="shared" si="13"/>
        <v/>
      </c>
      <c r="AH160" s="156" t="str">
        <f>IF(I160="","",IF(#REF!&gt;0,TRUE,FALSE))</f>
        <v/>
      </c>
      <c r="AI160" s="156">
        <v>150</v>
      </c>
      <c r="AJ160" s="156"/>
      <c r="AK160" s="156" t="str">
        <f t="array" ref="AK160">IFERROR(INDEX($AI$11:$AI$259, MATCH(0, IF(TRUE=$AF$11:$AF$259, COUNTIF($AK$10:$AK159, $AI$11:$AI$259), ""), 0)),"")</f>
        <v/>
      </c>
      <c r="AL160" s="156" t="str">
        <f t="array" ref="AL160">IFERROR(INDEX($AI$11:$AI$259, MATCH(0, IF(TRUE=$AG$11:$AG$259, COUNTIF($AL$10:$AL159, $AI$11:$AI$259), ""), 0)),"")</f>
        <v/>
      </c>
      <c r="AM160" s="156" t="str">
        <f t="array" ref="AM160">IFERROR(INDEX($AI$11:$AI$259, MATCH(0, IF(TRUE=$AH$11:$AH$259, COUNTIF($AM$10:$AM159, $AI$11:$AI$259), ""), 0)),"")</f>
        <v/>
      </c>
      <c r="AQ160" s="31">
        <f t="shared" si="17"/>
        <v>0</v>
      </c>
    </row>
    <row r="161" spans="1:43" x14ac:dyDescent="0.3">
      <c r="A161" s="31" t="str">
        <f>IFERROR(INDEX('G-1 All Habitats'!$AG$3:$AG$15,MATCH(E161,'G-1 All Habitats'!$AF$3:$AF$15,0)),"")</f>
        <v/>
      </c>
      <c r="B161" s="31" t="str">
        <f>IFERROR(INDEX('G-8 Condition Look up'!$I$4:$I$130,MATCH(G161,'G-8 Condition Look up'!$A$4:$A$130,0)),"")</f>
        <v/>
      </c>
      <c r="D161" s="141">
        <v>151</v>
      </c>
      <c r="E161" s="203"/>
      <c r="F161" s="203"/>
      <c r="G161" s="250" t="str">
        <f>IFERROR(INDEX('G-1 All Habitats'!$B$3:$B$129,MATCH(F161,'G-1 All Habitats'!$A$3:$A$129,0)),"")</f>
        <v/>
      </c>
      <c r="H161" s="172"/>
      <c r="I161" s="498" t="str">
        <f>IF(G161="","",VLOOKUP(G161,'G-1 All Habitats'!$B$2:$M$129,10,FALSE))</f>
        <v/>
      </c>
      <c r="J161" s="499" t="str">
        <f>IFERROR(VLOOKUP(I161,'G-1 All Habitats'!$V$3:$W$7,2,FALSE),"")</f>
        <v/>
      </c>
      <c r="K161" s="145"/>
      <c r="L161" s="499" t="str">
        <f>IFERROR(INDEX('G-8 Condition Look up'!$A$3:$H$130,MATCH(G161,'G-8 Condition Look up'!$A$3:$A$130,0),MATCH(K161,'G-8 Condition Look up'!$A$3:$H$3,0)),"")</f>
        <v/>
      </c>
      <c r="M161" s="154"/>
      <c r="N161" s="520" t="str">
        <f>IF(M161="","",IF(VLOOKUP(M161,'G-3 Multipliers'!$L$3:$N$6,2,FALSE)=0,"Spatial Data Missing ⚠",VLOOKUP(M161,'G-3 Multipliers'!$L$3:$N$6,2,FALSE)))</f>
        <v/>
      </c>
      <c r="O161" s="524" t="str">
        <f>IF(M161="","",IF(VLOOKUP(M161,'G-3 Multipliers'!$L$3:$N$6,3,FALSE)=0,"Spatial Data Missing ⚠",VLOOKUP(M161,'G-3 Multipliers'!$L$3:$N$6,3,FALSE)))</f>
        <v/>
      </c>
      <c r="P161" s="506" t="str">
        <f>IFERROR(VLOOKUP(G161,'G-1 All Habitats'!$B$2:$M$129,12,FALSE),"")</f>
        <v/>
      </c>
      <c r="Q161" s="513" t="str">
        <f>IFERROR(IF(P161="","",IF(AND(P161='G-1 All Habitats'!$X$3,T161&gt;0),U161+V161,IF(AND(P161='G-1 All Habitats'!$X$3,S161&gt;0),U161+V161,IF(AND(P161='G-1 All Habitats'!$X$3,AC161&gt;0),"Any Loss Unacceptable",IF(AND(P161='G-1 All Habitats'!$X$3,W161&gt;0),"Any Loss Unacceptable",H161*J161*L161*O161))))),"Check Data ⚠")</f>
        <v/>
      </c>
      <c r="R161" s="50"/>
      <c r="S161" s="71"/>
      <c r="T161" s="72"/>
      <c r="U161" s="511" t="str">
        <f t="shared" si="14"/>
        <v/>
      </c>
      <c r="V161" s="511" t="str">
        <f t="shared" si="15"/>
        <v/>
      </c>
      <c r="W161" s="511" t="str">
        <f>IF(E161="","",IF(H161&lt;S161+T161,"Error in Areas ▲",IF(P161&lt;&gt;'G-1 All Habitats'!$X$3,H161-S161-T161,IF(AND(P161='G-1 All Habitats'!$X$3,Y161="Yes"),"Unacceptable Loss ▲",IF(AND(P161='G-1 All Habitats'!$X$3,Y161="No"),AC161,IF(AND(P161='G-1 All Habitats'!$X$3,Y161=""),AC161,IF(AND(P161='G-1 All Habitats'!$X$3,AC161="None",AC161),IF(AND(P161='G-1 All Habitats'!$X$3,AC161&gt;0),H161-S161-T161))))))))</f>
        <v/>
      </c>
      <c r="X161" s="545" t="str">
        <f>IFERROR(IF(H161="","",IF(H161-S161-T161=0&lt;0,"Error in Areas ▲",IF(S161+T161&gt;H161,"Error in Areas ▲",IF(AND(P161='G-1 All Habitats'!$X$3,Y161="Yes"),"Alternative Compensation",IF(W161=0,0,IF(P161='G-1 All Habitats'!$X$3,"Unacceptable Loss",Q161-U161-V161)))))),"Check Data ⚠")</f>
        <v/>
      </c>
      <c r="Y161" s="72"/>
      <c r="Z161" s="151"/>
      <c r="AA161" s="152"/>
      <c r="AC161" s="251" t="str">
        <f>IF(P161="","",IF(P161='G-1 All Habitats'!$X$3,H161-S161-T161,"None"))</f>
        <v/>
      </c>
      <c r="AD161" s="252" t="str">
        <f t="shared" si="16"/>
        <v/>
      </c>
      <c r="AF161" s="156" t="str">
        <f t="shared" si="12"/>
        <v/>
      </c>
      <c r="AG161" s="156" t="str">
        <f t="shared" si="13"/>
        <v/>
      </c>
      <c r="AH161" s="156" t="str">
        <f>IF(I161="","",IF(#REF!&gt;0,TRUE,FALSE))</f>
        <v/>
      </c>
      <c r="AI161" s="156">
        <v>151</v>
      </c>
      <c r="AJ161" s="156"/>
      <c r="AK161" s="156" t="str">
        <f t="array" ref="AK161">IFERROR(INDEX($AI$11:$AI$259, MATCH(0, IF(TRUE=$AF$11:$AF$259, COUNTIF($AK$10:$AK160, $AI$11:$AI$259), ""), 0)),"")</f>
        <v/>
      </c>
      <c r="AL161" s="156" t="str">
        <f t="array" ref="AL161">IFERROR(INDEX($AI$11:$AI$259, MATCH(0, IF(TRUE=$AG$11:$AG$259, COUNTIF($AL$10:$AL160, $AI$11:$AI$259), ""), 0)),"")</f>
        <v/>
      </c>
      <c r="AM161" s="156" t="str">
        <f t="array" ref="AM161">IFERROR(INDEX($AI$11:$AI$259, MATCH(0, IF(TRUE=$AH$11:$AH$259, COUNTIF($AM$10:$AM160, $AI$11:$AI$259), ""), 0)),"")</f>
        <v/>
      </c>
      <c r="AQ161" s="31">
        <f t="shared" si="17"/>
        <v>0</v>
      </c>
    </row>
    <row r="162" spans="1:43" x14ac:dyDescent="0.3">
      <c r="A162" s="31" t="str">
        <f>IFERROR(INDEX('G-1 All Habitats'!$AG$3:$AG$15,MATCH(E162,'G-1 All Habitats'!$AF$3:$AF$15,0)),"")</f>
        <v/>
      </c>
      <c r="B162" s="31" t="str">
        <f>IFERROR(INDEX('G-8 Condition Look up'!$I$4:$I$130,MATCH(G162,'G-8 Condition Look up'!$A$4:$A$130,0)),"")</f>
        <v/>
      </c>
      <c r="D162" s="141">
        <v>152</v>
      </c>
      <c r="E162" s="203"/>
      <c r="F162" s="203"/>
      <c r="G162" s="250" t="str">
        <f>IFERROR(INDEX('G-1 All Habitats'!$B$3:$B$129,MATCH(F162,'G-1 All Habitats'!$A$3:$A$129,0)),"")</f>
        <v/>
      </c>
      <c r="H162" s="172"/>
      <c r="I162" s="498" t="str">
        <f>IF(G162="","",VLOOKUP(G162,'G-1 All Habitats'!$B$2:$M$129,10,FALSE))</f>
        <v/>
      </c>
      <c r="J162" s="499" t="str">
        <f>IFERROR(VLOOKUP(I162,'G-1 All Habitats'!$V$3:$W$7,2,FALSE),"")</f>
        <v/>
      </c>
      <c r="K162" s="145"/>
      <c r="L162" s="499" t="str">
        <f>IFERROR(INDEX('G-8 Condition Look up'!$A$3:$H$130,MATCH(G162,'G-8 Condition Look up'!$A$3:$A$130,0),MATCH(K162,'G-8 Condition Look up'!$A$3:$H$3,0)),"")</f>
        <v/>
      </c>
      <c r="M162" s="154"/>
      <c r="N162" s="520" t="str">
        <f>IF(M162="","",IF(VLOOKUP(M162,'G-3 Multipliers'!$L$3:$N$6,2,FALSE)=0,"Spatial Data Missing ⚠",VLOOKUP(M162,'G-3 Multipliers'!$L$3:$N$6,2,FALSE)))</f>
        <v/>
      </c>
      <c r="O162" s="524" t="str">
        <f>IF(M162="","",IF(VLOOKUP(M162,'G-3 Multipliers'!$L$3:$N$6,3,FALSE)=0,"Spatial Data Missing ⚠",VLOOKUP(M162,'G-3 Multipliers'!$L$3:$N$6,3,FALSE)))</f>
        <v/>
      </c>
      <c r="P162" s="506" t="str">
        <f>IFERROR(VLOOKUP(G162,'G-1 All Habitats'!$B$2:$M$129,12,FALSE),"")</f>
        <v/>
      </c>
      <c r="Q162" s="513" t="str">
        <f>IFERROR(IF(P162="","",IF(AND(P162='G-1 All Habitats'!$X$3,T162&gt;0),U162+V162,IF(AND(P162='G-1 All Habitats'!$X$3,S162&gt;0),U162+V162,IF(AND(P162='G-1 All Habitats'!$X$3,AC162&gt;0),"Any Loss Unacceptable",IF(AND(P162='G-1 All Habitats'!$X$3,W162&gt;0),"Any Loss Unacceptable",H162*J162*L162*O162))))),"Check Data ⚠")</f>
        <v/>
      </c>
      <c r="R162" s="50"/>
      <c r="S162" s="71"/>
      <c r="T162" s="72"/>
      <c r="U162" s="511" t="str">
        <f t="shared" si="14"/>
        <v/>
      </c>
      <c r="V162" s="511" t="str">
        <f t="shared" si="15"/>
        <v/>
      </c>
      <c r="W162" s="511" t="str">
        <f>IF(E162="","",IF(H162&lt;S162+T162,"Error in Areas ▲",IF(P162&lt;&gt;'G-1 All Habitats'!$X$3,H162-S162-T162,IF(AND(P162='G-1 All Habitats'!$X$3,Y162="Yes"),"Unacceptable Loss ▲",IF(AND(P162='G-1 All Habitats'!$X$3,Y162="No"),AC162,IF(AND(P162='G-1 All Habitats'!$X$3,Y162=""),AC162,IF(AND(P162='G-1 All Habitats'!$X$3,AC162="None",AC162),IF(AND(P162='G-1 All Habitats'!$X$3,AC162&gt;0),H162-S162-T162))))))))</f>
        <v/>
      </c>
      <c r="X162" s="545" t="str">
        <f>IFERROR(IF(H162="","",IF(H162-S162-T162=0&lt;0,"Error in Areas ▲",IF(S162+T162&gt;H162,"Error in Areas ▲",IF(AND(P162='G-1 All Habitats'!$X$3,Y162="Yes"),"Alternative Compensation",IF(W162=0,0,IF(P162='G-1 All Habitats'!$X$3,"Unacceptable Loss",Q162-U162-V162)))))),"Check Data ⚠")</f>
        <v/>
      </c>
      <c r="Y162" s="72"/>
      <c r="Z162" s="151"/>
      <c r="AA162" s="152"/>
      <c r="AC162" s="251" t="str">
        <f>IF(P162="","",IF(P162='G-1 All Habitats'!$X$3,H162-S162-T162,"None"))</f>
        <v/>
      </c>
      <c r="AD162" s="252" t="str">
        <f t="shared" si="16"/>
        <v/>
      </c>
      <c r="AF162" s="156" t="str">
        <f t="shared" si="12"/>
        <v/>
      </c>
      <c r="AG162" s="156" t="str">
        <f t="shared" si="13"/>
        <v/>
      </c>
      <c r="AH162" s="156" t="str">
        <f>IF(I162="","",IF(#REF!&gt;0,TRUE,FALSE))</f>
        <v/>
      </c>
      <c r="AI162" s="156">
        <v>152</v>
      </c>
      <c r="AJ162" s="156"/>
      <c r="AK162" s="156" t="str">
        <f t="array" ref="AK162">IFERROR(INDEX($AI$11:$AI$259, MATCH(0, IF(TRUE=$AF$11:$AF$259, COUNTIF($AK$10:$AK161, $AI$11:$AI$259), ""), 0)),"")</f>
        <v/>
      </c>
      <c r="AL162" s="156" t="str">
        <f t="array" ref="AL162">IFERROR(INDEX($AI$11:$AI$259, MATCH(0, IF(TRUE=$AG$11:$AG$259, COUNTIF($AL$10:$AL161, $AI$11:$AI$259), ""), 0)),"")</f>
        <v/>
      </c>
      <c r="AM162" s="156" t="str">
        <f t="array" ref="AM162">IFERROR(INDEX($AI$11:$AI$259, MATCH(0, IF(TRUE=$AH$11:$AH$259, COUNTIF($AM$10:$AM161, $AI$11:$AI$259), ""), 0)),"")</f>
        <v/>
      </c>
      <c r="AQ162" s="31">
        <f t="shared" si="17"/>
        <v>0</v>
      </c>
    </row>
    <row r="163" spans="1:43" x14ac:dyDescent="0.3">
      <c r="A163" s="31" t="str">
        <f>IFERROR(INDEX('G-1 All Habitats'!$AG$3:$AG$15,MATCH(E163,'G-1 All Habitats'!$AF$3:$AF$15,0)),"")</f>
        <v/>
      </c>
      <c r="B163" s="31" t="str">
        <f>IFERROR(INDEX('G-8 Condition Look up'!$I$4:$I$130,MATCH(G163,'G-8 Condition Look up'!$A$4:$A$130,0)),"")</f>
        <v/>
      </c>
      <c r="D163" s="141">
        <v>153</v>
      </c>
      <c r="E163" s="203"/>
      <c r="F163" s="203"/>
      <c r="G163" s="250" t="str">
        <f>IFERROR(INDEX('G-1 All Habitats'!$B$3:$B$129,MATCH(F163,'G-1 All Habitats'!$A$3:$A$129,0)),"")</f>
        <v/>
      </c>
      <c r="H163" s="172"/>
      <c r="I163" s="498" t="str">
        <f>IF(G163="","",VLOOKUP(G163,'G-1 All Habitats'!$B$2:$M$129,10,FALSE))</f>
        <v/>
      </c>
      <c r="J163" s="499" t="str">
        <f>IFERROR(VLOOKUP(I163,'G-1 All Habitats'!$V$3:$W$7,2,FALSE),"")</f>
        <v/>
      </c>
      <c r="K163" s="145"/>
      <c r="L163" s="499" t="str">
        <f>IFERROR(INDEX('G-8 Condition Look up'!$A$3:$H$130,MATCH(G163,'G-8 Condition Look up'!$A$3:$A$130,0),MATCH(K163,'G-8 Condition Look up'!$A$3:$H$3,0)),"")</f>
        <v/>
      </c>
      <c r="M163" s="154"/>
      <c r="N163" s="520" t="str">
        <f>IF(M163="","",IF(VLOOKUP(M163,'G-3 Multipliers'!$L$3:$N$6,2,FALSE)=0,"Spatial Data Missing ⚠",VLOOKUP(M163,'G-3 Multipliers'!$L$3:$N$6,2,FALSE)))</f>
        <v/>
      </c>
      <c r="O163" s="524" t="str">
        <f>IF(M163="","",IF(VLOOKUP(M163,'G-3 Multipliers'!$L$3:$N$6,3,FALSE)=0,"Spatial Data Missing ⚠",VLOOKUP(M163,'G-3 Multipliers'!$L$3:$N$6,3,FALSE)))</f>
        <v/>
      </c>
      <c r="P163" s="506" t="str">
        <f>IFERROR(VLOOKUP(G163,'G-1 All Habitats'!$B$2:$M$129,12,FALSE),"")</f>
        <v/>
      </c>
      <c r="Q163" s="513" t="str">
        <f>IFERROR(IF(P163="","",IF(AND(P163='G-1 All Habitats'!$X$3,T163&gt;0),U163+V163,IF(AND(P163='G-1 All Habitats'!$X$3,S163&gt;0),U163+V163,IF(AND(P163='G-1 All Habitats'!$X$3,AC163&gt;0),"Any Loss Unacceptable",IF(AND(P163='G-1 All Habitats'!$X$3,W163&gt;0),"Any Loss Unacceptable",H163*J163*L163*O163))))),"Check Data ⚠")</f>
        <v/>
      </c>
      <c r="R163" s="50"/>
      <c r="S163" s="71"/>
      <c r="T163" s="72"/>
      <c r="U163" s="511" t="str">
        <f t="shared" si="14"/>
        <v/>
      </c>
      <c r="V163" s="511" t="str">
        <f t="shared" si="15"/>
        <v/>
      </c>
      <c r="W163" s="511" t="str">
        <f>IF(E163="","",IF(H163&lt;S163+T163,"Error in Areas ▲",IF(P163&lt;&gt;'G-1 All Habitats'!$X$3,H163-S163-T163,IF(AND(P163='G-1 All Habitats'!$X$3,Y163="Yes"),"Unacceptable Loss ▲",IF(AND(P163='G-1 All Habitats'!$X$3,Y163="No"),AC163,IF(AND(P163='G-1 All Habitats'!$X$3,Y163=""),AC163,IF(AND(P163='G-1 All Habitats'!$X$3,AC163="None",AC163),IF(AND(P163='G-1 All Habitats'!$X$3,AC163&gt;0),H163-S163-T163))))))))</f>
        <v/>
      </c>
      <c r="X163" s="545" t="str">
        <f>IFERROR(IF(H163="","",IF(H163-S163-T163=0&lt;0,"Error in Areas ▲",IF(S163+T163&gt;H163,"Error in Areas ▲",IF(AND(P163='G-1 All Habitats'!$X$3,Y163="Yes"),"Alternative Compensation",IF(W163=0,0,IF(P163='G-1 All Habitats'!$X$3,"Unacceptable Loss",Q163-U163-V163)))))),"Check Data ⚠")</f>
        <v/>
      </c>
      <c r="Y163" s="72"/>
      <c r="Z163" s="151"/>
      <c r="AA163" s="152"/>
      <c r="AC163" s="251" t="str">
        <f>IF(P163="","",IF(P163='G-1 All Habitats'!$X$3,H163-S163-T163,"None"))</f>
        <v/>
      </c>
      <c r="AD163" s="252" t="str">
        <f t="shared" si="16"/>
        <v/>
      </c>
      <c r="AF163" s="156" t="str">
        <f t="shared" si="12"/>
        <v/>
      </c>
      <c r="AG163" s="156" t="str">
        <f t="shared" si="13"/>
        <v/>
      </c>
      <c r="AH163" s="156" t="str">
        <f>IF(I163="","",IF(#REF!&gt;0,TRUE,FALSE))</f>
        <v/>
      </c>
      <c r="AI163" s="156">
        <v>153</v>
      </c>
      <c r="AJ163" s="156"/>
      <c r="AK163" s="156" t="str">
        <f t="array" ref="AK163">IFERROR(INDEX($AI$11:$AI$259, MATCH(0, IF(TRUE=$AF$11:$AF$259, COUNTIF($AK$10:$AK162, $AI$11:$AI$259), ""), 0)),"")</f>
        <v/>
      </c>
      <c r="AL163" s="156" t="str">
        <f t="array" ref="AL163">IFERROR(INDEX($AI$11:$AI$259, MATCH(0, IF(TRUE=$AG$11:$AG$259, COUNTIF($AL$10:$AL162, $AI$11:$AI$259), ""), 0)),"")</f>
        <v/>
      </c>
      <c r="AM163" s="156" t="str">
        <f t="array" ref="AM163">IFERROR(INDEX($AI$11:$AI$259, MATCH(0, IF(TRUE=$AH$11:$AH$259, COUNTIF($AM$10:$AM162, $AI$11:$AI$259), ""), 0)),"")</f>
        <v/>
      </c>
      <c r="AQ163" s="31">
        <f t="shared" si="17"/>
        <v>0</v>
      </c>
    </row>
    <row r="164" spans="1:43" x14ac:dyDescent="0.3">
      <c r="A164" s="31" t="str">
        <f>IFERROR(INDEX('G-1 All Habitats'!$AG$3:$AG$15,MATCH(E164,'G-1 All Habitats'!$AF$3:$AF$15,0)),"")</f>
        <v/>
      </c>
      <c r="B164" s="31" t="str">
        <f>IFERROR(INDEX('G-8 Condition Look up'!$I$4:$I$130,MATCH(G164,'G-8 Condition Look up'!$A$4:$A$130,0)),"")</f>
        <v/>
      </c>
      <c r="D164" s="141">
        <v>154</v>
      </c>
      <c r="E164" s="203"/>
      <c r="F164" s="203"/>
      <c r="G164" s="250" t="str">
        <f>IFERROR(INDEX('G-1 All Habitats'!$B$3:$B$129,MATCH(F164,'G-1 All Habitats'!$A$3:$A$129,0)),"")</f>
        <v/>
      </c>
      <c r="H164" s="172"/>
      <c r="I164" s="498" t="str">
        <f>IF(G164="","",VLOOKUP(G164,'G-1 All Habitats'!$B$2:$M$129,10,FALSE))</f>
        <v/>
      </c>
      <c r="J164" s="499" t="str">
        <f>IFERROR(VLOOKUP(I164,'G-1 All Habitats'!$V$3:$W$7,2,FALSE),"")</f>
        <v/>
      </c>
      <c r="K164" s="145"/>
      <c r="L164" s="499" t="str">
        <f>IFERROR(INDEX('G-8 Condition Look up'!$A$3:$H$130,MATCH(G164,'G-8 Condition Look up'!$A$3:$A$130,0),MATCH(K164,'G-8 Condition Look up'!$A$3:$H$3,0)),"")</f>
        <v/>
      </c>
      <c r="M164" s="154"/>
      <c r="N164" s="520" t="str">
        <f>IF(M164="","",IF(VLOOKUP(M164,'G-3 Multipliers'!$L$3:$N$6,2,FALSE)=0,"Spatial Data Missing ⚠",VLOOKUP(M164,'G-3 Multipliers'!$L$3:$N$6,2,FALSE)))</f>
        <v/>
      </c>
      <c r="O164" s="524" t="str">
        <f>IF(M164="","",IF(VLOOKUP(M164,'G-3 Multipliers'!$L$3:$N$6,3,FALSE)=0,"Spatial Data Missing ⚠",VLOOKUP(M164,'G-3 Multipliers'!$L$3:$N$6,3,FALSE)))</f>
        <v/>
      </c>
      <c r="P164" s="506" t="str">
        <f>IFERROR(VLOOKUP(G164,'G-1 All Habitats'!$B$2:$M$129,12,FALSE),"")</f>
        <v/>
      </c>
      <c r="Q164" s="513" t="str">
        <f>IFERROR(IF(P164="","",IF(AND(P164='G-1 All Habitats'!$X$3,T164&gt;0),U164+V164,IF(AND(P164='G-1 All Habitats'!$X$3,S164&gt;0),U164+V164,IF(AND(P164='G-1 All Habitats'!$X$3,AC164&gt;0),"Any Loss Unacceptable",IF(AND(P164='G-1 All Habitats'!$X$3,W164&gt;0),"Any Loss Unacceptable",H164*J164*L164*O164))))),"Check Data ⚠")</f>
        <v/>
      </c>
      <c r="R164" s="50"/>
      <c r="S164" s="71"/>
      <c r="T164" s="72"/>
      <c r="U164" s="511" t="str">
        <f t="shared" si="14"/>
        <v/>
      </c>
      <c r="V164" s="511" t="str">
        <f t="shared" si="15"/>
        <v/>
      </c>
      <c r="W164" s="511" t="str">
        <f>IF(E164="","",IF(H164&lt;S164+T164,"Error in Areas ▲",IF(P164&lt;&gt;'G-1 All Habitats'!$X$3,H164-S164-T164,IF(AND(P164='G-1 All Habitats'!$X$3,Y164="Yes"),"Unacceptable Loss ▲",IF(AND(P164='G-1 All Habitats'!$X$3,Y164="No"),AC164,IF(AND(P164='G-1 All Habitats'!$X$3,Y164=""),AC164,IF(AND(P164='G-1 All Habitats'!$X$3,AC164="None",AC164),IF(AND(P164='G-1 All Habitats'!$X$3,AC164&gt;0),H164-S164-T164))))))))</f>
        <v/>
      </c>
      <c r="X164" s="545" t="str">
        <f>IFERROR(IF(H164="","",IF(H164-S164-T164=0&lt;0,"Error in Areas ▲",IF(S164+T164&gt;H164,"Error in Areas ▲",IF(AND(P164='G-1 All Habitats'!$X$3,Y164="Yes"),"Alternative Compensation",IF(W164=0,0,IF(P164='G-1 All Habitats'!$X$3,"Unacceptable Loss",Q164-U164-V164)))))),"Check Data ⚠")</f>
        <v/>
      </c>
      <c r="Y164" s="72"/>
      <c r="Z164" s="151"/>
      <c r="AA164" s="152"/>
      <c r="AC164" s="251" t="str">
        <f>IF(P164="","",IF(P164='G-1 All Habitats'!$X$3,H164-S164-T164,"None"))</f>
        <v/>
      </c>
      <c r="AD164" s="252" t="str">
        <f t="shared" si="16"/>
        <v/>
      </c>
      <c r="AF164" s="156" t="str">
        <f t="shared" si="12"/>
        <v/>
      </c>
      <c r="AG164" s="156" t="str">
        <f t="shared" si="13"/>
        <v/>
      </c>
      <c r="AH164" s="156" t="str">
        <f>IF(I164="","",IF(#REF!&gt;0,TRUE,FALSE))</f>
        <v/>
      </c>
      <c r="AI164" s="156">
        <v>154</v>
      </c>
      <c r="AJ164" s="156"/>
      <c r="AK164" s="156" t="str">
        <f t="array" ref="AK164">IFERROR(INDEX($AI$11:$AI$259, MATCH(0, IF(TRUE=$AF$11:$AF$259, COUNTIF($AK$10:$AK163, $AI$11:$AI$259), ""), 0)),"")</f>
        <v/>
      </c>
      <c r="AL164" s="156" t="str">
        <f t="array" ref="AL164">IFERROR(INDEX($AI$11:$AI$259, MATCH(0, IF(TRUE=$AG$11:$AG$259, COUNTIF($AL$10:$AL163, $AI$11:$AI$259), ""), 0)),"")</f>
        <v/>
      </c>
      <c r="AM164" s="156" t="str">
        <f t="array" ref="AM164">IFERROR(INDEX($AI$11:$AI$259, MATCH(0, IF(TRUE=$AH$11:$AH$259, COUNTIF($AM$10:$AM163, $AI$11:$AI$259), ""), 0)),"")</f>
        <v/>
      </c>
      <c r="AQ164" s="31">
        <f t="shared" si="17"/>
        <v>0</v>
      </c>
    </row>
    <row r="165" spans="1:43" x14ac:dyDescent="0.3">
      <c r="A165" s="31" t="str">
        <f>IFERROR(INDEX('G-1 All Habitats'!$AG$3:$AG$15,MATCH(E165,'G-1 All Habitats'!$AF$3:$AF$15,0)),"")</f>
        <v/>
      </c>
      <c r="B165" s="31" t="str">
        <f>IFERROR(INDEX('G-8 Condition Look up'!$I$4:$I$130,MATCH(G165,'G-8 Condition Look up'!$A$4:$A$130,0)),"")</f>
        <v/>
      </c>
      <c r="D165" s="141">
        <v>155</v>
      </c>
      <c r="E165" s="203"/>
      <c r="F165" s="203"/>
      <c r="G165" s="250" t="str">
        <f>IFERROR(INDEX('G-1 All Habitats'!$B$3:$B$129,MATCH(F165,'G-1 All Habitats'!$A$3:$A$129,0)),"")</f>
        <v/>
      </c>
      <c r="H165" s="172"/>
      <c r="I165" s="498" t="str">
        <f>IF(G165="","",VLOOKUP(G165,'G-1 All Habitats'!$B$2:$M$129,10,FALSE))</f>
        <v/>
      </c>
      <c r="J165" s="499" t="str">
        <f>IFERROR(VLOOKUP(I165,'G-1 All Habitats'!$V$3:$W$7,2,FALSE),"")</f>
        <v/>
      </c>
      <c r="K165" s="145"/>
      <c r="L165" s="499" t="str">
        <f>IFERROR(INDEX('G-8 Condition Look up'!$A$3:$H$130,MATCH(G165,'G-8 Condition Look up'!$A$3:$A$130,0),MATCH(K165,'G-8 Condition Look up'!$A$3:$H$3,0)),"")</f>
        <v/>
      </c>
      <c r="M165" s="154"/>
      <c r="N165" s="520" t="str">
        <f>IF(M165="","",IF(VLOOKUP(M165,'G-3 Multipliers'!$L$3:$N$6,2,FALSE)=0,"Spatial Data Missing ⚠",VLOOKUP(M165,'G-3 Multipliers'!$L$3:$N$6,2,FALSE)))</f>
        <v/>
      </c>
      <c r="O165" s="524" t="str">
        <f>IF(M165="","",IF(VLOOKUP(M165,'G-3 Multipliers'!$L$3:$N$6,3,FALSE)=0,"Spatial Data Missing ⚠",VLOOKUP(M165,'G-3 Multipliers'!$L$3:$N$6,3,FALSE)))</f>
        <v/>
      </c>
      <c r="P165" s="506" t="str">
        <f>IFERROR(VLOOKUP(G165,'G-1 All Habitats'!$B$2:$M$129,12,FALSE),"")</f>
        <v/>
      </c>
      <c r="Q165" s="513" t="str">
        <f>IFERROR(IF(P165="","",IF(AND(P165='G-1 All Habitats'!$X$3,T165&gt;0),U165+V165,IF(AND(P165='G-1 All Habitats'!$X$3,S165&gt;0),U165+V165,IF(AND(P165='G-1 All Habitats'!$X$3,AC165&gt;0),"Any Loss Unacceptable",IF(AND(P165='G-1 All Habitats'!$X$3,W165&gt;0),"Any Loss Unacceptable",H165*J165*L165*O165))))),"Check Data ⚠")</f>
        <v/>
      </c>
      <c r="R165" s="50"/>
      <c r="S165" s="71"/>
      <c r="T165" s="72"/>
      <c r="U165" s="511" t="str">
        <f t="shared" si="14"/>
        <v/>
      </c>
      <c r="V165" s="511" t="str">
        <f t="shared" si="15"/>
        <v/>
      </c>
      <c r="W165" s="511" t="str">
        <f>IF(E165="","",IF(H165&lt;S165+T165,"Error in Areas ▲",IF(P165&lt;&gt;'G-1 All Habitats'!$X$3,H165-S165-T165,IF(AND(P165='G-1 All Habitats'!$X$3,Y165="Yes"),"Unacceptable Loss ▲",IF(AND(P165='G-1 All Habitats'!$X$3,Y165="No"),AC165,IF(AND(P165='G-1 All Habitats'!$X$3,Y165=""),AC165,IF(AND(P165='G-1 All Habitats'!$X$3,AC165="None",AC165),IF(AND(P165='G-1 All Habitats'!$X$3,AC165&gt;0),H165-S165-T165))))))))</f>
        <v/>
      </c>
      <c r="X165" s="545" t="str">
        <f>IFERROR(IF(H165="","",IF(H165-S165-T165=0&lt;0,"Error in Areas ▲",IF(S165+T165&gt;H165,"Error in Areas ▲",IF(AND(P165='G-1 All Habitats'!$X$3,Y165="Yes"),"Alternative Compensation",IF(W165=0,0,IF(P165='G-1 All Habitats'!$X$3,"Unacceptable Loss",Q165-U165-V165)))))),"Check Data ⚠")</f>
        <v/>
      </c>
      <c r="Y165" s="72"/>
      <c r="Z165" s="151"/>
      <c r="AA165" s="152"/>
      <c r="AC165" s="251" t="str">
        <f>IF(P165="","",IF(P165='G-1 All Habitats'!$X$3,H165-S165-T165,"None"))</f>
        <v/>
      </c>
      <c r="AD165" s="252" t="str">
        <f t="shared" si="16"/>
        <v/>
      </c>
      <c r="AF165" s="156" t="str">
        <f t="shared" si="12"/>
        <v/>
      </c>
      <c r="AG165" s="156" t="str">
        <f t="shared" si="13"/>
        <v/>
      </c>
      <c r="AH165" s="156" t="str">
        <f>IF(I165="","",IF(#REF!&gt;0,TRUE,FALSE))</f>
        <v/>
      </c>
      <c r="AI165" s="156">
        <v>155</v>
      </c>
      <c r="AJ165" s="156"/>
      <c r="AK165" s="156" t="str">
        <f t="array" ref="AK165">IFERROR(INDEX($AI$11:$AI$259, MATCH(0, IF(TRUE=$AF$11:$AF$259, COUNTIF($AK$10:$AK164, $AI$11:$AI$259), ""), 0)),"")</f>
        <v/>
      </c>
      <c r="AL165" s="156" t="str">
        <f t="array" ref="AL165">IFERROR(INDEX($AI$11:$AI$259, MATCH(0, IF(TRUE=$AG$11:$AG$259, COUNTIF($AL$10:$AL164, $AI$11:$AI$259), ""), 0)),"")</f>
        <v/>
      </c>
      <c r="AM165" s="156" t="str">
        <f t="array" ref="AM165">IFERROR(INDEX($AI$11:$AI$259, MATCH(0, IF(TRUE=$AH$11:$AH$259, COUNTIF($AM$10:$AM164, $AI$11:$AI$259), ""), 0)),"")</f>
        <v/>
      </c>
      <c r="AQ165" s="31">
        <f t="shared" si="17"/>
        <v>0</v>
      </c>
    </row>
    <row r="166" spans="1:43" x14ac:dyDescent="0.3">
      <c r="A166" s="31" t="str">
        <f>IFERROR(INDEX('G-1 All Habitats'!$AG$3:$AG$15,MATCH(E166,'G-1 All Habitats'!$AF$3:$AF$15,0)),"")</f>
        <v/>
      </c>
      <c r="B166" s="31" t="str">
        <f>IFERROR(INDEX('G-8 Condition Look up'!$I$4:$I$130,MATCH(G166,'G-8 Condition Look up'!$A$4:$A$130,0)),"")</f>
        <v/>
      </c>
      <c r="D166" s="141">
        <v>156</v>
      </c>
      <c r="E166" s="203"/>
      <c r="F166" s="203"/>
      <c r="G166" s="250" t="str">
        <f>IFERROR(INDEX('G-1 All Habitats'!$B$3:$B$129,MATCH(F166,'G-1 All Habitats'!$A$3:$A$129,0)),"")</f>
        <v/>
      </c>
      <c r="H166" s="172"/>
      <c r="I166" s="498" t="str">
        <f>IF(G166="","",VLOOKUP(G166,'G-1 All Habitats'!$B$2:$M$129,10,FALSE))</f>
        <v/>
      </c>
      <c r="J166" s="499" t="str">
        <f>IFERROR(VLOOKUP(I166,'G-1 All Habitats'!$V$3:$W$7,2,FALSE),"")</f>
        <v/>
      </c>
      <c r="K166" s="145"/>
      <c r="L166" s="499" t="str">
        <f>IFERROR(INDEX('G-8 Condition Look up'!$A$3:$H$130,MATCH(G166,'G-8 Condition Look up'!$A$3:$A$130,0),MATCH(K166,'G-8 Condition Look up'!$A$3:$H$3,0)),"")</f>
        <v/>
      </c>
      <c r="M166" s="154"/>
      <c r="N166" s="520" t="str">
        <f>IF(M166="","",IF(VLOOKUP(M166,'G-3 Multipliers'!$L$3:$N$6,2,FALSE)=0,"Spatial Data Missing ⚠",VLOOKUP(M166,'G-3 Multipliers'!$L$3:$N$6,2,FALSE)))</f>
        <v/>
      </c>
      <c r="O166" s="524" t="str">
        <f>IF(M166="","",IF(VLOOKUP(M166,'G-3 Multipliers'!$L$3:$N$6,3,FALSE)=0,"Spatial Data Missing ⚠",VLOOKUP(M166,'G-3 Multipliers'!$L$3:$N$6,3,FALSE)))</f>
        <v/>
      </c>
      <c r="P166" s="506" t="str">
        <f>IFERROR(VLOOKUP(G166,'G-1 All Habitats'!$B$2:$M$129,12,FALSE),"")</f>
        <v/>
      </c>
      <c r="Q166" s="513" t="str">
        <f>IFERROR(IF(P166="","",IF(AND(P166='G-1 All Habitats'!$X$3,T166&gt;0),U166+V166,IF(AND(P166='G-1 All Habitats'!$X$3,S166&gt;0),U166+V166,IF(AND(P166='G-1 All Habitats'!$X$3,AC166&gt;0),"Any Loss Unacceptable",IF(AND(P166='G-1 All Habitats'!$X$3,W166&gt;0),"Any Loss Unacceptable",H166*J166*L166*O166))))),"Check Data ⚠")</f>
        <v/>
      </c>
      <c r="R166" s="50"/>
      <c r="S166" s="71"/>
      <c r="T166" s="72"/>
      <c r="U166" s="511" t="str">
        <f t="shared" si="14"/>
        <v/>
      </c>
      <c r="V166" s="511" t="str">
        <f t="shared" si="15"/>
        <v/>
      </c>
      <c r="W166" s="511" t="str">
        <f>IF(E166="","",IF(H166&lt;S166+T166,"Error in Areas ▲",IF(P166&lt;&gt;'G-1 All Habitats'!$X$3,H166-S166-T166,IF(AND(P166='G-1 All Habitats'!$X$3,Y166="Yes"),"Unacceptable Loss ▲",IF(AND(P166='G-1 All Habitats'!$X$3,Y166="No"),AC166,IF(AND(P166='G-1 All Habitats'!$X$3,Y166=""),AC166,IF(AND(P166='G-1 All Habitats'!$X$3,AC166="None",AC166),IF(AND(P166='G-1 All Habitats'!$X$3,AC166&gt;0),H166-S166-T166))))))))</f>
        <v/>
      </c>
      <c r="X166" s="545" t="str">
        <f>IFERROR(IF(H166="","",IF(H166-S166-T166=0&lt;0,"Error in Areas ▲",IF(S166+T166&gt;H166,"Error in Areas ▲",IF(AND(P166='G-1 All Habitats'!$X$3,Y166="Yes"),"Alternative Compensation",IF(W166=0,0,IF(P166='G-1 All Habitats'!$X$3,"Unacceptable Loss",Q166-U166-V166)))))),"Check Data ⚠")</f>
        <v/>
      </c>
      <c r="Y166" s="72"/>
      <c r="Z166" s="151"/>
      <c r="AA166" s="152"/>
      <c r="AC166" s="251" t="str">
        <f>IF(P166="","",IF(P166='G-1 All Habitats'!$X$3,H166-S166-T166,"None"))</f>
        <v/>
      </c>
      <c r="AD166" s="252" t="str">
        <f t="shared" si="16"/>
        <v/>
      </c>
      <c r="AF166" s="156" t="str">
        <f t="shared" si="12"/>
        <v/>
      </c>
      <c r="AG166" s="156" t="str">
        <f t="shared" si="13"/>
        <v/>
      </c>
      <c r="AH166" s="156" t="str">
        <f>IF(I166="","",IF(#REF!&gt;0,TRUE,FALSE))</f>
        <v/>
      </c>
      <c r="AI166" s="156">
        <v>156</v>
      </c>
      <c r="AJ166" s="156"/>
      <c r="AK166" s="156" t="str">
        <f t="array" ref="AK166">IFERROR(INDEX($AI$11:$AI$259, MATCH(0, IF(TRUE=$AF$11:$AF$259, COUNTIF($AK$10:$AK165, $AI$11:$AI$259), ""), 0)),"")</f>
        <v/>
      </c>
      <c r="AL166" s="156" t="str">
        <f t="array" ref="AL166">IFERROR(INDEX($AI$11:$AI$259, MATCH(0, IF(TRUE=$AG$11:$AG$259, COUNTIF($AL$10:$AL165, $AI$11:$AI$259), ""), 0)),"")</f>
        <v/>
      </c>
      <c r="AM166" s="156" t="str">
        <f t="array" ref="AM166">IFERROR(INDEX($AI$11:$AI$259, MATCH(0, IF(TRUE=$AH$11:$AH$259, COUNTIF($AM$10:$AM165, $AI$11:$AI$259), ""), 0)),"")</f>
        <v/>
      </c>
      <c r="AQ166" s="31">
        <f t="shared" si="17"/>
        <v>0</v>
      </c>
    </row>
    <row r="167" spans="1:43" x14ac:dyDescent="0.3">
      <c r="A167" s="31" t="str">
        <f>IFERROR(INDEX('G-1 All Habitats'!$AG$3:$AG$15,MATCH(E167,'G-1 All Habitats'!$AF$3:$AF$15,0)),"")</f>
        <v/>
      </c>
      <c r="B167" s="31" t="str">
        <f>IFERROR(INDEX('G-8 Condition Look up'!$I$4:$I$130,MATCH(G167,'G-8 Condition Look up'!$A$4:$A$130,0)),"")</f>
        <v/>
      </c>
      <c r="D167" s="141">
        <v>157</v>
      </c>
      <c r="E167" s="203"/>
      <c r="F167" s="203"/>
      <c r="G167" s="250" t="str">
        <f>IFERROR(INDEX('G-1 All Habitats'!$B$3:$B$129,MATCH(F167,'G-1 All Habitats'!$A$3:$A$129,0)),"")</f>
        <v/>
      </c>
      <c r="H167" s="172"/>
      <c r="I167" s="498" t="str">
        <f>IF(G167="","",VLOOKUP(G167,'G-1 All Habitats'!$B$2:$M$129,10,FALSE))</f>
        <v/>
      </c>
      <c r="J167" s="499" t="str">
        <f>IFERROR(VLOOKUP(I167,'G-1 All Habitats'!$V$3:$W$7,2,FALSE),"")</f>
        <v/>
      </c>
      <c r="K167" s="145"/>
      <c r="L167" s="499" t="str">
        <f>IFERROR(INDEX('G-8 Condition Look up'!$A$3:$H$130,MATCH(G167,'G-8 Condition Look up'!$A$3:$A$130,0),MATCH(K167,'G-8 Condition Look up'!$A$3:$H$3,0)),"")</f>
        <v/>
      </c>
      <c r="M167" s="154"/>
      <c r="N167" s="520" t="str">
        <f>IF(M167="","",IF(VLOOKUP(M167,'G-3 Multipliers'!$L$3:$N$6,2,FALSE)=0,"Spatial Data Missing ⚠",VLOOKUP(M167,'G-3 Multipliers'!$L$3:$N$6,2,FALSE)))</f>
        <v/>
      </c>
      <c r="O167" s="524" t="str">
        <f>IF(M167="","",IF(VLOOKUP(M167,'G-3 Multipliers'!$L$3:$N$6,3,FALSE)=0,"Spatial Data Missing ⚠",VLOOKUP(M167,'G-3 Multipliers'!$L$3:$N$6,3,FALSE)))</f>
        <v/>
      </c>
      <c r="P167" s="506" t="str">
        <f>IFERROR(VLOOKUP(G167,'G-1 All Habitats'!$B$2:$M$129,12,FALSE),"")</f>
        <v/>
      </c>
      <c r="Q167" s="513" t="str">
        <f>IFERROR(IF(P167="","",IF(AND(P167='G-1 All Habitats'!$X$3,T167&gt;0),U167+V167,IF(AND(P167='G-1 All Habitats'!$X$3,S167&gt;0),U167+V167,IF(AND(P167='G-1 All Habitats'!$X$3,AC167&gt;0),"Any Loss Unacceptable",IF(AND(P167='G-1 All Habitats'!$X$3,W167&gt;0),"Any Loss Unacceptable",H167*J167*L167*O167))))),"Check Data ⚠")</f>
        <v/>
      </c>
      <c r="R167" s="50"/>
      <c r="S167" s="71"/>
      <c r="T167" s="72"/>
      <c r="U167" s="511" t="str">
        <f t="shared" si="14"/>
        <v/>
      </c>
      <c r="V167" s="511" t="str">
        <f t="shared" si="15"/>
        <v/>
      </c>
      <c r="W167" s="511" t="str">
        <f>IF(E167="","",IF(H167&lt;S167+T167,"Error in Areas ▲",IF(P167&lt;&gt;'G-1 All Habitats'!$X$3,H167-S167-T167,IF(AND(P167='G-1 All Habitats'!$X$3,Y167="Yes"),"Unacceptable Loss ▲",IF(AND(P167='G-1 All Habitats'!$X$3,Y167="No"),AC167,IF(AND(P167='G-1 All Habitats'!$X$3,Y167=""),AC167,IF(AND(P167='G-1 All Habitats'!$X$3,AC167="None",AC167),IF(AND(P167='G-1 All Habitats'!$X$3,AC167&gt;0),H167-S167-T167))))))))</f>
        <v/>
      </c>
      <c r="X167" s="545" t="str">
        <f>IFERROR(IF(H167="","",IF(H167-S167-T167=0&lt;0,"Error in Areas ▲",IF(S167+T167&gt;H167,"Error in Areas ▲",IF(AND(P167='G-1 All Habitats'!$X$3,Y167="Yes"),"Alternative Compensation",IF(W167=0,0,IF(P167='G-1 All Habitats'!$X$3,"Unacceptable Loss",Q167-U167-V167)))))),"Check Data ⚠")</f>
        <v/>
      </c>
      <c r="Y167" s="72"/>
      <c r="Z167" s="151"/>
      <c r="AA167" s="152"/>
      <c r="AC167" s="251" t="str">
        <f>IF(P167="","",IF(P167='G-1 All Habitats'!$X$3,H167-S167-T167,"None"))</f>
        <v/>
      </c>
      <c r="AD167" s="252" t="str">
        <f t="shared" si="16"/>
        <v/>
      </c>
      <c r="AF167" s="156" t="str">
        <f t="shared" si="12"/>
        <v/>
      </c>
      <c r="AG167" s="156" t="str">
        <f t="shared" si="13"/>
        <v/>
      </c>
      <c r="AH167" s="156" t="str">
        <f>IF(I167="","",IF(#REF!&gt;0,TRUE,FALSE))</f>
        <v/>
      </c>
      <c r="AI167" s="156">
        <v>157</v>
      </c>
      <c r="AJ167" s="156"/>
      <c r="AK167" s="156" t="str">
        <f t="array" ref="AK167">IFERROR(INDEX($AI$11:$AI$259, MATCH(0, IF(TRUE=$AF$11:$AF$259, COUNTIF($AK$10:$AK166, $AI$11:$AI$259), ""), 0)),"")</f>
        <v/>
      </c>
      <c r="AL167" s="156" t="str">
        <f t="array" ref="AL167">IFERROR(INDEX($AI$11:$AI$259, MATCH(0, IF(TRUE=$AG$11:$AG$259, COUNTIF($AL$10:$AL166, $AI$11:$AI$259), ""), 0)),"")</f>
        <v/>
      </c>
      <c r="AM167" s="156" t="str">
        <f t="array" ref="AM167">IFERROR(INDEX($AI$11:$AI$259, MATCH(0, IF(TRUE=$AH$11:$AH$259, COUNTIF($AM$10:$AM166, $AI$11:$AI$259), ""), 0)),"")</f>
        <v/>
      </c>
      <c r="AQ167" s="31">
        <f t="shared" si="17"/>
        <v>0</v>
      </c>
    </row>
    <row r="168" spans="1:43" x14ac:dyDescent="0.3">
      <c r="A168" s="31" t="str">
        <f>IFERROR(INDEX('G-1 All Habitats'!$AG$3:$AG$15,MATCH(E168,'G-1 All Habitats'!$AF$3:$AF$15,0)),"")</f>
        <v/>
      </c>
      <c r="B168" s="31" t="str">
        <f>IFERROR(INDEX('G-8 Condition Look up'!$I$4:$I$130,MATCH(G168,'G-8 Condition Look up'!$A$4:$A$130,0)),"")</f>
        <v/>
      </c>
      <c r="D168" s="141">
        <v>158</v>
      </c>
      <c r="E168" s="203"/>
      <c r="F168" s="203"/>
      <c r="G168" s="250" t="str">
        <f>IFERROR(INDEX('G-1 All Habitats'!$B$3:$B$129,MATCH(F168,'G-1 All Habitats'!$A$3:$A$129,0)),"")</f>
        <v/>
      </c>
      <c r="H168" s="172"/>
      <c r="I168" s="498" t="str">
        <f>IF(G168="","",VLOOKUP(G168,'G-1 All Habitats'!$B$2:$M$129,10,FALSE))</f>
        <v/>
      </c>
      <c r="J168" s="499" t="str">
        <f>IFERROR(VLOOKUP(I168,'G-1 All Habitats'!$V$3:$W$7,2,FALSE),"")</f>
        <v/>
      </c>
      <c r="K168" s="145"/>
      <c r="L168" s="499" t="str">
        <f>IFERROR(INDEX('G-8 Condition Look up'!$A$3:$H$130,MATCH(G168,'G-8 Condition Look up'!$A$3:$A$130,0),MATCH(K168,'G-8 Condition Look up'!$A$3:$H$3,0)),"")</f>
        <v/>
      </c>
      <c r="M168" s="154"/>
      <c r="N168" s="520" t="str">
        <f>IF(M168="","",IF(VLOOKUP(M168,'G-3 Multipliers'!$L$3:$N$6,2,FALSE)=0,"Spatial Data Missing ⚠",VLOOKUP(M168,'G-3 Multipliers'!$L$3:$N$6,2,FALSE)))</f>
        <v/>
      </c>
      <c r="O168" s="524" t="str">
        <f>IF(M168="","",IF(VLOOKUP(M168,'G-3 Multipliers'!$L$3:$N$6,3,FALSE)=0,"Spatial Data Missing ⚠",VLOOKUP(M168,'G-3 Multipliers'!$L$3:$N$6,3,FALSE)))</f>
        <v/>
      </c>
      <c r="P168" s="506" t="str">
        <f>IFERROR(VLOOKUP(G168,'G-1 All Habitats'!$B$2:$M$129,12,FALSE),"")</f>
        <v/>
      </c>
      <c r="Q168" s="513" t="str">
        <f>IFERROR(IF(P168="","",IF(AND(P168='G-1 All Habitats'!$X$3,T168&gt;0),U168+V168,IF(AND(P168='G-1 All Habitats'!$X$3,S168&gt;0),U168+V168,IF(AND(P168='G-1 All Habitats'!$X$3,AC168&gt;0),"Any Loss Unacceptable",IF(AND(P168='G-1 All Habitats'!$X$3,W168&gt;0),"Any Loss Unacceptable",H168*J168*L168*O168))))),"Check Data ⚠")</f>
        <v/>
      </c>
      <c r="R168" s="50"/>
      <c r="S168" s="71"/>
      <c r="T168" s="72"/>
      <c r="U168" s="511" t="str">
        <f t="shared" si="14"/>
        <v/>
      </c>
      <c r="V168" s="511" t="str">
        <f t="shared" si="15"/>
        <v/>
      </c>
      <c r="W168" s="511" t="str">
        <f>IF(E168="","",IF(H168&lt;S168+T168,"Error in Areas ▲",IF(P168&lt;&gt;'G-1 All Habitats'!$X$3,H168-S168-T168,IF(AND(P168='G-1 All Habitats'!$X$3,Y168="Yes"),"Unacceptable Loss ▲",IF(AND(P168='G-1 All Habitats'!$X$3,Y168="No"),AC168,IF(AND(P168='G-1 All Habitats'!$X$3,Y168=""),AC168,IF(AND(P168='G-1 All Habitats'!$X$3,AC168="None",AC168),IF(AND(P168='G-1 All Habitats'!$X$3,AC168&gt;0),H168-S168-T168))))))))</f>
        <v/>
      </c>
      <c r="X168" s="545" t="str">
        <f>IFERROR(IF(H168="","",IF(H168-S168-T168=0&lt;0,"Error in Areas ▲",IF(S168+T168&gt;H168,"Error in Areas ▲",IF(AND(P168='G-1 All Habitats'!$X$3,Y168="Yes"),"Alternative Compensation",IF(W168=0,0,IF(P168='G-1 All Habitats'!$X$3,"Unacceptable Loss",Q168-U168-V168)))))),"Check Data ⚠")</f>
        <v/>
      </c>
      <c r="Y168" s="72"/>
      <c r="Z168" s="151"/>
      <c r="AA168" s="152"/>
      <c r="AC168" s="251" t="str">
        <f>IF(P168="","",IF(P168='G-1 All Habitats'!$X$3,H168-S168-T168,"None"))</f>
        <v/>
      </c>
      <c r="AD168" s="252" t="str">
        <f t="shared" si="16"/>
        <v/>
      </c>
      <c r="AF168" s="156" t="str">
        <f t="shared" si="12"/>
        <v/>
      </c>
      <c r="AG168" s="156" t="str">
        <f t="shared" si="13"/>
        <v/>
      </c>
      <c r="AH168" s="156" t="str">
        <f>IF(I168="","",IF(#REF!&gt;0,TRUE,FALSE))</f>
        <v/>
      </c>
      <c r="AI168" s="156">
        <v>158</v>
      </c>
      <c r="AJ168" s="156"/>
      <c r="AK168" s="156" t="str">
        <f t="array" ref="AK168">IFERROR(INDEX($AI$11:$AI$259, MATCH(0, IF(TRUE=$AF$11:$AF$259, COUNTIF($AK$10:$AK167, $AI$11:$AI$259), ""), 0)),"")</f>
        <v/>
      </c>
      <c r="AL168" s="156" t="str">
        <f t="array" ref="AL168">IFERROR(INDEX($AI$11:$AI$259, MATCH(0, IF(TRUE=$AG$11:$AG$259, COUNTIF($AL$10:$AL167, $AI$11:$AI$259), ""), 0)),"")</f>
        <v/>
      </c>
      <c r="AM168" s="156" t="str">
        <f t="array" ref="AM168">IFERROR(INDEX($AI$11:$AI$259, MATCH(0, IF(TRUE=$AH$11:$AH$259, COUNTIF($AM$10:$AM167, $AI$11:$AI$259), ""), 0)),"")</f>
        <v/>
      </c>
      <c r="AQ168" s="31">
        <f t="shared" si="17"/>
        <v>0</v>
      </c>
    </row>
    <row r="169" spans="1:43" x14ac:dyDescent="0.3">
      <c r="A169" s="31" t="str">
        <f>IFERROR(INDEX('G-1 All Habitats'!$AG$3:$AG$15,MATCH(E169,'G-1 All Habitats'!$AF$3:$AF$15,0)),"")</f>
        <v/>
      </c>
      <c r="B169" s="31" t="str">
        <f>IFERROR(INDEX('G-8 Condition Look up'!$I$4:$I$130,MATCH(G169,'G-8 Condition Look up'!$A$4:$A$130,0)),"")</f>
        <v/>
      </c>
      <c r="D169" s="141">
        <v>159</v>
      </c>
      <c r="E169" s="203"/>
      <c r="F169" s="203"/>
      <c r="G169" s="250" t="str">
        <f>IFERROR(INDEX('G-1 All Habitats'!$B$3:$B$129,MATCH(F169,'G-1 All Habitats'!$A$3:$A$129,0)),"")</f>
        <v/>
      </c>
      <c r="H169" s="172"/>
      <c r="I169" s="498" t="str">
        <f>IF(G169="","",VLOOKUP(G169,'G-1 All Habitats'!$B$2:$M$129,10,FALSE))</f>
        <v/>
      </c>
      <c r="J169" s="499" t="str">
        <f>IFERROR(VLOOKUP(I169,'G-1 All Habitats'!$V$3:$W$7,2,FALSE),"")</f>
        <v/>
      </c>
      <c r="K169" s="145"/>
      <c r="L169" s="499" t="str">
        <f>IFERROR(INDEX('G-8 Condition Look up'!$A$3:$H$130,MATCH(G169,'G-8 Condition Look up'!$A$3:$A$130,0),MATCH(K169,'G-8 Condition Look up'!$A$3:$H$3,0)),"")</f>
        <v/>
      </c>
      <c r="M169" s="154"/>
      <c r="N169" s="520" t="str">
        <f>IF(M169="","",IF(VLOOKUP(M169,'G-3 Multipliers'!$L$3:$N$6,2,FALSE)=0,"Spatial Data Missing ⚠",VLOOKUP(M169,'G-3 Multipliers'!$L$3:$N$6,2,FALSE)))</f>
        <v/>
      </c>
      <c r="O169" s="524" t="str">
        <f>IF(M169="","",IF(VLOOKUP(M169,'G-3 Multipliers'!$L$3:$N$6,3,FALSE)=0,"Spatial Data Missing ⚠",VLOOKUP(M169,'G-3 Multipliers'!$L$3:$N$6,3,FALSE)))</f>
        <v/>
      </c>
      <c r="P169" s="506" t="str">
        <f>IFERROR(VLOOKUP(G169,'G-1 All Habitats'!$B$2:$M$129,12,FALSE),"")</f>
        <v/>
      </c>
      <c r="Q169" s="513" t="str">
        <f>IFERROR(IF(P169="","",IF(AND(P169='G-1 All Habitats'!$X$3,T169&gt;0),U169+V169,IF(AND(P169='G-1 All Habitats'!$X$3,S169&gt;0),U169+V169,IF(AND(P169='G-1 All Habitats'!$X$3,AC169&gt;0),"Any Loss Unacceptable",IF(AND(P169='G-1 All Habitats'!$X$3,W169&gt;0),"Any Loss Unacceptable",H169*J169*L169*O169))))),"Check Data ⚠")</f>
        <v/>
      </c>
      <c r="R169" s="50"/>
      <c r="S169" s="71"/>
      <c r="T169" s="72"/>
      <c r="U169" s="511" t="str">
        <f t="shared" si="14"/>
        <v/>
      </c>
      <c r="V169" s="511" t="str">
        <f t="shared" si="15"/>
        <v/>
      </c>
      <c r="W169" s="511" t="str">
        <f>IF(E169="","",IF(H169&lt;S169+T169,"Error in Areas ▲",IF(P169&lt;&gt;'G-1 All Habitats'!$X$3,H169-S169-T169,IF(AND(P169='G-1 All Habitats'!$X$3,Y169="Yes"),"Unacceptable Loss ▲",IF(AND(P169='G-1 All Habitats'!$X$3,Y169="No"),AC169,IF(AND(P169='G-1 All Habitats'!$X$3,Y169=""),AC169,IF(AND(P169='G-1 All Habitats'!$X$3,AC169="None",AC169),IF(AND(P169='G-1 All Habitats'!$X$3,AC169&gt;0),H169-S169-T169))))))))</f>
        <v/>
      </c>
      <c r="X169" s="545" t="str">
        <f>IFERROR(IF(H169="","",IF(H169-S169-T169=0&lt;0,"Error in Areas ▲",IF(S169+T169&gt;H169,"Error in Areas ▲",IF(AND(P169='G-1 All Habitats'!$X$3,Y169="Yes"),"Alternative Compensation",IF(W169=0,0,IF(P169='G-1 All Habitats'!$X$3,"Unacceptable Loss",Q169-U169-V169)))))),"Check Data ⚠")</f>
        <v/>
      </c>
      <c r="Y169" s="72"/>
      <c r="Z169" s="151"/>
      <c r="AA169" s="152"/>
      <c r="AC169" s="251" t="str">
        <f>IF(P169="","",IF(P169='G-1 All Habitats'!$X$3,H169-S169-T169,"None"))</f>
        <v/>
      </c>
      <c r="AD169" s="252" t="str">
        <f t="shared" si="16"/>
        <v/>
      </c>
      <c r="AF169" s="156" t="str">
        <f t="shared" si="12"/>
        <v/>
      </c>
      <c r="AG169" s="156" t="str">
        <f t="shared" si="13"/>
        <v/>
      </c>
      <c r="AH169" s="156" t="str">
        <f>IF(I169="","",IF(#REF!&gt;0,TRUE,FALSE))</f>
        <v/>
      </c>
      <c r="AI169" s="156">
        <v>159</v>
      </c>
      <c r="AJ169" s="156"/>
      <c r="AK169" s="156" t="str">
        <f t="array" ref="AK169">IFERROR(INDEX($AI$11:$AI$259, MATCH(0, IF(TRUE=$AF$11:$AF$259, COUNTIF($AK$10:$AK168, $AI$11:$AI$259), ""), 0)),"")</f>
        <v/>
      </c>
      <c r="AL169" s="156" t="str">
        <f t="array" ref="AL169">IFERROR(INDEX($AI$11:$AI$259, MATCH(0, IF(TRUE=$AG$11:$AG$259, COUNTIF($AL$10:$AL168, $AI$11:$AI$259), ""), 0)),"")</f>
        <v/>
      </c>
      <c r="AM169" s="156" t="str">
        <f t="array" ref="AM169">IFERROR(INDEX($AI$11:$AI$259, MATCH(0, IF(TRUE=$AH$11:$AH$259, COUNTIF($AM$10:$AM168, $AI$11:$AI$259), ""), 0)),"")</f>
        <v/>
      </c>
      <c r="AQ169" s="31">
        <f t="shared" si="17"/>
        <v>0</v>
      </c>
    </row>
    <row r="170" spans="1:43" x14ac:dyDescent="0.3">
      <c r="A170" s="31" t="str">
        <f>IFERROR(INDEX('G-1 All Habitats'!$AG$3:$AG$15,MATCH(E170,'G-1 All Habitats'!$AF$3:$AF$15,0)),"")</f>
        <v/>
      </c>
      <c r="B170" s="31" t="str">
        <f>IFERROR(INDEX('G-8 Condition Look up'!$I$4:$I$130,MATCH(G170,'G-8 Condition Look up'!$A$4:$A$130,0)),"")</f>
        <v/>
      </c>
      <c r="D170" s="141">
        <v>160</v>
      </c>
      <c r="E170" s="203"/>
      <c r="F170" s="203"/>
      <c r="G170" s="250" t="str">
        <f>IFERROR(INDEX('G-1 All Habitats'!$B$3:$B$129,MATCH(F170,'G-1 All Habitats'!$A$3:$A$129,0)),"")</f>
        <v/>
      </c>
      <c r="H170" s="172"/>
      <c r="I170" s="498" t="str">
        <f>IF(G170="","",VLOOKUP(G170,'G-1 All Habitats'!$B$2:$M$129,10,FALSE))</f>
        <v/>
      </c>
      <c r="J170" s="499" t="str">
        <f>IFERROR(VLOOKUP(I170,'G-1 All Habitats'!$V$3:$W$7,2,FALSE),"")</f>
        <v/>
      </c>
      <c r="K170" s="145"/>
      <c r="L170" s="499" t="str">
        <f>IFERROR(INDEX('G-8 Condition Look up'!$A$3:$H$130,MATCH(G170,'G-8 Condition Look up'!$A$3:$A$130,0),MATCH(K170,'G-8 Condition Look up'!$A$3:$H$3,0)),"")</f>
        <v/>
      </c>
      <c r="M170" s="154"/>
      <c r="N170" s="520" t="str">
        <f>IF(M170="","",IF(VLOOKUP(M170,'G-3 Multipliers'!$L$3:$N$6,2,FALSE)=0,"Spatial Data Missing ⚠",VLOOKUP(M170,'G-3 Multipliers'!$L$3:$N$6,2,FALSE)))</f>
        <v/>
      </c>
      <c r="O170" s="524" t="str">
        <f>IF(M170="","",IF(VLOOKUP(M170,'G-3 Multipliers'!$L$3:$N$6,3,FALSE)=0,"Spatial Data Missing ⚠",VLOOKUP(M170,'G-3 Multipliers'!$L$3:$N$6,3,FALSE)))</f>
        <v/>
      </c>
      <c r="P170" s="506" t="str">
        <f>IFERROR(VLOOKUP(G170,'G-1 All Habitats'!$B$2:$M$129,12,FALSE),"")</f>
        <v/>
      </c>
      <c r="Q170" s="513" t="str">
        <f>IFERROR(IF(P170="","",IF(AND(P170='G-1 All Habitats'!$X$3,T170&gt;0),U170+V170,IF(AND(P170='G-1 All Habitats'!$X$3,S170&gt;0),U170+V170,IF(AND(P170='G-1 All Habitats'!$X$3,AC170&gt;0),"Any Loss Unacceptable",IF(AND(P170='G-1 All Habitats'!$X$3,W170&gt;0),"Any Loss Unacceptable",H170*J170*L170*O170))))),"Check Data ⚠")</f>
        <v/>
      </c>
      <c r="R170" s="50"/>
      <c r="S170" s="71"/>
      <c r="T170" s="72"/>
      <c r="U170" s="511" t="str">
        <f t="shared" si="14"/>
        <v/>
      </c>
      <c r="V170" s="511" t="str">
        <f t="shared" si="15"/>
        <v/>
      </c>
      <c r="W170" s="511" t="str">
        <f>IF(E170="","",IF(H170&lt;S170+T170,"Error in Areas ▲",IF(P170&lt;&gt;'G-1 All Habitats'!$X$3,H170-S170-T170,IF(AND(P170='G-1 All Habitats'!$X$3,Y170="Yes"),"Unacceptable Loss ▲",IF(AND(P170='G-1 All Habitats'!$X$3,Y170="No"),AC170,IF(AND(P170='G-1 All Habitats'!$X$3,Y170=""),AC170,IF(AND(P170='G-1 All Habitats'!$X$3,AC170="None",AC170),IF(AND(P170='G-1 All Habitats'!$X$3,AC170&gt;0),H170-S170-T170))))))))</f>
        <v/>
      </c>
      <c r="X170" s="545" t="str">
        <f>IFERROR(IF(H170="","",IF(H170-S170-T170=0&lt;0,"Error in Areas ▲",IF(S170+T170&gt;H170,"Error in Areas ▲",IF(AND(P170='G-1 All Habitats'!$X$3,Y170="Yes"),"Alternative Compensation",IF(W170=0,0,IF(P170='G-1 All Habitats'!$X$3,"Unacceptable Loss",Q170-U170-V170)))))),"Check Data ⚠")</f>
        <v/>
      </c>
      <c r="Y170" s="72"/>
      <c r="Z170" s="151"/>
      <c r="AA170" s="152"/>
      <c r="AC170" s="251" t="str">
        <f>IF(P170="","",IF(P170='G-1 All Habitats'!$X$3,H170-S170-T170,"None"))</f>
        <v/>
      </c>
      <c r="AD170" s="252" t="str">
        <f t="shared" si="16"/>
        <v/>
      </c>
      <c r="AF170" s="156" t="str">
        <f t="shared" si="12"/>
        <v/>
      </c>
      <c r="AG170" s="156" t="str">
        <f t="shared" si="13"/>
        <v/>
      </c>
      <c r="AH170" s="156" t="str">
        <f>IF(I170="","",IF(#REF!&gt;0,TRUE,FALSE))</f>
        <v/>
      </c>
      <c r="AI170" s="156">
        <v>160</v>
      </c>
      <c r="AJ170" s="156"/>
      <c r="AK170" s="156" t="str">
        <f t="array" ref="AK170">IFERROR(INDEX($AI$11:$AI$259, MATCH(0, IF(TRUE=$AF$11:$AF$259, COUNTIF($AK$10:$AK169, $AI$11:$AI$259), ""), 0)),"")</f>
        <v/>
      </c>
      <c r="AL170" s="156" t="str">
        <f t="array" ref="AL170">IFERROR(INDEX($AI$11:$AI$259, MATCH(0, IF(TRUE=$AG$11:$AG$259, COUNTIF($AL$10:$AL169, $AI$11:$AI$259), ""), 0)),"")</f>
        <v/>
      </c>
      <c r="AM170" s="156" t="str">
        <f t="array" ref="AM170">IFERROR(INDEX($AI$11:$AI$259, MATCH(0, IF(TRUE=$AH$11:$AH$259, COUNTIF($AM$10:$AM169, $AI$11:$AI$259), ""), 0)),"")</f>
        <v/>
      </c>
      <c r="AQ170" s="31">
        <f t="shared" si="17"/>
        <v>0</v>
      </c>
    </row>
    <row r="171" spans="1:43" x14ac:dyDescent="0.3">
      <c r="A171" s="31" t="str">
        <f>IFERROR(INDEX('G-1 All Habitats'!$AG$3:$AG$15,MATCH(E171,'G-1 All Habitats'!$AF$3:$AF$15,0)),"")</f>
        <v/>
      </c>
      <c r="B171" s="31" t="str">
        <f>IFERROR(INDEX('G-8 Condition Look up'!$I$4:$I$130,MATCH(G171,'G-8 Condition Look up'!$A$4:$A$130,0)),"")</f>
        <v/>
      </c>
      <c r="D171" s="141">
        <v>161</v>
      </c>
      <c r="E171" s="203"/>
      <c r="F171" s="203"/>
      <c r="G171" s="250" t="str">
        <f>IFERROR(INDEX('G-1 All Habitats'!$B$3:$B$129,MATCH(F171,'G-1 All Habitats'!$A$3:$A$129,0)),"")</f>
        <v/>
      </c>
      <c r="H171" s="172"/>
      <c r="I171" s="498" t="str">
        <f>IF(G171="","",VLOOKUP(G171,'G-1 All Habitats'!$B$2:$M$129,10,FALSE))</f>
        <v/>
      </c>
      <c r="J171" s="499" t="str">
        <f>IFERROR(VLOOKUP(I171,'G-1 All Habitats'!$V$3:$W$7,2,FALSE),"")</f>
        <v/>
      </c>
      <c r="K171" s="145"/>
      <c r="L171" s="499" t="str">
        <f>IFERROR(INDEX('G-8 Condition Look up'!$A$3:$H$130,MATCH(G171,'G-8 Condition Look up'!$A$3:$A$130,0),MATCH(K171,'G-8 Condition Look up'!$A$3:$H$3,0)),"")</f>
        <v/>
      </c>
      <c r="M171" s="154"/>
      <c r="N171" s="520" t="str">
        <f>IF(M171="","",IF(VLOOKUP(M171,'G-3 Multipliers'!$L$3:$N$6,2,FALSE)=0,"Spatial Data Missing ⚠",VLOOKUP(M171,'G-3 Multipliers'!$L$3:$N$6,2,FALSE)))</f>
        <v/>
      </c>
      <c r="O171" s="524" t="str">
        <f>IF(M171="","",IF(VLOOKUP(M171,'G-3 Multipliers'!$L$3:$N$6,3,FALSE)=0,"Spatial Data Missing ⚠",VLOOKUP(M171,'G-3 Multipliers'!$L$3:$N$6,3,FALSE)))</f>
        <v/>
      </c>
      <c r="P171" s="506" t="str">
        <f>IFERROR(VLOOKUP(G171,'G-1 All Habitats'!$B$2:$M$129,12,FALSE),"")</f>
        <v/>
      </c>
      <c r="Q171" s="513" t="str">
        <f>IFERROR(IF(P171="","",IF(AND(P171='G-1 All Habitats'!$X$3,T171&gt;0),U171+V171,IF(AND(P171='G-1 All Habitats'!$X$3,S171&gt;0),U171+V171,IF(AND(P171='G-1 All Habitats'!$X$3,AC171&gt;0),"Any Loss Unacceptable",IF(AND(P171='G-1 All Habitats'!$X$3,W171&gt;0),"Any Loss Unacceptable",H171*J171*L171*O171))))),"Check Data ⚠")</f>
        <v/>
      </c>
      <c r="R171" s="50"/>
      <c r="S171" s="71"/>
      <c r="T171" s="72"/>
      <c r="U171" s="511" t="str">
        <f t="shared" si="14"/>
        <v/>
      </c>
      <c r="V171" s="511" t="str">
        <f t="shared" si="15"/>
        <v/>
      </c>
      <c r="W171" s="511" t="str">
        <f>IF(E171="","",IF(H171&lt;S171+T171,"Error in Areas ▲",IF(P171&lt;&gt;'G-1 All Habitats'!$X$3,H171-S171-T171,IF(AND(P171='G-1 All Habitats'!$X$3,Y171="Yes"),"Unacceptable Loss ▲",IF(AND(P171='G-1 All Habitats'!$X$3,Y171="No"),AC171,IF(AND(P171='G-1 All Habitats'!$X$3,Y171=""),AC171,IF(AND(P171='G-1 All Habitats'!$X$3,AC171="None",AC171),IF(AND(P171='G-1 All Habitats'!$X$3,AC171&gt;0),H171-S171-T171))))))))</f>
        <v/>
      </c>
      <c r="X171" s="545" t="str">
        <f>IFERROR(IF(H171="","",IF(H171-S171-T171=0&lt;0,"Error in Areas ▲",IF(S171+T171&gt;H171,"Error in Areas ▲",IF(AND(P171='G-1 All Habitats'!$X$3,Y171="Yes"),"Alternative Compensation",IF(W171=0,0,IF(P171='G-1 All Habitats'!$X$3,"Unacceptable Loss",Q171-U171-V171)))))),"Check Data ⚠")</f>
        <v/>
      </c>
      <c r="Y171" s="72"/>
      <c r="Z171" s="151"/>
      <c r="AA171" s="152"/>
      <c r="AC171" s="251" t="str">
        <f>IF(P171="","",IF(P171='G-1 All Habitats'!$X$3,H171-S171-T171,"None"))</f>
        <v/>
      </c>
      <c r="AD171" s="252" t="str">
        <f t="shared" si="16"/>
        <v/>
      </c>
      <c r="AF171" s="156" t="str">
        <f t="shared" si="12"/>
        <v/>
      </c>
      <c r="AG171" s="156" t="str">
        <f t="shared" si="13"/>
        <v/>
      </c>
      <c r="AH171" s="156" t="str">
        <f>IF(I171="","",IF(#REF!&gt;0,TRUE,FALSE))</f>
        <v/>
      </c>
      <c r="AI171" s="156">
        <v>161</v>
      </c>
      <c r="AJ171" s="156"/>
      <c r="AK171" s="156" t="str">
        <f t="array" ref="AK171">IFERROR(INDEX($AI$11:$AI$259, MATCH(0, IF(TRUE=$AF$11:$AF$259, COUNTIF($AK$10:$AK170, $AI$11:$AI$259), ""), 0)),"")</f>
        <v/>
      </c>
      <c r="AL171" s="156" t="str">
        <f t="array" ref="AL171">IFERROR(INDEX($AI$11:$AI$259, MATCH(0, IF(TRUE=$AG$11:$AG$259, COUNTIF($AL$10:$AL170, $AI$11:$AI$259), ""), 0)),"")</f>
        <v/>
      </c>
      <c r="AM171" s="156" t="str">
        <f t="array" ref="AM171">IFERROR(INDEX($AI$11:$AI$259, MATCH(0, IF(TRUE=$AH$11:$AH$259, COUNTIF($AM$10:$AM170, $AI$11:$AI$259), ""), 0)),"")</f>
        <v/>
      </c>
      <c r="AQ171" s="31">
        <f t="shared" si="17"/>
        <v>0</v>
      </c>
    </row>
    <row r="172" spans="1:43" x14ac:dyDescent="0.3">
      <c r="A172" s="31" t="str">
        <f>IFERROR(INDEX('G-1 All Habitats'!$AG$3:$AG$15,MATCH(E172,'G-1 All Habitats'!$AF$3:$AF$15,0)),"")</f>
        <v/>
      </c>
      <c r="B172" s="31" t="str">
        <f>IFERROR(INDEX('G-8 Condition Look up'!$I$4:$I$130,MATCH(G172,'G-8 Condition Look up'!$A$4:$A$130,0)),"")</f>
        <v/>
      </c>
      <c r="D172" s="141">
        <v>162</v>
      </c>
      <c r="E172" s="203"/>
      <c r="F172" s="203"/>
      <c r="G172" s="250" t="str">
        <f>IFERROR(INDEX('G-1 All Habitats'!$B$3:$B$129,MATCH(F172,'G-1 All Habitats'!$A$3:$A$129,0)),"")</f>
        <v/>
      </c>
      <c r="H172" s="172"/>
      <c r="I172" s="498" t="str">
        <f>IF(G172="","",VLOOKUP(G172,'G-1 All Habitats'!$B$2:$M$129,10,FALSE))</f>
        <v/>
      </c>
      <c r="J172" s="499" t="str">
        <f>IFERROR(VLOOKUP(I172,'G-1 All Habitats'!$V$3:$W$7,2,FALSE),"")</f>
        <v/>
      </c>
      <c r="K172" s="145"/>
      <c r="L172" s="499" t="str">
        <f>IFERROR(INDEX('G-8 Condition Look up'!$A$3:$H$130,MATCH(G172,'G-8 Condition Look up'!$A$3:$A$130,0),MATCH(K172,'G-8 Condition Look up'!$A$3:$H$3,0)),"")</f>
        <v/>
      </c>
      <c r="M172" s="154"/>
      <c r="N172" s="520" t="str">
        <f>IF(M172="","",IF(VLOOKUP(M172,'G-3 Multipliers'!$L$3:$N$6,2,FALSE)=0,"Spatial Data Missing ⚠",VLOOKUP(M172,'G-3 Multipliers'!$L$3:$N$6,2,FALSE)))</f>
        <v/>
      </c>
      <c r="O172" s="524" t="str">
        <f>IF(M172="","",IF(VLOOKUP(M172,'G-3 Multipliers'!$L$3:$N$6,3,FALSE)=0,"Spatial Data Missing ⚠",VLOOKUP(M172,'G-3 Multipliers'!$L$3:$N$6,3,FALSE)))</f>
        <v/>
      </c>
      <c r="P172" s="506" t="str">
        <f>IFERROR(VLOOKUP(G172,'G-1 All Habitats'!$B$2:$M$129,12,FALSE),"")</f>
        <v/>
      </c>
      <c r="Q172" s="513" t="str">
        <f>IFERROR(IF(P172="","",IF(AND(P172='G-1 All Habitats'!$X$3,T172&gt;0),U172+V172,IF(AND(P172='G-1 All Habitats'!$X$3,S172&gt;0),U172+V172,IF(AND(P172='G-1 All Habitats'!$X$3,AC172&gt;0),"Any Loss Unacceptable",IF(AND(P172='G-1 All Habitats'!$X$3,W172&gt;0),"Any Loss Unacceptable",H172*J172*L172*O172))))),"Check Data ⚠")</f>
        <v/>
      </c>
      <c r="R172" s="50"/>
      <c r="S172" s="71"/>
      <c r="T172" s="72"/>
      <c r="U172" s="511" t="str">
        <f t="shared" si="14"/>
        <v/>
      </c>
      <c r="V172" s="511" t="str">
        <f t="shared" si="15"/>
        <v/>
      </c>
      <c r="W172" s="511" t="str">
        <f>IF(E172="","",IF(H172&lt;S172+T172,"Error in Areas ▲",IF(P172&lt;&gt;'G-1 All Habitats'!$X$3,H172-S172-T172,IF(AND(P172='G-1 All Habitats'!$X$3,Y172="Yes"),"Unacceptable Loss ▲",IF(AND(P172='G-1 All Habitats'!$X$3,Y172="No"),AC172,IF(AND(P172='G-1 All Habitats'!$X$3,Y172=""),AC172,IF(AND(P172='G-1 All Habitats'!$X$3,AC172="None",AC172),IF(AND(P172='G-1 All Habitats'!$X$3,AC172&gt;0),H172-S172-T172))))))))</f>
        <v/>
      </c>
      <c r="X172" s="545" t="str">
        <f>IFERROR(IF(H172="","",IF(H172-S172-T172=0&lt;0,"Error in Areas ▲",IF(S172+T172&gt;H172,"Error in Areas ▲",IF(AND(P172='G-1 All Habitats'!$X$3,Y172="Yes"),"Alternative Compensation",IF(W172=0,0,IF(P172='G-1 All Habitats'!$X$3,"Unacceptable Loss",Q172-U172-V172)))))),"Check Data ⚠")</f>
        <v/>
      </c>
      <c r="Y172" s="72"/>
      <c r="Z172" s="151"/>
      <c r="AA172" s="152"/>
      <c r="AC172" s="251" t="str">
        <f>IF(P172="","",IF(P172='G-1 All Habitats'!$X$3,H172-S172-T172,"None"))</f>
        <v/>
      </c>
      <c r="AD172" s="252" t="str">
        <f t="shared" si="16"/>
        <v/>
      </c>
      <c r="AF172" s="156" t="str">
        <f t="shared" si="12"/>
        <v/>
      </c>
      <c r="AG172" s="156" t="str">
        <f t="shared" si="13"/>
        <v/>
      </c>
      <c r="AH172" s="156" t="str">
        <f>IF(I172="","",IF(#REF!&gt;0,TRUE,FALSE))</f>
        <v/>
      </c>
      <c r="AI172" s="156">
        <v>162</v>
      </c>
      <c r="AJ172" s="156"/>
      <c r="AK172" s="156" t="str">
        <f t="array" ref="AK172">IFERROR(INDEX($AI$11:$AI$259, MATCH(0, IF(TRUE=$AF$11:$AF$259, COUNTIF($AK$10:$AK171, $AI$11:$AI$259), ""), 0)),"")</f>
        <v/>
      </c>
      <c r="AL172" s="156" t="str">
        <f t="array" ref="AL172">IFERROR(INDEX($AI$11:$AI$259, MATCH(0, IF(TRUE=$AG$11:$AG$259, COUNTIF($AL$10:$AL171, $AI$11:$AI$259), ""), 0)),"")</f>
        <v/>
      </c>
      <c r="AM172" s="156" t="str">
        <f t="array" ref="AM172">IFERROR(INDEX($AI$11:$AI$259, MATCH(0, IF(TRUE=$AH$11:$AH$259, COUNTIF($AM$10:$AM171, $AI$11:$AI$259), ""), 0)),"")</f>
        <v/>
      </c>
      <c r="AQ172" s="31">
        <f t="shared" si="17"/>
        <v>0</v>
      </c>
    </row>
    <row r="173" spans="1:43" x14ac:dyDescent="0.3">
      <c r="A173" s="31" t="str">
        <f>IFERROR(INDEX('G-1 All Habitats'!$AG$3:$AG$15,MATCH(E173,'G-1 All Habitats'!$AF$3:$AF$15,0)),"")</f>
        <v/>
      </c>
      <c r="B173" s="31" t="str">
        <f>IFERROR(INDEX('G-8 Condition Look up'!$I$4:$I$130,MATCH(G173,'G-8 Condition Look up'!$A$4:$A$130,0)),"")</f>
        <v/>
      </c>
      <c r="D173" s="141">
        <v>163</v>
      </c>
      <c r="E173" s="203"/>
      <c r="F173" s="203"/>
      <c r="G173" s="250" t="str">
        <f>IFERROR(INDEX('G-1 All Habitats'!$B$3:$B$129,MATCH(F173,'G-1 All Habitats'!$A$3:$A$129,0)),"")</f>
        <v/>
      </c>
      <c r="H173" s="172"/>
      <c r="I173" s="498" t="str">
        <f>IF(G173="","",VLOOKUP(G173,'G-1 All Habitats'!$B$2:$M$129,10,FALSE))</f>
        <v/>
      </c>
      <c r="J173" s="499" t="str">
        <f>IFERROR(VLOOKUP(I173,'G-1 All Habitats'!$V$3:$W$7,2,FALSE),"")</f>
        <v/>
      </c>
      <c r="K173" s="145"/>
      <c r="L173" s="499" t="str">
        <f>IFERROR(INDEX('G-8 Condition Look up'!$A$3:$H$130,MATCH(G173,'G-8 Condition Look up'!$A$3:$A$130,0),MATCH(K173,'G-8 Condition Look up'!$A$3:$H$3,0)),"")</f>
        <v/>
      </c>
      <c r="M173" s="154"/>
      <c r="N173" s="520" t="str">
        <f>IF(M173="","",IF(VLOOKUP(M173,'G-3 Multipliers'!$L$3:$N$6,2,FALSE)=0,"Spatial Data Missing ⚠",VLOOKUP(M173,'G-3 Multipliers'!$L$3:$N$6,2,FALSE)))</f>
        <v/>
      </c>
      <c r="O173" s="524" t="str">
        <f>IF(M173="","",IF(VLOOKUP(M173,'G-3 Multipliers'!$L$3:$N$6,3,FALSE)=0,"Spatial Data Missing ⚠",VLOOKUP(M173,'G-3 Multipliers'!$L$3:$N$6,3,FALSE)))</f>
        <v/>
      </c>
      <c r="P173" s="506" t="str">
        <f>IFERROR(VLOOKUP(G173,'G-1 All Habitats'!$B$2:$M$129,12,FALSE),"")</f>
        <v/>
      </c>
      <c r="Q173" s="513" t="str">
        <f>IFERROR(IF(P173="","",IF(AND(P173='G-1 All Habitats'!$X$3,T173&gt;0),U173+V173,IF(AND(P173='G-1 All Habitats'!$X$3,S173&gt;0),U173+V173,IF(AND(P173='G-1 All Habitats'!$X$3,AC173&gt;0),"Any Loss Unacceptable",IF(AND(P173='G-1 All Habitats'!$X$3,W173&gt;0),"Any Loss Unacceptable",H173*J173*L173*O173))))),"Check Data ⚠")</f>
        <v/>
      </c>
      <c r="R173" s="50"/>
      <c r="S173" s="71"/>
      <c r="T173" s="72"/>
      <c r="U173" s="511" t="str">
        <f t="shared" si="14"/>
        <v/>
      </c>
      <c r="V173" s="511" t="str">
        <f t="shared" si="15"/>
        <v/>
      </c>
      <c r="W173" s="511" t="str">
        <f>IF(E173="","",IF(H173&lt;S173+T173,"Error in Areas ▲",IF(P173&lt;&gt;'G-1 All Habitats'!$X$3,H173-S173-T173,IF(AND(P173='G-1 All Habitats'!$X$3,Y173="Yes"),"Unacceptable Loss ▲",IF(AND(P173='G-1 All Habitats'!$X$3,Y173="No"),AC173,IF(AND(P173='G-1 All Habitats'!$X$3,Y173=""),AC173,IF(AND(P173='G-1 All Habitats'!$X$3,AC173="None",AC173),IF(AND(P173='G-1 All Habitats'!$X$3,AC173&gt;0),H173-S173-T173))))))))</f>
        <v/>
      </c>
      <c r="X173" s="545" t="str">
        <f>IFERROR(IF(H173="","",IF(H173-S173-T173=0&lt;0,"Error in Areas ▲",IF(S173+T173&gt;H173,"Error in Areas ▲",IF(AND(P173='G-1 All Habitats'!$X$3,Y173="Yes"),"Alternative Compensation",IF(W173=0,0,IF(P173='G-1 All Habitats'!$X$3,"Unacceptable Loss",Q173-U173-V173)))))),"Check Data ⚠")</f>
        <v/>
      </c>
      <c r="Y173" s="72"/>
      <c r="Z173" s="151"/>
      <c r="AA173" s="152"/>
      <c r="AC173" s="251" t="str">
        <f>IF(P173="","",IF(P173='G-1 All Habitats'!$X$3,H173-S173-T173,"None"))</f>
        <v/>
      </c>
      <c r="AD173" s="252" t="str">
        <f t="shared" si="16"/>
        <v/>
      </c>
      <c r="AF173" s="156" t="str">
        <f t="shared" si="12"/>
        <v/>
      </c>
      <c r="AG173" s="156" t="str">
        <f t="shared" si="13"/>
        <v/>
      </c>
      <c r="AH173" s="156" t="str">
        <f>IF(I173="","",IF(#REF!&gt;0,TRUE,FALSE))</f>
        <v/>
      </c>
      <c r="AI173" s="156">
        <v>163</v>
      </c>
      <c r="AJ173" s="156"/>
      <c r="AK173" s="156" t="str">
        <f t="array" ref="AK173">IFERROR(INDEX($AI$11:$AI$259, MATCH(0, IF(TRUE=$AF$11:$AF$259, COUNTIF($AK$10:$AK172, $AI$11:$AI$259), ""), 0)),"")</f>
        <v/>
      </c>
      <c r="AL173" s="156" t="str">
        <f t="array" ref="AL173">IFERROR(INDEX($AI$11:$AI$259, MATCH(0, IF(TRUE=$AG$11:$AG$259, COUNTIF($AL$10:$AL172, $AI$11:$AI$259), ""), 0)),"")</f>
        <v/>
      </c>
      <c r="AM173" s="156" t="str">
        <f t="array" ref="AM173">IFERROR(INDEX($AI$11:$AI$259, MATCH(0, IF(TRUE=$AH$11:$AH$259, COUNTIF($AM$10:$AM172, $AI$11:$AI$259), ""), 0)),"")</f>
        <v/>
      </c>
      <c r="AQ173" s="31">
        <f t="shared" si="17"/>
        <v>0</v>
      </c>
    </row>
    <row r="174" spans="1:43" x14ac:dyDescent="0.3">
      <c r="A174" s="31" t="str">
        <f>IFERROR(INDEX('G-1 All Habitats'!$AG$3:$AG$15,MATCH(E174,'G-1 All Habitats'!$AF$3:$AF$15,0)),"")</f>
        <v/>
      </c>
      <c r="B174" s="31" t="str">
        <f>IFERROR(INDEX('G-8 Condition Look up'!$I$4:$I$130,MATCH(G174,'G-8 Condition Look up'!$A$4:$A$130,0)),"")</f>
        <v/>
      </c>
      <c r="D174" s="141">
        <v>164</v>
      </c>
      <c r="E174" s="203"/>
      <c r="F174" s="203"/>
      <c r="G174" s="250" t="str">
        <f>IFERROR(INDEX('G-1 All Habitats'!$B$3:$B$129,MATCH(F174,'G-1 All Habitats'!$A$3:$A$129,0)),"")</f>
        <v/>
      </c>
      <c r="H174" s="172"/>
      <c r="I174" s="498" t="str">
        <f>IF(G174="","",VLOOKUP(G174,'G-1 All Habitats'!$B$2:$M$129,10,FALSE))</f>
        <v/>
      </c>
      <c r="J174" s="499" t="str">
        <f>IFERROR(VLOOKUP(I174,'G-1 All Habitats'!$V$3:$W$7,2,FALSE),"")</f>
        <v/>
      </c>
      <c r="K174" s="145"/>
      <c r="L174" s="499" t="str">
        <f>IFERROR(INDEX('G-8 Condition Look up'!$A$3:$H$130,MATCH(G174,'G-8 Condition Look up'!$A$3:$A$130,0),MATCH(K174,'G-8 Condition Look up'!$A$3:$H$3,0)),"")</f>
        <v/>
      </c>
      <c r="M174" s="154"/>
      <c r="N174" s="520" t="str">
        <f>IF(M174="","",IF(VLOOKUP(M174,'G-3 Multipliers'!$L$3:$N$6,2,FALSE)=0,"Spatial Data Missing ⚠",VLOOKUP(M174,'G-3 Multipliers'!$L$3:$N$6,2,FALSE)))</f>
        <v/>
      </c>
      <c r="O174" s="524" t="str">
        <f>IF(M174="","",IF(VLOOKUP(M174,'G-3 Multipliers'!$L$3:$N$6,3,FALSE)=0,"Spatial Data Missing ⚠",VLOOKUP(M174,'G-3 Multipliers'!$L$3:$N$6,3,FALSE)))</f>
        <v/>
      </c>
      <c r="P174" s="506" t="str">
        <f>IFERROR(VLOOKUP(G174,'G-1 All Habitats'!$B$2:$M$129,12,FALSE),"")</f>
        <v/>
      </c>
      <c r="Q174" s="513" t="str">
        <f>IFERROR(IF(P174="","",IF(AND(P174='G-1 All Habitats'!$X$3,T174&gt;0),U174+V174,IF(AND(P174='G-1 All Habitats'!$X$3,S174&gt;0),U174+V174,IF(AND(P174='G-1 All Habitats'!$X$3,AC174&gt;0),"Any Loss Unacceptable",IF(AND(P174='G-1 All Habitats'!$X$3,W174&gt;0),"Any Loss Unacceptable",H174*J174*L174*O174))))),"Check Data ⚠")</f>
        <v/>
      </c>
      <c r="R174" s="50"/>
      <c r="S174" s="71"/>
      <c r="T174" s="72"/>
      <c r="U174" s="511" t="str">
        <f t="shared" si="14"/>
        <v/>
      </c>
      <c r="V174" s="511" t="str">
        <f t="shared" si="15"/>
        <v/>
      </c>
      <c r="W174" s="511" t="str">
        <f>IF(E174="","",IF(H174&lt;S174+T174,"Error in Areas ▲",IF(P174&lt;&gt;'G-1 All Habitats'!$X$3,H174-S174-T174,IF(AND(P174='G-1 All Habitats'!$X$3,Y174="Yes"),"Unacceptable Loss ▲",IF(AND(P174='G-1 All Habitats'!$X$3,Y174="No"),AC174,IF(AND(P174='G-1 All Habitats'!$X$3,Y174=""),AC174,IF(AND(P174='G-1 All Habitats'!$X$3,AC174="None",AC174),IF(AND(P174='G-1 All Habitats'!$X$3,AC174&gt;0),H174-S174-T174))))))))</f>
        <v/>
      </c>
      <c r="X174" s="545" t="str">
        <f>IFERROR(IF(H174="","",IF(H174-S174-T174=0&lt;0,"Error in Areas ▲",IF(S174+T174&gt;H174,"Error in Areas ▲",IF(AND(P174='G-1 All Habitats'!$X$3,Y174="Yes"),"Alternative Compensation",IF(W174=0,0,IF(P174='G-1 All Habitats'!$X$3,"Unacceptable Loss",Q174-U174-V174)))))),"Check Data ⚠")</f>
        <v/>
      </c>
      <c r="Y174" s="72"/>
      <c r="Z174" s="151"/>
      <c r="AA174" s="152"/>
      <c r="AC174" s="251" t="str">
        <f>IF(P174="","",IF(P174='G-1 All Habitats'!$X$3,H174-S174-T174,"None"))</f>
        <v/>
      </c>
      <c r="AD174" s="252" t="str">
        <f t="shared" si="16"/>
        <v/>
      </c>
      <c r="AF174" s="156" t="str">
        <f t="shared" si="12"/>
        <v/>
      </c>
      <c r="AG174" s="156" t="str">
        <f t="shared" si="13"/>
        <v/>
      </c>
      <c r="AH174" s="156" t="str">
        <f>IF(I174="","",IF(#REF!&gt;0,TRUE,FALSE))</f>
        <v/>
      </c>
      <c r="AI174" s="156">
        <v>164</v>
      </c>
      <c r="AJ174" s="156"/>
      <c r="AK174" s="156" t="str">
        <f t="array" ref="AK174">IFERROR(INDEX($AI$11:$AI$259, MATCH(0, IF(TRUE=$AF$11:$AF$259, COUNTIF($AK$10:$AK173, $AI$11:$AI$259), ""), 0)),"")</f>
        <v/>
      </c>
      <c r="AL174" s="156" t="str">
        <f t="array" ref="AL174">IFERROR(INDEX($AI$11:$AI$259, MATCH(0, IF(TRUE=$AG$11:$AG$259, COUNTIF($AL$10:$AL173, $AI$11:$AI$259), ""), 0)),"")</f>
        <v/>
      </c>
      <c r="AM174" s="156" t="str">
        <f t="array" ref="AM174">IFERROR(INDEX($AI$11:$AI$259, MATCH(0, IF(TRUE=$AH$11:$AH$259, COUNTIF($AM$10:$AM173, $AI$11:$AI$259), ""), 0)),"")</f>
        <v/>
      </c>
      <c r="AQ174" s="31">
        <f t="shared" si="17"/>
        <v>0</v>
      </c>
    </row>
    <row r="175" spans="1:43" x14ac:dyDescent="0.3">
      <c r="A175" s="31" t="str">
        <f>IFERROR(INDEX('G-1 All Habitats'!$AG$3:$AG$15,MATCH(E175,'G-1 All Habitats'!$AF$3:$AF$15,0)),"")</f>
        <v/>
      </c>
      <c r="B175" s="31" t="str">
        <f>IFERROR(INDEX('G-8 Condition Look up'!$I$4:$I$130,MATCH(G175,'G-8 Condition Look up'!$A$4:$A$130,0)),"")</f>
        <v/>
      </c>
      <c r="D175" s="141">
        <v>165</v>
      </c>
      <c r="E175" s="203"/>
      <c r="F175" s="203"/>
      <c r="G175" s="250" t="str">
        <f>IFERROR(INDEX('G-1 All Habitats'!$B$3:$B$129,MATCH(F175,'G-1 All Habitats'!$A$3:$A$129,0)),"")</f>
        <v/>
      </c>
      <c r="H175" s="172"/>
      <c r="I175" s="498" t="str">
        <f>IF(G175="","",VLOOKUP(G175,'G-1 All Habitats'!$B$2:$M$129,10,FALSE))</f>
        <v/>
      </c>
      <c r="J175" s="499" t="str">
        <f>IFERROR(VLOOKUP(I175,'G-1 All Habitats'!$V$3:$W$7,2,FALSE),"")</f>
        <v/>
      </c>
      <c r="K175" s="145"/>
      <c r="L175" s="499" t="str">
        <f>IFERROR(INDEX('G-8 Condition Look up'!$A$3:$H$130,MATCH(G175,'G-8 Condition Look up'!$A$3:$A$130,0),MATCH(K175,'G-8 Condition Look up'!$A$3:$H$3,0)),"")</f>
        <v/>
      </c>
      <c r="M175" s="154"/>
      <c r="N175" s="520" t="str">
        <f>IF(M175="","",IF(VLOOKUP(M175,'G-3 Multipliers'!$L$3:$N$6,2,FALSE)=0,"Spatial Data Missing ⚠",VLOOKUP(M175,'G-3 Multipliers'!$L$3:$N$6,2,FALSE)))</f>
        <v/>
      </c>
      <c r="O175" s="524" t="str">
        <f>IF(M175="","",IF(VLOOKUP(M175,'G-3 Multipliers'!$L$3:$N$6,3,FALSE)=0,"Spatial Data Missing ⚠",VLOOKUP(M175,'G-3 Multipliers'!$L$3:$N$6,3,FALSE)))</f>
        <v/>
      </c>
      <c r="P175" s="506" t="str">
        <f>IFERROR(VLOOKUP(G175,'G-1 All Habitats'!$B$2:$M$129,12,FALSE),"")</f>
        <v/>
      </c>
      <c r="Q175" s="513" t="str">
        <f>IFERROR(IF(P175="","",IF(AND(P175='G-1 All Habitats'!$X$3,T175&gt;0),U175+V175,IF(AND(P175='G-1 All Habitats'!$X$3,S175&gt;0),U175+V175,IF(AND(P175='G-1 All Habitats'!$X$3,AC175&gt;0),"Any Loss Unacceptable",IF(AND(P175='G-1 All Habitats'!$X$3,W175&gt;0),"Any Loss Unacceptable",H175*J175*L175*O175))))),"Check Data ⚠")</f>
        <v/>
      </c>
      <c r="R175" s="50"/>
      <c r="S175" s="71"/>
      <c r="T175" s="72"/>
      <c r="U175" s="511" t="str">
        <f t="shared" si="14"/>
        <v/>
      </c>
      <c r="V175" s="511" t="str">
        <f t="shared" si="15"/>
        <v/>
      </c>
      <c r="W175" s="511" t="str">
        <f>IF(E175="","",IF(H175&lt;S175+T175,"Error in Areas ▲",IF(P175&lt;&gt;'G-1 All Habitats'!$X$3,H175-S175-T175,IF(AND(P175='G-1 All Habitats'!$X$3,Y175="Yes"),"Unacceptable Loss ▲",IF(AND(P175='G-1 All Habitats'!$X$3,Y175="No"),AC175,IF(AND(P175='G-1 All Habitats'!$X$3,Y175=""),AC175,IF(AND(P175='G-1 All Habitats'!$X$3,AC175="None",AC175),IF(AND(P175='G-1 All Habitats'!$X$3,AC175&gt;0),H175-S175-T175))))))))</f>
        <v/>
      </c>
      <c r="X175" s="545" t="str">
        <f>IFERROR(IF(H175="","",IF(H175-S175-T175=0&lt;0,"Error in Areas ▲",IF(S175+T175&gt;H175,"Error in Areas ▲",IF(AND(P175='G-1 All Habitats'!$X$3,Y175="Yes"),"Alternative Compensation",IF(W175=0,0,IF(P175='G-1 All Habitats'!$X$3,"Unacceptable Loss",Q175-U175-V175)))))),"Check Data ⚠")</f>
        <v/>
      </c>
      <c r="Y175" s="72"/>
      <c r="Z175" s="151"/>
      <c r="AA175" s="152"/>
      <c r="AC175" s="251" t="str">
        <f>IF(P175="","",IF(P175='G-1 All Habitats'!$X$3,H175-S175-T175,"None"))</f>
        <v/>
      </c>
      <c r="AD175" s="252" t="str">
        <f t="shared" si="16"/>
        <v/>
      </c>
      <c r="AF175" s="156" t="str">
        <f t="shared" si="12"/>
        <v/>
      </c>
      <c r="AG175" s="156" t="str">
        <f t="shared" si="13"/>
        <v/>
      </c>
      <c r="AH175" s="156" t="str">
        <f>IF(I175="","",IF(#REF!&gt;0,TRUE,FALSE))</f>
        <v/>
      </c>
      <c r="AI175" s="156">
        <v>165</v>
      </c>
      <c r="AJ175" s="156"/>
      <c r="AK175" s="156" t="str">
        <f t="array" ref="AK175">IFERROR(INDEX($AI$11:$AI$259, MATCH(0, IF(TRUE=$AF$11:$AF$259, COUNTIF($AK$10:$AK174, $AI$11:$AI$259), ""), 0)),"")</f>
        <v/>
      </c>
      <c r="AL175" s="156" t="str">
        <f t="array" ref="AL175">IFERROR(INDEX($AI$11:$AI$259, MATCH(0, IF(TRUE=$AG$11:$AG$259, COUNTIF($AL$10:$AL174, $AI$11:$AI$259), ""), 0)),"")</f>
        <v/>
      </c>
      <c r="AM175" s="156" t="str">
        <f t="array" ref="AM175">IFERROR(INDEX($AI$11:$AI$259, MATCH(0, IF(TRUE=$AH$11:$AH$259, COUNTIF($AM$10:$AM174, $AI$11:$AI$259), ""), 0)),"")</f>
        <v/>
      </c>
      <c r="AQ175" s="31">
        <f t="shared" si="17"/>
        <v>0</v>
      </c>
    </row>
    <row r="176" spans="1:43" x14ac:dyDescent="0.3">
      <c r="A176" s="31" t="str">
        <f>IFERROR(INDEX('G-1 All Habitats'!$AG$3:$AG$15,MATCH(E176,'G-1 All Habitats'!$AF$3:$AF$15,0)),"")</f>
        <v/>
      </c>
      <c r="B176" s="31" t="str">
        <f>IFERROR(INDEX('G-8 Condition Look up'!$I$4:$I$130,MATCH(G176,'G-8 Condition Look up'!$A$4:$A$130,0)),"")</f>
        <v/>
      </c>
      <c r="D176" s="141">
        <v>166</v>
      </c>
      <c r="E176" s="203"/>
      <c r="F176" s="203"/>
      <c r="G176" s="250" t="str">
        <f>IFERROR(INDEX('G-1 All Habitats'!$B$3:$B$129,MATCH(F176,'G-1 All Habitats'!$A$3:$A$129,0)),"")</f>
        <v/>
      </c>
      <c r="H176" s="172"/>
      <c r="I176" s="498" t="str">
        <f>IF(G176="","",VLOOKUP(G176,'G-1 All Habitats'!$B$2:$M$129,10,FALSE))</f>
        <v/>
      </c>
      <c r="J176" s="499" t="str">
        <f>IFERROR(VLOOKUP(I176,'G-1 All Habitats'!$V$3:$W$7,2,FALSE),"")</f>
        <v/>
      </c>
      <c r="K176" s="145"/>
      <c r="L176" s="499" t="str">
        <f>IFERROR(INDEX('G-8 Condition Look up'!$A$3:$H$130,MATCH(G176,'G-8 Condition Look up'!$A$3:$A$130,0),MATCH(K176,'G-8 Condition Look up'!$A$3:$H$3,0)),"")</f>
        <v/>
      </c>
      <c r="M176" s="154"/>
      <c r="N176" s="520" t="str">
        <f>IF(M176="","",IF(VLOOKUP(M176,'G-3 Multipliers'!$L$3:$N$6,2,FALSE)=0,"Spatial Data Missing ⚠",VLOOKUP(M176,'G-3 Multipliers'!$L$3:$N$6,2,FALSE)))</f>
        <v/>
      </c>
      <c r="O176" s="524" t="str">
        <f>IF(M176="","",IF(VLOOKUP(M176,'G-3 Multipliers'!$L$3:$N$6,3,FALSE)=0,"Spatial Data Missing ⚠",VLOOKUP(M176,'G-3 Multipliers'!$L$3:$N$6,3,FALSE)))</f>
        <v/>
      </c>
      <c r="P176" s="506" t="str">
        <f>IFERROR(VLOOKUP(G176,'G-1 All Habitats'!$B$2:$M$129,12,FALSE),"")</f>
        <v/>
      </c>
      <c r="Q176" s="513" t="str">
        <f>IFERROR(IF(P176="","",IF(AND(P176='G-1 All Habitats'!$X$3,T176&gt;0),U176+V176,IF(AND(P176='G-1 All Habitats'!$X$3,S176&gt;0),U176+V176,IF(AND(P176='G-1 All Habitats'!$X$3,AC176&gt;0),"Any Loss Unacceptable",IF(AND(P176='G-1 All Habitats'!$X$3,W176&gt;0),"Any Loss Unacceptable",H176*J176*L176*O176))))),"Check Data ⚠")</f>
        <v/>
      </c>
      <c r="R176" s="50"/>
      <c r="S176" s="71"/>
      <c r="T176" s="72"/>
      <c r="U176" s="511" t="str">
        <f t="shared" si="14"/>
        <v/>
      </c>
      <c r="V176" s="511" t="str">
        <f t="shared" si="15"/>
        <v/>
      </c>
      <c r="W176" s="511" t="str">
        <f>IF(E176="","",IF(H176&lt;S176+T176,"Error in Areas ▲",IF(P176&lt;&gt;'G-1 All Habitats'!$X$3,H176-S176-T176,IF(AND(P176='G-1 All Habitats'!$X$3,Y176="Yes"),"Unacceptable Loss ▲",IF(AND(P176='G-1 All Habitats'!$X$3,Y176="No"),AC176,IF(AND(P176='G-1 All Habitats'!$X$3,Y176=""),AC176,IF(AND(P176='G-1 All Habitats'!$X$3,AC176="None",AC176),IF(AND(P176='G-1 All Habitats'!$X$3,AC176&gt;0),H176-S176-T176))))))))</f>
        <v/>
      </c>
      <c r="X176" s="545" t="str">
        <f>IFERROR(IF(H176="","",IF(H176-S176-T176=0&lt;0,"Error in Areas ▲",IF(S176+T176&gt;H176,"Error in Areas ▲",IF(AND(P176='G-1 All Habitats'!$X$3,Y176="Yes"),"Alternative Compensation",IF(W176=0,0,IF(P176='G-1 All Habitats'!$X$3,"Unacceptable Loss",Q176-U176-V176)))))),"Check Data ⚠")</f>
        <v/>
      </c>
      <c r="Y176" s="72"/>
      <c r="Z176" s="151"/>
      <c r="AA176" s="152"/>
      <c r="AC176" s="251" t="str">
        <f>IF(P176="","",IF(P176='G-1 All Habitats'!$X$3,H176-S176-T176,"None"))</f>
        <v/>
      </c>
      <c r="AD176" s="252" t="str">
        <f t="shared" si="16"/>
        <v/>
      </c>
      <c r="AF176" s="156" t="str">
        <f t="shared" si="12"/>
        <v/>
      </c>
      <c r="AG176" s="156" t="str">
        <f t="shared" si="13"/>
        <v/>
      </c>
      <c r="AH176" s="156" t="str">
        <f>IF(I176="","",IF(#REF!&gt;0,TRUE,FALSE))</f>
        <v/>
      </c>
      <c r="AI176" s="156">
        <v>166</v>
      </c>
      <c r="AJ176" s="156"/>
      <c r="AK176" s="156" t="str">
        <f t="array" ref="AK176">IFERROR(INDEX($AI$11:$AI$259, MATCH(0, IF(TRUE=$AF$11:$AF$259, COUNTIF($AK$10:$AK175, $AI$11:$AI$259), ""), 0)),"")</f>
        <v/>
      </c>
      <c r="AL176" s="156" t="str">
        <f t="array" ref="AL176">IFERROR(INDEX($AI$11:$AI$259, MATCH(0, IF(TRUE=$AG$11:$AG$259, COUNTIF($AL$10:$AL175, $AI$11:$AI$259), ""), 0)),"")</f>
        <v/>
      </c>
      <c r="AM176" s="156" t="str">
        <f t="array" ref="AM176">IFERROR(INDEX($AI$11:$AI$259, MATCH(0, IF(TRUE=$AH$11:$AH$259, COUNTIF($AM$10:$AM175, $AI$11:$AI$259), ""), 0)),"")</f>
        <v/>
      </c>
      <c r="AQ176" s="31">
        <f t="shared" si="17"/>
        <v>0</v>
      </c>
    </row>
    <row r="177" spans="1:43" x14ac:dyDescent="0.3">
      <c r="A177" s="31" t="str">
        <f>IFERROR(INDEX('G-1 All Habitats'!$AG$3:$AG$15,MATCH(E177,'G-1 All Habitats'!$AF$3:$AF$15,0)),"")</f>
        <v/>
      </c>
      <c r="B177" s="31" t="str">
        <f>IFERROR(INDEX('G-8 Condition Look up'!$I$4:$I$130,MATCH(G177,'G-8 Condition Look up'!$A$4:$A$130,0)),"")</f>
        <v/>
      </c>
      <c r="D177" s="141">
        <v>167</v>
      </c>
      <c r="E177" s="203"/>
      <c r="F177" s="203"/>
      <c r="G177" s="250" t="str">
        <f>IFERROR(INDEX('G-1 All Habitats'!$B$3:$B$129,MATCH(F177,'G-1 All Habitats'!$A$3:$A$129,0)),"")</f>
        <v/>
      </c>
      <c r="H177" s="172"/>
      <c r="I177" s="498" t="str">
        <f>IF(G177="","",VLOOKUP(G177,'G-1 All Habitats'!$B$2:$M$129,10,FALSE))</f>
        <v/>
      </c>
      <c r="J177" s="499" t="str">
        <f>IFERROR(VLOOKUP(I177,'G-1 All Habitats'!$V$3:$W$7,2,FALSE),"")</f>
        <v/>
      </c>
      <c r="K177" s="145"/>
      <c r="L177" s="499" t="str">
        <f>IFERROR(INDEX('G-8 Condition Look up'!$A$3:$H$130,MATCH(G177,'G-8 Condition Look up'!$A$3:$A$130,0),MATCH(K177,'G-8 Condition Look up'!$A$3:$H$3,0)),"")</f>
        <v/>
      </c>
      <c r="M177" s="154"/>
      <c r="N177" s="520" t="str">
        <f>IF(M177="","",IF(VLOOKUP(M177,'G-3 Multipliers'!$L$3:$N$6,2,FALSE)=0,"Spatial Data Missing ⚠",VLOOKUP(M177,'G-3 Multipliers'!$L$3:$N$6,2,FALSE)))</f>
        <v/>
      </c>
      <c r="O177" s="524" t="str">
        <f>IF(M177="","",IF(VLOOKUP(M177,'G-3 Multipliers'!$L$3:$N$6,3,FALSE)=0,"Spatial Data Missing ⚠",VLOOKUP(M177,'G-3 Multipliers'!$L$3:$N$6,3,FALSE)))</f>
        <v/>
      </c>
      <c r="P177" s="506" t="str">
        <f>IFERROR(VLOOKUP(G177,'G-1 All Habitats'!$B$2:$M$129,12,FALSE),"")</f>
        <v/>
      </c>
      <c r="Q177" s="513" t="str">
        <f>IFERROR(IF(P177="","",IF(AND(P177='G-1 All Habitats'!$X$3,T177&gt;0),U177+V177,IF(AND(P177='G-1 All Habitats'!$X$3,S177&gt;0),U177+V177,IF(AND(P177='G-1 All Habitats'!$X$3,AC177&gt;0),"Any Loss Unacceptable",IF(AND(P177='G-1 All Habitats'!$X$3,W177&gt;0),"Any Loss Unacceptable",H177*J177*L177*O177))))),"Check Data ⚠")</f>
        <v/>
      </c>
      <c r="R177" s="50"/>
      <c r="S177" s="71"/>
      <c r="T177" s="72"/>
      <c r="U177" s="511" t="str">
        <f t="shared" si="14"/>
        <v/>
      </c>
      <c r="V177" s="511" t="str">
        <f t="shared" si="15"/>
        <v/>
      </c>
      <c r="W177" s="511" t="str">
        <f>IF(E177="","",IF(H177&lt;S177+T177,"Error in Areas ▲",IF(P177&lt;&gt;'G-1 All Habitats'!$X$3,H177-S177-T177,IF(AND(P177='G-1 All Habitats'!$X$3,Y177="Yes"),"Unacceptable Loss ▲",IF(AND(P177='G-1 All Habitats'!$X$3,Y177="No"),AC177,IF(AND(P177='G-1 All Habitats'!$X$3,Y177=""),AC177,IF(AND(P177='G-1 All Habitats'!$X$3,AC177="None",AC177),IF(AND(P177='G-1 All Habitats'!$X$3,AC177&gt;0),H177-S177-T177))))))))</f>
        <v/>
      </c>
      <c r="X177" s="545" t="str">
        <f>IFERROR(IF(H177="","",IF(H177-S177-T177=0&lt;0,"Error in Areas ▲",IF(S177+T177&gt;H177,"Error in Areas ▲",IF(AND(P177='G-1 All Habitats'!$X$3,Y177="Yes"),"Alternative Compensation",IF(W177=0,0,IF(P177='G-1 All Habitats'!$X$3,"Unacceptable Loss",Q177-U177-V177)))))),"Check Data ⚠")</f>
        <v/>
      </c>
      <c r="Y177" s="72"/>
      <c r="Z177" s="151"/>
      <c r="AA177" s="152"/>
      <c r="AC177" s="251" t="str">
        <f>IF(P177="","",IF(P177='G-1 All Habitats'!$X$3,H177-S177-T177,"None"))</f>
        <v/>
      </c>
      <c r="AD177" s="252" t="str">
        <f t="shared" si="16"/>
        <v/>
      </c>
      <c r="AF177" s="156" t="str">
        <f t="shared" si="12"/>
        <v/>
      </c>
      <c r="AG177" s="156" t="str">
        <f t="shared" si="13"/>
        <v/>
      </c>
      <c r="AH177" s="156" t="str">
        <f>IF(I177="","",IF(#REF!&gt;0,TRUE,FALSE))</f>
        <v/>
      </c>
      <c r="AI177" s="156">
        <v>167</v>
      </c>
      <c r="AJ177" s="156"/>
      <c r="AK177" s="156" t="str">
        <f t="array" ref="AK177">IFERROR(INDEX($AI$11:$AI$259, MATCH(0, IF(TRUE=$AF$11:$AF$259, COUNTIF($AK$10:$AK176, $AI$11:$AI$259), ""), 0)),"")</f>
        <v/>
      </c>
      <c r="AL177" s="156" t="str">
        <f t="array" ref="AL177">IFERROR(INDEX($AI$11:$AI$259, MATCH(0, IF(TRUE=$AG$11:$AG$259, COUNTIF($AL$10:$AL176, $AI$11:$AI$259), ""), 0)),"")</f>
        <v/>
      </c>
      <c r="AM177" s="156" t="str">
        <f t="array" ref="AM177">IFERROR(INDEX($AI$11:$AI$259, MATCH(0, IF(TRUE=$AH$11:$AH$259, COUNTIF($AM$10:$AM176, $AI$11:$AI$259), ""), 0)),"")</f>
        <v/>
      </c>
      <c r="AQ177" s="31">
        <f t="shared" si="17"/>
        <v>0</v>
      </c>
    </row>
    <row r="178" spans="1:43" x14ac:dyDescent="0.3">
      <c r="A178" s="31" t="str">
        <f>IFERROR(INDEX('G-1 All Habitats'!$AG$3:$AG$15,MATCH(E178,'G-1 All Habitats'!$AF$3:$AF$15,0)),"")</f>
        <v/>
      </c>
      <c r="B178" s="31" t="str">
        <f>IFERROR(INDEX('G-8 Condition Look up'!$I$4:$I$130,MATCH(G178,'G-8 Condition Look up'!$A$4:$A$130,0)),"")</f>
        <v/>
      </c>
      <c r="D178" s="141">
        <v>168</v>
      </c>
      <c r="E178" s="203"/>
      <c r="F178" s="203"/>
      <c r="G178" s="250" t="str">
        <f>IFERROR(INDEX('G-1 All Habitats'!$B$3:$B$129,MATCH(F178,'G-1 All Habitats'!$A$3:$A$129,0)),"")</f>
        <v/>
      </c>
      <c r="H178" s="172"/>
      <c r="I178" s="498" t="str">
        <f>IF(G178="","",VLOOKUP(G178,'G-1 All Habitats'!$B$2:$M$129,10,FALSE))</f>
        <v/>
      </c>
      <c r="J178" s="499" t="str">
        <f>IFERROR(VLOOKUP(I178,'G-1 All Habitats'!$V$3:$W$7,2,FALSE),"")</f>
        <v/>
      </c>
      <c r="K178" s="145"/>
      <c r="L178" s="499" t="str">
        <f>IFERROR(INDEX('G-8 Condition Look up'!$A$3:$H$130,MATCH(G178,'G-8 Condition Look up'!$A$3:$A$130,0),MATCH(K178,'G-8 Condition Look up'!$A$3:$H$3,0)),"")</f>
        <v/>
      </c>
      <c r="M178" s="154"/>
      <c r="N178" s="520" t="str">
        <f>IF(M178="","",IF(VLOOKUP(M178,'G-3 Multipliers'!$L$3:$N$6,2,FALSE)=0,"Spatial Data Missing ⚠",VLOOKUP(M178,'G-3 Multipliers'!$L$3:$N$6,2,FALSE)))</f>
        <v/>
      </c>
      <c r="O178" s="524" t="str">
        <f>IF(M178="","",IF(VLOOKUP(M178,'G-3 Multipliers'!$L$3:$N$6,3,FALSE)=0,"Spatial Data Missing ⚠",VLOOKUP(M178,'G-3 Multipliers'!$L$3:$N$6,3,FALSE)))</f>
        <v/>
      </c>
      <c r="P178" s="506" t="str">
        <f>IFERROR(VLOOKUP(G178,'G-1 All Habitats'!$B$2:$M$129,12,FALSE),"")</f>
        <v/>
      </c>
      <c r="Q178" s="513" t="str">
        <f>IFERROR(IF(P178="","",IF(AND(P178='G-1 All Habitats'!$X$3,T178&gt;0),U178+V178,IF(AND(P178='G-1 All Habitats'!$X$3,S178&gt;0),U178+V178,IF(AND(P178='G-1 All Habitats'!$X$3,AC178&gt;0),"Any Loss Unacceptable",IF(AND(P178='G-1 All Habitats'!$X$3,W178&gt;0),"Any Loss Unacceptable",H178*J178*L178*O178))))),"Check Data ⚠")</f>
        <v/>
      </c>
      <c r="R178" s="50"/>
      <c r="S178" s="71"/>
      <c r="T178" s="72"/>
      <c r="U178" s="511" t="str">
        <f t="shared" si="14"/>
        <v/>
      </c>
      <c r="V178" s="511" t="str">
        <f t="shared" si="15"/>
        <v/>
      </c>
      <c r="W178" s="511" t="str">
        <f>IF(E178="","",IF(H178&lt;S178+T178,"Error in Areas ▲",IF(P178&lt;&gt;'G-1 All Habitats'!$X$3,H178-S178-T178,IF(AND(P178='G-1 All Habitats'!$X$3,Y178="Yes"),"Unacceptable Loss ▲",IF(AND(P178='G-1 All Habitats'!$X$3,Y178="No"),AC178,IF(AND(P178='G-1 All Habitats'!$X$3,Y178=""),AC178,IF(AND(P178='G-1 All Habitats'!$X$3,AC178="None",AC178),IF(AND(P178='G-1 All Habitats'!$X$3,AC178&gt;0),H178-S178-T178))))))))</f>
        <v/>
      </c>
      <c r="X178" s="545" t="str">
        <f>IFERROR(IF(H178="","",IF(H178-S178-T178=0&lt;0,"Error in Areas ▲",IF(S178+T178&gt;H178,"Error in Areas ▲",IF(AND(P178='G-1 All Habitats'!$X$3,Y178="Yes"),"Alternative Compensation",IF(W178=0,0,IF(P178='G-1 All Habitats'!$X$3,"Unacceptable Loss",Q178-U178-V178)))))),"Check Data ⚠")</f>
        <v/>
      </c>
      <c r="Y178" s="72"/>
      <c r="Z178" s="151"/>
      <c r="AA178" s="152"/>
      <c r="AC178" s="251" t="str">
        <f>IF(P178="","",IF(P178='G-1 All Habitats'!$X$3,H178-S178-T178,"None"))</f>
        <v/>
      </c>
      <c r="AD178" s="252" t="str">
        <f t="shared" si="16"/>
        <v/>
      </c>
      <c r="AF178" s="156" t="str">
        <f t="shared" si="12"/>
        <v/>
      </c>
      <c r="AG178" s="156" t="str">
        <f t="shared" si="13"/>
        <v/>
      </c>
      <c r="AH178" s="156" t="str">
        <f>IF(I178="","",IF(#REF!&gt;0,TRUE,FALSE))</f>
        <v/>
      </c>
      <c r="AI178" s="156">
        <v>168</v>
      </c>
      <c r="AJ178" s="156"/>
      <c r="AK178" s="156" t="str">
        <f t="array" ref="AK178">IFERROR(INDEX($AI$11:$AI$259, MATCH(0, IF(TRUE=$AF$11:$AF$259, COUNTIF($AK$10:$AK177, $AI$11:$AI$259), ""), 0)),"")</f>
        <v/>
      </c>
      <c r="AL178" s="156" t="str">
        <f t="array" ref="AL178">IFERROR(INDEX($AI$11:$AI$259, MATCH(0, IF(TRUE=$AG$11:$AG$259, COUNTIF($AL$10:$AL177, $AI$11:$AI$259), ""), 0)),"")</f>
        <v/>
      </c>
      <c r="AM178" s="156" t="str">
        <f t="array" ref="AM178">IFERROR(INDEX($AI$11:$AI$259, MATCH(0, IF(TRUE=$AH$11:$AH$259, COUNTIF($AM$10:$AM177, $AI$11:$AI$259), ""), 0)),"")</f>
        <v/>
      </c>
      <c r="AQ178" s="31">
        <f t="shared" si="17"/>
        <v>0</v>
      </c>
    </row>
    <row r="179" spans="1:43" x14ac:dyDescent="0.3">
      <c r="A179" s="31" t="str">
        <f>IFERROR(INDEX('G-1 All Habitats'!$AG$3:$AG$15,MATCH(E179,'G-1 All Habitats'!$AF$3:$AF$15,0)),"")</f>
        <v/>
      </c>
      <c r="B179" s="31" t="str">
        <f>IFERROR(INDEX('G-8 Condition Look up'!$I$4:$I$130,MATCH(G179,'G-8 Condition Look up'!$A$4:$A$130,0)),"")</f>
        <v/>
      </c>
      <c r="D179" s="141">
        <v>169</v>
      </c>
      <c r="E179" s="203"/>
      <c r="F179" s="203"/>
      <c r="G179" s="250" t="str">
        <f>IFERROR(INDEX('G-1 All Habitats'!$B$3:$B$129,MATCH(F179,'G-1 All Habitats'!$A$3:$A$129,0)),"")</f>
        <v/>
      </c>
      <c r="H179" s="172"/>
      <c r="I179" s="498" t="str">
        <f>IF(G179="","",VLOOKUP(G179,'G-1 All Habitats'!$B$2:$M$129,10,FALSE))</f>
        <v/>
      </c>
      <c r="J179" s="499" t="str">
        <f>IFERROR(VLOOKUP(I179,'G-1 All Habitats'!$V$3:$W$7,2,FALSE),"")</f>
        <v/>
      </c>
      <c r="K179" s="145"/>
      <c r="L179" s="499" t="str">
        <f>IFERROR(INDEX('G-8 Condition Look up'!$A$3:$H$130,MATCH(G179,'G-8 Condition Look up'!$A$3:$A$130,0),MATCH(K179,'G-8 Condition Look up'!$A$3:$H$3,0)),"")</f>
        <v/>
      </c>
      <c r="M179" s="154"/>
      <c r="N179" s="520" t="str">
        <f>IF(M179="","",IF(VLOOKUP(M179,'G-3 Multipliers'!$L$3:$N$6,2,FALSE)=0,"Spatial Data Missing ⚠",VLOOKUP(M179,'G-3 Multipliers'!$L$3:$N$6,2,FALSE)))</f>
        <v/>
      </c>
      <c r="O179" s="524" t="str">
        <f>IF(M179="","",IF(VLOOKUP(M179,'G-3 Multipliers'!$L$3:$N$6,3,FALSE)=0,"Spatial Data Missing ⚠",VLOOKUP(M179,'G-3 Multipliers'!$L$3:$N$6,3,FALSE)))</f>
        <v/>
      </c>
      <c r="P179" s="506" t="str">
        <f>IFERROR(VLOOKUP(G179,'G-1 All Habitats'!$B$2:$M$129,12,FALSE),"")</f>
        <v/>
      </c>
      <c r="Q179" s="513" t="str">
        <f>IFERROR(IF(P179="","",IF(AND(P179='G-1 All Habitats'!$X$3,T179&gt;0),U179+V179,IF(AND(P179='G-1 All Habitats'!$X$3,S179&gt;0),U179+V179,IF(AND(P179='G-1 All Habitats'!$X$3,AC179&gt;0),"Any Loss Unacceptable",IF(AND(P179='G-1 All Habitats'!$X$3,W179&gt;0),"Any Loss Unacceptable",H179*J179*L179*O179))))),"Check Data ⚠")</f>
        <v/>
      </c>
      <c r="R179" s="50"/>
      <c r="S179" s="71"/>
      <c r="T179" s="72"/>
      <c r="U179" s="511" t="str">
        <f t="shared" si="14"/>
        <v/>
      </c>
      <c r="V179" s="511" t="str">
        <f t="shared" si="15"/>
        <v/>
      </c>
      <c r="W179" s="511" t="str">
        <f>IF(E179="","",IF(H179&lt;S179+T179,"Error in Areas ▲",IF(P179&lt;&gt;'G-1 All Habitats'!$X$3,H179-S179-T179,IF(AND(P179='G-1 All Habitats'!$X$3,Y179="Yes"),"Unacceptable Loss ▲",IF(AND(P179='G-1 All Habitats'!$X$3,Y179="No"),AC179,IF(AND(P179='G-1 All Habitats'!$X$3,Y179=""),AC179,IF(AND(P179='G-1 All Habitats'!$X$3,AC179="None",AC179),IF(AND(P179='G-1 All Habitats'!$X$3,AC179&gt;0),H179-S179-T179))))))))</f>
        <v/>
      </c>
      <c r="X179" s="545" t="str">
        <f>IFERROR(IF(H179="","",IF(H179-S179-T179=0&lt;0,"Error in Areas ▲",IF(S179+T179&gt;H179,"Error in Areas ▲",IF(AND(P179='G-1 All Habitats'!$X$3,Y179="Yes"),"Alternative Compensation",IF(W179=0,0,IF(P179='G-1 All Habitats'!$X$3,"Unacceptable Loss",Q179-U179-V179)))))),"Check Data ⚠")</f>
        <v/>
      </c>
      <c r="Y179" s="72"/>
      <c r="Z179" s="151"/>
      <c r="AA179" s="152"/>
      <c r="AC179" s="251" t="str">
        <f>IF(P179="","",IF(P179='G-1 All Habitats'!$X$3,H179-S179-T179,"None"))</f>
        <v/>
      </c>
      <c r="AD179" s="252" t="str">
        <f t="shared" si="16"/>
        <v/>
      </c>
      <c r="AF179" s="156" t="str">
        <f t="shared" si="12"/>
        <v/>
      </c>
      <c r="AG179" s="156" t="str">
        <f t="shared" si="13"/>
        <v/>
      </c>
      <c r="AH179" s="156" t="str">
        <f>IF(I179="","",IF(#REF!&gt;0,TRUE,FALSE))</f>
        <v/>
      </c>
      <c r="AI179" s="156">
        <v>169</v>
      </c>
      <c r="AJ179" s="156"/>
      <c r="AK179" s="156" t="str">
        <f t="array" ref="AK179">IFERROR(INDEX($AI$11:$AI$259, MATCH(0, IF(TRUE=$AF$11:$AF$259, COUNTIF($AK$10:$AK178, $AI$11:$AI$259), ""), 0)),"")</f>
        <v/>
      </c>
      <c r="AL179" s="156" t="str">
        <f t="array" ref="AL179">IFERROR(INDEX($AI$11:$AI$259, MATCH(0, IF(TRUE=$AG$11:$AG$259, COUNTIF($AL$10:$AL178, $AI$11:$AI$259), ""), 0)),"")</f>
        <v/>
      </c>
      <c r="AM179" s="156" t="str">
        <f t="array" ref="AM179">IFERROR(INDEX($AI$11:$AI$259, MATCH(0, IF(TRUE=$AH$11:$AH$259, COUNTIF($AM$10:$AM178, $AI$11:$AI$259), ""), 0)),"")</f>
        <v/>
      </c>
      <c r="AQ179" s="31">
        <f t="shared" si="17"/>
        <v>0</v>
      </c>
    </row>
    <row r="180" spans="1:43" x14ac:dyDescent="0.3">
      <c r="A180" s="31" t="str">
        <f>IFERROR(INDEX('G-1 All Habitats'!$AG$3:$AG$15,MATCH(E180,'G-1 All Habitats'!$AF$3:$AF$15,0)),"")</f>
        <v/>
      </c>
      <c r="B180" s="31" t="str">
        <f>IFERROR(INDEX('G-8 Condition Look up'!$I$4:$I$130,MATCH(G180,'G-8 Condition Look up'!$A$4:$A$130,0)),"")</f>
        <v/>
      </c>
      <c r="D180" s="141">
        <v>170</v>
      </c>
      <c r="E180" s="203"/>
      <c r="F180" s="203"/>
      <c r="G180" s="250" t="str">
        <f>IFERROR(INDEX('G-1 All Habitats'!$B$3:$B$129,MATCH(F180,'G-1 All Habitats'!$A$3:$A$129,0)),"")</f>
        <v/>
      </c>
      <c r="H180" s="172"/>
      <c r="I180" s="498" t="str">
        <f>IF(G180="","",VLOOKUP(G180,'G-1 All Habitats'!$B$2:$M$129,10,FALSE))</f>
        <v/>
      </c>
      <c r="J180" s="499" t="str">
        <f>IFERROR(VLOOKUP(I180,'G-1 All Habitats'!$V$3:$W$7,2,FALSE),"")</f>
        <v/>
      </c>
      <c r="K180" s="145"/>
      <c r="L180" s="499" t="str">
        <f>IFERROR(INDEX('G-8 Condition Look up'!$A$3:$H$130,MATCH(G180,'G-8 Condition Look up'!$A$3:$A$130,0),MATCH(K180,'G-8 Condition Look up'!$A$3:$H$3,0)),"")</f>
        <v/>
      </c>
      <c r="M180" s="154"/>
      <c r="N180" s="520" t="str">
        <f>IF(M180="","",IF(VLOOKUP(M180,'G-3 Multipliers'!$L$3:$N$6,2,FALSE)=0,"Spatial Data Missing ⚠",VLOOKUP(M180,'G-3 Multipliers'!$L$3:$N$6,2,FALSE)))</f>
        <v/>
      </c>
      <c r="O180" s="524" t="str">
        <f>IF(M180="","",IF(VLOOKUP(M180,'G-3 Multipliers'!$L$3:$N$6,3,FALSE)=0,"Spatial Data Missing ⚠",VLOOKUP(M180,'G-3 Multipliers'!$L$3:$N$6,3,FALSE)))</f>
        <v/>
      </c>
      <c r="P180" s="506" t="str">
        <f>IFERROR(VLOOKUP(G180,'G-1 All Habitats'!$B$2:$M$129,12,FALSE),"")</f>
        <v/>
      </c>
      <c r="Q180" s="513" t="str">
        <f>IFERROR(IF(P180="","",IF(AND(P180='G-1 All Habitats'!$X$3,T180&gt;0),U180+V180,IF(AND(P180='G-1 All Habitats'!$X$3,S180&gt;0),U180+V180,IF(AND(P180='G-1 All Habitats'!$X$3,AC180&gt;0),"Any Loss Unacceptable",IF(AND(P180='G-1 All Habitats'!$X$3,W180&gt;0),"Any Loss Unacceptable",H180*J180*L180*O180))))),"Check Data ⚠")</f>
        <v/>
      </c>
      <c r="R180" s="50"/>
      <c r="S180" s="71"/>
      <c r="T180" s="72"/>
      <c r="U180" s="511" t="str">
        <f t="shared" si="14"/>
        <v/>
      </c>
      <c r="V180" s="511" t="str">
        <f t="shared" si="15"/>
        <v/>
      </c>
      <c r="W180" s="511" t="str">
        <f>IF(E180="","",IF(H180&lt;S180+T180,"Error in Areas ▲",IF(P180&lt;&gt;'G-1 All Habitats'!$X$3,H180-S180-T180,IF(AND(P180='G-1 All Habitats'!$X$3,Y180="Yes"),"Unacceptable Loss ▲",IF(AND(P180='G-1 All Habitats'!$X$3,Y180="No"),AC180,IF(AND(P180='G-1 All Habitats'!$X$3,Y180=""),AC180,IF(AND(P180='G-1 All Habitats'!$X$3,AC180="None",AC180),IF(AND(P180='G-1 All Habitats'!$X$3,AC180&gt;0),H180-S180-T180))))))))</f>
        <v/>
      </c>
      <c r="X180" s="545" t="str">
        <f>IFERROR(IF(H180="","",IF(H180-S180-T180=0&lt;0,"Error in Areas ▲",IF(S180+T180&gt;H180,"Error in Areas ▲",IF(AND(P180='G-1 All Habitats'!$X$3,Y180="Yes"),"Alternative Compensation",IF(W180=0,0,IF(P180='G-1 All Habitats'!$X$3,"Unacceptable Loss",Q180-U180-V180)))))),"Check Data ⚠")</f>
        <v/>
      </c>
      <c r="Y180" s="72"/>
      <c r="Z180" s="151"/>
      <c r="AA180" s="152"/>
      <c r="AC180" s="251" t="str">
        <f>IF(P180="","",IF(P180='G-1 All Habitats'!$X$3,H180-S180-T180,"None"))</f>
        <v/>
      </c>
      <c r="AD180" s="252" t="str">
        <f t="shared" si="16"/>
        <v/>
      </c>
      <c r="AF180" s="156" t="str">
        <f t="shared" si="12"/>
        <v/>
      </c>
      <c r="AG180" s="156" t="str">
        <f t="shared" si="13"/>
        <v/>
      </c>
      <c r="AH180" s="156" t="str">
        <f>IF(I180="","",IF(#REF!&gt;0,TRUE,FALSE))</f>
        <v/>
      </c>
      <c r="AI180" s="156">
        <v>170</v>
      </c>
      <c r="AJ180" s="156"/>
      <c r="AK180" s="156" t="str">
        <f t="array" ref="AK180">IFERROR(INDEX($AI$11:$AI$259, MATCH(0, IF(TRUE=$AF$11:$AF$259, COUNTIF($AK$10:$AK179, $AI$11:$AI$259), ""), 0)),"")</f>
        <v/>
      </c>
      <c r="AL180" s="156" t="str">
        <f t="array" ref="AL180">IFERROR(INDEX($AI$11:$AI$259, MATCH(0, IF(TRUE=$AG$11:$AG$259, COUNTIF($AL$10:$AL179, $AI$11:$AI$259), ""), 0)),"")</f>
        <v/>
      </c>
      <c r="AM180" s="156" t="str">
        <f t="array" ref="AM180">IFERROR(INDEX($AI$11:$AI$259, MATCH(0, IF(TRUE=$AH$11:$AH$259, COUNTIF($AM$10:$AM179, $AI$11:$AI$259), ""), 0)),"")</f>
        <v/>
      </c>
      <c r="AQ180" s="31">
        <f t="shared" si="17"/>
        <v>0</v>
      </c>
    </row>
    <row r="181" spans="1:43" x14ac:dyDescent="0.3">
      <c r="A181" s="31" t="str">
        <f>IFERROR(INDEX('G-1 All Habitats'!$AG$3:$AG$15,MATCH(E181,'G-1 All Habitats'!$AF$3:$AF$15,0)),"")</f>
        <v/>
      </c>
      <c r="B181" s="31" t="str">
        <f>IFERROR(INDEX('G-8 Condition Look up'!$I$4:$I$130,MATCH(G181,'G-8 Condition Look up'!$A$4:$A$130,0)),"")</f>
        <v/>
      </c>
      <c r="D181" s="141">
        <v>171</v>
      </c>
      <c r="E181" s="203"/>
      <c r="F181" s="203"/>
      <c r="G181" s="250" t="str">
        <f>IFERROR(INDEX('G-1 All Habitats'!$B$3:$B$129,MATCH(F181,'G-1 All Habitats'!$A$3:$A$129,0)),"")</f>
        <v/>
      </c>
      <c r="H181" s="172"/>
      <c r="I181" s="498" t="str">
        <f>IF(G181="","",VLOOKUP(G181,'G-1 All Habitats'!$B$2:$M$129,10,FALSE))</f>
        <v/>
      </c>
      <c r="J181" s="499" t="str">
        <f>IFERROR(VLOOKUP(I181,'G-1 All Habitats'!$V$3:$W$7,2,FALSE),"")</f>
        <v/>
      </c>
      <c r="K181" s="145"/>
      <c r="L181" s="499" t="str">
        <f>IFERROR(INDEX('G-8 Condition Look up'!$A$3:$H$130,MATCH(G181,'G-8 Condition Look up'!$A$3:$A$130,0),MATCH(K181,'G-8 Condition Look up'!$A$3:$H$3,0)),"")</f>
        <v/>
      </c>
      <c r="M181" s="154"/>
      <c r="N181" s="520" t="str">
        <f>IF(M181="","",IF(VLOOKUP(M181,'G-3 Multipliers'!$L$3:$N$6,2,FALSE)=0,"Spatial Data Missing ⚠",VLOOKUP(M181,'G-3 Multipliers'!$L$3:$N$6,2,FALSE)))</f>
        <v/>
      </c>
      <c r="O181" s="524" t="str">
        <f>IF(M181="","",IF(VLOOKUP(M181,'G-3 Multipliers'!$L$3:$N$6,3,FALSE)=0,"Spatial Data Missing ⚠",VLOOKUP(M181,'G-3 Multipliers'!$L$3:$N$6,3,FALSE)))</f>
        <v/>
      </c>
      <c r="P181" s="506" t="str">
        <f>IFERROR(VLOOKUP(G181,'G-1 All Habitats'!$B$2:$M$129,12,FALSE),"")</f>
        <v/>
      </c>
      <c r="Q181" s="513" t="str">
        <f>IFERROR(IF(P181="","",IF(AND(P181='G-1 All Habitats'!$X$3,T181&gt;0),U181+V181,IF(AND(P181='G-1 All Habitats'!$X$3,S181&gt;0),U181+V181,IF(AND(P181='G-1 All Habitats'!$X$3,AC181&gt;0),"Any Loss Unacceptable",IF(AND(P181='G-1 All Habitats'!$X$3,W181&gt;0),"Any Loss Unacceptable",H181*J181*L181*O181))))),"Check Data ⚠")</f>
        <v/>
      </c>
      <c r="R181" s="50"/>
      <c r="S181" s="71"/>
      <c r="T181" s="72"/>
      <c r="U181" s="511" t="str">
        <f t="shared" si="14"/>
        <v/>
      </c>
      <c r="V181" s="511" t="str">
        <f t="shared" si="15"/>
        <v/>
      </c>
      <c r="W181" s="511" t="str">
        <f>IF(E181="","",IF(H181&lt;S181+T181,"Error in Areas ▲",IF(P181&lt;&gt;'G-1 All Habitats'!$X$3,H181-S181-T181,IF(AND(P181='G-1 All Habitats'!$X$3,Y181="Yes"),"Unacceptable Loss ▲",IF(AND(P181='G-1 All Habitats'!$X$3,Y181="No"),AC181,IF(AND(P181='G-1 All Habitats'!$X$3,Y181=""),AC181,IF(AND(P181='G-1 All Habitats'!$X$3,AC181="None",AC181),IF(AND(P181='G-1 All Habitats'!$X$3,AC181&gt;0),H181-S181-T181))))))))</f>
        <v/>
      </c>
      <c r="X181" s="545" t="str">
        <f>IFERROR(IF(H181="","",IF(H181-S181-T181=0&lt;0,"Error in Areas ▲",IF(S181+T181&gt;H181,"Error in Areas ▲",IF(AND(P181='G-1 All Habitats'!$X$3,Y181="Yes"),"Alternative Compensation",IF(W181=0,0,IF(P181='G-1 All Habitats'!$X$3,"Unacceptable Loss",Q181-U181-V181)))))),"Check Data ⚠")</f>
        <v/>
      </c>
      <c r="Y181" s="72"/>
      <c r="Z181" s="151"/>
      <c r="AA181" s="152"/>
      <c r="AC181" s="251" t="str">
        <f>IF(P181="","",IF(P181='G-1 All Habitats'!$X$3,H181-S181-T181,"None"))</f>
        <v/>
      </c>
      <c r="AD181" s="252" t="str">
        <f t="shared" si="16"/>
        <v/>
      </c>
      <c r="AF181" s="156" t="str">
        <f t="shared" si="12"/>
        <v/>
      </c>
      <c r="AG181" s="156" t="str">
        <f t="shared" si="13"/>
        <v/>
      </c>
      <c r="AH181" s="156" t="str">
        <f>IF(I181="","",IF(#REF!&gt;0,TRUE,FALSE))</f>
        <v/>
      </c>
      <c r="AI181" s="156">
        <v>171</v>
      </c>
      <c r="AJ181" s="156"/>
      <c r="AK181" s="156" t="str">
        <f t="array" ref="AK181">IFERROR(INDEX($AI$11:$AI$259, MATCH(0, IF(TRUE=$AF$11:$AF$259, COUNTIF($AK$10:$AK180, $AI$11:$AI$259), ""), 0)),"")</f>
        <v/>
      </c>
      <c r="AL181" s="156" t="str">
        <f t="array" ref="AL181">IFERROR(INDEX($AI$11:$AI$259, MATCH(0, IF(TRUE=$AG$11:$AG$259, COUNTIF($AL$10:$AL180, $AI$11:$AI$259), ""), 0)),"")</f>
        <v/>
      </c>
      <c r="AM181" s="156" t="str">
        <f t="array" ref="AM181">IFERROR(INDEX($AI$11:$AI$259, MATCH(0, IF(TRUE=$AH$11:$AH$259, COUNTIF($AM$10:$AM180, $AI$11:$AI$259), ""), 0)),"")</f>
        <v/>
      </c>
      <c r="AQ181" s="31">
        <f t="shared" si="17"/>
        <v>0</v>
      </c>
    </row>
    <row r="182" spans="1:43" x14ac:dyDescent="0.3">
      <c r="A182" s="31" t="str">
        <f>IFERROR(INDEX('G-1 All Habitats'!$AG$3:$AG$15,MATCH(E182,'G-1 All Habitats'!$AF$3:$AF$15,0)),"")</f>
        <v/>
      </c>
      <c r="B182" s="31" t="str">
        <f>IFERROR(INDEX('G-8 Condition Look up'!$I$4:$I$130,MATCH(G182,'G-8 Condition Look up'!$A$4:$A$130,0)),"")</f>
        <v/>
      </c>
      <c r="D182" s="141">
        <v>172</v>
      </c>
      <c r="E182" s="203"/>
      <c r="F182" s="203"/>
      <c r="G182" s="250" t="str">
        <f>IFERROR(INDEX('G-1 All Habitats'!$B$3:$B$129,MATCH(F182,'G-1 All Habitats'!$A$3:$A$129,0)),"")</f>
        <v/>
      </c>
      <c r="H182" s="172"/>
      <c r="I182" s="498" t="str">
        <f>IF(G182="","",VLOOKUP(G182,'G-1 All Habitats'!$B$2:$M$129,10,FALSE))</f>
        <v/>
      </c>
      <c r="J182" s="499" t="str">
        <f>IFERROR(VLOOKUP(I182,'G-1 All Habitats'!$V$3:$W$7,2,FALSE),"")</f>
        <v/>
      </c>
      <c r="K182" s="145"/>
      <c r="L182" s="499" t="str">
        <f>IFERROR(INDEX('G-8 Condition Look up'!$A$3:$H$130,MATCH(G182,'G-8 Condition Look up'!$A$3:$A$130,0),MATCH(K182,'G-8 Condition Look up'!$A$3:$H$3,0)),"")</f>
        <v/>
      </c>
      <c r="M182" s="154"/>
      <c r="N182" s="520" t="str">
        <f>IF(M182="","",IF(VLOOKUP(M182,'G-3 Multipliers'!$L$3:$N$6,2,FALSE)=0,"Spatial Data Missing ⚠",VLOOKUP(M182,'G-3 Multipliers'!$L$3:$N$6,2,FALSE)))</f>
        <v/>
      </c>
      <c r="O182" s="524" t="str">
        <f>IF(M182="","",IF(VLOOKUP(M182,'G-3 Multipliers'!$L$3:$N$6,3,FALSE)=0,"Spatial Data Missing ⚠",VLOOKUP(M182,'G-3 Multipliers'!$L$3:$N$6,3,FALSE)))</f>
        <v/>
      </c>
      <c r="P182" s="506" t="str">
        <f>IFERROR(VLOOKUP(G182,'G-1 All Habitats'!$B$2:$M$129,12,FALSE),"")</f>
        <v/>
      </c>
      <c r="Q182" s="513" t="str">
        <f>IFERROR(IF(P182="","",IF(AND(P182='G-1 All Habitats'!$X$3,T182&gt;0),U182+V182,IF(AND(P182='G-1 All Habitats'!$X$3,S182&gt;0),U182+V182,IF(AND(P182='G-1 All Habitats'!$X$3,AC182&gt;0),"Any Loss Unacceptable",IF(AND(P182='G-1 All Habitats'!$X$3,W182&gt;0),"Any Loss Unacceptable",H182*J182*L182*O182))))),"Check Data ⚠")</f>
        <v/>
      </c>
      <c r="R182" s="50"/>
      <c r="S182" s="71"/>
      <c r="T182" s="72"/>
      <c r="U182" s="511" t="str">
        <f t="shared" si="14"/>
        <v/>
      </c>
      <c r="V182" s="511" t="str">
        <f t="shared" si="15"/>
        <v/>
      </c>
      <c r="W182" s="511" t="str">
        <f>IF(E182="","",IF(H182&lt;S182+T182,"Error in Areas ▲",IF(P182&lt;&gt;'G-1 All Habitats'!$X$3,H182-S182-T182,IF(AND(P182='G-1 All Habitats'!$X$3,Y182="Yes"),"Unacceptable Loss ▲",IF(AND(P182='G-1 All Habitats'!$X$3,Y182="No"),AC182,IF(AND(P182='G-1 All Habitats'!$X$3,Y182=""),AC182,IF(AND(P182='G-1 All Habitats'!$X$3,AC182="None",AC182),IF(AND(P182='G-1 All Habitats'!$X$3,AC182&gt;0),H182-S182-T182))))))))</f>
        <v/>
      </c>
      <c r="X182" s="545" t="str">
        <f>IFERROR(IF(H182="","",IF(H182-S182-T182=0&lt;0,"Error in Areas ▲",IF(S182+T182&gt;H182,"Error in Areas ▲",IF(AND(P182='G-1 All Habitats'!$X$3,Y182="Yes"),"Alternative Compensation",IF(W182=0,0,IF(P182='G-1 All Habitats'!$X$3,"Unacceptable Loss",Q182-U182-V182)))))),"Check Data ⚠")</f>
        <v/>
      </c>
      <c r="Y182" s="72"/>
      <c r="Z182" s="151"/>
      <c r="AA182" s="152"/>
      <c r="AC182" s="251" t="str">
        <f>IF(P182="","",IF(P182='G-1 All Habitats'!$X$3,H182-S182-T182,"None"))</f>
        <v/>
      </c>
      <c r="AD182" s="252" t="str">
        <f t="shared" si="16"/>
        <v/>
      </c>
      <c r="AF182" s="156" t="str">
        <f t="shared" si="12"/>
        <v/>
      </c>
      <c r="AG182" s="156" t="str">
        <f t="shared" si="13"/>
        <v/>
      </c>
      <c r="AH182" s="156" t="str">
        <f>IF(I182="","",IF(#REF!&gt;0,TRUE,FALSE))</f>
        <v/>
      </c>
      <c r="AI182" s="156">
        <v>172</v>
      </c>
      <c r="AJ182" s="156"/>
      <c r="AK182" s="156" t="str">
        <f t="array" ref="AK182">IFERROR(INDEX($AI$11:$AI$259, MATCH(0, IF(TRUE=$AF$11:$AF$259, COUNTIF($AK$10:$AK181, $AI$11:$AI$259), ""), 0)),"")</f>
        <v/>
      </c>
      <c r="AL182" s="156" t="str">
        <f t="array" ref="AL182">IFERROR(INDEX($AI$11:$AI$259, MATCH(0, IF(TRUE=$AG$11:$AG$259, COUNTIF($AL$10:$AL181, $AI$11:$AI$259), ""), 0)),"")</f>
        <v/>
      </c>
      <c r="AM182" s="156" t="str">
        <f t="array" ref="AM182">IFERROR(INDEX($AI$11:$AI$259, MATCH(0, IF(TRUE=$AH$11:$AH$259, COUNTIF($AM$10:$AM181, $AI$11:$AI$259), ""), 0)),"")</f>
        <v/>
      </c>
      <c r="AQ182" s="31">
        <f t="shared" si="17"/>
        <v>0</v>
      </c>
    </row>
    <row r="183" spans="1:43" x14ac:dyDescent="0.3">
      <c r="A183" s="31" t="str">
        <f>IFERROR(INDEX('G-1 All Habitats'!$AG$3:$AG$15,MATCH(E183,'G-1 All Habitats'!$AF$3:$AF$15,0)),"")</f>
        <v/>
      </c>
      <c r="B183" s="31" t="str">
        <f>IFERROR(INDEX('G-8 Condition Look up'!$I$4:$I$130,MATCH(G183,'G-8 Condition Look up'!$A$4:$A$130,0)),"")</f>
        <v/>
      </c>
      <c r="D183" s="141">
        <v>173</v>
      </c>
      <c r="E183" s="203"/>
      <c r="F183" s="203"/>
      <c r="G183" s="250" t="str">
        <f>IFERROR(INDEX('G-1 All Habitats'!$B$3:$B$129,MATCH(F183,'G-1 All Habitats'!$A$3:$A$129,0)),"")</f>
        <v/>
      </c>
      <c r="H183" s="172"/>
      <c r="I183" s="498" t="str">
        <f>IF(G183="","",VLOOKUP(G183,'G-1 All Habitats'!$B$2:$M$129,10,FALSE))</f>
        <v/>
      </c>
      <c r="J183" s="499" t="str">
        <f>IFERROR(VLOOKUP(I183,'G-1 All Habitats'!$V$3:$W$7,2,FALSE),"")</f>
        <v/>
      </c>
      <c r="K183" s="145"/>
      <c r="L183" s="499" t="str">
        <f>IFERROR(INDEX('G-8 Condition Look up'!$A$3:$H$130,MATCH(G183,'G-8 Condition Look up'!$A$3:$A$130,0),MATCH(K183,'G-8 Condition Look up'!$A$3:$H$3,0)),"")</f>
        <v/>
      </c>
      <c r="M183" s="154"/>
      <c r="N183" s="520" t="str">
        <f>IF(M183="","",IF(VLOOKUP(M183,'G-3 Multipliers'!$L$3:$N$6,2,FALSE)=0,"Spatial Data Missing ⚠",VLOOKUP(M183,'G-3 Multipliers'!$L$3:$N$6,2,FALSE)))</f>
        <v/>
      </c>
      <c r="O183" s="524" t="str">
        <f>IF(M183="","",IF(VLOOKUP(M183,'G-3 Multipliers'!$L$3:$N$6,3,FALSE)=0,"Spatial Data Missing ⚠",VLOOKUP(M183,'G-3 Multipliers'!$L$3:$N$6,3,FALSE)))</f>
        <v/>
      </c>
      <c r="P183" s="506" t="str">
        <f>IFERROR(VLOOKUP(G183,'G-1 All Habitats'!$B$2:$M$129,12,FALSE),"")</f>
        <v/>
      </c>
      <c r="Q183" s="513" t="str">
        <f>IFERROR(IF(P183="","",IF(AND(P183='G-1 All Habitats'!$X$3,T183&gt;0),U183+V183,IF(AND(P183='G-1 All Habitats'!$X$3,S183&gt;0),U183+V183,IF(AND(P183='G-1 All Habitats'!$X$3,AC183&gt;0),"Any Loss Unacceptable",IF(AND(P183='G-1 All Habitats'!$X$3,W183&gt;0),"Any Loss Unacceptable",H183*J183*L183*O183))))),"Check Data ⚠")</f>
        <v/>
      </c>
      <c r="R183" s="50"/>
      <c r="S183" s="71"/>
      <c r="T183" s="72"/>
      <c r="U183" s="511" t="str">
        <f t="shared" si="14"/>
        <v/>
      </c>
      <c r="V183" s="511" t="str">
        <f t="shared" si="15"/>
        <v/>
      </c>
      <c r="W183" s="511" t="str">
        <f>IF(E183="","",IF(H183&lt;S183+T183,"Error in Areas ▲",IF(P183&lt;&gt;'G-1 All Habitats'!$X$3,H183-S183-T183,IF(AND(P183='G-1 All Habitats'!$X$3,Y183="Yes"),"Unacceptable Loss ▲",IF(AND(P183='G-1 All Habitats'!$X$3,Y183="No"),AC183,IF(AND(P183='G-1 All Habitats'!$X$3,Y183=""),AC183,IF(AND(P183='G-1 All Habitats'!$X$3,AC183="None",AC183),IF(AND(P183='G-1 All Habitats'!$X$3,AC183&gt;0),H183-S183-T183))))))))</f>
        <v/>
      </c>
      <c r="X183" s="545" t="str">
        <f>IFERROR(IF(H183="","",IF(H183-S183-T183=0&lt;0,"Error in Areas ▲",IF(S183+T183&gt;H183,"Error in Areas ▲",IF(AND(P183='G-1 All Habitats'!$X$3,Y183="Yes"),"Alternative Compensation",IF(W183=0,0,IF(P183='G-1 All Habitats'!$X$3,"Unacceptable Loss",Q183-U183-V183)))))),"Check Data ⚠")</f>
        <v/>
      </c>
      <c r="Y183" s="72"/>
      <c r="Z183" s="151"/>
      <c r="AA183" s="152"/>
      <c r="AC183" s="251" t="str">
        <f>IF(P183="","",IF(P183='G-1 All Habitats'!$X$3,H183-S183-T183,"None"))</f>
        <v/>
      </c>
      <c r="AD183" s="252" t="str">
        <f t="shared" si="16"/>
        <v/>
      </c>
      <c r="AF183" s="156" t="str">
        <f t="shared" si="12"/>
        <v/>
      </c>
      <c r="AG183" s="156" t="str">
        <f t="shared" si="13"/>
        <v/>
      </c>
      <c r="AH183" s="156" t="str">
        <f>IF(I183="","",IF(#REF!&gt;0,TRUE,FALSE))</f>
        <v/>
      </c>
      <c r="AI183" s="156">
        <v>173</v>
      </c>
      <c r="AJ183" s="156"/>
      <c r="AK183" s="156" t="str">
        <f t="array" ref="AK183">IFERROR(INDEX($AI$11:$AI$259, MATCH(0, IF(TRUE=$AF$11:$AF$259, COUNTIF($AK$10:$AK182, $AI$11:$AI$259), ""), 0)),"")</f>
        <v/>
      </c>
      <c r="AL183" s="156" t="str">
        <f t="array" ref="AL183">IFERROR(INDEX($AI$11:$AI$259, MATCH(0, IF(TRUE=$AG$11:$AG$259, COUNTIF($AL$10:$AL182, $AI$11:$AI$259), ""), 0)),"")</f>
        <v/>
      </c>
      <c r="AM183" s="156" t="str">
        <f t="array" ref="AM183">IFERROR(INDEX($AI$11:$AI$259, MATCH(0, IF(TRUE=$AH$11:$AH$259, COUNTIF($AM$10:$AM182, $AI$11:$AI$259), ""), 0)),"")</f>
        <v/>
      </c>
      <c r="AQ183" s="31">
        <f t="shared" si="17"/>
        <v>0</v>
      </c>
    </row>
    <row r="184" spans="1:43" x14ac:dyDescent="0.3">
      <c r="A184" s="31" t="str">
        <f>IFERROR(INDEX('G-1 All Habitats'!$AG$3:$AG$15,MATCH(E184,'G-1 All Habitats'!$AF$3:$AF$15,0)),"")</f>
        <v/>
      </c>
      <c r="B184" s="31" t="str">
        <f>IFERROR(INDEX('G-8 Condition Look up'!$I$4:$I$130,MATCH(G184,'G-8 Condition Look up'!$A$4:$A$130,0)),"")</f>
        <v/>
      </c>
      <c r="D184" s="141">
        <v>174</v>
      </c>
      <c r="E184" s="203"/>
      <c r="F184" s="203"/>
      <c r="G184" s="250" t="str">
        <f>IFERROR(INDEX('G-1 All Habitats'!$B$3:$B$129,MATCH(F184,'G-1 All Habitats'!$A$3:$A$129,0)),"")</f>
        <v/>
      </c>
      <c r="H184" s="172"/>
      <c r="I184" s="498" t="str">
        <f>IF(G184="","",VLOOKUP(G184,'G-1 All Habitats'!$B$2:$M$129,10,FALSE))</f>
        <v/>
      </c>
      <c r="J184" s="499" t="str">
        <f>IFERROR(VLOOKUP(I184,'G-1 All Habitats'!$V$3:$W$7,2,FALSE),"")</f>
        <v/>
      </c>
      <c r="K184" s="145"/>
      <c r="L184" s="499" t="str">
        <f>IFERROR(INDEX('G-8 Condition Look up'!$A$3:$H$130,MATCH(G184,'G-8 Condition Look up'!$A$3:$A$130,0),MATCH(K184,'G-8 Condition Look up'!$A$3:$H$3,0)),"")</f>
        <v/>
      </c>
      <c r="M184" s="154"/>
      <c r="N184" s="520" t="str">
        <f>IF(M184="","",IF(VLOOKUP(M184,'G-3 Multipliers'!$L$3:$N$6,2,FALSE)=0,"Spatial Data Missing ⚠",VLOOKUP(M184,'G-3 Multipliers'!$L$3:$N$6,2,FALSE)))</f>
        <v/>
      </c>
      <c r="O184" s="524" t="str">
        <f>IF(M184="","",IF(VLOOKUP(M184,'G-3 Multipliers'!$L$3:$N$6,3,FALSE)=0,"Spatial Data Missing ⚠",VLOOKUP(M184,'G-3 Multipliers'!$L$3:$N$6,3,FALSE)))</f>
        <v/>
      </c>
      <c r="P184" s="506" t="str">
        <f>IFERROR(VLOOKUP(G184,'G-1 All Habitats'!$B$2:$M$129,12,FALSE),"")</f>
        <v/>
      </c>
      <c r="Q184" s="513" t="str">
        <f>IFERROR(IF(P184="","",IF(AND(P184='G-1 All Habitats'!$X$3,T184&gt;0),U184+V184,IF(AND(P184='G-1 All Habitats'!$X$3,S184&gt;0),U184+V184,IF(AND(P184='G-1 All Habitats'!$X$3,AC184&gt;0),"Any Loss Unacceptable",IF(AND(P184='G-1 All Habitats'!$X$3,W184&gt;0),"Any Loss Unacceptable",H184*J184*L184*O184))))),"Check Data ⚠")</f>
        <v/>
      </c>
      <c r="R184" s="50"/>
      <c r="S184" s="71"/>
      <c r="T184" s="72"/>
      <c r="U184" s="511" t="str">
        <f t="shared" si="14"/>
        <v/>
      </c>
      <c r="V184" s="511" t="str">
        <f t="shared" si="15"/>
        <v/>
      </c>
      <c r="W184" s="511" t="str">
        <f>IF(E184="","",IF(H184&lt;S184+T184,"Error in Areas ▲",IF(P184&lt;&gt;'G-1 All Habitats'!$X$3,H184-S184-T184,IF(AND(P184='G-1 All Habitats'!$X$3,Y184="Yes"),"Unacceptable Loss ▲",IF(AND(P184='G-1 All Habitats'!$X$3,Y184="No"),AC184,IF(AND(P184='G-1 All Habitats'!$X$3,Y184=""),AC184,IF(AND(P184='G-1 All Habitats'!$X$3,AC184="None",AC184),IF(AND(P184='G-1 All Habitats'!$X$3,AC184&gt;0),H184-S184-T184))))))))</f>
        <v/>
      </c>
      <c r="X184" s="545" t="str">
        <f>IFERROR(IF(H184="","",IF(H184-S184-T184=0&lt;0,"Error in Areas ▲",IF(S184+T184&gt;H184,"Error in Areas ▲",IF(AND(P184='G-1 All Habitats'!$X$3,Y184="Yes"),"Alternative Compensation",IF(W184=0,0,IF(P184='G-1 All Habitats'!$X$3,"Unacceptable Loss",Q184-U184-V184)))))),"Check Data ⚠")</f>
        <v/>
      </c>
      <c r="Y184" s="72"/>
      <c r="Z184" s="151"/>
      <c r="AA184" s="152"/>
      <c r="AC184" s="251" t="str">
        <f>IF(P184="","",IF(P184='G-1 All Habitats'!$X$3,H184-S184-T184,"None"))</f>
        <v/>
      </c>
      <c r="AD184" s="252" t="str">
        <f t="shared" si="16"/>
        <v/>
      </c>
      <c r="AF184" s="156" t="str">
        <f t="shared" si="12"/>
        <v/>
      </c>
      <c r="AG184" s="156" t="str">
        <f t="shared" si="13"/>
        <v/>
      </c>
      <c r="AH184" s="156" t="str">
        <f>IF(I184="","",IF(#REF!&gt;0,TRUE,FALSE))</f>
        <v/>
      </c>
      <c r="AI184" s="156">
        <v>174</v>
      </c>
      <c r="AJ184" s="156"/>
      <c r="AK184" s="156" t="str">
        <f t="array" ref="AK184">IFERROR(INDEX($AI$11:$AI$259, MATCH(0, IF(TRUE=$AF$11:$AF$259, COUNTIF($AK$10:$AK183, $AI$11:$AI$259), ""), 0)),"")</f>
        <v/>
      </c>
      <c r="AL184" s="156" t="str">
        <f t="array" ref="AL184">IFERROR(INDEX($AI$11:$AI$259, MATCH(0, IF(TRUE=$AG$11:$AG$259, COUNTIF($AL$10:$AL183, $AI$11:$AI$259), ""), 0)),"")</f>
        <v/>
      </c>
      <c r="AM184" s="156" t="str">
        <f t="array" ref="AM184">IFERROR(INDEX($AI$11:$AI$259, MATCH(0, IF(TRUE=$AH$11:$AH$259, COUNTIF($AM$10:$AM183, $AI$11:$AI$259), ""), 0)),"")</f>
        <v/>
      </c>
      <c r="AQ184" s="31">
        <f t="shared" si="17"/>
        <v>0</v>
      </c>
    </row>
    <row r="185" spans="1:43" x14ac:dyDescent="0.3">
      <c r="A185" s="31" t="str">
        <f>IFERROR(INDEX('G-1 All Habitats'!$AG$3:$AG$15,MATCH(E185,'G-1 All Habitats'!$AF$3:$AF$15,0)),"")</f>
        <v/>
      </c>
      <c r="B185" s="31" t="str">
        <f>IFERROR(INDEX('G-8 Condition Look up'!$I$4:$I$130,MATCH(G185,'G-8 Condition Look up'!$A$4:$A$130,0)),"")</f>
        <v/>
      </c>
      <c r="D185" s="141">
        <v>175</v>
      </c>
      <c r="E185" s="203"/>
      <c r="F185" s="203"/>
      <c r="G185" s="250" t="str">
        <f>IFERROR(INDEX('G-1 All Habitats'!$B$3:$B$129,MATCH(F185,'G-1 All Habitats'!$A$3:$A$129,0)),"")</f>
        <v/>
      </c>
      <c r="H185" s="172"/>
      <c r="I185" s="498" t="str">
        <f>IF(G185="","",VLOOKUP(G185,'G-1 All Habitats'!$B$2:$M$129,10,FALSE))</f>
        <v/>
      </c>
      <c r="J185" s="499" t="str">
        <f>IFERROR(VLOOKUP(I185,'G-1 All Habitats'!$V$3:$W$7,2,FALSE),"")</f>
        <v/>
      </c>
      <c r="K185" s="145"/>
      <c r="L185" s="499" t="str">
        <f>IFERROR(INDEX('G-8 Condition Look up'!$A$3:$H$130,MATCH(G185,'G-8 Condition Look up'!$A$3:$A$130,0),MATCH(K185,'G-8 Condition Look up'!$A$3:$H$3,0)),"")</f>
        <v/>
      </c>
      <c r="M185" s="154"/>
      <c r="N185" s="520" t="str">
        <f>IF(M185="","",IF(VLOOKUP(M185,'G-3 Multipliers'!$L$3:$N$6,2,FALSE)=0,"Spatial Data Missing ⚠",VLOOKUP(M185,'G-3 Multipliers'!$L$3:$N$6,2,FALSE)))</f>
        <v/>
      </c>
      <c r="O185" s="524" t="str">
        <f>IF(M185="","",IF(VLOOKUP(M185,'G-3 Multipliers'!$L$3:$N$6,3,FALSE)=0,"Spatial Data Missing ⚠",VLOOKUP(M185,'G-3 Multipliers'!$L$3:$N$6,3,FALSE)))</f>
        <v/>
      </c>
      <c r="P185" s="506" t="str">
        <f>IFERROR(VLOOKUP(G185,'G-1 All Habitats'!$B$2:$M$129,12,FALSE),"")</f>
        <v/>
      </c>
      <c r="Q185" s="513" t="str">
        <f>IFERROR(IF(P185="","",IF(AND(P185='G-1 All Habitats'!$X$3,T185&gt;0),U185+V185,IF(AND(P185='G-1 All Habitats'!$X$3,S185&gt;0),U185+V185,IF(AND(P185='G-1 All Habitats'!$X$3,AC185&gt;0),"Any Loss Unacceptable",IF(AND(P185='G-1 All Habitats'!$X$3,W185&gt;0),"Any Loss Unacceptable",H185*J185*L185*O185))))),"Check Data ⚠")</f>
        <v/>
      </c>
      <c r="R185" s="50"/>
      <c r="S185" s="71"/>
      <c r="T185" s="72"/>
      <c r="U185" s="511" t="str">
        <f t="shared" si="14"/>
        <v/>
      </c>
      <c r="V185" s="511" t="str">
        <f t="shared" si="15"/>
        <v/>
      </c>
      <c r="W185" s="511" t="str">
        <f>IF(E185="","",IF(H185&lt;S185+T185,"Error in Areas ▲",IF(P185&lt;&gt;'G-1 All Habitats'!$X$3,H185-S185-T185,IF(AND(P185='G-1 All Habitats'!$X$3,Y185="Yes"),"Unacceptable Loss ▲",IF(AND(P185='G-1 All Habitats'!$X$3,Y185="No"),AC185,IF(AND(P185='G-1 All Habitats'!$X$3,Y185=""),AC185,IF(AND(P185='G-1 All Habitats'!$X$3,AC185="None",AC185),IF(AND(P185='G-1 All Habitats'!$X$3,AC185&gt;0),H185-S185-T185))))))))</f>
        <v/>
      </c>
      <c r="X185" s="545" t="str">
        <f>IFERROR(IF(H185="","",IF(H185-S185-T185=0&lt;0,"Error in Areas ▲",IF(S185+T185&gt;H185,"Error in Areas ▲",IF(AND(P185='G-1 All Habitats'!$X$3,Y185="Yes"),"Alternative Compensation",IF(W185=0,0,IF(P185='G-1 All Habitats'!$X$3,"Unacceptable Loss",Q185-U185-V185)))))),"Check Data ⚠")</f>
        <v/>
      </c>
      <c r="Y185" s="72"/>
      <c r="Z185" s="151"/>
      <c r="AA185" s="152"/>
      <c r="AC185" s="251" t="str">
        <f>IF(P185="","",IF(P185='G-1 All Habitats'!$X$3,H185-S185-T185,"None"))</f>
        <v/>
      </c>
      <c r="AD185" s="252" t="str">
        <f t="shared" si="16"/>
        <v/>
      </c>
      <c r="AF185" s="156" t="str">
        <f t="shared" si="12"/>
        <v/>
      </c>
      <c r="AG185" s="156" t="str">
        <f t="shared" si="13"/>
        <v/>
      </c>
      <c r="AH185" s="156" t="str">
        <f>IF(I185="","",IF(#REF!&gt;0,TRUE,FALSE))</f>
        <v/>
      </c>
      <c r="AI185" s="156">
        <v>175</v>
      </c>
      <c r="AJ185" s="156"/>
      <c r="AK185" s="156" t="str">
        <f t="array" ref="AK185">IFERROR(INDEX($AI$11:$AI$259, MATCH(0, IF(TRUE=$AF$11:$AF$259, COUNTIF($AK$10:$AK184, $AI$11:$AI$259), ""), 0)),"")</f>
        <v/>
      </c>
      <c r="AL185" s="156" t="str">
        <f t="array" ref="AL185">IFERROR(INDEX($AI$11:$AI$259, MATCH(0, IF(TRUE=$AG$11:$AG$259, COUNTIF($AL$10:$AL184, $AI$11:$AI$259), ""), 0)),"")</f>
        <v/>
      </c>
      <c r="AM185" s="156" t="str">
        <f t="array" ref="AM185">IFERROR(INDEX($AI$11:$AI$259, MATCH(0, IF(TRUE=$AH$11:$AH$259, COUNTIF($AM$10:$AM184, $AI$11:$AI$259), ""), 0)),"")</f>
        <v/>
      </c>
      <c r="AQ185" s="31">
        <f t="shared" si="17"/>
        <v>0</v>
      </c>
    </row>
    <row r="186" spans="1:43" x14ac:dyDescent="0.3">
      <c r="A186" s="31" t="str">
        <f>IFERROR(INDEX('G-1 All Habitats'!$AG$3:$AG$15,MATCH(E186,'G-1 All Habitats'!$AF$3:$AF$15,0)),"")</f>
        <v/>
      </c>
      <c r="B186" s="31" t="str">
        <f>IFERROR(INDEX('G-8 Condition Look up'!$I$4:$I$130,MATCH(G186,'G-8 Condition Look up'!$A$4:$A$130,0)),"")</f>
        <v/>
      </c>
      <c r="D186" s="141">
        <v>176</v>
      </c>
      <c r="E186" s="203"/>
      <c r="F186" s="203"/>
      <c r="G186" s="250" t="str">
        <f>IFERROR(INDEX('G-1 All Habitats'!$B$3:$B$129,MATCH(F186,'G-1 All Habitats'!$A$3:$A$129,0)),"")</f>
        <v/>
      </c>
      <c r="H186" s="172"/>
      <c r="I186" s="498" t="str">
        <f>IF(G186="","",VLOOKUP(G186,'G-1 All Habitats'!$B$2:$M$129,10,FALSE))</f>
        <v/>
      </c>
      <c r="J186" s="499" t="str">
        <f>IFERROR(VLOOKUP(I186,'G-1 All Habitats'!$V$3:$W$7,2,FALSE),"")</f>
        <v/>
      </c>
      <c r="K186" s="145"/>
      <c r="L186" s="499" t="str">
        <f>IFERROR(INDEX('G-8 Condition Look up'!$A$3:$H$130,MATCH(G186,'G-8 Condition Look up'!$A$3:$A$130,0),MATCH(K186,'G-8 Condition Look up'!$A$3:$H$3,0)),"")</f>
        <v/>
      </c>
      <c r="M186" s="154"/>
      <c r="N186" s="520" t="str">
        <f>IF(M186="","",IF(VLOOKUP(M186,'G-3 Multipliers'!$L$3:$N$6,2,FALSE)=0,"Spatial Data Missing ⚠",VLOOKUP(M186,'G-3 Multipliers'!$L$3:$N$6,2,FALSE)))</f>
        <v/>
      </c>
      <c r="O186" s="524" t="str">
        <f>IF(M186="","",IF(VLOOKUP(M186,'G-3 Multipliers'!$L$3:$N$6,3,FALSE)=0,"Spatial Data Missing ⚠",VLOOKUP(M186,'G-3 Multipliers'!$L$3:$N$6,3,FALSE)))</f>
        <v/>
      </c>
      <c r="P186" s="506" t="str">
        <f>IFERROR(VLOOKUP(G186,'G-1 All Habitats'!$B$2:$M$129,12,FALSE),"")</f>
        <v/>
      </c>
      <c r="Q186" s="513" t="str">
        <f>IFERROR(IF(P186="","",IF(AND(P186='G-1 All Habitats'!$X$3,T186&gt;0),U186+V186,IF(AND(P186='G-1 All Habitats'!$X$3,S186&gt;0),U186+V186,IF(AND(P186='G-1 All Habitats'!$X$3,AC186&gt;0),"Any Loss Unacceptable",IF(AND(P186='G-1 All Habitats'!$X$3,W186&gt;0),"Any Loss Unacceptable",H186*J186*L186*O186))))),"Check Data ⚠")</f>
        <v/>
      </c>
      <c r="R186" s="50"/>
      <c r="S186" s="71"/>
      <c r="T186" s="72"/>
      <c r="U186" s="511" t="str">
        <f t="shared" si="14"/>
        <v/>
      </c>
      <c r="V186" s="511" t="str">
        <f t="shared" si="15"/>
        <v/>
      </c>
      <c r="W186" s="511" t="str">
        <f>IF(E186="","",IF(H186&lt;S186+T186,"Error in Areas ▲",IF(P186&lt;&gt;'G-1 All Habitats'!$X$3,H186-S186-T186,IF(AND(P186='G-1 All Habitats'!$X$3,Y186="Yes"),"Unacceptable Loss ▲",IF(AND(P186='G-1 All Habitats'!$X$3,Y186="No"),AC186,IF(AND(P186='G-1 All Habitats'!$X$3,Y186=""),AC186,IF(AND(P186='G-1 All Habitats'!$X$3,AC186="None",AC186),IF(AND(P186='G-1 All Habitats'!$X$3,AC186&gt;0),H186-S186-T186))))))))</f>
        <v/>
      </c>
      <c r="X186" s="545" t="str">
        <f>IFERROR(IF(H186="","",IF(H186-S186-T186=0&lt;0,"Error in Areas ▲",IF(S186+T186&gt;H186,"Error in Areas ▲",IF(AND(P186='G-1 All Habitats'!$X$3,Y186="Yes"),"Alternative Compensation",IF(W186=0,0,IF(P186='G-1 All Habitats'!$X$3,"Unacceptable Loss",Q186-U186-V186)))))),"Check Data ⚠")</f>
        <v/>
      </c>
      <c r="Y186" s="72"/>
      <c r="Z186" s="151"/>
      <c r="AA186" s="152"/>
      <c r="AC186" s="251" t="str">
        <f>IF(P186="","",IF(P186='G-1 All Habitats'!$X$3,H186-S186-T186,"None"))</f>
        <v/>
      </c>
      <c r="AD186" s="252" t="str">
        <f t="shared" si="16"/>
        <v/>
      </c>
      <c r="AF186" s="156" t="str">
        <f t="shared" si="12"/>
        <v/>
      </c>
      <c r="AG186" s="156" t="str">
        <f t="shared" si="13"/>
        <v/>
      </c>
      <c r="AH186" s="156" t="str">
        <f>IF(I186="","",IF(#REF!&gt;0,TRUE,FALSE))</f>
        <v/>
      </c>
      <c r="AI186" s="156">
        <v>176</v>
      </c>
      <c r="AJ186" s="156"/>
      <c r="AK186" s="156" t="str">
        <f t="array" ref="AK186">IFERROR(INDEX($AI$11:$AI$259, MATCH(0, IF(TRUE=$AF$11:$AF$259, COUNTIF($AK$10:$AK185, $AI$11:$AI$259), ""), 0)),"")</f>
        <v/>
      </c>
      <c r="AL186" s="156" t="str">
        <f t="array" ref="AL186">IFERROR(INDEX($AI$11:$AI$259, MATCH(0, IF(TRUE=$AG$11:$AG$259, COUNTIF($AL$10:$AL185, $AI$11:$AI$259), ""), 0)),"")</f>
        <v/>
      </c>
      <c r="AM186" s="156" t="str">
        <f t="array" ref="AM186">IFERROR(INDEX($AI$11:$AI$259, MATCH(0, IF(TRUE=$AH$11:$AH$259, COUNTIF($AM$10:$AM185, $AI$11:$AI$259), ""), 0)),"")</f>
        <v/>
      </c>
      <c r="AQ186" s="31">
        <f t="shared" si="17"/>
        <v>0</v>
      </c>
    </row>
    <row r="187" spans="1:43" x14ac:dyDescent="0.3">
      <c r="A187" s="31" t="str">
        <f>IFERROR(INDEX('G-1 All Habitats'!$AG$3:$AG$15,MATCH(E187,'G-1 All Habitats'!$AF$3:$AF$15,0)),"")</f>
        <v/>
      </c>
      <c r="B187" s="31" t="str">
        <f>IFERROR(INDEX('G-8 Condition Look up'!$I$4:$I$130,MATCH(G187,'G-8 Condition Look up'!$A$4:$A$130,0)),"")</f>
        <v/>
      </c>
      <c r="D187" s="141">
        <v>177</v>
      </c>
      <c r="E187" s="203"/>
      <c r="F187" s="203"/>
      <c r="G187" s="250" t="str">
        <f>IFERROR(INDEX('G-1 All Habitats'!$B$3:$B$129,MATCH(F187,'G-1 All Habitats'!$A$3:$A$129,0)),"")</f>
        <v/>
      </c>
      <c r="H187" s="172"/>
      <c r="I187" s="498" t="str">
        <f>IF(G187="","",VLOOKUP(G187,'G-1 All Habitats'!$B$2:$M$129,10,FALSE))</f>
        <v/>
      </c>
      <c r="J187" s="499" t="str">
        <f>IFERROR(VLOOKUP(I187,'G-1 All Habitats'!$V$3:$W$7,2,FALSE),"")</f>
        <v/>
      </c>
      <c r="K187" s="145"/>
      <c r="L187" s="499" t="str">
        <f>IFERROR(INDEX('G-8 Condition Look up'!$A$3:$H$130,MATCH(G187,'G-8 Condition Look up'!$A$3:$A$130,0),MATCH(K187,'G-8 Condition Look up'!$A$3:$H$3,0)),"")</f>
        <v/>
      </c>
      <c r="M187" s="154"/>
      <c r="N187" s="520" t="str">
        <f>IF(M187="","",IF(VLOOKUP(M187,'G-3 Multipliers'!$L$3:$N$6,2,FALSE)=0,"Spatial Data Missing ⚠",VLOOKUP(M187,'G-3 Multipliers'!$L$3:$N$6,2,FALSE)))</f>
        <v/>
      </c>
      <c r="O187" s="524" t="str">
        <f>IF(M187="","",IF(VLOOKUP(M187,'G-3 Multipliers'!$L$3:$N$6,3,FALSE)=0,"Spatial Data Missing ⚠",VLOOKUP(M187,'G-3 Multipliers'!$L$3:$N$6,3,FALSE)))</f>
        <v/>
      </c>
      <c r="P187" s="506" t="str">
        <f>IFERROR(VLOOKUP(G187,'G-1 All Habitats'!$B$2:$M$129,12,FALSE),"")</f>
        <v/>
      </c>
      <c r="Q187" s="513" t="str">
        <f>IFERROR(IF(P187="","",IF(AND(P187='G-1 All Habitats'!$X$3,T187&gt;0),U187+V187,IF(AND(P187='G-1 All Habitats'!$X$3,S187&gt;0),U187+V187,IF(AND(P187='G-1 All Habitats'!$X$3,AC187&gt;0),"Any Loss Unacceptable",IF(AND(P187='G-1 All Habitats'!$X$3,W187&gt;0),"Any Loss Unacceptable",H187*J187*L187*O187))))),"Check Data ⚠")</f>
        <v/>
      </c>
      <c r="R187" s="50"/>
      <c r="S187" s="71"/>
      <c r="T187" s="72"/>
      <c r="U187" s="511" t="str">
        <f t="shared" si="14"/>
        <v/>
      </c>
      <c r="V187" s="511" t="str">
        <f t="shared" si="15"/>
        <v/>
      </c>
      <c r="W187" s="511" t="str">
        <f>IF(E187="","",IF(H187&lt;S187+T187,"Error in Areas ▲",IF(P187&lt;&gt;'G-1 All Habitats'!$X$3,H187-S187-T187,IF(AND(P187='G-1 All Habitats'!$X$3,Y187="Yes"),"Unacceptable Loss ▲",IF(AND(P187='G-1 All Habitats'!$X$3,Y187="No"),AC187,IF(AND(P187='G-1 All Habitats'!$X$3,Y187=""),AC187,IF(AND(P187='G-1 All Habitats'!$X$3,AC187="None",AC187),IF(AND(P187='G-1 All Habitats'!$X$3,AC187&gt;0),H187-S187-T187))))))))</f>
        <v/>
      </c>
      <c r="X187" s="545" t="str">
        <f>IFERROR(IF(H187="","",IF(H187-S187-T187=0&lt;0,"Error in Areas ▲",IF(S187+T187&gt;H187,"Error in Areas ▲",IF(AND(P187='G-1 All Habitats'!$X$3,Y187="Yes"),"Alternative Compensation",IF(W187=0,0,IF(P187='G-1 All Habitats'!$X$3,"Unacceptable Loss",Q187-U187-V187)))))),"Check Data ⚠")</f>
        <v/>
      </c>
      <c r="Y187" s="72"/>
      <c r="Z187" s="151"/>
      <c r="AA187" s="152"/>
      <c r="AC187" s="251" t="str">
        <f>IF(P187="","",IF(P187='G-1 All Habitats'!$X$3,H187-S187-T187,"None"))</f>
        <v/>
      </c>
      <c r="AD187" s="252" t="str">
        <f t="shared" si="16"/>
        <v/>
      </c>
      <c r="AF187" s="156" t="str">
        <f t="shared" si="12"/>
        <v/>
      </c>
      <c r="AG187" s="156" t="str">
        <f t="shared" si="13"/>
        <v/>
      </c>
      <c r="AH187" s="156" t="str">
        <f>IF(I187="","",IF(#REF!&gt;0,TRUE,FALSE))</f>
        <v/>
      </c>
      <c r="AI187" s="156">
        <v>177</v>
      </c>
      <c r="AJ187" s="156"/>
      <c r="AK187" s="156" t="str">
        <f t="array" ref="AK187">IFERROR(INDEX($AI$11:$AI$259, MATCH(0, IF(TRUE=$AF$11:$AF$259, COUNTIF($AK$10:$AK186, $AI$11:$AI$259), ""), 0)),"")</f>
        <v/>
      </c>
      <c r="AL187" s="156" t="str">
        <f t="array" ref="AL187">IFERROR(INDEX($AI$11:$AI$259, MATCH(0, IF(TRUE=$AG$11:$AG$259, COUNTIF($AL$10:$AL186, $AI$11:$AI$259), ""), 0)),"")</f>
        <v/>
      </c>
      <c r="AM187" s="156" t="str">
        <f t="array" ref="AM187">IFERROR(INDEX($AI$11:$AI$259, MATCH(0, IF(TRUE=$AH$11:$AH$259, COUNTIF($AM$10:$AM186, $AI$11:$AI$259), ""), 0)),"")</f>
        <v/>
      </c>
      <c r="AQ187" s="31">
        <f t="shared" si="17"/>
        <v>0</v>
      </c>
    </row>
    <row r="188" spans="1:43" x14ac:dyDescent="0.3">
      <c r="A188" s="31" t="str">
        <f>IFERROR(INDEX('G-1 All Habitats'!$AG$3:$AG$15,MATCH(E188,'G-1 All Habitats'!$AF$3:$AF$15,0)),"")</f>
        <v/>
      </c>
      <c r="B188" s="31" t="str">
        <f>IFERROR(INDEX('G-8 Condition Look up'!$I$4:$I$130,MATCH(G188,'G-8 Condition Look up'!$A$4:$A$130,0)),"")</f>
        <v/>
      </c>
      <c r="D188" s="141">
        <v>178</v>
      </c>
      <c r="E188" s="203"/>
      <c r="F188" s="203"/>
      <c r="G188" s="250" t="str">
        <f>IFERROR(INDEX('G-1 All Habitats'!$B$3:$B$129,MATCH(F188,'G-1 All Habitats'!$A$3:$A$129,0)),"")</f>
        <v/>
      </c>
      <c r="H188" s="172"/>
      <c r="I188" s="498" t="str">
        <f>IF(G188="","",VLOOKUP(G188,'G-1 All Habitats'!$B$2:$M$129,10,FALSE))</f>
        <v/>
      </c>
      <c r="J188" s="499" t="str">
        <f>IFERROR(VLOOKUP(I188,'G-1 All Habitats'!$V$3:$W$7,2,FALSE),"")</f>
        <v/>
      </c>
      <c r="K188" s="145"/>
      <c r="L188" s="499" t="str">
        <f>IFERROR(INDEX('G-8 Condition Look up'!$A$3:$H$130,MATCH(G188,'G-8 Condition Look up'!$A$3:$A$130,0),MATCH(K188,'G-8 Condition Look up'!$A$3:$H$3,0)),"")</f>
        <v/>
      </c>
      <c r="M188" s="154"/>
      <c r="N188" s="520" t="str">
        <f>IF(M188="","",IF(VLOOKUP(M188,'G-3 Multipliers'!$L$3:$N$6,2,FALSE)=0,"Spatial Data Missing ⚠",VLOOKUP(M188,'G-3 Multipliers'!$L$3:$N$6,2,FALSE)))</f>
        <v/>
      </c>
      <c r="O188" s="524" t="str">
        <f>IF(M188="","",IF(VLOOKUP(M188,'G-3 Multipliers'!$L$3:$N$6,3,FALSE)=0,"Spatial Data Missing ⚠",VLOOKUP(M188,'G-3 Multipliers'!$L$3:$N$6,3,FALSE)))</f>
        <v/>
      </c>
      <c r="P188" s="506" t="str">
        <f>IFERROR(VLOOKUP(G188,'G-1 All Habitats'!$B$2:$M$129,12,FALSE),"")</f>
        <v/>
      </c>
      <c r="Q188" s="513" t="str">
        <f>IFERROR(IF(P188="","",IF(AND(P188='G-1 All Habitats'!$X$3,T188&gt;0),U188+V188,IF(AND(P188='G-1 All Habitats'!$X$3,S188&gt;0),U188+V188,IF(AND(P188='G-1 All Habitats'!$X$3,AC188&gt;0),"Any Loss Unacceptable",IF(AND(P188='G-1 All Habitats'!$X$3,W188&gt;0),"Any Loss Unacceptable",H188*J188*L188*O188))))),"Check Data ⚠")</f>
        <v/>
      </c>
      <c r="R188" s="50"/>
      <c r="S188" s="71"/>
      <c r="T188" s="72"/>
      <c r="U188" s="511" t="str">
        <f t="shared" si="14"/>
        <v/>
      </c>
      <c r="V188" s="511" t="str">
        <f t="shared" si="15"/>
        <v/>
      </c>
      <c r="W188" s="511" t="str">
        <f>IF(E188="","",IF(H188&lt;S188+T188,"Error in Areas ▲",IF(P188&lt;&gt;'G-1 All Habitats'!$X$3,H188-S188-T188,IF(AND(P188='G-1 All Habitats'!$X$3,Y188="Yes"),"Unacceptable Loss ▲",IF(AND(P188='G-1 All Habitats'!$X$3,Y188="No"),AC188,IF(AND(P188='G-1 All Habitats'!$X$3,Y188=""),AC188,IF(AND(P188='G-1 All Habitats'!$X$3,AC188="None",AC188),IF(AND(P188='G-1 All Habitats'!$X$3,AC188&gt;0),H188-S188-T188))))))))</f>
        <v/>
      </c>
      <c r="X188" s="545" t="str">
        <f>IFERROR(IF(H188="","",IF(H188-S188-T188=0&lt;0,"Error in Areas ▲",IF(S188+T188&gt;H188,"Error in Areas ▲",IF(AND(P188='G-1 All Habitats'!$X$3,Y188="Yes"),"Alternative Compensation",IF(W188=0,0,IF(P188='G-1 All Habitats'!$X$3,"Unacceptable Loss",Q188-U188-V188)))))),"Check Data ⚠")</f>
        <v/>
      </c>
      <c r="Y188" s="72"/>
      <c r="Z188" s="151"/>
      <c r="AA188" s="152"/>
      <c r="AC188" s="251" t="str">
        <f>IF(P188="","",IF(P188='G-1 All Habitats'!$X$3,H188-S188-T188,"None"))</f>
        <v/>
      </c>
      <c r="AD188" s="252" t="str">
        <f t="shared" si="16"/>
        <v/>
      </c>
      <c r="AF188" s="156" t="str">
        <f t="shared" si="12"/>
        <v/>
      </c>
      <c r="AG188" s="156" t="str">
        <f t="shared" si="13"/>
        <v/>
      </c>
      <c r="AH188" s="156" t="str">
        <f>IF(I188="","",IF(#REF!&gt;0,TRUE,FALSE))</f>
        <v/>
      </c>
      <c r="AI188" s="156">
        <v>178</v>
      </c>
      <c r="AJ188" s="156"/>
      <c r="AK188" s="156" t="str">
        <f t="array" ref="AK188">IFERROR(INDEX($AI$11:$AI$259, MATCH(0, IF(TRUE=$AF$11:$AF$259, COUNTIF($AK$10:$AK187, $AI$11:$AI$259), ""), 0)),"")</f>
        <v/>
      </c>
      <c r="AL188" s="156" t="str">
        <f t="array" ref="AL188">IFERROR(INDEX($AI$11:$AI$259, MATCH(0, IF(TRUE=$AG$11:$AG$259, COUNTIF($AL$10:$AL187, $AI$11:$AI$259), ""), 0)),"")</f>
        <v/>
      </c>
      <c r="AM188" s="156" t="str">
        <f t="array" ref="AM188">IFERROR(INDEX($AI$11:$AI$259, MATCH(0, IF(TRUE=$AH$11:$AH$259, COUNTIF($AM$10:$AM187, $AI$11:$AI$259), ""), 0)),"")</f>
        <v/>
      </c>
      <c r="AQ188" s="31">
        <f t="shared" si="17"/>
        <v>0</v>
      </c>
    </row>
    <row r="189" spans="1:43" x14ac:dyDescent="0.3">
      <c r="A189" s="31" t="str">
        <f>IFERROR(INDEX('G-1 All Habitats'!$AG$3:$AG$15,MATCH(E189,'G-1 All Habitats'!$AF$3:$AF$15,0)),"")</f>
        <v/>
      </c>
      <c r="B189" s="31" t="str">
        <f>IFERROR(INDEX('G-8 Condition Look up'!$I$4:$I$130,MATCH(G189,'G-8 Condition Look up'!$A$4:$A$130,0)),"")</f>
        <v/>
      </c>
      <c r="D189" s="141">
        <v>179</v>
      </c>
      <c r="E189" s="203"/>
      <c r="F189" s="203"/>
      <c r="G189" s="250" t="str">
        <f>IFERROR(INDEX('G-1 All Habitats'!$B$3:$B$129,MATCH(F189,'G-1 All Habitats'!$A$3:$A$129,0)),"")</f>
        <v/>
      </c>
      <c r="H189" s="172"/>
      <c r="I189" s="498" t="str">
        <f>IF(G189="","",VLOOKUP(G189,'G-1 All Habitats'!$B$2:$M$129,10,FALSE))</f>
        <v/>
      </c>
      <c r="J189" s="499" t="str">
        <f>IFERROR(VLOOKUP(I189,'G-1 All Habitats'!$V$3:$W$7,2,FALSE),"")</f>
        <v/>
      </c>
      <c r="K189" s="145"/>
      <c r="L189" s="499" t="str">
        <f>IFERROR(INDEX('G-8 Condition Look up'!$A$3:$H$130,MATCH(G189,'G-8 Condition Look up'!$A$3:$A$130,0),MATCH(K189,'G-8 Condition Look up'!$A$3:$H$3,0)),"")</f>
        <v/>
      </c>
      <c r="M189" s="154"/>
      <c r="N189" s="520" t="str">
        <f>IF(M189="","",IF(VLOOKUP(M189,'G-3 Multipliers'!$L$3:$N$6,2,FALSE)=0,"Spatial Data Missing ⚠",VLOOKUP(M189,'G-3 Multipliers'!$L$3:$N$6,2,FALSE)))</f>
        <v/>
      </c>
      <c r="O189" s="524" t="str">
        <f>IF(M189="","",IF(VLOOKUP(M189,'G-3 Multipliers'!$L$3:$N$6,3,FALSE)=0,"Spatial Data Missing ⚠",VLOOKUP(M189,'G-3 Multipliers'!$L$3:$N$6,3,FALSE)))</f>
        <v/>
      </c>
      <c r="P189" s="506" t="str">
        <f>IFERROR(VLOOKUP(G189,'G-1 All Habitats'!$B$2:$M$129,12,FALSE),"")</f>
        <v/>
      </c>
      <c r="Q189" s="513" t="str">
        <f>IFERROR(IF(P189="","",IF(AND(P189='G-1 All Habitats'!$X$3,T189&gt;0),U189+V189,IF(AND(P189='G-1 All Habitats'!$X$3,S189&gt;0),U189+V189,IF(AND(P189='G-1 All Habitats'!$X$3,AC189&gt;0),"Any Loss Unacceptable",IF(AND(P189='G-1 All Habitats'!$X$3,W189&gt;0),"Any Loss Unacceptable",H189*J189*L189*O189))))),"Check Data ⚠")</f>
        <v/>
      </c>
      <c r="R189" s="50"/>
      <c r="S189" s="71"/>
      <c r="T189" s="72"/>
      <c r="U189" s="511" t="str">
        <f t="shared" si="14"/>
        <v/>
      </c>
      <c r="V189" s="511" t="str">
        <f t="shared" si="15"/>
        <v/>
      </c>
      <c r="W189" s="511" t="str">
        <f>IF(E189="","",IF(H189&lt;S189+T189,"Error in Areas ▲",IF(P189&lt;&gt;'G-1 All Habitats'!$X$3,H189-S189-T189,IF(AND(P189='G-1 All Habitats'!$X$3,Y189="Yes"),"Unacceptable Loss ▲",IF(AND(P189='G-1 All Habitats'!$X$3,Y189="No"),AC189,IF(AND(P189='G-1 All Habitats'!$X$3,Y189=""),AC189,IF(AND(P189='G-1 All Habitats'!$X$3,AC189="None",AC189),IF(AND(P189='G-1 All Habitats'!$X$3,AC189&gt;0),H189-S189-T189))))))))</f>
        <v/>
      </c>
      <c r="X189" s="545" t="str">
        <f>IFERROR(IF(H189="","",IF(H189-S189-T189=0&lt;0,"Error in Areas ▲",IF(S189+T189&gt;H189,"Error in Areas ▲",IF(AND(P189='G-1 All Habitats'!$X$3,Y189="Yes"),"Alternative Compensation",IF(W189=0,0,IF(P189='G-1 All Habitats'!$X$3,"Unacceptable Loss",Q189-U189-V189)))))),"Check Data ⚠")</f>
        <v/>
      </c>
      <c r="Y189" s="72"/>
      <c r="Z189" s="151"/>
      <c r="AA189" s="152"/>
      <c r="AC189" s="251" t="str">
        <f>IF(P189="","",IF(P189='G-1 All Habitats'!$X$3,H189-S189-T189,"None"))</f>
        <v/>
      </c>
      <c r="AD189" s="252" t="str">
        <f t="shared" si="16"/>
        <v/>
      </c>
      <c r="AF189" s="156" t="str">
        <f t="shared" si="12"/>
        <v/>
      </c>
      <c r="AG189" s="156" t="str">
        <f t="shared" si="13"/>
        <v/>
      </c>
      <c r="AH189" s="156" t="str">
        <f>IF(I189="","",IF(#REF!&gt;0,TRUE,FALSE))</f>
        <v/>
      </c>
      <c r="AI189" s="156">
        <v>179</v>
      </c>
      <c r="AJ189" s="156"/>
      <c r="AK189" s="156" t="str">
        <f t="array" ref="AK189">IFERROR(INDEX($AI$11:$AI$259, MATCH(0, IF(TRUE=$AF$11:$AF$259, COUNTIF($AK$10:$AK188, $AI$11:$AI$259), ""), 0)),"")</f>
        <v/>
      </c>
      <c r="AL189" s="156" t="str">
        <f t="array" ref="AL189">IFERROR(INDEX($AI$11:$AI$259, MATCH(0, IF(TRUE=$AG$11:$AG$259, COUNTIF($AL$10:$AL188, $AI$11:$AI$259), ""), 0)),"")</f>
        <v/>
      </c>
      <c r="AM189" s="156" t="str">
        <f t="array" ref="AM189">IFERROR(INDEX($AI$11:$AI$259, MATCH(0, IF(TRUE=$AH$11:$AH$259, COUNTIF($AM$10:$AM188, $AI$11:$AI$259), ""), 0)),"")</f>
        <v/>
      </c>
      <c r="AQ189" s="31">
        <f t="shared" si="17"/>
        <v>0</v>
      </c>
    </row>
    <row r="190" spans="1:43" x14ac:dyDescent="0.3">
      <c r="A190" s="31" t="str">
        <f>IFERROR(INDEX('G-1 All Habitats'!$AG$3:$AG$15,MATCH(E190,'G-1 All Habitats'!$AF$3:$AF$15,0)),"")</f>
        <v/>
      </c>
      <c r="B190" s="31" t="str">
        <f>IFERROR(INDEX('G-8 Condition Look up'!$I$4:$I$130,MATCH(G190,'G-8 Condition Look up'!$A$4:$A$130,0)),"")</f>
        <v/>
      </c>
      <c r="D190" s="141">
        <v>180</v>
      </c>
      <c r="E190" s="203"/>
      <c r="F190" s="203"/>
      <c r="G190" s="250" t="str">
        <f>IFERROR(INDEX('G-1 All Habitats'!$B$3:$B$129,MATCH(F190,'G-1 All Habitats'!$A$3:$A$129,0)),"")</f>
        <v/>
      </c>
      <c r="H190" s="172"/>
      <c r="I190" s="498" t="str">
        <f>IF(G190="","",VLOOKUP(G190,'G-1 All Habitats'!$B$2:$M$129,10,FALSE))</f>
        <v/>
      </c>
      <c r="J190" s="499" t="str">
        <f>IFERROR(VLOOKUP(I190,'G-1 All Habitats'!$V$3:$W$7,2,FALSE),"")</f>
        <v/>
      </c>
      <c r="K190" s="145"/>
      <c r="L190" s="499" t="str">
        <f>IFERROR(INDEX('G-8 Condition Look up'!$A$3:$H$130,MATCH(G190,'G-8 Condition Look up'!$A$3:$A$130,0),MATCH(K190,'G-8 Condition Look up'!$A$3:$H$3,0)),"")</f>
        <v/>
      </c>
      <c r="M190" s="154"/>
      <c r="N190" s="520" t="str">
        <f>IF(M190="","",IF(VLOOKUP(M190,'G-3 Multipliers'!$L$3:$N$6,2,FALSE)=0,"Spatial Data Missing ⚠",VLOOKUP(M190,'G-3 Multipliers'!$L$3:$N$6,2,FALSE)))</f>
        <v/>
      </c>
      <c r="O190" s="524" t="str">
        <f>IF(M190="","",IF(VLOOKUP(M190,'G-3 Multipliers'!$L$3:$N$6,3,FALSE)=0,"Spatial Data Missing ⚠",VLOOKUP(M190,'G-3 Multipliers'!$L$3:$N$6,3,FALSE)))</f>
        <v/>
      </c>
      <c r="P190" s="506" t="str">
        <f>IFERROR(VLOOKUP(G190,'G-1 All Habitats'!$B$2:$M$129,12,FALSE),"")</f>
        <v/>
      </c>
      <c r="Q190" s="513" t="str">
        <f>IFERROR(IF(P190="","",IF(AND(P190='G-1 All Habitats'!$X$3,T190&gt;0),U190+V190,IF(AND(P190='G-1 All Habitats'!$X$3,S190&gt;0),U190+V190,IF(AND(P190='G-1 All Habitats'!$X$3,AC190&gt;0),"Any Loss Unacceptable",IF(AND(P190='G-1 All Habitats'!$X$3,W190&gt;0),"Any Loss Unacceptable",H190*J190*L190*O190))))),"Check Data ⚠")</f>
        <v/>
      </c>
      <c r="R190" s="50"/>
      <c r="S190" s="71"/>
      <c r="T190" s="72"/>
      <c r="U190" s="511" t="str">
        <f t="shared" si="14"/>
        <v/>
      </c>
      <c r="V190" s="511" t="str">
        <f t="shared" si="15"/>
        <v/>
      </c>
      <c r="W190" s="511" t="str">
        <f>IF(E190="","",IF(H190&lt;S190+T190,"Error in Areas ▲",IF(P190&lt;&gt;'G-1 All Habitats'!$X$3,H190-S190-T190,IF(AND(P190='G-1 All Habitats'!$X$3,Y190="Yes"),"Unacceptable Loss ▲",IF(AND(P190='G-1 All Habitats'!$X$3,Y190="No"),AC190,IF(AND(P190='G-1 All Habitats'!$X$3,Y190=""),AC190,IF(AND(P190='G-1 All Habitats'!$X$3,AC190="None",AC190),IF(AND(P190='G-1 All Habitats'!$X$3,AC190&gt;0),H190-S190-T190))))))))</f>
        <v/>
      </c>
      <c r="X190" s="545" t="str">
        <f>IFERROR(IF(H190="","",IF(H190-S190-T190=0&lt;0,"Error in Areas ▲",IF(S190+T190&gt;H190,"Error in Areas ▲",IF(AND(P190='G-1 All Habitats'!$X$3,Y190="Yes"),"Alternative Compensation",IF(W190=0,0,IF(P190='G-1 All Habitats'!$X$3,"Unacceptable Loss",Q190-U190-V190)))))),"Check Data ⚠")</f>
        <v/>
      </c>
      <c r="Y190" s="72"/>
      <c r="Z190" s="151"/>
      <c r="AA190" s="152"/>
      <c r="AC190" s="251" t="str">
        <f>IF(P190="","",IF(P190='G-1 All Habitats'!$X$3,H190-S190-T190,"None"))</f>
        <v/>
      </c>
      <c r="AD190" s="252" t="str">
        <f t="shared" si="16"/>
        <v/>
      </c>
      <c r="AF190" s="156" t="str">
        <f t="shared" si="12"/>
        <v/>
      </c>
      <c r="AG190" s="156" t="str">
        <f t="shared" si="13"/>
        <v/>
      </c>
      <c r="AH190" s="156" t="str">
        <f>IF(I190="","",IF(#REF!&gt;0,TRUE,FALSE))</f>
        <v/>
      </c>
      <c r="AI190" s="156">
        <v>180</v>
      </c>
      <c r="AJ190" s="156"/>
      <c r="AK190" s="156" t="str">
        <f t="array" ref="AK190">IFERROR(INDEX($AI$11:$AI$259, MATCH(0, IF(TRUE=$AF$11:$AF$259, COUNTIF($AK$10:$AK189, $AI$11:$AI$259), ""), 0)),"")</f>
        <v/>
      </c>
      <c r="AL190" s="156" t="str">
        <f t="array" ref="AL190">IFERROR(INDEX($AI$11:$AI$259, MATCH(0, IF(TRUE=$AG$11:$AG$259, COUNTIF($AL$10:$AL189, $AI$11:$AI$259), ""), 0)),"")</f>
        <v/>
      </c>
      <c r="AM190" s="156" t="str">
        <f t="array" ref="AM190">IFERROR(INDEX($AI$11:$AI$259, MATCH(0, IF(TRUE=$AH$11:$AH$259, COUNTIF($AM$10:$AM189, $AI$11:$AI$259), ""), 0)),"")</f>
        <v/>
      </c>
      <c r="AQ190" s="31">
        <f t="shared" si="17"/>
        <v>0</v>
      </c>
    </row>
    <row r="191" spans="1:43" x14ac:dyDescent="0.3">
      <c r="A191" s="31" t="str">
        <f>IFERROR(INDEX('G-1 All Habitats'!$AG$3:$AG$15,MATCH(E191,'G-1 All Habitats'!$AF$3:$AF$15,0)),"")</f>
        <v/>
      </c>
      <c r="B191" s="31" t="str">
        <f>IFERROR(INDEX('G-8 Condition Look up'!$I$4:$I$130,MATCH(G191,'G-8 Condition Look up'!$A$4:$A$130,0)),"")</f>
        <v/>
      </c>
      <c r="D191" s="141">
        <v>181</v>
      </c>
      <c r="E191" s="203"/>
      <c r="F191" s="203"/>
      <c r="G191" s="250" t="str">
        <f>IFERROR(INDEX('G-1 All Habitats'!$B$3:$B$129,MATCH(F191,'G-1 All Habitats'!$A$3:$A$129,0)),"")</f>
        <v/>
      </c>
      <c r="H191" s="172"/>
      <c r="I191" s="498" t="str">
        <f>IF(G191="","",VLOOKUP(G191,'G-1 All Habitats'!$B$2:$M$129,10,FALSE))</f>
        <v/>
      </c>
      <c r="J191" s="499" t="str">
        <f>IFERROR(VLOOKUP(I191,'G-1 All Habitats'!$V$3:$W$7,2,FALSE),"")</f>
        <v/>
      </c>
      <c r="K191" s="145"/>
      <c r="L191" s="499" t="str">
        <f>IFERROR(INDEX('G-8 Condition Look up'!$A$3:$H$130,MATCH(G191,'G-8 Condition Look up'!$A$3:$A$130,0),MATCH(K191,'G-8 Condition Look up'!$A$3:$H$3,0)),"")</f>
        <v/>
      </c>
      <c r="M191" s="154"/>
      <c r="N191" s="520" t="str">
        <f>IF(M191="","",IF(VLOOKUP(M191,'G-3 Multipliers'!$L$3:$N$6,2,FALSE)=0,"Spatial Data Missing ⚠",VLOOKUP(M191,'G-3 Multipliers'!$L$3:$N$6,2,FALSE)))</f>
        <v/>
      </c>
      <c r="O191" s="524" t="str">
        <f>IF(M191="","",IF(VLOOKUP(M191,'G-3 Multipliers'!$L$3:$N$6,3,FALSE)=0,"Spatial Data Missing ⚠",VLOOKUP(M191,'G-3 Multipliers'!$L$3:$N$6,3,FALSE)))</f>
        <v/>
      </c>
      <c r="P191" s="506" t="str">
        <f>IFERROR(VLOOKUP(G191,'G-1 All Habitats'!$B$2:$M$129,12,FALSE),"")</f>
        <v/>
      </c>
      <c r="Q191" s="513" t="str">
        <f>IFERROR(IF(P191="","",IF(AND(P191='G-1 All Habitats'!$X$3,T191&gt;0),U191+V191,IF(AND(P191='G-1 All Habitats'!$X$3,S191&gt;0),U191+V191,IF(AND(P191='G-1 All Habitats'!$X$3,AC191&gt;0),"Any Loss Unacceptable",IF(AND(P191='G-1 All Habitats'!$X$3,W191&gt;0),"Any Loss Unacceptable",H191*J191*L191*O191))))),"Check Data ⚠")</f>
        <v/>
      </c>
      <c r="R191" s="50"/>
      <c r="S191" s="71"/>
      <c r="T191" s="72"/>
      <c r="U191" s="511" t="str">
        <f t="shared" si="14"/>
        <v/>
      </c>
      <c r="V191" s="511" t="str">
        <f t="shared" si="15"/>
        <v/>
      </c>
      <c r="W191" s="511" t="str">
        <f>IF(E191="","",IF(H191&lt;S191+T191,"Error in Areas ▲",IF(P191&lt;&gt;'G-1 All Habitats'!$X$3,H191-S191-T191,IF(AND(P191='G-1 All Habitats'!$X$3,Y191="Yes"),"Unacceptable Loss ▲",IF(AND(P191='G-1 All Habitats'!$X$3,Y191="No"),AC191,IF(AND(P191='G-1 All Habitats'!$X$3,Y191=""),AC191,IF(AND(P191='G-1 All Habitats'!$X$3,AC191="None",AC191),IF(AND(P191='G-1 All Habitats'!$X$3,AC191&gt;0),H191-S191-T191))))))))</f>
        <v/>
      </c>
      <c r="X191" s="545" t="str">
        <f>IFERROR(IF(H191="","",IF(H191-S191-T191=0&lt;0,"Error in Areas ▲",IF(S191+T191&gt;H191,"Error in Areas ▲",IF(AND(P191='G-1 All Habitats'!$X$3,Y191="Yes"),"Alternative Compensation",IF(W191=0,0,IF(P191='G-1 All Habitats'!$X$3,"Unacceptable Loss",Q191-U191-V191)))))),"Check Data ⚠")</f>
        <v/>
      </c>
      <c r="Y191" s="72"/>
      <c r="Z191" s="151"/>
      <c r="AA191" s="152"/>
      <c r="AC191" s="251" t="str">
        <f>IF(P191="","",IF(P191='G-1 All Habitats'!$X$3,H191-S191-T191,"None"))</f>
        <v/>
      </c>
      <c r="AD191" s="252" t="str">
        <f t="shared" si="16"/>
        <v/>
      </c>
      <c r="AF191" s="156" t="str">
        <f t="shared" si="12"/>
        <v/>
      </c>
      <c r="AG191" s="156" t="str">
        <f t="shared" si="13"/>
        <v/>
      </c>
      <c r="AH191" s="156" t="str">
        <f>IF(I191="","",IF(#REF!&gt;0,TRUE,FALSE))</f>
        <v/>
      </c>
      <c r="AI191" s="156">
        <v>181</v>
      </c>
      <c r="AJ191" s="156"/>
      <c r="AK191" s="156" t="str">
        <f t="array" ref="AK191">IFERROR(INDEX($AI$11:$AI$259, MATCH(0, IF(TRUE=$AF$11:$AF$259, COUNTIF($AK$10:$AK190, $AI$11:$AI$259), ""), 0)),"")</f>
        <v/>
      </c>
      <c r="AL191" s="156" t="str">
        <f t="array" ref="AL191">IFERROR(INDEX($AI$11:$AI$259, MATCH(0, IF(TRUE=$AG$11:$AG$259, COUNTIF($AL$10:$AL190, $AI$11:$AI$259), ""), 0)),"")</f>
        <v/>
      </c>
      <c r="AM191" s="156" t="str">
        <f t="array" ref="AM191">IFERROR(INDEX($AI$11:$AI$259, MATCH(0, IF(TRUE=$AH$11:$AH$259, COUNTIF($AM$10:$AM190, $AI$11:$AI$259), ""), 0)),"")</f>
        <v/>
      </c>
      <c r="AQ191" s="31">
        <f t="shared" si="17"/>
        <v>0</v>
      </c>
    </row>
    <row r="192" spans="1:43" x14ac:dyDescent="0.3">
      <c r="A192" s="31" t="str">
        <f>IFERROR(INDEX('G-1 All Habitats'!$AG$3:$AG$15,MATCH(E192,'G-1 All Habitats'!$AF$3:$AF$15,0)),"")</f>
        <v/>
      </c>
      <c r="B192" s="31" t="str">
        <f>IFERROR(INDEX('G-8 Condition Look up'!$I$4:$I$130,MATCH(G192,'G-8 Condition Look up'!$A$4:$A$130,0)),"")</f>
        <v/>
      </c>
      <c r="D192" s="141">
        <v>182</v>
      </c>
      <c r="E192" s="203"/>
      <c r="F192" s="203"/>
      <c r="G192" s="250" t="str">
        <f>IFERROR(INDEX('G-1 All Habitats'!$B$3:$B$129,MATCH(F192,'G-1 All Habitats'!$A$3:$A$129,0)),"")</f>
        <v/>
      </c>
      <c r="H192" s="172"/>
      <c r="I192" s="498" t="str">
        <f>IF(G192="","",VLOOKUP(G192,'G-1 All Habitats'!$B$2:$M$129,10,FALSE))</f>
        <v/>
      </c>
      <c r="J192" s="499" t="str">
        <f>IFERROR(VLOOKUP(I192,'G-1 All Habitats'!$V$3:$W$7,2,FALSE),"")</f>
        <v/>
      </c>
      <c r="K192" s="145"/>
      <c r="L192" s="499" t="str">
        <f>IFERROR(INDEX('G-8 Condition Look up'!$A$3:$H$130,MATCH(G192,'G-8 Condition Look up'!$A$3:$A$130,0),MATCH(K192,'G-8 Condition Look up'!$A$3:$H$3,0)),"")</f>
        <v/>
      </c>
      <c r="M192" s="154"/>
      <c r="N192" s="520" t="str">
        <f>IF(M192="","",IF(VLOOKUP(M192,'G-3 Multipliers'!$L$3:$N$6,2,FALSE)=0,"Spatial Data Missing ⚠",VLOOKUP(M192,'G-3 Multipliers'!$L$3:$N$6,2,FALSE)))</f>
        <v/>
      </c>
      <c r="O192" s="524" t="str">
        <f>IF(M192="","",IF(VLOOKUP(M192,'G-3 Multipliers'!$L$3:$N$6,3,FALSE)=0,"Spatial Data Missing ⚠",VLOOKUP(M192,'G-3 Multipliers'!$L$3:$N$6,3,FALSE)))</f>
        <v/>
      </c>
      <c r="P192" s="506" t="str">
        <f>IFERROR(VLOOKUP(G192,'G-1 All Habitats'!$B$2:$M$129,12,FALSE),"")</f>
        <v/>
      </c>
      <c r="Q192" s="513" t="str">
        <f>IFERROR(IF(P192="","",IF(AND(P192='G-1 All Habitats'!$X$3,T192&gt;0),U192+V192,IF(AND(P192='G-1 All Habitats'!$X$3,S192&gt;0),U192+V192,IF(AND(P192='G-1 All Habitats'!$X$3,AC192&gt;0),"Any Loss Unacceptable",IF(AND(P192='G-1 All Habitats'!$X$3,W192&gt;0),"Any Loss Unacceptable",H192*J192*L192*O192))))),"Check Data ⚠")</f>
        <v/>
      </c>
      <c r="R192" s="50"/>
      <c r="S192" s="71"/>
      <c r="T192" s="72"/>
      <c r="U192" s="511" t="str">
        <f t="shared" si="14"/>
        <v/>
      </c>
      <c r="V192" s="511" t="str">
        <f t="shared" si="15"/>
        <v/>
      </c>
      <c r="W192" s="511" t="str">
        <f>IF(E192="","",IF(H192&lt;S192+T192,"Error in Areas ▲",IF(P192&lt;&gt;'G-1 All Habitats'!$X$3,H192-S192-T192,IF(AND(P192='G-1 All Habitats'!$X$3,Y192="Yes"),"Unacceptable Loss ▲",IF(AND(P192='G-1 All Habitats'!$X$3,Y192="No"),AC192,IF(AND(P192='G-1 All Habitats'!$X$3,Y192=""),AC192,IF(AND(P192='G-1 All Habitats'!$X$3,AC192="None",AC192),IF(AND(P192='G-1 All Habitats'!$X$3,AC192&gt;0),H192-S192-T192))))))))</f>
        <v/>
      </c>
      <c r="X192" s="545" t="str">
        <f>IFERROR(IF(H192="","",IF(H192-S192-T192=0&lt;0,"Error in Areas ▲",IF(S192+T192&gt;H192,"Error in Areas ▲",IF(AND(P192='G-1 All Habitats'!$X$3,Y192="Yes"),"Alternative Compensation",IF(W192=0,0,IF(P192='G-1 All Habitats'!$X$3,"Unacceptable Loss",Q192-U192-V192)))))),"Check Data ⚠")</f>
        <v/>
      </c>
      <c r="Y192" s="72"/>
      <c r="Z192" s="151"/>
      <c r="AA192" s="152"/>
      <c r="AC192" s="251" t="str">
        <f>IF(P192="","",IF(P192='G-1 All Habitats'!$X$3,H192-S192-T192,"None"))</f>
        <v/>
      </c>
      <c r="AD192" s="252" t="str">
        <f t="shared" si="16"/>
        <v/>
      </c>
      <c r="AF192" s="156" t="str">
        <f t="shared" si="12"/>
        <v/>
      </c>
      <c r="AG192" s="156" t="str">
        <f t="shared" si="13"/>
        <v/>
      </c>
      <c r="AH192" s="156" t="str">
        <f>IF(I192="","",IF(#REF!&gt;0,TRUE,FALSE))</f>
        <v/>
      </c>
      <c r="AI192" s="156">
        <v>182</v>
      </c>
      <c r="AJ192" s="156"/>
      <c r="AK192" s="156" t="str">
        <f t="array" ref="AK192">IFERROR(INDEX($AI$11:$AI$259, MATCH(0, IF(TRUE=$AF$11:$AF$259, COUNTIF($AK$10:$AK191, $AI$11:$AI$259), ""), 0)),"")</f>
        <v/>
      </c>
      <c r="AL192" s="156" t="str">
        <f t="array" ref="AL192">IFERROR(INDEX($AI$11:$AI$259, MATCH(0, IF(TRUE=$AG$11:$AG$259, COUNTIF($AL$10:$AL191, $AI$11:$AI$259), ""), 0)),"")</f>
        <v/>
      </c>
      <c r="AM192" s="156" t="str">
        <f t="array" ref="AM192">IFERROR(INDEX($AI$11:$AI$259, MATCH(0, IF(TRUE=$AH$11:$AH$259, COUNTIF($AM$10:$AM191, $AI$11:$AI$259), ""), 0)),"")</f>
        <v/>
      </c>
      <c r="AQ192" s="31">
        <f t="shared" si="17"/>
        <v>0</v>
      </c>
    </row>
    <row r="193" spans="1:43" x14ac:dyDescent="0.3">
      <c r="A193" s="31" t="str">
        <f>IFERROR(INDEX('G-1 All Habitats'!$AG$3:$AG$15,MATCH(E193,'G-1 All Habitats'!$AF$3:$AF$15,0)),"")</f>
        <v/>
      </c>
      <c r="B193" s="31" t="str">
        <f>IFERROR(INDEX('G-8 Condition Look up'!$I$4:$I$130,MATCH(G193,'G-8 Condition Look up'!$A$4:$A$130,0)),"")</f>
        <v/>
      </c>
      <c r="D193" s="141">
        <v>183</v>
      </c>
      <c r="E193" s="203"/>
      <c r="F193" s="203"/>
      <c r="G193" s="250" t="str">
        <f>IFERROR(INDEX('G-1 All Habitats'!$B$3:$B$129,MATCH(F193,'G-1 All Habitats'!$A$3:$A$129,0)),"")</f>
        <v/>
      </c>
      <c r="H193" s="172"/>
      <c r="I193" s="498" t="str">
        <f>IF(G193="","",VLOOKUP(G193,'G-1 All Habitats'!$B$2:$M$129,10,FALSE))</f>
        <v/>
      </c>
      <c r="J193" s="499" t="str">
        <f>IFERROR(VLOOKUP(I193,'G-1 All Habitats'!$V$3:$W$7,2,FALSE),"")</f>
        <v/>
      </c>
      <c r="K193" s="145"/>
      <c r="L193" s="499" t="str">
        <f>IFERROR(INDEX('G-8 Condition Look up'!$A$3:$H$130,MATCH(G193,'G-8 Condition Look up'!$A$3:$A$130,0),MATCH(K193,'G-8 Condition Look up'!$A$3:$H$3,0)),"")</f>
        <v/>
      </c>
      <c r="M193" s="154"/>
      <c r="N193" s="520" t="str">
        <f>IF(M193="","",IF(VLOOKUP(M193,'G-3 Multipliers'!$L$3:$N$6,2,FALSE)=0,"Spatial Data Missing ⚠",VLOOKUP(M193,'G-3 Multipliers'!$L$3:$N$6,2,FALSE)))</f>
        <v/>
      </c>
      <c r="O193" s="524" t="str">
        <f>IF(M193="","",IF(VLOOKUP(M193,'G-3 Multipliers'!$L$3:$N$6,3,FALSE)=0,"Spatial Data Missing ⚠",VLOOKUP(M193,'G-3 Multipliers'!$L$3:$N$6,3,FALSE)))</f>
        <v/>
      </c>
      <c r="P193" s="506" t="str">
        <f>IFERROR(VLOOKUP(G193,'G-1 All Habitats'!$B$2:$M$129,12,FALSE),"")</f>
        <v/>
      </c>
      <c r="Q193" s="513" t="str">
        <f>IFERROR(IF(P193="","",IF(AND(P193='G-1 All Habitats'!$X$3,T193&gt;0),U193+V193,IF(AND(P193='G-1 All Habitats'!$X$3,S193&gt;0),U193+V193,IF(AND(P193='G-1 All Habitats'!$X$3,AC193&gt;0),"Any Loss Unacceptable",IF(AND(P193='G-1 All Habitats'!$X$3,W193&gt;0),"Any Loss Unacceptable",H193*J193*L193*O193))))),"Check Data ⚠")</f>
        <v/>
      </c>
      <c r="R193" s="50"/>
      <c r="S193" s="71"/>
      <c r="T193" s="72"/>
      <c r="U193" s="511" t="str">
        <f t="shared" si="14"/>
        <v/>
      </c>
      <c r="V193" s="511" t="str">
        <f t="shared" si="15"/>
        <v/>
      </c>
      <c r="W193" s="511" t="str">
        <f>IF(E193="","",IF(H193&lt;S193+T193,"Error in Areas ▲",IF(P193&lt;&gt;'G-1 All Habitats'!$X$3,H193-S193-T193,IF(AND(P193='G-1 All Habitats'!$X$3,Y193="Yes"),"Unacceptable Loss ▲",IF(AND(P193='G-1 All Habitats'!$X$3,Y193="No"),AC193,IF(AND(P193='G-1 All Habitats'!$X$3,Y193=""),AC193,IF(AND(P193='G-1 All Habitats'!$X$3,AC193="None",AC193),IF(AND(P193='G-1 All Habitats'!$X$3,AC193&gt;0),H193-S193-T193))))))))</f>
        <v/>
      </c>
      <c r="X193" s="545" t="str">
        <f>IFERROR(IF(H193="","",IF(H193-S193-T193=0&lt;0,"Error in Areas ▲",IF(S193+T193&gt;H193,"Error in Areas ▲",IF(AND(P193='G-1 All Habitats'!$X$3,Y193="Yes"),"Alternative Compensation",IF(W193=0,0,IF(P193='G-1 All Habitats'!$X$3,"Unacceptable Loss",Q193-U193-V193)))))),"Check Data ⚠")</f>
        <v/>
      </c>
      <c r="Y193" s="72"/>
      <c r="Z193" s="151"/>
      <c r="AA193" s="152"/>
      <c r="AC193" s="251" t="str">
        <f>IF(P193="","",IF(P193='G-1 All Habitats'!$X$3,H193-S193-T193,"None"))</f>
        <v/>
      </c>
      <c r="AD193" s="252" t="str">
        <f t="shared" si="16"/>
        <v/>
      </c>
      <c r="AF193" s="156" t="str">
        <f t="shared" si="12"/>
        <v/>
      </c>
      <c r="AG193" s="156" t="str">
        <f t="shared" si="13"/>
        <v/>
      </c>
      <c r="AH193" s="156" t="str">
        <f>IF(I193="","",IF(#REF!&gt;0,TRUE,FALSE))</f>
        <v/>
      </c>
      <c r="AI193" s="156">
        <v>183</v>
      </c>
      <c r="AJ193" s="156"/>
      <c r="AK193" s="156" t="str">
        <f t="array" ref="AK193">IFERROR(INDEX($AI$11:$AI$259, MATCH(0, IF(TRUE=$AF$11:$AF$259, COUNTIF($AK$10:$AK192, $AI$11:$AI$259), ""), 0)),"")</f>
        <v/>
      </c>
      <c r="AL193" s="156" t="str">
        <f t="array" ref="AL193">IFERROR(INDEX($AI$11:$AI$259, MATCH(0, IF(TRUE=$AG$11:$AG$259, COUNTIF($AL$10:$AL192, $AI$11:$AI$259), ""), 0)),"")</f>
        <v/>
      </c>
      <c r="AM193" s="156" t="str">
        <f t="array" ref="AM193">IFERROR(INDEX($AI$11:$AI$259, MATCH(0, IF(TRUE=$AH$11:$AH$259, COUNTIF($AM$10:$AM192, $AI$11:$AI$259), ""), 0)),"")</f>
        <v/>
      </c>
      <c r="AQ193" s="31">
        <f t="shared" si="17"/>
        <v>0</v>
      </c>
    </row>
    <row r="194" spans="1:43" x14ac:dyDescent="0.3">
      <c r="A194" s="31" t="str">
        <f>IFERROR(INDEX('G-1 All Habitats'!$AG$3:$AG$15,MATCH(E194,'G-1 All Habitats'!$AF$3:$AF$15,0)),"")</f>
        <v/>
      </c>
      <c r="B194" s="31" t="str">
        <f>IFERROR(INDEX('G-8 Condition Look up'!$I$4:$I$130,MATCH(G194,'G-8 Condition Look up'!$A$4:$A$130,0)),"")</f>
        <v/>
      </c>
      <c r="D194" s="141">
        <v>184</v>
      </c>
      <c r="E194" s="203"/>
      <c r="F194" s="203"/>
      <c r="G194" s="250" t="str">
        <f>IFERROR(INDEX('G-1 All Habitats'!$B$3:$B$129,MATCH(F194,'G-1 All Habitats'!$A$3:$A$129,0)),"")</f>
        <v/>
      </c>
      <c r="H194" s="172"/>
      <c r="I194" s="498" t="str">
        <f>IF(G194="","",VLOOKUP(G194,'G-1 All Habitats'!$B$2:$M$129,10,FALSE))</f>
        <v/>
      </c>
      <c r="J194" s="499" t="str">
        <f>IFERROR(VLOOKUP(I194,'G-1 All Habitats'!$V$3:$W$7,2,FALSE),"")</f>
        <v/>
      </c>
      <c r="K194" s="145"/>
      <c r="L194" s="499" t="str">
        <f>IFERROR(INDEX('G-8 Condition Look up'!$A$3:$H$130,MATCH(G194,'G-8 Condition Look up'!$A$3:$A$130,0),MATCH(K194,'G-8 Condition Look up'!$A$3:$H$3,0)),"")</f>
        <v/>
      </c>
      <c r="M194" s="154"/>
      <c r="N194" s="520" t="str">
        <f>IF(M194="","",IF(VLOOKUP(M194,'G-3 Multipliers'!$L$3:$N$6,2,FALSE)=0,"Spatial Data Missing ⚠",VLOOKUP(M194,'G-3 Multipliers'!$L$3:$N$6,2,FALSE)))</f>
        <v/>
      </c>
      <c r="O194" s="524" t="str">
        <f>IF(M194="","",IF(VLOOKUP(M194,'G-3 Multipliers'!$L$3:$N$6,3,FALSE)=0,"Spatial Data Missing ⚠",VLOOKUP(M194,'G-3 Multipliers'!$L$3:$N$6,3,FALSE)))</f>
        <v/>
      </c>
      <c r="P194" s="506" t="str">
        <f>IFERROR(VLOOKUP(G194,'G-1 All Habitats'!$B$2:$M$129,12,FALSE),"")</f>
        <v/>
      </c>
      <c r="Q194" s="513" t="str">
        <f>IFERROR(IF(P194="","",IF(AND(P194='G-1 All Habitats'!$X$3,T194&gt;0),U194+V194,IF(AND(P194='G-1 All Habitats'!$X$3,S194&gt;0),U194+V194,IF(AND(P194='G-1 All Habitats'!$X$3,AC194&gt;0),"Any Loss Unacceptable",IF(AND(P194='G-1 All Habitats'!$X$3,W194&gt;0),"Any Loss Unacceptable",H194*J194*L194*O194))))),"Check Data ⚠")</f>
        <v/>
      </c>
      <c r="R194" s="50"/>
      <c r="S194" s="71"/>
      <c r="T194" s="72"/>
      <c r="U194" s="511" t="str">
        <f t="shared" si="14"/>
        <v/>
      </c>
      <c r="V194" s="511" t="str">
        <f t="shared" si="15"/>
        <v/>
      </c>
      <c r="W194" s="511" t="str">
        <f>IF(E194="","",IF(H194&lt;S194+T194,"Error in Areas ▲",IF(P194&lt;&gt;'G-1 All Habitats'!$X$3,H194-S194-T194,IF(AND(P194='G-1 All Habitats'!$X$3,Y194="Yes"),"Unacceptable Loss ▲",IF(AND(P194='G-1 All Habitats'!$X$3,Y194="No"),AC194,IF(AND(P194='G-1 All Habitats'!$X$3,Y194=""),AC194,IF(AND(P194='G-1 All Habitats'!$X$3,AC194="None",AC194),IF(AND(P194='G-1 All Habitats'!$X$3,AC194&gt;0),H194-S194-T194))))))))</f>
        <v/>
      </c>
      <c r="X194" s="545" t="str">
        <f>IFERROR(IF(H194="","",IF(H194-S194-T194=0&lt;0,"Error in Areas ▲",IF(S194+T194&gt;H194,"Error in Areas ▲",IF(AND(P194='G-1 All Habitats'!$X$3,Y194="Yes"),"Alternative Compensation",IF(W194=0,0,IF(P194='G-1 All Habitats'!$X$3,"Unacceptable Loss",Q194-U194-V194)))))),"Check Data ⚠")</f>
        <v/>
      </c>
      <c r="Y194" s="72"/>
      <c r="Z194" s="151"/>
      <c r="AA194" s="152"/>
      <c r="AC194" s="251" t="str">
        <f>IF(P194="","",IF(P194='G-1 All Habitats'!$X$3,H194-S194-T194,"None"))</f>
        <v/>
      </c>
      <c r="AD194" s="252" t="str">
        <f t="shared" si="16"/>
        <v/>
      </c>
      <c r="AF194" s="156" t="str">
        <f t="shared" si="12"/>
        <v/>
      </c>
      <c r="AG194" s="156" t="str">
        <f t="shared" si="13"/>
        <v/>
      </c>
      <c r="AH194" s="156" t="str">
        <f>IF(I194="","",IF(#REF!&gt;0,TRUE,FALSE))</f>
        <v/>
      </c>
      <c r="AI194" s="156">
        <v>184</v>
      </c>
      <c r="AJ194" s="156"/>
      <c r="AK194" s="156" t="str">
        <f t="array" ref="AK194">IFERROR(INDEX($AI$11:$AI$259, MATCH(0, IF(TRUE=$AF$11:$AF$259, COUNTIF($AK$10:$AK193, $AI$11:$AI$259), ""), 0)),"")</f>
        <v/>
      </c>
      <c r="AL194" s="156" t="str">
        <f t="array" ref="AL194">IFERROR(INDEX($AI$11:$AI$259, MATCH(0, IF(TRUE=$AG$11:$AG$259, COUNTIF($AL$10:$AL193, $AI$11:$AI$259), ""), 0)),"")</f>
        <v/>
      </c>
      <c r="AM194" s="156" t="str">
        <f t="array" ref="AM194">IFERROR(INDEX($AI$11:$AI$259, MATCH(0, IF(TRUE=$AH$11:$AH$259, COUNTIF($AM$10:$AM193, $AI$11:$AI$259), ""), 0)),"")</f>
        <v/>
      </c>
      <c r="AQ194" s="31">
        <f t="shared" si="17"/>
        <v>0</v>
      </c>
    </row>
    <row r="195" spans="1:43" x14ac:dyDescent="0.3">
      <c r="A195" s="31" t="str">
        <f>IFERROR(INDEX('G-1 All Habitats'!$AG$3:$AG$15,MATCH(E195,'G-1 All Habitats'!$AF$3:$AF$15,0)),"")</f>
        <v/>
      </c>
      <c r="B195" s="31" t="str">
        <f>IFERROR(INDEX('G-8 Condition Look up'!$I$4:$I$130,MATCH(G195,'G-8 Condition Look up'!$A$4:$A$130,0)),"")</f>
        <v/>
      </c>
      <c r="D195" s="141">
        <v>185</v>
      </c>
      <c r="E195" s="203"/>
      <c r="F195" s="203"/>
      <c r="G195" s="250" t="str">
        <f>IFERROR(INDEX('G-1 All Habitats'!$B$3:$B$129,MATCH(F195,'G-1 All Habitats'!$A$3:$A$129,0)),"")</f>
        <v/>
      </c>
      <c r="H195" s="172"/>
      <c r="I195" s="498" t="str">
        <f>IF(G195="","",VLOOKUP(G195,'G-1 All Habitats'!$B$2:$M$129,10,FALSE))</f>
        <v/>
      </c>
      <c r="J195" s="499" t="str">
        <f>IFERROR(VLOOKUP(I195,'G-1 All Habitats'!$V$3:$W$7,2,FALSE),"")</f>
        <v/>
      </c>
      <c r="K195" s="145"/>
      <c r="L195" s="499" t="str">
        <f>IFERROR(INDEX('G-8 Condition Look up'!$A$3:$H$130,MATCH(G195,'G-8 Condition Look up'!$A$3:$A$130,0),MATCH(K195,'G-8 Condition Look up'!$A$3:$H$3,0)),"")</f>
        <v/>
      </c>
      <c r="M195" s="154"/>
      <c r="N195" s="520" t="str">
        <f>IF(M195="","",IF(VLOOKUP(M195,'G-3 Multipliers'!$L$3:$N$6,2,FALSE)=0,"Spatial Data Missing ⚠",VLOOKUP(M195,'G-3 Multipliers'!$L$3:$N$6,2,FALSE)))</f>
        <v/>
      </c>
      <c r="O195" s="524" t="str">
        <f>IF(M195="","",IF(VLOOKUP(M195,'G-3 Multipliers'!$L$3:$N$6,3,FALSE)=0,"Spatial Data Missing ⚠",VLOOKUP(M195,'G-3 Multipliers'!$L$3:$N$6,3,FALSE)))</f>
        <v/>
      </c>
      <c r="P195" s="506" t="str">
        <f>IFERROR(VLOOKUP(G195,'G-1 All Habitats'!$B$2:$M$129,12,FALSE),"")</f>
        <v/>
      </c>
      <c r="Q195" s="513" t="str">
        <f>IFERROR(IF(P195="","",IF(AND(P195='G-1 All Habitats'!$X$3,T195&gt;0),U195+V195,IF(AND(P195='G-1 All Habitats'!$X$3,S195&gt;0),U195+V195,IF(AND(P195='G-1 All Habitats'!$X$3,AC195&gt;0),"Any Loss Unacceptable",IF(AND(P195='G-1 All Habitats'!$X$3,W195&gt;0),"Any Loss Unacceptable",H195*J195*L195*O195))))),"Check Data ⚠")</f>
        <v/>
      </c>
      <c r="R195" s="50"/>
      <c r="S195" s="71"/>
      <c r="T195" s="72"/>
      <c r="U195" s="511" t="str">
        <f t="shared" si="14"/>
        <v/>
      </c>
      <c r="V195" s="511" t="str">
        <f t="shared" si="15"/>
        <v/>
      </c>
      <c r="W195" s="511" t="str">
        <f>IF(E195="","",IF(H195&lt;S195+T195,"Error in Areas ▲",IF(P195&lt;&gt;'G-1 All Habitats'!$X$3,H195-S195-T195,IF(AND(P195='G-1 All Habitats'!$X$3,Y195="Yes"),"Unacceptable Loss ▲",IF(AND(P195='G-1 All Habitats'!$X$3,Y195="No"),AC195,IF(AND(P195='G-1 All Habitats'!$X$3,Y195=""),AC195,IF(AND(P195='G-1 All Habitats'!$X$3,AC195="None",AC195),IF(AND(P195='G-1 All Habitats'!$X$3,AC195&gt;0),H195-S195-T195))))))))</f>
        <v/>
      </c>
      <c r="X195" s="545" t="str">
        <f>IFERROR(IF(H195="","",IF(H195-S195-T195=0&lt;0,"Error in Areas ▲",IF(S195+T195&gt;H195,"Error in Areas ▲",IF(AND(P195='G-1 All Habitats'!$X$3,Y195="Yes"),"Alternative Compensation",IF(W195=0,0,IF(P195='G-1 All Habitats'!$X$3,"Unacceptable Loss",Q195-U195-V195)))))),"Check Data ⚠")</f>
        <v/>
      </c>
      <c r="Y195" s="72"/>
      <c r="Z195" s="151"/>
      <c r="AA195" s="152"/>
      <c r="AC195" s="251" t="str">
        <f>IF(P195="","",IF(P195='G-1 All Habitats'!$X$3,H195-S195-T195,"None"))</f>
        <v/>
      </c>
      <c r="AD195" s="252" t="str">
        <f t="shared" si="16"/>
        <v/>
      </c>
      <c r="AF195" s="156" t="str">
        <f t="shared" si="12"/>
        <v/>
      </c>
      <c r="AG195" s="156" t="str">
        <f t="shared" si="13"/>
        <v/>
      </c>
      <c r="AH195" s="156" t="str">
        <f>IF(I195="","",IF(#REF!&gt;0,TRUE,FALSE))</f>
        <v/>
      </c>
      <c r="AI195" s="156">
        <v>185</v>
      </c>
      <c r="AJ195" s="156"/>
      <c r="AK195" s="156" t="str">
        <f t="array" ref="AK195">IFERROR(INDEX($AI$11:$AI$259, MATCH(0, IF(TRUE=$AF$11:$AF$259, COUNTIF($AK$10:$AK194, $AI$11:$AI$259), ""), 0)),"")</f>
        <v/>
      </c>
      <c r="AL195" s="156" t="str">
        <f t="array" ref="AL195">IFERROR(INDEX($AI$11:$AI$259, MATCH(0, IF(TRUE=$AG$11:$AG$259, COUNTIF($AL$10:$AL194, $AI$11:$AI$259), ""), 0)),"")</f>
        <v/>
      </c>
      <c r="AM195" s="156" t="str">
        <f t="array" ref="AM195">IFERROR(INDEX($AI$11:$AI$259, MATCH(0, IF(TRUE=$AH$11:$AH$259, COUNTIF($AM$10:$AM194, $AI$11:$AI$259), ""), 0)),"")</f>
        <v/>
      </c>
      <c r="AQ195" s="31">
        <f t="shared" si="17"/>
        <v>0</v>
      </c>
    </row>
    <row r="196" spans="1:43" x14ac:dyDescent="0.3">
      <c r="A196" s="31" t="str">
        <f>IFERROR(INDEX('G-1 All Habitats'!$AG$3:$AG$15,MATCH(E196,'G-1 All Habitats'!$AF$3:$AF$15,0)),"")</f>
        <v/>
      </c>
      <c r="B196" s="31" t="str">
        <f>IFERROR(INDEX('G-8 Condition Look up'!$I$4:$I$130,MATCH(G196,'G-8 Condition Look up'!$A$4:$A$130,0)),"")</f>
        <v/>
      </c>
      <c r="D196" s="141">
        <v>186</v>
      </c>
      <c r="E196" s="203"/>
      <c r="F196" s="203"/>
      <c r="G196" s="250" t="str">
        <f>IFERROR(INDEX('G-1 All Habitats'!$B$3:$B$129,MATCH(F196,'G-1 All Habitats'!$A$3:$A$129,0)),"")</f>
        <v/>
      </c>
      <c r="H196" s="172"/>
      <c r="I196" s="498" t="str">
        <f>IF(G196="","",VLOOKUP(G196,'G-1 All Habitats'!$B$2:$M$129,10,FALSE))</f>
        <v/>
      </c>
      <c r="J196" s="499" t="str">
        <f>IFERROR(VLOOKUP(I196,'G-1 All Habitats'!$V$3:$W$7,2,FALSE),"")</f>
        <v/>
      </c>
      <c r="K196" s="145"/>
      <c r="L196" s="499" t="str">
        <f>IFERROR(INDEX('G-8 Condition Look up'!$A$3:$H$130,MATCH(G196,'G-8 Condition Look up'!$A$3:$A$130,0),MATCH(K196,'G-8 Condition Look up'!$A$3:$H$3,0)),"")</f>
        <v/>
      </c>
      <c r="M196" s="154"/>
      <c r="N196" s="520" t="str">
        <f>IF(M196="","",IF(VLOOKUP(M196,'G-3 Multipliers'!$L$3:$N$6,2,FALSE)=0,"Spatial Data Missing ⚠",VLOOKUP(M196,'G-3 Multipliers'!$L$3:$N$6,2,FALSE)))</f>
        <v/>
      </c>
      <c r="O196" s="524" t="str">
        <f>IF(M196="","",IF(VLOOKUP(M196,'G-3 Multipliers'!$L$3:$N$6,3,FALSE)=0,"Spatial Data Missing ⚠",VLOOKUP(M196,'G-3 Multipliers'!$L$3:$N$6,3,FALSE)))</f>
        <v/>
      </c>
      <c r="P196" s="506" t="str">
        <f>IFERROR(VLOOKUP(G196,'G-1 All Habitats'!$B$2:$M$129,12,FALSE),"")</f>
        <v/>
      </c>
      <c r="Q196" s="513" t="str">
        <f>IFERROR(IF(P196="","",IF(AND(P196='G-1 All Habitats'!$X$3,T196&gt;0),U196+V196,IF(AND(P196='G-1 All Habitats'!$X$3,S196&gt;0),U196+V196,IF(AND(P196='G-1 All Habitats'!$X$3,AC196&gt;0),"Any Loss Unacceptable",IF(AND(P196='G-1 All Habitats'!$X$3,W196&gt;0),"Any Loss Unacceptable",H196*J196*L196*O196))))),"Check Data ⚠")</f>
        <v/>
      </c>
      <c r="R196" s="50"/>
      <c r="S196" s="71"/>
      <c r="T196" s="72"/>
      <c r="U196" s="511" t="str">
        <f t="shared" si="14"/>
        <v/>
      </c>
      <c r="V196" s="511" t="str">
        <f t="shared" si="15"/>
        <v/>
      </c>
      <c r="W196" s="511" t="str">
        <f>IF(E196="","",IF(H196&lt;S196+T196,"Error in Areas ▲",IF(P196&lt;&gt;'G-1 All Habitats'!$X$3,H196-S196-T196,IF(AND(P196='G-1 All Habitats'!$X$3,Y196="Yes"),"Unacceptable Loss ▲",IF(AND(P196='G-1 All Habitats'!$X$3,Y196="No"),AC196,IF(AND(P196='G-1 All Habitats'!$X$3,Y196=""),AC196,IF(AND(P196='G-1 All Habitats'!$X$3,AC196="None",AC196),IF(AND(P196='G-1 All Habitats'!$X$3,AC196&gt;0),H196-S196-T196))))))))</f>
        <v/>
      </c>
      <c r="X196" s="545" t="str">
        <f>IFERROR(IF(H196="","",IF(H196-S196-T196=0&lt;0,"Error in Areas ▲",IF(S196+T196&gt;H196,"Error in Areas ▲",IF(AND(P196='G-1 All Habitats'!$X$3,Y196="Yes"),"Alternative Compensation",IF(W196=0,0,IF(P196='G-1 All Habitats'!$X$3,"Unacceptable Loss",Q196-U196-V196)))))),"Check Data ⚠")</f>
        <v/>
      </c>
      <c r="Y196" s="72"/>
      <c r="Z196" s="151"/>
      <c r="AA196" s="152"/>
      <c r="AC196" s="251" t="str">
        <f>IF(P196="","",IF(P196='G-1 All Habitats'!$X$3,H196-S196-T196,"None"))</f>
        <v/>
      </c>
      <c r="AD196" s="252" t="str">
        <f t="shared" si="16"/>
        <v/>
      </c>
      <c r="AF196" s="156" t="str">
        <f t="shared" si="12"/>
        <v/>
      </c>
      <c r="AG196" s="156" t="str">
        <f t="shared" si="13"/>
        <v/>
      </c>
      <c r="AH196" s="156" t="str">
        <f>IF(I196="","",IF(#REF!&gt;0,TRUE,FALSE))</f>
        <v/>
      </c>
      <c r="AI196" s="156">
        <v>186</v>
      </c>
      <c r="AJ196" s="156"/>
      <c r="AK196" s="156" t="str">
        <f t="array" ref="AK196">IFERROR(INDEX($AI$11:$AI$259, MATCH(0, IF(TRUE=$AF$11:$AF$259, COUNTIF($AK$10:$AK195, $AI$11:$AI$259), ""), 0)),"")</f>
        <v/>
      </c>
      <c r="AL196" s="156" t="str">
        <f t="array" ref="AL196">IFERROR(INDEX($AI$11:$AI$259, MATCH(0, IF(TRUE=$AG$11:$AG$259, COUNTIF($AL$10:$AL195, $AI$11:$AI$259), ""), 0)),"")</f>
        <v/>
      </c>
      <c r="AM196" s="156" t="str">
        <f t="array" ref="AM196">IFERROR(INDEX($AI$11:$AI$259, MATCH(0, IF(TRUE=$AH$11:$AH$259, COUNTIF($AM$10:$AM195, $AI$11:$AI$259), ""), 0)),"")</f>
        <v/>
      </c>
      <c r="AQ196" s="31">
        <f t="shared" si="17"/>
        <v>0</v>
      </c>
    </row>
    <row r="197" spans="1:43" x14ac:dyDescent="0.3">
      <c r="A197" s="31" t="str">
        <f>IFERROR(INDEX('G-1 All Habitats'!$AG$3:$AG$15,MATCH(E197,'G-1 All Habitats'!$AF$3:$AF$15,0)),"")</f>
        <v/>
      </c>
      <c r="B197" s="31" t="str">
        <f>IFERROR(INDEX('G-8 Condition Look up'!$I$4:$I$130,MATCH(G197,'G-8 Condition Look up'!$A$4:$A$130,0)),"")</f>
        <v/>
      </c>
      <c r="D197" s="141">
        <v>187</v>
      </c>
      <c r="E197" s="203"/>
      <c r="F197" s="203"/>
      <c r="G197" s="250" t="str">
        <f>IFERROR(INDEX('G-1 All Habitats'!$B$3:$B$129,MATCH(F197,'G-1 All Habitats'!$A$3:$A$129,0)),"")</f>
        <v/>
      </c>
      <c r="H197" s="172"/>
      <c r="I197" s="498" t="str">
        <f>IF(G197="","",VLOOKUP(G197,'G-1 All Habitats'!$B$2:$M$129,10,FALSE))</f>
        <v/>
      </c>
      <c r="J197" s="499" t="str">
        <f>IFERROR(VLOOKUP(I197,'G-1 All Habitats'!$V$3:$W$7,2,FALSE),"")</f>
        <v/>
      </c>
      <c r="K197" s="145"/>
      <c r="L197" s="499" t="str">
        <f>IFERROR(INDEX('G-8 Condition Look up'!$A$3:$H$130,MATCH(G197,'G-8 Condition Look up'!$A$3:$A$130,0),MATCH(K197,'G-8 Condition Look up'!$A$3:$H$3,0)),"")</f>
        <v/>
      </c>
      <c r="M197" s="154"/>
      <c r="N197" s="520" t="str">
        <f>IF(M197="","",IF(VLOOKUP(M197,'G-3 Multipliers'!$L$3:$N$6,2,FALSE)=0,"Spatial Data Missing ⚠",VLOOKUP(M197,'G-3 Multipliers'!$L$3:$N$6,2,FALSE)))</f>
        <v/>
      </c>
      <c r="O197" s="524" t="str">
        <f>IF(M197="","",IF(VLOOKUP(M197,'G-3 Multipliers'!$L$3:$N$6,3,FALSE)=0,"Spatial Data Missing ⚠",VLOOKUP(M197,'G-3 Multipliers'!$L$3:$N$6,3,FALSE)))</f>
        <v/>
      </c>
      <c r="P197" s="506" t="str">
        <f>IFERROR(VLOOKUP(G197,'G-1 All Habitats'!$B$2:$M$129,12,FALSE),"")</f>
        <v/>
      </c>
      <c r="Q197" s="513" t="str">
        <f>IFERROR(IF(P197="","",IF(AND(P197='G-1 All Habitats'!$X$3,T197&gt;0),U197+V197,IF(AND(P197='G-1 All Habitats'!$X$3,S197&gt;0),U197+V197,IF(AND(P197='G-1 All Habitats'!$X$3,AC197&gt;0),"Any Loss Unacceptable",IF(AND(P197='G-1 All Habitats'!$X$3,W197&gt;0),"Any Loss Unacceptable",H197*J197*L197*O197))))),"Check Data ⚠")</f>
        <v/>
      </c>
      <c r="R197" s="50"/>
      <c r="S197" s="71"/>
      <c r="T197" s="72"/>
      <c r="U197" s="511" t="str">
        <f t="shared" si="14"/>
        <v/>
      </c>
      <c r="V197" s="511" t="str">
        <f t="shared" si="15"/>
        <v/>
      </c>
      <c r="W197" s="511" t="str">
        <f>IF(E197="","",IF(H197&lt;S197+T197,"Error in Areas ▲",IF(P197&lt;&gt;'G-1 All Habitats'!$X$3,H197-S197-T197,IF(AND(P197='G-1 All Habitats'!$X$3,Y197="Yes"),"Unacceptable Loss ▲",IF(AND(P197='G-1 All Habitats'!$X$3,Y197="No"),AC197,IF(AND(P197='G-1 All Habitats'!$X$3,Y197=""),AC197,IF(AND(P197='G-1 All Habitats'!$X$3,AC197="None",AC197),IF(AND(P197='G-1 All Habitats'!$X$3,AC197&gt;0),H197-S197-T197))))))))</f>
        <v/>
      </c>
      <c r="X197" s="545" t="str">
        <f>IFERROR(IF(H197="","",IF(H197-S197-T197=0&lt;0,"Error in Areas ▲",IF(S197+T197&gt;H197,"Error in Areas ▲",IF(AND(P197='G-1 All Habitats'!$X$3,Y197="Yes"),"Alternative Compensation",IF(W197=0,0,IF(P197='G-1 All Habitats'!$X$3,"Unacceptable Loss",Q197-U197-V197)))))),"Check Data ⚠")</f>
        <v/>
      </c>
      <c r="Y197" s="72"/>
      <c r="Z197" s="151"/>
      <c r="AA197" s="152"/>
      <c r="AC197" s="251" t="str">
        <f>IF(P197="","",IF(P197='G-1 All Habitats'!$X$3,H197-S197-T197,"None"))</f>
        <v/>
      </c>
      <c r="AD197" s="252" t="str">
        <f t="shared" si="16"/>
        <v/>
      </c>
      <c r="AF197" s="156" t="str">
        <f t="shared" si="12"/>
        <v/>
      </c>
      <c r="AG197" s="156" t="str">
        <f t="shared" si="13"/>
        <v/>
      </c>
      <c r="AH197" s="156" t="str">
        <f>IF(I197="","",IF(#REF!&gt;0,TRUE,FALSE))</f>
        <v/>
      </c>
      <c r="AI197" s="156">
        <v>187</v>
      </c>
      <c r="AJ197" s="156"/>
      <c r="AK197" s="156" t="str">
        <f t="array" ref="AK197">IFERROR(INDEX($AI$11:$AI$259, MATCH(0, IF(TRUE=$AF$11:$AF$259, COUNTIF($AK$10:$AK196, $AI$11:$AI$259), ""), 0)),"")</f>
        <v/>
      </c>
      <c r="AL197" s="156" t="str">
        <f t="array" ref="AL197">IFERROR(INDEX($AI$11:$AI$259, MATCH(0, IF(TRUE=$AG$11:$AG$259, COUNTIF($AL$10:$AL196, $AI$11:$AI$259), ""), 0)),"")</f>
        <v/>
      </c>
      <c r="AM197" s="156" t="str">
        <f t="array" ref="AM197">IFERROR(INDEX($AI$11:$AI$259, MATCH(0, IF(TRUE=$AH$11:$AH$259, COUNTIF($AM$10:$AM196, $AI$11:$AI$259), ""), 0)),"")</f>
        <v/>
      </c>
      <c r="AQ197" s="31">
        <f t="shared" si="17"/>
        <v>0</v>
      </c>
    </row>
    <row r="198" spans="1:43" x14ac:dyDescent="0.3">
      <c r="A198" s="31" t="str">
        <f>IFERROR(INDEX('G-1 All Habitats'!$AG$3:$AG$15,MATCH(E198,'G-1 All Habitats'!$AF$3:$AF$15,0)),"")</f>
        <v/>
      </c>
      <c r="B198" s="31" t="str">
        <f>IFERROR(INDEX('G-8 Condition Look up'!$I$4:$I$130,MATCH(G198,'G-8 Condition Look up'!$A$4:$A$130,0)),"")</f>
        <v/>
      </c>
      <c r="D198" s="141">
        <v>188</v>
      </c>
      <c r="E198" s="203"/>
      <c r="F198" s="203"/>
      <c r="G198" s="250" t="str">
        <f>IFERROR(INDEX('G-1 All Habitats'!$B$3:$B$129,MATCH(F198,'G-1 All Habitats'!$A$3:$A$129,0)),"")</f>
        <v/>
      </c>
      <c r="H198" s="172"/>
      <c r="I198" s="498" t="str">
        <f>IF(G198="","",VLOOKUP(G198,'G-1 All Habitats'!$B$2:$M$129,10,FALSE))</f>
        <v/>
      </c>
      <c r="J198" s="499" t="str">
        <f>IFERROR(VLOOKUP(I198,'G-1 All Habitats'!$V$3:$W$7,2,FALSE),"")</f>
        <v/>
      </c>
      <c r="K198" s="145"/>
      <c r="L198" s="499" t="str">
        <f>IFERROR(INDEX('G-8 Condition Look up'!$A$3:$H$130,MATCH(G198,'G-8 Condition Look up'!$A$3:$A$130,0),MATCH(K198,'G-8 Condition Look up'!$A$3:$H$3,0)),"")</f>
        <v/>
      </c>
      <c r="M198" s="154"/>
      <c r="N198" s="520" t="str">
        <f>IF(M198="","",IF(VLOOKUP(M198,'G-3 Multipliers'!$L$3:$N$6,2,FALSE)=0,"Spatial Data Missing ⚠",VLOOKUP(M198,'G-3 Multipliers'!$L$3:$N$6,2,FALSE)))</f>
        <v/>
      </c>
      <c r="O198" s="524" t="str">
        <f>IF(M198="","",IF(VLOOKUP(M198,'G-3 Multipliers'!$L$3:$N$6,3,FALSE)=0,"Spatial Data Missing ⚠",VLOOKUP(M198,'G-3 Multipliers'!$L$3:$N$6,3,FALSE)))</f>
        <v/>
      </c>
      <c r="P198" s="506" t="str">
        <f>IFERROR(VLOOKUP(G198,'G-1 All Habitats'!$B$2:$M$129,12,FALSE),"")</f>
        <v/>
      </c>
      <c r="Q198" s="513" t="str">
        <f>IFERROR(IF(P198="","",IF(AND(P198='G-1 All Habitats'!$X$3,T198&gt;0),U198+V198,IF(AND(P198='G-1 All Habitats'!$X$3,S198&gt;0),U198+V198,IF(AND(P198='G-1 All Habitats'!$X$3,AC198&gt;0),"Any Loss Unacceptable",IF(AND(P198='G-1 All Habitats'!$X$3,W198&gt;0),"Any Loss Unacceptable",H198*J198*L198*O198))))),"Check Data ⚠")</f>
        <v/>
      </c>
      <c r="R198" s="50"/>
      <c r="S198" s="71"/>
      <c r="T198" s="72"/>
      <c r="U198" s="511" t="str">
        <f t="shared" si="14"/>
        <v/>
      </c>
      <c r="V198" s="511" t="str">
        <f t="shared" si="15"/>
        <v/>
      </c>
      <c r="W198" s="511" t="str">
        <f>IF(E198="","",IF(H198&lt;S198+T198,"Error in Areas ▲",IF(P198&lt;&gt;'G-1 All Habitats'!$X$3,H198-S198-T198,IF(AND(P198='G-1 All Habitats'!$X$3,Y198="Yes"),"Unacceptable Loss ▲",IF(AND(P198='G-1 All Habitats'!$X$3,Y198="No"),AC198,IF(AND(P198='G-1 All Habitats'!$X$3,Y198=""),AC198,IF(AND(P198='G-1 All Habitats'!$X$3,AC198="None",AC198),IF(AND(P198='G-1 All Habitats'!$X$3,AC198&gt;0),H198-S198-T198))))))))</f>
        <v/>
      </c>
      <c r="X198" s="545" t="str">
        <f>IFERROR(IF(H198="","",IF(H198-S198-T198=0&lt;0,"Error in Areas ▲",IF(S198+T198&gt;H198,"Error in Areas ▲",IF(AND(P198='G-1 All Habitats'!$X$3,Y198="Yes"),"Alternative Compensation",IF(W198=0,0,IF(P198='G-1 All Habitats'!$X$3,"Unacceptable Loss",Q198-U198-V198)))))),"Check Data ⚠")</f>
        <v/>
      </c>
      <c r="Y198" s="72"/>
      <c r="Z198" s="151"/>
      <c r="AA198" s="152"/>
      <c r="AC198" s="251" t="str">
        <f>IF(P198="","",IF(P198='G-1 All Habitats'!$X$3,H198-S198-T198,"None"))</f>
        <v/>
      </c>
      <c r="AD198" s="252" t="str">
        <f t="shared" si="16"/>
        <v/>
      </c>
      <c r="AF198" s="156" t="str">
        <f t="shared" si="12"/>
        <v/>
      </c>
      <c r="AG198" s="156" t="str">
        <f t="shared" si="13"/>
        <v/>
      </c>
      <c r="AH198" s="156" t="str">
        <f>IF(I198="","",IF(#REF!&gt;0,TRUE,FALSE))</f>
        <v/>
      </c>
      <c r="AI198" s="156">
        <v>188</v>
      </c>
      <c r="AJ198" s="156"/>
      <c r="AK198" s="156" t="str">
        <f t="array" ref="AK198">IFERROR(INDEX($AI$11:$AI$259, MATCH(0, IF(TRUE=$AF$11:$AF$259, COUNTIF($AK$10:$AK197, $AI$11:$AI$259), ""), 0)),"")</f>
        <v/>
      </c>
      <c r="AL198" s="156" t="str">
        <f t="array" ref="AL198">IFERROR(INDEX($AI$11:$AI$259, MATCH(0, IF(TRUE=$AG$11:$AG$259, COUNTIF($AL$10:$AL197, $AI$11:$AI$259), ""), 0)),"")</f>
        <v/>
      </c>
      <c r="AM198" s="156" t="str">
        <f t="array" ref="AM198">IFERROR(INDEX($AI$11:$AI$259, MATCH(0, IF(TRUE=$AH$11:$AH$259, COUNTIF($AM$10:$AM197, $AI$11:$AI$259), ""), 0)),"")</f>
        <v/>
      </c>
      <c r="AQ198" s="31">
        <f t="shared" si="17"/>
        <v>0</v>
      </c>
    </row>
    <row r="199" spans="1:43" x14ac:dyDescent="0.3">
      <c r="A199" s="31" t="str">
        <f>IFERROR(INDEX('G-1 All Habitats'!$AG$3:$AG$15,MATCH(E199,'G-1 All Habitats'!$AF$3:$AF$15,0)),"")</f>
        <v/>
      </c>
      <c r="B199" s="31" t="str">
        <f>IFERROR(INDEX('G-8 Condition Look up'!$I$4:$I$130,MATCH(G199,'G-8 Condition Look up'!$A$4:$A$130,0)),"")</f>
        <v/>
      </c>
      <c r="D199" s="141">
        <v>189</v>
      </c>
      <c r="E199" s="203"/>
      <c r="F199" s="203"/>
      <c r="G199" s="250" t="str">
        <f>IFERROR(INDEX('G-1 All Habitats'!$B$3:$B$129,MATCH(F199,'G-1 All Habitats'!$A$3:$A$129,0)),"")</f>
        <v/>
      </c>
      <c r="H199" s="172"/>
      <c r="I199" s="498" t="str">
        <f>IF(G199="","",VLOOKUP(G199,'G-1 All Habitats'!$B$2:$M$129,10,FALSE))</f>
        <v/>
      </c>
      <c r="J199" s="499" t="str">
        <f>IFERROR(VLOOKUP(I199,'G-1 All Habitats'!$V$3:$W$7,2,FALSE),"")</f>
        <v/>
      </c>
      <c r="K199" s="145"/>
      <c r="L199" s="499" t="str">
        <f>IFERROR(INDEX('G-8 Condition Look up'!$A$3:$H$130,MATCH(G199,'G-8 Condition Look up'!$A$3:$A$130,0),MATCH(K199,'G-8 Condition Look up'!$A$3:$H$3,0)),"")</f>
        <v/>
      </c>
      <c r="M199" s="154"/>
      <c r="N199" s="520" t="str">
        <f>IF(M199="","",IF(VLOOKUP(M199,'G-3 Multipliers'!$L$3:$N$6,2,FALSE)=0,"Spatial Data Missing ⚠",VLOOKUP(M199,'G-3 Multipliers'!$L$3:$N$6,2,FALSE)))</f>
        <v/>
      </c>
      <c r="O199" s="524" t="str">
        <f>IF(M199="","",IF(VLOOKUP(M199,'G-3 Multipliers'!$L$3:$N$6,3,FALSE)=0,"Spatial Data Missing ⚠",VLOOKUP(M199,'G-3 Multipliers'!$L$3:$N$6,3,FALSE)))</f>
        <v/>
      </c>
      <c r="P199" s="506" t="str">
        <f>IFERROR(VLOOKUP(G199,'G-1 All Habitats'!$B$2:$M$129,12,FALSE),"")</f>
        <v/>
      </c>
      <c r="Q199" s="513" t="str">
        <f>IFERROR(IF(P199="","",IF(AND(P199='G-1 All Habitats'!$X$3,T199&gt;0),U199+V199,IF(AND(P199='G-1 All Habitats'!$X$3,S199&gt;0),U199+V199,IF(AND(P199='G-1 All Habitats'!$X$3,AC199&gt;0),"Any Loss Unacceptable",IF(AND(P199='G-1 All Habitats'!$X$3,W199&gt;0),"Any Loss Unacceptable",H199*J199*L199*O199))))),"Check Data ⚠")</f>
        <v/>
      </c>
      <c r="R199" s="50"/>
      <c r="S199" s="71"/>
      <c r="T199" s="72"/>
      <c r="U199" s="511" t="str">
        <f t="shared" si="14"/>
        <v/>
      </c>
      <c r="V199" s="511" t="str">
        <f t="shared" si="15"/>
        <v/>
      </c>
      <c r="W199" s="511" t="str">
        <f>IF(E199="","",IF(H199&lt;S199+T199,"Error in Areas ▲",IF(P199&lt;&gt;'G-1 All Habitats'!$X$3,H199-S199-T199,IF(AND(P199='G-1 All Habitats'!$X$3,Y199="Yes"),"Unacceptable Loss ▲",IF(AND(P199='G-1 All Habitats'!$X$3,Y199="No"),AC199,IF(AND(P199='G-1 All Habitats'!$X$3,Y199=""),AC199,IF(AND(P199='G-1 All Habitats'!$X$3,AC199="None",AC199),IF(AND(P199='G-1 All Habitats'!$X$3,AC199&gt;0),H199-S199-T199))))))))</f>
        <v/>
      </c>
      <c r="X199" s="545" t="str">
        <f>IFERROR(IF(H199="","",IF(H199-S199-T199=0&lt;0,"Error in Areas ▲",IF(S199+T199&gt;H199,"Error in Areas ▲",IF(AND(P199='G-1 All Habitats'!$X$3,Y199="Yes"),"Alternative Compensation",IF(W199=0,0,IF(P199='G-1 All Habitats'!$X$3,"Unacceptable Loss",Q199-U199-V199)))))),"Check Data ⚠")</f>
        <v/>
      </c>
      <c r="Y199" s="72"/>
      <c r="Z199" s="151"/>
      <c r="AA199" s="152"/>
      <c r="AC199" s="251" t="str">
        <f>IF(P199="","",IF(P199='G-1 All Habitats'!$X$3,H199-S199-T199,"None"))</f>
        <v/>
      </c>
      <c r="AD199" s="252" t="str">
        <f t="shared" si="16"/>
        <v/>
      </c>
      <c r="AF199" s="156" t="str">
        <f t="shared" si="12"/>
        <v/>
      </c>
      <c r="AG199" s="156" t="str">
        <f t="shared" si="13"/>
        <v/>
      </c>
      <c r="AH199" s="156" t="str">
        <f>IF(I199="","",IF(#REF!&gt;0,TRUE,FALSE))</f>
        <v/>
      </c>
      <c r="AI199" s="156">
        <v>189</v>
      </c>
      <c r="AJ199" s="156"/>
      <c r="AK199" s="156" t="str">
        <f t="array" ref="AK199">IFERROR(INDEX($AI$11:$AI$259, MATCH(0, IF(TRUE=$AF$11:$AF$259, COUNTIF($AK$10:$AK198, $AI$11:$AI$259), ""), 0)),"")</f>
        <v/>
      </c>
      <c r="AL199" s="156" t="str">
        <f t="array" ref="AL199">IFERROR(INDEX($AI$11:$AI$259, MATCH(0, IF(TRUE=$AG$11:$AG$259, COUNTIF($AL$10:$AL198, $AI$11:$AI$259), ""), 0)),"")</f>
        <v/>
      </c>
      <c r="AM199" s="156" t="str">
        <f t="array" ref="AM199">IFERROR(INDEX($AI$11:$AI$259, MATCH(0, IF(TRUE=$AH$11:$AH$259, COUNTIF($AM$10:$AM198, $AI$11:$AI$259), ""), 0)),"")</f>
        <v/>
      </c>
      <c r="AQ199" s="31">
        <f t="shared" si="17"/>
        <v>0</v>
      </c>
    </row>
    <row r="200" spans="1:43" x14ac:dyDescent="0.3">
      <c r="A200" s="31" t="str">
        <f>IFERROR(INDEX('G-1 All Habitats'!$AG$3:$AG$15,MATCH(E200,'G-1 All Habitats'!$AF$3:$AF$15,0)),"")</f>
        <v/>
      </c>
      <c r="B200" s="31" t="str">
        <f>IFERROR(INDEX('G-8 Condition Look up'!$I$4:$I$130,MATCH(G200,'G-8 Condition Look up'!$A$4:$A$130,0)),"")</f>
        <v/>
      </c>
      <c r="D200" s="141">
        <v>190</v>
      </c>
      <c r="E200" s="203"/>
      <c r="F200" s="203"/>
      <c r="G200" s="250" t="str">
        <f>IFERROR(INDEX('G-1 All Habitats'!$B$3:$B$129,MATCH(F200,'G-1 All Habitats'!$A$3:$A$129,0)),"")</f>
        <v/>
      </c>
      <c r="H200" s="172"/>
      <c r="I200" s="498" t="str">
        <f>IF(G200="","",VLOOKUP(G200,'G-1 All Habitats'!$B$2:$M$129,10,FALSE))</f>
        <v/>
      </c>
      <c r="J200" s="499" t="str">
        <f>IFERROR(VLOOKUP(I200,'G-1 All Habitats'!$V$3:$W$7,2,FALSE),"")</f>
        <v/>
      </c>
      <c r="K200" s="145"/>
      <c r="L200" s="499" t="str">
        <f>IFERROR(INDEX('G-8 Condition Look up'!$A$3:$H$130,MATCH(G200,'G-8 Condition Look up'!$A$3:$A$130,0),MATCH(K200,'G-8 Condition Look up'!$A$3:$H$3,0)),"")</f>
        <v/>
      </c>
      <c r="M200" s="154"/>
      <c r="N200" s="520" t="str">
        <f>IF(M200="","",IF(VLOOKUP(M200,'G-3 Multipliers'!$L$3:$N$6,2,FALSE)=0,"Spatial Data Missing ⚠",VLOOKUP(M200,'G-3 Multipliers'!$L$3:$N$6,2,FALSE)))</f>
        <v/>
      </c>
      <c r="O200" s="524" t="str">
        <f>IF(M200="","",IF(VLOOKUP(M200,'G-3 Multipliers'!$L$3:$N$6,3,FALSE)=0,"Spatial Data Missing ⚠",VLOOKUP(M200,'G-3 Multipliers'!$L$3:$N$6,3,FALSE)))</f>
        <v/>
      </c>
      <c r="P200" s="506" t="str">
        <f>IFERROR(VLOOKUP(G200,'G-1 All Habitats'!$B$2:$M$129,12,FALSE),"")</f>
        <v/>
      </c>
      <c r="Q200" s="513" t="str">
        <f>IFERROR(IF(P200="","",IF(AND(P200='G-1 All Habitats'!$X$3,T200&gt;0),U200+V200,IF(AND(P200='G-1 All Habitats'!$X$3,S200&gt;0),U200+V200,IF(AND(P200='G-1 All Habitats'!$X$3,AC200&gt;0),"Any Loss Unacceptable",IF(AND(P200='G-1 All Habitats'!$X$3,W200&gt;0),"Any Loss Unacceptable",H200*J200*L200*O200))))),"Check Data ⚠")</f>
        <v/>
      </c>
      <c r="R200" s="50"/>
      <c r="S200" s="71"/>
      <c r="T200" s="72"/>
      <c r="U200" s="511" t="str">
        <f t="shared" si="14"/>
        <v/>
      </c>
      <c r="V200" s="511" t="str">
        <f t="shared" si="15"/>
        <v/>
      </c>
      <c r="W200" s="511" t="str">
        <f>IF(E200="","",IF(H200&lt;S200+T200,"Error in Areas ▲",IF(P200&lt;&gt;'G-1 All Habitats'!$X$3,H200-S200-T200,IF(AND(P200='G-1 All Habitats'!$X$3,Y200="Yes"),"Unacceptable Loss ▲",IF(AND(P200='G-1 All Habitats'!$X$3,Y200="No"),AC200,IF(AND(P200='G-1 All Habitats'!$X$3,Y200=""),AC200,IF(AND(P200='G-1 All Habitats'!$X$3,AC200="None",AC200),IF(AND(P200='G-1 All Habitats'!$X$3,AC200&gt;0),H200-S200-T200))))))))</f>
        <v/>
      </c>
      <c r="X200" s="545" t="str">
        <f>IFERROR(IF(H200="","",IF(H200-S200-T200=0&lt;0,"Error in Areas ▲",IF(S200+T200&gt;H200,"Error in Areas ▲",IF(AND(P200='G-1 All Habitats'!$X$3,Y200="Yes"),"Alternative Compensation",IF(W200=0,0,IF(P200='G-1 All Habitats'!$X$3,"Unacceptable Loss",Q200-U200-V200)))))),"Check Data ⚠")</f>
        <v/>
      </c>
      <c r="Y200" s="72"/>
      <c r="Z200" s="151"/>
      <c r="AA200" s="152"/>
      <c r="AC200" s="251" t="str">
        <f>IF(P200="","",IF(P200='G-1 All Habitats'!$X$3,H200-S200-T200,"None"))</f>
        <v/>
      </c>
      <c r="AD200" s="252" t="str">
        <f t="shared" si="16"/>
        <v/>
      </c>
      <c r="AF200" s="156" t="str">
        <f t="shared" si="12"/>
        <v/>
      </c>
      <c r="AG200" s="156" t="str">
        <f t="shared" si="13"/>
        <v/>
      </c>
      <c r="AH200" s="156" t="str">
        <f>IF(I200="","",IF(#REF!&gt;0,TRUE,FALSE))</f>
        <v/>
      </c>
      <c r="AI200" s="156">
        <v>190</v>
      </c>
      <c r="AJ200" s="156"/>
      <c r="AK200" s="156" t="str">
        <f t="array" ref="AK200">IFERROR(INDEX($AI$11:$AI$259, MATCH(0, IF(TRUE=$AF$11:$AF$259, COUNTIF($AK$10:$AK199, $AI$11:$AI$259), ""), 0)),"")</f>
        <v/>
      </c>
      <c r="AL200" s="156" t="str">
        <f t="array" ref="AL200">IFERROR(INDEX($AI$11:$AI$259, MATCH(0, IF(TRUE=$AG$11:$AG$259, COUNTIF($AL$10:$AL199, $AI$11:$AI$259), ""), 0)),"")</f>
        <v/>
      </c>
      <c r="AM200" s="156" t="str">
        <f t="array" ref="AM200">IFERROR(INDEX($AI$11:$AI$259, MATCH(0, IF(TRUE=$AH$11:$AH$259, COUNTIF($AM$10:$AM199, $AI$11:$AI$259), ""), 0)),"")</f>
        <v/>
      </c>
      <c r="AQ200" s="31">
        <f t="shared" si="17"/>
        <v>0</v>
      </c>
    </row>
    <row r="201" spans="1:43" x14ac:dyDescent="0.3">
      <c r="A201" s="31" t="str">
        <f>IFERROR(INDEX('G-1 All Habitats'!$AG$3:$AG$15,MATCH(E201,'G-1 All Habitats'!$AF$3:$AF$15,0)),"")</f>
        <v/>
      </c>
      <c r="B201" s="31" t="str">
        <f>IFERROR(INDEX('G-8 Condition Look up'!$I$4:$I$130,MATCH(G201,'G-8 Condition Look up'!$A$4:$A$130,0)),"")</f>
        <v/>
      </c>
      <c r="D201" s="141">
        <v>191</v>
      </c>
      <c r="E201" s="203"/>
      <c r="F201" s="203"/>
      <c r="G201" s="250" t="str">
        <f>IFERROR(INDEX('G-1 All Habitats'!$B$3:$B$129,MATCH(F201,'G-1 All Habitats'!$A$3:$A$129,0)),"")</f>
        <v/>
      </c>
      <c r="H201" s="172"/>
      <c r="I201" s="498" t="str">
        <f>IF(G201="","",VLOOKUP(G201,'G-1 All Habitats'!$B$2:$M$129,10,FALSE))</f>
        <v/>
      </c>
      <c r="J201" s="499" t="str">
        <f>IFERROR(VLOOKUP(I201,'G-1 All Habitats'!$V$3:$W$7,2,FALSE),"")</f>
        <v/>
      </c>
      <c r="K201" s="145"/>
      <c r="L201" s="499" t="str">
        <f>IFERROR(INDEX('G-8 Condition Look up'!$A$3:$H$130,MATCH(G201,'G-8 Condition Look up'!$A$3:$A$130,0),MATCH(K201,'G-8 Condition Look up'!$A$3:$H$3,0)),"")</f>
        <v/>
      </c>
      <c r="M201" s="154"/>
      <c r="N201" s="520" t="str">
        <f>IF(M201="","",IF(VLOOKUP(M201,'G-3 Multipliers'!$L$3:$N$6,2,FALSE)=0,"Spatial Data Missing ⚠",VLOOKUP(M201,'G-3 Multipliers'!$L$3:$N$6,2,FALSE)))</f>
        <v/>
      </c>
      <c r="O201" s="524" t="str">
        <f>IF(M201="","",IF(VLOOKUP(M201,'G-3 Multipliers'!$L$3:$N$6,3,FALSE)=0,"Spatial Data Missing ⚠",VLOOKUP(M201,'G-3 Multipliers'!$L$3:$N$6,3,FALSE)))</f>
        <v/>
      </c>
      <c r="P201" s="506" t="str">
        <f>IFERROR(VLOOKUP(G201,'G-1 All Habitats'!$B$2:$M$129,12,FALSE),"")</f>
        <v/>
      </c>
      <c r="Q201" s="513" t="str">
        <f>IFERROR(IF(P201="","",IF(AND(P201='G-1 All Habitats'!$X$3,T201&gt;0),U201+V201,IF(AND(P201='G-1 All Habitats'!$X$3,S201&gt;0),U201+V201,IF(AND(P201='G-1 All Habitats'!$X$3,AC201&gt;0),"Any Loss Unacceptable",IF(AND(P201='G-1 All Habitats'!$X$3,W201&gt;0),"Any Loss Unacceptable",H201*J201*L201*O201))))),"Check Data ⚠")</f>
        <v/>
      </c>
      <c r="R201" s="50"/>
      <c r="S201" s="71"/>
      <c r="T201" s="72"/>
      <c r="U201" s="511" t="str">
        <f t="shared" si="14"/>
        <v/>
      </c>
      <c r="V201" s="511" t="str">
        <f t="shared" si="15"/>
        <v/>
      </c>
      <c r="W201" s="511" t="str">
        <f>IF(E201="","",IF(H201&lt;S201+T201,"Error in Areas ▲",IF(P201&lt;&gt;'G-1 All Habitats'!$X$3,H201-S201-T201,IF(AND(P201='G-1 All Habitats'!$X$3,Y201="Yes"),"Unacceptable Loss ▲",IF(AND(P201='G-1 All Habitats'!$X$3,Y201="No"),AC201,IF(AND(P201='G-1 All Habitats'!$X$3,Y201=""),AC201,IF(AND(P201='G-1 All Habitats'!$X$3,AC201="None",AC201),IF(AND(P201='G-1 All Habitats'!$X$3,AC201&gt;0),H201-S201-T201))))))))</f>
        <v/>
      </c>
      <c r="X201" s="545" t="str">
        <f>IFERROR(IF(H201="","",IF(H201-S201-T201=0&lt;0,"Error in Areas ▲",IF(S201+T201&gt;H201,"Error in Areas ▲",IF(AND(P201='G-1 All Habitats'!$X$3,Y201="Yes"),"Alternative Compensation",IF(W201=0,0,IF(P201='G-1 All Habitats'!$X$3,"Unacceptable Loss",Q201-U201-V201)))))),"Check Data ⚠")</f>
        <v/>
      </c>
      <c r="Y201" s="72"/>
      <c r="Z201" s="151"/>
      <c r="AA201" s="152"/>
      <c r="AC201" s="251" t="str">
        <f>IF(P201="","",IF(P201='G-1 All Habitats'!$X$3,H201-S201-T201,"None"))</f>
        <v/>
      </c>
      <c r="AD201" s="252" t="str">
        <f t="shared" si="16"/>
        <v/>
      </c>
      <c r="AF201" s="156" t="str">
        <f t="shared" si="12"/>
        <v/>
      </c>
      <c r="AG201" s="156" t="str">
        <f t="shared" si="13"/>
        <v/>
      </c>
      <c r="AH201" s="156" t="str">
        <f>IF(I201="","",IF(#REF!&gt;0,TRUE,FALSE))</f>
        <v/>
      </c>
      <c r="AI201" s="156">
        <v>191</v>
      </c>
      <c r="AJ201" s="156"/>
      <c r="AK201" s="156" t="str">
        <f t="array" ref="AK201">IFERROR(INDEX($AI$11:$AI$259, MATCH(0, IF(TRUE=$AF$11:$AF$259, COUNTIF($AK$10:$AK200, $AI$11:$AI$259), ""), 0)),"")</f>
        <v/>
      </c>
      <c r="AL201" s="156" t="str">
        <f t="array" ref="AL201">IFERROR(INDEX($AI$11:$AI$259, MATCH(0, IF(TRUE=$AG$11:$AG$259, COUNTIF($AL$10:$AL200, $AI$11:$AI$259), ""), 0)),"")</f>
        <v/>
      </c>
      <c r="AM201" s="156" t="str">
        <f t="array" ref="AM201">IFERROR(INDEX($AI$11:$AI$259, MATCH(0, IF(TRUE=$AH$11:$AH$259, COUNTIF($AM$10:$AM200, $AI$11:$AI$259), ""), 0)),"")</f>
        <v/>
      </c>
      <c r="AQ201" s="31">
        <f t="shared" si="17"/>
        <v>0</v>
      </c>
    </row>
    <row r="202" spans="1:43" x14ac:dyDescent="0.3">
      <c r="A202" s="31" t="str">
        <f>IFERROR(INDEX('G-1 All Habitats'!$AG$3:$AG$15,MATCH(E202,'G-1 All Habitats'!$AF$3:$AF$15,0)),"")</f>
        <v/>
      </c>
      <c r="B202" s="31" t="str">
        <f>IFERROR(INDEX('G-8 Condition Look up'!$I$4:$I$130,MATCH(G202,'G-8 Condition Look up'!$A$4:$A$130,0)),"")</f>
        <v/>
      </c>
      <c r="D202" s="141">
        <v>192</v>
      </c>
      <c r="E202" s="203"/>
      <c r="F202" s="203"/>
      <c r="G202" s="250" t="str">
        <f>IFERROR(INDEX('G-1 All Habitats'!$B$3:$B$129,MATCH(F202,'G-1 All Habitats'!$A$3:$A$129,0)),"")</f>
        <v/>
      </c>
      <c r="H202" s="172"/>
      <c r="I202" s="498" t="str">
        <f>IF(G202="","",VLOOKUP(G202,'G-1 All Habitats'!$B$2:$M$129,10,FALSE))</f>
        <v/>
      </c>
      <c r="J202" s="499" t="str">
        <f>IFERROR(VLOOKUP(I202,'G-1 All Habitats'!$V$3:$W$7,2,FALSE),"")</f>
        <v/>
      </c>
      <c r="K202" s="145"/>
      <c r="L202" s="499" t="str">
        <f>IFERROR(INDEX('G-8 Condition Look up'!$A$3:$H$130,MATCH(G202,'G-8 Condition Look up'!$A$3:$A$130,0),MATCH(K202,'G-8 Condition Look up'!$A$3:$H$3,0)),"")</f>
        <v/>
      </c>
      <c r="M202" s="154"/>
      <c r="N202" s="520" t="str">
        <f>IF(M202="","",IF(VLOOKUP(M202,'G-3 Multipliers'!$L$3:$N$6,2,FALSE)=0,"Spatial Data Missing ⚠",VLOOKUP(M202,'G-3 Multipliers'!$L$3:$N$6,2,FALSE)))</f>
        <v/>
      </c>
      <c r="O202" s="524" t="str">
        <f>IF(M202="","",IF(VLOOKUP(M202,'G-3 Multipliers'!$L$3:$N$6,3,FALSE)=0,"Spatial Data Missing ⚠",VLOOKUP(M202,'G-3 Multipliers'!$L$3:$N$6,3,FALSE)))</f>
        <v/>
      </c>
      <c r="P202" s="506" t="str">
        <f>IFERROR(VLOOKUP(G202,'G-1 All Habitats'!$B$2:$M$129,12,FALSE),"")</f>
        <v/>
      </c>
      <c r="Q202" s="513" t="str">
        <f>IFERROR(IF(P202="","",IF(AND(P202='G-1 All Habitats'!$X$3,T202&gt;0),U202+V202,IF(AND(P202='G-1 All Habitats'!$X$3,S202&gt;0),U202+V202,IF(AND(P202='G-1 All Habitats'!$X$3,AC202&gt;0),"Any Loss Unacceptable",IF(AND(P202='G-1 All Habitats'!$X$3,W202&gt;0),"Any Loss Unacceptable",H202*J202*L202*O202))))),"Check Data ⚠")</f>
        <v/>
      </c>
      <c r="R202" s="50"/>
      <c r="S202" s="71"/>
      <c r="T202" s="72"/>
      <c r="U202" s="511" t="str">
        <f t="shared" si="14"/>
        <v/>
      </c>
      <c r="V202" s="511" t="str">
        <f t="shared" si="15"/>
        <v/>
      </c>
      <c r="W202" s="511" t="str">
        <f>IF(E202="","",IF(H202&lt;S202+T202,"Error in Areas ▲",IF(P202&lt;&gt;'G-1 All Habitats'!$X$3,H202-S202-T202,IF(AND(P202='G-1 All Habitats'!$X$3,Y202="Yes"),"Unacceptable Loss ▲",IF(AND(P202='G-1 All Habitats'!$X$3,Y202="No"),AC202,IF(AND(P202='G-1 All Habitats'!$X$3,Y202=""),AC202,IF(AND(P202='G-1 All Habitats'!$X$3,AC202="None",AC202),IF(AND(P202='G-1 All Habitats'!$X$3,AC202&gt;0),H202-S202-T202))))))))</f>
        <v/>
      </c>
      <c r="X202" s="545" t="str">
        <f>IFERROR(IF(H202="","",IF(H202-S202-T202=0&lt;0,"Error in Areas ▲",IF(S202+T202&gt;H202,"Error in Areas ▲",IF(AND(P202='G-1 All Habitats'!$X$3,Y202="Yes"),"Alternative Compensation",IF(W202=0,0,IF(P202='G-1 All Habitats'!$X$3,"Unacceptable Loss",Q202-U202-V202)))))),"Check Data ⚠")</f>
        <v/>
      </c>
      <c r="Y202" s="72"/>
      <c r="Z202" s="151"/>
      <c r="AA202" s="152"/>
      <c r="AC202" s="251" t="str">
        <f>IF(P202="","",IF(P202='G-1 All Habitats'!$X$3,H202-S202-T202,"None"))</f>
        <v/>
      </c>
      <c r="AD202" s="252" t="str">
        <f t="shared" si="16"/>
        <v/>
      </c>
      <c r="AF202" s="156" t="str">
        <f t="shared" si="12"/>
        <v/>
      </c>
      <c r="AG202" s="156" t="str">
        <f t="shared" si="13"/>
        <v/>
      </c>
      <c r="AH202" s="156" t="str">
        <f>IF(I202="","",IF(#REF!&gt;0,TRUE,FALSE))</f>
        <v/>
      </c>
      <c r="AI202" s="156">
        <v>192</v>
      </c>
      <c r="AJ202" s="156"/>
      <c r="AK202" s="156" t="str">
        <f t="array" ref="AK202">IFERROR(INDEX($AI$11:$AI$259, MATCH(0, IF(TRUE=$AF$11:$AF$259, COUNTIF($AK$10:$AK201, $AI$11:$AI$259), ""), 0)),"")</f>
        <v/>
      </c>
      <c r="AL202" s="156" t="str">
        <f t="array" ref="AL202">IFERROR(INDEX($AI$11:$AI$259, MATCH(0, IF(TRUE=$AG$11:$AG$259, COUNTIF($AL$10:$AL201, $AI$11:$AI$259), ""), 0)),"")</f>
        <v/>
      </c>
      <c r="AM202" s="156" t="str">
        <f t="array" ref="AM202">IFERROR(INDEX($AI$11:$AI$259, MATCH(0, IF(TRUE=$AH$11:$AH$259, COUNTIF($AM$10:$AM201, $AI$11:$AI$259), ""), 0)),"")</f>
        <v/>
      </c>
      <c r="AQ202" s="31">
        <f t="shared" si="17"/>
        <v>0</v>
      </c>
    </row>
    <row r="203" spans="1:43" x14ac:dyDescent="0.3">
      <c r="A203" s="31" t="str">
        <f>IFERROR(INDEX('G-1 All Habitats'!$AG$3:$AG$15,MATCH(E203,'G-1 All Habitats'!$AF$3:$AF$15,0)),"")</f>
        <v/>
      </c>
      <c r="B203" s="31" t="str">
        <f>IFERROR(INDEX('G-8 Condition Look up'!$I$4:$I$130,MATCH(G203,'G-8 Condition Look up'!$A$4:$A$130,0)),"")</f>
        <v/>
      </c>
      <c r="D203" s="141">
        <v>193</v>
      </c>
      <c r="E203" s="203"/>
      <c r="F203" s="203"/>
      <c r="G203" s="250" t="str">
        <f>IFERROR(INDEX('G-1 All Habitats'!$B$3:$B$129,MATCH(F203,'G-1 All Habitats'!$A$3:$A$129,0)),"")</f>
        <v/>
      </c>
      <c r="H203" s="172"/>
      <c r="I203" s="498" t="str">
        <f>IF(G203="","",VLOOKUP(G203,'G-1 All Habitats'!$B$2:$M$129,10,FALSE))</f>
        <v/>
      </c>
      <c r="J203" s="499" t="str">
        <f>IFERROR(VLOOKUP(I203,'G-1 All Habitats'!$V$3:$W$7,2,FALSE),"")</f>
        <v/>
      </c>
      <c r="K203" s="145"/>
      <c r="L203" s="499" t="str">
        <f>IFERROR(INDEX('G-8 Condition Look up'!$A$3:$H$130,MATCH(G203,'G-8 Condition Look up'!$A$3:$A$130,0),MATCH(K203,'G-8 Condition Look up'!$A$3:$H$3,0)),"")</f>
        <v/>
      </c>
      <c r="M203" s="154"/>
      <c r="N203" s="520" t="str">
        <f>IF(M203="","",IF(VLOOKUP(M203,'G-3 Multipliers'!$L$3:$N$6,2,FALSE)=0,"Spatial Data Missing ⚠",VLOOKUP(M203,'G-3 Multipliers'!$L$3:$N$6,2,FALSE)))</f>
        <v/>
      </c>
      <c r="O203" s="524" t="str">
        <f>IF(M203="","",IF(VLOOKUP(M203,'G-3 Multipliers'!$L$3:$N$6,3,FALSE)=0,"Spatial Data Missing ⚠",VLOOKUP(M203,'G-3 Multipliers'!$L$3:$N$6,3,FALSE)))</f>
        <v/>
      </c>
      <c r="P203" s="506" t="str">
        <f>IFERROR(VLOOKUP(G203,'G-1 All Habitats'!$B$2:$M$129,12,FALSE),"")</f>
        <v/>
      </c>
      <c r="Q203" s="513" t="str">
        <f>IFERROR(IF(P203="","",IF(AND(P203='G-1 All Habitats'!$X$3,T203&gt;0),U203+V203,IF(AND(P203='G-1 All Habitats'!$X$3,S203&gt;0),U203+V203,IF(AND(P203='G-1 All Habitats'!$X$3,AC203&gt;0),"Any Loss Unacceptable",IF(AND(P203='G-1 All Habitats'!$X$3,W203&gt;0),"Any Loss Unacceptable",H203*J203*L203*O203))))),"Check Data ⚠")</f>
        <v/>
      </c>
      <c r="R203" s="50"/>
      <c r="S203" s="71"/>
      <c r="T203" s="72"/>
      <c r="U203" s="511" t="str">
        <f t="shared" si="14"/>
        <v/>
      </c>
      <c r="V203" s="511" t="str">
        <f t="shared" si="15"/>
        <v/>
      </c>
      <c r="W203" s="511" t="str">
        <f>IF(E203="","",IF(H203&lt;S203+T203,"Error in Areas ▲",IF(P203&lt;&gt;'G-1 All Habitats'!$X$3,H203-S203-T203,IF(AND(P203='G-1 All Habitats'!$X$3,Y203="Yes"),"Unacceptable Loss ▲",IF(AND(P203='G-1 All Habitats'!$X$3,Y203="No"),AC203,IF(AND(P203='G-1 All Habitats'!$X$3,Y203=""),AC203,IF(AND(P203='G-1 All Habitats'!$X$3,AC203="None",AC203),IF(AND(P203='G-1 All Habitats'!$X$3,AC203&gt;0),H203-S203-T203))))))))</f>
        <v/>
      </c>
      <c r="X203" s="545" t="str">
        <f>IFERROR(IF(H203="","",IF(H203-S203-T203=0&lt;0,"Error in Areas ▲",IF(S203+T203&gt;H203,"Error in Areas ▲",IF(AND(P203='G-1 All Habitats'!$X$3,Y203="Yes"),"Alternative Compensation",IF(W203=0,0,IF(P203='G-1 All Habitats'!$X$3,"Unacceptable Loss",Q203-U203-V203)))))),"Check Data ⚠")</f>
        <v/>
      </c>
      <c r="Y203" s="72"/>
      <c r="Z203" s="151"/>
      <c r="AA203" s="152"/>
      <c r="AC203" s="251" t="str">
        <f>IF(P203="","",IF(P203='G-1 All Habitats'!$X$3,H203-S203-T203,"None"))</f>
        <v/>
      </c>
      <c r="AD203" s="252" t="str">
        <f t="shared" si="16"/>
        <v/>
      </c>
      <c r="AF203" s="156" t="str">
        <f t="shared" ref="AF203:AF258" si="18">IF(G203="","",IF(S203&gt;0,TRUE,FALSE))</f>
        <v/>
      </c>
      <c r="AG203" s="156" t="str">
        <f t="shared" ref="AG203:AG258" si="19">IF(H203="","",IF(T203&gt;0,TRUE,FALSE))</f>
        <v/>
      </c>
      <c r="AH203" s="156" t="str">
        <f>IF(I203="","",IF(#REF!&gt;0,TRUE,FALSE))</f>
        <v/>
      </c>
      <c r="AI203" s="156">
        <v>193</v>
      </c>
      <c r="AJ203" s="156"/>
      <c r="AK203" s="156" t="str">
        <f t="array" ref="AK203">IFERROR(INDEX($AI$11:$AI$259, MATCH(0, IF(TRUE=$AF$11:$AF$259, COUNTIF($AK$10:$AK202, $AI$11:$AI$259), ""), 0)),"")</f>
        <v/>
      </c>
      <c r="AL203" s="156" t="str">
        <f t="array" ref="AL203">IFERROR(INDEX($AI$11:$AI$259, MATCH(0, IF(TRUE=$AG$11:$AG$259, COUNTIF($AL$10:$AL202, $AI$11:$AI$259), ""), 0)),"")</f>
        <v/>
      </c>
      <c r="AM203" s="156" t="str">
        <f t="array" ref="AM203">IFERROR(INDEX($AI$11:$AI$259, MATCH(0, IF(TRUE=$AH$11:$AH$259, COUNTIF($AM$10:$AM202, $AI$11:$AI$259), ""), 0)),"")</f>
        <v/>
      </c>
      <c r="AQ203" s="31">
        <f t="shared" si="17"/>
        <v>0</v>
      </c>
    </row>
    <row r="204" spans="1:43" x14ac:dyDescent="0.3">
      <c r="A204" s="31" t="str">
        <f>IFERROR(INDEX('G-1 All Habitats'!$AG$3:$AG$15,MATCH(E204,'G-1 All Habitats'!$AF$3:$AF$15,0)),"")</f>
        <v/>
      </c>
      <c r="B204" s="31" t="str">
        <f>IFERROR(INDEX('G-8 Condition Look up'!$I$4:$I$130,MATCH(G204,'G-8 Condition Look up'!$A$4:$A$130,0)),"")</f>
        <v/>
      </c>
      <c r="D204" s="141">
        <v>194</v>
      </c>
      <c r="E204" s="203"/>
      <c r="F204" s="203"/>
      <c r="G204" s="250" t="str">
        <f>IFERROR(INDEX('G-1 All Habitats'!$B$3:$B$129,MATCH(F204,'G-1 All Habitats'!$A$3:$A$129,0)),"")</f>
        <v/>
      </c>
      <c r="H204" s="172"/>
      <c r="I204" s="498" t="str">
        <f>IF(G204="","",VLOOKUP(G204,'G-1 All Habitats'!$B$2:$M$129,10,FALSE))</f>
        <v/>
      </c>
      <c r="J204" s="499" t="str">
        <f>IFERROR(VLOOKUP(I204,'G-1 All Habitats'!$V$3:$W$7,2,FALSE),"")</f>
        <v/>
      </c>
      <c r="K204" s="145"/>
      <c r="L204" s="499" t="str">
        <f>IFERROR(INDEX('G-8 Condition Look up'!$A$3:$H$130,MATCH(G204,'G-8 Condition Look up'!$A$3:$A$130,0),MATCH(K204,'G-8 Condition Look up'!$A$3:$H$3,0)),"")</f>
        <v/>
      </c>
      <c r="M204" s="154"/>
      <c r="N204" s="520" t="str">
        <f>IF(M204="","",IF(VLOOKUP(M204,'G-3 Multipliers'!$L$3:$N$6,2,FALSE)=0,"Spatial Data Missing ⚠",VLOOKUP(M204,'G-3 Multipliers'!$L$3:$N$6,2,FALSE)))</f>
        <v/>
      </c>
      <c r="O204" s="524" t="str">
        <f>IF(M204="","",IF(VLOOKUP(M204,'G-3 Multipliers'!$L$3:$N$6,3,FALSE)=0,"Spatial Data Missing ⚠",VLOOKUP(M204,'G-3 Multipliers'!$L$3:$N$6,3,FALSE)))</f>
        <v/>
      </c>
      <c r="P204" s="506" t="str">
        <f>IFERROR(VLOOKUP(G204,'G-1 All Habitats'!$B$2:$M$129,12,FALSE),"")</f>
        <v/>
      </c>
      <c r="Q204" s="513" t="str">
        <f>IFERROR(IF(P204="","",IF(AND(P204='G-1 All Habitats'!$X$3,T204&gt;0),U204+V204,IF(AND(P204='G-1 All Habitats'!$X$3,S204&gt;0),U204+V204,IF(AND(P204='G-1 All Habitats'!$X$3,AC204&gt;0),"Any Loss Unacceptable",IF(AND(P204='G-1 All Habitats'!$X$3,W204&gt;0),"Any Loss Unacceptable",H204*J204*L204*O204))))),"Check Data ⚠")</f>
        <v/>
      </c>
      <c r="R204" s="50"/>
      <c r="S204" s="71"/>
      <c r="T204" s="72"/>
      <c r="U204" s="511" t="str">
        <f t="shared" ref="U204:U258" si="20">IFERROR(S204*J204*L204*O204,"")</f>
        <v/>
      </c>
      <c r="V204" s="511" t="str">
        <f t="shared" ref="V204:V258" si="21">IFERROR(T204*J204*L204*O204,"")</f>
        <v/>
      </c>
      <c r="W204" s="511" t="str">
        <f>IF(E204="","",IF(H204&lt;S204+T204,"Error in Areas ▲",IF(P204&lt;&gt;'G-1 All Habitats'!$X$3,H204-S204-T204,IF(AND(P204='G-1 All Habitats'!$X$3,Y204="Yes"),"Unacceptable Loss ▲",IF(AND(P204='G-1 All Habitats'!$X$3,Y204="No"),AC204,IF(AND(P204='G-1 All Habitats'!$X$3,Y204=""),AC204,IF(AND(P204='G-1 All Habitats'!$X$3,AC204="None",AC204),IF(AND(P204='G-1 All Habitats'!$X$3,AC204&gt;0),H204-S204-T204))))))))</f>
        <v/>
      </c>
      <c r="X204" s="545" t="str">
        <f>IFERROR(IF(H204="","",IF(H204-S204-T204=0&lt;0,"Error in Areas ▲",IF(S204+T204&gt;H204,"Error in Areas ▲",IF(AND(P204='G-1 All Habitats'!$X$3,Y204="Yes"),"Alternative Compensation",IF(W204=0,0,IF(P204='G-1 All Habitats'!$X$3,"Unacceptable Loss",Q204-U204-V204)))))),"Check Data ⚠")</f>
        <v/>
      </c>
      <c r="Y204" s="72"/>
      <c r="Z204" s="151"/>
      <c r="AA204" s="152"/>
      <c r="AC204" s="251" t="str">
        <f>IF(P204="","",IF(P204='G-1 All Habitats'!$X$3,H204-S204-T204,"None"))</f>
        <v/>
      </c>
      <c r="AD204" s="252" t="str">
        <f t="shared" ref="AD204:AD258" si="22">IFERROR(AC204*J204*L204*O204,IF(P204="","","None"))</f>
        <v/>
      </c>
      <c r="AF204" s="156" t="str">
        <f t="shared" si="18"/>
        <v/>
      </c>
      <c r="AG204" s="156" t="str">
        <f t="shared" si="19"/>
        <v/>
      </c>
      <c r="AH204" s="156" t="str">
        <f>IF(I204="","",IF(#REF!&gt;0,TRUE,FALSE))</f>
        <v/>
      </c>
      <c r="AI204" s="156">
        <v>194</v>
      </c>
      <c r="AJ204" s="156"/>
      <c r="AK204" s="156" t="str">
        <f t="array" ref="AK204">IFERROR(INDEX($AI$11:$AI$259, MATCH(0, IF(TRUE=$AF$11:$AF$259, COUNTIF($AK$10:$AK203, $AI$11:$AI$259), ""), 0)),"")</f>
        <v/>
      </c>
      <c r="AL204" s="156" t="str">
        <f t="array" ref="AL204">IFERROR(INDEX($AI$11:$AI$259, MATCH(0, IF(TRUE=$AG$11:$AG$259, COUNTIF($AL$10:$AL203, $AI$11:$AI$259), ""), 0)),"")</f>
        <v/>
      </c>
      <c r="AM204" s="156" t="str">
        <f t="array" ref="AM204">IFERROR(INDEX($AI$11:$AI$259, MATCH(0, IF(TRUE=$AH$11:$AH$259, COUNTIF($AM$10:$AM203, $AI$11:$AI$259), ""), 0)),"")</f>
        <v/>
      </c>
      <c r="AQ204" s="31">
        <f t="shared" ref="AQ204:AQ258" si="23">IF(X204="Unacceptable Loss",1,0)</f>
        <v>0</v>
      </c>
    </row>
    <row r="205" spans="1:43" x14ac:dyDescent="0.3">
      <c r="A205" s="31" t="str">
        <f>IFERROR(INDEX('G-1 All Habitats'!$AG$3:$AG$15,MATCH(E205,'G-1 All Habitats'!$AF$3:$AF$15,0)),"")</f>
        <v/>
      </c>
      <c r="B205" s="31" t="str">
        <f>IFERROR(INDEX('G-8 Condition Look up'!$I$4:$I$130,MATCH(G205,'G-8 Condition Look up'!$A$4:$A$130,0)),"")</f>
        <v/>
      </c>
      <c r="D205" s="141">
        <v>195</v>
      </c>
      <c r="E205" s="203"/>
      <c r="F205" s="203"/>
      <c r="G205" s="250" t="str">
        <f>IFERROR(INDEX('G-1 All Habitats'!$B$3:$B$129,MATCH(F205,'G-1 All Habitats'!$A$3:$A$129,0)),"")</f>
        <v/>
      </c>
      <c r="H205" s="172"/>
      <c r="I205" s="498" t="str">
        <f>IF(G205="","",VLOOKUP(G205,'G-1 All Habitats'!$B$2:$M$129,10,FALSE))</f>
        <v/>
      </c>
      <c r="J205" s="499" t="str">
        <f>IFERROR(VLOOKUP(I205,'G-1 All Habitats'!$V$3:$W$7,2,FALSE),"")</f>
        <v/>
      </c>
      <c r="K205" s="145"/>
      <c r="L205" s="499" t="str">
        <f>IFERROR(INDEX('G-8 Condition Look up'!$A$3:$H$130,MATCH(G205,'G-8 Condition Look up'!$A$3:$A$130,0),MATCH(K205,'G-8 Condition Look up'!$A$3:$H$3,0)),"")</f>
        <v/>
      </c>
      <c r="M205" s="154"/>
      <c r="N205" s="520" t="str">
        <f>IF(M205="","",IF(VLOOKUP(M205,'G-3 Multipliers'!$L$3:$N$6,2,FALSE)=0,"Spatial Data Missing ⚠",VLOOKUP(M205,'G-3 Multipliers'!$L$3:$N$6,2,FALSE)))</f>
        <v/>
      </c>
      <c r="O205" s="524" t="str">
        <f>IF(M205="","",IF(VLOOKUP(M205,'G-3 Multipliers'!$L$3:$N$6,3,FALSE)=0,"Spatial Data Missing ⚠",VLOOKUP(M205,'G-3 Multipliers'!$L$3:$N$6,3,FALSE)))</f>
        <v/>
      </c>
      <c r="P205" s="506" t="str">
        <f>IFERROR(VLOOKUP(G205,'G-1 All Habitats'!$B$2:$M$129,12,FALSE),"")</f>
        <v/>
      </c>
      <c r="Q205" s="513" t="str">
        <f>IFERROR(IF(P205="","",IF(AND(P205='G-1 All Habitats'!$X$3,T205&gt;0),U205+V205,IF(AND(P205='G-1 All Habitats'!$X$3,S205&gt;0),U205+V205,IF(AND(P205='G-1 All Habitats'!$X$3,AC205&gt;0),"Any Loss Unacceptable",IF(AND(P205='G-1 All Habitats'!$X$3,W205&gt;0),"Any Loss Unacceptable",H205*J205*L205*O205))))),"Check Data ⚠")</f>
        <v/>
      </c>
      <c r="R205" s="50"/>
      <c r="S205" s="71"/>
      <c r="T205" s="72"/>
      <c r="U205" s="511" t="str">
        <f t="shared" si="20"/>
        <v/>
      </c>
      <c r="V205" s="511" t="str">
        <f t="shared" si="21"/>
        <v/>
      </c>
      <c r="W205" s="511" t="str">
        <f>IF(E205="","",IF(H205&lt;S205+T205,"Error in Areas ▲",IF(P205&lt;&gt;'G-1 All Habitats'!$X$3,H205-S205-T205,IF(AND(P205='G-1 All Habitats'!$X$3,Y205="Yes"),"Unacceptable Loss ▲",IF(AND(P205='G-1 All Habitats'!$X$3,Y205="No"),AC205,IF(AND(P205='G-1 All Habitats'!$X$3,Y205=""),AC205,IF(AND(P205='G-1 All Habitats'!$X$3,AC205="None",AC205),IF(AND(P205='G-1 All Habitats'!$X$3,AC205&gt;0),H205-S205-T205))))))))</f>
        <v/>
      </c>
      <c r="X205" s="545" t="str">
        <f>IFERROR(IF(H205="","",IF(H205-S205-T205=0&lt;0,"Error in Areas ▲",IF(S205+T205&gt;H205,"Error in Areas ▲",IF(AND(P205='G-1 All Habitats'!$X$3,Y205="Yes"),"Alternative Compensation",IF(W205=0,0,IF(P205='G-1 All Habitats'!$X$3,"Unacceptable Loss",Q205-U205-V205)))))),"Check Data ⚠")</f>
        <v/>
      </c>
      <c r="Y205" s="72"/>
      <c r="Z205" s="151"/>
      <c r="AA205" s="152"/>
      <c r="AC205" s="251" t="str">
        <f>IF(P205="","",IF(P205='G-1 All Habitats'!$X$3,H205-S205-T205,"None"))</f>
        <v/>
      </c>
      <c r="AD205" s="252" t="str">
        <f t="shared" si="22"/>
        <v/>
      </c>
      <c r="AF205" s="156" t="str">
        <f t="shared" si="18"/>
        <v/>
      </c>
      <c r="AG205" s="156" t="str">
        <f t="shared" si="19"/>
        <v/>
      </c>
      <c r="AH205" s="156" t="str">
        <f>IF(I205="","",IF(#REF!&gt;0,TRUE,FALSE))</f>
        <v/>
      </c>
      <c r="AI205" s="156">
        <v>195</v>
      </c>
      <c r="AJ205" s="156"/>
      <c r="AK205" s="156" t="str">
        <f t="array" ref="AK205">IFERROR(INDEX($AI$11:$AI$259, MATCH(0, IF(TRUE=$AF$11:$AF$259, COUNTIF($AK$10:$AK204, $AI$11:$AI$259), ""), 0)),"")</f>
        <v/>
      </c>
      <c r="AL205" s="156" t="str">
        <f t="array" ref="AL205">IFERROR(INDEX($AI$11:$AI$259, MATCH(0, IF(TRUE=$AG$11:$AG$259, COUNTIF($AL$10:$AL204, $AI$11:$AI$259), ""), 0)),"")</f>
        <v/>
      </c>
      <c r="AM205" s="156" t="str">
        <f t="array" ref="AM205">IFERROR(INDEX($AI$11:$AI$259, MATCH(0, IF(TRUE=$AH$11:$AH$259, COUNTIF($AM$10:$AM204, $AI$11:$AI$259), ""), 0)),"")</f>
        <v/>
      </c>
      <c r="AQ205" s="31">
        <f t="shared" si="23"/>
        <v>0</v>
      </c>
    </row>
    <row r="206" spans="1:43" x14ac:dyDescent="0.3">
      <c r="A206" s="31" t="str">
        <f>IFERROR(INDEX('G-1 All Habitats'!$AG$3:$AG$15,MATCH(E206,'G-1 All Habitats'!$AF$3:$AF$15,0)),"")</f>
        <v/>
      </c>
      <c r="B206" s="31" t="str">
        <f>IFERROR(INDEX('G-8 Condition Look up'!$I$4:$I$130,MATCH(G206,'G-8 Condition Look up'!$A$4:$A$130,0)),"")</f>
        <v/>
      </c>
      <c r="D206" s="141">
        <v>196</v>
      </c>
      <c r="E206" s="203"/>
      <c r="F206" s="203"/>
      <c r="G206" s="250" t="str">
        <f>IFERROR(INDEX('G-1 All Habitats'!$B$3:$B$129,MATCH(F206,'G-1 All Habitats'!$A$3:$A$129,0)),"")</f>
        <v/>
      </c>
      <c r="H206" s="172"/>
      <c r="I206" s="498" t="str">
        <f>IF(G206="","",VLOOKUP(G206,'G-1 All Habitats'!$B$2:$M$129,10,FALSE))</f>
        <v/>
      </c>
      <c r="J206" s="499" t="str">
        <f>IFERROR(VLOOKUP(I206,'G-1 All Habitats'!$V$3:$W$7,2,FALSE),"")</f>
        <v/>
      </c>
      <c r="K206" s="145"/>
      <c r="L206" s="499" t="str">
        <f>IFERROR(INDEX('G-8 Condition Look up'!$A$3:$H$130,MATCH(G206,'G-8 Condition Look up'!$A$3:$A$130,0),MATCH(K206,'G-8 Condition Look up'!$A$3:$H$3,0)),"")</f>
        <v/>
      </c>
      <c r="M206" s="154"/>
      <c r="N206" s="520" t="str">
        <f>IF(M206="","",IF(VLOOKUP(M206,'G-3 Multipliers'!$L$3:$N$6,2,FALSE)=0,"Spatial Data Missing ⚠",VLOOKUP(M206,'G-3 Multipliers'!$L$3:$N$6,2,FALSE)))</f>
        <v/>
      </c>
      <c r="O206" s="524" t="str">
        <f>IF(M206="","",IF(VLOOKUP(M206,'G-3 Multipliers'!$L$3:$N$6,3,FALSE)=0,"Spatial Data Missing ⚠",VLOOKUP(M206,'G-3 Multipliers'!$L$3:$N$6,3,FALSE)))</f>
        <v/>
      </c>
      <c r="P206" s="506" t="str">
        <f>IFERROR(VLOOKUP(G206,'G-1 All Habitats'!$B$2:$M$129,12,FALSE),"")</f>
        <v/>
      </c>
      <c r="Q206" s="513" t="str">
        <f>IFERROR(IF(P206="","",IF(AND(P206='G-1 All Habitats'!$X$3,T206&gt;0),U206+V206,IF(AND(P206='G-1 All Habitats'!$X$3,S206&gt;0),U206+V206,IF(AND(P206='G-1 All Habitats'!$X$3,AC206&gt;0),"Any Loss Unacceptable",IF(AND(P206='G-1 All Habitats'!$X$3,W206&gt;0),"Any Loss Unacceptable",H206*J206*L206*O206))))),"Check Data ⚠")</f>
        <v/>
      </c>
      <c r="R206" s="50"/>
      <c r="S206" s="71"/>
      <c r="T206" s="72"/>
      <c r="U206" s="511" t="str">
        <f t="shared" si="20"/>
        <v/>
      </c>
      <c r="V206" s="511" t="str">
        <f t="shared" si="21"/>
        <v/>
      </c>
      <c r="W206" s="511" t="str">
        <f>IF(E206="","",IF(H206&lt;S206+T206,"Error in Areas ▲",IF(P206&lt;&gt;'G-1 All Habitats'!$X$3,H206-S206-T206,IF(AND(P206='G-1 All Habitats'!$X$3,Y206="Yes"),"Unacceptable Loss ▲",IF(AND(P206='G-1 All Habitats'!$X$3,Y206="No"),AC206,IF(AND(P206='G-1 All Habitats'!$X$3,Y206=""),AC206,IF(AND(P206='G-1 All Habitats'!$X$3,AC206="None",AC206),IF(AND(P206='G-1 All Habitats'!$X$3,AC206&gt;0),H206-S206-T206))))))))</f>
        <v/>
      </c>
      <c r="X206" s="545" t="str">
        <f>IFERROR(IF(H206="","",IF(H206-S206-T206=0&lt;0,"Error in Areas ▲",IF(S206+T206&gt;H206,"Error in Areas ▲",IF(AND(P206='G-1 All Habitats'!$X$3,Y206="Yes"),"Alternative Compensation",IF(W206=0,0,IF(P206='G-1 All Habitats'!$X$3,"Unacceptable Loss",Q206-U206-V206)))))),"Check Data ⚠")</f>
        <v/>
      </c>
      <c r="Y206" s="72"/>
      <c r="Z206" s="151"/>
      <c r="AA206" s="152"/>
      <c r="AC206" s="251" t="str">
        <f>IF(P206="","",IF(P206='G-1 All Habitats'!$X$3,H206-S206-T206,"None"))</f>
        <v/>
      </c>
      <c r="AD206" s="252" t="str">
        <f t="shared" si="22"/>
        <v/>
      </c>
      <c r="AF206" s="156" t="str">
        <f t="shared" si="18"/>
        <v/>
      </c>
      <c r="AG206" s="156" t="str">
        <f t="shared" si="19"/>
        <v/>
      </c>
      <c r="AH206" s="156" t="str">
        <f>IF(I206="","",IF(#REF!&gt;0,TRUE,FALSE))</f>
        <v/>
      </c>
      <c r="AI206" s="156">
        <v>196</v>
      </c>
      <c r="AJ206" s="156"/>
      <c r="AK206" s="156" t="str">
        <f t="array" ref="AK206">IFERROR(INDEX($AI$11:$AI$259, MATCH(0, IF(TRUE=$AF$11:$AF$259, COUNTIF($AK$10:$AK205, $AI$11:$AI$259), ""), 0)),"")</f>
        <v/>
      </c>
      <c r="AL206" s="156" t="str">
        <f t="array" ref="AL206">IFERROR(INDEX($AI$11:$AI$259, MATCH(0, IF(TRUE=$AG$11:$AG$259, COUNTIF($AL$10:$AL205, $AI$11:$AI$259), ""), 0)),"")</f>
        <v/>
      </c>
      <c r="AM206" s="156" t="str">
        <f t="array" ref="AM206">IFERROR(INDEX($AI$11:$AI$259, MATCH(0, IF(TRUE=$AH$11:$AH$259, COUNTIF($AM$10:$AM205, $AI$11:$AI$259), ""), 0)),"")</f>
        <v/>
      </c>
      <c r="AQ206" s="31">
        <f t="shared" si="23"/>
        <v>0</v>
      </c>
    </row>
    <row r="207" spans="1:43" x14ac:dyDescent="0.3">
      <c r="A207" s="31" t="str">
        <f>IFERROR(INDEX('G-1 All Habitats'!$AG$3:$AG$15,MATCH(E207,'G-1 All Habitats'!$AF$3:$AF$15,0)),"")</f>
        <v/>
      </c>
      <c r="B207" s="31" t="str">
        <f>IFERROR(INDEX('G-8 Condition Look up'!$I$4:$I$130,MATCH(G207,'G-8 Condition Look up'!$A$4:$A$130,0)),"")</f>
        <v/>
      </c>
      <c r="D207" s="141">
        <v>197</v>
      </c>
      <c r="E207" s="203"/>
      <c r="F207" s="203"/>
      <c r="G207" s="250" t="str">
        <f>IFERROR(INDEX('G-1 All Habitats'!$B$3:$B$129,MATCH(F207,'G-1 All Habitats'!$A$3:$A$129,0)),"")</f>
        <v/>
      </c>
      <c r="H207" s="172"/>
      <c r="I207" s="498" t="str">
        <f>IF(G207="","",VLOOKUP(G207,'G-1 All Habitats'!$B$2:$M$129,10,FALSE))</f>
        <v/>
      </c>
      <c r="J207" s="499" t="str">
        <f>IFERROR(VLOOKUP(I207,'G-1 All Habitats'!$V$3:$W$7,2,FALSE),"")</f>
        <v/>
      </c>
      <c r="K207" s="145"/>
      <c r="L207" s="499" t="str">
        <f>IFERROR(INDEX('G-8 Condition Look up'!$A$3:$H$130,MATCH(G207,'G-8 Condition Look up'!$A$3:$A$130,0),MATCH(K207,'G-8 Condition Look up'!$A$3:$H$3,0)),"")</f>
        <v/>
      </c>
      <c r="M207" s="154"/>
      <c r="N207" s="520" t="str">
        <f>IF(M207="","",IF(VLOOKUP(M207,'G-3 Multipliers'!$L$3:$N$6,2,FALSE)=0,"Spatial Data Missing ⚠",VLOOKUP(M207,'G-3 Multipliers'!$L$3:$N$6,2,FALSE)))</f>
        <v/>
      </c>
      <c r="O207" s="524" t="str">
        <f>IF(M207="","",IF(VLOOKUP(M207,'G-3 Multipliers'!$L$3:$N$6,3,FALSE)=0,"Spatial Data Missing ⚠",VLOOKUP(M207,'G-3 Multipliers'!$L$3:$N$6,3,FALSE)))</f>
        <v/>
      </c>
      <c r="P207" s="506" t="str">
        <f>IFERROR(VLOOKUP(G207,'G-1 All Habitats'!$B$2:$M$129,12,FALSE),"")</f>
        <v/>
      </c>
      <c r="Q207" s="513" t="str">
        <f>IFERROR(IF(P207="","",IF(AND(P207='G-1 All Habitats'!$X$3,T207&gt;0),U207+V207,IF(AND(P207='G-1 All Habitats'!$X$3,S207&gt;0),U207+V207,IF(AND(P207='G-1 All Habitats'!$X$3,AC207&gt;0),"Any Loss Unacceptable",IF(AND(P207='G-1 All Habitats'!$X$3,W207&gt;0),"Any Loss Unacceptable",H207*J207*L207*O207))))),"Check Data ⚠")</f>
        <v/>
      </c>
      <c r="R207" s="50"/>
      <c r="S207" s="71"/>
      <c r="T207" s="72"/>
      <c r="U207" s="511" t="str">
        <f t="shared" si="20"/>
        <v/>
      </c>
      <c r="V207" s="511" t="str">
        <f t="shared" si="21"/>
        <v/>
      </c>
      <c r="W207" s="511" t="str">
        <f>IF(E207="","",IF(H207&lt;S207+T207,"Error in Areas ▲",IF(P207&lt;&gt;'G-1 All Habitats'!$X$3,H207-S207-T207,IF(AND(P207='G-1 All Habitats'!$X$3,Y207="Yes"),"Unacceptable Loss ▲",IF(AND(P207='G-1 All Habitats'!$X$3,Y207="No"),AC207,IF(AND(P207='G-1 All Habitats'!$X$3,Y207=""),AC207,IF(AND(P207='G-1 All Habitats'!$X$3,AC207="None",AC207),IF(AND(P207='G-1 All Habitats'!$X$3,AC207&gt;0),H207-S207-T207))))))))</f>
        <v/>
      </c>
      <c r="X207" s="545" t="str">
        <f>IFERROR(IF(H207="","",IF(H207-S207-T207=0&lt;0,"Error in Areas ▲",IF(S207+T207&gt;H207,"Error in Areas ▲",IF(AND(P207='G-1 All Habitats'!$X$3,Y207="Yes"),"Alternative Compensation",IF(W207=0,0,IF(P207='G-1 All Habitats'!$X$3,"Unacceptable Loss",Q207-U207-V207)))))),"Check Data ⚠")</f>
        <v/>
      </c>
      <c r="Y207" s="72"/>
      <c r="Z207" s="151"/>
      <c r="AA207" s="152"/>
      <c r="AC207" s="251" t="str">
        <f>IF(P207="","",IF(P207='G-1 All Habitats'!$X$3,H207-S207-T207,"None"))</f>
        <v/>
      </c>
      <c r="AD207" s="252" t="str">
        <f t="shared" si="22"/>
        <v/>
      </c>
      <c r="AF207" s="156" t="str">
        <f t="shared" si="18"/>
        <v/>
      </c>
      <c r="AG207" s="156" t="str">
        <f t="shared" si="19"/>
        <v/>
      </c>
      <c r="AH207" s="156" t="str">
        <f>IF(I207="","",IF(#REF!&gt;0,TRUE,FALSE))</f>
        <v/>
      </c>
      <c r="AI207" s="156">
        <v>197</v>
      </c>
      <c r="AJ207" s="156"/>
      <c r="AK207" s="156" t="str">
        <f t="array" ref="AK207">IFERROR(INDEX($AI$11:$AI$259, MATCH(0, IF(TRUE=$AF$11:$AF$259, COUNTIF($AK$10:$AK206, $AI$11:$AI$259), ""), 0)),"")</f>
        <v/>
      </c>
      <c r="AL207" s="156" t="str">
        <f t="array" ref="AL207">IFERROR(INDEX($AI$11:$AI$259, MATCH(0, IF(TRUE=$AG$11:$AG$259, COUNTIF($AL$10:$AL206, $AI$11:$AI$259), ""), 0)),"")</f>
        <v/>
      </c>
      <c r="AM207" s="156" t="str">
        <f t="array" ref="AM207">IFERROR(INDEX($AI$11:$AI$259, MATCH(0, IF(TRUE=$AH$11:$AH$259, COUNTIF($AM$10:$AM206, $AI$11:$AI$259), ""), 0)),"")</f>
        <v/>
      </c>
      <c r="AQ207" s="31">
        <f t="shared" si="23"/>
        <v>0</v>
      </c>
    </row>
    <row r="208" spans="1:43" x14ac:dyDescent="0.3">
      <c r="A208" s="31" t="str">
        <f>IFERROR(INDEX('G-1 All Habitats'!$AG$3:$AG$15,MATCH(E208,'G-1 All Habitats'!$AF$3:$AF$15,0)),"")</f>
        <v/>
      </c>
      <c r="B208" s="31" t="str">
        <f>IFERROR(INDEX('G-8 Condition Look up'!$I$4:$I$130,MATCH(G208,'G-8 Condition Look up'!$A$4:$A$130,0)),"")</f>
        <v/>
      </c>
      <c r="D208" s="141">
        <v>198</v>
      </c>
      <c r="E208" s="203"/>
      <c r="F208" s="203"/>
      <c r="G208" s="250" t="str">
        <f>IFERROR(INDEX('G-1 All Habitats'!$B$3:$B$129,MATCH(F208,'G-1 All Habitats'!$A$3:$A$129,0)),"")</f>
        <v/>
      </c>
      <c r="H208" s="172"/>
      <c r="I208" s="498" t="str">
        <f>IF(G208="","",VLOOKUP(G208,'G-1 All Habitats'!$B$2:$M$129,10,FALSE))</f>
        <v/>
      </c>
      <c r="J208" s="499" t="str">
        <f>IFERROR(VLOOKUP(I208,'G-1 All Habitats'!$V$3:$W$7,2,FALSE),"")</f>
        <v/>
      </c>
      <c r="K208" s="145"/>
      <c r="L208" s="499" t="str">
        <f>IFERROR(INDEX('G-8 Condition Look up'!$A$3:$H$130,MATCH(G208,'G-8 Condition Look up'!$A$3:$A$130,0),MATCH(K208,'G-8 Condition Look up'!$A$3:$H$3,0)),"")</f>
        <v/>
      </c>
      <c r="M208" s="154"/>
      <c r="N208" s="520" t="str">
        <f>IF(M208="","",IF(VLOOKUP(M208,'G-3 Multipliers'!$L$3:$N$6,2,FALSE)=0,"Spatial Data Missing ⚠",VLOOKUP(M208,'G-3 Multipliers'!$L$3:$N$6,2,FALSE)))</f>
        <v/>
      </c>
      <c r="O208" s="524" t="str">
        <f>IF(M208="","",IF(VLOOKUP(M208,'G-3 Multipliers'!$L$3:$N$6,3,FALSE)=0,"Spatial Data Missing ⚠",VLOOKUP(M208,'G-3 Multipliers'!$L$3:$N$6,3,FALSE)))</f>
        <v/>
      </c>
      <c r="P208" s="506" t="str">
        <f>IFERROR(VLOOKUP(G208,'G-1 All Habitats'!$B$2:$M$129,12,FALSE),"")</f>
        <v/>
      </c>
      <c r="Q208" s="513" t="str">
        <f>IFERROR(IF(P208="","",IF(AND(P208='G-1 All Habitats'!$X$3,T208&gt;0),U208+V208,IF(AND(P208='G-1 All Habitats'!$X$3,S208&gt;0),U208+V208,IF(AND(P208='G-1 All Habitats'!$X$3,AC208&gt;0),"Any Loss Unacceptable",IF(AND(P208='G-1 All Habitats'!$X$3,W208&gt;0),"Any Loss Unacceptable",H208*J208*L208*O208))))),"Check Data ⚠")</f>
        <v/>
      </c>
      <c r="R208" s="50"/>
      <c r="S208" s="71"/>
      <c r="T208" s="72"/>
      <c r="U208" s="511" t="str">
        <f t="shared" si="20"/>
        <v/>
      </c>
      <c r="V208" s="511" t="str">
        <f t="shared" si="21"/>
        <v/>
      </c>
      <c r="W208" s="511" t="str">
        <f>IF(E208="","",IF(H208&lt;S208+T208,"Error in Areas ▲",IF(P208&lt;&gt;'G-1 All Habitats'!$X$3,H208-S208-T208,IF(AND(P208='G-1 All Habitats'!$X$3,Y208="Yes"),"Unacceptable Loss ▲",IF(AND(P208='G-1 All Habitats'!$X$3,Y208="No"),AC208,IF(AND(P208='G-1 All Habitats'!$X$3,Y208=""),AC208,IF(AND(P208='G-1 All Habitats'!$X$3,AC208="None",AC208),IF(AND(P208='G-1 All Habitats'!$X$3,AC208&gt;0),H208-S208-T208))))))))</f>
        <v/>
      </c>
      <c r="X208" s="545" t="str">
        <f>IFERROR(IF(H208="","",IF(H208-S208-T208=0&lt;0,"Error in Areas ▲",IF(S208+T208&gt;H208,"Error in Areas ▲",IF(AND(P208='G-1 All Habitats'!$X$3,Y208="Yes"),"Alternative Compensation",IF(W208=0,0,IF(P208='G-1 All Habitats'!$X$3,"Unacceptable Loss",Q208-U208-V208)))))),"Check Data ⚠")</f>
        <v/>
      </c>
      <c r="Y208" s="72"/>
      <c r="Z208" s="151"/>
      <c r="AA208" s="152"/>
      <c r="AC208" s="251" t="str">
        <f>IF(P208="","",IF(P208='G-1 All Habitats'!$X$3,H208-S208-T208,"None"))</f>
        <v/>
      </c>
      <c r="AD208" s="252" t="str">
        <f t="shared" si="22"/>
        <v/>
      </c>
      <c r="AF208" s="156" t="str">
        <f t="shared" si="18"/>
        <v/>
      </c>
      <c r="AG208" s="156" t="str">
        <f t="shared" si="19"/>
        <v/>
      </c>
      <c r="AH208" s="156" t="str">
        <f>IF(I208="","",IF(#REF!&gt;0,TRUE,FALSE))</f>
        <v/>
      </c>
      <c r="AI208" s="156">
        <v>198</v>
      </c>
      <c r="AJ208" s="156"/>
      <c r="AK208" s="156" t="str">
        <f t="array" ref="AK208">IFERROR(INDEX($AI$11:$AI$259, MATCH(0, IF(TRUE=$AF$11:$AF$259, COUNTIF($AK$10:$AK207, $AI$11:$AI$259), ""), 0)),"")</f>
        <v/>
      </c>
      <c r="AL208" s="156" t="str">
        <f t="array" ref="AL208">IFERROR(INDEX($AI$11:$AI$259, MATCH(0, IF(TRUE=$AG$11:$AG$259, COUNTIF($AL$10:$AL207, $AI$11:$AI$259), ""), 0)),"")</f>
        <v/>
      </c>
      <c r="AM208" s="156" t="str">
        <f t="array" ref="AM208">IFERROR(INDEX($AI$11:$AI$259, MATCH(0, IF(TRUE=$AH$11:$AH$259, COUNTIF($AM$10:$AM207, $AI$11:$AI$259), ""), 0)),"")</f>
        <v/>
      </c>
      <c r="AQ208" s="31">
        <f t="shared" si="23"/>
        <v>0</v>
      </c>
    </row>
    <row r="209" spans="1:43" x14ac:dyDescent="0.3">
      <c r="A209" s="31" t="str">
        <f>IFERROR(INDEX('G-1 All Habitats'!$AG$3:$AG$15,MATCH(E209,'G-1 All Habitats'!$AF$3:$AF$15,0)),"")</f>
        <v/>
      </c>
      <c r="B209" s="31" t="str">
        <f>IFERROR(INDEX('G-8 Condition Look up'!$I$4:$I$130,MATCH(G209,'G-8 Condition Look up'!$A$4:$A$130,0)),"")</f>
        <v/>
      </c>
      <c r="D209" s="141">
        <v>199</v>
      </c>
      <c r="E209" s="203"/>
      <c r="F209" s="203"/>
      <c r="G209" s="250" t="str">
        <f>IFERROR(INDEX('G-1 All Habitats'!$B$3:$B$129,MATCH(F209,'G-1 All Habitats'!$A$3:$A$129,0)),"")</f>
        <v/>
      </c>
      <c r="H209" s="172"/>
      <c r="I209" s="498" t="str">
        <f>IF(G209="","",VLOOKUP(G209,'G-1 All Habitats'!$B$2:$M$129,10,FALSE))</f>
        <v/>
      </c>
      <c r="J209" s="499" t="str">
        <f>IFERROR(VLOOKUP(I209,'G-1 All Habitats'!$V$3:$W$7,2,FALSE),"")</f>
        <v/>
      </c>
      <c r="K209" s="145"/>
      <c r="L209" s="499" t="str">
        <f>IFERROR(INDEX('G-8 Condition Look up'!$A$3:$H$130,MATCH(G209,'G-8 Condition Look up'!$A$3:$A$130,0),MATCH(K209,'G-8 Condition Look up'!$A$3:$H$3,0)),"")</f>
        <v/>
      </c>
      <c r="M209" s="154"/>
      <c r="N209" s="520" t="str">
        <f>IF(M209="","",IF(VLOOKUP(M209,'G-3 Multipliers'!$L$3:$N$6,2,FALSE)=0,"Spatial Data Missing ⚠",VLOOKUP(M209,'G-3 Multipliers'!$L$3:$N$6,2,FALSE)))</f>
        <v/>
      </c>
      <c r="O209" s="524" t="str">
        <f>IF(M209="","",IF(VLOOKUP(M209,'G-3 Multipliers'!$L$3:$N$6,3,FALSE)=0,"Spatial Data Missing ⚠",VLOOKUP(M209,'G-3 Multipliers'!$L$3:$N$6,3,FALSE)))</f>
        <v/>
      </c>
      <c r="P209" s="506" t="str">
        <f>IFERROR(VLOOKUP(G209,'G-1 All Habitats'!$B$2:$M$129,12,FALSE),"")</f>
        <v/>
      </c>
      <c r="Q209" s="513" t="str">
        <f>IFERROR(IF(P209="","",IF(AND(P209='G-1 All Habitats'!$X$3,T209&gt;0),U209+V209,IF(AND(P209='G-1 All Habitats'!$X$3,S209&gt;0),U209+V209,IF(AND(P209='G-1 All Habitats'!$X$3,AC209&gt;0),"Any Loss Unacceptable",IF(AND(P209='G-1 All Habitats'!$X$3,W209&gt;0),"Any Loss Unacceptable",H209*J209*L209*O209))))),"Check Data ⚠")</f>
        <v/>
      </c>
      <c r="R209" s="50"/>
      <c r="S209" s="71"/>
      <c r="T209" s="72"/>
      <c r="U209" s="511" t="str">
        <f t="shared" si="20"/>
        <v/>
      </c>
      <c r="V209" s="511" t="str">
        <f t="shared" si="21"/>
        <v/>
      </c>
      <c r="W209" s="511" t="str">
        <f>IF(E209="","",IF(H209&lt;S209+T209,"Error in Areas ▲",IF(P209&lt;&gt;'G-1 All Habitats'!$X$3,H209-S209-T209,IF(AND(P209='G-1 All Habitats'!$X$3,Y209="Yes"),"Unacceptable Loss ▲",IF(AND(P209='G-1 All Habitats'!$X$3,Y209="No"),AC209,IF(AND(P209='G-1 All Habitats'!$X$3,Y209=""),AC209,IF(AND(P209='G-1 All Habitats'!$X$3,AC209="None",AC209),IF(AND(P209='G-1 All Habitats'!$X$3,AC209&gt;0),H209-S209-T209))))))))</f>
        <v/>
      </c>
      <c r="X209" s="545" t="str">
        <f>IFERROR(IF(H209="","",IF(H209-S209-T209=0&lt;0,"Error in Areas ▲",IF(S209+T209&gt;H209,"Error in Areas ▲",IF(AND(P209='G-1 All Habitats'!$X$3,Y209="Yes"),"Alternative Compensation",IF(W209=0,0,IF(P209='G-1 All Habitats'!$X$3,"Unacceptable Loss",Q209-U209-V209)))))),"Check Data ⚠")</f>
        <v/>
      </c>
      <c r="Y209" s="72"/>
      <c r="Z209" s="151"/>
      <c r="AA209" s="152"/>
      <c r="AC209" s="251" t="str">
        <f>IF(P209="","",IF(P209='G-1 All Habitats'!$X$3,H209-S209-T209,"None"))</f>
        <v/>
      </c>
      <c r="AD209" s="252" t="str">
        <f t="shared" si="22"/>
        <v/>
      </c>
      <c r="AF209" s="156" t="str">
        <f t="shared" si="18"/>
        <v/>
      </c>
      <c r="AG209" s="156" t="str">
        <f t="shared" si="19"/>
        <v/>
      </c>
      <c r="AH209" s="156" t="str">
        <f>IF(I209="","",IF(#REF!&gt;0,TRUE,FALSE))</f>
        <v/>
      </c>
      <c r="AI209" s="156">
        <v>199</v>
      </c>
      <c r="AJ209" s="156"/>
      <c r="AK209" s="156" t="str">
        <f t="array" ref="AK209">IFERROR(INDEX($AI$11:$AI$259, MATCH(0, IF(TRUE=$AF$11:$AF$259, COUNTIF($AK$10:$AK208, $AI$11:$AI$259), ""), 0)),"")</f>
        <v/>
      </c>
      <c r="AL209" s="156" t="str">
        <f t="array" ref="AL209">IFERROR(INDEX($AI$11:$AI$259, MATCH(0, IF(TRUE=$AG$11:$AG$259, COUNTIF($AL$10:$AL208, $AI$11:$AI$259), ""), 0)),"")</f>
        <v/>
      </c>
      <c r="AM209" s="156" t="str">
        <f t="array" ref="AM209">IFERROR(INDEX($AI$11:$AI$259, MATCH(0, IF(TRUE=$AH$11:$AH$259, COUNTIF($AM$10:$AM208, $AI$11:$AI$259), ""), 0)),"")</f>
        <v/>
      </c>
      <c r="AQ209" s="31">
        <f t="shared" si="23"/>
        <v>0</v>
      </c>
    </row>
    <row r="210" spans="1:43" x14ac:dyDescent="0.3">
      <c r="A210" s="31" t="str">
        <f>IFERROR(INDEX('G-1 All Habitats'!$AG$3:$AG$15,MATCH(E210,'G-1 All Habitats'!$AF$3:$AF$15,0)),"")</f>
        <v/>
      </c>
      <c r="B210" s="31" t="str">
        <f>IFERROR(INDEX('G-8 Condition Look up'!$I$4:$I$130,MATCH(G210,'G-8 Condition Look up'!$A$4:$A$130,0)),"")</f>
        <v/>
      </c>
      <c r="D210" s="141">
        <v>200</v>
      </c>
      <c r="E210" s="203"/>
      <c r="F210" s="203"/>
      <c r="G210" s="250" t="str">
        <f>IFERROR(INDEX('G-1 All Habitats'!$B$3:$B$129,MATCH(F210,'G-1 All Habitats'!$A$3:$A$129,0)),"")</f>
        <v/>
      </c>
      <c r="H210" s="172"/>
      <c r="I210" s="498" t="str">
        <f>IF(G210="","",VLOOKUP(G210,'G-1 All Habitats'!$B$2:$M$129,10,FALSE))</f>
        <v/>
      </c>
      <c r="J210" s="499" t="str">
        <f>IFERROR(VLOOKUP(I210,'G-1 All Habitats'!$V$3:$W$7,2,FALSE),"")</f>
        <v/>
      </c>
      <c r="K210" s="145"/>
      <c r="L210" s="499" t="str">
        <f>IFERROR(INDEX('G-8 Condition Look up'!$A$3:$H$130,MATCH(G210,'G-8 Condition Look up'!$A$3:$A$130,0),MATCH(K210,'G-8 Condition Look up'!$A$3:$H$3,0)),"")</f>
        <v/>
      </c>
      <c r="M210" s="154"/>
      <c r="N210" s="520" t="str">
        <f>IF(M210="","",IF(VLOOKUP(M210,'G-3 Multipliers'!$L$3:$N$6,2,FALSE)=0,"Spatial Data Missing ⚠",VLOOKUP(M210,'G-3 Multipliers'!$L$3:$N$6,2,FALSE)))</f>
        <v/>
      </c>
      <c r="O210" s="524" t="str">
        <f>IF(M210="","",IF(VLOOKUP(M210,'G-3 Multipliers'!$L$3:$N$6,3,FALSE)=0,"Spatial Data Missing ⚠",VLOOKUP(M210,'G-3 Multipliers'!$L$3:$N$6,3,FALSE)))</f>
        <v/>
      </c>
      <c r="P210" s="506" t="str">
        <f>IFERROR(VLOOKUP(G210,'G-1 All Habitats'!$B$2:$M$129,12,FALSE),"")</f>
        <v/>
      </c>
      <c r="Q210" s="513" t="str">
        <f>IFERROR(IF(P210="","",IF(AND(P210='G-1 All Habitats'!$X$3,T210&gt;0),U210+V210,IF(AND(P210='G-1 All Habitats'!$X$3,S210&gt;0),U210+V210,IF(AND(P210='G-1 All Habitats'!$X$3,AC210&gt;0),"Any Loss Unacceptable",IF(AND(P210='G-1 All Habitats'!$X$3,W210&gt;0),"Any Loss Unacceptable",H210*J210*L210*O210))))),"Check Data ⚠")</f>
        <v/>
      </c>
      <c r="R210" s="50"/>
      <c r="S210" s="71"/>
      <c r="T210" s="72"/>
      <c r="U210" s="511" t="str">
        <f t="shared" si="20"/>
        <v/>
      </c>
      <c r="V210" s="511" t="str">
        <f t="shared" si="21"/>
        <v/>
      </c>
      <c r="W210" s="511" t="str">
        <f>IF(E210="","",IF(H210&lt;S210+T210,"Error in Areas ▲",IF(P210&lt;&gt;'G-1 All Habitats'!$X$3,H210-S210-T210,IF(AND(P210='G-1 All Habitats'!$X$3,Y210="Yes"),"Unacceptable Loss ▲",IF(AND(P210='G-1 All Habitats'!$X$3,Y210="No"),AC210,IF(AND(P210='G-1 All Habitats'!$X$3,Y210=""),AC210,IF(AND(P210='G-1 All Habitats'!$X$3,AC210="None",AC210),IF(AND(P210='G-1 All Habitats'!$X$3,AC210&gt;0),H210-S210-T210))))))))</f>
        <v/>
      </c>
      <c r="X210" s="545" t="str">
        <f>IFERROR(IF(H210="","",IF(H210-S210-T210=0&lt;0,"Error in Areas ▲",IF(S210+T210&gt;H210,"Error in Areas ▲",IF(AND(P210='G-1 All Habitats'!$X$3,Y210="Yes"),"Alternative Compensation",IF(W210=0,0,IF(P210='G-1 All Habitats'!$X$3,"Unacceptable Loss",Q210-U210-V210)))))),"Check Data ⚠")</f>
        <v/>
      </c>
      <c r="Y210" s="72"/>
      <c r="Z210" s="151"/>
      <c r="AA210" s="152"/>
      <c r="AC210" s="251" t="str">
        <f>IF(P210="","",IF(P210='G-1 All Habitats'!$X$3,H210-S210-T210,"None"))</f>
        <v/>
      </c>
      <c r="AD210" s="252" t="str">
        <f t="shared" si="22"/>
        <v/>
      </c>
      <c r="AF210" s="156" t="str">
        <f t="shared" si="18"/>
        <v/>
      </c>
      <c r="AG210" s="156" t="str">
        <f t="shared" si="19"/>
        <v/>
      </c>
      <c r="AH210" s="156" t="str">
        <f>IF(I210="","",IF(#REF!&gt;0,TRUE,FALSE))</f>
        <v/>
      </c>
      <c r="AI210" s="156">
        <v>200</v>
      </c>
      <c r="AJ210" s="156"/>
      <c r="AK210" s="156" t="str">
        <f t="array" ref="AK210">IFERROR(INDEX($AI$11:$AI$259, MATCH(0, IF(TRUE=$AF$11:$AF$259, COUNTIF($AK$10:$AK209, $AI$11:$AI$259), ""), 0)),"")</f>
        <v/>
      </c>
      <c r="AL210" s="156" t="str">
        <f t="array" ref="AL210">IFERROR(INDEX($AI$11:$AI$259, MATCH(0, IF(TRUE=$AG$11:$AG$259, COUNTIF($AL$10:$AL209, $AI$11:$AI$259), ""), 0)),"")</f>
        <v/>
      </c>
      <c r="AM210" s="156" t="str">
        <f t="array" ref="AM210">IFERROR(INDEX($AI$11:$AI$259, MATCH(0, IF(TRUE=$AH$11:$AH$259, COUNTIF($AM$10:$AM209, $AI$11:$AI$259), ""), 0)),"")</f>
        <v/>
      </c>
      <c r="AQ210" s="31">
        <f t="shared" si="23"/>
        <v>0</v>
      </c>
    </row>
    <row r="211" spans="1:43" x14ac:dyDescent="0.3">
      <c r="A211" s="31" t="str">
        <f>IFERROR(INDEX('G-1 All Habitats'!$AG$3:$AG$15,MATCH(E211,'G-1 All Habitats'!$AF$3:$AF$15,0)),"")</f>
        <v/>
      </c>
      <c r="B211" s="31" t="str">
        <f>IFERROR(INDEX('G-8 Condition Look up'!$I$4:$I$130,MATCH(G211,'G-8 Condition Look up'!$A$4:$A$130,0)),"")</f>
        <v/>
      </c>
      <c r="D211" s="141">
        <v>201</v>
      </c>
      <c r="E211" s="203"/>
      <c r="F211" s="203"/>
      <c r="G211" s="250" t="str">
        <f>IFERROR(INDEX('G-1 All Habitats'!$B$3:$B$129,MATCH(F211,'G-1 All Habitats'!$A$3:$A$129,0)),"")</f>
        <v/>
      </c>
      <c r="H211" s="172"/>
      <c r="I211" s="498" t="str">
        <f>IF(G211="","",VLOOKUP(G211,'G-1 All Habitats'!$B$2:$M$129,10,FALSE))</f>
        <v/>
      </c>
      <c r="J211" s="499" t="str">
        <f>IFERROR(VLOOKUP(I211,'G-1 All Habitats'!$V$3:$W$7,2,FALSE),"")</f>
        <v/>
      </c>
      <c r="K211" s="145"/>
      <c r="L211" s="499" t="str">
        <f>IFERROR(INDEX('G-8 Condition Look up'!$A$3:$H$130,MATCH(G211,'G-8 Condition Look up'!$A$3:$A$130,0),MATCH(K211,'G-8 Condition Look up'!$A$3:$H$3,0)),"")</f>
        <v/>
      </c>
      <c r="M211" s="154"/>
      <c r="N211" s="520" t="str">
        <f>IF(M211="","",IF(VLOOKUP(M211,'G-3 Multipliers'!$L$3:$N$6,2,FALSE)=0,"Spatial Data Missing ⚠",VLOOKUP(M211,'G-3 Multipliers'!$L$3:$N$6,2,FALSE)))</f>
        <v/>
      </c>
      <c r="O211" s="524" t="str">
        <f>IF(M211="","",IF(VLOOKUP(M211,'G-3 Multipliers'!$L$3:$N$6,3,FALSE)=0,"Spatial Data Missing ⚠",VLOOKUP(M211,'G-3 Multipliers'!$L$3:$N$6,3,FALSE)))</f>
        <v/>
      </c>
      <c r="P211" s="506" t="str">
        <f>IFERROR(VLOOKUP(G211,'G-1 All Habitats'!$B$2:$M$129,12,FALSE),"")</f>
        <v/>
      </c>
      <c r="Q211" s="513" t="str">
        <f>IFERROR(IF(P211="","",IF(AND(P211='G-1 All Habitats'!$X$3,T211&gt;0),U211+V211,IF(AND(P211='G-1 All Habitats'!$X$3,S211&gt;0),U211+V211,IF(AND(P211='G-1 All Habitats'!$X$3,AC211&gt;0),"Any Loss Unacceptable",IF(AND(P211='G-1 All Habitats'!$X$3,W211&gt;0),"Any Loss Unacceptable",H211*J211*L211*O211))))),"Check Data ⚠")</f>
        <v/>
      </c>
      <c r="R211" s="50"/>
      <c r="S211" s="71"/>
      <c r="T211" s="72"/>
      <c r="U211" s="511" t="str">
        <f t="shared" si="20"/>
        <v/>
      </c>
      <c r="V211" s="511" t="str">
        <f t="shared" si="21"/>
        <v/>
      </c>
      <c r="W211" s="511" t="str">
        <f>IF(E211="","",IF(H211&lt;S211+T211,"Error in Areas ▲",IF(P211&lt;&gt;'G-1 All Habitats'!$X$3,H211-S211-T211,IF(AND(P211='G-1 All Habitats'!$X$3,Y211="Yes"),"Unacceptable Loss ▲",IF(AND(P211='G-1 All Habitats'!$X$3,Y211="No"),AC211,IF(AND(P211='G-1 All Habitats'!$X$3,Y211=""),AC211,IF(AND(P211='G-1 All Habitats'!$X$3,AC211="None",AC211),IF(AND(P211='G-1 All Habitats'!$X$3,AC211&gt;0),H211-S211-T211))))))))</f>
        <v/>
      </c>
      <c r="X211" s="545" t="str">
        <f>IFERROR(IF(H211="","",IF(H211-S211-T211=0&lt;0,"Error in Areas ▲",IF(S211+T211&gt;H211,"Error in Areas ▲",IF(AND(P211='G-1 All Habitats'!$X$3,Y211="Yes"),"Alternative Compensation",IF(W211=0,0,IF(P211='G-1 All Habitats'!$X$3,"Unacceptable Loss",Q211-U211-V211)))))),"Check Data ⚠")</f>
        <v/>
      </c>
      <c r="Y211" s="72"/>
      <c r="Z211" s="151"/>
      <c r="AA211" s="152"/>
      <c r="AC211" s="251" t="str">
        <f>IF(P211="","",IF(P211='G-1 All Habitats'!$X$3,H211-S211-T211,"None"))</f>
        <v/>
      </c>
      <c r="AD211" s="252" t="str">
        <f t="shared" si="22"/>
        <v/>
      </c>
      <c r="AF211" s="156" t="str">
        <f t="shared" si="18"/>
        <v/>
      </c>
      <c r="AG211" s="156" t="str">
        <f t="shared" si="19"/>
        <v/>
      </c>
      <c r="AH211" s="156" t="str">
        <f>IF(I211="","",IF(#REF!&gt;0,TRUE,FALSE))</f>
        <v/>
      </c>
      <c r="AI211" s="156">
        <v>201</v>
      </c>
      <c r="AJ211" s="156"/>
      <c r="AK211" s="156" t="str">
        <f t="array" ref="AK211">IFERROR(INDEX($AI$11:$AI$259, MATCH(0, IF(TRUE=$AF$11:$AF$259, COUNTIF($AK$10:$AK210, $AI$11:$AI$259), ""), 0)),"")</f>
        <v/>
      </c>
      <c r="AL211" s="156" t="str">
        <f t="array" ref="AL211">IFERROR(INDEX($AI$11:$AI$259, MATCH(0, IF(TRUE=$AG$11:$AG$259, COUNTIF($AL$10:$AL210, $AI$11:$AI$259), ""), 0)),"")</f>
        <v/>
      </c>
      <c r="AM211" s="156" t="str">
        <f t="array" ref="AM211">IFERROR(INDEX($AI$11:$AI$259, MATCH(0, IF(TRUE=$AH$11:$AH$259, COUNTIF($AM$10:$AM210, $AI$11:$AI$259), ""), 0)),"")</f>
        <v/>
      </c>
      <c r="AQ211" s="31">
        <f t="shared" si="23"/>
        <v>0</v>
      </c>
    </row>
    <row r="212" spans="1:43" x14ac:dyDescent="0.3">
      <c r="A212" s="31" t="str">
        <f>IFERROR(INDEX('G-1 All Habitats'!$AG$3:$AG$15,MATCH(E212,'G-1 All Habitats'!$AF$3:$AF$15,0)),"")</f>
        <v/>
      </c>
      <c r="B212" s="31" t="str">
        <f>IFERROR(INDEX('G-8 Condition Look up'!$I$4:$I$130,MATCH(G212,'G-8 Condition Look up'!$A$4:$A$130,0)),"")</f>
        <v/>
      </c>
      <c r="D212" s="141">
        <v>202</v>
      </c>
      <c r="E212" s="203"/>
      <c r="F212" s="203"/>
      <c r="G212" s="250" t="str">
        <f>IFERROR(INDEX('G-1 All Habitats'!$B$3:$B$129,MATCH(F212,'G-1 All Habitats'!$A$3:$A$129,0)),"")</f>
        <v/>
      </c>
      <c r="H212" s="172"/>
      <c r="I212" s="498" t="str">
        <f>IF(G212="","",VLOOKUP(G212,'G-1 All Habitats'!$B$2:$M$129,10,FALSE))</f>
        <v/>
      </c>
      <c r="J212" s="499" t="str">
        <f>IFERROR(VLOOKUP(I212,'G-1 All Habitats'!$V$3:$W$7,2,FALSE),"")</f>
        <v/>
      </c>
      <c r="K212" s="145"/>
      <c r="L212" s="499" t="str">
        <f>IFERROR(INDEX('G-8 Condition Look up'!$A$3:$H$130,MATCH(G212,'G-8 Condition Look up'!$A$3:$A$130,0),MATCH(K212,'G-8 Condition Look up'!$A$3:$H$3,0)),"")</f>
        <v/>
      </c>
      <c r="M212" s="154"/>
      <c r="N212" s="520" t="str">
        <f>IF(M212="","",IF(VLOOKUP(M212,'G-3 Multipliers'!$L$3:$N$6,2,FALSE)=0,"Spatial Data Missing ⚠",VLOOKUP(M212,'G-3 Multipliers'!$L$3:$N$6,2,FALSE)))</f>
        <v/>
      </c>
      <c r="O212" s="524" t="str">
        <f>IF(M212="","",IF(VLOOKUP(M212,'G-3 Multipliers'!$L$3:$N$6,3,FALSE)=0,"Spatial Data Missing ⚠",VLOOKUP(M212,'G-3 Multipliers'!$L$3:$N$6,3,FALSE)))</f>
        <v/>
      </c>
      <c r="P212" s="506" t="str">
        <f>IFERROR(VLOOKUP(G212,'G-1 All Habitats'!$B$2:$M$129,12,FALSE),"")</f>
        <v/>
      </c>
      <c r="Q212" s="513" t="str">
        <f>IFERROR(IF(P212="","",IF(AND(P212='G-1 All Habitats'!$X$3,T212&gt;0),U212+V212,IF(AND(P212='G-1 All Habitats'!$X$3,S212&gt;0),U212+V212,IF(AND(P212='G-1 All Habitats'!$X$3,AC212&gt;0),"Any Loss Unacceptable",IF(AND(P212='G-1 All Habitats'!$X$3,W212&gt;0),"Any Loss Unacceptable",H212*J212*L212*O212))))),"Check Data ⚠")</f>
        <v/>
      </c>
      <c r="R212" s="50"/>
      <c r="S212" s="71"/>
      <c r="T212" s="72"/>
      <c r="U212" s="511" t="str">
        <f t="shared" si="20"/>
        <v/>
      </c>
      <c r="V212" s="511" t="str">
        <f t="shared" si="21"/>
        <v/>
      </c>
      <c r="W212" s="511" t="str">
        <f>IF(E212="","",IF(H212&lt;S212+T212,"Error in Areas ▲",IF(P212&lt;&gt;'G-1 All Habitats'!$X$3,H212-S212-T212,IF(AND(P212='G-1 All Habitats'!$X$3,Y212="Yes"),"Unacceptable Loss ▲",IF(AND(P212='G-1 All Habitats'!$X$3,Y212="No"),AC212,IF(AND(P212='G-1 All Habitats'!$X$3,Y212=""),AC212,IF(AND(P212='G-1 All Habitats'!$X$3,AC212="None",AC212),IF(AND(P212='G-1 All Habitats'!$X$3,AC212&gt;0),H212-S212-T212))))))))</f>
        <v/>
      </c>
      <c r="X212" s="545" t="str">
        <f>IFERROR(IF(H212="","",IF(H212-S212-T212=0&lt;0,"Error in Areas ▲",IF(S212+T212&gt;H212,"Error in Areas ▲",IF(AND(P212='G-1 All Habitats'!$X$3,Y212="Yes"),"Alternative Compensation",IF(W212=0,0,IF(P212='G-1 All Habitats'!$X$3,"Unacceptable Loss",Q212-U212-V212)))))),"Check Data ⚠")</f>
        <v/>
      </c>
      <c r="Y212" s="72"/>
      <c r="Z212" s="151"/>
      <c r="AA212" s="152"/>
      <c r="AC212" s="251" t="str">
        <f>IF(P212="","",IF(P212='G-1 All Habitats'!$X$3,H212-S212-T212,"None"))</f>
        <v/>
      </c>
      <c r="AD212" s="252" t="str">
        <f t="shared" si="22"/>
        <v/>
      </c>
      <c r="AF212" s="156" t="str">
        <f t="shared" si="18"/>
        <v/>
      </c>
      <c r="AG212" s="156" t="str">
        <f t="shared" si="19"/>
        <v/>
      </c>
      <c r="AH212" s="156" t="str">
        <f>IF(I212="","",IF(#REF!&gt;0,TRUE,FALSE))</f>
        <v/>
      </c>
      <c r="AI212" s="156">
        <v>202</v>
      </c>
      <c r="AJ212" s="156"/>
      <c r="AK212" s="156" t="str">
        <f t="array" ref="AK212">IFERROR(INDEX($AI$11:$AI$259, MATCH(0, IF(TRUE=$AF$11:$AF$259, COUNTIF($AK$10:$AK211, $AI$11:$AI$259), ""), 0)),"")</f>
        <v/>
      </c>
      <c r="AL212" s="156" t="str">
        <f t="array" ref="AL212">IFERROR(INDEX($AI$11:$AI$259, MATCH(0, IF(TRUE=$AG$11:$AG$259, COUNTIF($AL$10:$AL211, $AI$11:$AI$259), ""), 0)),"")</f>
        <v/>
      </c>
      <c r="AM212" s="156" t="str">
        <f t="array" ref="AM212">IFERROR(INDEX($AI$11:$AI$259, MATCH(0, IF(TRUE=$AH$11:$AH$259, COUNTIF($AM$10:$AM211, $AI$11:$AI$259), ""), 0)),"")</f>
        <v/>
      </c>
      <c r="AQ212" s="31">
        <f t="shared" si="23"/>
        <v>0</v>
      </c>
    </row>
    <row r="213" spans="1:43" x14ac:dyDescent="0.3">
      <c r="A213" s="31" t="str">
        <f>IFERROR(INDEX('G-1 All Habitats'!$AG$3:$AG$15,MATCH(E213,'G-1 All Habitats'!$AF$3:$AF$15,0)),"")</f>
        <v/>
      </c>
      <c r="B213" s="31" t="str">
        <f>IFERROR(INDEX('G-8 Condition Look up'!$I$4:$I$130,MATCH(G213,'G-8 Condition Look up'!$A$4:$A$130,0)),"")</f>
        <v/>
      </c>
      <c r="D213" s="141">
        <v>203</v>
      </c>
      <c r="E213" s="203"/>
      <c r="F213" s="203"/>
      <c r="G213" s="250" t="str">
        <f>IFERROR(INDEX('G-1 All Habitats'!$B$3:$B$129,MATCH(F213,'G-1 All Habitats'!$A$3:$A$129,0)),"")</f>
        <v/>
      </c>
      <c r="H213" s="172"/>
      <c r="I213" s="498" t="str">
        <f>IF(G213="","",VLOOKUP(G213,'G-1 All Habitats'!$B$2:$M$129,10,FALSE))</f>
        <v/>
      </c>
      <c r="J213" s="499" t="str">
        <f>IFERROR(VLOOKUP(I213,'G-1 All Habitats'!$V$3:$W$7,2,FALSE),"")</f>
        <v/>
      </c>
      <c r="K213" s="145"/>
      <c r="L213" s="499" t="str">
        <f>IFERROR(INDEX('G-8 Condition Look up'!$A$3:$H$130,MATCH(G213,'G-8 Condition Look up'!$A$3:$A$130,0),MATCH(K213,'G-8 Condition Look up'!$A$3:$H$3,0)),"")</f>
        <v/>
      </c>
      <c r="M213" s="154"/>
      <c r="N213" s="520" t="str">
        <f>IF(M213="","",IF(VLOOKUP(M213,'G-3 Multipliers'!$L$3:$N$6,2,FALSE)=0,"Spatial Data Missing ⚠",VLOOKUP(M213,'G-3 Multipliers'!$L$3:$N$6,2,FALSE)))</f>
        <v/>
      </c>
      <c r="O213" s="524" t="str">
        <f>IF(M213="","",IF(VLOOKUP(M213,'G-3 Multipliers'!$L$3:$N$6,3,FALSE)=0,"Spatial Data Missing ⚠",VLOOKUP(M213,'G-3 Multipliers'!$L$3:$N$6,3,FALSE)))</f>
        <v/>
      </c>
      <c r="P213" s="506" t="str">
        <f>IFERROR(VLOOKUP(G213,'G-1 All Habitats'!$B$2:$M$129,12,FALSE),"")</f>
        <v/>
      </c>
      <c r="Q213" s="513" t="str">
        <f>IFERROR(IF(P213="","",IF(AND(P213='G-1 All Habitats'!$X$3,T213&gt;0),U213+V213,IF(AND(P213='G-1 All Habitats'!$X$3,S213&gt;0),U213+V213,IF(AND(P213='G-1 All Habitats'!$X$3,AC213&gt;0),"Any Loss Unacceptable",IF(AND(P213='G-1 All Habitats'!$X$3,W213&gt;0),"Any Loss Unacceptable",H213*J213*L213*O213))))),"Check Data ⚠")</f>
        <v/>
      </c>
      <c r="R213" s="50"/>
      <c r="S213" s="71"/>
      <c r="T213" s="72"/>
      <c r="U213" s="511" t="str">
        <f t="shared" si="20"/>
        <v/>
      </c>
      <c r="V213" s="511" t="str">
        <f t="shared" si="21"/>
        <v/>
      </c>
      <c r="W213" s="511" t="str">
        <f>IF(E213="","",IF(H213&lt;S213+T213,"Error in Areas ▲",IF(P213&lt;&gt;'G-1 All Habitats'!$X$3,H213-S213-T213,IF(AND(P213='G-1 All Habitats'!$X$3,Y213="Yes"),"Unacceptable Loss ▲",IF(AND(P213='G-1 All Habitats'!$X$3,Y213="No"),AC213,IF(AND(P213='G-1 All Habitats'!$X$3,Y213=""),AC213,IF(AND(P213='G-1 All Habitats'!$X$3,AC213="None",AC213),IF(AND(P213='G-1 All Habitats'!$X$3,AC213&gt;0),H213-S213-T213))))))))</f>
        <v/>
      </c>
      <c r="X213" s="545" t="str">
        <f>IFERROR(IF(H213="","",IF(H213-S213-T213=0&lt;0,"Error in Areas ▲",IF(S213+T213&gt;H213,"Error in Areas ▲",IF(AND(P213='G-1 All Habitats'!$X$3,Y213="Yes"),"Alternative Compensation",IF(W213=0,0,IF(P213='G-1 All Habitats'!$X$3,"Unacceptable Loss",Q213-U213-V213)))))),"Check Data ⚠")</f>
        <v/>
      </c>
      <c r="Y213" s="72"/>
      <c r="Z213" s="151"/>
      <c r="AA213" s="152"/>
      <c r="AC213" s="251" t="str">
        <f>IF(P213="","",IF(P213='G-1 All Habitats'!$X$3,H213-S213-T213,"None"))</f>
        <v/>
      </c>
      <c r="AD213" s="252" t="str">
        <f t="shared" si="22"/>
        <v/>
      </c>
      <c r="AF213" s="156" t="str">
        <f t="shared" si="18"/>
        <v/>
      </c>
      <c r="AG213" s="156" t="str">
        <f t="shared" si="19"/>
        <v/>
      </c>
      <c r="AH213" s="156" t="str">
        <f>IF(I213="","",IF(#REF!&gt;0,TRUE,FALSE))</f>
        <v/>
      </c>
      <c r="AI213" s="156">
        <v>203</v>
      </c>
      <c r="AJ213" s="156"/>
      <c r="AK213" s="156" t="str">
        <f t="array" ref="AK213">IFERROR(INDEX($AI$11:$AI$259, MATCH(0, IF(TRUE=$AF$11:$AF$259, COUNTIF($AK$10:$AK212, $AI$11:$AI$259), ""), 0)),"")</f>
        <v/>
      </c>
      <c r="AL213" s="156" t="str">
        <f t="array" ref="AL213">IFERROR(INDEX($AI$11:$AI$259, MATCH(0, IF(TRUE=$AG$11:$AG$259, COUNTIF($AL$10:$AL212, $AI$11:$AI$259), ""), 0)),"")</f>
        <v/>
      </c>
      <c r="AM213" s="156" t="str">
        <f t="array" ref="AM213">IFERROR(INDEX($AI$11:$AI$259, MATCH(0, IF(TRUE=$AH$11:$AH$259, COUNTIF($AM$10:$AM212, $AI$11:$AI$259), ""), 0)),"")</f>
        <v/>
      </c>
      <c r="AQ213" s="31">
        <f t="shared" si="23"/>
        <v>0</v>
      </c>
    </row>
    <row r="214" spans="1:43" x14ac:dyDescent="0.3">
      <c r="A214" s="31" t="str">
        <f>IFERROR(INDEX('G-1 All Habitats'!$AG$3:$AG$15,MATCH(E214,'G-1 All Habitats'!$AF$3:$AF$15,0)),"")</f>
        <v/>
      </c>
      <c r="B214" s="31" t="str">
        <f>IFERROR(INDEX('G-8 Condition Look up'!$I$4:$I$130,MATCH(G214,'G-8 Condition Look up'!$A$4:$A$130,0)),"")</f>
        <v/>
      </c>
      <c r="D214" s="141">
        <v>204</v>
      </c>
      <c r="E214" s="203"/>
      <c r="F214" s="203"/>
      <c r="G214" s="250" t="str">
        <f>IFERROR(INDEX('G-1 All Habitats'!$B$3:$B$129,MATCH(F214,'G-1 All Habitats'!$A$3:$A$129,0)),"")</f>
        <v/>
      </c>
      <c r="H214" s="172"/>
      <c r="I214" s="498" t="str">
        <f>IF(G214="","",VLOOKUP(G214,'G-1 All Habitats'!$B$2:$M$129,10,FALSE))</f>
        <v/>
      </c>
      <c r="J214" s="499" t="str">
        <f>IFERROR(VLOOKUP(I214,'G-1 All Habitats'!$V$3:$W$7,2,FALSE),"")</f>
        <v/>
      </c>
      <c r="K214" s="145"/>
      <c r="L214" s="499" t="str">
        <f>IFERROR(INDEX('G-8 Condition Look up'!$A$3:$H$130,MATCH(G214,'G-8 Condition Look up'!$A$3:$A$130,0),MATCH(K214,'G-8 Condition Look up'!$A$3:$H$3,0)),"")</f>
        <v/>
      </c>
      <c r="M214" s="154"/>
      <c r="N214" s="520" t="str">
        <f>IF(M214="","",IF(VLOOKUP(M214,'G-3 Multipliers'!$L$3:$N$6,2,FALSE)=0,"Spatial Data Missing ⚠",VLOOKUP(M214,'G-3 Multipliers'!$L$3:$N$6,2,FALSE)))</f>
        <v/>
      </c>
      <c r="O214" s="524" t="str">
        <f>IF(M214="","",IF(VLOOKUP(M214,'G-3 Multipliers'!$L$3:$N$6,3,FALSE)=0,"Spatial Data Missing ⚠",VLOOKUP(M214,'G-3 Multipliers'!$L$3:$N$6,3,FALSE)))</f>
        <v/>
      </c>
      <c r="P214" s="506" t="str">
        <f>IFERROR(VLOOKUP(G214,'G-1 All Habitats'!$B$2:$M$129,12,FALSE),"")</f>
        <v/>
      </c>
      <c r="Q214" s="513" t="str">
        <f>IFERROR(IF(P214="","",IF(AND(P214='G-1 All Habitats'!$X$3,T214&gt;0),U214+V214,IF(AND(P214='G-1 All Habitats'!$X$3,S214&gt;0),U214+V214,IF(AND(P214='G-1 All Habitats'!$X$3,AC214&gt;0),"Any Loss Unacceptable",IF(AND(P214='G-1 All Habitats'!$X$3,W214&gt;0),"Any Loss Unacceptable",H214*J214*L214*O214))))),"Check Data ⚠")</f>
        <v/>
      </c>
      <c r="R214" s="50"/>
      <c r="S214" s="71"/>
      <c r="T214" s="72"/>
      <c r="U214" s="511" t="str">
        <f t="shared" si="20"/>
        <v/>
      </c>
      <c r="V214" s="511" t="str">
        <f t="shared" si="21"/>
        <v/>
      </c>
      <c r="W214" s="511" t="str">
        <f>IF(E214="","",IF(H214&lt;S214+T214,"Error in Areas ▲",IF(P214&lt;&gt;'G-1 All Habitats'!$X$3,H214-S214-T214,IF(AND(P214='G-1 All Habitats'!$X$3,Y214="Yes"),"Unacceptable Loss ▲",IF(AND(P214='G-1 All Habitats'!$X$3,Y214="No"),AC214,IF(AND(P214='G-1 All Habitats'!$X$3,Y214=""),AC214,IF(AND(P214='G-1 All Habitats'!$X$3,AC214="None",AC214),IF(AND(P214='G-1 All Habitats'!$X$3,AC214&gt;0),H214-S214-T214))))))))</f>
        <v/>
      </c>
      <c r="X214" s="545" t="str">
        <f>IFERROR(IF(H214="","",IF(H214-S214-T214=0&lt;0,"Error in Areas ▲",IF(S214+T214&gt;H214,"Error in Areas ▲",IF(AND(P214='G-1 All Habitats'!$X$3,Y214="Yes"),"Alternative Compensation",IF(W214=0,0,IF(P214='G-1 All Habitats'!$X$3,"Unacceptable Loss",Q214-U214-V214)))))),"Check Data ⚠")</f>
        <v/>
      </c>
      <c r="Y214" s="72"/>
      <c r="Z214" s="151"/>
      <c r="AA214" s="152"/>
      <c r="AC214" s="251" t="str">
        <f>IF(P214="","",IF(P214='G-1 All Habitats'!$X$3,H214-S214-T214,"None"))</f>
        <v/>
      </c>
      <c r="AD214" s="252" t="str">
        <f t="shared" si="22"/>
        <v/>
      </c>
      <c r="AF214" s="156" t="str">
        <f t="shared" si="18"/>
        <v/>
      </c>
      <c r="AG214" s="156" t="str">
        <f t="shared" si="19"/>
        <v/>
      </c>
      <c r="AH214" s="156" t="str">
        <f>IF(I214="","",IF(#REF!&gt;0,TRUE,FALSE))</f>
        <v/>
      </c>
      <c r="AI214" s="156">
        <v>204</v>
      </c>
      <c r="AJ214" s="156"/>
      <c r="AK214" s="156" t="str">
        <f t="array" ref="AK214">IFERROR(INDEX($AI$11:$AI$259, MATCH(0, IF(TRUE=$AF$11:$AF$259, COUNTIF($AK$10:$AK213, $AI$11:$AI$259), ""), 0)),"")</f>
        <v/>
      </c>
      <c r="AL214" s="156" t="str">
        <f t="array" ref="AL214">IFERROR(INDEX($AI$11:$AI$259, MATCH(0, IF(TRUE=$AG$11:$AG$259, COUNTIF($AL$10:$AL213, $AI$11:$AI$259), ""), 0)),"")</f>
        <v/>
      </c>
      <c r="AM214" s="156" t="str">
        <f t="array" ref="AM214">IFERROR(INDEX($AI$11:$AI$259, MATCH(0, IF(TRUE=$AH$11:$AH$259, COUNTIF($AM$10:$AM213, $AI$11:$AI$259), ""), 0)),"")</f>
        <v/>
      </c>
      <c r="AQ214" s="31">
        <f t="shared" si="23"/>
        <v>0</v>
      </c>
    </row>
    <row r="215" spans="1:43" x14ac:dyDescent="0.3">
      <c r="A215" s="31" t="str">
        <f>IFERROR(INDEX('G-1 All Habitats'!$AG$3:$AG$15,MATCH(E215,'G-1 All Habitats'!$AF$3:$AF$15,0)),"")</f>
        <v/>
      </c>
      <c r="B215" s="31" t="str">
        <f>IFERROR(INDEX('G-8 Condition Look up'!$I$4:$I$130,MATCH(G215,'G-8 Condition Look up'!$A$4:$A$130,0)),"")</f>
        <v/>
      </c>
      <c r="D215" s="141">
        <v>205</v>
      </c>
      <c r="E215" s="203"/>
      <c r="F215" s="203"/>
      <c r="G215" s="250" t="str">
        <f>IFERROR(INDEX('G-1 All Habitats'!$B$3:$B$129,MATCH(F215,'G-1 All Habitats'!$A$3:$A$129,0)),"")</f>
        <v/>
      </c>
      <c r="H215" s="172"/>
      <c r="I215" s="498" t="str">
        <f>IF(G215="","",VLOOKUP(G215,'G-1 All Habitats'!$B$2:$M$129,10,FALSE))</f>
        <v/>
      </c>
      <c r="J215" s="499" t="str">
        <f>IFERROR(VLOOKUP(I215,'G-1 All Habitats'!$V$3:$W$7,2,FALSE),"")</f>
        <v/>
      </c>
      <c r="K215" s="145"/>
      <c r="L215" s="499" t="str">
        <f>IFERROR(INDEX('G-8 Condition Look up'!$A$3:$H$130,MATCH(G215,'G-8 Condition Look up'!$A$3:$A$130,0),MATCH(K215,'G-8 Condition Look up'!$A$3:$H$3,0)),"")</f>
        <v/>
      </c>
      <c r="M215" s="154"/>
      <c r="N215" s="520" t="str">
        <f>IF(M215="","",IF(VLOOKUP(M215,'G-3 Multipliers'!$L$3:$N$6,2,FALSE)=0,"Spatial Data Missing ⚠",VLOOKUP(M215,'G-3 Multipliers'!$L$3:$N$6,2,FALSE)))</f>
        <v/>
      </c>
      <c r="O215" s="524" t="str">
        <f>IF(M215="","",IF(VLOOKUP(M215,'G-3 Multipliers'!$L$3:$N$6,3,FALSE)=0,"Spatial Data Missing ⚠",VLOOKUP(M215,'G-3 Multipliers'!$L$3:$N$6,3,FALSE)))</f>
        <v/>
      </c>
      <c r="P215" s="506" t="str">
        <f>IFERROR(VLOOKUP(G215,'G-1 All Habitats'!$B$2:$M$129,12,FALSE),"")</f>
        <v/>
      </c>
      <c r="Q215" s="513" t="str">
        <f>IFERROR(IF(P215="","",IF(AND(P215='G-1 All Habitats'!$X$3,T215&gt;0),U215+V215,IF(AND(P215='G-1 All Habitats'!$X$3,S215&gt;0),U215+V215,IF(AND(P215='G-1 All Habitats'!$X$3,AC215&gt;0),"Any Loss Unacceptable",IF(AND(P215='G-1 All Habitats'!$X$3,W215&gt;0),"Any Loss Unacceptable",H215*J215*L215*O215))))),"Check Data ⚠")</f>
        <v/>
      </c>
      <c r="R215" s="50"/>
      <c r="S215" s="71"/>
      <c r="T215" s="72"/>
      <c r="U215" s="511" t="str">
        <f t="shared" si="20"/>
        <v/>
      </c>
      <c r="V215" s="511" t="str">
        <f t="shared" si="21"/>
        <v/>
      </c>
      <c r="W215" s="511" t="str">
        <f>IF(E215="","",IF(H215&lt;S215+T215,"Error in Areas ▲",IF(P215&lt;&gt;'G-1 All Habitats'!$X$3,H215-S215-T215,IF(AND(P215='G-1 All Habitats'!$X$3,Y215="Yes"),"Unacceptable Loss ▲",IF(AND(P215='G-1 All Habitats'!$X$3,Y215="No"),AC215,IF(AND(P215='G-1 All Habitats'!$X$3,Y215=""),AC215,IF(AND(P215='G-1 All Habitats'!$X$3,AC215="None",AC215),IF(AND(P215='G-1 All Habitats'!$X$3,AC215&gt;0),H215-S215-T215))))))))</f>
        <v/>
      </c>
      <c r="X215" s="545" t="str">
        <f>IFERROR(IF(H215="","",IF(H215-S215-T215=0&lt;0,"Error in Areas ▲",IF(S215+T215&gt;H215,"Error in Areas ▲",IF(AND(P215='G-1 All Habitats'!$X$3,Y215="Yes"),"Alternative Compensation",IF(W215=0,0,IF(P215='G-1 All Habitats'!$X$3,"Unacceptable Loss",Q215-U215-V215)))))),"Check Data ⚠")</f>
        <v/>
      </c>
      <c r="Y215" s="72"/>
      <c r="Z215" s="151"/>
      <c r="AA215" s="152"/>
      <c r="AC215" s="251" t="str">
        <f>IF(P215="","",IF(P215='G-1 All Habitats'!$X$3,H215-S215-T215,"None"))</f>
        <v/>
      </c>
      <c r="AD215" s="252" t="str">
        <f t="shared" si="22"/>
        <v/>
      </c>
      <c r="AF215" s="156" t="str">
        <f t="shared" si="18"/>
        <v/>
      </c>
      <c r="AG215" s="156" t="str">
        <f t="shared" si="19"/>
        <v/>
      </c>
      <c r="AH215" s="156" t="str">
        <f>IF(I215="","",IF(#REF!&gt;0,TRUE,FALSE))</f>
        <v/>
      </c>
      <c r="AI215" s="156">
        <v>205</v>
      </c>
      <c r="AJ215" s="156"/>
      <c r="AK215" s="156" t="str">
        <f t="array" ref="AK215">IFERROR(INDEX($AI$11:$AI$259, MATCH(0, IF(TRUE=$AF$11:$AF$259, COUNTIF($AK$10:$AK214, $AI$11:$AI$259), ""), 0)),"")</f>
        <v/>
      </c>
      <c r="AL215" s="156" t="str">
        <f t="array" ref="AL215">IFERROR(INDEX($AI$11:$AI$259, MATCH(0, IF(TRUE=$AG$11:$AG$259, COUNTIF($AL$10:$AL214, $AI$11:$AI$259), ""), 0)),"")</f>
        <v/>
      </c>
      <c r="AM215" s="156" t="str">
        <f t="array" ref="AM215">IFERROR(INDEX($AI$11:$AI$259, MATCH(0, IF(TRUE=$AH$11:$AH$259, COUNTIF($AM$10:$AM214, $AI$11:$AI$259), ""), 0)),"")</f>
        <v/>
      </c>
      <c r="AQ215" s="31">
        <f t="shared" si="23"/>
        <v>0</v>
      </c>
    </row>
    <row r="216" spans="1:43" x14ac:dyDescent="0.3">
      <c r="A216" s="31" t="str">
        <f>IFERROR(INDEX('G-1 All Habitats'!$AG$3:$AG$15,MATCH(E216,'G-1 All Habitats'!$AF$3:$AF$15,0)),"")</f>
        <v/>
      </c>
      <c r="B216" s="31" t="str">
        <f>IFERROR(INDEX('G-8 Condition Look up'!$I$4:$I$130,MATCH(G216,'G-8 Condition Look up'!$A$4:$A$130,0)),"")</f>
        <v/>
      </c>
      <c r="D216" s="141">
        <v>206</v>
      </c>
      <c r="E216" s="203"/>
      <c r="F216" s="203"/>
      <c r="G216" s="250" t="str">
        <f>IFERROR(INDEX('G-1 All Habitats'!$B$3:$B$129,MATCH(F216,'G-1 All Habitats'!$A$3:$A$129,0)),"")</f>
        <v/>
      </c>
      <c r="H216" s="172"/>
      <c r="I216" s="498" t="str">
        <f>IF(G216="","",VLOOKUP(G216,'G-1 All Habitats'!$B$2:$M$129,10,FALSE))</f>
        <v/>
      </c>
      <c r="J216" s="499" t="str">
        <f>IFERROR(VLOOKUP(I216,'G-1 All Habitats'!$V$3:$W$7,2,FALSE),"")</f>
        <v/>
      </c>
      <c r="K216" s="145"/>
      <c r="L216" s="499" t="str">
        <f>IFERROR(INDEX('G-8 Condition Look up'!$A$3:$H$130,MATCH(G216,'G-8 Condition Look up'!$A$3:$A$130,0),MATCH(K216,'G-8 Condition Look up'!$A$3:$H$3,0)),"")</f>
        <v/>
      </c>
      <c r="M216" s="154"/>
      <c r="N216" s="520" t="str">
        <f>IF(M216="","",IF(VLOOKUP(M216,'G-3 Multipliers'!$L$3:$N$6,2,FALSE)=0,"Spatial Data Missing ⚠",VLOOKUP(M216,'G-3 Multipliers'!$L$3:$N$6,2,FALSE)))</f>
        <v/>
      </c>
      <c r="O216" s="524" t="str">
        <f>IF(M216="","",IF(VLOOKUP(M216,'G-3 Multipliers'!$L$3:$N$6,3,FALSE)=0,"Spatial Data Missing ⚠",VLOOKUP(M216,'G-3 Multipliers'!$L$3:$N$6,3,FALSE)))</f>
        <v/>
      </c>
      <c r="P216" s="506" t="str">
        <f>IFERROR(VLOOKUP(G216,'G-1 All Habitats'!$B$2:$M$129,12,FALSE),"")</f>
        <v/>
      </c>
      <c r="Q216" s="513" t="str">
        <f>IFERROR(IF(P216="","",IF(AND(P216='G-1 All Habitats'!$X$3,T216&gt;0),U216+V216,IF(AND(P216='G-1 All Habitats'!$X$3,S216&gt;0),U216+V216,IF(AND(P216='G-1 All Habitats'!$X$3,AC216&gt;0),"Any Loss Unacceptable",IF(AND(P216='G-1 All Habitats'!$X$3,W216&gt;0),"Any Loss Unacceptable",H216*J216*L216*O216))))),"Check Data ⚠")</f>
        <v/>
      </c>
      <c r="R216" s="50"/>
      <c r="S216" s="71"/>
      <c r="T216" s="72"/>
      <c r="U216" s="511" t="str">
        <f t="shared" si="20"/>
        <v/>
      </c>
      <c r="V216" s="511" t="str">
        <f t="shared" si="21"/>
        <v/>
      </c>
      <c r="W216" s="511" t="str">
        <f>IF(E216="","",IF(H216&lt;S216+T216,"Error in Areas ▲",IF(P216&lt;&gt;'G-1 All Habitats'!$X$3,H216-S216-T216,IF(AND(P216='G-1 All Habitats'!$X$3,Y216="Yes"),"Unacceptable Loss ▲",IF(AND(P216='G-1 All Habitats'!$X$3,Y216="No"),AC216,IF(AND(P216='G-1 All Habitats'!$X$3,Y216=""),AC216,IF(AND(P216='G-1 All Habitats'!$X$3,AC216="None",AC216),IF(AND(P216='G-1 All Habitats'!$X$3,AC216&gt;0),H216-S216-T216))))))))</f>
        <v/>
      </c>
      <c r="X216" s="545" t="str">
        <f>IFERROR(IF(H216="","",IF(H216-S216-T216=0&lt;0,"Error in Areas ▲",IF(S216+T216&gt;H216,"Error in Areas ▲",IF(AND(P216='G-1 All Habitats'!$X$3,Y216="Yes"),"Alternative Compensation",IF(W216=0,0,IF(P216='G-1 All Habitats'!$X$3,"Unacceptable Loss",Q216-U216-V216)))))),"Check Data ⚠")</f>
        <v/>
      </c>
      <c r="Y216" s="72"/>
      <c r="Z216" s="151"/>
      <c r="AA216" s="152"/>
      <c r="AC216" s="251" t="str">
        <f>IF(P216="","",IF(P216='G-1 All Habitats'!$X$3,H216-S216-T216,"None"))</f>
        <v/>
      </c>
      <c r="AD216" s="252" t="str">
        <f t="shared" si="22"/>
        <v/>
      </c>
      <c r="AF216" s="156" t="str">
        <f t="shared" si="18"/>
        <v/>
      </c>
      <c r="AG216" s="156" t="str">
        <f t="shared" si="19"/>
        <v/>
      </c>
      <c r="AH216" s="156" t="str">
        <f>IF(I216="","",IF(#REF!&gt;0,TRUE,FALSE))</f>
        <v/>
      </c>
      <c r="AI216" s="156">
        <v>206</v>
      </c>
      <c r="AJ216" s="156"/>
      <c r="AK216" s="156" t="str">
        <f t="array" ref="AK216">IFERROR(INDEX($AI$11:$AI$259, MATCH(0, IF(TRUE=$AF$11:$AF$259, COUNTIF($AK$10:$AK215, $AI$11:$AI$259), ""), 0)),"")</f>
        <v/>
      </c>
      <c r="AL216" s="156" t="str">
        <f t="array" ref="AL216">IFERROR(INDEX($AI$11:$AI$259, MATCH(0, IF(TRUE=$AG$11:$AG$259, COUNTIF($AL$10:$AL215, $AI$11:$AI$259), ""), 0)),"")</f>
        <v/>
      </c>
      <c r="AM216" s="156" t="str">
        <f t="array" ref="AM216">IFERROR(INDEX($AI$11:$AI$259, MATCH(0, IF(TRUE=$AH$11:$AH$259, COUNTIF($AM$10:$AM215, $AI$11:$AI$259), ""), 0)),"")</f>
        <v/>
      </c>
      <c r="AQ216" s="31">
        <f t="shared" si="23"/>
        <v>0</v>
      </c>
    </row>
    <row r="217" spans="1:43" x14ac:dyDescent="0.3">
      <c r="A217" s="31" t="str">
        <f>IFERROR(INDEX('G-1 All Habitats'!$AG$3:$AG$15,MATCH(E217,'G-1 All Habitats'!$AF$3:$AF$15,0)),"")</f>
        <v/>
      </c>
      <c r="B217" s="31" t="str">
        <f>IFERROR(INDEX('G-8 Condition Look up'!$I$4:$I$130,MATCH(G217,'G-8 Condition Look up'!$A$4:$A$130,0)),"")</f>
        <v/>
      </c>
      <c r="D217" s="141">
        <v>207</v>
      </c>
      <c r="E217" s="203"/>
      <c r="F217" s="203"/>
      <c r="G217" s="250" t="str">
        <f>IFERROR(INDEX('G-1 All Habitats'!$B$3:$B$129,MATCH(F217,'G-1 All Habitats'!$A$3:$A$129,0)),"")</f>
        <v/>
      </c>
      <c r="H217" s="172"/>
      <c r="I217" s="498" t="str">
        <f>IF(G217="","",VLOOKUP(G217,'G-1 All Habitats'!$B$2:$M$129,10,FALSE))</f>
        <v/>
      </c>
      <c r="J217" s="499" t="str">
        <f>IFERROR(VLOOKUP(I217,'G-1 All Habitats'!$V$3:$W$7,2,FALSE),"")</f>
        <v/>
      </c>
      <c r="K217" s="145"/>
      <c r="L217" s="499" t="str">
        <f>IFERROR(INDEX('G-8 Condition Look up'!$A$3:$H$130,MATCH(G217,'G-8 Condition Look up'!$A$3:$A$130,0),MATCH(K217,'G-8 Condition Look up'!$A$3:$H$3,0)),"")</f>
        <v/>
      </c>
      <c r="M217" s="154"/>
      <c r="N217" s="520" t="str">
        <f>IF(M217="","",IF(VLOOKUP(M217,'G-3 Multipliers'!$L$3:$N$6,2,FALSE)=0,"Spatial Data Missing ⚠",VLOOKUP(M217,'G-3 Multipliers'!$L$3:$N$6,2,FALSE)))</f>
        <v/>
      </c>
      <c r="O217" s="524" t="str">
        <f>IF(M217="","",IF(VLOOKUP(M217,'G-3 Multipliers'!$L$3:$N$6,3,FALSE)=0,"Spatial Data Missing ⚠",VLOOKUP(M217,'G-3 Multipliers'!$L$3:$N$6,3,FALSE)))</f>
        <v/>
      </c>
      <c r="P217" s="506" t="str">
        <f>IFERROR(VLOOKUP(G217,'G-1 All Habitats'!$B$2:$M$129,12,FALSE),"")</f>
        <v/>
      </c>
      <c r="Q217" s="513" t="str">
        <f>IFERROR(IF(P217="","",IF(AND(P217='G-1 All Habitats'!$X$3,T217&gt;0),U217+V217,IF(AND(P217='G-1 All Habitats'!$X$3,S217&gt;0),U217+V217,IF(AND(P217='G-1 All Habitats'!$X$3,AC217&gt;0),"Any Loss Unacceptable",IF(AND(P217='G-1 All Habitats'!$X$3,W217&gt;0),"Any Loss Unacceptable",H217*J217*L217*O217))))),"Check Data ⚠")</f>
        <v/>
      </c>
      <c r="R217" s="50"/>
      <c r="S217" s="71"/>
      <c r="T217" s="72"/>
      <c r="U217" s="511" t="str">
        <f t="shared" si="20"/>
        <v/>
      </c>
      <c r="V217" s="511" t="str">
        <f t="shared" si="21"/>
        <v/>
      </c>
      <c r="W217" s="511" t="str">
        <f>IF(E217="","",IF(H217&lt;S217+T217,"Error in Areas ▲",IF(P217&lt;&gt;'G-1 All Habitats'!$X$3,H217-S217-T217,IF(AND(P217='G-1 All Habitats'!$X$3,Y217="Yes"),"Unacceptable Loss ▲",IF(AND(P217='G-1 All Habitats'!$X$3,Y217="No"),AC217,IF(AND(P217='G-1 All Habitats'!$X$3,Y217=""),AC217,IF(AND(P217='G-1 All Habitats'!$X$3,AC217="None",AC217),IF(AND(P217='G-1 All Habitats'!$X$3,AC217&gt;0),H217-S217-T217))))))))</f>
        <v/>
      </c>
      <c r="X217" s="545" t="str">
        <f>IFERROR(IF(H217="","",IF(H217-S217-T217=0&lt;0,"Error in Areas ▲",IF(S217+T217&gt;H217,"Error in Areas ▲",IF(AND(P217='G-1 All Habitats'!$X$3,Y217="Yes"),"Alternative Compensation",IF(W217=0,0,IF(P217='G-1 All Habitats'!$X$3,"Unacceptable Loss",Q217-U217-V217)))))),"Check Data ⚠")</f>
        <v/>
      </c>
      <c r="Y217" s="72"/>
      <c r="Z217" s="151"/>
      <c r="AA217" s="152"/>
      <c r="AC217" s="251" t="str">
        <f>IF(P217="","",IF(P217='G-1 All Habitats'!$X$3,H217-S217-T217,"None"))</f>
        <v/>
      </c>
      <c r="AD217" s="252" t="str">
        <f t="shared" si="22"/>
        <v/>
      </c>
      <c r="AF217" s="156" t="str">
        <f t="shared" si="18"/>
        <v/>
      </c>
      <c r="AG217" s="156" t="str">
        <f t="shared" si="19"/>
        <v/>
      </c>
      <c r="AH217" s="156" t="str">
        <f>IF(I217="","",IF(#REF!&gt;0,TRUE,FALSE))</f>
        <v/>
      </c>
      <c r="AI217" s="156">
        <v>207</v>
      </c>
      <c r="AJ217" s="156"/>
      <c r="AK217" s="156" t="str">
        <f t="array" ref="AK217">IFERROR(INDEX($AI$11:$AI$259, MATCH(0, IF(TRUE=$AF$11:$AF$259, COUNTIF($AK$10:$AK216, $AI$11:$AI$259), ""), 0)),"")</f>
        <v/>
      </c>
      <c r="AL217" s="156" t="str">
        <f t="array" ref="AL217">IFERROR(INDEX($AI$11:$AI$259, MATCH(0, IF(TRUE=$AG$11:$AG$259, COUNTIF($AL$10:$AL216, $AI$11:$AI$259), ""), 0)),"")</f>
        <v/>
      </c>
      <c r="AM217" s="156" t="str">
        <f t="array" ref="AM217">IFERROR(INDEX($AI$11:$AI$259, MATCH(0, IF(TRUE=$AH$11:$AH$259, COUNTIF($AM$10:$AM216, $AI$11:$AI$259), ""), 0)),"")</f>
        <v/>
      </c>
      <c r="AQ217" s="31">
        <f t="shared" si="23"/>
        <v>0</v>
      </c>
    </row>
    <row r="218" spans="1:43" x14ac:dyDescent="0.3">
      <c r="A218" s="31" t="str">
        <f>IFERROR(INDEX('G-1 All Habitats'!$AG$3:$AG$15,MATCH(E218,'G-1 All Habitats'!$AF$3:$AF$15,0)),"")</f>
        <v/>
      </c>
      <c r="B218" s="31" t="str">
        <f>IFERROR(INDEX('G-8 Condition Look up'!$I$4:$I$130,MATCH(G218,'G-8 Condition Look up'!$A$4:$A$130,0)),"")</f>
        <v/>
      </c>
      <c r="D218" s="141">
        <v>208</v>
      </c>
      <c r="E218" s="203"/>
      <c r="F218" s="203"/>
      <c r="G218" s="250" t="str">
        <f>IFERROR(INDEX('G-1 All Habitats'!$B$3:$B$129,MATCH(F218,'G-1 All Habitats'!$A$3:$A$129,0)),"")</f>
        <v/>
      </c>
      <c r="H218" s="172"/>
      <c r="I218" s="498" t="str">
        <f>IF(G218="","",VLOOKUP(G218,'G-1 All Habitats'!$B$2:$M$129,10,FALSE))</f>
        <v/>
      </c>
      <c r="J218" s="499" t="str">
        <f>IFERROR(VLOOKUP(I218,'G-1 All Habitats'!$V$3:$W$7,2,FALSE),"")</f>
        <v/>
      </c>
      <c r="K218" s="145"/>
      <c r="L218" s="499" t="str">
        <f>IFERROR(INDEX('G-8 Condition Look up'!$A$3:$H$130,MATCH(G218,'G-8 Condition Look up'!$A$3:$A$130,0),MATCH(K218,'G-8 Condition Look up'!$A$3:$H$3,0)),"")</f>
        <v/>
      </c>
      <c r="M218" s="154"/>
      <c r="N218" s="520" t="str">
        <f>IF(M218="","",IF(VLOOKUP(M218,'G-3 Multipliers'!$L$3:$N$6,2,FALSE)=0,"Spatial Data Missing ⚠",VLOOKUP(M218,'G-3 Multipliers'!$L$3:$N$6,2,FALSE)))</f>
        <v/>
      </c>
      <c r="O218" s="524" t="str">
        <f>IF(M218="","",IF(VLOOKUP(M218,'G-3 Multipliers'!$L$3:$N$6,3,FALSE)=0,"Spatial Data Missing ⚠",VLOOKUP(M218,'G-3 Multipliers'!$L$3:$N$6,3,FALSE)))</f>
        <v/>
      </c>
      <c r="P218" s="506" t="str">
        <f>IFERROR(VLOOKUP(G218,'G-1 All Habitats'!$B$2:$M$129,12,FALSE),"")</f>
        <v/>
      </c>
      <c r="Q218" s="513" t="str">
        <f>IFERROR(IF(P218="","",IF(AND(P218='G-1 All Habitats'!$X$3,T218&gt;0),U218+V218,IF(AND(P218='G-1 All Habitats'!$X$3,S218&gt;0),U218+V218,IF(AND(P218='G-1 All Habitats'!$X$3,AC218&gt;0),"Any Loss Unacceptable",IF(AND(P218='G-1 All Habitats'!$X$3,W218&gt;0),"Any Loss Unacceptable",H218*J218*L218*O218))))),"Check Data ⚠")</f>
        <v/>
      </c>
      <c r="R218" s="50"/>
      <c r="S218" s="71"/>
      <c r="T218" s="72"/>
      <c r="U218" s="511" t="str">
        <f t="shared" si="20"/>
        <v/>
      </c>
      <c r="V218" s="511" t="str">
        <f t="shared" si="21"/>
        <v/>
      </c>
      <c r="W218" s="511" t="str">
        <f>IF(E218="","",IF(H218&lt;S218+T218,"Error in Areas ▲",IF(P218&lt;&gt;'G-1 All Habitats'!$X$3,H218-S218-T218,IF(AND(P218='G-1 All Habitats'!$X$3,Y218="Yes"),"Unacceptable Loss ▲",IF(AND(P218='G-1 All Habitats'!$X$3,Y218="No"),AC218,IF(AND(P218='G-1 All Habitats'!$X$3,Y218=""),AC218,IF(AND(P218='G-1 All Habitats'!$X$3,AC218="None",AC218),IF(AND(P218='G-1 All Habitats'!$X$3,AC218&gt;0),H218-S218-T218))))))))</f>
        <v/>
      </c>
      <c r="X218" s="545" t="str">
        <f>IFERROR(IF(H218="","",IF(H218-S218-T218=0&lt;0,"Error in Areas ▲",IF(S218+T218&gt;H218,"Error in Areas ▲",IF(AND(P218='G-1 All Habitats'!$X$3,Y218="Yes"),"Alternative Compensation",IF(W218=0,0,IF(P218='G-1 All Habitats'!$X$3,"Unacceptable Loss",Q218-U218-V218)))))),"Check Data ⚠")</f>
        <v/>
      </c>
      <c r="Y218" s="72"/>
      <c r="Z218" s="151"/>
      <c r="AA218" s="152"/>
      <c r="AC218" s="251" t="str">
        <f>IF(P218="","",IF(P218='G-1 All Habitats'!$X$3,H218-S218-T218,"None"))</f>
        <v/>
      </c>
      <c r="AD218" s="252" t="str">
        <f t="shared" si="22"/>
        <v/>
      </c>
      <c r="AF218" s="156" t="str">
        <f t="shared" si="18"/>
        <v/>
      </c>
      <c r="AG218" s="156" t="str">
        <f t="shared" si="19"/>
        <v/>
      </c>
      <c r="AH218" s="156" t="str">
        <f>IF(I218="","",IF(#REF!&gt;0,TRUE,FALSE))</f>
        <v/>
      </c>
      <c r="AI218" s="156">
        <v>208</v>
      </c>
      <c r="AJ218" s="156"/>
      <c r="AK218" s="156" t="str">
        <f t="array" ref="AK218">IFERROR(INDEX($AI$11:$AI$259, MATCH(0, IF(TRUE=$AF$11:$AF$259, COUNTIF($AK$10:$AK217, $AI$11:$AI$259), ""), 0)),"")</f>
        <v/>
      </c>
      <c r="AL218" s="156" t="str">
        <f t="array" ref="AL218">IFERROR(INDEX($AI$11:$AI$259, MATCH(0, IF(TRUE=$AG$11:$AG$259, COUNTIF($AL$10:$AL217, $AI$11:$AI$259), ""), 0)),"")</f>
        <v/>
      </c>
      <c r="AM218" s="156" t="str">
        <f t="array" ref="AM218">IFERROR(INDEX($AI$11:$AI$259, MATCH(0, IF(TRUE=$AH$11:$AH$259, COUNTIF($AM$10:$AM217, $AI$11:$AI$259), ""), 0)),"")</f>
        <v/>
      </c>
      <c r="AQ218" s="31">
        <f t="shared" si="23"/>
        <v>0</v>
      </c>
    </row>
    <row r="219" spans="1:43" x14ac:dyDescent="0.3">
      <c r="A219" s="31" t="str">
        <f>IFERROR(INDEX('G-1 All Habitats'!$AG$3:$AG$15,MATCH(E219,'G-1 All Habitats'!$AF$3:$AF$15,0)),"")</f>
        <v/>
      </c>
      <c r="B219" s="31" t="str">
        <f>IFERROR(INDEX('G-8 Condition Look up'!$I$4:$I$130,MATCH(G219,'G-8 Condition Look up'!$A$4:$A$130,0)),"")</f>
        <v/>
      </c>
      <c r="D219" s="141">
        <v>209</v>
      </c>
      <c r="E219" s="203"/>
      <c r="F219" s="203"/>
      <c r="G219" s="250" t="str">
        <f>IFERROR(INDEX('G-1 All Habitats'!$B$3:$B$129,MATCH(F219,'G-1 All Habitats'!$A$3:$A$129,0)),"")</f>
        <v/>
      </c>
      <c r="H219" s="172"/>
      <c r="I219" s="498" t="str">
        <f>IF(G219="","",VLOOKUP(G219,'G-1 All Habitats'!$B$2:$M$129,10,FALSE))</f>
        <v/>
      </c>
      <c r="J219" s="499" t="str">
        <f>IFERROR(VLOOKUP(I219,'G-1 All Habitats'!$V$3:$W$7,2,FALSE),"")</f>
        <v/>
      </c>
      <c r="K219" s="145"/>
      <c r="L219" s="499" t="str">
        <f>IFERROR(INDEX('G-8 Condition Look up'!$A$3:$H$130,MATCH(G219,'G-8 Condition Look up'!$A$3:$A$130,0),MATCH(K219,'G-8 Condition Look up'!$A$3:$H$3,0)),"")</f>
        <v/>
      </c>
      <c r="M219" s="154"/>
      <c r="N219" s="520" t="str">
        <f>IF(M219="","",IF(VLOOKUP(M219,'G-3 Multipliers'!$L$3:$N$6,2,FALSE)=0,"Spatial Data Missing ⚠",VLOOKUP(M219,'G-3 Multipliers'!$L$3:$N$6,2,FALSE)))</f>
        <v/>
      </c>
      <c r="O219" s="524" t="str">
        <f>IF(M219="","",IF(VLOOKUP(M219,'G-3 Multipliers'!$L$3:$N$6,3,FALSE)=0,"Spatial Data Missing ⚠",VLOOKUP(M219,'G-3 Multipliers'!$L$3:$N$6,3,FALSE)))</f>
        <v/>
      </c>
      <c r="P219" s="506" t="str">
        <f>IFERROR(VLOOKUP(G219,'G-1 All Habitats'!$B$2:$M$129,12,FALSE),"")</f>
        <v/>
      </c>
      <c r="Q219" s="513" t="str">
        <f>IFERROR(IF(P219="","",IF(AND(P219='G-1 All Habitats'!$X$3,T219&gt;0),U219+V219,IF(AND(P219='G-1 All Habitats'!$X$3,S219&gt;0),U219+V219,IF(AND(P219='G-1 All Habitats'!$X$3,AC219&gt;0),"Any Loss Unacceptable",IF(AND(P219='G-1 All Habitats'!$X$3,W219&gt;0),"Any Loss Unacceptable",H219*J219*L219*O219))))),"Check Data ⚠")</f>
        <v/>
      </c>
      <c r="R219" s="50"/>
      <c r="S219" s="71"/>
      <c r="T219" s="72"/>
      <c r="U219" s="511" t="str">
        <f t="shared" si="20"/>
        <v/>
      </c>
      <c r="V219" s="511" t="str">
        <f t="shared" si="21"/>
        <v/>
      </c>
      <c r="W219" s="511" t="str">
        <f>IF(E219="","",IF(H219&lt;S219+T219,"Error in Areas ▲",IF(P219&lt;&gt;'G-1 All Habitats'!$X$3,H219-S219-T219,IF(AND(P219='G-1 All Habitats'!$X$3,Y219="Yes"),"Unacceptable Loss ▲",IF(AND(P219='G-1 All Habitats'!$X$3,Y219="No"),AC219,IF(AND(P219='G-1 All Habitats'!$X$3,Y219=""),AC219,IF(AND(P219='G-1 All Habitats'!$X$3,AC219="None",AC219),IF(AND(P219='G-1 All Habitats'!$X$3,AC219&gt;0),H219-S219-T219))))))))</f>
        <v/>
      </c>
      <c r="X219" s="545" t="str">
        <f>IFERROR(IF(H219="","",IF(H219-S219-T219=0&lt;0,"Error in Areas ▲",IF(S219+T219&gt;H219,"Error in Areas ▲",IF(AND(P219='G-1 All Habitats'!$X$3,Y219="Yes"),"Alternative Compensation",IF(W219=0,0,IF(P219='G-1 All Habitats'!$X$3,"Unacceptable Loss",Q219-U219-V219)))))),"Check Data ⚠")</f>
        <v/>
      </c>
      <c r="Y219" s="72"/>
      <c r="Z219" s="151"/>
      <c r="AA219" s="152"/>
      <c r="AC219" s="251" t="str">
        <f>IF(P219="","",IF(P219='G-1 All Habitats'!$X$3,H219-S219-T219,"None"))</f>
        <v/>
      </c>
      <c r="AD219" s="252" t="str">
        <f t="shared" si="22"/>
        <v/>
      </c>
      <c r="AF219" s="156" t="str">
        <f t="shared" si="18"/>
        <v/>
      </c>
      <c r="AG219" s="156" t="str">
        <f t="shared" si="19"/>
        <v/>
      </c>
      <c r="AH219" s="156" t="str">
        <f>IF(I219="","",IF(#REF!&gt;0,TRUE,FALSE))</f>
        <v/>
      </c>
      <c r="AI219" s="156">
        <v>209</v>
      </c>
      <c r="AJ219" s="156"/>
      <c r="AK219" s="156" t="str">
        <f t="array" ref="AK219">IFERROR(INDEX($AI$11:$AI$259, MATCH(0, IF(TRUE=$AF$11:$AF$259, COUNTIF($AK$10:$AK218, $AI$11:$AI$259), ""), 0)),"")</f>
        <v/>
      </c>
      <c r="AL219" s="156" t="str">
        <f t="array" ref="AL219">IFERROR(INDEX($AI$11:$AI$259, MATCH(0, IF(TRUE=$AG$11:$AG$259, COUNTIF($AL$10:$AL218, $AI$11:$AI$259), ""), 0)),"")</f>
        <v/>
      </c>
      <c r="AM219" s="156" t="str">
        <f t="array" ref="AM219">IFERROR(INDEX($AI$11:$AI$259, MATCH(0, IF(TRUE=$AH$11:$AH$259, COUNTIF($AM$10:$AM218, $AI$11:$AI$259), ""), 0)),"")</f>
        <v/>
      </c>
      <c r="AQ219" s="31">
        <f t="shared" si="23"/>
        <v>0</v>
      </c>
    </row>
    <row r="220" spans="1:43" x14ac:dyDescent="0.3">
      <c r="A220" s="31" t="str">
        <f>IFERROR(INDEX('G-1 All Habitats'!$AG$3:$AG$15,MATCH(E220,'G-1 All Habitats'!$AF$3:$AF$15,0)),"")</f>
        <v/>
      </c>
      <c r="B220" s="31" t="str">
        <f>IFERROR(INDEX('G-8 Condition Look up'!$I$4:$I$130,MATCH(G220,'G-8 Condition Look up'!$A$4:$A$130,0)),"")</f>
        <v/>
      </c>
      <c r="D220" s="141">
        <v>210</v>
      </c>
      <c r="E220" s="203"/>
      <c r="F220" s="203"/>
      <c r="G220" s="250" t="str">
        <f>IFERROR(INDEX('G-1 All Habitats'!$B$3:$B$129,MATCH(F220,'G-1 All Habitats'!$A$3:$A$129,0)),"")</f>
        <v/>
      </c>
      <c r="H220" s="172"/>
      <c r="I220" s="498" t="str">
        <f>IF(G220="","",VLOOKUP(G220,'G-1 All Habitats'!$B$2:$M$129,10,FALSE))</f>
        <v/>
      </c>
      <c r="J220" s="499" t="str">
        <f>IFERROR(VLOOKUP(I220,'G-1 All Habitats'!$V$3:$W$7,2,FALSE),"")</f>
        <v/>
      </c>
      <c r="K220" s="145"/>
      <c r="L220" s="499" t="str">
        <f>IFERROR(INDEX('G-8 Condition Look up'!$A$3:$H$130,MATCH(G220,'G-8 Condition Look up'!$A$3:$A$130,0),MATCH(K220,'G-8 Condition Look up'!$A$3:$H$3,0)),"")</f>
        <v/>
      </c>
      <c r="M220" s="154"/>
      <c r="N220" s="520" t="str">
        <f>IF(M220="","",IF(VLOOKUP(M220,'G-3 Multipliers'!$L$3:$N$6,2,FALSE)=0,"Spatial Data Missing ⚠",VLOOKUP(M220,'G-3 Multipliers'!$L$3:$N$6,2,FALSE)))</f>
        <v/>
      </c>
      <c r="O220" s="524" t="str">
        <f>IF(M220="","",IF(VLOOKUP(M220,'G-3 Multipliers'!$L$3:$N$6,3,FALSE)=0,"Spatial Data Missing ⚠",VLOOKUP(M220,'G-3 Multipliers'!$L$3:$N$6,3,FALSE)))</f>
        <v/>
      </c>
      <c r="P220" s="506" t="str">
        <f>IFERROR(VLOOKUP(G220,'G-1 All Habitats'!$B$2:$M$129,12,FALSE),"")</f>
        <v/>
      </c>
      <c r="Q220" s="513" t="str">
        <f>IFERROR(IF(P220="","",IF(AND(P220='G-1 All Habitats'!$X$3,T220&gt;0),U220+V220,IF(AND(P220='G-1 All Habitats'!$X$3,S220&gt;0),U220+V220,IF(AND(P220='G-1 All Habitats'!$X$3,AC220&gt;0),"Any Loss Unacceptable",IF(AND(P220='G-1 All Habitats'!$X$3,W220&gt;0),"Any Loss Unacceptable",H220*J220*L220*O220))))),"Check Data ⚠")</f>
        <v/>
      </c>
      <c r="R220" s="50"/>
      <c r="S220" s="71"/>
      <c r="T220" s="72"/>
      <c r="U220" s="511" t="str">
        <f t="shared" si="20"/>
        <v/>
      </c>
      <c r="V220" s="511" t="str">
        <f t="shared" si="21"/>
        <v/>
      </c>
      <c r="W220" s="511" t="str">
        <f>IF(E220="","",IF(H220&lt;S220+T220,"Error in Areas ▲",IF(P220&lt;&gt;'G-1 All Habitats'!$X$3,H220-S220-T220,IF(AND(P220='G-1 All Habitats'!$X$3,Y220="Yes"),"Unacceptable Loss ▲",IF(AND(P220='G-1 All Habitats'!$X$3,Y220="No"),AC220,IF(AND(P220='G-1 All Habitats'!$X$3,Y220=""),AC220,IF(AND(P220='G-1 All Habitats'!$X$3,AC220="None",AC220),IF(AND(P220='G-1 All Habitats'!$X$3,AC220&gt;0),H220-S220-T220))))))))</f>
        <v/>
      </c>
      <c r="X220" s="545" t="str">
        <f>IFERROR(IF(H220="","",IF(H220-S220-T220=0&lt;0,"Error in Areas ▲",IF(S220+T220&gt;H220,"Error in Areas ▲",IF(AND(P220='G-1 All Habitats'!$X$3,Y220="Yes"),"Alternative Compensation",IF(W220=0,0,IF(P220='G-1 All Habitats'!$X$3,"Unacceptable Loss",Q220-U220-V220)))))),"Check Data ⚠")</f>
        <v/>
      </c>
      <c r="Y220" s="72"/>
      <c r="Z220" s="151"/>
      <c r="AA220" s="152"/>
      <c r="AC220" s="251" t="str">
        <f>IF(P220="","",IF(P220='G-1 All Habitats'!$X$3,H220-S220-T220,"None"))</f>
        <v/>
      </c>
      <c r="AD220" s="252" t="str">
        <f t="shared" si="22"/>
        <v/>
      </c>
      <c r="AF220" s="156" t="str">
        <f t="shared" si="18"/>
        <v/>
      </c>
      <c r="AG220" s="156" t="str">
        <f t="shared" si="19"/>
        <v/>
      </c>
      <c r="AH220" s="156" t="str">
        <f>IF(I220="","",IF(#REF!&gt;0,TRUE,FALSE))</f>
        <v/>
      </c>
      <c r="AI220" s="156">
        <v>210</v>
      </c>
      <c r="AJ220" s="156"/>
      <c r="AK220" s="156" t="str">
        <f t="array" ref="AK220">IFERROR(INDEX($AI$11:$AI$259, MATCH(0, IF(TRUE=$AF$11:$AF$259, COUNTIF($AK$10:$AK219, $AI$11:$AI$259), ""), 0)),"")</f>
        <v/>
      </c>
      <c r="AL220" s="156" t="str">
        <f t="array" ref="AL220">IFERROR(INDEX($AI$11:$AI$259, MATCH(0, IF(TRUE=$AG$11:$AG$259, COUNTIF($AL$10:$AL219, $AI$11:$AI$259), ""), 0)),"")</f>
        <v/>
      </c>
      <c r="AM220" s="156" t="str">
        <f t="array" ref="AM220">IFERROR(INDEX($AI$11:$AI$259, MATCH(0, IF(TRUE=$AH$11:$AH$259, COUNTIF($AM$10:$AM219, $AI$11:$AI$259), ""), 0)),"")</f>
        <v/>
      </c>
      <c r="AQ220" s="31">
        <f t="shared" si="23"/>
        <v>0</v>
      </c>
    </row>
    <row r="221" spans="1:43" x14ac:dyDescent="0.3">
      <c r="A221" s="31" t="str">
        <f>IFERROR(INDEX('G-1 All Habitats'!$AG$3:$AG$15,MATCH(E221,'G-1 All Habitats'!$AF$3:$AF$15,0)),"")</f>
        <v/>
      </c>
      <c r="B221" s="31" t="str">
        <f>IFERROR(INDEX('G-8 Condition Look up'!$I$4:$I$130,MATCH(G221,'G-8 Condition Look up'!$A$4:$A$130,0)),"")</f>
        <v/>
      </c>
      <c r="D221" s="141">
        <v>211</v>
      </c>
      <c r="E221" s="203"/>
      <c r="F221" s="203"/>
      <c r="G221" s="250" t="str">
        <f>IFERROR(INDEX('G-1 All Habitats'!$B$3:$B$129,MATCH(F221,'G-1 All Habitats'!$A$3:$A$129,0)),"")</f>
        <v/>
      </c>
      <c r="H221" s="172"/>
      <c r="I221" s="498" t="str">
        <f>IF(G221="","",VLOOKUP(G221,'G-1 All Habitats'!$B$2:$M$129,10,FALSE))</f>
        <v/>
      </c>
      <c r="J221" s="499" t="str">
        <f>IFERROR(VLOOKUP(I221,'G-1 All Habitats'!$V$3:$W$7,2,FALSE),"")</f>
        <v/>
      </c>
      <c r="K221" s="145"/>
      <c r="L221" s="499" t="str">
        <f>IFERROR(INDEX('G-8 Condition Look up'!$A$3:$H$130,MATCH(G221,'G-8 Condition Look up'!$A$3:$A$130,0),MATCH(K221,'G-8 Condition Look up'!$A$3:$H$3,0)),"")</f>
        <v/>
      </c>
      <c r="M221" s="154"/>
      <c r="N221" s="520" t="str">
        <f>IF(M221="","",IF(VLOOKUP(M221,'G-3 Multipliers'!$L$3:$N$6,2,FALSE)=0,"Spatial Data Missing ⚠",VLOOKUP(M221,'G-3 Multipliers'!$L$3:$N$6,2,FALSE)))</f>
        <v/>
      </c>
      <c r="O221" s="524" t="str">
        <f>IF(M221="","",IF(VLOOKUP(M221,'G-3 Multipliers'!$L$3:$N$6,3,FALSE)=0,"Spatial Data Missing ⚠",VLOOKUP(M221,'G-3 Multipliers'!$L$3:$N$6,3,FALSE)))</f>
        <v/>
      </c>
      <c r="P221" s="506" t="str">
        <f>IFERROR(VLOOKUP(G221,'G-1 All Habitats'!$B$2:$M$129,12,FALSE),"")</f>
        <v/>
      </c>
      <c r="Q221" s="513" t="str">
        <f>IFERROR(IF(P221="","",IF(AND(P221='G-1 All Habitats'!$X$3,T221&gt;0),U221+V221,IF(AND(P221='G-1 All Habitats'!$X$3,S221&gt;0),U221+V221,IF(AND(P221='G-1 All Habitats'!$X$3,AC221&gt;0),"Any Loss Unacceptable",IF(AND(P221='G-1 All Habitats'!$X$3,W221&gt;0),"Any Loss Unacceptable",H221*J221*L221*O221))))),"Check Data ⚠")</f>
        <v/>
      </c>
      <c r="R221" s="50"/>
      <c r="S221" s="71"/>
      <c r="T221" s="72"/>
      <c r="U221" s="511" t="str">
        <f t="shared" si="20"/>
        <v/>
      </c>
      <c r="V221" s="511" t="str">
        <f t="shared" si="21"/>
        <v/>
      </c>
      <c r="W221" s="511" t="str">
        <f>IF(E221="","",IF(H221&lt;S221+T221,"Error in Areas ▲",IF(P221&lt;&gt;'G-1 All Habitats'!$X$3,H221-S221-T221,IF(AND(P221='G-1 All Habitats'!$X$3,Y221="Yes"),"Unacceptable Loss ▲",IF(AND(P221='G-1 All Habitats'!$X$3,Y221="No"),AC221,IF(AND(P221='G-1 All Habitats'!$X$3,Y221=""),AC221,IF(AND(P221='G-1 All Habitats'!$X$3,AC221="None",AC221),IF(AND(P221='G-1 All Habitats'!$X$3,AC221&gt;0),H221-S221-T221))))))))</f>
        <v/>
      </c>
      <c r="X221" s="545" t="str">
        <f>IFERROR(IF(H221="","",IF(H221-S221-T221=0&lt;0,"Error in Areas ▲",IF(S221+T221&gt;H221,"Error in Areas ▲",IF(AND(P221='G-1 All Habitats'!$X$3,Y221="Yes"),"Alternative Compensation",IF(W221=0,0,IF(P221='G-1 All Habitats'!$X$3,"Unacceptable Loss",Q221-U221-V221)))))),"Check Data ⚠")</f>
        <v/>
      </c>
      <c r="Y221" s="72"/>
      <c r="Z221" s="151"/>
      <c r="AA221" s="152"/>
      <c r="AC221" s="251" t="str">
        <f>IF(P221="","",IF(P221='G-1 All Habitats'!$X$3,H221-S221-T221,"None"))</f>
        <v/>
      </c>
      <c r="AD221" s="252" t="str">
        <f t="shared" si="22"/>
        <v/>
      </c>
      <c r="AF221" s="156" t="str">
        <f t="shared" si="18"/>
        <v/>
      </c>
      <c r="AG221" s="156" t="str">
        <f t="shared" si="19"/>
        <v/>
      </c>
      <c r="AH221" s="156" t="str">
        <f>IF(I221="","",IF(#REF!&gt;0,TRUE,FALSE))</f>
        <v/>
      </c>
      <c r="AI221" s="156">
        <v>211</v>
      </c>
      <c r="AJ221" s="156"/>
      <c r="AK221" s="156" t="str">
        <f t="array" ref="AK221">IFERROR(INDEX($AI$11:$AI$259, MATCH(0, IF(TRUE=$AF$11:$AF$259, COUNTIF($AK$10:$AK220, $AI$11:$AI$259), ""), 0)),"")</f>
        <v/>
      </c>
      <c r="AL221" s="156" t="str">
        <f t="array" ref="AL221">IFERROR(INDEX($AI$11:$AI$259, MATCH(0, IF(TRUE=$AG$11:$AG$259, COUNTIF($AL$10:$AL220, $AI$11:$AI$259), ""), 0)),"")</f>
        <v/>
      </c>
      <c r="AM221" s="156" t="str">
        <f t="array" ref="AM221">IFERROR(INDEX($AI$11:$AI$259, MATCH(0, IF(TRUE=$AH$11:$AH$259, COUNTIF($AM$10:$AM220, $AI$11:$AI$259), ""), 0)),"")</f>
        <v/>
      </c>
      <c r="AQ221" s="31">
        <f t="shared" si="23"/>
        <v>0</v>
      </c>
    </row>
    <row r="222" spans="1:43" x14ac:dyDescent="0.3">
      <c r="A222" s="31" t="str">
        <f>IFERROR(INDEX('G-1 All Habitats'!$AG$3:$AG$15,MATCH(E222,'G-1 All Habitats'!$AF$3:$AF$15,0)),"")</f>
        <v/>
      </c>
      <c r="B222" s="31" t="str">
        <f>IFERROR(INDEX('G-8 Condition Look up'!$I$4:$I$130,MATCH(G222,'G-8 Condition Look up'!$A$4:$A$130,0)),"")</f>
        <v/>
      </c>
      <c r="D222" s="141">
        <v>212</v>
      </c>
      <c r="E222" s="203"/>
      <c r="F222" s="203"/>
      <c r="G222" s="250" t="str">
        <f>IFERROR(INDEX('G-1 All Habitats'!$B$3:$B$129,MATCH(F222,'G-1 All Habitats'!$A$3:$A$129,0)),"")</f>
        <v/>
      </c>
      <c r="H222" s="172"/>
      <c r="I222" s="498" t="str">
        <f>IF(G222="","",VLOOKUP(G222,'G-1 All Habitats'!$B$2:$M$129,10,FALSE))</f>
        <v/>
      </c>
      <c r="J222" s="499" t="str">
        <f>IFERROR(VLOOKUP(I222,'G-1 All Habitats'!$V$3:$W$7,2,FALSE),"")</f>
        <v/>
      </c>
      <c r="K222" s="145"/>
      <c r="L222" s="499" t="str">
        <f>IFERROR(INDEX('G-8 Condition Look up'!$A$3:$H$130,MATCH(G222,'G-8 Condition Look up'!$A$3:$A$130,0),MATCH(K222,'G-8 Condition Look up'!$A$3:$H$3,0)),"")</f>
        <v/>
      </c>
      <c r="M222" s="154"/>
      <c r="N222" s="520" t="str">
        <f>IF(M222="","",IF(VLOOKUP(M222,'G-3 Multipliers'!$L$3:$N$6,2,FALSE)=0,"Spatial Data Missing ⚠",VLOOKUP(M222,'G-3 Multipliers'!$L$3:$N$6,2,FALSE)))</f>
        <v/>
      </c>
      <c r="O222" s="524" t="str">
        <f>IF(M222="","",IF(VLOOKUP(M222,'G-3 Multipliers'!$L$3:$N$6,3,FALSE)=0,"Spatial Data Missing ⚠",VLOOKUP(M222,'G-3 Multipliers'!$L$3:$N$6,3,FALSE)))</f>
        <v/>
      </c>
      <c r="P222" s="506" t="str">
        <f>IFERROR(VLOOKUP(G222,'G-1 All Habitats'!$B$2:$M$129,12,FALSE),"")</f>
        <v/>
      </c>
      <c r="Q222" s="513" t="str">
        <f>IFERROR(IF(P222="","",IF(AND(P222='G-1 All Habitats'!$X$3,T222&gt;0),U222+V222,IF(AND(P222='G-1 All Habitats'!$X$3,S222&gt;0),U222+V222,IF(AND(P222='G-1 All Habitats'!$X$3,AC222&gt;0),"Any Loss Unacceptable",IF(AND(P222='G-1 All Habitats'!$X$3,W222&gt;0),"Any Loss Unacceptable",H222*J222*L222*O222))))),"Check Data ⚠")</f>
        <v/>
      </c>
      <c r="R222" s="50"/>
      <c r="S222" s="71"/>
      <c r="T222" s="72"/>
      <c r="U222" s="511" t="str">
        <f t="shared" si="20"/>
        <v/>
      </c>
      <c r="V222" s="511" t="str">
        <f t="shared" si="21"/>
        <v/>
      </c>
      <c r="W222" s="511" t="str">
        <f>IF(E222="","",IF(H222&lt;S222+T222,"Error in Areas ▲",IF(P222&lt;&gt;'G-1 All Habitats'!$X$3,H222-S222-T222,IF(AND(P222='G-1 All Habitats'!$X$3,Y222="Yes"),"Unacceptable Loss ▲",IF(AND(P222='G-1 All Habitats'!$X$3,Y222="No"),AC222,IF(AND(P222='G-1 All Habitats'!$X$3,Y222=""),AC222,IF(AND(P222='G-1 All Habitats'!$X$3,AC222="None",AC222),IF(AND(P222='G-1 All Habitats'!$X$3,AC222&gt;0),H222-S222-T222))))))))</f>
        <v/>
      </c>
      <c r="X222" s="545" t="str">
        <f>IFERROR(IF(H222="","",IF(H222-S222-T222=0&lt;0,"Error in Areas ▲",IF(S222+T222&gt;H222,"Error in Areas ▲",IF(AND(P222='G-1 All Habitats'!$X$3,Y222="Yes"),"Alternative Compensation",IF(W222=0,0,IF(P222='G-1 All Habitats'!$X$3,"Unacceptable Loss",Q222-U222-V222)))))),"Check Data ⚠")</f>
        <v/>
      </c>
      <c r="Y222" s="72"/>
      <c r="Z222" s="151"/>
      <c r="AA222" s="152"/>
      <c r="AC222" s="251" t="str">
        <f>IF(P222="","",IF(P222='G-1 All Habitats'!$X$3,H222-S222-T222,"None"))</f>
        <v/>
      </c>
      <c r="AD222" s="252" t="str">
        <f t="shared" si="22"/>
        <v/>
      </c>
      <c r="AF222" s="156" t="str">
        <f t="shared" si="18"/>
        <v/>
      </c>
      <c r="AG222" s="156" t="str">
        <f t="shared" si="19"/>
        <v/>
      </c>
      <c r="AH222" s="156" t="str">
        <f>IF(I222="","",IF(#REF!&gt;0,TRUE,FALSE))</f>
        <v/>
      </c>
      <c r="AI222" s="156">
        <v>212</v>
      </c>
      <c r="AJ222" s="156"/>
      <c r="AK222" s="156" t="str">
        <f t="array" ref="AK222">IFERROR(INDEX($AI$11:$AI$259, MATCH(0, IF(TRUE=$AF$11:$AF$259, COUNTIF($AK$10:$AK221, $AI$11:$AI$259), ""), 0)),"")</f>
        <v/>
      </c>
      <c r="AL222" s="156" t="str">
        <f t="array" ref="AL222">IFERROR(INDEX($AI$11:$AI$259, MATCH(0, IF(TRUE=$AG$11:$AG$259, COUNTIF($AL$10:$AL221, $AI$11:$AI$259), ""), 0)),"")</f>
        <v/>
      </c>
      <c r="AM222" s="156" t="str">
        <f t="array" ref="AM222">IFERROR(INDEX($AI$11:$AI$259, MATCH(0, IF(TRUE=$AH$11:$AH$259, COUNTIF($AM$10:$AM221, $AI$11:$AI$259), ""), 0)),"")</f>
        <v/>
      </c>
      <c r="AQ222" s="31">
        <f t="shared" si="23"/>
        <v>0</v>
      </c>
    </row>
    <row r="223" spans="1:43" x14ac:dyDescent="0.3">
      <c r="A223" s="31" t="str">
        <f>IFERROR(INDEX('G-1 All Habitats'!$AG$3:$AG$15,MATCH(E223,'G-1 All Habitats'!$AF$3:$AF$15,0)),"")</f>
        <v/>
      </c>
      <c r="B223" s="31" t="str">
        <f>IFERROR(INDEX('G-8 Condition Look up'!$I$4:$I$130,MATCH(G223,'G-8 Condition Look up'!$A$4:$A$130,0)),"")</f>
        <v/>
      </c>
      <c r="D223" s="141">
        <v>213</v>
      </c>
      <c r="E223" s="203"/>
      <c r="F223" s="203"/>
      <c r="G223" s="250" t="str">
        <f>IFERROR(INDEX('G-1 All Habitats'!$B$3:$B$129,MATCH(F223,'G-1 All Habitats'!$A$3:$A$129,0)),"")</f>
        <v/>
      </c>
      <c r="H223" s="172"/>
      <c r="I223" s="498" t="str">
        <f>IF(G223="","",VLOOKUP(G223,'G-1 All Habitats'!$B$2:$M$129,10,FALSE))</f>
        <v/>
      </c>
      <c r="J223" s="499" t="str">
        <f>IFERROR(VLOOKUP(I223,'G-1 All Habitats'!$V$3:$W$7,2,FALSE),"")</f>
        <v/>
      </c>
      <c r="K223" s="145"/>
      <c r="L223" s="499" t="str">
        <f>IFERROR(INDEX('G-8 Condition Look up'!$A$3:$H$130,MATCH(G223,'G-8 Condition Look up'!$A$3:$A$130,0),MATCH(K223,'G-8 Condition Look up'!$A$3:$H$3,0)),"")</f>
        <v/>
      </c>
      <c r="M223" s="154"/>
      <c r="N223" s="520" t="str">
        <f>IF(M223="","",IF(VLOOKUP(M223,'G-3 Multipliers'!$L$3:$N$6,2,FALSE)=0,"Spatial Data Missing ⚠",VLOOKUP(M223,'G-3 Multipliers'!$L$3:$N$6,2,FALSE)))</f>
        <v/>
      </c>
      <c r="O223" s="524" t="str">
        <f>IF(M223="","",IF(VLOOKUP(M223,'G-3 Multipliers'!$L$3:$N$6,3,FALSE)=0,"Spatial Data Missing ⚠",VLOOKUP(M223,'G-3 Multipliers'!$L$3:$N$6,3,FALSE)))</f>
        <v/>
      </c>
      <c r="P223" s="506" t="str">
        <f>IFERROR(VLOOKUP(G223,'G-1 All Habitats'!$B$2:$M$129,12,FALSE),"")</f>
        <v/>
      </c>
      <c r="Q223" s="513" t="str">
        <f>IFERROR(IF(P223="","",IF(AND(P223='G-1 All Habitats'!$X$3,T223&gt;0),U223+V223,IF(AND(P223='G-1 All Habitats'!$X$3,S223&gt;0),U223+V223,IF(AND(P223='G-1 All Habitats'!$X$3,AC223&gt;0),"Any Loss Unacceptable",IF(AND(P223='G-1 All Habitats'!$X$3,W223&gt;0),"Any Loss Unacceptable",H223*J223*L223*O223))))),"Check Data ⚠")</f>
        <v/>
      </c>
      <c r="R223" s="50"/>
      <c r="S223" s="71"/>
      <c r="T223" s="72"/>
      <c r="U223" s="511" t="str">
        <f t="shared" si="20"/>
        <v/>
      </c>
      <c r="V223" s="511" t="str">
        <f t="shared" si="21"/>
        <v/>
      </c>
      <c r="W223" s="511" t="str">
        <f>IF(E223="","",IF(H223&lt;S223+T223,"Error in Areas ▲",IF(P223&lt;&gt;'G-1 All Habitats'!$X$3,H223-S223-T223,IF(AND(P223='G-1 All Habitats'!$X$3,Y223="Yes"),"Unacceptable Loss ▲",IF(AND(P223='G-1 All Habitats'!$X$3,Y223="No"),AC223,IF(AND(P223='G-1 All Habitats'!$X$3,Y223=""),AC223,IF(AND(P223='G-1 All Habitats'!$X$3,AC223="None",AC223),IF(AND(P223='G-1 All Habitats'!$X$3,AC223&gt;0),H223-S223-T223))))))))</f>
        <v/>
      </c>
      <c r="X223" s="545" t="str">
        <f>IFERROR(IF(H223="","",IF(H223-S223-T223=0&lt;0,"Error in Areas ▲",IF(S223+T223&gt;H223,"Error in Areas ▲",IF(AND(P223='G-1 All Habitats'!$X$3,Y223="Yes"),"Alternative Compensation",IF(W223=0,0,IF(P223='G-1 All Habitats'!$X$3,"Unacceptable Loss",Q223-U223-V223)))))),"Check Data ⚠")</f>
        <v/>
      </c>
      <c r="Y223" s="72"/>
      <c r="Z223" s="151"/>
      <c r="AA223" s="152"/>
      <c r="AC223" s="251" t="str">
        <f>IF(P223="","",IF(P223='G-1 All Habitats'!$X$3,H223-S223-T223,"None"))</f>
        <v/>
      </c>
      <c r="AD223" s="252" t="str">
        <f t="shared" si="22"/>
        <v/>
      </c>
      <c r="AF223" s="156" t="str">
        <f t="shared" si="18"/>
        <v/>
      </c>
      <c r="AG223" s="156" t="str">
        <f t="shared" si="19"/>
        <v/>
      </c>
      <c r="AH223" s="156" t="str">
        <f>IF(I223="","",IF(#REF!&gt;0,TRUE,FALSE))</f>
        <v/>
      </c>
      <c r="AI223" s="156">
        <v>213</v>
      </c>
      <c r="AJ223" s="156"/>
      <c r="AK223" s="156" t="str">
        <f t="array" ref="AK223">IFERROR(INDEX($AI$11:$AI$259, MATCH(0, IF(TRUE=$AF$11:$AF$259, COUNTIF($AK$10:$AK222, $AI$11:$AI$259), ""), 0)),"")</f>
        <v/>
      </c>
      <c r="AL223" s="156" t="str">
        <f t="array" ref="AL223">IFERROR(INDEX($AI$11:$AI$259, MATCH(0, IF(TRUE=$AG$11:$AG$259, COUNTIF($AL$10:$AL222, $AI$11:$AI$259), ""), 0)),"")</f>
        <v/>
      </c>
      <c r="AM223" s="156" t="str">
        <f t="array" ref="AM223">IFERROR(INDEX($AI$11:$AI$259, MATCH(0, IF(TRUE=$AH$11:$AH$259, COUNTIF($AM$10:$AM222, $AI$11:$AI$259), ""), 0)),"")</f>
        <v/>
      </c>
      <c r="AQ223" s="31">
        <f t="shared" si="23"/>
        <v>0</v>
      </c>
    </row>
    <row r="224" spans="1:43" x14ac:dyDescent="0.3">
      <c r="A224" s="31" t="str">
        <f>IFERROR(INDEX('G-1 All Habitats'!$AG$3:$AG$15,MATCH(E224,'G-1 All Habitats'!$AF$3:$AF$15,0)),"")</f>
        <v/>
      </c>
      <c r="B224" s="31" t="str">
        <f>IFERROR(INDEX('G-8 Condition Look up'!$I$4:$I$130,MATCH(G224,'G-8 Condition Look up'!$A$4:$A$130,0)),"")</f>
        <v/>
      </c>
      <c r="D224" s="141">
        <v>214</v>
      </c>
      <c r="E224" s="203"/>
      <c r="F224" s="203"/>
      <c r="G224" s="250" t="str">
        <f>IFERROR(INDEX('G-1 All Habitats'!$B$3:$B$129,MATCH(F224,'G-1 All Habitats'!$A$3:$A$129,0)),"")</f>
        <v/>
      </c>
      <c r="H224" s="172"/>
      <c r="I224" s="498" t="str">
        <f>IF(G224="","",VLOOKUP(G224,'G-1 All Habitats'!$B$2:$M$129,10,FALSE))</f>
        <v/>
      </c>
      <c r="J224" s="499" t="str">
        <f>IFERROR(VLOOKUP(I224,'G-1 All Habitats'!$V$3:$W$7,2,FALSE),"")</f>
        <v/>
      </c>
      <c r="K224" s="145"/>
      <c r="L224" s="499" t="str">
        <f>IFERROR(INDEX('G-8 Condition Look up'!$A$3:$H$130,MATCH(G224,'G-8 Condition Look up'!$A$3:$A$130,0),MATCH(K224,'G-8 Condition Look up'!$A$3:$H$3,0)),"")</f>
        <v/>
      </c>
      <c r="M224" s="154"/>
      <c r="N224" s="520" t="str">
        <f>IF(M224="","",IF(VLOOKUP(M224,'G-3 Multipliers'!$L$3:$N$6,2,FALSE)=0,"Spatial Data Missing ⚠",VLOOKUP(M224,'G-3 Multipliers'!$L$3:$N$6,2,FALSE)))</f>
        <v/>
      </c>
      <c r="O224" s="524" t="str">
        <f>IF(M224="","",IF(VLOOKUP(M224,'G-3 Multipliers'!$L$3:$N$6,3,FALSE)=0,"Spatial Data Missing ⚠",VLOOKUP(M224,'G-3 Multipliers'!$L$3:$N$6,3,FALSE)))</f>
        <v/>
      </c>
      <c r="P224" s="506" t="str">
        <f>IFERROR(VLOOKUP(G224,'G-1 All Habitats'!$B$2:$M$129,12,FALSE),"")</f>
        <v/>
      </c>
      <c r="Q224" s="513" t="str">
        <f>IFERROR(IF(P224="","",IF(AND(P224='G-1 All Habitats'!$X$3,T224&gt;0),U224+V224,IF(AND(P224='G-1 All Habitats'!$X$3,S224&gt;0),U224+V224,IF(AND(P224='G-1 All Habitats'!$X$3,AC224&gt;0),"Any Loss Unacceptable",IF(AND(P224='G-1 All Habitats'!$X$3,W224&gt;0),"Any Loss Unacceptable",H224*J224*L224*O224))))),"Check Data ⚠")</f>
        <v/>
      </c>
      <c r="R224" s="50"/>
      <c r="S224" s="71"/>
      <c r="T224" s="72"/>
      <c r="U224" s="511" t="str">
        <f t="shared" si="20"/>
        <v/>
      </c>
      <c r="V224" s="511" t="str">
        <f t="shared" si="21"/>
        <v/>
      </c>
      <c r="W224" s="511" t="str">
        <f>IF(E224="","",IF(H224&lt;S224+T224,"Error in Areas ▲",IF(P224&lt;&gt;'G-1 All Habitats'!$X$3,H224-S224-T224,IF(AND(P224='G-1 All Habitats'!$X$3,Y224="Yes"),"Unacceptable Loss ▲",IF(AND(P224='G-1 All Habitats'!$X$3,Y224="No"),AC224,IF(AND(P224='G-1 All Habitats'!$X$3,Y224=""),AC224,IF(AND(P224='G-1 All Habitats'!$X$3,AC224="None",AC224),IF(AND(P224='G-1 All Habitats'!$X$3,AC224&gt;0),H224-S224-T224))))))))</f>
        <v/>
      </c>
      <c r="X224" s="545" t="str">
        <f>IFERROR(IF(H224="","",IF(H224-S224-T224=0&lt;0,"Error in Areas ▲",IF(S224+T224&gt;H224,"Error in Areas ▲",IF(AND(P224='G-1 All Habitats'!$X$3,Y224="Yes"),"Alternative Compensation",IF(W224=0,0,IF(P224='G-1 All Habitats'!$X$3,"Unacceptable Loss",Q224-U224-V224)))))),"Check Data ⚠")</f>
        <v/>
      </c>
      <c r="Y224" s="72"/>
      <c r="Z224" s="151"/>
      <c r="AA224" s="152"/>
      <c r="AC224" s="251" t="str">
        <f>IF(P224="","",IF(P224='G-1 All Habitats'!$X$3,H224-S224-T224,"None"))</f>
        <v/>
      </c>
      <c r="AD224" s="252" t="str">
        <f t="shared" si="22"/>
        <v/>
      </c>
      <c r="AF224" s="156" t="str">
        <f t="shared" si="18"/>
        <v/>
      </c>
      <c r="AG224" s="156" t="str">
        <f t="shared" si="19"/>
        <v/>
      </c>
      <c r="AH224" s="156" t="str">
        <f>IF(I224="","",IF(#REF!&gt;0,TRUE,FALSE))</f>
        <v/>
      </c>
      <c r="AI224" s="156">
        <v>214</v>
      </c>
      <c r="AJ224" s="156"/>
      <c r="AK224" s="156" t="str">
        <f t="array" ref="AK224">IFERROR(INDEX($AI$11:$AI$259, MATCH(0, IF(TRUE=$AF$11:$AF$259, COUNTIF($AK$10:$AK223, $AI$11:$AI$259), ""), 0)),"")</f>
        <v/>
      </c>
      <c r="AL224" s="156" t="str">
        <f t="array" ref="AL224">IFERROR(INDEX($AI$11:$AI$259, MATCH(0, IF(TRUE=$AG$11:$AG$259, COUNTIF($AL$10:$AL223, $AI$11:$AI$259), ""), 0)),"")</f>
        <v/>
      </c>
      <c r="AM224" s="156" t="str">
        <f t="array" ref="AM224">IFERROR(INDEX($AI$11:$AI$259, MATCH(0, IF(TRUE=$AH$11:$AH$259, COUNTIF($AM$10:$AM223, $AI$11:$AI$259), ""), 0)),"")</f>
        <v/>
      </c>
      <c r="AQ224" s="31">
        <f t="shared" si="23"/>
        <v>0</v>
      </c>
    </row>
    <row r="225" spans="1:43" x14ac:dyDescent="0.3">
      <c r="A225" s="31" t="str">
        <f>IFERROR(INDEX('G-1 All Habitats'!$AG$3:$AG$15,MATCH(E225,'G-1 All Habitats'!$AF$3:$AF$15,0)),"")</f>
        <v/>
      </c>
      <c r="B225" s="31" t="str">
        <f>IFERROR(INDEX('G-8 Condition Look up'!$I$4:$I$130,MATCH(G225,'G-8 Condition Look up'!$A$4:$A$130,0)),"")</f>
        <v/>
      </c>
      <c r="D225" s="141">
        <v>215</v>
      </c>
      <c r="E225" s="203"/>
      <c r="F225" s="203"/>
      <c r="G225" s="250" t="str">
        <f>IFERROR(INDEX('G-1 All Habitats'!$B$3:$B$129,MATCH(F225,'G-1 All Habitats'!$A$3:$A$129,0)),"")</f>
        <v/>
      </c>
      <c r="H225" s="172"/>
      <c r="I225" s="498" t="str">
        <f>IF(G225="","",VLOOKUP(G225,'G-1 All Habitats'!$B$2:$M$129,10,FALSE))</f>
        <v/>
      </c>
      <c r="J225" s="499" t="str">
        <f>IFERROR(VLOOKUP(I225,'G-1 All Habitats'!$V$3:$W$7,2,FALSE),"")</f>
        <v/>
      </c>
      <c r="K225" s="145"/>
      <c r="L225" s="499" t="str">
        <f>IFERROR(INDEX('G-8 Condition Look up'!$A$3:$H$130,MATCH(G225,'G-8 Condition Look up'!$A$3:$A$130,0),MATCH(K225,'G-8 Condition Look up'!$A$3:$H$3,0)),"")</f>
        <v/>
      </c>
      <c r="M225" s="154"/>
      <c r="N225" s="520" t="str">
        <f>IF(M225="","",IF(VLOOKUP(M225,'G-3 Multipliers'!$L$3:$N$6,2,FALSE)=0,"Spatial Data Missing ⚠",VLOOKUP(M225,'G-3 Multipliers'!$L$3:$N$6,2,FALSE)))</f>
        <v/>
      </c>
      <c r="O225" s="524" t="str">
        <f>IF(M225="","",IF(VLOOKUP(M225,'G-3 Multipliers'!$L$3:$N$6,3,FALSE)=0,"Spatial Data Missing ⚠",VLOOKUP(M225,'G-3 Multipliers'!$L$3:$N$6,3,FALSE)))</f>
        <v/>
      </c>
      <c r="P225" s="506" t="str">
        <f>IFERROR(VLOOKUP(G225,'G-1 All Habitats'!$B$2:$M$129,12,FALSE),"")</f>
        <v/>
      </c>
      <c r="Q225" s="513" t="str">
        <f>IFERROR(IF(P225="","",IF(AND(P225='G-1 All Habitats'!$X$3,T225&gt;0),U225+V225,IF(AND(P225='G-1 All Habitats'!$X$3,S225&gt;0),U225+V225,IF(AND(P225='G-1 All Habitats'!$X$3,AC225&gt;0),"Any Loss Unacceptable",IF(AND(P225='G-1 All Habitats'!$X$3,W225&gt;0),"Any Loss Unacceptable",H225*J225*L225*O225))))),"Check Data ⚠")</f>
        <v/>
      </c>
      <c r="R225" s="50"/>
      <c r="S225" s="71"/>
      <c r="T225" s="72"/>
      <c r="U225" s="511" t="str">
        <f t="shared" si="20"/>
        <v/>
      </c>
      <c r="V225" s="511" t="str">
        <f t="shared" si="21"/>
        <v/>
      </c>
      <c r="W225" s="511" t="str">
        <f>IF(E225="","",IF(H225&lt;S225+T225,"Error in Areas ▲",IF(P225&lt;&gt;'G-1 All Habitats'!$X$3,H225-S225-T225,IF(AND(P225='G-1 All Habitats'!$X$3,Y225="Yes"),"Unacceptable Loss ▲",IF(AND(P225='G-1 All Habitats'!$X$3,Y225="No"),AC225,IF(AND(P225='G-1 All Habitats'!$X$3,Y225=""),AC225,IF(AND(P225='G-1 All Habitats'!$X$3,AC225="None",AC225),IF(AND(P225='G-1 All Habitats'!$X$3,AC225&gt;0),H225-S225-T225))))))))</f>
        <v/>
      </c>
      <c r="X225" s="545" t="str">
        <f>IFERROR(IF(H225="","",IF(H225-S225-T225=0&lt;0,"Error in Areas ▲",IF(S225+T225&gt;H225,"Error in Areas ▲",IF(AND(P225='G-1 All Habitats'!$X$3,Y225="Yes"),"Alternative Compensation",IF(W225=0,0,IF(P225='G-1 All Habitats'!$X$3,"Unacceptable Loss",Q225-U225-V225)))))),"Check Data ⚠")</f>
        <v/>
      </c>
      <c r="Y225" s="72"/>
      <c r="Z225" s="151"/>
      <c r="AA225" s="152"/>
      <c r="AC225" s="251" t="str">
        <f>IF(P225="","",IF(P225='G-1 All Habitats'!$X$3,H225-S225-T225,"None"))</f>
        <v/>
      </c>
      <c r="AD225" s="252" t="str">
        <f t="shared" si="22"/>
        <v/>
      </c>
      <c r="AF225" s="156" t="str">
        <f t="shared" si="18"/>
        <v/>
      </c>
      <c r="AG225" s="156" t="str">
        <f t="shared" si="19"/>
        <v/>
      </c>
      <c r="AH225" s="156" t="str">
        <f>IF(I225="","",IF(#REF!&gt;0,TRUE,FALSE))</f>
        <v/>
      </c>
      <c r="AI225" s="156">
        <v>215</v>
      </c>
      <c r="AJ225" s="156"/>
      <c r="AK225" s="156" t="str">
        <f t="array" ref="AK225">IFERROR(INDEX($AI$11:$AI$259, MATCH(0, IF(TRUE=$AF$11:$AF$259, COUNTIF($AK$10:$AK224, $AI$11:$AI$259), ""), 0)),"")</f>
        <v/>
      </c>
      <c r="AL225" s="156" t="str">
        <f t="array" ref="AL225">IFERROR(INDEX($AI$11:$AI$259, MATCH(0, IF(TRUE=$AG$11:$AG$259, COUNTIF($AL$10:$AL224, $AI$11:$AI$259), ""), 0)),"")</f>
        <v/>
      </c>
      <c r="AM225" s="156" t="str">
        <f t="array" ref="AM225">IFERROR(INDEX($AI$11:$AI$259, MATCH(0, IF(TRUE=$AH$11:$AH$259, COUNTIF($AM$10:$AM224, $AI$11:$AI$259), ""), 0)),"")</f>
        <v/>
      </c>
      <c r="AQ225" s="31">
        <f t="shared" si="23"/>
        <v>0</v>
      </c>
    </row>
    <row r="226" spans="1:43" x14ac:dyDescent="0.3">
      <c r="A226" s="31" t="str">
        <f>IFERROR(INDEX('G-1 All Habitats'!$AG$3:$AG$15,MATCH(E226,'G-1 All Habitats'!$AF$3:$AF$15,0)),"")</f>
        <v/>
      </c>
      <c r="B226" s="31" t="str">
        <f>IFERROR(INDEX('G-8 Condition Look up'!$I$4:$I$130,MATCH(G226,'G-8 Condition Look up'!$A$4:$A$130,0)),"")</f>
        <v/>
      </c>
      <c r="D226" s="141">
        <v>216</v>
      </c>
      <c r="E226" s="203"/>
      <c r="F226" s="203"/>
      <c r="G226" s="250" t="str">
        <f>IFERROR(INDEX('G-1 All Habitats'!$B$3:$B$129,MATCH(F226,'G-1 All Habitats'!$A$3:$A$129,0)),"")</f>
        <v/>
      </c>
      <c r="H226" s="172"/>
      <c r="I226" s="498" t="str">
        <f>IF(G226="","",VLOOKUP(G226,'G-1 All Habitats'!$B$2:$M$129,10,FALSE))</f>
        <v/>
      </c>
      <c r="J226" s="499" t="str">
        <f>IFERROR(VLOOKUP(I226,'G-1 All Habitats'!$V$3:$W$7,2,FALSE),"")</f>
        <v/>
      </c>
      <c r="K226" s="145"/>
      <c r="L226" s="499" t="str">
        <f>IFERROR(INDEX('G-8 Condition Look up'!$A$3:$H$130,MATCH(G226,'G-8 Condition Look up'!$A$3:$A$130,0),MATCH(K226,'G-8 Condition Look up'!$A$3:$H$3,0)),"")</f>
        <v/>
      </c>
      <c r="M226" s="154"/>
      <c r="N226" s="520" t="str">
        <f>IF(M226="","",IF(VLOOKUP(M226,'G-3 Multipliers'!$L$3:$N$6,2,FALSE)=0,"Spatial Data Missing ⚠",VLOOKUP(M226,'G-3 Multipliers'!$L$3:$N$6,2,FALSE)))</f>
        <v/>
      </c>
      <c r="O226" s="524" t="str">
        <f>IF(M226="","",IF(VLOOKUP(M226,'G-3 Multipliers'!$L$3:$N$6,3,FALSE)=0,"Spatial Data Missing ⚠",VLOOKUP(M226,'G-3 Multipliers'!$L$3:$N$6,3,FALSE)))</f>
        <v/>
      </c>
      <c r="P226" s="506" t="str">
        <f>IFERROR(VLOOKUP(G226,'G-1 All Habitats'!$B$2:$M$129,12,FALSE),"")</f>
        <v/>
      </c>
      <c r="Q226" s="513" t="str">
        <f>IFERROR(IF(P226="","",IF(AND(P226='G-1 All Habitats'!$X$3,T226&gt;0),U226+V226,IF(AND(P226='G-1 All Habitats'!$X$3,S226&gt;0),U226+V226,IF(AND(P226='G-1 All Habitats'!$X$3,AC226&gt;0),"Any Loss Unacceptable",IF(AND(P226='G-1 All Habitats'!$X$3,W226&gt;0),"Any Loss Unacceptable",H226*J226*L226*O226))))),"Check Data ⚠")</f>
        <v/>
      </c>
      <c r="R226" s="50"/>
      <c r="S226" s="71"/>
      <c r="T226" s="72"/>
      <c r="U226" s="511" t="str">
        <f t="shared" si="20"/>
        <v/>
      </c>
      <c r="V226" s="511" t="str">
        <f t="shared" si="21"/>
        <v/>
      </c>
      <c r="W226" s="511" t="str">
        <f>IF(E226="","",IF(H226&lt;S226+T226,"Error in Areas ▲",IF(P226&lt;&gt;'G-1 All Habitats'!$X$3,H226-S226-T226,IF(AND(P226='G-1 All Habitats'!$X$3,Y226="Yes"),"Unacceptable Loss ▲",IF(AND(P226='G-1 All Habitats'!$X$3,Y226="No"),AC226,IF(AND(P226='G-1 All Habitats'!$X$3,Y226=""),AC226,IF(AND(P226='G-1 All Habitats'!$X$3,AC226="None",AC226),IF(AND(P226='G-1 All Habitats'!$X$3,AC226&gt;0),H226-S226-T226))))))))</f>
        <v/>
      </c>
      <c r="X226" s="545" t="str">
        <f>IFERROR(IF(H226="","",IF(H226-S226-T226=0&lt;0,"Error in Areas ▲",IF(S226+T226&gt;H226,"Error in Areas ▲",IF(AND(P226='G-1 All Habitats'!$X$3,Y226="Yes"),"Alternative Compensation",IF(W226=0,0,IF(P226='G-1 All Habitats'!$X$3,"Unacceptable Loss",Q226-U226-V226)))))),"Check Data ⚠")</f>
        <v/>
      </c>
      <c r="Y226" s="72"/>
      <c r="Z226" s="151"/>
      <c r="AA226" s="152"/>
      <c r="AC226" s="251" t="str">
        <f>IF(P226="","",IF(P226='G-1 All Habitats'!$X$3,H226-S226-T226,"None"))</f>
        <v/>
      </c>
      <c r="AD226" s="252" t="str">
        <f t="shared" si="22"/>
        <v/>
      </c>
      <c r="AF226" s="156" t="str">
        <f t="shared" si="18"/>
        <v/>
      </c>
      <c r="AG226" s="156" t="str">
        <f t="shared" si="19"/>
        <v/>
      </c>
      <c r="AH226" s="156" t="str">
        <f>IF(I226="","",IF(#REF!&gt;0,TRUE,FALSE))</f>
        <v/>
      </c>
      <c r="AI226" s="156">
        <v>216</v>
      </c>
      <c r="AJ226" s="156"/>
      <c r="AK226" s="156" t="str">
        <f t="array" ref="AK226">IFERROR(INDEX($AI$11:$AI$259, MATCH(0, IF(TRUE=$AF$11:$AF$259, COUNTIF($AK$10:$AK225, $AI$11:$AI$259), ""), 0)),"")</f>
        <v/>
      </c>
      <c r="AL226" s="156" t="str">
        <f t="array" ref="AL226">IFERROR(INDEX($AI$11:$AI$259, MATCH(0, IF(TRUE=$AG$11:$AG$259, COUNTIF($AL$10:$AL225, $AI$11:$AI$259), ""), 0)),"")</f>
        <v/>
      </c>
      <c r="AM226" s="156" t="str">
        <f t="array" ref="AM226">IFERROR(INDEX($AI$11:$AI$259, MATCH(0, IF(TRUE=$AH$11:$AH$259, COUNTIF($AM$10:$AM225, $AI$11:$AI$259), ""), 0)),"")</f>
        <v/>
      </c>
      <c r="AQ226" s="31">
        <f t="shared" si="23"/>
        <v>0</v>
      </c>
    </row>
    <row r="227" spans="1:43" x14ac:dyDescent="0.3">
      <c r="A227" s="31" t="str">
        <f>IFERROR(INDEX('G-1 All Habitats'!$AG$3:$AG$15,MATCH(E227,'G-1 All Habitats'!$AF$3:$AF$15,0)),"")</f>
        <v/>
      </c>
      <c r="B227" s="31" t="str">
        <f>IFERROR(INDEX('G-8 Condition Look up'!$I$4:$I$130,MATCH(G227,'G-8 Condition Look up'!$A$4:$A$130,0)),"")</f>
        <v/>
      </c>
      <c r="D227" s="141">
        <v>217</v>
      </c>
      <c r="E227" s="203"/>
      <c r="F227" s="203"/>
      <c r="G227" s="250" t="str">
        <f>IFERROR(INDEX('G-1 All Habitats'!$B$3:$B$129,MATCH(F227,'G-1 All Habitats'!$A$3:$A$129,0)),"")</f>
        <v/>
      </c>
      <c r="H227" s="172"/>
      <c r="I227" s="498" t="str">
        <f>IF(G227="","",VLOOKUP(G227,'G-1 All Habitats'!$B$2:$M$129,10,FALSE))</f>
        <v/>
      </c>
      <c r="J227" s="499" t="str">
        <f>IFERROR(VLOOKUP(I227,'G-1 All Habitats'!$V$3:$W$7,2,FALSE),"")</f>
        <v/>
      </c>
      <c r="K227" s="145"/>
      <c r="L227" s="499" t="str">
        <f>IFERROR(INDEX('G-8 Condition Look up'!$A$3:$H$130,MATCH(G227,'G-8 Condition Look up'!$A$3:$A$130,0),MATCH(K227,'G-8 Condition Look up'!$A$3:$H$3,0)),"")</f>
        <v/>
      </c>
      <c r="M227" s="154"/>
      <c r="N227" s="520" t="str">
        <f>IF(M227="","",IF(VLOOKUP(M227,'G-3 Multipliers'!$L$3:$N$6,2,FALSE)=0,"Spatial Data Missing ⚠",VLOOKUP(M227,'G-3 Multipliers'!$L$3:$N$6,2,FALSE)))</f>
        <v/>
      </c>
      <c r="O227" s="524" t="str">
        <f>IF(M227="","",IF(VLOOKUP(M227,'G-3 Multipliers'!$L$3:$N$6,3,FALSE)=0,"Spatial Data Missing ⚠",VLOOKUP(M227,'G-3 Multipliers'!$L$3:$N$6,3,FALSE)))</f>
        <v/>
      </c>
      <c r="P227" s="506" t="str">
        <f>IFERROR(VLOOKUP(G227,'G-1 All Habitats'!$B$2:$M$129,12,FALSE),"")</f>
        <v/>
      </c>
      <c r="Q227" s="513" t="str">
        <f>IFERROR(IF(P227="","",IF(AND(P227='G-1 All Habitats'!$X$3,T227&gt;0),U227+V227,IF(AND(P227='G-1 All Habitats'!$X$3,S227&gt;0),U227+V227,IF(AND(P227='G-1 All Habitats'!$X$3,AC227&gt;0),"Any Loss Unacceptable",IF(AND(P227='G-1 All Habitats'!$X$3,W227&gt;0),"Any Loss Unacceptable",H227*J227*L227*O227))))),"Check Data ⚠")</f>
        <v/>
      </c>
      <c r="R227" s="50"/>
      <c r="S227" s="71"/>
      <c r="T227" s="72"/>
      <c r="U227" s="511" t="str">
        <f t="shared" si="20"/>
        <v/>
      </c>
      <c r="V227" s="511" t="str">
        <f t="shared" si="21"/>
        <v/>
      </c>
      <c r="W227" s="511" t="str">
        <f>IF(E227="","",IF(H227&lt;S227+T227,"Error in Areas ▲",IF(P227&lt;&gt;'G-1 All Habitats'!$X$3,H227-S227-T227,IF(AND(P227='G-1 All Habitats'!$X$3,Y227="Yes"),"Unacceptable Loss ▲",IF(AND(P227='G-1 All Habitats'!$X$3,Y227="No"),AC227,IF(AND(P227='G-1 All Habitats'!$X$3,Y227=""),AC227,IF(AND(P227='G-1 All Habitats'!$X$3,AC227="None",AC227),IF(AND(P227='G-1 All Habitats'!$X$3,AC227&gt;0),H227-S227-T227))))))))</f>
        <v/>
      </c>
      <c r="X227" s="545" t="str">
        <f>IFERROR(IF(H227="","",IF(H227-S227-T227=0&lt;0,"Error in Areas ▲",IF(S227+T227&gt;H227,"Error in Areas ▲",IF(AND(P227='G-1 All Habitats'!$X$3,Y227="Yes"),"Alternative Compensation",IF(W227=0,0,IF(P227='G-1 All Habitats'!$X$3,"Unacceptable Loss",Q227-U227-V227)))))),"Check Data ⚠")</f>
        <v/>
      </c>
      <c r="Y227" s="72"/>
      <c r="Z227" s="151"/>
      <c r="AA227" s="152"/>
      <c r="AC227" s="251" t="str">
        <f>IF(P227="","",IF(P227='G-1 All Habitats'!$X$3,H227-S227-T227,"None"))</f>
        <v/>
      </c>
      <c r="AD227" s="252" t="str">
        <f t="shared" si="22"/>
        <v/>
      </c>
      <c r="AF227" s="156" t="str">
        <f t="shared" si="18"/>
        <v/>
      </c>
      <c r="AG227" s="156" t="str">
        <f t="shared" si="19"/>
        <v/>
      </c>
      <c r="AH227" s="156" t="str">
        <f>IF(I227="","",IF(#REF!&gt;0,TRUE,FALSE))</f>
        <v/>
      </c>
      <c r="AI227" s="156">
        <v>217</v>
      </c>
      <c r="AJ227" s="156"/>
      <c r="AK227" s="156" t="str">
        <f t="array" ref="AK227">IFERROR(INDEX($AI$11:$AI$259, MATCH(0, IF(TRUE=$AF$11:$AF$259, COUNTIF($AK$10:$AK226, $AI$11:$AI$259), ""), 0)),"")</f>
        <v/>
      </c>
      <c r="AL227" s="156" t="str">
        <f t="array" ref="AL227">IFERROR(INDEX($AI$11:$AI$259, MATCH(0, IF(TRUE=$AG$11:$AG$259, COUNTIF($AL$10:$AL226, $AI$11:$AI$259), ""), 0)),"")</f>
        <v/>
      </c>
      <c r="AM227" s="156" t="str">
        <f t="array" ref="AM227">IFERROR(INDEX($AI$11:$AI$259, MATCH(0, IF(TRUE=$AH$11:$AH$259, COUNTIF($AM$10:$AM226, $AI$11:$AI$259), ""), 0)),"")</f>
        <v/>
      </c>
      <c r="AQ227" s="31">
        <f t="shared" si="23"/>
        <v>0</v>
      </c>
    </row>
    <row r="228" spans="1:43" x14ac:dyDescent="0.3">
      <c r="A228" s="31" t="str">
        <f>IFERROR(INDEX('G-1 All Habitats'!$AG$3:$AG$15,MATCH(E228,'G-1 All Habitats'!$AF$3:$AF$15,0)),"")</f>
        <v/>
      </c>
      <c r="B228" s="31" t="str">
        <f>IFERROR(INDEX('G-8 Condition Look up'!$I$4:$I$130,MATCH(G228,'G-8 Condition Look up'!$A$4:$A$130,0)),"")</f>
        <v/>
      </c>
      <c r="D228" s="141">
        <v>218</v>
      </c>
      <c r="E228" s="203"/>
      <c r="F228" s="203"/>
      <c r="G228" s="250" t="str">
        <f>IFERROR(INDEX('G-1 All Habitats'!$B$3:$B$129,MATCH(F228,'G-1 All Habitats'!$A$3:$A$129,0)),"")</f>
        <v/>
      </c>
      <c r="H228" s="172"/>
      <c r="I228" s="498" t="str">
        <f>IF(G228="","",VLOOKUP(G228,'G-1 All Habitats'!$B$2:$M$129,10,FALSE))</f>
        <v/>
      </c>
      <c r="J228" s="499" t="str">
        <f>IFERROR(VLOOKUP(I228,'G-1 All Habitats'!$V$3:$W$7,2,FALSE),"")</f>
        <v/>
      </c>
      <c r="K228" s="145"/>
      <c r="L228" s="499" t="str">
        <f>IFERROR(INDEX('G-8 Condition Look up'!$A$3:$H$130,MATCH(G228,'G-8 Condition Look up'!$A$3:$A$130,0),MATCH(K228,'G-8 Condition Look up'!$A$3:$H$3,0)),"")</f>
        <v/>
      </c>
      <c r="M228" s="154"/>
      <c r="N228" s="520" t="str">
        <f>IF(M228="","",IF(VLOOKUP(M228,'G-3 Multipliers'!$L$3:$N$6,2,FALSE)=0,"Spatial Data Missing ⚠",VLOOKUP(M228,'G-3 Multipliers'!$L$3:$N$6,2,FALSE)))</f>
        <v/>
      </c>
      <c r="O228" s="524" t="str">
        <f>IF(M228="","",IF(VLOOKUP(M228,'G-3 Multipliers'!$L$3:$N$6,3,FALSE)=0,"Spatial Data Missing ⚠",VLOOKUP(M228,'G-3 Multipliers'!$L$3:$N$6,3,FALSE)))</f>
        <v/>
      </c>
      <c r="P228" s="506" t="str">
        <f>IFERROR(VLOOKUP(G228,'G-1 All Habitats'!$B$2:$M$129,12,FALSE),"")</f>
        <v/>
      </c>
      <c r="Q228" s="513" t="str">
        <f>IFERROR(IF(P228="","",IF(AND(P228='G-1 All Habitats'!$X$3,T228&gt;0),U228+V228,IF(AND(P228='G-1 All Habitats'!$X$3,S228&gt;0),U228+V228,IF(AND(P228='G-1 All Habitats'!$X$3,AC228&gt;0),"Any Loss Unacceptable",IF(AND(P228='G-1 All Habitats'!$X$3,W228&gt;0),"Any Loss Unacceptable",H228*J228*L228*O228))))),"Check Data ⚠")</f>
        <v/>
      </c>
      <c r="R228" s="50"/>
      <c r="S228" s="71"/>
      <c r="T228" s="72"/>
      <c r="U228" s="511" t="str">
        <f t="shared" si="20"/>
        <v/>
      </c>
      <c r="V228" s="511" t="str">
        <f t="shared" si="21"/>
        <v/>
      </c>
      <c r="W228" s="511" t="str">
        <f>IF(E228="","",IF(H228&lt;S228+T228,"Error in Areas ▲",IF(P228&lt;&gt;'G-1 All Habitats'!$X$3,H228-S228-T228,IF(AND(P228='G-1 All Habitats'!$X$3,Y228="Yes"),"Unacceptable Loss ▲",IF(AND(P228='G-1 All Habitats'!$X$3,Y228="No"),AC228,IF(AND(P228='G-1 All Habitats'!$X$3,Y228=""),AC228,IF(AND(P228='G-1 All Habitats'!$X$3,AC228="None",AC228),IF(AND(P228='G-1 All Habitats'!$X$3,AC228&gt;0),H228-S228-T228))))))))</f>
        <v/>
      </c>
      <c r="X228" s="545" t="str">
        <f>IFERROR(IF(H228="","",IF(H228-S228-T228=0&lt;0,"Error in Areas ▲",IF(S228+T228&gt;H228,"Error in Areas ▲",IF(AND(P228='G-1 All Habitats'!$X$3,Y228="Yes"),"Alternative Compensation",IF(W228=0,0,IF(P228='G-1 All Habitats'!$X$3,"Unacceptable Loss",Q228-U228-V228)))))),"Check Data ⚠")</f>
        <v/>
      </c>
      <c r="Y228" s="72"/>
      <c r="Z228" s="151"/>
      <c r="AA228" s="152"/>
      <c r="AC228" s="251" t="str">
        <f>IF(P228="","",IF(P228='G-1 All Habitats'!$X$3,H228-S228-T228,"None"))</f>
        <v/>
      </c>
      <c r="AD228" s="252" t="str">
        <f t="shared" si="22"/>
        <v/>
      </c>
      <c r="AF228" s="156" t="str">
        <f t="shared" si="18"/>
        <v/>
      </c>
      <c r="AG228" s="156" t="str">
        <f t="shared" si="19"/>
        <v/>
      </c>
      <c r="AH228" s="156" t="str">
        <f>IF(I228="","",IF(#REF!&gt;0,TRUE,FALSE))</f>
        <v/>
      </c>
      <c r="AI228" s="156">
        <v>218</v>
      </c>
      <c r="AJ228" s="156"/>
      <c r="AK228" s="156" t="str">
        <f t="array" ref="AK228">IFERROR(INDEX($AI$11:$AI$259, MATCH(0, IF(TRUE=$AF$11:$AF$259, COUNTIF($AK$10:$AK227, $AI$11:$AI$259), ""), 0)),"")</f>
        <v/>
      </c>
      <c r="AL228" s="156" t="str">
        <f t="array" ref="AL228">IFERROR(INDEX($AI$11:$AI$259, MATCH(0, IF(TRUE=$AG$11:$AG$259, COUNTIF($AL$10:$AL227, $AI$11:$AI$259), ""), 0)),"")</f>
        <v/>
      </c>
      <c r="AM228" s="156" t="str">
        <f t="array" ref="AM228">IFERROR(INDEX($AI$11:$AI$259, MATCH(0, IF(TRUE=$AH$11:$AH$259, COUNTIF($AM$10:$AM227, $AI$11:$AI$259), ""), 0)),"")</f>
        <v/>
      </c>
      <c r="AQ228" s="31">
        <f t="shared" si="23"/>
        <v>0</v>
      </c>
    </row>
    <row r="229" spans="1:43" x14ac:dyDescent="0.3">
      <c r="A229" s="31" t="str">
        <f>IFERROR(INDEX('G-1 All Habitats'!$AG$3:$AG$15,MATCH(E229,'G-1 All Habitats'!$AF$3:$AF$15,0)),"")</f>
        <v/>
      </c>
      <c r="B229" s="31" t="str">
        <f>IFERROR(INDEX('G-8 Condition Look up'!$I$4:$I$130,MATCH(G229,'G-8 Condition Look up'!$A$4:$A$130,0)),"")</f>
        <v/>
      </c>
      <c r="D229" s="141">
        <v>219</v>
      </c>
      <c r="E229" s="203"/>
      <c r="F229" s="203"/>
      <c r="G229" s="250" t="str">
        <f>IFERROR(INDEX('G-1 All Habitats'!$B$3:$B$129,MATCH(F229,'G-1 All Habitats'!$A$3:$A$129,0)),"")</f>
        <v/>
      </c>
      <c r="H229" s="172"/>
      <c r="I229" s="498" t="str">
        <f>IF(G229="","",VLOOKUP(G229,'G-1 All Habitats'!$B$2:$M$129,10,FALSE))</f>
        <v/>
      </c>
      <c r="J229" s="499" t="str">
        <f>IFERROR(VLOOKUP(I229,'G-1 All Habitats'!$V$3:$W$7,2,FALSE),"")</f>
        <v/>
      </c>
      <c r="K229" s="145"/>
      <c r="L229" s="499" t="str">
        <f>IFERROR(INDEX('G-8 Condition Look up'!$A$3:$H$130,MATCH(G229,'G-8 Condition Look up'!$A$3:$A$130,0),MATCH(K229,'G-8 Condition Look up'!$A$3:$H$3,0)),"")</f>
        <v/>
      </c>
      <c r="M229" s="154"/>
      <c r="N229" s="520" t="str">
        <f>IF(M229="","",IF(VLOOKUP(M229,'G-3 Multipliers'!$L$3:$N$6,2,FALSE)=0,"Spatial Data Missing ⚠",VLOOKUP(M229,'G-3 Multipliers'!$L$3:$N$6,2,FALSE)))</f>
        <v/>
      </c>
      <c r="O229" s="524" t="str">
        <f>IF(M229="","",IF(VLOOKUP(M229,'G-3 Multipliers'!$L$3:$N$6,3,FALSE)=0,"Spatial Data Missing ⚠",VLOOKUP(M229,'G-3 Multipliers'!$L$3:$N$6,3,FALSE)))</f>
        <v/>
      </c>
      <c r="P229" s="506" t="str">
        <f>IFERROR(VLOOKUP(G229,'G-1 All Habitats'!$B$2:$M$129,12,FALSE),"")</f>
        <v/>
      </c>
      <c r="Q229" s="513" t="str">
        <f>IFERROR(IF(P229="","",IF(AND(P229='G-1 All Habitats'!$X$3,T229&gt;0),U229+V229,IF(AND(P229='G-1 All Habitats'!$X$3,S229&gt;0),U229+V229,IF(AND(P229='G-1 All Habitats'!$X$3,AC229&gt;0),"Any Loss Unacceptable",IF(AND(P229='G-1 All Habitats'!$X$3,W229&gt;0),"Any Loss Unacceptable",H229*J229*L229*O229))))),"Check Data ⚠")</f>
        <v/>
      </c>
      <c r="R229" s="50"/>
      <c r="S229" s="71"/>
      <c r="T229" s="72"/>
      <c r="U229" s="511" t="str">
        <f t="shared" si="20"/>
        <v/>
      </c>
      <c r="V229" s="511" t="str">
        <f t="shared" si="21"/>
        <v/>
      </c>
      <c r="W229" s="511" t="str">
        <f>IF(E229="","",IF(H229&lt;S229+T229,"Error in Areas ▲",IF(P229&lt;&gt;'G-1 All Habitats'!$X$3,H229-S229-T229,IF(AND(P229='G-1 All Habitats'!$X$3,Y229="Yes"),"Unacceptable Loss ▲",IF(AND(P229='G-1 All Habitats'!$X$3,Y229="No"),AC229,IF(AND(P229='G-1 All Habitats'!$X$3,Y229=""),AC229,IF(AND(P229='G-1 All Habitats'!$X$3,AC229="None",AC229),IF(AND(P229='G-1 All Habitats'!$X$3,AC229&gt;0),H229-S229-T229))))))))</f>
        <v/>
      </c>
      <c r="X229" s="545" t="str">
        <f>IFERROR(IF(H229="","",IF(H229-S229-T229=0&lt;0,"Error in Areas ▲",IF(S229+T229&gt;H229,"Error in Areas ▲",IF(AND(P229='G-1 All Habitats'!$X$3,Y229="Yes"),"Alternative Compensation",IF(W229=0,0,IF(P229='G-1 All Habitats'!$X$3,"Unacceptable Loss",Q229-U229-V229)))))),"Check Data ⚠")</f>
        <v/>
      </c>
      <c r="Y229" s="72"/>
      <c r="Z229" s="151"/>
      <c r="AA229" s="152"/>
      <c r="AC229" s="251" t="str">
        <f>IF(P229="","",IF(P229='G-1 All Habitats'!$X$3,H229-S229-T229,"None"))</f>
        <v/>
      </c>
      <c r="AD229" s="252" t="str">
        <f t="shared" si="22"/>
        <v/>
      </c>
      <c r="AF229" s="156" t="str">
        <f t="shared" si="18"/>
        <v/>
      </c>
      <c r="AG229" s="156" t="str">
        <f t="shared" si="19"/>
        <v/>
      </c>
      <c r="AH229" s="156" t="str">
        <f>IF(I229="","",IF(#REF!&gt;0,TRUE,FALSE))</f>
        <v/>
      </c>
      <c r="AI229" s="156">
        <v>219</v>
      </c>
      <c r="AJ229" s="156"/>
      <c r="AK229" s="156" t="str">
        <f t="array" ref="AK229">IFERROR(INDEX($AI$11:$AI$259, MATCH(0, IF(TRUE=$AF$11:$AF$259, COUNTIF($AK$10:$AK228, $AI$11:$AI$259), ""), 0)),"")</f>
        <v/>
      </c>
      <c r="AL229" s="156" t="str">
        <f t="array" ref="AL229">IFERROR(INDEX($AI$11:$AI$259, MATCH(0, IF(TRUE=$AG$11:$AG$259, COUNTIF($AL$10:$AL228, $AI$11:$AI$259), ""), 0)),"")</f>
        <v/>
      </c>
      <c r="AM229" s="156" t="str">
        <f t="array" ref="AM229">IFERROR(INDEX($AI$11:$AI$259, MATCH(0, IF(TRUE=$AH$11:$AH$259, COUNTIF($AM$10:$AM228, $AI$11:$AI$259), ""), 0)),"")</f>
        <v/>
      </c>
      <c r="AQ229" s="31">
        <f t="shared" si="23"/>
        <v>0</v>
      </c>
    </row>
    <row r="230" spans="1:43" x14ac:dyDescent="0.3">
      <c r="A230" s="31" t="str">
        <f>IFERROR(INDEX('G-1 All Habitats'!$AG$3:$AG$15,MATCH(E230,'G-1 All Habitats'!$AF$3:$AF$15,0)),"")</f>
        <v/>
      </c>
      <c r="B230" s="31" t="str">
        <f>IFERROR(INDEX('G-8 Condition Look up'!$I$4:$I$130,MATCH(G230,'G-8 Condition Look up'!$A$4:$A$130,0)),"")</f>
        <v/>
      </c>
      <c r="D230" s="141">
        <v>220</v>
      </c>
      <c r="E230" s="203"/>
      <c r="F230" s="203"/>
      <c r="G230" s="250" t="str">
        <f>IFERROR(INDEX('G-1 All Habitats'!$B$3:$B$129,MATCH(F230,'G-1 All Habitats'!$A$3:$A$129,0)),"")</f>
        <v/>
      </c>
      <c r="H230" s="172"/>
      <c r="I230" s="498" t="str">
        <f>IF(G230="","",VLOOKUP(G230,'G-1 All Habitats'!$B$2:$M$129,10,FALSE))</f>
        <v/>
      </c>
      <c r="J230" s="499" t="str">
        <f>IFERROR(VLOOKUP(I230,'G-1 All Habitats'!$V$3:$W$7,2,FALSE),"")</f>
        <v/>
      </c>
      <c r="K230" s="145"/>
      <c r="L230" s="499" t="str">
        <f>IFERROR(INDEX('G-8 Condition Look up'!$A$3:$H$130,MATCH(G230,'G-8 Condition Look up'!$A$3:$A$130,0),MATCH(K230,'G-8 Condition Look up'!$A$3:$H$3,0)),"")</f>
        <v/>
      </c>
      <c r="M230" s="154"/>
      <c r="N230" s="520" t="str">
        <f>IF(M230="","",IF(VLOOKUP(M230,'G-3 Multipliers'!$L$3:$N$6,2,FALSE)=0,"Spatial Data Missing ⚠",VLOOKUP(M230,'G-3 Multipliers'!$L$3:$N$6,2,FALSE)))</f>
        <v/>
      </c>
      <c r="O230" s="524" t="str">
        <f>IF(M230="","",IF(VLOOKUP(M230,'G-3 Multipliers'!$L$3:$N$6,3,FALSE)=0,"Spatial Data Missing ⚠",VLOOKUP(M230,'G-3 Multipliers'!$L$3:$N$6,3,FALSE)))</f>
        <v/>
      </c>
      <c r="P230" s="506" t="str">
        <f>IFERROR(VLOOKUP(G230,'G-1 All Habitats'!$B$2:$M$129,12,FALSE),"")</f>
        <v/>
      </c>
      <c r="Q230" s="513" t="str">
        <f>IFERROR(IF(P230="","",IF(AND(P230='G-1 All Habitats'!$X$3,T230&gt;0),U230+V230,IF(AND(P230='G-1 All Habitats'!$X$3,S230&gt;0),U230+V230,IF(AND(P230='G-1 All Habitats'!$X$3,AC230&gt;0),"Any Loss Unacceptable",IF(AND(P230='G-1 All Habitats'!$X$3,W230&gt;0),"Any Loss Unacceptable",H230*J230*L230*O230))))),"Check Data ⚠")</f>
        <v/>
      </c>
      <c r="R230" s="50"/>
      <c r="S230" s="71"/>
      <c r="T230" s="72"/>
      <c r="U230" s="511" t="str">
        <f t="shared" si="20"/>
        <v/>
      </c>
      <c r="V230" s="511" t="str">
        <f t="shared" si="21"/>
        <v/>
      </c>
      <c r="W230" s="511" t="str">
        <f>IF(E230="","",IF(H230&lt;S230+T230,"Error in Areas ▲",IF(P230&lt;&gt;'G-1 All Habitats'!$X$3,H230-S230-T230,IF(AND(P230='G-1 All Habitats'!$X$3,Y230="Yes"),"Unacceptable Loss ▲",IF(AND(P230='G-1 All Habitats'!$X$3,Y230="No"),AC230,IF(AND(P230='G-1 All Habitats'!$X$3,Y230=""),AC230,IF(AND(P230='G-1 All Habitats'!$X$3,AC230="None",AC230),IF(AND(P230='G-1 All Habitats'!$X$3,AC230&gt;0),H230-S230-T230))))))))</f>
        <v/>
      </c>
      <c r="X230" s="545" t="str">
        <f>IFERROR(IF(H230="","",IF(H230-S230-T230=0&lt;0,"Error in Areas ▲",IF(S230+T230&gt;H230,"Error in Areas ▲",IF(AND(P230='G-1 All Habitats'!$X$3,Y230="Yes"),"Alternative Compensation",IF(W230=0,0,IF(P230='G-1 All Habitats'!$X$3,"Unacceptable Loss",Q230-U230-V230)))))),"Check Data ⚠")</f>
        <v/>
      </c>
      <c r="Y230" s="72"/>
      <c r="Z230" s="151"/>
      <c r="AA230" s="152"/>
      <c r="AC230" s="251" t="str">
        <f>IF(P230="","",IF(P230='G-1 All Habitats'!$X$3,H230-S230-T230,"None"))</f>
        <v/>
      </c>
      <c r="AD230" s="252" t="str">
        <f t="shared" si="22"/>
        <v/>
      </c>
      <c r="AF230" s="156" t="str">
        <f t="shared" si="18"/>
        <v/>
      </c>
      <c r="AG230" s="156" t="str">
        <f t="shared" si="19"/>
        <v/>
      </c>
      <c r="AH230" s="156" t="str">
        <f>IF(I230="","",IF(#REF!&gt;0,TRUE,FALSE))</f>
        <v/>
      </c>
      <c r="AI230" s="156">
        <v>220</v>
      </c>
      <c r="AJ230" s="156"/>
      <c r="AK230" s="156" t="str">
        <f t="array" ref="AK230">IFERROR(INDEX($AI$11:$AI$259, MATCH(0, IF(TRUE=$AF$11:$AF$259, COUNTIF($AK$10:$AK229, $AI$11:$AI$259), ""), 0)),"")</f>
        <v/>
      </c>
      <c r="AL230" s="156" t="str">
        <f t="array" ref="AL230">IFERROR(INDEX($AI$11:$AI$259, MATCH(0, IF(TRUE=$AG$11:$AG$259, COUNTIF($AL$10:$AL229, $AI$11:$AI$259), ""), 0)),"")</f>
        <v/>
      </c>
      <c r="AM230" s="156" t="str">
        <f t="array" ref="AM230">IFERROR(INDEX($AI$11:$AI$259, MATCH(0, IF(TRUE=$AH$11:$AH$259, COUNTIF($AM$10:$AM229, $AI$11:$AI$259), ""), 0)),"")</f>
        <v/>
      </c>
      <c r="AQ230" s="31">
        <f t="shared" si="23"/>
        <v>0</v>
      </c>
    </row>
    <row r="231" spans="1:43" x14ac:dyDescent="0.3">
      <c r="A231" s="31" t="str">
        <f>IFERROR(INDEX('G-1 All Habitats'!$AG$3:$AG$15,MATCH(E231,'G-1 All Habitats'!$AF$3:$AF$15,0)),"")</f>
        <v/>
      </c>
      <c r="B231" s="31" t="str">
        <f>IFERROR(INDEX('G-8 Condition Look up'!$I$4:$I$130,MATCH(G231,'G-8 Condition Look up'!$A$4:$A$130,0)),"")</f>
        <v/>
      </c>
      <c r="D231" s="141">
        <v>221</v>
      </c>
      <c r="E231" s="203"/>
      <c r="F231" s="203"/>
      <c r="G231" s="250" t="str">
        <f>IFERROR(INDEX('G-1 All Habitats'!$B$3:$B$129,MATCH(F231,'G-1 All Habitats'!$A$3:$A$129,0)),"")</f>
        <v/>
      </c>
      <c r="H231" s="172"/>
      <c r="I231" s="498" t="str">
        <f>IF(G231="","",VLOOKUP(G231,'G-1 All Habitats'!$B$2:$M$129,10,FALSE))</f>
        <v/>
      </c>
      <c r="J231" s="499" t="str">
        <f>IFERROR(VLOOKUP(I231,'G-1 All Habitats'!$V$3:$W$7,2,FALSE),"")</f>
        <v/>
      </c>
      <c r="K231" s="145"/>
      <c r="L231" s="499" t="str">
        <f>IFERROR(INDEX('G-8 Condition Look up'!$A$3:$H$130,MATCH(G231,'G-8 Condition Look up'!$A$3:$A$130,0),MATCH(K231,'G-8 Condition Look up'!$A$3:$H$3,0)),"")</f>
        <v/>
      </c>
      <c r="M231" s="154"/>
      <c r="N231" s="520" t="str">
        <f>IF(M231="","",IF(VLOOKUP(M231,'G-3 Multipliers'!$L$3:$N$6,2,FALSE)=0,"Spatial Data Missing ⚠",VLOOKUP(M231,'G-3 Multipliers'!$L$3:$N$6,2,FALSE)))</f>
        <v/>
      </c>
      <c r="O231" s="524" t="str">
        <f>IF(M231="","",IF(VLOOKUP(M231,'G-3 Multipliers'!$L$3:$N$6,3,FALSE)=0,"Spatial Data Missing ⚠",VLOOKUP(M231,'G-3 Multipliers'!$L$3:$N$6,3,FALSE)))</f>
        <v/>
      </c>
      <c r="P231" s="506" t="str">
        <f>IFERROR(VLOOKUP(G231,'G-1 All Habitats'!$B$2:$M$129,12,FALSE),"")</f>
        <v/>
      </c>
      <c r="Q231" s="513" t="str">
        <f>IFERROR(IF(P231="","",IF(AND(P231='G-1 All Habitats'!$X$3,T231&gt;0),U231+V231,IF(AND(P231='G-1 All Habitats'!$X$3,S231&gt;0),U231+V231,IF(AND(P231='G-1 All Habitats'!$X$3,AC231&gt;0),"Any Loss Unacceptable",IF(AND(P231='G-1 All Habitats'!$X$3,W231&gt;0),"Any Loss Unacceptable",H231*J231*L231*O231))))),"Check Data ⚠")</f>
        <v/>
      </c>
      <c r="R231" s="50"/>
      <c r="S231" s="71"/>
      <c r="T231" s="72"/>
      <c r="U231" s="511" t="str">
        <f t="shared" si="20"/>
        <v/>
      </c>
      <c r="V231" s="511" t="str">
        <f t="shared" si="21"/>
        <v/>
      </c>
      <c r="W231" s="511" t="str">
        <f>IF(E231="","",IF(H231&lt;S231+T231,"Error in Areas ▲",IF(P231&lt;&gt;'G-1 All Habitats'!$X$3,H231-S231-T231,IF(AND(P231='G-1 All Habitats'!$X$3,Y231="Yes"),"Unacceptable Loss ▲",IF(AND(P231='G-1 All Habitats'!$X$3,Y231="No"),AC231,IF(AND(P231='G-1 All Habitats'!$X$3,Y231=""),AC231,IF(AND(P231='G-1 All Habitats'!$X$3,AC231="None",AC231),IF(AND(P231='G-1 All Habitats'!$X$3,AC231&gt;0),H231-S231-T231))))))))</f>
        <v/>
      </c>
      <c r="X231" s="545" t="str">
        <f>IFERROR(IF(H231="","",IF(H231-S231-T231=0&lt;0,"Error in Areas ▲",IF(S231+T231&gt;H231,"Error in Areas ▲",IF(AND(P231='G-1 All Habitats'!$X$3,Y231="Yes"),"Alternative Compensation",IF(W231=0,0,IF(P231='G-1 All Habitats'!$X$3,"Unacceptable Loss",Q231-U231-V231)))))),"Check Data ⚠")</f>
        <v/>
      </c>
      <c r="Y231" s="72"/>
      <c r="Z231" s="151"/>
      <c r="AA231" s="152"/>
      <c r="AC231" s="251" t="str">
        <f>IF(P231="","",IF(P231='G-1 All Habitats'!$X$3,H231-S231-T231,"None"))</f>
        <v/>
      </c>
      <c r="AD231" s="252" t="str">
        <f t="shared" si="22"/>
        <v/>
      </c>
      <c r="AF231" s="156" t="str">
        <f t="shared" si="18"/>
        <v/>
      </c>
      <c r="AG231" s="156" t="str">
        <f t="shared" si="19"/>
        <v/>
      </c>
      <c r="AH231" s="156" t="str">
        <f>IF(I231="","",IF(#REF!&gt;0,TRUE,FALSE))</f>
        <v/>
      </c>
      <c r="AI231" s="156">
        <v>221</v>
      </c>
      <c r="AJ231" s="156"/>
      <c r="AK231" s="156" t="str">
        <f t="array" ref="AK231">IFERROR(INDEX($AI$11:$AI$259, MATCH(0, IF(TRUE=$AF$11:$AF$259, COUNTIF($AK$10:$AK230, $AI$11:$AI$259), ""), 0)),"")</f>
        <v/>
      </c>
      <c r="AL231" s="156" t="str">
        <f t="array" ref="AL231">IFERROR(INDEX($AI$11:$AI$259, MATCH(0, IF(TRUE=$AG$11:$AG$259, COUNTIF($AL$10:$AL230, $AI$11:$AI$259), ""), 0)),"")</f>
        <v/>
      </c>
      <c r="AM231" s="156" t="str">
        <f t="array" ref="AM231">IFERROR(INDEX($AI$11:$AI$259, MATCH(0, IF(TRUE=$AH$11:$AH$259, COUNTIF($AM$10:$AM230, $AI$11:$AI$259), ""), 0)),"")</f>
        <v/>
      </c>
      <c r="AQ231" s="31">
        <f t="shared" si="23"/>
        <v>0</v>
      </c>
    </row>
    <row r="232" spans="1:43" x14ac:dyDescent="0.3">
      <c r="A232" s="31" t="str">
        <f>IFERROR(INDEX('G-1 All Habitats'!$AG$3:$AG$15,MATCH(E232,'G-1 All Habitats'!$AF$3:$AF$15,0)),"")</f>
        <v/>
      </c>
      <c r="B232" s="31" t="str">
        <f>IFERROR(INDEX('G-8 Condition Look up'!$I$4:$I$130,MATCH(G232,'G-8 Condition Look up'!$A$4:$A$130,0)),"")</f>
        <v/>
      </c>
      <c r="D232" s="141">
        <v>222</v>
      </c>
      <c r="E232" s="203"/>
      <c r="F232" s="203"/>
      <c r="G232" s="250" t="str">
        <f>IFERROR(INDEX('G-1 All Habitats'!$B$3:$B$129,MATCH(F232,'G-1 All Habitats'!$A$3:$A$129,0)),"")</f>
        <v/>
      </c>
      <c r="H232" s="172"/>
      <c r="I232" s="498" t="str">
        <f>IF(G232="","",VLOOKUP(G232,'G-1 All Habitats'!$B$2:$M$129,10,FALSE))</f>
        <v/>
      </c>
      <c r="J232" s="499" t="str">
        <f>IFERROR(VLOOKUP(I232,'G-1 All Habitats'!$V$3:$W$7,2,FALSE),"")</f>
        <v/>
      </c>
      <c r="K232" s="145"/>
      <c r="L232" s="499" t="str">
        <f>IFERROR(INDEX('G-8 Condition Look up'!$A$3:$H$130,MATCH(G232,'G-8 Condition Look up'!$A$3:$A$130,0),MATCH(K232,'G-8 Condition Look up'!$A$3:$H$3,0)),"")</f>
        <v/>
      </c>
      <c r="M232" s="154"/>
      <c r="N232" s="520" t="str">
        <f>IF(M232="","",IF(VLOOKUP(M232,'G-3 Multipliers'!$L$3:$N$6,2,FALSE)=0,"Spatial Data Missing ⚠",VLOOKUP(M232,'G-3 Multipliers'!$L$3:$N$6,2,FALSE)))</f>
        <v/>
      </c>
      <c r="O232" s="524" t="str">
        <f>IF(M232="","",IF(VLOOKUP(M232,'G-3 Multipliers'!$L$3:$N$6,3,FALSE)=0,"Spatial Data Missing ⚠",VLOOKUP(M232,'G-3 Multipliers'!$L$3:$N$6,3,FALSE)))</f>
        <v/>
      </c>
      <c r="P232" s="506" t="str">
        <f>IFERROR(VLOOKUP(G232,'G-1 All Habitats'!$B$2:$M$129,12,FALSE),"")</f>
        <v/>
      </c>
      <c r="Q232" s="513" t="str">
        <f>IFERROR(IF(P232="","",IF(AND(P232='G-1 All Habitats'!$X$3,T232&gt;0),U232+V232,IF(AND(P232='G-1 All Habitats'!$X$3,S232&gt;0),U232+V232,IF(AND(P232='G-1 All Habitats'!$X$3,AC232&gt;0),"Any Loss Unacceptable",IF(AND(P232='G-1 All Habitats'!$X$3,W232&gt;0),"Any Loss Unacceptable",H232*J232*L232*O232))))),"Check Data ⚠")</f>
        <v/>
      </c>
      <c r="R232" s="50"/>
      <c r="S232" s="71"/>
      <c r="T232" s="72"/>
      <c r="U232" s="511" t="str">
        <f t="shared" si="20"/>
        <v/>
      </c>
      <c r="V232" s="511" t="str">
        <f t="shared" si="21"/>
        <v/>
      </c>
      <c r="W232" s="511" t="str">
        <f>IF(E232="","",IF(H232&lt;S232+T232,"Error in Areas ▲",IF(P232&lt;&gt;'G-1 All Habitats'!$X$3,H232-S232-T232,IF(AND(P232='G-1 All Habitats'!$X$3,Y232="Yes"),"Unacceptable Loss ▲",IF(AND(P232='G-1 All Habitats'!$X$3,Y232="No"),AC232,IF(AND(P232='G-1 All Habitats'!$X$3,Y232=""),AC232,IF(AND(P232='G-1 All Habitats'!$X$3,AC232="None",AC232),IF(AND(P232='G-1 All Habitats'!$X$3,AC232&gt;0),H232-S232-T232))))))))</f>
        <v/>
      </c>
      <c r="X232" s="545" t="str">
        <f>IFERROR(IF(H232="","",IF(H232-S232-T232=0&lt;0,"Error in Areas ▲",IF(S232+T232&gt;H232,"Error in Areas ▲",IF(AND(P232='G-1 All Habitats'!$X$3,Y232="Yes"),"Alternative Compensation",IF(W232=0,0,IF(P232='G-1 All Habitats'!$X$3,"Unacceptable Loss",Q232-U232-V232)))))),"Check Data ⚠")</f>
        <v/>
      </c>
      <c r="Y232" s="72"/>
      <c r="Z232" s="151"/>
      <c r="AA232" s="152"/>
      <c r="AC232" s="251" t="str">
        <f>IF(P232="","",IF(P232='G-1 All Habitats'!$X$3,H232-S232-T232,"None"))</f>
        <v/>
      </c>
      <c r="AD232" s="252" t="str">
        <f t="shared" si="22"/>
        <v/>
      </c>
      <c r="AF232" s="156" t="str">
        <f t="shared" si="18"/>
        <v/>
      </c>
      <c r="AG232" s="156" t="str">
        <f t="shared" si="19"/>
        <v/>
      </c>
      <c r="AH232" s="156" t="str">
        <f>IF(I232="","",IF(#REF!&gt;0,TRUE,FALSE))</f>
        <v/>
      </c>
      <c r="AI232" s="156">
        <v>222</v>
      </c>
      <c r="AJ232" s="156"/>
      <c r="AK232" s="156" t="str">
        <f t="array" ref="AK232">IFERROR(INDEX($AI$11:$AI$259, MATCH(0, IF(TRUE=$AF$11:$AF$259, COUNTIF($AK$10:$AK231, $AI$11:$AI$259), ""), 0)),"")</f>
        <v/>
      </c>
      <c r="AL232" s="156" t="str">
        <f t="array" ref="AL232">IFERROR(INDEX($AI$11:$AI$259, MATCH(0, IF(TRUE=$AG$11:$AG$259, COUNTIF($AL$10:$AL231, $AI$11:$AI$259), ""), 0)),"")</f>
        <v/>
      </c>
      <c r="AM232" s="156" t="str">
        <f t="array" ref="AM232">IFERROR(INDEX($AI$11:$AI$259, MATCH(0, IF(TRUE=$AH$11:$AH$259, COUNTIF($AM$10:$AM231, $AI$11:$AI$259), ""), 0)),"")</f>
        <v/>
      </c>
      <c r="AQ232" s="31">
        <f t="shared" si="23"/>
        <v>0</v>
      </c>
    </row>
    <row r="233" spans="1:43" x14ac:dyDescent="0.3">
      <c r="A233" s="31" t="str">
        <f>IFERROR(INDEX('G-1 All Habitats'!$AG$3:$AG$15,MATCH(E233,'G-1 All Habitats'!$AF$3:$AF$15,0)),"")</f>
        <v/>
      </c>
      <c r="B233" s="31" t="str">
        <f>IFERROR(INDEX('G-8 Condition Look up'!$I$4:$I$130,MATCH(G233,'G-8 Condition Look up'!$A$4:$A$130,0)),"")</f>
        <v/>
      </c>
      <c r="D233" s="141">
        <v>223</v>
      </c>
      <c r="E233" s="203"/>
      <c r="F233" s="203"/>
      <c r="G233" s="250" t="str">
        <f>IFERROR(INDEX('G-1 All Habitats'!$B$3:$B$129,MATCH(F233,'G-1 All Habitats'!$A$3:$A$129,0)),"")</f>
        <v/>
      </c>
      <c r="H233" s="172"/>
      <c r="I233" s="498" t="str">
        <f>IF(G233="","",VLOOKUP(G233,'G-1 All Habitats'!$B$2:$M$129,10,FALSE))</f>
        <v/>
      </c>
      <c r="J233" s="499" t="str">
        <f>IFERROR(VLOOKUP(I233,'G-1 All Habitats'!$V$3:$W$7,2,FALSE),"")</f>
        <v/>
      </c>
      <c r="K233" s="145"/>
      <c r="L233" s="499" t="str">
        <f>IFERROR(INDEX('G-8 Condition Look up'!$A$3:$H$130,MATCH(G233,'G-8 Condition Look up'!$A$3:$A$130,0),MATCH(K233,'G-8 Condition Look up'!$A$3:$H$3,0)),"")</f>
        <v/>
      </c>
      <c r="M233" s="154"/>
      <c r="N233" s="520" t="str">
        <f>IF(M233="","",IF(VLOOKUP(M233,'G-3 Multipliers'!$L$3:$N$6,2,FALSE)=0,"Spatial Data Missing ⚠",VLOOKUP(M233,'G-3 Multipliers'!$L$3:$N$6,2,FALSE)))</f>
        <v/>
      </c>
      <c r="O233" s="524" t="str">
        <f>IF(M233="","",IF(VLOOKUP(M233,'G-3 Multipliers'!$L$3:$N$6,3,FALSE)=0,"Spatial Data Missing ⚠",VLOOKUP(M233,'G-3 Multipliers'!$L$3:$N$6,3,FALSE)))</f>
        <v/>
      </c>
      <c r="P233" s="506" t="str">
        <f>IFERROR(VLOOKUP(G233,'G-1 All Habitats'!$B$2:$M$129,12,FALSE),"")</f>
        <v/>
      </c>
      <c r="Q233" s="513" t="str">
        <f>IFERROR(IF(P233="","",IF(AND(P233='G-1 All Habitats'!$X$3,T233&gt;0),U233+V233,IF(AND(P233='G-1 All Habitats'!$X$3,S233&gt;0),U233+V233,IF(AND(P233='G-1 All Habitats'!$X$3,AC233&gt;0),"Any Loss Unacceptable",IF(AND(P233='G-1 All Habitats'!$X$3,W233&gt;0),"Any Loss Unacceptable",H233*J233*L233*O233))))),"Check Data ⚠")</f>
        <v/>
      </c>
      <c r="R233" s="50"/>
      <c r="S233" s="71"/>
      <c r="T233" s="72"/>
      <c r="U233" s="511" t="str">
        <f t="shared" si="20"/>
        <v/>
      </c>
      <c r="V233" s="511" t="str">
        <f t="shared" si="21"/>
        <v/>
      </c>
      <c r="W233" s="511" t="str">
        <f>IF(E233="","",IF(H233&lt;S233+T233,"Error in Areas ▲",IF(P233&lt;&gt;'G-1 All Habitats'!$X$3,H233-S233-T233,IF(AND(P233='G-1 All Habitats'!$X$3,Y233="Yes"),"Unacceptable Loss ▲",IF(AND(P233='G-1 All Habitats'!$X$3,Y233="No"),AC233,IF(AND(P233='G-1 All Habitats'!$X$3,Y233=""),AC233,IF(AND(P233='G-1 All Habitats'!$X$3,AC233="None",AC233),IF(AND(P233='G-1 All Habitats'!$X$3,AC233&gt;0),H233-S233-T233))))))))</f>
        <v/>
      </c>
      <c r="X233" s="545" t="str">
        <f>IFERROR(IF(H233="","",IF(H233-S233-T233=0&lt;0,"Error in Areas ▲",IF(S233+T233&gt;H233,"Error in Areas ▲",IF(AND(P233='G-1 All Habitats'!$X$3,Y233="Yes"),"Alternative Compensation",IF(W233=0,0,IF(P233='G-1 All Habitats'!$X$3,"Unacceptable Loss",Q233-U233-V233)))))),"Check Data ⚠")</f>
        <v/>
      </c>
      <c r="Y233" s="72"/>
      <c r="Z233" s="151"/>
      <c r="AA233" s="152"/>
      <c r="AC233" s="251" t="str">
        <f>IF(P233="","",IF(P233='G-1 All Habitats'!$X$3,H233-S233-T233,"None"))</f>
        <v/>
      </c>
      <c r="AD233" s="252" t="str">
        <f t="shared" si="22"/>
        <v/>
      </c>
      <c r="AF233" s="156" t="str">
        <f t="shared" si="18"/>
        <v/>
      </c>
      <c r="AG233" s="156" t="str">
        <f t="shared" si="19"/>
        <v/>
      </c>
      <c r="AH233" s="156" t="str">
        <f>IF(I233="","",IF(#REF!&gt;0,TRUE,FALSE))</f>
        <v/>
      </c>
      <c r="AI233" s="156">
        <v>223</v>
      </c>
      <c r="AJ233" s="156"/>
      <c r="AK233" s="156" t="str">
        <f t="array" ref="AK233">IFERROR(INDEX($AI$11:$AI$259, MATCH(0, IF(TRUE=$AF$11:$AF$259, COUNTIF($AK$10:$AK232, $AI$11:$AI$259), ""), 0)),"")</f>
        <v/>
      </c>
      <c r="AL233" s="156" t="str">
        <f t="array" ref="AL233">IFERROR(INDEX($AI$11:$AI$259, MATCH(0, IF(TRUE=$AG$11:$AG$259, COUNTIF($AL$10:$AL232, $AI$11:$AI$259), ""), 0)),"")</f>
        <v/>
      </c>
      <c r="AM233" s="156" t="str">
        <f t="array" ref="AM233">IFERROR(INDEX($AI$11:$AI$259, MATCH(0, IF(TRUE=$AH$11:$AH$259, COUNTIF($AM$10:$AM232, $AI$11:$AI$259), ""), 0)),"")</f>
        <v/>
      </c>
      <c r="AQ233" s="31">
        <f t="shared" si="23"/>
        <v>0</v>
      </c>
    </row>
    <row r="234" spans="1:43" x14ac:dyDescent="0.3">
      <c r="A234" s="31" t="str">
        <f>IFERROR(INDEX('G-1 All Habitats'!$AG$3:$AG$15,MATCH(E234,'G-1 All Habitats'!$AF$3:$AF$15,0)),"")</f>
        <v/>
      </c>
      <c r="B234" s="31" t="str">
        <f>IFERROR(INDEX('G-8 Condition Look up'!$I$4:$I$130,MATCH(G234,'G-8 Condition Look up'!$A$4:$A$130,0)),"")</f>
        <v/>
      </c>
      <c r="D234" s="141">
        <v>224</v>
      </c>
      <c r="E234" s="203"/>
      <c r="F234" s="203"/>
      <c r="G234" s="250" t="str">
        <f>IFERROR(INDEX('G-1 All Habitats'!$B$3:$B$129,MATCH(F234,'G-1 All Habitats'!$A$3:$A$129,0)),"")</f>
        <v/>
      </c>
      <c r="H234" s="172"/>
      <c r="I234" s="498" t="str">
        <f>IF(G234="","",VLOOKUP(G234,'G-1 All Habitats'!$B$2:$M$129,10,FALSE))</f>
        <v/>
      </c>
      <c r="J234" s="499" t="str">
        <f>IFERROR(VLOOKUP(I234,'G-1 All Habitats'!$V$3:$W$7,2,FALSE),"")</f>
        <v/>
      </c>
      <c r="K234" s="145"/>
      <c r="L234" s="499" t="str">
        <f>IFERROR(INDEX('G-8 Condition Look up'!$A$3:$H$130,MATCH(G234,'G-8 Condition Look up'!$A$3:$A$130,0),MATCH(K234,'G-8 Condition Look up'!$A$3:$H$3,0)),"")</f>
        <v/>
      </c>
      <c r="M234" s="154"/>
      <c r="N234" s="520" t="str">
        <f>IF(M234="","",IF(VLOOKUP(M234,'G-3 Multipliers'!$L$3:$N$6,2,FALSE)=0,"Spatial Data Missing ⚠",VLOOKUP(M234,'G-3 Multipliers'!$L$3:$N$6,2,FALSE)))</f>
        <v/>
      </c>
      <c r="O234" s="524" t="str">
        <f>IF(M234="","",IF(VLOOKUP(M234,'G-3 Multipliers'!$L$3:$N$6,3,FALSE)=0,"Spatial Data Missing ⚠",VLOOKUP(M234,'G-3 Multipliers'!$L$3:$N$6,3,FALSE)))</f>
        <v/>
      </c>
      <c r="P234" s="506" t="str">
        <f>IFERROR(VLOOKUP(G234,'G-1 All Habitats'!$B$2:$M$129,12,FALSE),"")</f>
        <v/>
      </c>
      <c r="Q234" s="513" t="str">
        <f>IFERROR(IF(P234="","",IF(AND(P234='G-1 All Habitats'!$X$3,T234&gt;0),U234+V234,IF(AND(P234='G-1 All Habitats'!$X$3,S234&gt;0),U234+V234,IF(AND(P234='G-1 All Habitats'!$X$3,AC234&gt;0),"Any Loss Unacceptable",IF(AND(P234='G-1 All Habitats'!$X$3,W234&gt;0),"Any Loss Unacceptable",H234*J234*L234*O234))))),"Check Data ⚠")</f>
        <v/>
      </c>
      <c r="R234" s="50"/>
      <c r="S234" s="71"/>
      <c r="T234" s="72"/>
      <c r="U234" s="511" t="str">
        <f t="shared" si="20"/>
        <v/>
      </c>
      <c r="V234" s="511" t="str">
        <f t="shared" si="21"/>
        <v/>
      </c>
      <c r="W234" s="511" t="str">
        <f>IF(E234="","",IF(H234&lt;S234+T234,"Error in Areas ▲",IF(P234&lt;&gt;'G-1 All Habitats'!$X$3,H234-S234-T234,IF(AND(P234='G-1 All Habitats'!$X$3,Y234="Yes"),"Unacceptable Loss ▲",IF(AND(P234='G-1 All Habitats'!$X$3,Y234="No"),AC234,IF(AND(P234='G-1 All Habitats'!$X$3,Y234=""),AC234,IF(AND(P234='G-1 All Habitats'!$X$3,AC234="None",AC234),IF(AND(P234='G-1 All Habitats'!$X$3,AC234&gt;0),H234-S234-T234))))))))</f>
        <v/>
      </c>
      <c r="X234" s="545" t="str">
        <f>IFERROR(IF(H234="","",IF(H234-S234-T234=0&lt;0,"Error in Areas ▲",IF(S234+T234&gt;H234,"Error in Areas ▲",IF(AND(P234='G-1 All Habitats'!$X$3,Y234="Yes"),"Alternative Compensation",IF(W234=0,0,IF(P234='G-1 All Habitats'!$X$3,"Unacceptable Loss",Q234-U234-V234)))))),"Check Data ⚠")</f>
        <v/>
      </c>
      <c r="Y234" s="72"/>
      <c r="Z234" s="151"/>
      <c r="AA234" s="152"/>
      <c r="AC234" s="251" t="str">
        <f>IF(P234="","",IF(P234='G-1 All Habitats'!$X$3,H234-S234-T234,"None"))</f>
        <v/>
      </c>
      <c r="AD234" s="252" t="str">
        <f t="shared" si="22"/>
        <v/>
      </c>
      <c r="AF234" s="156" t="str">
        <f t="shared" si="18"/>
        <v/>
      </c>
      <c r="AG234" s="156" t="str">
        <f t="shared" si="19"/>
        <v/>
      </c>
      <c r="AH234" s="156" t="str">
        <f>IF(I234="","",IF(#REF!&gt;0,TRUE,FALSE))</f>
        <v/>
      </c>
      <c r="AI234" s="156">
        <v>224</v>
      </c>
      <c r="AJ234" s="156"/>
      <c r="AK234" s="156" t="str">
        <f t="array" ref="AK234">IFERROR(INDEX($AI$11:$AI$259, MATCH(0, IF(TRUE=$AF$11:$AF$259, COUNTIF($AK$10:$AK233, $AI$11:$AI$259), ""), 0)),"")</f>
        <v/>
      </c>
      <c r="AL234" s="156" t="str">
        <f t="array" ref="AL234">IFERROR(INDEX($AI$11:$AI$259, MATCH(0, IF(TRUE=$AG$11:$AG$259, COUNTIF($AL$10:$AL233, $AI$11:$AI$259), ""), 0)),"")</f>
        <v/>
      </c>
      <c r="AM234" s="156" t="str">
        <f t="array" ref="AM234">IFERROR(INDEX($AI$11:$AI$259, MATCH(0, IF(TRUE=$AH$11:$AH$259, COUNTIF($AM$10:$AM233, $AI$11:$AI$259), ""), 0)),"")</f>
        <v/>
      </c>
      <c r="AQ234" s="31">
        <f t="shared" si="23"/>
        <v>0</v>
      </c>
    </row>
    <row r="235" spans="1:43" x14ac:dyDescent="0.3">
      <c r="A235" s="31" t="str">
        <f>IFERROR(INDEX('G-1 All Habitats'!$AG$3:$AG$15,MATCH(E235,'G-1 All Habitats'!$AF$3:$AF$15,0)),"")</f>
        <v/>
      </c>
      <c r="B235" s="31" t="str">
        <f>IFERROR(INDEX('G-8 Condition Look up'!$I$4:$I$130,MATCH(G235,'G-8 Condition Look up'!$A$4:$A$130,0)),"")</f>
        <v/>
      </c>
      <c r="D235" s="141">
        <v>225</v>
      </c>
      <c r="E235" s="203"/>
      <c r="F235" s="203"/>
      <c r="G235" s="250" t="str">
        <f>IFERROR(INDEX('G-1 All Habitats'!$B$3:$B$129,MATCH(F235,'G-1 All Habitats'!$A$3:$A$129,0)),"")</f>
        <v/>
      </c>
      <c r="H235" s="172"/>
      <c r="I235" s="498" t="str">
        <f>IF(G235="","",VLOOKUP(G235,'G-1 All Habitats'!$B$2:$M$129,10,FALSE))</f>
        <v/>
      </c>
      <c r="J235" s="499" t="str">
        <f>IFERROR(VLOOKUP(I235,'G-1 All Habitats'!$V$3:$W$7,2,FALSE),"")</f>
        <v/>
      </c>
      <c r="K235" s="145"/>
      <c r="L235" s="499" t="str">
        <f>IFERROR(INDEX('G-8 Condition Look up'!$A$3:$H$130,MATCH(G235,'G-8 Condition Look up'!$A$3:$A$130,0),MATCH(K235,'G-8 Condition Look up'!$A$3:$H$3,0)),"")</f>
        <v/>
      </c>
      <c r="M235" s="154"/>
      <c r="N235" s="520" t="str">
        <f>IF(M235="","",IF(VLOOKUP(M235,'G-3 Multipliers'!$L$3:$N$6,2,FALSE)=0,"Spatial Data Missing ⚠",VLOOKUP(M235,'G-3 Multipliers'!$L$3:$N$6,2,FALSE)))</f>
        <v/>
      </c>
      <c r="O235" s="524" t="str">
        <f>IF(M235="","",IF(VLOOKUP(M235,'G-3 Multipliers'!$L$3:$N$6,3,FALSE)=0,"Spatial Data Missing ⚠",VLOOKUP(M235,'G-3 Multipliers'!$L$3:$N$6,3,FALSE)))</f>
        <v/>
      </c>
      <c r="P235" s="506" t="str">
        <f>IFERROR(VLOOKUP(G235,'G-1 All Habitats'!$B$2:$M$129,12,FALSE),"")</f>
        <v/>
      </c>
      <c r="Q235" s="513" t="str">
        <f>IFERROR(IF(P235="","",IF(AND(P235='G-1 All Habitats'!$X$3,T235&gt;0),U235+V235,IF(AND(P235='G-1 All Habitats'!$X$3,S235&gt;0),U235+V235,IF(AND(P235='G-1 All Habitats'!$X$3,AC235&gt;0),"Any Loss Unacceptable",IF(AND(P235='G-1 All Habitats'!$X$3,W235&gt;0),"Any Loss Unacceptable",H235*J235*L235*O235))))),"Check Data ⚠")</f>
        <v/>
      </c>
      <c r="R235" s="50"/>
      <c r="S235" s="71"/>
      <c r="T235" s="72"/>
      <c r="U235" s="511" t="str">
        <f t="shared" si="20"/>
        <v/>
      </c>
      <c r="V235" s="511" t="str">
        <f t="shared" si="21"/>
        <v/>
      </c>
      <c r="W235" s="511" t="str">
        <f>IF(E235="","",IF(H235&lt;S235+T235,"Error in Areas ▲",IF(P235&lt;&gt;'G-1 All Habitats'!$X$3,H235-S235-T235,IF(AND(P235='G-1 All Habitats'!$X$3,Y235="Yes"),"Unacceptable Loss ▲",IF(AND(P235='G-1 All Habitats'!$X$3,Y235="No"),AC235,IF(AND(P235='G-1 All Habitats'!$X$3,Y235=""),AC235,IF(AND(P235='G-1 All Habitats'!$X$3,AC235="None",AC235),IF(AND(P235='G-1 All Habitats'!$X$3,AC235&gt;0),H235-S235-T235))))))))</f>
        <v/>
      </c>
      <c r="X235" s="545" t="str">
        <f>IFERROR(IF(H235="","",IF(H235-S235-T235=0&lt;0,"Error in Areas ▲",IF(S235+T235&gt;H235,"Error in Areas ▲",IF(AND(P235='G-1 All Habitats'!$X$3,Y235="Yes"),"Alternative Compensation",IF(W235=0,0,IF(P235='G-1 All Habitats'!$X$3,"Unacceptable Loss",Q235-U235-V235)))))),"Check Data ⚠")</f>
        <v/>
      </c>
      <c r="Y235" s="72"/>
      <c r="Z235" s="151"/>
      <c r="AA235" s="152"/>
      <c r="AC235" s="251" t="str">
        <f>IF(P235="","",IF(P235='G-1 All Habitats'!$X$3,H235-S235-T235,"None"))</f>
        <v/>
      </c>
      <c r="AD235" s="252" t="str">
        <f t="shared" si="22"/>
        <v/>
      </c>
      <c r="AF235" s="156" t="str">
        <f t="shared" si="18"/>
        <v/>
      </c>
      <c r="AG235" s="156" t="str">
        <f t="shared" si="19"/>
        <v/>
      </c>
      <c r="AH235" s="156" t="str">
        <f>IF(I235="","",IF(#REF!&gt;0,TRUE,FALSE))</f>
        <v/>
      </c>
      <c r="AI235" s="156">
        <v>225</v>
      </c>
      <c r="AJ235" s="156"/>
      <c r="AK235" s="156" t="str">
        <f t="array" ref="AK235">IFERROR(INDEX($AI$11:$AI$259, MATCH(0, IF(TRUE=$AF$11:$AF$259, COUNTIF($AK$10:$AK234, $AI$11:$AI$259), ""), 0)),"")</f>
        <v/>
      </c>
      <c r="AL235" s="156" t="str">
        <f t="array" ref="AL235">IFERROR(INDEX($AI$11:$AI$259, MATCH(0, IF(TRUE=$AG$11:$AG$259, COUNTIF($AL$10:$AL234, $AI$11:$AI$259), ""), 0)),"")</f>
        <v/>
      </c>
      <c r="AM235" s="156" t="str">
        <f t="array" ref="AM235">IFERROR(INDEX($AI$11:$AI$259, MATCH(0, IF(TRUE=$AH$11:$AH$259, COUNTIF($AM$10:$AM234, $AI$11:$AI$259), ""), 0)),"")</f>
        <v/>
      </c>
      <c r="AQ235" s="31">
        <f t="shared" si="23"/>
        <v>0</v>
      </c>
    </row>
    <row r="236" spans="1:43" x14ac:dyDescent="0.3">
      <c r="A236" s="31" t="str">
        <f>IFERROR(INDEX('G-1 All Habitats'!$AG$3:$AG$15,MATCH(E236,'G-1 All Habitats'!$AF$3:$AF$15,0)),"")</f>
        <v/>
      </c>
      <c r="B236" s="31" t="str">
        <f>IFERROR(INDEX('G-8 Condition Look up'!$I$4:$I$130,MATCH(G236,'G-8 Condition Look up'!$A$4:$A$130,0)),"")</f>
        <v/>
      </c>
      <c r="D236" s="141">
        <v>226</v>
      </c>
      <c r="E236" s="203"/>
      <c r="F236" s="203"/>
      <c r="G236" s="250" t="str">
        <f>IFERROR(INDEX('G-1 All Habitats'!$B$3:$B$129,MATCH(F236,'G-1 All Habitats'!$A$3:$A$129,0)),"")</f>
        <v/>
      </c>
      <c r="H236" s="172"/>
      <c r="I236" s="498" t="str">
        <f>IF(G236="","",VLOOKUP(G236,'G-1 All Habitats'!$B$2:$M$129,10,FALSE))</f>
        <v/>
      </c>
      <c r="J236" s="499" t="str">
        <f>IFERROR(VLOOKUP(I236,'G-1 All Habitats'!$V$3:$W$7,2,FALSE),"")</f>
        <v/>
      </c>
      <c r="K236" s="145"/>
      <c r="L236" s="499" t="str">
        <f>IFERROR(INDEX('G-8 Condition Look up'!$A$3:$H$130,MATCH(G236,'G-8 Condition Look up'!$A$3:$A$130,0),MATCH(K236,'G-8 Condition Look up'!$A$3:$H$3,0)),"")</f>
        <v/>
      </c>
      <c r="M236" s="154"/>
      <c r="N236" s="520" t="str">
        <f>IF(M236="","",IF(VLOOKUP(M236,'G-3 Multipliers'!$L$3:$N$6,2,FALSE)=0,"Spatial Data Missing ⚠",VLOOKUP(M236,'G-3 Multipliers'!$L$3:$N$6,2,FALSE)))</f>
        <v/>
      </c>
      <c r="O236" s="524" t="str">
        <f>IF(M236="","",IF(VLOOKUP(M236,'G-3 Multipliers'!$L$3:$N$6,3,FALSE)=0,"Spatial Data Missing ⚠",VLOOKUP(M236,'G-3 Multipliers'!$L$3:$N$6,3,FALSE)))</f>
        <v/>
      </c>
      <c r="P236" s="506" t="str">
        <f>IFERROR(VLOOKUP(G236,'G-1 All Habitats'!$B$2:$M$129,12,FALSE),"")</f>
        <v/>
      </c>
      <c r="Q236" s="513" t="str">
        <f>IFERROR(IF(P236="","",IF(AND(P236='G-1 All Habitats'!$X$3,T236&gt;0),U236+V236,IF(AND(P236='G-1 All Habitats'!$X$3,S236&gt;0),U236+V236,IF(AND(P236='G-1 All Habitats'!$X$3,AC236&gt;0),"Any Loss Unacceptable",IF(AND(P236='G-1 All Habitats'!$X$3,W236&gt;0),"Any Loss Unacceptable",H236*J236*L236*O236))))),"Check Data ⚠")</f>
        <v/>
      </c>
      <c r="R236" s="50"/>
      <c r="S236" s="71"/>
      <c r="T236" s="72"/>
      <c r="U236" s="511" t="str">
        <f t="shared" si="20"/>
        <v/>
      </c>
      <c r="V236" s="511" t="str">
        <f t="shared" si="21"/>
        <v/>
      </c>
      <c r="W236" s="511" t="str">
        <f>IF(E236="","",IF(H236&lt;S236+T236,"Error in Areas ▲",IF(P236&lt;&gt;'G-1 All Habitats'!$X$3,H236-S236-T236,IF(AND(P236='G-1 All Habitats'!$X$3,Y236="Yes"),"Unacceptable Loss ▲",IF(AND(P236='G-1 All Habitats'!$X$3,Y236="No"),AC236,IF(AND(P236='G-1 All Habitats'!$X$3,Y236=""),AC236,IF(AND(P236='G-1 All Habitats'!$X$3,AC236="None",AC236),IF(AND(P236='G-1 All Habitats'!$X$3,AC236&gt;0),H236-S236-T236))))))))</f>
        <v/>
      </c>
      <c r="X236" s="545" t="str">
        <f>IFERROR(IF(H236="","",IF(H236-S236-T236=0&lt;0,"Error in Areas ▲",IF(S236+T236&gt;H236,"Error in Areas ▲",IF(AND(P236='G-1 All Habitats'!$X$3,Y236="Yes"),"Alternative Compensation",IF(W236=0,0,IF(P236='G-1 All Habitats'!$X$3,"Unacceptable Loss",Q236-U236-V236)))))),"Check Data ⚠")</f>
        <v/>
      </c>
      <c r="Y236" s="72"/>
      <c r="Z236" s="151"/>
      <c r="AA236" s="152"/>
      <c r="AC236" s="251" t="str">
        <f>IF(P236="","",IF(P236='G-1 All Habitats'!$X$3,H236-S236-T236,"None"))</f>
        <v/>
      </c>
      <c r="AD236" s="252" t="str">
        <f t="shared" si="22"/>
        <v/>
      </c>
      <c r="AF236" s="156" t="str">
        <f t="shared" si="18"/>
        <v/>
      </c>
      <c r="AG236" s="156" t="str">
        <f t="shared" si="19"/>
        <v/>
      </c>
      <c r="AH236" s="156" t="str">
        <f>IF(I236="","",IF(#REF!&gt;0,TRUE,FALSE))</f>
        <v/>
      </c>
      <c r="AI236" s="156">
        <v>226</v>
      </c>
      <c r="AJ236" s="156"/>
      <c r="AK236" s="156" t="str">
        <f t="array" ref="AK236">IFERROR(INDEX($AI$11:$AI$259, MATCH(0, IF(TRUE=$AF$11:$AF$259, COUNTIF($AK$10:$AK235, $AI$11:$AI$259), ""), 0)),"")</f>
        <v/>
      </c>
      <c r="AL236" s="156" t="str">
        <f t="array" ref="AL236">IFERROR(INDEX($AI$11:$AI$259, MATCH(0, IF(TRUE=$AG$11:$AG$259, COUNTIF($AL$10:$AL235, $AI$11:$AI$259), ""), 0)),"")</f>
        <v/>
      </c>
      <c r="AM236" s="156" t="str">
        <f t="array" ref="AM236">IFERROR(INDEX($AI$11:$AI$259, MATCH(0, IF(TRUE=$AH$11:$AH$259, COUNTIF($AM$10:$AM235, $AI$11:$AI$259), ""), 0)),"")</f>
        <v/>
      </c>
      <c r="AQ236" s="31">
        <f t="shared" si="23"/>
        <v>0</v>
      </c>
    </row>
    <row r="237" spans="1:43" x14ac:dyDescent="0.3">
      <c r="A237" s="31" t="str">
        <f>IFERROR(INDEX('G-1 All Habitats'!$AG$3:$AG$15,MATCH(E237,'G-1 All Habitats'!$AF$3:$AF$15,0)),"")</f>
        <v/>
      </c>
      <c r="B237" s="31" t="str">
        <f>IFERROR(INDEX('G-8 Condition Look up'!$I$4:$I$130,MATCH(G237,'G-8 Condition Look up'!$A$4:$A$130,0)),"")</f>
        <v/>
      </c>
      <c r="D237" s="141">
        <v>227</v>
      </c>
      <c r="E237" s="203"/>
      <c r="F237" s="203"/>
      <c r="G237" s="250" t="str">
        <f>IFERROR(INDEX('G-1 All Habitats'!$B$3:$B$129,MATCH(F237,'G-1 All Habitats'!$A$3:$A$129,0)),"")</f>
        <v/>
      </c>
      <c r="H237" s="172"/>
      <c r="I237" s="498" t="str">
        <f>IF(G237="","",VLOOKUP(G237,'G-1 All Habitats'!$B$2:$M$129,10,FALSE))</f>
        <v/>
      </c>
      <c r="J237" s="499" t="str">
        <f>IFERROR(VLOOKUP(I237,'G-1 All Habitats'!$V$3:$W$7,2,FALSE),"")</f>
        <v/>
      </c>
      <c r="K237" s="145"/>
      <c r="L237" s="499" t="str">
        <f>IFERROR(INDEX('G-8 Condition Look up'!$A$3:$H$130,MATCH(G237,'G-8 Condition Look up'!$A$3:$A$130,0),MATCH(K237,'G-8 Condition Look up'!$A$3:$H$3,0)),"")</f>
        <v/>
      </c>
      <c r="M237" s="154"/>
      <c r="N237" s="520" t="str">
        <f>IF(M237="","",IF(VLOOKUP(M237,'G-3 Multipliers'!$L$3:$N$6,2,FALSE)=0,"Spatial Data Missing ⚠",VLOOKUP(M237,'G-3 Multipliers'!$L$3:$N$6,2,FALSE)))</f>
        <v/>
      </c>
      <c r="O237" s="524" t="str">
        <f>IF(M237="","",IF(VLOOKUP(M237,'G-3 Multipliers'!$L$3:$N$6,3,FALSE)=0,"Spatial Data Missing ⚠",VLOOKUP(M237,'G-3 Multipliers'!$L$3:$N$6,3,FALSE)))</f>
        <v/>
      </c>
      <c r="P237" s="506" t="str">
        <f>IFERROR(VLOOKUP(G237,'G-1 All Habitats'!$B$2:$M$129,12,FALSE),"")</f>
        <v/>
      </c>
      <c r="Q237" s="513" t="str">
        <f>IFERROR(IF(P237="","",IF(AND(P237='G-1 All Habitats'!$X$3,T237&gt;0),U237+V237,IF(AND(P237='G-1 All Habitats'!$X$3,S237&gt;0),U237+V237,IF(AND(P237='G-1 All Habitats'!$X$3,AC237&gt;0),"Any Loss Unacceptable",IF(AND(P237='G-1 All Habitats'!$X$3,W237&gt;0),"Any Loss Unacceptable",H237*J237*L237*O237))))),"Check Data ⚠")</f>
        <v/>
      </c>
      <c r="R237" s="50"/>
      <c r="S237" s="71"/>
      <c r="T237" s="72"/>
      <c r="U237" s="511" t="str">
        <f t="shared" si="20"/>
        <v/>
      </c>
      <c r="V237" s="511" t="str">
        <f t="shared" si="21"/>
        <v/>
      </c>
      <c r="W237" s="511" t="str">
        <f>IF(E237="","",IF(H237&lt;S237+T237,"Error in Areas ▲",IF(P237&lt;&gt;'G-1 All Habitats'!$X$3,H237-S237-T237,IF(AND(P237='G-1 All Habitats'!$X$3,Y237="Yes"),"Unacceptable Loss ▲",IF(AND(P237='G-1 All Habitats'!$X$3,Y237="No"),AC237,IF(AND(P237='G-1 All Habitats'!$X$3,Y237=""),AC237,IF(AND(P237='G-1 All Habitats'!$X$3,AC237="None",AC237),IF(AND(P237='G-1 All Habitats'!$X$3,AC237&gt;0),H237-S237-T237))))))))</f>
        <v/>
      </c>
      <c r="X237" s="545" t="str">
        <f>IFERROR(IF(H237="","",IF(H237-S237-T237=0&lt;0,"Error in Areas ▲",IF(S237+T237&gt;H237,"Error in Areas ▲",IF(AND(P237='G-1 All Habitats'!$X$3,Y237="Yes"),"Alternative Compensation",IF(W237=0,0,IF(P237='G-1 All Habitats'!$X$3,"Unacceptable Loss",Q237-U237-V237)))))),"Check Data ⚠")</f>
        <v/>
      </c>
      <c r="Y237" s="72"/>
      <c r="Z237" s="151"/>
      <c r="AA237" s="152"/>
      <c r="AC237" s="251" t="str">
        <f>IF(P237="","",IF(P237='G-1 All Habitats'!$X$3,H237-S237-T237,"None"))</f>
        <v/>
      </c>
      <c r="AD237" s="252" t="str">
        <f t="shared" si="22"/>
        <v/>
      </c>
      <c r="AF237" s="156" t="str">
        <f t="shared" si="18"/>
        <v/>
      </c>
      <c r="AG237" s="156" t="str">
        <f t="shared" si="19"/>
        <v/>
      </c>
      <c r="AH237" s="156" t="str">
        <f>IF(I237="","",IF(#REF!&gt;0,TRUE,FALSE))</f>
        <v/>
      </c>
      <c r="AI237" s="156">
        <v>227</v>
      </c>
      <c r="AJ237" s="156"/>
      <c r="AK237" s="156" t="str">
        <f t="array" ref="AK237">IFERROR(INDEX($AI$11:$AI$259, MATCH(0, IF(TRUE=$AF$11:$AF$259, COUNTIF($AK$10:$AK236, $AI$11:$AI$259), ""), 0)),"")</f>
        <v/>
      </c>
      <c r="AL237" s="156" t="str">
        <f t="array" ref="AL237">IFERROR(INDEX($AI$11:$AI$259, MATCH(0, IF(TRUE=$AG$11:$AG$259, COUNTIF($AL$10:$AL236, $AI$11:$AI$259), ""), 0)),"")</f>
        <v/>
      </c>
      <c r="AM237" s="156" t="str">
        <f t="array" ref="AM237">IFERROR(INDEX($AI$11:$AI$259, MATCH(0, IF(TRUE=$AH$11:$AH$259, COUNTIF($AM$10:$AM236, $AI$11:$AI$259), ""), 0)),"")</f>
        <v/>
      </c>
      <c r="AQ237" s="31">
        <f t="shared" si="23"/>
        <v>0</v>
      </c>
    </row>
    <row r="238" spans="1:43" x14ac:dyDescent="0.3">
      <c r="A238" s="31" t="str">
        <f>IFERROR(INDEX('G-1 All Habitats'!$AG$3:$AG$15,MATCH(E238,'G-1 All Habitats'!$AF$3:$AF$15,0)),"")</f>
        <v/>
      </c>
      <c r="B238" s="31" t="str">
        <f>IFERROR(INDEX('G-8 Condition Look up'!$I$4:$I$130,MATCH(G238,'G-8 Condition Look up'!$A$4:$A$130,0)),"")</f>
        <v/>
      </c>
      <c r="D238" s="141">
        <v>228</v>
      </c>
      <c r="E238" s="203"/>
      <c r="F238" s="203"/>
      <c r="G238" s="250" t="str">
        <f>IFERROR(INDEX('G-1 All Habitats'!$B$3:$B$129,MATCH(F238,'G-1 All Habitats'!$A$3:$A$129,0)),"")</f>
        <v/>
      </c>
      <c r="H238" s="172"/>
      <c r="I238" s="498" t="str">
        <f>IF(G238="","",VLOOKUP(G238,'G-1 All Habitats'!$B$2:$M$129,10,FALSE))</f>
        <v/>
      </c>
      <c r="J238" s="499" t="str">
        <f>IFERROR(VLOOKUP(I238,'G-1 All Habitats'!$V$3:$W$7,2,FALSE),"")</f>
        <v/>
      </c>
      <c r="K238" s="145"/>
      <c r="L238" s="499" t="str">
        <f>IFERROR(INDEX('G-8 Condition Look up'!$A$3:$H$130,MATCH(G238,'G-8 Condition Look up'!$A$3:$A$130,0),MATCH(K238,'G-8 Condition Look up'!$A$3:$H$3,0)),"")</f>
        <v/>
      </c>
      <c r="M238" s="154"/>
      <c r="N238" s="520" t="str">
        <f>IF(M238="","",IF(VLOOKUP(M238,'G-3 Multipliers'!$L$3:$N$6,2,FALSE)=0,"Spatial Data Missing ⚠",VLOOKUP(M238,'G-3 Multipliers'!$L$3:$N$6,2,FALSE)))</f>
        <v/>
      </c>
      <c r="O238" s="524" t="str">
        <f>IF(M238="","",IF(VLOOKUP(M238,'G-3 Multipliers'!$L$3:$N$6,3,FALSE)=0,"Spatial Data Missing ⚠",VLOOKUP(M238,'G-3 Multipliers'!$L$3:$N$6,3,FALSE)))</f>
        <v/>
      </c>
      <c r="P238" s="506" t="str">
        <f>IFERROR(VLOOKUP(G238,'G-1 All Habitats'!$B$2:$M$129,12,FALSE),"")</f>
        <v/>
      </c>
      <c r="Q238" s="513" t="str">
        <f>IFERROR(IF(P238="","",IF(AND(P238='G-1 All Habitats'!$X$3,T238&gt;0),U238+V238,IF(AND(P238='G-1 All Habitats'!$X$3,S238&gt;0),U238+V238,IF(AND(P238='G-1 All Habitats'!$X$3,AC238&gt;0),"Any Loss Unacceptable",IF(AND(P238='G-1 All Habitats'!$X$3,W238&gt;0),"Any Loss Unacceptable",H238*J238*L238*O238))))),"Check Data ⚠")</f>
        <v/>
      </c>
      <c r="R238" s="50"/>
      <c r="S238" s="71"/>
      <c r="T238" s="72"/>
      <c r="U238" s="511" t="str">
        <f t="shared" si="20"/>
        <v/>
      </c>
      <c r="V238" s="511" t="str">
        <f t="shared" si="21"/>
        <v/>
      </c>
      <c r="W238" s="511" t="str">
        <f>IF(E238="","",IF(H238&lt;S238+T238,"Error in Areas ▲",IF(P238&lt;&gt;'G-1 All Habitats'!$X$3,H238-S238-T238,IF(AND(P238='G-1 All Habitats'!$X$3,Y238="Yes"),"Unacceptable Loss ▲",IF(AND(P238='G-1 All Habitats'!$X$3,Y238="No"),AC238,IF(AND(P238='G-1 All Habitats'!$X$3,Y238=""),AC238,IF(AND(P238='G-1 All Habitats'!$X$3,AC238="None",AC238),IF(AND(P238='G-1 All Habitats'!$X$3,AC238&gt;0),H238-S238-T238))))))))</f>
        <v/>
      </c>
      <c r="X238" s="545" t="str">
        <f>IFERROR(IF(H238="","",IF(H238-S238-T238=0&lt;0,"Error in Areas ▲",IF(S238+T238&gt;H238,"Error in Areas ▲",IF(AND(P238='G-1 All Habitats'!$X$3,Y238="Yes"),"Alternative Compensation",IF(W238=0,0,IF(P238='G-1 All Habitats'!$X$3,"Unacceptable Loss",Q238-U238-V238)))))),"Check Data ⚠")</f>
        <v/>
      </c>
      <c r="Y238" s="72"/>
      <c r="Z238" s="151"/>
      <c r="AA238" s="152"/>
      <c r="AC238" s="251" t="str">
        <f>IF(P238="","",IF(P238='G-1 All Habitats'!$X$3,H238-S238-T238,"None"))</f>
        <v/>
      </c>
      <c r="AD238" s="252" t="str">
        <f t="shared" si="22"/>
        <v/>
      </c>
      <c r="AF238" s="156" t="str">
        <f t="shared" si="18"/>
        <v/>
      </c>
      <c r="AG238" s="156" t="str">
        <f t="shared" si="19"/>
        <v/>
      </c>
      <c r="AH238" s="156" t="str">
        <f>IF(I238="","",IF(#REF!&gt;0,TRUE,FALSE))</f>
        <v/>
      </c>
      <c r="AI238" s="156">
        <v>228</v>
      </c>
      <c r="AJ238" s="156"/>
      <c r="AK238" s="156" t="str">
        <f t="array" ref="AK238">IFERROR(INDEX($AI$11:$AI$259, MATCH(0, IF(TRUE=$AF$11:$AF$259, COUNTIF($AK$10:$AK237, $AI$11:$AI$259), ""), 0)),"")</f>
        <v/>
      </c>
      <c r="AL238" s="156" t="str">
        <f t="array" ref="AL238">IFERROR(INDEX($AI$11:$AI$259, MATCH(0, IF(TRUE=$AG$11:$AG$259, COUNTIF($AL$10:$AL237, $AI$11:$AI$259), ""), 0)),"")</f>
        <v/>
      </c>
      <c r="AM238" s="156" t="str">
        <f t="array" ref="AM238">IFERROR(INDEX($AI$11:$AI$259, MATCH(0, IF(TRUE=$AH$11:$AH$259, COUNTIF($AM$10:$AM237, $AI$11:$AI$259), ""), 0)),"")</f>
        <v/>
      </c>
      <c r="AQ238" s="31">
        <f t="shared" si="23"/>
        <v>0</v>
      </c>
    </row>
    <row r="239" spans="1:43" x14ac:dyDescent="0.3">
      <c r="A239" s="31" t="str">
        <f>IFERROR(INDEX('G-1 All Habitats'!$AG$3:$AG$15,MATCH(E239,'G-1 All Habitats'!$AF$3:$AF$15,0)),"")</f>
        <v/>
      </c>
      <c r="B239" s="31" t="str">
        <f>IFERROR(INDEX('G-8 Condition Look up'!$I$4:$I$130,MATCH(G239,'G-8 Condition Look up'!$A$4:$A$130,0)),"")</f>
        <v/>
      </c>
      <c r="D239" s="141">
        <v>229</v>
      </c>
      <c r="E239" s="203"/>
      <c r="F239" s="203"/>
      <c r="G239" s="250" t="str">
        <f>IFERROR(INDEX('G-1 All Habitats'!$B$3:$B$129,MATCH(F239,'G-1 All Habitats'!$A$3:$A$129,0)),"")</f>
        <v/>
      </c>
      <c r="H239" s="172"/>
      <c r="I239" s="498" t="str">
        <f>IF(G239="","",VLOOKUP(G239,'G-1 All Habitats'!$B$2:$M$129,10,FALSE))</f>
        <v/>
      </c>
      <c r="J239" s="499" t="str">
        <f>IFERROR(VLOOKUP(I239,'G-1 All Habitats'!$V$3:$W$7,2,FALSE),"")</f>
        <v/>
      </c>
      <c r="K239" s="145"/>
      <c r="L239" s="499" t="str">
        <f>IFERROR(INDEX('G-8 Condition Look up'!$A$3:$H$130,MATCH(G239,'G-8 Condition Look up'!$A$3:$A$130,0),MATCH(K239,'G-8 Condition Look up'!$A$3:$H$3,0)),"")</f>
        <v/>
      </c>
      <c r="M239" s="154"/>
      <c r="N239" s="520" t="str">
        <f>IF(M239="","",IF(VLOOKUP(M239,'G-3 Multipliers'!$L$3:$N$6,2,FALSE)=0,"Spatial Data Missing ⚠",VLOOKUP(M239,'G-3 Multipliers'!$L$3:$N$6,2,FALSE)))</f>
        <v/>
      </c>
      <c r="O239" s="524" t="str">
        <f>IF(M239="","",IF(VLOOKUP(M239,'G-3 Multipliers'!$L$3:$N$6,3,FALSE)=0,"Spatial Data Missing ⚠",VLOOKUP(M239,'G-3 Multipliers'!$L$3:$N$6,3,FALSE)))</f>
        <v/>
      </c>
      <c r="P239" s="506" t="str">
        <f>IFERROR(VLOOKUP(G239,'G-1 All Habitats'!$B$2:$M$129,12,FALSE),"")</f>
        <v/>
      </c>
      <c r="Q239" s="513" t="str">
        <f>IFERROR(IF(P239="","",IF(AND(P239='G-1 All Habitats'!$X$3,T239&gt;0),U239+V239,IF(AND(P239='G-1 All Habitats'!$X$3,S239&gt;0),U239+V239,IF(AND(P239='G-1 All Habitats'!$X$3,AC239&gt;0),"Any Loss Unacceptable",IF(AND(P239='G-1 All Habitats'!$X$3,W239&gt;0),"Any Loss Unacceptable",H239*J239*L239*O239))))),"Check Data ⚠")</f>
        <v/>
      </c>
      <c r="R239" s="50"/>
      <c r="S239" s="71"/>
      <c r="T239" s="72"/>
      <c r="U239" s="511" t="str">
        <f t="shared" si="20"/>
        <v/>
      </c>
      <c r="V239" s="511" t="str">
        <f t="shared" si="21"/>
        <v/>
      </c>
      <c r="W239" s="511" t="str">
        <f>IF(E239="","",IF(H239&lt;S239+T239,"Error in Areas ▲",IF(P239&lt;&gt;'G-1 All Habitats'!$X$3,H239-S239-T239,IF(AND(P239='G-1 All Habitats'!$X$3,Y239="Yes"),"Unacceptable Loss ▲",IF(AND(P239='G-1 All Habitats'!$X$3,Y239="No"),AC239,IF(AND(P239='G-1 All Habitats'!$X$3,Y239=""),AC239,IF(AND(P239='G-1 All Habitats'!$X$3,AC239="None",AC239),IF(AND(P239='G-1 All Habitats'!$X$3,AC239&gt;0),H239-S239-T239))))))))</f>
        <v/>
      </c>
      <c r="X239" s="545" t="str">
        <f>IFERROR(IF(H239="","",IF(H239-S239-T239=0&lt;0,"Error in Areas ▲",IF(S239+T239&gt;H239,"Error in Areas ▲",IF(AND(P239='G-1 All Habitats'!$X$3,Y239="Yes"),"Alternative Compensation",IF(W239=0,0,IF(P239='G-1 All Habitats'!$X$3,"Unacceptable Loss",Q239-U239-V239)))))),"Check Data ⚠")</f>
        <v/>
      </c>
      <c r="Y239" s="72"/>
      <c r="Z239" s="151"/>
      <c r="AA239" s="152"/>
      <c r="AC239" s="251" t="str">
        <f>IF(P239="","",IF(P239='G-1 All Habitats'!$X$3,H239-S239-T239,"None"))</f>
        <v/>
      </c>
      <c r="AD239" s="252" t="str">
        <f t="shared" si="22"/>
        <v/>
      </c>
      <c r="AF239" s="156" t="str">
        <f t="shared" si="18"/>
        <v/>
      </c>
      <c r="AG239" s="156" t="str">
        <f t="shared" si="19"/>
        <v/>
      </c>
      <c r="AH239" s="156" t="str">
        <f>IF(I239="","",IF(#REF!&gt;0,TRUE,FALSE))</f>
        <v/>
      </c>
      <c r="AI239" s="156">
        <v>229</v>
      </c>
      <c r="AJ239" s="156"/>
      <c r="AK239" s="156" t="str">
        <f t="array" ref="AK239">IFERROR(INDEX($AI$11:$AI$259, MATCH(0, IF(TRUE=$AF$11:$AF$259, COUNTIF($AK$10:$AK238, $AI$11:$AI$259), ""), 0)),"")</f>
        <v/>
      </c>
      <c r="AL239" s="156" t="str">
        <f t="array" ref="AL239">IFERROR(INDEX($AI$11:$AI$259, MATCH(0, IF(TRUE=$AG$11:$AG$259, COUNTIF($AL$10:$AL238, $AI$11:$AI$259), ""), 0)),"")</f>
        <v/>
      </c>
      <c r="AM239" s="156" t="str">
        <f t="array" ref="AM239">IFERROR(INDEX($AI$11:$AI$259, MATCH(0, IF(TRUE=$AH$11:$AH$259, COUNTIF($AM$10:$AM238, $AI$11:$AI$259), ""), 0)),"")</f>
        <v/>
      </c>
      <c r="AQ239" s="31">
        <f t="shared" si="23"/>
        <v>0</v>
      </c>
    </row>
    <row r="240" spans="1:43" x14ac:dyDescent="0.3">
      <c r="A240" s="31" t="str">
        <f>IFERROR(INDEX('G-1 All Habitats'!$AG$3:$AG$15,MATCH(E240,'G-1 All Habitats'!$AF$3:$AF$15,0)),"")</f>
        <v/>
      </c>
      <c r="B240" s="31" t="str">
        <f>IFERROR(INDEX('G-8 Condition Look up'!$I$4:$I$130,MATCH(G240,'G-8 Condition Look up'!$A$4:$A$130,0)),"")</f>
        <v/>
      </c>
      <c r="D240" s="141">
        <v>230</v>
      </c>
      <c r="E240" s="203"/>
      <c r="F240" s="203"/>
      <c r="G240" s="250" t="str">
        <f>IFERROR(INDEX('G-1 All Habitats'!$B$3:$B$129,MATCH(F240,'G-1 All Habitats'!$A$3:$A$129,0)),"")</f>
        <v/>
      </c>
      <c r="H240" s="172"/>
      <c r="I240" s="498" t="str">
        <f>IF(G240="","",VLOOKUP(G240,'G-1 All Habitats'!$B$2:$M$129,10,FALSE))</f>
        <v/>
      </c>
      <c r="J240" s="499" t="str">
        <f>IFERROR(VLOOKUP(I240,'G-1 All Habitats'!$V$3:$W$7,2,FALSE),"")</f>
        <v/>
      </c>
      <c r="K240" s="145"/>
      <c r="L240" s="499" t="str">
        <f>IFERROR(INDEX('G-8 Condition Look up'!$A$3:$H$130,MATCH(G240,'G-8 Condition Look up'!$A$3:$A$130,0),MATCH(K240,'G-8 Condition Look up'!$A$3:$H$3,0)),"")</f>
        <v/>
      </c>
      <c r="M240" s="154"/>
      <c r="N240" s="520" t="str">
        <f>IF(M240="","",IF(VLOOKUP(M240,'G-3 Multipliers'!$L$3:$N$6,2,FALSE)=0,"Spatial Data Missing ⚠",VLOOKUP(M240,'G-3 Multipliers'!$L$3:$N$6,2,FALSE)))</f>
        <v/>
      </c>
      <c r="O240" s="524" t="str">
        <f>IF(M240="","",IF(VLOOKUP(M240,'G-3 Multipliers'!$L$3:$N$6,3,FALSE)=0,"Spatial Data Missing ⚠",VLOOKUP(M240,'G-3 Multipliers'!$L$3:$N$6,3,FALSE)))</f>
        <v/>
      </c>
      <c r="P240" s="506" t="str">
        <f>IFERROR(VLOOKUP(G240,'G-1 All Habitats'!$B$2:$M$129,12,FALSE),"")</f>
        <v/>
      </c>
      <c r="Q240" s="513" t="str">
        <f>IFERROR(IF(P240="","",IF(AND(P240='G-1 All Habitats'!$X$3,T240&gt;0),U240+V240,IF(AND(P240='G-1 All Habitats'!$X$3,S240&gt;0),U240+V240,IF(AND(P240='G-1 All Habitats'!$X$3,AC240&gt;0),"Any Loss Unacceptable",IF(AND(P240='G-1 All Habitats'!$X$3,W240&gt;0),"Any Loss Unacceptable",H240*J240*L240*O240))))),"Check Data ⚠")</f>
        <v/>
      </c>
      <c r="R240" s="50"/>
      <c r="S240" s="71"/>
      <c r="T240" s="72"/>
      <c r="U240" s="511" t="str">
        <f t="shared" si="20"/>
        <v/>
      </c>
      <c r="V240" s="511" t="str">
        <f t="shared" si="21"/>
        <v/>
      </c>
      <c r="W240" s="511" t="str">
        <f>IF(E240="","",IF(H240&lt;S240+T240,"Error in Areas ▲",IF(P240&lt;&gt;'G-1 All Habitats'!$X$3,H240-S240-T240,IF(AND(P240='G-1 All Habitats'!$X$3,Y240="Yes"),"Unacceptable Loss ▲",IF(AND(P240='G-1 All Habitats'!$X$3,Y240="No"),AC240,IF(AND(P240='G-1 All Habitats'!$X$3,Y240=""),AC240,IF(AND(P240='G-1 All Habitats'!$X$3,AC240="None",AC240),IF(AND(P240='G-1 All Habitats'!$X$3,AC240&gt;0),H240-S240-T240))))))))</f>
        <v/>
      </c>
      <c r="X240" s="545" t="str">
        <f>IFERROR(IF(H240="","",IF(H240-S240-T240=0&lt;0,"Error in Areas ▲",IF(S240+T240&gt;H240,"Error in Areas ▲",IF(AND(P240='G-1 All Habitats'!$X$3,Y240="Yes"),"Alternative Compensation",IF(W240=0,0,IF(P240='G-1 All Habitats'!$X$3,"Unacceptable Loss",Q240-U240-V240)))))),"Check Data ⚠")</f>
        <v/>
      </c>
      <c r="Y240" s="72"/>
      <c r="Z240" s="151"/>
      <c r="AA240" s="152"/>
      <c r="AC240" s="251" t="str">
        <f>IF(P240="","",IF(P240='G-1 All Habitats'!$X$3,H240-S240-T240,"None"))</f>
        <v/>
      </c>
      <c r="AD240" s="252" t="str">
        <f t="shared" si="22"/>
        <v/>
      </c>
      <c r="AF240" s="156" t="str">
        <f t="shared" si="18"/>
        <v/>
      </c>
      <c r="AG240" s="156" t="str">
        <f t="shared" si="19"/>
        <v/>
      </c>
      <c r="AH240" s="156" t="str">
        <f>IF(I240="","",IF(#REF!&gt;0,TRUE,FALSE))</f>
        <v/>
      </c>
      <c r="AI240" s="156">
        <v>230</v>
      </c>
      <c r="AJ240" s="156"/>
      <c r="AK240" s="156" t="str">
        <f t="array" ref="AK240">IFERROR(INDEX($AI$11:$AI$259, MATCH(0, IF(TRUE=$AF$11:$AF$259, COUNTIF($AK$10:$AK239, $AI$11:$AI$259), ""), 0)),"")</f>
        <v/>
      </c>
      <c r="AL240" s="156" t="str">
        <f t="array" ref="AL240">IFERROR(INDEX($AI$11:$AI$259, MATCH(0, IF(TRUE=$AG$11:$AG$259, COUNTIF($AL$10:$AL239, $AI$11:$AI$259), ""), 0)),"")</f>
        <v/>
      </c>
      <c r="AM240" s="156" t="str">
        <f t="array" ref="AM240">IFERROR(INDEX($AI$11:$AI$259, MATCH(0, IF(TRUE=$AH$11:$AH$259, COUNTIF($AM$10:$AM239, $AI$11:$AI$259), ""), 0)),"")</f>
        <v/>
      </c>
      <c r="AQ240" s="31">
        <f t="shared" si="23"/>
        <v>0</v>
      </c>
    </row>
    <row r="241" spans="1:43" x14ac:dyDescent="0.3">
      <c r="A241" s="31" t="str">
        <f>IFERROR(INDEX('G-1 All Habitats'!$AG$3:$AG$15,MATCH(E241,'G-1 All Habitats'!$AF$3:$AF$15,0)),"")</f>
        <v/>
      </c>
      <c r="B241" s="31" t="str">
        <f>IFERROR(INDEX('G-8 Condition Look up'!$I$4:$I$130,MATCH(G241,'G-8 Condition Look up'!$A$4:$A$130,0)),"")</f>
        <v/>
      </c>
      <c r="D241" s="141">
        <v>231</v>
      </c>
      <c r="E241" s="203"/>
      <c r="F241" s="203"/>
      <c r="G241" s="250" t="str">
        <f>IFERROR(INDEX('G-1 All Habitats'!$B$3:$B$129,MATCH(F241,'G-1 All Habitats'!$A$3:$A$129,0)),"")</f>
        <v/>
      </c>
      <c r="H241" s="172"/>
      <c r="I241" s="498" t="str">
        <f>IF(G241="","",VLOOKUP(G241,'G-1 All Habitats'!$B$2:$M$129,10,FALSE))</f>
        <v/>
      </c>
      <c r="J241" s="499" t="str">
        <f>IFERROR(VLOOKUP(I241,'G-1 All Habitats'!$V$3:$W$7,2,FALSE),"")</f>
        <v/>
      </c>
      <c r="K241" s="145"/>
      <c r="L241" s="499" t="str">
        <f>IFERROR(INDEX('G-8 Condition Look up'!$A$3:$H$130,MATCH(G241,'G-8 Condition Look up'!$A$3:$A$130,0),MATCH(K241,'G-8 Condition Look up'!$A$3:$H$3,0)),"")</f>
        <v/>
      </c>
      <c r="M241" s="154"/>
      <c r="N241" s="520" t="str">
        <f>IF(M241="","",IF(VLOOKUP(M241,'G-3 Multipliers'!$L$3:$N$6,2,FALSE)=0,"Spatial Data Missing ⚠",VLOOKUP(M241,'G-3 Multipliers'!$L$3:$N$6,2,FALSE)))</f>
        <v/>
      </c>
      <c r="O241" s="524" t="str">
        <f>IF(M241="","",IF(VLOOKUP(M241,'G-3 Multipliers'!$L$3:$N$6,3,FALSE)=0,"Spatial Data Missing ⚠",VLOOKUP(M241,'G-3 Multipliers'!$L$3:$N$6,3,FALSE)))</f>
        <v/>
      </c>
      <c r="P241" s="506" t="str">
        <f>IFERROR(VLOOKUP(G241,'G-1 All Habitats'!$B$2:$M$129,12,FALSE),"")</f>
        <v/>
      </c>
      <c r="Q241" s="513" t="str">
        <f>IFERROR(IF(P241="","",IF(AND(P241='G-1 All Habitats'!$X$3,T241&gt;0),U241+V241,IF(AND(P241='G-1 All Habitats'!$X$3,S241&gt;0),U241+V241,IF(AND(P241='G-1 All Habitats'!$X$3,AC241&gt;0),"Any Loss Unacceptable",IF(AND(P241='G-1 All Habitats'!$X$3,W241&gt;0),"Any Loss Unacceptable",H241*J241*L241*O241))))),"Check Data ⚠")</f>
        <v/>
      </c>
      <c r="R241" s="50"/>
      <c r="S241" s="71"/>
      <c r="T241" s="72"/>
      <c r="U241" s="511" t="str">
        <f t="shared" si="20"/>
        <v/>
      </c>
      <c r="V241" s="511" t="str">
        <f t="shared" si="21"/>
        <v/>
      </c>
      <c r="W241" s="511" t="str">
        <f>IF(E241="","",IF(H241&lt;S241+T241,"Error in Areas ▲",IF(P241&lt;&gt;'G-1 All Habitats'!$X$3,H241-S241-T241,IF(AND(P241='G-1 All Habitats'!$X$3,Y241="Yes"),"Unacceptable Loss ▲",IF(AND(P241='G-1 All Habitats'!$X$3,Y241="No"),AC241,IF(AND(P241='G-1 All Habitats'!$X$3,Y241=""),AC241,IF(AND(P241='G-1 All Habitats'!$X$3,AC241="None",AC241),IF(AND(P241='G-1 All Habitats'!$X$3,AC241&gt;0),H241-S241-T241))))))))</f>
        <v/>
      </c>
      <c r="X241" s="545" t="str">
        <f>IFERROR(IF(H241="","",IF(H241-S241-T241=0&lt;0,"Error in Areas ▲",IF(S241+T241&gt;H241,"Error in Areas ▲",IF(AND(P241='G-1 All Habitats'!$X$3,Y241="Yes"),"Alternative Compensation",IF(W241=0,0,IF(P241='G-1 All Habitats'!$X$3,"Unacceptable Loss",Q241-U241-V241)))))),"Check Data ⚠")</f>
        <v/>
      </c>
      <c r="Y241" s="72"/>
      <c r="Z241" s="151"/>
      <c r="AA241" s="152"/>
      <c r="AC241" s="251" t="str">
        <f>IF(P241="","",IF(P241='G-1 All Habitats'!$X$3,H241-S241-T241,"None"))</f>
        <v/>
      </c>
      <c r="AD241" s="252" t="str">
        <f t="shared" si="22"/>
        <v/>
      </c>
      <c r="AF241" s="156" t="str">
        <f t="shared" si="18"/>
        <v/>
      </c>
      <c r="AG241" s="156" t="str">
        <f t="shared" si="19"/>
        <v/>
      </c>
      <c r="AH241" s="156" t="str">
        <f>IF(I241="","",IF(#REF!&gt;0,TRUE,FALSE))</f>
        <v/>
      </c>
      <c r="AI241" s="156">
        <v>231</v>
      </c>
      <c r="AJ241" s="156"/>
      <c r="AK241" s="156" t="str">
        <f t="array" ref="AK241">IFERROR(INDEX($AI$11:$AI$259, MATCH(0, IF(TRUE=$AF$11:$AF$259, COUNTIF($AK$10:$AK240, $AI$11:$AI$259), ""), 0)),"")</f>
        <v/>
      </c>
      <c r="AL241" s="156" t="str">
        <f t="array" ref="AL241">IFERROR(INDEX($AI$11:$AI$259, MATCH(0, IF(TRUE=$AG$11:$AG$259, COUNTIF($AL$10:$AL240, $AI$11:$AI$259), ""), 0)),"")</f>
        <v/>
      </c>
      <c r="AM241" s="156" t="str">
        <f t="array" ref="AM241">IFERROR(INDEX($AI$11:$AI$259, MATCH(0, IF(TRUE=$AH$11:$AH$259, COUNTIF($AM$10:$AM240, $AI$11:$AI$259), ""), 0)),"")</f>
        <v/>
      </c>
      <c r="AQ241" s="31">
        <f t="shared" si="23"/>
        <v>0</v>
      </c>
    </row>
    <row r="242" spans="1:43" x14ac:dyDescent="0.3">
      <c r="A242" s="31" t="str">
        <f>IFERROR(INDEX('G-1 All Habitats'!$AG$3:$AG$15,MATCH(E242,'G-1 All Habitats'!$AF$3:$AF$15,0)),"")</f>
        <v/>
      </c>
      <c r="B242" s="31" t="str">
        <f>IFERROR(INDEX('G-8 Condition Look up'!$I$4:$I$130,MATCH(G242,'G-8 Condition Look up'!$A$4:$A$130,0)),"")</f>
        <v/>
      </c>
      <c r="D242" s="141">
        <v>232</v>
      </c>
      <c r="E242" s="203"/>
      <c r="F242" s="203"/>
      <c r="G242" s="250" t="str">
        <f>IFERROR(INDEX('G-1 All Habitats'!$B$3:$B$129,MATCH(F242,'G-1 All Habitats'!$A$3:$A$129,0)),"")</f>
        <v/>
      </c>
      <c r="H242" s="172"/>
      <c r="I242" s="498" t="str">
        <f>IF(G242="","",VLOOKUP(G242,'G-1 All Habitats'!$B$2:$M$129,10,FALSE))</f>
        <v/>
      </c>
      <c r="J242" s="499" t="str">
        <f>IFERROR(VLOOKUP(I242,'G-1 All Habitats'!$V$3:$W$7,2,FALSE),"")</f>
        <v/>
      </c>
      <c r="K242" s="145"/>
      <c r="L242" s="499" t="str">
        <f>IFERROR(INDEX('G-8 Condition Look up'!$A$3:$H$130,MATCH(G242,'G-8 Condition Look up'!$A$3:$A$130,0),MATCH(K242,'G-8 Condition Look up'!$A$3:$H$3,0)),"")</f>
        <v/>
      </c>
      <c r="M242" s="154"/>
      <c r="N242" s="520" t="str">
        <f>IF(M242="","",IF(VLOOKUP(M242,'G-3 Multipliers'!$L$3:$N$6,2,FALSE)=0,"Spatial Data Missing ⚠",VLOOKUP(M242,'G-3 Multipliers'!$L$3:$N$6,2,FALSE)))</f>
        <v/>
      </c>
      <c r="O242" s="524" t="str">
        <f>IF(M242="","",IF(VLOOKUP(M242,'G-3 Multipliers'!$L$3:$N$6,3,FALSE)=0,"Spatial Data Missing ⚠",VLOOKUP(M242,'G-3 Multipliers'!$L$3:$N$6,3,FALSE)))</f>
        <v/>
      </c>
      <c r="P242" s="506" t="str">
        <f>IFERROR(VLOOKUP(G242,'G-1 All Habitats'!$B$2:$M$129,12,FALSE),"")</f>
        <v/>
      </c>
      <c r="Q242" s="513" t="str">
        <f>IFERROR(IF(P242="","",IF(AND(P242='G-1 All Habitats'!$X$3,T242&gt;0),U242+V242,IF(AND(P242='G-1 All Habitats'!$X$3,S242&gt;0),U242+V242,IF(AND(P242='G-1 All Habitats'!$X$3,AC242&gt;0),"Any Loss Unacceptable",IF(AND(P242='G-1 All Habitats'!$X$3,W242&gt;0),"Any Loss Unacceptable",H242*J242*L242*O242))))),"Check Data ⚠")</f>
        <v/>
      </c>
      <c r="R242" s="50"/>
      <c r="S242" s="71"/>
      <c r="T242" s="72"/>
      <c r="U242" s="511" t="str">
        <f t="shared" si="20"/>
        <v/>
      </c>
      <c r="V242" s="511" t="str">
        <f t="shared" si="21"/>
        <v/>
      </c>
      <c r="W242" s="511" t="str">
        <f>IF(E242="","",IF(H242&lt;S242+T242,"Error in Areas ▲",IF(P242&lt;&gt;'G-1 All Habitats'!$X$3,H242-S242-T242,IF(AND(P242='G-1 All Habitats'!$X$3,Y242="Yes"),"Unacceptable Loss ▲",IF(AND(P242='G-1 All Habitats'!$X$3,Y242="No"),AC242,IF(AND(P242='G-1 All Habitats'!$X$3,Y242=""),AC242,IF(AND(P242='G-1 All Habitats'!$X$3,AC242="None",AC242),IF(AND(P242='G-1 All Habitats'!$X$3,AC242&gt;0),H242-S242-T242))))))))</f>
        <v/>
      </c>
      <c r="X242" s="545" t="str">
        <f>IFERROR(IF(H242="","",IF(H242-S242-T242=0&lt;0,"Error in Areas ▲",IF(S242+T242&gt;H242,"Error in Areas ▲",IF(AND(P242='G-1 All Habitats'!$X$3,Y242="Yes"),"Alternative Compensation",IF(W242=0,0,IF(P242='G-1 All Habitats'!$X$3,"Unacceptable Loss",Q242-U242-V242)))))),"Check Data ⚠")</f>
        <v/>
      </c>
      <c r="Y242" s="72"/>
      <c r="Z242" s="151"/>
      <c r="AA242" s="152"/>
      <c r="AC242" s="251" t="str">
        <f>IF(P242="","",IF(P242='G-1 All Habitats'!$X$3,H242-S242-T242,"None"))</f>
        <v/>
      </c>
      <c r="AD242" s="252" t="str">
        <f t="shared" si="22"/>
        <v/>
      </c>
      <c r="AF242" s="156" t="str">
        <f t="shared" si="18"/>
        <v/>
      </c>
      <c r="AG242" s="156" t="str">
        <f t="shared" si="19"/>
        <v/>
      </c>
      <c r="AH242" s="156" t="str">
        <f>IF(I242="","",IF(#REF!&gt;0,TRUE,FALSE))</f>
        <v/>
      </c>
      <c r="AI242" s="156">
        <v>232</v>
      </c>
      <c r="AJ242" s="156"/>
      <c r="AK242" s="156" t="str">
        <f t="array" ref="AK242">IFERROR(INDEX($AI$11:$AI$259, MATCH(0, IF(TRUE=$AF$11:$AF$259, COUNTIF($AK$10:$AK241, $AI$11:$AI$259), ""), 0)),"")</f>
        <v/>
      </c>
      <c r="AL242" s="156" t="str">
        <f t="array" ref="AL242">IFERROR(INDEX($AI$11:$AI$259, MATCH(0, IF(TRUE=$AG$11:$AG$259, COUNTIF($AL$10:$AL241, $AI$11:$AI$259), ""), 0)),"")</f>
        <v/>
      </c>
      <c r="AM242" s="156" t="str">
        <f t="array" ref="AM242">IFERROR(INDEX($AI$11:$AI$259, MATCH(0, IF(TRUE=$AH$11:$AH$259, COUNTIF($AM$10:$AM241, $AI$11:$AI$259), ""), 0)),"")</f>
        <v/>
      </c>
      <c r="AQ242" s="31">
        <f t="shared" si="23"/>
        <v>0</v>
      </c>
    </row>
    <row r="243" spans="1:43" x14ac:dyDescent="0.3">
      <c r="A243" s="31" t="str">
        <f>IFERROR(INDEX('G-1 All Habitats'!$AG$3:$AG$15,MATCH(E243,'G-1 All Habitats'!$AF$3:$AF$15,0)),"")</f>
        <v/>
      </c>
      <c r="B243" s="31" t="str">
        <f>IFERROR(INDEX('G-8 Condition Look up'!$I$4:$I$130,MATCH(G243,'G-8 Condition Look up'!$A$4:$A$130,0)),"")</f>
        <v/>
      </c>
      <c r="D243" s="141">
        <v>233</v>
      </c>
      <c r="E243" s="203"/>
      <c r="F243" s="203"/>
      <c r="G243" s="250" t="str">
        <f>IFERROR(INDEX('G-1 All Habitats'!$B$3:$B$129,MATCH(F243,'G-1 All Habitats'!$A$3:$A$129,0)),"")</f>
        <v/>
      </c>
      <c r="H243" s="172"/>
      <c r="I243" s="498" t="str">
        <f>IF(G243="","",VLOOKUP(G243,'G-1 All Habitats'!$B$2:$M$129,10,FALSE))</f>
        <v/>
      </c>
      <c r="J243" s="499" t="str">
        <f>IFERROR(VLOOKUP(I243,'G-1 All Habitats'!$V$3:$W$7,2,FALSE),"")</f>
        <v/>
      </c>
      <c r="K243" s="145"/>
      <c r="L243" s="499" t="str">
        <f>IFERROR(INDEX('G-8 Condition Look up'!$A$3:$H$130,MATCH(G243,'G-8 Condition Look up'!$A$3:$A$130,0),MATCH(K243,'G-8 Condition Look up'!$A$3:$H$3,0)),"")</f>
        <v/>
      </c>
      <c r="M243" s="154"/>
      <c r="N243" s="520" t="str">
        <f>IF(M243="","",IF(VLOOKUP(M243,'G-3 Multipliers'!$L$3:$N$6,2,FALSE)=0,"Spatial Data Missing ⚠",VLOOKUP(M243,'G-3 Multipliers'!$L$3:$N$6,2,FALSE)))</f>
        <v/>
      </c>
      <c r="O243" s="524" t="str">
        <f>IF(M243="","",IF(VLOOKUP(M243,'G-3 Multipliers'!$L$3:$N$6,3,FALSE)=0,"Spatial Data Missing ⚠",VLOOKUP(M243,'G-3 Multipliers'!$L$3:$N$6,3,FALSE)))</f>
        <v/>
      </c>
      <c r="P243" s="506" t="str">
        <f>IFERROR(VLOOKUP(G243,'G-1 All Habitats'!$B$2:$M$129,12,FALSE),"")</f>
        <v/>
      </c>
      <c r="Q243" s="513" t="str">
        <f>IFERROR(IF(P243="","",IF(AND(P243='G-1 All Habitats'!$X$3,T243&gt;0),U243+V243,IF(AND(P243='G-1 All Habitats'!$X$3,S243&gt;0),U243+V243,IF(AND(P243='G-1 All Habitats'!$X$3,AC243&gt;0),"Any Loss Unacceptable",IF(AND(P243='G-1 All Habitats'!$X$3,W243&gt;0),"Any Loss Unacceptable",H243*J243*L243*O243))))),"Check Data ⚠")</f>
        <v/>
      </c>
      <c r="R243" s="50"/>
      <c r="S243" s="71"/>
      <c r="T243" s="72"/>
      <c r="U243" s="511" t="str">
        <f t="shared" si="20"/>
        <v/>
      </c>
      <c r="V243" s="511" t="str">
        <f t="shared" si="21"/>
        <v/>
      </c>
      <c r="W243" s="511" t="str">
        <f>IF(E243="","",IF(H243&lt;S243+T243,"Error in Areas ▲",IF(P243&lt;&gt;'G-1 All Habitats'!$X$3,H243-S243-T243,IF(AND(P243='G-1 All Habitats'!$X$3,Y243="Yes"),"Unacceptable Loss ▲",IF(AND(P243='G-1 All Habitats'!$X$3,Y243="No"),AC243,IF(AND(P243='G-1 All Habitats'!$X$3,Y243=""),AC243,IF(AND(P243='G-1 All Habitats'!$X$3,AC243="None",AC243),IF(AND(P243='G-1 All Habitats'!$X$3,AC243&gt;0),H243-S243-T243))))))))</f>
        <v/>
      </c>
      <c r="X243" s="545" t="str">
        <f>IFERROR(IF(H243="","",IF(H243-S243-T243=0&lt;0,"Error in Areas ▲",IF(S243+T243&gt;H243,"Error in Areas ▲",IF(AND(P243='G-1 All Habitats'!$X$3,Y243="Yes"),"Alternative Compensation",IF(W243=0,0,IF(P243='G-1 All Habitats'!$X$3,"Unacceptable Loss",Q243-U243-V243)))))),"Check Data ⚠")</f>
        <v/>
      </c>
      <c r="Y243" s="72"/>
      <c r="Z243" s="151"/>
      <c r="AA243" s="152"/>
      <c r="AC243" s="251" t="str">
        <f>IF(P243="","",IF(P243='G-1 All Habitats'!$X$3,H243-S243-T243,"None"))</f>
        <v/>
      </c>
      <c r="AD243" s="252" t="str">
        <f t="shared" si="22"/>
        <v/>
      </c>
      <c r="AF243" s="156" t="str">
        <f t="shared" si="18"/>
        <v/>
      </c>
      <c r="AG243" s="156" t="str">
        <f t="shared" si="19"/>
        <v/>
      </c>
      <c r="AH243" s="156" t="str">
        <f>IF(I243="","",IF(#REF!&gt;0,TRUE,FALSE))</f>
        <v/>
      </c>
      <c r="AI243" s="156">
        <v>233</v>
      </c>
      <c r="AJ243" s="156"/>
      <c r="AK243" s="156" t="str">
        <f t="array" ref="AK243">IFERROR(INDEX($AI$11:$AI$259, MATCH(0, IF(TRUE=$AF$11:$AF$259, COUNTIF($AK$10:$AK242, $AI$11:$AI$259), ""), 0)),"")</f>
        <v/>
      </c>
      <c r="AL243" s="156" t="str">
        <f t="array" ref="AL243">IFERROR(INDEX($AI$11:$AI$259, MATCH(0, IF(TRUE=$AG$11:$AG$259, COUNTIF($AL$10:$AL242, $AI$11:$AI$259), ""), 0)),"")</f>
        <v/>
      </c>
      <c r="AM243" s="156" t="str">
        <f t="array" ref="AM243">IFERROR(INDEX($AI$11:$AI$259, MATCH(0, IF(TRUE=$AH$11:$AH$259, COUNTIF($AM$10:$AM242, $AI$11:$AI$259), ""), 0)),"")</f>
        <v/>
      </c>
      <c r="AQ243" s="31">
        <f t="shared" si="23"/>
        <v>0</v>
      </c>
    </row>
    <row r="244" spans="1:43" x14ac:dyDescent="0.3">
      <c r="A244" s="31" t="str">
        <f>IFERROR(INDEX('G-1 All Habitats'!$AG$3:$AG$15,MATCH(E244,'G-1 All Habitats'!$AF$3:$AF$15,0)),"")</f>
        <v/>
      </c>
      <c r="B244" s="31" t="str">
        <f>IFERROR(INDEX('G-8 Condition Look up'!$I$4:$I$130,MATCH(G244,'G-8 Condition Look up'!$A$4:$A$130,0)),"")</f>
        <v/>
      </c>
      <c r="D244" s="141">
        <v>234</v>
      </c>
      <c r="E244" s="203"/>
      <c r="F244" s="203"/>
      <c r="G244" s="250" t="str">
        <f>IFERROR(INDEX('G-1 All Habitats'!$B$3:$B$129,MATCH(F244,'G-1 All Habitats'!$A$3:$A$129,0)),"")</f>
        <v/>
      </c>
      <c r="H244" s="172"/>
      <c r="I244" s="498" t="str">
        <f>IF(G244="","",VLOOKUP(G244,'G-1 All Habitats'!$B$2:$M$129,10,FALSE))</f>
        <v/>
      </c>
      <c r="J244" s="499" t="str">
        <f>IFERROR(VLOOKUP(I244,'G-1 All Habitats'!$V$3:$W$7,2,FALSE),"")</f>
        <v/>
      </c>
      <c r="K244" s="145"/>
      <c r="L244" s="499" t="str">
        <f>IFERROR(INDEX('G-8 Condition Look up'!$A$3:$H$130,MATCH(G244,'G-8 Condition Look up'!$A$3:$A$130,0),MATCH(K244,'G-8 Condition Look up'!$A$3:$H$3,0)),"")</f>
        <v/>
      </c>
      <c r="M244" s="154"/>
      <c r="N244" s="520" t="str">
        <f>IF(M244="","",IF(VLOOKUP(M244,'G-3 Multipliers'!$L$3:$N$6,2,FALSE)=0,"Spatial Data Missing ⚠",VLOOKUP(M244,'G-3 Multipliers'!$L$3:$N$6,2,FALSE)))</f>
        <v/>
      </c>
      <c r="O244" s="524" t="str">
        <f>IF(M244="","",IF(VLOOKUP(M244,'G-3 Multipliers'!$L$3:$N$6,3,FALSE)=0,"Spatial Data Missing ⚠",VLOOKUP(M244,'G-3 Multipliers'!$L$3:$N$6,3,FALSE)))</f>
        <v/>
      </c>
      <c r="P244" s="506" t="str">
        <f>IFERROR(VLOOKUP(G244,'G-1 All Habitats'!$B$2:$M$129,12,FALSE),"")</f>
        <v/>
      </c>
      <c r="Q244" s="513" t="str">
        <f>IFERROR(IF(P244="","",IF(AND(P244='G-1 All Habitats'!$X$3,T244&gt;0),U244+V244,IF(AND(P244='G-1 All Habitats'!$X$3,S244&gt;0),U244+V244,IF(AND(P244='G-1 All Habitats'!$X$3,AC244&gt;0),"Any Loss Unacceptable",IF(AND(P244='G-1 All Habitats'!$X$3,W244&gt;0),"Any Loss Unacceptable",H244*J244*L244*O244))))),"Check Data ⚠")</f>
        <v/>
      </c>
      <c r="R244" s="50"/>
      <c r="S244" s="71"/>
      <c r="T244" s="72"/>
      <c r="U244" s="511" t="str">
        <f t="shared" si="20"/>
        <v/>
      </c>
      <c r="V244" s="511" t="str">
        <f t="shared" si="21"/>
        <v/>
      </c>
      <c r="W244" s="511" t="str">
        <f>IF(E244="","",IF(H244&lt;S244+T244,"Error in Areas ▲",IF(P244&lt;&gt;'G-1 All Habitats'!$X$3,H244-S244-T244,IF(AND(P244='G-1 All Habitats'!$X$3,Y244="Yes"),"Unacceptable Loss ▲",IF(AND(P244='G-1 All Habitats'!$X$3,Y244="No"),AC244,IF(AND(P244='G-1 All Habitats'!$X$3,Y244=""),AC244,IF(AND(P244='G-1 All Habitats'!$X$3,AC244="None",AC244),IF(AND(P244='G-1 All Habitats'!$X$3,AC244&gt;0),H244-S244-T244))))))))</f>
        <v/>
      </c>
      <c r="X244" s="545" t="str">
        <f>IFERROR(IF(H244="","",IF(H244-S244-T244=0&lt;0,"Error in Areas ▲",IF(S244+T244&gt;H244,"Error in Areas ▲",IF(AND(P244='G-1 All Habitats'!$X$3,Y244="Yes"),"Alternative Compensation",IF(W244=0,0,IF(P244='G-1 All Habitats'!$X$3,"Unacceptable Loss",Q244-U244-V244)))))),"Check Data ⚠")</f>
        <v/>
      </c>
      <c r="Y244" s="72"/>
      <c r="Z244" s="151"/>
      <c r="AA244" s="152"/>
      <c r="AC244" s="251" t="str">
        <f>IF(P244="","",IF(P244='G-1 All Habitats'!$X$3,H244-S244-T244,"None"))</f>
        <v/>
      </c>
      <c r="AD244" s="252" t="str">
        <f t="shared" si="22"/>
        <v/>
      </c>
      <c r="AF244" s="156" t="str">
        <f t="shared" si="18"/>
        <v/>
      </c>
      <c r="AG244" s="156" t="str">
        <f t="shared" si="19"/>
        <v/>
      </c>
      <c r="AH244" s="156" t="str">
        <f>IF(I244="","",IF(#REF!&gt;0,TRUE,FALSE))</f>
        <v/>
      </c>
      <c r="AI244" s="156">
        <v>234</v>
      </c>
      <c r="AJ244" s="156"/>
      <c r="AK244" s="156" t="str">
        <f t="array" ref="AK244">IFERROR(INDEX($AI$11:$AI$259, MATCH(0, IF(TRUE=$AF$11:$AF$259, COUNTIF($AK$10:$AK243, $AI$11:$AI$259), ""), 0)),"")</f>
        <v/>
      </c>
      <c r="AL244" s="156" t="str">
        <f t="array" ref="AL244">IFERROR(INDEX($AI$11:$AI$259, MATCH(0, IF(TRUE=$AG$11:$AG$259, COUNTIF($AL$10:$AL243, $AI$11:$AI$259), ""), 0)),"")</f>
        <v/>
      </c>
      <c r="AM244" s="156" t="str">
        <f t="array" ref="AM244">IFERROR(INDEX($AI$11:$AI$259, MATCH(0, IF(TRUE=$AH$11:$AH$259, COUNTIF($AM$10:$AM243, $AI$11:$AI$259), ""), 0)),"")</f>
        <v/>
      </c>
      <c r="AQ244" s="31">
        <f t="shared" si="23"/>
        <v>0</v>
      </c>
    </row>
    <row r="245" spans="1:43" x14ac:dyDescent="0.3">
      <c r="A245" s="31" t="str">
        <f>IFERROR(INDEX('G-1 All Habitats'!$AG$3:$AG$15,MATCH(E245,'G-1 All Habitats'!$AF$3:$AF$15,0)),"")</f>
        <v/>
      </c>
      <c r="B245" s="31" t="str">
        <f>IFERROR(INDEX('G-8 Condition Look up'!$I$4:$I$130,MATCH(G245,'G-8 Condition Look up'!$A$4:$A$130,0)),"")</f>
        <v/>
      </c>
      <c r="D245" s="141">
        <v>235</v>
      </c>
      <c r="E245" s="203"/>
      <c r="F245" s="203"/>
      <c r="G245" s="250" t="str">
        <f>IFERROR(INDEX('G-1 All Habitats'!$B$3:$B$129,MATCH(F245,'G-1 All Habitats'!$A$3:$A$129,0)),"")</f>
        <v/>
      </c>
      <c r="H245" s="172"/>
      <c r="I245" s="498" t="str">
        <f>IF(G245="","",VLOOKUP(G245,'G-1 All Habitats'!$B$2:$M$129,10,FALSE))</f>
        <v/>
      </c>
      <c r="J245" s="499" t="str">
        <f>IFERROR(VLOOKUP(I245,'G-1 All Habitats'!$V$3:$W$7,2,FALSE),"")</f>
        <v/>
      </c>
      <c r="K245" s="145"/>
      <c r="L245" s="499" t="str">
        <f>IFERROR(INDEX('G-8 Condition Look up'!$A$3:$H$130,MATCH(G245,'G-8 Condition Look up'!$A$3:$A$130,0),MATCH(K245,'G-8 Condition Look up'!$A$3:$H$3,0)),"")</f>
        <v/>
      </c>
      <c r="M245" s="154"/>
      <c r="N245" s="520" t="str">
        <f>IF(M245="","",IF(VLOOKUP(M245,'G-3 Multipliers'!$L$3:$N$6,2,FALSE)=0,"Spatial Data Missing ⚠",VLOOKUP(M245,'G-3 Multipliers'!$L$3:$N$6,2,FALSE)))</f>
        <v/>
      </c>
      <c r="O245" s="524" t="str">
        <f>IF(M245="","",IF(VLOOKUP(M245,'G-3 Multipliers'!$L$3:$N$6,3,FALSE)=0,"Spatial Data Missing ⚠",VLOOKUP(M245,'G-3 Multipliers'!$L$3:$N$6,3,FALSE)))</f>
        <v/>
      </c>
      <c r="P245" s="506" t="str">
        <f>IFERROR(VLOOKUP(G245,'G-1 All Habitats'!$B$2:$M$129,12,FALSE),"")</f>
        <v/>
      </c>
      <c r="Q245" s="513" t="str">
        <f>IFERROR(IF(P245="","",IF(AND(P245='G-1 All Habitats'!$X$3,T245&gt;0),U245+V245,IF(AND(P245='G-1 All Habitats'!$X$3,S245&gt;0),U245+V245,IF(AND(P245='G-1 All Habitats'!$X$3,AC245&gt;0),"Any Loss Unacceptable",IF(AND(P245='G-1 All Habitats'!$X$3,W245&gt;0),"Any Loss Unacceptable",H245*J245*L245*O245))))),"Check Data ⚠")</f>
        <v/>
      </c>
      <c r="R245" s="50"/>
      <c r="S245" s="71"/>
      <c r="T245" s="72"/>
      <c r="U245" s="511" t="str">
        <f t="shared" si="20"/>
        <v/>
      </c>
      <c r="V245" s="511" t="str">
        <f t="shared" si="21"/>
        <v/>
      </c>
      <c r="W245" s="511" t="str">
        <f>IF(E245="","",IF(H245&lt;S245+T245,"Error in Areas ▲",IF(P245&lt;&gt;'G-1 All Habitats'!$X$3,H245-S245-T245,IF(AND(P245='G-1 All Habitats'!$X$3,Y245="Yes"),"Unacceptable Loss ▲",IF(AND(P245='G-1 All Habitats'!$X$3,Y245="No"),AC245,IF(AND(P245='G-1 All Habitats'!$X$3,Y245=""),AC245,IF(AND(P245='G-1 All Habitats'!$X$3,AC245="None",AC245),IF(AND(P245='G-1 All Habitats'!$X$3,AC245&gt;0),H245-S245-T245))))))))</f>
        <v/>
      </c>
      <c r="X245" s="545" t="str">
        <f>IFERROR(IF(H245="","",IF(H245-S245-T245=0&lt;0,"Error in Areas ▲",IF(S245+T245&gt;H245,"Error in Areas ▲",IF(AND(P245='G-1 All Habitats'!$X$3,Y245="Yes"),"Alternative Compensation",IF(W245=0,0,IF(P245='G-1 All Habitats'!$X$3,"Unacceptable Loss",Q245-U245-V245)))))),"Check Data ⚠")</f>
        <v/>
      </c>
      <c r="Y245" s="72"/>
      <c r="Z245" s="151"/>
      <c r="AA245" s="152"/>
      <c r="AC245" s="251" t="str">
        <f>IF(P245="","",IF(P245='G-1 All Habitats'!$X$3,H245-S245-T245,"None"))</f>
        <v/>
      </c>
      <c r="AD245" s="252" t="str">
        <f t="shared" si="22"/>
        <v/>
      </c>
      <c r="AF245" s="156" t="str">
        <f t="shared" si="18"/>
        <v/>
      </c>
      <c r="AG245" s="156" t="str">
        <f t="shared" si="19"/>
        <v/>
      </c>
      <c r="AH245" s="156" t="str">
        <f>IF(I245="","",IF(#REF!&gt;0,TRUE,FALSE))</f>
        <v/>
      </c>
      <c r="AI245" s="156">
        <v>235</v>
      </c>
      <c r="AJ245" s="156"/>
      <c r="AK245" s="156" t="str">
        <f t="array" ref="AK245">IFERROR(INDEX($AI$11:$AI$259, MATCH(0, IF(TRUE=$AF$11:$AF$259, COUNTIF($AK$10:$AK244, $AI$11:$AI$259), ""), 0)),"")</f>
        <v/>
      </c>
      <c r="AL245" s="156" t="str">
        <f t="array" ref="AL245">IFERROR(INDEX($AI$11:$AI$259, MATCH(0, IF(TRUE=$AG$11:$AG$259, COUNTIF($AL$10:$AL244, $AI$11:$AI$259), ""), 0)),"")</f>
        <v/>
      </c>
      <c r="AM245" s="156" t="str">
        <f t="array" ref="AM245">IFERROR(INDEX($AI$11:$AI$259, MATCH(0, IF(TRUE=$AH$11:$AH$259, COUNTIF($AM$10:$AM244, $AI$11:$AI$259), ""), 0)),"")</f>
        <v/>
      </c>
      <c r="AQ245" s="31">
        <f t="shared" si="23"/>
        <v>0</v>
      </c>
    </row>
    <row r="246" spans="1:43" x14ac:dyDescent="0.3">
      <c r="A246" s="31" t="str">
        <f>IFERROR(INDEX('G-1 All Habitats'!$AG$3:$AG$15,MATCH(E246,'G-1 All Habitats'!$AF$3:$AF$15,0)),"")</f>
        <v/>
      </c>
      <c r="B246" s="31" t="str">
        <f>IFERROR(INDEX('G-8 Condition Look up'!$I$4:$I$130,MATCH(G246,'G-8 Condition Look up'!$A$4:$A$130,0)),"")</f>
        <v/>
      </c>
      <c r="D246" s="141">
        <v>236</v>
      </c>
      <c r="E246" s="203"/>
      <c r="F246" s="203"/>
      <c r="G246" s="250" t="str">
        <f>IFERROR(INDEX('G-1 All Habitats'!$B$3:$B$129,MATCH(F246,'G-1 All Habitats'!$A$3:$A$129,0)),"")</f>
        <v/>
      </c>
      <c r="H246" s="172"/>
      <c r="I246" s="498" t="str">
        <f>IF(G246="","",VLOOKUP(G246,'G-1 All Habitats'!$B$2:$M$129,10,FALSE))</f>
        <v/>
      </c>
      <c r="J246" s="499" t="str">
        <f>IFERROR(VLOOKUP(I246,'G-1 All Habitats'!$V$3:$W$7,2,FALSE),"")</f>
        <v/>
      </c>
      <c r="K246" s="145"/>
      <c r="L246" s="499" t="str">
        <f>IFERROR(INDEX('G-8 Condition Look up'!$A$3:$H$130,MATCH(G246,'G-8 Condition Look up'!$A$3:$A$130,0),MATCH(K246,'G-8 Condition Look up'!$A$3:$H$3,0)),"")</f>
        <v/>
      </c>
      <c r="M246" s="154"/>
      <c r="N246" s="520" t="str">
        <f>IF(M246="","",IF(VLOOKUP(M246,'G-3 Multipliers'!$L$3:$N$6,2,FALSE)=0,"Spatial Data Missing ⚠",VLOOKUP(M246,'G-3 Multipliers'!$L$3:$N$6,2,FALSE)))</f>
        <v/>
      </c>
      <c r="O246" s="524" t="str">
        <f>IF(M246="","",IF(VLOOKUP(M246,'G-3 Multipliers'!$L$3:$N$6,3,FALSE)=0,"Spatial Data Missing ⚠",VLOOKUP(M246,'G-3 Multipliers'!$L$3:$N$6,3,FALSE)))</f>
        <v/>
      </c>
      <c r="P246" s="506" t="str">
        <f>IFERROR(VLOOKUP(G246,'G-1 All Habitats'!$B$2:$M$129,12,FALSE),"")</f>
        <v/>
      </c>
      <c r="Q246" s="513" t="str">
        <f>IFERROR(IF(P246="","",IF(AND(P246='G-1 All Habitats'!$X$3,T246&gt;0),U246+V246,IF(AND(P246='G-1 All Habitats'!$X$3,S246&gt;0),U246+V246,IF(AND(P246='G-1 All Habitats'!$X$3,AC246&gt;0),"Any Loss Unacceptable",IF(AND(P246='G-1 All Habitats'!$X$3,W246&gt;0),"Any Loss Unacceptable",H246*J246*L246*O246))))),"Check Data ⚠")</f>
        <v/>
      </c>
      <c r="R246" s="50"/>
      <c r="S246" s="71"/>
      <c r="T246" s="72"/>
      <c r="U246" s="511" t="str">
        <f t="shared" si="20"/>
        <v/>
      </c>
      <c r="V246" s="511" t="str">
        <f t="shared" si="21"/>
        <v/>
      </c>
      <c r="W246" s="511" t="str">
        <f>IF(E246="","",IF(H246&lt;S246+T246,"Error in Areas ▲",IF(P246&lt;&gt;'G-1 All Habitats'!$X$3,H246-S246-T246,IF(AND(P246='G-1 All Habitats'!$X$3,Y246="Yes"),"Unacceptable Loss ▲",IF(AND(P246='G-1 All Habitats'!$X$3,Y246="No"),AC246,IF(AND(P246='G-1 All Habitats'!$X$3,Y246=""),AC246,IF(AND(P246='G-1 All Habitats'!$X$3,AC246="None",AC246),IF(AND(P246='G-1 All Habitats'!$X$3,AC246&gt;0),H246-S246-T246))))))))</f>
        <v/>
      </c>
      <c r="X246" s="545" t="str">
        <f>IFERROR(IF(H246="","",IF(H246-S246-T246=0&lt;0,"Error in Areas ▲",IF(S246+T246&gt;H246,"Error in Areas ▲",IF(AND(P246='G-1 All Habitats'!$X$3,Y246="Yes"),"Alternative Compensation",IF(W246=0,0,IF(P246='G-1 All Habitats'!$X$3,"Unacceptable Loss",Q246-U246-V246)))))),"Check Data ⚠")</f>
        <v/>
      </c>
      <c r="Y246" s="72"/>
      <c r="Z246" s="151"/>
      <c r="AA246" s="152"/>
      <c r="AC246" s="251" t="str">
        <f>IF(P246="","",IF(P246='G-1 All Habitats'!$X$3,H246-S246-T246,"None"))</f>
        <v/>
      </c>
      <c r="AD246" s="252" t="str">
        <f t="shared" si="22"/>
        <v/>
      </c>
      <c r="AF246" s="156" t="str">
        <f t="shared" si="18"/>
        <v/>
      </c>
      <c r="AG246" s="156" t="str">
        <f t="shared" si="19"/>
        <v/>
      </c>
      <c r="AH246" s="156" t="str">
        <f>IF(I246="","",IF(#REF!&gt;0,TRUE,FALSE))</f>
        <v/>
      </c>
      <c r="AI246" s="156">
        <v>236</v>
      </c>
      <c r="AJ246" s="156"/>
      <c r="AK246" s="156" t="str">
        <f t="array" ref="AK246">IFERROR(INDEX($AI$11:$AI$259, MATCH(0, IF(TRUE=$AF$11:$AF$259, COUNTIF($AK$10:$AK245, $AI$11:$AI$259), ""), 0)),"")</f>
        <v/>
      </c>
      <c r="AL246" s="156" t="str">
        <f t="array" ref="AL246">IFERROR(INDEX($AI$11:$AI$259, MATCH(0, IF(TRUE=$AG$11:$AG$259, COUNTIF($AL$10:$AL245, $AI$11:$AI$259), ""), 0)),"")</f>
        <v/>
      </c>
      <c r="AM246" s="156" t="str">
        <f t="array" ref="AM246">IFERROR(INDEX($AI$11:$AI$259, MATCH(0, IF(TRUE=$AH$11:$AH$259, COUNTIF($AM$10:$AM245, $AI$11:$AI$259), ""), 0)),"")</f>
        <v/>
      </c>
      <c r="AQ246" s="31">
        <f t="shared" si="23"/>
        <v>0</v>
      </c>
    </row>
    <row r="247" spans="1:43" x14ac:dyDescent="0.3">
      <c r="A247" s="31" t="str">
        <f>IFERROR(INDEX('G-1 All Habitats'!$AG$3:$AG$15,MATCH(E247,'G-1 All Habitats'!$AF$3:$AF$15,0)),"")</f>
        <v/>
      </c>
      <c r="B247" s="31" t="str">
        <f>IFERROR(INDEX('G-8 Condition Look up'!$I$4:$I$130,MATCH(G247,'G-8 Condition Look up'!$A$4:$A$130,0)),"")</f>
        <v/>
      </c>
      <c r="D247" s="141">
        <v>237</v>
      </c>
      <c r="E247" s="203"/>
      <c r="F247" s="203"/>
      <c r="G247" s="250" t="str">
        <f>IFERROR(INDEX('G-1 All Habitats'!$B$3:$B$129,MATCH(F247,'G-1 All Habitats'!$A$3:$A$129,0)),"")</f>
        <v/>
      </c>
      <c r="H247" s="172"/>
      <c r="I247" s="498" t="str">
        <f>IF(G247="","",VLOOKUP(G247,'G-1 All Habitats'!$B$2:$M$129,10,FALSE))</f>
        <v/>
      </c>
      <c r="J247" s="499" t="str">
        <f>IFERROR(VLOOKUP(I247,'G-1 All Habitats'!$V$3:$W$7,2,FALSE),"")</f>
        <v/>
      </c>
      <c r="K247" s="145"/>
      <c r="L247" s="499" t="str">
        <f>IFERROR(INDEX('G-8 Condition Look up'!$A$3:$H$130,MATCH(G247,'G-8 Condition Look up'!$A$3:$A$130,0),MATCH(K247,'G-8 Condition Look up'!$A$3:$H$3,0)),"")</f>
        <v/>
      </c>
      <c r="M247" s="154"/>
      <c r="N247" s="520" t="str">
        <f>IF(M247="","",IF(VLOOKUP(M247,'G-3 Multipliers'!$L$3:$N$6,2,FALSE)=0,"Spatial Data Missing ⚠",VLOOKUP(M247,'G-3 Multipliers'!$L$3:$N$6,2,FALSE)))</f>
        <v/>
      </c>
      <c r="O247" s="524" t="str">
        <f>IF(M247="","",IF(VLOOKUP(M247,'G-3 Multipliers'!$L$3:$N$6,3,FALSE)=0,"Spatial Data Missing ⚠",VLOOKUP(M247,'G-3 Multipliers'!$L$3:$N$6,3,FALSE)))</f>
        <v/>
      </c>
      <c r="P247" s="506" t="str">
        <f>IFERROR(VLOOKUP(G247,'G-1 All Habitats'!$B$2:$M$129,12,FALSE),"")</f>
        <v/>
      </c>
      <c r="Q247" s="513" t="str">
        <f>IFERROR(IF(P247="","",IF(AND(P247='G-1 All Habitats'!$X$3,T247&gt;0),U247+V247,IF(AND(P247='G-1 All Habitats'!$X$3,S247&gt;0),U247+V247,IF(AND(P247='G-1 All Habitats'!$X$3,AC247&gt;0),"Any Loss Unacceptable",IF(AND(P247='G-1 All Habitats'!$X$3,W247&gt;0),"Any Loss Unacceptable",H247*J247*L247*O247))))),"Check Data ⚠")</f>
        <v/>
      </c>
      <c r="R247" s="50"/>
      <c r="S247" s="71"/>
      <c r="T247" s="72"/>
      <c r="U247" s="511" t="str">
        <f t="shared" si="20"/>
        <v/>
      </c>
      <c r="V247" s="511" t="str">
        <f t="shared" si="21"/>
        <v/>
      </c>
      <c r="W247" s="511" t="str">
        <f>IF(E247="","",IF(H247&lt;S247+T247,"Error in Areas ▲",IF(P247&lt;&gt;'G-1 All Habitats'!$X$3,H247-S247-T247,IF(AND(P247='G-1 All Habitats'!$X$3,Y247="Yes"),"Unacceptable Loss ▲",IF(AND(P247='G-1 All Habitats'!$X$3,Y247="No"),AC247,IF(AND(P247='G-1 All Habitats'!$X$3,Y247=""),AC247,IF(AND(P247='G-1 All Habitats'!$X$3,AC247="None",AC247),IF(AND(P247='G-1 All Habitats'!$X$3,AC247&gt;0),H247-S247-T247))))))))</f>
        <v/>
      </c>
      <c r="X247" s="545" t="str">
        <f>IFERROR(IF(H247="","",IF(H247-S247-T247=0&lt;0,"Error in Areas ▲",IF(S247+T247&gt;H247,"Error in Areas ▲",IF(AND(P247='G-1 All Habitats'!$X$3,Y247="Yes"),"Alternative Compensation",IF(W247=0,0,IF(P247='G-1 All Habitats'!$X$3,"Unacceptable Loss",Q247-U247-V247)))))),"Check Data ⚠")</f>
        <v/>
      </c>
      <c r="Y247" s="72"/>
      <c r="Z247" s="151"/>
      <c r="AA247" s="152"/>
      <c r="AC247" s="251" t="str">
        <f>IF(P247="","",IF(P247='G-1 All Habitats'!$X$3,H247-S247-T247,"None"))</f>
        <v/>
      </c>
      <c r="AD247" s="252" t="str">
        <f t="shared" si="22"/>
        <v/>
      </c>
      <c r="AF247" s="156" t="str">
        <f t="shared" si="18"/>
        <v/>
      </c>
      <c r="AG247" s="156" t="str">
        <f t="shared" si="19"/>
        <v/>
      </c>
      <c r="AH247" s="156" t="str">
        <f>IF(I247="","",IF(#REF!&gt;0,TRUE,FALSE))</f>
        <v/>
      </c>
      <c r="AI247" s="156">
        <v>237</v>
      </c>
      <c r="AJ247" s="156"/>
      <c r="AK247" s="156" t="str">
        <f t="array" ref="AK247">IFERROR(INDEX($AI$11:$AI$259, MATCH(0, IF(TRUE=$AF$11:$AF$259, COUNTIF($AK$10:$AK246, $AI$11:$AI$259), ""), 0)),"")</f>
        <v/>
      </c>
      <c r="AL247" s="156" t="str">
        <f t="array" ref="AL247">IFERROR(INDEX($AI$11:$AI$259, MATCH(0, IF(TRUE=$AG$11:$AG$259, COUNTIF($AL$10:$AL246, $AI$11:$AI$259), ""), 0)),"")</f>
        <v/>
      </c>
      <c r="AM247" s="156" t="str">
        <f t="array" ref="AM247">IFERROR(INDEX($AI$11:$AI$259, MATCH(0, IF(TRUE=$AH$11:$AH$259, COUNTIF($AM$10:$AM246, $AI$11:$AI$259), ""), 0)),"")</f>
        <v/>
      </c>
      <c r="AQ247" s="31">
        <f t="shared" si="23"/>
        <v>0</v>
      </c>
    </row>
    <row r="248" spans="1:43" x14ac:dyDescent="0.3">
      <c r="A248" s="31" t="str">
        <f>IFERROR(INDEX('G-1 All Habitats'!$AG$3:$AG$15,MATCH(E248,'G-1 All Habitats'!$AF$3:$AF$15,0)),"")</f>
        <v/>
      </c>
      <c r="B248" s="31" t="str">
        <f>IFERROR(INDEX('G-8 Condition Look up'!$I$4:$I$130,MATCH(G248,'G-8 Condition Look up'!$A$4:$A$130,0)),"")</f>
        <v/>
      </c>
      <c r="D248" s="141">
        <v>238</v>
      </c>
      <c r="E248" s="203"/>
      <c r="F248" s="203"/>
      <c r="G248" s="250" t="str">
        <f>IFERROR(INDEX('G-1 All Habitats'!$B$3:$B$129,MATCH(F248,'G-1 All Habitats'!$A$3:$A$129,0)),"")</f>
        <v/>
      </c>
      <c r="H248" s="172"/>
      <c r="I248" s="498" t="str">
        <f>IF(G248="","",VLOOKUP(G248,'G-1 All Habitats'!$B$2:$M$129,10,FALSE))</f>
        <v/>
      </c>
      <c r="J248" s="499" t="str">
        <f>IFERROR(VLOOKUP(I248,'G-1 All Habitats'!$V$3:$W$7,2,FALSE),"")</f>
        <v/>
      </c>
      <c r="K248" s="145"/>
      <c r="L248" s="499" t="str">
        <f>IFERROR(INDEX('G-8 Condition Look up'!$A$3:$H$130,MATCH(G248,'G-8 Condition Look up'!$A$3:$A$130,0),MATCH(K248,'G-8 Condition Look up'!$A$3:$H$3,0)),"")</f>
        <v/>
      </c>
      <c r="M248" s="154"/>
      <c r="N248" s="520" t="str">
        <f>IF(M248="","",IF(VLOOKUP(M248,'G-3 Multipliers'!$L$3:$N$6,2,FALSE)=0,"Spatial Data Missing ⚠",VLOOKUP(M248,'G-3 Multipliers'!$L$3:$N$6,2,FALSE)))</f>
        <v/>
      </c>
      <c r="O248" s="524" t="str">
        <f>IF(M248="","",IF(VLOOKUP(M248,'G-3 Multipliers'!$L$3:$N$6,3,FALSE)=0,"Spatial Data Missing ⚠",VLOOKUP(M248,'G-3 Multipliers'!$L$3:$N$6,3,FALSE)))</f>
        <v/>
      </c>
      <c r="P248" s="506" t="str">
        <f>IFERROR(VLOOKUP(G248,'G-1 All Habitats'!$B$2:$M$129,12,FALSE),"")</f>
        <v/>
      </c>
      <c r="Q248" s="513" t="str">
        <f>IFERROR(IF(P248="","",IF(AND(P248='G-1 All Habitats'!$X$3,T248&gt;0),U248+V248,IF(AND(P248='G-1 All Habitats'!$X$3,S248&gt;0),U248+V248,IF(AND(P248='G-1 All Habitats'!$X$3,AC248&gt;0),"Any Loss Unacceptable",IF(AND(P248='G-1 All Habitats'!$X$3,W248&gt;0),"Any Loss Unacceptable",H248*J248*L248*O248))))),"Check Data ⚠")</f>
        <v/>
      </c>
      <c r="R248" s="50"/>
      <c r="S248" s="71"/>
      <c r="T248" s="72"/>
      <c r="U248" s="511" t="str">
        <f t="shared" si="20"/>
        <v/>
      </c>
      <c r="V248" s="511" t="str">
        <f t="shared" si="21"/>
        <v/>
      </c>
      <c r="W248" s="511" t="str">
        <f>IF(E248="","",IF(H248&lt;S248+T248,"Error in Areas ▲",IF(P248&lt;&gt;'G-1 All Habitats'!$X$3,H248-S248-T248,IF(AND(P248='G-1 All Habitats'!$X$3,Y248="Yes"),"Unacceptable Loss ▲",IF(AND(P248='G-1 All Habitats'!$X$3,Y248="No"),AC248,IF(AND(P248='G-1 All Habitats'!$X$3,Y248=""),AC248,IF(AND(P248='G-1 All Habitats'!$X$3,AC248="None",AC248),IF(AND(P248='G-1 All Habitats'!$X$3,AC248&gt;0),H248-S248-T248))))))))</f>
        <v/>
      </c>
      <c r="X248" s="545" t="str">
        <f>IFERROR(IF(H248="","",IF(H248-S248-T248=0&lt;0,"Error in Areas ▲",IF(S248+T248&gt;H248,"Error in Areas ▲",IF(AND(P248='G-1 All Habitats'!$X$3,Y248="Yes"),"Alternative Compensation",IF(W248=0,0,IF(P248='G-1 All Habitats'!$X$3,"Unacceptable Loss",Q248-U248-V248)))))),"Check Data ⚠")</f>
        <v/>
      </c>
      <c r="Y248" s="72"/>
      <c r="Z248" s="151"/>
      <c r="AA248" s="152"/>
      <c r="AC248" s="251" t="str">
        <f>IF(P248="","",IF(P248='G-1 All Habitats'!$X$3,H248-S248-T248,"None"))</f>
        <v/>
      </c>
      <c r="AD248" s="252" t="str">
        <f t="shared" si="22"/>
        <v/>
      </c>
      <c r="AF248" s="156" t="str">
        <f t="shared" si="18"/>
        <v/>
      </c>
      <c r="AG248" s="156" t="str">
        <f t="shared" si="19"/>
        <v/>
      </c>
      <c r="AH248" s="156" t="str">
        <f>IF(I248="","",IF(#REF!&gt;0,TRUE,FALSE))</f>
        <v/>
      </c>
      <c r="AI248" s="156">
        <v>238</v>
      </c>
      <c r="AJ248" s="156"/>
      <c r="AK248" s="156" t="str">
        <f t="array" ref="AK248">IFERROR(INDEX($AI$11:$AI$259, MATCH(0, IF(TRUE=$AF$11:$AF$259, COUNTIF($AK$10:$AK247, $AI$11:$AI$259), ""), 0)),"")</f>
        <v/>
      </c>
      <c r="AL248" s="156" t="str">
        <f t="array" ref="AL248">IFERROR(INDEX($AI$11:$AI$259, MATCH(0, IF(TRUE=$AG$11:$AG$259, COUNTIF($AL$10:$AL247, $AI$11:$AI$259), ""), 0)),"")</f>
        <v/>
      </c>
      <c r="AM248" s="156" t="str">
        <f t="array" ref="AM248">IFERROR(INDEX($AI$11:$AI$259, MATCH(0, IF(TRUE=$AH$11:$AH$259, COUNTIF($AM$10:$AM247, $AI$11:$AI$259), ""), 0)),"")</f>
        <v/>
      </c>
      <c r="AQ248" s="31">
        <f t="shared" si="23"/>
        <v>0</v>
      </c>
    </row>
    <row r="249" spans="1:43" x14ac:dyDescent="0.3">
      <c r="A249" s="31" t="str">
        <f>IFERROR(INDEX('G-1 All Habitats'!$AG$3:$AG$15,MATCH(E249,'G-1 All Habitats'!$AF$3:$AF$15,0)),"")</f>
        <v/>
      </c>
      <c r="B249" s="31" t="str">
        <f>IFERROR(INDEX('G-8 Condition Look up'!$I$4:$I$130,MATCH(G249,'G-8 Condition Look up'!$A$4:$A$130,0)),"")</f>
        <v/>
      </c>
      <c r="D249" s="141">
        <v>239</v>
      </c>
      <c r="E249" s="203"/>
      <c r="F249" s="203"/>
      <c r="G249" s="250" t="str">
        <f>IFERROR(INDEX('G-1 All Habitats'!$B$3:$B$129,MATCH(F249,'G-1 All Habitats'!$A$3:$A$129,0)),"")</f>
        <v/>
      </c>
      <c r="H249" s="172"/>
      <c r="I249" s="498" t="str">
        <f>IF(G249="","",VLOOKUP(G249,'G-1 All Habitats'!$B$2:$M$129,10,FALSE))</f>
        <v/>
      </c>
      <c r="J249" s="499" t="str">
        <f>IFERROR(VLOOKUP(I249,'G-1 All Habitats'!$V$3:$W$7,2,FALSE),"")</f>
        <v/>
      </c>
      <c r="K249" s="145"/>
      <c r="L249" s="499" t="str">
        <f>IFERROR(INDEX('G-8 Condition Look up'!$A$3:$H$130,MATCH(G249,'G-8 Condition Look up'!$A$3:$A$130,0),MATCH(K249,'G-8 Condition Look up'!$A$3:$H$3,0)),"")</f>
        <v/>
      </c>
      <c r="M249" s="154"/>
      <c r="N249" s="520" t="str">
        <f>IF(M249="","",IF(VLOOKUP(M249,'G-3 Multipliers'!$L$3:$N$6,2,FALSE)=0,"Spatial Data Missing ⚠",VLOOKUP(M249,'G-3 Multipliers'!$L$3:$N$6,2,FALSE)))</f>
        <v/>
      </c>
      <c r="O249" s="524" t="str">
        <f>IF(M249="","",IF(VLOOKUP(M249,'G-3 Multipliers'!$L$3:$N$6,3,FALSE)=0,"Spatial Data Missing ⚠",VLOOKUP(M249,'G-3 Multipliers'!$L$3:$N$6,3,FALSE)))</f>
        <v/>
      </c>
      <c r="P249" s="506" t="str">
        <f>IFERROR(VLOOKUP(G249,'G-1 All Habitats'!$B$2:$M$129,12,FALSE),"")</f>
        <v/>
      </c>
      <c r="Q249" s="513" t="str">
        <f>IFERROR(IF(P249="","",IF(AND(P249='G-1 All Habitats'!$X$3,T249&gt;0),U249+V249,IF(AND(P249='G-1 All Habitats'!$X$3,S249&gt;0),U249+V249,IF(AND(P249='G-1 All Habitats'!$X$3,AC249&gt;0),"Any Loss Unacceptable",IF(AND(P249='G-1 All Habitats'!$X$3,W249&gt;0),"Any Loss Unacceptable",H249*J249*L249*O249))))),"Check Data ⚠")</f>
        <v/>
      </c>
      <c r="R249" s="50"/>
      <c r="S249" s="71"/>
      <c r="T249" s="72"/>
      <c r="U249" s="511" t="str">
        <f t="shared" si="20"/>
        <v/>
      </c>
      <c r="V249" s="511" t="str">
        <f t="shared" si="21"/>
        <v/>
      </c>
      <c r="W249" s="511" t="str">
        <f>IF(E249="","",IF(H249&lt;S249+T249,"Error in Areas ▲",IF(P249&lt;&gt;'G-1 All Habitats'!$X$3,H249-S249-T249,IF(AND(P249='G-1 All Habitats'!$X$3,Y249="Yes"),"Unacceptable Loss ▲",IF(AND(P249='G-1 All Habitats'!$X$3,Y249="No"),AC249,IF(AND(P249='G-1 All Habitats'!$X$3,Y249=""),AC249,IF(AND(P249='G-1 All Habitats'!$X$3,AC249="None",AC249),IF(AND(P249='G-1 All Habitats'!$X$3,AC249&gt;0),H249-S249-T249))))))))</f>
        <v/>
      </c>
      <c r="X249" s="545" t="str">
        <f>IFERROR(IF(H249="","",IF(H249-S249-T249=0&lt;0,"Error in Areas ▲",IF(S249+T249&gt;H249,"Error in Areas ▲",IF(AND(P249='G-1 All Habitats'!$X$3,Y249="Yes"),"Alternative Compensation",IF(W249=0,0,IF(P249='G-1 All Habitats'!$X$3,"Unacceptable Loss",Q249-U249-V249)))))),"Check Data ⚠")</f>
        <v/>
      </c>
      <c r="Y249" s="72"/>
      <c r="Z249" s="151"/>
      <c r="AA249" s="152"/>
      <c r="AC249" s="251" t="str">
        <f>IF(P249="","",IF(P249='G-1 All Habitats'!$X$3,H249-S249-T249,"None"))</f>
        <v/>
      </c>
      <c r="AD249" s="252" t="str">
        <f t="shared" si="22"/>
        <v/>
      </c>
      <c r="AF249" s="156" t="str">
        <f t="shared" si="18"/>
        <v/>
      </c>
      <c r="AG249" s="156" t="str">
        <f t="shared" si="19"/>
        <v/>
      </c>
      <c r="AH249" s="156" t="str">
        <f>IF(I249="","",IF(#REF!&gt;0,TRUE,FALSE))</f>
        <v/>
      </c>
      <c r="AI249" s="156">
        <v>239</v>
      </c>
      <c r="AJ249" s="156"/>
      <c r="AK249" s="156" t="str">
        <f t="array" ref="AK249">IFERROR(INDEX($AI$11:$AI$259, MATCH(0, IF(TRUE=$AF$11:$AF$259, COUNTIF($AK$10:$AK248, $AI$11:$AI$259), ""), 0)),"")</f>
        <v/>
      </c>
      <c r="AL249" s="156" t="str">
        <f t="array" ref="AL249">IFERROR(INDEX($AI$11:$AI$259, MATCH(0, IF(TRUE=$AG$11:$AG$259, COUNTIF($AL$10:$AL248, $AI$11:$AI$259), ""), 0)),"")</f>
        <v/>
      </c>
      <c r="AM249" s="156" t="str">
        <f t="array" ref="AM249">IFERROR(INDEX($AI$11:$AI$259, MATCH(0, IF(TRUE=$AH$11:$AH$259, COUNTIF($AM$10:$AM248, $AI$11:$AI$259), ""), 0)),"")</f>
        <v/>
      </c>
      <c r="AQ249" s="31">
        <f t="shared" si="23"/>
        <v>0</v>
      </c>
    </row>
    <row r="250" spans="1:43" x14ac:dyDescent="0.3">
      <c r="A250" s="31" t="str">
        <f>IFERROR(INDEX('G-1 All Habitats'!$AG$3:$AG$15,MATCH(E250,'G-1 All Habitats'!$AF$3:$AF$15,0)),"")</f>
        <v/>
      </c>
      <c r="B250" s="31" t="str">
        <f>IFERROR(INDEX('G-8 Condition Look up'!$I$4:$I$130,MATCH(G250,'G-8 Condition Look up'!$A$4:$A$130,0)),"")</f>
        <v/>
      </c>
      <c r="D250" s="141">
        <v>240</v>
      </c>
      <c r="E250" s="203"/>
      <c r="F250" s="203"/>
      <c r="G250" s="250" t="str">
        <f>IFERROR(INDEX('G-1 All Habitats'!$B$3:$B$129,MATCH(F250,'G-1 All Habitats'!$A$3:$A$129,0)),"")</f>
        <v/>
      </c>
      <c r="H250" s="172"/>
      <c r="I250" s="498" t="str">
        <f>IF(G250="","",VLOOKUP(G250,'G-1 All Habitats'!$B$2:$M$129,10,FALSE))</f>
        <v/>
      </c>
      <c r="J250" s="499" t="str">
        <f>IFERROR(VLOOKUP(I250,'G-1 All Habitats'!$V$3:$W$7,2,FALSE),"")</f>
        <v/>
      </c>
      <c r="K250" s="145"/>
      <c r="L250" s="499" t="str">
        <f>IFERROR(INDEX('G-8 Condition Look up'!$A$3:$H$130,MATCH(G250,'G-8 Condition Look up'!$A$3:$A$130,0),MATCH(K250,'G-8 Condition Look up'!$A$3:$H$3,0)),"")</f>
        <v/>
      </c>
      <c r="M250" s="154"/>
      <c r="N250" s="520" t="str">
        <f>IF(M250="","",IF(VLOOKUP(M250,'G-3 Multipliers'!$L$3:$N$6,2,FALSE)=0,"Spatial Data Missing ⚠",VLOOKUP(M250,'G-3 Multipliers'!$L$3:$N$6,2,FALSE)))</f>
        <v/>
      </c>
      <c r="O250" s="524" t="str">
        <f>IF(M250="","",IF(VLOOKUP(M250,'G-3 Multipliers'!$L$3:$N$6,3,FALSE)=0,"Spatial Data Missing ⚠",VLOOKUP(M250,'G-3 Multipliers'!$L$3:$N$6,3,FALSE)))</f>
        <v/>
      </c>
      <c r="P250" s="506" t="str">
        <f>IFERROR(VLOOKUP(G250,'G-1 All Habitats'!$B$2:$M$129,12,FALSE),"")</f>
        <v/>
      </c>
      <c r="Q250" s="513" t="str">
        <f>IFERROR(IF(P250="","",IF(AND(P250='G-1 All Habitats'!$X$3,T250&gt;0),U250+V250,IF(AND(P250='G-1 All Habitats'!$X$3,S250&gt;0),U250+V250,IF(AND(P250='G-1 All Habitats'!$X$3,AC250&gt;0),"Any Loss Unacceptable",IF(AND(P250='G-1 All Habitats'!$X$3,W250&gt;0),"Any Loss Unacceptable",H250*J250*L250*O250))))),"Check Data ⚠")</f>
        <v/>
      </c>
      <c r="R250" s="50"/>
      <c r="S250" s="71"/>
      <c r="T250" s="72"/>
      <c r="U250" s="511" t="str">
        <f t="shared" si="20"/>
        <v/>
      </c>
      <c r="V250" s="511" t="str">
        <f t="shared" si="21"/>
        <v/>
      </c>
      <c r="W250" s="511" t="str">
        <f>IF(E250="","",IF(H250&lt;S250+T250,"Error in Areas ▲",IF(P250&lt;&gt;'G-1 All Habitats'!$X$3,H250-S250-T250,IF(AND(P250='G-1 All Habitats'!$X$3,Y250="Yes"),"Unacceptable Loss ▲",IF(AND(P250='G-1 All Habitats'!$X$3,Y250="No"),AC250,IF(AND(P250='G-1 All Habitats'!$X$3,Y250=""),AC250,IF(AND(P250='G-1 All Habitats'!$X$3,AC250="None",AC250),IF(AND(P250='G-1 All Habitats'!$X$3,AC250&gt;0),H250-S250-T250))))))))</f>
        <v/>
      </c>
      <c r="X250" s="545" t="str">
        <f>IFERROR(IF(H250="","",IF(H250-S250-T250=0&lt;0,"Error in Areas ▲",IF(S250+T250&gt;H250,"Error in Areas ▲",IF(AND(P250='G-1 All Habitats'!$X$3,Y250="Yes"),"Alternative Compensation",IF(W250=0,0,IF(P250='G-1 All Habitats'!$X$3,"Unacceptable Loss",Q250-U250-V250)))))),"Check Data ⚠")</f>
        <v/>
      </c>
      <c r="Y250" s="72"/>
      <c r="Z250" s="151"/>
      <c r="AA250" s="152"/>
      <c r="AC250" s="251" t="str">
        <f>IF(P250="","",IF(P250='G-1 All Habitats'!$X$3,H250-S250-T250,"None"))</f>
        <v/>
      </c>
      <c r="AD250" s="252" t="str">
        <f t="shared" si="22"/>
        <v/>
      </c>
      <c r="AF250" s="156" t="str">
        <f t="shared" si="18"/>
        <v/>
      </c>
      <c r="AG250" s="156" t="str">
        <f t="shared" si="19"/>
        <v/>
      </c>
      <c r="AH250" s="156" t="str">
        <f>IF(I250="","",IF(#REF!&gt;0,TRUE,FALSE))</f>
        <v/>
      </c>
      <c r="AI250" s="156">
        <v>240</v>
      </c>
      <c r="AJ250" s="156"/>
      <c r="AK250" s="156" t="str">
        <f t="array" ref="AK250">IFERROR(INDEX($AI$11:$AI$259, MATCH(0, IF(TRUE=$AF$11:$AF$259, COUNTIF($AK$10:$AK249, $AI$11:$AI$259), ""), 0)),"")</f>
        <v/>
      </c>
      <c r="AL250" s="156" t="str">
        <f t="array" ref="AL250">IFERROR(INDEX($AI$11:$AI$259, MATCH(0, IF(TRUE=$AG$11:$AG$259, COUNTIF($AL$10:$AL249, $AI$11:$AI$259), ""), 0)),"")</f>
        <v/>
      </c>
      <c r="AM250" s="156" t="str">
        <f t="array" ref="AM250">IFERROR(INDEX($AI$11:$AI$259, MATCH(0, IF(TRUE=$AH$11:$AH$259, COUNTIF($AM$10:$AM249, $AI$11:$AI$259), ""), 0)),"")</f>
        <v/>
      </c>
      <c r="AQ250" s="31">
        <f t="shared" si="23"/>
        <v>0</v>
      </c>
    </row>
    <row r="251" spans="1:43" x14ac:dyDescent="0.3">
      <c r="A251" s="31" t="str">
        <f>IFERROR(INDEX('G-1 All Habitats'!$AG$3:$AG$15,MATCH(E251,'G-1 All Habitats'!$AF$3:$AF$15,0)),"")</f>
        <v/>
      </c>
      <c r="B251" s="31" t="str">
        <f>IFERROR(INDEX('G-8 Condition Look up'!$I$4:$I$130,MATCH(G251,'G-8 Condition Look up'!$A$4:$A$130,0)),"")</f>
        <v/>
      </c>
      <c r="D251" s="141">
        <v>241</v>
      </c>
      <c r="E251" s="203"/>
      <c r="F251" s="203"/>
      <c r="G251" s="250" t="str">
        <f>IFERROR(INDEX('G-1 All Habitats'!$B$3:$B$129,MATCH(F251,'G-1 All Habitats'!$A$3:$A$129,0)),"")</f>
        <v/>
      </c>
      <c r="H251" s="172"/>
      <c r="I251" s="498" t="str">
        <f>IF(G251="","",VLOOKUP(G251,'G-1 All Habitats'!$B$2:$M$129,10,FALSE))</f>
        <v/>
      </c>
      <c r="J251" s="499" t="str">
        <f>IFERROR(VLOOKUP(I251,'G-1 All Habitats'!$V$3:$W$7,2,FALSE),"")</f>
        <v/>
      </c>
      <c r="K251" s="145"/>
      <c r="L251" s="499" t="str">
        <f>IFERROR(INDEX('G-8 Condition Look up'!$A$3:$H$130,MATCH(G251,'G-8 Condition Look up'!$A$3:$A$130,0),MATCH(K251,'G-8 Condition Look up'!$A$3:$H$3,0)),"")</f>
        <v/>
      </c>
      <c r="M251" s="154"/>
      <c r="N251" s="520" t="str">
        <f>IF(M251="","",IF(VLOOKUP(M251,'G-3 Multipliers'!$L$3:$N$6,2,FALSE)=0,"Spatial Data Missing ⚠",VLOOKUP(M251,'G-3 Multipliers'!$L$3:$N$6,2,FALSE)))</f>
        <v/>
      </c>
      <c r="O251" s="524" t="str">
        <f>IF(M251="","",IF(VLOOKUP(M251,'G-3 Multipliers'!$L$3:$N$6,3,FALSE)=0,"Spatial Data Missing ⚠",VLOOKUP(M251,'G-3 Multipliers'!$L$3:$N$6,3,FALSE)))</f>
        <v/>
      </c>
      <c r="P251" s="506" t="str">
        <f>IFERROR(VLOOKUP(G251,'G-1 All Habitats'!$B$2:$M$129,12,FALSE),"")</f>
        <v/>
      </c>
      <c r="Q251" s="513" t="str">
        <f>IFERROR(IF(P251="","",IF(AND(P251='G-1 All Habitats'!$X$3,T251&gt;0),U251+V251,IF(AND(P251='G-1 All Habitats'!$X$3,S251&gt;0),U251+V251,IF(AND(P251='G-1 All Habitats'!$X$3,AC251&gt;0),"Any Loss Unacceptable",IF(AND(P251='G-1 All Habitats'!$X$3,W251&gt;0),"Any Loss Unacceptable",H251*J251*L251*O251))))),"Check Data ⚠")</f>
        <v/>
      </c>
      <c r="R251" s="50"/>
      <c r="S251" s="71"/>
      <c r="T251" s="72"/>
      <c r="U251" s="511" t="str">
        <f t="shared" si="20"/>
        <v/>
      </c>
      <c r="V251" s="511" t="str">
        <f t="shared" si="21"/>
        <v/>
      </c>
      <c r="W251" s="511" t="str">
        <f>IF(E251="","",IF(H251&lt;S251+T251,"Error in Areas ▲",IF(P251&lt;&gt;'G-1 All Habitats'!$X$3,H251-S251-T251,IF(AND(P251='G-1 All Habitats'!$X$3,Y251="Yes"),"Unacceptable Loss ▲",IF(AND(P251='G-1 All Habitats'!$X$3,Y251="No"),AC251,IF(AND(P251='G-1 All Habitats'!$X$3,Y251=""),AC251,IF(AND(P251='G-1 All Habitats'!$X$3,AC251="None",AC251),IF(AND(P251='G-1 All Habitats'!$X$3,AC251&gt;0),H251-S251-T251))))))))</f>
        <v/>
      </c>
      <c r="X251" s="545" t="str">
        <f>IFERROR(IF(H251="","",IF(H251-S251-T251=0&lt;0,"Error in Areas ▲",IF(S251+T251&gt;H251,"Error in Areas ▲",IF(AND(P251='G-1 All Habitats'!$X$3,Y251="Yes"),"Alternative Compensation",IF(W251=0,0,IF(P251='G-1 All Habitats'!$X$3,"Unacceptable Loss",Q251-U251-V251)))))),"Check Data ⚠")</f>
        <v/>
      </c>
      <c r="Y251" s="72"/>
      <c r="Z251" s="151"/>
      <c r="AA251" s="152"/>
      <c r="AC251" s="251" t="str">
        <f>IF(P251="","",IF(P251='G-1 All Habitats'!$X$3,H251-S251-T251,"None"))</f>
        <v/>
      </c>
      <c r="AD251" s="252" t="str">
        <f t="shared" si="22"/>
        <v/>
      </c>
      <c r="AF251" s="156" t="str">
        <f t="shared" si="18"/>
        <v/>
      </c>
      <c r="AG251" s="156" t="str">
        <f t="shared" si="19"/>
        <v/>
      </c>
      <c r="AH251" s="156" t="str">
        <f>IF(I251="","",IF(#REF!&gt;0,TRUE,FALSE))</f>
        <v/>
      </c>
      <c r="AI251" s="156">
        <v>241</v>
      </c>
      <c r="AJ251" s="156"/>
      <c r="AK251" s="156" t="str">
        <f t="array" ref="AK251">IFERROR(INDEX($AI$11:$AI$259, MATCH(0, IF(TRUE=$AF$11:$AF$259, COUNTIF($AK$10:$AK250, $AI$11:$AI$259), ""), 0)),"")</f>
        <v/>
      </c>
      <c r="AL251" s="156" t="str">
        <f t="array" ref="AL251">IFERROR(INDEX($AI$11:$AI$259, MATCH(0, IF(TRUE=$AG$11:$AG$259, COUNTIF($AL$10:$AL250, $AI$11:$AI$259), ""), 0)),"")</f>
        <v/>
      </c>
      <c r="AM251" s="156" t="str">
        <f t="array" ref="AM251">IFERROR(INDEX($AI$11:$AI$259, MATCH(0, IF(TRUE=$AH$11:$AH$259, COUNTIF($AM$10:$AM250, $AI$11:$AI$259), ""), 0)),"")</f>
        <v/>
      </c>
      <c r="AQ251" s="31">
        <f t="shared" si="23"/>
        <v>0</v>
      </c>
    </row>
    <row r="252" spans="1:43" x14ac:dyDescent="0.3">
      <c r="A252" s="31" t="str">
        <f>IFERROR(INDEX('G-1 All Habitats'!$AG$3:$AG$15,MATCH(E252,'G-1 All Habitats'!$AF$3:$AF$15,0)),"")</f>
        <v/>
      </c>
      <c r="B252" s="31" t="str">
        <f>IFERROR(INDEX('G-8 Condition Look up'!$I$4:$I$130,MATCH(G252,'G-8 Condition Look up'!$A$4:$A$130,0)),"")</f>
        <v/>
      </c>
      <c r="D252" s="141">
        <v>242</v>
      </c>
      <c r="E252" s="203"/>
      <c r="F252" s="203"/>
      <c r="G252" s="250" t="str">
        <f>IFERROR(INDEX('G-1 All Habitats'!$B$3:$B$129,MATCH(F252,'G-1 All Habitats'!$A$3:$A$129,0)),"")</f>
        <v/>
      </c>
      <c r="H252" s="172"/>
      <c r="I252" s="498" t="str">
        <f>IF(G252="","",VLOOKUP(G252,'G-1 All Habitats'!$B$2:$M$129,10,FALSE))</f>
        <v/>
      </c>
      <c r="J252" s="499" t="str">
        <f>IFERROR(VLOOKUP(I252,'G-1 All Habitats'!$V$3:$W$7,2,FALSE),"")</f>
        <v/>
      </c>
      <c r="K252" s="145"/>
      <c r="L252" s="499" t="str">
        <f>IFERROR(INDEX('G-8 Condition Look up'!$A$3:$H$130,MATCH(G252,'G-8 Condition Look up'!$A$3:$A$130,0),MATCH(K252,'G-8 Condition Look up'!$A$3:$H$3,0)),"")</f>
        <v/>
      </c>
      <c r="M252" s="154"/>
      <c r="N252" s="520" t="str">
        <f>IF(M252="","",IF(VLOOKUP(M252,'G-3 Multipliers'!$L$3:$N$6,2,FALSE)=0,"Spatial Data Missing ⚠",VLOOKUP(M252,'G-3 Multipliers'!$L$3:$N$6,2,FALSE)))</f>
        <v/>
      </c>
      <c r="O252" s="524" t="str">
        <f>IF(M252="","",IF(VLOOKUP(M252,'G-3 Multipliers'!$L$3:$N$6,3,FALSE)=0,"Spatial Data Missing ⚠",VLOOKUP(M252,'G-3 Multipliers'!$L$3:$N$6,3,FALSE)))</f>
        <v/>
      </c>
      <c r="P252" s="506" t="str">
        <f>IFERROR(VLOOKUP(G252,'G-1 All Habitats'!$B$2:$M$129,12,FALSE),"")</f>
        <v/>
      </c>
      <c r="Q252" s="513" t="str">
        <f>IFERROR(IF(P252="","",IF(AND(P252='G-1 All Habitats'!$X$3,T252&gt;0),U252+V252,IF(AND(P252='G-1 All Habitats'!$X$3,S252&gt;0),U252+V252,IF(AND(P252='G-1 All Habitats'!$X$3,AC252&gt;0),"Any Loss Unacceptable",IF(AND(P252='G-1 All Habitats'!$X$3,W252&gt;0),"Any Loss Unacceptable",H252*J252*L252*O252))))),"Check Data ⚠")</f>
        <v/>
      </c>
      <c r="R252" s="50"/>
      <c r="S252" s="71"/>
      <c r="T252" s="72"/>
      <c r="U252" s="511" t="str">
        <f t="shared" si="20"/>
        <v/>
      </c>
      <c r="V252" s="511" t="str">
        <f t="shared" si="21"/>
        <v/>
      </c>
      <c r="W252" s="511" t="str">
        <f>IF(E252="","",IF(H252&lt;S252+T252,"Error in Areas ▲",IF(P252&lt;&gt;'G-1 All Habitats'!$X$3,H252-S252-T252,IF(AND(P252='G-1 All Habitats'!$X$3,Y252="Yes"),"Unacceptable Loss ▲",IF(AND(P252='G-1 All Habitats'!$X$3,Y252="No"),AC252,IF(AND(P252='G-1 All Habitats'!$X$3,Y252=""),AC252,IF(AND(P252='G-1 All Habitats'!$X$3,AC252="None",AC252),IF(AND(P252='G-1 All Habitats'!$X$3,AC252&gt;0),H252-S252-T252))))))))</f>
        <v/>
      </c>
      <c r="X252" s="545" t="str">
        <f>IFERROR(IF(H252="","",IF(H252-S252-T252=0&lt;0,"Error in Areas ▲",IF(S252+T252&gt;H252,"Error in Areas ▲",IF(AND(P252='G-1 All Habitats'!$X$3,Y252="Yes"),"Alternative Compensation",IF(W252=0,0,IF(P252='G-1 All Habitats'!$X$3,"Unacceptable Loss",Q252-U252-V252)))))),"Check Data ⚠")</f>
        <v/>
      </c>
      <c r="Y252" s="72"/>
      <c r="Z252" s="151"/>
      <c r="AA252" s="152"/>
      <c r="AC252" s="251" t="str">
        <f>IF(P252="","",IF(P252='G-1 All Habitats'!$X$3,H252-S252-T252,"None"))</f>
        <v/>
      </c>
      <c r="AD252" s="252" t="str">
        <f t="shared" si="22"/>
        <v/>
      </c>
      <c r="AF252" s="156" t="str">
        <f t="shared" si="18"/>
        <v/>
      </c>
      <c r="AG252" s="156" t="str">
        <f t="shared" si="19"/>
        <v/>
      </c>
      <c r="AH252" s="156" t="str">
        <f>IF(I252="","",IF(#REF!&gt;0,TRUE,FALSE))</f>
        <v/>
      </c>
      <c r="AI252" s="156">
        <v>242</v>
      </c>
      <c r="AJ252" s="156"/>
      <c r="AK252" s="156" t="str">
        <f t="array" ref="AK252">IFERROR(INDEX($AI$11:$AI$259, MATCH(0, IF(TRUE=$AF$11:$AF$259, COUNTIF($AK$10:$AK251, $AI$11:$AI$259), ""), 0)),"")</f>
        <v/>
      </c>
      <c r="AL252" s="156" t="str">
        <f t="array" ref="AL252">IFERROR(INDEX($AI$11:$AI$259, MATCH(0, IF(TRUE=$AG$11:$AG$259, COUNTIF($AL$10:$AL251, $AI$11:$AI$259), ""), 0)),"")</f>
        <v/>
      </c>
      <c r="AM252" s="156" t="str">
        <f t="array" ref="AM252">IFERROR(INDEX($AI$11:$AI$259, MATCH(0, IF(TRUE=$AH$11:$AH$259, COUNTIF($AM$10:$AM251, $AI$11:$AI$259), ""), 0)),"")</f>
        <v/>
      </c>
      <c r="AQ252" s="31">
        <f t="shared" si="23"/>
        <v>0</v>
      </c>
    </row>
    <row r="253" spans="1:43" x14ac:dyDescent="0.3">
      <c r="A253" s="31" t="str">
        <f>IFERROR(INDEX('G-1 All Habitats'!$AG$3:$AG$15,MATCH(E253,'G-1 All Habitats'!$AF$3:$AF$15,0)),"")</f>
        <v/>
      </c>
      <c r="B253" s="31" t="str">
        <f>IFERROR(INDEX('G-8 Condition Look up'!$I$4:$I$130,MATCH(G253,'G-8 Condition Look up'!$A$4:$A$130,0)),"")</f>
        <v/>
      </c>
      <c r="D253" s="141">
        <v>243</v>
      </c>
      <c r="E253" s="203"/>
      <c r="F253" s="203"/>
      <c r="G253" s="250" t="str">
        <f>IFERROR(INDEX('G-1 All Habitats'!$B$3:$B$129,MATCH(F253,'G-1 All Habitats'!$A$3:$A$129,0)),"")</f>
        <v/>
      </c>
      <c r="H253" s="172"/>
      <c r="I253" s="498" t="str">
        <f>IF(G253="","",VLOOKUP(G253,'G-1 All Habitats'!$B$2:$M$129,10,FALSE))</f>
        <v/>
      </c>
      <c r="J253" s="499" t="str">
        <f>IFERROR(VLOOKUP(I253,'G-1 All Habitats'!$V$3:$W$7,2,FALSE),"")</f>
        <v/>
      </c>
      <c r="K253" s="145"/>
      <c r="L253" s="499" t="str">
        <f>IFERROR(INDEX('G-8 Condition Look up'!$A$3:$H$130,MATCH(G253,'G-8 Condition Look up'!$A$3:$A$130,0),MATCH(K253,'G-8 Condition Look up'!$A$3:$H$3,0)),"")</f>
        <v/>
      </c>
      <c r="M253" s="154"/>
      <c r="N253" s="520" t="str">
        <f>IF(M253="","",IF(VLOOKUP(M253,'G-3 Multipliers'!$L$3:$N$6,2,FALSE)=0,"Spatial Data Missing ⚠",VLOOKUP(M253,'G-3 Multipliers'!$L$3:$N$6,2,FALSE)))</f>
        <v/>
      </c>
      <c r="O253" s="524" t="str">
        <f>IF(M253="","",IF(VLOOKUP(M253,'G-3 Multipliers'!$L$3:$N$6,3,FALSE)=0,"Spatial Data Missing ⚠",VLOOKUP(M253,'G-3 Multipliers'!$L$3:$N$6,3,FALSE)))</f>
        <v/>
      </c>
      <c r="P253" s="506" t="str">
        <f>IFERROR(VLOOKUP(G253,'G-1 All Habitats'!$B$2:$M$129,12,FALSE),"")</f>
        <v/>
      </c>
      <c r="Q253" s="513" t="str">
        <f>IFERROR(IF(P253="","",IF(AND(P253='G-1 All Habitats'!$X$3,T253&gt;0),U253+V253,IF(AND(P253='G-1 All Habitats'!$X$3,S253&gt;0),U253+V253,IF(AND(P253='G-1 All Habitats'!$X$3,AC253&gt;0),"Any Loss Unacceptable",IF(AND(P253='G-1 All Habitats'!$X$3,W253&gt;0),"Any Loss Unacceptable",H253*J253*L253*O253))))),"Check Data ⚠")</f>
        <v/>
      </c>
      <c r="R253" s="50"/>
      <c r="S253" s="71"/>
      <c r="T253" s="72"/>
      <c r="U253" s="511" t="str">
        <f t="shared" si="20"/>
        <v/>
      </c>
      <c r="V253" s="511" t="str">
        <f t="shared" si="21"/>
        <v/>
      </c>
      <c r="W253" s="511" t="str">
        <f>IF(E253="","",IF(H253&lt;S253+T253,"Error in Areas ▲",IF(P253&lt;&gt;'G-1 All Habitats'!$X$3,H253-S253-T253,IF(AND(P253='G-1 All Habitats'!$X$3,Y253="Yes"),"Unacceptable Loss ▲",IF(AND(P253='G-1 All Habitats'!$X$3,Y253="No"),AC253,IF(AND(P253='G-1 All Habitats'!$X$3,Y253=""),AC253,IF(AND(P253='G-1 All Habitats'!$X$3,AC253="None",AC253),IF(AND(P253='G-1 All Habitats'!$X$3,AC253&gt;0),H253-S253-T253))))))))</f>
        <v/>
      </c>
      <c r="X253" s="545" t="str">
        <f>IFERROR(IF(H253="","",IF(H253-S253-T253=0&lt;0,"Error in Areas ▲",IF(S253+T253&gt;H253,"Error in Areas ▲",IF(AND(P253='G-1 All Habitats'!$X$3,Y253="Yes"),"Alternative Compensation",IF(W253=0,0,IF(P253='G-1 All Habitats'!$X$3,"Unacceptable Loss",Q253-U253-V253)))))),"Check Data ⚠")</f>
        <v/>
      </c>
      <c r="Y253" s="72"/>
      <c r="Z253" s="151"/>
      <c r="AA253" s="152"/>
      <c r="AC253" s="251" t="str">
        <f>IF(P253="","",IF(P253='G-1 All Habitats'!$X$3,H253-S253-T253,"None"))</f>
        <v/>
      </c>
      <c r="AD253" s="252" t="str">
        <f t="shared" si="22"/>
        <v/>
      </c>
      <c r="AF253" s="156" t="str">
        <f t="shared" si="18"/>
        <v/>
      </c>
      <c r="AG253" s="156" t="str">
        <f t="shared" si="19"/>
        <v/>
      </c>
      <c r="AH253" s="156" t="str">
        <f>IF(I253="","",IF(#REF!&gt;0,TRUE,FALSE))</f>
        <v/>
      </c>
      <c r="AI253" s="156">
        <v>243</v>
      </c>
      <c r="AJ253" s="156"/>
      <c r="AK253" s="156" t="str">
        <f t="array" ref="AK253">IFERROR(INDEX($AI$11:$AI$259, MATCH(0, IF(TRUE=$AF$11:$AF$259, COUNTIF($AK$10:$AK252, $AI$11:$AI$259), ""), 0)),"")</f>
        <v/>
      </c>
      <c r="AL253" s="156" t="str">
        <f t="array" ref="AL253">IFERROR(INDEX($AI$11:$AI$259, MATCH(0, IF(TRUE=$AG$11:$AG$259, COUNTIF($AL$10:$AL252, $AI$11:$AI$259), ""), 0)),"")</f>
        <v/>
      </c>
      <c r="AM253" s="156" t="str">
        <f t="array" ref="AM253">IFERROR(INDEX($AI$11:$AI$259, MATCH(0, IF(TRUE=$AH$11:$AH$259, COUNTIF($AM$10:$AM252, $AI$11:$AI$259), ""), 0)),"")</f>
        <v/>
      </c>
      <c r="AQ253" s="31">
        <f t="shared" si="23"/>
        <v>0</v>
      </c>
    </row>
    <row r="254" spans="1:43" x14ac:dyDescent="0.3">
      <c r="A254" s="31" t="str">
        <f>IFERROR(INDEX('G-1 All Habitats'!$AG$3:$AG$15,MATCH(E254,'G-1 All Habitats'!$AF$3:$AF$15,0)),"")</f>
        <v/>
      </c>
      <c r="B254" s="31" t="str">
        <f>IFERROR(INDEX('G-8 Condition Look up'!$I$4:$I$130,MATCH(G254,'G-8 Condition Look up'!$A$4:$A$130,0)),"")</f>
        <v/>
      </c>
      <c r="D254" s="141">
        <v>244</v>
      </c>
      <c r="E254" s="203"/>
      <c r="F254" s="203"/>
      <c r="G254" s="250" t="str">
        <f>IFERROR(INDEX('G-1 All Habitats'!$B$3:$B$129,MATCH(F254,'G-1 All Habitats'!$A$3:$A$129,0)),"")</f>
        <v/>
      </c>
      <c r="H254" s="172"/>
      <c r="I254" s="498" t="str">
        <f>IF(G254="","",VLOOKUP(G254,'G-1 All Habitats'!$B$2:$M$129,10,FALSE))</f>
        <v/>
      </c>
      <c r="J254" s="499" t="str">
        <f>IFERROR(VLOOKUP(I254,'G-1 All Habitats'!$V$3:$W$7,2,FALSE),"")</f>
        <v/>
      </c>
      <c r="K254" s="145"/>
      <c r="L254" s="499" t="str">
        <f>IFERROR(INDEX('G-8 Condition Look up'!$A$3:$H$130,MATCH(G254,'G-8 Condition Look up'!$A$3:$A$130,0),MATCH(K254,'G-8 Condition Look up'!$A$3:$H$3,0)),"")</f>
        <v/>
      </c>
      <c r="M254" s="154"/>
      <c r="N254" s="520" t="str">
        <f>IF(M254="","",IF(VLOOKUP(M254,'G-3 Multipliers'!$L$3:$N$6,2,FALSE)=0,"Spatial Data Missing ⚠",VLOOKUP(M254,'G-3 Multipliers'!$L$3:$N$6,2,FALSE)))</f>
        <v/>
      </c>
      <c r="O254" s="524" t="str">
        <f>IF(M254="","",IF(VLOOKUP(M254,'G-3 Multipliers'!$L$3:$N$6,3,FALSE)=0,"Spatial Data Missing ⚠",VLOOKUP(M254,'G-3 Multipliers'!$L$3:$N$6,3,FALSE)))</f>
        <v/>
      </c>
      <c r="P254" s="506" t="str">
        <f>IFERROR(VLOOKUP(G254,'G-1 All Habitats'!$B$2:$M$129,12,FALSE),"")</f>
        <v/>
      </c>
      <c r="Q254" s="513" t="str">
        <f>IFERROR(IF(P254="","",IF(AND(P254='G-1 All Habitats'!$X$3,T254&gt;0),U254+V254,IF(AND(P254='G-1 All Habitats'!$X$3,S254&gt;0),U254+V254,IF(AND(P254='G-1 All Habitats'!$X$3,AC254&gt;0),"Any Loss Unacceptable",IF(AND(P254='G-1 All Habitats'!$X$3,W254&gt;0),"Any Loss Unacceptable",H254*J254*L254*O254))))),"Check Data ⚠")</f>
        <v/>
      </c>
      <c r="R254" s="50"/>
      <c r="S254" s="71"/>
      <c r="T254" s="72"/>
      <c r="U254" s="511" t="str">
        <f t="shared" si="20"/>
        <v/>
      </c>
      <c r="V254" s="511" t="str">
        <f t="shared" si="21"/>
        <v/>
      </c>
      <c r="W254" s="511" t="str">
        <f>IF(E254="","",IF(H254&lt;S254+T254,"Error in Areas ▲",IF(P254&lt;&gt;'G-1 All Habitats'!$X$3,H254-S254-T254,IF(AND(P254='G-1 All Habitats'!$X$3,Y254="Yes"),"Unacceptable Loss ▲",IF(AND(P254='G-1 All Habitats'!$X$3,Y254="No"),AC254,IF(AND(P254='G-1 All Habitats'!$X$3,Y254=""),AC254,IF(AND(P254='G-1 All Habitats'!$X$3,AC254="None",AC254),IF(AND(P254='G-1 All Habitats'!$X$3,AC254&gt;0),H254-S254-T254))))))))</f>
        <v/>
      </c>
      <c r="X254" s="545" t="str">
        <f>IFERROR(IF(H254="","",IF(H254-S254-T254=0&lt;0,"Error in Areas ▲",IF(S254+T254&gt;H254,"Error in Areas ▲",IF(AND(P254='G-1 All Habitats'!$X$3,Y254="Yes"),"Alternative Compensation",IF(W254=0,0,IF(P254='G-1 All Habitats'!$X$3,"Unacceptable Loss",Q254-U254-V254)))))),"Check Data ⚠")</f>
        <v/>
      </c>
      <c r="Y254" s="72"/>
      <c r="Z254" s="151"/>
      <c r="AA254" s="152"/>
      <c r="AC254" s="251" t="str">
        <f>IF(P254="","",IF(P254='G-1 All Habitats'!$X$3,H254-S254-T254,"None"))</f>
        <v/>
      </c>
      <c r="AD254" s="252" t="str">
        <f t="shared" si="22"/>
        <v/>
      </c>
      <c r="AF254" s="156" t="str">
        <f t="shared" si="18"/>
        <v/>
      </c>
      <c r="AG254" s="156" t="str">
        <f t="shared" si="19"/>
        <v/>
      </c>
      <c r="AH254" s="156" t="str">
        <f>IF(I254="","",IF(#REF!&gt;0,TRUE,FALSE))</f>
        <v/>
      </c>
      <c r="AI254" s="156">
        <v>244</v>
      </c>
      <c r="AJ254" s="156"/>
      <c r="AK254" s="156" t="str">
        <f t="array" ref="AK254">IFERROR(INDEX($AI$11:$AI$259, MATCH(0, IF(TRUE=$AF$11:$AF$259, COUNTIF($AK$10:$AK253, $AI$11:$AI$259), ""), 0)),"")</f>
        <v/>
      </c>
      <c r="AL254" s="156" t="str">
        <f t="array" ref="AL254">IFERROR(INDEX($AI$11:$AI$259, MATCH(0, IF(TRUE=$AG$11:$AG$259, COUNTIF($AL$10:$AL253, $AI$11:$AI$259), ""), 0)),"")</f>
        <v/>
      </c>
      <c r="AM254" s="156" t="str">
        <f t="array" ref="AM254">IFERROR(INDEX($AI$11:$AI$259, MATCH(0, IF(TRUE=$AH$11:$AH$259, COUNTIF($AM$10:$AM253, $AI$11:$AI$259), ""), 0)),"")</f>
        <v/>
      </c>
      <c r="AQ254" s="31">
        <f t="shared" si="23"/>
        <v>0</v>
      </c>
    </row>
    <row r="255" spans="1:43" x14ac:dyDescent="0.3">
      <c r="A255" s="31" t="str">
        <f>IFERROR(INDEX('G-1 All Habitats'!$AG$3:$AG$15,MATCH(E255,'G-1 All Habitats'!$AF$3:$AF$15,0)),"")</f>
        <v/>
      </c>
      <c r="B255" s="31" t="str">
        <f>IFERROR(INDEX('G-8 Condition Look up'!$I$4:$I$130,MATCH(G255,'G-8 Condition Look up'!$A$4:$A$130,0)),"")</f>
        <v/>
      </c>
      <c r="D255" s="141">
        <v>245</v>
      </c>
      <c r="E255" s="203"/>
      <c r="F255" s="203"/>
      <c r="G255" s="250" t="str">
        <f>IFERROR(INDEX('G-1 All Habitats'!$B$3:$B$129,MATCH(F255,'G-1 All Habitats'!$A$3:$A$129,0)),"")</f>
        <v/>
      </c>
      <c r="H255" s="172"/>
      <c r="I255" s="498" t="str">
        <f>IF(G255="","",VLOOKUP(G255,'G-1 All Habitats'!$B$2:$M$129,10,FALSE))</f>
        <v/>
      </c>
      <c r="J255" s="499" t="str">
        <f>IFERROR(VLOOKUP(I255,'G-1 All Habitats'!$V$3:$W$7,2,FALSE),"")</f>
        <v/>
      </c>
      <c r="K255" s="145"/>
      <c r="L255" s="499" t="str">
        <f>IFERROR(INDEX('G-8 Condition Look up'!$A$3:$H$130,MATCH(G255,'G-8 Condition Look up'!$A$3:$A$130,0),MATCH(K255,'G-8 Condition Look up'!$A$3:$H$3,0)),"")</f>
        <v/>
      </c>
      <c r="M255" s="154"/>
      <c r="N255" s="520" t="str">
        <f>IF(M255="","",IF(VLOOKUP(M255,'G-3 Multipliers'!$L$3:$N$6,2,FALSE)=0,"Spatial Data Missing ⚠",VLOOKUP(M255,'G-3 Multipliers'!$L$3:$N$6,2,FALSE)))</f>
        <v/>
      </c>
      <c r="O255" s="524" t="str">
        <f>IF(M255="","",IF(VLOOKUP(M255,'G-3 Multipliers'!$L$3:$N$6,3,FALSE)=0,"Spatial Data Missing ⚠",VLOOKUP(M255,'G-3 Multipliers'!$L$3:$N$6,3,FALSE)))</f>
        <v/>
      </c>
      <c r="P255" s="506" t="str">
        <f>IFERROR(VLOOKUP(G255,'G-1 All Habitats'!$B$2:$M$129,12,FALSE),"")</f>
        <v/>
      </c>
      <c r="Q255" s="513" t="str">
        <f>IFERROR(IF(P255="","",IF(AND(P255='G-1 All Habitats'!$X$3,T255&gt;0),U255+V255,IF(AND(P255='G-1 All Habitats'!$X$3,S255&gt;0),U255+V255,IF(AND(P255='G-1 All Habitats'!$X$3,AC255&gt;0),"Any Loss Unacceptable",IF(AND(P255='G-1 All Habitats'!$X$3,W255&gt;0),"Any Loss Unacceptable",H255*J255*L255*O255))))),"Check Data ⚠")</f>
        <v/>
      </c>
      <c r="R255" s="50"/>
      <c r="S255" s="71"/>
      <c r="T255" s="72"/>
      <c r="U255" s="511" t="str">
        <f t="shared" si="20"/>
        <v/>
      </c>
      <c r="V255" s="511" t="str">
        <f t="shared" si="21"/>
        <v/>
      </c>
      <c r="W255" s="511" t="str">
        <f>IF(E255="","",IF(H255&lt;S255+T255,"Error in Areas ▲",IF(P255&lt;&gt;'G-1 All Habitats'!$X$3,H255-S255-T255,IF(AND(P255='G-1 All Habitats'!$X$3,Y255="Yes"),"Unacceptable Loss ▲",IF(AND(P255='G-1 All Habitats'!$X$3,Y255="No"),AC255,IF(AND(P255='G-1 All Habitats'!$X$3,Y255=""),AC255,IF(AND(P255='G-1 All Habitats'!$X$3,AC255="None",AC255),IF(AND(P255='G-1 All Habitats'!$X$3,AC255&gt;0),H255-S255-T255))))))))</f>
        <v/>
      </c>
      <c r="X255" s="545" t="str">
        <f>IFERROR(IF(H255="","",IF(H255-S255-T255=0&lt;0,"Error in Areas ▲",IF(S255+T255&gt;H255,"Error in Areas ▲",IF(AND(P255='G-1 All Habitats'!$X$3,Y255="Yes"),"Alternative Compensation",IF(W255=0,0,IF(P255='G-1 All Habitats'!$X$3,"Unacceptable Loss",Q255-U255-V255)))))),"Check Data ⚠")</f>
        <v/>
      </c>
      <c r="Y255" s="72"/>
      <c r="Z255" s="151"/>
      <c r="AA255" s="152"/>
      <c r="AC255" s="251" t="str">
        <f>IF(P255="","",IF(P255='G-1 All Habitats'!$X$3,H255-S255-T255,"None"))</f>
        <v/>
      </c>
      <c r="AD255" s="252" t="str">
        <f t="shared" si="22"/>
        <v/>
      </c>
      <c r="AF255" s="156" t="str">
        <f t="shared" si="18"/>
        <v/>
      </c>
      <c r="AG255" s="156" t="str">
        <f t="shared" si="19"/>
        <v/>
      </c>
      <c r="AH255" s="156" t="str">
        <f>IF(I255="","",IF(#REF!&gt;0,TRUE,FALSE))</f>
        <v/>
      </c>
      <c r="AI255" s="156">
        <v>245</v>
      </c>
      <c r="AJ255" s="156"/>
      <c r="AK255" s="156" t="str">
        <f t="array" ref="AK255">IFERROR(INDEX($AI$11:$AI$259, MATCH(0, IF(TRUE=$AF$11:$AF$259, COUNTIF($AK$10:$AK254, $AI$11:$AI$259), ""), 0)),"")</f>
        <v/>
      </c>
      <c r="AL255" s="156" t="str">
        <f t="array" ref="AL255">IFERROR(INDEX($AI$11:$AI$259, MATCH(0, IF(TRUE=$AG$11:$AG$259, COUNTIF($AL$10:$AL254, $AI$11:$AI$259), ""), 0)),"")</f>
        <v/>
      </c>
      <c r="AM255" s="156" t="str">
        <f t="array" ref="AM255">IFERROR(INDEX($AI$11:$AI$259, MATCH(0, IF(TRUE=$AH$11:$AH$259, COUNTIF($AM$10:$AM254, $AI$11:$AI$259), ""), 0)),"")</f>
        <v/>
      </c>
      <c r="AQ255" s="31">
        <f t="shared" si="23"/>
        <v>0</v>
      </c>
    </row>
    <row r="256" spans="1:43" x14ac:dyDescent="0.3">
      <c r="A256" s="31" t="str">
        <f>IFERROR(INDEX('G-1 All Habitats'!$AG$3:$AG$15,MATCH(E256,'G-1 All Habitats'!$AF$3:$AF$15,0)),"")</f>
        <v/>
      </c>
      <c r="B256" s="31" t="str">
        <f>IFERROR(INDEX('G-8 Condition Look up'!$I$4:$I$130,MATCH(G256,'G-8 Condition Look up'!$A$4:$A$130,0)),"")</f>
        <v/>
      </c>
      <c r="D256" s="141">
        <v>246</v>
      </c>
      <c r="E256" s="203"/>
      <c r="F256" s="203"/>
      <c r="G256" s="250" t="str">
        <f>IFERROR(INDEX('G-1 All Habitats'!$B$3:$B$129,MATCH(F256,'G-1 All Habitats'!$A$3:$A$129,0)),"")</f>
        <v/>
      </c>
      <c r="H256" s="172"/>
      <c r="I256" s="498" t="str">
        <f>IF(G256="","",VLOOKUP(G256,'G-1 All Habitats'!$B$2:$M$129,10,FALSE))</f>
        <v/>
      </c>
      <c r="J256" s="499" t="str">
        <f>IFERROR(VLOOKUP(I256,'G-1 All Habitats'!$V$3:$W$7,2,FALSE),"")</f>
        <v/>
      </c>
      <c r="K256" s="145"/>
      <c r="L256" s="499" t="str">
        <f>IFERROR(INDEX('G-8 Condition Look up'!$A$3:$H$130,MATCH(G256,'G-8 Condition Look up'!$A$3:$A$130,0),MATCH(K256,'G-8 Condition Look up'!$A$3:$H$3,0)),"")</f>
        <v/>
      </c>
      <c r="M256" s="154"/>
      <c r="N256" s="520" t="str">
        <f>IF(M256="","",IF(VLOOKUP(M256,'G-3 Multipliers'!$L$3:$N$6,2,FALSE)=0,"Spatial Data Missing ⚠",VLOOKUP(M256,'G-3 Multipliers'!$L$3:$N$6,2,FALSE)))</f>
        <v/>
      </c>
      <c r="O256" s="524" t="str">
        <f>IF(M256="","",IF(VLOOKUP(M256,'G-3 Multipliers'!$L$3:$N$6,3,FALSE)=0,"Spatial Data Missing ⚠",VLOOKUP(M256,'G-3 Multipliers'!$L$3:$N$6,3,FALSE)))</f>
        <v/>
      </c>
      <c r="P256" s="506" t="str">
        <f>IFERROR(VLOOKUP(G256,'G-1 All Habitats'!$B$2:$M$129,12,FALSE),"")</f>
        <v/>
      </c>
      <c r="Q256" s="513" t="str">
        <f>IFERROR(IF(P256="","",IF(AND(P256='G-1 All Habitats'!$X$3,T256&gt;0),U256+V256,IF(AND(P256='G-1 All Habitats'!$X$3,S256&gt;0),U256+V256,IF(AND(P256='G-1 All Habitats'!$X$3,AC256&gt;0),"Any Loss Unacceptable",IF(AND(P256='G-1 All Habitats'!$X$3,W256&gt;0),"Any Loss Unacceptable",H256*J256*L256*O256))))),"Check Data ⚠")</f>
        <v/>
      </c>
      <c r="R256" s="50"/>
      <c r="S256" s="71"/>
      <c r="T256" s="72"/>
      <c r="U256" s="511" t="str">
        <f t="shared" si="20"/>
        <v/>
      </c>
      <c r="V256" s="511" t="str">
        <f t="shared" si="21"/>
        <v/>
      </c>
      <c r="W256" s="511" t="str">
        <f>IF(E256="","",IF(H256&lt;S256+T256,"Error in Areas ▲",IF(P256&lt;&gt;'G-1 All Habitats'!$X$3,H256-S256-T256,IF(AND(P256='G-1 All Habitats'!$X$3,Y256="Yes"),"Unacceptable Loss ▲",IF(AND(P256='G-1 All Habitats'!$X$3,Y256="No"),AC256,IF(AND(P256='G-1 All Habitats'!$X$3,Y256=""),AC256,IF(AND(P256='G-1 All Habitats'!$X$3,AC256="None",AC256),IF(AND(P256='G-1 All Habitats'!$X$3,AC256&gt;0),H256-S256-T256))))))))</f>
        <v/>
      </c>
      <c r="X256" s="545" t="str">
        <f>IFERROR(IF(H256="","",IF(H256-S256-T256=0&lt;0,"Error in Areas ▲",IF(S256+T256&gt;H256,"Error in Areas ▲",IF(AND(P256='G-1 All Habitats'!$X$3,Y256="Yes"),"Alternative Compensation",IF(W256=0,0,IF(P256='G-1 All Habitats'!$X$3,"Unacceptable Loss",Q256-U256-V256)))))),"Check Data ⚠")</f>
        <v/>
      </c>
      <c r="Y256" s="72"/>
      <c r="Z256" s="151"/>
      <c r="AA256" s="152"/>
      <c r="AC256" s="251" t="str">
        <f>IF(P256="","",IF(P256='G-1 All Habitats'!$X$3,H256-S256-T256,"None"))</f>
        <v/>
      </c>
      <c r="AD256" s="252" t="str">
        <f t="shared" si="22"/>
        <v/>
      </c>
      <c r="AF256" s="156" t="str">
        <f t="shared" si="18"/>
        <v/>
      </c>
      <c r="AG256" s="156" t="str">
        <f t="shared" si="19"/>
        <v/>
      </c>
      <c r="AH256" s="156" t="str">
        <f>IF(I256="","",IF(#REF!&gt;0,TRUE,FALSE))</f>
        <v/>
      </c>
      <c r="AI256" s="156">
        <v>246</v>
      </c>
      <c r="AJ256" s="156"/>
      <c r="AK256" s="156" t="str">
        <f t="array" ref="AK256">IFERROR(INDEX($AI$11:$AI$259, MATCH(0, IF(TRUE=$AF$11:$AF$259, COUNTIF($AK$10:$AK255, $AI$11:$AI$259), ""), 0)),"")</f>
        <v/>
      </c>
      <c r="AL256" s="156" t="str">
        <f t="array" ref="AL256">IFERROR(INDEX($AI$11:$AI$259, MATCH(0, IF(TRUE=$AG$11:$AG$259, COUNTIF($AL$10:$AL255, $AI$11:$AI$259), ""), 0)),"")</f>
        <v/>
      </c>
      <c r="AM256" s="156" t="str">
        <f t="array" ref="AM256">IFERROR(INDEX($AI$11:$AI$259, MATCH(0, IF(TRUE=$AH$11:$AH$259, COUNTIF($AM$10:$AM255, $AI$11:$AI$259), ""), 0)),"")</f>
        <v/>
      </c>
      <c r="AQ256" s="31">
        <f t="shared" si="23"/>
        <v>0</v>
      </c>
    </row>
    <row r="257" spans="1:43" x14ac:dyDescent="0.3">
      <c r="A257" s="31" t="str">
        <f>IFERROR(INDEX('G-1 All Habitats'!$AG$3:$AG$15,MATCH(E257,'G-1 All Habitats'!$AF$3:$AF$15,0)),"")</f>
        <v/>
      </c>
      <c r="B257" s="31" t="str">
        <f>IFERROR(INDEX('G-8 Condition Look up'!$I$4:$I$130,MATCH(G257,'G-8 Condition Look up'!$A$4:$A$130,0)),"")</f>
        <v/>
      </c>
      <c r="D257" s="141">
        <v>247</v>
      </c>
      <c r="E257" s="203"/>
      <c r="F257" s="203"/>
      <c r="G257" s="250" t="str">
        <f>IFERROR(INDEX('G-1 All Habitats'!$B$3:$B$129,MATCH(F257,'G-1 All Habitats'!$A$3:$A$129,0)),"")</f>
        <v/>
      </c>
      <c r="H257" s="172"/>
      <c r="I257" s="498" t="str">
        <f>IF(G257="","",VLOOKUP(G257,'G-1 All Habitats'!$B$2:$M$129,10,FALSE))</f>
        <v/>
      </c>
      <c r="J257" s="499" t="str">
        <f>IFERROR(VLOOKUP(I257,'G-1 All Habitats'!$V$3:$W$7,2,FALSE),"")</f>
        <v/>
      </c>
      <c r="K257" s="145"/>
      <c r="L257" s="499" t="str">
        <f>IFERROR(INDEX('G-8 Condition Look up'!$A$3:$H$130,MATCH(G257,'G-8 Condition Look up'!$A$3:$A$130,0),MATCH(K257,'G-8 Condition Look up'!$A$3:$H$3,0)),"")</f>
        <v/>
      </c>
      <c r="M257" s="154"/>
      <c r="N257" s="520" t="str">
        <f>IF(M257="","",IF(VLOOKUP(M257,'G-3 Multipliers'!$L$3:$N$6,2,FALSE)=0,"Spatial Data Missing ⚠",VLOOKUP(M257,'G-3 Multipliers'!$L$3:$N$6,2,FALSE)))</f>
        <v/>
      </c>
      <c r="O257" s="524" t="str">
        <f>IF(M257="","",IF(VLOOKUP(M257,'G-3 Multipliers'!$L$3:$N$6,3,FALSE)=0,"Spatial Data Missing ⚠",VLOOKUP(M257,'G-3 Multipliers'!$L$3:$N$6,3,FALSE)))</f>
        <v/>
      </c>
      <c r="P257" s="506" t="str">
        <f>IFERROR(VLOOKUP(G257,'G-1 All Habitats'!$B$2:$M$129,12,FALSE),"")</f>
        <v/>
      </c>
      <c r="Q257" s="513" t="str">
        <f>IFERROR(IF(P257="","",IF(AND(P257='G-1 All Habitats'!$X$3,T257&gt;0),U257+V257,IF(AND(P257='G-1 All Habitats'!$X$3,S257&gt;0),U257+V257,IF(AND(P257='G-1 All Habitats'!$X$3,AC257&gt;0),"Any Loss Unacceptable",IF(AND(P257='G-1 All Habitats'!$X$3,W257&gt;0),"Any Loss Unacceptable",H257*J257*L257*O257))))),"Check Data ⚠")</f>
        <v/>
      </c>
      <c r="R257" s="50"/>
      <c r="S257" s="71"/>
      <c r="T257" s="72"/>
      <c r="U257" s="511" t="str">
        <f t="shared" si="20"/>
        <v/>
      </c>
      <c r="V257" s="511" t="str">
        <f t="shared" si="21"/>
        <v/>
      </c>
      <c r="W257" s="511" t="str">
        <f>IF(E257="","",IF(H257&lt;S257+T257,"Error in Areas ▲",IF(P257&lt;&gt;'G-1 All Habitats'!$X$3,H257-S257-T257,IF(AND(P257='G-1 All Habitats'!$X$3,Y257="Yes"),"Unacceptable Loss ▲",IF(AND(P257='G-1 All Habitats'!$X$3,Y257="No"),AC257,IF(AND(P257='G-1 All Habitats'!$X$3,Y257=""),AC257,IF(AND(P257='G-1 All Habitats'!$X$3,AC257="None",AC257),IF(AND(P257='G-1 All Habitats'!$X$3,AC257&gt;0),H257-S257-T257))))))))</f>
        <v/>
      </c>
      <c r="X257" s="545" t="str">
        <f>IFERROR(IF(H257="","",IF(H257-S257-T257=0&lt;0,"Error in Areas ▲",IF(S257+T257&gt;H257,"Error in Areas ▲",IF(AND(P257='G-1 All Habitats'!$X$3,Y257="Yes"),"Alternative Compensation",IF(W257=0,0,IF(P257='G-1 All Habitats'!$X$3,"Unacceptable Loss",Q257-U257-V257)))))),"Check Data ⚠")</f>
        <v/>
      </c>
      <c r="Y257" s="72"/>
      <c r="Z257" s="151"/>
      <c r="AA257" s="152"/>
      <c r="AC257" s="251" t="str">
        <f>IF(P257="","",IF(P257='G-1 All Habitats'!$X$3,H257-S257-T257,"None"))</f>
        <v/>
      </c>
      <c r="AD257" s="252" t="str">
        <f t="shared" si="22"/>
        <v/>
      </c>
      <c r="AF257" s="156" t="str">
        <f t="shared" si="18"/>
        <v/>
      </c>
      <c r="AG257" s="156" t="str">
        <f t="shared" si="19"/>
        <v/>
      </c>
      <c r="AH257" s="156" t="str">
        <f>IF(I257="","",IF(#REF!&gt;0,TRUE,FALSE))</f>
        <v/>
      </c>
      <c r="AI257" s="156">
        <v>247</v>
      </c>
      <c r="AJ257" s="156"/>
      <c r="AK257" s="156" t="str">
        <f t="array" ref="AK257">IFERROR(INDEX($AI$11:$AI$259, MATCH(0, IF(TRUE=$AF$11:$AF$259, COUNTIF($AK$10:$AK256, $AI$11:$AI$259), ""), 0)),"")</f>
        <v/>
      </c>
      <c r="AL257" s="156" t="str">
        <f t="array" ref="AL257">IFERROR(INDEX($AI$11:$AI$259, MATCH(0, IF(TRUE=$AG$11:$AG$259, COUNTIF($AL$10:$AL256, $AI$11:$AI$259), ""), 0)),"")</f>
        <v/>
      </c>
      <c r="AM257" s="156" t="str">
        <f t="array" ref="AM257">IFERROR(INDEX($AI$11:$AI$259, MATCH(0, IF(TRUE=$AH$11:$AH$259, COUNTIF($AM$10:$AM256, $AI$11:$AI$259), ""), 0)),"")</f>
        <v/>
      </c>
      <c r="AQ257" s="31">
        <f t="shared" si="23"/>
        <v>0</v>
      </c>
    </row>
    <row r="258" spans="1:43" ht="14.5" thickBot="1" x14ac:dyDescent="0.35">
      <c r="A258" s="31" t="str">
        <f>IFERROR(INDEX('G-1 All Habitats'!$AG$3:$AG$15,MATCH(E258,'G-1 All Habitats'!$AF$3:$AF$15,0)),"")</f>
        <v/>
      </c>
      <c r="B258" s="31" t="str">
        <f>IFERROR(INDEX('G-8 Condition Look up'!$I$4:$I$130,MATCH(G258,'G-8 Condition Look up'!$A$4:$A$130,0)),"")</f>
        <v/>
      </c>
      <c r="D258" s="158">
        <v>248</v>
      </c>
      <c r="E258" s="206"/>
      <c r="F258" s="206"/>
      <c r="G258" s="376" t="str">
        <f>IFERROR(INDEX('G-1 All Habitats'!$B$3:$B$129,MATCH(F258,'G-1 All Habitats'!$A$3:$A$129,0)),"")</f>
        <v/>
      </c>
      <c r="H258" s="160"/>
      <c r="I258" s="500" t="str">
        <f>IF(G258="","",VLOOKUP(G258,'G-1 All Habitats'!$B$2:$M$129,10,FALSE))</f>
        <v/>
      </c>
      <c r="J258" s="501" t="str">
        <f>IFERROR(VLOOKUP(I258,'G-1 All Habitats'!$V$3:$W$7,2,FALSE),"")</f>
        <v/>
      </c>
      <c r="K258" s="161"/>
      <c r="L258" s="501" t="str">
        <f>IFERROR(INDEX('G-8 Condition Look up'!$A$3:$H$130,MATCH(G258,'G-8 Condition Look up'!$A$3:$A$130,0),MATCH(K258,'G-8 Condition Look up'!$A$3:$H$3,0)),"")</f>
        <v/>
      </c>
      <c r="M258" s="161"/>
      <c r="N258" s="520" t="str">
        <f>IF(M258="","",IF(VLOOKUP(M258,'G-3 Multipliers'!$L$3:$N$6,2,FALSE)=0,"Spatial Data Missing ⚠",VLOOKUP(M258,'G-3 Multipliers'!$L$3:$N$6,2,FALSE)))</f>
        <v/>
      </c>
      <c r="O258" s="524" t="str">
        <f>IF(M258="","",IF(VLOOKUP(M258,'G-3 Multipliers'!$L$3:$N$6,3,FALSE)=0,"Spatial Data Missing ⚠",VLOOKUP(M258,'G-3 Multipliers'!$L$3:$N$6,3,FALSE)))</f>
        <v/>
      </c>
      <c r="P258" s="510" t="str">
        <f>IFERROR(VLOOKUP(G258,'G-1 All Habitats'!$B$2:$M$129,12,FALSE),"")</f>
        <v/>
      </c>
      <c r="Q258" s="513" t="str">
        <f>IFERROR(IF(P258="","",IF(AND(P258='G-1 All Habitats'!$X$3,T258&gt;0),U258+V258,IF(AND(P258='G-1 All Habitats'!$X$3,S258&gt;0),U258+V258,IF(AND(P258='G-1 All Habitats'!$X$3,AC258&gt;0),"Any Loss Unacceptable",IF(AND(P258='G-1 All Habitats'!$X$3,W258&gt;0),"Any Loss Unacceptable",H258*J258*L258*O258))))),"Check Data ⚠")</f>
        <v/>
      </c>
      <c r="R258" s="50"/>
      <c r="S258" s="373"/>
      <c r="T258" s="374"/>
      <c r="U258" s="619" t="str">
        <f t="shared" si="20"/>
        <v/>
      </c>
      <c r="V258" s="619" t="str">
        <f t="shared" si="21"/>
        <v/>
      </c>
      <c r="W258" s="511" t="str">
        <f>IF(E258="","",IF(H258&lt;S258+T258,"Error in Areas ▲",IF(P258&lt;&gt;'G-1 All Habitats'!$X$3,H258-S258-T258,IF(AND(P258='G-1 All Habitats'!$X$3,Y258="Yes"),"Unacceptable Loss ▲",IF(AND(P258='G-1 All Habitats'!$X$3,Y258="No"),AC258,IF(AND(P258='G-1 All Habitats'!$X$3,Y258=""),AC258,IF(AND(P258='G-1 All Habitats'!$X$3,AC258="None",AC258),IF(AND(P258='G-1 All Habitats'!$X$3,AC258&gt;0),H258-S258-T258))))))))</f>
        <v/>
      </c>
      <c r="X258" s="545" t="str">
        <f>IFERROR(IF(H258="","",IF(H258-S258-T258=0&lt;0,"Error in Areas ▲",IF(S258+T258&gt;H258,"Error in Areas ▲",IF(AND(P258='G-1 All Habitats'!$X$3,Y258="Yes"),"Alternative Compensation",IF(W258=0,0,IF(P258='G-1 All Habitats'!$X$3,"Unacceptable Loss",Q258-U258-V258)))))),"Check Data ⚠")</f>
        <v/>
      </c>
      <c r="Y258" s="375"/>
      <c r="Z258" s="163"/>
      <c r="AA258" s="164"/>
      <c r="AC258" s="251" t="str">
        <f>IF(P258="","",IF(P258='G-1 All Habitats'!$X$3,H258-S258-T258,"None"))</f>
        <v/>
      </c>
      <c r="AD258" s="252" t="str">
        <f t="shared" si="22"/>
        <v/>
      </c>
      <c r="AF258" s="156" t="str">
        <f t="shared" si="18"/>
        <v/>
      </c>
      <c r="AG258" s="156" t="str">
        <f t="shared" si="19"/>
        <v/>
      </c>
      <c r="AH258" s="156" t="str">
        <f>IF(I258="","",IF(#REF!&gt;0,TRUE,FALSE))</f>
        <v/>
      </c>
      <c r="AI258" s="156">
        <v>248</v>
      </c>
      <c r="AJ258" s="156"/>
      <c r="AK258" s="156" t="str">
        <f t="array" ref="AK258">IFERROR(INDEX($AI$11:$AI$259, MATCH(0, IF(TRUE=$AF$11:$AF$259, COUNTIF($AK$10:$AK257, $AI$11:$AI$259), ""), 0)),"")</f>
        <v/>
      </c>
      <c r="AL258" s="156" t="str">
        <f t="array" ref="AL258">IFERROR(INDEX($AI$11:$AI$259, MATCH(0, IF(TRUE=$AG$11:$AG$259, COUNTIF($AL$10:$AL257, $AI$11:$AI$259), ""), 0)),"")</f>
        <v/>
      </c>
      <c r="AM258" s="156" t="str">
        <f t="array" ref="AM258">IFERROR(INDEX($AI$11:$AI$259, MATCH(0, IF(TRUE=$AH$11:$AH$259, COUNTIF($AM$10:$AM257, $AI$11:$AI$259), ""), 0)),"")</f>
        <v/>
      </c>
      <c r="AQ258" s="31">
        <f t="shared" si="23"/>
        <v>0</v>
      </c>
    </row>
    <row r="259" spans="1:43" ht="14.5" thickBot="1" x14ac:dyDescent="0.35">
      <c r="G259" s="322" t="s">
        <v>278</v>
      </c>
      <c r="H259" s="503">
        <f>IF('Detailed Results'!$K$40&gt;0,"Error ▲",SUMIFS($H$11:$H$258,$G$11:$G$258,"&lt;&gt;"&amp;'G-1 All Habitats'!B65,$G$11:$G$258,"&lt;&gt;"&amp;'G-1 All Habitats'!B66,$G$11:$G$258,"&lt;&gt;"&amp;'G-1 All Habitats'!B73))</f>
        <v>0</v>
      </c>
      <c r="N259" s="40"/>
      <c r="P259" s="173" t="s">
        <v>279</v>
      </c>
      <c r="Q259" s="618">
        <f>IF('Detailed Results'!$K$40&gt;0,"Error ▲",SUM(Q11:Q258))</f>
        <v>0</v>
      </c>
      <c r="R259" s="85"/>
      <c r="S259" s="517">
        <f>IF('Detailed Results'!$K$40&gt;0,"Error ▲",SUM(S11:S258))</f>
        <v>0</v>
      </c>
      <c r="T259" s="518">
        <f>IF('Detailed Results'!$K$40&gt;0,"Error ▲",SUM(T11:T258))</f>
        <v>0</v>
      </c>
      <c r="U259" s="518">
        <f>IF('Detailed Results'!$K$40&gt;0,"Error ▲",SUM(U11:U258))</f>
        <v>0</v>
      </c>
      <c r="V259" s="518">
        <f>IF('Detailed Results'!$K$40&gt;0,"Error ▲",SUM(V11:V258))</f>
        <v>0</v>
      </c>
      <c r="W259" s="518">
        <f>IF('Detailed Results'!$K$40&gt;0,"Error ▲",SUM(W11:W258))</f>
        <v>0</v>
      </c>
      <c r="X259" s="514">
        <f>IF('Detailed Results'!$K$40&gt;0,"Error ▲",SUM(X11:X258))</f>
        <v>0</v>
      </c>
      <c r="Y259" s="253"/>
      <c r="AQ259" s="131">
        <f>SUM(AQ11:AQ258)</f>
        <v>0</v>
      </c>
    </row>
    <row r="260" spans="1:43" ht="14.5" thickBot="1" x14ac:dyDescent="0.35">
      <c r="R260" s="166"/>
      <c r="S260" s="166"/>
      <c r="T260" s="166"/>
      <c r="U260" s="166"/>
      <c r="V260" s="166"/>
      <c r="W260" s="166"/>
      <c r="X260" s="166"/>
    </row>
    <row r="261" spans="1:43" ht="35.25" customHeight="1" thickBot="1" x14ac:dyDescent="0.35">
      <c r="D261" s="132"/>
      <c r="E261" s="132"/>
      <c r="F261" s="132"/>
      <c r="S261" s="888" t="s">
        <v>224</v>
      </c>
      <c r="T261" s="889"/>
      <c r="U261" s="889"/>
      <c r="V261" s="890"/>
      <c r="W261" s="503">
        <f>IF('Detailed Results'!$K$40&gt;0,"Error",SUMIFS($W$11:$W$258,$G$11:$G$258,"&lt;&gt;"&amp;'G-1 All Habitats'!B65,$G$11:$G$258,"&lt;&gt;"&amp;'G-1 All Habitats'!B66,$G$11:$G$258,"&lt;&gt;"&amp;'G-1 All Habitats'!B73))</f>
        <v>0</v>
      </c>
    </row>
    <row r="262" spans="1:43" x14ac:dyDescent="0.3">
      <c r="D262" s="132"/>
      <c r="E262" s="132"/>
      <c r="F262" s="132"/>
    </row>
    <row r="263" spans="1:43" x14ac:dyDescent="0.3">
      <c r="D263" s="132"/>
      <c r="E263" s="132"/>
      <c r="F263" s="132"/>
    </row>
    <row r="264" spans="1:43" x14ac:dyDescent="0.3">
      <c r="D264" s="132"/>
      <c r="E264" s="132"/>
      <c r="F264" s="132"/>
    </row>
    <row r="265" spans="1:43" x14ac:dyDescent="0.3">
      <c r="D265" s="132"/>
      <c r="E265" s="132"/>
      <c r="F265" s="132"/>
    </row>
    <row r="266" spans="1:43" x14ac:dyDescent="0.3">
      <c r="D266" s="132"/>
      <c r="E266" s="132"/>
      <c r="F266" s="132"/>
    </row>
    <row r="267" spans="1:43" x14ac:dyDescent="0.3">
      <c r="D267" s="132"/>
      <c r="E267" s="132"/>
      <c r="F267" s="132"/>
    </row>
    <row r="268" spans="1:43" x14ac:dyDescent="0.3">
      <c r="D268" s="132"/>
      <c r="E268" s="132"/>
      <c r="F268" s="132"/>
    </row>
    <row r="269" spans="1:43" x14ac:dyDescent="0.3">
      <c r="D269" s="132"/>
      <c r="E269" s="132"/>
      <c r="F269" s="132"/>
    </row>
    <row r="270" spans="1:43" x14ac:dyDescent="0.3">
      <c r="D270" s="132"/>
      <c r="E270" s="132"/>
      <c r="F270" s="132"/>
    </row>
    <row r="271" spans="1:43" x14ac:dyDescent="0.3">
      <c r="D271" s="132"/>
      <c r="E271" s="132"/>
      <c r="F271" s="132"/>
    </row>
  </sheetData>
  <sheetProtection algorithmName="SHA-512" hashValue="WOKJXOBxQs4ZW/F2/8qrn8SQkHl+wWBe1A6D64j7PRqm+rFQkonkgwPVPxKHK4R9u7Zpmhc4sewC0wbZcNHHww==" saltValue="5RFAEhV/MXB/XtWb4OBEhw==" spinCount="100000" sheet="1" objects="1" scenarios="1"/>
  <customSheetViews>
    <customSheetView guid="{8BDA793C-C9C5-4FC6-A0A5-F1109F6D4F22}" topLeftCell="C1">
      <pane ySplit="10" topLeftCell="A11" activePane="bottomLeft" state="frozen"/>
      <selection pane="bottomLeft"/>
    </customSheetView>
  </customSheetViews>
  <mergeCells count="11">
    <mergeCell ref="E9:H9"/>
    <mergeCell ref="I9:J9"/>
    <mergeCell ref="K9:L9"/>
    <mergeCell ref="D3:F4"/>
    <mergeCell ref="D2:F2"/>
    <mergeCell ref="S261:V261"/>
    <mergeCell ref="P9:P10"/>
    <mergeCell ref="Y9:Y10"/>
    <mergeCell ref="Z9:AA9"/>
    <mergeCell ref="M9:O9"/>
    <mergeCell ref="S9:X9"/>
  </mergeCells>
  <conditionalFormatting sqref="AC11:AC258">
    <cfRule type="cellIs" dxfId="222" priority="119" operator="equal">
      <formula>""</formula>
    </cfRule>
    <cfRule type="cellIs" dxfId="221" priority="120" operator="equal">
      <formula>"None"</formula>
    </cfRule>
    <cfRule type="cellIs" dxfId="220" priority="122" operator="greaterThan">
      <formula>0</formula>
    </cfRule>
  </conditionalFormatting>
  <conditionalFormatting sqref="AD12">
    <cfRule type="cellIs" dxfId="219" priority="115" operator="equal">
      <formula>"None"</formula>
    </cfRule>
    <cfRule type="cellIs" dxfId="218" priority="118" operator="equal">
      <formula>""</formula>
    </cfRule>
    <cfRule type="cellIs" dxfId="217" priority="121" operator="greaterThan">
      <formula>0</formula>
    </cfRule>
  </conditionalFormatting>
  <conditionalFormatting sqref="AC11">
    <cfRule type="cellIs" dxfId="216" priority="106" operator="equal">
      <formula>""</formula>
    </cfRule>
    <cfRule type="cellIs" dxfId="215" priority="107" operator="equal">
      <formula>"None"</formula>
    </cfRule>
    <cfRule type="cellIs" dxfId="214" priority="109" operator="greaterThan">
      <formula>0</formula>
    </cfRule>
  </conditionalFormatting>
  <conditionalFormatting sqref="AD11:AD258">
    <cfRule type="cellIs" dxfId="213" priority="102" operator="equal">
      <formula>"None"</formula>
    </cfRule>
    <cfRule type="cellIs" dxfId="212" priority="105" operator="equal">
      <formula>""</formula>
    </cfRule>
    <cfRule type="cellIs" dxfId="211" priority="108" operator="greaterThan">
      <formula>0</formula>
    </cfRule>
  </conditionalFormatting>
  <conditionalFormatting sqref="AC11:AC258">
    <cfRule type="cellIs" dxfId="210" priority="93" operator="equal">
      <formula>""</formula>
    </cfRule>
    <cfRule type="cellIs" dxfId="209" priority="94" operator="equal">
      <formula>"None"</formula>
    </cfRule>
    <cfRule type="cellIs" dxfId="208" priority="96" operator="greaterThan">
      <formula>0</formula>
    </cfRule>
  </conditionalFormatting>
  <conditionalFormatting sqref="AD13:AD258">
    <cfRule type="cellIs" dxfId="207" priority="89" operator="equal">
      <formula>"None"</formula>
    </cfRule>
    <cfRule type="cellIs" dxfId="206" priority="92" operator="equal">
      <formula>""</formula>
    </cfRule>
    <cfRule type="cellIs" dxfId="205" priority="95" operator="greaterThan">
      <formula>0</formula>
    </cfRule>
  </conditionalFormatting>
  <conditionalFormatting sqref="AC11:AC258">
    <cfRule type="cellIs" dxfId="204" priority="87" operator="equal">
      <formula>0</formula>
    </cfRule>
  </conditionalFormatting>
  <conditionalFormatting sqref="L11">
    <cfRule type="containsText" dxfId="203" priority="82" operator="containsText" text="Not Possible">
      <formula>NOT(ISERROR(SEARCH("Not Possible",L11)))</formula>
    </cfRule>
  </conditionalFormatting>
  <conditionalFormatting sqref="L12:L258">
    <cfRule type="containsText" dxfId="202" priority="70" operator="containsText" text="Not Possible">
      <formula>NOT(ISERROR(SEARCH("Not Possible",L12)))</formula>
    </cfRule>
  </conditionalFormatting>
  <conditionalFormatting sqref="N11:O258">
    <cfRule type="containsText" dxfId="201" priority="34" operator="containsText" text="Spatial">
      <formula>NOT(ISERROR(SEARCH("Spatial",N11)))</formula>
    </cfRule>
  </conditionalFormatting>
  <conditionalFormatting sqref="W11:W258">
    <cfRule type="cellIs" dxfId="200" priority="21" operator="equal">
      <formula>"Error in Areas ▲"</formula>
    </cfRule>
    <cfRule type="cellIs" dxfId="199" priority="29" operator="equal">
      <formula>"Unacceptable Loss ▲"</formula>
    </cfRule>
  </conditionalFormatting>
  <conditionalFormatting sqref="Q11:Q258">
    <cfRule type="cellIs" dxfId="198" priority="26" operator="equal">
      <formula>"Any loss Unacceptable"</formula>
    </cfRule>
  </conditionalFormatting>
  <conditionalFormatting sqref="Q11:Q258">
    <cfRule type="expression" dxfId="197" priority="28">
      <formula>"p18=""Avoid"""</formula>
    </cfRule>
  </conditionalFormatting>
  <conditionalFormatting sqref="Q11:Q258">
    <cfRule type="cellIs" dxfId="196" priority="27" operator="equal">
      <formula>"Any loss Unacceptable"</formula>
    </cfRule>
  </conditionalFormatting>
  <conditionalFormatting sqref="Q11:Q258">
    <cfRule type="cellIs" dxfId="195" priority="23" operator="equal">
      <formula>"Any loss Unacceptable"</formula>
    </cfRule>
  </conditionalFormatting>
  <conditionalFormatting sqref="Q11:Q258">
    <cfRule type="expression" dxfId="194" priority="25">
      <formula>"p18=""Avoid"""</formula>
    </cfRule>
  </conditionalFormatting>
  <conditionalFormatting sqref="Q11:Q258">
    <cfRule type="cellIs" dxfId="193" priority="24" operator="equal">
      <formula>"Any loss Unacceptable"</formula>
    </cfRule>
  </conditionalFormatting>
  <conditionalFormatting sqref="Q11:Q258">
    <cfRule type="cellIs" dxfId="192" priority="22" operator="equal">
      <formula>"Check Data ⚠"</formula>
    </cfRule>
  </conditionalFormatting>
  <conditionalFormatting sqref="Y11">
    <cfRule type="cellIs" dxfId="191" priority="30" operator="equal">
      <formula>"No"</formula>
    </cfRule>
    <cfRule type="cellIs" dxfId="190" priority="31" operator="equal">
      <formula>"Yes"</formula>
    </cfRule>
  </conditionalFormatting>
  <conditionalFormatting sqref="X11:X258">
    <cfRule type="cellIs" dxfId="189" priority="18" operator="equal">
      <formula>"Alternative Compensation"</formula>
    </cfRule>
    <cfRule type="cellIs" dxfId="188" priority="19" operator="equal">
      <formula>"Error in Areas ▲"</formula>
    </cfRule>
  </conditionalFormatting>
  <conditionalFormatting sqref="X11:X258">
    <cfRule type="cellIs" dxfId="187" priority="20" operator="equal">
      <formula>"Unacceptable Loss"</formula>
    </cfRule>
  </conditionalFormatting>
  <conditionalFormatting sqref="Y12:Y258">
    <cfRule type="cellIs" dxfId="186" priority="16" operator="equal">
      <formula>"No"</formula>
    </cfRule>
    <cfRule type="cellIs" dxfId="185" priority="17" operator="equal">
      <formula>"Yes"</formula>
    </cfRule>
  </conditionalFormatting>
  <conditionalFormatting sqref="H259">
    <cfRule type="cellIs" dxfId="184" priority="3" operator="equal">
      <formula>"Error ▲"</formula>
    </cfRule>
  </conditionalFormatting>
  <conditionalFormatting sqref="Q259">
    <cfRule type="cellIs" dxfId="183" priority="2" operator="equal">
      <formula>"Error ▲"</formula>
    </cfRule>
  </conditionalFormatting>
  <conditionalFormatting sqref="S259:X259">
    <cfRule type="cellIs" dxfId="182" priority="1" operator="equal">
      <formula>"Error ▲"</formula>
    </cfRule>
  </conditionalFormatting>
  <dataValidations count="3">
    <dataValidation allowBlank="1" showErrorMessage="1" errorTitle="Invalid Habitat" error="Select from List" sqref="G11:G258" xr:uid="{00000000-0002-0000-0A00-000000000000}"/>
    <dataValidation type="list" allowBlank="1" showInputMessage="1" showErrorMessage="1" sqref="F11:F258" xr:uid="{00000000-0002-0000-0A00-000001000000}">
      <formula1>INDIRECT(A11)</formula1>
    </dataValidation>
    <dataValidation type="list" allowBlank="1" showInputMessage="1" showErrorMessage="1" sqref="K11:K258" xr:uid="{00000000-0002-0000-0A00-000002000000}">
      <formula1>INDIRECT(B11)</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84" operator="equal" id="{99574D18-7AB8-41B9-8EC8-21122B53A41A}">
            <xm:f>'G-1 All Habitats'!$X$6</xm:f>
            <x14:dxf>
              <fill>
                <patternFill>
                  <bgColor theme="8" tint="0.59996337778862885"/>
                </patternFill>
              </fill>
            </x14:dxf>
          </x14:cfRule>
          <x14:cfRule type="cellIs" priority="131" operator="equal" id="{BC7093FB-615B-4E34-83D8-491F2586965E}">
            <xm:f>'G-1 All Habitats'!$X$5</xm:f>
            <x14:dxf>
              <fill>
                <patternFill>
                  <bgColor theme="8" tint="-0.24994659260841701"/>
                </patternFill>
              </fill>
            </x14:dxf>
          </x14:cfRule>
          <x14:cfRule type="cellIs" priority="132" operator="equal" id="{AD663CE7-2BF5-4FE8-9C44-A8F78E6556CC}">
            <xm:f>'G-1 All Habitats'!$X$4</xm:f>
            <x14:dxf>
              <fill>
                <patternFill>
                  <bgColor theme="6"/>
                </patternFill>
              </fill>
            </x14:dxf>
          </x14:cfRule>
          <x14:cfRule type="cellIs" priority="133" operator="equal" id="{5D93FC52-1B91-43E8-B3CB-E3717EE8B034}">
            <xm:f>'G-1 All Habitats'!$X$3</xm:f>
            <x14:dxf>
              <fill>
                <patternFill>
                  <bgColor rgb="FFFF0000"/>
                </patternFill>
              </fill>
            </x14:dxf>
          </x14:cfRule>
          <xm:sqref>P11:P258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A00-000003000000}">
          <x14:formula1>
            <xm:f>'G-3 Multipliers'!$L$4:$L$6</xm:f>
          </x14:formula1>
          <xm:sqref>M11:M258</xm:sqref>
        </x14:dataValidation>
        <x14:dataValidation type="list" allowBlank="1" showInputMessage="1" showErrorMessage="1" xr:uid="{00000000-0002-0000-0A00-000004000000}">
          <x14:formula1>
            <xm:f>'G-1 All Habitats'!$AD$3:$AD$4</xm:f>
          </x14:formula1>
          <xm:sqref>Y11:Y258</xm:sqref>
        </x14:dataValidation>
        <x14:dataValidation type="list" allowBlank="1" showInputMessage="1" showErrorMessage="1" xr:uid="{00000000-0002-0000-0A00-000005000000}">
          <x14:formula1>
            <xm:f>'G-1 All Habitats'!$AF$3:$AF$15</xm:f>
          </x14:formula1>
          <xm:sqref>E11:E258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5">
    <tabColor rgb="FF006600"/>
  </sheetPr>
  <dimension ref="A1:AI270"/>
  <sheetViews>
    <sheetView topLeftCell="D1" workbookViewId="0"/>
  </sheetViews>
  <sheetFormatPr defaultColWidth="0" defaultRowHeight="0" customHeight="1" zeroHeight="1" x14ac:dyDescent="0.3"/>
  <cols>
    <col min="1" max="1" width="18" style="31" hidden="1" customWidth="1"/>
    <col min="2" max="2" width="2.453125" style="31" hidden="1" customWidth="1"/>
    <col min="3" max="3" width="23.453125" style="31" hidden="1" customWidth="1"/>
    <col min="4" max="4" width="22.54296875" style="31" bestFit="1" customWidth="1"/>
    <col min="5" max="5" width="71" style="31" customWidth="1"/>
    <col min="6" max="6" width="74.1796875" style="31" hidden="1" customWidth="1"/>
    <col min="7" max="7" width="13.1796875" style="31" customWidth="1"/>
    <col min="8" max="8" width="18" style="31" customWidth="1"/>
    <col min="9" max="9" width="13.1796875" style="31" customWidth="1"/>
    <col min="10" max="11" width="12.54296875" style="31" customWidth="1"/>
    <col min="12" max="12" width="41.26953125" style="31" customWidth="1"/>
    <col min="13" max="13" width="15.453125" style="31" customWidth="1"/>
    <col min="14" max="14" width="12.26953125" style="31" customWidth="1"/>
    <col min="15" max="17" width="17.7265625" style="31" customWidth="1"/>
    <col min="18" max="18" width="31.1796875" style="31" customWidth="1"/>
    <col min="19" max="19" width="17.7265625" style="31" customWidth="1"/>
    <col min="20" max="20" width="15.26953125" style="31" customWidth="1"/>
    <col min="21" max="21" width="13.7265625" style="31" customWidth="1"/>
    <col min="22" max="22" width="35.26953125" style="31" customWidth="1"/>
    <col min="23" max="23" width="13.7265625" style="31" customWidth="1"/>
    <col min="24" max="24" width="14.26953125" style="31" customWidth="1"/>
    <col min="25" max="25" width="91.453125" style="31" customWidth="1"/>
    <col min="26" max="26" width="14.26953125" style="31" customWidth="1"/>
    <col min="27" max="27" width="12.7265625" style="31" customWidth="1"/>
    <col min="28" max="29" width="34.81640625" style="31" customWidth="1"/>
    <col min="30" max="30" width="12.453125" style="31" customWidth="1"/>
    <col min="31" max="31" width="11.54296875" style="31" hidden="1" customWidth="1"/>
    <col min="32" max="32" width="11.26953125" style="31" hidden="1" customWidth="1"/>
    <col min="33" max="33" width="14.54296875" style="31" hidden="1" customWidth="1"/>
    <col min="34" max="35" width="8.81640625" style="31" hidden="1" customWidth="1"/>
    <col min="36" max="16384" width="0" style="31" hidden="1"/>
  </cols>
  <sheetData>
    <row r="1" spans="1:29" ht="14.5" thickBot="1" x14ac:dyDescent="0.35"/>
    <row r="2" spans="1:29" ht="25.9" customHeight="1" thickBot="1" x14ac:dyDescent="0.35">
      <c r="D2" s="947" t="str">
        <f>IF(Start!F12="","",Start!F12)</f>
        <v>NCP Car Park, Bath Road, West Drayton, Greater London</v>
      </c>
      <c r="E2" s="948"/>
      <c r="G2" s="242"/>
      <c r="O2" s="921" t="str">
        <f>IF(OR(COUNTIF($O$11:O256,"*30+*")&gt;0,COUNTIF($S$11:S256,"*30+*")&gt;0),"Note; Habitat selected has a time to target condition greater than 30 years. Non standard agreement may be required. ⚠","")</f>
        <v/>
      </c>
      <c r="P2" s="921"/>
      <c r="Q2" s="921"/>
      <c r="R2" s="921"/>
      <c r="S2" s="921"/>
      <c r="T2" s="921"/>
    </row>
    <row r="3" spans="1:29" ht="19.899999999999999" customHeight="1" x14ac:dyDescent="0.3">
      <c r="D3" s="941" t="str">
        <f ca="1">MID(CELL("filename",C1),FIND("]",CELL("filename",C1))+1,256)</f>
        <v>D-2 Off Site Habitat Creation</v>
      </c>
      <c r="E3" s="942"/>
      <c r="G3" s="242"/>
      <c r="O3" s="921"/>
      <c r="P3" s="921"/>
      <c r="Q3" s="921"/>
      <c r="R3" s="921"/>
      <c r="S3" s="921"/>
      <c r="T3" s="921"/>
    </row>
    <row r="4" spans="1:29" ht="15.75" customHeight="1" thickBot="1" x14ac:dyDescent="0.35">
      <c r="D4" s="944"/>
      <c r="E4" s="945"/>
      <c r="G4" s="242"/>
      <c r="M4" s="131"/>
      <c r="O4" s="399"/>
      <c r="P4" s="399"/>
      <c r="Q4" s="399"/>
      <c r="R4" s="399"/>
      <c r="S4" s="399"/>
    </row>
    <row r="5" spans="1:29" ht="29.5" customHeight="1" x14ac:dyDescent="0.4">
      <c r="M5" s="33"/>
      <c r="N5" s="193"/>
      <c r="O5" s="921" t="str">
        <f>IFERROR(IF(OR((G259-'D-1 Off Site Habitat Baseline'!W261)&gt;0.01,(G259-'D-1 Off Site Habitat Baseline'!W261)&lt;-0.01),"Check Areas - Area cross check failed (Baseline habitat lost does not match area of new habitat creation)",""),"")</f>
        <v/>
      </c>
      <c r="P5" s="921"/>
      <c r="Q5" s="921"/>
      <c r="R5" s="921"/>
      <c r="S5" s="921"/>
      <c r="T5" s="921"/>
      <c r="U5" s="400"/>
      <c r="V5" s="400"/>
    </row>
    <row r="6" spans="1:29" ht="31.15" customHeight="1" x14ac:dyDescent="0.3">
      <c r="O6" s="921"/>
      <c r="P6" s="921"/>
      <c r="Q6" s="921"/>
      <c r="R6" s="921"/>
      <c r="S6" s="921"/>
      <c r="T6" s="921"/>
    </row>
    <row r="7" spans="1:29" ht="14.5" thickBot="1" x14ac:dyDescent="0.35"/>
    <row r="8" spans="1:29" ht="14.5" thickBot="1" x14ac:dyDescent="0.35">
      <c r="D8" s="951" t="s">
        <v>225</v>
      </c>
      <c r="E8" s="952"/>
      <c r="F8" s="952"/>
      <c r="G8" s="952"/>
      <c r="H8" s="952"/>
      <c r="I8" s="952"/>
      <c r="J8" s="952"/>
      <c r="K8" s="952"/>
      <c r="L8" s="952"/>
      <c r="M8" s="952"/>
      <c r="N8" s="952"/>
      <c r="O8" s="952"/>
      <c r="P8" s="952"/>
      <c r="Q8" s="952"/>
      <c r="R8" s="952"/>
      <c r="S8" s="952"/>
      <c r="T8" s="952"/>
      <c r="U8" s="952"/>
      <c r="V8" s="952"/>
      <c r="W8" s="952"/>
      <c r="X8" s="953"/>
    </row>
    <row r="9" spans="1:29" s="42" customFormat="1" ht="15" customHeight="1" thickBot="1" x14ac:dyDescent="0.35">
      <c r="B9" s="31"/>
      <c r="C9" s="31"/>
      <c r="D9" s="880" t="s">
        <v>202</v>
      </c>
      <c r="E9" s="882" t="s">
        <v>227</v>
      </c>
      <c r="F9" s="882" t="s">
        <v>227</v>
      </c>
      <c r="G9" s="954" t="s">
        <v>205</v>
      </c>
      <c r="H9" s="880" t="s">
        <v>189</v>
      </c>
      <c r="I9" s="878" t="s">
        <v>206</v>
      </c>
      <c r="J9" s="956" t="s">
        <v>190</v>
      </c>
      <c r="K9" s="878" t="s">
        <v>206</v>
      </c>
      <c r="L9" s="940" t="s">
        <v>191</v>
      </c>
      <c r="M9" s="940"/>
      <c r="N9" s="940"/>
      <c r="O9" s="940" t="s">
        <v>251</v>
      </c>
      <c r="P9" s="940"/>
      <c r="Q9" s="940"/>
      <c r="R9" s="940"/>
      <c r="S9" s="940"/>
      <c r="T9" s="940"/>
      <c r="U9" s="940" t="s">
        <v>252</v>
      </c>
      <c r="V9" s="940"/>
      <c r="W9" s="940"/>
      <c r="X9" s="940"/>
      <c r="Y9" s="950" t="s">
        <v>280</v>
      </c>
      <c r="Z9" s="950"/>
      <c r="AA9" s="939" t="s">
        <v>230</v>
      </c>
      <c r="AB9" s="939" t="s">
        <v>196</v>
      </c>
      <c r="AC9" s="939"/>
    </row>
    <row r="10" spans="1:29" ht="42" x14ac:dyDescent="0.3">
      <c r="A10" s="131" t="s">
        <v>200</v>
      </c>
      <c r="C10" s="31" t="s">
        <v>281</v>
      </c>
      <c r="D10" s="881"/>
      <c r="E10" s="883"/>
      <c r="F10" s="883"/>
      <c r="G10" s="955"/>
      <c r="H10" s="881"/>
      <c r="I10" s="879"/>
      <c r="J10" s="957"/>
      <c r="K10" s="879"/>
      <c r="L10" s="368" t="s">
        <v>191</v>
      </c>
      <c r="M10" s="201" t="s">
        <v>191</v>
      </c>
      <c r="N10" s="202" t="s">
        <v>231</v>
      </c>
      <c r="O10" s="368" t="s">
        <v>232</v>
      </c>
      <c r="P10" s="201" t="s">
        <v>233</v>
      </c>
      <c r="Q10" s="201" t="s">
        <v>234</v>
      </c>
      <c r="R10" s="201" t="s">
        <v>235</v>
      </c>
      <c r="S10" s="201" t="s">
        <v>236</v>
      </c>
      <c r="T10" s="202" t="s">
        <v>237</v>
      </c>
      <c r="U10" s="368" t="s">
        <v>238</v>
      </c>
      <c r="V10" s="201" t="s">
        <v>282</v>
      </c>
      <c r="W10" s="201" t="s">
        <v>240</v>
      </c>
      <c r="X10" s="202" t="s">
        <v>241</v>
      </c>
      <c r="Y10" s="404" t="s">
        <v>283</v>
      </c>
      <c r="Z10" s="405" t="s">
        <v>280</v>
      </c>
      <c r="AA10" s="940"/>
      <c r="AB10" s="135" t="s">
        <v>215</v>
      </c>
      <c r="AC10" s="137" t="s">
        <v>216</v>
      </c>
    </row>
    <row r="11" spans="1:29" ht="14" x14ac:dyDescent="0.3">
      <c r="A11" s="31" t="str">
        <f>IFERROR(INDEX('G-8 Condition Look up'!$I$4:$I$130,MATCH(F11,'G-8 Condition Look up'!$A$4:$A$130,0)),"")</f>
        <v/>
      </c>
      <c r="C11" s="98" t="str">
        <f>IFERROR(INDEX('G-1 All Habitats'!$AG$3:$AG$15,MATCH(D11,'G-1 All Habitats'!$AF$3:$AF$15,0)),"")</f>
        <v/>
      </c>
      <c r="D11" s="154"/>
      <c r="E11" s="203"/>
      <c r="F11" s="243" t="str">
        <f>IFERROR(INDEX('G-1 All Habitats'!$B$3:$B$129,MATCH(E11,'G-1 All Habitats'!$A$3:$A$129,0)),"")</f>
        <v/>
      </c>
      <c r="G11" s="386"/>
      <c r="H11" s="537" t="str">
        <f>IF(F11="","",VLOOKUP(F11,'G-1 All Habitats'!$B$2:$M$129,10,FALSE))</f>
        <v/>
      </c>
      <c r="I11" s="524" t="str">
        <f>IFERROR(VLOOKUP(H11,'G-1 All Habitats'!$V$3:$W$7,2,FALSE),"")</f>
        <v/>
      </c>
      <c r="J11" s="199"/>
      <c r="K11" s="524" t="str">
        <f>IFERROR(INDEX('G-8 Condition Look up'!$A$3:$H$130,MATCH(F11,'G-8 Condition Look up'!$A$3:$A$130,0),MATCH(J11,'G-8 Condition Look up'!$A$3:$H$3,0)),"")</f>
        <v/>
      </c>
      <c r="L11" s="145"/>
      <c r="M11" s="540" t="str">
        <f>IF(L11="","",IF(VLOOKUP(L11,'G-3 Multipliers'!$L$3:$N$6,2,FALSE)=0,"Spatial Data Missing ⚠",VLOOKUP(L11,'G-3 Multipliers'!$L$3:$N$6,2,FALSE)))</f>
        <v/>
      </c>
      <c r="N11" s="499" t="str">
        <f>IF(L11="","",IF(VLOOKUP(L11,'G-3 Multipliers'!$L$3:$N$6,3,FALSE)=0,"Spatial Data Missing ⚠",VLOOKUP(L11,'G-3 Multipliers'!$L$3:$N$6,3,FALSE)))</f>
        <v/>
      </c>
      <c r="O11" s="498" t="str">
        <f>IFERROR(INDEX(TemporalData,MATCH(F11,TemporalHabitats,0),MATCH(J11,TemporalConditions,0)),"")</f>
        <v/>
      </c>
      <c r="P11" s="195"/>
      <c r="Q11" s="195"/>
      <c r="R11" s="520" t="str">
        <f>IF(E11="","",IF(AND(P11&gt;0,Q11&gt;0),"Error -both advance and delayed habitat creation ▲",IF(AND(OR(P11="Habitat already in target condition",O11&lt;=P11),Q11=0,I11&gt;0),"Check details - Is there evidence that habitat has reached target condition? ⚠",IF(O11="","",IF(AND(P11&gt;=AE11,P11&gt;0),"Check details - Is there evidence habitat creation started and the threshold for Poor condition reached? ⚠",IF(Q11&gt;0,"Check details- Delay in starting habitat in required condition? ⚠",IF(P11&gt;0,"Check details - Is there evidence habitat creation started/in place? ⚠","Standard time to target condition applied")))))))</f>
        <v/>
      </c>
      <c r="S11" s="544" t="str">
        <f>IF(R11="Error -both advance and delayed habitat creation ▲","Check Data ⚠",IF(O11="Not Possible","Check Data ⚠",IF(O11="","",IF(AND(O11="30+",P11=0),"30+ ⚠",IF(AND(O11="30+",P11="30+ ⚠"),0,IF(AND(O11="30+",P11&lt;32),30-P11,IF(O11="30+",30-P11,IF(P11&gt;O11,0,IF(Q11="30+","30+ ⚠",IF(O11+Q11&gt;30,"30+ ⚠",IF(O11+Q11&gt;30,"30+ ⚠",IF(O11-P11&gt;30,"30+ ⚠",IF(O11+Q11-P11&gt;0,O11+Q11-P11,IF(O11-P11&gt;0,O11-P11,O11+Q11-P11))))))))))))))</f>
        <v/>
      </c>
      <c r="T11" s="525" t="str">
        <f>IFERROR(IF(S11="Check Data ⚠","Check Data ⚠",VLOOKUP(S11,'G-4 Temporal multipliers'!$A$4:$C$37,3,FALSE)),"")</f>
        <v/>
      </c>
      <c r="U11" s="523" t="str">
        <f>IF(F11="","",VLOOKUP(F11,'G-3 Multipliers'!$A$2:$E$129,2,FALSE))</f>
        <v/>
      </c>
      <c r="V11" s="520" t="str">
        <f>IF(F11="","",IF($R11="Check details - Is there evidence that habitat has reached target condition? ⚠","Low Difficulty - only applicable if all habitat created before losses ⚠",IF($R11="Check details - Is there evidence habitat creation started and the threshold for Poor condition reached? ⚠","Enhancement difficulty applied","Standard difficulty applied")))</f>
        <v/>
      </c>
      <c r="W11" s="520" t="str">
        <f>IF(E11="","",IF(AND(V11="Standard difficulty applied",O11&gt;P11),U11,IF(AND(V11="Low Difficulty - only applicable if all habitat created before losses ⚠",P11&gt;=O11),"Low",VLOOKUP(F11,'G-3 Multipliers'!$A$2:$E$129,4,FALSE))))</f>
        <v/>
      </c>
      <c r="X11" s="524" t="str">
        <f>IFERROR(IF(E11="","",VLOOKUP(W11, 'G-3 Multipliers'!$P$2:$Q$6,2,FALSE)),"")</f>
        <v/>
      </c>
      <c r="Y11" s="197"/>
      <c r="Z11" s="499" t="str">
        <f>IF(Y11="","",IF(VLOOKUP(Y11,'G-3 Multipliers'!$S$3:$T$9,2,FALSE)=0,"Spatial Data Missing ⚠",VLOOKUP(Y11,'G-3 Multipliers'!$S$3:$T$9,2,FALSE)))</f>
        <v/>
      </c>
      <c r="AA11" s="545" t="str">
        <f t="shared" ref="AA11:AA75" si="0">IFERROR(G11*I11*K11*N11*T11*X11*Z11,"")</f>
        <v/>
      </c>
      <c r="AB11" s="149"/>
      <c r="AC11" s="150"/>
    </row>
    <row r="12" spans="1:29" ht="14" x14ac:dyDescent="0.3">
      <c r="A12" s="31" t="str">
        <f>IFERROR(INDEX('G-8 Condition Look up'!$I$4:$I$130,MATCH(F12,'G-8 Condition Look up'!$A$4:$A$130,0)),"")</f>
        <v/>
      </c>
      <c r="C12" s="244" t="str">
        <f>IFERROR(INDEX('G-1 All Habitats'!$AG$3:$AG$15,MATCH(D12,'G-1 All Habitats'!$AF$3:$AF$15,0)),"")</f>
        <v/>
      </c>
      <c r="D12" s="154"/>
      <c r="E12" s="203"/>
      <c r="F12" s="243" t="str">
        <f>IFERROR(INDEX('G-1 All Habitats'!$B$3:$B$129,MATCH(E12,'G-1 All Habitats'!$A$3:$A$129,0)),"")</f>
        <v/>
      </c>
      <c r="G12" s="386"/>
      <c r="H12" s="537" t="str">
        <f>IF(F12="","",VLOOKUP(F12,'G-1 All Habitats'!$B$2:$M$129,10,FALSE))</f>
        <v/>
      </c>
      <c r="I12" s="524" t="str">
        <f>IFERROR(VLOOKUP(H12,'G-1 All Habitats'!$V$3:$W$7,2,FALSE),"")</f>
        <v/>
      </c>
      <c r="J12" s="199"/>
      <c r="K12" s="524" t="str">
        <f>IFERROR(INDEX('G-8 Condition Look up'!$A$3:$H$130,MATCH(F12,'G-8 Condition Look up'!$A$3:$A$130,0),MATCH(J12,'G-8 Condition Look up'!$A$3:$H$3,0)),"")</f>
        <v/>
      </c>
      <c r="L12" s="145"/>
      <c r="M12" s="540" t="str">
        <f>IF(L12="","",IF(VLOOKUP(L12,'G-3 Multipliers'!$L$3:$N$6,2,FALSE)=0,"Spatial Data Missing ⚠",VLOOKUP(L12,'G-3 Multipliers'!$L$3:$N$6,2,FALSE)))</f>
        <v/>
      </c>
      <c r="N12" s="499" t="str">
        <f>IF(L12="","",IF(VLOOKUP(L12,'G-3 Multipliers'!$L$3:$N$6,3,FALSE)=0,"Spatial Data Missing ⚠",VLOOKUP(L12,'G-3 Multipliers'!$L$3:$N$6,3,FALSE)))</f>
        <v/>
      </c>
      <c r="O12" s="498" t="str">
        <f t="shared" ref="O12:O74" si="1">IFERROR(INDEX(TemporalData,MATCH(F12,TemporalHabitats,0),MATCH(J12,TemporalConditions,0)),"")</f>
        <v/>
      </c>
      <c r="P12" s="195"/>
      <c r="Q12" s="195"/>
      <c r="R12" s="520" t="str">
        <f t="shared" ref="R12:R75" si="2">IF(E12="","",IF(AND(P12&gt;0,Q12&gt;0),"Error -both advance and delayed habitat creation ▲",IF(AND(OR(P12="Habitat already in target condition",O12&lt;=P12),Q12=0,I12&gt;0),"Check details - Is there evidence that habitat has reached target condition? ⚠",IF(O12="","",IF(AND(P12&gt;=AE12,P12&gt;0),"Check details - Is there evidence habitat creation started and the threshold for Poor condition reached? ⚠",IF(Q12&gt;0,"Check details- Delay in starting habitat in required condition? ⚠",IF(P12&gt;0,"Check details - Is there evidence habitat creation started/in place? ⚠","Standard time to target condition applied")))))))</f>
        <v/>
      </c>
      <c r="S12" s="544" t="str">
        <f t="shared" ref="S12:S75" si="3">IF(R12="Error -both advance and delayed habitat creation ▲","Check Data ⚠",IF(O12="Not Possible","Check Data ⚠",IF(O12="","",IF(AND(O12="30+",P12=0),"30+ ⚠",IF(AND(O12="30+",P12="30+ ⚠"),0,IF(AND(O12="30+",P12&lt;32),30-P12,IF(O12="30+",30-P12,IF(P12&gt;O12,0,IF(Q12="30+","30+ ⚠",IF(O12+Q12&gt;30,"30+ ⚠",IF(O12+Q12&gt;30,"30+ ⚠",IF(O12-P12&gt;30,"30+ ⚠",IF(O12+Q12-P12&gt;0,O12+Q12-P12,IF(O12-P12&gt;0,O12-P12,O12+Q12-P12))))))))))))))</f>
        <v/>
      </c>
      <c r="T12" s="525" t="str">
        <f>IFERROR(IF(S12="Check Data ⚠","Check Data ⚠",VLOOKUP(S12,'G-4 Temporal multipliers'!$A$4:$C$37,3,FALSE)),"")</f>
        <v/>
      </c>
      <c r="U12" s="523" t="str">
        <f>IF(F12="","",VLOOKUP(F12,'G-3 Multipliers'!$A$2:$E$129,2,FALSE))</f>
        <v/>
      </c>
      <c r="V12" s="520" t="str">
        <f>IF(F12="","",IF($R12="Check details - Is there evidence that habitat has reached target condition? ⚠","Low Difficulty - only applicable if all habitat created before losses ⚠",IF($R12="Check details - Is there evidence habitat creation started and the threshold for Poor condition reached? ⚠","Enhancement difficulty applied","Standard difficulty applied")))</f>
        <v/>
      </c>
      <c r="W12" s="520" t="str">
        <f>IF(E12="","",IF(AND(V12="Standard difficulty applied",O12&gt;P12),U12,IF(AND(V12="Low Difficulty - only applicable if all habitat created before losses ⚠",P12&gt;=O12),"Low",VLOOKUP(F12,'G-3 Multipliers'!$A$2:$E$129,4,FALSE))))</f>
        <v/>
      </c>
      <c r="X12" s="524" t="str">
        <f>IFERROR(IF(E12="","",VLOOKUP(W12, 'G-3 Multipliers'!$P$2:$Q$6,2,FALSE)),"")</f>
        <v/>
      </c>
      <c r="Y12" s="197"/>
      <c r="Z12" s="499" t="str">
        <f>IF(Y12="","",IF(VLOOKUP(Y12,'G-3 Multipliers'!$S$3:$T$9,2,FALSE)=0,"Spatial Data Missing ⚠",VLOOKUP(Y12,'G-3 Multipliers'!$S$3:$T$9,2,FALSE)))</f>
        <v/>
      </c>
      <c r="AA12" s="545" t="str">
        <f t="shared" si="0"/>
        <v/>
      </c>
      <c r="AB12" s="149"/>
      <c r="AC12" s="150"/>
    </row>
    <row r="13" spans="1:29" ht="14" x14ac:dyDescent="0.3">
      <c r="A13" s="31" t="str">
        <f>IFERROR(INDEX('G-8 Condition Look up'!$I$4:$I$130,MATCH(F13,'G-8 Condition Look up'!$A$4:$A$130,0)),"")</f>
        <v/>
      </c>
      <c r="C13" s="244" t="str">
        <f>IFERROR(INDEX('G-1 All Habitats'!$AG$3:$AG$15,MATCH(D13,'G-1 All Habitats'!$AF$3:$AF$15,0)),"")</f>
        <v/>
      </c>
      <c r="D13" s="154"/>
      <c r="E13" s="203"/>
      <c r="F13" s="243" t="str">
        <f>IFERROR(INDEX('G-1 All Habitats'!$B$3:$B$129,MATCH(E13,'G-1 All Habitats'!$A$3:$A$129,0)),"")</f>
        <v/>
      </c>
      <c r="G13" s="386"/>
      <c r="H13" s="537" t="str">
        <f>IF(F13="","",VLOOKUP(F13,'G-1 All Habitats'!$B$2:$M$129,10,FALSE))</f>
        <v/>
      </c>
      <c r="I13" s="524" t="str">
        <f>IFERROR(VLOOKUP(H13,'G-1 All Habitats'!$V$3:$W$7,2,FALSE),"")</f>
        <v/>
      </c>
      <c r="J13" s="199"/>
      <c r="K13" s="524" t="str">
        <f>IFERROR(INDEX('G-8 Condition Look up'!$A$3:$H$130,MATCH(F13,'G-8 Condition Look up'!$A$3:$A$130,0),MATCH(J13,'G-8 Condition Look up'!$A$3:$H$3,0)),"")</f>
        <v/>
      </c>
      <c r="L13" s="145"/>
      <c r="M13" s="540" t="str">
        <f>IF(L13="","",IF(VLOOKUP(L13,'G-3 Multipliers'!$L$3:$N$6,2,FALSE)=0,"Spatial Data Missing ⚠",VLOOKUP(L13,'G-3 Multipliers'!$L$3:$N$6,2,FALSE)))</f>
        <v/>
      </c>
      <c r="N13" s="499" t="str">
        <f>IF(L13="","",IF(VLOOKUP(L13,'G-3 Multipliers'!$L$3:$N$6,3,FALSE)=0,"Spatial Data Missing ⚠",VLOOKUP(L13,'G-3 Multipliers'!$L$3:$N$6,3,FALSE)))</f>
        <v/>
      </c>
      <c r="O13" s="498" t="str">
        <f t="shared" si="1"/>
        <v/>
      </c>
      <c r="P13" s="195"/>
      <c r="Q13" s="195"/>
      <c r="R13" s="520" t="str">
        <f t="shared" si="2"/>
        <v/>
      </c>
      <c r="S13" s="544" t="str">
        <f t="shared" si="3"/>
        <v/>
      </c>
      <c r="T13" s="525" t="str">
        <f>IFERROR(IF(S13="Check Data ⚠","Check Data ⚠",VLOOKUP(S13,'G-4 Temporal multipliers'!$A$4:$C$37,3,FALSE)),"")</f>
        <v/>
      </c>
      <c r="U13" s="523" t="str">
        <f>IF(F13="","",VLOOKUP(F13,'G-3 Multipliers'!$A$2:$E$129,2,FALSE))</f>
        <v/>
      </c>
      <c r="V13" s="520" t="str">
        <f t="shared" ref="V13:V76" si="4">IF(F13="","",IF($R13="Check details - Is there evidence that habitat has reached target condition? ⚠","Low Difficulty - only applicable if all habitat created before losses ⚠",IF($R13="Check details - Is there evidence habitat creation started and the threshold for Poor condition reached? ⚠","Enhancement difficulty applied","Standard difficulty applied")))</f>
        <v/>
      </c>
      <c r="W13" s="520" t="str">
        <f>IF(E13="","",IF(AND(V13="Standard difficulty applied",O13&gt;P13),U13,IF(AND(V13="Low Difficulty - only applicable if all habitat created before losses ⚠",P13&gt;=O13),"Low",VLOOKUP(F13,'G-3 Multipliers'!$A$2:$E$129,4,FALSE))))</f>
        <v/>
      </c>
      <c r="X13" s="524" t="str">
        <f>IFERROR(IF(E13="","",VLOOKUP(W13, 'G-3 Multipliers'!$P$2:$Q$6,2,FALSE)),"")</f>
        <v/>
      </c>
      <c r="Y13" s="197"/>
      <c r="Z13" s="499" t="str">
        <f>IF(Y13="","",IF(VLOOKUP(Y13,'G-3 Multipliers'!$S$3:$T$9,2,FALSE)=0,"Spatial Data Missing ⚠",VLOOKUP(Y13,'G-3 Multipliers'!$S$3:$T$9,2,FALSE)))</f>
        <v/>
      </c>
      <c r="AA13" s="545" t="str">
        <f t="shared" si="0"/>
        <v/>
      </c>
      <c r="AB13" s="149"/>
      <c r="AC13" s="150"/>
    </row>
    <row r="14" spans="1:29" ht="14" x14ac:dyDescent="0.3">
      <c r="A14" s="31" t="str">
        <f>IFERROR(INDEX('G-8 Condition Look up'!$I$4:$I$130,MATCH(F14,'G-8 Condition Look up'!$A$4:$A$130,0)),"")</f>
        <v/>
      </c>
      <c r="C14" s="244" t="str">
        <f>IFERROR(INDEX('G-1 All Habitats'!$AG$3:$AG$15,MATCH(D14,'G-1 All Habitats'!$AF$3:$AF$15,0)),"")</f>
        <v/>
      </c>
      <c r="D14" s="154"/>
      <c r="E14" s="203"/>
      <c r="F14" s="243" t="str">
        <f>IFERROR(INDEX('G-1 All Habitats'!$B$3:$B$129,MATCH(E14,'G-1 All Habitats'!$A$3:$A$129,0)),"")</f>
        <v/>
      </c>
      <c r="G14" s="386"/>
      <c r="H14" s="537" t="str">
        <f>IF(F14="","",VLOOKUP(F14,'G-1 All Habitats'!$B$2:$M$129,10,FALSE))</f>
        <v/>
      </c>
      <c r="I14" s="524" t="str">
        <f>IFERROR(VLOOKUP(H14,'G-1 All Habitats'!$V$3:$W$7,2,FALSE),"")</f>
        <v/>
      </c>
      <c r="J14" s="199"/>
      <c r="K14" s="524" t="str">
        <f>IFERROR(INDEX('G-8 Condition Look up'!$A$3:$H$130,MATCH(F14,'G-8 Condition Look up'!$A$3:$A$130,0),MATCH(J14,'G-8 Condition Look up'!$A$3:$H$3,0)),"")</f>
        <v/>
      </c>
      <c r="L14" s="145"/>
      <c r="M14" s="540" t="str">
        <f>IF(L14="","",IF(VLOOKUP(L14,'G-3 Multipliers'!$L$3:$N$6,2,FALSE)=0,"Spatial Data Missing ⚠",VLOOKUP(L14,'G-3 Multipliers'!$L$3:$N$6,2,FALSE)))</f>
        <v/>
      </c>
      <c r="N14" s="499" t="str">
        <f>IF(L14="","",IF(VLOOKUP(L14,'G-3 Multipliers'!$L$3:$N$6,3,FALSE)=0,"Spatial Data Missing ⚠",VLOOKUP(L14,'G-3 Multipliers'!$L$3:$N$6,3,FALSE)))</f>
        <v/>
      </c>
      <c r="O14" s="498" t="str">
        <f t="shared" si="1"/>
        <v/>
      </c>
      <c r="P14" s="195"/>
      <c r="Q14" s="195"/>
      <c r="R14" s="520" t="str">
        <f t="shared" si="2"/>
        <v/>
      </c>
      <c r="S14" s="544" t="str">
        <f t="shared" si="3"/>
        <v/>
      </c>
      <c r="T14" s="525" t="str">
        <f>IFERROR(IF(S14="Check Data ⚠","Check Data ⚠",VLOOKUP(S14,'G-4 Temporal multipliers'!$A$4:$C$37,3,FALSE)),"")</f>
        <v/>
      </c>
      <c r="U14" s="523" t="str">
        <f>IF(F14="","",VLOOKUP(F14,'G-3 Multipliers'!$A$2:$E$129,2,FALSE))</f>
        <v/>
      </c>
      <c r="V14" s="520" t="str">
        <f t="shared" si="4"/>
        <v/>
      </c>
      <c r="W14" s="520" t="str">
        <f>IF(E14="","",IF(AND(V14="Standard difficulty applied",O14&gt;P14),U14,IF(AND(V14="Low Difficulty - only applicable if all habitat created before losses ⚠",P14&gt;=O14),"Low",VLOOKUP(F14,'G-3 Multipliers'!$A$2:$E$129,4,FALSE))))</f>
        <v/>
      </c>
      <c r="X14" s="524" t="str">
        <f>IFERROR(IF(E14="","",VLOOKUP(W14, 'G-3 Multipliers'!$P$2:$Q$6,2,FALSE)),"")</f>
        <v/>
      </c>
      <c r="Y14" s="197"/>
      <c r="Z14" s="499" t="str">
        <f>IF(Y14="","",IF(VLOOKUP(Y14,'G-3 Multipliers'!$S$3:$T$9,2,FALSE)=0,"Spatial Data Missing ⚠",VLOOKUP(Y14,'G-3 Multipliers'!$S$3:$T$9,2,FALSE)))</f>
        <v/>
      </c>
      <c r="AA14" s="545" t="str">
        <f t="shared" si="0"/>
        <v/>
      </c>
      <c r="AB14" s="149"/>
      <c r="AC14" s="150"/>
    </row>
    <row r="15" spans="1:29" ht="14" x14ac:dyDescent="0.3">
      <c r="A15" s="31" t="str">
        <f>IFERROR(INDEX('G-8 Condition Look up'!$I$4:$I$130,MATCH(F15,'G-8 Condition Look up'!$A$4:$A$130,0)),"")</f>
        <v/>
      </c>
      <c r="C15" s="244" t="str">
        <f>IFERROR(INDEX('G-1 All Habitats'!$AG$3:$AG$15,MATCH(D15,'G-1 All Habitats'!$AF$3:$AF$15,0)),"")</f>
        <v/>
      </c>
      <c r="D15" s="154"/>
      <c r="E15" s="203"/>
      <c r="F15" s="243" t="str">
        <f>IFERROR(INDEX('G-1 All Habitats'!$B$3:$B$129,MATCH(E15,'G-1 All Habitats'!$A$3:$A$129,0)),"")</f>
        <v/>
      </c>
      <c r="G15" s="386"/>
      <c r="H15" s="537" t="str">
        <f>IF(F15="","",VLOOKUP(F15,'G-1 All Habitats'!$B$2:$M$129,10,FALSE))</f>
        <v/>
      </c>
      <c r="I15" s="524" t="str">
        <f>IFERROR(VLOOKUP(H15,'G-1 All Habitats'!$V$3:$W$7,2,FALSE),"")</f>
        <v/>
      </c>
      <c r="J15" s="199"/>
      <c r="K15" s="524" t="str">
        <f>IFERROR(INDEX('G-8 Condition Look up'!$A$3:$H$130,MATCH(F15,'G-8 Condition Look up'!$A$3:$A$130,0),MATCH(J15,'G-8 Condition Look up'!$A$3:$H$3,0)),"")</f>
        <v/>
      </c>
      <c r="L15" s="145"/>
      <c r="M15" s="540" t="str">
        <f>IF(L15="","",IF(VLOOKUP(L15,'G-3 Multipliers'!$L$3:$N$6,2,FALSE)=0,"Spatial Data Missing ⚠",VLOOKUP(L15,'G-3 Multipliers'!$L$3:$N$6,2,FALSE)))</f>
        <v/>
      </c>
      <c r="N15" s="499" t="str">
        <f>IF(L15="","",IF(VLOOKUP(L15,'G-3 Multipliers'!$L$3:$N$6,3,FALSE)=0,"Spatial Data Missing ⚠",VLOOKUP(L15,'G-3 Multipliers'!$L$3:$N$6,3,FALSE)))</f>
        <v/>
      </c>
      <c r="O15" s="498" t="str">
        <f t="shared" si="1"/>
        <v/>
      </c>
      <c r="P15" s="195"/>
      <c r="Q15" s="195"/>
      <c r="R15" s="520" t="str">
        <f t="shared" si="2"/>
        <v/>
      </c>
      <c r="S15" s="544" t="str">
        <f t="shared" si="3"/>
        <v/>
      </c>
      <c r="T15" s="525" t="str">
        <f>IFERROR(IF(S15="Check Data ⚠","Check Data ⚠",VLOOKUP(S15,'G-4 Temporal multipliers'!$A$4:$C$37,3,FALSE)),"")</f>
        <v/>
      </c>
      <c r="U15" s="523" t="str">
        <f>IF(F15="","",VLOOKUP(F15,'G-3 Multipliers'!$A$2:$E$129,2,FALSE))</f>
        <v/>
      </c>
      <c r="V15" s="520" t="str">
        <f t="shared" si="4"/>
        <v/>
      </c>
      <c r="W15" s="520" t="str">
        <f>IF(E15="","",IF(AND(V15="Standard difficulty applied",O15&gt;P15),U15,IF(AND(V15="Low Difficulty - only applicable if all habitat created before losses ⚠",P15&gt;=O15),"Low",VLOOKUP(F15,'G-3 Multipliers'!$A$2:$E$129,4,FALSE))))</f>
        <v/>
      </c>
      <c r="X15" s="524" t="str">
        <f>IFERROR(IF(E15="","",VLOOKUP(W15, 'G-3 Multipliers'!$P$2:$Q$6,2,FALSE)),"")</f>
        <v/>
      </c>
      <c r="Y15" s="197"/>
      <c r="Z15" s="499" t="str">
        <f>IF(Y15="","",IF(VLOOKUP(Y15,'G-3 Multipliers'!$S$3:$T$9,2,FALSE)=0,"Spatial Data Missing ⚠",VLOOKUP(Y15,'G-3 Multipliers'!$S$3:$T$9,2,FALSE)))</f>
        <v/>
      </c>
      <c r="AA15" s="545" t="str">
        <f t="shared" si="0"/>
        <v/>
      </c>
      <c r="AB15" s="149"/>
      <c r="AC15" s="150"/>
    </row>
    <row r="16" spans="1:29" ht="14" x14ac:dyDescent="0.3">
      <c r="A16" s="31" t="str">
        <f>IFERROR(INDEX('G-8 Condition Look up'!$I$4:$I$130,MATCH(F16,'G-8 Condition Look up'!$A$4:$A$130,0)),"")</f>
        <v/>
      </c>
      <c r="C16" s="244" t="str">
        <f>IFERROR(INDEX('G-1 All Habitats'!$AG$3:$AG$15,MATCH(D16,'G-1 All Habitats'!$AF$3:$AF$15,0)),"")</f>
        <v/>
      </c>
      <c r="D16" s="154"/>
      <c r="E16" s="203"/>
      <c r="F16" s="243" t="str">
        <f>IFERROR(INDEX('G-1 All Habitats'!$B$3:$B$129,MATCH(E16,'G-1 All Habitats'!$A$3:$A$129,0)),"")</f>
        <v/>
      </c>
      <c r="G16" s="386"/>
      <c r="H16" s="537" t="str">
        <f>IF(F16="","",VLOOKUP(F16,'G-1 All Habitats'!$B$2:$M$129,10,FALSE))</f>
        <v/>
      </c>
      <c r="I16" s="524" t="str">
        <f>IFERROR(VLOOKUP(H16,'G-1 All Habitats'!$V$3:$W$7,2,FALSE),"")</f>
        <v/>
      </c>
      <c r="J16" s="199"/>
      <c r="K16" s="524" t="str">
        <f>IFERROR(INDEX('G-8 Condition Look up'!$A$3:$H$130,MATCH(F16,'G-8 Condition Look up'!$A$3:$A$130,0),MATCH(J16,'G-8 Condition Look up'!$A$3:$H$3,0)),"")</f>
        <v/>
      </c>
      <c r="L16" s="145"/>
      <c r="M16" s="540" t="str">
        <f>IF(L16="","",IF(VLOOKUP(L16,'G-3 Multipliers'!$L$3:$N$6,2,FALSE)=0,"Spatial Data Missing ⚠",VLOOKUP(L16,'G-3 Multipliers'!$L$3:$N$6,2,FALSE)))</f>
        <v/>
      </c>
      <c r="N16" s="499" t="str">
        <f>IF(L16="","",IF(VLOOKUP(L16,'G-3 Multipliers'!$L$3:$N$6,3,FALSE)=0,"Spatial Data Missing ⚠",VLOOKUP(L16,'G-3 Multipliers'!$L$3:$N$6,3,FALSE)))</f>
        <v/>
      </c>
      <c r="O16" s="498" t="str">
        <f t="shared" si="1"/>
        <v/>
      </c>
      <c r="P16" s="195"/>
      <c r="Q16" s="195"/>
      <c r="R16" s="520" t="str">
        <f t="shared" si="2"/>
        <v/>
      </c>
      <c r="S16" s="544" t="str">
        <f t="shared" si="3"/>
        <v/>
      </c>
      <c r="T16" s="525" t="str">
        <f>IFERROR(IF(S16="Check Data ⚠","Check Data ⚠",VLOOKUP(S16,'G-4 Temporal multipliers'!$A$4:$C$37,3,FALSE)),"")</f>
        <v/>
      </c>
      <c r="U16" s="523" t="str">
        <f>IF(F16="","",VLOOKUP(F16,'G-3 Multipliers'!$A$2:$E$129,2,FALSE))</f>
        <v/>
      </c>
      <c r="V16" s="520" t="str">
        <f t="shared" si="4"/>
        <v/>
      </c>
      <c r="W16" s="520" t="str">
        <f>IF(E16="","",IF(AND(V16="Standard difficulty applied",O16&gt;P16),U16,IF(AND(V16="Low Difficulty - only applicable if all habitat created before losses ⚠",P16&gt;=O16),"Low",VLOOKUP(F16,'G-3 Multipliers'!$A$2:$E$129,4,FALSE))))</f>
        <v/>
      </c>
      <c r="X16" s="524" t="str">
        <f>IFERROR(IF(E16="","",VLOOKUP(W16, 'G-3 Multipliers'!$P$2:$Q$6,2,FALSE)),"")</f>
        <v/>
      </c>
      <c r="Y16" s="197"/>
      <c r="Z16" s="499" t="str">
        <f>IF(Y16="","",IF(VLOOKUP(Y16,'G-3 Multipliers'!$S$3:$T$9,2,FALSE)=0,"Spatial Data Missing ⚠",VLOOKUP(Y16,'G-3 Multipliers'!$S$3:$T$9,2,FALSE)))</f>
        <v/>
      </c>
      <c r="AA16" s="545" t="str">
        <f t="shared" si="0"/>
        <v/>
      </c>
      <c r="AB16" s="149"/>
      <c r="AC16" s="150"/>
    </row>
    <row r="17" spans="1:29" ht="14" x14ac:dyDescent="0.3">
      <c r="A17" s="31" t="str">
        <f>IFERROR(INDEX('G-8 Condition Look up'!$I$4:$I$130,MATCH(F17,'G-8 Condition Look up'!$A$4:$A$130,0)),"")</f>
        <v/>
      </c>
      <c r="C17" s="244" t="str">
        <f>IFERROR(INDEX('G-1 All Habitats'!$AG$3:$AG$15,MATCH(D17,'G-1 All Habitats'!$AF$3:$AF$15,0)),"")</f>
        <v/>
      </c>
      <c r="D17" s="154"/>
      <c r="E17" s="203"/>
      <c r="F17" s="243" t="str">
        <f>IFERROR(INDEX('G-1 All Habitats'!$B$3:$B$129,MATCH(E17,'G-1 All Habitats'!$A$3:$A$129,0)),"")</f>
        <v/>
      </c>
      <c r="G17" s="386"/>
      <c r="H17" s="537" t="str">
        <f>IF(F17="","",VLOOKUP(F17,'G-1 All Habitats'!$B$2:$M$129,10,FALSE))</f>
        <v/>
      </c>
      <c r="I17" s="524" t="str">
        <f>IFERROR(VLOOKUP(H17,'G-1 All Habitats'!$V$3:$W$7,2,FALSE),"")</f>
        <v/>
      </c>
      <c r="J17" s="199"/>
      <c r="K17" s="524" t="str">
        <f>IFERROR(INDEX('G-8 Condition Look up'!$A$3:$H$130,MATCH(F17,'G-8 Condition Look up'!$A$3:$A$130,0),MATCH(J17,'G-8 Condition Look up'!$A$3:$H$3,0)),"")</f>
        <v/>
      </c>
      <c r="L17" s="145"/>
      <c r="M17" s="540" t="str">
        <f>IF(L17="","",IF(VLOOKUP(L17,'G-3 Multipliers'!$L$3:$N$6,2,FALSE)=0,"Spatial Data Missing ⚠",VLOOKUP(L17,'G-3 Multipliers'!$L$3:$N$6,2,FALSE)))</f>
        <v/>
      </c>
      <c r="N17" s="499" t="str">
        <f>IF(L17="","",IF(VLOOKUP(L17,'G-3 Multipliers'!$L$3:$N$6,3,FALSE)=0,"Spatial Data Missing ⚠",VLOOKUP(L17,'G-3 Multipliers'!$L$3:$N$6,3,FALSE)))</f>
        <v/>
      </c>
      <c r="O17" s="498" t="str">
        <f t="shared" si="1"/>
        <v/>
      </c>
      <c r="P17" s="195"/>
      <c r="Q17" s="195"/>
      <c r="R17" s="520" t="str">
        <f t="shared" si="2"/>
        <v/>
      </c>
      <c r="S17" s="544" t="str">
        <f t="shared" si="3"/>
        <v/>
      </c>
      <c r="T17" s="525" t="str">
        <f>IFERROR(IF(S17="Check Data ⚠","Check Data ⚠",VLOOKUP(S17,'G-4 Temporal multipliers'!$A$4:$C$37,3,FALSE)),"")</f>
        <v/>
      </c>
      <c r="U17" s="523" t="str">
        <f>IF(F17="","",VLOOKUP(F17,'G-3 Multipliers'!$A$2:$E$129,2,FALSE))</f>
        <v/>
      </c>
      <c r="V17" s="520" t="str">
        <f t="shared" si="4"/>
        <v/>
      </c>
      <c r="W17" s="520" t="str">
        <f>IF(E17="","",IF(AND(V17="Standard difficulty applied",O17&gt;P17),U17,IF(AND(V17="Low Difficulty - only applicable if all habitat created before losses ⚠",P17&gt;=O17),"Low",VLOOKUP(F17,'G-3 Multipliers'!$A$2:$E$129,4,FALSE))))</f>
        <v/>
      </c>
      <c r="X17" s="524" t="str">
        <f>IFERROR(IF(E17="","",VLOOKUP(W17, 'G-3 Multipliers'!$P$2:$Q$6,2,FALSE)),"")</f>
        <v/>
      </c>
      <c r="Y17" s="197"/>
      <c r="Z17" s="499" t="str">
        <f>IF(Y17="","",IF(VLOOKUP(Y17,'G-3 Multipliers'!$S$3:$T$9,2,FALSE)=0,"Spatial Data Missing ⚠",VLOOKUP(Y17,'G-3 Multipliers'!$S$3:$T$9,2,FALSE)))</f>
        <v/>
      </c>
      <c r="AA17" s="545" t="str">
        <f t="shared" si="0"/>
        <v/>
      </c>
      <c r="AB17" s="149"/>
      <c r="AC17" s="150"/>
    </row>
    <row r="18" spans="1:29" ht="14" x14ac:dyDescent="0.3">
      <c r="A18" s="31" t="str">
        <f>IFERROR(INDEX('G-8 Condition Look up'!$I$4:$I$130,MATCH(F18,'G-8 Condition Look up'!$A$4:$A$130,0)),"")</f>
        <v/>
      </c>
      <c r="C18" s="244" t="str">
        <f>IFERROR(INDEX('G-1 All Habitats'!$AG$3:$AG$15,MATCH(D18,'G-1 All Habitats'!$AF$3:$AF$15,0)),"")</f>
        <v/>
      </c>
      <c r="D18" s="154"/>
      <c r="E18" s="203"/>
      <c r="F18" s="243" t="str">
        <f>IFERROR(INDEX('G-1 All Habitats'!$B$3:$B$129,MATCH(E18,'G-1 All Habitats'!$A$3:$A$129,0)),"")</f>
        <v/>
      </c>
      <c r="G18" s="386"/>
      <c r="H18" s="537" t="str">
        <f>IF(F18="","",VLOOKUP(F18,'G-1 All Habitats'!$B$2:$M$129,10,FALSE))</f>
        <v/>
      </c>
      <c r="I18" s="524" t="str">
        <f>IFERROR(VLOOKUP(H18,'G-1 All Habitats'!$V$3:$W$7,2,FALSE),"")</f>
        <v/>
      </c>
      <c r="J18" s="199"/>
      <c r="K18" s="524" t="str">
        <f>IFERROR(INDEX('G-8 Condition Look up'!$A$3:$H$130,MATCH(F18,'G-8 Condition Look up'!$A$3:$A$130,0),MATCH(J18,'G-8 Condition Look up'!$A$3:$H$3,0)),"")</f>
        <v/>
      </c>
      <c r="L18" s="145"/>
      <c r="M18" s="540" t="str">
        <f>IF(L18="","",IF(VLOOKUP(L18,'G-3 Multipliers'!$L$3:$N$6,2,FALSE)=0,"Spatial Data Missing ⚠",VLOOKUP(L18,'G-3 Multipliers'!$L$3:$N$6,2,FALSE)))</f>
        <v/>
      </c>
      <c r="N18" s="499" t="str">
        <f>IF(L18="","",IF(VLOOKUP(L18,'G-3 Multipliers'!$L$3:$N$6,3,FALSE)=0,"Spatial Data Missing ⚠",VLOOKUP(L18,'G-3 Multipliers'!$L$3:$N$6,3,FALSE)))</f>
        <v/>
      </c>
      <c r="O18" s="498" t="str">
        <f t="shared" si="1"/>
        <v/>
      </c>
      <c r="P18" s="195"/>
      <c r="Q18" s="195"/>
      <c r="R18" s="520" t="str">
        <f t="shared" si="2"/>
        <v/>
      </c>
      <c r="S18" s="544" t="str">
        <f t="shared" si="3"/>
        <v/>
      </c>
      <c r="T18" s="525" t="str">
        <f>IFERROR(IF(S18="Check Data ⚠","Check Data ⚠",VLOOKUP(S18,'G-4 Temporal multipliers'!$A$4:$C$37,3,FALSE)),"")</f>
        <v/>
      </c>
      <c r="U18" s="523" t="str">
        <f>IF(F18="","",VLOOKUP(F18,'G-3 Multipliers'!$A$2:$E$129,2,FALSE))</f>
        <v/>
      </c>
      <c r="V18" s="520" t="str">
        <f t="shared" si="4"/>
        <v/>
      </c>
      <c r="W18" s="520" t="str">
        <f>IF(E18="","",IF(AND(V18="Standard difficulty applied",O18&gt;P18),U18,IF(AND(V18="Low Difficulty - only applicable if all habitat created before losses ⚠",P18&gt;=O18),"Low",VLOOKUP(F18,'G-3 Multipliers'!$A$2:$E$129,4,FALSE))))</f>
        <v/>
      </c>
      <c r="X18" s="524" t="str">
        <f>IFERROR(IF(E18="","",VLOOKUP(W18, 'G-3 Multipliers'!$P$2:$Q$6,2,FALSE)),"")</f>
        <v/>
      </c>
      <c r="Y18" s="197"/>
      <c r="Z18" s="499" t="str">
        <f>IF(Y18="","",IF(VLOOKUP(Y18,'G-3 Multipliers'!$S$3:$T$9,2,FALSE)=0,"Spatial Data Missing ⚠",VLOOKUP(Y18,'G-3 Multipliers'!$S$3:$T$9,2,FALSE)))</f>
        <v/>
      </c>
      <c r="AA18" s="545" t="str">
        <f t="shared" si="0"/>
        <v/>
      </c>
      <c r="AB18" s="149"/>
      <c r="AC18" s="150"/>
    </row>
    <row r="19" spans="1:29" ht="14" x14ac:dyDescent="0.3">
      <c r="A19" s="31" t="str">
        <f>IFERROR(INDEX('G-8 Condition Look up'!$I$4:$I$130,MATCH(F19,'G-8 Condition Look up'!$A$4:$A$130,0)),"")</f>
        <v/>
      </c>
      <c r="C19" s="244" t="str">
        <f>IFERROR(INDEX('G-1 All Habitats'!$AG$3:$AG$15,MATCH(D19,'G-1 All Habitats'!$AF$3:$AF$15,0)),"")</f>
        <v/>
      </c>
      <c r="D19" s="154"/>
      <c r="E19" s="203"/>
      <c r="F19" s="243" t="str">
        <f>IFERROR(INDEX('G-1 All Habitats'!$B$3:$B$129,MATCH(E19,'G-1 All Habitats'!$A$3:$A$129,0)),"")</f>
        <v/>
      </c>
      <c r="G19" s="386"/>
      <c r="H19" s="537" t="str">
        <f>IF(F19="","",VLOOKUP(F19,'G-1 All Habitats'!$B$2:$M$129,10,FALSE))</f>
        <v/>
      </c>
      <c r="I19" s="524" t="str">
        <f>IFERROR(VLOOKUP(H19,'G-1 All Habitats'!$V$3:$W$7,2,FALSE),"")</f>
        <v/>
      </c>
      <c r="J19" s="199"/>
      <c r="K19" s="524" t="str">
        <f>IFERROR(INDEX('G-8 Condition Look up'!$A$3:$H$130,MATCH(F19,'G-8 Condition Look up'!$A$3:$A$130,0),MATCH(J19,'G-8 Condition Look up'!$A$3:$H$3,0)),"")</f>
        <v/>
      </c>
      <c r="L19" s="145"/>
      <c r="M19" s="540" t="str">
        <f>IF(L19="","",IF(VLOOKUP(L19,'G-3 Multipliers'!$L$3:$N$6,2,FALSE)=0,"Spatial Data Missing ⚠",VLOOKUP(L19,'G-3 Multipliers'!$L$3:$N$6,2,FALSE)))</f>
        <v/>
      </c>
      <c r="N19" s="499" t="str">
        <f>IF(L19="","",IF(VLOOKUP(L19,'G-3 Multipliers'!$L$3:$N$6,3,FALSE)=0,"Spatial Data Missing ⚠",VLOOKUP(L19,'G-3 Multipliers'!$L$3:$N$6,3,FALSE)))</f>
        <v/>
      </c>
      <c r="O19" s="498" t="str">
        <f t="shared" si="1"/>
        <v/>
      </c>
      <c r="P19" s="195"/>
      <c r="Q19" s="195"/>
      <c r="R19" s="520" t="str">
        <f t="shared" si="2"/>
        <v/>
      </c>
      <c r="S19" s="544" t="str">
        <f t="shared" si="3"/>
        <v/>
      </c>
      <c r="T19" s="525" t="str">
        <f>IFERROR(IF(S19="Check Data ⚠","Check Data ⚠",VLOOKUP(S19,'G-4 Temporal multipliers'!$A$4:$C$37,3,FALSE)),"")</f>
        <v/>
      </c>
      <c r="U19" s="523" t="str">
        <f>IF(F19="","",VLOOKUP(F19,'G-3 Multipliers'!$A$2:$E$129,2,FALSE))</f>
        <v/>
      </c>
      <c r="V19" s="520" t="str">
        <f t="shared" si="4"/>
        <v/>
      </c>
      <c r="W19" s="520" t="str">
        <f>IF(E19="","",IF(AND(V19="Standard difficulty applied",O19&gt;P19),U19,IF(AND(V19="Low Difficulty - only applicable if all habitat created before losses ⚠",P19&gt;=O19),"Low",VLOOKUP(F19,'G-3 Multipliers'!$A$2:$E$129,4,FALSE))))</f>
        <v/>
      </c>
      <c r="X19" s="524" t="str">
        <f>IFERROR(IF(E19="","",VLOOKUP(W19, 'G-3 Multipliers'!$P$2:$Q$6,2,FALSE)),"")</f>
        <v/>
      </c>
      <c r="Y19" s="197"/>
      <c r="Z19" s="499" t="str">
        <f>IF(Y19="","",IF(VLOOKUP(Y19,'G-3 Multipliers'!$S$3:$T$9,2,FALSE)=0,"Spatial Data Missing ⚠",VLOOKUP(Y19,'G-3 Multipliers'!$S$3:$T$9,2,FALSE)))</f>
        <v/>
      </c>
      <c r="AA19" s="545" t="str">
        <f t="shared" si="0"/>
        <v/>
      </c>
      <c r="AB19" s="149"/>
      <c r="AC19" s="150"/>
    </row>
    <row r="20" spans="1:29" ht="14" x14ac:dyDescent="0.3">
      <c r="A20" s="31" t="str">
        <f>IFERROR(INDEX('G-8 Condition Look up'!$I$4:$I$130,MATCH(F20,'G-8 Condition Look up'!$A$4:$A$130,0)),"")</f>
        <v/>
      </c>
      <c r="C20" s="244" t="str">
        <f>IFERROR(INDEX('G-1 All Habitats'!$AG$3:$AG$15,MATCH(D20,'G-1 All Habitats'!$AF$3:$AF$15,0)),"")</f>
        <v/>
      </c>
      <c r="D20" s="154"/>
      <c r="E20" s="203"/>
      <c r="F20" s="243" t="str">
        <f>IFERROR(INDEX('G-1 All Habitats'!$B$3:$B$129,MATCH(E20,'G-1 All Habitats'!$A$3:$A$129,0)),"")</f>
        <v/>
      </c>
      <c r="G20" s="386"/>
      <c r="H20" s="537" t="str">
        <f>IF(F20="","",VLOOKUP(F20,'G-1 All Habitats'!$B$2:$M$129,10,FALSE))</f>
        <v/>
      </c>
      <c r="I20" s="524" t="str">
        <f>IFERROR(VLOOKUP(H20,'G-1 All Habitats'!$V$3:$W$7,2,FALSE),"")</f>
        <v/>
      </c>
      <c r="J20" s="199"/>
      <c r="K20" s="524" t="str">
        <f>IFERROR(INDEX('G-8 Condition Look up'!$A$3:$H$130,MATCH(F20,'G-8 Condition Look up'!$A$3:$A$130,0),MATCH(J20,'G-8 Condition Look up'!$A$3:$H$3,0)),"")</f>
        <v/>
      </c>
      <c r="L20" s="145"/>
      <c r="M20" s="540" t="str">
        <f>IF(L20="","",IF(VLOOKUP(L20,'G-3 Multipliers'!$L$3:$N$6,2,FALSE)=0,"Spatial Data Missing ⚠",VLOOKUP(L20,'G-3 Multipliers'!$L$3:$N$6,2,FALSE)))</f>
        <v/>
      </c>
      <c r="N20" s="499" t="str">
        <f>IF(L20="","",IF(VLOOKUP(L20,'G-3 Multipliers'!$L$3:$N$6,3,FALSE)=0,"Spatial Data Missing ⚠",VLOOKUP(L20,'G-3 Multipliers'!$L$3:$N$6,3,FALSE)))</f>
        <v/>
      </c>
      <c r="O20" s="498" t="str">
        <f t="shared" si="1"/>
        <v/>
      </c>
      <c r="P20" s="195"/>
      <c r="Q20" s="195"/>
      <c r="R20" s="520" t="str">
        <f t="shared" si="2"/>
        <v/>
      </c>
      <c r="S20" s="544" t="str">
        <f t="shared" si="3"/>
        <v/>
      </c>
      <c r="T20" s="525" t="str">
        <f>IFERROR(IF(S20="Check Data ⚠","Check Data ⚠",VLOOKUP(S20,'G-4 Temporal multipliers'!$A$4:$C$37,3,FALSE)),"")</f>
        <v/>
      </c>
      <c r="U20" s="523" t="str">
        <f>IF(F20="","",VLOOKUP(F20,'G-3 Multipliers'!$A$2:$E$129,2,FALSE))</f>
        <v/>
      </c>
      <c r="V20" s="520" t="str">
        <f t="shared" si="4"/>
        <v/>
      </c>
      <c r="W20" s="520" t="str">
        <f>IF(E20="","",IF(AND(V20="Standard difficulty applied",O20&gt;P20),U20,IF(AND(V20="Low Difficulty - only applicable if all habitat created before losses ⚠",P20&gt;=O20),"Low",VLOOKUP(F20,'G-3 Multipliers'!$A$2:$E$129,4,FALSE))))</f>
        <v/>
      </c>
      <c r="X20" s="524" t="str">
        <f>IFERROR(IF(E20="","",VLOOKUP(W20, 'G-3 Multipliers'!$P$2:$Q$6,2,FALSE)),"")</f>
        <v/>
      </c>
      <c r="Y20" s="197"/>
      <c r="Z20" s="499" t="str">
        <f>IF(Y20="","",IF(VLOOKUP(Y20,'G-3 Multipliers'!$S$3:$T$9,2,FALSE)=0,"Spatial Data Missing ⚠",VLOOKUP(Y20,'G-3 Multipliers'!$S$3:$T$9,2,FALSE)))</f>
        <v/>
      </c>
      <c r="AA20" s="545" t="str">
        <f t="shared" si="0"/>
        <v/>
      </c>
      <c r="AB20" s="149"/>
      <c r="AC20" s="150"/>
    </row>
    <row r="21" spans="1:29" ht="14" x14ac:dyDescent="0.3">
      <c r="A21" s="31" t="str">
        <f>IFERROR(INDEX('G-8 Condition Look up'!$I$4:$I$130,MATCH(F21,'G-8 Condition Look up'!$A$4:$A$130,0)),"")</f>
        <v/>
      </c>
      <c r="C21" s="244" t="str">
        <f>IFERROR(INDEX('G-1 All Habitats'!$AG$3:$AG$15,MATCH(D21,'G-1 All Habitats'!$AF$3:$AF$15,0)),"")</f>
        <v/>
      </c>
      <c r="D21" s="154"/>
      <c r="E21" s="203"/>
      <c r="F21" s="243" t="str">
        <f>IFERROR(INDEX('G-1 All Habitats'!$B$3:$B$129,MATCH(E21,'G-1 All Habitats'!$A$3:$A$129,0)),"")</f>
        <v/>
      </c>
      <c r="G21" s="386"/>
      <c r="H21" s="537" t="str">
        <f>IF(F21="","",VLOOKUP(F21,'G-1 All Habitats'!$B$2:$M$129,10,FALSE))</f>
        <v/>
      </c>
      <c r="I21" s="524" t="str">
        <f>IFERROR(VLOOKUP(H21,'G-1 All Habitats'!$V$3:$W$7,2,FALSE),"")</f>
        <v/>
      </c>
      <c r="J21" s="199"/>
      <c r="K21" s="524" t="str">
        <f>IFERROR(INDEX('G-8 Condition Look up'!$A$3:$H$130,MATCH(F21,'G-8 Condition Look up'!$A$3:$A$130,0),MATCH(J21,'G-8 Condition Look up'!$A$3:$H$3,0)),"")</f>
        <v/>
      </c>
      <c r="L21" s="145"/>
      <c r="M21" s="540" t="str">
        <f>IF(L21="","",IF(VLOOKUP(L21,'G-3 Multipliers'!$L$3:$N$6,2,FALSE)=0,"Spatial Data Missing ⚠",VLOOKUP(L21,'G-3 Multipliers'!$L$3:$N$6,2,FALSE)))</f>
        <v/>
      </c>
      <c r="N21" s="499" t="str">
        <f>IF(L21="","",IF(VLOOKUP(L21,'G-3 Multipliers'!$L$3:$N$6,3,FALSE)=0,"Spatial Data Missing ⚠",VLOOKUP(L21,'G-3 Multipliers'!$L$3:$N$6,3,FALSE)))</f>
        <v/>
      </c>
      <c r="O21" s="498" t="str">
        <f t="shared" si="1"/>
        <v/>
      </c>
      <c r="P21" s="195"/>
      <c r="Q21" s="195"/>
      <c r="R21" s="520" t="str">
        <f t="shared" si="2"/>
        <v/>
      </c>
      <c r="S21" s="544" t="str">
        <f t="shared" si="3"/>
        <v/>
      </c>
      <c r="T21" s="525" t="str">
        <f>IFERROR(IF(S21="Check Data ⚠","Check Data ⚠",VLOOKUP(S21,'G-4 Temporal multipliers'!$A$4:$C$37,3,FALSE)),"")</f>
        <v/>
      </c>
      <c r="U21" s="523" t="str">
        <f>IF(F21="","",VLOOKUP(F21,'G-3 Multipliers'!$A$2:$E$129,2,FALSE))</f>
        <v/>
      </c>
      <c r="V21" s="520" t="str">
        <f t="shared" si="4"/>
        <v/>
      </c>
      <c r="W21" s="520" t="str">
        <f>IF(E21="","",IF(AND(V21="Standard difficulty applied",O21&gt;P21),U21,IF(AND(V21="Low Difficulty - only applicable if all habitat created before losses ⚠",P21&gt;=O21),"Low",VLOOKUP(F21,'G-3 Multipliers'!$A$2:$E$129,4,FALSE))))</f>
        <v/>
      </c>
      <c r="X21" s="524" t="str">
        <f>IFERROR(IF(E21="","",VLOOKUP(W21, 'G-3 Multipliers'!$P$2:$Q$6,2,FALSE)),"")</f>
        <v/>
      </c>
      <c r="Y21" s="197"/>
      <c r="Z21" s="499" t="str">
        <f>IF(Y21="","",IF(VLOOKUP(Y21,'G-3 Multipliers'!$S$3:$T$9,2,FALSE)=0,"Spatial Data Missing ⚠",VLOOKUP(Y21,'G-3 Multipliers'!$S$3:$T$9,2,FALSE)))</f>
        <v/>
      </c>
      <c r="AA21" s="545" t="str">
        <f t="shared" si="0"/>
        <v/>
      </c>
      <c r="AB21" s="149"/>
      <c r="AC21" s="150"/>
    </row>
    <row r="22" spans="1:29" ht="14" x14ac:dyDescent="0.3">
      <c r="A22" s="31" t="str">
        <f>IFERROR(INDEX('G-8 Condition Look up'!$I$4:$I$130,MATCH(F22,'G-8 Condition Look up'!$A$4:$A$130,0)),"")</f>
        <v/>
      </c>
      <c r="C22" s="244" t="str">
        <f>IFERROR(INDEX('G-1 All Habitats'!$AG$3:$AG$15,MATCH(D22,'G-1 All Habitats'!$AF$3:$AF$15,0)),"")</f>
        <v/>
      </c>
      <c r="D22" s="154"/>
      <c r="E22" s="203"/>
      <c r="F22" s="243" t="str">
        <f>IFERROR(INDEX('G-1 All Habitats'!$B$3:$B$129,MATCH(E22,'G-1 All Habitats'!$A$3:$A$129,0)),"")</f>
        <v/>
      </c>
      <c r="G22" s="386"/>
      <c r="H22" s="537" t="str">
        <f>IF(F22="","",VLOOKUP(F22,'G-1 All Habitats'!$B$2:$M$129,10,FALSE))</f>
        <v/>
      </c>
      <c r="I22" s="524" t="str">
        <f>IFERROR(VLOOKUP(H22,'G-1 All Habitats'!$V$3:$W$7,2,FALSE),"")</f>
        <v/>
      </c>
      <c r="J22" s="199"/>
      <c r="K22" s="524" t="str">
        <f>IFERROR(INDEX('G-8 Condition Look up'!$A$3:$H$130,MATCH(F22,'G-8 Condition Look up'!$A$3:$A$130,0),MATCH(J22,'G-8 Condition Look up'!$A$3:$H$3,0)),"")</f>
        <v/>
      </c>
      <c r="L22" s="145"/>
      <c r="M22" s="540" t="str">
        <f>IF(L22="","",IF(VLOOKUP(L22,'G-3 Multipliers'!$L$3:$N$6,2,FALSE)=0,"Spatial Data Missing ⚠",VLOOKUP(L22,'G-3 Multipliers'!$L$3:$N$6,2,FALSE)))</f>
        <v/>
      </c>
      <c r="N22" s="499" t="str">
        <f>IF(L22="","",IF(VLOOKUP(L22,'G-3 Multipliers'!$L$3:$N$6,3,FALSE)=0,"Spatial Data Missing ⚠",VLOOKUP(L22,'G-3 Multipliers'!$L$3:$N$6,3,FALSE)))</f>
        <v/>
      </c>
      <c r="O22" s="498" t="str">
        <f t="shared" si="1"/>
        <v/>
      </c>
      <c r="P22" s="195"/>
      <c r="Q22" s="195"/>
      <c r="R22" s="520" t="str">
        <f t="shared" si="2"/>
        <v/>
      </c>
      <c r="S22" s="544" t="str">
        <f t="shared" si="3"/>
        <v/>
      </c>
      <c r="T22" s="525" t="str">
        <f>IFERROR(IF(S22="Check Data ⚠","Check Data ⚠",VLOOKUP(S22,'G-4 Temporal multipliers'!$A$4:$C$37,3,FALSE)),"")</f>
        <v/>
      </c>
      <c r="U22" s="523" t="str">
        <f>IF(F22="","",VLOOKUP(F22,'G-3 Multipliers'!$A$2:$E$129,2,FALSE))</f>
        <v/>
      </c>
      <c r="V22" s="520" t="str">
        <f t="shared" si="4"/>
        <v/>
      </c>
      <c r="W22" s="520" t="str">
        <f>IF(E22="","",IF(AND(V22="Standard difficulty applied",O22&gt;P22),U22,IF(AND(V22="Low Difficulty - only applicable if all habitat created before losses ⚠",P22&gt;=O22),"Low",VLOOKUP(F22,'G-3 Multipliers'!$A$2:$E$129,4,FALSE))))</f>
        <v/>
      </c>
      <c r="X22" s="524" t="str">
        <f>IFERROR(IF(E22="","",VLOOKUP(W22, 'G-3 Multipliers'!$P$2:$Q$6,2,FALSE)),"")</f>
        <v/>
      </c>
      <c r="Y22" s="197"/>
      <c r="Z22" s="499" t="str">
        <f>IF(Y22="","",IF(VLOOKUP(Y22,'G-3 Multipliers'!$S$3:$T$9,2,FALSE)=0,"Spatial Data Missing ⚠",VLOOKUP(Y22,'G-3 Multipliers'!$S$3:$T$9,2,FALSE)))</f>
        <v/>
      </c>
      <c r="AA22" s="545" t="str">
        <f t="shared" si="0"/>
        <v/>
      </c>
      <c r="AB22" s="149"/>
      <c r="AC22" s="150"/>
    </row>
    <row r="23" spans="1:29" ht="14" x14ac:dyDescent="0.3">
      <c r="A23" s="31" t="str">
        <f>IFERROR(INDEX('G-8 Condition Look up'!$I$4:$I$130,MATCH(F23,'G-8 Condition Look up'!$A$4:$A$130,0)),"")</f>
        <v/>
      </c>
      <c r="C23" s="244" t="str">
        <f>IFERROR(INDEX('G-1 All Habitats'!$AG$3:$AG$15,MATCH(D23,'G-1 All Habitats'!$AF$3:$AF$15,0)),"")</f>
        <v/>
      </c>
      <c r="D23" s="154"/>
      <c r="E23" s="203"/>
      <c r="F23" s="243" t="str">
        <f>IFERROR(INDEX('G-1 All Habitats'!$B$3:$B$129,MATCH(E23,'G-1 All Habitats'!$A$3:$A$129,0)),"")</f>
        <v/>
      </c>
      <c r="G23" s="386"/>
      <c r="H23" s="537" t="str">
        <f>IF(F23="","",VLOOKUP(F23,'G-1 All Habitats'!$B$2:$M$129,10,FALSE))</f>
        <v/>
      </c>
      <c r="I23" s="524" t="str">
        <f>IFERROR(VLOOKUP(H23,'G-1 All Habitats'!$V$3:$W$7,2,FALSE),"")</f>
        <v/>
      </c>
      <c r="J23" s="199"/>
      <c r="K23" s="524" t="str">
        <f>IFERROR(INDEX('G-8 Condition Look up'!$A$3:$H$130,MATCH(F23,'G-8 Condition Look up'!$A$3:$A$130,0),MATCH(J23,'G-8 Condition Look up'!$A$3:$H$3,0)),"")</f>
        <v/>
      </c>
      <c r="L23" s="145"/>
      <c r="M23" s="540" t="str">
        <f>IF(L23="","",IF(VLOOKUP(L23,'G-3 Multipliers'!$L$3:$N$6,2,FALSE)=0,"Spatial Data Missing ⚠",VLOOKUP(L23,'G-3 Multipliers'!$L$3:$N$6,2,FALSE)))</f>
        <v/>
      </c>
      <c r="N23" s="499" t="str">
        <f>IF(L23="","",IF(VLOOKUP(L23,'G-3 Multipliers'!$L$3:$N$6,3,FALSE)=0,"Spatial Data Missing ⚠",VLOOKUP(L23,'G-3 Multipliers'!$L$3:$N$6,3,FALSE)))</f>
        <v/>
      </c>
      <c r="O23" s="498" t="str">
        <f t="shared" si="1"/>
        <v/>
      </c>
      <c r="P23" s="195"/>
      <c r="Q23" s="195"/>
      <c r="R23" s="520" t="str">
        <f t="shared" si="2"/>
        <v/>
      </c>
      <c r="S23" s="544" t="str">
        <f t="shared" si="3"/>
        <v/>
      </c>
      <c r="T23" s="525" t="str">
        <f>IFERROR(IF(S23="Check Data ⚠","Check Data ⚠",VLOOKUP(S23,'G-4 Temporal multipliers'!$A$4:$C$37,3,FALSE)),"")</f>
        <v/>
      </c>
      <c r="U23" s="523" t="str">
        <f>IF(F23="","",VLOOKUP(F23,'G-3 Multipliers'!$A$2:$E$129,2,FALSE))</f>
        <v/>
      </c>
      <c r="V23" s="520" t="str">
        <f t="shared" si="4"/>
        <v/>
      </c>
      <c r="W23" s="520" t="str">
        <f>IF(E23="","",IF(AND(V23="Standard difficulty applied",O23&gt;P23),U23,IF(AND(V23="Low Difficulty - only applicable if all habitat created before losses ⚠",P23&gt;=O23),"Low",VLOOKUP(F23,'G-3 Multipliers'!$A$2:$E$129,4,FALSE))))</f>
        <v/>
      </c>
      <c r="X23" s="524" t="str">
        <f>IFERROR(IF(E23="","",VLOOKUP(W23, 'G-3 Multipliers'!$P$2:$Q$6,2,FALSE)),"")</f>
        <v/>
      </c>
      <c r="Y23" s="197"/>
      <c r="Z23" s="499" t="str">
        <f>IF(Y23="","",IF(VLOOKUP(Y23,'G-3 Multipliers'!$S$3:$T$9,2,FALSE)=0,"Spatial Data Missing ⚠",VLOOKUP(Y23,'G-3 Multipliers'!$S$3:$T$9,2,FALSE)))</f>
        <v/>
      </c>
      <c r="AA23" s="545" t="str">
        <f t="shared" si="0"/>
        <v/>
      </c>
      <c r="AB23" s="149"/>
      <c r="AC23" s="150"/>
    </row>
    <row r="24" spans="1:29" ht="14" x14ac:dyDescent="0.3">
      <c r="A24" s="31" t="str">
        <f>IFERROR(INDEX('G-8 Condition Look up'!$I$4:$I$130,MATCH(F24,'G-8 Condition Look up'!$A$4:$A$130,0)),"")</f>
        <v/>
      </c>
      <c r="C24" s="244" t="str">
        <f>IFERROR(INDEX('G-1 All Habitats'!$AG$3:$AG$15,MATCH(D24,'G-1 All Habitats'!$AF$3:$AF$15,0)),"")</f>
        <v/>
      </c>
      <c r="D24" s="154"/>
      <c r="E24" s="203"/>
      <c r="F24" s="243" t="str">
        <f>IFERROR(INDEX('G-1 All Habitats'!$B$3:$B$129,MATCH(E24,'G-1 All Habitats'!$A$3:$A$129,0)),"")</f>
        <v/>
      </c>
      <c r="G24" s="386"/>
      <c r="H24" s="537" t="str">
        <f>IF(F24="","",VLOOKUP(F24,'G-1 All Habitats'!$B$2:$M$129,10,FALSE))</f>
        <v/>
      </c>
      <c r="I24" s="524" t="str">
        <f>IFERROR(VLOOKUP(H24,'G-1 All Habitats'!$V$3:$W$7,2,FALSE),"")</f>
        <v/>
      </c>
      <c r="J24" s="199"/>
      <c r="K24" s="524" t="str">
        <f>IFERROR(INDEX('G-8 Condition Look up'!$A$3:$H$130,MATCH(F24,'G-8 Condition Look up'!$A$3:$A$130,0),MATCH(J24,'G-8 Condition Look up'!$A$3:$H$3,0)),"")</f>
        <v/>
      </c>
      <c r="L24" s="145"/>
      <c r="M24" s="540" t="str">
        <f>IF(L24="","",IF(VLOOKUP(L24,'G-3 Multipliers'!$L$3:$N$6,2,FALSE)=0,"Spatial Data Missing ⚠",VLOOKUP(L24,'G-3 Multipliers'!$L$3:$N$6,2,FALSE)))</f>
        <v/>
      </c>
      <c r="N24" s="499" t="str">
        <f>IF(L24="","",IF(VLOOKUP(L24,'G-3 Multipliers'!$L$3:$N$6,3,FALSE)=0,"Spatial Data Missing ⚠",VLOOKUP(L24,'G-3 Multipliers'!$L$3:$N$6,3,FALSE)))</f>
        <v/>
      </c>
      <c r="O24" s="498" t="str">
        <f t="shared" si="1"/>
        <v/>
      </c>
      <c r="P24" s="195"/>
      <c r="Q24" s="195"/>
      <c r="R24" s="520" t="str">
        <f t="shared" si="2"/>
        <v/>
      </c>
      <c r="S24" s="544" t="str">
        <f t="shared" si="3"/>
        <v/>
      </c>
      <c r="T24" s="525" t="str">
        <f>IFERROR(IF(S24="Check Data ⚠","Check Data ⚠",VLOOKUP(S24,'G-4 Temporal multipliers'!$A$4:$C$37,3,FALSE)),"")</f>
        <v/>
      </c>
      <c r="U24" s="523" t="str">
        <f>IF(F24="","",VLOOKUP(F24,'G-3 Multipliers'!$A$2:$E$129,2,FALSE))</f>
        <v/>
      </c>
      <c r="V24" s="520" t="str">
        <f t="shared" si="4"/>
        <v/>
      </c>
      <c r="W24" s="520" t="str">
        <f>IF(E24="","",IF(AND(V24="Standard difficulty applied",O24&gt;P24),U24,IF(AND(V24="Low Difficulty - only applicable if all habitat created before losses ⚠",P24&gt;=O24),"Low",VLOOKUP(F24,'G-3 Multipliers'!$A$2:$E$129,4,FALSE))))</f>
        <v/>
      </c>
      <c r="X24" s="524" t="str">
        <f>IFERROR(IF(E24="","",VLOOKUP(W24, 'G-3 Multipliers'!$P$2:$Q$6,2,FALSE)),"")</f>
        <v/>
      </c>
      <c r="Y24" s="197"/>
      <c r="Z24" s="499" t="str">
        <f>IF(Y24="","",IF(VLOOKUP(Y24,'G-3 Multipliers'!$S$3:$T$9,2,FALSE)=0,"Spatial Data Missing ⚠",VLOOKUP(Y24,'G-3 Multipliers'!$S$3:$T$9,2,FALSE)))</f>
        <v/>
      </c>
      <c r="AA24" s="545" t="str">
        <f t="shared" si="0"/>
        <v/>
      </c>
      <c r="AB24" s="149"/>
      <c r="AC24" s="150"/>
    </row>
    <row r="25" spans="1:29" ht="14" x14ac:dyDescent="0.3">
      <c r="A25" s="31" t="str">
        <f>IFERROR(INDEX('G-8 Condition Look up'!$I$4:$I$130,MATCH(F25,'G-8 Condition Look up'!$A$4:$A$130,0)),"")</f>
        <v/>
      </c>
      <c r="C25" s="244" t="str">
        <f>IFERROR(INDEX('G-1 All Habitats'!$AG$3:$AG$15,MATCH(D25,'G-1 All Habitats'!$AF$3:$AF$15,0)),"")</f>
        <v/>
      </c>
      <c r="D25" s="154"/>
      <c r="E25" s="203"/>
      <c r="F25" s="243" t="str">
        <f>IFERROR(INDEX('G-1 All Habitats'!$B$3:$B$129,MATCH(E25,'G-1 All Habitats'!$A$3:$A$129,0)),"")</f>
        <v/>
      </c>
      <c r="G25" s="386"/>
      <c r="H25" s="537" t="str">
        <f>IF(F25="","",VLOOKUP(F25,'G-1 All Habitats'!$B$2:$M$129,10,FALSE))</f>
        <v/>
      </c>
      <c r="I25" s="524" t="str">
        <f>IFERROR(VLOOKUP(H25,'G-1 All Habitats'!$V$3:$W$7,2,FALSE),"")</f>
        <v/>
      </c>
      <c r="J25" s="199"/>
      <c r="K25" s="524" t="str">
        <f>IFERROR(INDEX('G-8 Condition Look up'!$A$3:$H$130,MATCH(F25,'G-8 Condition Look up'!$A$3:$A$130,0),MATCH(J25,'G-8 Condition Look up'!$A$3:$H$3,0)),"")</f>
        <v/>
      </c>
      <c r="L25" s="145"/>
      <c r="M25" s="540" t="str">
        <f>IF(L25="","",IF(VLOOKUP(L25,'G-3 Multipliers'!$L$3:$N$6,2,FALSE)=0,"Spatial Data Missing ⚠",VLOOKUP(L25,'G-3 Multipliers'!$L$3:$N$6,2,FALSE)))</f>
        <v/>
      </c>
      <c r="N25" s="499" t="str">
        <f>IF(L25="","",IF(VLOOKUP(L25,'G-3 Multipliers'!$L$3:$N$6,3,FALSE)=0,"Spatial Data Missing ⚠",VLOOKUP(L25,'G-3 Multipliers'!$L$3:$N$6,3,FALSE)))</f>
        <v/>
      </c>
      <c r="O25" s="498" t="str">
        <f t="shared" si="1"/>
        <v/>
      </c>
      <c r="P25" s="195"/>
      <c r="Q25" s="195"/>
      <c r="R25" s="520" t="str">
        <f t="shared" si="2"/>
        <v/>
      </c>
      <c r="S25" s="544" t="str">
        <f t="shared" si="3"/>
        <v/>
      </c>
      <c r="T25" s="525" t="str">
        <f>IFERROR(IF(S25="Check Data ⚠","Check Data ⚠",VLOOKUP(S25,'G-4 Temporal multipliers'!$A$4:$C$37,3,FALSE)),"")</f>
        <v/>
      </c>
      <c r="U25" s="523" t="str">
        <f>IF(F25="","",VLOOKUP(F25,'G-3 Multipliers'!$A$2:$E$129,2,FALSE))</f>
        <v/>
      </c>
      <c r="V25" s="520" t="str">
        <f t="shared" si="4"/>
        <v/>
      </c>
      <c r="W25" s="520" t="str">
        <f>IF(E25="","",IF(AND(V25="Standard difficulty applied",O25&gt;P25),U25,IF(AND(V25="Low Difficulty - only applicable if all habitat created before losses ⚠",P25&gt;=O25),"Low",VLOOKUP(F25,'G-3 Multipliers'!$A$2:$E$129,4,FALSE))))</f>
        <v/>
      </c>
      <c r="X25" s="524" t="str">
        <f>IFERROR(IF(E25="","",VLOOKUP(W25, 'G-3 Multipliers'!$P$2:$Q$6,2,FALSE)),"")</f>
        <v/>
      </c>
      <c r="Y25" s="197"/>
      <c r="Z25" s="499" t="str">
        <f>IF(Y25="","",IF(VLOOKUP(Y25,'G-3 Multipliers'!$S$3:$T$9,2,FALSE)=0,"Spatial Data Missing ⚠",VLOOKUP(Y25,'G-3 Multipliers'!$S$3:$T$9,2,FALSE)))</f>
        <v/>
      </c>
      <c r="AA25" s="545" t="str">
        <f t="shared" si="0"/>
        <v/>
      </c>
      <c r="AB25" s="149"/>
      <c r="AC25" s="150"/>
    </row>
    <row r="26" spans="1:29" ht="14" x14ac:dyDescent="0.3">
      <c r="A26" s="31" t="str">
        <f>IFERROR(INDEX('G-8 Condition Look up'!$I$4:$I$130,MATCH(F26,'G-8 Condition Look up'!$A$4:$A$130,0)),"")</f>
        <v/>
      </c>
      <c r="C26" s="244" t="str">
        <f>IFERROR(INDEX('G-1 All Habitats'!$AG$3:$AG$15,MATCH(D26,'G-1 All Habitats'!$AF$3:$AF$15,0)),"")</f>
        <v/>
      </c>
      <c r="D26" s="154"/>
      <c r="E26" s="203"/>
      <c r="F26" s="243" t="str">
        <f>IFERROR(INDEX('G-1 All Habitats'!$B$3:$B$129,MATCH(E26,'G-1 All Habitats'!$A$3:$A$129,0)),"")</f>
        <v/>
      </c>
      <c r="G26" s="386"/>
      <c r="H26" s="537" t="str">
        <f>IF(F26="","",VLOOKUP(F26,'G-1 All Habitats'!$B$2:$M$129,10,FALSE))</f>
        <v/>
      </c>
      <c r="I26" s="524" t="str">
        <f>IFERROR(VLOOKUP(H26,'G-1 All Habitats'!$V$3:$W$7,2,FALSE),"")</f>
        <v/>
      </c>
      <c r="J26" s="199"/>
      <c r="K26" s="524" t="str">
        <f>IFERROR(INDEX('G-8 Condition Look up'!$A$3:$H$130,MATCH(F26,'G-8 Condition Look up'!$A$3:$A$130,0),MATCH(J26,'G-8 Condition Look up'!$A$3:$H$3,0)),"")</f>
        <v/>
      </c>
      <c r="L26" s="145"/>
      <c r="M26" s="540" t="str">
        <f>IF(L26="","",IF(VLOOKUP(L26,'G-3 Multipliers'!$L$3:$N$6,2,FALSE)=0,"Spatial Data Missing ⚠",VLOOKUP(L26,'G-3 Multipliers'!$L$3:$N$6,2,FALSE)))</f>
        <v/>
      </c>
      <c r="N26" s="499" t="str">
        <f>IF(L26="","",IF(VLOOKUP(L26,'G-3 Multipliers'!$L$3:$N$6,3,FALSE)=0,"Spatial Data Missing ⚠",VLOOKUP(L26,'G-3 Multipliers'!$L$3:$N$6,3,FALSE)))</f>
        <v/>
      </c>
      <c r="O26" s="498" t="str">
        <f t="shared" si="1"/>
        <v/>
      </c>
      <c r="P26" s="195"/>
      <c r="Q26" s="195"/>
      <c r="R26" s="520" t="str">
        <f t="shared" si="2"/>
        <v/>
      </c>
      <c r="S26" s="544" t="str">
        <f t="shared" si="3"/>
        <v/>
      </c>
      <c r="T26" s="525" t="str">
        <f>IFERROR(IF(S26="Check Data ⚠","Check Data ⚠",VLOOKUP(S26,'G-4 Temporal multipliers'!$A$4:$C$37,3,FALSE)),"")</f>
        <v/>
      </c>
      <c r="U26" s="523" t="str">
        <f>IF(F26="","",VLOOKUP(F26,'G-3 Multipliers'!$A$2:$E$129,2,FALSE))</f>
        <v/>
      </c>
      <c r="V26" s="520" t="str">
        <f t="shared" si="4"/>
        <v/>
      </c>
      <c r="W26" s="520" t="str">
        <f>IF(E26="","",IF(AND(V26="Standard difficulty applied",O26&gt;P26),U26,IF(AND(V26="Low Difficulty - only applicable if all habitat created before losses ⚠",P26&gt;=O26),"Low",VLOOKUP(F26,'G-3 Multipliers'!$A$2:$E$129,4,FALSE))))</f>
        <v/>
      </c>
      <c r="X26" s="524" t="str">
        <f>IFERROR(IF(E26="","",VLOOKUP(W26, 'G-3 Multipliers'!$P$2:$Q$6,2,FALSE)),"")</f>
        <v/>
      </c>
      <c r="Y26" s="197"/>
      <c r="Z26" s="499" t="str">
        <f>IF(Y26="","",IF(VLOOKUP(Y26,'G-3 Multipliers'!$S$3:$T$9,2,FALSE)=0,"Spatial Data Missing ⚠",VLOOKUP(Y26,'G-3 Multipliers'!$S$3:$T$9,2,FALSE)))</f>
        <v/>
      </c>
      <c r="AA26" s="545" t="str">
        <f t="shared" si="0"/>
        <v/>
      </c>
      <c r="AB26" s="149"/>
      <c r="AC26" s="150"/>
    </row>
    <row r="27" spans="1:29" ht="14" x14ac:dyDescent="0.3">
      <c r="A27" s="31" t="str">
        <f>IFERROR(INDEX('G-8 Condition Look up'!$I$4:$I$130,MATCH(F27,'G-8 Condition Look up'!$A$4:$A$130,0)),"")</f>
        <v/>
      </c>
      <c r="C27" s="244" t="str">
        <f>IFERROR(INDEX('G-1 All Habitats'!$AG$3:$AG$15,MATCH(D27,'G-1 All Habitats'!$AF$3:$AF$15,0)),"")</f>
        <v/>
      </c>
      <c r="D27" s="154"/>
      <c r="E27" s="203"/>
      <c r="F27" s="243" t="str">
        <f>IFERROR(INDEX('G-1 All Habitats'!$B$3:$B$129,MATCH(E27,'G-1 All Habitats'!$A$3:$A$129,0)),"")</f>
        <v/>
      </c>
      <c r="G27" s="386"/>
      <c r="H27" s="537" t="str">
        <f>IF(F27="","",VLOOKUP(F27,'G-1 All Habitats'!$B$2:$M$129,10,FALSE))</f>
        <v/>
      </c>
      <c r="I27" s="524" t="str">
        <f>IFERROR(VLOOKUP(H27,'G-1 All Habitats'!$V$3:$W$7,2,FALSE),"")</f>
        <v/>
      </c>
      <c r="J27" s="199"/>
      <c r="K27" s="524" t="str">
        <f>IFERROR(INDEX('G-8 Condition Look up'!$A$3:$H$130,MATCH(F27,'G-8 Condition Look up'!$A$3:$A$130,0),MATCH(J27,'G-8 Condition Look up'!$A$3:$H$3,0)),"")</f>
        <v/>
      </c>
      <c r="L27" s="145"/>
      <c r="M27" s="540" t="str">
        <f>IF(L27="","",IF(VLOOKUP(L27,'G-3 Multipliers'!$L$3:$N$6,2,FALSE)=0,"Spatial Data Missing ⚠",VLOOKUP(L27,'G-3 Multipliers'!$L$3:$N$6,2,FALSE)))</f>
        <v/>
      </c>
      <c r="N27" s="499" t="str">
        <f>IF(L27="","",IF(VLOOKUP(L27,'G-3 Multipliers'!$L$3:$N$6,3,FALSE)=0,"Spatial Data Missing ⚠",VLOOKUP(L27,'G-3 Multipliers'!$L$3:$N$6,3,FALSE)))</f>
        <v/>
      </c>
      <c r="O27" s="498" t="str">
        <f t="shared" si="1"/>
        <v/>
      </c>
      <c r="P27" s="195"/>
      <c r="Q27" s="195"/>
      <c r="R27" s="520" t="str">
        <f t="shared" si="2"/>
        <v/>
      </c>
      <c r="S27" s="544" t="str">
        <f t="shared" si="3"/>
        <v/>
      </c>
      <c r="T27" s="525" t="str">
        <f>IFERROR(IF(S27="Check Data ⚠","Check Data ⚠",VLOOKUP(S27,'G-4 Temporal multipliers'!$A$4:$C$37,3,FALSE)),"")</f>
        <v/>
      </c>
      <c r="U27" s="523" t="str">
        <f>IF(F27="","",VLOOKUP(F27,'G-3 Multipliers'!$A$2:$E$129,2,FALSE))</f>
        <v/>
      </c>
      <c r="V27" s="520" t="str">
        <f t="shared" si="4"/>
        <v/>
      </c>
      <c r="W27" s="520" t="str">
        <f>IF(E27="","",IF(AND(V27="Standard difficulty applied",O27&gt;P27),U27,IF(AND(V27="Low Difficulty - only applicable if all habitat created before losses ⚠",P27&gt;=O27),"Low",VLOOKUP(F27,'G-3 Multipliers'!$A$2:$E$129,4,FALSE))))</f>
        <v/>
      </c>
      <c r="X27" s="524" t="str">
        <f>IFERROR(IF(E27="","",VLOOKUP(W27, 'G-3 Multipliers'!$P$2:$Q$6,2,FALSE)),"")</f>
        <v/>
      </c>
      <c r="Y27" s="197"/>
      <c r="Z27" s="499" t="str">
        <f>IF(Y27="","",IF(VLOOKUP(Y27,'G-3 Multipliers'!$S$3:$T$9,2,FALSE)=0,"Spatial Data Missing ⚠",VLOOKUP(Y27,'G-3 Multipliers'!$S$3:$T$9,2,FALSE)))</f>
        <v/>
      </c>
      <c r="AA27" s="545" t="str">
        <f t="shared" si="0"/>
        <v/>
      </c>
      <c r="AB27" s="149"/>
      <c r="AC27" s="150"/>
    </row>
    <row r="28" spans="1:29" ht="14" x14ac:dyDescent="0.3">
      <c r="A28" s="31" t="str">
        <f>IFERROR(INDEX('G-8 Condition Look up'!$I$4:$I$130,MATCH(F28,'G-8 Condition Look up'!$A$4:$A$130,0)),"")</f>
        <v/>
      </c>
      <c r="C28" s="244" t="str">
        <f>IFERROR(INDEX('G-1 All Habitats'!$AG$3:$AG$15,MATCH(D28,'G-1 All Habitats'!$AF$3:$AF$15,0)),"")</f>
        <v/>
      </c>
      <c r="D28" s="154"/>
      <c r="E28" s="203"/>
      <c r="F28" s="243" t="str">
        <f>IFERROR(INDEX('G-1 All Habitats'!$B$3:$B$129,MATCH(E28,'G-1 All Habitats'!$A$3:$A$129,0)),"")</f>
        <v/>
      </c>
      <c r="G28" s="386"/>
      <c r="H28" s="537" t="str">
        <f>IF(F28="","",VLOOKUP(F28,'G-1 All Habitats'!$B$2:$M$129,10,FALSE))</f>
        <v/>
      </c>
      <c r="I28" s="524" t="str">
        <f>IFERROR(VLOOKUP(H28,'G-1 All Habitats'!$V$3:$W$7,2,FALSE),"")</f>
        <v/>
      </c>
      <c r="J28" s="199"/>
      <c r="K28" s="524" t="str">
        <f>IFERROR(INDEX('G-8 Condition Look up'!$A$3:$H$130,MATCH(F28,'G-8 Condition Look up'!$A$3:$A$130,0),MATCH(J28,'G-8 Condition Look up'!$A$3:$H$3,0)),"")</f>
        <v/>
      </c>
      <c r="L28" s="145"/>
      <c r="M28" s="540" t="str">
        <f>IF(L28="","",IF(VLOOKUP(L28,'G-3 Multipliers'!$L$3:$N$6,2,FALSE)=0,"Spatial Data Missing ⚠",VLOOKUP(L28,'G-3 Multipliers'!$L$3:$N$6,2,FALSE)))</f>
        <v/>
      </c>
      <c r="N28" s="499" t="str">
        <f>IF(L28="","",IF(VLOOKUP(L28,'G-3 Multipliers'!$L$3:$N$6,3,FALSE)=0,"Spatial Data Missing ⚠",VLOOKUP(L28,'G-3 Multipliers'!$L$3:$N$6,3,FALSE)))</f>
        <v/>
      </c>
      <c r="O28" s="498" t="str">
        <f t="shared" si="1"/>
        <v/>
      </c>
      <c r="P28" s="195"/>
      <c r="Q28" s="195"/>
      <c r="R28" s="520" t="str">
        <f t="shared" si="2"/>
        <v/>
      </c>
      <c r="S28" s="544" t="str">
        <f t="shared" si="3"/>
        <v/>
      </c>
      <c r="T28" s="525" t="str">
        <f>IFERROR(IF(S28="Check Data ⚠","Check Data ⚠",VLOOKUP(S28,'G-4 Temporal multipliers'!$A$4:$C$37,3,FALSE)),"")</f>
        <v/>
      </c>
      <c r="U28" s="523" t="str">
        <f>IF(F28="","",VLOOKUP(F28,'G-3 Multipliers'!$A$2:$E$129,2,FALSE))</f>
        <v/>
      </c>
      <c r="V28" s="520" t="str">
        <f t="shared" si="4"/>
        <v/>
      </c>
      <c r="W28" s="520" t="str">
        <f>IF(E28="","",IF(AND(V28="Standard difficulty applied",O28&gt;P28),U28,IF(AND(V28="Low Difficulty - only applicable if all habitat created before losses ⚠",P28&gt;=O28),"Low",VLOOKUP(F28,'G-3 Multipliers'!$A$2:$E$129,4,FALSE))))</f>
        <v/>
      </c>
      <c r="X28" s="524" t="str">
        <f>IFERROR(IF(E28="","",VLOOKUP(W28, 'G-3 Multipliers'!$P$2:$Q$6,2,FALSE)),"")</f>
        <v/>
      </c>
      <c r="Y28" s="197"/>
      <c r="Z28" s="499" t="str">
        <f>IF(Y28="","",IF(VLOOKUP(Y28,'G-3 Multipliers'!$S$3:$T$9,2,FALSE)=0,"Spatial Data Missing ⚠",VLOOKUP(Y28,'G-3 Multipliers'!$S$3:$T$9,2,FALSE)))</f>
        <v/>
      </c>
      <c r="AA28" s="545" t="str">
        <f t="shared" si="0"/>
        <v/>
      </c>
      <c r="AB28" s="149"/>
      <c r="AC28" s="150"/>
    </row>
    <row r="29" spans="1:29" ht="14" x14ac:dyDescent="0.3">
      <c r="A29" s="31" t="str">
        <f>IFERROR(INDEX('G-8 Condition Look up'!$I$4:$I$130,MATCH(F29,'G-8 Condition Look up'!$A$4:$A$130,0)),"")</f>
        <v/>
      </c>
      <c r="C29" s="244" t="str">
        <f>IFERROR(INDEX('G-1 All Habitats'!$AG$3:$AG$15,MATCH(D29,'G-1 All Habitats'!$AF$3:$AF$15,0)),"")</f>
        <v/>
      </c>
      <c r="D29" s="154"/>
      <c r="E29" s="203"/>
      <c r="F29" s="243" t="str">
        <f>IFERROR(INDEX('G-1 All Habitats'!$B$3:$B$129,MATCH(E29,'G-1 All Habitats'!$A$3:$A$129,0)),"")</f>
        <v/>
      </c>
      <c r="G29" s="386"/>
      <c r="H29" s="537" t="str">
        <f>IF(F29="","",VLOOKUP(F29,'G-1 All Habitats'!$B$2:$M$129,10,FALSE))</f>
        <v/>
      </c>
      <c r="I29" s="524" t="str">
        <f>IFERROR(VLOOKUP(H29,'G-1 All Habitats'!$V$3:$W$7,2,FALSE),"")</f>
        <v/>
      </c>
      <c r="J29" s="199"/>
      <c r="K29" s="524" t="str">
        <f>IFERROR(INDEX('G-8 Condition Look up'!$A$3:$H$130,MATCH(F29,'G-8 Condition Look up'!$A$3:$A$130,0),MATCH(J29,'G-8 Condition Look up'!$A$3:$H$3,0)),"")</f>
        <v/>
      </c>
      <c r="L29" s="145"/>
      <c r="M29" s="540" t="str">
        <f>IF(L29="","",IF(VLOOKUP(L29,'G-3 Multipliers'!$L$3:$N$6,2,FALSE)=0,"Spatial Data Missing ⚠",VLOOKUP(L29,'G-3 Multipliers'!$L$3:$N$6,2,FALSE)))</f>
        <v/>
      </c>
      <c r="N29" s="499" t="str">
        <f>IF(L29="","",IF(VLOOKUP(L29,'G-3 Multipliers'!$L$3:$N$6,3,FALSE)=0,"Spatial Data Missing ⚠",VLOOKUP(L29,'G-3 Multipliers'!$L$3:$N$6,3,FALSE)))</f>
        <v/>
      </c>
      <c r="O29" s="498" t="str">
        <f t="shared" si="1"/>
        <v/>
      </c>
      <c r="P29" s="195"/>
      <c r="Q29" s="195"/>
      <c r="R29" s="520" t="str">
        <f t="shared" si="2"/>
        <v/>
      </c>
      <c r="S29" s="544" t="str">
        <f t="shared" si="3"/>
        <v/>
      </c>
      <c r="T29" s="525" t="str">
        <f>IFERROR(IF(S29="Check Data ⚠","Check Data ⚠",VLOOKUP(S29,'G-4 Temporal multipliers'!$A$4:$C$37,3,FALSE)),"")</f>
        <v/>
      </c>
      <c r="U29" s="523" t="str">
        <f>IF(F29="","",VLOOKUP(F29,'G-3 Multipliers'!$A$2:$E$129,2,FALSE))</f>
        <v/>
      </c>
      <c r="V29" s="520" t="str">
        <f t="shared" si="4"/>
        <v/>
      </c>
      <c r="W29" s="520" t="str">
        <f>IF(E29="","",IF(AND(V29="Standard difficulty applied",O29&gt;P29),U29,IF(AND(V29="Low Difficulty - only applicable if all habitat created before losses ⚠",P29&gt;=O29),"Low",VLOOKUP(F29,'G-3 Multipliers'!$A$2:$E$129,4,FALSE))))</f>
        <v/>
      </c>
      <c r="X29" s="524" t="str">
        <f>IFERROR(IF(E29="","",VLOOKUP(W29, 'G-3 Multipliers'!$P$2:$Q$6,2,FALSE)),"")</f>
        <v/>
      </c>
      <c r="Y29" s="197"/>
      <c r="Z29" s="499" t="str">
        <f>IF(Y29="","",IF(VLOOKUP(Y29,'G-3 Multipliers'!$S$3:$T$9,2,FALSE)=0,"Spatial Data Missing ⚠",VLOOKUP(Y29,'G-3 Multipliers'!$S$3:$T$9,2,FALSE)))</f>
        <v/>
      </c>
      <c r="AA29" s="545" t="str">
        <f t="shared" si="0"/>
        <v/>
      </c>
      <c r="AB29" s="149"/>
      <c r="AC29" s="150"/>
    </row>
    <row r="30" spans="1:29" ht="14" x14ac:dyDescent="0.3">
      <c r="A30" s="31" t="str">
        <f>IFERROR(INDEX('G-8 Condition Look up'!$I$4:$I$130,MATCH(F30,'G-8 Condition Look up'!$A$4:$A$130,0)),"")</f>
        <v/>
      </c>
      <c r="C30" s="244" t="str">
        <f>IFERROR(INDEX('G-1 All Habitats'!$AG$3:$AG$15,MATCH(D30,'G-1 All Habitats'!$AF$3:$AF$15,0)),"")</f>
        <v/>
      </c>
      <c r="D30" s="154"/>
      <c r="E30" s="203"/>
      <c r="F30" s="243" t="str">
        <f>IFERROR(INDEX('G-1 All Habitats'!$B$3:$B$129,MATCH(E30,'G-1 All Habitats'!$A$3:$A$129,0)),"")</f>
        <v/>
      </c>
      <c r="G30" s="386"/>
      <c r="H30" s="537" t="str">
        <f>IF(F30="","",VLOOKUP(F30,'G-1 All Habitats'!$B$2:$M$129,10,FALSE))</f>
        <v/>
      </c>
      <c r="I30" s="524" t="str">
        <f>IFERROR(VLOOKUP(H30,'G-1 All Habitats'!$V$3:$W$7,2,FALSE),"")</f>
        <v/>
      </c>
      <c r="J30" s="199"/>
      <c r="K30" s="524" t="str">
        <f>IFERROR(INDEX('G-8 Condition Look up'!$A$3:$H$130,MATCH(F30,'G-8 Condition Look up'!$A$3:$A$130,0),MATCH(J30,'G-8 Condition Look up'!$A$3:$H$3,0)),"")</f>
        <v/>
      </c>
      <c r="L30" s="145"/>
      <c r="M30" s="540" t="str">
        <f>IF(L30="","",IF(VLOOKUP(L30,'G-3 Multipliers'!$L$3:$N$6,2,FALSE)=0,"Spatial Data Missing ⚠",VLOOKUP(L30,'G-3 Multipliers'!$L$3:$N$6,2,FALSE)))</f>
        <v/>
      </c>
      <c r="N30" s="499" t="str">
        <f>IF(L30="","",IF(VLOOKUP(L30,'G-3 Multipliers'!$L$3:$N$6,3,FALSE)=0,"Spatial Data Missing ⚠",VLOOKUP(L30,'G-3 Multipliers'!$L$3:$N$6,3,FALSE)))</f>
        <v/>
      </c>
      <c r="O30" s="498" t="str">
        <f t="shared" si="1"/>
        <v/>
      </c>
      <c r="P30" s="195"/>
      <c r="Q30" s="195"/>
      <c r="R30" s="520" t="str">
        <f t="shared" si="2"/>
        <v/>
      </c>
      <c r="S30" s="544" t="str">
        <f t="shared" si="3"/>
        <v/>
      </c>
      <c r="T30" s="525" t="str">
        <f>IFERROR(IF(S30="Check Data ⚠","Check Data ⚠",VLOOKUP(S30,'G-4 Temporal multipliers'!$A$4:$C$37,3,FALSE)),"")</f>
        <v/>
      </c>
      <c r="U30" s="523" t="str">
        <f>IF(F30="","",VLOOKUP(F30,'G-3 Multipliers'!$A$2:$E$129,2,FALSE))</f>
        <v/>
      </c>
      <c r="V30" s="520" t="str">
        <f t="shared" si="4"/>
        <v/>
      </c>
      <c r="W30" s="520" t="str">
        <f>IF(E30="","",IF(AND(V30="Standard difficulty applied",O30&gt;P30),U30,IF(AND(V30="Low Difficulty - only applicable if all habitat created before losses ⚠",P30&gt;=O30),"Low",VLOOKUP(F30,'G-3 Multipliers'!$A$2:$E$129,4,FALSE))))</f>
        <v/>
      </c>
      <c r="X30" s="524" t="str">
        <f>IFERROR(IF(E30="","",VLOOKUP(W30, 'G-3 Multipliers'!$P$2:$Q$6,2,FALSE)),"")</f>
        <v/>
      </c>
      <c r="Y30" s="197"/>
      <c r="Z30" s="499" t="str">
        <f>IF(Y30="","",IF(VLOOKUP(Y30,'G-3 Multipliers'!$S$3:$T$9,2,FALSE)=0,"Spatial Data Missing ⚠",VLOOKUP(Y30,'G-3 Multipliers'!$S$3:$T$9,2,FALSE)))</f>
        <v/>
      </c>
      <c r="AA30" s="545" t="str">
        <f t="shared" si="0"/>
        <v/>
      </c>
      <c r="AB30" s="149"/>
      <c r="AC30" s="150"/>
    </row>
    <row r="31" spans="1:29" ht="14" x14ac:dyDescent="0.3">
      <c r="A31" s="31" t="str">
        <f>IFERROR(INDEX('G-8 Condition Look up'!$I$4:$I$130,MATCH(F31,'G-8 Condition Look up'!$A$4:$A$130,0)),"")</f>
        <v/>
      </c>
      <c r="C31" s="244" t="str">
        <f>IFERROR(INDEX('G-1 All Habitats'!$AG$3:$AG$15,MATCH(D31,'G-1 All Habitats'!$AF$3:$AF$15,0)),"")</f>
        <v/>
      </c>
      <c r="D31" s="154"/>
      <c r="E31" s="203"/>
      <c r="F31" s="243" t="str">
        <f>IFERROR(INDEX('G-1 All Habitats'!$B$3:$B$129,MATCH(E31,'G-1 All Habitats'!$A$3:$A$129,0)),"")</f>
        <v/>
      </c>
      <c r="G31" s="386"/>
      <c r="H31" s="537" t="str">
        <f>IF(F31="","",VLOOKUP(F31,'G-1 All Habitats'!$B$2:$M$129,10,FALSE))</f>
        <v/>
      </c>
      <c r="I31" s="524" t="str">
        <f>IFERROR(VLOOKUP(H31,'G-1 All Habitats'!$V$3:$W$7,2,FALSE),"")</f>
        <v/>
      </c>
      <c r="J31" s="199"/>
      <c r="K31" s="524" t="str">
        <f>IFERROR(INDEX('G-8 Condition Look up'!$A$3:$H$130,MATCH(F31,'G-8 Condition Look up'!$A$3:$A$130,0),MATCH(J31,'G-8 Condition Look up'!$A$3:$H$3,0)),"")</f>
        <v/>
      </c>
      <c r="L31" s="145"/>
      <c r="M31" s="540" t="str">
        <f>IF(L31="","",IF(VLOOKUP(L31,'G-3 Multipliers'!$L$3:$N$6,2,FALSE)=0,"Spatial Data Missing ⚠",VLOOKUP(L31,'G-3 Multipliers'!$L$3:$N$6,2,FALSE)))</f>
        <v/>
      </c>
      <c r="N31" s="499" t="str">
        <f>IF(L31="","",IF(VLOOKUP(L31,'G-3 Multipliers'!$L$3:$N$6,3,FALSE)=0,"Spatial Data Missing ⚠",VLOOKUP(L31,'G-3 Multipliers'!$L$3:$N$6,3,FALSE)))</f>
        <v/>
      </c>
      <c r="O31" s="498" t="str">
        <f t="shared" si="1"/>
        <v/>
      </c>
      <c r="P31" s="195"/>
      <c r="Q31" s="195"/>
      <c r="R31" s="520" t="str">
        <f t="shared" si="2"/>
        <v/>
      </c>
      <c r="S31" s="544" t="str">
        <f t="shared" si="3"/>
        <v/>
      </c>
      <c r="T31" s="525" t="str">
        <f>IFERROR(IF(S31="Check Data ⚠","Check Data ⚠",VLOOKUP(S31,'G-4 Temporal multipliers'!$A$4:$C$37,3,FALSE)),"")</f>
        <v/>
      </c>
      <c r="U31" s="523" t="str">
        <f>IF(F31="","",VLOOKUP(F31,'G-3 Multipliers'!$A$2:$E$129,2,FALSE))</f>
        <v/>
      </c>
      <c r="V31" s="520" t="str">
        <f t="shared" si="4"/>
        <v/>
      </c>
      <c r="W31" s="520" t="str">
        <f>IF(E31="","",IF(AND(V31="Standard difficulty applied",O31&gt;P31),U31,IF(AND(V31="Low Difficulty - only applicable if all habitat created before losses ⚠",P31&gt;=O31),"Low",VLOOKUP(F31,'G-3 Multipliers'!$A$2:$E$129,4,FALSE))))</f>
        <v/>
      </c>
      <c r="X31" s="524" t="str">
        <f>IFERROR(IF(E31="","",VLOOKUP(W31, 'G-3 Multipliers'!$P$2:$Q$6,2,FALSE)),"")</f>
        <v/>
      </c>
      <c r="Y31" s="197"/>
      <c r="Z31" s="499" t="str">
        <f>IF(Y31="","",IF(VLOOKUP(Y31,'G-3 Multipliers'!$S$3:$T$9,2,FALSE)=0,"Spatial Data Missing ⚠",VLOOKUP(Y31,'G-3 Multipliers'!$S$3:$T$9,2,FALSE)))</f>
        <v/>
      </c>
      <c r="AA31" s="545" t="str">
        <f t="shared" si="0"/>
        <v/>
      </c>
      <c r="AB31" s="149"/>
      <c r="AC31" s="150"/>
    </row>
    <row r="32" spans="1:29" ht="14" x14ac:dyDescent="0.3">
      <c r="A32" s="31" t="str">
        <f>IFERROR(INDEX('G-8 Condition Look up'!$I$4:$I$130,MATCH(F32,'G-8 Condition Look up'!$A$4:$A$130,0)),"")</f>
        <v/>
      </c>
      <c r="C32" s="244" t="str">
        <f>IFERROR(INDEX('G-1 All Habitats'!$AG$3:$AG$15,MATCH(D32,'G-1 All Habitats'!$AF$3:$AF$15,0)),"")</f>
        <v/>
      </c>
      <c r="D32" s="154"/>
      <c r="E32" s="203"/>
      <c r="F32" s="243" t="str">
        <f>IFERROR(INDEX('G-1 All Habitats'!$B$3:$B$129,MATCH(E32,'G-1 All Habitats'!$A$3:$A$129,0)),"")</f>
        <v/>
      </c>
      <c r="G32" s="386"/>
      <c r="H32" s="537" t="str">
        <f>IF(F32="","",VLOOKUP(F32,'G-1 All Habitats'!$B$2:$M$129,10,FALSE))</f>
        <v/>
      </c>
      <c r="I32" s="524" t="str">
        <f>IFERROR(VLOOKUP(H32,'G-1 All Habitats'!$V$3:$W$7,2,FALSE),"")</f>
        <v/>
      </c>
      <c r="J32" s="199"/>
      <c r="K32" s="524" t="str">
        <f>IFERROR(INDEX('G-8 Condition Look up'!$A$3:$H$130,MATCH(F32,'G-8 Condition Look up'!$A$3:$A$130,0),MATCH(J32,'G-8 Condition Look up'!$A$3:$H$3,0)),"")</f>
        <v/>
      </c>
      <c r="L32" s="145"/>
      <c r="M32" s="540" t="str">
        <f>IF(L32="","",IF(VLOOKUP(L32,'G-3 Multipliers'!$L$3:$N$6,2,FALSE)=0,"Spatial Data Missing ⚠",VLOOKUP(L32,'G-3 Multipliers'!$L$3:$N$6,2,FALSE)))</f>
        <v/>
      </c>
      <c r="N32" s="499" t="str">
        <f>IF(L32="","",IF(VLOOKUP(L32,'G-3 Multipliers'!$L$3:$N$6,3,FALSE)=0,"Spatial Data Missing ⚠",VLOOKUP(L32,'G-3 Multipliers'!$L$3:$N$6,3,FALSE)))</f>
        <v/>
      </c>
      <c r="O32" s="498" t="str">
        <f t="shared" si="1"/>
        <v/>
      </c>
      <c r="P32" s="195"/>
      <c r="Q32" s="195"/>
      <c r="R32" s="520" t="str">
        <f t="shared" si="2"/>
        <v/>
      </c>
      <c r="S32" s="544" t="str">
        <f t="shared" si="3"/>
        <v/>
      </c>
      <c r="T32" s="525" t="str">
        <f>IFERROR(IF(S32="Check Data ⚠","Check Data ⚠",VLOOKUP(S32,'G-4 Temporal multipliers'!$A$4:$C$37,3,FALSE)),"")</f>
        <v/>
      </c>
      <c r="U32" s="523" t="str">
        <f>IF(F32="","",VLOOKUP(F32,'G-3 Multipliers'!$A$2:$E$129,2,FALSE))</f>
        <v/>
      </c>
      <c r="V32" s="520" t="str">
        <f t="shared" si="4"/>
        <v/>
      </c>
      <c r="W32" s="520" t="str">
        <f>IF(E32="","",IF(AND(V32="Standard difficulty applied",O32&gt;P32),U32,IF(AND(V32="Low Difficulty - only applicable if all habitat created before losses ⚠",P32&gt;=O32),"Low",VLOOKUP(F32,'G-3 Multipliers'!$A$2:$E$129,4,FALSE))))</f>
        <v/>
      </c>
      <c r="X32" s="524" t="str">
        <f>IFERROR(IF(E32="","",VLOOKUP(W32, 'G-3 Multipliers'!$P$2:$Q$6,2,FALSE)),"")</f>
        <v/>
      </c>
      <c r="Y32" s="197"/>
      <c r="Z32" s="499" t="str">
        <f>IF(Y32="","",IF(VLOOKUP(Y32,'G-3 Multipliers'!$S$3:$T$9,2,FALSE)=0,"Spatial Data Missing ⚠",VLOOKUP(Y32,'G-3 Multipliers'!$S$3:$T$9,2,FALSE)))</f>
        <v/>
      </c>
      <c r="AA32" s="545" t="str">
        <f t="shared" si="0"/>
        <v/>
      </c>
      <c r="AB32" s="149"/>
      <c r="AC32" s="150"/>
    </row>
    <row r="33" spans="1:29" ht="14" x14ac:dyDescent="0.3">
      <c r="A33" s="31" t="str">
        <f>IFERROR(INDEX('G-8 Condition Look up'!$I$4:$I$130,MATCH(F33,'G-8 Condition Look up'!$A$4:$A$130,0)),"")</f>
        <v/>
      </c>
      <c r="C33" s="244" t="str">
        <f>IFERROR(INDEX('G-1 All Habitats'!$AG$3:$AG$15,MATCH(D33,'G-1 All Habitats'!$AF$3:$AF$15,0)),"")</f>
        <v/>
      </c>
      <c r="D33" s="154"/>
      <c r="E33" s="203"/>
      <c r="F33" s="243" t="str">
        <f>IFERROR(INDEX('G-1 All Habitats'!$B$3:$B$129,MATCH(E33,'G-1 All Habitats'!$A$3:$A$129,0)),"")</f>
        <v/>
      </c>
      <c r="G33" s="386"/>
      <c r="H33" s="537" t="str">
        <f>IF(F33="","",VLOOKUP(F33,'G-1 All Habitats'!$B$2:$M$129,10,FALSE))</f>
        <v/>
      </c>
      <c r="I33" s="524" t="str">
        <f>IFERROR(VLOOKUP(H33,'G-1 All Habitats'!$V$3:$W$7,2,FALSE),"")</f>
        <v/>
      </c>
      <c r="J33" s="199"/>
      <c r="K33" s="524" t="str">
        <f>IFERROR(INDEX('G-8 Condition Look up'!$A$3:$H$130,MATCH(F33,'G-8 Condition Look up'!$A$3:$A$130,0),MATCH(J33,'G-8 Condition Look up'!$A$3:$H$3,0)),"")</f>
        <v/>
      </c>
      <c r="L33" s="145"/>
      <c r="M33" s="540" t="str">
        <f>IF(L33="","",IF(VLOOKUP(L33,'G-3 Multipliers'!$L$3:$N$6,2,FALSE)=0,"Spatial Data Missing ⚠",VLOOKUP(L33,'G-3 Multipliers'!$L$3:$N$6,2,FALSE)))</f>
        <v/>
      </c>
      <c r="N33" s="499" t="str">
        <f>IF(L33="","",IF(VLOOKUP(L33,'G-3 Multipliers'!$L$3:$N$6,3,FALSE)=0,"Spatial Data Missing ⚠",VLOOKUP(L33,'G-3 Multipliers'!$L$3:$N$6,3,FALSE)))</f>
        <v/>
      </c>
      <c r="O33" s="498" t="str">
        <f t="shared" si="1"/>
        <v/>
      </c>
      <c r="P33" s="195"/>
      <c r="Q33" s="195"/>
      <c r="R33" s="520" t="str">
        <f t="shared" si="2"/>
        <v/>
      </c>
      <c r="S33" s="544" t="str">
        <f t="shared" si="3"/>
        <v/>
      </c>
      <c r="T33" s="525" t="str">
        <f>IFERROR(IF(S33="Check Data ⚠","Check Data ⚠",VLOOKUP(S33,'G-4 Temporal multipliers'!$A$4:$C$37,3,FALSE)),"")</f>
        <v/>
      </c>
      <c r="U33" s="523" t="str">
        <f>IF(F33="","",VLOOKUP(F33,'G-3 Multipliers'!$A$2:$E$129,2,FALSE))</f>
        <v/>
      </c>
      <c r="V33" s="520" t="str">
        <f t="shared" si="4"/>
        <v/>
      </c>
      <c r="W33" s="520" t="str">
        <f>IF(E33="","",IF(AND(V33="Standard difficulty applied",O33&gt;P33),U33,IF(AND(V33="Low Difficulty - only applicable if all habitat created before losses ⚠",P33&gt;=O33),"Low",VLOOKUP(F33,'G-3 Multipliers'!$A$2:$E$129,4,FALSE))))</f>
        <v/>
      </c>
      <c r="X33" s="524" t="str">
        <f>IFERROR(IF(E33="","",VLOOKUP(W33, 'G-3 Multipliers'!$P$2:$Q$6,2,FALSE)),"")</f>
        <v/>
      </c>
      <c r="Y33" s="197"/>
      <c r="Z33" s="499" t="str">
        <f>IF(Y33="","",IF(VLOOKUP(Y33,'G-3 Multipliers'!$S$3:$T$9,2,FALSE)=0,"Spatial Data Missing ⚠",VLOOKUP(Y33,'G-3 Multipliers'!$S$3:$T$9,2,FALSE)))</f>
        <v/>
      </c>
      <c r="AA33" s="545" t="str">
        <f t="shared" si="0"/>
        <v/>
      </c>
      <c r="AB33" s="149"/>
      <c r="AC33" s="150"/>
    </row>
    <row r="34" spans="1:29" ht="14" x14ac:dyDescent="0.3">
      <c r="A34" s="31" t="str">
        <f>IFERROR(INDEX('G-8 Condition Look up'!$I$4:$I$130,MATCH(F34,'G-8 Condition Look up'!$A$4:$A$130,0)),"")</f>
        <v/>
      </c>
      <c r="C34" s="244" t="str">
        <f>IFERROR(INDEX('G-1 All Habitats'!$AG$3:$AG$15,MATCH(D34,'G-1 All Habitats'!$AF$3:$AF$15,0)),"")</f>
        <v/>
      </c>
      <c r="D34" s="154"/>
      <c r="E34" s="203"/>
      <c r="F34" s="243" t="str">
        <f>IFERROR(INDEX('G-1 All Habitats'!$B$3:$B$129,MATCH(E34,'G-1 All Habitats'!$A$3:$A$129,0)),"")</f>
        <v/>
      </c>
      <c r="G34" s="386"/>
      <c r="H34" s="537" t="str">
        <f>IF(F34="","",VLOOKUP(F34,'G-1 All Habitats'!$B$2:$M$129,10,FALSE))</f>
        <v/>
      </c>
      <c r="I34" s="524" t="str">
        <f>IFERROR(VLOOKUP(H34,'G-1 All Habitats'!$V$3:$W$7,2,FALSE),"")</f>
        <v/>
      </c>
      <c r="J34" s="199"/>
      <c r="K34" s="524" t="str">
        <f>IFERROR(INDEX('G-8 Condition Look up'!$A$3:$H$130,MATCH(F34,'G-8 Condition Look up'!$A$3:$A$130,0),MATCH(J34,'G-8 Condition Look up'!$A$3:$H$3,0)),"")</f>
        <v/>
      </c>
      <c r="L34" s="145"/>
      <c r="M34" s="540" t="str">
        <f>IF(L34="","",IF(VLOOKUP(L34,'G-3 Multipliers'!$L$3:$N$6,2,FALSE)=0,"Spatial Data Missing ⚠",VLOOKUP(L34,'G-3 Multipliers'!$L$3:$N$6,2,FALSE)))</f>
        <v/>
      </c>
      <c r="N34" s="499" t="str">
        <f>IF(L34="","",IF(VLOOKUP(L34,'G-3 Multipliers'!$L$3:$N$6,3,FALSE)=0,"Spatial Data Missing ⚠",VLOOKUP(L34,'G-3 Multipliers'!$L$3:$N$6,3,FALSE)))</f>
        <v/>
      </c>
      <c r="O34" s="498" t="str">
        <f t="shared" si="1"/>
        <v/>
      </c>
      <c r="P34" s="195"/>
      <c r="Q34" s="195"/>
      <c r="R34" s="520" t="str">
        <f t="shared" si="2"/>
        <v/>
      </c>
      <c r="S34" s="544" t="str">
        <f t="shared" si="3"/>
        <v/>
      </c>
      <c r="T34" s="525" t="str">
        <f>IFERROR(IF(S34="Check Data ⚠","Check Data ⚠",VLOOKUP(S34,'G-4 Temporal multipliers'!$A$4:$C$37,3,FALSE)),"")</f>
        <v/>
      </c>
      <c r="U34" s="523" t="str">
        <f>IF(F34="","",VLOOKUP(F34,'G-3 Multipliers'!$A$2:$E$129,2,FALSE))</f>
        <v/>
      </c>
      <c r="V34" s="520" t="str">
        <f t="shared" si="4"/>
        <v/>
      </c>
      <c r="W34" s="520" t="str">
        <f>IF(E34="","",IF(AND(V34="Standard difficulty applied",O34&gt;P34),U34,IF(AND(V34="Low Difficulty - only applicable if all habitat created before losses ⚠",P34&gt;=O34),"Low",VLOOKUP(F34,'G-3 Multipliers'!$A$2:$E$129,4,FALSE))))</f>
        <v/>
      </c>
      <c r="X34" s="524" t="str">
        <f>IFERROR(IF(E34="","",VLOOKUP(W34, 'G-3 Multipliers'!$P$2:$Q$6,2,FALSE)),"")</f>
        <v/>
      </c>
      <c r="Y34" s="197"/>
      <c r="Z34" s="499" t="str">
        <f>IF(Y34="","",IF(VLOOKUP(Y34,'G-3 Multipliers'!$S$3:$T$9,2,FALSE)=0,"Spatial Data Missing ⚠",VLOOKUP(Y34,'G-3 Multipliers'!$S$3:$T$9,2,FALSE)))</f>
        <v/>
      </c>
      <c r="AA34" s="545" t="str">
        <f t="shared" si="0"/>
        <v/>
      </c>
      <c r="AB34" s="149"/>
      <c r="AC34" s="150"/>
    </row>
    <row r="35" spans="1:29" ht="14" x14ac:dyDescent="0.3">
      <c r="A35" s="31" t="str">
        <f>IFERROR(INDEX('G-8 Condition Look up'!$I$4:$I$130,MATCH(F35,'G-8 Condition Look up'!$A$4:$A$130,0)),"")</f>
        <v/>
      </c>
      <c r="C35" s="244" t="str">
        <f>IFERROR(INDEX('G-1 All Habitats'!$AG$3:$AG$15,MATCH(D35,'G-1 All Habitats'!$AF$3:$AF$15,0)),"")</f>
        <v/>
      </c>
      <c r="D35" s="154"/>
      <c r="E35" s="203"/>
      <c r="F35" s="243" t="str">
        <f>IFERROR(INDEX('G-1 All Habitats'!$B$3:$B$129,MATCH(E35,'G-1 All Habitats'!$A$3:$A$129,0)),"")</f>
        <v/>
      </c>
      <c r="G35" s="386"/>
      <c r="H35" s="537" t="str">
        <f>IF(F35="","",VLOOKUP(F35,'G-1 All Habitats'!$B$2:$M$129,10,FALSE))</f>
        <v/>
      </c>
      <c r="I35" s="524" t="str">
        <f>IFERROR(VLOOKUP(H35,'G-1 All Habitats'!$V$3:$W$7,2,FALSE),"")</f>
        <v/>
      </c>
      <c r="J35" s="199"/>
      <c r="K35" s="524" t="str">
        <f>IFERROR(INDEX('G-8 Condition Look up'!$A$3:$H$130,MATCH(F35,'G-8 Condition Look up'!$A$3:$A$130,0),MATCH(J35,'G-8 Condition Look up'!$A$3:$H$3,0)),"")</f>
        <v/>
      </c>
      <c r="L35" s="145"/>
      <c r="M35" s="540" t="str">
        <f>IF(L35="","",IF(VLOOKUP(L35,'G-3 Multipliers'!$L$3:$N$6,2,FALSE)=0,"Spatial Data Missing ⚠",VLOOKUP(L35,'G-3 Multipliers'!$L$3:$N$6,2,FALSE)))</f>
        <v/>
      </c>
      <c r="N35" s="499" t="str">
        <f>IF(L35="","",IF(VLOOKUP(L35,'G-3 Multipliers'!$L$3:$N$6,3,FALSE)=0,"Spatial Data Missing ⚠",VLOOKUP(L35,'G-3 Multipliers'!$L$3:$N$6,3,FALSE)))</f>
        <v/>
      </c>
      <c r="O35" s="498" t="str">
        <f t="shared" si="1"/>
        <v/>
      </c>
      <c r="P35" s="195"/>
      <c r="Q35" s="195"/>
      <c r="R35" s="520" t="str">
        <f t="shared" si="2"/>
        <v/>
      </c>
      <c r="S35" s="544" t="str">
        <f t="shared" si="3"/>
        <v/>
      </c>
      <c r="T35" s="525" t="str">
        <f>IFERROR(IF(S35="Check Data ⚠","Check Data ⚠",VLOOKUP(S35,'G-4 Temporal multipliers'!$A$4:$C$37,3,FALSE)),"")</f>
        <v/>
      </c>
      <c r="U35" s="523" t="str">
        <f>IF(F35="","",VLOOKUP(F35,'G-3 Multipliers'!$A$2:$E$129,2,FALSE))</f>
        <v/>
      </c>
      <c r="V35" s="520" t="str">
        <f t="shared" si="4"/>
        <v/>
      </c>
      <c r="W35" s="520" t="str">
        <f>IF(E35="","",IF(AND(V35="Standard difficulty applied",O35&gt;P35),U35,IF(AND(V35="Low Difficulty - only applicable if all habitat created before losses ⚠",P35&gt;=O35),"Low",VLOOKUP(F35,'G-3 Multipliers'!$A$2:$E$129,4,FALSE))))</f>
        <v/>
      </c>
      <c r="X35" s="524" t="str">
        <f>IFERROR(IF(E35="","",VLOOKUP(W35, 'G-3 Multipliers'!$P$2:$Q$6,2,FALSE)),"")</f>
        <v/>
      </c>
      <c r="Y35" s="197"/>
      <c r="Z35" s="499" t="str">
        <f>IF(Y35="","",IF(VLOOKUP(Y35,'G-3 Multipliers'!$S$3:$T$9,2,FALSE)=0,"Spatial Data Missing ⚠",VLOOKUP(Y35,'G-3 Multipliers'!$S$3:$T$9,2,FALSE)))</f>
        <v/>
      </c>
      <c r="AA35" s="545" t="str">
        <f t="shared" si="0"/>
        <v/>
      </c>
      <c r="AB35" s="149"/>
      <c r="AC35" s="150"/>
    </row>
    <row r="36" spans="1:29" ht="14" x14ac:dyDescent="0.3">
      <c r="A36" s="31" t="str">
        <f>IFERROR(INDEX('G-8 Condition Look up'!$I$4:$I$130,MATCH(F36,'G-8 Condition Look up'!$A$4:$A$130,0)),"")</f>
        <v/>
      </c>
      <c r="C36" s="244" t="str">
        <f>IFERROR(INDEX('G-1 All Habitats'!$AG$3:$AG$15,MATCH(D36,'G-1 All Habitats'!$AF$3:$AF$15,0)),"")</f>
        <v/>
      </c>
      <c r="D36" s="154"/>
      <c r="E36" s="203"/>
      <c r="F36" s="243" t="str">
        <f>IFERROR(INDEX('G-1 All Habitats'!$B$3:$B$129,MATCH(E36,'G-1 All Habitats'!$A$3:$A$129,0)),"")</f>
        <v/>
      </c>
      <c r="G36" s="386"/>
      <c r="H36" s="537" t="str">
        <f>IF(F36="","",VLOOKUP(F36,'G-1 All Habitats'!$B$2:$M$129,10,FALSE))</f>
        <v/>
      </c>
      <c r="I36" s="524" t="str">
        <f>IFERROR(VLOOKUP(H36,'G-1 All Habitats'!$V$3:$W$7,2,FALSE),"")</f>
        <v/>
      </c>
      <c r="J36" s="199"/>
      <c r="K36" s="524" t="str">
        <f>IFERROR(INDEX('G-8 Condition Look up'!$A$3:$H$130,MATCH(F36,'G-8 Condition Look up'!$A$3:$A$130,0),MATCH(J36,'G-8 Condition Look up'!$A$3:$H$3,0)),"")</f>
        <v/>
      </c>
      <c r="L36" s="145"/>
      <c r="M36" s="540" t="str">
        <f>IF(L36="","",IF(VLOOKUP(L36,'G-3 Multipliers'!$L$3:$N$6,2,FALSE)=0,"Spatial Data Missing ⚠",VLOOKUP(L36,'G-3 Multipliers'!$L$3:$N$6,2,FALSE)))</f>
        <v/>
      </c>
      <c r="N36" s="499" t="str">
        <f>IF(L36="","",IF(VLOOKUP(L36,'G-3 Multipliers'!$L$3:$N$6,3,FALSE)=0,"Spatial Data Missing ⚠",VLOOKUP(L36,'G-3 Multipliers'!$L$3:$N$6,3,FALSE)))</f>
        <v/>
      </c>
      <c r="O36" s="498" t="str">
        <f t="shared" si="1"/>
        <v/>
      </c>
      <c r="P36" s="195"/>
      <c r="Q36" s="195"/>
      <c r="R36" s="520" t="str">
        <f t="shared" si="2"/>
        <v/>
      </c>
      <c r="S36" s="544" t="str">
        <f t="shared" si="3"/>
        <v/>
      </c>
      <c r="T36" s="525" t="str">
        <f>IFERROR(IF(S36="Check Data ⚠","Check Data ⚠",VLOOKUP(S36,'G-4 Temporal multipliers'!$A$4:$C$37,3,FALSE)),"")</f>
        <v/>
      </c>
      <c r="U36" s="523" t="str">
        <f>IF(F36="","",VLOOKUP(F36,'G-3 Multipliers'!$A$2:$E$129,2,FALSE))</f>
        <v/>
      </c>
      <c r="V36" s="520" t="str">
        <f t="shared" si="4"/>
        <v/>
      </c>
      <c r="W36" s="520" t="str">
        <f>IF(E36="","",IF(AND(V36="Standard difficulty applied",O36&gt;P36),U36,IF(AND(V36="Low Difficulty - only applicable if all habitat created before losses ⚠",P36&gt;=O36),"Low",VLOOKUP(F36,'G-3 Multipliers'!$A$2:$E$129,4,FALSE))))</f>
        <v/>
      </c>
      <c r="X36" s="524" t="str">
        <f>IFERROR(IF(E36="","",VLOOKUP(W36, 'G-3 Multipliers'!$P$2:$Q$6,2,FALSE)),"")</f>
        <v/>
      </c>
      <c r="Y36" s="197"/>
      <c r="Z36" s="499" t="str">
        <f>IF(Y36="","",IF(VLOOKUP(Y36,'G-3 Multipliers'!$S$3:$T$9,2,FALSE)=0,"Spatial Data Missing ⚠",VLOOKUP(Y36,'G-3 Multipliers'!$S$3:$T$9,2,FALSE)))</f>
        <v/>
      </c>
      <c r="AA36" s="545" t="str">
        <f t="shared" si="0"/>
        <v/>
      </c>
      <c r="AB36" s="149"/>
      <c r="AC36" s="150"/>
    </row>
    <row r="37" spans="1:29" ht="14" x14ac:dyDescent="0.3">
      <c r="A37" s="31" t="str">
        <f>IFERROR(INDEX('G-8 Condition Look up'!$I$4:$I$130,MATCH(F37,'G-8 Condition Look up'!$A$4:$A$130,0)),"")</f>
        <v/>
      </c>
      <c r="C37" s="244" t="str">
        <f>IFERROR(INDEX('G-1 All Habitats'!$AG$3:$AG$15,MATCH(D37,'G-1 All Habitats'!$AF$3:$AF$15,0)),"")</f>
        <v/>
      </c>
      <c r="D37" s="154"/>
      <c r="E37" s="203"/>
      <c r="F37" s="243" t="str">
        <f>IFERROR(INDEX('G-1 All Habitats'!$B$3:$B$129,MATCH(E37,'G-1 All Habitats'!$A$3:$A$129,0)),"")</f>
        <v/>
      </c>
      <c r="G37" s="386"/>
      <c r="H37" s="537" t="str">
        <f>IF(F37="","",VLOOKUP(F37,'G-1 All Habitats'!$B$2:$M$129,10,FALSE))</f>
        <v/>
      </c>
      <c r="I37" s="524" t="str">
        <f>IFERROR(VLOOKUP(H37,'G-1 All Habitats'!$V$3:$W$7,2,FALSE),"")</f>
        <v/>
      </c>
      <c r="J37" s="199"/>
      <c r="K37" s="524" t="str">
        <f>IFERROR(INDEX('G-8 Condition Look up'!$A$3:$H$130,MATCH(F37,'G-8 Condition Look up'!$A$3:$A$130,0),MATCH(J37,'G-8 Condition Look up'!$A$3:$H$3,0)),"")</f>
        <v/>
      </c>
      <c r="L37" s="145"/>
      <c r="M37" s="540" t="str">
        <f>IF(L37="","",IF(VLOOKUP(L37,'G-3 Multipliers'!$L$3:$N$6,2,FALSE)=0,"Spatial Data Missing ⚠",VLOOKUP(L37,'G-3 Multipliers'!$L$3:$N$6,2,FALSE)))</f>
        <v/>
      </c>
      <c r="N37" s="499" t="str">
        <f>IF(L37="","",IF(VLOOKUP(L37,'G-3 Multipliers'!$L$3:$N$6,3,FALSE)=0,"Spatial Data Missing ⚠",VLOOKUP(L37,'G-3 Multipliers'!$L$3:$N$6,3,FALSE)))</f>
        <v/>
      </c>
      <c r="O37" s="498" t="str">
        <f t="shared" si="1"/>
        <v/>
      </c>
      <c r="P37" s="195"/>
      <c r="Q37" s="195"/>
      <c r="R37" s="520" t="str">
        <f t="shared" si="2"/>
        <v/>
      </c>
      <c r="S37" s="544" t="str">
        <f t="shared" si="3"/>
        <v/>
      </c>
      <c r="T37" s="525" t="str">
        <f>IFERROR(IF(S37="Check Data ⚠","Check Data ⚠",VLOOKUP(S37,'G-4 Temporal multipliers'!$A$4:$C$37,3,FALSE)),"")</f>
        <v/>
      </c>
      <c r="U37" s="523" t="str">
        <f>IF(F37="","",VLOOKUP(F37,'G-3 Multipliers'!$A$2:$E$129,2,FALSE))</f>
        <v/>
      </c>
      <c r="V37" s="520" t="str">
        <f t="shared" si="4"/>
        <v/>
      </c>
      <c r="W37" s="520" t="str">
        <f>IF(E37="","",IF(AND(V37="Standard difficulty applied",O37&gt;P37),U37,IF(AND(V37="Low Difficulty - only applicable if all habitat created before losses ⚠",P37&gt;=O37),"Low",VLOOKUP(F37,'G-3 Multipliers'!$A$2:$E$129,4,FALSE))))</f>
        <v/>
      </c>
      <c r="X37" s="524" t="str">
        <f>IFERROR(IF(E37="","",VLOOKUP(W37, 'G-3 Multipliers'!$P$2:$Q$6,2,FALSE)),"")</f>
        <v/>
      </c>
      <c r="Y37" s="197"/>
      <c r="Z37" s="499" t="str">
        <f>IF(Y37="","",IF(VLOOKUP(Y37,'G-3 Multipliers'!$S$3:$T$9,2,FALSE)=0,"Spatial Data Missing ⚠",VLOOKUP(Y37,'G-3 Multipliers'!$S$3:$T$9,2,FALSE)))</f>
        <v/>
      </c>
      <c r="AA37" s="545" t="str">
        <f t="shared" si="0"/>
        <v/>
      </c>
      <c r="AB37" s="149"/>
      <c r="AC37" s="150"/>
    </row>
    <row r="38" spans="1:29" ht="14" x14ac:dyDescent="0.3">
      <c r="A38" s="31" t="str">
        <f>IFERROR(INDEX('G-8 Condition Look up'!$I$4:$I$130,MATCH(F38,'G-8 Condition Look up'!$A$4:$A$130,0)),"")</f>
        <v/>
      </c>
      <c r="C38" s="244" t="str">
        <f>IFERROR(INDEX('G-1 All Habitats'!$AG$3:$AG$15,MATCH(D38,'G-1 All Habitats'!$AF$3:$AF$15,0)),"")</f>
        <v/>
      </c>
      <c r="D38" s="154"/>
      <c r="E38" s="203"/>
      <c r="F38" s="243" t="str">
        <f>IFERROR(INDEX('G-1 All Habitats'!$B$3:$B$129,MATCH(E38,'G-1 All Habitats'!$A$3:$A$129,0)),"")</f>
        <v/>
      </c>
      <c r="G38" s="386"/>
      <c r="H38" s="537" t="str">
        <f>IF(F38="","",VLOOKUP(F38,'G-1 All Habitats'!$B$2:$M$129,10,FALSE))</f>
        <v/>
      </c>
      <c r="I38" s="524" t="str">
        <f>IFERROR(VLOOKUP(H38,'G-1 All Habitats'!$V$3:$W$7,2,FALSE),"")</f>
        <v/>
      </c>
      <c r="J38" s="199"/>
      <c r="K38" s="524" t="str">
        <f>IFERROR(INDEX('G-8 Condition Look up'!$A$3:$H$130,MATCH(F38,'G-8 Condition Look up'!$A$3:$A$130,0),MATCH(J38,'G-8 Condition Look up'!$A$3:$H$3,0)),"")</f>
        <v/>
      </c>
      <c r="L38" s="145"/>
      <c r="M38" s="540" t="str">
        <f>IF(L38="","",IF(VLOOKUP(L38,'G-3 Multipliers'!$L$3:$N$6,2,FALSE)=0,"Spatial Data Missing ⚠",VLOOKUP(L38,'G-3 Multipliers'!$L$3:$N$6,2,FALSE)))</f>
        <v/>
      </c>
      <c r="N38" s="499" t="str">
        <f>IF(L38="","",IF(VLOOKUP(L38,'G-3 Multipliers'!$L$3:$N$6,3,FALSE)=0,"Spatial Data Missing ⚠",VLOOKUP(L38,'G-3 Multipliers'!$L$3:$N$6,3,FALSE)))</f>
        <v/>
      </c>
      <c r="O38" s="498" t="str">
        <f t="shared" si="1"/>
        <v/>
      </c>
      <c r="P38" s="195"/>
      <c r="Q38" s="195"/>
      <c r="R38" s="520" t="str">
        <f t="shared" si="2"/>
        <v/>
      </c>
      <c r="S38" s="544" t="str">
        <f t="shared" si="3"/>
        <v/>
      </c>
      <c r="T38" s="525" t="str">
        <f>IFERROR(IF(S38="Check Data ⚠","Check Data ⚠",VLOOKUP(S38,'G-4 Temporal multipliers'!$A$4:$C$37,3,FALSE)),"")</f>
        <v/>
      </c>
      <c r="U38" s="523" t="str">
        <f>IF(F38="","",VLOOKUP(F38,'G-3 Multipliers'!$A$2:$E$129,2,FALSE))</f>
        <v/>
      </c>
      <c r="V38" s="520" t="str">
        <f t="shared" si="4"/>
        <v/>
      </c>
      <c r="W38" s="520" t="str">
        <f>IF(E38="","",IF(AND(V38="Standard difficulty applied",O38&gt;P38),U38,IF(AND(V38="Low Difficulty - only applicable if all habitat created before losses ⚠",P38&gt;=O38),"Low",VLOOKUP(F38,'G-3 Multipliers'!$A$2:$E$129,4,FALSE))))</f>
        <v/>
      </c>
      <c r="X38" s="524" t="str">
        <f>IFERROR(IF(E38="","",VLOOKUP(W38, 'G-3 Multipliers'!$P$2:$Q$6,2,FALSE)),"")</f>
        <v/>
      </c>
      <c r="Y38" s="197"/>
      <c r="Z38" s="499" t="str">
        <f>IF(Y38="","",IF(VLOOKUP(Y38,'G-3 Multipliers'!$S$3:$T$9,2,FALSE)=0,"Spatial Data Missing ⚠",VLOOKUP(Y38,'G-3 Multipliers'!$S$3:$T$9,2,FALSE)))</f>
        <v/>
      </c>
      <c r="AA38" s="545" t="str">
        <f t="shared" si="0"/>
        <v/>
      </c>
      <c r="AB38" s="149"/>
      <c r="AC38" s="150"/>
    </row>
    <row r="39" spans="1:29" ht="14" x14ac:dyDescent="0.3">
      <c r="A39" s="31" t="str">
        <f>IFERROR(INDEX('G-8 Condition Look up'!$I$4:$I$130,MATCH(F39,'G-8 Condition Look up'!$A$4:$A$130,0)),"")</f>
        <v/>
      </c>
      <c r="C39" s="244" t="str">
        <f>IFERROR(INDEX('G-1 All Habitats'!$AG$3:$AG$15,MATCH(D39,'G-1 All Habitats'!$AF$3:$AF$15,0)),"")</f>
        <v/>
      </c>
      <c r="D39" s="154"/>
      <c r="E39" s="203"/>
      <c r="F39" s="243" t="str">
        <f>IFERROR(INDEX('G-1 All Habitats'!$B$3:$B$129,MATCH(E39,'G-1 All Habitats'!$A$3:$A$129,0)),"")</f>
        <v/>
      </c>
      <c r="G39" s="386"/>
      <c r="H39" s="537" t="str">
        <f>IF(F39="","",VLOOKUP(F39,'G-1 All Habitats'!$B$2:$M$129,10,FALSE))</f>
        <v/>
      </c>
      <c r="I39" s="524" t="str">
        <f>IFERROR(VLOOKUP(H39,'G-1 All Habitats'!$V$3:$W$7,2,FALSE),"")</f>
        <v/>
      </c>
      <c r="J39" s="199"/>
      <c r="K39" s="524" t="str">
        <f>IFERROR(INDEX('G-8 Condition Look up'!$A$3:$H$130,MATCH(F39,'G-8 Condition Look up'!$A$3:$A$130,0),MATCH(J39,'G-8 Condition Look up'!$A$3:$H$3,0)),"")</f>
        <v/>
      </c>
      <c r="L39" s="145"/>
      <c r="M39" s="540" t="str">
        <f>IF(L39="","",IF(VLOOKUP(L39,'G-3 Multipliers'!$L$3:$N$6,2,FALSE)=0,"Spatial Data Missing ⚠",VLOOKUP(L39,'G-3 Multipliers'!$L$3:$N$6,2,FALSE)))</f>
        <v/>
      </c>
      <c r="N39" s="499" t="str">
        <f>IF(L39="","",IF(VLOOKUP(L39,'G-3 Multipliers'!$L$3:$N$6,3,FALSE)=0,"Spatial Data Missing ⚠",VLOOKUP(L39,'G-3 Multipliers'!$L$3:$N$6,3,FALSE)))</f>
        <v/>
      </c>
      <c r="O39" s="498" t="str">
        <f t="shared" si="1"/>
        <v/>
      </c>
      <c r="P39" s="195"/>
      <c r="Q39" s="195"/>
      <c r="R39" s="520" t="str">
        <f t="shared" si="2"/>
        <v/>
      </c>
      <c r="S39" s="544" t="str">
        <f t="shared" si="3"/>
        <v/>
      </c>
      <c r="T39" s="525" t="str">
        <f>IFERROR(IF(S39="Check Data ⚠","Check Data ⚠",VLOOKUP(S39,'G-4 Temporal multipliers'!$A$4:$C$37,3,FALSE)),"")</f>
        <v/>
      </c>
      <c r="U39" s="523" t="str">
        <f>IF(F39="","",VLOOKUP(F39,'G-3 Multipliers'!$A$2:$E$129,2,FALSE))</f>
        <v/>
      </c>
      <c r="V39" s="520" t="str">
        <f t="shared" si="4"/>
        <v/>
      </c>
      <c r="W39" s="520" t="str">
        <f>IF(E39="","",IF(AND(V39="Standard difficulty applied",O39&gt;P39),U39,IF(AND(V39="Low Difficulty - only applicable if all habitat created before losses ⚠",P39&gt;=O39),"Low",VLOOKUP(F39,'G-3 Multipliers'!$A$2:$E$129,4,FALSE))))</f>
        <v/>
      </c>
      <c r="X39" s="524" t="str">
        <f>IFERROR(IF(E39="","",VLOOKUP(W39, 'G-3 Multipliers'!$P$2:$Q$6,2,FALSE)),"")</f>
        <v/>
      </c>
      <c r="Y39" s="197"/>
      <c r="Z39" s="499" t="str">
        <f>IF(Y39="","",IF(VLOOKUP(Y39,'G-3 Multipliers'!$S$3:$T$9,2,FALSE)=0,"Spatial Data Missing ⚠",VLOOKUP(Y39,'G-3 Multipliers'!$S$3:$T$9,2,FALSE)))</f>
        <v/>
      </c>
      <c r="AA39" s="545" t="str">
        <f t="shared" si="0"/>
        <v/>
      </c>
      <c r="AB39" s="149"/>
      <c r="AC39" s="150"/>
    </row>
    <row r="40" spans="1:29" ht="14" x14ac:dyDescent="0.3">
      <c r="A40" s="31" t="str">
        <f>IFERROR(INDEX('G-8 Condition Look up'!$I$4:$I$130,MATCH(F40,'G-8 Condition Look up'!$A$4:$A$130,0)),"")</f>
        <v/>
      </c>
      <c r="C40" s="244" t="str">
        <f>IFERROR(INDEX('G-1 All Habitats'!$AG$3:$AG$15,MATCH(D40,'G-1 All Habitats'!$AF$3:$AF$15,0)),"")</f>
        <v/>
      </c>
      <c r="D40" s="154"/>
      <c r="E40" s="203"/>
      <c r="F40" s="243" t="str">
        <f>IFERROR(INDEX('G-1 All Habitats'!$B$3:$B$129,MATCH(E40,'G-1 All Habitats'!$A$3:$A$129,0)),"")</f>
        <v/>
      </c>
      <c r="G40" s="386"/>
      <c r="H40" s="537" t="str">
        <f>IF(F40="","",VLOOKUP(F40,'G-1 All Habitats'!$B$2:$M$129,10,FALSE))</f>
        <v/>
      </c>
      <c r="I40" s="524" t="str">
        <f>IFERROR(VLOOKUP(H40,'G-1 All Habitats'!$V$3:$W$7,2,FALSE),"")</f>
        <v/>
      </c>
      <c r="J40" s="199"/>
      <c r="K40" s="524" t="str">
        <f>IFERROR(INDEX('G-8 Condition Look up'!$A$3:$H$130,MATCH(F40,'G-8 Condition Look up'!$A$3:$A$130,0),MATCH(J40,'G-8 Condition Look up'!$A$3:$H$3,0)),"")</f>
        <v/>
      </c>
      <c r="L40" s="145"/>
      <c r="M40" s="540" t="str">
        <f>IF(L40="","",IF(VLOOKUP(L40,'G-3 Multipliers'!$L$3:$N$6,2,FALSE)=0,"Spatial Data Missing ⚠",VLOOKUP(L40,'G-3 Multipliers'!$L$3:$N$6,2,FALSE)))</f>
        <v/>
      </c>
      <c r="N40" s="499" t="str">
        <f>IF(L40="","",IF(VLOOKUP(L40,'G-3 Multipliers'!$L$3:$N$6,3,FALSE)=0,"Spatial Data Missing ⚠",VLOOKUP(L40,'G-3 Multipliers'!$L$3:$N$6,3,FALSE)))</f>
        <v/>
      </c>
      <c r="O40" s="498" t="str">
        <f t="shared" si="1"/>
        <v/>
      </c>
      <c r="P40" s="195"/>
      <c r="Q40" s="195"/>
      <c r="R40" s="520" t="str">
        <f t="shared" si="2"/>
        <v/>
      </c>
      <c r="S40" s="544" t="str">
        <f t="shared" si="3"/>
        <v/>
      </c>
      <c r="T40" s="525" t="str">
        <f>IFERROR(IF(S40="Check Data ⚠","Check Data ⚠",VLOOKUP(S40,'G-4 Temporal multipliers'!$A$4:$C$37,3,FALSE)),"")</f>
        <v/>
      </c>
      <c r="U40" s="523" t="str">
        <f>IF(F40="","",VLOOKUP(F40,'G-3 Multipliers'!$A$2:$E$129,2,FALSE))</f>
        <v/>
      </c>
      <c r="V40" s="520" t="str">
        <f t="shared" si="4"/>
        <v/>
      </c>
      <c r="W40" s="520" t="str">
        <f>IF(E40="","",IF(AND(V40="Standard difficulty applied",O40&gt;P40),U40,IF(AND(V40="Low Difficulty - only applicable if all habitat created before losses ⚠",P40&gt;=O40),"Low",VLOOKUP(F40,'G-3 Multipliers'!$A$2:$E$129,4,FALSE))))</f>
        <v/>
      </c>
      <c r="X40" s="524" t="str">
        <f>IFERROR(IF(E40="","",VLOOKUP(W40, 'G-3 Multipliers'!$P$2:$Q$6,2,FALSE)),"")</f>
        <v/>
      </c>
      <c r="Y40" s="197"/>
      <c r="Z40" s="499" t="str">
        <f>IF(Y40="","",IF(VLOOKUP(Y40,'G-3 Multipliers'!$S$3:$T$9,2,FALSE)=0,"Spatial Data Missing ⚠",VLOOKUP(Y40,'G-3 Multipliers'!$S$3:$T$9,2,FALSE)))</f>
        <v/>
      </c>
      <c r="AA40" s="545" t="str">
        <f t="shared" si="0"/>
        <v/>
      </c>
      <c r="AB40" s="149"/>
      <c r="AC40" s="150"/>
    </row>
    <row r="41" spans="1:29" ht="14" x14ac:dyDescent="0.3">
      <c r="A41" s="31" t="str">
        <f>IFERROR(INDEX('G-8 Condition Look up'!$I$4:$I$130,MATCH(F41,'G-8 Condition Look up'!$A$4:$A$130,0)),"")</f>
        <v/>
      </c>
      <c r="C41" s="244" t="str">
        <f>IFERROR(INDEX('G-1 All Habitats'!$AG$3:$AG$15,MATCH(D41,'G-1 All Habitats'!$AF$3:$AF$15,0)),"")</f>
        <v/>
      </c>
      <c r="D41" s="154"/>
      <c r="E41" s="203"/>
      <c r="F41" s="243" t="str">
        <f>IFERROR(INDEX('G-1 All Habitats'!$B$3:$B$129,MATCH(E41,'G-1 All Habitats'!$A$3:$A$129,0)),"")</f>
        <v/>
      </c>
      <c r="G41" s="386"/>
      <c r="H41" s="537" t="str">
        <f>IF(F41="","",VLOOKUP(F41,'G-1 All Habitats'!$B$2:$M$129,10,FALSE))</f>
        <v/>
      </c>
      <c r="I41" s="524" t="str">
        <f>IFERROR(VLOOKUP(H41,'G-1 All Habitats'!$V$3:$W$7,2,FALSE),"")</f>
        <v/>
      </c>
      <c r="J41" s="199"/>
      <c r="K41" s="524" t="str">
        <f>IFERROR(INDEX('G-8 Condition Look up'!$A$3:$H$130,MATCH(F41,'G-8 Condition Look up'!$A$3:$A$130,0),MATCH(J41,'G-8 Condition Look up'!$A$3:$H$3,0)),"")</f>
        <v/>
      </c>
      <c r="L41" s="145"/>
      <c r="M41" s="540" t="str">
        <f>IF(L41="","",IF(VLOOKUP(L41,'G-3 Multipliers'!$L$3:$N$6,2,FALSE)=0,"Spatial Data Missing ⚠",VLOOKUP(L41,'G-3 Multipliers'!$L$3:$N$6,2,FALSE)))</f>
        <v/>
      </c>
      <c r="N41" s="499" t="str">
        <f>IF(L41="","",IF(VLOOKUP(L41,'G-3 Multipliers'!$L$3:$N$6,3,FALSE)=0,"Spatial Data Missing ⚠",VLOOKUP(L41,'G-3 Multipliers'!$L$3:$N$6,3,FALSE)))</f>
        <v/>
      </c>
      <c r="O41" s="498" t="str">
        <f t="shared" si="1"/>
        <v/>
      </c>
      <c r="P41" s="195"/>
      <c r="Q41" s="195"/>
      <c r="R41" s="520" t="str">
        <f t="shared" si="2"/>
        <v/>
      </c>
      <c r="S41" s="544" t="str">
        <f t="shared" si="3"/>
        <v/>
      </c>
      <c r="T41" s="525" t="str">
        <f>IFERROR(IF(S41="Check Data ⚠","Check Data ⚠",VLOOKUP(S41,'G-4 Temporal multipliers'!$A$4:$C$37,3,FALSE)),"")</f>
        <v/>
      </c>
      <c r="U41" s="523" t="str">
        <f>IF(F41="","",VLOOKUP(F41,'G-3 Multipliers'!$A$2:$E$129,2,FALSE))</f>
        <v/>
      </c>
      <c r="V41" s="520" t="str">
        <f t="shared" si="4"/>
        <v/>
      </c>
      <c r="W41" s="520" t="str">
        <f>IF(E41="","",IF(AND(V41="Standard difficulty applied",O41&gt;P41),U41,IF(AND(V41="Low Difficulty - only applicable if all habitat created before losses ⚠",P41&gt;=O41),"Low",VLOOKUP(F41,'G-3 Multipliers'!$A$2:$E$129,4,FALSE))))</f>
        <v/>
      </c>
      <c r="X41" s="524" t="str">
        <f>IFERROR(IF(E41="","",VLOOKUP(W41, 'G-3 Multipliers'!$P$2:$Q$6,2,FALSE)),"")</f>
        <v/>
      </c>
      <c r="Y41" s="197"/>
      <c r="Z41" s="499" t="str">
        <f>IF(Y41="","",IF(VLOOKUP(Y41,'G-3 Multipliers'!$S$3:$T$9,2,FALSE)=0,"Spatial Data Missing ⚠",VLOOKUP(Y41,'G-3 Multipliers'!$S$3:$T$9,2,FALSE)))</f>
        <v/>
      </c>
      <c r="AA41" s="545" t="str">
        <f t="shared" si="0"/>
        <v/>
      </c>
      <c r="AB41" s="149"/>
      <c r="AC41" s="150"/>
    </row>
    <row r="42" spans="1:29" ht="14" x14ac:dyDescent="0.3">
      <c r="A42" s="31" t="str">
        <f>IFERROR(INDEX('G-8 Condition Look up'!$I$4:$I$130,MATCH(F42,'G-8 Condition Look up'!$A$4:$A$130,0)),"")</f>
        <v/>
      </c>
      <c r="C42" s="244" t="str">
        <f>IFERROR(INDEX('G-1 All Habitats'!$AG$3:$AG$15,MATCH(D42,'G-1 All Habitats'!$AF$3:$AF$15,0)),"")</f>
        <v/>
      </c>
      <c r="D42" s="154"/>
      <c r="E42" s="203"/>
      <c r="F42" s="243" t="str">
        <f>IFERROR(INDEX('G-1 All Habitats'!$B$3:$B$129,MATCH(E42,'G-1 All Habitats'!$A$3:$A$129,0)),"")</f>
        <v/>
      </c>
      <c r="G42" s="386"/>
      <c r="H42" s="537" t="str">
        <f>IF(F42="","",VLOOKUP(F42,'G-1 All Habitats'!$B$2:$M$129,10,FALSE))</f>
        <v/>
      </c>
      <c r="I42" s="524" t="str">
        <f>IFERROR(VLOOKUP(H42,'G-1 All Habitats'!$V$3:$W$7,2,FALSE),"")</f>
        <v/>
      </c>
      <c r="J42" s="199"/>
      <c r="K42" s="524" t="str">
        <f>IFERROR(INDEX('G-8 Condition Look up'!$A$3:$H$130,MATCH(F42,'G-8 Condition Look up'!$A$3:$A$130,0),MATCH(J42,'G-8 Condition Look up'!$A$3:$H$3,0)),"")</f>
        <v/>
      </c>
      <c r="L42" s="145"/>
      <c r="M42" s="540" t="str">
        <f>IF(L42="","",IF(VLOOKUP(L42,'G-3 Multipliers'!$L$3:$N$6,2,FALSE)=0,"Spatial Data Missing ⚠",VLOOKUP(L42,'G-3 Multipliers'!$L$3:$N$6,2,FALSE)))</f>
        <v/>
      </c>
      <c r="N42" s="499" t="str">
        <f>IF(L42="","",IF(VLOOKUP(L42,'G-3 Multipliers'!$L$3:$N$6,3,FALSE)=0,"Spatial Data Missing ⚠",VLOOKUP(L42,'G-3 Multipliers'!$L$3:$N$6,3,FALSE)))</f>
        <v/>
      </c>
      <c r="O42" s="498" t="str">
        <f t="shared" si="1"/>
        <v/>
      </c>
      <c r="P42" s="195"/>
      <c r="Q42" s="195"/>
      <c r="R42" s="520" t="str">
        <f t="shared" si="2"/>
        <v/>
      </c>
      <c r="S42" s="544" t="str">
        <f t="shared" si="3"/>
        <v/>
      </c>
      <c r="T42" s="525" t="str">
        <f>IFERROR(IF(S42="Check Data ⚠","Check Data ⚠",VLOOKUP(S42,'G-4 Temporal multipliers'!$A$4:$C$37,3,FALSE)),"")</f>
        <v/>
      </c>
      <c r="U42" s="523" t="str">
        <f>IF(F42="","",VLOOKUP(F42,'G-3 Multipliers'!$A$2:$E$129,2,FALSE))</f>
        <v/>
      </c>
      <c r="V42" s="520" t="str">
        <f t="shared" si="4"/>
        <v/>
      </c>
      <c r="W42" s="520" t="str">
        <f>IF(E42="","",IF(AND(V42="Standard difficulty applied",O42&gt;P42),U42,IF(AND(V42="Low Difficulty - only applicable if all habitat created before losses ⚠",P42&gt;=O42),"Low",VLOOKUP(F42,'G-3 Multipliers'!$A$2:$E$129,4,FALSE))))</f>
        <v/>
      </c>
      <c r="X42" s="524" t="str">
        <f>IFERROR(IF(E42="","",VLOOKUP(W42, 'G-3 Multipliers'!$P$2:$Q$6,2,FALSE)),"")</f>
        <v/>
      </c>
      <c r="Y42" s="197"/>
      <c r="Z42" s="499" t="str">
        <f>IF(Y42="","",IF(VLOOKUP(Y42,'G-3 Multipliers'!$S$3:$T$9,2,FALSE)=0,"Spatial Data Missing ⚠",VLOOKUP(Y42,'G-3 Multipliers'!$S$3:$T$9,2,FALSE)))</f>
        <v/>
      </c>
      <c r="AA42" s="545" t="str">
        <f t="shared" si="0"/>
        <v/>
      </c>
      <c r="AB42" s="149"/>
      <c r="AC42" s="150"/>
    </row>
    <row r="43" spans="1:29" ht="14" x14ac:dyDescent="0.3">
      <c r="A43" s="31" t="str">
        <f>IFERROR(INDEX('G-8 Condition Look up'!$I$4:$I$130,MATCH(F43,'G-8 Condition Look up'!$A$4:$A$130,0)),"")</f>
        <v/>
      </c>
      <c r="C43" s="244" t="str">
        <f>IFERROR(INDEX('G-1 All Habitats'!$AG$3:$AG$15,MATCH(D43,'G-1 All Habitats'!$AF$3:$AF$15,0)),"")</f>
        <v/>
      </c>
      <c r="D43" s="154"/>
      <c r="E43" s="203"/>
      <c r="F43" s="243" t="str">
        <f>IFERROR(INDEX('G-1 All Habitats'!$B$3:$B$129,MATCH(E43,'G-1 All Habitats'!$A$3:$A$129,0)),"")</f>
        <v/>
      </c>
      <c r="G43" s="386"/>
      <c r="H43" s="537" t="str">
        <f>IF(F43="","",VLOOKUP(F43,'G-1 All Habitats'!$B$2:$M$129,10,FALSE))</f>
        <v/>
      </c>
      <c r="I43" s="524" t="str">
        <f>IFERROR(VLOOKUP(H43,'G-1 All Habitats'!$V$3:$W$7,2,FALSE),"")</f>
        <v/>
      </c>
      <c r="J43" s="199"/>
      <c r="K43" s="524" t="str">
        <f>IFERROR(INDEX('G-8 Condition Look up'!$A$3:$H$130,MATCH(F43,'G-8 Condition Look up'!$A$3:$A$130,0),MATCH(J43,'G-8 Condition Look up'!$A$3:$H$3,0)),"")</f>
        <v/>
      </c>
      <c r="L43" s="145"/>
      <c r="M43" s="540" t="str">
        <f>IF(L43="","",IF(VLOOKUP(L43,'G-3 Multipliers'!$L$3:$N$6,2,FALSE)=0,"Spatial Data Missing ⚠",VLOOKUP(L43,'G-3 Multipliers'!$L$3:$N$6,2,FALSE)))</f>
        <v/>
      </c>
      <c r="N43" s="499" t="str">
        <f>IF(L43="","",IF(VLOOKUP(L43,'G-3 Multipliers'!$L$3:$N$6,3,FALSE)=0,"Spatial Data Missing ⚠",VLOOKUP(L43,'G-3 Multipliers'!$L$3:$N$6,3,FALSE)))</f>
        <v/>
      </c>
      <c r="O43" s="498" t="str">
        <f t="shared" si="1"/>
        <v/>
      </c>
      <c r="P43" s="195"/>
      <c r="Q43" s="195"/>
      <c r="R43" s="520" t="str">
        <f t="shared" si="2"/>
        <v/>
      </c>
      <c r="S43" s="544" t="str">
        <f t="shared" si="3"/>
        <v/>
      </c>
      <c r="T43" s="525" t="str">
        <f>IFERROR(IF(S43="Check Data ⚠","Check Data ⚠",VLOOKUP(S43,'G-4 Temporal multipliers'!$A$4:$C$37,3,FALSE)),"")</f>
        <v/>
      </c>
      <c r="U43" s="523" t="str">
        <f>IF(F43="","",VLOOKUP(F43,'G-3 Multipliers'!$A$2:$E$129,2,FALSE))</f>
        <v/>
      </c>
      <c r="V43" s="520" t="str">
        <f t="shared" si="4"/>
        <v/>
      </c>
      <c r="W43" s="520" t="str">
        <f>IF(E43="","",IF(AND(V43="Standard difficulty applied",O43&gt;P43),U43,IF(AND(V43="Low Difficulty - only applicable if all habitat created before losses ⚠",P43&gt;=O43),"Low",VLOOKUP(F43,'G-3 Multipliers'!$A$2:$E$129,4,FALSE))))</f>
        <v/>
      </c>
      <c r="X43" s="524" t="str">
        <f>IFERROR(IF(E43="","",VLOOKUP(W43, 'G-3 Multipliers'!$P$2:$Q$6,2,FALSE)),"")</f>
        <v/>
      </c>
      <c r="Y43" s="197"/>
      <c r="Z43" s="499" t="str">
        <f>IF(Y43="","",IF(VLOOKUP(Y43,'G-3 Multipliers'!$S$3:$T$9,2,FALSE)=0,"Spatial Data Missing ⚠",VLOOKUP(Y43,'G-3 Multipliers'!$S$3:$T$9,2,FALSE)))</f>
        <v/>
      </c>
      <c r="AA43" s="545" t="str">
        <f t="shared" si="0"/>
        <v/>
      </c>
      <c r="AB43" s="149"/>
      <c r="AC43" s="150"/>
    </row>
    <row r="44" spans="1:29" ht="14" x14ac:dyDescent="0.3">
      <c r="A44" s="31" t="str">
        <f>IFERROR(INDEX('G-8 Condition Look up'!$I$4:$I$130,MATCH(F44,'G-8 Condition Look up'!$A$4:$A$130,0)),"")</f>
        <v/>
      </c>
      <c r="C44" s="244" t="str">
        <f>IFERROR(INDEX('G-1 All Habitats'!$AG$3:$AG$15,MATCH(D44,'G-1 All Habitats'!$AF$3:$AF$15,0)),"")</f>
        <v/>
      </c>
      <c r="D44" s="154"/>
      <c r="E44" s="203"/>
      <c r="F44" s="243" t="str">
        <f>IFERROR(INDEX('G-1 All Habitats'!$B$3:$B$129,MATCH(E44,'G-1 All Habitats'!$A$3:$A$129,0)),"")</f>
        <v/>
      </c>
      <c r="G44" s="386"/>
      <c r="H44" s="537" t="str">
        <f>IF(F44="","",VLOOKUP(F44,'G-1 All Habitats'!$B$2:$M$129,10,FALSE))</f>
        <v/>
      </c>
      <c r="I44" s="524" t="str">
        <f>IFERROR(VLOOKUP(H44,'G-1 All Habitats'!$V$3:$W$7,2,FALSE),"")</f>
        <v/>
      </c>
      <c r="J44" s="199"/>
      <c r="K44" s="524" t="str">
        <f>IFERROR(INDEX('G-8 Condition Look up'!$A$3:$H$130,MATCH(F44,'G-8 Condition Look up'!$A$3:$A$130,0),MATCH(J44,'G-8 Condition Look up'!$A$3:$H$3,0)),"")</f>
        <v/>
      </c>
      <c r="L44" s="145"/>
      <c r="M44" s="540" t="str">
        <f>IF(L44="","",IF(VLOOKUP(L44,'G-3 Multipliers'!$L$3:$N$6,2,FALSE)=0,"Spatial Data Missing ⚠",VLOOKUP(L44,'G-3 Multipliers'!$L$3:$N$6,2,FALSE)))</f>
        <v/>
      </c>
      <c r="N44" s="499" t="str">
        <f>IF(L44="","",IF(VLOOKUP(L44,'G-3 Multipliers'!$L$3:$N$6,3,FALSE)=0,"Spatial Data Missing ⚠",VLOOKUP(L44,'G-3 Multipliers'!$L$3:$N$6,3,FALSE)))</f>
        <v/>
      </c>
      <c r="O44" s="498" t="str">
        <f t="shared" si="1"/>
        <v/>
      </c>
      <c r="P44" s="195"/>
      <c r="Q44" s="195"/>
      <c r="R44" s="520" t="str">
        <f t="shared" si="2"/>
        <v/>
      </c>
      <c r="S44" s="544" t="str">
        <f t="shared" si="3"/>
        <v/>
      </c>
      <c r="T44" s="525" t="str">
        <f>IFERROR(IF(S44="Check Data ⚠","Check Data ⚠",VLOOKUP(S44,'G-4 Temporal multipliers'!$A$4:$C$37,3,FALSE)),"")</f>
        <v/>
      </c>
      <c r="U44" s="523" t="str">
        <f>IF(F44="","",VLOOKUP(F44,'G-3 Multipliers'!$A$2:$E$129,2,FALSE))</f>
        <v/>
      </c>
      <c r="V44" s="520" t="str">
        <f t="shared" si="4"/>
        <v/>
      </c>
      <c r="W44" s="520" t="str">
        <f>IF(E44="","",IF(AND(V44="Standard difficulty applied",O44&gt;P44),U44,IF(AND(V44="Low Difficulty - only applicable if all habitat created before losses ⚠",P44&gt;=O44),"Low",VLOOKUP(F44,'G-3 Multipliers'!$A$2:$E$129,4,FALSE))))</f>
        <v/>
      </c>
      <c r="X44" s="524" t="str">
        <f>IFERROR(IF(E44="","",VLOOKUP(W44, 'G-3 Multipliers'!$P$2:$Q$6,2,FALSE)),"")</f>
        <v/>
      </c>
      <c r="Y44" s="197"/>
      <c r="Z44" s="499" t="str">
        <f>IF(Y44="","",IF(VLOOKUP(Y44,'G-3 Multipliers'!$S$3:$T$9,2,FALSE)=0,"Spatial Data Missing ⚠",VLOOKUP(Y44,'G-3 Multipliers'!$S$3:$T$9,2,FALSE)))</f>
        <v/>
      </c>
      <c r="AA44" s="545" t="str">
        <f t="shared" si="0"/>
        <v/>
      </c>
      <c r="AB44" s="149"/>
      <c r="AC44" s="150"/>
    </row>
    <row r="45" spans="1:29" ht="14" x14ac:dyDescent="0.3">
      <c r="A45" s="31" t="str">
        <f>IFERROR(INDEX('G-8 Condition Look up'!$I$4:$I$130,MATCH(F45,'G-8 Condition Look up'!$A$4:$A$130,0)),"")</f>
        <v/>
      </c>
      <c r="C45" s="244" t="str">
        <f>IFERROR(INDEX('G-1 All Habitats'!$AG$3:$AG$15,MATCH(D45,'G-1 All Habitats'!$AF$3:$AF$15,0)),"")</f>
        <v/>
      </c>
      <c r="D45" s="154"/>
      <c r="E45" s="203"/>
      <c r="F45" s="243" t="str">
        <f>IFERROR(INDEX('G-1 All Habitats'!$B$3:$B$129,MATCH(E45,'G-1 All Habitats'!$A$3:$A$129,0)),"")</f>
        <v/>
      </c>
      <c r="G45" s="386"/>
      <c r="H45" s="537" t="str">
        <f>IF(F45="","",VLOOKUP(F45,'G-1 All Habitats'!$B$2:$M$129,10,FALSE))</f>
        <v/>
      </c>
      <c r="I45" s="524" t="str">
        <f>IFERROR(VLOOKUP(H45,'G-1 All Habitats'!$V$3:$W$7,2,FALSE),"")</f>
        <v/>
      </c>
      <c r="J45" s="199"/>
      <c r="K45" s="524" t="str">
        <f>IFERROR(INDEX('G-8 Condition Look up'!$A$3:$H$130,MATCH(F45,'G-8 Condition Look up'!$A$3:$A$130,0),MATCH(J45,'G-8 Condition Look up'!$A$3:$H$3,0)),"")</f>
        <v/>
      </c>
      <c r="L45" s="145"/>
      <c r="M45" s="540" t="str">
        <f>IF(L45="","",IF(VLOOKUP(L45,'G-3 Multipliers'!$L$3:$N$6,2,FALSE)=0,"Spatial Data Missing ⚠",VLOOKUP(L45,'G-3 Multipliers'!$L$3:$N$6,2,FALSE)))</f>
        <v/>
      </c>
      <c r="N45" s="499" t="str">
        <f>IF(L45="","",IF(VLOOKUP(L45,'G-3 Multipliers'!$L$3:$N$6,3,FALSE)=0,"Spatial Data Missing ⚠",VLOOKUP(L45,'G-3 Multipliers'!$L$3:$N$6,3,FALSE)))</f>
        <v/>
      </c>
      <c r="O45" s="498" t="str">
        <f t="shared" si="1"/>
        <v/>
      </c>
      <c r="P45" s="195"/>
      <c r="Q45" s="195"/>
      <c r="R45" s="520" t="str">
        <f t="shared" si="2"/>
        <v/>
      </c>
      <c r="S45" s="544" t="str">
        <f t="shared" si="3"/>
        <v/>
      </c>
      <c r="T45" s="525" t="str">
        <f>IFERROR(IF(S45="Check Data ⚠","Check Data ⚠",VLOOKUP(S45,'G-4 Temporal multipliers'!$A$4:$C$37,3,FALSE)),"")</f>
        <v/>
      </c>
      <c r="U45" s="523" t="str">
        <f>IF(F45="","",VLOOKUP(F45,'G-3 Multipliers'!$A$2:$E$129,2,FALSE))</f>
        <v/>
      </c>
      <c r="V45" s="520" t="str">
        <f t="shared" si="4"/>
        <v/>
      </c>
      <c r="W45" s="520" t="str">
        <f>IF(E45="","",IF(AND(V45="Standard difficulty applied",O45&gt;P45),U45,IF(AND(V45="Low Difficulty - only applicable if all habitat created before losses ⚠",P45&gt;=O45),"Low",VLOOKUP(F45,'G-3 Multipliers'!$A$2:$E$129,4,FALSE))))</f>
        <v/>
      </c>
      <c r="X45" s="524" t="str">
        <f>IFERROR(IF(E45="","",VLOOKUP(W45, 'G-3 Multipliers'!$P$2:$Q$6,2,FALSE)),"")</f>
        <v/>
      </c>
      <c r="Y45" s="197"/>
      <c r="Z45" s="499" t="str">
        <f>IF(Y45="","",IF(VLOOKUP(Y45,'G-3 Multipliers'!$S$3:$T$9,2,FALSE)=0,"Spatial Data Missing ⚠",VLOOKUP(Y45,'G-3 Multipliers'!$S$3:$T$9,2,FALSE)))</f>
        <v/>
      </c>
      <c r="AA45" s="545" t="str">
        <f t="shared" si="0"/>
        <v/>
      </c>
      <c r="AB45" s="149"/>
      <c r="AC45" s="150"/>
    </row>
    <row r="46" spans="1:29" ht="14" x14ac:dyDescent="0.3">
      <c r="A46" s="31" t="str">
        <f>IFERROR(INDEX('G-8 Condition Look up'!$I$4:$I$130,MATCH(F46,'G-8 Condition Look up'!$A$4:$A$130,0)),"")</f>
        <v/>
      </c>
      <c r="C46" s="244" t="str">
        <f>IFERROR(INDEX('G-1 All Habitats'!$AG$3:$AG$15,MATCH(D46,'G-1 All Habitats'!$AF$3:$AF$15,0)),"")</f>
        <v/>
      </c>
      <c r="D46" s="154"/>
      <c r="E46" s="203"/>
      <c r="F46" s="243" t="str">
        <f>IFERROR(INDEX('G-1 All Habitats'!$B$3:$B$129,MATCH(E46,'G-1 All Habitats'!$A$3:$A$129,0)),"")</f>
        <v/>
      </c>
      <c r="G46" s="386"/>
      <c r="H46" s="537" t="str">
        <f>IF(F46="","",VLOOKUP(F46,'G-1 All Habitats'!$B$2:$M$129,10,FALSE))</f>
        <v/>
      </c>
      <c r="I46" s="524" t="str">
        <f>IFERROR(VLOOKUP(H46,'G-1 All Habitats'!$V$3:$W$7,2,FALSE),"")</f>
        <v/>
      </c>
      <c r="J46" s="199"/>
      <c r="K46" s="524" t="str">
        <f>IFERROR(INDEX('G-8 Condition Look up'!$A$3:$H$130,MATCH(F46,'G-8 Condition Look up'!$A$3:$A$130,0),MATCH(J46,'G-8 Condition Look up'!$A$3:$H$3,0)),"")</f>
        <v/>
      </c>
      <c r="L46" s="145"/>
      <c r="M46" s="540" t="str">
        <f>IF(L46="","",IF(VLOOKUP(L46,'G-3 Multipliers'!$L$3:$N$6,2,FALSE)=0,"Spatial Data Missing ⚠",VLOOKUP(L46,'G-3 Multipliers'!$L$3:$N$6,2,FALSE)))</f>
        <v/>
      </c>
      <c r="N46" s="499" t="str">
        <f>IF(L46="","",IF(VLOOKUP(L46,'G-3 Multipliers'!$L$3:$N$6,3,FALSE)=0,"Spatial Data Missing ⚠",VLOOKUP(L46,'G-3 Multipliers'!$L$3:$N$6,3,FALSE)))</f>
        <v/>
      </c>
      <c r="O46" s="498" t="str">
        <f t="shared" si="1"/>
        <v/>
      </c>
      <c r="P46" s="195"/>
      <c r="Q46" s="195"/>
      <c r="R46" s="520" t="str">
        <f t="shared" si="2"/>
        <v/>
      </c>
      <c r="S46" s="544" t="str">
        <f t="shared" si="3"/>
        <v/>
      </c>
      <c r="T46" s="525" t="str">
        <f>IFERROR(IF(S46="Check Data ⚠","Check Data ⚠",VLOOKUP(S46,'G-4 Temporal multipliers'!$A$4:$C$37,3,FALSE)),"")</f>
        <v/>
      </c>
      <c r="U46" s="523" t="str">
        <f>IF(F46="","",VLOOKUP(F46,'G-3 Multipliers'!$A$2:$E$129,2,FALSE))</f>
        <v/>
      </c>
      <c r="V46" s="520" t="str">
        <f t="shared" si="4"/>
        <v/>
      </c>
      <c r="W46" s="520" t="str">
        <f>IF(E46="","",IF(AND(V46="Standard difficulty applied",O46&gt;P46),U46,IF(AND(V46="Low Difficulty - only applicable if all habitat created before losses ⚠",P46&gt;=O46),"Low",VLOOKUP(F46,'G-3 Multipliers'!$A$2:$E$129,4,FALSE))))</f>
        <v/>
      </c>
      <c r="X46" s="524" t="str">
        <f>IFERROR(IF(E46="","",VLOOKUP(W46, 'G-3 Multipliers'!$P$2:$Q$6,2,FALSE)),"")</f>
        <v/>
      </c>
      <c r="Y46" s="197"/>
      <c r="Z46" s="499" t="str">
        <f>IF(Y46="","",IF(VLOOKUP(Y46,'G-3 Multipliers'!$S$3:$T$9,2,FALSE)=0,"Spatial Data Missing ⚠",VLOOKUP(Y46,'G-3 Multipliers'!$S$3:$T$9,2,FALSE)))</f>
        <v/>
      </c>
      <c r="AA46" s="545" t="str">
        <f t="shared" si="0"/>
        <v/>
      </c>
      <c r="AB46" s="149"/>
      <c r="AC46" s="150"/>
    </row>
    <row r="47" spans="1:29" ht="14" x14ac:dyDescent="0.3">
      <c r="A47" s="31" t="str">
        <f>IFERROR(INDEX('G-8 Condition Look up'!$I$4:$I$130,MATCH(F47,'G-8 Condition Look up'!$A$4:$A$130,0)),"")</f>
        <v/>
      </c>
      <c r="C47" s="244" t="str">
        <f>IFERROR(INDEX('G-1 All Habitats'!$AG$3:$AG$15,MATCH(D47,'G-1 All Habitats'!$AF$3:$AF$15,0)),"")</f>
        <v/>
      </c>
      <c r="D47" s="154"/>
      <c r="E47" s="203"/>
      <c r="F47" s="243" t="str">
        <f>IFERROR(INDEX('G-1 All Habitats'!$B$3:$B$129,MATCH(E47,'G-1 All Habitats'!$A$3:$A$129,0)),"")</f>
        <v/>
      </c>
      <c r="G47" s="386"/>
      <c r="H47" s="537" t="str">
        <f>IF(F47="","",VLOOKUP(F47,'G-1 All Habitats'!$B$2:$M$129,10,FALSE))</f>
        <v/>
      </c>
      <c r="I47" s="524" t="str">
        <f>IFERROR(VLOOKUP(H47,'G-1 All Habitats'!$V$3:$W$7,2,FALSE),"")</f>
        <v/>
      </c>
      <c r="J47" s="199"/>
      <c r="K47" s="524" t="str">
        <f>IFERROR(INDEX('G-8 Condition Look up'!$A$3:$H$130,MATCH(F47,'G-8 Condition Look up'!$A$3:$A$130,0),MATCH(J47,'G-8 Condition Look up'!$A$3:$H$3,0)),"")</f>
        <v/>
      </c>
      <c r="L47" s="145"/>
      <c r="M47" s="540" t="str">
        <f>IF(L47="","",IF(VLOOKUP(L47,'G-3 Multipliers'!$L$3:$N$6,2,FALSE)=0,"Spatial Data Missing ⚠",VLOOKUP(L47,'G-3 Multipliers'!$L$3:$N$6,2,FALSE)))</f>
        <v/>
      </c>
      <c r="N47" s="499" t="str">
        <f>IF(L47="","",IF(VLOOKUP(L47,'G-3 Multipliers'!$L$3:$N$6,3,FALSE)=0,"Spatial Data Missing ⚠",VLOOKUP(L47,'G-3 Multipliers'!$L$3:$N$6,3,FALSE)))</f>
        <v/>
      </c>
      <c r="O47" s="498" t="str">
        <f t="shared" si="1"/>
        <v/>
      </c>
      <c r="P47" s="195"/>
      <c r="Q47" s="195"/>
      <c r="R47" s="520" t="str">
        <f t="shared" si="2"/>
        <v/>
      </c>
      <c r="S47" s="544" t="str">
        <f t="shared" si="3"/>
        <v/>
      </c>
      <c r="T47" s="525" t="str">
        <f>IFERROR(IF(S47="Check Data ⚠","Check Data ⚠",VLOOKUP(S47,'G-4 Temporal multipliers'!$A$4:$C$37,3,FALSE)),"")</f>
        <v/>
      </c>
      <c r="U47" s="523" t="str">
        <f>IF(F47="","",VLOOKUP(F47,'G-3 Multipliers'!$A$2:$E$129,2,FALSE))</f>
        <v/>
      </c>
      <c r="V47" s="520" t="str">
        <f t="shared" si="4"/>
        <v/>
      </c>
      <c r="W47" s="520" t="str">
        <f>IF(E47="","",IF(AND(V47="Standard difficulty applied",O47&gt;P47),U47,IF(AND(V47="Low Difficulty - only applicable if all habitat created before losses ⚠",P47&gt;=O47),"Low",VLOOKUP(F47,'G-3 Multipliers'!$A$2:$E$129,4,FALSE))))</f>
        <v/>
      </c>
      <c r="X47" s="524" t="str">
        <f>IFERROR(IF(E47="","",VLOOKUP(W47, 'G-3 Multipliers'!$P$2:$Q$6,2,FALSE)),"")</f>
        <v/>
      </c>
      <c r="Y47" s="197"/>
      <c r="Z47" s="499" t="str">
        <f>IF(Y47="","",IF(VLOOKUP(Y47,'G-3 Multipliers'!$S$3:$T$9,2,FALSE)=0,"Spatial Data Missing ⚠",VLOOKUP(Y47,'G-3 Multipliers'!$S$3:$T$9,2,FALSE)))</f>
        <v/>
      </c>
      <c r="AA47" s="545" t="str">
        <f t="shared" si="0"/>
        <v/>
      </c>
      <c r="AB47" s="149"/>
      <c r="AC47" s="150"/>
    </row>
    <row r="48" spans="1:29" ht="14" x14ac:dyDescent="0.3">
      <c r="A48" s="31" t="str">
        <f>IFERROR(INDEX('G-8 Condition Look up'!$I$4:$I$130,MATCH(F48,'G-8 Condition Look up'!$A$4:$A$130,0)),"")</f>
        <v/>
      </c>
      <c r="C48" s="244" t="str">
        <f>IFERROR(INDEX('G-1 All Habitats'!$AG$3:$AG$15,MATCH(D48,'G-1 All Habitats'!$AF$3:$AF$15,0)),"")</f>
        <v/>
      </c>
      <c r="D48" s="154"/>
      <c r="E48" s="203"/>
      <c r="F48" s="243" t="str">
        <f>IFERROR(INDEX('G-1 All Habitats'!$B$3:$B$129,MATCH(E48,'G-1 All Habitats'!$A$3:$A$129,0)),"")</f>
        <v/>
      </c>
      <c r="G48" s="386"/>
      <c r="H48" s="537" t="str">
        <f>IF(F48="","",VLOOKUP(F48,'G-1 All Habitats'!$B$2:$M$129,10,FALSE))</f>
        <v/>
      </c>
      <c r="I48" s="524" t="str">
        <f>IFERROR(VLOOKUP(H48,'G-1 All Habitats'!$V$3:$W$7,2,FALSE),"")</f>
        <v/>
      </c>
      <c r="J48" s="199"/>
      <c r="K48" s="524" t="str">
        <f>IFERROR(INDEX('G-8 Condition Look up'!$A$3:$H$130,MATCH(F48,'G-8 Condition Look up'!$A$3:$A$130,0),MATCH(J48,'G-8 Condition Look up'!$A$3:$H$3,0)),"")</f>
        <v/>
      </c>
      <c r="L48" s="145"/>
      <c r="M48" s="540" t="str">
        <f>IF(L48="","",IF(VLOOKUP(L48,'G-3 Multipliers'!$L$3:$N$6,2,FALSE)=0,"Spatial Data Missing ⚠",VLOOKUP(L48,'G-3 Multipliers'!$L$3:$N$6,2,FALSE)))</f>
        <v/>
      </c>
      <c r="N48" s="499" t="str">
        <f>IF(L48="","",IF(VLOOKUP(L48,'G-3 Multipliers'!$L$3:$N$6,3,FALSE)=0,"Spatial Data Missing ⚠",VLOOKUP(L48,'G-3 Multipliers'!$L$3:$N$6,3,FALSE)))</f>
        <v/>
      </c>
      <c r="O48" s="498" t="str">
        <f t="shared" si="1"/>
        <v/>
      </c>
      <c r="P48" s="195"/>
      <c r="Q48" s="195"/>
      <c r="R48" s="520" t="str">
        <f t="shared" si="2"/>
        <v/>
      </c>
      <c r="S48" s="544" t="str">
        <f t="shared" si="3"/>
        <v/>
      </c>
      <c r="T48" s="525" t="str">
        <f>IFERROR(IF(S48="Check Data ⚠","Check Data ⚠",VLOOKUP(S48,'G-4 Temporal multipliers'!$A$4:$C$37,3,FALSE)),"")</f>
        <v/>
      </c>
      <c r="U48" s="523" t="str">
        <f>IF(F48="","",VLOOKUP(F48,'G-3 Multipliers'!$A$2:$E$129,2,FALSE))</f>
        <v/>
      </c>
      <c r="V48" s="520" t="str">
        <f t="shared" si="4"/>
        <v/>
      </c>
      <c r="W48" s="520" t="str">
        <f>IF(E48="","",IF(AND(V48="Standard difficulty applied",O48&gt;P48),U48,IF(AND(V48="Low Difficulty - only applicable if all habitat created before losses ⚠",P48&gt;=O48),"Low",VLOOKUP(F48,'G-3 Multipliers'!$A$2:$E$129,4,FALSE))))</f>
        <v/>
      </c>
      <c r="X48" s="524" t="str">
        <f>IFERROR(IF(E48="","",VLOOKUP(W48, 'G-3 Multipliers'!$P$2:$Q$6,2,FALSE)),"")</f>
        <v/>
      </c>
      <c r="Y48" s="197"/>
      <c r="Z48" s="499" t="str">
        <f>IF(Y48="","",IF(VLOOKUP(Y48,'G-3 Multipliers'!$S$3:$T$9,2,FALSE)=0,"Spatial Data Missing ⚠",VLOOKUP(Y48,'G-3 Multipliers'!$S$3:$T$9,2,FALSE)))</f>
        <v/>
      </c>
      <c r="AA48" s="545" t="str">
        <f t="shared" si="0"/>
        <v/>
      </c>
      <c r="AB48" s="149"/>
      <c r="AC48" s="150"/>
    </row>
    <row r="49" spans="1:29" ht="14" x14ac:dyDescent="0.3">
      <c r="A49" s="31" t="str">
        <f>IFERROR(INDEX('G-8 Condition Look up'!$I$4:$I$130,MATCH(F49,'G-8 Condition Look up'!$A$4:$A$130,0)),"")</f>
        <v/>
      </c>
      <c r="C49" s="244" t="str">
        <f>IFERROR(INDEX('G-1 All Habitats'!$AG$3:$AG$15,MATCH(D49,'G-1 All Habitats'!$AF$3:$AF$15,0)),"")</f>
        <v/>
      </c>
      <c r="D49" s="154"/>
      <c r="E49" s="203"/>
      <c r="F49" s="243" t="str">
        <f>IFERROR(INDEX('G-1 All Habitats'!$B$3:$B$129,MATCH(E49,'G-1 All Habitats'!$A$3:$A$129,0)),"")</f>
        <v/>
      </c>
      <c r="G49" s="386"/>
      <c r="H49" s="537" t="str">
        <f>IF(F49="","",VLOOKUP(F49,'G-1 All Habitats'!$B$2:$M$129,10,FALSE))</f>
        <v/>
      </c>
      <c r="I49" s="524" t="str">
        <f>IFERROR(VLOOKUP(H49,'G-1 All Habitats'!$V$3:$W$7,2,FALSE),"")</f>
        <v/>
      </c>
      <c r="J49" s="199"/>
      <c r="K49" s="524" t="str">
        <f>IFERROR(INDEX('G-8 Condition Look up'!$A$3:$H$130,MATCH(F49,'G-8 Condition Look up'!$A$3:$A$130,0),MATCH(J49,'G-8 Condition Look up'!$A$3:$H$3,0)),"")</f>
        <v/>
      </c>
      <c r="L49" s="145"/>
      <c r="M49" s="540" t="str">
        <f>IF(L49="","",IF(VLOOKUP(L49,'G-3 Multipliers'!$L$3:$N$6,2,FALSE)=0,"Spatial Data Missing ⚠",VLOOKUP(L49,'G-3 Multipliers'!$L$3:$N$6,2,FALSE)))</f>
        <v/>
      </c>
      <c r="N49" s="499" t="str">
        <f>IF(L49="","",IF(VLOOKUP(L49,'G-3 Multipliers'!$L$3:$N$6,3,FALSE)=0,"Spatial Data Missing ⚠",VLOOKUP(L49,'G-3 Multipliers'!$L$3:$N$6,3,FALSE)))</f>
        <v/>
      </c>
      <c r="O49" s="498" t="str">
        <f t="shared" si="1"/>
        <v/>
      </c>
      <c r="P49" s="195"/>
      <c r="Q49" s="195"/>
      <c r="R49" s="520" t="str">
        <f t="shared" si="2"/>
        <v/>
      </c>
      <c r="S49" s="544" t="str">
        <f t="shared" si="3"/>
        <v/>
      </c>
      <c r="T49" s="525" t="str">
        <f>IFERROR(IF(S49="Check Data ⚠","Check Data ⚠",VLOOKUP(S49,'G-4 Temporal multipliers'!$A$4:$C$37,3,FALSE)),"")</f>
        <v/>
      </c>
      <c r="U49" s="523" t="str">
        <f>IF(F49="","",VLOOKUP(F49,'G-3 Multipliers'!$A$2:$E$129,2,FALSE))</f>
        <v/>
      </c>
      <c r="V49" s="520" t="str">
        <f t="shared" si="4"/>
        <v/>
      </c>
      <c r="W49" s="520" t="str">
        <f>IF(E49="","",IF(AND(V49="Standard difficulty applied",O49&gt;P49),U49,IF(AND(V49="Low Difficulty - only applicable if all habitat created before losses ⚠",P49&gt;=O49),"Low",VLOOKUP(F49,'G-3 Multipliers'!$A$2:$E$129,4,FALSE))))</f>
        <v/>
      </c>
      <c r="X49" s="524" t="str">
        <f>IFERROR(IF(E49="","",VLOOKUP(W49, 'G-3 Multipliers'!$P$2:$Q$6,2,FALSE)),"")</f>
        <v/>
      </c>
      <c r="Y49" s="197"/>
      <c r="Z49" s="499" t="str">
        <f>IF(Y49="","",IF(VLOOKUP(Y49,'G-3 Multipliers'!$S$3:$T$9,2,FALSE)=0,"Spatial Data Missing ⚠",VLOOKUP(Y49,'G-3 Multipliers'!$S$3:$T$9,2,FALSE)))</f>
        <v/>
      </c>
      <c r="AA49" s="545" t="str">
        <f t="shared" si="0"/>
        <v/>
      </c>
      <c r="AB49" s="149"/>
      <c r="AC49" s="150"/>
    </row>
    <row r="50" spans="1:29" ht="14" x14ac:dyDescent="0.3">
      <c r="A50" s="31" t="str">
        <f>IFERROR(INDEX('G-8 Condition Look up'!$I$4:$I$130,MATCH(F50,'G-8 Condition Look up'!$A$4:$A$130,0)),"")</f>
        <v/>
      </c>
      <c r="C50" s="244" t="str">
        <f>IFERROR(INDEX('G-1 All Habitats'!$AG$3:$AG$15,MATCH(D50,'G-1 All Habitats'!$AF$3:$AF$15,0)),"")</f>
        <v/>
      </c>
      <c r="D50" s="154"/>
      <c r="E50" s="203"/>
      <c r="F50" s="243" t="str">
        <f>IFERROR(INDEX('G-1 All Habitats'!$B$3:$B$129,MATCH(E50,'G-1 All Habitats'!$A$3:$A$129,0)),"")</f>
        <v/>
      </c>
      <c r="G50" s="386"/>
      <c r="H50" s="537" t="str">
        <f>IF(F50="","",VLOOKUP(F50,'G-1 All Habitats'!$B$2:$M$129,10,FALSE))</f>
        <v/>
      </c>
      <c r="I50" s="524" t="str">
        <f>IFERROR(VLOOKUP(H50,'G-1 All Habitats'!$V$3:$W$7,2,FALSE),"")</f>
        <v/>
      </c>
      <c r="J50" s="199"/>
      <c r="K50" s="524" t="str">
        <f>IFERROR(INDEX('G-8 Condition Look up'!$A$3:$H$130,MATCH(F50,'G-8 Condition Look up'!$A$3:$A$130,0),MATCH(J50,'G-8 Condition Look up'!$A$3:$H$3,0)),"")</f>
        <v/>
      </c>
      <c r="L50" s="145"/>
      <c r="M50" s="540" t="str">
        <f>IF(L50="","",IF(VLOOKUP(L50,'G-3 Multipliers'!$L$3:$N$6,2,FALSE)=0,"Spatial Data Missing ⚠",VLOOKUP(L50,'G-3 Multipliers'!$L$3:$N$6,2,FALSE)))</f>
        <v/>
      </c>
      <c r="N50" s="499" t="str">
        <f>IF(L50="","",IF(VLOOKUP(L50,'G-3 Multipliers'!$L$3:$N$6,3,FALSE)=0,"Spatial Data Missing ⚠",VLOOKUP(L50,'G-3 Multipliers'!$L$3:$N$6,3,FALSE)))</f>
        <v/>
      </c>
      <c r="O50" s="498" t="str">
        <f t="shared" si="1"/>
        <v/>
      </c>
      <c r="P50" s="195"/>
      <c r="Q50" s="195"/>
      <c r="R50" s="520" t="str">
        <f t="shared" si="2"/>
        <v/>
      </c>
      <c r="S50" s="544" t="str">
        <f t="shared" si="3"/>
        <v/>
      </c>
      <c r="T50" s="525" t="str">
        <f>IFERROR(IF(S50="Check Data ⚠","Check Data ⚠",VLOOKUP(S50,'G-4 Temporal multipliers'!$A$4:$C$37,3,FALSE)),"")</f>
        <v/>
      </c>
      <c r="U50" s="523" t="str">
        <f>IF(F50="","",VLOOKUP(F50,'G-3 Multipliers'!$A$2:$E$129,2,FALSE))</f>
        <v/>
      </c>
      <c r="V50" s="520" t="str">
        <f t="shared" si="4"/>
        <v/>
      </c>
      <c r="W50" s="520" t="str">
        <f>IF(E50="","",IF(AND(V50="Standard difficulty applied",O50&gt;P50),U50,IF(AND(V50="Low Difficulty - only applicable if all habitat created before losses ⚠",P50&gt;=O50),"Low",VLOOKUP(F50,'G-3 Multipliers'!$A$2:$E$129,4,FALSE))))</f>
        <v/>
      </c>
      <c r="X50" s="524" t="str">
        <f>IFERROR(IF(E50="","",VLOOKUP(W50, 'G-3 Multipliers'!$P$2:$Q$6,2,FALSE)),"")</f>
        <v/>
      </c>
      <c r="Y50" s="197"/>
      <c r="Z50" s="499" t="str">
        <f>IF(Y50="","",IF(VLOOKUP(Y50,'G-3 Multipliers'!$S$3:$T$9,2,FALSE)=0,"Spatial Data Missing ⚠",VLOOKUP(Y50,'G-3 Multipliers'!$S$3:$T$9,2,FALSE)))</f>
        <v/>
      </c>
      <c r="AA50" s="545" t="str">
        <f t="shared" si="0"/>
        <v/>
      </c>
      <c r="AB50" s="149"/>
      <c r="AC50" s="150"/>
    </row>
    <row r="51" spans="1:29" ht="14" x14ac:dyDescent="0.3">
      <c r="A51" s="31" t="str">
        <f>IFERROR(INDEX('G-8 Condition Look up'!$I$4:$I$130,MATCH(F51,'G-8 Condition Look up'!$A$4:$A$130,0)),"")</f>
        <v/>
      </c>
      <c r="C51" s="244" t="str">
        <f>IFERROR(INDEX('G-1 All Habitats'!$AG$3:$AG$15,MATCH(D51,'G-1 All Habitats'!$AF$3:$AF$15,0)),"")</f>
        <v/>
      </c>
      <c r="D51" s="154"/>
      <c r="E51" s="203"/>
      <c r="F51" s="243" t="str">
        <f>IFERROR(INDEX('G-1 All Habitats'!$B$3:$B$129,MATCH(E51,'G-1 All Habitats'!$A$3:$A$129,0)),"")</f>
        <v/>
      </c>
      <c r="G51" s="386"/>
      <c r="H51" s="537" t="str">
        <f>IF(F51="","",VLOOKUP(F51,'G-1 All Habitats'!$B$2:$M$129,10,FALSE))</f>
        <v/>
      </c>
      <c r="I51" s="524" t="str">
        <f>IFERROR(VLOOKUP(H51,'G-1 All Habitats'!$V$3:$W$7,2,FALSE),"")</f>
        <v/>
      </c>
      <c r="J51" s="199"/>
      <c r="K51" s="524" t="str">
        <f>IFERROR(INDEX('G-8 Condition Look up'!$A$3:$H$130,MATCH(F51,'G-8 Condition Look up'!$A$3:$A$130,0),MATCH(J51,'G-8 Condition Look up'!$A$3:$H$3,0)),"")</f>
        <v/>
      </c>
      <c r="L51" s="145"/>
      <c r="M51" s="540" t="str">
        <f>IF(L51="","",IF(VLOOKUP(L51,'G-3 Multipliers'!$L$3:$N$6,2,FALSE)=0,"Spatial Data Missing ⚠",VLOOKUP(L51,'G-3 Multipliers'!$L$3:$N$6,2,FALSE)))</f>
        <v/>
      </c>
      <c r="N51" s="499" t="str">
        <f>IF(L51="","",IF(VLOOKUP(L51,'G-3 Multipliers'!$L$3:$N$6,3,FALSE)=0,"Spatial Data Missing ⚠",VLOOKUP(L51,'G-3 Multipliers'!$L$3:$N$6,3,FALSE)))</f>
        <v/>
      </c>
      <c r="O51" s="498" t="str">
        <f t="shared" si="1"/>
        <v/>
      </c>
      <c r="P51" s="195"/>
      <c r="Q51" s="195"/>
      <c r="R51" s="520" t="str">
        <f t="shared" si="2"/>
        <v/>
      </c>
      <c r="S51" s="544" t="str">
        <f t="shared" si="3"/>
        <v/>
      </c>
      <c r="T51" s="525" t="str">
        <f>IFERROR(IF(S51="Check Data ⚠","Check Data ⚠",VLOOKUP(S51,'G-4 Temporal multipliers'!$A$4:$C$37,3,FALSE)),"")</f>
        <v/>
      </c>
      <c r="U51" s="523" t="str">
        <f>IF(F51="","",VLOOKUP(F51,'G-3 Multipliers'!$A$2:$E$129,2,FALSE))</f>
        <v/>
      </c>
      <c r="V51" s="520" t="str">
        <f t="shared" si="4"/>
        <v/>
      </c>
      <c r="W51" s="520" t="str">
        <f>IF(E51="","",IF(AND(V51="Standard difficulty applied",O51&gt;P51),U51,IF(AND(V51="Low Difficulty - only applicable if all habitat created before losses ⚠",P51&gt;=O51),"Low",VLOOKUP(F51,'G-3 Multipliers'!$A$2:$E$129,4,FALSE))))</f>
        <v/>
      </c>
      <c r="X51" s="524" t="str">
        <f>IFERROR(IF(E51="","",VLOOKUP(W51, 'G-3 Multipliers'!$P$2:$Q$6,2,FALSE)),"")</f>
        <v/>
      </c>
      <c r="Y51" s="197"/>
      <c r="Z51" s="499" t="str">
        <f>IF(Y51="","",IF(VLOOKUP(Y51,'G-3 Multipliers'!$S$3:$T$9,2,FALSE)=0,"Spatial Data Missing ⚠",VLOOKUP(Y51,'G-3 Multipliers'!$S$3:$T$9,2,FALSE)))</f>
        <v/>
      </c>
      <c r="AA51" s="545" t="str">
        <f t="shared" si="0"/>
        <v/>
      </c>
      <c r="AB51" s="149"/>
      <c r="AC51" s="150"/>
    </row>
    <row r="52" spans="1:29" ht="14" x14ac:dyDescent="0.3">
      <c r="A52" s="31" t="str">
        <f>IFERROR(INDEX('G-8 Condition Look up'!$I$4:$I$130,MATCH(F52,'G-8 Condition Look up'!$A$4:$A$130,0)),"")</f>
        <v/>
      </c>
      <c r="C52" s="244" t="str">
        <f>IFERROR(INDEX('G-1 All Habitats'!$AG$3:$AG$15,MATCH(D52,'G-1 All Habitats'!$AF$3:$AF$15,0)),"")</f>
        <v/>
      </c>
      <c r="D52" s="154"/>
      <c r="E52" s="203"/>
      <c r="F52" s="243" t="str">
        <f>IFERROR(INDEX('G-1 All Habitats'!$B$3:$B$129,MATCH(E52,'G-1 All Habitats'!$A$3:$A$129,0)),"")</f>
        <v/>
      </c>
      <c r="G52" s="386"/>
      <c r="H52" s="537" t="str">
        <f>IF(F52="","",VLOOKUP(F52,'G-1 All Habitats'!$B$2:$M$129,10,FALSE))</f>
        <v/>
      </c>
      <c r="I52" s="524" t="str">
        <f>IFERROR(VLOOKUP(H52,'G-1 All Habitats'!$V$3:$W$7,2,FALSE),"")</f>
        <v/>
      </c>
      <c r="J52" s="199"/>
      <c r="K52" s="524" t="str">
        <f>IFERROR(INDEX('G-8 Condition Look up'!$A$3:$H$130,MATCH(F52,'G-8 Condition Look up'!$A$3:$A$130,0),MATCH(J52,'G-8 Condition Look up'!$A$3:$H$3,0)),"")</f>
        <v/>
      </c>
      <c r="L52" s="145"/>
      <c r="M52" s="540" t="str">
        <f>IF(L52="","",IF(VLOOKUP(L52,'G-3 Multipliers'!$L$3:$N$6,2,FALSE)=0,"Spatial Data Missing ⚠",VLOOKUP(L52,'G-3 Multipliers'!$L$3:$N$6,2,FALSE)))</f>
        <v/>
      </c>
      <c r="N52" s="499" t="str">
        <f>IF(L52="","",IF(VLOOKUP(L52,'G-3 Multipliers'!$L$3:$N$6,3,FALSE)=0,"Spatial Data Missing ⚠",VLOOKUP(L52,'G-3 Multipliers'!$L$3:$N$6,3,FALSE)))</f>
        <v/>
      </c>
      <c r="O52" s="498" t="str">
        <f t="shared" si="1"/>
        <v/>
      </c>
      <c r="P52" s="195"/>
      <c r="Q52" s="195"/>
      <c r="R52" s="520" t="str">
        <f t="shared" si="2"/>
        <v/>
      </c>
      <c r="S52" s="544" t="str">
        <f t="shared" si="3"/>
        <v/>
      </c>
      <c r="T52" s="525" t="str">
        <f>IFERROR(IF(S52="Check Data ⚠","Check Data ⚠",VLOOKUP(S52,'G-4 Temporal multipliers'!$A$4:$C$37,3,FALSE)),"")</f>
        <v/>
      </c>
      <c r="U52" s="523" t="str">
        <f>IF(F52="","",VLOOKUP(F52,'G-3 Multipliers'!$A$2:$E$129,2,FALSE))</f>
        <v/>
      </c>
      <c r="V52" s="520" t="str">
        <f t="shared" si="4"/>
        <v/>
      </c>
      <c r="W52" s="520" t="str">
        <f>IF(E52="","",IF(AND(V52="Standard difficulty applied",O52&gt;P52),U52,IF(AND(V52="Low Difficulty - only applicable if all habitat created before losses ⚠",P52&gt;=O52),"Low",VLOOKUP(F52,'G-3 Multipliers'!$A$2:$E$129,4,FALSE))))</f>
        <v/>
      </c>
      <c r="X52" s="524" t="str">
        <f>IFERROR(IF(E52="","",VLOOKUP(W52, 'G-3 Multipliers'!$P$2:$Q$6,2,FALSE)),"")</f>
        <v/>
      </c>
      <c r="Y52" s="197"/>
      <c r="Z52" s="499" t="str">
        <f>IF(Y52="","",IF(VLOOKUP(Y52,'G-3 Multipliers'!$S$3:$T$9,2,FALSE)=0,"Spatial Data Missing ⚠",VLOOKUP(Y52,'G-3 Multipliers'!$S$3:$T$9,2,FALSE)))</f>
        <v/>
      </c>
      <c r="AA52" s="545" t="str">
        <f t="shared" si="0"/>
        <v/>
      </c>
      <c r="AB52" s="149"/>
      <c r="AC52" s="150"/>
    </row>
    <row r="53" spans="1:29" ht="14" x14ac:dyDescent="0.3">
      <c r="A53" s="31" t="str">
        <f>IFERROR(INDEX('G-8 Condition Look up'!$I$4:$I$130,MATCH(F53,'G-8 Condition Look up'!$A$4:$A$130,0)),"")</f>
        <v/>
      </c>
      <c r="C53" s="244" t="str">
        <f>IFERROR(INDEX('G-1 All Habitats'!$AG$3:$AG$15,MATCH(D53,'G-1 All Habitats'!$AF$3:$AF$15,0)),"")</f>
        <v/>
      </c>
      <c r="D53" s="154"/>
      <c r="E53" s="203"/>
      <c r="F53" s="243" t="str">
        <f>IFERROR(INDEX('G-1 All Habitats'!$B$3:$B$129,MATCH(E53,'G-1 All Habitats'!$A$3:$A$129,0)),"")</f>
        <v/>
      </c>
      <c r="G53" s="386"/>
      <c r="H53" s="537" t="str">
        <f>IF(F53="","",VLOOKUP(F53,'G-1 All Habitats'!$B$2:$M$129,10,FALSE))</f>
        <v/>
      </c>
      <c r="I53" s="524" t="str">
        <f>IFERROR(VLOOKUP(H53,'G-1 All Habitats'!$V$3:$W$7,2,FALSE),"")</f>
        <v/>
      </c>
      <c r="J53" s="199"/>
      <c r="K53" s="524" t="str">
        <f>IFERROR(INDEX('G-8 Condition Look up'!$A$3:$H$130,MATCH(F53,'G-8 Condition Look up'!$A$3:$A$130,0),MATCH(J53,'G-8 Condition Look up'!$A$3:$H$3,0)),"")</f>
        <v/>
      </c>
      <c r="L53" s="145"/>
      <c r="M53" s="540" t="str">
        <f>IF(L53="","",IF(VLOOKUP(L53,'G-3 Multipliers'!$L$3:$N$6,2,FALSE)=0,"Spatial Data Missing ⚠",VLOOKUP(L53,'G-3 Multipliers'!$L$3:$N$6,2,FALSE)))</f>
        <v/>
      </c>
      <c r="N53" s="499" t="str">
        <f>IF(L53="","",IF(VLOOKUP(L53,'G-3 Multipliers'!$L$3:$N$6,3,FALSE)=0,"Spatial Data Missing ⚠",VLOOKUP(L53,'G-3 Multipliers'!$L$3:$N$6,3,FALSE)))</f>
        <v/>
      </c>
      <c r="O53" s="498" t="str">
        <f t="shared" si="1"/>
        <v/>
      </c>
      <c r="P53" s="195"/>
      <c r="Q53" s="195"/>
      <c r="R53" s="520" t="str">
        <f t="shared" si="2"/>
        <v/>
      </c>
      <c r="S53" s="544" t="str">
        <f t="shared" si="3"/>
        <v/>
      </c>
      <c r="T53" s="525" t="str">
        <f>IFERROR(IF(S53="Check Data ⚠","Check Data ⚠",VLOOKUP(S53,'G-4 Temporal multipliers'!$A$4:$C$37,3,FALSE)),"")</f>
        <v/>
      </c>
      <c r="U53" s="523" t="str">
        <f>IF(F53="","",VLOOKUP(F53,'G-3 Multipliers'!$A$2:$E$129,2,FALSE))</f>
        <v/>
      </c>
      <c r="V53" s="520" t="str">
        <f t="shared" si="4"/>
        <v/>
      </c>
      <c r="W53" s="520" t="str">
        <f>IF(E53="","",IF(AND(V53="Standard difficulty applied",O53&gt;P53),U53,IF(AND(V53="Low Difficulty - only applicable if all habitat created before losses ⚠",P53&gt;=O53),"Low",VLOOKUP(F53,'G-3 Multipliers'!$A$2:$E$129,4,FALSE))))</f>
        <v/>
      </c>
      <c r="X53" s="524" t="str">
        <f>IFERROR(IF(E53="","",VLOOKUP(W53, 'G-3 Multipliers'!$P$2:$Q$6,2,FALSE)),"")</f>
        <v/>
      </c>
      <c r="Y53" s="197"/>
      <c r="Z53" s="499" t="str">
        <f>IF(Y53="","",IF(VLOOKUP(Y53,'G-3 Multipliers'!$S$3:$T$9,2,FALSE)=0,"Spatial Data Missing ⚠",VLOOKUP(Y53,'G-3 Multipliers'!$S$3:$T$9,2,FALSE)))</f>
        <v/>
      </c>
      <c r="AA53" s="545" t="str">
        <f t="shared" si="0"/>
        <v/>
      </c>
      <c r="AB53" s="149"/>
      <c r="AC53" s="150"/>
    </row>
    <row r="54" spans="1:29" ht="14" x14ac:dyDescent="0.3">
      <c r="A54" s="31" t="str">
        <f>IFERROR(INDEX('G-8 Condition Look up'!$I$4:$I$130,MATCH(F54,'G-8 Condition Look up'!$A$4:$A$130,0)),"")</f>
        <v/>
      </c>
      <c r="C54" s="244" t="str">
        <f>IFERROR(INDEX('G-1 All Habitats'!$AG$3:$AG$15,MATCH(D54,'G-1 All Habitats'!$AF$3:$AF$15,0)),"")</f>
        <v/>
      </c>
      <c r="D54" s="154"/>
      <c r="E54" s="203"/>
      <c r="F54" s="243" t="str">
        <f>IFERROR(INDEX('G-1 All Habitats'!$B$3:$B$129,MATCH(E54,'G-1 All Habitats'!$A$3:$A$129,0)),"")</f>
        <v/>
      </c>
      <c r="G54" s="386"/>
      <c r="H54" s="537" t="str">
        <f>IF(F54="","",VLOOKUP(F54,'G-1 All Habitats'!$B$2:$M$129,10,FALSE))</f>
        <v/>
      </c>
      <c r="I54" s="524" t="str">
        <f>IFERROR(VLOOKUP(H54,'G-1 All Habitats'!$V$3:$W$7,2,FALSE),"")</f>
        <v/>
      </c>
      <c r="J54" s="199"/>
      <c r="K54" s="524" t="str">
        <f>IFERROR(INDEX('G-8 Condition Look up'!$A$3:$H$130,MATCH(F54,'G-8 Condition Look up'!$A$3:$A$130,0),MATCH(J54,'G-8 Condition Look up'!$A$3:$H$3,0)),"")</f>
        <v/>
      </c>
      <c r="L54" s="145"/>
      <c r="M54" s="540" t="str">
        <f>IF(L54="","",IF(VLOOKUP(L54,'G-3 Multipliers'!$L$3:$N$6,2,FALSE)=0,"Spatial Data Missing ⚠",VLOOKUP(L54,'G-3 Multipliers'!$L$3:$N$6,2,FALSE)))</f>
        <v/>
      </c>
      <c r="N54" s="499" t="str">
        <f>IF(L54="","",IF(VLOOKUP(L54,'G-3 Multipliers'!$L$3:$N$6,3,FALSE)=0,"Spatial Data Missing ⚠",VLOOKUP(L54,'G-3 Multipliers'!$L$3:$N$6,3,FALSE)))</f>
        <v/>
      </c>
      <c r="O54" s="498" t="str">
        <f t="shared" si="1"/>
        <v/>
      </c>
      <c r="P54" s="195"/>
      <c r="Q54" s="195"/>
      <c r="R54" s="520" t="str">
        <f t="shared" si="2"/>
        <v/>
      </c>
      <c r="S54" s="544" t="str">
        <f t="shared" si="3"/>
        <v/>
      </c>
      <c r="T54" s="525" t="str">
        <f>IFERROR(IF(S54="Check Data ⚠","Check Data ⚠",VLOOKUP(S54,'G-4 Temporal multipliers'!$A$4:$C$37,3,FALSE)),"")</f>
        <v/>
      </c>
      <c r="U54" s="523" t="str">
        <f>IF(F54="","",VLOOKUP(F54,'G-3 Multipliers'!$A$2:$E$129,2,FALSE))</f>
        <v/>
      </c>
      <c r="V54" s="520" t="str">
        <f t="shared" si="4"/>
        <v/>
      </c>
      <c r="W54" s="520" t="str">
        <f>IF(E54="","",IF(AND(V54="Standard difficulty applied",O54&gt;P54),U54,IF(AND(V54="Low Difficulty - only applicable if all habitat created before losses ⚠",P54&gt;=O54),"Low",VLOOKUP(F54,'G-3 Multipliers'!$A$2:$E$129,4,FALSE))))</f>
        <v/>
      </c>
      <c r="X54" s="524" t="str">
        <f>IFERROR(IF(E54="","",VLOOKUP(W54, 'G-3 Multipliers'!$P$2:$Q$6,2,FALSE)),"")</f>
        <v/>
      </c>
      <c r="Y54" s="197"/>
      <c r="Z54" s="499" t="str">
        <f>IF(Y54="","",IF(VLOOKUP(Y54,'G-3 Multipliers'!$S$3:$T$9,2,FALSE)=0,"Spatial Data Missing ⚠",VLOOKUP(Y54,'G-3 Multipliers'!$S$3:$T$9,2,FALSE)))</f>
        <v/>
      </c>
      <c r="AA54" s="545" t="str">
        <f t="shared" si="0"/>
        <v/>
      </c>
      <c r="AB54" s="149"/>
      <c r="AC54" s="150"/>
    </row>
    <row r="55" spans="1:29" ht="14" x14ac:dyDescent="0.3">
      <c r="A55" s="31" t="str">
        <f>IFERROR(INDEX('G-8 Condition Look up'!$I$4:$I$130,MATCH(F55,'G-8 Condition Look up'!$A$4:$A$130,0)),"")</f>
        <v/>
      </c>
      <c r="C55" s="244" t="str">
        <f>IFERROR(INDEX('G-1 All Habitats'!$AG$3:$AG$15,MATCH(D55,'G-1 All Habitats'!$AF$3:$AF$15,0)),"")</f>
        <v/>
      </c>
      <c r="D55" s="154"/>
      <c r="E55" s="203"/>
      <c r="F55" s="243" t="str">
        <f>IFERROR(INDEX('G-1 All Habitats'!$B$3:$B$129,MATCH(E55,'G-1 All Habitats'!$A$3:$A$129,0)),"")</f>
        <v/>
      </c>
      <c r="G55" s="386"/>
      <c r="H55" s="537" t="str">
        <f>IF(F55="","",VLOOKUP(F55,'G-1 All Habitats'!$B$2:$M$129,10,FALSE))</f>
        <v/>
      </c>
      <c r="I55" s="524" t="str">
        <f>IFERROR(VLOOKUP(H55,'G-1 All Habitats'!$V$3:$W$7,2,FALSE),"")</f>
        <v/>
      </c>
      <c r="J55" s="199"/>
      <c r="K55" s="524" t="str">
        <f>IFERROR(INDEX('G-8 Condition Look up'!$A$3:$H$130,MATCH(F55,'G-8 Condition Look up'!$A$3:$A$130,0),MATCH(J55,'G-8 Condition Look up'!$A$3:$H$3,0)),"")</f>
        <v/>
      </c>
      <c r="L55" s="145"/>
      <c r="M55" s="540" t="str">
        <f>IF(L55="","",IF(VLOOKUP(L55,'G-3 Multipliers'!$L$3:$N$6,2,FALSE)=0,"Spatial Data Missing ⚠",VLOOKUP(L55,'G-3 Multipliers'!$L$3:$N$6,2,FALSE)))</f>
        <v/>
      </c>
      <c r="N55" s="499" t="str">
        <f>IF(L55="","",IF(VLOOKUP(L55,'G-3 Multipliers'!$L$3:$N$6,3,FALSE)=0,"Spatial Data Missing ⚠",VLOOKUP(L55,'G-3 Multipliers'!$L$3:$N$6,3,FALSE)))</f>
        <v/>
      </c>
      <c r="O55" s="498" t="str">
        <f t="shared" si="1"/>
        <v/>
      </c>
      <c r="P55" s="195"/>
      <c r="Q55" s="195"/>
      <c r="R55" s="520" t="str">
        <f t="shared" si="2"/>
        <v/>
      </c>
      <c r="S55" s="544" t="str">
        <f t="shared" si="3"/>
        <v/>
      </c>
      <c r="T55" s="525" t="str">
        <f>IFERROR(IF(S55="Check Data ⚠","Check Data ⚠",VLOOKUP(S55,'G-4 Temporal multipliers'!$A$4:$C$37,3,FALSE)),"")</f>
        <v/>
      </c>
      <c r="U55" s="523" t="str">
        <f>IF(F55="","",VLOOKUP(F55,'G-3 Multipliers'!$A$2:$E$129,2,FALSE))</f>
        <v/>
      </c>
      <c r="V55" s="520" t="str">
        <f t="shared" si="4"/>
        <v/>
      </c>
      <c r="W55" s="520" t="str">
        <f>IF(E55="","",IF(AND(V55="Standard difficulty applied",O55&gt;P55),U55,IF(AND(V55="Low Difficulty - only applicable if all habitat created before losses ⚠",P55&gt;=O55),"Low",VLOOKUP(F55,'G-3 Multipliers'!$A$2:$E$129,4,FALSE))))</f>
        <v/>
      </c>
      <c r="X55" s="524" t="str">
        <f>IFERROR(IF(E55="","",VLOOKUP(W55, 'G-3 Multipliers'!$P$2:$Q$6,2,FALSE)),"")</f>
        <v/>
      </c>
      <c r="Y55" s="197"/>
      <c r="Z55" s="499" t="str">
        <f>IF(Y55="","",IF(VLOOKUP(Y55,'G-3 Multipliers'!$S$3:$T$9,2,FALSE)=0,"Spatial Data Missing ⚠",VLOOKUP(Y55,'G-3 Multipliers'!$S$3:$T$9,2,FALSE)))</f>
        <v/>
      </c>
      <c r="AA55" s="545" t="str">
        <f t="shared" si="0"/>
        <v/>
      </c>
      <c r="AB55" s="149"/>
      <c r="AC55" s="150"/>
    </row>
    <row r="56" spans="1:29" ht="14" x14ac:dyDescent="0.3">
      <c r="A56" s="31" t="str">
        <f>IFERROR(INDEX('G-8 Condition Look up'!$I$4:$I$130,MATCH(F56,'G-8 Condition Look up'!$A$4:$A$130,0)),"")</f>
        <v/>
      </c>
      <c r="C56" s="244" t="str">
        <f>IFERROR(INDEX('G-1 All Habitats'!$AG$3:$AG$15,MATCH(D56,'G-1 All Habitats'!$AF$3:$AF$15,0)),"")</f>
        <v/>
      </c>
      <c r="D56" s="154"/>
      <c r="E56" s="203"/>
      <c r="F56" s="243" t="str">
        <f>IFERROR(INDEX('G-1 All Habitats'!$B$3:$B$129,MATCH(E56,'G-1 All Habitats'!$A$3:$A$129,0)),"")</f>
        <v/>
      </c>
      <c r="G56" s="386"/>
      <c r="H56" s="537" t="str">
        <f>IF(F56="","",VLOOKUP(F56,'G-1 All Habitats'!$B$2:$M$129,10,FALSE))</f>
        <v/>
      </c>
      <c r="I56" s="524" t="str">
        <f>IFERROR(VLOOKUP(H56,'G-1 All Habitats'!$V$3:$W$7,2,FALSE),"")</f>
        <v/>
      </c>
      <c r="J56" s="199"/>
      <c r="K56" s="524" t="str">
        <f>IFERROR(INDEX('G-8 Condition Look up'!$A$3:$H$130,MATCH(F56,'G-8 Condition Look up'!$A$3:$A$130,0),MATCH(J56,'G-8 Condition Look up'!$A$3:$H$3,0)),"")</f>
        <v/>
      </c>
      <c r="L56" s="145"/>
      <c r="M56" s="540" t="str">
        <f>IF(L56="","",IF(VLOOKUP(L56,'G-3 Multipliers'!$L$3:$N$6,2,FALSE)=0,"Spatial Data Missing ⚠",VLOOKUP(L56,'G-3 Multipliers'!$L$3:$N$6,2,FALSE)))</f>
        <v/>
      </c>
      <c r="N56" s="499" t="str">
        <f>IF(L56="","",IF(VLOOKUP(L56,'G-3 Multipliers'!$L$3:$N$6,3,FALSE)=0,"Spatial Data Missing ⚠",VLOOKUP(L56,'G-3 Multipliers'!$L$3:$N$6,3,FALSE)))</f>
        <v/>
      </c>
      <c r="O56" s="498" t="str">
        <f t="shared" si="1"/>
        <v/>
      </c>
      <c r="P56" s="195"/>
      <c r="Q56" s="195"/>
      <c r="R56" s="520" t="str">
        <f t="shared" si="2"/>
        <v/>
      </c>
      <c r="S56" s="544" t="str">
        <f t="shared" si="3"/>
        <v/>
      </c>
      <c r="T56" s="525" t="str">
        <f>IFERROR(IF(S56="Check Data ⚠","Check Data ⚠",VLOOKUP(S56,'G-4 Temporal multipliers'!$A$4:$C$37,3,FALSE)),"")</f>
        <v/>
      </c>
      <c r="U56" s="523" t="str">
        <f>IF(F56="","",VLOOKUP(F56,'G-3 Multipliers'!$A$2:$E$129,2,FALSE))</f>
        <v/>
      </c>
      <c r="V56" s="520" t="str">
        <f t="shared" si="4"/>
        <v/>
      </c>
      <c r="W56" s="520" t="str">
        <f>IF(E56="","",IF(AND(V56="Standard difficulty applied",O56&gt;P56),U56,IF(AND(V56="Low Difficulty - only applicable if all habitat created before losses ⚠",P56&gt;=O56),"Low",VLOOKUP(F56,'G-3 Multipliers'!$A$2:$E$129,4,FALSE))))</f>
        <v/>
      </c>
      <c r="X56" s="524" t="str">
        <f>IFERROR(IF(E56="","",VLOOKUP(W56, 'G-3 Multipliers'!$P$2:$Q$6,2,FALSE)),"")</f>
        <v/>
      </c>
      <c r="Y56" s="197"/>
      <c r="Z56" s="499" t="str">
        <f>IF(Y56="","",IF(VLOOKUP(Y56,'G-3 Multipliers'!$S$3:$T$9,2,FALSE)=0,"Spatial Data Missing ⚠",VLOOKUP(Y56,'G-3 Multipliers'!$S$3:$T$9,2,FALSE)))</f>
        <v/>
      </c>
      <c r="AA56" s="545" t="str">
        <f t="shared" si="0"/>
        <v/>
      </c>
      <c r="AB56" s="149"/>
      <c r="AC56" s="150"/>
    </row>
    <row r="57" spans="1:29" ht="14" x14ac:dyDescent="0.3">
      <c r="A57" s="31" t="str">
        <f>IFERROR(INDEX('G-8 Condition Look up'!$I$4:$I$130,MATCH(F57,'G-8 Condition Look up'!$A$4:$A$130,0)),"")</f>
        <v/>
      </c>
      <c r="C57" s="244" t="str">
        <f>IFERROR(INDEX('G-1 All Habitats'!$AG$3:$AG$15,MATCH(D57,'G-1 All Habitats'!$AF$3:$AF$15,0)),"")</f>
        <v/>
      </c>
      <c r="D57" s="154"/>
      <c r="E57" s="203"/>
      <c r="F57" s="243" t="str">
        <f>IFERROR(INDEX('G-1 All Habitats'!$B$3:$B$129,MATCH(E57,'G-1 All Habitats'!$A$3:$A$129,0)),"")</f>
        <v/>
      </c>
      <c r="G57" s="386"/>
      <c r="H57" s="537" t="str">
        <f>IF(F57="","",VLOOKUP(F57,'G-1 All Habitats'!$B$2:$M$129,10,FALSE))</f>
        <v/>
      </c>
      <c r="I57" s="524" t="str">
        <f>IFERROR(VLOOKUP(H57,'G-1 All Habitats'!$V$3:$W$7,2,FALSE),"")</f>
        <v/>
      </c>
      <c r="J57" s="199"/>
      <c r="K57" s="524" t="str">
        <f>IFERROR(INDEX('G-8 Condition Look up'!$A$3:$H$130,MATCH(F57,'G-8 Condition Look up'!$A$3:$A$130,0),MATCH(J57,'G-8 Condition Look up'!$A$3:$H$3,0)),"")</f>
        <v/>
      </c>
      <c r="L57" s="145"/>
      <c r="M57" s="540" t="str">
        <f>IF(L57="","",IF(VLOOKUP(L57,'G-3 Multipliers'!$L$3:$N$6,2,FALSE)=0,"Spatial Data Missing ⚠",VLOOKUP(L57,'G-3 Multipliers'!$L$3:$N$6,2,FALSE)))</f>
        <v/>
      </c>
      <c r="N57" s="499" t="str">
        <f>IF(L57="","",IF(VLOOKUP(L57,'G-3 Multipliers'!$L$3:$N$6,3,FALSE)=0,"Spatial Data Missing ⚠",VLOOKUP(L57,'G-3 Multipliers'!$L$3:$N$6,3,FALSE)))</f>
        <v/>
      </c>
      <c r="O57" s="498" t="str">
        <f t="shared" si="1"/>
        <v/>
      </c>
      <c r="P57" s="195"/>
      <c r="Q57" s="195"/>
      <c r="R57" s="520" t="str">
        <f t="shared" si="2"/>
        <v/>
      </c>
      <c r="S57" s="544" t="str">
        <f t="shared" si="3"/>
        <v/>
      </c>
      <c r="T57" s="525" t="str">
        <f>IFERROR(IF(S57="Check Data ⚠","Check Data ⚠",VLOOKUP(S57,'G-4 Temporal multipliers'!$A$4:$C$37,3,FALSE)),"")</f>
        <v/>
      </c>
      <c r="U57" s="523" t="str">
        <f>IF(F57="","",VLOOKUP(F57,'G-3 Multipliers'!$A$2:$E$129,2,FALSE))</f>
        <v/>
      </c>
      <c r="V57" s="520" t="str">
        <f t="shared" si="4"/>
        <v/>
      </c>
      <c r="W57" s="520" t="str">
        <f>IF(E57="","",IF(AND(V57="Standard difficulty applied",O57&gt;P57),U57,IF(AND(V57="Low Difficulty - only applicable if all habitat created before losses ⚠",P57&gt;=O57),"Low",VLOOKUP(F57,'G-3 Multipliers'!$A$2:$E$129,4,FALSE))))</f>
        <v/>
      </c>
      <c r="X57" s="524" t="str">
        <f>IFERROR(IF(E57="","",VLOOKUP(W57, 'G-3 Multipliers'!$P$2:$Q$6,2,FALSE)),"")</f>
        <v/>
      </c>
      <c r="Y57" s="197"/>
      <c r="Z57" s="499" t="str">
        <f>IF(Y57="","",IF(VLOOKUP(Y57,'G-3 Multipliers'!$S$3:$T$9,2,FALSE)=0,"Spatial Data Missing ⚠",VLOOKUP(Y57,'G-3 Multipliers'!$S$3:$T$9,2,FALSE)))</f>
        <v/>
      </c>
      <c r="AA57" s="545" t="str">
        <f t="shared" si="0"/>
        <v/>
      </c>
      <c r="AB57" s="149"/>
      <c r="AC57" s="150"/>
    </row>
    <row r="58" spans="1:29" ht="14" x14ac:dyDescent="0.3">
      <c r="A58" s="31" t="str">
        <f>IFERROR(INDEX('G-8 Condition Look up'!$I$4:$I$130,MATCH(F58,'G-8 Condition Look up'!$A$4:$A$130,0)),"")</f>
        <v/>
      </c>
      <c r="C58" s="244" t="str">
        <f>IFERROR(INDEX('G-1 All Habitats'!$AG$3:$AG$15,MATCH(D58,'G-1 All Habitats'!$AF$3:$AF$15,0)),"")</f>
        <v/>
      </c>
      <c r="D58" s="154"/>
      <c r="E58" s="203"/>
      <c r="F58" s="243" t="str">
        <f>IFERROR(INDEX('G-1 All Habitats'!$B$3:$B$129,MATCH(E58,'G-1 All Habitats'!$A$3:$A$129,0)),"")</f>
        <v/>
      </c>
      <c r="G58" s="386"/>
      <c r="H58" s="537" t="str">
        <f>IF(F58="","",VLOOKUP(F58,'G-1 All Habitats'!$B$2:$M$129,10,FALSE))</f>
        <v/>
      </c>
      <c r="I58" s="524" t="str">
        <f>IFERROR(VLOOKUP(H58,'G-1 All Habitats'!$V$3:$W$7,2,FALSE),"")</f>
        <v/>
      </c>
      <c r="J58" s="199"/>
      <c r="K58" s="524" t="str">
        <f>IFERROR(INDEX('G-8 Condition Look up'!$A$3:$H$130,MATCH(F58,'G-8 Condition Look up'!$A$3:$A$130,0),MATCH(J58,'G-8 Condition Look up'!$A$3:$H$3,0)),"")</f>
        <v/>
      </c>
      <c r="L58" s="145"/>
      <c r="M58" s="540" t="str">
        <f>IF(L58="","",IF(VLOOKUP(L58,'G-3 Multipliers'!$L$3:$N$6,2,FALSE)=0,"Spatial Data Missing ⚠",VLOOKUP(L58,'G-3 Multipliers'!$L$3:$N$6,2,FALSE)))</f>
        <v/>
      </c>
      <c r="N58" s="499" t="str">
        <f>IF(L58="","",IF(VLOOKUP(L58,'G-3 Multipliers'!$L$3:$N$6,3,FALSE)=0,"Spatial Data Missing ⚠",VLOOKUP(L58,'G-3 Multipliers'!$L$3:$N$6,3,FALSE)))</f>
        <v/>
      </c>
      <c r="O58" s="498" t="str">
        <f t="shared" si="1"/>
        <v/>
      </c>
      <c r="P58" s="195"/>
      <c r="Q58" s="195"/>
      <c r="R58" s="520" t="str">
        <f t="shared" si="2"/>
        <v/>
      </c>
      <c r="S58" s="544" t="str">
        <f t="shared" si="3"/>
        <v/>
      </c>
      <c r="T58" s="525" t="str">
        <f>IFERROR(IF(S58="Check Data ⚠","Check Data ⚠",VLOOKUP(S58,'G-4 Temporal multipliers'!$A$4:$C$37,3,FALSE)),"")</f>
        <v/>
      </c>
      <c r="U58" s="523" t="str">
        <f>IF(F58="","",VLOOKUP(F58,'G-3 Multipliers'!$A$2:$E$129,2,FALSE))</f>
        <v/>
      </c>
      <c r="V58" s="520" t="str">
        <f t="shared" si="4"/>
        <v/>
      </c>
      <c r="W58" s="520" t="str">
        <f>IF(E58="","",IF(AND(V58="Standard difficulty applied",O58&gt;P58),U58,IF(AND(V58="Low Difficulty - only applicable if all habitat created before losses ⚠",P58&gt;=O58),"Low",VLOOKUP(F58,'G-3 Multipliers'!$A$2:$E$129,4,FALSE))))</f>
        <v/>
      </c>
      <c r="X58" s="524" t="str">
        <f>IFERROR(IF(E58="","",VLOOKUP(W58, 'G-3 Multipliers'!$P$2:$Q$6,2,FALSE)),"")</f>
        <v/>
      </c>
      <c r="Y58" s="197"/>
      <c r="Z58" s="499" t="str">
        <f>IF(Y58="","",IF(VLOOKUP(Y58,'G-3 Multipliers'!$S$3:$T$9,2,FALSE)=0,"Spatial Data Missing ⚠",VLOOKUP(Y58,'G-3 Multipliers'!$S$3:$T$9,2,FALSE)))</f>
        <v/>
      </c>
      <c r="AA58" s="545" t="str">
        <f t="shared" si="0"/>
        <v/>
      </c>
      <c r="AB58" s="149"/>
      <c r="AC58" s="150"/>
    </row>
    <row r="59" spans="1:29" ht="14" x14ac:dyDescent="0.3">
      <c r="A59" s="31" t="str">
        <f>IFERROR(INDEX('G-8 Condition Look up'!$I$4:$I$130,MATCH(F59,'G-8 Condition Look up'!$A$4:$A$130,0)),"")</f>
        <v/>
      </c>
      <c r="C59" s="244" t="str">
        <f>IFERROR(INDEX('G-1 All Habitats'!$AG$3:$AG$15,MATCH(D59,'G-1 All Habitats'!$AF$3:$AF$15,0)),"")</f>
        <v/>
      </c>
      <c r="D59" s="154"/>
      <c r="E59" s="203"/>
      <c r="F59" s="243" t="str">
        <f>IFERROR(INDEX('G-1 All Habitats'!$B$3:$B$129,MATCH(E59,'G-1 All Habitats'!$A$3:$A$129,0)),"")</f>
        <v/>
      </c>
      <c r="G59" s="386"/>
      <c r="H59" s="537" t="str">
        <f>IF(F59="","",VLOOKUP(F59,'G-1 All Habitats'!$B$2:$M$129,10,FALSE))</f>
        <v/>
      </c>
      <c r="I59" s="524" t="str">
        <f>IFERROR(VLOOKUP(H59,'G-1 All Habitats'!$V$3:$W$7,2,FALSE),"")</f>
        <v/>
      </c>
      <c r="J59" s="199"/>
      <c r="K59" s="524" t="str">
        <f>IFERROR(INDEX('G-8 Condition Look up'!$A$3:$H$130,MATCH(F59,'G-8 Condition Look up'!$A$3:$A$130,0),MATCH(J59,'G-8 Condition Look up'!$A$3:$H$3,0)),"")</f>
        <v/>
      </c>
      <c r="L59" s="145"/>
      <c r="M59" s="540" t="str">
        <f>IF(L59="","",IF(VLOOKUP(L59,'G-3 Multipliers'!$L$3:$N$6,2,FALSE)=0,"Spatial Data Missing ⚠",VLOOKUP(L59,'G-3 Multipliers'!$L$3:$N$6,2,FALSE)))</f>
        <v/>
      </c>
      <c r="N59" s="499" t="str">
        <f>IF(L59="","",IF(VLOOKUP(L59,'G-3 Multipliers'!$L$3:$N$6,3,FALSE)=0,"Spatial Data Missing ⚠",VLOOKUP(L59,'G-3 Multipliers'!$L$3:$N$6,3,FALSE)))</f>
        <v/>
      </c>
      <c r="O59" s="498" t="str">
        <f t="shared" si="1"/>
        <v/>
      </c>
      <c r="P59" s="195"/>
      <c r="Q59" s="195"/>
      <c r="R59" s="520" t="str">
        <f t="shared" si="2"/>
        <v/>
      </c>
      <c r="S59" s="544" t="str">
        <f t="shared" si="3"/>
        <v/>
      </c>
      <c r="T59" s="525" t="str">
        <f>IFERROR(IF(S59="Check Data ⚠","Check Data ⚠",VLOOKUP(S59,'G-4 Temporal multipliers'!$A$4:$C$37,3,FALSE)),"")</f>
        <v/>
      </c>
      <c r="U59" s="523" t="str">
        <f>IF(F59="","",VLOOKUP(F59,'G-3 Multipliers'!$A$2:$E$129,2,FALSE))</f>
        <v/>
      </c>
      <c r="V59" s="520" t="str">
        <f t="shared" si="4"/>
        <v/>
      </c>
      <c r="W59" s="520" t="str">
        <f>IF(E59="","",IF(AND(V59="Standard difficulty applied",O59&gt;P59),U59,IF(AND(V59="Low Difficulty - only applicable if all habitat created before losses ⚠",P59&gt;=O59),"Low",VLOOKUP(F59,'G-3 Multipliers'!$A$2:$E$129,4,FALSE))))</f>
        <v/>
      </c>
      <c r="X59" s="524" t="str">
        <f>IFERROR(IF(E59="","",VLOOKUP(W59, 'G-3 Multipliers'!$P$2:$Q$6,2,FALSE)),"")</f>
        <v/>
      </c>
      <c r="Y59" s="197"/>
      <c r="Z59" s="499" t="str">
        <f>IF(Y59="","",IF(VLOOKUP(Y59,'G-3 Multipliers'!$S$3:$T$9,2,FALSE)=0,"Spatial Data Missing ⚠",VLOOKUP(Y59,'G-3 Multipliers'!$S$3:$T$9,2,FALSE)))</f>
        <v/>
      </c>
      <c r="AA59" s="545" t="str">
        <f t="shared" si="0"/>
        <v/>
      </c>
      <c r="AB59" s="149"/>
      <c r="AC59" s="150"/>
    </row>
    <row r="60" spans="1:29" ht="14" x14ac:dyDescent="0.3">
      <c r="A60" s="31" t="str">
        <f>IFERROR(INDEX('G-8 Condition Look up'!$I$4:$I$130,MATCH(F60,'G-8 Condition Look up'!$A$4:$A$130,0)),"")</f>
        <v/>
      </c>
      <c r="C60" s="244" t="str">
        <f>IFERROR(INDEX('G-1 All Habitats'!$AG$3:$AG$15,MATCH(D60,'G-1 All Habitats'!$AF$3:$AF$15,0)),"")</f>
        <v/>
      </c>
      <c r="D60" s="154"/>
      <c r="E60" s="203"/>
      <c r="F60" s="243" t="str">
        <f>IFERROR(INDEX('G-1 All Habitats'!$B$3:$B$129,MATCH(E60,'G-1 All Habitats'!$A$3:$A$129,0)),"")</f>
        <v/>
      </c>
      <c r="G60" s="386"/>
      <c r="H60" s="537" t="str">
        <f>IF(F60="","",VLOOKUP(F60,'G-1 All Habitats'!$B$2:$M$129,10,FALSE))</f>
        <v/>
      </c>
      <c r="I60" s="524" t="str">
        <f>IFERROR(VLOOKUP(H60,'G-1 All Habitats'!$V$3:$W$7,2,FALSE),"")</f>
        <v/>
      </c>
      <c r="J60" s="199"/>
      <c r="K60" s="524" t="str">
        <f>IFERROR(INDEX('G-8 Condition Look up'!$A$3:$H$130,MATCH(F60,'G-8 Condition Look up'!$A$3:$A$130,0),MATCH(J60,'G-8 Condition Look up'!$A$3:$H$3,0)),"")</f>
        <v/>
      </c>
      <c r="L60" s="145"/>
      <c r="M60" s="540" t="str">
        <f>IF(L60="","",IF(VLOOKUP(L60,'G-3 Multipliers'!$L$3:$N$6,2,FALSE)=0,"Spatial Data Missing ⚠",VLOOKUP(L60,'G-3 Multipliers'!$L$3:$N$6,2,FALSE)))</f>
        <v/>
      </c>
      <c r="N60" s="499" t="str">
        <f>IF(L60="","",IF(VLOOKUP(L60,'G-3 Multipliers'!$L$3:$N$6,3,FALSE)=0,"Spatial Data Missing ⚠",VLOOKUP(L60,'G-3 Multipliers'!$L$3:$N$6,3,FALSE)))</f>
        <v/>
      </c>
      <c r="O60" s="498" t="str">
        <f t="shared" si="1"/>
        <v/>
      </c>
      <c r="P60" s="195"/>
      <c r="Q60" s="195"/>
      <c r="R60" s="520" t="str">
        <f t="shared" si="2"/>
        <v/>
      </c>
      <c r="S60" s="544" t="str">
        <f t="shared" si="3"/>
        <v/>
      </c>
      <c r="T60" s="525" t="str">
        <f>IFERROR(IF(S60="Check Data ⚠","Check Data ⚠",VLOOKUP(S60,'G-4 Temporal multipliers'!$A$4:$C$37,3,FALSE)),"")</f>
        <v/>
      </c>
      <c r="U60" s="523" t="str">
        <f>IF(F60="","",VLOOKUP(F60,'G-3 Multipliers'!$A$2:$E$129,2,FALSE))</f>
        <v/>
      </c>
      <c r="V60" s="520" t="str">
        <f t="shared" si="4"/>
        <v/>
      </c>
      <c r="W60" s="520" t="str">
        <f>IF(E60="","",IF(AND(V60="Standard difficulty applied",O60&gt;P60),U60,IF(AND(V60="Low Difficulty - only applicable if all habitat created before losses ⚠",P60&gt;=O60),"Low",VLOOKUP(F60,'G-3 Multipliers'!$A$2:$E$129,4,FALSE))))</f>
        <v/>
      </c>
      <c r="X60" s="524" t="str">
        <f>IFERROR(IF(E60="","",VLOOKUP(W60, 'G-3 Multipliers'!$P$2:$Q$6,2,FALSE)),"")</f>
        <v/>
      </c>
      <c r="Y60" s="197"/>
      <c r="Z60" s="499" t="str">
        <f>IF(Y60="","",IF(VLOOKUP(Y60,'G-3 Multipliers'!$S$3:$T$9,2,FALSE)=0,"Spatial Data Missing ⚠",VLOOKUP(Y60,'G-3 Multipliers'!$S$3:$T$9,2,FALSE)))</f>
        <v/>
      </c>
      <c r="AA60" s="545" t="str">
        <f t="shared" si="0"/>
        <v/>
      </c>
      <c r="AB60" s="149"/>
      <c r="AC60" s="150"/>
    </row>
    <row r="61" spans="1:29" ht="14" x14ac:dyDescent="0.3">
      <c r="A61" s="31" t="str">
        <f>IFERROR(INDEX('G-8 Condition Look up'!$I$4:$I$130,MATCH(F61,'G-8 Condition Look up'!$A$4:$A$130,0)),"")</f>
        <v/>
      </c>
      <c r="C61" s="244" t="str">
        <f>IFERROR(INDEX('G-1 All Habitats'!$AG$3:$AG$15,MATCH(D61,'G-1 All Habitats'!$AF$3:$AF$15,0)),"")</f>
        <v/>
      </c>
      <c r="D61" s="154"/>
      <c r="E61" s="203"/>
      <c r="F61" s="243" t="str">
        <f>IFERROR(INDEX('G-1 All Habitats'!$B$3:$B$129,MATCH(E61,'G-1 All Habitats'!$A$3:$A$129,0)),"")</f>
        <v/>
      </c>
      <c r="G61" s="386"/>
      <c r="H61" s="537" t="str">
        <f>IF(F61="","",VLOOKUP(F61,'G-1 All Habitats'!$B$2:$M$129,10,FALSE))</f>
        <v/>
      </c>
      <c r="I61" s="524" t="str">
        <f>IFERROR(VLOOKUP(H61,'G-1 All Habitats'!$V$3:$W$7,2,FALSE),"")</f>
        <v/>
      </c>
      <c r="J61" s="199"/>
      <c r="K61" s="524" t="str">
        <f>IFERROR(INDEX('G-8 Condition Look up'!$A$3:$H$130,MATCH(F61,'G-8 Condition Look up'!$A$3:$A$130,0),MATCH(J61,'G-8 Condition Look up'!$A$3:$H$3,0)),"")</f>
        <v/>
      </c>
      <c r="L61" s="145"/>
      <c r="M61" s="540" t="str">
        <f>IF(L61="","",IF(VLOOKUP(L61,'G-3 Multipliers'!$L$3:$N$6,2,FALSE)=0,"Spatial Data Missing ⚠",VLOOKUP(L61,'G-3 Multipliers'!$L$3:$N$6,2,FALSE)))</f>
        <v/>
      </c>
      <c r="N61" s="499" t="str">
        <f>IF(L61="","",IF(VLOOKUP(L61,'G-3 Multipliers'!$L$3:$N$6,3,FALSE)=0,"Spatial Data Missing ⚠",VLOOKUP(L61,'G-3 Multipliers'!$L$3:$N$6,3,FALSE)))</f>
        <v/>
      </c>
      <c r="O61" s="498" t="str">
        <f t="shared" si="1"/>
        <v/>
      </c>
      <c r="P61" s="195"/>
      <c r="Q61" s="195"/>
      <c r="R61" s="520" t="str">
        <f t="shared" si="2"/>
        <v/>
      </c>
      <c r="S61" s="544" t="str">
        <f t="shared" si="3"/>
        <v/>
      </c>
      <c r="T61" s="525" t="str">
        <f>IFERROR(IF(S61="Check Data ⚠","Check Data ⚠",VLOOKUP(S61,'G-4 Temporal multipliers'!$A$4:$C$37,3,FALSE)),"")</f>
        <v/>
      </c>
      <c r="U61" s="523" t="str">
        <f>IF(F61="","",VLOOKUP(F61,'G-3 Multipliers'!$A$2:$E$129,2,FALSE))</f>
        <v/>
      </c>
      <c r="V61" s="520" t="str">
        <f t="shared" si="4"/>
        <v/>
      </c>
      <c r="W61" s="520" t="str">
        <f>IF(E61="","",IF(AND(V61="Standard difficulty applied",O61&gt;P61),U61,IF(AND(V61="Low Difficulty - only applicable if all habitat created before losses ⚠",P61&gt;=O61),"Low",VLOOKUP(F61,'G-3 Multipliers'!$A$2:$E$129,4,FALSE))))</f>
        <v/>
      </c>
      <c r="X61" s="524" t="str">
        <f>IFERROR(IF(E61="","",VLOOKUP(W61, 'G-3 Multipliers'!$P$2:$Q$6,2,FALSE)),"")</f>
        <v/>
      </c>
      <c r="Y61" s="197"/>
      <c r="Z61" s="499" t="str">
        <f>IF(Y61="","",IF(VLOOKUP(Y61,'G-3 Multipliers'!$S$3:$T$9,2,FALSE)=0,"Spatial Data Missing ⚠",VLOOKUP(Y61,'G-3 Multipliers'!$S$3:$T$9,2,FALSE)))</f>
        <v/>
      </c>
      <c r="AA61" s="545" t="str">
        <f t="shared" si="0"/>
        <v/>
      </c>
      <c r="AB61" s="149"/>
      <c r="AC61" s="150"/>
    </row>
    <row r="62" spans="1:29" ht="14" x14ac:dyDescent="0.3">
      <c r="A62" s="31" t="str">
        <f>IFERROR(INDEX('G-8 Condition Look up'!$I$4:$I$130,MATCH(F62,'G-8 Condition Look up'!$A$4:$A$130,0)),"")</f>
        <v/>
      </c>
      <c r="C62" s="244" t="str">
        <f>IFERROR(INDEX('G-1 All Habitats'!$AG$3:$AG$15,MATCH(D62,'G-1 All Habitats'!$AF$3:$AF$15,0)),"")</f>
        <v/>
      </c>
      <c r="D62" s="154"/>
      <c r="E62" s="203"/>
      <c r="F62" s="243" t="str">
        <f>IFERROR(INDEX('G-1 All Habitats'!$B$3:$B$129,MATCH(E62,'G-1 All Habitats'!$A$3:$A$129,0)),"")</f>
        <v/>
      </c>
      <c r="G62" s="386"/>
      <c r="H62" s="537" t="str">
        <f>IF(F62="","",VLOOKUP(F62,'G-1 All Habitats'!$B$2:$M$129,10,FALSE))</f>
        <v/>
      </c>
      <c r="I62" s="524" t="str">
        <f>IFERROR(VLOOKUP(H62,'G-1 All Habitats'!$V$3:$W$7,2,FALSE),"")</f>
        <v/>
      </c>
      <c r="J62" s="199"/>
      <c r="K62" s="524" t="str">
        <f>IFERROR(INDEX('G-8 Condition Look up'!$A$3:$H$130,MATCH(F62,'G-8 Condition Look up'!$A$3:$A$130,0),MATCH(J62,'G-8 Condition Look up'!$A$3:$H$3,0)),"")</f>
        <v/>
      </c>
      <c r="L62" s="145"/>
      <c r="M62" s="540" t="str">
        <f>IF(L62="","",IF(VLOOKUP(L62,'G-3 Multipliers'!$L$3:$N$6,2,FALSE)=0,"Spatial Data Missing ⚠",VLOOKUP(L62,'G-3 Multipliers'!$L$3:$N$6,2,FALSE)))</f>
        <v/>
      </c>
      <c r="N62" s="499" t="str">
        <f>IF(L62="","",IF(VLOOKUP(L62,'G-3 Multipliers'!$L$3:$N$6,3,FALSE)=0,"Spatial Data Missing ⚠",VLOOKUP(L62,'G-3 Multipliers'!$L$3:$N$6,3,FALSE)))</f>
        <v/>
      </c>
      <c r="O62" s="498" t="str">
        <f t="shared" si="1"/>
        <v/>
      </c>
      <c r="P62" s="195"/>
      <c r="Q62" s="195"/>
      <c r="R62" s="520" t="str">
        <f t="shared" si="2"/>
        <v/>
      </c>
      <c r="S62" s="544" t="str">
        <f t="shared" si="3"/>
        <v/>
      </c>
      <c r="T62" s="525" t="str">
        <f>IFERROR(IF(S62="Check Data ⚠","Check Data ⚠",VLOOKUP(S62,'G-4 Temporal multipliers'!$A$4:$C$37,3,FALSE)),"")</f>
        <v/>
      </c>
      <c r="U62" s="523" t="str">
        <f>IF(F62="","",VLOOKUP(F62,'G-3 Multipliers'!$A$2:$E$129,2,FALSE))</f>
        <v/>
      </c>
      <c r="V62" s="520" t="str">
        <f t="shared" si="4"/>
        <v/>
      </c>
      <c r="W62" s="520" t="str">
        <f>IF(E62="","",IF(AND(V62="Standard difficulty applied",O62&gt;P62),U62,IF(AND(V62="Low Difficulty - only applicable if all habitat created before losses ⚠",P62&gt;=O62),"Low",VLOOKUP(F62,'G-3 Multipliers'!$A$2:$E$129,4,FALSE))))</f>
        <v/>
      </c>
      <c r="X62" s="524" t="str">
        <f>IFERROR(IF(E62="","",VLOOKUP(W62, 'G-3 Multipliers'!$P$2:$Q$6,2,FALSE)),"")</f>
        <v/>
      </c>
      <c r="Y62" s="197"/>
      <c r="Z62" s="499" t="str">
        <f>IF(Y62="","",IF(VLOOKUP(Y62,'G-3 Multipliers'!$S$3:$T$9,2,FALSE)=0,"Spatial Data Missing ⚠",VLOOKUP(Y62,'G-3 Multipliers'!$S$3:$T$9,2,FALSE)))</f>
        <v/>
      </c>
      <c r="AA62" s="545" t="str">
        <f t="shared" si="0"/>
        <v/>
      </c>
      <c r="AB62" s="149"/>
      <c r="AC62" s="150"/>
    </row>
    <row r="63" spans="1:29" ht="14" x14ac:dyDescent="0.3">
      <c r="A63" s="31" t="str">
        <f>IFERROR(INDEX('G-8 Condition Look up'!$I$4:$I$130,MATCH(F63,'G-8 Condition Look up'!$A$4:$A$130,0)),"")</f>
        <v/>
      </c>
      <c r="C63" s="244" t="str">
        <f>IFERROR(INDEX('G-1 All Habitats'!$AG$3:$AG$15,MATCH(D63,'G-1 All Habitats'!$AF$3:$AF$15,0)),"")</f>
        <v/>
      </c>
      <c r="D63" s="154"/>
      <c r="E63" s="203"/>
      <c r="F63" s="243" t="str">
        <f>IFERROR(INDEX('G-1 All Habitats'!$B$3:$B$129,MATCH(E63,'G-1 All Habitats'!$A$3:$A$129,0)),"")</f>
        <v/>
      </c>
      <c r="G63" s="386"/>
      <c r="H63" s="537" t="str">
        <f>IF(F63="","",VLOOKUP(F63,'G-1 All Habitats'!$B$2:$M$129,10,FALSE))</f>
        <v/>
      </c>
      <c r="I63" s="524" t="str">
        <f>IFERROR(VLOOKUP(H63,'G-1 All Habitats'!$V$3:$W$7,2,FALSE),"")</f>
        <v/>
      </c>
      <c r="J63" s="199"/>
      <c r="K63" s="524" t="str">
        <f>IFERROR(INDEX('G-8 Condition Look up'!$A$3:$H$130,MATCH(F63,'G-8 Condition Look up'!$A$3:$A$130,0),MATCH(J63,'G-8 Condition Look up'!$A$3:$H$3,0)),"")</f>
        <v/>
      </c>
      <c r="L63" s="145"/>
      <c r="M63" s="540" t="str">
        <f>IF(L63="","",IF(VLOOKUP(L63,'G-3 Multipliers'!$L$3:$N$6,2,FALSE)=0,"Spatial Data Missing ⚠",VLOOKUP(L63,'G-3 Multipliers'!$L$3:$N$6,2,FALSE)))</f>
        <v/>
      </c>
      <c r="N63" s="499" t="str">
        <f>IF(L63="","",IF(VLOOKUP(L63,'G-3 Multipliers'!$L$3:$N$6,3,FALSE)=0,"Spatial Data Missing ⚠",VLOOKUP(L63,'G-3 Multipliers'!$L$3:$N$6,3,FALSE)))</f>
        <v/>
      </c>
      <c r="O63" s="498" t="str">
        <f t="shared" si="1"/>
        <v/>
      </c>
      <c r="P63" s="195"/>
      <c r="Q63" s="195"/>
      <c r="R63" s="520" t="str">
        <f t="shared" si="2"/>
        <v/>
      </c>
      <c r="S63" s="544" t="str">
        <f t="shared" si="3"/>
        <v/>
      </c>
      <c r="T63" s="525" t="str">
        <f>IFERROR(IF(S63="Check Data ⚠","Check Data ⚠",VLOOKUP(S63,'G-4 Temporal multipliers'!$A$4:$C$37,3,FALSE)),"")</f>
        <v/>
      </c>
      <c r="U63" s="523" t="str">
        <f>IF(F63="","",VLOOKUP(F63,'G-3 Multipliers'!$A$2:$E$129,2,FALSE))</f>
        <v/>
      </c>
      <c r="V63" s="520" t="str">
        <f t="shared" si="4"/>
        <v/>
      </c>
      <c r="W63" s="520" t="str">
        <f>IF(E63="","",IF(AND(V63="Standard difficulty applied",O63&gt;P63),U63,IF(AND(V63="Low Difficulty - only applicable if all habitat created before losses ⚠",P63&gt;=O63),"Low",VLOOKUP(F63,'G-3 Multipliers'!$A$2:$E$129,4,FALSE))))</f>
        <v/>
      </c>
      <c r="X63" s="524" t="str">
        <f>IFERROR(IF(E63="","",VLOOKUP(W63, 'G-3 Multipliers'!$P$2:$Q$6,2,FALSE)),"")</f>
        <v/>
      </c>
      <c r="Y63" s="197"/>
      <c r="Z63" s="499" t="str">
        <f>IF(Y63="","",IF(VLOOKUP(Y63,'G-3 Multipliers'!$S$3:$T$9,2,FALSE)=0,"Spatial Data Missing ⚠",VLOOKUP(Y63,'G-3 Multipliers'!$S$3:$T$9,2,FALSE)))</f>
        <v/>
      </c>
      <c r="AA63" s="545" t="str">
        <f t="shared" si="0"/>
        <v/>
      </c>
      <c r="AB63" s="149"/>
      <c r="AC63" s="150"/>
    </row>
    <row r="64" spans="1:29" ht="14" x14ac:dyDescent="0.3">
      <c r="A64" s="31" t="str">
        <f>IFERROR(INDEX('G-8 Condition Look up'!$I$4:$I$130,MATCH(F64,'G-8 Condition Look up'!$A$4:$A$130,0)),"")</f>
        <v/>
      </c>
      <c r="C64" s="244" t="str">
        <f>IFERROR(INDEX('G-1 All Habitats'!$AG$3:$AG$15,MATCH(D64,'G-1 All Habitats'!$AF$3:$AF$15,0)),"")</f>
        <v/>
      </c>
      <c r="D64" s="154"/>
      <c r="E64" s="203"/>
      <c r="F64" s="243" t="str">
        <f>IFERROR(INDEX('G-1 All Habitats'!$B$3:$B$129,MATCH(E64,'G-1 All Habitats'!$A$3:$A$129,0)),"")</f>
        <v/>
      </c>
      <c r="G64" s="386"/>
      <c r="H64" s="537" t="str">
        <f>IF(F64="","",VLOOKUP(F64,'G-1 All Habitats'!$B$2:$M$129,10,FALSE))</f>
        <v/>
      </c>
      <c r="I64" s="524" t="str">
        <f>IFERROR(VLOOKUP(H64,'G-1 All Habitats'!$V$3:$W$7,2,FALSE),"")</f>
        <v/>
      </c>
      <c r="J64" s="199"/>
      <c r="K64" s="524" t="str">
        <f>IFERROR(INDEX('G-8 Condition Look up'!$A$3:$H$130,MATCH(F64,'G-8 Condition Look up'!$A$3:$A$130,0),MATCH(J64,'G-8 Condition Look up'!$A$3:$H$3,0)),"")</f>
        <v/>
      </c>
      <c r="L64" s="145"/>
      <c r="M64" s="540" t="str">
        <f>IF(L64="","",IF(VLOOKUP(L64,'G-3 Multipliers'!$L$3:$N$6,2,FALSE)=0,"Spatial Data Missing ⚠",VLOOKUP(L64,'G-3 Multipliers'!$L$3:$N$6,2,FALSE)))</f>
        <v/>
      </c>
      <c r="N64" s="499" t="str">
        <f>IF(L64="","",IF(VLOOKUP(L64,'G-3 Multipliers'!$L$3:$N$6,3,FALSE)=0,"Spatial Data Missing ⚠",VLOOKUP(L64,'G-3 Multipliers'!$L$3:$N$6,3,FALSE)))</f>
        <v/>
      </c>
      <c r="O64" s="498" t="str">
        <f t="shared" si="1"/>
        <v/>
      </c>
      <c r="P64" s="195"/>
      <c r="Q64" s="195"/>
      <c r="R64" s="520" t="str">
        <f t="shared" si="2"/>
        <v/>
      </c>
      <c r="S64" s="544" t="str">
        <f t="shared" si="3"/>
        <v/>
      </c>
      <c r="T64" s="525" t="str">
        <f>IFERROR(IF(S64="Check Data ⚠","Check Data ⚠",VLOOKUP(S64,'G-4 Temporal multipliers'!$A$4:$C$37,3,FALSE)),"")</f>
        <v/>
      </c>
      <c r="U64" s="523" t="str">
        <f>IF(F64="","",VLOOKUP(F64,'G-3 Multipliers'!$A$2:$E$129,2,FALSE))</f>
        <v/>
      </c>
      <c r="V64" s="520" t="str">
        <f t="shared" si="4"/>
        <v/>
      </c>
      <c r="W64" s="520" t="str">
        <f>IF(E64="","",IF(AND(V64="Standard difficulty applied",O64&gt;P64),U64,IF(AND(V64="Low Difficulty - only applicable if all habitat created before losses ⚠",P64&gt;=O64),"Low",VLOOKUP(F64,'G-3 Multipliers'!$A$2:$E$129,4,FALSE))))</f>
        <v/>
      </c>
      <c r="X64" s="524" t="str">
        <f>IFERROR(IF(E64="","",VLOOKUP(W64, 'G-3 Multipliers'!$P$2:$Q$6,2,FALSE)),"")</f>
        <v/>
      </c>
      <c r="Y64" s="197"/>
      <c r="Z64" s="499" t="str">
        <f>IF(Y64="","",IF(VLOOKUP(Y64,'G-3 Multipliers'!$S$3:$T$9,2,FALSE)=0,"Spatial Data Missing ⚠",VLOOKUP(Y64,'G-3 Multipliers'!$S$3:$T$9,2,FALSE)))</f>
        <v/>
      </c>
      <c r="AA64" s="545" t="str">
        <f t="shared" si="0"/>
        <v/>
      </c>
      <c r="AB64" s="149"/>
      <c r="AC64" s="150"/>
    </row>
    <row r="65" spans="1:29" ht="14" x14ac:dyDescent="0.3">
      <c r="A65" s="31" t="str">
        <f>IFERROR(INDEX('G-8 Condition Look up'!$I$4:$I$130,MATCH(F65,'G-8 Condition Look up'!$A$4:$A$130,0)),"")</f>
        <v/>
      </c>
      <c r="C65" s="244" t="str">
        <f>IFERROR(INDEX('G-1 All Habitats'!$AG$3:$AG$15,MATCH(D65,'G-1 All Habitats'!$AF$3:$AF$15,0)),"")</f>
        <v/>
      </c>
      <c r="D65" s="154"/>
      <c r="E65" s="203"/>
      <c r="F65" s="243" t="str">
        <f>IFERROR(INDEX('G-1 All Habitats'!$B$3:$B$129,MATCH(E65,'G-1 All Habitats'!$A$3:$A$129,0)),"")</f>
        <v/>
      </c>
      <c r="G65" s="386"/>
      <c r="H65" s="537" t="str">
        <f>IF(F65="","",VLOOKUP(F65,'G-1 All Habitats'!$B$2:$M$129,10,FALSE))</f>
        <v/>
      </c>
      <c r="I65" s="524" t="str">
        <f>IFERROR(VLOOKUP(H65,'G-1 All Habitats'!$V$3:$W$7,2,FALSE),"")</f>
        <v/>
      </c>
      <c r="J65" s="199"/>
      <c r="K65" s="524" t="str">
        <f>IFERROR(INDEX('G-8 Condition Look up'!$A$3:$H$130,MATCH(F65,'G-8 Condition Look up'!$A$3:$A$130,0),MATCH(J65,'G-8 Condition Look up'!$A$3:$H$3,0)),"")</f>
        <v/>
      </c>
      <c r="L65" s="145"/>
      <c r="M65" s="540" t="str">
        <f>IF(L65="","",IF(VLOOKUP(L65,'G-3 Multipliers'!$L$3:$N$6,2,FALSE)=0,"Spatial Data Missing ⚠",VLOOKUP(L65,'G-3 Multipliers'!$L$3:$N$6,2,FALSE)))</f>
        <v/>
      </c>
      <c r="N65" s="499" t="str">
        <f>IF(L65="","",IF(VLOOKUP(L65,'G-3 Multipliers'!$L$3:$N$6,3,FALSE)=0,"Spatial Data Missing ⚠",VLOOKUP(L65,'G-3 Multipliers'!$L$3:$N$6,3,FALSE)))</f>
        <v/>
      </c>
      <c r="O65" s="498" t="str">
        <f t="shared" si="1"/>
        <v/>
      </c>
      <c r="P65" s="195"/>
      <c r="Q65" s="195"/>
      <c r="R65" s="520" t="str">
        <f t="shared" si="2"/>
        <v/>
      </c>
      <c r="S65" s="544" t="str">
        <f t="shared" si="3"/>
        <v/>
      </c>
      <c r="T65" s="525" t="str">
        <f>IFERROR(IF(S65="Check Data ⚠","Check Data ⚠",VLOOKUP(S65,'G-4 Temporal multipliers'!$A$4:$C$37,3,FALSE)),"")</f>
        <v/>
      </c>
      <c r="U65" s="523" t="str">
        <f>IF(F65="","",VLOOKUP(F65,'G-3 Multipliers'!$A$2:$E$129,2,FALSE))</f>
        <v/>
      </c>
      <c r="V65" s="520" t="str">
        <f t="shared" si="4"/>
        <v/>
      </c>
      <c r="W65" s="520" t="str">
        <f>IF(E65="","",IF(AND(V65="Standard difficulty applied",O65&gt;P65),U65,IF(AND(V65="Low Difficulty - only applicable if all habitat created before losses ⚠",P65&gt;=O65),"Low",VLOOKUP(F65,'G-3 Multipliers'!$A$2:$E$129,4,FALSE))))</f>
        <v/>
      </c>
      <c r="X65" s="524" t="str">
        <f>IFERROR(IF(E65="","",VLOOKUP(W65, 'G-3 Multipliers'!$P$2:$Q$6,2,FALSE)),"")</f>
        <v/>
      </c>
      <c r="Y65" s="197"/>
      <c r="Z65" s="499" t="str">
        <f>IF(Y65="","",IF(VLOOKUP(Y65,'G-3 Multipliers'!$S$3:$T$9,2,FALSE)=0,"Spatial Data Missing ⚠",VLOOKUP(Y65,'G-3 Multipliers'!$S$3:$T$9,2,FALSE)))</f>
        <v/>
      </c>
      <c r="AA65" s="545" t="str">
        <f t="shared" si="0"/>
        <v/>
      </c>
      <c r="AB65" s="149"/>
      <c r="AC65" s="150"/>
    </row>
    <row r="66" spans="1:29" ht="14" x14ac:dyDescent="0.3">
      <c r="A66" s="31" t="str">
        <f>IFERROR(INDEX('G-8 Condition Look up'!$I$4:$I$130,MATCH(F66,'G-8 Condition Look up'!$A$4:$A$130,0)),"")</f>
        <v/>
      </c>
      <c r="C66" s="244" t="str">
        <f>IFERROR(INDEX('G-1 All Habitats'!$AG$3:$AG$15,MATCH(D66,'G-1 All Habitats'!$AF$3:$AF$15,0)),"")</f>
        <v/>
      </c>
      <c r="D66" s="154"/>
      <c r="E66" s="203"/>
      <c r="F66" s="243" t="str">
        <f>IFERROR(INDEX('G-1 All Habitats'!$B$3:$B$129,MATCH(E66,'G-1 All Habitats'!$A$3:$A$129,0)),"")</f>
        <v/>
      </c>
      <c r="G66" s="386"/>
      <c r="H66" s="537" t="str">
        <f>IF(F66="","",VLOOKUP(F66,'G-1 All Habitats'!$B$2:$M$129,10,FALSE))</f>
        <v/>
      </c>
      <c r="I66" s="524" t="str">
        <f>IFERROR(VLOOKUP(H66,'G-1 All Habitats'!$V$3:$W$7,2,FALSE),"")</f>
        <v/>
      </c>
      <c r="J66" s="199"/>
      <c r="K66" s="524" t="str">
        <f>IFERROR(INDEX('G-8 Condition Look up'!$A$3:$H$130,MATCH(F66,'G-8 Condition Look up'!$A$3:$A$130,0),MATCH(J66,'G-8 Condition Look up'!$A$3:$H$3,0)),"")</f>
        <v/>
      </c>
      <c r="L66" s="145"/>
      <c r="M66" s="540" t="str">
        <f>IF(L66="","",IF(VLOOKUP(L66,'G-3 Multipliers'!$L$3:$N$6,2,FALSE)=0,"Spatial Data Missing ⚠",VLOOKUP(L66,'G-3 Multipliers'!$L$3:$N$6,2,FALSE)))</f>
        <v/>
      </c>
      <c r="N66" s="499" t="str">
        <f>IF(L66="","",IF(VLOOKUP(L66,'G-3 Multipliers'!$L$3:$N$6,3,FALSE)=0,"Spatial Data Missing ⚠",VLOOKUP(L66,'G-3 Multipliers'!$L$3:$N$6,3,FALSE)))</f>
        <v/>
      </c>
      <c r="O66" s="498" t="str">
        <f t="shared" si="1"/>
        <v/>
      </c>
      <c r="P66" s="195"/>
      <c r="Q66" s="195"/>
      <c r="R66" s="520" t="str">
        <f t="shared" si="2"/>
        <v/>
      </c>
      <c r="S66" s="544" t="str">
        <f t="shared" si="3"/>
        <v/>
      </c>
      <c r="T66" s="525" t="str">
        <f>IFERROR(IF(S66="Check Data ⚠","Check Data ⚠",VLOOKUP(S66,'G-4 Temporal multipliers'!$A$4:$C$37,3,FALSE)),"")</f>
        <v/>
      </c>
      <c r="U66" s="523" t="str">
        <f>IF(F66="","",VLOOKUP(F66,'G-3 Multipliers'!$A$2:$E$129,2,FALSE))</f>
        <v/>
      </c>
      <c r="V66" s="520" t="str">
        <f t="shared" si="4"/>
        <v/>
      </c>
      <c r="W66" s="520" t="str">
        <f>IF(E66="","",IF(AND(V66="Standard difficulty applied",O66&gt;P66),U66,IF(AND(V66="Low Difficulty - only applicable if all habitat created before losses ⚠",P66&gt;=O66),"Low",VLOOKUP(F66,'G-3 Multipliers'!$A$2:$E$129,4,FALSE))))</f>
        <v/>
      </c>
      <c r="X66" s="524" t="str">
        <f>IFERROR(IF(E66="","",VLOOKUP(W66, 'G-3 Multipliers'!$P$2:$Q$6,2,FALSE)),"")</f>
        <v/>
      </c>
      <c r="Y66" s="197"/>
      <c r="Z66" s="499" t="str">
        <f>IF(Y66="","",IF(VLOOKUP(Y66,'G-3 Multipliers'!$S$3:$T$9,2,FALSE)=0,"Spatial Data Missing ⚠",VLOOKUP(Y66,'G-3 Multipliers'!$S$3:$T$9,2,FALSE)))</f>
        <v/>
      </c>
      <c r="AA66" s="545" t="str">
        <f t="shared" si="0"/>
        <v/>
      </c>
      <c r="AB66" s="149"/>
      <c r="AC66" s="150"/>
    </row>
    <row r="67" spans="1:29" ht="14" x14ac:dyDescent="0.3">
      <c r="A67" s="31" t="str">
        <f>IFERROR(INDEX('G-8 Condition Look up'!$I$4:$I$130,MATCH(F67,'G-8 Condition Look up'!$A$4:$A$130,0)),"")</f>
        <v/>
      </c>
      <c r="C67" s="244" t="str">
        <f>IFERROR(INDEX('G-1 All Habitats'!$AG$3:$AG$15,MATCH(D67,'G-1 All Habitats'!$AF$3:$AF$15,0)),"")</f>
        <v/>
      </c>
      <c r="D67" s="154"/>
      <c r="E67" s="203"/>
      <c r="F67" s="243" t="str">
        <f>IFERROR(INDEX('G-1 All Habitats'!$B$3:$B$129,MATCH(E67,'G-1 All Habitats'!$A$3:$A$129,0)),"")</f>
        <v/>
      </c>
      <c r="G67" s="386"/>
      <c r="H67" s="537" t="str">
        <f>IF(F67="","",VLOOKUP(F67,'G-1 All Habitats'!$B$2:$M$129,10,FALSE))</f>
        <v/>
      </c>
      <c r="I67" s="524" t="str">
        <f>IFERROR(VLOOKUP(H67,'G-1 All Habitats'!$V$3:$W$7,2,FALSE),"")</f>
        <v/>
      </c>
      <c r="J67" s="199"/>
      <c r="K67" s="524" t="str">
        <f>IFERROR(INDEX('G-8 Condition Look up'!$A$3:$H$130,MATCH(F67,'G-8 Condition Look up'!$A$3:$A$130,0),MATCH(J67,'G-8 Condition Look up'!$A$3:$H$3,0)),"")</f>
        <v/>
      </c>
      <c r="L67" s="145"/>
      <c r="M67" s="540" t="str">
        <f>IF(L67="","",IF(VLOOKUP(L67,'G-3 Multipliers'!$L$3:$N$6,2,FALSE)=0,"Spatial Data Missing ⚠",VLOOKUP(L67,'G-3 Multipliers'!$L$3:$N$6,2,FALSE)))</f>
        <v/>
      </c>
      <c r="N67" s="499" t="str">
        <f>IF(L67="","",IF(VLOOKUP(L67,'G-3 Multipliers'!$L$3:$N$6,3,FALSE)=0,"Spatial Data Missing ⚠",VLOOKUP(L67,'G-3 Multipliers'!$L$3:$N$6,3,FALSE)))</f>
        <v/>
      </c>
      <c r="O67" s="498" t="str">
        <f t="shared" si="1"/>
        <v/>
      </c>
      <c r="P67" s="195"/>
      <c r="Q67" s="195"/>
      <c r="R67" s="520" t="str">
        <f t="shared" si="2"/>
        <v/>
      </c>
      <c r="S67" s="544" t="str">
        <f t="shared" si="3"/>
        <v/>
      </c>
      <c r="T67" s="525" t="str">
        <f>IFERROR(IF(S67="Check Data ⚠","Check Data ⚠",VLOOKUP(S67,'G-4 Temporal multipliers'!$A$4:$C$37,3,FALSE)),"")</f>
        <v/>
      </c>
      <c r="U67" s="523" t="str">
        <f>IF(F67="","",VLOOKUP(F67,'G-3 Multipliers'!$A$2:$E$129,2,FALSE))</f>
        <v/>
      </c>
      <c r="V67" s="520" t="str">
        <f t="shared" si="4"/>
        <v/>
      </c>
      <c r="W67" s="520" t="str">
        <f>IF(E67="","",IF(AND(V67="Standard difficulty applied",O67&gt;P67),U67,IF(AND(V67="Low Difficulty - only applicable if all habitat created before losses ⚠",P67&gt;=O67),"Low",VLOOKUP(F67,'G-3 Multipliers'!$A$2:$E$129,4,FALSE))))</f>
        <v/>
      </c>
      <c r="X67" s="524" t="str">
        <f>IFERROR(IF(E67="","",VLOOKUP(W67, 'G-3 Multipliers'!$P$2:$Q$6,2,FALSE)),"")</f>
        <v/>
      </c>
      <c r="Y67" s="197"/>
      <c r="Z67" s="499" t="str">
        <f>IF(Y67="","",IF(VLOOKUP(Y67,'G-3 Multipliers'!$S$3:$T$9,2,FALSE)=0,"Spatial Data Missing ⚠",VLOOKUP(Y67,'G-3 Multipliers'!$S$3:$T$9,2,FALSE)))</f>
        <v/>
      </c>
      <c r="AA67" s="545" t="str">
        <f t="shared" si="0"/>
        <v/>
      </c>
      <c r="AB67" s="149"/>
      <c r="AC67" s="150"/>
    </row>
    <row r="68" spans="1:29" ht="14" x14ac:dyDescent="0.3">
      <c r="A68" s="31" t="str">
        <f>IFERROR(INDEX('G-8 Condition Look up'!$I$4:$I$130,MATCH(F68,'G-8 Condition Look up'!$A$4:$A$130,0)),"")</f>
        <v/>
      </c>
      <c r="C68" s="244" t="str">
        <f>IFERROR(INDEX('G-1 All Habitats'!$AG$3:$AG$15,MATCH(D68,'G-1 All Habitats'!$AF$3:$AF$15,0)),"")</f>
        <v/>
      </c>
      <c r="D68" s="154"/>
      <c r="E68" s="203"/>
      <c r="F68" s="243" t="str">
        <f>IFERROR(INDEX('G-1 All Habitats'!$B$3:$B$129,MATCH(E68,'G-1 All Habitats'!$A$3:$A$129,0)),"")</f>
        <v/>
      </c>
      <c r="G68" s="386"/>
      <c r="H68" s="537" t="str">
        <f>IF(F68="","",VLOOKUP(F68,'G-1 All Habitats'!$B$2:$M$129,10,FALSE))</f>
        <v/>
      </c>
      <c r="I68" s="524" t="str">
        <f>IFERROR(VLOOKUP(H68,'G-1 All Habitats'!$V$3:$W$7,2,FALSE),"")</f>
        <v/>
      </c>
      <c r="J68" s="199"/>
      <c r="K68" s="524" t="str">
        <f>IFERROR(INDEX('G-8 Condition Look up'!$A$3:$H$130,MATCH(F68,'G-8 Condition Look up'!$A$3:$A$130,0),MATCH(J68,'G-8 Condition Look up'!$A$3:$H$3,0)),"")</f>
        <v/>
      </c>
      <c r="L68" s="145"/>
      <c r="M68" s="540" t="str">
        <f>IF(L68="","",IF(VLOOKUP(L68,'G-3 Multipliers'!$L$3:$N$6,2,FALSE)=0,"Spatial Data Missing ⚠",VLOOKUP(L68,'G-3 Multipliers'!$L$3:$N$6,2,FALSE)))</f>
        <v/>
      </c>
      <c r="N68" s="499" t="str">
        <f>IF(L68="","",IF(VLOOKUP(L68,'G-3 Multipliers'!$L$3:$N$6,3,FALSE)=0,"Spatial Data Missing ⚠",VLOOKUP(L68,'G-3 Multipliers'!$L$3:$N$6,3,FALSE)))</f>
        <v/>
      </c>
      <c r="O68" s="498" t="str">
        <f t="shared" si="1"/>
        <v/>
      </c>
      <c r="P68" s="195"/>
      <c r="Q68" s="195"/>
      <c r="R68" s="520" t="str">
        <f t="shared" si="2"/>
        <v/>
      </c>
      <c r="S68" s="544" t="str">
        <f t="shared" si="3"/>
        <v/>
      </c>
      <c r="T68" s="525" t="str">
        <f>IFERROR(IF(S68="Check Data ⚠","Check Data ⚠",VLOOKUP(S68,'G-4 Temporal multipliers'!$A$4:$C$37,3,FALSE)),"")</f>
        <v/>
      </c>
      <c r="U68" s="523" t="str">
        <f>IF(F68="","",VLOOKUP(F68,'G-3 Multipliers'!$A$2:$E$129,2,FALSE))</f>
        <v/>
      </c>
      <c r="V68" s="520" t="str">
        <f t="shared" si="4"/>
        <v/>
      </c>
      <c r="W68" s="520" t="str">
        <f>IF(E68="","",IF(AND(V68="Standard difficulty applied",O68&gt;P68),U68,IF(AND(V68="Low Difficulty - only applicable if all habitat created before losses ⚠",P68&gt;=O68),"Low",VLOOKUP(F68,'G-3 Multipliers'!$A$2:$E$129,4,FALSE))))</f>
        <v/>
      </c>
      <c r="X68" s="524" t="str">
        <f>IFERROR(IF(E68="","",VLOOKUP(W68, 'G-3 Multipliers'!$P$2:$Q$6,2,FALSE)),"")</f>
        <v/>
      </c>
      <c r="Y68" s="197"/>
      <c r="Z68" s="499" t="str">
        <f>IF(Y68="","",IF(VLOOKUP(Y68,'G-3 Multipliers'!$S$3:$T$9,2,FALSE)=0,"Spatial Data Missing ⚠",VLOOKUP(Y68,'G-3 Multipliers'!$S$3:$T$9,2,FALSE)))</f>
        <v/>
      </c>
      <c r="AA68" s="545" t="str">
        <f t="shared" si="0"/>
        <v/>
      </c>
      <c r="AB68" s="149"/>
      <c r="AC68" s="150"/>
    </row>
    <row r="69" spans="1:29" ht="14" x14ac:dyDescent="0.3">
      <c r="A69" s="31" t="str">
        <f>IFERROR(INDEX('G-8 Condition Look up'!$I$4:$I$130,MATCH(F69,'G-8 Condition Look up'!$A$4:$A$130,0)),"")</f>
        <v/>
      </c>
      <c r="C69" s="244" t="str">
        <f>IFERROR(INDEX('G-1 All Habitats'!$AG$3:$AG$15,MATCH(D69,'G-1 All Habitats'!$AF$3:$AF$15,0)),"")</f>
        <v/>
      </c>
      <c r="D69" s="154"/>
      <c r="E69" s="203"/>
      <c r="F69" s="243" t="str">
        <f>IFERROR(INDEX('G-1 All Habitats'!$B$3:$B$129,MATCH(E69,'G-1 All Habitats'!$A$3:$A$129,0)),"")</f>
        <v/>
      </c>
      <c r="G69" s="386"/>
      <c r="H69" s="537" t="str">
        <f>IF(F69="","",VLOOKUP(F69,'G-1 All Habitats'!$B$2:$M$129,10,FALSE))</f>
        <v/>
      </c>
      <c r="I69" s="524" t="str">
        <f>IFERROR(VLOOKUP(H69,'G-1 All Habitats'!$V$3:$W$7,2,FALSE),"")</f>
        <v/>
      </c>
      <c r="J69" s="199"/>
      <c r="K69" s="524" t="str">
        <f>IFERROR(INDEX('G-8 Condition Look up'!$A$3:$H$130,MATCH(F69,'G-8 Condition Look up'!$A$3:$A$130,0),MATCH(J69,'G-8 Condition Look up'!$A$3:$H$3,0)),"")</f>
        <v/>
      </c>
      <c r="L69" s="145"/>
      <c r="M69" s="540" t="str">
        <f>IF(L69="","",IF(VLOOKUP(L69,'G-3 Multipliers'!$L$3:$N$6,2,FALSE)=0,"Spatial Data Missing ⚠",VLOOKUP(L69,'G-3 Multipliers'!$L$3:$N$6,2,FALSE)))</f>
        <v/>
      </c>
      <c r="N69" s="499" t="str">
        <f>IF(L69="","",IF(VLOOKUP(L69,'G-3 Multipliers'!$L$3:$N$6,3,FALSE)=0,"Spatial Data Missing ⚠",VLOOKUP(L69,'G-3 Multipliers'!$L$3:$N$6,3,FALSE)))</f>
        <v/>
      </c>
      <c r="O69" s="498" t="str">
        <f t="shared" si="1"/>
        <v/>
      </c>
      <c r="P69" s="195"/>
      <c r="Q69" s="195"/>
      <c r="R69" s="520" t="str">
        <f t="shared" si="2"/>
        <v/>
      </c>
      <c r="S69" s="544" t="str">
        <f t="shared" si="3"/>
        <v/>
      </c>
      <c r="T69" s="525" t="str">
        <f>IFERROR(IF(S69="Check Data ⚠","Check Data ⚠",VLOOKUP(S69,'G-4 Temporal multipliers'!$A$4:$C$37,3,FALSE)),"")</f>
        <v/>
      </c>
      <c r="U69" s="523" t="str">
        <f>IF(F69="","",VLOOKUP(F69,'G-3 Multipliers'!$A$2:$E$129,2,FALSE))</f>
        <v/>
      </c>
      <c r="V69" s="520" t="str">
        <f t="shared" si="4"/>
        <v/>
      </c>
      <c r="W69" s="520" t="str">
        <f>IF(E69="","",IF(AND(V69="Standard difficulty applied",O69&gt;P69),U69,IF(AND(V69="Low Difficulty - only applicable if all habitat created before losses ⚠",P69&gt;=O69),"Low",VLOOKUP(F69,'G-3 Multipliers'!$A$2:$E$129,4,FALSE))))</f>
        <v/>
      </c>
      <c r="X69" s="524" t="str">
        <f>IFERROR(IF(E69="","",VLOOKUP(W69, 'G-3 Multipliers'!$P$2:$Q$6,2,FALSE)),"")</f>
        <v/>
      </c>
      <c r="Y69" s="197"/>
      <c r="Z69" s="499" t="str">
        <f>IF(Y69="","",IF(VLOOKUP(Y69,'G-3 Multipliers'!$S$3:$T$9,2,FALSE)=0,"Spatial Data Missing ⚠",VLOOKUP(Y69,'G-3 Multipliers'!$S$3:$T$9,2,FALSE)))</f>
        <v/>
      </c>
      <c r="AA69" s="545" t="str">
        <f t="shared" si="0"/>
        <v/>
      </c>
      <c r="AB69" s="149"/>
      <c r="AC69" s="150"/>
    </row>
    <row r="70" spans="1:29" ht="14" x14ac:dyDescent="0.3">
      <c r="A70" s="31" t="str">
        <f>IFERROR(INDEX('G-8 Condition Look up'!$I$4:$I$130,MATCH(F70,'G-8 Condition Look up'!$A$4:$A$130,0)),"")</f>
        <v/>
      </c>
      <c r="C70" s="244" t="str">
        <f>IFERROR(INDEX('G-1 All Habitats'!$AG$3:$AG$15,MATCH(D70,'G-1 All Habitats'!$AF$3:$AF$15,0)),"")</f>
        <v/>
      </c>
      <c r="D70" s="154"/>
      <c r="E70" s="203"/>
      <c r="F70" s="243" t="str">
        <f>IFERROR(INDEX('G-1 All Habitats'!$B$3:$B$129,MATCH(E70,'G-1 All Habitats'!$A$3:$A$129,0)),"")</f>
        <v/>
      </c>
      <c r="G70" s="386"/>
      <c r="H70" s="537" t="str">
        <f>IF(F70="","",VLOOKUP(F70,'G-1 All Habitats'!$B$2:$M$129,10,FALSE))</f>
        <v/>
      </c>
      <c r="I70" s="524" t="str">
        <f>IFERROR(VLOOKUP(H70,'G-1 All Habitats'!$V$3:$W$7,2,FALSE),"")</f>
        <v/>
      </c>
      <c r="J70" s="199"/>
      <c r="K70" s="524" t="str">
        <f>IFERROR(INDEX('G-8 Condition Look up'!$A$3:$H$130,MATCH(F70,'G-8 Condition Look up'!$A$3:$A$130,0),MATCH(J70,'G-8 Condition Look up'!$A$3:$H$3,0)),"")</f>
        <v/>
      </c>
      <c r="L70" s="145"/>
      <c r="M70" s="540" t="str">
        <f>IF(L70="","",IF(VLOOKUP(L70,'G-3 Multipliers'!$L$3:$N$6,2,FALSE)=0,"Spatial Data Missing ⚠",VLOOKUP(L70,'G-3 Multipliers'!$L$3:$N$6,2,FALSE)))</f>
        <v/>
      </c>
      <c r="N70" s="499" t="str">
        <f>IF(L70="","",IF(VLOOKUP(L70,'G-3 Multipliers'!$L$3:$N$6,3,FALSE)=0,"Spatial Data Missing ⚠",VLOOKUP(L70,'G-3 Multipliers'!$L$3:$N$6,3,FALSE)))</f>
        <v/>
      </c>
      <c r="O70" s="498" t="str">
        <f t="shared" si="1"/>
        <v/>
      </c>
      <c r="P70" s="195"/>
      <c r="Q70" s="195"/>
      <c r="R70" s="520" t="str">
        <f t="shared" si="2"/>
        <v/>
      </c>
      <c r="S70" s="544" t="str">
        <f t="shared" si="3"/>
        <v/>
      </c>
      <c r="T70" s="525" t="str">
        <f>IFERROR(IF(S70="Check Data ⚠","Check Data ⚠",VLOOKUP(S70,'G-4 Temporal multipliers'!$A$4:$C$37,3,FALSE)),"")</f>
        <v/>
      </c>
      <c r="U70" s="523" t="str">
        <f>IF(F70="","",VLOOKUP(F70,'G-3 Multipliers'!$A$2:$E$129,2,FALSE))</f>
        <v/>
      </c>
      <c r="V70" s="520" t="str">
        <f t="shared" si="4"/>
        <v/>
      </c>
      <c r="W70" s="520" t="str">
        <f>IF(E70="","",IF(AND(V70="Standard difficulty applied",O70&gt;P70),U70,IF(AND(V70="Low Difficulty - only applicable if all habitat created before losses ⚠",P70&gt;=O70),"Low",VLOOKUP(F70,'G-3 Multipliers'!$A$2:$E$129,4,FALSE))))</f>
        <v/>
      </c>
      <c r="X70" s="524" t="str">
        <f>IFERROR(IF(E70="","",VLOOKUP(W70, 'G-3 Multipliers'!$P$2:$Q$6,2,FALSE)),"")</f>
        <v/>
      </c>
      <c r="Y70" s="197"/>
      <c r="Z70" s="499" t="str">
        <f>IF(Y70="","",IF(VLOOKUP(Y70,'G-3 Multipliers'!$S$3:$T$9,2,FALSE)=0,"Spatial Data Missing ⚠",VLOOKUP(Y70,'G-3 Multipliers'!$S$3:$T$9,2,FALSE)))</f>
        <v/>
      </c>
      <c r="AA70" s="545" t="str">
        <f t="shared" si="0"/>
        <v/>
      </c>
      <c r="AB70" s="149"/>
      <c r="AC70" s="150"/>
    </row>
    <row r="71" spans="1:29" ht="14" x14ac:dyDescent="0.3">
      <c r="A71" s="31" t="str">
        <f>IFERROR(INDEX('G-8 Condition Look up'!$I$4:$I$130,MATCH(F71,'G-8 Condition Look up'!$A$4:$A$130,0)),"")</f>
        <v/>
      </c>
      <c r="C71" s="244" t="str">
        <f>IFERROR(INDEX('G-1 All Habitats'!$AG$3:$AG$15,MATCH(D71,'G-1 All Habitats'!$AF$3:$AF$15,0)),"")</f>
        <v/>
      </c>
      <c r="D71" s="154"/>
      <c r="E71" s="203"/>
      <c r="F71" s="243" t="str">
        <f>IFERROR(INDEX('G-1 All Habitats'!$B$3:$B$129,MATCH(E71,'G-1 All Habitats'!$A$3:$A$129,0)),"")</f>
        <v/>
      </c>
      <c r="G71" s="386"/>
      <c r="H71" s="537" t="str">
        <f>IF(F71="","",VLOOKUP(F71,'G-1 All Habitats'!$B$2:$M$129,10,FALSE))</f>
        <v/>
      </c>
      <c r="I71" s="524" t="str">
        <f>IFERROR(VLOOKUP(H71,'G-1 All Habitats'!$V$3:$W$7,2,FALSE),"")</f>
        <v/>
      </c>
      <c r="J71" s="199"/>
      <c r="K71" s="524" t="str">
        <f>IFERROR(INDEX('G-8 Condition Look up'!$A$3:$H$130,MATCH(F71,'G-8 Condition Look up'!$A$3:$A$130,0),MATCH(J71,'G-8 Condition Look up'!$A$3:$H$3,0)),"")</f>
        <v/>
      </c>
      <c r="L71" s="145"/>
      <c r="M71" s="540" t="str">
        <f>IF(L71="","",IF(VLOOKUP(L71,'G-3 Multipliers'!$L$3:$N$6,2,FALSE)=0,"Spatial Data Missing ⚠",VLOOKUP(L71,'G-3 Multipliers'!$L$3:$N$6,2,FALSE)))</f>
        <v/>
      </c>
      <c r="N71" s="499" t="str">
        <f>IF(L71="","",IF(VLOOKUP(L71,'G-3 Multipliers'!$L$3:$N$6,3,FALSE)=0,"Spatial Data Missing ⚠",VLOOKUP(L71,'G-3 Multipliers'!$L$3:$N$6,3,FALSE)))</f>
        <v/>
      </c>
      <c r="O71" s="498" t="str">
        <f t="shared" si="1"/>
        <v/>
      </c>
      <c r="P71" s="195"/>
      <c r="Q71" s="195"/>
      <c r="R71" s="520" t="str">
        <f t="shared" si="2"/>
        <v/>
      </c>
      <c r="S71" s="544" t="str">
        <f t="shared" si="3"/>
        <v/>
      </c>
      <c r="T71" s="525" t="str">
        <f>IFERROR(IF(S71="Check Data ⚠","Check Data ⚠",VLOOKUP(S71,'G-4 Temporal multipliers'!$A$4:$C$37,3,FALSE)),"")</f>
        <v/>
      </c>
      <c r="U71" s="523" t="str">
        <f>IF(F71="","",VLOOKUP(F71,'G-3 Multipliers'!$A$2:$E$129,2,FALSE))</f>
        <v/>
      </c>
      <c r="V71" s="520" t="str">
        <f t="shared" si="4"/>
        <v/>
      </c>
      <c r="W71" s="520" t="str">
        <f>IF(E71="","",IF(AND(V71="Standard difficulty applied",O71&gt;P71),U71,IF(AND(V71="Low Difficulty - only applicable if all habitat created before losses ⚠",P71&gt;=O71),"Low",VLOOKUP(F71,'G-3 Multipliers'!$A$2:$E$129,4,FALSE))))</f>
        <v/>
      </c>
      <c r="X71" s="524" t="str">
        <f>IFERROR(IF(E71="","",VLOOKUP(W71, 'G-3 Multipliers'!$P$2:$Q$6,2,FALSE)),"")</f>
        <v/>
      </c>
      <c r="Y71" s="197"/>
      <c r="Z71" s="499" t="str">
        <f>IF(Y71="","",IF(VLOOKUP(Y71,'G-3 Multipliers'!$S$3:$T$9,2,FALSE)=0,"Spatial Data Missing ⚠",VLOOKUP(Y71,'G-3 Multipliers'!$S$3:$T$9,2,FALSE)))</f>
        <v/>
      </c>
      <c r="AA71" s="545" t="str">
        <f t="shared" si="0"/>
        <v/>
      </c>
      <c r="AB71" s="149"/>
      <c r="AC71" s="150"/>
    </row>
    <row r="72" spans="1:29" ht="14" x14ac:dyDescent="0.3">
      <c r="A72" s="31" t="str">
        <f>IFERROR(INDEX('G-8 Condition Look up'!$I$4:$I$130,MATCH(F72,'G-8 Condition Look up'!$A$4:$A$130,0)),"")</f>
        <v/>
      </c>
      <c r="C72" s="244" t="str">
        <f>IFERROR(INDEX('G-1 All Habitats'!$AG$3:$AG$15,MATCH(D72,'G-1 All Habitats'!$AF$3:$AF$15,0)),"")</f>
        <v/>
      </c>
      <c r="D72" s="154"/>
      <c r="E72" s="203"/>
      <c r="F72" s="243" t="str">
        <f>IFERROR(INDEX('G-1 All Habitats'!$B$3:$B$129,MATCH(E72,'G-1 All Habitats'!$A$3:$A$129,0)),"")</f>
        <v/>
      </c>
      <c r="G72" s="386"/>
      <c r="H72" s="537" t="str">
        <f>IF(F72="","",VLOOKUP(F72,'G-1 All Habitats'!$B$2:$M$129,10,FALSE))</f>
        <v/>
      </c>
      <c r="I72" s="524" t="str">
        <f>IFERROR(VLOOKUP(H72,'G-1 All Habitats'!$V$3:$W$7,2,FALSE),"")</f>
        <v/>
      </c>
      <c r="J72" s="199"/>
      <c r="K72" s="524" t="str">
        <f>IFERROR(INDEX('G-8 Condition Look up'!$A$3:$H$130,MATCH(F72,'G-8 Condition Look up'!$A$3:$A$130,0),MATCH(J72,'G-8 Condition Look up'!$A$3:$H$3,0)),"")</f>
        <v/>
      </c>
      <c r="L72" s="145"/>
      <c r="M72" s="540" t="str">
        <f>IF(L72="","",IF(VLOOKUP(L72,'G-3 Multipliers'!$L$3:$N$6,2,FALSE)=0,"Spatial Data Missing ⚠",VLOOKUP(L72,'G-3 Multipliers'!$L$3:$N$6,2,FALSE)))</f>
        <v/>
      </c>
      <c r="N72" s="499" t="str">
        <f>IF(L72="","",IF(VLOOKUP(L72,'G-3 Multipliers'!$L$3:$N$6,3,FALSE)=0,"Spatial Data Missing ⚠",VLOOKUP(L72,'G-3 Multipliers'!$L$3:$N$6,3,FALSE)))</f>
        <v/>
      </c>
      <c r="O72" s="498" t="str">
        <f t="shared" si="1"/>
        <v/>
      </c>
      <c r="P72" s="195"/>
      <c r="Q72" s="195"/>
      <c r="R72" s="520" t="str">
        <f t="shared" si="2"/>
        <v/>
      </c>
      <c r="S72" s="544" t="str">
        <f t="shared" si="3"/>
        <v/>
      </c>
      <c r="T72" s="525" t="str">
        <f>IFERROR(IF(S72="Check Data ⚠","Check Data ⚠",VLOOKUP(S72,'G-4 Temporal multipliers'!$A$4:$C$37,3,FALSE)),"")</f>
        <v/>
      </c>
      <c r="U72" s="523" t="str">
        <f>IF(F72="","",VLOOKUP(F72,'G-3 Multipliers'!$A$2:$E$129,2,FALSE))</f>
        <v/>
      </c>
      <c r="V72" s="520" t="str">
        <f t="shared" si="4"/>
        <v/>
      </c>
      <c r="W72" s="520" t="str">
        <f>IF(E72="","",IF(AND(V72="Standard difficulty applied",O72&gt;P72),U72,IF(AND(V72="Low Difficulty - only applicable if all habitat created before losses ⚠",P72&gt;=O72),"Low",VLOOKUP(F72,'G-3 Multipliers'!$A$2:$E$129,4,FALSE))))</f>
        <v/>
      </c>
      <c r="X72" s="524" t="str">
        <f>IFERROR(IF(E72="","",VLOOKUP(W72, 'G-3 Multipliers'!$P$2:$Q$6,2,FALSE)),"")</f>
        <v/>
      </c>
      <c r="Y72" s="197"/>
      <c r="Z72" s="499" t="str">
        <f>IF(Y72="","",IF(VLOOKUP(Y72,'G-3 Multipliers'!$S$3:$T$9,2,FALSE)=0,"Spatial Data Missing ⚠",VLOOKUP(Y72,'G-3 Multipliers'!$S$3:$T$9,2,FALSE)))</f>
        <v/>
      </c>
      <c r="AA72" s="545" t="str">
        <f t="shared" si="0"/>
        <v/>
      </c>
      <c r="AB72" s="149"/>
      <c r="AC72" s="150"/>
    </row>
    <row r="73" spans="1:29" ht="14" x14ac:dyDescent="0.3">
      <c r="A73" s="31" t="str">
        <f>IFERROR(INDEX('G-8 Condition Look up'!$I$4:$I$130,MATCH(F73,'G-8 Condition Look up'!$A$4:$A$130,0)),"")</f>
        <v/>
      </c>
      <c r="C73" s="244" t="str">
        <f>IFERROR(INDEX('G-1 All Habitats'!$AG$3:$AG$15,MATCH(D73,'G-1 All Habitats'!$AF$3:$AF$15,0)),"")</f>
        <v/>
      </c>
      <c r="D73" s="154"/>
      <c r="E73" s="203"/>
      <c r="F73" s="243" t="str">
        <f>IFERROR(INDEX('G-1 All Habitats'!$B$3:$B$129,MATCH(E73,'G-1 All Habitats'!$A$3:$A$129,0)),"")</f>
        <v/>
      </c>
      <c r="G73" s="386"/>
      <c r="H73" s="537" t="str">
        <f>IF(F73="","",VLOOKUP(F73,'G-1 All Habitats'!$B$2:$M$129,10,FALSE))</f>
        <v/>
      </c>
      <c r="I73" s="524" t="str">
        <f>IFERROR(VLOOKUP(H73,'G-1 All Habitats'!$V$3:$W$7,2,FALSE),"")</f>
        <v/>
      </c>
      <c r="J73" s="199"/>
      <c r="K73" s="524" t="str">
        <f>IFERROR(INDEX('G-8 Condition Look up'!$A$3:$H$130,MATCH(F73,'G-8 Condition Look up'!$A$3:$A$130,0),MATCH(J73,'G-8 Condition Look up'!$A$3:$H$3,0)),"")</f>
        <v/>
      </c>
      <c r="L73" s="145"/>
      <c r="M73" s="540" t="str">
        <f>IF(L73="","",IF(VLOOKUP(L73,'G-3 Multipliers'!$L$3:$N$6,2,FALSE)=0,"Spatial Data Missing ⚠",VLOOKUP(L73,'G-3 Multipliers'!$L$3:$N$6,2,FALSE)))</f>
        <v/>
      </c>
      <c r="N73" s="499" t="str">
        <f>IF(L73="","",IF(VLOOKUP(L73,'G-3 Multipliers'!$L$3:$N$6,3,FALSE)=0,"Spatial Data Missing ⚠",VLOOKUP(L73,'G-3 Multipliers'!$L$3:$N$6,3,FALSE)))</f>
        <v/>
      </c>
      <c r="O73" s="498" t="str">
        <f t="shared" si="1"/>
        <v/>
      </c>
      <c r="P73" s="195"/>
      <c r="Q73" s="195"/>
      <c r="R73" s="520" t="str">
        <f t="shared" si="2"/>
        <v/>
      </c>
      <c r="S73" s="544" t="str">
        <f t="shared" si="3"/>
        <v/>
      </c>
      <c r="T73" s="525" t="str">
        <f>IFERROR(IF(S73="Check Data ⚠","Check Data ⚠",VLOOKUP(S73,'G-4 Temporal multipliers'!$A$4:$C$37,3,FALSE)),"")</f>
        <v/>
      </c>
      <c r="U73" s="523" t="str">
        <f>IF(F73="","",VLOOKUP(F73,'G-3 Multipliers'!$A$2:$E$129,2,FALSE))</f>
        <v/>
      </c>
      <c r="V73" s="520" t="str">
        <f t="shared" si="4"/>
        <v/>
      </c>
      <c r="W73" s="520" t="str">
        <f>IF(E73="","",IF(AND(V73="Standard difficulty applied",O73&gt;P73),U73,IF(AND(V73="Low Difficulty - only applicable if all habitat created before losses ⚠",P73&gt;=O73),"Low",VLOOKUP(F73,'G-3 Multipliers'!$A$2:$E$129,4,FALSE))))</f>
        <v/>
      </c>
      <c r="X73" s="524" t="str">
        <f>IFERROR(IF(E73="","",VLOOKUP(W73, 'G-3 Multipliers'!$P$2:$Q$6,2,FALSE)),"")</f>
        <v/>
      </c>
      <c r="Y73" s="197"/>
      <c r="Z73" s="499" t="str">
        <f>IF(Y73="","",IF(VLOOKUP(Y73,'G-3 Multipliers'!$S$3:$T$9,2,FALSE)=0,"Spatial Data Missing ⚠",VLOOKUP(Y73,'G-3 Multipliers'!$S$3:$T$9,2,FALSE)))</f>
        <v/>
      </c>
      <c r="AA73" s="545" t="str">
        <f t="shared" si="0"/>
        <v/>
      </c>
      <c r="AB73" s="149"/>
      <c r="AC73" s="150"/>
    </row>
    <row r="74" spans="1:29" ht="14" x14ac:dyDescent="0.3">
      <c r="A74" s="31" t="str">
        <f>IFERROR(INDEX('G-8 Condition Look up'!$I$4:$I$130,MATCH(F74,'G-8 Condition Look up'!$A$4:$A$130,0)),"")</f>
        <v/>
      </c>
      <c r="C74" s="244" t="str">
        <f>IFERROR(INDEX('G-1 All Habitats'!$AG$3:$AG$15,MATCH(D74,'G-1 All Habitats'!$AF$3:$AF$15,0)),"")</f>
        <v/>
      </c>
      <c r="D74" s="154"/>
      <c r="E74" s="203"/>
      <c r="F74" s="243" t="str">
        <f>IFERROR(INDEX('G-1 All Habitats'!$B$3:$B$129,MATCH(E74,'G-1 All Habitats'!$A$3:$A$129,0)),"")</f>
        <v/>
      </c>
      <c r="G74" s="386"/>
      <c r="H74" s="537" t="str">
        <f>IF(F74="","",VLOOKUP(F74,'G-1 All Habitats'!$B$2:$M$129,10,FALSE))</f>
        <v/>
      </c>
      <c r="I74" s="524" t="str">
        <f>IFERROR(VLOOKUP(H74,'G-1 All Habitats'!$V$3:$W$7,2,FALSE),"")</f>
        <v/>
      </c>
      <c r="J74" s="199"/>
      <c r="K74" s="524" t="str">
        <f>IFERROR(INDEX('G-8 Condition Look up'!$A$3:$H$130,MATCH(F74,'G-8 Condition Look up'!$A$3:$A$130,0),MATCH(J74,'G-8 Condition Look up'!$A$3:$H$3,0)),"")</f>
        <v/>
      </c>
      <c r="L74" s="145"/>
      <c r="M74" s="540" t="str">
        <f>IF(L74="","",IF(VLOOKUP(L74,'G-3 Multipliers'!$L$3:$N$6,2,FALSE)=0,"Spatial Data Missing ⚠",VLOOKUP(L74,'G-3 Multipliers'!$L$3:$N$6,2,FALSE)))</f>
        <v/>
      </c>
      <c r="N74" s="499" t="str">
        <f>IF(L74="","",IF(VLOOKUP(L74,'G-3 Multipliers'!$L$3:$N$6,3,FALSE)=0,"Spatial Data Missing ⚠",VLOOKUP(L74,'G-3 Multipliers'!$L$3:$N$6,3,FALSE)))</f>
        <v/>
      </c>
      <c r="O74" s="498" t="str">
        <f t="shared" si="1"/>
        <v/>
      </c>
      <c r="P74" s="195"/>
      <c r="Q74" s="195"/>
      <c r="R74" s="520" t="str">
        <f t="shared" si="2"/>
        <v/>
      </c>
      <c r="S74" s="544" t="str">
        <f t="shared" si="3"/>
        <v/>
      </c>
      <c r="T74" s="525" t="str">
        <f>IFERROR(IF(S74="Check Data ⚠","Check Data ⚠",VLOOKUP(S74,'G-4 Temporal multipliers'!$A$4:$C$37,3,FALSE)),"")</f>
        <v/>
      </c>
      <c r="U74" s="523" t="str">
        <f>IF(F74="","",VLOOKUP(F74,'G-3 Multipliers'!$A$2:$E$129,2,FALSE))</f>
        <v/>
      </c>
      <c r="V74" s="520" t="str">
        <f t="shared" si="4"/>
        <v/>
      </c>
      <c r="W74" s="520" t="str">
        <f>IF(E74="","",IF(AND(V74="Standard difficulty applied",O74&gt;P74),U74,IF(AND(V74="Low Difficulty - only applicable if all habitat created before losses ⚠",P74&gt;=O74),"Low",VLOOKUP(F74,'G-3 Multipliers'!$A$2:$E$129,4,FALSE))))</f>
        <v/>
      </c>
      <c r="X74" s="524" t="str">
        <f>IFERROR(IF(E74="","",VLOOKUP(W74, 'G-3 Multipliers'!$P$2:$Q$6,2,FALSE)),"")</f>
        <v/>
      </c>
      <c r="Y74" s="197"/>
      <c r="Z74" s="499" t="str">
        <f>IF(Y74="","",IF(VLOOKUP(Y74,'G-3 Multipliers'!$S$3:$T$9,2,FALSE)=0,"Spatial Data Missing ⚠",VLOOKUP(Y74,'G-3 Multipliers'!$S$3:$T$9,2,FALSE)))</f>
        <v/>
      </c>
      <c r="AA74" s="545" t="str">
        <f t="shared" si="0"/>
        <v/>
      </c>
      <c r="AB74" s="149"/>
      <c r="AC74" s="150"/>
    </row>
    <row r="75" spans="1:29" ht="14" x14ac:dyDescent="0.3">
      <c r="A75" s="31" t="str">
        <f>IFERROR(INDEX('G-8 Condition Look up'!$I$4:$I$130,MATCH(F75,'G-8 Condition Look up'!$A$4:$A$130,0)),"")</f>
        <v/>
      </c>
      <c r="C75" s="244" t="str">
        <f>IFERROR(INDEX('G-1 All Habitats'!$AG$3:$AG$15,MATCH(D75,'G-1 All Habitats'!$AF$3:$AF$15,0)),"")</f>
        <v/>
      </c>
      <c r="D75" s="154"/>
      <c r="E75" s="203"/>
      <c r="F75" s="243" t="str">
        <f>IFERROR(INDEX('G-1 All Habitats'!$B$3:$B$129,MATCH(E75,'G-1 All Habitats'!$A$3:$A$129,0)),"")</f>
        <v/>
      </c>
      <c r="G75" s="386"/>
      <c r="H75" s="537" t="str">
        <f>IF(F75="","",VLOOKUP(F75,'G-1 All Habitats'!$B$2:$M$129,10,FALSE))</f>
        <v/>
      </c>
      <c r="I75" s="524" t="str">
        <f>IFERROR(VLOOKUP(H75,'G-1 All Habitats'!$V$3:$W$7,2,FALSE),"")</f>
        <v/>
      </c>
      <c r="J75" s="199"/>
      <c r="K75" s="524" t="str">
        <f>IFERROR(INDEX('G-8 Condition Look up'!$A$3:$H$130,MATCH(F75,'G-8 Condition Look up'!$A$3:$A$130,0),MATCH(J75,'G-8 Condition Look up'!$A$3:$H$3,0)),"")</f>
        <v/>
      </c>
      <c r="L75" s="145"/>
      <c r="M75" s="540" t="str">
        <f>IF(L75="","",IF(VLOOKUP(L75,'G-3 Multipliers'!$L$3:$N$6,2,FALSE)=0,"Spatial Data Missing ⚠",VLOOKUP(L75,'G-3 Multipliers'!$L$3:$N$6,2,FALSE)))</f>
        <v/>
      </c>
      <c r="N75" s="499" t="str">
        <f>IF(L75="","",IF(VLOOKUP(L75,'G-3 Multipliers'!$L$3:$N$6,3,FALSE)=0,"Spatial Data Missing ⚠",VLOOKUP(L75,'G-3 Multipliers'!$L$3:$N$6,3,FALSE)))</f>
        <v/>
      </c>
      <c r="O75" s="498" t="str">
        <f t="shared" ref="O75:O138" si="5">IFERROR(INDEX(TemporalData,MATCH(F75,TemporalHabitats,0),MATCH(J75,TemporalConditions,0)),"")</f>
        <v/>
      </c>
      <c r="P75" s="195"/>
      <c r="Q75" s="195"/>
      <c r="R75" s="520" t="str">
        <f t="shared" si="2"/>
        <v/>
      </c>
      <c r="S75" s="544" t="str">
        <f t="shared" si="3"/>
        <v/>
      </c>
      <c r="T75" s="525" t="str">
        <f>IFERROR(IF(S75="Check Data ⚠","Check Data ⚠",VLOOKUP(S75,'G-4 Temporal multipliers'!$A$4:$C$37,3,FALSE)),"")</f>
        <v/>
      </c>
      <c r="U75" s="523" t="str">
        <f>IF(F75="","",VLOOKUP(F75,'G-3 Multipliers'!$A$2:$E$129,2,FALSE))</f>
        <v/>
      </c>
      <c r="V75" s="520" t="str">
        <f t="shared" si="4"/>
        <v/>
      </c>
      <c r="W75" s="520" t="str">
        <f>IF(E75="","",IF(AND(V75="Standard difficulty applied",O75&gt;P75),U75,IF(AND(V75="Low Difficulty - only applicable if all habitat created before losses ⚠",P75&gt;=O75),"Low",VLOOKUP(F75,'G-3 Multipliers'!$A$2:$E$129,4,FALSE))))</f>
        <v/>
      </c>
      <c r="X75" s="524" t="str">
        <f>IFERROR(IF(E75="","",VLOOKUP(W75, 'G-3 Multipliers'!$P$2:$Q$6,2,FALSE)),"")</f>
        <v/>
      </c>
      <c r="Y75" s="197"/>
      <c r="Z75" s="499" t="str">
        <f>IF(Y75="","",IF(VLOOKUP(Y75,'G-3 Multipliers'!$S$3:$T$9,2,FALSE)=0,"Spatial Data Missing ⚠",VLOOKUP(Y75,'G-3 Multipliers'!$S$3:$T$9,2,FALSE)))</f>
        <v/>
      </c>
      <c r="AA75" s="545" t="str">
        <f t="shared" si="0"/>
        <v/>
      </c>
      <c r="AB75" s="149"/>
      <c r="AC75" s="150"/>
    </row>
    <row r="76" spans="1:29" ht="14" x14ac:dyDescent="0.3">
      <c r="A76" s="31" t="str">
        <f>IFERROR(INDEX('G-8 Condition Look up'!$I$4:$I$130,MATCH(F76,'G-8 Condition Look up'!$A$4:$A$130,0)),"")</f>
        <v/>
      </c>
      <c r="C76" s="244" t="str">
        <f>IFERROR(INDEX('G-1 All Habitats'!$AG$3:$AG$15,MATCH(D76,'G-1 All Habitats'!$AF$3:$AF$15,0)),"")</f>
        <v/>
      </c>
      <c r="D76" s="154"/>
      <c r="E76" s="203"/>
      <c r="F76" s="243" t="str">
        <f>IFERROR(INDEX('G-1 All Habitats'!$B$3:$B$129,MATCH(E76,'G-1 All Habitats'!$A$3:$A$129,0)),"")</f>
        <v/>
      </c>
      <c r="G76" s="386"/>
      <c r="H76" s="537" t="str">
        <f>IF(F76="","",VLOOKUP(F76,'G-1 All Habitats'!$B$2:$M$129,10,FALSE))</f>
        <v/>
      </c>
      <c r="I76" s="524" t="str">
        <f>IFERROR(VLOOKUP(H76,'G-1 All Habitats'!$V$3:$W$7,2,FALSE),"")</f>
        <v/>
      </c>
      <c r="J76" s="199"/>
      <c r="K76" s="524" t="str">
        <f>IFERROR(INDEX('G-8 Condition Look up'!$A$3:$H$130,MATCH(F76,'G-8 Condition Look up'!$A$3:$A$130,0),MATCH(J76,'G-8 Condition Look up'!$A$3:$H$3,0)),"")</f>
        <v/>
      </c>
      <c r="L76" s="145"/>
      <c r="M76" s="540" t="str">
        <f>IF(L76="","",IF(VLOOKUP(L76,'G-3 Multipliers'!$L$3:$N$6,2,FALSE)=0,"Spatial Data Missing ⚠",VLOOKUP(L76,'G-3 Multipliers'!$L$3:$N$6,2,FALSE)))</f>
        <v/>
      </c>
      <c r="N76" s="499" t="str">
        <f>IF(L76="","",IF(VLOOKUP(L76,'G-3 Multipliers'!$L$3:$N$6,3,FALSE)=0,"Spatial Data Missing ⚠",VLOOKUP(L76,'G-3 Multipliers'!$L$3:$N$6,3,FALSE)))</f>
        <v/>
      </c>
      <c r="O76" s="498" t="str">
        <f t="shared" si="5"/>
        <v/>
      </c>
      <c r="P76" s="195"/>
      <c r="Q76" s="195"/>
      <c r="R76" s="520" t="str">
        <f t="shared" ref="R76:R139" si="6">IF(E76="","",IF(AND(P76&gt;0,Q76&gt;0),"Error -both advance and delayed habitat creation ▲",IF(AND(OR(P76="Habitat already in target condition",O76&lt;=P76),Q76=0,I76&gt;0),"Check details - Is there evidence that habitat has reached target condition? ⚠",IF(O76="","",IF(AND(P76&gt;=AE76,P76&gt;0),"Check details - Is there evidence habitat creation started and the threshold for Poor condition reached? ⚠",IF(Q76&gt;0,"Check details- Delay in starting habitat in required condition? ⚠",IF(P76&gt;0,"Check details - Is there evidence habitat creation started/in place? ⚠","Standard time to target condition applied")))))))</f>
        <v/>
      </c>
      <c r="S76" s="544" t="str">
        <f t="shared" ref="S76:S139" si="7">IF(R76="Error -both advance and delayed habitat creation ▲","Check Data ⚠",IF(O76="Not Possible","Check Data ⚠",IF(O76="","",IF(AND(O76="30+",P76=0),"30+ ⚠",IF(AND(O76="30+",P76="30+ ⚠"),0,IF(AND(O76="30+",P76&lt;32),30-P76,IF(O76="30+",30-P76,IF(P76&gt;O76,0,IF(Q76="30+","30+ ⚠",IF(O76+Q76&gt;30,"30+ ⚠",IF(O76+Q76&gt;30,"30+ ⚠",IF(O76-P76&gt;30,"30+ ⚠",IF(O76+Q76-P76&gt;0,O76+Q76-P76,IF(O76-P76&gt;0,O76-P76,O76+Q76-P76))))))))))))))</f>
        <v/>
      </c>
      <c r="T76" s="525" t="str">
        <f>IFERROR(IF(S76="Check Data ⚠","Check Data ⚠",VLOOKUP(S76,'G-4 Temporal multipliers'!$A$4:$C$37,3,FALSE)),"")</f>
        <v/>
      </c>
      <c r="U76" s="523" t="str">
        <f>IF(F76="","",VLOOKUP(F76,'G-3 Multipliers'!$A$2:$E$129,2,FALSE))</f>
        <v/>
      </c>
      <c r="V76" s="520" t="str">
        <f t="shared" si="4"/>
        <v/>
      </c>
      <c r="W76" s="520" t="str">
        <f>IF(E76="","",IF(AND(V76="Standard difficulty applied",O76&gt;P76),U76,IF(AND(V76="Low Difficulty - only applicable if all habitat created before losses ⚠",P76&gt;=O76),"Low",VLOOKUP(F76,'G-3 Multipliers'!$A$2:$E$129,4,FALSE))))</f>
        <v/>
      </c>
      <c r="X76" s="524" t="str">
        <f>IFERROR(IF(E76="","",VLOOKUP(W76, 'G-3 Multipliers'!$P$2:$Q$6,2,FALSE)),"")</f>
        <v/>
      </c>
      <c r="Y76" s="197"/>
      <c r="Z76" s="499" t="str">
        <f>IF(Y76="","",IF(VLOOKUP(Y76,'G-3 Multipliers'!$S$3:$T$9,2,FALSE)=0,"Spatial Data Missing ⚠",VLOOKUP(Y76,'G-3 Multipliers'!$S$3:$T$9,2,FALSE)))</f>
        <v/>
      </c>
      <c r="AA76" s="545" t="str">
        <f t="shared" ref="AA76:AA139" si="8">IFERROR(G76*I76*K76*N76*T76*X76*Z76,"")</f>
        <v/>
      </c>
      <c r="AB76" s="149"/>
      <c r="AC76" s="150"/>
    </row>
    <row r="77" spans="1:29" ht="14" x14ac:dyDescent="0.3">
      <c r="A77" s="31" t="str">
        <f>IFERROR(INDEX('G-8 Condition Look up'!$I$4:$I$130,MATCH(F77,'G-8 Condition Look up'!$A$4:$A$130,0)),"")</f>
        <v/>
      </c>
      <c r="C77" s="244" t="str">
        <f>IFERROR(INDEX('G-1 All Habitats'!$AG$3:$AG$15,MATCH(D77,'G-1 All Habitats'!$AF$3:$AF$15,0)),"")</f>
        <v/>
      </c>
      <c r="D77" s="154"/>
      <c r="E77" s="203"/>
      <c r="F77" s="243" t="str">
        <f>IFERROR(INDEX('G-1 All Habitats'!$B$3:$B$129,MATCH(E77,'G-1 All Habitats'!$A$3:$A$129,0)),"")</f>
        <v/>
      </c>
      <c r="G77" s="386"/>
      <c r="H77" s="537" t="str">
        <f>IF(F77="","",VLOOKUP(F77,'G-1 All Habitats'!$B$2:$M$129,10,FALSE))</f>
        <v/>
      </c>
      <c r="I77" s="524" t="str">
        <f>IFERROR(VLOOKUP(H77,'G-1 All Habitats'!$V$3:$W$7,2,FALSE),"")</f>
        <v/>
      </c>
      <c r="J77" s="199"/>
      <c r="K77" s="524" t="str">
        <f>IFERROR(INDEX('G-8 Condition Look up'!$A$3:$H$130,MATCH(F77,'G-8 Condition Look up'!$A$3:$A$130,0),MATCH(J77,'G-8 Condition Look up'!$A$3:$H$3,0)),"")</f>
        <v/>
      </c>
      <c r="L77" s="145"/>
      <c r="M77" s="540" t="str">
        <f>IF(L77="","",IF(VLOOKUP(L77,'G-3 Multipliers'!$L$3:$N$6,2,FALSE)=0,"Spatial Data Missing ⚠",VLOOKUP(L77,'G-3 Multipliers'!$L$3:$N$6,2,FALSE)))</f>
        <v/>
      </c>
      <c r="N77" s="499" t="str">
        <f>IF(L77="","",IF(VLOOKUP(L77,'G-3 Multipliers'!$L$3:$N$6,3,FALSE)=0,"Spatial Data Missing ⚠",VLOOKUP(L77,'G-3 Multipliers'!$L$3:$N$6,3,FALSE)))</f>
        <v/>
      </c>
      <c r="O77" s="498" t="str">
        <f t="shared" si="5"/>
        <v/>
      </c>
      <c r="P77" s="195"/>
      <c r="Q77" s="195"/>
      <c r="R77" s="520" t="str">
        <f t="shared" si="6"/>
        <v/>
      </c>
      <c r="S77" s="544" t="str">
        <f t="shared" si="7"/>
        <v/>
      </c>
      <c r="T77" s="525" t="str">
        <f>IFERROR(IF(S77="Check Data ⚠","Check Data ⚠",VLOOKUP(S77,'G-4 Temporal multipliers'!$A$4:$C$37,3,FALSE)),"")</f>
        <v/>
      </c>
      <c r="U77" s="523" t="str">
        <f>IF(F77="","",VLOOKUP(F77,'G-3 Multipliers'!$A$2:$E$129,2,FALSE))</f>
        <v/>
      </c>
      <c r="V77" s="520" t="str">
        <f t="shared" ref="V77:V140" si="9">IF(F77="","",IF($R77="Check details - Is there evidence that habitat has reached target condition? ⚠","Low Difficulty - only applicable if all habitat created before losses ⚠",IF($R77="Check details - Is there evidence habitat creation started and the threshold for Poor condition reached? ⚠","Enhancement difficulty applied","Standard difficulty applied")))</f>
        <v/>
      </c>
      <c r="W77" s="520" t="str">
        <f>IF(E77="","",IF(AND(V77="Standard difficulty applied",O77&gt;P77),U77,IF(AND(V77="Low Difficulty - only applicable if all habitat created before losses ⚠",P77&gt;=O77),"Low",VLOOKUP(F77,'G-3 Multipliers'!$A$2:$E$129,4,FALSE))))</f>
        <v/>
      </c>
      <c r="X77" s="524" t="str">
        <f>IFERROR(IF(E77="","",VLOOKUP(W77, 'G-3 Multipliers'!$P$2:$Q$6,2,FALSE)),"")</f>
        <v/>
      </c>
      <c r="Y77" s="197"/>
      <c r="Z77" s="499" t="str">
        <f>IF(Y77="","",IF(VLOOKUP(Y77,'G-3 Multipliers'!$S$3:$T$9,2,FALSE)=0,"Spatial Data Missing ⚠",VLOOKUP(Y77,'G-3 Multipliers'!$S$3:$T$9,2,FALSE)))</f>
        <v/>
      </c>
      <c r="AA77" s="545" t="str">
        <f t="shared" si="8"/>
        <v/>
      </c>
      <c r="AB77" s="149"/>
      <c r="AC77" s="150"/>
    </row>
    <row r="78" spans="1:29" ht="14" x14ac:dyDescent="0.3">
      <c r="A78" s="31" t="str">
        <f>IFERROR(INDEX('G-8 Condition Look up'!$I$4:$I$130,MATCH(F78,'G-8 Condition Look up'!$A$4:$A$130,0)),"")</f>
        <v/>
      </c>
      <c r="C78" s="244" t="str">
        <f>IFERROR(INDEX('G-1 All Habitats'!$AG$3:$AG$15,MATCH(D78,'G-1 All Habitats'!$AF$3:$AF$15,0)),"")</f>
        <v/>
      </c>
      <c r="D78" s="154"/>
      <c r="E78" s="203"/>
      <c r="F78" s="243" t="str">
        <f>IFERROR(INDEX('G-1 All Habitats'!$B$3:$B$129,MATCH(E78,'G-1 All Habitats'!$A$3:$A$129,0)),"")</f>
        <v/>
      </c>
      <c r="G78" s="386"/>
      <c r="H78" s="537" t="str">
        <f>IF(F78="","",VLOOKUP(F78,'G-1 All Habitats'!$B$2:$M$129,10,FALSE))</f>
        <v/>
      </c>
      <c r="I78" s="524" t="str">
        <f>IFERROR(VLOOKUP(H78,'G-1 All Habitats'!$V$3:$W$7,2,FALSE),"")</f>
        <v/>
      </c>
      <c r="J78" s="199"/>
      <c r="K78" s="524" t="str">
        <f>IFERROR(INDEX('G-8 Condition Look up'!$A$3:$H$130,MATCH(F78,'G-8 Condition Look up'!$A$3:$A$130,0),MATCH(J78,'G-8 Condition Look up'!$A$3:$H$3,0)),"")</f>
        <v/>
      </c>
      <c r="L78" s="145"/>
      <c r="M78" s="540" t="str">
        <f>IF(L78="","",IF(VLOOKUP(L78,'G-3 Multipliers'!$L$3:$N$6,2,FALSE)=0,"Spatial Data Missing ⚠",VLOOKUP(L78,'G-3 Multipliers'!$L$3:$N$6,2,FALSE)))</f>
        <v/>
      </c>
      <c r="N78" s="499" t="str">
        <f>IF(L78="","",IF(VLOOKUP(L78,'G-3 Multipliers'!$L$3:$N$6,3,FALSE)=0,"Spatial Data Missing ⚠",VLOOKUP(L78,'G-3 Multipliers'!$L$3:$N$6,3,FALSE)))</f>
        <v/>
      </c>
      <c r="O78" s="498" t="str">
        <f t="shared" si="5"/>
        <v/>
      </c>
      <c r="P78" s="195"/>
      <c r="Q78" s="195"/>
      <c r="R78" s="520" t="str">
        <f t="shared" si="6"/>
        <v/>
      </c>
      <c r="S78" s="544" t="str">
        <f t="shared" si="7"/>
        <v/>
      </c>
      <c r="T78" s="525" t="str">
        <f>IFERROR(IF(S78="Check Data ⚠","Check Data ⚠",VLOOKUP(S78,'G-4 Temporal multipliers'!$A$4:$C$37,3,FALSE)),"")</f>
        <v/>
      </c>
      <c r="U78" s="523" t="str">
        <f>IF(F78="","",VLOOKUP(F78,'G-3 Multipliers'!$A$2:$E$129,2,FALSE))</f>
        <v/>
      </c>
      <c r="V78" s="520" t="str">
        <f t="shared" si="9"/>
        <v/>
      </c>
      <c r="W78" s="520" t="str">
        <f>IF(E78="","",IF(AND(V78="Standard difficulty applied",O78&gt;P78),U78,IF(AND(V78="Low Difficulty - only applicable if all habitat created before losses ⚠",P78&gt;=O78),"Low",VLOOKUP(F78,'G-3 Multipliers'!$A$2:$E$129,4,FALSE))))</f>
        <v/>
      </c>
      <c r="X78" s="524" t="str">
        <f>IFERROR(IF(E78="","",VLOOKUP(W78, 'G-3 Multipliers'!$P$2:$Q$6,2,FALSE)),"")</f>
        <v/>
      </c>
      <c r="Y78" s="197"/>
      <c r="Z78" s="499" t="str">
        <f>IF(Y78="","",IF(VLOOKUP(Y78,'G-3 Multipliers'!$S$3:$T$9,2,FALSE)=0,"Spatial Data Missing ⚠",VLOOKUP(Y78,'G-3 Multipliers'!$S$3:$T$9,2,FALSE)))</f>
        <v/>
      </c>
      <c r="AA78" s="545" t="str">
        <f t="shared" si="8"/>
        <v/>
      </c>
      <c r="AB78" s="149"/>
      <c r="AC78" s="150"/>
    </row>
    <row r="79" spans="1:29" ht="14" x14ac:dyDescent="0.3">
      <c r="A79" s="31" t="str">
        <f>IFERROR(INDEX('G-8 Condition Look up'!$I$4:$I$130,MATCH(F79,'G-8 Condition Look up'!$A$4:$A$130,0)),"")</f>
        <v/>
      </c>
      <c r="C79" s="244" t="str">
        <f>IFERROR(INDEX('G-1 All Habitats'!$AG$3:$AG$15,MATCH(D79,'G-1 All Habitats'!$AF$3:$AF$15,0)),"")</f>
        <v/>
      </c>
      <c r="D79" s="154"/>
      <c r="E79" s="203"/>
      <c r="F79" s="243" t="str">
        <f>IFERROR(INDEX('G-1 All Habitats'!$B$3:$B$129,MATCH(E79,'G-1 All Habitats'!$A$3:$A$129,0)),"")</f>
        <v/>
      </c>
      <c r="G79" s="386"/>
      <c r="H79" s="537" t="str">
        <f>IF(F79="","",VLOOKUP(F79,'G-1 All Habitats'!$B$2:$M$129,10,FALSE))</f>
        <v/>
      </c>
      <c r="I79" s="524" t="str">
        <f>IFERROR(VLOOKUP(H79,'G-1 All Habitats'!$V$3:$W$7,2,FALSE),"")</f>
        <v/>
      </c>
      <c r="J79" s="199"/>
      <c r="K79" s="524" t="str">
        <f>IFERROR(INDEX('G-8 Condition Look up'!$A$3:$H$130,MATCH(F79,'G-8 Condition Look up'!$A$3:$A$130,0),MATCH(J79,'G-8 Condition Look up'!$A$3:$H$3,0)),"")</f>
        <v/>
      </c>
      <c r="L79" s="145"/>
      <c r="M79" s="540" t="str">
        <f>IF(L79="","",IF(VLOOKUP(L79,'G-3 Multipliers'!$L$3:$N$6,2,FALSE)=0,"Spatial Data Missing ⚠",VLOOKUP(L79,'G-3 Multipliers'!$L$3:$N$6,2,FALSE)))</f>
        <v/>
      </c>
      <c r="N79" s="499" t="str">
        <f>IF(L79="","",IF(VLOOKUP(L79,'G-3 Multipliers'!$L$3:$N$6,3,FALSE)=0,"Spatial Data Missing ⚠",VLOOKUP(L79,'G-3 Multipliers'!$L$3:$N$6,3,FALSE)))</f>
        <v/>
      </c>
      <c r="O79" s="498" t="str">
        <f t="shared" si="5"/>
        <v/>
      </c>
      <c r="P79" s="195"/>
      <c r="Q79" s="195"/>
      <c r="R79" s="520" t="str">
        <f t="shared" si="6"/>
        <v/>
      </c>
      <c r="S79" s="544" t="str">
        <f t="shared" si="7"/>
        <v/>
      </c>
      <c r="T79" s="525" t="str">
        <f>IFERROR(IF(S79="Check Data ⚠","Check Data ⚠",VLOOKUP(S79,'G-4 Temporal multipliers'!$A$4:$C$37,3,FALSE)),"")</f>
        <v/>
      </c>
      <c r="U79" s="523" t="str">
        <f>IF(F79="","",VLOOKUP(F79,'G-3 Multipliers'!$A$2:$E$129,2,FALSE))</f>
        <v/>
      </c>
      <c r="V79" s="520" t="str">
        <f t="shared" si="9"/>
        <v/>
      </c>
      <c r="W79" s="520" t="str">
        <f>IF(E79="","",IF(AND(V79="Standard difficulty applied",O79&gt;P79),U79,IF(AND(V79="Low Difficulty - only applicable if all habitat created before losses ⚠",P79&gt;=O79),"Low",VLOOKUP(F79,'G-3 Multipliers'!$A$2:$E$129,4,FALSE))))</f>
        <v/>
      </c>
      <c r="X79" s="524" t="str">
        <f>IFERROR(IF(E79="","",VLOOKUP(W79, 'G-3 Multipliers'!$P$2:$Q$6,2,FALSE)),"")</f>
        <v/>
      </c>
      <c r="Y79" s="197"/>
      <c r="Z79" s="499" t="str">
        <f>IF(Y79="","",IF(VLOOKUP(Y79,'G-3 Multipliers'!$S$3:$T$9,2,FALSE)=0,"Spatial Data Missing ⚠",VLOOKUP(Y79,'G-3 Multipliers'!$S$3:$T$9,2,FALSE)))</f>
        <v/>
      </c>
      <c r="AA79" s="545" t="str">
        <f t="shared" si="8"/>
        <v/>
      </c>
      <c r="AB79" s="149"/>
      <c r="AC79" s="150"/>
    </row>
    <row r="80" spans="1:29" ht="14" x14ac:dyDescent="0.3">
      <c r="A80" s="31" t="str">
        <f>IFERROR(INDEX('G-8 Condition Look up'!$I$4:$I$130,MATCH(F80,'G-8 Condition Look up'!$A$4:$A$130,0)),"")</f>
        <v/>
      </c>
      <c r="C80" s="244" t="str">
        <f>IFERROR(INDEX('G-1 All Habitats'!$AG$3:$AG$15,MATCH(D80,'G-1 All Habitats'!$AF$3:$AF$15,0)),"")</f>
        <v/>
      </c>
      <c r="D80" s="154"/>
      <c r="E80" s="203"/>
      <c r="F80" s="243" t="str">
        <f>IFERROR(INDEX('G-1 All Habitats'!$B$3:$B$129,MATCH(E80,'G-1 All Habitats'!$A$3:$A$129,0)),"")</f>
        <v/>
      </c>
      <c r="G80" s="386"/>
      <c r="H80" s="537" t="str">
        <f>IF(F80="","",VLOOKUP(F80,'G-1 All Habitats'!$B$2:$M$129,10,FALSE))</f>
        <v/>
      </c>
      <c r="I80" s="524" t="str">
        <f>IFERROR(VLOOKUP(H80,'G-1 All Habitats'!$V$3:$W$7,2,FALSE),"")</f>
        <v/>
      </c>
      <c r="J80" s="199"/>
      <c r="K80" s="524" t="str">
        <f>IFERROR(INDEX('G-8 Condition Look up'!$A$3:$H$130,MATCH(F80,'G-8 Condition Look up'!$A$3:$A$130,0),MATCH(J80,'G-8 Condition Look up'!$A$3:$H$3,0)),"")</f>
        <v/>
      </c>
      <c r="L80" s="145"/>
      <c r="M80" s="540" t="str">
        <f>IF(L80="","",IF(VLOOKUP(L80,'G-3 Multipliers'!$L$3:$N$6,2,FALSE)=0,"Spatial Data Missing ⚠",VLOOKUP(L80,'G-3 Multipliers'!$L$3:$N$6,2,FALSE)))</f>
        <v/>
      </c>
      <c r="N80" s="499" t="str">
        <f>IF(L80="","",IF(VLOOKUP(L80,'G-3 Multipliers'!$L$3:$N$6,3,FALSE)=0,"Spatial Data Missing ⚠",VLOOKUP(L80,'G-3 Multipliers'!$L$3:$N$6,3,FALSE)))</f>
        <v/>
      </c>
      <c r="O80" s="498" t="str">
        <f t="shared" si="5"/>
        <v/>
      </c>
      <c r="P80" s="195"/>
      <c r="Q80" s="195"/>
      <c r="R80" s="520" t="str">
        <f t="shared" si="6"/>
        <v/>
      </c>
      <c r="S80" s="544" t="str">
        <f t="shared" si="7"/>
        <v/>
      </c>
      <c r="T80" s="525" t="str">
        <f>IFERROR(IF(S80="Check Data ⚠","Check Data ⚠",VLOOKUP(S80,'G-4 Temporal multipliers'!$A$4:$C$37,3,FALSE)),"")</f>
        <v/>
      </c>
      <c r="U80" s="523" t="str">
        <f>IF(F80="","",VLOOKUP(F80,'G-3 Multipliers'!$A$2:$E$129,2,FALSE))</f>
        <v/>
      </c>
      <c r="V80" s="520" t="str">
        <f t="shared" si="9"/>
        <v/>
      </c>
      <c r="W80" s="520" t="str">
        <f>IF(E80="","",IF(AND(V80="Standard difficulty applied",O80&gt;P80),U80,IF(AND(V80="Low Difficulty - only applicable if all habitat created before losses ⚠",P80&gt;=O80),"Low",VLOOKUP(F80,'G-3 Multipliers'!$A$2:$E$129,4,FALSE))))</f>
        <v/>
      </c>
      <c r="X80" s="524" t="str">
        <f>IFERROR(IF(E80="","",VLOOKUP(W80, 'G-3 Multipliers'!$P$2:$Q$6,2,FALSE)),"")</f>
        <v/>
      </c>
      <c r="Y80" s="197"/>
      <c r="Z80" s="499" t="str">
        <f>IF(Y80="","",IF(VLOOKUP(Y80,'G-3 Multipliers'!$S$3:$T$9,2,FALSE)=0,"Spatial Data Missing ⚠",VLOOKUP(Y80,'G-3 Multipliers'!$S$3:$T$9,2,FALSE)))</f>
        <v/>
      </c>
      <c r="AA80" s="545" t="str">
        <f t="shared" si="8"/>
        <v/>
      </c>
      <c r="AB80" s="149"/>
      <c r="AC80" s="150"/>
    </row>
    <row r="81" spans="1:29" ht="14" x14ac:dyDescent="0.3">
      <c r="A81" s="31" t="str">
        <f>IFERROR(INDEX('G-8 Condition Look up'!$I$4:$I$130,MATCH(F81,'G-8 Condition Look up'!$A$4:$A$130,0)),"")</f>
        <v/>
      </c>
      <c r="C81" s="244" t="str">
        <f>IFERROR(INDEX('G-1 All Habitats'!$AG$3:$AG$15,MATCH(D81,'G-1 All Habitats'!$AF$3:$AF$15,0)),"")</f>
        <v/>
      </c>
      <c r="D81" s="154"/>
      <c r="E81" s="203"/>
      <c r="F81" s="243" t="str">
        <f>IFERROR(INDEX('G-1 All Habitats'!$B$3:$B$129,MATCH(E81,'G-1 All Habitats'!$A$3:$A$129,0)),"")</f>
        <v/>
      </c>
      <c r="G81" s="386"/>
      <c r="H81" s="537" t="str">
        <f>IF(F81="","",VLOOKUP(F81,'G-1 All Habitats'!$B$2:$M$129,10,FALSE))</f>
        <v/>
      </c>
      <c r="I81" s="524" t="str">
        <f>IFERROR(VLOOKUP(H81,'G-1 All Habitats'!$V$3:$W$7,2,FALSE),"")</f>
        <v/>
      </c>
      <c r="J81" s="199"/>
      <c r="K81" s="524" t="str">
        <f>IFERROR(INDEX('G-8 Condition Look up'!$A$3:$H$130,MATCH(F81,'G-8 Condition Look up'!$A$3:$A$130,0),MATCH(J81,'G-8 Condition Look up'!$A$3:$H$3,0)),"")</f>
        <v/>
      </c>
      <c r="L81" s="145"/>
      <c r="M81" s="540" t="str">
        <f>IF(L81="","",IF(VLOOKUP(L81,'G-3 Multipliers'!$L$3:$N$6,2,FALSE)=0,"Spatial Data Missing ⚠",VLOOKUP(L81,'G-3 Multipliers'!$L$3:$N$6,2,FALSE)))</f>
        <v/>
      </c>
      <c r="N81" s="499" t="str">
        <f>IF(L81="","",IF(VLOOKUP(L81,'G-3 Multipliers'!$L$3:$N$6,3,FALSE)=0,"Spatial Data Missing ⚠",VLOOKUP(L81,'G-3 Multipliers'!$L$3:$N$6,3,FALSE)))</f>
        <v/>
      </c>
      <c r="O81" s="498" t="str">
        <f t="shared" si="5"/>
        <v/>
      </c>
      <c r="P81" s="195"/>
      <c r="Q81" s="195"/>
      <c r="R81" s="520" t="str">
        <f t="shared" si="6"/>
        <v/>
      </c>
      <c r="S81" s="544" t="str">
        <f t="shared" si="7"/>
        <v/>
      </c>
      <c r="T81" s="525" t="str">
        <f>IFERROR(IF(S81="Check Data ⚠","Check Data ⚠",VLOOKUP(S81,'G-4 Temporal multipliers'!$A$4:$C$37,3,FALSE)),"")</f>
        <v/>
      </c>
      <c r="U81" s="523" t="str">
        <f>IF(F81="","",VLOOKUP(F81,'G-3 Multipliers'!$A$2:$E$129,2,FALSE))</f>
        <v/>
      </c>
      <c r="V81" s="520" t="str">
        <f t="shared" si="9"/>
        <v/>
      </c>
      <c r="W81" s="520" t="str">
        <f>IF(E81="","",IF(AND(V81="Standard difficulty applied",O81&gt;P81),U81,IF(AND(V81="Low Difficulty - only applicable if all habitat created before losses ⚠",P81&gt;=O81),"Low",VLOOKUP(F81,'G-3 Multipliers'!$A$2:$E$129,4,FALSE))))</f>
        <v/>
      </c>
      <c r="X81" s="524" t="str">
        <f>IFERROR(IF(E81="","",VLOOKUP(W81, 'G-3 Multipliers'!$P$2:$Q$6,2,FALSE)),"")</f>
        <v/>
      </c>
      <c r="Y81" s="197"/>
      <c r="Z81" s="499" t="str">
        <f>IF(Y81="","",IF(VLOOKUP(Y81,'G-3 Multipliers'!$S$3:$T$9,2,FALSE)=0,"Spatial Data Missing ⚠",VLOOKUP(Y81,'G-3 Multipliers'!$S$3:$T$9,2,FALSE)))</f>
        <v/>
      </c>
      <c r="AA81" s="545" t="str">
        <f t="shared" si="8"/>
        <v/>
      </c>
      <c r="AB81" s="149"/>
      <c r="AC81" s="150"/>
    </row>
    <row r="82" spans="1:29" ht="14" x14ac:dyDescent="0.3">
      <c r="A82" s="31" t="str">
        <f>IFERROR(INDEX('G-8 Condition Look up'!$I$4:$I$130,MATCH(F82,'G-8 Condition Look up'!$A$4:$A$130,0)),"")</f>
        <v/>
      </c>
      <c r="C82" s="244" t="str">
        <f>IFERROR(INDEX('G-1 All Habitats'!$AG$3:$AG$15,MATCH(D82,'G-1 All Habitats'!$AF$3:$AF$15,0)),"")</f>
        <v/>
      </c>
      <c r="D82" s="154"/>
      <c r="E82" s="203"/>
      <c r="F82" s="243" t="str">
        <f>IFERROR(INDEX('G-1 All Habitats'!$B$3:$B$129,MATCH(E82,'G-1 All Habitats'!$A$3:$A$129,0)),"")</f>
        <v/>
      </c>
      <c r="G82" s="386"/>
      <c r="H82" s="537" t="str">
        <f>IF(F82="","",VLOOKUP(F82,'G-1 All Habitats'!$B$2:$M$129,10,FALSE))</f>
        <v/>
      </c>
      <c r="I82" s="524" t="str">
        <f>IFERROR(VLOOKUP(H82,'G-1 All Habitats'!$V$3:$W$7,2,FALSE),"")</f>
        <v/>
      </c>
      <c r="J82" s="199"/>
      <c r="K82" s="524" t="str">
        <f>IFERROR(INDEX('G-8 Condition Look up'!$A$3:$H$130,MATCH(F82,'G-8 Condition Look up'!$A$3:$A$130,0),MATCH(J82,'G-8 Condition Look up'!$A$3:$H$3,0)),"")</f>
        <v/>
      </c>
      <c r="L82" s="145"/>
      <c r="M82" s="540" t="str">
        <f>IF(L82="","",IF(VLOOKUP(L82,'G-3 Multipliers'!$L$3:$N$6,2,FALSE)=0,"Spatial Data Missing ⚠",VLOOKUP(L82,'G-3 Multipliers'!$L$3:$N$6,2,FALSE)))</f>
        <v/>
      </c>
      <c r="N82" s="499" t="str">
        <f>IF(L82="","",IF(VLOOKUP(L82,'G-3 Multipliers'!$L$3:$N$6,3,FALSE)=0,"Spatial Data Missing ⚠",VLOOKUP(L82,'G-3 Multipliers'!$L$3:$N$6,3,FALSE)))</f>
        <v/>
      </c>
      <c r="O82" s="498" t="str">
        <f t="shared" si="5"/>
        <v/>
      </c>
      <c r="P82" s="195"/>
      <c r="Q82" s="195"/>
      <c r="R82" s="520" t="str">
        <f t="shared" si="6"/>
        <v/>
      </c>
      <c r="S82" s="544" t="str">
        <f t="shared" si="7"/>
        <v/>
      </c>
      <c r="T82" s="525" t="str">
        <f>IFERROR(IF(S82="Check Data ⚠","Check Data ⚠",VLOOKUP(S82,'G-4 Temporal multipliers'!$A$4:$C$37,3,FALSE)),"")</f>
        <v/>
      </c>
      <c r="U82" s="523" t="str">
        <f>IF(F82="","",VLOOKUP(F82,'G-3 Multipliers'!$A$2:$E$129,2,FALSE))</f>
        <v/>
      </c>
      <c r="V82" s="520" t="str">
        <f t="shared" si="9"/>
        <v/>
      </c>
      <c r="W82" s="520" t="str">
        <f>IF(E82="","",IF(AND(V82="Standard difficulty applied",O82&gt;P82),U82,IF(AND(V82="Low Difficulty - only applicable if all habitat created before losses ⚠",P82&gt;=O82),"Low",VLOOKUP(F82,'G-3 Multipliers'!$A$2:$E$129,4,FALSE))))</f>
        <v/>
      </c>
      <c r="X82" s="524" t="str">
        <f>IFERROR(IF(E82="","",VLOOKUP(W82, 'G-3 Multipliers'!$P$2:$Q$6,2,FALSE)),"")</f>
        <v/>
      </c>
      <c r="Y82" s="197"/>
      <c r="Z82" s="499" t="str">
        <f>IF(Y82="","",IF(VLOOKUP(Y82,'G-3 Multipliers'!$S$3:$T$9,2,FALSE)=0,"Spatial Data Missing ⚠",VLOOKUP(Y82,'G-3 Multipliers'!$S$3:$T$9,2,FALSE)))</f>
        <v/>
      </c>
      <c r="AA82" s="545" t="str">
        <f t="shared" si="8"/>
        <v/>
      </c>
      <c r="AB82" s="149"/>
      <c r="AC82" s="150"/>
    </row>
    <row r="83" spans="1:29" ht="14" x14ac:dyDescent="0.3">
      <c r="A83" s="31" t="str">
        <f>IFERROR(INDEX('G-8 Condition Look up'!$I$4:$I$130,MATCH(F83,'G-8 Condition Look up'!$A$4:$A$130,0)),"")</f>
        <v/>
      </c>
      <c r="C83" s="244" t="str">
        <f>IFERROR(INDEX('G-1 All Habitats'!$AG$3:$AG$15,MATCH(D83,'G-1 All Habitats'!$AF$3:$AF$15,0)),"")</f>
        <v/>
      </c>
      <c r="D83" s="154"/>
      <c r="E83" s="203"/>
      <c r="F83" s="243" t="str">
        <f>IFERROR(INDEX('G-1 All Habitats'!$B$3:$B$129,MATCH(E83,'G-1 All Habitats'!$A$3:$A$129,0)),"")</f>
        <v/>
      </c>
      <c r="G83" s="386"/>
      <c r="H83" s="537" t="str">
        <f>IF(F83="","",VLOOKUP(F83,'G-1 All Habitats'!$B$2:$M$129,10,FALSE))</f>
        <v/>
      </c>
      <c r="I83" s="524" t="str">
        <f>IFERROR(VLOOKUP(H83,'G-1 All Habitats'!$V$3:$W$7,2,FALSE),"")</f>
        <v/>
      </c>
      <c r="J83" s="199"/>
      <c r="K83" s="524" t="str">
        <f>IFERROR(INDEX('G-8 Condition Look up'!$A$3:$H$130,MATCH(F83,'G-8 Condition Look up'!$A$3:$A$130,0),MATCH(J83,'G-8 Condition Look up'!$A$3:$H$3,0)),"")</f>
        <v/>
      </c>
      <c r="L83" s="145"/>
      <c r="M83" s="540" t="str">
        <f>IF(L83="","",IF(VLOOKUP(L83,'G-3 Multipliers'!$L$3:$N$6,2,FALSE)=0,"Spatial Data Missing ⚠",VLOOKUP(L83,'G-3 Multipliers'!$L$3:$N$6,2,FALSE)))</f>
        <v/>
      </c>
      <c r="N83" s="499" t="str">
        <f>IF(L83="","",IF(VLOOKUP(L83,'G-3 Multipliers'!$L$3:$N$6,3,FALSE)=0,"Spatial Data Missing ⚠",VLOOKUP(L83,'G-3 Multipliers'!$L$3:$N$6,3,FALSE)))</f>
        <v/>
      </c>
      <c r="O83" s="498" t="str">
        <f t="shared" si="5"/>
        <v/>
      </c>
      <c r="P83" s="195"/>
      <c r="Q83" s="195"/>
      <c r="R83" s="520" t="str">
        <f t="shared" si="6"/>
        <v/>
      </c>
      <c r="S83" s="544" t="str">
        <f t="shared" si="7"/>
        <v/>
      </c>
      <c r="T83" s="525" t="str">
        <f>IFERROR(IF(S83="Check Data ⚠","Check Data ⚠",VLOOKUP(S83,'G-4 Temporal multipliers'!$A$4:$C$37,3,FALSE)),"")</f>
        <v/>
      </c>
      <c r="U83" s="523" t="str">
        <f>IF(F83="","",VLOOKUP(F83,'G-3 Multipliers'!$A$2:$E$129,2,FALSE))</f>
        <v/>
      </c>
      <c r="V83" s="520" t="str">
        <f t="shared" si="9"/>
        <v/>
      </c>
      <c r="W83" s="520" t="str">
        <f>IF(E83="","",IF(AND(V83="Standard difficulty applied",O83&gt;P83),U83,IF(AND(V83="Low Difficulty - only applicable if all habitat created before losses ⚠",P83&gt;=O83),"Low",VLOOKUP(F83,'G-3 Multipliers'!$A$2:$E$129,4,FALSE))))</f>
        <v/>
      </c>
      <c r="X83" s="524" t="str">
        <f>IFERROR(IF(E83="","",VLOOKUP(W83, 'G-3 Multipliers'!$P$2:$Q$6,2,FALSE)),"")</f>
        <v/>
      </c>
      <c r="Y83" s="197"/>
      <c r="Z83" s="499" t="str">
        <f>IF(Y83="","",IF(VLOOKUP(Y83,'G-3 Multipliers'!$S$3:$T$9,2,FALSE)=0,"Spatial Data Missing ⚠",VLOOKUP(Y83,'G-3 Multipliers'!$S$3:$T$9,2,FALSE)))</f>
        <v/>
      </c>
      <c r="AA83" s="545" t="str">
        <f t="shared" si="8"/>
        <v/>
      </c>
      <c r="AB83" s="149"/>
      <c r="AC83" s="150"/>
    </row>
    <row r="84" spans="1:29" ht="14" x14ac:dyDescent="0.3">
      <c r="A84" s="31" t="str">
        <f>IFERROR(INDEX('G-8 Condition Look up'!$I$4:$I$130,MATCH(F84,'G-8 Condition Look up'!$A$4:$A$130,0)),"")</f>
        <v/>
      </c>
      <c r="C84" s="244" t="str">
        <f>IFERROR(INDEX('G-1 All Habitats'!$AG$3:$AG$15,MATCH(D84,'G-1 All Habitats'!$AF$3:$AF$15,0)),"")</f>
        <v/>
      </c>
      <c r="D84" s="154"/>
      <c r="E84" s="203"/>
      <c r="F84" s="243" t="str">
        <f>IFERROR(INDEX('G-1 All Habitats'!$B$3:$B$129,MATCH(E84,'G-1 All Habitats'!$A$3:$A$129,0)),"")</f>
        <v/>
      </c>
      <c r="G84" s="386"/>
      <c r="H84" s="537" t="str">
        <f>IF(F84="","",VLOOKUP(F84,'G-1 All Habitats'!$B$2:$M$129,10,FALSE))</f>
        <v/>
      </c>
      <c r="I84" s="524" t="str">
        <f>IFERROR(VLOOKUP(H84,'G-1 All Habitats'!$V$3:$W$7,2,FALSE),"")</f>
        <v/>
      </c>
      <c r="J84" s="199"/>
      <c r="K84" s="524" t="str">
        <f>IFERROR(INDEX('G-8 Condition Look up'!$A$3:$H$130,MATCH(F84,'G-8 Condition Look up'!$A$3:$A$130,0),MATCH(J84,'G-8 Condition Look up'!$A$3:$H$3,0)),"")</f>
        <v/>
      </c>
      <c r="L84" s="145"/>
      <c r="M84" s="540" t="str">
        <f>IF(L84="","",IF(VLOOKUP(L84,'G-3 Multipliers'!$L$3:$N$6,2,FALSE)=0,"Spatial Data Missing ⚠",VLOOKUP(L84,'G-3 Multipliers'!$L$3:$N$6,2,FALSE)))</f>
        <v/>
      </c>
      <c r="N84" s="499" t="str">
        <f>IF(L84="","",IF(VLOOKUP(L84,'G-3 Multipliers'!$L$3:$N$6,3,FALSE)=0,"Spatial Data Missing ⚠",VLOOKUP(L84,'G-3 Multipliers'!$L$3:$N$6,3,FALSE)))</f>
        <v/>
      </c>
      <c r="O84" s="498" t="str">
        <f t="shared" si="5"/>
        <v/>
      </c>
      <c r="P84" s="195"/>
      <c r="Q84" s="195"/>
      <c r="R84" s="520" t="str">
        <f t="shared" si="6"/>
        <v/>
      </c>
      <c r="S84" s="544" t="str">
        <f t="shared" si="7"/>
        <v/>
      </c>
      <c r="T84" s="525" t="str">
        <f>IFERROR(IF(S84="Check Data ⚠","Check Data ⚠",VLOOKUP(S84,'G-4 Temporal multipliers'!$A$4:$C$37,3,FALSE)),"")</f>
        <v/>
      </c>
      <c r="U84" s="523" t="str">
        <f>IF(F84="","",VLOOKUP(F84,'G-3 Multipliers'!$A$2:$E$129,2,FALSE))</f>
        <v/>
      </c>
      <c r="V84" s="520" t="str">
        <f t="shared" si="9"/>
        <v/>
      </c>
      <c r="W84" s="520" t="str">
        <f>IF(E84="","",IF(AND(V84="Standard difficulty applied",O84&gt;P84),U84,IF(AND(V84="Low Difficulty - only applicable if all habitat created before losses ⚠",P84&gt;=O84),"Low",VLOOKUP(F84,'G-3 Multipliers'!$A$2:$E$129,4,FALSE))))</f>
        <v/>
      </c>
      <c r="X84" s="524" t="str">
        <f>IFERROR(IF(E84="","",VLOOKUP(W84, 'G-3 Multipliers'!$P$2:$Q$6,2,FALSE)),"")</f>
        <v/>
      </c>
      <c r="Y84" s="197"/>
      <c r="Z84" s="499" t="str">
        <f>IF(Y84="","",IF(VLOOKUP(Y84,'G-3 Multipliers'!$S$3:$T$9,2,FALSE)=0,"Spatial Data Missing ⚠",VLOOKUP(Y84,'G-3 Multipliers'!$S$3:$T$9,2,FALSE)))</f>
        <v/>
      </c>
      <c r="AA84" s="545" t="str">
        <f t="shared" si="8"/>
        <v/>
      </c>
      <c r="AB84" s="149"/>
      <c r="AC84" s="150"/>
    </row>
    <row r="85" spans="1:29" ht="14" x14ac:dyDescent="0.3">
      <c r="A85" s="31" t="str">
        <f>IFERROR(INDEX('G-8 Condition Look up'!$I$4:$I$130,MATCH(F85,'G-8 Condition Look up'!$A$4:$A$130,0)),"")</f>
        <v/>
      </c>
      <c r="C85" s="244" t="str">
        <f>IFERROR(INDEX('G-1 All Habitats'!$AG$3:$AG$15,MATCH(D85,'G-1 All Habitats'!$AF$3:$AF$15,0)),"")</f>
        <v/>
      </c>
      <c r="D85" s="154"/>
      <c r="E85" s="203"/>
      <c r="F85" s="243" t="str">
        <f>IFERROR(INDEX('G-1 All Habitats'!$B$3:$B$129,MATCH(E85,'G-1 All Habitats'!$A$3:$A$129,0)),"")</f>
        <v/>
      </c>
      <c r="G85" s="386"/>
      <c r="H85" s="537" t="str">
        <f>IF(F85="","",VLOOKUP(F85,'G-1 All Habitats'!$B$2:$M$129,10,FALSE))</f>
        <v/>
      </c>
      <c r="I85" s="524" t="str">
        <f>IFERROR(VLOOKUP(H85,'G-1 All Habitats'!$V$3:$W$7,2,FALSE),"")</f>
        <v/>
      </c>
      <c r="J85" s="199"/>
      <c r="K85" s="524" t="str">
        <f>IFERROR(INDEX('G-8 Condition Look up'!$A$3:$H$130,MATCH(F85,'G-8 Condition Look up'!$A$3:$A$130,0),MATCH(J85,'G-8 Condition Look up'!$A$3:$H$3,0)),"")</f>
        <v/>
      </c>
      <c r="L85" s="145"/>
      <c r="M85" s="540" t="str">
        <f>IF(L85="","",IF(VLOOKUP(L85,'G-3 Multipliers'!$L$3:$N$6,2,FALSE)=0,"Spatial Data Missing ⚠",VLOOKUP(L85,'G-3 Multipliers'!$L$3:$N$6,2,FALSE)))</f>
        <v/>
      </c>
      <c r="N85" s="499" t="str">
        <f>IF(L85="","",IF(VLOOKUP(L85,'G-3 Multipliers'!$L$3:$N$6,3,FALSE)=0,"Spatial Data Missing ⚠",VLOOKUP(L85,'G-3 Multipliers'!$L$3:$N$6,3,FALSE)))</f>
        <v/>
      </c>
      <c r="O85" s="498" t="str">
        <f t="shared" si="5"/>
        <v/>
      </c>
      <c r="P85" s="195"/>
      <c r="Q85" s="195"/>
      <c r="R85" s="520" t="str">
        <f t="shared" si="6"/>
        <v/>
      </c>
      <c r="S85" s="544" t="str">
        <f t="shared" si="7"/>
        <v/>
      </c>
      <c r="T85" s="525" t="str">
        <f>IFERROR(IF(S85="Check Data ⚠","Check Data ⚠",VLOOKUP(S85,'G-4 Temporal multipliers'!$A$4:$C$37,3,FALSE)),"")</f>
        <v/>
      </c>
      <c r="U85" s="523" t="str">
        <f>IF(F85="","",VLOOKUP(F85,'G-3 Multipliers'!$A$2:$E$129,2,FALSE))</f>
        <v/>
      </c>
      <c r="V85" s="520" t="str">
        <f t="shared" si="9"/>
        <v/>
      </c>
      <c r="W85" s="520" t="str">
        <f>IF(E85="","",IF(AND(V85="Standard difficulty applied",O85&gt;P85),U85,IF(AND(V85="Low Difficulty - only applicable if all habitat created before losses ⚠",P85&gt;=O85),"Low",VLOOKUP(F85,'G-3 Multipliers'!$A$2:$E$129,4,FALSE))))</f>
        <v/>
      </c>
      <c r="X85" s="524" t="str">
        <f>IFERROR(IF(E85="","",VLOOKUP(W85, 'G-3 Multipliers'!$P$2:$Q$6,2,FALSE)),"")</f>
        <v/>
      </c>
      <c r="Y85" s="197"/>
      <c r="Z85" s="499" t="str">
        <f>IF(Y85="","",IF(VLOOKUP(Y85,'G-3 Multipliers'!$S$3:$T$9,2,FALSE)=0,"Spatial Data Missing ⚠",VLOOKUP(Y85,'G-3 Multipliers'!$S$3:$T$9,2,FALSE)))</f>
        <v/>
      </c>
      <c r="AA85" s="545" t="str">
        <f t="shared" si="8"/>
        <v/>
      </c>
      <c r="AB85" s="149"/>
      <c r="AC85" s="150"/>
    </row>
    <row r="86" spans="1:29" ht="14" x14ac:dyDescent="0.3">
      <c r="A86" s="31" t="str">
        <f>IFERROR(INDEX('G-8 Condition Look up'!$I$4:$I$130,MATCH(F86,'G-8 Condition Look up'!$A$4:$A$130,0)),"")</f>
        <v/>
      </c>
      <c r="C86" s="244" t="str">
        <f>IFERROR(INDEX('G-1 All Habitats'!$AG$3:$AG$15,MATCH(D86,'G-1 All Habitats'!$AF$3:$AF$15,0)),"")</f>
        <v/>
      </c>
      <c r="D86" s="154"/>
      <c r="E86" s="203"/>
      <c r="F86" s="243" t="str">
        <f>IFERROR(INDEX('G-1 All Habitats'!$B$3:$B$129,MATCH(E86,'G-1 All Habitats'!$A$3:$A$129,0)),"")</f>
        <v/>
      </c>
      <c r="G86" s="386"/>
      <c r="H86" s="537" t="str">
        <f>IF(F86="","",VLOOKUP(F86,'G-1 All Habitats'!$B$2:$M$129,10,FALSE))</f>
        <v/>
      </c>
      <c r="I86" s="524" t="str">
        <f>IFERROR(VLOOKUP(H86,'G-1 All Habitats'!$V$3:$W$7,2,FALSE),"")</f>
        <v/>
      </c>
      <c r="J86" s="199"/>
      <c r="K86" s="524" t="str">
        <f>IFERROR(INDEX('G-8 Condition Look up'!$A$3:$H$130,MATCH(F86,'G-8 Condition Look up'!$A$3:$A$130,0),MATCH(J86,'G-8 Condition Look up'!$A$3:$H$3,0)),"")</f>
        <v/>
      </c>
      <c r="L86" s="145"/>
      <c r="M86" s="540" t="str">
        <f>IF(L86="","",IF(VLOOKUP(L86,'G-3 Multipliers'!$L$3:$N$6,2,FALSE)=0,"Spatial Data Missing ⚠",VLOOKUP(L86,'G-3 Multipliers'!$L$3:$N$6,2,FALSE)))</f>
        <v/>
      </c>
      <c r="N86" s="499" t="str">
        <f>IF(L86="","",IF(VLOOKUP(L86,'G-3 Multipliers'!$L$3:$N$6,3,FALSE)=0,"Spatial Data Missing ⚠",VLOOKUP(L86,'G-3 Multipliers'!$L$3:$N$6,3,FALSE)))</f>
        <v/>
      </c>
      <c r="O86" s="498" t="str">
        <f t="shared" si="5"/>
        <v/>
      </c>
      <c r="P86" s="195"/>
      <c r="Q86" s="195"/>
      <c r="R86" s="520" t="str">
        <f t="shared" si="6"/>
        <v/>
      </c>
      <c r="S86" s="544" t="str">
        <f t="shared" si="7"/>
        <v/>
      </c>
      <c r="T86" s="525" t="str">
        <f>IFERROR(IF(S86="Check Data ⚠","Check Data ⚠",VLOOKUP(S86,'G-4 Temporal multipliers'!$A$4:$C$37,3,FALSE)),"")</f>
        <v/>
      </c>
      <c r="U86" s="523" t="str">
        <f>IF(F86="","",VLOOKUP(F86,'G-3 Multipliers'!$A$2:$E$129,2,FALSE))</f>
        <v/>
      </c>
      <c r="V86" s="520" t="str">
        <f t="shared" si="9"/>
        <v/>
      </c>
      <c r="W86" s="520" t="str">
        <f>IF(E86="","",IF(AND(V86="Standard difficulty applied",O86&gt;P86),U86,IF(AND(V86="Low Difficulty - only applicable if all habitat created before losses ⚠",P86&gt;=O86),"Low",VLOOKUP(F86,'G-3 Multipliers'!$A$2:$E$129,4,FALSE))))</f>
        <v/>
      </c>
      <c r="X86" s="524" t="str">
        <f>IFERROR(IF(E86="","",VLOOKUP(W86, 'G-3 Multipliers'!$P$2:$Q$6,2,FALSE)),"")</f>
        <v/>
      </c>
      <c r="Y86" s="197"/>
      <c r="Z86" s="499" t="str">
        <f>IF(Y86="","",IF(VLOOKUP(Y86,'G-3 Multipliers'!$S$3:$T$9,2,FALSE)=0,"Spatial Data Missing ⚠",VLOOKUP(Y86,'G-3 Multipliers'!$S$3:$T$9,2,FALSE)))</f>
        <v/>
      </c>
      <c r="AA86" s="545" t="str">
        <f t="shared" si="8"/>
        <v/>
      </c>
      <c r="AB86" s="149"/>
      <c r="AC86" s="150"/>
    </row>
    <row r="87" spans="1:29" ht="14" x14ac:dyDescent="0.3">
      <c r="A87" s="31" t="str">
        <f>IFERROR(INDEX('G-8 Condition Look up'!$I$4:$I$130,MATCH(F87,'G-8 Condition Look up'!$A$4:$A$130,0)),"")</f>
        <v/>
      </c>
      <c r="C87" s="244" t="str">
        <f>IFERROR(INDEX('G-1 All Habitats'!$AG$3:$AG$15,MATCH(D87,'G-1 All Habitats'!$AF$3:$AF$15,0)),"")</f>
        <v/>
      </c>
      <c r="D87" s="154"/>
      <c r="E87" s="203"/>
      <c r="F87" s="243" t="str">
        <f>IFERROR(INDEX('G-1 All Habitats'!$B$3:$B$129,MATCH(E87,'G-1 All Habitats'!$A$3:$A$129,0)),"")</f>
        <v/>
      </c>
      <c r="G87" s="386"/>
      <c r="H87" s="537" t="str">
        <f>IF(F87="","",VLOOKUP(F87,'G-1 All Habitats'!$B$2:$M$129,10,FALSE))</f>
        <v/>
      </c>
      <c r="I87" s="524" t="str">
        <f>IFERROR(VLOOKUP(H87,'G-1 All Habitats'!$V$3:$W$7,2,FALSE),"")</f>
        <v/>
      </c>
      <c r="J87" s="199"/>
      <c r="K87" s="524" t="str">
        <f>IFERROR(INDEX('G-8 Condition Look up'!$A$3:$H$130,MATCH(F87,'G-8 Condition Look up'!$A$3:$A$130,0),MATCH(J87,'G-8 Condition Look up'!$A$3:$H$3,0)),"")</f>
        <v/>
      </c>
      <c r="L87" s="145"/>
      <c r="M87" s="540" t="str">
        <f>IF(L87="","",IF(VLOOKUP(L87,'G-3 Multipliers'!$L$3:$N$6,2,FALSE)=0,"Spatial Data Missing ⚠",VLOOKUP(L87,'G-3 Multipliers'!$L$3:$N$6,2,FALSE)))</f>
        <v/>
      </c>
      <c r="N87" s="499" t="str">
        <f>IF(L87="","",IF(VLOOKUP(L87,'G-3 Multipliers'!$L$3:$N$6,3,FALSE)=0,"Spatial Data Missing ⚠",VLOOKUP(L87,'G-3 Multipliers'!$L$3:$N$6,3,FALSE)))</f>
        <v/>
      </c>
      <c r="O87" s="498" t="str">
        <f t="shared" si="5"/>
        <v/>
      </c>
      <c r="P87" s="195"/>
      <c r="Q87" s="195"/>
      <c r="R87" s="520" t="str">
        <f t="shared" si="6"/>
        <v/>
      </c>
      <c r="S87" s="544" t="str">
        <f t="shared" si="7"/>
        <v/>
      </c>
      <c r="T87" s="525" t="str">
        <f>IFERROR(IF(S87="Check Data ⚠","Check Data ⚠",VLOOKUP(S87,'G-4 Temporal multipliers'!$A$4:$C$37,3,FALSE)),"")</f>
        <v/>
      </c>
      <c r="U87" s="523" t="str">
        <f>IF(F87="","",VLOOKUP(F87,'G-3 Multipliers'!$A$2:$E$129,2,FALSE))</f>
        <v/>
      </c>
      <c r="V87" s="520" t="str">
        <f t="shared" si="9"/>
        <v/>
      </c>
      <c r="W87" s="520" t="str">
        <f>IF(E87="","",IF(AND(V87="Standard difficulty applied",O87&gt;P87),U87,IF(AND(V87="Low Difficulty - only applicable if all habitat created before losses ⚠",P87&gt;=O87),"Low",VLOOKUP(F87,'G-3 Multipliers'!$A$2:$E$129,4,FALSE))))</f>
        <v/>
      </c>
      <c r="X87" s="524" t="str">
        <f>IFERROR(IF(E87="","",VLOOKUP(W87, 'G-3 Multipliers'!$P$2:$Q$6,2,FALSE)),"")</f>
        <v/>
      </c>
      <c r="Y87" s="197"/>
      <c r="Z87" s="499" t="str">
        <f>IF(Y87="","",IF(VLOOKUP(Y87,'G-3 Multipliers'!$S$3:$T$9,2,FALSE)=0,"Spatial Data Missing ⚠",VLOOKUP(Y87,'G-3 Multipliers'!$S$3:$T$9,2,FALSE)))</f>
        <v/>
      </c>
      <c r="AA87" s="545" t="str">
        <f t="shared" si="8"/>
        <v/>
      </c>
      <c r="AB87" s="149"/>
      <c r="AC87" s="150"/>
    </row>
    <row r="88" spans="1:29" ht="14" x14ac:dyDescent="0.3">
      <c r="A88" s="31" t="str">
        <f>IFERROR(INDEX('G-8 Condition Look up'!$I$4:$I$130,MATCH(F88,'G-8 Condition Look up'!$A$4:$A$130,0)),"")</f>
        <v/>
      </c>
      <c r="C88" s="244" t="str">
        <f>IFERROR(INDEX('G-1 All Habitats'!$AG$3:$AG$15,MATCH(D88,'G-1 All Habitats'!$AF$3:$AF$15,0)),"")</f>
        <v/>
      </c>
      <c r="D88" s="154"/>
      <c r="E88" s="203"/>
      <c r="F88" s="243" t="str">
        <f>IFERROR(INDEX('G-1 All Habitats'!$B$3:$B$129,MATCH(E88,'G-1 All Habitats'!$A$3:$A$129,0)),"")</f>
        <v/>
      </c>
      <c r="G88" s="386"/>
      <c r="H88" s="537" t="str">
        <f>IF(F88="","",VLOOKUP(F88,'G-1 All Habitats'!$B$2:$M$129,10,FALSE))</f>
        <v/>
      </c>
      <c r="I88" s="524" t="str">
        <f>IFERROR(VLOOKUP(H88,'G-1 All Habitats'!$V$3:$W$7,2,FALSE),"")</f>
        <v/>
      </c>
      <c r="J88" s="199"/>
      <c r="K88" s="524" t="str">
        <f>IFERROR(INDEX('G-8 Condition Look up'!$A$3:$H$130,MATCH(F88,'G-8 Condition Look up'!$A$3:$A$130,0),MATCH(J88,'G-8 Condition Look up'!$A$3:$H$3,0)),"")</f>
        <v/>
      </c>
      <c r="L88" s="145"/>
      <c r="M88" s="540" t="str">
        <f>IF(L88="","",IF(VLOOKUP(L88,'G-3 Multipliers'!$L$3:$N$6,2,FALSE)=0,"Spatial Data Missing ⚠",VLOOKUP(L88,'G-3 Multipliers'!$L$3:$N$6,2,FALSE)))</f>
        <v/>
      </c>
      <c r="N88" s="499" t="str">
        <f>IF(L88="","",IF(VLOOKUP(L88,'G-3 Multipliers'!$L$3:$N$6,3,FALSE)=0,"Spatial Data Missing ⚠",VLOOKUP(L88,'G-3 Multipliers'!$L$3:$N$6,3,FALSE)))</f>
        <v/>
      </c>
      <c r="O88" s="498" t="str">
        <f t="shared" si="5"/>
        <v/>
      </c>
      <c r="P88" s="195"/>
      <c r="Q88" s="195"/>
      <c r="R88" s="520" t="str">
        <f t="shared" si="6"/>
        <v/>
      </c>
      <c r="S88" s="544" t="str">
        <f t="shared" si="7"/>
        <v/>
      </c>
      <c r="T88" s="525" t="str">
        <f>IFERROR(IF(S88="Check Data ⚠","Check Data ⚠",VLOOKUP(S88,'G-4 Temporal multipliers'!$A$4:$C$37,3,FALSE)),"")</f>
        <v/>
      </c>
      <c r="U88" s="523" t="str">
        <f>IF(F88="","",VLOOKUP(F88,'G-3 Multipliers'!$A$2:$E$129,2,FALSE))</f>
        <v/>
      </c>
      <c r="V88" s="520" t="str">
        <f t="shared" si="9"/>
        <v/>
      </c>
      <c r="W88" s="520" t="str">
        <f>IF(E88="","",IF(AND(V88="Standard difficulty applied",O88&gt;P88),U88,IF(AND(V88="Low Difficulty - only applicable if all habitat created before losses ⚠",P88&gt;=O88),"Low",VLOOKUP(F88,'G-3 Multipliers'!$A$2:$E$129,4,FALSE))))</f>
        <v/>
      </c>
      <c r="X88" s="524" t="str">
        <f>IFERROR(IF(E88="","",VLOOKUP(W88, 'G-3 Multipliers'!$P$2:$Q$6,2,FALSE)),"")</f>
        <v/>
      </c>
      <c r="Y88" s="197"/>
      <c r="Z88" s="499" t="str">
        <f>IF(Y88="","",IF(VLOOKUP(Y88,'G-3 Multipliers'!$S$3:$T$9,2,FALSE)=0,"Spatial Data Missing ⚠",VLOOKUP(Y88,'G-3 Multipliers'!$S$3:$T$9,2,FALSE)))</f>
        <v/>
      </c>
      <c r="AA88" s="545" t="str">
        <f t="shared" si="8"/>
        <v/>
      </c>
      <c r="AB88" s="149"/>
      <c r="AC88" s="150"/>
    </row>
    <row r="89" spans="1:29" ht="14" x14ac:dyDescent="0.3">
      <c r="A89" s="31" t="str">
        <f>IFERROR(INDEX('G-8 Condition Look up'!$I$4:$I$130,MATCH(F89,'G-8 Condition Look up'!$A$4:$A$130,0)),"")</f>
        <v/>
      </c>
      <c r="C89" s="244" t="str">
        <f>IFERROR(INDEX('G-1 All Habitats'!$AG$3:$AG$15,MATCH(D89,'G-1 All Habitats'!$AF$3:$AF$15,0)),"")</f>
        <v/>
      </c>
      <c r="D89" s="154"/>
      <c r="E89" s="203"/>
      <c r="F89" s="243" t="str">
        <f>IFERROR(INDEX('G-1 All Habitats'!$B$3:$B$129,MATCH(E89,'G-1 All Habitats'!$A$3:$A$129,0)),"")</f>
        <v/>
      </c>
      <c r="G89" s="386"/>
      <c r="H89" s="537" t="str">
        <f>IF(F89="","",VLOOKUP(F89,'G-1 All Habitats'!$B$2:$M$129,10,FALSE))</f>
        <v/>
      </c>
      <c r="I89" s="524" t="str">
        <f>IFERROR(VLOOKUP(H89,'G-1 All Habitats'!$V$3:$W$7,2,FALSE),"")</f>
        <v/>
      </c>
      <c r="J89" s="199"/>
      <c r="K89" s="524" t="str">
        <f>IFERROR(INDEX('G-8 Condition Look up'!$A$3:$H$130,MATCH(F89,'G-8 Condition Look up'!$A$3:$A$130,0),MATCH(J89,'G-8 Condition Look up'!$A$3:$H$3,0)),"")</f>
        <v/>
      </c>
      <c r="L89" s="145"/>
      <c r="M89" s="540" t="str">
        <f>IF(L89="","",IF(VLOOKUP(L89,'G-3 Multipliers'!$L$3:$N$6,2,FALSE)=0,"Spatial Data Missing ⚠",VLOOKUP(L89,'G-3 Multipliers'!$L$3:$N$6,2,FALSE)))</f>
        <v/>
      </c>
      <c r="N89" s="499" t="str">
        <f>IF(L89="","",IF(VLOOKUP(L89,'G-3 Multipliers'!$L$3:$N$6,3,FALSE)=0,"Spatial Data Missing ⚠",VLOOKUP(L89,'G-3 Multipliers'!$L$3:$N$6,3,FALSE)))</f>
        <v/>
      </c>
      <c r="O89" s="498" t="str">
        <f t="shared" si="5"/>
        <v/>
      </c>
      <c r="P89" s="195"/>
      <c r="Q89" s="195"/>
      <c r="R89" s="520" t="str">
        <f t="shared" si="6"/>
        <v/>
      </c>
      <c r="S89" s="544" t="str">
        <f t="shared" si="7"/>
        <v/>
      </c>
      <c r="T89" s="525" t="str">
        <f>IFERROR(IF(S89="Check Data ⚠","Check Data ⚠",VLOOKUP(S89,'G-4 Temporal multipliers'!$A$4:$C$37,3,FALSE)),"")</f>
        <v/>
      </c>
      <c r="U89" s="523" t="str">
        <f>IF(F89="","",VLOOKUP(F89,'G-3 Multipliers'!$A$2:$E$129,2,FALSE))</f>
        <v/>
      </c>
      <c r="V89" s="520" t="str">
        <f t="shared" si="9"/>
        <v/>
      </c>
      <c r="W89" s="520" t="str">
        <f>IF(E89="","",IF(AND(V89="Standard difficulty applied",O89&gt;P89),U89,IF(AND(V89="Low Difficulty - only applicable if all habitat created before losses ⚠",P89&gt;=O89),"Low",VLOOKUP(F89,'G-3 Multipliers'!$A$2:$E$129,4,FALSE))))</f>
        <v/>
      </c>
      <c r="X89" s="524" t="str">
        <f>IFERROR(IF(E89="","",VLOOKUP(W89, 'G-3 Multipliers'!$P$2:$Q$6,2,FALSE)),"")</f>
        <v/>
      </c>
      <c r="Y89" s="197"/>
      <c r="Z89" s="499" t="str">
        <f>IF(Y89="","",IF(VLOOKUP(Y89,'G-3 Multipliers'!$S$3:$T$9,2,FALSE)=0,"Spatial Data Missing ⚠",VLOOKUP(Y89,'G-3 Multipliers'!$S$3:$T$9,2,FALSE)))</f>
        <v/>
      </c>
      <c r="AA89" s="545" t="str">
        <f t="shared" si="8"/>
        <v/>
      </c>
      <c r="AB89" s="149"/>
      <c r="AC89" s="150"/>
    </row>
    <row r="90" spans="1:29" ht="14" x14ac:dyDescent="0.3">
      <c r="A90" s="31" t="str">
        <f>IFERROR(INDEX('G-8 Condition Look up'!$I$4:$I$130,MATCH(F90,'G-8 Condition Look up'!$A$4:$A$130,0)),"")</f>
        <v/>
      </c>
      <c r="C90" s="244" t="str">
        <f>IFERROR(INDEX('G-1 All Habitats'!$AG$3:$AG$15,MATCH(D90,'G-1 All Habitats'!$AF$3:$AF$15,0)),"")</f>
        <v/>
      </c>
      <c r="D90" s="154"/>
      <c r="E90" s="203"/>
      <c r="F90" s="243" t="str">
        <f>IFERROR(INDEX('G-1 All Habitats'!$B$3:$B$129,MATCH(E90,'G-1 All Habitats'!$A$3:$A$129,0)),"")</f>
        <v/>
      </c>
      <c r="G90" s="386"/>
      <c r="H90" s="537" t="str">
        <f>IF(F90="","",VLOOKUP(F90,'G-1 All Habitats'!$B$2:$M$129,10,FALSE))</f>
        <v/>
      </c>
      <c r="I90" s="524" t="str">
        <f>IFERROR(VLOOKUP(H90,'G-1 All Habitats'!$V$3:$W$7,2,FALSE),"")</f>
        <v/>
      </c>
      <c r="J90" s="199"/>
      <c r="K90" s="524" t="str">
        <f>IFERROR(INDEX('G-8 Condition Look up'!$A$3:$H$130,MATCH(F90,'G-8 Condition Look up'!$A$3:$A$130,0),MATCH(J90,'G-8 Condition Look up'!$A$3:$H$3,0)),"")</f>
        <v/>
      </c>
      <c r="L90" s="145"/>
      <c r="M90" s="540" t="str">
        <f>IF(L90="","",IF(VLOOKUP(L90,'G-3 Multipliers'!$L$3:$N$6,2,FALSE)=0,"Spatial Data Missing ⚠",VLOOKUP(L90,'G-3 Multipliers'!$L$3:$N$6,2,FALSE)))</f>
        <v/>
      </c>
      <c r="N90" s="499" t="str">
        <f>IF(L90="","",IF(VLOOKUP(L90,'G-3 Multipliers'!$L$3:$N$6,3,FALSE)=0,"Spatial Data Missing ⚠",VLOOKUP(L90,'G-3 Multipliers'!$L$3:$N$6,3,FALSE)))</f>
        <v/>
      </c>
      <c r="O90" s="498" t="str">
        <f t="shared" si="5"/>
        <v/>
      </c>
      <c r="P90" s="195"/>
      <c r="Q90" s="195"/>
      <c r="R90" s="520" t="str">
        <f t="shared" si="6"/>
        <v/>
      </c>
      <c r="S90" s="544" t="str">
        <f t="shared" si="7"/>
        <v/>
      </c>
      <c r="T90" s="525" t="str">
        <f>IFERROR(IF(S90="Check Data ⚠","Check Data ⚠",VLOOKUP(S90,'G-4 Temporal multipliers'!$A$4:$C$37,3,FALSE)),"")</f>
        <v/>
      </c>
      <c r="U90" s="523" t="str">
        <f>IF(F90="","",VLOOKUP(F90,'G-3 Multipliers'!$A$2:$E$129,2,FALSE))</f>
        <v/>
      </c>
      <c r="V90" s="520" t="str">
        <f t="shared" si="9"/>
        <v/>
      </c>
      <c r="W90" s="520" t="str">
        <f>IF(E90="","",IF(AND(V90="Standard difficulty applied",O90&gt;P90),U90,IF(AND(V90="Low Difficulty - only applicable if all habitat created before losses ⚠",P90&gt;=O90),"Low",VLOOKUP(F90,'G-3 Multipliers'!$A$2:$E$129,4,FALSE))))</f>
        <v/>
      </c>
      <c r="X90" s="524" t="str">
        <f>IFERROR(IF(E90="","",VLOOKUP(W90, 'G-3 Multipliers'!$P$2:$Q$6,2,FALSE)),"")</f>
        <v/>
      </c>
      <c r="Y90" s="197"/>
      <c r="Z90" s="499" t="str">
        <f>IF(Y90="","",IF(VLOOKUP(Y90,'G-3 Multipliers'!$S$3:$T$9,2,FALSE)=0,"Spatial Data Missing ⚠",VLOOKUP(Y90,'G-3 Multipliers'!$S$3:$T$9,2,FALSE)))</f>
        <v/>
      </c>
      <c r="AA90" s="545" t="str">
        <f t="shared" si="8"/>
        <v/>
      </c>
      <c r="AB90" s="149"/>
      <c r="AC90" s="150"/>
    </row>
    <row r="91" spans="1:29" ht="14" x14ac:dyDescent="0.3">
      <c r="A91" s="31" t="str">
        <f>IFERROR(INDEX('G-8 Condition Look up'!$I$4:$I$130,MATCH(F91,'G-8 Condition Look up'!$A$4:$A$130,0)),"")</f>
        <v/>
      </c>
      <c r="C91" s="244" t="str">
        <f>IFERROR(INDEX('G-1 All Habitats'!$AG$3:$AG$15,MATCH(D91,'G-1 All Habitats'!$AF$3:$AF$15,0)),"")</f>
        <v/>
      </c>
      <c r="D91" s="154"/>
      <c r="E91" s="203"/>
      <c r="F91" s="243" t="str">
        <f>IFERROR(INDEX('G-1 All Habitats'!$B$3:$B$129,MATCH(E91,'G-1 All Habitats'!$A$3:$A$129,0)),"")</f>
        <v/>
      </c>
      <c r="G91" s="386"/>
      <c r="H91" s="537" t="str">
        <f>IF(F91="","",VLOOKUP(F91,'G-1 All Habitats'!$B$2:$M$129,10,FALSE))</f>
        <v/>
      </c>
      <c r="I91" s="524" t="str">
        <f>IFERROR(VLOOKUP(H91,'G-1 All Habitats'!$V$3:$W$7,2,FALSE),"")</f>
        <v/>
      </c>
      <c r="J91" s="199"/>
      <c r="K91" s="524" t="str">
        <f>IFERROR(INDEX('G-8 Condition Look up'!$A$3:$H$130,MATCH(F91,'G-8 Condition Look up'!$A$3:$A$130,0),MATCH(J91,'G-8 Condition Look up'!$A$3:$H$3,0)),"")</f>
        <v/>
      </c>
      <c r="L91" s="145"/>
      <c r="M91" s="540" t="str">
        <f>IF(L91="","",IF(VLOOKUP(L91,'G-3 Multipliers'!$L$3:$N$6,2,FALSE)=0,"Spatial Data Missing ⚠",VLOOKUP(L91,'G-3 Multipliers'!$L$3:$N$6,2,FALSE)))</f>
        <v/>
      </c>
      <c r="N91" s="499" t="str">
        <f>IF(L91="","",IF(VLOOKUP(L91,'G-3 Multipliers'!$L$3:$N$6,3,FALSE)=0,"Spatial Data Missing ⚠",VLOOKUP(L91,'G-3 Multipliers'!$L$3:$N$6,3,FALSE)))</f>
        <v/>
      </c>
      <c r="O91" s="498" t="str">
        <f t="shared" si="5"/>
        <v/>
      </c>
      <c r="P91" s="195"/>
      <c r="Q91" s="195"/>
      <c r="R91" s="520" t="str">
        <f t="shared" si="6"/>
        <v/>
      </c>
      <c r="S91" s="544" t="str">
        <f t="shared" si="7"/>
        <v/>
      </c>
      <c r="T91" s="525" t="str">
        <f>IFERROR(IF(S91="Check Data ⚠","Check Data ⚠",VLOOKUP(S91,'G-4 Temporal multipliers'!$A$4:$C$37,3,FALSE)),"")</f>
        <v/>
      </c>
      <c r="U91" s="523" t="str">
        <f>IF(F91="","",VLOOKUP(F91,'G-3 Multipliers'!$A$2:$E$129,2,FALSE))</f>
        <v/>
      </c>
      <c r="V91" s="520" t="str">
        <f t="shared" si="9"/>
        <v/>
      </c>
      <c r="W91" s="520" t="str">
        <f>IF(E91="","",IF(AND(V91="Standard difficulty applied",O91&gt;P91),U91,IF(AND(V91="Low Difficulty - only applicable if all habitat created before losses ⚠",P91&gt;=O91),"Low",VLOOKUP(F91,'G-3 Multipliers'!$A$2:$E$129,4,FALSE))))</f>
        <v/>
      </c>
      <c r="X91" s="524" t="str">
        <f>IFERROR(IF(E91="","",VLOOKUP(W91, 'G-3 Multipliers'!$P$2:$Q$6,2,FALSE)),"")</f>
        <v/>
      </c>
      <c r="Y91" s="197"/>
      <c r="Z91" s="499" t="str">
        <f>IF(Y91="","",IF(VLOOKUP(Y91,'G-3 Multipliers'!$S$3:$T$9,2,FALSE)=0,"Spatial Data Missing ⚠",VLOOKUP(Y91,'G-3 Multipliers'!$S$3:$T$9,2,FALSE)))</f>
        <v/>
      </c>
      <c r="AA91" s="545" t="str">
        <f t="shared" si="8"/>
        <v/>
      </c>
      <c r="AB91" s="149"/>
      <c r="AC91" s="150"/>
    </row>
    <row r="92" spans="1:29" ht="14" x14ac:dyDescent="0.3">
      <c r="A92" s="31" t="str">
        <f>IFERROR(INDEX('G-8 Condition Look up'!$I$4:$I$130,MATCH(F92,'G-8 Condition Look up'!$A$4:$A$130,0)),"")</f>
        <v/>
      </c>
      <c r="C92" s="244" t="str">
        <f>IFERROR(INDEX('G-1 All Habitats'!$AG$3:$AG$15,MATCH(D92,'G-1 All Habitats'!$AF$3:$AF$15,0)),"")</f>
        <v/>
      </c>
      <c r="D92" s="154"/>
      <c r="E92" s="203"/>
      <c r="F92" s="243" t="str">
        <f>IFERROR(INDEX('G-1 All Habitats'!$B$3:$B$129,MATCH(E92,'G-1 All Habitats'!$A$3:$A$129,0)),"")</f>
        <v/>
      </c>
      <c r="G92" s="386"/>
      <c r="H92" s="537" t="str">
        <f>IF(F92="","",VLOOKUP(F92,'G-1 All Habitats'!$B$2:$M$129,10,FALSE))</f>
        <v/>
      </c>
      <c r="I92" s="524" t="str">
        <f>IFERROR(VLOOKUP(H92,'G-1 All Habitats'!$V$3:$W$7,2,FALSE),"")</f>
        <v/>
      </c>
      <c r="J92" s="199"/>
      <c r="K92" s="524" t="str">
        <f>IFERROR(INDEX('G-8 Condition Look up'!$A$3:$H$130,MATCH(F92,'G-8 Condition Look up'!$A$3:$A$130,0),MATCH(J92,'G-8 Condition Look up'!$A$3:$H$3,0)),"")</f>
        <v/>
      </c>
      <c r="L92" s="145"/>
      <c r="M92" s="540" t="str">
        <f>IF(L92="","",IF(VLOOKUP(L92,'G-3 Multipliers'!$L$3:$N$6,2,FALSE)=0,"Spatial Data Missing ⚠",VLOOKUP(L92,'G-3 Multipliers'!$L$3:$N$6,2,FALSE)))</f>
        <v/>
      </c>
      <c r="N92" s="499" t="str">
        <f>IF(L92="","",IF(VLOOKUP(L92,'G-3 Multipliers'!$L$3:$N$6,3,FALSE)=0,"Spatial Data Missing ⚠",VLOOKUP(L92,'G-3 Multipliers'!$L$3:$N$6,3,FALSE)))</f>
        <v/>
      </c>
      <c r="O92" s="498" t="str">
        <f t="shared" si="5"/>
        <v/>
      </c>
      <c r="P92" s="195"/>
      <c r="Q92" s="195"/>
      <c r="R92" s="520" t="str">
        <f t="shared" si="6"/>
        <v/>
      </c>
      <c r="S92" s="544" t="str">
        <f t="shared" si="7"/>
        <v/>
      </c>
      <c r="T92" s="525" t="str">
        <f>IFERROR(IF(S92="Check Data ⚠","Check Data ⚠",VLOOKUP(S92,'G-4 Temporal multipliers'!$A$4:$C$37,3,FALSE)),"")</f>
        <v/>
      </c>
      <c r="U92" s="523" t="str">
        <f>IF(F92="","",VLOOKUP(F92,'G-3 Multipliers'!$A$2:$E$129,2,FALSE))</f>
        <v/>
      </c>
      <c r="V92" s="520" t="str">
        <f t="shared" si="9"/>
        <v/>
      </c>
      <c r="W92" s="520" t="str">
        <f>IF(E92="","",IF(AND(V92="Standard difficulty applied",O92&gt;P92),U92,IF(AND(V92="Low Difficulty - only applicable if all habitat created before losses ⚠",P92&gt;=O92),"Low",VLOOKUP(F92,'G-3 Multipliers'!$A$2:$E$129,4,FALSE))))</f>
        <v/>
      </c>
      <c r="X92" s="524" t="str">
        <f>IFERROR(IF(E92="","",VLOOKUP(W92, 'G-3 Multipliers'!$P$2:$Q$6,2,FALSE)),"")</f>
        <v/>
      </c>
      <c r="Y92" s="197"/>
      <c r="Z92" s="499" t="str">
        <f>IF(Y92="","",IF(VLOOKUP(Y92,'G-3 Multipliers'!$S$3:$T$9,2,FALSE)=0,"Spatial Data Missing ⚠",VLOOKUP(Y92,'G-3 Multipliers'!$S$3:$T$9,2,FALSE)))</f>
        <v/>
      </c>
      <c r="AA92" s="545" t="str">
        <f t="shared" si="8"/>
        <v/>
      </c>
      <c r="AB92" s="149"/>
      <c r="AC92" s="150"/>
    </row>
    <row r="93" spans="1:29" ht="14" x14ac:dyDescent="0.3">
      <c r="A93" s="31" t="str">
        <f>IFERROR(INDEX('G-8 Condition Look up'!$I$4:$I$130,MATCH(F93,'G-8 Condition Look up'!$A$4:$A$130,0)),"")</f>
        <v/>
      </c>
      <c r="C93" s="244" t="str">
        <f>IFERROR(INDEX('G-1 All Habitats'!$AG$3:$AG$15,MATCH(D93,'G-1 All Habitats'!$AF$3:$AF$15,0)),"")</f>
        <v/>
      </c>
      <c r="D93" s="154"/>
      <c r="E93" s="203"/>
      <c r="F93" s="243" t="str">
        <f>IFERROR(INDEX('G-1 All Habitats'!$B$3:$B$129,MATCH(E93,'G-1 All Habitats'!$A$3:$A$129,0)),"")</f>
        <v/>
      </c>
      <c r="G93" s="386"/>
      <c r="H93" s="537" t="str">
        <f>IF(F93="","",VLOOKUP(F93,'G-1 All Habitats'!$B$2:$M$129,10,FALSE))</f>
        <v/>
      </c>
      <c r="I93" s="524" t="str">
        <f>IFERROR(VLOOKUP(H93,'G-1 All Habitats'!$V$3:$W$7,2,FALSE),"")</f>
        <v/>
      </c>
      <c r="J93" s="199"/>
      <c r="K93" s="524" t="str">
        <f>IFERROR(INDEX('G-8 Condition Look up'!$A$3:$H$130,MATCH(F93,'G-8 Condition Look up'!$A$3:$A$130,0),MATCH(J93,'G-8 Condition Look up'!$A$3:$H$3,0)),"")</f>
        <v/>
      </c>
      <c r="L93" s="145"/>
      <c r="M93" s="540" t="str">
        <f>IF(L93="","",IF(VLOOKUP(L93,'G-3 Multipliers'!$L$3:$N$6,2,FALSE)=0,"Spatial Data Missing ⚠",VLOOKUP(L93,'G-3 Multipliers'!$L$3:$N$6,2,FALSE)))</f>
        <v/>
      </c>
      <c r="N93" s="499" t="str">
        <f>IF(L93="","",IF(VLOOKUP(L93,'G-3 Multipliers'!$L$3:$N$6,3,FALSE)=0,"Spatial Data Missing ⚠",VLOOKUP(L93,'G-3 Multipliers'!$L$3:$N$6,3,FALSE)))</f>
        <v/>
      </c>
      <c r="O93" s="498" t="str">
        <f t="shared" si="5"/>
        <v/>
      </c>
      <c r="P93" s="195"/>
      <c r="Q93" s="195"/>
      <c r="R93" s="520" t="str">
        <f t="shared" si="6"/>
        <v/>
      </c>
      <c r="S93" s="544" t="str">
        <f t="shared" si="7"/>
        <v/>
      </c>
      <c r="T93" s="525" t="str">
        <f>IFERROR(IF(S93="Check Data ⚠","Check Data ⚠",VLOOKUP(S93,'G-4 Temporal multipliers'!$A$4:$C$37,3,FALSE)),"")</f>
        <v/>
      </c>
      <c r="U93" s="523" t="str">
        <f>IF(F93="","",VLOOKUP(F93,'G-3 Multipliers'!$A$2:$E$129,2,FALSE))</f>
        <v/>
      </c>
      <c r="V93" s="520" t="str">
        <f t="shared" si="9"/>
        <v/>
      </c>
      <c r="W93" s="520" t="str">
        <f>IF(E93="","",IF(AND(V93="Standard difficulty applied",O93&gt;P93),U93,IF(AND(V93="Low Difficulty - only applicable if all habitat created before losses ⚠",P93&gt;=O93),"Low",VLOOKUP(F93,'G-3 Multipliers'!$A$2:$E$129,4,FALSE))))</f>
        <v/>
      </c>
      <c r="X93" s="524" t="str">
        <f>IFERROR(IF(E93="","",VLOOKUP(W93, 'G-3 Multipliers'!$P$2:$Q$6,2,FALSE)),"")</f>
        <v/>
      </c>
      <c r="Y93" s="197"/>
      <c r="Z93" s="499" t="str">
        <f>IF(Y93="","",IF(VLOOKUP(Y93,'G-3 Multipliers'!$S$3:$T$9,2,FALSE)=0,"Spatial Data Missing ⚠",VLOOKUP(Y93,'G-3 Multipliers'!$S$3:$T$9,2,FALSE)))</f>
        <v/>
      </c>
      <c r="AA93" s="545" t="str">
        <f t="shared" si="8"/>
        <v/>
      </c>
      <c r="AB93" s="149"/>
      <c r="AC93" s="150"/>
    </row>
    <row r="94" spans="1:29" ht="14" x14ac:dyDescent="0.3">
      <c r="A94" s="31" t="str">
        <f>IFERROR(INDEX('G-8 Condition Look up'!$I$4:$I$130,MATCH(F94,'G-8 Condition Look up'!$A$4:$A$130,0)),"")</f>
        <v/>
      </c>
      <c r="C94" s="244" t="str">
        <f>IFERROR(INDEX('G-1 All Habitats'!$AG$3:$AG$15,MATCH(D94,'G-1 All Habitats'!$AF$3:$AF$15,0)),"")</f>
        <v/>
      </c>
      <c r="D94" s="154"/>
      <c r="E94" s="203"/>
      <c r="F94" s="243" t="str">
        <f>IFERROR(INDEX('G-1 All Habitats'!$B$3:$B$129,MATCH(E94,'G-1 All Habitats'!$A$3:$A$129,0)),"")</f>
        <v/>
      </c>
      <c r="G94" s="386"/>
      <c r="H94" s="537" t="str">
        <f>IF(F94="","",VLOOKUP(F94,'G-1 All Habitats'!$B$2:$M$129,10,FALSE))</f>
        <v/>
      </c>
      <c r="I94" s="524" t="str">
        <f>IFERROR(VLOOKUP(H94,'G-1 All Habitats'!$V$3:$W$7,2,FALSE),"")</f>
        <v/>
      </c>
      <c r="J94" s="199"/>
      <c r="K94" s="524" t="str">
        <f>IFERROR(INDEX('G-8 Condition Look up'!$A$3:$H$130,MATCH(F94,'G-8 Condition Look up'!$A$3:$A$130,0),MATCH(J94,'G-8 Condition Look up'!$A$3:$H$3,0)),"")</f>
        <v/>
      </c>
      <c r="L94" s="145"/>
      <c r="M94" s="540" t="str">
        <f>IF(L94="","",IF(VLOOKUP(L94,'G-3 Multipliers'!$L$3:$N$6,2,FALSE)=0,"Spatial Data Missing ⚠",VLOOKUP(L94,'G-3 Multipliers'!$L$3:$N$6,2,FALSE)))</f>
        <v/>
      </c>
      <c r="N94" s="499" t="str">
        <f>IF(L94="","",IF(VLOOKUP(L94,'G-3 Multipliers'!$L$3:$N$6,3,FALSE)=0,"Spatial Data Missing ⚠",VLOOKUP(L94,'G-3 Multipliers'!$L$3:$N$6,3,FALSE)))</f>
        <v/>
      </c>
      <c r="O94" s="498" t="str">
        <f t="shared" si="5"/>
        <v/>
      </c>
      <c r="P94" s="195"/>
      <c r="Q94" s="195"/>
      <c r="R94" s="520" t="str">
        <f t="shared" si="6"/>
        <v/>
      </c>
      <c r="S94" s="544" t="str">
        <f t="shared" si="7"/>
        <v/>
      </c>
      <c r="T94" s="525" t="str">
        <f>IFERROR(IF(S94="Check Data ⚠","Check Data ⚠",VLOOKUP(S94,'G-4 Temporal multipliers'!$A$4:$C$37,3,FALSE)),"")</f>
        <v/>
      </c>
      <c r="U94" s="523" t="str">
        <f>IF(F94="","",VLOOKUP(F94,'G-3 Multipliers'!$A$2:$E$129,2,FALSE))</f>
        <v/>
      </c>
      <c r="V94" s="520" t="str">
        <f t="shared" si="9"/>
        <v/>
      </c>
      <c r="W94" s="520" t="str">
        <f>IF(E94="","",IF(AND(V94="Standard difficulty applied",O94&gt;P94),U94,IF(AND(V94="Low Difficulty - only applicable if all habitat created before losses ⚠",P94&gt;=O94),"Low",VLOOKUP(F94,'G-3 Multipliers'!$A$2:$E$129,4,FALSE))))</f>
        <v/>
      </c>
      <c r="X94" s="524" t="str">
        <f>IFERROR(IF(E94="","",VLOOKUP(W94, 'G-3 Multipliers'!$P$2:$Q$6,2,FALSE)),"")</f>
        <v/>
      </c>
      <c r="Y94" s="197"/>
      <c r="Z94" s="499" t="str">
        <f>IF(Y94="","",IF(VLOOKUP(Y94,'G-3 Multipliers'!$S$3:$T$9,2,FALSE)=0,"Spatial Data Missing ⚠",VLOOKUP(Y94,'G-3 Multipliers'!$S$3:$T$9,2,FALSE)))</f>
        <v/>
      </c>
      <c r="AA94" s="545" t="str">
        <f t="shared" si="8"/>
        <v/>
      </c>
      <c r="AB94" s="149"/>
      <c r="AC94" s="150"/>
    </row>
    <row r="95" spans="1:29" ht="14" x14ac:dyDescent="0.3">
      <c r="A95" s="31" t="str">
        <f>IFERROR(INDEX('G-8 Condition Look up'!$I$4:$I$130,MATCH(F95,'G-8 Condition Look up'!$A$4:$A$130,0)),"")</f>
        <v/>
      </c>
      <c r="C95" s="244" t="str">
        <f>IFERROR(INDEX('G-1 All Habitats'!$AG$3:$AG$15,MATCH(D95,'G-1 All Habitats'!$AF$3:$AF$15,0)),"")</f>
        <v/>
      </c>
      <c r="D95" s="154"/>
      <c r="E95" s="203"/>
      <c r="F95" s="243" t="str">
        <f>IFERROR(INDEX('G-1 All Habitats'!$B$3:$B$129,MATCH(E95,'G-1 All Habitats'!$A$3:$A$129,0)),"")</f>
        <v/>
      </c>
      <c r="G95" s="386"/>
      <c r="H95" s="537" t="str">
        <f>IF(F95="","",VLOOKUP(F95,'G-1 All Habitats'!$B$2:$M$129,10,FALSE))</f>
        <v/>
      </c>
      <c r="I95" s="524" t="str">
        <f>IFERROR(VLOOKUP(H95,'G-1 All Habitats'!$V$3:$W$7,2,FALSE),"")</f>
        <v/>
      </c>
      <c r="J95" s="199"/>
      <c r="K95" s="524" t="str">
        <f>IFERROR(INDEX('G-8 Condition Look up'!$A$3:$H$130,MATCH(F95,'G-8 Condition Look up'!$A$3:$A$130,0),MATCH(J95,'G-8 Condition Look up'!$A$3:$H$3,0)),"")</f>
        <v/>
      </c>
      <c r="L95" s="145"/>
      <c r="M95" s="540" t="str">
        <f>IF(L95="","",IF(VLOOKUP(L95,'G-3 Multipliers'!$L$3:$N$6,2,FALSE)=0,"Spatial Data Missing ⚠",VLOOKUP(L95,'G-3 Multipliers'!$L$3:$N$6,2,FALSE)))</f>
        <v/>
      </c>
      <c r="N95" s="499" t="str">
        <f>IF(L95="","",IF(VLOOKUP(L95,'G-3 Multipliers'!$L$3:$N$6,3,FALSE)=0,"Spatial Data Missing ⚠",VLOOKUP(L95,'G-3 Multipliers'!$L$3:$N$6,3,FALSE)))</f>
        <v/>
      </c>
      <c r="O95" s="498" t="str">
        <f t="shared" si="5"/>
        <v/>
      </c>
      <c r="P95" s="195"/>
      <c r="Q95" s="195"/>
      <c r="R95" s="520" t="str">
        <f t="shared" si="6"/>
        <v/>
      </c>
      <c r="S95" s="544" t="str">
        <f t="shared" si="7"/>
        <v/>
      </c>
      <c r="T95" s="525" t="str">
        <f>IFERROR(IF(S95="Check Data ⚠","Check Data ⚠",VLOOKUP(S95,'G-4 Temporal multipliers'!$A$4:$C$37,3,FALSE)),"")</f>
        <v/>
      </c>
      <c r="U95" s="523" t="str">
        <f>IF(F95="","",VLOOKUP(F95,'G-3 Multipliers'!$A$2:$E$129,2,FALSE))</f>
        <v/>
      </c>
      <c r="V95" s="520" t="str">
        <f t="shared" si="9"/>
        <v/>
      </c>
      <c r="W95" s="520" t="str">
        <f>IF(E95="","",IF(AND(V95="Standard difficulty applied",O95&gt;P95),U95,IF(AND(V95="Low Difficulty - only applicable if all habitat created before losses ⚠",P95&gt;=O95),"Low",VLOOKUP(F95,'G-3 Multipliers'!$A$2:$E$129,4,FALSE))))</f>
        <v/>
      </c>
      <c r="X95" s="524" t="str">
        <f>IFERROR(IF(E95="","",VLOOKUP(W95, 'G-3 Multipliers'!$P$2:$Q$6,2,FALSE)),"")</f>
        <v/>
      </c>
      <c r="Y95" s="197"/>
      <c r="Z95" s="499" t="str">
        <f>IF(Y95="","",IF(VLOOKUP(Y95,'G-3 Multipliers'!$S$3:$T$9,2,FALSE)=0,"Spatial Data Missing ⚠",VLOOKUP(Y95,'G-3 Multipliers'!$S$3:$T$9,2,FALSE)))</f>
        <v/>
      </c>
      <c r="AA95" s="545" t="str">
        <f t="shared" si="8"/>
        <v/>
      </c>
      <c r="AB95" s="149"/>
      <c r="AC95" s="150"/>
    </row>
    <row r="96" spans="1:29" ht="14" x14ac:dyDescent="0.3">
      <c r="A96" s="31" t="str">
        <f>IFERROR(INDEX('G-8 Condition Look up'!$I$4:$I$130,MATCH(F96,'G-8 Condition Look up'!$A$4:$A$130,0)),"")</f>
        <v/>
      </c>
      <c r="C96" s="244" t="str">
        <f>IFERROR(INDEX('G-1 All Habitats'!$AG$3:$AG$15,MATCH(D96,'G-1 All Habitats'!$AF$3:$AF$15,0)),"")</f>
        <v/>
      </c>
      <c r="D96" s="154"/>
      <c r="E96" s="203"/>
      <c r="F96" s="243" t="str">
        <f>IFERROR(INDEX('G-1 All Habitats'!$B$3:$B$129,MATCH(E96,'G-1 All Habitats'!$A$3:$A$129,0)),"")</f>
        <v/>
      </c>
      <c r="G96" s="386"/>
      <c r="H96" s="537" t="str">
        <f>IF(F96="","",VLOOKUP(F96,'G-1 All Habitats'!$B$2:$M$129,10,FALSE))</f>
        <v/>
      </c>
      <c r="I96" s="524" t="str">
        <f>IFERROR(VLOOKUP(H96,'G-1 All Habitats'!$V$3:$W$7,2,FALSE),"")</f>
        <v/>
      </c>
      <c r="J96" s="199"/>
      <c r="K96" s="524" t="str">
        <f>IFERROR(INDEX('G-8 Condition Look up'!$A$3:$H$130,MATCH(F96,'G-8 Condition Look up'!$A$3:$A$130,0),MATCH(J96,'G-8 Condition Look up'!$A$3:$H$3,0)),"")</f>
        <v/>
      </c>
      <c r="L96" s="145"/>
      <c r="M96" s="540" t="str">
        <f>IF(L96="","",IF(VLOOKUP(L96,'G-3 Multipliers'!$L$3:$N$6,2,FALSE)=0,"Spatial Data Missing ⚠",VLOOKUP(L96,'G-3 Multipliers'!$L$3:$N$6,2,FALSE)))</f>
        <v/>
      </c>
      <c r="N96" s="499" t="str">
        <f>IF(L96="","",IF(VLOOKUP(L96,'G-3 Multipliers'!$L$3:$N$6,3,FALSE)=0,"Spatial Data Missing ⚠",VLOOKUP(L96,'G-3 Multipliers'!$L$3:$N$6,3,FALSE)))</f>
        <v/>
      </c>
      <c r="O96" s="498" t="str">
        <f t="shared" si="5"/>
        <v/>
      </c>
      <c r="P96" s="195"/>
      <c r="Q96" s="195"/>
      <c r="R96" s="520" t="str">
        <f t="shared" si="6"/>
        <v/>
      </c>
      <c r="S96" s="544" t="str">
        <f t="shared" si="7"/>
        <v/>
      </c>
      <c r="T96" s="525" t="str">
        <f>IFERROR(IF(S96="Check Data ⚠","Check Data ⚠",VLOOKUP(S96,'G-4 Temporal multipliers'!$A$4:$C$37,3,FALSE)),"")</f>
        <v/>
      </c>
      <c r="U96" s="523" t="str">
        <f>IF(F96="","",VLOOKUP(F96,'G-3 Multipliers'!$A$2:$E$129,2,FALSE))</f>
        <v/>
      </c>
      <c r="V96" s="520" t="str">
        <f t="shared" si="9"/>
        <v/>
      </c>
      <c r="W96" s="520" t="str">
        <f>IF(E96="","",IF(AND(V96="Standard difficulty applied",O96&gt;P96),U96,IF(AND(V96="Low Difficulty - only applicable if all habitat created before losses ⚠",P96&gt;=O96),"Low",VLOOKUP(F96,'G-3 Multipliers'!$A$2:$E$129,4,FALSE))))</f>
        <v/>
      </c>
      <c r="X96" s="524" t="str">
        <f>IFERROR(IF(E96="","",VLOOKUP(W96, 'G-3 Multipliers'!$P$2:$Q$6,2,FALSE)),"")</f>
        <v/>
      </c>
      <c r="Y96" s="197"/>
      <c r="Z96" s="499" t="str">
        <f>IF(Y96="","",IF(VLOOKUP(Y96,'G-3 Multipliers'!$S$3:$T$9,2,FALSE)=0,"Spatial Data Missing ⚠",VLOOKUP(Y96,'G-3 Multipliers'!$S$3:$T$9,2,FALSE)))</f>
        <v/>
      </c>
      <c r="AA96" s="545" t="str">
        <f t="shared" si="8"/>
        <v/>
      </c>
      <c r="AB96" s="149"/>
      <c r="AC96" s="150"/>
    </row>
    <row r="97" spans="1:29" ht="14" x14ac:dyDescent="0.3">
      <c r="A97" s="31" t="str">
        <f>IFERROR(INDEX('G-8 Condition Look up'!$I$4:$I$130,MATCH(F97,'G-8 Condition Look up'!$A$4:$A$130,0)),"")</f>
        <v/>
      </c>
      <c r="C97" s="244" t="str">
        <f>IFERROR(INDEX('G-1 All Habitats'!$AG$3:$AG$15,MATCH(D97,'G-1 All Habitats'!$AF$3:$AF$15,0)),"")</f>
        <v/>
      </c>
      <c r="D97" s="154"/>
      <c r="E97" s="203"/>
      <c r="F97" s="243" t="str">
        <f>IFERROR(INDEX('G-1 All Habitats'!$B$3:$B$129,MATCH(E97,'G-1 All Habitats'!$A$3:$A$129,0)),"")</f>
        <v/>
      </c>
      <c r="G97" s="386"/>
      <c r="H97" s="537" t="str">
        <f>IF(F97="","",VLOOKUP(F97,'G-1 All Habitats'!$B$2:$M$129,10,FALSE))</f>
        <v/>
      </c>
      <c r="I97" s="524" t="str">
        <f>IFERROR(VLOOKUP(H97,'G-1 All Habitats'!$V$3:$W$7,2,FALSE),"")</f>
        <v/>
      </c>
      <c r="J97" s="199"/>
      <c r="K97" s="524" t="str">
        <f>IFERROR(INDEX('G-8 Condition Look up'!$A$3:$H$130,MATCH(F97,'G-8 Condition Look up'!$A$3:$A$130,0),MATCH(J97,'G-8 Condition Look up'!$A$3:$H$3,0)),"")</f>
        <v/>
      </c>
      <c r="L97" s="145"/>
      <c r="M97" s="540" t="str">
        <f>IF(L97="","",IF(VLOOKUP(L97,'G-3 Multipliers'!$L$3:$N$6,2,FALSE)=0,"Spatial Data Missing ⚠",VLOOKUP(L97,'G-3 Multipliers'!$L$3:$N$6,2,FALSE)))</f>
        <v/>
      </c>
      <c r="N97" s="499" t="str">
        <f>IF(L97="","",IF(VLOOKUP(L97,'G-3 Multipliers'!$L$3:$N$6,3,FALSE)=0,"Spatial Data Missing ⚠",VLOOKUP(L97,'G-3 Multipliers'!$L$3:$N$6,3,FALSE)))</f>
        <v/>
      </c>
      <c r="O97" s="498" t="str">
        <f t="shared" si="5"/>
        <v/>
      </c>
      <c r="P97" s="195"/>
      <c r="Q97" s="195"/>
      <c r="R97" s="520" t="str">
        <f t="shared" si="6"/>
        <v/>
      </c>
      <c r="S97" s="544" t="str">
        <f t="shared" si="7"/>
        <v/>
      </c>
      <c r="T97" s="525" t="str">
        <f>IFERROR(IF(S97="Check Data ⚠","Check Data ⚠",VLOOKUP(S97,'G-4 Temporal multipliers'!$A$4:$C$37,3,FALSE)),"")</f>
        <v/>
      </c>
      <c r="U97" s="523" t="str">
        <f>IF(F97="","",VLOOKUP(F97,'G-3 Multipliers'!$A$2:$E$129,2,FALSE))</f>
        <v/>
      </c>
      <c r="V97" s="520" t="str">
        <f t="shared" si="9"/>
        <v/>
      </c>
      <c r="W97" s="520" t="str">
        <f>IF(E97="","",IF(AND(V97="Standard difficulty applied",O97&gt;P97),U97,IF(AND(V97="Low Difficulty - only applicable if all habitat created before losses ⚠",P97&gt;=O97),"Low",VLOOKUP(F97,'G-3 Multipliers'!$A$2:$E$129,4,FALSE))))</f>
        <v/>
      </c>
      <c r="X97" s="524" t="str">
        <f>IFERROR(IF(E97="","",VLOOKUP(W97, 'G-3 Multipliers'!$P$2:$Q$6,2,FALSE)),"")</f>
        <v/>
      </c>
      <c r="Y97" s="197"/>
      <c r="Z97" s="499" t="str">
        <f>IF(Y97="","",IF(VLOOKUP(Y97,'G-3 Multipliers'!$S$3:$T$9,2,FALSE)=0,"Spatial Data Missing ⚠",VLOOKUP(Y97,'G-3 Multipliers'!$S$3:$T$9,2,FALSE)))</f>
        <v/>
      </c>
      <c r="AA97" s="545" t="str">
        <f t="shared" si="8"/>
        <v/>
      </c>
      <c r="AB97" s="149"/>
      <c r="AC97" s="150"/>
    </row>
    <row r="98" spans="1:29" ht="14" x14ac:dyDescent="0.3">
      <c r="A98" s="31" t="str">
        <f>IFERROR(INDEX('G-8 Condition Look up'!$I$4:$I$130,MATCH(F98,'G-8 Condition Look up'!$A$4:$A$130,0)),"")</f>
        <v/>
      </c>
      <c r="C98" s="244" t="str">
        <f>IFERROR(INDEX('G-1 All Habitats'!$AG$3:$AG$15,MATCH(D98,'G-1 All Habitats'!$AF$3:$AF$15,0)),"")</f>
        <v/>
      </c>
      <c r="D98" s="154"/>
      <c r="E98" s="203"/>
      <c r="F98" s="243" t="str">
        <f>IFERROR(INDEX('G-1 All Habitats'!$B$3:$B$129,MATCH(E98,'G-1 All Habitats'!$A$3:$A$129,0)),"")</f>
        <v/>
      </c>
      <c r="G98" s="386"/>
      <c r="H98" s="537" t="str">
        <f>IF(F98="","",VLOOKUP(F98,'G-1 All Habitats'!$B$2:$M$129,10,FALSE))</f>
        <v/>
      </c>
      <c r="I98" s="524" t="str">
        <f>IFERROR(VLOOKUP(H98,'G-1 All Habitats'!$V$3:$W$7,2,FALSE),"")</f>
        <v/>
      </c>
      <c r="J98" s="199"/>
      <c r="K98" s="524" t="str">
        <f>IFERROR(INDEX('G-8 Condition Look up'!$A$3:$H$130,MATCH(F98,'G-8 Condition Look up'!$A$3:$A$130,0),MATCH(J98,'G-8 Condition Look up'!$A$3:$H$3,0)),"")</f>
        <v/>
      </c>
      <c r="L98" s="145"/>
      <c r="M98" s="540" t="str">
        <f>IF(L98="","",IF(VLOOKUP(L98,'G-3 Multipliers'!$L$3:$N$6,2,FALSE)=0,"Spatial Data Missing ⚠",VLOOKUP(L98,'G-3 Multipliers'!$L$3:$N$6,2,FALSE)))</f>
        <v/>
      </c>
      <c r="N98" s="499" t="str">
        <f>IF(L98="","",IF(VLOOKUP(L98,'G-3 Multipliers'!$L$3:$N$6,3,FALSE)=0,"Spatial Data Missing ⚠",VLOOKUP(L98,'G-3 Multipliers'!$L$3:$N$6,3,FALSE)))</f>
        <v/>
      </c>
      <c r="O98" s="498" t="str">
        <f t="shared" si="5"/>
        <v/>
      </c>
      <c r="P98" s="195"/>
      <c r="Q98" s="195"/>
      <c r="R98" s="520" t="str">
        <f t="shared" si="6"/>
        <v/>
      </c>
      <c r="S98" s="544" t="str">
        <f t="shared" si="7"/>
        <v/>
      </c>
      <c r="T98" s="525" t="str">
        <f>IFERROR(IF(S98="Check Data ⚠","Check Data ⚠",VLOOKUP(S98,'G-4 Temporal multipliers'!$A$4:$C$37,3,FALSE)),"")</f>
        <v/>
      </c>
      <c r="U98" s="523" t="str">
        <f>IF(F98="","",VLOOKUP(F98,'G-3 Multipliers'!$A$2:$E$129,2,FALSE))</f>
        <v/>
      </c>
      <c r="V98" s="520" t="str">
        <f t="shared" si="9"/>
        <v/>
      </c>
      <c r="W98" s="520" t="str">
        <f>IF(E98="","",IF(AND(V98="Standard difficulty applied",O98&gt;P98),U98,IF(AND(V98="Low Difficulty - only applicable if all habitat created before losses ⚠",P98&gt;=O98),"Low",VLOOKUP(F98,'G-3 Multipliers'!$A$2:$E$129,4,FALSE))))</f>
        <v/>
      </c>
      <c r="X98" s="524" t="str">
        <f>IFERROR(IF(E98="","",VLOOKUP(W98, 'G-3 Multipliers'!$P$2:$Q$6,2,FALSE)),"")</f>
        <v/>
      </c>
      <c r="Y98" s="197"/>
      <c r="Z98" s="499" t="str">
        <f>IF(Y98="","",IF(VLOOKUP(Y98,'G-3 Multipliers'!$S$3:$T$9,2,FALSE)=0,"Spatial Data Missing ⚠",VLOOKUP(Y98,'G-3 Multipliers'!$S$3:$T$9,2,FALSE)))</f>
        <v/>
      </c>
      <c r="AA98" s="545" t="str">
        <f t="shared" si="8"/>
        <v/>
      </c>
      <c r="AB98" s="149"/>
      <c r="AC98" s="150"/>
    </row>
    <row r="99" spans="1:29" ht="14" x14ac:dyDescent="0.3">
      <c r="A99" s="31" t="str">
        <f>IFERROR(INDEX('G-8 Condition Look up'!$I$4:$I$130,MATCH(F99,'G-8 Condition Look up'!$A$4:$A$130,0)),"")</f>
        <v/>
      </c>
      <c r="C99" s="244" t="str">
        <f>IFERROR(INDEX('G-1 All Habitats'!$AG$3:$AG$15,MATCH(D99,'G-1 All Habitats'!$AF$3:$AF$15,0)),"")</f>
        <v/>
      </c>
      <c r="D99" s="154"/>
      <c r="E99" s="203"/>
      <c r="F99" s="243" t="str">
        <f>IFERROR(INDEX('G-1 All Habitats'!$B$3:$B$129,MATCH(E99,'G-1 All Habitats'!$A$3:$A$129,0)),"")</f>
        <v/>
      </c>
      <c r="G99" s="386"/>
      <c r="H99" s="537" t="str">
        <f>IF(F99="","",VLOOKUP(F99,'G-1 All Habitats'!$B$2:$M$129,10,FALSE))</f>
        <v/>
      </c>
      <c r="I99" s="524" t="str">
        <f>IFERROR(VLOOKUP(H99,'G-1 All Habitats'!$V$3:$W$7,2,FALSE),"")</f>
        <v/>
      </c>
      <c r="J99" s="199"/>
      <c r="K99" s="524" t="str">
        <f>IFERROR(INDEX('G-8 Condition Look up'!$A$3:$H$130,MATCH(F99,'G-8 Condition Look up'!$A$3:$A$130,0),MATCH(J99,'G-8 Condition Look up'!$A$3:$H$3,0)),"")</f>
        <v/>
      </c>
      <c r="L99" s="145"/>
      <c r="M99" s="540" t="str">
        <f>IF(L99="","",IF(VLOOKUP(L99,'G-3 Multipliers'!$L$3:$N$6,2,FALSE)=0,"Spatial Data Missing ⚠",VLOOKUP(L99,'G-3 Multipliers'!$L$3:$N$6,2,FALSE)))</f>
        <v/>
      </c>
      <c r="N99" s="499" t="str">
        <f>IF(L99="","",IF(VLOOKUP(L99,'G-3 Multipliers'!$L$3:$N$6,3,FALSE)=0,"Spatial Data Missing ⚠",VLOOKUP(L99,'G-3 Multipliers'!$L$3:$N$6,3,FALSE)))</f>
        <v/>
      </c>
      <c r="O99" s="498" t="str">
        <f t="shared" si="5"/>
        <v/>
      </c>
      <c r="P99" s="195"/>
      <c r="Q99" s="195"/>
      <c r="R99" s="520" t="str">
        <f t="shared" si="6"/>
        <v/>
      </c>
      <c r="S99" s="544" t="str">
        <f t="shared" si="7"/>
        <v/>
      </c>
      <c r="T99" s="525" t="str">
        <f>IFERROR(IF(S99="Check Data ⚠","Check Data ⚠",VLOOKUP(S99,'G-4 Temporal multipliers'!$A$4:$C$37,3,FALSE)),"")</f>
        <v/>
      </c>
      <c r="U99" s="523" t="str">
        <f>IF(F99="","",VLOOKUP(F99,'G-3 Multipliers'!$A$2:$E$129,2,FALSE))</f>
        <v/>
      </c>
      <c r="V99" s="520" t="str">
        <f t="shared" si="9"/>
        <v/>
      </c>
      <c r="W99" s="520" t="str">
        <f>IF(E99="","",IF(AND(V99="Standard difficulty applied",O99&gt;P99),U99,IF(AND(V99="Low Difficulty - only applicable if all habitat created before losses ⚠",P99&gt;=O99),"Low",VLOOKUP(F99,'G-3 Multipliers'!$A$2:$E$129,4,FALSE))))</f>
        <v/>
      </c>
      <c r="X99" s="524" t="str">
        <f>IFERROR(IF(E99="","",VLOOKUP(W99, 'G-3 Multipliers'!$P$2:$Q$6,2,FALSE)),"")</f>
        <v/>
      </c>
      <c r="Y99" s="197"/>
      <c r="Z99" s="499" t="str">
        <f>IF(Y99="","",IF(VLOOKUP(Y99,'G-3 Multipliers'!$S$3:$T$9,2,FALSE)=0,"Spatial Data Missing ⚠",VLOOKUP(Y99,'G-3 Multipliers'!$S$3:$T$9,2,FALSE)))</f>
        <v/>
      </c>
      <c r="AA99" s="545" t="str">
        <f t="shared" si="8"/>
        <v/>
      </c>
      <c r="AB99" s="149"/>
      <c r="AC99" s="150"/>
    </row>
    <row r="100" spans="1:29" ht="14" x14ac:dyDescent="0.3">
      <c r="A100" s="31" t="str">
        <f>IFERROR(INDEX('G-8 Condition Look up'!$I$4:$I$130,MATCH(F100,'G-8 Condition Look up'!$A$4:$A$130,0)),"")</f>
        <v/>
      </c>
      <c r="C100" s="244" t="str">
        <f>IFERROR(INDEX('G-1 All Habitats'!$AG$3:$AG$15,MATCH(D100,'G-1 All Habitats'!$AF$3:$AF$15,0)),"")</f>
        <v/>
      </c>
      <c r="D100" s="154"/>
      <c r="E100" s="203"/>
      <c r="F100" s="243" t="str">
        <f>IFERROR(INDEX('G-1 All Habitats'!$B$3:$B$129,MATCH(E100,'G-1 All Habitats'!$A$3:$A$129,0)),"")</f>
        <v/>
      </c>
      <c r="G100" s="386"/>
      <c r="H100" s="537" t="str">
        <f>IF(F100="","",VLOOKUP(F100,'G-1 All Habitats'!$B$2:$M$129,10,FALSE))</f>
        <v/>
      </c>
      <c r="I100" s="524" t="str">
        <f>IFERROR(VLOOKUP(H100,'G-1 All Habitats'!$V$3:$W$7,2,FALSE),"")</f>
        <v/>
      </c>
      <c r="J100" s="199"/>
      <c r="K100" s="524" t="str">
        <f>IFERROR(INDEX('G-8 Condition Look up'!$A$3:$H$130,MATCH(F100,'G-8 Condition Look up'!$A$3:$A$130,0),MATCH(J100,'G-8 Condition Look up'!$A$3:$H$3,0)),"")</f>
        <v/>
      </c>
      <c r="L100" s="145"/>
      <c r="M100" s="540" t="str">
        <f>IF(L100="","",IF(VLOOKUP(L100,'G-3 Multipliers'!$L$3:$N$6,2,FALSE)=0,"Spatial Data Missing ⚠",VLOOKUP(L100,'G-3 Multipliers'!$L$3:$N$6,2,FALSE)))</f>
        <v/>
      </c>
      <c r="N100" s="499" t="str">
        <f>IF(L100="","",IF(VLOOKUP(L100,'G-3 Multipliers'!$L$3:$N$6,3,FALSE)=0,"Spatial Data Missing ⚠",VLOOKUP(L100,'G-3 Multipliers'!$L$3:$N$6,3,FALSE)))</f>
        <v/>
      </c>
      <c r="O100" s="498" t="str">
        <f t="shared" si="5"/>
        <v/>
      </c>
      <c r="P100" s="195"/>
      <c r="Q100" s="195"/>
      <c r="R100" s="520" t="str">
        <f t="shared" si="6"/>
        <v/>
      </c>
      <c r="S100" s="544" t="str">
        <f t="shared" si="7"/>
        <v/>
      </c>
      <c r="T100" s="525" t="str">
        <f>IFERROR(IF(S100="Check Data ⚠","Check Data ⚠",VLOOKUP(S100,'G-4 Temporal multipliers'!$A$4:$C$37,3,FALSE)),"")</f>
        <v/>
      </c>
      <c r="U100" s="523" t="str">
        <f>IF(F100="","",VLOOKUP(F100,'G-3 Multipliers'!$A$2:$E$129,2,FALSE))</f>
        <v/>
      </c>
      <c r="V100" s="520" t="str">
        <f t="shared" si="9"/>
        <v/>
      </c>
      <c r="W100" s="520" t="str">
        <f>IF(E100="","",IF(AND(V100="Standard difficulty applied",O100&gt;P100),U100,IF(AND(V100="Low Difficulty - only applicable if all habitat created before losses ⚠",P100&gt;=O100),"Low",VLOOKUP(F100,'G-3 Multipliers'!$A$2:$E$129,4,FALSE))))</f>
        <v/>
      </c>
      <c r="X100" s="524" t="str">
        <f>IFERROR(IF(E100="","",VLOOKUP(W100, 'G-3 Multipliers'!$P$2:$Q$6,2,FALSE)),"")</f>
        <v/>
      </c>
      <c r="Y100" s="197"/>
      <c r="Z100" s="499" t="str">
        <f>IF(Y100="","",IF(VLOOKUP(Y100,'G-3 Multipliers'!$S$3:$T$9,2,FALSE)=0,"Spatial Data Missing ⚠",VLOOKUP(Y100,'G-3 Multipliers'!$S$3:$T$9,2,FALSE)))</f>
        <v/>
      </c>
      <c r="AA100" s="545" t="str">
        <f t="shared" si="8"/>
        <v/>
      </c>
      <c r="AB100" s="149"/>
      <c r="AC100" s="150"/>
    </row>
    <row r="101" spans="1:29" ht="14" x14ac:dyDescent="0.3">
      <c r="A101" s="31" t="str">
        <f>IFERROR(INDEX('G-8 Condition Look up'!$I$4:$I$130,MATCH(F101,'G-8 Condition Look up'!$A$4:$A$130,0)),"")</f>
        <v/>
      </c>
      <c r="C101" s="244" t="str">
        <f>IFERROR(INDEX('G-1 All Habitats'!$AG$3:$AG$15,MATCH(D101,'G-1 All Habitats'!$AF$3:$AF$15,0)),"")</f>
        <v/>
      </c>
      <c r="D101" s="154"/>
      <c r="E101" s="203"/>
      <c r="F101" s="243" t="str">
        <f>IFERROR(INDEX('G-1 All Habitats'!$B$3:$B$129,MATCH(E101,'G-1 All Habitats'!$A$3:$A$129,0)),"")</f>
        <v/>
      </c>
      <c r="G101" s="386"/>
      <c r="H101" s="537" t="str">
        <f>IF(F101="","",VLOOKUP(F101,'G-1 All Habitats'!$B$2:$M$129,10,FALSE))</f>
        <v/>
      </c>
      <c r="I101" s="524" t="str">
        <f>IFERROR(VLOOKUP(H101,'G-1 All Habitats'!$V$3:$W$7,2,FALSE),"")</f>
        <v/>
      </c>
      <c r="J101" s="199"/>
      <c r="K101" s="524" t="str">
        <f>IFERROR(INDEX('G-8 Condition Look up'!$A$3:$H$130,MATCH(F101,'G-8 Condition Look up'!$A$3:$A$130,0),MATCH(J101,'G-8 Condition Look up'!$A$3:$H$3,0)),"")</f>
        <v/>
      </c>
      <c r="L101" s="145"/>
      <c r="M101" s="540" t="str">
        <f>IF(L101="","",IF(VLOOKUP(L101,'G-3 Multipliers'!$L$3:$N$6,2,FALSE)=0,"Spatial Data Missing ⚠",VLOOKUP(L101,'G-3 Multipliers'!$L$3:$N$6,2,FALSE)))</f>
        <v/>
      </c>
      <c r="N101" s="499" t="str">
        <f>IF(L101="","",IF(VLOOKUP(L101,'G-3 Multipliers'!$L$3:$N$6,3,FALSE)=0,"Spatial Data Missing ⚠",VLOOKUP(L101,'G-3 Multipliers'!$L$3:$N$6,3,FALSE)))</f>
        <v/>
      </c>
      <c r="O101" s="498" t="str">
        <f t="shared" si="5"/>
        <v/>
      </c>
      <c r="P101" s="195"/>
      <c r="Q101" s="195"/>
      <c r="R101" s="520" t="str">
        <f t="shared" si="6"/>
        <v/>
      </c>
      <c r="S101" s="544" t="str">
        <f t="shared" si="7"/>
        <v/>
      </c>
      <c r="T101" s="525" t="str">
        <f>IFERROR(IF(S101="Check Data ⚠","Check Data ⚠",VLOOKUP(S101,'G-4 Temporal multipliers'!$A$4:$C$37,3,FALSE)),"")</f>
        <v/>
      </c>
      <c r="U101" s="523" t="str">
        <f>IF(F101="","",VLOOKUP(F101,'G-3 Multipliers'!$A$2:$E$129,2,FALSE))</f>
        <v/>
      </c>
      <c r="V101" s="520" t="str">
        <f t="shared" si="9"/>
        <v/>
      </c>
      <c r="W101" s="520" t="str">
        <f>IF(E101="","",IF(AND(V101="Standard difficulty applied",O101&gt;P101),U101,IF(AND(V101="Low Difficulty - only applicable if all habitat created before losses ⚠",P101&gt;=O101),"Low",VLOOKUP(F101,'G-3 Multipliers'!$A$2:$E$129,4,FALSE))))</f>
        <v/>
      </c>
      <c r="X101" s="524" t="str">
        <f>IFERROR(IF(E101="","",VLOOKUP(W101, 'G-3 Multipliers'!$P$2:$Q$6,2,FALSE)),"")</f>
        <v/>
      </c>
      <c r="Y101" s="197"/>
      <c r="Z101" s="499" t="str">
        <f>IF(Y101="","",IF(VLOOKUP(Y101,'G-3 Multipliers'!$S$3:$T$9,2,FALSE)=0,"Spatial Data Missing ⚠",VLOOKUP(Y101,'G-3 Multipliers'!$S$3:$T$9,2,FALSE)))</f>
        <v/>
      </c>
      <c r="AA101" s="545" t="str">
        <f t="shared" si="8"/>
        <v/>
      </c>
      <c r="AB101" s="149"/>
      <c r="AC101" s="150"/>
    </row>
    <row r="102" spans="1:29" ht="14" x14ac:dyDescent="0.3">
      <c r="A102" s="31" t="str">
        <f>IFERROR(INDEX('G-8 Condition Look up'!$I$4:$I$130,MATCH(F102,'G-8 Condition Look up'!$A$4:$A$130,0)),"")</f>
        <v/>
      </c>
      <c r="C102" s="244" t="str">
        <f>IFERROR(INDEX('G-1 All Habitats'!$AG$3:$AG$15,MATCH(D102,'G-1 All Habitats'!$AF$3:$AF$15,0)),"")</f>
        <v/>
      </c>
      <c r="D102" s="154"/>
      <c r="E102" s="203"/>
      <c r="F102" s="243" t="str">
        <f>IFERROR(INDEX('G-1 All Habitats'!$B$3:$B$129,MATCH(E102,'G-1 All Habitats'!$A$3:$A$129,0)),"")</f>
        <v/>
      </c>
      <c r="G102" s="386"/>
      <c r="H102" s="537" t="str">
        <f>IF(F102="","",VLOOKUP(F102,'G-1 All Habitats'!$B$2:$M$129,10,FALSE))</f>
        <v/>
      </c>
      <c r="I102" s="524" t="str">
        <f>IFERROR(VLOOKUP(H102,'G-1 All Habitats'!$V$3:$W$7,2,FALSE),"")</f>
        <v/>
      </c>
      <c r="J102" s="199"/>
      <c r="K102" s="524" t="str">
        <f>IFERROR(INDEX('G-8 Condition Look up'!$A$3:$H$130,MATCH(F102,'G-8 Condition Look up'!$A$3:$A$130,0),MATCH(J102,'G-8 Condition Look up'!$A$3:$H$3,0)),"")</f>
        <v/>
      </c>
      <c r="L102" s="145"/>
      <c r="M102" s="540" t="str">
        <f>IF(L102="","",IF(VLOOKUP(L102,'G-3 Multipliers'!$L$3:$N$6,2,FALSE)=0,"Spatial Data Missing ⚠",VLOOKUP(L102,'G-3 Multipliers'!$L$3:$N$6,2,FALSE)))</f>
        <v/>
      </c>
      <c r="N102" s="499" t="str">
        <f>IF(L102="","",IF(VLOOKUP(L102,'G-3 Multipliers'!$L$3:$N$6,3,FALSE)=0,"Spatial Data Missing ⚠",VLOOKUP(L102,'G-3 Multipliers'!$L$3:$N$6,3,FALSE)))</f>
        <v/>
      </c>
      <c r="O102" s="498" t="str">
        <f t="shared" si="5"/>
        <v/>
      </c>
      <c r="P102" s="195"/>
      <c r="Q102" s="195"/>
      <c r="R102" s="520" t="str">
        <f t="shared" si="6"/>
        <v/>
      </c>
      <c r="S102" s="544" t="str">
        <f t="shared" si="7"/>
        <v/>
      </c>
      <c r="T102" s="525" t="str">
        <f>IFERROR(IF(S102="Check Data ⚠","Check Data ⚠",VLOOKUP(S102,'G-4 Temporal multipliers'!$A$4:$C$37,3,FALSE)),"")</f>
        <v/>
      </c>
      <c r="U102" s="523" t="str">
        <f>IF(F102="","",VLOOKUP(F102,'G-3 Multipliers'!$A$2:$E$129,2,FALSE))</f>
        <v/>
      </c>
      <c r="V102" s="520" t="str">
        <f t="shared" si="9"/>
        <v/>
      </c>
      <c r="W102" s="520" t="str">
        <f>IF(E102="","",IF(AND(V102="Standard difficulty applied",O102&gt;P102),U102,IF(AND(V102="Low Difficulty - only applicable if all habitat created before losses ⚠",P102&gt;=O102),"Low",VLOOKUP(F102,'G-3 Multipliers'!$A$2:$E$129,4,FALSE))))</f>
        <v/>
      </c>
      <c r="X102" s="524" t="str">
        <f>IFERROR(IF(E102="","",VLOOKUP(W102, 'G-3 Multipliers'!$P$2:$Q$6,2,FALSE)),"")</f>
        <v/>
      </c>
      <c r="Y102" s="197"/>
      <c r="Z102" s="499" t="str">
        <f>IF(Y102="","",IF(VLOOKUP(Y102,'G-3 Multipliers'!$S$3:$T$9,2,FALSE)=0,"Spatial Data Missing ⚠",VLOOKUP(Y102,'G-3 Multipliers'!$S$3:$T$9,2,FALSE)))</f>
        <v/>
      </c>
      <c r="AA102" s="545" t="str">
        <f t="shared" si="8"/>
        <v/>
      </c>
      <c r="AB102" s="149"/>
      <c r="AC102" s="150"/>
    </row>
    <row r="103" spans="1:29" ht="14" x14ac:dyDescent="0.3">
      <c r="A103" s="31" t="str">
        <f>IFERROR(INDEX('G-8 Condition Look up'!$I$4:$I$130,MATCH(F103,'G-8 Condition Look up'!$A$4:$A$130,0)),"")</f>
        <v/>
      </c>
      <c r="C103" s="244" t="str">
        <f>IFERROR(INDEX('G-1 All Habitats'!$AG$3:$AG$15,MATCH(D103,'G-1 All Habitats'!$AF$3:$AF$15,0)),"")</f>
        <v/>
      </c>
      <c r="D103" s="154"/>
      <c r="E103" s="203"/>
      <c r="F103" s="243" t="str">
        <f>IFERROR(INDEX('G-1 All Habitats'!$B$3:$B$129,MATCH(E103,'G-1 All Habitats'!$A$3:$A$129,0)),"")</f>
        <v/>
      </c>
      <c r="G103" s="386"/>
      <c r="H103" s="537" t="str">
        <f>IF(F103="","",VLOOKUP(F103,'G-1 All Habitats'!$B$2:$M$129,10,FALSE))</f>
        <v/>
      </c>
      <c r="I103" s="524" t="str">
        <f>IFERROR(VLOOKUP(H103,'G-1 All Habitats'!$V$3:$W$7,2,FALSE),"")</f>
        <v/>
      </c>
      <c r="J103" s="199"/>
      <c r="K103" s="524" t="str">
        <f>IFERROR(INDEX('G-8 Condition Look up'!$A$3:$H$130,MATCH(F103,'G-8 Condition Look up'!$A$3:$A$130,0),MATCH(J103,'G-8 Condition Look up'!$A$3:$H$3,0)),"")</f>
        <v/>
      </c>
      <c r="L103" s="145"/>
      <c r="M103" s="540" t="str">
        <f>IF(L103="","",IF(VLOOKUP(L103,'G-3 Multipliers'!$L$3:$N$6,2,FALSE)=0,"Spatial Data Missing ⚠",VLOOKUP(L103,'G-3 Multipliers'!$L$3:$N$6,2,FALSE)))</f>
        <v/>
      </c>
      <c r="N103" s="499" t="str">
        <f>IF(L103="","",IF(VLOOKUP(L103,'G-3 Multipliers'!$L$3:$N$6,3,FALSE)=0,"Spatial Data Missing ⚠",VLOOKUP(L103,'G-3 Multipliers'!$L$3:$N$6,3,FALSE)))</f>
        <v/>
      </c>
      <c r="O103" s="498" t="str">
        <f t="shared" si="5"/>
        <v/>
      </c>
      <c r="P103" s="195"/>
      <c r="Q103" s="195"/>
      <c r="R103" s="520" t="str">
        <f t="shared" si="6"/>
        <v/>
      </c>
      <c r="S103" s="544" t="str">
        <f t="shared" si="7"/>
        <v/>
      </c>
      <c r="T103" s="525" t="str">
        <f>IFERROR(IF(S103="Check Data ⚠","Check Data ⚠",VLOOKUP(S103,'G-4 Temporal multipliers'!$A$4:$C$37,3,FALSE)),"")</f>
        <v/>
      </c>
      <c r="U103" s="523" t="str">
        <f>IF(F103="","",VLOOKUP(F103,'G-3 Multipliers'!$A$2:$E$129,2,FALSE))</f>
        <v/>
      </c>
      <c r="V103" s="520" t="str">
        <f t="shared" si="9"/>
        <v/>
      </c>
      <c r="W103" s="520" t="str">
        <f>IF(E103="","",IF(AND(V103="Standard difficulty applied",O103&gt;P103),U103,IF(AND(V103="Low Difficulty - only applicable if all habitat created before losses ⚠",P103&gt;=O103),"Low",VLOOKUP(F103,'G-3 Multipliers'!$A$2:$E$129,4,FALSE))))</f>
        <v/>
      </c>
      <c r="X103" s="524" t="str">
        <f>IFERROR(IF(E103="","",VLOOKUP(W103, 'G-3 Multipliers'!$P$2:$Q$6,2,FALSE)),"")</f>
        <v/>
      </c>
      <c r="Y103" s="197"/>
      <c r="Z103" s="499" t="str">
        <f>IF(Y103="","",IF(VLOOKUP(Y103,'G-3 Multipliers'!$S$3:$T$9,2,FALSE)=0,"Spatial Data Missing ⚠",VLOOKUP(Y103,'G-3 Multipliers'!$S$3:$T$9,2,FALSE)))</f>
        <v/>
      </c>
      <c r="AA103" s="545" t="str">
        <f t="shared" si="8"/>
        <v/>
      </c>
      <c r="AB103" s="149"/>
      <c r="AC103" s="150"/>
    </row>
    <row r="104" spans="1:29" ht="14" x14ac:dyDescent="0.3">
      <c r="A104" s="31" t="str">
        <f>IFERROR(INDEX('G-8 Condition Look up'!$I$4:$I$130,MATCH(F104,'G-8 Condition Look up'!$A$4:$A$130,0)),"")</f>
        <v/>
      </c>
      <c r="C104" s="244" t="str">
        <f>IFERROR(INDEX('G-1 All Habitats'!$AG$3:$AG$15,MATCH(D104,'G-1 All Habitats'!$AF$3:$AF$15,0)),"")</f>
        <v/>
      </c>
      <c r="D104" s="154"/>
      <c r="E104" s="203"/>
      <c r="F104" s="243" t="str">
        <f>IFERROR(INDEX('G-1 All Habitats'!$B$3:$B$129,MATCH(E104,'G-1 All Habitats'!$A$3:$A$129,0)),"")</f>
        <v/>
      </c>
      <c r="G104" s="386"/>
      <c r="H104" s="537" t="str">
        <f>IF(F104="","",VLOOKUP(F104,'G-1 All Habitats'!$B$2:$M$129,10,FALSE))</f>
        <v/>
      </c>
      <c r="I104" s="524" t="str">
        <f>IFERROR(VLOOKUP(H104,'G-1 All Habitats'!$V$3:$W$7,2,FALSE),"")</f>
        <v/>
      </c>
      <c r="J104" s="199"/>
      <c r="K104" s="524" t="str">
        <f>IFERROR(INDEX('G-8 Condition Look up'!$A$3:$H$130,MATCH(F104,'G-8 Condition Look up'!$A$3:$A$130,0),MATCH(J104,'G-8 Condition Look up'!$A$3:$H$3,0)),"")</f>
        <v/>
      </c>
      <c r="L104" s="145"/>
      <c r="M104" s="540" t="str">
        <f>IF(L104="","",IF(VLOOKUP(L104,'G-3 Multipliers'!$L$3:$N$6,2,FALSE)=0,"Spatial Data Missing ⚠",VLOOKUP(L104,'G-3 Multipliers'!$L$3:$N$6,2,FALSE)))</f>
        <v/>
      </c>
      <c r="N104" s="499" t="str">
        <f>IF(L104="","",IF(VLOOKUP(L104,'G-3 Multipliers'!$L$3:$N$6,3,FALSE)=0,"Spatial Data Missing ⚠",VLOOKUP(L104,'G-3 Multipliers'!$L$3:$N$6,3,FALSE)))</f>
        <v/>
      </c>
      <c r="O104" s="498" t="str">
        <f t="shared" si="5"/>
        <v/>
      </c>
      <c r="P104" s="195"/>
      <c r="Q104" s="195"/>
      <c r="R104" s="520" t="str">
        <f t="shared" si="6"/>
        <v/>
      </c>
      <c r="S104" s="544" t="str">
        <f t="shared" si="7"/>
        <v/>
      </c>
      <c r="T104" s="525" t="str">
        <f>IFERROR(IF(S104="Check Data ⚠","Check Data ⚠",VLOOKUP(S104,'G-4 Temporal multipliers'!$A$4:$C$37,3,FALSE)),"")</f>
        <v/>
      </c>
      <c r="U104" s="523" t="str">
        <f>IF(F104="","",VLOOKUP(F104,'G-3 Multipliers'!$A$2:$E$129,2,FALSE))</f>
        <v/>
      </c>
      <c r="V104" s="520" t="str">
        <f t="shared" si="9"/>
        <v/>
      </c>
      <c r="W104" s="520" t="str">
        <f>IF(E104="","",IF(AND(V104="Standard difficulty applied",O104&gt;P104),U104,IF(AND(V104="Low Difficulty - only applicable if all habitat created before losses ⚠",P104&gt;=O104),"Low",VLOOKUP(F104,'G-3 Multipliers'!$A$2:$E$129,4,FALSE))))</f>
        <v/>
      </c>
      <c r="X104" s="524" t="str">
        <f>IFERROR(IF(E104="","",VLOOKUP(W104, 'G-3 Multipliers'!$P$2:$Q$6,2,FALSE)),"")</f>
        <v/>
      </c>
      <c r="Y104" s="197"/>
      <c r="Z104" s="499" t="str">
        <f>IF(Y104="","",IF(VLOOKUP(Y104,'G-3 Multipliers'!$S$3:$T$9,2,FALSE)=0,"Spatial Data Missing ⚠",VLOOKUP(Y104,'G-3 Multipliers'!$S$3:$T$9,2,FALSE)))</f>
        <v/>
      </c>
      <c r="AA104" s="545" t="str">
        <f t="shared" si="8"/>
        <v/>
      </c>
      <c r="AB104" s="149"/>
      <c r="AC104" s="150"/>
    </row>
    <row r="105" spans="1:29" ht="14" x14ac:dyDescent="0.3">
      <c r="A105" s="31" t="str">
        <f>IFERROR(INDEX('G-8 Condition Look up'!$I$4:$I$130,MATCH(F105,'G-8 Condition Look up'!$A$4:$A$130,0)),"")</f>
        <v/>
      </c>
      <c r="C105" s="244" t="str">
        <f>IFERROR(INDEX('G-1 All Habitats'!$AG$3:$AG$15,MATCH(D105,'G-1 All Habitats'!$AF$3:$AF$15,0)),"")</f>
        <v/>
      </c>
      <c r="D105" s="154"/>
      <c r="E105" s="203"/>
      <c r="F105" s="243" t="str">
        <f>IFERROR(INDEX('G-1 All Habitats'!$B$3:$B$129,MATCH(E105,'G-1 All Habitats'!$A$3:$A$129,0)),"")</f>
        <v/>
      </c>
      <c r="G105" s="386"/>
      <c r="H105" s="537" t="str">
        <f>IF(F105="","",VLOOKUP(F105,'G-1 All Habitats'!$B$2:$M$129,10,FALSE))</f>
        <v/>
      </c>
      <c r="I105" s="524" t="str">
        <f>IFERROR(VLOOKUP(H105,'G-1 All Habitats'!$V$3:$W$7,2,FALSE),"")</f>
        <v/>
      </c>
      <c r="J105" s="199"/>
      <c r="K105" s="524" t="str">
        <f>IFERROR(INDEX('G-8 Condition Look up'!$A$3:$H$130,MATCH(F105,'G-8 Condition Look up'!$A$3:$A$130,0),MATCH(J105,'G-8 Condition Look up'!$A$3:$H$3,0)),"")</f>
        <v/>
      </c>
      <c r="L105" s="145"/>
      <c r="M105" s="540" t="str">
        <f>IF(L105="","",IF(VLOOKUP(L105,'G-3 Multipliers'!$L$3:$N$6,2,FALSE)=0,"Spatial Data Missing ⚠",VLOOKUP(L105,'G-3 Multipliers'!$L$3:$N$6,2,FALSE)))</f>
        <v/>
      </c>
      <c r="N105" s="499" t="str">
        <f>IF(L105="","",IF(VLOOKUP(L105,'G-3 Multipliers'!$L$3:$N$6,3,FALSE)=0,"Spatial Data Missing ⚠",VLOOKUP(L105,'G-3 Multipliers'!$L$3:$N$6,3,FALSE)))</f>
        <v/>
      </c>
      <c r="O105" s="498" t="str">
        <f t="shared" si="5"/>
        <v/>
      </c>
      <c r="P105" s="195"/>
      <c r="Q105" s="195"/>
      <c r="R105" s="520" t="str">
        <f t="shared" si="6"/>
        <v/>
      </c>
      <c r="S105" s="544" t="str">
        <f t="shared" si="7"/>
        <v/>
      </c>
      <c r="T105" s="525" t="str">
        <f>IFERROR(IF(S105="Check Data ⚠","Check Data ⚠",VLOOKUP(S105,'G-4 Temporal multipliers'!$A$4:$C$37,3,FALSE)),"")</f>
        <v/>
      </c>
      <c r="U105" s="523" t="str">
        <f>IF(F105="","",VLOOKUP(F105,'G-3 Multipliers'!$A$2:$E$129,2,FALSE))</f>
        <v/>
      </c>
      <c r="V105" s="520" t="str">
        <f t="shared" si="9"/>
        <v/>
      </c>
      <c r="W105" s="520" t="str">
        <f>IF(E105="","",IF(AND(V105="Standard difficulty applied",O105&gt;P105),U105,IF(AND(V105="Low Difficulty - only applicable if all habitat created before losses ⚠",P105&gt;=O105),"Low",VLOOKUP(F105,'G-3 Multipliers'!$A$2:$E$129,4,FALSE))))</f>
        <v/>
      </c>
      <c r="X105" s="524" t="str">
        <f>IFERROR(IF(E105="","",VLOOKUP(W105, 'G-3 Multipliers'!$P$2:$Q$6,2,FALSE)),"")</f>
        <v/>
      </c>
      <c r="Y105" s="197"/>
      <c r="Z105" s="499" t="str">
        <f>IF(Y105="","",IF(VLOOKUP(Y105,'G-3 Multipliers'!$S$3:$T$9,2,FALSE)=0,"Spatial Data Missing ⚠",VLOOKUP(Y105,'G-3 Multipliers'!$S$3:$T$9,2,FALSE)))</f>
        <v/>
      </c>
      <c r="AA105" s="545" t="str">
        <f t="shared" si="8"/>
        <v/>
      </c>
      <c r="AB105" s="149"/>
      <c r="AC105" s="150"/>
    </row>
    <row r="106" spans="1:29" ht="14" x14ac:dyDescent="0.3">
      <c r="A106" s="31" t="str">
        <f>IFERROR(INDEX('G-8 Condition Look up'!$I$4:$I$130,MATCH(F106,'G-8 Condition Look up'!$A$4:$A$130,0)),"")</f>
        <v/>
      </c>
      <c r="C106" s="244" t="str">
        <f>IFERROR(INDEX('G-1 All Habitats'!$AG$3:$AG$15,MATCH(D106,'G-1 All Habitats'!$AF$3:$AF$15,0)),"")</f>
        <v/>
      </c>
      <c r="D106" s="154"/>
      <c r="E106" s="203"/>
      <c r="F106" s="243" t="str">
        <f>IFERROR(INDEX('G-1 All Habitats'!$B$3:$B$129,MATCH(E106,'G-1 All Habitats'!$A$3:$A$129,0)),"")</f>
        <v/>
      </c>
      <c r="G106" s="386"/>
      <c r="H106" s="537" t="str">
        <f>IF(F106="","",VLOOKUP(F106,'G-1 All Habitats'!$B$2:$M$129,10,FALSE))</f>
        <v/>
      </c>
      <c r="I106" s="524" t="str">
        <f>IFERROR(VLOOKUP(H106,'G-1 All Habitats'!$V$3:$W$7,2,FALSE),"")</f>
        <v/>
      </c>
      <c r="J106" s="199"/>
      <c r="K106" s="524" t="str">
        <f>IFERROR(INDEX('G-8 Condition Look up'!$A$3:$H$130,MATCH(F106,'G-8 Condition Look up'!$A$3:$A$130,0),MATCH(J106,'G-8 Condition Look up'!$A$3:$H$3,0)),"")</f>
        <v/>
      </c>
      <c r="L106" s="145"/>
      <c r="M106" s="540" t="str">
        <f>IF(L106="","",IF(VLOOKUP(L106,'G-3 Multipliers'!$L$3:$N$6,2,FALSE)=0,"Spatial Data Missing ⚠",VLOOKUP(L106,'G-3 Multipliers'!$L$3:$N$6,2,FALSE)))</f>
        <v/>
      </c>
      <c r="N106" s="499" t="str">
        <f>IF(L106="","",IF(VLOOKUP(L106,'G-3 Multipliers'!$L$3:$N$6,3,FALSE)=0,"Spatial Data Missing ⚠",VLOOKUP(L106,'G-3 Multipliers'!$L$3:$N$6,3,FALSE)))</f>
        <v/>
      </c>
      <c r="O106" s="498" t="str">
        <f t="shared" si="5"/>
        <v/>
      </c>
      <c r="P106" s="195"/>
      <c r="Q106" s="195"/>
      <c r="R106" s="520" t="str">
        <f t="shared" si="6"/>
        <v/>
      </c>
      <c r="S106" s="544" t="str">
        <f t="shared" si="7"/>
        <v/>
      </c>
      <c r="T106" s="525" t="str">
        <f>IFERROR(IF(S106="Check Data ⚠","Check Data ⚠",VLOOKUP(S106,'G-4 Temporal multipliers'!$A$4:$C$37,3,FALSE)),"")</f>
        <v/>
      </c>
      <c r="U106" s="523" t="str">
        <f>IF(F106="","",VLOOKUP(F106,'G-3 Multipliers'!$A$2:$E$129,2,FALSE))</f>
        <v/>
      </c>
      <c r="V106" s="520" t="str">
        <f t="shared" si="9"/>
        <v/>
      </c>
      <c r="W106" s="520" t="str">
        <f>IF(E106="","",IF(AND(V106="Standard difficulty applied",O106&gt;P106),U106,IF(AND(V106="Low Difficulty - only applicable if all habitat created before losses ⚠",P106&gt;=O106),"Low",VLOOKUP(F106,'G-3 Multipliers'!$A$2:$E$129,4,FALSE))))</f>
        <v/>
      </c>
      <c r="X106" s="524" t="str">
        <f>IFERROR(IF(E106="","",VLOOKUP(W106, 'G-3 Multipliers'!$P$2:$Q$6,2,FALSE)),"")</f>
        <v/>
      </c>
      <c r="Y106" s="197"/>
      <c r="Z106" s="499" t="str">
        <f>IF(Y106="","",IF(VLOOKUP(Y106,'G-3 Multipliers'!$S$3:$T$9,2,FALSE)=0,"Spatial Data Missing ⚠",VLOOKUP(Y106,'G-3 Multipliers'!$S$3:$T$9,2,FALSE)))</f>
        <v/>
      </c>
      <c r="AA106" s="545" t="str">
        <f t="shared" si="8"/>
        <v/>
      </c>
      <c r="AB106" s="149"/>
      <c r="AC106" s="150"/>
    </row>
    <row r="107" spans="1:29" ht="14" x14ac:dyDescent="0.3">
      <c r="A107" s="31" t="str">
        <f>IFERROR(INDEX('G-8 Condition Look up'!$I$4:$I$130,MATCH(F107,'G-8 Condition Look up'!$A$4:$A$130,0)),"")</f>
        <v/>
      </c>
      <c r="C107" s="244" t="str">
        <f>IFERROR(INDEX('G-1 All Habitats'!$AG$3:$AG$15,MATCH(D107,'G-1 All Habitats'!$AF$3:$AF$15,0)),"")</f>
        <v/>
      </c>
      <c r="D107" s="154"/>
      <c r="E107" s="203"/>
      <c r="F107" s="243" t="str">
        <f>IFERROR(INDEX('G-1 All Habitats'!$B$3:$B$129,MATCH(E107,'G-1 All Habitats'!$A$3:$A$129,0)),"")</f>
        <v/>
      </c>
      <c r="G107" s="386"/>
      <c r="H107" s="537" t="str">
        <f>IF(F107="","",VLOOKUP(F107,'G-1 All Habitats'!$B$2:$M$129,10,FALSE))</f>
        <v/>
      </c>
      <c r="I107" s="524" t="str">
        <f>IFERROR(VLOOKUP(H107,'G-1 All Habitats'!$V$3:$W$7,2,FALSE),"")</f>
        <v/>
      </c>
      <c r="J107" s="199"/>
      <c r="K107" s="524" t="str">
        <f>IFERROR(INDEX('G-8 Condition Look up'!$A$3:$H$130,MATCH(F107,'G-8 Condition Look up'!$A$3:$A$130,0),MATCH(J107,'G-8 Condition Look up'!$A$3:$H$3,0)),"")</f>
        <v/>
      </c>
      <c r="L107" s="145"/>
      <c r="M107" s="540" t="str">
        <f>IF(L107="","",IF(VLOOKUP(L107,'G-3 Multipliers'!$L$3:$N$6,2,FALSE)=0,"Spatial Data Missing ⚠",VLOOKUP(L107,'G-3 Multipliers'!$L$3:$N$6,2,FALSE)))</f>
        <v/>
      </c>
      <c r="N107" s="499" t="str">
        <f>IF(L107="","",IF(VLOOKUP(L107,'G-3 Multipliers'!$L$3:$N$6,3,FALSE)=0,"Spatial Data Missing ⚠",VLOOKUP(L107,'G-3 Multipliers'!$L$3:$N$6,3,FALSE)))</f>
        <v/>
      </c>
      <c r="O107" s="498" t="str">
        <f t="shared" si="5"/>
        <v/>
      </c>
      <c r="P107" s="195"/>
      <c r="Q107" s="195"/>
      <c r="R107" s="520" t="str">
        <f t="shared" si="6"/>
        <v/>
      </c>
      <c r="S107" s="544" t="str">
        <f t="shared" si="7"/>
        <v/>
      </c>
      <c r="T107" s="525" t="str">
        <f>IFERROR(IF(S107="Check Data ⚠","Check Data ⚠",VLOOKUP(S107,'G-4 Temporal multipliers'!$A$4:$C$37,3,FALSE)),"")</f>
        <v/>
      </c>
      <c r="U107" s="523" t="str">
        <f>IF(F107="","",VLOOKUP(F107,'G-3 Multipliers'!$A$2:$E$129,2,FALSE))</f>
        <v/>
      </c>
      <c r="V107" s="520" t="str">
        <f t="shared" si="9"/>
        <v/>
      </c>
      <c r="W107" s="520" t="str">
        <f>IF(E107="","",IF(AND(V107="Standard difficulty applied",O107&gt;P107),U107,IF(AND(V107="Low Difficulty - only applicable if all habitat created before losses ⚠",P107&gt;=O107),"Low",VLOOKUP(F107,'G-3 Multipliers'!$A$2:$E$129,4,FALSE))))</f>
        <v/>
      </c>
      <c r="X107" s="524" t="str">
        <f>IFERROR(IF(E107="","",VLOOKUP(W107, 'G-3 Multipliers'!$P$2:$Q$6,2,FALSE)),"")</f>
        <v/>
      </c>
      <c r="Y107" s="197"/>
      <c r="Z107" s="499" t="str">
        <f>IF(Y107="","",IF(VLOOKUP(Y107,'G-3 Multipliers'!$S$3:$T$9,2,FALSE)=0,"Spatial Data Missing ⚠",VLOOKUP(Y107,'G-3 Multipliers'!$S$3:$T$9,2,FALSE)))</f>
        <v/>
      </c>
      <c r="AA107" s="545" t="str">
        <f t="shared" si="8"/>
        <v/>
      </c>
      <c r="AB107" s="149"/>
      <c r="AC107" s="150"/>
    </row>
    <row r="108" spans="1:29" ht="14" x14ac:dyDescent="0.3">
      <c r="A108" s="31" t="str">
        <f>IFERROR(INDEX('G-8 Condition Look up'!$I$4:$I$130,MATCH(F108,'G-8 Condition Look up'!$A$4:$A$130,0)),"")</f>
        <v/>
      </c>
      <c r="C108" s="244" t="str">
        <f>IFERROR(INDEX('G-1 All Habitats'!$AG$3:$AG$15,MATCH(D108,'G-1 All Habitats'!$AF$3:$AF$15,0)),"")</f>
        <v/>
      </c>
      <c r="D108" s="154"/>
      <c r="E108" s="203"/>
      <c r="F108" s="243" t="str">
        <f>IFERROR(INDEX('G-1 All Habitats'!$B$3:$B$129,MATCH(E108,'G-1 All Habitats'!$A$3:$A$129,0)),"")</f>
        <v/>
      </c>
      <c r="G108" s="386"/>
      <c r="H108" s="537" t="str">
        <f>IF(F108="","",VLOOKUP(F108,'G-1 All Habitats'!$B$2:$M$129,10,FALSE))</f>
        <v/>
      </c>
      <c r="I108" s="524" t="str">
        <f>IFERROR(VLOOKUP(H108,'G-1 All Habitats'!$V$3:$W$7,2,FALSE),"")</f>
        <v/>
      </c>
      <c r="J108" s="199"/>
      <c r="K108" s="524" t="str">
        <f>IFERROR(INDEX('G-8 Condition Look up'!$A$3:$H$130,MATCH(F108,'G-8 Condition Look up'!$A$3:$A$130,0),MATCH(J108,'G-8 Condition Look up'!$A$3:$H$3,0)),"")</f>
        <v/>
      </c>
      <c r="L108" s="145"/>
      <c r="M108" s="540" t="str">
        <f>IF(L108="","",IF(VLOOKUP(L108,'G-3 Multipliers'!$L$3:$N$6,2,FALSE)=0,"Spatial Data Missing ⚠",VLOOKUP(L108,'G-3 Multipliers'!$L$3:$N$6,2,FALSE)))</f>
        <v/>
      </c>
      <c r="N108" s="499" t="str">
        <f>IF(L108="","",IF(VLOOKUP(L108,'G-3 Multipliers'!$L$3:$N$6,3,FALSE)=0,"Spatial Data Missing ⚠",VLOOKUP(L108,'G-3 Multipliers'!$L$3:$N$6,3,FALSE)))</f>
        <v/>
      </c>
      <c r="O108" s="498" t="str">
        <f t="shared" si="5"/>
        <v/>
      </c>
      <c r="P108" s="195"/>
      <c r="Q108" s="195"/>
      <c r="R108" s="520" t="str">
        <f t="shared" si="6"/>
        <v/>
      </c>
      <c r="S108" s="544" t="str">
        <f t="shared" si="7"/>
        <v/>
      </c>
      <c r="T108" s="525" t="str">
        <f>IFERROR(IF(S108="Check Data ⚠","Check Data ⚠",VLOOKUP(S108,'G-4 Temporal multipliers'!$A$4:$C$37,3,FALSE)),"")</f>
        <v/>
      </c>
      <c r="U108" s="523" t="str">
        <f>IF(F108="","",VLOOKUP(F108,'G-3 Multipliers'!$A$2:$E$129,2,FALSE))</f>
        <v/>
      </c>
      <c r="V108" s="520" t="str">
        <f t="shared" si="9"/>
        <v/>
      </c>
      <c r="W108" s="520" t="str">
        <f>IF(E108="","",IF(AND(V108="Standard difficulty applied",O108&gt;P108),U108,IF(AND(V108="Low Difficulty - only applicable if all habitat created before losses ⚠",P108&gt;=O108),"Low",VLOOKUP(F108,'G-3 Multipliers'!$A$2:$E$129,4,FALSE))))</f>
        <v/>
      </c>
      <c r="X108" s="524" t="str">
        <f>IFERROR(IF(E108="","",VLOOKUP(W108, 'G-3 Multipliers'!$P$2:$Q$6,2,FALSE)),"")</f>
        <v/>
      </c>
      <c r="Y108" s="197"/>
      <c r="Z108" s="499" t="str">
        <f>IF(Y108="","",IF(VLOOKUP(Y108,'G-3 Multipliers'!$S$3:$T$9,2,FALSE)=0,"Spatial Data Missing ⚠",VLOOKUP(Y108,'G-3 Multipliers'!$S$3:$T$9,2,FALSE)))</f>
        <v/>
      </c>
      <c r="AA108" s="545" t="str">
        <f t="shared" si="8"/>
        <v/>
      </c>
      <c r="AB108" s="149"/>
      <c r="AC108" s="150"/>
    </row>
    <row r="109" spans="1:29" ht="14" x14ac:dyDescent="0.3">
      <c r="A109" s="31" t="str">
        <f>IFERROR(INDEX('G-8 Condition Look up'!$I$4:$I$130,MATCH(F109,'G-8 Condition Look up'!$A$4:$A$130,0)),"")</f>
        <v/>
      </c>
      <c r="C109" s="244" t="str">
        <f>IFERROR(INDEX('G-1 All Habitats'!$AG$3:$AG$15,MATCH(D109,'G-1 All Habitats'!$AF$3:$AF$15,0)),"")</f>
        <v/>
      </c>
      <c r="D109" s="154"/>
      <c r="E109" s="203"/>
      <c r="F109" s="243" t="str">
        <f>IFERROR(INDEX('G-1 All Habitats'!$B$3:$B$129,MATCH(E109,'G-1 All Habitats'!$A$3:$A$129,0)),"")</f>
        <v/>
      </c>
      <c r="G109" s="386"/>
      <c r="H109" s="537" t="str">
        <f>IF(F109="","",VLOOKUP(F109,'G-1 All Habitats'!$B$2:$M$129,10,FALSE))</f>
        <v/>
      </c>
      <c r="I109" s="524" t="str">
        <f>IFERROR(VLOOKUP(H109,'G-1 All Habitats'!$V$3:$W$7,2,FALSE),"")</f>
        <v/>
      </c>
      <c r="J109" s="199"/>
      <c r="K109" s="524" t="str">
        <f>IFERROR(INDEX('G-8 Condition Look up'!$A$3:$H$130,MATCH(F109,'G-8 Condition Look up'!$A$3:$A$130,0),MATCH(J109,'G-8 Condition Look up'!$A$3:$H$3,0)),"")</f>
        <v/>
      </c>
      <c r="L109" s="145"/>
      <c r="M109" s="540" t="str">
        <f>IF(L109="","",IF(VLOOKUP(L109,'G-3 Multipliers'!$L$3:$N$6,2,FALSE)=0,"Spatial Data Missing ⚠",VLOOKUP(L109,'G-3 Multipliers'!$L$3:$N$6,2,FALSE)))</f>
        <v/>
      </c>
      <c r="N109" s="499" t="str">
        <f>IF(L109="","",IF(VLOOKUP(L109,'G-3 Multipliers'!$L$3:$N$6,3,FALSE)=0,"Spatial Data Missing ⚠",VLOOKUP(L109,'G-3 Multipliers'!$L$3:$N$6,3,FALSE)))</f>
        <v/>
      </c>
      <c r="O109" s="498" t="str">
        <f t="shared" si="5"/>
        <v/>
      </c>
      <c r="P109" s="195"/>
      <c r="Q109" s="195"/>
      <c r="R109" s="520" t="str">
        <f t="shared" si="6"/>
        <v/>
      </c>
      <c r="S109" s="544" t="str">
        <f t="shared" si="7"/>
        <v/>
      </c>
      <c r="T109" s="525" t="str">
        <f>IFERROR(IF(S109="Check Data ⚠","Check Data ⚠",VLOOKUP(S109,'G-4 Temporal multipliers'!$A$4:$C$37,3,FALSE)),"")</f>
        <v/>
      </c>
      <c r="U109" s="523" t="str">
        <f>IF(F109="","",VLOOKUP(F109,'G-3 Multipliers'!$A$2:$E$129,2,FALSE))</f>
        <v/>
      </c>
      <c r="V109" s="520" t="str">
        <f t="shared" si="9"/>
        <v/>
      </c>
      <c r="W109" s="520" t="str">
        <f>IF(E109="","",IF(AND(V109="Standard difficulty applied",O109&gt;P109),U109,IF(AND(V109="Low Difficulty - only applicable if all habitat created before losses ⚠",P109&gt;=O109),"Low",VLOOKUP(F109,'G-3 Multipliers'!$A$2:$E$129,4,FALSE))))</f>
        <v/>
      </c>
      <c r="X109" s="524" t="str">
        <f>IFERROR(IF(E109="","",VLOOKUP(W109, 'G-3 Multipliers'!$P$2:$Q$6,2,FALSE)),"")</f>
        <v/>
      </c>
      <c r="Y109" s="197"/>
      <c r="Z109" s="499" t="str">
        <f>IF(Y109="","",IF(VLOOKUP(Y109,'G-3 Multipliers'!$S$3:$T$9,2,FALSE)=0,"Spatial Data Missing ⚠",VLOOKUP(Y109,'G-3 Multipliers'!$S$3:$T$9,2,FALSE)))</f>
        <v/>
      </c>
      <c r="AA109" s="545" t="str">
        <f t="shared" si="8"/>
        <v/>
      </c>
      <c r="AB109" s="149"/>
      <c r="AC109" s="150"/>
    </row>
    <row r="110" spans="1:29" ht="14" x14ac:dyDescent="0.3">
      <c r="A110" s="31" t="str">
        <f>IFERROR(INDEX('G-8 Condition Look up'!$I$4:$I$130,MATCH(F110,'G-8 Condition Look up'!$A$4:$A$130,0)),"")</f>
        <v/>
      </c>
      <c r="C110" s="244" t="str">
        <f>IFERROR(INDEX('G-1 All Habitats'!$AG$3:$AG$15,MATCH(D110,'G-1 All Habitats'!$AF$3:$AF$15,0)),"")</f>
        <v/>
      </c>
      <c r="D110" s="154"/>
      <c r="E110" s="203"/>
      <c r="F110" s="243" t="str">
        <f>IFERROR(INDEX('G-1 All Habitats'!$B$3:$B$129,MATCH(E110,'G-1 All Habitats'!$A$3:$A$129,0)),"")</f>
        <v/>
      </c>
      <c r="G110" s="386"/>
      <c r="H110" s="537" t="str">
        <f>IF(F110="","",VLOOKUP(F110,'G-1 All Habitats'!$B$2:$M$129,10,FALSE))</f>
        <v/>
      </c>
      <c r="I110" s="524" t="str">
        <f>IFERROR(VLOOKUP(H110,'G-1 All Habitats'!$V$3:$W$7,2,FALSE),"")</f>
        <v/>
      </c>
      <c r="J110" s="199"/>
      <c r="K110" s="524" t="str">
        <f>IFERROR(INDEX('G-8 Condition Look up'!$A$3:$H$130,MATCH(F110,'G-8 Condition Look up'!$A$3:$A$130,0),MATCH(J110,'G-8 Condition Look up'!$A$3:$H$3,0)),"")</f>
        <v/>
      </c>
      <c r="L110" s="145"/>
      <c r="M110" s="540" t="str">
        <f>IF(L110="","",IF(VLOOKUP(L110,'G-3 Multipliers'!$L$3:$N$6,2,FALSE)=0,"Spatial Data Missing ⚠",VLOOKUP(L110,'G-3 Multipliers'!$L$3:$N$6,2,FALSE)))</f>
        <v/>
      </c>
      <c r="N110" s="499" t="str">
        <f>IF(L110="","",IF(VLOOKUP(L110,'G-3 Multipliers'!$L$3:$N$6,3,FALSE)=0,"Spatial Data Missing ⚠",VLOOKUP(L110,'G-3 Multipliers'!$L$3:$N$6,3,FALSE)))</f>
        <v/>
      </c>
      <c r="O110" s="498" t="str">
        <f t="shared" si="5"/>
        <v/>
      </c>
      <c r="P110" s="195"/>
      <c r="Q110" s="195"/>
      <c r="R110" s="520" t="str">
        <f t="shared" si="6"/>
        <v/>
      </c>
      <c r="S110" s="544" t="str">
        <f t="shared" si="7"/>
        <v/>
      </c>
      <c r="T110" s="525" t="str">
        <f>IFERROR(IF(S110="Check Data ⚠","Check Data ⚠",VLOOKUP(S110,'G-4 Temporal multipliers'!$A$4:$C$37,3,FALSE)),"")</f>
        <v/>
      </c>
      <c r="U110" s="523" t="str">
        <f>IF(F110="","",VLOOKUP(F110,'G-3 Multipliers'!$A$2:$E$129,2,FALSE))</f>
        <v/>
      </c>
      <c r="V110" s="520" t="str">
        <f t="shared" si="9"/>
        <v/>
      </c>
      <c r="W110" s="520" t="str">
        <f>IF(E110="","",IF(AND(V110="Standard difficulty applied",O110&gt;P110),U110,IF(AND(V110="Low Difficulty - only applicable if all habitat created before losses ⚠",P110&gt;=O110),"Low",VLOOKUP(F110,'G-3 Multipliers'!$A$2:$E$129,4,FALSE))))</f>
        <v/>
      </c>
      <c r="X110" s="524" t="str">
        <f>IFERROR(IF(E110="","",VLOOKUP(W110, 'G-3 Multipliers'!$P$2:$Q$6,2,FALSE)),"")</f>
        <v/>
      </c>
      <c r="Y110" s="197"/>
      <c r="Z110" s="499" t="str">
        <f>IF(Y110="","",IF(VLOOKUP(Y110,'G-3 Multipliers'!$S$3:$T$9,2,FALSE)=0,"Spatial Data Missing ⚠",VLOOKUP(Y110,'G-3 Multipliers'!$S$3:$T$9,2,FALSE)))</f>
        <v/>
      </c>
      <c r="AA110" s="545" t="str">
        <f t="shared" si="8"/>
        <v/>
      </c>
      <c r="AB110" s="149"/>
      <c r="AC110" s="150"/>
    </row>
    <row r="111" spans="1:29" ht="14" x14ac:dyDescent="0.3">
      <c r="A111" s="31" t="str">
        <f>IFERROR(INDEX('G-8 Condition Look up'!$I$4:$I$130,MATCH(F111,'G-8 Condition Look up'!$A$4:$A$130,0)),"")</f>
        <v/>
      </c>
      <c r="C111" s="244" t="str">
        <f>IFERROR(INDEX('G-1 All Habitats'!$AG$3:$AG$15,MATCH(D111,'G-1 All Habitats'!$AF$3:$AF$15,0)),"")</f>
        <v/>
      </c>
      <c r="D111" s="154"/>
      <c r="E111" s="203"/>
      <c r="F111" s="243" t="str">
        <f>IFERROR(INDEX('G-1 All Habitats'!$B$3:$B$129,MATCH(E111,'G-1 All Habitats'!$A$3:$A$129,0)),"")</f>
        <v/>
      </c>
      <c r="G111" s="386"/>
      <c r="H111" s="537" t="str">
        <f>IF(F111="","",VLOOKUP(F111,'G-1 All Habitats'!$B$2:$M$129,10,FALSE))</f>
        <v/>
      </c>
      <c r="I111" s="524" t="str">
        <f>IFERROR(VLOOKUP(H111,'G-1 All Habitats'!$V$3:$W$7,2,FALSE),"")</f>
        <v/>
      </c>
      <c r="J111" s="199"/>
      <c r="K111" s="524" t="str">
        <f>IFERROR(INDEX('G-8 Condition Look up'!$A$3:$H$130,MATCH(F111,'G-8 Condition Look up'!$A$3:$A$130,0),MATCH(J111,'G-8 Condition Look up'!$A$3:$H$3,0)),"")</f>
        <v/>
      </c>
      <c r="L111" s="145"/>
      <c r="M111" s="540" t="str">
        <f>IF(L111="","",IF(VLOOKUP(L111,'G-3 Multipliers'!$L$3:$N$6,2,FALSE)=0,"Spatial Data Missing ⚠",VLOOKUP(L111,'G-3 Multipliers'!$L$3:$N$6,2,FALSE)))</f>
        <v/>
      </c>
      <c r="N111" s="499" t="str">
        <f>IF(L111="","",IF(VLOOKUP(L111,'G-3 Multipliers'!$L$3:$N$6,3,FALSE)=0,"Spatial Data Missing ⚠",VLOOKUP(L111,'G-3 Multipliers'!$L$3:$N$6,3,FALSE)))</f>
        <v/>
      </c>
      <c r="O111" s="498" t="str">
        <f t="shared" si="5"/>
        <v/>
      </c>
      <c r="P111" s="195"/>
      <c r="Q111" s="195"/>
      <c r="R111" s="520" t="str">
        <f t="shared" si="6"/>
        <v/>
      </c>
      <c r="S111" s="544" t="str">
        <f t="shared" si="7"/>
        <v/>
      </c>
      <c r="T111" s="525" t="str">
        <f>IFERROR(IF(S111="Check Data ⚠","Check Data ⚠",VLOOKUP(S111,'G-4 Temporal multipliers'!$A$4:$C$37,3,FALSE)),"")</f>
        <v/>
      </c>
      <c r="U111" s="523" t="str">
        <f>IF(F111="","",VLOOKUP(F111,'G-3 Multipliers'!$A$2:$E$129,2,FALSE))</f>
        <v/>
      </c>
      <c r="V111" s="520" t="str">
        <f t="shared" si="9"/>
        <v/>
      </c>
      <c r="W111" s="520" t="str">
        <f>IF(E111="","",IF(AND(V111="Standard difficulty applied",O111&gt;P111),U111,IF(AND(V111="Low Difficulty - only applicable if all habitat created before losses ⚠",P111&gt;=O111),"Low",VLOOKUP(F111,'G-3 Multipliers'!$A$2:$E$129,4,FALSE))))</f>
        <v/>
      </c>
      <c r="X111" s="524" t="str">
        <f>IFERROR(IF(E111="","",VLOOKUP(W111, 'G-3 Multipliers'!$P$2:$Q$6,2,FALSE)),"")</f>
        <v/>
      </c>
      <c r="Y111" s="197"/>
      <c r="Z111" s="499" t="str">
        <f>IF(Y111="","",IF(VLOOKUP(Y111,'G-3 Multipliers'!$S$3:$T$9,2,FALSE)=0,"Spatial Data Missing ⚠",VLOOKUP(Y111,'G-3 Multipliers'!$S$3:$T$9,2,FALSE)))</f>
        <v/>
      </c>
      <c r="AA111" s="545" t="str">
        <f t="shared" si="8"/>
        <v/>
      </c>
      <c r="AB111" s="149"/>
      <c r="AC111" s="150"/>
    </row>
    <row r="112" spans="1:29" ht="14" x14ac:dyDescent="0.3">
      <c r="A112" s="31" t="str">
        <f>IFERROR(INDEX('G-8 Condition Look up'!$I$4:$I$130,MATCH(F112,'G-8 Condition Look up'!$A$4:$A$130,0)),"")</f>
        <v/>
      </c>
      <c r="C112" s="244" t="str">
        <f>IFERROR(INDEX('G-1 All Habitats'!$AG$3:$AG$15,MATCH(D112,'G-1 All Habitats'!$AF$3:$AF$15,0)),"")</f>
        <v/>
      </c>
      <c r="D112" s="154"/>
      <c r="E112" s="203"/>
      <c r="F112" s="243" t="str">
        <f>IFERROR(INDEX('G-1 All Habitats'!$B$3:$B$129,MATCH(E112,'G-1 All Habitats'!$A$3:$A$129,0)),"")</f>
        <v/>
      </c>
      <c r="G112" s="386"/>
      <c r="H112" s="537" t="str">
        <f>IF(F112="","",VLOOKUP(F112,'G-1 All Habitats'!$B$2:$M$129,10,FALSE))</f>
        <v/>
      </c>
      <c r="I112" s="524" t="str">
        <f>IFERROR(VLOOKUP(H112,'G-1 All Habitats'!$V$3:$W$7,2,FALSE),"")</f>
        <v/>
      </c>
      <c r="J112" s="199"/>
      <c r="K112" s="524" t="str">
        <f>IFERROR(INDEX('G-8 Condition Look up'!$A$3:$H$130,MATCH(F112,'G-8 Condition Look up'!$A$3:$A$130,0),MATCH(J112,'G-8 Condition Look up'!$A$3:$H$3,0)),"")</f>
        <v/>
      </c>
      <c r="L112" s="145"/>
      <c r="M112" s="540" t="str">
        <f>IF(L112="","",IF(VLOOKUP(L112,'G-3 Multipliers'!$L$3:$N$6,2,FALSE)=0,"Spatial Data Missing ⚠",VLOOKUP(L112,'G-3 Multipliers'!$L$3:$N$6,2,FALSE)))</f>
        <v/>
      </c>
      <c r="N112" s="499" t="str">
        <f>IF(L112="","",IF(VLOOKUP(L112,'G-3 Multipliers'!$L$3:$N$6,3,FALSE)=0,"Spatial Data Missing ⚠",VLOOKUP(L112,'G-3 Multipliers'!$L$3:$N$6,3,FALSE)))</f>
        <v/>
      </c>
      <c r="O112" s="498" t="str">
        <f t="shared" si="5"/>
        <v/>
      </c>
      <c r="P112" s="195"/>
      <c r="Q112" s="195"/>
      <c r="R112" s="520" t="str">
        <f t="shared" si="6"/>
        <v/>
      </c>
      <c r="S112" s="544" t="str">
        <f t="shared" si="7"/>
        <v/>
      </c>
      <c r="T112" s="525" t="str">
        <f>IFERROR(IF(S112="Check Data ⚠","Check Data ⚠",VLOOKUP(S112,'G-4 Temporal multipliers'!$A$4:$C$37,3,FALSE)),"")</f>
        <v/>
      </c>
      <c r="U112" s="523" t="str">
        <f>IF(F112="","",VLOOKUP(F112,'G-3 Multipliers'!$A$2:$E$129,2,FALSE))</f>
        <v/>
      </c>
      <c r="V112" s="520" t="str">
        <f t="shared" si="9"/>
        <v/>
      </c>
      <c r="W112" s="520" t="str">
        <f>IF(E112="","",IF(AND(V112="Standard difficulty applied",O112&gt;P112),U112,IF(AND(V112="Low Difficulty - only applicable if all habitat created before losses ⚠",P112&gt;=O112),"Low",VLOOKUP(F112,'G-3 Multipliers'!$A$2:$E$129,4,FALSE))))</f>
        <v/>
      </c>
      <c r="X112" s="524" t="str">
        <f>IFERROR(IF(E112="","",VLOOKUP(W112, 'G-3 Multipliers'!$P$2:$Q$6,2,FALSE)),"")</f>
        <v/>
      </c>
      <c r="Y112" s="197"/>
      <c r="Z112" s="499" t="str">
        <f>IF(Y112="","",IF(VLOOKUP(Y112,'G-3 Multipliers'!$S$3:$T$9,2,FALSE)=0,"Spatial Data Missing ⚠",VLOOKUP(Y112,'G-3 Multipliers'!$S$3:$T$9,2,FALSE)))</f>
        <v/>
      </c>
      <c r="AA112" s="545" t="str">
        <f t="shared" si="8"/>
        <v/>
      </c>
      <c r="AB112" s="149"/>
      <c r="AC112" s="150"/>
    </row>
    <row r="113" spans="1:29" ht="14" x14ac:dyDescent="0.3">
      <c r="A113" s="31" t="str">
        <f>IFERROR(INDEX('G-8 Condition Look up'!$I$4:$I$130,MATCH(F113,'G-8 Condition Look up'!$A$4:$A$130,0)),"")</f>
        <v/>
      </c>
      <c r="C113" s="244" t="str">
        <f>IFERROR(INDEX('G-1 All Habitats'!$AG$3:$AG$15,MATCH(D113,'G-1 All Habitats'!$AF$3:$AF$15,0)),"")</f>
        <v/>
      </c>
      <c r="D113" s="154"/>
      <c r="E113" s="203"/>
      <c r="F113" s="243" t="str">
        <f>IFERROR(INDEX('G-1 All Habitats'!$B$3:$B$129,MATCH(E113,'G-1 All Habitats'!$A$3:$A$129,0)),"")</f>
        <v/>
      </c>
      <c r="G113" s="386"/>
      <c r="H113" s="537" t="str">
        <f>IF(F113="","",VLOOKUP(F113,'G-1 All Habitats'!$B$2:$M$129,10,FALSE))</f>
        <v/>
      </c>
      <c r="I113" s="524" t="str">
        <f>IFERROR(VLOOKUP(H113,'G-1 All Habitats'!$V$3:$W$7,2,FALSE),"")</f>
        <v/>
      </c>
      <c r="J113" s="199"/>
      <c r="K113" s="524" t="str">
        <f>IFERROR(INDEX('G-8 Condition Look up'!$A$3:$H$130,MATCH(F113,'G-8 Condition Look up'!$A$3:$A$130,0),MATCH(J113,'G-8 Condition Look up'!$A$3:$H$3,0)),"")</f>
        <v/>
      </c>
      <c r="L113" s="145"/>
      <c r="M113" s="540" t="str">
        <f>IF(L113="","",IF(VLOOKUP(L113,'G-3 Multipliers'!$L$3:$N$6,2,FALSE)=0,"Spatial Data Missing ⚠",VLOOKUP(L113,'G-3 Multipliers'!$L$3:$N$6,2,FALSE)))</f>
        <v/>
      </c>
      <c r="N113" s="499" t="str">
        <f>IF(L113="","",IF(VLOOKUP(L113,'G-3 Multipliers'!$L$3:$N$6,3,FALSE)=0,"Spatial Data Missing ⚠",VLOOKUP(L113,'G-3 Multipliers'!$L$3:$N$6,3,FALSE)))</f>
        <v/>
      </c>
      <c r="O113" s="498" t="str">
        <f t="shared" si="5"/>
        <v/>
      </c>
      <c r="P113" s="195"/>
      <c r="Q113" s="195"/>
      <c r="R113" s="520" t="str">
        <f t="shared" si="6"/>
        <v/>
      </c>
      <c r="S113" s="544" t="str">
        <f t="shared" si="7"/>
        <v/>
      </c>
      <c r="T113" s="525" t="str">
        <f>IFERROR(IF(S113="Check Data ⚠","Check Data ⚠",VLOOKUP(S113,'G-4 Temporal multipliers'!$A$4:$C$37,3,FALSE)),"")</f>
        <v/>
      </c>
      <c r="U113" s="523" t="str">
        <f>IF(F113="","",VLOOKUP(F113,'G-3 Multipliers'!$A$2:$E$129,2,FALSE))</f>
        <v/>
      </c>
      <c r="V113" s="520" t="str">
        <f t="shared" si="9"/>
        <v/>
      </c>
      <c r="W113" s="520" t="str">
        <f>IF(E113="","",IF(AND(V113="Standard difficulty applied",O113&gt;P113),U113,IF(AND(V113="Low Difficulty - only applicable if all habitat created before losses ⚠",P113&gt;=O113),"Low",VLOOKUP(F113,'G-3 Multipliers'!$A$2:$E$129,4,FALSE))))</f>
        <v/>
      </c>
      <c r="X113" s="524" t="str">
        <f>IFERROR(IF(E113="","",VLOOKUP(W113, 'G-3 Multipliers'!$P$2:$Q$6,2,FALSE)),"")</f>
        <v/>
      </c>
      <c r="Y113" s="197"/>
      <c r="Z113" s="499" t="str">
        <f>IF(Y113="","",IF(VLOOKUP(Y113,'G-3 Multipliers'!$S$3:$T$9,2,FALSE)=0,"Spatial Data Missing ⚠",VLOOKUP(Y113,'G-3 Multipliers'!$S$3:$T$9,2,FALSE)))</f>
        <v/>
      </c>
      <c r="AA113" s="545" t="str">
        <f t="shared" si="8"/>
        <v/>
      </c>
      <c r="AB113" s="149"/>
      <c r="AC113" s="150"/>
    </row>
    <row r="114" spans="1:29" ht="14" x14ac:dyDescent="0.3">
      <c r="A114" s="31" t="str">
        <f>IFERROR(INDEX('G-8 Condition Look up'!$I$4:$I$130,MATCH(F114,'G-8 Condition Look up'!$A$4:$A$130,0)),"")</f>
        <v/>
      </c>
      <c r="C114" s="244" t="str">
        <f>IFERROR(INDEX('G-1 All Habitats'!$AG$3:$AG$15,MATCH(D114,'G-1 All Habitats'!$AF$3:$AF$15,0)),"")</f>
        <v/>
      </c>
      <c r="D114" s="154"/>
      <c r="E114" s="203"/>
      <c r="F114" s="243" t="str">
        <f>IFERROR(INDEX('G-1 All Habitats'!$B$3:$B$129,MATCH(E114,'G-1 All Habitats'!$A$3:$A$129,0)),"")</f>
        <v/>
      </c>
      <c r="G114" s="386"/>
      <c r="H114" s="537" t="str">
        <f>IF(F114="","",VLOOKUP(F114,'G-1 All Habitats'!$B$2:$M$129,10,FALSE))</f>
        <v/>
      </c>
      <c r="I114" s="524" t="str">
        <f>IFERROR(VLOOKUP(H114,'G-1 All Habitats'!$V$3:$W$7,2,FALSE),"")</f>
        <v/>
      </c>
      <c r="J114" s="199"/>
      <c r="K114" s="524" t="str">
        <f>IFERROR(INDEX('G-8 Condition Look up'!$A$3:$H$130,MATCH(F114,'G-8 Condition Look up'!$A$3:$A$130,0),MATCH(J114,'G-8 Condition Look up'!$A$3:$H$3,0)),"")</f>
        <v/>
      </c>
      <c r="L114" s="145"/>
      <c r="M114" s="540" t="str">
        <f>IF(L114="","",IF(VLOOKUP(L114,'G-3 Multipliers'!$L$3:$N$6,2,FALSE)=0,"Spatial Data Missing ⚠",VLOOKUP(L114,'G-3 Multipliers'!$L$3:$N$6,2,FALSE)))</f>
        <v/>
      </c>
      <c r="N114" s="499" t="str">
        <f>IF(L114="","",IF(VLOOKUP(L114,'G-3 Multipliers'!$L$3:$N$6,3,FALSE)=0,"Spatial Data Missing ⚠",VLOOKUP(L114,'G-3 Multipliers'!$L$3:$N$6,3,FALSE)))</f>
        <v/>
      </c>
      <c r="O114" s="498" t="str">
        <f t="shared" si="5"/>
        <v/>
      </c>
      <c r="P114" s="195"/>
      <c r="Q114" s="195"/>
      <c r="R114" s="520" t="str">
        <f t="shared" si="6"/>
        <v/>
      </c>
      <c r="S114" s="544" t="str">
        <f t="shared" si="7"/>
        <v/>
      </c>
      <c r="T114" s="525" t="str">
        <f>IFERROR(IF(S114="Check Data ⚠","Check Data ⚠",VLOOKUP(S114,'G-4 Temporal multipliers'!$A$4:$C$37,3,FALSE)),"")</f>
        <v/>
      </c>
      <c r="U114" s="523" t="str">
        <f>IF(F114="","",VLOOKUP(F114,'G-3 Multipliers'!$A$2:$E$129,2,FALSE))</f>
        <v/>
      </c>
      <c r="V114" s="520" t="str">
        <f t="shared" si="9"/>
        <v/>
      </c>
      <c r="W114" s="520" t="str">
        <f>IF(E114="","",IF(AND(V114="Standard difficulty applied",O114&gt;P114),U114,IF(AND(V114="Low Difficulty - only applicable if all habitat created before losses ⚠",P114&gt;=O114),"Low",VLOOKUP(F114,'G-3 Multipliers'!$A$2:$E$129,4,FALSE))))</f>
        <v/>
      </c>
      <c r="X114" s="524" t="str">
        <f>IFERROR(IF(E114="","",VLOOKUP(W114, 'G-3 Multipliers'!$P$2:$Q$6,2,FALSE)),"")</f>
        <v/>
      </c>
      <c r="Y114" s="197"/>
      <c r="Z114" s="499" t="str">
        <f>IF(Y114="","",IF(VLOOKUP(Y114,'G-3 Multipliers'!$S$3:$T$9,2,FALSE)=0,"Spatial Data Missing ⚠",VLOOKUP(Y114,'G-3 Multipliers'!$S$3:$T$9,2,FALSE)))</f>
        <v/>
      </c>
      <c r="AA114" s="545" t="str">
        <f t="shared" si="8"/>
        <v/>
      </c>
      <c r="AB114" s="149"/>
      <c r="AC114" s="150"/>
    </row>
    <row r="115" spans="1:29" ht="14" x14ac:dyDescent="0.3">
      <c r="A115" s="31" t="str">
        <f>IFERROR(INDEX('G-8 Condition Look up'!$I$4:$I$130,MATCH(F115,'G-8 Condition Look up'!$A$4:$A$130,0)),"")</f>
        <v/>
      </c>
      <c r="C115" s="244" t="str">
        <f>IFERROR(INDEX('G-1 All Habitats'!$AG$3:$AG$15,MATCH(D115,'G-1 All Habitats'!$AF$3:$AF$15,0)),"")</f>
        <v/>
      </c>
      <c r="D115" s="154"/>
      <c r="E115" s="203"/>
      <c r="F115" s="243" t="str">
        <f>IFERROR(INDEX('G-1 All Habitats'!$B$3:$B$129,MATCH(E115,'G-1 All Habitats'!$A$3:$A$129,0)),"")</f>
        <v/>
      </c>
      <c r="G115" s="386"/>
      <c r="H115" s="537" t="str">
        <f>IF(F115="","",VLOOKUP(F115,'G-1 All Habitats'!$B$2:$M$129,10,FALSE))</f>
        <v/>
      </c>
      <c r="I115" s="524" t="str">
        <f>IFERROR(VLOOKUP(H115,'G-1 All Habitats'!$V$3:$W$7,2,FALSE),"")</f>
        <v/>
      </c>
      <c r="J115" s="199"/>
      <c r="K115" s="524" t="str">
        <f>IFERROR(INDEX('G-8 Condition Look up'!$A$3:$H$130,MATCH(F115,'G-8 Condition Look up'!$A$3:$A$130,0),MATCH(J115,'G-8 Condition Look up'!$A$3:$H$3,0)),"")</f>
        <v/>
      </c>
      <c r="L115" s="145"/>
      <c r="M115" s="540" t="str">
        <f>IF(L115="","",IF(VLOOKUP(L115,'G-3 Multipliers'!$L$3:$N$6,2,FALSE)=0,"Spatial Data Missing ⚠",VLOOKUP(L115,'G-3 Multipliers'!$L$3:$N$6,2,FALSE)))</f>
        <v/>
      </c>
      <c r="N115" s="499" t="str">
        <f>IF(L115="","",IF(VLOOKUP(L115,'G-3 Multipliers'!$L$3:$N$6,3,FALSE)=0,"Spatial Data Missing ⚠",VLOOKUP(L115,'G-3 Multipliers'!$L$3:$N$6,3,FALSE)))</f>
        <v/>
      </c>
      <c r="O115" s="498" t="str">
        <f t="shared" si="5"/>
        <v/>
      </c>
      <c r="P115" s="195"/>
      <c r="Q115" s="195"/>
      <c r="R115" s="520" t="str">
        <f t="shared" si="6"/>
        <v/>
      </c>
      <c r="S115" s="544" t="str">
        <f t="shared" si="7"/>
        <v/>
      </c>
      <c r="T115" s="525" t="str">
        <f>IFERROR(IF(S115="Check Data ⚠","Check Data ⚠",VLOOKUP(S115,'G-4 Temporal multipliers'!$A$4:$C$37,3,FALSE)),"")</f>
        <v/>
      </c>
      <c r="U115" s="523" t="str">
        <f>IF(F115="","",VLOOKUP(F115,'G-3 Multipliers'!$A$2:$E$129,2,FALSE))</f>
        <v/>
      </c>
      <c r="V115" s="520" t="str">
        <f t="shared" si="9"/>
        <v/>
      </c>
      <c r="W115" s="520" t="str">
        <f>IF(E115="","",IF(AND(V115="Standard difficulty applied",O115&gt;P115),U115,IF(AND(V115="Low Difficulty - only applicable if all habitat created before losses ⚠",P115&gt;=O115),"Low",VLOOKUP(F115,'G-3 Multipliers'!$A$2:$E$129,4,FALSE))))</f>
        <v/>
      </c>
      <c r="X115" s="524" t="str">
        <f>IFERROR(IF(E115="","",VLOOKUP(W115, 'G-3 Multipliers'!$P$2:$Q$6,2,FALSE)),"")</f>
        <v/>
      </c>
      <c r="Y115" s="197"/>
      <c r="Z115" s="499" t="str">
        <f>IF(Y115="","",IF(VLOOKUP(Y115,'G-3 Multipliers'!$S$3:$T$9,2,FALSE)=0,"Spatial Data Missing ⚠",VLOOKUP(Y115,'G-3 Multipliers'!$S$3:$T$9,2,FALSE)))</f>
        <v/>
      </c>
      <c r="AA115" s="545" t="str">
        <f t="shared" si="8"/>
        <v/>
      </c>
      <c r="AB115" s="149"/>
      <c r="AC115" s="150"/>
    </row>
    <row r="116" spans="1:29" ht="14" x14ac:dyDescent="0.3">
      <c r="A116" s="31" t="str">
        <f>IFERROR(INDEX('G-8 Condition Look up'!$I$4:$I$130,MATCH(F116,'G-8 Condition Look up'!$A$4:$A$130,0)),"")</f>
        <v/>
      </c>
      <c r="C116" s="244" t="str">
        <f>IFERROR(INDEX('G-1 All Habitats'!$AG$3:$AG$15,MATCH(D116,'G-1 All Habitats'!$AF$3:$AF$15,0)),"")</f>
        <v/>
      </c>
      <c r="D116" s="154"/>
      <c r="E116" s="203"/>
      <c r="F116" s="243" t="str">
        <f>IFERROR(INDEX('G-1 All Habitats'!$B$3:$B$129,MATCH(E116,'G-1 All Habitats'!$A$3:$A$129,0)),"")</f>
        <v/>
      </c>
      <c r="G116" s="386"/>
      <c r="H116" s="537" t="str">
        <f>IF(F116="","",VLOOKUP(F116,'G-1 All Habitats'!$B$2:$M$129,10,FALSE))</f>
        <v/>
      </c>
      <c r="I116" s="524" t="str">
        <f>IFERROR(VLOOKUP(H116,'G-1 All Habitats'!$V$3:$W$7,2,FALSE),"")</f>
        <v/>
      </c>
      <c r="J116" s="199"/>
      <c r="K116" s="524" t="str">
        <f>IFERROR(INDEX('G-8 Condition Look up'!$A$3:$H$130,MATCH(F116,'G-8 Condition Look up'!$A$3:$A$130,0),MATCH(J116,'G-8 Condition Look up'!$A$3:$H$3,0)),"")</f>
        <v/>
      </c>
      <c r="L116" s="145"/>
      <c r="M116" s="540" t="str">
        <f>IF(L116="","",IF(VLOOKUP(L116,'G-3 Multipliers'!$L$3:$N$6,2,FALSE)=0,"Spatial Data Missing ⚠",VLOOKUP(L116,'G-3 Multipliers'!$L$3:$N$6,2,FALSE)))</f>
        <v/>
      </c>
      <c r="N116" s="499" t="str">
        <f>IF(L116="","",IF(VLOOKUP(L116,'G-3 Multipliers'!$L$3:$N$6,3,FALSE)=0,"Spatial Data Missing ⚠",VLOOKUP(L116,'G-3 Multipliers'!$L$3:$N$6,3,FALSE)))</f>
        <v/>
      </c>
      <c r="O116" s="498" t="str">
        <f t="shared" si="5"/>
        <v/>
      </c>
      <c r="P116" s="195"/>
      <c r="Q116" s="195"/>
      <c r="R116" s="520" t="str">
        <f t="shared" si="6"/>
        <v/>
      </c>
      <c r="S116" s="544" t="str">
        <f t="shared" si="7"/>
        <v/>
      </c>
      <c r="T116" s="525" t="str">
        <f>IFERROR(IF(S116="Check Data ⚠","Check Data ⚠",VLOOKUP(S116,'G-4 Temporal multipliers'!$A$4:$C$37,3,FALSE)),"")</f>
        <v/>
      </c>
      <c r="U116" s="523" t="str">
        <f>IF(F116="","",VLOOKUP(F116,'G-3 Multipliers'!$A$2:$E$129,2,FALSE))</f>
        <v/>
      </c>
      <c r="V116" s="520" t="str">
        <f t="shared" si="9"/>
        <v/>
      </c>
      <c r="W116" s="520" t="str">
        <f>IF(E116="","",IF(AND(V116="Standard difficulty applied",O116&gt;P116),U116,IF(AND(V116="Low Difficulty - only applicable if all habitat created before losses ⚠",P116&gt;=O116),"Low",VLOOKUP(F116,'G-3 Multipliers'!$A$2:$E$129,4,FALSE))))</f>
        <v/>
      </c>
      <c r="X116" s="524" t="str">
        <f>IFERROR(IF(E116="","",VLOOKUP(W116, 'G-3 Multipliers'!$P$2:$Q$6,2,FALSE)),"")</f>
        <v/>
      </c>
      <c r="Y116" s="197"/>
      <c r="Z116" s="499" t="str">
        <f>IF(Y116="","",IF(VLOOKUP(Y116,'G-3 Multipliers'!$S$3:$T$9,2,FALSE)=0,"Spatial Data Missing ⚠",VLOOKUP(Y116,'G-3 Multipliers'!$S$3:$T$9,2,FALSE)))</f>
        <v/>
      </c>
      <c r="AA116" s="545" t="str">
        <f t="shared" si="8"/>
        <v/>
      </c>
      <c r="AB116" s="149"/>
      <c r="AC116" s="150"/>
    </row>
    <row r="117" spans="1:29" ht="14" x14ac:dyDescent="0.3">
      <c r="A117" s="31" t="str">
        <f>IFERROR(INDEX('G-8 Condition Look up'!$I$4:$I$130,MATCH(F117,'G-8 Condition Look up'!$A$4:$A$130,0)),"")</f>
        <v/>
      </c>
      <c r="C117" s="244" t="str">
        <f>IFERROR(INDEX('G-1 All Habitats'!$AG$3:$AG$15,MATCH(D117,'G-1 All Habitats'!$AF$3:$AF$15,0)),"")</f>
        <v/>
      </c>
      <c r="D117" s="154"/>
      <c r="E117" s="203"/>
      <c r="F117" s="243" t="str">
        <f>IFERROR(INDEX('G-1 All Habitats'!$B$3:$B$129,MATCH(E117,'G-1 All Habitats'!$A$3:$A$129,0)),"")</f>
        <v/>
      </c>
      <c r="G117" s="386"/>
      <c r="H117" s="537" t="str">
        <f>IF(F117="","",VLOOKUP(F117,'G-1 All Habitats'!$B$2:$M$129,10,FALSE))</f>
        <v/>
      </c>
      <c r="I117" s="524" t="str">
        <f>IFERROR(VLOOKUP(H117,'G-1 All Habitats'!$V$3:$W$7,2,FALSE),"")</f>
        <v/>
      </c>
      <c r="J117" s="199"/>
      <c r="K117" s="524" t="str">
        <f>IFERROR(INDEX('G-8 Condition Look up'!$A$3:$H$130,MATCH(F117,'G-8 Condition Look up'!$A$3:$A$130,0),MATCH(J117,'G-8 Condition Look up'!$A$3:$H$3,0)),"")</f>
        <v/>
      </c>
      <c r="L117" s="145"/>
      <c r="M117" s="540" t="str">
        <f>IF(L117="","",IF(VLOOKUP(L117,'G-3 Multipliers'!$L$3:$N$6,2,FALSE)=0,"Spatial Data Missing ⚠",VLOOKUP(L117,'G-3 Multipliers'!$L$3:$N$6,2,FALSE)))</f>
        <v/>
      </c>
      <c r="N117" s="499" t="str">
        <f>IF(L117="","",IF(VLOOKUP(L117,'G-3 Multipliers'!$L$3:$N$6,3,FALSE)=0,"Spatial Data Missing ⚠",VLOOKUP(L117,'G-3 Multipliers'!$L$3:$N$6,3,FALSE)))</f>
        <v/>
      </c>
      <c r="O117" s="498" t="str">
        <f t="shared" si="5"/>
        <v/>
      </c>
      <c r="P117" s="195"/>
      <c r="Q117" s="195"/>
      <c r="R117" s="520" t="str">
        <f t="shared" si="6"/>
        <v/>
      </c>
      <c r="S117" s="544" t="str">
        <f t="shared" si="7"/>
        <v/>
      </c>
      <c r="T117" s="525" t="str">
        <f>IFERROR(IF(S117="Check Data ⚠","Check Data ⚠",VLOOKUP(S117,'G-4 Temporal multipliers'!$A$4:$C$37,3,FALSE)),"")</f>
        <v/>
      </c>
      <c r="U117" s="523" t="str">
        <f>IF(F117="","",VLOOKUP(F117,'G-3 Multipliers'!$A$2:$E$129,2,FALSE))</f>
        <v/>
      </c>
      <c r="V117" s="520" t="str">
        <f t="shared" si="9"/>
        <v/>
      </c>
      <c r="W117" s="520" t="str">
        <f>IF(E117="","",IF(AND(V117="Standard difficulty applied",O117&gt;P117),U117,IF(AND(V117="Low Difficulty - only applicable if all habitat created before losses ⚠",P117&gt;=O117),"Low",VLOOKUP(F117,'G-3 Multipliers'!$A$2:$E$129,4,FALSE))))</f>
        <v/>
      </c>
      <c r="X117" s="524" t="str">
        <f>IFERROR(IF(E117="","",VLOOKUP(W117, 'G-3 Multipliers'!$P$2:$Q$6,2,FALSE)),"")</f>
        <v/>
      </c>
      <c r="Y117" s="197"/>
      <c r="Z117" s="499" t="str">
        <f>IF(Y117="","",IF(VLOOKUP(Y117,'G-3 Multipliers'!$S$3:$T$9,2,FALSE)=0,"Spatial Data Missing ⚠",VLOOKUP(Y117,'G-3 Multipliers'!$S$3:$T$9,2,FALSE)))</f>
        <v/>
      </c>
      <c r="AA117" s="545" t="str">
        <f t="shared" si="8"/>
        <v/>
      </c>
      <c r="AB117" s="149"/>
      <c r="AC117" s="150"/>
    </row>
    <row r="118" spans="1:29" ht="14" x14ac:dyDescent="0.3">
      <c r="A118" s="31" t="str">
        <f>IFERROR(INDEX('G-8 Condition Look up'!$I$4:$I$130,MATCH(F118,'G-8 Condition Look up'!$A$4:$A$130,0)),"")</f>
        <v/>
      </c>
      <c r="C118" s="244" t="str">
        <f>IFERROR(INDEX('G-1 All Habitats'!$AG$3:$AG$15,MATCH(D118,'G-1 All Habitats'!$AF$3:$AF$15,0)),"")</f>
        <v/>
      </c>
      <c r="D118" s="154"/>
      <c r="E118" s="203"/>
      <c r="F118" s="243" t="str">
        <f>IFERROR(INDEX('G-1 All Habitats'!$B$3:$B$129,MATCH(E118,'G-1 All Habitats'!$A$3:$A$129,0)),"")</f>
        <v/>
      </c>
      <c r="G118" s="386"/>
      <c r="H118" s="537" t="str">
        <f>IF(F118="","",VLOOKUP(F118,'G-1 All Habitats'!$B$2:$M$129,10,FALSE))</f>
        <v/>
      </c>
      <c r="I118" s="524" t="str">
        <f>IFERROR(VLOOKUP(H118,'G-1 All Habitats'!$V$3:$W$7,2,FALSE),"")</f>
        <v/>
      </c>
      <c r="J118" s="199"/>
      <c r="K118" s="524" t="str">
        <f>IFERROR(INDEX('G-8 Condition Look up'!$A$3:$H$130,MATCH(F118,'G-8 Condition Look up'!$A$3:$A$130,0),MATCH(J118,'G-8 Condition Look up'!$A$3:$H$3,0)),"")</f>
        <v/>
      </c>
      <c r="L118" s="145"/>
      <c r="M118" s="540" t="str">
        <f>IF(L118="","",IF(VLOOKUP(L118,'G-3 Multipliers'!$L$3:$N$6,2,FALSE)=0,"Spatial Data Missing ⚠",VLOOKUP(L118,'G-3 Multipliers'!$L$3:$N$6,2,FALSE)))</f>
        <v/>
      </c>
      <c r="N118" s="499" t="str">
        <f>IF(L118="","",IF(VLOOKUP(L118,'G-3 Multipliers'!$L$3:$N$6,3,FALSE)=0,"Spatial Data Missing ⚠",VLOOKUP(L118,'G-3 Multipliers'!$L$3:$N$6,3,FALSE)))</f>
        <v/>
      </c>
      <c r="O118" s="498" t="str">
        <f t="shared" si="5"/>
        <v/>
      </c>
      <c r="P118" s="195"/>
      <c r="Q118" s="195"/>
      <c r="R118" s="520" t="str">
        <f t="shared" si="6"/>
        <v/>
      </c>
      <c r="S118" s="544" t="str">
        <f t="shared" si="7"/>
        <v/>
      </c>
      <c r="T118" s="525" t="str">
        <f>IFERROR(IF(S118="Check Data ⚠","Check Data ⚠",VLOOKUP(S118,'G-4 Temporal multipliers'!$A$4:$C$37,3,FALSE)),"")</f>
        <v/>
      </c>
      <c r="U118" s="523" t="str">
        <f>IF(F118="","",VLOOKUP(F118,'G-3 Multipliers'!$A$2:$E$129,2,FALSE))</f>
        <v/>
      </c>
      <c r="V118" s="520" t="str">
        <f t="shared" si="9"/>
        <v/>
      </c>
      <c r="W118" s="520" t="str">
        <f>IF(E118="","",IF(AND(V118="Standard difficulty applied",O118&gt;P118),U118,IF(AND(V118="Low Difficulty - only applicable if all habitat created before losses ⚠",P118&gt;=O118),"Low",VLOOKUP(F118,'G-3 Multipliers'!$A$2:$E$129,4,FALSE))))</f>
        <v/>
      </c>
      <c r="X118" s="524" t="str">
        <f>IFERROR(IF(E118="","",VLOOKUP(W118, 'G-3 Multipliers'!$P$2:$Q$6,2,FALSE)),"")</f>
        <v/>
      </c>
      <c r="Y118" s="197"/>
      <c r="Z118" s="499" t="str">
        <f>IF(Y118="","",IF(VLOOKUP(Y118,'G-3 Multipliers'!$S$3:$T$9,2,FALSE)=0,"Spatial Data Missing ⚠",VLOOKUP(Y118,'G-3 Multipliers'!$S$3:$T$9,2,FALSE)))</f>
        <v/>
      </c>
      <c r="AA118" s="545" t="str">
        <f t="shared" si="8"/>
        <v/>
      </c>
      <c r="AB118" s="149"/>
      <c r="AC118" s="150"/>
    </row>
    <row r="119" spans="1:29" ht="14" x14ac:dyDescent="0.3">
      <c r="A119" s="31" t="str">
        <f>IFERROR(INDEX('G-8 Condition Look up'!$I$4:$I$130,MATCH(F119,'G-8 Condition Look up'!$A$4:$A$130,0)),"")</f>
        <v/>
      </c>
      <c r="C119" s="244" t="str">
        <f>IFERROR(INDEX('G-1 All Habitats'!$AG$3:$AG$15,MATCH(D119,'G-1 All Habitats'!$AF$3:$AF$15,0)),"")</f>
        <v/>
      </c>
      <c r="D119" s="154"/>
      <c r="E119" s="203"/>
      <c r="F119" s="243" t="str">
        <f>IFERROR(INDEX('G-1 All Habitats'!$B$3:$B$129,MATCH(E119,'G-1 All Habitats'!$A$3:$A$129,0)),"")</f>
        <v/>
      </c>
      <c r="G119" s="386"/>
      <c r="H119" s="537" t="str">
        <f>IF(F119="","",VLOOKUP(F119,'G-1 All Habitats'!$B$2:$M$129,10,FALSE))</f>
        <v/>
      </c>
      <c r="I119" s="524" t="str">
        <f>IFERROR(VLOOKUP(H119,'G-1 All Habitats'!$V$3:$W$7,2,FALSE),"")</f>
        <v/>
      </c>
      <c r="J119" s="199"/>
      <c r="K119" s="524" t="str">
        <f>IFERROR(INDEX('G-8 Condition Look up'!$A$3:$H$130,MATCH(F119,'G-8 Condition Look up'!$A$3:$A$130,0),MATCH(J119,'G-8 Condition Look up'!$A$3:$H$3,0)),"")</f>
        <v/>
      </c>
      <c r="L119" s="145"/>
      <c r="M119" s="540" t="str">
        <f>IF(L119="","",IF(VLOOKUP(L119,'G-3 Multipliers'!$L$3:$N$6,2,FALSE)=0,"Spatial Data Missing ⚠",VLOOKUP(L119,'G-3 Multipliers'!$L$3:$N$6,2,FALSE)))</f>
        <v/>
      </c>
      <c r="N119" s="499" t="str">
        <f>IF(L119="","",IF(VLOOKUP(L119,'G-3 Multipliers'!$L$3:$N$6,3,FALSE)=0,"Spatial Data Missing ⚠",VLOOKUP(L119,'G-3 Multipliers'!$L$3:$N$6,3,FALSE)))</f>
        <v/>
      </c>
      <c r="O119" s="498" t="str">
        <f t="shared" si="5"/>
        <v/>
      </c>
      <c r="P119" s="195"/>
      <c r="Q119" s="195"/>
      <c r="R119" s="520" t="str">
        <f t="shared" si="6"/>
        <v/>
      </c>
      <c r="S119" s="544" t="str">
        <f t="shared" si="7"/>
        <v/>
      </c>
      <c r="T119" s="525" t="str">
        <f>IFERROR(IF(S119="Check Data ⚠","Check Data ⚠",VLOOKUP(S119,'G-4 Temporal multipliers'!$A$4:$C$37,3,FALSE)),"")</f>
        <v/>
      </c>
      <c r="U119" s="523" t="str">
        <f>IF(F119="","",VLOOKUP(F119,'G-3 Multipliers'!$A$2:$E$129,2,FALSE))</f>
        <v/>
      </c>
      <c r="V119" s="520" t="str">
        <f t="shared" si="9"/>
        <v/>
      </c>
      <c r="W119" s="520" t="str">
        <f>IF(E119="","",IF(AND(V119="Standard difficulty applied",O119&gt;P119),U119,IF(AND(V119="Low Difficulty - only applicable if all habitat created before losses ⚠",P119&gt;=O119),"Low",VLOOKUP(F119,'G-3 Multipliers'!$A$2:$E$129,4,FALSE))))</f>
        <v/>
      </c>
      <c r="X119" s="524" t="str">
        <f>IFERROR(IF(E119="","",VLOOKUP(W119, 'G-3 Multipliers'!$P$2:$Q$6,2,FALSE)),"")</f>
        <v/>
      </c>
      <c r="Y119" s="197"/>
      <c r="Z119" s="499" t="str">
        <f>IF(Y119="","",IF(VLOOKUP(Y119,'G-3 Multipliers'!$S$3:$T$9,2,FALSE)=0,"Spatial Data Missing ⚠",VLOOKUP(Y119,'G-3 Multipliers'!$S$3:$T$9,2,FALSE)))</f>
        <v/>
      </c>
      <c r="AA119" s="545" t="str">
        <f t="shared" si="8"/>
        <v/>
      </c>
      <c r="AB119" s="149"/>
      <c r="AC119" s="150"/>
    </row>
    <row r="120" spans="1:29" ht="14" x14ac:dyDescent="0.3">
      <c r="A120" s="31" t="str">
        <f>IFERROR(INDEX('G-8 Condition Look up'!$I$4:$I$130,MATCH(F120,'G-8 Condition Look up'!$A$4:$A$130,0)),"")</f>
        <v/>
      </c>
      <c r="C120" s="244" t="str">
        <f>IFERROR(INDEX('G-1 All Habitats'!$AG$3:$AG$15,MATCH(D120,'G-1 All Habitats'!$AF$3:$AF$15,0)),"")</f>
        <v/>
      </c>
      <c r="D120" s="154"/>
      <c r="E120" s="203"/>
      <c r="F120" s="243" t="str">
        <f>IFERROR(INDEX('G-1 All Habitats'!$B$3:$B$129,MATCH(E120,'G-1 All Habitats'!$A$3:$A$129,0)),"")</f>
        <v/>
      </c>
      <c r="G120" s="386"/>
      <c r="H120" s="537" t="str">
        <f>IF(F120="","",VLOOKUP(F120,'G-1 All Habitats'!$B$2:$M$129,10,FALSE))</f>
        <v/>
      </c>
      <c r="I120" s="524" t="str">
        <f>IFERROR(VLOOKUP(H120,'G-1 All Habitats'!$V$3:$W$7,2,FALSE),"")</f>
        <v/>
      </c>
      <c r="J120" s="199"/>
      <c r="K120" s="524" t="str">
        <f>IFERROR(INDEX('G-8 Condition Look up'!$A$3:$H$130,MATCH(F120,'G-8 Condition Look up'!$A$3:$A$130,0),MATCH(J120,'G-8 Condition Look up'!$A$3:$H$3,0)),"")</f>
        <v/>
      </c>
      <c r="L120" s="145"/>
      <c r="M120" s="540" t="str">
        <f>IF(L120="","",IF(VLOOKUP(L120,'G-3 Multipliers'!$L$3:$N$6,2,FALSE)=0,"Spatial Data Missing ⚠",VLOOKUP(L120,'G-3 Multipliers'!$L$3:$N$6,2,FALSE)))</f>
        <v/>
      </c>
      <c r="N120" s="499" t="str">
        <f>IF(L120="","",IF(VLOOKUP(L120,'G-3 Multipliers'!$L$3:$N$6,3,FALSE)=0,"Spatial Data Missing ⚠",VLOOKUP(L120,'G-3 Multipliers'!$L$3:$N$6,3,FALSE)))</f>
        <v/>
      </c>
      <c r="O120" s="498" t="str">
        <f t="shared" si="5"/>
        <v/>
      </c>
      <c r="P120" s="195"/>
      <c r="Q120" s="195"/>
      <c r="R120" s="520" t="str">
        <f t="shared" si="6"/>
        <v/>
      </c>
      <c r="S120" s="544" t="str">
        <f t="shared" si="7"/>
        <v/>
      </c>
      <c r="T120" s="525" t="str">
        <f>IFERROR(IF(S120="Check Data ⚠","Check Data ⚠",VLOOKUP(S120,'G-4 Temporal multipliers'!$A$4:$C$37,3,FALSE)),"")</f>
        <v/>
      </c>
      <c r="U120" s="523" t="str">
        <f>IF(F120="","",VLOOKUP(F120,'G-3 Multipliers'!$A$2:$E$129,2,FALSE))</f>
        <v/>
      </c>
      <c r="V120" s="520" t="str">
        <f t="shared" si="9"/>
        <v/>
      </c>
      <c r="W120" s="520" t="str">
        <f>IF(E120="","",IF(AND(V120="Standard difficulty applied",O120&gt;P120),U120,IF(AND(V120="Low Difficulty - only applicable if all habitat created before losses ⚠",P120&gt;=O120),"Low",VLOOKUP(F120,'G-3 Multipliers'!$A$2:$E$129,4,FALSE))))</f>
        <v/>
      </c>
      <c r="X120" s="524" t="str">
        <f>IFERROR(IF(E120="","",VLOOKUP(W120, 'G-3 Multipliers'!$P$2:$Q$6,2,FALSE)),"")</f>
        <v/>
      </c>
      <c r="Y120" s="197"/>
      <c r="Z120" s="499" t="str">
        <f>IF(Y120="","",IF(VLOOKUP(Y120,'G-3 Multipliers'!$S$3:$T$9,2,FALSE)=0,"Spatial Data Missing ⚠",VLOOKUP(Y120,'G-3 Multipliers'!$S$3:$T$9,2,FALSE)))</f>
        <v/>
      </c>
      <c r="AA120" s="545" t="str">
        <f t="shared" si="8"/>
        <v/>
      </c>
      <c r="AB120" s="149"/>
      <c r="AC120" s="150"/>
    </row>
    <row r="121" spans="1:29" ht="14" x14ac:dyDescent="0.3">
      <c r="A121" s="31" t="str">
        <f>IFERROR(INDEX('G-8 Condition Look up'!$I$4:$I$130,MATCH(F121,'G-8 Condition Look up'!$A$4:$A$130,0)),"")</f>
        <v/>
      </c>
      <c r="C121" s="244" t="str">
        <f>IFERROR(INDEX('G-1 All Habitats'!$AG$3:$AG$15,MATCH(D121,'G-1 All Habitats'!$AF$3:$AF$15,0)),"")</f>
        <v/>
      </c>
      <c r="D121" s="154"/>
      <c r="E121" s="203"/>
      <c r="F121" s="243" t="str">
        <f>IFERROR(INDEX('G-1 All Habitats'!$B$3:$B$129,MATCH(E121,'G-1 All Habitats'!$A$3:$A$129,0)),"")</f>
        <v/>
      </c>
      <c r="G121" s="386"/>
      <c r="H121" s="537" t="str">
        <f>IF(F121="","",VLOOKUP(F121,'G-1 All Habitats'!$B$2:$M$129,10,FALSE))</f>
        <v/>
      </c>
      <c r="I121" s="524" t="str">
        <f>IFERROR(VLOOKUP(H121,'G-1 All Habitats'!$V$3:$W$7,2,FALSE),"")</f>
        <v/>
      </c>
      <c r="J121" s="199"/>
      <c r="K121" s="524" t="str">
        <f>IFERROR(INDEX('G-8 Condition Look up'!$A$3:$H$130,MATCH(F121,'G-8 Condition Look up'!$A$3:$A$130,0),MATCH(J121,'G-8 Condition Look up'!$A$3:$H$3,0)),"")</f>
        <v/>
      </c>
      <c r="L121" s="145"/>
      <c r="M121" s="540" t="str">
        <f>IF(L121="","",IF(VLOOKUP(L121,'G-3 Multipliers'!$L$3:$N$6,2,FALSE)=0,"Spatial Data Missing ⚠",VLOOKUP(L121,'G-3 Multipliers'!$L$3:$N$6,2,FALSE)))</f>
        <v/>
      </c>
      <c r="N121" s="499" t="str">
        <f>IF(L121="","",IF(VLOOKUP(L121,'G-3 Multipliers'!$L$3:$N$6,3,FALSE)=0,"Spatial Data Missing ⚠",VLOOKUP(L121,'G-3 Multipliers'!$L$3:$N$6,3,FALSE)))</f>
        <v/>
      </c>
      <c r="O121" s="498" t="str">
        <f t="shared" si="5"/>
        <v/>
      </c>
      <c r="P121" s="195"/>
      <c r="Q121" s="195"/>
      <c r="R121" s="520" t="str">
        <f t="shared" si="6"/>
        <v/>
      </c>
      <c r="S121" s="544" t="str">
        <f t="shared" si="7"/>
        <v/>
      </c>
      <c r="T121" s="525" t="str">
        <f>IFERROR(IF(S121="Check Data ⚠","Check Data ⚠",VLOOKUP(S121,'G-4 Temporal multipliers'!$A$4:$C$37,3,FALSE)),"")</f>
        <v/>
      </c>
      <c r="U121" s="523" t="str">
        <f>IF(F121="","",VLOOKUP(F121,'G-3 Multipliers'!$A$2:$E$129,2,FALSE))</f>
        <v/>
      </c>
      <c r="V121" s="520" t="str">
        <f t="shared" si="9"/>
        <v/>
      </c>
      <c r="W121" s="520" t="str">
        <f>IF(E121="","",IF(AND(V121="Standard difficulty applied",O121&gt;P121),U121,IF(AND(V121="Low Difficulty - only applicable if all habitat created before losses ⚠",P121&gt;=O121),"Low",VLOOKUP(F121,'G-3 Multipliers'!$A$2:$E$129,4,FALSE))))</f>
        <v/>
      </c>
      <c r="X121" s="524" t="str">
        <f>IFERROR(IF(E121="","",VLOOKUP(W121, 'G-3 Multipliers'!$P$2:$Q$6,2,FALSE)),"")</f>
        <v/>
      </c>
      <c r="Y121" s="197"/>
      <c r="Z121" s="499" t="str">
        <f>IF(Y121="","",IF(VLOOKUP(Y121,'G-3 Multipliers'!$S$3:$T$9,2,FALSE)=0,"Spatial Data Missing ⚠",VLOOKUP(Y121,'G-3 Multipliers'!$S$3:$T$9,2,FALSE)))</f>
        <v/>
      </c>
      <c r="AA121" s="545" t="str">
        <f t="shared" si="8"/>
        <v/>
      </c>
      <c r="AB121" s="149"/>
      <c r="AC121" s="150"/>
    </row>
    <row r="122" spans="1:29" ht="14" x14ac:dyDescent="0.3">
      <c r="A122" s="31" t="str">
        <f>IFERROR(INDEX('G-8 Condition Look up'!$I$4:$I$130,MATCH(F122,'G-8 Condition Look up'!$A$4:$A$130,0)),"")</f>
        <v/>
      </c>
      <c r="C122" s="244" t="str">
        <f>IFERROR(INDEX('G-1 All Habitats'!$AG$3:$AG$15,MATCH(D122,'G-1 All Habitats'!$AF$3:$AF$15,0)),"")</f>
        <v/>
      </c>
      <c r="D122" s="154"/>
      <c r="E122" s="203"/>
      <c r="F122" s="243" t="str">
        <f>IFERROR(INDEX('G-1 All Habitats'!$B$3:$B$129,MATCH(E122,'G-1 All Habitats'!$A$3:$A$129,0)),"")</f>
        <v/>
      </c>
      <c r="G122" s="386"/>
      <c r="H122" s="537" t="str">
        <f>IF(F122="","",VLOOKUP(F122,'G-1 All Habitats'!$B$2:$M$129,10,FALSE))</f>
        <v/>
      </c>
      <c r="I122" s="524" t="str">
        <f>IFERROR(VLOOKUP(H122,'G-1 All Habitats'!$V$3:$W$7,2,FALSE),"")</f>
        <v/>
      </c>
      <c r="J122" s="199"/>
      <c r="K122" s="524" t="str">
        <f>IFERROR(INDEX('G-8 Condition Look up'!$A$3:$H$130,MATCH(F122,'G-8 Condition Look up'!$A$3:$A$130,0),MATCH(J122,'G-8 Condition Look up'!$A$3:$H$3,0)),"")</f>
        <v/>
      </c>
      <c r="L122" s="145"/>
      <c r="M122" s="540" t="str">
        <f>IF(L122="","",IF(VLOOKUP(L122,'G-3 Multipliers'!$L$3:$N$6,2,FALSE)=0,"Spatial Data Missing ⚠",VLOOKUP(L122,'G-3 Multipliers'!$L$3:$N$6,2,FALSE)))</f>
        <v/>
      </c>
      <c r="N122" s="499" t="str">
        <f>IF(L122="","",IF(VLOOKUP(L122,'G-3 Multipliers'!$L$3:$N$6,3,FALSE)=0,"Spatial Data Missing ⚠",VLOOKUP(L122,'G-3 Multipliers'!$L$3:$N$6,3,FALSE)))</f>
        <v/>
      </c>
      <c r="O122" s="498" t="str">
        <f t="shared" si="5"/>
        <v/>
      </c>
      <c r="P122" s="195"/>
      <c r="Q122" s="195"/>
      <c r="R122" s="520" t="str">
        <f t="shared" si="6"/>
        <v/>
      </c>
      <c r="S122" s="544" t="str">
        <f t="shared" si="7"/>
        <v/>
      </c>
      <c r="T122" s="525" t="str">
        <f>IFERROR(IF(S122="Check Data ⚠","Check Data ⚠",VLOOKUP(S122,'G-4 Temporal multipliers'!$A$4:$C$37,3,FALSE)),"")</f>
        <v/>
      </c>
      <c r="U122" s="523" t="str">
        <f>IF(F122="","",VLOOKUP(F122,'G-3 Multipliers'!$A$2:$E$129,2,FALSE))</f>
        <v/>
      </c>
      <c r="V122" s="520" t="str">
        <f t="shared" si="9"/>
        <v/>
      </c>
      <c r="W122" s="520" t="str">
        <f>IF(E122="","",IF(AND(V122="Standard difficulty applied",O122&gt;P122),U122,IF(AND(V122="Low Difficulty - only applicable if all habitat created before losses ⚠",P122&gt;=O122),"Low",VLOOKUP(F122,'G-3 Multipliers'!$A$2:$E$129,4,FALSE))))</f>
        <v/>
      </c>
      <c r="X122" s="524" t="str">
        <f>IFERROR(IF(E122="","",VLOOKUP(W122, 'G-3 Multipliers'!$P$2:$Q$6,2,FALSE)),"")</f>
        <v/>
      </c>
      <c r="Y122" s="197"/>
      <c r="Z122" s="499" t="str">
        <f>IF(Y122="","",IF(VLOOKUP(Y122,'G-3 Multipliers'!$S$3:$T$9,2,FALSE)=0,"Spatial Data Missing ⚠",VLOOKUP(Y122,'G-3 Multipliers'!$S$3:$T$9,2,FALSE)))</f>
        <v/>
      </c>
      <c r="AA122" s="545" t="str">
        <f t="shared" si="8"/>
        <v/>
      </c>
      <c r="AB122" s="149"/>
      <c r="AC122" s="150"/>
    </row>
    <row r="123" spans="1:29" ht="14" x14ac:dyDescent="0.3">
      <c r="A123" s="31" t="str">
        <f>IFERROR(INDEX('G-8 Condition Look up'!$I$4:$I$130,MATCH(F123,'G-8 Condition Look up'!$A$4:$A$130,0)),"")</f>
        <v/>
      </c>
      <c r="C123" s="244" t="str">
        <f>IFERROR(INDEX('G-1 All Habitats'!$AG$3:$AG$15,MATCH(D123,'G-1 All Habitats'!$AF$3:$AF$15,0)),"")</f>
        <v/>
      </c>
      <c r="D123" s="154"/>
      <c r="E123" s="203"/>
      <c r="F123" s="243" t="str">
        <f>IFERROR(INDEX('G-1 All Habitats'!$B$3:$B$129,MATCH(E123,'G-1 All Habitats'!$A$3:$A$129,0)),"")</f>
        <v/>
      </c>
      <c r="G123" s="386"/>
      <c r="H123" s="537" t="str">
        <f>IF(F123="","",VLOOKUP(F123,'G-1 All Habitats'!$B$2:$M$129,10,FALSE))</f>
        <v/>
      </c>
      <c r="I123" s="524" t="str">
        <f>IFERROR(VLOOKUP(H123,'G-1 All Habitats'!$V$3:$W$7,2,FALSE),"")</f>
        <v/>
      </c>
      <c r="J123" s="199"/>
      <c r="K123" s="524" t="str">
        <f>IFERROR(INDEX('G-8 Condition Look up'!$A$3:$H$130,MATCH(F123,'G-8 Condition Look up'!$A$3:$A$130,0),MATCH(J123,'G-8 Condition Look up'!$A$3:$H$3,0)),"")</f>
        <v/>
      </c>
      <c r="L123" s="145"/>
      <c r="M123" s="540" t="str">
        <f>IF(L123="","",IF(VLOOKUP(L123,'G-3 Multipliers'!$L$3:$N$6,2,FALSE)=0,"Spatial Data Missing ⚠",VLOOKUP(L123,'G-3 Multipliers'!$L$3:$N$6,2,FALSE)))</f>
        <v/>
      </c>
      <c r="N123" s="499" t="str">
        <f>IF(L123="","",IF(VLOOKUP(L123,'G-3 Multipliers'!$L$3:$N$6,3,FALSE)=0,"Spatial Data Missing ⚠",VLOOKUP(L123,'G-3 Multipliers'!$L$3:$N$6,3,FALSE)))</f>
        <v/>
      </c>
      <c r="O123" s="498" t="str">
        <f t="shared" si="5"/>
        <v/>
      </c>
      <c r="P123" s="195"/>
      <c r="Q123" s="195"/>
      <c r="R123" s="520" t="str">
        <f t="shared" si="6"/>
        <v/>
      </c>
      <c r="S123" s="544" t="str">
        <f t="shared" si="7"/>
        <v/>
      </c>
      <c r="T123" s="525" t="str">
        <f>IFERROR(IF(S123="Check Data ⚠","Check Data ⚠",VLOOKUP(S123,'G-4 Temporal multipliers'!$A$4:$C$37,3,FALSE)),"")</f>
        <v/>
      </c>
      <c r="U123" s="523" t="str">
        <f>IF(F123="","",VLOOKUP(F123,'G-3 Multipliers'!$A$2:$E$129,2,FALSE))</f>
        <v/>
      </c>
      <c r="V123" s="520" t="str">
        <f t="shared" si="9"/>
        <v/>
      </c>
      <c r="W123" s="520" t="str">
        <f>IF(E123="","",IF(AND(V123="Standard difficulty applied",O123&gt;P123),U123,IF(AND(V123="Low Difficulty - only applicable if all habitat created before losses ⚠",P123&gt;=O123),"Low",VLOOKUP(F123,'G-3 Multipliers'!$A$2:$E$129,4,FALSE))))</f>
        <v/>
      </c>
      <c r="X123" s="524" t="str">
        <f>IFERROR(IF(E123="","",VLOOKUP(W123, 'G-3 Multipliers'!$P$2:$Q$6,2,FALSE)),"")</f>
        <v/>
      </c>
      <c r="Y123" s="197"/>
      <c r="Z123" s="499" t="str">
        <f>IF(Y123="","",IF(VLOOKUP(Y123,'G-3 Multipliers'!$S$3:$T$9,2,FALSE)=0,"Spatial Data Missing ⚠",VLOOKUP(Y123,'G-3 Multipliers'!$S$3:$T$9,2,FALSE)))</f>
        <v/>
      </c>
      <c r="AA123" s="545" t="str">
        <f t="shared" si="8"/>
        <v/>
      </c>
      <c r="AB123" s="149"/>
      <c r="AC123" s="150"/>
    </row>
    <row r="124" spans="1:29" ht="14" x14ac:dyDescent="0.3">
      <c r="A124" s="31" t="str">
        <f>IFERROR(INDEX('G-8 Condition Look up'!$I$4:$I$130,MATCH(F124,'G-8 Condition Look up'!$A$4:$A$130,0)),"")</f>
        <v/>
      </c>
      <c r="C124" s="244" t="str">
        <f>IFERROR(INDEX('G-1 All Habitats'!$AG$3:$AG$15,MATCH(D124,'G-1 All Habitats'!$AF$3:$AF$15,0)),"")</f>
        <v/>
      </c>
      <c r="D124" s="154"/>
      <c r="E124" s="203"/>
      <c r="F124" s="243" t="str">
        <f>IFERROR(INDEX('G-1 All Habitats'!$B$3:$B$129,MATCH(E124,'G-1 All Habitats'!$A$3:$A$129,0)),"")</f>
        <v/>
      </c>
      <c r="G124" s="386"/>
      <c r="H124" s="537" t="str">
        <f>IF(F124="","",VLOOKUP(F124,'G-1 All Habitats'!$B$2:$M$129,10,FALSE))</f>
        <v/>
      </c>
      <c r="I124" s="524" t="str">
        <f>IFERROR(VLOOKUP(H124,'G-1 All Habitats'!$V$3:$W$7,2,FALSE),"")</f>
        <v/>
      </c>
      <c r="J124" s="199"/>
      <c r="K124" s="524" t="str">
        <f>IFERROR(INDEX('G-8 Condition Look up'!$A$3:$H$130,MATCH(F124,'G-8 Condition Look up'!$A$3:$A$130,0),MATCH(J124,'G-8 Condition Look up'!$A$3:$H$3,0)),"")</f>
        <v/>
      </c>
      <c r="L124" s="145"/>
      <c r="M124" s="540" t="str">
        <f>IF(L124="","",IF(VLOOKUP(L124,'G-3 Multipliers'!$L$3:$N$6,2,FALSE)=0,"Spatial Data Missing ⚠",VLOOKUP(L124,'G-3 Multipliers'!$L$3:$N$6,2,FALSE)))</f>
        <v/>
      </c>
      <c r="N124" s="499" t="str">
        <f>IF(L124="","",IF(VLOOKUP(L124,'G-3 Multipliers'!$L$3:$N$6,3,FALSE)=0,"Spatial Data Missing ⚠",VLOOKUP(L124,'G-3 Multipliers'!$L$3:$N$6,3,FALSE)))</f>
        <v/>
      </c>
      <c r="O124" s="498" t="str">
        <f t="shared" si="5"/>
        <v/>
      </c>
      <c r="P124" s="195"/>
      <c r="Q124" s="195"/>
      <c r="R124" s="520" t="str">
        <f t="shared" si="6"/>
        <v/>
      </c>
      <c r="S124" s="544" t="str">
        <f t="shared" si="7"/>
        <v/>
      </c>
      <c r="T124" s="525" t="str">
        <f>IFERROR(IF(S124="Check Data ⚠","Check Data ⚠",VLOOKUP(S124,'G-4 Temporal multipliers'!$A$4:$C$37,3,FALSE)),"")</f>
        <v/>
      </c>
      <c r="U124" s="523" t="str">
        <f>IF(F124="","",VLOOKUP(F124,'G-3 Multipliers'!$A$2:$E$129,2,FALSE))</f>
        <v/>
      </c>
      <c r="V124" s="520" t="str">
        <f t="shared" si="9"/>
        <v/>
      </c>
      <c r="W124" s="520" t="str">
        <f>IF(E124="","",IF(AND(V124="Standard difficulty applied",O124&gt;P124),U124,IF(AND(V124="Low Difficulty - only applicable if all habitat created before losses ⚠",P124&gt;=O124),"Low",VLOOKUP(F124,'G-3 Multipliers'!$A$2:$E$129,4,FALSE))))</f>
        <v/>
      </c>
      <c r="X124" s="524" t="str">
        <f>IFERROR(IF(E124="","",VLOOKUP(W124, 'G-3 Multipliers'!$P$2:$Q$6,2,FALSE)),"")</f>
        <v/>
      </c>
      <c r="Y124" s="197"/>
      <c r="Z124" s="499" t="str">
        <f>IF(Y124="","",IF(VLOOKUP(Y124,'G-3 Multipliers'!$S$3:$T$9,2,FALSE)=0,"Spatial Data Missing ⚠",VLOOKUP(Y124,'G-3 Multipliers'!$S$3:$T$9,2,FALSE)))</f>
        <v/>
      </c>
      <c r="AA124" s="545" t="str">
        <f t="shared" si="8"/>
        <v/>
      </c>
      <c r="AB124" s="149"/>
      <c r="AC124" s="150"/>
    </row>
    <row r="125" spans="1:29" ht="14" x14ac:dyDescent="0.3">
      <c r="A125" s="31" t="str">
        <f>IFERROR(INDEX('G-8 Condition Look up'!$I$4:$I$130,MATCH(F125,'G-8 Condition Look up'!$A$4:$A$130,0)),"")</f>
        <v/>
      </c>
      <c r="C125" s="244" t="str">
        <f>IFERROR(INDEX('G-1 All Habitats'!$AG$3:$AG$15,MATCH(D125,'G-1 All Habitats'!$AF$3:$AF$15,0)),"")</f>
        <v/>
      </c>
      <c r="D125" s="154"/>
      <c r="E125" s="203"/>
      <c r="F125" s="243" t="str">
        <f>IFERROR(INDEX('G-1 All Habitats'!$B$3:$B$129,MATCH(E125,'G-1 All Habitats'!$A$3:$A$129,0)),"")</f>
        <v/>
      </c>
      <c r="G125" s="386"/>
      <c r="H125" s="537" t="str">
        <f>IF(F125="","",VLOOKUP(F125,'G-1 All Habitats'!$B$2:$M$129,10,FALSE))</f>
        <v/>
      </c>
      <c r="I125" s="524" t="str">
        <f>IFERROR(VLOOKUP(H125,'G-1 All Habitats'!$V$3:$W$7,2,FALSE),"")</f>
        <v/>
      </c>
      <c r="J125" s="199"/>
      <c r="K125" s="524" t="str">
        <f>IFERROR(INDEX('G-8 Condition Look up'!$A$3:$H$130,MATCH(F125,'G-8 Condition Look up'!$A$3:$A$130,0),MATCH(J125,'G-8 Condition Look up'!$A$3:$H$3,0)),"")</f>
        <v/>
      </c>
      <c r="L125" s="145"/>
      <c r="M125" s="540" t="str">
        <f>IF(L125="","",IF(VLOOKUP(L125,'G-3 Multipliers'!$L$3:$N$6,2,FALSE)=0,"Spatial Data Missing ⚠",VLOOKUP(L125,'G-3 Multipliers'!$L$3:$N$6,2,FALSE)))</f>
        <v/>
      </c>
      <c r="N125" s="499" t="str">
        <f>IF(L125="","",IF(VLOOKUP(L125,'G-3 Multipliers'!$L$3:$N$6,3,FALSE)=0,"Spatial Data Missing ⚠",VLOOKUP(L125,'G-3 Multipliers'!$L$3:$N$6,3,FALSE)))</f>
        <v/>
      </c>
      <c r="O125" s="498" t="str">
        <f t="shared" si="5"/>
        <v/>
      </c>
      <c r="P125" s="195"/>
      <c r="Q125" s="195"/>
      <c r="R125" s="520" t="str">
        <f t="shared" si="6"/>
        <v/>
      </c>
      <c r="S125" s="544" t="str">
        <f t="shared" si="7"/>
        <v/>
      </c>
      <c r="T125" s="525" t="str">
        <f>IFERROR(IF(S125="Check Data ⚠","Check Data ⚠",VLOOKUP(S125,'G-4 Temporal multipliers'!$A$4:$C$37,3,FALSE)),"")</f>
        <v/>
      </c>
      <c r="U125" s="523" t="str">
        <f>IF(F125="","",VLOOKUP(F125,'G-3 Multipliers'!$A$2:$E$129,2,FALSE))</f>
        <v/>
      </c>
      <c r="V125" s="520" t="str">
        <f t="shared" si="9"/>
        <v/>
      </c>
      <c r="W125" s="520" t="str">
        <f>IF(E125="","",IF(AND(V125="Standard difficulty applied",O125&gt;P125),U125,IF(AND(V125="Low Difficulty - only applicable if all habitat created before losses ⚠",P125&gt;=O125),"Low",VLOOKUP(F125,'G-3 Multipliers'!$A$2:$E$129,4,FALSE))))</f>
        <v/>
      </c>
      <c r="X125" s="524" t="str">
        <f>IFERROR(IF(E125="","",VLOOKUP(W125, 'G-3 Multipliers'!$P$2:$Q$6,2,FALSE)),"")</f>
        <v/>
      </c>
      <c r="Y125" s="197"/>
      <c r="Z125" s="499" t="str">
        <f>IF(Y125="","",IF(VLOOKUP(Y125,'G-3 Multipliers'!$S$3:$T$9,2,FALSE)=0,"Spatial Data Missing ⚠",VLOOKUP(Y125,'G-3 Multipliers'!$S$3:$T$9,2,FALSE)))</f>
        <v/>
      </c>
      <c r="AA125" s="545" t="str">
        <f t="shared" si="8"/>
        <v/>
      </c>
      <c r="AB125" s="149"/>
      <c r="AC125" s="150"/>
    </row>
    <row r="126" spans="1:29" ht="14" x14ac:dyDescent="0.3">
      <c r="A126" s="31" t="str">
        <f>IFERROR(INDEX('G-8 Condition Look up'!$I$4:$I$130,MATCH(F126,'G-8 Condition Look up'!$A$4:$A$130,0)),"")</f>
        <v/>
      </c>
      <c r="C126" s="244" t="str">
        <f>IFERROR(INDEX('G-1 All Habitats'!$AG$3:$AG$15,MATCH(D126,'G-1 All Habitats'!$AF$3:$AF$15,0)),"")</f>
        <v/>
      </c>
      <c r="D126" s="154"/>
      <c r="E126" s="203"/>
      <c r="F126" s="243" t="str">
        <f>IFERROR(INDEX('G-1 All Habitats'!$B$3:$B$129,MATCH(E126,'G-1 All Habitats'!$A$3:$A$129,0)),"")</f>
        <v/>
      </c>
      <c r="G126" s="386"/>
      <c r="H126" s="537" t="str">
        <f>IF(F126="","",VLOOKUP(F126,'G-1 All Habitats'!$B$2:$M$129,10,FALSE))</f>
        <v/>
      </c>
      <c r="I126" s="524" t="str">
        <f>IFERROR(VLOOKUP(H126,'G-1 All Habitats'!$V$3:$W$7,2,FALSE),"")</f>
        <v/>
      </c>
      <c r="J126" s="199"/>
      <c r="K126" s="524" t="str">
        <f>IFERROR(INDEX('G-8 Condition Look up'!$A$3:$H$130,MATCH(F126,'G-8 Condition Look up'!$A$3:$A$130,0),MATCH(J126,'G-8 Condition Look up'!$A$3:$H$3,0)),"")</f>
        <v/>
      </c>
      <c r="L126" s="145"/>
      <c r="M126" s="540" t="str">
        <f>IF(L126="","",IF(VLOOKUP(L126,'G-3 Multipliers'!$L$3:$N$6,2,FALSE)=0,"Spatial Data Missing ⚠",VLOOKUP(L126,'G-3 Multipliers'!$L$3:$N$6,2,FALSE)))</f>
        <v/>
      </c>
      <c r="N126" s="499" t="str">
        <f>IF(L126="","",IF(VLOOKUP(L126,'G-3 Multipliers'!$L$3:$N$6,3,FALSE)=0,"Spatial Data Missing ⚠",VLOOKUP(L126,'G-3 Multipliers'!$L$3:$N$6,3,FALSE)))</f>
        <v/>
      </c>
      <c r="O126" s="498" t="str">
        <f t="shared" si="5"/>
        <v/>
      </c>
      <c r="P126" s="195"/>
      <c r="Q126" s="195"/>
      <c r="R126" s="520" t="str">
        <f t="shared" si="6"/>
        <v/>
      </c>
      <c r="S126" s="544" t="str">
        <f t="shared" si="7"/>
        <v/>
      </c>
      <c r="T126" s="525" t="str">
        <f>IFERROR(IF(S126="Check Data ⚠","Check Data ⚠",VLOOKUP(S126,'G-4 Temporal multipliers'!$A$4:$C$37,3,FALSE)),"")</f>
        <v/>
      </c>
      <c r="U126" s="523" t="str">
        <f>IF(F126="","",VLOOKUP(F126,'G-3 Multipliers'!$A$2:$E$129,2,FALSE))</f>
        <v/>
      </c>
      <c r="V126" s="520" t="str">
        <f t="shared" si="9"/>
        <v/>
      </c>
      <c r="W126" s="520" t="str">
        <f>IF(E126="","",IF(AND(V126="Standard difficulty applied",O126&gt;P126),U126,IF(AND(V126="Low Difficulty - only applicable if all habitat created before losses ⚠",P126&gt;=O126),"Low",VLOOKUP(F126,'G-3 Multipliers'!$A$2:$E$129,4,FALSE))))</f>
        <v/>
      </c>
      <c r="X126" s="524" t="str">
        <f>IFERROR(IF(E126="","",VLOOKUP(W126, 'G-3 Multipliers'!$P$2:$Q$6,2,FALSE)),"")</f>
        <v/>
      </c>
      <c r="Y126" s="197"/>
      <c r="Z126" s="499" t="str">
        <f>IF(Y126="","",IF(VLOOKUP(Y126,'G-3 Multipliers'!$S$3:$T$9,2,FALSE)=0,"Spatial Data Missing ⚠",VLOOKUP(Y126,'G-3 Multipliers'!$S$3:$T$9,2,FALSE)))</f>
        <v/>
      </c>
      <c r="AA126" s="545" t="str">
        <f t="shared" si="8"/>
        <v/>
      </c>
      <c r="AB126" s="149"/>
      <c r="AC126" s="150"/>
    </row>
    <row r="127" spans="1:29" ht="14" x14ac:dyDescent="0.3">
      <c r="A127" s="31" t="str">
        <f>IFERROR(INDEX('G-8 Condition Look up'!$I$4:$I$130,MATCH(F127,'G-8 Condition Look up'!$A$4:$A$130,0)),"")</f>
        <v/>
      </c>
      <c r="C127" s="244" t="str">
        <f>IFERROR(INDEX('G-1 All Habitats'!$AG$3:$AG$15,MATCH(D127,'G-1 All Habitats'!$AF$3:$AF$15,0)),"")</f>
        <v/>
      </c>
      <c r="D127" s="154"/>
      <c r="E127" s="203"/>
      <c r="F127" s="243" t="str">
        <f>IFERROR(INDEX('G-1 All Habitats'!$B$3:$B$129,MATCH(E127,'G-1 All Habitats'!$A$3:$A$129,0)),"")</f>
        <v/>
      </c>
      <c r="G127" s="386"/>
      <c r="H127" s="537" t="str">
        <f>IF(F127="","",VLOOKUP(F127,'G-1 All Habitats'!$B$2:$M$129,10,FALSE))</f>
        <v/>
      </c>
      <c r="I127" s="524" t="str">
        <f>IFERROR(VLOOKUP(H127,'G-1 All Habitats'!$V$3:$W$7,2,FALSE),"")</f>
        <v/>
      </c>
      <c r="J127" s="199"/>
      <c r="K127" s="524" t="str">
        <f>IFERROR(INDEX('G-8 Condition Look up'!$A$3:$H$130,MATCH(F127,'G-8 Condition Look up'!$A$3:$A$130,0),MATCH(J127,'G-8 Condition Look up'!$A$3:$H$3,0)),"")</f>
        <v/>
      </c>
      <c r="L127" s="145"/>
      <c r="M127" s="540" t="str">
        <f>IF(L127="","",IF(VLOOKUP(L127,'G-3 Multipliers'!$L$3:$N$6,2,FALSE)=0,"Spatial Data Missing ⚠",VLOOKUP(L127,'G-3 Multipliers'!$L$3:$N$6,2,FALSE)))</f>
        <v/>
      </c>
      <c r="N127" s="499" t="str">
        <f>IF(L127="","",IF(VLOOKUP(L127,'G-3 Multipliers'!$L$3:$N$6,3,FALSE)=0,"Spatial Data Missing ⚠",VLOOKUP(L127,'G-3 Multipliers'!$L$3:$N$6,3,FALSE)))</f>
        <v/>
      </c>
      <c r="O127" s="498" t="str">
        <f t="shared" si="5"/>
        <v/>
      </c>
      <c r="P127" s="195"/>
      <c r="Q127" s="195"/>
      <c r="R127" s="520" t="str">
        <f t="shared" si="6"/>
        <v/>
      </c>
      <c r="S127" s="544" t="str">
        <f t="shared" si="7"/>
        <v/>
      </c>
      <c r="T127" s="525" t="str">
        <f>IFERROR(IF(S127="Check Data ⚠","Check Data ⚠",VLOOKUP(S127,'G-4 Temporal multipliers'!$A$4:$C$37,3,FALSE)),"")</f>
        <v/>
      </c>
      <c r="U127" s="523" t="str">
        <f>IF(F127="","",VLOOKUP(F127,'G-3 Multipliers'!$A$2:$E$129,2,FALSE))</f>
        <v/>
      </c>
      <c r="V127" s="520" t="str">
        <f t="shared" si="9"/>
        <v/>
      </c>
      <c r="W127" s="520" t="str">
        <f>IF(E127="","",IF(AND(V127="Standard difficulty applied",O127&gt;P127),U127,IF(AND(V127="Low Difficulty - only applicable if all habitat created before losses ⚠",P127&gt;=O127),"Low",VLOOKUP(F127,'G-3 Multipliers'!$A$2:$E$129,4,FALSE))))</f>
        <v/>
      </c>
      <c r="X127" s="524" t="str">
        <f>IFERROR(IF(E127="","",VLOOKUP(W127, 'G-3 Multipliers'!$P$2:$Q$6,2,FALSE)),"")</f>
        <v/>
      </c>
      <c r="Y127" s="197"/>
      <c r="Z127" s="499" t="str">
        <f>IF(Y127="","",IF(VLOOKUP(Y127,'G-3 Multipliers'!$S$3:$T$9,2,FALSE)=0,"Spatial Data Missing ⚠",VLOOKUP(Y127,'G-3 Multipliers'!$S$3:$T$9,2,FALSE)))</f>
        <v/>
      </c>
      <c r="AA127" s="545" t="str">
        <f t="shared" si="8"/>
        <v/>
      </c>
      <c r="AB127" s="149"/>
      <c r="AC127" s="150"/>
    </row>
    <row r="128" spans="1:29" ht="14" x14ac:dyDescent="0.3">
      <c r="A128" s="31" t="str">
        <f>IFERROR(INDEX('G-8 Condition Look up'!$I$4:$I$130,MATCH(F128,'G-8 Condition Look up'!$A$4:$A$130,0)),"")</f>
        <v/>
      </c>
      <c r="C128" s="244" t="str">
        <f>IFERROR(INDEX('G-1 All Habitats'!$AG$3:$AG$15,MATCH(D128,'G-1 All Habitats'!$AF$3:$AF$15,0)),"")</f>
        <v/>
      </c>
      <c r="D128" s="154"/>
      <c r="E128" s="203"/>
      <c r="F128" s="243" t="str">
        <f>IFERROR(INDEX('G-1 All Habitats'!$B$3:$B$129,MATCH(E128,'G-1 All Habitats'!$A$3:$A$129,0)),"")</f>
        <v/>
      </c>
      <c r="G128" s="386"/>
      <c r="H128" s="537" t="str">
        <f>IF(F128="","",VLOOKUP(F128,'G-1 All Habitats'!$B$2:$M$129,10,FALSE))</f>
        <v/>
      </c>
      <c r="I128" s="524" t="str">
        <f>IFERROR(VLOOKUP(H128,'G-1 All Habitats'!$V$3:$W$7,2,FALSE),"")</f>
        <v/>
      </c>
      <c r="J128" s="199"/>
      <c r="K128" s="524" t="str">
        <f>IFERROR(INDEX('G-8 Condition Look up'!$A$3:$H$130,MATCH(F128,'G-8 Condition Look up'!$A$3:$A$130,0),MATCH(J128,'G-8 Condition Look up'!$A$3:$H$3,0)),"")</f>
        <v/>
      </c>
      <c r="L128" s="145"/>
      <c r="M128" s="540" t="str">
        <f>IF(L128="","",IF(VLOOKUP(L128,'G-3 Multipliers'!$L$3:$N$6,2,FALSE)=0,"Spatial Data Missing ⚠",VLOOKUP(L128,'G-3 Multipliers'!$L$3:$N$6,2,FALSE)))</f>
        <v/>
      </c>
      <c r="N128" s="499" t="str">
        <f>IF(L128="","",IF(VLOOKUP(L128,'G-3 Multipliers'!$L$3:$N$6,3,FALSE)=0,"Spatial Data Missing ⚠",VLOOKUP(L128,'G-3 Multipliers'!$L$3:$N$6,3,FALSE)))</f>
        <v/>
      </c>
      <c r="O128" s="498" t="str">
        <f t="shared" si="5"/>
        <v/>
      </c>
      <c r="P128" s="195"/>
      <c r="Q128" s="195"/>
      <c r="R128" s="520" t="str">
        <f t="shared" si="6"/>
        <v/>
      </c>
      <c r="S128" s="544" t="str">
        <f t="shared" si="7"/>
        <v/>
      </c>
      <c r="T128" s="525" t="str">
        <f>IFERROR(IF(S128="Check Data ⚠","Check Data ⚠",VLOOKUP(S128,'G-4 Temporal multipliers'!$A$4:$C$37,3,FALSE)),"")</f>
        <v/>
      </c>
      <c r="U128" s="523" t="str">
        <f>IF(F128="","",VLOOKUP(F128,'G-3 Multipliers'!$A$2:$E$129,2,FALSE))</f>
        <v/>
      </c>
      <c r="V128" s="520" t="str">
        <f t="shared" si="9"/>
        <v/>
      </c>
      <c r="W128" s="520" t="str">
        <f>IF(E128="","",IF(AND(V128="Standard difficulty applied",O128&gt;P128),U128,IF(AND(V128="Low Difficulty - only applicable if all habitat created before losses ⚠",P128&gt;=O128),"Low",VLOOKUP(F128,'G-3 Multipliers'!$A$2:$E$129,4,FALSE))))</f>
        <v/>
      </c>
      <c r="X128" s="524" t="str">
        <f>IFERROR(IF(E128="","",VLOOKUP(W128, 'G-3 Multipliers'!$P$2:$Q$6,2,FALSE)),"")</f>
        <v/>
      </c>
      <c r="Y128" s="197"/>
      <c r="Z128" s="499" t="str">
        <f>IF(Y128="","",IF(VLOOKUP(Y128,'G-3 Multipliers'!$S$3:$T$9,2,FALSE)=0,"Spatial Data Missing ⚠",VLOOKUP(Y128,'G-3 Multipliers'!$S$3:$T$9,2,FALSE)))</f>
        <v/>
      </c>
      <c r="AA128" s="545" t="str">
        <f t="shared" si="8"/>
        <v/>
      </c>
      <c r="AB128" s="149"/>
      <c r="AC128" s="150"/>
    </row>
    <row r="129" spans="1:29" ht="14" x14ac:dyDescent="0.3">
      <c r="A129" s="31" t="str">
        <f>IFERROR(INDEX('G-8 Condition Look up'!$I$4:$I$130,MATCH(F129,'G-8 Condition Look up'!$A$4:$A$130,0)),"")</f>
        <v/>
      </c>
      <c r="C129" s="244" t="str">
        <f>IFERROR(INDEX('G-1 All Habitats'!$AG$3:$AG$15,MATCH(D129,'G-1 All Habitats'!$AF$3:$AF$15,0)),"")</f>
        <v/>
      </c>
      <c r="D129" s="154"/>
      <c r="E129" s="203"/>
      <c r="F129" s="243" t="str">
        <f>IFERROR(INDEX('G-1 All Habitats'!$B$3:$B$129,MATCH(E129,'G-1 All Habitats'!$A$3:$A$129,0)),"")</f>
        <v/>
      </c>
      <c r="G129" s="386"/>
      <c r="H129" s="537" t="str">
        <f>IF(F129="","",VLOOKUP(F129,'G-1 All Habitats'!$B$2:$M$129,10,FALSE))</f>
        <v/>
      </c>
      <c r="I129" s="524" t="str">
        <f>IFERROR(VLOOKUP(H129,'G-1 All Habitats'!$V$3:$W$7,2,FALSE),"")</f>
        <v/>
      </c>
      <c r="J129" s="199"/>
      <c r="K129" s="524" t="str">
        <f>IFERROR(INDEX('G-8 Condition Look up'!$A$3:$H$130,MATCH(F129,'G-8 Condition Look up'!$A$3:$A$130,0),MATCH(J129,'G-8 Condition Look up'!$A$3:$H$3,0)),"")</f>
        <v/>
      </c>
      <c r="L129" s="145"/>
      <c r="M129" s="540" t="str">
        <f>IF(L129="","",IF(VLOOKUP(L129,'G-3 Multipliers'!$L$3:$N$6,2,FALSE)=0,"Spatial Data Missing ⚠",VLOOKUP(L129,'G-3 Multipliers'!$L$3:$N$6,2,FALSE)))</f>
        <v/>
      </c>
      <c r="N129" s="499" t="str">
        <f>IF(L129="","",IF(VLOOKUP(L129,'G-3 Multipliers'!$L$3:$N$6,3,FALSE)=0,"Spatial Data Missing ⚠",VLOOKUP(L129,'G-3 Multipliers'!$L$3:$N$6,3,FALSE)))</f>
        <v/>
      </c>
      <c r="O129" s="498" t="str">
        <f t="shared" si="5"/>
        <v/>
      </c>
      <c r="P129" s="195"/>
      <c r="Q129" s="195"/>
      <c r="R129" s="520" t="str">
        <f t="shared" si="6"/>
        <v/>
      </c>
      <c r="S129" s="544" t="str">
        <f t="shared" si="7"/>
        <v/>
      </c>
      <c r="T129" s="525" t="str">
        <f>IFERROR(IF(S129="Check Data ⚠","Check Data ⚠",VLOOKUP(S129,'G-4 Temporal multipliers'!$A$4:$C$37,3,FALSE)),"")</f>
        <v/>
      </c>
      <c r="U129" s="523" t="str">
        <f>IF(F129="","",VLOOKUP(F129,'G-3 Multipliers'!$A$2:$E$129,2,FALSE))</f>
        <v/>
      </c>
      <c r="V129" s="520" t="str">
        <f t="shared" si="9"/>
        <v/>
      </c>
      <c r="W129" s="520" t="str">
        <f>IF(E129="","",IF(AND(V129="Standard difficulty applied",O129&gt;P129),U129,IF(AND(V129="Low Difficulty - only applicable if all habitat created before losses ⚠",P129&gt;=O129),"Low",VLOOKUP(F129,'G-3 Multipliers'!$A$2:$E$129,4,FALSE))))</f>
        <v/>
      </c>
      <c r="X129" s="524" t="str">
        <f>IFERROR(IF(E129="","",VLOOKUP(W129, 'G-3 Multipliers'!$P$2:$Q$6,2,FALSE)),"")</f>
        <v/>
      </c>
      <c r="Y129" s="197"/>
      <c r="Z129" s="499" t="str">
        <f>IF(Y129="","",IF(VLOOKUP(Y129,'G-3 Multipliers'!$S$3:$T$9,2,FALSE)=0,"Spatial Data Missing ⚠",VLOOKUP(Y129,'G-3 Multipliers'!$S$3:$T$9,2,FALSE)))</f>
        <v/>
      </c>
      <c r="AA129" s="545" t="str">
        <f t="shared" si="8"/>
        <v/>
      </c>
      <c r="AB129" s="149"/>
      <c r="AC129" s="150"/>
    </row>
    <row r="130" spans="1:29" ht="14" x14ac:dyDescent="0.3">
      <c r="A130" s="31" t="str">
        <f>IFERROR(INDEX('G-8 Condition Look up'!$I$4:$I$130,MATCH(F130,'G-8 Condition Look up'!$A$4:$A$130,0)),"")</f>
        <v/>
      </c>
      <c r="C130" s="244" t="str">
        <f>IFERROR(INDEX('G-1 All Habitats'!$AG$3:$AG$15,MATCH(D130,'G-1 All Habitats'!$AF$3:$AF$15,0)),"")</f>
        <v/>
      </c>
      <c r="D130" s="154"/>
      <c r="E130" s="203"/>
      <c r="F130" s="243" t="str">
        <f>IFERROR(INDEX('G-1 All Habitats'!$B$3:$B$129,MATCH(E130,'G-1 All Habitats'!$A$3:$A$129,0)),"")</f>
        <v/>
      </c>
      <c r="G130" s="386"/>
      <c r="H130" s="537" t="str">
        <f>IF(F130="","",VLOOKUP(F130,'G-1 All Habitats'!$B$2:$M$129,10,FALSE))</f>
        <v/>
      </c>
      <c r="I130" s="524" t="str">
        <f>IFERROR(VLOOKUP(H130,'G-1 All Habitats'!$V$3:$W$7,2,FALSE),"")</f>
        <v/>
      </c>
      <c r="J130" s="199"/>
      <c r="K130" s="524" t="str">
        <f>IFERROR(INDEX('G-8 Condition Look up'!$A$3:$H$130,MATCH(F130,'G-8 Condition Look up'!$A$3:$A$130,0),MATCH(J130,'G-8 Condition Look up'!$A$3:$H$3,0)),"")</f>
        <v/>
      </c>
      <c r="L130" s="145"/>
      <c r="M130" s="540" t="str">
        <f>IF(L130="","",IF(VLOOKUP(L130,'G-3 Multipliers'!$L$3:$N$6,2,FALSE)=0,"Spatial Data Missing ⚠",VLOOKUP(L130,'G-3 Multipliers'!$L$3:$N$6,2,FALSE)))</f>
        <v/>
      </c>
      <c r="N130" s="499" t="str">
        <f>IF(L130="","",IF(VLOOKUP(L130,'G-3 Multipliers'!$L$3:$N$6,3,FALSE)=0,"Spatial Data Missing ⚠",VLOOKUP(L130,'G-3 Multipliers'!$L$3:$N$6,3,FALSE)))</f>
        <v/>
      </c>
      <c r="O130" s="498" t="str">
        <f t="shared" si="5"/>
        <v/>
      </c>
      <c r="P130" s="195"/>
      <c r="Q130" s="195"/>
      <c r="R130" s="520" t="str">
        <f t="shared" si="6"/>
        <v/>
      </c>
      <c r="S130" s="544" t="str">
        <f t="shared" si="7"/>
        <v/>
      </c>
      <c r="T130" s="525" t="str">
        <f>IFERROR(IF(S130="Check Data ⚠","Check Data ⚠",VLOOKUP(S130,'G-4 Temporal multipliers'!$A$4:$C$37,3,FALSE)),"")</f>
        <v/>
      </c>
      <c r="U130" s="523" t="str">
        <f>IF(F130="","",VLOOKUP(F130,'G-3 Multipliers'!$A$2:$E$129,2,FALSE))</f>
        <v/>
      </c>
      <c r="V130" s="520" t="str">
        <f t="shared" si="9"/>
        <v/>
      </c>
      <c r="W130" s="520" t="str">
        <f>IF(E130="","",IF(AND(V130="Standard difficulty applied",O130&gt;P130),U130,IF(AND(V130="Low Difficulty - only applicable if all habitat created before losses ⚠",P130&gt;=O130),"Low",VLOOKUP(F130,'G-3 Multipliers'!$A$2:$E$129,4,FALSE))))</f>
        <v/>
      </c>
      <c r="X130" s="524" t="str">
        <f>IFERROR(IF(E130="","",VLOOKUP(W130, 'G-3 Multipliers'!$P$2:$Q$6,2,FALSE)),"")</f>
        <v/>
      </c>
      <c r="Y130" s="197"/>
      <c r="Z130" s="499" t="str">
        <f>IF(Y130="","",IF(VLOOKUP(Y130,'G-3 Multipliers'!$S$3:$T$9,2,FALSE)=0,"Spatial Data Missing ⚠",VLOOKUP(Y130,'G-3 Multipliers'!$S$3:$T$9,2,FALSE)))</f>
        <v/>
      </c>
      <c r="AA130" s="545" t="str">
        <f t="shared" si="8"/>
        <v/>
      </c>
      <c r="AB130" s="149"/>
      <c r="AC130" s="150"/>
    </row>
    <row r="131" spans="1:29" ht="14" x14ac:dyDescent="0.3">
      <c r="A131" s="31" t="str">
        <f>IFERROR(INDEX('G-8 Condition Look up'!$I$4:$I$130,MATCH(F131,'G-8 Condition Look up'!$A$4:$A$130,0)),"")</f>
        <v/>
      </c>
      <c r="C131" s="244" t="str">
        <f>IFERROR(INDEX('G-1 All Habitats'!$AG$3:$AG$15,MATCH(D131,'G-1 All Habitats'!$AF$3:$AF$15,0)),"")</f>
        <v/>
      </c>
      <c r="D131" s="154"/>
      <c r="E131" s="203"/>
      <c r="F131" s="243" t="str">
        <f>IFERROR(INDEX('G-1 All Habitats'!$B$3:$B$129,MATCH(E131,'G-1 All Habitats'!$A$3:$A$129,0)),"")</f>
        <v/>
      </c>
      <c r="G131" s="386"/>
      <c r="H131" s="537" t="str">
        <f>IF(F131="","",VLOOKUP(F131,'G-1 All Habitats'!$B$2:$M$129,10,FALSE))</f>
        <v/>
      </c>
      <c r="I131" s="524" t="str">
        <f>IFERROR(VLOOKUP(H131,'G-1 All Habitats'!$V$3:$W$7,2,FALSE),"")</f>
        <v/>
      </c>
      <c r="J131" s="199"/>
      <c r="K131" s="524" t="str">
        <f>IFERROR(INDEX('G-8 Condition Look up'!$A$3:$H$130,MATCH(F131,'G-8 Condition Look up'!$A$3:$A$130,0),MATCH(J131,'G-8 Condition Look up'!$A$3:$H$3,0)),"")</f>
        <v/>
      </c>
      <c r="L131" s="145"/>
      <c r="M131" s="540" t="str">
        <f>IF(L131="","",IF(VLOOKUP(L131,'G-3 Multipliers'!$L$3:$N$6,2,FALSE)=0,"Spatial Data Missing ⚠",VLOOKUP(L131,'G-3 Multipliers'!$L$3:$N$6,2,FALSE)))</f>
        <v/>
      </c>
      <c r="N131" s="499" t="str">
        <f>IF(L131="","",IF(VLOOKUP(L131,'G-3 Multipliers'!$L$3:$N$6,3,FALSE)=0,"Spatial Data Missing ⚠",VLOOKUP(L131,'G-3 Multipliers'!$L$3:$N$6,3,FALSE)))</f>
        <v/>
      </c>
      <c r="O131" s="498" t="str">
        <f t="shared" si="5"/>
        <v/>
      </c>
      <c r="P131" s="195"/>
      <c r="Q131" s="195"/>
      <c r="R131" s="520" t="str">
        <f t="shared" si="6"/>
        <v/>
      </c>
      <c r="S131" s="544" t="str">
        <f t="shared" si="7"/>
        <v/>
      </c>
      <c r="T131" s="525" t="str">
        <f>IFERROR(IF(S131="Check Data ⚠","Check Data ⚠",VLOOKUP(S131,'G-4 Temporal multipliers'!$A$4:$C$37,3,FALSE)),"")</f>
        <v/>
      </c>
      <c r="U131" s="523" t="str">
        <f>IF(F131="","",VLOOKUP(F131,'G-3 Multipliers'!$A$2:$E$129,2,FALSE))</f>
        <v/>
      </c>
      <c r="V131" s="520" t="str">
        <f t="shared" si="9"/>
        <v/>
      </c>
      <c r="W131" s="520" t="str">
        <f>IF(E131="","",IF(AND(V131="Standard difficulty applied",O131&gt;P131),U131,IF(AND(V131="Low Difficulty - only applicable if all habitat created before losses ⚠",P131&gt;=O131),"Low",VLOOKUP(F131,'G-3 Multipliers'!$A$2:$E$129,4,FALSE))))</f>
        <v/>
      </c>
      <c r="X131" s="524" t="str">
        <f>IFERROR(IF(E131="","",VLOOKUP(W131, 'G-3 Multipliers'!$P$2:$Q$6,2,FALSE)),"")</f>
        <v/>
      </c>
      <c r="Y131" s="197"/>
      <c r="Z131" s="499" t="str">
        <f>IF(Y131="","",IF(VLOOKUP(Y131,'G-3 Multipliers'!$S$3:$T$9,2,FALSE)=0,"Spatial Data Missing ⚠",VLOOKUP(Y131,'G-3 Multipliers'!$S$3:$T$9,2,FALSE)))</f>
        <v/>
      </c>
      <c r="AA131" s="545" t="str">
        <f t="shared" si="8"/>
        <v/>
      </c>
      <c r="AB131" s="149"/>
      <c r="AC131" s="150"/>
    </row>
    <row r="132" spans="1:29" ht="14" x14ac:dyDescent="0.3">
      <c r="A132" s="31" t="str">
        <f>IFERROR(INDEX('G-8 Condition Look up'!$I$4:$I$130,MATCH(F132,'G-8 Condition Look up'!$A$4:$A$130,0)),"")</f>
        <v/>
      </c>
      <c r="C132" s="244" t="str">
        <f>IFERROR(INDEX('G-1 All Habitats'!$AG$3:$AG$15,MATCH(D132,'G-1 All Habitats'!$AF$3:$AF$15,0)),"")</f>
        <v/>
      </c>
      <c r="D132" s="154"/>
      <c r="E132" s="203"/>
      <c r="F132" s="243" t="str">
        <f>IFERROR(INDEX('G-1 All Habitats'!$B$3:$B$129,MATCH(E132,'G-1 All Habitats'!$A$3:$A$129,0)),"")</f>
        <v/>
      </c>
      <c r="G132" s="386"/>
      <c r="H132" s="537" t="str">
        <f>IF(F132="","",VLOOKUP(F132,'G-1 All Habitats'!$B$2:$M$129,10,FALSE))</f>
        <v/>
      </c>
      <c r="I132" s="524" t="str">
        <f>IFERROR(VLOOKUP(H132,'G-1 All Habitats'!$V$3:$W$7,2,FALSE),"")</f>
        <v/>
      </c>
      <c r="J132" s="199"/>
      <c r="K132" s="524" t="str">
        <f>IFERROR(INDEX('G-8 Condition Look up'!$A$3:$H$130,MATCH(F132,'G-8 Condition Look up'!$A$3:$A$130,0),MATCH(J132,'G-8 Condition Look up'!$A$3:$H$3,0)),"")</f>
        <v/>
      </c>
      <c r="L132" s="145"/>
      <c r="M132" s="540" t="str">
        <f>IF(L132="","",IF(VLOOKUP(L132,'G-3 Multipliers'!$L$3:$N$6,2,FALSE)=0,"Spatial Data Missing ⚠",VLOOKUP(L132,'G-3 Multipliers'!$L$3:$N$6,2,FALSE)))</f>
        <v/>
      </c>
      <c r="N132" s="499" t="str">
        <f>IF(L132="","",IF(VLOOKUP(L132,'G-3 Multipliers'!$L$3:$N$6,3,FALSE)=0,"Spatial Data Missing ⚠",VLOOKUP(L132,'G-3 Multipliers'!$L$3:$N$6,3,FALSE)))</f>
        <v/>
      </c>
      <c r="O132" s="498" t="str">
        <f t="shared" si="5"/>
        <v/>
      </c>
      <c r="P132" s="195"/>
      <c r="Q132" s="195"/>
      <c r="R132" s="520" t="str">
        <f t="shared" si="6"/>
        <v/>
      </c>
      <c r="S132" s="544" t="str">
        <f t="shared" si="7"/>
        <v/>
      </c>
      <c r="T132" s="525" t="str">
        <f>IFERROR(IF(S132="Check Data ⚠","Check Data ⚠",VLOOKUP(S132,'G-4 Temporal multipliers'!$A$4:$C$37,3,FALSE)),"")</f>
        <v/>
      </c>
      <c r="U132" s="523" t="str">
        <f>IF(F132="","",VLOOKUP(F132,'G-3 Multipliers'!$A$2:$E$129,2,FALSE))</f>
        <v/>
      </c>
      <c r="V132" s="520" t="str">
        <f t="shared" si="9"/>
        <v/>
      </c>
      <c r="W132" s="520" t="str">
        <f>IF(E132="","",IF(AND(V132="Standard difficulty applied",O132&gt;P132),U132,IF(AND(V132="Low Difficulty - only applicable if all habitat created before losses ⚠",P132&gt;=O132),"Low",VLOOKUP(F132,'G-3 Multipliers'!$A$2:$E$129,4,FALSE))))</f>
        <v/>
      </c>
      <c r="X132" s="524" t="str">
        <f>IFERROR(IF(E132="","",VLOOKUP(W132, 'G-3 Multipliers'!$P$2:$Q$6,2,FALSE)),"")</f>
        <v/>
      </c>
      <c r="Y132" s="197"/>
      <c r="Z132" s="499" t="str">
        <f>IF(Y132="","",IF(VLOOKUP(Y132,'G-3 Multipliers'!$S$3:$T$9,2,FALSE)=0,"Spatial Data Missing ⚠",VLOOKUP(Y132,'G-3 Multipliers'!$S$3:$T$9,2,FALSE)))</f>
        <v/>
      </c>
      <c r="AA132" s="545" t="str">
        <f t="shared" si="8"/>
        <v/>
      </c>
      <c r="AB132" s="149"/>
      <c r="AC132" s="150"/>
    </row>
    <row r="133" spans="1:29" ht="14" x14ac:dyDescent="0.3">
      <c r="A133" s="31" t="str">
        <f>IFERROR(INDEX('G-8 Condition Look up'!$I$4:$I$130,MATCH(F133,'G-8 Condition Look up'!$A$4:$A$130,0)),"")</f>
        <v/>
      </c>
      <c r="C133" s="244" t="str">
        <f>IFERROR(INDEX('G-1 All Habitats'!$AG$3:$AG$15,MATCH(D133,'G-1 All Habitats'!$AF$3:$AF$15,0)),"")</f>
        <v/>
      </c>
      <c r="D133" s="154"/>
      <c r="E133" s="203"/>
      <c r="F133" s="243" t="str">
        <f>IFERROR(INDEX('G-1 All Habitats'!$B$3:$B$129,MATCH(E133,'G-1 All Habitats'!$A$3:$A$129,0)),"")</f>
        <v/>
      </c>
      <c r="G133" s="386"/>
      <c r="H133" s="537" t="str">
        <f>IF(F133="","",VLOOKUP(F133,'G-1 All Habitats'!$B$2:$M$129,10,FALSE))</f>
        <v/>
      </c>
      <c r="I133" s="524" t="str">
        <f>IFERROR(VLOOKUP(H133,'G-1 All Habitats'!$V$3:$W$7,2,FALSE),"")</f>
        <v/>
      </c>
      <c r="J133" s="199"/>
      <c r="K133" s="524" t="str">
        <f>IFERROR(INDEX('G-8 Condition Look up'!$A$3:$H$130,MATCH(F133,'G-8 Condition Look up'!$A$3:$A$130,0),MATCH(J133,'G-8 Condition Look up'!$A$3:$H$3,0)),"")</f>
        <v/>
      </c>
      <c r="L133" s="145"/>
      <c r="M133" s="540" t="str">
        <f>IF(L133="","",IF(VLOOKUP(L133,'G-3 Multipliers'!$L$3:$N$6,2,FALSE)=0,"Spatial Data Missing ⚠",VLOOKUP(L133,'G-3 Multipliers'!$L$3:$N$6,2,FALSE)))</f>
        <v/>
      </c>
      <c r="N133" s="499" t="str">
        <f>IF(L133="","",IF(VLOOKUP(L133,'G-3 Multipliers'!$L$3:$N$6,3,FALSE)=0,"Spatial Data Missing ⚠",VLOOKUP(L133,'G-3 Multipliers'!$L$3:$N$6,3,FALSE)))</f>
        <v/>
      </c>
      <c r="O133" s="498" t="str">
        <f t="shared" si="5"/>
        <v/>
      </c>
      <c r="P133" s="195"/>
      <c r="Q133" s="195"/>
      <c r="R133" s="520" t="str">
        <f t="shared" si="6"/>
        <v/>
      </c>
      <c r="S133" s="544" t="str">
        <f t="shared" si="7"/>
        <v/>
      </c>
      <c r="T133" s="525" t="str">
        <f>IFERROR(IF(S133="Check Data ⚠","Check Data ⚠",VLOOKUP(S133,'G-4 Temporal multipliers'!$A$4:$C$37,3,FALSE)),"")</f>
        <v/>
      </c>
      <c r="U133" s="523" t="str">
        <f>IF(F133="","",VLOOKUP(F133,'G-3 Multipliers'!$A$2:$E$129,2,FALSE))</f>
        <v/>
      </c>
      <c r="V133" s="520" t="str">
        <f t="shared" si="9"/>
        <v/>
      </c>
      <c r="W133" s="520" t="str">
        <f>IF(E133="","",IF(AND(V133="Standard difficulty applied",O133&gt;P133),U133,IF(AND(V133="Low Difficulty - only applicable if all habitat created before losses ⚠",P133&gt;=O133),"Low",VLOOKUP(F133,'G-3 Multipliers'!$A$2:$E$129,4,FALSE))))</f>
        <v/>
      </c>
      <c r="X133" s="524" t="str">
        <f>IFERROR(IF(E133="","",VLOOKUP(W133, 'G-3 Multipliers'!$P$2:$Q$6,2,FALSE)),"")</f>
        <v/>
      </c>
      <c r="Y133" s="197"/>
      <c r="Z133" s="499" t="str">
        <f>IF(Y133="","",IF(VLOOKUP(Y133,'G-3 Multipliers'!$S$3:$T$9,2,FALSE)=0,"Spatial Data Missing ⚠",VLOOKUP(Y133,'G-3 Multipliers'!$S$3:$T$9,2,FALSE)))</f>
        <v/>
      </c>
      <c r="AA133" s="545" t="str">
        <f t="shared" si="8"/>
        <v/>
      </c>
      <c r="AB133" s="149"/>
      <c r="AC133" s="150"/>
    </row>
    <row r="134" spans="1:29" ht="14" x14ac:dyDescent="0.3">
      <c r="A134" s="31" t="str">
        <f>IFERROR(INDEX('G-8 Condition Look up'!$I$4:$I$130,MATCH(F134,'G-8 Condition Look up'!$A$4:$A$130,0)),"")</f>
        <v/>
      </c>
      <c r="C134" s="244" t="str">
        <f>IFERROR(INDEX('G-1 All Habitats'!$AG$3:$AG$15,MATCH(D134,'G-1 All Habitats'!$AF$3:$AF$15,0)),"")</f>
        <v/>
      </c>
      <c r="D134" s="154"/>
      <c r="E134" s="203"/>
      <c r="F134" s="243" t="str">
        <f>IFERROR(INDEX('G-1 All Habitats'!$B$3:$B$129,MATCH(E134,'G-1 All Habitats'!$A$3:$A$129,0)),"")</f>
        <v/>
      </c>
      <c r="G134" s="386"/>
      <c r="H134" s="537" t="str">
        <f>IF(F134="","",VLOOKUP(F134,'G-1 All Habitats'!$B$2:$M$129,10,FALSE))</f>
        <v/>
      </c>
      <c r="I134" s="524" t="str">
        <f>IFERROR(VLOOKUP(H134,'G-1 All Habitats'!$V$3:$W$7,2,FALSE),"")</f>
        <v/>
      </c>
      <c r="J134" s="199"/>
      <c r="K134" s="524" t="str">
        <f>IFERROR(INDEX('G-8 Condition Look up'!$A$3:$H$130,MATCH(F134,'G-8 Condition Look up'!$A$3:$A$130,0),MATCH(J134,'G-8 Condition Look up'!$A$3:$H$3,0)),"")</f>
        <v/>
      </c>
      <c r="L134" s="145"/>
      <c r="M134" s="540" t="str">
        <f>IF(L134="","",IF(VLOOKUP(L134,'G-3 Multipliers'!$L$3:$N$6,2,FALSE)=0,"Spatial Data Missing ⚠",VLOOKUP(L134,'G-3 Multipliers'!$L$3:$N$6,2,FALSE)))</f>
        <v/>
      </c>
      <c r="N134" s="499" t="str">
        <f>IF(L134="","",IF(VLOOKUP(L134,'G-3 Multipliers'!$L$3:$N$6,3,FALSE)=0,"Spatial Data Missing ⚠",VLOOKUP(L134,'G-3 Multipliers'!$L$3:$N$6,3,FALSE)))</f>
        <v/>
      </c>
      <c r="O134" s="498" t="str">
        <f t="shared" si="5"/>
        <v/>
      </c>
      <c r="P134" s="195"/>
      <c r="Q134" s="195"/>
      <c r="R134" s="520" t="str">
        <f t="shared" si="6"/>
        <v/>
      </c>
      <c r="S134" s="544" t="str">
        <f t="shared" si="7"/>
        <v/>
      </c>
      <c r="T134" s="525" t="str">
        <f>IFERROR(IF(S134="Check Data ⚠","Check Data ⚠",VLOOKUP(S134,'G-4 Temporal multipliers'!$A$4:$C$37,3,FALSE)),"")</f>
        <v/>
      </c>
      <c r="U134" s="523" t="str">
        <f>IF(F134="","",VLOOKUP(F134,'G-3 Multipliers'!$A$2:$E$129,2,FALSE))</f>
        <v/>
      </c>
      <c r="V134" s="520" t="str">
        <f t="shared" si="9"/>
        <v/>
      </c>
      <c r="W134" s="520" t="str">
        <f>IF(E134="","",IF(AND(V134="Standard difficulty applied",O134&gt;P134),U134,IF(AND(V134="Low Difficulty - only applicable if all habitat created before losses ⚠",P134&gt;=O134),"Low",VLOOKUP(F134,'G-3 Multipliers'!$A$2:$E$129,4,FALSE))))</f>
        <v/>
      </c>
      <c r="X134" s="524" t="str">
        <f>IFERROR(IF(E134="","",VLOOKUP(W134, 'G-3 Multipliers'!$P$2:$Q$6,2,FALSE)),"")</f>
        <v/>
      </c>
      <c r="Y134" s="197"/>
      <c r="Z134" s="499" t="str">
        <f>IF(Y134="","",IF(VLOOKUP(Y134,'G-3 Multipliers'!$S$3:$T$9,2,FALSE)=0,"Spatial Data Missing ⚠",VLOOKUP(Y134,'G-3 Multipliers'!$S$3:$T$9,2,FALSE)))</f>
        <v/>
      </c>
      <c r="AA134" s="545" t="str">
        <f t="shared" si="8"/>
        <v/>
      </c>
      <c r="AB134" s="149"/>
      <c r="AC134" s="150"/>
    </row>
    <row r="135" spans="1:29" ht="14" x14ac:dyDescent="0.3">
      <c r="A135" s="31" t="str">
        <f>IFERROR(INDEX('G-8 Condition Look up'!$I$4:$I$130,MATCH(F135,'G-8 Condition Look up'!$A$4:$A$130,0)),"")</f>
        <v/>
      </c>
      <c r="C135" s="244" t="str">
        <f>IFERROR(INDEX('G-1 All Habitats'!$AG$3:$AG$15,MATCH(D135,'G-1 All Habitats'!$AF$3:$AF$15,0)),"")</f>
        <v/>
      </c>
      <c r="D135" s="154"/>
      <c r="E135" s="203"/>
      <c r="F135" s="243" t="str">
        <f>IFERROR(INDEX('G-1 All Habitats'!$B$3:$B$129,MATCH(E135,'G-1 All Habitats'!$A$3:$A$129,0)),"")</f>
        <v/>
      </c>
      <c r="G135" s="386"/>
      <c r="H135" s="537" t="str">
        <f>IF(F135="","",VLOOKUP(F135,'G-1 All Habitats'!$B$2:$M$129,10,FALSE))</f>
        <v/>
      </c>
      <c r="I135" s="524" t="str">
        <f>IFERROR(VLOOKUP(H135,'G-1 All Habitats'!$V$3:$W$7,2,FALSE),"")</f>
        <v/>
      </c>
      <c r="J135" s="199"/>
      <c r="K135" s="524" t="str">
        <f>IFERROR(INDEX('G-8 Condition Look up'!$A$3:$H$130,MATCH(F135,'G-8 Condition Look up'!$A$3:$A$130,0),MATCH(J135,'G-8 Condition Look up'!$A$3:$H$3,0)),"")</f>
        <v/>
      </c>
      <c r="L135" s="145"/>
      <c r="M135" s="540" t="str">
        <f>IF(L135="","",IF(VLOOKUP(L135,'G-3 Multipliers'!$L$3:$N$6,2,FALSE)=0,"Spatial Data Missing ⚠",VLOOKUP(L135,'G-3 Multipliers'!$L$3:$N$6,2,FALSE)))</f>
        <v/>
      </c>
      <c r="N135" s="499" t="str">
        <f>IF(L135="","",IF(VLOOKUP(L135,'G-3 Multipliers'!$L$3:$N$6,3,FALSE)=0,"Spatial Data Missing ⚠",VLOOKUP(L135,'G-3 Multipliers'!$L$3:$N$6,3,FALSE)))</f>
        <v/>
      </c>
      <c r="O135" s="498" t="str">
        <f t="shared" si="5"/>
        <v/>
      </c>
      <c r="P135" s="195"/>
      <c r="Q135" s="195"/>
      <c r="R135" s="520" t="str">
        <f t="shared" si="6"/>
        <v/>
      </c>
      <c r="S135" s="544" t="str">
        <f t="shared" si="7"/>
        <v/>
      </c>
      <c r="T135" s="525" t="str">
        <f>IFERROR(IF(S135="Check Data ⚠","Check Data ⚠",VLOOKUP(S135,'G-4 Temporal multipliers'!$A$4:$C$37,3,FALSE)),"")</f>
        <v/>
      </c>
      <c r="U135" s="523" t="str">
        <f>IF(F135="","",VLOOKUP(F135,'G-3 Multipliers'!$A$2:$E$129,2,FALSE))</f>
        <v/>
      </c>
      <c r="V135" s="520" t="str">
        <f t="shared" si="9"/>
        <v/>
      </c>
      <c r="W135" s="520" t="str">
        <f>IF(E135="","",IF(AND(V135="Standard difficulty applied",O135&gt;P135),U135,IF(AND(V135="Low Difficulty - only applicable if all habitat created before losses ⚠",P135&gt;=O135),"Low",VLOOKUP(F135,'G-3 Multipliers'!$A$2:$E$129,4,FALSE))))</f>
        <v/>
      </c>
      <c r="X135" s="524" t="str">
        <f>IFERROR(IF(E135="","",VLOOKUP(W135, 'G-3 Multipliers'!$P$2:$Q$6,2,FALSE)),"")</f>
        <v/>
      </c>
      <c r="Y135" s="197"/>
      <c r="Z135" s="499" t="str">
        <f>IF(Y135="","",IF(VLOOKUP(Y135,'G-3 Multipliers'!$S$3:$T$9,2,FALSE)=0,"Spatial Data Missing ⚠",VLOOKUP(Y135,'G-3 Multipliers'!$S$3:$T$9,2,FALSE)))</f>
        <v/>
      </c>
      <c r="AA135" s="545" t="str">
        <f t="shared" si="8"/>
        <v/>
      </c>
      <c r="AB135" s="149"/>
      <c r="AC135" s="150"/>
    </row>
    <row r="136" spans="1:29" ht="14" x14ac:dyDescent="0.3">
      <c r="A136" s="31" t="str">
        <f>IFERROR(INDEX('G-8 Condition Look up'!$I$4:$I$130,MATCH(F136,'G-8 Condition Look up'!$A$4:$A$130,0)),"")</f>
        <v/>
      </c>
      <c r="C136" s="244" t="str">
        <f>IFERROR(INDEX('G-1 All Habitats'!$AG$3:$AG$15,MATCH(D136,'G-1 All Habitats'!$AF$3:$AF$15,0)),"")</f>
        <v/>
      </c>
      <c r="D136" s="154"/>
      <c r="E136" s="203"/>
      <c r="F136" s="243" t="str">
        <f>IFERROR(INDEX('G-1 All Habitats'!$B$3:$B$129,MATCH(E136,'G-1 All Habitats'!$A$3:$A$129,0)),"")</f>
        <v/>
      </c>
      <c r="G136" s="386"/>
      <c r="H136" s="537" t="str">
        <f>IF(F136="","",VLOOKUP(F136,'G-1 All Habitats'!$B$2:$M$129,10,FALSE))</f>
        <v/>
      </c>
      <c r="I136" s="524" t="str">
        <f>IFERROR(VLOOKUP(H136,'G-1 All Habitats'!$V$3:$W$7,2,FALSE),"")</f>
        <v/>
      </c>
      <c r="J136" s="199"/>
      <c r="K136" s="524" t="str">
        <f>IFERROR(INDEX('G-8 Condition Look up'!$A$3:$H$130,MATCH(F136,'G-8 Condition Look up'!$A$3:$A$130,0),MATCH(J136,'G-8 Condition Look up'!$A$3:$H$3,0)),"")</f>
        <v/>
      </c>
      <c r="L136" s="145"/>
      <c r="M136" s="540" t="str">
        <f>IF(L136="","",IF(VLOOKUP(L136,'G-3 Multipliers'!$L$3:$N$6,2,FALSE)=0,"Spatial Data Missing ⚠",VLOOKUP(L136,'G-3 Multipliers'!$L$3:$N$6,2,FALSE)))</f>
        <v/>
      </c>
      <c r="N136" s="499" t="str">
        <f>IF(L136="","",IF(VLOOKUP(L136,'G-3 Multipliers'!$L$3:$N$6,3,FALSE)=0,"Spatial Data Missing ⚠",VLOOKUP(L136,'G-3 Multipliers'!$L$3:$N$6,3,FALSE)))</f>
        <v/>
      </c>
      <c r="O136" s="498" t="str">
        <f t="shared" si="5"/>
        <v/>
      </c>
      <c r="P136" s="195"/>
      <c r="Q136" s="195"/>
      <c r="R136" s="520" t="str">
        <f t="shared" si="6"/>
        <v/>
      </c>
      <c r="S136" s="544" t="str">
        <f t="shared" si="7"/>
        <v/>
      </c>
      <c r="T136" s="525" t="str">
        <f>IFERROR(IF(S136="Check Data ⚠","Check Data ⚠",VLOOKUP(S136,'G-4 Temporal multipliers'!$A$4:$C$37,3,FALSE)),"")</f>
        <v/>
      </c>
      <c r="U136" s="523" t="str">
        <f>IF(F136="","",VLOOKUP(F136,'G-3 Multipliers'!$A$2:$E$129,2,FALSE))</f>
        <v/>
      </c>
      <c r="V136" s="520" t="str">
        <f t="shared" si="9"/>
        <v/>
      </c>
      <c r="W136" s="520" t="str">
        <f>IF(E136="","",IF(AND(V136="Standard difficulty applied",O136&gt;P136),U136,IF(AND(V136="Low Difficulty - only applicable if all habitat created before losses ⚠",P136&gt;=O136),"Low",VLOOKUP(F136,'G-3 Multipliers'!$A$2:$E$129,4,FALSE))))</f>
        <v/>
      </c>
      <c r="X136" s="524" t="str">
        <f>IFERROR(IF(E136="","",VLOOKUP(W136, 'G-3 Multipliers'!$P$2:$Q$6,2,FALSE)),"")</f>
        <v/>
      </c>
      <c r="Y136" s="197"/>
      <c r="Z136" s="499" t="str">
        <f>IF(Y136="","",IF(VLOOKUP(Y136,'G-3 Multipliers'!$S$3:$T$9,2,FALSE)=0,"Spatial Data Missing ⚠",VLOOKUP(Y136,'G-3 Multipliers'!$S$3:$T$9,2,FALSE)))</f>
        <v/>
      </c>
      <c r="AA136" s="545" t="str">
        <f t="shared" si="8"/>
        <v/>
      </c>
      <c r="AB136" s="149"/>
      <c r="AC136" s="150"/>
    </row>
    <row r="137" spans="1:29" ht="14" x14ac:dyDescent="0.3">
      <c r="A137" s="31" t="str">
        <f>IFERROR(INDEX('G-8 Condition Look up'!$I$4:$I$130,MATCH(F137,'G-8 Condition Look up'!$A$4:$A$130,0)),"")</f>
        <v/>
      </c>
      <c r="C137" s="244" t="str">
        <f>IFERROR(INDEX('G-1 All Habitats'!$AG$3:$AG$15,MATCH(D137,'G-1 All Habitats'!$AF$3:$AF$15,0)),"")</f>
        <v/>
      </c>
      <c r="D137" s="154"/>
      <c r="E137" s="203"/>
      <c r="F137" s="243" t="str">
        <f>IFERROR(INDEX('G-1 All Habitats'!$B$3:$B$129,MATCH(E137,'G-1 All Habitats'!$A$3:$A$129,0)),"")</f>
        <v/>
      </c>
      <c r="G137" s="386"/>
      <c r="H137" s="537" t="str">
        <f>IF(F137="","",VLOOKUP(F137,'G-1 All Habitats'!$B$2:$M$129,10,FALSE))</f>
        <v/>
      </c>
      <c r="I137" s="524" t="str">
        <f>IFERROR(VLOOKUP(H137,'G-1 All Habitats'!$V$3:$W$7,2,FALSE),"")</f>
        <v/>
      </c>
      <c r="J137" s="199"/>
      <c r="K137" s="524" t="str">
        <f>IFERROR(INDEX('G-8 Condition Look up'!$A$3:$H$130,MATCH(F137,'G-8 Condition Look up'!$A$3:$A$130,0),MATCH(J137,'G-8 Condition Look up'!$A$3:$H$3,0)),"")</f>
        <v/>
      </c>
      <c r="L137" s="145"/>
      <c r="M137" s="540" t="str">
        <f>IF(L137="","",IF(VLOOKUP(L137,'G-3 Multipliers'!$L$3:$N$6,2,FALSE)=0,"Spatial Data Missing ⚠",VLOOKUP(L137,'G-3 Multipliers'!$L$3:$N$6,2,FALSE)))</f>
        <v/>
      </c>
      <c r="N137" s="499" t="str">
        <f>IF(L137="","",IF(VLOOKUP(L137,'G-3 Multipliers'!$L$3:$N$6,3,FALSE)=0,"Spatial Data Missing ⚠",VLOOKUP(L137,'G-3 Multipliers'!$L$3:$N$6,3,FALSE)))</f>
        <v/>
      </c>
      <c r="O137" s="498" t="str">
        <f t="shared" si="5"/>
        <v/>
      </c>
      <c r="P137" s="195"/>
      <c r="Q137" s="195"/>
      <c r="R137" s="520" t="str">
        <f t="shared" si="6"/>
        <v/>
      </c>
      <c r="S137" s="544" t="str">
        <f t="shared" si="7"/>
        <v/>
      </c>
      <c r="T137" s="525" t="str">
        <f>IFERROR(IF(S137="Check Data ⚠","Check Data ⚠",VLOOKUP(S137,'G-4 Temporal multipliers'!$A$4:$C$37,3,FALSE)),"")</f>
        <v/>
      </c>
      <c r="U137" s="523" t="str">
        <f>IF(F137="","",VLOOKUP(F137,'G-3 Multipliers'!$A$2:$E$129,2,FALSE))</f>
        <v/>
      </c>
      <c r="V137" s="520" t="str">
        <f t="shared" si="9"/>
        <v/>
      </c>
      <c r="W137" s="520" t="str">
        <f>IF(E137="","",IF(AND(V137="Standard difficulty applied",O137&gt;P137),U137,IF(AND(V137="Low Difficulty - only applicable if all habitat created before losses ⚠",P137&gt;=O137),"Low",VLOOKUP(F137,'G-3 Multipliers'!$A$2:$E$129,4,FALSE))))</f>
        <v/>
      </c>
      <c r="X137" s="524" t="str">
        <f>IFERROR(IF(E137="","",VLOOKUP(W137, 'G-3 Multipliers'!$P$2:$Q$6,2,FALSE)),"")</f>
        <v/>
      </c>
      <c r="Y137" s="197"/>
      <c r="Z137" s="499" t="str">
        <f>IF(Y137="","",IF(VLOOKUP(Y137,'G-3 Multipliers'!$S$3:$T$9,2,FALSE)=0,"Spatial Data Missing ⚠",VLOOKUP(Y137,'G-3 Multipliers'!$S$3:$T$9,2,FALSE)))</f>
        <v/>
      </c>
      <c r="AA137" s="545" t="str">
        <f t="shared" si="8"/>
        <v/>
      </c>
      <c r="AB137" s="149"/>
      <c r="AC137" s="150"/>
    </row>
    <row r="138" spans="1:29" ht="14" x14ac:dyDescent="0.3">
      <c r="A138" s="31" t="str">
        <f>IFERROR(INDEX('G-8 Condition Look up'!$I$4:$I$130,MATCH(F138,'G-8 Condition Look up'!$A$4:$A$130,0)),"")</f>
        <v/>
      </c>
      <c r="C138" s="244" t="str">
        <f>IFERROR(INDEX('G-1 All Habitats'!$AG$3:$AG$15,MATCH(D138,'G-1 All Habitats'!$AF$3:$AF$15,0)),"")</f>
        <v/>
      </c>
      <c r="D138" s="154"/>
      <c r="E138" s="203"/>
      <c r="F138" s="243" t="str">
        <f>IFERROR(INDEX('G-1 All Habitats'!$B$3:$B$129,MATCH(E138,'G-1 All Habitats'!$A$3:$A$129,0)),"")</f>
        <v/>
      </c>
      <c r="G138" s="386"/>
      <c r="H138" s="537" t="str">
        <f>IF(F138="","",VLOOKUP(F138,'G-1 All Habitats'!$B$2:$M$129,10,FALSE))</f>
        <v/>
      </c>
      <c r="I138" s="524" t="str">
        <f>IFERROR(VLOOKUP(H138,'G-1 All Habitats'!$V$3:$W$7,2,FALSE),"")</f>
        <v/>
      </c>
      <c r="J138" s="199"/>
      <c r="K138" s="524" t="str">
        <f>IFERROR(INDEX('G-8 Condition Look up'!$A$3:$H$130,MATCH(F138,'G-8 Condition Look up'!$A$3:$A$130,0),MATCH(J138,'G-8 Condition Look up'!$A$3:$H$3,0)),"")</f>
        <v/>
      </c>
      <c r="L138" s="145"/>
      <c r="M138" s="540" t="str">
        <f>IF(L138="","",IF(VLOOKUP(L138,'G-3 Multipliers'!$L$3:$N$6,2,FALSE)=0,"Spatial Data Missing ⚠",VLOOKUP(L138,'G-3 Multipliers'!$L$3:$N$6,2,FALSE)))</f>
        <v/>
      </c>
      <c r="N138" s="499" t="str">
        <f>IF(L138="","",IF(VLOOKUP(L138,'G-3 Multipliers'!$L$3:$N$6,3,FALSE)=0,"Spatial Data Missing ⚠",VLOOKUP(L138,'G-3 Multipliers'!$L$3:$N$6,3,FALSE)))</f>
        <v/>
      </c>
      <c r="O138" s="498" t="str">
        <f t="shared" si="5"/>
        <v/>
      </c>
      <c r="P138" s="195"/>
      <c r="Q138" s="195"/>
      <c r="R138" s="520" t="str">
        <f t="shared" si="6"/>
        <v/>
      </c>
      <c r="S138" s="544" t="str">
        <f t="shared" si="7"/>
        <v/>
      </c>
      <c r="T138" s="525" t="str">
        <f>IFERROR(IF(S138="Check Data ⚠","Check Data ⚠",VLOOKUP(S138,'G-4 Temporal multipliers'!$A$4:$C$37,3,FALSE)),"")</f>
        <v/>
      </c>
      <c r="U138" s="523" t="str">
        <f>IF(F138="","",VLOOKUP(F138,'G-3 Multipliers'!$A$2:$E$129,2,FALSE))</f>
        <v/>
      </c>
      <c r="V138" s="520" t="str">
        <f t="shared" si="9"/>
        <v/>
      </c>
      <c r="W138" s="520" t="str">
        <f>IF(E138="","",IF(AND(V138="Standard difficulty applied",O138&gt;P138),U138,IF(AND(V138="Low Difficulty - only applicable if all habitat created before losses ⚠",P138&gt;=O138),"Low",VLOOKUP(F138,'G-3 Multipliers'!$A$2:$E$129,4,FALSE))))</f>
        <v/>
      </c>
      <c r="X138" s="524" t="str">
        <f>IFERROR(IF(E138="","",VLOOKUP(W138, 'G-3 Multipliers'!$P$2:$Q$6,2,FALSE)),"")</f>
        <v/>
      </c>
      <c r="Y138" s="197"/>
      <c r="Z138" s="499" t="str">
        <f>IF(Y138="","",IF(VLOOKUP(Y138,'G-3 Multipliers'!$S$3:$T$9,2,FALSE)=0,"Spatial Data Missing ⚠",VLOOKUP(Y138,'G-3 Multipliers'!$S$3:$T$9,2,FALSE)))</f>
        <v/>
      </c>
      <c r="AA138" s="545" t="str">
        <f t="shared" si="8"/>
        <v/>
      </c>
      <c r="AB138" s="149"/>
      <c r="AC138" s="150"/>
    </row>
    <row r="139" spans="1:29" ht="14" x14ac:dyDescent="0.3">
      <c r="A139" s="31" t="str">
        <f>IFERROR(INDEX('G-8 Condition Look up'!$I$4:$I$130,MATCH(F139,'G-8 Condition Look up'!$A$4:$A$130,0)),"")</f>
        <v/>
      </c>
      <c r="C139" s="244" t="str">
        <f>IFERROR(INDEX('G-1 All Habitats'!$AG$3:$AG$15,MATCH(D139,'G-1 All Habitats'!$AF$3:$AF$15,0)),"")</f>
        <v/>
      </c>
      <c r="D139" s="154"/>
      <c r="E139" s="203"/>
      <c r="F139" s="243" t="str">
        <f>IFERROR(INDEX('G-1 All Habitats'!$B$3:$B$129,MATCH(E139,'G-1 All Habitats'!$A$3:$A$129,0)),"")</f>
        <v/>
      </c>
      <c r="G139" s="386"/>
      <c r="H139" s="537" t="str">
        <f>IF(F139="","",VLOOKUP(F139,'G-1 All Habitats'!$B$2:$M$129,10,FALSE))</f>
        <v/>
      </c>
      <c r="I139" s="524" t="str">
        <f>IFERROR(VLOOKUP(H139,'G-1 All Habitats'!$V$3:$W$7,2,FALSE),"")</f>
        <v/>
      </c>
      <c r="J139" s="199"/>
      <c r="K139" s="524" t="str">
        <f>IFERROR(INDEX('G-8 Condition Look up'!$A$3:$H$130,MATCH(F139,'G-8 Condition Look up'!$A$3:$A$130,0),MATCH(J139,'G-8 Condition Look up'!$A$3:$H$3,0)),"")</f>
        <v/>
      </c>
      <c r="L139" s="145"/>
      <c r="M139" s="540" t="str">
        <f>IF(L139="","",IF(VLOOKUP(L139,'G-3 Multipliers'!$L$3:$N$6,2,FALSE)=0,"Spatial Data Missing ⚠",VLOOKUP(L139,'G-3 Multipliers'!$L$3:$N$6,2,FALSE)))</f>
        <v/>
      </c>
      <c r="N139" s="499" t="str">
        <f>IF(L139="","",IF(VLOOKUP(L139,'G-3 Multipliers'!$L$3:$N$6,3,FALSE)=0,"Spatial Data Missing ⚠",VLOOKUP(L139,'G-3 Multipliers'!$L$3:$N$6,3,FALSE)))</f>
        <v/>
      </c>
      <c r="O139" s="498" t="str">
        <f t="shared" ref="O139:O202" si="10">IFERROR(INDEX(TemporalData,MATCH(F139,TemporalHabitats,0),MATCH(J139,TemporalConditions,0)),"")</f>
        <v/>
      </c>
      <c r="P139" s="195"/>
      <c r="Q139" s="195"/>
      <c r="R139" s="520" t="str">
        <f t="shared" si="6"/>
        <v/>
      </c>
      <c r="S139" s="544" t="str">
        <f t="shared" si="7"/>
        <v/>
      </c>
      <c r="T139" s="525" t="str">
        <f>IFERROR(IF(S139="Check Data ⚠","Check Data ⚠",VLOOKUP(S139,'G-4 Temporal multipliers'!$A$4:$C$37,3,FALSE)),"")</f>
        <v/>
      </c>
      <c r="U139" s="523" t="str">
        <f>IF(F139="","",VLOOKUP(F139,'G-3 Multipliers'!$A$2:$E$129,2,FALSE))</f>
        <v/>
      </c>
      <c r="V139" s="520" t="str">
        <f t="shared" si="9"/>
        <v/>
      </c>
      <c r="W139" s="520" t="str">
        <f>IF(E139="","",IF(AND(V139="Standard difficulty applied",O139&gt;P139),U139,IF(AND(V139="Low Difficulty - only applicable if all habitat created before losses ⚠",P139&gt;=O139),"Low",VLOOKUP(F139,'G-3 Multipliers'!$A$2:$E$129,4,FALSE))))</f>
        <v/>
      </c>
      <c r="X139" s="524" t="str">
        <f>IFERROR(IF(E139="","",VLOOKUP(W139, 'G-3 Multipliers'!$P$2:$Q$6,2,FALSE)),"")</f>
        <v/>
      </c>
      <c r="Y139" s="197"/>
      <c r="Z139" s="499" t="str">
        <f>IF(Y139="","",IF(VLOOKUP(Y139,'G-3 Multipliers'!$S$3:$T$9,2,FALSE)=0,"Spatial Data Missing ⚠",VLOOKUP(Y139,'G-3 Multipliers'!$S$3:$T$9,2,FALSE)))</f>
        <v/>
      </c>
      <c r="AA139" s="545" t="str">
        <f t="shared" si="8"/>
        <v/>
      </c>
      <c r="AB139" s="149"/>
      <c r="AC139" s="150"/>
    </row>
    <row r="140" spans="1:29" ht="14" x14ac:dyDescent="0.3">
      <c r="A140" s="31" t="str">
        <f>IFERROR(INDEX('G-8 Condition Look up'!$I$4:$I$130,MATCH(F140,'G-8 Condition Look up'!$A$4:$A$130,0)),"")</f>
        <v/>
      </c>
      <c r="C140" s="244" t="str">
        <f>IFERROR(INDEX('G-1 All Habitats'!$AG$3:$AG$15,MATCH(D140,'G-1 All Habitats'!$AF$3:$AF$15,0)),"")</f>
        <v/>
      </c>
      <c r="D140" s="154"/>
      <c r="E140" s="203"/>
      <c r="F140" s="243" t="str">
        <f>IFERROR(INDEX('G-1 All Habitats'!$B$3:$B$129,MATCH(E140,'G-1 All Habitats'!$A$3:$A$129,0)),"")</f>
        <v/>
      </c>
      <c r="G140" s="386"/>
      <c r="H140" s="537" t="str">
        <f>IF(F140="","",VLOOKUP(F140,'G-1 All Habitats'!$B$2:$M$129,10,FALSE))</f>
        <v/>
      </c>
      <c r="I140" s="524" t="str">
        <f>IFERROR(VLOOKUP(H140,'G-1 All Habitats'!$V$3:$W$7,2,FALSE),"")</f>
        <v/>
      </c>
      <c r="J140" s="199"/>
      <c r="K140" s="524" t="str">
        <f>IFERROR(INDEX('G-8 Condition Look up'!$A$3:$H$130,MATCH(F140,'G-8 Condition Look up'!$A$3:$A$130,0),MATCH(J140,'G-8 Condition Look up'!$A$3:$H$3,0)),"")</f>
        <v/>
      </c>
      <c r="L140" s="145"/>
      <c r="M140" s="540" t="str">
        <f>IF(L140="","",IF(VLOOKUP(L140,'G-3 Multipliers'!$L$3:$N$6,2,FALSE)=0,"Spatial Data Missing ⚠",VLOOKUP(L140,'G-3 Multipliers'!$L$3:$N$6,2,FALSE)))</f>
        <v/>
      </c>
      <c r="N140" s="499" t="str">
        <f>IF(L140="","",IF(VLOOKUP(L140,'G-3 Multipliers'!$L$3:$N$6,3,FALSE)=0,"Spatial Data Missing ⚠",VLOOKUP(L140,'G-3 Multipliers'!$L$3:$N$6,3,FALSE)))</f>
        <v/>
      </c>
      <c r="O140" s="498" t="str">
        <f t="shared" si="10"/>
        <v/>
      </c>
      <c r="P140" s="195"/>
      <c r="Q140" s="195"/>
      <c r="R140" s="520" t="str">
        <f t="shared" ref="R140:R203" si="11">IF(E140="","",IF(AND(P140&gt;0,Q140&gt;0),"Error -both advance and delayed habitat creation ▲",IF(AND(OR(P140="Habitat already in target condition",O140&lt;=P140),Q140=0,I140&gt;0),"Check details - Is there evidence that habitat has reached target condition? ⚠",IF(O140="","",IF(AND(P140&gt;=AE140,P140&gt;0),"Check details - Is there evidence habitat creation started and the threshold for Poor condition reached? ⚠",IF(Q140&gt;0,"Check details- Delay in starting habitat in required condition? ⚠",IF(P140&gt;0,"Check details - Is there evidence habitat creation started/in place? ⚠","Standard time to target condition applied")))))))</f>
        <v/>
      </c>
      <c r="S140" s="544" t="str">
        <f t="shared" ref="S140:S203" si="12">IF(R140="Error -both advance and delayed habitat creation ▲","Check Data ⚠",IF(O140="Not Possible","Check Data ⚠",IF(O140="","",IF(AND(O140="30+",P140=0),"30+ ⚠",IF(AND(O140="30+",P140="30+ ⚠"),0,IF(AND(O140="30+",P140&lt;32),30-P140,IF(O140="30+",30-P140,IF(P140&gt;O140,0,IF(Q140="30+","30+ ⚠",IF(O140+Q140&gt;30,"30+ ⚠",IF(O140+Q140&gt;30,"30+ ⚠",IF(O140-P140&gt;30,"30+ ⚠",IF(O140+Q140-P140&gt;0,O140+Q140-P140,IF(O140-P140&gt;0,O140-P140,O140+Q140-P140))))))))))))))</f>
        <v/>
      </c>
      <c r="T140" s="525" t="str">
        <f>IFERROR(IF(S140="Check Data ⚠","Check Data ⚠",VLOOKUP(S140,'G-4 Temporal multipliers'!$A$4:$C$37,3,FALSE)),"")</f>
        <v/>
      </c>
      <c r="U140" s="523" t="str">
        <f>IF(F140="","",VLOOKUP(F140,'G-3 Multipliers'!$A$2:$E$129,2,FALSE))</f>
        <v/>
      </c>
      <c r="V140" s="520" t="str">
        <f t="shared" si="9"/>
        <v/>
      </c>
      <c r="W140" s="520" t="str">
        <f>IF(E140="","",IF(AND(V140="Standard difficulty applied",O140&gt;P140),U140,IF(AND(V140="Low Difficulty - only applicable if all habitat created before losses ⚠",P140&gt;=O140),"Low",VLOOKUP(F140,'G-3 Multipliers'!$A$2:$E$129,4,FALSE))))</f>
        <v/>
      </c>
      <c r="X140" s="524" t="str">
        <f>IFERROR(IF(E140="","",VLOOKUP(W140, 'G-3 Multipliers'!$P$2:$Q$6,2,FALSE)),"")</f>
        <v/>
      </c>
      <c r="Y140" s="197"/>
      <c r="Z140" s="499" t="str">
        <f>IF(Y140="","",IF(VLOOKUP(Y140,'G-3 Multipliers'!$S$3:$T$9,2,FALSE)=0,"Spatial Data Missing ⚠",VLOOKUP(Y140,'G-3 Multipliers'!$S$3:$T$9,2,FALSE)))</f>
        <v/>
      </c>
      <c r="AA140" s="545" t="str">
        <f t="shared" ref="AA140:AA203" si="13">IFERROR(G140*I140*K140*N140*T140*X140*Z140,"")</f>
        <v/>
      </c>
      <c r="AB140" s="149"/>
      <c r="AC140" s="150"/>
    </row>
    <row r="141" spans="1:29" ht="14" x14ac:dyDescent="0.3">
      <c r="A141" s="31" t="str">
        <f>IFERROR(INDEX('G-8 Condition Look up'!$I$4:$I$130,MATCH(F141,'G-8 Condition Look up'!$A$4:$A$130,0)),"")</f>
        <v/>
      </c>
      <c r="C141" s="244" t="str">
        <f>IFERROR(INDEX('G-1 All Habitats'!$AG$3:$AG$15,MATCH(D141,'G-1 All Habitats'!$AF$3:$AF$15,0)),"")</f>
        <v/>
      </c>
      <c r="D141" s="154"/>
      <c r="E141" s="203"/>
      <c r="F141" s="243" t="str">
        <f>IFERROR(INDEX('G-1 All Habitats'!$B$3:$B$129,MATCH(E141,'G-1 All Habitats'!$A$3:$A$129,0)),"")</f>
        <v/>
      </c>
      <c r="G141" s="386"/>
      <c r="H141" s="537" t="str">
        <f>IF(F141="","",VLOOKUP(F141,'G-1 All Habitats'!$B$2:$M$129,10,FALSE))</f>
        <v/>
      </c>
      <c r="I141" s="524" t="str">
        <f>IFERROR(VLOOKUP(H141,'G-1 All Habitats'!$V$3:$W$7,2,FALSE),"")</f>
        <v/>
      </c>
      <c r="J141" s="199"/>
      <c r="K141" s="524" t="str">
        <f>IFERROR(INDEX('G-8 Condition Look up'!$A$3:$H$130,MATCH(F141,'G-8 Condition Look up'!$A$3:$A$130,0),MATCH(J141,'G-8 Condition Look up'!$A$3:$H$3,0)),"")</f>
        <v/>
      </c>
      <c r="L141" s="145"/>
      <c r="M141" s="540" t="str">
        <f>IF(L141="","",IF(VLOOKUP(L141,'G-3 Multipliers'!$L$3:$N$6,2,FALSE)=0,"Spatial Data Missing ⚠",VLOOKUP(L141,'G-3 Multipliers'!$L$3:$N$6,2,FALSE)))</f>
        <v/>
      </c>
      <c r="N141" s="499" t="str">
        <f>IF(L141="","",IF(VLOOKUP(L141,'G-3 Multipliers'!$L$3:$N$6,3,FALSE)=0,"Spatial Data Missing ⚠",VLOOKUP(L141,'G-3 Multipliers'!$L$3:$N$6,3,FALSE)))</f>
        <v/>
      </c>
      <c r="O141" s="498" t="str">
        <f t="shared" si="10"/>
        <v/>
      </c>
      <c r="P141" s="195"/>
      <c r="Q141" s="195"/>
      <c r="R141" s="520" t="str">
        <f t="shared" si="11"/>
        <v/>
      </c>
      <c r="S141" s="544" t="str">
        <f t="shared" si="12"/>
        <v/>
      </c>
      <c r="T141" s="525" t="str">
        <f>IFERROR(IF(S141="Check Data ⚠","Check Data ⚠",VLOOKUP(S141,'G-4 Temporal multipliers'!$A$4:$C$37,3,FALSE)),"")</f>
        <v/>
      </c>
      <c r="U141" s="523" t="str">
        <f>IF(F141="","",VLOOKUP(F141,'G-3 Multipliers'!$A$2:$E$129,2,FALSE))</f>
        <v/>
      </c>
      <c r="V141" s="520" t="str">
        <f t="shared" ref="V141:V204" si="14">IF(F141="","",IF($R141="Check details - Is there evidence that habitat has reached target condition? ⚠","Low Difficulty - only applicable if all habitat created before losses ⚠",IF($R141="Check details - Is there evidence habitat creation started and the threshold for Poor condition reached? ⚠","Enhancement difficulty applied","Standard difficulty applied")))</f>
        <v/>
      </c>
      <c r="W141" s="520" t="str">
        <f>IF(E141="","",IF(AND(V141="Standard difficulty applied",O141&gt;P141),U141,IF(AND(V141="Low Difficulty - only applicable if all habitat created before losses ⚠",P141&gt;=O141),"Low",VLOOKUP(F141,'G-3 Multipliers'!$A$2:$E$129,4,FALSE))))</f>
        <v/>
      </c>
      <c r="X141" s="524" t="str">
        <f>IFERROR(IF(E141="","",VLOOKUP(W141, 'G-3 Multipliers'!$P$2:$Q$6,2,FALSE)),"")</f>
        <v/>
      </c>
      <c r="Y141" s="197"/>
      <c r="Z141" s="499" t="str">
        <f>IF(Y141="","",IF(VLOOKUP(Y141,'G-3 Multipliers'!$S$3:$T$9,2,FALSE)=0,"Spatial Data Missing ⚠",VLOOKUP(Y141,'G-3 Multipliers'!$S$3:$T$9,2,FALSE)))</f>
        <v/>
      </c>
      <c r="AA141" s="545" t="str">
        <f t="shared" si="13"/>
        <v/>
      </c>
      <c r="AB141" s="149"/>
      <c r="AC141" s="150"/>
    </row>
    <row r="142" spans="1:29" ht="14" x14ac:dyDescent="0.3">
      <c r="A142" s="31" t="str">
        <f>IFERROR(INDEX('G-8 Condition Look up'!$I$4:$I$130,MATCH(F142,'G-8 Condition Look up'!$A$4:$A$130,0)),"")</f>
        <v/>
      </c>
      <c r="C142" s="244" t="str">
        <f>IFERROR(INDEX('G-1 All Habitats'!$AG$3:$AG$15,MATCH(D142,'G-1 All Habitats'!$AF$3:$AF$15,0)),"")</f>
        <v/>
      </c>
      <c r="D142" s="154"/>
      <c r="E142" s="203"/>
      <c r="F142" s="243" t="str">
        <f>IFERROR(INDEX('G-1 All Habitats'!$B$3:$B$129,MATCH(E142,'G-1 All Habitats'!$A$3:$A$129,0)),"")</f>
        <v/>
      </c>
      <c r="G142" s="386"/>
      <c r="H142" s="537" t="str">
        <f>IF(F142="","",VLOOKUP(F142,'G-1 All Habitats'!$B$2:$M$129,10,FALSE))</f>
        <v/>
      </c>
      <c r="I142" s="524" t="str">
        <f>IFERROR(VLOOKUP(H142,'G-1 All Habitats'!$V$3:$W$7,2,FALSE),"")</f>
        <v/>
      </c>
      <c r="J142" s="199"/>
      <c r="K142" s="524" t="str">
        <f>IFERROR(INDEX('G-8 Condition Look up'!$A$3:$H$130,MATCH(F142,'G-8 Condition Look up'!$A$3:$A$130,0),MATCH(J142,'G-8 Condition Look up'!$A$3:$H$3,0)),"")</f>
        <v/>
      </c>
      <c r="L142" s="145"/>
      <c r="M142" s="540" t="str">
        <f>IF(L142="","",IF(VLOOKUP(L142,'G-3 Multipliers'!$L$3:$N$6,2,FALSE)=0,"Spatial Data Missing ⚠",VLOOKUP(L142,'G-3 Multipliers'!$L$3:$N$6,2,FALSE)))</f>
        <v/>
      </c>
      <c r="N142" s="499" t="str">
        <f>IF(L142="","",IF(VLOOKUP(L142,'G-3 Multipliers'!$L$3:$N$6,3,FALSE)=0,"Spatial Data Missing ⚠",VLOOKUP(L142,'G-3 Multipliers'!$L$3:$N$6,3,FALSE)))</f>
        <v/>
      </c>
      <c r="O142" s="498" t="str">
        <f t="shared" si="10"/>
        <v/>
      </c>
      <c r="P142" s="195"/>
      <c r="Q142" s="195"/>
      <c r="R142" s="520" t="str">
        <f t="shared" si="11"/>
        <v/>
      </c>
      <c r="S142" s="544" t="str">
        <f t="shared" si="12"/>
        <v/>
      </c>
      <c r="T142" s="525" t="str">
        <f>IFERROR(IF(S142="Check Data ⚠","Check Data ⚠",VLOOKUP(S142,'G-4 Temporal multipliers'!$A$4:$C$37,3,FALSE)),"")</f>
        <v/>
      </c>
      <c r="U142" s="523" t="str">
        <f>IF(F142="","",VLOOKUP(F142,'G-3 Multipliers'!$A$2:$E$129,2,FALSE))</f>
        <v/>
      </c>
      <c r="V142" s="520" t="str">
        <f t="shared" si="14"/>
        <v/>
      </c>
      <c r="W142" s="520" t="str">
        <f>IF(E142="","",IF(AND(V142="Standard difficulty applied",O142&gt;P142),U142,IF(AND(V142="Low Difficulty - only applicable if all habitat created before losses ⚠",P142&gt;=O142),"Low",VLOOKUP(F142,'G-3 Multipliers'!$A$2:$E$129,4,FALSE))))</f>
        <v/>
      </c>
      <c r="X142" s="524" t="str">
        <f>IFERROR(IF(E142="","",VLOOKUP(W142, 'G-3 Multipliers'!$P$2:$Q$6,2,FALSE)),"")</f>
        <v/>
      </c>
      <c r="Y142" s="197"/>
      <c r="Z142" s="499" t="str">
        <f>IF(Y142="","",IF(VLOOKUP(Y142,'G-3 Multipliers'!$S$3:$T$9,2,FALSE)=0,"Spatial Data Missing ⚠",VLOOKUP(Y142,'G-3 Multipliers'!$S$3:$T$9,2,FALSE)))</f>
        <v/>
      </c>
      <c r="AA142" s="545" t="str">
        <f t="shared" si="13"/>
        <v/>
      </c>
      <c r="AB142" s="149"/>
      <c r="AC142" s="150"/>
    </row>
    <row r="143" spans="1:29" ht="14" x14ac:dyDescent="0.3">
      <c r="A143" s="31" t="str">
        <f>IFERROR(INDEX('G-8 Condition Look up'!$I$4:$I$130,MATCH(F143,'G-8 Condition Look up'!$A$4:$A$130,0)),"")</f>
        <v/>
      </c>
      <c r="C143" s="244" t="str">
        <f>IFERROR(INDEX('G-1 All Habitats'!$AG$3:$AG$15,MATCH(D143,'G-1 All Habitats'!$AF$3:$AF$15,0)),"")</f>
        <v/>
      </c>
      <c r="D143" s="154"/>
      <c r="E143" s="203"/>
      <c r="F143" s="243" t="str">
        <f>IFERROR(INDEX('G-1 All Habitats'!$B$3:$B$129,MATCH(E143,'G-1 All Habitats'!$A$3:$A$129,0)),"")</f>
        <v/>
      </c>
      <c r="G143" s="386"/>
      <c r="H143" s="537" t="str">
        <f>IF(F143="","",VLOOKUP(F143,'G-1 All Habitats'!$B$2:$M$129,10,FALSE))</f>
        <v/>
      </c>
      <c r="I143" s="524" t="str">
        <f>IFERROR(VLOOKUP(H143,'G-1 All Habitats'!$V$3:$W$7,2,FALSE),"")</f>
        <v/>
      </c>
      <c r="J143" s="199"/>
      <c r="K143" s="524" t="str">
        <f>IFERROR(INDEX('G-8 Condition Look up'!$A$3:$H$130,MATCH(F143,'G-8 Condition Look up'!$A$3:$A$130,0),MATCH(J143,'G-8 Condition Look up'!$A$3:$H$3,0)),"")</f>
        <v/>
      </c>
      <c r="L143" s="145"/>
      <c r="M143" s="540" t="str">
        <f>IF(L143="","",IF(VLOOKUP(L143,'G-3 Multipliers'!$L$3:$N$6,2,FALSE)=0,"Spatial Data Missing ⚠",VLOOKUP(L143,'G-3 Multipliers'!$L$3:$N$6,2,FALSE)))</f>
        <v/>
      </c>
      <c r="N143" s="499" t="str">
        <f>IF(L143="","",IF(VLOOKUP(L143,'G-3 Multipliers'!$L$3:$N$6,3,FALSE)=0,"Spatial Data Missing ⚠",VLOOKUP(L143,'G-3 Multipliers'!$L$3:$N$6,3,FALSE)))</f>
        <v/>
      </c>
      <c r="O143" s="498" t="str">
        <f t="shared" si="10"/>
        <v/>
      </c>
      <c r="P143" s="195"/>
      <c r="Q143" s="195"/>
      <c r="R143" s="520" t="str">
        <f t="shared" si="11"/>
        <v/>
      </c>
      <c r="S143" s="544" t="str">
        <f t="shared" si="12"/>
        <v/>
      </c>
      <c r="T143" s="525" t="str">
        <f>IFERROR(IF(S143="Check Data ⚠","Check Data ⚠",VLOOKUP(S143,'G-4 Temporal multipliers'!$A$4:$C$37,3,FALSE)),"")</f>
        <v/>
      </c>
      <c r="U143" s="523" t="str">
        <f>IF(F143="","",VLOOKUP(F143,'G-3 Multipliers'!$A$2:$E$129,2,FALSE))</f>
        <v/>
      </c>
      <c r="V143" s="520" t="str">
        <f t="shared" si="14"/>
        <v/>
      </c>
      <c r="W143" s="520" t="str">
        <f>IF(E143="","",IF(AND(V143="Standard difficulty applied",O143&gt;P143),U143,IF(AND(V143="Low Difficulty - only applicable if all habitat created before losses ⚠",P143&gt;=O143),"Low",VLOOKUP(F143,'G-3 Multipliers'!$A$2:$E$129,4,FALSE))))</f>
        <v/>
      </c>
      <c r="X143" s="524" t="str">
        <f>IFERROR(IF(E143="","",VLOOKUP(W143, 'G-3 Multipliers'!$P$2:$Q$6,2,FALSE)),"")</f>
        <v/>
      </c>
      <c r="Y143" s="197"/>
      <c r="Z143" s="499" t="str">
        <f>IF(Y143="","",IF(VLOOKUP(Y143,'G-3 Multipliers'!$S$3:$T$9,2,FALSE)=0,"Spatial Data Missing ⚠",VLOOKUP(Y143,'G-3 Multipliers'!$S$3:$T$9,2,FALSE)))</f>
        <v/>
      </c>
      <c r="AA143" s="545" t="str">
        <f t="shared" si="13"/>
        <v/>
      </c>
      <c r="AB143" s="149"/>
      <c r="AC143" s="150"/>
    </row>
    <row r="144" spans="1:29" ht="14" x14ac:dyDescent="0.3">
      <c r="A144" s="31" t="str">
        <f>IFERROR(INDEX('G-8 Condition Look up'!$I$4:$I$130,MATCH(F144,'G-8 Condition Look up'!$A$4:$A$130,0)),"")</f>
        <v/>
      </c>
      <c r="C144" s="244" t="str">
        <f>IFERROR(INDEX('G-1 All Habitats'!$AG$3:$AG$15,MATCH(D144,'G-1 All Habitats'!$AF$3:$AF$15,0)),"")</f>
        <v/>
      </c>
      <c r="D144" s="154"/>
      <c r="E144" s="203"/>
      <c r="F144" s="243" t="str">
        <f>IFERROR(INDEX('G-1 All Habitats'!$B$3:$B$129,MATCH(E144,'G-1 All Habitats'!$A$3:$A$129,0)),"")</f>
        <v/>
      </c>
      <c r="G144" s="386"/>
      <c r="H144" s="537" t="str">
        <f>IF(F144="","",VLOOKUP(F144,'G-1 All Habitats'!$B$2:$M$129,10,FALSE))</f>
        <v/>
      </c>
      <c r="I144" s="524" t="str">
        <f>IFERROR(VLOOKUP(H144,'G-1 All Habitats'!$V$3:$W$7,2,FALSE),"")</f>
        <v/>
      </c>
      <c r="J144" s="199"/>
      <c r="K144" s="524" t="str">
        <f>IFERROR(INDEX('G-8 Condition Look up'!$A$3:$H$130,MATCH(F144,'G-8 Condition Look up'!$A$3:$A$130,0),MATCH(J144,'G-8 Condition Look up'!$A$3:$H$3,0)),"")</f>
        <v/>
      </c>
      <c r="L144" s="145"/>
      <c r="M144" s="540" t="str">
        <f>IF(L144="","",IF(VLOOKUP(L144,'G-3 Multipliers'!$L$3:$N$6,2,FALSE)=0,"Spatial Data Missing ⚠",VLOOKUP(L144,'G-3 Multipliers'!$L$3:$N$6,2,FALSE)))</f>
        <v/>
      </c>
      <c r="N144" s="499" t="str">
        <f>IF(L144="","",IF(VLOOKUP(L144,'G-3 Multipliers'!$L$3:$N$6,3,FALSE)=0,"Spatial Data Missing ⚠",VLOOKUP(L144,'G-3 Multipliers'!$L$3:$N$6,3,FALSE)))</f>
        <v/>
      </c>
      <c r="O144" s="498" t="str">
        <f t="shared" si="10"/>
        <v/>
      </c>
      <c r="P144" s="195"/>
      <c r="Q144" s="195"/>
      <c r="R144" s="520" t="str">
        <f t="shared" si="11"/>
        <v/>
      </c>
      <c r="S144" s="544" t="str">
        <f t="shared" si="12"/>
        <v/>
      </c>
      <c r="T144" s="525" t="str">
        <f>IFERROR(IF(S144="Check Data ⚠","Check Data ⚠",VLOOKUP(S144,'G-4 Temporal multipliers'!$A$4:$C$37,3,FALSE)),"")</f>
        <v/>
      </c>
      <c r="U144" s="523" t="str">
        <f>IF(F144="","",VLOOKUP(F144,'G-3 Multipliers'!$A$2:$E$129,2,FALSE))</f>
        <v/>
      </c>
      <c r="V144" s="520" t="str">
        <f t="shared" si="14"/>
        <v/>
      </c>
      <c r="W144" s="520" t="str">
        <f>IF(E144="","",IF(AND(V144="Standard difficulty applied",O144&gt;P144),U144,IF(AND(V144="Low Difficulty - only applicable if all habitat created before losses ⚠",P144&gt;=O144),"Low",VLOOKUP(F144,'G-3 Multipliers'!$A$2:$E$129,4,FALSE))))</f>
        <v/>
      </c>
      <c r="X144" s="524" t="str">
        <f>IFERROR(IF(E144="","",VLOOKUP(W144, 'G-3 Multipliers'!$P$2:$Q$6,2,FALSE)),"")</f>
        <v/>
      </c>
      <c r="Y144" s="197"/>
      <c r="Z144" s="499" t="str">
        <f>IF(Y144="","",IF(VLOOKUP(Y144,'G-3 Multipliers'!$S$3:$T$9,2,FALSE)=0,"Spatial Data Missing ⚠",VLOOKUP(Y144,'G-3 Multipliers'!$S$3:$T$9,2,FALSE)))</f>
        <v/>
      </c>
      <c r="AA144" s="545" t="str">
        <f t="shared" si="13"/>
        <v/>
      </c>
      <c r="AB144" s="149"/>
      <c r="AC144" s="150"/>
    </row>
    <row r="145" spans="1:29" ht="14" x14ac:dyDescent="0.3">
      <c r="A145" s="31" t="str">
        <f>IFERROR(INDEX('G-8 Condition Look up'!$I$4:$I$130,MATCH(F145,'G-8 Condition Look up'!$A$4:$A$130,0)),"")</f>
        <v/>
      </c>
      <c r="C145" s="244" t="str">
        <f>IFERROR(INDEX('G-1 All Habitats'!$AG$3:$AG$15,MATCH(D145,'G-1 All Habitats'!$AF$3:$AF$15,0)),"")</f>
        <v/>
      </c>
      <c r="D145" s="154"/>
      <c r="E145" s="203"/>
      <c r="F145" s="243" t="str">
        <f>IFERROR(INDEX('G-1 All Habitats'!$B$3:$B$129,MATCH(E145,'G-1 All Habitats'!$A$3:$A$129,0)),"")</f>
        <v/>
      </c>
      <c r="G145" s="386"/>
      <c r="H145" s="537" t="str">
        <f>IF(F145="","",VLOOKUP(F145,'G-1 All Habitats'!$B$2:$M$129,10,FALSE))</f>
        <v/>
      </c>
      <c r="I145" s="524" t="str">
        <f>IFERROR(VLOOKUP(H145,'G-1 All Habitats'!$V$3:$W$7,2,FALSE),"")</f>
        <v/>
      </c>
      <c r="J145" s="199"/>
      <c r="K145" s="524" t="str">
        <f>IFERROR(INDEX('G-8 Condition Look up'!$A$3:$H$130,MATCH(F145,'G-8 Condition Look up'!$A$3:$A$130,0),MATCH(J145,'G-8 Condition Look up'!$A$3:$H$3,0)),"")</f>
        <v/>
      </c>
      <c r="L145" s="145"/>
      <c r="M145" s="540" t="str">
        <f>IF(L145="","",IF(VLOOKUP(L145,'G-3 Multipliers'!$L$3:$N$6,2,FALSE)=0,"Spatial Data Missing ⚠",VLOOKUP(L145,'G-3 Multipliers'!$L$3:$N$6,2,FALSE)))</f>
        <v/>
      </c>
      <c r="N145" s="499" t="str">
        <f>IF(L145="","",IF(VLOOKUP(L145,'G-3 Multipliers'!$L$3:$N$6,3,FALSE)=0,"Spatial Data Missing ⚠",VLOOKUP(L145,'G-3 Multipliers'!$L$3:$N$6,3,FALSE)))</f>
        <v/>
      </c>
      <c r="O145" s="498" t="str">
        <f t="shared" si="10"/>
        <v/>
      </c>
      <c r="P145" s="195"/>
      <c r="Q145" s="195"/>
      <c r="R145" s="520" t="str">
        <f t="shared" si="11"/>
        <v/>
      </c>
      <c r="S145" s="544" t="str">
        <f t="shared" si="12"/>
        <v/>
      </c>
      <c r="T145" s="525" t="str">
        <f>IFERROR(IF(S145="Check Data ⚠","Check Data ⚠",VLOOKUP(S145,'G-4 Temporal multipliers'!$A$4:$C$37,3,FALSE)),"")</f>
        <v/>
      </c>
      <c r="U145" s="523" t="str">
        <f>IF(F145="","",VLOOKUP(F145,'G-3 Multipliers'!$A$2:$E$129,2,FALSE))</f>
        <v/>
      </c>
      <c r="V145" s="520" t="str">
        <f t="shared" si="14"/>
        <v/>
      </c>
      <c r="W145" s="520" t="str">
        <f>IF(E145="","",IF(AND(V145="Standard difficulty applied",O145&gt;P145),U145,IF(AND(V145="Low Difficulty - only applicable if all habitat created before losses ⚠",P145&gt;=O145),"Low",VLOOKUP(F145,'G-3 Multipliers'!$A$2:$E$129,4,FALSE))))</f>
        <v/>
      </c>
      <c r="X145" s="524" t="str">
        <f>IFERROR(IF(E145="","",VLOOKUP(W145, 'G-3 Multipliers'!$P$2:$Q$6,2,FALSE)),"")</f>
        <v/>
      </c>
      <c r="Y145" s="197"/>
      <c r="Z145" s="499" t="str">
        <f>IF(Y145="","",IF(VLOOKUP(Y145,'G-3 Multipliers'!$S$3:$T$9,2,FALSE)=0,"Spatial Data Missing ⚠",VLOOKUP(Y145,'G-3 Multipliers'!$S$3:$T$9,2,FALSE)))</f>
        <v/>
      </c>
      <c r="AA145" s="545" t="str">
        <f t="shared" si="13"/>
        <v/>
      </c>
      <c r="AB145" s="149"/>
      <c r="AC145" s="150"/>
    </row>
    <row r="146" spans="1:29" ht="14" x14ac:dyDescent="0.3">
      <c r="A146" s="31" t="str">
        <f>IFERROR(INDEX('G-8 Condition Look up'!$I$4:$I$130,MATCH(F146,'G-8 Condition Look up'!$A$4:$A$130,0)),"")</f>
        <v/>
      </c>
      <c r="C146" s="244" t="str">
        <f>IFERROR(INDEX('G-1 All Habitats'!$AG$3:$AG$15,MATCH(D146,'G-1 All Habitats'!$AF$3:$AF$15,0)),"")</f>
        <v/>
      </c>
      <c r="D146" s="154"/>
      <c r="E146" s="203"/>
      <c r="F146" s="243" t="str">
        <f>IFERROR(INDEX('G-1 All Habitats'!$B$3:$B$129,MATCH(E146,'G-1 All Habitats'!$A$3:$A$129,0)),"")</f>
        <v/>
      </c>
      <c r="G146" s="386"/>
      <c r="H146" s="537" t="str">
        <f>IF(F146="","",VLOOKUP(F146,'G-1 All Habitats'!$B$2:$M$129,10,FALSE))</f>
        <v/>
      </c>
      <c r="I146" s="524" t="str">
        <f>IFERROR(VLOOKUP(H146,'G-1 All Habitats'!$V$3:$W$7,2,FALSE),"")</f>
        <v/>
      </c>
      <c r="J146" s="199"/>
      <c r="K146" s="524" t="str">
        <f>IFERROR(INDEX('G-8 Condition Look up'!$A$3:$H$130,MATCH(F146,'G-8 Condition Look up'!$A$3:$A$130,0),MATCH(J146,'G-8 Condition Look up'!$A$3:$H$3,0)),"")</f>
        <v/>
      </c>
      <c r="L146" s="145"/>
      <c r="M146" s="540" t="str">
        <f>IF(L146="","",IF(VLOOKUP(L146,'G-3 Multipliers'!$L$3:$N$6,2,FALSE)=0,"Spatial Data Missing ⚠",VLOOKUP(L146,'G-3 Multipliers'!$L$3:$N$6,2,FALSE)))</f>
        <v/>
      </c>
      <c r="N146" s="499" t="str">
        <f>IF(L146="","",IF(VLOOKUP(L146,'G-3 Multipliers'!$L$3:$N$6,3,FALSE)=0,"Spatial Data Missing ⚠",VLOOKUP(L146,'G-3 Multipliers'!$L$3:$N$6,3,FALSE)))</f>
        <v/>
      </c>
      <c r="O146" s="498" t="str">
        <f t="shared" si="10"/>
        <v/>
      </c>
      <c r="P146" s="195"/>
      <c r="Q146" s="195"/>
      <c r="R146" s="520" t="str">
        <f t="shared" si="11"/>
        <v/>
      </c>
      <c r="S146" s="544" t="str">
        <f t="shared" si="12"/>
        <v/>
      </c>
      <c r="T146" s="525" t="str">
        <f>IFERROR(IF(S146="Check Data ⚠","Check Data ⚠",VLOOKUP(S146,'G-4 Temporal multipliers'!$A$4:$C$37,3,FALSE)),"")</f>
        <v/>
      </c>
      <c r="U146" s="523" t="str">
        <f>IF(F146="","",VLOOKUP(F146,'G-3 Multipliers'!$A$2:$E$129,2,FALSE))</f>
        <v/>
      </c>
      <c r="V146" s="520" t="str">
        <f t="shared" si="14"/>
        <v/>
      </c>
      <c r="W146" s="520" t="str">
        <f>IF(E146="","",IF(AND(V146="Standard difficulty applied",O146&gt;P146),U146,IF(AND(V146="Low Difficulty - only applicable if all habitat created before losses ⚠",P146&gt;=O146),"Low",VLOOKUP(F146,'G-3 Multipliers'!$A$2:$E$129,4,FALSE))))</f>
        <v/>
      </c>
      <c r="X146" s="524" t="str">
        <f>IFERROR(IF(E146="","",VLOOKUP(W146, 'G-3 Multipliers'!$P$2:$Q$6,2,FALSE)),"")</f>
        <v/>
      </c>
      <c r="Y146" s="197"/>
      <c r="Z146" s="499" t="str">
        <f>IF(Y146="","",IF(VLOOKUP(Y146,'G-3 Multipliers'!$S$3:$T$9,2,FALSE)=0,"Spatial Data Missing ⚠",VLOOKUP(Y146,'G-3 Multipliers'!$S$3:$T$9,2,FALSE)))</f>
        <v/>
      </c>
      <c r="AA146" s="545" t="str">
        <f t="shared" si="13"/>
        <v/>
      </c>
      <c r="AB146" s="149"/>
      <c r="AC146" s="150"/>
    </row>
    <row r="147" spans="1:29" ht="14" x14ac:dyDescent="0.3">
      <c r="A147" s="31" t="str">
        <f>IFERROR(INDEX('G-8 Condition Look up'!$I$4:$I$130,MATCH(F147,'G-8 Condition Look up'!$A$4:$A$130,0)),"")</f>
        <v/>
      </c>
      <c r="C147" s="244" t="str">
        <f>IFERROR(INDEX('G-1 All Habitats'!$AG$3:$AG$15,MATCH(D147,'G-1 All Habitats'!$AF$3:$AF$15,0)),"")</f>
        <v/>
      </c>
      <c r="D147" s="154"/>
      <c r="E147" s="203"/>
      <c r="F147" s="243" t="str">
        <f>IFERROR(INDEX('G-1 All Habitats'!$B$3:$B$129,MATCH(E147,'G-1 All Habitats'!$A$3:$A$129,0)),"")</f>
        <v/>
      </c>
      <c r="G147" s="386"/>
      <c r="H147" s="537" t="str">
        <f>IF(F147="","",VLOOKUP(F147,'G-1 All Habitats'!$B$2:$M$129,10,FALSE))</f>
        <v/>
      </c>
      <c r="I147" s="524" t="str">
        <f>IFERROR(VLOOKUP(H147,'G-1 All Habitats'!$V$3:$W$7,2,FALSE),"")</f>
        <v/>
      </c>
      <c r="J147" s="199"/>
      <c r="K147" s="524" t="str">
        <f>IFERROR(INDEX('G-8 Condition Look up'!$A$3:$H$130,MATCH(F147,'G-8 Condition Look up'!$A$3:$A$130,0),MATCH(J147,'G-8 Condition Look up'!$A$3:$H$3,0)),"")</f>
        <v/>
      </c>
      <c r="L147" s="145"/>
      <c r="M147" s="540" t="str">
        <f>IF(L147="","",IF(VLOOKUP(L147,'G-3 Multipliers'!$L$3:$N$6,2,FALSE)=0,"Spatial Data Missing ⚠",VLOOKUP(L147,'G-3 Multipliers'!$L$3:$N$6,2,FALSE)))</f>
        <v/>
      </c>
      <c r="N147" s="499" t="str">
        <f>IF(L147="","",IF(VLOOKUP(L147,'G-3 Multipliers'!$L$3:$N$6,3,FALSE)=0,"Spatial Data Missing ⚠",VLOOKUP(L147,'G-3 Multipliers'!$L$3:$N$6,3,FALSE)))</f>
        <v/>
      </c>
      <c r="O147" s="498" t="str">
        <f t="shared" si="10"/>
        <v/>
      </c>
      <c r="P147" s="195"/>
      <c r="Q147" s="195"/>
      <c r="R147" s="520" t="str">
        <f t="shared" si="11"/>
        <v/>
      </c>
      <c r="S147" s="544" t="str">
        <f t="shared" si="12"/>
        <v/>
      </c>
      <c r="T147" s="525" t="str">
        <f>IFERROR(IF(S147="Check Data ⚠","Check Data ⚠",VLOOKUP(S147,'G-4 Temporal multipliers'!$A$4:$C$37,3,FALSE)),"")</f>
        <v/>
      </c>
      <c r="U147" s="523" t="str">
        <f>IF(F147="","",VLOOKUP(F147,'G-3 Multipliers'!$A$2:$E$129,2,FALSE))</f>
        <v/>
      </c>
      <c r="V147" s="520" t="str">
        <f t="shared" si="14"/>
        <v/>
      </c>
      <c r="W147" s="520" t="str">
        <f>IF(E147="","",IF(AND(V147="Standard difficulty applied",O147&gt;P147),U147,IF(AND(V147="Low Difficulty - only applicable if all habitat created before losses ⚠",P147&gt;=O147),"Low",VLOOKUP(F147,'G-3 Multipliers'!$A$2:$E$129,4,FALSE))))</f>
        <v/>
      </c>
      <c r="X147" s="524" t="str">
        <f>IFERROR(IF(E147="","",VLOOKUP(W147, 'G-3 Multipliers'!$P$2:$Q$6,2,FALSE)),"")</f>
        <v/>
      </c>
      <c r="Y147" s="197"/>
      <c r="Z147" s="499" t="str">
        <f>IF(Y147="","",IF(VLOOKUP(Y147,'G-3 Multipliers'!$S$3:$T$9,2,FALSE)=0,"Spatial Data Missing ⚠",VLOOKUP(Y147,'G-3 Multipliers'!$S$3:$T$9,2,FALSE)))</f>
        <v/>
      </c>
      <c r="AA147" s="545" t="str">
        <f t="shared" si="13"/>
        <v/>
      </c>
      <c r="AB147" s="149"/>
      <c r="AC147" s="150"/>
    </row>
    <row r="148" spans="1:29" ht="14" x14ac:dyDescent="0.3">
      <c r="A148" s="31" t="str">
        <f>IFERROR(INDEX('G-8 Condition Look up'!$I$4:$I$130,MATCH(F148,'G-8 Condition Look up'!$A$4:$A$130,0)),"")</f>
        <v/>
      </c>
      <c r="C148" s="244" t="str">
        <f>IFERROR(INDEX('G-1 All Habitats'!$AG$3:$AG$15,MATCH(D148,'G-1 All Habitats'!$AF$3:$AF$15,0)),"")</f>
        <v/>
      </c>
      <c r="D148" s="154"/>
      <c r="E148" s="203"/>
      <c r="F148" s="243" t="str">
        <f>IFERROR(INDEX('G-1 All Habitats'!$B$3:$B$129,MATCH(E148,'G-1 All Habitats'!$A$3:$A$129,0)),"")</f>
        <v/>
      </c>
      <c r="G148" s="386"/>
      <c r="H148" s="537" t="str">
        <f>IF(F148="","",VLOOKUP(F148,'G-1 All Habitats'!$B$2:$M$129,10,FALSE))</f>
        <v/>
      </c>
      <c r="I148" s="524" t="str">
        <f>IFERROR(VLOOKUP(H148,'G-1 All Habitats'!$V$3:$W$7,2,FALSE),"")</f>
        <v/>
      </c>
      <c r="J148" s="199"/>
      <c r="K148" s="524" t="str">
        <f>IFERROR(INDEX('G-8 Condition Look up'!$A$3:$H$130,MATCH(F148,'G-8 Condition Look up'!$A$3:$A$130,0),MATCH(J148,'G-8 Condition Look up'!$A$3:$H$3,0)),"")</f>
        <v/>
      </c>
      <c r="L148" s="145"/>
      <c r="M148" s="540" t="str">
        <f>IF(L148="","",IF(VLOOKUP(L148,'G-3 Multipliers'!$L$3:$N$6,2,FALSE)=0,"Spatial Data Missing ⚠",VLOOKUP(L148,'G-3 Multipliers'!$L$3:$N$6,2,FALSE)))</f>
        <v/>
      </c>
      <c r="N148" s="499" t="str">
        <f>IF(L148="","",IF(VLOOKUP(L148,'G-3 Multipliers'!$L$3:$N$6,3,FALSE)=0,"Spatial Data Missing ⚠",VLOOKUP(L148,'G-3 Multipliers'!$L$3:$N$6,3,FALSE)))</f>
        <v/>
      </c>
      <c r="O148" s="498" t="str">
        <f t="shared" si="10"/>
        <v/>
      </c>
      <c r="P148" s="195"/>
      <c r="Q148" s="195"/>
      <c r="R148" s="520" t="str">
        <f t="shared" si="11"/>
        <v/>
      </c>
      <c r="S148" s="544" t="str">
        <f t="shared" si="12"/>
        <v/>
      </c>
      <c r="T148" s="525" t="str">
        <f>IFERROR(IF(S148="Check Data ⚠","Check Data ⚠",VLOOKUP(S148,'G-4 Temporal multipliers'!$A$4:$C$37,3,FALSE)),"")</f>
        <v/>
      </c>
      <c r="U148" s="523" t="str">
        <f>IF(F148="","",VLOOKUP(F148,'G-3 Multipliers'!$A$2:$E$129,2,FALSE))</f>
        <v/>
      </c>
      <c r="V148" s="520" t="str">
        <f t="shared" si="14"/>
        <v/>
      </c>
      <c r="W148" s="520" t="str">
        <f>IF(E148="","",IF(AND(V148="Standard difficulty applied",O148&gt;P148),U148,IF(AND(V148="Low Difficulty - only applicable if all habitat created before losses ⚠",P148&gt;=O148),"Low",VLOOKUP(F148,'G-3 Multipliers'!$A$2:$E$129,4,FALSE))))</f>
        <v/>
      </c>
      <c r="X148" s="524" t="str">
        <f>IFERROR(IF(E148="","",VLOOKUP(W148, 'G-3 Multipliers'!$P$2:$Q$6,2,FALSE)),"")</f>
        <v/>
      </c>
      <c r="Y148" s="197"/>
      <c r="Z148" s="499" t="str">
        <f>IF(Y148="","",IF(VLOOKUP(Y148,'G-3 Multipliers'!$S$3:$T$9,2,FALSE)=0,"Spatial Data Missing ⚠",VLOOKUP(Y148,'G-3 Multipliers'!$S$3:$T$9,2,FALSE)))</f>
        <v/>
      </c>
      <c r="AA148" s="545" t="str">
        <f t="shared" si="13"/>
        <v/>
      </c>
      <c r="AB148" s="149"/>
      <c r="AC148" s="150"/>
    </row>
    <row r="149" spans="1:29" ht="14" x14ac:dyDescent="0.3">
      <c r="A149" s="31" t="str">
        <f>IFERROR(INDEX('G-8 Condition Look up'!$I$4:$I$130,MATCH(F149,'G-8 Condition Look up'!$A$4:$A$130,0)),"")</f>
        <v/>
      </c>
      <c r="C149" s="244" t="str">
        <f>IFERROR(INDEX('G-1 All Habitats'!$AG$3:$AG$15,MATCH(D149,'G-1 All Habitats'!$AF$3:$AF$15,0)),"")</f>
        <v/>
      </c>
      <c r="D149" s="154"/>
      <c r="E149" s="203"/>
      <c r="F149" s="243" t="str">
        <f>IFERROR(INDEX('G-1 All Habitats'!$B$3:$B$129,MATCH(E149,'G-1 All Habitats'!$A$3:$A$129,0)),"")</f>
        <v/>
      </c>
      <c r="G149" s="386"/>
      <c r="H149" s="537" t="str">
        <f>IF(F149="","",VLOOKUP(F149,'G-1 All Habitats'!$B$2:$M$129,10,FALSE))</f>
        <v/>
      </c>
      <c r="I149" s="524" t="str">
        <f>IFERROR(VLOOKUP(H149,'G-1 All Habitats'!$V$3:$W$7,2,FALSE),"")</f>
        <v/>
      </c>
      <c r="J149" s="199"/>
      <c r="K149" s="524" t="str">
        <f>IFERROR(INDEX('G-8 Condition Look up'!$A$3:$H$130,MATCH(F149,'G-8 Condition Look up'!$A$3:$A$130,0),MATCH(J149,'G-8 Condition Look up'!$A$3:$H$3,0)),"")</f>
        <v/>
      </c>
      <c r="L149" s="145"/>
      <c r="M149" s="540" t="str">
        <f>IF(L149="","",IF(VLOOKUP(L149,'G-3 Multipliers'!$L$3:$N$6,2,FALSE)=0,"Spatial Data Missing ⚠",VLOOKUP(L149,'G-3 Multipliers'!$L$3:$N$6,2,FALSE)))</f>
        <v/>
      </c>
      <c r="N149" s="499" t="str">
        <f>IF(L149="","",IF(VLOOKUP(L149,'G-3 Multipliers'!$L$3:$N$6,3,FALSE)=0,"Spatial Data Missing ⚠",VLOOKUP(L149,'G-3 Multipliers'!$L$3:$N$6,3,FALSE)))</f>
        <v/>
      </c>
      <c r="O149" s="498" t="str">
        <f t="shared" si="10"/>
        <v/>
      </c>
      <c r="P149" s="195"/>
      <c r="Q149" s="195"/>
      <c r="R149" s="520" t="str">
        <f t="shared" si="11"/>
        <v/>
      </c>
      <c r="S149" s="544" t="str">
        <f t="shared" si="12"/>
        <v/>
      </c>
      <c r="T149" s="525" t="str">
        <f>IFERROR(IF(S149="Check Data ⚠","Check Data ⚠",VLOOKUP(S149,'G-4 Temporal multipliers'!$A$4:$C$37,3,FALSE)),"")</f>
        <v/>
      </c>
      <c r="U149" s="523" t="str">
        <f>IF(F149="","",VLOOKUP(F149,'G-3 Multipliers'!$A$2:$E$129,2,FALSE))</f>
        <v/>
      </c>
      <c r="V149" s="520" t="str">
        <f t="shared" si="14"/>
        <v/>
      </c>
      <c r="W149" s="520" t="str">
        <f>IF(E149="","",IF(AND(V149="Standard difficulty applied",O149&gt;P149),U149,IF(AND(V149="Low Difficulty - only applicable if all habitat created before losses ⚠",P149&gt;=O149),"Low",VLOOKUP(F149,'G-3 Multipliers'!$A$2:$E$129,4,FALSE))))</f>
        <v/>
      </c>
      <c r="X149" s="524" t="str">
        <f>IFERROR(IF(E149="","",VLOOKUP(W149, 'G-3 Multipliers'!$P$2:$Q$6,2,FALSE)),"")</f>
        <v/>
      </c>
      <c r="Y149" s="197"/>
      <c r="Z149" s="499" t="str">
        <f>IF(Y149="","",IF(VLOOKUP(Y149,'G-3 Multipliers'!$S$3:$T$9,2,FALSE)=0,"Spatial Data Missing ⚠",VLOOKUP(Y149,'G-3 Multipliers'!$S$3:$T$9,2,FALSE)))</f>
        <v/>
      </c>
      <c r="AA149" s="545" t="str">
        <f t="shared" si="13"/>
        <v/>
      </c>
      <c r="AB149" s="149"/>
      <c r="AC149" s="150"/>
    </row>
    <row r="150" spans="1:29" ht="14" x14ac:dyDescent="0.3">
      <c r="A150" s="31" t="str">
        <f>IFERROR(INDEX('G-8 Condition Look up'!$I$4:$I$130,MATCH(F150,'G-8 Condition Look up'!$A$4:$A$130,0)),"")</f>
        <v/>
      </c>
      <c r="C150" s="244" t="str">
        <f>IFERROR(INDEX('G-1 All Habitats'!$AG$3:$AG$15,MATCH(D150,'G-1 All Habitats'!$AF$3:$AF$15,0)),"")</f>
        <v/>
      </c>
      <c r="D150" s="154"/>
      <c r="E150" s="203"/>
      <c r="F150" s="243" t="str">
        <f>IFERROR(INDEX('G-1 All Habitats'!$B$3:$B$129,MATCH(E150,'G-1 All Habitats'!$A$3:$A$129,0)),"")</f>
        <v/>
      </c>
      <c r="G150" s="386"/>
      <c r="H150" s="537" t="str">
        <f>IF(F150="","",VLOOKUP(F150,'G-1 All Habitats'!$B$2:$M$129,10,FALSE))</f>
        <v/>
      </c>
      <c r="I150" s="524" t="str">
        <f>IFERROR(VLOOKUP(H150,'G-1 All Habitats'!$V$3:$W$7,2,FALSE),"")</f>
        <v/>
      </c>
      <c r="J150" s="199"/>
      <c r="K150" s="524" t="str">
        <f>IFERROR(INDEX('G-8 Condition Look up'!$A$3:$H$130,MATCH(F150,'G-8 Condition Look up'!$A$3:$A$130,0),MATCH(J150,'G-8 Condition Look up'!$A$3:$H$3,0)),"")</f>
        <v/>
      </c>
      <c r="L150" s="145"/>
      <c r="M150" s="540" t="str">
        <f>IF(L150="","",IF(VLOOKUP(L150,'G-3 Multipliers'!$L$3:$N$6,2,FALSE)=0,"Spatial Data Missing ⚠",VLOOKUP(L150,'G-3 Multipliers'!$L$3:$N$6,2,FALSE)))</f>
        <v/>
      </c>
      <c r="N150" s="499" t="str">
        <f>IF(L150="","",IF(VLOOKUP(L150,'G-3 Multipliers'!$L$3:$N$6,3,FALSE)=0,"Spatial Data Missing ⚠",VLOOKUP(L150,'G-3 Multipliers'!$L$3:$N$6,3,FALSE)))</f>
        <v/>
      </c>
      <c r="O150" s="498" t="str">
        <f t="shared" si="10"/>
        <v/>
      </c>
      <c r="P150" s="195"/>
      <c r="Q150" s="195"/>
      <c r="R150" s="520" t="str">
        <f t="shared" si="11"/>
        <v/>
      </c>
      <c r="S150" s="544" t="str">
        <f t="shared" si="12"/>
        <v/>
      </c>
      <c r="T150" s="525" t="str">
        <f>IFERROR(IF(S150="Check Data ⚠","Check Data ⚠",VLOOKUP(S150,'G-4 Temporal multipliers'!$A$4:$C$37,3,FALSE)),"")</f>
        <v/>
      </c>
      <c r="U150" s="523" t="str">
        <f>IF(F150="","",VLOOKUP(F150,'G-3 Multipliers'!$A$2:$E$129,2,FALSE))</f>
        <v/>
      </c>
      <c r="V150" s="520" t="str">
        <f t="shared" si="14"/>
        <v/>
      </c>
      <c r="W150" s="520" t="str">
        <f>IF(E150="","",IF(AND(V150="Standard difficulty applied",O150&gt;P150),U150,IF(AND(V150="Low Difficulty - only applicable if all habitat created before losses ⚠",P150&gt;=O150),"Low",VLOOKUP(F150,'G-3 Multipliers'!$A$2:$E$129,4,FALSE))))</f>
        <v/>
      </c>
      <c r="X150" s="524" t="str">
        <f>IFERROR(IF(E150="","",VLOOKUP(W150, 'G-3 Multipliers'!$P$2:$Q$6,2,FALSE)),"")</f>
        <v/>
      </c>
      <c r="Y150" s="197"/>
      <c r="Z150" s="499" t="str">
        <f>IF(Y150="","",IF(VLOOKUP(Y150,'G-3 Multipliers'!$S$3:$T$9,2,FALSE)=0,"Spatial Data Missing ⚠",VLOOKUP(Y150,'G-3 Multipliers'!$S$3:$T$9,2,FALSE)))</f>
        <v/>
      </c>
      <c r="AA150" s="545" t="str">
        <f t="shared" si="13"/>
        <v/>
      </c>
      <c r="AB150" s="149"/>
      <c r="AC150" s="150"/>
    </row>
    <row r="151" spans="1:29" ht="14" x14ac:dyDescent="0.3">
      <c r="A151" s="31" t="str">
        <f>IFERROR(INDEX('G-8 Condition Look up'!$I$4:$I$130,MATCH(F151,'G-8 Condition Look up'!$A$4:$A$130,0)),"")</f>
        <v/>
      </c>
      <c r="C151" s="244" t="str">
        <f>IFERROR(INDEX('G-1 All Habitats'!$AG$3:$AG$15,MATCH(D151,'G-1 All Habitats'!$AF$3:$AF$15,0)),"")</f>
        <v/>
      </c>
      <c r="D151" s="154"/>
      <c r="E151" s="203"/>
      <c r="F151" s="243" t="str">
        <f>IFERROR(INDEX('G-1 All Habitats'!$B$3:$B$129,MATCH(E151,'G-1 All Habitats'!$A$3:$A$129,0)),"")</f>
        <v/>
      </c>
      <c r="G151" s="386"/>
      <c r="H151" s="537" t="str">
        <f>IF(F151="","",VLOOKUP(F151,'G-1 All Habitats'!$B$2:$M$129,10,FALSE))</f>
        <v/>
      </c>
      <c r="I151" s="524" t="str">
        <f>IFERROR(VLOOKUP(H151,'G-1 All Habitats'!$V$3:$W$7,2,FALSE),"")</f>
        <v/>
      </c>
      <c r="J151" s="199"/>
      <c r="K151" s="524" t="str">
        <f>IFERROR(INDEX('G-8 Condition Look up'!$A$3:$H$130,MATCH(F151,'G-8 Condition Look up'!$A$3:$A$130,0),MATCH(J151,'G-8 Condition Look up'!$A$3:$H$3,0)),"")</f>
        <v/>
      </c>
      <c r="L151" s="145"/>
      <c r="M151" s="540" t="str">
        <f>IF(L151="","",IF(VLOOKUP(L151,'G-3 Multipliers'!$L$3:$N$6,2,FALSE)=0,"Spatial Data Missing ⚠",VLOOKUP(L151,'G-3 Multipliers'!$L$3:$N$6,2,FALSE)))</f>
        <v/>
      </c>
      <c r="N151" s="499" t="str">
        <f>IF(L151="","",IF(VLOOKUP(L151,'G-3 Multipliers'!$L$3:$N$6,3,FALSE)=0,"Spatial Data Missing ⚠",VLOOKUP(L151,'G-3 Multipliers'!$L$3:$N$6,3,FALSE)))</f>
        <v/>
      </c>
      <c r="O151" s="498" t="str">
        <f t="shared" si="10"/>
        <v/>
      </c>
      <c r="P151" s="195"/>
      <c r="Q151" s="195"/>
      <c r="R151" s="520" t="str">
        <f t="shared" si="11"/>
        <v/>
      </c>
      <c r="S151" s="544" t="str">
        <f t="shared" si="12"/>
        <v/>
      </c>
      <c r="T151" s="525" t="str">
        <f>IFERROR(IF(S151="Check Data ⚠","Check Data ⚠",VLOOKUP(S151,'G-4 Temporal multipliers'!$A$4:$C$37,3,FALSE)),"")</f>
        <v/>
      </c>
      <c r="U151" s="523" t="str">
        <f>IF(F151="","",VLOOKUP(F151,'G-3 Multipliers'!$A$2:$E$129,2,FALSE))</f>
        <v/>
      </c>
      <c r="V151" s="520" t="str">
        <f t="shared" si="14"/>
        <v/>
      </c>
      <c r="W151" s="520" t="str">
        <f>IF(E151="","",IF(AND(V151="Standard difficulty applied",O151&gt;P151),U151,IF(AND(V151="Low Difficulty - only applicable if all habitat created before losses ⚠",P151&gt;=O151),"Low",VLOOKUP(F151,'G-3 Multipliers'!$A$2:$E$129,4,FALSE))))</f>
        <v/>
      </c>
      <c r="X151" s="524" t="str">
        <f>IFERROR(IF(E151="","",VLOOKUP(W151, 'G-3 Multipliers'!$P$2:$Q$6,2,FALSE)),"")</f>
        <v/>
      </c>
      <c r="Y151" s="197"/>
      <c r="Z151" s="499" t="str">
        <f>IF(Y151="","",IF(VLOOKUP(Y151,'G-3 Multipliers'!$S$3:$T$9,2,FALSE)=0,"Spatial Data Missing ⚠",VLOOKUP(Y151,'G-3 Multipliers'!$S$3:$T$9,2,FALSE)))</f>
        <v/>
      </c>
      <c r="AA151" s="545" t="str">
        <f t="shared" si="13"/>
        <v/>
      </c>
      <c r="AB151" s="149"/>
      <c r="AC151" s="150"/>
    </row>
    <row r="152" spans="1:29" ht="14" x14ac:dyDescent="0.3">
      <c r="A152" s="31" t="str">
        <f>IFERROR(INDEX('G-8 Condition Look up'!$I$4:$I$130,MATCH(F152,'G-8 Condition Look up'!$A$4:$A$130,0)),"")</f>
        <v/>
      </c>
      <c r="C152" s="244" t="str">
        <f>IFERROR(INDEX('G-1 All Habitats'!$AG$3:$AG$15,MATCH(D152,'G-1 All Habitats'!$AF$3:$AF$15,0)),"")</f>
        <v/>
      </c>
      <c r="D152" s="154"/>
      <c r="E152" s="203"/>
      <c r="F152" s="243" t="str">
        <f>IFERROR(INDEX('G-1 All Habitats'!$B$3:$B$129,MATCH(E152,'G-1 All Habitats'!$A$3:$A$129,0)),"")</f>
        <v/>
      </c>
      <c r="G152" s="386"/>
      <c r="H152" s="537" t="str">
        <f>IF(F152="","",VLOOKUP(F152,'G-1 All Habitats'!$B$2:$M$129,10,FALSE))</f>
        <v/>
      </c>
      <c r="I152" s="524" t="str">
        <f>IFERROR(VLOOKUP(H152,'G-1 All Habitats'!$V$3:$W$7,2,FALSE),"")</f>
        <v/>
      </c>
      <c r="J152" s="199"/>
      <c r="K152" s="524" t="str">
        <f>IFERROR(INDEX('G-8 Condition Look up'!$A$3:$H$130,MATCH(F152,'G-8 Condition Look up'!$A$3:$A$130,0),MATCH(J152,'G-8 Condition Look up'!$A$3:$H$3,0)),"")</f>
        <v/>
      </c>
      <c r="L152" s="145"/>
      <c r="M152" s="540" t="str">
        <f>IF(L152="","",IF(VLOOKUP(L152,'G-3 Multipliers'!$L$3:$N$6,2,FALSE)=0,"Spatial Data Missing ⚠",VLOOKUP(L152,'G-3 Multipliers'!$L$3:$N$6,2,FALSE)))</f>
        <v/>
      </c>
      <c r="N152" s="499" t="str">
        <f>IF(L152="","",IF(VLOOKUP(L152,'G-3 Multipliers'!$L$3:$N$6,3,FALSE)=0,"Spatial Data Missing ⚠",VLOOKUP(L152,'G-3 Multipliers'!$L$3:$N$6,3,FALSE)))</f>
        <v/>
      </c>
      <c r="O152" s="498" t="str">
        <f t="shared" si="10"/>
        <v/>
      </c>
      <c r="P152" s="195"/>
      <c r="Q152" s="195"/>
      <c r="R152" s="520" t="str">
        <f t="shared" si="11"/>
        <v/>
      </c>
      <c r="S152" s="544" t="str">
        <f t="shared" si="12"/>
        <v/>
      </c>
      <c r="T152" s="525" t="str">
        <f>IFERROR(IF(S152="Check Data ⚠","Check Data ⚠",VLOOKUP(S152,'G-4 Temporal multipliers'!$A$4:$C$37,3,FALSE)),"")</f>
        <v/>
      </c>
      <c r="U152" s="523" t="str">
        <f>IF(F152="","",VLOOKUP(F152,'G-3 Multipliers'!$A$2:$E$129,2,FALSE))</f>
        <v/>
      </c>
      <c r="V152" s="520" t="str">
        <f t="shared" si="14"/>
        <v/>
      </c>
      <c r="W152" s="520" t="str">
        <f>IF(E152="","",IF(AND(V152="Standard difficulty applied",O152&gt;P152),U152,IF(AND(V152="Low Difficulty - only applicable if all habitat created before losses ⚠",P152&gt;=O152),"Low",VLOOKUP(F152,'G-3 Multipliers'!$A$2:$E$129,4,FALSE))))</f>
        <v/>
      </c>
      <c r="X152" s="524" t="str">
        <f>IFERROR(IF(E152="","",VLOOKUP(W152, 'G-3 Multipliers'!$P$2:$Q$6,2,FALSE)),"")</f>
        <v/>
      </c>
      <c r="Y152" s="197"/>
      <c r="Z152" s="499" t="str">
        <f>IF(Y152="","",IF(VLOOKUP(Y152,'G-3 Multipliers'!$S$3:$T$9,2,FALSE)=0,"Spatial Data Missing ⚠",VLOOKUP(Y152,'G-3 Multipliers'!$S$3:$T$9,2,FALSE)))</f>
        <v/>
      </c>
      <c r="AA152" s="545" t="str">
        <f t="shared" si="13"/>
        <v/>
      </c>
      <c r="AB152" s="149"/>
      <c r="AC152" s="150"/>
    </row>
    <row r="153" spans="1:29" ht="14" x14ac:dyDescent="0.3">
      <c r="A153" s="31" t="str">
        <f>IFERROR(INDEX('G-8 Condition Look up'!$I$4:$I$130,MATCH(F153,'G-8 Condition Look up'!$A$4:$A$130,0)),"")</f>
        <v/>
      </c>
      <c r="C153" s="244" t="str">
        <f>IFERROR(INDEX('G-1 All Habitats'!$AG$3:$AG$15,MATCH(D153,'G-1 All Habitats'!$AF$3:$AF$15,0)),"")</f>
        <v/>
      </c>
      <c r="D153" s="154"/>
      <c r="E153" s="203"/>
      <c r="F153" s="243" t="str">
        <f>IFERROR(INDEX('G-1 All Habitats'!$B$3:$B$129,MATCH(E153,'G-1 All Habitats'!$A$3:$A$129,0)),"")</f>
        <v/>
      </c>
      <c r="G153" s="386"/>
      <c r="H153" s="537" t="str">
        <f>IF(F153="","",VLOOKUP(F153,'G-1 All Habitats'!$B$2:$M$129,10,FALSE))</f>
        <v/>
      </c>
      <c r="I153" s="524" t="str">
        <f>IFERROR(VLOOKUP(H153,'G-1 All Habitats'!$V$3:$W$7,2,FALSE),"")</f>
        <v/>
      </c>
      <c r="J153" s="199"/>
      <c r="K153" s="524" t="str">
        <f>IFERROR(INDEX('G-8 Condition Look up'!$A$3:$H$130,MATCH(F153,'G-8 Condition Look up'!$A$3:$A$130,0),MATCH(J153,'G-8 Condition Look up'!$A$3:$H$3,0)),"")</f>
        <v/>
      </c>
      <c r="L153" s="145"/>
      <c r="M153" s="540" t="str">
        <f>IF(L153="","",IF(VLOOKUP(L153,'G-3 Multipliers'!$L$3:$N$6,2,FALSE)=0,"Spatial Data Missing ⚠",VLOOKUP(L153,'G-3 Multipliers'!$L$3:$N$6,2,FALSE)))</f>
        <v/>
      </c>
      <c r="N153" s="499" t="str">
        <f>IF(L153="","",IF(VLOOKUP(L153,'G-3 Multipliers'!$L$3:$N$6,3,FALSE)=0,"Spatial Data Missing ⚠",VLOOKUP(L153,'G-3 Multipliers'!$L$3:$N$6,3,FALSE)))</f>
        <v/>
      </c>
      <c r="O153" s="498" t="str">
        <f t="shared" si="10"/>
        <v/>
      </c>
      <c r="P153" s="195"/>
      <c r="Q153" s="195"/>
      <c r="R153" s="520" t="str">
        <f t="shared" si="11"/>
        <v/>
      </c>
      <c r="S153" s="544" t="str">
        <f t="shared" si="12"/>
        <v/>
      </c>
      <c r="T153" s="525" t="str">
        <f>IFERROR(IF(S153="Check Data ⚠","Check Data ⚠",VLOOKUP(S153,'G-4 Temporal multipliers'!$A$4:$C$37,3,FALSE)),"")</f>
        <v/>
      </c>
      <c r="U153" s="523" t="str">
        <f>IF(F153="","",VLOOKUP(F153,'G-3 Multipliers'!$A$2:$E$129,2,FALSE))</f>
        <v/>
      </c>
      <c r="V153" s="520" t="str">
        <f t="shared" si="14"/>
        <v/>
      </c>
      <c r="W153" s="520" t="str">
        <f>IF(E153="","",IF(AND(V153="Standard difficulty applied",O153&gt;P153),U153,IF(AND(V153="Low Difficulty - only applicable if all habitat created before losses ⚠",P153&gt;=O153),"Low",VLOOKUP(F153,'G-3 Multipliers'!$A$2:$E$129,4,FALSE))))</f>
        <v/>
      </c>
      <c r="X153" s="524" t="str">
        <f>IFERROR(IF(E153="","",VLOOKUP(W153, 'G-3 Multipliers'!$P$2:$Q$6,2,FALSE)),"")</f>
        <v/>
      </c>
      <c r="Y153" s="197"/>
      <c r="Z153" s="499" t="str">
        <f>IF(Y153="","",IF(VLOOKUP(Y153,'G-3 Multipliers'!$S$3:$T$9,2,FALSE)=0,"Spatial Data Missing ⚠",VLOOKUP(Y153,'G-3 Multipliers'!$S$3:$T$9,2,FALSE)))</f>
        <v/>
      </c>
      <c r="AA153" s="545" t="str">
        <f t="shared" si="13"/>
        <v/>
      </c>
      <c r="AB153" s="149"/>
      <c r="AC153" s="150"/>
    </row>
    <row r="154" spans="1:29" ht="14" x14ac:dyDescent="0.3">
      <c r="A154" s="31" t="str">
        <f>IFERROR(INDEX('G-8 Condition Look up'!$I$4:$I$130,MATCH(F154,'G-8 Condition Look up'!$A$4:$A$130,0)),"")</f>
        <v/>
      </c>
      <c r="C154" s="244" t="str">
        <f>IFERROR(INDEX('G-1 All Habitats'!$AG$3:$AG$15,MATCH(D154,'G-1 All Habitats'!$AF$3:$AF$15,0)),"")</f>
        <v/>
      </c>
      <c r="D154" s="154"/>
      <c r="E154" s="203"/>
      <c r="F154" s="243" t="str">
        <f>IFERROR(INDEX('G-1 All Habitats'!$B$3:$B$129,MATCH(E154,'G-1 All Habitats'!$A$3:$A$129,0)),"")</f>
        <v/>
      </c>
      <c r="G154" s="386"/>
      <c r="H154" s="537" t="str">
        <f>IF(F154="","",VLOOKUP(F154,'G-1 All Habitats'!$B$2:$M$129,10,FALSE))</f>
        <v/>
      </c>
      <c r="I154" s="524" t="str">
        <f>IFERROR(VLOOKUP(H154,'G-1 All Habitats'!$V$3:$W$7,2,FALSE),"")</f>
        <v/>
      </c>
      <c r="J154" s="199"/>
      <c r="K154" s="524" t="str">
        <f>IFERROR(INDEX('G-8 Condition Look up'!$A$3:$H$130,MATCH(F154,'G-8 Condition Look up'!$A$3:$A$130,0),MATCH(J154,'G-8 Condition Look up'!$A$3:$H$3,0)),"")</f>
        <v/>
      </c>
      <c r="L154" s="145"/>
      <c r="M154" s="540" t="str">
        <f>IF(L154="","",IF(VLOOKUP(L154,'G-3 Multipliers'!$L$3:$N$6,2,FALSE)=0,"Spatial Data Missing ⚠",VLOOKUP(L154,'G-3 Multipliers'!$L$3:$N$6,2,FALSE)))</f>
        <v/>
      </c>
      <c r="N154" s="499" t="str">
        <f>IF(L154="","",IF(VLOOKUP(L154,'G-3 Multipliers'!$L$3:$N$6,3,FALSE)=0,"Spatial Data Missing ⚠",VLOOKUP(L154,'G-3 Multipliers'!$L$3:$N$6,3,FALSE)))</f>
        <v/>
      </c>
      <c r="O154" s="498" t="str">
        <f t="shared" si="10"/>
        <v/>
      </c>
      <c r="P154" s="195"/>
      <c r="Q154" s="195"/>
      <c r="R154" s="520" t="str">
        <f t="shared" si="11"/>
        <v/>
      </c>
      <c r="S154" s="544" t="str">
        <f t="shared" si="12"/>
        <v/>
      </c>
      <c r="T154" s="525" t="str">
        <f>IFERROR(IF(S154="Check Data ⚠","Check Data ⚠",VLOOKUP(S154,'G-4 Temporal multipliers'!$A$4:$C$37,3,FALSE)),"")</f>
        <v/>
      </c>
      <c r="U154" s="523" t="str">
        <f>IF(F154="","",VLOOKUP(F154,'G-3 Multipliers'!$A$2:$E$129,2,FALSE))</f>
        <v/>
      </c>
      <c r="V154" s="520" t="str">
        <f t="shared" si="14"/>
        <v/>
      </c>
      <c r="W154" s="520" t="str">
        <f>IF(E154="","",IF(AND(V154="Standard difficulty applied",O154&gt;P154),U154,IF(AND(V154="Low Difficulty - only applicable if all habitat created before losses ⚠",P154&gt;=O154),"Low",VLOOKUP(F154,'G-3 Multipliers'!$A$2:$E$129,4,FALSE))))</f>
        <v/>
      </c>
      <c r="X154" s="524" t="str">
        <f>IFERROR(IF(E154="","",VLOOKUP(W154, 'G-3 Multipliers'!$P$2:$Q$6,2,FALSE)),"")</f>
        <v/>
      </c>
      <c r="Y154" s="197"/>
      <c r="Z154" s="499" t="str">
        <f>IF(Y154="","",IF(VLOOKUP(Y154,'G-3 Multipliers'!$S$3:$T$9,2,FALSE)=0,"Spatial Data Missing ⚠",VLOOKUP(Y154,'G-3 Multipliers'!$S$3:$T$9,2,FALSE)))</f>
        <v/>
      </c>
      <c r="AA154" s="545" t="str">
        <f t="shared" si="13"/>
        <v/>
      </c>
      <c r="AB154" s="149"/>
      <c r="AC154" s="150"/>
    </row>
    <row r="155" spans="1:29" ht="14" x14ac:dyDescent="0.3">
      <c r="A155" s="31" t="str">
        <f>IFERROR(INDEX('G-8 Condition Look up'!$I$4:$I$130,MATCH(F155,'G-8 Condition Look up'!$A$4:$A$130,0)),"")</f>
        <v/>
      </c>
      <c r="C155" s="244" t="str">
        <f>IFERROR(INDEX('G-1 All Habitats'!$AG$3:$AG$15,MATCH(D155,'G-1 All Habitats'!$AF$3:$AF$15,0)),"")</f>
        <v/>
      </c>
      <c r="D155" s="154"/>
      <c r="E155" s="203"/>
      <c r="F155" s="243" t="str">
        <f>IFERROR(INDEX('G-1 All Habitats'!$B$3:$B$129,MATCH(E155,'G-1 All Habitats'!$A$3:$A$129,0)),"")</f>
        <v/>
      </c>
      <c r="G155" s="386"/>
      <c r="H155" s="537" t="str">
        <f>IF(F155="","",VLOOKUP(F155,'G-1 All Habitats'!$B$2:$M$129,10,FALSE))</f>
        <v/>
      </c>
      <c r="I155" s="524" t="str">
        <f>IFERROR(VLOOKUP(H155,'G-1 All Habitats'!$V$3:$W$7,2,FALSE),"")</f>
        <v/>
      </c>
      <c r="J155" s="199"/>
      <c r="K155" s="524" t="str">
        <f>IFERROR(INDEX('G-8 Condition Look up'!$A$3:$H$130,MATCH(F155,'G-8 Condition Look up'!$A$3:$A$130,0),MATCH(J155,'G-8 Condition Look up'!$A$3:$H$3,0)),"")</f>
        <v/>
      </c>
      <c r="L155" s="145"/>
      <c r="M155" s="540" t="str">
        <f>IF(L155="","",IF(VLOOKUP(L155,'G-3 Multipliers'!$L$3:$N$6,2,FALSE)=0,"Spatial Data Missing ⚠",VLOOKUP(L155,'G-3 Multipliers'!$L$3:$N$6,2,FALSE)))</f>
        <v/>
      </c>
      <c r="N155" s="499" t="str">
        <f>IF(L155="","",IF(VLOOKUP(L155,'G-3 Multipliers'!$L$3:$N$6,3,FALSE)=0,"Spatial Data Missing ⚠",VLOOKUP(L155,'G-3 Multipliers'!$L$3:$N$6,3,FALSE)))</f>
        <v/>
      </c>
      <c r="O155" s="498" t="str">
        <f t="shared" si="10"/>
        <v/>
      </c>
      <c r="P155" s="195"/>
      <c r="Q155" s="195"/>
      <c r="R155" s="520" t="str">
        <f t="shared" si="11"/>
        <v/>
      </c>
      <c r="S155" s="544" t="str">
        <f t="shared" si="12"/>
        <v/>
      </c>
      <c r="T155" s="525" t="str">
        <f>IFERROR(IF(S155="Check Data ⚠","Check Data ⚠",VLOOKUP(S155,'G-4 Temporal multipliers'!$A$4:$C$37,3,FALSE)),"")</f>
        <v/>
      </c>
      <c r="U155" s="523" t="str">
        <f>IF(F155="","",VLOOKUP(F155,'G-3 Multipliers'!$A$2:$E$129,2,FALSE))</f>
        <v/>
      </c>
      <c r="V155" s="520" t="str">
        <f t="shared" si="14"/>
        <v/>
      </c>
      <c r="W155" s="520" t="str">
        <f>IF(E155="","",IF(AND(V155="Standard difficulty applied",O155&gt;P155),U155,IF(AND(V155="Low Difficulty - only applicable if all habitat created before losses ⚠",P155&gt;=O155),"Low",VLOOKUP(F155,'G-3 Multipliers'!$A$2:$E$129,4,FALSE))))</f>
        <v/>
      </c>
      <c r="X155" s="524" t="str">
        <f>IFERROR(IF(E155="","",VLOOKUP(W155, 'G-3 Multipliers'!$P$2:$Q$6,2,FALSE)),"")</f>
        <v/>
      </c>
      <c r="Y155" s="197"/>
      <c r="Z155" s="499" t="str">
        <f>IF(Y155="","",IF(VLOOKUP(Y155,'G-3 Multipliers'!$S$3:$T$9,2,FALSE)=0,"Spatial Data Missing ⚠",VLOOKUP(Y155,'G-3 Multipliers'!$S$3:$T$9,2,FALSE)))</f>
        <v/>
      </c>
      <c r="AA155" s="545" t="str">
        <f t="shared" si="13"/>
        <v/>
      </c>
      <c r="AB155" s="149"/>
      <c r="AC155" s="150"/>
    </row>
    <row r="156" spans="1:29" ht="14" x14ac:dyDescent="0.3">
      <c r="A156" s="31" t="str">
        <f>IFERROR(INDEX('G-8 Condition Look up'!$I$4:$I$130,MATCH(F156,'G-8 Condition Look up'!$A$4:$A$130,0)),"")</f>
        <v/>
      </c>
      <c r="C156" s="244" t="str">
        <f>IFERROR(INDEX('G-1 All Habitats'!$AG$3:$AG$15,MATCH(D156,'G-1 All Habitats'!$AF$3:$AF$15,0)),"")</f>
        <v/>
      </c>
      <c r="D156" s="154"/>
      <c r="E156" s="203"/>
      <c r="F156" s="243" t="str">
        <f>IFERROR(INDEX('G-1 All Habitats'!$B$3:$B$129,MATCH(E156,'G-1 All Habitats'!$A$3:$A$129,0)),"")</f>
        <v/>
      </c>
      <c r="G156" s="386"/>
      <c r="H156" s="537" t="str">
        <f>IF(F156="","",VLOOKUP(F156,'G-1 All Habitats'!$B$2:$M$129,10,FALSE))</f>
        <v/>
      </c>
      <c r="I156" s="524" t="str">
        <f>IFERROR(VLOOKUP(H156,'G-1 All Habitats'!$V$3:$W$7,2,FALSE),"")</f>
        <v/>
      </c>
      <c r="J156" s="199"/>
      <c r="K156" s="524" t="str">
        <f>IFERROR(INDEX('G-8 Condition Look up'!$A$3:$H$130,MATCH(F156,'G-8 Condition Look up'!$A$3:$A$130,0),MATCH(J156,'G-8 Condition Look up'!$A$3:$H$3,0)),"")</f>
        <v/>
      </c>
      <c r="L156" s="145"/>
      <c r="M156" s="540" t="str">
        <f>IF(L156="","",IF(VLOOKUP(L156,'G-3 Multipliers'!$L$3:$N$6,2,FALSE)=0,"Spatial Data Missing ⚠",VLOOKUP(L156,'G-3 Multipliers'!$L$3:$N$6,2,FALSE)))</f>
        <v/>
      </c>
      <c r="N156" s="499" t="str">
        <f>IF(L156="","",IF(VLOOKUP(L156,'G-3 Multipliers'!$L$3:$N$6,3,FALSE)=0,"Spatial Data Missing ⚠",VLOOKUP(L156,'G-3 Multipliers'!$L$3:$N$6,3,FALSE)))</f>
        <v/>
      </c>
      <c r="O156" s="498" t="str">
        <f t="shared" si="10"/>
        <v/>
      </c>
      <c r="P156" s="195"/>
      <c r="Q156" s="195"/>
      <c r="R156" s="520" t="str">
        <f t="shared" si="11"/>
        <v/>
      </c>
      <c r="S156" s="544" t="str">
        <f t="shared" si="12"/>
        <v/>
      </c>
      <c r="T156" s="525" t="str">
        <f>IFERROR(IF(S156="Check Data ⚠","Check Data ⚠",VLOOKUP(S156,'G-4 Temporal multipliers'!$A$4:$C$37,3,FALSE)),"")</f>
        <v/>
      </c>
      <c r="U156" s="523" t="str">
        <f>IF(F156="","",VLOOKUP(F156,'G-3 Multipliers'!$A$2:$E$129,2,FALSE))</f>
        <v/>
      </c>
      <c r="V156" s="520" t="str">
        <f t="shared" si="14"/>
        <v/>
      </c>
      <c r="W156" s="520" t="str">
        <f>IF(E156="","",IF(AND(V156="Standard difficulty applied",O156&gt;P156),U156,IF(AND(V156="Low Difficulty - only applicable if all habitat created before losses ⚠",P156&gt;=O156),"Low",VLOOKUP(F156,'G-3 Multipliers'!$A$2:$E$129,4,FALSE))))</f>
        <v/>
      </c>
      <c r="X156" s="524" t="str">
        <f>IFERROR(IF(E156="","",VLOOKUP(W156, 'G-3 Multipliers'!$P$2:$Q$6,2,FALSE)),"")</f>
        <v/>
      </c>
      <c r="Y156" s="197"/>
      <c r="Z156" s="499" t="str">
        <f>IF(Y156="","",IF(VLOOKUP(Y156,'G-3 Multipliers'!$S$3:$T$9,2,FALSE)=0,"Spatial Data Missing ⚠",VLOOKUP(Y156,'G-3 Multipliers'!$S$3:$T$9,2,FALSE)))</f>
        <v/>
      </c>
      <c r="AA156" s="545" t="str">
        <f t="shared" si="13"/>
        <v/>
      </c>
      <c r="AB156" s="149"/>
      <c r="AC156" s="150"/>
    </row>
    <row r="157" spans="1:29" ht="14" x14ac:dyDescent="0.3">
      <c r="A157" s="31" t="str">
        <f>IFERROR(INDEX('G-8 Condition Look up'!$I$4:$I$130,MATCH(F157,'G-8 Condition Look up'!$A$4:$A$130,0)),"")</f>
        <v/>
      </c>
      <c r="C157" s="244" t="str">
        <f>IFERROR(INDEX('G-1 All Habitats'!$AG$3:$AG$15,MATCH(D157,'G-1 All Habitats'!$AF$3:$AF$15,0)),"")</f>
        <v/>
      </c>
      <c r="D157" s="154"/>
      <c r="E157" s="203"/>
      <c r="F157" s="243" t="str">
        <f>IFERROR(INDEX('G-1 All Habitats'!$B$3:$B$129,MATCH(E157,'G-1 All Habitats'!$A$3:$A$129,0)),"")</f>
        <v/>
      </c>
      <c r="G157" s="386"/>
      <c r="H157" s="537" t="str">
        <f>IF(F157="","",VLOOKUP(F157,'G-1 All Habitats'!$B$2:$M$129,10,FALSE))</f>
        <v/>
      </c>
      <c r="I157" s="524" t="str">
        <f>IFERROR(VLOOKUP(H157,'G-1 All Habitats'!$V$3:$W$7,2,FALSE),"")</f>
        <v/>
      </c>
      <c r="J157" s="199"/>
      <c r="K157" s="524" t="str">
        <f>IFERROR(INDEX('G-8 Condition Look up'!$A$3:$H$130,MATCH(F157,'G-8 Condition Look up'!$A$3:$A$130,0),MATCH(J157,'G-8 Condition Look up'!$A$3:$H$3,0)),"")</f>
        <v/>
      </c>
      <c r="L157" s="145"/>
      <c r="M157" s="540" t="str">
        <f>IF(L157="","",IF(VLOOKUP(L157,'G-3 Multipliers'!$L$3:$N$6,2,FALSE)=0,"Spatial Data Missing ⚠",VLOOKUP(L157,'G-3 Multipliers'!$L$3:$N$6,2,FALSE)))</f>
        <v/>
      </c>
      <c r="N157" s="499" t="str">
        <f>IF(L157="","",IF(VLOOKUP(L157,'G-3 Multipliers'!$L$3:$N$6,3,FALSE)=0,"Spatial Data Missing ⚠",VLOOKUP(L157,'G-3 Multipliers'!$L$3:$N$6,3,FALSE)))</f>
        <v/>
      </c>
      <c r="O157" s="498" t="str">
        <f t="shared" si="10"/>
        <v/>
      </c>
      <c r="P157" s="195"/>
      <c r="Q157" s="195"/>
      <c r="R157" s="520" t="str">
        <f t="shared" si="11"/>
        <v/>
      </c>
      <c r="S157" s="544" t="str">
        <f t="shared" si="12"/>
        <v/>
      </c>
      <c r="T157" s="525" t="str">
        <f>IFERROR(IF(S157="Check Data ⚠","Check Data ⚠",VLOOKUP(S157,'G-4 Temporal multipliers'!$A$4:$C$37,3,FALSE)),"")</f>
        <v/>
      </c>
      <c r="U157" s="523" t="str">
        <f>IF(F157="","",VLOOKUP(F157,'G-3 Multipliers'!$A$2:$E$129,2,FALSE))</f>
        <v/>
      </c>
      <c r="V157" s="520" t="str">
        <f t="shared" si="14"/>
        <v/>
      </c>
      <c r="W157" s="520" t="str">
        <f>IF(E157="","",IF(AND(V157="Standard difficulty applied",O157&gt;P157),U157,IF(AND(V157="Low Difficulty - only applicable if all habitat created before losses ⚠",P157&gt;=O157),"Low",VLOOKUP(F157,'G-3 Multipliers'!$A$2:$E$129,4,FALSE))))</f>
        <v/>
      </c>
      <c r="X157" s="524" t="str">
        <f>IFERROR(IF(E157="","",VLOOKUP(W157, 'G-3 Multipliers'!$P$2:$Q$6,2,FALSE)),"")</f>
        <v/>
      </c>
      <c r="Y157" s="197"/>
      <c r="Z157" s="499" t="str">
        <f>IF(Y157="","",IF(VLOOKUP(Y157,'G-3 Multipliers'!$S$3:$T$9,2,FALSE)=0,"Spatial Data Missing ⚠",VLOOKUP(Y157,'G-3 Multipliers'!$S$3:$T$9,2,FALSE)))</f>
        <v/>
      </c>
      <c r="AA157" s="545" t="str">
        <f t="shared" si="13"/>
        <v/>
      </c>
      <c r="AB157" s="149"/>
      <c r="AC157" s="150"/>
    </row>
    <row r="158" spans="1:29" ht="14" x14ac:dyDescent="0.3">
      <c r="A158" s="31" t="str">
        <f>IFERROR(INDEX('G-8 Condition Look up'!$I$4:$I$130,MATCH(F158,'G-8 Condition Look up'!$A$4:$A$130,0)),"")</f>
        <v/>
      </c>
      <c r="C158" s="244" t="str">
        <f>IFERROR(INDEX('G-1 All Habitats'!$AG$3:$AG$15,MATCH(D158,'G-1 All Habitats'!$AF$3:$AF$15,0)),"")</f>
        <v/>
      </c>
      <c r="D158" s="154"/>
      <c r="E158" s="203"/>
      <c r="F158" s="243" t="str">
        <f>IFERROR(INDEX('G-1 All Habitats'!$B$3:$B$129,MATCH(E158,'G-1 All Habitats'!$A$3:$A$129,0)),"")</f>
        <v/>
      </c>
      <c r="G158" s="386"/>
      <c r="H158" s="537" t="str">
        <f>IF(F158="","",VLOOKUP(F158,'G-1 All Habitats'!$B$2:$M$129,10,FALSE))</f>
        <v/>
      </c>
      <c r="I158" s="524" t="str">
        <f>IFERROR(VLOOKUP(H158,'G-1 All Habitats'!$V$3:$W$7,2,FALSE),"")</f>
        <v/>
      </c>
      <c r="J158" s="199"/>
      <c r="K158" s="524" t="str">
        <f>IFERROR(INDEX('G-8 Condition Look up'!$A$3:$H$130,MATCH(F158,'G-8 Condition Look up'!$A$3:$A$130,0),MATCH(J158,'G-8 Condition Look up'!$A$3:$H$3,0)),"")</f>
        <v/>
      </c>
      <c r="L158" s="145"/>
      <c r="M158" s="540" t="str">
        <f>IF(L158="","",IF(VLOOKUP(L158,'G-3 Multipliers'!$L$3:$N$6,2,FALSE)=0,"Spatial Data Missing ⚠",VLOOKUP(L158,'G-3 Multipliers'!$L$3:$N$6,2,FALSE)))</f>
        <v/>
      </c>
      <c r="N158" s="499" t="str">
        <f>IF(L158="","",IF(VLOOKUP(L158,'G-3 Multipliers'!$L$3:$N$6,3,FALSE)=0,"Spatial Data Missing ⚠",VLOOKUP(L158,'G-3 Multipliers'!$L$3:$N$6,3,FALSE)))</f>
        <v/>
      </c>
      <c r="O158" s="498" t="str">
        <f t="shared" si="10"/>
        <v/>
      </c>
      <c r="P158" s="195"/>
      <c r="Q158" s="195"/>
      <c r="R158" s="520" t="str">
        <f t="shared" si="11"/>
        <v/>
      </c>
      <c r="S158" s="544" t="str">
        <f t="shared" si="12"/>
        <v/>
      </c>
      <c r="T158" s="525" t="str">
        <f>IFERROR(IF(S158="Check Data ⚠","Check Data ⚠",VLOOKUP(S158,'G-4 Temporal multipliers'!$A$4:$C$37,3,FALSE)),"")</f>
        <v/>
      </c>
      <c r="U158" s="523" t="str">
        <f>IF(F158="","",VLOOKUP(F158,'G-3 Multipliers'!$A$2:$E$129,2,FALSE))</f>
        <v/>
      </c>
      <c r="V158" s="520" t="str">
        <f t="shared" si="14"/>
        <v/>
      </c>
      <c r="W158" s="520" t="str">
        <f>IF(E158="","",IF(AND(V158="Standard difficulty applied",O158&gt;P158),U158,IF(AND(V158="Low Difficulty - only applicable if all habitat created before losses ⚠",P158&gt;=O158),"Low",VLOOKUP(F158,'G-3 Multipliers'!$A$2:$E$129,4,FALSE))))</f>
        <v/>
      </c>
      <c r="X158" s="524" t="str">
        <f>IFERROR(IF(E158="","",VLOOKUP(W158, 'G-3 Multipliers'!$P$2:$Q$6,2,FALSE)),"")</f>
        <v/>
      </c>
      <c r="Y158" s="197"/>
      <c r="Z158" s="499" t="str">
        <f>IF(Y158="","",IF(VLOOKUP(Y158,'G-3 Multipliers'!$S$3:$T$9,2,FALSE)=0,"Spatial Data Missing ⚠",VLOOKUP(Y158,'G-3 Multipliers'!$S$3:$T$9,2,FALSE)))</f>
        <v/>
      </c>
      <c r="AA158" s="545" t="str">
        <f t="shared" si="13"/>
        <v/>
      </c>
      <c r="AB158" s="149"/>
      <c r="AC158" s="150"/>
    </row>
    <row r="159" spans="1:29" ht="14" x14ac:dyDescent="0.3">
      <c r="A159" s="31" t="str">
        <f>IFERROR(INDEX('G-8 Condition Look up'!$I$4:$I$130,MATCH(F159,'G-8 Condition Look up'!$A$4:$A$130,0)),"")</f>
        <v/>
      </c>
      <c r="C159" s="244" t="str">
        <f>IFERROR(INDEX('G-1 All Habitats'!$AG$3:$AG$15,MATCH(D159,'G-1 All Habitats'!$AF$3:$AF$15,0)),"")</f>
        <v/>
      </c>
      <c r="D159" s="154"/>
      <c r="E159" s="203"/>
      <c r="F159" s="243" t="str">
        <f>IFERROR(INDEX('G-1 All Habitats'!$B$3:$B$129,MATCH(E159,'G-1 All Habitats'!$A$3:$A$129,0)),"")</f>
        <v/>
      </c>
      <c r="G159" s="386"/>
      <c r="H159" s="537" t="str">
        <f>IF(F159="","",VLOOKUP(F159,'G-1 All Habitats'!$B$2:$M$129,10,FALSE))</f>
        <v/>
      </c>
      <c r="I159" s="524" t="str">
        <f>IFERROR(VLOOKUP(H159,'G-1 All Habitats'!$V$3:$W$7,2,FALSE),"")</f>
        <v/>
      </c>
      <c r="J159" s="199"/>
      <c r="K159" s="524" t="str">
        <f>IFERROR(INDEX('G-8 Condition Look up'!$A$3:$H$130,MATCH(F159,'G-8 Condition Look up'!$A$3:$A$130,0),MATCH(J159,'G-8 Condition Look up'!$A$3:$H$3,0)),"")</f>
        <v/>
      </c>
      <c r="L159" s="145"/>
      <c r="M159" s="540" t="str">
        <f>IF(L159="","",IF(VLOOKUP(L159,'G-3 Multipliers'!$L$3:$N$6,2,FALSE)=0,"Spatial Data Missing ⚠",VLOOKUP(L159,'G-3 Multipliers'!$L$3:$N$6,2,FALSE)))</f>
        <v/>
      </c>
      <c r="N159" s="499" t="str">
        <f>IF(L159="","",IF(VLOOKUP(L159,'G-3 Multipliers'!$L$3:$N$6,3,FALSE)=0,"Spatial Data Missing ⚠",VLOOKUP(L159,'G-3 Multipliers'!$L$3:$N$6,3,FALSE)))</f>
        <v/>
      </c>
      <c r="O159" s="498" t="str">
        <f t="shared" si="10"/>
        <v/>
      </c>
      <c r="P159" s="195"/>
      <c r="Q159" s="195"/>
      <c r="R159" s="520" t="str">
        <f t="shared" si="11"/>
        <v/>
      </c>
      <c r="S159" s="544" t="str">
        <f t="shared" si="12"/>
        <v/>
      </c>
      <c r="T159" s="525" t="str">
        <f>IFERROR(IF(S159="Check Data ⚠","Check Data ⚠",VLOOKUP(S159,'G-4 Temporal multipliers'!$A$4:$C$37,3,FALSE)),"")</f>
        <v/>
      </c>
      <c r="U159" s="523" t="str">
        <f>IF(F159="","",VLOOKUP(F159,'G-3 Multipliers'!$A$2:$E$129,2,FALSE))</f>
        <v/>
      </c>
      <c r="V159" s="520" t="str">
        <f t="shared" si="14"/>
        <v/>
      </c>
      <c r="W159" s="520" t="str">
        <f>IF(E159="","",IF(AND(V159="Standard difficulty applied",O159&gt;P159),U159,IF(AND(V159="Low Difficulty - only applicable if all habitat created before losses ⚠",P159&gt;=O159),"Low",VLOOKUP(F159,'G-3 Multipliers'!$A$2:$E$129,4,FALSE))))</f>
        <v/>
      </c>
      <c r="X159" s="524" t="str">
        <f>IFERROR(IF(E159="","",VLOOKUP(W159, 'G-3 Multipliers'!$P$2:$Q$6,2,FALSE)),"")</f>
        <v/>
      </c>
      <c r="Y159" s="197"/>
      <c r="Z159" s="499" t="str">
        <f>IF(Y159="","",IF(VLOOKUP(Y159,'G-3 Multipliers'!$S$3:$T$9,2,FALSE)=0,"Spatial Data Missing ⚠",VLOOKUP(Y159,'G-3 Multipliers'!$S$3:$T$9,2,FALSE)))</f>
        <v/>
      </c>
      <c r="AA159" s="545" t="str">
        <f t="shared" si="13"/>
        <v/>
      </c>
      <c r="AB159" s="149"/>
      <c r="AC159" s="150"/>
    </row>
    <row r="160" spans="1:29" ht="14" x14ac:dyDescent="0.3">
      <c r="A160" s="31" t="str">
        <f>IFERROR(INDEX('G-8 Condition Look up'!$I$4:$I$130,MATCH(F160,'G-8 Condition Look up'!$A$4:$A$130,0)),"")</f>
        <v/>
      </c>
      <c r="C160" s="244" t="str">
        <f>IFERROR(INDEX('G-1 All Habitats'!$AG$3:$AG$15,MATCH(D160,'G-1 All Habitats'!$AF$3:$AF$15,0)),"")</f>
        <v/>
      </c>
      <c r="D160" s="154"/>
      <c r="E160" s="203"/>
      <c r="F160" s="243" t="str">
        <f>IFERROR(INDEX('G-1 All Habitats'!$B$3:$B$129,MATCH(E160,'G-1 All Habitats'!$A$3:$A$129,0)),"")</f>
        <v/>
      </c>
      <c r="G160" s="386"/>
      <c r="H160" s="537" t="str">
        <f>IF(F160="","",VLOOKUP(F160,'G-1 All Habitats'!$B$2:$M$129,10,FALSE))</f>
        <v/>
      </c>
      <c r="I160" s="524" t="str">
        <f>IFERROR(VLOOKUP(H160,'G-1 All Habitats'!$V$3:$W$7,2,FALSE),"")</f>
        <v/>
      </c>
      <c r="J160" s="199"/>
      <c r="K160" s="524" t="str">
        <f>IFERROR(INDEX('G-8 Condition Look up'!$A$3:$H$130,MATCH(F160,'G-8 Condition Look up'!$A$3:$A$130,0),MATCH(J160,'G-8 Condition Look up'!$A$3:$H$3,0)),"")</f>
        <v/>
      </c>
      <c r="L160" s="145"/>
      <c r="M160" s="540" t="str">
        <f>IF(L160="","",IF(VLOOKUP(L160,'G-3 Multipliers'!$L$3:$N$6,2,FALSE)=0,"Spatial Data Missing ⚠",VLOOKUP(L160,'G-3 Multipliers'!$L$3:$N$6,2,FALSE)))</f>
        <v/>
      </c>
      <c r="N160" s="499" t="str">
        <f>IF(L160="","",IF(VLOOKUP(L160,'G-3 Multipliers'!$L$3:$N$6,3,FALSE)=0,"Spatial Data Missing ⚠",VLOOKUP(L160,'G-3 Multipliers'!$L$3:$N$6,3,FALSE)))</f>
        <v/>
      </c>
      <c r="O160" s="498" t="str">
        <f t="shared" si="10"/>
        <v/>
      </c>
      <c r="P160" s="195"/>
      <c r="Q160" s="195"/>
      <c r="R160" s="520" t="str">
        <f t="shared" si="11"/>
        <v/>
      </c>
      <c r="S160" s="544" t="str">
        <f t="shared" si="12"/>
        <v/>
      </c>
      <c r="T160" s="525" t="str">
        <f>IFERROR(IF(S160="Check Data ⚠","Check Data ⚠",VLOOKUP(S160,'G-4 Temporal multipliers'!$A$4:$C$37,3,FALSE)),"")</f>
        <v/>
      </c>
      <c r="U160" s="523" t="str">
        <f>IF(F160="","",VLOOKUP(F160,'G-3 Multipliers'!$A$2:$E$129,2,FALSE))</f>
        <v/>
      </c>
      <c r="V160" s="520" t="str">
        <f t="shared" si="14"/>
        <v/>
      </c>
      <c r="W160" s="520" t="str">
        <f>IF(E160="","",IF(AND(V160="Standard difficulty applied",O160&gt;P160),U160,IF(AND(V160="Low Difficulty - only applicable if all habitat created before losses ⚠",P160&gt;=O160),"Low",VLOOKUP(F160,'G-3 Multipliers'!$A$2:$E$129,4,FALSE))))</f>
        <v/>
      </c>
      <c r="X160" s="524" t="str">
        <f>IFERROR(IF(E160="","",VLOOKUP(W160, 'G-3 Multipliers'!$P$2:$Q$6,2,FALSE)),"")</f>
        <v/>
      </c>
      <c r="Y160" s="197"/>
      <c r="Z160" s="499" t="str">
        <f>IF(Y160="","",IF(VLOOKUP(Y160,'G-3 Multipliers'!$S$3:$T$9,2,FALSE)=0,"Spatial Data Missing ⚠",VLOOKUP(Y160,'G-3 Multipliers'!$S$3:$T$9,2,FALSE)))</f>
        <v/>
      </c>
      <c r="AA160" s="545" t="str">
        <f t="shared" si="13"/>
        <v/>
      </c>
      <c r="AB160" s="149"/>
      <c r="AC160" s="150"/>
    </row>
    <row r="161" spans="1:29" ht="14" x14ac:dyDescent="0.3">
      <c r="A161" s="31" t="str">
        <f>IFERROR(INDEX('G-8 Condition Look up'!$I$4:$I$130,MATCH(F161,'G-8 Condition Look up'!$A$4:$A$130,0)),"")</f>
        <v/>
      </c>
      <c r="C161" s="244" t="str">
        <f>IFERROR(INDEX('G-1 All Habitats'!$AG$3:$AG$15,MATCH(D161,'G-1 All Habitats'!$AF$3:$AF$15,0)),"")</f>
        <v/>
      </c>
      <c r="D161" s="154"/>
      <c r="E161" s="203"/>
      <c r="F161" s="243" t="str">
        <f>IFERROR(INDEX('G-1 All Habitats'!$B$3:$B$129,MATCH(E161,'G-1 All Habitats'!$A$3:$A$129,0)),"")</f>
        <v/>
      </c>
      <c r="G161" s="386"/>
      <c r="H161" s="537" t="str">
        <f>IF(F161="","",VLOOKUP(F161,'G-1 All Habitats'!$B$2:$M$129,10,FALSE))</f>
        <v/>
      </c>
      <c r="I161" s="524" t="str">
        <f>IFERROR(VLOOKUP(H161,'G-1 All Habitats'!$V$3:$W$7,2,FALSE),"")</f>
        <v/>
      </c>
      <c r="J161" s="199"/>
      <c r="K161" s="524" t="str">
        <f>IFERROR(INDEX('G-8 Condition Look up'!$A$3:$H$130,MATCH(F161,'G-8 Condition Look up'!$A$3:$A$130,0),MATCH(J161,'G-8 Condition Look up'!$A$3:$H$3,0)),"")</f>
        <v/>
      </c>
      <c r="L161" s="145"/>
      <c r="M161" s="540" t="str">
        <f>IF(L161="","",IF(VLOOKUP(L161,'G-3 Multipliers'!$L$3:$N$6,2,FALSE)=0,"Spatial Data Missing ⚠",VLOOKUP(L161,'G-3 Multipliers'!$L$3:$N$6,2,FALSE)))</f>
        <v/>
      </c>
      <c r="N161" s="499" t="str">
        <f>IF(L161="","",IF(VLOOKUP(L161,'G-3 Multipliers'!$L$3:$N$6,3,FALSE)=0,"Spatial Data Missing ⚠",VLOOKUP(L161,'G-3 Multipliers'!$L$3:$N$6,3,FALSE)))</f>
        <v/>
      </c>
      <c r="O161" s="498" t="str">
        <f t="shared" si="10"/>
        <v/>
      </c>
      <c r="P161" s="195"/>
      <c r="Q161" s="195"/>
      <c r="R161" s="520" t="str">
        <f t="shared" si="11"/>
        <v/>
      </c>
      <c r="S161" s="544" t="str">
        <f t="shared" si="12"/>
        <v/>
      </c>
      <c r="T161" s="525" t="str">
        <f>IFERROR(IF(S161="Check Data ⚠","Check Data ⚠",VLOOKUP(S161,'G-4 Temporal multipliers'!$A$4:$C$37,3,FALSE)),"")</f>
        <v/>
      </c>
      <c r="U161" s="523" t="str">
        <f>IF(F161="","",VLOOKUP(F161,'G-3 Multipliers'!$A$2:$E$129,2,FALSE))</f>
        <v/>
      </c>
      <c r="V161" s="520" t="str">
        <f t="shared" si="14"/>
        <v/>
      </c>
      <c r="W161" s="520" t="str">
        <f>IF(E161="","",IF(AND(V161="Standard difficulty applied",O161&gt;P161),U161,IF(AND(V161="Low Difficulty - only applicable if all habitat created before losses ⚠",P161&gt;=O161),"Low",VLOOKUP(F161,'G-3 Multipliers'!$A$2:$E$129,4,FALSE))))</f>
        <v/>
      </c>
      <c r="X161" s="524" t="str">
        <f>IFERROR(IF(E161="","",VLOOKUP(W161, 'G-3 Multipliers'!$P$2:$Q$6,2,FALSE)),"")</f>
        <v/>
      </c>
      <c r="Y161" s="197"/>
      <c r="Z161" s="499" t="str">
        <f>IF(Y161="","",IF(VLOOKUP(Y161,'G-3 Multipliers'!$S$3:$T$9,2,FALSE)=0,"Spatial Data Missing ⚠",VLOOKUP(Y161,'G-3 Multipliers'!$S$3:$T$9,2,FALSE)))</f>
        <v/>
      </c>
      <c r="AA161" s="545" t="str">
        <f t="shared" si="13"/>
        <v/>
      </c>
      <c r="AB161" s="149"/>
      <c r="AC161" s="150"/>
    </row>
    <row r="162" spans="1:29" ht="14" x14ac:dyDescent="0.3">
      <c r="A162" s="31" t="str">
        <f>IFERROR(INDEX('G-8 Condition Look up'!$I$4:$I$130,MATCH(F162,'G-8 Condition Look up'!$A$4:$A$130,0)),"")</f>
        <v/>
      </c>
      <c r="C162" s="244" t="str">
        <f>IFERROR(INDEX('G-1 All Habitats'!$AG$3:$AG$15,MATCH(D162,'G-1 All Habitats'!$AF$3:$AF$15,0)),"")</f>
        <v/>
      </c>
      <c r="D162" s="154"/>
      <c r="E162" s="203"/>
      <c r="F162" s="243" t="str">
        <f>IFERROR(INDEX('G-1 All Habitats'!$B$3:$B$129,MATCH(E162,'G-1 All Habitats'!$A$3:$A$129,0)),"")</f>
        <v/>
      </c>
      <c r="G162" s="386"/>
      <c r="H162" s="537" t="str">
        <f>IF(F162="","",VLOOKUP(F162,'G-1 All Habitats'!$B$2:$M$129,10,FALSE))</f>
        <v/>
      </c>
      <c r="I162" s="524" t="str">
        <f>IFERROR(VLOOKUP(H162,'G-1 All Habitats'!$V$3:$W$7,2,FALSE),"")</f>
        <v/>
      </c>
      <c r="J162" s="199"/>
      <c r="K162" s="524" t="str">
        <f>IFERROR(INDEX('G-8 Condition Look up'!$A$3:$H$130,MATCH(F162,'G-8 Condition Look up'!$A$3:$A$130,0),MATCH(J162,'G-8 Condition Look up'!$A$3:$H$3,0)),"")</f>
        <v/>
      </c>
      <c r="L162" s="145"/>
      <c r="M162" s="540" t="str">
        <f>IF(L162="","",IF(VLOOKUP(L162,'G-3 Multipliers'!$L$3:$N$6,2,FALSE)=0,"Spatial Data Missing ⚠",VLOOKUP(L162,'G-3 Multipliers'!$L$3:$N$6,2,FALSE)))</f>
        <v/>
      </c>
      <c r="N162" s="499" t="str">
        <f>IF(L162="","",IF(VLOOKUP(L162,'G-3 Multipliers'!$L$3:$N$6,3,FALSE)=0,"Spatial Data Missing ⚠",VLOOKUP(L162,'G-3 Multipliers'!$L$3:$N$6,3,FALSE)))</f>
        <v/>
      </c>
      <c r="O162" s="498" t="str">
        <f t="shared" si="10"/>
        <v/>
      </c>
      <c r="P162" s="195"/>
      <c r="Q162" s="195"/>
      <c r="R162" s="520" t="str">
        <f t="shared" si="11"/>
        <v/>
      </c>
      <c r="S162" s="544" t="str">
        <f t="shared" si="12"/>
        <v/>
      </c>
      <c r="T162" s="525" t="str">
        <f>IFERROR(IF(S162="Check Data ⚠","Check Data ⚠",VLOOKUP(S162,'G-4 Temporal multipliers'!$A$4:$C$37,3,FALSE)),"")</f>
        <v/>
      </c>
      <c r="U162" s="523" t="str">
        <f>IF(F162="","",VLOOKUP(F162,'G-3 Multipliers'!$A$2:$E$129,2,FALSE))</f>
        <v/>
      </c>
      <c r="V162" s="520" t="str">
        <f t="shared" si="14"/>
        <v/>
      </c>
      <c r="W162" s="520" t="str">
        <f>IF(E162="","",IF(AND(V162="Standard difficulty applied",O162&gt;P162),U162,IF(AND(V162="Low Difficulty - only applicable if all habitat created before losses ⚠",P162&gt;=O162),"Low",VLOOKUP(F162,'G-3 Multipliers'!$A$2:$E$129,4,FALSE))))</f>
        <v/>
      </c>
      <c r="X162" s="524" t="str">
        <f>IFERROR(IF(E162="","",VLOOKUP(W162, 'G-3 Multipliers'!$P$2:$Q$6,2,FALSE)),"")</f>
        <v/>
      </c>
      <c r="Y162" s="197"/>
      <c r="Z162" s="499" t="str">
        <f>IF(Y162="","",IF(VLOOKUP(Y162,'G-3 Multipliers'!$S$3:$T$9,2,FALSE)=0,"Spatial Data Missing ⚠",VLOOKUP(Y162,'G-3 Multipliers'!$S$3:$T$9,2,FALSE)))</f>
        <v/>
      </c>
      <c r="AA162" s="545" t="str">
        <f t="shared" si="13"/>
        <v/>
      </c>
      <c r="AB162" s="149"/>
      <c r="AC162" s="150"/>
    </row>
    <row r="163" spans="1:29" ht="14" x14ac:dyDescent="0.3">
      <c r="A163" s="31" t="str">
        <f>IFERROR(INDEX('G-8 Condition Look up'!$I$4:$I$130,MATCH(F163,'G-8 Condition Look up'!$A$4:$A$130,0)),"")</f>
        <v/>
      </c>
      <c r="C163" s="244" t="str">
        <f>IFERROR(INDEX('G-1 All Habitats'!$AG$3:$AG$15,MATCH(D163,'G-1 All Habitats'!$AF$3:$AF$15,0)),"")</f>
        <v/>
      </c>
      <c r="D163" s="154"/>
      <c r="E163" s="203"/>
      <c r="F163" s="243" t="str">
        <f>IFERROR(INDEX('G-1 All Habitats'!$B$3:$B$129,MATCH(E163,'G-1 All Habitats'!$A$3:$A$129,0)),"")</f>
        <v/>
      </c>
      <c r="G163" s="386"/>
      <c r="H163" s="537" t="str">
        <f>IF(F163="","",VLOOKUP(F163,'G-1 All Habitats'!$B$2:$M$129,10,FALSE))</f>
        <v/>
      </c>
      <c r="I163" s="524" t="str">
        <f>IFERROR(VLOOKUP(H163,'G-1 All Habitats'!$V$3:$W$7,2,FALSE),"")</f>
        <v/>
      </c>
      <c r="J163" s="199"/>
      <c r="K163" s="524" t="str">
        <f>IFERROR(INDEX('G-8 Condition Look up'!$A$3:$H$130,MATCH(F163,'G-8 Condition Look up'!$A$3:$A$130,0),MATCH(J163,'G-8 Condition Look up'!$A$3:$H$3,0)),"")</f>
        <v/>
      </c>
      <c r="L163" s="145"/>
      <c r="M163" s="540" t="str">
        <f>IF(L163="","",IF(VLOOKUP(L163,'G-3 Multipliers'!$L$3:$N$6,2,FALSE)=0,"Spatial Data Missing ⚠",VLOOKUP(L163,'G-3 Multipliers'!$L$3:$N$6,2,FALSE)))</f>
        <v/>
      </c>
      <c r="N163" s="499" t="str">
        <f>IF(L163="","",IF(VLOOKUP(L163,'G-3 Multipliers'!$L$3:$N$6,3,FALSE)=0,"Spatial Data Missing ⚠",VLOOKUP(L163,'G-3 Multipliers'!$L$3:$N$6,3,FALSE)))</f>
        <v/>
      </c>
      <c r="O163" s="498" t="str">
        <f t="shared" si="10"/>
        <v/>
      </c>
      <c r="P163" s="195"/>
      <c r="Q163" s="195"/>
      <c r="R163" s="520" t="str">
        <f t="shared" si="11"/>
        <v/>
      </c>
      <c r="S163" s="544" t="str">
        <f t="shared" si="12"/>
        <v/>
      </c>
      <c r="T163" s="525" t="str">
        <f>IFERROR(IF(S163="Check Data ⚠","Check Data ⚠",VLOOKUP(S163,'G-4 Temporal multipliers'!$A$4:$C$37,3,FALSE)),"")</f>
        <v/>
      </c>
      <c r="U163" s="523" t="str">
        <f>IF(F163="","",VLOOKUP(F163,'G-3 Multipliers'!$A$2:$E$129,2,FALSE))</f>
        <v/>
      </c>
      <c r="V163" s="520" t="str">
        <f t="shared" si="14"/>
        <v/>
      </c>
      <c r="W163" s="520" t="str">
        <f>IF(E163="","",IF(AND(V163="Standard difficulty applied",O163&gt;P163),U163,IF(AND(V163="Low Difficulty - only applicable if all habitat created before losses ⚠",P163&gt;=O163),"Low",VLOOKUP(F163,'G-3 Multipliers'!$A$2:$E$129,4,FALSE))))</f>
        <v/>
      </c>
      <c r="X163" s="524" t="str">
        <f>IFERROR(IF(E163="","",VLOOKUP(W163, 'G-3 Multipliers'!$P$2:$Q$6,2,FALSE)),"")</f>
        <v/>
      </c>
      <c r="Y163" s="197"/>
      <c r="Z163" s="499" t="str">
        <f>IF(Y163="","",IF(VLOOKUP(Y163,'G-3 Multipliers'!$S$3:$T$9,2,FALSE)=0,"Spatial Data Missing ⚠",VLOOKUP(Y163,'G-3 Multipliers'!$S$3:$T$9,2,FALSE)))</f>
        <v/>
      </c>
      <c r="AA163" s="545" t="str">
        <f t="shared" si="13"/>
        <v/>
      </c>
      <c r="AB163" s="149"/>
      <c r="AC163" s="150"/>
    </row>
    <row r="164" spans="1:29" ht="14" x14ac:dyDescent="0.3">
      <c r="A164" s="31" t="str">
        <f>IFERROR(INDEX('G-8 Condition Look up'!$I$4:$I$130,MATCH(F164,'G-8 Condition Look up'!$A$4:$A$130,0)),"")</f>
        <v/>
      </c>
      <c r="C164" s="244" t="str">
        <f>IFERROR(INDEX('G-1 All Habitats'!$AG$3:$AG$15,MATCH(D164,'G-1 All Habitats'!$AF$3:$AF$15,0)),"")</f>
        <v/>
      </c>
      <c r="D164" s="154"/>
      <c r="E164" s="203"/>
      <c r="F164" s="243" t="str">
        <f>IFERROR(INDEX('G-1 All Habitats'!$B$3:$B$129,MATCH(E164,'G-1 All Habitats'!$A$3:$A$129,0)),"")</f>
        <v/>
      </c>
      <c r="G164" s="386"/>
      <c r="H164" s="537" t="str">
        <f>IF(F164="","",VLOOKUP(F164,'G-1 All Habitats'!$B$2:$M$129,10,FALSE))</f>
        <v/>
      </c>
      <c r="I164" s="524" t="str">
        <f>IFERROR(VLOOKUP(H164,'G-1 All Habitats'!$V$3:$W$7,2,FALSE),"")</f>
        <v/>
      </c>
      <c r="J164" s="199"/>
      <c r="K164" s="524" t="str">
        <f>IFERROR(INDEX('G-8 Condition Look up'!$A$3:$H$130,MATCH(F164,'G-8 Condition Look up'!$A$3:$A$130,0),MATCH(J164,'G-8 Condition Look up'!$A$3:$H$3,0)),"")</f>
        <v/>
      </c>
      <c r="L164" s="145"/>
      <c r="M164" s="540" t="str">
        <f>IF(L164="","",IF(VLOOKUP(L164,'G-3 Multipliers'!$L$3:$N$6,2,FALSE)=0,"Spatial Data Missing ⚠",VLOOKUP(L164,'G-3 Multipliers'!$L$3:$N$6,2,FALSE)))</f>
        <v/>
      </c>
      <c r="N164" s="499" t="str">
        <f>IF(L164="","",IF(VLOOKUP(L164,'G-3 Multipliers'!$L$3:$N$6,3,FALSE)=0,"Spatial Data Missing ⚠",VLOOKUP(L164,'G-3 Multipliers'!$L$3:$N$6,3,FALSE)))</f>
        <v/>
      </c>
      <c r="O164" s="498" t="str">
        <f t="shared" si="10"/>
        <v/>
      </c>
      <c r="P164" s="195"/>
      <c r="Q164" s="195"/>
      <c r="R164" s="520" t="str">
        <f t="shared" si="11"/>
        <v/>
      </c>
      <c r="S164" s="544" t="str">
        <f t="shared" si="12"/>
        <v/>
      </c>
      <c r="T164" s="525" t="str">
        <f>IFERROR(IF(S164="Check Data ⚠","Check Data ⚠",VLOOKUP(S164,'G-4 Temporal multipliers'!$A$4:$C$37,3,FALSE)),"")</f>
        <v/>
      </c>
      <c r="U164" s="523" t="str">
        <f>IF(F164="","",VLOOKUP(F164,'G-3 Multipliers'!$A$2:$E$129,2,FALSE))</f>
        <v/>
      </c>
      <c r="V164" s="520" t="str">
        <f t="shared" si="14"/>
        <v/>
      </c>
      <c r="W164" s="520" t="str">
        <f>IF(E164="","",IF(AND(V164="Standard difficulty applied",O164&gt;P164),U164,IF(AND(V164="Low Difficulty - only applicable if all habitat created before losses ⚠",P164&gt;=O164),"Low",VLOOKUP(F164,'G-3 Multipliers'!$A$2:$E$129,4,FALSE))))</f>
        <v/>
      </c>
      <c r="X164" s="524" t="str">
        <f>IFERROR(IF(E164="","",VLOOKUP(W164, 'G-3 Multipliers'!$P$2:$Q$6,2,FALSE)),"")</f>
        <v/>
      </c>
      <c r="Y164" s="197"/>
      <c r="Z164" s="499" t="str">
        <f>IF(Y164="","",IF(VLOOKUP(Y164,'G-3 Multipliers'!$S$3:$T$9,2,FALSE)=0,"Spatial Data Missing ⚠",VLOOKUP(Y164,'G-3 Multipliers'!$S$3:$T$9,2,FALSE)))</f>
        <v/>
      </c>
      <c r="AA164" s="545" t="str">
        <f t="shared" si="13"/>
        <v/>
      </c>
      <c r="AB164" s="149"/>
      <c r="AC164" s="150"/>
    </row>
    <row r="165" spans="1:29" ht="14" x14ac:dyDescent="0.3">
      <c r="A165" s="31" t="str">
        <f>IFERROR(INDEX('G-8 Condition Look up'!$I$4:$I$130,MATCH(F165,'G-8 Condition Look up'!$A$4:$A$130,0)),"")</f>
        <v/>
      </c>
      <c r="C165" s="244" t="str">
        <f>IFERROR(INDEX('G-1 All Habitats'!$AG$3:$AG$15,MATCH(D165,'G-1 All Habitats'!$AF$3:$AF$15,0)),"")</f>
        <v/>
      </c>
      <c r="D165" s="154"/>
      <c r="E165" s="203"/>
      <c r="F165" s="243" t="str">
        <f>IFERROR(INDEX('G-1 All Habitats'!$B$3:$B$129,MATCH(E165,'G-1 All Habitats'!$A$3:$A$129,0)),"")</f>
        <v/>
      </c>
      <c r="G165" s="386"/>
      <c r="H165" s="537" t="str">
        <f>IF(F165="","",VLOOKUP(F165,'G-1 All Habitats'!$B$2:$M$129,10,FALSE))</f>
        <v/>
      </c>
      <c r="I165" s="524" t="str">
        <f>IFERROR(VLOOKUP(H165,'G-1 All Habitats'!$V$3:$W$7,2,FALSE),"")</f>
        <v/>
      </c>
      <c r="J165" s="199"/>
      <c r="K165" s="524" t="str">
        <f>IFERROR(INDEX('G-8 Condition Look up'!$A$3:$H$130,MATCH(F165,'G-8 Condition Look up'!$A$3:$A$130,0),MATCH(J165,'G-8 Condition Look up'!$A$3:$H$3,0)),"")</f>
        <v/>
      </c>
      <c r="L165" s="145"/>
      <c r="M165" s="540" t="str">
        <f>IF(L165="","",IF(VLOOKUP(L165,'G-3 Multipliers'!$L$3:$N$6,2,FALSE)=0,"Spatial Data Missing ⚠",VLOOKUP(L165,'G-3 Multipliers'!$L$3:$N$6,2,FALSE)))</f>
        <v/>
      </c>
      <c r="N165" s="499" t="str">
        <f>IF(L165="","",IF(VLOOKUP(L165,'G-3 Multipliers'!$L$3:$N$6,3,FALSE)=0,"Spatial Data Missing ⚠",VLOOKUP(L165,'G-3 Multipliers'!$L$3:$N$6,3,FALSE)))</f>
        <v/>
      </c>
      <c r="O165" s="498" t="str">
        <f t="shared" si="10"/>
        <v/>
      </c>
      <c r="P165" s="195"/>
      <c r="Q165" s="195"/>
      <c r="R165" s="520" t="str">
        <f t="shared" si="11"/>
        <v/>
      </c>
      <c r="S165" s="544" t="str">
        <f t="shared" si="12"/>
        <v/>
      </c>
      <c r="T165" s="525" t="str">
        <f>IFERROR(IF(S165="Check Data ⚠","Check Data ⚠",VLOOKUP(S165,'G-4 Temporal multipliers'!$A$4:$C$37,3,FALSE)),"")</f>
        <v/>
      </c>
      <c r="U165" s="523" t="str">
        <f>IF(F165="","",VLOOKUP(F165,'G-3 Multipliers'!$A$2:$E$129,2,FALSE))</f>
        <v/>
      </c>
      <c r="V165" s="520" t="str">
        <f t="shared" si="14"/>
        <v/>
      </c>
      <c r="W165" s="520" t="str">
        <f>IF(E165="","",IF(AND(V165="Standard difficulty applied",O165&gt;P165),U165,IF(AND(V165="Low Difficulty - only applicable if all habitat created before losses ⚠",P165&gt;=O165),"Low",VLOOKUP(F165,'G-3 Multipliers'!$A$2:$E$129,4,FALSE))))</f>
        <v/>
      </c>
      <c r="X165" s="524" t="str">
        <f>IFERROR(IF(E165="","",VLOOKUP(W165, 'G-3 Multipliers'!$P$2:$Q$6,2,FALSE)),"")</f>
        <v/>
      </c>
      <c r="Y165" s="197"/>
      <c r="Z165" s="499" t="str">
        <f>IF(Y165="","",IF(VLOOKUP(Y165,'G-3 Multipliers'!$S$3:$T$9,2,FALSE)=0,"Spatial Data Missing ⚠",VLOOKUP(Y165,'G-3 Multipliers'!$S$3:$T$9,2,FALSE)))</f>
        <v/>
      </c>
      <c r="AA165" s="545" t="str">
        <f t="shared" si="13"/>
        <v/>
      </c>
      <c r="AB165" s="149"/>
      <c r="AC165" s="150"/>
    </row>
    <row r="166" spans="1:29" ht="14" x14ac:dyDescent="0.3">
      <c r="A166" s="31" t="str">
        <f>IFERROR(INDEX('G-8 Condition Look up'!$I$4:$I$130,MATCH(F166,'G-8 Condition Look up'!$A$4:$A$130,0)),"")</f>
        <v/>
      </c>
      <c r="C166" s="244" t="str">
        <f>IFERROR(INDEX('G-1 All Habitats'!$AG$3:$AG$15,MATCH(D166,'G-1 All Habitats'!$AF$3:$AF$15,0)),"")</f>
        <v/>
      </c>
      <c r="D166" s="154"/>
      <c r="E166" s="203"/>
      <c r="F166" s="243" t="str">
        <f>IFERROR(INDEX('G-1 All Habitats'!$B$3:$B$129,MATCH(E166,'G-1 All Habitats'!$A$3:$A$129,0)),"")</f>
        <v/>
      </c>
      <c r="G166" s="386"/>
      <c r="H166" s="537" t="str">
        <f>IF(F166="","",VLOOKUP(F166,'G-1 All Habitats'!$B$2:$M$129,10,FALSE))</f>
        <v/>
      </c>
      <c r="I166" s="524" t="str">
        <f>IFERROR(VLOOKUP(H166,'G-1 All Habitats'!$V$3:$W$7,2,FALSE),"")</f>
        <v/>
      </c>
      <c r="J166" s="199"/>
      <c r="K166" s="524" t="str">
        <f>IFERROR(INDEX('G-8 Condition Look up'!$A$3:$H$130,MATCH(F166,'G-8 Condition Look up'!$A$3:$A$130,0),MATCH(J166,'G-8 Condition Look up'!$A$3:$H$3,0)),"")</f>
        <v/>
      </c>
      <c r="L166" s="145"/>
      <c r="M166" s="540" t="str">
        <f>IF(L166="","",IF(VLOOKUP(L166,'G-3 Multipliers'!$L$3:$N$6,2,FALSE)=0,"Spatial Data Missing ⚠",VLOOKUP(L166,'G-3 Multipliers'!$L$3:$N$6,2,FALSE)))</f>
        <v/>
      </c>
      <c r="N166" s="499" t="str">
        <f>IF(L166="","",IF(VLOOKUP(L166,'G-3 Multipliers'!$L$3:$N$6,3,FALSE)=0,"Spatial Data Missing ⚠",VLOOKUP(L166,'G-3 Multipliers'!$L$3:$N$6,3,FALSE)))</f>
        <v/>
      </c>
      <c r="O166" s="498" t="str">
        <f t="shared" si="10"/>
        <v/>
      </c>
      <c r="P166" s="195"/>
      <c r="Q166" s="195"/>
      <c r="R166" s="520" t="str">
        <f t="shared" si="11"/>
        <v/>
      </c>
      <c r="S166" s="544" t="str">
        <f t="shared" si="12"/>
        <v/>
      </c>
      <c r="T166" s="525" t="str">
        <f>IFERROR(IF(S166="Check Data ⚠","Check Data ⚠",VLOOKUP(S166,'G-4 Temporal multipliers'!$A$4:$C$37,3,FALSE)),"")</f>
        <v/>
      </c>
      <c r="U166" s="523" t="str">
        <f>IF(F166="","",VLOOKUP(F166,'G-3 Multipliers'!$A$2:$E$129,2,FALSE))</f>
        <v/>
      </c>
      <c r="V166" s="520" t="str">
        <f t="shared" si="14"/>
        <v/>
      </c>
      <c r="W166" s="520" t="str">
        <f>IF(E166="","",IF(AND(V166="Standard difficulty applied",O166&gt;P166),U166,IF(AND(V166="Low Difficulty - only applicable if all habitat created before losses ⚠",P166&gt;=O166),"Low",VLOOKUP(F166,'G-3 Multipliers'!$A$2:$E$129,4,FALSE))))</f>
        <v/>
      </c>
      <c r="X166" s="524" t="str">
        <f>IFERROR(IF(E166="","",VLOOKUP(W166, 'G-3 Multipliers'!$P$2:$Q$6,2,FALSE)),"")</f>
        <v/>
      </c>
      <c r="Y166" s="197"/>
      <c r="Z166" s="499" t="str">
        <f>IF(Y166="","",IF(VLOOKUP(Y166,'G-3 Multipliers'!$S$3:$T$9,2,FALSE)=0,"Spatial Data Missing ⚠",VLOOKUP(Y166,'G-3 Multipliers'!$S$3:$T$9,2,FALSE)))</f>
        <v/>
      </c>
      <c r="AA166" s="545" t="str">
        <f t="shared" si="13"/>
        <v/>
      </c>
      <c r="AB166" s="149"/>
      <c r="AC166" s="150"/>
    </row>
    <row r="167" spans="1:29" ht="14" x14ac:dyDescent="0.3">
      <c r="A167" s="31" t="str">
        <f>IFERROR(INDEX('G-8 Condition Look up'!$I$4:$I$130,MATCH(F167,'G-8 Condition Look up'!$A$4:$A$130,0)),"")</f>
        <v/>
      </c>
      <c r="C167" s="244" t="str">
        <f>IFERROR(INDEX('G-1 All Habitats'!$AG$3:$AG$15,MATCH(D167,'G-1 All Habitats'!$AF$3:$AF$15,0)),"")</f>
        <v/>
      </c>
      <c r="D167" s="154"/>
      <c r="E167" s="203"/>
      <c r="F167" s="243" t="str">
        <f>IFERROR(INDEX('G-1 All Habitats'!$B$3:$B$129,MATCH(E167,'G-1 All Habitats'!$A$3:$A$129,0)),"")</f>
        <v/>
      </c>
      <c r="G167" s="386"/>
      <c r="H167" s="537" t="str">
        <f>IF(F167="","",VLOOKUP(F167,'G-1 All Habitats'!$B$2:$M$129,10,FALSE))</f>
        <v/>
      </c>
      <c r="I167" s="524" t="str">
        <f>IFERROR(VLOOKUP(H167,'G-1 All Habitats'!$V$3:$W$7,2,FALSE),"")</f>
        <v/>
      </c>
      <c r="J167" s="199"/>
      <c r="K167" s="524" t="str">
        <f>IFERROR(INDEX('G-8 Condition Look up'!$A$3:$H$130,MATCH(F167,'G-8 Condition Look up'!$A$3:$A$130,0),MATCH(J167,'G-8 Condition Look up'!$A$3:$H$3,0)),"")</f>
        <v/>
      </c>
      <c r="L167" s="145"/>
      <c r="M167" s="540" t="str">
        <f>IF(L167="","",IF(VLOOKUP(L167,'G-3 Multipliers'!$L$3:$N$6,2,FALSE)=0,"Spatial Data Missing ⚠",VLOOKUP(L167,'G-3 Multipliers'!$L$3:$N$6,2,FALSE)))</f>
        <v/>
      </c>
      <c r="N167" s="499" t="str">
        <f>IF(L167="","",IF(VLOOKUP(L167,'G-3 Multipliers'!$L$3:$N$6,3,FALSE)=0,"Spatial Data Missing ⚠",VLOOKUP(L167,'G-3 Multipliers'!$L$3:$N$6,3,FALSE)))</f>
        <v/>
      </c>
      <c r="O167" s="498" t="str">
        <f t="shared" si="10"/>
        <v/>
      </c>
      <c r="P167" s="195"/>
      <c r="Q167" s="195"/>
      <c r="R167" s="520" t="str">
        <f t="shared" si="11"/>
        <v/>
      </c>
      <c r="S167" s="544" t="str">
        <f t="shared" si="12"/>
        <v/>
      </c>
      <c r="T167" s="525" t="str">
        <f>IFERROR(IF(S167="Check Data ⚠","Check Data ⚠",VLOOKUP(S167,'G-4 Temporal multipliers'!$A$4:$C$37,3,FALSE)),"")</f>
        <v/>
      </c>
      <c r="U167" s="523" t="str">
        <f>IF(F167="","",VLOOKUP(F167,'G-3 Multipliers'!$A$2:$E$129,2,FALSE))</f>
        <v/>
      </c>
      <c r="V167" s="520" t="str">
        <f t="shared" si="14"/>
        <v/>
      </c>
      <c r="W167" s="520" t="str">
        <f>IF(E167="","",IF(AND(V167="Standard difficulty applied",O167&gt;P167),U167,IF(AND(V167="Low Difficulty - only applicable if all habitat created before losses ⚠",P167&gt;=O167),"Low",VLOOKUP(F167,'G-3 Multipliers'!$A$2:$E$129,4,FALSE))))</f>
        <v/>
      </c>
      <c r="X167" s="524" t="str">
        <f>IFERROR(IF(E167="","",VLOOKUP(W167, 'G-3 Multipliers'!$P$2:$Q$6,2,FALSE)),"")</f>
        <v/>
      </c>
      <c r="Y167" s="197"/>
      <c r="Z167" s="499" t="str">
        <f>IF(Y167="","",IF(VLOOKUP(Y167,'G-3 Multipliers'!$S$3:$T$9,2,FALSE)=0,"Spatial Data Missing ⚠",VLOOKUP(Y167,'G-3 Multipliers'!$S$3:$T$9,2,FALSE)))</f>
        <v/>
      </c>
      <c r="AA167" s="545" t="str">
        <f t="shared" si="13"/>
        <v/>
      </c>
      <c r="AB167" s="149"/>
      <c r="AC167" s="150"/>
    </row>
    <row r="168" spans="1:29" ht="14" x14ac:dyDescent="0.3">
      <c r="A168" s="31" t="str">
        <f>IFERROR(INDEX('G-8 Condition Look up'!$I$4:$I$130,MATCH(F168,'G-8 Condition Look up'!$A$4:$A$130,0)),"")</f>
        <v/>
      </c>
      <c r="C168" s="244" t="str">
        <f>IFERROR(INDEX('G-1 All Habitats'!$AG$3:$AG$15,MATCH(D168,'G-1 All Habitats'!$AF$3:$AF$15,0)),"")</f>
        <v/>
      </c>
      <c r="D168" s="154"/>
      <c r="E168" s="203"/>
      <c r="F168" s="243" t="str">
        <f>IFERROR(INDEX('G-1 All Habitats'!$B$3:$B$129,MATCH(E168,'G-1 All Habitats'!$A$3:$A$129,0)),"")</f>
        <v/>
      </c>
      <c r="G168" s="386"/>
      <c r="H168" s="537" t="str">
        <f>IF(F168="","",VLOOKUP(F168,'G-1 All Habitats'!$B$2:$M$129,10,FALSE))</f>
        <v/>
      </c>
      <c r="I168" s="524" t="str">
        <f>IFERROR(VLOOKUP(H168,'G-1 All Habitats'!$V$3:$W$7,2,FALSE),"")</f>
        <v/>
      </c>
      <c r="J168" s="199"/>
      <c r="K168" s="524" t="str">
        <f>IFERROR(INDEX('G-8 Condition Look up'!$A$3:$H$130,MATCH(F168,'G-8 Condition Look up'!$A$3:$A$130,0),MATCH(J168,'G-8 Condition Look up'!$A$3:$H$3,0)),"")</f>
        <v/>
      </c>
      <c r="L168" s="145"/>
      <c r="M168" s="540" t="str">
        <f>IF(L168="","",IF(VLOOKUP(L168,'G-3 Multipliers'!$L$3:$N$6,2,FALSE)=0,"Spatial Data Missing ⚠",VLOOKUP(L168,'G-3 Multipliers'!$L$3:$N$6,2,FALSE)))</f>
        <v/>
      </c>
      <c r="N168" s="499" t="str">
        <f>IF(L168="","",IF(VLOOKUP(L168,'G-3 Multipliers'!$L$3:$N$6,3,FALSE)=0,"Spatial Data Missing ⚠",VLOOKUP(L168,'G-3 Multipliers'!$L$3:$N$6,3,FALSE)))</f>
        <v/>
      </c>
      <c r="O168" s="498" t="str">
        <f t="shared" si="10"/>
        <v/>
      </c>
      <c r="P168" s="195"/>
      <c r="Q168" s="195"/>
      <c r="R168" s="520" t="str">
        <f t="shared" si="11"/>
        <v/>
      </c>
      <c r="S168" s="544" t="str">
        <f t="shared" si="12"/>
        <v/>
      </c>
      <c r="T168" s="525" t="str">
        <f>IFERROR(IF(S168="Check Data ⚠","Check Data ⚠",VLOOKUP(S168,'G-4 Temporal multipliers'!$A$4:$C$37,3,FALSE)),"")</f>
        <v/>
      </c>
      <c r="U168" s="523" t="str">
        <f>IF(F168="","",VLOOKUP(F168,'G-3 Multipliers'!$A$2:$E$129,2,FALSE))</f>
        <v/>
      </c>
      <c r="V168" s="520" t="str">
        <f t="shared" si="14"/>
        <v/>
      </c>
      <c r="W168" s="520" t="str">
        <f>IF(E168="","",IF(AND(V168="Standard difficulty applied",O168&gt;P168),U168,IF(AND(V168="Low Difficulty - only applicable if all habitat created before losses ⚠",P168&gt;=O168),"Low",VLOOKUP(F168,'G-3 Multipliers'!$A$2:$E$129,4,FALSE))))</f>
        <v/>
      </c>
      <c r="X168" s="524" t="str">
        <f>IFERROR(IF(E168="","",VLOOKUP(W168, 'G-3 Multipliers'!$P$2:$Q$6,2,FALSE)),"")</f>
        <v/>
      </c>
      <c r="Y168" s="197"/>
      <c r="Z168" s="499" t="str">
        <f>IF(Y168="","",IF(VLOOKUP(Y168,'G-3 Multipliers'!$S$3:$T$9,2,FALSE)=0,"Spatial Data Missing ⚠",VLOOKUP(Y168,'G-3 Multipliers'!$S$3:$T$9,2,FALSE)))</f>
        <v/>
      </c>
      <c r="AA168" s="545" t="str">
        <f t="shared" si="13"/>
        <v/>
      </c>
      <c r="AB168" s="149"/>
      <c r="AC168" s="150"/>
    </row>
    <row r="169" spans="1:29" ht="14" x14ac:dyDescent="0.3">
      <c r="A169" s="31" t="str">
        <f>IFERROR(INDEX('G-8 Condition Look up'!$I$4:$I$130,MATCH(F169,'G-8 Condition Look up'!$A$4:$A$130,0)),"")</f>
        <v/>
      </c>
      <c r="C169" s="244" t="str">
        <f>IFERROR(INDEX('G-1 All Habitats'!$AG$3:$AG$15,MATCH(D169,'G-1 All Habitats'!$AF$3:$AF$15,0)),"")</f>
        <v/>
      </c>
      <c r="D169" s="154"/>
      <c r="E169" s="203"/>
      <c r="F169" s="243" t="str">
        <f>IFERROR(INDEX('G-1 All Habitats'!$B$3:$B$129,MATCH(E169,'G-1 All Habitats'!$A$3:$A$129,0)),"")</f>
        <v/>
      </c>
      <c r="G169" s="386"/>
      <c r="H169" s="537" t="str">
        <f>IF(F169="","",VLOOKUP(F169,'G-1 All Habitats'!$B$2:$M$129,10,FALSE))</f>
        <v/>
      </c>
      <c r="I169" s="524" t="str">
        <f>IFERROR(VLOOKUP(H169,'G-1 All Habitats'!$V$3:$W$7,2,FALSE),"")</f>
        <v/>
      </c>
      <c r="J169" s="199"/>
      <c r="K169" s="524" t="str">
        <f>IFERROR(INDEX('G-8 Condition Look up'!$A$3:$H$130,MATCH(F169,'G-8 Condition Look up'!$A$3:$A$130,0),MATCH(J169,'G-8 Condition Look up'!$A$3:$H$3,0)),"")</f>
        <v/>
      </c>
      <c r="L169" s="145"/>
      <c r="M169" s="540" t="str">
        <f>IF(L169="","",IF(VLOOKUP(L169,'G-3 Multipliers'!$L$3:$N$6,2,FALSE)=0,"Spatial Data Missing ⚠",VLOOKUP(L169,'G-3 Multipliers'!$L$3:$N$6,2,FALSE)))</f>
        <v/>
      </c>
      <c r="N169" s="499" t="str">
        <f>IF(L169="","",IF(VLOOKUP(L169,'G-3 Multipliers'!$L$3:$N$6,3,FALSE)=0,"Spatial Data Missing ⚠",VLOOKUP(L169,'G-3 Multipliers'!$L$3:$N$6,3,FALSE)))</f>
        <v/>
      </c>
      <c r="O169" s="498" t="str">
        <f t="shared" si="10"/>
        <v/>
      </c>
      <c r="P169" s="195"/>
      <c r="Q169" s="195"/>
      <c r="R169" s="520" t="str">
        <f t="shared" si="11"/>
        <v/>
      </c>
      <c r="S169" s="544" t="str">
        <f t="shared" si="12"/>
        <v/>
      </c>
      <c r="T169" s="525" t="str">
        <f>IFERROR(IF(S169="Check Data ⚠","Check Data ⚠",VLOOKUP(S169,'G-4 Temporal multipliers'!$A$4:$C$37,3,FALSE)),"")</f>
        <v/>
      </c>
      <c r="U169" s="523" t="str">
        <f>IF(F169="","",VLOOKUP(F169,'G-3 Multipliers'!$A$2:$E$129,2,FALSE))</f>
        <v/>
      </c>
      <c r="V169" s="520" t="str">
        <f t="shared" si="14"/>
        <v/>
      </c>
      <c r="W169" s="520" t="str">
        <f>IF(E169="","",IF(AND(V169="Standard difficulty applied",O169&gt;P169),U169,IF(AND(V169="Low Difficulty - only applicable if all habitat created before losses ⚠",P169&gt;=O169),"Low",VLOOKUP(F169,'G-3 Multipliers'!$A$2:$E$129,4,FALSE))))</f>
        <v/>
      </c>
      <c r="X169" s="524" t="str">
        <f>IFERROR(IF(E169="","",VLOOKUP(W169, 'G-3 Multipliers'!$P$2:$Q$6,2,FALSE)),"")</f>
        <v/>
      </c>
      <c r="Y169" s="197"/>
      <c r="Z169" s="499" t="str">
        <f>IF(Y169="","",IF(VLOOKUP(Y169,'G-3 Multipliers'!$S$3:$T$9,2,FALSE)=0,"Spatial Data Missing ⚠",VLOOKUP(Y169,'G-3 Multipliers'!$S$3:$T$9,2,FALSE)))</f>
        <v/>
      </c>
      <c r="AA169" s="545" t="str">
        <f t="shared" si="13"/>
        <v/>
      </c>
      <c r="AB169" s="149"/>
      <c r="AC169" s="150"/>
    </row>
    <row r="170" spans="1:29" ht="14" x14ac:dyDescent="0.3">
      <c r="A170" s="31" t="str">
        <f>IFERROR(INDEX('G-8 Condition Look up'!$I$4:$I$130,MATCH(F170,'G-8 Condition Look up'!$A$4:$A$130,0)),"")</f>
        <v/>
      </c>
      <c r="C170" s="244" t="str">
        <f>IFERROR(INDEX('G-1 All Habitats'!$AG$3:$AG$15,MATCH(D170,'G-1 All Habitats'!$AF$3:$AF$15,0)),"")</f>
        <v/>
      </c>
      <c r="D170" s="154"/>
      <c r="E170" s="203"/>
      <c r="F170" s="243" t="str">
        <f>IFERROR(INDEX('G-1 All Habitats'!$B$3:$B$129,MATCH(E170,'G-1 All Habitats'!$A$3:$A$129,0)),"")</f>
        <v/>
      </c>
      <c r="G170" s="386"/>
      <c r="H170" s="537" t="str">
        <f>IF(F170="","",VLOOKUP(F170,'G-1 All Habitats'!$B$2:$M$129,10,FALSE))</f>
        <v/>
      </c>
      <c r="I170" s="524" t="str">
        <f>IFERROR(VLOOKUP(H170,'G-1 All Habitats'!$V$3:$W$7,2,FALSE),"")</f>
        <v/>
      </c>
      <c r="J170" s="199"/>
      <c r="K170" s="524" t="str">
        <f>IFERROR(INDEX('G-8 Condition Look up'!$A$3:$H$130,MATCH(F170,'G-8 Condition Look up'!$A$3:$A$130,0),MATCH(J170,'G-8 Condition Look up'!$A$3:$H$3,0)),"")</f>
        <v/>
      </c>
      <c r="L170" s="145"/>
      <c r="M170" s="540" t="str">
        <f>IF(L170="","",IF(VLOOKUP(L170,'G-3 Multipliers'!$L$3:$N$6,2,FALSE)=0,"Spatial Data Missing ⚠",VLOOKUP(L170,'G-3 Multipliers'!$L$3:$N$6,2,FALSE)))</f>
        <v/>
      </c>
      <c r="N170" s="499" t="str">
        <f>IF(L170="","",IF(VLOOKUP(L170,'G-3 Multipliers'!$L$3:$N$6,3,FALSE)=0,"Spatial Data Missing ⚠",VLOOKUP(L170,'G-3 Multipliers'!$L$3:$N$6,3,FALSE)))</f>
        <v/>
      </c>
      <c r="O170" s="498" t="str">
        <f t="shared" si="10"/>
        <v/>
      </c>
      <c r="P170" s="195"/>
      <c r="Q170" s="195"/>
      <c r="R170" s="520" t="str">
        <f t="shared" si="11"/>
        <v/>
      </c>
      <c r="S170" s="544" t="str">
        <f t="shared" si="12"/>
        <v/>
      </c>
      <c r="T170" s="525" t="str">
        <f>IFERROR(IF(S170="Check Data ⚠","Check Data ⚠",VLOOKUP(S170,'G-4 Temporal multipliers'!$A$4:$C$37,3,FALSE)),"")</f>
        <v/>
      </c>
      <c r="U170" s="523" t="str">
        <f>IF(F170="","",VLOOKUP(F170,'G-3 Multipliers'!$A$2:$E$129,2,FALSE))</f>
        <v/>
      </c>
      <c r="V170" s="520" t="str">
        <f t="shared" si="14"/>
        <v/>
      </c>
      <c r="W170" s="520" t="str">
        <f>IF(E170="","",IF(AND(V170="Standard difficulty applied",O170&gt;P170),U170,IF(AND(V170="Low Difficulty - only applicable if all habitat created before losses ⚠",P170&gt;=O170),"Low",VLOOKUP(F170,'G-3 Multipliers'!$A$2:$E$129,4,FALSE))))</f>
        <v/>
      </c>
      <c r="X170" s="524" t="str">
        <f>IFERROR(IF(E170="","",VLOOKUP(W170, 'G-3 Multipliers'!$P$2:$Q$6,2,FALSE)),"")</f>
        <v/>
      </c>
      <c r="Y170" s="197"/>
      <c r="Z170" s="499" t="str">
        <f>IF(Y170="","",IF(VLOOKUP(Y170,'G-3 Multipliers'!$S$3:$T$9,2,FALSE)=0,"Spatial Data Missing ⚠",VLOOKUP(Y170,'G-3 Multipliers'!$S$3:$T$9,2,FALSE)))</f>
        <v/>
      </c>
      <c r="AA170" s="545" t="str">
        <f t="shared" si="13"/>
        <v/>
      </c>
      <c r="AB170" s="149"/>
      <c r="AC170" s="150"/>
    </row>
    <row r="171" spans="1:29" ht="14" x14ac:dyDescent="0.3">
      <c r="A171" s="31" t="str">
        <f>IFERROR(INDEX('G-8 Condition Look up'!$I$4:$I$130,MATCH(F171,'G-8 Condition Look up'!$A$4:$A$130,0)),"")</f>
        <v/>
      </c>
      <c r="C171" s="244" t="str">
        <f>IFERROR(INDEX('G-1 All Habitats'!$AG$3:$AG$15,MATCH(D171,'G-1 All Habitats'!$AF$3:$AF$15,0)),"")</f>
        <v/>
      </c>
      <c r="D171" s="154"/>
      <c r="E171" s="203"/>
      <c r="F171" s="243" t="str">
        <f>IFERROR(INDEX('G-1 All Habitats'!$B$3:$B$129,MATCH(E171,'G-1 All Habitats'!$A$3:$A$129,0)),"")</f>
        <v/>
      </c>
      <c r="G171" s="386"/>
      <c r="H171" s="537" t="str">
        <f>IF(F171="","",VLOOKUP(F171,'G-1 All Habitats'!$B$2:$M$129,10,FALSE))</f>
        <v/>
      </c>
      <c r="I171" s="524" t="str">
        <f>IFERROR(VLOOKUP(H171,'G-1 All Habitats'!$V$3:$W$7,2,FALSE),"")</f>
        <v/>
      </c>
      <c r="J171" s="199"/>
      <c r="K171" s="524" t="str">
        <f>IFERROR(INDEX('G-8 Condition Look up'!$A$3:$H$130,MATCH(F171,'G-8 Condition Look up'!$A$3:$A$130,0),MATCH(J171,'G-8 Condition Look up'!$A$3:$H$3,0)),"")</f>
        <v/>
      </c>
      <c r="L171" s="145"/>
      <c r="M171" s="540" t="str">
        <f>IF(L171="","",IF(VLOOKUP(L171,'G-3 Multipliers'!$L$3:$N$6,2,FALSE)=0,"Spatial Data Missing ⚠",VLOOKUP(L171,'G-3 Multipliers'!$L$3:$N$6,2,FALSE)))</f>
        <v/>
      </c>
      <c r="N171" s="499" t="str">
        <f>IF(L171="","",IF(VLOOKUP(L171,'G-3 Multipliers'!$L$3:$N$6,3,FALSE)=0,"Spatial Data Missing ⚠",VLOOKUP(L171,'G-3 Multipliers'!$L$3:$N$6,3,FALSE)))</f>
        <v/>
      </c>
      <c r="O171" s="498" t="str">
        <f t="shared" si="10"/>
        <v/>
      </c>
      <c r="P171" s="195"/>
      <c r="Q171" s="195"/>
      <c r="R171" s="520" t="str">
        <f t="shared" si="11"/>
        <v/>
      </c>
      <c r="S171" s="544" t="str">
        <f t="shared" si="12"/>
        <v/>
      </c>
      <c r="T171" s="525" t="str">
        <f>IFERROR(IF(S171="Check Data ⚠","Check Data ⚠",VLOOKUP(S171,'G-4 Temporal multipliers'!$A$4:$C$37,3,FALSE)),"")</f>
        <v/>
      </c>
      <c r="U171" s="523" t="str">
        <f>IF(F171="","",VLOOKUP(F171,'G-3 Multipliers'!$A$2:$E$129,2,FALSE))</f>
        <v/>
      </c>
      <c r="V171" s="520" t="str">
        <f t="shared" si="14"/>
        <v/>
      </c>
      <c r="W171" s="520" t="str">
        <f>IF(E171="","",IF(AND(V171="Standard difficulty applied",O171&gt;P171),U171,IF(AND(V171="Low Difficulty - only applicable if all habitat created before losses ⚠",P171&gt;=O171),"Low",VLOOKUP(F171,'G-3 Multipliers'!$A$2:$E$129,4,FALSE))))</f>
        <v/>
      </c>
      <c r="X171" s="524" t="str">
        <f>IFERROR(IF(E171="","",VLOOKUP(W171, 'G-3 Multipliers'!$P$2:$Q$6,2,FALSE)),"")</f>
        <v/>
      </c>
      <c r="Y171" s="197"/>
      <c r="Z171" s="499" t="str">
        <f>IF(Y171="","",IF(VLOOKUP(Y171,'G-3 Multipliers'!$S$3:$T$9,2,FALSE)=0,"Spatial Data Missing ⚠",VLOOKUP(Y171,'G-3 Multipliers'!$S$3:$T$9,2,FALSE)))</f>
        <v/>
      </c>
      <c r="AA171" s="545" t="str">
        <f t="shared" si="13"/>
        <v/>
      </c>
      <c r="AB171" s="149"/>
      <c r="AC171" s="150"/>
    </row>
    <row r="172" spans="1:29" ht="14" x14ac:dyDescent="0.3">
      <c r="A172" s="31" t="str">
        <f>IFERROR(INDEX('G-8 Condition Look up'!$I$4:$I$130,MATCH(F172,'G-8 Condition Look up'!$A$4:$A$130,0)),"")</f>
        <v/>
      </c>
      <c r="C172" s="244" t="str">
        <f>IFERROR(INDEX('G-1 All Habitats'!$AG$3:$AG$15,MATCH(D172,'G-1 All Habitats'!$AF$3:$AF$15,0)),"")</f>
        <v/>
      </c>
      <c r="D172" s="154"/>
      <c r="E172" s="203"/>
      <c r="F172" s="243" t="str">
        <f>IFERROR(INDEX('G-1 All Habitats'!$B$3:$B$129,MATCH(E172,'G-1 All Habitats'!$A$3:$A$129,0)),"")</f>
        <v/>
      </c>
      <c r="G172" s="386"/>
      <c r="H172" s="537" t="str">
        <f>IF(F172="","",VLOOKUP(F172,'G-1 All Habitats'!$B$2:$M$129,10,FALSE))</f>
        <v/>
      </c>
      <c r="I172" s="524" t="str">
        <f>IFERROR(VLOOKUP(H172,'G-1 All Habitats'!$V$3:$W$7,2,FALSE),"")</f>
        <v/>
      </c>
      <c r="J172" s="199"/>
      <c r="K172" s="524" t="str">
        <f>IFERROR(INDEX('G-8 Condition Look up'!$A$3:$H$130,MATCH(F172,'G-8 Condition Look up'!$A$3:$A$130,0),MATCH(J172,'G-8 Condition Look up'!$A$3:$H$3,0)),"")</f>
        <v/>
      </c>
      <c r="L172" s="145"/>
      <c r="M172" s="540" t="str">
        <f>IF(L172="","",IF(VLOOKUP(L172,'G-3 Multipliers'!$L$3:$N$6,2,FALSE)=0,"Spatial Data Missing ⚠",VLOOKUP(L172,'G-3 Multipliers'!$L$3:$N$6,2,FALSE)))</f>
        <v/>
      </c>
      <c r="N172" s="499" t="str">
        <f>IF(L172="","",IF(VLOOKUP(L172,'G-3 Multipliers'!$L$3:$N$6,3,FALSE)=0,"Spatial Data Missing ⚠",VLOOKUP(L172,'G-3 Multipliers'!$L$3:$N$6,3,FALSE)))</f>
        <v/>
      </c>
      <c r="O172" s="498" t="str">
        <f t="shared" si="10"/>
        <v/>
      </c>
      <c r="P172" s="195"/>
      <c r="Q172" s="195"/>
      <c r="R172" s="520" t="str">
        <f t="shared" si="11"/>
        <v/>
      </c>
      <c r="S172" s="544" t="str">
        <f t="shared" si="12"/>
        <v/>
      </c>
      <c r="T172" s="525" t="str">
        <f>IFERROR(IF(S172="Check Data ⚠","Check Data ⚠",VLOOKUP(S172,'G-4 Temporal multipliers'!$A$4:$C$37,3,FALSE)),"")</f>
        <v/>
      </c>
      <c r="U172" s="523" t="str">
        <f>IF(F172="","",VLOOKUP(F172,'G-3 Multipliers'!$A$2:$E$129,2,FALSE))</f>
        <v/>
      </c>
      <c r="V172" s="520" t="str">
        <f t="shared" si="14"/>
        <v/>
      </c>
      <c r="W172" s="520" t="str">
        <f>IF(E172="","",IF(AND(V172="Standard difficulty applied",O172&gt;P172),U172,IF(AND(V172="Low Difficulty - only applicable if all habitat created before losses ⚠",P172&gt;=O172),"Low",VLOOKUP(F172,'G-3 Multipliers'!$A$2:$E$129,4,FALSE))))</f>
        <v/>
      </c>
      <c r="X172" s="524" t="str">
        <f>IFERROR(IF(E172="","",VLOOKUP(W172, 'G-3 Multipliers'!$P$2:$Q$6,2,FALSE)),"")</f>
        <v/>
      </c>
      <c r="Y172" s="197"/>
      <c r="Z172" s="499" t="str">
        <f>IF(Y172="","",IF(VLOOKUP(Y172,'G-3 Multipliers'!$S$3:$T$9,2,FALSE)=0,"Spatial Data Missing ⚠",VLOOKUP(Y172,'G-3 Multipliers'!$S$3:$T$9,2,FALSE)))</f>
        <v/>
      </c>
      <c r="AA172" s="545" t="str">
        <f t="shared" si="13"/>
        <v/>
      </c>
      <c r="AB172" s="149"/>
      <c r="AC172" s="150"/>
    </row>
    <row r="173" spans="1:29" ht="14" x14ac:dyDescent="0.3">
      <c r="A173" s="31" t="str">
        <f>IFERROR(INDEX('G-8 Condition Look up'!$I$4:$I$130,MATCH(F173,'G-8 Condition Look up'!$A$4:$A$130,0)),"")</f>
        <v/>
      </c>
      <c r="C173" s="244" t="str">
        <f>IFERROR(INDEX('G-1 All Habitats'!$AG$3:$AG$15,MATCH(D173,'G-1 All Habitats'!$AF$3:$AF$15,0)),"")</f>
        <v/>
      </c>
      <c r="D173" s="154"/>
      <c r="E173" s="203"/>
      <c r="F173" s="243" t="str">
        <f>IFERROR(INDEX('G-1 All Habitats'!$B$3:$B$129,MATCH(E173,'G-1 All Habitats'!$A$3:$A$129,0)),"")</f>
        <v/>
      </c>
      <c r="G173" s="386"/>
      <c r="H173" s="537" t="str">
        <f>IF(F173="","",VLOOKUP(F173,'G-1 All Habitats'!$B$2:$M$129,10,FALSE))</f>
        <v/>
      </c>
      <c r="I173" s="524" t="str">
        <f>IFERROR(VLOOKUP(H173,'G-1 All Habitats'!$V$3:$W$7,2,FALSE),"")</f>
        <v/>
      </c>
      <c r="J173" s="199"/>
      <c r="K173" s="524" t="str">
        <f>IFERROR(INDEX('G-8 Condition Look up'!$A$3:$H$130,MATCH(F173,'G-8 Condition Look up'!$A$3:$A$130,0),MATCH(J173,'G-8 Condition Look up'!$A$3:$H$3,0)),"")</f>
        <v/>
      </c>
      <c r="L173" s="145"/>
      <c r="M173" s="540" t="str">
        <f>IF(L173="","",IF(VLOOKUP(L173,'G-3 Multipliers'!$L$3:$N$6,2,FALSE)=0,"Spatial Data Missing ⚠",VLOOKUP(L173,'G-3 Multipliers'!$L$3:$N$6,2,FALSE)))</f>
        <v/>
      </c>
      <c r="N173" s="499" t="str">
        <f>IF(L173="","",IF(VLOOKUP(L173,'G-3 Multipliers'!$L$3:$N$6,3,FALSE)=0,"Spatial Data Missing ⚠",VLOOKUP(L173,'G-3 Multipliers'!$L$3:$N$6,3,FALSE)))</f>
        <v/>
      </c>
      <c r="O173" s="498" t="str">
        <f t="shared" si="10"/>
        <v/>
      </c>
      <c r="P173" s="195"/>
      <c r="Q173" s="195"/>
      <c r="R173" s="520" t="str">
        <f t="shared" si="11"/>
        <v/>
      </c>
      <c r="S173" s="544" t="str">
        <f t="shared" si="12"/>
        <v/>
      </c>
      <c r="T173" s="525" t="str">
        <f>IFERROR(IF(S173="Check Data ⚠","Check Data ⚠",VLOOKUP(S173,'G-4 Temporal multipliers'!$A$4:$C$37,3,FALSE)),"")</f>
        <v/>
      </c>
      <c r="U173" s="523" t="str">
        <f>IF(F173="","",VLOOKUP(F173,'G-3 Multipliers'!$A$2:$E$129,2,FALSE))</f>
        <v/>
      </c>
      <c r="V173" s="520" t="str">
        <f t="shared" si="14"/>
        <v/>
      </c>
      <c r="W173" s="520" t="str">
        <f>IF(E173="","",IF(AND(V173="Standard difficulty applied",O173&gt;P173),U173,IF(AND(V173="Low Difficulty - only applicable if all habitat created before losses ⚠",P173&gt;=O173),"Low",VLOOKUP(F173,'G-3 Multipliers'!$A$2:$E$129,4,FALSE))))</f>
        <v/>
      </c>
      <c r="X173" s="524" t="str">
        <f>IFERROR(IF(E173="","",VLOOKUP(W173, 'G-3 Multipliers'!$P$2:$Q$6,2,FALSE)),"")</f>
        <v/>
      </c>
      <c r="Y173" s="197"/>
      <c r="Z173" s="499" t="str">
        <f>IF(Y173="","",IF(VLOOKUP(Y173,'G-3 Multipliers'!$S$3:$T$9,2,FALSE)=0,"Spatial Data Missing ⚠",VLOOKUP(Y173,'G-3 Multipliers'!$S$3:$T$9,2,FALSE)))</f>
        <v/>
      </c>
      <c r="AA173" s="545" t="str">
        <f t="shared" si="13"/>
        <v/>
      </c>
      <c r="AB173" s="149"/>
      <c r="AC173" s="150"/>
    </row>
    <row r="174" spans="1:29" ht="14" x14ac:dyDescent="0.3">
      <c r="A174" s="31" t="str">
        <f>IFERROR(INDEX('G-8 Condition Look up'!$I$4:$I$130,MATCH(F174,'G-8 Condition Look up'!$A$4:$A$130,0)),"")</f>
        <v/>
      </c>
      <c r="C174" s="244" t="str">
        <f>IFERROR(INDEX('G-1 All Habitats'!$AG$3:$AG$15,MATCH(D174,'G-1 All Habitats'!$AF$3:$AF$15,0)),"")</f>
        <v/>
      </c>
      <c r="D174" s="154"/>
      <c r="E174" s="203"/>
      <c r="F174" s="243" t="str">
        <f>IFERROR(INDEX('G-1 All Habitats'!$B$3:$B$129,MATCH(E174,'G-1 All Habitats'!$A$3:$A$129,0)),"")</f>
        <v/>
      </c>
      <c r="G174" s="386"/>
      <c r="H174" s="537" t="str">
        <f>IF(F174="","",VLOOKUP(F174,'G-1 All Habitats'!$B$2:$M$129,10,FALSE))</f>
        <v/>
      </c>
      <c r="I174" s="524" t="str">
        <f>IFERROR(VLOOKUP(H174,'G-1 All Habitats'!$V$3:$W$7,2,FALSE),"")</f>
        <v/>
      </c>
      <c r="J174" s="199"/>
      <c r="K174" s="524" t="str">
        <f>IFERROR(INDEX('G-8 Condition Look up'!$A$3:$H$130,MATCH(F174,'G-8 Condition Look up'!$A$3:$A$130,0),MATCH(J174,'G-8 Condition Look up'!$A$3:$H$3,0)),"")</f>
        <v/>
      </c>
      <c r="L174" s="145"/>
      <c r="M174" s="540" t="str">
        <f>IF(L174="","",IF(VLOOKUP(L174,'G-3 Multipliers'!$L$3:$N$6,2,FALSE)=0,"Spatial Data Missing ⚠",VLOOKUP(L174,'G-3 Multipliers'!$L$3:$N$6,2,FALSE)))</f>
        <v/>
      </c>
      <c r="N174" s="499" t="str">
        <f>IF(L174="","",IF(VLOOKUP(L174,'G-3 Multipliers'!$L$3:$N$6,3,FALSE)=0,"Spatial Data Missing ⚠",VLOOKUP(L174,'G-3 Multipliers'!$L$3:$N$6,3,FALSE)))</f>
        <v/>
      </c>
      <c r="O174" s="498" t="str">
        <f t="shared" si="10"/>
        <v/>
      </c>
      <c r="P174" s="195"/>
      <c r="Q174" s="195"/>
      <c r="R174" s="520" t="str">
        <f t="shared" si="11"/>
        <v/>
      </c>
      <c r="S174" s="544" t="str">
        <f t="shared" si="12"/>
        <v/>
      </c>
      <c r="T174" s="525" t="str">
        <f>IFERROR(IF(S174="Check Data ⚠","Check Data ⚠",VLOOKUP(S174,'G-4 Temporal multipliers'!$A$4:$C$37,3,FALSE)),"")</f>
        <v/>
      </c>
      <c r="U174" s="523" t="str">
        <f>IF(F174="","",VLOOKUP(F174,'G-3 Multipliers'!$A$2:$E$129,2,FALSE))</f>
        <v/>
      </c>
      <c r="V174" s="520" t="str">
        <f t="shared" si="14"/>
        <v/>
      </c>
      <c r="W174" s="520" t="str">
        <f>IF(E174="","",IF(AND(V174="Standard difficulty applied",O174&gt;P174),U174,IF(AND(V174="Low Difficulty - only applicable if all habitat created before losses ⚠",P174&gt;=O174),"Low",VLOOKUP(F174,'G-3 Multipliers'!$A$2:$E$129,4,FALSE))))</f>
        <v/>
      </c>
      <c r="X174" s="524" t="str">
        <f>IFERROR(IF(E174="","",VLOOKUP(W174, 'G-3 Multipliers'!$P$2:$Q$6,2,FALSE)),"")</f>
        <v/>
      </c>
      <c r="Y174" s="197"/>
      <c r="Z174" s="499" t="str">
        <f>IF(Y174="","",IF(VLOOKUP(Y174,'G-3 Multipliers'!$S$3:$T$9,2,FALSE)=0,"Spatial Data Missing ⚠",VLOOKUP(Y174,'G-3 Multipliers'!$S$3:$T$9,2,FALSE)))</f>
        <v/>
      </c>
      <c r="AA174" s="545" t="str">
        <f t="shared" si="13"/>
        <v/>
      </c>
      <c r="AB174" s="149"/>
      <c r="AC174" s="150"/>
    </row>
    <row r="175" spans="1:29" ht="14" x14ac:dyDescent="0.3">
      <c r="A175" s="31" t="str">
        <f>IFERROR(INDEX('G-8 Condition Look up'!$I$4:$I$130,MATCH(F175,'G-8 Condition Look up'!$A$4:$A$130,0)),"")</f>
        <v/>
      </c>
      <c r="C175" s="244" t="str">
        <f>IFERROR(INDEX('G-1 All Habitats'!$AG$3:$AG$15,MATCH(D175,'G-1 All Habitats'!$AF$3:$AF$15,0)),"")</f>
        <v/>
      </c>
      <c r="D175" s="154"/>
      <c r="E175" s="203"/>
      <c r="F175" s="243" t="str">
        <f>IFERROR(INDEX('G-1 All Habitats'!$B$3:$B$129,MATCH(E175,'G-1 All Habitats'!$A$3:$A$129,0)),"")</f>
        <v/>
      </c>
      <c r="G175" s="386"/>
      <c r="H175" s="537" t="str">
        <f>IF(F175="","",VLOOKUP(F175,'G-1 All Habitats'!$B$2:$M$129,10,FALSE))</f>
        <v/>
      </c>
      <c r="I175" s="524" t="str">
        <f>IFERROR(VLOOKUP(H175,'G-1 All Habitats'!$V$3:$W$7,2,FALSE),"")</f>
        <v/>
      </c>
      <c r="J175" s="199"/>
      <c r="K175" s="524" t="str">
        <f>IFERROR(INDEX('G-8 Condition Look up'!$A$3:$H$130,MATCH(F175,'G-8 Condition Look up'!$A$3:$A$130,0),MATCH(J175,'G-8 Condition Look up'!$A$3:$H$3,0)),"")</f>
        <v/>
      </c>
      <c r="L175" s="145"/>
      <c r="M175" s="540" t="str">
        <f>IF(L175="","",IF(VLOOKUP(L175,'G-3 Multipliers'!$L$3:$N$6,2,FALSE)=0,"Spatial Data Missing ⚠",VLOOKUP(L175,'G-3 Multipliers'!$L$3:$N$6,2,FALSE)))</f>
        <v/>
      </c>
      <c r="N175" s="499" t="str">
        <f>IF(L175="","",IF(VLOOKUP(L175,'G-3 Multipliers'!$L$3:$N$6,3,FALSE)=0,"Spatial Data Missing ⚠",VLOOKUP(L175,'G-3 Multipliers'!$L$3:$N$6,3,FALSE)))</f>
        <v/>
      </c>
      <c r="O175" s="498" t="str">
        <f t="shared" si="10"/>
        <v/>
      </c>
      <c r="P175" s="195"/>
      <c r="Q175" s="195"/>
      <c r="R175" s="520" t="str">
        <f t="shared" si="11"/>
        <v/>
      </c>
      <c r="S175" s="544" t="str">
        <f t="shared" si="12"/>
        <v/>
      </c>
      <c r="T175" s="525" t="str">
        <f>IFERROR(IF(S175="Check Data ⚠","Check Data ⚠",VLOOKUP(S175,'G-4 Temporal multipliers'!$A$4:$C$37,3,FALSE)),"")</f>
        <v/>
      </c>
      <c r="U175" s="523" t="str">
        <f>IF(F175="","",VLOOKUP(F175,'G-3 Multipliers'!$A$2:$E$129,2,FALSE))</f>
        <v/>
      </c>
      <c r="V175" s="520" t="str">
        <f t="shared" si="14"/>
        <v/>
      </c>
      <c r="W175" s="520" t="str">
        <f>IF(E175="","",IF(AND(V175="Standard difficulty applied",O175&gt;P175),U175,IF(AND(V175="Low Difficulty - only applicable if all habitat created before losses ⚠",P175&gt;=O175),"Low",VLOOKUP(F175,'G-3 Multipliers'!$A$2:$E$129,4,FALSE))))</f>
        <v/>
      </c>
      <c r="X175" s="524" t="str">
        <f>IFERROR(IF(E175="","",VLOOKUP(W175, 'G-3 Multipliers'!$P$2:$Q$6,2,FALSE)),"")</f>
        <v/>
      </c>
      <c r="Y175" s="197"/>
      <c r="Z175" s="499" t="str">
        <f>IF(Y175="","",IF(VLOOKUP(Y175,'G-3 Multipliers'!$S$3:$T$9,2,FALSE)=0,"Spatial Data Missing ⚠",VLOOKUP(Y175,'G-3 Multipliers'!$S$3:$T$9,2,FALSE)))</f>
        <v/>
      </c>
      <c r="AA175" s="545" t="str">
        <f t="shared" si="13"/>
        <v/>
      </c>
      <c r="AB175" s="149"/>
      <c r="AC175" s="150"/>
    </row>
    <row r="176" spans="1:29" ht="14" x14ac:dyDescent="0.3">
      <c r="A176" s="31" t="str">
        <f>IFERROR(INDEX('G-8 Condition Look up'!$I$4:$I$130,MATCH(F176,'G-8 Condition Look up'!$A$4:$A$130,0)),"")</f>
        <v/>
      </c>
      <c r="C176" s="244" t="str">
        <f>IFERROR(INDEX('G-1 All Habitats'!$AG$3:$AG$15,MATCH(D176,'G-1 All Habitats'!$AF$3:$AF$15,0)),"")</f>
        <v/>
      </c>
      <c r="D176" s="154"/>
      <c r="E176" s="203"/>
      <c r="F176" s="243" t="str">
        <f>IFERROR(INDEX('G-1 All Habitats'!$B$3:$B$129,MATCH(E176,'G-1 All Habitats'!$A$3:$A$129,0)),"")</f>
        <v/>
      </c>
      <c r="G176" s="386"/>
      <c r="H176" s="537" t="str">
        <f>IF(F176="","",VLOOKUP(F176,'G-1 All Habitats'!$B$2:$M$129,10,FALSE))</f>
        <v/>
      </c>
      <c r="I176" s="524" t="str">
        <f>IFERROR(VLOOKUP(H176,'G-1 All Habitats'!$V$3:$W$7,2,FALSE),"")</f>
        <v/>
      </c>
      <c r="J176" s="199"/>
      <c r="K176" s="524" t="str">
        <f>IFERROR(INDEX('G-8 Condition Look up'!$A$3:$H$130,MATCH(F176,'G-8 Condition Look up'!$A$3:$A$130,0),MATCH(J176,'G-8 Condition Look up'!$A$3:$H$3,0)),"")</f>
        <v/>
      </c>
      <c r="L176" s="145"/>
      <c r="M176" s="540" t="str">
        <f>IF(L176="","",IF(VLOOKUP(L176,'G-3 Multipliers'!$L$3:$N$6,2,FALSE)=0,"Spatial Data Missing ⚠",VLOOKUP(L176,'G-3 Multipliers'!$L$3:$N$6,2,FALSE)))</f>
        <v/>
      </c>
      <c r="N176" s="499" t="str">
        <f>IF(L176="","",IF(VLOOKUP(L176,'G-3 Multipliers'!$L$3:$N$6,3,FALSE)=0,"Spatial Data Missing ⚠",VLOOKUP(L176,'G-3 Multipliers'!$L$3:$N$6,3,FALSE)))</f>
        <v/>
      </c>
      <c r="O176" s="498" t="str">
        <f t="shared" si="10"/>
        <v/>
      </c>
      <c r="P176" s="195"/>
      <c r="Q176" s="195"/>
      <c r="R176" s="520" t="str">
        <f t="shared" si="11"/>
        <v/>
      </c>
      <c r="S176" s="544" t="str">
        <f t="shared" si="12"/>
        <v/>
      </c>
      <c r="T176" s="525" t="str">
        <f>IFERROR(IF(S176="Check Data ⚠","Check Data ⚠",VLOOKUP(S176,'G-4 Temporal multipliers'!$A$4:$C$37,3,FALSE)),"")</f>
        <v/>
      </c>
      <c r="U176" s="523" t="str">
        <f>IF(F176="","",VLOOKUP(F176,'G-3 Multipliers'!$A$2:$E$129,2,FALSE))</f>
        <v/>
      </c>
      <c r="V176" s="520" t="str">
        <f t="shared" si="14"/>
        <v/>
      </c>
      <c r="W176" s="520" t="str">
        <f>IF(E176="","",IF(AND(V176="Standard difficulty applied",O176&gt;P176),U176,IF(AND(V176="Low Difficulty - only applicable if all habitat created before losses ⚠",P176&gt;=O176),"Low",VLOOKUP(F176,'G-3 Multipliers'!$A$2:$E$129,4,FALSE))))</f>
        <v/>
      </c>
      <c r="X176" s="524" t="str">
        <f>IFERROR(IF(E176="","",VLOOKUP(W176, 'G-3 Multipliers'!$P$2:$Q$6,2,FALSE)),"")</f>
        <v/>
      </c>
      <c r="Y176" s="197"/>
      <c r="Z176" s="499" t="str">
        <f>IF(Y176="","",IF(VLOOKUP(Y176,'G-3 Multipliers'!$S$3:$T$9,2,FALSE)=0,"Spatial Data Missing ⚠",VLOOKUP(Y176,'G-3 Multipliers'!$S$3:$T$9,2,FALSE)))</f>
        <v/>
      </c>
      <c r="AA176" s="545" t="str">
        <f t="shared" si="13"/>
        <v/>
      </c>
      <c r="AB176" s="149"/>
      <c r="AC176" s="150"/>
    </row>
    <row r="177" spans="1:29" ht="14" x14ac:dyDescent="0.3">
      <c r="A177" s="31" t="str">
        <f>IFERROR(INDEX('G-8 Condition Look up'!$I$4:$I$130,MATCH(F177,'G-8 Condition Look up'!$A$4:$A$130,0)),"")</f>
        <v/>
      </c>
      <c r="C177" s="244" t="str">
        <f>IFERROR(INDEX('G-1 All Habitats'!$AG$3:$AG$15,MATCH(D177,'G-1 All Habitats'!$AF$3:$AF$15,0)),"")</f>
        <v/>
      </c>
      <c r="D177" s="154"/>
      <c r="E177" s="203"/>
      <c r="F177" s="243" t="str">
        <f>IFERROR(INDEX('G-1 All Habitats'!$B$3:$B$129,MATCH(E177,'G-1 All Habitats'!$A$3:$A$129,0)),"")</f>
        <v/>
      </c>
      <c r="G177" s="386"/>
      <c r="H177" s="537" t="str">
        <f>IF(F177="","",VLOOKUP(F177,'G-1 All Habitats'!$B$2:$M$129,10,FALSE))</f>
        <v/>
      </c>
      <c r="I177" s="524" t="str">
        <f>IFERROR(VLOOKUP(H177,'G-1 All Habitats'!$V$3:$W$7,2,FALSE),"")</f>
        <v/>
      </c>
      <c r="J177" s="199"/>
      <c r="K177" s="524" t="str">
        <f>IFERROR(INDEX('G-8 Condition Look up'!$A$3:$H$130,MATCH(F177,'G-8 Condition Look up'!$A$3:$A$130,0),MATCH(J177,'G-8 Condition Look up'!$A$3:$H$3,0)),"")</f>
        <v/>
      </c>
      <c r="L177" s="145"/>
      <c r="M177" s="540" t="str">
        <f>IF(L177="","",IF(VLOOKUP(L177,'G-3 Multipliers'!$L$3:$N$6,2,FALSE)=0,"Spatial Data Missing ⚠",VLOOKUP(L177,'G-3 Multipliers'!$L$3:$N$6,2,FALSE)))</f>
        <v/>
      </c>
      <c r="N177" s="499" t="str">
        <f>IF(L177="","",IF(VLOOKUP(L177,'G-3 Multipliers'!$L$3:$N$6,3,FALSE)=0,"Spatial Data Missing ⚠",VLOOKUP(L177,'G-3 Multipliers'!$L$3:$N$6,3,FALSE)))</f>
        <v/>
      </c>
      <c r="O177" s="498" t="str">
        <f t="shared" si="10"/>
        <v/>
      </c>
      <c r="P177" s="195"/>
      <c r="Q177" s="195"/>
      <c r="R177" s="520" t="str">
        <f t="shared" si="11"/>
        <v/>
      </c>
      <c r="S177" s="544" t="str">
        <f t="shared" si="12"/>
        <v/>
      </c>
      <c r="T177" s="525" t="str">
        <f>IFERROR(IF(S177="Check Data ⚠","Check Data ⚠",VLOOKUP(S177,'G-4 Temporal multipliers'!$A$4:$C$37,3,FALSE)),"")</f>
        <v/>
      </c>
      <c r="U177" s="523" t="str">
        <f>IF(F177="","",VLOOKUP(F177,'G-3 Multipliers'!$A$2:$E$129,2,FALSE))</f>
        <v/>
      </c>
      <c r="V177" s="520" t="str">
        <f t="shared" si="14"/>
        <v/>
      </c>
      <c r="W177" s="520" t="str">
        <f>IF(E177="","",IF(AND(V177="Standard difficulty applied",O177&gt;P177),U177,IF(AND(V177="Low Difficulty - only applicable if all habitat created before losses ⚠",P177&gt;=O177),"Low",VLOOKUP(F177,'G-3 Multipliers'!$A$2:$E$129,4,FALSE))))</f>
        <v/>
      </c>
      <c r="X177" s="524" t="str">
        <f>IFERROR(IF(E177="","",VLOOKUP(W177, 'G-3 Multipliers'!$P$2:$Q$6,2,FALSE)),"")</f>
        <v/>
      </c>
      <c r="Y177" s="197"/>
      <c r="Z177" s="499" t="str">
        <f>IF(Y177="","",IF(VLOOKUP(Y177,'G-3 Multipliers'!$S$3:$T$9,2,FALSE)=0,"Spatial Data Missing ⚠",VLOOKUP(Y177,'G-3 Multipliers'!$S$3:$T$9,2,FALSE)))</f>
        <v/>
      </c>
      <c r="AA177" s="545" t="str">
        <f t="shared" si="13"/>
        <v/>
      </c>
      <c r="AB177" s="149"/>
      <c r="AC177" s="150"/>
    </row>
    <row r="178" spans="1:29" ht="14" x14ac:dyDescent="0.3">
      <c r="A178" s="31" t="str">
        <f>IFERROR(INDEX('G-8 Condition Look up'!$I$4:$I$130,MATCH(F178,'G-8 Condition Look up'!$A$4:$A$130,0)),"")</f>
        <v/>
      </c>
      <c r="C178" s="244" t="str">
        <f>IFERROR(INDEX('G-1 All Habitats'!$AG$3:$AG$15,MATCH(D178,'G-1 All Habitats'!$AF$3:$AF$15,0)),"")</f>
        <v/>
      </c>
      <c r="D178" s="154"/>
      <c r="E178" s="203"/>
      <c r="F178" s="243" t="str">
        <f>IFERROR(INDEX('G-1 All Habitats'!$B$3:$B$129,MATCH(E178,'G-1 All Habitats'!$A$3:$A$129,0)),"")</f>
        <v/>
      </c>
      <c r="G178" s="386"/>
      <c r="H178" s="537" t="str">
        <f>IF(F178="","",VLOOKUP(F178,'G-1 All Habitats'!$B$2:$M$129,10,FALSE))</f>
        <v/>
      </c>
      <c r="I178" s="524" t="str">
        <f>IFERROR(VLOOKUP(H178,'G-1 All Habitats'!$V$3:$W$7,2,FALSE),"")</f>
        <v/>
      </c>
      <c r="J178" s="199"/>
      <c r="K178" s="524" t="str">
        <f>IFERROR(INDEX('G-8 Condition Look up'!$A$3:$H$130,MATCH(F178,'G-8 Condition Look up'!$A$3:$A$130,0),MATCH(J178,'G-8 Condition Look up'!$A$3:$H$3,0)),"")</f>
        <v/>
      </c>
      <c r="L178" s="145"/>
      <c r="M178" s="540" t="str">
        <f>IF(L178="","",IF(VLOOKUP(L178,'G-3 Multipliers'!$L$3:$N$6,2,FALSE)=0,"Spatial Data Missing ⚠",VLOOKUP(L178,'G-3 Multipliers'!$L$3:$N$6,2,FALSE)))</f>
        <v/>
      </c>
      <c r="N178" s="499" t="str">
        <f>IF(L178="","",IF(VLOOKUP(L178,'G-3 Multipliers'!$L$3:$N$6,3,FALSE)=0,"Spatial Data Missing ⚠",VLOOKUP(L178,'G-3 Multipliers'!$L$3:$N$6,3,FALSE)))</f>
        <v/>
      </c>
      <c r="O178" s="498" t="str">
        <f t="shared" si="10"/>
        <v/>
      </c>
      <c r="P178" s="195"/>
      <c r="Q178" s="195"/>
      <c r="R178" s="520" t="str">
        <f t="shared" si="11"/>
        <v/>
      </c>
      <c r="S178" s="544" t="str">
        <f t="shared" si="12"/>
        <v/>
      </c>
      <c r="T178" s="525" t="str">
        <f>IFERROR(IF(S178="Check Data ⚠","Check Data ⚠",VLOOKUP(S178,'G-4 Temporal multipliers'!$A$4:$C$37,3,FALSE)),"")</f>
        <v/>
      </c>
      <c r="U178" s="523" t="str">
        <f>IF(F178="","",VLOOKUP(F178,'G-3 Multipliers'!$A$2:$E$129,2,FALSE))</f>
        <v/>
      </c>
      <c r="V178" s="520" t="str">
        <f t="shared" si="14"/>
        <v/>
      </c>
      <c r="W178" s="520" t="str">
        <f>IF(E178="","",IF(AND(V178="Standard difficulty applied",O178&gt;P178),U178,IF(AND(V178="Low Difficulty - only applicable if all habitat created before losses ⚠",P178&gt;=O178),"Low",VLOOKUP(F178,'G-3 Multipliers'!$A$2:$E$129,4,FALSE))))</f>
        <v/>
      </c>
      <c r="X178" s="524" t="str">
        <f>IFERROR(IF(E178="","",VLOOKUP(W178, 'G-3 Multipliers'!$P$2:$Q$6,2,FALSE)),"")</f>
        <v/>
      </c>
      <c r="Y178" s="197"/>
      <c r="Z178" s="499" t="str">
        <f>IF(Y178="","",IF(VLOOKUP(Y178,'G-3 Multipliers'!$S$3:$T$9,2,FALSE)=0,"Spatial Data Missing ⚠",VLOOKUP(Y178,'G-3 Multipliers'!$S$3:$T$9,2,FALSE)))</f>
        <v/>
      </c>
      <c r="AA178" s="545" t="str">
        <f t="shared" si="13"/>
        <v/>
      </c>
      <c r="AB178" s="149"/>
      <c r="AC178" s="150"/>
    </row>
    <row r="179" spans="1:29" ht="14" x14ac:dyDescent="0.3">
      <c r="A179" s="31" t="str">
        <f>IFERROR(INDEX('G-8 Condition Look up'!$I$4:$I$130,MATCH(F179,'G-8 Condition Look up'!$A$4:$A$130,0)),"")</f>
        <v/>
      </c>
      <c r="C179" s="244" t="str">
        <f>IFERROR(INDEX('G-1 All Habitats'!$AG$3:$AG$15,MATCH(D179,'G-1 All Habitats'!$AF$3:$AF$15,0)),"")</f>
        <v/>
      </c>
      <c r="D179" s="154"/>
      <c r="E179" s="203"/>
      <c r="F179" s="243" t="str">
        <f>IFERROR(INDEX('G-1 All Habitats'!$B$3:$B$129,MATCH(E179,'G-1 All Habitats'!$A$3:$A$129,0)),"")</f>
        <v/>
      </c>
      <c r="G179" s="386"/>
      <c r="H179" s="537" t="str">
        <f>IF(F179="","",VLOOKUP(F179,'G-1 All Habitats'!$B$2:$M$129,10,FALSE))</f>
        <v/>
      </c>
      <c r="I179" s="524" t="str">
        <f>IFERROR(VLOOKUP(H179,'G-1 All Habitats'!$V$3:$W$7,2,FALSE),"")</f>
        <v/>
      </c>
      <c r="J179" s="199"/>
      <c r="K179" s="524" t="str">
        <f>IFERROR(INDEX('G-8 Condition Look up'!$A$3:$H$130,MATCH(F179,'G-8 Condition Look up'!$A$3:$A$130,0),MATCH(J179,'G-8 Condition Look up'!$A$3:$H$3,0)),"")</f>
        <v/>
      </c>
      <c r="L179" s="145"/>
      <c r="M179" s="540" t="str">
        <f>IF(L179="","",IF(VLOOKUP(L179,'G-3 Multipliers'!$L$3:$N$6,2,FALSE)=0,"Spatial Data Missing ⚠",VLOOKUP(L179,'G-3 Multipliers'!$L$3:$N$6,2,FALSE)))</f>
        <v/>
      </c>
      <c r="N179" s="499" t="str">
        <f>IF(L179="","",IF(VLOOKUP(L179,'G-3 Multipliers'!$L$3:$N$6,3,FALSE)=0,"Spatial Data Missing ⚠",VLOOKUP(L179,'G-3 Multipliers'!$L$3:$N$6,3,FALSE)))</f>
        <v/>
      </c>
      <c r="O179" s="498" t="str">
        <f t="shared" si="10"/>
        <v/>
      </c>
      <c r="P179" s="195"/>
      <c r="Q179" s="195"/>
      <c r="R179" s="520" t="str">
        <f t="shared" si="11"/>
        <v/>
      </c>
      <c r="S179" s="544" t="str">
        <f t="shared" si="12"/>
        <v/>
      </c>
      <c r="T179" s="525" t="str">
        <f>IFERROR(IF(S179="Check Data ⚠","Check Data ⚠",VLOOKUP(S179,'G-4 Temporal multipliers'!$A$4:$C$37,3,FALSE)),"")</f>
        <v/>
      </c>
      <c r="U179" s="523" t="str">
        <f>IF(F179="","",VLOOKUP(F179,'G-3 Multipliers'!$A$2:$E$129,2,FALSE))</f>
        <v/>
      </c>
      <c r="V179" s="520" t="str">
        <f t="shared" si="14"/>
        <v/>
      </c>
      <c r="W179" s="520" t="str">
        <f>IF(E179="","",IF(AND(V179="Standard difficulty applied",O179&gt;P179),U179,IF(AND(V179="Low Difficulty - only applicable if all habitat created before losses ⚠",P179&gt;=O179),"Low",VLOOKUP(F179,'G-3 Multipliers'!$A$2:$E$129,4,FALSE))))</f>
        <v/>
      </c>
      <c r="X179" s="524" t="str">
        <f>IFERROR(IF(E179="","",VLOOKUP(W179, 'G-3 Multipliers'!$P$2:$Q$6,2,FALSE)),"")</f>
        <v/>
      </c>
      <c r="Y179" s="197"/>
      <c r="Z179" s="499" t="str">
        <f>IF(Y179="","",IF(VLOOKUP(Y179,'G-3 Multipliers'!$S$3:$T$9,2,FALSE)=0,"Spatial Data Missing ⚠",VLOOKUP(Y179,'G-3 Multipliers'!$S$3:$T$9,2,FALSE)))</f>
        <v/>
      </c>
      <c r="AA179" s="545" t="str">
        <f t="shared" si="13"/>
        <v/>
      </c>
      <c r="AB179" s="149"/>
      <c r="AC179" s="150"/>
    </row>
    <row r="180" spans="1:29" ht="14" x14ac:dyDescent="0.3">
      <c r="A180" s="31" t="str">
        <f>IFERROR(INDEX('G-8 Condition Look up'!$I$4:$I$130,MATCH(F180,'G-8 Condition Look up'!$A$4:$A$130,0)),"")</f>
        <v/>
      </c>
      <c r="C180" s="244" t="str">
        <f>IFERROR(INDEX('G-1 All Habitats'!$AG$3:$AG$15,MATCH(D180,'G-1 All Habitats'!$AF$3:$AF$15,0)),"")</f>
        <v/>
      </c>
      <c r="D180" s="154"/>
      <c r="E180" s="203"/>
      <c r="F180" s="243" t="str">
        <f>IFERROR(INDEX('G-1 All Habitats'!$B$3:$B$129,MATCH(E180,'G-1 All Habitats'!$A$3:$A$129,0)),"")</f>
        <v/>
      </c>
      <c r="G180" s="386"/>
      <c r="H180" s="537" t="str">
        <f>IF(F180="","",VLOOKUP(F180,'G-1 All Habitats'!$B$2:$M$129,10,FALSE))</f>
        <v/>
      </c>
      <c r="I180" s="524" t="str">
        <f>IFERROR(VLOOKUP(H180,'G-1 All Habitats'!$V$3:$W$7,2,FALSE),"")</f>
        <v/>
      </c>
      <c r="J180" s="199"/>
      <c r="K180" s="524" t="str">
        <f>IFERROR(INDEX('G-8 Condition Look up'!$A$3:$H$130,MATCH(F180,'G-8 Condition Look up'!$A$3:$A$130,0),MATCH(J180,'G-8 Condition Look up'!$A$3:$H$3,0)),"")</f>
        <v/>
      </c>
      <c r="L180" s="145"/>
      <c r="M180" s="540" t="str">
        <f>IF(L180="","",IF(VLOOKUP(L180,'G-3 Multipliers'!$L$3:$N$6,2,FALSE)=0,"Spatial Data Missing ⚠",VLOOKUP(L180,'G-3 Multipliers'!$L$3:$N$6,2,FALSE)))</f>
        <v/>
      </c>
      <c r="N180" s="499" t="str">
        <f>IF(L180="","",IF(VLOOKUP(L180,'G-3 Multipliers'!$L$3:$N$6,3,FALSE)=0,"Spatial Data Missing ⚠",VLOOKUP(L180,'G-3 Multipliers'!$L$3:$N$6,3,FALSE)))</f>
        <v/>
      </c>
      <c r="O180" s="498" t="str">
        <f t="shared" si="10"/>
        <v/>
      </c>
      <c r="P180" s="195"/>
      <c r="Q180" s="195"/>
      <c r="R180" s="520" t="str">
        <f t="shared" si="11"/>
        <v/>
      </c>
      <c r="S180" s="544" t="str">
        <f t="shared" si="12"/>
        <v/>
      </c>
      <c r="T180" s="525" t="str">
        <f>IFERROR(IF(S180="Check Data ⚠","Check Data ⚠",VLOOKUP(S180,'G-4 Temporal multipliers'!$A$4:$C$37,3,FALSE)),"")</f>
        <v/>
      </c>
      <c r="U180" s="523" t="str">
        <f>IF(F180="","",VLOOKUP(F180,'G-3 Multipliers'!$A$2:$E$129,2,FALSE))</f>
        <v/>
      </c>
      <c r="V180" s="520" t="str">
        <f t="shared" si="14"/>
        <v/>
      </c>
      <c r="W180" s="520" t="str">
        <f>IF(E180="","",IF(AND(V180="Standard difficulty applied",O180&gt;P180),U180,IF(AND(V180="Low Difficulty - only applicable if all habitat created before losses ⚠",P180&gt;=O180),"Low",VLOOKUP(F180,'G-3 Multipliers'!$A$2:$E$129,4,FALSE))))</f>
        <v/>
      </c>
      <c r="X180" s="524" t="str">
        <f>IFERROR(IF(E180="","",VLOOKUP(W180, 'G-3 Multipliers'!$P$2:$Q$6,2,FALSE)),"")</f>
        <v/>
      </c>
      <c r="Y180" s="197"/>
      <c r="Z180" s="499" t="str">
        <f>IF(Y180="","",IF(VLOOKUP(Y180,'G-3 Multipliers'!$S$3:$T$9,2,FALSE)=0,"Spatial Data Missing ⚠",VLOOKUP(Y180,'G-3 Multipliers'!$S$3:$T$9,2,FALSE)))</f>
        <v/>
      </c>
      <c r="AA180" s="545" t="str">
        <f t="shared" si="13"/>
        <v/>
      </c>
      <c r="AB180" s="149"/>
      <c r="AC180" s="150"/>
    </row>
    <row r="181" spans="1:29" ht="14" x14ac:dyDescent="0.3">
      <c r="A181" s="31" t="str">
        <f>IFERROR(INDEX('G-8 Condition Look up'!$I$4:$I$130,MATCH(F181,'G-8 Condition Look up'!$A$4:$A$130,0)),"")</f>
        <v/>
      </c>
      <c r="C181" s="244" t="str">
        <f>IFERROR(INDEX('G-1 All Habitats'!$AG$3:$AG$15,MATCH(D181,'G-1 All Habitats'!$AF$3:$AF$15,0)),"")</f>
        <v/>
      </c>
      <c r="D181" s="154"/>
      <c r="E181" s="203"/>
      <c r="F181" s="243" t="str">
        <f>IFERROR(INDEX('G-1 All Habitats'!$B$3:$B$129,MATCH(E181,'G-1 All Habitats'!$A$3:$A$129,0)),"")</f>
        <v/>
      </c>
      <c r="G181" s="386"/>
      <c r="H181" s="537" t="str">
        <f>IF(F181="","",VLOOKUP(F181,'G-1 All Habitats'!$B$2:$M$129,10,FALSE))</f>
        <v/>
      </c>
      <c r="I181" s="524" t="str">
        <f>IFERROR(VLOOKUP(H181,'G-1 All Habitats'!$V$3:$W$7,2,FALSE),"")</f>
        <v/>
      </c>
      <c r="J181" s="199"/>
      <c r="K181" s="524" t="str">
        <f>IFERROR(INDEX('G-8 Condition Look up'!$A$3:$H$130,MATCH(F181,'G-8 Condition Look up'!$A$3:$A$130,0),MATCH(J181,'G-8 Condition Look up'!$A$3:$H$3,0)),"")</f>
        <v/>
      </c>
      <c r="L181" s="145"/>
      <c r="M181" s="540" t="str">
        <f>IF(L181="","",IF(VLOOKUP(L181,'G-3 Multipliers'!$L$3:$N$6,2,FALSE)=0,"Spatial Data Missing ⚠",VLOOKUP(L181,'G-3 Multipliers'!$L$3:$N$6,2,FALSE)))</f>
        <v/>
      </c>
      <c r="N181" s="499" t="str">
        <f>IF(L181="","",IF(VLOOKUP(L181,'G-3 Multipliers'!$L$3:$N$6,3,FALSE)=0,"Spatial Data Missing ⚠",VLOOKUP(L181,'G-3 Multipliers'!$L$3:$N$6,3,FALSE)))</f>
        <v/>
      </c>
      <c r="O181" s="498" t="str">
        <f t="shared" si="10"/>
        <v/>
      </c>
      <c r="P181" s="195"/>
      <c r="Q181" s="195"/>
      <c r="R181" s="520" t="str">
        <f t="shared" si="11"/>
        <v/>
      </c>
      <c r="S181" s="544" t="str">
        <f t="shared" si="12"/>
        <v/>
      </c>
      <c r="T181" s="525" t="str">
        <f>IFERROR(IF(S181="Check Data ⚠","Check Data ⚠",VLOOKUP(S181,'G-4 Temporal multipliers'!$A$4:$C$37,3,FALSE)),"")</f>
        <v/>
      </c>
      <c r="U181" s="523" t="str">
        <f>IF(F181="","",VLOOKUP(F181,'G-3 Multipliers'!$A$2:$E$129,2,FALSE))</f>
        <v/>
      </c>
      <c r="V181" s="520" t="str">
        <f t="shared" si="14"/>
        <v/>
      </c>
      <c r="W181" s="520" t="str">
        <f>IF(E181="","",IF(AND(V181="Standard difficulty applied",O181&gt;P181),U181,IF(AND(V181="Low Difficulty - only applicable if all habitat created before losses ⚠",P181&gt;=O181),"Low",VLOOKUP(F181,'G-3 Multipliers'!$A$2:$E$129,4,FALSE))))</f>
        <v/>
      </c>
      <c r="X181" s="524" t="str">
        <f>IFERROR(IF(E181="","",VLOOKUP(W181, 'G-3 Multipliers'!$P$2:$Q$6,2,FALSE)),"")</f>
        <v/>
      </c>
      <c r="Y181" s="197"/>
      <c r="Z181" s="499" t="str">
        <f>IF(Y181="","",IF(VLOOKUP(Y181,'G-3 Multipliers'!$S$3:$T$9,2,FALSE)=0,"Spatial Data Missing ⚠",VLOOKUP(Y181,'G-3 Multipliers'!$S$3:$T$9,2,FALSE)))</f>
        <v/>
      </c>
      <c r="AA181" s="545" t="str">
        <f t="shared" si="13"/>
        <v/>
      </c>
      <c r="AB181" s="149"/>
      <c r="AC181" s="150"/>
    </row>
    <row r="182" spans="1:29" ht="14" x14ac:dyDescent="0.3">
      <c r="A182" s="31" t="str">
        <f>IFERROR(INDEX('G-8 Condition Look up'!$I$4:$I$130,MATCH(F182,'G-8 Condition Look up'!$A$4:$A$130,0)),"")</f>
        <v/>
      </c>
      <c r="C182" s="244" t="str">
        <f>IFERROR(INDEX('G-1 All Habitats'!$AG$3:$AG$15,MATCH(D182,'G-1 All Habitats'!$AF$3:$AF$15,0)),"")</f>
        <v/>
      </c>
      <c r="D182" s="154"/>
      <c r="E182" s="203"/>
      <c r="F182" s="243" t="str">
        <f>IFERROR(INDEX('G-1 All Habitats'!$B$3:$B$129,MATCH(E182,'G-1 All Habitats'!$A$3:$A$129,0)),"")</f>
        <v/>
      </c>
      <c r="G182" s="386"/>
      <c r="H182" s="537" t="str">
        <f>IF(F182="","",VLOOKUP(F182,'G-1 All Habitats'!$B$2:$M$129,10,FALSE))</f>
        <v/>
      </c>
      <c r="I182" s="524" t="str">
        <f>IFERROR(VLOOKUP(H182,'G-1 All Habitats'!$V$3:$W$7,2,FALSE),"")</f>
        <v/>
      </c>
      <c r="J182" s="199"/>
      <c r="K182" s="524" t="str">
        <f>IFERROR(INDEX('G-8 Condition Look up'!$A$3:$H$130,MATCH(F182,'G-8 Condition Look up'!$A$3:$A$130,0),MATCH(J182,'G-8 Condition Look up'!$A$3:$H$3,0)),"")</f>
        <v/>
      </c>
      <c r="L182" s="145"/>
      <c r="M182" s="540" t="str">
        <f>IF(L182="","",IF(VLOOKUP(L182,'G-3 Multipliers'!$L$3:$N$6,2,FALSE)=0,"Spatial Data Missing ⚠",VLOOKUP(L182,'G-3 Multipliers'!$L$3:$N$6,2,FALSE)))</f>
        <v/>
      </c>
      <c r="N182" s="499" t="str">
        <f>IF(L182="","",IF(VLOOKUP(L182,'G-3 Multipliers'!$L$3:$N$6,3,FALSE)=0,"Spatial Data Missing ⚠",VLOOKUP(L182,'G-3 Multipliers'!$L$3:$N$6,3,FALSE)))</f>
        <v/>
      </c>
      <c r="O182" s="498" t="str">
        <f t="shared" si="10"/>
        <v/>
      </c>
      <c r="P182" s="195"/>
      <c r="Q182" s="195"/>
      <c r="R182" s="520" t="str">
        <f t="shared" si="11"/>
        <v/>
      </c>
      <c r="S182" s="544" t="str">
        <f t="shared" si="12"/>
        <v/>
      </c>
      <c r="T182" s="525" t="str">
        <f>IFERROR(IF(S182="Check Data ⚠","Check Data ⚠",VLOOKUP(S182,'G-4 Temporal multipliers'!$A$4:$C$37,3,FALSE)),"")</f>
        <v/>
      </c>
      <c r="U182" s="523" t="str">
        <f>IF(F182="","",VLOOKUP(F182,'G-3 Multipliers'!$A$2:$E$129,2,FALSE))</f>
        <v/>
      </c>
      <c r="V182" s="520" t="str">
        <f t="shared" si="14"/>
        <v/>
      </c>
      <c r="W182" s="520" t="str">
        <f>IF(E182="","",IF(AND(V182="Standard difficulty applied",O182&gt;P182),U182,IF(AND(V182="Low Difficulty - only applicable if all habitat created before losses ⚠",P182&gt;=O182),"Low",VLOOKUP(F182,'G-3 Multipliers'!$A$2:$E$129,4,FALSE))))</f>
        <v/>
      </c>
      <c r="X182" s="524" t="str">
        <f>IFERROR(IF(E182="","",VLOOKUP(W182, 'G-3 Multipliers'!$P$2:$Q$6,2,FALSE)),"")</f>
        <v/>
      </c>
      <c r="Y182" s="197"/>
      <c r="Z182" s="499" t="str">
        <f>IF(Y182="","",IF(VLOOKUP(Y182,'G-3 Multipliers'!$S$3:$T$9,2,FALSE)=0,"Spatial Data Missing ⚠",VLOOKUP(Y182,'G-3 Multipliers'!$S$3:$T$9,2,FALSE)))</f>
        <v/>
      </c>
      <c r="AA182" s="545" t="str">
        <f t="shared" si="13"/>
        <v/>
      </c>
      <c r="AB182" s="149"/>
      <c r="AC182" s="150"/>
    </row>
    <row r="183" spans="1:29" ht="14" x14ac:dyDescent="0.3">
      <c r="A183" s="31" t="str">
        <f>IFERROR(INDEX('G-8 Condition Look up'!$I$4:$I$130,MATCH(F183,'G-8 Condition Look up'!$A$4:$A$130,0)),"")</f>
        <v/>
      </c>
      <c r="C183" s="244" t="str">
        <f>IFERROR(INDEX('G-1 All Habitats'!$AG$3:$AG$15,MATCH(D183,'G-1 All Habitats'!$AF$3:$AF$15,0)),"")</f>
        <v/>
      </c>
      <c r="D183" s="154"/>
      <c r="E183" s="203"/>
      <c r="F183" s="243" t="str">
        <f>IFERROR(INDEX('G-1 All Habitats'!$B$3:$B$129,MATCH(E183,'G-1 All Habitats'!$A$3:$A$129,0)),"")</f>
        <v/>
      </c>
      <c r="G183" s="386"/>
      <c r="H183" s="537" t="str">
        <f>IF(F183="","",VLOOKUP(F183,'G-1 All Habitats'!$B$2:$M$129,10,FALSE))</f>
        <v/>
      </c>
      <c r="I183" s="524" t="str">
        <f>IFERROR(VLOOKUP(H183,'G-1 All Habitats'!$V$3:$W$7,2,FALSE),"")</f>
        <v/>
      </c>
      <c r="J183" s="199"/>
      <c r="K183" s="524" t="str">
        <f>IFERROR(INDEX('G-8 Condition Look up'!$A$3:$H$130,MATCH(F183,'G-8 Condition Look up'!$A$3:$A$130,0),MATCH(J183,'G-8 Condition Look up'!$A$3:$H$3,0)),"")</f>
        <v/>
      </c>
      <c r="L183" s="145"/>
      <c r="M183" s="540" t="str">
        <f>IF(L183="","",IF(VLOOKUP(L183,'G-3 Multipliers'!$L$3:$N$6,2,FALSE)=0,"Spatial Data Missing ⚠",VLOOKUP(L183,'G-3 Multipliers'!$L$3:$N$6,2,FALSE)))</f>
        <v/>
      </c>
      <c r="N183" s="499" t="str">
        <f>IF(L183="","",IF(VLOOKUP(L183,'G-3 Multipliers'!$L$3:$N$6,3,FALSE)=0,"Spatial Data Missing ⚠",VLOOKUP(L183,'G-3 Multipliers'!$L$3:$N$6,3,FALSE)))</f>
        <v/>
      </c>
      <c r="O183" s="498" t="str">
        <f t="shared" si="10"/>
        <v/>
      </c>
      <c r="P183" s="195"/>
      <c r="Q183" s="195"/>
      <c r="R183" s="520" t="str">
        <f t="shared" si="11"/>
        <v/>
      </c>
      <c r="S183" s="544" t="str">
        <f t="shared" si="12"/>
        <v/>
      </c>
      <c r="T183" s="525" t="str">
        <f>IFERROR(IF(S183="Check Data ⚠","Check Data ⚠",VLOOKUP(S183,'G-4 Temporal multipliers'!$A$4:$C$37,3,FALSE)),"")</f>
        <v/>
      </c>
      <c r="U183" s="523" t="str">
        <f>IF(F183="","",VLOOKUP(F183,'G-3 Multipliers'!$A$2:$E$129,2,FALSE))</f>
        <v/>
      </c>
      <c r="V183" s="520" t="str">
        <f t="shared" si="14"/>
        <v/>
      </c>
      <c r="W183" s="520" t="str">
        <f>IF(E183="","",IF(AND(V183="Standard difficulty applied",O183&gt;P183),U183,IF(AND(V183="Low Difficulty - only applicable if all habitat created before losses ⚠",P183&gt;=O183),"Low",VLOOKUP(F183,'G-3 Multipliers'!$A$2:$E$129,4,FALSE))))</f>
        <v/>
      </c>
      <c r="X183" s="524" t="str">
        <f>IFERROR(IF(E183="","",VLOOKUP(W183, 'G-3 Multipliers'!$P$2:$Q$6,2,FALSE)),"")</f>
        <v/>
      </c>
      <c r="Y183" s="197"/>
      <c r="Z183" s="499" t="str">
        <f>IF(Y183="","",IF(VLOOKUP(Y183,'G-3 Multipliers'!$S$3:$T$9,2,FALSE)=0,"Spatial Data Missing ⚠",VLOOKUP(Y183,'G-3 Multipliers'!$S$3:$T$9,2,FALSE)))</f>
        <v/>
      </c>
      <c r="AA183" s="545" t="str">
        <f t="shared" si="13"/>
        <v/>
      </c>
      <c r="AB183" s="149"/>
      <c r="AC183" s="150"/>
    </row>
    <row r="184" spans="1:29" ht="14" x14ac:dyDescent="0.3">
      <c r="A184" s="31" t="str">
        <f>IFERROR(INDEX('G-8 Condition Look up'!$I$4:$I$130,MATCH(F184,'G-8 Condition Look up'!$A$4:$A$130,0)),"")</f>
        <v/>
      </c>
      <c r="C184" s="244" t="str">
        <f>IFERROR(INDEX('G-1 All Habitats'!$AG$3:$AG$15,MATCH(D184,'G-1 All Habitats'!$AF$3:$AF$15,0)),"")</f>
        <v/>
      </c>
      <c r="D184" s="154"/>
      <c r="E184" s="203"/>
      <c r="F184" s="243" t="str">
        <f>IFERROR(INDEX('G-1 All Habitats'!$B$3:$B$129,MATCH(E184,'G-1 All Habitats'!$A$3:$A$129,0)),"")</f>
        <v/>
      </c>
      <c r="G184" s="386"/>
      <c r="H184" s="537" t="str">
        <f>IF(F184="","",VLOOKUP(F184,'G-1 All Habitats'!$B$2:$M$129,10,FALSE))</f>
        <v/>
      </c>
      <c r="I184" s="524" t="str">
        <f>IFERROR(VLOOKUP(H184,'G-1 All Habitats'!$V$3:$W$7,2,FALSE),"")</f>
        <v/>
      </c>
      <c r="J184" s="199"/>
      <c r="K184" s="524" t="str">
        <f>IFERROR(INDEX('G-8 Condition Look up'!$A$3:$H$130,MATCH(F184,'G-8 Condition Look up'!$A$3:$A$130,0),MATCH(J184,'G-8 Condition Look up'!$A$3:$H$3,0)),"")</f>
        <v/>
      </c>
      <c r="L184" s="145"/>
      <c r="M184" s="540" t="str">
        <f>IF(L184="","",IF(VLOOKUP(L184,'G-3 Multipliers'!$L$3:$N$6,2,FALSE)=0,"Spatial Data Missing ⚠",VLOOKUP(L184,'G-3 Multipliers'!$L$3:$N$6,2,FALSE)))</f>
        <v/>
      </c>
      <c r="N184" s="499" t="str">
        <f>IF(L184="","",IF(VLOOKUP(L184,'G-3 Multipliers'!$L$3:$N$6,3,FALSE)=0,"Spatial Data Missing ⚠",VLOOKUP(L184,'G-3 Multipliers'!$L$3:$N$6,3,FALSE)))</f>
        <v/>
      </c>
      <c r="O184" s="498" t="str">
        <f t="shared" si="10"/>
        <v/>
      </c>
      <c r="P184" s="195"/>
      <c r="Q184" s="195"/>
      <c r="R184" s="520" t="str">
        <f t="shared" si="11"/>
        <v/>
      </c>
      <c r="S184" s="544" t="str">
        <f t="shared" si="12"/>
        <v/>
      </c>
      <c r="T184" s="525" t="str">
        <f>IFERROR(IF(S184="Check Data ⚠","Check Data ⚠",VLOOKUP(S184,'G-4 Temporal multipliers'!$A$4:$C$37,3,FALSE)),"")</f>
        <v/>
      </c>
      <c r="U184" s="523" t="str">
        <f>IF(F184="","",VLOOKUP(F184,'G-3 Multipliers'!$A$2:$E$129,2,FALSE))</f>
        <v/>
      </c>
      <c r="V184" s="520" t="str">
        <f t="shared" si="14"/>
        <v/>
      </c>
      <c r="W184" s="520" t="str">
        <f>IF(E184="","",IF(AND(V184="Standard difficulty applied",O184&gt;P184),U184,IF(AND(V184="Low Difficulty - only applicable if all habitat created before losses ⚠",P184&gt;=O184),"Low",VLOOKUP(F184,'G-3 Multipliers'!$A$2:$E$129,4,FALSE))))</f>
        <v/>
      </c>
      <c r="X184" s="524" t="str">
        <f>IFERROR(IF(E184="","",VLOOKUP(W184, 'G-3 Multipliers'!$P$2:$Q$6,2,FALSE)),"")</f>
        <v/>
      </c>
      <c r="Y184" s="197"/>
      <c r="Z184" s="499" t="str">
        <f>IF(Y184="","",IF(VLOOKUP(Y184,'G-3 Multipliers'!$S$3:$T$9,2,FALSE)=0,"Spatial Data Missing ⚠",VLOOKUP(Y184,'G-3 Multipliers'!$S$3:$T$9,2,FALSE)))</f>
        <v/>
      </c>
      <c r="AA184" s="545" t="str">
        <f t="shared" si="13"/>
        <v/>
      </c>
      <c r="AB184" s="149"/>
      <c r="AC184" s="150"/>
    </row>
    <row r="185" spans="1:29" ht="14" x14ac:dyDescent="0.3">
      <c r="A185" s="31" t="str">
        <f>IFERROR(INDEX('G-8 Condition Look up'!$I$4:$I$130,MATCH(F185,'G-8 Condition Look up'!$A$4:$A$130,0)),"")</f>
        <v/>
      </c>
      <c r="C185" s="244" t="str">
        <f>IFERROR(INDEX('G-1 All Habitats'!$AG$3:$AG$15,MATCH(D185,'G-1 All Habitats'!$AF$3:$AF$15,0)),"")</f>
        <v/>
      </c>
      <c r="D185" s="154"/>
      <c r="E185" s="203"/>
      <c r="F185" s="243" t="str">
        <f>IFERROR(INDEX('G-1 All Habitats'!$B$3:$B$129,MATCH(E185,'G-1 All Habitats'!$A$3:$A$129,0)),"")</f>
        <v/>
      </c>
      <c r="G185" s="386"/>
      <c r="H185" s="537" t="str">
        <f>IF(F185="","",VLOOKUP(F185,'G-1 All Habitats'!$B$2:$M$129,10,FALSE))</f>
        <v/>
      </c>
      <c r="I185" s="524" t="str">
        <f>IFERROR(VLOOKUP(H185,'G-1 All Habitats'!$V$3:$W$7,2,FALSE),"")</f>
        <v/>
      </c>
      <c r="J185" s="199"/>
      <c r="K185" s="524" t="str">
        <f>IFERROR(INDEX('G-8 Condition Look up'!$A$3:$H$130,MATCH(F185,'G-8 Condition Look up'!$A$3:$A$130,0),MATCH(J185,'G-8 Condition Look up'!$A$3:$H$3,0)),"")</f>
        <v/>
      </c>
      <c r="L185" s="145"/>
      <c r="M185" s="540" t="str">
        <f>IF(L185="","",IF(VLOOKUP(L185,'G-3 Multipliers'!$L$3:$N$6,2,FALSE)=0,"Spatial Data Missing ⚠",VLOOKUP(L185,'G-3 Multipliers'!$L$3:$N$6,2,FALSE)))</f>
        <v/>
      </c>
      <c r="N185" s="499" t="str">
        <f>IF(L185="","",IF(VLOOKUP(L185,'G-3 Multipliers'!$L$3:$N$6,3,FALSE)=0,"Spatial Data Missing ⚠",VLOOKUP(L185,'G-3 Multipliers'!$L$3:$N$6,3,FALSE)))</f>
        <v/>
      </c>
      <c r="O185" s="498" t="str">
        <f t="shared" si="10"/>
        <v/>
      </c>
      <c r="P185" s="195"/>
      <c r="Q185" s="195"/>
      <c r="R185" s="520" t="str">
        <f t="shared" si="11"/>
        <v/>
      </c>
      <c r="S185" s="544" t="str">
        <f t="shared" si="12"/>
        <v/>
      </c>
      <c r="T185" s="525" t="str">
        <f>IFERROR(IF(S185="Check Data ⚠","Check Data ⚠",VLOOKUP(S185,'G-4 Temporal multipliers'!$A$4:$C$37,3,FALSE)),"")</f>
        <v/>
      </c>
      <c r="U185" s="523" t="str">
        <f>IF(F185="","",VLOOKUP(F185,'G-3 Multipliers'!$A$2:$E$129,2,FALSE))</f>
        <v/>
      </c>
      <c r="V185" s="520" t="str">
        <f t="shared" si="14"/>
        <v/>
      </c>
      <c r="W185" s="520" t="str">
        <f>IF(E185="","",IF(AND(V185="Standard difficulty applied",O185&gt;P185),U185,IF(AND(V185="Low Difficulty - only applicable if all habitat created before losses ⚠",P185&gt;=O185),"Low",VLOOKUP(F185,'G-3 Multipliers'!$A$2:$E$129,4,FALSE))))</f>
        <v/>
      </c>
      <c r="X185" s="524" t="str">
        <f>IFERROR(IF(E185="","",VLOOKUP(W185, 'G-3 Multipliers'!$P$2:$Q$6,2,FALSE)),"")</f>
        <v/>
      </c>
      <c r="Y185" s="197"/>
      <c r="Z185" s="499" t="str">
        <f>IF(Y185="","",IF(VLOOKUP(Y185,'G-3 Multipliers'!$S$3:$T$9,2,FALSE)=0,"Spatial Data Missing ⚠",VLOOKUP(Y185,'G-3 Multipliers'!$S$3:$T$9,2,FALSE)))</f>
        <v/>
      </c>
      <c r="AA185" s="545" t="str">
        <f t="shared" si="13"/>
        <v/>
      </c>
      <c r="AB185" s="149"/>
      <c r="AC185" s="150"/>
    </row>
    <row r="186" spans="1:29" ht="14" x14ac:dyDescent="0.3">
      <c r="A186" s="31" t="str">
        <f>IFERROR(INDEX('G-8 Condition Look up'!$I$4:$I$130,MATCH(F186,'G-8 Condition Look up'!$A$4:$A$130,0)),"")</f>
        <v/>
      </c>
      <c r="C186" s="244" t="str">
        <f>IFERROR(INDEX('G-1 All Habitats'!$AG$3:$AG$15,MATCH(D186,'G-1 All Habitats'!$AF$3:$AF$15,0)),"")</f>
        <v/>
      </c>
      <c r="D186" s="154"/>
      <c r="E186" s="203"/>
      <c r="F186" s="243" t="str">
        <f>IFERROR(INDEX('G-1 All Habitats'!$B$3:$B$129,MATCH(E186,'G-1 All Habitats'!$A$3:$A$129,0)),"")</f>
        <v/>
      </c>
      <c r="G186" s="386"/>
      <c r="H186" s="537" t="str">
        <f>IF(F186="","",VLOOKUP(F186,'G-1 All Habitats'!$B$2:$M$129,10,FALSE))</f>
        <v/>
      </c>
      <c r="I186" s="524" t="str">
        <f>IFERROR(VLOOKUP(H186,'G-1 All Habitats'!$V$3:$W$7,2,FALSE),"")</f>
        <v/>
      </c>
      <c r="J186" s="199"/>
      <c r="K186" s="524" t="str">
        <f>IFERROR(INDEX('G-8 Condition Look up'!$A$3:$H$130,MATCH(F186,'G-8 Condition Look up'!$A$3:$A$130,0),MATCH(J186,'G-8 Condition Look up'!$A$3:$H$3,0)),"")</f>
        <v/>
      </c>
      <c r="L186" s="145"/>
      <c r="M186" s="540" t="str">
        <f>IF(L186="","",IF(VLOOKUP(L186,'G-3 Multipliers'!$L$3:$N$6,2,FALSE)=0,"Spatial Data Missing ⚠",VLOOKUP(L186,'G-3 Multipliers'!$L$3:$N$6,2,FALSE)))</f>
        <v/>
      </c>
      <c r="N186" s="499" t="str">
        <f>IF(L186="","",IF(VLOOKUP(L186,'G-3 Multipliers'!$L$3:$N$6,3,FALSE)=0,"Spatial Data Missing ⚠",VLOOKUP(L186,'G-3 Multipliers'!$L$3:$N$6,3,FALSE)))</f>
        <v/>
      </c>
      <c r="O186" s="498" t="str">
        <f t="shared" si="10"/>
        <v/>
      </c>
      <c r="P186" s="195"/>
      <c r="Q186" s="195"/>
      <c r="R186" s="520" t="str">
        <f t="shared" si="11"/>
        <v/>
      </c>
      <c r="S186" s="544" t="str">
        <f t="shared" si="12"/>
        <v/>
      </c>
      <c r="T186" s="525" t="str">
        <f>IFERROR(IF(S186="Check Data ⚠","Check Data ⚠",VLOOKUP(S186,'G-4 Temporal multipliers'!$A$4:$C$37,3,FALSE)),"")</f>
        <v/>
      </c>
      <c r="U186" s="523" t="str">
        <f>IF(F186="","",VLOOKUP(F186,'G-3 Multipliers'!$A$2:$E$129,2,FALSE))</f>
        <v/>
      </c>
      <c r="V186" s="520" t="str">
        <f t="shared" si="14"/>
        <v/>
      </c>
      <c r="W186" s="520" t="str">
        <f>IF(E186="","",IF(AND(V186="Standard difficulty applied",O186&gt;P186),U186,IF(AND(V186="Low Difficulty - only applicable if all habitat created before losses ⚠",P186&gt;=O186),"Low",VLOOKUP(F186,'G-3 Multipliers'!$A$2:$E$129,4,FALSE))))</f>
        <v/>
      </c>
      <c r="X186" s="524" t="str">
        <f>IFERROR(IF(E186="","",VLOOKUP(W186, 'G-3 Multipliers'!$P$2:$Q$6,2,FALSE)),"")</f>
        <v/>
      </c>
      <c r="Y186" s="197"/>
      <c r="Z186" s="499" t="str">
        <f>IF(Y186="","",IF(VLOOKUP(Y186,'G-3 Multipliers'!$S$3:$T$9,2,FALSE)=0,"Spatial Data Missing ⚠",VLOOKUP(Y186,'G-3 Multipliers'!$S$3:$T$9,2,FALSE)))</f>
        <v/>
      </c>
      <c r="AA186" s="545" t="str">
        <f t="shared" si="13"/>
        <v/>
      </c>
      <c r="AB186" s="149"/>
      <c r="AC186" s="150"/>
    </row>
    <row r="187" spans="1:29" ht="14" x14ac:dyDescent="0.3">
      <c r="A187" s="31" t="str">
        <f>IFERROR(INDEX('G-8 Condition Look up'!$I$4:$I$130,MATCH(F187,'G-8 Condition Look up'!$A$4:$A$130,0)),"")</f>
        <v/>
      </c>
      <c r="C187" s="244" t="str">
        <f>IFERROR(INDEX('G-1 All Habitats'!$AG$3:$AG$15,MATCH(D187,'G-1 All Habitats'!$AF$3:$AF$15,0)),"")</f>
        <v/>
      </c>
      <c r="D187" s="154"/>
      <c r="E187" s="203"/>
      <c r="F187" s="243" t="str">
        <f>IFERROR(INDEX('G-1 All Habitats'!$B$3:$B$129,MATCH(E187,'G-1 All Habitats'!$A$3:$A$129,0)),"")</f>
        <v/>
      </c>
      <c r="G187" s="386"/>
      <c r="H187" s="537" t="str">
        <f>IF(F187="","",VLOOKUP(F187,'G-1 All Habitats'!$B$2:$M$129,10,FALSE))</f>
        <v/>
      </c>
      <c r="I187" s="524" t="str">
        <f>IFERROR(VLOOKUP(H187,'G-1 All Habitats'!$V$3:$W$7,2,FALSE),"")</f>
        <v/>
      </c>
      <c r="J187" s="199"/>
      <c r="K187" s="524" t="str">
        <f>IFERROR(INDEX('G-8 Condition Look up'!$A$3:$H$130,MATCH(F187,'G-8 Condition Look up'!$A$3:$A$130,0),MATCH(J187,'G-8 Condition Look up'!$A$3:$H$3,0)),"")</f>
        <v/>
      </c>
      <c r="L187" s="145"/>
      <c r="M187" s="540" t="str">
        <f>IF(L187="","",IF(VLOOKUP(L187,'G-3 Multipliers'!$L$3:$N$6,2,FALSE)=0,"Spatial Data Missing ⚠",VLOOKUP(L187,'G-3 Multipliers'!$L$3:$N$6,2,FALSE)))</f>
        <v/>
      </c>
      <c r="N187" s="499" t="str">
        <f>IF(L187="","",IF(VLOOKUP(L187,'G-3 Multipliers'!$L$3:$N$6,3,FALSE)=0,"Spatial Data Missing ⚠",VLOOKUP(L187,'G-3 Multipliers'!$L$3:$N$6,3,FALSE)))</f>
        <v/>
      </c>
      <c r="O187" s="498" t="str">
        <f t="shared" si="10"/>
        <v/>
      </c>
      <c r="P187" s="195"/>
      <c r="Q187" s="195"/>
      <c r="R187" s="520" t="str">
        <f t="shared" si="11"/>
        <v/>
      </c>
      <c r="S187" s="544" t="str">
        <f t="shared" si="12"/>
        <v/>
      </c>
      <c r="T187" s="525" t="str">
        <f>IFERROR(IF(S187="Check Data ⚠","Check Data ⚠",VLOOKUP(S187,'G-4 Temporal multipliers'!$A$4:$C$37,3,FALSE)),"")</f>
        <v/>
      </c>
      <c r="U187" s="523" t="str">
        <f>IF(F187="","",VLOOKUP(F187,'G-3 Multipliers'!$A$2:$E$129,2,FALSE))</f>
        <v/>
      </c>
      <c r="V187" s="520" t="str">
        <f t="shared" si="14"/>
        <v/>
      </c>
      <c r="W187" s="520" t="str">
        <f>IF(E187="","",IF(AND(V187="Standard difficulty applied",O187&gt;P187),U187,IF(AND(V187="Low Difficulty - only applicable if all habitat created before losses ⚠",P187&gt;=O187),"Low",VLOOKUP(F187,'G-3 Multipliers'!$A$2:$E$129,4,FALSE))))</f>
        <v/>
      </c>
      <c r="X187" s="524" t="str">
        <f>IFERROR(IF(E187="","",VLOOKUP(W187, 'G-3 Multipliers'!$P$2:$Q$6,2,FALSE)),"")</f>
        <v/>
      </c>
      <c r="Y187" s="197"/>
      <c r="Z187" s="499" t="str">
        <f>IF(Y187="","",IF(VLOOKUP(Y187,'G-3 Multipliers'!$S$3:$T$9,2,FALSE)=0,"Spatial Data Missing ⚠",VLOOKUP(Y187,'G-3 Multipliers'!$S$3:$T$9,2,FALSE)))</f>
        <v/>
      </c>
      <c r="AA187" s="545" t="str">
        <f t="shared" si="13"/>
        <v/>
      </c>
      <c r="AB187" s="149"/>
      <c r="AC187" s="150"/>
    </row>
    <row r="188" spans="1:29" ht="14" x14ac:dyDescent="0.3">
      <c r="A188" s="31" t="str">
        <f>IFERROR(INDEX('G-8 Condition Look up'!$I$4:$I$130,MATCH(F188,'G-8 Condition Look up'!$A$4:$A$130,0)),"")</f>
        <v/>
      </c>
      <c r="C188" s="244" t="str">
        <f>IFERROR(INDEX('G-1 All Habitats'!$AG$3:$AG$15,MATCH(D188,'G-1 All Habitats'!$AF$3:$AF$15,0)),"")</f>
        <v/>
      </c>
      <c r="D188" s="154"/>
      <c r="E188" s="203"/>
      <c r="F188" s="243" t="str">
        <f>IFERROR(INDEX('G-1 All Habitats'!$B$3:$B$129,MATCH(E188,'G-1 All Habitats'!$A$3:$A$129,0)),"")</f>
        <v/>
      </c>
      <c r="G188" s="386"/>
      <c r="H188" s="537" t="str">
        <f>IF(F188="","",VLOOKUP(F188,'G-1 All Habitats'!$B$2:$M$129,10,FALSE))</f>
        <v/>
      </c>
      <c r="I188" s="524" t="str">
        <f>IFERROR(VLOOKUP(H188,'G-1 All Habitats'!$V$3:$W$7,2,FALSE),"")</f>
        <v/>
      </c>
      <c r="J188" s="199"/>
      <c r="K188" s="524" t="str">
        <f>IFERROR(INDEX('G-8 Condition Look up'!$A$3:$H$130,MATCH(F188,'G-8 Condition Look up'!$A$3:$A$130,0),MATCH(J188,'G-8 Condition Look up'!$A$3:$H$3,0)),"")</f>
        <v/>
      </c>
      <c r="L188" s="145"/>
      <c r="M188" s="540" t="str">
        <f>IF(L188="","",IF(VLOOKUP(L188,'G-3 Multipliers'!$L$3:$N$6,2,FALSE)=0,"Spatial Data Missing ⚠",VLOOKUP(L188,'G-3 Multipliers'!$L$3:$N$6,2,FALSE)))</f>
        <v/>
      </c>
      <c r="N188" s="499" t="str">
        <f>IF(L188="","",IF(VLOOKUP(L188,'G-3 Multipliers'!$L$3:$N$6,3,FALSE)=0,"Spatial Data Missing ⚠",VLOOKUP(L188,'G-3 Multipliers'!$L$3:$N$6,3,FALSE)))</f>
        <v/>
      </c>
      <c r="O188" s="498" t="str">
        <f t="shared" si="10"/>
        <v/>
      </c>
      <c r="P188" s="195"/>
      <c r="Q188" s="195"/>
      <c r="R188" s="520" t="str">
        <f t="shared" si="11"/>
        <v/>
      </c>
      <c r="S188" s="544" t="str">
        <f t="shared" si="12"/>
        <v/>
      </c>
      <c r="T188" s="525" t="str">
        <f>IFERROR(IF(S188="Check Data ⚠","Check Data ⚠",VLOOKUP(S188,'G-4 Temporal multipliers'!$A$4:$C$37,3,FALSE)),"")</f>
        <v/>
      </c>
      <c r="U188" s="523" t="str">
        <f>IF(F188="","",VLOOKUP(F188,'G-3 Multipliers'!$A$2:$E$129,2,FALSE))</f>
        <v/>
      </c>
      <c r="V188" s="520" t="str">
        <f t="shared" si="14"/>
        <v/>
      </c>
      <c r="W188" s="520" t="str">
        <f>IF(E188="","",IF(AND(V188="Standard difficulty applied",O188&gt;P188),U188,IF(AND(V188="Low Difficulty - only applicable if all habitat created before losses ⚠",P188&gt;=O188),"Low",VLOOKUP(F188,'G-3 Multipliers'!$A$2:$E$129,4,FALSE))))</f>
        <v/>
      </c>
      <c r="X188" s="524" t="str">
        <f>IFERROR(IF(E188="","",VLOOKUP(W188, 'G-3 Multipliers'!$P$2:$Q$6,2,FALSE)),"")</f>
        <v/>
      </c>
      <c r="Y188" s="197"/>
      <c r="Z188" s="499" t="str">
        <f>IF(Y188="","",IF(VLOOKUP(Y188,'G-3 Multipliers'!$S$3:$T$9,2,FALSE)=0,"Spatial Data Missing ⚠",VLOOKUP(Y188,'G-3 Multipliers'!$S$3:$T$9,2,FALSE)))</f>
        <v/>
      </c>
      <c r="AA188" s="545" t="str">
        <f t="shared" si="13"/>
        <v/>
      </c>
      <c r="AB188" s="149"/>
      <c r="AC188" s="150"/>
    </row>
    <row r="189" spans="1:29" ht="14" x14ac:dyDescent="0.3">
      <c r="A189" s="31" t="str">
        <f>IFERROR(INDEX('G-8 Condition Look up'!$I$4:$I$130,MATCH(F189,'G-8 Condition Look up'!$A$4:$A$130,0)),"")</f>
        <v/>
      </c>
      <c r="C189" s="244" t="str">
        <f>IFERROR(INDEX('G-1 All Habitats'!$AG$3:$AG$15,MATCH(D189,'G-1 All Habitats'!$AF$3:$AF$15,0)),"")</f>
        <v/>
      </c>
      <c r="D189" s="154"/>
      <c r="E189" s="203"/>
      <c r="F189" s="243" t="str">
        <f>IFERROR(INDEX('G-1 All Habitats'!$B$3:$B$129,MATCH(E189,'G-1 All Habitats'!$A$3:$A$129,0)),"")</f>
        <v/>
      </c>
      <c r="G189" s="386"/>
      <c r="H189" s="537" t="str">
        <f>IF(F189="","",VLOOKUP(F189,'G-1 All Habitats'!$B$2:$M$129,10,FALSE))</f>
        <v/>
      </c>
      <c r="I189" s="524" t="str">
        <f>IFERROR(VLOOKUP(H189,'G-1 All Habitats'!$V$3:$W$7,2,FALSE),"")</f>
        <v/>
      </c>
      <c r="J189" s="199"/>
      <c r="K189" s="524" t="str">
        <f>IFERROR(INDEX('G-8 Condition Look up'!$A$3:$H$130,MATCH(F189,'G-8 Condition Look up'!$A$3:$A$130,0),MATCH(J189,'G-8 Condition Look up'!$A$3:$H$3,0)),"")</f>
        <v/>
      </c>
      <c r="L189" s="145"/>
      <c r="M189" s="540" t="str">
        <f>IF(L189="","",IF(VLOOKUP(L189,'G-3 Multipliers'!$L$3:$N$6,2,FALSE)=0,"Spatial Data Missing ⚠",VLOOKUP(L189,'G-3 Multipliers'!$L$3:$N$6,2,FALSE)))</f>
        <v/>
      </c>
      <c r="N189" s="499" t="str">
        <f>IF(L189="","",IF(VLOOKUP(L189,'G-3 Multipliers'!$L$3:$N$6,3,FALSE)=0,"Spatial Data Missing ⚠",VLOOKUP(L189,'G-3 Multipliers'!$L$3:$N$6,3,FALSE)))</f>
        <v/>
      </c>
      <c r="O189" s="498" t="str">
        <f t="shared" si="10"/>
        <v/>
      </c>
      <c r="P189" s="195"/>
      <c r="Q189" s="195"/>
      <c r="R189" s="520" t="str">
        <f t="shared" si="11"/>
        <v/>
      </c>
      <c r="S189" s="544" t="str">
        <f t="shared" si="12"/>
        <v/>
      </c>
      <c r="T189" s="525" t="str">
        <f>IFERROR(IF(S189="Check Data ⚠","Check Data ⚠",VLOOKUP(S189,'G-4 Temporal multipliers'!$A$4:$C$37,3,FALSE)),"")</f>
        <v/>
      </c>
      <c r="U189" s="523" t="str">
        <f>IF(F189="","",VLOOKUP(F189,'G-3 Multipliers'!$A$2:$E$129,2,FALSE))</f>
        <v/>
      </c>
      <c r="V189" s="520" t="str">
        <f t="shared" si="14"/>
        <v/>
      </c>
      <c r="W189" s="520" t="str">
        <f>IF(E189="","",IF(AND(V189="Standard difficulty applied",O189&gt;P189),U189,IF(AND(V189="Low Difficulty - only applicable if all habitat created before losses ⚠",P189&gt;=O189),"Low",VLOOKUP(F189,'G-3 Multipliers'!$A$2:$E$129,4,FALSE))))</f>
        <v/>
      </c>
      <c r="X189" s="524" t="str">
        <f>IFERROR(IF(E189="","",VLOOKUP(W189, 'G-3 Multipliers'!$P$2:$Q$6,2,FALSE)),"")</f>
        <v/>
      </c>
      <c r="Y189" s="197"/>
      <c r="Z189" s="499" t="str">
        <f>IF(Y189="","",IF(VLOOKUP(Y189,'G-3 Multipliers'!$S$3:$T$9,2,FALSE)=0,"Spatial Data Missing ⚠",VLOOKUP(Y189,'G-3 Multipliers'!$S$3:$T$9,2,FALSE)))</f>
        <v/>
      </c>
      <c r="AA189" s="545" t="str">
        <f t="shared" si="13"/>
        <v/>
      </c>
      <c r="AB189" s="149"/>
      <c r="AC189" s="150"/>
    </row>
    <row r="190" spans="1:29" ht="14" x14ac:dyDescent="0.3">
      <c r="A190" s="31" t="str">
        <f>IFERROR(INDEX('G-8 Condition Look up'!$I$4:$I$130,MATCH(F190,'G-8 Condition Look up'!$A$4:$A$130,0)),"")</f>
        <v/>
      </c>
      <c r="C190" s="244" t="str">
        <f>IFERROR(INDEX('G-1 All Habitats'!$AG$3:$AG$15,MATCH(D190,'G-1 All Habitats'!$AF$3:$AF$15,0)),"")</f>
        <v/>
      </c>
      <c r="D190" s="154"/>
      <c r="E190" s="203"/>
      <c r="F190" s="243" t="str">
        <f>IFERROR(INDEX('G-1 All Habitats'!$B$3:$B$129,MATCH(E190,'G-1 All Habitats'!$A$3:$A$129,0)),"")</f>
        <v/>
      </c>
      <c r="G190" s="386"/>
      <c r="H190" s="537" t="str">
        <f>IF(F190="","",VLOOKUP(F190,'G-1 All Habitats'!$B$2:$M$129,10,FALSE))</f>
        <v/>
      </c>
      <c r="I190" s="524" t="str">
        <f>IFERROR(VLOOKUP(H190,'G-1 All Habitats'!$V$3:$W$7,2,FALSE),"")</f>
        <v/>
      </c>
      <c r="J190" s="199"/>
      <c r="K190" s="524" t="str">
        <f>IFERROR(INDEX('G-8 Condition Look up'!$A$3:$H$130,MATCH(F190,'G-8 Condition Look up'!$A$3:$A$130,0),MATCH(J190,'G-8 Condition Look up'!$A$3:$H$3,0)),"")</f>
        <v/>
      </c>
      <c r="L190" s="145"/>
      <c r="M190" s="540" t="str">
        <f>IF(L190="","",IF(VLOOKUP(L190,'G-3 Multipliers'!$L$3:$N$6,2,FALSE)=0,"Spatial Data Missing ⚠",VLOOKUP(L190,'G-3 Multipliers'!$L$3:$N$6,2,FALSE)))</f>
        <v/>
      </c>
      <c r="N190" s="499" t="str">
        <f>IF(L190="","",IF(VLOOKUP(L190,'G-3 Multipliers'!$L$3:$N$6,3,FALSE)=0,"Spatial Data Missing ⚠",VLOOKUP(L190,'G-3 Multipliers'!$L$3:$N$6,3,FALSE)))</f>
        <v/>
      </c>
      <c r="O190" s="498" t="str">
        <f t="shared" si="10"/>
        <v/>
      </c>
      <c r="P190" s="195"/>
      <c r="Q190" s="195"/>
      <c r="R190" s="520" t="str">
        <f t="shared" si="11"/>
        <v/>
      </c>
      <c r="S190" s="544" t="str">
        <f t="shared" si="12"/>
        <v/>
      </c>
      <c r="T190" s="525" t="str">
        <f>IFERROR(IF(S190="Check Data ⚠","Check Data ⚠",VLOOKUP(S190,'G-4 Temporal multipliers'!$A$4:$C$37,3,FALSE)),"")</f>
        <v/>
      </c>
      <c r="U190" s="523" t="str">
        <f>IF(F190="","",VLOOKUP(F190,'G-3 Multipliers'!$A$2:$E$129,2,FALSE))</f>
        <v/>
      </c>
      <c r="V190" s="520" t="str">
        <f t="shared" si="14"/>
        <v/>
      </c>
      <c r="W190" s="520" t="str">
        <f>IF(E190="","",IF(AND(V190="Standard difficulty applied",O190&gt;P190),U190,IF(AND(V190="Low Difficulty - only applicable if all habitat created before losses ⚠",P190&gt;=O190),"Low",VLOOKUP(F190,'G-3 Multipliers'!$A$2:$E$129,4,FALSE))))</f>
        <v/>
      </c>
      <c r="X190" s="524" t="str">
        <f>IFERROR(IF(E190="","",VLOOKUP(W190, 'G-3 Multipliers'!$P$2:$Q$6,2,FALSE)),"")</f>
        <v/>
      </c>
      <c r="Y190" s="197"/>
      <c r="Z190" s="499" t="str">
        <f>IF(Y190="","",IF(VLOOKUP(Y190,'G-3 Multipliers'!$S$3:$T$9,2,FALSE)=0,"Spatial Data Missing ⚠",VLOOKUP(Y190,'G-3 Multipliers'!$S$3:$T$9,2,FALSE)))</f>
        <v/>
      </c>
      <c r="AA190" s="545" t="str">
        <f t="shared" si="13"/>
        <v/>
      </c>
      <c r="AB190" s="149"/>
      <c r="AC190" s="150"/>
    </row>
    <row r="191" spans="1:29" ht="14" x14ac:dyDescent="0.3">
      <c r="A191" s="31" t="str">
        <f>IFERROR(INDEX('G-8 Condition Look up'!$I$4:$I$130,MATCH(F191,'G-8 Condition Look up'!$A$4:$A$130,0)),"")</f>
        <v/>
      </c>
      <c r="C191" s="244" t="str">
        <f>IFERROR(INDEX('G-1 All Habitats'!$AG$3:$AG$15,MATCH(D191,'G-1 All Habitats'!$AF$3:$AF$15,0)),"")</f>
        <v/>
      </c>
      <c r="D191" s="154"/>
      <c r="E191" s="203"/>
      <c r="F191" s="243" t="str">
        <f>IFERROR(INDEX('G-1 All Habitats'!$B$3:$B$129,MATCH(E191,'G-1 All Habitats'!$A$3:$A$129,0)),"")</f>
        <v/>
      </c>
      <c r="G191" s="386"/>
      <c r="H191" s="537" t="str">
        <f>IF(F191="","",VLOOKUP(F191,'G-1 All Habitats'!$B$2:$M$129,10,FALSE))</f>
        <v/>
      </c>
      <c r="I191" s="524" t="str">
        <f>IFERROR(VLOOKUP(H191,'G-1 All Habitats'!$V$3:$W$7,2,FALSE),"")</f>
        <v/>
      </c>
      <c r="J191" s="199"/>
      <c r="K191" s="524" t="str">
        <f>IFERROR(INDEX('G-8 Condition Look up'!$A$3:$H$130,MATCH(F191,'G-8 Condition Look up'!$A$3:$A$130,0),MATCH(J191,'G-8 Condition Look up'!$A$3:$H$3,0)),"")</f>
        <v/>
      </c>
      <c r="L191" s="145"/>
      <c r="M191" s="540" t="str">
        <f>IF(L191="","",IF(VLOOKUP(L191,'G-3 Multipliers'!$L$3:$N$6,2,FALSE)=0,"Spatial Data Missing ⚠",VLOOKUP(L191,'G-3 Multipliers'!$L$3:$N$6,2,FALSE)))</f>
        <v/>
      </c>
      <c r="N191" s="499" t="str">
        <f>IF(L191="","",IF(VLOOKUP(L191,'G-3 Multipliers'!$L$3:$N$6,3,FALSE)=0,"Spatial Data Missing ⚠",VLOOKUP(L191,'G-3 Multipliers'!$L$3:$N$6,3,FALSE)))</f>
        <v/>
      </c>
      <c r="O191" s="498" t="str">
        <f t="shared" si="10"/>
        <v/>
      </c>
      <c r="P191" s="195"/>
      <c r="Q191" s="195"/>
      <c r="R191" s="520" t="str">
        <f t="shared" si="11"/>
        <v/>
      </c>
      <c r="S191" s="544" t="str">
        <f t="shared" si="12"/>
        <v/>
      </c>
      <c r="T191" s="525" t="str">
        <f>IFERROR(IF(S191="Check Data ⚠","Check Data ⚠",VLOOKUP(S191,'G-4 Temporal multipliers'!$A$4:$C$37,3,FALSE)),"")</f>
        <v/>
      </c>
      <c r="U191" s="523" t="str">
        <f>IF(F191="","",VLOOKUP(F191,'G-3 Multipliers'!$A$2:$E$129,2,FALSE))</f>
        <v/>
      </c>
      <c r="V191" s="520" t="str">
        <f t="shared" si="14"/>
        <v/>
      </c>
      <c r="W191" s="520" t="str">
        <f>IF(E191="","",IF(AND(V191="Standard difficulty applied",O191&gt;P191),U191,IF(AND(V191="Low Difficulty - only applicable if all habitat created before losses ⚠",P191&gt;=O191),"Low",VLOOKUP(F191,'G-3 Multipliers'!$A$2:$E$129,4,FALSE))))</f>
        <v/>
      </c>
      <c r="X191" s="524" t="str">
        <f>IFERROR(IF(E191="","",VLOOKUP(W191, 'G-3 Multipliers'!$P$2:$Q$6,2,FALSE)),"")</f>
        <v/>
      </c>
      <c r="Y191" s="197"/>
      <c r="Z191" s="499" t="str">
        <f>IF(Y191="","",IF(VLOOKUP(Y191,'G-3 Multipliers'!$S$3:$T$9,2,FALSE)=0,"Spatial Data Missing ⚠",VLOOKUP(Y191,'G-3 Multipliers'!$S$3:$T$9,2,FALSE)))</f>
        <v/>
      </c>
      <c r="AA191" s="545" t="str">
        <f t="shared" si="13"/>
        <v/>
      </c>
      <c r="AB191" s="149"/>
      <c r="AC191" s="150"/>
    </row>
    <row r="192" spans="1:29" ht="14" x14ac:dyDescent="0.3">
      <c r="A192" s="31" t="str">
        <f>IFERROR(INDEX('G-8 Condition Look up'!$I$4:$I$130,MATCH(F192,'G-8 Condition Look up'!$A$4:$A$130,0)),"")</f>
        <v/>
      </c>
      <c r="C192" s="244" t="str">
        <f>IFERROR(INDEX('G-1 All Habitats'!$AG$3:$AG$15,MATCH(D192,'G-1 All Habitats'!$AF$3:$AF$15,0)),"")</f>
        <v/>
      </c>
      <c r="D192" s="154"/>
      <c r="E192" s="203"/>
      <c r="F192" s="243" t="str">
        <f>IFERROR(INDEX('G-1 All Habitats'!$B$3:$B$129,MATCH(E192,'G-1 All Habitats'!$A$3:$A$129,0)),"")</f>
        <v/>
      </c>
      <c r="G192" s="386"/>
      <c r="H192" s="537" t="str">
        <f>IF(F192="","",VLOOKUP(F192,'G-1 All Habitats'!$B$2:$M$129,10,FALSE))</f>
        <v/>
      </c>
      <c r="I192" s="524" t="str">
        <f>IFERROR(VLOOKUP(H192,'G-1 All Habitats'!$V$3:$W$7,2,FALSE),"")</f>
        <v/>
      </c>
      <c r="J192" s="199"/>
      <c r="K192" s="524" t="str">
        <f>IFERROR(INDEX('G-8 Condition Look up'!$A$3:$H$130,MATCH(F192,'G-8 Condition Look up'!$A$3:$A$130,0),MATCH(J192,'G-8 Condition Look up'!$A$3:$H$3,0)),"")</f>
        <v/>
      </c>
      <c r="L192" s="145"/>
      <c r="M192" s="540" t="str">
        <f>IF(L192="","",IF(VLOOKUP(L192,'G-3 Multipliers'!$L$3:$N$6,2,FALSE)=0,"Spatial Data Missing ⚠",VLOOKUP(L192,'G-3 Multipliers'!$L$3:$N$6,2,FALSE)))</f>
        <v/>
      </c>
      <c r="N192" s="499" t="str">
        <f>IF(L192="","",IF(VLOOKUP(L192,'G-3 Multipliers'!$L$3:$N$6,3,FALSE)=0,"Spatial Data Missing ⚠",VLOOKUP(L192,'G-3 Multipliers'!$L$3:$N$6,3,FALSE)))</f>
        <v/>
      </c>
      <c r="O192" s="498" t="str">
        <f t="shared" si="10"/>
        <v/>
      </c>
      <c r="P192" s="195"/>
      <c r="Q192" s="195"/>
      <c r="R192" s="520" t="str">
        <f t="shared" si="11"/>
        <v/>
      </c>
      <c r="S192" s="544" t="str">
        <f t="shared" si="12"/>
        <v/>
      </c>
      <c r="T192" s="525" t="str">
        <f>IFERROR(IF(S192="Check Data ⚠","Check Data ⚠",VLOOKUP(S192,'G-4 Temporal multipliers'!$A$4:$C$37,3,FALSE)),"")</f>
        <v/>
      </c>
      <c r="U192" s="523" t="str">
        <f>IF(F192="","",VLOOKUP(F192,'G-3 Multipliers'!$A$2:$E$129,2,FALSE))</f>
        <v/>
      </c>
      <c r="V192" s="520" t="str">
        <f t="shared" si="14"/>
        <v/>
      </c>
      <c r="W192" s="520" t="str">
        <f>IF(E192="","",IF(AND(V192="Standard difficulty applied",O192&gt;P192),U192,IF(AND(V192="Low Difficulty - only applicable if all habitat created before losses ⚠",P192&gt;=O192),"Low",VLOOKUP(F192,'G-3 Multipliers'!$A$2:$E$129,4,FALSE))))</f>
        <v/>
      </c>
      <c r="X192" s="524" t="str">
        <f>IFERROR(IF(E192="","",VLOOKUP(W192, 'G-3 Multipliers'!$P$2:$Q$6,2,FALSE)),"")</f>
        <v/>
      </c>
      <c r="Y192" s="197"/>
      <c r="Z192" s="499" t="str">
        <f>IF(Y192="","",IF(VLOOKUP(Y192,'G-3 Multipliers'!$S$3:$T$9,2,FALSE)=0,"Spatial Data Missing ⚠",VLOOKUP(Y192,'G-3 Multipliers'!$S$3:$T$9,2,FALSE)))</f>
        <v/>
      </c>
      <c r="AA192" s="545" t="str">
        <f t="shared" si="13"/>
        <v/>
      </c>
      <c r="AB192" s="149"/>
      <c r="AC192" s="150"/>
    </row>
    <row r="193" spans="1:29" ht="14" x14ac:dyDescent="0.3">
      <c r="A193" s="31" t="str">
        <f>IFERROR(INDEX('G-8 Condition Look up'!$I$4:$I$130,MATCH(F193,'G-8 Condition Look up'!$A$4:$A$130,0)),"")</f>
        <v/>
      </c>
      <c r="C193" s="244" t="str">
        <f>IFERROR(INDEX('G-1 All Habitats'!$AG$3:$AG$15,MATCH(D193,'G-1 All Habitats'!$AF$3:$AF$15,0)),"")</f>
        <v/>
      </c>
      <c r="D193" s="154"/>
      <c r="E193" s="203"/>
      <c r="F193" s="243" t="str">
        <f>IFERROR(INDEX('G-1 All Habitats'!$B$3:$B$129,MATCH(E193,'G-1 All Habitats'!$A$3:$A$129,0)),"")</f>
        <v/>
      </c>
      <c r="G193" s="386"/>
      <c r="H193" s="537" t="str">
        <f>IF(F193="","",VLOOKUP(F193,'G-1 All Habitats'!$B$2:$M$129,10,FALSE))</f>
        <v/>
      </c>
      <c r="I193" s="524" t="str">
        <f>IFERROR(VLOOKUP(H193,'G-1 All Habitats'!$V$3:$W$7,2,FALSE),"")</f>
        <v/>
      </c>
      <c r="J193" s="199"/>
      <c r="K193" s="524" t="str">
        <f>IFERROR(INDEX('G-8 Condition Look up'!$A$3:$H$130,MATCH(F193,'G-8 Condition Look up'!$A$3:$A$130,0),MATCH(J193,'G-8 Condition Look up'!$A$3:$H$3,0)),"")</f>
        <v/>
      </c>
      <c r="L193" s="145"/>
      <c r="M193" s="540" t="str">
        <f>IF(L193="","",IF(VLOOKUP(L193,'G-3 Multipliers'!$L$3:$N$6,2,FALSE)=0,"Spatial Data Missing ⚠",VLOOKUP(L193,'G-3 Multipliers'!$L$3:$N$6,2,FALSE)))</f>
        <v/>
      </c>
      <c r="N193" s="499" t="str">
        <f>IF(L193="","",IF(VLOOKUP(L193,'G-3 Multipliers'!$L$3:$N$6,3,FALSE)=0,"Spatial Data Missing ⚠",VLOOKUP(L193,'G-3 Multipliers'!$L$3:$N$6,3,FALSE)))</f>
        <v/>
      </c>
      <c r="O193" s="498" t="str">
        <f t="shared" si="10"/>
        <v/>
      </c>
      <c r="P193" s="195"/>
      <c r="Q193" s="195"/>
      <c r="R193" s="520" t="str">
        <f t="shared" si="11"/>
        <v/>
      </c>
      <c r="S193" s="544" t="str">
        <f t="shared" si="12"/>
        <v/>
      </c>
      <c r="T193" s="525" t="str">
        <f>IFERROR(IF(S193="Check Data ⚠","Check Data ⚠",VLOOKUP(S193,'G-4 Temporal multipliers'!$A$4:$C$37,3,FALSE)),"")</f>
        <v/>
      </c>
      <c r="U193" s="523" t="str">
        <f>IF(F193="","",VLOOKUP(F193,'G-3 Multipliers'!$A$2:$E$129,2,FALSE))</f>
        <v/>
      </c>
      <c r="V193" s="520" t="str">
        <f t="shared" si="14"/>
        <v/>
      </c>
      <c r="W193" s="520" t="str">
        <f>IF(E193="","",IF(AND(V193="Standard difficulty applied",O193&gt;P193),U193,IF(AND(V193="Low Difficulty - only applicable if all habitat created before losses ⚠",P193&gt;=O193),"Low",VLOOKUP(F193,'G-3 Multipliers'!$A$2:$E$129,4,FALSE))))</f>
        <v/>
      </c>
      <c r="X193" s="524" t="str">
        <f>IFERROR(IF(E193="","",VLOOKUP(W193, 'G-3 Multipliers'!$P$2:$Q$6,2,FALSE)),"")</f>
        <v/>
      </c>
      <c r="Y193" s="197"/>
      <c r="Z193" s="499" t="str">
        <f>IF(Y193="","",IF(VLOOKUP(Y193,'G-3 Multipliers'!$S$3:$T$9,2,FALSE)=0,"Spatial Data Missing ⚠",VLOOKUP(Y193,'G-3 Multipliers'!$S$3:$T$9,2,FALSE)))</f>
        <v/>
      </c>
      <c r="AA193" s="545" t="str">
        <f t="shared" si="13"/>
        <v/>
      </c>
      <c r="AB193" s="149"/>
      <c r="AC193" s="150"/>
    </row>
    <row r="194" spans="1:29" ht="14" x14ac:dyDescent="0.3">
      <c r="A194" s="31" t="str">
        <f>IFERROR(INDEX('G-8 Condition Look up'!$I$4:$I$130,MATCH(F194,'G-8 Condition Look up'!$A$4:$A$130,0)),"")</f>
        <v/>
      </c>
      <c r="C194" s="244" t="str">
        <f>IFERROR(INDEX('G-1 All Habitats'!$AG$3:$AG$15,MATCH(D194,'G-1 All Habitats'!$AF$3:$AF$15,0)),"")</f>
        <v/>
      </c>
      <c r="D194" s="154"/>
      <c r="E194" s="203"/>
      <c r="F194" s="243" t="str">
        <f>IFERROR(INDEX('G-1 All Habitats'!$B$3:$B$129,MATCH(E194,'G-1 All Habitats'!$A$3:$A$129,0)),"")</f>
        <v/>
      </c>
      <c r="G194" s="386"/>
      <c r="H194" s="537" t="str">
        <f>IF(F194="","",VLOOKUP(F194,'G-1 All Habitats'!$B$2:$M$129,10,FALSE))</f>
        <v/>
      </c>
      <c r="I194" s="524" t="str">
        <f>IFERROR(VLOOKUP(H194,'G-1 All Habitats'!$V$3:$W$7,2,FALSE),"")</f>
        <v/>
      </c>
      <c r="J194" s="199"/>
      <c r="K194" s="524" t="str">
        <f>IFERROR(INDEX('G-8 Condition Look up'!$A$3:$H$130,MATCH(F194,'G-8 Condition Look up'!$A$3:$A$130,0),MATCH(J194,'G-8 Condition Look up'!$A$3:$H$3,0)),"")</f>
        <v/>
      </c>
      <c r="L194" s="145"/>
      <c r="M194" s="540" t="str">
        <f>IF(L194="","",IF(VLOOKUP(L194,'G-3 Multipliers'!$L$3:$N$6,2,FALSE)=0,"Spatial Data Missing ⚠",VLOOKUP(L194,'G-3 Multipliers'!$L$3:$N$6,2,FALSE)))</f>
        <v/>
      </c>
      <c r="N194" s="499" t="str">
        <f>IF(L194="","",IF(VLOOKUP(L194,'G-3 Multipliers'!$L$3:$N$6,3,FALSE)=0,"Spatial Data Missing ⚠",VLOOKUP(L194,'G-3 Multipliers'!$L$3:$N$6,3,FALSE)))</f>
        <v/>
      </c>
      <c r="O194" s="498" t="str">
        <f t="shared" si="10"/>
        <v/>
      </c>
      <c r="P194" s="195"/>
      <c r="Q194" s="195"/>
      <c r="R194" s="520" t="str">
        <f t="shared" si="11"/>
        <v/>
      </c>
      <c r="S194" s="544" t="str">
        <f t="shared" si="12"/>
        <v/>
      </c>
      <c r="T194" s="525" t="str">
        <f>IFERROR(IF(S194="Check Data ⚠","Check Data ⚠",VLOOKUP(S194,'G-4 Temporal multipliers'!$A$4:$C$37,3,FALSE)),"")</f>
        <v/>
      </c>
      <c r="U194" s="523" t="str">
        <f>IF(F194="","",VLOOKUP(F194,'G-3 Multipliers'!$A$2:$E$129,2,FALSE))</f>
        <v/>
      </c>
      <c r="V194" s="520" t="str">
        <f t="shared" si="14"/>
        <v/>
      </c>
      <c r="W194" s="520" t="str">
        <f>IF(E194="","",IF(AND(V194="Standard difficulty applied",O194&gt;P194),U194,IF(AND(V194="Low Difficulty - only applicable if all habitat created before losses ⚠",P194&gt;=O194),"Low",VLOOKUP(F194,'G-3 Multipliers'!$A$2:$E$129,4,FALSE))))</f>
        <v/>
      </c>
      <c r="X194" s="524" t="str">
        <f>IFERROR(IF(E194="","",VLOOKUP(W194, 'G-3 Multipliers'!$P$2:$Q$6,2,FALSE)),"")</f>
        <v/>
      </c>
      <c r="Y194" s="197"/>
      <c r="Z194" s="499" t="str">
        <f>IF(Y194="","",IF(VLOOKUP(Y194,'G-3 Multipliers'!$S$3:$T$9,2,FALSE)=0,"Spatial Data Missing ⚠",VLOOKUP(Y194,'G-3 Multipliers'!$S$3:$T$9,2,FALSE)))</f>
        <v/>
      </c>
      <c r="AA194" s="545" t="str">
        <f t="shared" si="13"/>
        <v/>
      </c>
      <c r="AB194" s="149"/>
      <c r="AC194" s="150"/>
    </row>
    <row r="195" spans="1:29" ht="14" x14ac:dyDescent="0.3">
      <c r="A195" s="31" t="str">
        <f>IFERROR(INDEX('G-8 Condition Look up'!$I$4:$I$130,MATCH(F195,'G-8 Condition Look up'!$A$4:$A$130,0)),"")</f>
        <v/>
      </c>
      <c r="C195" s="244" t="str">
        <f>IFERROR(INDEX('G-1 All Habitats'!$AG$3:$AG$15,MATCH(D195,'G-1 All Habitats'!$AF$3:$AF$15,0)),"")</f>
        <v/>
      </c>
      <c r="D195" s="154"/>
      <c r="E195" s="203"/>
      <c r="F195" s="243" t="str">
        <f>IFERROR(INDEX('G-1 All Habitats'!$B$3:$B$129,MATCH(E195,'G-1 All Habitats'!$A$3:$A$129,0)),"")</f>
        <v/>
      </c>
      <c r="G195" s="386"/>
      <c r="H195" s="537" t="str">
        <f>IF(F195="","",VLOOKUP(F195,'G-1 All Habitats'!$B$2:$M$129,10,FALSE))</f>
        <v/>
      </c>
      <c r="I195" s="524" t="str">
        <f>IFERROR(VLOOKUP(H195,'G-1 All Habitats'!$V$3:$W$7,2,FALSE),"")</f>
        <v/>
      </c>
      <c r="J195" s="199"/>
      <c r="K195" s="524" t="str">
        <f>IFERROR(INDEX('G-8 Condition Look up'!$A$3:$H$130,MATCH(F195,'G-8 Condition Look up'!$A$3:$A$130,0),MATCH(J195,'G-8 Condition Look up'!$A$3:$H$3,0)),"")</f>
        <v/>
      </c>
      <c r="L195" s="145"/>
      <c r="M195" s="540" t="str">
        <f>IF(L195="","",IF(VLOOKUP(L195,'G-3 Multipliers'!$L$3:$N$6,2,FALSE)=0,"Spatial Data Missing ⚠",VLOOKUP(L195,'G-3 Multipliers'!$L$3:$N$6,2,FALSE)))</f>
        <v/>
      </c>
      <c r="N195" s="499" t="str">
        <f>IF(L195="","",IF(VLOOKUP(L195,'G-3 Multipliers'!$L$3:$N$6,3,FALSE)=0,"Spatial Data Missing ⚠",VLOOKUP(L195,'G-3 Multipliers'!$L$3:$N$6,3,FALSE)))</f>
        <v/>
      </c>
      <c r="O195" s="498" t="str">
        <f t="shared" si="10"/>
        <v/>
      </c>
      <c r="P195" s="195"/>
      <c r="Q195" s="195"/>
      <c r="R195" s="520" t="str">
        <f t="shared" si="11"/>
        <v/>
      </c>
      <c r="S195" s="544" t="str">
        <f t="shared" si="12"/>
        <v/>
      </c>
      <c r="T195" s="525" t="str">
        <f>IFERROR(IF(S195="Check Data ⚠","Check Data ⚠",VLOOKUP(S195,'G-4 Temporal multipliers'!$A$4:$C$37,3,FALSE)),"")</f>
        <v/>
      </c>
      <c r="U195" s="523" t="str">
        <f>IF(F195="","",VLOOKUP(F195,'G-3 Multipliers'!$A$2:$E$129,2,FALSE))</f>
        <v/>
      </c>
      <c r="V195" s="520" t="str">
        <f t="shared" si="14"/>
        <v/>
      </c>
      <c r="W195" s="520" t="str">
        <f>IF(E195="","",IF(AND(V195="Standard difficulty applied",O195&gt;P195),U195,IF(AND(V195="Low Difficulty - only applicable if all habitat created before losses ⚠",P195&gt;=O195),"Low",VLOOKUP(F195,'G-3 Multipliers'!$A$2:$E$129,4,FALSE))))</f>
        <v/>
      </c>
      <c r="X195" s="524" t="str">
        <f>IFERROR(IF(E195="","",VLOOKUP(W195, 'G-3 Multipliers'!$P$2:$Q$6,2,FALSE)),"")</f>
        <v/>
      </c>
      <c r="Y195" s="197"/>
      <c r="Z195" s="499" t="str">
        <f>IF(Y195="","",IF(VLOOKUP(Y195,'G-3 Multipliers'!$S$3:$T$9,2,FALSE)=0,"Spatial Data Missing ⚠",VLOOKUP(Y195,'G-3 Multipliers'!$S$3:$T$9,2,FALSE)))</f>
        <v/>
      </c>
      <c r="AA195" s="545" t="str">
        <f t="shared" si="13"/>
        <v/>
      </c>
      <c r="AB195" s="149"/>
      <c r="AC195" s="150"/>
    </row>
    <row r="196" spans="1:29" ht="14" x14ac:dyDescent="0.3">
      <c r="A196" s="31" t="str">
        <f>IFERROR(INDEX('G-8 Condition Look up'!$I$4:$I$130,MATCH(F196,'G-8 Condition Look up'!$A$4:$A$130,0)),"")</f>
        <v/>
      </c>
      <c r="C196" s="244" t="str">
        <f>IFERROR(INDEX('G-1 All Habitats'!$AG$3:$AG$15,MATCH(D196,'G-1 All Habitats'!$AF$3:$AF$15,0)),"")</f>
        <v/>
      </c>
      <c r="D196" s="154"/>
      <c r="E196" s="203"/>
      <c r="F196" s="243" t="str">
        <f>IFERROR(INDEX('G-1 All Habitats'!$B$3:$B$129,MATCH(E196,'G-1 All Habitats'!$A$3:$A$129,0)),"")</f>
        <v/>
      </c>
      <c r="G196" s="386"/>
      <c r="H196" s="537" t="str">
        <f>IF(F196="","",VLOOKUP(F196,'G-1 All Habitats'!$B$2:$M$129,10,FALSE))</f>
        <v/>
      </c>
      <c r="I196" s="524" t="str">
        <f>IFERROR(VLOOKUP(H196,'G-1 All Habitats'!$V$3:$W$7,2,FALSE),"")</f>
        <v/>
      </c>
      <c r="J196" s="199"/>
      <c r="K196" s="524" t="str">
        <f>IFERROR(INDEX('G-8 Condition Look up'!$A$3:$H$130,MATCH(F196,'G-8 Condition Look up'!$A$3:$A$130,0),MATCH(J196,'G-8 Condition Look up'!$A$3:$H$3,0)),"")</f>
        <v/>
      </c>
      <c r="L196" s="145"/>
      <c r="M196" s="540" t="str">
        <f>IF(L196="","",IF(VLOOKUP(L196,'G-3 Multipliers'!$L$3:$N$6,2,FALSE)=0,"Spatial Data Missing ⚠",VLOOKUP(L196,'G-3 Multipliers'!$L$3:$N$6,2,FALSE)))</f>
        <v/>
      </c>
      <c r="N196" s="499" t="str">
        <f>IF(L196="","",IF(VLOOKUP(L196,'G-3 Multipliers'!$L$3:$N$6,3,FALSE)=0,"Spatial Data Missing ⚠",VLOOKUP(L196,'G-3 Multipliers'!$L$3:$N$6,3,FALSE)))</f>
        <v/>
      </c>
      <c r="O196" s="498" t="str">
        <f t="shared" si="10"/>
        <v/>
      </c>
      <c r="P196" s="195"/>
      <c r="Q196" s="195"/>
      <c r="R196" s="520" t="str">
        <f t="shared" si="11"/>
        <v/>
      </c>
      <c r="S196" s="544" t="str">
        <f t="shared" si="12"/>
        <v/>
      </c>
      <c r="T196" s="525" t="str">
        <f>IFERROR(IF(S196="Check Data ⚠","Check Data ⚠",VLOOKUP(S196,'G-4 Temporal multipliers'!$A$4:$C$37,3,FALSE)),"")</f>
        <v/>
      </c>
      <c r="U196" s="523" t="str">
        <f>IF(F196="","",VLOOKUP(F196,'G-3 Multipliers'!$A$2:$E$129,2,FALSE))</f>
        <v/>
      </c>
      <c r="V196" s="520" t="str">
        <f t="shared" si="14"/>
        <v/>
      </c>
      <c r="W196" s="520" t="str">
        <f>IF(E196="","",IF(AND(V196="Standard difficulty applied",O196&gt;P196),U196,IF(AND(V196="Low Difficulty - only applicable if all habitat created before losses ⚠",P196&gt;=O196),"Low",VLOOKUP(F196,'G-3 Multipliers'!$A$2:$E$129,4,FALSE))))</f>
        <v/>
      </c>
      <c r="X196" s="524" t="str">
        <f>IFERROR(IF(E196="","",VLOOKUP(W196, 'G-3 Multipliers'!$P$2:$Q$6,2,FALSE)),"")</f>
        <v/>
      </c>
      <c r="Y196" s="197"/>
      <c r="Z196" s="499" t="str">
        <f>IF(Y196="","",IF(VLOOKUP(Y196,'G-3 Multipliers'!$S$3:$T$9,2,FALSE)=0,"Spatial Data Missing ⚠",VLOOKUP(Y196,'G-3 Multipliers'!$S$3:$T$9,2,FALSE)))</f>
        <v/>
      </c>
      <c r="AA196" s="545" t="str">
        <f t="shared" si="13"/>
        <v/>
      </c>
      <c r="AB196" s="149"/>
      <c r="AC196" s="150"/>
    </row>
    <row r="197" spans="1:29" ht="14" x14ac:dyDescent="0.3">
      <c r="A197" s="31" t="str">
        <f>IFERROR(INDEX('G-8 Condition Look up'!$I$4:$I$130,MATCH(F197,'G-8 Condition Look up'!$A$4:$A$130,0)),"")</f>
        <v/>
      </c>
      <c r="C197" s="244" t="str">
        <f>IFERROR(INDEX('G-1 All Habitats'!$AG$3:$AG$15,MATCH(D197,'G-1 All Habitats'!$AF$3:$AF$15,0)),"")</f>
        <v/>
      </c>
      <c r="D197" s="154"/>
      <c r="E197" s="203"/>
      <c r="F197" s="243" t="str">
        <f>IFERROR(INDEX('G-1 All Habitats'!$B$3:$B$129,MATCH(E197,'G-1 All Habitats'!$A$3:$A$129,0)),"")</f>
        <v/>
      </c>
      <c r="G197" s="386"/>
      <c r="H197" s="537" t="str">
        <f>IF(F197="","",VLOOKUP(F197,'G-1 All Habitats'!$B$2:$M$129,10,FALSE))</f>
        <v/>
      </c>
      <c r="I197" s="524" t="str">
        <f>IFERROR(VLOOKUP(H197,'G-1 All Habitats'!$V$3:$W$7,2,FALSE),"")</f>
        <v/>
      </c>
      <c r="J197" s="199"/>
      <c r="K197" s="524" t="str">
        <f>IFERROR(INDEX('G-8 Condition Look up'!$A$3:$H$130,MATCH(F197,'G-8 Condition Look up'!$A$3:$A$130,0),MATCH(J197,'G-8 Condition Look up'!$A$3:$H$3,0)),"")</f>
        <v/>
      </c>
      <c r="L197" s="145"/>
      <c r="M197" s="540" t="str">
        <f>IF(L197="","",IF(VLOOKUP(L197,'G-3 Multipliers'!$L$3:$N$6,2,FALSE)=0,"Spatial Data Missing ⚠",VLOOKUP(L197,'G-3 Multipliers'!$L$3:$N$6,2,FALSE)))</f>
        <v/>
      </c>
      <c r="N197" s="499" t="str">
        <f>IF(L197="","",IF(VLOOKUP(L197,'G-3 Multipliers'!$L$3:$N$6,3,FALSE)=0,"Spatial Data Missing ⚠",VLOOKUP(L197,'G-3 Multipliers'!$L$3:$N$6,3,FALSE)))</f>
        <v/>
      </c>
      <c r="O197" s="498" t="str">
        <f t="shared" si="10"/>
        <v/>
      </c>
      <c r="P197" s="195"/>
      <c r="Q197" s="195"/>
      <c r="R197" s="520" t="str">
        <f t="shared" si="11"/>
        <v/>
      </c>
      <c r="S197" s="544" t="str">
        <f t="shared" si="12"/>
        <v/>
      </c>
      <c r="T197" s="525" t="str">
        <f>IFERROR(IF(S197="Check Data ⚠","Check Data ⚠",VLOOKUP(S197,'G-4 Temporal multipliers'!$A$4:$C$37,3,FALSE)),"")</f>
        <v/>
      </c>
      <c r="U197" s="523" t="str">
        <f>IF(F197="","",VLOOKUP(F197,'G-3 Multipliers'!$A$2:$E$129,2,FALSE))</f>
        <v/>
      </c>
      <c r="V197" s="520" t="str">
        <f t="shared" si="14"/>
        <v/>
      </c>
      <c r="W197" s="520" t="str">
        <f>IF(E197="","",IF(AND(V197="Standard difficulty applied",O197&gt;P197),U197,IF(AND(V197="Low Difficulty - only applicable if all habitat created before losses ⚠",P197&gt;=O197),"Low",VLOOKUP(F197,'G-3 Multipliers'!$A$2:$E$129,4,FALSE))))</f>
        <v/>
      </c>
      <c r="X197" s="524" t="str">
        <f>IFERROR(IF(E197="","",VLOOKUP(W197, 'G-3 Multipliers'!$P$2:$Q$6,2,FALSE)),"")</f>
        <v/>
      </c>
      <c r="Y197" s="197"/>
      <c r="Z197" s="499" t="str">
        <f>IF(Y197="","",IF(VLOOKUP(Y197,'G-3 Multipliers'!$S$3:$T$9,2,FALSE)=0,"Spatial Data Missing ⚠",VLOOKUP(Y197,'G-3 Multipliers'!$S$3:$T$9,2,FALSE)))</f>
        <v/>
      </c>
      <c r="AA197" s="545" t="str">
        <f t="shared" si="13"/>
        <v/>
      </c>
      <c r="AB197" s="149"/>
      <c r="AC197" s="150"/>
    </row>
    <row r="198" spans="1:29" ht="14" x14ac:dyDescent="0.3">
      <c r="A198" s="31" t="str">
        <f>IFERROR(INDEX('G-8 Condition Look up'!$I$4:$I$130,MATCH(F198,'G-8 Condition Look up'!$A$4:$A$130,0)),"")</f>
        <v/>
      </c>
      <c r="C198" s="244" t="str">
        <f>IFERROR(INDEX('G-1 All Habitats'!$AG$3:$AG$15,MATCH(D198,'G-1 All Habitats'!$AF$3:$AF$15,0)),"")</f>
        <v/>
      </c>
      <c r="D198" s="154"/>
      <c r="E198" s="203"/>
      <c r="F198" s="243" t="str">
        <f>IFERROR(INDEX('G-1 All Habitats'!$B$3:$B$129,MATCH(E198,'G-1 All Habitats'!$A$3:$A$129,0)),"")</f>
        <v/>
      </c>
      <c r="G198" s="386"/>
      <c r="H198" s="537" t="str">
        <f>IF(F198="","",VLOOKUP(F198,'G-1 All Habitats'!$B$2:$M$129,10,FALSE))</f>
        <v/>
      </c>
      <c r="I198" s="524" t="str">
        <f>IFERROR(VLOOKUP(H198,'G-1 All Habitats'!$V$3:$W$7,2,FALSE),"")</f>
        <v/>
      </c>
      <c r="J198" s="199"/>
      <c r="K198" s="524" t="str">
        <f>IFERROR(INDEX('G-8 Condition Look up'!$A$3:$H$130,MATCH(F198,'G-8 Condition Look up'!$A$3:$A$130,0),MATCH(J198,'G-8 Condition Look up'!$A$3:$H$3,0)),"")</f>
        <v/>
      </c>
      <c r="L198" s="145"/>
      <c r="M198" s="540" t="str">
        <f>IF(L198="","",IF(VLOOKUP(L198,'G-3 Multipliers'!$L$3:$N$6,2,FALSE)=0,"Spatial Data Missing ⚠",VLOOKUP(L198,'G-3 Multipliers'!$L$3:$N$6,2,FALSE)))</f>
        <v/>
      </c>
      <c r="N198" s="499" t="str">
        <f>IF(L198="","",IF(VLOOKUP(L198,'G-3 Multipliers'!$L$3:$N$6,3,FALSE)=0,"Spatial Data Missing ⚠",VLOOKUP(L198,'G-3 Multipliers'!$L$3:$N$6,3,FALSE)))</f>
        <v/>
      </c>
      <c r="O198" s="498" t="str">
        <f t="shared" si="10"/>
        <v/>
      </c>
      <c r="P198" s="195"/>
      <c r="Q198" s="195"/>
      <c r="R198" s="520" t="str">
        <f t="shared" si="11"/>
        <v/>
      </c>
      <c r="S198" s="544" t="str">
        <f t="shared" si="12"/>
        <v/>
      </c>
      <c r="T198" s="525" t="str">
        <f>IFERROR(IF(S198="Check Data ⚠","Check Data ⚠",VLOOKUP(S198,'G-4 Temporal multipliers'!$A$4:$C$37,3,FALSE)),"")</f>
        <v/>
      </c>
      <c r="U198" s="523" t="str">
        <f>IF(F198="","",VLOOKUP(F198,'G-3 Multipliers'!$A$2:$E$129,2,FALSE))</f>
        <v/>
      </c>
      <c r="V198" s="520" t="str">
        <f t="shared" si="14"/>
        <v/>
      </c>
      <c r="W198" s="520" t="str">
        <f>IF(E198="","",IF(AND(V198="Standard difficulty applied",O198&gt;P198),U198,IF(AND(V198="Low Difficulty - only applicable if all habitat created before losses ⚠",P198&gt;=O198),"Low",VLOOKUP(F198,'G-3 Multipliers'!$A$2:$E$129,4,FALSE))))</f>
        <v/>
      </c>
      <c r="X198" s="524" t="str">
        <f>IFERROR(IF(E198="","",VLOOKUP(W198, 'G-3 Multipliers'!$P$2:$Q$6,2,FALSE)),"")</f>
        <v/>
      </c>
      <c r="Y198" s="197"/>
      <c r="Z198" s="499" t="str">
        <f>IF(Y198="","",IF(VLOOKUP(Y198,'G-3 Multipliers'!$S$3:$T$9,2,FALSE)=0,"Spatial Data Missing ⚠",VLOOKUP(Y198,'G-3 Multipliers'!$S$3:$T$9,2,FALSE)))</f>
        <v/>
      </c>
      <c r="AA198" s="545" t="str">
        <f t="shared" si="13"/>
        <v/>
      </c>
      <c r="AB198" s="149"/>
      <c r="AC198" s="150"/>
    </row>
    <row r="199" spans="1:29" ht="14" x14ac:dyDescent="0.3">
      <c r="A199" s="31" t="str">
        <f>IFERROR(INDEX('G-8 Condition Look up'!$I$4:$I$130,MATCH(F199,'G-8 Condition Look up'!$A$4:$A$130,0)),"")</f>
        <v/>
      </c>
      <c r="C199" s="244" t="str">
        <f>IFERROR(INDEX('G-1 All Habitats'!$AG$3:$AG$15,MATCH(D199,'G-1 All Habitats'!$AF$3:$AF$15,0)),"")</f>
        <v/>
      </c>
      <c r="D199" s="154"/>
      <c r="E199" s="203"/>
      <c r="F199" s="243" t="str">
        <f>IFERROR(INDEX('G-1 All Habitats'!$B$3:$B$129,MATCH(E199,'G-1 All Habitats'!$A$3:$A$129,0)),"")</f>
        <v/>
      </c>
      <c r="G199" s="386"/>
      <c r="H199" s="537" t="str">
        <f>IF(F199="","",VLOOKUP(F199,'G-1 All Habitats'!$B$2:$M$129,10,FALSE))</f>
        <v/>
      </c>
      <c r="I199" s="524" t="str">
        <f>IFERROR(VLOOKUP(H199,'G-1 All Habitats'!$V$3:$W$7,2,FALSE),"")</f>
        <v/>
      </c>
      <c r="J199" s="199"/>
      <c r="K199" s="524" t="str">
        <f>IFERROR(INDEX('G-8 Condition Look up'!$A$3:$H$130,MATCH(F199,'G-8 Condition Look up'!$A$3:$A$130,0),MATCH(J199,'G-8 Condition Look up'!$A$3:$H$3,0)),"")</f>
        <v/>
      </c>
      <c r="L199" s="145"/>
      <c r="M199" s="540" t="str">
        <f>IF(L199="","",IF(VLOOKUP(L199,'G-3 Multipliers'!$L$3:$N$6,2,FALSE)=0,"Spatial Data Missing ⚠",VLOOKUP(L199,'G-3 Multipliers'!$L$3:$N$6,2,FALSE)))</f>
        <v/>
      </c>
      <c r="N199" s="499" t="str">
        <f>IF(L199="","",IF(VLOOKUP(L199,'G-3 Multipliers'!$L$3:$N$6,3,FALSE)=0,"Spatial Data Missing ⚠",VLOOKUP(L199,'G-3 Multipliers'!$L$3:$N$6,3,FALSE)))</f>
        <v/>
      </c>
      <c r="O199" s="498" t="str">
        <f t="shared" si="10"/>
        <v/>
      </c>
      <c r="P199" s="195"/>
      <c r="Q199" s="195"/>
      <c r="R199" s="520" t="str">
        <f t="shared" si="11"/>
        <v/>
      </c>
      <c r="S199" s="544" t="str">
        <f t="shared" si="12"/>
        <v/>
      </c>
      <c r="T199" s="525" t="str">
        <f>IFERROR(IF(S199="Check Data ⚠","Check Data ⚠",VLOOKUP(S199,'G-4 Temporal multipliers'!$A$4:$C$37,3,FALSE)),"")</f>
        <v/>
      </c>
      <c r="U199" s="523" t="str">
        <f>IF(F199="","",VLOOKUP(F199,'G-3 Multipliers'!$A$2:$E$129,2,FALSE))</f>
        <v/>
      </c>
      <c r="V199" s="520" t="str">
        <f t="shared" si="14"/>
        <v/>
      </c>
      <c r="W199" s="520" t="str">
        <f>IF(E199="","",IF(AND(V199="Standard difficulty applied",O199&gt;P199),U199,IF(AND(V199="Low Difficulty - only applicable if all habitat created before losses ⚠",P199&gt;=O199),"Low",VLOOKUP(F199,'G-3 Multipliers'!$A$2:$E$129,4,FALSE))))</f>
        <v/>
      </c>
      <c r="X199" s="524" t="str">
        <f>IFERROR(IF(E199="","",VLOOKUP(W199, 'G-3 Multipliers'!$P$2:$Q$6,2,FALSE)),"")</f>
        <v/>
      </c>
      <c r="Y199" s="197"/>
      <c r="Z199" s="499" t="str">
        <f>IF(Y199="","",IF(VLOOKUP(Y199,'G-3 Multipliers'!$S$3:$T$9,2,FALSE)=0,"Spatial Data Missing ⚠",VLOOKUP(Y199,'G-3 Multipliers'!$S$3:$T$9,2,FALSE)))</f>
        <v/>
      </c>
      <c r="AA199" s="545" t="str">
        <f t="shared" si="13"/>
        <v/>
      </c>
      <c r="AB199" s="149"/>
      <c r="AC199" s="150"/>
    </row>
    <row r="200" spans="1:29" ht="14" x14ac:dyDescent="0.3">
      <c r="A200" s="31" t="str">
        <f>IFERROR(INDEX('G-8 Condition Look up'!$I$4:$I$130,MATCH(F200,'G-8 Condition Look up'!$A$4:$A$130,0)),"")</f>
        <v/>
      </c>
      <c r="C200" s="244" t="str">
        <f>IFERROR(INDEX('G-1 All Habitats'!$AG$3:$AG$15,MATCH(D200,'G-1 All Habitats'!$AF$3:$AF$15,0)),"")</f>
        <v/>
      </c>
      <c r="D200" s="154"/>
      <c r="E200" s="203"/>
      <c r="F200" s="243" t="str">
        <f>IFERROR(INDEX('G-1 All Habitats'!$B$3:$B$129,MATCH(E200,'G-1 All Habitats'!$A$3:$A$129,0)),"")</f>
        <v/>
      </c>
      <c r="G200" s="386"/>
      <c r="H200" s="537" t="str">
        <f>IF(F200="","",VLOOKUP(F200,'G-1 All Habitats'!$B$2:$M$129,10,FALSE))</f>
        <v/>
      </c>
      <c r="I200" s="524" t="str">
        <f>IFERROR(VLOOKUP(H200,'G-1 All Habitats'!$V$3:$W$7,2,FALSE),"")</f>
        <v/>
      </c>
      <c r="J200" s="199"/>
      <c r="K200" s="524" t="str">
        <f>IFERROR(INDEX('G-8 Condition Look up'!$A$3:$H$130,MATCH(F200,'G-8 Condition Look up'!$A$3:$A$130,0),MATCH(J200,'G-8 Condition Look up'!$A$3:$H$3,0)),"")</f>
        <v/>
      </c>
      <c r="L200" s="145"/>
      <c r="M200" s="540" t="str">
        <f>IF(L200="","",IF(VLOOKUP(L200,'G-3 Multipliers'!$L$3:$N$6,2,FALSE)=0,"Spatial Data Missing ⚠",VLOOKUP(L200,'G-3 Multipliers'!$L$3:$N$6,2,FALSE)))</f>
        <v/>
      </c>
      <c r="N200" s="499" t="str">
        <f>IF(L200="","",IF(VLOOKUP(L200,'G-3 Multipliers'!$L$3:$N$6,3,FALSE)=0,"Spatial Data Missing ⚠",VLOOKUP(L200,'G-3 Multipliers'!$L$3:$N$6,3,FALSE)))</f>
        <v/>
      </c>
      <c r="O200" s="498" t="str">
        <f t="shared" si="10"/>
        <v/>
      </c>
      <c r="P200" s="195"/>
      <c r="Q200" s="195"/>
      <c r="R200" s="520" t="str">
        <f t="shared" si="11"/>
        <v/>
      </c>
      <c r="S200" s="544" t="str">
        <f t="shared" si="12"/>
        <v/>
      </c>
      <c r="T200" s="525" t="str">
        <f>IFERROR(IF(S200="Check Data ⚠","Check Data ⚠",VLOOKUP(S200,'G-4 Temporal multipliers'!$A$4:$C$37,3,FALSE)),"")</f>
        <v/>
      </c>
      <c r="U200" s="523" t="str">
        <f>IF(F200="","",VLOOKUP(F200,'G-3 Multipliers'!$A$2:$E$129,2,FALSE))</f>
        <v/>
      </c>
      <c r="V200" s="520" t="str">
        <f t="shared" si="14"/>
        <v/>
      </c>
      <c r="W200" s="520" t="str">
        <f>IF(E200="","",IF(AND(V200="Standard difficulty applied",O200&gt;P200),U200,IF(AND(V200="Low Difficulty - only applicable if all habitat created before losses ⚠",P200&gt;=O200),"Low",VLOOKUP(F200,'G-3 Multipliers'!$A$2:$E$129,4,FALSE))))</f>
        <v/>
      </c>
      <c r="X200" s="524" t="str">
        <f>IFERROR(IF(E200="","",VLOOKUP(W200, 'G-3 Multipliers'!$P$2:$Q$6,2,FALSE)),"")</f>
        <v/>
      </c>
      <c r="Y200" s="197"/>
      <c r="Z200" s="499" t="str">
        <f>IF(Y200="","",IF(VLOOKUP(Y200,'G-3 Multipliers'!$S$3:$T$9,2,FALSE)=0,"Spatial Data Missing ⚠",VLOOKUP(Y200,'G-3 Multipliers'!$S$3:$T$9,2,FALSE)))</f>
        <v/>
      </c>
      <c r="AA200" s="545" t="str">
        <f t="shared" si="13"/>
        <v/>
      </c>
      <c r="AB200" s="149"/>
      <c r="AC200" s="150"/>
    </row>
    <row r="201" spans="1:29" ht="14" x14ac:dyDescent="0.3">
      <c r="A201" s="31" t="str">
        <f>IFERROR(INDEX('G-8 Condition Look up'!$I$4:$I$130,MATCH(F201,'G-8 Condition Look up'!$A$4:$A$130,0)),"")</f>
        <v/>
      </c>
      <c r="C201" s="244" t="str">
        <f>IFERROR(INDEX('G-1 All Habitats'!$AG$3:$AG$15,MATCH(D201,'G-1 All Habitats'!$AF$3:$AF$15,0)),"")</f>
        <v/>
      </c>
      <c r="D201" s="154"/>
      <c r="E201" s="203"/>
      <c r="F201" s="243" t="str">
        <f>IFERROR(INDEX('G-1 All Habitats'!$B$3:$B$129,MATCH(E201,'G-1 All Habitats'!$A$3:$A$129,0)),"")</f>
        <v/>
      </c>
      <c r="G201" s="386"/>
      <c r="H201" s="537" t="str">
        <f>IF(F201="","",VLOOKUP(F201,'G-1 All Habitats'!$B$2:$M$129,10,FALSE))</f>
        <v/>
      </c>
      <c r="I201" s="524" t="str">
        <f>IFERROR(VLOOKUP(H201,'G-1 All Habitats'!$V$3:$W$7,2,FALSE),"")</f>
        <v/>
      </c>
      <c r="J201" s="199"/>
      <c r="K201" s="524" t="str">
        <f>IFERROR(INDEX('G-8 Condition Look up'!$A$3:$H$130,MATCH(F201,'G-8 Condition Look up'!$A$3:$A$130,0),MATCH(J201,'G-8 Condition Look up'!$A$3:$H$3,0)),"")</f>
        <v/>
      </c>
      <c r="L201" s="145"/>
      <c r="M201" s="540" t="str">
        <f>IF(L201="","",IF(VLOOKUP(L201,'G-3 Multipliers'!$L$3:$N$6,2,FALSE)=0,"Spatial Data Missing ⚠",VLOOKUP(L201,'G-3 Multipliers'!$L$3:$N$6,2,FALSE)))</f>
        <v/>
      </c>
      <c r="N201" s="499" t="str">
        <f>IF(L201="","",IF(VLOOKUP(L201,'G-3 Multipliers'!$L$3:$N$6,3,FALSE)=0,"Spatial Data Missing ⚠",VLOOKUP(L201,'G-3 Multipliers'!$L$3:$N$6,3,FALSE)))</f>
        <v/>
      </c>
      <c r="O201" s="498" t="str">
        <f t="shared" si="10"/>
        <v/>
      </c>
      <c r="P201" s="195"/>
      <c r="Q201" s="195"/>
      <c r="R201" s="520" t="str">
        <f t="shared" si="11"/>
        <v/>
      </c>
      <c r="S201" s="544" t="str">
        <f t="shared" si="12"/>
        <v/>
      </c>
      <c r="T201" s="525" t="str">
        <f>IFERROR(IF(S201="Check Data ⚠","Check Data ⚠",VLOOKUP(S201,'G-4 Temporal multipliers'!$A$4:$C$37,3,FALSE)),"")</f>
        <v/>
      </c>
      <c r="U201" s="523" t="str">
        <f>IF(F201="","",VLOOKUP(F201,'G-3 Multipliers'!$A$2:$E$129,2,FALSE))</f>
        <v/>
      </c>
      <c r="V201" s="520" t="str">
        <f t="shared" si="14"/>
        <v/>
      </c>
      <c r="W201" s="520" t="str">
        <f>IF(E201="","",IF(AND(V201="Standard difficulty applied",O201&gt;P201),U201,IF(AND(V201="Low Difficulty - only applicable if all habitat created before losses ⚠",P201&gt;=O201),"Low",VLOOKUP(F201,'G-3 Multipliers'!$A$2:$E$129,4,FALSE))))</f>
        <v/>
      </c>
      <c r="X201" s="524" t="str">
        <f>IFERROR(IF(E201="","",VLOOKUP(W201, 'G-3 Multipliers'!$P$2:$Q$6,2,FALSE)),"")</f>
        <v/>
      </c>
      <c r="Y201" s="197"/>
      <c r="Z201" s="499" t="str">
        <f>IF(Y201="","",IF(VLOOKUP(Y201,'G-3 Multipliers'!$S$3:$T$9,2,FALSE)=0,"Spatial Data Missing ⚠",VLOOKUP(Y201,'G-3 Multipliers'!$S$3:$T$9,2,FALSE)))</f>
        <v/>
      </c>
      <c r="AA201" s="545" t="str">
        <f t="shared" si="13"/>
        <v/>
      </c>
      <c r="AB201" s="149"/>
      <c r="AC201" s="150"/>
    </row>
    <row r="202" spans="1:29" ht="14" x14ac:dyDescent="0.3">
      <c r="A202" s="31" t="str">
        <f>IFERROR(INDEX('G-8 Condition Look up'!$I$4:$I$130,MATCH(F202,'G-8 Condition Look up'!$A$4:$A$130,0)),"")</f>
        <v/>
      </c>
      <c r="C202" s="244" t="str">
        <f>IFERROR(INDEX('G-1 All Habitats'!$AG$3:$AG$15,MATCH(D202,'G-1 All Habitats'!$AF$3:$AF$15,0)),"")</f>
        <v/>
      </c>
      <c r="D202" s="154"/>
      <c r="E202" s="203"/>
      <c r="F202" s="243" t="str">
        <f>IFERROR(INDEX('G-1 All Habitats'!$B$3:$B$129,MATCH(E202,'G-1 All Habitats'!$A$3:$A$129,0)),"")</f>
        <v/>
      </c>
      <c r="G202" s="386"/>
      <c r="H202" s="537" t="str">
        <f>IF(F202="","",VLOOKUP(F202,'G-1 All Habitats'!$B$2:$M$129,10,FALSE))</f>
        <v/>
      </c>
      <c r="I202" s="524" t="str">
        <f>IFERROR(VLOOKUP(H202,'G-1 All Habitats'!$V$3:$W$7,2,FALSE),"")</f>
        <v/>
      </c>
      <c r="J202" s="199"/>
      <c r="K202" s="524" t="str">
        <f>IFERROR(INDEX('G-8 Condition Look up'!$A$3:$H$130,MATCH(F202,'G-8 Condition Look up'!$A$3:$A$130,0),MATCH(J202,'G-8 Condition Look up'!$A$3:$H$3,0)),"")</f>
        <v/>
      </c>
      <c r="L202" s="145"/>
      <c r="M202" s="540" t="str">
        <f>IF(L202="","",IF(VLOOKUP(L202,'G-3 Multipliers'!$L$3:$N$6,2,FALSE)=0,"Spatial Data Missing ⚠",VLOOKUP(L202,'G-3 Multipliers'!$L$3:$N$6,2,FALSE)))</f>
        <v/>
      </c>
      <c r="N202" s="499" t="str">
        <f>IF(L202="","",IF(VLOOKUP(L202,'G-3 Multipliers'!$L$3:$N$6,3,FALSE)=0,"Spatial Data Missing ⚠",VLOOKUP(L202,'G-3 Multipliers'!$L$3:$N$6,3,FALSE)))</f>
        <v/>
      </c>
      <c r="O202" s="498" t="str">
        <f t="shared" si="10"/>
        <v/>
      </c>
      <c r="P202" s="195"/>
      <c r="Q202" s="195"/>
      <c r="R202" s="520" t="str">
        <f t="shared" si="11"/>
        <v/>
      </c>
      <c r="S202" s="544" t="str">
        <f t="shared" si="12"/>
        <v/>
      </c>
      <c r="T202" s="525" t="str">
        <f>IFERROR(IF(S202="Check Data ⚠","Check Data ⚠",VLOOKUP(S202,'G-4 Temporal multipliers'!$A$4:$C$37,3,FALSE)),"")</f>
        <v/>
      </c>
      <c r="U202" s="523" t="str">
        <f>IF(F202="","",VLOOKUP(F202,'G-3 Multipliers'!$A$2:$E$129,2,FALSE))</f>
        <v/>
      </c>
      <c r="V202" s="520" t="str">
        <f t="shared" si="14"/>
        <v/>
      </c>
      <c r="W202" s="520" t="str">
        <f>IF(E202="","",IF(AND(V202="Standard difficulty applied",O202&gt;P202),U202,IF(AND(V202="Low Difficulty - only applicable if all habitat created before losses ⚠",P202&gt;=O202),"Low",VLOOKUP(F202,'G-3 Multipliers'!$A$2:$E$129,4,FALSE))))</f>
        <v/>
      </c>
      <c r="X202" s="524" t="str">
        <f>IFERROR(IF(E202="","",VLOOKUP(W202, 'G-3 Multipliers'!$P$2:$Q$6,2,FALSE)),"")</f>
        <v/>
      </c>
      <c r="Y202" s="197"/>
      <c r="Z202" s="499" t="str">
        <f>IF(Y202="","",IF(VLOOKUP(Y202,'G-3 Multipliers'!$S$3:$T$9,2,FALSE)=0,"Spatial Data Missing ⚠",VLOOKUP(Y202,'G-3 Multipliers'!$S$3:$T$9,2,FALSE)))</f>
        <v/>
      </c>
      <c r="AA202" s="545" t="str">
        <f t="shared" si="13"/>
        <v/>
      </c>
      <c r="AB202" s="149"/>
      <c r="AC202" s="150"/>
    </row>
    <row r="203" spans="1:29" ht="14" x14ac:dyDescent="0.3">
      <c r="A203" s="31" t="str">
        <f>IFERROR(INDEX('G-8 Condition Look up'!$I$4:$I$130,MATCH(F203,'G-8 Condition Look up'!$A$4:$A$130,0)),"")</f>
        <v/>
      </c>
      <c r="C203" s="244" t="str">
        <f>IFERROR(INDEX('G-1 All Habitats'!$AG$3:$AG$15,MATCH(D203,'G-1 All Habitats'!$AF$3:$AF$15,0)),"")</f>
        <v/>
      </c>
      <c r="D203" s="154"/>
      <c r="E203" s="203"/>
      <c r="F203" s="243" t="str">
        <f>IFERROR(INDEX('G-1 All Habitats'!$B$3:$B$129,MATCH(E203,'G-1 All Habitats'!$A$3:$A$129,0)),"")</f>
        <v/>
      </c>
      <c r="G203" s="386"/>
      <c r="H203" s="537" t="str">
        <f>IF(F203="","",VLOOKUP(F203,'G-1 All Habitats'!$B$2:$M$129,10,FALSE))</f>
        <v/>
      </c>
      <c r="I203" s="524" t="str">
        <f>IFERROR(VLOOKUP(H203,'G-1 All Habitats'!$V$3:$W$7,2,FALSE),"")</f>
        <v/>
      </c>
      <c r="J203" s="199"/>
      <c r="K203" s="524" t="str">
        <f>IFERROR(INDEX('G-8 Condition Look up'!$A$3:$H$130,MATCH(F203,'G-8 Condition Look up'!$A$3:$A$130,0),MATCH(J203,'G-8 Condition Look up'!$A$3:$H$3,0)),"")</f>
        <v/>
      </c>
      <c r="L203" s="145"/>
      <c r="M203" s="540" t="str">
        <f>IF(L203="","",IF(VLOOKUP(L203,'G-3 Multipliers'!$L$3:$N$6,2,FALSE)=0,"Spatial Data Missing ⚠",VLOOKUP(L203,'G-3 Multipliers'!$L$3:$N$6,2,FALSE)))</f>
        <v/>
      </c>
      <c r="N203" s="499" t="str">
        <f>IF(L203="","",IF(VLOOKUP(L203,'G-3 Multipliers'!$L$3:$N$6,3,FALSE)=0,"Spatial Data Missing ⚠",VLOOKUP(L203,'G-3 Multipliers'!$L$3:$N$6,3,FALSE)))</f>
        <v/>
      </c>
      <c r="O203" s="498" t="str">
        <f t="shared" ref="O203:O256" si="15">IFERROR(INDEX(TemporalData,MATCH(F203,TemporalHabitats,0),MATCH(J203,TemporalConditions,0)),"")</f>
        <v/>
      </c>
      <c r="P203" s="195"/>
      <c r="Q203" s="195"/>
      <c r="R203" s="520" t="str">
        <f t="shared" si="11"/>
        <v/>
      </c>
      <c r="S203" s="544" t="str">
        <f t="shared" si="12"/>
        <v/>
      </c>
      <c r="T203" s="525" t="str">
        <f>IFERROR(IF(S203="Check Data ⚠","Check Data ⚠",VLOOKUP(S203,'G-4 Temporal multipliers'!$A$4:$C$37,3,FALSE)),"")</f>
        <v/>
      </c>
      <c r="U203" s="523" t="str">
        <f>IF(F203="","",VLOOKUP(F203,'G-3 Multipliers'!$A$2:$E$129,2,FALSE))</f>
        <v/>
      </c>
      <c r="V203" s="520" t="str">
        <f t="shared" si="14"/>
        <v/>
      </c>
      <c r="W203" s="520" t="str">
        <f>IF(E203="","",IF(AND(V203="Standard difficulty applied",O203&gt;P203),U203,IF(AND(V203="Low Difficulty - only applicable if all habitat created before losses ⚠",P203&gt;=O203),"Low",VLOOKUP(F203,'G-3 Multipliers'!$A$2:$E$129,4,FALSE))))</f>
        <v/>
      </c>
      <c r="X203" s="524" t="str">
        <f>IFERROR(IF(E203="","",VLOOKUP(W203, 'G-3 Multipliers'!$P$2:$Q$6,2,FALSE)),"")</f>
        <v/>
      </c>
      <c r="Y203" s="197"/>
      <c r="Z203" s="499" t="str">
        <f>IF(Y203="","",IF(VLOOKUP(Y203,'G-3 Multipliers'!$S$3:$T$9,2,FALSE)=0,"Spatial Data Missing ⚠",VLOOKUP(Y203,'G-3 Multipliers'!$S$3:$T$9,2,FALSE)))</f>
        <v/>
      </c>
      <c r="AA203" s="545" t="str">
        <f t="shared" si="13"/>
        <v/>
      </c>
      <c r="AB203" s="149"/>
      <c r="AC203" s="150"/>
    </row>
    <row r="204" spans="1:29" ht="14" x14ac:dyDescent="0.3">
      <c r="A204" s="31" t="str">
        <f>IFERROR(INDEX('G-8 Condition Look up'!$I$4:$I$130,MATCH(F204,'G-8 Condition Look up'!$A$4:$A$130,0)),"")</f>
        <v/>
      </c>
      <c r="C204" s="244" t="str">
        <f>IFERROR(INDEX('G-1 All Habitats'!$AG$3:$AG$15,MATCH(D204,'G-1 All Habitats'!$AF$3:$AF$15,0)),"")</f>
        <v/>
      </c>
      <c r="D204" s="154"/>
      <c r="E204" s="203"/>
      <c r="F204" s="243" t="str">
        <f>IFERROR(INDEX('G-1 All Habitats'!$B$3:$B$129,MATCH(E204,'G-1 All Habitats'!$A$3:$A$129,0)),"")</f>
        <v/>
      </c>
      <c r="G204" s="386"/>
      <c r="H204" s="537" t="str">
        <f>IF(F204="","",VLOOKUP(F204,'G-1 All Habitats'!$B$2:$M$129,10,FALSE))</f>
        <v/>
      </c>
      <c r="I204" s="524" t="str">
        <f>IFERROR(VLOOKUP(H204,'G-1 All Habitats'!$V$3:$W$7,2,FALSE),"")</f>
        <v/>
      </c>
      <c r="J204" s="199"/>
      <c r="K204" s="524" t="str">
        <f>IFERROR(INDEX('G-8 Condition Look up'!$A$3:$H$130,MATCH(F204,'G-8 Condition Look up'!$A$3:$A$130,0),MATCH(J204,'G-8 Condition Look up'!$A$3:$H$3,0)),"")</f>
        <v/>
      </c>
      <c r="L204" s="145"/>
      <c r="M204" s="540" t="str">
        <f>IF(L204="","",IF(VLOOKUP(L204,'G-3 Multipliers'!$L$3:$N$6,2,FALSE)=0,"Spatial Data Missing ⚠",VLOOKUP(L204,'G-3 Multipliers'!$L$3:$N$6,2,FALSE)))</f>
        <v/>
      </c>
      <c r="N204" s="499" t="str">
        <f>IF(L204="","",IF(VLOOKUP(L204,'G-3 Multipliers'!$L$3:$N$6,3,FALSE)=0,"Spatial Data Missing ⚠",VLOOKUP(L204,'G-3 Multipliers'!$L$3:$N$6,3,FALSE)))</f>
        <v/>
      </c>
      <c r="O204" s="498" t="str">
        <f t="shared" si="15"/>
        <v/>
      </c>
      <c r="P204" s="195"/>
      <c r="Q204" s="195"/>
      <c r="R204" s="520" t="str">
        <f t="shared" ref="R204:R256" si="16">IF(E204="","",IF(AND(P204&gt;0,Q204&gt;0),"Error -both advance and delayed habitat creation ▲",IF(AND(OR(P204="Habitat already in target condition",O204&lt;=P204),Q204=0,I204&gt;0),"Check details - Is there evidence that habitat has reached target condition? ⚠",IF(O204="","",IF(AND(P204&gt;=AE204,P204&gt;0),"Check details - Is there evidence habitat creation started and the threshold for Poor condition reached? ⚠",IF(Q204&gt;0,"Check details- Delay in starting habitat in required condition? ⚠",IF(P204&gt;0,"Check details - Is there evidence habitat creation started/in place? ⚠","Standard time to target condition applied")))))))</f>
        <v/>
      </c>
      <c r="S204" s="544" t="str">
        <f t="shared" ref="S204:S256" si="17">IF(R204="Error -both advance and delayed habitat creation ▲","Check Data ⚠",IF(O204="Not Possible","Check Data ⚠",IF(O204="","",IF(AND(O204="30+",P204=0),"30+ ⚠",IF(AND(O204="30+",P204="30+ ⚠"),0,IF(AND(O204="30+",P204&lt;32),30-P204,IF(O204="30+",30-P204,IF(P204&gt;O204,0,IF(Q204="30+","30+ ⚠",IF(O204+Q204&gt;30,"30+ ⚠",IF(O204+Q204&gt;30,"30+ ⚠",IF(O204-P204&gt;30,"30+ ⚠",IF(O204+Q204-P204&gt;0,O204+Q204-P204,IF(O204-P204&gt;0,O204-P204,O204+Q204-P204))))))))))))))</f>
        <v/>
      </c>
      <c r="T204" s="525" t="str">
        <f>IFERROR(IF(S204="Check Data ⚠","Check Data ⚠",VLOOKUP(S204,'G-4 Temporal multipliers'!$A$4:$C$37,3,FALSE)),"")</f>
        <v/>
      </c>
      <c r="U204" s="523" t="str">
        <f>IF(F204="","",VLOOKUP(F204,'G-3 Multipliers'!$A$2:$E$129,2,FALSE))</f>
        <v/>
      </c>
      <c r="V204" s="520" t="str">
        <f t="shared" si="14"/>
        <v/>
      </c>
      <c r="W204" s="520" t="str">
        <f>IF(E204="","",IF(AND(V204="Standard difficulty applied",O204&gt;P204),U204,IF(AND(V204="Low Difficulty - only applicable if all habitat created before losses ⚠",P204&gt;=O204),"Low",VLOOKUP(F204,'G-3 Multipliers'!$A$2:$E$129,4,FALSE))))</f>
        <v/>
      </c>
      <c r="X204" s="524" t="str">
        <f>IFERROR(IF(E204="","",VLOOKUP(W204, 'G-3 Multipliers'!$P$2:$Q$6,2,FALSE)),"")</f>
        <v/>
      </c>
      <c r="Y204" s="197"/>
      <c r="Z204" s="499" t="str">
        <f>IF(Y204="","",IF(VLOOKUP(Y204,'G-3 Multipliers'!$S$3:$T$9,2,FALSE)=0,"Spatial Data Missing ⚠",VLOOKUP(Y204,'G-3 Multipliers'!$S$3:$T$9,2,FALSE)))</f>
        <v/>
      </c>
      <c r="AA204" s="545" t="str">
        <f t="shared" ref="AA204:AA256" si="18">IFERROR(G204*I204*K204*N204*T204*X204*Z204,"")</f>
        <v/>
      </c>
      <c r="AB204" s="149"/>
      <c r="AC204" s="150"/>
    </row>
    <row r="205" spans="1:29" ht="14" x14ac:dyDescent="0.3">
      <c r="A205" s="31" t="str">
        <f>IFERROR(INDEX('G-8 Condition Look up'!$I$4:$I$130,MATCH(F205,'G-8 Condition Look up'!$A$4:$A$130,0)),"")</f>
        <v/>
      </c>
      <c r="C205" s="244" t="str">
        <f>IFERROR(INDEX('G-1 All Habitats'!$AG$3:$AG$15,MATCH(D205,'G-1 All Habitats'!$AF$3:$AF$15,0)),"")</f>
        <v/>
      </c>
      <c r="D205" s="154"/>
      <c r="E205" s="203"/>
      <c r="F205" s="243" t="str">
        <f>IFERROR(INDEX('G-1 All Habitats'!$B$3:$B$129,MATCH(E205,'G-1 All Habitats'!$A$3:$A$129,0)),"")</f>
        <v/>
      </c>
      <c r="G205" s="386"/>
      <c r="H205" s="537" t="str">
        <f>IF(F205="","",VLOOKUP(F205,'G-1 All Habitats'!$B$2:$M$129,10,FALSE))</f>
        <v/>
      </c>
      <c r="I205" s="524" t="str">
        <f>IFERROR(VLOOKUP(H205,'G-1 All Habitats'!$V$3:$W$7,2,FALSE),"")</f>
        <v/>
      </c>
      <c r="J205" s="199"/>
      <c r="K205" s="524" t="str">
        <f>IFERROR(INDEX('G-8 Condition Look up'!$A$3:$H$130,MATCH(F205,'G-8 Condition Look up'!$A$3:$A$130,0),MATCH(J205,'G-8 Condition Look up'!$A$3:$H$3,0)),"")</f>
        <v/>
      </c>
      <c r="L205" s="145"/>
      <c r="M205" s="540" t="str">
        <f>IF(L205="","",IF(VLOOKUP(L205,'G-3 Multipliers'!$L$3:$N$6,2,FALSE)=0,"Spatial Data Missing ⚠",VLOOKUP(L205,'G-3 Multipliers'!$L$3:$N$6,2,FALSE)))</f>
        <v/>
      </c>
      <c r="N205" s="499" t="str">
        <f>IF(L205="","",IF(VLOOKUP(L205,'G-3 Multipliers'!$L$3:$N$6,3,FALSE)=0,"Spatial Data Missing ⚠",VLOOKUP(L205,'G-3 Multipliers'!$L$3:$N$6,3,FALSE)))</f>
        <v/>
      </c>
      <c r="O205" s="498" t="str">
        <f t="shared" si="15"/>
        <v/>
      </c>
      <c r="P205" s="195"/>
      <c r="Q205" s="195"/>
      <c r="R205" s="520" t="str">
        <f t="shared" si="16"/>
        <v/>
      </c>
      <c r="S205" s="544" t="str">
        <f t="shared" si="17"/>
        <v/>
      </c>
      <c r="T205" s="525" t="str">
        <f>IFERROR(IF(S205="Check Data ⚠","Check Data ⚠",VLOOKUP(S205,'G-4 Temporal multipliers'!$A$4:$C$37,3,FALSE)),"")</f>
        <v/>
      </c>
      <c r="U205" s="523" t="str">
        <f>IF(F205="","",VLOOKUP(F205,'G-3 Multipliers'!$A$2:$E$129,2,FALSE))</f>
        <v/>
      </c>
      <c r="V205" s="520" t="str">
        <f t="shared" ref="V205:V256" si="19">IF(F205="","",IF($R205="Check details - Is there evidence that habitat has reached target condition? ⚠","Low Difficulty - only applicable if all habitat created before losses ⚠",IF($R205="Check details - Is there evidence habitat creation started and the threshold for Poor condition reached? ⚠","Enhancement difficulty applied","Standard difficulty applied")))</f>
        <v/>
      </c>
      <c r="W205" s="520" t="str">
        <f>IF(E205="","",IF(AND(V205="Standard difficulty applied",O205&gt;P205),U205,IF(AND(V205="Low Difficulty - only applicable if all habitat created before losses ⚠",P205&gt;=O205),"Low",VLOOKUP(F205,'G-3 Multipliers'!$A$2:$E$129,4,FALSE))))</f>
        <v/>
      </c>
      <c r="X205" s="524" t="str">
        <f>IFERROR(IF(E205="","",VLOOKUP(W205, 'G-3 Multipliers'!$P$2:$Q$6,2,FALSE)),"")</f>
        <v/>
      </c>
      <c r="Y205" s="197"/>
      <c r="Z205" s="499" t="str">
        <f>IF(Y205="","",IF(VLOOKUP(Y205,'G-3 Multipliers'!$S$3:$T$9,2,FALSE)=0,"Spatial Data Missing ⚠",VLOOKUP(Y205,'G-3 Multipliers'!$S$3:$T$9,2,FALSE)))</f>
        <v/>
      </c>
      <c r="AA205" s="545" t="str">
        <f t="shared" si="18"/>
        <v/>
      </c>
      <c r="AB205" s="149"/>
      <c r="AC205" s="150"/>
    </row>
    <row r="206" spans="1:29" ht="14" x14ac:dyDescent="0.3">
      <c r="A206" s="31" t="str">
        <f>IFERROR(INDEX('G-8 Condition Look up'!$I$4:$I$130,MATCH(F206,'G-8 Condition Look up'!$A$4:$A$130,0)),"")</f>
        <v/>
      </c>
      <c r="C206" s="244" t="str">
        <f>IFERROR(INDEX('G-1 All Habitats'!$AG$3:$AG$15,MATCH(D206,'G-1 All Habitats'!$AF$3:$AF$15,0)),"")</f>
        <v/>
      </c>
      <c r="D206" s="154"/>
      <c r="E206" s="203"/>
      <c r="F206" s="243" t="str">
        <f>IFERROR(INDEX('G-1 All Habitats'!$B$3:$B$129,MATCH(E206,'G-1 All Habitats'!$A$3:$A$129,0)),"")</f>
        <v/>
      </c>
      <c r="G206" s="386"/>
      <c r="H206" s="537" t="str">
        <f>IF(F206="","",VLOOKUP(F206,'G-1 All Habitats'!$B$2:$M$129,10,FALSE))</f>
        <v/>
      </c>
      <c r="I206" s="524" t="str">
        <f>IFERROR(VLOOKUP(H206,'G-1 All Habitats'!$V$3:$W$7,2,FALSE),"")</f>
        <v/>
      </c>
      <c r="J206" s="199"/>
      <c r="K206" s="524" t="str">
        <f>IFERROR(INDEX('G-8 Condition Look up'!$A$3:$H$130,MATCH(F206,'G-8 Condition Look up'!$A$3:$A$130,0),MATCH(J206,'G-8 Condition Look up'!$A$3:$H$3,0)),"")</f>
        <v/>
      </c>
      <c r="L206" s="145"/>
      <c r="M206" s="540" t="str">
        <f>IF(L206="","",IF(VLOOKUP(L206,'G-3 Multipliers'!$L$3:$N$6,2,FALSE)=0,"Spatial Data Missing ⚠",VLOOKUP(L206,'G-3 Multipliers'!$L$3:$N$6,2,FALSE)))</f>
        <v/>
      </c>
      <c r="N206" s="499" t="str">
        <f>IF(L206="","",IF(VLOOKUP(L206,'G-3 Multipliers'!$L$3:$N$6,3,FALSE)=0,"Spatial Data Missing ⚠",VLOOKUP(L206,'G-3 Multipliers'!$L$3:$N$6,3,FALSE)))</f>
        <v/>
      </c>
      <c r="O206" s="498" t="str">
        <f t="shared" si="15"/>
        <v/>
      </c>
      <c r="P206" s="195"/>
      <c r="Q206" s="195"/>
      <c r="R206" s="520" t="str">
        <f t="shared" si="16"/>
        <v/>
      </c>
      <c r="S206" s="544" t="str">
        <f t="shared" si="17"/>
        <v/>
      </c>
      <c r="T206" s="525" t="str">
        <f>IFERROR(IF(S206="Check Data ⚠","Check Data ⚠",VLOOKUP(S206,'G-4 Temporal multipliers'!$A$4:$C$37,3,FALSE)),"")</f>
        <v/>
      </c>
      <c r="U206" s="523" t="str">
        <f>IF(F206="","",VLOOKUP(F206,'G-3 Multipliers'!$A$2:$E$129,2,FALSE))</f>
        <v/>
      </c>
      <c r="V206" s="520" t="str">
        <f t="shared" si="19"/>
        <v/>
      </c>
      <c r="W206" s="520" t="str">
        <f>IF(E206="","",IF(AND(V206="Standard difficulty applied",O206&gt;P206),U206,IF(AND(V206="Low Difficulty - only applicable if all habitat created before losses ⚠",P206&gt;=O206),"Low",VLOOKUP(F206,'G-3 Multipliers'!$A$2:$E$129,4,FALSE))))</f>
        <v/>
      </c>
      <c r="X206" s="524" t="str">
        <f>IFERROR(IF(E206="","",VLOOKUP(W206, 'G-3 Multipliers'!$P$2:$Q$6,2,FALSE)),"")</f>
        <v/>
      </c>
      <c r="Y206" s="197"/>
      <c r="Z206" s="499" t="str">
        <f>IF(Y206="","",IF(VLOOKUP(Y206,'G-3 Multipliers'!$S$3:$T$9,2,FALSE)=0,"Spatial Data Missing ⚠",VLOOKUP(Y206,'G-3 Multipliers'!$S$3:$T$9,2,FALSE)))</f>
        <v/>
      </c>
      <c r="AA206" s="545" t="str">
        <f t="shared" si="18"/>
        <v/>
      </c>
      <c r="AB206" s="149"/>
      <c r="AC206" s="150"/>
    </row>
    <row r="207" spans="1:29" ht="14" x14ac:dyDescent="0.3">
      <c r="A207" s="31" t="str">
        <f>IFERROR(INDEX('G-8 Condition Look up'!$I$4:$I$130,MATCH(F207,'G-8 Condition Look up'!$A$4:$A$130,0)),"")</f>
        <v/>
      </c>
      <c r="C207" s="244" t="str">
        <f>IFERROR(INDEX('G-1 All Habitats'!$AG$3:$AG$15,MATCH(D207,'G-1 All Habitats'!$AF$3:$AF$15,0)),"")</f>
        <v/>
      </c>
      <c r="D207" s="154"/>
      <c r="E207" s="203"/>
      <c r="F207" s="243" t="str">
        <f>IFERROR(INDEX('G-1 All Habitats'!$B$3:$B$129,MATCH(E207,'G-1 All Habitats'!$A$3:$A$129,0)),"")</f>
        <v/>
      </c>
      <c r="G207" s="386"/>
      <c r="H207" s="537" t="str">
        <f>IF(F207="","",VLOOKUP(F207,'G-1 All Habitats'!$B$2:$M$129,10,FALSE))</f>
        <v/>
      </c>
      <c r="I207" s="524" t="str">
        <f>IFERROR(VLOOKUP(H207,'G-1 All Habitats'!$V$3:$W$7,2,FALSE),"")</f>
        <v/>
      </c>
      <c r="J207" s="199"/>
      <c r="K207" s="524" t="str">
        <f>IFERROR(INDEX('G-8 Condition Look up'!$A$3:$H$130,MATCH(F207,'G-8 Condition Look up'!$A$3:$A$130,0),MATCH(J207,'G-8 Condition Look up'!$A$3:$H$3,0)),"")</f>
        <v/>
      </c>
      <c r="L207" s="145"/>
      <c r="M207" s="540" t="str">
        <f>IF(L207="","",IF(VLOOKUP(L207,'G-3 Multipliers'!$L$3:$N$6,2,FALSE)=0,"Spatial Data Missing ⚠",VLOOKUP(L207,'G-3 Multipliers'!$L$3:$N$6,2,FALSE)))</f>
        <v/>
      </c>
      <c r="N207" s="499" t="str">
        <f>IF(L207="","",IF(VLOOKUP(L207,'G-3 Multipliers'!$L$3:$N$6,3,FALSE)=0,"Spatial Data Missing ⚠",VLOOKUP(L207,'G-3 Multipliers'!$L$3:$N$6,3,FALSE)))</f>
        <v/>
      </c>
      <c r="O207" s="498" t="str">
        <f t="shared" si="15"/>
        <v/>
      </c>
      <c r="P207" s="195"/>
      <c r="Q207" s="195"/>
      <c r="R207" s="520" t="str">
        <f t="shared" si="16"/>
        <v/>
      </c>
      <c r="S207" s="544" t="str">
        <f t="shared" si="17"/>
        <v/>
      </c>
      <c r="T207" s="525" t="str">
        <f>IFERROR(IF(S207="Check Data ⚠","Check Data ⚠",VLOOKUP(S207,'G-4 Temporal multipliers'!$A$4:$C$37,3,FALSE)),"")</f>
        <v/>
      </c>
      <c r="U207" s="523" t="str">
        <f>IF(F207="","",VLOOKUP(F207,'G-3 Multipliers'!$A$2:$E$129,2,FALSE))</f>
        <v/>
      </c>
      <c r="V207" s="520" t="str">
        <f t="shared" si="19"/>
        <v/>
      </c>
      <c r="W207" s="520" t="str">
        <f>IF(E207="","",IF(AND(V207="Standard difficulty applied",O207&gt;P207),U207,IF(AND(V207="Low Difficulty - only applicable if all habitat created before losses ⚠",P207&gt;=O207),"Low",VLOOKUP(F207,'G-3 Multipliers'!$A$2:$E$129,4,FALSE))))</f>
        <v/>
      </c>
      <c r="X207" s="524" t="str">
        <f>IFERROR(IF(E207="","",VLOOKUP(W207, 'G-3 Multipliers'!$P$2:$Q$6,2,FALSE)),"")</f>
        <v/>
      </c>
      <c r="Y207" s="197"/>
      <c r="Z207" s="499" t="str">
        <f>IF(Y207="","",IF(VLOOKUP(Y207,'G-3 Multipliers'!$S$3:$T$9,2,FALSE)=0,"Spatial Data Missing ⚠",VLOOKUP(Y207,'G-3 Multipliers'!$S$3:$T$9,2,FALSE)))</f>
        <v/>
      </c>
      <c r="AA207" s="545" t="str">
        <f t="shared" si="18"/>
        <v/>
      </c>
      <c r="AB207" s="149"/>
      <c r="AC207" s="150"/>
    </row>
    <row r="208" spans="1:29" ht="14" x14ac:dyDescent="0.3">
      <c r="A208" s="31" t="str">
        <f>IFERROR(INDEX('G-8 Condition Look up'!$I$4:$I$130,MATCH(F208,'G-8 Condition Look up'!$A$4:$A$130,0)),"")</f>
        <v/>
      </c>
      <c r="C208" s="244" t="str">
        <f>IFERROR(INDEX('G-1 All Habitats'!$AG$3:$AG$15,MATCH(D208,'G-1 All Habitats'!$AF$3:$AF$15,0)),"")</f>
        <v/>
      </c>
      <c r="D208" s="154"/>
      <c r="E208" s="203"/>
      <c r="F208" s="243" t="str">
        <f>IFERROR(INDEX('G-1 All Habitats'!$B$3:$B$129,MATCH(E208,'G-1 All Habitats'!$A$3:$A$129,0)),"")</f>
        <v/>
      </c>
      <c r="G208" s="386"/>
      <c r="H208" s="537" t="str">
        <f>IF(F208="","",VLOOKUP(F208,'G-1 All Habitats'!$B$2:$M$129,10,FALSE))</f>
        <v/>
      </c>
      <c r="I208" s="524" t="str">
        <f>IFERROR(VLOOKUP(H208,'G-1 All Habitats'!$V$3:$W$7,2,FALSE),"")</f>
        <v/>
      </c>
      <c r="J208" s="199"/>
      <c r="K208" s="524" t="str">
        <f>IFERROR(INDEX('G-8 Condition Look up'!$A$3:$H$130,MATCH(F208,'G-8 Condition Look up'!$A$3:$A$130,0),MATCH(J208,'G-8 Condition Look up'!$A$3:$H$3,0)),"")</f>
        <v/>
      </c>
      <c r="L208" s="145"/>
      <c r="M208" s="540" t="str">
        <f>IF(L208="","",IF(VLOOKUP(L208,'G-3 Multipliers'!$L$3:$N$6,2,FALSE)=0,"Spatial Data Missing ⚠",VLOOKUP(L208,'G-3 Multipliers'!$L$3:$N$6,2,FALSE)))</f>
        <v/>
      </c>
      <c r="N208" s="499" t="str">
        <f>IF(L208="","",IF(VLOOKUP(L208,'G-3 Multipliers'!$L$3:$N$6,3,FALSE)=0,"Spatial Data Missing ⚠",VLOOKUP(L208,'G-3 Multipliers'!$L$3:$N$6,3,FALSE)))</f>
        <v/>
      </c>
      <c r="O208" s="498" t="str">
        <f t="shared" si="15"/>
        <v/>
      </c>
      <c r="P208" s="195"/>
      <c r="Q208" s="195"/>
      <c r="R208" s="520" t="str">
        <f t="shared" si="16"/>
        <v/>
      </c>
      <c r="S208" s="544" t="str">
        <f t="shared" si="17"/>
        <v/>
      </c>
      <c r="T208" s="525" t="str">
        <f>IFERROR(IF(S208="Check Data ⚠","Check Data ⚠",VLOOKUP(S208,'G-4 Temporal multipliers'!$A$4:$C$37,3,FALSE)),"")</f>
        <v/>
      </c>
      <c r="U208" s="523" t="str">
        <f>IF(F208="","",VLOOKUP(F208,'G-3 Multipliers'!$A$2:$E$129,2,FALSE))</f>
        <v/>
      </c>
      <c r="V208" s="520" t="str">
        <f t="shared" si="19"/>
        <v/>
      </c>
      <c r="W208" s="520" t="str">
        <f>IF(E208="","",IF(AND(V208="Standard difficulty applied",O208&gt;P208),U208,IF(AND(V208="Low Difficulty - only applicable if all habitat created before losses ⚠",P208&gt;=O208),"Low",VLOOKUP(F208,'G-3 Multipliers'!$A$2:$E$129,4,FALSE))))</f>
        <v/>
      </c>
      <c r="X208" s="524" t="str">
        <f>IFERROR(IF(E208="","",VLOOKUP(W208, 'G-3 Multipliers'!$P$2:$Q$6,2,FALSE)),"")</f>
        <v/>
      </c>
      <c r="Y208" s="197"/>
      <c r="Z208" s="499" t="str">
        <f>IF(Y208="","",IF(VLOOKUP(Y208,'G-3 Multipliers'!$S$3:$T$9,2,FALSE)=0,"Spatial Data Missing ⚠",VLOOKUP(Y208,'G-3 Multipliers'!$S$3:$T$9,2,FALSE)))</f>
        <v/>
      </c>
      <c r="AA208" s="545" t="str">
        <f t="shared" si="18"/>
        <v/>
      </c>
      <c r="AB208" s="149"/>
      <c r="AC208" s="150"/>
    </row>
    <row r="209" spans="1:29" ht="14" x14ac:dyDescent="0.3">
      <c r="A209" s="31" t="str">
        <f>IFERROR(INDEX('G-8 Condition Look up'!$I$4:$I$130,MATCH(F209,'G-8 Condition Look up'!$A$4:$A$130,0)),"")</f>
        <v/>
      </c>
      <c r="C209" s="244" t="str">
        <f>IFERROR(INDEX('G-1 All Habitats'!$AG$3:$AG$15,MATCH(D209,'G-1 All Habitats'!$AF$3:$AF$15,0)),"")</f>
        <v/>
      </c>
      <c r="D209" s="154"/>
      <c r="E209" s="203"/>
      <c r="F209" s="243" t="str">
        <f>IFERROR(INDEX('G-1 All Habitats'!$B$3:$B$129,MATCH(E209,'G-1 All Habitats'!$A$3:$A$129,0)),"")</f>
        <v/>
      </c>
      <c r="G209" s="386"/>
      <c r="H209" s="537" t="str">
        <f>IF(F209="","",VLOOKUP(F209,'G-1 All Habitats'!$B$2:$M$129,10,FALSE))</f>
        <v/>
      </c>
      <c r="I209" s="524" t="str">
        <f>IFERROR(VLOOKUP(H209,'G-1 All Habitats'!$V$3:$W$7,2,FALSE),"")</f>
        <v/>
      </c>
      <c r="J209" s="199"/>
      <c r="K209" s="524" t="str">
        <f>IFERROR(INDEX('G-8 Condition Look up'!$A$3:$H$130,MATCH(F209,'G-8 Condition Look up'!$A$3:$A$130,0),MATCH(J209,'G-8 Condition Look up'!$A$3:$H$3,0)),"")</f>
        <v/>
      </c>
      <c r="L209" s="145"/>
      <c r="M209" s="540" t="str">
        <f>IF(L209="","",IF(VLOOKUP(L209,'G-3 Multipliers'!$L$3:$N$6,2,FALSE)=0,"Spatial Data Missing ⚠",VLOOKUP(L209,'G-3 Multipliers'!$L$3:$N$6,2,FALSE)))</f>
        <v/>
      </c>
      <c r="N209" s="499" t="str">
        <f>IF(L209="","",IF(VLOOKUP(L209,'G-3 Multipliers'!$L$3:$N$6,3,FALSE)=0,"Spatial Data Missing ⚠",VLOOKUP(L209,'G-3 Multipliers'!$L$3:$N$6,3,FALSE)))</f>
        <v/>
      </c>
      <c r="O209" s="498" t="str">
        <f t="shared" si="15"/>
        <v/>
      </c>
      <c r="P209" s="195"/>
      <c r="Q209" s="195"/>
      <c r="R209" s="520" t="str">
        <f t="shared" si="16"/>
        <v/>
      </c>
      <c r="S209" s="544" t="str">
        <f t="shared" si="17"/>
        <v/>
      </c>
      <c r="T209" s="525" t="str">
        <f>IFERROR(IF(S209="Check Data ⚠","Check Data ⚠",VLOOKUP(S209,'G-4 Temporal multipliers'!$A$4:$C$37,3,FALSE)),"")</f>
        <v/>
      </c>
      <c r="U209" s="523" t="str">
        <f>IF(F209="","",VLOOKUP(F209,'G-3 Multipliers'!$A$2:$E$129,2,FALSE))</f>
        <v/>
      </c>
      <c r="V209" s="520" t="str">
        <f t="shared" si="19"/>
        <v/>
      </c>
      <c r="W209" s="520" t="str">
        <f>IF(E209="","",IF(AND(V209="Standard difficulty applied",O209&gt;P209),U209,IF(AND(V209="Low Difficulty - only applicable if all habitat created before losses ⚠",P209&gt;=O209),"Low",VLOOKUP(F209,'G-3 Multipliers'!$A$2:$E$129,4,FALSE))))</f>
        <v/>
      </c>
      <c r="X209" s="524" t="str">
        <f>IFERROR(IF(E209="","",VLOOKUP(W209, 'G-3 Multipliers'!$P$2:$Q$6,2,FALSE)),"")</f>
        <v/>
      </c>
      <c r="Y209" s="197"/>
      <c r="Z209" s="499" t="str">
        <f>IF(Y209="","",IF(VLOOKUP(Y209,'G-3 Multipliers'!$S$3:$T$9,2,FALSE)=0,"Spatial Data Missing ⚠",VLOOKUP(Y209,'G-3 Multipliers'!$S$3:$T$9,2,FALSE)))</f>
        <v/>
      </c>
      <c r="AA209" s="545" t="str">
        <f t="shared" si="18"/>
        <v/>
      </c>
      <c r="AB209" s="149"/>
      <c r="AC209" s="150"/>
    </row>
    <row r="210" spans="1:29" ht="14" x14ac:dyDescent="0.3">
      <c r="A210" s="31" t="str">
        <f>IFERROR(INDEX('G-8 Condition Look up'!$I$4:$I$130,MATCH(F210,'G-8 Condition Look up'!$A$4:$A$130,0)),"")</f>
        <v/>
      </c>
      <c r="C210" s="244" t="str">
        <f>IFERROR(INDEX('G-1 All Habitats'!$AG$3:$AG$15,MATCH(D210,'G-1 All Habitats'!$AF$3:$AF$15,0)),"")</f>
        <v/>
      </c>
      <c r="D210" s="154"/>
      <c r="E210" s="203"/>
      <c r="F210" s="243" t="str">
        <f>IFERROR(INDEX('G-1 All Habitats'!$B$3:$B$129,MATCH(E210,'G-1 All Habitats'!$A$3:$A$129,0)),"")</f>
        <v/>
      </c>
      <c r="G210" s="386"/>
      <c r="H210" s="537" t="str">
        <f>IF(F210="","",VLOOKUP(F210,'G-1 All Habitats'!$B$2:$M$129,10,FALSE))</f>
        <v/>
      </c>
      <c r="I210" s="524" t="str">
        <f>IFERROR(VLOOKUP(H210,'G-1 All Habitats'!$V$3:$W$7,2,FALSE),"")</f>
        <v/>
      </c>
      <c r="J210" s="199"/>
      <c r="K210" s="524" t="str">
        <f>IFERROR(INDEX('G-8 Condition Look up'!$A$3:$H$130,MATCH(F210,'G-8 Condition Look up'!$A$3:$A$130,0),MATCH(J210,'G-8 Condition Look up'!$A$3:$H$3,0)),"")</f>
        <v/>
      </c>
      <c r="L210" s="145"/>
      <c r="M210" s="540" t="str">
        <f>IF(L210="","",IF(VLOOKUP(L210,'G-3 Multipliers'!$L$3:$N$6,2,FALSE)=0,"Spatial Data Missing ⚠",VLOOKUP(L210,'G-3 Multipliers'!$L$3:$N$6,2,FALSE)))</f>
        <v/>
      </c>
      <c r="N210" s="499" t="str">
        <f>IF(L210="","",IF(VLOOKUP(L210,'G-3 Multipliers'!$L$3:$N$6,3,FALSE)=0,"Spatial Data Missing ⚠",VLOOKUP(L210,'G-3 Multipliers'!$L$3:$N$6,3,FALSE)))</f>
        <v/>
      </c>
      <c r="O210" s="498" t="str">
        <f t="shared" si="15"/>
        <v/>
      </c>
      <c r="P210" s="195"/>
      <c r="Q210" s="195"/>
      <c r="R210" s="520" t="str">
        <f t="shared" si="16"/>
        <v/>
      </c>
      <c r="S210" s="544" t="str">
        <f t="shared" si="17"/>
        <v/>
      </c>
      <c r="T210" s="525" t="str">
        <f>IFERROR(IF(S210="Check Data ⚠","Check Data ⚠",VLOOKUP(S210,'G-4 Temporal multipliers'!$A$4:$C$37,3,FALSE)),"")</f>
        <v/>
      </c>
      <c r="U210" s="523" t="str">
        <f>IF(F210="","",VLOOKUP(F210,'G-3 Multipliers'!$A$2:$E$129,2,FALSE))</f>
        <v/>
      </c>
      <c r="V210" s="520" t="str">
        <f t="shared" si="19"/>
        <v/>
      </c>
      <c r="W210" s="520" t="str">
        <f>IF(E210="","",IF(AND(V210="Standard difficulty applied",O210&gt;P210),U210,IF(AND(V210="Low Difficulty - only applicable if all habitat created before losses ⚠",P210&gt;=O210),"Low",VLOOKUP(F210,'G-3 Multipliers'!$A$2:$E$129,4,FALSE))))</f>
        <v/>
      </c>
      <c r="X210" s="524" t="str">
        <f>IFERROR(IF(E210="","",VLOOKUP(W210, 'G-3 Multipliers'!$P$2:$Q$6,2,FALSE)),"")</f>
        <v/>
      </c>
      <c r="Y210" s="197"/>
      <c r="Z210" s="499" t="str">
        <f>IF(Y210="","",IF(VLOOKUP(Y210,'G-3 Multipliers'!$S$3:$T$9,2,FALSE)=0,"Spatial Data Missing ⚠",VLOOKUP(Y210,'G-3 Multipliers'!$S$3:$T$9,2,FALSE)))</f>
        <v/>
      </c>
      <c r="AA210" s="545" t="str">
        <f t="shared" si="18"/>
        <v/>
      </c>
      <c r="AB210" s="149"/>
      <c r="AC210" s="150"/>
    </row>
    <row r="211" spans="1:29" ht="14" x14ac:dyDescent="0.3">
      <c r="A211" s="31" t="str">
        <f>IFERROR(INDEX('G-8 Condition Look up'!$I$4:$I$130,MATCH(F211,'G-8 Condition Look up'!$A$4:$A$130,0)),"")</f>
        <v/>
      </c>
      <c r="C211" s="244" t="str">
        <f>IFERROR(INDEX('G-1 All Habitats'!$AG$3:$AG$15,MATCH(D211,'G-1 All Habitats'!$AF$3:$AF$15,0)),"")</f>
        <v/>
      </c>
      <c r="D211" s="154"/>
      <c r="E211" s="203"/>
      <c r="F211" s="243" t="str">
        <f>IFERROR(INDEX('G-1 All Habitats'!$B$3:$B$129,MATCH(E211,'G-1 All Habitats'!$A$3:$A$129,0)),"")</f>
        <v/>
      </c>
      <c r="G211" s="386"/>
      <c r="H211" s="537" t="str">
        <f>IF(F211="","",VLOOKUP(F211,'G-1 All Habitats'!$B$2:$M$129,10,FALSE))</f>
        <v/>
      </c>
      <c r="I211" s="524" t="str">
        <f>IFERROR(VLOOKUP(H211,'G-1 All Habitats'!$V$3:$W$7,2,FALSE),"")</f>
        <v/>
      </c>
      <c r="J211" s="199"/>
      <c r="K211" s="524" t="str">
        <f>IFERROR(INDEX('G-8 Condition Look up'!$A$3:$H$130,MATCH(F211,'G-8 Condition Look up'!$A$3:$A$130,0),MATCH(J211,'G-8 Condition Look up'!$A$3:$H$3,0)),"")</f>
        <v/>
      </c>
      <c r="L211" s="145"/>
      <c r="M211" s="540" t="str">
        <f>IF(L211="","",IF(VLOOKUP(L211,'G-3 Multipliers'!$L$3:$N$6,2,FALSE)=0,"Spatial Data Missing ⚠",VLOOKUP(L211,'G-3 Multipliers'!$L$3:$N$6,2,FALSE)))</f>
        <v/>
      </c>
      <c r="N211" s="499" t="str">
        <f>IF(L211="","",IF(VLOOKUP(L211,'G-3 Multipliers'!$L$3:$N$6,3,FALSE)=0,"Spatial Data Missing ⚠",VLOOKUP(L211,'G-3 Multipliers'!$L$3:$N$6,3,FALSE)))</f>
        <v/>
      </c>
      <c r="O211" s="498" t="str">
        <f t="shared" si="15"/>
        <v/>
      </c>
      <c r="P211" s="195"/>
      <c r="Q211" s="195"/>
      <c r="R211" s="520" t="str">
        <f t="shared" si="16"/>
        <v/>
      </c>
      <c r="S211" s="544" t="str">
        <f t="shared" si="17"/>
        <v/>
      </c>
      <c r="T211" s="525" t="str">
        <f>IFERROR(IF(S211="Check Data ⚠","Check Data ⚠",VLOOKUP(S211,'G-4 Temporal multipliers'!$A$4:$C$37,3,FALSE)),"")</f>
        <v/>
      </c>
      <c r="U211" s="523" t="str">
        <f>IF(F211="","",VLOOKUP(F211,'G-3 Multipliers'!$A$2:$E$129,2,FALSE))</f>
        <v/>
      </c>
      <c r="V211" s="520" t="str">
        <f t="shared" si="19"/>
        <v/>
      </c>
      <c r="W211" s="520" t="str">
        <f>IF(E211="","",IF(AND(V211="Standard difficulty applied",O211&gt;P211),U211,IF(AND(V211="Low Difficulty - only applicable if all habitat created before losses ⚠",P211&gt;=O211),"Low",VLOOKUP(F211,'G-3 Multipliers'!$A$2:$E$129,4,FALSE))))</f>
        <v/>
      </c>
      <c r="X211" s="524" t="str">
        <f>IFERROR(IF(E211="","",VLOOKUP(W211, 'G-3 Multipliers'!$P$2:$Q$6,2,FALSE)),"")</f>
        <v/>
      </c>
      <c r="Y211" s="197"/>
      <c r="Z211" s="499" t="str">
        <f>IF(Y211="","",IF(VLOOKUP(Y211,'G-3 Multipliers'!$S$3:$T$9,2,FALSE)=0,"Spatial Data Missing ⚠",VLOOKUP(Y211,'G-3 Multipliers'!$S$3:$T$9,2,FALSE)))</f>
        <v/>
      </c>
      <c r="AA211" s="545" t="str">
        <f t="shared" si="18"/>
        <v/>
      </c>
      <c r="AB211" s="149"/>
      <c r="AC211" s="150"/>
    </row>
    <row r="212" spans="1:29" ht="14" x14ac:dyDescent="0.3">
      <c r="A212" s="31" t="str">
        <f>IFERROR(INDEX('G-8 Condition Look up'!$I$4:$I$130,MATCH(F212,'G-8 Condition Look up'!$A$4:$A$130,0)),"")</f>
        <v/>
      </c>
      <c r="C212" s="244" t="str">
        <f>IFERROR(INDEX('G-1 All Habitats'!$AG$3:$AG$15,MATCH(D212,'G-1 All Habitats'!$AF$3:$AF$15,0)),"")</f>
        <v/>
      </c>
      <c r="D212" s="154"/>
      <c r="E212" s="203"/>
      <c r="F212" s="243" t="str">
        <f>IFERROR(INDEX('G-1 All Habitats'!$B$3:$B$129,MATCH(E212,'G-1 All Habitats'!$A$3:$A$129,0)),"")</f>
        <v/>
      </c>
      <c r="G212" s="386"/>
      <c r="H212" s="537" t="str">
        <f>IF(F212="","",VLOOKUP(F212,'G-1 All Habitats'!$B$2:$M$129,10,FALSE))</f>
        <v/>
      </c>
      <c r="I212" s="524" t="str">
        <f>IFERROR(VLOOKUP(H212,'G-1 All Habitats'!$V$3:$W$7,2,FALSE),"")</f>
        <v/>
      </c>
      <c r="J212" s="199"/>
      <c r="K212" s="524" t="str">
        <f>IFERROR(INDEX('G-8 Condition Look up'!$A$3:$H$130,MATCH(F212,'G-8 Condition Look up'!$A$3:$A$130,0),MATCH(J212,'G-8 Condition Look up'!$A$3:$H$3,0)),"")</f>
        <v/>
      </c>
      <c r="L212" s="145"/>
      <c r="M212" s="540" t="str">
        <f>IF(L212="","",IF(VLOOKUP(L212,'G-3 Multipliers'!$L$3:$N$6,2,FALSE)=0,"Spatial Data Missing ⚠",VLOOKUP(L212,'G-3 Multipliers'!$L$3:$N$6,2,FALSE)))</f>
        <v/>
      </c>
      <c r="N212" s="499" t="str">
        <f>IF(L212="","",IF(VLOOKUP(L212,'G-3 Multipliers'!$L$3:$N$6,3,FALSE)=0,"Spatial Data Missing ⚠",VLOOKUP(L212,'G-3 Multipliers'!$L$3:$N$6,3,FALSE)))</f>
        <v/>
      </c>
      <c r="O212" s="498" t="str">
        <f t="shared" si="15"/>
        <v/>
      </c>
      <c r="P212" s="195"/>
      <c r="Q212" s="195"/>
      <c r="R212" s="520" t="str">
        <f t="shared" si="16"/>
        <v/>
      </c>
      <c r="S212" s="544" t="str">
        <f t="shared" si="17"/>
        <v/>
      </c>
      <c r="T212" s="525" t="str">
        <f>IFERROR(IF(S212="Check Data ⚠","Check Data ⚠",VLOOKUP(S212,'G-4 Temporal multipliers'!$A$4:$C$37,3,FALSE)),"")</f>
        <v/>
      </c>
      <c r="U212" s="523" t="str">
        <f>IF(F212="","",VLOOKUP(F212,'G-3 Multipliers'!$A$2:$E$129,2,FALSE))</f>
        <v/>
      </c>
      <c r="V212" s="520" t="str">
        <f t="shared" si="19"/>
        <v/>
      </c>
      <c r="W212" s="520" t="str">
        <f>IF(E212="","",IF(AND(V212="Standard difficulty applied",O212&gt;P212),U212,IF(AND(V212="Low Difficulty - only applicable if all habitat created before losses ⚠",P212&gt;=O212),"Low",VLOOKUP(F212,'G-3 Multipliers'!$A$2:$E$129,4,FALSE))))</f>
        <v/>
      </c>
      <c r="X212" s="524" t="str">
        <f>IFERROR(IF(E212="","",VLOOKUP(W212, 'G-3 Multipliers'!$P$2:$Q$6,2,FALSE)),"")</f>
        <v/>
      </c>
      <c r="Y212" s="197"/>
      <c r="Z212" s="499" t="str">
        <f>IF(Y212="","",IF(VLOOKUP(Y212,'G-3 Multipliers'!$S$3:$T$9,2,FALSE)=0,"Spatial Data Missing ⚠",VLOOKUP(Y212,'G-3 Multipliers'!$S$3:$T$9,2,FALSE)))</f>
        <v/>
      </c>
      <c r="AA212" s="545" t="str">
        <f t="shared" si="18"/>
        <v/>
      </c>
      <c r="AB212" s="149"/>
      <c r="AC212" s="150"/>
    </row>
    <row r="213" spans="1:29" ht="14" x14ac:dyDescent="0.3">
      <c r="A213" s="31" t="str">
        <f>IFERROR(INDEX('G-8 Condition Look up'!$I$4:$I$130,MATCH(F213,'G-8 Condition Look up'!$A$4:$A$130,0)),"")</f>
        <v/>
      </c>
      <c r="C213" s="244" t="str">
        <f>IFERROR(INDEX('G-1 All Habitats'!$AG$3:$AG$15,MATCH(D213,'G-1 All Habitats'!$AF$3:$AF$15,0)),"")</f>
        <v/>
      </c>
      <c r="D213" s="154"/>
      <c r="E213" s="203"/>
      <c r="F213" s="243" t="str">
        <f>IFERROR(INDEX('G-1 All Habitats'!$B$3:$B$129,MATCH(E213,'G-1 All Habitats'!$A$3:$A$129,0)),"")</f>
        <v/>
      </c>
      <c r="G213" s="386"/>
      <c r="H213" s="537" t="str">
        <f>IF(F213="","",VLOOKUP(F213,'G-1 All Habitats'!$B$2:$M$129,10,FALSE))</f>
        <v/>
      </c>
      <c r="I213" s="524" t="str">
        <f>IFERROR(VLOOKUP(H213,'G-1 All Habitats'!$V$3:$W$7,2,FALSE),"")</f>
        <v/>
      </c>
      <c r="J213" s="199"/>
      <c r="K213" s="524" t="str">
        <f>IFERROR(INDEX('G-8 Condition Look up'!$A$3:$H$130,MATCH(F213,'G-8 Condition Look up'!$A$3:$A$130,0),MATCH(J213,'G-8 Condition Look up'!$A$3:$H$3,0)),"")</f>
        <v/>
      </c>
      <c r="L213" s="145"/>
      <c r="M213" s="540" t="str">
        <f>IF(L213="","",IF(VLOOKUP(L213,'G-3 Multipliers'!$L$3:$N$6,2,FALSE)=0,"Spatial Data Missing ⚠",VLOOKUP(L213,'G-3 Multipliers'!$L$3:$N$6,2,FALSE)))</f>
        <v/>
      </c>
      <c r="N213" s="499" t="str">
        <f>IF(L213="","",IF(VLOOKUP(L213,'G-3 Multipliers'!$L$3:$N$6,3,FALSE)=0,"Spatial Data Missing ⚠",VLOOKUP(L213,'G-3 Multipliers'!$L$3:$N$6,3,FALSE)))</f>
        <v/>
      </c>
      <c r="O213" s="498" t="str">
        <f t="shared" si="15"/>
        <v/>
      </c>
      <c r="P213" s="195"/>
      <c r="Q213" s="195"/>
      <c r="R213" s="520" t="str">
        <f t="shared" si="16"/>
        <v/>
      </c>
      <c r="S213" s="544" t="str">
        <f t="shared" si="17"/>
        <v/>
      </c>
      <c r="T213" s="525" t="str">
        <f>IFERROR(IF(S213="Check Data ⚠","Check Data ⚠",VLOOKUP(S213,'G-4 Temporal multipliers'!$A$4:$C$37,3,FALSE)),"")</f>
        <v/>
      </c>
      <c r="U213" s="523" t="str">
        <f>IF(F213="","",VLOOKUP(F213,'G-3 Multipliers'!$A$2:$E$129,2,FALSE))</f>
        <v/>
      </c>
      <c r="V213" s="520" t="str">
        <f t="shared" si="19"/>
        <v/>
      </c>
      <c r="W213" s="520" t="str">
        <f>IF(E213="","",IF(AND(V213="Standard difficulty applied",O213&gt;P213),U213,IF(AND(V213="Low Difficulty - only applicable if all habitat created before losses ⚠",P213&gt;=O213),"Low",VLOOKUP(F213,'G-3 Multipliers'!$A$2:$E$129,4,FALSE))))</f>
        <v/>
      </c>
      <c r="X213" s="524" t="str">
        <f>IFERROR(IF(E213="","",VLOOKUP(W213, 'G-3 Multipliers'!$P$2:$Q$6,2,FALSE)),"")</f>
        <v/>
      </c>
      <c r="Y213" s="197"/>
      <c r="Z213" s="499" t="str">
        <f>IF(Y213="","",IF(VLOOKUP(Y213,'G-3 Multipliers'!$S$3:$T$9,2,FALSE)=0,"Spatial Data Missing ⚠",VLOOKUP(Y213,'G-3 Multipliers'!$S$3:$T$9,2,FALSE)))</f>
        <v/>
      </c>
      <c r="AA213" s="545" t="str">
        <f t="shared" si="18"/>
        <v/>
      </c>
      <c r="AB213" s="149"/>
      <c r="AC213" s="150"/>
    </row>
    <row r="214" spans="1:29" ht="14" x14ac:dyDescent="0.3">
      <c r="A214" s="31" t="str">
        <f>IFERROR(INDEX('G-8 Condition Look up'!$I$4:$I$130,MATCH(F214,'G-8 Condition Look up'!$A$4:$A$130,0)),"")</f>
        <v/>
      </c>
      <c r="C214" s="244" t="str">
        <f>IFERROR(INDEX('G-1 All Habitats'!$AG$3:$AG$15,MATCH(D214,'G-1 All Habitats'!$AF$3:$AF$15,0)),"")</f>
        <v/>
      </c>
      <c r="D214" s="154"/>
      <c r="E214" s="203"/>
      <c r="F214" s="243" t="str">
        <f>IFERROR(INDEX('G-1 All Habitats'!$B$3:$B$129,MATCH(E214,'G-1 All Habitats'!$A$3:$A$129,0)),"")</f>
        <v/>
      </c>
      <c r="G214" s="386"/>
      <c r="H214" s="537" t="str">
        <f>IF(F214="","",VLOOKUP(F214,'G-1 All Habitats'!$B$2:$M$129,10,FALSE))</f>
        <v/>
      </c>
      <c r="I214" s="524" t="str">
        <f>IFERROR(VLOOKUP(H214,'G-1 All Habitats'!$V$3:$W$7,2,FALSE),"")</f>
        <v/>
      </c>
      <c r="J214" s="199"/>
      <c r="K214" s="524" t="str">
        <f>IFERROR(INDEX('G-8 Condition Look up'!$A$3:$H$130,MATCH(F214,'G-8 Condition Look up'!$A$3:$A$130,0),MATCH(J214,'G-8 Condition Look up'!$A$3:$H$3,0)),"")</f>
        <v/>
      </c>
      <c r="L214" s="145"/>
      <c r="M214" s="540" t="str">
        <f>IF(L214="","",IF(VLOOKUP(L214,'G-3 Multipliers'!$L$3:$N$6,2,FALSE)=0,"Spatial Data Missing ⚠",VLOOKUP(L214,'G-3 Multipliers'!$L$3:$N$6,2,FALSE)))</f>
        <v/>
      </c>
      <c r="N214" s="499" t="str">
        <f>IF(L214="","",IF(VLOOKUP(L214,'G-3 Multipliers'!$L$3:$N$6,3,FALSE)=0,"Spatial Data Missing ⚠",VLOOKUP(L214,'G-3 Multipliers'!$L$3:$N$6,3,FALSE)))</f>
        <v/>
      </c>
      <c r="O214" s="498" t="str">
        <f t="shared" si="15"/>
        <v/>
      </c>
      <c r="P214" s="195"/>
      <c r="Q214" s="195"/>
      <c r="R214" s="520" t="str">
        <f t="shared" si="16"/>
        <v/>
      </c>
      <c r="S214" s="544" t="str">
        <f t="shared" si="17"/>
        <v/>
      </c>
      <c r="T214" s="525" t="str">
        <f>IFERROR(IF(S214="Check Data ⚠","Check Data ⚠",VLOOKUP(S214,'G-4 Temporal multipliers'!$A$4:$C$37,3,FALSE)),"")</f>
        <v/>
      </c>
      <c r="U214" s="523" t="str">
        <f>IF(F214="","",VLOOKUP(F214,'G-3 Multipliers'!$A$2:$E$129,2,FALSE))</f>
        <v/>
      </c>
      <c r="V214" s="520" t="str">
        <f t="shared" si="19"/>
        <v/>
      </c>
      <c r="W214" s="520" t="str">
        <f>IF(E214="","",IF(AND(V214="Standard difficulty applied",O214&gt;P214),U214,IF(AND(V214="Low Difficulty - only applicable if all habitat created before losses ⚠",P214&gt;=O214),"Low",VLOOKUP(F214,'G-3 Multipliers'!$A$2:$E$129,4,FALSE))))</f>
        <v/>
      </c>
      <c r="X214" s="524" t="str">
        <f>IFERROR(IF(E214="","",VLOOKUP(W214, 'G-3 Multipliers'!$P$2:$Q$6,2,FALSE)),"")</f>
        <v/>
      </c>
      <c r="Y214" s="197"/>
      <c r="Z214" s="499" t="str">
        <f>IF(Y214="","",IF(VLOOKUP(Y214,'G-3 Multipliers'!$S$3:$T$9,2,FALSE)=0,"Spatial Data Missing ⚠",VLOOKUP(Y214,'G-3 Multipliers'!$S$3:$T$9,2,FALSE)))</f>
        <v/>
      </c>
      <c r="AA214" s="545" t="str">
        <f t="shared" si="18"/>
        <v/>
      </c>
      <c r="AB214" s="149"/>
      <c r="AC214" s="150"/>
    </row>
    <row r="215" spans="1:29" ht="14" x14ac:dyDescent="0.3">
      <c r="A215" s="31" t="str">
        <f>IFERROR(INDEX('G-8 Condition Look up'!$I$4:$I$130,MATCH(F215,'G-8 Condition Look up'!$A$4:$A$130,0)),"")</f>
        <v/>
      </c>
      <c r="C215" s="244" t="str">
        <f>IFERROR(INDEX('G-1 All Habitats'!$AG$3:$AG$15,MATCH(D215,'G-1 All Habitats'!$AF$3:$AF$15,0)),"")</f>
        <v/>
      </c>
      <c r="D215" s="154"/>
      <c r="E215" s="203"/>
      <c r="F215" s="243" t="str">
        <f>IFERROR(INDEX('G-1 All Habitats'!$B$3:$B$129,MATCH(E215,'G-1 All Habitats'!$A$3:$A$129,0)),"")</f>
        <v/>
      </c>
      <c r="G215" s="386"/>
      <c r="H215" s="537" t="str">
        <f>IF(F215="","",VLOOKUP(F215,'G-1 All Habitats'!$B$2:$M$129,10,FALSE))</f>
        <v/>
      </c>
      <c r="I215" s="524" t="str">
        <f>IFERROR(VLOOKUP(H215,'G-1 All Habitats'!$V$3:$W$7,2,FALSE),"")</f>
        <v/>
      </c>
      <c r="J215" s="199"/>
      <c r="K215" s="524" t="str">
        <f>IFERROR(INDEX('G-8 Condition Look up'!$A$3:$H$130,MATCH(F215,'G-8 Condition Look up'!$A$3:$A$130,0),MATCH(J215,'G-8 Condition Look up'!$A$3:$H$3,0)),"")</f>
        <v/>
      </c>
      <c r="L215" s="145"/>
      <c r="M215" s="540" t="str">
        <f>IF(L215="","",IF(VLOOKUP(L215,'G-3 Multipliers'!$L$3:$N$6,2,FALSE)=0,"Spatial Data Missing ⚠",VLOOKUP(L215,'G-3 Multipliers'!$L$3:$N$6,2,FALSE)))</f>
        <v/>
      </c>
      <c r="N215" s="499" t="str">
        <f>IF(L215="","",IF(VLOOKUP(L215,'G-3 Multipliers'!$L$3:$N$6,3,FALSE)=0,"Spatial Data Missing ⚠",VLOOKUP(L215,'G-3 Multipliers'!$L$3:$N$6,3,FALSE)))</f>
        <v/>
      </c>
      <c r="O215" s="498" t="str">
        <f t="shared" si="15"/>
        <v/>
      </c>
      <c r="P215" s="195"/>
      <c r="Q215" s="195"/>
      <c r="R215" s="520" t="str">
        <f t="shared" si="16"/>
        <v/>
      </c>
      <c r="S215" s="544" t="str">
        <f t="shared" si="17"/>
        <v/>
      </c>
      <c r="T215" s="525" t="str">
        <f>IFERROR(IF(S215="Check Data ⚠","Check Data ⚠",VLOOKUP(S215,'G-4 Temporal multipliers'!$A$4:$C$37,3,FALSE)),"")</f>
        <v/>
      </c>
      <c r="U215" s="523" t="str">
        <f>IF(F215="","",VLOOKUP(F215,'G-3 Multipliers'!$A$2:$E$129,2,FALSE))</f>
        <v/>
      </c>
      <c r="V215" s="520" t="str">
        <f t="shared" si="19"/>
        <v/>
      </c>
      <c r="W215" s="520" t="str">
        <f>IF(E215="","",IF(AND(V215="Standard difficulty applied",O215&gt;P215),U215,IF(AND(V215="Low Difficulty - only applicable if all habitat created before losses ⚠",P215&gt;=O215),"Low",VLOOKUP(F215,'G-3 Multipliers'!$A$2:$E$129,4,FALSE))))</f>
        <v/>
      </c>
      <c r="X215" s="524" t="str">
        <f>IFERROR(IF(E215="","",VLOOKUP(W215, 'G-3 Multipliers'!$P$2:$Q$6,2,FALSE)),"")</f>
        <v/>
      </c>
      <c r="Y215" s="197"/>
      <c r="Z215" s="499" t="str">
        <f>IF(Y215="","",IF(VLOOKUP(Y215,'G-3 Multipliers'!$S$3:$T$9,2,FALSE)=0,"Spatial Data Missing ⚠",VLOOKUP(Y215,'G-3 Multipliers'!$S$3:$T$9,2,FALSE)))</f>
        <v/>
      </c>
      <c r="AA215" s="545" t="str">
        <f t="shared" si="18"/>
        <v/>
      </c>
      <c r="AB215" s="149"/>
      <c r="AC215" s="150"/>
    </row>
    <row r="216" spans="1:29" ht="14" x14ac:dyDescent="0.3">
      <c r="A216" s="31" t="str">
        <f>IFERROR(INDEX('G-8 Condition Look up'!$I$4:$I$130,MATCH(F216,'G-8 Condition Look up'!$A$4:$A$130,0)),"")</f>
        <v/>
      </c>
      <c r="C216" s="244" t="str">
        <f>IFERROR(INDEX('G-1 All Habitats'!$AG$3:$AG$15,MATCH(D216,'G-1 All Habitats'!$AF$3:$AF$15,0)),"")</f>
        <v/>
      </c>
      <c r="D216" s="154"/>
      <c r="E216" s="203"/>
      <c r="F216" s="243" t="str">
        <f>IFERROR(INDEX('G-1 All Habitats'!$B$3:$B$129,MATCH(E216,'G-1 All Habitats'!$A$3:$A$129,0)),"")</f>
        <v/>
      </c>
      <c r="G216" s="386"/>
      <c r="H216" s="537" t="str">
        <f>IF(F216="","",VLOOKUP(F216,'G-1 All Habitats'!$B$2:$M$129,10,FALSE))</f>
        <v/>
      </c>
      <c r="I216" s="524" t="str">
        <f>IFERROR(VLOOKUP(H216,'G-1 All Habitats'!$V$3:$W$7,2,FALSE),"")</f>
        <v/>
      </c>
      <c r="J216" s="199"/>
      <c r="K216" s="524" t="str">
        <f>IFERROR(INDEX('G-8 Condition Look up'!$A$3:$H$130,MATCH(F216,'G-8 Condition Look up'!$A$3:$A$130,0),MATCH(J216,'G-8 Condition Look up'!$A$3:$H$3,0)),"")</f>
        <v/>
      </c>
      <c r="L216" s="145"/>
      <c r="M216" s="540" t="str">
        <f>IF(L216="","",IF(VLOOKUP(L216,'G-3 Multipliers'!$L$3:$N$6,2,FALSE)=0,"Spatial Data Missing ⚠",VLOOKUP(L216,'G-3 Multipliers'!$L$3:$N$6,2,FALSE)))</f>
        <v/>
      </c>
      <c r="N216" s="499" t="str">
        <f>IF(L216="","",IF(VLOOKUP(L216,'G-3 Multipliers'!$L$3:$N$6,3,FALSE)=0,"Spatial Data Missing ⚠",VLOOKUP(L216,'G-3 Multipliers'!$L$3:$N$6,3,FALSE)))</f>
        <v/>
      </c>
      <c r="O216" s="498" t="str">
        <f t="shared" si="15"/>
        <v/>
      </c>
      <c r="P216" s="195"/>
      <c r="Q216" s="195"/>
      <c r="R216" s="520" t="str">
        <f t="shared" si="16"/>
        <v/>
      </c>
      <c r="S216" s="544" t="str">
        <f t="shared" si="17"/>
        <v/>
      </c>
      <c r="T216" s="525" t="str">
        <f>IFERROR(IF(S216="Check Data ⚠","Check Data ⚠",VLOOKUP(S216,'G-4 Temporal multipliers'!$A$4:$C$37,3,FALSE)),"")</f>
        <v/>
      </c>
      <c r="U216" s="523" t="str">
        <f>IF(F216="","",VLOOKUP(F216,'G-3 Multipliers'!$A$2:$E$129,2,FALSE))</f>
        <v/>
      </c>
      <c r="V216" s="520" t="str">
        <f t="shared" si="19"/>
        <v/>
      </c>
      <c r="W216" s="520" t="str">
        <f>IF(E216="","",IF(AND(V216="Standard difficulty applied",O216&gt;P216),U216,IF(AND(V216="Low Difficulty - only applicable if all habitat created before losses ⚠",P216&gt;=O216),"Low",VLOOKUP(F216,'G-3 Multipliers'!$A$2:$E$129,4,FALSE))))</f>
        <v/>
      </c>
      <c r="X216" s="524" t="str">
        <f>IFERROR(IF(E216="","",VLOOKUP(W216, 'G-3 Multipliers'!$P$2:$Q$6,2,FALSE)),"")</f>
        <v/>
      </c>
      <c r="Y216" s="197"/>
      <c r="Z216" s="499" t="str">
        <f>IF(Y216="","",IF(VLOOKUP(Y216,'G-3 Multipliers'!$S$3:$T$9,2,FALSE)=0,"Spatial Data Missing ⚠",VLOOKUP(Y216,'G-3 Multipliers'!$S$3:$T$9,2,FALSE)))</f>
        <v/>
      </c>
      <c r="AA216" s="545" t="str">
        <f t="shared" si="18"/>
        <v/>
      </c>
      <c r="AB216" s="149"/>
      <c r="AC216" s="150"/>
    </row>
    <row r="217" spans="1:29" ht="14" x14ac:dyDescent="0.3">
      <c r="A217" s="31" t="str">
        <f>IFERROR(INDEX('G-8 Condition Look up'!$I$4:$I$130,MATCH(F217,'G-8 Condition Look up'!$A$4:$A$130,0)),"")</f>
        <v/>
      </c>
      <c r="C217" s="244" t="str">
        <f>IFERROR(INDEX('G-1 All Habitats'!$AG$3:$AG$15,MATCH(D217,'G-1 All Habitats'!$AF$3:$AF$15,0)),"")</f>
        <v/>
      </c>
      <c r="D217" s="154"/>
      <c r="E217" s="203"/>
      <c r="F217" s="243" t="str">
        <f>IFERROR(INDEX('G-1 All Habitats'!$B$3:$B$129,MATCH(E217,'G-1 All Habitats'!$A$3:$A$129,0)),"")</f>
        <v/>
      </c>
      <c r="G217" s="386"/>
      <c r="H217" s="537" t="str">
        <f>IF(F217="","",VLOOKUP(F217,'G-1 All Habitats'!$B$2:$M$129,10,FALSE))</f>
        <v/>
      </c>
      <c r="I217" s="524" t="str">
        <f>IFERROR(VLOOKUP(H217,'G-1 All Habitats'!$V$3:$W$7,2,FALSE),"")</f>
        <v/>
      </c>
      <c r="J217" s="199"/>
      <c r="K217" s="524" t="str">
        <f>IFERROR(INDEX('G-8 Condition Look up'!$A$3:$H$130,MATCH(F217,'G-8 Condition Look up'!$A$3:$A$130,0),MATCH(J217,'G-8 Condition Look up'!$A$3:$H$3,0)),"")</f>
        <v/>
      </c>
      <c r="L217" s="145"/>
      <c r="M217" s="540" t="str">
        <f>IF(L217="","",IF(VLOOKUP(L217,'G-3 Multipliers'!$L$3:$N$6,2,FALSE)=0,"Spatial Data Missing ⚠",VLOOKUP(L217,'G-3 Multipliers'!$L$3:$N$6,2,FALSE)))</f>
        <v/>
      </c>
      <c r="N217" s="499" t="str">
        <f>IF(L217="","",IF(VLOOKUP(L217,'G-3 Multipliers'!$L$3:$N$6,3,FALSE)=0,"Spatial Data Missing ⚠",VLOOKUP(L217,'G-3 Multipliers'!$L$3:$N$6,3,FALSE)))</f>
        <v/>
      </c>
      <c r="O217" s="498" t="str">
        <f t="shared" si="15"/>
        <v/>
      </c>
      <c r="P217" s="195"/>
      <c r="Q217" s="195"/>
      <c r="R217" s="520" t="str">
        <f t="shared" si="16"/>
        <v/>
      </c>
      <c r="S217" s="544" t="str">
        <f t="shared" si="17"/>
        <v/>
      </c>
      <c r="T217" s="525" t="str">
        <f>IFERROR(IF(S217="Check Data ⚠","Check Data ⚠",VLOOKUP(S217,'G-4 Temporal multipliers'!$A$4:$C$37,3,FALSE)),"")</f>
        <v/>
      </c>
      <c r="U217" s="523" t="str">
        <f>IF(F217="","",VLOOKUP(F217,'G-3 Multipliers'!$A$2:$E$129,2,FALSE))</f>
        <v/>
      </c>
      <c r="V217" s="520" t="str">
        <f t="shared" si="19"/>
        <v/>
      </c>
      <c r="W217" s="520" t="str">
        <f>IF(E217="","",IF(AND(V217="Standard difficulty applied",O217&gt;P217),U217,IF(AND(V217="Low Difficulty - only applicable if all habitat created before losses ⚠",P217&gt;=O217),"Low",VLOOKUP(F217,'G-3 Multipliers'!$A$2:$E$129,4,FALSE))))</f>
        <v/>
      </c>
      <c r="X217" s="524" t="str">
        <f>IFERROR(IF(E217="","",VLOOKUP(W217, 'G-3 Multipliers'!$P$2:$Q$6,2,FALSE)),"")</f>
        <v/>
      </c>
      <c r="Y217" s="197"/>
      <c r="Z217" s="499" t="str">
        <f>IF(Y217="","",IF(VLOOKUP(Y217,'G-3 Multipliers'!$S$3:$T$9,2,FALSE)=0,"Spatial Data Missing ⚠",VLOOKUP(Y217,'G-3 Multipliers'!$S$3:$T$9,2,FALSE)))</f>
        <v/>
      </c>
      <c r="AA217" s="545" t="str">
        <f t="shared" si="18"/>
        <v/>
      </c>
      <c r="AB217" s="149"/>
      <c r="AC217" s="150"/>
    </row>
    <row r="218" spans="1:29" ht="14" x14ac:dyDescent="0.3">
      <c r="A218" s="31" t="str">
        <f>IFERROR(INDEX('G-8 Condition Look up'!$I$4:$I$130,MATCH(F218,'G-8 Condition Look up'!$A$4:$A$130,0)),"")</f>
        <v/>
      </c>
      <c r="C218" s="244" t="str">
        <f>IFERROR(INDEX('G-1 All Habitats'!$AG$3:$AG$15,MATCH(D218,'G-1 All Habitats'!$AF$3:$AF$15,0)),"")</f>
        <v/>
      </c>
      <c r="D218" s="154"/>
      <c r="E218" s="203"/>
      <c r="F218" s="243" t="str">
        <f>IFERROR(INDEX('G-1 All Habitats'!$B$3:$B$129,MATCH(E218,'G-1 All Habitats'!$A$3:$A$129,0)),"")</f>
        <v/>
      </c>
      <c r="G218" s="386"/>
      <c r="H218" s="537" t="str">
        <f>IF(F218="","",VLOOKUP(F218,'G-1 All Habitats'!$B$2:$M$129,10,FALSE))</f>
        <v/>
      </c>
      <c r="I218" s="524" t="str">
        <f>IFERROR(VLOOKUP(H218,'G-1 All Habitats'!$V$3:$W$7,2,FALSE),"")</f>
        <v/>
      </c>
      <c r="J218" s="199"/>
      <c r="K218" s="524" t="str">
        <f>IFERROR(INDEX('G-8 Condition Look up'!$A$3:$H$130,MATCH(F218,'G-8 Condition Look up'!$A$3:$A$130,0),MATCH(J218,'G-8 Condition Look up'!$A$3:$H$3,0)),"")</f>
        <v/>
      </c>
      <c r="L218" s="145"/>
      <c r="M218" s="540" t="str">
        <f>IF(L218="","",IF(VLOOKUP(L218,'G-3 Multipliers'!$L$3:$N$6,2,FALSE)=0,"Spatial Data Missing ⚠",VLOOKUP(L218,'G-3 Multipliers'!$L$3:$N$6,2,FALSE)))</f>
        <v/>
      </c>
      <c r="N218" s="499" t="str">
        <f>IF(L218="","",IF(VLOOKUP(L218,'G-3 Multipliers'!$L$3:$N$6,3,FALSE)=0,"Spatial Data Missing ⚠",VLOOKUP(L218,'G-3 Multipliers'!$L$3:$N$6,3,FALSE)))</f>
        <v/>
      </c>
      <c r="O218" s="498" t="str">
        <f t="shared" si="15"/>
        <v/>
      </c>
      <c r="P218" s="195"/>
      <c r="Q218" s="195"/>
      <c r="R218" s="520" t="str">
        <f t="shared" si="16"/>
        <v/>
      </c>
      <c r="S218" s="544" t="str">
        <f t="shared" si="17"/>
        <v/>
      </c>
      <c r="T218" s="525" t="str">
        <f>IFERROR(IF(S218="Check Data ⚠","Check Data ⚠",VLOOKUP(S218,'G-4 Temporal multipliers'!$A$4:$C$37,3,FALSE)),"")</f>
        <v/>
      </c>
      <c r="U218" s="523" t="str">
        <f>IF(F218="","",VLOOKUP(F218,'G-3 Multipliers'!$A$2:$E$129,2,FALSE))</f>
        <v/>
      </c>
      <c r="V218" s="520" t="str">
        <f t="shared" si="19"/>
        <v/>
      </c>
      <c r="W218" s="520" t="str">
        <f>IF(E218="","",IF(AND(V218="Standard difficulty applied",O218&gt;P218),U218,IF(AND(V218="Low Difficulty - only applicable if all habitat created before losses ⚠",P218&gt;=O218),"Low",VLOOKUP(F218,'G-3 Multipliers'!$A$2:$E$129,4,FALSE))))</f>
        <v/>
      </c>
      <c r="X218" s="524" t="str">
        <f>IFERROR(IF(E218="","",VLOOKUP(W218, 'G-3 Multipliers'!$P$2:$Q$6,2,FALSE)),"")</f>
        <v/>
      </c>
      <c r="Y218" s="197"/>
      <c r="Z218" s="499" t="str">
        <f>IF(Y218="","",IF(VLOOKUP(Y218,'G-3 Multipliers'!$S$3:$T$9,2,FALSE)=0,"Spatial Data Missing ⚠",VLOOKUP(Y218,'G-3 Multipliers'!$S$3:$T$9,2,FALSE)))</f>
        <v/>
      </c>
      <c r="AA218" s="545" t="str">
        <f t="shared" si="18"/>
        <v/>
      </c>
      <c r="AB218" s="149"/>
      <c r="AC218" s="150"/>
    </row>
    <row r="219" spans="1:29" ht="14" x14ac:dyDescent="0.3">
      <c r="A219" s="31" t="str">
        <f>IFERROR(INDEX('G-8 Condition Look up'!$I$4:$I$130,MATCH(F219,'G-8 Condition Look up'!$A$4:$A$130,0)),"")</f>
        <v/>
      </c>
      <c r="C219" s="244" t="str">
        <f>IFERROR(INDEX('G-1 All Habitats'!$AG$3:$AG$15,MATCH(D219,'G-1 All Habitats'!$AF$3:$AF$15,0)),"")</f>
        <v/>
      </c>
      <c r="D219" s="154"/>
      <c r="E219" s="203"/>
      <c r="F219" s="243" t="str">
        <f>IFERROR(INDEX('G-1 All Habitats'!$B$3:$B$129,MATCH(E219,'G-1 All Habitats'!$A$3:$A$129,0)),"")</f>
        <v/>
      </c>
      <c r="G219" s="386"/>
      <c r="H219" s="537" t="str">
        <f>IF(F219="","",VLOOKUP(F219,'G-1 All Habitats'!$B$2:$M$129,10,FALSE))</f>
        <v/>
      </c>
      <c r="I219" s="524" t="str">
        <f>IFERROR(VLOOKUP(H219,'G-1 All Habitats'!$V$3:$W$7,2,FALSE),"")</f>
        <v/>
      </c>
      <c r="J219" s="199"/>
      <c r="K219" s="524" t="str">
        <f>IFERROR(INDEX('G-8 Condition Look up'!$A$3:$H$130,MATCH(F219,'G-8 Condition Look up'!$A$3:$A$130,0),MATCH(J219,'G-8 Condition Look up'!$A$3:$H$3,0)),"")</f>
        <v/>
      </c>
      <c r="L219" s="145"/>
      <c r="M219" s="540" t="str">
        <f>IF(L219="","",IF(VLOOKUP(L219,'G-3 Multipliers'!$L$3:$N$6,2,FALSE)=0,"Spatial Data Missing ⚠",VLOOKUP(L219,'G-3 Multipliers'!$L$3:$N$6,2,FALSE)))</f>
        <v/>
      </c>
      <c r="N219" s="499" t="str">
        <f>IF(L219="","",IF(VLOOKUP(L219,'G-3 Multipliers'!$L$3:$N$6,3,FALSE)=0,"Spatial Data Missing ⚠",VLOOKUP(L219,'G-3 Multipliers'!$L$3:$N$6,3,FALSE)))</f>
        <v/>
      </c>
      <c r="O219" s="498" t="str">
        <f t="shared" si="15"/>
        <v/>
      </c>
      <c r="P219" s="195"/>
      <c r="Q219" s="195"/>
      <c r="R219" s="520" t="str">
        <f t="shared" si="16"/>
        <v/>
      </c>
      <c r="S219" s="544" t="str">
        <f t="shared" si="17"/>
        <v/>
      </c>
      <c r="T219" s="525" t="str">
        <f>IFERROR(IF(S219="Check Data ⚠","Check Data ⚠",VLOOKUP(S219,'G-4 Temporal multipliers'!$A$4:$C$37,3,FALSE)),"")</f>
        <v/>
      </c>
      <c r="U219" s="523" t="str">
        <f>IF(F219="","",VLOOKUP(F219,'G-3 Multipliers'!$A$2:$E$129,2,FALSE))</f>
        <v/>
      </c>
      <c r="V219" s="520" t="str">
        <f t="shared" si="19"/>
        <v/>
      </c>
      <c r="W219" s="520" t="str">
        <f>IF(E219="","",IF(AND(V219="Standard difficulty applied",O219&gt;P219),U219,IF(AND(V219="Low Difficulty - only applicable if all habitat created before losses ⚠",P219&gt;=O219),"Low",VLOOKUP(F219,'G-3 Multipliers'!$A$2:$E$129,4,FALSE))))</f>
        <v/>
      </c>
      <c r="X219" s="524" t="str">
        <f>IFERROR(IF(E219="","",VLOOKUP(W219, 'G-3 Multipliers'!$P$2:$Q$6,2,FALSE)),"")</f>
        <v/>
      </c>
      <c r="Y219" s="197"/>
      <c r="Z219" s="499" t="str">
        <f>IF(Y219="","",IF(VLOOKUP(Y219,'G-3 Multipliers'!$S$3:$T$9,2,FALSE)=0,"Spatial Data Missing ⚠",VLOOKUP(Y219,'G-3 Multipliers'!$S$3:$T$9,2,FALSE)))</f>
        <v/>
      </c>
      <c r="AA219" s="545" t="str">
        <f t="shared" si="18"/>
        <v/>
      </c>
      <c r="AB219" s="149"/>
      <c r="AC219" s="150"/>
    </row>
    <row r="220" spans="1:29" ht="14" x14ac:dyDescent="0.3">
      <c r="A220" s="31" t="str">
        <f>IFERROR(INDEX('G-8 Condition Look up'!$I$4:$I$130,MATCH(F220,'G-8 Condition Look up'!$A$4:$A$130,0)),"")</f>
        <v/>
      </c>
      <c r="C220" s="244" t="str">
        <f>IFERROR(INDEX('G-1 All Habitats'!$AG$3:$AG$15,MATCH(D220,'G-1 All Habitats'!$AF$3:$AF$15,0)),"")</f>
        <v/>
      </c>
      <c r="D220" s="154"/>
      <c r="E220" s="203"/>
      <c r="F220" s="243" t="str">
        <f>IFERROR(INDEX('G-1 All Habitats'!$B$3:$B$129,MATCH(E220,'G-1 All Habitats'!$A$3:$A$129,0)),"")</f>
        <v/>
      </c>
      <c r="G220" s="386"/>
      <c r="H220" s="537" t="str">
        <f>IF(F220="","",VLOOKUP(F220,'G-1 All Habitats'!$B$2:$M$129,10,FALSE))</f>
        <v/>
      </c>
      <c r="I220" s="524" t="str">
        <f>IFERROR(VLOOKUP(H220,'G-1 All Habitats'!$V$3:$W$7,2,FALSE),"")</f>
        <v/>
      </c>
      <c r="J220" s="199"/>
      <c r="K220" s="524" t="str">
        <f>IFERROR(INDEX('G-8 Condition Look up'!$A$3:$H$130,MATCH(F220,'G-8 Condition Look up'!$A$3:$A$130,0),MATCH(J220,'G-8 Condition Look up'!$A$3:$H$3,0)),"")</f>
        <v/>
      </c>
      <c r="L220" s="145"/>
      <c r="M220" s="540" t="str">
        <f>IF(L220="","",IF(VLOOKUP(L220,'G-3 Multipliers'!$L$3:$N$6,2,FALSE)=0,"Spatial Data Missing ⚠",VLOOKUP(L220,'G-3 Multipliers'!$L$3:$N$6,2,FALSE)))</f>
        <v/>
      </c>
      <c r="N220" s="499" t="str">
        <f>IF(L220="","",IF(VLOOKUP(L220,'G-3 Multipliers'!$L$3:$N$6,3,FALSE)=0,"Spatial Data Missing ⚠",VLOOKUP(L220,'G-3 Multipliers'!$L$3:$N$6,3,FALSE)))</f>
        <v/>
      </c>
      <c r="O220" s="498" t="str">
        <f t="shared" si="15"/>
        <v/>
      </c>
      <c r="P220" s="195"/>
      <c r="Q220" s="195"/>
      <c r="R220" s="520" t="str">
        <f t="shared" si="16"/>
        <v/>
      </c>
      <c r="S220" s="544" t="str">
        <f t="shared" si="17"/>
        <v/>
      </c>
      <c r="T220" s="525" t="str">
        <f>IFERROR(IF(S220="Check Data ⚠","Check Data ⚠",VLOOKUP(S220,'G-4 Temporal multipliers'!$A$4:$C$37,3,FALSE)),"")</f>
        <v/>
      </c>
      <c r="U220" s="523" t="str">
        <f>IF(F220="","",VLOOKUP(F220,'G-3 Multipliers'!$A$2:$E$129,2,FALSE))</f>
        <v/>
      </c>
      <c r="V220" s="520" t="str">
        <f t="shared" si="19"/>
        <v/>
      </c>
      <c r="W220" s="520" t="str">
        <f>IF(E220="","",IF(AND(V220="Standard difficulty applied",O220&gt;P220),U220,IF(AND(V220="Low Difficulty - only applicable if all habitat created before losses ⚠",P220&gt;=O220),"Low",VLOOKUP(F220,'G-3 Multipliers'!$A$2:$E$129,4,FALSE))))</f>
        <v/>
      </c>
      <c r="X220" s="524" t="str">
        <f>IFERROR(IF(E220="","",VLOOKUP(W220, 'G-3 Multipliers'!$P$2:$Q$6,2,FALSE)),"")</f>
        <v/>
      </c>
      <c r="Y220" s="197"/>
      <c r="Z220" s="499" t="str">
        <f>IF(Y220="","",IF(VLOOKUP(Y220,'G-3 Multipliers'!$S$3:$T$9,2,FALSE)=0,"Spatial Data Missing ⚠",VLOOKUP(Y220,'G-3 Multipliers'!$S$3:$T$9,2,FALSE)))</f>
        <v/>
      </c>
      <c r="AA220" s="545" t="str">
        <f t="shared" si="18"/>
        <v/>
      </c>
      <c r="AB220" s="149"/>
      <c r="AC220" s="150"/>
    </row>
    <row r="221" spans="1:29" ht="14" x14ac:dyDescent="0.3">
      <c r="A221" s="31" t="str">
        <f>IFERROR(INDEX('G-8 Condition Look up'!$I$4:$I$130,MATCH(F221,'G-8 Condition Look up'!$A$4:$A$130,0)),"")</f>
        <v/>
      </c>
      <c r="C221" s="244" t="str">
        <f>IFERROR(INDEX('G-1 All Habitats'!$AG$3:$AG$15,MATCH(D221,'G-1 All Habitats'!$AF$3:$AF$15,0)),"")</f>
        <v/>
      </c>
      <c r="D221" s="154"/>
      <c r="E221" s="203"/>
      <c r="F221" s="243" t="str">
        <f>IFERROR(INDEX('G-1 All Habitats'!$B$3:$B$129,MATCH(E221,'G-1 All Habitats'!$A$3:$A$129,0)),"")</f>
        <v/>
      </c>
      <c r="G221" s="386"/>
      <c r="H221" s="537" t="str">
        <f>IF(F221="","",VLOOKUP(F221,'G-1 All Habitats'!$B$2:$M$129,10,FALSE))</f>
        <v/>
      </c>
      <c r="I221" s="524" t="str">
        <f>IFERROR(VLOOKUP(H221,'G-1 All Habitats'!$V$3:$W$7,2,FALSE),"")</f>
        <v/>
      </c>
      <c r="J221" s="199"/>
      <c r="K221" s="524" t="str">
        <f>IFERROR(INDEX('G-8 Condition Look up'!$A$3:$H$130,MATCH(F221,'G-8 Condition Look up'!$A$3:$A$130,0),MATCH(J221,'G-8 Condition Look up'!$A$3:$H$3,0)),"")</f>
        <v/>
      </c>
      <c r="L221" s="145"/>
      <c r="M221" s="540" t="str">
        <f>IF(L221="","",IF(VLOOKUP(L221,'G-3 Multipliers'!$L$3:$N$6,2,FALSE)=0,"Spatial Data Missing ⚠",VLOOKUP(L221,'G-3 Multipliers'!$L$3:$N$6,2,FALSE)))</f>
        <v/>
      </c>
      <c r="N221" s="499" t="str">
        <f>IF(L221="","",IF(VLOOKUP(L221,'G-3 Multipliers'!$L$3:$N$6,3,FALSE)=0,"Spatial Data Missing ⚠",VLOOKUP(L221,'G-3 Multipliers'!$L$3:$N$6,3,FALSE)))</f>
        <v/>
      </c>
      <c r="O221" s="498" t="str">
        <f t="shared" si="15"/>
        <v/>
      </c>
      <c r="P221" s="195"/>
      <c r="Q221" s="195"/>
      <c r="R221" s="520" t="str">
        <f t="shared" si="16"/>
        <v/>
      </c>
      <c r="S221" s="544" t="str">
        <f t="shared" si="17"/>
        <v/>
      </c>
      <c r="T221" s="525" t="str">
        <f>IFERROR(IF(S221="Check Data ⚠","Check Data ⚠",VLOOKUP(S221,'G-4 Temporal multipliers'!$A$4:$C$37,3,FALSE)),"")</f>
        <v/>
      </c>
      <c r="U221" s="523" t="str">
        <f>IF(F221="","",VLOOKUP(F221,'G-3 Multipliers'!$A$2:$E$129,2,FALSE))</f>
        <v/>
      </c>
      <c r="V221" s="520" t="str">
        <f t="shared" si="19"/>
        <v/>
      </c>
      <c r="W221" s="520" t="str">
        <f>IF(E221="","",IF(AND(V221="Standard difficulty applied",O221&gt;P221),U221,IF(AND(V221="Low Difficulty - only applicable if all habitat created before losses ⚠",P221&gt;=O221),"Low",VLOOKUP(F221,'G-3 Multipliers'!$A$2:$E$129,4,FALSE))))</f>
        <v/>
      </c>
      <c r="X221" s="524" t="str">
        <f>IFERROR(IF(E221="","",VLOOKUP(W221, 'G-3 Multipliers'!$P$2:$Q$6,2,FALSE)),"")</f>
        <v/>
      </c>
      <c r="Y221" s="197"/>
      <c r="Z221" s="499" t="str">
        <f>IF(Y221="","",IF(VLOOKUP(Y221,'G-3 Multipliers'!$S$3:$T$9,2,FALSE)=0,"Spatial Data Missing ⚠",VLOOKUP(Y221,'G-3 Multipliers'!$S$3:$T$9,2,FALSE)))</f>
        <v/>
      </c>
      <c r="AA221" s="545" t="str">
        <f t="shared" si="18"/>
        <v/>
      </c>
      <c r="AB221" s="149"/>
      <c r="AC221" s="150"/>
    </row>
    <row r="222" spans="1:29" ht="14" x14ac:dyDescent="0.3">
      <c r="A222" s="31" t="str">
        <f>IFERROR(INDEX('G-8 Condition Look up'!$I$4:$I$130,MATCH(F222,'G-8 Condition Look up'!$A$4:$A$130,0)),"")</f>
        <v/>
      </c>
      <c r="C222" s="244" t="str">
        <f>IFERROR(INDEX('G-1 All Habitats'!$AG$3:$AG$15,MATCH(D222,'G-1 All Habitats'!$AF$3:$AF$15,0)),"")</f>
        <v/>
      </c>
      <c r="D222" s="154"/>
      <c r="E222" s="203"/>
      <c r="F222" s="243" t="str">
        <f>IFERROR(INDEX('G-1 All Habitats'!$B$3:$B$129,MATCH(E222,'G-1 All Habitats'!$A$3:$A$129,0)),"")</f>
        <v/>
      </c>
      <c r="G222" s="386"/>
      <c r="H222" s="537" t="str">
        <f>IF(F222="","",VLOOKUP(F222,'G-1 All Habitats'!$B$2:$M$129,10,FALSE))</f>
        <v/>
      </c>
      <c r="I222" s="524" t="str">
        <f>IFERROR(VLOOKUP(H222,'G-1 All Habitats'!$V$3:$W$7,2,FALSE),"")</f>
        <v/>
      </c>
      <c r="J222" s="199"/>
      <c r="K222" s="524" t="str">
        <f>IFERROR(INDEX('G-8 Condition Look up'!$A$3:$H$130,MATCH(F222,'G-8 Condition Look up'!$A$3:$A$130,0),MATCH(J222,'G-8 Condition Look up'!$A$3:$H$3,0)),"")</f>
        <v/>
      </c>
      <c r="L222" s="145"/>
      <c r="M222" s="540" t="str">
        <f>IF(L222="","",IF(VLOOKUP(L222,'G-3 Multipliers'!$L$3:$N$6,2,FALSE)=0,"Spatial Data Missing ⚠",VLOOKUP(L222,'G-3 Multipliers'!$L$3:$N$6,2,FALSE)))</f>
        <v/>
      </c>
      <c r="N222" s="499" t="str">
        <f>IF(L222="","",IF(VLOOKUP(L222,'G-3 Multipliers'!$L$3:$N$6,3,FALSE)=0,"Spatial Data Missing ⚠",VLOOKUP(L222,'G-3 Multipliers'!$L$3:$N$6,3,FALSE)))</f>
        <v/>
      </c>
      <c r="O222" s="498" t="str">
        <f t="shared" si="15"/>
        <v/>
      </c>
      <c r="P222" s="195"/>
      <c r="Q222" s="195"/>
      <c r="R222" s="520" t="str">
        <f t="shared" si="16"/>
        <v/>
      </c>
      <c r="S222" s="544" t="str">
        <f t="shared" si="17"/>
        <v/>
      </c>
      <c r="T222" s="525" t="str">
        <f>IFERROR(IF(S222="Check Data ⚠","Check Data ⚠",VLOOKUP(S222,'G-4 Temporal multipliers'!$A$4:$C$37,3,FALSE)),"")</f>
        <v/>
      </c>
      <c r="U222" s="523" t="str">
        <f>IF(F222="","",VLOOKUP(F222,'G-3 Multipliers'!$A$2:$E$129,2,FALSE))</f>
        <v/>
      </c>
      <c r="V222" s="520" t="str">
        <f t="shared" si="19"/>
        <v/>
      </c>
      <c r="W222" s="520" t="str">
        <f>IF(E222="","",IF(AND(V222="Standard difficulty applied",O222&gt;P222),U222,IF(AND(V222="Low Difficulty - only applicable if all habitat created before losses ⚠",P222&gt;=O222),"Low",VLOOKUP(F222,'G-3 Multipliers'!$A$2:$E$129,4,FALSE))))</f>
        <v/>
      </c>
      <c r="X222" s="524" t="str">
        <f>IFERROR(IF(E222="","",VLOOKUP(W222, 'G-3 Multipliers'!$P$2:$Q$6,2,FALSE)),"")</f>
        <v/>
      </c>
      <c r="Y222" s="197"/>
      <c r="Z222" s="499" t="str">
        <f>IF(Y222="","",IF(VLOOKUP(Y222,'G-3 Multipliers'!$S$3:$T$9,2,FALSE)=0,"Spatial Data Missing ⚠",VLOOKUP(Y222,'G-3 Multipliers'!$S$3:$T$9,2,FALSE)))</f>
        <v/>
      </c>
      <c r="AA222" s="545" t="str">
        <f t="shared" si="18"/>
        <v/>
      </c>
      <c r="AB222" s="149"/>
      <c r="AC222" s="150"/>
    </row>
    <row r="223" spans="1:29" ht="14" x14ac:dyDescent="0.3">
      <c r="A223" s="31" t="str">
        <f>IFERROR(INDEX('G-8 Condition Look up'!$I$4:$I$130,MATCH(F223,'G-8 Condition Look up'!$A$4:$A$130,0)),"")</f>
        <v/>
      </c>
      <c r="C223" s="244" t="str">
        <f>IFERROR(INDEX('G-1 All Habitats'!$AG$3:$AG$15,MATCH(D223,'G-1 All Habitats'!$AF$3:$AF$15,0)),"")</f>
        <v/>
      </c>
      <c r="D223" s="154"/>
      <c r="E223" s="203"/>
      <c r="F223" s="243" t="str">
        <f>IFERROR(INDEX('G-1 All Habitats'!$B$3:$B$129,MATCH(E223,'G-1 All Habitats'!$A$3:$A$129,0)),"")</f>
        <v/>
      </c>
      <c r="G223" s="386"/>
      <c r="H223" s="537" t="str">
        <f>IF(F223="","",VLOOKUP(F223,'G-1 All Habitats'!$B$2:$M$129,10,FALSE))</f>
        <v/>
      </c>
      <c r="I223" s="524" t="str">
        <f>IFERROR(VLOOKUP(H223,'G-1 All Habitats'!$V$3:$W$7,2,FALSE),"")</f>
        <v/>
      </c>
      <c r="J223" s="199"/>
      <c r="K223" s="524" t="str">
        <f>IFERROR(INDEX('G-8 Condition Look up'!$A$3:$H$130,MATCH(F223,'G-8 Condition Look up'!$A$3:$A$130,0),MATCH(J223,'G-8 Condition Look up'!$A$3:$H$3,0)),"")</f>
        <v/>
      </c>
      <c r="L223" s="145"/>
      <c r="M223" s="540" t="str">
        <f>IF(L223="","",IF(VLOOKUP(L223,'G-3 Multipliers'!$L$3:$N$6,2,FALSE)=0,"Spatial Data Missing ⚠",VLOOKUP(L223,'G-3 Multipliers'!$L$3:$N$6,2,FALSE)))</f>
        <v/>
      </c>
      <c r="N223" s="499" t="str">
        <f>IF(L223="","",IF(VLOOKUP(L223,'G-3 Multipliers'!$L$3:$N$6,3,FALSE)=0,"Spatial Data Missing ⚠",VLOOKUP(L223,'G-3 Multipliers'!$L$3:$N$6,3,FALSE)))</f>
        <v/>
      </c>
      <c r="O223" s="498" t="str">
        <f t="shared" si="15"/>
        <v/>
      </c>
      <c r="P223" s="195"/>
      <c r="Q223" s="195"/>
      <c r="R223" s="520" t="str">
        <f t="shared" si="16"/>
        <v/>
      </c>
      <c r="S223" s="544" t="str">
        <f t="shared" si="17"/>
        <v/>
      </c>
      <c r="T223" s="525" t="str">
        <f>IFERROR(IF(S223="Check Data ⚠","Check Data ⚠",VLOOKUP(S223,'G-4 Temporal multipliers'!$A$4:$C$37,3,FALSE)),"")</f>
        <v/>
      </c>
      <c r="U223" s="523" t="str">
        <f>IF(F223="","",VLOOKUP(F223,'G-3 Multipliers'!$A$2:$E$129,2,FALSE))</f>
        <v/>
      </c>
      <c r="V223" s="520" t="str">
        <f t="shared" si="19"/>
        <v/>
      </c>
      <c r="W223" s="520" t="str">
        <f>IF(E223="","",IF(AND(V223="Standard difficulty applied",O223&gt;P223),U223,IF(AND(V223="Low Difficulty - only applicable if all habitat created before losses ⚠",P223&gt;=O223),"Low",VLOOKUP(F223,'G-3 Multipliers'!$A$2:$E$129,4,FALSE))))</f>
        <v/>
      </c>
      <c r="X223" s="524" t="str">
        <f>IFERROR(IF(E223="","",VLOOKUP(W223, 'G-3 Multipliers'!$P$2:$Q$6,2,FALSE)),"")</f>
        <v/>
      </c>
      <c r="Y223" s="197"/>
      <c r="Z223" s="499" t="str">
        <f>IF(Y223="","",IF(VLOOKUP(Y223,'G-3 Multipliers'!$S$3:$T$9,2,FALSE)=0,"Spatial Data Missing ⚠",VLOOKUP(Y223,'G-3 Multipliers'!$S$3:$T$9,2,FALSE)))</f>
        <v/>
      </c>
      <c r="AA223" s="545" t="str">
        <f t="shared" si="18"/>
        <v/>
      </c>
      <c r="AB223" s="149"/>
      <c r="AC223" s="150"/>
    </row>
    <row r="224" spans="1:29" ht="14" x14ac:dyDescent="0.3">
      <c r="A224" s="31" t="str">
        <f>IFERROR(INDEX('G-8 Condition Look up'!$I$4:$I$130,MATCH(F224,'G-8 Condition Look up'!$A$4:$A$130,0)),"")</f>
        <v/>
      </c>
      <c r="C224" s="244" t="str">
        <f>IFERROR(INDEX('G-1 All Habitats'!$AG$3:$AG$15,MATCH(D224,'G-1 All Habitats'!$AF$3:$AF$15,0)),"")</f>
        <v/>
      </c>
      <c r="D224" s="154"/>
      <c r="E224" s="203"/>
      <c r="F224" s="243" t="str">
        <f>IFERROR(INDEX('G-1 All Habitats'!$B$3:$B$129,MATCH(E224,'G-1 All Habitats'!$A$3:$A$129,0)),"")</f>
        <v/>
      </c>
      <c r="G224" s="386"/>
      <c r="H224" s="537" t="str">
        <f>IF(F224="","",VLOOKUP(F224,'G-1 All Habitats'!$B$2:$M$129,10,FALSE))</f>
        <v/>
      </c>
      <c r="I224" s="524" t="str">
        <f>IFERROR(VLOOKUP(H224,'G-1 All Habitats'!$V$3:$W$7,2,FALSE),"")</f>
        <v/>
      </c>
      <c r="J224" s="199"/>
      <c r="K224" s="524" t="str">
        <f>IFERROR(INDEX('G-8 Condition Look up'!$A$3:$H$130,MATCH(F224,'G-8 Condition Look up'!$A$3:$A$130,0),MATCH(J224,'G-8 Condition Look up'!$A$3:$H$3,0)),"")</f>
        <v/>
      </c>
      <c r="L224" s="145"/>
      <c r="M224" s="540" t="str">
        <f>IF(L224="","",IF(VLOOKUP(L224,'G-3 Multipliers'!$L$3:$N$6,2,FALSE)=0,"Spatial Data Missing ⚠",VLOOKUP(L224,'G-3 Multipliers'!$L$3:$N$6,2,FALSE)))</f>
        <v/>
      </c>
      <c r="N224" s="499" t="str">
        <f>IF(L224="","",IF(VLOOKUP(L224,'G-3 Multipliers'!$L$3:$N$6,3,FALSE)=0,"Spatial Data Missing ⚠",VLOOKUP(L224,'G-3 Multipliers'!$L$3:$N$6,3,FALSE)))</f>
        <v/>
      </c>
      <c r="O224" s="498" t="str">
        <f t="shared" si="15"/>
        <v/>
      </c>
      <c r="P224" s="195"/>
      <c r="Q224" s="195"/>
      <c r="R224" s="520" t="str">
        <f t="shared" si="16"/>
        <v/>
      </c>
      <c r="S224" s="544" t="str">
        <f t="shared" si="17"/>
        <v/>
      </c>
      <c r="T224" s="525" t="str">
        <f>IFERROR(IF(S224="Check Data ⚠","Check Data ⚠",VLOOKUP(S224,'G-4 Temporal multipliers'!$A$4:$C$37,3,FALSE)),"")</f>
        <v/>
      </c>
      <c r="U224" s="523" t="str">
        <f>IF(F224="","",VLOOKUP(F224,'G-3 Multipliers'!$A$2:$E$129,2,FALSE))</f>
        <v/>
      </c>
      <c r="V224" s="520" t="str">
        <f t="shared" si="19"/>
        <v/>
      </c>
      <c r="W224" s="520" t="str">
        <f>IF(E224="","",IF(AND(V224="Standard difficulty applied",O224&gt;P224),U224,IF(AND(V224="Low Difficulty - only applicable if all habitat created before losses ⚠",P224&gt;=O224),"Low",VLOOKUP(F224,'G-3 Multipliers'!$A$2:$E$129,4,FALSE))))</f>
        <v/>
      </c>
      <c r="X224" s="524" t="str">
        <f>IFERROR(IF(E224="","",VLOOKUP(W224, 'G-3 Multipliers'!$P$2:$Q$6,2,FALSE)),"")</f>
        <v/>
      </c>
      <c r="Y224" s="197"/>
      <c r="Z224" s="499" t="str">
        <f>IF(Y224="","",IF(VLOOKUP(Y224,'G-3 Multipliers'!$S$3:$T$9,2,FALSE)=0,"Spatial Data Missing ⚠",VLOOKUP(Y224,'G-3 Multipliers'!$S$3:$T$9,2,FALSE)))</f>
        <v/>
      </c>
      <c r="AA224" s="545" t="str">
        <f t="shared" si="18"/>
        <v/>
      </c>
      <c r="AB224" s="149"/>
      <c r="AC224" s="150"/>
    </row>
    <row r="225" spans="1:29" ht="14" x14ac:dyDescent="0.3">
      <c r="A225" s="31" t="str">
        <f>IFERROR(INDEX('G-8 Condition Look up'!$I$4:$I$130,MATCH(F225,'G-8 Condition Look up'!$A$4:$A$130,0)),"")</f>
        <v/>
      </c>
      <c r="C225" s="244" t="str">
        <f>IFERROR(INDEX('G-1 All Habitats'!$AG$3:$AG$15,MATCH(D225,'G-1 All Habitats'!$AF$3:$AF$15,0)),"")</f>
        <v/>
      </c>
      <c r="D225" s="154"/>
      <c r="E225" s="203"/>
      <c r="F225" s="243" t="str">
        <f>IFERROR(INDEX('G-1 All Habitats'!$B$3:$B$129,MATCH(E225,'G-1 All Habitats'!$A$3:$A$129,0)),"")</f>
        <v/>
      </c>
      <c r="G225" s="386"/>
      <c r="H225" s="537" t="str">
        <f>IF(F225="","",VLOOKUP(F225,'G-1 All Habitats'!$B$2:$M$129,10,FALSE))</f>
        <v/>
      </c>
      <c r="I225" s="524" t="str">
        <f>IFERROR(VLOOKUP(H225,'G-1 All Habitats'!$V$3:$W$7,2,FALSE),"")</f>
        <v/>
      </c>
      <c r="J225" s="199"/>
      <c r="K225" s="524" t="str">
        <f>IFERROR(INDEX('G-8 Condition Look up'!$A$3:$H$130,MATCH(F225,'G-8 Condition Look up'!$A$3:$A$130,0),MATCH(J225,'G-8 Condition Look up'!$A$3:$H$3,0)),"")</f>
        <v/>
      </c>
      <c r="L225" s="145"/>
      <c r="M225" s="540" t="str">
        <f>IF(L225="","",IF(VLOOKUP(L225,'G-3 Multipliers'!$L$3:$N$6,2,FALSE)=0,"Spatial Data Missing ⚠",VLOOKUP(L225,'G-3 Multipliers'!$L$3:$N$6,2,FALSE)))</f>
        <v/>
      </c>
      <c r="N225" s="499" t="str">
        <f>IF(L225="","",IF(VLOOKUP(L225,'G-3 Multipliers'!$L$3:$N$6,3,FALSE)=0,"Spatial Data Missing ⚠",VLOOKUP(L225,'G-3 Multipliers'!$L$3:$N$6,3,FALSE)))</f>
        <v/>
      </c>
      <c r="O225" s="498" t="str">
        <f t="shared" si="15"/>
        <v/>
      </c>
      <c r="P225" s="195"/>
      <c r="Q225" s="195"/>
      <c r="R225" s="520" t="str">
        <f t="shared" si="16"/>
        <v/>
      </c>
      <c r="S225" s="544" t="str">
        <f t="shared" si="17"/>
        <v/>
      </c>
      <c r="T225" s="525" t="str">
        <f>IFERROR(IF(S225="Check Data ⚠","Check Data ⚠",VLOOKUP(S225,'G-4 Temporal multipliers'!$A$4:$C$37,3,FALSE)),"")</f>
        <v/>
      </c>
      <c r="U225" s="523" t="str">
        <f>IF(F225="","",VLOOKUP(F225,'G-3 Multipliers'!$A$2:$E$129,2,FALSE))</f>
        <v/>
      </c>
      <c r="V225" s="520" t="str">
        <f t="shared" si="19"/>
        <v/>
      </c>
      <c r="W225" s="520" t="str">
        <f>IF(E225="","",IF(AND(V225="Standard difficulty applied",O225&gt;P225),U225,IF(AND(V225="Low Difficulty - only applicable if all habitat created before losses ⚠",P225&gt;=O225),"Low",VLOOKUP(F225,'G-3 Multipliers'!$A$2:$E$129,4,FALSE))))</f>
        <v/>
      </c>
      <c r="X225" s="524" t="str">
        <f>IFERROR(IF(E225="","",VLOOKUP(W225, 'G-3 Multipliers'!$P$2:$Q$6,2,FALSE)),"")</f>
        <v/>
      </c>
      <c r="Y225" s="197"/>
      <c r="Z225" s="499" t="str">
        <f>IF(Y225="","",IF(VLOOKUP(Y225,'G-3 Multipliers'!$S$3:$T$9,2,FALSE)=0,"Spatial Data Missing ⚠",VLOOKUP(Y225,'G-3 Multipliers'!$S$3:$T$9,2,FALSE)))</f>
        <v/>
      </c>
      <c r="AA225" s="545" t="str">
        <f t="shared" si="18"/>
        <v/>
      </c>
      <c r="AB225" s="149"/>
      <c r="AC225" s="150"/>
    </row>
    <row r="226" spans="1:29" ht="14" x14ac:dyDescent="0.3">
      <c r="A226" s="31" t="str">
        <f>IFERROR(INDEX('G-8 Condition Look up'!$I$4:$I$130,MATCH(F226,'G-8 Condition Look up'!$A$4:$A$130,0)),"")</f>
        <v/>
      </c>
      <c r="C226" s="244" t="str">
        <f>IFERROR(INDEX('G-1 All Habitats'!$AG$3:$AG$15,MATCH(D226,'G-1 All Habitats'!$AF$3:$AF$15,0)),"")</f>
        <v/>
      </c>
      <c r="D226" s="154"/>
      <c r="E226" s="203"/>
      <c r="F226" s="243" t="str">
        <f>IFERROR(INDEX('G-1 All Habitats'!$B$3:$B$129,MATCH(E226,'G-1 All Habitats'!$A$3:$A$129,0)),"")</f>
        <v/>
      </c>
      <c r="G226" s="386"/>
      <c r="H226" s="537" t="str">
        <f>IF(F226="","",VLOOKUP(F226,'G-1 All Habitats'!$B$2:$M$129,10,FALSE))</f>
        <v/>
      </c>
      <c r="I226" s="524" t="str">
        <f>IFERROR(VLOOKUP(H226,'G-1 All Habitats'!$V$3:$W$7,2,FALSE),"")</f>
        <v/>
      </c>
      <c r="J226" s="199"/>
      <c r="K226" s="524" t="str">
        <f>IFERROR(INDEX('G-8 Condition Look up'!$A$3:$H$130,MATCH(F226,'G-8 Condition Look up'!$A$3:$A$130,0),MATCH(J226,'G-8 Condition Look up'!$A$3:$H$3,0)),"")</f>
        <v/>
      </c>
      <c r="L226" s="145"/>
      <c r="M226" s="540" t="str">
        <f>IF(L226="","",IF(VLOOKUP(L226,'G-3 Multipliers'!$L$3:$N$6,2,FALSE)=0,"Spatial Data Missing ⚠",VLOOKUP(L226,'G-3 Multipliers'!$L$3:$N$6,2,FALSE)))</f>
        <v/>
      </c>
      <c r="N226" s="499" t="str">
        <f>IF(L226="","",IF(VLOOKUP(L226,'G-3 Multipliers'!$L$3:$N$6,3,FALSE)=0,"Spatial Data Missing ⚠",VLOOKUP(L226,'G-3 Multipliers'!$L$3:$N$6,3,FALSE)))</f>
        <v/>
      </c>
      <c r="O226" s="498" t="str">
        <f t="shared" si="15"/>
        <v/>
      </c>
      <c r="P226" s="195"/>
      <c r="Q226" s="195"/>
      <c r="R226" s="520" t="str">
        <f t="shared" si="16"/>
        <v/>
      </c>
      <c r="S226" s="544" t="str">
        <f t="shared" si="17"/>
        <v/>
      </c>
      <c r="T226" s="525" t="str">
        <f>IFERROR(IF(S226="Check Data ⚠","Check Data ⚠",VLOOKUP(S226,'G-4 Temporal multipliers'!$A$4:$C$37,3,FALSE)),"")</f>
        <v/>
      </c>
      <c r="U226" s="523" t="str">
        <f>IF(F226="","",VLOOKUP(F226,'G-3 Multipliers'!$A$2:$E$129,2,FALSE))</f>
        <v/>
      </c>
      <c r="V226" s="520" t="str">
        <f t="shared" si="19"/>
        <v/>
      </c>
      <c r="W226" s="520" t="str">
        <f>IF(E226="","",IF(AND(V226="Standard difficulty applied",O226&gt;P226),U226,IF(AND(V226="Low Difficulty - only applicable if all habitat created before losses ⚠",P226&gt;=O226),"Low",VLOOKUP(F226,'G-3 Multipliers'!$A$2:$E$129,4,FALSE))))</f>
        <v/>
      </c>
      <c r="X226" s="524" t="str">
        <f>IFERROR(IF(E226="","",VLOOKUP(W226, 'G-3 Multipliers'!$P$2:$Q$6,2,FALSE)),"")</f>
        <v/>
      </c>
      <c r="Y226" s="197"/>
      <c r="Z226" s="499" t="str">
        <f>IF(Y226="","",IF(VLOOKUP(Y226,'G-3 Multipliers'!$S$3:$T$9,2,FALSE)=0,"Spatial Data Missing ⚠",VLOOKUP(Y226,'G-3 Multipliers'!$S$3:$T$9,2,FALSE)))</f>
        <v/>
      </c>
      <c r="AA226" s="545" t="str">
        <f t="shared" si="18"/>
        <v/>
      </c>
      <c r="AB226" s="149"/>
      <c r="AC226" s="150"/>
    </row>
    <row r="227" spans="1:29" ht="14" x14ac:dyDescent="0.3">
      <c r="A227" s="31" t="str">
        <f>IFERROR(INDEX('G-8 Condition Look up'!$I$4:$I$130,MATCH(F227,'G-8 Condition Look up'!$A$4:$A$130,0)),"")</f>
        <v/>
      </c>
      <c r="C227" s="244" t="str">
        <f>IFERROR(INDEX('G-1 All Habitats'!$AG$3:$AG$15,MATCH(D227,'G-1 All Habitats'!$AF$3:$AF$15,0)),"")</f>
        <v/>
      </c>
      <c r="D227" s="154"/>
      <c r="E227" s="203"/>
      <c r="F227" s="243" t="str">
        <f>IFERROR(INDEX('G-1 All Habitats'!$B$3:$B$129,MATCH(E227,'G-1 All Habitats'!$A$3:$A$129,0)),"")</f>
        <v/>
      </c>
      <c r="G227" s="386"/>
      <c r="H227" s="537" t="str">
        <f>IF(F227="","",VLOOKUP(F227,'G-1 All Habitats'!$B$2:$M$129,10,FALSE))</f>
        <v/>
      </c>
      <c r="I227" s="524" t="str">
        <f>IFERROR(VLOOKUP(H227,'G-1 All Habitats'!$V$3:$W$7,2,FALSE),"")</f>
        <v/>
      </c>
      <c r="J227" s="199"/>
      <c r="K227" s="524" t="str">
        <f>IFERROR(INDEX('G-8 Condition Look up'!$A$3:$H$130,MATCH(F227,'G-8 Condition Look up'!$A$3:$A$130,0),MATCH(J227,'G-8 Condition Look up'!$A$3:$H$3,0)),"")</f>
        <v/>
      </c>
      <c r="L227" s="145"/>
      <c r="M227" s="540" t="str">
        <f>IF(L227="","",IF(VLOOKUP(L227,'G-3 Multipliers'!$L$3:$N$6,2,FALSE)=0,"Spatial Data Missing ⚠",VLOOKUP(L227,'G-3 Multipliers'!$L$3:$N$6,2,FALSE)))</f>
        <v/>
      </c>
      <c r="N227" s="499" t="str">
        <f>IF(L227="","",IF(VLOOKUP(L227,'G-3 Multipliers'!$L$3:$N$6,3,FALSE)=0,"Spatial Data Missing ⚠",VLOOKUP(L227,'G-3 Multipliers'!$L$3:$N$6,3,FALSE)))</f>
        <v/>
      </c>
      <c r="O227" s="498" t="str">
        <f t="shared" si="15"/>
        <v/>
      </c>
      <c r="P227" s="195"/>
      <c r="Q227" s="195"/>
      <c r="R227" s="520" t="str">
        <f t="shared" si="16"/>
        <v/>
      </c>
      <c r="S227" s="544" t="str">
        <f t="shared" si="17"/>
        <v/>
      </c>
      <c r="T227" s="525" t="str">
        <f>IFERROR(IF(S227="Check Data ⚠","Check Data ⚠",VLOOKUP(S227,'G-4 Temporal multipliers'!$A$4:$C$37,3,FALSE)),"")</f>
        <v/>
      </c>
      <c r="U227" s="523" t="str">
        <f>IF(F227="","",VLOOKUP(F227,'G-3 Multipliers'!$A$2:$E$129,2,FALSE))</f>
        <v/>
      </c>
      <c r="V227" s="520" t="str">
        <f t="shared" si="19"/>
        <v/>
      </c>
      <c r="W227" s="520" t="str">
        <f>IF(E227="","",IF(AND(V227="Standard difficulty applied",O227&gt;P227),U227,IF(AND(V227="Low Difficulty - only applicable if all habitat created before losses ⚠",P227&gt;=O227),"Low",VLOOKUP(F227,'G-3 Multipliers'!$A$2:$E$129,4,FALSE))))</f>
        <v/>
      </c>
      <c r="X227" s="524" t="str">
        <f>IFERROR(IF(E227="","",VLOOKUP(W227, 'G-3 Multipliers'!$P$2:$Q$6,2,FALSE)),"")</f>
        <v/>
      </c>
      <c r="Y227" s="197"/>
      <c r="Z227" s="499" t="str">
        <f>IF(Y227="","",IF(VLOOKUP(Y227,'G-3 Multipliers'!$S$3:$T$9,2,FALSE)=0,"Spatial Data Missing ⚠",VLOOKUP(Y227,'G-3 Multipliers'!$S$3:$T$9,2,FALSE)))</f>
        <v/>
      </c>
      <c r="AA227" s="545" t="str">
        <f t="shared" si="18"/>
        <v/>
      </c>
      <c r="AB227" s="149"/>
      <c r="AC227" s="150"/>
    </row>
    <row r="228" spans="1:29" ht="14" x14ac:dyDescent="0.3">
      <c r="A228" s="31" t="str">
        <f>IFERROR(INDEX('G-8 Condition Look up'!$I$4:$I$130,MATCH(F228,'G-8 Condition Look up'!$A$4:$A$130,0)),"")</f>
        <v/>
      </c>
      <c r="C228" s="244" t="str">
        <f>IFERROR(INDEX('G-1 All Habitats'!$AG$3:$AG$15,MATCH(D228,'G-1 All Habitats'!$AF$3:$AF$15,0)),"")</f>
        <v/>
      </c>
      <c r="D228" s="154"/>
      <c r="E228" s="203"/>
      <c r="F228" s="243" t="str">
        <f>IFERROR(INDEX('G-1 All Habitats'!$B$3:$B$129,MATCH(E228,'G-1 All Habitats'!$A$3:$A$129,0)),"")</f>
        <v/>
      </c>
      <c r="G228" s="386"/>
      <c r="H228" s="537" t="str">
        <f>IF(F228="","",VLOOKUP(F228,'G-1 All Habitats'!$B$2:$M$129,10,FALSE))</f>
        <v/>
      </c>
      <c r="I228" s="524" t="str">
        <f>IFERROR(VLOOKUP(H228,'G-1 All Habitats'!$V$3:$W$7,2,FALSE),"")</f>
        <v/>
      </c>
      <c r="J228" s="199"/>
      <c r="K228" s="524" t="str">
        <f>IFERROR(INDEX('G-8 Condition Look up'!$A$3:$H$130,MATCH(F228,'G-8 Condition Look up'!$A$3:$A$130,0),MATCH(J228,'G-8 Condition Look up'!$A$3:$H$3,0)),"")</f>
        <v/>
      </c>
      <c r="L228" s="145"/>
      <c r="M228" s="540" t="str">
        <f>IF(L228="","",IF(VLOOKUP(L228,'G-3 Multipliers'!$L$3:$N$6,2,FALSE)=0,"Spatial Data Missing ⚠",VLOOKUP(L228,'G-3 Multipliers'!$L$3:$N$6,2,FALSE)))</f>
        <v/>
      </c>
      <c r="N228" s="499" t="str">
        <f>IF(L228="","",IF(VLOOKUP(L228,'G-3 Multipliers'!$L$3:$N$6,3,FALSE)=0,"Spatial Data Missing ⚠",VLOOKUP(L228,'G-3 Multipliers'!$L$3:$N$6,3,FALSE)))</f>
        <v/>
      </c>
      <c r="O228" s="498" t="str">
        <f t="shared" si="15"/>
        <v/>
      </c>
      <c r="P228" s="195"/>
      <c r="Q228" s="195"/>
      <c r="R228" s="520" t="str">
        <f t="shared" si="16"/>
        <v/>
      </c>
      <c r="S228" s="544" t="str">
        <f t="shared" si="17"/>
        <v/>
      </c>
      <c r="T228" s="525" t="str">
        <f>IFERROR(IF(S228="Check Data ⚠","Check Data ⚠",VLOOKUP(S228,'G-4 Temporal multipliers'!$A$4:$C$37,3,FALSE)),"")</f>
        <v/>
      </c>
      <c r="U228" s="523" t="str">
        <f>IF(F228="","",VLOOKUP(F228,'G-3 Multipliers'!$A$2:$E$129,2,FALSE))</f>
        <v/>
      </c>
      <c r="V228" s="520" t="str">
        <f t="shared" si="19"/>
        <v/>
      </c>
      <c r="W228" s="520" t="str">
        <f>IF(E228="","",IF(AND(V228="Standard difficulty applied",O228&gt;P228),U228,IF(AND(V228="Low Difficulty - only applicable if all habitat created before losses ⚠",P228&gt;=O228),"Low",VLOOKUP(F228,'G-3 Multipliers'!$A$2:$E$129,4,FALSE))))</f>
        <v/>
      </c>
      <c r="X228" s="524" t="str">
        <f>IFERROR(IF(E228="","",VLOOKUP(W228, 'G-3 Multipliers'!$P$2:$Q$6,2,FALSE)),"")</f>
        <v/>
      </c>
      <c r="Y228" s="197"/>
      <c r="Z228" s="499" t="str">
        <f>IF(Y228="","",IF(VLOOKUP(Y228,'G-3 Multipliers'!$S$3:$T$9,2,FALSE)=0,"Spatial Data Missing ⚠",VLOOKUP(Y228,'G-3 Multipliers'!$S$3:$T$9,2,FALSE)))</f>
        <v/>
      </c>
      <c r="AA228" s="545" t="str">
        <f t="shared" si="18"/>
        <v/>
      </c>
      <c r="AB228" s="149"/>
      <c r="AC228" s="150"/>
    </row>
    <row r="229" spans="1:29" ht="14" x14ac:dyDescent="0.3">
      <c r="A229" s="31" t="str">
        <f>IFERROR(INDEX('G-8 Condition Look up'!$I$4:$I$130,MATCH(F229,'G-8 Condition Look up'!$A$4:$A$130,0)),"")</f>
        <v/>
      </c>
      <c r="C229" s="244" t="str">
        <f>IFERROR(INDEX('G-1 All Habitats'!$AG$3:$AG$15,MATCH(D229,'G-1 All Habitats'!$AF$3:$AF$15,0)),"")</f>
        <v/>
      </c>
      <c r="D229" s="154"/>
      <c r="E229" s="203"/>
      <c r="F229" s="243" t="str">
        <f>IFERROR(INDEX('G-1 All Habitats'!$B$3:$B$129,MATCH(E229,'G-1 All Habitats'!$A$3:$A$129,0)),"")</f>
        <v/>
      </c>
      <c r="G229" s="386"/>
      <c r="H229" s="537" t="str">
        <f>IF(F229="","",VLOOKUP(F229,'G-1 All Habitats'!$B$2:$M$129,10,FALSE))</f>
        <v/>
      </c>
      <c r="I229" s="524" t="str">
        <f>IFERROR(VLOOKUP(H229,'G-1 All Habitats'!$V$3:$W$7,2,FALSE),"")</f>
        <v/>
      </c>
      <c r="J229" s="199"/>
      <c r="K229" s="524" t="str">
        <f>IFERROR(INDEX('G-8 Condition Look up'!$A$3:$H$130,MATCH(F229,'G-8 Condition Look up'!$A$3:$A$130,0),MATCH(J229,'G-8 Condition Look up'!$A$3:$H$3,0)),"")</f>
        <v/>
      </c>
      <c r="L229" s="145"/>
      <c r="M229" s="540" t="str">
        <f>IF(L229="","",IF(VLOOKUP(L229,'G-3 Multipliers'!$L$3:$N$6,2,FALSE)=0,"Spatial Data Missing ⚠",VLOOKUP(L229,'G-3 Multipliers'!$L$3:$N$6,2,FALSE)))</f>
        <v/>
      </c>
      <c r="N229" s="499" t="str">
        <f>IF(L229="","",IF(VLOOKUP(L229,'G-3 Multipliers'!$L$3:$N$6,3,FALSE)=0,"Spatial Data Missing ⚠",VLOOKUP(L229,'G-3 Multipliers'!$L$3:$N$6,3,FALSE)))</f>
        <v/>
      </c>
      <c r="O229" s="498" t="str">
        <f t="shared" si="15"/>
        <v/>
      </c>
      <c r="P229" s="195"/>
      <c r="Q229" s="195"/>
      <c r="R229" s="520" t="str">
        <f t="shared" si="16"/>
        <v/>
      </c>
      <c r="S229" s="544" t="str">
        <f t="shared" si="17"/>
        <v/>
      </c>
      <c r="T229" s="525" t="str">
        <f>IFERROR(IF(S229="Check Data ⚠","Check Data ⚠",VLOOKUP(S229,'G-4 Temporal multipliers'!$A$4:$C$37,3,FALSE)),"")</f>
        <v/>
      </c>
      <c r="U229" s="523" t="str">
        <f>IF(F229="","",VLOOKUP(F229,'G-3 Multipliers'!$A$2:$E$129,2,FALSE))</f>
        <v/>
      </c>
      <c r="V229" s="520" t="str">
        <f t="shared" si="19"/>
        <v/>
      </c>
      <c r="W229" s="520" t="str">
        <f>IF(E229="","",IF(AND(V229="Standard difficulty applied",O229&gt;P229),U229,IF(AND(V229="Low Difficulty - only applicable if all habitat created before losses ⚠",P229&gt;=O229),"Low",VLOOKUP(F229,'G-3 Multipliers'!$A$2:$E$129,4,FALSE))))</f>
        <v/>
      </c>
      <c r="X229" s="524" t="str">
        <f>IFERROR(IF(E229="","",VLOOKUP(W229, 'G-3 Multipliers'!$P$2:$Q$6,2,FALSE)),"")</f>
        <v/>
      </c>
      <c r="Y229" s="197"/>
      <c r="Z229" s="499" t="str">
        <f>IF(Y229="","",IF(VLOOKUP(Y229,'G-3 Multipliers'!$S$3:$T$9,2,FALSE)=0,"Spatial Data Missing ⚠",VLOOKUP(Y229,'G-3 Multipliers'!$S$3:$T$9,2,FALSE)))</f>
        <v/>
      </c>
      <c r="AA229" s="545" t="str">
        <f t="shared" si="18"/>
        <v/>
      </c>
      <c r="AB229" s="149"/>
      <c r="AC229" s="150"/>
    </row>
    <row r="230" spans="1:29" ht="14" x14ac:dyDescent="0.3">
      <c r="A230" s="31" t="str">
        <f>IFERROR(INDEX('G-8 Condition Look up'!$I$4:$I$130,MATCH(F230,'G-8 Condition Look up'!$A$4:$A$130,0)),"")</f>
        <v/>
      </c>
      <c r="C230" s="244" t="str">
        <f>IFERROR(INDEX('G-1 All Habitats'!$AG$3:$AG$15,MATCH(D230,'G-1 All Habitats'!$AF$3:$AF$15,0)),"")</f>
        <v/>
      </c>
      <c r="D230" s="154"/>
      <c r="E230" s="203"/>
      <c r="F230" s="243" t="str">
        <f>IFERROR(INDEX('G-1 All Habitats'!$B$3:$B$129,MATCH(E230,'G-1 All Habitats'!$A$3:$A$129,0)),"")</f>
        <v/>
      </c>
      <c r="G230" s="386"/>
      <c r="H230" s="537" t="str">
        <f>IF(F230="","",VLOOKUP(F230,'G-1 All Habitats'!$B$2:$M$129,10,FALSE))</f>
        <v/>
      </c>
      <c r="I230" s="524" t="str">
        <f>IFERROR(VLOOKUP(H230,'G-1 All Habitats'!$V$3:$W$7,2,FALSE),"")</f>
        <v/>
      </c>
      <c r="J230" s="199"/>
      <c r="K230" s="524" t="str">
        <f>IFERROR(INDEX('G-8 Condition Look up'!$A$3:$H$130,MATCH(F230,'G-8 Condition Look up'!$A$3:$A$130,0),MATCH(J230,'G-8 Condition Look up'!$A$3:$H$3,0)),"")</f>
        <v/>
      </c>
      <c r="L230" s="145"/>
      <c r="M230" s="540" t="str">
        <f>IF(L230="","",IF(VLOOKUP(L230,'G-3 Multipliers'!$L$3:$N$6,2,FALSE)=0,"Spatial Data Missing ⚠",VLOOKUP(L230,'G-3 Multipliers'!$L$3:$N$6,2,FALSE)))</f>
        <v/>
      </c>
      <c r="N230" s="499" t="str">
        <f>IF(L230="","",IF(VLOOKUP(L230,'G-3 Multipliers'!$L$3:$N$6,3,FALSE)=0,"Spatial Data Missing ⚠",VLOOKUP(L230,'G-3 Multipliers'!$L$3:$N$6,3,FALSE)))</f>
        <v/>
      </c>
      <c r="O230" s="498" t="str">
        <f t="shared" si="15"/>
        <v/>
      </c>
      <c r="P230" s="195"/>
      <c r="Q230" s="195"/>
      <c r="R230" s="520" t="str">
        <f t="shared" si="16"/>
        <v/>
      </c>
      <c r="S230" s="544" t="str">
        <f t="shared" si="17"/>
        <v/>
      </c>
      <c r="T230" s="525" t="str">
        <f>IFERROR(IF(S230="Check Data ⚠","Check Data ⚠",VLOOKUP(S230,'G-4 Temporal multipliers'!$A$4:$C$37,3,FALSE)),"")</f>
        <v/>
      </c>
      <c r="U230" s="523" t="str">
        <f>IF(F230="","",VLOOKUP(F230,'G-3 Multipliers'!$A$2:$E$129,2,FALSE))</f>
        <v/>
      </c>
      <c r="V230" s="520" t="str">
        <f t="shared" si="19"/>
        <v/>
      </c>
      <c r="W230" s="520" t="str">
        <f>IF(E230="","",IF(AND(V230="Standard difficulty applied",O230&gt;P230),U230,IF(AND(V230="Low Difficulty - only applicable if all habitat created before losses ⚠",P230&gt;=O230),"Low",VLOOKUP(F230,'G-3 Multipliers'!$A$2:$E$129,4,FALSE))))</f>
        <v/>
      </c>
      <c r="X230" s="524" t="str">
        <f>IFERROR(IF(E230="","",VLOOKUP(W230, 'G-3 Multipliers'!$P$2:$Q$6,2,FALSE)),"")</f>
        <v/>
      </c>
      <c r="Y230" s="197"/>
      <c r="Z230" s="499" t="str">
        <f>IF(Y230="","",IF(VLOOKUP(Y230,'G-3 Multipliers'!$S$3:$T$9,2,FALSE)=0,"Spatial Data Missing ⚠",VLOOKUP(Y230,'G-3 Multipliers'!$S$3:$T$9,2,FALSE)))</f>
        <v/>
      </c>
      <c r="AA230" s="545" t="str">
        <f t="shared" si="18"/>
        <v/>
      </c>
      <c r="AB230" s="149"/>
      <c r="AC230" s="150"/>
    </row>
    <row r="231" spans="1:29" ht="14" x14ac:dyDescent="0.3">
      <c r="A231" s="31" t="str">
        <f>IFERROR(INDEX('G-8 Condition Look up'!$I$4:$I$130,MATCH(F231,'G-8 Condition Look up'!$A$4:$A$130,0)),"")</f>
        <v/>
      </c>
      <c r="C231" s="244" t="str">
        <f>IFERROR(INDEX('G-1 All Habitats'!$AG$3:$AG$15,MATCH(D231,'G-1 All Habitats'!$AF$3:$AF$15,0)),"")</f>
        <v/>
      </c>
      <c r="D231" s="154"/>
      <c r="E231" s="203"/>
      <c r="F231" s="243" t="str">
        <f>IFERROR(INDEX('G-1 All Habitats'!$B$3:$B$129,MATCH(E231,'G-1 All Habitats'!$A$3:$A$129,0)),"")</f>
        <v/>
      </c>
      <c r="G231" s="386"/>
      <c r="H231" s="537" t="str">
        <f>IF(F231="","",VLOOKUP(F231,'G-1 All Habitats'!$B$2:$M$129,10,FALSE))</f>
        <v/>
      </c>
      <c r="I231" s="524" t="str">
        <f>IFERROR(VLOOKUP(H231,'G-1 All Habitats'!$V$3:$W$7,2,FALSE),"")</f>
        <v/>
      </c>
      <c r="J231" s="199"/>
      <c r="K231" s="524" t="str">
        <f>IFERROR(INDEX('G-8 Condition Look up'!$A$3:$H$130,MATCH(F231,'G-8 Condition Look up'!$A$3:$A$130,0),MATCH(J231,'G-8 Condition Look up'!$A$3:$H$3,0)),"")</f>
        <v/>
      </c>
      <c r="L231" s="145"/>
      <c r="M231" s="540" t="str">
        <f>IF(L231="","",IF(VLOOKUP(L231,'G-3 Multipliers'!$L$3:$N$6,2,FALSE)=0,"Spatial Data Missing ⚠",VLOOKUP(L231,'G-3 Multipliers'!$L$3:$N$6,2,FALSE)))</f>
        <v/>
      </c>
      <c r="N231" s="499" t="str">
        <f>IF(L231="","",IF(VLOOKUP(L231,'G-3 Multipliers'!$L$3:$N$6,3,FALSE)=0,"Spatial Data Missing ⚠",VLOOKUP(L231,'G-3 Multipliers'!$L$3:$N$6,3,FALSE)))</f>
        <v/>
      </c>
      <c r="O231" s="498" t="str">
        <f t="shared" si="15"/>
        <v/>
      </c>
      <c r="P231" s="195"/>
      <c r="Q231" s="195"/>
      <c r="R231" s="520" t="str">
        <f t="shared" si="16"/>
        <v/>
      </c>
      <c r="S231" s="544" t="str">
        <f t="shared" si="17"/>
        <v/>
      </c>
      <c r="T231" s="525" t="str">
        <f>IFERROR(IF(S231="Check Data ⚠","Check Data ⚠",VLOOKUP(S231,'G-4 Temporal multipliers'!$A$4:$C$37,3,FALSE)),"")</f>
        <v/>
      </c>
      <c r="U231" s="523" t="str">
        <f>IF(F231="","",VLOOKUP(F231,'G-3 Multipliers'!$A$2:$E$129,2,FALSE))</f>
        <v/>
      </c>
      <c r="V231" s="520" t="str">
        <f t="shared" si="19"/>
        <v/>
      </c>
      <c r="W231" s="520" t="str">
        <f>IF(E231="","",IF(AND(V231="Standard difficulty applied",O231&gt;P231),U231,IF(AND(V231="Low Difficulty - only applicable if all habitat created before losses ⚠",P231&gt;=O231),"Low",VLOOKUP(F231,'G-3 Multipliers'!$A$2:$E$129,4,FALSE))))</f>
        <v/>
      </c>
      <c r="X231" s="524" t="str">
        <f>IFERROR(IF(E231="","",VLOOKUP(W231, 'G-3 Multipliers'!$P$2:$Q$6,2,FALSE)),"")</f>
        <v/>
      </c>
      <c r="Y231" s="197"/>
      <c r="Z231" s="499" t="str">
        <f>IF(Y231="","",IF(VLOOKUP(Y231,'G-3 Multipliers'!$S$3:$T$9,2,FALSE)=0,"Spatial Data Missing ⚠",VLOOKUP(Y231,'G-3 Multipliers'!$S$3:$T$9,2,FALSE)))</f>
        <v/>
      </c>
      <c r="AA231" s="545" t="str">
        <f t="shared" si="18"/>
        <v/>
      </c>
      <c r="AB231" s="149"/>
      <c r="AC231" s="150"/>
    </row>
    <row r="232" spans="1:29" ht="14" x14ac:dyDescent="0.3">
      <c r="A232" s="31" t="str">
        <f>IFERROR(INDEX('G-8 Condition Look up'!$I$4:$I$130,MATCH(F232,'G-8 Condition Look up'!$A$4:$A$130,0)),"")</f>
        <v/>
      </c>
      <c r="C232" s="244" t="str">
        <f>IFERROR(INDEX('G-1 All Habitats'!$AG$3:$AG$15,MATCH(D232,'G-1 All Habitats'!$AF$3:$AF$15,0)),"")</f>
        <v/>
      </c>
      <c r="D232" s="154"/>
      <c r="E232" s="203"/>
      <c r="F232" s="243" t="str">
        <f>IFERROR(INDEX('G-1 All Habitats'!$B$3:$B$129,MATCH(E232,'G-1 All Habitats'!$A$3:$A$129,0)),"")</f>
        <v/>
      </c>
      <c r="G232" s="386"/>
      <c r="H232" s="537" t="str">
        <f>IF(F232="","",VLOOKUP(F232,'G-1 All Habitats'!$B$2:$M$129,10,FALSE))</f>
        <v/>
      </c>
      <c r="I232" s="524" t="str">
        <f>IFERROR(VLOOKUP(H232,'G-1 All Habitats'!$V$3:$W$7,2,FALSE),"")</f>
        <v/>
      </c>
      <c r="J232" s="199"/>
      <c r="K232" s="524" t="str">
        <f>IFERROR(INDEX('G-8 Condition Look up'!$A$3:$H$130,MATCH(F232,'G-8 Condition Look up'!$A$3:$A$130,0),MATCH(J232,'G-8 Condition Look up'!$A$3:$H$3,0)),"")</f>
        <v/>
      </c>
      <c r="L232" s="145"/>
      <c r="M232" s="540" t="str">
        <f>IF(L232="","",IF(VLOOKUP(L232,'G-3 Multipliers'!$L$3:$N$6,2,FALSE)=0,"Spatial Data Missing ⚠",VLOOKUP(L232,'G-3 Multipliers'!$L$3:$N$6,2,FALSE)))</f>
        <v/>
      </c>
      <c r="N232" s="499" t="str">
        <f>IF(L232="","",IF(VLOOKUP(L232,'G-3 Multipliers'!$L$3:$N$6,3,FALSE)=0,"Spatial Data Missing ⚠",VLOOKUP(L232,'G-3 Multipliers'!$L$3:$N$6,3,FALSE)))</f>
        <v/>
      </c>
      <c r="O232" s="498" t="str">
        <f t="shared" si="15"/>
        <v/>
      </c>
      <c r="P232" s="195"/>
      <c r="Q232" s="195"/>
      <c r="R232" s="520" t="str">
        <f t="shared" si="16"/>
        <v/>
      </c>
      <c r="S232" s="544" t="str">
        <f t="shared" si="17"/>
        <v/>
      </c>
      <c r="T232" s="525" t="str">
        <f>IFERROR(IF(S232="Check Data ⚠","Check Data ⚠",VLOOKUP(S232,'G-4 Temporal multipliers'!$A$4:$C$37,3,FALSE)),"")</f>
        <v/>
      </c>
      <c r="U232" s="523" t="str">
        <f>IF(F232="","",VLOOKUP(F232,'G-3 Multipliers'!$A$2:$E$129,2,FALSE))</f>
        <v/>
      </c>
      <c r="V232" s="520" t="str">
        <f t="shared" si="19"/>
        <v/>
      </c>
      <c r="W232" s="520" t="str">
        <f>IF(E232="","",IF(AND(V232="Standard difficulty applied",O232&gt;P232),U232,IF(AND(V232="Low Difficulty - only applicable if all habitat created before losses ⚠",P232&gt;=O232),"Low",VLOOKUP(F232,'G-3 Multipliers'!$A$2:$E$129,4,FALSE))))</f>
        <v/>
      </c>
      <c r="X232" s="524" t="str">
        <f>IFERROR(IF(E232="","",VLOOKUP(W232, 'G-3 Multipliers'!$P$2:$Q$6,2,FALSE)),"")</f>
        <v/>
      </c>
      <c r="Y232" s="197"/>
      <c r="Z232" s="499" t="str">
        <f>IF(Y232="","",IF(VLOOKUP(Y232,'G-3 Multipliers'!$S$3:$T$9,2,FALSE)=0,"Spatial Data Missing ⚠",VLOOKUP(Y232,'G-3 Multipliers'!$S$3:$T$9,2,FALSE)))</f>
        <v/>
      </c>
      <c r="AA232" s="545" t="str">
        <f t="shared" si="18"/>
        <v/>
      </c>
      <c r="AB232" s="149"/>
      <c r="AC232" s="150"/>
    </row>
    <row r="233" spans="1:29" ht="14" x14ac:dyDescent="0.3">
      <c r="A233" s="31" t="str">
        <f>IFERROR(INDEX('G-8 Condition Look up'!$I$4:$I$130,MATCH(F233,'G-8 Condition Look up'!$A$4:$A$130,0)),"")</f>
        <v/>
      </c>
      <c r="C233" s="244" t="str">
        <f>IFERROR(INDEX('G-1 All Habitats'!$AG$3:$AG$15,MATCH(D233,'G-1 All Habitats'!$AF$3:$AF$15,0)),"")</f>
        <v/>
      </c>
      <c r="D233" s="154"/>
      <c r="E233" s="203"/>
      <c r="F233" s="243" t="str">
        <f>IFERROR(INDEX('G-1 All Habitats'!$B$3:$B$129,MATCH(E233,'G-1 All Habitats'!$A$3:$A$129,0)),"")</f>
        <v/>
      </c>
      <c r="G233" s="386"/>
      <c r="H233" s="537" t="str">
        <f>IF(F233="","",VLOOKUP(F233,'G-1 All Habitats'!$B$2:$M$129,10,FALSE))</f>
        <v/>
      </c>
      <c r="I233" s="524" t="str">
        <f>IFERROR(VLOOKUP(H233,'G-1 All Habitats'!$V$3:$W$7,2,FALSE),"")</f>
        <v/>
      </c>
      <c r="J233" s="199"/>
      <c r="K233" s="524" t="str">
        <f>IFERROR(INDEX('G-8 Condition Look up'!$A$3:$H$130,MATCH(F233,'G-8 Condition Look up'!$A$3:$A$130,0),MATCH(J233,'G-8 Condition Look up'!$A$3:$H$3,0)),"")</f>
        <v/>
      </c>
      <c r="L233" s="145"/>
      <c r="M233" s="540" t="str">
        <f>IF(L233="","",IF(VLOOKUP(L233,'G-3 Multipliers'!$L$3:$N$6,2,FALSE)=0,"Spatial Data Missing ⚠",VLOOKUP(L233,'G-3 Multipliers'!$L$3:$N$6,2,FALSE)))</f>
        <v/>
      </c>
      <c r="N233" s="499" t="str">
        <f>IF(L233="","",IF(VLOOKUP(L233,'G-3 Multipliers'!$L$3:$N$6,3,FALSE)=0,"Spatial Data Missing ⚠",VLOOKUP(L233,'G-3 Multipliers'!$L$3:$N$6,3,FALSE)))</f>
        <v/>
      </c>
      <c r="O233" s="498" t="str">
        <f t="shared" si="15"/>
        <v/>
      </c>
      <c r="P233" s="195"/>
      <c r="Q233" s="195"/>
      <c r="R233" s="520" t="str">
        <f t="shared" si="16"/>
        <v/>
      </c>
      <c r="S233" s="544" t="str">
        <f t="shared" si="17"/>
        <v/>
      </c>
      <c r="T233" s="525" t="str">
        <f>IFERROR(IF(S233="Check Data ⚠","Check Data ⚠",VLOOKUP(S233,'G-4 Temporal multipliers'!$A$4:$C$37,3,FALSE)),"")</f>
        <v/>
      </c>
      <c r="U233" s="523" t="str">
        <f>IF(F233="","",VLOOKUP(F233,'G-3 Multipliers'!$A$2:$E$129,2,FALSE))</f>
        <v/>
      </c>
      <c r="V233" s="520" t="str">
        <f t="shared" si="19"/>
        <v/>
      </c>
      <c r="W233" s="520" t="str">
        <f>IF(E233="","",IF(AND(V233="Standard difficulty applied",O233&gt;P233),U233,IF(AND(V233="Low Difficulty - only applicable if all habitat created before losses ⚠",P233&gt;=O233),"Low",VLOOKUP(F233,'G-3 Multipliers'!$A$2:$E$129,4,FALSE))))</f>
        <v/>
      </c>
      <c r="X233" s="524" t="str">
        <f>IFERROR(IF(E233="","",VLOOKUP(W233, 'G-3 Multipliers'!$P$2:$Q$6,2,FALSE)),"")</f>
        <v/>
      </c>
      <c r="Y233" s="197"/>
      <c r="Z233" s="499" t="str">
        <f>IF(Y233="","",IF(VLOOKUP(Y233,'G-3 Multipliers'!$S$3:$T$9,2,FALSE)=0,"Spatial Data Missing ⚠",VLOOKUP(Y233,'G-3 Multipliers'!$S$3:$T$9,2,FALSE)))</f>
        <v/>
      </c>
      <c r="AA233" s="545" t="str">
        <f t="shared" si="18"/>
        <v/>
      </c>
      <c r="AB233" s="149"/>
      <c r="AC233" s="150"/>
    </row>
    <row r="234" spans="1:29" ht="14" x14ac:dyDescent="0.3">
      <c r="A234" s="31" t="str">
        <f>IFERROR(INDEX('G-8 Condition Look up'!$I$4:$I$130,MATCH(F234,'G-8 Condition Look up'!$A$4:$A$130,0)),"")</f>
        <v/>
      </c>
      <c r="C234" s="244" t="str">
        <f>IFERROR(INDEX('G-1 All Habitats'!$AG$3:$AG$15,MATCH(D234,'G-1 All Habitats'!$AF$3:$AF$15,0)),"")</f>
        <v/>
      </c>
      <c r="D234" s="154"/>
      <c r="E234" s="203"/>
      <c r="F234" s="243" t="str">
        <f>IFERROR(INDEX('G-1 All Habitats'!$B$3:$B$129,MATCH(E234,'G-1 All Habitats'!$A$3:$A$129,0)),"")</f>
        <v/>
      </c>
      <c r="G234" s="386"/>
      <c r="H234" s="537" t="str">
        <f>IF(F234="","",VLOOKUP(F234,'G-1 All Habitats'!$B$2:$M$129,10,FALSE))</f>
        <v/>
      </c>
      <c r="I234" s="524" t="str">
        <f>IFERROR(VLOOKUP(H234,'G-1 All Habitats'!$V$3:$W$7,2,FALSE),"")</f>
        <v/>
      </c>
      <c r="J234" s="199"/>
      <c r="K234" s="524" t="str">
        <f>IFERROR(INDEX('G-8 Condition Look up'!$A$3:$H$130,MATCH(F234,'G-8 Condition Look up'!$A$3:$A$130,0),MATCH(J234,'G-8 Condition Look up'!$A$3:$H$3,0)),"")</f>
        <v/>
      </c>
      <c r="L234" s="145"/>
      <c r="M234" s="540" t="str">
        <f>IF(L234="","",IF(VLOOKUP(L234,'G-3 Multipliers'!$L$3:$N$6,2,FALSE)=0,"Spatial Data Missing ⚠",VLOOKUP(L234,'G-3 Multipliers'!$L$3:$N$6,2,FALSE)))</f>
        <v/>
      </c>
      <c r="N234" s="499" t="str">
        <f>IF(L234="","",IF(VLOOKUP(L234,'G-3 Multipliers'!$L$3:$N$6,3,FALSE)=0,"Spatial Data Missing ⚠",VLOOKUP(L234,'G-3 Multipliers'!$L$3:$N$6,3,FALSE)))</f>
        <v/>
      </c>
      <c r="O234" s="498" t="str">
        <f t="shared" si="15"/>
        <v/>
      </c>
      <c r="P234" s="195"/>
      <c r="Q234" s="195"/>
      <c r="R234" s="520" t="str">
        <f t="shared" si="16"/>
        <v/>
      </c>
      <c r="S234" s="544" t="str">
        <f t="shared" si="17"/>
        <v/>
      </c>
      <c r="T234" s="525" t="str">
        <f>IFERROR(IF(S234="Check Data ⚠","Check Data ⚠",VLOOKUP(S234,'G-4 Temporal multipliers'!$A$4:$C$37,3,FALSE)),"")</f>
        <v/>
      </c>
      <c r="U234" s="523" t="str">
        <f>IF(F234="","",VLOOKUP(F234,'G-3 Multipliers'!$A$2:$E$129,2,FALSE))</f>
        <v/>
      </c>
      <c r="V234" s="520" t="str">
        <f t="shared" si="19"/>
        <v/>
      </c>
      <c r="W234" s="520" t="str">
        <f>IF(E234="","",IF(AND(V234="Standard difficulty applied",O234&gt;P234),U234,IF(AND(V234="Low Difficulty - only applicable if all habitat created before losses ⚠",P234&gt;=O234),"Low",VLOOKUP(F234,'G-3 Multipliers'!$A$2:$E$129,4,FALSE))))</f>
        <v/>
      </c>
      <c r="X234" s="524" t="str">
        <f>IFERROR(IF(E234="","",VLOOKUP(W234, 'G-3 Multipliers'!$P$2:$Q$6,2,FALSE)),"")</f>
        <v/>
      </c>
      <c r="Y234" s="197"/>
      <c r="Z234" s="499" t="str">
        <f>IF(Y234="","",IF(VLOOKUP(Y234,'G-3 Multipliers'!$S$3:$T$9,2,FALSE)=0,"Spatial Data Missing ⚠",VLOOKUP(Y234,'G-3 Multipliers'!$S$3:$T$9,2,FALSE)))</f>
        <v/>
      </c>
      <c r="AA234" s="545" t="str">
        <f t="shared" si="18"/>
        <v/>
      </c>
      <c r="AB234" s="149"/>
      <c r="AC234" s="150"/>
    </row>
    <row r="235" spans="1:29" ht="14" x14ac:dyDescent="0.3">
      <c r="A235" s="31" t="str">
        <f>IFERROR(INDEX('G-8 Condition Look up'!$I$4:$I$130,MATCH(F235,'G-8 Condition Look up'!$A$4:$A$130,0)),"")</f>
        <v/>
      </c>
      <c r="C235" s="244" t="str">
        <f>IFERROR(INDEX('G-1 All Habitats'!$AG$3:$AG$15,MATCH(D235,'G-1 All Habitats'!$AF$3:$AF$15,0)),"")</f>
        <v/>
      </c>
      <c r="D235" s="154"/>
      <c r="E235" s="203"/>
      <c r="F235" s="243" t="str">
        <f>IFERROR(INDEX('G-1 All Habitats'!$B$3:$B$129,MATCH(E235,'G-1 All Habitats'!$A$3:$A$129,0)),"")</f>
        <v/>
      </c>
      <c r="G235" s="386"/>
      <c r="H235" s="537" t="str">
        <f>IF(F235="","",VLOOKUP(F235,'G-1 All Habitats'!$B$2:$M$129,10,FALSE))</f>
        <v/>
      </c>
      <c r="I235" s="524" t="str">
        <f>IFERROR(VLOOKUP(H235,'G-1 All Habitats'!$V$3:$W$7,2,FALSE),"")</f>
        <v/>
      </c>
      <c r="J235" s="199"/>
      <c r="K235" s="524" t="str">
        <f>IFERROR(INDEX('G-8 Condition Look up'!$A$3:$H$130,MATCH(F235,'G-8 Condition Look up'!$A$3:$A$130,0),MATCH(J235,'G-8 Condition Look up'!$A$3:$H$3,0)),"")</f>
        <v/>
      </c>
      <c r="L235" s="145"/>
      <c r="M235" s="540" t="str">
        <f>IF(L235="","",IF(VLOOKUP(L235,'G-3 Multipliers'!$L$3:$N$6,2,FALSE)=0,"Spatial Data Missing ⚠",VLOOKUP(L235,'G-3 Multipliers'!$L$3:$N$6,2,FALSE)))</f>
        <v/>
      </c>
      <c r="N235" s="499" t="str">
        <f>IF(L235="","",IF(VLOOKUP(L235,'G-3 Multipliers'!$L$3:$N$6,3,FALSE)=0,"Spatial Data Missing ⚠",VLOOKUP(L235,'G-3 Multipliers'!$L$3:$N$6,3,FALSE)))</f>
        <v/>
      </c>
      <c r="O235" s="498" t="str">
        <f t="shared" si="15"/>
        <v/>
      </c>
      <c r="P235" s="195"/>
      <c r="Q235" s="195"/>
      <c r="R235" s="520" t="str">
        <f t="shared" si="16"/>
        <v/>
      </c>
      <c r="S235" s="544" t="str">
        <f t="shared" si="17"/>
        <v/>
      </c>
      <c r="T235" s="525" t="str">
        <f>IFERROR(IF(S235="Check Data ⚠","Check Data ⚠",VLOOKUP(S235,'G-4 Temporal multipliers'!$A$4:$C$37,3,FALSE)),"")</f>
        <v/>
      </c>
      <c r="U235" s="523" t="str">
        <f>IF(F235="","",VLOOKUP(F235,'G-3 Multipliers'!$A$2:$E$129,2,FALSE))</f>
        <v/>
      </c>
      <c r="V235" s="520" t="str">
        <f t="shared" si="19"/>
        <v/>
      </c>
      <c r="W235" s="520" t="str">
        <f>IF(E235="","",IF(AND(V235="Standard difficulty applied",O235&gt;P235),U235,IF(AND(V235="Low Difficulty - only applicable if all habitat created before losses ⚠",P235&gt;=O235),"Low",VLOOKUP(F235,'G-3 Multipliers'!$A$2:$E$129,4,FALSE))))</f>
        <v/>
      </c>
      <c r="X235" s="524" t="str">
        <f>IFERROR(IF(E235="","",VLOOKUP(W235, 'G-3 Multipliers'!$P$2:$Q$6,2,FALSE)),"")</f>
        <v/>
      </c>
      <c r="Y235" s="197"/>
      <c r="Z235" s="499" t="str">
        <f>IF(Y235="","",IF(VLOOKUP(Y235,'G-3 Multipliers'!$S$3:$T$9,2,FALSE)=0,"Spatial Data Missing ⚠",VLOOKUP(Y235,'G-3 Multipliers'!$S$3:$T$9,2,FALSE)))</f>
        <v/>
      </c>
      <c r="AA235" s="545" t="str">
        <f t="shared" si="18"/>
        <v/>
      </c>
      <c r="AB235" s="149"/>
      <c r="AC235" s="150"/>
    </row>
    <row r="236" spans="1:29" ht="14" x14ac:dyDescent="0.3">
      <c r="A236" s="31" t="str">
        <f>IFERROR(INDEX('G-8 Condition Look up'!$I$4:$I$130,MATCH(F236,'G-8 Condition Look up'!$A$4:$A$130,0)),"")</f>
        <v/>
      </c>
      <c r="C236" s="244" t="str">
        <f>IFERROR(INDEX('G-1 All Habitats'!$AG$3:$AG$15,MATCH(D236,'G-1 All Habitats'!$AF$3:$AF$15,0)),"")</f>
        <v/>
      </c>
      <c r="D236" s="154"/>
      <c r="E236" s="203"/>
      <c r="F236" s="243" t="str">
        <f>IFERROR(INDEX('G-1 All Habitats'!$B$3:$B$129,MATCH(E236,'G-1 All Habitats'!$A$3:$A$129,0)),"")</f>
        <v/>
      </c>
      <c r="G236" s="386"/>
      <c r="H236" s="537" t="str">
        <f>IF(F236="","",VLOOKUP(F236,'G-1 All Habitats'!$B$2:$M$129,10,FALSE))</f>
        <v/>
      </c>
      <c r="I236" s="524" t="str">
        <f>IFERROR(VLOOKUP(H236,'G-1 All Habitats'!$V$3:$W$7,2,FALSE),"")</f>
        <v/>
      </c>
      <c r="J236" s="199"/>
      <c r="K236" s="524" t="str">
        <f>IFERROR(INDEX('G-8 Condition Look up'!$A$3:$H$130,MATCH(F236,'G-8 Condition Look up'!$A$3:$A$130,0),MATCH(J236,'G-8 Condition Look up'!$A$3:$H$3,0)),"")</f>
        <v/>
      </c>
      <c r="L236" s="145"/>
      <c r="M236" s="540" t="str">
        <f>IF(L236="","",IF(VLOOKUP(L236,'G-3 Multipliers'!$L$3:$N$6,2,FALSE)=0,"Spatial Data Missing ⚠",VLOOKUP(L236,'G-3 Multipliers'!$L$3:$N$6,2,FALSE)))</f>
        <v/>
      </c>
      <c r="N236" s="499" t="str">
        <f>IF(L236="","",IF(VLOOKUP(L236,'G-3 Multipliers'!$L$3:$N$6,3,FALSE)=0,"Spatial Data Missing ⚠",VLOOKUP(L236,'G-3 Multipliers'!$L$3:$N$6,3,FALSE)))</f>
        <v/>
      </c>
      <c r="O236" s="498" t="str">
        <f t="shared" si="15"/>
        <v/>
      </c>
      <c r="P236" s="195"/>
      <c r="Q236" s="195"/>
      <c r="R236" s="520" t="str">
        <f t="shared" si="16"/>
        <v/>
      </c>
      <c r="S236" s="544" t="str">
        <f t="shared" si="17"/>
        <v/>
      </c>
      <c r="T236" s="525" t="str">
        <f>IFERROR(IF(S236="Check Data ⚠","Check Data ⚠",VLOOKUP(S236,'G-4 Temporal multipliers'!$A$4:$C$37,3,FALSE)),"")</f>
        <v/>
      </c>
      <c r="U236" s="523" t="str">
        <f>IF(F236="","",VLOOKUP(F236,'G-3 Multipliers'!$A$2:$E$129,2,FALSE))</f>
        <v/>
      </c>
      <c r="V236" s="520" t="str">
        <f t="shared" si="19"/>
        <v/>
      </c>
      <c r="W236" s="520" t="str">
        <f>IF(E236="","",IF(AND(V236="Standard difficulty applied",O236&gt;P236),U236,IF(AND(V236="Low Difficulty - only applicable if all habitat created before losses ⚠",P236&gt;=O236),"Low",VLOOKUP(F236,'G-3 Multipliers'!$A$2:$E$129,4,FALSE))))</f>
        <v/>
      </c>
      <c r="X236" s="524" t="str">
        <f>IFERROR(IF(E236="","",VLOOKUP(W236, 'G-3 Multipliers'!$P$2:$Q$6,2,FALSE)),"")</f>
        <v/>
      </c>
      <c r="Y236" s="197"/>
      <c r="Z236" s="499" t="str">
        <f>IF(Y236="","",IF(VLOOKUP(Y236,'G-3 Multipliers'!$S$3:$T$9,2,FALSE)=0,"Spatial Data Missing ⚠",VLOOKUP(Y236,'G-3 Multipliers'!$S$3:$T$9,2,FALSE)))</f>
        <v/>
      </c>
      <c r="AA236" s="545" t="str">
        <f t="shared" si="18"/>
        <v/>
      </c>
      <c r="AB236" s="149"/>
      <c r="AC236" s="150"/>
    </row>
    <row r="237" spans="1:29" ht="14" x14ac:dyDescent="0.3">
      <c r="A237" s="31" t="str">
        <f>IFERROR(INDEX('G-8 Condition Look up'!$I$4:$I$130,MATCH(F237,'G-8 Condition Look up'!$A$4:$A$130,0)),"")</f>
        <v/>
      </c>
      <c r="C237" s="244" t="str">
        <f>IFERROR(INDEX('G-1 All Habitats'!$AG$3:$AG$15,MATCH(D237,'G-1 All Habitats'!$AF$3:$AF$15,0)),"")</f>
        <v/>
      </c>
      <c r="D237" s="154"/>
      <c r="E237" s="203"/>
      <c r="F237" s="243" t="str">
        <f>IFERROR(INDEX('G-1 All Habitats'!$B$3:$B$129,MATCH(E237,'G-1 All Habitats'!$A$3:$A$129,0)),"")</f>
        <v/>
      </c>
      <c r="G237" s="386"/>
      <c r="H237" s="537" t="str">
        <f>IF(F237="","",VLOOKUP(F237,'G-1 All Habitats'!$B$2:$M$129,10,FALSE))</f>
        <v/>
      </c>
      <c r="I237" s="524" t="str">
        <f>IFERROR(VLOOKUP(H237,'G-1 All Habitats'!$V$3:$W$7,2,FALSE),"")</f>
        <v/>
      </c>
      <c r="J237" s="199"/>
      <c r="K237" s="524" t="str">
        <f>IFERROR(INDEX('G-8 Condition Look up'!$A$3:$H$130,MATCH(F237,'G-8 Condition Look up'!$A$3:$A$130,0),MATCH(J237,'G-8 Condition Look up'!$A$3:$H$3,0)),"")</f>
        <v/>
      </c>
      <c r="L237" s="145"/>
      <c r="M237" s="540" t="str">
        <f>IF(L237="","",IF(VLOOKUP(L237,'G-3 Multipliers'!$L$3:$N$6,2,FALSE)=0,"Spatial Data Missing ⚠",VLOOKUP(L237,'G-3 Multipliers'!$L$3:$N$6,2,FALSE)))</f>
        <v/>
      </c>
      <c r="N237" s="499" t="str">
        <f>IF(L237="","",IF(VLOOKUP(L237,'G-3 Multipliers'!$L$3:$N$6,3,FALSE)=0,"Spatial Data Missing ⚠",VLOOKUP(L237,'G-3 Multipliers'!$L$3:$N$6,3,FALSE)))</f>
        <v/>
      </c>
      <c r="O237" s="498" t="str">
        <f t="shared" si="15"/>
        <v/>
      </c>
      <c r="P237" s="195"/>
      <c r="Q237" s="195"/>
      <c r="R237" s="520" t="str">
        <f t="shared" si="16"/>
        <v/>
      </c>
      <c r="S237" s="544" t="str">
        <f t="shared" si="17"/>
        <v/>
      </c>
      <c r="T237" s="525" t="str">
        <f>IFERROR(IF(S237="Check Data ⚠","Check Data ⚠",VLOOKUP(S237,'G-4 Temporal multipliers'!$A$4:$C$37,3,FALSE)),"")</f>
        <v/>
      </c>
      <c r="U237" s="523" t="str">
        <f>IF(F237="","",VLOOKUP(F237,'G-3 Multipliers'!$A$2:$E$129,2,FALSE))</f>
        <v/>
      </c>
      <c r="V237" s="520" t="str">
        <f t="shared" si="19"/>
        <v/>
      </c>
      <c r="W237" s="520" t="str">
        <f>IF(E237="","",IF(AND(V237="Standard difficulty applied",O237&gt;P237),U237,IF(AND(V237="Low Difficulty - only applicable if all habitat created before losses ⚠",P237&gt;=O237),"Low",VLOOKUP(F237,'G-3 Multipliers'!$A$2:$E$129,4,FALSE))))</f>
        <v/>
      </c>
      <c r="X237" s="524" t="str">
        <f>IFERROR(IF(E237="","",VLOOKUP(W237, 'G-3 Multipliers'!$P$2:$Q$6,2,FALSE)),"")</f>
        <v/>
      </c>
      <c r="Y237" s="197"/>
      <c r="Z237" s="499" t="str">
        <f>IF(Y237="","",IF(VLOOKUP(Y237,'G-3 Multipliers'!$S$3:$T$9,2,FALSE)=0,"Spatial Data Missing ⚠",VLOOKUP(Y237,'G-3 Multipliers'!$S$3:$T$9,2,FALSE)))</f>
        <v/>
      </c>
      <c r="AA237" s="545" t="str">
        <f t="shared" si="18"/>
        <v/>
      </c>
      <c r="AB237" s="149"/>
      <c r="AC237" s="150"/>
    </row>
    <row r="238" spans="1:29" ht="14" x14ac:dyDescent="0.3">
      <c r="A238" s="31" t="str">
        <f>IFERROR(INDEX('G-8 Condition Look up'!$I$4:$I$130,MATCH(F238,'G-8 Condition Look up'!$A$4:$A$130,0)),"")</f>
        <v/>
      </c>
      <c r="C238" s="244" t="str">
        <f>IFERROR(INDEX('G-1 All Habitats'!$AG$3:$AG$15,MATCH(D238,'G-1 All Habitats'!$AF$3:$AF$15,0)),"")</f>
        <v/>
      </c>
      <c r="D238" s="154"/>
      <c r="E238" s="203"/>
      <c r="F238" s="243" t="str">
        <f>IFERROR(INDEX('G-1 All Habitats'!$B$3:$B$129,MATCH(E238,'G-1 All Habitats'!$A$3:$A$129,0)),"")</f>
        <v/>
      </c>
      <c r="G238" s="386"/>
      <c r="H238" s="537" t="str">
        <f>IF(F238="","",VLOOKUP(F238,'G-1 All Habitats'!$B$2:$M$129,10,FALSE))</f>
        <v/>
      </c>
      <c r="I238" s="524" t="str">
        <f>IFERROR(VLOOKUP(H238,'G-1 All Habitats'!$V$3:$W$7,2,FALSE),"")</f>
        <v/>
      </c>
      <c r="J238" s="199"/>
      <c r="K238" s="524" t="str">
        <f>IFERROR(INDEX('G-8 Condition Look up'!$A$3:$H$130,MATCH(F238,'G-8 Condition Look up'!$A$3:$A$130,0),MATCH(J238,'G-8 Condition Look up'!$A$3:$H$3,0)),"")</f>
        <v/>
      </c>
      <c r="L238" s="145"/>
      <c r="M238" s="540" t="str">
        <f>IF(L238="","",IF(VLOOKUP(L238,'G-3 Multipliers'!$L$3:$N$6,2,FALSE)=0,"Spatial Data Missing ⚠",VLOOKUP(L238,'G-3 Multipliers'!$L$3:$N$6,2,FALSE)))</f>
        <v/>
      </c>
      <c r="N238" s="499" t="str">
        <f>IF(L238="","",IF(VLOOKUP(L238,'G-3 Multipliers'!$L$3:$N$6,3,FALSE)=0,"Spatial Data Missing ⚠",VLOOKUP(L238,'G-3 Multipliers'!$L$3:$N$6,3,FALSE)))</f>
        <v/>
      </c>
      <c r="O238" s="498" t="str">
        <f t="shared" si="15"/>
        <v/>
      </c>
      <c r="P238" s="195"/>
      <c r="Q238" s="195"/>
      <c r="R238" s="520" t="str">
        <f t="shared" si="16"/>
        <v/>
      </c>
      <c r="S238" s="544" t="str">
        <f t="shared" si="17"/>
        <v/>
      </c>
      <c r="T238" s="525" t="str">
        <f>IFERROR(IF(S238="Check Data ⚠","Check Data ⚠",VLOOKUP(S238,'G-4 Temporal multipliers'!$A$4:$C$37,3,FALSE)),"")</f>
        <v/>
      </c>
      <c r="U238" s="523" t="str">
        <f>IF(F238="","",VLOOKUP(F238,'G-3 Multipliers'!$A$2:$E$129,2,FALSE))</f>
        <v/>
      </c>
      <c r="V238" s="520" t="str">
        <f t="shared" si="19"/>
        <v/>
      </c>
      <c r="W238" s="520" t="str">
        <f>IF(E238="","",IF(AND(V238="Standard difficulty applied",O238&gt;P238),U238,IF(AND(V238="Low Difficulty - only applicable if all habitat created before losses ⚠",P238&gt;=O238),"Low",VLOOKUP(F238,'G-3 Multipliers'!$A$2:$E$129,4,FALSE))))</f>
        <v/>
      </c>
      <c r="X238" s="524" t="str">
        <f>IFERROR(IF(E238="","",VLOOKUP(W238, 'G-3 Multipliers'!$P$2:$Q$6,2,FALSE)),"")</f>
        <v/>
      </c>
      <c r="Y238" s="197"/>
      <c r="Z238" s="499" t="str">
        <f>IF(Y238="","",IF(VLOOKUP(Y238,'G-3 Multipliers'!$S$3:$T$9,2,FALSE)=0,"Spatial Data Missing ⚠",VLOOKUP(Y238,'G-3 Multipliers'!$S$3:$T$9,2,FALSE)))</f>
        <v/>
      </c>
      <c r="AA238" s="545" t="str">
        <f t="shared" si="18"/>
        <v/>
      </c>
      <c r="AB238" s="149"/>
      <c r="AC238" s="150"/>
    </row>
    <row r="239" spans="1:29" ht="14" x14ac:dyDescent="0.3">
      <c r="A239" s="31" t="str">
        <f>IFERROR(INDEX('G-8 Condition Look up'!$I$4:$I$130,MATCH(F239,'G-8 Condition Look up'!$A$4:$A$130,0)),"")</f>
        <v/>
      </c>
      <c r="C239" s="244" t="str">
        <f>IFERROR(INDEX('G-1 All Habitats'!$AG$3:$AG$15,MATCH(D239,'G-1 All Habitats'!$AF$3:$AF$15,0)),"")</f>
        <v/>
      </c>
      <c r="D239" s="154"/>
      <c r="E239" s="203"/>
      <c r="F239" s="243" t="str">
        <f>IFERROR(INDEX('G-1 All Habitats'!$B$3:$B$129,MATCH(E239,'G-1 All Habitats'!$A$3:$A$129,0)),"")</f>
        <v/>
      </c>
      <c r="G239" s="386"/>
      <c r="H239" s="537" t="str">
        <f>IF(F239="","",VLOOKUP(F239,'G-1 All Habitats'!$B$2:$M$129,10,FALSE))</f>
        <v/>
      </c>
      <c r="I239" s="524" t="str">
        <f>IFERROR(VLOOKUP(H239,'G-1 All Habitats'!$V$3:$W$7,2,FALSE),"")</f>
        <v/>
      </c>
      <c r="J239" s="199"/>
      <c r="K239" s="524" t="str">
        <f>IFERROR(INDEX('G-8 Condition Look up'!$A$3:$H$130,MATCH(F239,'G-8 Condition Look up'!$A$3:$A$130,0),MATCH(J239,'G-8 Condition Look up'!$A$3:$H$3,0)),"")</f>
        <v/>
      </c>
      <c r="L239" s="145"/>
      <c r="M239" s="540" t="str">
        <f>IF(L239="","",IF(VLOOKUP(L239,'G-3 Multipliers'!$L$3:$N$6,2,FALSE)=0,"Spatial Data Missing ⚠",VLOOKUP(L239,'G-3 Multipliers'!$L$3:$N$6,2,FALSE)))</f>
        <v/>
      </c>
      <c r="N239" s="499" t="str">
        <f>IF(L239="","",IF(VLOOKUP(L239,'G-3 Multipliers'!$L$3:$N$6,3,FALSE)=0,"Spatial Data Missing ⚠",VLOOKUP(L239,'G-3 Multipliers'!$L$3:$N$6,3,FALSE)))</f>
        <v/>
      </c>
      <c r="O239" s="498" t="str">
        <f t="shared" si="15"/>
        <v/>
      </c>
      <c r="P239" s="195"/>
      <c r="Q239" s="195"/>
      <c r="R239" s="520" t="str">
        <f t="shared" si="16"/>
        <v/>
      </c>
      <c r="S239" s="544" t="str">
        <f t="shared" si="17"/>
        <v/>
      </c>
      <c r="T239" s="525" t="str">
        <f>IFERROR(IF(S239="Check Data ⚠","Check Data ⚠",VLOOKUP(S239,'G-4 Temporal multipliers'!$A$4:$C$37,3,FALSE)),"")</f>
        <v/>
      </c>
      <c r="U239" s="523" t="str">
        <f>IF(F239="","",VLOOKUP(F239,'G-3 Multipliers'!$A$2:$E$129,2,FALSE))</f>
        <v/>
      </c>
      <c r="V239" s="520" t="str">
        <f t="shared" si="19"/>
        <v/>
      </c>
      <c r="W239" s="520" t="str">
        <f>IF(E239="","",IF(AND(V239="Standard difficulty applied",O239&gt;P239),U239,IF(AND(V239="Low Difficulty - only applicable if all habitat created before losses ⚠",P239&gt;=O239),"Low",VLOOKUP(F239,'G-3 Multipliers'!$A$2:$E$129,4,FALSE))))</f>
        <v/>
      </c>
      <c r="X239" s="524" t="str">
        <f>IFERROR(IF(E239="","",VLOOKUP(W239, 'G-3 Multipliers'!$P$2:$Q$6,2,FALSE)),"")</f>
        <v/>
      </c>
      <c r="Y239" s="197"/>
      <c r="Z239" s="499" t="str">
        <f>IF(Y239="","",IF(VLOOKUP(Y239,'G-3 Multipliers'!$S$3:$T$9,2,FALSE)=0,"Spatial Data Missing ⚠",VLOOKUP(Y239,'G-3 Multipliers'!$S$3:$T$9,2,FALSE)))</f>
        <v/>
      </c>
      <c r="AA239" s="545" t="str">
        <f t="shared" si="18"/>
        <v/>
      </c>
      <c r="AB239" s="149"/>
      <c r="AC239" s="150"/>
    </row>
    <row r="240" spans="1:29" ht="14" x14ac:dyDescent="0.3">
      <c r="A240" s="31" t="str">
        <f>IFERROR(INDEX('G-8 Condition Look up'!$I$4:$I$130,MATCH(F240,'G-8 Condition Look up'!$A$4:$A$130,0)),"")</f>
        <v/>
      </c>
      <c r="C240" s="244" t="str">
        <f>IFERROR(INDEX('G-1 All Habitats'!$AG$3:$AG$15,MATCH(D240,'G-1 All Habitats'!$AF$3:$AF$15,0)),"")</f>
        <v/>
      </c>
      <c r="D240" s="154"/>
      <c r="E240" s="203"/>
      <c r="F240" s="243" t="str">
        <f>IFERROR(INDEX('G-1 All Habitats'!$B$3:$B$129,MATCH(E240,'G-1 All Habitats'!$A$3:$A$129,0)),"")</f>
        <v/>
      </c>
      <c r="G240" s="386"/>
      <c r="H240" s="537" t="str">
        <f>IF(F240="","",VLOOKUP(F240,'G-1 All Habitats'!$B$2:$M$129,10,FALSE))</f>
        <v/>
      </c>
      <c r="I240" s="524" t="str">
        <f>IFERROR(VLOOKUP(H240,'G-1 All Habitats'!$V$3:$W$7,2,FALSE),"")</f>
        <v/>
      </c>
      <c r="J240" s="199"/>
      <c r="K240" s="524" t="str">
        <f>IFERROR(INDEX('G-8 Condition Look up'!$A$3:$H$130,MATCH(F240,'G-8 Condition Look up'!$A$3:$A$130,0),MATCH(J240,'G-8 Condition Look up'!$A$3:$H$3,0)),"")</f>
        <v/>
      </c>
      <c r="L240" s="145"/>
      <c r="M240" s="540" t="str">
        <f>IF(L240="","",IF(VLOOKUP(L240,'G-3 Multipliers'!$L$3:$N$6,2,FALSE)=0,"Spatial Data Missing ⚠",VLOOKUP(L240,'G-3 Multipliers'!$L$3:$N$6,2,FALSE)))</f>
        <v/>
      </c>
      <c r="N240" s="499" t="str">
        <f>IF(L240="","",IF(VLOOKUP(L240,'G-3 Multipliers'!$L$3:$N$6,3,FALSE)=0,"Spatial Data Missing ⚠",VLOOKUP(L240,'G-3 Multipliers'!$L$3:$N$6,3,FALSE)))</f>
        <v/>
      </c>
      <c r="O240" s="498" t="str">
        <f t="shared" si="15"/>
        <v/>
      </c>
      <c r="P240" s="195"/>
      <c r="Q240" s="195"/>
      <c r="R240" s="520" t="str">
        <f t="shared" si="16"/>
        <v/>
      </c>
      <c r="S240" s="544" t="str">
        <f t="shared" si="17"/>
        <v/>
      </c>
      <c r="T240" s="525" t="str">
        <f>IFERROR(IF(S240="Check Data ⚠","Check Data ⚠",VLOOKUP(S240,'G-4 Temporal multipliers'!$A$4:$C$37,3,FALSE)),"")</f>
        <v/>
      </c>
      <c r="U240" s="523" t="str">
        <f>IF(F240="","",VLOOKUP(F240,'G-3 Multipliers'!$A$2:$E$129,2,FALSE))</f>
        <v/>
      </c>
      <c r="V240" s="520" t="str">
        <f t="shared" si="19"/>
        <v/>
      </c>
      <c r="W240" s="520" t="str">
        <f>IF(E240="","",IF(AND(V240="Standard difficulty applied",O240&gt;P240),U240,IF(AND(V240="Low Difficulty - only applicable if all habitat created before losses ⚠",P240&gt;=O240),"Low",VLOOKUP(F240,'G-3 Multipliers'!$A$2:$E$129,4,FALSE))))</f>
        <v/>
      </c>
      <c r="X240" s="524" t="str">
        <f>IFERROR(IF(E240="","",VLOOKUP(W240, 'G-3 Multipliers'!$P$2:$Q$6,2,FALSE)),"")</f>
        <v/>
      </c>
      <c r="Y240" s="197"/>
      <c r="Z240" s="499" t="str">
        <f>IF(Y240="","",IF(VLOOKUP(Y240,'G-3 Multipliers'!$S$3:$T$9,2,FALSE)=0,"Spatial Data Missing ⚠",VLOOKUP(Y240,'G-3 Multipliers'!$S$3:$T$9,2,FALSE)))</f>
        <v/>
      </c>
      <c r="AA240" s="545" t="str">
        <f t="shared" si="18"/>
        <v/>
      </c>
      <c r="AB240" s="149"/>
      <c r="AC240" s="150"/>
    </row>
    <row r="241" spans="1:29" ht="14" x14ac:dyDescent="0.3">
      <c r="A241" s="31" t="str">
        <f>IFERROR(INDEX('G-8 Condition Look up'!$I$4:$I$130,MATCH(F241,'G-8 Condition Look up'!$A$4:$A$130,0)),"")</f>
        <v/>
      </c>
      <c r="C241" s="244" t="str">
        <f>IFERROR(INDEX('G-1 All Habitats'!$AG$3:$AG$15,MATCH(D241,'G-1 All Habitats'!$AF$3:$AF$15,0)),"")</f>
        <v/>
      </c>
      <c r="D241" s="154"/>
      <c r="E241" s="203"/>
      <c r="F241" s="243" t="str">
        <f>IFERROR(INDEX('G-1 All Habitats'!$B$3:$B$129,MATCH(E241,'G-1 All Habitats'!$A$3:$A$129,0)),"")</f>
        <v/>
      </c>
      <c r="G241" s="386"/>
      <c r="H241" s="537" t="str">
        <f>IF(F241="","",VLOOKUP(F241,'G-1 All Habitats'!$B$2:$M$129,10,FALSE))</f>
        <v/>
      </c>
      <c r="I241" s="524" t="str">
        <f>IFERROR(VLOOKUP(H241,'G-1 All Habitats'!$V$3:$W$7,2,FALSE),"")</f>
        <v/>
      </c>
      <c r="J241" s="199"/>
      <c r="K241" s="524" t="str">
        <f>IFERROR(INDEX('G-8 Condition Look up'!$A$3:$H$130,MATCH(F241,'G-8 Condition Look up'!$A$3:$A$130,0),MATCH(J241,'G-8 Condition Look up'!$A$3:$H$3,0)),"")</f>
        <v/>
      </c>
      <c r="L241" s="145"/>
      <c r="M241" s="540" t="str">
        <f>IF(L241="","",IF(VLOOKUP(L241,'G-3 Multipliers'!$L$3:$N$6,2,FALSE)=0,"Spatial Data Missing ⚠",VLOOKUP(L241,'G-3 Multipliers'!$L$3:$N$6,2,FALSE)))</f>
        <v/>
      </c>
      <c r="N241" s="499" t="str">
        <f>IF(L241="","",IF(VLOOKUP(L241,'G-3 Multipliers'!$L$3:$N$6,3,FALSE)=0,"Spatial Data Missing ⚠",VLOOKUP(L241,'G-3 Multipliers'!$L$3:$N$6,3,FALSE)))</f>
        <v/>
      </c>
      <c r="O241" s="498" t="str">
        <f t="shared" si="15"/>
        <v/>
      </c>
      <c r="P241" s="195"/>
      <c r="Q241" s="195"/>
      <c r="R241" s="520" t="str">
        <f t="shared" si="16"/>
        <v/>
      </c>
      <c r="S241" s="544" t="str">
        <f t="shared" si="17"/>
        <v/>
      </c>
      <c r="T241" s="525" t="str">
        <f>IFERROR(IF(S241="Check Data ⚠","Check Data ⚠",VLOOKUP(S241,'G-4 Temporal multipliers'!$A$4:$C$37,3,FALSE)),"")</f>
        <v/>
      </c>
      <c r="U241" s="523" t="str">
        <f>IF(F241="","",VLOOKUP(F241,'G-3 Multipliers'!$A$2:$E$129,2,FALSE))</f>
        <v/>
      </c>
      <c r="V241" s="520" t="str">
        <f t="shared" si="19"/>
        <v/>
      </c>
      <c r="W241" s="520" t="str">
        <f>IF(E241="","",IF(AND(V241="Standard difficulty applied",O241&gt;P241),U241,IF(AND(V241="Low Difficulty - only applicable if all habitat created before losses ⚠",P241&gt;=O241),"Low",VLOOKUP(F241,'G-3 Multipliers'!$A$2:$E$129,4,FALSE))))</f>
        <v/>
      </c>
      <c r="X241" s="524" t="str">
        <f>IFERROR(IF(E241="","",VLOOKUP(W241, 'G-3 Multipliers'!$P$2:$Q$6,2,FALSE)),"")</f>
        <v/>
      </c>
      <c r="Y241" s="197"/>
      <c r="Z241" s="499" t="str">
        <f>IF(Y241="","",IF(VLOOKUP(Y241,'G-3 Multipliers'!$S$3:$T$9,2,FALSE)=0,"Spatial Data Missing ⚠",VLOOKUP(Y241,'G-3 Multipliers'!$S$3:$T$9,2,FALSE)))</f>
        <v/>
      </c>
      <c r="AA241" s="545" t="str">
        <f t="shared" si="18"/>
        <v/>
      </c>
      <c r="AB241" s="149"/>
      <c r="AC241" s="150"/>
    </row>
    <row r="242" spans="1:29" ht="14" x14ac:dyDescent="0.3">
      <c r="A242" s="31" t="str">
        <f>IFERROR(INDEX('G-8 Condition Look up'!$I$4:$I$130,MATCH(F242,'G-8 Condition Look up'!$A$4:$A$130,0)),"")</f>
        <v/>
      </c>
      <c r="C242" s="244" t="str">
        <f>IFERROR(INDEX('G-1 All Habitats'!$AG$3:$AG$15,MATCH(D242,'G-1 All Habitats'!$AF$3:$AF$15,0)),"")</f>
        <v/>
      </c>
      <c r="D242" s="154"/>
      <c r="E242" s="203"/>
      <c r="F242" s="243" t="str">
        <f>IFERROR(INDEX('G-1 All Habitats'!$B$3:$B$129,MATCH(E242,'G-1 All Habitats'!$A$3:$A$129,0)),"")</f>
        <v/>
      </c>
      <c r="G242" s="386"/>
      <c r="H242" s="537" t="str">
        <f>IF(F242="","",VLOOKUP(F242,'G-1 All Habitats'!$B$2:$M$129,10,FALSE))</f>
        <v/>
      </c>
      <c r="I242" s="524" t="str">
        <f>IFERROR(VLOOKUP(H242,'G-1 All Habitats'!$V$3:$W$7,2,FALSE),"")</f>
        <v/>
      </c>
      <c r="J242" s="199"/>
      <c r="K242" s="524" t="str">
        <f>IFERROR(INDEX('G-8 Condition Look up'!$A$3:$H$130,MATCH(F242,'G-8 Condition Look up'!$A$3:$A$130,0),MATCH(J242,'G-8 Condition Look up'!$A$3:$H$3,0)),"")</f>
        <v/>
      </c>
      <c r="L242" s="145"/>
      <c r="M242" s="540" t="str">
        <f>IF(L242="","",IF(VLOOKUP(L242,'G-3 Multipliers'!$L$3:$N$6,2,FALSE)=0,"Spatial Data Missing ⚠",VLOOKUP(L242,'G-3 Multipliers'!$L$3:$N$6,2,FALSE)))</f>
        <v/>
      </c>
      <c r="N242" s="499" t="str">
        <f>IF(L242="","",IF(VLOOKUP(L242,'G-3 Multipliers'!$L$3:$N$6,3,FALSE)=0,"Spatial Data Missing ⚠",VLOOKUP(L242,'G-3 Multipliers'!$L$3:$N$6,3,FALSE)))</f>
        <v/>
      </c>
      <c r="O242" s="498" t="str">
        <f t="shared" si="15"/>
        <v/>
      </c>
      <c r="P242" s="195"/>
      <c r="Q242" s="195"/>
      <c r="R242" s="520" t="str">
        <f t="shared" si="16"/>
        <v/>
      </c>
      <c r="S242" s="544" t="str">
        <f t="shared" si="17"/>
        <v/>
      </c>
      <c r="T242" s="525" t="str">
        <f>IFERROR(IF(S242="Check Data ⚠","Check Data ⚠",VLOOKUP(S242,'G-4 Temporal multipliers'!$A$4:$C$37,3,FALSE)),"")</f>
        <v/>
      </c>
      <c r="U242" s="523" t="str">
        <f>IF(F242="","",VLOOKUP(F242,'G-3 Multipliers'!$A$2:$E$129,2,FALSE))</f>
        <v/>
      </c>
      <c r="V242" s="520" t="str">
        <f t="shared" si="19"/>
        <v/>
      </c>
      <c r="W242" s="520" t="str">
        <f>IF(E242="","",IF(AND(V242="Standard difficulty applied",O242&gt;P242),U242,IF(AND(V242="Low Difficulty - only applicable if all habitat created before losses ⚠",P242&gt;=O242),"Low",VLOOKUP(F242,'G-3 Multipliers'!$A$2:$E$129,4,FALSE))))</f>
        <v/>
      </c>
      <c r="X242" s="524" t="str">
        <f>IFERROR(IF(E242="","",VLOOKUP(W242, 'G-3 Multipliers'!$P$2:$Q$6,2,FALSE)),"")</f>
        <v/>
      </c>
      <c r="Y242" s="197"/>
      <c r="Z242" s="499" t="str">
        <f>IF(Y242="","",IF(VLOOKUP(Y242,'G-3 Multipliers'!$S$3:$T$9,2,FALSE)=0,"Spatial Data Missing ⚠",VLOOKUP(Y242,'G-3 Multipliers'!$S$3:$T$9,2,FALSE)))</f>
        <v/>
      </c>
      <c r="AA242" s="545" t="str">
        <f t="shared" si="18"/>
        <v/>
      </c>
      <c r="AB242" s="149"/>
      <c r="AC242" s="150"/>
    </row>
    <row r="243" spans="1:29" ht="14" x14ac:dyDescent="0.3">
      <c r="A243" s="31" t="str">
        <f>IFERROR(INDEX('G-8 Condition Look up'!$I$4:$I$130,MATCH(F243,'G-8 Condition Look up'!$A$4:$A$130,0)),"")</f>
        <v/>
      </c>
      <c r="C243" s="244" t="str">
        <f>IFERROR(INDEX('G-1 All Habitats'!$AG$3:$AG$15,MATCH(D243,'G-1 All Habitats'!$AF$3:$AF$15,0)),"")</f>
        <v/>
      </c>
      <c r="D243" s="154"/>
      <c r="E243" s="203"/>
      <c r="F243" s="243" t="str">
        <f>IFERROR(INDEX('G-1 All Habitats'!$B$3:$B$129,MATCH(E243,'G-1 All Habitats'!$A$3:$A$129,0)),"")</f>
        <v/>
      </c>
      <c r="G243" s="386"/>
      <c r="H243" s="537" t="str">
        <f>IF(F243="","",VLOOKUP(F243,'G-1 All Habitats'!$B$2:$M$129,10,FALSE))</f>
        <v/>
      </c>
      <c r="I243" s="524" t="str">
        <f>IFERROR(VLOOKUP(H243,'G-1 All Habitats'!$V$3:$W$7,2,FALSE),"")</f>
        <v/>
      </c>
      <c r="J243" s="199"/>
      <c r="K243" s="524" t="str">
        <f>IFERROR(INDEX('G-8 Condition Look up'!$A$3:$H$130,MATCH(F243,'G-8 Condition Look up'!$A$3:$A$130,0),MATCH(J243,'G-8 Condition Look up'!$A$3:$H$3,0)),"")</f>
        <v/>
      </c>
      <c r="L243" s="145"/>
      <c r="M243" s="540" t="str">
        <f>IF(L243="","",IF(VLOOKUP(L243,'G-3 Multipliers'!$L$3:$N$6,2,FALSE)=0,"Spatial Data Missing ⚠",VLOOKUP(L243,'G-3 Multipliers'!$L$3:$N$6,2,FALSE)))</f>
        <v/>
      </c>
      <c r="N243" s="499" t="str">
        <f>IF(L243="","",IF(VLOOKUP(L243,'G-3 Multipliers'!$L$3:$N$6,3,FALSE)=0,"Spatial Data Missing ⚠",VLOOKUP(L243,'G-3 Multipliers'!$L$3:$N$6,3,FALSE)))</f>
        <v/>
      </c>
      <c r="O243" s="498" t="str">
        <f t="shared" si="15"/>
        <v/>
      </c>
      <c r="P243" s="195"/>
      <c r="Q243" s="195"/>
      <c r="R243" s="520" t="str">
        <f t="shared" si="16"/>
        <v/>
      </c>
      <c r="S243" s="544" t="str">
        <f t="shared" si="17"/>
        <v/>
      </c>
      <c r="T243" s="525" t="str">
        <f>IFERROR(IF(S243="Check Data ⚠","Check Data ⚠",VLOOKUP(S243,'G-4 Temporal multipliers'!$A$4:$C$37,3,FALSE)),"")</f>
        <v/>
      </c>
      <c r="U243" s="523" t="str">
        <f>IF(F243="","",VLOOKUP(F243,'G-3 Multipliers'!$A$2:$E$129,2,FALSE))</f>
        <v/>
      </c>
      <c r="V243" s="520" t="str">
        <f t="shared" si="19"/>
        <v/>
      </c>
      <c r="W243" s="520" t="str">
        <f>IF(E243="","",IF(AND(V243="Standard difficulty applied",O243&gt;P243),U243,IF(AND(V243="Low Difficulty - only applicable if all habitat created before losses ⚠",P243&gt;=O243),"Low",VLOOKUP(F243,'G-3 Multipliers'!$A$2:$E$129,4,FALSE))))</f>
        <v/>
      </c>
      <c r="X243" s="524" t="str">
        <f>IFERROR(IF(E243="","",VLOOKUP(W243, 'G-3 Multipliers'!$P$2:$Q$6,2,FALSE)),"")</f>
        <v/>
      </c>
      <c r="Y243" s="197"/>
      <c r="Z243" s="499" t="str">
        <f>IF(Y243="","",IF(VLOOKUP(Y243,'G-3 Multipliers'!$S$3:$T$9,2,FALSE)=0,"Spatial Data Missing ⚠",VLOOKUP(Y243,'G-3 Multipliers'!$S$3:$T$9,2,FALSE)))</f>
        <v/>
      </c>
      <c r="AA243" s="545" t="str">
        <f t="shared" si="18"/>
        <v/>
      </c>
      <c r="AB243" s="149"/>
      <c r="AC243" s="150"/>
    </row>
    <row r="244" spans="1:29" ht="14" x14ac:dyDescent="0.3">
      <c r="A244" s="31" t="str">
        <f>IFERROR(INDEX('G-8 Condition Look up'!$I$4:$I$130,MATCH(F244,'G-8 Condition Look up'!$A$4:$A$130,0)),"")</f>
        <v/>
      </c>
      <c r="C244" s="244" t="str">
        <f>IFERROR(INDEX('G-1 All Habitats'!$AG$3:$AG$15,MATCH(D244,'G-1 All Habitats'!$AF$3:$AF$15,0)),"")</f>
        <v/>
      </c>
      <c r="D244" s="154"/>
      <c r="E244" s="203"/>
      <c r="F244" s="243" t="str">
        <f>IFERROR(INDEX('G-1 All Habitats'!$B$3:$B$129,MATCH(E244,'G-1 All Habitats'!$A$3:$A$129,0)),"")</f>
        <v/>
      </c>
      <c r="G244" s="386"/>
      <c r="H244" s="537" t="str">
        <f>IF(F244="","",VLOOKUP(F244,'G-1 All Habitats'!$B$2:$M$129,10,FALSE))</f>
        <v/>
      </c>
      <c r="I244" s="524" t="str">
        <f>IFERROR(VLOOKUP(H244,'G-1 All Habitats'!$V$3:$W$7,2,FALSE),"")</f>
        <v/>
      </c>
      <c r="J244" s="199"/>
      <c r="K244" s="524" t="str">
        <f>IFERROR(INDEX('G-8 Condition Look up'!$A$3:$H$130,MATCH(F244,'G-8 Condition Look up'!$A$3:$A$130,0),MATCH(J244,'G-8 Condition Look up'!$A$3:$H$3,0)),"")</f>
        <v/>
      </c>
      <c r="L244" s="145"/>
      <c r="M244" s="540" t="str">
        <f>IF(L244="","",IF(VLOOKUP(L244,'G-3 Multipliers'!$L$3:$N$6,2,FALSE)=0,"Spatial Data Missing ⚠",VLOOKUP(L244,'G-3 Multipliers'!$L$3:$N$6,2,FALSE)))</f>
        <v/>
      </c>
      <c r="N244" s="499" t="str">
        <f>IF(L244="","",IF(VLOOKUP(L244,'G-3 Multipliers'!$L$3:$N$6,3,FALSE)=0,"Spatial Data Missing ⚠",VLOOKUP(L244,'G-3 Multipliers'!$L$3:$N$6,3,FALSE)))</f>
        <v/>
      </c>
      <c r="O244" s="498" t="str">
        <f t="shared" si="15"/>
        <v/>
      </c>
      <c r="P244" s="195"/>
      <c r="Q244" s="195"/>
      <c r="R244" s="520" t="str">
        <f t="shared" si="16"/>
        <v/>
      </c>
      <c r="S244" s="544" t="str">
        <f t="shared" si="17"/>
        <v/>
      </c>
      <c r="T244" s="525" t="str">
        <f>IFERROR(IF(S244="Check Data ⚠","Check Data ⚠",VLOOKUP(S244,'G-4 Temporal multipliers'!$A$4:$C$37,3,FALSE)),"")</f>
        <v/>
      </c>
      <c r="U244" s="523" t="str">
        <f>IF(F244="","",VLOOKUP(F244,'G-3 Multipliers'!$A$2:$E$129,2,FALSE))</f>
        <v/>
      </c>
      <c r="V244" s="520" t="str">
        <f t="shared" si="19"/>
        <v/>
      </c>
      <c r="W244" s="520" t="str">
        <f>IF(E244="","",IF(AND(V244="Standard difficulty applied",O244&gt;P244),U244,IF(AND(V244="Low Difficulty - only applicable if all habitat created before losses ⚠",P244&gt;=O244),"Low",VLOOKUP(F244,'G-3 Multipliers'!$A$2:$E$129,4,FALSE))))</f>
        <v/>
      </c>
      <c r="X244" s="524" t="str">
        <f>IFERROR(IF(E244="","",VLOOKUP(W244, 'G-3 Multipliers'!$P$2:$Q$6,2,FALSE)),"")</f>
        <v/>
      </c>
      <c r="Y244" s="197"/>
      <c r="Z244" s="499" t="str">
        <f>IF(Y244="","",IF(VLOOKUP(Y244,'G-3 Multipliers'!$S$3:$T$9,2,FALSE)=0,"Spatial Data Missing ⚠",VLOOKUP(Y244,'G-3 Multipliers'!$S$3:$T$9,2,FALSE)))</f>
        <v/>
      </c>
      <c r="AA244" s="545" t="str">
        <f t="shared" si="18"/>
        <v/>
      </c>
      <c r="AB244" s="149"/>
      <c r="AC244" s="150"/>
    </row>
    <row r="245" spans="1:29" ht="14" x14ac:dyDescent="0.3">
      <c r="A245" s="31" t="str">
        <f>IFERROR(INDEX('G-8 Condition Look up'!$I$4:$I$130,MATCH(F245,'G-8 Condition Look up'!$A$4:$A$130,0)),"")</f>
        <v/>
      </c>
      <c r="C245" s="244" t="str">
        <f>IFERROR(INDEX('G-1 All Habitats'!$AG$3:$AG$15,MATCH(D245,'G-1 All Habitats'!$AF$3:$AF$15,0)),"")</f>
        <v/>
      </c>
      <c r="D245" s="154"/>
      <c r="E245" s="203"/>
      <c r="F245" s="243" t="str">
        <f>IFERROR(INDEX('G-1 All Habitats'!$B$3:$B$129,MATCH(E245,'G-1 All Habitats'!$A$3:$A$129,0)),"")</f>
        <v/>
      </c>
      <c r="G245" s="386"/>
      <c r="H245" s="537" t="str">
        <f>IF(F245="","",VLOOKUP(F245,'G-1 All Habitats'!$B$2:$M$129,10,FALSE))</f>
        <v/>
      </c>
      <c r="I245" s="524" t="str">
        <f>IFERROR(VLOOKUP(H245,'G-1 All Habitats'!$V$3:$W$7,2,FALSE),"")</f>
        <v/>
      </c>
      <c r="J245" s="199"/>
      <c r="K245" s="524" t="str">
        <f>IFERROR(INDEX('G-8 Condition Look up'!$A$3:$H$130,MATCH(F245,'G-8 Condition Look up'!$A$3:$A$130,0),MATCH(J245,'G-8 Condition Look up'!$A$3:$H$3,0)),"")</f>
        <v/>
      </c>
      <c r="L245" s="145"/>
      <c r="M245" s="540" t="str">
        <f>IF(L245="","",IF(VLOOKUP(L245,'G-3 Multipliers'!$L$3:$N$6,2,FALSE)=0,"Spatial Data Missing ⚠",VLOOKUP(L245,'G-3 Multipliers'!$L$3:$N$6,2,FALSE)))</f>
        <v/>
      </c>
      <c r="N245" s="499" t="str">
        <f>IF(L245="","",IF(VLOOKUP(L245,'G-3 Multipliers'!$L$3:$N$6,3,FALSE)=0,"Spatial Data Missing ⚠",VLOOKUP(L245,'G-3 Multipliers'!$L$3:$N$6,3,FALSE)))</f>
        <v/>
      </c>
      <c r="O245" s="498" t="str">
        <f t="shared" si="15"/>
        <v/>
      </c>
      <c r="P245" s="195"/>
      <c r="Q245" s="195"/>
      <c r="R245" s="520" t="str">
        <f t="shared" si="16"/>
        <v/>
      </c>
      <c r="S245" s="544" t="str">
        <f t="shared" si="17"/>
        <v/>
      </c>
      <c r="T245" s="525" t="str">
        <f>IFERROR(IF(S245="Check Data ⚠","Check Data ⚠",VLOOKUP(S245,'G-4 Temporal multipliers'!$A$4:$C$37,3,FALSE)),"")</f>
        <v/>
      </c>
      <c r="U245" s="523" t="str">
        <f>IF(F245="","",VLOOKUP(F245,'G-3 Multipliers'!$A$2:$E$129,2,FALSE))</f>
        <v/>
      </c>
      <c r="V245" s="520" t="str">
        <f t="shared" si="19"/>
        <v/>
      </c>
      <c r="W245" s="520" t="str">
        <f>IF(E245="","",IF(AND(V245="Standard difficulty applied",O245&gt;P245),U245,IF(AND(V245="Low Difficulty - only applicable if all habitat created before losses ⚠",P245&gt;=O245),"Low",VLOOKUP(F245,'G-3 Multipliers'!$A$2:$E$129,4,FALSE))))</f>
        <v/>
      </c>
      <c r="X245" s="524" t="str">
        <f>IFERROR(IF(E245="","",VLOOKUP(W245, 'G-3 Multipliers'!$P$2:$Q$6,2,FALSE)),"")</f>
        <v/>
      </c>
      <c r="Y245" s="197"/>
      <c r="Z245" s="499" t="str">
        <f>IF(Y245="","",IF(VLOOKUP(Y245,'G-3 Multipliers'!$S$3:$T$9,2,FALSE)=0,"Spatial Data Missing ⚠",VLOOKUP(Y245,'G-3 Multipliers'!$S$3:$T$9,2,FALSE)))</f>
        <v/>
      </c>
      <c r="AA245" s="545" t="str">
        <f t="shared" si="18"/>
        <v/>
      </c>
      <c r="AB245" s="149"/>
      <c r="AC245" s="150"/>
    </row>
    <row r="246" spans="1:29" ht="14" x14ac:dyDescent="0.3">
      <c r="A246" s="31" t="str">
        <f>IFERROR(INDEX('G-8 Condition Look up'!$I$4:$I$130,MATCH(F246,'G-8 Condition Look up'!$A$4:$A$130,0)),"")</f>
        <v/>
      </c>
      <c r="C246" s="244" t="str">
        <f>IFERROR(INDEX('G-1 All Habitats'!$AG$3:$AG$15,MATCH(D246,'G-1 All Habitats'!$AF$3:$AF$15,0)),"")</f>
        <v/>
      </c>
      <c r="D246" s="154"/>
      <c r="E246" s="203"/>
      <c r="F246" s="243" t="str">
        <f>IFERROR(INDEX('G-1 All Habitats'!$B$3:$B$129,MATCH(E246,'G-1 All Habitats'!$A$3:$A$129,0)),"")</f>
        <v/>
      </c>
      <c r="G246" s="386"/>
      <c r="H246" s="537" t="str">
        <f>IF(F246="","",VLOOKUP(F246,'G-1 All Habitats'!$B$2:$M$129,10,FALSE))</f>
        <v/>
      </c>
      <c r="I246" s="524" t="str">
        <f>IFERROR(VLOOKUP(H246,'G-1 All Habitats'!$V$3:$W$7,2,FALSE),"")</f>
        <v/>
      </c>
      <c r="J246" s="199"/>
      <c r="K246" s="524" t="str">
        <f>IFERROR(INDEX('G-8 Condition Look up'!$A$3:$H$130,MATCH(F246,'G-8 Condition Look up'!$A$3:$A$130,0),MATCH(J246,'G-8 Condition Look up'!$A$3:$H$3,0)),"")</f>
        <v/>
      </c>
      <c r="L246" s="145"/>
      <c r="M246" s="540" t="str">
        <f>IF(L246="","",IF(VLOOKUP(L246,'G-3 Multipliers'!$L$3:$N$6,2,FALSE)=0,"Spatial Data Missing ⚠",VLOOKUP(L246,'G-3 Multipliers'!$L$3:$N$6,2,FALSE)))</f>
        <v/>
      </c>
      <c r="N246" s="499" t="str">
        <f>IF(L246="","",IF(VLOOKUP(L246,'G-3 Multipliers'!$L$3:$N$6,3,FALSE)=0,"Spatial Data Missing ⚠",VLOOKUP(L246,'G-3 Multipliers'!$L$3:$N$6,3,FALSE)))</f>
        <v/>
      </c>
      <c r="O246" s="498" t="str">
        <f t="shared" si="15"/>
        <v/>
      </c>
      <c r="P246" s="195"/>
      <c r="Q246" s="195"/>
      <c r="R246" s="520" t="str">
        <f t="shared" si="16"/>
        <v/>
      </c>
      <c r="S246" s="544" t="str">
        <f t="shared" si="17"/>
        <v/>
      </c>
      <c r="T246" s="525" t="str">
        <f>IFERROR(IF(S246="Check Data ⚠","Check Data ⚠",VLOOKUP(S246,'G-4 Temporal multipliers'!$A$4:$C$37,3,FALSE)),"")</f>
        <v/>
      </c>
      <c r="U246" s="523" t="str">
        <f>IF(F246="","",VLOOKUP(F246,'G-3 Multipliers'!$A$2:$E$129,2,FALSE))</f>
        <v/>
      </c>
      <c r="V246" s="520" t="str">
        <f t="shared" si="19"/>
        <v/>
      </c>
      <c r="W246" s="520" t="str">
        <f>IF(E246="","",IF(AND(V246="Standard difficulty applied",O246&gt;P246),U246,IF(AND(V246="Low Difficulty - only applicable if all habitat created before losses ⚠",P246&gt;=O246),"Low",VLOOKUP(F246,'G-3 Multipliers'!$A$2:$E$129,4,FALSE))))</f>
        <v/>
      </c>
      <c r="X246" s="524" t="str">
        <f>IFERROR(IF(E246="","",VLOOKUP(W246, 'G-3 Multipliers'!$P$2:$Q$6,2,FALSE)),"")</f>
        <v/>
      </c>
      <c r="Y246" s="197"/>
      <c r="Z246" s="499" t="str">
        <f>IF(Y246="","",IF(VLOOKUP(Y246,'G-3 Multipliers'!$S$3:$T$9,2,FALSE)=0,"Spatial Data Missing ⚠",VLOOKUP(Y246,'G-3 Multipliers'!$S$3:$T$9,2,FALSE)))</f>
        <v/>
      </c>
      <c r="AA246" s="545" t="str">
        <f t="shared" si="18"/>
        <v/>
      </c>
      <c r="AB246" s="149"/>
      <c r="AC246" s="150"/>
    </row>
    <row r="247" spans="1:29" ht="14" x14ac:dyDescent="0.3">
      <c r="A247" s="31" t="str">
        <f>IFERROR(INDEX('G-8 Condition Look up'!$I$4:$I$130,MATCH(F247,'G-8 Condition Look up'!$A$4:$A$130,0)),"")</f>
        <v/>
      </c>
      <c r="C247" s="244" t="str">
        <f>IFERROR(INDEX('G-1 All Habitats'!$AG$3:$AG$15,MATCH(D247,'G-1 All Habitats'!$AF$3:$AF$15,0)),"")</f>
        <v/>
      </c>
      <c r="D247" s="154"/>
      <c r="E247" s="203"/>
      <c r="F247" s="243" t="str">
        <f>IFERROR(INDEX('G-1 All Habitats'!$B$3:$B$129,MATCH(E247,'G-1 All Habitats'!$A$3:$A$129,0)),"")</f>
        <v/>
      </c>
      <c r="G247" s="386"/>
      <c r="H247" s="537" t="str">
        <f>IF(F247="","",VLOOKUP(F247,'G-1 All Habitats'!$B$2:$M$129,10,FALSE))</f>
        <v/>
      </c>
      <c r="I247" s="524" t="str">
        <f>IFERROR(VLOOKUP(H247,'G-1 All Habitats'!$V$3:$W$7,2,FALSE),"")</f>
        <v/>
      </c>
      <c r="J247" s="199"/>
      <c r="K247" s="524" t="str">
        <f>IFERROR(INDEX('G-8 Condition Look up'!$A$3:$H$130,MATCH(F247,'G-8 Condition Look up'!$A$3:$A$130,0),MATCH(J247,'G-8 Condition Look up'!$A$3:$H$3,0)),"")</f>
        <v/>
      </c>
      <c r="L247" s="145"/>
      <c r="M247" s="540" t="str">
        <f>IF(L247="","",IF(VLOOKUP(L247,'G-3 Multipliers'!$L$3:$N$6,2,FALSE)=0,"Spatial Data Missing ⚠",VLOOKUP(L247,'G-3 Multipliers'!$L$3:$N$6,2,FALSE)))</f>
        <v/>
      </c>
      <c r="N247" s="499" t="str">
        <f>IF(L247="","",IF(VLOOKUP(L247,'G-3 Multipliers'!$L$3:$N$6,3,FALSE)=0,"Spatial Data Missing ⚠",VLOOKUP(L247,'G-3 Multipliers'!$L$3:$N$6,3,FALSE)))</f>
        <v/>
      </c>
      <c r="O247" s="498" t="str">
        <f t="shared" si="15"/>
        <v/>
      </c>
      <c r="P247" s="195"/>
      <c r="Q247" s="195"/>
      <c r="R247" s="520" t="str">
        <f t="shared" si="16"/>
        <v/>
      </c>
      <c r="S247" s="544" t="str">
        <f t="shared" si="17"/>
        <v/>
      </c>
      <c r="T247" s="525" t="str">
        <f>IFERROR(IF(S247="Check Data ⚠","Check Data ⚠",VLOOKUP(S247,'G-4 Temporal multipliers'!$A$4:$C$37,3,FALSE)),"")</f>
        <v/>
      </c>
      <c r="U247" s="523" t="str">
        <f>IF(F247="","",VLOOKUP(F247,'G-3 Multipliers'!$A$2:$E$129,2,FALSE))</f>
        <v/>
      </c>
      <c r="V247" s="520" t="str">
        <f t="shared" si="19"/>
        <v/>
      </c>
      <c r="W247" s="520" t="str">
        <f>IF(E247="","",IF(AND(V247="Standard difficulty applied",O247&gt;P247),U247,IF(AND(V247="Low Difficulty - only applicable if all habitat created before losses ⚠",P247&gt;=O247),"Low",VLOOKUP(F247,'G-3 Multipliers'!$A$2:$E$129,4,FALSE))))</f>
        <v/>
      </c>
      <c r="X247" s="524" t="str">
        <f>IFERROR(IF(E247="","",VLOOKUP(W247, 'G-3 Multipliers'!$P$2:$Q$6,2,FALSE)),"")</f>
        <v/>
      </c>
      <c r="Y247" s="197"/>
      <c r="Z247" s="499" t="str">
        <f>IF(Y247="","",IF(VLOOKUP(Y247,'G-3 Multipliers'!$S$3:$T$9,2,FALSE)=0,"Spatial Data Missing ⚠",VLOOKUP(Y247,'G-3 Multipliers'!$S$3:$T$9,2,FALSE)))</f>
        <v/>
      </c>
      <c r="AA247" s="545" t="str">
        <f t="shared" si="18"/>
        <v/>
      </c>
      <c r="AB247" s="149"/>
      <c r="AC247" s="150"/>
    </row>
    <row r="248" spans="1:29" ht="14" x14ac:dyDescent="0.3">
      <c r="A248" s="31" t="str">
        <f>IFERROR(INDEX('G-8 Condition Look up'!$I$4:$I$130,MATCH(F248,'G-8 Condition Look up'!$A$4:$A$130,0)),"")</f>
        <v/>
      </c>
      <c r="C248" s="244" t="str">
        <f>IFERROR(INDEX('G-1 All Habitats'!$AG$3:$AG$15,MATCH(D248,'G-1 All Habitats'!$AF$3:$AF$15,0)),"")</f>
        <v/>
      </c>
      <c r="D248" s="154"/>
      <c r="E248" s="203"/>
      <c r="F248" s="243" t="str">
        <f>IFERROR(INDEX('G-1 All Habitats'!$B$3:$B$129,MATCH(E248,'G-1 All Habitats'!$A$3:$A$129,0)),"")</f>
        <v/>
      </c>
      <c r="G248" s="386"/>
      <c r="H248" s="537" t="str">
        <f>IF(F248="","",VLOOKUP(F248,'G-1 All Habitats'!$B$2:$M$129,10,FALSE))</f>
        <v/>
      </c>
      <c r="I248" s="524" t="str">
        <f>IFERROR(VLOOKUP(H248,'G-1 All Habitats'!$V$3:$W$7,2,FALSE),"")</f>
        <v/>
      </c>
      <c r="J248" s="199"/>
      <c r="K248" s="524" t="str">
        <f>IFERROR(INDEX('G-8 Condition Look up'!$A$3:$H$130,MATCH(F248,'G-8 Condition Look up'!$A$3:$A$130,0),MATCH(J248,'G-8 Condition Look up'!$A$3:$H$3,0)),"")</f>
        <v/>
      </c>
      <c r="L248" s="145"/>
      <c r="M248" s="540" t="str">
        <f>IF(L248="","",IF(VLOOKUP(L248,'G-3 Multipliers'!$L$3:$N$6,2,FALSE)=0,"Spatial Data Missing ⚠",VLOOKUP(L248,'G-3 Multipliers'!$L$3:$N$6,2,FALSE)))</f>
        <v/>
      </c>
      <c r="N248" s="499" t="str">
        <f>IF(L248="","",IF(VLOOKUP(L248,'G-3 Multipliers'!$L$3:$N$6,3,FALSE)=0,"Spatial Data Missing ⚠",VLOOKUP(L248,'G-3 Multipliers'!$L$3:$N$6,3,FALSE)))</f>
        <v/>
      </c>
      <c r="O248" s="498" t="str">
        <f t="shared" si="15"/>
        <v/>
      </c>
      <c r="P248" s="195"/>
      <c r="Q248" s="195"/>
      <c r="R248" s="520" t="str">
        <f t="shared" si="16"/>
        <v/>
      </c>
      <c r="S248" s="544" t="str">
        <f t="shared" si="17"/>
        <v/>
      </c>
      <c r="T248" s="525" t="str">
        <f>IFERROR(IF(S248="Check Data ⚠","Check Data ⚠",VLOOKUP(S248,'G-4 Temporal multipliers'!$A$4:$C$37,3,FALSE)),"")</f>
        <v/>
      </c>
      <c r="U248" s="523" t="str">
        <f>IF(F248="","",VLOOKUP(F248,'G-3 Multipliers'!$A$2:$E$129,2,FALSE))</f>
        <v/>
      </c>
      <c r="V248" s="520" t="str">
        <f t="shared" si="19"/>
        <v/>
      </c>
      <c r="W248" s="520" t="str">
        <f>IF(E248="","",IF(AND(V248="Standard difficulty applied",O248&gt;P248),U248,IF(AND(V248="Low Difficulty - only applicable if all habitat created before losses ⚠",P248&gt;=O248),"Low",VLOOKUP(F248,'G-3 Multipliers'!$A$2:$E$129,4,FALSE))))</f>
        <v/>
      </c>
      <c r="X248" s="524" t="str">
        <f>IFERROR(IF(E248="","",VLOOKUP(W248, 'G-3 Multipliers'!$P$2:$Q$6,2,FALSE)),"")</f>
        <v/>
      </c>
      <c r="Y248" s="197"/>
      <c r="Z248" s="499" t="str">
        <f>IF(Y248="","",IF(VLOOKUP(Y248,'G-3 Multipliers'!$S$3:$T$9,2,FALSE)=0,"Spatial Data Missing ⚠",VLOOKUP(Y248,'G-3 Multipliers'!$S$3:$T$9,2,FALSE)))</f>
        <v/>
      </c>
      <c r="AA248" s="545" t="str">
        <f t="shared" si="18"/>
        <v/>
      </c>
      <c r="AB248" s="149"/>
      <c r="AC248" s="150"/>
    </row>
    <row r="249" spans="1:29" ht="14" x14ac:dyDescent="0.3">
      <c r="A249" s="31" t="str">
        <f>IFERROR(INDEX('G-8 Condition Look up'!$I$4:$I$130,MATCH(F249,'G-8 Condition Look up'!$A$4:$A$130,0)),"")</f>
        <v/>
      </c>
      <c r="C249" s="244" t="str">
        <f>IFERROR(INDEX('G-1 All Habitats'!$AG$3:$AG$15,MATCH(D249,'G-1 All Habitats'!$AF$3:$AF$15,0)),"")</f>
        <v/>
      </c>
      <c r="D249" s="154"/>
      <c r="E249" s="203"/>
      <c r="F249" s="243" t="str">
        <f>IFERROR(INDEX('G-1 All Habitats'!$B$3:$B$129,MATCH(E249,'G-1 All Habitats'!$A$3:$A$129,0)),"")</f>
        <v/>
      </c>
      <c r="G249" s="386"/>
      <c r="H249" s="537" t="str">
        <f>IF(F249="","",VLOOKUP(F249,'G-1 All Habitats'!$B$2:$M$129,10,FALSE))</f>
        <v/>
      </c>
      <c r="I249" s="524" t="str">
        <f>IFERROR(VLOOKUP(H249,'G-1 All Habitats'!$V$3:$W$7,2,FALSE),"")</f>
        <v/>
      </c>
      <c r="J249" s="199"/>
      <c r="K249" s="524" t="str">
        <f>IFERROR(INDEX('G-8 Condition Look up'!$A$3:$H$130,MATCH(F249,'G-8 Condition Look up'!$A$3:$A$130,0),MATCH(J249,'G-8 Condition Look up'!$A$3:$H$3,0)),"")</f>
        <v/>
      </c>
      <c r="L249" s="145"/>
      <c r="M249" s="540" t="str">
        <f>IF(L249="","",IF(VLOOKUP(L249,'G-3 Multipliers'!$L$3:$N$6,2,FALSE)=0,"Spatial Data Missing ⚠",VLOOKUP(L249,'G-3 Multipliers'!$L$3:$N$6,2,FALSE)))</f>
        <v/>
      </c>
      <c r="N249" s="499" t="str">
        <f>IF(L249="","",IF(VLOOKUP(L249,'G-3 Multipliers'!$L$3:$N$6,3,FALSE)=0,"Spatial Data Missing ⚠",VLOOKUP(L249,'G-3 Multipliers'!$L$3:$N$6,3,FALSE)))</f>
        <v/>
      </c>
      <c r="O249" s="498" t="str">
        <f t="shared" si="15"/>
        <v/>
      </c>
      <c r="P249" s="195"/>
      <c r="Q249" s="195"/>
      <c r="R249" s="520" t="str">
        <f t="shared" si="16"/>
        <v/>
      </c>
      <c r="S249" s="544" t="str">
        <f t="shared" si="17"/>
        <v/>
      </c>
      <c r="T249" s="525" t="str">
        <f>IFERROR(IF(S249="Check Data ⚠","Check Data ⚠",VLOOKUP(S249,'G-4 Temporal multipliers'!$A$4:$C$37,3,FALSE)),"")</f>
        <v/>
      </c>
      <c r="U249" s="523" t="str">
        <f>IF(F249="","",VLOOKUP(F249,'G-3 Multipliers'!$A$2:$E$129,2,FALSE))</f>
        <v/>
      </c>
      <c r="V249" s="520" t="str">
        <f t="shared" si="19"/>
        <v/>
      </c>
      <c r="W249" s="520" t="str">
        <f>IF(E249="","",IF(AND(V249="Standard difficulty applied",O249&gt;P249),U249,IF(AND(V249="Low Difficulty - only applicable if all habitat created before losses ⚠",P249&gt;=O249),"Low",VLOOKUP(F249,'G-3 Multipliers'!$A$2:$E$129,4,FALSE))))</f>
        <v/>
      </c>
      <c r="X249" s="524" t="str">
        <f>IFERROR(IF(E249="","",VLOOKUP(W249, 'G-3 Multipliers'!$P$2:$Q$6,2,FALSE)),"")</f>
        <v/>
      </c>
      <c r="Y249" s="197"/>
      <c r="Z249" s="499" t="str">
        <f>IF(Y249="","",IF(VLOOKUP(Y249,'G-3 Multipliers'!$S$3:$T$9,2,FALSE)=0,"Spatial Data Missing ⚠",VLOOKUP(Y249,'G-3 Multipliers'!$S$3:$T$9,2,FALSE)))</f>
        <v/>
      </c>
      <c r="AA249" s="545" t="str">
        <f t="shared" si="18"/>
        <v/>
      </c>
      <c r="AB249" s="149"/>
      <c r="AC249" s="150"/>
    </row>
    <row r="250" spans="1:29" ht="14" x14ac:dyDescent="0.3">
      <c r="A250" s="31" t="str">
        <f>IFERROR(INDEX('G-8 Condition Look up'!$I$4:$I$130,MATCH(F250,'G-8 Condition Look up'!$A$4:$A$130,0)),"")</f>
        <v/>
      </c>
      <c r="C250" s="244" t="str">
        <f>IFERROR(INDEX('G-1 All Habitats'!$AG$3:$AG$15,MATCH(D250,'G-1 All Habitats'!$AF$3:$AF$15,0)),"")</f>
        <v/>
      </c>
      <c r="D250" s="154"/>
      <c r="E250" s="203"/>
      <c r="F250" s="243" t="str">
        <f>IFERROR(INDEX('G-1 All Habitats'!$B$3:$B$129,MATCH(E250,'G-1 All Habitats'!$A$3:$A$129,0)),"")</f>
        <v/>
      </c>
      <c r="G250" s="386"/>
      <c r="H250" s="537" t="str">
        <f>IF(F250="","",VLOOKUP(F250,'G-1 All Habitats'!$B$2:$M$129,10,FALSE))</f>
        <v/>
      </c>
      <c r="I250" s="524" t="str">
        <f>IFERROR(VLOOKUP(H250,'G-1 All Habitats'!$V$3:$W$7,2,FALSE),"")</f>
        <v/>
      </c>
      <c r="J250" s="199"/>
      <c r="K250" s="524" t="str">
        <f>IFERROR(INDEX('G-8 Condition Look up'!$A$3:$H$130,MATCH(F250,'G-8 Condition Look up'!$A$3:$A$130,0),MATCH(J250,'G-8 Condition Look up'!$A$3:$H$3,0)),"")</f>
        <v/>
      </c>
      <c r="L250" s="145"/>
      <c r="M250" s="540" t="str">
        <f>IF(L250="","",IF(VLOOKUP(L250,'G-3 Multipliers'!$L$3:$N$6,2,FALSE)=0,"Spatial Data Missing ⚠",VLOOKUP(L250,'G-3 Multipliers'!$L$3:$N$6,2,FALSE)))</f>
        <v/>
      </c>
      <c r="N250" s="499" t="str">
        <f>IF(L250="","",IF(VLOOKUP(L250,'G-3 Multipliers'!$L$3:$N$6,3,FALSE)=0,"Spatial Data Missing ⚠",VLOOKUP(L250,'G-3 Multipliers'!$L$3:$N$6,3,FALSE)))</f>
        <v/>
      </c>
      <c r="O250" s="498" t="str">
        <f t="shared" si="15"/>
        <v/>
      </c>
      <c r="P250" s="195"/>
      <c r="Q250" s="195"/>
      <c r="R250" s="520" t="str">
        <f t="shared" si="16"/>
        <v/>
      </c>
      <c r="S250" s="544" t="str">
        <f t="shared" si="17"/>
        <v/>
      </c>
      <c r="T250" s="525" t="str">
        <f>IFERROR(IF(S250="Check Data ⚠","Check Data ⚠",VLOOKUP(S250,'G-4 Temporal multipliers'!$A$4:$C$37,3,FALSE)),"")</f>
        <v/>
      </c>
      <c r="U250" s="523" t="str">
        <f>IF(F250="","",VLOOKUP(F250,'G-3 Multipliers'!$A$2:$E$129,2,FALSE))</f>
        <v/>
      </c>
      <c r="V250" s="520" t="str">
        <f t="shared" si="19"/>
        <v/>
      </c>
      <c r="W250" s="520" t="str">
        <f>IF(E250="","",IF(AND(V250="Standard difficulty applied",O250&gt;P250),U250,IF(AND(V250="Low Difficulty - only applicable if all habitat created before losses ⚠",P250&gt;=O250),"Low",VLOOKUP(F250,'G-3 Multipliers'!$A$2:$E$129,4,FALSE))))</f>
        <v/>
      </c>
      <c r="X250" s="524" t="str">
        <f>IFERROR(IF(E250="","",VLOOKUP(W250, 'G-3 Multipliers'!$P$2:$Q$6,2,FALSE)),"")</f>
        <v/>
      </c>
      <c r="Y250" s="197"/>
      <c r="Z250" s="499" t="str">
        <f>IF(Y250="","",IF(VLOOKUP(Y250,'G-3 Multipliers'!$S$3:$T$9,2,FALSE)=0,"Spatial Data Missing ⚠",VLOOKUP(Y250,'G-3 Multipliers'!$S$3:$T$9,2,FALSE)))</f>
        <v/>
      </c>
      <c r="AA250" s="545" t="str">
        <f t="shared" si="18"/>
        <v/>
      </c>
      <c r="AB250" s="149"/>
      <c r="AC250" s="150"/>
    </row>
    <row r="251" spans="1:29" ht="14" x14ac:dyDescent="0.3">
      <c r="A251" s="31" t="str">
        <f>IFERROR(INDEX('G-8 Condition Look up'!$I$4:$I$130,MATCH(F251,'G-8 Condition Look up'!$A$4:$A$130,0)),"")</f>
        <v/>
      </c>
      <c r="C251" s="244" t="str">
        <f>IFERROR(INDEX('G-1 All Habitats'!$AG$3:$AG$15,MATCH(D251,'G-1 All Habitats'!$AF$3:$AF$15,0)),"")</f>
        <v/>
      </c>
      <c r="D251" s="154"/>
      <c r="E251" s="203"/>
      <c r="F251" s="243" t="str">
        <f>IFERROR(INDEX('G-1 All Habitats'!$B$3:$B$129,MATCH(E251,'G-1 All Habitats'!$A$3:$A$129,0)),"")</f>
        <v/>
      </c>
      <c r="G251" s="386"/>
      <c r="H251" s="537" t="str">
        <f>IF(F251="","",VLOOKUP(F251,'G-1 All Habitats'!$B$2:$M$129,10,FALSE))</f>
        <v/>
      </c>
      <c r="I251" s="524" t="str">
        <f>IFERROR(VLOOKUP(H251,'G-1 All Habitats'!$V$3:$W$7,2,FALSE),"")</f>
        <v/>
      </c>
      <c r="J251" s="199"/>
      <c r="K251" s="524" t="str">
        <f>IFERROR(INDEX('G-8 Condition Look up'!$A$3:$H$130,MATCH(F251,'G-8 Condition Look up'!$A$3:$A$130,0),MATCH(J251,'G-8 Condition Look up'!$A$3:$H$3,0)),"")</f>
        <v/>
      </c>
      <c r="L251" s="145"/>
      <c r="M251" s="540" t="str">
        <f>IF(L251="","",IF(VLOOKUP(L251,'G-3 Multipliers'!$L$3:$N$6,2,FALSE)=0,"Spatial Data Missing ⚠",VLOOKUP(L251,'G-3 Multipliers'!$L$3:$N$6,2,FALSE)))</f>
        <v/>
      </c>
      <c r="N251" s="499" t="str">
        <f>IF(L251="","",IF(VLOOKUP(L251,'G-3 Multipliers'!$L$3:$N$6,3,FALSE)=0,"Spatial Data Missing ⚠",VLOOKUP(L251,'G-3 Multipliers'!$L$3:$N$6,3,FALSE)))</f>
        <v/>
      </c>
      <c r="O251" s="498" t="str">
        <f t="shared" si="15"/>
        <v/>
      </c>
      <c r="P251" s="195"/>
      <c r="Q251" s="195"/>
      <c r="R251" s="520" t="str">
        <f t="shared" si="16"/>
        <v/>
      </c>
      <c r="S251" s="544" t="str">
        <f t="shared" si="17"/>
        <v/>
      </c>
      <c r="T251" s="525" t="str">
        <f>IFERROR(IF(S251="Check Data ⚠","Check Data ⚠",VLOOKUP(S251,'G-4 Temporal multipliers'!$A$4:$C$37,3,FALSE)),"")</f>
        <v/>
      </c>
      <c r="U251" s="523" t="str">
        <f>IF(F251="","",VLOOKUP(F251,'G-3 Multipliers'!$A$2:$E$129,2,FALSE))</f>
        <v/>
      </c>
      <c r="V251" s="520" t="str">
        <f t="shared" si="19"/>
        <v/>
      </c>
      <c r="W251" s="520" t="str">
        <f>IF(E251="","",IF(AND(V251="Standard difficulty applied",O251&gt;P251),U251,IF(AND(V251="Low Difficulty - only applicable if all habitat created before losses ⚠",P251&gt;=O251),"Low",VLOOKUP(F251,'G-3 Multipliers'!$A$2:$E$129,4,FALSE))))</f>
        <v/>
      </c>
      <c r="X251" s="524" t="str">
        <f>IFERROR(IF(E251="","",VLOOKUP(W251, 'G-3 Multipliers'!$P$2:$Q$6,2,FALSE)),"")</f>
        <v/>
      </c>
      <c r="Y251" s="197"/>
      <c r="Z251" s="499" t="str">
        <f>IF(Y251="","",IF(VLOOKUP(Y251,'G-3 Multipliers'!$S$3:$T$9,2,FALSE)=0,"Spatial Data Missing ⚠",VLOOKUP(Y251,'G-3 Multipliers'!$S$3:$T$9,2,FALSE)))</f>
        <v/>
      </c>
      <c r="AA251" s="545" t="str">
        <f t="shared" si="18"/>
        <v/>
      </c>
      <c r="AB251" s="149"/>
      <c r="AC251" s="150"/>
    </row>
    <row r="252" spans="1:29" ht="14" x14ac:dyDescent="0.3">
      <c r="A252" s="31" t="str">
        <f>IFERROR(INDEX('G-8 Condition Look up'!$I$4:$I$130,MATCH(F252,'G-8 Condition Look up'!$A$4:$A$130,0)),"")</f>
        <v/>
      </c>
      <c r="C252" s="244" t="str">
        <f>IFERROR(INDEX('G-1 All Habitats'!$AG$3:$AG$15,MATCH(D252,'G-1 All Habitats'!$AF$3:$AF$15,0)),"")</f>
        <v/>
      </c>
      <c r="D252" s="154"/>
      <c r="E252" s="203"/>
      <c r="F252" s="243" t="str">
        <f>IFERROR(INDEX('G-1 All Habitats'!$B$3:$B$129,MATCH(E252,'G-1 All Habitats'!$A$3:$A$129,0)),"")</f>
        <v/>
      </c>
      <c r="G252" s="386"/>
      <c r="H252" s="537" t="str">
        <f>IF(F252="","",VLOOKUP(F252,'G-1 All Habitats'!$B$2:$M$129,10,FALSE))</f>
        <v/>
      </c>
      <c r="I252" s="524" t="str">
        <f>IFERROR(VLOOKUP(H252,'G-1 All Habitats'!$V$3:$W$7,2,FALSE),"")</f>
        <v/>
      </c>
      <c r="J252" s="199"/>
      <c r="K252" s="524" t="str">
        <f>IFERROR(INDEX('G-8 Condition Look up'!$A$3:$H$130,MATCH(F252,'G-8 Condition Look up'!$A$3:$A$130,0),MATCH(J252,'G-8 Condition Look up'!$A$3:$H$3,0)),"")</f>
        <v/>
      </c>
      <c r="L252" s="145"/>
      <c r="M252" s="540" t="str">
        <f>IF(L252="","",IF(VLOOKUP(L252,'G-3 Multipliers'!$L$3:$N$6,2,FALSE)=0,"Spatial Data Missing 'D-3 Off Site Habitat Enhancment'!",VLOOKUP(L252,'G-3 Multipliers'!$L$3:$N$6,2,FALSE)))</f>
        <v/>
      </c>
      <c r="N252" s="499" t="str">
        <f>IF(L252="","",IF(VLOOKUP(L252,'G-3 Multipliers'!$L$3:$N$6,3,FALSE)=0,"Spatial Data Missing ⚠",VLOOKUP(L252,'G-3 Multipliers'!$L$3:$N$6,3,FALSE)))</f>
        <v/>
      </c>
      <c r="O252" s="498" t="str">
        <f t="shared" si="15"/>
        <v/>
      </c>
      <c r="P252" s="195"/>
      <c r="Q252" s="195"/>
      <c r="R252" s="520" t="str">
        <f t="shared" si="16"/>
        <v/>
      </c>
      <c r="S252" s="544" t="str">
        <f t="shared" si="17"/>
        <v/>
      </c>
      <c r="T252" s="525" t="str">
        <f>IFERROR(IF(S252="Check Data ⚠","Check Data ⚠",VLOOKUP(S252,'G-4 Temporal multipliers'!$A$4:$C$37,3,FALSE)),"")</f>
        <v/>
      </c>
      <c r="U252" s="523" t="str">
        <f>IF(F252="","",VLOOKUP(F252,'G-3 Multipliers'!$A$2:$E$129,2,FALSE))</f>
        <v/>
      </c>
      <c r="V252" s="520" t="str">
        <f t="shared" si="19"/>
        <v/>
      </c>
      <c r="W252" s="520" t="str">
        <f>IF(E252="","",IF(AND(V252="Standard difficulty applied",O252&gt;P252),U252,IF(AND(V252="Low Difficulty - only applicable if all habitat created before losses ⚠",P252&gt;=O252),"Low",VLOOKUP(F252,'G-3 Multipliers'!$A$2:$E$129,4,FALSE))))</f>
        <v/>
      </c>
      <c r="X252" s="524" t="str">
        <f>IFERROR(IF(E252="","",VLOOKUP(W252, 'G-3 Multipliers'!$P$2:$Q$6,2,FALSE)),"")</f>
        <v/>
      </c>
      <c r="Y252" s="197"/>
      <c r="Z252" s="499" t="str">
        <f>IF(Y252="","",IF(VLOOKUP(Y252,'G-3 Multipliers'!$S$3:$T$9,2,FALSE)=0,"Spatial Data Missing ⚠",VLOOKUP(Y252,'G-3 Multipliers'!$S$3:$T$9,2,FALSE)))</f>
        <v/>
      </c>
      <c r="AA252" s="545" t="str">
        <f t="shared" si="18"/>
        <v/>
      </c>
      <c r="AB252" s="149"/>
      <c r="AC252" s="150"/>
    </row>
    <row r="253" spans="1:29" ht="14" x14ac:dyDescent="0.3">
      <c r="A253" s="31" t="str">
        <f>IFERROR(INDEX('G-8 Condition Look up'!$I$4:$I$130,MATCH(F253,'G-8 Condition Look up'!$A$4:$A$130,0)),"")</f>
        <v/>
      </c>
      <c r="C253" s="244" t="str">
        <f>IFERROR(INDEX('G-1 All Habitats'!$AG$3:$AG$15,MATCH(D253,'G-1 All Habitats'!$AF$3:$AF$15,0)),"")</f>
        <v/>
      </c>
      <c r="D253" s="154"/>
      <c r="E253" s="203"/>
      <c r="F253" s="243" t="str">
        <f>IFERROR(INDEX('G-1 All Habitats'!$B$3:$B$129,MATCH(E253,'G-1 All Habitats'!$A$3:$A$129,0)),"")</f>
        <v/>
      </c>
      <c r="G253" s="386"/>
      <c r="H253" s="537" t="str">
        <f>IF(F253="","",VLOOKUP(F253,'G-1 All Habitats'!$B$2:$M$129,10,FALSE))</f>
        <v/>
      </c>
      <c r="I253" s="524" t="str">
        <f>IFERROR(VLOOKUP(H253,'G-1 All Habitats'!$V$3:$W$7,2,FALSE),"")</f>
        <v/>
      </c>
      <c r="J253" s="199"/>
      <c r="K253" s="524" t="str">
        <f>IFERROR(INDEX('G-8 Condition Look up'!$A$3:$H$130,MATCH(F253,'G-8 Condition Look up'!$A$3:$A$130,0),MATCH(J253,'G-8 Condition Look up'!$A$3:$H$3,0)),"")</f>
        <v/>
      </c>
      <c r="L253" s="145"/>
      <c r="M253" s="540" t="str">
        <f>IF(L253="","",IF(VLOOKUP(L253,'G-3 Multipliers'!$L$3:$N$6,2,FALSE)=0,"Spatial Data Missing ⚠",VLOOKUP(L253,'G-3 Multipliers'!$L$3:$N$6,2,FALSE)))</f>
        <v/>
      </c>
      <c r="N253" s="499" t="str">
        <f>IF(L253="","",IF(VLOOKUP(L253,'G-3 Multipliers'!$L$3:$N$6,3,FALSE)=0,"Spatial Data Missing ⚠",VLOOKUP(L253,'G-3 Multipliers'!$L$3:$N$6,3,FALSE)))</f>
        <v/>
      </c>
      <c r="O253" s="498" t="str">
        <f t="shared" si="15"/>
        <v/>
      </c>
      <c r="P253" s="195"/>
      <c r="Q253" s="195"/>
      <c r="R253" s="520" t="str">
        <f t="shared" si="16"/>
        <v/>
      </c>
      <c r="S253" s="544" t="str">
        <f t="shared" si="17"/>
        <v/>
      </c>
      <c r="T253" s="525" t="str">
        <f>IFERROR(IF(S253="Check Data ⚠","Check Data ⚠",VLOOKUP(S253,'G-4 Temporal multipliers'!$A$4:$C$37,3,FALSE)),"")</f>
        <v/>
      </c>
      <c r="U253" s="523" t="str">
        <f>IF(F253="","",VLOOKUP(F253,'G-3 Multipliers'!$A$2:$E$129,2,FALSE))</f>
        <v/>
      </c>
      <c r="V253" s="520" t="str">
        <f t="shared" si="19"/>
        <v/>
      </c>
      <c r="W253" s="520" t="str">
        <f>IF(E253="","",IF(AND(V253="Standard difficulty applied",O253&gt;P253),U253,IF(AND(V253="Low Difficulty - only applicable if all habitat created before losses ⚠",P253&gt;=O253),"Low",VLOOKUP(F253,'G-3 Multipliers'!$A$2:$E$129,4,FALSE))))</f>
        <v/>
      </c>
      <c r="X253" s="524" t="str">
        <f>IFERROR(IF(E253="","",VLOOKUP(W253, 'G-3 Multipliers'!$P$2:$Q$6,2,FALSE)),"")</f>
        <v/>
      </c>
      <c r="Y253" s="197"/>
      <c r="Z253" s="499" t="str">
        <f>IF(Y253="","",IF(VLOOKUP(Y253,'G-3 Multipliers'!$S$3:$T$9,2,FALSE)=0,"Spatial Data Missing ⚠",VLOOKUP(Y253,'G-3 Multipliers'!$S$3:$T$9,2,FALSE)))</f>
        <v/>
      </c>
      <c r="AA253" s="545" t="str">
        <f t="shared" si="18"/>
        <v/>
      </c>
      <c r="AB253" s="149"/>
      <c r="AC253" s="150"/>
    </row>
    <row r="254" spans="1:29" ht="14" x14ac:dyDescent="0.3">
      <c r="A254" s="31" t="str">
        <f>IFERROR(INDEX('G-8 Condition Look up'!$I$4:$I$130,MATCH(F254,'G-8 Condition Look up'!$A$4:$A$130,0)),"")</f>
        <v/>
      </c>
      <c r="C254" s="244" t="str">
        <f>IFERROR(INDEX('G-1 All Habitats'!$AG$3:$AG$15,MATCH(D254,'G-1 All Habitats'!$AF$3:$AF$15,0)),"")</f>
        <v/>
      </c>
      <c r="D254" s="154"/>
      <c r="E254" s="203"/>
      <c r="F254" s="243" t="str">
        <f>IFERROR(INDEX('G-1 All Habitats'!$B$3:$B$129,MATCH(E254,'G-1 All Habitats'!$A$3:$A$129,0)),"")</f>
        <v/>
      </c>
      <c r="G254" s="386"/>
      <c r="H254" s="537" t="str">
        <f>IF(F254="","",VLOOKUP(F254,'G-1 All Habitats'!$B$2:$M$129,10,FALSE))</f>
        <v/>
      </c>
      <c r="I254" s="524" t="str">
        <f>IFERROR(VLOOKUP(H254,'G-1 All Habitats'!$V$3:$W$7,2,FALSE),"")</f>
        <v/>
      </c>
      <c r="J254" s="199"/>
      <c r="K254" s="524" t="str">
        <f>IFERROR(INDEX('G-8 Condition Look up'!$A$3:$H$130,MATCH(F254,'G-8 Condition Look up'!$A$3:$A$130,0),MATCH(J254,'G-8 Condition Look up'!$A$3:$H$3,0)),"")</f>
        <v/>
      </c>
      <c r="L254" s="145"/>
      <c r="M254" s="540" t="str">
        <f>IF(L254="","",IF(VLOOKUP(L254,'G-3 Multipliers'!$L$3:$N$6,2,FALSE)=0,"Spatial Data Missing ⚠",VLOOKUP(L254,'G-3 Multipliers'!$L$3:$N$6,2,FALSE)))</f>
        <v/>
      </c>
      <c r="N254" s="499" t="str">
        <f>IF(L254="","",IF(VLOOKUP(L254,'G-3 Multipliers'!$L$3:$N$6,3,FALSE)=0,"Spatial Data Missing ⚠",VLOOKUP(L254,'G-3 Multipliers'!$L$3:$N$6,3,FALSE)))</f>
        <v/>
      </c>
      <c r="O254" s="498" t="str">
        <f t="shared" si="15"/>
        <v/>
      </c>
      <c r="P254" s="195"/>
      <c r="Q254" s="195"/>
      <c r="R254" s="520" t="str">
        <f t="shared" si="16"/>
        <v/>
      </c>
      <c r="S254" s="544" t="str">
        <f t="shared" si="17"/>
        <v/>
      </c>
      <c r="T254" s="525" t="str">
        <f>IFERROR(IF(S254="Check Data ⚠","Check Data ⚠",VLOOKUP(S254,'G-4 Temporal multipliers'!$A$4:$C$37,3,FALSE)),"")</f>
        <v/>
      </c>
      <c r="U254" s="523" t="str">
        <f>IF(F254="","",VLOOKUP(F254,'G-3 Multipliers'!$A$2:$E$129,2,FALSE))</f>
        <v/>
      </c>
      <c r="V254" s="520" t="str">
        <f t="shared" si="19"/>
        <v/>
      </c>
      <c r="W254" s="520" t="str">
        <f>IF(E254="","",IF(AND(V254="Standard difficulty applied",O254&gt;P254),U254,IF(AND(V254="Low Difficulty - only applicable if all habitat created before losses ⚠",P254&gt;=O254),"Low",VLOOKUP(F254,'G-3 Multipliers'!$A$2:$E$129,4,FALSE))))</f>
        <v/>
      </c>
      <c r="X254" s="524" t="str">
        <f>IFERROR(IF(E254="","",VLOOKUP(W254, 'G-3 Multipliers'!$P$2:$Q$6,2,FALSE)),"")</f>
        <v/>
      </c>
      <c r="Y254" s="197"/>
      <c r="Z254" s="499" t="str">
        <f>IF(Y254="","",IF(VLOOKUP(Y254,'G-3 Multipliers'!$S$3:$T$9,2,FALSE)=0,"Spatial Data Missing ⚠",VLOOKUP(Y254,'G-3 Multipliers'!$S$3:$T$9,2,FALSE)))</f>
        <v/>
      </c>
      <c r="AA254" s="545" t="str">
        <f t="shared" si="18"/>
        <v/>
      </c>
      <c r="AB254" s="149"/>
      <c r="AC254" s="150"/>
    </row>
    <row r="255" spans="1:29" ht="14" x14ac:dyDescent="0.3">
      <c r="A255" s="31" t="str">
        <f>IFERROR(INDEX('G-8 Condition Look up'!$I$4:$I$130,MATCH(F255,'G-8 Condition Look up'!$A$4:$A$130,0)),"")</f>
        <v/>
      </c>
      <c r="C255" s="244" t="str">
        <f>IFERROR(INDEX('G-1 All Habitats'!$AG$3:$AG$15,MATCH(D255,'G-1 All Habitats'!$AF$3:$AF$15,0)),"")</f>
        <v/>
      </c>
      <c r="D255" s="154"/>
      <c r="E255" s="203"/>
      <c r="F255" s="243" t="str">
        <f>IFERROR(INDEX('G-1 All Habitats'!$B$3:$B$129,MATCH(E255,'G-1 All Habitats'!$A$3:$A$129,0)),"")</f>
        <v/>
      </c>
      <c r="G255" s="386"/>
      <c r="H255" s="537" t="str">
        <f>IF(F255="","",VLOOKUP(F255,'G-1 All Habitats'!$B$2:$M$129,10,FALSE))</f>
        <v/>
      </c>
      <c r="I255" s="524" t="str">
        <f>IFERROR(VLOOKUP(H255,'G-1 All Habitats'!$V$3:$W$7,2,FALSE),"")</f>
        <v/>
      </c>
      <c r="J255" s="199"/>
      <c r="K255" s="524" t="str">
        <f>IFERROR(INDEX('G-8 Condition Look up'!$A$3:$H$130,MATCH(F255,'G-8 Condition Look up'!$A$3:$A$130,0),MATCH(J255,'G-8 Condition Look up'!$A$3:$H$3,0)),"")</f>
        <v/>
      </c>
      <c r="L255" s="145"/>
      <c r="M255" s="540" t="str">
        <f>IF(L255="","",IF(VLOOKUP(L255,'G-3 Multipliers'!$L$3:$N$6,2,FALSE)=0,"Spatial Data Missing ⚠",VLOOKUP(L255,'G-3 Multipliers'!$L$3:$N$6,2,FALSE)))</f>
        <v/>
      </c>
      <c r="N255" s="499" t="str">
        <f>IF(L255="","",IF(VLOOKUP(L255,'G-3 Multipliers'!$L$3:$N$6,3,FALSE)=0,"Spatial Data Missing ⚠",VLOOKUP(L255,'G-3 Multipliers'!$L$3:$N$6,3,FALSE)))</f>
        <v/>
      </c>
      <c r="O255" s="498" t="str">
        <f t="shared" si="15"/>
        <v/>
      </c>
      <c r="P255" s="195"/>
      <c r="Q255" s="195"/>
      <c r="R255" s="520" t="str">
        <f t="shared" si="16"/>
        <v/>
      </c>
      <c r="S255" s="544" t="str">
        <f t="shared" si="17"/>
        <v/>
      </c>
      <c r="T255" s="525" t="str">
        <f>IFERROR(IF(S255="Check Data ⚠","Check Data ⚠",VLOOKUP(S255,'G-4 Temporal multipliers'!$A$4:$C$37,3,FALSE)),"")</f>
        <v/>
      </c>
      <c r="U255" s="523" t="str">
        <f>IF(F255="","",VLOOKUP(F255,'G-3 Multipliers'!$A$2:$E$129,2,FALSE))</f>
        <v/>
      </c>
      <c r="V255" s="520" t="str">
        <f t="shared" si="19"/>
        <v/>
      </c>
      <c r="W255" s="520" t="str">
        <f>IF(E255="","",IF(AND(V255="Standard difficulty applied",O255&gt;P255),U255,IF(AND(V255="Low Difficulty - only applicable if all habitat created before losses ⚠",P255&gt;=O255),"Low",VLOOKUP(F255,'G-3 Multipliers'!$A$2:$E$129,4,FALSE))))</f>
        <v/>
      </c>
      <c r="X255" s="524" t="str">
        <f>IFERROR(IF(E255="","",VLOOKUP(W255, 'G-3 Multipliers'!$P$2:$Q$6,2,FALSE)),"")</f>
        <v/>
      </c>
      <c r="Y255" s="197"/>
      <c r="Z255" s="499" t="str">
        <f>IF(Y255="","",IF(VLOOKUP(Y255,'G-3 Multipliers'!$S$3:$T$9,2,FALSE)=0,"Spatial Data Missing ⚠",VLOOKUP(Y255,'G-3 Multipliers'!$S$3:$T$9,2,FALSE)))</f>
        <v/>
      </c>
      <c r="AA255" s="545" t="str">
        <f t="shared" si="18"/>
        <v/>
      </c>
      <c r="AB255" s="149"/>
      <c r="AC255" s="150"/>
    </row>
    <row r="256" spans="1:29" ht="14.5" thickBot="1" x14ac:dyDescent="0.35">
      <c r="A256" s="31" t="str">
        <f>IFERROR(INDEX('G-8 Condition Look up'!$I$4:$I$130,MATCH(F256,'G-8 Condition Look up'!$A$4:$A$130,0)),"")</f>
        <v/>
      </c>
      <c r="C256" s="244" t="str">
        <f>IFERROR(INDEX('G-1 All Habitats'!$AG$3:$AG$15,MATCH(D256,'G-1 All Habitats'!$AF$3:$AF$15,0)),"")</f>
        <v/>
      </c>
      <c r="D256" s="161"/>
      <c r="E256" s="206"/>
      <c r="F256" s="323" t="str">
        <f>IFERROR(INDEX('G-1 All Habitats'!$B$3:$B$129,MATCH(E256,'G-1 All Habitats'!$A$3:$A$129,0)),"")</f>
        <v/>
      </c>
      <c r="G256" s="387"/>
      <c r="H256" s="500" t="str">
        <f>IF(F256="","",VLOOKUP(F256,'G-1 All Habitats'!$B$2:$M$129,10,FALSE))</f>
        <v/>
      </c>
      <c r="I256" s="501" t="str">
        <f>IFERROR(VLOOKUP(H256,'G-1 All Habitats'!$V$3:$W$7,2,FALSE),"")</f>
        <v/>
      </c>
      <c r="J256" s="270"/>
      <c r="K256" s="501" t="str">
        <f>IFERROR(INDEX('G-8 Condition Look up'!$A$3:$H$130,MATCH(F256,'G-8 Condition Look up'!$A$3:$A$130,0),MATCH(J256,'G-8 Condition Look up'!$A$3:$H$3,0)),"")</f>
        <v/>
      </c>
      <c r="L256" s="161"/>
      <c r="M256" s="540" t="str">
        <f>IF(L256="","",IF(VLOOKUP(L256,'G-3 Multipliers'!$L$3:$N$6,2,FALSE)=0,"Spatial Data Missing ⚠",VLOOKUP(L256,'G-3 Multipliers'!$L$3:$N$6,2,FALSE)))</f>
        <v/>
      </c>
      <c r="N256" s="499" t="str">
        <f>IF(L256="","",IF(VLOOKUP(L256,'G-3 Multipliers'!$L$3:$N$6,3,FALSE)=0,"Spatial Data Missing ⚠",VLOOKUP(L256,'G-3 Multipliers'!$L$3:$N$6,3,FALSE)))</f>
        <v/>
      </c>
      <c r="O256" s="498" t="str">
        <f t="shared" si="15"/>
        <v/>
      </c>
      <c r="P256" s="206"/>
      <c r="Q256" s="206"/>
      <c r="R256" s="520" t="str">
        <f t="shared" si="16"/>
        <v/>
      </c>
      <c r="S256" s="544" t="str">
        <f t="shared" si="17"/>
        <v/>
      </c>
      <c r="T256" s="525" t="str">
        <f>IFERROR(IF(S256="Check Data ⚠","Check Data ⚠",VLOOKUP(S256,'G-4 Temporal multipliers'!$A$4:$C$37,3,FALSE)),"")</f>
        <v/>
      </c>
      <c r="U256" s="528" t="str">
        <f>IF(F256="","",VLOOKUP(F256,'G-3 Multipliers'!$A$2:$E$129,2,FALSE))</f>
        <v/>
      </c>
      <c r="V256" s="520" t="str">
        <f t="shared" si="19"/>
        <v/>
      </c>
      <c r="W256" s="520" t="str">
        <f>IF(E256="","",IF(AND(V256="Standard difficulty applied",O256&gt;P256),U256,IF(AND(V256="Low Difficulty - only applicable if all habitat created before losses ⚠",P256&gt;=O256),"Low",VLOOKUP(F256,'G-3 Multipliers'!$A$2:$E$129,4,FALSE))))</f>
        <v/>
      </c>
      <c r="X256" s="524" t="str">
        <f>IFERROR(IF(E256="","",VLOOKUP(W256, 'G-3 Multipliers'!$P$2:$Q$6,2,FALSE)),"")</f>
        <v/>
      </c>
      <c r="Y256" s="271"/>
      <c r="Z256" s="499" t="str">
        <f>IF(Y256="","",IF(VLOOKUP(Y256,'G-3 Multipliers'!$S$3:$T$9,2,FALSE)=0,"Spatial Data Missing ⚠",VLOOKUP(Y256,'G-3 Multipliers'!$S$3:$T$9,2,FALSE)))</f>
        <v/>
      </c>
      <c r="AA256" s="546" t="str">
        <f t="shared" si="18"/>
        <v/>
      </c>
      <c r="AB256" s="163"/>
      <c r="AC256" s="164"/>
    </row>
    <row r="257" spans="5:27" ht="14.5" thickBot="1" x14ac:dyDescent="0.35">
      <c r="E257" s="371" t="s">
        <v>284</v>
      </c>
      <c r="F257" s="322" t="s">
        <v>244</v>
      </c>
      <c r="G257" s="543">
        <f>IF('Detailed Results'!$K$40&gt;0,"Error",SUMIFS($G$11:$G$256,$F$11:$F$256,"&lt;&gt;"&amp;'G-1 All Habitats'!B73,$F$11:$F$256,"&lt;&gt;"&amp;'G-1 All Habitats'!B60,$F$11:$F$256,"&lt;&gt;"&amp;'G-1 All Habitats'!B64,$F$11:$F$256,"&lt;&gt;"&amp;'G-1 All Habitats'!B65,$F$11:$F$256,"&lt;&gt;"&amp;'G-1 All Habitats'!B66,$F$11:$F$256,"&lt;&gt;"&amp;'G-1 All Habitats'!B67,$F$11:$F$256,"&lt;&gt;"&amp;'G-1 All Habitats'!B68))</f>
        <v>0</v>
      </c>
      <c r="T257" s="166"/>
      <c r="U257" s="166"/>
      <c r="V257" s="166"/>
      <c r="W257" s="166"/>
      <c r="X257" s="166"/>
      <c r="Y257" s="166"/>
      <c r="Z257" s="371" t="s">
        <v>245</v>
      </c>
      <c r="AA257" s="519">
        <f>SUM(AA11:AA256)</f>
        <v>0</v>
      </c>
    </row>
    <row r="258" spans="5:27" ht="14.5" thickBot="1" x14ac:dyDescent="0.35"/>
    <row r="259" spans="5:27" ht="14.5" thickBot="1" x14ac:dyDescent="0.35">
      <c r="E259" s="502" t="s">
        <v>246</v>
      </c>
      <c r="F259" s="47"/>
      <c r="G259" s="519">
        <f>IF('Detailed Results'!$K$40&gt;0,"Error",SUMIFS($G$11:$G$256,$F$11:$F$256,"&lt;&gt;"&amp;'G-1 All Habitats'!B73,$F$11:$F$256,"&lt;&gt;"&amp;'G-1 All Habitats'!B65,$F$11:$F$256,"&lt;&gt;"&amp;'G-1 All Habitats'!B66))</f>
        <v>0</v>
      </c>
    </row>
    <row r="260" spans="5:27" ht="14" x14ac:dyDescent="0.3"/>
    <row r="261" spans="5:27" ht="14" x14ac:dyDescent="0.3"/>
    <row r="262" spans="5:27" ht="14" x14ac:dyDescent="0.3"/>
    <row r="263" spans="5:27" ht="14" x14ac:dyDescent="0.3"/>
    <row r="264" spans="5:27" ht="14" hidden="1" x14ac:dyDescent="0.3">
      <c r="T264" s="31" t="s">
        <v>285</v>
      </c>
      <c r="U264" s="31" t="s">
        <v>285</v>
      </c>
      <c r="X264" s="31" t="s">
        <v>285</v>
      </c>
      <c r="AA264" s="31" t="s">
        <v>285</v>
      </c>
    </row>
    <row r="265" spans="5:27" ht="14" hidden="1" x14ac:dyDescent="0.3">
      <c r="T265" s="31" t="s">
        <v>285</v>
      </c>
      <c r="U265" s="31" t="s">
        <v>285</v>
      </c>
      <c r="X265" s="31" t="s">
        <v>285</v>
      </c>
      <c r="AA265" s="31" t="s">
        <v>285</v>
      </c>
    </row>
    <row r="266" spans="5:27" ht="14" hidden="1" x14ac:dyDescent="0.3"/>
    <row r="267" spans="5:27" ht="14" hidden="1" x14ac:dyDescent="0.3"/>
    <row r="268" spans="5:27" ht="14" hidden="1" x14ac:dyDescent="0.3"/>
    <row r="269" spans="5:27" ht="14" hidden="1" x14ac:dyDescent="0.3"/>
    <row r="270" spans="5:27" ht="14" hidden="1" x14ac:dyDescent="0.3"/>
  </sheetData>
  <sheetProtection algorithmName="SHA-512" hashValue="7kKgF9NQvTh/i3PEe8fJ1u9l1nQBLVz/YvX9leFHSIL736ZlpxhpDvYsOeIKRfS3NpvlzdyipC+x1/8IQTAa/A==" saltValue="CLQJ97x1SfTLIR/AoyJC3A==" spinCount="100000" sheet="1" objects="1" scenarios="1"/>
  <customSheetViews>
    <customSheetView guid="{8BDA793C-C9C5-4FC6-A0A5-F1109F6D4F22}" topLeftCell="B1">
      <pane ySplit="10" topLeftCell="A11" activePane="bottomLeft" state="frozen"/>
      <selection pane="bottomLeft"/>
    </customSheetView>
  </customSheetViews>
  <mergeCells count="19">
    <mergeCell ref="D9:D10"/>
    <mergeCell ref="E9:E10"/>
    <mergeCell ref="D8:X8"/>
    <mergeCell ref="D3:E4"/>
    <mergeCell ref="D2:E2"/>
    <mergeCell ref="H9:H10"/>
    <mergeCell ref="G9:G10"/>
    <mergeCell ref="F9:F10"/>
    <mergeCell ref="K9:K10"/>
    <mergeCell ref="J9:J10"/>
    <mergeCell ref="I9:I10"/>
    <mergeCell ref="O5:T6"/>
    <mergeCell ref="O2:T3"/>
    <mergeCell ref="AB9:AC9"/>
    <mergeCell ref="L9:N9"/>
    <mergeCell ref="O9:T9"/>
    <mergeCell ref="U9:X9"/>
    <mergeCell ref="Y9:Z9"/>
    <mergeCell ref="AA9:AA10"/>
  </mergeCells>
  <conditionalFormatting sqref="Y11 Y13 Y15 Y17 Y19 Y21 Y23">
    <cfRule type="containsText" dxfId="177" priority="36" operator="containsText" text="Existing Value Not Required">
      <formula>NOT(ISERROR(SEARCH("Existing Value Not Required",Y11)))</formula>
    </cfRule>
    <cfRule type="containsText" dxfId="176" priority="37" operator="containsText" text="Existing Value Required">
      <formula>NOT(ISERROR(SEARCH("Existing Value Required",Y11)))</formula>
    </cfRule>
  </conditionalFormatting>
  <conditionalFormatting sqref="K11">
    <cfRule type="containsText" dxfId="175" priority="35" operator="containsText" text="Not Possible">
      <formula>NOT(ISERROR(SEARCH("Not Possible",K11)))</formula>
    </cfRule>
  </conditionalFormatting>
  <conditionalFormatting sqref="Y12 Y24:Y256 Y14 Y16 Y18 Y20 Y22">
    <cfRule type="containsText" dxfId="174" priority="30" operator="containsText" text="Existing Value Not Required">
      <formula>NOT(ISERROR(SEARCH("Existing Value Not Required",Y12)))</formula>
    </cfRule>
    <cfRule type="containsText" dxfId="173" priority="31" operator="containsText" text="Existing Value Required">
      <formula>NOT(ISERROR(SEARCH("Existing Value Required",Y12)))</formula>
    </cfRule>
  </conditionalFormatting>
  <conditionalFormatting sqref="K12:K256">
    <cfRule type="containsText" dxfId="172" priority="28" operator="containsText" text="Not Possible">
      <formula>NOT(ISERROR(SEARCH("Not Possible",K12)))</formula>
    </cfRule>
  </conditionalFormatting>
  <conditionalFormatting sqref="AA11:AA257">
    <cfRule type="containsText" dxfId="171" priority="26" operator="containsText" text="Existing Value Not Required">
      <formula>NOT(ISERROR(SEARCH("Existing Value Not Required",AA11)))</formula>
    </cfRule>
    <cfRule type="containsText" dxfId="170" priority="27" operator="containsText" text="Existing Value Required">
      <formula>NOT(ISERROR(SEARCH("Existing Value Required",AA11)))</formula>
    </cfRule>
  </conditionalFormatting>
  <conditionalFormatting sqref="M11:N256">
    <cfRule type="containsText" dxfId="169" priority="23" operator="containsText" text="Spatial ">
      <formula>NOT(ISERROR(SEARCH("Spatial ",M11)))</formula>
    </cfRule>
  </conditionalFormatting>
  <conditionalFormatting sqref="O11:O256">
    <cfRule type="containsText" dxfId="168" priority="22" operator="containsText" text="30+">
      <formula>NOT(ISERROR(SEARCH("30+",O11)))</formula>
    </cfRule>
  </conditionalFormatting>
  <conditionalFormatting sqref="Y11:AA11 AA11:AA257 Y12:Z256">
    <cfRule type="containsText" dxfId="167" priority="19" operator="containsText" text="Check">
      <formula>NOT(ISERROR(SEARCH("Check",Y11)))</formula>
    </cfRule>
    <cfRule type="containsText" dxfId="166" priority="20" operator="containsText" text="Error">
      <formula>NOT(ISERROR(SEARCH("Error",Y11)))</formula>
    </cfRule>
  </conditionalFormatting>
  <conditionalFormatting sqref="Z11:Z256">
    <cfRule type="containsText" dxfId="165" priority="18" operator="containsText" text="Spatial">
      <formula>NOT(ISERROR(SEARCH("Spatial",Z11)))</formula>
    </cfRule>
  </conditionalFormatting>
  <conditionalFormatting sqref="O2 O5 S4">
    <cfRule type="beginsWith" dxfId="164" priority="16" operator="beginsWith" text="Note">
      <formula>LEFT(O2,LEN("Note"))="Note"</formula>
    </cfRule>
  </conditionalFormatting>
  <conditionalFormatting sqref="O5">
    <cfRule type="containsText" dxfId="163" priority="15" operator="containsText" text="Check">
      <formula>NOT(ISERROR(SEARCH("Check",O5)))</formula>
    </cfRule>
  </conditionalFormatting>
  <conditionalFormatting sqref="S11:S256">
    <cfRule type="containsText" dxfId="162" priority="14" operator="containsText" text="30+">
      <formula>NOT(ISERROR(SEARCH("30+",S11)))</formula>
    </cfRule>
  </conditionalFormatting>
  <conditionalFormatting sqref="V11:V256">
    <cfRule type="containsText" dxfId="161" priority="12" operator="containsText" text="No - Low Difficulty">
      <formula>NOT(ISERROR(SEARCH("No - Low Difficulty",V11)))</formula>
    </cfRule>
  </conditionalFormatting>
  <conditionalFormatting sqref="R12:T256 R11:X11 V12:W256">
    <cfRule type="containsText" dxfId="160" priority="11" operator="containsText" text="Error">
      <formula>NOT(ISERROR(SEARCH("Error",R11)))</formula>
    </cfRule>
    <cfRule type="containsText" dxfId="159" priority="13" operator="containsText" text="Check">
      <formula>NOT(ISERROR(SEARCH("Check",R11)))</formula>
    </cfRule>
  </conditionalFormatting>
  <conditionalFormatting sqref="U12:U256">
    <cfRule type="containsText" dxfId="158" priority="7" operator="containsText" text="Error">
      <formula>NOT(ISERROR(SEARCH("Error",U12)))</formula>
    </cfRule>
    <cfRule type="containsText" dxfId="157" priority="9" operator="containsText" text="Check">
      <formula>NOT(ISERROR(SEARCH("Check",U12)))</formula>
    </cfRule>
  </conditionalFormatting>
  <conditionalFormatting sqref="X12:X256">
    <cfRule type="containsText" dxfId="156" priority="1" operator="containsText" text="Error">
      <formula>NOT(ISERROR(SEARCH("Error",X12)))</formula>
    </cfRule>
    <cfRule type="containsText" dxfId="155" priority="2" operator="containsText" text="Check">
      <formula>NOT(ISERROR(SEARCH("Check",X12)))</formula>
    </cfRule>
  </conditionalFormatting>
  <dataValidations count="3">
    <dataValidation type="list" allowBlank="1" showInputMessage="1" showErrorMessage="1" sqref="E11:E256" xr:uid="{00000000-0002-0000-0C00-000000000000}">
      <formula1>INDIRECT(C11)</formula1>
    </dataValidation>
    <dataValidation allowBlank="1" showErrorMessage="1" errorTitle="Invalid Habitat" error="Select from List" sqref="F11:F256" xr:uid="{00000000-0002-0000-0C00-000001000000}"/>
    <dataValidation type="list" allowBlank="1" showInputMessage="1" showErrorMessage="1" sqref="J11:J256" xr:uid="{00000000-0002-0000-0C00-000002000000}">
      <formula1>INDIRECT(A11)</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iconSet" priority="4" id="{097653FD-9135-4796-B0DA-41086E3436C0}">
            <x14:iconSet iconSet="3Symbols" custom="1">
              <x14:cfvo type="percent">
                <xm:f>0</xm:f>
              </x14:cfvo>
              <x14:cfvo type="num" gte="0">
                <xm:f>0</xm:f>
              </x14:cfvo>
              <x14:cfvo type="num" gte="0">
                <xm:f>30</xm:f>
              </x14:cfvo>
              <x14:cfIcon iconSet="NoIcons" iconId="0"/>
              <x14:cfIcon iconSet="NoIcons" iconId="0"/>
              <x14:cfIcon iconSet="3Symbols" iconId="1"/>
            </x14:iconSet>
          </x14:cfRule>
          <xm:sqref>O11:O256</xm:sqref>
        </x14:conditionalFormatting>
        <x14:conditionalFormatting xmlns:xm="http://schemas.microsoft.com/office/excel/2006/main">
          <x14:cfRule type="iconSet" priority="3" id="{E9B186DB-103D-4748-B01C-78DAB61D9739}">
            <x14:iconSet iconSet="3Symbols" custom="1">
              <x14:cfvo type="percent">
                <xm:f>0</xm:f>
              </x14:cfvo>
              <x14:cfvo type="num" gte="0">
                <xm:f>0</xm:f>
              </x14:cfvo>
              <x14:cfvo type="num" gte="0">
                <xm:f>30</xm:f>
              </x14:cfvo>
              <x14:cfIcon iconSet="NoIcons" iconId="0"/>
              <x14:cfIcon iconSet="NoIcons" iconId="0"/>
              <x14:cfIcon iconSet="3Symbols" iconId="1"/>
            </x14:iconSet>
          </x14:cfRule>
          <xm:sqref>S11:S256</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C00-000003000000}">
          <x14:formula1>
            <xm:f>'G-3 Multipliers'!$L$4:$L$6</xm:f>
          </x14:formula1>
          <xm:sqref>L11:L256</xm:sqref>
        </x14:dataValidation>
        <x14:dataValidation type="list" allowBlank="1" showInputMessage="1" showErrorMessage="1" xr:uid="{00000000-0002-0000-0C00-000004000000}">
          <x14:formula1>
            <xm:f>'G-3 Multipliers'!$S$4:$S$9</xm:f>
          </x14:formula1>
          <xm:sqref>Y11:Y256</xm:sqref>
        </x14:dataValidation>
        <x14:dataValidation type="list" allowBlank="1" showInputMessage="1" showErrorMessage="1" xr:uid="{00000000-0002-0000-0C00-000006000000}">
          <x14:formula1>
            <xm:f>'G-4 Temporal multipliers'!$A$41:$A$73</xm:f>
          </x14:formula1>
          <xm:sqref>Q11:Q256</xm:sqref>
        </x14:dataValidation>
        <x14:dataValidation type="list" allowBlank="1" showInputMessage="1" showErrorMessage="1" xr:uid="{9F42BFD8-BCC2-4474-AB7B-AD07B16F507A}">
          <x14:formula1>
            <xm:f>'G-4 Temporal multipliers'!$A$41:$A$72</xm:f>
          </x14:formula1>
          <xm:sqref>P11:P256</xm:sqref>
        </x14:dataValidation>
        <x14:dataValidation type="list" allowBlank="1" showInputMessage="1" showErrorMessage="1" xr:uid="{00000000-0002-0000-0C00-000005000000}">
          <x14:formula1>
            <xm:f>'G-1 All Habitats'!$AF$3:$AF$15</xm:f>
          </x14:formula1>
          <xm:sqref>D11:D256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6">
    <tabColor rgb="FF006600"/>
  </sheetPr>
  <dimension ref="A1:AV269"/>
  <sheetViews>
    <sheetView topLeftCell="D1" workbookViewId="0"/>
  </sheetViews>
  <sheetFormatPr defaultColWidth="0" defaultRowHeight="14" zeroHeight="1" x14ac:dyDescent="0.3"/>
  <cols>
    <col min="1" max="1" width="19.26953125" style="31" hidden="1" customWidth="1"/>
    <col min="2" max="3" width="35" style="31" hidden="1" customWidth="1"/>
    <col min="4" max="4" width="2" style="31" customWidth="1"/>
    <col min="5" max="5" width="12.26953125" style="31" customWidth="1"/>
    <col min="6" max="6" width="73.453125" style="31" customWidth="1"/>
    <col min="7" max="7" width="9.54296875" style="31" customWidth="1"/>
    <col min="8" max="8" width="18.26953125" style="31" customWidth="1"/>
    <col min="9" max="9" width="19.1796875" style="31" customWidth="1"/>
    <col min="10" max="10" width="18.1796875" style="31" customWidth="1"/>
    <col min="11" max="11" width="19.26953125" style="31" customWidth="1"/>
    <col min="12" max="12" width="22.26953125" style="31" customWidth="1"/>
    <col min="13" max="13" width="21.54296875" style="31" customWidth="1"/>
    <col min="14" max="14" width="19.26953125" style="31" customWidth="1"/>
    <col min="15" max="15" width="29.7265625" style="31" customWidth="1"/>
    <col min="16" max="16" width="29.7265625" style="31" hidden="1" customWidth="1"/>
    <col min="17" max="17" width="29.7265625" style="31" customWidth="1"/>
    <col min="18" max="18" width="71.26953125" style="31" customWidth="1"/>
    <col min="19" max="19" width="75.54296875" style="31" hidden="1" customWidth="1"/>
    <col min="20" max="21" width="34.26953125" style="31" customWidth="1"/>
    <col min="22" max="22" width="8.1796875" style="31" customWidth="1"/>
    <col min="23" max="23" width="18.26953125" style="31" customWidth="1"/>
    <col min="24" max="24" width="13.1796875" style="31" customWidth="1"/>
    <col min="25" max="25" width="12.54296875" style="31" bestFit="1" customWidth="1"/>
    <col min="26" max="26" width="12.54296875" style="31" customWidth="1"/>
    <col min="27" max="27" width="41.7265625" style="31" customWidth="1"/>
    <col min="28" max="28" width="20.1796875" style="31" customWidth="1"/>
    <col min="29" max="29" width="12.26953125" style="31" customWidth="1"/>
    <col min="30" max="30" width="18.453125" style="31" customWidth="1"/>
    <col min="31" max="31" width="21.26953125" style="31" customWidth="1"/>
    <col min="32" max="32" width="22.1796875" style="31" customWidth="1"/>
    <col min="33" max="33" width="33" style="31" customWidth="1"/>
    <col min="34" max="35" width="18.453125" style="31" customWidth="1"/>
    <col min="36" max="36" width="15.26953125" style="31" customWidth="1"/>
    <col min="37" max="37" width="28.26953125" style="31" customWidth="1"/>
    <col min="38" max="38" width="20.1796875" style="31" customWidth="1"/>
    <col min="39" max="39" width="13.54296875" style="31" customWidth="1"/>
    <col min="40" max="40" width="91.453125" style="31" customWidth="1"/>
    <col min="41" max="41" width="15.453125" style="31" customWidth="1"/>
    <col min="42" max="42" width="13.26953125" style="31" customWidth="1"/>
    <col min="43" max="43" width="45.7265625" style="31" customWidth="1"/>
    <col min="44" max="44" width="50.453125" style="31" customWidth="1"/>
    <col min="45" max="48" width="8.81640625" style="31" customWidth="1"/>
    <col min="49" max="16384" width="8.81640625" style="31" hidden="1"/>
  </cols>
  <sheetData>
    <row r="1" spans="1:44" ht="15.75" customHeight="1" thickBot="1" x14ac:dyDescent="0.35"/>
    <row r="2" spans="1:44" ht="19.899999999999999" customHeight="1" thickBot="1" x14ac:dyDescent="0.35">
      <c r="E2" s="744" t="str">
        <f>IF(Start!$F$12="","",Start!$F$12)</f>
        <v>NCP Car Park, Bath Road, West Drayton, Greater London</v>
      </c>
      <c r="F2" s="745"/>
      <c r="G2" s="746"/>
      <c r="AD2" s="908" t="str">
        <f>IF(OR(COUNTIF($AD$12:AD257,"*30+*")&gt;0,COUNTIF(AH12:AH257,"*30+*")&gt;0),"Note; Habitat selected has a time to target condition greater than 30 years. Non standard agreement may be required. ⚠","")</f>
        <v/>
      </c>
      <c r="AE2" s="908"/>
      <c r="AF2" s="908"/>
      <c r="AG2" s="908"/>
      <c r="AH2" s="908"/>
      <c r="AI2" s="908"/>
    </row>
    <row r="3" spans="1:44" ht="15.75" customHeight="1" thickBot="1" x14ac:dyDescent="0.35">
      <c r="E3" s="972" t="str">
        <f ca="1">MID(CELL("filename",E1),FIND("]",CELL("filename",E1))+1,256)</f>
        <v>D-3 Off Site Habitat Enhancment</v>
      </c>
      <c r="F3" s="973"/>
      <c r="G3" s="974"/>
      <c r="AD3" s="908"/>
      <c r="AE3" s="908"/>
      <c r="AF3" s="908"/>
      <c r="AG3" s="908"/>
      <c r="AH3" s="908"/>
      <c r="AI3" s="908"/>
    </row>
    <row r="4" spans="1:44" ht="15.75" customHeight="1" thickBot="1" x14ac:dyDescent="0.45">
      <c r="E4" s="972"/>
      <c r="F4" s="973"/>
      <c r="G4" s="974"/>
      <c r="AB4" s="33"/>
      <c r="AC4" s="193"/>
      <c r="AD4" s="448"/>
      <c r="AE4" s="448"/>
      <c r="AF4" s="448"/>
      <c r="AG4" s="448"/>
      <c r="AH4" s="193"/>
      <c r="AI4" s="193"/>
      <c r="AJ4" s="193"/>
      <c r="AK4" s="193"/>
      <c r="AL4" s="193"/>
      <c r="AM4" s="193"/>
      <c r="AN4" s="193"/>
    </row>
    <row r="5" spans="1:44" ht="15" customHeight="1" x14ac:dyDescent="0.3">
      <c r="AD5" s="930" t="str">
        <f>IF(Q12&lt;&gt;A12,"Change in broad habitat type detected. Check compliance with guidance.","")</f>
        <v/>
      </c>
      <c r="AE5" s="930"/>
      <c r="AF5" s="930"/>
      <c r="AG5" s="930"/>
      <c r="AH5" s="930"/>
      <c r="AI5" s="930"/>
    </row>
    <row r="6" spans="1:44" ht="15.75" customHeight="1" x14ac:dyDescent="0.3">
      <c r="AD6" s="930"/>
      <c r="AE6" s="930"/>
      <c r="AF6" s="930"/>
      <c r="AG6" s="930"/>
      <c r="AH6" s="930"/>
      <c r="AI6" s="930"/>
    </row>
    <row r="7" spans="1:44" x14ac:dyDescent="0.3">
      <c r="F7" s="132"/>
      <c r="G7" s="131"/>
    </row>
    <row r="8" spans="1:44" ht="14.5" thickBot="1" x14ac:dyDescent="0.35"/>
    <row r="9" spans="1:44" ht="14.5" thickBot="1" x14ac:dyDescent="0.35">
      <c r="F9" s="131"/>
      <c r="G9" s="131"/>
      <c r="H9" s="131"/>
      <c r="I9" s="131"/>
      <c r="J9" s="131"/>
      <c r="K9" s="131"/>
      <c r="L9" s="131"/>
      <c r="M9" s="131"/>
      <c r="N9" s="131"/>
      <c r="O9" s="131"/>
      <c r="P9" s="131"/>
      <c r="Q9" s="951" t="s">
        <v>225</v>
      </c>
      <c r="R9" s="952"/>
      <c r="S9" s="952"/>
      <c r="T9" s="952"/>
      <c r="U9" s="952"/>
      <c r="V9" s="952"/>
      <c r="W9" s="952"/>
      <c r="X9" s="952"/>
      <c r="Y9" s="952"/>
      <c r="Z9" s="952"/>
      <c r="AA9" s="952"/>
      <c r="AB9" s="952"/>
      <c r="AC9" s="952"/>
      <c r="AD9" s="952"/>
      <c r="AE9" s="952"/>
      <c r="AF9" s="952"/>
      <c r="AG9" s="952"/>
      <c r="AH9" s="952"/>
      <c r="AI9" s="952"/>
      <c r="AJ9" s="952"/>
      <c r="AK9" s="952"/>
      <c r="AL9" s="952"/>
      <c r="AM9" s="952"/>
      <c r="AN9" s="952"/>
      <c r="AO9" s="953"/>
    </row>
    <row r="10" spans="1:44" ht="30.65" customHeight="1" thickBot="1" x14ac:dyDescent="0.35">
      <c r="F10" s="951" t="s">
        <v>247</v>
      </c>
      <c r="G10" s="952"/>
      <c r="H10" s="952"/>
      <c r="I10" s="952"/>
      <c r="J10" s="952"/>
      <c r="K10" s="952"/>
      <c r="L10" s="952"/>
      <c r="M10" s="952"/>
      <c r="N10" s="952"/>
      <c r="O10" s="953"/>
      <c r="P10" s="224"/>
      <c r="Q10" s="958" t="s">
        <v>286</v>
      </c>
      <c r="R10" s="959"/>
      <c r="S10" s="395"/>
      <c r="T10" s="958" t="s">
        <v>249</v>
      </c>
      <c r="U10" s="959"/>
      <c r="V10" s="965" t="s">
        <v>287</v>
      </c>
      <c r="W10" s="963" t="s">
        <v>189</v>
      </c>
      <c r="X10" s="963" t="s">
        <v>206</v>
      </c>
      <c r="Y10" s="963" t="s">
        <v>190</v>
      </c>
      <c r="Z10" s="961" t="s">
        <v>206</v>
      </c>
      <c r="AA10" s="958" t="s">
        <v>191</v>
      </c>
      <c r="AB10" s="960"/>
      <c r="AC10" s="960"/>
      <c r="AD10" s="967" t="s">
        <v>228</v>
      </c>
      <c r="AE10" s="968"/>
      <c r="AF10" s="968"/>
      <c r="AG10" s="968"/>
      <c r="AH10" s="968"/>
      <c r="AI10" s="969"/>
      <c r="AJ10" s="967" t="s">
        <v>229</v>
      </c>
      <c r="AK10" s="968"/>
      <c r="AL10" s="968"/>
      <c r="AM10" s="969"/>
      <c r="AN10" s="958" t="s">
        <v>280</v>
      </c>
      <c r="AO10" s="959"/>
      <c r="AP10" s="970" t="s">
        <v>230</v>
      </c>
      <c r="AQ10" s="958" t="s">
        <v>196</v>
      </c>
      <c r="AR10" s="959"/>
    </row>
    <row r="11" spans="1:44" ht="51.65" customHeight="1" thickBot="1" x14ac:dyDescent="0.35">
      <c r="A11" s="131" t="s">
        <v>202</v>
      </c>
      <c r="B11" s="131" t="s">
        <v>253</v>
      </c>
      <c r="C11" s="131" t="s">
        <v>200</v>
      </c>
      <c r="E11" s="135" t="s">
        <v>254</v>
      </c>
      <c r="F11" s="136" t="s">
        <v>255</v>
      </c>
      <c r="G11" s="136" t="s">
        <v>243</v>
      </c>
      <c r="H11" s="136" t="s">
        <v>257</v>
      </c>
      <c r="I11" s="136" t="s">
        <v>258</v>
      </c>
      <c r="J11" s="136" t="s">
        <v>259</v>
      </c>
      <c r="K11" s="136" t="s">
        <v>260</v>
      </c>
      <c r="L11" s="136" t="s">
        <v>261</v>
      </c>
      <c r="M11" s="136" t="s">
        <v>262</v>
      </c>
      <c r="N11" s="136" t="s">
        <v>263</v>
      </c>
      <c r="O11" s="137" t="s">
        <v>192</v>
      </c>
      <c r="P11" s="225" t="s">
        <v>281</v>
      </c>
      <c r="Q11" s="368" t="s">
        <v>265</v>
      </c>
      <c r="R11" s="202" t="s">
        <v>288</v>
      </c>
      <c r="S11" s="394" t="s">
        <v>289</v>
      </c>
      <c r="T11" s="368" t="s">
        <v>266</v>
      </c>
      <c r="U11" s="202" t="s">
        <v>267</v>
      </c>
      <c r="V11" s="966"/>
      <c r="W11" s="964"/>
      <c r="X11" s="964"/>
      <c r="Y11" s="964"/>
      <c r="Z11" s="962"/>
      <c r="AA11" s="368" t="s">
        <v>191</v>
      </c>
      <c r="AB11" s="201" t="s">
        <v>191</v>
      </c>
      <c r="AC11" s="202" t="s">
        <v>231</v>
      </c>
      <c r="AD11" s="368" t="s">
        <v>232</v>
      </c>
      <c r="AE11" s="201" t="s">
        <v>268</v>
      </c>
      <c r="AF11" s="201" t="s">
        <v>269</v>
      </c>
      <c r="AG11" s="201" t="s">
        <v>235</v>
      </c>
      <c r="AH11" s="201" t="s">
        <v>236</v>
      </c>
      <c r="AI11" s="202" t="s">
        <v>237</v>
      </c>
      <c r="AJ11" s="368" t="s">
        <v>290</v>
      </c>
      <c r="AK11" s="201" t="s">
        <v>282</v>
      </c>
      <c r="AL11" s="201" t="s">
        <v>291</v>
      </c>
      <c r="AM11" s="202" t="s">
        <v>241</v>
      </c>
      <c r="AN11" s="208" t="s">
        <v>283</v>
      </c>
      <c r="AO11" s="226" t="s">
        <v>280</v>
      </c>
      <c r="AP11" s="971"/>
      <c r="AQ11" s="141" t="s">
        <v>215</v>
      </c>
      <c r="AR11" s="359" t="s">
        <v>216</v>
      </c>
    </row>
    <row r="12" spans="1:44" x14ac:dyDescent="0.3">
      <c r="A12" s="31" t="str">
        <f>IF(E12="","",IF(ISNA(VLOOKUP($E12,'D-1 Off Site Habitat Baseline'!$D$1:$O$258,2,FALSE)),"",(VLOOKUP($E12,'D-1 Off Site Habitat Baseline'!$D$1:$O$258,2,FALSE))))</f>
        <v/>
      </c>
      <c r="B12" s="31" t="str">
        <f>IF(E12="","",IF(ISNA(VLOOKUP($E12,'D-1 Off Site Habitat Baseline'!$D$1:$O$258,3,FALSE)),"",(VLOOKUP($E12,'D-1 Off Site Habitat Baseline'!$D$1:$O$258,3,FALSE))))</f>
        <v/>
      </c>
      <c r="C12" s="31" t="str">
        <f>IFERROR(INDEX('G-8 Condition Look up'!$I$4:$I$130,MATCH(S12,'G-8 Condition Look up'!$A$4:$A$130,0)),"")</f>
        <v/>
      </c>
      <c r="E12" s="547" t="str">
        <f>'D-1 Off Site Habitat Baseline'!AL11</f>
        <v/>
      </c>
      <c r="F12" s="520" t="str">
        <f>IF(E12="","",IF(ISNA(VLOOKUP($E12,'D-1 Off Site Habitat Baseline'!$D$1:$O$258,4,FALSE)),"",(VLOOKUP($E12,'D-1 Off Site Habitat Baseline'!$D$1:$O$258,4,FALSE))))</f>
        <v/>
      </c>
      <c r="G12" s="520" t="str">
        <f>IF(E12="","",IF(ISNA(VLOOKUP($E12,'D-1 Off Site Habitat Baseline'!$D$1:$O$258,5,FALSE)),"",(VLOOKUP($E12,'D-1 Off Site Habitat Baseline'!$D$1:$O$258,5,FALSE))))</f>
        <v/>
      </c>
      <c r="H12" s="520" t="str">
        <f>IF(E12="","",IF(ISNA(VLOOKUP($E12,'D-1 Off Site Habitat Baseline'!$D$1:$O$258,6,FALSE)),"",(VLOOKUP($E12,'D-1 Off Site Habitat Baseline'!$D$1:$O$258,6,FALSE))))</f>
        <v/>
      </c>
      <c r="I12" s="520" t="str">
        <f>IF(E12="","",IF(ISNA(VLOOKUP($E12,'D-1 Off Site Habitat Baseline'!$D$1:$O$258,7,FALSE)),"",(VLOOKUP($E12,'D-1 Off Site Habitat Baseline'!$D$1:$O$258,7,FALSE))))</f>
        <v/>
      </c>
      <c r="J12" s="520" t="str">
        <f>IF(E12="","",IF(ISNA(VLOOKUP($E12,'D-1 Off Site Habitat Baseline'!$D$1:$O$258,8,FALSE)),"",(VLOOKUP($E12,'D-1 Off Site Habitat Baseline'!$D$1:$O$258,8,FALSE))))</f>
        <v/>
      </c>
      <c r="K12" s="520" t="str">
        <f>IF(E12="","",IF(ISNA(VLOOKUP($E12,'D-1 Off Site Habitat Baseline'!$D$1:$O$258,9,FALSE)),"",(VLOOKUP($E12,'D-1 Off Site Habitat Baseline'!$D$1:$O$258,9,FALSE))))</f>
        <v/>
      </c>
      <c r="L12" s="520" t="str">
        <f>IF(E12="","",IF(ISNA(VLOOKUP($E12,'D-1 Off Site Habitat Baseline'!$D$1:$O$258,11,FALSE)),"",(VLOOKUP($E12,'D-1 Off Site Habitat Baseline'!$D$1:$O$258,11,FALSE))))</f>
        <v/>
      </c>
      <c r="M12" s="520" t="str">
        <f>IF(E12="","",IF(ISNA(VLOOKUP($E12,'D-1 Off Site Habitat Baseline'!$D$1:$O$258,12,FALSE)),"",(VLOOKUP($E12,'D-1 Off Site Habitat Baseline'!$D$1:$O$258,12,FALSE))))</f>
        <v/>
      </c>
      <c r="N12" s="520" t="str">
        <f>IF(E12="","",IF(ISNA(VLOOKUP($E12,'D-1 Off Site Habitat Baseline'!$D$1:$X$258,14,FALSE)),"",(VLOOKUP($E12,'D-1 Off Site Habitat Baseline'!$D$1:$X$258,14,FALSE))))</f>
        <v/>
      </c>
      <c r="O12" s="524" t="str">
        <f>IF(E12="","",IF(ISNA(VLOOKUP($E12,'D-1 Off Site Habitat Baseline'!$D$1:$X$258,13,FALSE)),"",(VLOOKUP($E12,'D-1 Off Site Habitat Baseline'!$D$1:$X$258,13,FALSE))))</f>
        <v/>
      </c>
      <c r="P12" s="227" t="str">
        <f>IFERROR(INDEX('G-1 All Habitats'!$AG$3:$AG$15,MATCH(Q12,'G-1 All Habitats'!$AF$3:$AF$15,0)),"")</f>
        <v/>
      </c>
      <c r="Q12" s="228" t="str">
        <f t="shared" ref="Q12" si="0">A12</f>
        <v/>
      </c>
      <c r="R12" s="229" t="str">
        <f t="shared" ref="R12:R16" si="1">B12</f>
        <v/>
      </c>
      <c r="S12" s="230" t="str">
        <f>IFERROR(INDEX('G-1 All Habitats'!$B$3:$B$129,MATCH(R12,'G-1 All Habitats'!$A$3:$A$129,0)),"")</f>
        <v/>
      </c>
      <c r="T12" s="507" t="str">
        <f>IF(E12="","",IF(AND(LEFT(O12,6)="Same d",I12&gt;X12),"Error - Trading rules not satisfied ▲",IF(AND(LEFT(O12,6)="Same b",AND(LEFT(F12,5)&lt;&gt;LEFT(S12,5),I12&gt;X12)),"Error - Trading rules not satisfied ▲",IF(AND(LEFT(O12,6)="Same h",F12&lt;&gt;S12),"Error - Trading rules not satisfied ▲",IF(AND(LEFT(O12,6)="Bespok",F12&lt;&gt;S12),"Error - Trading rules not satisfied ▲",IF(X12&lt;I12,"Error Trading Down ▲",H12&amp;" - "&amp;W12))))))</f>
        <v/>
      </c>
      <c r="U12" s="524" t="str">
        <f>IF(F12="","",IF(AND(LEFT(F12,55)&lt;&gt;LEFT(S12,55),T12= "High - High"),"Error - Not like for like ▲",IF(AND(I12=X12,K12&gt;Z12),"Error - Can not reduce condition ▲",IF(AND(I12=X12,K12=Z12),"Error - No enhancement ▲",IF(X12&lt;I12,"Error Trading Down ▲",IF(AND(F12&lt;&gt;S12,I12&lt;X12),"Lower Distinctiveness Habitat"&amp;" - "&amp;Y12,J12&amp;" - "&amp;Y12))))))</f>
        <v/>
      </c>
      <c r="V12" s="523" t="str">
        <f t="shared" ref="V12:V75" si="2">IF(S12="","",VLOOKUP(E12,BaselineHabOffsite,17,FALSE))</f>
        <v/>
      </c>
      <c r="W12" s="520" t="str">
        <f>IF(S12="","",VLOOKUP(S12,'G-1 All Habitats'!$B$2:$M$129,10,FALSE))</f>
        <v/>
      </c>
      <c r="X12" s="520" t="str">
        <f>IFERROR(VLOOKUP(W12,'G-1 All Habitats'!$V$3:$W$7,2,FALSE),"")</f>
        <v/>
      </c>
      <c r="Y12" s="203"/>
      <c r="Z12" s="524" t="str">
        <f>IFERROR(INDEX('G-8 Condition Look up'!$A$3:$H$130,MATCH(S12,'G-8 Condition Look up'!$A$3:$A$130,0),MATCH(Y12,'G-8 Condition Look up'!$A$3:$H$3,0)),"")</f>
        <v/>
      </c>
      <c r="AA12" s="145"/>
      <c r="AB12" s="540" t="str">
        <f>IF(AA12="","",IF(VLOOKUP(AA12,'G-3 Multipliers'!$L$3:$N$6,2,FALSE)=0,"Spatial Data Missing ⚠",VLOOKUP(AA12,'G-3 Multipliers'!$L$3:$N$6,2,FALSE)))</f>
        <v/>
      </c>
      <c r="AC12" s="524" t="str">
        <f>IF(AA12="","",IF(VLOOKUP(AA12,'G-3 Multipliers'!$L$3:$N$6,3,FALSE)=0,"Spatial Data Missing ⚠",VLOOKUP(AA12,'G-3 Multipliers'!$L$3:$N$6,3,FALSE)))</f>
        <v/>
      </c>
      <c r="AD12" s="537" t="str">
        <f t="shared" ref="AD12:AD75" si="3">IFERROR(IF(OR(LEFT(U12,5)="Error ▲",LEFT(T12,5)="Error ▲"),"Check Data ⚠",INDEX(EnhanceTemporal,MATCH(S12,EnhanceHabitat,0),MATCH(U12,EnhanceCondition,0))),"")</f>
        <v/>
      </c>
      <c r="AE12" s="203"/>
      <c r="AF12" s="203"/>
      <c r="AG12" s="520" t="str">
        <f>IF(AD12="","",IF(AD12="Check Data ⚠","Check Data ⚠",IF(R12="","",IF(AND(AE12&gt;0,AF12&gt;0),"Error -both advance and delayed habitat creation ▲",IF(AND(OR(AE12="Habitat already in target condition",AD12&lt;=AE12),AF12=0),"Check details - Is there evidence that habitat has reached target condition? ⚠",IF(O11="","",IF(AE12&gt;0,"Check details - Is there evidence habitat creation started/in place? ⚠",IF(AF12&gt;0,"Check details- Delay in starting habitat in required condition? ⚠","Standard time to target condition applied"))))))))</f>
        <v/>
      </c>
      <c r="AH12" s="544" t="str">
        <f>IF(LEFT(AG12,5)="Error ▲","Check Data ⚠",IF(AG12="Check Data ⚠","Check Data ⚠",IF(AD12="","",IF(AD12="Not Possible","CheckData ⚠",IF(AND(AD12="30+",AE12=0),"30+",IF(AND(AD12="30+",AE12="30+"),0,IF(AND(AD12="30+",AE12&lt;30),30-AE12,IF(AD12="30+",30-AE12,IF(AF12="30+","30+",IF(AE12&gt;AD12,0,IF(AD12+AF12&gt;30,"30+",IF(AD12+AF12&gt;30,"30+",IF(AD12-AE12&gt;30,"30+",IF(AD12+AF12-AE12&gt;0,AD12+AF12-AE12,IF(AD12-AE12&gt;0,AD12-AE12,AD12+AF12-AE12)))))))))))))))</f>
        <v/>
      </c>
      <c r="AI12" s="525" t="str">
        <f>IF(AH12="Check Data ⚠","Check Data ⚠",IFERROR(VLOOKUP(AH12,'G-4 Temporal multipliers'!$A$4:$C$36,3,FALSE),""))</f>
        <v/>
      </c>
      <c r="AJ12" s="537" t="str">
        <f>IF(S12="","",VLOOKUP(S12,'G-3 Multipliers'!$A$2:$E$129,4,FALSE))</f>
        <v/>
      </c>
      <c r="AK12" s="520" t="str">
        <f>IF(E12="","",IF(AG12="Check details - Is there evidence that habitat has reached target condition? ⚠","Low Difficulty - only applicable if all habitat created before losses","Standard difficulty applied"))</f>
        <v/>
      </c>
      <c r="AL12" s="520" t="str">
        <f>(IF(AND(AK12="Standard difficulty applied",AD12&gt;AE12),AJ12,IF(AND(AK12="Low Difficulty - only applicable if all habitat created before losses",AE12&gt;=AD12),"Low", AJ12)))</f>
        <v/>
      </c>
      <c r="AM12" s="524" t="str">
        <f>IFERROR(IF(F12="","",IF(AH12="Check Data ⚠","Check Data ⚠",VLOOKUP(AL12, 'G-3 Multipliers'!$P$2:$Q$6,2,FALSE))),"")</f>
        <v/>
      </c>
      <c r="AN12" s="197"/>
      <c r="AO12" s="540" t="str">
        <f>IF(AN12="","",IF(VLOOKUP(AN12,'G-3 Multipliers'!$S$3:$T$9,2,FALSE)=0,"Spatial Data Missing ⚠",VLOOKUP(AN12,'G-3 Multipliers'!$S$3:$T$9,2,FALSE)))</f>
        <v/>
      </c>
      <c r="AP12" s="513" t="str">
        <f>IFERROR(((((V12*X12*Z12)-(V12*I12*K12))*(AM12*AI12))+(V12*I12*K12))*(AC12)*AO12,"")</f>
        <v/>
      </c>
      <c r="AQ12" s="231"/>
      <c r="AR12" s="150"/>
    </row>
    <row r="13" spans="1:44" x14ac:dyDescent="0.3">
      <c r="A13" s="31" t="str">
        <f>IF(E13="","",IF(ISNA(VLOOKUP($E13,'D-1 Off Site Habitat Baseline'!$D$1:$O$258,2,FALSE)),"",(VLOOKUP($E13,'D-1 Off Site Habitat Baseline'!$D$1:$O$258,2,FALSE))))</f>
        <v/>
      </c>
      <c r="B13" s="31" t="str">
        <f>IF(E13="","",IF(ISNA(VLOOKUP($E13,'D-1 Off Site Habitat Baseline'!$D$1:$O$258,3,FALSE)),"",(VLOOKUP($E13,'D-1 Off Site Habitat Baseline'!$D$1:$O$258,3,FALSE))))</f>
        <v/>
      </c>
      <c r="C13" s="31" t="str">
        <f>IFERROR(INDEX('G-8 Condition Look up'!$I$4:$I$130,MATCH(S13,'G-8 Condition Look up'!$A$4:$A$130,0)),"")</f>
        <v/>
      </c>
      <c r="E13" s="547" t="str">
        <f>'D-1 Off Site Habitat Baseline'!AL12</f>
        <v/>
      </c>
      <c r="F13" s="520" t="str">
        <f>IF(E13="","",IF(ISNA(VLOOKUP($E13,'D-1 Off Site Habitat Baseline'!$D$1:$O$258,4,FALSE)),"",(VLOOKUP($E13,'D-1 Off Site Habitat Baseline'!$D$1:$O$258,4,FALSE))))</f>
        <v/>
      </c>
      <c r="G13" s="520" t="str">
        <f>IF(E13="","",IF(ISNA(VLOOKUP($E13,'D-1 Off Site Habitat Baseline'!$D$1:$O$258,5,FALSE)),"",(VLOOKUP($E13,'D-1 Off Site Habitat Baseline'!$D$1:$O$258,5,FALSE))))</f>
        <v/>
      </c>
      <c r="H13" s="520" t="str">
        <f>IF(E13="","",IF(ISNA(VLOOKUP($E13,'D-1 Off Site Habitat Baseline'!$D$1:$O$258,6,FALSE)),"",(VLOOKUP($E13,'D-1 Off Site Habitat Baseline'!$D$1:$O$258,6,FALSE))))</f>
        <v/>
      </c>
      <c r="I13" s="520" t="str">
        <f>IF(E13="","",IF(ISNA(VLOOKUP($E13,'D-1 Off Site Habitat Baseline'!$D$1:$O$258,7,FALSE)),"",(VLOOKUP($E13,'D-1 Off Site Habitat Baseline'!$D$1:$O$258,7,FALSE))))</f>
        <v/>
      </c>
      <c r="J13" s="520" t="str">
        <f>IF(E13="","",IF(ISNA(VLOOKUP($E13,'D-1 Off Site Habitat Baseline'!$D$1:$O$258,8,FALSE)),"",(VLOOKUP($E13,'D-1 Off Site Habitat Baseline'!$D$1:$O$258,8,FALSE))))</f>
        <v/>
      </c>
      <c r="K13" s="520" t="str">
        <f>IF(E13="","",IF(ISNA(VLOOKUP($E13,'D-1 Off Site Habitat Baseline'!$D$1:$O$258,9,FALSE)),"",(VLOOKUP($E13,'D-1 Off Site Habitat Baseline'!$D$1:$O$258,9,FALSE))))</f>
        <v/>
      </c>
      <c r="L13" s="520" t="str">
        <f>IF(E13="","",IF(ISNA(VLOOKUP($E13,'D-1 Off Site Habitat Baseline'!$D$1:$O$258,11,FALSE)),"",(VLOOKUP($E13,'D-1 Off Site Habitat Baseline'!$D$1:$O$258,11,FALSE))))</f>
        <v/>
      </c>
      <c r="M13" s="520" t="str">
        <f>IF(E13="","",IF(ISNA(VLOOKUP($E13,'D-1 Off Site Habitat Baseline'!$D$1:$O$258,12,FALSE)),"",(VLOOKUP($E13,'D-1 Off Site Habitat Baseline'!$D$1:$O$258,12,FALSE))))</f>
        <v/>
      </c>
      <c r="N13" s="520" t="str">
        <f>IF(E13="","",IF(ISNA(VLOOKUP($E13,'D-1 Off Site Habitat Baseline'!$D$1:$X$258,14,FALSE)),"",(VLOOKUP($E13,'D-1 Off Site Habitat Baseline'!$D$1:$X$258,14,FALSE))))</f>
        <v/>
      </c>
      <c r="O13" s="524" t="str">
        <f>IF(E13="","",IF(ISNA(VLOOKUP($E13,'D-1 Off Site Habitat Baseline'!$D$1:$X$258,13,FALSE)),"",(VLOOKUP($E13,'D-1 Off Site Habitat Baseline'!$D$1:$X$258,13,FALSE))))</f>
        <v/>
      </c>
      <c r="P13" s="232" t="str">
        <f>IFERROR(INDEX('G-1 All Habitats'!$AG$3:$AG$15,MATCH(Q13,'G-1 All Habitats'!$AF$3:$AF$15,0)),"")</f>
        <v/>
      </c>
      <c r="Q13" s="228" t="str">
        <f t="shared" ref="Q13:Q16" si="4">A13</f>
        <v/>
      </c>
      <c r="R13" s="229" t="str">
        <f t="shared" si="1"/>
        <v/>
      </c>
      <c r="S13" s="233" t="str">
        <f>IFERROR(INDEX('G-1 All Habitats'!$B$3:$B$129,MATCH(R13,'G-1 All Habitats'!$A$3:$A$129,0)),"")</f>
        <v/>
      </c>
      <c r="T13" s="507" t="str">
        <f t="shared" ref="T13:T76" si="5">IF(E13="","",IF(AND(LEFT(O13,6)="Same d",I13&gt;X13),"Error - Trading rules not satisfied ▲",IF(AND(LEFT(O13,6)="Same b",AND(LEFT(F13,5)&lt;&gt;LEFT(S13,5),I13&gt;X13)),"Error - Trading rules not satisfied ▲",IF(AND(LEFT(O13,6)="Same h",F13&lt;&gt;S13),"Error - Trading rules not satisfied ▲",IF(AND(LEFT(O13,6)="Bespok",F13&lt;&gt;S13),"Error - Trading rules not satisfied ▲",IF(X13&lt;I13,"Error Trading Down ▲",H13&amp;" - "&amp;W13))))))</f>
        <v/>
      </c>
      <c r="U13" s="524" t="str">
        <f t="shared" ref="U13:U76" si="6">IF(F13="","",IF(AND(LEFT(F13,55)&lt;&gt;LEFT(S13,55),T13= "High - High"),"Error - Not like for like ▲",IF(AND(I13=X13,K13&gt;Z13),"Error - Can not reduce condition ▲",IF(AND(I13=X13,K13=Z13),"Error - No enhancement ▲",IF(X13&lt;I13,"Error Trading Down ▲",IF(AND(F13&lt;&gt;S13,I13&lt;X13),"Lower Distinctiveness Habitat"&amp;" - "&amp;Y13,J13&amp;" - "&amp;Y13))))))</f>
        <v/>
      </c>
      <c r="V13" s="523" t="str">
        <f t="shared" si="2"/>
        <v/>
      </c>
      <c r="W13" s="520" t="str">
        <f>IF(S13="","",VLOOKUP(S13,'G-1 All Habitats'!$B$2:$M$129,10,FALSE))</f>
        <v/>
      </c>
      <c r="X13" s="520" t="str">
        <f>IFERROR(VLOOKUP(W13,'G-1 All Habitats'!$V$3:$W$7,2,FALSE),"")</f>
        <v/>
      </c>
      <c r="Y13" s="203"/>
      <c r="Z13" s="524" t="str">
        <f>IFERROR(INDEX('G-8 Condition Look up'!$A$3:$H$130,MATCH(S13,'G-8 Condition Look up'!$A$3:$A$130,0),MATCH(Y13,'G-8 Condition Look up'!$A$3:$H$3,0)),"")</f>
        <v/>
      </c>
      <c r="AA13" s="145"/>
      <c r="AB13" s="540" t="str">
        <f>IF(AA13="","",IF(VLOOKUP(AA13,'G-3 Multipliers'!$L$3:$N$6,2,FALSE)=0,"Spatial Data Missing ⚠",VLOOKUP(AA13,'G-3 Multipliers'!$L$3:$N$6,2,FALSE)))</f>
        <v/>
      </c>
      <c r="AC13" s="524" t="str">
        <f>IF(AA13="","",IF(VLOOKUP(AA13,'G-3 Multipliers'!$L$3:$N$6,3,FALSE)=0,"Spatial Data Missing ⚠",VLOOKUP(AA13,'G-3 Multipliers'!$L$3:$N$6,3,FALSE)))</f>
        <v/>
      </c>
      <c r="AD13" s="537" t="str">
        <f t="shared" si="3"/>
        <v/>
      </c>
      <c r="AE13" s="203"/>
      <c r="AF13" s="203"/>
      <c r="AG13" s="520" t="str">
        <f t="shared" ref="AG13:AG76" si="7">IF(AD13="","",IF(AD13="Check Data ⚠","Check Data ⚠",IF(R13="","",IF(AND(AE13&gt;0,AF13&gt;0),"Error -both advance and delayed habitat creation ▲",IF(AND(OR(AE13="Habitat already in target condition",AD13&lt;=AE13),AF13=0),"Check details - Is there evidence that habitat has reached target condition? ⚠",IF(O12="","",IF(AE13&gt;0,"Check details - Is there evidence habitat creation started/in place? ⚠",IF(AF13&gt;0,"Check details- Delay in starting habitat in required condition? ⚠","Standard time to target condition applied"))))))))</f>
        <v/>
      </c>
      <c r="AH13" s="544" t="str">
        <f t="shared" ref="AH13:AH76" si="8">IF(LEFT(AG13,5)="Error ▲","Check Data ⚠",IF(AG13="Check Data ⚠","Check Data ⚠",IF(AD13="","",IF(AD13="Not Possible","CheckData ⚠",IF(AND(AD13="30+",AE13=0),"30+",IF(AND(AD13="30+",AE13="30+"),0,IF(AND(AD13="30+",AE13&lt;30),30-AE13,IF(AD13="30+",30-AE13,IF(AF13="30+","30+",IF(AE13&gt;AD13,0,IF(AD13+AF13&gt;30,"30+",IF(AD13+AF13&gt;30,"30+",IF(AD13-AE13&gt;30,"30+",IF(AD13+AF13-AE13&gt;0,AD13+AF13-AE13,IF(AD13-AE13&gt;0,AD13-AE13,AD13+AF13-AE13)))))))))))))))</f>
        <v/>
      </c>
      <c r="AI13" s="525" t="str">
        <f>IF(AH13="Check Data ⚠","Check Data ⚠",IFERROR(VLOOKUP(AH13,'G-4 Temporal multipliers'!$A$4:$C$36,3,FALSE),""))</f>
        <v/>
      </c>
      <c r="AJ13" s="537" t="str">
        <f>IF(S13="","",VLOOKUP(S13,'G-3 Multipliers'!$A$2:$E$129,4,FALSE))</f>
        <v/>
      </c>
      <c r="AK13" s="520" t="str">
        <f t="shared" ref="AK13:AK76" si="9">IF(E13="","",IF(AG13="Check details - Is there evidence that habitat has reached target condition? ⚠","Low Difficulty - only applicable if all habitat created before losses","Standard difficulty applied"))</f>
        <v/>
      </c>
      <c r="AL13" s="520" t="str">
        <f t="shared" ref="AL13:AL76" si="10">(IF(AND(AK13="Standard difficulty applied",AD13&gt;AE13),AJ13,IF(AND(AK13="Low Difficulty - only applicable if all habitat created before losses",AE13&gt;=AD13),"Low", AJ13)))</f>
        <v/>
      </c>
      <c r="AM13" s="524" t="str">
        <f>IFERROR(IF(F13="","",IF(AH13="Check Data ⚠","Check Data ⚠",VLOOKUP(AL13, 'G-3 Multipliers'!$P$2:$Q$6,2,FALSE))),"")</f>
        <v/>
      </c>
      <c r="AN13" s="197"/>
      <c r="AO13" s="540" t="str">
        <f>IF(AN13="","",IF(VLOOKUP(AN13,'G-3 Multipliers'!$S$3:$T$9,2,FALSE)=0,"Spatial Data Missing ⚠",VLOOKUP(AN13,'G-3 Multipliers'!$S$3:$T$9,2,FALSE)))</f>
        <v/>
      </c>
      <c r="AP13" s="513" t="str">
        <f t="shared" ref="AP13:AP76" si="11">IFERROR(((((V13*X13*Z13)-(V13*I13*K13))*(AM13*AI13))+(V13*I13*K13))*(AC13)*AO13,"")</f>
        <v/>
      </c>
      <c r="AQ13" s="231"/>
      <c r="AR13" s="150"/>
    </row>
    <row r="14" spans="1:44" x14ac:dyDescent="0.3">
      <c r="A14" s="31" t="str">
        <f>IF(E14="","",IF(ISNA(VLOOKUP($E14,'D-1 Off Site Habitat Baseline'!$D$1:$O$258,2,FALSE)),"",(VLOOKUP($E14,'D-1 Off Site Habitat Baseline'!$D$1:$O$258,2,FALSE))))</f>
        <v/>
      </c>
      <c r="B14" s="31" t="str">
        <f>IF(E14="","",IF(ISNA(VLOOKUP($E14,'D-1 Off Site Habitat Baseline'!$D$1:$O$258,3,FALSE)),"",(VLOOKUP($E14,'D-1 Off Site Habitat Baseline'!$D$1:$O$258,3,FALSE))))</f>
        <v/>
      </c>
      <c r="C14" s="31" t="str">
        <f>IFERROR(INDEX('G-8 Condition Look up'!$I$4:$I$130,MATCH(S14,'G-8 Condition Look up'!$A$4:$A$130,0)),"")</f>
        <v/>
      </c>
      <c r="E14" s="547" t="str">
        <f>'D-1 Off Site Habitat Baseline'!AL13</f>
        <v/>
      </c>
      <c r="F14" s="520" t="str">
        <f>IF(E14="","",IF(ISNA(VLOOKUP($E14,'D-1 Off Site Habitat Baseline'!$D$1:$O$258,4,FALSE)),"",(VLOOKUP($E14,'D-1 Off Site Habitat Baseline'!$D$1:$O$258,4,FALSE))))</f>
        <v/>
      </c>
      <c r="G14" s="520" t="str">
        <f>IF(E14="","",IF(ISNA(VLOOKUP($E14,'D-1 Off Site Habitat Baseline'!$D$1:$O$258,5,FALSE)),"",(VLOOKUP($E14,'D-1 Off Site Habitat Baseline'!$D$1:$O$258,5,FALSE))))</f>
        <v/>
      </c>
      <c r="H14" s="520" t="str">
        <f>IF(E14="","",IF(ISNA(VLOOKUP($E14,'D-1 Off Site Habitat Baseline'!$D$1:$O$258,6,FALSE)),"",(VLOOKUP($E14,'D-1 Off Site Habitat Baseline'!$D$1:$O$258,6,FALSE))))</f>
        <v/>
      </c>
      <c r="I14" s="520" t="str">
        <f>IF(E14="","",IF(ISNA(VLOOKUP($E14,'D-1 Off Site Habitat Baseline'!$D$1:$O$258,7,FALSE)),"",(VLOOKUP($E14,'D-1 Off Site Habitat Baseline'!$D$1:$O$258,7,FALSE))))</f>
        <v/>
      </c>
      <c r="J14" s="520" t="str">
        <f>IF(E14="","",IF(ISNA(VLOOKUP($E14,'D-1 Off Site Habitat Baseline'!$D$1:$O$258,8,FALSE)),"",(VLOOKUP($E14,'D-1 Off Site Habitat Baseline'!$D$1:$O$258,8,FALSE))))</f>
        <v/>
      </c>
      <c r="K14" s="520" t="str">
        <f>IF(E14="","",IF(ISNA(VLOOKUP($E14,'D-1 Off Site Habitat Baseline'!$D$1:$O$258,9,FALSE)),"",(VLOOKUP($E14,'D-1 Off Site Habitat Baseline'!$D$1:$O$258,9,FALSE))))</f>
        <v/>
      </c>
      <c r="L14" s="520" t="str">
        <f>IF(E14="","",IF(ISNA(VLOOKUP($E14,'D-1 Off Site Habitat Baseline'!$D$1:$O$258,11,FALSE)),"",(VLOOKUP($E14,'D-1 Off Site Habitat Baseline'!$D$1:$O$258,11,FALSE))))</f>
        <v/>
      </c>
      <c r="M14" s="520" t="str">
        <f>IF(E14="","",IF(ISNA(VLOOKUP($E14,'D-1 Off Site Habitat Baseline'!$D$1:$O$258,12,FALSE)),"",(VLOOKUP($E14,'D-1 Off Site Habitat Baseline'!$D$1:$O$258,12,FALSE))))</f>
        <v/>
      </c>
      <c r="N14" s="520" t="str">
        <f>IF(E14="","",IF(ISNA(VLOOKUP($E14,'D-1 Off Site Habitat Baseline'!$D$1:$X$258,14,FALSE)),"",(VLOOKUP($E14,'D-1 Off Site Habitat Baseline'!$D$1:$X$258,14,FALSE))))</f>
        <v/>
      </c>
      <c r="O14" s="524" t="str">
        <f>IF(E14="","",IF(ISNA(VLOOKUP($E14,'D-1 Off Site Habitat Baseline'!$D$1:$X$258,13,FALSE)),"",(VLOOKUP($E14,'D-1 Off Site Habitat Baseline'!$D$1:$X$258,13,FALSE))))</f>
        <v/>
      </c>
      <c r="P14" s="232" t="str">
        <f>IFERROR(INDEX('G-1 All Habitats'!$AG$3:$AG$15,MATCH(Q14,'G-1 All Habitats'!$AF$3:$AF$15,0)),"")</f>
        <v/>
      </c>
      <c r="Q14" s="228" t="str">
        <f t="shared" si="4"/>
        <v/>
      </c>
      <c r="R14" s="229" t="str">
        <f t="shared" si="1"/>
        <v/>
      </c>
      <c r="S14" s="233" t="str">
        <f>IFERROR(INDEX('G-1 All Habitats'!$B$3:$B$129,MATCH(R14,'G-1 All Habitats'!$A$3:$A$129,0)),"")</f>
        <v/>
      </c>
      <c r="T14" s="507" t="str">
        <f t="shared" si="5"/>
        <v/>
      </c>
      <c r="U14" s="524" t="str">
        <f t="shared" si="6"/>
        <v/>
      </c>
      <c r="V14" s="523" t="str">
        <f t="shared" si="2"/>
        <v/>
      </c>
      <c r="W14" s="520" t="str">
        <f>IF(S14="","",VLOOKUP(S14,'G-1 All Habitats'!$B$2:$M$129,10,FALSE))</f>
        <v/>
      </c>
      <c r="X14" s="520" t="str">
        <f>IFERROR(VLOOKUP(W14,'G-1 All Habitats'!$V$3:$W$7,2,FALSE),"")</f>
        <v/>
      </c>
      <c r="Y14" s="203"/>
      <c r="Z14" s="524" t="str">
        <f>IFERROR(INDEX('G-8 Condition Look up'!$A$3:$H$130,MATCH(S14,'G-8 Condition Look up'!$A$3:$A$130,0),MATCH(Y14,'G-8 Condition Look up'!$A$3:$H$3,0)),"")</f>
        <v/>
      </c>
      <c r="AA14" s="145"/>
      <c r="AB14" s="540" t="str">
        <f>IF(AA14="","",IF(VLOOKUP(AA14,'G-3 Multipliers'!$L$3:$N$6,2,FALSE)=0,"Spatial Data Missing ⚠",VLOOKUP(AA14,'G-3 Multipliers'!$L$3:$N$6,2,FALSE)))</f>
        <v/>
      </c>
      <c r="AC14" s="524" t="str">
        <f>IF(AA14="","",IF(VLOOKUP(AA14,'G-3 Multipliers'!$L$3:$N$6,3,FALSE)=0,"Spatial Data Missing ⚠",VLOOKUP(AA14,'G-3 Multipliers'!$L$3:$N$6,3,FALSE)))</f>
        <v/>
      </c>
      <c r="AD14" s="537" t="str">
        <f t="shared" si="3"/>
        <v/>
      </c>
      <c r="AE14" s="203"/>
      <c r="AF14" s="203"/>
      <c r="AG14" s="520" t="str">
        <f t="shared" si="7"/>
        <v/>
      </c>
      <c r="AH14" s="544" t="str">
        <f t="shared" si="8"/>
        <v/>
      </c>
      <c r="AI14" s="525" t="str">
        <f>IF(AH14="Check Data ⚠","Check Data ⚠",IFERROR(VLOOKUP(AH14,'G-4 Temporal multipliers'!$A$4:$C$36,3,FALSE),""))</f>
        <v/>
      </c>
      <c r="AJ14" s="537" t="str">
        <f>IF(S14="","",VLOOKUP(S14,'G-3 Multipliers'!$A$2:$E$129,4,FALSE))</f>
        <v/>
      </c>
      <c r="AK14" s="520" t="str">
        <f t="shared" si="9"/>
        <v/>
      </c>
      <c r="AL14" s="520" t="str">
        <f t="shared" si="10"/>
        <v/>
      </c>
      <c r="AM14" s="524" t="str">
        <f>IFERROR(IF(F14="","",IF(AH14="Check Data ⚠","Check Data ⚠",VLOOKUP(AL14, 'G-3 Multipliers'!$P$2:$Q$6,2,FALSE))),"")</f>
        <v/>
      </c>
      <c r="AN14" s="197"/>
      <c r="AO14" s="540" t="str">
        <f>IF(AN14="","",IF(VLOOKUP(AN14,'G-3 Multipliers'!$S$3:$T$9,2,FALSE)=0,"Spatial Data Missing ⚠",VLOOKUP(AN14,'G-3 Multipliers'!$S$3:$T$9,2,FALSE)))</f>
        <v/>
      </c>
      <c r="AP14" s="513" t="str">
        <f t="shared" si="11"/>
        <v/>
      </c>
      <c r="AQ14" s="231"/>
      <c r="AR14" s="150"/>
    </row>
    <row r="15" spans="1:44" x14ac:dyDescent="0.3">
      <c r="A15" s="31" t="str">
        <f>IF(E15="","",IF(ISNA(VLOOKUP($E15,'D-1 Off Site Habitat Baseline'!$D$1:$O$258,2,FALSE)),"",(VLOOKUP($E15,'D-1 Off Site Habitat Baseline'!$D$1:$O$258,2,FALSE))))</f>
        <v/>
      </c>
      <c r="B15" s="31" t="str">
        <f>IF(E15="","",IF(ISNA(VLOOKUP($E15,'D-1 Off Site Habitat Baseline'!$D$1:$O$258,3,FALSE)),"",(VLOOKUP($E15,'D-1 Off Site Habitat Baseline'!$D$1:$O$258,3,FALSE))))</f>
        <v/>
      </c>
      <c r="C15" s="31" t="str">
        <f>IFERROR(INDEX('G-8 Condition Look up'!$I$4:$I$130,MATCH(S15,'G-8 Condition Look up'!$A$4:$A$130,0)),"")</f>
        <v/>
      </c>
      <c r="E15" s="547" t="str">
        <f>'D-1 Off Site Habitat Baseline'!AL14</f>
        <v/>
      </c>
      <c r="F15" s="520" t="str">
        <f>IF(E15="","",IF(ISNA(VLOOKUP($E15,'D-1 Off Site Habitat Baseline'!$D$1:$O$258,4,FALSE)),"",(VLOOKUP($E15,'D-1 Off Site Habitat Baseline'!$D$1:$O$258,4,FALSE))))</f>
        <v/>
      </c>
      <c r="G15" s="520" t="str">
        <f>IF(E15="","",IF(ISNA(VLOOKUP($E15,'D-1 Off Site Habitat Baseline'!$D$1:$O$258,5,FALSE)),"",(VLOOKUP($E15,'D-1 Off Site Habitat Baseline'!$D$1:$O$258,5,FALSE))))</f>
        <v/>
      </c>
      <c r="H15" s="520" t="str">
        <f>IF(E15="","",IF(ISNA(VLOOKUP($E15,'D-1 Off Site Habitat Baseline'!$D$1:$O$258,6,FALSE)),"",(VLOOKUP($E15,'D-1 Off Site Habitat Baseline'!$D$1:$O$258,6,FALSE))))</f>
        <v/>
      </c>
      <c r="I15" s="520" t="str">
        <f>IF(E15="","",IF(ISNA(VLOOKUP($E15,'D-1 Off Site Habitat Baseline'!$D$1:$O$258,7,FALSE)),"",(VLOOKUP($E15,'D-1 Off Site Habitat Baseline'!$D$1:$O$258,7,FALSE))))</f>
        <v/>
      </c>
      <c r="J15" s="520" t="str">
        <f>IF(E15="","",IF(ISNA(VLOOKUP($E15,'D-1 Off Site Habitat Baseline'!$D$1:$O$258,8,FALSE)),"",(VLOOKUP($E15,'D-1 Off Site Habitat Baseline'!$D$1:$O$258,8,FALSE))))</f>
        <v/>
      </c>
      <c r="K15" s="520" t="str">
        <f>IF(E15="","",IF(ISNA(VLOOKUP($E15,'D-1 Off Site Habitat Baseline'!$D$1:$O$258,9,FALSE)),"",(VLOOKUP($E15,'D-1 Off Site Habitat Baseline'!$D$1:$O$258,9,FALSE))))</f>
        <v/>
      </c>
      <c r="L15" s="520" t="str">
        <f>IF(E15="","",IF(ISNA(VLOOKUP($E15,'D-1 Off Site Habitat Baseline'!$D$1:$O$258,11,FALSE)),"",(VLOOKUP($E15,'D-1 Off Site Habitat Baseline'!$D$1:$O$258,11,FALSE))))</f>
        <v/>
      </c>
      <c r="M15" s="520" t="str">
        <f>IF(E15="","",IF(ISNA(VLOOKUP($E15,'D-1 Off Site Habitat Baseline'!$D$1:$O$258,12,FALSE)),"",(VLOOKUP($E15,'D-1 Off Site Habitat Baseline'!$D$1:$O$258,12,FALSE))))</f>
        <v/>
      </c>
      <c r="N15" s="520" t="str">
        <f>IF(E15="","",IF(ISNA(VLOOKUP($E15,'D-1 Off Site Habitat Baseline'!$D$1:$X$258,14,FALSE)),"",(VLOOKUP($E15,'D-1 Off Site Habitat Baseline'!$D$1:$X$258,14,FALSE))))</f>
        <v/>
      </c>
      <c r="O15" s="524" t="str">
        <f>IF(E15="","",IF(ISNA(VLOOKUP($E15,'D-1 Off Site Habitat Baseline'!$D$1:$X$258,13,FALSE)),"",(VLOOKUP($E15,'D-1 Off Site Habitat Baseline'!$D$1:$X$258,13,FALSE))))</f>
        <v/>
      </c>
      <c r="P15" s="232" t="str">
        <f>IFERROR(INDEX('G-1 All Habitats'!$AG$3:$AG$15,MATCH(Q15,'G-1 All Habitats'!$AF$3:$AF$15,0)),"")</f>
        <v/>
      </c>
      <c r="Q15" s="228" t="str">
        <f t="shared" si="4"/>
        <v/>
      </c>
      <c r="R15" s="229" t="str">
        <f t="shared" si="1"/>
        <v/>
      </c>
      <c r="S15" s="233" t="str">
        <f>IFERROR(INDEX('G-1 All Habitats'!$B$3:$B$129,MATCH(R15,'G-1 All Habitats'!$A$3:$A$129,0)),"")</f>
        <v/>
      </c>
      <c r="T15" s="507" t="str">
        <f t="shared" si="5"/>
        <v/>
      </c>
      <c r="U15" s="524" t="str">
        <f t="shared" si="6"/>
        <v/>
      </c>
      <c r="V15" s="523" t="str">
        <f t="shared" si="2"/>
        <v/>
      </c>
      <c r="W15" s="520" t="str">
        <f>IF(S15="","",VLOOKUP(S15,'G-1 All Habitats'!$B$2:$M$129,10,FALSE))</f>
        <v/>
      </c>
      <c r="X15" s="520" t="str">
        <f>IFERROR(VLOOKUP(W15,'G-1 All Habitats'!$V$3:$W$7,2,FALSE),"")</f>
        <v/>
      </c>
      <c r="Y15" s="203"/>
      <c r="Z15" s="524" t="str">
        <f>IFERROR(INDEX('G-8 Condition Look up'!$A$3:$H$130,MATCH(S15,'G-8 Condition Look up'!$A$3:$A$130,0),MATCH(Y15,'G-8 Condition Look up'!$A$3:$H$3,0)),"")</f>
        <v/>
      </c>
      <c r="AA15" s="145"/>
      <c r="AB15" s="540" t="str">
        <f>IF(AA15="","",IF(VLOOKUP(AA15,'G-3 Multipliers'!$L$3:$N$6,2,FALSE)=0,"Spatial Data Missing ⚠",VLOOKUP(AA15,'G-3 Multipliers'!$L$3:$N$6,2,FALSE)))</f>
        <v/>
      </c>
      <c r="AC15" s="524" t="str">
        <f>IF(AA15="","",IF(VLOOKUP(AA15,'G-3 Multipliers'!$L$3:$N$6,3,FALSE)=0,"Spatial Data Missing ⚠",VLOOKUP(AA15,'G-3 Multipliers'!$L$3:$N$6,3,FALSE)))</f>
        <v/>
      </c>
      <c r="AD15" s="537" t="str">
        <f t="shared" si="3"/>
        <v/>
      </c>
      <c r="AE15" s="203"/>
      <c r="AF15" s="203"/>
      <c r="AG15" s="520" t="str">
        <f t="shared" si="7"/>
        <v/>
      </c>
      <c r="AH15" s="544" t="str">
        <f t="shared" si="8"/>
        <v/>
      </c>
      <c r="AI15" s="525" t="str">
        <f>IF(AH15="Check Data ⚠","Check Data ⚠",IFERROR(VLOOKUP(AH15,'G-4 Temporal multipliers'!$A$4:$C$36,3,FALSE),""))</f>
        <v/>
      </c>
      <c r="AJ15" s="537" t="str">
        <f>IF(S15="","",VLOOKUP(S15,'G-3 Multipliers'!$A$2:$E$129,4,FALSE))</f>
        <v/>
      </c>
      <c r="AK15" s="520" t="str">
        <f t="shared" si="9"/>
        <v/>
      </c>
      <c r="AL15" s="520" t="str">
        <f t="shared" si="10"/>
        <v/>
      </c>
      <c r="AM15" s="524" t="str">
        <f>IFERROR(IF(F15="","",IF(AH15="Check Data ⚠","Check Data ⚠",VLOOKUP(AL15, 'G-3 Multipliers'!$P$2:$Q$6,2,FALSE))),"")</f>
        <v/>
      </c>
      <c r="AN15" s="197"/>
      <c r="AO15" s="540" t="str">
        <f>IF(AN15="","",IF(VLOOKUP(AN15,'G-3 Multipliers'!$S$3:$T$9,2,FALSE)=0,"Spatial Data Missing ⚠",VLOOKUP(AN15,'G-3 Multipliers'!$S$3:$T$9,2,FALSE)))</f>
        <v/>
      </c>
      <c r="AP15" s="513" t="str">
        <f t="shared" si="11"/>
        <v/>
      </c>
      <c r="AQ15" s="231"/>
      <c r="AR15" s="150"/>
    </row>
    <row r="16" spans="1:44" x14ac:dyDescent="0.3">
      <c r="A16" s="31" t="str">
        <f>IF(E16="","",IF(ISNA(VLOOKUP($E16,'D-1 Off Site Habitat Baseline'!$D$1:$O$258,2,FALSE)),"",(VLOOKUP($E16,'D-1 Off Site Habitat Baseline'!$D$1:$O$258,2,FALSE))))</f>
        <v/>
      </c>
      <c r="B16" s="31" t="str">
        <f>IF(E16="","",IF(ISNA(VLOOKUP($E16,'D-1 Off Site Habitat Baseline'!$D$1:$O$258,3,FALSE)),"",(VLOOKUP($E16,'D-1 Off Site Habitat Baseline'!$D$1:$O$258,3,FALSE))))</f>
        <v/>
      </c>
      <c r="C16" s="31" t="str">
        <f>IFERROR(INDEX('G-8 Condition Look up'!$I$4:$I$130,MATCH(S16,'G-8 Condition Look up'!$A$4:$A$130,0)),"")</f>
        <v/>
      </c>
      <c r="E16" s="547" t="str">
        <f>'D-1 Off Site Habitat Baseline'!AL15</f>
        <v/>
      </c>
      <c r="F16" s="520" t="str">
        <f>IF(E16="","",IF(ISNA(VLOOKUP($E16,'D-1 Off Site Habitat Baseline'!$D$1:$O$258,4,FALSE)),"",(VLOOKUP($E16,'D-1 Off Site Habitat Baseline'!$D$1:$O$258,4,FALSE))))</f>
        <v/>
      </c>
      <c r="G16" s="520" t="str">
        <f>IF(E16="","",IF(ISNA(VLOOKUP($E16,'D-1 Off Site Habitat Baseline'!$D$1:$O$258,5,FALSE)),"",(VLOOKUP($E16,'D-1 Off Site Habitat Baseline'!$D$1:$O$258,5,FALSE))))</f>
        <v/>
      </c>
      <c r="H16" s="520" t="str">
        <f>IF(E16="","",IF(ISNA(VLOOKUP($E16,'D-1 Off Site Habitat Baseline'!$D$1:$O$258,6,FALSE)),"",(VLOOKUP($E16,'D-1 Off Site Habitat Baseline'!$D$1:$O$258,6,FALSE))))</f>
        <v/>
      </c>
      <c r="I16" s="520" t="str">
        <f>IF(E16="","",IF(ISNA(VLOOKUP($E16,'D-1 Off Site Habitat Baseline'!$D$1:$O$258,7,FALSE)),"",(VLOOKUP($E16,'D-1 Off Site Habitat Baseline'!$D$1:$O$258,7,FALSE))))</f>
        <v/>
      </c>
      <c r="J16" s="520" t="str">
        <f>IF(E16="","",IF(ISNA(VLOOKUP($E16,'D-1 Off Site Habitat Baseline'!$D$1:$O$258,8,FALSE)),"",(VLOOKUP($E16,'D-1 Off Site Habitat Baseline'!$D$1:$O$258,8,FALSE))))</f>
        <v/>
      </c>
      <c r="K16" s="520" t="str">
        <f>IF(E16="","",IF(ISNA(VLOOKUP($E16,'D-1 Off Site Habitat Baseline'!$D$1:$O$258,9,FALSE)),"",(VLOOKUP($E16,'D-1 Off Site Habitat Baseline'!$D$1:$O$258,9,FALSE))))</f>
        <v/>
      </c>
      <c r="L16" s="520" t="str">
        <f>IF(E16="","",IF(ISNA(VLOOKUP($E16,'D-1 Off Site Habitat Baseline'!$D$1:$O$258,11,FALSE)),"",(VLOOKUP($E16,'D-1 Off Site Habitat Baseline'!$D$1:$O$258,11,FALSE))))</f>
        <v/>
      </c>
      <c r="M16" s="520" t="str">
        <f>IF(E16="","",IF(ISNA(VLOOKUP($E16,'D-1 Off Site Habitat Baseline'!$D$1:$O$258,12,FALSE)),"",(VLOOKUP($E16,'D-1 Off Site Habitat Baseline'!$D$1:$O$258,12,FALSE))))</f>
        <v/>
      </c>
      <c r="N16" s="520" t="str">
        <f>IF(E16="","",IF(ISNA(VLOOKUP($E16,'D-1 Off Site Habitat Baseline'!$D$1:$X$258,14,FALSE)),"",(VLOOKUP($E16,'D-1 Off Site Habitat Baseline'!$D$1:$X$258,14,FALSE))))</f>
        <v/>
      </c>
      <c r="O16" s="524" t="str">
        <f>IF(E16="","",IF(ISNA(VLOOKUP($E16,'D-1 Off Site Habitat Baseline'!$D$1:$X$258,13,FALSE)),"",(VLOOKUP($E16,'D-1 Off Site Habitat Baseline'!$D$1:$X$258,13,FALSE))))</f>
        <v/>
      </c>
      <c r="P16" s="232" t="str">
        <f>IFERROR(INDEX('G-1 All Habitats'!$AG$3:$AG$15,MATCH(Q16,'G-1 All Habitats'!$AF$3:$AF$15,0)),"")</f>
        <v/>
      </c>
      <c r="Q16" s="228" t="str">
        <f t="shared" si="4"/>
        <v/>
      </c>
      <c r="R16" s="229" t="str">
        <f t="shared" si="1"/>
        <v/>
      </c>
      <c r="S16" s="233" t="str">
        <f>IFERROR(INDEX('G-1 All Habitats'!$B$3:$B$129,MATCH(R16,'G-1 All Habitats'!$A$3:$A$129,0)),"")</f>
        <v/>
      </c>
      <c r="T16" s="507" t="str">
        <f t="shared" si="5"/>
        <v/>
      </c>
      <c r="U16" s="524" t="str">
        <f t="shared" si="6"/>
        <v/>
      </c>
      <c r="V16" s="523" t="str">
        <f t="shared" si="2"/>
        <v/>
      </c>
      <c r="W16" s="520" t="str">
        <f>IF(S16="","",VLOOKUP(S16,'G-1 All Habitats'!$B$2:$M$129,10,FALSE))</f>
        <v/>
      </c>
      <c r="X16" s="520" t="str">
        <f>IFERROR(VLOOKUP(W16,'G-1 All Habitats'!$V$3:$W$7,2,FALSE),"")</f>
        <v/>
      </c>
      <c r="Y16" s="203"/>
      <c r="Z16" s="524" t="str">
        <f>IFERROR(INDEX('G-8 Condition Look up'!$A$3:$H$130,MATCH(S16,'G-8 Condition Look up'!$A$3:$A$130,0),MATCH(Y16,'G-8 Condition Look up'!$A$3:$H$3,0)),"")</f>
        <v/>
      </c>
      <c r="AA16" s="145"/>
      <c r="AB16" s="540" t="str">
        <f>IF(AA16="","",IF(VLOOKUP(AA16,'G-3 Multipliers'!$L$3:$N$6,2,FALSE)=0,"Spatial Data Missing ⚠",VLOOKUP(AA16,'G-3 Multipliers'!$L$3:$N$6,2,FALSE)))</f>
        <v/>
      </c>
      <c r="AC16" s="524" t="str">
        <f>IF(AA16="","",IF(VLOOKUP(AA16,'G-3 Multipliers'!$L$3:$N$6,3,FALSE)=0,"Spatial Data Missing ⚠",VLOOKUP(AA16,'G-3 Multipliers'!$L$3:$N$6,3,FALSE)))</f>
        <v/>
      </c>
      <c r="AD16" s="537" t="str">
        <f t="shared" si="3"/>
        <v/>
      </c>
      <c r="AE16" s="203"/>
      <c r="AF16" s="203"/>
      <c r="AG16" s="520" t="str">
        <f t="shared" si="7"/>
        <v/>
      </c>
      <c r="AH16" s="544" t="str">
        <f t="shared" si="8"/>
        <v/>
      </c>
      <c r="AI16" s="525" t="str">
        <f>IF(AH16="Check Data ⚠","Check Data ⚠",IFERROR(VLOOKUP(AH16,'G-4 Temporal multipliers'!$A$4:$C$36,3,FALSE),""))</f>
        <v/>
      </c>
      <c r="AJ16" s="537" t="str">
        <f>IF(S16="","",VLOOKUP(S16,'G-3 Multipliers'!$A$2:$E$129,4,FALSE))</f>
        <v/>
      </c>
      <c r="AK16" s="520" t="str">
        <f t="shared" si="9"/>
        <v/>
      </c>
      <c r="AL16" s="520" t="str">
        <f t="shared" si="10"/>
        <v/>
      </c>
      <c r="AM16" s="524" t="str">
        <f>IFERROR(IF(F16="","",IF(AH16="Check Data ⚠","Check Data ⚠",VLOOKUP(AL16, 'G-3 Multipliers'!$P$2:$Q$6,2,FALSE))),"")</f>
        <v/>
      </c>
      <c r="AN16" s="197"/>
      <c r="AO16" s="540" t="str">
        <f>IF(AN16="","",IF(VLOOKUP(AN16,'G-3 Multipliers'!$S$3:$T$9,2,FALSE)=0,"Spatial Data Missing ⚠",VLOOKUP(AN16,'G-3 Multipliers'!$S$3:$T$9,2,FALSE)))</f>
        <v/>
      </c>
      <c r="AP16" s="513" t="str">
        <f t="shared" si="11"/>
        <v/>
      </c>
      <c r="AQ16" s="231"/>
      <c r="AR16" s="150"/>
    </row>
    <row r="17" spans="1:44" x14ac:dyDescent="0.3">
      <c r="A17" s="31" t="str">
        <f>IF(E17="","",IF(ISNA(VLOOKUP($E17,'D-1 Off Site Habitat Baseline'!$D$1:$O$258,2,FALSE)),"",(VLOOKUP($E17,'D-1 Off Site Habitat Baseline'!$D$1:$O$258,2,FALSE))))</f>
        <v/>
      </c>
      <c r="B17" s="31" t="str">
        <f>IF(E17="","",IF(ISNA(VLOOKUP($E17,'D-1 Off Site Habitat Baseline'!$D$1:$O$258,3,FALSE)),"",(VLOOKUP($E17,'D-1 Off Site Habitat Baseline'!$D$1:$O$258,3,FALSE))))</f>
        <v/>
      </c>
      <c r="C17" s="31" t="str">
        <f>IFERROR(INDEX('G-8 Condition Look up'!$I$4:$I$130,MATCH(S17,'G-8 Condition Look up'!$A$4:$A$130,0)),"")</f>
        <v/>
      </c>
      <c r="E17" s="547" t="str">
        <f>'D-1 Off Site Habitat Baseline'!AL16</f>
        <v/>
      </c>
      <c r="F17" s="520" t="str">
        <f>IF(E17="","",IF(ISNA(VLOOKUP($E17,'D-1 Off Site Habitat Baseline'!$D$1:$O$258,4,FALSE)),"",(VLOOKUP($E17,'D-1 Off Site Habitat Baseline'!$D$1:$O$258,4,FALSE))))</f>
        <v/>
      </c>
      <c r="G17" s="520" t="str">
        <f>IF(E17="","",IF(ISNA(VLOOKUP($E17,'D-1 Off Site Habitat Baseline'!$D$1:$O$258,5,FALSE)),"",(VLOOKUP($E17,'D-1 Off Site Habitat Baseline'!$D$1:$O$258,5,FALSE))))</f>
        <v/>
      </c>
      <c r="H17" s="520" t="str">
        <f>IF(E17="","",IF(ISNA(VLOOKUP($E17,'D-1 Off Site Habitat Baseline'!$D$1:$O$258,6,FALSE)),"",(VLOOKUP($E17,'D-1 Off Site Habitat Baseline'!$D$1:$O$258,6,FALSE))))</f>
        <v/>
      </c>
      <c r="I17" s="520" t="str">
        <f>IF(E17="","",IF(ISNA(VLOOKUP($E17,'D-1 Off Site Habitat Baseline'!$D$1:$O$258,7,FALSE)),"",(VLOOKUP($E17,'D-1 Off Site Habitat Baseline'!$D$1:$O$258,7,FALSE))))</f>
        <v/>
      </c>
      <c r="J17" s="520" t="str">
        <f>IF(E17="","",IF(ISNA(VLOOKUP($E17,'D-1 Off Site Habitat Baseline'!$D$1:$O$258,8,FALSE)),"",(VLOOKUP($E17,'D-1 Off Site Habitat Baseline'!$D$1:$O$258,8,FALSE))))</f>
        <v/>
      </c>
      <c r="K17" s="520" t="str">
        <f>IF(E17="","",IF(ISNA(VLOOKUP($E17,'D-1 Off Site Habitat Baseline'!$D$1:$O$258,9,FALSE)),"",(VLOOKUP($E17,'D-1 Off Site Habitat Baseline'!$D$1:$O$258,9,FALSE))))</f>
        <v/>
      </c>
      <c r="L17" s="520" t="str">
        <f>IF(E17="","",IF(ISNA(VLOOKUP($E17,'D-1 Off Site Habitat Baseline'!$D$1:$O$258,11,FALSE)),"",(VLOOKUP($E17,'D-1 Off Site Habitat Baseline'!$D$1:$O$258,11,FALSE))))</f>
        <v/>
      </c>
      <c r="M17" s="520" t="str">
        <f>IF(E17="","",IF(ISNA(VLOOKUP($E17,'D-1 Off Site Habitat Baseline'!$D$1:$O$258,12,FALSE)),"",(VLOOKUP($E17,'D-1 Off Site Habitat Baseline'!$D$1:$O$258,12,FALSE))))</f>
        <v/>
      </c>
      <c r="N17" s="520" t="str">
        <f>IF(E17="","",IF(ISNA(VLOOKUP($E17,'D-1 Off Site Habitat Baseline'!$D$1:$X$258,14,FALSE)),"",(VLOOKUP($E17,'D-1 Off Site Habitat Baseline'!$D$1:$X$258,14,FALSE))))</f>
        <v/>
      </c>
      <c r="O17" s="524" t="str">
        <f>IF(E17="","",IF(ISNA(VLOOKUP($E17,'D-1 Off Site Habitat Baseline'!$D$1:$X$258,13,FALSE)),"",(VLOOKUP($E17,'D-1 Off Site Habitat Baseline'!$D$1:$X$258,13,FALSE))))</f>
        <v/>
      </c>
      <c r="P17" s="232" t="str">
        <f>IFERROR(INDEX('G-1 All Habitats'!$AG$3:$AG$15,MATCH(Q17,'G-1 All Habitats'!$AF$3:$AF$15,0)),"")</f>
        <v/>
      </c>
      <c r="Q17" s="228" t="str">
        <f t="shared" ref="Q17:Q78" si="12">A17</f>
        <v/>
      </c>
      <c r="R17" s="229" t="str">
        <f t="shared" ref="R17:R78" si="13">B17</f>
        <v/>
      </c>
      <c r="S17" s="233" t="str">
        <f>IFERROR(INDEX('G-1 All Habitats'!$B$3:$B$129,MATCH(R17,'G-1 All Habitats'!$A$3:$A$129,0)),"")</f>
        <v/>
      </c>
      <c r="T17" s="507" t="str">
        <f t="shared" si="5"/>
        <v/>
      </c>
      <c r="U17" s="524" t="str">
        <f t="shared" si="6"/>
        <v/>
      </c>
      <c r="V17" s="523" t="str">
        <f t="shared" si="2"/>
        <v/>
      </c>
      <c r="W17" s="520" t="str">
        <f>IF(S17="","",VLOOKUP(S17,'G-1 All Habitats'!$B$2:$M$129,10,FALSE))</f>
        <v/>
      </c>
      <c r="X17" s="520" t="str">
        <f>IFERROR(VLOOKUP(W17,'G-1 All Habitats'!$V$3:$W$7,2,FALSE),"")</f>
        <v/>
      </c>
      <c r="Y17" s="203"/>
      <c r="Z17" s="524" t="str">
        <f>IFERROR(INDEX('G-8 Condition Look up'!$A$3:$H$130,MATCH(S17,'G-8 Condition Look up'!$A$3:$A$130,0),MATCH(Y17,'G-8 Condition Look up'!$A$3:$H$3,0)),"")</f>
        <v/>
      </c>
      <c r="AA17" s="145"/>
      <c r="AB17" s="540" t="str">
        <f>IF(AA17="","",IF(VLOOKUP(AA17,'G-3 Multipliers'!$L$3:$N$6,2,FALSE)=0,"Spatial Data Missing ⚠",VLOOKUP(AA17,'G-3 Multipliers'!$L$3:$N$6,2,FALSE)))</f>
        <v/>
      </c>
      <c r="AC17" s="524" t="str">
        <f>IF(AA17="","",IF(VLOOKUP(AA17,'G-3 Multipliers'!$L$3:$N$6,3,FALSE)=0,"Spatial Data Missing ⚠",VLOOKUP(AA17,'G-3 Multipliers'!$L$3:$N$6,3,FALSE)))</f>
        <v/>
      </c>
      <c r="AD17" s="537" t="str">
        <f t="shared" si="3"/>
        <v/>
      </c>
      <c r="AE17" s="203"/>
      <c r="AF17" s="203"/>
      <c r="AG17" s="520" t="str">
        <f t="shared" si="7"/>
        <v/>
      </c>
      <c r="AH17" s="544" t="str">
        <f t="shared" si="8"/>
        <v/>
      </c>
      <c r="AI17" s="525" t="str">
        <f>IF(AH17="Check Data ⚠","Check Data ⚠",IFERROR(VLOOKUP(AH17,'G-4 Temporal multipliers'!$A$4:$C$36,3,FALSE),""))</f>
        <v/>
      </c>
      <c r="AJ17" s="537" t="str">
        <f>IF(S17="","",VLOOKUP(S17,'G-3 Multipliers'!$A$2:$E$129,4,FALSE))</f>
        <v/>
      </c>
      <c r="AK17" s="520" t="str">
        <f t="shared" si="9"/>
        <v/>
      </c>
      <c r="AL17" s="520" t="str">
        <f t="shared" si="10"/>
        <v/>
      </c>
      <c r="AM17" s="524" t="str">
        <f>IFERROR(IF(F17="","",IF(AH17="Check Data ⚠","Check Data ⚠",VLOOKUP(AL17, 'G-3 Multipliers'!$P$2:$Q$6,2,FALSE))),"")</f>
        <v/>
      </c>
      <c r="AN17" s="197"/>
      <c r="AO17" s="540" t="str">
        <f>IF(AN17="","",IF(VLOOKUP(AN17,'G-3 Multipliers'!$S$3:$T$9,2,FALSE)=0,"Spatial Data Missing ⚠",VLOOKUP(AN17,'G-3 Multipliers'!$S$3:$T$9,2,FALSE)))</f>
        <v/>
      </c>
      <c r="AP17" s="513" t="str">
        <f t="shared" si="11"/>
        <v/>
      </c>
      <c r="AQ17" s="231"/>
      <c r="AR17" s="150"/>
    </row>
    <row r="18" spans="1:44" x14ac:dyDescent="0.3">
      <c r="A18" s="31" t="str">
        <f>IF(E18="","",IF(ISNA(VLOOKUP($E18,'D-1 Off Site Habitat Baseline'!$D$1:$O$258,2,FALSE)),"",(VLOOKUP($E18,'D-1 Off Site Habitat Baseline'!$D$1:$O$258,2,FALSE))))</f>
        <v/>
      </c>
      <c r="B18" s="31" t="str">
        <f>IF(E18="","",IF(ISNA(VLOOKUP($E18,'D-1 Off Site Habitat Baseline'!$D$1:$O$258,3,FALSE)),"",(VLOOKUP($E18,'D-1 Off Site Habitat Baseline'!$D$1:$O$258,3,FALSE))))</f>
        <v/>
      </c>
      <c r="C18" s="31" t="str">
        <f>IFERROR(INDEX('G-8 Condition Look up'!$I$4:$I$130,MATCH(S18,'G-8 Condition Look up'!$A$4:$A$130,0)),"")</f>
        <v/>
      </c>
      <c r="E18" s="547" t="str">
        <f>'D-1 Off Site Habitat Baseline'!AL17</f>
        <v/>
      </c>
      <c r="F18" s="520" t="str">
        <f>IF(E18="","",IF(ISNA(VLOOKUP($E18,'D-1 Off Site Habitat Baseline'!$D$1:$O$258,4,FALSE)),"",(VLOOKUP($E18,'D-1 Off Site Habitat Baseline'!$D$1:$O$258,4,FALSE))))</f>
        <v/>
      </c>
      <c r="G18" s="520" t="str">
        <f>IF(E18="","",IF(ISNA(VLOOKUP($E18,'D-1 Off Site Habitat Baseline'!$D$1:$O$258,5,FALSE)),"",(VLOOKUP($E18,'D-1 Off Site Habitat Baseline'!$D$1:$O$258,5,FALSE))))</f>
        <v/>
      </c>
      <c r="H18" s="520" t="str">
        <f>IF(E18="","",IF(ISNA(VLOOKUP($E18,'D-1 Off Site Habitat Baseline'!$D$1:$O$258,6,FALSE)),"",(VLOOKUP($E18,'D-1 Off Site Habitat Baseline'!$D$1:$O$258,6,FALSE))))</f>
        <v/>
      </c>
      <c r="I18" s="520" t="str">
        <f>IF(E18="","",IF(ISNA(VLOOKUP($E18,'D-1 Off Site Habitat Baseline'!$D$1:$O$258,7,FALSE)),"",(VLOOKUP($E18,'D-1 Off Site Habitat Baseline'!$D$1:$O$258,7,FALSE))))</f>
        <v/>
      </c>
      <c r="J18" s="520" t="str">
        <f>IF(E18="","",IF(ISNA(VLOOKUP($E18,'D-1 Off Site Habitat Baseline'!$D$1:$O$258,8,FALSE)),"",(VLOOKUP($E18,'D-1 Off Site Habitat Baseline'!$D$1:$O$258,8,FALSE))))</f>
        <v/>
      </c>
      <c r="K18" s="520" t="str">
        <f>IF(E18="","",IF(ISNA(VLOOKUP($E18,'D-1 Off Site Habitat Baseline'!$D$1:$O$258,9,FALSE)),"",(VLOOKUP($E18,'D-1 Off Site Habitat Baseline'!$D$1:$O$258,9,FALSE))))</f>
        <v/>
      </c>
      <c r="L18" s="520" t="str">
        <f>IF(E18="","",IF(ISNA(VLOOKUP($E18,'D-1 Off Site Habitat Baseline'!$D$1:$O$258,11,FALSE)),"",(VLOOKUP($E18,'D-1 Off Site Habitat Baseline'!$D$1:$O$258,11,FALSE))))</f>
        <v/>
      </c>
      <c r="M18" s="520" t="str">
        <f>IF(E18="","",IF(ISNA(VLOOKUP($E18,'D-1 Off Site Habitat Baseline'!$D$1:$O$258,12,FALSE)),"",(VLOOKUP($E18,'D-1 Off Site Habitat Baseline'!$D$1:$O$258,12,FALSE))))</f>
        <v/>
      </c>
      <c r="N18" s="520" t="str">
        <f>IF(E18="","",IF(ISNA(VLOOKUP($E18,'D-1 Off Site Habitat Baseline'!$D$1:$X$258,14,FALSE)),"",(VLOOKUP($E18,'D-1 Off Site Habitat Baseline'!$D$1:$X$258,14,FALSE))))</f>
        <v/>
      </c>
      <c r="O18" s="524" t="str">
        <f>IF(E18="","",IF(ISNA(VLOOKUP($E18,'D-1 Off Site Habitat Baseline'!$D$1:$X$258,13,FALSE)),"",(VLOOKUP($E18,'D-1 Off Site Habitat Baseline'!$D$1:$X$258,13,FALSE))))</f>
        <v/>
      </c>
      <c r="P18" s="232" t="str">
        <f>IFERROR(INDEX('G-1 All Habitats'!$AG$3:$AG$15,MATCH(Q18,'G-1 All Habitats'!$AF$3:$AF$15,0)),"")</f>
        <v/>
      </c>
      <c r="Q18" s="228" t="str">
        <f t="shared" si="12"/>
        <v/>
      </c>
      <c r="R18" s="229" t="str">
        <f t="shared" si="13"/>
        <v/>
      </c>
      <c r="S18" s="233" t="str">
        <f>IFERROR(INDEX('G-1 All Habitats'!$B$3:$B$129,MATCH(R18,'G-1 All Habitats'!$A$3:$A$129,0)),"")</f>
        <v/>
      </c>
      <c r="T18" s="507" t="str">
        <f t="shared" si="5"/>
        <v/>
      </c>
      <c r="U18" s="524" t="str">
        <f t="shared" si="6"/>
        <v/>
      </c>
      <c r="V18" s="523" t="str">
        <f t="shared" si="2"/>
        <v/>
      </c>
      <c r="W18" s="520" t="str">
        <f>IF(S18="","",VLOOKUP(S18,'G-1 All Habitats'!$B$2:$M$129,10,FALSE))</f>
        <v/>
      </c>
      <c r="X18" s="520" t="str">
        <f>IFERROR(VLOOKUP(W18,'G-1 All Habitats'!$V$3:$W$7,2,FALSE),"")</f>
        <v/>
      </c>
      <c r="Y18" s="203"/>
      <c r="Z18" s="524" t="str">
        <f>IFERROR(INDEX('G-8 Condition Look up'!$A$3:$H$130,MATCH(S18,'G-8 Condition Look up'!$A$3:$A$130,0),MATCH(Y18,'G-8 Condition Look up'!$A$3:$H$3,0)),"")</f>
        <v/>
      </c>
      <c r="AA18" s="145"/>
      <c r="AB18" s="540" t="str">
        <f>IF(AA18="","",IF(VLOOKUP(AA18,'G-3 Multipliers'!$L$3:$N$6,2,FALSE)=0,"Spatial Data Missing ⚠",VLOOKUP(AA18,'G-3 Multipliers'!$L$3:$N$6,2,FALSE)))</f>
        <v/>
      </c>
      <c r="AC18" s="524" t="str">
        <f>IF(AA18="","",IF(VLOOKUP(AA18,'G-3 Multipliers'!$L$3:$N$6,3,FALSE)=0,"Spatial Data Missing ⚠",VLOOKUP(AA18,'G-3 Multipliers'!$L$3:$N$6,3,FALSE)))</f>
        <v/>
      </c>
      <c r="AD18" s="537" t="str">
        <f t="shared" si="3"/>
        <v/>
      </c>
      <c r="AE18" s="203"/>
      <c r="AF18" s="203"/>
      <c r="AG18" s="520" t="str">
        <f t="shared" si="7"/>
        <v/>
      </c>
      <c r="AH18" s="544" t="str">
        <f t="shared" si="8"/>
        <v/>
      </c>
      <c r="AI18" s="525" t="str">
        <f>IF(AH18="Check Data ⚠","Check Data ⚠",IFERROR(VLOOKUP(AH18,'G-4 Temporal multipliers'!$A$4:$C$36,3,FALSE),""))</f>
        <v/>
      </c>
      <c r="AJ18" s="537" t="str">
        <f>IF(S18="","",VLOOKUP(S18,'G-3 Multipliers'!$A$2:$E$129,4,FALSE))</f>
        <v/>
      </c>
      <c r="AK18" s="520" t="str">
        <f t="shared" si="9"/>
        <v/>
      </c>
      <c r="AL18" s="520" t="str">
        <f t="shared" si="10"/>
        <v/>
      </c>
      <c r="AM18" s="524" t="str">
        <f>IFERROR(IF(F18="","",IF(AH18="Check Data ⚠","Check Data ⚠",VLOOKUP(AL18, 'G-3 Multipliers'!$P$2:$Q$6,2,FALSE))),"")</f>
        <v/>
      </c>
      <c r="AN18" s="197"/>
      <c r="AO18" s="540" t="str">
        <f>IF(AN18="","",IF(VLOOKUP(AN18,'G-3 Multipliers'!$S$3:$T$9,2,FALSE)=0,"Spatial Data Missing ⚠",VLOOKUP(AN18,'G-3 Multipliers'!$S$3:$T$9,2,FALSE)))</f>
        <v/>
      </c>
      <c r="AP18" s="513" t="str">
        <f t="shared" si="11"/>
        <v/>
      </c>
      <c r="AQ18" s="231"/>
      <c r="AR18" s="150"/>
    </row>
    <row r="19" spans="1:44" x14ac:dyDescent="0.3">
      <c r="A19" s="31" t="str">
        <f>IF(E19="","",IF(ISNA(VLOOKUP($E19,'D-1 Off Site Habitat Baseline'!$D$1:$O$258,2,FALSE)),"",(VLOOKUP($E19,'D-1 Off Site Habitat Baseline'!$D$1:$O$258,2,FALSE))))</f>
        <v/>
      </c>
      <c r="B19" s="31" t="str">
        <f>IF(E19="","",IF(ISNA(VLOOKUP($E19,'D-1 Off Site Habitat Baseline'!$D$1:$O$258,3,FALSE)),"",(VLOOKUP($E19,'D-1 Off Site Habitat Baseline'!$D$1:$O$258,3,FALSE))))</f>
        <v/>
      </c>
      <c r="C19" s="31" t="str">
        <f>IFERROR(INDEX('G-8 Condition Look up'!$I$4:$I$130,MATCH(S19,'G-8 Condition Look up'!$A$4:$A$130,0)),"")</f>
        <v/>
      </c>
      <c r="E19" s="547" t="str">
        <f>'D-1 Off Site Habitat Baseline'!AL18</f>
        <v/>
      </c>
      <c r="F19" s="520" t="str">
        <f>IF(E19="","",IF(ISNA(VLOOKUP($E19,'D-1 Off Site Habitat Baseline'!$D$1:$O$258,4,FALSE)),"",(VLOOKUP($E19,'D-1 Off Site Habitat Baseline'!$D$1:$O$258,4,FALSE))))</f>
        <v/>
      </c>
      <c r="G19" s="520" t="str">
        <f>IF(E19="","",IF(ISNA(VLOOKUP($E19,'D-1 Off Site Habitat Baseline'!$D$1:$O$258,5,FALSE)),"",(VLOOKUP($E19,'D-1 Off Site Habitat Baseline'!$D$1:$O$258,5,FALSE))))</f>
        <v/>
      </c>
      <c r="H19" s="520" t="str">
        <f>IF(E19="","",IF(ISNA(VLOOKUP($E19,'D-1 Off Site Habitat Baseline'!$D$1:$O$258,6,FALSE)),"",(VLOOKUP($E19,'D-1 Off Site Habitat Baseline'!$D$1:$O$258,6,FALSE))))</f>
        <v/>
      </c>
      <c r="I19" s="520" t="str">
        <f>IF(E19="","",IF(ISNA(VLOOKUP($E19,'D-1 Off Site Habitat Baseline'!$D$1:$O$258,7,FALSE)),"",(VLOOKUP($E19,'D-1 Off Site Habitat Baseline'!$D$1:$O$258,7,FALSE))))</f>
        <v/>
      </c>
      <c r="J19" s="520" t="str">
        <f>IF(E19="","",IF(ISNA(VLOOKUP($E19,'D-1 Off Site Habitat Baseline'!$D$1:$O$258,8,FALSE)),"",(VLOOKUP($E19,'D-1 Off Site Habitat Baseline'!$D$1:$O$258,8,FALSE))))</f>
        <v/>
      </c>
      <c r="K19" s="520" t="str">
        <f>IF(E19="","",IF(ISNA(VLOOKUP($E19,'D-1 Off Site Habitat Baseline'!$D$1:$O$258,9,FALSE)),"",(VLOOKUP($E19,'D-1 Off Site Habitat Baseline'!$D$1:$O$258,9,FALSE))))</f>
        <v/>
      </c>
      <c r="L19" s="520" t="str">
        <f>IF(E19="","",IF(ISNA(VLOOKUP($E19,'D-1 Off Site Habitat Baseline'!$D$1:$O$258,11,FALSE)),"",(VLOOKUP($E19,'D-1 Off Site Habitat Baseline'!$D$1:$O$258,11,FALSE))))</f>
        <v/>
      </c>
      <c r="M19" s="520" t="str">
        <f>IF(E19="","",IF(ISNA(VLOOKUP($E19,'D-1 Off Site Habitat Baseline'!$D$1:$O$258,12,FALSE)),"",(VLOOKUP($E19,'D-1 Off Site Habitat Baseline'!$D$1:$O$258,12,FALSE))))</f>
        <v/>
      </c>
      <c r="N19" s="520" t="str">
        <f>IF(E19="","",IF(ISNA(VLOOKUP($E19,'D-1 Off Site Habitat Baseline'!$D$1:$X$258,14,FALSE)),"",(VLOOKUP($E19,'D-1 Off Site Habitat Baseline'!$D$1:$X$258,14,FALSE))))</f>
        <v/>
      </c>
      <c r="O19" s="524" t="str">
        <f>IF(E19="","",IF(ISNA(VLOOKUP($E19,'D-1 Off Site Habitat Baseline'!$D$1:$X$258,13,FALSE)),"",(VLOOKUP($E19,'D-1 Off Site Habitat Baseline'!$D$1:$X$258,13,FALSE))))</f>
        <v/>
      </c>
      <c r="P19" s="232" t="str">
        <f>IFERROR(INDEX('G-1 All Habitats'!$AG$3:$AG$15,MATCH(Q19,'G-1 All Habitats'!$AF$3:$AF$15,0)),"")</f>
        <v/>
      </c>
      <c r="Q19" s="228" t="str">
        <f t="shared" si="12"/>
        <v/>
      </c>
      <c r="R19" s="229" t="str">
        <f t="shared" si="13"/>
        <v/>
      </c>
      <c r="S19" s="233" t="str">
        <f>IFERROR(INDEX('G-1 All Habitats'!$B$3:$B$129,MATCH(R19,'G-1 All Habitats'!$A$3:$A$129,0)),"")</f>
        <v/>
      </c>
      <c r="T19" s="507" t="str">
        <f t="shared" si="5"/>
        <v/>
      </c>
      <c r="U19" s="524" t="str">
        <f t="shared" si="6"/>
        <v/>
      </c>
      <c r="V19" s="523" t="str">
        <f t="shared" si="2"/>
        <v/>
      </c>
      <c r="W19" s="520" t="str">
        <f>IF(S19="","",VLOOKUP(S19,'G-1 All Habitats'!$B$2:$M$129,10,FALSE))</f>
        <v/>
      </c>
      <c r="X19" s="520" t="str">
        <f>IFERROR(VLOOKUP(W19,'G-1 All Habitats'!$V$3:$W$7,2,FALSE),"")</f>
        <v/>
      </c>
      <c r="Y19" s="203"/>
      <c r="Z19" s="524" t="str">
        <f>IFERROR(INDEX('G-8 Condition Look up'!$A$3:$H$130,MATCH(S19,'G-8 Condition Look up'!$A$3:$A$130,0),MATCH(Y19,'G-8 Condition Look up'!$A$3:$H$3,0)),"")</f>
        <v/>
      </c>
      <c r="AA19" s="145"/>
      <c r="AB19" s="540" t="str">
        <f>IF(AA19="","",IF(VLOOKUP(AA19,'G-3 Multipliers'!$L$3:$N$6,2,FALSE)=0,"Spatial Data Missing ⚠",VLOOKUP(AA19,'G-3 Multipliers'!$L$3:$N$6,2,FALSE)))</f>
        <v/>
      </c>
      <c r="AC19" s="524" t="str">
        <f>IF(AA19="","",IF(VLOOKUP(AA19,'G-3 Multipliers'!$L$3:$N$6,3,FALSE)=0,"Spatial Data Missing ⚠",VLOOKUP(AA19,'G-3 Multipliers'!$L$3:$N$6,3,FALSE)))</f>
        <v/>
      </c>
      <c r="AD19" s="537" t="str">
        <f t="shared" si="3"/>
        <v/>
      </c>
      <c r="AE19" s="203"/>
      <c r="AF19" s="203"/>
      <c r="AG19" s="520" t="str">
        <f t="shared" si="7"/>
        <v/>
      </c>
      <c r="AH19" s="544" t="str">
        <f t="shared" si="8"/>
        <v/>
      </c>
      <c r="AI19" s="525" t="str">
        <f>IF(AH19="Check Data ⚠","Check Data ⚠",IFERROR(VLOOKUP(AH19,'G-4 Temporal multipliers'!$A$4:$C$36,3,FALSE),""))</f>
        <v/>
      </c>
      <c r="AJ19" s="537" t="str">
        <f>IF(S19="","",VLOOKUP(S19,'G-3 Multipliers'!$A$2:$E$129,4,FALSE))</f>
        <v/>
      </c>
      <c r="AK19" s="520" t="str">
        <f t="shared" si="9"/>
        <v/>
      </c>
      <c r="AL19" s="520" t="str">
        <f t="shared" si="10"/>
        <v/>
      </c>
      <c r="AM19" s="524" t="str">
        <f>IFERROR(IF(F19="","",IF(AH19="Check Data ⚠","Check Data ⚠",VLOOKUP(AL19, 'G-3 Multipliers'!$P$2:$Q$6,2,FALSE))),"")</f>
        <v/>
      </c>
      <c r="AN19" s="197"/>
      <c r="AO19" s="540" t="str">
        <f>IF(AN19="","",IF(VLOOKUP(AN19,'G-3 Multipliers'!$S$3:$T$9,2,FALSE)=0,"Spatial Data Missing ⚠",VLOOKUP(AN19,'G-3 Multipliers'!$S$3:$T$9,2,FALSE)))</f>
        <v/>
      </c>
      <c r="AP19" s="513" t="str">
        <f t="shared" si="11"/>
        <v/>
      </c>
      <c r="AQ19" s="231"/>
      <c r="AR19" s="150"/>
    </row>
    <row r="20" spans="1:44" x14ac:dyDescent="0.3">
      <c r="A20" s="31" t="str">
        <f>IF(E20="","",IF(ISNA(VLOOKUP($E20,'D-1 Off Site Habitat Baseline'!$D$1:$O$258,2,FALSE)),"",(VLOOKUP($E20,'D-1 Off Site Habitat Baseline'!$D$1:$O$258,2,FALSE))))</f>
        <v/>
      </c>
      <c r="B20" s="31" t="str">
        <f>IF(E20="","",IF(ISNA(VLOOKUP($E20,'D-1 Off Site Habitat Baseline'!$D$1:$O$258,3,FALSE)),"",(VLOOKUP($E20,'D-1 Off Site Habitat Baseline'!$D$1:$O$258,3,FALSE))))</f>
        <v/>
      </c>
      <c r="C20" s="31" t="str">
        <f>IFERROR(INDEX('G-8 Condition Look up'!$I$4:$I$130,MATCH(S20,'G-8 Condition Look up'!$A$4:$A$130,0)),"")</f>
        <v/>
      </c>
      <c r="E20" s="547" t="str">
        <f>'D-1 Off Site Habitat Baseline'!AL19</f>
        <v/>
      </c>
      <c r="F20" s="520" t="str">
        <f>IF(E20="","",IF(ISNA(VLOOKUP($E20,'D-1 Off Site Habitat Baseline'!$D$1:$O$258,4,FALSE)),"",(VLOOKUP($E20,'D-1 Off Site Habitat Baseline'!$D$1:$O$258,4,FALSE))))</f>
        <v/>
      </c>
      <c r="G20" s="520" t="str">
        <f>IF(E20="","",IF(ISNA(VLOOKUP($E20,'D-1 Off Site Habitat Baseline'!$D$1:$O$258,5,FALSE)),"",(VLOOKUP($E20,'D-1 Off Site Habitat Baseline'!$D$1:$O$258,5,FALSE))))</f>
        <v/>
      </c>
      <c r="H20" s="520" t="str">
        <f>IF(E20="","",IF(ISNA(VLOOKUP($E20,'D-1 Off Site Habitat Baseline'!$D$1:$O$258,6,FALSE)),"",(VLOOKUP($E20,'D-1 Off Site Habitat Baseline'!$D$1:$O$258,6,FALSE))))</f>
        <v/>
      </c>
      <c r="I20" s="520" t="str">
        <f>IF(E20="","",IF(ISNA(VLOOKUP($E20,'D-1 Off Site Habitat Baseline'!$D$1:$O$258,7,FALSE)),"",(VLOOKUP($E20,'D-1 Off Site Habitat Baseline'!$D$1:$O$258,7,FALSE))))</f>
        <v/>
      </c>
      <c r="J20" s="520" t="str">
        <f>IF(E20="","",IF(ISNA(VLOOKUP($E20,'D-1 Off Site Habitat Baseline'!$D$1:$O$258,8,FALSE)),"",(VLOOKUP($E20,'D-1 Off Site Habitat Baseline'!$D$1:$O$258,8,FALSE))))</f>
        <v/>
      </c>
      <c r="K20" s="520" t="str">
        <f>IF(E20="","",IF(ISNA(VLOOKUP($E20,'D-1 Off Site Habitat Baseline'!$D$1:$O$258,9,FALSE)),"",(VLOOKUP($E20,'D-1 Off Site Habitat Baseline'!$D$1:$O$258,9,FALSE))))</f>
        <v/>
      </c>
      <c r="L20" s="520" t="str">
        <f>IF(E20="","",IF(ISNA(VLOOKUP($E20,'D-1 Off Site Habitat Baseline'!$D$1:$O$258,11,FALSE)),"",(VLOOKUP($E20,'D-1 Off Site Habitat Baseline'!$D$1:$O$258,11,FALSE))))</f>
        <v/>
      </c>
      <c r="M20" s="520" t="str">
        <f>IF(E20="","",IF(ISNA(VLOOKUP($E20,'D-1 Off Site Habitat Baseline'!$D$1:$O$258,12,FALSE)),"",(VLOOKUP($E20,'D-1 Off Site Habitat Baseline'!$D$1:$O$258,12,FALSE))))</f>
        <v/>
      </c>
      <c r="N20" s="520" t="str">
        <f>IF(E20="","",IF(ISNA(VLOOKUP($E20,'D-1 Off Site Habitat Baseline'!$D$1:$X$258,14,FALSE)),"",(VLOOKUP($E20,'D-1 Off Site Habitat Baseline'!$D$1:$X$258,14,FALSE))))</f>
        <v/>
      </c>
      <c r="O20" s="524" t="str">
        <f>IF(E20="","",IF(ISNA(VLOOKUP($E20,'D-1 Off Site Habitat Baseline'!$D$1:$X$258,13,FALSE)),"",(VLOOKUP($E20,'D-1 Off Site Habitat Baseline'!$D$1:$X$258,13,FALSE))))</f>
        <v/>
      </c>
      <c r="P20" s="232" t="str">
        <f>IFERROR(INDEX('G-1 All Habitats'!$AG$3:$AG$15,MATCH(Q20,'G-1 All Habitats'!$AF$3:$AF$15,0)),"")</f>
        <v/>
      </c>
      <c r="Q20" s="228" t="str">
        <f t="shared" si="12"/>
        <v/>
      </c>
      <c r="R20" s="229" t="str">
        <f t="shared" si="13"/>
        <v/>
      </c>
      <c r="S20" s="233" t="str">
        <f>IFERROR(INDEX('G-1 All Habitats'!$B$3:$B$129,MATCH(R20,'G-1 All Habitats'!$A$3:$A$129,0)),"")</f>
        <v/>
      </c>
      <c r="T20" s="507" t="str">
        <f t="shared" si="5"/>
        <v/>
      </c>
      <c r="U20" s="524" t="str">
        <f t="shared" si="6"/>
        <v/>
      </c>
      <c r="V20" s="523" t="str">
        <f t="shared" si="2"/>
        <v/>
      </c>
      <c r="W20" s="520" t="str">
        <f>IF(S20="","",VLOOKUP(S20,'G-1 All Habitats'!$B$2:$M$129,10,FALSE))</f>
        <v/>
      </c>
      <c r="X20" s="520" t="str">
        <f>IFERROR(VLOOKUP(W20,'G-1 All Habitats'!$V$3:$W$7,2,FALSE),"")</f>
        <v/>
      </c>
      <c r="Y20" s="203"/>
      <c r="Z20" s="524" t="str">
        <f>IFERROR(INDEX('G-8 Condition Look up'!$A$3:$H$130,MATCH(S20,'G-8 Condition Look up'!$A$3:$A$130,0),MATCH(Y20,'G-8 Condition Look up'!$A$3:$H$3,0)),"")</f>
        <v/>
      </c>
      <c r="AA20" s="145"/>
      <c r="AB20" s="540" t="str">
        <f>IF(AA20="","",IF(VLOOKUP(AA20,'G-3 Multipliers'!$L$3:$N$6,2,FALSE)=0,"Spatial Data Missing ⚠",VLOOKUP(AA20,'G-3 Multipliers'!$L$3:$N$6,2,FALSE)))</f>
        <v/>
      </c>
      <c r="AC20" s="524" t="str">
        <f>IF(AA20="","",IF(VLOOKUP(AA20,'G-3 Multipliers'!$L$3:$N$6,3,FALSE)=0,"Spatial Data Missing ⚠",VLOOKUP(AA20,'G-3 Multipliers'!$L$3:$N$6,3,FALSE)))</f>
        <v/>
      </c>
      <c r="AD20" s="537" t="str">
        <f t="shared" si="3"/>
        <v/>
      </c>
      <c r="AE20" s="203"/>
      <c r="AF20" s="203"/>
      <c r="AG20" s="520" t="str">
        <f t="shared" si="7"/>
        <v/>
      </c>
      <c r="AH20" s="544" t="str">
        <f t="shared" si="8"/>
        <v/>
      </c>
      <c r="AI20" s="525" t="str">
        <f>IF(AH20="Check Data ⚠","Check Data ⚠",IFERROR(VLOOKUP(AH20,'G-4 Temporal multipliers'!$A$4:$C$36,3,FALSE),""))</f>
        <v/>
      </c>
      <c r="AJ20" s="537" t="str">
        <f>IF(S20="","",VLOOKUP(S20,'G-3 Multipliers'!$A$2:$E$129,4,FALSE))</f>
        <v/>
      </c>
      <c r="AK20" s="520" t="str">
        <f t="shared" si="9"/>
        <v/>
      </c>
      <c r="AL20" s="520" t="str">
        <f t="shared" si="10"/>
        <v/>
      </c>
      <c r="AM20" s="524" t="str">
        <f>IFERROR(IF(F20="","",IF(AH20="Check Data ⚠","Check Data ⚠",VLOOKUP(AL20, 'G-3 Multipliers'!$P$2:$Q$6,2,FALSE))),"")</f>
        <v/>
      </c>
      <c r="AN20" s="197"/>
      <c r="AO20" s="540" t="str">
        <f>IF(AN20="","",IF(VLOOKUP(AN20,'G-3 Multipliers'!$S$3:$T$9,2,FALSE)=0,"Spatial Data Missing ⚠",VLOOKUP(AN20,'G-3 Multipliers'!$S$3:$T$9,2,FALSE)))</f>
        <v/>
      </c>
      <c r="AP20" s="513" t="str">
        <f t="shared" si="11"/>
        <v/>
      </c>
      <c r="AQ20" s="231"/>
      <c r="AR20" s="150"/>
    </row>
    <row r="21" spans="1:44" x14ac:dyDescent="0.3">
      <c r="A21" s="31" t="str">
        <f>IF(E21="","",IF(ISNA(VLOOKUP($E21,'D-1 Off Site Habitat Baseline'!$D$1:$O$258,2,FALSE)),"",(VLOOKUP($E21,'D-1 Off Site Habitat Baseline'!$D$1:$O$258,2,FALSE))))</f>
        <v/>
      </c>
      <c r="B21" s="31" t="str">
        <f>IF(E21="","",IF(ISNA(VLOOKUP($E21,'D-1 Off Site Habitat Baseline'!$D$1:$O$258,3,FALSE)),"",(VLOOKUP($E21,'D-1 Off Site Habitat Baseline'!$D$1:$O$258,3,FALSE))))</f>
        <v/>
      </c>
      <c r="C21" s="31" t="str">
        <f>IFERROR(INDEX('G-8 Condition Look up'!$I$4:$I$130,MATCH(S21,'G-8 Condition Look up'!$A$4:$A$130,0)),"")</f>
        <v/>
      </c>
      <c r="E21" s="547" t="str">
        <f>'D-1 Off Site Habitat Baseline'!AL20</f>
        <v/>
      </c>
      <c r="F21" s="520" t="str">
        <f>IF(E21="","",IF(ISNA(VLOOKUP($E21,'D-1 Off Site Habitat Baseline'!$D$1:$O$258,4,FALSE)),"",(VLOOKUP($E21,'D-1 Off Site Habitat Baseline'!$D$1:$O$258,4,FALSE))))</f>
        <v/>
      </c>
      <c r="G21" s="520" t="str">
        <f>IF(E21="","",IF(ISNA(VLOOKUP($E21,'D-1 Off Site Habitat Baseline'!$D$1:$O$258,5,FALSE)),"",(VLOOKUP($E21,'D-1 Off Site Habitat Baseline'!$D$1:$O$258,5,FALSE))))</f>
        <v/>
      </c>
      <c r="H21" s="520" t="str">
        <f>IF(E21="","",IF(ISNA(VLOOKUP($E21,'D-1 Off Site Habitat Baseline'!$D$1:$O$258,6,FALSE)),"",(VLOOKUP($E21,'D-1 Off Site Habitat Baseline'!$D$1:$O$258,6,FALSE))))</f>
        <v/>
      </c>
      <c r="I21" s="520" t="str">
        <f>IF(E21="","",IF(ISNA(VLOOKUP($E21,'D-1 Off Site Habitat Baseline'!$D$1:$O$258,7,FALSE)),"",(VLOOKUP($E21,'D-1 Off Site Habitat Baseline'!$D$1:$O$258,7,FALSE))))</f>
        <v/>
      </c>
      <c r="J21" s="520" t="str">
        <f>IF(E21="","",IF(ISNA(VLOOKUP($E21,'D-1 Off Site Habitat Baseline'!$D$1:$O$258,8,FALSE)),"",(VLOOKUP($E21,'D-1 Off Site Habitat Baseline'!$D$1:$O$258,8,FALSE))))</f>
        <v/>
      </c>
      <c r="K21" s="520" t="str">
        <f>IF(E21="","",IF(ISNA(VLOOKUP($E21,'D-1 Off Site Habitat Baseline'!$D$1:$O$258,9,FALSE)),"",(VLOOKUP($E21,'D-1 Off Site Habitat Baseline'!$D$1:$O$258,9,FALSE))))</f>
        <v/>
      </c>
      <c r="L21" s="520" t="str">
        <f>IF(E21="","",IF(ISNA(VLOOKUP($E21,'D-1 Off Site Habitat Baseline'!$D$1:$O$258,11,FALSE)),"",(VLOOKUP($E21,'D-1 Off Site Habitat Baseline'!$D$1:$O$258,11,FALSE))))</f>
        <v/>
      </c>
      <c r="M21" s="520" t="str">
        <f>IF(E21="","",IF(ISNA(VLOOKUP($E21,'D-1 Off Site Habitat Baseline'!$D$1:$O$258,12,FALSE)),"",(VLOOKUP($E21,'D-1 Off Site Habitat Baseline'!$D$1:$O$258,12,FALSE))))</f>
        <v/>
      </c>
      <c r="N21" s="520" t="str">
        <f>IF(E21="","",IF(ISNA(VLOOKUP($E21,'D-1 Off Site Habitat Baseline'!$D$1:$X$258,14,FALSE)),"",(VLOOKUP($E21,'D-1 Off Site Habitat Baseline'!$D$1:$X$258,14,FALSE))))</f>
        <v/>
      </c>
      <c r="O21" s="524" t="str">
        <f>IF(E21="","",IF(ISNA(VLOOKUP($E21,'D-1 Off Site Habitat Baseline'!$D$1:$X$258,13,FALSE)),"",(VLOOKUP($E21,'D-1 Off Site Habitat Baseline'!$D$1:$X$258,13,FALSE))))</f>
        <v/>
      </c>
      <c r="P21" s="232" t="str">
        <f>IFERROR(INDEX('G-1 All Habitats'!$AG$3:$AG$15,MATCH(Q21,'G-1 All Habitats'!$AF$3:$AF$15,0)),"")</f>
        <v/>
      </c>
      <c r="Q21" s="228" t="str">
        <f t="shared" si="12"/>
        <v/>
      </c>
      <c r="R21" s="229" t="str">
        <f t="shared" si="13"/>
        <v/>
      </c>
      <c r="S21" s="233" t="str">
        <f>IFERROR(INDEX('G-1 All Habitats'!$B$3:$B$129,MATCH(R21,'G-1 All Habitats'!$A$3:$A$129,0)),"")</f>
        <v/>
      </c>
      <c r="T21" s="507" t="str">
        <f t="shared" si="5"/>
        <v/>
      </c>
      <c r="U21" s="524" t="str">
        <f t="shared" si="6"/>
        <v/>
      </c>
      <c r="V21" s="523" t="str">
        <f t="shared" si="2"/>
        <v/>
      </c>
      <c r="W21" s="520" t="str">
        <f>IF(S21="","",VLOOKUP(S21,'G-1 All Habitats'!$B$2:$M$129,10,FALSE))</f>
        <v/>
      </c>
      <c r="X21" s="520" t="str">
        <f>IFERROR(VLOOKUP(W21,'G-1 All Habitats'!$V$3:$W$7,2,FALSE),"")</f>
        <v/>
      </c>
      <c r="Y21" s="203"/>
      <c r="Z21" s="524" t="str">
        <f>IFERROR(INDEX('G-8 Condition Look up'!$A$3:$H$130,MATCH(S21,'G-8 Condition Look up'!$A$3:$A$130,0),MATCH(Y21,'G-8 Condition Look up'!$A$3:$H$3,0)),"")</f>
        <v/>
      </c>
      <c r="AA21" s="145"/>
      <c r="AB21" s="540" t="str">
        <f>IF(AA21="","",IF(VLOOKUP(AA21,'G-3 Multipliers'!$L$3:$N$6,2,FALSE)=0,"Spatial Data Missing ⚠",VLOOKUP(AA21,'G-3 Multipliers'!$L$3:$N$6,2,FALSE)))</f>
        <v/>
      </c>
      <c r="AC21" s="524" t="str">
        <f>IF(AA21="","",IF(VLOOKUP(AA21,'G-3 Multipliers'!$L$3:$N$6,3,FALSE)=0,"Spatial Data Missing ⚠",VLOOKUP(AA21,'G-3 Multipliers'!$L$3:$N$6,3,FALSE)))</f>
        <v/>
      </c>
      <c r="AD21" s="537" t="str">
        <f t="shared" si="3"/>
        <v/>
      </c>
      <c r="AE21" s="203"/>
      <c r="AF21" s="203"/>
      <c r="AG21" s="520" t="str">
        <f t="shared" si="7"/>
        <v/>
      </c>
      <c r="AH21" s="544" t="str">
        <f t="shared" si="8"/>
        <v/>
      </c>
      <c r="AI21" s="525" t="str">
        <f>IF(AH21="Check Data ⚠","Check Data ⚠",IFERROR(VLOOKUP(AH21,'G-4 Temporal multipliers'!$A$4:$C$36,3,FALSE),""))</f>
        <v/>
      </c>
      <c r="AJ21" s="537" t="str">
        <f>IF(S21="","",VLOOKUP(S21,'G-3 Multipliers'!$A$2:$E$129,4,FALSE))</f>
        <v/>
      </c>
      <c r="AK21" s="520" t="str">
        <f t="shared" si="9"/>
        <v/>
      </c>
      <c r="AL21" s="520" t="str">
        <f t="shared" si="10"/>
        <v/>
      </c>
      <c r="AM21" s="524" t="str">
        <f>IFERROR(IF(F21="","",IF(AH21="Check Data ⚠","Check Data ⚠",VLOOKUP(AL21, 'G-3 Multipliers'!$P$2:$Q$6,2,FALSE))),"")</f>
        <v/>
      </c>
      <c r="AN21" s="197"/>
      <c r="AO21" s="540" t="str">
        <f>IF(AN21="","",IF(VLOOKUP(AN21,'G-3 Multipliers'!$S$3:$T$9,2,FALSE)=0,"Spatial Data Missing ⚠",VLOOKUP(AN21,'G-3 Multipliers'!$S$3:$T$9,2,FALSE)))</f>
        <v/>
      </c>
      <c r="AP21" s="513" t="str">
        <f t="shared" si="11"/>
        <v/>
      </c>
      <c r="AQ21" s="231"/>
      <c r="AR21" s="150"/>
    </row>
    <row r="22" spans="1:44" x14ac:dyDescent="0.3">
      <c r="A22" s="31" t="str">
        <f>IF(E22="","",IF(ISNA(VLOOKUP($E22,'D-1 Off Site Habitat Baseline'!$D$1:$O$258,2,FALSE)),"",(VLOOKUP($E22,'D-1 Off Site Habitat Baseline'!$D$1:$O$258,2,FALSE))))</f>
        <v/>
      </c>
      <c r="B22" s="31" t="str">
        <f>IF(E22="","",IF(ISNA(VLOOKUP($E22,'D-1 Off Site Habitat Baseline'!$D$1:$O$258,3,FALSE)),"",(VLOOKUP($E22,'D-1 Off Site Habitat Baseline'!$D$1:$O$258,3,FALSE))))</f>
        <v/>
      </c>
      <c r="C22" s="31" t="str">
        <f>IFERROR(INDEX('G-8 Condition Look up'!$I$4:$I$130,MATCH(S22,'G-8 Condition Look up'!$A$4:$A$130,0)),"")</f>
        <v/>
      </c>
      <c r="E22" s="547" t="str">
        <f>'D-1 Off Site Habitat Baseline'!AL21</f>
        <v/>
      </c>
      <c r="F22" s="520" t="str">
        <f>IF(E22="","",IF(ISNA(VLOOKUP($E22,'D-1 Off Site Habitat Baseline'!$D$1:$O$258,4,FALSE)),"",(VLOOKUP($E22,'D-1 Off Site Habitat Baseline'!$D$1:$O$258,4,FALSE))))</f>
        <v/>
      </c>
      <c r="G22" s="520" t="str">
        <f>IF(E22="","",IF(ISNA(VLOOKUP($E22,'D-1 Off Site Habitat Baseline'!$D$1:$O$258,5,FALSE)),"",(VLOOKUP($E22,'D-1 Off Site Habitat Baseline'!$D$1:$O$258,5,FALSE))))</f>
        <v/>
      </c>
      <c r="H22" s="520" t="str">
        <f>IF(E22="","",IF(ISNA(VLOOKUP($E22,'D-1 Off Site Habitat Baseline'!$D$1:$O$258,6,FALSE)),"",(VLOOKUP($E22,'D-1 Off Site Habitat Baseline'!$D$1:$O$258,6,FALSE))))</f>
        <v/>
      </c>
      <c r="I22" s="520" t="str">
        <f>IF(E22="","",IF(ISNA(VLOOKUP($E22,'D-1 Off Site Habitat Baseline'!$D$1:$O$258,7,FALSE)),"",(VLOOKUP($E22,'D-1 Off Site Habitat Baseline'!$D$1:$O$258,7,FALSE))))</f>
        <v/>
      </c>
      <c r="J22" s="520" t="str">
        <f>IF(E22="","",IF(ISNA(VLOOKUP($E22,'D-1 Off Site Habitat Baseline'!$D$1:$O$258,8,FALSE)),"",(VLOOKUP($E22,'D-1 Off Site Habitat Baseline'!$D$1:$O$258,8,FALSE))))</f>
        <v/>
      </c>
      <c r="K22" s="520" t="str">
        <f>IF(E22="","",IF(ISNA(VLOOKUP($E22,'D-1 Off Site Habitat Baseline'!$D$1:$O$258,9,FALSE)),"",(VLOOKUP($E22,'D-1 Off Site Habitat Baseline'!$D$1:$O$258,9,FALSE))))</f>
        <v/>
      </c>
      <c r="L22" s="520" t="str">
        <f>IF(E22="","",IF(ISNA(VLOOKUP($E22,'D-1 Off Site Habitat Baseline'!$D$1:$O$258,11,FALSE)),"",(VLOOKUP($E22,'D-1 Off Site Habitat Baseline'!$D$1:$O$258,11,FALSE))))</f>
        <v/>
      </c>
      <c r="M22" s="520" t="str">
        <f>IF(E22="","",IF(ISNA(VLOOKUP($E22,'D-1 Off Site Habitat Baseline'!$D$1:$O$258,12,FALSE)),"",(VLOOKUP($E22,'D-1 Off Site Habitat Baseline'!$D$1:$O$258,12,FALSE))))</f>
        <v/>
      </c>
      <c r="N22" s="520" t="str">
        <f>IF(E22="","",IF(ISNA(VLOOKUP($E22,'D-1 Off Site Habitat Baseline'!$D$1:$X$258,14,FALSE)),"",(VLOOKUP($E22,'D-1 Off Site Habitat Baseline'!$D$1:$X$258,14,FALSE))))</f>
        <v/>
      </c>
      <c r="O22" s="524" t="str">
        <f>IF(E22="","",IF(ISNA(VLOOKUP($E22,'D-1 Off Site Habitat Baseline'!$D$1:$X$258,13,FALSE)),"",(VLOOKUP($E22,'D-1 Off Site Habitat Baseline'!$D$1:$X$258,13,FALSE))))</f>
        <v/>
      </c>
      <c r="P22" s="232" t="str">
        <f>IFERROR(INDEX('G-1 All Habitats'!$AG$3:$AG$15,MATCH(Q22,'G-1 All Habitats'!$AF$3:$AF$15,0)),"")</f>
        <v/>
      </c>
      <c r="Q22" s="228" t="str">
        <f t="shared" si="12"/>
        <v/>
      </c>
      <c r="R22" s="229" t="str">
        <f t="shared" si="13"/>
        <v/>
      </c>
      <c r="S22" s="233" t="str">
        <f>IFERROR(INDEX('G-1 All Habitats'!$B$3:$B$129,MATCH(R22,'G-1 All Habitats'!$A$3:$A$129,0)),"")</f>
        <v/>
      </c>
      <c r="T22" s="507" t="str">
        <f t="shared" si="5"/>
        <v/>
      </c>
      <c r="U22" s="524" t="str">
        <f t="shared" si="6"/>
        <v/>
      </c>
      <c r="V22" s="523" t="str">
        <f t="shared" si="2"/>
        <v/>
      </c>
      <c r="W22" s="520" t="str">
        <f>IF(S22="","",VLOOKUP(S22,'G-1 All Habitats'!$B$2:$M$129,10,FALSE))</f>
        <v/>
      </c>
      <c r="X22" s="520" t="str">
        <f>IFERROR(VLOOKUP(W22,'G-1 All Habitats'!$V$3:$W$7,2,FALSE),"")</f>
        <v/>
      </c>
      <c r="Y22" s="203"/>
      <c r="Z22" s="524" t="str">
        <f>IFERROR(INDEX('G-8 Condition Look up'!$A$3:$H$130,MATCH(S22,'G-8 Condition Look up'!$A$3:$A$130,0),MATCH(Y22,'G-8 Condition Look up'!$A$3:$H$3,0)),"")</f>
        <v/>
      </c>
      <c r="AA22" s="145"/>
      <c r="AB22" s="540" t="str">
        <f>IF(AA22="","",IF(VLOOKUP(AA22,'G-3 Multipliers'!$L$3:$N$6,2,FALSE)=0,"Spatial Data Missing ⚠",VLOOKUP(AA22,'G-3 Multipliers'!$L$3:$N$6,2,FALSE)))</f>
        <v/>
      </c>
      <c r="AC22" s="524" t="str">
        <f>IF(AA22="","",IF(VLOOKUP(AA22,'G-3 Multipliers'!$L$3:$N$6,3,FALSE)=0,"Spatial Data Missing ⚠",VLOOKUP(AA22,'G-3 Multipliers'!$L$3:$N$6,3,FALSE)))</f>
        <v/>
      </c>
      <c r="AD22" s="537" t="str">
        <f t="shared" si="3"/>
        <v/>
      </c>
      <c r="AE22" s="203"/>
      <c r="AF22" s="203"/>
      <c r="AG22" s="520" t="str">
        <f t="shared" si="7"/>
        <v/>
      </c>
      <c r="AH22" s="544" t="str">
        <f t="shared" si="8"/>
        <v/>
      </c>
      <c r="AI22" s="525" t="str">
        <f>IF(AH22="Check Data ⚠","Check Data ⚠",IFERROR(VLOOKUP(AH22,'G-4 Temporal multipliers'!$A$4:$C$36,3,FALSE),""))</f>
        <v/>
      </c>
      <c r="AJ22" s="537" t="str">
        <f>IF(S22="","",VLOOKUP(S22,'G-3 Multipliers'!$A$2:$E$129,4,FALSE))</f>
        <v/>
      </c>
      <c r="AK22" s="520" t="str">
        <f t="shared" si="9"/>
        <v/>
      </c>
      <c r="AL22" s="520" t="str">
        <f t="shared" si="10"/>
        <v/>
      </c>
      <c r="AM22" s="524" t="str">
        <f>IFERROR(IF(F22="","",IF(AH22="Check Data ⚠","Check Data ⚠",VLOOKUP(AL22, 'G-3 Multipliers'!$P$2:$Q$6,2,FALSE))),"")</f>
        <v/>
      </c>
      <c r="AN22" s="197"/>
      <c r="AO22" s="540" t="str">
        <f>IF(AN22="","",IF(VLOOKUP(AN22,'G-3 Multipliers'!$S$3:$T$9,2,FALSE)=0,"Spatial Data Missing ⚠",VLOOKUP(AN22,'G-3 Multipliers'!$S$3:$T$9,2,FALSE)))</f>
        <v/>
      </c>
      <c r="AP22" s="513" t="str">
        <f t="shared" si="11"/>
        <v/>
      </c>
      <c r="AQ22" s="231"/>
      <c r="AR22" s="150"/>
    </row>
    <row r="23" spans="1:44" x14ac:dyDescent="0.3">
      <c r="A23" s="31" t="str">
        <f>IF(E23="","",IF(ISNA(VLOOKUP($E23,'D-1 Off Site Habitat Baseline'!$D$1:$O$258,2,FALSE)),"",(VLOOKUP($E23,'D-1 Off Site Habitat Baseline'!$D$1:$O$258,2,FALSE))))</f>
        <v/>
      </c>
      <c r="B23" s="31" t="str">
        <f>IF(E23="","",IF(ISNA(VLOOKUP($E23,'D-1 Off Site Habitat Baseline'!$D$1:$O$258,3,FALSE)),"",(VLOOKUP($E23,'D-1 Off Site Habitat Baseline'!$D$1:$O$258,3,FALSE))))</f>
        <v/>
      </c>
      <c r="C23" s="31" t="str">
        <f>IFERROR(INDEX('G-8 Condition Look up'!$I$4:$I$130,MATCH(S23,'G-8 Condition Look up'!$A$4:$A$130,0)),"")</f>
        <v/>
      </c>
      <c r="E23" s="547" t="str">
        <f>'D-1 Off Site Habitat Baseline'!AL22</f>
        <v/>
      </c>
      <c r="F23" s="520" t="str">
        <f>IF(E23="","",IF(ISNA(VLOOKUP($E23,'D-1 Off Site Habitat Baseline'!$D$1:$O$258,4,FALSE)),"",(VLOOKUP($E23,'D-1 Off Site Habitat Baseline'!$D$1:$O$258,4,FALSE))))</f>
        <v/>
      </c>
      <c r="G23" s="520" t="str">
        <f>IF(E23="","",IF(ISNA(VLOOKUP($E23,'D-1 Off Site Habitat Baseline'!$D$1:$O$258,5,FALSE)),"",(VLOOKUP($E23,'D-1 Off Site Habitat Baseline'!$D$1:$O$258,5,FALSE))))</f>
        <v/>
      </c>
      <c r="H23" s="520" t="str">
        <f>IF(E23="","",IF(ISNA(VLOOKUP($E23,'D-1 Off Site Habitat Baseline'!$D$1:$O$258,6,FALSE)),"",(VLOOKUP($E23,'D-1 Off Site Habitat Baseline'!$D$1:$O$258,6,FALSE))))</f>
        <v/>
      </c>
      <c r="I23" s="520" t="str">
        <f>IF(E23="","",IF(ISNA(VLOOKUP($E23,'D-1 Off Site Habitat Baseline'!$D$1:$O$258,7,FALSE)),"",(VLOOKUP($E23,'D-1 Off Site Habitat Baseline'!$D$1:$O$258,7,FALSE))))</f>
        <v/>
      </c>
      <c r="J23" s="520" t="str">
        <f>IF(E23="","",IF(ISNA(VLOOKUP($E23,'D-1 Off Site Habitat Baseline'!$D$1:$O$258,8,FALSE)),"",(VLOOKUP($E23,'D-1 Off Site Habitat Baseline'!$D$1:$O$258,8,FALSE))))</f>
        <v/>
      </c>
      <c r="K23" s="520" t="str">
        <f>IF(E23="","",IF(ISNA(VLOOKUP($E23,'D-1 Off Site Habitat Baseline'!$D$1:$O$258,9,FALSE)),"",(VLOOKUP($E23,'D-1 Off Site Habitat Baseline'!$D$1:$O$258,9,FALSE))))</f>
        <v/>
      </c>
      <c r="L23" s="520" t="str">
        <f>IF(E23="","",IF(ISNA(VLOOKUP($E23,'D-1 Off Site Habitat Baseline'!$D$1:$O$258,11,FALSE)),"",(VLOOKUP($E23,'D-1 Off Site Habitat Baseline'!$D$1:$O$258,11,FALSE))))</f>
        <v/>
      </c>
      <c r="M23" s="520" t="str">
        <f>IF(E23="","",IF(ISNA(VLOOKUP($E23,'D-1 Off Site Habitat Baseline'!$D$1:$O$258,12,FALSE)),"",(VLOOKUP($E23,'D-1 Off Site Habitat Baseline'!$D$1:$O$258,12,FALSE))))</f>
        <v/>
      </c>
      <c r="N23" s="520" t="str">
        <f>IF(E23="","",IF(ISNA(VLOOKUP($E23,'D-1 Off Site Habitat Baseline'!$D$1:$X$258,14,FALSE)),"",(VLOOKUP($E23,'D-1 Off Site Habitat Baseline'!$D$1:$X$258,14,FALSE))))</f>
        <v/>
      </c>
      <c r="O23" s="524" t="str">
        <f>IF(E23="","",IF(ISNA(VLOOKUP($E23,'D-1 Off Site Habitat Baseline'!$D$1:$X$258,13,FALSE)),"",(VLOOKUP($E23,'D-1 Off Site Habitat Baseline'!$D$1:$X$258,13,FALSE))))</f>
        <v/>
      </c>
      <c r="P23" s="232" t="str">
        <f>IFERROR(INDEX('G-1 All Habitats'!$AG$3:$AG$15,MATCH(Q23,'G-1 All Habitats'!$AF$3:$AF$15,0)),"")</f>
        <v/>
      </c>
      <c r="Q23" s="228" t="str">
        <f t="shared" si="12"/>
        <v/>
      </c>
      <c r="R23" s="229" t="str">
        <f t="shared" si="13"/>
        <v/>
      </c>
      <c r="S23" s="233" t="str">
        <f>IFERROR(INDEX('G-1 All Habitats'!$B$3:$B$129,MATCH(R23,'G-1 All Habitats'!$A$3:$A$129,0)),"")</f>
        <v/>
      </c>
      <c r="T23" s="507" t="str">
        <f t="shared" si="5"/>
        <v/>
      </c>
      <c r="U23" s="524" t="str">
        <f t="shared" si="6"/>
        <v/>
      </c>
      <c r="V23" s="523" t="str">
        <f t="shared" si="2"/>
        <v/>
      </c>
      <c r="W23" s="520" t="str">
        <f>IF(S23="","",VLOOKUP(S23,'G-1 All Habitats'!$B$2:$M$129,10,FALSE))</f>
        <v/>
      </c>
      <c r="X23" s="520" t="str">
        <f>IFERROR(VLOOKUP(W23,'G-1 All Habitats'!$V$3:$W$7,2,FALSE),"")</f>
        <v/>
      </c>
      <c r="Y23" s="203"/>
      <c r="Z23" s="524" t="str">
        <f>IFERROR(INDEX('G-8 Condition Look up'!$A$3:$H$130,MATCH(S23,'G-8 Condition Look up'!$A$3:$A$130,0),MATCH(Y23,'G-8 Condition Look up'!$A$3:$H$3,0)),"")</f>
        <v/>
      </c>
      <c r="AA23" s="145"/>
      <c r="AB23" s="540" t="str">
        <f>IF(AA23="","",IF(VLOOKUP(AA23,'G-3 Multipliers'!$L$3:$N$6,2,FALSE)=0,"Spatial Data Missing ⚠",VLOOKUP(AA23,'G-3 Multipliers'!$L$3:$N$6,2,FALSE)))</f>
        <v/>
      </c>
      <c r="AC23" s="524" t="str">
        <f>IF(AA23="","",IF(VLOOKUP(AA23,'G-3 Multipliers'!$L$3:$N$6,3,FALSE)=0,"Spatial Data Missing ⚠",VLOOKUP(AA23,'G-3 Multipliers'!$L$3:$N$6,3,FALSE)))</f>
        <v/>
      </c>
      <c r="AD23" s="537" t="str">
        <f t="shared" si="3"/>
        <v/>
      </c>
      <c r="AE23" s="203"/>
      <c r="AF23" s="203"/>
      <c r="AG23" s="520" t="str">
        <f t="shared" si="7"/>
        <v/>
      </c>
      <c r="AH23" s="544" t="str">
        <f t="shared" si="8"/>
        <v/>
      </c>
      <c r="AI23" s="525" t="str">
        <f>IF(AH23="Check Data ⚠","Check Data ⚠",IFERROR(VLOOKUP(AH23,'G-4 Temporal multipliers'!$A$4:$C$36,3,FALSE),""))</f>
        <v/>
      </c>
      <c r="AJ23" s="537" t="str">
        <f>IF(S23="","",VLOOKUP(S23,'G-3 Multipliers'!$A$2:$E$129,4,FALSE))</f>
        <v/>
      </c>
      <c r="AK23" s="520" t="str">
        <f t="shared" si="9"/>
        <v/>
      </c>
      <c r="AL23" s="520" t="str">
        <f t="shared" si="10"/>
        <v/>
      </c>
      <c r="AM23" s="524" t="str">
        <f>IFERROR(IF(F23="","",IF(AH23="Check Data ⚠","Check Data ⚠",VLOOKUP(AL23, 'G-3 Multipliers'!$P$2:$Q$6,2,FALSE))),"")</f>
        <v/>
      </c>
      <c r="AN23" s="197"/>
      <c r="AO23" s="540" t="str">
        <f>IF(AN23="","",IF(VLOOKUP(AN23,'G-3 Multipliers'!$S$3:$T$9,2,FALSE)=0,"Spatial Data Missing ⚠",VLOOKUP(AN23,'G-3 Multipliers'!$S$3:$T$9,2,FALSE)))</f>
        <v/>
      </c>
      <c r="AP23" s="513" t="str">
        <f t="shared" si="11"/>
        <v/>
      </c>
      <c r="AQ23" s="231"/>
      <c r="AR23" s="150"/>
    </row>
    <row r="24" spans="1:44" x14ac:dyDescent="0.3">
      <c r="A24" s="31" t="str">
        <f>IF(E24="","",IF(ISNA(VLOOKUP($E24,'D-1 Off Site Habitat Baseline'!$D$1:$O$258,2,FALSE)),"",(VLOOKUP($E24,'D-1 Off Site Habitat Baseline'!$D$1:$O$258,2,FALSE))))</f>
        <v/>
      </c>
      <c r="B24" s="31" t="str">
        <f>IF(E24="","",IF(ISNA(VLOOKUP($E24,'D-1 Off Site Habitat Baseline'!$D$1:$O$258,3,FALSE)),"",(VLOOKUP($E24,'D-1 Off Site Habitat Baseline'!$D$1:$O$258,3,FALSE))))</f>
        <v/>
      </c>
      <c r="C24" s="31" t="str">
        <f>IFERROR(INDEX('G-8 Condition Look up'!$I$4:$I$130,MATCH(S24,'G-8 Condition Look up'!$A$4:$A$130,0)),"")</f>
        <v/>
      </c>
      <c r="E24" s="547" t="str">
        <f>'D-1 Off Site Habitat Baseline'!AL23</f>
        <v/>
      </c>
      <c r="F24" s="520" t="str">
        <f>IF(E24="","",IF(ISNA(VLOOKUP($E24,'D-1 Off Site Habitat Baseline'!$D$1:$O$258,4,FALSE)),"",(VLOOKUP($E24,'D-1 Off Site Habitat Baseline'!$D$1:$O$258,4,FALSE))))</f>
        <v/>
      </c>
      <c r="G24" s="520" t="str">
        <f>IF(E24="","",IF(ISNA(VLOOKUP($E24,'D-1 Off Site Habitat Baseline'!$D$1:$O$258,5,FALSE)),"",(VLOOKUP($E24,'D-1 Off Site Habitat Baseline'!$D$1:$O$258,5,FALSE))))</f>
        <v/>
      </c>
      <c r="H24" s="520" t="str">
        <f>IF(E24="","",IF(ISNA(VLOOKUP($E24,'D-1 Off Site Habitat Baseline'!$D$1:$O$258,6,FALSE)),"",(VLOOKUP($E24,'D-1 Off Site Habitat Baseline'!$D$1:$O$258,6,FALSE))))</f>
        <v/>
      </c>
      <c r="I24" s="520" t="str">
        <f>IF(E24="","",IF(ISNA(VLOOKUP($E24,'D-1 Off Site Habitat Baseline'!$D$1:$O$258,7,FALSE)),"",(VLOOKUP($E24,'D-1 Off Site Habitat Baseline'!$D$1:$O$258,7,FALSE))))</f>
        <v/>
      </c>
      <c r="J24" s="520" t="str">
        <f>IF(E24="","",IF(ISNA(VLOOKUP($E24,'D-1 Off Site Habitat Baseline'!$D$1:$O$258,8,FALSE)),"",(VLOOKUP($E24,'D-1 Off Site Habitat Baseline'!$D$1:$O$258,8,FALSE))))</f>
        <v/>
      </c>
      <c r="K24" s="520" t="str">
        <f>IF(E24="","",IF(ISNA(VLOOKUP($E24,'D-1 Off Site Habitat Baseline'!$D$1:$O$258,9,FALSE)),"",(VLOOKUP($E24,'D-1 Off Site Habitat Baseline'!$D$1:$O$258,9,FALSE))))</f>
        <v/>
      </c>
      <c r="L24" s="520" t="str">
        <f>IF(E24="","",IF(ISNA(VLOOKUP($E24,'D-1 Off Site Habitat Baseline'!$D$1:$O$258,11,FALSE)),"",(VLOOKUP($E24,'D-1 Off Site Habitat Baseline'!$D$1:$O$258,11,FALSE))))</f>
        <v/>
      </c>
      <c r="M24" s="520" t="str">
        <f>IF(E24="","",IF(ISNA(VLOOKUP($E24,'D-1 Off Site Habitat Baseline'!$D$1:$O$258,12,FALSE)),"",(VLOOKUP($E24,'D-1 Off Site Habitat Baseline'!$D$1:$O$258,12,FALSE))))</f>
        <v/>
      </c>
      <c r="N24" s="520" t="str">
        <f>IF(E24="","",IF(ISNA(VLOOKUP($E24,'D-1 Off Site Habitat Baseline'!$D$1:$X$258,14,FALSE)),"",(VLOOKUP($E24,'D-1 Off Site Habitat Baseline'!$D$1:$X$258,14,FALSE))))</f>
        <v/>
      </c>
      <c r="O24" s="524" t="str">
        <f>IF(E24="","",IF(ISNA(VLOOKUP($E24,'D-1 Off Site Habitat Baseline'!$D$1:$X$258,13,FALSE)),"",(VLOOKUP($E24,'D-1 Off Site Habitat Baseline'!$D$1:$X$258,13,FALSE))))</f>
        <v/>
      </c>
      <c r="P24" s="232" t="str">
        <f>IFERROR(INDEX('G-1 All Habitats'!$AG$3:$AG$15,MATCH(Q24,'G-1 All Habitats'!$AF$3:$AF$15,0)),"")</f>
        <v/>
      </c>
      <c r="Q24" s="228" t="str">
        <f t="shared" si="12"/>
        <v/>
      </c>
      <c r="R24" s="229" t="str">
        <f t="shared" si="13"/>
        <v/>
      </c>
      <c r="S24" s="233" t="str">
        <f>IFERROR(INDEX('G-1 All Habitats'!$B$3:$B$129,MATCH(R24,'G-1 All Habitats'!$A$3:$A$129,0)),"")</f>
        <v/>
      </c>
      <c r="T24" s="507" t="str">
        <f t="shared" si="5"/>
        <v/>
      </c>
      <c r="U24" s="524" t="str">
        <f t="shared" si="6"/>
        <v/>
      </c>
      <c r="V24" s="523" t="str">
        <f t="shared" si="2"/>
        <v/>
      </c>
      <c r="W24" s="520" t="str">
        <f>IF(S24="","",VLOOKUP(S24,'G-1 All Habitats'!$B$2:$M$129,10,FALSE))</f>
        <v/>
      </c>
      <c r="X24" s="520" t="str">
        <f>IFERROR(VLOOKUP(W24,'G-1 All Habitats'!$V$3:$W$7,2,FALSE),"")</f>
        <v/>
      </c>
      <c r="Y24" s="203"/>
      <c r="Z24" s="524" t="str">
        <f>IFERROR(INDEX('G-8 Condition Look up'!$A$3:$H$130,MATCH(S24,'G-8 Condition Look up'!$A$3:$A$130,0),MATCH(Y24,'G-8 Condition Look up'!$A$3:$H$3,0)),"")</f>
        <v/>
      </c>
      <c r="AA24" s="145"/>
      <c r="AB24" s="540" t="str">
        <f>IF(AA24="","",IF(VLOOKUP(AA24,'G-3 Multipliers'!$L$3:$N$6,2,FALSE)=0,"Spatial Data Missing ⚠",VLOOKUP(AA24,'G-3 Multipliers'!$L$3:$N$6,2,FALSE)))</f>
        <v/>
      </c>
      <c r="AC24" s="524" t="str">
        <f>IF(AA24="","",IF(VLOOKUP(AA24,'G-3 Multipliers'!$L$3:$N$6,3,FALSE)=0,"Spatial Data Missing ⚠",VLOOKUP(AA24,'G-3 Multipliers'!$L$3:$N$6,3,FALSE)))</f>
        <v/>
      </c>
      <c r="AD24" s="537" t="str">
        <f t="shared" si="3"/>
        <v/>
      </c>
      <c r="AE24" s="203"/>
      <c r="AF24" s="203"/>
      <c r="AG24" s="520" t="str">
        <f t="shared" si="7"/>
        <v/>
      </c>
      <c r="AH24" s="544" t="str">
        <f t="shared" si="8"/>
        <v/>
      </c>
      <c r="AI24" s="525" t="str">
        <f>IF(AH24="Check Data ⚠","Check Data ⚠",IFERROR(VLOOKUP(AH24,'G-4 Temporal multipliers'!$A$4:$C$36,3,FALSE),""))</f>
        <v/>
      </c>
      <c r="AJ24" s="537" t="str">
        <f>IF(S24="","",VLOOKUP(S24,'G-3 Multipliers'!$A$2:$E$129,4,FALSE))</f>
        <v/>
      </c>
      <c r="AK24" s="520" t="str">
        <f t="shared" si="9"/>
        <v/>
      </c>
      <c r="AL24" s="520" t="str">
        <f t="shared" si="10"/>
        <v/>
      </c>
      <c r="AM24" s="524" t="str">
        <f>IFERROR(IF(F24="","",IF(AH24="Check Data ⚠","Check Data ⚠",VLOOKUP(AL24, 'G-3 Multipliers'!$P$2:$Q$6,2,FALSE))),"")</f>
        <v/>
      </c>
      <c r="AN24" s="197"/>
      <c r="AO24" s="540" t="str">
        <f>IF(AN24="","",IF(VLOOKUP(AN24,'G-3 Multipliers'!$S$3:$T$9,2,FALSE)=0,"Spatial Data Missing ⚠",VLOOKUP(AN24,'G-3 Multipliers'!$S$3:$T$9,2,FALSE)))</f>
        <v/>
      </c>
      <c r="AP24" s="513" t="str">
        <f t="shared" si="11"/>
        <v/>
      </c>
      <c r="AQ24" s="231"/>
      <c r="AR24" s="150"/>
    </row>
    <row r="25" spans="1:44" x14ac:dyDescent="0.3">
      <c r="A25" s="31" t="str">
        <f>IF(E25="","",IF(ISNA(VLOOKUP($E25,'D-1 Off Site Habitat Baseline'!$D$1:$O$258,2,FALSE)),"",(VLOOKUP($E25,'D-1 Off Site Habitat Baseline'!$D$1:$O$258,2,FALSE))))</f>
        <v/>
      </c>
      <c r="B25" s="31" t="str">
        <f>IF(E25="","",IF(ISNA(VLOOKUP($E25,'D-1 Off Site Habitat Baseline'!$D$1:$O$258,3,FALSE)),"",(VLOOKUP($E25,'D-1 Off Site Habitat Baseline'!$D$1:$O$258,3,FALSE))))</f>
        <v/>
      </c>
      <c r="C25" s="31" t="str">
        <f>IFERROR(INDEX('G-8 Condition Look up'!$I$4:$I$130,MATCH(S25,'G-8 Condition Look up'!$A$4:$A$130,0)),"")</f>
        <v/>
      </c>
      <c r="E25" s="547" t="str">
        <f>'D-1 Off Site Habitat Baseline'!AL24</f>
        <v/>
      </c>
      <c r="F25" s="520" t="str">
        <f>IF(E25="","",IF(ISNA(VLOOKUP($E25,'D-1 Off Site Habitat Baseline'!$D$1:$O$258,4,FALSE)),"",(VLOOKUP($E25,'D-1 Off Site Habitat Baseline'!$D$1:$O$258,4,FALSE))))</f>
        <v/>
      </c>
      <c r="G25" s="520" t="str">
        <f>IF(E25="","",IF(ISNA(VLOOKUP($E25,'D-1 Off Site Habitat Baseline'!$D$1:$O$258,5,FALSE)),"",(VLOOKUP($E25,'D-1 Off Site Habitat Baseline'!$D$1:$O$258,5,FALSE))))</f>
        <v/>
      </c>
      <c r="H25" s="520" t="str">
        <f>IF(E25="","",IF(ISNA(VLOOKUP($E25,'D-1 Off Site Habitat Baseline'!$D$1:$O$258,6,FALSE)),"",(VLOOKUP($E25,'D-1 Off Site Habitat Baseline'!$D$1:$O$258,6,FALSE))))</f>
        <v/>
      </c>
      <c r="I25" s="520" t="str">
        <f>IF(E25="","",IF(ISNA(VLOOKUP($E25,'D-1 Off Site Habitat Baseline'!$D$1:$O$258,7,FALSE)),"",(VLOOKUP($E25,'D-1 Off Site Habitat Baseline'!$D$1:$O$258,7,FALSE))))</f>
        <v/>
      </c>
      <c r="J25" s="520" t="str">
        <f>IF(E25="","",IF(ISNA(VLOOKUP($E25,'D-1 Off Site Habitat Baseline'!$D$1:$O$258,8,FALSE)),"",(VLOOKUP($E25,'D-1 Off Site Habitat Baseline'!$D$1:$O$258,8,FALSE))))</f>
        <v/>
      </c>
      <c r="K25" s="520" t="str">
        <f>IF(E25="","",IF(ISNA(VLOOKUP($E25,'D-1 Off Site Habitat Baseline'!$D$1:$O$258,9,FALSE)),"",(VLOOKUP($E25,'D-1 Off Site Habitat Baseline'!$D$1:$O$258,9,FALSE))))</f>
        <v/>
      </c>
      <c r="L25" s="520" t="str">
        <f>IF(E25="","",IF(ISNA(VLOOKUP($E25,'D-1 Off Site Habitat Baseline'!$D$1:$O$258,11,FALSE)),"",(VLOOKUP($E25,'D-1 Off Site Habitat Baseline'!$D$1:$O$258,11,FALSE))))</f>
        <v/>
      </c>
      <c r="M25" s="520" t="str">
        <f>IF(E25="","",IF(ISNA(VLOOKUP($E25,'D-1 Off Site Habitat Baseline'!$D$1:$O$258,12,FALSE)),"",(VLOOKUP($E25,'D-1 Off Site Habitat Baseline'!$D$1:$O$258,12,FALSE))))</f>
        <v/>
      </c>
      <c r="N25" s="520" t="str">
        <f>IF(E25="","",IF(ISNA(VLOOKUP($E25,'D-1 Off Site Habitat Baseline'!$D$1:$X$258,14,FALSE)),"",(VLOOKUP($E25,'D-1 Off Site Habitat Baseline'!$D$1:$X$258,14,FALSE))))</f>
        <v/>
      </c>
      <c r="O25" s="524" t="str">
        <f>IF(E25="","",IF(ISNA(VLOOKUP($E25,'D-1 Off Site Habitat Baseline'!$D$1:$X$258,13,FALSE)),"",(VLOOKUP($E25,'D-1 Off Site Habitat Baseline'!$D$1:$X$258,13,FALSE))))</f>
        <v/>
      </c>
      <c r="P25" s="232" t="str">
        <f>IFERROR(INDEX('G-1 All Habitats'!$AG$3:$AG$15,MATCH(Q25,'G-1 All Habitats'!$AF$3:$AF$15,0)),"")</f>
        <v/>
      </c>
      <c r="Q25" s="228" t="str">
        <f t="shared" si="12"/>
        <v/>
      </c>
      <c r="R25" s="229" t="str">
        <f t="shared" si="13"/>
        <v/>
      </c>
      <c r="S25" s="233" t="str">
        <f>IFERROR(INDEX('G-1 All Habitats'!$B$3:$B$129,MATCH(R25,'G-1 All Habitats'!$A$3:$A$129,0)),"")</f>
        <v/>
      </c>
      <c r="T25" s="507" t="str">
        <f t="shared" si="5"/>
        <v/>
      </c>
      <c r="U25" s="524" t="str">
        <f t="shared" si="6"/>
        <v/>
      </c>
      <c r="V25" s="523" t="str">
        <f t="shared" si="2"/>
        <v/>
      </c>
      <c r="W25" s="520" t="str">
        <f>IF(S25="","",VLOOKUP(S25,'G-1 All Habitats'!$B$2:$M$129,10,FALSE))</f>
        <v/>
      </c>
      <c r="X25" s="520" t="str">
        <f>IFERROR(VLOOKUP(W25,'G-1 All Habitats'!$V$3:$W$7,2,FALSE),"")</f>
        <v/>
      </c>
      <c r="Y25" s="203"/>
      <c r="Z25" s="524" t="str">
        <f>IFERROR(INDEX('G-8 Condition Look up'!$A$3:$H$130,MATCH(S25,'G-8 Condition Look up'!$A$3:$A$130,0),MATCH(Y25,'G-8 Condition Look up'!$A$3:$H$3,0)),"")</f>
        <v/>
      </c>
      <c r="AA25" s="145"/>
      <c r="AB25" s="540" t="str">
        <f>IF(AA25="","",IF(VLOOKUP(AA25,'G-3 Multipliers'!$L$3:$N$6,2,FALSE)=0,"Spatial Data Missing ⚠",VLOOKUP(AA25,'G-3 Multipliers'!$L$3:$N$6,2,FALSE)))</f>
        <v/>
      </c>
      <c r="AC25" s="524" t="str">
        <f>IF(AA25="","",IF(VLOOKUP(AA25,'G-3 Multipliers'!$L$3:$N$6,3,FALSE)=0,"Spatial Data Missing ⚠",VLOOKUP(AA25,'G-3 Multipliers'!$L$3:$N$6,3,FALSE)))</f>
        <v/>
      </c>
      <c r="AD25" s="537" t="str">
        <f t="shared" si="3"/>
        <v/>
      </c>
      <c r="AE25" s="203"/>
      <c r="AF25" s="203"/>
      <c r="AG25" s="520" t="str">
        <f t="shared" si="7"/>
        <v/>
      </c>
      <c r="AH25" s="544" t="str">
        <f t="shared" si="8"/>
        <v/>
      </c>
      <c r="AI25" s="525" t="str">
        <f>IF(AH25="Check Data ⚠","Check Data ⚠",IFERROR(VLOOKUP(AH25,'G-4 Temporal multipliers'!$A$4:$C$36,3,FALSE),""))</f>
        <v/>
      </c>
      <c r="AJ25" s="537" t="str">
        <f>IF(S25="","",VLOOKUP(S25,'G-3 Multipliers'!$A$2:$E$129,4,FALSE))</f>
        <v/>
      </c>
      <c r="AK25" s="520" t="str">
        <f t="shared" si="9"/>
        <v/>
      </c>
      <c r="AL25" s="520" t="str">
        <f t="shared" si="10"/>
        <v/>
      </c>
      <c r="AM25" s="524" t="str">
        <f>IFERROR(IF(F25="","",IF(AH25="Check Data ⚠","Check Data ⚠",VLOOKUP(AL25, 'G-3 Multipliers'!$P$2:$Q$6,2,FALSE))),"")</f>
        <v/>
      </c>
      <c r="AN25" s="197"/>
      <c r="AO25" s="540" t="str">
        <f>IF(AN25="","",IF(VLOOKUP(AN25,'G-3 Multipliers'!$S$3:$T$9,2,FALSE)=0,"Spatial Data Missing ⚠",VLOOKUP(AN25,'G-3 Multipliers'!$S$3:$T$9,2,FALSE)))</f>
        <v/>
      </c>
      <c r="AP25" s="513" t="str">
        <f t="shared" si="11"/>
        <v/>
      </c>
      <c r="AQ25" s="231"/>
      <c r="AR25" s="150"/>
    </row>
    <row r="26" spans="1:44" x14ac:dyDescent="0.3">
      <c r="A26" s="31" t="str">
        <f>IF(E26="","",IF(ISNA(VLOOKUP($E26,'D-1 Off Site Habitat Baseline'!$D$1:$O$258,2,FALSE)),"",(VLOOKUP($E26,'D-1 Off Site Habitat Baseline'!$D$1:$O$258,2,FALSE))))</f>
        <v/>
      </c>
      <c r="B26" s="31" t="str">
        <f>IF(E26="","",IF(ISNA(VLOOKUP($E26,'D-1 Off Site Habitat Baseline'!$D$1:$O$258,3,FALSE)),"",(VLOOKUP($E26,'D-1 Off Site Habitat Baseline'!$D$1:$O$258,3,FALSE))))</f>
        <v/>
      </c>
      <c r="C26" s="31" t="str">
        <f>IFERROR(INDEX('G-8 Condition Look up'!$I$4:$I$130,MATCH(S26,'G-8 Condition Look up'!$A$4:$A$130,0)),"")</f>
        <v/>
      </c>
      <c r="E26" s="547" t="str">
        <f>'D-1 Off Site Habitat Baseline'!AL25</f>
        <v/>
      </c>
      <c r="F26" s="520" t="str">
        <f>IF(E26="","",IF(ISNA(VLOOKUP($E26,'D-1 Off Site Habitat Baseline'!$D$1:$O$258,4,FALSE)),"",(VLOOKUP($E26,'D-1 Off Site Habitat Baseline'!$D$1:$O$258,4,FALSE))))</f>
        <v/>
      </c>
      <c r="G26" s="520" t="str">
        <f>IF(E26="","",IF(ISNA(VLOOKUP($E26,'D-1 Off Site Habitat Baseline'!$D$1:$O$258,5,FALSE)),"",(VLOOKUP($E26,'D-1 Off Site Habitat Baseline'!$D$1:$O$258,5,FALSE))))</f>
        <v/>
      </c>
      <c r="H26" s="520" t="str">
        <f>IF(E26="","",IF(ISNA(VLOOKUP($E26,'D-1 Off Site Habitat Baseline'!$D$1:$O$258,6,FALSE)),"",(VLOOKUP($E26,'D-1 Off Site Habitat Baseline'!$D$1:$O$258,6,FALSE))))</f>
        <v/>
      </c>
      <c r="I26" s="520" t="str">
        <f>IF(E26="","",IF(ISNA(VLOOKUP($E26,'D-1 Off Site Habitat Baseline'!$D$1:$O$258,7,FALSE)),"",(VLOOKUP($E26,'D-1 Off Site Habitat Baseline'!$D$1:$O$258,7,FALSE))))</f>
        <v/>
      </c>
      <c r="J26" s="520" t="str">
        <f>IF(E26="","",IF(ISNA(VLOOKUP($E26,'D-1 Off Site Habitat Baseline'!$D$1:$O$258,8,FALSE)),"",(VLOOKUP($E26,'D-1 Off Site Habitat Baseline'!$D$1:$O$258,8,FALSE))))</f>
        <v/>
      </c>
      <c r="K26" s="520" t="str">
        <f>IF(E26="","",IF(ISNA(VLOOKUP($E26,'D-1 Off Site Habitat Baseline'!$D$1:$O$258,9,FALSE)),"",(VLOOKUP($E26,'D-1 Off Site Habitat Baseline'!$D$1:$O$258,9,FALSE))))</f>
        <v/>
      </c>
      <c r="L26" s="520" t="str">
        <f>IF(E26="","",IF(ISNA(VLOOKUP($E26,'D-1 Off Site Habitat Baseline'!$D$1:$O$258,11,FALSE)),"",(VLOOKUP($E26,'D-1 Off Site Habitat Baseline'!$D$1:$O$258,11,FALSE))))</f>
        <v/>
      </c>
      <c r="M26" s="520" t="str">
        <f>IF(E26="","",IF(ISNA(VLOOKUP($E26,'D-1 Off Site Habitat Baseline'!$D$1:$O$258,12,FALSE)),"",(VLOOKUP($E26,'D-1 Off Site Habitat Baseline'!$D$1:$O$258,12,FALSE))))</f>
        <v/>
      </c>
      <c r="N26" s="520" t="str">
        <f>IF(E26="","",IF(ISNA(VLOOKUP($E26,'D-1 Off Site Habitat Baseline'!$D$1:$X$258,14,FALSE)),"",(VLOOKUP($E26,'D-1 Off Site Habitat Baseline'!$D$1:$X$258,14,FALSE))))</f>
        <v/>
      </c>
      <c r="O26" s="524" t="str">
        <f>IF(E26="","",IF(ISNA(VLOOKUP($E26,'D-1 Off Site Habitat Baseline'!$D$1:$X$258,13,FALSE)),"",(VLOOKUP($E26,'D-1 Off Site Habitat Baseline'!$D$1:$X$258,13,FALSE))))</f>
        <v/>
      </c>
      <c r="P26" s="232" t="str">
        <f>IFERROR(INDEX('G-1 All Habitats'!$AG$3:$AG$15,MATCH(Q26,'G-1 All Habitats'!$AF$3:$AF$15,0)),"")</f>
        <v/>
      </c>
      <c r="Q26" s="228" t="str">
        <f t="shared" si="12"/>
        <v/>
      </c>
      <c r="R26" s="229" t="str">
        <f t="shared" si="13"/>
        <v/>
      </c>
      <c r="S26" s="233" t="str">
        <f>IFERROR(INDEX('G-1 All Habitats'!$B$3:$B$129,MATCH(R26,'G-1 All Habitats'!$A$3:$A$129,0)),"")</f>
        <v/>
      </c>
      <c r="T26" s="507" t="str">
        <f t="shared" si="5"/>
        <v/>
      </c>
      <c r="U26" s="524" t="str">
        <f t="shared" si="6"/>
        <v/>
      </c>
      <c r="V26" s="523" t="str">
        <f t="shared" si="2"/>
        <v/>
      </c>
      <c r="W26" s="520" t="str">
        <f>IF(S26="","",VLOOKUP(S26,'G-1 All Habitats'!$B$2:$M$129,10,FALSE))</f>
        <v/>
      </c>
      <c r="X26" s="520" t="str">
        <f>IFERROR(VLOOKUP(W26,'G-1 All Habitats'!$V$3:$W$7,2,FALSE),"")</f>
        <v/>
      </c>
      <c r="Y26" s="203"/>
      <c r="Z26" s="524" t="str">
        <f>IFERROR(INDEX('G-8 Condition Look up'!$A$3:$H$130,MATCH(S26,'G-8 Condition Look up'!$A$3:$A$130,0),MATCH(Y26,'G-8 Condition Look up'!$A$3:$H$3,0)),"")</f>
        <v/>
      </c>
      <c r="AA26" s="145"/>
      <c r="AB26" s="540" t="str">
        <f>IF(AA26="","",IF(VLOOKUP(AA26,'G-3 Multipliers'!$L$3:$N$6,2,FALSE)=0,"Spatial Data Missing ⚠",VLOOKUP(AA26,'G-3 Multipliers'!$L$3:$N$6,2,FALSE)))</f>
        <v/>
      </c>
      <c r="AC26" s="524" t="str">
        <f>IF(AA26="","",IF(VLOOKUP(AA26,'G-3 Multipliers'!$L$3:$N$6,3,FALSE)=0,"Spatial Data Missing ⚠",VLOOKUP(AA26,'G-3 Multipliers'!$L$3:$N$6,3,FALSE)))</f>
        <v/>
      </c>
      <c r="AD26" s="537" t="str">
        <f t="shared" si="3"/>
        <v/>
      </c>
      <c r="AE26" s="203"/>
      <c r="AF26" s="203"/>
      <c r="AG26" s="520" t="str">
        <f t="shared" si="7"/>
        <v/>
      </c>
      <c r="AH26" s="544" t="str">
        <f t="shared" si="8"/>
        <v/>
      </c>
      <c r="AI26" s="525" t="str">
        <f>IF(AH26="Check Data ⚠","Check Data ⚠",IFERROR(VLOOKUP(AH26,'G-4 Temporal multipliers'!$A$4:$C$36,3,FALSE),""))</f>
        <v/>
      </c>
      <c r="AJ26" s="537" t="str">
        <f>IF(S26="","",VLOOKUP(S26,'G-3 Multipliers'!$A$2:$E$129,4,FALSE))</f>
        <v/>
      </c>
      <c r="AK26" s="520" t="str">
        <f t="shared" si="9"/>
        <v/>
      </c>
      <c r="AL26" s="520" t="str">
        <f t="shared" si="10"/>
        <v/>
      </c>
      <c r="AM26" s="524" t="str">
        <f>IFERROR(IF(F26="","",IF(AH26="Check Data ⚠","Check Data ⚠",VLOOKUP(AL26, 'G-3 Multipliers'!$P$2:$Q$6,2,FALSE))),"")</f>
        <v/>
      </c>
      <c r="AN26" s="197"/>
      <c r="AO26" s="540" t="str">
        <f>IF(AN26="","",IF(VLOOKUP(AN26,'G-3 Multipliers'!$S$3:$T$9,2,FALSE)=0,"Spatial Data Missing ⚠",VLOOKUP(AN26,'G-3 Multipliers'!$S$3:$T$9,2,FALSE)))</f>
        <v/>
      </c>
      <c r="AP26" s="513" t="str">
        <f t="shared" si="11"/>
        <v/>
      </c>
      <c r="AQ26" s="231"/>
      <c r="AR26" s="150"/>
    </row>
    <row r="27" spans="1:44" x14ac:dyDescent="0.3">
      <c r="A27" s="31" t="str">
        <f>IF(E27="","",IF(ISNA(VLOOKUP($E27,'D-1 Off Site Habitat Baseline'!$D$1:$O$258,2,FALSE)),"",(VLOOKUP($E27,'D-1 Off Site Habitat Baseline'!$D$1:$O$258,2,FALSE))))</f>
        <v/>
      </c>
      <c r="B27" s="31" t="str">
        <f>IF(E27="","",IF(ISNA(VLOOKUP($E27,'D-1 Off Site Habitat Baseline'!$D$1:$O$258,3,FALSE)),"",(VLOOKUP($E27,'D-1 Off Site Habitat Baseline'!$D$1:$O$258,3,FALSE))))</f>
        <v/>
      </c>
      <c r="C27" s="31" t="str">
        <f>IFERROR(INDEX('G-8 Condition Look up'!$I$4:$I$130,MATCH(S27,'G-8 Condition Look up'!$A$4:$A$130,0)),"")</f>
        <v/>
      </c>
      <c r="E27" s="547" t="str">
        <f>'D-1 Off Site Habitat Baseline'!AL26</f>
        <v/>
      </c>
      <c r="F27" s="520" t="str">
        <f>IF(E27="","",IF(ISNA(VLOOKUP($E27,'D-1 Off Site Habitat Baseline'!$D$1:$O$258,4,FALSE)),"",(VLOOKUP($E27,'D-1 Off Site Habitat Baseline'!$D$1:$O$258,4,FALSE))))</f>
        <v/>
      </c>
      <c r="G27" s="520" t="str">
        <f>IF(E27="","",IF(ISNA(VLOOKUP($E27,'D-1 Off Site Habitat Baseline'!$D$1:$O$258,5,FALSE)),"",(VLOOKUP($E27,'D-1 Off Site Habitat Baseline'!$D$1:$O$258,5,FALSE))))</f>
        <v/>
      </c>
      <c r="H27" s="520" t="str">
        <f>IF(E27="","",IF(ISNA(VLOOKUP($E27,'D-1 Off Site Habitat Baseline'!$D$1:$O$258,6,FALSE)),"",(VLOOKUP($E27,'D-1 Off Site Habitat Baseline'!$D$1:$O$258,6,FALSE))))</f>
        <v/>
      </c>
      <c r="I27" s="520" t="str">
        <f>IF(E27="","",IF(ISNA(VLOOKUP($E27,'D-1 Off Site Habitat Baseline'!$D$1:$O$258,7,FALSE)),"",(VLOOKUP($E27,'D-1 Off Site Habitat Baseline'!$D$1:$O$258,7,FALSE))))</f>
        <v/>
      </c>
      <c r="J27" s="520" t="str">
        <f>IF(E27="","",IF(ISNA(VLOOKUP($E27,'D-1 Off Site Habitat Baseline'!$D$1:$O$258,8,FALSE)),"",(VLOOKUP($E27,'D-1 Off Site Habitat Baseline'!$D$1:$O$258,8,FALSE))))</f>
        <v/>
      </c>
      <c r="K27" s="520" t="str">
        <f>IF(E27="","",IF(ISNA(VLOOKUP($E27,'D-1 Off Site Habitat Baseline'!$D$1:$O$258,9,FALSE)),"",(VLOOKUP($E27,'D-1 Off Site Habitat Baseline'!$D$1:$O$258,9,FALSE))))</f>
        <v/>
      </c>
      <c r="L27" s="520" t="str">
        <f>IF(E27="","",IF(ISNA(VLOOKUP($E27,'D-1 Off Site Habitat Baseline'!$D$1:$O$258,11,FALSE)),"",(VLOOKUP($E27,'D-1 Off Site Habitat Baseline'!$D$1:$O$258,11,FALSE))))</f>
        <v/>
      </c>
      <c r="M27" s="520" t="str">
        <f>IF(E27="","",IF(ISNA(VLOOKUP($E27,'D-1 Off Site Habitat Baseline'!$D$1:$O$258,12,FALSE)),"",(VLOOKUP($E27,'D-1 Off Site Habitat Baseline'!$D$1:$O$258,12,FALSE))))</f>
        <v/>
      </c>
      <c r="N27" s="520" t="str">
        <f>IF(E27="","",IF(ISNA(VLOOKUP($E27,'D-1 Off Site Habitat Baseline'!$D$1:$X$258,14,FALSE)),"",(VLOOKUP($E27,'D-1 Off Site Habitat Baseline'!$D$1:$X$258,14,FALSE))))</f>
        <v/>
      </c>
      <c r="O27" s="524" t="str">
        <f>IF(E27="","",IF(ISNA(VLOOKUP($E27,'D-1 Off Site Habitat Baseline'!$D$1:$X$258,13,FALSE)),"",(VLOOKUP($E27,'D-1 Off Site Habitat Baseline'!$D$1:$X$258,13,FALSE))))</f>
        <v/>
      </c>
      <c r="P27" s="232" t="str">
        <f>IFERROR(INDEX('G-1 All Habitats'!$AG$3:$AG$15,MATCH(Q27,'G-1 All Habitats'!$AF$3:$AF$15,0)),"")</f>
        <v/>
      </c>
      <c r="Q27" s="228" t="str">
        <f t="shared" si="12"/>
        <v/>
      </c>
      <c r="R27" s="229" t="str">
        <f t="shared" si="13"/>
        <v/>
      </c>
      <c r="S27" s="233" t="str">
        <f>IFERROR(INDEX('G-1 All Habitats'!$B$3:$B$129,MATCH(R27,'G-1 All Habitats'!$A$3:$A$129,0)),"")</f>
        <v/>
      </c>
      <c r="T27" s="507" t="str">
        <f t="shared" si="5"/>
        <v/>
      </c>
      <c r="U27" s="524" t="str">
        <f t="shared" si="6"/>
        <v/>
      </c>
      <c r="V27" s="523" t="str">
        <f t="shared" si="2"/>
        <v/>
      </c>
      <c r="W27" s="520" t="str">
        <f>IF(S27="","",VLOOKUP(S27,'G-1 All Habitats'!$B$2:$M$129,10,FALSE))</f>
        <v/>
      </c>
      <c r="X27" s="520" t="str">
        <f>IFERROR(VLOOKUP(W27,'G-1 All Habitats'!$V$3:$W$7,2,FALSE),"")</f>
        <v/>
      </c>
      <c r="Y27" s="203"/>
      <c r="Z27" s="524" t="str">
        <f>IFERROR(INDEX('G-8 Condition Look up'!$A$3:$H$130,MATCH(S27,'G-8 Condition Look up'!$A$3:$A$130,0),MATCH(Y27,'G-8 Condition Look up'!$A$3:$H$3,0)),"")</f>
        <v/>
      </c>
      <c r="AA27" s="145"/>
      <c r="AB27" s="540" t="str">
        <f>IF(AA27="","",IF(VLOOKUP(AA27,'G-3 Multipliers'!$L$3:$N$6,2,FALSE)=0,"Spatial Data Missing ⚠",VLOOKUP(AA27,'G-3 Multipliers'!$L$3:$N$6,2,FALSE)))</f>
        <v/>
      </c>
      <c r="AC27" s="524" t="str">
        <f>IF(AA27="","",IF(VLOOKUP(AA27,'G-3 Multipliers'!$L$3:$N$6,3,FALSE)=0,"Spatial Data Missing ⚠",VLOOKUP(AA27,'G-3 Multipliers'!$L$3:$N$6,3,FALSE)))</f>
        <v/>
      </c>
      <c r="AD27" s="537" t="str">
        <f t="shared" si="3"/>
        <v/>
      </c>
      <c r="AE27" s="203"/>
      <c r="AF27" s="203"/>
      <c r="AG27" s="520" t="str">
        <f t="shared" si="7"/>
        <v/>
      </c>
      <c r="AH27" s="544" t="str">
        <f t="shared" si="8"/>
        <v/>
      </c>
      <c r="AI27" s="525" t="str">
        <f>IF(AH27="Check Data ⚠","Check Data ⚠",IFERROR(VLOOKUP(AH27,'G-4 Temporal multipliers'!$A$4:$C$36,3,FALSE),""))</f>
        <v/>
      </c>
      <c r="AJ27" s="537" t="str">
        <f>IF(S27="","",VLOOKUP(S27,'G-3 Multipliers'!$A$2:$E$129,4,FALSE))</f>
        <v/>
      </c>
      <c r="AK27" s="520" t="str">
        <f t="shared" si="9"/>
        <v/>
      </c>
      <c r="AL27" s="520" t="str">
        <f t="shared" si="10"/>
        <v/>
      </c>
      <c r="AM27" s="524" t="str">
        <f>IFERROR(IF(F27="","",IF(AH27="Check Data ⚠","Check Data ⚠",VLOOKUP(AL27, 'G-3 Multipliers'!$P$2:$Q$6,2,FALSE))),"")</f>
        <v/>
      </c>
      <c r="AN27" s="197"/>
      <c r="AO27" s="540" t="str">
        <f>IF(AN27="","",IF(VLOOKUP(AN27,'G-3 Multipliers'!$S$3:$T$9,2,FALSE)=0,"Spatial Data Missing ⚠",VLOOKUP(AN27,'G-3 Multipliers'!$S$3:$T$9,2,FALSE)))</f>
        <v/>
      </c>
      <c r="AP27" s="513" t="str">
        <f t="shared" si="11"/>
        <v/>
      </c>
      <c r="AQ27" s="231"/>
      <c r="AR27" s="150"/>
    </row>
    <row r="28" spans="1:44" x14ac:dyDescent="0.3">
      <c r="A28" s="31" t="str">
        <f>IF(E28="","",IF(ISNA(VLOOKUP($E28,'D-1 Off Site Habitat Baseline'!$D$1:$O$258,2,FALSE)),"",(VLOOKUP($E28,'D-1 Off Site Habitat Baseline'!$D$1:$O$258,2,FALSE))))</f>
        <v/>
      </c>
      <c r="B28" s="31" t="str">
        <f>IF(E28="","",IF(ISNA(VLOOKUP($E28,'D-1 Off Site Habitat Baseline'!$D$1:$O$258,3,FALSE)),"",(VLOOKUP($E28,'D-1 Off Site Habitat Baseline'!$D$1:$O$258,3,FALSE))))</f>
        <v/>
      </c>
      <c r="C28" s="31" t="str">
        <f>IFERROR(INDEX('G-8 Condition Look up'!$I$4:$I$130,MATCH(S28,'G-8 Condition Look up'!$A$4:$A$130,0)),"")</f>
        <v/>
      </c>
      <c r="E28" s="547" t="str">
        <f>'D-1 Off Site Habitat Baseline'!AL27</f>
        <v/>
      </c>
      <c r="F28" s="520" t="str">
        <f>IF(E28="","",IF(ISNA(VLOOKUP($E28,'D-1 Off Site Habitat Baseline'!$D$1:$O$258,4,FALSE)),"",(VLOOKUP($E28,'D-1 Off Site Habitat Baseline'!$D$1:$O$258,4,FALSE))))</f>
        <v/>
      </c>
      <c r="G28" s="520" t="str">
        <f>IF(E28="","",IF(ISNA(VLOOKUP($E28,'D-1 Off Site Habitat Baseline'!$D$1:$O$258,5,FALSE)),"",(VLOOKUP($E28,'D-1 Off Site Habitat Baseline'!$D$1:$O$258,5,FALSE))))</f>
        <v/>
      </c>
      <c r="H28" s="520" t="str">
        <f>IF(E28="","",IF(ISNA(VLOOKUP($E28,'D-1 Off Site Habitat Baseline'!$D$1:$O$258,6,FALSE)),"",(VLOOKUP($E28,'D-1 Off Site Habitat Baseline'!$D$1:$O$258,6,FALSE))))</f>
        <v/>
      </c>
      <c r="I28" s="520" t="str">
        <f>IF(E28="","",IF(ISNA(VLOOKUP($E28,'D-1 Off Site Habitat Baseline'!$D$1:$O$258,7,FALSE)),"",(VLOOKUP($E28,'D-1 Off Site Habitat Baseline'!$D$1:$O$258,7,FALSE))))</f>
        <v/>
      </c>
      <c r="J28" s="520" t="str">
        <f>IF(E28="","",IF(ISNA(VLOOKUP($E28,'D-1 Off Site Habitat Baseline'!$D$1:$O$258,8,FALSE)),"",(VLOOKUP($E28,'D-1 Off Site Habitat Baseline'!$D$1:$O$258,8,FALSE))))</f>
        <v/>
      </c>
      <c r="K28" s="520" t="str">
        <f>IF(E28="","",IF(ISNA(VLOOKUP($E28,'D-1 Off Site Habitat Baseline'!$D$1:$O$258,9,FALSE)),"",(VLOOKUP($E28,'D-1 Off Site Habitat Baseline'!$D$1:$O$258,9,FALSE))))</f>
        <v/>
      </c>
      <c r="L28" s="520" t="str">
        <f>IF(E28="","",IF(ISNA(VLOOKUP($E28,'D-1 Off Site Habitat Baseline'!$D$1:$O$258,11,FALSE)),"",(VLOOKUP($E28,'D-1 Off Site Habitat Baseline'!$D$1:$O$258,11,FALSE))))</f>
        <v/>
      </c>
      <c r="M28" s="520" t="str">
        <f>IF(E28="","",IF(ISNA(VLOOKUP($E28,'D-1 Off Site Habitat Baseline'!$D$1:$O$258,12,FALSE)),"",(VLOOKUP($E28,'D-1 Off Site Habitat Baseline'!$D$1:$O$258,12,FALSE))))</f>
        <v/>
      </c>
      <c r="N28" s="520" t="str">
        <f>IF(E28="","",IF(ISNA(VLOOKUP($E28,'D-1 Off Site Habitat Baseline'!$D$1:$X$258,14,FALSE)),"",(VLOOKUP($E28,'D-1 Off Site Habitat Baseline'!$D$1:$X$258,14,FALSE))))</f>
        <v/>
      </c>
      <c r="O28" s="524" t="str">
        <f>IF(E28="","",IF(ISNA(VLOOKUP($E28,'D-1 Off Site Habitat Baseline'!$D$1:$X$258,13,FALSE)),"",(VLOOKUP($E28,'D-1 Off Site Habitat Baseline'!$D$1:$X$258,13,FALSE))))</f>
        <v/>
      </c>
      <c r="P28" s="232" t="str">
        <f>IFERROR(INDEX('G-1 All Habitats'!$AG$3:$AG$15,MATCH(Q28,'G-1 All Habitats'!$AF$3:$AF$15,0)),"")</f>
        <v/>
      </c>
      <c r="Q28" s="228" t="str">
        <f t="shared" si="12"/>
        <v/>
      </c>
      <c r="R28" s="229" t="str">
        <f t="shared" si="13"/>
        <v/>
      </c>
      <c r="S28" s="233" t="str">
        <f>IFERROR(INDEX('G-1 All Habitats'!$B$3:$B$129,MATCH(R28,'G-1 All Habitats'!$A$3:$A$129,0)),"")</f>
        <v/>
      </c>
      <c r="T28" s="507" t="str">
        <f t="shared" si="5"/>
        <v/>
      </c>
      <c r="U28" s="524" t="str">
        <f t="shared" si="6"/>
        <v/>
      </c>
      <c r="V28" s="523" t="str">
        <f t="shared" si="2"/>
        <v/>
      </c>
      <c r="W28" s="520" t="str">
        <f>IF(S28="","",VLOOKUP(S28,'G-1 All Habitats'!$B$2:$M$129,10,FALSE))</f>
        <v/>
      </c>
      <c r="X28" s="520" t="str">
        <f>IFERROR(VLOOKUP(W28,'G-1 All Habitats'!$V$3:$W$7,2,FALSE),"")</f>
        <v/>
      </c>
      <c r="Y28" s="203"/>
      <c r="Z28" s="524" t="str">
        <f>IFERROR(INDEX('G-8 Condition Look up'!$A$3:$H$130,MATCH(S28,'G-8 Condition Look up'!$A$3:$A$130,0),MATCH(Y28,'G-8 Condition Look up'!$A$3:$H$3,0)),"")</f>
        <v/>
      </c>
      <c r="AA28" s="145"/>
      <c r="AB28" s="540" t="str">
        <f>IF(AA28="","",IF(VLOOKUP(AA28,'G-3 Multipliers'!$L$3:$N$6,2,FALSE)=0,"Spatial Data Missing ⚠",VLOOKUP(AA28,'G-3 Multipliers'!$L$3:$N$6,2,FALSE)))</f>
        <v/>
      </c>
      <c r="AC28" s="524" t="str">
        <f>IF(AA28="","",IF(VLOOKUP(AA28,'G-3 Multipliers'!$L$3:$N$6,3,FALSE)=0,"Spatial Data Missing ⚠",VLOOKUP(AA28,'G-3 Multipliers'!$L$3:$N$6,3,FALSE)))</f>
        <v/>
      </c>
      <c r="AD28" s="537" t="str">
        <f t="shared" si="3"/>
        <v/>
      </c>
      <c r="AE28" s="203"/>
      <c r="AF28" s="203"/>
      <c r="AG28" s="520" t="str">
        <f t="shared" si="7"/>
        <v/>
      </c>
      <c r="AH28" s="544" t="str">
        <f t="shared" si="8"/>
        <v/>
      </c>
      <c r="AI28" s="525" t="str">
        <f>IF(AH28="Check Data ⚠","Check Data ⚠",IFERROR(VLOOKUP(AH28,'G-4 Temporal multipliers'!$A$4:$C$36,3,FALSE),""))</f>
        <v/>
      </c>
      <c r="AJ28" s="537" t="str">
        <f>IF(S28="","",VLOOKUP(S28,'G-3 Multipliers'!$A$2:$E$129,4,FALSE))</f>
        <v/>
      </c>
      <c r="AK28" s="520" t="str">
        <f t="shared" si="9"/>
        <v/>
      </c>
      <c r="AL28" s="520" t="str">
        <f t="shared" si="10"/>
        <v/>
      </c>
      <c r="AM28" s="524" t="str">
        <f>IFERROR(IF(F28="","",IF(AH28="Check Data ⚠","Check Data ⚠",VLOOKUP(AL28, 'G-3 Multipliers'!$P$2:$Q$6,2,FALSE))),"")</f>
        <v/>
      </c>
      <c r="AN28" s="197"/>
      <c r="AO28" s="540" t="str">
        <f>IF(AN28="","",IF(VLOOKUP(AN28,'G-3 Multipliers'!$S$3:$T$9,2,FALSE)=0,"Spatial Data Missing ⚠",VLOOKUP(AN28,'G-3 Multipliers'!$S$3:$T$9,2,FALSE)))</f>
        <v/>
      </c>
      <c r="AP28" s="513" t="str">
        <f t="shared" si="11"/>
        <v/>
      </c>
      <c r="AQ28" s="231"/>
      <c r="AR28" s="150"/>
    </row>
    <row r="29" spans="1:44" x14ac:dyDescent="0.3">
      <c r="A29" s="31" t="str">
        <f>IF(E29="","",IF(ISNA(VLOOKUP($E29,'D-1 Off Site Habitat Baseline'!$D$1:$O$258,2,FALSE)),"",(VLOOKUP($E29,'D-1 Off Site Habitat Baseline'!$D$1:$O$258,2,FALSE))))</f>
        <v/>
      </c>
      <c r="B29" s="31" t="str">
        <f>IF(E29="","",IF(ISNA(VLOOKUP($E29,'D-1 Off Site Habitat Baseline'!$D$1:$O$258,3,FALSE)),"",(VLOOKUP($E29,'D-1 Off Site Habitat Baseline'!$D$1:$O$258,3,FALSE))))</f>
        <v/>
      </c>
      <c r="C29" s="31" t="str">
        <f>IFERROR(INDEX('G-8 Condition Look up'!$I$4:$I$130,MATCH(S29,'G-8 Condition Look up'!$A$4:$A$130,0)),"")</f>
        <v/>
      </c>
      <c r="E29" s="547" t="str">
        <f>'D-1 Off Site Habitat Baseline'!AL28</f>
        <v/>
      </c>
      <c r="F29" s="520" t="str">
        <f>IF(E29="","",IF(ISNA(VLOOKUP($E29,'D-1 Off Site Habitat Baseline'!$D$1:$O$258,4,FALSE)),"",(VLOOKUP($E29,'D-1 Off Site Habitat Baseline'!$D$1:$O$258,4,FALSE))))</f>
        <v/>
      </c>
      <c r="G29" s="520" t="str">
        <f>IF(E29="","",IF(ISNA(VLOOKUP($E29,'D-1 Off Site Habitat Baseline'!$D$1:$O$258,5,FALSE)),"",(VLOOKUP($E29,'D-1 Off Site Habitat Baseline'!$D$1:$O$258,5,FALSE))))</f>
        <v/>
      </c>
      <c r="H29" s="520" t="str">
        <f>IF(E29="","",IF(ISNA(VLOOKUP($E29,'D-1 Off Site Habitat Baseline'!$D$1:$O$258,6,FALSE)),"",(VLOOKUP($E29,'D-1 Off Site Habitat Baseline'!$D$1:$O$258,6,FALSE))))</f>
        <v/>
      </c>
      <c r="I29" s="520" t="str">
        <f>IF(E29="","",IF(ISNA(VLOOKUP($E29,'D-1 Off Site Habitat Baseline'!$D$1:$O$258,7,FALSE)),"",(VLOOKUP($E29,'D-1 Off Site Habitat Baseline'!$D$1:$O$258,7,FALSE))))</f>
        <v/>
      </c>
      <c r="J29" s="520" t="str">
        <f>IF(E29="","",IF(ISNA(VLOOKUP($E29,'D-1 Off Site Habitat Baseline'!$D$1:$O$258,8,FALSE)),"",(VLOOKUP($E29,'D-1 Off Site Habitat Baseline'!$D$1:$O$258,8,FALSE))))</f>
        <v/>
      </c>
      <c r="K29" s="520" t="str">
        <f>IF(E29="","",IF(ISNA(VLOOKUP($E29,'D-1 Off Site Habitat Baseline'!$D$1:$O$258,9,FALSE)),"",(VLOOKUP($E29,'D-1 Off Site Habitat Baseline'!$D$1:$O$258,9,FALSE))))</f>
        <v/>
      </c>
      <c r="L29" s="520" t="str">
        <f>IF(E29="","",IF(ISNA(VLOOKUP($E29,'D-1 Off Site Habitat Baseline'!$D$1:$O$258,11,FALSE)),"",(VLOOKUP($E29,'D-1 Off Site Habitat Baseline'!$D$1:$O$258,11,FALSE))))</f>
        <v/>
      </c>
      <c r="M29" s="520" t="str">
        <f>IF(E29="","",IF(ISNA(VLOOKUP($E29,'D-1 Off Site Habitat Baseline'!$D$1:$O$258,12,FALSE)),"",(VLOOKUP($E29,'D-1 Off Site Habitat Baseline'!$D$1:$O$258,12,FALSE))))</f>
        <v/>
      </c>
      <c r="N29" s="520" t="str">
        <f>IF(E29="","",IF(ISNA(VLOOKUP($E29,'D-1 Off Site Habitat Baseline'!$D$1:$X$258,14,FALSE)),"",(VLOOKUP($E29,'D-1 Off Site Habitat Baseline'!$D$1:$X$258,14,FALSE))))</f>
        <v/>
      </c>
      <c r="O29" s="524" t="str">
        <f>IF(E29="","",IF(ISNA(VLOOKUP($E29,'D-1 Off Site Habitat Baseline'!$D$1:$X$258,13,FALSE)),"",(VLOOKUP($E29,'D-1 Off Site Habitat Baseline'!$D$1:$X$258,13,FALSE))))</f>
        <v/>
      </c>
      <c r="P29" s="232" t="str">
        <f>IFERROR(INDEX('G-1 All Habitats'!$AG$3:$AG$15,MATCH(Q29,'G-1 All Habitats'!$AF$3:$AF$15,0)),"")</f>
        <v/>
      </c>
      <c r="Q29" s="228" t="str">
        <f t="shared" si="12"/>
        <v/>
      </c>
      <c r="R29" s="229" t="str">
        <f t="shared" si="13"/>
        <v/>
      </c>
      <c r="S29" s="233" t="str">
        <f>IFERROR(INDEX('G-1 All Habitats'!$B$3:$B$129,MATCH(R29,'G-1 All Habitats'!$A$3:$A$129,0)),"")</f>
        <v/>
      </c>
      <c r="T29" s="507" t="str">
        <f t="shared" si="5"/>
        <v/>
      </c>
      <c r="U29" s="524" t="str">
        <f t="shared" si="6"/>
        <v/>
      </c>
      <c r="V29" s="523" t="str">
        <f t="shared" si="2"/>
        <v/>
      </c>
      <c r="W29" s="520" t="str">
        <f>IF(S29="","",VLOOKUP(S29,'G-1 All Habitats'!$B$2:$M$129,10,FALSE))</f>
        <v/>
      </c>
      <c r="X29" s="520" t="str">
        <f>IFERROR(VLOOKUP(W29,'G-1 All Habitats'!$V$3:$W$7,2,FALSE),"")</f>
        <v/>
      </c>
      <c r="Y29" s="203"/>
      <c r="Z29" s="524" t="str">
        <f>IFERROR(INDEX('G-8 Condition Look up'!$A$3:$H$130,MATCH(S29,'G-8 Condition Look up'!$A$3:$A$130,0),MATCH(Y29,'G-8 Condition Look up'!$A$3:$H$3,0)),"")</f>
        <v/>
      </c>
      <c r="AA29" s="145"/>
      <c r="AB29" s="540" t="str">
        <f>IF(AA29="","",IF(VLOOKUP(AA29,'G-3 Multipliers'!$L$3:$N$6,2,FALSE)=0,"Spatial Data Missing ⚠",VLOOKUP(AA29,'G-3 Multipliers'!$L$3:$N$6,2,FALSE)))</f>
        <v/>
      </c>
      <c r="AC29" s="524" t="str">
        <f>IF(AA29="","",IF(VLOOKUP(AA29,'G-3 Multipliers'!$L$3:$N$6,3,FALSE)=0,"Spatial Data Missing ⚠",VLOOKUP(AA29,'G-3 Multipliers'!$L$3:$N$6,3,FALSE)))</f>
        <v/>
      </c>
      <c r="AD29" s="537" t="str">
        <f t="shared" si="3"/>
        <v/>
      </c>
      <c r="AE29" s="203"/>
      <c r="AF29" s="203"/>
      <c r="AG29" s="520" t="str">
        <f t="shared" si="7"/>
        <v/>
      </c>
      <c r="AH29" s="544" t="str">
        <f t="shared" si="8"/>
        <v/>
      </c>
      <c r="AI29" s="525" t="str">
        <f>IF(AH29="Check Data ⚠","Check Data ⚠",IFERROR(VLOOKUP(AH29,'G-4 Temporal multipliers'!$A$4:$C$36,3,FALSE),""))</f>
        <v/>
      </c>
      <c r="AJ29" s="537" t="str">
        <f>IF(S29="","",VLOOKUP(S29,'G-3 Multipliers'!$A$2:$E$129,4,FALSE))</f>
        <v/>
      </c>
      <c r="AK29" s="520" t="str">
        <f t="shared" si="9"/>
        <v/>
      </c>
      <c r="AL29" s="520" t="str">
        <f t="shared" si="10"/>
        <v/>
      </c>
      <c r="AM29" s="524" t="str">
        <f>IFERROR(IF(F29="","",IF(AH29="Check Data ⚠","Check Data ⚠",VLOOKUP(AL29, 'G-3 Multipliers'!$P$2:$Q$6,2,FALSE))),"")</f>
        <v/>
      </c>
      <c r="AN29" s="197"/>
      <c r="AO29" s="540" t="str">
        <f>IF(AN29="","",IF(VLOOKUP(AN29,'G-3 Multipliers'!$S$3:$T$9,2,FALSE)=0,"Spatial Data Missing ⚠",VLOOKUP(AN29,'G-3 Multipliers'!$S$3:$T$9,2,FALSE)))</f>
        <v/>
      </c>
      <c r="AP29" s="513" t="str">
        <f t="shared" si="11"/>
        <v/>
      </c>
      <c r="AQ29" s="231"/>
      <c r="AR29" s="150"/>
    </row>
    <row r="30" spans="1:44" x14ac:dyDescent="0.3">
      <c r="A30" s="31" t="str">
        <f>IF(E30="","",IF(ISNA(VLOOKUP($E30,'D-1 Off Site Habitat Baseline'!$D$1:$O$258,2,FALSE)),"",(VLOOKUP($E30,'D-1 Off Site Habitat Baseline'!$D$1:$O$258,2,FALSE))))</f>
        <v/>
      </c>
      <c r="B30" s="31" t="str">
        <f>IF(E30="","",IF(ISNA(VLOOKUP($E30,'D-1 Off Site Habitat Baseline'!$D$1:$O$258,3,FALSE)),"",(VLOOKUP($E30,'D-1 Off Site Habitat Baseline'!$D$1:$O$258,3,FALSE))))</f>
        <v/>
      </c>
      <c r="C30" s="31" t="str">
        <f>IFERROR(INDEX('G-8 Condition Look up'!$I$4:$I$130,MATCH(S30,'G-8 Condition Look up'!$A$4:$A$130,0)),"")</f>
        <v/>
      </c>
      <c r="E30" s="547" t="str">
        <f>'D-1 Off Site Habitat Baseline'!AL29</f>
        <v/>
      </c>
      <c r="F30" s="520" t="str">
        <f>IF(E30="","",IF(ISNA(VLOOKUP($E30,'D-1 Off Site Habitat Baseline'!$D$1:$O$258,4,FALSE)),"",(VLOOKUP($E30,'D-1 Off Site Habitat Baseline'!$D$1:$O$258,4,FALSE))))</f>
        <v/>
      </c>
      <c r="G30" s="520" t="str">
        <f>IF(E30="","",IF(ISNA(VLOOKUP($E30,'D-1 Off Site Habitat Baseline'!$D$1:$O$258,5,FALSE)),"",(VLOOKUP($E30,'D-1 Off Site Habitat Baseline'!$D$1:$O$258,5,FALSE))))</f>
        <v/>
      </c>
      <c r="H30" s="520" t="str">
        <f>IF(E30="","",IF(ISNA(VLOOKUP($E30,'D-1 Off Site Habitat Baseline'!$D$1:$O$258,6,FALSE)),"",(VLOOKUP($E30,'D-1 Off Site Habitat Baseline'!$D$1:$O$258,6,FALSE))))</f>
        <v/>
      </c>
      <c r="I30" s="520" t="str">
        <f>IF(E30="","",IF(ISNA(VLOOKUP($E30,'D-1 Off Site Habitat Baseline'!$D$1:$O$258,7,FALSE)),"",(VLOOKUP($E30,'D-1 Off Site Habitat Baseline'!$D$1:$O$258,7,FALSE))))</f>
        <v/>
      </c>
      <c r="J30" s="520" t="str">
        <f>IF(E30="","",IF(ISNA(VLOOKUP($E30,'D-1 Off Site Habitat Baseline'!$D$1:$O$258,8,FALSE)),"",(VLOOKUP($E30,'D-1 Off Site Habitat Baseline'!$D$1:$O$258,8,FALSE))))</f>
        <v/>
      </c>
      <c r="K30" s="520" t="str">
        <f>IF(E30="","",IF(ISNA(VLOOKUP($E30,'D-1 Off Site Habitat Baseline'!$D$1:$O$258,9,FALSE)),"",(VLOOKUP($E30,'D-1 Off Site Habitat Baseline'!$D$1:$O$258,9,FALSE))))</f>
        <v/>
      </c>
      <c r="L30" s="520" t="str">
        <f>IF(E30="","",IF(ISNA(VLOOKUP($E30,'D-1 Off Site Habitat Baseline'!$D$1:$O$258,11,FALSE)),"",(VLOOKUP($E30,'D-1 Off Site Habitat Baseline'!$D$1:$O$258,11,FALSE))))</f>
        <v/>
      </c>
      <c r="M30" s="520" t="str">
        <f>IF(E30="","",IF(ISNA(VLOOKUP($E30,'D-1 Off Site Habitat Baseline'!$D$1:$O$258,12,FALSE)),"",(VLOOKUP($E30,'D-1 Off Site Habitat Baseline'!$D$1:$O$258,12,FALSE))))</f>
        <v/>
      </c>
      <c r="N30" s="520" t="str">
        <f>IF(E30="","",IF(ISNA(VLOOKUP($E30,'D-1 Off Site Habitat Baseline'!$D$1:$X$258,14,FALSE)),"",(VLOOKUP($E30,'D-1 Off Site Habitat Baseline'!$D$1:$X$258,14,FALSE))))</f>
        <v/>
      </c>
      <c r="O30" s="524" t="str">
        <f>IF(E30="","",IF(ISNA(VLOOKUP($E30,'D-1 Off Site Habitat Baseline'!$D$1:$X$258,13,FALSE)),"",(VLOOKUP($E30,'D-1 Off Site Habitat Baseline'!$D$1:$X$258,13,FALSE))))</f>
        <v/>
      </c>
      <c r="P30" s="232" t="str">
        <f>IFERROR(INDEX('G-1 All Habitats'!$AG$3:$AG$15,MATCH(Q30,'G-1 All Habitats'!$AF$3:$AF$15,0)),"")</f>
        <v/>
      </c>
      <c r="Q30" s="228" t="str">
        <f t="shared" si="12"/>
        <v/>
      </c>
      <c r="R30" s="229" t="str">
        <f t="shared" si="13"/>
        <v/>
      </c>
      <c r="S30" s="233" t="str">
        <f>IFERROR(INDEX('G-1 All Habitats'!$B$3:$B$129,MATCH(R30,'G-1 All Habitats'!$A$3:$A$129,0)),"")</f>
        <v/>
      </c>
      <c r="T30" s="507" t="str">
        <f t="shared" si="5"/>
        <v/>
      </c>
      <c r="U30" s="524" t="str">
        <f t="shared" si="6"/>
        <v/>
      </c>
      <c r="V30" s="523" t="str">
        <f t="shared" si="2"/>
        <v/>
      </c>
      <c r="W30" s="520" t="str">
        <f>IF(S30="","",VLOOKUP(S30,'G-1 All Habitats'!$B$2:$M$129,10,FALSE))</f>
        <v/>
      </c>
      <c r="X30" s="520" t="str">
        <f>IFERROR(VLOOKUP(W30,'G-1 All Habitats'!$V$3:$W$7,2,FALSE),"")</f>
        <v/>
      </c>
      <c r="Y30" s="203"/>
      <c r="Z30" s="524" t="str">
        <f>IFERROR(INDEX('G-8 Condition Look up'!$A$3:$H$130,MATCH(S30,'G-8 Condition Look up'!$A$3:$A$130,0),MATCH(Y30,'G-8 Condition Look up'!$A$3:$H$3,0)),"")</f>
        <v/>
      </c>
      <c r="AA30" s="145"/>
      <c r="AB30" s="540" t="str">
        <f>IF(AA30="","",IF(VLOOKUP(AA30,'G-3 Multipliers'!$L$3:$N$6,2,FALSE)=0,"Spatial Data Missing ⚠",VLOOKUP(AA30,'G-3 Multipliers'!$L$3:$N$6,2,FALSE)))</f>
        <v/>
      </c>
      <c r="AC30" s="524" t="str">
        <f>IF(AA30="","",IF(VLOOKUP(AA30,'G-3 Multipliers'!$L$3:$N$6,3,FALSE)=0,"Spatial Data Missing ⚠",VLOOKUP(AA30,'G-3 Multipliers'!$L$3:$N$6,3,FALSE)))</f>
        <v/>
      </c>
      <c r="AD30" s="537" t="str">
        <f t="shared" si="3"/>
        <v/>
      </c>
      <c r="AE30" s="203"/>
      <c r="AF30" s="203"/>
      <c r="AG30" s="520" t="str">
        <f t="shared" si="7"/>
        <v/>
      </c>
      <c r="AH30" s="544" t="str">
        <f t="shared" si="8"/>
        <v/>
      </c>
      <c r="AI30" s="525" t="str">
        <f>IF(AH30="Check Data ⚠","Check Data ⚠",IFERROR(VLOOKUP(AH30,'G-4 Temporal multipliers'!$A$4:$C$36,3,FALSE),""))</f>
        <v/>
      </c>
      <c r="AJ30" s="537" t="str">
        <f>IF(S30="","",VLOOKUP(S30,'G-3 Multipliers'!$A$2:$E$129,4,FALSE))</f>
        <v/>
      </c>
      <c r="AK30" s="520" t="str">
        <f t="shared" si="9"/>
        <v/>
      </c>
      <c r="AL30" s="520" t="str">
        <f t="shared" si="10"/>
        <v/>
      </c>
      <c r="AM30" s="524" t="str">
        <f>IFERROR(IF(F30="","",IF(AH30="Check Data ⚠","Check Data ⚠",VLOOKUP(AL30, 'G-3 Multipliers'!$P$2:$Q$6,2,FALSE))),"")</f>
        <v/>
      </c>
      <c r="AN30" s="197"/>
      <c r="AO30" s="540" t="str">
        <f>IF(AN30="","",IF(VLOOKUP(AN30,'G-3 Multipliers'!$S$3:$T$9,2,FALSE)=0,"Spatial Data Missing ⚠",VLOOKUP(AN30,'G-3 Multipliers'!$S$3:$T$9,2,FALSE)))</f>
        <v/>
      </c>
      <c r="AP30" s="513" t="str">
        <f t="shared" si="11"/>
        <v/>
      </c>
      <c r="AQ30" s="231"/>
      <c r="AR30" s="150"/>
    </row>
    <row r="31" spans="1:44" x14ac:dyDescent="0.3">
      <c r="A31" s="31" t="str">
        <f>IF(E31="","",IF(ISNA(VLOOKUP($E31,'D-1 Off Site Habitat Baseline'!$D$1:$O$258,2,FALSE)),"",(VLOOKUP($E31,'D-1 Off Site Habitat Baseline'!$D$1:$O$258,2,FALSE))))</f>
        <v/>
      </c>
      <c r="B31" s="31" t="str">
        <f>IF(E31="","",IF(ISNA(VLOOKUP($E31,'D-1 Off Site Habitat Baseline'!$D$1:$O$258,3,FALSE)),"",(VLOOKUP($E31,'D-1 Off Site Habitat Baseline'!$D$1:$O$258,3,FALSE))))</f>
        <v/>
      </c>
      <c r="C31" s="31" t="str">
        <f>IFERROR(INDEX('G-8 Condition Look up'!$I$4:$I$130,MATCH(S31,'G-8 Condition Look up'!$A$4:$A$130,0)),"")</f>
        <v/>
      </c>
      <c r="E31" s="547" t="str">
        <f>'D-1 Off Site Habitat Baseline'!AL30</f>
        <v/>
      </c>
      <c r="F31" s="520" t="str">
        <f>IF(E31="","",IF(ISNA(VLOOKUP($E31,'D-1 Off Site Habitat Baseline'!$D$1:$O$258,4,FALSE)),"",(VLOOKUP($E31,'D-1 Off Site Habitat Baseline'!$D$1:$O$258,4,FALSE))))</f>
        <v/>
      </c>
      <c r="G31" s="520" t="str">
        <f>IF(E31="","",IF(ISNA(VLOOKUP($E31,'D-1 Off Site Habitat Baseline'!$D$1:$O$258,5,FALSE)),"",(VLOOKUP($E31,'D-1 Off Site Habitat Baseline'!$D$1:$O$258,5,FALSE))))</f>
        <v/>
      </c>
      <c r="H31" s="520" t="str">
        <f>IF(E31="","",IF(ISNA(VLOOKUP($E31,'D-1 Off Site Habitat Baseline'!$D$1:$O$258,6,FALSE)),"",(VLOOKUP($E31,'D-1 Off Site Habitat Baseline'!$D$1:$O$258,6,FALSE))))</f>
        <v/>
      </c>
      <c r="I31" s="520" t="str">
        <f>IF(E31="","",IF(ISNA(VLOOKUP($E31,'D-1 Off Site Habitat Baseline'!$D$1:$O$258,7,FALSE)),"",(VLOOKUP($E31,'D-1 Off Site Habitat Baseline'!$D$1:$O$258,7,FALSE))))</f>
        <v/>
      </c>
      <c r="J31" s="520" t="str">
        <f>IF(E31="","",IF(ISNA(VLOOKUP($E31,'D-1 Off Site Habitat Baseline'!$D$1:$O$258,8,FALSE)),"",(VLOOKUP($E31,'D-1 Off Site Habitat Baseline'!$D$1:$O$258,8,FALSE))))</f>
        <v/>
      </c>
      <c r="K31" s="520" t="str">
        <f>IF(E31="","",IF(ISNA(VLOOKUP($E31,'D-1 Off Site Habitat Baseline'!$D$1:$O$258,9,FALSE)),"",(VLOOKUP($E31,'D-1 Off Site Habitat Baseline'!$D$1:$O$258,9,FALSE))))</f>
        <v/>
      </c>
      <c r="L31" s="520" t="str">
        <f>IF(E31="","",IF(ISNA(VLOOKUP($E31,'D-1 Off Site Habitat Baseline'!$D$1:$O$258,11,FALSE)),"",(VLOOKUP($E31,'D-1 Off Site Habitat Baseline'!$D$1:$O$258,11,FALSE))))</f>
        <v/>
      </c>
      <c r="M31" s="520" t="str">
        <f>IF(E31="","",IF(ISNA(VLOOKUP($E31,'D-1 Off Site Habitat Baseline'!$D$1:$O$258,12,FALSE)),"",(VLOOKUP($E31,'D-1 Off Site Habitat Baseline'!$D$1:$O$258,12,FALSE))))</f>
        <v/>
      </c>
      <c r="N31" s="520" t="str">
        <f>IF(E31="","",IF(ISNA(VLOOKUP($E31,'D-1 Off Site Habitat Baseline'!$D$1:$X$258,14,FALSE)),"",(VLOOKUP($E31,'D-1 Off Site Habitat Baseline'!$D$1:$X$258,14,FALSE))))</f>
        <v/>
      </c>
      <c r="O31" s="524" t="str">
        <f>IF(E31="","",IF(ISNA(VLOOKUP($E31,'D-1 Off Site Habitat Baseline'!$D$1:$X$258,13,FALSE)),"",(VLOOKUP($E31,'D-1 Off Site Habitat Baseline'!$D$1:$X$258,13,FALSE))))</f>
        <v/>
      </c>
      <c r="P31" s="232" t="str">
        <f>IFERROR(INDEX('G-1 All Habitats'!$AG$3:$AG$15,MATCH(Q31,'G-1 All Habitats'!$AF$3:$AF$15,0)),"")</f>
        <v/>
      </c>
      <c r="Q31" s="228" t="str">
        <f t="shared" si="12"/>
        <v/>
      </c>
      <c r="R31" s="229" t="str">
        <f t="shared" si="13"/>
        <v/>
      </c>
      <c r="S31" s="233" t="str">
        <f>IFERROR(INDEX('G-1 All Habitats'!$B$3:$B$129,MATCH(R31,'G-1 All Habitats'!$A$3:$A$129,0)),"")</f>
        <v/>
      </c>
      <c r="T31" s="507" t="str">
        <f t="shared" si="5"/>
        <v/>
      </c>
      <c r="U31" s="524" t="str">
        <f t="shared" si="6"/>
        <v/>
      </c>
      <c r="V31" s="523" t="str">
        <f t="shared" si="2"/>
        <v/>
      </c>
      <c r="W31" s="520" t="str">
        <f>IF(S31="","",VLOOKUP(S31,'G-1 All Habitats'!$B$2:$M$129,10,FALSE))</f>
        <v/>
      </c>
      <c r="X31" s="520" t="str">
        <f>IFERROR(VLOOKUP(W31,'G-1 All Habitats'!$V$3:$W$7,2,FALSE),"")</f>
        <v/>
      </c>
      <c r="Y31" s="203"/>
      <c r="Z31" s="524" t="str">
        <f>IFERROR(INDEX('G-8 Condition Look up'!$A$3:$H$130,MATCH(S31,'G-8 Condition Look up'!$A$3:$A$130,0),MATCH(Y31,'G-8 Condition Look up'!$A$3:$H$3,0)),"")</f>
        <v/>
      </c>
      <c r="AA31" s="145"/>
      <c r="AB31" s="540" t="str">
        <f>IF(AA31="","",IF(VLOOKUP(AA31,'G-3 Multipliers'!$L$3:$N$6,2,FALSE)=0,"Spatial Data Missing ⚠",VLOOKUP(AA31,'G-3 Multipliers'!$L$3:$N$6,2,FALSE)))</f>
        <v/>
      </c>
      <c r="AC31" s="524" t="str">
        <f>IF(AA31="","",IF(VLOOKUP(AA31,'G-3 Multipliers'!$L$3:$N$6,3,FALSE)=0,"Spatial Data Missing ⚠",VLOOKUP(AA31,'G-3 Multipliers'!$L$3:$N$6,3,FALSE)))</f>
        <v/>
      </c>
      <c r="AD31" s="537" t="str">
        <f t="shared" si="3"/>
        <v/>
      </c>
      <c r="AE31" s="203"/>
      <c r="AF31" s="203"/>
      <c r="AG31" s="520" t="str">
        <f t="shared" si="7"/>
        <v/>
      </c>
      <c r="AH31" s="544" t="str">
        <f t="shared" si="8"/>
        <v/>
      </c>
      <c r="AI31" s="525" t="str">
        <f>IF(AH31="Check Data ⚠","Check Data ⚠",IFERROR(VLOOKUP(AH31,'G-4 Temporal multipliers'!$A$4:$C$36,3,FALSE),""))</f>
        <v/>
      </c>
      <c r="AJ31" s="537" t="str">
        <f>IF(S31="","",VLOOKUP(S31,'G-3 Multipliers'!$A$2:$E$129,4,FALSE))</f>
        <v/>
      </c>
      <c r="AK31" s="520" t="str">
        <f t="shared" si="9"/>
        <v/>
      </c>
      <c r="AL31" s="520" t="str">
        <f t="shared" si="10"/>
        <v/>
      </c>
      <c r="AM31" s="524" t="str">
        <f>IFERROR(IF(F31="","",IF(AH31="Check Data ⚠","Check Data ⚠",VLOOKUP(AL31, 'G-3 Multipliers'!$P$2:$Q$6,2,FALSE))),"")</f>
        <v/>
      </c>
      <c r="AN31" s="197"/>
      <c r="AO31" s="540" t="str">
        <f>IF(AN31="","",IF(VLOOKUP(AN31,'G-3 Multipliers'!$S$3:$T$9,2,FALSE)=0,"Spatial Data Missing ⚠",VLOOKUP(AN31,'G-3 Multipliers'!$S$3:$T$9,2,FALSE)))</f>
        <v/>
      </c>
      <c r="AP31" s="513" t="str">
        <f t="shared" si="11"/>
        <v/>
      </c>
      <c r="AQ31" s="231"/>
      <c r="AR31" s="150"/>
    </row>
    <row r="32" spans="1:44" x14ac:dyDescent="0.3">
      <c r="A32" s="31" t="str">
        <f>IF(E32="","",IF(ISNA(VLOOKUP($E32,'D-1 Off Site Habitat Baseline'!$D$1:$O$258,2,FALSE)),"",(VLOOKUP($E32,'D-1 Off Site Habitat Baseline'!$D$1:$O$258,2,FALSE))))</f>
        <v/>
      </c>
      <c r="B32" s="31" t="str">
        <f>IF(E32="","",IF(ISNA(VLOOKUP($E32,'D-1 Off Site Habitat Baseline'!$D$1:$O$258,3,FALSE)),"",(VLOOKUP($E32,'D-1 Off Site Habitat Baseline'!$D$1:$O$258,3,FALSE))))</f>
        <v/>
      </c>
      <c r="C32" s="31" t="str">
        <f>IFERROR(INDEX('G-8 Condition Look up'!$I$4:$I$130,MATCH(S32,'G-8 Condition Look up'!$A$4:$A$130,0)),"")</f>
        <v/>
      </c>
      <c r="E32" s="547" t="str">
        <f>'D-1 Off Site Habitat Baseline'!AL31</f>
        <v/>
      </c>
      <c r="F32" s="520" t="str">
        <f>IF(E32="","",IF(ISNA(VLOOKUP($E32,'D-1 Off Site Habitat Baseline'!$D$1:$O$258,4,FALSE)),"",(VLOOKUP($E32,'D-1 Off Site Habitat Baseline'!$D$1:$O$258,4,FALSE))))</f>
        <v/>
      </c>
      <c r="G32" s="520" t="str">
        <f>IF(E32="","",IF(ISNA(VLOOKUP($E32,'D-1 Off Site Habitat Baseline'!$D$1:$O$258,5,FALSE)),"",(VLOOKUP($E32,'D-1 Off Site Habitat Baseline'!$D$1:$O$258,5,FALSE))))</f>
        <v/>
      </c>
      <c r="H32" s="520" t="str">
        <f>IF(E32="","",IF(ISNA(VLOOKUP($E32,'D-1 Off Site Habitat Baseline'!$D$1:$O$258,6,FALSE)),"",(VLOOKUP($E32,'D-1 Off Site Habitat Baseline'!$D$1:$O$258,6,FALSE))))</f>
        <v/>
      </c>
      <c r="I32" s="520" t="str">
        <f>IF(E32="","",IF(ISNA(VLOOKUP($E32,'D-1 Off Site Habitat Baseline'!$D$1:$O$258,7,FALSE)),"",(VLOOKUP($E32,'D-1 Off Site Habitat Baseline'!$D$1:$O$258,7,FALSE))))</f>
        <v/>
      </c>
      <c r="J32" s="520" t="str">
        <f>IF(E32="","",IF(ISNA(VLOOKUP($E32,'D-1 Off Site Habitat Baseline'!$D$1:$O$258,8,FALSE)),"",(VLOOKUP($E32,'D-1 Off Site Habitat Baseline'!$D$1:$O$258,8,FALSE))))</f>
        <v/>
      </c>
      <c r="K32" s="520" t="str">
        <f>IF(E32="","",IF(ISNA(VLOOKUP($E32,'D-1 Off Site Habitat Baseline'!$D$1:$O$258,9,FALSE)),"",(VLOOKUP($E32,'D-1 Off Site Habitat Baseline'!$D$1:$O$258,9,FALSE))))</f>
        <v/>
      </c>
      <c r="L32" s="520" t="str">
        <f>IF(E32="","",IF(ISNA(VLOOKUP($E32,'D-1 Off Site Habitat Baseline'!$D$1:$O$258,11,FALSE)),"",(VLOOKUP($E32,'D-1 Off Site Habitat Baseline'!$D$1:$O$258,11,FALSE))))</f>
        <v/>
      </c>
      <c r="M32" s="520" t="str">
        <f>IF(E32="","",IF(ISNA(VLOOKUP($E32,'D-1 Off Site Habitat Baseline'!$D$1:$O$258,12,FALSE)),"",(VLOOKUP($E32,'D-1 Off Site Habitat Baseline'!$D$1:$O$258,12,FALSE))))</f>
        <v/>
      </c>
      <c r="N32" s="520" t="str">
        <f>IF(E32="","",IF(ISNA(VLOOKUP($E32,'D-1 Off Site Habitat Baseline'!$D$1:$X$258,14,FALSE)),"",(VLOOKUP($E32,'D-1 Off Site Habitat Baseline'!$D$1:$X$258,14,FALSE))))</f>
        <v/>
      </c>
      <c r="O32" s="524" t="str">
        <f>IF(E32="","",IF(ISNA(VLOOKUP($E32,'D-1 Off Site Habitat Baseline'!$D$1:$X$258,13,FALSE)),"",(VLOOKUP($E32,'D-1 Off Site Habitat Baseline'!$D$1:$X$258,13,FALSE))))</f>
        <v/>
      </c>
      <c r="P32" s="232" t="str">
        <f>IFERROR(INDEX('G-1 All Habitats'!$AG$3:$AG$15,MATCH(Q32,'G-1 All Habitats'!$AF$3:$AF$15,0)),"")</f>
        <v/>
      </c>
      <c r="Q32" s="228" t="str">
        <f t="shared" si="12"/>
        <v/>
      </c>
      <c r="R32" s="229" t="str">
        <f t="shared" si="13"/>
        <v/>
      </c>
      <c r="S32" s="233" t="str">
        <f>IFERROR(INDEX('G-1 All Habitats'!$B$3:$B$129,MATCH(R32,'G-1 All Habitats'!$A$3:$A$129,0)),"")</f>
        <v/>
      </c>
      <c r="T32" s="507" t="str">
        <f t="shared" si="5"/>
        <v/>
      </c>
      <c r="U32" s="524" t="str">
        <f t="shared" si="6"/>
        <v/>
      </c>
      <c r="V32" s="523" t="str">
        <f t="shared" si="2"/>
        <v/>
      </c>
      <c r="W32" s="520" t="str">
        <f>IF(S32="","",VLOOKUP(S32,'G-1 All Habitats'!$B$2:$M$129,10,FALSE))</f>
        <v/>
      </c>
      <c r="X32" s="520" t="str">
        <f>IFERROR(VLOOKUP(W32,'G-1 All Habitats'!$V$3:$W$7,2,FALSE),"")</f>
        <v/>
      </c>
      <c r="Y32" s="203"/>
      <c r="Z32" s="524" t="str">
        <f>IFERROR(INDEX('G-8 Condition Look up'!$A$3:$H$130,MATCH(S32,'G-8 Condition Look up'!$A$3:$A$130,0),MATCH(Y32,'G-8 Condition Look up'!$A$3:$H$3,0)),"")</f>
        <v/>
      </c>
      <c r="AA32" s="145"/>
      <c r="AB32" s="540" t="str">
        <f>IF(AA32="","",IF(VLOOKUP(AA32,'G-3 Multipliers'!$L$3:$N$6,2,FALSE)=0,"Spatial Data Missing ⚠",VLOOKUP(AA32,'G-3 Multipliers'!$L$3:$N$6,2,FALSE)))</f>
        <v/>
      </c>
      <c r="AC32" s="524" t="str">
        <f>IF(AA32="","",IF(VLOOKUP(AA32,'G-3 Multipliers'!$L$3:$N$6,3,FALSE)=0,"Spatial Data Missing ⚠",VLOOKUP(AA32,'G-3 Multipliers'!$L$3:$N$6,3,FALSE)))</f>
        <v/>
      </c>
      <c r="AD32" s="537" t="str">
        <f t="shared" si="3"/>
        <v/>
      </c>
      <c r="AE32" s="203"/>
      <c r="AF32" s="203"/>
      <c r="AG32" s="520" t="str">
        <f t="shared" si="7"/>
        <v/>
      </c>
      <c r="AH32" s="544" t="str">
        <f t="shared" si="8"/>
        <v/>
      </c>
      <c r="AI32" s="525" t="str">
        <f>IF(AH32="Check Data ⚠","Check Data ⚠",IFERROR(VLOOKUP(AH32,'G-4 Temporal multipliers'!$A$4:$C$36,3,FALSE),""))</f>
        <v/>
      </c>
      <c r="AJ32" s="537" t="str">
        <f>IF(S32="","",VLOOKUP(S32,'G-3 Multipliers'!$A$2:$E$129,4,FALSE))</f>
        <v/>
      </c>
      <c r="AK32" s="520" t="str">
        <f t="shared" si="9"/>
        <v/>
      </c>
      <c r="AL32" s="520" t="str">
        <f t="shared" si="10"/>
        <v/>
      </c>
      <c r="AM32" s="524" t="str">
        <f>IFERROR(IF(F32="","",IF(AH32="Check Data ⚠","Check Data ⚠",VLOOKUP(AL32, 'G-3 Multipliers'!$P$2:$Q$6,2,FALSE))),"")</f>
        <v/>
      </c>
      <c r="AN32" s="197"/>
      <c r="AO32" s="540" t="str">
        <f>IF(AN32="","",IF(VLOOKUP(AN32,'G-3 Multipliers'!$S$3:$T$9,2,FALSE)=0,"Spatial Data Missing ⚠",VLOOKUP(AN32,'G-3 Multipliers'!$S$3:$T$9,2,FALSE)))</f>
        <v/>
      </c>
      <c r="AP32" s="513" t="str">
        <f t="shared" si="11"/>
        <v/>
      </c>
      <c r="AQ32" s="231"/>
      <c r="AR32" s="150"/>
    </row>
    <row r="33" spans="1:44" x14ac:dyDescent="0.3">
      <c r="A33" s="31" t="str">
        <f>IF(E33="","",IF(ISNA(VLOOKUP($E33,'D-1 Off Site Habitat Baseline'!$D$1:$O$258,2,FALSE)),"",(VLOOKUP($E33,'D-1 Off Site Habitat Baseline'!$D$1:$O$258,2,FALSE))))</f>
        <v/>
      </c>
      <c r="B33" s="31" t="str">
        <f>IF(E33="","",IF(ISNA(VLOOKUP($E33,'D-1 Off Site Habitat Baseline'!$D$1:$O$258,3,FALSE)),"",(VLOOKUP($E33,'D-1 Off Site Habitat Baseline'!$D$1:$O$258,3,FALSE))))</f>
        <v/>
      </c>
      <c r="C33" s="31" t="str">
        <f>IFERROR(INDEX('G-8 Condition Look up'!$I$4:$I$130,MATCH(S33,'G-8 Condition Look up'!$A$4:$A$130,0)),"")</f>
        <v/>
      </c>
      <c r="E33" s="547" t="str">
        <f>'D-1 Off Site Habitat Baseline'!AL32</f>
        <v/>
      </c>
      <c r="F33" s="520" t="str">
        <f>IF(E33="","",IF(ISNA(VLOOKUP($E33,'D-1 Off Site Habitat Baseline'!$D$1:$O$258,4,FALSE)),"",(VLOOKUP($E33,'D-1 Off Site Habitat Baseline'!$D$1:$O$258,4,FALSE))))</f>
        <v/>
      </c>
      <c r="G33" s="520" t="str">
        <f>IF(E33="","",IF(ISNA(VLOOKUP($E33,'D-1 Off Site Habitat Baseline'!$D$1:$O$258,5,FALSE)),"",(VLOOKUP($E33,'D-1 Off Site Habitat Baseline'!$D$1:$O$258,5,FALSE))))</f>
        <v/>
      </c>
      <c r="H33" s="520" t="str">
        <f>IF(E33="","",IF(ISNA(VLOOKUP($E33,'D-1 Off Site Habitat Baseline'!$D$1:$O$258,6,FALSE)),"",(VLOOKUP($E33,'D-1 Off Site Habitat Baseline'!$D$1:$O$258,6,FALSE))))</f>
        <v/>
      </c>
      <c r="I33" s="520" t="str">
        <f>IF(E33="","",IF(ISNA(VLOOKUP($E33,'D-1 Off Site Habitat Baseline'!$D$1:$O$258,7,FALSE)),"",(VLOOKUP($E33,'D-1 Off Site Habitat Baseline'!$D$1:$O$258,7,FALSE))))</f>
        <v/>
      </c>
      <c r="J33" s="520" t="str">
        <f>IF(E33="","",IF(ISNA(VLOOKUP($E33,'D-1 Off Site Habitat Baseline'!$D$1:$O$258,8,FALSE)),"",(VLOOKUP($E33,'D-1 Off Site Habitat Baseline'!$D$1:$O$258,8,FALSE))))</f>
        <v/>
      </c>
      <c r="K33" s="520" t="str">
        <f>IF(E33="","",IF(ISNA(VLOOKUP($E33,'D-1 Off Site Habitat Baseline'!$D$1:$O$258,9,FALSE)),"",(VLOOKUP($E33,'D-1 Off Site Habitat Baseline'!$D$1:$O$258,9,FALSE))))</f>
        <v/>
      </c>
      <c r="L33" s="520" t="str">
        <f>IF(E33="","",IF(ISNA(VLOOKUP($E33,'D-1 Off Site Habitat Baseline'!$D$1:$O$258,11,FALSE)),"",(VLOOKUP($E33,'D-1 Off Site Habitat Baseline'!$D$1:$O$258,11,FALSE))))</f>
        <v/>
      </c>
      <c r="M33" s="520" t="str">
        <f>IF(E33="","",IF(ISNA(VLOOKUP($E33,'D-1 Off Site Habitat Baseline'!$D$1:$O$258,12,FALSE)),"",(VLOOKUP($E33,'D-1 Off Site Habitat Baseline'!$D$1:$O$258,12,FALSE))))</f>
        <v/>
      </c>
      <c r="N33" s="520" t="str">
        <f>IF(E33="","",IF(ISNA(VLOOKUP($E33,'D-1 Off Site Habitat Baseline'!$D$1:$X$258,14,FALSE)),"",(VLOOKUP($E33,'D-1 Off Site Habitat Baseline'!$D$1:$X$258,14,FALSE))))</f>
        <v/>
      </c>
      <c r="O33" s="524" t="str">
        <f>IF(E33="","",IF(ISNA(VLOOKUP($E33,'D-1 Off Site Habitat Baseline'!$D$1:$X$258,13,FALSE)),"",(VLOOKUP($E33,'D-1 Off Site Habitat Baseline'!$D$1:$X$258,13,FALSE))))</f>
        <v/>
      </c>
      <c r="P33" s="232" t="str">
        <f>IFERROR(INDEX('G-1 All Habitats'!$AG$3:$AG$15,MATCH(Q33,'G-1 All Habitats'!$AF$3:$AF$15,0)),"")</f>
        <v/>
      </c>
      <c r="Q33" s="228" t="str">
        <f t="shared" si="12"/>
        <v/>
      </c>
      <c r="R33" s="229" t="str">
        <f t="shared" si="13"/>
        <v/>
      </c>
      <c r="S33" s="233" t="str">
        <f>IFERROR(INDEX('G-1 All Habitats'!$B$3:$B$129,MATCH(R33,'G-1 All Habitats'!$A$3:$A$129,0)),"")</f>
        <v/>
      </c>
      <c r="T33" s="507" t="str">
        <f t="shared" si="5"/>
        <v/>
      </c>
      <c r="U33" s="524" t="str">
        <f t="shared" si="6"/>
        <v/>
      </c>
      <c r="V33" s="523" t="str">
        <f t="shared" si="2"/>
        <v/>
      </c>
      <c r="W33" s="520" t="str">
        <f>IF(S33="","",VLOOKUP(S33,'G-1 All Habitats'!$B$2:$M$129,10,FALSE))</f>
        <v/>
      </c>
      <c r="X33" s="520" t="str">
        <f>IFERROR(VLOOKUP(W33,'G-1 All Habitats'!$V$3:$W$7,2,FALSE),"")</f>
        <v/>
      </c>
      <c r="Y33" s="203"/>
      <c r="Z33" s="524" t="str">
        <f>IFERROR(INDEX('G-8 Condition Look up'!$A$3:$H$130,MATCH(S33,'G-8 Condition Look up'!$A$3:$A$130,0),MATCH(Y33,'G-8 Condition Look up'!$A$3:$H$3,0)),"")</f>
        <v/>
      </c>
      <c r="AA33" s="145"/>
      <c r="AB33" s="540" t="str">
        <f>IF(AA33="","",IF(VLOOKUP(AA33,'G-3 Multipliers'!$L$3:$N$6,2,FALSE)=0,"Spatial Data Missing ⚠",VLOOKUP(AA33,'G-3 Multipliers'!$L$3:$N$6,2,FALSE)))</f>
        <v/>
      </c>
      <c r="AC33" s="524" t="str">
        <f>IF(AA33="","",IF(VLOOKUP(AA33,'G-3 Multipliers'!$L$3:$N$6,3,FALSE)=0,"Spatial Data Missing ⚠",VLOOKUP(AA33,'G-3 Multipliers'!$L$3:$N$6,3,FALSE)))</f>
        <v/>
      </c>
      <c r="AD33" s="537" t="str">
        <f t="shared" si="3"/>
        <v/>
      </c>
      <c r="AE33" s="203"/>
      <c r="AF33" s="203"/>
      <c r="AG33" s="520" t="str">
        <f t="shared" si="7"/>
        <v/>
      </c>
      <c r="AH33" s="544" t="str">
        <f t="shared" si="8"/>
        <v/>
      </c>
      <c r="AI33" s="525" t="str">
        <f>IF(AH33="Check Data ⚠","Check Data ⚠",IFERROR(VLOOKUP(AH33,'G-4 Temporal multipliers'!$A$4:$C$36,3,FALSE),""))</f>
        <v/>
      </c>
      <c r="AJ33" s="537" t="str">
        <f>IF(S33="","",VLOOKUP(S33,'G-3 Multipliers'!$A$2:$E$129,4,FALSE))</f>
        <v/>
      </c>
      <c r="AK33" s="520" t="str">
        <f t="shared" si="9"/>
        <v/>
      </c>
      <c r="AL33" s="520" t="str">
        <f t="shared" si="10"/>
        <v/>
      </c>
      <c r="AM33" s="524" t="str">
        <f>IFERROR(IF(F33="","",IF(AH33="Check Data ⚠","Check Data ⚠",VLOOKUP(AL33, 'G-3 Multipliers'!$P$2:$Q$6,2,FALSE))),"")</f>
        <v/>
      </c>
      <c r="AN33" s="197"/>
      <c r="AO33" s="540" t="str">
        <f>IF(AN33="","",IF(VLOOKUP(AN33,'G-3 Multipliers'!$S$3:$T$9,2,FALSE)=0,"Spatial Data Missing ⚠",VLOOKUP(AN33,'G-3 Multipliers'!$S$3:$T$9,2,FALSE)))</f>
        <v/>
      </c>
      <c r="AP33" s="513" t="str">
        <f t="shared" si="11"/>
        <v/>
      </c>
      <c r="AQ33" s="231"/>
      <c r="AR33" s="150"/>
    </row>
    <row r="34" spans="1:44" x14ac:dyDescent="0.3">
      <c r="A34" s="31" t="str">
        <f>IF(E34="","",IF(ISNA(VLOOKUP($E34,'D-1 Off Site Habitat Baseline'!$D$1:$O$258,2,FALSE)),"",(VLOOKUP($E34,'D-1 Off Site Habitat Baseline'!$D$1:$O$258,2,FALSE))))</f>
        <v/>
      </c>
      <c r="B34" s="31" t="str">
        <f>IF(E34="","",IF(ISNA(VLOOKUP($E34,'D-1 Off Site Habitat Baseline'!$D$1:$O$258,3,FALSE)),"",(VLOOKUP($E34,'D-1 Off Site Habitat Baseline'!$D$1:$O$258,3,FALSE))))</f>
        <v/>
      </c>
      <c r="C34" s="31" t="str">
        <f>IFERROR(INDEX('G-8 Condition Look up'!$I$4:$I$130,MATCH(S34,'G-8 Condition Look up'!$A$4:$A$130,0)),"")</f>
        <v/>
      </c>
      <c r="E34" s="547" t="str">
        <f>'D-1 Off Site Habitat Baseline'!AL33</f>
        <v/>
      </c>
      <c r="F34" s="520" t="str">
        <f>IF(E34="","",IF(ISNA(VLOOKUP($E34,'D-1 Off Site Habitat Baseline'!$D$1:$O$258,4,FALSE)),"",(VLOOKUP($E34,'D-1 Off Site Habitat Baseline'!$D$1:$O$258,4,FALSE))))</f>
        <v/>
      </c>
      <c r="G34" s="520" t="str">
        <f>IF(E34="","",IF(ISNA(VLOOKUP($E34,'D-1 Off Site Habitat Baseline'!$D$1:$O$258,5,FALSE)),"",(VLOOKUP($E34,'D-1 Off Site Habitat Baseline'!$D$1:$O$258,5,FALSE))))</f>
        <v/>
      </c>
      <c r="H34" s="520" t="str">
        <f>IF(E34="","",IF(ISNA(VLOOKUP($E34,'D-1 Off Site Habitat Baseline'!$D$1:$O$258,6,FALSE)),"",(VLOOKUP($E34,'D-1 Off Site Habitat Baseline'!$D$1:$O$258,6,FALSE))))</f>
        <v/>
      </c>
      <c r="I34" s="520" t="str">
        <f>IF(E34="","",IF(ISNA(VLOOKUP($E34,'D-1 Off Site Habitat Baseline'!$D$1:$O$258,7,FALSE)),"",(VLOOKUP($E34,'D-1 Off Site Habitat Baseline'!$D$1:$O$258,7,FALSE))))</f>
        <v/>
      </c>
      <c r="J34" s="520" t="str">
        <f>IF(E34="","",IF(ISNA(VLOOKUP($E34,'D-1 Off Site Habitat Baseline'!$D$1:$O$258,8,FALSE)),"",(VLOOKUP($E34,'D-1 Off Site Habitat Baseline'!$D$1:$O$258,8,FALSE))))</f>
        <v/>
      </c>
      <c r="K34" s="520" t="str">
        <f>IF(E34="","",IF(ISNA(VLOOKUP($E34,'D-1 Off Site Habitat Baseline'!$D$1:$O$258,9,FALSE)),"",(VLOOKUP($E34,'D-1 Off Site Habitat Baseline'!$D$1:$O$258,9,FALSE))))</f>
        <v/>
      </c>
      <c r="L34" s="520" t="str">
        <f>IF(E34="","",IF(ISNA(VLOOKUP($E34,'D-1 Off Site Habitat Baseline'!$D$1:$O$258,11,FALSE)),"",(VLOOKUP($E34,'D-1 Off Site Habitat Baseline'!$D$1:$O$258,11,FALSE))))</f>
        <v/>
      </c>
      <c r="M34" s="520" t="str">
        <f>IF(E34="","",IF(ISNA(VLOOKUP($E34,'D-1 Off Site Habitat Baseline'!$D$1:$O$258,12,FALSE)),"",(VLOOKUP($E34,'D-1 Off Site Habitat Baseline'!$D$1:$O$258,12,FALSE))))</f>
        <v/>
      </c>
      <c r="N34" s="520" t="str">
        <f>IF(E34="","",IF(ISNA(VLOOKUP($E34,'D-1 Off Site Habitat Baseline'!$D$1:$X$258,14,FALSE)),"",(VLOOKUP($E34,'D-1 Off Site Habitat Baseline'!$D$1:$X$258,14,FALSE))))</f>
        <v/>
      </c>
      <c r="O34" s="524" t="str">
        <f>IF(E34="","",IF(ISNA(VLOOKUP($E34,'D-1 Off Site Habitat Baseline'!$D$1:$X$258,13,FALSE)),"",(VLOOKUP($E34,'D-1 Off Site Habitat Baseline'!$D$1:$X$258,13,FALSE))))</f>
        <v/>
      </c>
      <c r="P34" s="232" t="str">
        <f>IFERROR(INDEX('G-1 All Habitats'!$AG$3:$AG$15,MATCH(Q34,'G-1 All Habitats'!$AF$3:$AF$15,0)),"")</f>
        <v/>
      </c>
      <c r="Q34" s="228" t="str">
        <f t="shared" si="12"/>
        <v/>
      </c>
      <c r="R34" s="229" t="str">
        <f t="shared" si="13"/>
        <v/>
      </c>
      <c r="S34" s="233" t="str">
        <f>IFERROR(INDEX('G-1 All Habitats'!$B$3:$B$129,MATCH(R34,'G-1 All Habitats'!$A$3:$A$129,0)),"")</f>
        <v/>
      </c>
      <c r="T34" s="507" t="str">
        <f t="shared" si="5"/>
        <v/>
      </c>
      <c r="U34" s="524" t="str">
        <f t="shared" si="6"/>
        <v/>
      </c>
      <c r="V34" s="523" t="str">
        <f t="shared" si="2"/>
        <v/>
      </c>
      <c r="W34" s="520" t="str">
        <f>IF(S34="","",VLOOKUP(S34,'G-1 All Habitats'!$B$2:$M$129,10,FALSE))</f>
        <v/>
      </c>
      <c r="X34" s="520" t="str">
        <f>IFERROR(VLOOKUP(W34,'G-1 All Habitats'!$V$3:$W$7,2,FALSE),"")</f>
        <v/>
      </c>
      <c r="Y34" s="203"/>
      <c r="Z34" s="524" t="str">
        <f>IFERROR(INDEX('G-8 Condition Look up'!$A$3:$H$130,MATCH(S34,'G-8 Condition Look up'!$A$3:$A$130,0),MATCH(Y34,'G-8 Condition Look up'!$A$3:$H$3,0)),"")</f>
        <v/>
      </c>
      <c r="AA34" s="145"/>
      <c r="AB34" s="540" t="str">
        <f>IF(AA34="","",IF(VLOOKUP(AA34,'G-3 Multipliers'!$L$3:$N$6,2,FALSE)=0,"Spatial Data Missing ⚠",VLOOKUP(AA34,'G-3 Multipliers'!$L$3:$N$6,2,FALSE)))</f>
        <v/>
      </c>
      <c r="AC34" s="524" t="str">
        <f>IF(AA34="","",IF(VLOOKUP(AA34,'G-3 Multipliers'!$L$3:$N$6,3,FALSE)=0,"Spatial Data Missing ⚠",VLOOKUP(AA34,'G-3 Multipliers'!$L$3:$N$6,3,FALSE)))</f>
        <v/>
      </c>
      <c r="AD34" s="537" t="str">
        <f t="shared" si="3"/>
        <v/>
      </c>
      <c r="AE34" s="203"/>
      <c r="AF34" s="203"/>
      <c r="AG34" s="520" t="str">
        <f t="shared" si="7"/>
        <v/>
      </c>
      <c r="AH34" s="544" t="str">
        <f t="shared" si="8"/>
        <v/>
      </c>
      <c r="AI34" s="525" t="str">
        <f>IF(AH34="Check Data ⚠","Check Data ⚠",IFERROR(VLOOKUP(AH34,'G-4 Temporal multipliers'!$A$4:$C$36,3,FALSE),""))</f>
        <v/>
      </c>
      <c r="AJ34" s="537" t="str">
        <f>IF(S34="","",VLOOKUP(S34,'G-3 Multipliers'!$A$2:$E$129,4,FALSE))</f>
        <v/>
      </c>
      <c r="AK34" s="520" t="str">
        <f t="shared" si="9"/>
        <v/>
      </c>
      <c r="AL34" s="520" t="str">
        <f t="shared" si="10"/>
        <v/>
      </c>
      <c r="AM34" s="524" t="str">
        <f>IFERROR(IF(F34="","",IF(AH34="Check Data ⚠","Check Data ⚠",VLOOKUP(AL34, 'G-3 Multipliers'!$P$2:$Q$6,2,FALSE))),"")</f>
        <v/>
      </c>
      <c r="AN34" s="197"/>
      <c r="AO34" s="540" t="str">
        <f>IF(AN34="","",IF(VLOOKUP(AN34,'G-3 Multipliers'!$S$3:$T$9,2,FALSE)=0,"Spatial Data Missing ⚠",VLOOKUP(AN34,'G-3 Multipliers'!$S$3:$T$9,2,FALSE)))</f>
        <v/>
      </c>
      <c r="AP34" s="513" t="str">
        <f t="shared" si="11"/>
        <v/>
      </c>
      <c r="AQ34" s="231"/>
      <c r="AR34" s="150"/>
    </row>
    <row r="35" spans="1:44" x14ac:dyDescent="0.3">
      <c r="A35" s="31" t="str">
        <f>IF(E35="","",IF(ISNA(VLOOKUP($E35,'D-1 Off Site Habitat Baseline'!$D$1:$O$258,2,FALSE)),"",(VLOOKUP($E35,'D-1 Off Site Habitat Baseline'!$D$1:$O$258,2,FALSE))))</f>
        <v/>
      </c>
      <c r="B35" s="31" t="str">
        <f>IF(E35="","",IF(ISNA(VLOOKUP($E35,'D-1 Off Site Habitat Baseline'!$D$1:$O$258,3,FALSE)),"",(VLOOKUP($E35,'D-1 Off Site Habitat Baseline'!$D$1:$O$258,3,FALSE))))</f>
        <v/>
      </c>
      <c r="C35" s="31" t="str">
        <f>IFERROR(INDEX('G-8 Condition Look up'!$I$4:$I$130,MATCH(S35,'G-8 Condition Look up'!$A$4:$A$130,0)),"")</f>
        <v/>
      </c>
      <c r="E35" s="547" t="str">
        <f>'D-1 Off Site Habitat Baseline'!AL34</f>
        <v/>
      </c>
      <c r="F35" s="520" t="str">
        <f>IF(E35="","",IF(ISNA(VLOOKUP($E35,'D-1 Off Site Habitat Baseline'!$D$1:$O$258,4,FALSE)),"",(VLOOKUP($E35,'D-1 Off Site Habitat Baseline'!$D$1:$O$258,4,FALSE))))</f>
        <v/>
      </c>
      <c r="G35" s="520" t="str">
        <f>IF(E35="","",IF(ISNA(VLOOKUP($E35,'D-1 Off Site Habitat Baseline'!$D$1:$O$258,5,FALSE)),"",(VLOOKUP($E35,'D-1 Off Site Habitat Baseline'!$D$1:$O$258,5,FALSE))))</f>
        <v/>
      </c>
      <c r="H35" s="520" t="str">
        <f>IF(E35="","",IF(ISNA(VLOOKUP($E35,'D-1 Off Site Habitat Baseline'!$D$1:$O$258,6,FALSE)),"",(VLOOKUP($E35,'D-1 Off Site Habitat Baseline'!$D$1:$O$258,6,FALSE))))</f>
        <v/>
      </c>
      <c r="I35" s="520" t="str">
        <f>IF(E35="","",IF(ISNA(VLOOKUP($E35,'D-1 Off Site Habitat Baseline'!$D$1:$O$258,7,FALSE)),"",(VLOOKUP($E35,'D-1 Off Site Habitat Baseline'!$D$1:$O$258,7,FALSE))))</f>
        <v/>
      </c>
      <c r="J35" s="520" t="str">
        <f>IF(E35="","",IF(ISNA(VLOOKUP($E35,'D-1 Off Site Habitat Baseline'!$D$1:$O$258,8,FALSE)),"",(VLOOKUP($E35,'D-1 Off Site Habitat Baseline'!$D$1:$O$258,8,FALSE))))</f>
        <v/>
      </c>
      <c r="K35" s="520" t="str">
        <f>IF(E35="","",IF(ISNA(VLOOKUP($E35,'D-1 Off Site Habitat Baseline'!$D$1:$O$258,9,FALSE)),"",(VLOOKUP($E35,'D-1 Off Site Habitat Baseline'!$D$1:$O$258,9,FALSE))))</f>
        <v/>
      </c>
      <c r="L35" s="520" t="str">
        <f>IF(E35="","",IF(ISNA(VLOOKUP($E35,'D-1 Off Site Habitat Baseline'!$D$1:$O$258,11,FALSE)),"",(VLOOKUP($E35,'D-1 Off Site Habitat Baseline'!$D$1:$O$258,11,FALSE))))</f>
        <v/>
      </c>
      <c r="M35" s="520" t="str">
        <f>IF(E35="","",IF(ISNA(VLOOKUP($E35,'D-1 Off Site Habitat Baseline'!$D$1:$O$258,12,FALSE)),"",(VLOOKUP($E35,'D-1 Off Site Habitat Baseline'!$D$1:$O$258,12,FALSE))))</f>
        <v/>
      </c>
      <c r="N35" s="520" t="str">
        <f>IF(E35="","",IF(ISNA(VLOOKUP($E35,'D-1 Off Site Habitat Baseline'!$D$1:$X$258,14,FALSE)),"",(VLOOKUP($E35,'D-1 Off Site Habitat Baseline'!$D$1:$X$258,14,FALSE))))</f>
        <v/>
      </c>
      <c r="O35" s="524" t="str">
        <f>IF(E35="","",IF(ISNA(VLOOKUP($E35,'D-1 Off Site Habitat Baseline'!$D$1:$X$258,13,FALSE)),"",(VLOOKUP($E35,'D-1 Off Site Habitat Baseline'!$D$1:$X$258,13,FALSE))))</f>
        <v/>
      </c>
      <c r="P35" s="232" t="str">
        <f>IFERROR(INDEX('G-1 All Habitats'!$AG$3:$AG$15,MATCH(Q35,'G-1 All Habitats'!$AF$3:$AF$15,0)),"")</f>
        <v/>
      </c>
      <c r="Q35" s="228" t="str">
        <f t="shared" si="12"/>
        <v/>
      </c>
      <c r="R35" s="229" t="str">
        <f t="shared" si="13"/>
        <v/>
      </c>
      <c r="S35" s="233" t="str">
        <f>IFERROR(INDEX('G-1 All Habitats'!$B$3:$B$129,MATCH(R35,'G-1 All Habitats'!$A$3:$A$129,0)),"")</f>
        <v/>
      </c>
      <c r="T35" s="507" t="str">
        <f t="shared" si="5"/>
        <v/>
      </c>
      <c r="U35" s="524" t="str">
        <f t="shared" si="6"/>
        <v/>
      </c>
      <c r="V35" s="523" t="str">
        <f t="shared" si="2"/>
        <v/>
      </c>
      <c r="W35" s="520" t="str">
        <f>IF(S35="","",VLOOKUP(S35,'G-1 All Habitats'!$B$2:$M$129,10,FALSE))</f>
        <v/>
      </c>
      <c r="X35" s="520" t="str">
        <f>IFERROR(VLOOKUP(W35,'G-1 All Habitats'!$V$3:$W$7,2,FALSE),"")</f>
        <v/>
      </c>
      <c r="Y35" s="203"/>
      <c r="Z35" s="524" t="str">
        <f>IFERROR(INDEX('G-8 Condition Look up'!$A$3:$H$130,MATCH(S35,'G-8 Condition Look up'!$A$3:$A$130,0),MATCH(Y35,'G-8 Condition Look up'!$A$3:$H$3,0)),"")</f>
        <v/>
      </c>
      <c r="AA35" s="145"/>
      <c r="AB35" s="540" t="str">
        <f>IF(AA35="","",IF(VLOOKUP(AA35,'G-3 Multipliers'!$L$3:$N$6,2,FALSE)=0,"Spatial Data Missing ⚠",VLOOKUP(AA35,'G-3 Multipliers'!$L$3:$N$6,2,FALSE)))</f>
        <v/>
      </c>
      <c r="AC35" s="524" t="str">
        <f>IF(AA35="","",IF(VLOOKUP(AA35,'G-3 Multipliers'!$L$3:$N$6,3,FALSE)=0,"Spatial Data Missing ⚠",VLOOKUP(AA35,'G-3 Multipliers'!$L$3:$N$6,3,FALSE)))</f>
        <v/>
      </c>
      <c r="AD35" s="537" t="str">
        <f t="shared" si="3"/>
        <v/>
      </c>
      <c r="AE35" s="203"/>
      <c r="AF35" s="203"/>
      <c r="AG35" s="520" t="str">
        <f t="shared" si="7"/>
        <v/>
      </c>
      <c r="AH35" s="544" t="str">
        <f t="shared" si="8"/>
        <v/>
      </c>
      <c r="AI35" s="525" t="str">
        <f>IF(AH35="Check Data ⚠","Check Data ⚠",IFERROR(VLOOKUP(AH35,'G-4 Temporal multipliers'!$A$4:$C$36,3,FALSE),""))</f>
        <v/>
      </c>
      <c r="AJ35" s="537" t="str">
        <f>IF(S35="","",VLOOKUP(S35,'G-3 Multipliers'!$A$2:$E$129,4,FALSE))</f>
        <v/>
      </c>
      <c r="AK35" s="520" t="str">
        <f t="shared" si="9"/>
        <v/>
      </c>
      <c r="AL35" s="520" t="str">
        <f t="shared" si="10"/>
        <v/>
      </c>
      <c r="AM35" s="524" t="str">
        <f>IFERROR(IF(F35="","",IF(AH35="Check Data ⚠","Check Data ⚠",VLOOKUP(AL35, 'G-3 Multipliers'!$P$2:$Q$6,2,FALSE))),"")</f>
        <v/>
      </c>
      <c r="AN35" s="197"/>
      <c r="AO35" s="540" t="str">
        <f>IF(AN35="","",IF(VLOOKUP(AN35,'G-3 Multipliers'!$S$3:$T$9,2,FALSE)=0,"Spatial Data Missing ⚠",VLOOKUP(AN35,'G-3 Multipliers'!$S$3:$T$9,2,FALSE)))</f>
        <v/>
      </c>
      <c r="AP35" s="513" t="str">
        <f t="shared" si="11"/>
        <v/>
      </c>
      <c r="AQ35" s="231"/>
      <c r="AR35" s="150"/>
    </row>
    <row r="36" spans="1:44" x14ac:dyDescent="0.3">
      <c r="A36" s="31" t="str">
        <f>IF(E36="","",IF(ISNA(VLOOKUP($E36,'D-1 Off Site Habitat Baseline'!$D$1:$O$258,2,FALSE)),"",(VLOOKUP($E36,'D-1 Off Site Habitat Baseline'!$D$1:$O$258,2,FALSE))))</f>
        <v/>
      </c>
      <c r="B36" s="31" t="str">
        <f>IF(E36="","",IF(ISNA(VLOOKUP($E36,'D-1 Off Site Habitat Baseline'!$D$1:$O$258,3,FALSE)),"",(VLOOKUP($E36,'D-1 Off Site Habitat Baseline'!$D$1:$O$258,3,FALSE))))</f>
        <v/>
      </c>
      <c r="C36" s="31" t="str">
        <f>IFERROR(INDEX('G-8 Condition Look up'!$I$4:$I$130,MATCH(S36,'G-8 Condition Look up'!$A$4:$A$130,0)),"")</f>
        <v/>
      </c>
      <c r="E36" s="547" t="str">
        <f>'D-1 Off Site Habitat Baseline'!AL35</f>
        <v/>
      </c>
      <c r="F36" s="520" t="str">
        <f>IF(E36="","",IF(ISNA(VLOOKUP($E36,'D-1 Off Site Habitat Baseline'!$D$1:$O$258,4,FALSE)),"",(VLOOKUP($E36,'D-1 Off Site Habitat Baseline'!$D$1:$O$258,4,FALSE))))</f>
        <v/>
      </c>
      <c r="G36" s="520" t="str">
        <f>IF(E36="","",IF(ISNA(VLOOKUP($E36,'D-1 Off Site Habitat Baseline'!$D$1:$O$258,5,FALSE)),"",(VLOOKUP($E36,'D-1 Off Site Habitat Baseline'!$D$1:$O$258,5,FALSE))))</f>
        <v/>
      </c>
      <c r="H36" s="520" t="str">
        <f>IF(E36="","",IF(ISNA(VLOOKUP($E36,'D-1 Off Site Habitat Baseline'!$D$1:$O$258,6,FALSE)),"",(VLOOKUP($E36,'D-1 Off Site Habitat Baseline'!$D$1:$O$258,6,FALSE))))</f>
        <v/>
      </c>
      <c r="I36" s="520" t="str">
        <f>IF(E36="","",IF(ISNA(VLOOKUP($E36,'D-1 Off Site Habitat Baseline'!$D$1:$O$258,7,FALSE)),"",(VLOOKUP($E36,'D-1 Off Site Habitat Baseline'!$D$1:$O$258,7,FALSE))))</f>
        <v/>
      </c>
      <c r="J36" s="520" t="str">
        <f>IF(E36="","",IF(ISNA(VLOOKUP($E36,'D-1 Off Site Habitat Baseline'!$D$1:$O$258,8,FALSE)),"",(VLOOKUP($E36,'D-1 Off Site Habitat Baseline'!$D$1:$O$258,8,FALSE))))</f>
        <v/>
      </c>
      <c r="K36" s="520" t="str">
        <f>IF(E36="","",IF(ISNA(VLOOKUP($E36,'D-1 Off Site Habitat Baseline'!$D$1:$O$258,9,FALSE)),"",(VLOOKUP($E36,'D-1 Off Site Habitat Baseline'!$D$1:$O$258,9,FALSE))))</f>
        <v/>
      </c>
      <c r="L36" s="520" t="str">
        <f>IF(E36="","",IF(ISNA(VLOOKUP($E36,'D-1 Off Site Habitat Baseline'!$D$1:$O$258,11,FALSE)),"",(VLOOKUP($E36,'D-1 Off Site Habitat Baseline'!$D$1:$O$258,11,FALSE))))</f>
        <v/>
      </c>
      <c r="M36" s="520" t="str">
        <f>IF(E36="","",IF(ISNA(VLOOKUP($E36,'D-1 Off Site Habitat Baseline'!$D$1:$O$258,12,FALSE)),"",(VLOOKUP($E36,'D-1 Off Site Habitat Baseline'!$D$1:$O$258,12,FALSE))))</f>
        <v/>
      </c>
      <c r="N36" s="520" t="str">
        <f>IF(E36="","",IF(ISNA(VLOOKUP($E36,'D-1 Off Site Habitat Baseline'!$D$1:$X$258,14,FALSE)),"",(VLOOKUP($E36,'D-1 Off Site Habitat Baseline'!$D$1:$X$258,14,FALSE))))</f>
        <v/>
      </c>
      <c r="O36" s="524" t="str">
        <f>IF(E36="","",IF(ISNA(VLOOKUP($E36,'D-1 Off Site Habitat Baseline'!$D$1:$X$258,13,FALSE)),"",(VLOOKUP($E36,'D-1 Off Site Habitat Baseline'!$D$1:$X$258,13,FALSE))))</f>
        <v/>
      </c>
      <c r="P36" s="232" t="str">
        <f>IFERROR(INDEX('G-1 All Habitats'!$AG$3:$AG$15,MATCH(Q36,'G-1 All Habitats'!$AF$3:$AF$15,0)),"")</f>
        <v/>
      </c>
      <c r="Q36" s="228" t="str">
        <f t="shared" si="12"/>
        <v/>
      </c>
      <c r="R36" s="229" t="str">
        <f t="shared" si="13"/>
        <v/>
      </c>
      <c r="S36" s="233" t="str">
        <f>IFERROR(INDEX('G-1 All Habitats'!$B$3:$B$129,MATCH(R36,'G-1 All Habitats'!$A$3:$A$129,0)),"")</f>
        <v/>
      </c>
      <c r="T36" s="507" t="str">
        <f t="shared" si="5"/>
        <v/>
      </c>
      <c r="U36" s="524" t="str">
        <f t="shared" si="6"/>
        <v/>
      </c>
      <c r="V36" s="523" t="str">
        <f t="shared" si="2"/>
        <v/>
      </c>
      <c r="W36" s="520" t="str">
        <f>IF(S36="","",VLOOKUP(S36,'G-1 All Habitats'!$B$2:$M$129,10,FALSE))</f>
        <v/>
      </c>
      <c r="X36" s="520" t="str">
        <f>IFERROR(VLOOKUP(W36,'G-1 All Habitats'!$V$3:$W$7,2,FALSE),"")</f>
        <v/>
      </c>
      <c r="Y36" s="203"/>
      <c r="Z36" s="524" t="str">
        <f>IFERROR(INDEX('G-8 Condition Look up'!$A$3:$H$130,MATCH(S36,'G-8 Condition Look up'!$A$3:$A$130,0),MATCH(Y36,'G-8 Condition Look up'!$A$3:$H$3,0)),"")</f>
        <v/>
      </c>
      <c r="AA36" s="145"/>
      <c r="AB36" s="540" t="str">
        <f>IF(AA36="","",IF(VLOOKUP(AA36,'G-3 Multipliers'!$L$3:$N$6,2,FALSE)=0,"Spatial Data Missing ⚠",VLOOKUP(AA36,'G-3 Multipliers'!$L$3:$N$6,2,FALSE)))</f>
        <v/>
      </c>
      <c r="AC36" s="524" t="str">
        <f>IF(AA36="","",IF(VLOOKUP(AA36,'G-3 Multipliers'!$L$3:$N$6,3,FALSE)=0,"Spatial Data Missing ⚠",VLOOKUP(AA36,'G-3 Multipliers'!$L$3:$N$6,3,FALSE)))</f>
        <v/>
      </c>
      <c r="AD36" s="537" t="str">
        <f t="shared" si="3"/>
        <v/>
      </c>
      <c r="AE36" s="203"/>
      <c r="AF36" s="203"/>
      <c r="AG36" s="520" t="str">
        <f t="shared" si="7"/>
        <v/>
      </c>
      <c r="AH36" s="544" t="str">
        <f t="shared" si="8"/>
        <v/>
      </c>
      <c r="AI36" s="525" t="str">
        <f>IF(AH36="Check Data ⚠","Check Data ⚠",IFERROR(VLOOKUP(AH36,'G-4 Temporal multipliers'!$A$4:$C$36,3,FALSE),""))</f>
        <v/>
      </c>
      <c r="AJ36" s="537" t="str">
        <f>IF(S36="","",VLOOKUP(S36,'G-3 Multipliers'!$A$2:$E$129,4,FALSE))</f>
        <v/>
      </c>
      <c r="AK36" s="520" t="str">
        <f t="shared" si="9"/>
        <v/>
      </c>
      <c r="AL36" s="520" t="str">
        <f t="shared" si="10"/>
        <v/>
      </c>
      <c r="AM36" s="524" t="str">
        <f>IFERROR(IF(F36="","",IF(AH36="Check Data ⚠","Check Data ⚠",VLOOKUP(AL36, 'G-3 Multipliers'!$P$2:$Q$6,2,FALSE))),"")</f>
        <v/>
      </c>
      <c r="AN36" s="197"/>
      <c r="AO36" s="540" t="str">
        <f>IF(AN36="","",IF(VLOOKUP(AN36,'G-3 Multipliers'!$S$3:$T$9,2,FALSE)=0,"Spatial Data Missing ⚠",VLOOKUP(AN36,'G-3 Multipliers'!$S$3:$T$9,2,FALSE)))</f>
        <v/>
      </c>
      <c r="AP36" s="513" t="str">
        <f t="shared" si="11"/>
        <v/>
      </c>
      <c r="AQ36" s="231"/>
      <c r="AR36" s="150"/>
    </row>
    <row r="37" spans="1:44" x14ac:dyDescent="0.3">
      <c r="A37" s="31" t="str">
        <f>IF(E37="","",IF(ISNA(VLOOKUP($E37,'D-1 Off Site Habitat Baseline'!$D$1:$O$258,2,FALSE)),"",(VLOOKUP($E37,'D-1 Off Site Habitat Baseline'!$D$1:$O$258,2,FALSE))))</f>
        <v/>
      </c>
      <c r="B37" s="31" t="str">
        <f>IF(E37="","",IF(ISNA(VLOOKUP($E37,'D-1 Off Site Habitat Baseline'!$D$1:$O$258,3,FALSE)),"",(VLOOKUP($E37,'D-1 Off Site Habitat Baseline'!$D$1:$O$258,3,FALSE))))</f>
        <v/>
      </c>
      <c r="C37" s="31" t="str">
        <f>IFERROR(INDEX('G-8 Condition Look up'!$I$4:$I$130,MATCH(S37,'G-8 Condition Look up'!$A$4:$A$130,0)),"")</f>
        <v/>
      </c>
      <c r="E37" s="547" t="str">
        <f>'D-1 Off Site Habitat Baseline'!AL36</f>
        <v/>
      </c>
      <c r="F37" s="520" t="str">
        <f>IF(E37="","",IF(ISNA(VLOOKUP($E37,'D-1 Off Site Habitat Baseline'!$D$1:$O$258,4,FALSE)),"",(VLOOKUP($E37,'D-1 Off Site Habitat Baseline'!$D$1:$O$258,4,FALSE))))</f>
        <v/>
      </c>
      <c r="G37" s="520" t="str">
        <f>IF(E37="","",IF(ISNA(VLOOKUP($E37,'D-1 Off Site Habitat Baseline'!$D$1:$O$258,5,FALSE)),"",(VLOOKUP($E37,'D-1 Off Site Habitat Baseline'!$D$1:$O$258,5,FALSE))))</f>
        <v/>
      </c>
      <c r="H37" s="520" t="str">
        <f>IF(E37="","",IF(ISNA(VLOOKUP($E37,'D-1 Off Site Habitat Baseline'!$D$1:$O$258,6,FALSE)),"",(VLOOKUP($E37,'D-1 Off Site Habitat Baseline'!$D$1:$O$258,6,FALSE))))</f>
        <v/>
      </c>
      <c r="I37" s="520" t="str">
        <f>IF(E37="","",IF(ISNA(VLOOKUP($E37,'D-1 Off Site Habitat Baseline'!$D$1:$O$258,7,FALSE)),"",(VLOOKUP($E37,'D-1 Off Site Habitat Baseline'!$D$1:$O$258,7,FALSE))))</f>
        <v/>
      </c>
      <c r="J37" s="520" t="str">
        <f>IF(E37="","",IF(ISNA(VLOOKUP($E37,'D-1 Off Site Habitat Baseline'!$D$1:$O$258,8,FALSE)),"",(VLOOKUP($E37,'D-1 Off Site Habitat Baseline'!$D$1:$O$258,8,FALSE))))</f>
        <v/>
      </c>
      <c r="K37" s="520" t="str">
        <f>IF(E37="","",IF(ISNA(VLOOKUP($E37,'D-1 Off Site Habitat Baseline'!$D$1:$O$258,9,FALSE)),"",(VLOOKUP($E37,'D-1 Off Site Habitat Baseline'!$D$1:$O$258,9,FALSE))))</f>
        <v/>
      </c>
      <c r="L37" s="520" t="str">
        <f>IF(E37="","",IF(ISNA(VLOOKUP($E37,'D-1 Off Site Habitat Baseline'!$D$1:$O$258,11,FALSE)),"",(VLOOKUP($E37,'D-1 Off Site Habitat Baseline'!$D$1:$O$258,11,FALSE))))</f>
        <v/>
      </c>
      <c r="M37" s="520" t="str">
        <f>IF(E37="","",IF(ISNA(VLOOKUP($E37,'D-1 Off Site Habitat Baseline'!$D$1:$O$258,12,FALSE)),"",(VLOOKUP($E37,'D-1 Off Site Habitat Baseline'!$D$1:$O$258,12,FALSE))))</f>
        <v/>
      </c>
      <c r="N37" s="520" t="str">
        <f>IF(E37="","",IF(ISNA(VLOOKUP($E37,'D-1 Off Site Habitat Baseline'!$D$1:$X$258,14,FALSE)),"",(VLOOKUP($E37,'D-1 Off Site Habitat Baseline'!$D$1:$X$258,14,FALSE))))</f>
        <v/>
      </c>
      <c r="O37" s="524" t="str">
        <f>IF(E37="","",IF(ISNA(VLOOKUP($E37,'D-1 Off Site Habitat Baseline'!$D$1:$X$258,13,FALSE)),"",(VLOOKUP($E37,'D-1 Off Site Habitat Baseline'!$D$1:$X$258,13,FALSE))))</f>
        <v/>
      </c>
      <c r="P37" s="232" t="str">
        <f>IFERROR(INDEX('G-1 All Habitats'!$AG$3:$AG$15,MATCH(Q37,'G-1 All Habitats'!$AF$3:$AF$15,0)),"")</f>
        <v/>
      </c>
      <c r="Q37" s="228" t="str">
        <f t="shared" si="12"/>
        <v/>
      </c>
      <c r="R37" s="229" t="str">
        <f t="shared" si="13"/>
        <v/>
      </c>
      <c r="S37" s="233" t="str">
        <f>IFERROR(INDEX('G-1 All Habitats'!$B$3:$B$129,MATCH(R37,'G-1 All Habitats'!$A$3:$A$129,0)),"")</f>
        <v/>
      </c>
      <c r="T37" s="507" t="str">
        <f t="shared" si="5"/>
        <v/>
      </c>
      <c r="U37" s="524" t="str">
        <f t="shared" si="6"/>
        <v/>
      </c>
      <c r="V37" s="523" t="str">
        <f t="shared" si="2"/>
        <v/>
      </c>
      <c r="W37" s="520" t="str">
        <f>IF(S37="","",VLOOKUP(S37,'G-1 All Habitats'!$B$2:$M$129,10,FALSE))</f>
        <v/>
      </c>
      <c r="X37" s="520" t="str">
        <f>IFERROR(VLOOKUP(W37,'G-1 All Habitats'!$V$3:$W$7,2,FALSE),"")</f>
        <v/>
      </c>
      <c r="Y37" s="203"/>
      <c r="Z37" s="524" t="str">
        <f>IFERROR(INDEX('G-8 Condition Look up'!$A$3:$H$130,MATCH(S37,'G-8 Condition Look up'!$A$3:$A$130,0),MATCH(Y37,'G-8 Condition Look up'!$A$3:$H$3,0)),"")</f>
        <v/>
      </c>
      <c r="AA37" s="145"/>
      <c r="AB37" s="540" t="str">
        <f>IF(AA37="","",IF(VLOOKUP(AA37,'G-3 Multipliers'!$L$3:$N$6,2,FALSE)=0,"Spatial Data Missing ⚠",VLOOKUP(AA37,'G-3 Multipliers'!$L$3:$N$6,2,FALSE)))</f>
        <v/>
      </c>
      <c r="AC37" s="524" t="str">
        <f>IF(AA37="","",IF(VLOOKUP(AA37,'G-3 Multipliers'!$L$3:$N$6,3,FALSE)=0,"Spatial Data Missing ⚠",VLOOKUP(AA37,'G-3 Multipliers'!$L$3:$N$6,3,FALSE)))</f>
        <v/>
      </c>
      <c r="AD37" s="537" t="str">
        <f t="shared" si="3"/>
        <v/>
      </c>
      <c r="AE37" s="203"/>
      <c r="AF37" s="203"/>
      <c r="AG37" s="520" t="str">
        <f t="shared" si="7"/>
        <v/>
      </c>
      <c r="AH37" s="544" t="str">
        <f t="shared" si="8"/>
        <v/>
      </c>
      <c r="AI37" s="525" t="str">
        <f>IF(AH37="Check Data ⚠","Check Data ⚠",IFERROR(VLOOKUP(AH37,'G-4 Temporal multipliers'!$A$4:$C$36,3,FALSE),""))</f>
        <v/>
      </c>
      <c r="AJ37" s="537" t="str">
        <f>IF(S37="","",VLOOKUP(S37,'G-3 Multipliers'!$A$2:$E$129,4,FALSE))</f>
        <v/>
      </c>
      <c r="AK37" s="520" t="str">
        <f t="shared" si="9"/>
        <v/>
      </c>
      <c r="AL37" s="520" t="str">
        <f t="shared" si="10"/>
        <v/>
      </c>
      <c r="AM37" s="524" t="str">
        <f>IFERROR(IF(F37="","",IF(AH37="Check Data ⚠","Check Data ⚠",VLOOKUP(AL37, 'G-3 Multipliers'!$P$2:$Q$6,2,FALSE))),"")</f>
        <v/>
      </c>
      <c r="AN37" s="197"/>
      <c r="AO37" s="540" t="str">
        <f>IF(AN37="","",IF(VLOOKUP(AN37,'G-3 Multipliers'!$S$3:$T$9,2,FALSE)=0,"Spatial Data Missing ⚠",VLOOKUP(AN37,'G-3 Multipliers'!$S$3:$T$9,2,FALSE)))</f>
        <v/>
      </c>
      <c r="AP37" s="513" t="str">
        <f t="shared" si="11"/>
        <v/>
      </c>
      <c r="AQ37" s="231"/>
      <c r="AR37" s="150"/>
    </row>
    <row r="38" spans="1:44" x14ac:dyDescent="0.3">
      <c r="A38" s="31" t="str">
        <f>IF(E38="","",IF(ISNA(VLOOKUP($E38,'D-1 Off Site Habitat Baseline'!$D$1:$O$258,2,FALSE)),"",(VLOOKUP($E38,'D-1 Off Site Habitat Baseline'!$D$1:$O$258,2,FALSE))))</f>
        <v/>
      </c>
      <c r="B38" s="31" t="str">
        <f>IF(E38="","",IF(ISNA(VLOOKUP($E38,'D-1 Off Site Habitat Baseline'!$D$1:$O$258,3,FALSE)),"",(VLOOKUP($E38,'D-1 Off Site Habitat Baseline'!$D$1:$O$258,3,FALSE))))</f>
        <v/>
      </c>
      <c r="C38" s="31" t="str">
        <f>IFERROR(INDEX('G-8 Condition Look up'!$I$4:$I$130,MATCH(S38,'G-8 Condition Look up'!$A$4:$A$130,0)),"")</f>
        <v/>
      </c>
      <c r="E38" s="547" t="str">
        <f>'D-1 Off Site Habitat Baseline'!AL37</f>
        <v/>
      </c>
      <c r="F38" s="520" t="str">
        <f>IF(E38="","",IF(ISNA(VLOOKUP($E38,'D-1 Off Site Habitat Baseline'!$D$1:$O$258,4,FALSE)),"",(VLOOKUP($E38,'D-1 Off Site Habitat Baseline'!$D$1:$O$258,4,FALSE))))</f>
        <v/>
      </c>
      <c r="G38" s="520" t="str">
        <f>IF(E38="","",IF(ISNA(VLOOKUP($E38,'D-1 Off Site Habitat Baseline'!$D$1:$O$258,5,FALSE)),"",(VLOOKUP($E38,'D-1 Off Site Habitat Baseline'!$D$1:$O$258,5,FALSE))))</f>
        <v/>
      </c>
      <c r="H38" s="520" t="str">
        <f>IF(E38="","",IF(ISNA(VLOOKUP($E38,'D-1 Off Site Habitat Baseline'!$D$1:$O$258,6,FALSE)),"",(VLOOKUP($E38,'D-1 Off Site Habitat Baseline'!$D$1:$O$258,6,FALSE))))</f>
        <v/>
      </c>
      <c r="I38" s="520" t="str">
        <f>IF(E38="","",IF(ISNA(VLOOKUP($E38,'D-1 Off Site Habitat Baseline'!$D$1:$O$258,7,FALSE)),"",(VLOOKUP($E38,'D-1 Off Site Habitat Baseline'!$D$1:$O$258,7,FALSE))))</f>
        <v/>
      </c>
      <c r="J38" s="520" t="str">
        <f>IF(E38="","",IF(ISNA(VLOOKUP($E38,'D-1 Off Site Habitat Baseline'!$D$1:$O$258,8,FALSE)),"",(VLOOKUP($E38,'D-1 Off Site Habitat Baseline'!$D$1:$O$258,8,FALSE))))</f>
        <v/>
      </c>
      <c r="K38" s="520" t="str">
        <f>IF(E38="","",IF(ISNA(VLOOKUP($E38,'D-1 Off Site Habitat Baseline'!$D$1:$O$258,9,FALSE)),"",(VLOOKUP($E38,'D-1 Off Site Habitat Baseline'!$D$1:$O$258,9,FALSE))))</f>
        <v/>
      </c>
      <c r="L38" s="520" t="str">
        <f>IF(E38="","",IF(ISNA(VLOOKUP($E38,'D-1 Off Site Habitat Baseline'!$D$1:$O$258,11,FALSE)),"",(VLOOKUP($E38,'D-1 Off Site Habitat Baseline'!$D$1:$O$258,11,FALSE))))</f>
        <v/>
      </c>
      <c r="M38" s="520" t="str">
        <f>IF(E38="","",IF(ISNA(VLOOKUP($E38,'D-1 Off Site Habitat Baseline'!$D$1:$O$258,12,FALSE)),"",(VLOOKUP($E38,'D-1 Off Site Habitat Baseline'!$D$1:$O$258,12,FALSE))))</f>
        <v/>
      </c>
      <c r="N38" s="520" t="str">
        <f>IF(E38="","",IF(ISNA(VLOOKUP($E38,'D-1 Off Site Habitat Baseline'!$D$1:$X$258,14,FALSE)),"",(VLOOKUP($E38,'D-1 Off Site Habitat Baseline'!$D$1:$X$258,14,FALSE))))</f>
        <v/>
      </c>
      <c r="O38" s="524" t="str">
        <f>IF(E38="","",IF(ISNA(VLOOKUP($E38,'D-1 Off Site Habitat Baseline'!$D$1:$X$258,13,FALSE)),"",(VLOOKUP($E38,'D-1 Off Site Habitat Baseline'!$D$1:$X$258,13,FALSE))))</f>
        <v/>
      </c>
      <c r="P38" s="232" t="str">
        <f>IFERROR(INDEX('G-1 All Habitats'!$AG$3:$AG$15,MATCH(Q38,'G-1 All Habitats'!$AF$3:$AF$15,0)),"")</f>
        <v/>
      </c>
      <c r="Q38" s="228" t="str">
        <f t="shared" si="12"/>
        <v/>
      </c>
      <c r="R38" s="229" t="str">
        <f t="shared" si="13"/>
        <v/>
      </c>
      <c r="S38" s="233" t="str">
        <f>IFERROR(INDEX('G-1 All Habitats'!$B$3:$B$129,MATCH(R38,'G-1 All Habitats'!$A$3:$A$129,0)),"")</f>
        <v/>
      </c>
      <c r="T38" s="507" t="str">
        <f t="shared" si="5"/>
        <v/>
      </c>
      <c r="U38" s="524" t="str">
        <f t="shared" si="6"/>
        <v/>
      </c>
      <c r="V38" s="523" t="str">
        <f t="shared" si="2"/>
        <v/>
      </c>
      <c r="W38" s="520" t="str">
        <f>IF(S38="","",VLOOKUP(S38,'G-1 All Habitats'!$B$2:$M$129,10,FALSE))</f>
        <v/>
      </c>
      <c r="X38" s="520" t="str">
        <f>IFERROR(VLOOKUP(W38,'G-1 All Habitats'!$V$3:$W$7,2,FALSE),"")</f>
        <v/>
      </c>
      <c r="Y38" s="203"/>
      <c r="Z38" s="524" t="str">
        <f>IFERROR(INDEX('G-8 Condition Look up'!$A$3:$H$130,MATCH(S38,'G-8 Condition Look up'!$A$3:$A$130,0),MATCH(Y38,'G-8 Condition Look up'!$A$3:$H$3,0)),"")</f>
        <v/>
      </c>
      <c r="AA38" s="145"/>
      <c r="AB38" s="540" t="str">
        <f>IF(AA38="","",IF(VLOOKUP(AA38,'G-3 Multipliers'!$L$3:$N$6,2,FALSE)=0,"Spatial Data Missing ⚠",VLOOKUP(AA38,'G-3 Multipliers'!$L$3:$N$6,2,FALSE)))</f>
        <v/>
      </c>
      <c r="AC38" s="524" t="str">
        <f>IF(AA38="","",IF(VLOOKUP(AA38,'G-3 Multipliers'!$L$3:$N$6,3,FALSE)=0,"Spatial Data Missing ⚠",VLOOKUP(AA38,'G-3 Multipliers'!$L$3:$N$6,3,FALSE)))</f>
        <v/>
      </c>
      <c r="AD38" s="537" t="str">
        <f t="shared" si="3"/>
        <v/>
      </c>
      <c r="AE38" s="203"/>
      <c r="AF38" s="203"/>
      <c r="AG38" s="520" t="str">
        <f t="shared" si="7"/>
        <v/>
      </c>
      <c r="AH38" s="544" t="str">
        <f t="shared" si="8"/>
        <v/>
      </c>
      <c r="AI38" s="525" t="str">
        <f>IF(AH38="Check Data ⚠","Check Data ⚠",IFERROR(VLOOKUP(AH38,'G-4 Temporal multipliers'!$A$4:$C$36,3,FALSE),""))</f>
        <v/>
      </c>
      <c r="AJ38" s="537" t="str">
        <f>IF(S38="","",VLOOKUP(S38,'G-3 Multipliers'!$A$2:$E$129,4,FALSE))</f>
        <v/>
      </c>
      <c r="AK38" s="520" t="str">
        <f t="shared" si="9"/>
        <v/>
      </c>
      <c r="AL38" s="520" t="str">
        <f t="shared" si="10"/>
        <v/>
      </c>
      <c r="AM38" s="524" t="str">
        <f>IFERROR(IF(F38="","",IF(AH38="Check Data ⚠","Check Data ⚠",VLOOKUP(AL38, 'G-3 Multipliers'!$P$2:$Q$6,2,FALSE))),"")</f>
        <v/>
      </c>
      <c r="AN38" s="197"/>
      <c r="AO38" s="540" t="str">
        <f>IF(AN38="","",IF(VLOOKUP(AN38,'G-3 Multipliers'!$S$3:$T$9,2,FALSE)=0,"Spatial Data Missing ⚠",VLOOKUP(AN38,'G-3 Multipliers'!$S$3:$T$9,2,FALSE)))</f>
        <v/>
      </c>
      <c r="AP38" s="513" t="str">
        <f t="shared" si="11"/>
        <v/>
      </c>
      <c r="AQ38" s="231"/>
      <c r="AR38" s="150"/>
    </row>
    <row r="39" spans="1:44" x14ac:dyDescent="0.3">
      <c r="A39" s="31" t="str">
        <f>IF(E39="","",IF(ISNA(VLOOKUP($E39,'D-1 Off Site Habitat Baseline'!$D$1:$O$258,2,FALSE)),"",(VLOOKUP($E39,'D-1 Off Site Habitat Baseline'!$D$1:$O$258,2,FALSE))))</f>
        <v/>
      </c>
      <c r="B39" s="31" t="str">
        <f>IF(E39="","",IF(ISNA(VLOOKUP($E39,'D-1 Off Site Habitat Baseline'!$D$1:$O$258,3,FALSE)),"",(VLOOKUP($E39,'D-1 Off Site Habitat Baseline'!$D$1:$O$258,3,FALSE))))</f>
        <v/>
      </c>
      <c r="C39" s="31" t="str">
        <f>IFERROR(INDEX('G-8 Condition Look up'!$I$4:$I$130,MATCH(S39,'G-8 Condition Look up'!$A$4:$A$130,0)),"")</f>
        <v/>
      </c>
      <c r="E39" s="547" t="str">
        <f>'D-1 Off Site Habitat Baseline'!AL38</f>
        <v/>
      </c>
      <c r="F39" s="520" t="str">
        <f>IF(E39="","",IF(ISNA(VLOOKUP($E39,'D-1 Off Site Habitat Baseline'!$D$1:$O$258,4,FALSE)),"",(VLOOKUP($E39,'D-1 Off Site Habitat Baseline'!$D$1:$O$258,4,FALSE))))</f>
        <v/>
      </c>
      <c r="G39" s="520" t="str">
        <f>IF(E39="","",IF(ISNA(VLOOKUP($E39,'D-1 Off Site Habitat Baseline'!$D$1:$O$258,5,FALSE)),"",(VLOOKUP($E39,'D-1 Off Site Habitat Baseline'!$D$1:$O$258,5,FALSE))))</f>
        <v/>
      </c>
      <c r="H39" s="520" t="str">
        <f>IF(E39="","",IF(ISNA(VLOOKUP($E39,'D-1 Off Site Habitat Baseline'!$D$1:$O$258,6,FALSE)),"",(VLOOKUP($E39,'D-1 Off Site Habitat Baseline'!$D$1:$O$258,6,FALSE))))</f>
        <v/>
      </c>
      <c r="I39" s="520" t="str">
        <f>IF(E39="","",IF(ISNA(VLOOKUP($E39,'D-1 Off Site Habitat Baseline'!$D$1:$O$258,7,FALSE)),"",(VLOOKUP($E39,'D-1 Off Site Habitat Baseline'!$D$1:$O$258,7,FALSE))))</f>
        <v/>
      </c>
      <c r="J39" s="520" t="str">
        <f>IF(E39="","",IF(ISNA(VLOOKUP($E39,'D-1 Off Site Habitat Baseline'!$D$1:$O$258,8,FALSE)),"",(VLOOKUP($E39,'D-1 Off Site Habitat Baseline'!$D$1:$O$258,8,FALSE))))</f>
        <v/>
      </c>
      <c r="K39" s="520" t="str">
        <f>IF(E39="","",IF(ISNA(VLOOKUP($E39,'D-1 Off Site Habitat Baseline'!$D$1:$O$258,9,FALSE)),"",(VLOOKUP($E39,'D-1 Off Site Habitat Baseline'!$D$1:$O$258,9,FALSE))))</f>
        <v/>
      </c>
      <c r="L39" s="520" t="str">
        <f>IF(E39="","",IF(ISNA(VLOOKUP($E39,'D-1 Off Site Habitat Baseline'!$D$1:$O$258,11,FALSE)),"",(VLOOKUP($E39,'D-1 Off Site Habitat Baseline'!$D$1:$O$258,11,FALSE))))</f>
        <v/>
      </c>
      <c r="M39" s="520" t="str">
        <f>IF(E39="","",IF(ISNA(VLOOKUP($E39,'D-1 Off Site Habitat Baseline'!$D$1:$O$258,12,FALSE)),"",(VLOOKUP($E39,'D-1 Off Site Habitat Baseline'!$D$1:$O$258,12,FALSE))))</f>
        <v/>
      </c>
      <c r="N39" s="520" t="str">
        <f>IF(E39="","",IF(ISNA(VLOOKUP($E39,'D-1 Off Site Habitat Baseline'!$D$1:$X$258,14,FALSE)),"",(VLOOKUP($E39,'D-1 Off Site Habitat Baseline'!$D$1:$X$258,14,FALSE))))</f>
        <v/>
      </c>
      <c r="O39" s="524" t="str">
        <f>IF(E39="","",IF(ISNA(VLOOKUP($E39,'D-1 Off Site Habitat Baseline'!$D$1:$X$258,13,FALSE)),"",(VLOOKUP($E39,'D-1 Off Site Habitat Baseline'!$D$1:$X$258,13,FALSE))))</f>
        <v/>
      </c>
      <c r="P39" s="232" t="str">
        <f>IFERROR(INDEX('G-1 All Habitats'!$AG$3:$AG$15,MATCH(Q39,'G-1 All Habitats'!$AF$3:$AF$15,0)),"")</f>
        <v/>
      </c>
      <c r="Q39" s="228" t="str">
        <f t="shared" si="12"/>
        <v/>
      </c>
      <c r="R39" s="229" t="str">
        <f t="shared" si="13"/>
        <v/>
      </c>
      <c r="S39" s="233" t="str">
        <f>IFERROR(INDEX('G-1 All Habitats'!$B$3:$B$129,MATCH(R39,'G-1 All Habitats'!$A$3:$A$129,0)),"")</f>
        <v/>
      </c>
      <c r="T39" s="507" t="str">
        <f t="shared" si="5"/>
        <v/>
      </c>
      <c r="U39" s="524" t="str">
        <f t="shared" si="6"/>
        <v/>
      </c>
      <c r="V39" s="523" t="str">
        <f t="shared" si="2"/>
        <v/>
      </c>
      <c r="W39" s="520" t="str">
        <f>IF(S39="","",VLOOKUP(S39,'G-1 All Habitats'!$B$2:$M$129,10,FALSE))</f>
        <v/>
      </c>
      <c r="X39" s="520" t="str">
        <f>IFERROR(VLOOKUP(W39,'G-1 All Habitats'!$V$3:$W$7,2,FALSE),"")</f>
        <v/>
      </c>
      <c r="Y39" s="203"/>
      <c r="Z39" s="524" t="str">
        <f>IFERROR(INDEX('G-8 Condition Look up'!$A$3:$H$130,MATCH(S39,'G-8 Condition Look up'!$A$3:$A$130,0),MATCH(Y39,'G-8 Condition Look up'!$A$3:$H$3,0)),"")</f>
        <v/>
      </c>
      <c r="AA39" s="145"/>
      <c r="AB39" s="540" t="str">
        <f>IF(AA39="","",IF(VLOOKUP(AA39,'G-3 Multipliers'!$L$3:$N$6,2,FALSE)=0,"Spatial Data Missing ⚠",VLOOKUP(AA39,'G-3 Multipliers'!$L$3:$N$6,2,FALSE)))</f>
        <v/>
      </c>
      <c r="AC39" s="524" t="str">
        <f>IF(AA39="","",IF(VLOOKUP(AA39,'G-3 Multipliers'!$L$3:$N$6,3,FALSE)=0,"Spatial Data Missing ⚠",VLOOKUP(AA39,'G-3 Multipliers'!$L$3:$N$6,3,FALSE)))</f>
        <v/>
      </c>
      <c r="AD39" s="537" t="str">
        <f t="shared" si="3"/>
        <v/>
      </c>
      <c r="AE39" s="203"/>
      <c r="AF39" s="203"/>
      <c r="AG39" s="520" t="str">
        <f t="shared" si="7"/>
        <v/>
      </c>
      <c r="AH39" s="544" t="str">
        <f t="shared" si="8"/>
        <v/>
      </c>
      <c r="AI39" s="525" t="str">
        <f>IF(AH39="Check Data ⚠","Check Data ⚠",IFERROR(VLOOKUP(AH39,'G-4 Temporal multipliers'!$A$4:$C$36,3,FALSE),""))</f>
        <v/>
      </c>
      <c r="AJ39" s="537" t="str">
        <f>IF(S39="","",VLOOKUP(S39,'G-3 Multipliers'!$A$2:$E$129,4,FALSE))</f>
        <v/>
      </c>
      <c r="AK39" s="520" t="str">
        <f t="shared" si="9"/>
        <v/>
      </c>
      <c r="AL39" s="520" t="str">
        <f t="shared" si="10"/>
        <v/>
      </c>
      <c r="AM39" s="524" t="str">
        <f>IFERROR(IF(F39="","",IF(AH39="Check Data ⚠","Check Data ⚠",VLOOKUP(AL39, 'G-3 Multipliers'!$P$2:$Q$6,2,FALSE))),"")</f>
        <v/>
      </c>
      <c r="AN39" s="197"/>
      <c r="AO39" s="540" t="str">
        <f>IF(AN39="","",IF(VLOOKUP(AN39,'G-3 Multipliers'!$S$3:$T$9,2,FALSE)=0,"Spatial Data Missing ⚠",VLOOKUP(AN39,'G-3 Multipliers'!$S$3:$T$9,2,FALSE)))</f>
        <v/>
      </c>
      <c r="AP39" s="513" t="str">
        <f t="shared" si="11"/>
        <v/>
      </c>
      <c r="AQ39" s="231"/>
      <c r="AR39" s="150"/>
    </row>
    <row r="40" spans="1:44" x14ac:dyDescent="0.3">
      <c r="A40" s="31" t="str">
        <f>IF(E40="","",IF(ISNA(VLOOKUP($E40,'D-1 Off Site Habitat Baseline'!$D$1:$O$258,2,FALSE)),"",(VLOOKUP($E40,'D-1 Off Site Habitat Baseline'!$D$1:$O$258,2,FALSE))))</f>
        <v/>
      </c>
      <c r="B40" s="31" t="str">
        <f>IF(E40="","",IF(ISNA(VLOOKUP($E40,'D-1 Off Site Habitat Baseline'!$D$1:$O$258,3,FALSE)),"",(VLOOKUP($E40,'D-1 Off Site Habitat Baseline'!$D$1:$O$258,3,FALSE))))</f>
        <v/>
      </c>
      <c r="C40" s="31" t="str">
        <f>IFERROR(INDEX('G-8 Condition Look up'!$I$4:$I$130,MATCH(S40,'G-8 Condition Look up'!$A$4:$A$130,0)),"")</f>
        <v/>
      </c>
      <c r="E40" s="547" t="str">
        <f>'D-1 Off Site Habitat Baseline'!AL39</f>
        <v/>
      </c>
      <c r="F40" s="520" t="str">
        <f>IF(E40="","",IF(ISNA(VLOOKUP($E40,'D-1 Off Site Habitat Baseline'!$D$1:$O$258,4,FALSE)),"",(VLOOKUP($E40,'D-1 Off Site Habitat Baseline'!$D$1:$O$258,4,FALSE))))</f>
        <v/>
      </c>
      <c r="G40" s="520" t="str">
        <f>IF(E40="","",IF(ISNA(VLOOKUP($E40,'D-1 Off Site Habitat Baseline'!$D$1:$O$258,5,FALSE)),"",(VLOOKUP($E40,'D-1 Off Site Habitat Baseline'!$D$1:$O$258,5,FALSE))))</f>
        <v/>
      </c>
      <c r="H40" s="520" t="str">
        <f>IF(E40="","",IF(ISNA(VLOOKUP($E40,'D-1 Off Site Habitat Baseline'!$D$1:$O$258,6,FALSE)),"",(VLOOKUP($E40,'D-1 Off Site Habitat Baseline'!$D$1:$O$258,6,FALSE))))</f>
        <v/>
      </c>
      <c r="I40" s="520" t="str">
        <f>IF(E40="","",IF(ISNA(VLOOKUP($E40,'D-1 Off Site Habitat Baseline'!$D$1:$O$258,7,FALSE)),"",(VLOOKUP($E40,'D-1 Off Site Habitat Baseline'!$D$1:$O$258,7,FALSE))))</f>
        <v/>
      </c>
      <c r="J40" s="520" t="str">
        <f>IF(E40="","",IF(ISNA(VLOOKUP($E40,'D-1 Off Site Habitat Baseline'!$D$1:$O$258,8,FALSE)),"",(VLOOKUP($E40,'D-1 Off Site Habitat Baseline'!$D$1:$O$258,8,FALSE))))</f>
        <v/>
      </c>
      <c r="K40" s="520" t="str">
        <f>IF(E40="","",IF(ISNA(VLOOKUP($E40,'D-1 Off Site Habitat Baseline'!$D$1:$O$258,9,FALSE)),"",(VLOOKUP($E40,'D-1 Off Site Habitat Baseline'!$D$1:$O$258,9,FALSE))))</f>
        <v/>
      </c>
      <c r="L40" s="520" t="str">
        <f>IF(E40="","",IF(ISNA(VLOOKUP($E40,'D-1 Off Site Habitat Baseline'!$D$1:$O$258,11,FALSE)),"",(VLOOKUP($E40,'D-1 Off Site Habitat Baseline'!$D$1:$O$258,11,FALSE))))</f>
        <v/>
      </c>
      <c r="M40" s="520" t="str">
        <f>IF(E40="","",IF(ISNA(VLOOKUP($E40,'D-1 Off Site Habitat Baseline'!$D$1:$O$258,12,FALSE)),"",(VLOOKUP($E40,'D-1 Off Site Habitat Baseline'!$D$1:$O$258,12,FALSE))))</f>
        <v/>
      </c>
      <c r="N40" s="520" t="str">
        <f>IF(E40="","",IF(ISNA(VLOOKUP($E40,'D-1 Off Site Habitat Baseline'!$D$1:$X$258,14,FALSE)),"",(VLOOKUP($E40,'D-1 Off Site Habitat Baseline'!$D$1:$X$258,14,FALSE))))</f>
        <v/>
      </c>
      <c r="O40" s="524" t="str">
        <f>IF(E40="","",IF(ISNA(VLOOKUP($E40,'D-1 Off Site Habitat Baseline'!$D$1:$X$258,13,FALSE)),"",(VLOOKUP($E40,'D-1 Off Site Habitat Baseline'!$D$1:$X$258,13,FALSE))))</f>
        <v/>
      </c>
      <c r="P40" s="232" t="str">
        <f>IFERROR(INDEX('G-1 All Habitats'!$AG$3:$AG$15,MATCH(Q40,'G-1 All Habitats'!$AF$3:$AF$15,0)),"")</f>
        <v/>
      </c>
      <c r="Q40" s="228" t="str">
        <f t="shared" si="12"/>
        <v/>
      </c>
      <c r="R40" s="229" t="str">
        <f t="shared" si="13"/>
        <v/>
      </c>
      <c r="S40" s="233" t="str">
        <f>IFERROR(INDEX('G-1 All Habitats'!$B$3:$B$129,MATCH(R40,'G-1 All Habitats'!$A$3:$A$129,0)),"")</f>
        <v/>
      </c>
      <c r="T40" s="507" t="str">
        <f t="shared" si="5"/>
        <v/>
      </c>
      <c r="U40" s="524" t="str">
        <f t="shared" si="6"/>
        <v/>
      </c>
      <c r="V40" s="523" t="str">
        <f t="shared" si="2"/>
        <v/>
      </c>
      <c r="W40" s="520" t="str">
        <f>IF(S40="","",VLOOKUP(S40,'G-1 All Habitats'!$B$2:$M$129,10,FALSE))</f>
        <v/>
      </c>
      <c r="X40" s="520" t="str">
        <f>IFERROR(VLOOKUP(W40,'G-1 All Habitats'!$V$3:$W$7,2,FALSE),"")</f>
        <v/>
      </c>
      <c r="Y40" s="203"/>
      <c r="Z40" s="524" t="str">
        <f>IFERROR(INDEX('G-8 Condition Look up'!$A$3:$H$130,MATCH(S40,'G-8 Condition Look up'!$A$3:$A$130,0),MATCH(Y40,'G-8 Condition Look up'!$A$3:$H$3,0)),"")</f>
        <v/>
      </c>
      <c r="AA40" s="145"/>
      <c r="AB40" s="540" t="str">
        <f>IF(AA40="","",IF(VLOOKUP(AA40,'G-3 Multipliers'!$L$3:$N$6,2,FALSE)=0,"Spatial Data Missing ⚠",VLOOKUP(AA40,'G-3 Multipliers'!$L$3:$N$6,2,FALSE)))</f>
        <v/>
      </c>
      <c r="AC40" s="524" t="str">
        <f>IF(AA40="","",IF(VLOOKUP(AA40,'G-3 Multipliers'!$L$3:$N$6,3,FALSE)=0,"Spatial Data Missing ⚠",VLOOKUP(AA40,'G-3 Multipliers'!$L$3:$N$6,3,FALSE)))</f>
        <v/>
      </c>
      <c r="AD40" s="537" t="str">
        <f t="shared" si="3"/>
        <v/>
      </c>
      <c r="AE40" s="203"/>
      <c r="AF40" s="203"/>
      <c r="AG40" s="520" t="str">
        <f t="shared" si="7"/>
        <v/>
      </c>
      <c r="AH40" s="544" t="str">
        <f t="shared" si="8"/>
        <v/>
      </c>
      <c r="AI40" s="525" t="str">
        <f>IF(AH40="Check Data ⚠","Check Data ⚠",IFERROR(VLOOKUP(AH40,'G-4 Temporal multipliers'!$A$4:$C$36,3,FALSE),""))</f>
        <v/>
      </c>
      <c r="AJ40" s="537" t="str">
        <f>IF(S40="","",VLOOKUP(S40,'G-3 Multipliers'!$A$2:$E$129,4,FALSE))</f>
        <v/>
      </c>
      <c r="AK40" s="520" t="str">
        <f t="shared" si="9"/>
        <v/>
      </c>
      <c r="AL40" s="520" t="str">
        <f t="shared" si="10"/>
        <v/>
      </c>
      <c r="AM40" s="524" t="str">
        <f>IFERROR(IF(F40="","",IF(AH40="Check Data ⚠","Check Data ⚠",VLOOKUP(AL40, 'G-3 Multipliers'!$P$2:$Q$6,2,FALSE))),"")</f>
        <v/>
      </c>
      <c r="AN40" s="197"/>
      <c r="AO40" s="540" t="str">
        <f>IF(AN40="","",IF(VLOOKUP(AN40,'G-3 Multipliers'!$S$3:$T$9,2,FALSE)=0,"Spatial Data Missing ⚠",VLOOKUP(AN40,'G-3 Multipliers'!$S$3:$T$9,2,FALSE)))</f>
        <v/>
      </c>
      <c r="AP40" s="513" t="str">
        <f t="shared" si="11"/>
        <v/>
      </c>
      <c r="AQ40" s="231"/>
      <c r="AR40" s="150"/>
    </row>
    <row r="41" spans="1:44" x14ac:dyDescent="0.3">
      <c r="A41" s="31" t="str">
        <f>IF(E41="","",IF(ISNA(VLOOKUP($E41,'D-1 Off Site Habitat Baseline'!$D$1:$O$258,2,FALSE)),"",(VLOOKUP($E41,'D-1 Off Site Habitat Baseline'!$D$1:$O$258,2,FALSE))))</f>
        <v/>
      </c>
      <c r="B41" s="31" t="str">
        <f>IF(E41="","",IF(ISNA(VLOOKUP($E41,'D-1 Off Site Habitat Baseline'!$D$1:$O$258,3,FALSE)),"",(VLOOKUP($E41,'D-1 Off Site Habitat Baseline'!$D$1:$O$258,3,FALSE))))</f>
        <v/>
      </c>
      <c r="C41" s="31" t="str">
        <f>IFERROR(INDEX('G-8 Condition Look up'!$I$4:$I$130,MATCH(S41,'G-8 Condition Look up'!$A$4:$A$130,0)),"")</f>
        <v/>
      </c>
      <c r="E41" s="547" t="str">
        <f>'D-1 Off Site Habitat Baseline'!AL40</f>
        <v/>
      </c>
      <c r="F41" s="520" t="str">
        <f>IF(E41="","",IF(ISNA(VLOOKUP($E41,'D-1 Off Site Habitat Baseline'!$D$1:$O$258,4,FALSE)),"",(VLOOKUP($E41,'D-1 Off Site Habitat Baseline'!$D$1:$O$258,4,FALSE))))</f>
        <v/>
      </c>
      <c r="G41" s="520" t="str">
        <f>IF(E41="","",IF(ISNA(VLOOKUP($E41,'D-1 Off Site Habitat Baseline'!$D$1:$O$258,5,FALSE)),"",(VLOOKUP($E41,'D-1 Off Site Habitat Baseline'!$D$1:$O$258,5,FALSE))))</f>
        <v/>
      </c>
      <c r="H41" s="520" t="str">
        <f>IF(E41="","",IF(ISNA(VLOOKUP($E41,'D-1 Off Site Habitat Baseline'!$D$1:$O$258,6,FALSE)),"",(VLOOKUP($E41,'D-1 Off Site Habitat Baseline'!$D$1:$O$258,6,FALSE))))</f>
        <v/>
      </c>
      <c r="I41" s="520" t="str">
        <f>IF(E41="","",IF(ISNA(VLOOKUP($E41,'D-1 Off Site Habitat Baseline'!$D$1:$O$258,7,FALSE)),"",(VLOOKUP($E41,'D-1 Off Site Habitat Baseline'!$D$1:$O$258,7,FALSE))))</f>
        <v/>
      </c>
      <c r="J41" s="520" t="str">
        <f>IF(E41="","",IF(ISNA(VLOOKUP($E41,'D-1 Off Site Habitat Baseline'!$D$1:$O$258,8,FALSE)),"",(VLOOKUP($E41,'D-1 Off Site Habitat Baseline'!$D$1:$O$258,8,FALSE))))</f>
        <v/>
      </c>
      <c r="K41" s="520" t="str">
        <f>IF(E41="","",IF(ISNA(VLOOKUP($E41,'D-1 Off Site Habitat Baseline'!$D$1:$O$258,9,FALSE)),"",(VLOOKUP($E41,'D-1 Off Site Habitat Baseline'!$D$1:$O$258,9,FALSE))))</f>
        <v/>
      </c>
      <c r="L41" s="520" t="str">
        <f>IF(E41="","",IF(ISNA(VLOOKUP($E41,'D-1 Off Site Habitat Baseline'!$D$1:$O$258,11,FALSE)),"",(VLOOKUP($E41,'D-1 Off Site Habitat Baseline'!$D$1:$O$258,11,FALSE))))</f>
        <v/>
      </c>
      <c r="M41" s="520" t="str">
        <f>IF(E41="","",IF(ISNA(VLOOKUP($E41,'D-1 Off Site Habitat Baseline'!$D$1:$O$258,12,FALSE)),"",(VLOOKUP($E41,'D-1 Off Site Habitat Baseline'!$D$1:$O$258,12,FALSE))))</f>
        <v/>
      </c>
      <c r="N41" s="520" t="str">
        <f>IF(E41="","",IF(ISNA(VLOOKUP($E41,'D-1 Off Site Habitat Baseline'!$D$1:$X$258,14,FALSE)),"",(VLOOKUP($E41,'D-1 Off Site Habitat Baseline'!$D$1:$X$258,14,FALSE))))</f>
        <v/>
      </c>
      <c r="O41" s="524" t="str">
        <f>IF(E41="","",IF(ISNA(VLOOKUP($E41,'D-1 Off Site Habitat Baseline'!$D$1:$X$258,13,FALSE)),"",(VLOOKUP($E41,'D-1 Off Site Habitat Baseline'!$D$1:$X$258,13,FALSE))))</f>
        <v/>
      </c>
      <c r="P41" s="232" t="str">
        <f>IFERROR(INDEX('G-1 All Habitats'!$AG$3:$AG$15,MATCH(Q41,'G-1 All Habitats'!$AF$3:$AF$15,0)),"")</f>
        <v/>
      </c>
      <c r="Q41" s="228" t="str">
        <f t="shared" si="12"/>
        <v/>
      </c>
      <c r="R41" s="229" t="str">
        <f t="shared" si="13"/>
        <v/>
      </c>
      <c r="S41" s="233" t="str">
        <f>IFERROR(INDEX('G-1 All Habitats'!$B$3:$B$129,MATCH(R41,'G-1 All Habitats'!$A$3:$A$129,0)),"")</f>
        <v/>
      </c>
      <c r="T41" s="507" t="str">
        <f t="shared" si="5"/>
        <v/>
      </c>
      <c r="U41" s="524" t="str">
        <f t="shared" si="6"/>
        <v/>
      </c>
      <c r="V41" s="523" t="str">
        <f t="shared" si="2"/>
        <v/>
      </c>
      <c r="W41" s="520" t="str">
        <f>IF(S41="","",VLOOKUP(S41,'G-1 All Habitats'!$B$2:$M$129,10,FALSE))</f>
        <v/>
      </c>
      <c r="X41" s="520" t="str">
        <f>IFERROR(VLOOKUP(W41,'G-1 All Habitats'!$V$3:$W$7,2,FALSE),"")</f>
        <v/>
      </c>
      <c r="Y41" s="203"/>
      <c r="Z41" s="524" t="str">
        <f>IFERROR(INDEX('G-8 Condition Look up'!$A$3:$H$130,MATCH(S41,'G-8 Condition Look up'!$A$3:$A$130,0),MATCH(Y41,'G-8 Condition Look up'!$A$3:$H$3,0)),"")</f>
        <v/>
      </c>
      <c r="AA41" s="145"/>
      <c r="AB41" s="540" t="str">
        <f>IF(AA41="","",IF(VLOOKUP(AA41,'G-3 Multipliers'!$L$3:$N$6,2,FALSE)=0,"Spatial Data Missing ⚠",VLOOKUP(AA41,'G-3 Multipliers'!$L$3:$N$6,2,FALSE)))</f>
        <v/>
      </c>
      <c r="AC41" s="524" t="str">
        <f>IF(AA41="","",IF(VLOOKUP(AA41,'G-3 Multipliers'!$L$3:$N$6,3,FALSE)=0,"Spatial Data Missing ⚠",VLOOKUP(AA41,'G-3 Multipliers'!$L$3:$N$6,3,FALSE)))</f>
        <v/>
      </c>
      <c r="AD41" s="537" t="str">
        <f t="shared" si="3"/>
        <v/>
      </c>
      <c r="AE41" s="203"/>
      <c r="AF41" s="203"/>
      <c r="AG41" s="520" t="str">
        <f t="shared" si="7"/>
        <v/>
      </c>
      <c r="AH41" s="544" t="str">
        <f t="shared" si="8"/>
        <v/>
      </c>
      <c r="AI41" s="525" t="str">
        <f>IF(AH41="Check Data ⚠","Check Data ⚠",IFERROR(VLOOKUP(AH41,'G-4 Temporal multipliers'!$A$4:$C$36,3,FALSE),""))</f>
        <v/>
      </c>
      <c r="AJ41" s="537" t="str">
        <f>IF(S41="","",VLOOKUP(S41,'G-3 Multipliers'!$A$2:$E$129,4,FALSE))</f>
        <v/>
      </c>
      <c r="AK41" s="520" t="str">
        <f t="shared" si="9"/>
        <v/>
      </c>
      <c r="AL41" s="520" t="str">
        <f t="shared" si="10"/>
        <v/>
      </c>
      <c r="AM41" s="524" t="str">
        <f>IFERROR(IF(F41="","",IF(AH41="Check Data ⚠","Check Data ⚠",VLOOKUP(AL41, 'G-3 Multipliers'!$P$2:$Q$6,2,FALSE))),"")</f>
        <v/>
      </c>
      <c r="AN41" s="197"/>
      <c r="AO41" s="540" t="str">
        <f>IF(AN41="","",IF(VLOOKUP(AN41,'G-3 Multipliers'!$S$3:$T$9,2,FALSE)=0,"Spatial Data Missing ⚠",VLOOKUP(AN41,'G-3 Multipliers'!$S$3:$T$9,2,FALSE)))</f>
        <v/>
      </c>
      <c r="AP41" s="513" t="str">
        <f t="shared" si="11"/>
        <v/>
      </c>
      <c r="AQ41" s="231"/>
      <c r="AR41" s="150"/>
    </row>
    <row r="42" spans="1:44" x14ac:dyDescent="0.3">
      <c r="A42" s="31" t="str">
        <f>IF(E42="","",IF(ISNA(VLOOKUP($E42,'D-1 Off Site Habitat Baseline'!$D$1:$O$258,2,FALSE)),"",(VLOOKUP($E42,'D-1 Off Site Habitat Baseline'!$D$1:$O$258,2,FALSE))))</f>
        <v/>
      </c>
      <c r="B42" s="31" t="str">
        <f>IF(E42="","",IF(ISNA(VLOOKUP($E42,'D-1 Off Site Habitat Baseline'!$D$1:$O$258,3,FALSE)),"",(VLOOKUP($E42,'D-1 Off Site Habitat Baseline'!$D$1:$O$258,3,FALSE))))</f>
        <v/>
      </c>
      <c r="C42" s="31" t="str">
        <f>IFERROR(INDEX('G-8 Condition Look up'!$I$4:$I$130,MATCH(S42,'G-8 Condition Look up'!$A$4:$A$130,0)),"")</f>
        <v/>
      </c>
      <c r="E42" s="547" t="str">
        <f>'D-1 Off Site Habitat Baseline'!AL41</f>
        <v/>
      </c>
      <c r="F42" s="520" t="str">
        <f>IF(E42="","",IF(ISNA(VLOOKUP($E42,'D-1 Off Site Habitat Baseline'!$D$1:$O$258,4,FALSE)),"",(VLOOKUP($E42,'D-1 Off Site Habitat Baseline'!$D$1:$O$258,4,FALSE))))</f>
        <v/>
      </c>
      <c r="G42" s="520" t="str">
        <f>IF(E42="","",IF(ISNA(VLOOKUP($E42,'D-1 Off Site Habitat Baseline'!$D$1:$O$258,5,FALSE)),"",(VLOOKUP($E42,'D-1 Off Site Habitat Baseline'!$D$1:$O$258,5,FALSE))))</f>
        <v/>
      </c>
      <c r="H42" s="520" t="str">
        <f>IF(E42="","",IF(ISNA(VLOOKUP($E42,'D-1 Off Site Habitat Baseline'!$D$1:$O$258,6,FALSE)),"",(VLOOKUP($E42,'D-1 Off Site Habitat Baseline'!$D$1:$O$258,6,FALSE))))</f>
        <v/>
      </c>
      <c r="I42" s="520" t="str">
        <f>IF(E42="","",IF(ISNA(VLOOKUP($E42,'D-1 Off Site Habitat Baseline'!$D$1:$O$258,7,FALSE)),"",(VLOOKUP($E42,'D-1 Off Site Habitat Baseline'!$D$1:$O$258,7,FALSE))))</f>
        <v/>
      </c>
      <c r="J42" s="520" t="str">
        <f>IF(E42="","",IF(ISNA(VLOOKUP($E42,'D-1 Off Site Habitat Baseline'!$D$1:$O$258,8,FALSE)),"",(VLOOKUP($E42,'D-1 Off Site Habitat Baseline'!$D$1:$O$258,8,FALSE))))</f>
        <v/>
      </c>
      <c r="K42" s="520" t="str">
        <f>IF(E42="","",IF(ISNA(VLOOKUP($E42,'D-1 Off Site Habitat Baseline'!$D$1:$O$258,9,FALSE)),"",(VLOOKUP($E42,'D-1 Off Site Habitat Baseline'!$D$1:$O$258,9,FALSE))))</f>
        <v/>
      </c>
      <c r="L42" s="520" t="str">
        <f>IF(E42="","",IF(ISNA(VLOOKUP($E42,'D-1 Off Site Habitat Baseline'!$D$1:$O$258,11,FALSE)),"",(VLOOKUP($E42,'D-1 Off Site Habitat Baseline'!$D$1:$O$258,11,FALSE))))</f>
        <v/>
      </c>
      <c r="M42" s="520" t="str">
        <f>IF(E42="","",IF(ISNA(VLOOKUP($E42,'D-1 Off Site Habitat Baseline'!$D$1:$O$258,12,FALSE)),"",(VLOOKUP($E42,'D-1 Off Site Habitat Baseline'!$D$1:$O$258,12,FALSE))))</f>
        <v/>
      </c>
      <c r="N42" s="520" t="str">
        <f>IF(E42="","",IF(ISNA(VLOOKUP($E42,'D-1 Off Site Habitat Baseline'!$D$1:$X$258,14,FALSE)),"",(VLOOKUP($E42,'D-1 Off Site Habitat Baseline'!$D$1:$X$258,14,FALSE))))</f>
        <v/>
      </c>
      <c r="O42" s="524" t="str">
        <f>IF(E42="","",IF(ISNA(VLOOKUP($E42,'D-1 Off Site Habitat Baseline'!$D$1:$X$258,13,FALSE)),"",(VLOOKUP($E42,'D-1 Off Site Habitat Baseline'!$D$1:$X$258,13,FALSE))))</f>
        <v/>
      </c>
      <c r="P42" s="232" t="str">
        <f>IFERROR(INDEX('G-1 All Habitats'!$AG$3:$AG$15,MATCH(Q42,'G-1 All Habitats'!$AF$3:$AF$15,0)),"")</f>
        <v/>
      </c>
      <c r="Q42" s="228" t="str">
        <f t="shared" si="12"/>
        <v/>
      </c>
      <c r="R42" s="229" t="str">
        <f t="shared" si="13"/>
        <v/>
      </c>
      <c r="S42" s="233" t="str">
        <f>IFERROR(INDEX('G-1 All Habitats'!$B$3:$B$129,MATCH(R42,'G-1 All Habitats'!$A$3:$A$129,0)),"")</f>
        <v/>
      </c>
      <c r="T42" s="507" t="str">
        <f t="shared" si="5"/>
        <v/>
      </c>
      <c r="U42" s="524" t="str">
        <f t="shared" si="6"/>
        <v/>
      </c>
      <c r="V42" s="523" t="str">
        <f t="shared" si="2"/>
        <v/>
      </c>
      <c r="W42" s="520" t="str">
        <f>IF(S42="","",VLOOKUP(S42,'G-1 All Habitats'!$B$2:$M$129,10,FALSE))</f>
        <v/>
      </c>
      <c r="X42" s="520" t="str">
        <f>IFERROR(VLOOKUP(W42,'G-1 All Habitats'!$V$3:$W$7,2,FALSE),"")</f>
        <v/>
      </c>
      <c r="Y42" s="203"/>
      <c r="Z42" s="524" t="str">
        <f>IFERROR(INDEX('G-8 Condition Look up'!$A$3:$H$130,MATCH(S42,'G-8 Condition Look up'!$A$3:$A$130,0),MATCH(Y42,'G-8 Condition Look up'!$A$3:$H$3,0)),"")</f>
        <v/>
      </c>
      <c r="AA42" s="145"/>
      <c r="AB42" s="540" t="str">
        <f>IF(AA42="","",IF(VLOOKUP(AA42,'G-3 Multipliers'!$L$3:$N$6,2,FALSE)=0,"Spatial Data Missing ⚠",VLOOKUP(AA42,'G-3 Multipliers'!$L$3:$N$6,2,FALSE)))</f>
        <v/>
      </c>
      <c r="AC42" s="524" t="str">
        <f>IF(AA42="","",IF(VLOOKUP(AA42,'G-3 Multipliers'!$L$3:$N$6,3,FALSE)=0,"Spatial Data Missing ⚠",VLOOKUP(AA42,'G-3 Multipliers'!$L$3:$N$6,3,FALSE)))</f>
        <v/>
      </c>
      <c r="AD42" s="537" t="str">
        <f t="shared" si="3"/>
        <v/>
      </c>
      <c r="AE42" s="203"/>
      <c r="AF42" s="203"/>
      <c r="AG42" s="520" t="str">
        <f t="shared" si="7"/>
        <v/>
      </c>
      <c r="AH42" s="544" t="str">
        <f t="shared" si="8"/>
        <v/>
      </c>
      <c r="AI42" s="525" t="str">
        <f>IF(AH42="Check Data ⚠","Check Data ⚠",IFERROR(VLOOKUP(AH42,'G-4 Temporal multipliers'!$A$4:$C$36,3,FALSE),""))</f>
        <v/>
      </c>
      <c r="AJ42" s="537" t="str">
        <f>IF(S42="","",VLOOKUP(S42,'G-3 Multipliers'!$A$2:$E$129,4,FALSE))</f>
        <v/>
      </c>
      <c r="AK42" s="520" t="str">
        <f t="shared" si="9"/>
        <v/>
      </c>
      <c r="AL42" s="520" t="str">
        <f t="shared" si="10"/>
        <v/>
      </c>
      <c r="AM42" s="524" t="str">
        <f>IFERROR(IF(F42="","",IF(AH42="Check Data ⚠","Check Data ⚠",VLOOKUP(AL42, 'G-3 Multipliers'!$P$2:$Q$6,2,FALSE))),"")</f>
        <v/>
      </c>
      <c r="AN42" s="197"/>
      <c r="AO42" s="540" t="str">
        <f>IF(AN42="","",IF(VLOOKUP(AN42,'G-3 Multipliers'!$S$3:$T$9,2,FALSE)=0,"Spatial Data Missing ⚠",VLOOKUP(AN42,'G-3 Multipliers'!$S$3:$T$9,2,FALSE)))</f>
        <v/>
      </c>
      <c r="AP42" s="513" t="str">
        <f t="shared" si="11"/>
        <v/>
      </c>
      <c r="AQ42" s="231"/>
      <c r="AR42" s="150"/>
    </row>
    <row r="43" spans="1:44" x14ac:dyDescent="0.3">
      <c r="A43" s="31" t="str">
        <f>IF(E43="","",IF(ISNA(VLOOKUP($E43,'D-1 Off Site Habitat Baseline'!$D$1:$O$258,2,FALSE)),"",(VLOOKUP($E43,'D-1 Off Site Habitat Baseline'!$D$1:$O$258,2,FALSE))))</f>
        <v/>
      </c>
      <c r="B43" s="31" t="str">
        <f>IF(E43="","",IF(ISNA(VLOOKUP($E43,'D-1 Off Site Habitat Baseline'!$D$1:$O$258,3,FALSE)),"",(VLOOKUP($E43,'D-1 Off Site Habitat Baseline'!$D$1:$O$258,3,FALSE))))</f>
        <v/>
      </c>
      <c r="C43" s="31" t="str">
        <f>IFERROR(INDEX('G-8 Condition Look up'!$I$4:$I$130,MATCH(S43,'G-8 Condition Look up'!$A$4:$A$130,0)),"")</f>
        <v/>
      </c>
      <c r="E43" s="547" t="str">
        <f>'D-1 Off Site Habitat Baseline'!AL42</f>
        <v/>
      </c>
      <c r="F43" s="520" t="str">
        <f>IF(E43="","",IF(ISNA(VLOOKUP($E43,'D-1 Off Site Habitat Baseline'!$D$1:$O$258,4,FALSE)),"",(VLOOKUP($E43,'D-1 Off Site Habitat Baseline'!$D$1:$O$258,4,FALSE))))</f>
        <v/>
      </c>
      <c r="G43" s="520" t="str">
        <f>IF(E43="","",IF(ISNA(VLOOKUP($E43,'D-1 Off Site Habitat Baseline'!$D$1:$O$258,5,FALSE)),"",(VLOOKUP($E43,'D-1 Off Site Habitat Baseline'!$D$1:$O$258,5,FALSE))))</f>
        <v/>
      </c>
      <c r="H43" s="520" t="str">
        <f>IF(E43="","",IF(ISNA(VLOOKUP($E43,'D-1 Off Site Habitat Baseline'!$D$1:$O$258,6,FALSE)),"",(VLOOKUP($E43,'D-1 Off Site Habitat Baseline'!$D$1:$O$258,6,FALSE))))</f>
        <v/>
      </c>
      <c r="I43" s="520" t="str">
        <f>IF(E43="","",IF(ISNA(VLOOKUP($E43,'D-1 Off Site Habitat Baseline'!$D$1:$O$258,7,FALSE)),"",(VLOOKUP($E43,'D-1 Off Site Habitat Baseline'!$D$1:$O$258,7,FALSE))))</f>
        <v/>
      </c>
      <c r="J43" s="520" t="str">
        <f>IF(E43="","",IF(ISNA(VLOOKUP($E43,'D-1 Off Site Habitat Baseline'!$D$1:$O$258,8,FALSE)),"",(VLOOKUP($E43,'D-1 Off Site Habitat Baseline'!$D$1:$O$258,8,FALSE))))</f>
        <v/>
      </c>
      <c r="K43" s="520" t="str">
        <f>IF(E43="","",IF(ISNA(VLOOKUP($E43,'D-1 Off Site Habitat Baseline'!$D$1:$O$258,9,FALSE)),"",(VLOOKUP($E43,'D-1 Off Site Habitat Baseline'!$D$1:$O$258,9,FALSE))))</f>
        <v/>
      </c>
      <c r="L43" s="520" t="str">
        <f>IF(E43="","",IF(ISNA(VLOOKUP($E43,'D-1 Off Site Habitat Baseline'!$D$1:$O$258,11,FALSE)),"",(VLOOKUP($E43,'D-1 Off Site Habitat Baseline'!$D$1:$O$258,11,FALSE))))</f>
        <v/>
      </c>
      <c r="M43" s="520" t="str">
        <f>IF(E43="","",IF(ISNA(VLOOKUP($E43,'D-1 Off Site Habitat Baseline'!$D$1:$O$258,12,FALSE)),"",(VLOOKUP($E43,'D-1 Off Site Habitat Baseline'!$D$1:$O$258,12,FALSE))))</f>
        <v/>
      </c>
      <c r="N43" s="520" t="str">
        <f>IF(E43="","",IF(ISNA(VLOOKUP($E43,'D-1 Off Site Habitat Baseline'!$D$1:$X$258,14,FALSE)),"",(VLOOKUP($E43,'D-1 Off Site Habitat Baseline'!$D$1:$X$258,14,FALSE))))</f>
        <v/>
      </c>
      <c r="O43" s="524" t="str">
        <f>IF(E43="","",IF(ISNA(VLOOKUP($E43,'D-1 Off Site Habitat Baseline'!$D$1:$X$258,13,FALSE)),"",(VLOOKUP($E43,'D-1 Off Site Habitat Baseline'!$D$1:$X$258,13,FALSE))))</f>
        <v/>
      </c>
      <c r="P43" s="232" t="str">
        <f>IFERROR(INDEX('G-1 All Habitats'!$AG$3:$AG$15,MATCH(Q43,'G-1 All Habitats'!$AF$3:$AF$15,0)),"")</f>
        <v/>
      </c>
      <c r="Q43" s="228" t="str">
        <f t="shared" si="12"/>
        <v/>
      </c>
      <c r="R43" s="229" t="str">
        <f t="shared" si="13"/>
        <v/>
      </c>
      <c r="S43" s="233" t="str">
        <f>IFERROR(INDEX('G-1 All Habitats'!$B$3:$B$129,MATCH(R43,'G-1 All Habitats'!$A$3:$A$129,0)),"")</f>
        <v/>
      </c>
      <c r="T43" s="507" t="str">
        <f t="shared" si="5"/>
        <v/>
      </c>
      <c r="U43" s="524" t="str">
        <f t="shared" si="6"/>
        <v/>
      </c>
      <c r="V43" s="523" t="str">
        <f t="shared" si="2"/>
        <v/>
      </c>
      <c r="W43" s="520" t="str">
        <f>IF(S43="","",VLOOKUP(S43,'G-1 All Habitats'!$B$2:$M$129,10,FALSE))</f>
        <v/>
      </c>
      <c r="X43" s="520" t="str">
        <f>IFERROR(VLOOKUP(W43,'G-1 All Habitats'!$V$3:$W$7,2,FALSE),"")</f>
        <v/>
      </c>
      <c r="Y43" s="203"/>
      <c r="Z43" s="524" t="str">
        <f>IFERROR(INDEX('G-8 Condition Look up'!$A$3:$H$130,MATCH(S43,'G-8 Condition Look up'!$A$3:$A$130,0),MATCH(Y43,'G-8 Condition Look up'!$A$3:$H$3,0)),"")</f>
        <v/>
      </c>
      <c r="AA43" s="145"/>
      <c r="AB43" s="540" t="str">
        <f>IF(AA43="","",IF(VLOOKUP(AA43,'G-3 Multipliers'!$L$3:$N$6,2,FALSE)=0,"Spatial Data Missing ⚠",VLOOKUP(AA43,'G-3 Multipliers'!$L$3:$N$6,2,FALSE)))</f>
        <v/>
      </c>
      <c r="AC43" s="524" t="str">
        <f>IF(AA43="","",IF(VLOOKUP(AA43,'G-3 Multipliers'!$L$3:$N$6,3,FALSE)=0,"Spatial Data Missing ⚠",VLOOKUP(AA43,'G-3 Multipliers'!$L$3:$N$6,3,FALSE)))</f>
        <v/>
      </c>
      <c r="AD43" s="537" t="str">
        <f t="shared" si="3"/>
        <v/>
      </c>
      <c r="AE43" s="203"/>
      <c r="AF43" s="203"/>
      <c r="AG43" s="520" t="str">
        <f t="shared" si="7"/>
        <v/>
      </c>
      <c r="AH43" s="544" t="str">
        <f t="shared" si="8"/>
        <v/>
      </c>
      <c r="AI43" s="525" t="str">
        <f>IF(AH43="Check Data ⚠","Check Data ⚠",IFERROR(VLOOKUP(AH43,'G-4 Temporal multipliers'!$A$4:$C$36,3,FALSE),""))</f>
        <v/>
      </c>
      <c r="AJ43" s="537" t="str">
        <f>IF(S43="","",VLOOKUP(S43,'G-3 Multipliers'!$A$2:$E$129,4,FALSE))</f>
        <v/>
      </c>
      <c r="AK43" s="520" t="str">
        <f t="shared" si="9"/>
        <v/>
      </c>
      <c r="AL43" s="520" t="str">
        <f t="shared" si="10"/>
        <v/>
      </c>
      <c r="AM43" s="524" t="str">
        <f>IFERROR(IF(F43="","",IF(AH43="Check Data ⚠","Check Data ⚠",VLOOKUP(AL43, 'G-3 Multipliers'!$P$2:$Q$6,2,FALSE))),"")</f>
        <v/>
      </c>
      <c r="AN43" s="197"/>
      <c r="AO43" s="540" t="str">
        <f>IF(AN43="","",IF(VLOOKUP(AN43,'G-3 Multipliers'!$S$3:$T$9,2,FALSE)=0,"Spatial Data Missing ⚠",VLOOKUP(AN43,'G-3 Multipliers'!$S$3:$T$9,2,FALSE)))</f>
        <v/>
      </c>
      <c r="AP43" s="513" t="str">
        <f t="shared" si="11"/>
        <v/>
      </c>
      <c r="AQ43" s="231"/>
      <c r="AR43" s="150"/>
    </row>
    <row r="44" spans="1:44" x14ac:dyDescent="0.3">
      <c r="A44" s="31" t="str">
        <f>IF(E44="","",IF(ISNA(VLOOKUP($E44,'D-1 Off Site Habitat Baseline'!$D$1:$O$258,2,FALSE)),"",(VLOOKUP($E44,'D-1 Off Site Habitat Baseline'!$D$1:$O$258,2,FALSE))))</f>
        <v/>
      </c>
      <c r="B44" s="31" t="str">
        <f>IF(E44="","",IF(ISNA(VLOOKUP($E44,'D-1 Off Site Habitat Baseline'!$D$1:$O$258,3,FALSE)),"",(VLOOKUP($E44,'D-1 Off Site Habitat Baseline'!$D$1:$O$258,3,FALSE))))</f>
        <v/>
      </c>
      <c r="C44" s="31" t="str">
        <f>IFERROR(INDEX('G-8 Condition Look up'!$I$4:$I$130,MATCH(S44,'G-8 Condition Look up'!$A$4:$A$130,0)),"")</f>
        <v/>
      </c>
      <c r="E44" s="547" t="str">
        <f>'D-1 Off Site Habitat Baseline'!AL43</f>
        <v/>
      </c>
      <c r="F44" s="520" t="str">
        <f>IF(E44="","",IF(ISNA(VLOOKUP($E44,'D-1 Off Site Habitat Baseline'!$D$1:$O$258,4,FALSE)),"",(VLOOKUP($E44,'D-1 Off Site Habitat Baseline'!$D$1:$O$258,4,FALSE))))</f>
        <v/>
      </c>
      <c r="G44" s="520" t="str">
        <f>IF(E44="","",IF(ISNA(VLOOKUP($E44,'D-1 Off Site Habitat Baseline'!$D$1:$O$258,5,FALSE)),"",(VLOOKUP($E44,'D-1 Off Site Habitat Baseline'!$D$1:$O$258,5,FALSE))))</f>
        <v/>
      </c>
      <c r="H44" s="520" t="str">
        <f>IF(E44="","",IF(ISNA(VLOOKUP($E44,'D-1 Off Site Habitat Baseline'!$D$1:$O$258,6,FALSE)),"",(VLOOKUP($E44,'D-1 Off Site Habitat Baseline'!$D$1:$O$258,6,FALSE))))</f>
        <v/>
      </c>
      <c r="I44" s="520" t="str">
        <f>IF(E44="","",IF(ISNA(VLOOKUP($E44,'D-1 Off Site Habitat Baseline'!$D$1:$O$258,7,FALSE)),"",(VLOOKUP($E44,'D-1 Off Site Habitat Baseline'!$D$1:$O$258,7,FALSE))))</f>
        <v/>
      </c>
      <c r="J44" s="520" t="str">
        <f>IF(E44="","",IF(ISNA(VLOOKUP($E44,'D-1 Off Site Habitat Baseline'!$D$1:$O$258,8,FALSE)),"",(VLOOKUP($E44,'D-1 Off Site Habitat Baseline'!$D$1:$O$258,8,FALSE))))</f>
        <v/>
      </c>
      <c r="K44" s="520" t="str">
        <f>IF(E44="","",IF(ISNA(VLOOKUP($E44,'D-1 Off Site Habitat Baseline'!$D$1:$O$258,9,FALSE)),"",(VLOOKUP($E44,'D-1 Off Site Habitat Baseline'!$D$1:$O$258,9,FALSE))))</f>
        <v/>
      </c>
      <c r="L44" s="520" t="str">
        <f>IF(E44="","",IF(ISNA(VLOOKUP($E44,'D-1 Off Site Habitat Baseline'!$D$1:$O$258,11,FALSE)),"",(VLOOKUP($E44,'D-1 Off Site Habitat Baseline'!$D$1:$O$258,11,FALSE))))</f>
        <v/>
      </c>
      <c r="M44" s="520" t="str">
        <f>IF(E44="","",IF(ISNA(VLOOKUP($E44,'D-1 Off Site Habitat Baseline'!$D$1:$O$258,12,FALSE)),"",(VLOOKUP($E44,'D-1 Off Site Habitat Baseline'!$D$1:$O$258,12,FALSE))))</f>
        <v/>
      </c>
      <c r="N44" s="520" t="str">
        <f>IF(E44="","",IF(ISNA(VLOOKUP($E44,'D-1 Off Site Habitat Baseline'!$D$1:$X$258,14,FALSE)),"",(VLOOKUP($E44,'D-1 Off Site Habitat Baseline'!$D$1:$X$258,14,FALSE))))</f>
        <v/>
      </c>
      <c r="O44" s="524" t="str">
        <f>IF(E44="","",IF(ISNA(VLOOKUP($E44,'D-1 Off Site Habitat Baseline'!$D$1:$X$258,13,FALSE)),"",(VLOOKUP($E44,'D-1 Off Site Habitat Baseline'!$D$1:$X$258,13,FALSE))))</f>
        <v/>
      </c>
      <c r="P44" s="232" t="str">
        <f>IFERROR(INDEX('G-1 All Habitats'!$AG$3:$AG$15,MATCH(Q44,'G-1 All Habitats'!$AF$3:$AF$15,0)),"")</f>
        <v/>
      </c>
      <c r="Q44" s="228" t="str">
        <f t="shared" si="12"/>
        <v/>
      </c>
      <c r="R44" s="229" t="str">
        <f t="shared" si="13"/>
        <v/>
      </c>
      <c r="S44" s="233" t="str">
        <f>IFERROR(INDEX('G-1 All Habitats'!$B$3:$B$129,MATCH(R44,'G-1 All Habitats'!$A$3:$A$129,0)),"")</f>
        <v/>
      </c>
      <c r="T44" s="507" t="str">
        <f t="shared" si="5"/>
        <v/>
      </c>
      <c r="U44" s="524" t="str">
        <f t="shared" si="6"/>
        <v/>
      </c>
      <c r="V44" s="523" t="str">
        <f t="shared" si="2"/>
        <v/>
      </c>
      <c r="W44" s="520" t="str">
        <f>IF(S44="","",VLOOKUP(S44,'G-1 All Habitats'!$B$2:$M$129,10,FALSE))</f>
        <v/>
      </c>
      <c r="X44" s="520" t="str">
        <f>IFERROR(VLOOKUP(W44,'G-1 All Habitats'!$V$3:$W$7,2,FALSE),"")</f>
        <v/>
      </c>
      <c r="Y44" s="203"/>
      <c r="Z44" s="524" t="str">
        <f>IFERROR(INDEX('G-8 Condition Look up'!$A$3:$H$130,MATCH(S44,'G-8 Condition Look up'!$A$3:$A$130,0),MATCH(Y44,'G-8 Condition Look up'!$A$3:$H$3,0)),"")</f>
        <v/>
      </c>
      <c r="AA44" s="145"/>
      <c r="AB44" s="540" t="str">
        <f>IF(AA44="","",IF(VLOOKUP(AA44,'G-3 Multipliers'!$L$3:$N$6,2,FALSE)=0,"Spatial Data Missing ⚠",VLOOKUP(AA44,'G-3 Multipliers'!$L$3:$N$6,2,FALSE)))</f>
        <v/>
      </c>
      <c r="AC44" s="524" t="str">
        <f>IF(AA44="","",IF(VLOOKUP(AA44,'G-3 Multipliers'!$L$3:$N$6,3,FALSE)=0,"Spatial Data Missing ⚠",VLOOKUP(AA44,'G-3 Multipliers'!$L$3:$N$6,3,FALSE)))</f>
        <v/>
      </c>
      <c r="AD44" s="537" t="str">
        <f t="shared" si="3"/>
        <v/>
      </c>
      <c r="AE44" s="203"/>
      <c r="AF44" s="203"/>
      <c r="AG44" s="520" t="str">
        <f t="shared" si="7"/>
        <v/>
      </c>
      <c r="AH44" s="544" t="str">
        <f t="shared" si="8"/>
        <v/>
      </c>
      <c r="AI44" s="525" t="str">
        <f>IF(AH44="Check Data ⚠","Check Data ⚠",IFERROR(VLOOKUP(AH44,'G-4 Temporal multipliers'!$A$4:$C$36,3,FALSE),""))</f>
        <v/>
      </c>
      <c r="AJ44" s="537" t="str">
        <f>IF(S44="","",VLOOKUP(S44,'G-3 Multipliers'!$A$2:$E$129,4,FALSE))</f>
        <v/>
      </c>
      <c r="AK44" s="520" t="str">
        <f t="shared" si="9"/>
        <v/>
      </c>
      <c r="AL44" s="520" t="str">
        <f t="shared" si="10"/>
        <v/>
      </c>
      <c r="AM44" s="524" t="str">
        <f>IFERROR(IF(F44="","",IF(AH44="Check Data ⚠","Check Data ⚠",VLOOKUP(AL44, 'G-3 Multipliers'!$P$2:$Q$6,2,FALSE))),"")</f>
        <v/>
      </c>
      <c r="AN44" s="197"/>
      <c r="AO44" s="540" t="str">
        <f>IF(AN44="","",IF(VLOOKUP(AN44,'G-3 Multipliers'!$S$3:$T$9,2,FALSE)=0,"Spatial Data Missing ⚠",VLOOKUP(AN44,'G-3 Multipliers'!$S$3:$T$9,2,FALSE)))</f>
        <v/>
      </c>
      <c r="AP44" s="513" t="str">
        <f t="shared" si="11"/>
        <v/>
      </c>
      <c r="AQ44" s="231"/>
      <c r="AR44" s="150"/>
    </row>
    <row r="45" spans="1:44" x14ac:dyDescent="0.3">
      <c r="A45" s="31" t="str">
        <f>IF(E45="","",IF(ISNA(VLOOKUP($E45,'D-1 Off Site Habitat Baseline'!$D$1:$O$258,2,FALSE)),"",(VLOOKUP($E45,'D-1 Off Site Habitat Baseline'!$D$1:$O$258,2,FALSE))))</f>
        <v/>
      </c>
      <c r="B45" s="31" t="str">
        <f>IF(E45="","",IF(ISNA(VLOOKUP($E45,'D-1 Off Site Habitat Baseline'!$D$1:$O$258,3,FALSE)),"",(VLOOKUP($E45,'D-1 Off Site Habitat Baseline'!$D$1:$O$258,3,FALSE))))</f>
        <v/>
      </c>
      <c r="C45" s="31" t="str">
        <f>IFERROR(INDEX('G-8 Condition Look up'!$I$4:$I$130,MATCH(S45,'G-8 Condition Look up'!$A$4:$A$130,0)),"")</f>
        <v/>
      </c>
      <c r="E45" s="547" t="str">
        <f>'D-1 Off Site Habitat Baseline'!AL44</f>
        <v/>
      </c>
      <c r="F45" s="520" t="str">
        <f>IF(E45="","",IF(ISNA(VLOOKUP($E45,'D-1 Off Site Habitat Baseline'!$D$1:$O$258,4,FALSE)),"",(VLOOKUP($E45,'D-1 Off Site Habitat Baseline'!$D$1:$O$258,4,FALSE))))</f>
        <v/>
      </c>
      <c r="G45" s="520" t="str">
        <f>IF(E45="","",IF(ISNA(VLOOKUP($E45,'D-1 Off Site Habitat Baseline'!$D$1:$O$258,5,FALSE)),"",(VLOOKUP($E45,'D-1 Off Site Habitat Baseline'!$D$1:$O$258,5,FALSE))))</f>
        <v/>
      </c>
      <c r="H45" s="520" t="str">
        <f>IF(E45="","",IF(ISNA(VLOOKUP($E45,'D-1 Off Site Habitat Baseline'!$D$1:$O$258,6,FALSE)),"",(VLOOKUP($E45,'D-1 Off Site Habitat Baseline'!$D$1:$O$258,6,FALSE))))</f>
        <v/>
      </c>
      <c r="I45" s="520" t="str">
        <f>IF(E45="","",IF(ISNA(VLOOKUP($E45,'D-1 Off Site Habitat Baseline'!$D$1:$O$258,7,FALSE)),"",(VLOOKUP($E45,'D-1 Off Site Habitat Baseline'!$D$1:$O$258,7,FALSE))))</f>
        <v/>
      </c>
      <c r="J45" s="520" t="str">
        <f>IF(E45="","",IF(ISNA(VLOOKUP($E45,'D-1 Off Site Habitat Baseline'!$D$1:$O$258,8,FALSE)),"",(VLOOKUP($E45,'D-1 Off Site Habitat Baseline'!$D$1:$O$258,8,FALSE))))</f>
        <v/>
      </c>
      <c r="K45" s="520" t="str">
        <f>IF(E45="","",IF(ISNA(VLOOKUP($E45,'D-1 Off Site Habitat Baseline'!$D$1:$O$258,9,FALSE)),"",(VLOOKUP($E45,'D-1 Off Site Habitat Baseline'!$D$1:$O$258,9,FALSE))))</f>
        <v/>
      </c>
      <c r="L45" s="520" t="str">
        <f>IF(E45="","",IF(ISNA(VLOOKUP($E45,'D-1 Off Site Habitat Baseline'!$D$1:$O$258,11,FALSE)),"",(VLOOKUP($E45,'D-1 Off Site Habitat Baseline'!$D$1:$O$258,11,FALSE))))</f>
        <v/>
      </c>
      <c r="M45" s="520" t="str">
        <f>IF(E45="","",IF(ISNA(VLOOKUP($E45,'D-1 Off Site Habitat Baseline'!$D$1:$O$258,12,FALSE)),"",(VLOOKUP($E45,'D-1 Off Site Habitat Baseline'!$D$1:$O$258,12,FALSE))))</f>
        <v/>
      </c>
      <c r="N45" s="520" t="str">
        <f>IF(E45="","",IF(ISNA(VLOOKUP($E45,'D-1 Off Site Habitat Baseline'!$D$1:$X$258,14,FALSE)),"",(VLOOKUP($E45,'D-1 Off Site Habitat Baseline'!$D$1:$X$258,14,FALSE))))</f>
        <v/>
      </c>
      <c r="O45" s="524" t="str">
        <f>IF(E45="","",IF(ISNA(VLOOKUP($E45,'D-1 Off Site Habitat Baseline'!$D$1:$X$258,13,FALSE)),"",(VLOOKUP($E45,'D-1 Off Site Habitat Baseline'!$D$1:$X$258,13,FALSE))))</f>
        <v/>
      </c>
      <c r="P45" s="232" t="str">
        <f>IFERROR(INDEX('G-1 All Habitats'!$AG$3:$AG$15,MATCH(Q45,'G-1 All Habitats'!$AF$3:$AF$15,0)),"")</f>
        <v/>
      </c>
      <c r="Q45" s="228" t="str">
        <f t="shared" si="12"/>
        <v/>
      </c>
      <c r="R45" s="229" t="str">
        <f t="shared" si="13"/>
        <v/>
      </c>
      <c r="S45" s="233" t="str">
        <f>IFERROR(INDEX('G-1 All Habitats'!$B$3:$B$129,MATCH(R45,'G-1 All Habitats'!$A$3:$A$129,0)),"")</f>
        <v/>
      </c>
      <c r="T45" s="507" t="str">
        <f t="shared" si="5"/>
        <v/>
      </c>
      <c r="U45" s="524" t="str">
        <f t="shared" si="6"/>
        <v/>
      </c>
      <c r="V45" s="523" t="str">
        <f t="shared" si="2"/>
        <v/>
      </c>
      <c r="W45" s="520" t="str">
        <f>IF(S45="","",VLOOKUP(S45,'G-1 All Habitats'!$B$2:$M$129,10,FALSE))</f>
        <v/>
      </c>
      <c r="X45" s="520" t="str">
        <f>IFERROR(VLOOKUP(W45,'G-1 All Habitats'!$V$3:$W$7,2,FALSE),"")</f>
        <v/>
      </c>
      <c r="Y45" s="203"/>
      <c r="Z45" s="524" t="str">
        <f>IFERROR(INDEX('G-8 Condition Look up'!$A$3:$H$130,MATCH(S45,'G-8 Condition Look up'!$A$3:$A$130,0),MATCH(Y45,'G-8 Condition Look up'!$A$3:$H$3,0)),"")</f>
        <v/>
      </c>
      <c r="AA45" s="145"/>
      <c r="AB45" s="540" t="str">
        <f>IF(AA45="","",IF(VLOOKUP(AA45,'G-3 Multipliers'!$L$3:$N$6,2,FALSE)=0,"Spatial Data Missing ⚠",VLOOKUP(AA45,'G-3 Multipliers'!$L$3:$N$6,2,FALSE)))</f>
        <v/>
      </c>
      <c r="AC45" s="524" t="str">
        <f>IF(AA45="","",IF(VLOOKUP(AA45,'G-3 Multipliers'!$L$3:$N$6,3,FALSE)=0,"Spatial Data Missing ⚠",VLOOKUP(AA45,'G-3 Multipliers'!$L$3:$N$6,3,FALSE)))</f>
        <v/>
      </c>
      <c r="AD45" s="537" t="str">
        <f t="shared" si="3"/>
        <v/>
      </c>
      <c r="AE45" s="203"/>
      <c r="AF45" s="203"/>
      <c r="AG45" s="520" t="str">
        <f t="shared" si="7"/>
        <v/>
      </c>
      <c r="AH45" s="544" t="str">
        <f t="shared" si="8"/>
        <v/>
      </c>
      <c r="AI45" s="525" t="str">
        <f>IF(AH45="Check Data ⚠","Check Data ⚠",IFERROR(VLOOKUP(AH45,'G-4 Temporal multipliers'!$A$4:$C$36,3,FALSE),""))</f>
        <v/>
      </c>
      <c r="AJ45" s="537" t="str">
        <f>IF(S45="","",VLOOKUP(S45,'G-3 Multipliers'!$A$2:$E$129,4,FALSE))</f>
        <v/>
      </c>
      <c r="AK45" s="520" t="str">
        <f t="shared" si="9"/>
        <v/>
      </c>
      <c r="AL45" s="520" t="str">
        <f t="shared" si="10"/>
        <v/>
      </c>
      <c r="AM45" s="524" t="str">
        <f>IFERROR(IF(F45="","",IF(AH45="Check Data ⚠","Check Data ⚠",VLOOKUP(AL45, 'G-3 Multipliers'!$P$2:$Q$6,2,FALSE))),"")</f>
        <v/>
      </c>
      <c r="AN45" s="197"/>
      <c r="AO45" s="540" t="str">
        <f>IF(AN45="","",IF(VLOOKUP(AN45,'G-3 Multipliers'!$S$3:$T$9,2,FALSE)=0,"Spatial Data Missing ⚠",VLOOKUP(AN45,'G-3 Multipliers'!$S$3:$T$9,2,FALSE)))</f>
        <v/>
      </c>
      <c r="AP45" s="513" t="str">
        <f t="shared" si="11"/>
        <v/>
      </c>
      <c r="AQ45" s="231"/>
      <c r="AR45" s="150"/>
    </row>
    <row r="46" spans="1:44" x14ac:dyDescent="0.3">
      <c r="A46" s="31" t="str">
        <f>IF(E46="","",IF(ISNA(VLOOKUP($E46,'D-1 Off Site Habitat Baseline'!$D$1:$O$258,2,FALSE)),"",(VLOOKUP($E46,'D-1 Off Site Habitat Baseline'!$D$1:$O$258,2,FALSE))))</f>
        <v/>
      </c>
      <c r="B46" s="31" t="str">
        <f>IF(E46="","",IF(ISNA(VLOOKUP($E46,'D-1 Off Site Habitat Baseline'!$D$1:$O$258,3,FALSE)),"",(VLOOKUP($E46,'D-1 Off Site Habitat Baseline'!$D$1:$O$258,3,FALSE))))</f>
        <v/>
      </c>
      <c r="C46" s="31" t="str">
        <f>IFERROR(INDEX('G-8 Condition Look up'!$I$4:$I$130,MATCH(S46,'G-8 Condition Look up'!$A$4:$A$130,0)),"")</f>
        <v/>
      </c>
      <c r="E46" s="547" t="str">
        <f>'D-1 Off Site Habitat Baseline'!AL45</f>
        <v/>
      </c>
      <c r="F46" s="520" t="str">
        <f>IF(E46="","",IF(ISNA(VLOOKUP($E46,'D-1 Off Site Habitat Baseline'!$D$1:$O$258,4,FALSE)),"",(VLOOKUP($E46,'D-1 Off Site Habitat Baseline'!$D$1:$O$258,4,FALSE))))</f>
        <v/>
      </c>
      <c r="G46" s="520" t="str">
        <f>IF(E46="","",IF(ISNA(VLOOKUP($E46,'D-1 Off Site Habitat Baseline'!$D$1:$O$258,5,FALSE)),"",(VLOOKUP($E46,'D-1 Off Site Habitat Baseline'!$D$1:$O$258,5,FALSE))))</f>
        <v/>
      </c>
      <c r="H46" s="520" t="str">
        <f>IF(E46="","",IF(ISNA(VLOOKUP($E46,'D-1 Off Site Habitat Baseline'!$D$1:$O$258,6,FALSE)),"",(VLOOKUP($E46,'D-1 Off Site Habitat Baseline'!$D$1:$O$258,6,FALSE))))</f>
        <v/>
      </c>
      <c r="I46" s="520" t="str">
        <f>IF(E46="","",IF(ISNA(VLOOKUP($E46,'D-1 Off Site Habitat Baseline'!$D$1:$O$258,7,FALSE)),"",(VLOOKUP($E46,'D-1 Off Site Habitat Baseline'!$D$1:$O$258,7,FALSE))))</f>
        <v/>
      </c>
      <c r="J46" s="520" t="str">
        <f>IF(E46="","",IF(ISNA(VLOOKUP($E46,'D-1 Off Site Habitat Baseline'!$D$1:$O$258,8,FALSE)),"",(VLOOKUP($E46,'D-1 Off Site Habitat Baseline'!$D$1:$O$258,8,FALSE))))</f>
        <v/>
      </c>
      <c r="K46" s="520" t="str">
        <f>IF(E46="","",IF(ISNA(VLOOKUP($E46,'D-1 Off Site Habitat Baseline'!$D$1:$O$258,9,FALSE)),"",(VLOOKUP($E46,'D-1 Off Site Habitat Baseline'!$D$1:$O$258,9,FALSE))))</f>
        <v/>
      </c>
      <c r="L46" s="520" t="str">
        <f>IF(E46="","",IF(ISNA(VLOOKUP($E46,'D-1 Off Site Habitat Baseline'!$D$1:$O$258,11,FALSE)),"",(VLOOKUP($E46,'D-1 Off Site Habitat Baseline'!$D$1:$O$258,11,FALSE))))</f>
        <v/>
      </c>
      <c r="M46" s="520" t="str">
        <f>IF(E46="","",IF(ISNA(VLOOKUP($E46,'D-1 Off Site Habitat Baseline'!$D$1:$O$258,12,FALSE)),"",(VLOOKUP($E46,'D-1 Off Site Habitat Baseline'!$D$1:$O$258,12,FALSE))))</f>
        <v/>
      </c>
      <c r="N46" s="520" t="str">
        <f>IF(E46="","",IF(ISNA(VLOOKUP($E46,'D-1 Off Site Habitat Baseline'!$D$1:$X$258,14,FALSE)),"",(VLOOKUP($E46,'D-1 Off Site Habitat Baseline'!$D$1:$X$258,14,FALSE))))</f>
        <v/>
      </c>
      <c r="O46" s="524" t="str">
        <f>IF(E46="","",IF(ISNA(VLOOKUP($E46,'D-1 Off Site Habitat Baseline'!$D$1:$X$258,13,FALSE)),"",(VLOOKUP($E46,'D-1 Off Site Habitat Baseline'!$D$1:$X$258,13,FALSE))))</f>
        <v/>
      </c>
      <c r="P46" s="232" t="str">
        <f>IFERROR(INDEX('G-1 All Habitats'!$AG$3:$AG$15,MATCH(Q46,'G-1 All Habitats'!$AF$3:$AF$15,0)),"")</f>
        <v/>
      </c>
      <c r="Q46" s="228" t="str">
        <f t="shared" si="12"/>
        <v/>
      </c>
      <c r="R46" s="229" t="str">
        <f t="shared" si="13"/>
        <v/>
      </c>
      <c r="S46" s="233" t="str">
        <f>IFERROR(INDEX('G-1 All Habitats'!$B$3:$B$129,MATCH(R46,'G-1 All Habitats'!$A$3:$A$129,0)),"")</f>
        <v/>
      </c>
      <c r="T46" s="507" t="str">
        <f t="shared" si="5"/>
        <v/>
      </c>
      <c r="U46" s="524" t="str">
        <f t="shared" si="6"/>
        <v/>
      </c>
      <c r="V46" s="523" t="str">
        <f t="shared" si="2"/>
        <v/>
      </c>
      <c r="W46" s="520" t="str">
        <f>IF(S46="","",VLOOKUP(S46,'G-1 All Habitats'!$B$2:$M$129,10,FALSE))</f>
        <v/>
      </c>
      <c r="X46" s="520" t="str">
        <f>IFERROR(VLOOKUP(W46,'G-1 All Habitats'!$V$3:$W$7,2,FALSE),"")</f>
        <v/>
      </c>
      <c r="Y46" s="203"/>
      <c r="Z46" s="524" t="str">
        <f>IFERROR(INDEX('G-8 Condition Look up'!$A$3:$H$130,MATCH(S46,'G-8 Condition Look up'!$A$3:$A$130,0),MATCH(Y46,'G-8 Condition Look up'!$A$3:$H$3,0)),"")</f>
        <v/>
      </c>
      <c r="AA46" s="145"/>
      <c r="AB46" s="540" t="str">
        <f>IF(AA46="","",IF(VLOOKUP(AA46,'G-3 Multipliers'!$L$3:$N$6,2,FALSE)=0,"Spatial Data Missing ⚠",VLOOKUP(AA46,'G-3 Multipliers'!$L$3:$N$6,2,FALSE)))</f>
        <v/>
      </c>
      <c r="AC46" s="524" t="str">
        <f>IF(AA46="","",IF(VLOOKUP(AA46,'G-3 Multipliers'!$L$3:$N$6,3,FALSE)=0,"Spatial Data Missing ⚠",VLOOKUP(AA46,'G-3 Multipliers'!$L$3:$N$6,3,FALSE)))</f>
        <v/>
      </c>
      <c r="AD46" s="537" t="str">
        <f t="shared" si="3"/>
        <v/>
      </c>
      <c r="AE46" s="203"/>
      <c r="AF46" s="203"/>
      <c r="AG46" s="520" t="str">
        <f t="shared" si="7"/>
        <v/>
      </c>
      <c r="AH46" s="544" t="str">
        <f t="shared" si="8"/>
        <v/>
      </c>
      <c r="AI46" s="525" t="str">
        <f>IF(AH46="Check Data ⚠","Check Data ⚠",IFERROR(VLOOKUP(AH46,'G-4 Temporal multipliers'!$A$4:$C$36,3,FALSE),""))</f>
        <v/>
      </c>
      <c r="AJ46" s="537" t="str">
        <f>IF(S46="","",VLOOKUP(S46,'G-3 Multipliers'!$A$2:$E$129,4,FALSE))</f>
        <v/>
      </c>
      <c r="AK46" s="520" t="str">
        <f t="shared" si="9"/>
        <v/>
      </c>
      <c r="AL46" s="520" t="str">
        <f t="shared" si="10"/>
        <v/>
      </c>
      <c r="AM46" s="524" t="str">
        <f>IFERROR(IF(F46="","",IF(AH46="Check Data ⚠","Check Data ⚠",VLOOKUP(AL46, 'G-3 Multipliers'!$P$2:$Q$6,2,FALSE))),"")</f>
        <v/>
      </c>
      <c r="AN46" s="197"/>
      <c r="AO46" s="540" t="str">
        <f>IF(AN46="","",IF(VLOOKUP(AN46,'G-3 Multipliers'!$S$3:$T$9,2,FALSE)=0,"Spatial Data Missing ⚠",VLOOKUP(AN46,'G-3 Multipliers'!$S$3:$T$9,2,FALSE)))</f>
        <v/>
      </c>
      <c r="AP46" s="513" t="str">
        <f t="shared" si="11"/>
        <v/>
      </c>
      <c r="AQ46" s="231"/>
      <c r="AR46" s="150"/>
    </row>
    <row r="47" spans="1:44" x14ac:dyDescent="0.3">
      <c r="A47" s="31" t="str">
        <f>IF(E47="","",IF(ISNA(VLOOKUP($E47,'D-1 Off Site Habitat Baseline'!$D$1:$O$258,2,FALSE)),"",(VLOOKUP($E47,'D-1 Off Site Habitat Baseline'!$D$1:$O$258,2,FALSE))))</f>
        <v/>
      </c>
      <c r="B47" s="31" t="str">
        <f>IF(E47="","",IF(ISNA(VLOOKUP($E47,'D-1 Off Site Habitat Baseline'!$D$1:$O$258,3,FALSE)),"",(VLOOKUP($E47,'D-1 Off Site Habitat Baseline'!$D$1:$O$258,3,FALSE))))</f>
        <v/>
      </c>
      <c r="C47" s="31" t="str">
        <f>IFERROR(INDEX('G-8 Condition Look up'!$I$4:$I$130,MATCH(S47,'G-8 Condition Look up'!$A$4:$A$130,0)),"")</f>
        <v/>
      </c>
      <c r="E47" s="547" t="str">
        <f>'D-1 Off Site Habitat Baseline'!AL46</f>
        <v/>
      </c>
      <c r="F47" s="520" t="str">
        <f>IF(E47="","",IF(ISNA(VLOOKUP($E47,'D-1 Off Site Habitat Baseline'!$D$1:$O$258,4,FALSE)),"",(VLOOKUP($E47,'D-1 Off Site Habitat Baseline'!$D$1:$O$258,4,FALSE))))</f>
        <v/>
      </c>
      <c r="G47" s="520" t="str">
        <f>IF(E47="","",IF(ISNA(VLOOKUP($E47,'D-1 Off Site Habitat Baseline'!$D$1:$O$258,5,FALSE)),"",(VLOOKUP($E47,'D-1 Off Site Habitat Baseline'!$D$1:$O$258,5,FALSE))))</f>
        <v/>
      </c>
      <c r="H47" s="520" t="str">
        <f>IF(E47="","",IF(ISNA(VLOOKUP($E47,'D-1 Off Site Habitat Baseline'!$D$1:$O$258,6,FALSE)),"",(VLOOKUP($E47,'D-1 Off Site Habitat Baseline'!$D$1:$O$258,6,FALSE))))</f>
        <v/>
      </c>
      <c r="I47" s="520" t="str">
        <f>IF(E47="","",IF(ISNA(VLOOKUP($E47,'D-1 Off Site Habitat Baseline'!$D$1:$O$258,7,FALSE)),"",(VLOOKUP($E47,'D-1 Off Site Habitat Baseline'!$D$1:$O$258,7,FALSE))))</f>
        <v/>
      </c>
      <c r="J47" s="520" t="str">
        <f>IF(E47="","",IF(ISNA(VLOOKUP($E47,'D-1 Off Site Habitat Baseline'!$D$1:$O$258,8,FALSE)),"",(VLOOKUP($E47,'D-1 Off Site Habitat Baseline'!$D$1:$O$258,8,FALSE))))</f>
        <v/>
      </c>
      <c r="K47" s="520" t="str">
        <f>IF(E47="","",IF(ISNA(VLOOKUP($E47,'D-1 Off Site Habitat Baseline'!$D$1:$O$258,9,FALSE)),"",(VLOOKUP($E47,'D-1 Off Site Habitat Baseline'!$D$1:$O$258,9,FALSE))))</f>
        <v/>
      </c>
      <c r="L47" s="520" t="str">
        <f>IF(E47="","",IF(ISNA(VLOOKUP($E47,'D-1 Off Site Habitat Baseline'!$D$1:$O$258,11,FALSE)),"",(VLOOKUP($E47,'D-1 Off Site Habitat Baseline'!$D$1:$O$258,11,FALSE))))</f>
        <v/>
      </c>
      <c r="M47" s="520" t="str">
        <f>IF(E47="","",IF(ISNA(VLOOKUP($E47,'D-1 Off Site Habitat Baseline'!$D$1:$O$258,12,FALSE)),"",(VLOOKUP($E47,'D-1 Off Site Habitat Baseline'!$D$1:$O$258,12,FALSE))))</f>
        <v/>
      </c>
      <c r="N47" s="520" t="str">
        <f>IF(E47="","",IF(ISNA(VLOOKUP($E47,'D-1 Off Site Habitat Baseline'!$D$1:$X$258,14,FALSE)),"",(VLOOKUP($E47,'D-1 Off Site Habitat Baseline'!$D$1:$X$258,14,FALSE))))</f>
        <v/>
      </c>
      <c r="O47" s="524" t="str">
        <f>IF(E47="","",IF(ISNA(VLOOKUP($E47,'D-1 Off Site Habitat Baseline'!$D$1:$X$258,13,FALSE)),"",(VLOOKUP($E47,'D-1 Off Site Habitat Baseline'!$D$1:$X$258,13,FALSE))))</f>
        <v/>
      </c>
      <c r="P47" s="232" t="str">
        <f>IFERROR(INDEX('G-1 All Habitats'!$AG$3:$AG$15,MATCH(Q47,'G-1 All Habitats'!$AF$3:$AF$15,0)),"")</f>
        <v/>
      </c>
      <c r="Q47" s="228" t="str">
        <f t="shared" si="12"/>
        <v/>
      </c>
      <c r="R47" s="229" t="str">
        <f t="shared" si="13"/>
        <v/>
      </c>
      <c r="S47" s="233" t="str">
        <f>IFERROR(INDEX('G-1 All Habitats'!$B$3:$B$129,MATCH(R47,'G-1 All Habitats'!$A$3:$A$129,0)),"")</f>
        <v/>
      </c>
      <c r="T47" s="507" t="str">
        <f t="shared" si="5"/>
        <v/>
      </c>
      <c r="U47" s="524" t="str">
        <f t="shared" si="6"/>
        <v/>
      </c>
      <c r="V47" s="523" t="str">
        <f t="shared" si="2"/>
        <v/>
      </c>
      <c r="W47" s="520" t="str">
        <f>IF(S47="","",VLOOKUP(S47,'G-1 All Habitats'!$B$2:$M$129,10,FALSE))</f>
        <v/>
      </c>
      <c r="X47" s="520" t="str">
        <f>IFERROR(VLOOKUP(W47,'G-1 All Habitats'!$V$3:$W$7,2,FALSE),"")</f>
        <v/>
      </c>
      <c r="Y47" s="203"/>
      <c r="Z47" s="524" t="str">
        <f>IFERROR(INDEX('G-8 Condition Look up'!$A$3:$H$130,MATCH(S47,'G-8 Condition Look up'!$A$3:$A$130,0),MATCH(Y47,'G-8 Condition Look up'!$A$3:$H$3,0)),"")</f>
        <v/>
      </c>
      <c r="AA47" s="145"/>
      <c r="AB47" s="540" t="str">
        <f>IF(AA47="","",IF(VLOOKUP(AA47,'G-3 Multipliers'!$L$3:$N$6,2,FALSE)=0,"Spatial Data Missing ⚠",VLOOKUP(AA47,'G-3 Multipliers'!$L$3:$N$6,2,FALSE)))</f>
        <v/>
      </c>
      <c r="AC47" s="524" t="str">
        <f>IF(AA47="","",IF(VLOOKUP(AA47,'G-3 Multipliers'!$L$3:$N$6,3,FALSE)=0,"Spatial Data Missing ⚠",VLOOKUP(AA47,'G-3 Multipliers'!$L$3:$N$6,3,FALSE)))</f>
        <v/>
      </c>
      <c r="AD47" s="537" t="str">
        <f t="shared" si="3"/>
        <v/>
      </c>
      <c r="AE47" s="203"/>
      <c r="AF47" s="203"/>
      <c r="AG47" s="520" t="str">
        <f t="shared" si="7"/>
        <v/>
      </c>
      <c r="AH47" s="544" t="str">
        <f t="shared" si="8"/>
        <v/>
      </c>
      <c r="AI47" s="525" t="str">
        <f>IF(AH47="Check Data ⚠","Check Data ⚠",IFERROR(VLOOKUP(AH47,'G-4 Temporal multipliers'!$A$4:$C$36,3,FALSE),""))</f>
        <v/>
      </c>
      <c r="AJ47" s="537" t="str">
        <f>IF(S47="","",VLOOKUP(S47,'G-3 Multipliers'!$A$2:$E$129,4,FALSE))</f>
        <v/>
      </c>
      <c r="AK47" s="520" t="str">
        <f t="shared" si="9"/>
        <v/>
      </c>
      <c r="AL47" s="520" t="str">
        <f t="shared" si="10"/>
        <v/>
      </c>
      <c r="AM47" s="524" t="str">
        <f>IFERROR(IF(F47="","",IF(AH47="Check Data ⚠","Check Data ⚠",VLOOKUP(AL47, 'G-3 Multipliers'!$P$2:$Q$6,2,FALSE))),"")</f>
        <v/>
      </c>
      <c r="AN47" s="197"/>
      <c r="AO47" s="540" t="str">
        <f>IF(AN47="","",IF(VLOOKUP(AN47,'G-3 Multipliers'!$S$3:$T$9,2,FALSE)=0,"Spatial Data Missing ⚠",VLOOKUP(AN47,'G-3 Multipliers'!$S$3:$T$9,2,FALSE)))</f>
        <v/>
      </c>
      <c r="AP47" s="513" t="str">
        <f t="shared" si="11"/>
        <v/>
      </c>
      <c r="AQ47" s="231"/>
      <c r="AR47" s="150"/>
    </row>
    <row r="48" spans="1:44" x14ac:dyDescent="0.3">
      <c r="A48" s="31" t="str">
        <f>IF(E48="","",IF(ISNA(VLOOKUP($E48,'D-1 Off Site Habitat Baseline'!$D$1:$O$258,2,FALSE)),"",(VLOOKUP($E48,'D-1 Off Site Habitat Baseline'!$D$1:$O$258,2,FALSE))))</f>
        <v/>
      </c>
      <c r="B48" s="31" t="str">
        <f>IF(E48="","",IF(ISNA(VLOOKUP($E48,'D-1 Off Site Habitat Baseline'!$D$1:$O$258,3,FALSE)),"",(VLOOKUP($E48,'D-1 Off Site Habitat Baseline'!$D$1:$O$258,3,FALSE))))</f>
        <v/>
      </c>
      <c r="C48" s="31" t="str">
        <f>IFERROR(INDEX('G-8 Condition Look up'!$I$4:$I$130,MATCH(S48,'G-8 Condition Look up'!$A$4:$A$130,0)),"")</f>
        <v/>
      </c>
      <c r="E48" s="547" t="str">
        <f>'D-1 Off Site Habitat Baseline'!AL47</f>
        <v/>
      </c>
      <c r="F48" s="520" t="str">
        <f>IF(E48="","",IF(ISNA(VLOOKUP($E48,'D-1 Off Site Habitat Baseline'!$D$1:$O$258,4,FALSE)),"",(VLOOKUP($E48,'D-1 Off Site Habitat Baseline'!$D$1:$O$258,4,FALSE))))</f>
        <v/>
      </c>
      <c r="G48" s="520" t="str">
        <f>IF(E48="","",IF(ISNA(VLOOKUP($E48,'D-1 Off Site Habitat Baseline'!$D$1:$O$258,5,FALSE)),"",(VLOOKUP($E48,'D-1 Off Site Habitat Baseline'!$D$1:$O$258,5,FALSE))))</f>
        <v/>
      </c>
      <c r="H48" s="520" t="str">
        <f>IF(E48="","",IF(ISNA(VLOOKUP($E48,'D-1 Off Site Habitat Baseline'!$D$1:$O$258,6,FALSE)),"",(VLOOKUP($E48,'D-1 Off Site Habitat Baseline'!$D$1:$O$258,6,FALSE))))</f>
        <v/>
      </c>
      <c r="I48" s="520" t="str">
        <f>IF(E48="","",IF(ISNA(VLOOKUP($E48,'D-1 Off Site Habitat Baseline'!$D$1:$O$258,7,FALSE)),"",(VLOOKUP($E48,'D-1 Off Site Habitat Baseline'!$D$1:$O$258,7,FALSE))))</f>
        <v/>
      </c>
      <c r="J48" s="520" t="str">
        <f>IF(E48="","",IF(ISNA(VLOOKUP($E48,'D-1 Off Site Habitat Baseline'!$D$1:$O$258,8,FALSE)),"",(VLOOKUP($E48,'D-1 Off Site Habitat Baseline'!$D$1:$O$258,8,FALSE))))</f>
        <v/>
      </c>
      <c r="K48" s="520" t="str">
        <f>IF(E48="","",IF(ISNA(VLOOKUP($E48,'D-1 Off Site Habitat Baseline'!$D$1:$O$258,9,FALSE)),"",(VLOOKUP($E48,'D-1 Off Site Habitat Baseline'!$D$1:$O$258,9,FALSE))))</f>
        <v/>
      </c>
      <c r="L48" s="520" t="str">
        <f>IF(E48="","",IF(ISNA(VLOOKUP($E48,'D-1 Off Site Habitat Baseline'!$D$1:$O$258,11,FALSE)),"",(VLOOKUP($E48,'D-1 Off Site Habitat Baseline'!$D$1:$O$258,11,FALSE))))</f>
        <v/>
      </c>
      <c r="M48" s="520" t="str">
        <f>IF(E48="","",IF(ISNA(VLOOKUP($E48,'D-1 Off Site Habitat Baseline'!$D$1:$O$258,12,FALSE)),"",(VLOOKUP($E48,'D-1 Off Site Habitat Baseline'!$D$1:$O$258,12,FALSE))))</f>
        <v/>
      </c>
      <c r="N48" s="520" t="str">
        <f>IF(E48="","",IF(ISNA(VLOOKUP($E48,'D-1 Off Site Habitat Baseline'!$D$1:$X$258,14,FALSE)),"",(VLOOKUP($E48,'D-1 Off Site Habitat Baseline'!$D$1:$X$258,14,FALSE))))</f>
        <v/>
      </c>
      <c r="O48" s="524" t="str">
        <f>IF(E48="","",IF(ISNA(VLOOKUP($E48,'D-1 Off Site Habitat Baseline'!$D$1:$X$258,13,FALSE)),"",(VLOOKUP($E48,'D-1 Off Site Habitat Baseline'!$D$1:$X$258,13,FALSE))))</f>
        <v/>
      </c>
      <c r="P48" s="232" t="str">
        <f>IFERROR(INDEX('G-1 All Habitats'!$AG$3:$AG$15,MATCH(Q48,'G-1 All Habitats'!$AF$3:$AF$15,0)),"")</f>
        <v/>
      </c>
      <c r="Q48" s="228" t="str">
        <f t="shared" si="12"/>
        <v/>
      </c>
      <c r="R48" s="229" t="str">
        <f t="shared" si="13"/>
        <v/>
      </c>
      <c r="S48" s="233" t="str">
        <f>IFERROR(INDEX('G-1 All Habitats'!$B$3:$B$129,MATCH(R48,'G-1 All Habitats'!$A$3:$A$129,0)),"")</f>
        <v/>
      </c>
      <c r="T48" s="507" t="str">
        <f t="shared" si="5"/>
        <v/>
      </c>
      <c r="U48" s="524" t="str">
        <f t="shared" si="6"/>
        <v/>
      </c>
      <c r="V48" s="523" t="str">
        <f t="shared" si="2"/>
        <v/>
      </c>
      <c r="W48" s="520" t="str">
        <f>IF(S48="","",VLOOKUP(S48,'G-1 All Habitats'!$B$2:$M$129,10,FALSE))</f>
        <v/>
      </c>
      <c r="X48" s="520" t="str">
        <f>IFERROR(VLOOKUP(W48,'G-1 All Habitats'!$V$3:$W$7,2,FALSE),"")</f>
        <v/>
      </c>
      <c r="Y48" s="203"/>
      <c r="Z48" s="524" t="str">
        <f>IFERROR(INDEX('G-8 Condition Look up'!$A$3:$H$130,MATCH(S48,'G-8 Condition Look up'!$A$3:$A$130,0),MATCH(Y48,'G-8 Condition Look up'!$A$3:$H$3,0)),"")</f>
        <v/>
      </c>
      <c r="AA48" s="145"/>
      <c r="AB48" s="540" t="str">
        <f>IF(AA48="","",IF(VLOOKUP(AA48,'G-3 Multipliers'!$L$3:$N$6,2,FALSE)=0,"Spatial Data Missing ⚠",VLOOKUP(AA48,'G-3 Multipliers'!$L$3:$N$6,2,FALSE)))</f>
        <v/>
      </c>
      <c r="AC48" s="524" t="str">
        <f>IF(AA48="","",IF(VLOOKUP(AA48,'G-3 Multipliers'!$L$3:$N$6,3,FALSE)=0,"Spatial Data Missing ⚠",VLOOKUP(AA48,'G-3 Multipliers'!$L$3:$N$6,3,FALSE)))</f>
        <v/>
      </c>
      <c r="AD48" s="537" t="str">
        <f t="shared" si="3"/>
        <v/>
      </c>
      <c r="AE48" s="203"/>
      <c r="AF48" s="203"/>
      <c r="AG48" s="520" t="str">
        <f t="shared" si="7"/>
        <v/>
      </c>
      <c r="AH48" s="544" t="str">
        <f t="shared" si="8"/>
        <v/>
      </c>
      <c r="AI48" s="525" t="str">
        <f>IF(AH48="Check Data ⚠","Check Data ⚠",IFERROR(VLOOKUP(AH48,'G-4 Temporal multipliers'!$A$4:$C$36,3,FALSE),""))</f>
        <v/>
      </c>
      <c r="AJ48" s="537" t="str">
        <f>IF(S48="","",VLOOKUP(S48,'G-3 Multipliers'!$A$2:$E$129,4,FALSE))</f>
        <v/>
      </c>
      <c r="AK48" s="520" t="str">
        <f t="shared" si="9"/>
        <v/>
      </c>
      <c r="AL48" s="520" t="str">
        <f t="shared" si="10"/>
        <v/>
      </c>
      <c r="AM48" s="524" t="str">
        <f>IFERROR(IF(F48="","",IF(AH48="Check Data ⚠","Check Data ⚠",VLOOKUP(AL48, 'G-3 Multipliers'!$P$2:$Q$6,2,FALSE))),"")</f>
        <v/>
      </c>
      <c r="AN48" s="197"/>
      <c r="AO48" s="540" t="str">
        <f>IF(AN48="","",IF(VLOOKUP(AN48,'G-3 Multipliers'!$S$3:$T$9,2,FALSE)=0,"Spatial Data Missing ⚠",VLOOKUP(AN48,'G-3 Multipliers'!$S$3:$T$9,2,FALSE)))</f>
        <v/>
      </c>
      <c r="AP48" s="513" t="str">
        <f t="shared" si="11"/>
        <v/>
      </c>
      <c r="AQ48" s="231"/>
      <c r="AR48" s="150"/>
    </row>
    <row r="49" spans="1:44" x14ac:dyDescent="0.3">
      <c r="A49" s="31" t="str">
        <f>IF(E49="","",IF(ISNA(VLOOKUP($E49,'D-1 Off Site Habitat Baseline'!$D$1:$O$258,2,FALSE)),"",(VLOOKUP($E49,'D-1 Off Site Habitat Baseline'!$D$1:$O$258,2,FALSE))))</f>
        <v/>
      </c>
      <c r="B49" s="31" t="str">
        <f>IF(E49="","",IF(ISNA(VLOOKUP($E49,'D-1 Off Site Habitat Baseline'!$D$1:$O$258,3,FALSE)),"",(VLOOKUP($E49,'D-1 Off Site Habitat Baseline'!$D$1:$O$258,3,FALSE))))</f>
        <v/>
      </c>
      <c r="C49" s="31" t="str">
        <f>IFERROR(INDEX('G-8 Condition Look up'!$I$4:$I$130,MATCH(S49,'G-8 Condition Look up'!$A$4:$A$130,0)),"")</f>
        <v/>
      </c>
      <c r="E49" s="547" t="str">
        <f>'D-1 Off Site Habitat Baseline'!AL48</f>
        <v/>
      </c>
      <c r="F49" s="520" t="str">
        <f>IF(E49="","",IF(ISNA(VLOOKUP($E49,'D-1 Off Site Habitat Baseline'!$D$1:$O$258,4,FALSE)),"",(VLOOKUP($E49,'D-1 Off Site Habitat Baseline'!$D$1:$O$258,4,FALSE))))</f>
        <v/>
      </c>
      <c r="G49" s="520" t="str">
        <f>IF(E49="","",IF(ISNA(VLOOKUP($E49,'D-1 Off Site Habitat Baseline'!$D$1:$O$258,5,FALSE)),"",(VLOOKUP($E49,'D-1 Off Site Habitat Baseline'!$D$1:$O$258,5,FALSE))))</f>
        <v/>
      </c>
      <c r="H49" s="520" t="str">
        <f>IF(E49="","",IF(ISNA(VLOOKUP($E49,'D-1 Off Site Habitat Baseline'!$D$1:$O$258,6,FALSE)),"",(VLOOKUP($E49,'D-1 Off Site Habitat Baseline'!$D$1:$O$258,6,FALSE))))</f>
        <v/>
      </c>
      <c r="I49" s="520" t="str">
        <f>IF(E49="","",IF(ISNA(VLOOKUP($E49,'D-1 Off Site Habitat Baseline'!$D$1:$O$258,7,FALSE)),"",(VLOOKUP($E49,'D-1 Off Site Habitat Baseline'!$D$1:$O$258,7,FALSE))))</f>
        <v/>
      </c>
      <c r="J49" s="520" t="str">
        <f>IF(E49="","",IF(ISNA(VLOOKUP($E49,'D-1 Off Site Habitat Baseline'!$D$1:$O$258,8,FALSE)),"",(VLOOKUP($E49,'D-1 Off Site Habitat Baseline'!$D$1:$O$258,8,FALSE))))</f>
        <v/>
      </c>
      <c r="K49" s="520" t="str">
        <f>IF(E49="","",IF(ISNA(VLOOKUP($E49,'D-1 Off Site Habitat Baseline'!$D$1:$O$258,9,FALSE)),"",(VLOOKUP($E49,'D-1 Off Site Habitat Baseline'!$D$1:$O$258,9,FALSE))))</f>
        <v/>
      </c>
      <c r="L49" s="520" t="str">
        <f>IF(E49="","",IF(ISNA(VLOOKUP($E49,'D-1 Off Site Habitat Baseline'!$D$1:$O$258,11,FALSE)),"",(VLOOKUP($E49,'D-1 Off Site Habitat Baseline'!$D$1:$O$258,11,FALSE))))</f>
        <v/>
      </c>
      <c r="M49" s="520" t="str">
        <f>IF(E49="","",IF(ISNA(VLOOKUP($E49,'D-1 Off Site Habitat Baseline'!$D$1:$O$258,12,FALSE)),"",(VLOOKUP($E49,'D-1 Off Site Habitat Baseline'!$D$1:$O$258,12,FALSE))))</f>
        <v/>
      </c>
      <c r="N49" s="520" t="str">
        <f>IF(E49="","",IF(ISNA(VLOOKUP($E49,'D-1 Off Site Habitat Baseline'!$D$1:$X$258,14,FALSE)),"",(VLOOKUP($E49,'D-1 Off Site Habitat Baseline'!$D$1:$X$258,14,FALSE))))</f>
        <v/>
      </c>
      <c r="O49" s="524" t="str">
        <f>IF(E49="","",IF(ISNA(VLOOKUP($E49,'D-1 Off Site Habitat Baseline'!$D$1:$X$258,13,FALSE)),"",(VLOOKUP($E49,'D-1 Off Site Habitat Baseline'!$D$1:$X$258,13,FALSE))))</f>
        <v/>
      </c>
      <c r="P49" s="232" t="str">
        <f>IFERROR(INDEX('G-1 All Habitats'!$AG$3:$AG$15,MATCH(Q49,'G-1 All Habitats'!$AF$3:$AF$15,0)),"")</f>
        <v/>
      </c>
      <c r="Q49" s="228" t="str">
        <f t="shared" si="12"/>
        <v/>
      </c>
      <c r="R49" s="229" t="str">
        <f t="shared" si="13"/>
        <v/>
      </c>
      <c r="S49" s="233" t="str">
        <f>IFERROR(INDEX('G-1 All Habitats'!$B$3:$B$129,MATCH(R49,'G-1 All Habitats'!$A$3:$A$129,0)),"")</f>
        <v/>
      </c>
      <c r="T49" s="507" t="str">
        <f t="shared" si="5"/>
        <v/>
      </c>
      <c r="U49" s="524" t="str">
        <f t="shared" si="6"/>
        <v/>
      </c>
      <c r="V49" s="523" t="str">
        <f t="shared" si="2"/>
        <v/>
      </c>
      <c r="W49" s="520" t="str">
        <f>IF(S49="","",VLOOKUP(S49,'G-1 All Habitats'!$B$2:$M$129,10,FALSE))</f>
        <v/>
      </c>
      <c r="X49" s="520" t="str">
        <f>IFERROR(VLOOKUP(W49,'G-1 All Habitats'!$V$3:$W$7,2,FALSE),"")</f>
        <v/>
      </c>
      <c r="Y49" s="203"/>
      <c r="Z49" s="524" t="str">
        <f>IFERROR(INDEX('G-8 Condition Look up'!$A$3:$H$130,MATCH(S49,'G-8 Condition Look up'!$A$3:$A$130,0),MATCH(Y49,'G-8 Condition Look up'!$A$3:$H$3,0)),"")</f>
        <v/>
      </c>
      <c r="AA49" s="145"/>
      <c r="AB49" s="540" t="str">
        <f>IF(AA49="","",IF(VLOOKUP(AA49,'G-3 Multipliers'!$L$3:$N$6,2,FALSE)=0,"Spatial Data Missing ⚠",VLOOKUP(AA49,'G-3 Multipliers'!$L$3:$N$6,2,FALSE)))</f>
        <v/>
      </c>
      <c r="AC49" s="524" t="str">
        <f>IF(AA49="","",IF(VLOOKUP(AA49,'G-3 Multipliers'!$L$3:$N$6,3,FALSE)=0,"Spatial Data Missing ⚠",VLOOKUP(AA49,'G-3 Multipliers'!$L$3:$N$6,3,FALSE)))</f>
        <v/>
      </c>
      <c r="AD49" s="537" t="str">
        <f t="shared" si="3"/>
        <v/>
      </c>
      <c r="AE49" s="203"/>
      <c r="AF49" s="203"/>
      <c r="AG49" s="520" t="str">
        <f t="shared" si="7"/>
        <v/>
      </c>
      <c r="AH49" s="544" t="str">
        <f t="shared" si="8"/>
        <v/>
      </c>
      <c r="AI49" s="525" t="str">
        <f>IF(AH49="Check Data ⚠","Check Data ⚠",IFERROR(VLOOKUP(AH49,'G-4 Temporal multipliers'!$A$4:$C$36,3,FALSE),""))</f>
        <v/>
      </c>
      <c r="AJ49" s="537" t="str">
        <f>IF(S49="","",VLOOKUP(S49,'G-3 Multipliers'!$A$2:$E$129,4,FALSE))</f>
        <v/>
      </c>
      <c r="AK49" s="520" t="str">
        <f t="shared" si="9"/>
        <v/>
      </c>
      <c r="AL49" s="520" t="str">
        <f t="shared" si="10"/>
        <v/>
      </c>
      <c r="AM49" s="524" t="str">
        <f>IFERROR(IF(F49="","",IF(AH49="Check Data ⚠","Check Data ⚠",VLOOKUP(AL49, 'G-3 Multipliers'!$P$2:$Q$6,2,FALSE))),"")</f>
        <v/>
      </c>
      <c r="AN49" s="197"/>
      <c r="AO49" s="540" t="str">
        <f>IF(AN49="","",IF(VLOOKUP(AN49,'G-3 Multipliers'!$S$3:$T$9,2,FALSE)=0,"Spatial Data Missing ⚠",VLOOKUP(AN49,'G-3 Multipliers'!$S$3:$T$9,2,FALSE)))</f>
        <v/>
      </c>
      <c r="AP49" s="513" t="str">
        <f t="shared" si="11"/>
        <v/>
      </c>
      <c r="AQ49" s="231"/>
      <c r="AR49" s="150"/>
    </row>
    <row r="50" spans="1:44" x14ac:dyDescent="0.3">
      <c r="A50" s="31" t="str">
        <f>IF(E50="","",IF(ISNA(VLOOKUP($E50,'D-1 Off Site Habitat Baseline'!$D$1:$O$258,2,FALSE)),"",(VLOOKUP($E50,'D-1 Off Site Habitat Baseline'!$D$1:$O$258,2,FALSE))))</f>
        <v/>
      </c>
      <c r="B50" s="31" t="str">
        <f>IF(E50="","",IF(ISNA(VLOOKUP($E50,'D-1 Off Site Habitat Baseline'!$D$1:$O$258,3,FALSE)),"",(VLOOKUP($E50,'D-1 Off Site Habitat Baseline'!$D$1:$O$258,3,FALSE))))</f>
        <v/>
      </c>
      <c r="C50" s="31" t="str">
        <f>IFERROR(INDEX('G-8 Condition Look up'!$I$4:$I$130,MATCH(S50,'G-8 Condition Look up'!$A$4:$A$130,0)),"")</f>
        <v/>
      </c>
      <c r="E50" s="547" t="str">
        <f>'D-1 Off Site Habitat Baseline'!AL49</f>
        <v/>
      </c>
      <c r="F50" s="520" t="str">
        <f>IF(E50="","",IF(ISNA(VLOOKUP($E50,'D-1 Off Site Habitat Baseline'!$D$1:$O$258,4,FALSE)),"",(VLOOKUP($E50,'D-1 Off Site Habitat Baseline'!$D$1:$O$258,4,FALSE))))</f>
        <v/>
      </c>
      <c r="G50" s="520" t="str">
        <f>IF(E50="","",IF(ISNA(VLOOKUP($E50,'D-1 Off Site Habitat Baseline'!$D$1:$O$258,5,FALSE)),"",(VLOOKUP($E50,'D-1 Off Site Habitat Baseline'!$D$1:$O$258,5,FALSE))))</f>
        <v/>
      </c>
      <c r="H50" s="520" t="str">
        <f>IF(E50="","",IF(ISNA(VLOOKUP($E50,'D-1 Off Site Habitat Baseline'!$D$1:$O$258,6,FALSE)),"",(VLOOKUP($E50,'D-1 Off Site Habitat Baseline'!$D$1:$O$258,6,FALSE))))</f>
        <v/>
      </c>
      <c r="I50" s="520" t="str">
        <f>IF(E50="","",IF(ISNA(VLOOKUP($E50,'D-1 Off Site Habitat Baseline'!$D$1:$O$258,7,FALSE)),"",(VLOOKUP($E50,'D-1 Off Site Habitat Baseline'!$D$1:$O$258,7,FALSE))))</f>
        <v/>
      </c>
      <c r="J50" s="520" t="str">
        <f>IF(E50="","",IF(ISNA(VLOOKUP($E50,'D-1 Off Site Habitat Baseline'!$D$1:$O$258,8,FALSE)),"",(VLOOKUP($E50,'D-1 Off Site Habitat Baseline'!$D$1:$O$258,8,FALSE))))</f>
        <v/>
      </c>
      <c r="K50" s="520" t="str">
        <f>IF(E50="","",IF(ISNA(VLOOKUP($E50,'D-1 Off Site Habitat Baseline'!$D$1:$O$258,9,FALSE)),"",(VLOOKUP($E50,'D-1 Off Site Habitat Baseline'!$D$1:$O$258,9,FALSE))))</f>
        <v/>
      </c>
      <c r="L50" s="520" t="str">
        <f>IF(E50="","",IF(ISNA(VLOOKUP($E50,'D-1 Off Site Habitat Baseline'!$D$1:$O$258,11,FALSE)),"",(VLOOKUP($E50,'D-1 Off Site Habitat Baseline'!$D$1:$O$258,11,FALSE))))</f>
        <v/>
      </c>
      <c r="M50" s="520" t="str">
        <f>IF(E50="","",IF(ISNA(VLOOKUP($E50,'D-1 Off Site Habitat Baseline'!$D$1:$O$258,12,FALSE)),"",(VLOOKUP($E50,'D-1 Off Site Habitat Baseline'!$D$1:$O$258,12,FALSE))))</f>
        <v/>
      </c>
      <c r="N50" s="520" t="str">
        <f>IF(E50="","",IF(ISNA(VLOOKUP($E50,'D-1 Off Site Habitat Baseline'!$D$1:$X$258,14,FALSE)),"",(VLOOKUP($E50,'D-1 Off Site Habitat Baseline'!$D$1:$X$258,14,FALSE))))</f>
        <v/>
      </c>
      <c r="O50" s="524" t="str">
        <f>IF(E50="","",IF(ISNA(VLOOKUP($E50,'D-1 Off Site Habitat Baseline'!$D$1:$X$258,13,FALSE)),"",(VLOOKUP($E50,'D-1 Off Site Habitat Baseline'!$D$1:$X$258,13,FALSE))))</f>
        <v/>
      </c>
      <c r="P50" s="232" t="str">
        <f>IFERROR(INDEX('G-1 All Habitats'!$AG$3:$AG$15,MATCH(Q50,'G-1 All Habitats'!$AF$3:$AF$15,0)),"")</f>
        <v/>
      </c>
      <c r="Q50" s="228" t="str">
        <f t="shared" si="12"/>
        <v/>
      </c>
      <c r="R50" s="229" t="str">
        <f t="shared" si="13"/>
        <v/>
      </c>
      <c r="S50" s="233" t="str">
        <f>IFERROR(INDEX('G-1 All Habitats'!$B$3:$B$129,MATCH(R50,'G-1 All Habitats'!$A$3:$A$129,0)),"")</f>
        <v/>
      </c>
      <c r="T50" s="507" t="str">
        <f t="shared" si="5"/>
        <v/>
      </c>
      <c r="U50" s="524" t="str">
        <f t="shared" si="6"/>
        <v/>
      </c>
      <c r="V50" s="523" t="str">
        <f t="shared" si="2"/>
        <v/>
      </c>
      <c r="W50" s="520" t="str">
        <f>IF(S50="","",VLOOKUP(S50,'G-1 All Habitats'!$B$2:$M$129,10,FALSE))</f>
        <v/>
      </c>
      <c r="X50" s="520" t="str">
        <f>IFERROR(VLOOKUP(W50,'G-1 All Habitats'!$V$3:$W$7,2,FALSE),"")</f>
        <v/>
      </c>
      <c r="Y50" s="203"/>
      <c r="Z50" s="524" t="str">
        <f>IFERROR(INDEX('G-8 Condition Look up'!$A$3:$H$130,MATCH(S50,'G-8 Condition Look up'!$A$3:$A$130,0),MATCH(Y50,'G-8 Condition Look up'!$A$3:$H$3,0)),"")</f>
        <v/>
      </c>
      <c r="AA50" s="145"/>
      <c r="AB50" s="540" t="str">
        <f>IF(AA50="","",IF(VLOOKUP(AA50,'G-3 Multipliers'!$L$3:$N$6,2,FALSE)=0,"Spatial Data Missing ⚠",VLOOKUP(AA50,'G-3 Multipliers'!$L$3:$N$6,2,FALSE)))</f>
        <v/>
      </c>
      <c r="AC50" s="524" t="str">
        <f>IF(AA50="","",IF(VLOOKUP(AA50,'G-3 Multipliers'!$L$3:$N$6,3,FALSE)=0,"Spatial Data Missing ⚠",VLOOKUP(AA50,'G-3 Multipliers'!$L$3:$N$6,3,FALSE)))</f>
        <v/>
      </c>
      <c r="AD50" s="537" t="str">
        <f t="shared" si="3"/>
        <v/>
      </c>
      <c r="AE50" s="203"/>
      <c r="AF50" s="203"/>
      <c r="AG50" s="520" t="str">
        <f t="shared" si="7"/>
        <v/>
      </c>
      <c r="AH50" s="544" t="str">
        <f t="shared" si="8"/>
        <v/>
      </c>
      <c r="AI50" s="525" t="str">
        <f>IF(AH50="Check Data ⚠","Check Data ⚠",IFERROR(VLOOKUP(AH50,'G-4 Temporal multipliers'!$A$4:$C$36,3,FALSE),""))</f>
        <v/>
      </c>
      <c r="AJ50" s="537" t="str">
        <f>IF(S50="","",VLOOKUP(S50,'G-3 Multipliers'!$A$2:$E$129,4,FALSE))</f>
        <v/>
      </c>
      <c r="AK50" s="520" t="str">
        <f t="shared" si="9"/>
        <v/>
      </c>
      <c r="AL50" s="520" t="str">
        <f t="shared" si="10"/>
        <v/>
      </c>
      <c r="AM50" s="524" t="str">
        <f>IFERROR(IF(F50="","",IF(AH50="Check Data ⚠","Check Data ⚠",VLOOKUP(AL50, 'G-3 Multipliers'!$P$2:$Q$6,2,FALSE))),"")</f>
        <v/>
      </c>
      <c r="AN50" s="197"/>
      <c r="AO50" s="540" t="str">
        <f>IF(AN50="","",IF(VLOOKUP(AN50,'G-3 Multipliers'!$S$3:$T$9,2,FALSE)=0,"Spatial Data Missing ⚠",VLOOKUP(AN50,'G-3 Multipliers'!$S$3:$T$9,2,FALSE)))</f>
        <v/>
      </c>
      <c r="AP50" s="513" t="str">
        <f t="shared" si="11"/>
        <v/>
      </c>
      <c r="AQ50" s="231"/>
      <c r="AR50" s="150"/>
    </row>
    <row r="51" spans="1:44" x14ac:dyDescent="0.3">
      <c r="A51" s="31" t="str">
        <f>IF(E51="","",IF(ISNA(VLOOKUP($E51,'D-1 Off Site Habitat Baseline'!$D$1:$O$258,2,FALSE)),"",(VLOOKUP($E51,'D-1 Off Site Habitat Baseline'!$D$1:$O$258,2,FALSE))))</f>
        <v/>
      </c>
      <c r="B51" s="31" t="str">
        <f>IF(E51="","",IF(ISNA(VLOOKUP($E51,'D-1 Off Site Habitat Baseline'!$D$1:$O$258,3,FALSE)),"",(VLOOKUP($E51,'D-1 Off Site Habitat Baseline'!$D$1:$O$258,3,FALSE))))</f>
        <v/>
      </c>
      <c r="C51" s="31" t="str">
        <f>IFERROR(INDEX('G-8 Condition Look up'!$I$4:$I$130,MATCH(S51,'G-8 Condition Look up'!$A$4:$A$130,0)),"")</f>
        <v/>
      </c>
      <c r="E51" s="547" t="str">
        <f>'D-1 Off Site Habitat Baseline'!AL50</f>
        <v/>
      </c>
      <c r="F51" s="520" t="str">
        <f>IF(E51="","",IF(ISNA(VLOOKUP($E51,'D-1 Off Site Habitat Baseline'!$D$1:$O$258,4,FALSE)),"",(VLOOKUP($E51,'D-1 Off Site Habitat Baseline'!$D$1:$O$258,4,FALSE))))</f>
        <v/>
      </c>
      <c r="G51" s="520" t="str">
        <f>IF(E51="","",IF(ISNA(VLOOKUP($E51,'D-1 Off Site Habitat Baseline'!$D$1:$O$258,5,FALSE)),"",(VLOOKUP($E51,'D-1 Off Site Habitat Baseline'!$D$1:$O$258,5,FALSE))))</f>
        <v/>
      </c>
      <c r="H51" s="520" t="str">
        <f>IF(E51="","",IF(ISNA(VLOOKUP($E51,'D-1 Off Site Habitat Baseline'!$D$1:$O$258,6,FALSE)),"",(VLOOKUP($E51,'D-1 Off Site Habitat Baseline'!$D$1:$O$258,6,FALSE))))</f>
        <v/>
      </c>
      <c r="I51" s="520" t="str">
        <f>IF(E51="","",IF(ISNA(VLOOKUP($E51,'D-1 Off Site Habitat Baseline'!$D$1:$O$258,7,FALSE)),"",(VLOOKUP($E51,'D-1 Off Site Habitat Baseline'!$D$1:$O$258,7,FALSE))))</f>
        <v/>
      </c>
      <c r="J51" s="520" t="str">
        <f>IF(E51="","",IF(ISNA(VLOOKUP($E51,'D-1 Off Site Habitat Baseline'!$D$1:$O$258,8,FALSE)),"",(VLOOKUP($E51,'D-1 Off Site Habitat Baseline'!$D$1:$O$258,8,FALSE))))</f>
        <v/>
      </c>
      <c r="K51" s="520" t="str">
        <f>IF(E51="","",IF(ISNA(VLOOKUP($E51,'D-1 Off Site Habitat Baseline'!$D$1:$O$258,9,FALSE)),"",(VLOOKUP($E51,'D-1 Off Site Habitat Baseline'!$D$1:$O$258,9,FALSE))))</f>
        <v/>
      </c>
      <c r="L51" s="520" t="str">
        <f>IF(E51="","",IF(ISNA(VLOOKUP($E51,'D-1 Off Site Habitat Baseline'!$D$1:$O$258,11,FALSE)),"",(VLOOKUP($E51,'D-1 Off Site Habitat Baseline'!$D$1:$O$258,11,FALSE))))</f>
        <v/>
      </c>
      <c r="M51" s="520" t="str">
        <f>IF(E51="","",IF(ISNA(VLOOKUP($E51,'D-1 Off Site Habitat Baseline'!$D$1:$O$258,12,FALSE)),"",(VLOOKUP($E51,'D-1 Off Site Habitat Baseline'!$D$1:$O$258,12,FALSE))))</f>
        <v/>
      </c>
      <c r="N51" s="520" t="str">
        <f>IF(E51="","",IF(ISNA(VLOOKUP($E51,'D-1 Off Site Habitat Baseline'!$D$1:$X$258,14,FALSE)),"",(VLOOKUP($E51,'D-1 Off Site Habitat Baseline'!$D$1:$X$258,14,FALSE))))</f>
        <v/>
      </c>
      <c r="O51" s="524" t="str">
        <f>IF(E51="","",IF(ISNA(VLOOKUP($E51,'D-1 Off Site Habitat Baseline'!$D$1:$X$258,13,FALSE)),"",(VLOOKUP($E51,'D-1 Off Site Habitat Baseline'!$D$1:$X$258,13,FALSE))))</f>
        <v/>
      </c>
      <c r="P51" s="232" t="str">
        <f>IFERROR(INDEX('G-1 All Habitats'!$AG$3:$AG$15,MATCH(Q51,'G-1 All Habitats'!$AF$3:$AF$15,0)),"")</f>
        <v/>
      </c>
      <c r="Q51" s="228" t="str">
        <f t="shared" si="12"/>
        <v/>
      </c>
      <c r="R51" s="229" t="str">
        <f t="shared" si="13"/>
        <v/>
      </c>
      <c r="S51" s="233" t="str">
        <f>IFERROR(INDEX('G-1 All Habitats'!$B$3:$B$129,MATCH(R51,'G-1 All Habitats'!$A$3:$A$129,0)),"")</f>
        <v/>
      </c>
      <c r="T51" s="507" t="str">
        <f t="shared" si="5"/>
        <v/>
      </c>
      <c r="U51" s="524" t="str">
        <f t="shared" si="6"/>
        <v/>
      </c>
      <c r="V51" s="523" t="str">
        <f t="shared" si="2"/>
        <v/>
      </c>
      <c r="W51" s="520" t="str">
        <f>IF(S51="","",VLOOKUP(S51,'G-1 All Habitats'!$B$2:$M$129,10,FALSE))</f>
        <v/>
      </c>
      <c r="X51" s="520" t="str">
        <f>IFERROR(VLOOKUP(W51,'G-1 All Habitats'!$V$3:$W$7,2,FALSE),"")</f>
        <v/>
      </c>
      <c r="Y51" s="203"/>
      <c r="Z51" s="524" t="str">
        <f>IFERROR(INDEX('G-8 Condition Look up'!$A$3:$H$130,MATCH(S51,'G-8 Condition Look up'!$A$3:$A$130,0),MATCH(Y51,'G-8 Condition Look up'!$A$3:$H$3,0)),"")</f>
        <v/>
      </c>
      <c r="AA51" s="145"/>
      <c r="AB51" s="540" t="str">
        <f>IF(AA51="","",IF(VLOOKUP(AA51,'G-3 Multipliers'!$L$3:$N$6,2,FALSE)=0,"Spatial Data Missing ⚠",VLOOKUP(AA51,'G-3 Multipliers'!$L$3:$N$6,2,FALSE)))</f>
        <v/>
      </c>
      <c r="AC51" s="524" t="str">
        <f>IF(AA51="","",IF(VLOOKUP(AA51,'G-3 Multipliers'!$L$3:$N$6,3,FALSE)=0,"Spatial Data Missing ⚠",VLOOKUP(AA51,'G-3 Multipliers'!$L$3:$N$6,3,FALSE)))</f>
        <v/>
      </c>
      <c r="AD51" s="537" t="str">
        <f t="shared" si="3"/>
        <v/>
      </c>
      <c r="AE51" s="203"/>
      <c r="AF51" s="203"/>
      <c r="AG51" s="520" t="str">
        <f t="shared" si="7"/>
        <v/>
      </c>
      <c r="AH51" s="544" t="str">
        <f t="shared" si="8"/>
        <v/>
      </c>
      <c r="AI51" s="525" t="str">
        <f>IF(AH51="Check Data ⚠","Check Data ⚠",IFERROR(VLOOKUP(AH51,'G-4 Temporal multipliers'!$A$4:$C$36,3,FALSE),""))</f>
        <v/>
      </c>
      <c r="AJ51" s="537" t="str">
        <f>IF(S51="","",VLOOKUP(S51,'G-3 Multipliers'!$A$2:$E$129,4,FALSE))</f>
        <v/>
      </c>
      <c r="AK51" s="520" t="str">
        <f t="shared" si="9"/>
        <v/>
      </c>
      <c r="AL51" s="520" t="str">
        <f t="shared" si="10"/>
        <v/>
      </c>
      <c r="AM51" s="524" t="str">
        <f>IFERROR(IF(F51="","",IF(AH51="Check Data ⚠","Check Data ⚠",VLOOKUP(AL51, 'G-3 Multipliers'!$P$2:$Q$6,2,FALSE))),"")</f>
        <v/>
      </c>
      <c r="AN51" s="197"/>
      <c r="AO51" s="540" t="str">
        <f>IF(AN51="","",IF(VLOOKUP(AN51,'G-3 Multipliers'!$S$3:$T$9,2,FALSE)=0,"Spatial Data Missing ⚠",VLOOKUP(AN51,'G-3 Multipliers'!$S$3:$T$9,2,FALSE)))</f>
        <v/>
      </c>
      <c r="AP51" s="513" t="str">
        <f t="shared" si="11"/>
        <v/>
      </c>
      <c r="AQ51" s="231"/>
      <c r="AR51" s="150"/>
    </row>
    <row r="52" spans="1:44" x14ac:dyDescent="0.3">
      <c r="A52" s="31" t="str">
        <f>IF(E52="","",IF(ISNA(VLOOKUP($E52,'D-1 Off Site Habitat Baseline'!$D$1:$O$258,2,FALSE)),"",(VLOOKUP($E52,'D-1 Off Site Habitat Baseline'!$D$1:$O$258,2,FALSE))))</f>
        <v/>
      </c>
      <c r="B52" s="31" t="str">
        <f>IF(E52="","",IF(ISNA(VLOOKUP($E52,'D-1 Off Site Habitat Baseline'!$D$1:$O$258,3,FALSE)),"",(VLOOKUP($E52,'D-1 Off Site Habitat Baseline'!$D$1:$O$258,3,FALSE))))</f>
        <v/>
      </c>
      <c r="C52" s="31" t="str">
        <f>IFERROR(INDEX('G-8 Condition Look up'!$I$4:$I$130,MATCH(S52,'G-8 Condition Look up'!$A$4:$A$130,0)),"")</f>
        <v/>
      </c>
      <c r="E52" s="547" t="str">
        <f>'D-1 Off Site Habitat Baseline'!AL51</f>
        <v/>
      </c>
      <c r="F52" s="520" t="str">
        <f>IF(E52="","",IF(ISNA(VLOOKUP($E52,'D-1 Off Site Habitat Baseline'!$D$1:$O$258,4,FALSE)),"",(VLOOKUP($E52,'D-1 Off Site Habitat Baseline'!$D$1:$O$258,4,FALSE))))</f>
        <v/>
      </c>
      <c r="G52" s="520" t="str">
        <f>IF(E52="","",IF(ISNA(VLOOKUP($E52,'D-1 Off Site Habitat Baseline'!$D$1:$O$258,5,FALSE)),"",(VLOOKUP($E52,'D-1 Off Site Habitat Baseline'!$D$1:$O$258,5,FALSE))))</f>
        <v/>
      </c>
      <c r="H52" s="520" t="str">
        <f>IF(E52="","",IF(ISNA(VLOOKUP($E52,'D-1 Off Site Habitat Baseline'!$D$1:$O$258,6,FALSE)),"",(VLOOKUP($E52,'D-1 Off Site Habitat Baseline'!$D$1:$O$258,6,FALSE))))</f>
        <v/>
      </c>
      <c r="I52" s="520" t="str">
        <f>IF(E52="","",IF(ISNA(VLOOKUP($E52,'D-1 Off Site Habitat Baseline'!$D$1:$O$258,7,FALSE)),"",(VLOOKUP($E52,'D-1 Off Site Habitat Baseline'!$D$1:$O$258,7,FALSE))))</f>
        <v/>
      </c>
      <c r="J52" s="520" t="str">
        <f>IF(E52="","",IF(ISNA(VLOOKUP($E52,'D-1 Off Site Habitat Baseline'!$D$1:$O$258,8,FALSE)),"",(VLOOKUP($E52,'D-1 Off Site Habitat Baseline'!$D$1:$O$258,8,FALSE))))</f>
        <v/>
      </c>
      <c r="K52" s="520" t="str">
        <f>IF(E52="","",IF(ISNA(VLOOKUP($E52,'D-1 Off Site Habitat Baseline'!$D$1:$O$258,9,FALSE)),"",(VLOOKUP($E52,'D-1 Off Site Habitat Baseline'!$D$1:$O$258,9,FALSE))))</f>
        <v/>
      </c>
      <c r="L52" s="520" t="str">
        <f>IF(E52="","",IF(ISNA(VLOOKUP($E52,'D-1 Off Site Habitat Baseline'!$D$1:$O$258,11,FALSE)),"",(VLOOKUP($E52,'D-1 Off Site Habitat Baseline'!$D$1:$O$258,11,FALSE))))</f>
        <v/>
      </c>
      <c r="M52" s="520" t="str">
        <f>IF(E52="","",IF(ISNA(VLOOKUP($E52,'D-1 Off Site Habitat Baseline'!$D$1:$O$258,12,FALSE)),"",(VLOOKUP($E52,'D-1 Off Site Habitat Baseline'!$D$1:$O$258,12,FALSE))))</f>
        <v/>
      </c>
      <c r="N52" s="520" t="str">
        <f>IF(E52="","",IF(ISNA(VLOOKUP($E52,'D-1 Off Site Habitat Baseline'!$D$1:$X$258,14,FALSE)),"",(VLOOKUP($E52,'D-1 Off Site Habitat Baseline'!$D$1:$X$258,14,FALSE))))</f>
        <v/>
      </c>
      <c r="O52" s="524" t="str">
        <f>IF(E52="","",IF(ISNA(VLOOKUP($E52,'D-1 Off Site Habitat Baseline'!$D$1:$X$258,13,FALSE)),"",(VLOOKUP($E52,'D-1 Off Site Habitat Baseline'!$D$1:$X$258,13,FALSE))))</f>
        <v/>
      </c>
      <c r="P52" s="232" t="str">
        <f>IFERROR(INDEX('G-1 All Habitats'!$AG$3:$AG$15,MATCH(Q52,'G-1 All Habitats'!$AF$3:$AF$15,0)),"")</f>
        <v/>
      </c>
      <c r="Q52" s="228" t="str">
        <f t="shared" si="12"/>
        <v/>
      </c>
      <c r="R52" s="229" t="str">
        <f t="shared" si="13"/>
        <v/>
      </c>
      <c r="S52" s="233" t="str">
        <f>IFERROR(INDEX('G-1 All Habitats'!$B$3:$B$129,MATCH(R52,'G-1 All Habitats'!$A$3:$A$129,0)),"")</f>
        <v/>
      </c>
      <c r="T52" s="507" t="str">
        <f t="shared" si="5"/>
        <v/>
      </c>
      <c r="U52" s="524" t="str">
        <f t="shared" si="6"/>
        <v/>
      </c>
      <c r="V52" s="523" t="str">
        <f t="shared" si="2"/>
        <v/>
      </c>
      <c r="W52" s="520" t="str">
        <f>IF(S52="","",VLOOKUP(S52,'G-1 All Habitats'!$B$2:$M$129,10,FALSE))</f>
        <v/>
      </c>
      <c r="X52" s="520" t="str">
        <f>IFERROR(VLOOKUP(W52,'G-1 All Habitats'!$V$3:$W$7,2,FALSE),"")</f>
        <v/>
      </c>
      <c r="Y52" s="203"/>
      <c r="Z52" s="524" t="str">
        <f>IFERROR(INDEX('G-8 Condition Look up'!$A$3:$H$130,MATCH(S52,'G-8 Condition Look up'!$A$3:$A$130,0),MATCH(Y52,'G-8 Condition Look up'!$A$3:$H$3,0)),"")</f>
        <v/>
      </c>
      <c r="AA52" s="145"/>
      <c r="AB52" s="540" t="str">
        <f>IF(AA52="","",IF(VLOOKUP(AA52,'G-3 Multipliers'!$L$3:$N$6,2,FALSE)=0,"Spatial Data Missing ⚠",VLOOKUP(AA52,'G-3 Multipliers'!$L$3:$N$6,2,FALSE)))</f>
        <v/>
      </c>
      <c r="AC52" s="524" t="str">
        <f>IF(AA52="","",IF(VLOOKUP(AA52,'G-3 Multipliers'!$L$3:$N$6,3,FALSE)=0,"Spatial Data Missing ⚠",VLOOKUP(AA52,'G-3 Multipliers'!$L$3:$N$6,3,FALSE)))</f>
        <v/>
      </c>
      <c r="AD52" s="537" t="str">
        <f t="shared" si="3"/>
        <v/>
      </c>
      <c r="AE52" s="203"/>
      <c r="AF52" s="203"/>
      <c r="AG52" s="520" t="str">
        <f t="shared" si="7"/>
        <v/>
      </c>
      <c r="AH52" s="544" t="str">
        <f t="shared" si="8"/>
        <v/>
      </c>
      <c r="AI52" s="525" t="str">
        <f>IF(AH52="Check Data ⚠","Check Data ⚠",IFERROR(VLOOKUP(AH52,'G-4 Temporal multipliers'!$A$4:$C$36,3,FALSE),""))</f>
        <v/>
      </c>
      <c r="AJ52" s="537" t="str">
        <f>IF(S52="","",VLOOKUP(S52,'G-3 Multipliers'!$A$2:$E$129,4,FALSE))</f>
        <v/>
      </c>
      <c r="AK52" s="520" t="str">
        <f t="shared" si="9"/>
        <v/>
      </c>
      <c r="AL52" s="520" t="str">
        <f t="shared" si="10"/>
        <v/>
      </c>
      <c r="AM52" s="524" t="str">
        <f>IFERROR(IF(F52="","",IF(AH52="Check Data ⚠","Check Data ⚠",VLOOKUP(AL52, 'G-3 Multipliers'!$P$2:$Q$6,2,FALSE))),"")</f>
        <v/>
      </c>
      <c r="AN52" s="197"/>
      <c r="AO52" s="540" t="str">
        <f>IF(AN52="","",IF(VLOOKUP(AN52,'G-3 Multipliers'!$S$3:$T$9,2,FALSE)=0,"Spatial Data Missing ⚠",VLOOKUP(AN52,'G-3 Multipliers'!$S$3:$T$9,2,FALSE)))</f>
        <v/>
      </c>
      <c r="AP52" s="513" t="str">
        <f t="shared" si="11"/>
        <v/>
      </c>
      <c r="AQ52" s="231"/>
      <c r="AR52" s="150"/>
    </row>
    <row r="53" spans="1:44" x14ac:dyDescent="0.3">
      <c r="A53" s="31" t="str">
        <f>IF(E53="","",IF(ISNA(VLOOKUP($E53,'D-1 Off Site Habitat Baseline'!$D$1:$O$258,2,FALSE)),"",(VLOOKUP($E53,'D-1 Off Site Habitat Baseline'!$D$1:$O$258,2,FALSE))))</f>
        <v/>
      </c>
      <c r="B53" s="31" t="str">
        <f>IF(E53="","",IF(ISNA(VLOOKUP($E53,'D-1 Off Site Habitat Baseline'!$D$1:$O$258,3,FALSE)),"",(VLOOKUP($E53,'D-1 Off Site Habitat Baseline'!$D$1:$O$258,3,FALSE))))</f>
        <v/>
      </c>
      <c r="C53" s="31" t="str">
        <f>IFERROR(INDEX('G-8 Condition Look up'!$I$4:$I$130,MATCH(S53,'G-8 Condition Look up'!$A$4:$A$130,0)),"")</f>
        <v/>
      </c>
      <c r="E53" s="547" t="str">
        <f>'D-1 Off Site Habitat Baseline'!AL52</f>
        <v/>
      </c>
      <c r="F53" s="520" t="str">
        <f>IF(E53="","",IF(ISNA(VLOOKUP($E53,'D-1 Off Site Habitat Baseline'!$D$1:$O$258,4,FALSE)),"",(VLOOKUP($E53,'D-1 Off Site Habitat Baseline'!$D$1:$O$258,4,FALSE))))</f>
        <v/>
      </c>
      <c r="G53" s="520" t="str">
        <f>IF(E53="","",IF(ISNA(VLOOKUP($E53,'D-1 Off Site Habitat Baseline'!$D$1:$O$258,5,FALSE)),"",(VLOOKUP($E53,'D-1 Off Site Habitat Baseline'!$D$1:$O$258,5,FALSE))))</f>
        <v/>
      </c>
      <c r="H53" s="520" t="str">
        <f>IF(E53="","",IF(ISNA(VLOOKUP($E53,'D-1 Off Site Habitat Baseline'!$D$1:$O$258,6,FALSE)),"",(VLOOKUP($E53,'D-1 Off Site Habitat Baseline'!$D$1:$O$258,6,FALSE))))</f>
        <v/>
      </c>
      <c r="I53" s="520" t="str">
        <f>IF(E53="","",IF(ISNA(VLOOKUP($E53,'D-1 Off Site Habitat Baseline'!$D$1:$O$258,7,FALSE)),"",(VLOOKUP($E53,'D-1 Off Site Habitat Baseline'!$D$1:$O$258,7,FALSE))))</f>
        <v/>
      </c>
      <c r="J53" s="520" t="str">
        <f>IF(E53="","",IF(ISNA(VLOOKUP($E53,'D-1 Off Site Habitat Baseline'!$D$1:$O$258,8,FALSE)),"",(VLOOKUP($E53,'D-1 Off Site Habitat Baseline'!$D$1:$O$258,8,FALSE))))</f>
        <v/>
      </c>
      <c r="K53" s="520" t="str">
        <f>IF(E53="","",IF(ISNA(VLOOKUP($E53,'D-1 Off Site Habitat Baseline'!$D$1:$O$258,9,FALSE)),"",(VLOOKUP($E53,'D-1 Off Site Habitat Baseline'!$D$1:$O$258,9,FALSE))))</f>
        <v/>
      </c>
      <c r="L53" s="520" t="str">
        <f>IF(E53="","",IF(ISNA(VLOOKUP($E53,'D-1 Off Site Habitat Baseline'!$D$1:$O$258,11,FALSE)),"",(VLOOKUP($E53,'D-1 Off Site Habitat Baseline'!$D$1:$O$258,11,FALSE))))</f>
        <v/>
      </c>
      <c r="M53" s="520" t="str">
        <f>IF(E53="","",IF(ISNA(VLOOKUP($E53,'D-1 Off Site Habitat Baseline'!$D$1:$O$258,12,FALSE)),"",(VLOOKUP($E53,'D-1 Off Site Habitat Baseline'!$D$1:$O$258,12,FALSE))))</f>
        <v/>
      </c>
      <c r="N53" s="520" t="str">
        <f>IF(E53="","",IF(ISNA(VLOOKUP($E53,'D-1 Off Site Habitat Baseline'!$D$1:$X$258,14,FALSE)),"",(VLOOKUP($E53,'D-1 Off Site Habitat Baseline'!$D$1:$X$258,14,FALSE))))</f>
        <v/>
      </c>
      <c r="O53" s="524" t="str">
        <f>IF(E53="","",IF(ISNA(VLOOKUP($E53,'D-1 Off Site Habitat Baseline'!$D$1:$X$258,13,FALSE)),"",(VLOOKUP($E53,'D-1 Off Site Habitat Baseline'!$D$1:$X$258,13,FALSE))))</f>
        <v/>
      </c>
      <c r="P53" s="232" t="str">
        <f>IFERROR(INDEX('G-1 All Habitats'!$AG$3:$AG$15,MATCH(Q53,'G-1 All Habitats'!$AF$3:$AF$15,0)),"")</f>
        <v/>
      </c>
      <c r="Q53" s="228" t="str">
        <f t="shared" si="12"/>
        <v/>
      </c>
      <c r="R53" s="229" t="str">
        <f t="shared" si="13"/>
        <v/>
      </c>
      <c r="S53" s="233" t="str">
        <f>IFERROR(INDEX('G-1 All Habitats'!$B$3:$B$129,MATCH(R53,'G-1 All Habitats'!$A$3:$A$129,0)),"")</f>
        <v/>
      </c>
      <c r="T53" s="507" t="str">
        <f t="shared" si="5"/>
        <v/>
      </c>
      <c r="U53" s="524" t="str">
        <f t="shared" si="6"/>
        <v/>
      </c>
      <c r="V53" s="523" t="str">
        <f t="shared" si="2"/>
        <v/>
      </c>
      <c r="W53" s="520" t="str">
        <f>IF(S53="","",VLOOKUP(S53,'G-1 All Habitats'!$B$2:$M$129,10,FALSE))</f>
        <v/>
      </c>
      <c r="X53" s="520" t="str">
        <f>IFERROR(VLOOKUP(W53,'G-1 All Habitats'!$V$3:$W$7,2,FALSE),"")</f>
        <v/>
      </c>
      <c r="Y53" s="203"/>
      <c r="Z53" s="524" t="str">
        <f>IFERROR(INDEX('G-8 Condition Look up'!$A$3:$H$130,MATCH(S53,'G-8 Condition Look up'!$A$3:$A$130,0),MATCH(Y53,'G-8 Condition Look up'!$A$3:$H$3,0)),"")</f>
        <v/>
      </c>
      <c r="AA53" s="145"/>
      <c r="AB53" s="540" t="str">
        <f>IF(AA53="","",IF(VLOOKUP(AA53,'G-3 Multipliers'!$L$3:$N$6,2,FALSE)=0,"Spatial Data Missing ⚠",VLOOKUP(AA53,'G-3 Multipliers'!$L$3:$N$6,2,FALSE)))</f>
        <v/>
      </c>
      <c r="AC53" s="524" t="str">
        <f>IF(AA53="","",IF(VLOOKUP(AA53,'G-3 Multipliers'!$L$3:$N$6,3,FALSE)=0,"Spatial Data Missing ⚠",VLOOKUP(AA53,'G-3 Multipliers'!$L$3:$N$6,3,FALSE)))</f>
        <v/>
      </c>
      <c r="AD53" s="537" t="str">
        <f t="shared" si="3"/>
        <v/>
      </c>
      <c r="AE53" s="203"/>
      <c r="AF53" s="203"/>
      <c r="AG53" s="520" t="str">
        <f t="shared" si="7"/>
        <v/>
      </c>
      <c r="AH53" s="544" t="str">
        <f t="shared" si="8"/>
        <v/>
      </c>
      <c r="AI53" s="525" t="str">
        <f>IF(AH53="Check Data ⚠","Check Data ⚠",IFERROR(VLOOKUP(AH53,'G-4 Temporal multipliers'!$A$4:$C$36,3,FALSE),""))</f>
        <v/>
      </c>
      <c r="AJ53" s="537" t="str">
        <f>IF(S53="","",VLOOKUP(S53,'G-3 Multipliers'!$A$2:$E$129,4,FALSE))</f>
        <v/>
      </c>
      <c r="AK53" s="520" t="str">
        <f t="shared" si="9"/>
        <v/>
      </c>
      <c r="AL53" s="520" t="str">
        <f t="shared" si="10"/>
        <v/>
      </c>
      <c r="AM53" s="524" t="str">
        <f>IFERROR(IF(F53="","",IF(AH53="Check Data ⚠","Check Data ⚠",VLOOKUP(AL53, 'G-3 Multipliers'!$P$2:$Q$6,2,FALSE))),"")</f>
        <v/>
      </c>
      <c r="AN53" s="197"/>
      <c r="AO53" s="540" t="str">
        <f>IF(AN53="","",IF(VLOOKUP(AN53,'G-3 Multipliers'!$S$3:$T$9,2,FALSE)=0,"Spatial Data Missing ⚠",VLOOKUP(AN53,'G-3 Multipliers'!$S$3:$T$9,2,FALSE)))</f>
        <v/>
      </c>
      <c r="AP53" s="513" t="str">
        <f t="shared" si="11"/>
        <v/>
      </c>
      <c r="AQ53" s="231"/>
      <c r="AR53" s="150"/>
    </row>
    <row r="54" spans="1:44" x14ac:dyDescent="0.3">
      <c r="A54" s="31" t="str">
        <f>IF(E54="","",IF(ISNA(VLOOKUP($E54,'D-1 Off Site Habitat Baseline'!$D$1:$O$258,2,FALSE)),"",(VLOOKUP($E54,'D-1 Off Site Habitat Baseline'!$D$1:$O$258,2,FALSE))))</f>
        <v/>
      </c>
      <c r="B54" s="31" t="str">
        <f>IF(E54="","",IF(ISNA(VLOOKUP($E54,'D-1 Off Site Habitat Baseline'!$D$1:$O$258,3,FALSE)),"",(VLOOKUP($E54,'D-1 Off Site Habitat Baseline'!$D$1:$O$258,3,FALSE))))</f>
        <v/>
      </c>
      <c r="C54" s="31" t="str">
        <f>IFERROR(INDEX('G-8 Condition Look up'!$I$4:$I$130,MATCH(S54,'G-8 Condition Look up'!$A$4:$A$130,0)),"")</f>
        <v/>
      </c>
      <c r="E54" s="547" t="str">
        <f>'D-1 Off Site Habitat Baseline'!AL53</f>
        <v/>
      </c>
      <c r="F54" s="520" t="str">
        <f>IF(E54="","",IF(ISNA(VLOOKUP($E54,'D-1 Off Site Habitat Baseline'!$D$1:$O$258,4,FALSE)),"",(VLOOKUP($E54,'D-1 Off Site Habitat Baseline'!$D$1:$O$258,4,FALSE))))</f>
        <v/>
      </c>
      <c r="G54" s="520" t="str">
        <f>IF(E54="","",IF(ISNA(VLOOKUP($E54,'D-1 Off Site Habitat Baseline'!$D$1:$O$258,5,FALSE)),"",(VLOOKUP($E54,'D-1 Off Site Habitat Baseline'!$D$1:$O$258,5,FALSE))))</f>
        <v/>
      </c>
      <c r="H54" s="520" t="str">
        <f>IF(E54="","",IF(ISNA(VLOOKUP($E54,'D-1 Off Site Habitat Baseline'!$D$1:$O$258,6,FALSE)),"",(VLOOKUP($E54,'D-1 Off Site Habitat Baseline'!$D$1:$O$258,6,FALSE))))</f>
        <v/>
      </c>
      <c r="I54" s="520" t="str">
        <f>IF(E54="","",IF(ISNA(VLOOKUP($E54,'D-1 Off Site Habitat Baseline'!$D$1:$O$258,7,FALSE)),"",(VLOOKUP($E54,'D-1 Off Site Habitat Baseline'!$D$1:$O$258,7,FALSE))))</f>
        <v/>
      </c>
      <c r="J54" s="520" t="str">
        <f>IF(E54="","",IF(ISNA(VLOOKUP($E54,'D-1 Off Site Habitat Baseline'!$D$1:$O$258,8,FALSE)),"",(VLOOKUP($E54,'D-1 Off Site Habitat Baseline'!$D$1:$O$258,8,FALSE))))</f>
        <v/>
      </c>
      <c r="K54" s="520" t="str">
        <f>IF(E54="","",IF(ISNA(VLOOKUP($E54,'D-1 Off Site Habitat Baseline'!$D$1:$O$258,9,FALSE)),"",(VLOOKUP($E54,'D-1 Off Site Habitat Baseline'!$D$1:$O$258,9,FALSE))))</f>
        <v/>
      </c>
      <c r="L54" s="520" t="str">
        <f>IF(E54="","",IF(ISNA(VLOOKUP($E54,'D-1 Off Site Habitat Baseline'!$D$1:$O$258,11,FALSE)),"",(VLOOKUP($E54,'D-1 Off Site Habitat Baseline'!$D$1:$O$258,11,FALSE))))</f>
        <v/>
      </c>
      <c r="M54" s="520" t="str">
        <f>IF(E54="","",IF(ISNA(VLOOKUP($E54,'D-1 Off Site Habitat Baseline'!$D$1:$O$258,12,FALSE)),"",(VLOOKUP($E54,'D-1 Off Site Habitat Baseline'!$D$1:$O$258,12,FALSE))))</f>
        <v/>
      </c>
      <c r="N54" s="520" t="str">
        <f>IF(E54="","",IF(ISNA(VLOOKUP($E54,'D-1 Off Site Habitat Baseline'!$D$1:$X$258,14,FALSE)),"",(VLOOKUP($E54,'D-1 Off Site Habitat Baseline'!$D$1:$X$258,14,FALSE))))</f>
        <v/>
      </c>
      <c r="O54" s="524" t="str">
        <f>IF(E54="","",IF(ISNA(VLOOKUP($E54,'D-1 Off Site Habitat Baseline'!$D$1:$X$258,13,FALSE)),"",(VLOOKUP($E54,'D-1 Off Site Habitat Baseline'!$D$1:$X$258,13,FALSE))))</f>
        <v/>
      </c>
      <c r="P54" s="232" t="str">
        <f>IFERROR(INDEX('G-1 All Habitats'!$AG$3:$AG$15,MATCH(Q54,'G-1 All Habitats'!$AF$3:$AF$15,0)),"")</f>
        <v/>
      </c>
      <c r="Q54" s="228" t="str">
        <f t="shared" si="12"/>
        <v/>
      </c>
      <c r="R54" s="229" t="str">
        <f t="shared" si="13"/>
        <v/>
      </c>
      <c r="S54" s="233" t="str">
        <f>IFERROR(INDEX('G-1 All Habitats'!$B$3:$B$129,MATCH(R54,'G-1 All Habitats'!$A$3:$A$129,0)),"")</f>
        <v/>
      </c>
      <c r="T54" s="507" t="str">
        <f t="shared" si="5"/>
        <v/>
      </c>
      <c r="U54" s="524" t="str">
        <f t="shared" si="6"/>
        <v/>
      </c>
      <c r="V54" s="523" t="str">
        <f t="shared" si="2"/>
        <v/>
      </c>
      <c r="W54" s="520" t="str">
        <f>IF(S54="","",VLOOKUP(S54,'G-1 All Habitats'!$B$2:$M$129,10,FALSE))</f>
        <v/>
      </c>
      <c r="X54" s="520" t="str">
        <f>IFERROR(VLOOKUP(W54,'G-1 All Habitats'!$V$3:$W$7,2,FALSE),"")</f>
        <v/>
      </c>
      <c r="Y54" s="203"/>
      <c r="Z54" s="524" t="str">
        <f>IFERROR(INDEX('G-8 Condition Look up'!$A$3:$H$130,MATCH(S54,'G-8 Condition Look up'!$A$3:$A$130,0),MATCH(Y54,'G-8 Condition Look up'!$A$3:$H$3,0)),"")</f>
        <v/>
      </c>
      <c r="AA54" s="145"/>
      <c r="AB54" s="540" t="str">
        <f>IF(AA54="","",IF(VLOOKUP(AA54,'G-3 Multipliers'!$L$3:$N$6,2,FALSE)=0,"Spatial Data Missing ⚠",VLOOKUP(AA54,'G-3 Multipliers'!$L$3:$N$6,2,FALSE)))</f>
        <v/>
      </c>
      <c r="AC54" s="524" t="str">
        <f>IF(AA54="","",IF(VLOOKUP(AA54,'G-3 Multipliers'!$L$3:$N$6,3,FALSE)=0,"Spatial Data Missing ⚠",VLOOKUP(AA54,'G-3 Multipliers'!$L$3:$N$6,3,FALSE)))</f>
        <v/>
      </c>
      <c r="AD54" s="537" t="str">
        <f t="shared" si="3"/>
        <v/>
      </c>
      <c r="AE54" s="203"/>
      <c r="AF54" s="203"/>
      <c r="AG54" s="520" t="str">
        <f t="shared" si="7"/>
        <v/>
      </c>
      <c r="AH54" s="544" t="str">
        <f t="shared" si="8"/>
        <v/>
      </c>
      <c r="AI54" s="525" t="str">
        <f>IF(AH54="Check Data ⚠","Check Data ⚠",IFERROR(VLOOKUP(AH54,'G-4 Temporal multipliers'!$A$4:$C$36,3,FALSE),""))</f>
        <v/>
      </c>
      <c r="AJ54" s="537" t="str">
        <f>IF(S54="","",VLOOKUP(S54,'G-3 Multipliers'!$A$2:$E$129,4,FALSE))</f>
        <v/>
      </c>
      <c r="AK54" s="520" t="str">
        <f t="shared" si="9"/>
        <v/>
      </c>
      <c r="AL54" s="520" t="str">
        <f t="shared" si="10"/>
        <v/>
      </c>
      <c r="AM54" s="524" t="str">
        <f>IFERROR(IF(F54="","",IF(AH54="Check Data ⚠","Check Data ⚠",VLOOKUP(AL54, 'G-3 Multipliers'!$P$2:$Q$6,2,FALSE))),"")</f>
        <v/>
      </c>
      <c r="AN54" s="197"/>
      <c r="AO54" s="540" t="str">
        <f>IF(AN54="","",IF(VLOOKUP(AN54,'G-3 Multipliers'!$S$3:$T$9,2,FALSE)=0,"Spatial Data Missing ⚠",VLOOKUP(AN54,'G-3 Multipliers'!$S$3:$T$9,2,FALSE)))</f>
        <v/>
      </c>
      <c r="AP54" s="513" t="str">
        <f t="shared" si="11"/>
        <v/>
      </c>
      <c r="AQ54" s="231"/>
      <c r="AR54" s="150"/>
    </row>
    <row r="55" spans="1:44" x14ac:dyDescent="0.3">
      <c r="A55" s="31" t="str">
        <f>IF(E55="","",IF(ISNA(VLOOKUP($E55,'D-1 Off Site Habitat Baseline'!$D$1:$O$258,2,FALSE)),"",(VLOOKUP($E55,'D-1 Off Site Habitat Baseline'!$D$1:$O$258,2,FALSE))))</f>
        <v/>
      </c>
      <c r="B55" s="31" t="str">
        <f>IF(E55="","",IF(ISNA(VLOOKUP($E55,'D-1 Off Site Habitat Baseline'!$D$1:$O$258,3,FALSE)),"",(VLOOKUP($E55,'D-1 Off Site Habitat Baseline'!$D$1:$O$258,3,FALSE))))</f>
        <v/>
      </c>
      <c r="C55" s="31" t="str">
        <f>IFERROR(INDEX('G-8 Condition Look up'!$I$4:$I$130,MATCH(S55,'G-8 Condition Look up'!$A$4:$A$130,0)),"")</f>
        <v/>
      </c>
      <c r="E55" s="547" t="str">
        <f>'D-1 Off Site Habitat Baseline'!AL54</f>
        <v/>
      </c>
      <c r="F55" s="520" t="str">
        <f>IF(E55="","",IF(ISNA(VLOOKUP($E55,'D-1 Off Site Habitat Baseline'!$D$1:$O$258,4,FALSE)),"",(VLOOKUP($E55,'D-1 Off Site Habitat Baseline'!$D$1:$O$258,4,FALSE))))</f>
        <v/>
      </c>
      <c r="G55" s="520" t="str">
        <f>IF(E55="","",IF(ISNA(VLOOKUP($E55,'D-1 Off Site Habitat Baseline'!$D$1:$O$258,5,FALSE)),"",(VLOOKUP($E55,'D-1 Off Site Habitat Baseline'!$D$1:$O$258,5,FALSE))))</f>
        <v/>
      </c>
      <c r="H55" s="520" t="str">
        <f>IF(E55="","",IF(ISNA(VLOOKUP($E55,'D-1 Off Site Habitat Baseline'!$D$1:$O$258,6,FALSE)),"",(VLOOKUP($E55,'D-1 Off Site Habitat Baseline'!$D$1:$O$258,6,FALSE))))</f>
        <v/>
      </c>
      <c r="I55" s="520" t="str">
        <f>IF(E55="","",IF(ISNA(VLOOKUP($E55,'D-1 Off Site Habitat Baseline'!$D$1:$O$258,7,FALSE)),"",(VLOOKUP($E55,'D-1 Off Site Habitat Baseline'!$D$1:$O$258,7,FALSE))))</f>
        <v/>
      </c>
      <c r="J55" s="520" t="str">
        <f>IF(E55="","",IF(ISNA(VLOOKUP($E55,'D-1 Off Site Habitat Baseline'!$D$1:$O$258,8,FALSE)),"",(VLOOKUP($E55,'D-1 Off Site Habitat Baseline'!$D$1:$O$258,8,FALSE))))</f>
        <v/>
      </c>
      <c r="K55" s="520" t="str">
        <f>IF(E55="","",IF(ISNA(VLOOKUP($E55,'D-1 Off Site Habitat Baseline'!$D$1:$O$258,9,FALSE)),"",(VLOOKUP($E55,'D-1 Off Site Habitat Baseline'!$D$1:$O$258,9,FALSE))))</f>
        <v/>
      </c>
      <c r="L55" s="520" t="str">
        <f>IF(E55="","",IF(ISNA(VLOOKUP($E55,'D-1 Off Site Habitat Baseline'!$D$1:$O$258,11,FALSE)),"",(VLOOKUP($E55,'D-1 Off Site Habitat Baseline'!$D$1:$O$258,11,FALSE))))</f>
        <v/>
      </c>
      <c r="M55" s="520" t="str">
        <f>IF(E55="","",IF(ISNA(VLOOKUP($E55,'D-1 Off Site Habitat Baseline'!$D$1:$O$258,12,FALSE)),"",(VLOOKUP($E55,'D-1 Off Site Habitat Baseline'!$D$1:$O$258,12,FALSE))))</f>
        <v/>
      </c>
      <c r="N55" s="520" t="str">
        <f>IF(E55="","",IF(ISNA(VLOOKUP($E55,'D-1 Off Site Habitat Baseline'!$D$1:$X$258,14,FALSE)),"",(VLOOKUP($E55,'D-1 Off Site Habitat Baseline'!$D$1:$X$258,14,FALSE))))</f>
        <v/>
      </c>
      <c r="O55" s="524" t="str">
        <f>IF(E55="","",IF(ISNA(VLOOKUP($E55,'D-1 Off Site Habitat Baseline'!$D$1:$X$258,13,FALSE)),"",(VLOOKUP($E55,'D-1 Off Site Habitat Baseline'!$D$1:$X$258,13,FALSE))))</f>
        <v/>
      </c>
      <c r="P55" s="232" t="str">
        <f>IFERROR(INDEX('G-1 All Habitats'!$AG$3:$AG$15,MATCH(Q55,'G-1 All Habitats'!$AF$3:$AF$15,0)),"")</f>
        <v/>
      </c>
      <c r="Q55" s="228" t="str">
        <f t="shared" si="12"/>
        <v/>
      </c>
      <c r="R55" s="229" t="str">
        <f t="shared" si="13"/>
        <v/>
      </c>
      <c r="S55" s="233" t="str">
        <f>IFERROR(INDEX('G-1 All Habitats'!$B$3:$B$129,MATCH(R55,'G-1 All Habitats'!$A$3:$A$129,0)),"")</f>
        <v/>
      </c>
      <c r="T55" s="507" t="str">
        <f t="shared" si="5"/>
        <v/>
      </c>
      <c r="U55" s="524" t="str">
        <f t="shared" si="6"/>
        <v/>
      </c>
      <c r="V55" s="523" t="str">
        <f t="shared" si="2"/>
        <v/>
      </c>
      <c r="W55" s="520" t="str">
        <f>IF(S55="","",VLOOKUP(S55,'G-1 All Habitats'!$B$2:$M$129,10,FALSE))</f>
        <v/>
      </c>
      <c r="X55" s="520" t="str">
        <f>IFERROR(VLOOKUP(W55,'G-1 All Habitats'!$V$3:$W$7,2,FALSE),"")</f>
        <v/>
      </c>
      <c r="Y55" s="203"/>
      <c r="Z55" s="524" t="str">
        <f>IFERROR(INDEX('G-8 Condition Look up'!$A$3:$H$130,MATCH(S55,'G-8 Condition Look up'!$A$3:$A$130,0),MATCH(Y55,'G-8 Condition Look up'!$A$3:$H$3,0)),"")</f>
        <v/>
      </c>
      <c r="AA55" s="145"/>
      <c r="AB55" s="540" t="str">
        <f>IF(AA55="","",IF(VLOOKUP(AA55,'G-3 Multipliers'!$L$3:$N$6,2,FALSE)=0,"Spatial Data Missing ⚠",VLOOKUP(AA55,'G-3 Multipliers'!$L$3:$N$6,2,FALSE)))</f>
        <v/>
      </c>
      <c r="AC55" s="524" t="str">
        <f>IF(AA55="","",IF(VLOOKUP(AA55,'G-3 Multipliers'!$L$3:$N$6,3,FALSE)=0,"Spatial Data Missing ⚠",VLOOKUP(AA55,'G-3 Multipliers'!$L$3:$N$6,3,FALSE)))</f>
        <v/>
      </c>
      <c r="AD55" s="537" t="str">
        <f t="shared" si="3"/>
        <v/>
      </c>
      <c r="AE55" s="203"/>
      <c r="AF55" s="203"/>
      <c r="AG55" s="520" t="str">
        <f t="shared" si="7"/>
        <v/>
      </c>
      <c r="AH55" s="544" t="str">
        <f t="shared" si="8"/>
        <v/>
      </c>
      <c r="AI55" s="525" t="str">
        <f>IF(AH55="Check Data ⚠","Check Data ⚠",IFERROR(VLOOKUP(AH55,'G-4 Temporal multipliers'!$A$4:$C$36,3,FALSE),""))</f>
        <v/>
      </c>
      <c r="AJ55" s="537" t="str">
        <f>IF(S55="","",VLOOKUP(S55,'G-3 Multipliers'!$A$2:$E$129,4,FALSE))</f>
        <v/>
      </c>
      <c r="AK55" s="520" t="str">
        <f t="shared" si="9"/>
        <v/>
      </c>
      <c r="AL55" s="520" t="str">
        <f t="shared" si="10"/>
        <v/>
      </c>
      <c r="AM55" s="524" t="str">
        <f>IFERROR(IF(F55="","",IF(AH55="Check Data ⚠","Check Data ⚠",VLOOKUP(AL55, 'G-3 Multipliers'!$P$2:$Q$6,2,FALSE))),"")</f>
        <v/>
      </c>
      <c r="AN55" s="197"/>
      <c r="AO55" s="540" t="str">
        <f>IF(AN55="","",IF(VLOOKUP(AN55,'G-3 Multipliers'!$S$3:$T$9,2,FALSE)=0,"Spatial Data Missing ⚠",VLOOKUP(AN55,'G-3 Multipliers'!$S$3:$T$9,2,FALSE)))</f>
        <v/>
      </c>
      <c r="AP55" s="513" t="str">
        <f t="shared" si="11"/>
        <v/>
      </c>
      <c r="AQ55" s="231"/>
      <c r="AR55" s="150"/>
    </row>
    <row r="56" spans="1:44" x14ac:dyDescent="0.3">
      <c r="A56" s="31" t="str">
        <f>IF(E56="","",IF(ISNA(VLOOKUP($E56,'D-1 Off Site Habitat Baseline'!$D$1:$O$258,2,FALSE)),"",(VLOOKUP($E56,'D-1 Off Site Habitat Baseline'!$D$1:$O$258,2,FALSE))))</f>
        <v/>
      </c>
      <c r="B56" s="31" t="str">
        <f>IF(E56="","",IF(ISNA(VLOOKUP($E56,'D-1 Off Site Habitat Baseline'!$D$1:$O$258,3,FALSE)),"",(VLOOKUP($E56,'D-1 Off Site Habitat Baseline'!$D$1:$O$258,3,FALSE))))</f>
        <v/>
      </c>
      <c r="C56" s="31" t="str">
        <f>IFERROR(INDEX('G-8 Condition Look up'!$I$4:$I$130,MATCH(S56,'G-8 Condition Look up'!$A$4:$A$130,0)),"")</f>
        <v/>
      </c>
      <c r="E56" s="547" t="str">
        <f>'D-1 Off Site Habitat Baseline'!AL55</f>
        <v/>
      </c>
      <c r="F56" s="520" t="str">
        <f>IF(E56="","",IF(ISNA(VLOOKUP($E56,'D-1 Off Site Habitat Baseline'!$D$1:$O$258,4,FALSE)),"",(VLOOKUP($E56,'D-1 Off Site Habitat Baseline'!$D$1:$O$258,4,FALSE))))</f>
        <v/>
      </c>
      <c r="G56" s="520" t="str">
        <f>IF(E56="","",IF(ISNA(VLOOKUP($E56,'D-1 Off Site Habitat Baseline'!$D$1:$O$258,5,FALSE)),"",(VLOOKUP($E56,'D-1 Off Site Habitat Baseline'!$D$1:$O$258,5,FALSE))))</f>
        <v/>
      </c>
      <c r="H56" s="520" t="str">
        <f>IF(E56="","",IF(ISNA(VLOOKUP($E56,'D-1 Off Site Habitat Baseline'!$D$1:$O$258,6,FALSE)),"",(VLOOKUP($E56,'D-1 Off Site Habitat Baseline'!$D$1:$O$258,6,FALSE))))</f>
        <v/>
      </c>
      <c r="I56" s="520" t="str">
        <f>IF(E56="","",IF(ISNA(VLOOKUP($E56,'D-1 Off Site Habitat Baseline'!$D$1:$O$258,7,FALSE)),"",(VLOOKUP($E56,'D-1 Off Site Habitat Baseline'!$D$1:$O$258,7,FALSE))))</f>
        <v/>
      </c>
      <c r="J56" s="520" t="str">
        <f>IF(E56="","",IF(ISNA(VLOOKUP($E56,'D-1 Off Site Habitat Baseline'!$D$1:$O$258,8,FALSE)),"",(VLOOKUP($E56,'D-1 Off Site Habitat Baseline'!$D$1:$O$258,8,FALSE))))</f>
        <v/>
      </c>
      <c r="K56" s="520" t="str">
        <f>IF(E56="","",IF(ISNA(VLOOKUP($E56,'D-1 Off Site Habitat Baseline'!$D$1:$O$258,9,FALSE)),"",(VLOOKUP($E56,'D-1 Off Site Habitat Baseline'!$D$1:$O$258,9,FALSE))))</f>
        <v/>
      </c>
      <c r="L56" s="520" t="str">
        <f>IF(E56="","",IF(ISNA(VLOOKUP($E56,'D-1 Off Site Habitat Baseline'!$D$1:$O$258,11,FALSE)),"",(VLOOKUP($E56,'D-1 Off Site Habitat Baseline'!$D$1:$O$258,11,FALSE))))</f>
        <v/>
      </c>
      <c r="M56" s="520" t="str">
        <f>IF(E56="","",IF(ISNA(VLOOKUP($E56,'D-1 Off Site Habitat Baseline'!$D$1:$O$258,12,FALSE)),"",(VLOOKUP($E56,'D-1 Off Site Habitat Baseline'!$D$1:$O$258,12,FALSE))))</f>
        <v/>
      </c>
      <c r="N56" s="520" t="str">
        <f>IF(E56="","",IF(ISNA(VLOOKUP($E56,'D-1 Off Site Habitat Baseline'!$D$1:$X$258,14,FALSE)),"",(VLOOKUP($E56,'D-1 Off Site Habitat Baseline'!$D$1:$X$258,14,FALSE))))</f>
        <v/>
      </c>
      <c r="O56" s="524" t="str">
        <f>IF(E56="","",IF(ISNA(VLOOKUP($E56,'D-1 Off Site Habitat Baseline'!$D$1:$X$258,13,FALSE)),"",(VLOOKUP($E56,'D-1 Off Site Habitat Baseline'!$D$1:$X$258,13,FALSE))))</f>
        <v/>
      </c>
      <c r="P56" s="232" t="str">
        <f>IFERROR(INDEX('G-1 All Habitats'!$AG$3:$AG$15,MATCH(Q56,'G-1 All Habitats'!$AF$3:$AF$15,0)),"")</f>
        <v/>
      </c>
      <c r="Q56" s="228" t="str">
        <f t="shared" si="12"/>
        <v/>
      </c>
      <c r="R56" s="229" t="str">
        <f t="shared" si="13"/>
        <v/>
      </c>
      <c r="S56" s="233" t="str">
        <f>IFERROR(INDEX('G-1 All Habitats'!$B$3:$B$129,MATCH(R56,'G-1 All Habitats'!$A$3:$A$129,0)),"")</f>
        <v/>
      </c>
      <c r="T56" s="507" t="str">
        <f t="shared" si="5"/>
        <v/>
      </c>
      <c r="U56" s="524" t="str">
        <f t="shared" si="6"/>
        <v/>
      </c>
      <c r="V56" s="523" t="str">
        <f t="shared" si="2"/>
        <v/>
      </c>
      <c r="W56" s="520" t="str">
        <f>IF(S56="","",VLOOKUP(S56,'G-1 All Habitats'!$B$2:$M$129,10,FALSE))</f>
        <v/>
      </c>
      <c r="X56" s="520" t="str">
        <f>IFERROR(VLOOKUP(W56,'G-1 All Habitats'!$V$3:$W$7,2,FALSE),"")</f>
        <v/>
      </c>
      <c r="Y56" s="203"/>
      <c r="Z56" s="524" t="str">
        <f>IFERROR(INDEX('G-8 Condition Look up'!$A$3:$H$130,MATCH(S56,'G-8 Condition Look up'!$A$3:$A$130,0),MATCH(Y56,'G-8 Condition Look up'!$A$3:$H$3,0)),"")</f>
        <v/>
      </c>
      <c r="AA56" s="145"/>
      <c r="AB56" s="540" t="str">
        <f>IF(AA56="","",IF(VLOOKUP(AA56,'G-3 Multipliers'!$L$3:$N$6,2,FALSE)=0,"Spatial Data Missing ⚠",VLOOKUP(AA56,'G-3 Multipliers'!$L$3:$N$6,2,FALSE)))</f>
        <v/>
      </c>
      <c r="AC56" s="524" t="str">
        <f>IF(AA56="","",IF(VLOOKUP(AA56,'G-3 Multipliers'!$L$3:$N$6,3,FALSE)=0,"Spatial Data Missing ⚠",VLOOKUP(AA56,'G-3 Multipliers'!$L$3:$N$6,3,FALSE)))</f>
        <v/>
      </c>
      <c r="AD56" s="537" t="str">
        <f t="shared" si="3"/>
        <v/>
      </c>
      <c r="AE56" s="203"/>
      <c r="AF56" s="203"/>
      <c r="AG56" s="520" t="str">
        <f t="shared" si="7"/>
        <v/>
      </c>
      <c r="AH56" s="544" t="str">
        <f t="shared" si="8"/>
        <v/>
      </c>
      <c r="AI56" s="525" t="str">
        <f>IF(AH56="Check Data ⚠","Check Data ⚠",IFERROR(VLOOKUP(AH56,'G-4 Temporal multipliers'!$A$4:$C$36,3,FALSE),""))</f>
        <v/>
      </c>
      <c r="AJ56" s="537" t="str">
        <f>IF(S56="","",VLOOKUP(S56,'G-3 Multipliers'!$A$2:$E$129,4,FALSE))</f>
        <v/>
      </c>
      <c r="AK56" s="520" t="str">
        <f t="shared" si="9"/>
        <v/>
      </c>
      <c r="AL56" s="520" t="str">
        <f t="shared" si="10"/>
        <v/>
      </c>
      <c r="AM56" s="524" t="str">
        <f>IFERROR(IF(F56="","",IF(AH56="Check Data ⚠","Check Data ⚠",VLOOKUP(AL56, 'G-3 Multipliers'!$P$2:$Q$6,2,FALSE))),"")</f>
        <v/>
      </c>
      <c r="AN56" s="197"/>
      <c r="AO56" s="540" t="str">
        <f>IF(AN56="","",IF(VLOOKUP(AN56,'G-3 Multipliers'!$S$3:$T$9,2,FALSE)=0,"Spatial Data Missing ⚠",VLOOKUP(AN56,'G-3 Multipliers'!$S$3:$T$9,2,FALSE)))</f>
        <v/>
      </c>
      <c r="AP56" s="513" t="str">
        <f t="shared" si="11"/>
        <v/>
      </c>
      <c r="AQ56" s="231"/>
      <c r="AR56" s="150"/>
    </row>
    <row r="57" spans="1:44" x14ac:dyDescent="0.3">
      <c r="A57" s="31" t="str">
        <f>IF(E57="","",IF(ISNA(VLOOKUP($E57,'D-1 Off Site Habitat Baseline'!$D$1:$O$258,2,FALSE)),"",(VLOOKUP($E57,'D-1 Off Site Habitat Baseline'!$D$1:$O$258,2,FALSE))))</f>
        <v/>
      </c>
      <c r="B57" s="31" t="str">
        <f>IF(E57="","",IF(ISNA(VLOOKUP($E57,'D-1 Off Site Habitat Baseline'!$D$1:$O$258,3,FALSE)),"",(VLOOKUP($E57,'D-1 Off Site Habitat Baseline'!$D$1:$O$258,3,FALSE))))</f>
        <v/>
      </c>
      <c r="C57" s="31" t="str">
        <f>IFERROR(INDEX('G-8 Condition Look up'!$I$4:$I$130,MATCH(S57,'G-8 Condition Look up'!$A$4:$A$130,0)),"")</f>
        <v/>
      </c>
      <c r="E57" s="547" t="str">
        <f>'D-1 Off Site Habitat Baseline'!AL56</f>
        <v/>
      </c>
      <c r="F57" s="520" t="str">
        <f>IF(E57="","",IF(ISNA(VLOOKUP($E57,'D-1 Off Site Habitat Baseline'!$D$1:$O$258,4,FALSE)),"",(VLOOKUP($E57,'D-1 Off Site Habitat Baseline'!$D$1:$O$258,4,FALSE))))</f>
        <v/>
      </c>
      <c r="G57" s="520" t="str">
        <f>IF(E57="","",IF(ISNA(VLOOKUP($E57,'D-1 Off Site Habitat Baseline'!$D$1:$O$258,5,FALSE)),"",(VLOOKUP($E57,'D-1 Off Site Habitat Baseline'!$D$1:$O$258,5,FALSE))))</f>
        <v/>
      </c>
      <c r="H57" s="520" t="str">
        <f>IF(E57="","",IF(ISNA(VLOOKUP($E57,'D-1 Off Site Habitat Baseline'!$D$1:$O$258,6,FALSE)),"",(VLOOKUP($E57,'D-1 Off Site Habitat Baseline'!$D$1:$O$258,6,FALSE))))</f>
        <v/>
      </c>
      <c r="I57" s="520" t="str">
        <f>IF(E57="","",IF(ISNA(VLOOKUP($E57,'D-1 Off Site Habitat Baseline'!$D$1:$O$258,7,FALSE)),"",(VLOOKUP($E57,'D-1 Off Site Habitat Baseline'!$D$1:$O$258,7,FALSE))))</f>
        <v/>
      </c>
      <c r="J57" s="520" t="str">
        <f>IF(E57="","",IF(ISNA(VLOOKUP($E57,'D-1 Off Site Habitat Baseline'!$D$1:$O$258,8,FALSE)),"",(VLOOKUP($E57,'D-1 Off Site Habitat Baseline'!$D$1:$O$258,8,FALSE))))</f>
        <v/>
      </c>
      <c r="K57" s="520" t="str">
        <f>IF(E57="","",IF(ISNA(VLOOKUP($E57,'D-1 Off Site Habitat Baseline'!$D$1:$O$258,9,FALSE)),"",(VLOOKUP($E57,'D-1 Off Site Habitat Baseline'!$D$1:$O$258,9,FALSE))))</f>
        <v/>
      </c>
      <c r="L57" s="520" t="str">
        <f>IF(E57="","",IF(ISNA(VLOOKUP($E57,'D-1 Off Site Habitat Baseline'!$D$1:$O$258,11,FALSE)),"",(VLOOKUP($E57,'D-1 Off Site Habitat Baseline'!$D$1:$O$258,11,FALSE))))</f>
        <v/>
      </c>
      <c r="M57" s="520" t="str">
        <f>IF(E57="","",IF(ISNA(VLOOKUP($E57,'D-1 Off Site Habitat Baseline'!$D$1:$O$258,12,FALSE)),"",(VLOOKUP($E57,'D-1 Off Site Habitat Baseline'!$D$1:$O$258,12,FALSE))))</f>
        <v/>
      </c>
      <c r="N57" s="520" t="str">
        <f>IF(E57="","",IF(ISNA(VLOOKUP($E57,'D-1 Off Site Habitat Baseline'!$D$1:$X$258,14,FALSE)),"",(VLOOKUP($E57,'D-1 Off Site Habitat Baseline'!$D$1:$X$258,14,FALSE))))</f>
        <v/>
      </c>
      <c r="O57" s="524" t="str">
        <f>IF(E57="","",IF(ISNA(VLOOKUP($E57,'D-1 Off Site Habitat Baseline'!$D$1:$X$258,13,FALSE)),"",(VLOOKUP($E57,'D-1 Off Site Habitat Baseline'!$D$1:$X$258,13,FALSE))))</f>
        <v/>
      </c>
      <c r="P57" s="232" t="str">
        <f>IFERROR(INDEX('G-1 All Habitats'!$AG$3:$AG$15,MATCH(Q57,'G-1 All Habitats'!$AF$3:$AF$15,0)),"")</f>
        <v/>
      </c>
      <c r="Q57" s="228" t="str">
        <f t="shared" si="12"/>
        <v/>
      </c>
      <c r="R57" s="229" t="str">
        <f t="shared" si="13"/>
        <v/>
      </c>
      <c r="S57" s="233" t="str">
        <f>IFERROR(INDEX('G-1 All Habitats'!$B$3:$B$129,MATCH(R57,'G-1 All Habitats'!$A$3:$A$129,0)),"")</f>
        <v/>
      </c>
      <c r="T57" s="507" t="str">
        <f t="shared" si="5"/>
        <v/>
      </c>
      <c r="U57" s="524" t="str">
        <f t="shared" si="6"/>
        <v/>
      </c>
      <c r="V57" s="523" t="str">
        <f t="shared" si="2"/>
        <v/>
      </c>
      <c r="W57" s="520" t="str">
        <f>IF(S57="","",VLOOKUP(S57,'G-1 All Habitats'!$B$2:$M$129,10,FALSE))</f>
        <v/>
      </c>
      <c r="X57" s="520" t="str">
        <f>IFERROR(VLOOKUP(W57,'G-1 All Habitats'!$V$3:$W$7,2,FALSE),"")</f>
        <v/>
      </c>
      <c r="Y57" s="203"/>
      <c r="Z57" s="524" t="str">
        <f>IFERROR(INDEX('G-8 Condition Look up'!$A$3:$H$130,MATCH(S57,'G-8 Condition Look up'!$A$3:$A$130,0),MATCH(Y57,'G-8 Condition Look up'!$A$3:$H$3,0)),"")</f>
        <v/>
      </c>
      <c r="AA57" s="145"/>
      <c r="AB57" s="540" t="str">
        <f>IF(AA57="","",IF(VLOOKUP(AA57,'G-3 Multipliers'!$L$3:$N$6,2,FALSE)=0,"Spatial Data Missing ⚠",VLOOKUP(AA57,'G-3 Multipliers'!$L$3:$N$6,2,FALSE)))</f>
        <v/>
      </c>
      <c r="AC57" s="524" t="str">
        <f>IF(AA57="","",IF(VLOOKUP(AA57,'G-3 Multipliers'!$L$3:$N$6,3,FALSE)=0,"Spatial Data Missing ⚠",VLOOKUP(AA57,'G-3 Multipliers'!$L$3:$N$6,3,FALSE)))</f>
        <v/>
      </c>
      <c r="AD57" s="537" t="str">
        <f t="shared" si="3"/>
        <v/>
      </c>
      <c r="AE57" s="203"/>
      <c r="AF57" s="203"/>
      <c r="AG57" s="520" t="str">
        <f t="shared" si="7"/>
        <v/>
      </c>
      <c r="AH57" s="544" t="str">
        <f t="shared" si="8"/>
        <v/>
      </c>
      <c r="AI57" s="525" t="str">
        <f>IF(AH57="Check Data ⚠","Check Data ⚠",IFERROR(VLOOKUP(AH57,'G-4 Temporal multipliers'!$A$4:$C$36,3,FALSE),""))</f>
        <v/>
      </c>
      <c r="AJ57" s="537" t="str">
        <f>IF(S57="","",VLOOKUP(S57,'G-3 Multipliers'!$A$2:$E$129,4,FALSE))</f>
        <v/>
      </c>
      <c r="AK57" s="520" t="str">
        <f t="shared" si="9"/>
        <v/>
      </c>
      <c r="AL57" s="520" t="str">
        <f t="shared" si="10"/>
        <v/>
      </c>
      <c r="AM57" s="524" t="str">
        <f>IFERROR(IF(F57="","",IF(AH57="Check Data ⚠","Check Data ⚠",VLOOKUP(AL57, 'G-3 Multipliers'!$P$2:$Q$6,2,FALSE))),"")</f>
        <v/>
      </c>
      <c r="AN57" s="197"/>
      <c r="AO57" s="540" t="str">
        <f>IF(AN57="","",IF(VLOOKUP(AN57,'G-3 Multipliers'!$S$3:$T$9,2,FALSE)=0,"Spatial Data Missing ⚠",VLOOKUP(AN57,'G-3 Multipliers'!$S$3:$T$9,2,FALSE)))</f>
        <v/>
      </c>
      <c r="AP57" s="513" t="str">
        <f t="shared" si="11"/>
        <v/>
      </c>
      <c r="AQ57" s="231"/>
      <c r="AR57" s="150"/>
    </row>
    <row r="58" spans="1:44" x14ac:dyDescent="0.3">
      <c r="A58" s="31" t="str">
        <f>IF(E58="","",IF(ISNA(VLOOKUP($E58,'D-1 Off Site Habitat Baseline'!$D$1:$O$258,2,FALSE)),"",(VLOOKUP($E58,'D-1 Off Site Habitat Baseline'!$D$1:$O$258,2,FALSE))))</f>
        <v/>
      </c>
      <c r="B58" s="31" t="str">
        <f>IF(E58="","",IF(ISNA(VLOOKUP($E58,'D-1 Off Site Habitat Baseline'!$D$1:$O$258,3,FALSE)),"",(VLOOKUP($E58,'D-1 Off Site Habitat Baseline'!$D$1:$O$258,3,FALSE))))</f>
        <v/>
      </c>
      <c r="C58" s="31" t="str">
        <f>IFERROR(INDEX('G-8 Condition Look up'!$I$4:$I$130,MATCH(S58,'G-8 Condition Look up'!$A$4:$A$130,0)),"")</f>
        <v/>
      </c>
      <c r="E58" s="547" t="str">
        <f>'D-1 Off Site Habitat Baseline'!AL57</f>
        <v/>
      </c>
      <c r="F58" s="520" t="str">
        <f>IF(E58="","",IF(ISNA(VLOOKUP($E58,'D-1 Off Site Habitat Baseline'!$D$1:$O$258,4,FALSE)),"",(VLOOKUP($E58,'D-1 Off Site Habitat Baseline'!$D$1:$O$258,4,FALSE))))</f>
        <v/>
      </c>
      <c r="G58" s="520" t="str">
        <f>IF(E58="","",IF(ISNA(VLOOKUP($E58,'D-1 Off Site Habitat Baseline'!$D$1:$O$258,5,FALSE)),"",(VLOOKUP($E58,'D-1 Off Site Habitat Baseline'!$D$1:$O$258,5,FALSE))))</f>
        <v/>
      </c>
      <c r="H58" s="520" t="str">
        <f>IF(E58="","",IF(ISNA(VLOOKUP($E58,'D-1 Off Site Habitat Baseline'!$D$1:$O$258,6,FALSE)),"",(VLOOKUP($E58,'D-1 Off Site Habitat Baseline'!$D$1:$O$258,6,FALSE))))</f>
        <v/>
      </c>
      <c r="I58" s="520" t="str">
        <f>IF(E58="","",IF(ISNA(VLOOKUP($E58,'D-1 Off Site Habitat Baseline'!$D$1:$O$258,7,FALSE)),"",(VLOOKUP($E58,'D-1 Off Site Habitat Baseline'!$D$1:$O$258,7,FALSE))))</f>
        <v/>
      </c>
      <c r="J58" s="520" t="str">
        <f>IF(E58="","",IF(ISNA(VLOOKUP($E58,'D-1 Off Site Habitat Baseline'!$D$1:$O$258,8,FALSE)),"",(VLOOKUP($E58,'D-1 Off Site Habitat Baseline'!$D$1:$O$258,8,FALSE))))</f>
        <v/>
      </c>
      <c r="K58" s="520" t="str">
        <f>IF(E58="","",IF(ISNA(VLOOKUP($E58,'D-1 Off Site Habitat Baseline'!$D$1:$O$258,9,FALSE)),"",(VLOOKUP($E58,'D-1 Off Site Habitat Baseline'!$D$1:$O$258,9,FALSE))))</f>
        <v/>
      </c>
      <c r="L58" s="520" t="str">
        <f>IF(E58="","",IF(ISNA(VLOOKUP($E58,'D-1 Off Site Habitat Baseline'!$D$1:$O$258,11,FALSE)),"",(VLOOKUP($E58,'D-1 Off Site Habitat Baseline'!$D$1:$O$258,11,FALSE))))</f>
        <v/>
      </c>
      <c r="M58" s="520" t="str">
        <f>IF(E58="","",IF(ISNA(VLOOKUP($E58,'D-1 Off Site Habitat Baseline'!$D$1:$O$258,12,FALSE)),"",(VLOOKUP($E58,'D-1 Off Site Habitat Baseline'!$D$1:$O$258,12,FALSE))))</f>
        <v/>
      </c>
      <c r="N58" s="520" t="str">
        <f>IF(E58="","",IF(ISNA(VLOOKUP($E58,'D-1 Off Site Habitat Baseline'!$D$1:$X$258,14,FALSE)),"",(VLOOKUP($E58,'D-1 Off Site Habitat Baseline'!$D$1:$X$258,14,FALSE))))</f>
        <v/>
      </c>
      <c r="O58" s="524" t="str">
        <f>IF(E58="","",IF(ISNA(VLOOKUP($E58,'D-1 Off Site Habitat Baseline'!$D$1:$X$258,13,FALSE)),"",(VLOOKUP($E58,'D-1 Off Site Habitat Baseline'!$D$1:$X$258,13,FALSE))))</f>
        <v/>
      </c>
      <c r="P58" s="232" t="str">
        <f>IFERROR(INDEX('G-1 All Habitats'!$AG$3:$AG$15,MATCH(Q58,'G-1 All Habitats'!$AF$3:$AF$15,0)),"")</f>
        <v/>
      </c>
      <c r="Q58" s="228" t="str">
        <f t="shared" si="12"/>
        <v/>
      </c>
      <c r="R58" s="229" t="str">
        <f t="shared" si="13"/>
        <v/>
      </c>
      <c r="S58" s="233" t="str">
        <f>IFERROR(INDEX('G-1 All Habitats'!$B$3:$B$129,MATCH(R58,'G-1 All Habitats'!$A$3:$A$129,0)),"")</f>
        <v/>
      </c>
      <c r="T58" s="507" t="str">
        <f t="shared" si="5"/>
        <v/>
      </c>
      <c r="U58" s="524" t="str">
        <f t="shared" si="6"/>
        <v/>
      </c>
      <c r="V58" s="523" t="str">
        <f t="shared" si="2"/>
        <v/>
      </c>
      <c r="W58" s="520" t="str">
        <f>IF(S58="","",VLOOKUP(S58,'G-1 All Habitats'!$B$2:$M$129,10,FALSE))</f>
        <v/>
      </c>
      <c r="X58" s="520" t="str">
        <f>IFERROR(VLOOKUP(W58,'G-1 All Habitats'!$V$3:$W$7,2,FALSE),"")</f>
        <v/>
      </c>
      <c r="Y58" s="203"/>
      <c r="Z58" s="524" t="str">
        <f>IFERROR(INDEX('G-8 Condition Look up'!$A$3:$H$130,MATCH(S58,'G-8 Condition Look up'!$A$3:$A$130,0),MATCH(Y58,'G-8 Condition Look up'!$A$3:$H$3,0)),"")</f>
        <v/>
      </c>
      <c r="AA58" s="145"/>
      <c r="AB58" s="540" t="str">
        <f>IF(AA58="","",IF(VLOOKUP(AA58,'G-3 Multipliers'!$L$3:$N$6,2,FALSE)=0,"Spatial Data Missing ⚠",VLOOKUP(AA58,'G-3 Multipliers'!$L$3:$N$6,2,FALSE)))</f>
        <v/>
      </c>
      <c r="AC58" s="524" t="str">
        <f>IF(AA58="","",IF(VLOOKUP(AA58,'G-3 Multipliers'!$L$3:$N$6,3,FALSE)=0,"Spatial Data Missing ⚠",VLOOKUP(AA58,'G-3 Multipliers'!$L$3:$N$6,3,FALSE)))</f>
        <v/>
      </c>
      <c r="AD58" s="537" t="str">
        <f t="shared" si="3"/>
        <v/>
      </c>
      <c r="AE58" s="203"/>
      <c r="AF58" s="203"/>
      <c r="AG58" s="520" t="str">
        <f t="shared" si="7"/>
        <v/>
      </c>
      <c r="AH58" s="544" t="str">
        <f t="shared" si="8"/>
        <v/>
      </c>
      <c r="AI58" s="525" t="str">
        <f>IF(AH58="Check Data ⚠","Check Data ⚠",IFERROR(VLOOKUP(AH58,'G-4 Temporal multipliers'!$A$4:$C$36,3,FALSE),""))</f>
        <v/>
      </c>
      <c r="AJ58" s="537" t="str">
        <f>IF(S58="","",VLOOKUP(S58,'G-3 Multipliers'!$A$2:$E$129,4,FALSE))</f>
        <v/>
      </c>
      <c r="AK58" s="520" t="str">
        <f t="shared" si="9"/>
        <v/>
      </c>
      <c r="AL58" s="520" t="str">
        <f t="shared" si="10"/>
        <v/>
      </c>
      <c r="AM58" s="524" t="str">
        <f>IFERROR(IF(F58="","",IF(AH58="Check Data ⚠","Check Data ⚠",VLOOKUP(AL58, 'G-3 Multipliers'!$P$2:$Q$6,2,FALSE))),"")</f>
        <v/>
      </c>
      <c r="AN58" s="197"/>
      <c r="AO58" s="540" t="str">
        <f>IF(AN58="","",IF(VLOOKUP(AN58,'G-3 Multipliers'!$S$3:$T$9,2,FALSE)=0,"Spatial Data Missing ⚠",VLOOKUP(AN58,'G-3 Multipliers'!$S$3:$T$9,2,FALSE)))</f>
        <v/>
      </c>
      <c r="AP58" s="513" t="str">
        <f t="shared" si="11"/>
        <v/>
      </c>
      <c r="AQ58" s="231"/>
      <c r="AR58" s="150"/>
    </row>
    <row r="59" spans="1:44" x14ac:dyDescent="0.3">
      <c r="A59" s="31" t="str">
        <f>IF(E59="","",IF(ISNA(VLOOKUP($E59,'D-1 Off Site Habitat Baseline'!$D$1:$O$258,2,FALSE)),"",(VLOOKUP($E59,'D-1 Off Site Habitat Baseline'!$D$1:$O$258,2,FALSE))))</f>
        <v/>
      </c>
      <c r="B59" s="31" t="str">
        <f>IF(E59="","",IF(ISNA(VLOOKUP($E59,'D-1 Off Site Habitat Baseline'!$D$1:$O$258,3,FALSE)),"",(VLOOKUP($E59,'D-1 Off Site Habitat Baseline'!$D$1:$O$258,3,FALSE))))</f>
        <v/>
      </c>
      <c r="C59" s="31" t="str">
        <f>IFERROR(INDEX('G-8 Condition Look up'!$I$4:$I$130,MATCH(S59,'G-8 Condition Look up'!$A$4:$A$130,0)),"")</f>
        <v/>
      </c>
      <c r="E59" s="547" t="str">
        <f>'D-1 Off Site Habitat Baseline'!AL58</f>
        <v/>
      </c>
      <c r="F59" s="520" t="str">
        <f>IF(E59="","",IF(ISNA(VLOOKUP($E59,'D-1 Off Site Habitat Baseline'!$D$1:$O$258,4,FALSE)),"",(VLOOKUP($E59,'D-1 Off Site Habitat Baseline'!$D$1:$O$258,4,FALSE))))</f>
        <v/>
      </c>
      <c r="G59" s="520" t="str">
        <f>IF(E59="","",IF(ISNA(VLOOKUP($E59,'D-1 Off Site Habitat Baseline'!$D$1:$O$258,5,FALSE)),"",(VLOOKUP($E59,'D-1 Off Site Habitat Baseline'!$D$1:$O$258,5,FALSE))))</f>
        <v/>
      </c>
      <c r="H59" s="520" t="str">
        <f>IF(E59="","",IF(ISNA(VLOOKUP($E59,'D-1 Off Site Habitat Baseline'!$D$1:$O$258,6,FALSE)),"",(VLOOKUP($E59,'D-1 Off Site Habitat Baseline'!$D$1:$O$258,6,FALSE))))</f>
        <v/>
      </c>
      <c r="I59" s="520" t="str">
        <f>IF(E59="","",IF(ISNA(VLOOKUP($E59,'D-1 Off Site Habitat Baseline'!$D$1:$O$258,7,FALSE)),"",(VLOOKUP($E59,'D-1 Off Site Habitat Baseline'!$D$1:$O$258,7,FALSE))))</f>
        <v/>
      </c>
      <c r="J59" s="520" t="str">
        <f>IF(E59="","",IF(ISNA(VLOOKUP($E59,'D-1 Off Site Habitat Baseline'!$D$1:$O$258,8,FALSE)),"",(VLOOKUP($E59,'D-1 Off Site Habitat Baseline'!$D$1:$O$258,8,FALSE))))</f>
        <v/>
      </c>
      <c r="K59" s="520" t="str">
        <f>IF(E59="","",IF(ISNA(VLOOKUP($E59,'D-1 Off Site Habitat Baseline'!$D$1:$O$258,9,FALSE)),"",(VLOOKUP($E59,'D-1 Off Site Habitat Baseline'!$D$1:$O$258,9,FALSE))))</f>
        <v/>
      </c>
      <c r="L59" s="520" t="str">
        <f>IF(E59="","",IF(ISNA(VLOOKUP($E59,'D-1 Off Site Habitat Baseline'!$D$1:$O$258,11,FALSE)),"",(VLOOKUP($E59,'D-1 Off Site Habitat Baseline'!$D$1:$O$258,11,FALSE))))</f>
        <v/>
      </c>
      <c r="M59" s="520" t="str">
        <f>IF(E59="","",IF(ISNA(VLOOKUP($E59,'D-1 Off Site Habitat Baseline'!$D$1:$O$258,12,FALSE)),"",(VLOOKUP($E59,'D-1 Off Site Habitat Baseline'!$D$1:$O$258,12,FALSE))))</f>
        <v/>
      </c>
      <c r="N59" s="520" t="str">
        <f>IF(E59="","",IF(ISNA(VLOOKUP($E59,'D-1 Off Site Habitat Baseline'!$D$1:$X$258,14,FALSE)),"",(VLOOKUP($E59,'D-1 Off Site Habitat Baseline'!$D$1:$X$258,14,FALSE))))</f>
        <v/>
      </c>
      <c r="O59" s="524" t="str">
        <f>IF(E59="","",IF(ISNA(VLOOKUP($E59,'D-1 Off Site Habitat Baseline'!$D$1:$X$258,13,FALSE)),"",(VLOOKUP($E59,'D-1 Off Site Habitat Baseline'!$D$1:$X$258,13,FALSE))))</f>
        <v/>
      </c>
      <c r="P59" s="232" t="str">
        <f>IFERROR(INDEX('G-1 All Habitats'!$AG$3:$AG$15,MATCH(Q59,'G-1 All Habitats'!$AF$3:$AF$15,0)),"")</f>
        <v/>
      </c>
      <c r="Q59" s="228" t="str">
        <f t="shared" si="12"/>
        <v/>
      </c>
      <c r="R59" s="229" t="str">
        <f t="shared" si="13"/>
        <v/>
      </c>
      <c r="S59" s="233" t="str">
        <f>IFERROR(INDEX('G-1 All Habitats'!$B$3:$B$129,MATCH(R59,'G-1 All Habitats'!$A$3:$A$129,0)),"")</f>
        <v/>
      </c>
      <c r="T59" s="507" t="str">
        <f t="shared" si="5"/>
        <v/>
      </c>
      <c r="U59" s="524" t="str">
        <f t="shared" si="6"/>
        <v/>
      </c>
      <c r="V59" s="523" t="str">
        <f t="shared" si="2"/>
        <v/>
      </c>
      <c r="W59" s="520" t="str">
        <f>IF(S59="","",VLOOKUP(S59,'G-1 All Habitats'!$B$2:$M$129,10,FALSE))</f>
        <v/>
      </c>
      <c r="X59" s="520" t="str">
        <f>IFERROR(VLOOKUP(W59,'G-1 All Habitats'!$V$3:$W$7,2,FALSE),"")</f>
        <v/>
      </c>
      <c r="Y59" s="203"/>
      <c r="Z59" s="524" t="str">
        <f>IFERROR(INDEX('G-8 Condition Look up'!$A$3:$H$130,MATCH(S59,'G-8 Condition Look up'!$A$3:$A$130,0),MATCH(Y59,'G-8 Condition Look up'!$A$3:$H$3,0)),"")</f>
        <v/>
      </c>
      <c r="AA59" s="145"/>
      <c r="AB59" s="540" t="str">
        <f>IF(AA59="","",IF(VLOOKUP(AA59,'G-3 Multipliers'!$L$3:$N$6,2,FALSE)=0,"Spatial Data Missing ⚠",VLOOKUP(AA59,'G-3 Multipliers'!$L$3:$N$6,2,FALSE)))</f>
        <v/>
      </c>
      <c r="AC59" s="524" t="str">
        <f>IF(AA59="","",IF(VLOOKUP(AA59,'G-3 Multipliers'!$L$3:$N$6,3,FALSE)=0,"Spatial Data Missing ⚠",VLOOKUP(AA59,'G-3 Multipliers'!$L$3:$N$6,3,FALSE)))</f>
        <v/>
      </c>
      <c r="AD59" s="537" t="str">
        <f t="shared" si="3"/>
        <v/>
      </c>
      <c r="AE59" s="203"/>
      <c r="AF59" s="203"/>
      <c r="AG59" s="520" t="str">
        <f t="shared" si="7"/>
        <v/>
      </c>
      <c r="AH59" s="544" t="str">
        <f t="shared" si="8"/>
        <v/>
      </c>
      <c r="AI59" s="525" t="str">
        <f>IF(AH59="Check Data ⚠","Check Data ⚠",IFERROR(VLOOKUP(AH59,'G-4 Temporal multipliers'!$A$4:$C$36,3,FALSE),""))</f>
        <v/>
      </c>
      <c r="AJ59" s="537" t="str">
        <f>IF(S59="","",VLOOKUP(S59,'G-3 Multipliers'!$A$2:$E$129,4,FALSE))</f>
        <v/>
      </c>
      <c r="AK59" s="520" t="str">
        <f t="shared" si="9"/>
        <v/>
      </c>
      <c r="AL59" s="520" t="str">
        <f t="shared" si="10"/>
        <v/>
      </c>
      <c r="AM59" s="524" t="str">
        <f>IFERROR(IF(F59="","",IF(AH59="Check Data ⚠","Check Data ⚠",VLOOKUP(AL59, 'G-3 Multipliers'!$P$2:$Q$6,2,FALSE))),"")</f>
        <v/>
      </c>
      <c r="AN59" s="197"/>
      <c r="AO59" s="540" t="str">
        <f>IF(AN59="","",IF(VLOOKUP(AN59,'G-3 Multipliers'!$S$3:$T$9,2,FALSE)=0,"Spatial Data Missing ⚠",VLOOKUP(AN59,'G-3 Multipliers'!$S$3:$T$9,2,FALSE)))</f>
        <v/>
      </c>
      <c r="AP59" s="513" t="str">
        <f t="shared" si="11"/>
        <v/>
      </c>
      <c r="AQ59" s="231"/>
      <c r="AR59" s="150"/>
    </row>
    <row r="60" spans="1:44" x14ac:dyDescent="0.3">
      <c r="A60" s="31" t="str">
        <f>IF(E60="","",IF(ISNA(VLOOKUP($E60,'D-1 Off Site Habitat Baseline'!$D$1:$O$258,2,FALSE)),"",(VLOOKUP($E60,'D-1 Off Site Habitat Baseline'!$D$1:$O$258,2,FALSE))))</f>
        <v/>
      </c>
      <c r="B60" s="31" t="str">
        <f>IF(E60="","",IF(ISNA(VLOOKUP($E60,'D-1 Off Site Habitat Baseline'!$D$1:$O$258,3,FALSE)),"",(VLOOKUP($E60,'D-1 Off Site Habitat Baseline'!$D$1:$O$258,3,FALSE))))</f>
        <v/>
      </c>
      <c r="C60" s="31" t="str">
        <f>IFERROR(INDEX('G-8 Condition Look up'!$I$4:$I$130,MATCH(S60,'G-8 Condition Look up'!$A$4:$A$130,0)),"")</f>
        <v/>
      </c>
      <c r="E60" s="547" t="str">
        <f>'D-1 Off Site Habitat Baseline'!AL59</f>
        <v/>
      </c>
      <c r="F60" s="520" t="str">
        <f>IF(E60="","",IF(ISNA(VLOOKUP($E60,'D-1 Off Site Habitat Baseline'!$D$1:$O$258,4,FALSE)),"",(VLOOKUP($E60,'D-1 Off Site Habitat Baseline'!$D$1:$O$258,4,FALSE))))</f>
        <v/>
      </c>
      <c r="G60" s="520" t="str">
        <f>IF(E60="","",IF(ISNA(VLOOKUP($E60,'D-1 Off Site Habitat Baseline'!$D$1:$O$258,5,FALSE)),"",(VLOOKUP($E60,'D-1 Off Site Habitat Baseline'!$D$1:$O$258,5,FALSE))))</f>
        <v/>
      </c>
      <c r="H60" s="520" t="str">
        <f>IF(E60="","",IF(ISNA(VLOOKUP($E60,'D-1 Off Site Habitat Baseline'!$D$1:$O$258,6,FALSE)),"",(VLOOKUP($E60,'D-1 Off Site Habitat Baseline'!$D$1:$O$258,6,FALSE))))</f>
        <v/>
      </c>
      <c r="I60" s="520" t="str">
        <f>IF(E60="","",IF(ISNA(VLOOKUP($E60,'D-1 Off Site Habitat Baseline'!$D$1:$O$258,7,FALSE)),"",(VLOOKUP($E60,'D-1 Off Site Habitat Baseline'!$D$1:$O$258,7,FALSE))))</f>
        <v/>
      </c>
      <c r="J60" s="520" t="str">
        <f>IF(E60="","",IF(ISNA(VLOOKUP($E60,'D-1 Off Site Habitat Baseline'!$D$1:$O$258,8,FALSE)),"",(VLOOKUP($E60,'D-1 Off Site Habitat Baseline'!$D$1:$O$258,8,FALSE))))</f>
        <v/>
      </c>
      <c r="K60" s="520" t="str">
        <f>IF(E60="","",IF(ISNA(VLOOKUP($E60,'D-1 Off Site Habitat Baseline'!$D$1:$O$258,9,FALSE)),"",(VLOOKUP($E60,'D-1 Off Site Habitat Baseline'!$D$1:$O$258,9,FALSE))))</f>
        <v/>
      </c>
      <c r="L60" s="520" t="str">
        <f>IF(E60="","",IF(ISNA(VLOOKUP($E60,'D-1 Off Site Habitat Baseline'!$D$1:$O$258,11,FALSE)),"",(VLOOKUP($E60,'D-1 Off Site Habitat Baseline'!$D$1:$O$258,11,FALSE))))</f>
        <v/>
      </c>
      <c r="M60" s="520" t="str">
        <f>IF(E60="","",IF(ISNA(VLOOKUP($E60,'D-1 Off Site Habitat Baseline'!$D$1:$O$258,12,FALSE)),"",(VLOOKUP($E60,'D-1 Off Site Habitat Baseline'!$D$1:$O$258,12,FALSE))))</f>
        <v/>
      </c>
      <c r="N60" s="520" t="str">
        <f>IF(E60="","",IF(ISNA(VLOOKUP($E60,'D-1 Off Site Habitat Baseline'!$D$1:$X$258,14,FALSE)),"",(VLOOKUP($E60,'D-1 Off Site Habitat Baseline'!$D$1:$X$258,14,FALSE))))</f>
        <v/>
      </c>
      <c r="O60" s="524" t="str">
        <f>IF(E60="","",IF(ISNA(VLOOKUP($E60,'D-1 Off Site Habitat Baseline'!$D$1:$X$258,13,FALSE)),"",(VLOOKUP($E60,'D-1 Off Site Habitat Baseline'!$D$1:$X$258,13,FALSE))))</f>
        <v/>
      </c>
      <c r="P60" s="232" t="str">
        <f>IFERROR(INDEX('G-1 All Habitats'!$AG$3:$AG$15,MATCH(Q60,'G-1 All Habitats'!$AF$3:$AF$15,0)),"")</f>
        <v/>
      </c>
      <c r="Q60" s="228" t="str">
        <f t="shared" si="12"/>
        <v/>
      </c>
      <c r="R60" s="229" t="str">
        <f t="shared" si="13"/>
        <v/>
      </c>
      <c r="S60" s="233" t="str">
        <f>IFERROR(INDEX('G-1 All Habitats'!$B$3:$B$129,MATCH(R60,'G-1 All Habitats'!$A$3:$A$129,0)),"")</f>
        <v/>
      </c>
      <c r="T60" s="507" t="str">
        <f t="shared" si="5"/>
        <v/>
      </c>
      <c r="U60" s="524" t="str">
        <f t="shared" si="6"/>
        <v/>
      </c>
      <c r="V60" s="523" t="str">
        <f t="shared" si="2"/>
        <v/>
      </c>
      <c r="W60" s="520" t="str">
        <f>IF(S60="","",VLOOKUP(S60,'G-1 All Habitats'!$B$2:$M$129,10,FALSE))</f>
        <v/>
      </c>
      <c r="X60" s="520" t="str">
        <f>IFERROR(VLOOKUP(W60,'G-1 All Habitats'!$V$3:$W$7,2,FALSE),"")</f>
        <v/>
      </c>
      <c r="Y60" s="203"/>
      <c r="Z60" s="524" t="str">
        <f>IFERROR(INDEX('G-8 Condition Look up'!$A$3:$H$130,MATCH(S60,'G-8 Condition Look up'!$A$3:$A$130,0),MATCH(Y60,'G-8 Condition Look up'!$A$3:$H$3,0)),"")</f>
        <v/>
      </c>
      <c r="AA60" s="145"/>
      <c r="AB60" s="540" t="str">
        <f>IF(AA60="","",IF(VLOOKUP(AA60,'G-3 Multipliers'!$L$3:$N$6,2,FALSE)=0,"Spatial Data Missing ⚠",VLOOKUP(AA60,'G-3 Multipliers'!$L$3:$N$6,2,FALSE)))</f>
        <v/>
      </c>
      <c r="AC60" s="524" t="str">
        <f>IF(AA60="","",IF(VLOOKUP(AA60,'G-3 Multipliers'!$L$3:$N$6,3,FALSE)=0,"Spatial Data Missing ⚠",VLOOKUP(AA60,'G-3 Multipliers'!$L$3:$N$6,3,FALSE)))</f>
        <v/>
      </c>
      <c r="AD60" s="537" t="str">
        <f t="shared" si="3"/>
        <v/>
      </c>
      <c r="AE60" s="203"/>
      <c r="AF60" s="203"/>
      <c r="AG60" s="520" t="str">
        <f t="shared" si="7"/>
        <v/>
      </c>
      <c r="AH60" s="544" t="str">
        <f t="shared" si="8"/>
        <v/>
      </c>
      <c r="AI60" s="525" t="str">
        <f>IF(AH60="Check Data ⚠","Check Data ⚠",IFERROR(VLOOKUP(AH60,'G-4 Temporal multipliers'!$A$4:$C$36,3,FALSE),""))</f>
        <v/>
      </c>
      <c r="AJ60" s="537" t="str">
        <f>IF(S60="","",VLOOKUP(S60,'G-3 Multipliers'!$A$2:$E$129,4,FALSE))</f>
        <v/>
      </c>
      <c r="AK60" s="520" t="str">
        <f t="shared" si="9"/>
        <v/>
      </c>
      <c r="AL60" s="520" t="str">
        <f t="shared" si="10"/>
        <v/>
      </c>
      <c r="AM60" s="524" t="str">
        <f>IFERROR(IF(F60="","",IF(AH60="Check Data ⚠","Check Data ⚠",VLOOKUP(AL60, 'G-3 Multipliers'!$P$2:$Q$6,2,FALSE))),"")</f>
        <v/>
      </c>
      <c r="AN60" s="197"/>
      <c r="AO60" s="540" t="str">
        <f>IF(AN60="","",IF(VLOOKUP(AN60,'G-3 Multipliers'!$S$3:$T$9,2,FALSE)=0,"Spatial Data Missing ⚠",VLOOKUP(AN60,'G-3 Multipliers'!$S$3:$T$9,2,FALSE)))</f>
        <v/>
      </c>
      <c r="AP60" s="513" t="str">
        <f t="shared" si="11"/>
        <v/>
      </c>
      <c r="AQ60" s="231"/>
      <c r="AR60" s="150"/>
    </row>
    <row r="61" spans="1:44" x14ac:dyDescent="0.3">
      <c r="A61" s="31" t="str">
        <f>IF(E61="","",IF(ISNA(VLOOKUP($E61,'D-1 Off Site Habitat Baseline'!$D$1:$O$258,2,FALSE)),"",(VLOOKUP($E61,'D-1 Off Site Habitat Baseline'!$D$1:$O$258,2,FALSE))))</f>
        <v/>
      </c>
      <c r="B61" s="31" t="str">
        <f>IF(E61="","",IF(ISNA(VLOOKUP($E61,'D-1 Off Site Habitat Baseline'!$D$1:$O$258,3,FALSE)),"",(VLOOKUP($E61,'D-1 Off Site Habitat Baseline'!$D$1:$O$258,3,FALSE))))</f>
        <v/>
      </c>
      <c r="C61" s="31" t="str">
        <f>IFERROR(INDEX('G-8 Condition Look up'!$I$4:$I$130,MATCH(S61,'G-8 Condition Look up'!$A$4:$A$130,0)),"")</f>
        <v/>
      </c>
      <c r="E61" s="547" t="str">
        <f>'D-1 Off Site Habitat Baseline'!AL60</f>
        <v/>
      </c>
      <c r="F61" s="520" t="str">
        <f>IF(E61="","",IF(ISNA(VLOOKUP($E61,'D-1 Off Site Habitat Baseline'!$D$1:$O$258,4,FALSE)),"",(VLOOKUP($E61,'D-1 Off Site Habitat Baseline'!$D$1:$O$258,4,FALSE))))</f>
        <v/>
      </c>
      <c r="G61" s="520" t="str">
        <f>IF(E61="","",IF(ISNA(VLOOKUP($E61,'D-1 Off Site Habitat Baseline'!$D$1:$O$258,5,FALSE)),"",(VLOOKUP($E61,'D-1 Off Site Habitat Baseline'!$D$1:$O$258,5,FALSE))))</f>
        <v/>
      </c>
      <c r="H61" s="520" t="str">
        <f>IF(E61="","",IF(ISNA(VLOOKUP($E61,'D-1 Off Site Habitat Baseline'!$D$1:$O$258,6,FALSE)),"",(VLOOKUP($E61,'D-1 Off Site Habitat Baseline'!$D$1:$O$258,6,FALSE))))</f>
        <v/>
      </c>
      <c r="I61" s="520" t="str">
        <f>IF(E61="","",IF(ISNA(VLOOKUP($E61,'D-1 Off Site Habitat Baseline'!$D$1:$O$258,7,FALSE)),"",(VLOOKUP($E61,'D-1 Off Site Habitat Baseline'!$D$1:$O$258,7,FALSE))))</f>
        <v/>
      </c>
      <c r="J61" s="520" t="str">
        <f>IF(E61="","",IF(ISNA(VLOOKUP($E61,'D-1 Off Site Habitat Baseline'!$D$1:$O$258,8,FALSE)),"",(VLOOKUP($E61,'D-1 Off Site Habitat Baseline'!$D$1:$O$258,8,FALSE))))</f>
        <v/>
      </c>
      <c r="K61" s="520" t="str">
        <f>IF(E61="","",IF(ISNA(VLOOKUP($E61,'D-1 Off Site Habitat Baseline'!$D$1:$O$258,9,FALSE)),"",(VLOOKUP($E61,'D-1 Off Site Habitat Baseline'!$D$1:$O$258,9,FALSE))))</f>
        <v/>
      </c>
      <c r="L61" s="520" t="str">
        <f>IF(E61="","",IF(ISNA(VLOOKUP($E61,'D-1 Off Site Habitat Baseline'!$D$1:$O$258,11,FALSE)),"",(VLOOKUP($E61,'D-1 Off Site Habitat Baseline'!$D$1:$O$258,11,FALSE))))</f>
        <v/>
      </c>
      <c r="M61" s="520" t="str">
        <f>IF(E61="","",IF(ISNA(VLOOKUP($E61,'D-1 Off Site Habitat Baseline'!$D$1:$O$258,12,FALSE)),"",(VLOOKUP($E61,'D-1 Off Site Habitat Baseline'!$D$1:$O$258,12,FALSE))))</f>
        <v/>
      </c>
      <c r="N61" s="520" t="str">
        <f>IF(E61="","",IF(ISNA(VLOOKUP($E61,'D-1 Off Site Habitat Baseline'!$D$1:$X$258,14,FALSE)),"",(VLOOKUP($E61,'D-1 Off Site Habitat Baseline'!$D$1:$X$258,14,FALSE))))</f>
        <v/>
      </c>
      <c r="O61" s="524" t="str">
        <f>IF(E61="","",IF(ISNA(VLOOKUP($E61,'D-1 Off Site Habitat Baseline'!$D$1:$X$258,13,FALSE)),"",(VLOOKUP($E61,'D-1 Off Site Habitat Baseline'!$D$1:$X$258,13,FALSE))))</f>
        <v/>
      </c>
      <c r="P61" s="232" t="str">
        <f>IFERROR(INDEX('G-1 All Habitats'!$AG$3:$AG$15,MATCH(Q61,'G-1 All Habitats'!$AF$3:$AF$15,0)),"")</f>
        <v/>
      </c>
      <c r="Q61" s="228" t="str">
        <f t="shared" si="12"/>
        <v/>
      </c>
      <c r="R61" s="229" t="str">
        <f t="shared" si="13"/>
        <v/>
      </c>
      <c r="S61" s="233" t="str">
        <f>IFERROR(INDEX('G-1 All Habitats'!$B$3:$B$129,MATCH(R61,'G-1 All Habitats'!$A$3:$A$129,0)),"")</f>
        <v/>
      </c>
      <c r="T61" s="507" t="str">
        <f t="shared" si="5"/>
        <v/>
      </c>
      <c r="U61" s="524" t="str">
        <f t="shared" si="6"/>
        <v/>
      </c>
      <c r="V61" s="523" t="str">
        <f t="shared" si="2"/>
        <v/>
      </c>
      <c r="W61" s="520" t="str">
        <f>IF(S61="","",VLOOKUP(S61,'G-1 All Habitats'!$B$2:$M$129,10,FALSE))</f>
        <v/>
      </c>
      <c r="X61" s="520" t="str">
        <f>IFERROR(VLOOKUP(W61,'G-1 All Habitats'!$V$3:$W$7,2,FALSE),"")</f>
        <v/>
      </c>
      <c r="Y61" s="203"/>
      <c r="Z61" s="524" t="str">
        <f>IFERROR(INDEX('G-8 Condition Look up'!$A$3:$H$130,MATCH(S61,'G-8 Condition Look up'!$A$3:$A$130,0),MATCH(Y61,'G-8 Condition Look up'!$A$3:$H$3,0)),"")</f>
        <v/>
      </c>
      <c r="AA61" s="145"/>
      <c r="AB61" s="540" t="str">
        <f>IF(AA61="","",IF(VLOOKUP(AA61,'G-3 Multipliers'!$L$3:$N$6,2,FALSE)=0,"Spatial Data Missing ⚠",VLOOKUP(AA61,'G-3 Multipliers'!$L$3:$N$6,2,FALSE)))</f>
        <v/>
      </c>
      <c r="AC61" s="524" t="str">
        <f>IF(AA61="","",IF(VLOOKUP(AA61,'G-3 Multipliers'!$L$3:$N$6,3,FALSE)=0,"Spatial Data Missing ⚠",VLOOKUP(AA61,'G-3 Multipliers'!$L$3:$N$6,3,FALSE)))</f>
        <v/>
      </c>
      <c r="AD61" s="537" t="str">
        <f t="shared" si="3"/>
        <v/>
      </c>
      <c r="AE61" s="203"/>
      <c r="AF61" s="203"/>
      <c r="AG61" s="520" t="str">
        <f t="shared" si="7"/>
        <v/>
      </c>
      <c r="AH61" s="544" t="str">
        <f t="shared" si="8"/>
        <v/>
      </c>
      <c r="AI61" s="525" t="str">
        <f>IF(AH61="Check Data ⚠","Check Data ⚠",IFERROR(VLOOKUP(AH61,'G-4 Temporal multipliers'!$A$4:$C$36,3,FALSE),""))</f>
        <v/>
      </c>
      <c r="AJ61" s="537" t="str">
        <f>IF(S61="","",VLOOKUP(S61,'G-3 Multipliers'!$A$2:$E$129,4,FALSE))</f>
        <v/>
      </c>
      <c r="AK61" s="520" t="str">
        <f t="shared" si="9"/>
        <v/>
      </c>
      <c r="AL61" s="520" t="str">
        <f t="shared" si="10"/>
        <v/>
      </c>
      <c r="AM61" s="524" t="str">
        <f>IFERROR(IF(F61="","",IF(AH61="Check Data ⚠","Check Data ⚠",VLOOKUP(AL61, 'G-3 Multipliers'!$P$2:$Q$6,2,FALSE))),"")</f>
        <v/>
      </c>
      <c r="AN61" s="197"/>
      <c r="AO61" s="540" t="str">
        <f>IF(AN61="","",IF(VLOOKUP(AN61,'G-3 Multipliers'!$S$3:$T$9,2,FALSE)=0,"Spatial Data Missing ⚠",VLOOKUP(AN61,'G-3 Multipliers'!$S$3:$T$9,2,FALSE)))</f>
        <v/>
      </c>
      <c r="AP61" s="513" t="str">
        <f t="shared" si="11"/>
        <v/>
      </c>
      <c r="AQ61" s="231"/>
      <c r="AR61" s="150"/>
    </row>
    <row r="62" spans="1:44" x14ac:dyDescent="0.3">
      <c r="A62" s="31" t="str">
        <f>IF(E62="","",IF(ISNA(VLOOKUP($E62,'D-1 Off Site Habitat Baseline'!$D$1:$O$258,2,FALSE)),"",(VLOOKUP($E62,'D-1 Off Site Habitat Baseline'!$D$1:$O$258,2,FALSE))))</f>
        <v/>
      </c>
      <c r="B62" s="31" t="str">
        <f>IF(E62="","",IF(ISNA(VLOOKUP($E62,'D-1 Off Site Habitat Baseline'!$D$1:$O$258,3,FALSE)),"",(VLOOKUP($E62,'D-1 Off Site Habitat Baseline'!$D$1:$O$258,3,FALSE))))</f>
        <v/>
      </c>
      <c r="C62" s="31" t="str">
        <f>IFERROR(INDEX('G-8 Condition Look up'!$I$4:$I$130,MATCH(S62,'G-8 Condition Look up'!$A$4:$A$130,0)),"")</f>
        <v/>
      </c>
      <c r="E62" s="547" t="str">
        <f>'D-1 Off Site Habitat Baseline'!AL61</f>
        <v/>
      </c>
      <c r="F62" s="520" t="str">
        <f>IF(E62="","",IF(ISNA(VLOOKUP($E62,'D-1 Off Site Habitat Baseline'!$D$1:$O$258,4,FALSE)),"",(VLOOKUP($E62,'D-1 Off Site Habitat Baseline'!$D$1:$O$258,4,FALSE))))</f>
        <v/>
      </c>
      <c r="G62" s="520" t="str">
        <f>IF(E62="","",IF(ISNA(VLOOKUP($E62,'D-1 Off Site Habitat Baseline'!$D$1:$O$258,5,FALSE)),"",(VLOOKUP($E62,'D-1 Off Site Habitat Baseline'!$D$1:$O$258,5,FALSE))))</f>
        <v/>
      </c>
      <c r="H62" s="520" t="str">
        <f>IF(E62="","",IF(ISNA(VLOOKUP($E62,'D-1 Off Site Habitat Baseline'!$D$1:$O$258,6,FALSE)),"",(VLOOKUP($E62,'D-1 Off Site Habitat Baseline'!$D$1:$O$258,6,FALSE))))</f>
        <v/>
      </c>
      <c r="I62" s="520" t="str">
        <f>IF(E62="","",IF(ISNA(VLOOKUP($E62,'D-1 Off Site Habitat Baseline'!$D$1:$O$258,7,FALSE)),"",(VLOOKUP($E62,'D-1 Off Site Habitat Baseline'!$D$1:$O$258,7,FALSE))))</f>
        <v/>
      </c>
      <c r="J62" s="520" t="str">
        <f>IF(E62="","",IF(ISNA(VLOOKUP($E62,'D-1 Off Site Habitat Baseline'!$D$1:$O$258,8,FALSE)),"",(VLOOKUP($E62,'D-1 Off Site Habitat Baseline'!$D$1:$O$258,8,FALSE))))</f>
        <v/>
      </c>
      <c r="K62" s="520" t="str">
        <f>IF(E62="","",IF(ISNA(VLOOKUP($E62,'D-1 Off Site Habitat Baseline'!$D$1:$O$258,9,FALSE)),"",(VLOOKUP($E62,'D-1 Off Site Habitat Baseline'!$D$1:$O$258,9,FALSE))))</f>
        <v/>
      </c>
      <c r="L62" s="520" t="str">
        <f>IF(E62="","",IF(ISNA(VLOOKUP($E62,'D-1 Off Site Habitat Baseline'!$D$1:$O$258,11,FALSE)),"",(VLOOKUP($E62,'D-1 Off Site Habitat Baseline'!$D$1:$O$258,11,FALSE))))</f>
        <v/>
      </c>
      <c r="M62" s="520" t="str">
        <f>IF(E62="","",IF(ISNA(VLOOKUP($E62,'D-1 Off Site Habitat Baseline'!$D$1:$O$258,12,FALSE)),"",(VLOOKUP($E62,'D-1 Off Site Habitat Baseline'!$D$1:$O$258,12,FALSE))))</f>
        <v/>
      </c>
      <c r="N62" s="520" t="str">
        <f>IF(E62="","",IF(ISNA(VLOOKUP($E62,'D-1 Off Site Habitat Baseline'!$D$1:$X$258,14,FALSE)),"",(VLOOKUP($E62,'D-1 Off Site Habitat Baseline'!$D$1:$X$258,14,FALSE))))</f>
        <v/>
      </c>
      <c r="O62" s="524" t="str">
        <f>IF(E62="","",IF(ISNA(VLOOKUP($E62,'D-1 Off Site Habitat Baseline'!$D$1:$X$258,13,FALSE)),"",(VLOOKUP($E62,'D-1 Off Site Habitat Baseline'!$D$1:$X$258,13,FALSE))))</f>
        <v/>
      </c>
      <c r="P62" s="232" t="str">
        <f>IFERROR(INDEX('G-1 All Habitats'!$AG$3:$AG$15,MATCH(Q62,'G-1 All Habitats'!$AF$3:$AF$15,0)),"")</f>
        <v/>
      </c>
      <c r="Q62" s="228" t="str">
        <f t="shared" si="12"/>
        <v/>
      </c>
      <c r="R62" s="229" t="str">
        <f t="shared" si="13"/>
        <v/>
      </c>
      <c r="S62" s="233" t="str">
        <f>IFERROR(INDEX('G-1 All Habitats'!$B$3:$B$129,MATCH(R62,'G-1 All Habitats'!$A$3:$A$129,0)),"")</f>
        <v/>
      </c>
      <c r="T62" s="507" t="str">
        <f t="shared" si="5"/>
        <v/>
      </c>
      <c r="U62" s="524" t="str">
        <f t="shared" si="6"/>
        <v/>
      </c>
      <c r="V62" s="523" t="str">
        <f t="shared" si="2"/>
        <v/>
      </c>
      <c r="W62" s="520" t="str">
        <f>IF(S62="","",VLOOKUP(S62,'G-1 All Habitats'!$B$2:$M$129,10,FALSE))</f>
        <v/>
      </c>
      <c r="X62" s="520" t="str">
        <f>IFERROR(VLOOKUP(W62,'G-1 All Habitats'!$V$3:$W$7,2,FALSE),"")</f>
        <v/>
      </c>
      <c r="Y62" s="203"/>
      <c r="Z62" s="524" t="str">
        <f>IFERROR(INDEX('G-8 Condition Look up'!$A$3:$H$130,MATCH(S62,'G-8 Condition Look up'!$A$3:$A$130,0),MATCH(Y62,'G-8 Condition Look up'!$A$3:$H$3,0)),"")</f>
        <v/>
      </c>
      <c r="AA62" s="145"/>
      <c r="AB62" s="540" t="str">
        <f>IF(AA62="","",IF(VLOOKUP(AA62,'G-3 Multipliers'!$L$3:$N$6,2,FALSE)=0,"Spatial Data Missing ⚠",VLOOKUP(AA62,'G-3 Multipliers'!$L$3:$N$6,2,FALSE)))</f>
        <v/>
      </c>
      <c r="AC62" s="524" t="str">
        <f>IF(AA62="","",IF(VLOOKUP(AA62,'G-3 Multipliers'!$L$3:$N$6,3,FALSE)=0,"Spatial Data Missing ⚠",VLOOKUP(AA62,'G-3 Multipliers'!$L$3:$N$6,3,FALSE)))</f>
        <v/>
      </c>
      <c r="AD62" s="537" t="str">
        <f t="shared" si="3"/>
        <v/>
      </c>
      <c r="AE62" s="203"/>
      <c r="AF62" s="203"/>
      <c r="AG62" s="520" t="str">
        <f t="shared" si="7"/>
        <v/>
      </c>
      <c r="AH62" s="544" t="str">
        <f t="shared" si="8"/>
        <v/>
      </c>
      <c r="AI62" s="525" t="str">
        <f>IF(AH62="Check Data ⚠","Check Data ⚠",IFERROR(VLOOKUP(AH62,'G-4 Temporal multipliers'!$A$4:$C$36,3,FALSE),""))</f>
        <v/>
      </c>
      <c r="AJ62" s="537" t="str">
        <f>IF(S62="","",VLOOKUP(S62,'G-3 Multipliers'!$A$2:$E$129,4,FALSE))</f>
        <v/>
      </c>
      <c r="AK62" s="520" t="str">
        <f t="shared" si="9"/>
        <v/>
      </c>
      <c r="AL62" s="520" t="str">
        <f t="shared" si="10"/>
        <v/>
      </c>
      <c r="AM62" s="524" t="str">
        <f>IFERROR(IF(F62="","",IF(AH62="Check Data ⚠","Check Data ⚠",VLOOKUP(AL62, 'G-3 Multipliers'!$P$2:$Q$6,2,FALSE))),"")</f>
        <v/>
      </c>
      <c r="AN62" s="197"/>
      <c r="AO62" s="540" t="str">
        <f>IF(AN62="","",IF(VLOOKUP(AN62,'G-3 Multipliers'!$S$3:$T$9,2,FALSE)=0,"Spatial Data Missing ⚠",VLOOKUP(AN62,'G-3 Multipliers'!$S$3:$T$9,2,FALSE)))</f>
        <v/>
      </c>
      <c r="AP62" s="513" t="str">
        <f t="shared" si="11"/>
        <v/>
      </c>
      <c r="AQ62" s="231"/>
      <c r="AR62" s="150"/>
    </row>
    <row r="63" spans="1:44" x14ac:dyDescent="0.3">
      <c r="A63" s="31" t="str">
        <f>IF(E63="","",IF(ISNA(VLOOKUP($E63,'D-1 Off Site Habitat Baseline'!$D$1:$O$258,2,FALSE)),"",(VLOOKUP($E63,'D-1 Off Site Habitat Baseline'!$D$1:$O$258,2,FALSE))))</f>
        <v/>
      </c>
      <c r="B63" s="31" t="str">
        <f>IF(E63="","",IF(ISNA(VLOOKUP($E63,'D-1 Off Site Habitat Baseline'!$D$1:$O$258,3,FALSE)),"",(VLOOKUP($E63,'D-1 Off Site Habitat Baseline'!$D$1:$O$258,3,FALSE))))</f>
        <v/>
      </c>
      <c r="C63" s="31" t="str">
        <f>IFERROR(INDEX('G-8 Condition Look up'!$I$4:$I$130,MATCH(S63,'G-8 Condition Look up'!$A$4:$A$130,0)),"")</f>
        <v/>
      </c>
      <c r="E63" s="547" t="str">
        <f>'D-1 Off Site Habitat Baseline'!AL62</f>
        <v/>
      </c>
      <c r="F63" s="520" t="str">
        <f>IF(E63="","",IF(ISNA(VLOOKUP($E63,'D-1 Off Site Habitat Baseline'!$D$1:$O$258,4,FALSE)),"",(VLOOKUP($E63,'D-1 Off Site Habitat Baseline'!$D$1:$O$258,4,FALSE))))</f>
        <v/>
      </c>
      <c r="G63" s="520" t="str">
        <f>IF(E63="","",IF(ISNA(VLOOKUP($E63,'D-1 Off Site Habitat Baseline'!$D$1:$O$258,5,FALSE)),"",(VLOOKUP($E63,'D-1 Off Site Habitat Baseline'!$D$1:$O$258,5,FALSE))))</f>
        <v/>
      </c>
      <c r="H63" s="520" t="str">
        <f>IF(E63="","",IF(ISNA(VLOOKUP($E63,'D-1 Off Site Habitat Baseline'!$D$1:$O$258,6,FALSE)),"",(VLOOKUP($E63,'D-1 Off Site Habitat Baseline'!$D$1:$O$258,6,FALSE))))</f>
        <v/>
      </c>
      <c r="I63" s="520" t="str">
        <f>IF(E63="","",IF(ISNA(VLOOKUP($E63,'D-1 Off Site Habitat Baseline'!$D$1:$O$258,7,FALSE)),"",(VLOOKUP($E63,'D-1 Off Site Habitat Baseline'!$D$1:$O$258,7,FALSE))))</f>
        <v/>
      </c>
      <c r="J63" s="520" t="str">
        <f>IF(E63="","",IF(ISNA(VLOOKUP($E63,'D-1 Off Site Habitat Baseline'!$D$1:$O$258,8,FALSE)),"",(VLOOKUP($E63,'D-1 Off Site Habitat Baseline'!$D$1:$O$258,8,FALSE))))</f>
        <v/>
      </c>
      <c r="K63" s="520" t="str">
        <f>IF(E63="","",IF(ISNA(VLOOKUP($E63,'D-1 Off Site Habitat Baseline'!$D$1:$O$258,9,FALSE)),"",(VLOOKUP($E63,'D-1 Off Site Habitat Baseline'!$D$1:$O$258,9,FALSE))))</f>
        <v/>
      </c>
      <c r="L63" s="520" t="str">
        <f>IF(E63="","",IF(ISNA(VLOOKUP($E63,'D-1 Off Site Habitat Baseline'!$D$1:$O$258,11,FALSE)),"",(VLOOKUP($E63,'D-1 Off Site Habitat Baseline'!$D$1:$O$258,11,FALSE))))</f>
        <v/>
      </c>
      <c r="M63" s="520" t="str">
        <f>IF(E63="","",IF(ISNA(VLOOKUP($E63,'D-1 Off Site Habitat Baseline'!$D$1:$O$258,12,FALSE)),"",(VLOOKUP($E63,'D-1 Off Site Habitat Baseline'!$D$1:$O$258,12,FALSE))))</f>
        <v/>
      </c>
      <c r="N63" s="520" t="str">
        <f>IF(E63="","",IF(ISNA(VLOOKUP($E63,'D-1 Off Site Habitat Baseline'!$D$1:$X$258,14,FALSE)),"",(VLOOKUP($E63,'D-1 Off Site Habitat Baseline'!$D$1:$X$258,14,FALSE))))</f>
        <v/>
      </c>
      <c r="O63" s="524" t="str">
        <f>IF(E63="","",IF(ISNA(VLOOKUP($E63,'D-1 Off Site Habitat Baseline'!$D$1:$X$258,13,FALSE)),"",(VLOOKUP($E63,'D-1 Off Site Habitat Baseline'!$D$1:$X$258,13,FALSE))))</f>
        <v/>
      </c>
      <c r="P63" s="232" t="str">
        <f>IFERROR(INDEX('G-1 All Habitats'!$AG$3:$AG$15,MATCH(Q63,'G-1 All Habitats'!$AF$3:$AF$15,0)),"")</f>
        <v/>
      </c>
      <c r="Q63" s="228" t="str">
        <f t="shared" si="12"/>
        <v/>
      </c>
      <c r="R63" s="229" t="str">
        <f t="shared" si="13"/>
        <v/>
      </c>
      <c r="S63" s="233" t="str">
        <f>IFERROR(INDEX('G-1 All Habitats'!$B$3:$B$129,MATCH(R63,'G-1 All Habitats'!$A$3:$A$129,0)),"")</f>
        <v/>
      </c>
      <c r="T63" s="507" t="str">
        <f t="shared" si="5"/>
        <v/>
      </c>
      <c r="U63" s="524" t="str">
        <f t="shared" si="6"/>
        <v/>
      </c>
      <c r="V63" s="523" t="str">
        <f t="shared" si="2"/>
        <v/>
      </c>
      <c r="W63" s="520" t="str">
        <f>IF(S63="","",VLOOKUP(S63,'G-1 All Habitats'!$B$2:$M$129,10,FALSE))</f>
        <v/>
      </c>
      <c r="X63" s="520" t="str">
        <f>IFERROR(VLOOKUP(W63,'G-1 All Habitats'!$V$3:$W$7,2,FALSE),"")</f>
        <v/>
      </c>
      <c r="Y63" s="203"/>
      <c r="Z63" s="524" t="str">
        <f>IFERROR(INDEX('G-8 Condition Look up'!$A$3:$H$130,MATCH(S63,'G-8 Condition Look up'!$A$3:$A$130,0),MATCH(Y63,'G-8 Condition Look up'!$A$3:$H$3,0)),"")</f>
        <v/>
      </c>
      <c r="AA63" s="145"/>
      <c r="AB63" s="540" t="str">
        <f>IF(AA63="","",IF(VLOOKUP(AA63,'G-3 Multipliers'!$L$3:$N$6,2,FALSE)=0,"Spatial Data Missing ⚠",VLOOKUP(AA63,'G-3 Multipliers'!$L$3:$N$6,2,FALSE)))</f>
        <v/>
      </c>
      <c r="AC63" s="524" t="str">
        <f>IF(AA63="","",IF(VLOOKUP(AA63,'G-3 Multipliers'!$L$3:$N$6,3,FALSE)=0,"Spatial Data Missing ⚠",VLOOKUP(AA63,'G-3 Multipliers'!$L$3:$N$6,3,FALSE)))</f>
        <v/>
      </c>
      <c r="AD63" s="537" t="str">
        <f t="shared" si="3"/>
        <v/>
      </c>
      <c r="AE63" s="203"/>
      <c r="AF63" s="203"/>
      <c r="AG63" s="520" t="str">
        <f t="shared" si="7"/>
        <v/>
      </c>
      <c r="AH63" s="544" t="str">
        <f t="shared" si="8"/>
        <v/>
      </c>
      <c r="AI63" s="525" t="str">
        <f>IF(AH63="Check Data ⚠","Check Data ⚠",IFERROR(VLOOKUP(AH63,'G-4 Temporal multipliers'!$A$4:$C$36,3,FALSE),""))</f>
        <v/>
      </c>
      <c r="AJ63" s="537" t="str">
        <f>IF(S63="","",VLOOKUP(S63,'G-3 Multipliers'!$A$2:$E$129,4,FALSE))</f>
        <v/>
      </c>
      <c r="AK63" s="520" t="str">
        <f t="shared" si="9"/>
        <v/>
      </c>
      <c r="AL63" s="520" t="str">
        <f t="shared" si="10"/>
        <v/>
      </c>
      <c r="AM63" s="524" t="str">
        <f>IFERROR(IF(F63="","",IF(AH63="Check Data ⚠","Check Data ⚠",VLOOKUP(AL63, 'G-3 Multipliers'!$P$2:$Q$6,2,FALSE))),"")</f>
        <v/>
      </c>
      <c r="AN63" s="197"/>
      <c r="AO63" s="540" t="str">
        <f>IF(AN63="","",IF(VLOOKUP(AN63,'G-3 Multipliers'!$S$3:$T$9,2,FALSE)=0,"Spatial Data Missing ⚠",VLOOKUP(AN63,'G-3 Multipliers'!$S$3:$T$9,2,FALSE)))</f>
        <v/>
      </c>
      <c r="AP63" s="513" t="str">
        <f t="shared" si="11"/>
        <v/>
      </c>
      <c r="AQ63" s="231"/>
      <c r="AR63" s="150"/>
    </row>
    <row r="64" spans="1:44" x14ac:dyDescent="0.3">
      <c r="A64" s="31" t="str">
        <f>IF(E64="","",IF(ISNA(VLOOKUP($E64,'D-1 Off Site Habitat Baseline'!$D$1:$O$258,2,FALSE)),"",(VLOOKUP($E64,'D-1 Off Site Habitat Baseline'!$D$1:$O$258,2,FALSE))))</f>
        <v/>
      </c>
      <c r="B64" s="31" t="str">
        <f>IF(E64="","",IF(ISNA(VLOOKUP($E64,'D-1 Off Site Habitat Baseline'!$D$1:$O$258,3,FALSE)),"",(VLOOKUP($E64,'D-1 Off Site Habitat Baseline'!$D$1:$O$258,3,FALSE))))</f>
        <v/>
      </c>
      <c r="C64" s="31" t="str">
        <f>IFERROR(INDEX('G-8 Condition Look up'!$I$4:$I$130,MATCH(S64,'G-8 Condition Look up'!$A$4:$A$130,0)),"")</f>
        <v/>
      </c>
      <c r="E64" s="547" t="str">
        <f>'D-1 Off Site Habitat Baseline'!AL63</f>
        <v/>
      </c>
      <c r="F64" s="520" t="str">
        <f>IF(E64="","",IF(ISNA(VLOOKUP($E64,'D-1 Off Site Habitat Baseline'!$D$1:$O$258,4,FALSE)),"",(VLOOKUP($E64,'D-1 Off Site Habitat Baseline'!$D$1:$O$258,4,FALSE))))</f>
        <v/>
      </c>
      <c r="G64" s="520" t="str">
        <f>IF(E64="","",IF(ISNA(VLOOKUP($E64,'D-1 Off Site Habitat Baseline'!$D$1:$O$258,5,FALSE)),"",(VLOOKUP($E64,'D-1 Off Site Habitat Baseline'!$D$1:$O$258,5,FALSE))))</f>
        <v/>
      </c>
      <c r="H64" s="520" t="str">
        <f>IF(E64="","",IF(ISNA(VLOOKUP($E64,'D-1 Off Site Habitat Baseline'!$D$1:$O$258,6,FALSE)),"",(VLOOKUP($E64,'D-1 Off Site Habitat Baseline'!$D$1:$O$258,6,FALSE))))</f>
        <v/>
      </c>
      <c r="I64" s="520" t="str">
        <f>IF(E64="","",IF(ISNA(VLOOKUP($E64,'D-1 Off Site Habitat Baseline'!$D$1:$O$258,7,FALSE)),"",(VLOOKUP($E64,'D-1 Off Site Habitat Baseline'!$D$1:$O$258,7,FALSE))))</f>
        <v/>
      </c>
      <c r="J64" s="520" t="str">
        <f>IF(E64="","",IF(ISNA(VLOOKUP($E64,'D-1 Off Site Habitat Baseline'!$D$1:$O$258,8,FALSE)),"",(VLOOKUP($E64,'D-1 Off Site Habitat Baseline'!$D$1:$O$258,8,FALSE))))</f>
        <v/>
      </c>
      <c r="K64" s="520" t="str">
        <f>IF(E64="","",IF(ISNA(VLOOKUP($E64,'D-1 Off Site Habitat Baseline'!$D$1:$O$258,9,FALSE)),"",(VLOOKUP($E64,'D-1 Off Site Habitat Baseline'!$D$1:$O$258,9,FALSE))))</f>
        <v/>
      </c>
      <c r="L64" s="520" t="str">
        <f>IF(E64="","",IF(ISNA(VLOOKUP($E64,'D-1 Off Site Habitat Baseline'!$D$1:$O$258,11,FALSE)),"",(VLOOKUP($E64,'D-1 Off Site Habitat Baseline'!$D$1:$O$258,11,FALSE))))</f>
        <v/>
      </c>
      <c r="M64" s="520" t="str">
        <f>IF(E64="","",IF(ISNA(VLOOKUP($E64,'D-1 Off Site Habitat Baseline'!$D$1:$O$258,12,FALSE)),"",(VLOOKUP($E64,'D-1 Off Site Habitat Baseline'!$D$1:$O$258,12,FALSE))))</f>
        <v/>
      </c>
      <c r="N64" s="520" t="str">
        <f>IF(E64="","",IF(ISNA(VLOOKUP($E64,'D-1 Off Site Habitat Baseline'!$D$1:$X$258,14,FALSE)),"",(VLOOKUP($E64,'D-1 Off Site Habitat Baseline'!$D$1:$X$258,14,FALSE))))</f>
        <v/>
      </c>
      <c r="O64" s="524" t="str">
        <f>IF(E64="","",IF(ISNA(VLOOKUP($E64,'D-1 Off Site Habitat Baseline'!$D$1:$X$258,13,FALSE)),"",(VLOOKUP($E64,'D-1 Off Site Habitat Baseline'!$D$1:$X$258,13,FALSE))))</f>
        <v/>
      </c>
      <c r="P64" s="232" t="str">
        <f>IFERROR(INDEX('G-1 All Habitats'!$AG$3:$AG$15,MATCH(Q64,'G-1 All Habitats'!$AF$3:$AF$15,0)),"")</f>
        <v/>
      </c>
      <c r="Q64" s="228" t="str">
        <f t="shared" si="12"/>
        <v/>
      </c>
      <c r="R64" s="229" t="str">
        <f t="shared" si="13"/>
        <v/>
      </c>
      <c r="S64" s="233" t="str">
        <f>IFERROR(INDEX('G-1 All Habitats'!$B$3:$B$129,MATCH(R64,'G-1 All Habitats'!$A$3:$A$129,0)),"")</f>
        <v/>
      </c>
      <c r="T64" s="507" t="str">
        <f t="shared" si="5"/>
        <v/>
      </c>
      <c r="U64" s="524" t="str">
        <f t="shared" si="6"/>
        <v/>
      </c>
      <c r="V64" s="523" t="str">
        <f t="shared" si="2"/>
        <v/>
      </c>
      <c r="W64" s="520" t="str">
        <f>IF(S64="","",VLOOKUP(S64,'G-1 All Habitats'!$B$2:$M$129,10,FALSE))</f>
        <v/>
      </c>
      <c r="X64" s="520" t="str">
        <f>IFERROR(VLOOKUP(W64,'G-1 All Habitats'!$V$3:$W$7,2,FALSE),"")</f>
        <v/>
      </c>
      <c r="Y64" s="203"/>
      <c r="Z64" s="524" t="str">
        <f>IFERROR(INDEX('G-8 Condition Look up'!$A$3:$H$130,MATCH(S64,'G-8 Condition Look up'!$A$3:$A$130,0),MATCH(Y64,'G-8 Condition Look up'!$A$3:$H$3,0)),"")</f>
        <v/>
      </c>
      <c r="AA64" s="145"/>
      <c r="AB64" s="540" t="str">
        <f>IF(AA64="","",IF(VLOOKUP(AA64,'G-3 Multipliers'!$L$3:$N$6,2,FALSE)=0,"Spatial Data Missing ⚠",VLOOKUP(AA64,'G-3 Multipliers'!$L$3:$N$6,2,FALSE)))</f>
        <v/>
      </c>
      <c r="AC64" s="524" t="str">
        <f>IF(AA64="","",IF(VLOOKUP(AA64,'G-3 Multipliers'!$L$3:$N$6,3,FALSE)=0,"Spatial Data Missing ⚠",VLOOKUP(AA64,'G-3 Multipliers'!$L$3:$N$6,3,FALSE)))</f>
        <v/>
      </c>
      <c r="AD64" s="537" t="str">
        <f t="shared" si="3"/>
        <v/>
      </c>
      <c r="AE64" s="203"/>
      <c r="AF64" s="203"/>
      <c r="AG64" s="520" t="str">
        <f t="shared" si="7"/>
        <v/>
      </c>
      <c r="AH64" s="544" t="str">
        <f t="shared" si="8"/>
        <v/>
      </c>
      <c r="AI64" s="525" t="str">
        <f>IF(AH64="Check Data ⚠","Check Data ⚠",IFERROR(VLOOKUP(AH64,'G-4 Temporal multipliers'!$A$4:$C$36,3,FALSE),""))</f>
        <v/>
      </c>
      <c r="AJ64" s="537" t="str">
        <f>IF(S64="","",VLOOKUP(S64,'G-3 Multipliers'!$A$2:$E$129,4,FALSE))</f>
        <v/>
      </c>
      <c r="AK64" s="520" t="str">
        <f t="shared" si="9"/>
        <v/>
      </c>
      <c r="AL64" s="520" t="str">
        <f t="shared" si="10"/>
        <v/>
      </c>
      <c r="AM64" s="524" t="str">
        <f>IFERROR(IF(F64="","",IF(AH64="Check Data ⚠","Check Data ⚠",VLOOKUP(AL64, 'G-3 Multipliers'!$P$2:$Q$6,2,FALSE))),"")</f>
        <v/>
      </c>
      <c r="AN64" s="197"/>
      <c r="AO64" s="540" t="str">
        <f>IF(AN64="","",IF(VLOOKUP(AN64,'G-3 Multipliers'!$S$3:$T$9,2,FALSE)=0,"Spatial Data Missing ⚠",VLOOKUP(AN64,'G-3 Multipliers'!$S$3:$T$9,2,FALSE)))</f>
        <v/>
      </c>
      <c r="AP64" s="513" t="str">
        <f t="shared" si="11"/>
        <v/>
      </c>
      <c r="AQ64" s="231"/>
      <c r="AR64" s="150"/>
    </row>
    <row r="65" spans="1:44" x14ac:dyDescent="0.3">
      <c r="A65" s="31" t="str">
        <f>IF(E65="","",IF(ISNA(VLOOKUP($E65,'D-1 Off Site Habitat Baseline'!$D$1:$O$258,2,FALSE)),"",(VLOOKUP($E65,'D-1 Off Site Habitat Baseline'!$D$1:$O$258,2,FALSE))))</f>
        <v/>
      </c>
      <c r="B65" s="31" t="str">
        <f>IF(E65="","",IF(ISNA(VLOOKUP($E65,'D-1 Off Site Habitat Baseline'!$D$1:$O$258,3,FALSE)),"",(VLOOKUP($E65,'D-1 Off Site Habitat Baseline'!$D$1:$O$258,3,FALSE))))</f>
        <v/>
      </c>
      <c r="C65" s="31" t="str">
        <f>IFERROR(INDEX('G-8 Condition Look up'!$I$4:$I$130,MATCH(S65,'G-8 Condition Look up'!$A$4:$A$130,0)),"")</f>
        <v/>
      </c>
      <c r="E65" s="547" t="str">
        <f>'D-1 Off Site Habitat Baseline'!AL64</f>
        <v/>
      </c>
      <c r="F65" s="520" t="str">
        <f>IF(E65="","",IF(ISNA(VLOOKUP($E65,'D-1 Off Site Habitat Baseline'!$D$1:$O$258,4,FALSE)),"",(VLOOKUP($E65,'D-1 Off Site Habitat Baseline'!$D$1:$O$258,4,FALSE))))</f>
        <v/>
      </c>
      <c r="G65" s="520" t="str">
        <f>IF(E65="","",IF(ISNA(VLOOKUP($E65,'D-1 Off Site Habitat Baseline'!$D$1:$O$258,5,FALSE)),"",(VLOOKUP($E65,'D-1 Off Site Habitat Baseline'!$D$1:$O$258,5,FALSE))))</f>
        <v/>
      </c>
      <c r="H65" s="520" t="str">
        <f>IF(E65="","",IF(ISNA(VLOOKUP($E65,'D-1 Off Site Habitat Baseline'!$D$1:$O$258,6,FALSE)),"",(VLOOKUP($E65,'D-1 Off Site Habitat Baseline'!$D$1:$O$258,6,FALSE))))</f>
        <v/>
      </c>
      <c r="I65" s="520" t="str">
        <f>IF(E65="","",IF(ISNA(VLOOKUP($E65,'D-1 Off Site Habitat Baseline'!$D$1:$O$258,7,FALSE)),"",(VLOOKUP($E65,'D-1 Off Site Habitat Baseline'!$D$1:$O$258,7,FALSE))))</f>
        <v/>
      </c>
      <c r="J65" s="520" t="str">
        <f>IF(E65="","",IF(ISNA(VLOOKUP($E65,'D-1 Off Site Habitat Baseline'!$D$1:$O$258,8,FALSE)),"",(VLOOKUP($E65,'D-1 Off Site Habitat Baseline'!$D$1:$O$258,8,FALSE))))</f>
        <v/>
      </c>
      <c r="K65" s="520" t="str">
        <f>IF(E65="","",IF(ISNA(VLOOKUP($E65,'D-1 Off Site Habitat Baseline'!$D$1:$O$258,9,FALSE)),"",(VLOOKUP($E65,'D-1 Off Site Habitat Baseline'!$D$1:$O$258,9,FALSE))))</f>
        <v/>
      </c>
      <c r="L65" s="520" t="str">
        <f>IF(E65="","",IF(ISNA(VLOOKUP($E65,'D-1 Off Site Habitat Baseline'!$D$1:$O$258,11,FALSE)),"",(VLOOKUP($E65,'D-1 Off Site Habitat Baseline'!$D$1:$O$258,11,FALSE))))</f>
        <v/>
      </c>
      <c r="M65" s="520" t="str">
        <f>IF(E65="","",IF(ISNA(VLOOKUP($E65,'D-1 Off Site Habitat Baseline'!$D$1:$O$258,12,FALSE)),"",(VLOOKUP($E65,'D-1 Off Site Habitat Baseline'!$D$1:$O$258,12,FALSE))))</f>
        <v/>
      </c>
      <c r="N65" s="520" t="str">
        <f>IF(E65="","",IF(ISNA(VLOOKUP($E65,'D-1 Off Site Habitat Baseline'!$D$1:$X$258,14,FALSE)),"",(VLOOKUP($E65,'D-1 Off Site Habitat Baseline'!$D$1:$X$258,14,FALSE))))</f>
        <v/>
      </c>
      <c r="O65" s="524" t="str">
        <f>IF(E65="","",IF(ISNA(VLOOKUP($E65,'D-1 Off Site Habitat Baseline'!$D$1:$X$258,13,FALSE)),"",(VLOOKUP($E65,'D-1 Off Site Habitat Baseline'!$D$1:$X$258,13,FALSE))))</f>
        <v/>
      </c>
      <c r="P65" s="232" t="str">
        <f>IFERROR(INDEX('G-1 All Habitats'!$AG$3:$AG$15,MATCH(Q65,'G-1 All Habitats'!$AF$3:$AF$15,0)),"")</f>
        <v/>
      </c>
      <c r="Q65" s="228" t="str">
        <f t="shared" si="12"/>
        <v/>
      </c>
      <c r="R65" s="229" t="str">
        <f t="shared" si="13"/>
        <v/>
      </c>
      <c r="S65" s="233" t="str">
        <f>IFERROR(INDEX('G-1 All Habitats'!$B$3:$B$129,MATCH(R65,'G-1 All Habitats'!$A$3:$A$129,0)),"")</f>
        <v/>
      </c>
      <c r="T65" s="507" t="str">
        <f t="shared" si="5"/>
        <v/>
      </c>
      <c r="U65" s="524" t="str">
        <f t="shared" si="6"/>
        <v/>
      </c>
      <c r="V65" s="523" t="str">
        <f t="shared" si="2"/>
        <v/>
      </c>
      <c r="W65" s="520" t="str">
        <f>IF(S65="","",VLOOKUP(S65,'G-1 All Habitats'!$B$2:$M$129,10,FALSE))</f>
        <v/>
      </c>
      <c r="X65" s="520" t="str">
        <f>IFERROR(VLOOKUP(W65,'G-1 All Habitats'!$V$3:$W$7,2,FALSE),"")</f>
        <v/>
      </c>
      <c r="Y65" s="203"/>
      <c r="Z65" s="524" t="str">
        <f>IFERROR(INDEX('G-8 Condition Look up'!$A$3:$H$130,MATCH(S65,'G-8 Condition Look up'!$A$3:$A$130,0),MATCH(Y65,'G-8 Condition Look up'!$A$3:$H$3,0)),"")</f>
        <v/>
      </c>
      <c r="AA65" s="145"/>
      <c r="AB65" s="540" t="str">
        <f>IF(AA65="","",IF(VLOOKUP(AA65,'G-3 Multipliers'!$L$3:$N$6,2,FALSE)=0,"Spatial Data Missing ⚠",VLOOKUP(AA65,'G-3 Multipliers'!$L$3:$N$6,2,FALSE)))</f>
        <v/>
      </c>
      <c r="AC65" s="524" t="str">
        <f>IF(AA65="","",IF(VLOOKUP(AA65,'G-3 Multipliers'!$L$3:$N$6,3,FALSE)=0,"Spatial Data Missing ⚠",VLOOKUP(AA65,'G-3 Multipliers'!$L$3:$N$6,3,FALSE)))</f>
        <v/>
      </c>
      <c r="AD65" s="537" t="str">
        <f t="shared" si="3"/>
        <v/>
      </c>
      <c r="AE65" s="203"/>
      <c r="AF65" s="203"/>
      <c r="AG65" s="520" t="str">
        <f t="shared" si="7"/>
        <v/>
      </c>
      <c r="AH65" s="544" t="str">
        <f t="shared" si="8"/>
        <v/>
      </c>
      <c r="AI65" s="525" t="str">
        <f>IF(AH65="Check Data ⚠","Check Data ⚠",IFERROR(VLOOKUP(AH65,'G-4 Temporal multipliers'!$A$4:$C$36,3,FALSE),""))</f>
        <v/>
      </c>
      <c r="AJ65" s="537" t="str">
        <f>IF(S65="","",VLOOKUP(S65,'G-3 Multipliers'!$A$2:$E$129,4,FALSE))</f>
        <v/>
      </c>
      <c r="AK65" s="520" t="str">
        <f t="shared" si="9"/>
        <v/>
      </c>
      <c r="AL65" s="520" t="str">
        <f t="shared" si="10"/>
        <v/>
      </c>
      <c r="AM65" s="524" t="str">
        <f>IFERROR(IF(F65="","",IF(AH65="Check Data ⚠","Check Data ⚠",VLOOKUP(AL65, 'G-3 Multipliers'!$P$2:$Q$6,2,FALSE))),"")</f>
        <v/>
      </c>
      <c r="AN65" s="197"/>
      <c r="AO65" s="540" t="str">
        <f>IF(AN65="","",IF(VLOOKUP(AN65,'G-3 Multipliers'!$S$3:$T$9,2,FALSE)=0,"Spatial Data Missing ⚠",VLOOKUP(AN65,'G-3 Multipliers'!$S$3:$T$9,2,FALSE)))</f>
        <v/>
      </c>
      <c r="AP65" s="513" t="str">
        <f t="shared" si="11"/>
        <v/>
      </c>
      <c r="AQ65" s="231"/>
      <c r="AR65" s="150"/>
    </row>
    <row r="66" spans="1:44" x14ac:dyDescent="0.3">
      <c r="A66" s="31" t="str">
        <f>IF(E66="","",IF(ISNA(VLOOKUP($E66,'D-1 Off Site Habitat Baseline'!$D$1:$O$258,2,FALSE)),"",(VLOOKUP($E66,'D-1 Off Site Habitat Baseline'!$D$1:$O$258,2,FALSE))))</f>
        <v/>
      </c>
      <c r="B66" s="31" t="str">
        <f>IF(E66="","",IF(ISNA(VLOOKUP($E66,'D-1 Off Site Habitat Baseline'!$D$1:$O$258,3,FALSE)),"",(VLOOKUP($E66,'D-1 Off Site Habitat Baseline'!$D$1:$O$258,3,FALSE))))</f>
        <v/>
      </c>
      <c r="C66" s="31" t="str">
        <f>IFERROR(INDEX('G-8 Condition Look up'!$I$4:$I$130,MATCH(S66,'G-8 Condition Look up'!$A$4:$A$130,0)),"")</f>
        <v/>
      </c>
      <c r="E66" s="547" t="str">
        <f>'D-1 Off Site Habitat Baseline'!AL65</f>
        <v/>
      </c>
      <c r="F66" s="520" t="str">
        <f>IF(E66="","",IF(ISNA(VLOOKUP($E66,'D-1 Off Site Habitat Baseline'!$D$1:$O$258,4,FALSE)),"",(VLOOKUP($E66,'D-1 Off Site Habitat Baseline'!$D$1:$O$258,4,FALSE))))</f>
        <v/>
      </c>
      <c r="G66" s="520" t="str">
        <f>IF(E66="","",IF(ISNA(VLOOKUP($E66,'D-1 Off Site Habitat Baseline'!$D$1:$O$258,5,FALSE)),"",(VLOOKUP($E66,'D-1 Off Site Habitat Baseline'!$D$1:$O$258,5,FALSE))))</f>
        <v/>
      </c>
      <c r="H66" s="520" t="str">
        <f>IF(E66="","",IF(ISNA(VLOOKUP($E66,'D-1 Off Site Habitat Baseline'!$D$1:$O$258,6,FALSE)),"",(VLOOKUP($E66,'D-1 Off Site Habitat Baseline'!$D$1:$O$258,6,FALSE))))</f>
        <v/>
      </c>
      <c r="I66" s="520" t="str">
        <f>IF(E66="","",IF(ISNA(VLOOKUP($E66,'D-1 Off Site Habitat Baseline'!$D$1:$O$258,7,FALSE)),"",(VLOOKUP($E66,'D-1 Off Site Habitat Baseline'!$D$1:$O$258,7,FALSE))))</f>
        <v/>
      </c>
      <c r="J66" s="520" t="str">
        <f>IF(E66="","",IF(ISNA(VLOOKUP($E66,'D-1 Off Site Habitat Baseline'!$D$1:$O$258,8,FALSE)),"",(VLOOKUP($E66,'D-1 Off Site Habitat Baseline'!$D$1:$O$258,8,FALSE))))</f>
        <v/>
      </c>
      <c r="K66" s="520" t="str">
        <f>IF(E66="","",IF(ISNA(VLOOKUP($E66,'D-1 Off Site Habitat Baseline'!$D$1:$O$258,9,FALSE)),"",(VLOOKUP($E66,'D-1 Off Site Habitat Baseline'!$D$1:$O$258,9,FALSE))))</f>
        <v/>
      </c>
      <c r="L66" s="520" t="str">
        <f>IF(E66="","",IF(ISNA(VLOOKUP($E66,'D-1 Off Site Habitat Baseline'!$D$1:$O$258,11,FALSE)),"",(VLOOKUP($E66,'D-1 Off Site Habitat Baseline'!$D$1:$O$258,11,FALSE))))</f>
        <v/>
      </c>
      <c r="M66" s="520" t="str">
        <f>IF(E66="","",IF(ISNA(VLOOKUP($E66,'D-1 Off Site Habitat Baseline'!$D$1:$O$258,12,FALSE)),"",(VLOOKUP($E66,'D-1 Off Site Habitat Baseline'!$D$1:$O$258,12,FALSE))))</f>
        <v/>
      </c>
      <c r="N66" s="520" t="str">
        <f>IF(E66="","",IF(ISNA(VLOOKUP($E66,'D-1 Off Site Habitat Baseline'!$D$1:$X$258,14,FALSE)),"",(VLOOKUP($E66,'D-1 Off Site Habitat Baseline'!$D$1:$X$258,14,FALSE))))</f>
        <v/>
      </c>
      <c r="O66" s="524" t="str">
        <f>IF(E66="","",IF(ISNA(VLOOKUP($E66,'D-1 Off Site Habitat Baseline'!$D$1:$X$258,13,FALSE)),"",(VLOOKUP($E66,'D-1 Off Site Habitat Baseline'!$D$1:$X$258,13,FALSE))))</f>
        <v/>
      </c>
      <c r="P66" s="232" t="str">
        <f>IFERROR(INDEX('G-1 All Habitats'!$AG$3:$AG$15,MATCH(Q66,'G-1 All Habitats'!$AF$3:$AF$15,0)),"")</f>
        <v/>
      </c>
      <c r="Q66" s="228" t="str">
        <f t="shared" si="12"/>
        <v/>
      </c>
      <c r="R66" s="229" t="str">
        <f t="shared" si="13"/>
        <v/>
      </c>
      <c r="S66" s="233" t="str">
        <f>IFERROR(INDEX('G-1 All Habitats'!$B$3:$B$129,MATCH(R66,'G-1 All Habitats'!$A$3:$A$129,0)),"")</f>
        <v/>
      </c>
      <c r="T66" s="507" t="str">
        <f t="shared" si="5"/>
        <v/>
      </c>
      <c r="U66" s="524" t="str">
        <f t="shared" si="6"/>
        <v/>
      </c>
      <c r="V66" s="523" t="str">
        <f t="shared" si="2"/>
        <v/>
      </c>
      <c r="W66" s="520" t="str">
        <f>IF(S66="","",VLOOKUP(S66,'G-1 All Habitats'!$B$2:$M$129,10,FALSE))</f>
        <v/>
      </c>
      <c r="X66" s="520" t="str">
        <f>IFERROR(VLOOKUP(W66,'G-1 All Habitats'!$V$3:$W$7,2,FALSE),"")</f>
        <v/>
      </c>
      <c r="Y66" s="203"/>
      <c r="Z66" s="524" t="str">
        <f>IFERROR(INDEX('G-8 Condition Look up'!$A$3:$H$130,MATCH(S66,'G-8 Condition Look up'!$A$3:$A$130,0),MATCH(Y66,'G-8 Condition Look up'!$A$3:$H$3,0)),"")</f>
        <v/>
      </c>
      <c r="AA66" s="145"/>
      <c r="AB66" s="540" t="str">
        <f>IF(AA66="","",IF(VLOOKUP(AA66,'G-3 Multipliers'!$L$3:$N$6,2,FALSE)=0,"Spatial Data Missing ⚠",VLOOKUP(AA66,'G-3 Multipliers'!$L$3:$N$6,2,FALSE)))</f>
        <v/>
      </c>
      <c r="AC66" s="524" t="str">
        <f>IF(AA66="","",IF(VLOOKUP(AA66,'G-3 Multipliers'!$L$3:$N$6,3,FALSE)=0,"Spatial Data Missing ⚠",VLOOKUP(AA66,'G-3 Multipliers'!$L$3:$N$6,3,FALSE)))</f>
        <v/>
      </c>
      <c r="AD66" s="537" t="str">
        <f t="shared" si="3"/>
        <v/>
      </c>
      <c r="AE66" s="203"/>
      <c r="AF66" s="203"/>
      <c r="AG66" s="520" t="str">
        <f t="shared" si="7"/>
        <v/>
      </c>
      <c r="AH66" s="544" t="str">
        <f t="shared" si="8"/>
        <v/>
      </c>
      <c r="AI66" s="525" t="str">
        <f>IF(AH66="Check Data ⚠","Check Data ⚠",IFERROR(VLOOKUP(AH66,'G-4 Temporal multipliers'!$A$4:$C$36,3,FALSE),""))</f>
        <v/>
      </c>
      <c r="AJ66" s="537" t="str">
        <f>IF(S66="","",VLOOKUP(S66,'G-3 Multipliers'!$A$2:$E$129,4,FALSE))</f>
        <v/>
      </c>
      <c r="AK66" s="520" t="str">
        <f t="shared" si="9"/>
        <v/>
      </c>
      <c r="AL66" s="520" t="str">
        <f t="shared" si="10"/>
        <v/>
      </c>
      <c r="AM66" s="524" t="str">
        <f>IFERROR(IF(F66="","",IF(AH66="Check Data ⚠","Check Data ⚠",VLOOKUP(AL66, 'G-3 Multipliers'!$P$2:$Q$6,2,FALSE))),"")</f>
        <v/>
      </c>
      <c r="AN66" s="197"/>
      <c r="AO66" s="540" t="str">
        <f>IF(AN66="","",IF(VLOOKUP(AN66,'G-3 Multipliers'!$S$3:$T$9,2,FALSE)=0,"Spatial Data Missing ⚠",VLOOKUP(AN66,'G-3 Multipliers'!$S$3:$T$9,2,FALSE)))</f>
        <v/>
      </c>
      <c r="AP66" s="513" t="str">
        <f t="shared" si="11"/>
        <v/>
      </c>
      <c r="AQ66" s="231"/>
      <c r="AR66" s="150"/>
    </row>
    <row r="67" spans="1:44" x14ac:dyDescent="0.3">
      <c r="A67" s="31" t="str">
        <f>IF(E67="","",IF(ISNA(VLOOKUP($E67,'D-1 Off Site Habitat Baseline'!$D$1:$O$258,2,FALSE)),"",(VLOOKUP($E67,'D-1 Off Site Habitat Baseline'!$D$1:$O$258,2,FALSE))))</f>
        <v/>
      </c>
      <c r="B67" s="31" t="str">
        <f>IF(E67="","",IF(ISNA(VLOOKUP($E67,'D-1 Off Site Habitat Baseline'!$D$1:$O$258,3,FALSE)),"",(VLOOKUP($E67,'D-1 Off Site Habitat Baseline'!$D$1:$O$258,3,FALSE))))</f>
        <v/>
      </c>
      <c r="C67" s="31" t="str">
        <f>IFERROR(INDEX('G-8 Condition Look up'!$I$4:$I$130,MATCH(S67,'G-8 Condition Look up'!$A$4:$A$130,0)),"")</f>
        <v/>
      </c>
      <c r="E67" s="547" t="str">
        <f>'D-1 Off Site Habitat Baseline'!AL66</f>
        <v/>
      </c>
      <c r="F67" s="520" t="str">
        <f>IF(E67="","",IF(ISNA(VLOOKUP($E67,'D-1 Off Site Habitat Baseline'!$D$1:$O$258,4,FALSE)),"",(VLOOKUP($E67,'D-1 Off Site Habitat Baseline'!$D$1:$O$258,4,FALSE))))</f>
        <v/>
      </c>
      <c r="G67" s="520" t="str">
        <f>IF(E67="","",IF(ISNA(VLOOKUP($E67,'D-1 Off Site Habitat Baseline'!$D$1:$O$258,5,FALSE)),"",(VLOOKUP($E67,'D-1 Off Site Habitat Baseline'!$D$1:$O$258,5,FALSE))))</f>
        <v/>
      </c>
      <c r="H67" s="520" t="str">
        <f>IF(E67="","",IF(ISNA(VLOOKUP($E67,'D-1 Off Site Habitat Baseline'!$D$1:$O$258,6,FALSE)),"",(VLOOKUP($E67,'D-1 Off Site Habitat Baseline'!$D$1:$O$258,6,FALSE))))</f>
        <v/>
      </c>
      <c r="I67" s="520" t="str">
        <f>IF(E67="","",IF(ISNA(VLOOKUP($E67,'D-1 Off Site Habitat Baseline'!$D$1:$O$258,7,FALSE)),"",(VLOOKUP($E67,'D-1 Off Site Habitat Baseline'!$D$1:$O$258,7,FALSE))))</f>
        <v/>
      </c>
      <c r="J67" s="520" t="str">
        <f>IF(E67="","",IF(ISNA(VLOOKUP($E67,'D-1 Off Site Habitat Baseline'!$D$1:$O$258,8,FALSE)),"",(VLOOKUP($E67,'D-1 Off Site Habitat Baseline'!$D$1:$O$258,8,FALSE))))</f>
        <v/>
      </c>
      <c r="K67" s="520" t="str">
        <f>IF(E67="","",IF(ISNA(VLOOKUP($E67,'D-1 Off Site Habitat Baseline'!$D$1:$O$258,9,FALSE)),"",(VLOOKUP($E67,'D-1 Off Site Habitat Baseline'!$D$1:$O$258,9,FALSE))))</f>
        <v/>
      </c>
      <c r="L67" s="520" t="str">
        <f>IF(E67="","",IF(ISNA(VLOOKUP($E67,'D-1 Off Site Habitat Baseline'!$D$1:$O$258,11,FALSE)),"",(VLOOKUP($E67,'D-1 Off Site Habitat Baseline'!$D$1:$O$258,11,FALSE))))</f>
        <v/>
      </c>
      <c r="M67" s="520" t="str">
        <f>IF(E67="","",IF(ISNA(VLOOKUP($E67,'D-1 Off Site Habitat Baseline'!$D$1:$O$258,12,FALSE)),"",(VLOOKUP($E67,'D-1 Off Site Habitat Baseline'!$D$1:$O$258,12,FALSE))))</f>
        <v/>
      </c>
      <c r="N67" s="520" t="str">
        <f>IF(E67="","",IF(ISNA(VLOOKUP($E67,'D-1 Off Site Habitat Baseline'!$D$1:$X$258,14,FALSE)),"",(VLOOKUP($E67,'D-1 Off Site Habitat Baseline'!$D$1:$X$258,14,FALSE))))</f>
        <v/>
      </c>
      <c r="O67" s="524" t="str">
        <f>IF(E67="","",IF(ISNA(VLOOKUP($E67,'D-1 Off Site Habitat Baseline'!$D$1:$X$258,13,FALSE)),"",(VLOOKUP($E67,'D-1 Off Site Habitat Baseline'!$D$1:$X$258,13,FALSE))))</f>
        <v/>
      </c>
      <c r="P67" s="232" t="str">
        <f>IFERROR(INDEX('G-1 All Habitats'!$AG$3:$AG$15,MATCH(Q67,'G-1 All Habitats'!$AF$3:$AF$15,0)),"")</f>
        <v/>
      </c>
      <c r="Q67" s="228" t="str">
        <f t="shared" si="12"/>
        <v/>
      </c>
      <c r="R67" s="229" t="str">
        <f t="shared" si="13"/>
        <v/>
      </c>
      <c r="S67" s="233" t="str">
        <f>IFERROR(INDEX('G-1 All Habitats'!$B$3:$B$129,MATCH(R67,'G-1 All Habitats'!$A$3:$A$129,0)),"")</f>
        <v/>
      </c>
      <c r="T67" s="507" t="str">
        <f t="shared" si="5"/>
        <v/>
      </c>
      <c r="U67" s="524" t="str">
        <f t="shared" si="6"/>
        <v/>
      </c>
      <c r="V67" s="523" t="str">
        <f t="shared" si="2"/>
        <v/>
      </c>
      <c r="W67" s="520" t="str">
        <f>IF(S67="","",VLOOKUP(S67,'G-1 All Habitats'!$B$2:$M$129,10,FALSE))</f>
        <v/>
      </c>
      <c r="X67" s="520" t="str">
        <f>IFERROR(VLOOKUP(W67,'G-1 All Habitats'!$V$3:$W$7,2,FALSE),"")</f>
        <v/>
      </c>
      <c r="Y67" s="203"/>
      <c r="Z67" s="524" t="str">
        <f>IFERROR(INDEX('G-8 Condition Look up'!$A$3:$H$130,MATCH(S67,'G-8 Condition Look up'!$A$3:$A$130,0),MATCH(Y67,'G-8 Condition Look up'!$A$3:$H$3,0)),"")</f>
        <v/>
      </c>
      <c r="AA67" s="145"/>
      <c r="AB67" s="540" t="str">
        <f>IF(AA67="","",IF(VLOOKUP(AA67,'G-3 Multipliers'!$L$3:$N$6,2,FALSE)=0,"Spatial Data Missing ⚠",VLOOKUP(AA67,'G-3 Multipliers'!$L$3:$N$6,2,FALSE)))</f>
        <v/>
      </c>
      <c r="AC67" s="524" t="str">
        <f>IF(AA67="","",IF(VLOOKUP(AA67,'G-3 Multipliers'!$L$3:$N$6,3,FALSE)=0,"Spatial Data Missing ⚠",VLOOKUP(AA67,'G-3 Multipliers'!$L$3:$N$6,3,FALSE)))</f>
        <v/>
      </c>
      <c r="AD67" s="537" t="str">
        <f t="shared" si="3"/>
        <v/>
      </c>
      <c r="AE67" s="203"/>
      <c r="AF67" s="203"/>
      <c r="AG67" s="520" t="str">
        <f t="shared" si="7"/>
        <v/>
      </c>
      <c r="AH67" s="544" t="str">
        <f t="shared" si="8"/>
        <v/>
      </c>
      <c r="AI67" s="525" t="str">
        <f>IF(AH67="Check Data ⚠","Check Data ⚠",IFERROR(VLOOKUP(AH67,'G-4 Temporal multipliers'!$A$4:$C$36,3,FALSE),""))</f>
        <v/>
      </c>
      <c r="AJ67" s="537" t="str">
        <f>IF(S67="","",VLOOKUP(S67,'G-3 Multipliers'!$A$2:$E$129,4,FALSE))</f>
        <v/>
      </c>
      <c r="AK67" s="520" t="str">
        <f t="shared" si="9"/>
        <v/>
      </c>
      <c r="AL67" s="520" t="str">
        <f t="shared" si="10"/>
        <v/>
      </c>
      <c r="AM67" s="524" t="str">
        <f>IFERROR(IF(F67="","",IF(AH67="Check Data ⚠","Check Data ⚠",VLOOKUP(AL67, 'G-3 Multipliers'!$P$2:$Q$6,2,FALSE))),"")</f>
        <v/>
      </c>
      <c r="AN67" s="197"/>
      <c r="AO67" s="540" t="str">
        <f>IF(AN67="","",IF(VLOOKUP(AN67,'G-3 Multipliers'!$S$3:$T$9,2,FALSE)=0,"Spatial Data Missing ⚠",VLOOKUP(AN67,'G-3 Multipliers'!$S$3:$T$9,2,FALSE)))</f>
        <v/>
      </c>
      <c r="AP67" s="513" t="str">
        <f t="shared" si="11"/>
        <v/>
      </c>
      <c r="AQ67" s="231"/>
      <c r="AR67" s="150"/>
    </row>
    <row r="68" spans="1:44" x14ac:dyDescent="0.3">
      <c r="A68" s="31" t="str">
        <f>IF(E68="","",IF(ISNA(VLOOKUP($E68,'D-1 Off Site Habitat Baseline'!$D$1:$O$258,2,FALSE)),"",(VLOOKUP($E68,'D-1 Off Site Habitat Baseline'!$D$1:$O$258,2,FALSE))))</f>
        <v/>
      </c>
      <c r="B68" s="31" t="str">
        <f>IF(E68="","",IF(ISNA(VLOOKUP($E68,'D-1 Off Site Habitat Baseline'!$D$1:$O$258,3,FALSE)),"",(VLOOKUP($E68,'D-1 Off Site Habitat Baseline'!$D$1:$O$258,3,FALSE))))</f>
        <v/>
      </c>
      <c r="C68" s="31" t="str">
        <f>IFERROR(INDEX('G-8 Condition Look up'!$I$4:$I$130,MATCH(S68,'G-8 Condition Look up'!$A$4:$A$130,0)),"")</f>
        <v/>
      </c>
      <c r="E68" s="547" t="str">
        <f>'D-1 Off Site Habitat Baseline'!AL67</f>
        <v/>
      </c>
      <c r="F68" s="520" t="str">
        <f>IF(E68="","",IF(ISNA(VLOOKUP($E68,'D-1 Off Site Habitat Baseline'!$D$1:$O$258,4,FALSE)),"",(VLOOKUP($E68,'D-1 Off Site Habitat Baseline'!$D$1:$O$258,4,FALSE))))</f>
        <v/>
      </c>
      <c r="G68" s="520" t="str">
        <f>IF(E68="","",IF(ISNA(VLOOKUP($E68,'D-1 Off Site Habitat Baseline'!$D$1:$O$258,5,FALSE)),"",(VLOOKUP($E68,'D-1 Off Site Habitat Baseline'!$D$1:$O$258,5,FALSE))))</f>
        <v/>
      </c>
      <c r="H68" s="520" t="str">
        <f>IF(E68="","",IF(ISNA(VLOOKUP($E68,'D-1 Off Site Habitat Baseline'!$D$1:$O$258,6,FALSE)),"",(VLOOKUP($E68,'D-1 Off Site Habitat Baseline'!$D$1:$O$258,6,FALSE))))</f>
        <v/>
      </c>
      <c r="I68" s="520" t="str">
        <f>IF(E68="","",IF(ISNA(VLOOKUP($E68,'D-1 Off Site Habitat Baseline'!$D$1:$O$258,7,FALSE)),"",(VLOOKUP($E68,'D-1 Off Site Habitat Baseline'!$D$1:$O$258,7,FALSE))))</f>
        <v/>
      </c>
      <c r="J68" s="520" t="str">
        <f>IF(E68="","",IF(ISNA(VLOOKUP($E68,'D-1 Off Site Habitat Baseline'!$D$1:$O$258,8,FALSE)),"",(VLOOKUP($E68,'D-1 Off Site Habitat Baseline'!$D$1:$O$258,8,FALSE))))</f>
        <v/>
      </c>
      <c r="K68" s="520" t="str">
        <f>IF(E68="","",IF(ISNA(VLOOKUP($E68,'D-1 Off Site Habitat Baseline'!$D$1:$O$258,9,FALSE)),"",(VLOOKUP($E68,'D-1 Off Site Habitat Baseline'!$D$1:$O$258,9,FALSE))))</f>
        <v/>
      </c>
      <c r="L68" s="520" t="str">
        <f>IF(E68="","",IF(ISNA(VLOOKUP($E68,'D-1 Off Site Habitat Baseline'!$D$1:$O$258,11,FALSE)),"",(VLOOKUP($E68,'D-1 Off Site Habitat Baseline'!$D$1:$O$258,11,FALSE))))</f>
        <v/>
      </c>
      <c r="M68" s="520" t="str">
        <f>IF(E68="","",IF(ISNA(VLOOKUP($E68,'D-1 Off Site Habitat Baseline'!$D$1:$O$258,12,FALSE)),"",(VLOOKUP($E68,'D-1 Off Site Habitat Baseline'!$D$1:$O$258,12,FALSE))))</f>
        <v/>
      </c>
      <c r="N68" s="520" t="str">
        <f>IF(E68="","",IF(ISNA(VLOOKUP($E68,'D-1 Off Site Habitat Baseline'!$D$1:$X$258,14,FALSE)),"",(VLOOKUP($E68,'D-1 Off Site Habitat Baseline'!$D$1:$X$258,14,FALSE))))</f>
        <v/>
      </c>
      <c r="O68" s="524" t="str">
        <f>IF(E68="","",IF(ISNA(VLOOKUP($E68,'D-1 Off Site Habitat Baseline'!$D$1:$X$258,13,FALSE)),"",(VLOOKUP($E68,'D-1 Off Site Habitat Baseline'!$D$1:$X$258,13,FALSE))))</f>
        <v/>
      </c>
      <c r="P68" s="232" t="str">
        <f>IFERROR(INDEX('G-1 All Habitats'!$AG$3:$AG$15,MATCH(Q68,'G-1 All Habitats'!$AF$3:$AF$15,0)),"")</f>
        <v/>
      </c>
      <c r="Q68" s="228" t="str">
        <f t="shared" si="12"/>
        <v/>
      </c>
      <c r="R68" s="229" t="str">
        <f t="shared" si="13"/>
        <v/>
      </c>
      <c r="S68" s="233" t="str">
        <f>IFERROR(INDEX('G-1 All Habitats'!$B$3:$B$129,MATCH(R68,'G-1 All Habitats'!$A$3:$A$129,0)),"")</f>
        <v/>
      </c>
      <c r="T68" s="507" t="str">
        <f t="shared" si="5"/>
        <v/>
      </c>
      <c r="U68" s="524" t="str">
        <f t="shared" si="6"/>
        <v/>
      </c>
      <c r="V68" s="523" t="str">
        <f t="shared" si="2"/>
        <v/>
      </c>
      <c r="W68" s="520" t="str">
        <f>IF(S68="","",VLOOKUP(S68,'G-1 All Habitats'!$B$2:$M$129,10,FALSE))</f>
        <v/>
      </c>
      <c r="X68" s="520" t="str">
        <f>IFERROR(VLOOKUP(W68,'G-1 All Habitats'!$V$3:$W$7,2,FALSE),"")</f>
        <v/>
      </c>
      <c r="Y68" s="203"/>
      <c r="Z68" s="524" t="str">
        <f>IFERROR(INDEX('G-8 Condition Look up'!$A$3:$H$130,MATCH(S68,'G-8 Condition Look up'!$A$3:$A$130,0),MATCH(Y68,'G-8 Condition Look up'!$A$3:$H$3,0)),"")</f>
        <v/>
      </c>
      <c r="AA68" s="145"/>
      <c r="AB68" s="540" t="str">
        <f>IF(AA68="","",IF(VLOOKUP(AA68,'G-3 Multipliers'!$L$3:$N$6,2,FALSE)=0,"Spatial Data Missing ⚠",VLOOKUP(AA68,'G-3 Multipliers'!$L$3:$N$6,2,FALSE)))</f>
        <v/>
      </c>
      <c r="AC68" s="524" t="str">
        <f>IF(AA68="","",IF(VLOOKUP(AA68,'G-3 Multipliers'!$L$3:$N$6,3,FALSE)=0,"Spatial Data Missing ⚠",VLOOKUP(AA68,'G-3 Multipliers'!$L$3:$N$6,3,FALSE)))</f>
        <v/>
      </c>
      <c r="AD68" s="537" t="str">
        <f t="shared" si="3"/>
        <v/>
      </c>
      <c r="AE68" s="203"/>
      <c r="AF68" s="203"/>
      <c r="AG68" s="520" t="str">
        <f t="shared" si="7"/>
        <v/>
      </c>
      <c r="AH68" s="544" t="str">
        <f t="shared" si="8"/>
        <v/>
      </c>
      <c r="AI68" s="525" t="str">
        <f>IF(AH68="Check Data ⚠","Check Data ⚠",IFERROR(VLOOKUP(AH68,'G-4 Temporal multipliers'!$A$4:$C$36,3,FALSE),""))</f>
        <v/>
      </c>
      <c r="AJ68" s="537" t="str">
        <f>IF(S68="","",VLOOKUP(S68,'G-3 Multipliers'!$A$2:$E$129,4,FALSE))</f>
        <v/>
      </c>
      <c r="AK68" s="520" t="str">
        <f t="shared" si="9"/>
        <v/>
      </c>
      <c r="AL68" s="520" t="str">
        <f t="shared" si="10"/>
        <v/>
      </c>
      <c r="AM68" s="524" t="str">
        <f>IFERROR(IF(F68="","",IF(AH68="Check Data ⚠","Check Data ⚠",VLOOKUP(AL68, 'G-3 Multipliers'!$P$2:$Q$6,2,FALSE))),"")</f>
        <v/>
      </c>
      <c r="AN68" s="197"/>
      <c r="AO68" s="540" t="str">
        <f>IF(AN68="","",IF(VLOOKUP(AN68,'G-3 Multipliers'!$S$3:$T$9,2,FALSE)=0,"Spatial Data Missing ⚠",VLOOKUP(AN68,'G-3 Multipliers'!$S$3:$T$9,2,FALSE)))</f>
        <v/>
      </c>
      <c r="AP68" s="513" t="str">
        <f t="shared" si="11"/>
        <v/>
      </c>
      <c r="AQ68" s="231"/>
      <c r="AR68" s="150"/>
    </row>
    <row r="69" spans="1:44" x14ac:dyDescent="0.3">
      <c r="A69" s="31" t="str">
        <f>IF(E69="","",IF(ISNA(VLOOKUP($E69,'D-1 Off Site Habitat Baseline'!$D$1:$O$258,2,FALSE)),"",(VLOOKUP($E69,'D-1 Off Site Habitat Baseline'!$D$1:$O$258,2,FALSE))))</f>
        <v/>
      </c>
      <c r="B69" s="31" t="str">
        <f>IF(E69="","",IF(ISNA(VLOOKUP($E69,'D-1 Off Site Habitat Baseline'!$D$1:$O$258,3,FALSE)),"",(VLOOKUP($E69,'D-1 Off Site Habitat Baseline'!$D$1:$O$258,3,FALSE))))</f>
        <v/>
      </c>
      <c r="C69" s="31" t="str">
        <f>IFERROR(INDEX('G-8 Condition Look up'!$I$4:$I$130,MATCH(S69,'G-8 Condition Look up'!$A$4:$A$130,0)),"")</f>
        <v/>
      </c>
      <c r="E69" s="547" t="str">
        <f>'D-1 Off Site Habitat Baseline'!AL68</f>
        <v/>
      </c>
      <c r="F69" s="520" t="str">
        <f>IF(E69="","",IF(ISNA(VLOOKUP($E69,'D-1 Off Site Habitat Baseline'!$D$1:$O$258,4,FALSE)),"",(VLOOKUP($E69,'D-1 Off Site Habitat Baseline'!$D$1:$O$258,4,FALSE))))</f>
        <v/>
      </c>
      <c r="G69" s="520" t="str">
        <f>IF(E69="","",IF(ISNA(VLOOKUP($E69,'D-1 Off Site Habitat Baseline'!$D$1:$O$258,5,FALSE)),"",(VLOOKUP($E69,'D-1 Off Site Habitat Baseline'!$D$1:$O$258,5,FALSE))))</f>
        <v/>
      </c>
      <c r="H69" s="520" t="str">
        <f>IF(E69="","",IF(ISNA(VLOOKUP($E69,'D-1 Off Site Habitat Baseline'!$D$1:$O$258,6,FALSE)),"",(VLOOKUP($E69,'D-1 Off Site Habitat Baseline'!$D$1:$O$258,6,FALSE))))</f>
        <v/>
      </c>
      <c r="I69" s="520" t="str">
        <f>IF(E69="","",IF(ISNA(VLOOKUP($E69,'D-1 Off Site Habitat Baseline'!$D$1:$O$258,7,FALSE)),"",(VLOOKUP($E69,'D-1 Off Site Habitat Baseline'!$D$1:$O$258,7,FALSE))))</f>
        <v/>
      </c>
      <c r="J69" s="520" t="str">
        <f>IF(E69="","",IF(ISNA(VLOOKUP($E69,'D-1 Off Site Habitat Baseline'!$D$1:$O$258,8,FALSE)),"",(VLOOKUP($E69,'D-1 Off Site Habitat Baseline'!$D$1:$O$258,8,FALSE))))</f>
        <v/>
      </c>
      <c r="K69" s="520" t="str">
        <f>IF(E69="","",IF(ISNA(VLOOKUP($E69,'D-1 Off Site Habitat Baseline'!$D$1:$O$258,9,FALSE)),"",(VLOOKUP($E69,'D-1 Off Site Habitat Baseline'!$D$1:$O$258,9,FALSE))))</f>
        <v/>
      </c>
      <c r="L69" s="520" t="str">
        <f>IF(E69="","",IF(ISNA(VLOOKUP($E69,'D-1 Off Site Habitat Baseline'!$D$1:$O$258,11,FALSE)),"",(VLOOKUP($E69,'D-1 Off Site Habitat Baseline'!$D$1:$O$258,11,FALSE))))</f>
        <v/>
      </c>
      <c r="M69" s="520" t="str">
        <f>IF(E69="","",IF(ISNA(VLOOKUP($E69,'D-1 Off Site Habitat Baseline'!$D$1:$O$258,12,FALSE)),"",(VLOOKUP($E69,'D-1 Off Site Habitat Baseline'!$D$1:$O$258,12,FALSE))))</f>
        <v/>
      </c>
      <c r="N69" s="520" t="str">
        <f>IF(E69="","",IF(ISNA(VLOOKUP($E69,'D-1 Off Site Habitat Baseline'!$D$1:$X$258,14,FALSE)),"",(VLOOKUP($E69,'D-1 Off Site Habitat Baseline'!$D$1:$X$258,14,FALSE))))</f>
        <v/>
      </c>
      <c r="O69" s="524" t="str">
        <f>IF(E69="","",IF(ISNA(VLOOKUP($E69,'D-1 Off Site Habitat Baseline'!$D$1:$X$258,13,FALSE)),"",(VLOOKUP($E69,'D-1 Off Site Habitat Baseline'!$D$1:$X$258,13,FALSE))))</f>
        <v/>
      </c>
      <c r="P69" s="232" t="str">
        <f>IFERROR(INDEX('G-1 All Habitats'!$AG$3:$AG$15,MATCH(Q69,'G-1 All Habitats'!$AF$3:$AF$15,0)),"")</f>
        <v/>
      </c>
      <c r="Q69" s="228" t="str">
        <f t="shared" si="12"/>
        <v/>
      </c>
      <c r="R69" s="229" t="str">
        <f t="shared" si="13"/>
        <v/>
      </c>
      <c r="S69" s="233" t="str">
        <f>IFERROR(INDEX('G-1 All Habitats'!$B$3:$B$129,MATCH(R69,'G-1 All Habitats'!$A$3:$A$129,0)),"")</f>
        <v/>
      </c>
      <c r="T69" s="507" t="str">
        <f t="shared" si="5"/>
        <v/>
      </c>
      <c r="U69" s="524" t="str">
        <f t="shared" si="6"/>
        <v/>
      </c>
      <c r="V69" s="523" t="str">
        <f t="shared" si="2"/>
        <v/>
      </c>
      <c r="W69" s="520" t="str">
        <f>IF(S69="","",VLOOKUP(S69,'G-1 All Habitats'!$B$2:$M$129,10,FALSE))</f>
        <v/>
      </c>
      <c r="X69" s="520" t="str">
        <f>IFERROR(VLOOKUP(W69,'G-1 All Habitats'!$V$3:$W$7,2,FALSE),"")</f>
        <v/>
      </c>
      <c r="Y69" s="203"/>
      <c r="Z69" s="524" t="str">
        <f>IFERROR(INDEX('G-8 Condition Look up'!$A$3:$H$130,MATCH(S69,'G-8 Condition Look up'!$A$3:$A$130,0),MATCH(Y69,'G-8 Condition Look up'!$A$3:$H$3,0)),"")</f>
        <v/>
      </c>
      <c r="AA69" s="145"/>
      <c r="AB69" s="540" t="str">
        <f>IF(AA69="","",IF(VLOOKUP(AA69,'G-3 Multipliers'!$L$3:$N$6,2,FALSE)=0,"Spatial Data Missing ⚠",VLOOKUP(AA69,'G-3 Multipliers'!$L$3:$N$6,2,FALSE)))</f>
        <v/>
      </c>
      <c r="AC69" s="524" t="str">
        <f>IF(AA69="","",IF(VLOOKUP(AA69,'G-3 Multipliers'!$L$3:$N$6,3,FALSE)=0,"Spatial Data Missing ⚠",VLOOKUP(AA69,'G-3 Multipliers'!$L$3:$N$6,3,FALSE)))</f>
        <v/>
      </c>
      <c r="AD69" s="537" t="str">
        <f t="shared" si="3"/>
        <v/>
      </c>
      <c r="AE69" s="203"/>
      <c r="AF69" s="203"/>
      <c r="AG69" s="520" t="str">
        <f t="shared" si="7"/>
        <v/>
      </c>
      <c r="AH69" s="544" t="str">
        <f t="shared" si="8"/>
        <v/>
      </c>
      <c r="AI69" s="525" t="str">
        <f>IF(AH69="Check Data ⚠","Check Data ⚠",IFERROR(VLOOKUP(AH69,'G-4 Temporal multipliers'!$A$4:$C$36,3,FALSE),""))</f>
        <v/>
      </c>
      <c r="AJ69" s="537" t="str">
        <f>IF(S69="","",VLOOKUP(S69,'G-3 Multipliers'!$A$2:$E$129,4,FALSE))</f>
        <v/>
      </c>
      <c r="AK69" s="520" t="str">
        <f t="shared" si="9"/>
        <v/>
      </c>
      <c r="AL69" s="520" t="str">
        <f t="shared" si="10"/>
        <v/>
      </c>
      <c r="AM69" s="524" t="str">
        <f>IFERROR(IF(F69="","",IF(AH69="Check Data ⚠","Check Data ⚠",VLOOKUP(AL69, 'G-3 Multipliers'!$P$2:$Q$6,2,FALSE))),"")</f>
        <v/>
      </c>
      <c r="AN69" s="197"/>
      <c r="AO69" s="540" t="str">
        <f>IF(AN69="","",IF(VLOOKUP(AN69,'G-3 Multipliers'!$S$3:$T$9,2,FALSE)=0,"Spatial Data Missing ⚠",VLOOKUP(AN69,'G-3 Multipliers'!$S$3:$T$9,2,FALSE)))</f>
        <v/>
      </c>
      <c r="AP69" s="513" t="str">
        <f t="shared" si="11"/>
        <v/>
      </c>
      <c r="AQ69" s="231"/>
      <c r="AR69" s="150"/>
    </row>
    <row r="70" spans="1:44" x14ac:dyDescent="0.3">
      <c r="A70" s="31" t="str">
        <f>IF(E70="","",IF(ISNA(VLOOKUP($E70,'D-1 Off Site Habitat Baseline'!$D$1:$O$258,2,FALSE)),"",(VLOOKUP($E70,'D-1 Off Site Habitat Baseline'!$D$1:$O$258,2,FALSE))))</f>
        <v/>
      </c>
      <c r="B70" s="31" t="str">
        <f>IF(E70="","",IF(ISNA(VLOOKUP($E70,'D-1 Off Site Habitat Baseline'!$D$1:$O$258,3,FALSE)),"",(VLOOKUP($E70,'D-1 Off Site Habitat Baseline'!$D$1:$O$258,3,FALSE))))</f>
        <v/>
      </c>
      <c r="C70" s="31" t="str">
        <f>IFERROR(INDEX('G-8 Condition Look up'!$I$4:$I$130,MATCH(S70,'G-8 Condition Look up'!$A$4:$A$130,0)),"")</f>
        <v/>
      </c>
      <c r="E70" s="547" t="str">
        <f>'D-1 Off Site Habitat Baseline'!AL69</f>
        <v/>
      </c>
      <c r="F70" s="520" t="str">
        <f>IF(E70="","",IF(ISNA(VLOOKUP($E70,'D-1 Off Site Habitat Baseline'!$D$1:$O$258,4,FALSE)),"",(VLOOKUP($E70,'D-1 Off Site Habitat Baseline'!$D$1:$O$258,4,FALSE))))</f>
        <v/>
      </c>
      <c r="G70" s="520" t="str">
        <f>IF(E70="","",IF(ISNA(VLOOKUP($E70,'D-1 Off Site Habitat Baseline'!$D$1:$O$258,5,FALSE)),"",(VLOOKUP($E70,'D-1 Off Site Habitat Baseline'!$D$1:$O$258,5,FALSE))))</f>
        <v/>
      </c>
      <c r="H70" s="520" t="str">
        <f>IF(E70="","",IF(ISNA(VLOOKUP($E70,'D-1 Off Site Habitat Baseline'!$D$1:$O$258,6,FALSE)),"",(VLOOKUP($E70,'D-1 Off Site Habitat Baseline'!$D$1:$O$258,6,FALSE))))</f>
        <v/>
      </c>
      <c r="I70" s="520" t="str">
        <f>IF(E70="","",IF(ISNA(VLOOKUP($E70,'D-1 Off Site Habitat Baseline'!$D$1:$O$258,7,FALSE)),"",(VLOOKUP($E70,'D-1 Off Site Habitat Baseline'!$D$1:$O$258,7,FALSE))))</f>
        <v/>
      </c>
      <c r="J70" s="520" t="str">
        <f>IF(E70="","",IF(ISNA(VLOOKUP($E70,'D-1 Off Site Habitat Baseline'!$D$1:$O$258,8,FALSE)),"",(VLOOKUP($E70,'D-1 Off Site Habitat Baseline'!$D$1:$O$258,8,FALSE))))</f>
        <v/>
      </c>
      <c r="K70" s="520" t="str">
        <f>IF(E70="","",IF(ISNA(VLOOKUP($E70,'D-1 Off Site Habitat Baseline'!$D$1:$O$258,9,FALSE)),"",(VLOOKUP($E70,'D-1 Off Site Habitat Baseline'!$D$1:$O$258,9,FALSE))))</f>
        <v/>
      </c>
      <c r="L70" s="520" t="str">
        <f>IF(E70="","",IF(ISNA(VLOOKUP($E70,'D-1 Off Site Habitat Baseline'!$D$1:$O$258,11,FALSE)),"",(VLOOKUP($E70,'D-1 Off Site Habitat Baseline'!$D$1:$O$258,11,FALSE))))</f>
        <v/>
      </c>
      <c r="M70" s="520" t="str">
        <f>IF(E70="","",IF(ISNA(VLOOKUP($E70,'D-1 Off Site Habitat Baseline'!$D$1:$O$258,12,FALSE)),"",(VLOOKUP($E70,'D-1 Off Site Habitat Baseline'!$D$1:$O$258,12,FALSE))))</f>
        <v/>
      </c>
      <c r="N70" s="520" t="str">
        <f>IF(E70="","",IF(ISNA(VLOOKUP($E70,'D-1 Off Site Habitat Baseline'!$D$1:$X$258,14,FALSE)),"",(VLOOKUP($E70,'D-1 Off Site Habitat Baseline'!$D$1:$X$258,14,FALSE))))</f>
        <v/>
      </c>
      <c r="O70" s="524" t="str">
        <f>IF(E70="","",IF(ISNA(VLOOKUP($E70,'D-1 Off Site Habitat Baseline'!$D$1:$X$258,13,FALSE)),"",(VLOOKUP($E70,'D-1 Off Site Habitat Baseline'!$D$1:$X$258,13,FALSE))))</f>
        <v/>
      </c>
      <c r="P70" s="232" t="str">
        <f>IFERROR(INDEX('G-1 All Habitats'!$AG$3:$AG$15,MATCH(Q70,'G-1 All Habitats'!$AF$3:$AF$15,0)),"")</f>
        <v/>
      </c>
      <c r="Q70" s="228" t="str">
        <f t="shared" si="12"/>
        <v/>
      </c>
      <c r="R70" s="229" t="str">
        <f t="shared" si="13"/>
        <v/>
      </c>
      <c r="S70" s="233" t="str">
        <f>IFERROR(INDEX('G-1 All Habitats'!$B$3:$B$129,MATCH(R70,'G-1 All Habitats'!$A$3:$A$129,0)),"")</f>
        <v/>
      </c>
      <c r="T70" s="507" t="str">
        <f t="shared" si="5"/>
        <v/>
      </c>
      <c r="U70" s="524" t="str">
        <f t="shared" si="6"/>
        <v/>
      </c>
      <c r="V70" s="523" t="str">
        <f t="shared" si="2"/>
        <v/>
      </c>
      <c r="W70" s="520" t="str">
        <f>IF(S70="","",VLOOKUP(S70,'G-1 All Habitats'!$B$2:$M$129,10,FALSE))</f>
        <v/>
      </c>
      <c r="X70" s="520" t="str">
        <f>IFERROR(VLOOKUP(W70,'G-1 All Habitats'!$V$3:$W$7,2,FALSE),"")</f>
        <v/>
      </c>
      <c r="Y70" s="203"/>
      <c r="Z70" s="524" t="str">
        <f>IFERROR(INDEX('G-8 Condition Look up'!$A$3:$H$130,MATCH(S70,'G-8 Condition Look up'!$A$3:$A$130,0),MATCH(Y70,'G-8 Condition Look up'!$A$3:$H$3,0)),"")</f>
        <v/>
      </c>
      <c r="AA70" s="145"/>
      <c r="AB70" s="540" t="str">
        <f>IF(AA70="","",IF(VLOOKUP(AA70,'G-3 Multipliers'!$L$3:$N$6,2,FALSE)=0,"Spatial Data Missing ⚠",VLOOKUP(AA70,'G-3 Multipliers'!$L$3:$N$6,2,FALSE)))</f>
        <v/>
      </c>
      <c r="AC70" s="524" t="str">
        <f>IF(AA70="","",IF(VLOOKUP(AA70,'G-3 Multipliers'!$L$3:$N$6,3,FALSE)=0,"Spatial Data Missing ⚠",VLOOKUP(AA70,'G-3 Multipliers'!$L$3:$N$6,3,FALSE)))</f>
        <v/>
      </c>
      <c r="AD70" s="537" t="str">
        <f t="shared" si="3"/>
        <v/>
      </c>
      <c r="AE70" s="203"/>
      <c r="AF70" s="203"/>
      <c r="AG70" s="520" t="str">
        <f t="shared" si="7"/>
        <v/>
      </c>
      <c r="AH70" s="544" t="str">
        <f t="shared" si="8"/>
        <v/>
      </c>
      <c r="AI70" s="525" t="str">
        <f>IF(AH70="Check Data ⚠","Check Data ⚠",IFERROR(VLOOKUP(AH70,'G-4 Temporal multipliers'!$A$4:$C$36,3,FALSE),""))</f>
        <v/>
      </c>
      <c r="AJ70" s="537" t="str">
        <f>IF(S70="","",VLOOKUP(S70,'G-3 Multipliers'!$A$2:$E$129,4,FALSE))</f>
        <v/>
      </c>
      <c r="AK70" s="520" t="str">
        <f t="shared" si="9"/>
        <v/>
      </c>
      <c r="AL70" s="520" t="str">
        <f t="shared" si="10"/>
        <v/>
      </c>
      <c r="AM70" s="524" t="str">
        <f>IFERROR(IF(F70="","",IF(AH70="Check Data ⚠","Check Data ⚠",VLOOKUP(AL70, 'G-3 Multipliers'!$P$2:$Q$6,2,FALSE))),"")</f>
        <v/>
      </c>
      <c r="AN70" s="197"/>
      <c r="AO70" s="540" t="str">
        <f>IF(AN70="","",IF(VLOOKUP(AN70,'G-3 Multipliers'!$S$3:$T$9,2,FALSE)=0,"Spatial Data Missing ⚠",VLOOKUP(AN70,'G-3 Multipliers'!$S$3:$T$9,2,FALSE)))</f>
        <v/>
      </c>
      <c r="AP70" s="513" t="str">
        <f t="shared" si="11"/>
        <v/>
      </c>
      <c r="AQ70" s="231"/>
      <c r="AR70" s="150"/>
    </row>
    <row r="71" spans="1:44" x14ac:dyDescent="0.3">
      <c r="A71" s="31" t="str">
        <f>IF(E71="","",IF(ISNA(VLOOKUP($E71,'D-1 Off Site Habitat Baseline'!$D$1:$O$258,2,FALSE)),"",(VLOOKUP($E71,'D-1 Off Site Habitat Baseline'!$D$1:$O$258,2,FALSE))))</f>
        <v/>
      </c>
      <c r="B71" s="31" t="str">
        <f>IF(E71="","",IF(ISNA(VLOOKUP($E71,'D-1 Off Site Habitat Baseline'!$D$1:$O$258,3,FALSE)),"",(VLOOKUP($E71,'D-1 Off Site Habitat Baseline'!$D$1:$O$258,3,FALSE))))</f>
        <v/>
      </c>
      <c r="C71" s="31" t="str">
        <f>IFERROR(INDEX('G-8 Condition Look up'!$I$4:$I$130,MATCH(S71,'G-8 Condition Look up'!$A$4:$A$130,0)),"")</f>
        <v/>
      </c>
      <c r="E71" s="547" t="str">
        <f>'D-1 Off Site Habitat Baseline'!AL70</f>
        <v/>
      </c>
      <c r="F71" s="520" t="str">
        <f>IF(E71="","",IF(ISNA(VLOOKUP($E71,'D-1 Off Site Habitat Baseline'!$D$1:$O$258,4,FALSE)),"",(VLOOKUP($E71,'D-1 Off Site Habitat Baseline'!$D$1:$O$258,4,FALSE))))</f>
        <v/>
      </c>
      <c r="G71" s="520" t="str">
        <f>IF(E71="","",IF(ISNA(VLOOKUP($E71,'D-1 Off Site Habitat Baseline'!$D$1:$O$258,5,FALSE)),"",(VLOOKUP($E71,'D-1 Off Site Habitat Baseline'!$D$1:$O$258,5,FALSE))))</f>
        <v/>
      </c>
      <c r="H71" s="520" t="str">
        <f>IF(E71="","",IF(ISNA(VLOOKUP($E71,'D-1 Off Site Habitat Baseline'!$D$1:$O$258,6,FALSE)),"",(VLOOKUP($E71,'D-1 Off Site Habitat Baseline'!$D$1:$O$258,6,FALSE))))</f>
        <v/>
      </c>
      <c r="I71" s="520" t="str">
        <f>IF(E71="","",IF(ISNA(VLOOKUP($E71,'D-1 Off Site Habitat Baseline'!$D$1:$O$258,7,FALSE)),"",(VLOOKUP($E71,'D-1 Off Site Habitat Baseline'!$D$1:$O$258,7,FALSE))))</f>
        <v/>
      </c>
      <c r="J71" s="520" t="str">
        <f>IF(E71="","",IF(ISNA(VLOOKUP($E71,'D-1 Off Site Habitat Baseline'!$D$1:$O$258,8,FALSE)),"",(VLOOKUP($E71,'D-1 Off Site Habitat Baseline'!$D$1:$O$258,8,FALSE))))</f>
        <v/>
      </c>
      <c r="K71" s="520" t="str">
        <f>IF(E71="","",IF(ISNA(VLOOKUP($E71,'D-1 Off Site Habitat Baseline'!$D$1:$O$258,9,FALSE)),"",(VLOOKUP($E71,'D-1 Off Site Habitat Baseline'!$D$1:$O$258,9,FALSE))))</f>
        <v/>
      </c>
      <c r="L71" s="520" t="str">
        <f>IF(E71="","",IF(ISNA(VLOOKUP($E71,'D-1 Off Site Habitat Baseline'!$D$1:$O$258,11,FALSE)),"",(VLOOKUP($E71,'D-1 Off Site Habitat Baseline'!$D$1:$O$258,11,FALSE))))</f>
        <v/>
      </c>
      <c r="M71" s="520" t="str">
        <f>IF(E71="","",IF(ISNA(VLOOKUP($E71,'D-1 Off Site Habitat Baseline'!$D$1:$O$258,12,FALSE)),"",(VLOOKUP($E71,'D-1 Off Site Habitat Baseline'!$D$1:$O$258,12,FALSE))))</f>
        <v/>
      </c>
      <c r="N71" s="520" t="str">
        <f>IF(E71="","",IF(ISNA(VLOOKUP($E71,'D-1 Off Site Habitat Baseline'!$D$1:$X$258,14,FALSE)),"",(VLOOKUP($E71,'D-1 Off Site Habitat Baseline'!$D$1:$X$258,14,FALSE))))</f>
        <v/>
      </c>
      <c r="O71" s="524" t="str">
        <f>IF(E71="","",IF(ISNA(VLOOKUP($E71,'D-1 Off Site Habitat Baseline'!$D$1:$X$258,13,FALSE)),"",(VLOOKUP($E71,'D-1 Off Site Habitat Baseline'!$D$1:$X$258,13,FALSE))))</f>
        <v/>
      </c>
      <c r="P71" s="232" t="str">
        <f>IFERROR(INDEX('G-1 All Habitats'!$AG$3:$AG$15,MATCH(Q71,'G-1 All Habitats'!$AF$3:$AF$15,0)),"")</f>
        <v/>
      </c>
      <c r="Q71" s="228" t="str">
        <f t="shared" si="12"/>
        <v/>
      </c>
      <c r="R71" s="229" t="str">
        <f t="shared" si="13"/>
        <v/>
      </c>
      <c r="S71" s="233" t="str">
        <f>IFERROR(INDEX('G-1 All Habitats'!$B$3:$B$129,MATCH(R71,'G-1 All Habitats'!$A$3:$A$129,0)),"")</f>
        <v/>
      </c>
      <c r="T71" s="507" t="str">
        <f t="shared" si="5"/>
        <v/>
      </c>
      <c r="U71" s="524" t="str">
        <f t="shared" si="6"/>
        <v/>
      </c>
      <c r="V71" s="523" t="str">
        <f t="shared" si="2"/>
        <v/>
      </c>
      <c r="W71" s="520" t="str">
        <f>IF(S71="","",VLOOKUP(S71,'G-1 All Habitats'!$B$2:$M$129,10,FALSE))</f>
        <v/>
      </c>
      <c r="X71" s="520" t="str">
        <f>IFERROR(VLOOKUP(W71,'G-1 All Habitats'!$V$3:$W$7,2,FALSE),"")</f>
        <v/>
      </c>
      <c r="Y71" s="203"/>
      <c r="Z71" s="524" t="str">
        <f>IFERROR(INDEX('G-8 Condition Look up'!$A$3:$H$130,MATCH(S71,'G-8 Condition Look up'!$A$3:$A$130,0),MATCH(Y71,'G-8 Condition Look up'!$A$3:$H$3,0)),"")</f>
        <v/>
      </c>
      <c r="AA71" s="145"/>
      <c r="AB71" s="540" t="str">
        <f>IF(AA71="","",IF(VLOOKUP(AA71,'G-3 Multipliers'!$L$3:$N$6,2,FALSE)=0,"Spatial Data Missing ⚠",VLOOKUP(AA71,'G-3 Multipliers'!$L$3:$N$6,2,FALSE)))</f>
        <v/>
      </c>
      <c r="AC71" s="524" t="str">
        <f>IF(AA71="","",IF(VLOOKUP(AA71,'G-3 Multipliers'!$L$3:$N$6,3,FALSE)=0,"Spatial Data Missing ⚠",VLOOKUP(AA71,'G-3 Multipliers'!$L$3:$N$6,3,FALSE)))</f>
        <v/>
      </c>
      <c r="AD71" s="537" t="str">
        <f t="shared" si="3"/>
        <v/>
      </c>
      <c r="AE71" s="203"/>
      <c r="AF71" s="203"/>
      <c r="AG71" s="520" t="str">
        <f t="shared" si="7"/>
        <v/>
      </c>
      <c r="AH71" s="544" t="str">
        <f t="shared" si="8"/>
        <v/>
      </c>
      <c r="AI71" s="525" t="str">
        <f>IF(AH71="Check Data ⚠","Check Data ⚠",IFERROR(VLOOKUP(AH71,'G-4 Temporal multipliers'!$A$4:$C$36,3,FALSE),""))</f>
        <v/>
      </c>
      <c r="AJ71" s="537" t="str">
        <f>IF(S71="","",VLOOKUP(S71,'G-3 Multipliers'!$A$2:$E$129,4,FALSE))</f>
        <v/>
      </c>
      <c r="AK71" s="520" t="str">
        <f t="shared" si="9"/>
        <v/>
      </c>
      <c r="AL71" s="520" t="str">
        <f t="shared" si="10"/>
        <v/>
      </c>
      <c r="AM71" s="524" t="str">
        <f>IFERROR(IF(F71="","",IF(AH71="Check Data ⚠","Check Data ⚠",VLOOKUP(AL71, 'G-3 Multipliers'!$P$2:$Q$6,2,FALSE))),"")</f>
        <v/>
      </c>
      <c r="AN71" s="197"/>
      <c r="AO71" s="540" t="str">
        <f>IF(AN71="","",IF(VLOOKUP(AN71,'G-3 Multipliers'!$S$3:$T$9,2,FALSE)=0,"Spatial Data Missing ⚠",VLOOKUP(AN71,'G-3 Multipliers'!$S$3:$T$9,2,FALSE)))</f>
        <v/>
      </c>
      <c r="AP71" s="513" t="str">
        <f t="shared" si="11"/>
        <v/>
      </c>
      <c r="AQ71" s="231"/>
      <c r="AR71" s="150"/>
    </row>
    <row r="72" spans="1:44" x14ac:dyDescent="0.3">
      <c r="A72" s="31" t="str">
        <f>IF(E72="","",IF(ISNA(VLOOKUP($E72,'D-1 Off Site Habitat Baseline'!$D$1:$O$258,2,FALSE)),"",(VLOOKUP($E72,'D-1 Off Site Habitat Baseline'!$D$1:$O$258,2,FALSE))))</f>
        <v/>
      </c>
      <c r="B72" s="31" t="str">
        <f>IF(E72="","",IF(ISNA(VLOOKUP($E72,'D-1 Off Site Habitat Baseline'!$D$1:$O$258,3,FALSE)),"",(VLOOKUP($E72,'D-1 Off Site Habitat Baseline'!$D$1:$O$258,3,FALSE))))</f>
        <v/>
      </c>
      <c r="C72" s="31" t="str">
        <f>IFERROR(INDEX('G-8 Condition Look up'!$I$4:$I$130,MATCH(S72,'G-8 Condition Look up'!$A$4:$A$130,0)),"")</f>
        <v/>
      </c>
      <c r="E72" s="547" t="str">
        <f>'D-1 Off Site Habitat Baseline'!AL71</f>
        <v/>
      </c>
      <c r="F72" s="520" t="str">
        <f>IF(E72="","",IF(ISNA(VLOOKUP($E72,'D-1 Off Site Habitat Baseline'!$D$1:$O$258,4,FALSE)),"",(VLOOKUP($E72,'D-1 Off Site Habitat Baseline'!$D$1:$O$258,4,FALSE))))</f>
        <v/>
      </c>
      <c r="G72" s="520" t="str">
        <f>IF(E72="","",IF(ISNA(VLOOKUP($E72,'D-1 Off Site Habitat Baseline'!$D$1:$O$258,5,FALSE)),"",(VLOOKUP($E72,'D-1 Off Site Habitat Baseline'!$D$1:$O$258,5,FALSE))))</f>
        <v/>
      </c>
      <c r="H72" s="520" t="str">
        <f>IF(E72="","",IF(ISNA(VLOOKUP($E72,'D-1 Off Site Habitat Baseline'!$D$1:$O$258,6,FALSE)),"",(VLOOKUP($E72,'D-1 Off Site Habitat Baseline'!$D$1:$O$258,6,FALSE))))</f>
        <v/>
      </c>
      <c r="I72" s="520" t="str">
        <f>IF(E72="","",IF(ISNA(VLOOKUP($E72,'D-1 Off Site Habitat Baseline'!$D$1:$O$258,7,FALSE)),"",(VLOOKUP($E72,'D-1 Off Site Habitat Baseline'!$D$1:$O$258,7,FALSE))))</f>
        <v/>
      </c>
      <c r="J72" s="520" t="str">
        <f>IF(E72="","",IF(ISNA(VLOOKUP($E72,'D-1 Off Site Habitat Baseline'!$D$1:$O$258,8,FALSE)),"",(VLOOKUP($E72,'D-1 Off Site Habitat Baseline'!$D$1:$O$258,8,FALSE))))</f>
        <v/>
      </c>
      <c r="K72" s="520" t="str">
        <f>IF(E72="","",IF(ISNA(VLOOKUP($E72,'D-1 Off Site Habitat Baseline'!$D$1:$O$258,9,FALSE)),"",(VLOOKUP($E72,'D-1 Off Site Habitat Baseline'!$D$1:$O$258,9,FALSE))))</f>
        <v/>
      </c>
      <c r="L72" s="520" t="str">
        <f>IF(E72="","",IF(ISNA(VLOOKUP($E72,'D-1 Off Site Habitat Baseline'!$D$1:$O$258,11,FALSE)),"",(VLOOKUP($E72,'D-1 Off Site Habitat Baseline'!$D$1:$O$258,11,FALSE))))</f>
        <v/>
      </c>
      <c r="M72" s="520" t="str">
        <f>IF(E72="","",IF(ISNA(VLOOKUP($E72,'D-1 Off Site Habitat Baseline'!$D$1:$O$258,12,FALSE)),"",(VLOOKUP($E72,'D-1 Off Site Habitat Baseline'!$D$1:$O$258,12,FALSE))))</f>
        <v/>
      </c>
      <c r="N72" s="520" t="str">
        <f>IF(E72="","",IF(ISNA(VLOOKUP($E72,'D-1 Off Site Habitat Baseline'!$D$1:$X$258,14,FALSE)),"",(VLOOKUP($E72,'D-1 Off Site Habitat Baseline'!$D$1:$X$258,14,FALSE))))</f>
        <v/>
      </c>
      <c r="O72" s="524" t="str">
        <f>IF(E72="","",IF(ISNA(VLOOKUP($E72,'D-1 Off Site Habitat Baseline'!$D$1:$X$258,13,FALSE)),"",(VLOOKUP($E72,'D-1 Off Site Habitat Baseline'!$D$1:$X$258,13,FALSE))))</f>
        <v/>
      </c>
      <c r="P72" s="232" t="str">
        <f>IFERROR(INDEX('G-1 All Habitats'!$AG$3:$AG$15,MATCH(Q72,'G-1 All Habitats'!$AF$3:$AF$15,0)),"")</f>
        <v/>
      </c>
      <c r="Q72" s="228" t="str">
        <f t="shared" si="12"/>
        <v/>
      </c>
      <c r="R72" s="229" t="str">
        <f t="shared" si="13"/>
        <v/>
      </c>
      <c r="S72" s="233" t="str">
        <f>IFERROR(INDEX('G-1 All Habitats'!$B$3:$B$129,MATCH(R72,'G-1 All Habitats'!$A$3:$A$129,0)),"")</f>
        <v/>
      </c>
      <c r="T72" s="507" t="str">
        <f t="shared" si="5"/>
        <v/>
      </c>
      <c r="U72" s="524" t="str">
        <f t="shared" si="6"/>
        <v/>
      </c>
      <c r="V72" s="523" t="str">
        <f t="shared" si="2"/>
        <v/>
      </c>
      <c r="W72" s="520" t="str">
        <f>IF(S72="","",VLOOKUP(S72,'G-1 All Habitats'!$B$2:$M$129,10,FALSE))</f>
        <v/>
      </c>
      <c r="X72" s="520" t="str">
        <f>IFERROR(VLOOKUP(W72,'G-1 All Habitats'!$V$3:$W$7,2,FALSE),"")</f>
        <v/>
      </c>
      <c r="Y72" s="203"/>
      <c r="Z72" s="524" t="str">
        <f>IFERROR(INDEX('G-8 Condition Look up'!$A$3:$H$130,MATCH(S72,'G-8 Condition Look up'!$A$3:$A$130,0),MATCH(Y72,'G-8 Condition Look up'!$A$3:$H$3,0)),"")</f>
        <v/>
      </c>
      <c r="AA72" s="145"/>
      <c r="AB72" s="540" t="str">
        <f>IF(AA72="","",IF(VLOOKUP(AA72,'G-3 Multipliers'!$L$3:$N$6,2,FALSE)=0,"Spatial Data Missing ⚠",VLOOKUP(AA72,'G-3 Multipliers'!$L$3:$N$6,2,FALSE)))</f>
        <v/>
      </c>
      <c r="AC72" s="524" t="str">
        <f>IF(AA72="","",IF(VLOOKUP(AA72,'G-3 Multipliers'!$L$3:$N$6,3,FALSE)=0,"Spatial Data Missing ⚠",VLOOKUP(AA72,'G-3 Multipliers'!$L$3:$N$6,3,FALSE)))</f>
        <v/>
      </c>
      <c r="AD72" s="537" t="str">
        <f t="shared" si="3"/>
        <v/>
      </c>
      <c r="AE72" s="203"/>
      <c r="AF72" s="203"/>
      <c r="AG72" s="520" t="str">
        <f t="shared" si="7"/>
        <v/>
      </c>
      <c r="AH72" s="544" t="str">
        <f t="shared" si="8"/>
        <v/>
      </c>
      <c r="AI72" s="525" t="str">
        <f>IF(AH72="Check Data ⚠","Check Data ⚠",IFERROR(VLOOKUP(AH72,'G-4 Temporal multipliers'!$A$4:$C$36,3,FALSE),""))</f>
        <v/>
      </c>
      <c r="AJ72" s="537" t="str">
        <f>IF(S72="","",VLOOKUP(S72,'G-3 Multipliers'!$A$2:$E$129,4,FALSE))</f>
        <v/>
      </c>
      <c r="AK72" s="520" t="str">
        <f t="shared" si="9"/>
        <v/>
      </c>
      <c r="AL72" s="520" t="str">
        <f t="shared" si="10"/>
        <v/>
      </c>
      <c r="AM72" s="524" t="str">
        <f>IFERROR(IF(F72="","",IF(AH72="Check Data ⚠","Check Data ⚠",VLOOKUP(AL72, 'G-3 Multipliers'!$P$2:$Q$6,2,FALSE))),"")</f>
        <v/>
      </c>
      <c r="AN72" s="197"/>
      <c r="AO72" s="540" t="str">
        <f>IF(AN72="","",IF(VLOOKUP(AN72,'G-3 Multipliers'!$S$3:$T$9,2,FALSE)=0,"Spatial Data Missing ⚠",VLOOKUP(AN72,'G-3 Multipliers'!$S$3:$T$9,2,FALSE)))</f>
        <v/>
      </c>
      <c r="AP72" s="513" t="str">
        <f t="shared" si="11"/>
        <v/>
      </c>
      <c r="AQ72" s="231"/>
      <c r="AR72" s="150"/>
    </row>
    <row r="73" spans="1:44" x14ac:dyDescent="0.3">
      <c r="A73" s="31" t="str">
        <f>IF(E73="","",IF(ISNA(VLOOKUP($E73,'D-1 Off Site Habitat Baseline'!$D$1:$O$258,2,FALSE)),"",(VLOOKUP($E73,'D-1 Off Site Habitat Baseline'!$D$1:$O$258,2,FALSE))))</f>
        <v/>
      </c>
      <c r="B73" s="31" t="str">
        <f>IF(E73="","",IF(ISNA(VLOOKUP($E73,'D-1 Off Site Habitat Baseline'!$D$1:$O$258,3,FALSE)),"",(VLOOKUP($E73,'D-1 Off Site Habitat Baseline'!$D$1:$O$258,3,FALSE))))</f>
        <v/>
      </c>
      <c r="C73" s="31" t="str">
        <f>IFERROR(INDEX('G-8 Condition Look up'!$I$4:$I$130,MATCH(S73,'G-8 Condition Look up'!$A$4:$A$130,0)),"")</f>
        <v/>
      </c>
      <c r="E73" s="547" t="str">
        <f>'D-1 Off Site Habitat Baseline'!AL72</f>
        <v/>
      </c>
      <c r="F73" s="520" t="str">
        <f>IF(E73="","",IF(ISNA(VLOOKUP($E73,'D-1 Off Site Habitat Baseline'!$D$1:$O$258,4,FALSE)),"",(VLOOKUP($E73,'D-1 Off Site Habitat Baseline'!$D$1:$O$258,4,FALSE))))</f>
        <v/>
      </c>
      <c r="G73" s="520" t="str">
        <f>IF(E73="","",IF(ISNA(VLOOKUP($E73,'D-1 Off Site Habitat Baseline'!$D$1:$O$258,5,FALSE)),"",(VLOOKUP($E73,'D-1 Off Site Habitat Baseline'!$D$1:$O$258,5,FALSE))))</f>
        <v/>
      </c>
      <c r="H73" s="520" t="str">
        <f>IF(E73="","",IF(ISNA(VLOOKUP($E73,'D-1 Off Site Habitat Baseline'!$D$1:$O$258,6,FALSE)),"",(VLOOKUP($E73,'D-1 Off Site Habitat Baseline'!$D$1:$O$258,6,FALSE))))</f>
        <v/>
      </c>
      <c r="I73" s="520" t="str">
        <f>IF(E73="","",IF(ISNA(VLOOKUP($E73,'D-1 Off Site Habitat Baseline'!$D$1:$O$258,7,FALSE)),"",(VLOOKUP($E73,'D-1 Off Site Habitat Baseline'!$D$1:$O$258,7,FALSE))))</f>
        <v/>
      </c>
      <c r="J73" s="520" t="str">
        <f>IF(E73="","",IF(ISNA(VLOOKUP($E73,'D-1 Off Site Habitat Baseline'!$D$1:$O$258,8,FALSE)),"",(VLOOKUP($E73,'D-1 Off Site Habitat Baseline'!$D$1:$O$258,8,FALSE))))</f>
        <v/>
      </c>
      <c r="K73" s="520" t="str">
        <f>IF(E73="","",IF(ISNA(VLOOKUP($E73,'D-1 Off Site Habitat Baseline'!$D$1:$O$258,9,FALSE)),"",(VLOOKUP($E73,'D-1 Off Site Habitat Baseline'!$D$1:$O$258,9,FALSE))))</f>
        <v/>
      </c>
      <c r="L73" s="520" t="str">
        <f>IF(E73="","",IF(ISNA(VLOOKUP($E73,'D-1 Off Site Habitat Baseline'!$D$1:$O$258,11,FALSE)),"",(VLOOKUP($E73,'D-1 Off Site Habitat Baseline'!$D$1:$O$258,11,FALSE))))</f>
        <v/>
      </c>
      <c r="M73" s="520" t="str">
        <f>IF(E73="","",IF(ISNA(VLOOKUP($E73,'D-1 Off Site Habitat Baseline'!$D$1:$O$258,12,FALSE)),"",(VLOOKUP($E73,'D-1 Off Site Habitat Baseline'!$D$1:$O$258,12,FALSE))))</f>
        <v/>
      </c>
      <c r="N73" s="520" t="str">
        <f>IF(E73="","",IF(ISNA(VLOOKUP($E73,'D-1 Off Site Habitat Baseline'!$D$1:$X$258,14,FALSE)),"",(VLOOKUP($E73,'D-1 Off Site Habitat Baseline'!$D$1:$X$258,14,FALSE))))</f>
        <v/>
      </c>
      <c r="O73" s="524" t="str">
        <f>IF(E73="","",IF(ISNA(VLOOKUP($E73,'D-1 Off Site Habitat Baseline'!$D$1:$X$258,13,FALSE)),"",(VLOOKUP($E73,'D-1 Off Site Habitat Baseline'!$D$1:$X$258,13,FALSE))))</f>
        <v/>
      </c>
      <c r="P73" s="232" t="str">
        <f>IFERROR(INDEX('G-1 All Habitats'!$AG$3:$AG$15,MATCH(Q73,'G-1 All Habitats'!$AF$3:$AF$15,0)),"")</f>
        <v/>
      </c>
      <c r="Q73" s="228" t="str">
        <f t="shared" si="12"/>
        <v/>
      </c>
      <c r="R73" s="229" t="str">
        <f t="shared" si="13"/>
        <v/>
      </c>
      <c r="S73" s="233" t="str">
        <f>IFERROR(INDEX('G-1 All Habitats'!$B$3:$B$129,MATCH(R73,'G-1 All Habitats'!$A$3:$A$129,0)),"")</f>
        <v/>
      </c>
      <c r="T73" s="507" t="str">
        <f t="shared" si="5"/>
        <v/>
      </c>
      <c r="U73" s="524" t="str">
        <f t="shared" si="6"/>
        <v/>
      </c>
      <c r="V73" s="523" t="str">
        <f t="shared" si="2"/>
        <v/>
      </c>
      <c r="W73" s="520" t="str">
        <f>IF(S73="","",VLOOKUP(S73,'G-1 All Habitats'!$B$2:$M$129,10,FALSE))</f>
        <v/>
      </c>
      <c r="X73" s="520" t="str">
        <f>IFERROR(VLOOKUP(W73,'G-1 All Habitats'!$V$3:$W$7,2,FALSE),"")</f>
        <v/>
      </c>
      <c r="Y73" s="203"/>
      <c r="Z73" s="524" t="str">
        <f>IFERROR(INDEX('G-8 Condition Look up'!$A$3:$H$130,MATCH(S73,'G-8 Condition Look up'!$A$3:$A$130,0),MATCH(Y73,'G-8 Condition Look up'!$A$3:$H$3,0)),"")</f>
        <v/>
      </c>
      <c r="AA73" s="145"/>
      <c r="AB73" s="540" t="str">
        <f>IF(AA73="","",IF(VLOOKUP(AA73,'G-3 Multipliers'!$L$3:$N$6,2,FALSE)=0,"Spatial Data Missing ⚠",VLOOKUP(AA73,'G-3 Multipliers'!$L$3:$N$6,2,FALSE)))</f>
        <v/>
      </c>
      <c r="AC73" s="524" t="str">
        <f>IF(AA73="","",IF(VLOOKUP(AA73,'G-3 Multipliers'!$L$3:$N$6,3,FALSE)=0,"Spatial Data Missing ⚠",VLOOKUP(AA73,'G-3 Multipliers'!$L$3:$N$6,3,FALSE)))</f>
        <v/>
      </c>
      <c r="AD73" s="537" t="str">
        <f t="shared" si="3"/>
        <v/>
      </c>
      <c r="AE73" s="203"/>
      <c r="AF73" s="203"/>
      <c r="AG73" s="520" t="str">
        <f t="shared" si="7"/>
        <v/>
      </c>
      <c r="AH73" s="544" t="str">
        <f t="shared" si="8"/>
        <v/>
      </c>
      <c r="AI73" s="525" t="str">
        <f>IF(AH73="Check Data ⚠","Check Data ⚠",IFERROR(VLOOKUP(AH73,'G-4 Temporal multipliers'!$A$4:$C$36,3,FALSE),""))</f>
        <v/>
      </c>
      <c r="AJ73" s="537" t="str">
        <f>IF(S73="","",VLOOKUP(S73,'G-3 Multipliers'!$A$2:$E$129,4,FALSE))</f>
        <v/>
      </c>
      <c r="AK73" s="520" t="str">
        <f t="shared" si="9"/>
        <v/>
      </c>
      <c r="AL73" s="520" t="str">
        <f t="shared" si="10"/>
        <v/>
      </c>
      <c r="AM73" s="524" t="str">
        <f>IFERROR(IF(F73="","",IF(AH73="Check Data ⚠","Check Data ⚠",VLOOKUP(AL73, 'G-3 Multipliers'!$P$2:$Q$6,2,FALSE))),"")</f>
        <v/>
      </c>
      <c r="AN73" s="197"/>
      <c r="AO73" s="540" t="str">
        <f>IF(AN73="","",IF(VLOOKUP(AN73,'G-3 Multipliers'!$S$3:$T$9,2,FALSE)=0,"Spatial Data Missing ⚠",VLOOKUP(AN73,'G-3 Multipliers'!$S$3:$T$9,2,FALSE)))</f>
        <v/>
      </c>
      <c r="AP73" s="513" t="str">
        <f t="shared" si="11"/>
        <v/>
      </c>
      <c r="AQ73" s="231"/>
      <c r="AR73" s="150"/>
    </row>
    <row r="74" spans="1:44" x14ac:dyDescent="0.3">
      <c r="A74" s="31" t="str">
        <f>IF(E74="","",IF(ISNA(VLOOKUP($E74,'D-1 Off Site Habitat Baseline'!$D$1:$O$258,2,FALSE)),"",(VLOOKUP($E74,'D-1 Off Site Habitat Baseline'!$D$1:$O$258,2,FALSE))))</f>
        <v/>
      </c>
      <c r="B74" s="31" t="str">
        <f>IF(E74="","",IF(ISNA(VLOOKUP($E74,'D-1 Off Site Habitat Baseline'!$D$1:$O$258,3,FALSE)),"",(VLOOKUP($E74,'D-1 Off Site Habitat Baseline'!$D$1:$O$258,3,FALSE))))</f>
        <v/>
      </c>
      <c r="C74" s="31" t="str">
        <f>IFERROR(INDEX('G-8 Condition Look up'!$I$4:$I$130,MATCH(S74,'G-8 Condition Look up'!$A$4:$A$130,0)),"")</f>
        <v/>
      </c>
      <c r="E74" s="547" t="str">
        <f>'D-1 Off Site Habitat Baseline'!AL73</f>
        <v/>
      </c>
      <c r="F74" s="520" t="str">
        <f>IF(E74="","",IF(ISNA(VLOOKUP($E74,'D-1 Off Site Habitat Baseline'!$D$1:$O$258,4,FALSE)),"",(VLOOKUP($E74,'D-1 Off Site Habitat Baseline'!$D$1:$O$258,4,FALSE))))</f>
        <v/>
      </c>
      <c r="G74" s="520" t="str">
        <f>IF(E74="","",IF(ISNA(VLOOKUP($E74,'D-1 Off Site Habitat Baseline'!$D$1:$O$258,5,FALSE)),"",(VLOOKUP($E74,'D-1 Off Site Habitat Baseline'!$D$1:$O$258,5,FALSE))))</f>
        <v/>
      </c>
      <c r="H74" s="520" t="str">
        <f>IF(E74="","",IF(ISNA(VLOOKUP($E74,'D-1 Off Site Habitat Baseline'!$D$1:$O$258,6,FALSE)),"",(VLOOKUP($E74,'D-1 Off Site Habitat Baseline'!$D$1:$O$258,6,FALSE))))</f>
        <v/>
      </c>
      <c r="I74" s="520" t="str">
        <f>IF(E74="","",IF(ISNA(VLOOKUP($E74,'D-1 Off Site Habitat Baseline'!$D$1:$O$258,7,FALSE)),"",(VLOOKUP($E74,'D-1 Off Site Habitat Baseline'!$D$1:$O$258,7,FALSE))))</f>
        <v/>
      </c>
      <c r="J74" s="520" t="str">
        <f>IF(E74="","",IF(ISNA(VLOOKUP($E74,'D-1 Off Site Habitat Baseline'!$D$1:$O$258,8,FALSE)),"",(VLOOKUP($E74,'D-1 Off Site Habitat Baseline'!$D$1:$O$258,8,FALSE))))</f>
        <v/>
      </c>
      <c r="K74" s="520" t="str">
        <f>IF(E74="","",IF(ISNA(VLOOKUP($E74,'D-1 Off Site Habitat Baseline'!$D$1:$O$258,9,FALSE)),"",(VLOOKUP($E74,'D-1 Off Site Habitat Baseline'!$D$1:$O$258,9,FALSE))))</f>
        <v/>
      </c>
      <c r="L74" s="520" t="str">
        <f>IF(E74="","",IF(ISNA(VLOOKUP($E74,'D-1 Off Site Habitat Baseline'!$D$1:$O$258,11,FALSE)),"",(VLOOKUP($E74,'D-1 Off Site Habitat Baseline'!$D$1:$O$258,11,FALSE))))</f>
        <v/>
      </c>
      <c r="M74" s="520" t="str">
        <f>IF(E74="","",IF(ISNA(VLOOKUP($E74,'D-1 Off Site Habitat Baseline'!$D$1:$O$258,12,FALSE)),"",(VLOOKUP($E74,'D-1 Off Site Habitat Baseline'!$D$1:$O$258,12,FALSE))))</f>
        <v/>
      </c>
      <c r="N74" s="520" t="str">
        <f>IF(E74="","",IF(ISNA(VLOOKUP($E74,'D-1 Off Site Habitat Baseline'!$D$1:$X$258,14,FALSE)),"",(VLOOKUP($E74,'D-1 Off Site Habitat Baseline'!$D$1:$X$258,14,FALSE))))</f>
        <v/>
      </c>
      <c r="O74" s="524" t="str">
        <f>IF(E74="","",IF(ISNA(VLOOKUP($E74,'D-1 Off Site Habitat Baseline'!$D$1:$X$258,13,FALSE)),"",(VLOOKUP($E74,'D-1 Off Site Habitat Baseline'!$D$1:$X$258,13,FALSE))))</f>
        <v/>
      </c>
      <c r="P74" s="232" t="str">
        <f>IFERROR(INDEX('G-1 All Habitats'!$AG$3:$AG$15,MATCH(Q74,'G-1 All Habitats'!$AF$3:$AF$15,0)),"")</f>
        <v/>
      </c>
      <c r="Q74" s="228" t="str">
        <f t="shared" si="12"/>
        <v/>
      </c>
      <c r="R74" s="229" t="str">
        <f t="shared" si="13"/>
        <v/>
      </c>
      <c r="S74" s="233" t="str">
        <f>IFERROR(INDEX('G-1 All Habitats'!$B$3:$B$129,MATCH(R74,'G-1 All Habitats'!$A$3:$A$129,0)),"")</f>
        <v/>
      </c>
      <c r="T74" s="507" t="str">
        <f t="shared" si="5"/>
        <v/>
      </c>
      <c r="U74" s="524" t="str">
        <f t="shared" si="6"/>
        <v/>
      </c>
      <c r="V74" s="523" t="str">
        <f t="shared" si="2"/>
        <v/>
      </c>
      <c r="W74" s="520" t="str">
        <f>IF(S74="","",VLOOKUP(S74,'G-1 All Habitats'!$B$2:$M$129,10,FALSE))</f>
        <v/>
      </c>
      <c r="X74" s="520" t="str">
        <f>IFERROR(VLOOKUP(W74,'G-1 All Habitats'!$V$3:$W$7,2,FALSE),"")</f>
        <v/>
      </c>
      <c r="Y74" s="203"/>
      <c r="Z74" s="524" t="str">
        <f>IFERROR(INDEX('G-8 Condition Look up'!$A$3:$H$130,MATCH(S74,'G-8 Condition Look up'!$A$3:$A$130,0),MATCH(Y74,'G-8 Condition Look up'!$A$3:$H$3,0)),"")</f>
        <v/>
      </c>
      <c r="AA74" s="145"/>
      <c r="AB74" s="540" t="str">
        <f>IF(AA74="","",IF(VLOOKUP(AA74,'G-3 Multipliers'!$L$3:$N$6,2,FALSE)=0,"Spatial Data Missing ⚠",VLOOKUP(AA74,'G-3 Multipliers'!$L$3:$N$6,2,FALSE)))</f>
        <v/>
      </c>
      <c r="AC74" s="524" t="str">
        <f>IF(AA74="","",IF(VLOOKUP(AA74,'G-3 Multipliers'!$L$3:$N$6,3,FALSE)=0,"Spatial Data Missing ⚠",VLOOKUP(AA74,'G-3 Multipliers'!$L$3:$N$6,3,FALSE)))</f>
        <v/>
      </c>
      <c r="AD74" s="537" t="str">
        <f t="shared" si="3"/>
        <v/>
      </c>
      <c r="AE74" s="203"/>
      <c r="AF74" s="203"/>
      <c r="AG74" s="520" t="str">
        <f t="shared" si="7"/>
        <v/>
      </c>
      <c r="AH74" s="544" t="str">
        <f t="shared" si="8"/>
        <v/>
      </c>
      <c r="AI74" s="525" t="str">
        <f>IF(AH74="Check Data ⚠","Check Data ⚠",IFERROR(VLOOKUP(AH74,'G-4 Temporal multipliers'!$A$4:$C$36,3,FALSE),""))</f>
        <v/>
      </c>
      <c r="AJ74" s="537" t="str">
        <f>IF(S74="","",VLOOKUP(S74,'G-3 Multipliers'!$A$2:$E$129,4,FALSE))</f>
        <v/>
      </c>
      <c r="AK74" s="520" t="str">
        <f t="shared" si="9"/>
        <v/>
      </c>
      <c r="AL74" s="520" t="str">
        <f t="shared" si="10"/>
        <v/>
      </c>
      <c r="AM74" s="524" t="str">
        <f>IFERROR(IF(F74="","",IF(AH74="Check Data ⚠","Check Data ⚠",VLOOKUP(AL74, 'G-3 Multipliers'!$P$2:$Q$6,2,FALSE))),"")</f>
        <v/>
      </c>
      <c r="AN74" s="197"/>
      <c r="AO74" s="540" t="str">
        <f>IF(AN74="","",IF(VLOOKUP(AN74,'G-3 Multipliers'!$S$3:$T$9,2,FALSE)=0,"Spatial Data Missing ⚠",VLOOKUP(AN74,'G-3 Multipliers'!$S$3:$T$9,2,FALSE)))</f>
        <v/>
      </c>
      <c r="AP74" s="513" t="str">
        <f t="shared" si="11"/>
        <v/>
      </c>
      <c r="AQ74" s="231"/>
      <c r="AR74" s="150"/>
    </row>
    <row r="75" spans="1:44" x14ac:dyDescent="0.3">
      <c r="A75" s="31" t="str">
        <f>IF(E75="","",IF(ISNA(VLOOKUP($E75,'D-1 Off Site Habitat Baseline'!$D$1:$O$258,2,FALSE)),"",(VLOOKUP($E75,'D-1 Off Site Habitat Baseline'!$D$1:$O$258,2,FALSE))))</f>
        <v/>
      </c>
      <c r="B75" s="31" t="str">
        <f>IF(E75="","",IF(ISNA(VLOOKUP($E75,'D-1 Off Site Habitat Baseline'!$D$1:$O$258,3,FALSE)),"",(VLOOKUP($E75,'D-1 Off Site Habitat Baseline'!$D$1:$O$258,3,FALSE))))</f>
        <v/>
      </c>
      <c r="C75" s="31" t="str">
        <f>IFERROR(INDEX('G-8 Condition Look up'!$I$4:$I$130,MATCH(S75,'G-8 Condition Look up'!$A$4:$A$130,0)),"")</f>
        <v/>
      </c>
      <c r="E75" s="547" t="str">
        <f>'D-1 Off Site Habitat Baseline'!AL74</f>
        <v/>
      </c>
      <c r="F75" s="520" t="str">
        <f>IF(E75="","",IF(ISNA(VLOOKUP($E75,'D-1 Off Site Habitat Baseline'!$D$1:$O$258,4,FALSE)),"",(VLOOKUP($E75,'D-1 Off Site Habitat Baseline'!$D$1:$O$258,4,FALSE))))</f>
        <v/>
      </c>
      <c r="G75" s="520" t="str">
        <f>IF(E75="","",IF(ISNA(VLOOKUP($E75,'D-1 Off Site Habitat Baseline'!$D$1:$O$258,5,FALSE)),"",(VLOOKUP($E75,'D-1 Off Site Habitat Baseline'!$D$1:$O$258,5,FALSE))))</f>
        <v/>
      </c>
      <c r="H75" s="520" t="str">
        <f>IF(E75="","",IF(ISNA(VLOOKUP($E75,'D-1 Off Site Habitat Baseline'!$D$1:$O$258,6,FALSE)),"",(VLOOKUP($E75,'D-1 Off Site Habitat Baseline'!$D$1:$O$258,6,FALSE))))</f>
        <v/>
      </c>
      <c r="I75" s="520" t="str">
        <f>IF(E75="","",IF(ISNA(VLOOKUP($E75,'D-1 Off Site Habitat Baseline'!$D$1:$O$258,7,FALSE)),"",(VLOOKUP($E75,'D-1 Off Site Habitat Baseline'!$D$1:$O$258,7,FALSE))))</f>
        <v/>
      </c>
      <c r="J75" s="520" t="str">
        <f>IF(E75="","",IF(ISNA(VLOOKUP($E75,'D-1 Off Site Habitat Baseline'!$D$1:$O$258,8,FALSE)),"",(VLOOKUP($E75,'D-1 Off Site Habitat Baseline'!$D$1:$O$258,8,FALSE))))</f>
        <v/>
      </c>
      <c r="K75" s="520" t="str">
        <f>IF(E75="","",IF(ISNA(VLOOKUP($E75,'D-1 Off Site Habitat Baseline'!$D$1:$O$258,9,FALSE)),"",(VLOOKUP($E75,'D-1 Off Site Habitat Baseline'!$D$1:$O$258,9,FALSE))))</f>
        <v/>
      </c>
      <c r="L75" s="520" t="str">
        <f>IF(E75="","",IF(ISNA(VLOOKUP($E75,'D-1 Off Site Habitat Baseline'!$D$1:$O$258,11,FALSE)),"",(VLOOKUP($E75,'D-1 Off Site Habitat Baseline'!$D$1:$O$258,11,FALSE))))</f>
        <v/>
      </c>
      <c r="M75" s="520" t="str">
        <f>IF(E75="","",IF(ISNA(VLOOKUP($E75,'D-1 Off Site Habitat Baseline'!$D$1:$O$258,12,FALSE)),"",(VLOOKUP($E75,'D-1 Off Site Habitat Baseline'!$D$1:$O$258,12,FALSE))))</f>
        <v/>
      </c>
      <c r="N75" s="520" t="str">
        <f>IF(E75="","",IF(ISNA(VLOOKUP($E75,'D-1 Off Site Habitat Baseline'!$D$1:$X$258,14,FALSE)),"",(VLOOKUP($E75,'D-1 Off Site Habitat Baseline'!$D$1:$X$258,14,FALSE))))</f>
        <v/>
      </c>
      <c r="O75" s="524" t="str">
        <f>IF(E75="","",IF(ISNA(VLOOKUP($E75,'D-1 Off Site Habitat Baseline'!$D$1:$X$258,13,FALSE)),"",(VLOOKUP($E75,'D-1 Off Site Habitat Baseline'!$D$1:$X$258,13,FALSE))))</f>
        <v/>
      </c>
      <c r="P75" s="232" t="str">
        <f>IFERROR(INDEX('G-1 All Habitats'!$AG$3:$AG$15,MATCH(Q75,'G-1 All Habitats'!$AF$3:$AF$15,0)),"")</f>
        <v/>
      </c>
      <c r="Q75" s="228" t="str">
        <f t="shared" si="12"/>
        <v/>
      </c>
      <c r="R75" s="229" t="str">
        <f t="shared" si="13"/>
        <v/>
      </c>
      <c r="S75" s="233" t="str">
        <f>IFERROR(INDEX('G-1 All Habitats'!$B$3:$B$129,MATCH(R75,'G-1 All Habitats'!$A$3:$A$129,0)),"")</f>
        <v/>
      </c>
      <c r="T75" s="507" t="str">
        <f t="shared" si="5"/>
        <v/>
      </c>
      <c r="U75" s="524" t="str">
        <f t="shared" si="6"/>
        <v/>
      </c>
      <c r="V75" s="523" t="str">
        <f t="shared" si="2"/>
        <v/>
      </c>
      <c r="W75" s="520" t="str">
        <f>IF(S75="","",VLOOKUP(S75,'G-1 All Habitats'!$B$2:$M$129,10,FALSE))</f>
        <v/>
      </c>
      <c r="X75" s="520" t="str">
        <f>IFERROR(VLOOKUP(W75,'G-1 All Habitats'!$V$3:$W$7,2,FALSE),"")</f>
        <v/>
      </c>
      <c r="Y75" s="203"/>
      <c r="Z75" s="524" t="str">
        <f>IFERROR(INDEX('G-8 Condition Look up'!$A$3:$H$130,MATCH(S75,'G-8 Condition Look up'!$A$3:$A$130,0),MATCH(Y75,'G-8 Condition Look up'!$A$3:$H$3,0)),"")</f>
        <v/>
      </c>
      <c r="AA75" s="145"/>
      <c r="AB75" s="540" t="str">
        <f>IF(AA75="","",IF(VLOOKUP(AA75,'G-3 Multipliers'!$L$3:$N$6,2,FALSE)=0,"Spatial Data Missing ⚠",VLOOKUP(AA75,'G-3 Multipliers'!$L$3:$N$6,2,FALSE)))</f>
        <v/>
      </c>
      <c r="AC75" s="524" t="str">
        <f>IF(AA75="","",IF(VLOOKUP(AA75,'G-3 Multipliers'!$L$3:$N$6,3,FALSE)=0,"Spatial Data Missing ⚠",VLOOKUP(AA75,'G-3 Multipliers'!$L$3:$N$6,3,FALSE)))</f>
        <v/>
      </c>
      <c r="AD75" s="537" t="str">
        <f t="shared" si="3"/>
        <v/>
      </c>
      <c r="AE75" s="203"/>
      <c r="AF75" s="203"/>
      <c r="AG75" s="520" t="str">
        <f t="shared" si="7"/>
        <v/>
      </c>
      <c r="AH75" s="544" t="str">
        <f t="shared" si="8"/>
        <v/>
      </c>
      <c r="AI75" s="525" t="str">
        <f>IF(AH75="Check Data ⚠","Check Data ⚠",IFERROR(VLOOKUP(AH75,'G-4 Temporal multipliers'!$A$4:$C$36,3,FALSE),""))</f>
        <v/>
      </c>
      <c r="AJ75" s="537" t="str">
        <f>IF(S75="","",VLOOKUP(S75,'G-3 Multipliers'!$A$2:$E$129,4,FALSE))</f>
        <v/>
      </c>
      <c r="AK75" s="520" t="str">
        <f t="shared" si="9"/>
        <v/>
      </c>
      <c r="AL75" s="520" t="str">
        <f t="shared" si="10"/>
        <v/>
      </c>
      <c r="AM75" s="524" t="str">
        <f>IFERROR(IF(F75="","",IF(AH75="Check Data ⚠","Check Data ⚠",VLOOKUP(AL75, 'G-3 Multipliers'!$P$2:$Q$6,2,FALSE))),"")</f>
        <v/>
      </c>
      <c r="AN75" s="197"/>
      <c r="AO75" s="540" t="str">
        <f>IF(AN75="","",IF(VLOOKUP(AN75,'G-3 Multipliers'!$S$3:$T$9,2,FALSE)=0,"Spatial Data Missing ⚠",VLOOKUP(AN75,'G-3 Multipliers'!$S$3:$T$9,2,FALSE)))</f>
        <v/>
      </c>
      <c r="AP75" s="513" t="str">
        <f t="shared" si="11"/>
        <v/>
      </c>
      <c r="AQ75" s="231"/>
      <c r="AR75" s="150"/>
    </row>
    <row r="76" spans="1:44" x14ac:dyDescent="0.3">
      <c r="A76" s="31" t="str">
        <f>IF(E76="","",IF(ISNA(VLOOKUP($E76,'D-1 Off Site Habitat Baseline'!$D$1:$O$258,2,FALSE)),"",(VLOOKUP($E76,'D-1 Off Site Habitat Baseline'!$D$1:$O$258,2,FALSE))))</f>
        <v/>
      </c>
      <c r="B76" s="31" t="str">
        <f>IF(E76="","",IF(ISNA(VLOOKUP($E76,'D-1 Off Site Habitat Baseline'!$D$1:$O$258,3,FALSE)),"",(VLOOKUP($E76,'D-1 Off Site Habitat Baseline'!$D$1:$O$258,3,FALSE))))</f>
        <v/>
      </c>
      <c r="C76" s="31" t="str">
        <f>IFERROR(INDEX('G-8 Condition Look up'!$I$4:$I$130,MATCH(S76,'G-8 Condition Look up'!$A$4:$A$130,0)),"")</f>
        <v/>
      </c>
      <c r="E76" s="547" t="str">
        <f>'D-1 Off Site Habitat Baseline'!AL75</f>
        <v/>
      </c>
      <c r="F76" s="520" t="str">
        <f>IF(E76="","",IF(ISNA(VLOOKUP($E76,'D-1 Off Site Habitat Baseline'!$D$1:$O$258,4,FALSE)),"",(VLOOKUP($E76,'D-1 Off Site Habitat Baseline'!$D$1:$O$258,4,FALSE))))</f>
        <v/>
      </c>
      <c r="G76" s="520" t="str">
        <f>IF(E76="","",IF(ISNA(VLOOKUP($E76,'D-1 Off Site Habitat Baseline'!$D$1:$O$258,5,FALSE)),"",(VLOOKUP($E76,'D-1 Off Site Habitat Baseline'!$D$1:$O$258,5,FALSE))))</f>
        <v/>
      </c>
      <c r="H76" s="520" t="str">
        <f>IF(E76="","",IF(ISNA(VLOOKUP($E76,'D-1 Off Site Habitat Baseline'!$D$1:$O$258,6,FALSE)),"",(VLOOKUP($E76,'D-1 Off Site Habitat Baseline'!$D$1:$O$258,6,FALSE))))</f>
        <v/>
      </c>
      <c r="I76" s="520" t="str">
        <f>IF(E76="","",IF(ISNA(VLOOKUP($E76,'D-1 Off Site Habitat Baseline'!$D$1:$O$258,7,FALSE)),"",(VLOOKUP($E76,'D-1 Off Site Habitat Baseline'!$D$1:$O$258,7,FALSE))))</f>
        <v/>
      </c>
      <c r="J76" s="520" t="str">
        <f>IF(E76="","",IF(ISNA(VLOOKUP($E76,'D-1 Off Site Habitat Baseline'!$D$1:$O$258,8,FALSE)),"",(VLOOKUP($E76,'D-1 Off Site Habitat Baseline'!$D$1:$O$258,8,FALSE))))</f>
        <v/>
      </c>
      <c r="K76" s="520" t="str">
        <f>IF(E76="","",IF(ISNA(VLOOKUP($E76,'D-1 Off Site Habitat Baseline'!$D$1:$O$258,9,FALSE)),"",(VLOOKUP($E76,'D-1 Off Site Habitat Baseline'!$D$1:$O$258,9,FALSE))))</f>
        <v/>
      </c>
      <c r="L76" s="520" t="str">
        <f>IF(E76="","",IF(ISNA(VLOOKUP($E76,'D-1 Off Site Habitat Baseline'!$D$1:$O$258,11,FALSE)),"",(VLOOKUP($E76,'D-1 Off Site Habitat Baseline'!$D$1:$O$258,11,FALSE))))</f>
        <v/>
      </c>
      <c r="M76" s="520" t="str">
        <f>IF(E76="","",IF(ISNA(VLOOKUP($E76,'D-1 Off Site Habitat Baseline'!$D$1:$O$258,12,FALSE)),"",(VLOOKUP($E76,'D-1 Off Site Habitat Baseline'!$D$1:$O$258,12,FALSE))))</f>
        <v/>
      </c>
      <c r="N76" s="520" t="str">
        <f>IF(E76="","",IF(ISNA(VLOOKUP($E76,'D-1 Off Site Habitat Baseline'!$D$1:$X$258,14,FALSE)),"",(VLOOKUP($E76,'D-1 Off Site Habitat Baseline'!$D$1:$X$258,14,FALSE))))</f>
        <v/>
      </c>
      <c r="O76" s="524" t="str">
        <f>IF(E76="","",IF(ISNA(VLOOKUP($E76,'D-1 Off Site Habitat Baseline'!$D$1:$X$258,13,FALSE)),"",(VLOOKUP($E76,'D-1 Off Site Habitat Baseline'!$D$1:$X$258,13,FALSE))))</f>
        <v/>
      </c>
      <c r="P76" s="232" t="str">
        <f>IFERROR(INDEX('G-1 All Habitats'!$AG$3:$AG$15,MATCH(Q76,'G-1 All Habitats'!$AF$3:$AF$15,0)),"")</f>
        <v/>
      </c>
      <c r="Q76" s="228" t="str">
        <f t="shared" si="12"/>
        <v/>
      </c>
      <c r="R76" s="229" t="str">
        <f t="shared" si="13"/>
        <v/>
      </c>
      <c r="S76" s="233" t="str">
        <f>IFERROR(INDEX('G-1 All Habitats'!$B$3:$B$129,MATCH(R76,'G-1 All Habitats'!$A$3:$A$129,0)),"")</f>
        <v/>
      </c>
      <c r="T76" s="507" t="str">
        <f t="shared" si="5"/>
        <v/>
      </c>
      <c r="U76" s="524" t="str">
        <f t="shared" si="6"/>
        <v/>
      </c>
      <c r="V76" s="523" t="str">
        <f t="shared" ref="V76:V139" si="14">IF(S76="","",VLOOKUP(E76,BaselineHabOffsite,17,FALSE))</f>
        <v/>
      </c>
      <c r="W76" s="520" t="str">
        <f>IF(S76="","",VLOOKUP(S76,'G-1 All Habitats'!$B$2:$M$129,10,FALSE))</f>
        <v/>
      </c>
      <c r="X76" s="520" t="str">
        <f>IFERROR(VLOOKUP(W76,'G-1 All Habitats'!$V$3:$W$7,2,FALSE),"")</f>
        <v/>
      </c>
      <c r="Y76" s="203"/>
      <c r="Z76" s="524" t="str">
        <f>IFERROR(INDEX('G-8 Condition Look up'!$A$3:$H$130,MATCH(S76,'G-8 Condition Look up'!$A$3:$A$130,0),MATCH(Y76,'G-8 Condition Look up'!$A$3:$H$3,0)),"")</f>
        <v/>
      </c>
      <c r="AA76" s="145"/>
      <c r="AB76" s="540" t="str">
        <f>IF(AA76="","",IF(VLOOKUP(AA76,'G-3 Multipliers'!$L$3:$N$6,2,FALSE)=0,"Spatial Data Missing ⚠",VLOOKUP(AA76,'G-3 Multipliers'!$L$3:$N$6,2,FALSE)))</f>
        <v/>
      </c>
      <c r="AC76" s="524" t="str">
        <f>IF(AA76="","",IF(VLOOKUP(AA76,'G-3 Multipliers'!$L$3:$N$6,3,FALSE)=0,"Spatial Data Missing ⚠",VLOOKUP(AA76,'G-3 Multipliers'!$L$3:$N$6,3,FALSE)))</f>
        <v/>
      </c>
      <c r="AD76" s="537" t="str">
        <f t="shared" ref="AD76:AD139" si="15">IFERROR(IF(OR(LEFT(U76,5)="Error ▲",LEFT(T76,5)="Error ▲"),"Check Data ⚠",INDEX(EnhanceTemporal,MATCH(S76,EnhanceHabitat,0),MATCH(U76,EnhanceCondition,0))),"")</f>
        <v/>
      </c>
      <c r="AE76" s="203"/>
      <c r="AF76" s="203"/>
      <c r="AG76" s="520" t="str">
        <f t="shared" si="7"/>
        <v/>
      </c>
      <c r="AH76" s="544" t="str">
        <f t="shared" si="8"/>
        <v/>
      </c>
      <c r="AI76" s="525" t="str">
        <f>IF(AH76="Check Data ⚠","Check Data ⚠",IFERROR(VLOOKUP(AH76,'G-4 Temporal multipliers'!$A$4:$C$36,3,FALSE),""))</f>
        <v/>
      </c>
      <c r="AJ76" s="537" t="str">
        <f>IF(S76="","",VLOOKUP(S76,'G-3 Multipliers'!$A$2:$E$129,4,FALSE))</f>
        <v/>
      </c>
      <c r="AK76" s="520" t="str">
        <f t="shared" si="9"/>
        <v/>
      </c>
      <c r="AL76" s="520" t="str">
        <f t="shared" si="10"/>
        <v/>
      </c>
      <c r="AM76" s="524" t="str">
        <f>IFERROR(IF(F76="","",IF(AH76="Check Data ⚠","Check Data ⚠",VLOOKUP(AL76, 'G-3 Multipliers'!$P$2:$Q$6,2,FALSE))),"")</f>
        <v/>
      </c>
      <c r="AN76" s="197"/>
      <c r="AO76" s="540" t="str">
        <f>IF(AN76="","",IF(VLOOKUP(AN76,'G-3 Multipliers'!$S$3:$T$9,2,FALSE)=0,"Spatial Data Missing ⚠",VLOOKUP(AN76,'G-3 Multipliers'!$S$3:$T$9,2,FALSE)))</f>
        <v/>
      </c>
      <c r="AP76" s="513" t="str">
        <f t="shared" si="11"/>
        <v/>
      </c>
      <c r="AQ76" s="231"/>
      <c r="AR76" s="150"/>
    </row>
    <row r="77" spans="1:44" x14ac:dyDescent="0.3">
      <c r="A77" s="31" t="str">
        <f>IF(E77="","",IF(ISNA(VLOOKUP($E77,'D-1 Off Site Habitat Baseline'!$D$1:$O$258,2,FALSE)),"",(VLOOKUP($E77,'D-1 Off Site Habitat Baseline'!$D$1:$O$258,2,FALSE))))</f>
        <v/>
      </c>
      <c r="B77" s="31" t="str">
        <f>IF(E77="","",IF(ISNA(VLOOKUP($E77,'D-1 Off Site Habitat Baseline'!$D$1:$O$258,3,FALSE)),"",(VLOOKUP($E77,'D-1 Off Site Habitat Baseline'!$D$1:$O$258,3,FALSE))))</f>
        <v/>
      </c>
      <c r="C77" s="31" t="str">
        <f>IFERROR(INDEX('G-8 Condition Look up'!$I$4:$I$130,MATCH(S77,'G-8 Condition Look up'!$A$4:$A$130,0)),"")</f>
        <v/>
      </c>
      <c r="E77" s="547" t="str">
        <f>'D-1 Off Site Habitat Baseline'!AL76</f>
        <v/>
      </c>
      <c r="F77" s="520" t="str">
        <f>IF(E77="","",IF(ISNA(VLOOKUP($E77,'D-1 Off Site Habitat Baseline'!$D$1:$O$258,4,FALSE)),"",(VLOOKUP($E77,'D-1 Off Site Habitat Baseline'!$D$1:$O$258,4,FALSE))))</f>
        <v/>
      </c>
      <c r="G77" s="520" t="str">
        <f>IF(E77="","",IF(ISNA(VLOOKUP($E77,'D-1 Off Site Habitat Baseline'!$D$1:$O$258,5,FALSE)),"",(VLOOKUP($E77,'D-1 Off Site Habitat Baseline'!$D$1:$O$258,5,FALSE))))</f>
        <v/>
      </c>
      <c r="H77" s="520" t="str">
        <f>IF(E77="","",IF(ISNA(VLOOKUP($E77,'D-1 Off Site Habitat Baseline'!$D$1:$O$258,6,FALSE)),"",(VLOOKUP($E77,'D-1 Off Site Habitat Baseline'!$D$1:$O$258,6,FALSE))))</f>
        <v/>
      </c>
      <c r="I77" s="520" t="str">
        <f>IF(E77="","",IF(ISNA(VLOOKUP($E77,'D-1 Off Site Habitat Baseline'!$D$1:$O$258,7,FALSE)),"",(VLOOKUP($E77,'D-1 Off Site Habitat Baseline'!$D$1:$O$258,7,FALSE))))</f>
        <v/>
      </c>
      <c r="J77" s="520" t="str">
        <f>IF(E77="","",IF(ISNA(VLOOKUP($E77,'D-1 Off Site Habitat Baseline'!$D$1:$O$258,8,FALSE)),"",(VLOOKUP($E77,'D-1 Off Site Habitat Baseline'!$D$1:$O$258,8,FALSE))))</f>
        <v/>
      </c>
      <c r="K77" s="520" t="str">
        <f>IF(E77="","",IF(ISNA(VLOOKUP($E77,'D-1 Off Site Habitat Baseline'!$D$1:$O$258,9,FALSE)),"",(VLOOKUP($E77,'D-1 Off Site Habitat Baseline'!$D$1:$O$258,9,FALSE))))</f>
        <v/>
      </c>
      <c r="L77" s="520" t="str">
        <f>IF(E77="","",IF(ISNA(VLOOKUP($E77,'D-1 Off Site Habitat Baseline'!$D$1:$O$258,11,FALSE)),"",(VLOOKUP($E77,'D-1 Off Site Habitat Baseline'!$D$1:$O$258,11,FALSE))))</f>
        <v/>
      </c>
      <c r="M77" s="520" t="str">
        <f>IF(E77="","",IF(ISNA(VLOOKUP($E77,'D-1 Off Site Habitat Baseline'!$D$1:$O$258,12,FALSE)),"",(VLOOKUP($E77,'D-1 Off Site Habitat Baseline'!$D$1:$O$258,12,FALSE))))</f>
        <v/>
      </c>
      <c r="N77" s="520" t="str">
        <f>IF(E77="","",IF(ISNA(VLOOKUP($E77,'D-1 Off Site Habitat Baseline'!$D$1:$X$258,14,FALSE)),"",(VLOOKUP($E77,'D-1 Off Site Habitat Baseline'!$D$1:$X$258,14,FALSE))))</f>
        <v/>
      </c>
      <c r="O77" s="524" t="str">
        <f>IF(E77="","",IF(ISNA(VLOOKUP($E77,'D-1 Off Site Habitat Baseline'!$D$1:$X$258,13,FALSE)),"",(VLOOKUP($E77,'D-1 Off Site Habitat Baseline'!$D$1:$X$258,13,FALSE))))</f>
        <v/>
      </c>
      <c r="P77" s="232" t="str">
        <f>IFERROR(INDEX('G-1 All Habitats'!$AG$3:$AG$15,MATCH(Q77,'G-1 All Habitats'!$AF$3:$AF$15,0)),"")</f>
        <v/>
      </c>
      <c r="Q77" s="228" t="str">
        <f t="shared" si="12"/>
        <v/>
      </c>
      <c r="R77" s="229" t="str">
        <f t="shared" si="13"/>
        <v/>
      </c>
      <c r="S77" s="233" t="str">
        <f>IFERROR(INDEX('G-1 All Habitats'!$B$3:$B$129,MATCH(R77,'G-1 All Habitats'!$A$3:$A$129,0)),"")</f>
        <v/>
      </c>
      <c r="T77" s="507" t="str">
        <f t="shared" ref="T77:T140" si="16">IF(E77="","",IF(AND(LEFT(O77,6)="Same d",I77&gt;X77),"Error - Trading rules not satisfied ▲",IF(AND(LEFT(O77,6)="Same b",AND(LEFT(F77,5)&lt;&gt;LEFT(S77,5),I77&gt;X77)),"Error - Trading rules not satisfied ▲",IF(AND(LEFT(O77,6)="Same h",F77&lt;&gt;S77),"Error - Trading rules not satisfied ▲",IF(AND(LEFT(O77,6)="Bespok",F77&lt;&gt;S77),"Error - Trading rules not satisfied ▲",IF(X77&lt;I77,"Error Trading Down ▲",H77&amp;" - "&amp;W77))))))</f>
        <v/>
      </c>
      <c r="U77" s="524" t="str">
        <f t="shared" ref="U77:U140" si="17">IF(F77="","",IF(AND(LEFT(F77,55)&lt;&gt;LEFT(S77,55),T77= "High - High"),"Error - Not like for like ▲",IF(AND(I77=X77,K77&gt;Z77),"Error - Can not reduce condition ▲",IF(AND(I77=X77,K77=Z77),"Error - No enhancement ▲",IF(X77&lt;I77,"Error Trading Down ▲",IF(AND(F77&lt;&gt;S77,I77&lt;X77),"Lower Distinctiveness Habitat"&amp;" - "&amp;Y77,J77&amp;" - "&amp;Y77))))))</f>
        <v/>
      </c>
      <c r="V77" s="523" t="str">
        <f t="shared" si="14"/>
        <v/>
      </c>
      <c r="W77" s="520" t="str">
        <f>IF(S77="","",VLOOKUP(S77,'G-1 All Habitats'!$B$2:$M$129,10,FALSE))</f>
        <v/>
      </c>
      <c r="X77" s="520" t="str">
        <f>IFERROR(VLOOKUP(W77,'G-1 All Habitats'!$V$3:$W$7,2,FALSE),"")</f>
        <v/>
      </c>
      <c r="Y77" s="203"/>
      <c r="Z77" s="524" t="str">
        <f>IFERROR(INDEX('G-8 Condition Look up'!$A$3:$H$130,MATCH(S77,'G-8 Condition Look up'!$A$3:$A$130,0),MATCH(Y77,'G-8 Condition Look up'!$A$3:$H$3,0)),"")</f>
        <v/>
      </c>
      <c r="AA77" s="145"/>
      <c r="AB77" s="540" t="str">
        <f>IF(AA77="","",IF(VLOOKUP(AA77,'G-3 Multipliers'!$L$3:$N$6,2,FALSE)=0,"Spatial Data Missing ⚠",VLOOKUP(AA77,'G-3 Multipliers'!$L$3:$N$6,2,FALSE)))</f>
        <v/>
      </c>
      <c r="AC77" s="524" t="str">
        <f>IF(AA77="","",IF(VLOOKUP(AA77,'G-3 Multipliers'!$L$3:$N$6,3,FALSE)=0,"Spatial Data Missing ⚠",VLOOKUP(AA77,'G-3 Multipliers'!$L$3:$N$6,3,FALSE)))</f>
        <v/>
      </c>
      <c r="AD77" s="537" t="str">
        <f t="shared" si="15"/>
        <v/>
      </c>
      <c r="AE77" s="203"/>
      <c r="AF77" s="203"/>
      <c r="AG77" s="520" t="str">
        <f t="shared" ref="AG77:AG140" si="18">IF(AD77="","",IF(AD77="Check Data ⚠","Check Data ⚠",IF(R77="","",IF(AND(AE77&gt;0,AF77&gt;0),"Error -both advance and delayed habitat creation ▲",IF(AND(OR(AE77="Habitat already in target condition",AD77&lt;=AE77),AF77=0),"Check details - Is there evidence that habitat has reached target condition? ⚠",IF(O76="","",IF(AE77&gt;0,"Check details - Is there evidence habitat creation started/in place? ⚠",IF(AF77&gt;0,"Check details- Delay in starting habitat in required condition? ⚠","Standard time to target condition applied"))))))))</f>
        <v/>
      </c>
      <c r="AH77" s="544" t="str">
        <f t="shared" ref="AH77:AH140" si="19">IF(LEFT(AG77,5)="Error ▲","Check Data ⚠",IF(AG77="Check Data ⚠","Check Data ⚠",IF(AD77="","",IF(AD77="Not Possible","CheckData ⚠",IF(AND(AD77="30+",AE77=0),"30+",IF(AND(AD77="30+",AE77="30+"),0,IF(AND(AD77="30+",AE77&lt;30),30-AE77,IF(AD77="30+",30-AE77,IF(AF77="30+","30+",IF(AE77&gt;AD77,0,IF(AD77+AF77&gt;30,"30+",IF(AD77+AF77&gt;30,"30+",IF(AD77-AE77&gt;30,"30+",IF(AD77+AF77-AE77&gt;0,AD77+AF77-AE77,IF(AD77-AE77&gt;0,AD77-AE77,AD77+AF77-AE77)))))))))))))))</f>
        <v/>
      </c>
      <c r="AI77" s="525" t="str">
        <f>IF(AH77="Check Data ⚠","Check Data ⚠",IFERROR(VLOOKUP(AH77,'G-4 Temporal multipliers'!$A$4:$C$36,3,FALSE),""))</f>
        <v/>
      </c>
      <c r="AJ77" s="537" t="str">
        <f>IF(S77="","",VLOOKUP(S77,'G-3 Multipliers'!$A$2:$E$129,4,FALSE))</f>
        <v/>
      </c>
      <c r="AK77" s="520" t="str">
        <f t="shared" ref="AK77:AK140" si="20">IF(E77="","",IF(AG77="Check details - Is there evidence that habitat has reached target condition? ⚠","Low Difficulty - only applicable if all habitat created before losses","Standard difficulty applied"))</f>
        <v/>
      </c>
      <c r="AL77" s="520" t="str">
        <f t="shared" ref="AL77:AL140" si="21">(IF(AND(AK77="Standard difficulty applied",AD77&gt;AE77),AJ77,IF(AND(AK77="Low Difficulty - only applicable if all habitat created before losses",AE77&gt;=AD77),"Low", AJ77)))</f>
        <v/>
      </c>
      <c r="AM77" s="524" t="str">
        <f>IFERROR(IF(F77="","",IF(AH77="Check Data ⚠","Check Data ⚠",VLOOKUP(AL77, 'G-3 Multipliers'!$P$2:$Q$6,2,FALSE))),"")</f>
        <v/>
      </c>
      <c r="AN77" s="197"/>
      <c r="AO77" s="540" t="str">
        <f>IF(AN77="","",IF(VLOOKUP(AN77,'G-3 Multipliers'!$S$3:$T$9,2,FALSE)=0,"Spatial Data Missing ⚠",VLOOKUP(AN77,'G-3 Multipliers'!$S$3:$T$9,2,FALSE)))</f>
        <v/>
      </c>
      <c r="AP77" s="513" t="str">
        <f t="shared" ref="AP77:AP140" si="22">IFERROR(((((V77*X77*Z77)-(V77*I77*K77))*(AM77*AI77))+(V77*I77*K77))*(AC77)*AO77,"")</f>
        <v/>
      </c>
      <c r="AQ77" s="231"/>
      <c r="AR77" s="150"/>
    </row>
    <row r="78" spans="1:44" x14ac:dyDescent="0.3">
      <c r="A78" s="31" t="str">
        <f>IF(E78="","",IF(ISNA(VLOOKUP($E78,'D-1 Off Site Habitat Baseline'!$D$1:$O$258,2,FALSE)),"",(VLOOKUP($E78,'D-1 Off Site Habitat Baseline'!$D$1:$O$258,2,FALSE))))</f>
        <v/>
      </c>
      <c r="B78" s="31" t="str">
        <f>IF(E78="","",IF(ISNA(VLOOKUP($E78,'D-1 Off Site Habitat Baseline'!$D$1:$O$258,3,FALSE)),"",(VLOOKUP($E78,'D-1 Off Site Habitat Baseline'!$D$1:$O$258,3,FALSE))))</f>
        <v/>
      </c>
      <c r="C78" s="31" t="str">
        <f>IFERROR(INDEX('G-8 Condition Look up'!$I$4:$I$130,MATCH(S78,'G-8 Condition Look up'!$A$4:$A$130,0)),"")</f>
        <v/>
      </c>
      <c r="E78" s="547" t="str">
        <f>'D-1 Off Site Habitat Baseline'!AL77</f>
        <v/>
      </c>
      <c r="F78" s="520" t="str">
        <f>IF(E78="","",IF(ISNA(VLOOKUP($E78,'D-1 Off Site Habitat Baseline'!$D$1:$O$258,4,FALSE)),"",(VLOOKUP($E78,'D-1 Off Site Habitat Baseline'!$D$1:$O$258,4,FALSE))))</f>
        <v/>
      </c>
      <c r="G78" s="520" t="str">
        <f>IF(E78="","",IF(ISNA(VLOOKUP($E78,'D-1 Off Site Habitat Baseline'!$D$1:$O$258,5,FALSE)),"",(VLOOKUP($E78,'D-1 Off Site Habitat Baseline'!$D$1:$O$258,5,FALSE))))</f>
        <v/>
      </c>
      <c r="H78" s="520" t="str">
        <f>IF(E78="","",IF(ISNA(VLOOKUP($E78,'D-1 Off Site Habitat Baseline'!$D$1:$O$258,6,FALSE)),"",(VLOOKUP($E78,'D-1 Off Site Habitat Baseline'!$D$1:$O$258,6,FALSE))))</f>
        <v/>
      </c>
      <c r="I78" s="520" t="str">
        <f>IF(E78="","",IF(ISNA(VLOOKUP($E78,'D-1 Off Site Habitat Baseline'!$D$1:$O$258,7,FALSE)),"",(VLOOKUP($E78,'D-1 Off Site Habitat Baseline'!$D$1:$O$258,7,FALSE))))</f>
        <v/>
      </c>
      <c r="J78" s="520" t="str">
        <f>IF(E78="","",IF(ISNA(VLOOKUP($E78,'D-1 Off Site Habitat Baseline'!$D$1:$O$258,8,FALSE)),"",(VLOOKUP($E78,'D-1 Off Site Habitat Baseline'!$D$1:$O$258,8,FALSE))))</f>
        <v/>
      </c>
      <c r="K78" s="520" t="str">
        <f>IF(E78="","",IF(ISNA(VLOOKUP($E78,'D-1 Off Site Habitat Baseline'!$D$1:$O$258,9,FALSE)),"",(VLOOKUP($E78,'D-1 Off Site Habitat Baseline'!$D$1:$O$258,9,FALSE))))</f>
        <v/>
      </c>
      <c r="L78" s="520" t="str">
        <f>IF(E78="","",IF(ISNA(VLOOKUP($E78,'D-1 Off Site Habitat Baseline'!$D$1:$O$258,11,FALSE)),"",(VLOOKUP($E78,'D-1 Off Site Habitat Baseline'!$D$1:$O$258,11,FALSE))))</f>
        <v/>
      </c>
      <c r="M78" s="520" t="str">
        <f>IF(E78="","",IF(ISNA(VLOOKUP($E78,'D-1 Off Site Habitat Baseline'!$D$1:$O$258,12,FALSE)),"",(VLOOKUP($E78,'D-1 Off Site Habitat Baseline'!$D$1:$O$258,12,FALSE))))</f>
        <v/>
      </c>
      <c r="N78" s="520" t="str">
        <f>IF(E78="","",IF(ISNA(VLOOKUP($E78,'D-1 Off Site Habitat Baseline'!$D$1:$X$258,14,FALSE)),"",(VLOOKUP($E78,'D-1 Off Site Habitat Baseline'!$D$1:$X$258,14,FALSE))))</f>
        <v/>
      </c>
      <c r="O78" s="524" t="str">
        <f>IF(E78="","",IF(ISNA(VLOOKUP($E78,'D-1 Off Site Habitat Baseline'!$D$1:$X$258,13,FALSE)),"",(VLOOKUP($E78,'D-1 Off Site Habitat Baseline'!$D$1:$X$258,13,FALSE))))</f>
        <v/>
      </c>
      <c r="P78" s="232" t="str">
        <f>IFERROR(INDEX('G-1 All Habitats'!$AG$3:$AG$15,MATCH(Q78,'G-1 All Habitats'!$AF$3:$AF$15,0)),"")</f>
        <v/>
      </c>
      <c r="Q78" s="228" t="str">
        <f t="shared" si="12"/>
        <v/>
      </c>
      <c r="R78" s="229" t="str">
        <f t="shared" si="13"/>
        <v/>
      </c>
      <c r="S78" s="233" t="str">
        <f>IFERROR(INDEX('G-1 All Habitats'!$B$3:$B$129,MATCH(R78,'G-1 All Habitats'!$A$3:$A$129,0)),"")</f>
        <v/>
      </c>
      <c r="T78" s="507" t="str">
        <f t="shared" si="16"/>
        <v/>
      </c>
      <c r="U78" s="524" t="str">
        <f t="shared" si="17"/>
        <v/>
      </c>
      <c r="V78" s="523" t="str">
        <f t="shared" si="14"/>
        <v/>
      </c>
      <c r="W78" s="520" t="str">
        <f>IF(S78="","",VLOOKUP(S78,'G-1 All Habitats'!$B$2:$M$129,10,FALSE))</f>
        <v/>
      </c>
      <c r="X78" s="520" t="str">
        <f>IFERROR(VLOOKUP(W78,'G-1 All Habitats'!$V$3:$W$7,2,FALSE),"")</f>
        <v/>
      </c>
      <c r="Y78" s="203"/>
      <c r="Z78" s="524" t="str">
        <f>IFERROR(INDEX('G-8 Condition Look up'!$A$3:$H$130,MATCH(S78,'G-8 Condition Look up'!$A$3:$A$130,0),MATCH(Y78,'G-8 Condition Look up'!$A$3:$H$3,0)),"")</f>
        <v/>
      </c>
      <c r="AA78" s="145"/>
      <c r="AB78" s="540" t="str">
        <f>IF(AA78="","",IF(VLOOKUP(AA78,'G-3 Multipliers'!$L$3:$N$6,2,FALSE)=0,"Spatial Data Missing ⚠",VLOOKUP(AA78,'G-3 Multipliers'!$L$3:$N$6,2,FALSE)))</f>
        <v/>
      </c>
      <c r="AC78" s="524" t="str">
        <f>IF(AA78="","",IF(VLOOKUP(AA78,'G-3 Multipliers'!$L$3:$N$6,3,FALSE)=0,"Spatial Data Missing ⚠",VLOOKUP(AA78,'G-3 Multipliers'!$L$3:$N$6,3,FALSE)))</f>
        <v/>
      </c>
      <c r="AD78" s="537" t="str">
        <f t="shared" si="15"/>
        <v/>
      </c>
      <c r="AE78" s="203"/>
      <c r="AF78" s="203"/>
      <c r="AG78" s="520" t="str">
        <f t="shared" si="18"/>
        <v/>
      </c>
      <c r="AH78" s="544" t="str">
        <f t="shared" si="19"/>
        <v/>
      </c>
      <c r="AI78" s="525" t="str">
        <f>IF(AH78="Check Data ⚠","Check Data ⚠",IFERROR(VLOOKUP(AH78,'G-4 Temporal multipliers'!$A$4:$C$36,3,FALSE),""))</f>
        <v/>
      </c>
      <c r="AJ78" s="537" t="str">
        <f>IF(S78="","",VLOOKUP(S78,'G-3 Multipliers'!$A$2:$E$129,4,FALSE))</f>
        <v/>
      </c>
      <c r="AK78" s="520" t="str">
        <f t="shared" si="20"/>
        <v/>
      </c>
      <c r="AL78" s="520" t="str">
        <f t="shared" si="21"/>
        <v/>
      </c>
      <c r="AM78" s="524" t="str">
        <f>IFERROR(IF(F78="","",IF(AH78="Check Data ⚠","Check Data ⚠",VLOOKUP(AL78, 'G-3 Multipliers'!$P$2:$Q$6,2,FALSE))),"")</f>
        <v/>
      </c>
      <c r="AN78" s="197"/>
      <c r="AO78" s="540" t="str">
        <f>IF(AN78="","",IF(VLOOKUP(AN78,'G-3 Multipliers'!$S$3:$T$9,2,FALSE)=0,"Spatial Data Missing ⚠",VLOOKUP(AN78,'G-3 Multipliers'!$S$3:$T$9,2,FALSE)))</f>
        <v/>
      </c>
      <c r="AP78" s="513" t="str">
        <f t="shared" si="22"/>
        <v/>
      </c>
      <c r="AQ78" s="231"/>
      <c r="AR78" s="150"/>
    </row>
    <row r="79" spans="1:44" x14ac:dyDescent="0.3">
      <c r="A79" s="31" t="str">
        <f>IF(E79="","",IF(ISNA(VLOOKUP($E79,'D-1 Off Site Habitat Baseline'!$D$1:$O$258,2,FALSE)),"",(VLOOKUP($E79,'D-1 Off Site Habitat Baseline'!$D$1:$O$258,2,FALSE))))</f>
        <v/>
      </c>
      <c r="B79" s="31" t="str">
        <f>IF(E79="","",IF(ISNA(VLOOKUP($E79,'D-1 Off Site Habitat Baseline'!$D$1:$O$258,3,FALSE)),"",(VLOOKUP($E79,'D-1 Off Site Habitat Baseline'!$D$1:$O$258,3,FALSE))))</f>
        <v/>
      </c>
      <c r="C79" s="31" t="str">
        <f>IFERROR(INDEX('G-8 Condition Look up'!$I$4:$I$130,MATCH(S79,'G-8 Condition Look up'!$A$4:$A$130,0)),"")</f>
        <v/>
      </c>
      <c r="E79" s="547" t="str">
        <f>'D-1 Off Site Habitat Baseline'!AL78</f>
        <v/>
      </c>
      <c r="F79" s="520" t="str">
        <f>IF(E79="","",IF(ISNA(VLOOKUP($E79,'D-1 Off Site Habitat Baseline'!$D$1:$O$258,4,FALSE)),"",(VLOOKUP($E79,'D-1 Off Site Habitat Baseline'!$D$1:$O$258,4,FALSE))))</f>
        <v/>
      </c>
      <c r="G79" s="520" t="str">
        <f>IF(E79="","",IF(ISNA(VLOOKUP($E79,'D-1 Off Site Habitat Baseline'!$D$1:$O$258,5,FALSE)),"",(VLOOKUP($E79,'D-1 Off Site Habitat Baseline'!$D$1:$O$258,5,FALSE))))</f>
        <v/>
      </c>
      <c r="H79" s="520" t="str">
        <f>IF(E79="","",IF(ISNA(VLOOKUP($E79,'D-1 Off Site Habitat Baseline'!$D$1:$O$258,6,FALSE)),"",(VLOOKUP($E79,'D-1 Off Site Habitat Baseline'!$D$1:$O$258,6,FALSE))))</f>
        <v/>
      </c>
      <c r="I79" s="520" t="str">
        <f>IF(E79="","",IF(ISNA(VLOOKUP($E79,'D-1 Off Site Habitat Baseline'!$D$1:$O$258,7,FALSE)),"",(VLOOKUP($E79,'D-1 Off Site Habitat Baseline'!$D$1:$O$258,7,FALSE))))</f>
        <v/>
      </c>
      <c r="J79" s="520" t="str">
        <f>IF(E79="","",IF(ISNA(VLOOKUP($E79,'D-1 Off Site Habitat Baseline'!$D$1:$O$258,8,FALSE)),"",(VLOOKUP($E79,'D-1 Off Site Habitat Baseline'!$D$1:$O$258,8,FALSE))))</f>
        <v/>
      </c>
      <c r="K79" s="520" t="str">
        <f>IF(E79="","",IF(ISNA(VLOOKUP($E79,'D-1 Off Site Habitat Baseline'!$D$1:$O$258,9,FALSE)),"",(VLOOKUP($E79,'D-1 Off Site Habitat Baseline'!$D$1:$O$258,9,FALSE))))</f>
        <v/>
      </c>
      <c r="L79" s="520" t="str">
        <f>IF(E79="","",IF(ISNA(VLOOKUP($E79,'D-1 Off Site Habitat Baseline'!$D$1:$O$258,11,FALSE)),"",(VLOOKUP($E79,'D-1 Off Site Habitat Baseline'!$D$1:$O$258,11,FALSE))))</f>
        <v/>
      </c>
      <c r="M79" s="520" t="str">
        <f>IF(E79="","",IF(ISNA(VLOOKUP($E79,'D-1 Off Site Habitat Baseline'!$D$1:$O$258,12,FALSE)),"",(VLOOKUP($E79,'D-1 Off Site Habitat Baseline'!$D$1:$O$258,12,FALSE))))</f>
        <v/>
      </c>
      <c r="N79" s="520" t="str">
        <f>IF(E79="","",IF(ISNA(VLOOKUP($E79,'D-1 Off Site Habitat Baseline'!$D$1:$X$258,14,FALSE)),"",(VLOOKUP($E79,'D-1 Off Site Habitat Baseline'!$D$1:$X$258,14,FALSE))))</f>
        <v/>
      </c>
      <c r="O79" s="524" t="str">
        <f>IF(E79="","",IF(ISNA(VLOOKUP($E79,'D-1 Off Site Habitat Baseline'!$D$1:$X$258,13,FALSE)),"",(VLOOKUP($E79,'D-1 Off Site Habitat Baseline'!$D$1:$X$258,13,FALSE))))</f>
        <v/>
      </c>
      <c r="P79" s="232" t="str">
        <f>IFERROR(INDEX('G-1 All Habitats'!$AG$3:$AG$15,MATCH(Q79,'G-1 All Habitats'!$AF$3:$AF$15,0)),"")</f>
        <v/>
      </c>
      <c r="Q79" s="228" t="str">
        <f t="shared" ref="Q79:Q142" si="23">A79</f>
        <v/>
      </c>
      <c r="R79" s="229" t="str">
        <f t="shared" ref="R79:R142" si="24">B79</f>
        <v/>
      </c>
      <c r="S79" s="233" t="str">
        <f>IFERROR(INDEX('G-1 All Habitats'!$B$3:$B$129,MATCH(R79,'G-1 All Habitats'!$A$3:$A$129,0)),"")</f>
        <v/>
      </c>
      <c r="T79" s="507" t="str">
        <f t="shared" si="16"/>
        <v/>
      </c>
      <c r="U79" s="524" t="str">
        <f t="shared" si="17"/>
        <v/>
      </c>
      <c r="V79" s="523" t="str">
        <f t="shared" si="14"/>
        <v/>
      </c>
      <c r="W79" s="520" t="str">
        <f>IF(S79="","",VLOOKUP(S79,'G-1 All Habitats'!$B$2:$M$129,10,FALSE))</f>
        <v/>
      </c>
      <c r="X79" s="520" t="str">
        <f>IFERROR(VLOOKUP(W79,'G-1 All Habitats'!$V$3:$W$7,2,FALSE),"")</f>
        <v/>
      </c>
      <c r="Y79" s="203"/>
      <c r="Z79" s="524" t="str">
        <f>IFERROR(INDEX('G-8 Condition Look up'!$A$3:$H$130,MATCH(S79,'G-8 Condition Look up'!$A$3:$A$130,0),MATCH(Y79,'G-8 Condition Look up'!$A$3:$H$3,0)),"")</f>
        <v/>
      </c>
      <c r="AA79" s="145"/>
      <c r="AB79" s="540" t="str">
        <f>IF(AA79="","",IF(VLOOKUP(AA79,'G-3 Multipliers'!$L$3:$N$6,2,FALSE)=0,"Spatial Data Missing ⚠",VLOOKUP(AA79,'G-3 Multipliers'!$L$3:$N$6,2,FALSE)))</f>
        <v/>
      </c>
      <c r="AC79" s="524" t="str">
        <f>IF(AA79="","",IF(VLOOKUP(AA79,'G-3 Multipliers'!$L$3:$N$6,3,FALSE)=0,"Spatial Data Missing ⚠",VLOOKUP(AA79,'G-3 Multipliers'!$L$3:$N$6,3,FALSE)))</f>
        <v/>
      </c>
      <c r="AD79" s="537" t="str">
        <f t="shared" si="15"/>
        <v/>
      </c>
      <c r="AE79" s="203"/>
      <c r="AF79" s="203"/>
      <c r="AG79" s="520" t="str">
        <f t="shared" si="18"/>
        <v/>
      </c>
      <c r="AH79" s="544" t="str">
        <f t="shared" si="19"/>
        <v/>
      </c>
      <c r="AI79" s="525" t="str">
        <f>IF(AH79="Check Data ⚠","Check Data ⚠",IFERROR(VLOOKUP(AH79,'G-4 Temporal multipliers'!$A$4:$C$36,3,FALSE),""))</f>
        <v/>
      </c>
      <c r="AJ79" s="537" t="str">
        <f>IF(S79="","",VLOOKUP(S79,'G-3 Multipliers'!$A$2:$E$129,4,FALSE))</f>
        <v/>
      </c>
      <c r="AK79" s="520" t="str">
        <f t="shared" si="20"/>
        <v/>
      </c>
      <c r="AL79" s="520" t="str">
        <f t="shared" si="21"/>
        <v/>
      </c>
      <c r="AM79" s="524" t="str">
        <f>IFERROR(IF(F79="","",IF(AH79="Check Data ⚠","Check Data ⚠",VLOOKUP(AL79, 'G-3 Multipliers'!$P$2:$Q$6,2,FALSE))),"")</f>
        <v/>
      </c>
      <c r="AN79" s="197"/>
      <c r="AO79" s="540" t="str">
        <f>IF(AN79="","",IF(VLOOKUP(AN79,'G-3 Multipliers'!$S$3:$T$9,2,FALSE)=0,"Spatial Data Missing ⚠",VLOOKUP(AN79,'G-3 Multipliers'!$S$3:$T$9,2,FALSE)))</f>
        <v/>
      </c>
      <c r="AP79" s="513" t="str">
        <f t="shared" si="22"/>
        <v/>
      </c>
      <c r="AQ79" s="231"/>
      <c r="AR79" s="150"/>
    </row>
    <row r="80" spans="1:44" x14ac:dyDescent="0.3">
      <c r="A80" s="31" t="str">
        <f>IF(E80="","",IF(ISNA(VLOOKUP($E80,'D-1 Off Site Habitat Baseline'!$D$1:$O$258,2,FALSE)),"",(VLOOKUP($E80,'D-1 Off Site Habitat Baseline'!$D$1:$O$258,2,FALSE))))</f>
        <v/>
      </c>
      <c r="B80" s="31" t="str">
        <f>IF(E80="","",IF(ISNA(VLOOKUP($E80,'D-1 Off Site Habitat Baseline'!$D$1:$O$258,3,FALSE)),"",(VLOOKUP($E80,'D-1 Off Site Habitat Baseline'!$D$1:$O$258,3,FALSE))))</f>
        <v/>
      </c>
      <c r="C80" s="31" t="str">
        <f>IFERROR(INDEX('G-8 Condition Look up'!$I$4:$I$130,MATCH(S80,'G-8 Condition Look up'!$A$4:$A$130,0)),"")</f>
        <v/>
      </c>
      <c r="E80" s="547" t="str">
        <f>'D-1 Off Site Habitat Baseline'!AL79</f>
        <v/>
      </c>
      <c r="F80" s="520" t="str">
        <f>IF(E80="","",IF(ISNA(VLOOKUP($E80,'D-1 Off Site Habitat Baseline'!$D$1:$O$258,4,FALSE)),"",(VLOOKUP($E80,'D-1 Off Site Habitat Baseline'!$D$1:$O$258,4,FALSE))))</f>
        <v/>
      </c>
      <c r="G80" s="520" t="str">
        <f>IF(E80="","",IF(ISNA(VLOOKUP($E80,'D-1 Off Site Habitat Baseline'!$D$1:$O$258,5,FALSE)),"",(VLOOKUP($E80,'D-1 Off Site Habitat Baseline'!$D$1:$O$258,5,FALSE))))</f>
        <v/>
      </c>
      <c r="H80" s="520" t="str">
        <f>IF(E80="","",IF(ISNA(VLOOKUP($E80,'D-1 Off Site Habitat Baseline'!$D$1:$O$258,6,FALSE)),"",(VLOOKUP($E80,'D-1 Off Site Habitat Baseline'!$D$1:$O$258,6,FALSE))))</f>
        <v/>
      </c>
      <c r="I80" s="520" t="str">
        <f>IF(E80="","",IF(ISNA(VLOOKUP($E80,'D-1 Off Site Habitat Baseline'!$D$1:$O$258,7,FALSE)),"",(VLOOKUP($E80,'D-1 Off Site Habitat Baseline'!$D$1:$O$258,7,FALSE))))</f>
        <v/>
      </c>
      <c r="J80" s="520" t="str">
        <f>IF(E80="","",IF(ISNA(VLOOKUP($E80,'D-1 Off Site Habitat Baseline'!$D$1:$O$258,8,FALSE)),"",(VLOOKUP($E80,'D-1 Off Site Habitat Baseline'!$D$1:$O$258,8,FALSE))))</f>
        <v/>
      </c>
      <c r="K80" s="520" t="str">
        <f>IF(E80="","",IF(ISNA(VLOOKUP($E80,'D-1 Off Site Habitat Baseline'!$D$1:$O$258,9,FALSE)),"",(VLOOKUP($E80,'D-1 Off Site Habitat Baseline'!$D$1:$O$258,9,FALSE))))</f>
        <v/>
      </c>
      <c r="L80" s="520" t="str">
        <f>IF(E80="","",IF(ISNA(VLOOKUP($E80,'D-1 Off Site Habitat Baseline'!$D$1:$O$258,11,FALSE)),"",(VLOOKUP($E80,'D-1 Off Site Habitat Baseline'!$D$1:$O$258,11,FALSE))))</f>
        <v/>
      </c>
      <c r="M80" s="520" t="str">
        <f>IF(E80="","",IF(ISNA(VLOOKUP($E80,'D-1 Off Site Habitat Baseline'!$D$1:$O$258,12,FALSE)),"",(VLOOKUP($E80,'D-1 Off Site Habitat Baseline'!$D$1:$O$258,12,FALSE))))</f>
        <v/>
      </c>
      <c r="N80" s="520" t="str">
        <f>IF(E80="","",IF(ISNA(VLOOKUP($E80,'D-1 Off Site Habitat Baseline'!$D$1:$X$258,14,FALSE)),"",(VLOOKUP($E80,'D-1 Off Site Habitat Baseline'!$D$1:$X$258,14,FALSE))))</f>
        <v/>
      </c>
      <c r="O80" s="524" t="str">
        <f>IF(E80="","",IF(ISNA(VLOOKUP($E80,'D-1 Off Site Habitat Baseline'!$D$1:$X$258,13,FALSE)),"",(VLOOKUP($E80,'D-1 Off Site Habitat Baseline'!$D$1:$X$258,13,FALSE))))</f>
        <v/>
      </c>
      <c r="P80" s="232" t="str">
        <f>IFERROR(INDEX('G-1 All Habitats'!$AG$3:$AG$15,MATCH(Q80,'G-1 All Habitats'!$AF$3:$AF$15,0)),"")</f>
        <v/>
      </c>
      <c r="Q80" s="228" t="str">
        <f t="shared" si="23"/>
        <v/>
      </c>
      <c r="R80" s="229" t="str">
        <f t="shared" si="24"/>
        <v/>
      </c>
      <c r="S80" s="233" t="str">
        <f>IFERROR(INDEX('G-1 All Habitats'!$B$3:$B$129,MATCH(R80,'G-1 All Habitats'!$A$3:$A$129,0)),"")</f>
        <v/>
      </c>
      <c r="T80" s="507" t="str">
        <f t="shared" si="16"/>
        <v/>
      </c>
      <c r="U80" s="524" t="str">
        <f t="shared" si="17"/>
        <v/>
      </c>
      <c r="V80" s="523" t="str">
        <f t="shared" si="14"/>
        <v/>
      </c>
      <c r="W80" s="520" t="str">
        <f>IF(S80="","",VLOOKUP(S80,'G-1 All Habitats'!$B$2:$M$129,10,FALSE))</f>
        <v/>
      </c>
      <c r="X80" s="520" t="str">
        <f>IFERROR(VLOOKUP(W80,'G-1 All Habitats'!$V$3:$W$7,2,FALSE),"")</f>
        <v/>
      </c>
      <c r="Y80" s="203"/>
      <c r="Z80" s="524" t="str">
        <f>IFERROR(INDEX('G-8 Condition Look up'!$A$3:$H$130,MATCH(S80,'G-8 Condition Look up'!$A$3:$A$130,0),MATCH(Y80,'G-8 Condition Look up'!$A$3:$H$3,0)),"")</f>
        <v/>
      </c>
      <c r="AA80" s="145"/>
      <c r="AB80" s="540" t="str">
        <f>IF(AA80="","",IF(VLOOKUP(AA80,'G-3 Multipliers'!$L$3:$N$6,2,FALSE)=0,"Spatial Data Missing ⚠",VLOOKUP(AA80,'G-3 Multipliers'!$L$3:$N$6,2,FALSE)))</f>
        <v/>
      </c>
      <c r="AC80" s="524" t="str">
        <f>IF(AA80="","",IF(VLOOKUP(AA80,'G-3 Multipliers'!$L$3:$N$6,3,FALSE)=0,"Spatial Data Missing ⚠",VLOOKUP(AA80,'G-3 Multipliers'!$L$3:$N$6,3,FALSE)))</f>
        <v/>
      </c>
      <c r="AD80" s="537" t="str">
        <f t="shared" si="15"/>
        <v/>
      </c>
      <c r="AE80" s="203"/>
      <c r="AF80" s="203"/>
      <c r="AG80" s="520" t="str">
        <f t="shared" si="18"/>
        <v/>
      </c>
      <c r="AH80" s="544" t="str">
        <f t="shared" si="19"/>
        <v/>
      </c>
      <c r="AI80" s="525" t="str">
        <f>IF(AH80="Check Data ⚠","Check Data ⚠",IFERROR(VLOOKUP(AH80,'G-4 Temporal multipliers'!$A$4:$C$36,3,FALSE),""))</f>
        <v/>
      </c>
      <c r="AJ80" s="537" t="str">
        <f>IF(S80="","",VLOOKUP(S80,'G-3 Multipliers'!$A$2:$E$129,4,FALSE))</f>
        <v/>
      </c>
      <c r="AK80" s="520" t="str">
        <f t="shared" si="20"/>
        <v/>
      </c>
      <c r="AL80" s="520" t="str">
        <f t="shared" si="21"/>
        <v/>
      </c>
      <c r="AM80" s="524" t="str">
        <f>IFERROR(IF(F80="","",IF(AH80="Check Data ⚠","Check Data ⚠",VLOOKUP(AL80, 'G-3 Multipliers'!$P$2:$Q$6,2,FALSE))),"")</f>
        <v/>
      </c>
      <c r="AN80" s="197"/>
      <c r="AO80" s="540" t="str">
        <f>IF(AN80="","",IF(VLOOKUP(AN80,'G-3 Multipliers'!$S$3:$T$9,2,FALSE)=0,"Spatial Data Missing ⚠",VLOOKUP(AN80,'G-3 Multipliers'!$S$3:$T$9,2,FALSE)))</f>
        <v/>
      </c>
      <c r="AP80" s="513" t="str">
        <f t="shared" si="22"/>
        <v/>
      </c>
      <c r="AQ80" s="231"/>
      <c r="AR80" s="150"/>
    </row>
    <row r="81" spans="1:44" x14ac:dyDescent="0.3">
      <c r="A81" s="31" t="str">
        <f>IF(E81="","",IF(ISNA(VLOOKUP($E81,'D-1 Off Site Habitat Baseline'!$D$1:$O$258,2,FALSE)),"",(VLOOKUP($E81,'D-1 Off Site Habitat Baseline'!$D$1:$O$258,2,FALSE))))</f>
        <v/>
      </c>
      <c r="B81" s="31" t="str">
        <f>IF(E81="","",IF(ISNA(VLOOKUP($E81,'D-1 Off Site Habitat Baseline'!$D$1:$O$258,3,FALSE)),"",(VLOOKUP($E81,'D-1 Off Site Habitat Baseline'!$D$1:$O$258,3,FALSE))))</f>
        <v/>
      </c>
      <c r="C81" s="31" t="str">
        <f>IFERROR(INDEX('G-8 Condition Look up'!$I$4:$I$130,MATCH(S81,'G-8 Condition Look up'!$A$4:$A$130,0)),"")</f>
        <v/>
      </c>
      <c r="E81" s="547" t="str">
        <f>'D-1 Off Site Habitat Baseline'!AL80</f>
        <v/>
      </c>
      <c r="F81" s="520" t="str">
        <f>IF(E81="","",IF(ISNA(VLOOKUP($E81,'D-1 Off Site Habitat Baseline'!$D$1:$O$258,4,FALSE)),"",(VLOOKUP($E81,'D-1 Off Site Habitat Baseline'!$D$1:$O$258,4,FALSE))))</f>
        <v/>
      </c>
      <c r="G81" s="520" t="str">
        <f>IF(E81="","",IF(ISNA(VLOOKUP($E81,'D-1 Off Site Habitat Baseline'!$D$1:$O$258,5,FALSE)),"",(VLOOKUP($E81,'D-1 Off Site Habitat Baseline'!$D$1:$O$258,5,FALSE))))</f>
        <v/>
      </c>
      <c r="H81" s="520" t="str">
        <f>IF(E81="","",IF(ISNA(VLOOKUP($E81,'D-1 Off Site Habitat Baseline'!$D$1:$O$258,6,FALSE)),"",(VLOOKUP($E81,'D-1 Off Site Habitat Baseline'!$D$1:$O$258,6,FALSE))))</f>
        <v/>
      </c>
      <c r="I81" s="520" t="str">
        <f>IF(E81="","",IF(ISNA(VLOOKUP($E81,'D-1 Off Site Habitat Baseline'!$D$1:$O$258,7,FALSE)),"",(VLOOKUP($E81,'D-1 Off Site Habitat Baseline'!$D$1:$O$258,7,FALSE))))</f>
        <v/>
      </c>
      <c r="J81" s="520" t="str">
        <f>IF(E81="","",IF(ISNA(VLOOKUP($E81,'D-1 Off Site Habitat Baseline'!$D$1:$O$258,8,FALSE)),"",(VLOOKUP($E81,'D-1 Off Site Habitat Baseline'!$D$1:$O$258,8,FALSE))))</f>
        <v/>
      </c>
      <c r="K81" s="520" t="str">
        <f>IF(E81="","",IF(ISNA(VLOOKUP($E81,'D-1 Off Site Habitat Baseline'!$D$1:$O$258,9,FALSE)),"",(VLOOKUP($E81,'D-1 Off Site Habitat Baseline'!$D$1:$O$258,9,FALSE))))</f>
        <v/>
      </c>
      <c r="L81" s="520" t="str">
        <f>IF(E81="","",IF(ISNA(VLOOKUP($E81,'D-1 Off Site Habitat Baseline'!$D$1:$O$258,11,FALSE)),"",(VLOOKUP($E81,'D-1 Off Site Habitat Baseline'!$D$1:$O$258,11,FALSE))))</f>
        <v/>
      </c>
      <c r="M81" s="520" t="str">
        <f>IF(E81="","",IF(ISNA(VLOOKUP($E81,'D-1 Off Site Habitat Baseline'!$D$1:$O$258,12,FALSE)),"",(VLOOKUP($E81,'D-1 Off Site Habitat Baseline'!$D$1:$O$258,12,FALSE))))</f>
        <v/>
      </c>
      <c r="N81" s="520" t="str">
        <f>IF(E81="","",IF(ISNA(VLOOKUP($E81,'D-1 Off Site Habitat Baseline'!$D$1:$X$258,14,FALSE)),"",(VLOOKUP($E81,'D-1 Off Site Habitat Baseline'!$D$1:$X$258,14,FALSE))))</f>
        <v/>
      </c>
      <c r="O81" s="524" t="str">
        <f>IF(E81="","",IF(ISNA(VLOOKUP($E81,'D-1 Off Site Habitat Baseline'!$D$1:$X$258,13,FALSE)),"",(VLOOKUP($E81,'D-1 Off Site Habitat Baseline'!$D$1:$X$258,13,FALSE))))</f>
        <v/>
      </c>
      <c r="P81" s="232" t="str">
        <f>IFERROR(INDEX('G-1 All Habitats'!$AG$3:$AG$15,MATCH(Q81,'G-1 All Habitats'!$AF$3:$AF$15,0)),"")</f>
        <v/>
      </c>
      <c r="Q81" s="228" t="str">
        <f t="shared" si="23"/>
        <v/>
      </c>
      <c r="R81" s="229" t="str">
        <f t="shared" si="24"/>
        <v/>
      </c>
      <c r="S81" s="233" t="str">
        <f>IFERROR(INDEX('G-1 All Habitats'!$B$3:$B$129,MATCH(R81,'G-1 All Habitats'!$A$3:$A$129,0)),"")</f>
        <v/>
      </c>
      <c r="T81" s="507" t="str">
        <f t="shared" si="16"/>
        <v/>
      </c>
      <c r="U81" s="524" t="str">
        <f t="shared" si="17"/>
        <v/>
      </c>
      <c r="V81" s="523" t="str">
        <f t="shared" si="14"/>
        <v/>
      </c>
      <c r="W81" s="520" t="str">
        <f>IF(S81="","",VLOOKUP(S81,'G-1 All Habitats'!$B$2:$M$129,10,FALSE))</f>
        <v/>
      </c>
      <c r="X81" s="520" t="str">
        <f>IFERROR(VLOOKUP(W81,'G-1 All Habitats'!$V$3:$W$7,2,FALSE),"")</f>
        <v/>
      </c>
      <c r="Y81" s="203"/>
      <c r="Z81" s="524" t="str">
        <f>IFERROR(INDEX('G-8 Condition Look up'!$A$3:$H$130,MATCH(S81,'G-8 Condition Look up'!$A$3:$A$130,0),MATCH(Y81,'G-8 Condition Look up'!$A$3:$H$3,0)),"")</f>
        <v/>
      </c>
      <c r="AA81" s="145"/>
      <c r="AB81" s="540" t="str">
        <f>IF(AA81="","",IF(VLOOKUP(AA81,'G-3 Multipliers'!$L$3:$N$6,2,FALSE)=0,"Spatial Data Missing ⚠",VLOOKUP(AA81,'G-3 Multipliers'!$L$3:$N$6,2,FALSE)))</f>
        <v/>
      </c>
      <c r="AC81" s="524" t="str">
        <f>IF(AA81="","",IF(VLOOKUP(AA81,'G-3 Multipliers'!$L$3:$N$6,3,FALSE)=0,"Spatial Data Missing ⚠",VLOOKUP(AA81,'G-3 Multipliers'!$L$3:$N$6,3,FALSE)))</f>
        <v/>
      </c>
      <c r="AD81" s="537" t="str">
        <f t="shared" si="15"/>
        <v/>
      </c>
      <c r="AE81" s="203"/>
      <c r="AF81" s="203"/>
      <c r="AG81" s="520" t="str">
        <f t="shared" si="18"/>
        <v/>
      </c>
      <c r="AH81" s="544" t="str">
        <f t="shared" si="19"/>
        <v/>
      </c>
      <c r="AI81" s="525" t="str">
        <f>IF(AH81="Check Data ⚠","Check Data ⚠",IFERROR(VLOOKUP(AH81,'G-4 Temporal multipliers'!$A$4:$C$36,3,FALSE),""))</f>
        <v/>
      </c>
      <c r="AJ81" s="537" t="str">
        <f>IF(S81="","",VLOOKUP(S81,'G-3 Multipliers'!$A$2:$E$129,4,FALSE))</f>
        <v/>
      </c>
      <c r="AK81" s="520" t="str">
        <f t="shared" si="20"/>
        <v/>
      </c>
      <c r="AL81" s="520" t="str">
        <f t="shared" si="21"/>
        <v/>
      </c>
      <c r="AM81" s="524" t="str">
        <f>IFERROR(IF(F81="","",IF(AH81="Check Data ⚠","Check Data ⚠",VLOOKUP(AL81, 'G-3 Multipliers'!$P$2:$Q$6,2,FALSE))),"")</f>
        <v/>
      </c>
      <c r="AN81" s="197"/>
      <c r="AO81" s="540" t="str">
        <f>IF(AN81="","",IF(VLOOKUP(AN81,'G-3 Multipliers'!$S$3:$T$9,2,FALSE)=0,"Spatial Data Missing ⚠",VLOOKUP(AN81,'G-3 Multipliers'!$S$3:$T$9,2,FALSE)))</f>
        <v/>
      </c>
      <c r="AP81" s="513" t="str">
        <f t="shared" si="22"/>
        <v/>
      </c>
      <c r="AQ81" s="231"/>
      <c r="AR81" s="150"/>
    </row>
    <row r="82" spans="1:44" x14ac:dyDescent="0.3">
      <c r="A82" s="31" t="str">
        <f>IF(E82="","",IF(ISNA(VLOOKUP($E82,'D-1 Off Site Habitat Baseline'!$D$1:$O$258,2,FALSE)),"",(VLOOKUP($E82,'D-1 Off Site Habitat Baseline'!$D$1:$O$258,2,FALSE))))</f>
        <v/>
      </c>
      <c r="B82" s="31" t="str">
        <f>IF(E82="","",IF(ISNA(VLOOKUP($E82,'D-1 Off Site Habitat Baseline'!$D$1:$O$258,3,FALSE)),"",(VLOOKUP($E82,'D-1 Off Site Habitat Baseline'!$D$1:$O$258,3,FALSE))))</f>
        <v/>
      </c>
      <c r="C82" s="31" t="str">
        <f>IFERROR(INDEX('G-8 Condition Look up'!$I$4:$I$130,MATCH(S82,'G-8 Condition Look up'!$A$4:$A$130,0)),"")</f>
        <v/>
      </c>
      <c r="E82" s="547" t="str">
        <f>'D-1 Off Site Habitat Baseline'!AL81</f>
        <v/>
      </c>
      <c r="F82" s="520" t="str">
        <f>IF(E82="","",IF(ISNA(VLOOKUP($E82,'D-1 Off Site Habitat Baseline'!$D$1:$O$258,4,FALSE)),"",(VLOOKUP($E82,'D-1 Off Site Habitat Baseline'!$D$1:$O$258,4,FALSE))))</f>
        <v/>
      </c>
      <c r="G82" s="520" t="str">
        <f>IF(E82="","",IF(ISNA(VLOOKUP($E82,'D-1 Off Site Habitat Baseline'!$D$1:$O$258,5,FALSE)),"",(VLOOKUP($E82,'D-1 Off Site Habitat Baseline'!$D$1:$O$258,5,FALSE))))</f>
        <v/>
      </c>
      <c r="H82" s="520" t="str">
        <f>IF(E82="","",IF(ISNA(VLOOKUP($E82,'D-1 Off Site Habitat Baseline'!$D$1:$O$258,6,FALSE)),"",(VLOOKUP($E82,'D-1 Off Site Habitat Baseline'!$D$1:$O$258,6,FALSE))))</f>
        <v/>
      </c>
      <c r="I82" s="520" t="str">
        <f>IF(E82="","",IF(ISNA(VLOOKUP($E82,'D-1 Off Site Habitat Baseline'!$D$1:$O$258,7,FALSE)),"",(VLOOKUP($E82,'D-1 Off Site Habitat Baseline'!$D$1:$O$258,7,FALSE))))</f>
        <v/>
      </c>
      <c r="J82" s="520" t="str">
        <f>IF(E82="","",IF(ISNA(VLOOKUP($E82,'D-1 Off Site Habitat Baseline'!$D$1:$O$258,8,FALSE)),"",(VLOOKUP($E82,'D-1 Off Site Habitat Baseline'!$D$1:$O$258,8,FALSE))))</f>
        <v/>
      </c>
      <c r="K82" s="520" t="str">
        <f>IF(E82="","",IF(ISNA(VLOOKUP($E82,'D-1 Off Site Habitat Baseline'!$D$1:$O$258,9,FALSE)),"",(VLOOKUP($E82,'D-1 Off Site Habitat Baseline'!$D$1:$O$258,9,FALSE))))</f>
        <v/>
      </c>
      <c r="L82" s="520" t="str">
        <f>IF(E82="","",IF(ISNA(VLOOKUP($E82,'D-1 Off Site Habitat Baseline'!$D$1:$O$258,11,FALSE)),"",(VLOOKUP($E82,'D-1 Off Site Habitat Baseline'!$D$1:$O$258,11,FALSE))))</f>
        <v/>
      </c>
      <c r="M82" s="520" t="str">
        <f>IF(E82="","",IF(ISNA(VLOOKUP($E82,'D-1 Off Site Habitat Baseline'!$D$1:$O$258,12,FALSE)),"",(VLOOKUP($E82,'D-1 Off Site Habitat Baseline'!$D$1:$O$258,12,FALSE))))</f>
        <v/>
      </c>
      <c r="N82" s="520" t="str">
        <f>IF(E82="","",IF(ISNA(VLOOKUP($E82,'D-1 Off Site Habitat Baseline'!$D$1:$X$258,14,FALSE)),"",(VLOOKUP($E82,'D-1 Off Site Habitat Baseline'!$D$1:$X$258,14,FALSE))))</f>
        <v/>
      </c>
      <c r="O82" s="524" t="str">
        <f>IF(E82="","",IF(ISNA(VLOOKUP($E82,'D-1 Off Site Habitat Baseline'!$D$1:$X$258,13,FALSE)),"",(VLOOKUP($E82,'D-1 Off Site Habitat Baseline'!$D$1:$X$258,13,FALSE))))</f>
        <v/>
      </c>
      <c r="P82" s="232" t="str">
        <f>IFERROR(INDEX('G-1 All Habitats'!$AG$3:$AG$15,MATCH(Q82,'G-1 All Habitats'!$AF$3:$AF$15,0)),"")</f>
        <v/>
      </c>
      <c r="Q82" s="228" t="str">
        <f t="shared" si="23"/>
        <v/>
      </c>
      <c r="R82" s="229" t="str">
        <f t="shared" si="24"/>
        <v/>
      </c>
      <c r="S82" s="233" t="str">
        <f>IFERROR(INDEX('G-1 All Habitats'!$B$3:$B$129,MATCH(R82,'G-1 All Habitats'!$A$3:$A$129,0)),"")</f>
        <v/>
      </c>
      <c r="T82" s="507" t="str">
        <f t="shared" si="16"/>
        <v/>
      </c>
      <c r="U82" s="524" t="str">
        <f t="shared" si="17"/>
        <v/>
      </c>
      <c r="V82" s="523" t="str">
        <f t="shared" si="14"/>
        <v/>
      </c>
      <c r="W82" s="520" t="str">
        <f>IF(S82="","",VLOOKUP(S82,'G-1 All Habitats'!$B$2:$M$129,10,FALSE))</f>
        <v/>
      </c>
      <c r="X82" s="520" t="str">
        <f>IFERROR(VLOOKUP(W82,'G-1 All Habitats'!$V$3:$W$7,2,FALSE),"")</f>
        <v/>
      </c>
      <c r="Y82" s="203"/>
      <c r="Z82" s="524" t="str">
        <f>IFERROR(INDEX('G-8 Condition Look up'!$A$3:$H$130,MATCH(S82,'G-8 Condition Look up'!$A$3:$A$130,0),MATCH(Y82,'G-8 Condition Look up'!$A$3:$H$3,0)),"")</f>
        <v/>
      </c>
      <c r="AA82" s="145"/>
      <c r="AB82" s="540" t="str">
        <f>IF(AA82="","",IF(VLOOKUP(AA82,'G-3 Multipliers'!$L$3:$N$6,2,FALSE)=0,"Spatial Data Missing ⚠",VLOOKUP(AA82,'G-3 Multipliers'!$L$3:$N$6,2,FALSE)))</f>
        <v/>
      </c>
      <c r="AC82" s="524" t="str">
        <f>IF(AA82="","",IF(VLOOKUP(AA82,'G-3 Multipliers'!$L$3:$N$6,3,FALSE)=0,"Spatial Data Missing ⚠",VLOOKUP(AA82,'G-3 Multipliers'!$L$3:$N$6,3,FALSE)))</f>
        <v/>
      </c>
      <c r="AD82" s="537" t="str">
        <f t="shared" si="15"/>
        <v/>
      </c>
      <c r="AE82" s="203"/>
      <c r="AF82" s="203"/>
      <c r="AG82" s="520" t="str">
        <f t="shared" si="18"/>
        <v/>
      </c>
      <c r="AH82" s="544" t="str">
        <f t="shared" si="19"/>
        <v/>
      </c>
      <c r="AI82" s="525" t="str">
        <f>IF(AH82="Check Data ⚠","Check Data ⚠",IFERROR(VLOOKUP(AH82,'G-4 Temporal multipliers'!$A$4:$C$36,3,FALSE),""))</f>
        <v/>
      </c>
      <c r="AJ82" s="537" t="str">
        <f>IF(S82="","",VLOOKUP(S82,'G-3 Multipliers'!$A$2:$E$129,4,FALSE))</f>
        <v/>
      </c>
      <c r="AK82" s="520" t="str">
        <f t="shared" si="20"/>
        <v/>
      </c>
      <c r="AL82" s="520" t="str">
        <f t="shared" si="21"/>
        <v/>
      </c>
      <c r="AM82" s="524" t="str">
        <f>IFERROR(IF(F82="","",IF(AH82="Check Data ⚠","Check Data ⚠",VLOOKUP(AL82, 'G-3 Multipliers'!$P$2:$Q$6,2,FALSE))),"")</f>
        <v/>
      </c>
      <c r="AN82" s="197"/>
      <c r="AO82" s="540" t="str">
        <f>IF(AN82="","",IF(VLOOKUP(AN82,'G-3 Multipliers'!$S$3:$T$9,2,FALSE)=0,"Spatial Data Missing ⚠",VLOOKUP(AN82,'G-3 Multipliers'!$S$3:$T$9,2,FALSE)))</f>
        <v/>
      </c>
      <c r="AP82" s="513" t="str">
        <f t="shared" si="22"/>
        <v/>
      </c>
      <c r="AQ82" s="231"/>
      <c r="AR82" s="150"/>
    </row>
    <row r="83" spans="1:44" x14ac:dyDescent="0.3">
      <c r="A83" s="31" t="str">
        <f>IF(E83="","",IF(ISNA(VLOOKUP($E83,'D-1 Off Site Habitat Baseline'!$D$1:$O$258,2,FALSE)),"",(VLOOKUP($E83,'D-1 Off Site Habitat Baseline'!$D$1:$O$258,2,FALSE))))</f>
        <v/>
      </c>
      <c r="B83" s="31" t="str">
        <f>IF(E83="","",IF(ISNA(VLOOKUP($E83,'D-1 Off Site Habitat Baseline'!$D$1:$O$258,3,FALSE)),"",(VLOOKUP($E83,'D-1 Off Site Habitat Baseline'!$D$1:$O$258,3,FALSE))))</f>
        <v/>
      </c>
      <c r="C83" s="31" t="str">
        <f>IFERROR(INDEX('G-8 Condition Look up'!$I$4:$I$130,MATCH(S83,'G-8 Condition Look up'!$A$4:$A$130,0)),"")</f>
        <v/>
      </c>
      <c r="E83" s="547" t="str">
        <f>'D-1 Off Site Habitat Baseline'!AL82</f>
        <v/>
      </c>
      <c r="F83" s="520" t="str">
        <f>IF(E83="","",IF(ISNA(VLOOKUP($E83,'D-1 Off Site Habitat Baseline'!$D$1:$O$258,4,FALSE)),"",(VLOOKUP($E83,'D-1 Off Site Habitat Baseline'!$D$1:$O$258,4,FALSE))))</f>
        <v/>
      </c>
      <c r="G83" s="520" t="str">
        <f>IF(E83="","",IF(ISNA(VLOOKUP($E83,'D-1 Off Site Habitat Baseline'!$D$1:$O$258,5,FALSE)),"",(VLOOKUP($E83,'D-1 Off Site Habitat Baseline'!$D$1:$O$258,5,FALSE))))</f>
        <v/>
      </c>
      <c r="H83" s="520" t="str">
        <f>IF(E83="","",IF(ISNA(VLOOKUP($E83,'D-1 Off Site Habitat Baseline'!$D$1:$O$258,6,FALSE)),"",(VLOOKUP($E83,'D-1 Off Site Habitat Baseline'!$D$1:$O$258,6,FALSE))))</f>
        <v/>
      </c>
      <c r="I83" s="520" t="str">
        <f>IF(E83="","",IF(ISNA(VLOOKUP($E83,'D-1 Off Site Habitat Baseline'!$D$1:$O$258,7,FALSE)),"",(VLOOKUP($E83,'D-1 Off Site Habitat Baseline'!$D$1:$O$258,7,FALSE))))</f>
        <v/>
      </c>
      <c r="J83" s="520" t="str">
        <f>IF(E83="","",IF(ISNA(VLOOKUP($E83,'D-1 Off Site Habitat Baseline'!$D$1:$O$258,8,FALSE)),"",(VLOOKUP($E83,'D-1 Off Site Habitat Baseline'!$D$1:$O$258,8,FALSE))))</f>
        <v/>
      </c>
      <c r="K83" s="520" t="str">
        <f>IF(E83="","",IF(ISNA(VLOOKUP($E83,'D-1 Off Site Habitat Baseline'!$D$1:$O$258,9,FALSE)),"",(VLOOKUP($E83,'D-1 Off Site Habitat Baseline'!$D$1:$O$258,9,FALSE))))</f>
        <v/>
      </c>
      <c r="L83" s="520" t="str">
        <f>IF(E83="","",IF(ISNA(VLOOKUP($E83,'D-1 Off Site Habitat Baseline'!$D$1:$O$258,11,FALSE)),"",(VLOOKUP($E83,'D-1 Off Site Habitat Baseline'!$D$1:$O$258,11,FALSE))))</f>
        <v/>
      </c>
      <c r="M83" s="520" t="str">
        <f>IF(E83="","",IF(ISNA(VLOOKUP($E83,'D-1 Off Site Habitat Baseline'!$D$1:$O$258,12,FALSE)),"",(VLOOKUP($E83,'D-1 Off Site Habitat Baseline'!$D$1:$O$258,12,FALSE))))</f>
        <v/>
      </c>
      <c r="N83" s="520" t="str">
        <f>IF(E83="","",IF(ISNA(VLOOKUP($E83,'D-1 Off Site Habitat Baseline'!$D$1:$X$258,14,FALSE)),"",(VLOOKUP($E83,'D-1 Off Site Habitat Baseline'!$D$1:$X$258,14,FALSE))))</f>
        <v/>
      </c>
      <c r="O83" s="524" t="str">
        <f>IF(E83="","",IF(ISNA(VLOOKUP($E83,'D-1 Off Site Habitat Baseline'!$D$1:$X$258,13,FALSE)),"",(VLOOKUP($E83,'D-1 Off Site Habitat Baseline'!$D$1:$X$258,13,FALSE))))</f>
        <v/>
      </c>
      <c r="P83" s="232" t="str">
        <f>IFERROR(INDEX('G-1 All Habitats'!$AG$3:$AG$15,MATCH(Q83,'G-1 All Habitats'!$AF$3:$AF$15,0)),"")</f>
        <v/>
      </c>
      <c r="Q83" s="228" t="str">
        <f t="shared" si="23"/>
        <v/>
      </c>
      <c r="R83" s="229" t="str">
        <f t="shared" si="24"/>
        <v/>
      </c>
      <c r="S83" s="233" t="str">
        <f>IFERROR(INDEX('G-1 All Habitats'!$B$3:$B$129,MATCH(R83,'G-1 All Habitats'!$A$3:$A$129,0)),"")</f>
        <v/>
      </c>
      <c r="T83" s="507" t="str">
        <f t="shared" si="16"/>
        <v/>
      </c>
      <c r="U83" s="524" t="str">
        <f t="shared" si="17"/>
        <v/>
      </c>
      <c r="V83" s="523" t="str">
        <f t="shared" si="14"/>
        <v/>
      </c>
      <c r="W83" s="520" t="str">
        <f>IF(S83="","",VLOOKUP(S83,'G-1 All Habitats'!$B$2:$M$129,10,FALSE))</f>
        <v/>
      </c>
      <c r="X83" s="520" t="str">
        <f>IFERROR(VLOOKUP(W83,'G-1 All Habitats'!$V$3:$W$7,2,FALSE),"")</f>
        <v/>
      </c>
      <c r="Y83" s="203"/>
      <c r="Z83" s="524" t="str">
        <f>IFERROR(INDEX('G-8 Condition Look up'!$A$3:$H$130,MATCH(S83,'G-8 Condition Look up'!$A$3:$A$130,0),MATCH(Y83,'G-8 Condition Look up'!$A$3:$H$3,0)),"")</f>
        <v/>
      </c>
      <c r="AA83" s="145"/>
      <c r="AB83" s="540" t="str">
        <f>IF(AA83="","",IF(VLOOKUP(AA83,'G-3 Multipliers'!$L$3:$N$6,2,FALSE)=0,"Spatial Data Missing ⚠",VLOOKUP(AA83,'G-3 Multipliers'!$L$3:$N$6,2,FALSE)))</f>
        <v/>
      </c>
      <c r="AC83" s="524" t="str">
        <f>IF(AA83="","",IF(VLOOKUP(AA83,'G-3 Multipliers'!$L$3:$N$6,3,FALSE)=0,"Spatial Data Missing ⚠",VLOOKUP(AA83,'G-3 Multipliers'!$L$3:$N$6,3,FALSE)))</f>
        <v/>
      </c>
      <c r="AD83" s="537" t="str">
        <f t="shared" si="15"/>
        <v/>
      </c>
      <c r="AE83" s="203"/>
      <c r="AF83" s="203"/>
      <c r="AG83" s="520" t="str">
        <f t="shared" si="18"/>
        <v/>
      </c>
      <c r="AH83" s="544" t="str">
        <f t="shared" si="19"/>
        <v/>
      </c>
      <c r="AI83" s="525" t="str">
        <f>IF(AH83="Check Data ⚠","Check Data ⚠",IFERROR(VLOOKUP(AH83,'G-4 Temporal multipliers'!$A$4:$C$36,3,FALSE),""))</f>
        <v/>
      </c>
      <c r="AJ83" s="537" t="str">
        <f>IF(S83="","",VLOOKUP(S83,'G-3 Multipliers'!$A$2:$E$129,4,FALSE))</f>
        <v/>
      </c>
      <c r="AK83" s="520" t="str">
        <f t="shared" si="20"/>
        <v/>
      </c>
      <c r="AL83" s="520" t="str">
        <f t="shared" si="21"/>
        <v/>
      </c>
      <c r="AM83" s="524" t="str">
        <f>IFERROR(IF(F83="","",IF(AH83="Check Data ⚠","Check Data ⚠",VLOOKUP(AL83, 'G-3 Multipliers'!$P$2:$Q$6,2,FALSE))),"")</f>
        <v/>
      </c>
      <c r="AN83" s="197"/>
      <c r="AO83" s="540" t="str">
        <f>IF(AN83="","",IF(VLOOKUP(AN83,'G-3 Multipliers'!$S$3:$T$9,2,FALSE)=0,"Spatial Data Missing ⚠",VLOOKUP(AN83,'G-3 Multipliers'!$S$3:$T$9,2,FALSE)))</f>
        <v/>
      </c>
      <c r="AP83" s="513" t="str">
        <f t="shared" si="22"/>
        <v/>
      </c>
      <c r="AQ83" s="231"/>
      <c r="AR83" s="150"/>
    </row>
    <row r="84" spans="1:44" x14ac:dyDescent="0.3">
      <c r="A84" s="31" t="str">
        <f>IF(E84="","",IF(ISNA(VLOOKUP($E84,'D-1 Off Site Habitat Baseline'!$D$1:$O$258,2,FALSE)),"",(VLOOKUP($E84,'D-1 Off Site Habitat Baseline'!$D$1:$O$258,2,FALSE))))</f>
        <v/>
      </c>
      <c r="B84" s="31" t="str">
        <f>IF(E84="","",IF(ISNA(VLOOKUP($E84,'D-1 Off Site Habitat Baseline'!$D$1:$O$258,3,FALSE)),"",(VLOOKUP($E84,'D-1 Off Site Habitat Baseline'!$D$1:$O$258,3,FALSE))))</f>
        <v/>
      </c>
      <c r="C84" s="31" t="str">
        <f>IFERROR(INDEX('G-8 Condition Look up'!$I$4:$I$130,MATCH(S84,'G-8 Condition Look up'!$A$4:$A$130,0)),"")</f>
        <v/>
      </c>
      <c r="E84" s="547" t="str">
        <f>'D-1 Off Site Habitat Baseline'!AL83</f>
        <v/>
      </c>
      <c r="F84" s="520" t="str">
        <f>IF(E84="","",IF(ISNA(VLOOKUP($E84,'D-1 Off Site Habitat Baseline'!$D$1:$O$258,4,FALSE)),"",(VLOOKUP($E84,'D-1 Off Site Habitat Baseline'!$D$1:$O$258,4,FALSE))))</f>
        <v/>
      </c>
      <c r="G84" s="520" t="str">
        <f>IF(E84="","",IF(ISNA(VLOOKUP($E84,'D-1 Off Site Habitat Baseline'!$D$1:$O$258,5,FALSE)),"",(VLOOKUP($E84,'D-1 Off Site Habitat Baseline'!$D$1:$O$258,5,FALSE))))</f>
        <v/>
      </c>
      <c r="H84" s="520" t="str">
        <f>IF(E84="","",IF(ISNA(VLOOKUP($E84,'D-1 Off Site Habitat Baseline'!$D$1:$O$258,6,FALSE)),"",(VLOOKUP($E84,'D-1 Off Site Habitat Baseline'!$D$1:$O$258,6,FALSE))))</f>
        <v/>
      </c>
      <c r="I84" s="520" t="str">
        <f>IF(E84="","",IF(ISNA(VLOOKUP($E84,'D-1 Off Site Habitat Baseline'!$D$1:$O$258,7,FALSE)),"",(VLOOKUP($E84,'D-1 Off Site Habitat Baseline'!$D$1:$O$258,7,FALSE))))</f>
        <v/>
      </c>
      <c r="J84" s="520" t="str">
        <f>IF(E84="","",IF(ISNA(VLOOKUP($E84,'D-1 Off Site Habitat Baseline'!$D$1:$O$258,8,FALSE)),"",(VLOOKUP($E84,'D-1 Off Site Habitat Baseline'!$D$1:$O$258,8,FALSE))))</f>
        <v/>
      </c>
      <c r="K84" s="520" t="str">
        <f>IF(E84="","",IF(ISNA(VLOOKUP($E84,'D-1 Off Site Habitat Baseline'!$D$1:$O$258,9,FALSE)),"",(VLOOKUP($E84,'D-1 Off Site Habitat Baseline'!$D$1:$O$258,9,FALSE))))</f>
        <v/>
      </c>
      <c r="L84" s="520" t="str">
        <f>IF(E84="","",IF(ISNA(VLOOKUP($E84,'D-1 Off Site Habitat Baseline'!$D$1:$O$258,11,FALSE)),"",(VLOOKUP($E84,'D-1 Off Site Habitat Baseline'!$D$1:$O$258,11,FALSE))))</f>
        <v/>
      </c>
      <c r="M84" s="520" t="str">
        <f>IF(E84="","",IF(ISNA(VLOOKUP($E84,'D-1 Off Site Habitat Baseline'!$D$1:$O$258,12,FALSE)),"",(VLOOKUP($E84,'D-1 Off Site Habitat Baseline'!$D$1:$O$258,12,FALSE))))</f>
        <v/>
      </c>
      <c r="N84" s="520" t="str">
        <f>IF(E84="","",IF(ISNA(VLOOKUP($E84,'D-1 Off Site Habitat Baseline'!$D$1:$X$258,14,FALSE)),"",(VLOOKUP($E84,'D-1 Off Site Habitat Baseline'!$D$1:$X$258,14,FALSE))))</f>
        <v/>
      </c>
      <c r="O84" s="524" t="str">
        <f>IF(E84="","",IF(ISNA(VLOOKUP($E84,'D-1 Off Site Habitat Baseline'!$D$1:$X$258,13,FALSE)),"",(VLOOKUP($E84,'D-1 Off Site Habitat Baseline'!$D$1:$X$258,13,FALSE))))</f>
        <v/>
      </c>
      <c r="P84" s="232" t="str">
        <f>IFERROR(INDEX('G-1 All Habitats'!$AG$3:$AG$15,MATCH(Q84,'G-1 All Habitats'!$AF$3:$AF$15,0)),"")</f>
        <v/>
      </c>
      <c r="Q84" s="228" t="str">
        <f t="shared" si="23"/>
        <v/>
      </c>
      <c r="R84" s="229" t="str">
        <f t="shared" si="24"/>
        <v/>
      </c>
      <c r="S84" s="233" t="str">
        <f>IFERROR(INDEX('G-1 All Habitats'!$B$3:$B$129,MATCH(R84,'G-1 All Habitats'!$A$3:$A$129,0)),"")</f>
        <v/>
      </c>
      <c r="T84" s="507" t="str">
        <f t="shared" si="16"/>
        <v/>
      </c>
      <c r="U84" s="524" t="str">
        <f t="shared" si="17"/>
        <v/>
      </c>
      <c r="V84" s="523" t="str">
        <f t="shared" si="14"/>
        <v/>
      </c>
      <c r="W84" s="520" t="str">
        <f>IF(S84="","",VLOOKUP(S84,'G-1 All Habitats'!$B$2:$M$129,10,FALSE))</f>
        <v/>
      </c>
      <c r="X84" s="520" t="str">
        <f>IFERROR(VLOOKUP(W84,'G-1 All Habitats'!$V$3:$W$7,2,FALSE),"")</f>
        <v/>
      </c>
      <c r="Y84" s="203"/>
      <c r="Z84" s="524" t="str">
        <f>IFERROR(INDEX('G-8 Condition Look up'!$A$3:$H$130,MATCH(S84,'G-8 Condition Look up'!$A$3:$A$130,0),MATCH(Y84,'G-8 Condition Look up'!$A$3:$H$3,0)),"")</f>
        <v/>
      </c>
      <c r="AA84" s="145"/>
      <c r="AB84" s="540" t="str">
        <f>IF(AA84="","",IF(VLOOKUP(AA84,'G-3 Multipliers'!$L$3:$N$6,2,FALSE)=0,"Spatial Data Missing ⚠",VLOOKUP(AA84,'G-3 Multipliers'!$L$3:$N$6,2,FALSE)))</f>
        <v/>
      </c>
      <c r="AC84" s="524" t="str">
        <f>IF(AA84="","",IF(VLOOKUP(AA84,'G-3 Multipliers'!$L$3:$N$6,3,FALSE)=0,"Spatial Data Missing ⚠",VLOOKUP(AA84,'G-3 Multipliers'!$L$3:$N$6,3,FALSE)))</f>
        <v/>
      </c>
      <c r="AD84" s="537" t="str">
        <f t="shared" si="15"/>
        <v/>
      </c>
      <c r="AE84" s="203"/>
      <c r="AF84" s="203"/>
      <c r="AG84" s="520" t="str">
        <f t="shared" si="18"/>
        <v/>
      </c>
      <c r="AH84" s="544" t="str">
        <f t="shared" si="19"/>
        <v/>
      </c>
      <c r="AI84" s="525" t="str">
        <f>IF(AH84="Check Data ⚠","Check Data ⚠",IFERROR(VLOOKUP(AH84,'G-4 Temporal multipliers'!$A$4:$C$36,3,FALSE),""))</f>
        <v/>
      </c>
      <c r="AJ84" s="537" t="str">
        <f>IF(S84="","",VLOOKUP(S84,'G-3 Multipliers'!$A$2:$E$129,4,FALSE))</f>
        <v/>
      </c>
      <c r="AK84" s="520" t="str">
        <f t="shared" si="20"/>
        <v/>
      </c>
      <c r="AL84" s="520" t="str">
        <f t="shared" si="21"/>
        <v/>
      </c>
      <c r="AM84" s="524" t="str">
        <f>IFERROR(IF(F84="","",IF(AH84="Check Data ⚠","Check Data ⚠",VLOOKUP(AL84, 'G-3 Multipliers'!$P$2:$Q$6,2,FALSE))),"")</f>
        <v/>
      </c>
      <c r="AN84" s="197"/>
      <c r="AO84" s="540" t="str">
        <f>IF(AN84="","",IF(VLOOKUP(AN84,'G-3 Multipliers'!$S$3:$T$9,2,FALSE)=0,"Spatial Data Missing ⚠",VLOOKUP(AN84,'G-3 Multipliers'!$S$3:$T$9,2,FALSE)))</f>
        <v/>
      </c>
      <c r="AP84" s="513" t="str">
        <f t="shared" si="22"/>
        <v/>
      </c>
      <c r="AQ84" s="231"/>
      <c r="AR84" s="150"/>
    </row>
    <row r="85" spans="1:44" x14ac:dyDescent="0.3">
      <c r="A85" s="31" t="str">
        <f>IF(E85="","",IF(ISNA(VLOOKUP($E85,'D-1 Off Site Habitat Baseline'!$D$1:$O$258,2,FALSE)),"",(VLOOKUP($E85,'D-1 Off Site Habitat Baseline'!$D$1:$O$258,2,FALSE))))</f>
        <v/>
      </c>
      <c r="B85" s="31" t="str">
        <f>IF(E85="","",IF(ISNA(VLOOKUP($E85,'D-1 Off Site Habitat Baseline'!$D$1:$O$258,3,FALSE)),"",(VLOOKUP($E85,'D-1 Off Site Habitat Baseline'!$D$1:$O$258,3,FALSE))))</f>
        <v/>
      </c>
      <c r="C85" s="31" t="str">
        <f>IFERROR(INDEX('G-8 Condition Look up'!$I$4:$I$130,MATCH(S85,'G-8 Condition Look up'!$A$4:$A$130,0)),"")</f>
        <v/>
      </c>
      <c r="E85" s="547" t="str">
        <f>'D-1 Off Site Habitat Baseline'!AL84</f>
        <v/>
      </c>
      <c r="F85" s="520" t="str">
        <f>IF(E85="","",IF(ISNA(VLOOKUP($E85,'D-1 Off Site Habitat Baseline'!$D$1:$O$258,4,FALSE)),"",(VLOOKUP($E85,'D-1 Off Site Habitat Baseline'!$D$1:$O$258,4,FALSE))))</f>
        <v/>
      </c>
      <c r="G85" s="520" t="str">
        <f>IF(E85="","",IF(ISNA(VLOOKUP($E85,'D-1 Off Site Habitat Baseline'!$D$1:$O$258,5,FALSE)),"",(VLOOKUP($E85,'D-1 Off Site Habitat Baseline'!$D$1:$O$258,5,FALSE))))</f>
        <v/>
      </c>
      <c r="H85" s="520" t="str">
        <f>IF(E85="","",IF(ISNA(VLOOKUP($E85,'D-1 Off Site Habitat Baseline'!$D$1:$O$258,6,FALSE)),"",(VLOOKUP($E85,'D-1 Off Site Habitat Baseline'!$D$1:$O$258,6,FALSE))))</f>
        <v/>
      </c>
      <c r="I85" s="520" t="str">
        <f>IF(E85="","",IF(ISNA(VLOOKUP($E85,'D-1 Off Site Habitat Baseline'!$D$1:$O$258,7,FALSE)),"",(VLOOKUP($E85,'D-1 Off Site Habitat Baseline'!$D$1:$O$258,7,FALSE))))</f>
        <v/>
      </c>
      <c r="J85" s="520" t="str">
        <f>IF(E85="","",IF(ISNA(VLOOKUP($E85,'D-1 Off Site Habitat Baseline'!$D$1:$O$258,8,FALSE)),"",(VLOOKUP($E85,'D-1 Off Site Habitat Baseline'!$D$1:$O$258,8,FALSE))))</f>
        <v/>
      </c>
      <c r="K85" s="520" t="str">
        <f>IF(E85="","",IF(ISNA(VLOOKUP($E85,'D-1 Off Site Habitat Baseline'!$D$1:$O$258,9,FALSE)),"",(VLOOKUP($E85,'D-1 Off Site Habitat Baseline'!$D$1:$O$258,9,FALSE))))</f>
        <v/>
      </c>
      <c r="L85" s="520" t="str">
        <f>IF(E85="","",IF(ISNA(VLOOKUP($E85,'D-1 Off Site Habitat Baseline'!$D$1:$O$258,11,FALSE)),"",(VLOOKUP($E85,'D-1 Off Site Habitat Baseline'!$D$1:$O$258,11,FALSE))))</f>
        <v/>
      </c>
      <c r="M85" s="520" t="str">
        <f>IF(E85="","",IF(ISNA(VLOOKUP($E85,'D-1 Off Site Habitat Baseline'!$D$1:$O$258,12,FALSE)),"",(VLOOKUP($E85,'D-1 Off Site Habitat Baseline'!$D$1:$O$258,12,FALSE))))</f>
        <v/>
      </c>
      <c r="N85" s="520" t="str">
        <f>IF(E85="","",IF(ISNA(VLOOKUP($E85,'D-1 Off Site Habitat Baseline'!$D$1:$X$258,14,FALSE)),"",(VLOOKUP($E85,'D-1 Off Site Habitat Baseline'!$D$1:$X$258,14,FALSE))))</f>
        <v/>
      </c>
      <c r="O85" s="524" t="str">
        <f>IF(E85="","",IF(ISNA(VLOOKUP($E85,'D-1 Off Site Habitat Baseline'!$D$1:$X$258,13,FALSE)),"",(VLOOKUP($E85,'D-1 Off Site Habitat Baseline'!$D$1:$X$258,13,FALSE))))</f>
        <v/>
      </c>
      <c r="P85" s="232" t="str">
        <f>IFERROR(INDEX('G-1 All Habitats'!$AG$3:$AG$15,MATCH(Q85,'G-1 All Habitats'!$AF$3:$AF$15,0)),"")</f>
        <v/>
      </c>
      <c r="Q85" s="228" t="str">
        <f t="shared" si="23"/>
        <v/>
      </c>
      <c r="R85" s="229" t="str">
        <f t="shared" si="24"/>
        <v/>
      </c>
      <c r="S85" s="233" t="str">
        <f>IFERROR(INDEX('G-1 All Habitats'!$B$3:$B$129,MATCH(R85,'G-1 All Habitats'!$A$3:$A$129,0)),"")</f>
        <v/>
      </c>
      <c r="T85" s="507" t="str">
        <f t="shared" si="16"/>
        <v/>
      </c>
      <c r="U85" s="524" t="str">
        <f t="shared" si="17"/>
        <v/>
      </c>
      <c r="V85" s="523" t="str">
        <f t="shared" si="14"/>
        <v/>
      </c>
      <c r="W85" s="520" t="str">
        <f>IF(S85="","",VLOOKUP(S85,'G-1 All Habitats'!$B$2:$M$129,10,FALSE))</f>
        <v/>
      </c>
      <c r="X85" s="520" t="str">
        <f>IFERROR(VLOOKUP(W85,'G-1 All Habitats'!$V$3:$W$7,2,FALSE),"")</f>
        <v/>
      </c>
      <c r="Y85" s="203"/>
      <c r="Z85" s="524" t="str">
        <f>IFERROR(INDEX('G-8 Condition Look up'!$A$3:$H$130,MATCH(S85,'G-8 Condition Look up'!$A$3:$A$130,0),MATCH(Y85,'G-8 Condition Look up'!$A$3:$H$3,0)),"")</f>
        <v/>
      </c>
      <c r="AA85" s="145"/>
      <c r="AB85" s="540" t="str">
        <f>IF(AA85="","",IF(VLOOKUP(AA85,'G-3 Multipliers'!$L$3:$N$6,2,FALSE)=0,"Spatial Data Missing ⚠",VLOOKUP(AA85,'G-3 Multipliers'!$L$3:$N$6,2,FALSE)))</f>
        <v/>
      </c>
      <c r="AC85" s="524" t="str">
        <f>IF(AA85="","",IF(VLOOKUP(AA85,'G-3 Multipliers'!$L$3:$N$6,3,FALSE)=0,"Spatial Data Missing ⚠",VLOOKUP(AA85,'G-3 Multipliers'!$L$3:$N$6,3,FALSE)))</f>
        <v/>
      </c>
      <c r="AD85" s="537" t="str">
        <f t="shared" si="15"/>
        <v/>
      </c>
      <c r="AE85" s="203"/>
      <c r="AF85" s="203"/>
      <c r="AG85" s="520" t="str">
        <f t="shared" si="18"/>
        <v/>
      </c>
      <c r="AH85" s="544" t="str">
        <f t="shared" si="19"/>
        <v/>
      </c>
      <c r="AI85" s="525" t="str">
        <f>IF(AH85="Check Data ⚠","Check Data ⚠",IFERROR(VLOOKUP(AH85,'G-4 Temporal multipliers'!$A$4:$C$36,3,FALSE),""))</f>
        <v/>
      </c>
      <c r="AJ85" s="537" t="str">
        <f>IF(S85="","",VLOOKUP(S85,'G-3 Multipliers'!$A$2:$E$129,4,FALSE))</f>
        <v/>
      </c>
      <c r="AK85" s="520" t="str">
        <f t="shared" si="20"/>
        <v/>
      </c>
      <c r="AL85" s="520" t="str">
        <f t="shared" si="21"/>
        <v/>
      </c>
      <c r="AM85" s="524" t="str">
        <f>IFERROR(IF(F85="","",IF(AH85="Check Data ⚠","Check Data ⚠",VLOOKUP(AL85, 'G-3 Multipliers'!$P$2:$Q$6,2,FALSE))),"")</f>
        <v/>
      </c>
      <c r="AN85" s="197"/>
      <c r="AO85" s="540" t="str">
        <f>IF(AN85="","",IF(VLOOKUP(AN85,'G-3 Multipliers'!$S$3:$T$9,2,FALSE)=0,"Spatial Data Missing ⚠",VLOOKUP(AN85,'G-3 Multipliers'!$S$3:$T$9,2,FALSE)))</f>
        <v/>
      </c>
      <c r="AP85" s="513" t="str">
        <f t="shared" si="22"/>
        <v/>
      </c>
      <c r="AQ85" s="231"/>
      <c r="AR85" s="150"/>
    </row>
    <row r="86" spans="1:44" x14ac:dyDescent="0.3">
      <c r="A86" s="31" t="str">
        <f>IF(E86="","",IF(ISNA(VLOOKUP($E86,'D-1 Off Site Habitat Baseline'!$D$1:$O$258,2,FALSE)),"",(VLOOKUP($E86,'D-1 Off Site Habitat Baseline'!$D$1:$O$258,2,FALSE))))</f>
        <v/>
      </c>
      <c r="B86" s="31" t="str">
        <f>IF(E86="","",IF(ISNA(VLOOKUP($E86,'D-1 Off Site Habitat Baseline'!$D$1:$O$258,3,FALSE)),"",(VLOOKUP($E86,'D-1 Off Site Habitat Baseline'!$D$1:$O$258,3,FALSE))))</f>
        <v/>
      </c>
      <c r="C86" s="31" t="str">
        <f>IFERROR(INDEX('G-8 Condition Look up'!$I$4:$I$130,MATCH(S86,'G-8 Condition Look up'!$A$4:$A$130,0)),"")</f>
        <v/>
      </c>
      <c r="E86" s="547" t="str">
        <f>'D-1 Off Site Habitat Baseline'!AL85</f>
        <v/>
      </c>
      <c r="F86" s="520" t="str">
        <f>IF(E86="","",IF(ISNA(VLOOKUP($E86,'D-1 Off Site Habitat Baseline'!$D$1:$O$258,4,FALSE)),"",(VLOOKUP($E86,'D-1 Off Site Habitat Baseline'!$D$1:$O$258,4,FALSE))))</f>
        <v/>
      </c>
      <c r="G86" s="520" t="str">
        <f>IF(E86="","",IF(ISNA(VLOOKUP($E86,'D-1 Off Site Habitat Baseline'!$D$1:$O$258,5,FALSE)),"",(VLOOKUP($E86,'D-1 Off Site Habitat Baseline'!$D$1:$O$258,5,FALSE))))</f>
        <v/>
      </c>
      <c r="H86" s="520" t="str">
        <f>IF(E86="","",IF(ISNA(VLOOKUP($E86,'D-1 Off Site Habitat Baseline'!$D$1:$O$258,6,FALSE)),"",(VLOOKUP($E86,'D-1 Off Site Habitat Baseline'!$D$1:$O$258,6,FALSE))))</f>
        <v/>
      </c>
      <c r="I86" s="520" t="str">
        <f>IF(E86="","",IF(ISNA(VLOOKUP($E86,'D-1 Off Site Habitat Baseline'!$D$1:$O$258,7,FALSE)),"",(VLOOKUP($E86,'D-1 Off Site Habitat Baseline'!$D$1:$O$258,7,FALSE))))</f>
        <v/>
      </c>
      <c r="J86" s="520" t="str">
        <f>IF(E86="","",IF(ISNA(VLOOKUP($E86,'D-1 Off Site Habitat Baseline'!$D$1:$O$258,8,FALSE)),"",(VLOOKUP($E86,'D-1 Off Site Habitat Baseline'!$D$1:$O$258,8,FALSE))))</f>
        <v/>
      </c>
      <c r="K86" s="520" t="str">
        <f>IF(E86="","",IF(ISNA(VLOOKUP($E86,'D-1 Off Site Habitat Baseline'!$D$1:$O$258,9,FALSE)),"",(VLOOKUP($E86,'D-1 Off Site Habitat Baseline'!$D$1:$O$258,9,FALSE))))</f>
        <v/>
      </c>
      <c r="L86" s="520" t="str">
        <f>IF(E86="","",IF(ISNA(VLOOKUP($E86,'D-1 Off Site Habitat Baseline'!$D$1:$O$258,11,FALSE)),"",(VLOOKUP($E86,'D-1 Off Site Habitat Baseline'!$D$1:$O$258,11,FALSE))))</f>
        <v/>
      </c>
      <c r="M86" s="520" t="str">
        <f>IF(E86="","",IF(ISNA(VLOOKUP($E86,'D-1 Off Site Habitat Baseline'!$D$1:$O$258,12,FALSE)),"",(VLOOKUP($E86,'D-1 Off Site Habitat Baseline'!$D$1:$O$258,12,FALSE))))</f>
        <v/>
      </c>
      <c r="N86" s="520" t="str">
        <f>IF(E86="","",IF(ISNA(VLOOKUP($E86,'D-1 Off Site Habitat Baseline'!$D$1:$X$258,14,FALSE)),"",(VLOOKUP($E86,'D-1 Off Site Habitat Baseline'!$D$1:$X$258,14,FALSE))))</f>
        <v/>
      </c>
      <c r="O86" s="524" t="str">
        <f>IF(E86="","",IF(ISNA(VLOOKUP($E86,'D-1 Off Site Habitat Baseline'!$D$1:$X$258,13,FALSE)),"",(VLOOKUP($E86,'D-1 Off Site Habitat Baseline'!$D$1:$X$258,13,FALSE))))</f>
        <v/>
      </c>
      <c r="P86" s="232" t="str">
        <f>IFERROR(INDEX('G-1 All Habitats'!$AG$3:$AG$15,MATCH(Q86,'G-1 All Habitats'!$AF$3:$AF$15,0)),"")</f>
        <v/>
      </c>
      <c r="Q86" s="228" t="str">
        <f t="shared" si="23"/>
        <v/>
      </c>
      <c r="R86" s="229" t="str">
        <f t="shared" si="24"/>
        <v/>
      </c>
      <c r="S86" s="233" t="str">
        <f>IFERROR(INDEX('G-1 All Habitats'!$B$3:$B$129,MATCH(R86,'G-1 All Habitats'!$A$3:$A$129,0)),"")</f>
        <v/>
      </c>
      <c r="T86" s="507" t="str">
        <f t="shared" si="16"/>
        <v/>
      </c>
      <c r="U86" s="524" t="str">
        <f t="shared" si="17"/>
        <v/>
      </c>
      <c r="V86" s="523" t="str">
        <f t="shared" si="14"/>
        <v/>
      </c>
      <c r="W86" s="520" t="str">
        <f>IF(S86="","",VLOOKUP(S86,'G-1 All Habitats'!$B$2:$M$129,10,FALSE))</f>
        <v/>
      </c>
      <c r="X86" s="520" t="str">
        <f>IFERROR(VLOOKUP(W86,'G-1 All Habitats'!$V$3:$W$7,2,FALSE),"")</f>
        <v/>
      </c>
      <c r="Y86" s="203"/>
      <c r="Z86" s="524" t="str">
        <f>IFERROR(INDEX('G-8 Condition Look up'!$A$3:$H$130,MATCH(S86,'G-8 Condition Look up'!$A$3:$A$130,0),MATCH(Y86,'G-8 Condition Look up'!$A$3:$H$3,0)),"")</f>
        <v/>
      </c>
      <c r="AA86" s="145"/>
      <c r="AB86" s="540" t="str">
        <f>IF(AA86="","",IF(VLOOKUP(AA86,'G-3 Multipliers'!$L$3:$N$6,2,FALSE)=0,"Spatial Data Missing ⚠",VLOOKUP(AA86,'G-3 Multipliers'!$L$3:$N$6,2,FALSE)))</f>
        <v/>
      </c>
      <c r="AC86" s="524" t="str">
        <f>IF(AA86="","",IF(VLOOKUP(AA86,'G-3 Multipliers'!$L$3:$N$6,3,FALSE)=0,"Spatial Data Missing ⚠",VLOOKUP(AA86,'G-3 Multipliers'!$L$3:$N$6,3,FALSE)))</f>
        <v/>
      </c>
      <c r="AD86" s="537" t="str">
        <f t="shared" si="15"/>
        <v/>
      </c>
      <c r="AE86" s="203"/>
      <c r="AF86" s="203"/>
      <c r="AG86" s="520" t="str">
        <f t="shared" si="18"/>
        <v/>
      </c>
      <c r="AH86" s="544" t="str">
        <f t="shared" si="19"/>
        <v/>
      </c>
      <c r="AI86" s="525" t="str">
        <f>IF(AH86="Check Data ⚠","Check Data ⚠",IFERROR(VLOOKUP(AH86,'G-4 Temporal multipliers'!$A$4:$C$36,3,FALSE),""))</f>
        <v/>
      </c>
      <c r="AJ86" s="537" t="str">
        <f>IF(S86="","",VLOOKUP(S86,'G-3 Multipliers'!$A$2:$E$129,4,FALSE))</f>
        <v/>
      </c>
      <c r="AK86" s="520" t="str">
        <f t="shared" si="20"/>
        <v/>
      </c>
      <c r="AL86" s="520" t="str">
        <f t="shared" si="21"/>
        <v/>
      </c>
      <c r="AM86" s="524" t="str">
        <f>IFERROR(IF(F86="","",IF(AH86="Check Data ⚠","Check Data ⚠",VLOOKUP(AL86, 'G-3 Multipliers'!$P$2:$Q$6,2,FALSE))),"")</f>
        <v/>
      </c>
      <c r="AN86" s="197"/>
      <c r="AO86" s="540" t="str">
        <f>IF(AN86="","",IF(VLOOKUP(AN86,'G-3 Multipliers'!$S$3:$T$9,2,FALSE)=0,"Spatial Data Missing ⚠",VLOOKUP(AN86,'G-3 Multipliers'!$S$3:$T$9,2,FALSE)))</f>
        <v/>
      </c>
      <c r="AP86" s="513" t="str">
        <f t="shared" si="22"/>
        <v/>
      </c>
      <c r="AQ86" s="231"/>
      <c r="AR86" s="150"/>
    </row>
    <row r="87" spans="1:44" x14ac:dyDescent="0.3">
      <c r="A87" s="31" t="str">
        <f>IF(E87="","",IF(ISNA(VLOOKUP($E87,'D-1 Off Site Habitat Baseline'!$D$1:$O$258,2,FALSE)),"",(VLOOKUP($E87,'D-1 Off Site Habitat Baseline'!$D$1:$O$258,2,FALSE))))</f>
        <v/>
      </c>
      <c r="B87" s="31" t="str">
        <f>IF(E87="","",IF(ISNA(VLOOKUP($E87,'D-1 Off Site Habitat Baseline'!$D$1:$O$258,3,FALSE)),"",(VLOOKUP($E87,'D-1 Off Site Habitat Baseline'!$D$1:$O$258,3,FALSE))))</f>
        <v/>
      </c>
      <c r="C87" s="31" t="str">
        <f>IFERROR(INDEX('G-8 Condition Look up'!$I$4:$I$130,MATCH(S87,'G-8 Condition Look up'!$A$4:$A$130,0)),"")</f>
        <v/>
      </c>
      <c r="E87" s="547" t="str">
        <f>'D-1 Off Site Habitat Baseline'!AL86</f>
        <v/>
      </c>
      <c r="F87" s="520" t="str">
        <f>IF(E87="","",IF(ISNA(VLOOKUP($E87,'D-1 Off Site Habitat Baseline'!$D$1:$O$258,4,FALSE)),"",(VLOOKUP($E87,'D-1 Off Site Habitat Baseline'!$D$1:$O$258,4,FALSE))))</f>
        <v/>
      </c>
      <c r="G87" s="520" t="str">
        <f>IF(E87="","",IF(ISNA(VLOOKUP($E87,'D-1 Off Site Habitat Baseline'!$D$1:$O$258,5,FALSE)),"",(VLOOKUP($E87,'D-1 Off Site Habitat Baseline'!$D$1:$O$258,5,FALSE))))</f>
        <v/>
      </c>
      <c r="H87" s="520" t="str">
        <f>IF(E87="","",IF(ISNA(VLOOKUP($E87,'D-1 Off Site Habitat Baseline'!$D$1:$O$258,6,FALSE)),"",(VLOOKUP($E87,'D-1 Off Site Habitat Baseline'!$D$1:$O$258,6,FALSE))))</f>
        <v/>
      </c>
      <c r="I87" s="520" t="str">
        <f>IF(E87="","",IF(ISNA(VLOOKUP($E87,'D-1 Off Site Habitat Baseline'!$D$1:$O$258,7,FALSE)),"",(VLOOKUP($E87,'D-1 Off Site Habitat Baseline'!$D$1:$O$258,7,FALSE))))</f>
        <v/>
      </c>
      <c r="J87" s="520" t="str">
        <f>IF(E87="","",IF(ISNA(VLOOKUP($E87,'D-1 Off Site Habitat Baseline'!$D$1:$O$258,8,FALSE)),"",(VLOOKUP($E87,'D-1 Off Site Habitat Baseline'!$D$1:$O$258,8,FALSE))))</f>
        <v/>
      </c>
      <c r="K87" s="520" t="str">
        <f>IF(E87="","",IF(ISNA(VLOOKUP($E87,'D-1 Off Site Habitat Baseline'!$D$1:$O$258,9,FALSE)),"",(VLOOKUP($E87,'D-1 Off Site Habitat Baseline'!$D$1:$O$258,9,FALSE))))</f>
        <v/>
      </c>
      <c r="L87" s="520" t="str">
        <f>IF(E87="","",IF(ISNA(VLOOKUP($E87,'D-1 Off Site Habitat Baseline'!$D$1:$O$258,11,FALSE)),"",(VLOOKUP($E87,'D-1 Off Site Habitat Baseline'!$D$1:$O$258,11,FALSE))))</f>
        <v/>
      </c>
      <c r="M87" s="520" t="str">
        <f>IF(E87="","",IF(ISNA(VLOOKUP($E87,'D-1 Off Site Habitat Baseline'!$D$1:$O$258,12,FALSE)),"",(VLOOKUP($E87,'D-1 Off Site Habitat Baseline'!$D$1:$O$258,12,FALSE))))</f>
        <v/>
      </c>
      <c r="N87" s="520" t="str">
        <f>IF(E87="","",IF(ISNA(VLOOKUP($E87,'D-1 Off Site Habitat Baseline'!$D$1:$X$258,14,FALSE)),"",(VLOOKUP($E87,'D-1 Off Site Habitat Baseline'!$D$1:$X$258,14,FALSE))))</f>
        <v/>
      </c>
      <c r="O87" s="524" t="str">
        <f>IF(E87="","",IF(ISNA(VLOOKUP($E87,'D-1 Off Site Habitat Baseline'!$D$1:$X$258,13,FALSE)),"",(VLOOKUP($E87,'D-1 Off Site Habitat Baseline'!$D$1:$X$258,13,FALSE))))</f>
        <v/>
      </c>
      <c r="P87" s="232" t="str">
        <f>IFERROR(INDEX('G-1 All Habitats'!$AG$3:$AG$15,MATCH(Q87,'G-1 All Habitats'!$AF$3:$AF$15,0)),"")</f>
        <v/>
      </c>
      <c r="Q87" s="228" t="str">
        <f t="shared" si="23"/>
        <v/>
      </c>
      <c r="R87" s="229" t="str">
        <f t="shared" si="24"/>
        <v/>
      </c>
      <c r="S87" s="233" t="str">
        <f>IFERROR(INDEX('G-1 All Habitats'!$B$3:$B$129,MATCH(R87,'G-1 All Habitats'!$A$3:$A$129,0)),"")</f>
        <v/>
      </c>
      <c r="T87" s="507" t="str">
        <f t="shared" si="16"/>
        <v/>
      </c>
      <c r="U87" s="524" t="str">
        <f t="shared" si="17"/>
        <v/>
      </c>
      <c r="V87" s="523" t="str">
        <f t="shared" si="14"/>
        <v/>
      </c>
      <c r="W87" s="520" t="str">
        <f>IF(S87="","",VLOOKUP(S87,'G-1 All Habitats'!$B$2:$M$129,10,FALSE))</f>
        <v/>
      </c>
      <c r="X87" s="520" t="str">
        <f>IFERROR(VLOOKUP(W87,'G-1 All Habitats'!$V$3:$W$7,2,FALSE),"")</f>
        <v/>
      </c>
      <c r="Y87" s="203"/>
      <c r="Z87" s="524" t="str">
        <f>IFERROR(INDEX('G-8 Condition Look up'!$A$3:$H$130,MATCH(S87,'G-8 Condition Look up'!$A$3:$A$130,0),MATCH(Y87,'G-8 Condition Look up'!$A$3:$H$3,0)),"")</f>
        <v/>
      </c>
      <c r="AA87" s="145"/>
      <c r="AB87" s="540" t="str">
        <f>IF(AA87="","",IF(VLOOKUP(AA87,'G-3 Multipliers'!$L$3:$N$6,2,FALSE)=0,"Spatial Data Missing ⚠",VLOOKUP(AA87,'G-3 Multipliers'!$L$3:$N$6,2,FALSE)))</f>
        <v/>
      </c>
      <c r="AC87" s="524" t="str">
        <f>IF(AA87="","",IF(VLOOKUP(AA87,'G-3 Multipliers'!$L$3:$N$6,3,FALSE)=0,"Spatial Data Missing ⚠",VLOOKUP(AA87,'G-3 Multipliers'!$L$3:$N$6,3,FALSE)))</f>
        <v/>
      </c>
      <c r="AD87" s="537" t="str">
        <f t="shared" si="15"/>
        <v/>
      </c>
      <c r="AE87" s="203"/>
      <c r="AF87" s="203"/>
      <c r="AG87" s="520" t="str">
        <f t="shared" si="18"/>
        <v/>
      </c>
      <c r="AH87" s="544" t="str">
        <f t="shared" si="19"/>
        <v/>
      </c>
      <c r="AI87" s="525" t="str">
        <f>IF(AH87="Check Data ⚠","Check Data ⚠",IFERROR(VLOOKUP(AH87,'G-4 Temporal multipliers'!$A$4:$C$36,3,FALSE),""))</f>
        <v/>
      </c>
      <c r="AJ87" s="537" t="str">
        <f>IF(S87="","",VLOOKUP(S87,'G-3 Multipliers'!$A$2:$E$129,4,FALSE))</f>
        <v/>
      </c>
      <c r="AK87" s="520" t="str">
        <f t="shared" si="20"/>
        <v/>
      </c>
      <c r="AL87" s="520" t="str">
        <f t="shared" si="21"/>
        <v/>
      </c>
      <c r="AM87" s="524" t="str">
        <f>IFERROR(IF(F87="","",IF(AH87="Check Data ⚠","Check Data ⚠",VLOOKUP(AL87, 'G-3 Multipliers'!$P$2:$Q$6,2,FALSE))),"")</f>
        <v/>
      </c>
      <c r="AN87" s="197"/>
      <c r="AO87" s="540" t="str">
        <f>IF(AN87="","",IF(VLOOKUP(AN87,'G-3 Multipliers'!$S$3:$T$9,2,FALSE)=0,"Spatial Data Missing ⚠",VLOOKUP(AN87,'G-3 Multipliers'!$S$3:$T$9,2,FALSE)))</f>
        <v/>
      </c>
      <c r="AP87" s="513" t="str">
        <f t="shared" si="22"/>
        <v/>
      </c>
      <c r="AQ87" s="231"/>
      <c r="AR87" s="150"/>
    </row>
    <row r="88" spans="1:44" x14ac:dyDescent="0.3">
      <c r="A88" s="31" t="str">
        <f>IF(E88="","",IF(ISNA(VLOOKUP($E88,'D-1 Off Site Habitat Baseline'!$D$1:$O$258,2,FALSE)),"",(VLOOKUP($E88,'D-1 Off Site Habitat Baseline'!$D$1:$O$258,2,FALSE))))</f>
        <v/>
      </c>
      <c r="B88" s="31" t="str">
        <f>IF(E88="","",IF(ISNA(VLOOKUP($E88,'D-1 Off Site Habitat Baseline'!$D$1:$O$258,3,FALSE)),"",(VLOOKUP($E88,'D-1 Off Site Habitat Baseline'!$D$1:$O$258,3,FALSE))))</f>
        <v/>
      </c>
      <c r="C88" s="31" t="str">
        <f>IFERROR(INDEX('G-8 Condition Look up'!$I$4:$I$130,MATCH(S88,'G-8 Condition Look up'!$A$4:$A$130,0)),"")</f>
        <v/>
      </c>
      <c r="E88" s="547" t="str">
        <f>'D-1 Off Site Habitat Baseline'!AL87</f>
        <v/>
      </c>
      <c r="F88" s="520" t="str">
        <f>IF(E88="","",IF(ISNA(VLOOKUP($E88,'D-1 Off Site Habitat Baseline'!$D$1:$O$258,4,FALSE)),"",(VLOOKUP($E88,'D-1 Off Site Habitat Baseline'!$D$1:$O$258,4,FALSE))))</f>
        <v/>
      </c>
      <c r="G88" s="520" t="str">
        <f>IF(E88="","",IF(ISNA(VLOOKUP($E88,'D-1 Off Site Habitat Baseline'!$D$1:$O$258,5,FALSE)),"",(VLOOKUP($E88,'D-1 Off Site Habitat Baseline'!$D$1:$O$258,5,FALSE))))</f>
        <v/>
      </c>
      <c r="H88" s="520" t="str">
        <f>IF(E88="","",IF(ISNA(VLOOKUP($E88,'D-1 Off Site Habitat Baseline'!$D$1:$O$258,6,FALSE)),"",(VLOOKUP($E88,'D-1 Off Site Habitat Baseline'!$D$1:$O$258,6,FALSE))))</f>
        <v/>
      </c>
      <c r="I88" s="520" t="str">
        <f>IF(E88="","",IF(ISNA(VLOOKUP($E88,'D-1 Off Site Habitat Baseline'!$D$1:$O$258,7,FALSE)),"",(VLOOKUP($E88,'D-1 Off Site Habitat Baseline'!$D$1:$O$258,7,FALSE))))</f>
        <v/>
      </c>
      <c r="J88" s="520" t="str">
        <f>IF(E88="","",IF(ISNA(VLOOKUP($E88,'D-1 Off Site Habitat Baseline'!$D$1:$O$258,8,FALSE)),"",(VLOOKUP($E88,'D-1 Off Site Habitat Baseline'!$D$1:$O$258,8,FALSE))))</f>
        <v/>
      </c>
      <c r="K88" s="520" t="str">
        <f>IF(E88="","",IF(ISNA(VLOOKUP($E88,'D-1 Off Site Habitat Baseline'!$D$1:$O$258,9,FALSE)),"",(VLOOKUP($E88,'D-1 Off Site Habitat Baseline'!$D$1:$O$258,9,FALSE))))</f>
        <v/>
      </c>
      <c r="L88" s="520" t="str">
        <f>IF(E88="","",IF(ISNA(VLOOKUP($E88,'D-1 Off Site Habitat Baseline'!$D$1:$O$258,11,FALSE)),"",(VLOOKUP($E88,'D-1 Off Site Habitat Baseline'!$D$1:$O$258,11,FALSE))))</f>
        <v/>
      </c>
      <c r="M88" s="520" t="str">
        <f>IF(E88="","",IF(ISNA(VLOOKUP($E88,'D-1 Off Site Habitat Baseline'!$D$1:$O$258,12,FALSE)),"",(VLOOKUP($E88,'D-1 Off Site Habitat Baseline'!$D$1:$O$258,12,FALSE))))</f>
        <v/>
      </c>
      <c r="N88" s="520" t="str">
        <f>IF(E88="","",IF(ISNA(VLOOKUP($E88,'D-1 Off Site Habitat Baseline'!$D$1:$X$258,14,FALSE)),"",(VLOOKUP($E88,'D-1 Off Site Habitat Baseline'!$D$1:$X$258,14,FALSE))))</f>
        <v/>
      </c>
      <c r="O88" s="524" t="str">
        <f>IF(E88="","",IF(ISNA(VLOOKUP($E88,'D-1 Off Site Habitat Baseline'!$D$1:$X$258,13,FALSE)),"",(VLOOKUP($E88,'D-1 Off Site Habitat Baseline'!$D$1:$X$258,13,FALSE))))</f>
        <v/>
      </c>
      <c r="P88" s="232" t="str">
        <f>IFERROR(INDEX('G-1 All Habitats'!$AG$3:$AG$15,MATCH(Q88,'G-1 All Habitats'!$AF$3:$AF$15,0)),"")</f>
        <v/>
      </c>
      <c r="Q88" s="228" t="str">
        <f t="shared" si="23"/>
        <v/>
      </c>
      <c r="R88" s="229" t="str">
        <f t="shared" si="24"/>
        <v/>
      </c>
      <c r="S88" s="233" t="str">
        <f>IFERROR(INDEX('G-1 All Habitats'!$B$3:$B$129,MATCH(R88,'G-1 All Habitats'!$A$3:$A$129,0)),"")</f>
        <v/>
      </c>
      <c r="T88" s="507" t="str">
        <f t="shared" si="16"/>
        <v/>
      </c>
      <c r="U88" s="524" t="str">
        <f t="shared" si="17"/>
        <v/>
      </c>
      <c r="V88" s="523" t="str">
        <f t="shared" si="14"/>
        <v/>
      </c>
      <c r="W88" s="520" t="str">
        <f>IF(S88="","",VLOOKUP(S88,'G-1 All Habitats'!$B$2:$M$129,10,FALSE))</f>
        <v/>
      </c>
      <c r="X88" s="520" t="str">
        <f>IFERROR(VLOOKUP(W88,'G-1 All Habitats'!$V$3:$W$7,2,FALSE),"")</f>
        <v/>
      </c>
      <c r="Y88" s="203"/>
      <c r="Z88" s="524" t="str">
        <f>IFERROR(INDEX('G-8 Condition Look up'!$A$3:$H$130,MATCH(S88,'G-8 Condition Look up'!$A$3:$A$130,0),MATCH(Y88,'G-8 Condition Look up'!$A$3:$H$3,0)),"")</f>
        <v/>
      </c>
      <c r="AA88" s="145"/>
      <c r="AB88" s="540" t="str">
        <f>IF(AA88="","",IF(VLOOKUP(AA88,'G-3 Multipliers'!$L$3:$N$6,2,FALSE)=0,"Spatial Data Missing ⚠",VLOOKUP(AA88,'G-3 Multipliers'!$L$3:$N$6,2,FALSE)))</f>
        <v/>
      </c>
      <c r="AC88" s="524" t="str">
        <f>IF(AA88="","",IF(VLOOKUP(AA88,'G-3 Multipliers'!$L$3:$N$6,3,FALSE)=0,"Spatial Data Missing ⚠",VLOOKUP(AA88,'G-3 Multipliers'!$L$3:$N$6,3,FALSE)))</f>
        <v/>
      </c>
      <c r="AD88" s="537" t="str">
        <f t="shared" si="15"/>
        <v/>
      </c>
      <c r="AE88" s="203"/>
      <c r="AF88" s="203"/>
      <c r="AG88" s="520" t="str">
        <f t="shared" si="18"/>
        <v/>
      </c>
      <c r="AH88" s="544" t="str">
        <f t="shared" si="19"/>
        <v/>
      </c>
      <c r="AI88" s="525" t="str">
        <f>IF(AH88="Check Data ⚠","Check Data ⚠",IFERROR(VLOOKUP(AH88,'G-4 Temporal multipliers'!$A$4:$C$36,3,FALSE),""))</f>
        <v/>
      </c>
      <c r="AJ88" s="537" t="str">
        <f>IF(S88="","",VLOOKUP(S88,'G-3 Multipliers'!$A$2:$E$129,4,FALSE))</f>
        <v/>
      </c>
      <c r="AK88" s="520" t="str">
        <f t="shared" si="20"/>
        <v/>
      </c>
      <c r="AL88" s="520" t="str">
        <f t="shared" si="21"/>
        <v/>
      </c>
      <c r="AM88" s="524" t="str">
        <f>IFERROR(IF(F88="","",IF(AH88="Check Data ⚠","Check Data ⚠",VLOOKUP(AL88, 'G-3 Multipliers'!$P$2:$Q$6,2,FALSE))),"")</f>
        <v/>
      </c>
      <c r="AN88" s="197"/>
      <c r="AO88" s="540" t="str">
        <f>IF(AN88="","",IF(VLOOKUP(AN88,'G-3 Multipliers'!$S$3:$T$9,2,FALSE)=0,"Spatial Data Missing ⚠",VLOOKUP(AN88,'G-3 Multipliers'!$S$3:$T$9,2,FALSE)))</f>
        <v/>
      </c>
      <c r="AP88" s="513" t="str">
        <f t="shared" si="22"/>
        <v/>
      </c>
      <c r="AQ88" s="231"/>
      <c r="AR88" s="150"/>
    </row>
    <row r="89" spans="1:44" x14ac:dyDescent="0.3">
      <c r="A89" s="31" t="str">
        <f>IF(E89="","",IF(ISNA(VLOOKUP($E89,'D-1 Off Site Habitat Baseline'!$D$1:$O$258,2,FALSE)),"",(VLOOKUP($E89,'D-1 Off Site Habitat Baseline'!$D$1:$O$258,2,FALSE))))</f>
        <v/>
      </c>
      <c r="B89" s="31" t="str">
        <f>IF(E89="","",IF(ISNA(VLOOKUP($E89,'D-1 Off Site Habitat Baseline'!$D$1:$O$258,3,FALSE)),"",(VLOOKUP($E89,'D-1 Off Site Habitat Baseline'!$D$1:$O$258,3,FALSE))))</f>
        <v/>
      </c>
      <c r="C89" s="31" t="str">
        <f>IFERROR(INDEX('G-8 Condition Look up'!$I$4:$I$130,MATCH(S89,'G-8 Condition Look up'!$A$4:$A$130,0)),"")</f>
        <v/>
      </c>
      <c r="E89" s="547" t="str">
        <f>'D-1 Off Site Habitat Baseline'!AL88</f>
        <v/>
      </c>
      <c r="F89" s="520" t="str">
        <f>IF(E89="","",IF(ISNA(VLOOKUP($E89,'D-1 Off Site Habitat Baseline'!$D$1:$O$258,4,FALSE)),"",(VLOOKUP($E89,'D-1 Off Site Habitat Baseline'!$D$1:$O$258,4,FALSE))))</f>
        <v/>
      </c>
      <c r="G89" s="520" t="str">
        <f>IF(E89="","",IF(ISNA(VLOOKUP($E89,'D-1 Off Site Habitat Baseline'!$D$1:$O$258,5,FALSE)),"",(VLOOKUP($E89,'D-1 Off Site Habitat Baseline'!$D$1:$O$258,5,FALSE))))</f>
        <v/>
      </c>
      <c r="H89" s="520" t="str">
        <f>IF(E89="","",IF(ISNA(VLOOKUP($E89,'D-1 Off Site Habitat Baseline'!$D$1:$O$258,6,FALSE)),"",(VLOOKUP($E89,'D-1 Off Site Habitat Baseline'!$D$1:$O$258,6,FALSE))))</f>
        <v/>
      </c>
      <c r="I89" s="520" t="str">
        <f>IF(E89="","",IF(ISNA(VLOOKUP($E89,'D-1 Off Site Habitat Baseline'!$D$1:$O$258,7,FALSE)),"",(VLOOKUP($E89,'D-1 Off Site Habitat Baseline'!$D$1:$O$258,7,FALSE))))</f>
        <v/>
      </c>
      <c r="J89" s="520" t="str">
        <f>IF(E89="","",IF(ISNA(VLOOKUP($E89,'D-1 Off Site Habitat Baseline'!$D$1:$O$258,8,FALSE)),"",(VLOOKUP($E89,'D-1 Off Site Habitat Baseline'!$D$1:$O$258,8,FALSE))))</f>
        <v/>
      </c>
      <c r="K89" s="520" t="str">
        <f>IF(E89="","",IF(ISNA(VLOOKUP($E89,'D-1 Off Site Habitat Baseline'!$D$1:$O$258,9,FALSE)),"",(VLOOKUP($E89,'D-1 Off Site Habitat Baseline'!$D$1:$O$258,9,FALSE))))</f>
        <v/>
      </c>
      <c r="L89" s="520" t="str">
        <f>IF(E89="","",IF(ISNA(VLOOKUP($E89,'D-1 Off Site Habitat Baseline'!$D$1:$O$258,11,FALSE)),"",(VLOOKUP($E89,'D-1 Off Site Habitat Baseline'!$D$1:$O$258,11,FALSE))))</f>
        <v/>
      </c>
      <c r="M89" s="520" t="str">
        <f>IF(E89="","",IF(ISNA(VLOOKUP($E89,'D-1 Off Site Habitat Baseline'!$D$1:$O$258,12,FALSE)),"",(VLOOKUP($E89,'D-1 Off Site Habitat Baseline'!$D$1:$O$258,12,FALSE))))</f>
        <v/>
      </c>
      <c r="N89" s="520" t="str">
        <f>IF(E89="","",IF(ISNA(VLOOKUP($E89,'D-1 Off Site Habitat Baseline'!$D$1:$X$258,14,FALSE)),"",(VLOOKUP($E89,'D-1 Off Site Habitat Baseline'!$D$1:$X$258,14,FALSE))))</f>
        <v/>
      </c>
      <c r="O89" s="524" t="str">
        <f>IF(E89="","",IF(ISNA(VLOOKUP($E89,'D-1 Off Site Habitat Baseline'!$D$1:$X$258,13,FALSE)),"",(VLOOKUP($E89,'D-1 Off Site Habitat Baseline'!$D$1:$X$258,13,FALSE))))</f>
        <v/>
      </c>
      <c r="P89" s="232" t="str">
        <f>IFERROR(INDEX('G-1 All Habitats'!$AG$3:$AG$15,MATCH(Q89,'G-1 All Habitats'!$AF$3:$AF$15,0)),"")</f>
        <v/>
      </c>
      <c r="Q89" s="228" t="str">
        <f t="shared" si="23"/>
        <v/>
      </c>
      <c r="R89" s="229" t="str">
        <f t="shared" si="24"/>
        <v/>
      </c>
      <c r="S89" s="233" t="str">
        <f>IFERROR(INDEX('G-1 All Habitats'!$B$3:$B$129,MATCH(R89,'G-1 All Habitats'!$A$3:$A$129,0)),"")</f>
        <v/>
      </c>
      <c r="T89" s="507" t="str">
        <f t="shared" si="16"/>
        <v/>
      </c>
      <c r="U89" s="524" t="str">
        <f t="shared" si="17"/>
        <v/>
      </c>
      <c r="V89" s="523" t="str">
        <f t="shared" si="14"/>
        <v/>
      </c>
      <c r="W89" s="520" t="str">
        <f>IF(S89="","",VLOOKUP(S89,'G-1 All Habitats'!$B$2:$M$129,10,FALSE))</f>
        <v/>
      </c>
      <c r="X89" s="520" t="str">
        <f>IFERROR(VLOOKUP(W89,'G-1 All Habitats'!$V$3:$W$7,2,FALSE),"")</f>
        <v/>
      </c>
      <c r="Y89" s="203"/>
      <c r="Z89" s="524" t="str">
        <f>IFERROR(INDEX('G-8 Condition Look up'!$A$3:$H$130,MATCH(S89,'G-8 Condition Look up'!$A$3:$A$130,0),MATCH(Y89,'G-8 Condition Look up'!$A$3:$H$3,0)),"")</f>
        <v/>
      </c>
      <c r="AA89" s="145"/>
      <c r="AB89" s="540" t="str">
        <f>IF(AA89="","",IF(VLOOKUP(AA89,'G-3 Multipliers'!$L$3:$N$6,2,FALSE)=0,"Spatial Data Missing ⚠",VLOOKUP(AA89,'G-3 Multipliers'!$L$3:$N$6,2,FALSE)))</f>
        <v/>
      </c>
      <c r="AC89" s="524" t="str">
        <f>IF(AA89="","",IF(VLOOKUP(AA89,'G-3 Multipliers'!$L$3:$N$6,3,FALSE)=0,"Spatial Data Missing ⚠",VLOOKUP(AA89,'G-3 Multipliers'!$L$3:$N$6,3,FALSE)))</f>
        <v/>
      </c>
      <c r="AD89" s="537" t="str">
        <f t="shared" si="15"/>
        <v/>
      </c>
      <c r="AE89" s="203"/>
      <c r="AF89" s="203"/>
      <c r="AG89" s="520" t="str">
        <f t="shared" si="18"/>
        <v/>
      </c>
      <c r="AH89" s="544" t="str">
        <f t="shared" si="19"/>
        <v/>
      </c>
      <c r="AI89" s="525" t="str">
        <f>IF(AH89="Check Data ⚠","Check Data ⚠",IFERROR(VLOOKUP(AH89,'G-4 Temporal multipliers'!$A$4:$C$36,3,FALSE),""))</f>
        <v/>
      </c>
      <c r="AJ89" s="537" t="str">
        <f>IF(S89="","",VLOOKUP(S89,'G-3 Multipliers'!$A$2:$E$129,4,FALSE))</f>
        <v/>
      </c>
      <c r="AK89" s="520" t="str">
        <f t="shared" si="20"/>
        <v/>
      </c>
      <c r="AL89" s="520" t="str">
        <f t="shared" si="21"/>
        <v/>
      </c>
      <c r="AM89" s="524" t="str">
        <f>IFERROR(IF(F89="","",IF(AH89="Check Data ⚠","Check Data ⚠",VLOOKUP(AL89, 'G-3 Multipliers'!$P$2:$Q$6,2,FALSE))),"")</f>
        <v/>
      </c>
      <c r="AN89" s="197"/>
      <c r="AO89" s="540" t="str">
        <f>IF(AN89="","",IF(VLOOKUP(AN89,'G-3 Multipliers'!$S$3:$T$9,2,FALSE)=0,"Spatial Data Missing ⚠",VLOOKUP(AN89,'G-3 Multipliers'!$S$3:$T$9,2,FALSE)))</f>
        <v/>
      </c>
      <c r="AP89" s="513" t="str">
        <f t="shared" si="22"/>
        <v/>
      </c>
      <c r="AQ89" s="231"/>
      <c r="AR89" s="150"/>
    </row>
    <row r="90" spans="1:44" x14ac:dyDescent="0.3">
      <c r="A90" s="31" t="str">
        <f>IF(E90="","",IF(ISNA(VLOOKUP($E90,'D-1 Off Site Habitat Baseline'!$D$1:$O$258,2,FALSE)),"",(VLOOKUP($E90,'D-1 Off Site Habitat Baseline'!$D$1:$O$258,2,FALSE))))</f>
        <v/>
      </c>
      <c r="B90" s="31" t="str">
        <f>IF(E90="","",IF(ISNA(VLOOKUP($E90,'D-1 Off Site Habitat Baseline'!$D$1:$O$258,3,FALSE)),"",(VLOOKUP($E90,'D-1 Off Site Habitat Baseline'!$D$1:$O$258,3,FALSE))))</f>
        <v/>
      </c>
      <c r="C90" s="31" t="str">
        <f>IFERROR(INDEX('G-8 Condition Look up'!$I$4:$I$130,MATCH(S90,'G-8 Condition Look up'!$A$4:$A$130,0)),"")</f>
        <v/>
      </c>
      <c r="E90" s="547" t="str">
        <f>'D-1 Off Site Habitat Baseline'!AL89</f>
        <v/>
      </c>
      <c r="F90" s="520" t="str">
        <f>IF(E90="","",IF(ISNA(VLOOKUP($E90,'D-1 Off Site Habitat Baseline'!$D$1:$O$258,4,FALSE)),"",(VLOOKUP($E90,'D-1 Off Site Habitat Baseline'!$D$1:$O$258,4,FALSE))))</f>
        <v/>
      </c>
      <c r="G90" s="520" t="str">
        <f>IF(E90="","",IF(ISNA(VLOOKUP($E90,'D-1 Off Site Habitat Baseline'!$D$1:$O$258,5,FALSE)),"",(VLOOKUP($E90,'D-1 Off Site Habitat Baseline'!$D$1:$O$258,5,FALSE))))</f>
        <v/>
      </c>
      <c r="H90" s="520" t="str">
        <f>IF(E90="","",IF(ISNA(VLOOKUP($E90,'D-1 Off Site Habitat Baseline'!$D$1:$O$258,6,FALSE)),"",(VLOOKUP($E90,'D-1 Off Site Habitat Baseline'!$D$1:$O$258,6,FALSE))))</f>
        <v/>
      </c>
      <c r="I90" s="520" t="str">
        <f>IF(E90="","",IF(ISNA(VLOOKUP($E90,'D-1 Off Site Habitat Baseline'!$D$1:$O$258,7,FALSE)),"",(VLOOKUP($E90,'D-1 Off Site Habitat Baseline'!$D$1:$O$258,7,FALSE))))</f>
        <v/>
      </c>
      <c r="J90" s="520" t="str">
        <f>IF(E90="","",IF(ISNA(VLOOKUP($E90,'D-1 Off Site Habitat Baseline'!$D$1:$O$258,8,FALSE)),"",(VLOOKUP($E90,'D-1 Off Site Habitat Baseline'!$D$1:$O$258,8,FALSE))))</f>
        <v/>
      </c>
      <c r="K90" s="520" t="str">
        <f>IF(E90="","",IF(ISNA(VLOOKUP($E90,'D-1 Off Site Habitat Baseline'!$D$1:$O$258,9,FALSE)),"",(VLOOKUP($E90,'D-1 Off Site Habitat Baseline'!$D$1:$O$258,9,FALSE))))</f>
        <v/>
      </c>
      <c r="L90" s="520" t="str">
        <f>IF(E90="","",IF(ISNA(VLOOKUP($E90,'D-1 Off Site Habitat Baseline'!$D$1:$O$258,11,FALSE)),"",(VLOOKUP($E90,'D-1 Off Site Habitat Baseline'!$D$1:$O$258,11,FALSE))))</f>
        <v/>
      </c>
      <c r="M90" s="520" t="str">
        <f>IF(E90="","",IF(ISNA(VLOOKUP($E90,'D-1 Off Site Habitat Baseline'!$D$1:$O$258,12,FALSE)),"",(VLOOKUP($E90,'D-1 Off Site Habitat Baseline'!$D$1:$O$258,12,FALSE))))</f>
        <v/>
      </c>
      <c r="N90" s="520" t="str">
        <f>IF(E90="","",IF(ISNA(VLOOKUP($E90,'D-1 Off Site Habitat Baseline'!$D$1:$X$258,14,FALSE)),"",(VLOOKUP($E90,'D-1 Off Site Habitat Baseline'!$D$1:$X$258,14,FALSE))))</f>
        <v/>
      </c>
      <c r="O90" s="524" t="str">
        <f>IF(E90="","",IF(ISNA(VLOOKUP($E90,'D-1 Off Site Habitat Baseline'!$D$1:$X$258,13,FALSE)),"",(VLOOKUP($E90,'D-1 Off Site Habitat Baseline'!$D$1:$X$258,13,FALSE))))</f>
        <v/>
      </c>
      <c r="P90" s="232" t="str">
        <f>IFERROR(INDEX('G-1 All Habitats'!$AG$3:$AG$15,MATCH(Q90,'G-1 All Habitats'!$AF$3:$AF$15,0)),"")</f>
        <v/>
      </c>
      <c r="Q90" s="228" t="str">
        <f t="shared" si="23"/>
        <v/>
      </c>
      <c r="R90" s="229" t="str">
        <f t="shared" si="24"/>
        <v/>
      </c>
      <c r="S90" s="233" t="str">
        <f>IFERROR(INDEX('G-1 All Habitats'!$B$3:$B$129,MATCH(R90,'G-1 All Habitats'!$A$3:$A$129,0)),"")</f>
        <v/>
      </c>
      <c r="T90" s="507" t="str">
        <f t="shared" si="16"/>
        <v/>
      </c>
      <c r="U90" s="524" t="str">
        <f t="shared" si="17"/>
        <v/>
      </c>
      <c r="V90" s="523" t="str">
        <f t="shared" si="14"/>
        <v/>
      </c>
      <c r="W90" s="520" t="str">
        <f>IF(S90="","",VLOOKUP(S90,'G-1 All Habitats'!$B$2:$M$129,10,FALSE))</f>
        <v/>
      </c>
      <c r="X90" s="520" t="str">
        <f>IFERROR(VLOOKUP(W90,'G-1 All Habitats'!$V$3:$W$7,2,FALSE),"")</f>
        <v/>
      </c>
      <c r="Y90" s="203"/>
      <c r="Z90" s="524" t="str">
        <f>IFERROR(INDEX('G-8 Condition Look up'!$A$3:$H$130,MATCH(S90,'G-8 Condition Look up'!$A$3:$A$130,0),MATCH(Y90,'G-8 Condition Look up'!$A$3:$H$3,0)),"")</f>
        <v/>
      </c>
      <c r="AA90" s="145"/>
      <c r="AB90" s="540" t="str">
        <f>IF(AA90="","",IF(VLOOKUP(AA90,'G-3 Multipliers'!$L$3:$N$6,2,FALSE)=0,"Spatial Data Missing ⚠",VLOOKUP(AA90,'G-3 Multipliers'!$L$3:$N$6,2,FALSE)))</f>
        <v/>
      </c>
      <c r="AC90" s="524" t="str">
        <f>IF(AA90="","",IF(VLOOKUP(AA90,'G-3 Multipliers'!$L$3:$N$6,3,FALSE)=0,"Spatial Data Missing ⚠",VLOOKUP(AA90,'G-3 Multipliers'!$L$3:$N$6,3,FALSE)))</f>
        <v/>
      </c>
      <c r="AD90" s="537" t="str">
        <f t="shared" si="15"/>
        <v/>
      </c>
      <c r="AE90" s="203"/>
      <c r="AF90" s="203"/>
      <c r="AG90" s="520" t="str">
        <f t="shared" si="18"/>
        <v/>
      </c>
      <c r="AH90" s="544" t="str">
        <f t="shared" si="19"/>
        <v/>
      </c>
      <c r="AI90" s="525" t="str">
        <f>IF(AH90="Check Data ⚠","Check Data ⚠",IFERROR(VLOOKUP(AH90,'G-4 Temporal multipliers'!$A$4:$C$36,3,FALSE),""))</f>
        <v/>
      </c>
      <c r="AJ90" s="537" t="str">
        <f>IF(S90="","",VLOOKUP(S90,'G-3 Multipliers'!$A$2:$E$129,4,FALSE))</f>
        <v/>
      </c>
      <c r="AK90" s="520" t="str">
        <f t="shared" si="20"/>
        <v/>
      </c>
      <c r="AL90" s="520" t="str">
        <f t="shared" si="21"/>
        <v/>
      </c>
      <c r="AM90" s="524" t="str">
        <f>IFERROR(IF(F90="","",IF(AH90="Check Data ⚠","Check Data ⚠",VLOOKUP(AL90, 'G-3 Multipliers'!$P$2:$Q$6,2,FALSE))),"")</f>
        <v/>
      </c>
      <c r="AN90" s="197"/>
      <c r="AO90" s="540" t="str">
        <f>IF(AN90="","",IF(VLOOKUP(AN90,'G-3 Multipliers'!$S$3:$T$9,2,FALSE)=0,"Spatial Data Missing ⚠",VLOOKUP(AN90,'G-3 Multipliers'!$S$3:$T$9,2,FALSE)))</f>
        <v/>
      </c>
      <c r="AP90" s="513" t="str">
        <f t="shared" si="22"/>
        <v/>
      </c>
      <c r="AQ90" s="231"/>
      <c r="AR90" s="150"/>
    </row>
    <row r="91" spans="1:44" x14ac:dyDescent="0.3">
      <c r="A91" s="31" t="str">
        <f>IF(E91="","",IF(ISNA(VLOOKUP($E91,'D-1 Off Site Habitat Baseline'!$D$1:$O$258,2,FALSE)),"",(VLOOKUP($E91,'D-1 Off Site Habitat Baseline'!$D$1:$O$258,2,FALSE))))</f>
        <v/>
      </c>
      <c r="B91" s="31" t="str">
        <f>IF(E91="","",IF(ISNA(VLOOKUP($E91,'D-1 Off Site Habitat Baseline'!$D$1:$O$258,3,FALSE)),"",(VLOOKUP($E91,'D-1 Off Site Habitat Baseline'!$D$1:$O$258,3,FALSE))))</f>
        <v/>
      </c>
      <c r="C91" s="31" t="str">
        <f>IFERROR(INDEX('G-8 Condition Look up'!$I$4:$I$130,MATCH(S91,'G-8 Condition Look up'!$A$4:$A$130,0)),"")</f>
        <v/>
      </c>
      <c r="E91" s="547" t="str">
        <f>'D-1 Off Site Habitat Baseline'!AL90</f>
        <v/>
      </c>
      <c r="F91" s="520" t="str">
        <f>IF(E91="","",IF(ISNA(VLOOKUP($E91,'D-1 Off Site Habitat Baseline'!$D$1:$O$258,4,FALSE)),"",(VLOOKUP($E91,'D-1 Off Site Habitat Baseline'!$D$1:$O$258,4,FALSE))))</f>
        <v/>
      </c>
      <c r="G91" s="520" t="str">
        <f>IF(E91="","",IF(ISNA(VLOOKUP($E91,'D-1 Off Site Habitat Baseline'!$D$1:$O$258,5,FALSE)),"",(VLOOKUP($E91,'D-1 Off Site Habitat Baseline'!$D$1:$O$258,5,FALSE))))</f>
        <v/>
      </c>
      <c r="H91" s="520" t="str">
        <f>IF(E91="","",IF(ISNA(VLOOKUP($E91,'D-1 Off Site Habitat Baseline'!$D$1:$O$258,6,FALSE)),"",(VLOOKUP($E91,'D-1 Off Site Habitat Baseline'!$D$1:$O$258,6,FALSE))))</f>
        <v/>
      </c>
      <c r="I91" s="520" t="str">
        <f>IF(E91="","",IF(ISNA(VLOOKUP($E91,'D-1 Off Site Habitat Baseline'!$D$1:$O$258,7,FALSE)),"",(VLOOKUP($E91,'D-1 Off Site Habitat Baseline'!$D$1:$O$258,7,FALSE))))</f>
        <v/>
      </c>
      <c r="J91" s="520" t="str">
        <f>IF(E91="","",IF(ISNA(VLOOKUP($E91,'D-1 Off Site Habitat Baseline'!$D$1:$O$258,8,FALSE)),"",(VLOOKUP($E91,'D-1 Off Site Habitat Baseline'!$D$1:$O$258,8,FALSE))))</f>
        <v/>
      </c>
      <c r="K91" s="520" t="str">
        <f>IF(E91="","",IF(ISNA(VLOOKUP($E91,'D-1 Off Site Habitat Baseline'!$D$1:$O$258,9,FALSE)),"",(VLOOKUP($E91,'D-1 Off Site Habitat Baseline'!$D$1:$O$258,9,FALSE))))</f>
        <v/>
      </c>
      <c r="L91" s="520" t="str">
        <f>IF(E91="","",IF(ISNA(VLOOKUP($E91,'D-1 Off Site Habitat Baseline'!$D$1:$O$258,11,FALSE)),"",(VLOOKUP($E91,'D-1 Off Site Habitat Baseline'!$D$1:$O$258,11,FALSE))))</f>
        <v/>
      </c>
      <c r="M91" s="520" t="str">
        <f>IF(E91="","",IF(ISNA(VLOOKUP($E91,'D-1 Off Site Habitat Baseline'!$D$1:$O$258,12,FALSE)),"",(VLOOKUP($E91,'D-1 Off Site Habitat Baseline'!$D$1:$O$258,12,FALSE))))</f>
        <v/>
      </c>
      <c r="N91" s="520" t="str">
        <f>IF(E91="","",IF(ISNA(VLOOKUP($E91,'D-1 Off Site Habitat Baseline'!$D$1:$X$258,14,FALSE)),"",(VLOOKUP($E91,'D-1 Off Site Habitat Baseline'!$D$1:$X$258,14,FALSE))))</f>
        <v/>
      </c>
      <c r="O91" s="524" t="str">
        <f>IF(E91="","",IF(ISNA(VLOOKUP($E91,'D-1 Off Site Habitat Baseline'!$D$1:$X$258,13,FALSE)),"",(VLOOKUP($E91,'D-1 Off Site Habitat Baseline'!$D$1:$X$258,13,FALSE))))</f>
        <v/>
      </c>
      <c r="P91" s="232" t="str">
        <f>IFERROR(INDEX('G-1 All Habitats'!$AG$3:$AG$15,MATCH(Q91,'G-1 All Habitats'!$AF$3:$AF$15,0)),"")</f>
        <v/>
      </c>
      <c r="Q91" s="228" t="str">
        <f t="shared" si="23"/>
        <v/>
      </c>
      <c r="R91" s="229" t="str">
        <f t="shared" si="24"/>
        <v/>
      </c>
      <c r="S91" s="233" t="str">
        <f>IFERROR(INDEX('G-1 All Habitats'!$B$3:$B$129,MATCH(R91,'G-1 All Habitats'!$A$3:$A$129,0)),"")</f>
        <v/>
      </c>
      <c r="T91" s="507" t="str">
        <f t="shared" si="16"/>
        <v/>
      </c>
      <c r="U91" s="524" t="str">
        <f t="shared" si="17"/>
        <v/>
      </c>
      <c r="V91" s="523" t="str">
        <f t="shared" si="14"/>
        <v/>
      </c>
      <c r="W91" s="520" t="str">
        <f>IF(S91="","",VLOOKUP(S91,'G-1 All Habitats'!$B$2:$M$129,10,FALSE))</f>
        <v/>
      </c>
      <c r="X91" s="520" t="str">
        <f>IFERROR(VLOOKUP(W91,'G-1 All Habitats'!$V$3:$W$7,2,FALSE),"")</f>
        <v/>
      </c>
      <c r="Y91" s="203"/>
      <c r="Z91" s="524" t="str">
        <f>IFERROR(INDEX('G-8 Condition Look up'!$A$3:$H$130,MATCH(S91,'G-8 Condition Look up'!$A$3:$A$130,0),MATCH(Y91,'G-8 Condition Look up'!$A$3:$H$3,0)),"")</f>
        <v/>
      </c>
      <c r="AA91" s="145"/>
      <c r="AB91" s="540" t="str">
        <f>IF(AA91="","",IF(VLOOKUP(AA91,'G-3 Multipliers'!$L$3:$N$6,2,FALSE)=0,"Spatial Data Missing ⚠",VLOOKUP(AA91,'G-3 Multipliers'!$L$3:$N$6,2,FALSE)))</f>
        <v/>
      </c>
      <c r="AC91" s="524" t="str">
        <f>IF(AA91="","",IF(VLOOKUP(AA91,'G-3 Multipliers'!$L$3:$N$6,3,FALSE)=0,"Spatial Data Missing ⚠",VLOOKUP(AA91,'G-3 Multipliers'!$L$3:$N$6,3,FALSE)))</f>
        <v/>
      </c>
      <c r="AD91" s="537" t="str">
        <f t="shared" si="15"/>
        <v/>
      </c>
      <c r="AE91" s="203"/>
      <c r="AF91" s="203"/>
      <c r="AG91" s="520" t="str">
        <f t="shared" si="18"/>
        <v/>
      </c>
      <c r="AH91" s="544" t="str">
        <f t="shared" si="19"/>
        <v/>
      </c>
      <c r="AI91" s="525" t="str">
        <f>IF(AH91="Check Data ⚠","Check Data ⚠",IFERROR(VLOOKUP(AH91,'G-4 Temporal multipliers'!$A$4:$C$36,3,FALSE),""))</f>
        <v/>
      </c>
      <c r="AJ91" s="537" t="str">
        <f>IF(S91="","",VLOOKUP(S91,'G-3 Multipliers'!$A$2:$E$129,4,FALSE))</f>
        <v/>
      </c>
      <c r="AK91" s="520" t="str">
        <f t="shared" si="20"/>
        <v/>
      </c>
      <c r="AL91" s="520" t="str">
        <f t="shared" si="21"/>
        <v/>
      </c>
      <c r="AM91" s="524" t="str">
        <f>IFERROR(IF(F91="","",IF(AH91="Check Data ⚠","Check Data ⚠",VLOOKUP(AL91, 'G-3 Multipliers'!$P$2:$Q$6,2,FALSE))),"")</f>
        <v/>
      </c>
      <c r="AN91" s="197"/>
      <c r="AO91" s="540" t="str">
        <f>IF(AN91="","",IF(VLOOKUP(AN91,'G-3 Multipliers'!$S$3:$T$9,2,FALSE)=0,"Spatial Data Missing ⚠",VLOOKUP(AN91,'G-3 Multipliers'!$S$3:$T$9,2,FALSE)))</f>
        <v/>
      </c>
      <c r="AP91" s="513" t="str">
        <f t="shared" si="22"/>
        <v/>
      </c>
      <c r="AQ91" s="231"/>
      <c r="AR91" s="150"/>
    </row>
    <row r="92" spans="1:44" x14ac:dyDescent="0.3">
      <c r="A92" s="31" t="str">
        <f>IF(E92="","",IF(ISNA(VLOOKUP($E92,'D-1 Off Site Habitat Baseline'!$D$1:$O$258,2,FALSE)),"",(VLOOKUP($E92,'D-1 Off Site Habitat Baseline'!$D$1:$O$258,2,FALSE))))</f>
        <v/>
      </c>
      <c r="B92" s="31" t="str">
        <f>IF(E92="","",IF(ISNA(VLOOKUP($E92,'D-1 Off Site Habitat Baseline'!$D$1:$O$258,3,FALSE)),"",(VLOOKUP($E92,'D-1 Off Site Habitat Baseline'!$D$1:$O$258,3,FALSE))))</f>
        <v/>
      </c>
      <c r="C92" s="31" t="str">
        <f>IFERROR(INDEX('G-8 Condition Look up'!$I$4:$I$130,MATCH(S92,'G-8 Condition Look up'!$A$4:$A$130,0)),"")</f>
        <v/>
      </c>
      <c r="E92" s="547" t="str">
        <f>'D-1 Off Site Habitat Baseline'!AL91</f>
        <v/>
      </c>
      <c r="F92" s="520" t="str">
        <f>IF(E92="","",IF(ISNA(VLOOKUP($E92,'D-1 Off Site Habitat Baseline'!$D$1:$O$258,4,FALSE)),"",(VLOOKUP($E92,'D-1 Off Site Habitat Baseline'!$D$1:$O$258,4,FALSE))))</f>
        <v/>
      </c>
      <c r="G92" s="520" t="str">
        <f>IF(E92="","",IF(ISNA(VLOOKUP($E92,'D-1 Off Site Habitat Baseline'!$D$1:$O$258,5,FALSE)),"",(VLOOKUP($E92,'D-1 Off Site Habitat Baseline'!$D$1:$O$258,5,FALSE))))</f>
        <v/>
      </c>
      <c r="H92" s="520" t="str">
        <f>IF(E92="","",IF(ISNA(VLOOKUP($E92,'D-1 Off Site Habitat Baseline'!$D$1:$O$258,6,FALSE)),"",(VLOOKUP($E92,'D-1 Off Site Habitat Baseline'!$D$1:$O$258,6,FALSE))))</f>
        <v/>
      </c>
      <c r="I92" s="520" t="str">
        <f>IF(E92="","",IF(ISNA(VLOOKUP($E92,'D-1 Off Site Habitat Baseline'!$D$1:$O$258,7,FALSE)),"",(VLOOKUP($E92,'D-1 Off Site Habitat Baseline'!$D$1:$O$258,7,FALSE))))</f>
        <v/>
      </c>
      <c r="J92" s="520" t="str">
        <f>IF(E92="","",IF(ISNA(VLOOKUP($E92,'D-1 Off Site Habitat Baseline'!$D$1:$O$258,8,FALSE)),"",(VLOOKUP($E92,'D-1 Off Site Habitat Baseline'!$D$1:$O$258,8,FALSE))))</f>
        <v/>
      </c>
      <c r="K92" s="520" t="str">
        <f>IF(E92="","",IF(ISNA(VLOOKUP($E92,'D-1 Off Site Habitat Baseline'!$D$1:$O$258,9,FALSE)),"",(VLOOKUP($E92,'D-1 Off Site Habitat Baseline'!$D$1:$O$258,9,FALSE))))</f>
        <v/>
      </c>
      <c r="L92" s="520" t="str">
        <f>IF(E92="","",IF(ISNA(VLOOKUP($E92,'D-1 Off Site Habitat Baseline'!$D$1:$O$258,11,FALSE)),"",(VLOOKUP($E92,'D-1 Off Site Habitat Baseline'!$D$1:$O$258,11,FALSE))))</f>
        <v/>
      </c>
      <c r="M92" s="520" t="str">
        <f>IF(E92="","",IF(ISNA(VLOOKUP($E92,'D-1 Off Site Habitat Baseline'!$D$1:$O$258,12,FALSE)),"",(VLOOKUP($E92,'D-1 Off Site Habitat Baseline'!$D$1:$O$258,12,FALSE))))</f>
        <v/>
      </c>
      <c r="N92" s="520" t="str">
        <f>IF(E92="","",IF(ISNA(VLOOKUP($E92,'D-1 Off Site Habitat Baseline'!$D$1:$X$258,14,FALSE)),"",(VLOOKUP($E92,'D-1 Off Site Habitat Baseline'!$D$1:$X$258,14,FALSE))))</f>
        <v/>
      </c>
      <c r="O92" s="524" t="str">
        <f>IF(E92="","",IF(ISNA(VLOOKUP($E92,'D-1 Off Site Habitat Baseline'!$D$1:$X$258,13,FALSE)),"",(VLOOKUP($E92,'D-1 Off Site Habitat Baseline'!$D$1:$X$258,13,FALSE))))</f>
        <v/>
      </c>
      <c r="P92" s="232" t="str">
        <f>IFERROR(INDEX('G-1 All Habitats'!$AG$3:$AG$15,MATCH(Q92,'G-1 All Habitats'!$AF$3:$AF$15,0)),"")</f>
        <v/>
      </c>
      <c r="Q92" s="228" t="str">
        <f t="shared" si="23"/>
        <v/>
      </c>
      <c r="R92" s="229" t="str">
        <f t="shared" si="24"/>
        <v/>
      </c>
      <c r="S92" s="233" t="str">
        <f>IFERROR(INDEX('G-1 All Habitats'!$B$3:$B$129,MATCH(R92,'G-1 All Habitats'!$A$3:$A$129,0)),"")</f>
        <v/>
      </c>
      <c r="T92" s="507" t="str">
        <f t="shared" si="16"/>
        <v/>
      </c>
      <c r="U92" s="524" t="str">
        <f t="shared" si="17"/>
        <v/>
      </c>
      <c r="V92" s="523" t="str">
        <f t="shared" si="14"/>
        <v/>
      </c>
      <c r="W92" s="520" t="str">
        <f>IF(S92="","",VLOOKUP(S92,'G-1 All Habitats'!$B$2:$M$129,10,FALSE))</f>
        <v/>
      </c>
      <c r="X92" s="520" t="str">
        <f>IFERROR(VLOOKUP(W92,'G-1 All Habitats'!$V$3:$W$7,2,FALSE),"")</f>
        <v/>
      </c>
      <c r="Y92" s="203"/>
      <c r="Z92" s="524" t="str">
        <f>IFERROR(INDEX('G-8 Condition Look up'!$A$3:$H$130,MATCH(S92,'G-8 Condition Look up'!$A$3:$A$130,0),MATCH(Y92,'G-8 Condition Look up'!$A$3:$H$3,0)),"")</f>
        <v/>
      </c>
      <c r="AA92" s="145"/>
      <c r="AB92" s="540" t="str">
        <f>IF(AA92="","",IF(VLOOKUP(AA92,'G-3 Multipliers'!$L$3:$N$6,2,FALSE)=0,"Spatial Data Missing ⚠",VLOOKUP(AA92,'G-3 Multipliers'!$L$3:$N$6,2,FALSE)))</f>
        <v/>
      </c>
      <c r="AC92" s="524" t="str">
        <f>IF(AA92="","",IF(VLOOKUP(AA92,'G-3 Multipliers'!$L$3:$N$6,3,FALSE)=0,"Spatial Data Missing ⚠",VLOOKUP(AA92,'G-3 Multipliers'!$L$3:$N$6,3,FALSE)))</f>
        <v/>
      </c>
      <c r="AD92" s="537" t="str">
        <f t="shared" si="15"/>
        <v/>
      </c>
      <c r="AE92" s="203"/>
      <c r="AF92" s="203"/>
      <c r="AG92" s="520" t="str">
        <f t="shared" si="18"/>
        <v/>
      </c>
      <c r="AH92" s="544" t="str">
        <f t="shared" si="19"/>
        <v/>
      </c>
      <c r="AI92" s="525" t="str">
        <f>IF(AH92="Check Data ⚠","Check Data ⚠",IFERROR(VLOOKUP(AH92,'G-4 Temporal multipliers'!$A$4:$C$36,3,FALSE),""))</f>
        <v/>
      </c>
      <c r="AJ92" s="537" t="str">
        <f>IF(S92="","",VLOOKUP(S92,'G-3 Multipliers'!$A$2:$E$129,4,FALSE))</f>
        <v/>
      </c>
      <c r="AK92" s="520" t="str">
        <f t="shared" si="20"/>
        <v/>
      </c>
      <c r="AL92" s="520" t="str">
        <f t="shared" si="21"/>
        <v/>
      </c>
      <c r="AM92" s="524" t="str">
        <f>IFERROR(IF(F92="","",IF(AH92="Check Data ⚠","Check Data ⚠",VLOOKUP(AL92, 'G-3 Multipliers'!$P$2:$Q$6,2,FALSE))),"")</f>
        <v/>
      </c>
      <c r="AN92" s="197"/>
      <c r="AO92" s="540" t="str">
        <f>IF(AN92="","",IF(VLOOKUP(AN92,'G-3 Multipliers'!$S$3:$T$9,2,FALSE)=0,"Spatial Data Missing ⚠",VLOOKUP(AN92,'G-3 Multipliers'!$S$3:$T$9,2,FALSE)))</f>
        <v/>
      </c>
      <c r="AP92" s="513" t="str">
        <f t="shared" si="22"/>
        <v/>
      </c>
      <c r="AQ92" s="231"/>
      <c r="AR92" s="150"/>
    </row>
    <row r="93" spans="1:44" x14ac:dyDescent="0.3">
      <c r="A93" s="31" t="str">
        <f>IF(E93="","",IF(ISNA(VLOOKUP($E93,'D-1 Off Site Habitat Baseline'!$D$1:$O$258,2,FALSE)),"",(VLOOKUP($E93,'D-1 Off Site Habitat Baseline'!$D$1:$O$258,2,FALSE))))</f>
        <v/>
      </c>
      <c r="B93" s="31" t="str">
        <f>IF(E93="","",IF(ISNA(VLOOKUP($E93,'D-1 Off Site Habitat Baseline'!$D$1:$O$258,3,FALSE)),"",(VLOOKUP($E93,'D-1 Off Site Habitat Baseline'!$D$1:$O$258,3,FALSE))))</f>
        <v/>
      </c>
      <c r="C93" s="31" t="str">
        <f>IFERROR(INDEX('G-8 Condition Look up'!$I$4:$I$130,MATCH(S93,'G-8 Condition Look up'!$A$4:$A$130,0)),"")</f>
        <v/>
      </c>
      <c r="E93" s="547" t="str">
        <f>'D-1 Off Site Habitat Baseline'!AL92</f>
        <v/>
      </c>
      <c r="F93" s="520" t="str">
        <f>IF(E93="","",IF(ISNA(VLOOKUP($E93,'D-1 Off Site Habitat Baseline'!$D$1:$O$258,4,FALSE)),"",(VLOOKUP($E93,'D-1 Off Site Habitat Baseline'!$D$1:$O$258,4,FALSE))))</f>
        <v/>
      </c>
      <c r="G93" s="520" t="str">
        <f>IF(E93="","",IF(ISNA(VLOOKUP($E93,'D-1 Off Site Habitat Baseline'!$D$1:$O$258,5,FALSE)),"",(VLOOKUP($E93,'D-1 Off Site Habitat Baseline'!$D$1:$O$258,5,FALSE))))</f>
        <v/>
      </c>
      <c r="H93" s="520" t="str">
        <f>IF(E93="","",IF(ISNA(VLOOKUP($E93,'D-1 Off Site Habitat Baseline'!$D$1:$O$258,6,FALSE)),"",(VLOOKUP($E93,'D-1 Off Site Habitat Baseline'!$D$1:$O$258,6,FALSE))))</f>
        <v/>
      </c>
      <c r="I93" s="520" t="str">
        <f>IF(E93="","",IF(ISNA(VLOOKUP($E93,'D-1 Off Site Habitat Baseline'!$D$1:$O$258,7,FALSE)),"",(VLOOKUP($E93,'D-1 Off Site Habitat Baseline'!$D$1:$O$258,7,FALSE))))</f>
        <v/>
      </c>
      <c r="J93" s="520" t="str">
        <f>IF(E93="","",IF(ISNA(VLOOKUP($E93,'D-1 Off Site Habitat Baseline'!$D$1:$O$258,8,FALSE)),"",(VLOOKUP($E93,'D-1 Off Site Habitat Baseline'!$D$1:$O$258,8,FALSE))))</f>
        <v/>
      </c>
      <c r="K93" s="520" t="str">
        <f>IF(E93="","",IF(ISNA(VLOOKUP($E93,'D-1 Off Site Habitat Baseline'!$D$1:$O$258,9,FALSE)),"",(VLOOKUP($E93,'D-1 Off Site Habitat Baseline'!$D$1:$O$258,9,FALSE))))</f>
        <v/>
      </c>
      <c r="L93" s="520" t="str">
        <f>IF(E93="","",IF(ISNA(VLOOKUP($E93,'D-1 Off Site Habitat Baseline'!$D$1:$O$258,11,FALSE)),"",(VLOOKUP($E93,'D-1 Off Site Habitat Baseline'!$D$1:$O$258,11,FALSE))))</f>
        <v/>
      </c>
      <c r="M93" s="520" t="str">
        <f>IF(E93="","",IF(ISNA(VLOOKUP($E93,'D-1 Off Site Habitat Baseline'!$D$1:$O$258,12,FALSE)),"",(VLOOKUP($E93,'D-1 Off Site Habitat Baseline'!$D$1:$O$258,12,FALSE))))</f>
        <v/>
      </c>
      <c r="N93" s="520" t="str">
        <f>IF(E93="","",IF(ISNA(VLOOKUP($E93,'D-1 Off Site Habitat Baseline'!$D$1:$X$258,14,FALSE)),"",(VLOOKUP($E93,'D-1 Off Site Habitat Baseline'!$D$1:$X$258,14,FALSE))))</f>
        <v/>
      </c>
      <c r="O93" s="524" t="str">
        <f>IF(E93="","",IF(ISNA(VLOOKUP($E93,'D-1 Off Site Habitat Baseline'!$D$1:$X$258,13,FALSE)),"",(VLOOKUP($E93,'D-1 Off Site Habitat Baseline'!$D$1:$X$258,13,FALSE))))</f>
        <v/>
      </c>
      <c r="P93" s="232" t="str">
        <f>IFERROR(INDEX('G-1 All Habitats'!$AG$3:$AG$15,MATCH(Q93,'G-1 All Habitats'!$AF$3:$AF$15,0)),"")</f>
        <v/>
      </c>
      <c r="Q93" s="228" t="str">
        <f t="shared" si="23"/>
        <v/>
      </c>
      <c r="R93" s="229" t="str">
        <f t="shared" si="24"/>
        <v/>
      </c>
      <c r="S93" s="233" t="str">
        <f>IFERROR(INDEX('G-1 All Habitats'!$B$3:$B$129,MATCH(R93,'G-1 All Habitats'!$A$3:$A$129,0)),"")</f>
        <v/>
      </c>
      <c r="T93" s="507" t="str">
        <f t="shared" si="16"/>
        <v/>
      </c>
      <c r="U93" s="524" t="str">
        <f t="shared" si="17"/>
        <v/>
      </c>
      <c r="V93" s="523" t="str">
        <f t="shared" si="14"/>
        <v/>
      </c>
      <c r="W93" s="520" t="str">
        <f>IF(S93="","",VLOOKUP(S93,'G-1 All Habitats'!$B$2:$M$129,10,FALSE))</f>
        <v/>
      </c>
      <c r="X93" s="520" t="str">
        <f>IFERROR(VLOOKUP(W93,'G-1 All Habitats'!$V$3:$W$7,2,FALSE),"")</f>
        <v/>
      </c>
      <c r="Y93" s="203"/>
      <c r="Z93" s="524" t="str">
        <f>IFERROR(INDEX('G-8 Condition Look up'!$A$3:$H$130,MATCH(S93,'G-8 Condition Look up'!$A$3:$A$130,0),MATCH(Y93,'G-8 Condition Look up'!$A$3:$H$3,0)),"")</f>
        <v/>
      </c>
      <c r="AA93" s="145"/>
      <c r="AB93" s="540" t="str">
        <f>IF(AA93="","",IF(VLOOKUP(AA93,'G-3 Multipliers'!$L$3:$N$6,2,FALSE)=0,"Spatial Data Missing ⚠",VLOOKUP(AA93,'G-3 Multipliers'!$L$3:$N$6,2,FALSE)))</f>
        <v/>
      </c>
      <c r="AC93" s="524" t="str">
        <f>IF(AA93="","",IF(VLOOKUP(AA93,'G-3 Multipliers'!$L$3:$N$6,3,FALSE)=0,"Spatial Data Missing ⚠",VLOOKUP(AA93,'G-3 Multipliers'!$L$3:$N$6,3,FALSE)))</f>
        <v/>
      </c>
      <c r="AD93" s="537" t="str">
        <f t="shared" si="15"/>
        <v/>
      </c>
      <c r="AE93" s="203"/>
      <c r="AF93" s="203"/>
      <c r="AG93" s="520" t="str">
        <f t="shared" si="18"/>
        <v/>
      </c>
      <c r="AH93" s="544" t="str">
        <f t="shared" si="19"/>
        <v/>
      </c>
      <c r="AI93" s="525" t="str">
        <f>IF(AH93="Check Data ⚠","Check Data ⚠",IFERROR(VLOOKUP(AH93,'G-4 Temporal multipliers'!$A$4:$C$36,3,FALSE),""))</f>
        <v/>
      </c>
      <c r="AJ93" s="537" t="str">
        <f>IF(S93="","",VLOOKUP(S93,'G-3 Multipliers'!$A$2:$E$129,4,FALSE))</f>
        <v/>
      </c>
      <c r="AK93" s="520" t="str">
        <f t="shared" si="20"/>
        <v/>
      </c>
      <c r="AL93" s="520" t="str">
        <f t="shared" si="21"/>
        <v/>
      </c>
      <c r="AM93" s="524" t="str">
        <f>IFERROR(IF(F93="","",IF(AH93="Check Data ⚠","Check Data ⚠",VLOOKUP(AL93, 'G-3 Multipliers'!$P$2:$Q$6,2,FALSE))),"")</f>
        <v/>
      </c>
      <c r="AN93" s="197"/>
      <c r="AO93" s="540" t="str">
        <f>IF(AN93="","",IF(VLOOKUP(AN93,'G-3 Multipliers'!$S$3:$T$9,2,FALSE)=0,"Spatial Data Missing ⚠",VLOOKUP(AN93,'G-3 Multipliers'!$S$3:$T$9,2,FALSE)))</f>
        <v/>
      </c>
      <c r="AP93" s="513" t="str">
        <f t="shared" si="22"/>
        <v/>
      </c>
      <c r="AQ93" s="231"/>
      <c r="AR93" s="150"/>
    </row>
    <row r="94" spans="1:44" x14ac:dyDescent="0.3">
      <c r="A94" s="31" t="str">
        <f>IF(E94="","",IF(ISNA(VLOOKUP($E94,'D-1 Off Site Habitat Baseline'!$D$1:$O$258,2,FALSE)),"",(VLOOKUP($E94,'D-1 Off Site Habitat Baseline'!$D$1:$O$258,2,FALSE))))</f>
        <v/>
      </c>
      <c r="B94" s="31" t="str">
        <f>IF(E94="","",IF(ISNA(VLOOKUP($E94,'D-1 Off Site Habitat Baseline'!$D$1:$O$258,3,FALSE)),"",(VLOOKUP($E94,'D-1 Off Site Habitat Baseline'!$D$1:$O$258,3,FALSE))))</f>
        <v/>
      </c>
      <c r="C94" s="31" t="str">
        <f>IFERROR(INDEX('G-8 Condition Look up'!$I$4:$I$130,MATCH(S94,'G-8 Condition Look up'!$A$4:$A$130,0)),"")</f>
        <v/>
      </c>
      <c r="E94" s="547" t="str">
        <f>'D-1 Off Site Habitat Baseline'!AL93</f>
        <v/>
      </c>
      <c r="F94" s="520" t="str">
        <f>IF(E94="","",IF(ISNA(VLOOKUP($E94,'D-1 Off Site Habitat Baseline'!$D$1:$O$258,4,FALSE)),"",(VLOOKUP($E94,'D-1 Off Site Habitat Baseline'!$D$1:$O$258,4,FALSE))))</f>
        <v/>
      </c>
      <c r="G94" s="520" t="str">
        <f>IF(E94="","",IF(ISNA(VLOOKUP($E94,'D-1 Off Site Habitat Baseline'!$D$1:$O$258,5,FALSE)),"",(VLOOKUP($E94,'D-1 Off Site Habitat Baseline'!$D$1:$O$258,5,FALSE))))</f>
        <v/>
      </c>
      <c r="H94" s="520" t="str">
        <f>IF(E94="","",IF(ISNA(VLOOKUP($E94,'D-1 Off Site Habitat Baseline'!$D$1:$O$258,6,FALSE)),"",(VLOOKUP($E94,'D-1 Off Site Habitat Baseline'!$D$1:$O$258,6,FALSE))))</f>
        <v/>
      </c>
      <c r="I94" s="520" t="str">
        <f>IF(E94="","",IF(ISNA(VLOOKUP($E94,'D-1 Off Site Habitat Baseline'!$D$1:$O$258,7,FALSE)),"",(VLOOKUP($E94,'D-1 Off Site Habitat Baseline'!$D$1:$O$258,7,FALSE))))</f>
        <v/>
      </c>
      <c r="J94" s="520" t="str">
        <f>IF(E94="","",IF(ISNA(VLOOKUP($E94,'D-1 Off Site Habitat Baseline'!$D$1:$O$258,8,FALSE)),"",(VLOOKUP($E94,'D-1 Off Site Habitat Baseline'!$D$1:$O$258,8,FALSE))))</f>
        <v/>
      </c>
      <c r="K94" s="520" t="str">
        <f>IF(E94="","",IF(ISNA(VLOOKUP($E94,'D-1 Off Site Habitat Baseline'!$D$1:$O$258,9,FALSE)),"",(VLOOKUP($E94,'D-1 Off Site Habitat Baseline'!$D$1:$O$258,9,FALSE))))</f>
        <v/>
      </c>
      <c r="L94" s="520" t="str">
        <f>IF(E94="","",IF(ISNA(VLOOKUP($E94,'D-1 Off Site Habitat Baseline'!$D$1:$O$258,11,FALSE)),"",(VLOOKUP($E94,'D-1 Off Site Habitat Baseline'!$D$1:$O$258,11,FALSE))))</f>
        <v/>
      </c>
      <c r="M94" s="520" t="str">
        <f>IF(E94="","",IF(ISNA(VLOOKUP($E94,'D-1 Off Site Habitat Baseline'!$D$1:$O$258,12,FALSE)),"",(VLOOKUP($E94,'D-1 Off Site Habitat Baseline'!$D$1:$O$258,12,FALSE))))</f>
        <v/>
      </c>
      <c r="N94" s="520" t="str">
        <f>IF(E94="","",IF(ISNA(VLOOKUP($E94,'D-1 Off Site Habitat Baseline'!$D$1:$X$258,14,FALSE)),"",(VLOOKUP($E94,'D-1 Off Site Habitat Baseline'!$D$1:$X$258,14,FALSE))))</f>
        <v/>
      </c>
      <c r="O94" s="524" t="str">
        <f>IF(E94="","",IF(ISNA(VLOOKUP($E94,'D-1 Off Site Habitat Baseline'!$D$1:$X$258,13,FALSE)),"",(VLOOKUP($E94,'D-1 Off Site Habitat Baseline'!$D$1:$X$258,13,FALSE))))</f>
        <v/>
      </c>
      <c r="P94" s="232" t="str">
        <f>IFERROR(INDEX('G-1 All Habitats'!$AG$3:$AG$15,MATCH(Q94,'G-1 All Habitats'!$AF$3:$AF$15,0)),"")</f>
        <v/>
      </c>
      <c r="Q94" s="228" t="str">
        <f t="shared" si="23"/>
        <v/>
      </c>
      <c r="R94" s="229" t="str">
        <f t="shared" si="24"/>
        <v/>
      </c>
      <c r="S94" s="233" t="str">
        <f>IFERROR(INDEX('G-1 All Habitats'!$B$3:$B$129,MATCH(R94,'G-1 All Habitats'!$A$3:$A$129,0)),"")</f>
        <v/>
      </c>
      <c r="T94" s="507" t="str">
        <f t="shared" si="16"/>
        <v/>
      </c>
      <c r="U94" s="524" t="str">
        <f t="shared" si="17"/>
        <v/>
      </c>
      <c r="V94" s="523" t="str">
        <f t="shared" si="14"/>
        <v/>
      </c>
      <c r="W94" s="520" t="str">
        <f>IF(S94="","",VLOOKUP(S94,'G-1 All Habitats'!$B$2:$M$129,10,FALSE))</f>
        <v/>
      </c>
      <c r="X94" s="520" t="str">
        <f>IFERROR(VLOOKUP(W94,'G-1 All Habitats'!$V$3:$W$7,2,FALSE),"")</f>
        <v/>
      </c>
      <c r="Y94" s="203"/>
      <c r="Z94" s="524" t="str">
        <f>IFERROR(INDEX('G-8 Condition Look up'!$A$3:$H$130,MATCH(S94,'G-8 Condition Look up'!$A$3:$A$130,0),MATCH(Y94,'G-8 Condition Look up'!$A$3:$H$3,0)),"")</f>
        <v/>
      </c>
      <c r="AA94" s="145"/>
      <c r="AB94" s="540" t="str">
        <f>IF(AA94="","",IF(VLOOKUP(AA94,'G-3 Multipliers'!$L$3:$N$6,2,FALSE)=0,"Spatial Data Missing ⚠",VLOOKUP(AA94,'G-3 Multipliers'!$L$3:$N$6,2,FALSE)))</f>
        <v/>
      </c>
      <c r="AC94" s="524" t="str">
        <f>IF(AA94="","",IF(VLOOKUP(AA94,'G-3 Multipliers'!$L$3:$N$6,3,FALSE)=0,"Spatial Data Missing ⚠",VLOOKUP(AA94,'G-3 Multipliers'!$L$3:$N$6,3,FALSE)))</f>
        <v/>
      </c>
      <c r="AD94" s="537" t="str">
        <f t="shared" si="15"/>
        <v/>
      </c>
      <c r="AE94" s="203"/>
      <c r="AF94" s="203"/>
      <c r="AG94" s="520" t="str">
        <f t="shared" si="18"/>
        <v/>
      </c>
      <c r="AH94" s="544" t="str">
        <f t="shared" si="19"/>
        <v/>
      </c>
      <c r="AI94" s="525" t="str">
        <f>IF(AH94="Check Data ⚠","Check Data ⚠",IFERROR(VLOOKUP(AH94,'G-4 Temporal multipliers'!$A$4:$C$36,3,FALSE),""))</f>
        <v/>
      </c>
      <c r="AJ94" s="537" t="str">
        <f>IF(S94="","",VLOOKUP(S94,'G-3 Multipliers'!$A$2:$E$129,4,FALSE))</f>
        <v/>
      </c>
      <c r="AK94" s="520" t="str">
        <f t="shared" si="20"/>
        <v/>
      </c>
      <c r="AL94" s="520" t="str">
        <f t="shared" si="21"/>
        <v/>
      </c>
      <c r="AM94" s="524" t="str">
        <f>IFERROR(IF(F94="","",IF(AH94="Check Data ⚠","Check Data ⚠",VLOOKUP(AL94, 'G-3 Multipliers'!$P$2:$Q$6,2,FALSE))),"")</f>
        <v/>
      </c>
      <c r="AN94" s="197"/>
      <c r="AO94" s="540" t="str">
        <f>IF(AN94="","",IF(VLOOKUP(AN94,'G-3 Multipliers'!$S$3:$T$9,2,FALSE)=0,"Spatial Data Missing ⚠",VLOOKUP(AN94,'G-3 Multipliers'!$S$3:$T$9,2,FALSE)))</f>
        <v/>
      </c>
      <c r="AP94" s="513" t="str">
        <f t="shared" si="22"/>
        <v/>
      </c>
      <c r="AQ94" s="231"/>
      <c r="AR94" s="150"/>
    </row>
    <row r="95" spans="1:44" x14ac:dyDescent="0.3">
      <c r="A95" s="31" t="str">
        <f>IF(E95="","",IF(ISNA(VLOOKUP($E95,'D-1 Off Site Habitat Baseline'!$D$1:$O$258,2,FALSE)),"",(VLOOKUP($E95,'D-1 Off Site Habitat Baseline'!$D$1:$O$258,2,FALSE))))</f>
        <v/>
      </c>
      <c r="B95" s="31" t="str">
        <f>IF(E95="","",IF(ISNA(VLOOKUP($E95,'D-1 Off Site Habitat Baseline'!$D$1:$O$258,3,FALSE)),"",(VLOOKUP($E95,'D-1 Off Site Habitat Baseline'!$D$1:$O$258,3,FALSE))))</f>
        <v/>
      </c>
      <c r="C95" s="31" t="str">
        <f>IFERROR(INDEX('G-8 Condition Look up'!$I$4:$I$130,MATCH(S95,'G-8 Condition Look up'!$A$4:$A$130,0)),"")</f>
        <v/>
      </c>
      <c r="E95" s="547" t="str">
        <f>'D-1 Off Site Habitat Baseline'!AL94</f>
        <v/>
      </c>
      <c r="F95" s="520" t="str">
        <f>IF(E95="","",IF(ISNA(VLOOKUP($E95,'D-1 Off Site Habitat Baseline'!$D$1:$O$258,4,FALSE)),"",(VLOOKUP($E95,'D-1 Off Site Habitat Baseline'!$D$1:$O$258,4,FALSE))))</f>
        <v/>
      </c>
      <c r="G95" s="520" t="str">
        <f>IF(E95="","",IF(ISNA(VLOOKUP($E95,'D-1 Off Site Habitat Baseline'!$D$1:$O$258,5,FALSE)),"",(VLOOKUP($E95,'D-1 Off Site Habitat Baseline'!$D$1:$O$258,5,FALSE))))</f>
        <v/>
      </c>
      <c r="H95" s="520" t="str">
        <f>IF(E95="","",IF(ISNA(VLOOKUP($E95,'D-1 Off Site Habitat Baseline'!$D$1:$O$258,6,FALSE)),"",(VLOOKUP($E95,'D-1 Off Site Habitat Baseline'!$D$1:$O$258,6,FALSE))))</f>
        <v/>
      </c>
      <c r="I95" s="520" t="str">
        <f>IF(E95="","",IF(ISNA(VLOOKUP($E95,'D-1 Off Site Habitat Baseline'!$D$1:$O$258,7,FALSE)),"",(VLOOKUP($E95,'D-1 Off Site Habitat Baseline'!$D$1:$O$258,7,FALSE))))</f>
        <v/>
      </c>
      <c r="J95" s="520" t="str">
        <f>IF(E95="","",IF(ISNA(VLOOKUP($E95,'D-1 Off Site Habitat Baseline'!$D$1:$O$258,8,FALSE)),"",(VLOOKUP($E95,'D-1 Off Site Habitat Baseline'!$D$1:$O$258,8,FALSE))))</f>
        <v/>
      </c>
      <c r="K95" s="520" t="str">
        <f>IF(E95="","",IF(ISNA(VLOOKUP($E95,'D-1 Off Site Habitat Baseline'!$D$1:$O$258,9,FALSE)),"",(VLOOKUP($E95,'D-1 Off Site Habitat Baseline'!$D$1:$O$258,9,FALSE))))</f>
        <v/>
      </c>
      <c r="L95" s="520" t="str">
        <f>IF(E95="","",IF(ISNA(VLOOKUP($E95,'D-1 Off Site Habitat Baseline'!$D$1:$O$258,11,FALSE)),"",(VLOOKUP($E95,'D-1 Off Site Habitat Baseline'!$D$1:$O$258,11,FALSE))))</f>
        <v/>
      </c>
      <c r="M95" s="520" t="str">
        <f>IF(E95="","",IF(ISNA(VLOOKUP($E95,'D-1 Off Site Habitat Baseline'!$D$1:$O$258,12,FALSE)),"",(VLOOKUP($E95,'D-1 Off Site Habitat Baseline'!$D$1:$O$258,12,FALSE))))</f>
        <v/>
      </c>
      <c r="N95" s="520" t="str">
        <f>IF(E95="","",IF(ISNA(VLOOKUP($E95,'D-1 Off Site Habitat Baseline'!$D$1:$X$258,14,FALSE)),"",(VLOOKUP($E95,'D-1 Off Site Habitat Baseline'!$D$1:$X$258,14,FALSE))))</f>
        <v/>
      </c>
      <c r="O95" s="524" t="str">
        <f>IF(E95="","",IF(ISNA(VLOOKUP($E95,'D-1 Off Site Habitat Baseline'!$D$1:$X$258,13,FALSE)),"",(VLOOKUP($E95,'D-1 Off Site Habitat Baseline'!$D$1:$X$258,13,FALSE))))</f>
        <v/>
      </c>
      <c r="P95" s="232" t="str">
        <f>IFERROR(INDEX('G-1 All Habitats'!$AG$3:$AG$15,MATCH(Q95,'G-1 All Habitats'!$AF$3:$AF$15,0)),"")</f>
        <v/>
      </c>
      <c r="Q95" s="228" t="str">
        <f t="shared" si="23"/>
        <v/>
      </c>
      <c r="R95" s="229" t="str">
        <f t="shared" si="24"/>
        <v/>
      </c>
      <c r="S95" s="233" t="str">
        <f>IFERROR(INDEX('G-1 All Habitats'!$B$3:$B$129,MATCH(R95,'G-1 All Habitats'!$A$3:$A$129,0)),"")</f>
        <v/>
      </c>
      <c r="T95" s="507" t="str">
        <f t="shared" si="16"/>
        <v/>
      </c>
      <c r="U95" s="524" t="str">
        <f t="shared" si="17"/>
        <v/>
      </c>
      <c r="V95" s="523" t="str">
        <f t="shared" si="14"/>
        <v/>
      </c>
      <c r="W95" s="520" t="str">
        <f>IF(S95="","",VLOOKUP(S95,'G-1 All Habitats'!$B$2:$M$129,10,FALSE))</f>
        <v/>
      </c>
      <c r="X95" s="520" t="str">
        <f>IFERROR(VLOOKUP(W95,'G-1 All Habitats'!$V$3:$W$7,2,FALSE),"")</f>
        <v/>
      </c>
      <c r="Y95" s="203"/>
      <c r="Z95" s="524" t="str">
        <f>IFERROR(INDEX('G-8 Condition Look up'!$A$3:$H$130,MATCH(S95,'G-8 Condition Look up'!$A$3:$A$130,0),MATCH(Y95,'G-8 Condition Look up'!$A$3:$H$3,0)),"")</f>
        <v/>
      </c>
      <c r="AA95" s="145"/>
      <c r="AB95" s="540" t="str">
        <f>IF(AA95="","",IF(VLOOKUP(AA95,'G-3 Multipliers'!$L$3:$N$6,2,FALSE)=0,"Spatial Data Missing ⚠",VLOOKUP(AA95,'G-3 Multipliers'!$L$3:$N$6,2,FALSE)))</f>
        <v/>
      </c>
      <c r="AC95" s="524" t="str">
        <f>IF(AA95="","",IF(VLOOKUP(AA95,'G-3 Multipliers'!$L$3:$N$6,3,FALSE)=0,"Spatial Data Missing ⚠",VLOOKUP(AA95,'G-3 Multipliers'!$L$3:$N$6,3,FALSE)))</f>
        <v/>
      </c>
      <c r="AD95" s="537" t="str">
        <f t="shared" si="15"/>
        <v/>
      </c>
      <c r="AE95" s="203"/>
      <c r="AF95" s="203"/>
      <c r="AG95" s="520" t="str">
        <f t="shared" si="18"/>
        <v/>
      </c>
      <c r="AH95" s="544" t="str">
        <f t="shared" si="19"/>
        <v/>
      </c>
      <c r="AI95" s="525" t="str">
        <f>IF(AH95="Check Data ⚠","Check Data ⚠",IFERROR(VLOOKUP(AH95,'G-4 Temporal multipliers'!$A$4:$C$36,3,FALSE),""))</f>
        <v/>
      </c>
      <c r="AJ95" s="537" t="str">
        <f>IF(S95="","",VLOOKUP(S95,'G-3 Multipliers'!$A$2:$E$129,4,FALSE))</f>
        <v/>
      </c>
      <c r="AK95" s="520" t="str">
        <f t="shared" si="20"/>
        <v/>
      </c>
      <c r="AL95" s="520" t="str">
        <f t="shared" si="21"/>
        <v/>
      </c>
      <c r="AM95" s="524" t="str">
        <f>IFERROR(IF(F95="","",IF(AH95="Check Data ⚠","Check Data ⚠",VLOOKUP(AL95, 'G-3 Multipliers'!$P$2:$Q$6,2,FALSE))),"")</f>
        <v/>
      </c>
      <c r="AN95" s="197"/>
      <c r="AO95" s="540" t="str">
        <f>IF(AN95="","",IF(VLOOKUP(AN95,'G-3 Multipliers'!$S$3:$T$9,2,FALSE)=0,"Spatial Data Missing ⚠",VLOOKUP(AN95,'G-3 Multipliers'!$S$3:$T$9,2,FALSE)))</f>
        <v/>
      </c>
      <c r="AP95" s="513" t="str">
        <f t="shared" si="22"/>
        <v/>
      </c>
      <c r="AQ95" s="231"/>
      <c r="AR95" s="150"/>
    </row>
    <row r="96" spans="1:44" x14ac:dyDescent="0.3">
      <c r="A96" s="31" t="str">
        <f>IF(E96="","",IF(ISNA(VLOOKUP($E96,'D-1 Off Site Habitat Baseline'!$D$1:$O$258,2,FALSE)),"",(VLOOKUP($E96,'D-1 Off Site Habitat Baseline'!$D$1:$O$258,2,FALSE))))</f>
        <v/>
      </c>
      <c r="B96" s="31" t="str">
        <f>IF(E96="","",IF(ISNA(VLOOKUP($E96,'D-1 Off Site Habitat Baseline'!$D$1:$O$258,3,FALSE)),"",(VLOOKUP($E96,'D-1 Off Site Habitat Baseline'!$D$1:$O$258,3,FALSE))))</f>
        <v/>
      </c>
      <c r="C96" s="31" t="str">
        <f>IFERROR(INDEX('G-8 Condition Look up'!$I$4:$I$130,MATCH(S96,'G-8 Condition Look up'!$A$4:$A$130,0)),"")</f>
        <v/>
      </c>
      <c r="E96" s="547" t="str">
        <f>'D-1 Off Site Habitat Baseline'!AL95</f>
        <v/>
      </c>
      <c r="F96" s="520" t="str">
        <f>IF(E96="","",IF(ISNA(VLOOKUP($E96,'D-1 Off Site Habitat Baseline'!$D$1:$O$258,4,FALSE)),"",(VLOOKUP($E96,'D-1 Off Site Habitat Baseline'!$D$1:$O$258,4,FALSE))))</f>
        <v/>
      </c>
      <c r="G96" s="520" t="str">
        <f>IF(E96="","",IF(ISNA(VLOOKUP($E96,'D-1 Off Site Habitat Baseline'!$D$1:$O$258,5,FALSE)),"",(VLOOKUP($E96,'D-1 Off Site Habitat Baseline'!$D$1:$O$258,5,FALSE))))</f>
        <v/>
      </c>
      <c r="H96" s="520" t="str">
        <f>IF(E96="","",IF(ISNA(VLOOKUP($E96,'D-1 Off Site Habitat Baseline'!$D$1:$O$258,6,FALSE)),"",(VLOOKUP($E96,'D-1 Off Site Habitat Baseline'!$D$1:$O$258,6,FALSE))))</f>
        <v/>
      </c>
      <c r="I96" s="520" t="str">
        <f>IF(E96="","",IF(ISNA(VLOOKUP($E96,'D-1 Off Site Habitat Baseline'!$D$1:$O$258,7,FALSE)),"",(VLOOKUP($E96,'D-1 Off Site Habitat Baseline'!$D$1:$O$258,7,FALSE))))</f>
        <v/>
      </c>
      <c r="J96" s="520" t="str">
        <f>IF(E96="","",IF(ISNA(VLOOKUP($E96,'D-1 Off Site Habitat Baseline'!$D$1:$O$258,8,FALSE)),"",(VLOOKUP($E96,'D-1 Off Site Habitat Baseline'!$D$1:$O$258,8,FALSE))))</f>
        <v/>
      </c>
      <c r="K96" s="520" t="str">
        <f>IF(E96="","",IF(ISNA(VLOOKUP($E96,'D-1 Off Site Habitat Baseline'!$D$1:$O$258,9,FALSE)),"",(VLOOKUP($E96,'D-1 Off Site Habitat Baseline'!$D$1:$O$258,9,FALSE))))</f>
        <v/>
      </c>
      <c r="L96" s="520" t="str">
        <f>IF(E96="","",IF(ISNA(VLOOKUP($E96,'D-1 Off Site Habitat Baseline'!$D$1:$O$258,11,FALSE)),"",(VLOOKUP($E96,'D-1 Off Site Habitat Baseline'!$D$1:$O$258,11,FALSE))))</f>
        <v/>
      </c>
      <c r="M96" s="520" t="str">
        <f>IF(E96="","",IF(ISNA(VLOOKUP($E96,'D-1 Off Site Habitat Baseline'!$D$1:$O$258,12,FALSE)),"",(VLOOKUP($E96,'D-1 Off Site Habitat Baseline'!$D$1:$O$258,12,FALSE))))</f>
        <v/>
      </c>
      <c r="N96" s="520" t="str">
        <f>IF(E96="","",IF(ISNA(VLOOKUP($E96,'D-1 Off Site Habitat Baseline'!$D$1:$X$258,14,FALSE)),"",(VLOOKUP($E96,'D-1 Off Site Habitat Baseline'!$D$1:$X$258,14,FALSE))))</f>
        <v/>
      </c>
      <c r="O96" s="524" t="str">
        <f>IF(E96="","",IF(ISNA(VLOOKUP($E96,'D-1 Off Site Habitat Baseline'!$D$1:$X$258,13,FALSE)),"",(VLOOKUP($E96,'D-1 Off Site Habitat Baseline'!$D$1:$X$258,13,FALSE))))</f>
        <v/>
      </c>
      <c r="P96" s="232" t="str">
        <f>IFERROR(INDEX('G-1 All Habitats'!$AG$3:$AG$15,MATCH(Q96,'G-1 All Habitats'!$AF$3:$AF$15,0)),"")</f>
        <v/>
      </c>
      <c r="Q96" s="228" t="str">
        <f t="shared" si="23"/>
        <v/>
      </c>
      <c r="R96" s="229" t="str">
        <f t="shared" si="24"/>
        <v/>
      </c>
      <c r="S96" s="233" t="str">
        <f>IFERROR(INDEX('G-1 All Habitats'!$B$3:$B$129,MATCH(R96,'G-1 All Habitats'!$A$3:$A$129,0)),"")</f>
        <v/>
      </c>
      <c r="T96" s="507" t="str">
        <f t="shared" si="16"/>
        <v/>
      </c>
      <c r="U96" s="524" t="str">
        <f t="shared" si="17"/>
        <v/>
      </c>
      <c r="V96" s="523" t="str">
        <f t="shared" si="14"/>
        <v/>
      </c>
      <c r="W96" s="520" t="str">
        <f>IF(S96="","",VLOOKUP(S96,'G-1 All Habitats'!$B$2:$M$129,10,FALSE))</f>
        <v/>
      </c>
      <c r="X96" s="520" t="str">
        <f>IFERROR(VLOOKUP(W96,'G-1 All Habitats'!$V$3:$W$7,2,FALSE),"")</f>
        <v/>
      </c>
      <c r="Y96" s="203"/>
      <c r="Z96" s="524" t="str">
        <f>IFERROR(INDEX('G-8 Condition Look up'!$A$3:$H$130,MATCH(S96,'G-8 Condition Look up'!$A$3:$A$130,0),MATCH(Y96,'G-8 Condition Look up'!$A$3:$H$3,0)),"")</f>
        <v/>
      </c>
      <c r="AA96" s="145"/>
      <c r="AB96" s="540" t="str">
        <f>IF(AA96="","",IF(VLOOKUP(AA96,'G-3 Multipliers'!$L$3:$N$6,2,FALSE)=0,"Spatial Data Missing ⚠",VLOOKUP(AA96,'G-3 Multipliers'!$L$3:$N$6,2,FALSE)))</f>
        <v/>
      </c>
      <c r="AC96" s="524" t="str">
        <f>IF(AA96="","",IF(VLOOKUP(AA96,'G-3 Multipliers'!$L$3:$N$6,3,FALSE)=0,"Spatial Data Missing ⚠",VLOOKUP(AA96,'G-3 Multipliers'!$L$3:$N$6,3,FALSE)))</f>
        <v/>
      </c>
      <c r="AD96" s="537" t="str">
        <f t="shared" si="15"/>
        <v/>
      </c>
      <c r="AE96" s="203"/>
      <c r="AF96" s="203"/>
      <c r="AG96" s="520" t="str">
        <f t="shared" si="18"/>
        <v/>
      </c>
      <c r="AH96" s="544" t="str">
        <f t="shared" si="19"/>
        <v/>
      </c>
      <c r="AI96" s="525" t="str">
        <f>IF(AH96="Check Data ⚠","Check Data ⚠",IFERROR(VLOOKUP(AH96,'G-4 Temporal multipliers'!$A$4:$C$36,3,FALSE),""))</f>
        <v/>
      </c>
      <c r="AJ96" s="537" t="str">
        <f>IF(S96="","",VLOOKUP(S96,'G-3 Multipliers'!$A$2:$E$129,4,FALSE))</f>
        <v/>
      </c>
      <c r="AK96" s="520" t="str">
        <f t="shared" si="20"/>
        <v/>
      </c>
      <c r="AL96" s="520" t="str">
        <f t="shared" si="21"/>
        <v/>
      </c>
      <c r="AM96" s="524" t="str">
        <f>IFERROR(IF(F96="","",IF(AH96="Check Data ⚠","Check Data ⚠",VLOOKUP(AL96, 'G-3 Multipliers'!$P$2:$Q$6,2,FALSE))),"")</f>
        <v/>
      </c>
      <c r="AN96" s="197"/>
      <c r="AO96" s="540" t="str">
        <f>IF(AN96="","",IF(VLOOKUP(AN96,'G-3 Multipliers'!$S$3:$T$9,2,FALSE)=0,"Spatial Data Missing ⚠",VLOOKUP(AN96,'G-3 Multipliers'!$S$3:$T$9,2,FALSE)))</f>
        <v/>
      </c>
      <c r="AP96" s="513" t="str">
        <f t="shared" si="22"/>
        <v/>
      </c>
      <c r="AQ96" s="231"/>
      <c r="AR96" s="150"/>
    </row>
    <row r="97" spans="1:44" x14ac:dyDescent="0.3">
      <c r="A97" s="31" t="str">
        <f>IF(E97="","",IF(ISNA(VLOOKUP($E97,'D-1 Off Site Habitat Baseline'!$D$1:$O$258,2,FALSE)),"",(VLOOKUP($E97,'D-1 Off Site Habitat Baseline'!$D$1:$O$258,2,FALSE))))</f>
        <v/>
      </c>
      <c r="B97" s="31" t="str">
        <f>IF(E97="","",IF(ISNA(VLOOKUP($E97,'D-1 Off Site Habitat Baseline'!$D$1:$O$258,3,FALSE)),"",(VLOOKUP($E97,'D-1 Off Site Habitat Baseline'!$D$1:$O$258,3,FALSE))))</f>
        <v/>
      </c>
      <c r="C97" s="31" t="str">
        <f>IFERROR(INDEX('G-8 Condition Look up'!$I$4:$I$130,MATCH(S97,'G-8 Condition Look up'!$A$4:$A$130,0)),"")</f>
        <v/>
      </c>
      <c r="E97" s="547" t="str">
        <f>'D-1 Off Site Habitat Baseline'!AL96</f>
        <v/>
      </c>
      <c r="F97" s="520" t="str">
        <f>IF(E97="","",IF(ISNA(VLOOKUP($E97,'D-1 Off Site Habitat Baseline'!$D$1:$O$258,4,FALSE)),"",(VLOOKUP($E97,'D-1 Off Site Habitat Baseline'!$D$1:$O$258,4,FALSE))))</f>
        <v/>
      </c>
      <c r="G97" s="520" t="str">
        <f>IF(E97="","",IF(ISNA(VLOOKUP($E97,'D-1 Off Site Habitat Baseline'!$D$1:$O$258,5,FALSE)),"",(VLOOKUP($E97,'D-1 Off Site Habitat Baseline'!$D$1:$O$258,5,FALSE))))</f>
        <v/>
      </c>
      <c r="H97" s="520" t="str">
        <f>IF(E97="","",IF(ISNA(VLOOKUP($E97,'D-1 Off Site Habitat Baseline'!$D$1:$O$258,6,FALSE)),"",(VLOOKUP($E97,'D-1 Off Site Habitat Baseline'!$D$1:$O$258,6,FALSE))))</f>
        <v/>
      </c>
      <c r="I97" s="520" t="str">
        <f>IF(E97="","",IF(ISNA(VLOOKUP($E97,'D-1 Off Site Habitat Baseline'!$D$1:$O$258,7,FALSE)),"",(VLOOKUP($E97,'D-1 Off Site Habitat Baseline'!$D$1:$O$258,7,FALSE))))</f>
        <v/>
      </c>
      <c r="J97" s="520" t="str">
        <f>IF(E97="","",IF(ISNA(VLOOKUP($E97,'D-1 Off Site Habitat Baseline'!$D$1:$O$258,8,FALSE)),"",(VLOOKUP($E97,'D-1 Off Site Habitat Baseline'!$D$1:$O$258,8,FALSE))))</f>
        <v/>
      </c>
      <c r="K97" s="520" t="str">
        <f>IF(E97="","",IF(ISNA(VLOOKUP($E97,'D-1 Off Site Habitat Baseline'!$D$1:$O$258,9,FALSE)),"",(VLOOKUP($E97,'D-1 Off Site Habitat Baseline'!$D$1:$O$258,9,FALSE))))</f>
        <v/>
      </c>
      <c r="L97" s="520" t="str">
        <f>IF(E97="","",IF(ISNA(VLOOKUP($E97,'D-1 Off Site Habitat Baseline'!$D$1:$O$258,11,FALSE)),"",(VLOOKUP($E97,'D-1 Off Site Habitat Baseline'!$D$1:$O$258,11,FALSE))))</f>
        <v/>
      </c>
      <c r="M97" s="520" t="str">
        <f>IF(E97="","",IF(ISNA(VLOOKUP($E97,'D-1 Off Site Habitat Baseline'!$D$1:$O$258,12,FALSE)),"",(VLOOKUP($E97,'D-1 Off Site Habitat Baseline'!$D$1:$O$258,12,FALSE))))</f>
        <v/>
      </c>
      <c r="N97" s="520" t="str">
        <f>IF(E97="","",IF(ISNA(VLOOKUP($E97,'D-1 Off Site Habitat Baseline'!$D$1:$X$258,14,FALSE)),"",(VLOOKUP($E97,'D-1 Off Site Habitat Baseline'!$D$1:$X$258,14,FALSE))))</f>
        <v/>
      </c>
      <c r="O97" s="524" t="str">
        <f>IF(E97="","",IF(ISNA(VLOOKUP($E97,'D-1 Off Site Habitat Baseline'!$D$1:$X$258,13,FALSE)),"",(VLOOKUP($E97,'D-1 Off Site Habitat Baseline'!$D$1:$X$258,13,FALSE))))</f>
        <v/>
      </c>
      <c r="P97" s="232" t="str">
        <f>IFERROR(INDEX('G-1 All Habitats'!$AG$3:$AG$15,MATCH(Q97,'G-1 All Habitats'!$AF$3:$AF$15,0)),"")</f>
        <v/>
      </c>
      <c r="Q97" s="228" t="str">
        <f t="shared" si="23"/>
        <v/>
      </c>
      <c r="R97" s="229" t="str">
        <f t="shared" si="24"/>
        <v/>
      </c>
      <c r="S97" s="233" t="str">
        <f>IFERROR(INDEX('G-1 All Habitats'!$B$3:$B$129,MATCH(R97,'G-1 All Habitats'!$A$3:$A$129,0)),"")</f>
        <v/>
      </c>
      <c r="T97" s="507" t="str">
        <f t="shared" si="16"/>
        <v/>
      </c>
      <c r="U97" s="524" t="str">
        <f t="shared" si="17"/>
        <v/>
      </c>
      <c r="V97" s="523" t="str">
        <f t="shared" si="14"/>
        <v/>
      </c>
      <c r="W97" s="520" t="str">
        <f>IF(S97="","",VLOOKUP(S97,'G-1 All Habitats'!$B$2:$M$129,10,FALSE))</f>
        <v/>
      </c>
      <c r="X97" s="520" t="str">
        <f>IFERROR(VLOOKUP(W97,'G-1 All Habitats'!$V$3:$W$7,2,FALSE),"")</f>
        <v/>
      </c>
      <c r="Y97" s="203"/>
      <c r="Z97" s="524" t="str">
        <f>IFERROR(INDEX('G-8 Condition Look up'!$A$3:$H$130,MATCH(S97,'G-8 Condition Look up'!$A$3:$A$130,0),MATCH(Y97,'G-8 Condition Look up'!$A$3:$H$3,0)),"")</f>
        <v/>
      </c>
      <c r="AA97" s="145"/>
      <c r="AB97" s="540" t="str">
        <f>IF(AA97="","",IF(VLOOKUP(AA97,'G-3 Multipliers'!$L$3:$N$6,2,FALSE)=0,"Spatial Data Missing ⚠",VLOOKUP(AA97,'G-3 Multipliers'!$L$3:$N$6,2,FALSE)))</f>
        <v/>
      </c>
      <c r="AC97" s="524" t="str">
        <f>IF(AA97="","",IF(VLOOKUP(AA97,'G-3 Multipliers'!$L$3:$N$6,3,FALSE)=0,"Spatial Data Missing ⚠",VLOOKUP(AA97,'G-3 Multipliers'!$L$3:$N$6,3,FALSE)))</f>
        <v/>
      </c>
      <c r="AD97" s="537" t="str">
        <f t="shared" si="15"/>
        <v/>
      </c>
      <c r="AE97" s="203"/>
      <c r="AF97" s="203"/>
      <c r="AG97" s="520" t="str">
        <f t="shared" si="18"/>
        <v/>
      </c>
      <c r="AH97" s="544" t="str">
        <f t="shared" si="19"/>
        <v/>
      </c>
      <c r="AI97" s="525" t="str">
        <f>IF(AH97="Check Data ⚠","Check Data ⚠",IFERROR(VLOOKUP(AH97,'G-4 Temporal multipliers'!$A$4:$C$36,3,FALSE),""))</f>
        <v/>
      </c>
      <c r="AJ97" s="537" t="str">
        <f>IF(S97="","",VLOOKUP(S97,'G-3 Multipliers'!$A$2:$E$129,4,FALSE))</f>
        <v/>
      </c>
      <c r="AK97" s="520" t="str">
        <f t="shared" si="20"/>
        <v/>
      </c>
      <c r="AL97" s="520" t="str">
        <f t="shared" si="21"/>
        <v/>
      </c>
      <c r="AM97" s="524" t="str">
        <f>IFERROR(IF(F97="","",IF(AH97="Check Data ⚠","Check Data ⚠",VLOOKUP(AL97, 'G-3 Multipliers'!$P$2:$Q$6,2,FALSE))),"")</f>
        <v/>
      </c>
      <c r="AN97" s="197"/>
      <c r="AO97" s="540" t="str">
        <f>IF(AN97="","",IF(VLOOKUP(AN97,'G-3 Multipliers'!$S$3:$T$9,2,FALSE)=0,"Spatial Data Missing ⚠",VLOOKUP(AN97,'G-3 Multipliers'!$S$3:$T$9,2,FALSE)))</f>
        <v/>
      </c>
      <c r="AP97" s="513" t="str">
        <f t="shared" si="22"/>
        <v/>
      </c>
      <c r="AQ97" s="231"/>
      <c r="AR97" s="150"/>
    </row>
    <row r="98" spans="1:44" x14ac:dyDescent="0.3">
      <c r="A98" s="31" t="str">
        <f>IF(E98="","",IF(ISNA(VLOOKUP($E98,'D-1 Off Site Habitat Baseline'!$D$1:$O$258,2,FALSE)),"",(VLOOKUP($E98,'D-1 Off Site Habitat Baseline'!$D$1:$O$258,2,FALSE))))</f>
        <v/>
      </c>
      <c r="B98" s="31" t="str">
        <f>IF(E98="","",IF(ISNA(VLOOKUP($E98,'D-1 Off Site Habitat Baseline'!$D$1:$O$258,3,FALSE)),"",(VLOOKUP($E98,'D-1 Off Site Habitat Baseline'!$D$1:$O$258,3,FALSE))))</f>
        <v/>
      </c>
      <c r="C98" s="31" t="str">
        <f>IFERROR(INDEX('G-8 Condition Look up'!$I$4:$I$130,MATCH(S98,'G-8 Condition Look up'!$A$4:$A$130,0)),"")</f>
        <v/>
      </c>
      <c r="E98" s="547" t="str">
        <f>'D-1 Off Site Habitat Baseline'!AL97</f>
        <v/>
      </c>
      <c r="F98" s="520" t="str">
        <f>IF(E98="","",IF(ISNA(VLOOKUP($E98,'D-1 Off Site Habitat Baseline'!$D$1:$O$258,4,FALSE)),"",(VLOOKUP($E98,'D-1 Off Site Habitat Baseline'!$D$1:$O$258,4,FALSE))))</f>
        <v/>
      </c>
      <c r="G98" s="520" t="str">
        <f>IF(E98="","",IF(ISNA(VLOOKUP($E98,'D-1 Off Site Habitat Baseline'!$D$1:$O$258,5,FALSE)),"",(VLOOKUP($E98,'D-1 Off Site Habitat Baseline'!$D$1:$O$258,5,FALSE))))</f>
        <v/>
      </c>
      <c r="H98" s="520" t="str">
        <f>IF(E98="","",IF(ISNA(VLOOKUP($E98,'D-1 Off Site Habitat Baseline'!$D$1:$O$258,6,FALSE)),"",(VLOOKUP($E98,'D-1 Off Site Habitat Baseline'!$D$1:$O$258,6,FALSE))))</f>
        <v/>
      </c>
      <c r="I98" s="520" t="str">
        <f>IF(E98="","",IF(ISNA(VLOOKUP($E98,'D-1 Off Site Habitat Baseline'!$D$1:$O$258,7,FALSE)),"",(VLOOKUP($E98,'D-1 Off Site Habitat Baseline'!$D$1:$O$258,7,FALSE))))</f>
        <v/>
      </c>
      <c r="J98" s="520" t="str">
        <f>IF(E98="","",IF(ISNA(VLOOKUP($E98,'D-1 Off Site Habitat Baseline'!$D$1:$O$258,8,FALSE)),"",(VLOOKUP($E98,'D-1 Off Site Habitat Baseline'!$D$1:$O$258,8,FALSE))))</f>
        <v/>
      </c>
      <c r="K98" s="520" t="str">
        <f>IF(E98="","",IF(ISNA(VLOOKUP($E98,'D-1 Off Site Habitat Baseline'!$D$1:$O$258,9,FALSE)),"",(VLOOKUP($E98,'D-1 Off Site Habitat Baseline'!$D$1:$O$258,9,FALSE))))</f>
        <v/>
      </c>
      <c r="L98" s="520" t="str">
        <f>IF(E98="","",IF(ISNA(VLOOKUP($E98,'D-1 Off Site Habitat Baseline'!$D$1:$O$258,11,FALSE)),"",(VLOOKUP($E98,'D-1 Off Site Habitat Baseline'!$D$1:$O$258,11,FALSE))))</f>
        <v/>
      </c>
      <c r="M98" s="520" t="str">
        <f>IF(E98="","",IF(ISNA(VLOOKUP($E98,'D-1 Off Site Habitat Baseline'!$D$1:$O$258,12,FALSE)),"",(VLOOKUP($E98,'D-1 Off Site Habitat Baseline'!$D$1:$O$258,12,FALSE))))</f>
        <v/>
      </c>
      <c r="N98" s="520" t="str">
        <f>IF(E98="","",IF(ISNA(VLOOKUP($E98,'D-1 Off Site Habitat Baseline'!$D$1:$X$258,14,FALSE)),"",(VLOOKUP($E98,'D-1 Off Site Habitat Baseline'!$D$1:$X$258,14,FALSE))))</f>
        <v/>
      </c>
      <c r="O98" s="524" t="str">
        <f>IF(E98="","",IF(ISNA(VLOOKUP($E98,'D-1 Off Site Habitat Baseline'!$D$1:$X$258,13,FALSE)),"",(VLOOKUP($E98,'D-1 Off Site Habitat Baseline'!$D$1:$X$258,13,FALSE))))</f>
        <v/>
      </c>
      <c r="P98" s="232" t="str">
        <f>IFERROR(INDEX('G-1 All Habitats'!$AG$3:$AG$15,MATCH(Q98,'G-1 All Habitats'!$AF$3:$AF$15,0)),"")</f>
        <v/>
      </c>
      <c r="Q98" s="228" t="str">
        <f t="shared" si="23"/>
        <v/>
      </c>
      <c r="R98" s="229" t="str">
        <f t="shared" si="24"/>
        <v/>
      </c>
      <c r="S98" s="233" t="str">
        <f>IFERROR(INDEX('G-1 All Habitats'!$B$3:$B$129,MATCH(R98,'G-1 All Habitats'!$A$3:$A$129,0)),"")</f>
        <v/>
      </c>
      <c r="T98" s="507" t="str">
        <f t="shared" si="16"/>
        <v/>
      </c>
      <c r="U98" s="524" t="str">
        <f t="shared" si="17"/>
        <v/>
      </c>
      <c r="V98" s="523" t="str">
        <f t="shared" si="14"/>
        <v/>
      </c>
      <c r="W98" s="520" t="str">
        <f>IF(S98="","",VLOOKUP(S98,'G-1 All Habitats'!$B$2:$M$129,10,FALSE))</f>
        <v/>
      </c>
      <c r="X98" s="520" t="str">
        <f>IFERROR(VLOOKUP(W98,'G-1 All Habitats'!$V$3:$W$7,2,FALSE),"")</f>
        <v/>
      </c>
      <c r="Y98" s="203"/>
      <c r="Z98" s="524" t="str">
        <f>IFERROR(INDEX('G-8 Condition Look up'!$A$3:$H$130,MATCH(S98,'G-8 Condition Look up'!$A$3:$A$130,0),MATCH(Y98,'G-8 Condition Look up'!$A$3:$H$3,0)),"")</f>
        <v/>
      </c>
      <c r="AA98" s="145"/>
      <c r="AB98" s="540" t="str">
        <f>IF(AA98="","",IF(VLOOKUP(AA98,'G-3 Multipliers'!$L$3:$N$6,2,FALSE)=0,"Spatial Data Missing ⚠",VLOOKUP(AA98,'G-3 Multipliers'!$L$3:$N$6,2,FALSE)))</f>
        <v/>
      </c>
      <c r="AC98" s="524" t="str">
        <f>IF(AA98="","",IF(VLOOKUP(AA98,'G-3 Multipliers'!$L$3:$N$6,3,FALSE)=0,"Spatial Data Missing ⚠",VLOOKUP(AA98,'G-3 Multipliers'!$L$3:$N$6,3,FALSE)))</f>
        <v/>
      </c>
      <c r="AD98" s="537" t="str">
        <f t="shared" si="15"/>
        <v/>
      </c>
      <c r="AE98" s="203"/>
      <c r="AF98" s="203"/>
      <c r="AG98" s="520" t="str">
        <f t="shared" si="18"/>
        <v/>
      </c>
      <c r="AH98" s="544" t="str">
        <f t="shared" si="19"/>
        <v/>
      </c>
      <c r="AI98" s="525" t="str">
        <f>IF(AH98="Check Data ⚠","Check Data ⚠",IFERROR(VLOOKUP(AH98,'G-4 Temporal multipliers'!$A$4:$C$36,3,FALSE),""))</f>
        <v/>
      </c>
      <c r="AJ98" s="537" t="str">
        <f>IF(S98="","",VLOOKUP(S98,'G-3 Multipliers'!$A$2:$E$129,4,FALSE))</f>
        <v/>
      </c>
      <c r="AK98" s="520" t="str">
        <f t="shared" si="20"/>
        <v/>
      </c>
      <c r="AL98" s="520" t="str">
        <f t="shared" si="21"/>
        <v/>
      </c>
      <c r="AM98" s="524" t="str">
        <f>IFERROR(IF(F98="","",IF(AH98="Check Data ⚠","Check Data ⚠",VLOOKUP(AL98, 'G-3 Multipliers'!$P$2:$Q$6,2,FALSE))),"")</f>
        <v/>
      </c>
      <c r="AN98" s="197"/>
      <c r="AO98" s="540" t="str">
        <f>IF(AN98="","",IF(VLOOKUP(AN98,'G-3 Multipliers'!$S$3:$T$9,2,FALSE)=0,"Spatial Data Missing ⚠",VLOOKUP(AN98,'G-3 Multipliers'!$S$3:$T$9,2,FALSE)))</f>
        <v/>
      </c>
      <c r="AP98" s="513" t="str">
        <f t="shared" si="22"/>
        <v/>
      </c>
      <c r="AQ98" s="231"/>
      <c r="AR98" s="150"/>
    </row>
    <row r="99" spans="1:44" x14ac:dyDescent="0.3">
      <c r="A99" s="31" t="str">
        <f>IF(E99="","",IF(ISNA(VLOOKUP($E99,'D-1 Off Site Habitat Baseline'!$D$1:$O$258,2,FALSE)),"",(VLOOKUP($E99,'D-1 Off Site Habitat Baseline'!$D$1:$O$258,2,FALSE))))</f>
        <v/>
      </c>
      <c r="B99" s="31" t="str">
        <f>IF(E99="","",IF(ISNA(VLOOKUP($E99,'D-1 Off Site Habitat Baseline'!$D$1:$O$258,3,FALSE)),"",(VLOOKUP($E99,'D-1 Off Site Habitat Baseline'!$D$1:$O$258,3,FALSE))))</f>
        <v/>
      </c>
      <c r="C99" s="31" t="str">
        <f>IFERROR(INDEX('G-8 Condition Look up'!$I$4:$I$130,MATCH(S99,'G-8 Condition Look up'!$A$4:$A$130,0)),"")</f>
        <v/>
      </c>
      <c r="E99" s="547" t="str">
        <f>'D-1 Off Site Habitat Baseline'!AL98</f>
        <v/>
      </c>
      <c r="F99" s="520" t="str">
        <f>IF(E99="","",IF(ISNA(VLOOKUP($E99,'D-1 Off Site Habitat Baseline'!$D$1:$O$258,4,FALSE)),"",(VLOOKUP($E99,'D-1 Off Site Habitat Baseline'!$D$1:$O$258,4,FALSE))))</f>
        <v/>
      </c>
      <c r="G99" s="520" t="str">
        <f>IF(E99="","",IF(ISNA(VLOOKUP($E99,'D-1 Off Site Habitat Baseline'!$D$1:$O$258,5,FALSE)),"",(VLOOKUP($E99,'D-1 Off Site Habitat Baseline'!$D$1:$O$258,5,FALSE))))</f>
        <v/>
      </c>
      <c r="H99" s="520" t="str">
        <f>IF(E99="","",IF(ISNA(VLOOKUP($E99,'D-1 Off Site Habitat Baseline'!$D$1:$O$258,6,FALSE)),"",(VLOOKUP($E99,'D-1 Off Site Habitat Baseline'!$D$1:$O$258,6,FALSE))))</f>
        <v/>
      </c>
      <c r="I99" s="520" t="str">
        <f>IF(E99="","",IF(ISNA(VLOOKUP($E99,'D-1 Off Site Habitat Baseline'!$D$1:$O$258,7,FALSE)),"",(VLOOKUP($E99,'D-1 Off Site Habitat Baseline'!$D$1:$O$258,7,FALSE))))</f>
        <v/>
      </c>
      <c r="J99" s="520" t="str">
        <f>IF(E99="","",IF(ISNA(VLOOKUP($E99,'D-1 Off Site Habitat Baseline'!$D$1:$O$258,8,FALSE)),"",(VLOOKUP($E99,'D-1 Off Site Habitat Baseline'!$D$1:$O$258,8,FALSE))))</f>
        <v/>
      </c>
      <c r="K99" s="520" t="str">
        <f>IF(E99="","",IF(ISNA(VLOOKUP($E99,'D-1 Off Site Habitat Baseline'!$D$1:$O$258,9,FALSE)),"",(VLOOKUP($E99,'D-1 Off Site Habitat Baseline'!$D$1:$O$258,9,FALSE))))</f>
        <v/>
      </c>
      <c r="L99" s="520" t="str">
        <f>IF(E99="","",IF(ISNA(VLOOKUP($E99,'D-1 Off Site Habitat Baseline'!$D$1:$O$258,11,FALSE)),"",(VLOOKUP($E99,'D-1 Off Site Habitat Baseline'!$D$1:$O$258,11,FALSE))))</f>
        <v/>
      </c>
      <c r="M99" s="520" t="str">
        <f>IF(E99="","",IF(ISNA(VLOOKUP($E99,'D-1 Off Site Habitat Baseline'!$D$1:$O$258,12,FALSE)),"",(VLOOKUP($E99,'D-1 Off Site Habitat Baseline'!$D$1:$O$258,12,FALSE))))</f>
        <v/>
      </c>
      <c r="N99" s="520" t="str">
        <f>IF(E99="","",IF(ISNA(VLOOKUP($E99,'D-1 Off Site Habitat Baseline'!$D$1:$X$258,14,FALSE)),"",(VLOOKUP($E99,'D-1 Off Site Habitat Baseline'!$D$1:$X$258,14,FALSE))))</f>
        <v/>
      </c>
      <c r="O99" s="524" t="str">
        <f>IF(E99="","",IF(ISNA(VLOOKUP($E99,'D-1 Off Site Habitat Baseline'!$D$1:$X$258,13,FALSE)),"",(VLOOKUP($E99,'D-1 Off Site Habitat Baseline'!$D$1:$X$258,13,FALSE))))</f>
        <v/>
      </c>
      <c r="P99" s="232" t="str">
        <f>IFERROR(INDEX('G-1 All Habitats'!$AG$3:$AG$15,MATCH(Q99,'G-1 All Habitats'!$AF$3:$AF$15,0)),"")</f>
        <v/>
      </c>
      <c r="Q99" s="228" t="str">
        <f t="shared" si="23"/>
        <v/>
      </c>
      <c r="R99" s="229" t="str">
        <f t="shared" si="24"/>
        <v/>
      </c>
      <c r="S99" s="233" t="str">
        <f>IFERROR(INDEX('G-1 All Habitats'!$B$3:$B$129,MATCH(R99,'G-1 All Habitats'!$A$3:$A$129,0)),"")</f>
        <v/>
      </c>
      <c r="T99" s="507" t="str">
        <f t="shared" si="16"/>
        <v/>
      </c>
      <c r="U99" s="524" t="str">
        <f t="shared" si="17"/>
        <v/>
      </c>
      <c r="V99" s="523" t="str">
        <f t="shared" si="14"/>
        <v/>
      </c>
      <c r="W99" s="520" t="str">
        <f>IF(S99="","",VLOOKUP(S99,'G-1 All Habitats'!$B$2:$M$129,10,FALSE))</f>
        <v/>
      </c>
      <c r="X99" s="520" t="str">
        <f>IFERROR(VLOOKUP(W99,'G-1 All Habitats'!$V$3:$W$7,2,FALSE),"")</f>
        <v/>
      </c>
      <c r="Y99" s="203"/>
      <c r="Z99" s="524" t="str">
        <f>IFERROR(INDEX('G-8 Condition Look up'!$A$3:$H$130,MATCH(S99,'G-8 Condition Look up'!$A$3:$A$130,0),MATCH(Y99,'G-8 Condition Look up'!$A$3:$H$3,0)),"")</f>
        <v/>
      </c>
      <c r="AA99" s="145"/>
      <c r="AB99" s="540" t="str">
        <f>IF(AA99="","",IF(VLOOKUP(AA99,'G-3 Multipliers'!$L$3:$N$6,2,FALSE)=0,"Spatial Data Missing ⚠",VLOOKUP(AA99,'G-3 Multipliers'!$L$3:$N$6,2,FALSE)))</f>
        <v/>
      </c>
      <c r="AC99" s="524" t="str">
        <f>IF(AA99="","",IF(VLOOKUP(AA99,'G-3 Multipliers'!$L$3:$N$6,3,FALSE)=0,"Spatial Data Missing ⚠",VLOOKUP(AA99,'G-3 Multipliers'!$L$3:$N$6,3,FALSE)))</f>
        <v/>
      </c>
      <c r="AD99" s="537" t="str">
        <f t="shared" si="15"/>
        <v/>
      </c>
      <c r="AE99" s="203"/>
      <c r="AF99" s="203"/>
      <c r="AG99" s="520" t="str">
        <f t="shared" si="18"/>
        <v/>
      </c>
      <c r="AH99" s="544" t="str">
        <f t="shared" si="19"/>
        <v/>
      </c>
      <c r="AI99" s="525" t="str">
        <f>IF(AH99="Check Data ⚠","Check Data ⚠",IFERROR(VLOOKUP(AH99,'G-4 Temporal multipliers'!$A$4:$C$36,3,FALSE),""))</f>
        <v/>
      </c>
      <c r="AJ99" s="537" t="str">
        <f>IF(S99="","",VLOOKUP(S99,'G-3 Multipliers'!$A$2:$E$129,4,FALSE))</f>
        <v/>
      </c>
      <c r="AK99" s="520" t="str">
        <f t="shared" si="20"/>
        <v/>
      </c>
      <c r="AL99" s="520" t="str">
        <f t="shared" si="21"/>
        <v/>
      </c>
      <c r="AM99" s="524" t="str">
        <f>IFERROR(IF(F99="","",IF(AH99="Check Data ⚠","Check Data ⚠",VLOOKUP(AL99, 'G-3 Multipliers'!$P$2:$Q$6,2,FALSE))),"")</f>
        <v/>
      </c>
      <c r="AN99" s="197"/>
      <c r="AO99" s="540" t="str">
        <f>IF(AN99="","",IF(VLOOKUP(AN99,'G-3 Multipliers'!$S$3:$T$9,2,FALSE)=0,"Spatial Data Missing ⚠",VLOOKUP(AN99,'G-3 Multipliers'!$S$3:$T$9,2,FALSE)))</f>
        <v/>
      </c>
      <c r="AP99" s="513" t="str">
        <f t="shared" si="22"/>
        <v/>
      </c>
      <c r="AQ99" s="231"/>
      <c r="AR99" s="150"/>
    </row>
    <row r="100" spans="1:44" x14ac:dyDescent="0.3">
      <c r="A100" s="31" t="str">
        <f>IF(E100="","",IF(ISNA(VLOOKUP($E100,'D-1 Off Site Habitat Baseline'!$D$1:$O$258,2,FALSE)),"",(VLOOKUP($E100,'D-1 Off Site Habitat Baseline'!$D$1:$O$258,2,FALSE))))</f>
        <v/>
      </c>
      <c r="B100" s="31" t="str">
        <f>IF(E100="","",IF(ISNA(VLOOKUP($E100,'D-1 Off Site Habitat Baseline'!$D$1:$O$258,3,FALSE)),"",(VLOOKUP($E100,'D-1 Off Site Habitat Baseline'!$D$1:$O$258,3,FALSE))))</f>
        <v/>
      </c>
      <c r="C100" s="31" t="str">
        <f>IFERROR(INDEX('G-8 Condition Look up'!$I$4:$I$130,MATCH(S100,'G-8 Condition Look up'!$A$4:$A$130,0)),"")</f>
        <v/>
      </c>
      <c r="E100" s="547" t="str">
        <f>'D-1 Off Site Habitat Baseline'!AL99</f>
        <v/>
      </c>
      <c r="F100" s="520" t="str">
        <f>IF(E100="","",IF(ISNA(VLOOKUP($E100,'D-1 Off Site Habitat Baseline'!$D$1:$O$258,4,FALSE)),"",(VLOOKUP($E100,'D-1 Off Site Habitat Baseline'!$D$1:$O$258,4,FALSE))))</f>
        <v/>
      </c>
      <c r="G100" s="520" t="str">
        <f>IF(E100="","",IF(ISNA(VLOOKUP($E100,'D-1 Off Site Habitat Baseline'!$D$1:$O$258,5,FALSE)),"",(VLOOKUP($E100,'D-1 Off Site Habitat Baseline'!$D$1:$O$258,5,FALSE))))</f>
        <v/>
      </c>
      <c r="H100" s="520" t="str">
        <f>IF(E100="","",IF(ISNA(VLOOKUP($E100,'D-1 Off Site Habitat Baseline'!$D$1:$O$258,6,FALSE)),"",(VLOOKUP($E100,'D-1 Off Site Habitat Baseline'!$D$1:$O$258,6,FALSE))))</f>
        <v/>
      </c>
      <c r="I100" s="520" t="str">
        <f>IF(E100="","",IF(ISNA(VLOOKUP($E100,'D-1 Off Site Habitat Baseline'!$D$1:$O$258,7,FALSE)),"",(VLOOKUP($E100,'D-1 Off Site Habitat Baseline'!$D$1:$O$258,7,FALSE))))</f>
        <v/>
      </c>
      <c r="J100" s="520" t="str">
        <f>IF(E100="","",IF(ISNA(VLOOKUP($E100,'D-1 Off Site Habitat Baseline'!$D$1:$O$258,8,FALSE)),"",(VLOOKUP($E100,'D-1 Off Site Habitat Baseline'!$D$1:$O$258,8,FALSE))))</f>
        <v/>
      </c>
      <c r="K100" s="520" t="str">
        <f>IF(E100="","",IF(ISNA(VLOOKUP($E100,'D-1 Off Site Habitat Baseline'!$D$1:$O$258,9,FALSE)),"",(VLOOKUP($E100,'D-1 Off Site Habitat Baseline'!$D$1:$O$258,9,FALSE))))</f>
        <v/>
      </c>
      <c r="L100" s="520" t="str">
        <f>IF(E100="","",IF(ISNA(VLOOKUP($E100,'D-1 Off Site Habitat Baseline'!$D$1:$O$258,11,FALSE)),"",(VLOOKUP($E100,'D-1 Off Site Habitat Baseline'!$D$1:$O$258,11,FALSE))))</f>
        <v/>
      </c>
      <c r="M100" s="520" t="str">
        <f>IF(E100="","",IF(ISNA(VLOOKUP($E100,'D-1 Off Site Habitat Baseline'!$D$1:$O$258,12,FALSE)),"",(VLOOKUP($E100,'D-1 Off Site Habitat Baseline'!$D$1:$O$258,12,FALSE))))</f>
        <v/>
      </c>
      <c r="N100" s="520" t="str">
        <f>IF(E100="","",IF(ISNA(VLOOKUP($E100,'D-1 Off Site Habitat Baseline'!$D$1:$X$258,14,FALSE)),"",(VLOOKUP($E100,'D-1 Off Site Habitat Baseline'!$D$1:$X$258,14,FALSE))))</f>
        <v/>
      </c>
      <c r="O100" s="524" t="str">
        <f>IF(E100="","",IF(ISNA(VLOOKUP($E100,'D-1 Off Site Habitat Baseline'!$D$1:$X$258,13,FALSE)),"",(VLOOKUP($E100,'D-1 Off Site Habitat Baseline'!$D$1:$X$258,13,FALSE))))</f>
        <v/>
      </c>
      <c r="P100" s="232" t="str">
        <f>IFERROR(INDEX('G-1 All Habitats'!$AG$3:$AG$15,MATCH(Q100,'G-1 All Habitats'!$AF$3:$AF$15,0)),"")</f>
        <v/>
      </c>
      <c r="Q100" s="228" t="str">
        <f t="shared" si="23"/>
        <v/>
      </c>
      <c r="R100" s="229" t="str">
        <f t="shared" si="24"/>
        <v/>
      </c>
      <c r="S100" s="233" t="str">
        <f>IFERROR(INDEX('G-1 All Habitats'!$B$3:$B$129,MATCH(R100,'G-1 All Habitats'!$A$3:$A$129,0)),"")</f>
        <v/>
      </c>
      <c r="T100" s="507" t="str">
        <f t="shared" si="16"/>
        <v/>
      </c>
      <c r="U100" s="524" t="str">
        <f t="shared" si="17"/>
        <v/>
      </c>
      <c r="V100" s="523" t="str">
        <f t="shared" si="14"/>
        <v/>
      </c>
      <c r="W100" s="520" t="str">
        <f>IF(S100="","",VLOOKUP(S100,'G-1 All Habitats'!$B$2:$M$129,10,FALSE))</f>
        <v/>
      </c>
      <c r="X100" s="520" t="str">
        <f>IFERROR(VLOOKUP(W100,'G-1 All Habitats'!$V$3:$W$7,2,FALSE),"")</f>
        <v/>
      </c>
      <c r="Y100" s="203"/>
      <c r="Z100" s="524" t="str">
        <f>IFERROR(INDEX('G-8 Condition Look up'!$A$3:$H$130,MATCH(S100,'G-8 Condition Look up'!$A$3:$A$130,0),MATCH(Y100,'G-8 Condition Look up'!$A$3:$H$3,0)),"")</f>
        <v/>
      </c>
      <c r="AA100" s="145"/>
      <c r="AB100" s="540" t="str">
        <f>IF(AA100="","",IF(VLOOKUP(AA100,'G-3 Multipliers'!$L$3:$N$6,2,FALSE)=0,"Spatial Data Missing ⚠",VLOOKUP(AA100,'G-3 Multipliers'!$L$3:$N$6,2,FALSE)))</f>
        <v/>
      </c>
      <c r="AC100" s="524" t="str">
        <f>IF(AA100="","",IF(VLOOKUP(AA100,'G-3 Multipliers'!$L$3:$N$6,3,FALSE)=0,"Spatial Data Missing ⚠",VLOOKUP(AA100,'G-3 Multipliers'!$L$3:$N$6,3,FALSE)))</f>
        <v/>
      </c>
      <c r="AD100" s="537" t="str">
        <f t="shared" si="15"/>
        <v/>
      </c>
      <c r="AE100" s="203"/>
      <c r="AF100" s="203"/>
      <c r="AG100" s="520" t="str">
        <f t="shared" si="18"/>
        <v/>
      </c>
      <c r="AH100" s="544" t="str">
        <f t="shared" si="19"/>
        <v/>
      </c>
      <c r="AI100" s="525" t="str">
        <f>IF(AH100="Check Data ⚠","Check Data ⚠",IFERROR(VLOOKUP(AH100,'G-4 Temporal multipliers'!$A$4:$C$36,3,FALSE),""))</f>
        <v/>
      </c>
      <c r="AJ100" s="537" t="str">
        <f>IF(S100="","",VLOOKUP(S100,'G-3 Multipliers'!$A$2:$E$129,4,FALSE))</f>
        <v/>
      </c>
      <c r="AK100" s="520" t="str">
        <f t="shared" si="20"/>
        <v/>
      </c>
      <c r="AL100" s="520" t="str">
        <f t="shared" si="21"/>
        <v/>
      </c>
      <c r="AM100" s="524" t="str">
        <f>IFERROR(IF(F100="","",IF(AH100="Check Data ⚠","Check Data ⚠",VLOOKUP(AL100, 'G-3 Multipliers'!$P$2:$Q$6,2,FALSE))),"")</f>
        <v/>
      </c>
      <c r="AN100" s="197"/>
      <c r="AO100" s="540" t="str">
        <f>IF(AN100="","",IF(VLOOKUP(AN100,'G-3 Multipliers'!$S$3:$T$9,2,FALSE)=0,"Spatial Data Missing ⚠",VLOOKUP(AN100,'G-3 Multipliers'!$S$3:$T$9,2,FALSE)))</f>
        <v/>
      </c>
      <c r="AP100" s="513" t="str">
        <f t="shared" si="22"/>
        <v/>
      </c>
      <c r="AQ100" s="231"/>
      <c r="AR100" s="150"/>
    </row>
    <row r="101" spans="1:44" x14ac:dyDescent="0.3">
      <c r="A101" s="31" t="str">
        <f>IF(E101="","",IF(ISNA(VLOOKUP($E101,'D-1 Off Site Habitat Baseline'!$D$1:$O$258,2,FALSE)),"",(VLOOKUP($E101,'D-1 Off Site Habitat Baseline'!$D$1:$O$258,2,FALSE))))</f>
        <v/>
      </c>
      <c r="B101" s="31" t="str">
        <f>IF(E101="","",IF(ISNA(VLOOKUP($E101,'D-1 Off Site Habitat Baseline'!$D$1:$O$258,3,FALSE)),"",(VLOOKUP($E101,'D-1 Off Site Habitat Baseline'!$D$1:$O$258,3,FALSE))))</f>
        <v/>
      </c>
      <c r="C101" s="31" t="str">
        <f>IFERROR(INDEX('G-8 Condition Look up'!$I$4:$I$130,MATCH(S101,'G-8 Condition Look up'!$A$4:$A$130,0)),"")</f>
        <v/>
      </c>
      <c r="E101" s="547" t="str">
        <f>'D-1 Off Site Habitat Baseline'!AL100</f>
        <v/>
      </c>
      <c r="F101" s="520" t="str">
        <f>IF(E101="","",IF(ISNA(VLOOKUP($E101,'D-1 Off Site Habitat Baseline'!$D$1:$O$258,4,FALSE)),"",(VLOOKUP($E101,'D-1 Off Site Habitat Baseline'!$D$1:$O$258,4,FALSE))))</f>
        <v/>
      </c>
      <c r="G101" s="520" t="str">
        <f>IF(E101="","",IF(ISNA(VLOOKUP($E101,'D-1 Off Site Habitat Baseline'!$D$1:$O$258,5,FALSE)),"",(VLOOKUP($E101,'D-1 Off Site Habitat Baseline'!$D$1:$O$258,5,FALSE))))</f>
        <v/>
      </c>
      <c r="H101" s="520" t="str">
        <f>IF(E101="","",IF(ISNA(VLOOKUP($E101,'D-1 Off Site Habitat Baseline'!$D$1:$O$258,6,FALSE)),"",(VLOOKUP($E101,'D-1 Off Site Habitat Baseline'!$D$1:$O$258,6,FALSE))))</f>
        <v/>
      </c>
      <c r="I101" s="520" t="str">
        <f>IF(E101="","",IF(ISNA(VLOOKUP($E101,'D-1 Off Site Habitat Baseline'!$D$1:$O$258,7,FALSE)),"",(VLOOKUP($E101,'D-1 Off Site Habitat Baseline'!$D$1:$O$258,7,FALSE))))</f>
        <v/>
      </c>
      <c r="J101" s="520" t="str">
        <f>IF(E101="","",IF(ISNA(VLOOKUP($E101,'D-1 Off Site Habitat Baseline'!$D$1:$O$258,8,FALSE)),"",(VLOOKUP($E101,'D-1 Off Site Habitat Baseline'!$D$1:$O$258,8,FALSE))))</f>
        <v/>
      </c>
      <c r="K101" s="520" t="str">
        <f>IF(E101="","",IF(ISNA(VLOOKUP($E101,'D-1 Off Site Habitat Baseline'!$D$1:$O$258,9,FALSE)),"",(VLOOKUP($E101,'D-1 Off Site Habitat Baseline'!$D$1:$O$258,9,FALSE))))</f>
        <v/>
      </c>
      <c r="L101" s="520" t="str">
        <f>IF(E101="","",IF(ISNA(VLOOKUP($E101,'D-1 Off Site Habitat Baseline'!$D$1:$O$258,11,FALSE)),"",(VLOOKUP($E101,'D-1 Off Site Habitat Baseline'!$D$1:$O$258,11,FALSE))))</f>
        <v/>
      </c>
      <c r="M101" s="520" t="str">
        <f>IF(E101="","",IF(ISNA(VLOOKUP($E101,'D-1 Off Site Habitat Baseline'!$D$1:$O$258,12,FALSE)),"",(VLOOKUP($E101,'D-1 Off Site Habitat Baseline'!$D$1:$O$258,12,FALSE))))</f>
        <v/>
      </c>
      <c r="N101" s="520" t="str">
        <f>IF(E101="","",IF(ISNA(VLOOKUP($E101,'D-1 Off Site Habitat Baseline'!$D$1:$X$258,14,FALSE)),"",(VLOOKUP($E101,'D-1 Off Site Habitat Baseline'!$D$1:$X$258,14,FALSE))))</f>
        <v/>
      </c>
      <c r="O101" s="524" t="str">
        <f>IF(E101="","",IF(ISNA(VLOOKUP($E101,'D-1 Off Site Habitat Baseline'!$D$1:$X$258,13,FALSE)),"",(VLOOKUP($E101,'D-1 Off Site Habitat Baseline'!$D$1:$X$258,13,FALSE))))</f>
        <v/>
      </c>
      <c r="P101" s="232" t="str">
        <f>IFERROR(INDEX('G-1 All Habitats'!$AG$3:$AG$15,MATCH(Q101,'G-1 All Habitats'!$AF$3:$AF$15,0)),"")</f>
        <v/>
      </c>
      <c r="Q101" s="228" t="str">
        <f t="shared" si="23"/>
        <v/>
      </c>
      <c r="R101" s="229" t="str">
        <f t="shared" si="24"/>
        <v/>
      </c>
      <c r="S101" s="233" t="str">
        <f>IFERROR(INDEX('G-1 All Habitats'!$B$3:$B$129,MATCH(R101,'G-1 All Habitats'!$A$3:$A$129,0)),"")</f>
        <v/>
      </c>
      <c r="T101" s="507" t="str">
        <f t="shared" si="16"/>
        <v/>
      </c>
      <c r="U101" s="524" t="str">
        <f t="shared" si="17"/>
        <v/>
      </c>
      <c r="V101" s="523" t="str">
        <f t="shared" si="14"/>
        <v/>
      </c>
      <c r="W101" s="520" t="str">
        <f>IF(S101="","",VLOOKUP(S101,'G-1 All Habitats'!$B$2:$M$129,10,FALSE))</f>
        <v/>
      </c>
      <c r="X101" s="520" t="str">
        <f>IFERROR(VLOOKUP(W101,'G-1 All Habitats'!$V$3:$W$7,2,FALSE),"")</f>
        <v/>
      </c>
      <c r="Y101" s="203"/>
      <c r="Z101" s="524" t="str">
        <f>IFERROR(INDEX('G-8 Condition Look up'!$A$3:$H$130,MATCH(S101,'G-8 Condition Look up'!$A$3:$A$130,0),MATCH(Y101,'G-8 Condition Look up'!$A$3:$H$3,0)),"")</f>
        <v/>
      </c>
      <c r="AA101" s="145"/>
      <c r="AB101" s="540" t="str">
        <f>IF(AA101="","",IF(VLOOKUP(AA101,'G-3 Multipliers'!$L$3:$N$6,2,FALSE)=0,"Spatial Data Missing ⚠",VLOOKUP(AA101,'G-3 Multipliers'!$L$3:$N$6,2,FALSE)))</f>
        <v/>
      </c>
      <c r="AC101" s="524" t="str">
        <f>IF(AA101="","",IF(VLOOKUP(AA101,'G-3 Multipliers'!$L$3:$N$6,3,FALSE)=0,"Spatial Data Missing ⚠",VLOOKUP(AA101,'G-3 Multipliers'!$L$3:$N$6,3,FALSE)))</f>
        <v/>
      </c>
      <c r="AD101" s="537" t="str">
        <f t="shared" si="15"/>
        <v/>
      </c>
      <c r="AE101" s="203"/>
      <c r="AF101" s="203"/>
      <c r="AG101" s="520" t="str">
        <f t="shared" si="18"/>
        <v/>
      </c>
      <c r="AH101" s="544" t="str">
        <f t="shared" si="19"/>
        <v/>
      </c>
      <c r="AI101" s="525" t="str">
        <f>IF(AH101="Check Data ⚠","Check Data ⚠",IFERROR(VLOOKUP(AH101,'G-4 Temporal multipliers'!$A$4:$C$36,3,FALSE),""))</f>
        <v/>
      </c>
      <c r="AJ101" s="537" t="str">
        <f>IF(S101="","",VLOOKUP(S101,'G-3 Multipliers'!$A$2:$E$129,4,FALSE))</f>
        <v/>
      </c>
      <c r="AK101" s="520" t="str">
        <f t="shared" si="20"/>
        <v/>
      </c>
      <c r="AL101" s="520" t="str">
        <f t="shared" si="21"/>
        <v/>
      </c>
      <c r="AM101" s="524" t="str">
        <f>IFERROR(IF(F101="","",IF(AH101="Check Data ⚠","Check Data ⚠",VLOOKUP(AL101, 'G-3 Multipliers'!$P$2:$Q$6,2,FALSE))),"")</f>
        <v/>
      </c>
      <c r="AN101" s="197"/>
      <c r="AO101" s="540" t="str">
        <f>IF(AN101="","",IF(VLOOKUP(AN101,'G-3 Multipliers'!$S$3:$T$9,2,FALSE)=0,"Spatial Data Missing ⚠",VLOOKUP(AN101,'G-3 Multipliers'!$S$3:$T$9,2,FALSE)))</f>
        <v/>
      </c>
      <c r="AP101" s="513" t="str">
        <f t="shared" si="22"/>
        <v/>
      </c>
      <c r="AQ101" s="231"/>
      <c r="AR101" s="150"/>
    </row>
    <row r="102" spans="1:44" x14ac:dyDescent="0.3">
      <c r="A102" s="31" t="str">
        <f>IF(E102="","",IF(ISNA(VLOOKUP($E102,'D-1 Off Site Habitat Baseline'!$D$1:$O$258,2,FALSE)),"",(VLOOKUP($E102,'D-1 Off Site Habitat Baseline'!$D$1:$O$258,2,FALSE))))</f>
        <v/>
      </c>
      <c r="B102" s="31" t="str">
        <f>IF(E102="","",IF(ISNA(VLOOKUP($E102,'D-1 Off Site Habitat Baseline'!$D$1:$O$258,3,FALSE)),"",(VLOOKUP($E102,'D-1 Off Site Habitat Baseline'!$D$1:$O$258,3,FALSE))))</f>
        <v/>
      </c>
      <c r="C102" s="31" t="str">
        <f>IFERROR(INDEX('G-8 Condition Look up'!$I$4:$I$130,MATCH(S102,'G-8 Condition Look up'!$A$4:$A$130,0)),"")</f>
        <v/>
      </c>
      <c r="E102" s="547" t="str">
        <f>'D-1 Off Site Habitat Baseline'!AL101</f>
        <v/>
      </c>
      <c r="F102" s="520" t="str">
        <f>IF(E102="","",IF(ISNA(VLOOKUP($E102,'D-1 Off Site Habitat Baseline'!$D$1:$O$258,4,FALSE)),"",(VLOOKUP($E102,'D-1 Off Site Habitat Baseline'!$D$1:$O$258,4,FALSE))))</f>
        <v/>
      </c>
      <c r="G102" s="520" t="str">
        <f>IF(E102="","",IF(ISNA(VLOOKUP($E102,'D-1 Off Site Habitat Baseline'!$D$1:$O$258,5,FALSE)),"",(VLOOKUP($E102,'D-1 Off Site Habitat Baseline'!$D$1:$O$258,5,FALSE))))</f>
        <v/>
      </c>
      <c r="H102" s="520" t="str">
        <f>IF(E102="","",IF(ISNA(VLOOKUP($E102,'D-1 Off Site Habitat Baseline'!$D$1:$O$258,6,FALSE)),"",(VLOOKUP($E102,'D-1 Off Site Habitat Baseline'!$D$1:$O$258,6,FALSE))))</f>
        <v/>
      </c>
      <c r="I102" s="520" t="str">
        <f>IF(E102="","",IF(ISNA(VLOOKUP($E102,'D-1 Off Site Habitat Baseline'!$D$1:$O$258,7,FALSE)),"",(VLOOKUP($E102,'D-1 Off Site Habitat Baseline'!$D$1:$O$258,7,FALSE))))</f>
        <v/>
      </c>
      <c r="J102" s="520" t="str">
        <f>IF(E102="","",IF(ISNA(VLOOKUP($E102,'D-1 Off Site Habitat Baseline'!$D$1:$O$258,8,FALSE)),"",(VLOOKUP($E102,'D-1 Off Site Habitat Baseline'!$D$1:$O$258,8,FALSE))))</f>
        <v/>
      </c>
      <c r="K102" s="520" t="str">
        <f>IF(E102="","",IF(ISNA(VLOOKUP($E102,'D-1 Off Site Habitat Baseline'!$D$1:$O$258,9,FALSE)),"",(VLOOKUP($E102,'D-1 Off Site Habitat Baseline'!$D$1:$O$258,9,FALSE))))</f>
        <v/>
      </c>
      <c r="L102" s="520" t="str">
        <f>IF(E102="","",IF(ISNA(VLOOKUP($E102,'D-1 Off Site Habitat Baseline'!$D$1:$O$258,11,FALSE)),"",(VLOOKUP($E102,'D-1 Off Site Habitat Baseline'!$D$1:$O$258,11,FALSE))))</f>
        <v/>
      </c>
      <c r="M102" s="520" t="str">
        <f>IF(E102="","",IF(ISNA(VLOOKUP($E102,'D-1 Off Site Habitat Baseline'!$D$1:$O$258,12,FALSE)),"",(VLOOKUP($E102,'D-1 Off Site Habitat Baseline'!$D$1:$O$258,12,FALSE))))</f>
        <v/>
      </c>
      <c r="N102" s="520" t="str">
        <f>IF(E102="","",IF(ISNA(VLOOKUP($E102,'D-1 Off Site Habitat Baseline'!$D$1:$X$258,14,FALSE)),"",(VLOOKUP($E102,'D-1 Off Site Habitat Baseline'!$D$1:$X$258,14,FALSE))))</f>
        <v/>
      </c>
      <c r="O102" s="524" t="str">
        <f>IF(E102="","",IF(ISNA(VLOOKUP($E102,'D-1 Off Site Habitat Baseline'!$D$1:$X$258,13,FALSE)),"",(VLOOKUP($E102,'D-1 Off Site Habitat Baseline'!$D$1:$X$258,13,FALSE))))</f>
        <v/>
      </c>
      <c r="P102" s="232" t="str">
        <f>IFERROR(INDEX('G-1 All Habitats'!$AG$3:$AG$15,MATCH(Q102,'G-1 All Habitats'!$AF$3:$AF$15,0)),"")</f>
        <v/>
      </c>
      <c r="Q102" s="228" t="str">
        <f t="shared" si="23"/>
        <v/>
      </c>
      <c r="R102" s="229" t="str">
        <f t="shared" si="24"/>
        <v/>
      </c>
      <c r="S102" s="233" t="str">
        <f>IFERROR(INDEX('G-1 All Habitats'!$B$3:$B$129,MATCH(R102,'G-1 All Habitats'!$A$3:$A$129,0)),"")</f>
        <v/>
      </c>
      <c r="T102" s="507" t="str">
        <f t="shared" si="16"/>
        <v/>
      </c>
      <c r="U102" s="524" t="str">
        <f t="shared" si="17"/>
        <v/>
      </c>
      <c r="V102" s="523" t="str">
        <f t="shared" si="14"/>
        <v/>
      </c>
      <c r="W102" s="520" t="str">
        <f>IF(S102="","",VLOOKUP(S102,'G-1 All Habitats'!$B$2:$M$129,10,FALSE))</f>
        <v/>
      </c>
      <c r="X102" s="520" t="str">
        <f>IFERROR(VLOOKUP(W102,'G-1 All Habitats'!$V$3:$W$7,2,FALSE),"")</f>
        <v/>
      </c>
      <c r="Y102" s="203"/>
      <c r="Z102" s="524" t="str">
        <f>IFERROR(INDEX('G-8 Condition Look up'!$A$3:$H$130,MATCH(S102,'G-8 Condition Look up'!$A$3:$A$130,0),MATCH(Y102,'G-8 Condition Look up'!$A$3:$H$3,0)),"")</f>
        <v/>
      </c>
      <c r="AA102" s="145"/>
      <c r="AB102" s="540" t="str">
        <f>IF(AA102="","",IF(VLOOKUP(AA102,'G-3 Multipliers'!$L$3:$N$6,2,FALSE)=0,"Spatial Data Missing ⚠",VLOOKUP(AA102,'G-3 Multipliers'!$L$3:$N$6,2,FALSE)))</f>
        <v/>
      </c>
      <c r="AC102" s="524" t="str">
        <f>IF(AA102="","",IF(VLOOKUP(AA102,'G-3 Multipliers'!$L$3:$N$6,3,FALSE)=0,"Spatial Data Missing ⚠",VLOOKUP(AA102,'G-3 Multipliers'!$L$3:$N$6,3,FALSE)))</f>
        <v/>
      </c>
      <c r="AD102" s="537" t="str">
        <f t="shared" si="15"/>
        <v/>
      </c>
      <c r="AE102" s="203"/>
      <c r="AF102" s="203"/>
      <c r="AG102" s="520" t="str">
        <f t="shared" si="18"/>
        <v/>
      </c>
      <c r="AH102" s="544" t="str">
        <f t="shared" si="19"/>
        <v/>
      </c>
      <c r="AI102" s="525" t="str">
        <f>IF(AH102="Check Data ⚠","Check Data ⚠",IFERROR(VLOOKUP(AH102,'G-4 Temporal multipliers'!$A$4:$C$36,3,FALSE),""))</f>
        <v/>
      </c>
      <c r="AJ102" s="537" t="str">
        <f>IF(S102="","",VLOOKUP(S102,'G-3 Multipliers'!$A$2:$E$129,4,FALSE))</f>
        <v/>
      </c>
      <c r="AK102" s="520" t="str">
        <f t="shared" si="20"/>
        <v/>
      </c>
      <c r="AL102" s="520" t="str">
        <f t="shared" si="21"/>
        <v/>
      </c>
      <c r="AM102" s="524" t="str">
        <f>IFERROR(IF(F102="","",IF(AH102="Check Data ⚠","Check Data ⚠",VLOOKUP(AL102, 'G-3 Multipliers'!$P$2:$Q$6,2,FALSE))),"")</f>
        <v/>
      </c>
      <c r="AN102" s="197"/>
      <c r="AO102" s="540" t="str">
        <f>IF(AN102="","",IF(VLOOKUP(AN102,'G-3 Multipliers'!$S$3:$T$9,2,FALSE)=0,"Spatial Data Missing ⚠",VLOOKUP(AN102,'G-3 Multipliers'!$S$3:$T$9,2,FALSE)))</f>
        <v/>
      </c>
      <c r="AP102" s="513" t="str">
        <f t="shared" si="22"/>
        <v/>
      </c>
      <c r="AQ102" s="231"/>
      <c r="AR102" s="150"/>
    </row>
    <row r="103" spans="1:44" x14ac:dyDescent="0.3">
      <c r="A103" s="31" t="str">
        <f>IF(E103="","",IF(ISNA(VLOOKUP($E103,'D-1 Off Site Habitat Baseline'!$D$1:$O$258,2,FALSE)),"",(VLOOKUP($E103,'D-1 Off Site Habitat Baseline'!$D$1:$O$258,2,FALSE))))</f>
        <v/>
      </c>
      <c r="B103" s="31" t="str">
        <f>IF(E103="","",IF(ISNA(VLOOKUP($E103,'D-1 Off Site Habitat Baseline'!$D$1:$O$258,3,FALSE)),"",(VLOOKUP($E103,'D-1 Off Site Habitat Baseline'!$D$1:$O$258,3,FALSE))))</f>
        <v/>
      </c>
      <c r="C103" s="31" t="str">
        <f>IFERROR(INDEX('G-8 Condition Look up'!$I$4:$I$130,MATCH(S103,'G-8 Condition Look up'!$A$4:$A$130,0)),"")</f>
        <v/>
      </c>
      <c r="E103" s="547" t="str">
        <f>'D-1 Off Site Habitat Baseline'!AL102</f>
        <v/>
      </c>
      <c r="F103" s="520" t="str">
        <f>IF(E103="","",IF(ISNA(VLOOKUP($E103,'D-1 Off Site Habitat Baseline'!$D$1:$O$258,4,FALSE)),"",(VLOOKUP($E103,'D-1 Off Site Habitat Baseline'!$D$1:$O$258,4,FALSE))))</f>
        <v/>
      </c>
      <c r="G103" s="520" t="str">
        <f>IF(E103="","",IF(ISNA(VLOOKUP($E103,'D-1 Off Site Habitat Baseline'!$D$1:$O$258,5,FALSE)),"",(VLOOKUP($E103,'D-1 Off Site Habitat Baseline'!$D$1:$O$258,5,FALSE))))</f>
        <v/>
      </c>
      <c r="H103" s="520" t="str">
        <f>IF(E103="","",IF(ISNA(VLOOKUP($E103,'D-1 Off Site Habitat Baseline'!$D$1:$O$258,6,FALSE)),"",(VLOOKUP($E103,'D-1 Off Site Habitat Baseline'!$D$1:$O$258,6,FALSE))))</f>
        <v/>
      </c>
      <c r="I103" s="520" t="str">
        <f>IF(E103="","",IF(ISNA(VLOOKUP($E103,'D-1 Off Site Habitat Baseline'!$D$1:$O$258,7,FALSE)),"",(VLOOKUP($E103,'D-1 Off Site Habitat Baseline'!$D$1:$O$258,7,FALSE))))</f>
        <v/>
      </c>
      <c r="J103" s="520" t="str">
        <f>IF(E103="","",IF(ISNA(VLOOKUP($E103,'D-1 Off Site Habitat Baseline'!$D$1:$O$258,8,FALSE)),"",(VLOOKUP($E103,'D-1 Off Site Habitat Baseline'!$D$1:$O$258,8,FALSE))))</f>
        <v/>
      </c>
      <c r="K103" s="520" t="str">
        <f>IF(E103="","",IF(ISNA(VLOOKUP($E103,'D-1 Off Site Habitat Baseline'!$D$1:$O$258,9,FALSE)),"",(VLOOKUP($E103,'D-1 Off Site Habitat Baseline'!$D$1:$O$258,9,FALSE))))</f>
        <v/>
      </c>
      <c r="L103" s="520" t="str">
        <f>IF(E103="","",IF(ISNA(VLOOKUP($E103,'D-1 Off Site Habitat Baseline'!$D$1:$O$258,11,FALSE)),"",(VLOOKUP($E103,'D-1 Off Site Habitat Baseline'!$D$1:$O$258,11,FALSE))))</f>
        <v/>
      </c>
      <c r="M103" s="520" t="str">
        <f>IF(E103="","",IF(ISNA(VLOOKUP($E103,'D-1 Off Site Habitat Baseline'!$D$1:$O$258,12,FALSE)),"",(VLOOKUP($E103,'D-1 Off Site Habitat Baseline'!$D$1:$O$258,12,FALSE))))</f>
        <v/>
      </c>
      <c r="N103" s="520" t="str">
        <f>IF(E103="","",IF(ISNA(VLOOKUP($E103,'D-1 Off Site Habitat Baseline'!$D$1:$X$258,14,FALSE)),"",(VLOOKUP($E103,'D-1 Off Site Habitat Baseline'!$D$1:$X$258,14,FALSE))))</f>
        <v/>
      </c>
      <c r="O103" s="524" t="str">
        <f>IF(E103="","",IF(ISNA(VLOOKUP($E103,'D-1 Off Site Habitat Baseline'!$D$1:$X$258,13,FALSE)),"",(VLOOKUP($E103,'D-1 Off Site Habitat Baseline'!$D$1:$X$258,13,FALSE))))</f>
        <v/>
      </c>
      <c r="P103" s="232" t="str">
        <f>IFERROR(INDEX('G-1 All Habitats'!$AG$3:$AG$15,MATCH(Q103,'G-1 All Habitats'!$AF$3:$AF$15,0)),"")</f>
        <v/>
      </c>
      <c r="Q103" s="228" t="str">
        <f t="shared" si="23"/>
        <v/>
      </c>
      <c r="R103" s="229" t="str">
        <f t="shared" si="24"/>
        <v/>
      </c>
      <c r="S103" s="233" t="str">
        <f>IFERROR(INDEX('G-1 All Habitats'!$B$3:$B$129,MATCH(R103,'G-1 All Habitats'!$A$3:$A$129,0)),"")</f>
        <v/>
      </c>
      <c r="T103" s="507" t="str">
        <f t="shared" si="16"/>
        <v/>
      </c>
      <c r="U103" s="524" t="str">
        <f t="shared" si="17"/>
        <v/>
      </c>
      <c r="V103" s="523" t="str">
        <f t="shared" si="14"/>
        <v/>
      </c>
      <c r="W103" s="520" t="str">
        <f>IF(S103="","",VLOOKUP(S103,'G-1 All Habitats'!$B$2:$M$129,10,FALSE))</f>
        <v/>
      </c>
      <c r="X103" s="520" t="str">
        <f>IFERROR(VLOOKUP(W103,'G-1 All Habitats'!$V$3:$W$7,2,FALSE),"")</f>
        <v/>
      </c>
      <c r="Y103" s="203"/>
      <c r="Z103" s="524" t="str">
        <f>IFERROR(INDEX('G-8 Condition Look up'!$A$3:$H$130,MATCH(S103,'G-8 Condition Look up'!$A$3:$A$130,0),MATCH(Y103,'G-8 Condition Look up'!$A$3:$H$3,0)),"")</f>
        <v/>
      </c>
      <c r="AA103" s="145"/>
      <c r="AB103" s="540" t="str">
        <f>IF(AA103="","",IF(VLOOKUP(AA103,'G-3 Multipliers'!$L$3:$N$6,2,FALSE)=0,"Spatial Data Missing ⚠",VLOOKUP(AA103,'G-3 Multipliers'!$L$3:$N$6,2,FALSE)))</f>
        <v/>
      </c>
      <c r="AC103" s="524" t="str">
        <f>IF(AA103="","",IF(VLOOKUP(AA103,'G-3 Multipliers'!$L$3:$N$6,3,FALSE)=0,"Spatial Data Missing ⚠",VLOOKUP(AA103,'G-3 Multipliers'!$L$3:$N$6,3,FALSE)))</f>
        <v/>
      </c>
      <c r="AD103" s="537" t="str">
        <f t="shared" si="15"/>
        <v/>
      </c>
      <c r="AE103" s="203"/>
      <c r="AF103" s="203"/>
      <c r="AG103" s="520" t="str">
        <f t="shared" si="18"/>
        <v/>
      </c>
      <c r="AH103" s="544" t="str">
        <f t="shared" si="19"/>
        <v/>
      </c>
      <c r="AI103" s="525" t="str">
        <f>IF(AH103="Check Data ⚠","Check Data ⚠",IFERROR(VLOOKUP(AH103,'G-4 Temporal multipliers'!$A$4:$C$36,3,FALSE),""))</f>
        <v/>
      </c>
      <c r="AJ103" s="537" t="str">
        <f>IF(S103="","",VLOOKUP(S103,'G-3 Multipliers'!$A$2:$E$129,4,FALSE))</f>
        <v/>
      </c>
      <c r="AK103" s="520" t="str">
        <f t="shared" si="20"/>
        <v/>
      </c>
      <c r="AL103" s="520" t="str">
        <f t="shared" si="21"/>
        <v/>
      </c>
      <c r="AM103" s="524" t="str">
        <f>IFERROR(IF(F103="","",IF(AH103="Check Data ⚠","Check Data ⚠",VLOOKUP(AL103, 'G-3 Multipliers'!$P$2:$Q$6,2,FALSE))),"")</f>
        <v/>
      </c>
      <c r="AN103" s="197"/>
      <c r="AO103" s="540" t="str">
        <f>IF(AN103="","",IF(VLOOKUP(AN103,'G-3 Multipliers'!$S$3:$T$9,2,FALSE)=0,"Spatial Data Missing ⚠",VLOOKUP(AN103,'G-3 Multipliers'!$S$3:$T$9,2,FALSE)))</f>
        <v/>
      </c>
      <c r="AP103" s="513" t="str">
        <f t="shared" si="22"/>
        <v/>
      </c>
      <c r="AQ103" s="231"/>
      <c r="AR103" s="150"/>
    </row>
    <row r="104" spans="1:44" x14ac:dyDescent="0.3">
      <c r="A104" s="31" t="str">
        <f>IF(E104="","",IF(ISNA(VLOOKUP($E104,'D-1 Off Site Habitat Baseline'!$D$1:$O$258,2,FALSE)),"",(VLOOKUP($E104,'D-1 Off Site Habitat Baseline'!$D$1:$O$258,2,FALSE))))</f>
        <v/>
      </c>
      <c r="B104" s="31" t="str">
        <f>IF(E104="","",IF(ISNA(VLOOKUP($E104,'D-1 Off Site Habitat Baseline'!$D$1:$O$258,3,FALSE)),"",(VLOOKUP($E104,'D-1 Off Site Habitat Baseline'!$D$1:$O$258,3,FALSE))))</f>
        <v/>
      </c>
      <c r="C104" s="31" t="str">
        <f>IFERROR(INDEX('G-8 Condition Look up'!$I$4:$I$130,MATCH(S104,'G-8 Condition Look up'!$A$4:$A$130,0)),"")</f>
        <v/>
      </c>
      <c r="E104" s="547" t="str">
        <f>'D-1 Off Site Habitat Baseline'!AL103</f>
        <v/>
      </c>
      <c r="F104" s="520" t="str">
        <f>IF(E104="","",IF(ISNA(VLOOKUP($E104,'D-1 Off Site Habitat Baseline'!$D$1:$O$258,4,FALSE)),"",(VLOOKUP($E104,'D-1 Off Site Habitat Baseline'!$D$1:$O$258,4,FALSE))))</f>
        <v/>
      </c>
      <c r="G104" s="520" t="str">
        <f>IF(E104="","",IF(ISNA(VLOOKUP($E104,'D-1 Off Site Habitat Baseline'!$D$1:$O$258,5,FALSE)),"",(VLOOKUP($E104,'D-1 Off Site Habitat Baseline'!$D$1:$O$258,5,FALSE))))</f>
        <v/>
      </c>
      <c r="H104" s="520" t="str">
        <f>IF(E104="","",IF(ISNA(VLOOKUP($E104,'D-1 Off Site Habitat Baseline'!$D$1:$O$258,6,FALSE)),"",(VLOOKUP($E104,'D-1 Off Site Habitat Baseline'!$D$1:$O$258,6,FALSE))))</f>
        <v/>
      </c>
      <c r="I104" s="520" t="str">
        <f>IF(E104="","",IF(ISNA(VLOOKUP($E104,'D-1 Off Site Habitat Baseline'!$D$1:$O$258,7,FALSE)),"",(VLOOKUP($E104,'D-1 Off Site Habitat Baseline'!$D$1:$O$258,7,FALSE))))</f>
        <v/>
      </c>
      <c r="J104" s="520" t="str">
        <f>IF(E104="","",IF(ISNA(VLOOKUP($E104,'D-1 Off Site Habitat Baseline'!$D$1:$O$258,8,FALSE)),"",(VLOOKUP($E104,'D-1 Off Site Habitat Baseline'!$D$1:$O$258,8,FALSE))))</f>
        <v/>
      </c>
      <c r="K104" s="520" t="str">
        <f>IF(E104="","",IF(ISNA(VLOOKUP($E104,'D-1 Off Site Habitat Baseline'!$D$1:$O$258,9,FALSE)),"",(VLOOKUP($E104,'D-1 Off Site Habitat Baseline'!$D$1:$O$258,9,FALSE))))</f>
        <v/>
      </c>
      <c r="L104" s="520" t="str">
        <f>IF(E104="","",IF(ISNA(VLOOKUP($E104,'D-1 Off Site Habitat Baseline'!$D$1:$O$258,11,FALSE)),"",(VLOOKUP($E104,'D-1 Off Site Habitat Baseline'!$D$1:$O$258,11,FALSE))))</f>
        <v/>
      </c>
      <c r="M104" s="520" t="str">
        <f>IF(E104="","",IF(ISNA(VLOOKUP($E104,'D-1 Off Site Habitat Baseline'!$D$1:$O$258,12,FALSE)),"",(VLOOKUP($E104,'D-1 Off Site Habitat Baseline'!$D$1:$O$258,12,FALSE))))</f>
        <v/>
      </c>
      <c r="N104" s="520" t="str">
        <f>IF(E104="","",IF(ISNA(VLOOKUP($E104,'D-1 Off Site Habitat Baseline'!$D$1:$X$258,14,FALSE)),"",(VLOOKUP($E104,'D-1 Off Site Habitat Baseline'!$D$1:$X$258,14,FALSE))))</f>
        <v/>
      </c>
      <c r="O104" s="524" t="str">
        <f>IF(E104="","",IF(ISNA(VLOOKUP($E104,'D-1 Off Site Habitat Baseline'!$D$1:$X$258,13,FALSE)),"",(VLOOKUP($E104,'D-1 Off Site Habitat Baseline'!$D$1:$X$258,13,FALSE))))</f>
        <v/>
      </c>
      <c r="P104" s="232" t="str">
        <f>IFERROR(INDEX('G-1 All Habitats'!$AG$3:$AG$15,MATCH(Q104,'G-1 All Habitats'!$AF$3:$AF$15,0)),"")</f>
        <v/>
      </c>
      <c r="Q104" s="228" t="str">
        <f t="shared" si="23"/>
        <v/>
      </c>
      <c r="R104" s="229" t="str">
        <f t="shared" si="24"/>
        <v/>
      </c>
      <c r="S104" s="233" t="str">
        <f>IFERROR(INDEX('G-1 All Habitats'!$B$3:$B$129,MATCH(R104,'G-1 All Habitats'!$A$3:$A$129,0)),"")</f>
        <v/>
      </c>
      <c r="T104" s="507" t="str">
        <f t="shared" si="16"/>
        <v/>
      </c>
      <c r="U104" s="524" t="str">
        <f t="shared" si="17"/>
        <v/>
      </c>
      <c r="V104" s="523" t="str">
        <f t="shared" si="14"/>
        <v/>
      </c>
      <c r="W104" s="520" t="str">
        <f>IF(S104="","",VLOOKUP(S104,'G-1 All Habitats'!$B$2:$M$129,10,FALSE))</f>
        <v/>
      </c>
      <c r="X104" s="520" t="str">
        <f>IFERROR(VLOOKUP(W104,'G-1 All Habitats'!$V$3:$W$7,2,FALSE),"")</f>
        <v/>
      </c>
      <c r="Y104" s="203"/>
      <c r="Z104" s="524" t="str">
        <f>IFERROR(INDEX('G-8 Condition Look up'!$A$3:$H$130,MATCH(S104,'G-8 Condition Look up'!$A$3:$A$130,0),MATCH(Y104,'G-8 Condition Look up'!$A$3:$H$3,0)),"")</f>
        <v/>
      </c>
      <c r="AA104" s="145"/>
      <c r="AB104" s="540" t="str">
        <f>IF(AA104="","",IF(VLOOKUP(AA104,'G-3 Multipliers'!$L$3:$N$6,2,FALSE)=0,"Spatial Data Missing ⚠",VLOOKUP(AA104,'G-3 Multipliers'!$L$3:$N$6,2,FALSE)))</f>
        <v/>
      </c>
      <c r="AC104" s="524" t="str">
        <f>IF(AA104="","",IF(VLOOKUP(AA104,'G-3 Multipliers'!$L$3:$N$6,3,FALSE)=0,"Spatial Data Missing ⚠",VLOOKUP(AA104,'G-3 Multipliers'!$L$3:$N$6,3,FALSE)))</f>
        <v/>
      </c>
      <c r="AD104" s="537" t="str">
        <f t="shared" si="15"/>
        <v/>
      </c>
      <c r="AE104" s="203"/>
      <c r="AF104" s="203"/>
      <c r="AG104" s="520" t="str">
        <f t="shared" si="18"/>
        <v/>
      </c>
      <c r="AH104" s="544" t="str">
        <f t="shared" si="19"/>
        <v/>
      </c>
      <c r="AI104" s="525" t="str">
        <f>IF(AH104="Check Data ⚠","Check Data ⚠",IFERROR(VLOOKUP(AH104,'G-4 Temporal multipliers'!$A$4:$C$36,3,FALSE),""))</f>
        <v/>
      </c>
      <c r="AJ104" s="537" t="str">
        <f>IF(S104="","",VLOOKUP(S104,'G-3 Multipliers'!$A$2:$E$129,4,FALSE))</f>
        <v/>
      </c>
      <c r="AK104" s="520" t="str">
        <f t="shared" si="20"/>
        <v/>
      </c>
      <c r="AL104" s="520" t="str">
        <f t="shared" si="21"/>
        <v/>
      </c>
      <c r="AM104" s="524" t="str">
        <f>IFERROR(IF(F104="","",IF(AH104="Check Data ⚠","Check Data ⚠",VLOOKUP(AL104, 'G-3 Multipliers'!$P$2:$Q$6,2,FALSE))),"")</f>
        <v/>
      </c>
      <c r="AN104" s="197"/>
      <c r="AO104" s="540" t="str">
        <f>IF(AN104="","",IF(VLOOKUP(AN104,'G-3 Multipliers'!$S$3:$T$9,2,FALSE)=0,"Spatial Data Missing ⚠",VLOOKUP(AN104,'G-3 Multipliers'!$S$3:$T$9,2,FALSE)))</f>
        <v/>
      </c>
      <c r="AP104" s="513" t="str">
        <f t="shared" si="22"/>
        <v/>
      </c>
      <c r="AQ104" s="231"/>
      <c r="AR104" s="150"/>
    </row>
    <row r="105" spans="1:44" x14ac:dyDescent="0.3">
      <c r="A105" s="31" t="str">
        <f>IF(E105="","",IF(ISNA(VLOOKUP($E105,'D-1 Off Site Habitat Baseline'!$D$1:$O$258,2,FALSE)),"",(VLOOKUP($E105,'D-1 Off Site Habitat Baseline'!$D$1:$O$258,2,FALSE))))</f>
        <v/>
      </c>
      <c r="B105" s="31" t="str">
        <f>IF(E105="","",IF(ISNA(VLOOKUP($E105,'D-1 Off Site Habitat Baseline'!$D$1:$O$258,3,FALSE)),"",(VLOOKUP($E105,'D-1 Off Site Habitat Baseline'!$D$1:$O$258,3,FALSE))))</f>
        <v/>
      </c>
      <c r="C105" s="31" t="str">
        <f>IFERROR(INDEX('G-8 Condition Look up'!$I$4:$I$130,MATCH(S105,'G-8 Condition Look up'!$A$4:$A$130,0)),"")</f>
        <v/>
      </c>
      <c r="E105" s="547" t="str">
        <f>'D-1 Off Site Habitat Baseline'!AL104</f>
        <v/>
      </c>
      <c r="F105" s="520" t="str">
        <f>IF(E105="","",IF(ISNA(VLOOKUP($E105,'D-1 Off Site Habitat Baseline'!$D$1:$O$258,4,FALSE)),"",(VLOOKUP($E105,'D-1 Off Site Habitat Baseline'!$D$1:$O$258,4,FALSE))))</f>
        <v/>
      </c>
      <c r="G105" s="520" t="str">
        <f>IF(E105="","",IF(ISNA(VLOOKUP($E105,'D-1 Off Site Habitat Baseline'!$D$1:$O$258,5,FALSE)),"",(VLOOKUP($E105,'D-1 Off Site Habitat Baseline'!$D$1:$O$258,5,FALSE))))</f>
        <v/>
      </c>
      <c r="H105" s="520" t="str">
        <f>IF(E105="","",IF(ISNA(VLOOKUP($E105,'D-1 Off Site Habitat Baseline'!$D$1:$O$258,6,FALSE)),"",(VLOOKUP($E105,'D-1 Off Site Habitat Baseline'!$D$1:$O$258,6,FALSE))))</f>
        <v/>
      </c>
      <c r="I105" s="520" t="str">
        <f>IF(E105="","",IF(ISNA(VLOOKUP($E105,'D-1 Off Site Habitat Baseline'!$D$1:$O$258,7,FALSE)),"",(VLOOKUP($E105,'D-1 Off Site Habitat Baseline'!$D$1:$O$258,7,FALSE))))</f>
        <v/>
      </c>
      <c r="J105" s="520" t="str">
        <f>IF(E105="","",IF(ISNA(VLOOKUP($E105,'D-1 Off Site Habitat Baseline'!$D$1:$O$258,8,FALSE)),"",(VLOOKUP($E105,'D-1 Off Site Habitat Baseline'!$D$1:$O$258,8,FALSE))))</f>
        <v/>
      </c>
      <c r="K105" s="520" t="str">
        <f>IF(E105="","",IF(ISNA(VLOOKUP($E105,'D-1 Off Site Habitat Baseline'!$D$1:$O$258,9,FALSE)),"",(VLOOKUP($E105,'D-1 Off Site Habitat Baseline'!$D$1:$O$258,9,FALSE))))</f>
        <v/>
      </c>
      <c r="L105" s="520" t="str">
        <f>IF(E105="","",IF(ISNA(VLOOKUP($E105,'D-1 Off Site Habitat Baseline'!$D$1:$O$258,11,FALSE)),"",(VLOOKUP($E105,'D-1 Off Site Habitat Baseline'!$D$1:$O$258,11,FALSE))))</f>
        <v/>
      </c>
      <c r="M105" s="520" t="str">
        <f>IF(E105="","",IF(ISNA(VLOOKUP($E105,'D-1 Off Site Habitat Baseline'!$D$1:$O$258,12,FALSE)),"",(VLOOKUP($E105,'D-1 Off Site Habitat Baseline'!$D$1:$O$258,12,FALSE))))</f>
        <v/>
      </c>
      <c r="N105" s="520" t="str">
        <f>IF(E105="","",IF(ISNA(VLOOKUP($E105,'D-1 Off Site Habitat Baseline'!$D$1:$X$258,14,FALSE)),"",(VLOOKUP($E105,'D-1 Off Site Habitat Baseline'!$D$1:$X$258,14,FALSE))))</f>
        <v/>
      </c>
      <c r="O105" s="524" t="str">
        <f>IF(E105="","",IF(ISNA(VLOOKUP($E105,'D-1 Off Site Habitat Baseline'!$D$1:$X$258,13,FALSE)),"",(VLOOKUP($E105,'D-1 Off Site Habitat Baseline'!$D$1:$X$258,13,FALSE))))</f>
        <v/>
      </c>
      <c r="P105" s="232" t="str">
        <f>IFERROR(INDEX('G-1 All Habitats'!$AG$3:$AG$15,MATCH(Q105,'G-1 All Habitats'!$AF$3:$AF$15,0)),"")</f>
        <v/>
      </c>
      <c r="Q105" s="228" t="str">
        <f t="shared" si="23"/>
        <v/>
      </c>
      <c r="R105" s="229" t="str">
        <f t="shared" si="24"/>
        <v/>
      </c>
      <c r="S105" s="233" t="str">
        <f>IFERROR(INDEX('G-1 All Habitats'!$B$3:$B$129,MATCH(R105,'G-1 All Habitats'!$A$3:$A$129,0)),"")</f>
        <v/>
      </c>
      <c r="T105" s="507" t="str">
        <f t="shared" si="16"/>
        <v/>
      </c>
      <c r="U105" s="524" t="str">
        <f t="shared" si="17"/>
        <v/>
      </c>
      <c r="V105" s="523" t="str">
        <f t="shared" si="14"/>
        <v/>
      </c>
      <c r="W105" s="520" t="str">
        <f>IF(S105="","",VLOOKUP(S105,'G-1 All Habitats'!$B$2:$M$129,10,FALSE))</f>
        <v/>
      </c>
      <c r="X105" s="520" t="str">
        <f>IFERROR(VLOOKUP(W105,'G-1 All Habitats'!$V$3:$W$7,2,FALSE),"")</f>
        <v/>
      </c>
      <c r="Y105" s="203"/>
      <c r="Z105" s="524" t="str">
        <f>IFERROR(INDEX('G-8 Condition Look up'!$A$3:$H$130,MATCH(S105,'G-8 Condition Look up'!$A$3:$A$130,0),MATCH(Y105,'G-8 Condition Look up'!$A$3:$H$3,0)),"")</f>
        <v/>
      </c>
      <c r="AA105" s="145"/>
      <c r="AB105" s="540" t="str">
        <f>IF(AA105="","",IF(VLOOKUP(AA105,'G-3 Multipliers'!$L$3:$N$6,2,FALSE)=0,"Spatial Data Missing ⚠",VLOOKUP(AA105,'G-3 Multipliers'!$L$3:$N$6,2,FALSE)))</f>
        <v/>
      </c>
      <c r="AC105" s="524" t="str">
        <f>IF(AA105="","",IF(VLOOKUP(AA105,'G-3 Multipliers'!$L$3:$N$6,3,FALSE)=0,"Spatial Data Missing ⚠",VLOOKUP(AA105,'G-3 Multipliers'!$L$3:$N$6,3,FALSE)))</f>
        <v/>
      </c>
      <c r="AD105" s="537" t="str">
        <f t="shared" si="15"/>
        <v/>
      </c>
      <c r="AE105" s="203"/>
      <c r="AF105" s="203"/>
      <c r="AG105" s="520" t="str">
        <f t="shared" si="18"/>
        <v/>
      </c>
      <c r="AH105" s="544" t="str">
        <f t="shared" si="19"/>
        <v/>
      </c>
      <c r="AI105" s="525" t="str">
        <f>IF(AH105="Check Data ⚠","Check Data ⚠",IFERROR(VLOOKUP(AH105,'G-4 Temporal multipliers'!$A$4:$C$36,3,FALSE),""))</f>
        <v/>
      </c>
      <c r="AJ105" s="537" t="str">
        <f>IF(S105="","",VLOOKUP(S105,'G-3 Multipliers'!$A$2:$E$129,4,FALSE))</f>
        <v/>
      </c>
      <c r="AK105" s="520" t="str">
        <f t="shared" si="20"/>
        <v/>
      </c>
      <c r="AL105" s="520" t="str">
        <f t="shared" si="21"/>
        <v/>
      </c>
      <c r="AM105" s="524" t="str">
        <f>IFERROR(IF(F105="","",IF(AH105="Check Data ⚠","Check Data ⚠",VLOOKUP(AL105, 'G-3 Multipliers'!$P$2:$Q$6,2,FALSE))),"")</f>
        <v/>
      </c>
      <c r="AN105" s="197"/>
      <c r="AO105" s="540" t="str">
        <f>IF(AN105="","",IF(VLOOKUP(AN105,'G-3 Multipliers'!$S$3:$T$9,2,FALSE)=0,"Spatial Data Missing ⚠",VLOOKUP(AN105,'G-3 Multipliers'!$S$3:$T$9,2,FALSE)))</f>
        <v/>
      </c>
      <c r="AP105" s="513" t="str">
        <f t="shared" si="22"/>
        <v/>
      </c>
      <c r="AQ105" s="231"/>
      <c r="AR105" s="150"/>
    </row>
    <row r="106" spans="1:44" x14ac:dyDescent="0.3">
      <c r="A106" s="31" t="str">
        <f>IF(E106="","",IF(ISNA(VLOOKUP($E106,'D-1 Off Site Habitat Baseline'!$D$1:$O$258,2,FALSE)),"",(VLOOKUP($E106,'D-1 Off Site Habitat Baseline'!$D$1:$O$258,2,FALSE))))</f>
        <v/>
      </c>
      <c r="B106" s="31" t="str">
        <f>IF(E106="","",IF(ISNA(VLOOKUP($E106,'D-1 Off Site Habitat Baseline'!$D$1:$O$258,3,FALSE)),"",(VLOOKUP($E106,'D-1 Off Site Habitat Baseline'!$D$1:$O$258,3,FALSE))))</f>
        <v/>
      </c>
      <c r="C106" s="31" t="str">
        <f>IFERROR(INDEX('G-8 Condition Look up'!$I$4:$I$130,MATCH(S106,'G-8 Condition Look up'!$A$4:$A$130,0)),"")</f>
        <v/>
      </c>
      <c r="E106" s="547" t="str">
        <f>'D-1 Off Site Habitat Baseline'!AL105</f>
        <v/>
      </c>
      <c r="F106" s="520" t="str">
        <f>IF(E106="","",IF(ISNA(VLOOKUP($E106,'D-1 Off Site Habitat Baseline'!$D$1:$O$258,4,FALSE)),"",(VLOOKUP($E106,'D-1 Off Site Habitat Baseline'!$D$1:$O$258,4,FALSE))))</f>
        <v/>
      </c>
      <c r="G106" s="520" t="str">
        <f>IF(E106="","",IF(ISNA(VLOOKUP($E106,'D-1 Off Site Habitat Baseline'!$D$1:$O$258,5,FALSE)),"",(VLOOKUP($E106,'D-1 Off Site Habitat Baseline'!$D$1:$O$258,5,FALSE))))</f>
        <v/>
      </c>
      <c r="H106" s="520" t="str">
        <f>IF(E106="","",IF(ISNA(VLOOKUP($E106,'D-1 Off Site Habitat Baseline'!$D$1:$O$258,6,FALSE)),"",(VLOOKUP($E106,'D-1 Off Site Habitat Baseline'!$D$1:$O$258,6,FALSE))))</f>
        <v/>
      </c>
      <c r="I106" s="520" t="str">
        <f>IF(E106="","",IF(ISNA(VLOOKUP($E106,'D-1 Off Site Habitat Baseline'!$D$1:$O$258,7,FALSE)),"",(VLOOKUP($E106,'D-1 Off Site Habitat Baseline'!$D$1:$O$258,7,FALSE))))</f>
        <v/>
      </c>
      <c r="J106" s="520" t="str">
        <f>IF(E106="","",IF(ISNA(VLOOKUP($E106,'D-1 Off Site Habitat Baseline'!$D$1:$O$258,8,FALSE)),"",(VLOOKUP($E106,'D-1 Off Site Habitat Baseline'!$D$1:$O$258,8,FALSE))))</f>
        <v/>
      </c>
      <c r="K106" s="520" t="str">
        <f>IF(E106="","",IF(ISNA(VLOOKUP($E106,'D-1 Off Site Habitat Baseline'!$D$1:$O$258,9,FALSE)),"",(VLOOKUP($E106,'D-1 Off Site Habitat Baseline'!$D$1:$O$258,9,FALSE))))</f>
        <v/>
      </c>
      <c r="L106" s="520" t="str">
        <f>IF(E106="","",IF(ISNA(VLOOKUP($E106,'D-1 Off Site Habitat Baseline'!$D$1:$O$258,11,FALSE)),"",(VLOOKUP($E106,'D-1 Off Site Habitat Baseline'!$D$1:$O$258,11,FALSE))))</f>
        <v/>
      </c>
      <c r="M106" s="520" t="str">
        <f>IF(E106="","",IF(ISNA(VLOOKUP($E106,'D-1 Off Site Habitat Baseline'!$D$1:$O$258,12,FALSE)),"",(VLOOKUP($E106,'D-1 Off Site Habitat Baseline'!$D$1:$O$258,12,FALSE))))</f>
        <v/>
      </c>
      <c r="N106" s="520" t="str">
        <f>IF(E106="","",IF(ISNA(VLOOKUP($E106,'D-1 Off Site Habitat Baseline'!$D$1:$X$258,14,FALSE)),"",(VLOOKUP($E106,'D-1 Off Site Habitat Baseline'!$D$1:$X$258,14,FALSE))))</f>
        <v/>
      </c>
      <c r="O106" s="524" t="str">
        <f>IF(E106="","",IF(ISNA(VLOOKUP($E106,'D-1 Off Site Habitat Baseline'!$D$1:$X$258,13,FALSE)),"",(VLOOKUP($E106,'D-1 Off Site Habitat Baseline'!$D$1:$X$258,13,FALSE))))</f>
        <v/>
      </c>
      <c r="P106" s="232" t="str">
        <f>IFERROR(INDEX('G-1 All Habitats'!$AG$3:$AG$15,MATCH(Q106,'G-1 All Habitats'!$AF$3:$AF$15,0)),"")</f>
        <v/>
      </c>
      <c r="Q106" s="228" t="str">
        <f t="shared" si="23"/>
        <v/>
      </c>
      <c r="R106" s="229" t="str">
        <f t="shared" si="24"/>
        <v/>
      </c>
      <c r="S106" s="233" t="str">
        <f>IFERROR(INDEX('G-1 All Habitats'!$B$3:$B$129,MATCH(R106,'G-1 All Habitats'!$A$3:$A$129,0)),"")</f>
        <v/>
      </c>
      <c r="T106" s="507" t="str">
        <f t="shared" si="16"/>
        <v/>
      </c>
      <c r="U106" s="524" t="str">
        <f t="shared" si="17"/>
        <v/>
      </c>
      <c r="V106" s="523" t="str">
        <f t="shared" si="14"/>
        <v/>
      </c>
      <c r="W106" s="520" t="str">
        <f>IF(S106="","",VLOOKUP(S106,'G-1 All Habitats'!$B$2:$M$129,10,FALSE))</f>
        <v/>
      </c>
      <c r="X106" s="520" t="str">
        <f>IFERROR(VLOOKUP(W106,'G-1 All Habitats'!$V$3:$W$7,2,FALSE),"")</f>
        <v/>
      </c>
      <c r="Y106" s="203"/>
      <c r="Z106" s="524" t="str">
        <f>IFERROR(INDEX('G-8 Condition Look up'!$A$3:$H$130,MATCH(S106,'G-8 Condition Look up'!$A$3:$A$130,0),MATCH(Y106,'G-8 Condition Look up'!$A$3:$H$3,0)),"")</f>
        <v/>
      </c>
      <c r="AA106" s="145"/>
      <c r="AB106" s="540" t="str">
        <f>IF(AA106="","",IF(VLOOKUP(AA106,'G-3 Multipliers'!$L$3:$N$6,2,FALSE)=0,"Spatial Data Missing ⚠",VLOOKUP(AA106,'G-3 Multipliers'!$L$3:$N$6,2,FALSE)))</f>
        <v/>
      </c>
      <c r="AC106" s="524" t="str">
        <f>IF(AA106="","",IF(VLOOKUP(AA106,'G-3 Multipliers'!$L$3:$N$6,3,FALSE)=0,"Spatial Data Missing ⚠",VLOOKUP(AA106,'G-3 Multipliers'!$L$3:$N$6,3,FALSE)))</f>
        <v/>
      </c>
      <c r="AD106" s="537" t="str">
        <f t="shared" si="15"/>
        <v/>
      </c>
      <c r="AE106" s="203"/>
      <c r="AF106" s="203"/>
      <c r="AG106" s="520" t="str">
        <f t="shared" si="18"/>
        <v/>
      </c>
      <c r="AH106" s="544" t="str">
        <f t="shared" si="19"/>
        <v/>
      </c>
      <c r="AI106" s="525" t="str">
        <f>IF(AH106="Check Data ⚠","Check Data ⚠",IFERROR(VLOOKUP(AH106,'G-4 Temporal multipliers'!$A$4:$C$36,3,FALSE),""))</f>
        <v/>
      </c>
      <c r="AJ106" s="537" t="str">
        <f>IF(S106="","",VLOOKUP(S106,'G-3 Multipliers'!$A$2:$E$129,4,FALSE))</f>
        <v/>
      </c>
      <c r="AK106" s="520" t="str">
        <f t="shared" si="20"/>
        <v/>
      </c>
      <c r="AL106" s="520" t="str">
        <f t="shared" si="21"/>
        <v/>
      </c>
      <c r="AM106" s="524" t="str">
        <f>IFERROR(IF(F106="","",IF(AH106="Check Data ⚠","Check Data ⚠",VLOOKUP(AL106, 'G-3 Multipliers'!$P$2:$Q$6,2,FALSE))),"")</f>
        <v/>
      </c>
      <c r="AN106" s="197"/>
      <c r="AO106" s="540" t="str">
        <f>IF(AN106="","",IF(VLOOKUP(AN106,'G-3 Multipliers'!$S$3:$T$9,2,FALSE)=0,"Spatial Data Missing ⚠",VLOOKUP(AN106,'G-3 Multipliers'!$S$3:$T$9,2,FALSE)))</f>
        <v/>
      </c>
      <c r="AP106" s="513" t="str">
        <f t="shared" si="22"/>
        <v/>
      </c>
      <c r="AQ106" s="231"/>
      <c r="AR106" s="150"/>
    </row>
    <row r="107" spans="1:44" x14ac:dyDescent="0.3">
      <c r="A107" s="31" t="str">
        <f>IF(E107="","",IF(ISNA(VLOOKUP($E107,'D-1 Off Site Habitat Baseline'!$D$1:$O$258,2,FALSE)),"",(VLOOKUP($E107,'D-1 Off Site Habitat Baseline'!$D$1:$O$258,2,FALSE))))</f>
        <v/>
      </c>
      <c r="B107" s="31" t="str">
        <f>IF(E107="","",IF(ISNA(VLOOKUP($E107,'D-1 Off Site Habitat Baseline'!$D$1:$O$258,3,FALSE)),"",(VLOOKUP($E107,'D-1 Off Site Habitat Baseline'!$D$1:$O$258,3,FALSE))))</f>
        <v/>
      </c>
      <c r="C107" s="31" t="str">
        <f>IFERROR(INDEX('G-8 Condition Look up'!$I$4:$I$130,MATCH(S107,'G-8 Condition Look up'!$A$4:$A$130,0)),"")</f>
        <v/>
      </c>
      <c r="E107" s="547" t="str">
        <f>'D-1 Off Site Habitat Baseline'!AL106</f>
        <v/>
      </c>
      <c r="F107" s="520" t="str">
        <f>IF(E107="","",IF(ISNA(VLOOKUP($E107,'D-1 Off Site Habitat Baseline'!$D$1:$O$258,4,FALSE)),"",(VLOOKUP($E107,'D-1 Off Site Habitat Baseline'!$D$1:$O$258,4,FALSE))))</f>
        <v/>
      </c>
      <c r="G107" s="520" t="str">
        <f>IF(E107="","",IF(ISNA(VLOOKUP($E107,'D-1 Off Site Habitat Baseline'!$D$1:$O$258,5,FALSE)),"",(VLOOKUP($E107,'D-1 Off Site Habitat Baseline'!$D$1:$O$258,5,FALSE))))</f>
        <v/>
      </c>
      <c r="H107" s="520" t="str">
        <f>IF(E107="","",IF(ISNA(VLOOKUP($E107,'D-1 Off Site Habitat Baseline'!$D$1:$O$258,6,FALSE)),"",(VLOOKUP($E107,'D-1 Off Site Habitat Baseline'!$D$1:$O$258,6,FALSE))))</f>
        <v/>
      </c>
      <c r="I107" s="520" t="str">
        <f>IF(E107="","",IF(ISNA(VLOOKUP($E107,'D-1 Off Site Habitat Baseline'!$D$1:$O$258,7,FALSE)),"",(VLOOKUP($E107,'D-1 Off Site Habitat Baseline'!$D$1:$O$258,7,FALSE))))</f>
        <v/>
      </c>
      <c r="J107" s="520" t="str">
        <f>IF(E107="","",IF(ISNA(VLOOKUP($E107,'D-1 Off Site Habitat Baseline'!$D$1:$O$258,8,FALSE)),"",(VLOOKUP($E107,'D-1 Off Site Habitat Baseline'!$D$1:$O$258,8,FALSE))))</f>
        <v/>
      </c>
      <c r="K107" s="520" t="str">
        <f>IF(E107="","",IF(ISNA(VLOOKUP($E107,'D-1 Off Site Habitat Baseline'!$D$1:$O$258,9,FALSE)),"",(VLOOKUP($E107,'D-1 Off Site Habitat Baseline'!$D$1:$O$258,9,FALSE))))</f>
        <v/>
      </c>
      <c r="L107" s="520" t="str">
        <f>IF(E107="","",IF(ISNA(VLOOKUP($E107,'D-1 Off Site Habitat Baseline'!$D$1:$O$258,11,FALSE)),"",(VLOOKUP($E107,'D-1 Off Site Habitat Baseline'!$D$1:$O$258,11,FALSE))))</f>
        <v/>
      </c>
      <c r="M107" s="520" t="str">
        <f>IF(E107="","",IF(ISNA(VLOOKUP($E107,'D-1 Off Site Habitat Baseline'!$D$1:$O$258,12,FALSE)),"",(VLOOKUP($E107,'D-1 Off Site Habitat Baseline'!$D$1:$O$258,12,FALSE))))</f>
        <v/>
      </c>
      <c r="N107" s="520" t="str">
        <f>IF(E107="","",IF(ISNA(VLOOKUP($E107,'D-1 Off Site Habitat Baseline'!$D$1:$X$258,14,FALSE)),"",(VLOOKUP($E107,'D-1 Off Site Habitat Baseline'!$D$1:$X$258,14,FALSE))))</f>
        <v/>
      </c>
      <c r="O107" s="524" t="str">
        <f>IF(E107="","",IF(ISNA(VLOOKUP($E107,'D-1 Off Site Habitat Baseline'!$D$1:$X$258,13,FALSE)),"",(VLOOKUP($E107,'D-1 Off Site Habitat Baseline'!$D$1:$X$258,13,FALSE))))</f>
        <v/>
      </c>
      <c r="P107" s="232" t="str">
        <f>IFERROR(INDEX('G-1 All Habitats'!$AG$3:$AG$15,MATCH(Q107,'G-1 All Habitats'!$AF$3:$AF$15,0)),"")</f>
        <v/>
      </c>
      <c r="Q107" s="228" t="str">
        <f t="shared" si="23"/>
        <v/>
      </c>
      <c r="R107" s="229" t="str">
        <f t="shared" si="24"/>
        <v/>
      </c>
      <c r="S107" s="233" t="str">
        <f>IFERROR(INDEX('G-1 All Habitats'!$B$3:$B$129,MATCH(R107,'G-1 All Habitats'!$A$3:$A$129,0)),"")</f>
        <v/>
      </c>
      <c r="T107" s="507" t="str">
        <f t="shared" si="16"/>
        <v/>
      </c>
      <c r="U107" s="524" t="str">
        <f>IF(F107="","",IF(AND(LEFT(F107,55)&lt;&gt;LEFT(S107,55),T107= "High - High"),"Error - Not like for like ▲",IF(AND(I107=X107,K107&gt;Z107),"Error - Can not reduce condition ▲",IF(AND(I107=X107,K107=Z107),"Error - No enhancement ▲",IF(X107&lt;I107,"Error Trading Down ▲",IF(AND(F107&lt;&gt;S107,I107&lt;X107),"Lower Distinctiveness Habitat"&amp;" - "&amp;Y107,J107&amp;" - "&amp;Y107))))))</f>
        <v/>
      </c>
      <c r="V107" s="523" t="str">
        <f t="shared" si="14"/>
        <v/>
      </c>
      <c r="W107" s="520" t="str">
        <f>IF(S107="","",VLOOKUP(S107,'G-1 All Habitats'!$B$2:$M$129,10,FALSE))</f>
        <v/>
      </c>
      <c r="X107" s="520" t="str">
        <f>IFERROR(VLOOKUP(W107,'G-1 All Habitats'!$V$3:$W$7,2,FALSE),"")</f>
        <v/>
      </c>
      <c r="Y107" s="203"/>
      <c r="Z107" s="524" t="str">
        <f>IFERROR(INDEX('G-8 Condition Look up'!$A$3:$H$130,MATCH(S107,'G-8 Condition Look up'!$A$3:$A$130,0),MATCH(Y107,'G-8 Condition Look up'!$A$3:$H$3,0)),"")</f>
        <v/>
      </c>
      <c r="AA107" s="145"/>
      <c r="AB107" s="540" t="str">
        <f>IF(AA107="","",IF(VLOOKUP(AA107,'G-3 Multipliers'!$L$3:$N$6,2,FALSE)=0,"Spatial Data Missing ⚠",VLOOKUP(AA107,'G-3 Multipliers'!$L$3:$N$6,2,FALSE)))</f>
        <v/>
      </c>
      <c r="AC107" s="524" t="str">
        <f>IF(AA107="","",IF(VLOOKUP(AA107,'G-3 Multipliers'!$L$3:$N$6,3,FALSE)=0,"Spatial Data Missing ⚠",VLOOKUP(AA107,'G-3 Multipliers'!$L$3:$N$6,3,FALSE)))</f>
        <v/>
      </c>
      <c r="AD107" s="537" t="str">
        <f t="shared" si="15"/>
        <v/>
      </c>
      <c r="AE107" s="203"/>
      <c r="AF107" s="203"/>
      <c r="AG107" s="520" t="str">
        <f t="shared" si="18"/>
        <v/>
      </c>
      <c r="AH107" s="544" t="str">
        <f t="shared" si="19"/>
        <v/>
      </c>
      <c r="AI107" s="525" t="str">
        <f>IF(AH107="Check Data ⚠","Check Data ⚠",IFERROR(VLOOKUP(AH107,'G-4 Temporal multipliers'!$A$4:$C$36,3,FALSE),""))</f>
        <v/>
      </c>
      <c r="AJ107" s="537" t="str">
        <f>IF(S107="","",VLOOKUP(S107,'G-3 Multipliers'!$A$2:$E$129,4,FALSE))</f>
        <v/>
      </c>
      <c r="AK107" s="520" t="str">
        <f t="shared" si="20"/>
        <v/>
      </c>
      <c r="AL107" s="520" t="str">
        <f t="shared" si="21"/>
        <v/>
      </c>
      <c r="AM107" s="524" t="str">
        <f>IFERROR(IF(F107="","",IF(AH107="Check Data ⚠","Check Data ⚠",VLOOKUP(AL107, 'G-3 Multipliers'!$P$2:$Q$6,2,FALSE))),"")</f>
        <v/>
      </c>
      <c r="AN107" s="197"/>
      <c r="AO107" s="540" t="str">
        <f>IF(AN107="","",IF(VLOOKUP(AN107,'G-3 Multipliers'!$S$3:$T$9,2,FALSE)=0,"Spatial Data Missing ⚠",VLOOKUP(AN107,'G-3 Multipliers'!$S$3:$T$9,2,FALSE)))</f>
        <v/>
      </c>
      <c r="AP107" s="513" t="str">
        <f t="shared" si="22"/>
        <v/>
      </c>
      <c r="AQ107" s="231"/>
      <c r="AR107" s="150"/>
    </row>
    <row r="108" spans="1:44" x14ac:dyDescent="0.3">
      <c r="A108" s="31" t="str">
        <f>IF(E108="","",IF(ISNA(VLOOKUP($E108,'D-1 Off Site Habitat Baseline'!$D$1:$O$258,2,FALSE)),"",(VLOOKUP($E108,'D-1 Off Site Habitat Baseline'!$D$1:$O$258,2,FALSE))))</f>
        <v/>
      </c>
      <c r="B108" s="31" t="str">
        <f>IF(E108="","",IF(ISNA(VLOOKUP($E108,'D-1 Off Site Habitat Baseline'!$D$1:$O$258,3,FALSE)),"",(VLOOKUP($E108,'D-1 Off Site Habitat Baseline'!$D$1:$O$258,3,FALSE))))</f>
        <v/>
      </c>
      <c r="C108" s="31" t="str">
        <f>IFERROR(INDEX('G-8 Condition Look up'!$I$4:$I$130,MATCH(S108,'G-8 Condition Look up'!$A$4:$A$130,0)),"")</f>
        <v/>
      </c>
      <c r="E108" s="547" t="str">
        <f>'D-1 Off Site Habitat Baseline'!AL107</f>
        <v/>
      </c>
      <c r="F108" s="520" t="str">
        <f>IF(E108="","",IF(ISNA(VLOOKUP($E108,'D-1 Off Site Habitat Baseline'!$D$1:$O$258,4,FALSE)),"",(VLOOKUP($E108,'D-1 Off Site Habitat Baseline'!$D$1:$O$258,4,FALSE))))</f>
        <v/>
      </c>
      <c r="G108" s="520" t="str">
        <f>IF(E108="","",IF(ISNA(VLOOKUP($E108,'D-1 Off Site Habitat Baseline'!$D$1:$O$258,5,FALSE)),"",(VLOOKUP($E108,'D-1 Off Site Habitat Baseline'!$D$1:$O$258,5,FALSE))))</f>
        <v/>
      </c>
      <c r="H108" s="520" t="str">
        <f>IF(E108="","",IF(ISNA(VLOOKUP($E108,'D-1 Off Site Habitat Baseline'!$D$1:$O$258,6,FALSE)),"",(VLOOKUP($E108,'D-1 Off Site Habitat Baseline'!$D$1:$O$258,6,FALSE))))</f>
        <v/>
      </c>
      <c r="I108" s="520" t="str">
        <f>IF(E108="","",IF(ISNA(VLOOKUP($E108,'D-1 Off Site Habitat Baseline'!$D$1:$O$258,7,FALSE)),"",(VLOOKUP($E108,'D-1 Off Site Habitat Baseline'!$D$1:$O$258,7,FALSE))))</f>
        <v/>
      </c>
      <c r="J108" s="520" t="str">
        <f>IF(E108="","",IF(ISNA(VLOOKUP($E108,'D-1 Off Site Habitat Baseline'!$D$1:$O$258,8,FALSE)),"",(VLOOKUP($E108,'D-1 Off Site Habitat Baseline'!$D$1:$O$258,8,FALSE))))</f>
        <v/>
      </c>
      <c r="K108" s="520" t="str">
        <f>IF(E108="","",IF(ISNA(VLOOKUP($E108,'D-1 Off Site Habitat Baseline'!$D$1:$O$258,9,FALSE)),"",(VLOOKUP($E108,'D-1 Off Site Habitat Baseline'!$D$1:$O$258,9,FALSE))))</f>
        <v/>
      </c>
      <c r="L108" s="520" t="str">
        <f>IF(E108="","",IF(ISNA(VLOOKUP($E108,'D-1 Off Site Habitat Baseline'!$D$1:$O$258,11,FALSE)),"",(VLOOKUP($E108,'D-1 Off Site Habitat Baseline'!$D$1:$O$258,11,FALSE))))</f>
        <v/>
      </c>
      <c r="M108" s="520" t="str">
        <f>IF(E108="","",IF(ISNA(VLOOKUP($E108,'D-1 Off Site Habitat Baseline'!$D$1:$O$258,12,FALSE)),"",(VLOOKUP($E108,'D-1 Off Site Habitat Baseline'!$D$1:$O$258,12,FALSE))))</f>
        <v/>
      </c>
      <c r="N108" s="520" t="str">
        <f>IF(E108="","",IF(ISNA(VLOOKUP($E108,'D-1 Off Site Habitat Baseline'!$D$1:$X$258,14,FALSE)),"",(VLOOKUP($E108,'D-1 Off Site Habitat Baseline'!$D$1:$X$258,14,FALSE))))</f>
        <v/>
      </c>
      <c r="O108" s="524" t="str">
        <f>IF(E108="","",IF(ISNA(VLOOKUP($E108,'D-1 Off Site Habitat Baseline'!$D$1:$X$258,13,FALSE)),"",(VLOOKUP($E108,'D-1 Off Site Habitat Baseline'!$D$1:$X$258,13,FALSE))))</f>
        <v/>
      </c>
      <c r="P108" s="232" t="str">
        <f>IFERROR(INDEX('G-1 All Habitats'!$AG$3:$AG$15,MATCH(Q108,'G-1 All Habitats'!$AF$3:$AF$15,0)),"")</f>
        <v/>
      </c>
      <c r="Q108" s="228" t="str">
        <f t="shared" si="23"/>
        <v/>
      </c>
      <c r="R108" s="229" t="str">
        <f t="shared" si="24"/>
        <v/>
      </c>
      <c r="S108" s="233" t="str">
        <f>IFERROR(INDEX('G-1 All Habitats'!$B$3:$B$129,MATCH(R108,'G-1 All Habitats'!$A$3:$A$129,0)),"")</f>
        <v/>
      </c>
      <c r="T108" s="507" t="str">
        <f t="shared" si="16"/>
        <v/>
      </c>
      <c r="U108" s="524" t="str">
        <f t="shared" si="17"/>
        <v/>
      </c>
      <c r="V108" s="523" t="str">
        <f t="shared" si="14"/>
        <v/>
      </c>
      <c r="W108" s="520" t="str">
        <f>IF(S108="","",VLOOKUP(S108,'G-1 All Habitats'!$B$2:$M$129,10,FALSE))</f>
        <v/>
      </c>
      <c r="X108" s="520" t="str">
        <f>IFERROR(VLOOKUP(W108,'G-1 All Habitats'!$V$3:$W$7,2,FALSE),"")</f>
        <v/>
      </c>
      <c r="Y108" s="203"/>
      <c r="Z108" s="524" t="str">
        <f>IFERROR(INDEX('G-8 Condition Look up'!$A$3:$H$130,MATCH(S108,'G-8 Condition Look up'!$A$3:$A$130,0),MATCH(Y108,'G-8 Condition Look up'!$A$3:$H$3,0)),"")</f>
        <v/>
      </c>
      <c r="AA108" s="145"/>
      <c r="AB108" s="540" t="str">
        <f>IF(AA108="","",IF(VLOOKUP(AA108,'G-3 Multipliers'!$L$3:$N$6,2,FALSE)=0,"Spatial Data Missing ⚠",VLOOKUP(AA108,'G-3 Multipliers'!$L$3:$N$6,2,FALSE)))</f>
        <v/>
      </c>
      <c r="AC108" s="524" t="str">
        <f>IF(AA108="","",IF(VLOOKUP(AA108,'G-3 Multipliers'!$L$3:$N$6,3,FALSE)=0,"Spatial Data Missing ⚠",VLOOKUP(AA108,'G-3 Multipliers'!$L$3:$N$6,3,FALSE)))</f>
        <v/>
      </c>
      <c r="AD108" s="537" t="str">
        <f t="shared" si="15"/>
        <v/>
      </c>
      <c r="AE108" s="203"/>
      <c r="AF108" s="203"/>
      <c r="AG108" s="520" t="str">
        <f t="shared" si="18"/>
        <v/>
      </c>
      <c r="AH108" s="544" t="str">
        <f t="shared" si="19"/>
        <v/>
      </c>
      <c r="AI108" s="525" t="str">
        <f>IF(AH108="Check Data ⚠","Check Data ⚠",IFERROR(VLOOKUP(AH108,'G-4 Temporal multipliers'!$A$4:$C$36,3,FALSE),""))</f>
        <v/>
      </c>
      <c r="AJ108" s="537" t="str">
        <f>IF(S108="","",VLOOKUP(S108,'G-3 Multipliers'!$A$2:$E$129,4,FALSE))</f>
        <v/>
      </c>
      <c r="AK108" s="520" t="str">
        <f t="shared" si="20"/>
        <v/>
      </c>
      <c r="AL108" s="520" t="str">
        <f t="shared" si="21"/>
        <v/>
      </c>
      <c r="AM108" s="524" t="str">
        <f>IFERROR(IF(F108="","",IF(AH108="Check Data ⚠","Check Data ⚠",VLOOKUP(AL108, 'G-3 Multipliers'!$P$2:$Q$6,2,FALSE))),"")</f>
        <v/>
      </c>
      <c r="AN108" s="197"/>
      <c r="AO108" s="540" t="str">
        <f>IF(AN108="","",IF(VLOOKUP(AN108,'G-3 Multipliers'!$S$3:$T$9,2,FALSE)=0,"Spatial Data Missing ⚠",VLOOKUP(AN108,'G-3 Multipliers'!$S$3:$T$9,2,FALSE)))</f>
        <v/>
      </c>
      <c r="AP108" s="513" t="str">
        <f t="shared" si="22"/>
        <v/>
      </c>
      <c r="AQ108" s="231"/>
      <c r="AR108" s="150"/>
    </row>
    <row r="109" spans="1:44" x14ac:dyDescent="0.3">
      <c r="A109" s="31" t="str">
        <f>IF(E109="","",IF(ISNA(VLOOKUP($E109,'D-1 Off Site Habitat Baseline'!$D$1:$O$258,2,FALSE)),"",(VLOOKUP($E109,'D-1 Off Site Habitat Baseline'!$D$1:$O$258,2,FALSE))))</f>
        <v/>
      </c>
      <c r="B109" s="31" t="str">
        <f>IF(E109="","",IF(ISNA(VLOOKUP($E109,'D-1 Off Site Habitat Baseline'!$D$1:$O$258,3,FALSE)),"",(VLOOKUP($E109,'D-1 Off Site Habitat Baseline'!$D$1:$O$258,3,FALSE))))</f>
        <v/>
      </c>
      <c r="C109" s="31" t="str">
        <f>IFERROR(INDEX('G-8 Condition Look up'!$I$4:$I$130,MATCH(S109,'G-8 Condition Look up'!$A$4:$A$130,0)),"")</f>
        <v/>
      </c>
      <c r="E109" s="547" t="str">
        <f>'D-1 Off Site Habitat Baseline'!AL108</f>
        <v/>
      </c>
      <c r="F109" s="520" t="str">
        <f>IF(E109="","",IF(ISNA(VLOOKUP($E109,'D-1 Off Site Habitat Baseline'!$D$1:$O$258,4,FALSE)),"",(VLOOKUP($E109,'D-1 Off Site Habitat Baseline'!$D$1:$O$258,4,FALSE))))</f>
        <v/>
      </c>
      <c r="G109" s="520" t="str">
        <f>IF(E109="","",IF(ISNA(VLOOKUP($E109,'D-1 Off Site Habitat Baseline'!$D$1:$O$258,5,FALSE)),"",(VLOOKUP($E109,'D-1 Off Site Habitat Baseline'!$D$1:$O$258,5,FALSE))))</f>
        <v/>
      </c>
      <c r="H109" s="520" t="str">
        <f>IF(E109="","",IF(ISNA(VLOOKUP($E109,'D-1 Off Site Habitat Baseline'!$D$1:$O$258,6,FALSE)),"",(VLOOKUP($E109,'D-1 Off Site Habitat Baseline'!$D$1:$O$258,6,FALSE))))</f>
        <v/>
      </c>
      <c r="I109" s="520" t="str">
        <f>IF(E109="","",IF(ISNA(VLOOKUP($E109,'D-1 Off Site Habitat Baseline'!$D$1:$O$258,7,FALSE)),"",(VLOOKUP($E109,'D-1 Off Site Habitat Baseline'!$D$1:$O$258,7,FALSE))))</f>
        <v/>
      </c>
      <c r="J109" s="520" t="str">
        <f>IF(E109="","",IF(ISNA(VLOOKUP($E109,'D-1 Off Site Habitat Baseline'!$D$1:$O$258,8,FALSE)),"",(VLOOKUP($E109,'D-1 Off Site Habitat Baseline'!$D$1:$O$258,8,FALSE))))</f>
        <v/>
      </c>
      <c r="K109" s="520" t="str">
        <f>IF(E109="","",IF(ISNA(VLOOKUP($E109,'D-1 Off Site Habitat Baseline'!$D$1:$O$258,9,FALSE)),"",(VLOOKUP($E109,'D-1 Off Site Habitat Baseline'!$D$1:$O$258,9,FALSE))))</f>
        <v/>
      </c>
      <c r="L109" s="520" t="str">
        <f>IF(E109="","",IF(ISNA(VLOOKUP($E109,'D-1 Off Site Habitat Baseline'!$D$1:$O$258,11,FALSE)),"",(VLOOKUP($E109,'D-1 Off Site Habitat Baseline'!$D$1:$O$258,11,FALSE))))</f>
        <v/>
      </c>
      <c r="M109" s="520" t="str">
        <f>IF(E109="","",IF(ISNA(VLOOKUP($E109,'D-1 Off Site Habitat Baseline'!$D$1:$O$258,12,FALSE)),"",(VLOOKUP($E109,'D-1 Off Site Habitat Baseline'!$D$1:$O$258,12,FALSE))))</f>
        <v/>
      </c>
      <c r="N109" s="520" t="str">
        <f>IF(E109="","",IF(ISNA(VLOOKUP($E109,'D-1 Off Site Habitat Baseline'!$D$1:$X$258,14,FALSE)),"",(VLOOKUP($E109,'D-1 Off Site Habitat Baseline'!$D$1:$X$258,14,FALSE))))</f>
        <v/>
      </c>
      <c r="O109" s="524" t="str">
        <f>IF(E109="","",IF(ISNA(VLOOKUP($E109,'D-1 Off Site Habitat Baseline'!$D$1:$X$258,13,FALSE)),"",(VLOOKUP($E109,'D-1 Off Site Habitat Baseline'!$D$1:$X$258,13,FALSE))))</f>
        <v/>
      </c>
      <c r="P109" s="232" t="str">
        <f>IFERROR(INDEX('G-1 All Habitats'!$AG$3:$AG$15,MATCH(Q109,'G-1 All Habitats'!$AF$3:$AF$15,0)),"")</f>
        <v/>
      </c>
      <c r="Q109" s="228" t="str">
        <f t="shared" si="23"/>
        <v/>
      </c>
      <c r="R109" s="229" t="str">
        <f t="shared" si="24"/>
        <v/>
      </c>
      <c r="S109" s="233" t="str">
        <f>IFERROR(INDEX('G-1 All Habitats'!$B$3:$B$129,MATCH(R109,'G-1 All Habitats'!$A$3:$A$129,0)),"")</f>
        <v/>
      </c>
      <c r="T109" s="507" t="str">
        <f t="shared" si="16"/>
        <v/>
      </c>
      <c r="U109" s="524" t="str">
        <f t="shared" si="17"/>
        <v/>
      </c>
      <c r="V109" s="523" t="str">
        <f t="shared" si="14"/>
        <v/>
      </c>
      <c r="W109" s="520" t="str">
        <f>IF(S109="","",VLOOKUP(S109,'G-1 All Habitats'!$B$2:$M$129,10,FALSE))</f>
        <v/>
      </c>
      <c r="X109" s="520" t="str">
        <f>IFERROR(VLOOKUP(W109,'G-1 All Habitats'!$V$3:$W$7,2,FALSE),"")</f>
        <v/>
      </c>
      <c r="Y109" s="203"/>
      <c r="Z109" s="524" t="str">
        <f>IFERROR(INDEX('G-8 Condition Look up'!$A$3:$H$130,MATCH(S109,'G-8 Condition Look up'!$A$3:$A$130,0),MATCH(Y109,'G-8 Condition Look up'!$A$3:$H$3,0)),"")</f>
        <v/>
      </c>
      <c r="AA109" s="145"/>
      <c r="AB109" s="540" t="str">
        <f>IF(AA109="","",IF(VLOOKUP(AA109,'G-3 Multipliers'!$L$3:$N$6,2,FALSE)=0,"Spatial Data Missing ⚠",VLOOKUP(AA109,'G-3 Multipliers'!$L$3:$N$6,2,FALSE)))</f>
        <v/>
      </c>
      <c r="AC109" s="524" t="str">
        <f>IF(AA109="","",IF(VLOOKUP(AA109,'G-3 Multipliers'!$L$3:$N$6,3,FALSE)=0,"Spatial Data Missing ⚠",VLOOKUP(AA109,'G-3 Multipliers'!$L$3:$N$6,3,FALSE)))</f>
        <v/>
      </c>
      <c r="AD109" s="537" t="str">
        <f t="shared" si="15"/>
        <v/>
      </c>
      <c r="AE109" s="203"/>
      <c r="AF109" s="203"/>
      <c r="AG109" s="520" t="str">
        <f t="shared" si="18"/>
        <v/>
      </c>
      <c r="AH109" s="544" t="str">
        <f t="shared" si="19"/>
        <v/>
      </c>
      <c r="AI109" s="525" t="str">
        <f>IF(AH109="Check Data ⚠","Check Data ⚠",IFERROR(VLOOKUP(AH109,'G-4 Temporal multipliers'!$A$4:$C$36,3,FALSE),""))</f>
        <v/>
      </c>
      <c r="AJ109" s="537" t="str">
        <f>IF(S109="","",VLOOKUP(S109,'G-3 Multipliers'!$A$2:$E$129,4,FALSE))</f>
        <v/>
      </c>
      <c r="AK109" s="520" t="str">
        <f t="shared" si="20"/>
        <v/>
      </c>
      <c r="AL109" s="520" t="str">
        <f t="shared" si="21"/>
        <v/>
      </c>
      <c r="AM109" s="524" t="str">
        <f>IFERROR(IF(F109="","",IF(AH109="Check Data ⚠","Check Data ⚠",VLOOKUP(AL109, 'G-3 Multipliers'!$P$2:$Q$6,2,FALSE))),"")</f>
        <v/>
      </c>
      <c r="AN109" s="197"/>
      <c r="AO109" s="540" t="str">
        <f>IF(AN109="","",IF(VLOOKUP(AN109,'G-3 Multipliers'!$S$3:$T$9,2,FALSE)=0,"Spatial Data Missing ⚠",VLOOKUP(AN109,'G-3 Multipliers'!$S$3:$T$9,2,FALSE)))</f>
        <v/>
      </c>
      <c r="AP109" s="513" t="str">
        <f t="shared" si="22"/>
        <v/>
      </c>
      <c r="AQ109" s="231"/>
      <c r="AR109" s="150"/>
    </row>
    <row r="110" spans="1:44" x14ac:dyDescent="0.3">
      <c r="A110" s="31" t="str">
        <f>IF(E110="","",IF(ISNA(VLOOKUP($E110,'D-1 Off Site Habitat Baseline'!$D$1:$O$258,2,FALSE)),"",(VLOOKUP($E110,'D-1 Off Site Habitat Baseline'!$D$1:$O$258,2,FALSE))))</f>
        <v/>
      </c>
      <c r="B110" s="31" t="str">
        <f>IF(E110="","",IF(ISNA(VLOOKUP($E110,'D-1 Off Site Habitat Baseline'!$D$1:$O$258,3,FALSE)),"",(VLOOKUP($E110,'D-1 Off Site Habitat Baseline'!$D$1:$O$258,3,FALSE))))</f>
        <v/>
      </c>
      <c r="C110" s="31" t="str">
        <f>IFERROR(INDEX('G-8 Condition Look up'!$I$4:$I$130,MATCH(S110,'G-8 Condition Look up'!$A$4:$A$130,0)),"")</f>
        <v/>
      </c>
      <c r="E110" s="547" t="str">
        <f>'D-1 Off Site Habitat Baseline'!AL109</f>
        <v/>
      </c>
      <c r="F110" s="520" t="str">
        <f>IF(E110="","",IF(ISNA(VLOOKUP($E110,'D-1 Off Site Habitat Baseline'!$D$1:$O$258,4,FALSE)),"",(VLOOKUP($E110,'D-1 Off Site Habitat Baseline'!$D$1:$O$258,4,FALSE))))</f>
        <v/>
      </c>
      <c r="G110" s="520" t="str">
        <f>IF(E110="","",IF(ISNA(VLOOKUP($E110,'D-1 Off Site Habitat Baseline'!$D$1:$O$258,5,FALSE)),"",(VLOOKUP($E110,'D-1 Off Site Habitat Baseline'!$D$1:$O$258,5,FALSE))))</f>
        <v/>
      </c>
      <c r="H110" s="520" t="str">
        <f>IF(E110="","",IF(ISNA(VLOOKUP($E110,'D-1 Off Site Habitat Baseline'!$D$1:$O$258,6,FALSE)),"",(VLOOKUP($E110,'D-1 Off Site Habitat Baseline'!$D$1:$O$258,6,FALSE))))</f>
        <v/>
      </c>
      <c r="I110" s="520" t="str">
        <f>IF(E110="","",IF(ISNA(VLOOKUP($E110,'D-1 Off Site Habitat Baseline'!$D$1:$O$258,7,FALSE)),"",(VLOOKUP($E110,'D-1 Off Site Habitat Baseline'!$D$1:$O$258,7,FALSE))))</f>
        <v/>
      </c>
      <c r="J110" s="520" t="str">
        <f>IF(E110="","",IF(ISNA(VLOOKUP($E110,'D-1 Off Site Habitat Baseline'!$D$1:$O$258,8,FALSE)),"",(VLOOKUP($E110,'D-1 Off Site Habitat Baseline'!$D$1:$O$258,8,FALSE))))</f>
        <v/>
      </c>
      <c r="K110" s="520" t="str">
        <f>IF(E110="","",IF(ISNA(VLOOKUP($E110,'D-1 Off Site Habitat Baseline'!$D$1:$O$258,9,FALSE)),"",(VLOOKUP($E110,'D-1 Off Site Habitat Baseline'!$D$1:$O$258,9,FALSE))))</f>
        <v/>
      </c>
      <c r="L110" s="520" t="str">
        <f>IF(E110="","",IF(ISNA(VLOOKUP($E110,'D-1 Off Site Habitat Baseline'!$D$1:$O$258,11,FALSE)),"",(VLOOKUP($E110,'D-1 Off Site Habitat Baseline'!$D$1:$O$258,11,FALSE))))</f>
        <v/>
      </c>
      <c r="M110" s="520" t="str">
        <f>IF(E110="","",IF(ISNA(VLOOKUP($E110,'D-1 Off Site Habitat Baseline'!$D$1:$O$258,12,FALSE)),"",(VLOOKUP($E110,'D-1 Off Site Habitat Baseline'!$D$1:$O$258,12,FALSE))))</f>
        <v/>
      </c>
      <c r="N110" s="520" t="str">
        <f>IF(E110="","",IF(ISNA(VLOOKUP($E110,'D-1 Off Site Habitat Baseline'!$D$1:$X$258,14,FALSE)),"",(VLOOKUP($E110,'D-1 Off Site Habitat Baseline'!$D$1:$X$258,14,FALSE))))</f>
        <v/>
      </c>
      <c r="O110" s="524" t="str">
        <f>IF(E110="","",IF(ISNA(VLOOKUP($E110,'D-1 Off Site Habitat Baseline'!$D$1:$X$258,13,FALSE)),"",(VLOOKUP($E110,'D-1 Off Site Habitat Baseline'!$D$1:$X$258,13,FALSE))))</f>
        <v/>
      </c>
      <c r="P110" s="232" t="str">
        <f>IFERROR(INDEX('G-1 All Habitats'!$AG$3:$AG$15,MATCH(Q110,'G-1 All Habitats'!$AF$3:$AF$15,0)),"")</f>
        <v/>
      </c>
      <c r="Q110" s="228" t="str">
        <f t="shared" si="23"/>
        <v/>
      </c>
      <c r="R110" s="229" t="str">
        <f t="shared" si="24"/>
        <v/>
      </c>
      <c r="S110" s="233" t="str">
        <f>IFERROR(INDEX('G-1 All Habitats'!$B$3:$B$129,MATCH(R110,'G-1 All Habitats'!$A$3:$A$129,0)),"")</f>
        <v/>
      </c>
      <c r="T110" s="507" t="str">
        <f t="shared" si="16"/>
        <v/>
      </c>
      <c r="U110" s="524" t="str">
        <f t="shared" si="17"/>
        <v/>
      </c>
      <c r="V110" s="523" t="str">
        <f t="shared" si="14"/>
        <v/>
      </c>
      <c r="W110" s="520" t="str">
        <f>IF(S110="","",VLOOKUP(S110,'G-1 All Habitats'!$B$2:$M$129,10,FALSE))</f>
        <v/>
      </c>
      <c r="X110" s="520" t="str">
        <f>IFERROR(VLOOKUP(W110,'G-1 All Habitats'!$V$3:$W$7,2,FALSE),"")</f>
        <v/>
      </c>
      <c r="Y110" s="203"/>
      <c r="Z110" s="524" t="str">
        <f>IFERROR(INDEX('G-8 Condition Look up'!$A$3:$H$130,MATCH(S110,'G-8 Condition Look up'!$A$3:$A$130,0),MATCH(Y110,'G-8 Condition Look up'!$A$3:$H$3,0)),"")</f>
        <v/>
      </c>
      <c r="AA110" s="145"/>
      <c r="AB110" s="540" t="str">
        <f>IF(AA110="","",IF(VLOOKUP(AA110,'G-3 Multipliers'!$L$3:$N$6,2,FALSE)=0,"Spatial Data Missing ⚠",VLOOKUP(AA110,'G-3 Multipliers'!$L$3:$N$6,2,FALSE)))</f>
        <v/>
      </c>
      <c r="AC110" s="524" t="str">
        <f>IF(AA110="","",IF(VLOOKUP(AA110,'G-3 Multipliers'!$L$3:$N$6,3,FALSE)=0,"Spatial Data Missing ⚠",VLOOKUP(AA110,'G-3 Multipliers'!$L$3:$N$6,3,FALSE)))</f>
        <v/>
      </c>
      <c r="AD110" s="537" t="str">
        <f t="shared" si="15"/>
        <v/>
      </c>
      <c r="AE110" s="203"/>
      <c r="AF110" s="203"/>
      <c r="AG110" s="520" t="str">
        <f t="shared" si="18"/>
        <v/>
      </c>
      <c r="AH110" s="544" t="str">
        <f t="shared" si="19"/>
        <v/>
      </c>
      <c r="AI110" s="525" t="str">
        <f>IF(AH110="Check Data ⚠","Check Data ⚠",IFERROR(VLOOKUP(AH110,'G-4 Temporal multipliers'!$A$4:$C$36,3,FALSE),""))</f>
        <v/>
      </c>
      <c r="AJ110" s="537" t="str">
        <f>IF(S110="","",VLOOKUP(S110,'G-3 Multipliers'!$A$2:$E$129,4,FALSE))</f>
        <v/>
      </c>
      <c r="AK110" s="520" t="str">
        <f t="shared" si="20"/>
        <v/>
      </c>
      <c r="AL110" s="520" t="str">
        <f t="shared" si="21"/>
        <v/>
      </c>
      <c r="AM110" s="524" t="str">
        <f>IFERROR(IF(F110="","",IF(AH110="Check Data ⚠","Check Data ⚠",VLOOKUP(AL110, 'G-3 Multipliers'!$P$2:$Q$6,2,FALSE))),"")</f>
        <v/>
      </c>
      <c r="AN110" s="197"/>
      <c r="AO110" s="540" t="str">
        <f>IF(AN110="","",IF(VLOOKUP(AN110,'G-3 Multipliers'!$S$3:$T$9,2,FALSE)=0,"Spatial Data Missing ⚠",VLOOKUP(AN110,'G-3 Multipliers'!$S$3:$T$9,2,FALSE)))</f>
        <v/>
      </c>
      <c r="AP110" s="513" t="str">
        <f t="shared" si="22"/>
        <v/>
      </c>
      <c r="AQ110" s="231"/>
      <c r="AR110" s="150"/>
    </row>
    <row r="111" spans="1:44" x14ac:dyDescent="0.3">
      <c r="A111" s="31" t="str">
        <f>IF(E111="","",IF(ISNA(VLOOKUP($E111,'D-1 Off Site Habitat Baseline'!$D$1:$O$258,2,FALSE)),"",(VLOOKUP($E111,'D-1 Off Site Habitat Baseline'!$D$1:$O$258,2,FALSE))))</f>
        <v/>
      </c>
      <c r="B111" s="31" t="str">
        <f>IF(E111="","",IF(ISNA(VLOOKUP($E111,'D-1 Off Site Habitat Baseline'!$D$1:$O$258,3,FALSE)),"",(VLOOKUP($E111,'D-1 Off Site Habitat Baseline'!$D$1:$O$258,3,FALSE))))</f>
        <v/>
      </c>
      <c r="C111" s="31" t="str">
        <f>IFERROR(INDEX('G-8 Condition Look up'!$I$4:$I$130,MATCH(S111,'G-8 Condition Look up'!$A$4:$A$130,0)),"")</f>
        <v/>
      </c>
      <c r="E111" s="547" t="str">
        <f>'D-1 Off Site Habitat Baseline'!AL110</f>
        <v/>
      </c>
      <c r="F111" s="520" t="str">
        <f>IF(E111="","",IF(ISNA(VLOOKUP($E111,'D-1 Off Site Habitat Baseline'!$D$1:$O$258,4,FALSE)),"",(VLOOKUP($E111,'D-1 Off Site Habitat Baseline'!$D$1:$O$258,4,FALSE))))</f>
        <v/>
      </c>
      <c r="G111" s="520" t="str">
        <f>IF(E111="","",IF(ISNA(VLOOKUP($E111,'D-1 Off Site Habitat Baseline'!$D$1:$O$258,5,FALSE)),"",(VLOOKUP($E111,'D-1 Off Site Habitat Baseline'!$D$1:$O$258,5,FALSE))))</f>
        <v/>
      </c>
      <c r="H111" s="520" t="str">
        <f>IF(E111="","",IF(ISNA(VLOOKUP($E111,'D-1 Off Site Habitat Baseline'!$D$1:$O$258,6,FALSE)),"",(VLOOKUP($E111,'D-1 Off Site Habitat Baseline'!$D$1:$O$258,6,FALSE))))</f>
        <v/>
      </c>
      <c r="I111" s="520" t="str">
        <f>IF(E111="","",IF(ISNA(VLOOKUP($E111,'D-1 Off Site Habitat Baseline'!$D$1:$O$258,7,FALSE)),"",(VLOOKUP($E111,'D-1 Off Site Habitat Baseline'!$D$1:$O$258,7,FALSE))))</f>
        <v/>
      </c>
      <c r="J111" s="520" t="str">
        <f>IF(E111="","",IF(ISNA(VLOOKUP($E111,'D-1 Off Site Habitat Baseline'!$D$1:$O$258,8,FALSE)),"",(VLOOKUP($E111,'D-1 Off Site Habitat Baseline'!$D$1:$O$258,8,FALSE))))</f>
        <v/>
      </c>
      <c r="K111" s="520" t="str">
        <f>IF(E111="","",IF(ISNA(VLOOKUP($E111,'D-1 Off Site Habitat Baseline'!$D$1:$O$258,9,FALSE)),"",(VLOOKUP($E111,'D-1 Off Site Habitat Baseline'!$D$1:$O$258,9,FALSE))))</f>
        <v/>
      </c>
      <c r="L111" s="520" t="str">
        <f>IF(E111="","",IF(ISNA(VLOOKUP($E111,'D-1 Off Site Habitat Baseline'!$D$1:$O$258,11,FALSE)),"",(VLOOKUP($E111,'D-1 Off Site Habitat Baseline'!$D$1:$O$258,11,FALSE))))</f>
        <v/>
      </c>
      <c r="M111" s="520" t="str">
        <f>IF(E111="","",IF(ISNA(VLOOKUP($E111,'D-1 Off Site Habitat Baseline'!$D$1:$O$258,12,FALSE)),"",(VLOOKUP($E111,'D-1 Off Site Habitat Baseline'!$D$1:$O$258,12,FALSE))))</f>
        <v/>
      </c>
      <c r="N111" s="520" t="str">
        <f>IF(E111="","",IF(ISNA(VLOOKUP($E111,'D-1 Off Site Habitat Baseline'!$D$1:$X$258,14,FALSE)),"",(VLOOKUP($E111,'D-1 Off Site Habitat Baseline'!$D$1:$X$258,14,FALSE))))</f>
        <v/>
      </c>
      <c r="O111" s="524" t="str">
        <f>IF(E111="","",IF(ISNA(VLOOKUP($E111,'D-1 Off Site Habitat Baseline'!$D$1:$X$258,13,FALSE)),"",(VLOOKUP($E111,'D-1 Off Site Habitat Baseline'!$D$1:$X$258,13,FALSE))))</f>
        <v/>
      </c>
      <c r="P111" s="232" t="str">
        <f>IFERROR(INDEX('G-1 All Habitats'!$AG$3:$AG$15,MATCH(Q111,'G-1 All Habitats'!$AF$3:$AF$15,0)),"")</f>
        <v/>
      </c>
      <c r="Q111" s="228" t="str">
        <f t="shared" si="23"/>
        <v/>
      </c>
      <c r="R111" s="229" t="str">
        <f t="shared" si="24"/>
        <v/>
      </c>
      <c r="S111" s="233" t="str">
        <f>IFERROR(INDEX('G-1 All Habitats'!$B$3:$B$129,MATCH(R111,'G-1 All Habitats'!$A$3:$A$129,0)),"")</f>
        <v/>
      </c>
      <c r="T111" s="507" t="str">
        <f t="shared" si="16"/>
        <v/>
      </c>
      <c r="U111" s="524" t="str">
        <f t="shared" si="17"/>
        <v/>
      </c>
      <c r="V111" s="523" t="str">
        <f t="shared" si="14"/>
        <v/>
      </c>
      <c r="W111" s="520" t="str">
        <f>IF(S111="","",VLOOKUP(S111,'G-1 All Habitats'!$B$2:$M$129,10,FALSE))</f>
        <v/>
      </c>
      <c r="X111" s="520" t="str">
        <f>IFERROR(VLOOKUP(W111,'G-1 All Habitats'!$V$3:$W$7,2,FALSE),"")</f>
        <v/>
      </c>
      <c r="Y111" s="203"/>
      <c r="Z111" s="524" t="str">
        <f>IFERROR(INDEX('G-8 Condition Look up'!$A$3:$H$130,MATCH(S111,'G-8 Condition Look up'!$A$3:$A$130,0),MATCH(Y111,'G-8 Condition Look up'!$A$3:$H$3,0)),"")</f>
        <v/>
      </c>
      <c r="AA111" s="145"/>
      <c r="AB111" s="540" t="str">
        <f>IF(AA111="","",IF(VLOOKUP(AA111,'G-3 Multipliers'!$L$3:$N$6,2,FALSE)=0,"Spatial Data Missing ⚠",VLOOKUP(AA111,'G-3 Multipliers'!$L$3:$N$6,2,FALSE)))</f>
        <v/>
      </c>
      <c r="AC111" s="524" t="str">
        <f>IF(AA111="","",IF(VLOOKUP(AA111,'G-3 Multipliers'!$L$3:$N$6,3,FALSE)=0,"Spatial Data Missing ⚠",VLOOKUP(AA111,'G-3 Multipliers'!$L$3:$N$6,3,FALSE)))</f>
        <v/>
      </c>
      <c r="AD111" s="537" t="str">
        <f t="shared" si="15"/>
        <v/>
      </c>
      <c r="AE111" s="203"/>
      <c r="AF111" s="203"/>
      <c r="AG111" s="520" t="str">
        <f t="shared" si="18"/>
        <v/>
      </c>
      <c r="AH111" s="544" t="str">
        <f t="shared" si="19"/>
        <v/>
      </c>
      <c r="AI111" s="525" t="str">
        <f>IF(AH111="Check Data ⚠","Check Data ⚠",IFERROR(VLOOKUP(AH111,'G-4 Temporal multipliers'!$A$4:$C$36,3,FALSE),""))</f>
        <v/>
      </c>
      <c r="AJ111" s="537" t="str">
        <f>IF(S111="","",VLOOKUP(S111,'G-3 Multipliers'!$A$2:$E$129,4,FALSE))</f>
        <v/>
      </c>
      <c r="AK111" s="520" t="str">
        <f t="shared" si="20"/>
        <v/>
      </c>
      <c r="AL111" s="520" t="str">
        <f t="shared" si="21"/>
        <v/>
      </c>
      <c r="AM111" s="524" t="str">
        <f>IFERROR(IF(F111="","",IF(AH111="Check Data ⚠","Check Data ⚠",VLOOKUP(AL111, 'G-3 Multipliers'!$P$2:$Q$6,2,FALSE))),"")</f>
        <v/>
      </c>
      <c r="AN111" s="197"/>
      <c r="AO111" s="540" t="str">
        <f>IF(AN111="","",IF(VLOOKUP(AN111,'G-3 Multipliers'!$S$3:$T$9,2,FALSE)=0,"Spatial Data Missing ⚠",VLOOKUP(AN111,'G-3 Multipliers'!$S$3:$T$9,2,FALSE)))</f>
        <v/>
      </c>
      <c r="AP111" s="513" t="str">
        <f t="shared" si="22"/>
        <v/>
      </c>
      <c r="AQ111" s="231"/>
      <c r="AR111" s="150"/>
    </row>
    <row r="112" spans="1:44" x14ac:dyDescent="0.3">
      <c r="A112" s="31" t="str">
        <f>IF(E112="","",IF(ISNA(VLOOKUP($E112,'D-1 Off Site Habitat Baseline'!$D$1:$O$258,2,FALSE)),"",(VLOOKUP($E112,'D-1 Off Site Habitat Baseline'!$D$1:$O$258,2,FALSE))))</f>
        <v/>
      </c>
      <c r="B112" s="31" t="str">
        <f>IF(E112="","",IF(ISNA(VLOOKUP($E112,'D-1 Off Site Habitat Baseline'!$D$1:$O$258,3,FALSE)),"",(VLOOKUP($E112,'D-1 Off Site Habitat Baseline'!$D$1:$O$258,3,FALSE))))</f>
        <v/>
      </c>
      <c r="C112" s="31" t="str">
        <f>IFERROR(INDEX('G-8 Condition Look up'!$I$4:$I$130,MATCH(S112,'G-8 Condition Look up'!$A$4:$A$130,0)),"")</f>
        <v/>
      </c>
      <c r="E112" s="547" t="str">
        <f>'D-1 Off Site Habitat Baseline'!AL111</f>
        <v/>
      </c>
      <c r="F112" s="520" t="str">
        <f>IF(E112="","",IF(ISNA(VLOOKUP($E112,'D-1 Off Site Habitat Baseline'!$D$1:$O$258,4,FALSE)),"",(VLOOKUP($E112,'D-1 Off Site Habitat Baseline'!$D$1:$O$258,4,FALSE))))</f>
        <v/>
      </c>
      <c r="G112" s="520" t="str">
        <f>IF(E112="","",IF(ISNA(VLOOKUP($E112,'D-1 Off Site Habitat Baseline'!$D$1:$O$258,5,FALSE)),"",(VLOOKUP($E112,'D-1 Off Site Habitat Baseline'!$D$1:$O$258,5,FALSE))))</f>
        <v/>
      </c>
      <c r="H112" s="520" t="str">
        <f>IF(E112="","",IF(ISNA(VLOOKUP($E112,'D-1 Off Site Habitat Baseline'!$D$1:$O$258,6,FALSE)),"",(VLOOKUP($E112,'D-1 Off Site Habitat Baseline'!$D$1:$O$258,6,FALSE))))</f>
        <v/>
      </c>
      <c r="I112" s="520" t="str">
        <f>IF(E112="","",IF(ISNA(VLOOKUP($E112,'D-1 Off Site Habitat Baseline'!$D$1:$O$258,7,FALSE)),"",(VLOOKUP($E112,'D-1 Off Site Habitat Baseline'!$D$1:$O$258,7,FALSE))))</f>
        <v/>
      </c>
      <c r="J112" s="520" t="str">
        <f>IF(E112="","",IF(ISNA(VLOOKUP($E112,'D-1 Off Site Habitat Baseline'!$D$1:$O$258,8,FALSE)),"",(VLOOKUP($E112,'D-1 Off Site Habitat Baseline'!$D$1:$O$258,8,FALSE))))</f>
        <v/>
      </c>
      <c r="K112" s="520" t="str">
        <f>IF(E112="","",IF(ISNA(VLOOKUP($E112,'D-1 Off Site Habitat Baseline'!$D$1:$O$258,9,FALSE)),"",(VLOOKUP($E112,'D-1 Off Site Habitat Baseline'!$D$1:$O$258,9,FALSE))))</f>
        <v/>
      </c>
      <c r="L112" s="520" t="str">
        <f>IF(E112="","",IF(ISNA(VLOOKUP($E112,'D-1 Off Site Habitat Baseline'!$D$1:$O$258,11,FALSE)),"",(VLOOKUP($E112,'D-1 Off Site Habitat Baseline'!$D$1:$O$258,11,FALSE))))</f>
        <v/>
      </c>
      <c r="M112" s="520" t="str">
        <f>IF(E112="","",IF(ISNA(VLOOKUP($E112,'D-1 Off Site Habitat Baseline'!$D$1:$O$258,12,FALSE)),"",(VLOOKUP($E112,'D-1 Off Site Habitat Baseline'!$D$1:$O$258,12,FALSE))))</f>
        <v/>
      </c>
      <c r="N112" s="520" t="str">
        <f>IF(E112="","",IF(ISNA(VLOOKUP($E112,'D-1 Off Site Habitat Baseline'!$D$1:$X$258,14,FALSE)),"",(VLOOKUP($E112,'D-1 Off Site Habitat Baseline'!$D$1:$X$258,14,FALSE))))</f>
        <v/>
      </c>
      <c r="O112" s="524" t="str">
        <f>IF(E112="","",IF(ISNA(VLOOKUP($E112,'D-1 Off Site Habitat Baseline'!$D$1:$X$258,13,FALSE)),"",(VLOOKUP($E112,'D-1 Off Site Habitat Baseline'!$D$1:$X$258,13,FALSE))))</f>
        <v/>
      </c>
      <c r="P112" s="232" t="str">
        <f>IFERROR(INDEX('G-1 All Habitats'!$AG$3:$AG$15,MATCH(Q112,'G-1 All Habitats'!$AF$3:$AF$15,0)),"")</f>
        <v/>
      </c>
      <c r="Q112" s="228" t="str">
        <f t="shared" si="23"/>
        <v/>
      </c>
      <c r="R112" s="229" t="str">
        <f t="shared" si="24"/>
        <v/>
      </c>
      <c r="S112" s="233" t="str">
        <f>IFERROR(INDEX('G-1 All Habitats'!$B$3:$B$129,MATCH(R112,'G-1 All Habitats'!$A$3:$A$129,0)),"")</f>
        <v/>
      </c>
      <c r="T112" s="507" t="str">
        <f t="shared" si="16"/>
        <v/>
      </c>
      <c r="U112" s="524" t="str">
        <f t="shared" si="17"/>
        <v/>
      </c>
      <c r="V112" s="523" t="str">
        <f t="shared" si="14"/>
        <v/>
      </c>
      <c r="W112" s="520" t="str">
        <f>IF(S112="","",VLOOKUP(S112,'G-1 All Habitats'!$B$2:$M$129,10,FALSE))</f>
        <v/>
      </c>
      <c r="X112" s="520" t="str">
        <f>IFERROR(VLOOKUP(W112,'G-1 All Habitats'!$V$3:$W$7,2,FALSE),"")</f>
        <v/>
      </c>
      <c r="Y112" s="203"/>
      <c r="Z112" s="524" t="str">
        <f>IFERROR(INDEX('G-8 Condition Look up'!$A$3:$H$130,MATCH(S112,'G-8 Condition Look up'!$A$3:$A$130,0),MATCH(Y112,'G-8 Condition Look up'!$A$3:$H$3,0)),"")</f>
        <v/>
      </c>
      <c r="AA112" s="145"/>
      <c r="AB112" s="540" t="str">
        <f>IF(AA112="","",IF(VLOOKUP(AA112,'G-3 Multipliers'!$L$3:$N$6,2,FALSE)=0,"Spatial Data Missing ⚠",VLOOKUP(AA112,'G-3 Multipliers'!$L$3:$N$6,2,FALSE)))</f>
        <v/>
      </c>
      <c r="AC112" s="524" t="str">
        <f>IF(AA112="","",IF(VLOOKUP(AA112,'G-3 Multipliers'!$L$3:$N$6,3,FALSE)=0,"Spatial Data Missing ⚠",VLOOKUP(AA112,'G-3 Multipliers'!$L$3:$N$6,3,FALSE)))</f>
        <v/>
      </c>
      <c r="AD112" s="537" t="str">
        <f t="shared" si="15"/>
        <v/>
      </c>
      <c r="AE112" s="203"/>
      <c r="AF112" s="203"/>
      <c r="AG112" s="520" t="str">
        <f t="shared" si="18"/>
        <v/>
      </c>
      <c r="AH112" s="544" t="str">
        <f t="shared" si="19"/>
        <v/>
      </c>
      <c r="AI112" s="525" t="str">
        <f>IF(AH112="Check Data ⚠","Check Data ⚠",IFERROR(VLOOKUP(AH112,'G-4 Temporal multipliers'!$A$4:$C$36,3,FALSE),""))</f>
        <v/>
      </c>
      <c r="AJ112" s="537" t="str">
        <f>IF(S112="","",VLOOKUP(S112,'G-3 Multipliers'!$A$2:$E$129,4,FALSE))</f>
        <v/>
      </c>
      <c r="AK112" s="520" t="str">
        <f t="shared" si="20"/>
        <v/>
      </c>
      <c r="AL112" s="520" t="str">
        <f t="shared" si="21"/>
        <v/>
      </c>
      <c r="AM112" s="524" t="str">
        <f>IFERROR(IF(F112="","",IF(AH112="Check Data ⚠","Check Data ⚠",VLOOKUP(AL112, 'G-3 Multipliers'!$P$2:$Q$6,2,FALSE))),"")</f>
        <v/>
      </c>
      <c r="AN112" s="197"/>
      <c r="AO112" s="540" t="str">
        <f>IF(AN112="","",IF(VLOOKUP(AN112,'G-3 Multipliers'!$S$3:$T$9,2,FALSE)=0,"Spatial Data Missing ⚠",VLOOKUP(AN112,'G-3 Multipliers'!$S$3:$T$9,2,FALSE)))</f>
        <v/>
      </c>
      <c r="AP112" s="513" t="str">
        <f t="shared" si="22"/>
        <v/>
      </c>
      <c r="AQ112" s="231"/>
      <c r="AR112" s="150"/>
    </row>
    <row r="113" spans="1:44" x14ac:dyDescent="0.3">
      <c r="A113" s="31" t="str">
        <f>IF(E113="","",IF(ISNA(VLOOKUP($E113,'D-1 Off Site Habitat Baseline'!$D$1:$O$258,2,FALSE)),"",(VLOOKUP($E113,'D-1 Off Site Habitat Baseline'!$D$1:$O$258,2,FALSE))))</f>
        <v/>
      </c>
      <c r="B113" s="31" t="str">
        <f>IF(E113="","",IF(ISNA(VLOOKUP($E113,'D-1 Off Site Habitat Baseline'!$D$1:$O$258,3,FALSE)),"",(VLOOKUP($E113,'D-1 Off Site Habitat Baseline'!$D$1:$O$258,3,FALSE))))</f>
        <v/>
      </c>
      <c r="C113" s="31" t="str">
        <f>IFERROR(INDEX('G-8 Condition Look up'!$I$4:$I$130,MATCH(S113,'G-8 Condition Look up'!$A$4:$A$130,0)),"")</f>
        <v/>
      </c>
      <c r="E113" s="547" t="str">
        <f>'D-1 Off Site Habitat Baseline'!AL112</f>
        <v/>
      </c>
      <c r="F113" s="520" t="str">
        <f>IF(E113="","",IF(ISNA(VLOOKUP($E113,'D-1 Off Site Habitat Baseline'!$D$1:$O$258,4,FALSE)),"",(VLOOKUP($E113,'D-1 Off Site Habitat Baseline'!$D$1:$O$258,4,FALSE))))</f>
        <v/>
      </c>
      <c r="G113" s="520" t="str">
        <f>IF(E113="","",IF(ISNA(VLOOKUP($E113,'D-1 Off Site Habitat Baseline'!$D$1:$O$258,5,FALSE)),"",(VLOOKUP($E113,'D-1 Off Site Habitat Baseline'!$D$1:$O$258,5,FALSE))))</f>
        <v/>
      </c>
      <c r="H113" s="520" t="str">
        <f>IF(E113="","",IF(ISNA(VLOOKUP($E113,'D-1 Off Site Habitat Baseline'!$D$1:$O$258,6,FALSE)),"",(VLOOKUP($E113,'D-1 Off Site Habitat Baseline'!$D$1:$O$258,6,FALSE))))</f>
        <v/>
      </c>
      <c r="I113" s="520" t="str">
        <f>IF(E113="","",IF(ISNA(VLOOKUP($E113,'D-1 Off Site Habitat Baseline'!$D$1:$O$258,7,FALSE)),"",(VLOOKUP($E113,'D-1 Off Site Habitat Baseline'!$D$1:$O$258,7,FALSE))))</f>
        <v/>
      </c>
      <c r="J113" s="520" t="str">
        <f>IF(E113="","",IF(ISNA(VLOOKUP($E113,'D-1 Off Site Habitat Baseline'!$D$1:$O$258,8,FALSE)),"",(VLOOKUP($E113,'D-1 Off Site Habitat Baseline'!$D$1:$O$258,8,FALSE))))</f>
        <v/>
      </c>
      <c r="K113" s="520" t="str">
        <f>IF(E113="","",IF(ISNA(VLOOKUP($E113,'D-1 Off Site Habitat Baseline'!$D$1:$O$258,9,FALSE)),"",(VLOOKUP($E113,'D-1 Off Site Habitat Baseline'!$D$1:$O$258,9,FALSE))))</f>
        <v/>
      </c>
      <c r="L113" s="520" t="str">
        <f>IF(E113="","",IF(ISNA(VLOOKUP($E113,'D-1 Off Site Habitat Baseline'!$D$1:$O$258,11,FALSE)),"",(VLOOKUP($E113,'D-1 Off Site Habitat Baseline'!$D$1:$O$258,11,FALSE))))</f>
        <v/>
      </c>
      <c r="M113" s="520" t="str">
        <f>IF(E113="","",IF(ISNA(VLOOKUP($E113,'D-1 Off Site Habitat Baseline'!$D$1:$O$258,12,FALSE)),"",(VLOOKUP($E113,'D-1 Off Site Habitat Baseline'!$D$1:$O$258,12,FALSE))))</f>
        <v/>
      </c>
      <c r="N113" s="520" t="str">
        <f>IF(E113="","",IF(ISNA(VLOOKUP($E113,'D-1 Off Site Habitat Baseline'!$D$1:$X$258,14,FALSE)),"",(VLOOKUP($E113,'D-1 Off Site Habitat Baseline'!$D$1:$X$258,14,FALSE))))</f>
        <v/>
      </c>
      <c r="O113" s="524" t="str">
        <f>IF(E113="","",IF(ISNA(VLOOKUP($E113,'D-1 Off Site Habitat Baseline'!$D$1:$X$258,13,FALSE)),"",(VLOOKUP($E113,'D-1 Off Site Habitat Baseline'!$D$1:$X$258,13,FALSE))))</f>
        <v/>
      </c>
      <c r="P113" s="232" t="str">
        <f>IFERROR(INDEX('G-1 All Habitats'!$AG$3:$AG$15,MATCH(Q113,'G-1 All Habitats'!$AF$3:$AF$15,0)),"")</f>
        <v/>
      </c>
      <c r="Q113" s="228" t="str">
        <f t="shared" si="23"/>
        <v/>
      </c>
      <c r="R113" s="229" t="str">
        <f t="shared" si="24"/>
        <v/>
      </c>
      <c r="S113" s="233" t="str">
        <f>IFERROR(INDEX('G-1 All Habitats'!$B$3:$B$129,MATCH(R113,'G-1 All Habitats'!$A$3:$A$129,0)),"")</f>
        <v/>
      </c>
      <c r="T113" s="507" t="str">
        <f t="shared" si="16"/>
        <v/>
      </c>
      <c r="U113" s="524" t="str">
        <f t="shared" si="17"/>
        <v/>
      </c>
      <c r="V113" s="523" t="str">
        <f t="shared" si="14"/>
        <v/>
      </c>
      <c r="W113" s="520" t="str">
        <f>IF(S113="","",VLOOKUP(S113,'G-1 All Habitats'!$B$2:$M$129,10,FALSE))</f>
        <v/>
      </c>
      <c r="X113" s="520" t="str">
        <f>IFERROR(VLOOKUP(W113,'G-1 All Habitats'!$V$3:$W$7,2,FALSE),"")</f>
        <v/>
      </c>
      <c r="Y113" s="203"/>
      <c r="Z113" s="524" t="str">
        <f>IFERROR(INDEX('G-8 Condition Look up'!$A$3:$H$130,MATCH(S113,'G-8 Condition Look up'!$A$3:$A$130,0),MATCH(Y113,'G-8 Condition Look up'!$A$3:$H$3,0)),"")</f>
        <v/>
      </c>
      <c r="AA113" s="145"/>
      <c r="AB113" s="540" t="str">
        <f>IF(AA113="","",IF(VLOOKUP(AA113,'G-3 Multipliers'!$L$3:$N$6,2,FALSE)=0,"Spatial Data Missing ⚠",VLOOKUP(AA113,'G-3 Multipliers'!$L$3:$N$6,2,FALSE)))</f>
        <v/>
      </c>
      <c r="AC113" s="524" t="str">
        <f>IF(AA113="","",IF(VLOOKUP(AA113,'G-3 Multipliers'!$L$3:$N$6,3,FALSE)=0,"Spatial Data Missing ⚠",VLOOKUP(AA113,'G-3 Multipliers'!$L$3:$N$6,3,FALSE)))</f>
        <v/>
      </c>
      <c r="AD113" s="537" t="str">
        <f t="shared" si="15"/>
        <v/>
      </c>
      <c r="AE113" s="203"/>
      <c r="AF113" s="203"/>
      <c r="AG113" s="520" t="str">
        <f t="shared" si="18"/>
        <v/>
      </c>
      <c r="AH113" s="544" t="str">
        <f t="shared" si="19"/>
        <v/>
      </c>
      <c r="AI113" s="525" t="str">
        <f>IF(AH113="Check Data ⚠","Check Data ⚠",IFERROR(VLOOKUP(AH113,'G-4 Temporal multipliers'!$A$4:$C$36,3,FALSE),""))</f>
        <v/>
      </c>
      <c r="AJ113" s="537" t="str">
        <f>IF(S113="","",VLOOKUP(S113,'G-3 Multipliers'!$A$2:$E$129,4,FALSE))</f>
        <v/>
      </c>
      <c r="AK113" s="520" t="str">
        <f t="shared" si="20"/>
        <v/>
      </c>
      <c r="AL113" s="520" t="str">
        <f t="shared" si="21"/>
        <v/>
      </c>
      <c r="AM113" s="524" t="str">
        <f>IFERROR(IF(F113="","",IF(AH113="Check Data ⚠","Check Data ⚠",VLOOKUP(AL113, 'G-3 Multipliers'!$P$2:$Q$6,2,FALSE))),"")</f>
        <v/>
      </c>
      <c r="AN113" s="197"/>
      <c r="AO113" s="540" t="str">
        <f>IF(AN113="","",IF(VLOOKUP(AN113,'G-3 Multipliers'!$S$3:$T$9,2,FALSE)=0,"Spatial Data Missing ⚠",VLOOKUP(AN113,'G-3 Multipliers'!$S$3:$T$9,2,FALSE)))</f>
        <v/>
      </c>
      <c r="AP113" s="513" t="str">
        <f t="shared" si="22"/>
        <v/>
      </c>
      <c r="AQ113" s="231"/>
      <c r="AR113" s="150"/>
    </row>
    <row r="114" spans="1:44" x14ac:dyDescent="0.3">
      <c r="A114" s="31" t="str">
        <f>IF(E114="","",IF(ISNA(VLOOKUP($E114,'D-1 Off Site Habitat Baseline'!$D$1:$O$258,2,FALSE)),"",(VLOOKUP($E114,'D-1 Off Site Habitat Baseline'!$D$1:$O$258,2,FALSE))))</f>
        <v/>
      </c>
      <c r="B114" s="31" t="str">
        <f>IF(E114="","",IF(ISNA(VLOOKUP($E114,'D-1 Off Site Habitat Baseline'!$D$1:$O$258,3,FALSE)),"",(VLOOKUP($E114,'D-1 Off Site Habitat Baseline'!$D$1:$O$258,3,FALSE))))</f>
        <v/>
      </c>
      <c r="C114" s="31" t="str">
        <f>IFERROR(INDEX('G-8 Condition Look up'!$I$4:$I$130,MATCH(S114,'G-8 Condition Look up'!$A$4:$A$130,0)),"")</f>
        <v/>
      </c>
      <c r="E114" s="547" t="str">
        <f>'D-1 Off Site Habitat Baseline'!AL113</f>
        <v/>
      </c>
      <c r="F114" s="520" t="str">
        <f>IF(E114="","",IF(ISNA(VLOOKUP($E114,'D-1 Off Site Habitat Baseline'!$D$1:$O$258,4,FALSE)),"",(VLOOKUP($E114,'D-1 Off Site Habitat Baseline'!$D$1:$O$258,4,FALSE))))</f>
        <v/>
      </c>
      <c r="G114" s="520" t="str">
        <f>IF(E114="","",IF(ISNA(VLOOKUP($E114,'D-1 Off Site Habitat Baseline'!$D$1:$O$258,5,FALSE)),"",(VLOOKUP($E114,'D-1 Off Site Habitat Baseline'!$D$1:$O$258,5,FALSE))))</f>
        <v/>
      </c>
      <c r="H114" s="520" t="str">
        <f>IF(E114="","",IF(ISNA(VLOOKUP($E114,'D-1 Off Site Habitat Baseline'!$D$1:$O$258,6,FALSE)),"",(VLOOKUP($E114,'D-1 Off Site Habitat Baseline'!$D$1:$O$258,6,FALSE))))</f>
        <v/>
      </c>
      <c r="I114" s="520" t="str">
        <f>IF(E114="","",IF(ISNA(VLOOKUP($E114,'D-1 Off Site Habitat Baseline'!$D$1:$O$258,7,FALSE)),"",(VLOOKUP($E114,'D-1 Off Site Habitat Baseline'!$D$1:$O$258,7,FALSE))))</f>
        <v/>
      </c>
      <c r="J114" s="520" t="str">
        <f>IF(E114="","",IF(ISNA(VLOOKUP($E114,'D-1 Off Site Habitat Baseline'!$D$1:$O$258,8,FALSE)),"",(VLOOKUP($E114,'D-1 Off Site Habitat Baseline'!$D$1:$O$258,8,FALSE))))</f>
        <v/>
      </c>
      <c r="K114" s="520" t="str">
        <f>IF(E114="","",IF(ISNA(VLOOKUP($E114,'D-1 Off Site Habitat Baseline'!$D$1:$O$258,9,FALSE)),"",(VLOOKUP($E114,'D-1 Off Site Habitat Baseline'!$D$1:$O$258,9,FALSE))))</f>
        <v/>
      </c>
      <c r="L114" s="520" t="str">
        <f>IF(E114="","",IF(ISNA(VLOOKUP($E114,'D-1 Off Site Habitat Baseline'!$D$1:$O$258,11,FALSE)),"",(VLOOKUP($E114,'D-1 Off Site Habitat Baseline'!$D$1:$O$258,11,FALSE))))</f>
        <v/>
      </c>
      <c r="M114" s="520" t="str">
        <f>IF(E114="","",IF(ISNA(VLOOKUP($E114,'D-1 Off Site Habitat Baseline'!$D$1:$O$258,12,FALSE)),"",(VLOOKUP($E114,'D-1 Off Site Habitat Baseline'!$D$1:$O$258,12,FALSE))))</f>
        <v/>
      </c>
      <c r="N114" s="520" t="str">
        <f>IF(E114="","",IF(ISNA(VLOOKUP($E114,'D-1 Off Site Habitat Baseline'!$D$1:$X$258,14,FALSE)),"",(VLOOKUP($E114,'D-1 Off Site Habitat Baseline'!$D$1:$X$258,14,FALSE))))</f>
        <v/>
      </c>
      <c r="O114" s="524" t="str">
        <f>IF(E114="","",IF(ISNA(VLOOKUP($E114,'D-1 Off Site Habitat Baseline'!$D$1:$X$258,13,FALSE)),"",(VLOOKUP($E114,'D-1 Off Site Habitat Baseline'!$D$1:$X$258,13,FALSE))))</f>
        <v/>
      </c>
      <c r="P114" s="232" t="str">
        <f>IFERROR(INDEX('G-1 All Habitats'!$AG$3:$AG$15,MATCH(Q114,'G-1 All Habitats'!$AF$3:$AF$15,0)),"")</f>
        <v/>
      </c>
      <c r="Q114" s="228" t="str">
        <f t="shared" si="23"/>
        <v/>
      </c>
      <c r="R114" s="229" t="str">
        <f t="shared" si="24"/>
        <v/>
      </c>
      <c r="S114" s="233" t="str">
        <f>IFERROR(INDEX('G-1 All Habitats'!$B$3:$B$129,MATCH(R114,'G-1 All Habitats'!$A$3:$A$129,0)),"")</f>
        <v/>
      </c>
      <c r="T114" s="507" t="str">
        <f t="shared" si="16"/>
        <v/>
      </c>
      <c r="U114" s="524" t="str">
        <f t="shared" si="17"/>
        <v/>
      </c>
      <c r="V114" s="523" t="str">
        <f t="shared" si="14"/>
        <v/>
      </c>
      <c r="W114" s="520" t="str">
        <f>IF(S114="","",VLOOKUP(S114,'G-1 All Habitats'!$B$2:$M$129,10,FALSE))</f>
        <v/>
      </c>
      <c r="X114" s="520" t="str">
        <f>IFERROR(VLOOKUP(W114,'G-1 All Habitats'!$V$3:$W$7,2,FALSE),"")</f>
        <v/>
      </c>
      <c r="Y114" s="203"/>
      <c r="Z114" s="524" t="str">
        <f>IFERROR(INDEX('G-8 Condition Look up'!$A$3:$H$130,MATCH(S114,'G-8 Condition Look up'!$A$3:$A$130,0),MATCH(Y114,'G-8 Condition Look up'!$A$3:$H$3,0)),"")</f>
        <v/>
      </c>
      <c r="AA114" s="145"/>
      <c r="AB114" s="540" t="str">
        <f>IF(AA114="","",IF(VLOOKUP(AA114,'G-3 Multipliers'!$L$3:$N$6,2,FALSE)=0,"Spatial Data Missing ⚠",VLOOKUP(AA114,'G-3 Multipliers'!$L$3:$N$6,2,FALSE)))</f>
        <v/>
      </c>
      <c r="AC114" s="524" t="str">
        <f>IF(AA114="","",IF(VLOOKUP(AA114,'G-3 Multipliers'!$L$3:$N$6,3,FALSE)=0,"Spatial Data Missing ⚠",VLOOKUP(AA114,'G-3 Multipliers'!$L$3:$N$6,3,FALSE)))</f>
        <v/>
      </c>
      <c r="AD114" s="537" t="str">
        <f t="shared" si="15"/>
        <v/>
      </c>
      <c r="AE114" s="203"/>
      <c r="AF114" s="203"/>
      <c r="AG114" s="520" t="str">
        <f t="shared" si="18"/>
        <v/>
      </c>
      <c r="AH114" s="544" t="str">
        <f t="shared" si="19"/>
        <v/>
      </c>
      <c r="AI114" s="525" t="str">
        <f>IF(AH114="Check Data ⚠","Check Data ⚠",IFERROR(VLOOKUP(AH114,'G-4 Temporal multipliers'!$A$4:$C$36,3,FALSE),""))</f>
        <v/>
      </c>
      <c r="AJ114" s="537" t="str">
        <f>IF(S114="","",VLOOKUP(S114,'G-3 Multipliers'!$A$2:$E$129,4,FALSE))</f>
        <v/>
      </c>
      <c r="AK114" s="520" t="str">
        <f t="shared" si="20"/>
        <v/>
      </c>
      <c r="AL114" s="520" t="str">
        <f t="shared" si="21"/>
        <v/>
      </c>
      <c r="AM114" s="524" t="str">
        <f>IFERROR(IF(F114="","",IF(AH114="Check Data ⚠","Check Data ⚠",VLOOKUP(AL114, 'G-3 Multipliers'!$P$2:$Q$6,2,FALSE))),"")</f>
        <v/>
      </c>
      <c r="AN114" s="197"/>
      <c r="AO114" s="540" t="str">
        <f>IF(AN114="","",IF(VLOOKUP(AN114,'G-3 Multipliers'!$S$3:$T$9,2,FALSE)=0,"Spatial Data Missing ⚠",VLOOKUP(AN114,'G-3 Multipliers'!$S$3:$T$9,2,FALSE)))</f>
        <v/>
      </c>
      <c r="AP114" s="513" t="str">
        <f t="shared" si="22"/>
        <v/>
      </c>
      <c r="AQ114" s="231"/>
      <c r="AR114" s="150"/>
    </row>
    <row r="115" spans="1:44" x14ac:dyDescent="0.3">
      <c r="A115" s="31" t="str">
        <f>IF(E115="","",IF(ISNA(VLOOKUP($E115,'D-1 Off Site Habitat Baseline'!$D$1:$O$258,2,FALSE)),"",(VLOOKUP($E115,'D-1 Off Site Habitat Baseline'!$D$1:$O$258,2,FALSE))))</f>
        <v/>
      </c>
      <c r="B115" s="31" t="str">
        <f>IF(E115="","",IF(ISNA(VLOOKUP($E115,'D-1 Off Site Habitat Baseline'!$D$1:$O$258,3,FALSE)),"",(VLOOKUP($E115,'D-1 Off Site Habitat Baseline'!$D$1:$O$258,3,FALSE))))</f>
        <v/>
      </c>
      <c r="C115" s="31" t="str">
        <f>IFERROR(INDEX('G-8 Condition Look up'!$I$4:$I$130,MATCH(S115,'G-8 Condition Look up'!$A$4:$A$130,0)),"")</f>
        <v/>
      </c>
      <c r="E115" s="547" t="str">
        <f>'D-1 Off Site Habitat Baseline'!AL114</f>
        <v/>
      </c>
      <c r="F115" s="520" t="str">
        <f>IF(E115="","",IF(ISNA(VLOOKUP($E115,'D-1 Off Site Habitat Baseline'!$D$1:$O$258,4,FALSE)),"",(VLOOKUP($E115,'D-1 Off Site Habitat Baseline'!$D$1:$O$258,4,FALSE))))</f>
        <v/>
      </c>
      <c r="G115" s="520" t="str">
        <f>IF(E115="","",IF(ISNA(VLOOKUP($E115,'D-1 Off Site Habitat Baseline'!$D$1:$O$258,5,FALSE)),"",(VLOOKUP($E115,'D-1 Off Site Habitat Baseline'!$D$1:$O$258,5,FALSE))))</f>
        <v/>
      </c>
      <c r="H115" s="520" t="str">
        <f>IF(E115="","",IF(ISNA(VLOOKUP($E115,'D-1 Off Site Habitat Baseline'!$D$1:$O$258,6,FALSE)),"",(VLOOKUP($E115,'D-1 Off Site Habitat Baseline'!$D$1:$O$258,6,FALSE))))</f>
        <v/>
      </c>
      <c r="I115" s="520" t="str">
        <f>IF(E115="","",IF(ISNA(VLOOKUP($E115,'D-1 Off Site Habitat Baseline'!$D$1:$O$258,7,FALSE)),"",(VLOOKUP($E115,'D-1 Off Site Habitat Baseline'!$D$1:$O$258,7,FALSE))))</f>
        <v/>
      </c>
      <c r="J115" s="520" t="str">
        <f>IF(E115="","",IF(ISNA(VLOOKUP($E115,'D-1 Off Site Habitat Baseline'!$D$1:$O$258,8,FALSE)),"",(VLOOKUP($E115,'D-1 Off Site Habitat Baseline'!$D$1:$O$258,8,FALSE))))</f>
        <v/>
      </c>
      <c r="K115" s="520" t="str">
        <f>IF(E115="","",IF(ISNA(VLOOKUP($E115,'D-1 Off Site Habitat Baseline'!$D$1:$O$258,9,FALSE)),"",(VLOOKUP($E115,'D-1 Off Site Habitat Baseline'!$D$1:$O$258,9,FALSE))))</f>
        <v/>
      </c>
      <c r="L115" s="520" t="str">
        <f>IF(E115="","",IF(ISNA(VLOOKUP($E115,'D-1 Off Site Habitat Baseline'!$D$1:$O$258,11,FALSE)),"",(VLOOKUP($E115,'D-1 Off Site Habitat Baseline'!$D$1:$O$258,11,FALSE))))</f>
        <v/>
      </c>
      <c r="M115" s="520" t="str">
        <f>IF(E115="","",IF(ISNA(VLOOKUP($E115,'D-1 Off Site Habitat Baseline'!$D$1:$O$258,12,FALSE)),"",(VLOOKUP($E115,'D-1 Off Site Habitat Baseline'!$D$1:$O$258,12,FALSE))))</f>
        <v/>
      </c>
      <c r="N115" s="520" t="str">
        <f>IF(E115="","",IF(ISNA(VLOOKUP($E115,'D-1 Off Site Habitat Baseline'!$D$1:$X$258,14,FALSE)),"",(VLOOKUP($E115,'D-1 Off Site Habitat Baseline'!$D$1:$X$258,14,FALSE))))</f>
        <v/>
      </c>
      <c r="O115" s="524" t="str">
        <f>IF(E115="","",IF(ISNA(VLOOKUP($E115,'D-1 Off Site Habitat Baseline'!$D$1:$X$258,13,FALSE)),"",(VLOOKUP($E115,'D-1 Off Site Habitat Baseline'!$D$1:$X$258,13,FALSE))))</f>
        <v/>
      </c>
      <c r="P115" s="232" t="str">
        <f>IFERROR(INDEX('G-1 All Habitats'!$AG$3:$AG$15,MATCH(Q115,'G-1 All Habitats'!$AF$3:$AF$15,0)),"")</f>
        <v/>
      </c>
      <c r="Q115" s="228" t="str">
        <f t="shared" si="23"/>
        <v/>
      </c>
      <c r="R115" s="229" t="str">
        <f t="shared" si="24"/>
        <v/>
      </c>
      <c r="S115" s="233" t="str">
        <f>IFERROR(INDEX('G-1 All Habitats'!$B$3:$B$129,MATCH(R115,'G-1 All Habitats'!$A$3:$A$129,0)),"")</f>
        <v/>
      </c>
      <c r="T115" s="507" t="str">
        <f t="shared" si="16"/>
        <v/>
      </c>
      <c r="U115" s="524" t="str">
        <f t="shared" si="17"/>
        <v/>
      </c>
      <c r="V115" s="523" t="str">
        <f t="shared" si="14"/>
        <v/>
      </c>
      <c r="W115" s="520" t="str">
        <f>IF(S115="","",VLOOKUP(S115,'G-1 All Habitats'!$B$2:$M$129,10,FALSE))</f>
        <v/>
      </c>
      <c r="X115" s="520" t="str">
        <f>IFERROR(VLOOKUP(W115,'G-1 All Habitats'!$V$3:$W$7,2,FALSE),"")</f>
        <v/>
      </c>
      <c r="Y115" s="203"/>
      <c r="Z115" s="524" t="str">
        <f>IFERROR(INDEX('G-8 Condition Look up'!$A$3:$H$130,MATCH(S115,'G-8 Condition Look up'!$A$3:$A$130,0),MATCH(Y115,'G-8 Condition Look up'!$A$3:$H$3,0)),"")</f>
        <v/>
      </c>
      <c r="AA115" s="145"/>
      <c r="AB115" s="540" t="str">
        <f>IF(AA115="","",IF(VLOOKUP(AA115,'G-3 Multipliers'!$L$3:$N$6,2,FALSE)=0,"Spatial Data Missing ⚠",VLOOKUP(AA115,'G-3 Multipliers'!$L$3:$N$6,2,FALSE)))</f>
        <v/>
      </c>
      <c r="AC115" s="524" t="str">
        <f>IF(AA115="","",IF(VLOOKUP(AA115,'G-3 Multipliers'!$L$3:$N$6,3,FALSE)=0,"Spatial Data Missing ⚠",VLOOKUP(AA115,'G-3 Multipliers'!$L$3:$N$6,3,FALSE)))</f>
        <v/>
      </c>
      <c r="AD115" s="537" t="str">
        <f t="shared" si="15"/>
        <v/>
      </c>
      <c r="AE115" s="203"/>
      <c r="AF115" s="203"/>
      <c r="AG115" s="520" t="str">
        <f t="shared" si="18"/>
        <v/>
      </c>
      <c r="AH115" s="544" t="str">
        <f t="shared" si="19"/>
        <v/>
      </c>
      <c r="AI115" s="525" t="str">
        <f>IF(AH115="Check Data ⚠","Check Data ⚠",IFERROR(VLOOKUP(AH115,'G-4 Temporal multipliers'!$A$4:$C$36,3,FALSE),""))</f>
        <v/>
      </c>
      <c r="AJ115" s="537" t="str">
        <f>IF(S115="","",VLOOKUP(S115,'G-3 Multipliers'!$A$2:$E$129,4,FALSE))</f>
        <v/>
      </c>
      <c r="AK115" s="520" t="str">
        <f t="shared" si="20"/>
        <v/>
      </c>
      <c r="AL115" s="520" t="str">
        <f t="shared" si="21"/>
        <v/>
      </c>
      <c r="AM115" s="524" t="str">
        <f>IFERROR(IF(F115="","",IF(AH115="Check Data ⚠","Check Data ⚠",VLOOKUP(AL115, 'G-3 Multipliers'!$P$2:$Q$6,2,FALSE))),"")</f>
        <v/>
      </c>
      <c r="AN115" s="197"/>
      <c r="AO115" s="540" t="str">
        <f>IF(AN115="","",IF(VLOOKUP(AN115,'G-3 Multipliers'!$S$3:$T$9,2,FALSE)=0,"Spatial Data Missing ⚠",VLOOKUP(AN115,'G-3 Multipliers'!$S$3:$T$9,2,FALSE)))</f>
        <v/>
      </c>
      <c r="AP115" s="513" t="str">
        <f t="shared" si="22"/>
        <v/>
      </c>
      <c r="AQ115" s="231"/>
      <c r="AR115" s="150"/>
    </row>
    <row r="116" spans="1:44" x14ac:dyDescent="0.3">
      <c r="A116" s="31" t="str">
        <f>IF(E116="","",IF(ISNA(VLOOKUP($E116,'D-1 Off Site Habitat Baseline'!$D$1:$O$258,2,FALSE)),"",(VLOOKUP($E116,'D-1 Off Site Habitat Baseline'!$D$1:$O$258,2,FALSE))))</f>
        <v/>
      </c>
      <c r="B116" s="31" t="str">
        <f>IF(E116="","",IF(ISNA(VLOOKUP($E116,'D-1 Off Site Habitat Baseline'!$D$1:$O$258,3,FALSE)),"",(VLOOKUP($E116,'D-1 Off Site Habitat Baseline'!$D$1:$O$258,3,FALSE))))</f>
        <v/>
      </c>
      <c r="C116" s="31" t="str">
        <f>IFERROR(INDEX('G-8 Condition Look up'!$I$4:$I$130,MATCH(S116,'G-8 Condition Look up'!$A$4:$A$130,0)),"")</f>
        <v/>
      </c>
      <c r="E116" s="547" t="str">
        <f>'D-1 Off Site Habitat Baseline'!AL115</f>
        <v/>
      </c>
      <c r="F116" s="520" t="str">
        <f>IF(E116="","",IF(ISNA(VLOOKUP($E116,'D-1 Off Site Habitat Baseline'!$D$1:$O$258,4,FALSE)),"",(VLOOKUP($E116,'D-1 Off Site Habitat Baseline'!$D$1:$O$258,4,FALSE))))</f>
        <v/>
      </c>
      <c r="G116" s="520" t="str">
        <f>IF(E116="","",IF(ISNA(VLOOKUP($E116,'D-1 Off Site Habitat Baseline'!$D$1:$O$258,5,FALSE)),"",(VLOOKUP($E116,'D-1 Off Site Habitat Baseline'!$D$1:$O$258,5,FALSE))))</f>
        <v/>
      </c>
      <c r="H116" s="520" t="str">
        <f>IF(E116="","",IF(ISNA(VLOOKUP($E116,'D-1 Off Site Habitat Baseline'!$D$1:$O$258,6,FALSE)),"",(VLOOKUP($E116,'D-1 Off Site Habitat Baseline'!$D$1:$O$258,6,FALSE))))</f>
        <v/>
      </c>
      <c r="I116" s="520" t="str">
        <f>IF(E116="","",IF(ISNA(VLOOKUP($E116,'D-1 Off Site Habitat Baseline'!$D$1:$O$258,7,FALSE)),"",(VLOOKUP($E116,'D-1 Off Site Habitat Baseline'!$D$1:$O$258,7,FALSE))))</f>
        <v/>
      </c>
      <c r="J116" s="520" t="str">
        <f>IF(E116="","",IF(ISNA(VLOOKUP($E116,'D-1 Off Site Habitat Baseline'!$D$1:$O$258,8,FALSE)),"",(VLOOKUP($E116,'D-1 Off Site Habitat Baseline'!$D$1:$O$258,8,FALSE))))</f>
        <v/>
      </c>
      <c r="K116" s="520" t="str">
        <f>IF(E116="","",IF(ISNA(VLOOKUP($E116,'D-1 Off Site Habitat Baseline'!$D$1:$O$258,9,FALSE)),"",(VLOOKUP($E116,'D-1 Off Site Habitat Baseline'!$D$1:$O$258,9,FALSE))))</f>
        <v/>
      </c>
      <c r="L116" s="520" t="str">
        <f>IF(E116="","",IF(ISNA(VLOOKUP($E116,'D-1 Off Site Habitat Baseline'!$D$1:$O$258,11,FALSE)),"",(VLOOKUP($E116,'D-1 Off Site Habitat Baseline'!$D$1:$O$258,11,FALSE))))</f>
        <v/>
      </c>
      <c r="M116" s="520" t="str">
        <f>IF(E116="","",IF(ISNA(VLOOKUP($E116,'D-1 Off Site Habitat Baseline'!$D$1:$O$258,12,FALSE)),"",(VLOOKUP($E116,'D-1 Off Site Habitat Baseline'!$D$1:$O$258,12,FALSE))))</f>
        <v/>
      </c>
      <c r="N116" s="520" t="str">
        <f>IF(E116="","",IF(ISNA(VLOOKUP($E116,'D-1 Off Site Habitat Baseline'!$D$1:$X$258,14,FALSE)),"",(VLOOKUP($E116,'D-1 Off Site Habitat Baseline'!$D$1:$X$258,14,FALSE))))</f>
        <v/>
      </c>
      <c r="O116" s="524" t="str">
        <f>IF(E116="","",IF(ISNA(VLOOKUP($E116,'D-1 Off Site Habitat Baseline'!$D$1:$X$258,13,FALSE)),"",(VLOOKUP($E116,'D-1 Off Site Habitat Baseline'!$D$1:$X$258,13,FALSE))))</f>
        <v/>
      </c>
      <c r="P116" s="232" t="str">
        <f>IFERROR(INDEX('G-1 All Habitats'!$AG$3:$AG$15,MATCH(Q116,'G-1 All Habitats'!$AF$3:$AF$15,0)),"")</f>
        <v/>
      </c>
      <c r="Q116" s="228" t="str">
        <f t="shared" si="23"/>
        <v/>
      </c>
      <c r="R116" s="229" t="str">
        <f t="shared" si="24"/>
        <v/>
      </c>
      <c r="S116" s="233" t="str">
        <f>IFERROR(INDEX('G-1 All Habitats'!$B$3:$B$129,MATCH(R116,'G-1 All Habitats'!$A$3:$A$129,0)),"")</f>
        <v/>
      </c>
      <c r="T116" s="507" t="str">
        <f t="shared" si="16"/>
        <v/>
      </c>
      <c r="U116" s="524" t="str">
        <f t="shared" si="17"/>
        <v/>
      </c>
      <c r="V116" s="523" t="str">
        <f t="shared" si="14"/>
        <v/>
      </c>
      <c r="W116" s="520" t="str">
        <f>IF(S116="","",VLOOKUP(S116,'G-1 All Habitats'!$B$2:$M$129,10,FALSE))</f>
        <v/>
      </c>
      <c r="X116" s="520" t="str">
        <f>IFERROR(VLOOKUP(W116,'G-1 All Habitats'!$V$3:$W$7,2,FALSE),"")</f>
        <v/>
      </c>
      <c r="Y116" s="203"/>
      <c r="Z116" s="524" t="str">
        <f>IFERROR(INDEX('G-8 Condition Look up'!$A$3:$H$130,MATCH(S116,'G-8 Condition Look up'!$A$3:$A$130,0),MATCH(Y116,'G-8 Condition Look up'!$A$3:$H$3,0)),"")</f>
        <v/>
      </c>
      <c r="AA116" s="145"/>
      <c r="AB116" s="540" t="str">
        <f>IF(AA116="","",IF(VLOOKUP(AA116,'G-3 Multipliers'!$L$3:$N$6,2,FALSE)=0,"Spatial Data Missing ⚠",VLOOKUP(AA116,'G-3 Multipliers'!$L$3:$N$6,2,FALSE)))</f>
        <v/>
      </c>
      <c r="AC116" s="524" t="str">
        <f>IF(AA116="","",IF(VLOOKUP(AA116,'G-3 Multipliers'!$L$3:$N$6,3,FALSE)=0,"Spatial Data Missing ⚠",VLOOKUP(AA116,'G-3 Multipliers'!$L$3:$N$6,3,FALSE)))</f>
        <v/>
      </c>
      <c r="AD116" s="537" t="str">
        <f t="shared" si="15"/>
        <v/>
      </c>
      <c r="AE116" s="203"/>
      <c r="AF116" s="203"/>
      <c r="AG116" s="520" t="str">
        <f t="shared" si="18"/>
        <v/>
      </c>
      <c r="AH116" s="544" t="str">
        <f t="shared" si="19"/>
        <v/>
      </c>
      <c r="AI116" s="525" t="str">
        <f>IF(AH116="Check Data ⚠","Check Data ⚠",IFERROR(VLOOKUP(AH116,'G-4 Temporal multipliers'!$A$4:$C$36,3,FALSE),""))</f>
        <v/>
      </c>
      <c r="AJ116" s="537" t="str">
        <f>IF(S116="","",VLOOKUP(S116,'G-3 Multipliers'!$A$2:$E$129,4,FALSE))</f>
        <v/>
      </c>
      <c r="AK116" s="520" t="str">
        <f t="shared" si="20"/>
        <v/>
      </c>
      <c r="AL116" s="520" t="str">
        <f t="shared" si="21"/>
        <v/>
      </c>
      <c r="AM116" s="524" t="str">
        <f>IFERROR(IF(F116="","",IF(AH116="Check Data ⚠","Check Data ⚠",VLOOKUP(AL116, 'G-3 Multipliers'!$P$2:$Q$6,2,FALSE))),"")</f>
        <v/>
      </c>
      <c r="AN116" s="197"/>
      <c r="AO116" s="540" t="str">
        <f>IF(AN116="","",IF(VLOOKUP(AN116,'G-3 Multipliers'!$S$3:$T$9,2,FALSE)=0,"Spatial Data Missing ⚠",VLOOKUP(AN116,'G-3 Multipliers'!$S$3:$T$9,2,FALSE)))</f>
        <v/>
      </c>
      <c r="AP116" s="513" t="str">
        <f t="shared" si="22"/>
        <v/>
      </c>
      <c r="AQ116" s="231"/>
      <c r="AR116" s="150"/>
    </row>
    <row r="117" spans="1:44" x14ac:dyDescent="0.3">
      <c r="A117" s="31" t="str">
        <f>IF(E117="","",IF(ISNA(VLOOKUP($E117,'D-1 Off Site Habitat Baseline'!$D$1:$O$258,2,FALSE)),"",(VLOOKUP($E117,'D-1 Off Site Habitat Baseline'!$D$1:$O$258,2,FALSE))))</f>
        <v/>
      </c>
      <c r="B117" s="31" t="str">
        <f>IF(E117="","",IF(ISNA(VLOOKUP($E117,'D-1 Off Site Habitat Baseline'!$D$1:$O$258,3,FALSE)),"",(VLOOKUP($E117,'D-1 Off Site Habitat Baseline'!$D$1:$O$258,3,FALSE))))</f>
        <v/>
      </c>
      <c r="C117" s="31" t="str">
        <f>IFERROR(INDEX('G-8 Condition Look up'!$I$4:$I$130,MATCH(S117,'G-8 Condition Look up'!$A$4:$A$130,0)),"")</f>
        <v/>
      </c>
      <c r="E117" s="547" t="str">
        <f>'D-1 Off Site Habitat Baseline'!AL116</f>
        <v/>
      </c>
      <c r="F117" s="520" t="str">
        <f>IF(E117="","",IF(ISNA(VLOOKUP($E117,'D-1 Off Site Habitat Baseline'!$D$1:$O$258,4,FALSE)),"",(VLOOKUP($E117,'D-1 Off Site Habitat Baseline'!$D$1:$O$258,4,FALSE))))</f>
        <v/>
      </c>
      <c r="G117" s="520" t="str">
        <f>IF(E117="","",IF(ISNA(VLOOKUP($E117,'D-1 Off Site Habitat Baseline'!$D$1:$O$258,5,FALSE)),"",(VLOOKUP($E117,'D-1 Off Site Habitat Baseline'!$D$1:$O$258,5,FALSE))))</f>
        <v/>
      </c>
      <c r="H117" s="520" t="str">
        <f>IF(E117="","",IF(ISNA(VLOOKUP($E117,'D-1 Off Site Habitat Baseline'!$D$1:$O$258,6,FALSE)),"",(VLOOKUP($E117,'D-1 Off Site Habitat Baseline'!$D$1:$O$258,6,FALSE))))</f>
        <v/>
      </c>
      <c r="I117" s="520" t="str">
        <f>IF(E117="","",IF(ISNA(VLOOKUP($E117,'D-1 Off Site Habitat Baseline'!$D$1:$O$258,7,FALSE)),"",(VLOOKUP($E117,'D-1 Off Site Habitat Baseline'!$D$1:$O$258,7,FALSE))))</f>
        <v/>
      </c>
      <c r="J117" s="520" t="str">
        <f>IF(E117="","",IF(ISNA(VLOOKUP($E117,'D-1 Off Site Habitat Baseline'!$D$1:$O$258,8,FALSE)),"",(VLOOKUP($E117,'D-1 Off Site Habitat Baseline'!$D$1:$O$258,8,FALSE))))</f>
        <v/>
      </c>
      <c r="K117" s="520" t="str">
        <f>IF(E117="","",IF(ISNA(VLOOKUP($E117,'D-1 Off Site Habitat Baseline'!$D$1:$O$258,9,FALSE)),"",(VLOOKUP($E117,'D-1 Off Site Habitat Baseline'!$D$1:$O$258,9,FALSE))))</f>
        <v/>
      </c>
      <c r="L117" s="520" t="str">
        <f>IF(E117="","",IF(ISNA(VLOOKUP($E117,'D-1 Off Site Habitat Baseline'!$D$1:$O$258,11,FALSE)),"",(VLOOKUP($E117,'D-1 Off Site Habitat Baseline'!$D$1:$O$258,11,FALSE))))</f>
        <v/>
      </c>
      <c r="M117" s="520" t="str">
        <f>IF(E117="","",IF(ISNA(VLOOKUP($E117,'D-1 Off Site Habitat Baseline'!$D$1:$O$258,12,FALSE)),"",(VLOOKUP($E117,'D-1 Off Site Habitat Baseline'!$D$1:$O$258,12,FALSE))))</f>
        <v/>
      </c>
      <c r="N117" s="520" t="str">
        <f>IF(E117="","",IF(ISNA(VLOOKUP($E117,'D-1 Off Site Habitat Baseline'!$D$1:$X$258,14,FALSE)),"",(VLOOKUP($E117,'D-1 Off Site Habitat Baseline'!$D$1:$X$258,14,FALSE))))</f>
        <v/>
      </c>
      <c r="O117" s="524" t="str">
        <f>IF(E117="","",IF(ISNA(VLOOKUP($E117,'D-1 Off Site Habitat Baseline'!$D$1:$X$258,13,FALSE)),"",(VLOOKUP($E117,'D-1 Off Site Habitat Baseline'!$D$1:$X$258,13,FALSE))))</f>
        <v/>
      </c>
      <c r="P117" s="232" t="str">
        <f>IFERROR(INDEX('G-1 All Habitats'!$AG$3:$AG$15,MATCH(Q117,'G-1 All Habitats'!$AF$3:$AF$15,0)),"")</f>
        <v/>
      </c>
      <c r="Q117" s="228" t="str">
        <f t="shared" si="23"/>
        <v/>
      </c>
      <c r="R117" s="229" t="str">
        <f t="shared" si="24"/>
        <v/>
      </c>
      <c r="S117" s="233" t="str">
        <f>IFERROR(INDEX('G-1 All Habitats'!$B$3:$B$129,MATCH(R117,'G-1 All Habitats'!$A$3:$A$129,0)),"")</f>
        <v/>
      </c>
      <c r="T117" s="507" t="str">
        <f t="shared" si="16"/>
        <v/>
      </c>
      <c r="U117" s="524" t="str">
        <f t="shared" si="17"/>
        <v/>
      </c>
      <c r="V117" s="523" t="str">
        <f t="shared" si="14"/>
        <v/>
      </c>
      <c r="W117" s="520" t="str">
        <f>IF(S117="","",VLOOKUP(S117,'G-1 All Habitats'!$B$2:$M$129,10,FALSE))</f>
        <v/>
      </c>
      <c r="X117" s="520" t="str">
        <f>IFERROR(VLOOKUP(W117,'G-1 All Habitats'!$V$3:$W$7,2,FALSE),"")</f>
        <v/>
      </c>
      <c r="Y117" s="203"/>
      <c r="Z117" s="524" t="str">
        <f>IFERROR(INDEX('G-8 Condition Look up'!$A$3:$H$130,MATCH(S117,'G-8 Condition Look up'!$A$3:$A$130,0),MATCH(Y117,'G-8 Condition Look up'!$A$3:$H$3,0)),"")</f>
        <v/>
      </c>
      <c r="AA117" s="145"/>
      <c r="AB117" s="540" t="str">
        <f>IF(AA117="","",IF(VLOOKUP(AA117,'G-3 Multipliers'!$L$3:$N$6,2,FALSE)=0,"Spatial Data Missing ⚠",VLOOKUP(AA117,'G-3 Multipliers'!$L$3:$N$6,2,FALSE)))</f>
        <v/>
      </c>
      <c r="AC117" s="524" t="str">
        <f>IF(AA117="","",IF(VLOOKUP(AA117,'G-3 Multipliers'!$L$3:$N$6,3,FALSE)=0,"Spatial Data Missing ⚠",VLOOKUP(AA117,'G-3 Multipliers'!$L$3:$N$6,3,FALSE)))</f>
        <v/>
      </c>
      <c r="AD117" s="537" t="str">
        <f t="shared" si="15"/>
        <v/>
      </c>
      <c r="AE117" s="203"/>
      <c r="AF117" s="203"/>
      <c r="AG117" s="520" t="str">
        <f t="shared" si="18"/>
        <v/>
      </c>
      <c r="AH117" s="544" t="str">
        <f t="shared" si="19"/>
        <v/>
      </c>
      <c r="AI117" s="525" t="str">
        <f>IF(AH117="Check Data ⚠","Check Data ⚠",IFERROR(VLOOKUP(AH117,'G-4 Temporal multipliers'!$A$4:$C$36,3,FALSE),""))</f>
        <v/>
      </c>
      <c r="AJ117" s="537" t="str">
        <f>IF(S117="","",VLOOKUP(S117,'G-3 Multipliers'!$A$2:$E$129,4,FALSE))</f>
        <v/>
      </c>
      <c r="AK117" s="520" t="str">
        <f t="shared" si="20"/>
        <v/>
      </c>
      <c r="AL117" s="520" t="str">
        <f t="shared" si="21"/>
        <v/>
      </c>
      <c r="AM117" s="524" t="str">
        <f>IFERROR(IF(F117="","",IF(AH117="Check Data ⚠","Check Data ⚠",VLOOKUP(AL117, 'G-3 Multipliers'!$P$2:$Q$6,2,FALSE))),"")</f>
        <v/>
      </c>
      <c r="AN117" s="197"/>
      <c r="AO117" s="540" t="str">
        <f>IF(AN117="","",IF(VLOOKUP(AN117,'G-3 Multipliers'!$S$3:$T$9,2,FALSE)=0,"Spatial Data Missing ⚠",VLOOKUP(AN117,'G-3 Multipliers'!$S$3:$T$9,2,FALSE)))</f>
        <v/>
      </c>
      <c r="AP117" s="513" t="str">
        <f t="shared" si="22"/>
        <v/>
      </c>
      <c r="AQ117" s="231"/>
      <c r="AR117" s="150"/>
    </row>
    <row r="118" spans="1:44" x14ac:dyDescent="0.3">
      <c r="A118" s="31" t="str">
        <f>IF(E118="","",IF(ISNA(VLOOKUP($E118,'D-1 Off Site Habitat Baseline'!$D$1:$O$258,2,FALSE)),"",(VLOOKUP($E118,'D-1 Off Site Habitat Baseline'!$D$1:$O$258,2,FALSE))))</f>
        <v/>
      </c>
      <c r="B118" s="31" t="str">
        <f>IF(E118="","",IF(ISNA(VLOOKUP($E118,'D-1 Off Site Habitat Baseline'!$D$1:$O$258,3,FALSE)),"",(VLOOKUP($E118,'D-1 Off Site Habitat Baseline'!$D$1:$O$258,3,FALSE))))</f>
        <v/>
      </c>
      <c r="C118" s="31" t="str">
        <f>IFERROR(INDEX('G-8 Condition Look up'!$I$4:$I$130,MATCH(S118,'G-8 Condition Look up'!$A$4:$A$130,0)),"")</f>
        <v/>
      </c>
      <c r="E118" s="547" t="str">
        <f>'D-1 Off Site Habitat Baseline'!AL117</f>
        <v/>
      </c>
      <c r="F118" s="520" t="str">
        <f>IF(E118="","",IF(ISNA(VLOOKUP($E118,'D-1 Off Site Habitat Baseline'!$D$1:$O$258,4,FALSE)),"",(VLOOKUP($E118,'D-1 Off Site Habitat Baseline'!$D$1:$O$258,4,FALSE))))</f>
        <v/>
      </c>
      <c r="G118" s="520" t="str">
        <f>IF(E118="","",IF(ISNA(VLOOKUP($E118,'D-1 Off Site Habitat Baseline'!$D$1:$O$258,5,FALSE)),"",(VLOOKUP($E118,'D-1 Off Site Habitat Baseline'!$D$1:$O$258,5,FALSE))))</f>
        <v/>
      </c>
      <c r="H118" s="520" t="str">
        <f>IF(E118="","",IF(ISNA(VLOOKUP($E118,'D-1 Off Site Habitat Baseline'!$D$1:$O$258,6,FALSE)),"",(VLOOKUP($E118,'D-1 Off Site Habitat Baseline'!$D$1:$O$258,6,FALSE))))</f>
        <v/>
      </c>
      <c r="I118" s="520" t="str">
        <f>IF(E118="","",IF(ISNA(VLOOKUP($E118,'D-1 Off Site Habitat Baseline'!$D$1:$O$258,7,FALSE)),"",(VLOOKUP($E118,'D-1 Off Site Habitat Baseline'!$D$1:$O$258,7,FALSE))))</f>
        <v/>
      </c>
      <c r="J118" s="520" t="str">
        <f>IF(E118="","",IF(ISNA(VLOOKUP($E118,'D-1 Off Site Habitat Baseline'!$D$1:$O$258,8,FALSE)),"",(VLOOKUP($E118,'D-1 Off Site Habitat Baseline'!$D$1:$O$258,8,FALSE))))</f>
        <v/>
      </c>
      <c r="K118" s="520" t="str">
        <f>IF(E118="","",IF(ISNA(VLOOKUP($E118,'D-1 Off Site Habitat Baseline'!$D$1:$O$258,9,FALSE)),"",(VLOOKUP($E118,'D-1 Off Site Habitat Baseline'!$D$1:$O$258,9,FALSE))))</f>
        <v/>
      </c>
      <c r="L118" s="520" t="str">
        <f>IF(E118="","",IF(ISNA(VLOOKUP($E118,'D-1 Off Site Habitat Baseline'!$D$1:$O$258,11,FALSE)),"",(VLOOKUP($E118,'D-1 Off Site Habitat Baseline'!$D$1:$O$258,11,FALSE))))</f>
        <v/>
      </c>
      <c r="M118" s="520" t="str">
        <f>IF(E118="","",IF(ISNA(VLOOKUP($E118,'D-1 Off Site Habitat Baseline'!$D$1:$O$258,12,FALSE)),"",(VLOOKUP($E118,'D-1 Off Site Habitat Baseline'!$D$1:$O$258,12,FALSE))))</f>
        <v/>
      </c>
      <c r="N118" s="520" t="str">
        <f>IF(E118="","",IF(ISNA(VLOOKUP($E118,'D-1 Off Site Habitat Baseline'!$D$1:$X$258,14,FALSE)),"",(VLOOKUP($E118,'D-1 Off Site Habitat Baseline'!$D$1:$X$258,14,FALSE))))</f>
        <v/>
      </c>
      <c r="O118" s="524" t="str">
        <f>IF(E118="","",IF(ISNA(VLOOKUP($E118,'D-1 Off Site Habitat Baseline'!$D$1:$X$258,13,FALSE)),"",(VLOOKUP($E118,'D-1 Off Site Habitat Baseline'!$D$1:$X$258,13,FALSE))))</f>
        <v/>
      </c>
      <c r="P118" s="232" t="str">
        <f>IFERROR(INDEX('G-1 All Habitats'!$AG$3:$AG$15,MATCH(Q118,'G-1 All Habitats'!$AF$3:$AF$15,0)),"")</f>
        <v/>
      </c>
      <c r="Q118" s="228" t="str">
        <f t="shared" si="23"/>
        <v/>
      </c>
      <c r="R118" s="229" t="str">
        <f t="shared" si="24"/>
        <v/>
      </c>
      <c r="S118" s="233" t="str">
        <f>IFERROR(INDEX('G-1 All Habitats'!$B$3:$B$129,MATCH(R118,'G-1 All Habitats'!$A$3:$A$129,0)),"")</f>
        <v/>
      </c>
      <c r="T118" s="507" t="str">
        <f t="shared" si="16"/>
        <v/>
      </c>
      <c r="U118" s="524" t="str">
        <f t="shared" si="17"/>
        <v/>
      </c>
      <c r="V118" s="523" t="str">
        <f t="shared" si="14"/>
        <v/>
      </c>
      <c r="W118" s="520" t="str">
        <f>IF(S118="","",VLOOKUP(S118,'G-1 All Habitats'!$B$2:$M$129,10,FALSE))</f>
        <v/>
      </c>
      <c r="X118" s="520" t="str">
        <f>IFERROR(VLOOKUP(W118,'G-1 All Habitats'!$V$3:$W$7,2,FALSE),"")</f>
        <v/>
      </c>
      <c r="Y118" s="203"/>
      <c r="Z118" s="524" t="str">
        <f>IFERROR(INDEX('G-8 Condition Look up'!$A$3:$H$130,MATCH(S118,'G-8 Condition Look up'!$A$3:$A$130,0),MATCH(Y118,'G-8 Condition Look up'!$A$3:$H$3,0)),"")</f>
        <v/>
      </c>
      <c r="AA118" s="145"/>
      <c r="AB118" s="540" t="str">
        <f>IF(AA118="","",IF(VLOOKUP(AA118,'G-3 Multipliers'!$L$3:$N$6,2,FALSE)=0,"Spatial Data Missing ⚠",VLOOKUP(AA118,'G-3 Multipliers'!$L$3:$N$6,2,FALSE)))</f>
        <v/>
      </c>
      <c r="AC118" s="524" t="str">
        <f>IF(AA118="","",IF(VLOOKUP(AA118,'G-3 Multipliers'!$L$3:$N$6,3,FALSE)=0,"Spatial Data Missing ⚠",VLOOKUP(AA118,'G-3 Multipliers'!$L$3:$N$6,3,FALSE)))</f>
        <v/>
      </c>
      <c r="AD118" s="537" t="str">
        <f t="shared" si="15"/>
        <v/>
      </c>
      <c r="AE118" s="203"/>
      <c r="AF118" s="203"/>
      <c r="AG118" s="520" t="str">
        <f t="shared" si="18"/>
        <v/>
      </c>
      <c r="AH118" s="544" t="str">
        <f t="shared" si="19"/>
        <v/>
      </c>
      <c r="AI118" s="525" t="str">
        <f>IF(AH118="Check Data ⚠","Check Data ⚠",IFERROR(VLOOKUP(AH118,'G-4 Temporal multipliers'!$A$4:$C$36,3,FALSE),""))</f>
        <v/>
      </c>
      <c r="AJ118" s="537" t="str">
        <f>IF(S118="","",VLOOKUP(S118,'G-3 Multipliers'!$A$2:$E$129,4,FALSE))</f>
        <v/>
      </c>
      <c r="AK118" s="520" t="str">
        <f t="shared" si="20"/>
        <v/>
      </c>
      <c r="AL118" s="520" t="str">
        <f t="shared" si="21"/>
        <v/>
      </c>
      <c r="AM118" s="524" t="str">
        <f>IFERROR(IF(F118="","",IF(AH118="Check Data ⚠","Check Data ⚠",VLOOKUP(AL118, 'G-3 Multipliers'!$P$2:$Q$6,2,FALSE))),"")</f>
        <v/>
      </c>
      <c r="AN118" s="197"/>
      <c r="AO118" s="540" t="str">
        <f>IF(AN118="","",IF(VLOOKUP(AN118,'G-3 Multipliers'!$S$3:$T$9,2,FALSE)=0,"Spatial Data Missing ⚠",VLOOKUP(AN118,'G-3 Multipliers'!$S$3:$T$9,2,FALSE)))</f>
        <v/>
      </c>
      <c r="AP118" s="513" t="str">
        <f t="shared" si="22"/>
        <v/>
      </c>
      <c r="AQ118" s="231"/>
      <c r="AR118" s="150"/>
    </row>
    <row r="119" spans="1:44" x14ac:dyDescent="0.3">
      <c r="A119" s="31" t="str">
        <f>IF(E119="","",IF(ISNA(VLOOKUP($E119,'D-1 Off Site Habitat Baseline'!$D$1:$O$258,2,FALSE)),"",(VLOOKUP($E119,'D-1 Off Site Habitat Baseline'!$D$1:$O$258,2,FALSE))))</f>
        <v/>
      </c>
      <c r="B119" s="31" t="str">
        <f>IF(E119="","",IF(ISNA(VLOOKUP($E119,'D-1 Off Site Habitat Baseline'!$D$1:$O$258,3,FALSE)),"",(VLOOKUP($E119,'D-1 Off Site Habitat Baseline'!$D$1:$O$258,3,FALSE))))</f>
        <v/>
      </c>
      <c r="C119" s="31" t="str">
        <f>IFERROR(INDEX('G-8 Condition Look up'!$I$4:$I$130,MATCH(S119,'G-8 Condition Look up'!$A$4:$A$130,0)),"")</f>
        <v/>
      </c>
      <c r="E119" s="547" t="str">
        <f>'D-1 Off Site Habitat Baseline'!AL118</f>
        <v/>
      </c>
      <c r="F119" s="520" t="str">
        <f>IF(E119="","",IF(ISNA(VLOOKUP($E119,'D-1 Off Site Habitat Baseline'!$D$1:$O$258,4,FALSE)),"",(VLOOKUP($E119,'D-1 Off Site Habitat Baseline'!$D$1:$O$258,4,FALSE))))</f>
        <v/>
      </c>
      <c r="G119" s="520" t="str">
        <f>IF(E119="","",IF(ISNA(VLOOKUP($E119,'D-1 Off Site Habitat Baseline'!$D$1:$O$258,5,FALSE)),"",(VLOOKUP($E119,'D-1 Off Site Habitat Baseline'!$D$1:$O$258,5,FALSE))))</f>
        <v/>
      </c>
      <c r="H119" s="520" t="str">
        <f>IF(E119="","",IF(ISNA(VLOOKUP($E119,'D-1 Off Site Habitat Baseline'!$D$1:$O$258,6,FALSE)),"",(VLOOKUP($E119,'D-1 Off Site Habitat Baseline'!$D$1:$O$258,6,FALSE))))</f>
        <v/>
      </c>
      <c r="I119" s="520" t="str">
        <f>IF(E119="","",IF(ISNA(VLOOKUP($E119,'D-1 Off Site Habitat Baseline'!$D$1:$O$258,7,FALSE)),"",(VLOOKUP($E119,'D-1 Off Site Habitat Baseline'!$D$1:$O$258,7,FALSE))))</f>
        <v/>
      </c>
      <c r="J119" s="520" t="str">
        <f>IF(E119="","",IF(ISNA(VLOOKUP($E119,'D-1 Off Site Habitat Baseline'!$D$1:$O$258,8,FALSE)),"",(VLOOKUP($E119,'D-1 Off Site Habitat Baseline'!$D$1:$O$258,8,FALSE))))</f>
        <v/>
      </c>
      <c r="K119" s="520" t="str">
        <f>IF(E119="","",IF(ISNA(VLOOKUP($E119,'D-1 Off Site Habitat Baseline'!$D$1:$O$258,9,FALSE)),"",(VLOOKUP($E119,'D-1 Off Site Habitat Baseline'!$D$1:$O$258,9,FALSE))))</f>
        <v/>
      </c>
      <c r="L119" s="520" t="str">
        <f>IF(E119="","",IF(ISNA(VLOOKUP($E119,'D-1 Off Site Habitat Baseline'!$D$1:$O$258,11,FALSE)),"",(VLOOKUP($E119,'D-1 Off Site Habitat Baseline'!$D$1:$O$258,11,FALSE))))</f>
        <v/>
      </c>
      <c r="M119" s="520" t="str">
        <f>IF(E119="","",IF(ISNA(VLOOKUP($E119,'D-1 Off Site Habitat Baseline'!$D$1:$O$258,12,FALSE)),"",(VLOOKUP($E119,'D-1 Off Site Habitat Baseline'!$D$1:$O$258,12,FALSE))))</f>
        <v/>
      </c>
      <c r="N119" s="520" t="str">
        <f>IF(E119="","",IF(ISNA(VLOOKUP($E119,'D-1 Off Site Habitat Baseline'!$D$1:$X$258,14,FALSE)),"",(VLOOKUP($E119,'D-1 Off Site Habitat Baseline'!$D$1:$X$258,14,FALSE))))</f>
        <v/>
      </c>
      <c r="O119" s="524" t="str">
        <f>IF(E119="","",IF(ISNA(VLOOKUP($E119,'D-1 Off Site Habitat Baseline'!$D$1:$X$258,13,FALSE)),"",(VLOOKUP($E119,'D-1 Off Site Habitat Baseline'!$D$1:$X$258,13,FALSE))))</f>
        <v/>
      </c>
      <c r="P119" s="232" t="str">
        <f>IFERROR(INDEX('G-1 All Habitats'!$AG$3:$AG$15,MATCH(Q119,'G-1 All Habitats'!$AF$3:$AF$15,0)),"")</f>
        <v/>
      </c>
      <c r="Q119" s="228" t="str">
        <f t="shared" si="23"/>
        <v/>
      </c>
      <c r="R119" s="229" t="str">
        <f t="shared" si="24"/>
        <v/>
      </c>
      <c r="S119" s="233" t="str">
        <f>IFERROR(INDEX('G-1 All Habitats'!$B$3:$B$129,MATCH(R119,'G-1 All Habitats'!$A$3:$A$129,0)),"")</f>
        <v/>
      </c>
      <c r="T119" s="507" t="str">
        <f t="shared" si="16"/>
        <v/>
      </c>
      <c r="U119" s="524" t="str">
        <f t="shared" si="17"/>
        <v/>
      </c>
      <c r="V119" s="523" t="str">
        <f t="shared" si="14"/>
        <v/>
      </c>
      <c r="W119" s="520" t="str">
        <f>IF(S119="","",VLOOKUP(S119,'G-1 All Habitats'!$B$2:$M$129,10,FALSE))</f>
        <v/>
      </c>
      <c r="X119" s="520" t="str">
        <f>IFERROR(VLOOKUP(W119,'G-1 All Habitats'!$V$3:$W$7,2,FALSE),"")</f>
        <v/>
      </c>
      <c r="Y119" s="203"/>
      <c r="Z119" s="524" t="str">
        <f>IFERROR(INDEX('G-8 Condition Look up'!$A$3:$H$130,MATCH(S119,'G-8 Condition Look up'!$A$3:$A$130,0),MATCH(Y119,'G-8 Condition Look up'!$A$3:$H$3,0)),"")</f>
        <v/>
      </c>
      <c r="AA119" s="145"/>
      <c r="AB119" s="540" t="str">
        <f>IF(AA119="","",IF(VLOOKUP(AA119,'G-3 Multipliers'!$L$3:$N$6,2,FALSE)=0,"Spatial Data Missing ⚠",VLOOKUP(AA119,'G-3 Multipliers'!$L$3:$N$6,2,FALSE)))</f>
        <v/>
      </c>
      <c r="AC119" s="524" t="str">
        <f>IF(AA119="","",IF(VLOOKUP(AA119,'G-3 Multipliers'!$L$3:$N$6,3,FALSE)=0,"Spatial Data Missing ⚠",VLOOKUP(AA119,'G-3 Multipliers'!$L$3:$N$6,3,FALSE)))</f>
        <v/>
      </c>
      <c r="AD119" s="537" t="str">
        <f t="shared" si="15"/>
        <v/>
      </c>
      <c r="AE119" s="203"/>
      <c r="AF119" s="203"/>
      <c r="AG119" s="520" t="str">
        <f t="shared" si="18"/>
        <v/>
      </c>
      <c r="AH119" s="544" t="str">
        <f t="shared" si="19"/>
        <v/>
      </c>
      <c r="AI119" s="525" t="str">
        <f>IF(AH119="Check Data ⚠","Check Data ⚠",IFERROR(VLOOKUP(AH119,'G-4 Temporal multipliers'!$A$4:$C$36,3,FALSE),""))</f>
        <v/>
      </c>
      <c r="AJ119" s="537" t="str">
        <f>IF(S119="","",VLOOKUP(S119,'G-3 Multipliers'!$A$2:$E$129,4,FALSE))</f>
        <v/>
      </c>
      <c r="AK119" s="520" t="str">
        <f t="shared" si="20"/>
        <v/>
      </c>
      <c r="AL119" s="520" t="str">
        <f t="shared" si="21"/>
        <v/>
      </c>
      <c r="AM119" s="524" t="str">
        <f>IFERROR(IF(F119="","",IF(AH119="Check Data ⚠","Check Data ⚠",VLOOKUP(AL119, 'G-3 Multipliers'!$P$2:$Q$6,2,FALSE))),"")</f>
        <v/>
      </c>
      <c r="AN119" s="197"/>
      <c r="AO119" s="540" t="str">
        <f>IF(AN119="","",IF(VLOOKUP(AN119,'G-3 Multipliers'!$S$3:$T$9,2,FALSE)=0,"Spatial Data Missing ⚠",VLOOKUP(AN119,'G-3 Multipliers'!$S$3:$T$9,2,FALSE)))</f>
        <v/>
      </c>
      <c r="AP119" s="513" t="str">
        <f t="shared" si="22"/>
        <v/>
      </c>
      <c r="AQ119" s="231"/>
      <c r="AR119" s="150"/>
    </row>
    <row r="120" spans="1:44" x14ac:dyDescent="0.3">
      <c r="A120" s="31" t="str">
        <f>IF(E120="","",IF(ISNA(VLOOKUP($E120,'D-1 Off Site Habitat Baseline'!$D$1:$O$258,2,FALSE)),"",(VLOOKUP($E120,'D-1 Off Site Habitat Baseline'!$D$1:$O$258,2,FALSE))))</f>
        <v/>
      </c>
      <c r="B120" s="31" t="str">
        <f>IF(E120="","",IF(ISNA(VLOOKUP($E120,'D-1 Off Site Habitat Baseline'!$D$1:$O$258,3,FALSE)),"",(VLOOKUP($E120,'D-1 Off Site Habitat Baseline'!$D$1:$O$258,3,FALSE))))</f>
        <v/>
      </c>
      <c r="C120" s="31" t="str">
        <f>IFERROR(INDEX('G-8 Condition Look up'!$I$4:$I$130,MATCH(S120,'G-8 Condition Look up'!$A$4:$A$130,0)),"")</f>
        <v/>
      </c>
      <c r="E120" s="547" t="str">
        <f>'D-1 Off Site Habitat Baseline'!AL119</f>
        <v/>
      </c>
      <c r="F120" s="520" t="str">
        <f>IF(E120="","",IF(ISNA(VLOOKUP($E120,'D-1 Off Site Habitat Baseline'!$D$1:$O$258,4,FALSE)),"",(VLOOKUP($E120,'D-1 Off Site Habitat Baseline'!$D$1:$O$258,4,FALSE))))</f>
        <v/>
      </c>
      <c r="G120" s="520" t="str">
        <f>IF(E120="","",IF(ISNA(VLOOKUP($E120,'D-1 Off Site Habitat Baseline'!$D$1:$O$258,5,FALSE)),"",(VLOOKUP($E120,'D-1 Off Site Habitat Baseline'!$D$1:$O$258,5,FALSE))))</f>
        <v/>
      </c>
      <c r="H120" s="520" t="str">
        <f>IF(E120="","",IF(ISNA(VLOOKUP($E120,'D-1 Off Site Habitat Baseline'!$D$1:$O$258,6,FALSE)),"",(VLOOKUP($E120,'D-1 Off Site Habitat Baseline'!$D$1:$O$258,6,FALSE))))</f>
        <v/>
      </c>
      <c r="I120" s="520" t="str">
        <f>IF(E120="","",IF(ISNA(VLOOKUP($E120,'D-1 Off Site Habitat Baseline'!$D$1:$O$258,7,FALSE)),"",(VLOOKUP($E120,'D-1 Off Site Habitat Baseline'!$D$1:$O$258,7,FALSE))))</f>
        <v/>
      </c>
      <c r="J120" s="520" t="str">
        <f>IF(E120="","",IF(ISNA(VLOOKUP($E120,'D-1 Off Site Habitat Baseline'!$D$1:$O$258,8,FALSE)),"",(VLOOKUP($E120,'D-1 Off Site Habitat Baseline'!$D$1:$O$258,8,FALSE))))</f>
        <v/>
      </c>
      <c r="K120" s="520" t="str">
        <f>IF(E120="","",IF(ISNA(VLOOKUP($E120,'D-1 Off Site Habitat Baseline'!$D$1:$O$258,9,FALSE)),"",(VLOOKUP($E120,'D-1 Off Site Habitat Baseline'!$D$1:$O$258,9,FALSE))))</f>
        <v/>
      </c>
      <c r="L120" s="520" t="str">
        <f>IF(E120="","",IF(ISNA(VLOOKUP($E120,'D-1 Off Site Habitat Baseline'!$D$1:$O$258,11,FALSE)),"",(VLOOKUP($E120,'D-1 Off Site Habitat Baseline'!$D$1:$O$258,11,FALSE))))</f>
        <v/>
      </c>
      <c r="M120" s="520" t="str">
        <f>IF(E120="","",IF(ISNA(VLOOKUP($E120,'D-1 Off Site Habitat Baseline'!$D$1:$O$258,12,FALSE)),"",(VLOOKUP($E120,'D-1 Off Site Habitat Baseline'!$D$1:$O$258,12,FALSE))))</f>
        <v/>
      </c>
      <c r="N120" s="520" t="str">
        <f>IF(E120="","",IF(ISNA(VLOOKUP($E120,'D-1 Off Site Habitat Baseline'!$D$1:$X$258,14,FALSE)),"",(VLOOKUP($E120,'D-1 Off Site Habitat Baseline'!$D$1:$X$258,14,FALSE))))</f>
        <v/>
      </c>
      <c r="O120" s="524" t="str">
        <f>IF(E120="","",IF(ISNA(VLOOKUP($E120,'D-1 Off Site Habitat Baseline'!$D$1:$X$258,13,FALSE)),"",(VLOOKUP($E120,'D-1 Off Site Habitat Baseline'!$D$1:$X$258,13,FALSE))))</f>
        <v/>
      </c>
      <c r="P120" s="232" t="str">
        <f>IFERROR(INDEX('G-1 All Habitats'!$AG$3:$AG$15,MATCH(Q120,'G-1 All Habitats'!$AF$3:$AF$15,0)),"")</f>
        <v/>
      </c>
      <c r="Q120" s="228" t="str">
        <f t="shared" si="23"/>
        <v/>
      </c>
      <c r="R120" s="229" t="str">
        <f t="shared" si="24"/>
        <v/>
      </c>
      <c r="S120" s="233" t="str">
        <f>IFERROR(INDEX('G-1 All Habitats'!$B$3:$B$129,MATCH(R120,'G-1 All Habitats'!$A$3:$A$129,0)),"")</f>
        <v/>
      </c>
      <c r="T120" s="507" t="str">
        <f t="shared" si="16"/>
        <v/>
      </c>
      <c r="U120" s="524" t="str">
        <f t="shared" si="17"/>
        <v/>
      </c>
      <c r="V120" s="523" t="str">
        <f t="shared" si="14"/>
        <v/>
      </c>
      <c r="W120" s="520" t="str">
        <f>IF(S120="","",VLOOKUP(S120,'G-1 All Habitats'!$B$2:$M$129,10,FALSE))</f>
        <v/>
      </c>
      <c r="X120" s="520" t="str">
        <f>IFERROR(VLOOKUP(W120,'G-1 All Habitats'!$V$3:$W$7,2,FALSE),"")</f>
        <v/>
      </c>
      <c r="Y120" s="203"/>
      <c r="Z120" s="524" t="str">
        <f>IFERROR(INDEX('G-8 Condition Look up'!$A$3:$H$130,MATCH(S120,'G-8 Condition Look up'!$A$3:$A$130,0),MATCH(Y120,'G-8 Condition Look up'!$A$3:$H$3,0)),"")</f>
        <v/>
      </c>
      <c r="AA120" s="145"/>
      <c r="AB120" s="540" t="str">
        <f>IF(AA120="","",IF(VLOOKUP(AA120,'G-3 Multipliers'!$L$3:$N$6,2,FALSE)=0,"Spatial Data Missing ⚠",VLOOKUP(AA120,'G-3 Multipliers'!$L$3:$N$6,2,FALSE)))</f>
        <v/>
      </c>
      <c r="AC120" s="524" t="str">
        <f>IF(AA120="","",IF(VLOOKUP(AA120,'G-3 Multipliers'!$L$3:$N$6,3,FALSE)=0,"Spatial Data Missing ⚠",VLOOKUP(AA120,'G-3 Multipliers'!$L$3:$N$6,3,FALSE)))</f>
        <v/>
      </c>
      <c r="AD120" s="537" t="str">
        <f t="shared" si="15"/>
        <v/>
      </c>
      <c r="AE120" s="203"/>
      <c r="AF120" s="203"/>
      <c r="AG120" s="520" t="str">
        <f t="shared" si="18"/>
        <v/>
      </c>
      <c r="AH120" s="544" t="str">
        <f t="shared" si="19"/>
        <v/>
      </c>
      <c r="AI120" s="525" t="str">
        <f>IF(AH120="Check Data ⚠","Check Data ⚠",IFERROR(VLOOKUP(AH120,'G-4 Temporal multipliers'!$A$4:$C$36,3,FALSE),""))</f>
        <v/>
      </c>
      <c r="AJ120" s="537" t="str">
        <f>IF(S120="","",VLOOKUP(S120,'G-3 Multipliers'!$A$2:$E$129,4,FALSE))</f>
        <v/>
      </c>
      <c r="AK120" s="520" t="str">
        <f t="shared" si="20"/>
        <v/>
      </c>
      <c r="AL120" s="520" t="str">
        <f t="shared" si="21"/>
        <v/>
      </c>
      <c r="AM120" s="524" t="str">
        <f>IFERROR(IF(F120="","",IF(AH120="Check Data ⚠","Check Data ⚠",VLOOKUP(AL120, 'G-3 Multipliers'!$P$2:$Q$6,2,FALSE))),"")</f>
        <v/>
      </c>
      <c r="AN120" s="197"/>
      <c r="AO120" s="540" t="str">
        <f>IF(AN120="","",IF(VLOOKUP(AN120,'G-3 Multipliers'!$S$3:$T$9,2,FALSE)=0,"Spatial Data Missing ⚠",VLOOKUP(AN120,'G-3 Multipliers'!$S$3:$T$9,2,FALSE)))</f>
        <v/>
      </c>
      <c r="AP120" s="513" t="str">
        <f t="shared" si="22"/>
        <v/>
      </c>
      <c r="AQ120" s="231"/>
      <c r="AR120" s="150"/>
    </row>
    <row r="121" spans="1:44" x14ac:dyDescent="0.3">
      <c r="A121" s="31" t="str">
        <f>IF(E121="","",IF(ISNA(VLOOKUP($E121,'D-1 Off Site Habitat Baseline'!$D$1:$O$258,2,FALSE)),"",(VLOOKUP($E121,'D-1 Off Site Habitat Baseline'!$D$1:$O$258,2,FALSE))))</f>
        <v/>
      </c>
      <c r="B121" s="31" t="str">
        <f>IF(E121="","",IF(ISNA(VLOOKUP($E121,'D-1 Off Site Habitat Baseline'!$D$1:$O$258,3,FALSE)),"",(VLOOKUP($E121,'D-1 Off Site Habitat Baseline'!$D$1:$O$258,3,FALSE))))</f>
        <v/>
      </c>
      <c r="C121" s="31" t="str">
        <f>IFERROR(INDEX('G-8 Condition Look up'!$I$4:$I$130,MATCH(S121,'G-8 Condition Look up'!$A$4:$A$130,0)),"")</f>
        <v/>
      </c>
      <c r="E121" s="547" t="str">
        <f>'D-1 Off Site Habitat Baseline'!AL120</f>
        <v/>
      </c>
      <c r="F121" s="520" t="str">
        <f>IF(E121="","",IF(ISNA(VLOOKUP($E121,'D-1 Off Site Habitat Baseline'!$D$1:$O$258,4,FALSE)),"",(VLOOKUP($E121,'D-1 Off Site Habitat Baseline'!$D$1:$O$258,4,FALSE))))</f>
        <v/>
      </c>
      <c r="G121" s="520" t="str">
        <f>IF(E121="","",IF(ISNA(VLOOKUP($E121,'D-1 Off Site Habitat Baseline'!$D$1:$O$258,5,FALSE)),"",(VLOOKUP($E121,'D-1 Off Site Habitat Baseline'!$D$1:$O$258,5,FALSE))))</f>
        <v/>
      </c>
      <c r="H121" s="520" t="str">
        <f>IF(E121="","",IF(ISNA(VLOOKUP($E121,'D-1 Off Site Habitat Baseline'!$D$1:$O$258,6,FALSE)),"",(VLOOKUP($E121,'D-1 Off Site Habitat Baseline'!$D$1:$O$258,6,FALSE))))</f>
        <v/>
      </c>
      <c r="I121" s="520" t="str">
        <f>IF(E121="","",IF(ISNA(VLOOKUP($E121,'D-1 Off Site Habitat Baseline'!$D$1:$O$258,7,FALSE)),"",(VLOOKUP($E121,'D-1 Off Site Habitat Baseline'!$D$1:$O$258,7,FALSE))))</f>
        <v/>
      </c>
      <c r="J121" s="520" t="str">
        <f>IF(E121="","",IF(ISNA(VLOOKUP($E121,'D-1 Off Site Habitat Baseline'!$D$1:$O$258,8,FALSE)),"",(VLOOKUP($E121,'D-1 Off Site Habitat Baseline'!$D$1:$O$258,8,FALSE))))</f>
        <v/>
      </c>
      <c r="K121" s="520" t="str">
        <f>IF(E121="","",IF(ISNA(VLOOKUP($E121,'D-1 Off Site Habitat Baseline'!$D$1:$O$258,9,FALSE)),"",(VLOOKUP($E121,'D-1 Off Site Habitat Baseline'!$D$1:$O$258,9,FALSE))))</f>
        <v/>
      </c>
      <c r="L121" s="520" t="str">
        <f>IF(E121="","",IF(ISNA(VLOOKUP($E121,'D-1 Off Site Habitat Baseline'!$D$1:$O$258,11,FALSE)),"",(VLOOKUP($E121,'D-1 Off Site Habitat Baseline'!$D$1:$O$258,11,FALSE))))</f>
        <v/>
      </c>
      <c r="M121" s="520" t="str">
        <f>IF(E121="","",IF(ISNA(VLOOKUP($E121,'D-1 Off Site Habitat Baseline'!$D$1:$O$258,12,FALSE)),"",(VLOOKUP($E121,'D-1 Off Site Habitat Baseline'!$D$1:$O$258,12,FALSE))))</f>
        <v/>
      </c>
      <c r="N121" s="520" t="str">
        <f>IF(E121="","",IF(ISNA(VLOOKUP($E121,'D-1 Off Site Habitat Baseline'!$D$1:$X$258,14,FALSE)),"",(VLOOKUP($E121,'D-1 Off Site Habitat Baseline'!$D$1:$X$258,14,FALSE))))</f>
        <v/>
      </c>
      <c r="O121" s="524" t="str">
        <f>IF(E121="","",IF(ISNA(VLOOKUP($E121,'D-1 Off Site Habitat Baseline'!$D$1:$X$258,13,FALSE)),"",(VLOOKUP($E121,'D-1 Off Site Habitat Baseline'!$D$1:$X$258,13,FALSE))))</f>
        <v/>
      </c>
      <c r="P121" s="232" t="str">
        <f>IFERROR(INDEX('G-1 All Habitats'!$AG$3:$AG$15,MATCH(Q121,'G-1 All Habitats'!$AF$3:$AF$15,0)),"")</f>
        <v/>
      </c>
      <c r="Q121" s="228" t="str">
        <f t="shared" si="23"/>
        <v/>
      </c>
      <c r="R121" s="229" t="str">
        <f t="shared" si="24"/>
        <v/>
      </c>
      <c r="S121" s="233" t="str">
        <f>IFERROR(INDEX('G-1 All Habitats'!$B$3:$B$129,MATCH(R121,'G-1 All Habitats'!$A$3:$A$129,0)),"")</f>
        <v/>
      </c>
      <c r="T121" s="507" t="str">
        <f t="shared" si="16"/>
        <v/>
      </c>
      <c r="U121" s="524" t="str">
        <f t="shared" si="17"/>
        <v/>
      </c>
      <c r="V121" s="523" t="str">
        <f t="shared" si="14"/>
        <v/>
      </c>
      <c r="W121" s="520" t="str">
        <f>IF(S121="","",VLOOKUP(S121,'G-1 All Habitats'!$B$2:$M$129,10,FALSE))</f>
        <v/>
      </c>
      <c r="X121" s="520" t="str">
        <f>IFERROR(VLOOKUP(W121,'G-1 All Habitats'!$V$3:$W$7,2,FALSE),"")</f>
        <v/>
      </c>
      <c r="Y121" s="203"/>
      <c r="Z121" s="524" t="str">
        <f>IFERROR(INDEX('G-8 Condition Look up'!$A$3:$H$130,MATCH(S121,'G-8 Condition Look up'!$A$3:$A$130,0),MATCH(Y121,'G-8 Condition Look up'!$A$3:$H$3,0)),"")</f>
        <v/>
      </c>
      <c r="AA121" s="145"/>
      <c r="AB121" s="540" t="str">
        <f>IF(AA121="","",IF(VLOOKUP(AA121,'G-3 Multipliers'!$L$3:$N$6,2,FALSE)=0,"Spatial Data Missing ⚠",VLOOKUP(AA121,'G-3 Multipliers'!$L$3:$N$6,2,FALSE)))</f>
        <v/>
      </c>
      <c r="AC121" s="524" t="str">
        <f>IF(AA121="","",IF(VLOOKUP(AA121,'G-3 Multipliers'!$L$3:$N$6,3,FALSE)=0,"Spatial Data Missing ⚠",VLOOKUP(AA121,'G-3 Multipliers'!$L$3:$N$6,3,FALSE)))</f>
        <v/>
      </c>
      <c r="AD121" s="537" t="str">
        <f t="shared" si="15"/>
        <v/>
      </c>
      <c r="AE121" s="203"/>
      <c r="AF121" s="203"/>
      <c r="AG121" s="520" t="str">
        <f t="shared" si="18"/>
        <v/>
      </c>
      <c r="AH121" s="544" t="str">
        <f t="shared" si="19"/>
        <v/>
      </c>
      <c r="AI121" s="525" t="str">
        <f>IF(AH121="Check Data ⚠","Check Data ⚠",IFERROR(VLOOKUP(AH121,'G-4 Temporal multipliers'!$A$4:$C$36,3,FALSE),""))</f>
        <v/>
      </c>
      <c r="AJ121" s="537" t="str">
        <f>IF(S121="","",VLOOKUP(S121,'G-3 Multipliers'!$A$2:$E$129,4,FALSE))</f>
        <v/>
      </c>
      <c r="AK121" s="520" t="str">
        <f t="shared" si="20"/>
        <v/>
      </c>
      <c r="AL121" s="520" t="str">
        <f t="shared" si="21"/>
        <v/>
      </c>
      <c r="AM121" s="524" t="str">
        <f>IFERROR(IF(F121="","",IF(AH121="Check Data ⚠","Check Data ⚠",VLOOKUP(AL121, 'G-3 Multipliers'!$P$2:$Q$6,2,FALSE))),"")</f>
        <v/>
      </c>
      <c r="AN121" s="197"/>
      <c r="AO121" s="540" t="str">
        <f>IF(AN121="","",IF(VLOOKUP(AN121,'G-3 Multipliers'!$S$3:$T$9,2,FALSE)=0,"Spatial Data Missing ⚠",VLOOKUP(AN121,'G-3 Multipliers'!$S$3:$T$9,2,FALSE)))</f>
        <v/>
      </c>
      <c r="AP121" s="513" t="str">
        <f t="shared" si="22"/>
        <v/>
      </c>
      <c r="AQ121" s="231"/>
      <c r="AR121" s="150"/>
    </row>
    <row r="122" spans="1:44" x14ac:dyDescent="0.3">
      <c r="A122" s="31" t="str">
        <f>IF(E122="","",IF(ISNA(VLOOKUP($E122,'D-1 Off Site Habitat Baseline'!$D$1:$O$258,2,FALSE)),"",(VLOOKUP($E122,'D-1 Off Site Habitat Baseline'!$D$1:$O$258,2,FALSE))))</f>
        <v/>
      </c>
      <c r="B122" s="31" t="str">
        <f>IF(E122="","",IF(ISNA(VLOOKUP($E122,'D-1 Off Site Habitat Baseline'!$D$1:$O$258,3,FALSE)),"",(VLOOKUP($E122,'D-1 Off Site Habitat Baseline'!$D$1:$O$258,3,FALSE))))</f>
        <v/>
      </c>
      <c r="C122" s="31" t="str">
        <f>IFERROR(INDEX('G-8 Condition Look up'!$I$4:$I$130,MATCH(S122,'G-8 Condition Look up'!$A$4:$A$130,0)),"")</f>
        <v/>
      </c>
      <c r="E122" s="547" t="str">
        <f>'D-1 Off Site Habitat Baseline'!AL121</f>
        <v/>
      </c>
      <c r="F122" s="520" t="str">
        <f>IF(E122="","",IF(ISNA(VLOOKUP($E122,'D-1 Off Site Habitat Baseline'!$D$1:$O$258,4,FALSE)),"",(VLOOKUP($E122,'D-1 Off Site Habitat Baseline'!$D$1:$O$258,4,FALSE))))</f>
        <v/>
      </c>
      <c r="G122" s="520" t="str">
        <f>IF(E122="","",IF(ISNA(VLOOKUP($E122,'D-1 Off Site Habitat Baseline'!$D$1:$O$258,5,FALSE)),"",(VLOOKUP($E122,'D-1 Off Site Habitat Baseline'!$D$1:$O$258,5,FALSE))))</f>
        <v/>
      </c>
      <c r="H122" s="520" t="str">
        <f>IF(E122="","",IF(ISNA(VLOOKUP($E122,'D-1 Off Site Habitat Baseline'!$D$1:$O$258,6,FALSE)),"",(VLOOKUP($E122,'D-1 Off Site Habitat Baseline'!$D$1:$O$258,6,FALSE))))</f>
        <v/>
      </c>
      <c r="I122" s="520" t="str">
        <f>IF(E122="","",IF(ISNA(VLOOKUP($E122,'D-1 Off Site Habitat Baseline'!$D$1:$O$258,7,FALSE)),"",(VLOOKUP($E122,'D-1 Off Site Habitat Baseline'!$D$1:$O$258,7,FALSE))))</f>
        <v/>
      </c>
      <c r="J122" s="520" t="str">
        <f>IF(E122="","",IF(ISNA(VLOOKUP($E122,'D-1 Off Site Habitat Baseline'!$D$1:$O$258,8,FALSE)),"",(VLOOKUP($E122,'D-1 Off Site Habitat Baseline'!$D$1:$O$258,8,FALSE))))</f>
        <v/>
      </c>
      <c r="K122" s="520" t="str">
        <f>IF(E122="","",IF(ISNA(VLOOKUP($E122,'D-1 Off Site Habitat Baseline'!$D$1:$O$258,9,FALSE)),"",(VLOOKUP($E122,'D-1 Off Site Habitat Baseline'!$D$1:$O$258,9,FALSE))))</f>
        <v/>
      </c>
      <c r="L122" s="520" t="str">
        <f>IF(E122="","",IF(ISNA(VLOOKUP($E122,'D-1 Off Site Habitat Baseline'!$D$1:$O$258,11,FALSE)),"",(VLOOKUP($E122,'D-1 Off Site Habitat Baseline'!$D$1:$O$258,11,FALSE))))</f>
        <v/>
      </c>
      <c r="M122" s="520" t="str">
        <f>IF(E122="","",IF(ISNA(VLOOKUP($E122,'D-1 Off Site Habitat Baseline'!$D$1:$O$258,12,FALSE)),"",(VLOOKUP($E122,'D-1 Off Site Habitat Baseline'!$D$1:$O$258,12,FALSE))))</f>
        <v/>
      </c>
      <c r="N122" s="520" t="str">
        <f>IF(E122="","",IF(ISNA(VLOOKUP($E122,'D-1 Off Site Habitat Baseline'!$D$1:$X$258,14,FALSE)),"",(VLOOKUP($E122,'D-1 Off Site Habitat Baseline'!$D$1:$X$258,14,FALSE))))</f>
        <v/>
      </c>
      <c r="O122" s="524" t="str">
        <f>IF(E122="","",IF(ISNA(VLOOKUP($E122,'D-1 Off Site Habitat Baseline'!$D$1:$X$258,13,FALSE)),"",(VLOOKUP($E122,'D-1 Off Site Habitat Baseline'!$D$1:$X$258,13,FALSE))))</f>
        <v/>
      </c>
      <c r="P122" s="232" t="str">
        <f>IFERROR(INDEX('G-1 All Habitats'!$AG$3:$AG$15,MATCH(Q122,'G-1 All Habitats'!$AF$3:$AF$15,0)),"")</f>
        <v/>
      </c>
      <c r="Q122" s="228" t="str">
        <f t="shared" si="23"/>
        <v/>
      </c>
      <c r="R122" s="229" t="str">
        <f t="shared" si="24"/>
        <v/>
      </c>
      <c r="S122" s="233" t="str">
        <f>IFERROR(INDEX('G-1 All Habitats'!$B$3:$B$129,MATCH(R122,'G-1 All Habitats'!$A$3:$A$129,0)),"")</f>
        <v/>
      </c>
      <c r="T122" s="507" t="str">
        <f t="shared" si="16"/>
        <v/>
      </c>
      <c r="U122" s="524" t="str">
        <f t="shared" si="17"/>
        <v/>
      </c>
      <c r="V122" s="523" t="str">
        <f t="shared" si="14"/>
        <v/>
      </c>
      <c r="W122" s="520" t="str">
        <f>IF(S122="","",VLOOKUP(S122,'G-1 All Habitats'!$B$2:$M$129,10,FALSE))</f>
        <v/>
      </c>
      <c r="X122" s="520" t="str">
        <f>IFERROR(VLOOKUP(W122,'G-1 All Habitats'!$V$3:$W$7,2,FALSE),"")</f>
        <v/>
      </c>
      <c r="Y122" s="203"/>
      <c r="Z122" s="524" t="str">
        <f>IFERROR(INDEX('G-8 Condition Look up'!$A$3:$H$130,MATCH(S122,'G-8 Condition Look up'!$A$3:$A$130,0),MATCH(Y122,'G-8 Condition Look up'!$A$3:$H$3,0)),"")</f>
        <v/>
      </c>
      <c r="AA122" s="145"/>
      <c r="AB122" s="540" t="str">
        <f>IF(AA122="","",IF(VLOOKUP(AA122,'G-3 Multipliers'!$L$3:$N$6,2,FALSE)=0,"Spatial Data Missing ⚠",VLOOKUP(AA122,'G-3 Multipliers'!$L$3:$N$6,2,FALSE)))</f>
        <v/>
      </c>
      <c r="AC122" s="524" t="str">
        <f>IF(AA122="","",IF(VLOOKUP(AA122,'G-3 Multipliers'!$L$3:$N$6,3,FALSE)=0,"Spatial Data Missing ⚠",VLOOKUP(AA122,'G-3 Multipliers'!$L$3:$N$6,3,FALSE)))</f>
        <v/>
      </c>
      <c r="AD122" s="537" t="str">
        <f t="shared" si="15"/>
        <v/>
      </c>
      <c r="AE122" s="203"/>
      <c r="AF122" s="203"/>
      <c r="AG122" s="520" t="str">
        <f t="shared" si="18"/>
        <v/>
      </c>
      <c r="AH122" s="544" t="str">
        <f t="shared" si="19"/>
        <v/>
      </c>
      <c r="AI122" s="525" t="str">
        <f>IF(AH122="Check Data ⚠","Check Data ⚠",IFERROR(VLOOKUP(AH122,'G-4 Temporal multipliers'!$A$4:$C$36,3,FALSE),""))</f>
        <v/>
      </c>
      <c r="AJ122" s="537" t="str">
        <f>IF(S122="","",VLOOKUP(S122,'G-3 Multipliers'!$A$2:$E$129,4,FALSE))</f>
        <v/>
      </c>
      <c r="AK122" s="520" t="str">
        <f t="shared" si="20"/>
        <v/>
      </c>
      <c r="AL122" s="520" t="str">
        <f t="shared" si="21"/>
        <v/>
      </c>
      <c r="AM122" s="524" t="str">
        <f>IFERROR(IF(F122="","",IF(AH122="Check Data ⚠","Check Data ⚠",VLOOKUP(AL122, 'G-3 Multipliers'!$P$2:$Q$6,2,FALSE))),"")</f>
        <v/>
      </c>
      <c r="AN122" s="197"/>
      <c r="AO122" s="540" t="str">
        <f>IF(AN122="","",IF(VLOOKUP(AN122,'G-3 Multipliers'!$S$3:$T$9,2,FALSE)=0,"Spatial Data Missing ⚠",VLOOKUP(AN122,'G-3 Multipliers'!$S$3:$T$9,2,FALSE)))</f>
        <v/>
      </c>
      <c r="AP122" s="513" t="str">
        <f t="shared" si="22"/>
        <v/>
      </c>
      <c r="AQ122" s="231"/>
      <c r="AR122" s="150"/>
    </row>
    <row r="123" spans="1:44" x14ac:dyDescent="0.3">
      <c r="A123" s="31" t="str">
        <f>IF(E123="","",IF(ISNA(VLOOKUP($E123,'D-1 Off Site Habitat Baseline'!$D$1:$O$258,2,FALSE)),"",(VLOOKUP($E123,'D-1 Off Site Habitat Baseline'!$D$1:$O$258,2,FALSE))))</f>
        <v/>
      </c>
      <c r="B123" s="31" t="str">
        <f>IF(E123="","",IF(ISNA(VLOOKUP($E123,'D-1 Off Site Habitat Baseline'!$D$1:$O$258,3,FALSE)),"",(VLOOKUP($E123,'D-1 Off Site Habitat Baseline'!$D$1:$O$258,3,FALSE))))</f>
        <v/>
      </c>
      <c r="C123" s="31" t="str">
        <f>IFERROR(INDEX('G-8 Condition Look up'!$I$4:$I$130,MATCH(S123,'G-8 Condition Look up'!$A$4:$A$130,0)),"")</f>
        <v/>
      </c>
      <c r="E123" s="547" t="str">
        <f>'D-1 Off Site Habitat Baseline'!AL122</f>
        <v/>
      </c>
      <c r="F123" s="520" t="str">
        <f>IF(E123="","",IF(ISNA(VLOOKUP($E123,'D-1 Off Site Habitat Baseline'!$D$1:$O$258,4,FALSE)),"",(VLOOKUP($E123,'D-1 Off Site Habitat Baseline'!$D$1:$O$258,4,FALSE))))</f>
        <v/>
      </c>
      <c r="G123" s="520" t="str">
        <f>IF(E123="","",IF(ISNA(VLOOKUP($E123,'D-1 Off Site Habitat Baseline'!$D$1:$O$258,5,FALSE)),"",(VLOOKUP($E123,'D-1 Off Site Habitat Baseline'!$D$1:$O$258,5,FALSE))))</f>
        <v/>
      </c>
      <c r="H123" s="520" t="str">
        <f>IF(E123="","",IF(ISNA(VLOOKUP($E123,'D-1 Off Site Habitat Baseline'!$D$1:$O$258,6,FALSE)),"",(VLOOKUP($E123,'D-1 Off Site Habitat Baseline'!$D$1:$O$258,6,FALSE))))</f>
        <v/>
      </c>
      <c r="I123" s="520" t="str">
        <f>IF(E123="","",IF(ISNA(VLOOKUP($E123,'D-1 Off Site Habitat Baseline'!$D$1:$O$258,7,FALSE)),"",(VLOOKUP($E123,'D-1 Off Site Habitat Baseline'!$D$1:$O$258,7,FALSE))))</f>
        <v/>
      </c>
      <c r="J123" s="520" t="str">
        <f>IF(E123="","",IF(ISNA(VLOOKUP($E123,'D-1 Off Site Habitat Baseline'!$D$1:$O$258,8,FALSE)),"",(VLOOKUP($E123,'D-1 Off Site Habitat Baseline'!$D$1:$O$258,8,FALSE))))</f>
        <v/>
      </c>
      <c r="K123" s="520" t="str">
        <f>IF(E123="","",IF(ISNA(VLOOKUP($E123,'D-1 Off Site Habitat Baseline'!$D$1:$O$258,9,FALSE)),"",(VLOOKUP($E123,'D-1 Off Site Habitat Baseline'!$D$1:$O$258,9,FALSE))))</f>
        <v/>
      </c>
      <c r="L123" s="520" t="str">
        <f>IF(E123="","",IF(ISNA(VLOOKUP($E123,'D-1 Off Site Habitat Baseline'!$D$1:$O$258,11,FALSE)),"",(VLOOKUP($E123,'D-1 Off Site Habitat Baseline'!$D$1:$O$258,11,FALSE))))</f>
        <v/>
      </c>
      <c r="M123" s="520" t="str">
        <f>IF(E123="","",IF(ISNA(VLOOKUP($E123,'D-1 Off Site Habitat Baseline'!$D$1:$O$258,12,FALSE)),"",(VLOOKUP($E123,'D-1 Off Site Habitat Baseline'!$D$1:$O$258,12,FALSE))))</f>
        <v/>
      </c>
      <c r="N123" s="520" t="str">
        <f>IF(E123="","",IF(ISNA(VLOOKUP($E123,'D-1 Off Site Habitat Baseline'!$D$1:$X$258,14,FALSE)),"",(VLOOKUP($E123,'D-1 Off Site Habitat Baseline'!$D$1:$X$258,14,FALSE))))</f>
        <v/>
      </c>
      <c r="O123" s="524" t="str">
        <f>IF(E123="","",IF(ISNA(VLOOKUP($E123,'D-1 Off Site Habitat Baseline'!$D$1:$X$258,13,FALSE)),"",(VLOOKUP($E123,'D-1 Off Site Habitat Baseline'!$D$1:$X$258,13,FALSE))))</f>
        <v/>
      </c>
      <c r="P123" s="232" t="str">
        <f>IFERROR(INDEX('G-1 All Habitats'!$AG$3:$AG$15,MATCH(Q123,'G-1 All Habitats'!$AF$3:$AF$15,0)),"")</f>
        <v/>
      </c>
      <c r="Q123" s="228" t="str">
        <f t="shared" si="23"/>
        <v/>
      </c>
      <c r="R123" s="229" t="str">
        <f t="shared" si="24"/>
        <v/>
      </c>
      <c r="S123" s="233" t="str">
        <f>IFERROR(INDEX('G-1 All Habitats'!$B$3:$B$129,MATCH(R123,'G-1 All Habitats'!$A$3:$A$129,0)),"")</f>
        <v/>
      </c>
      <c r="T123" s="507" t="str">
        <f t="shared" si="16"/>
        <v/>
      </c>
      <c r="U123" s="524" t="str">
        <f t="shared" si="17"/>
        <v/>
      </c>
      <c r="V123" s="523" t="str">
        <f t="shared" si="14"/>
        <v/>
      </c>
      <c r="W123" s="520" t="str">
        <f>IF(S123="","",VLOOKUP(S123,'G-1 All Habitats'!$B$2:$M$129,10,FALSE))</f>
        <v/>
      </c>
      <c r="X123" s="520" t="str">
        <f>IFERROR(VLOOKUP(W123,'G-1 All Habitats'!$V$3:$W$7,2,FALSE),"")</f>
        <v/>
      </c>
      <c r="Y123" s="203"/>
      <c r="Z123" s="524" t="str">
        <f>IFERROR(INDEX('G-8 Condition Look up'!$A$3:$H$130,MATCH(S123,'G-8 Condition Look up'!$A$3:$A$130,0),MATCH(Y123,'G-8 Condition Look up'!$A$3:$H$3,0)),"")</f>
        <v/>
      </c>
      <c r="AA123" s="145"/>
      <c r="AB123" s="540" t="str">
        <f>IF(AA123="","",IF(VLOOKUP(AA123,'G-3 Multipliers'!$L$3:$N$6,2,FALSE)=0,"Spatial Data Missing ⚠",VLOOKUP(AA123,'G-3 Multipliers'!$L$3:$N$6,2,FALSE)))</f>
        <v/>
      </c>
      <c r="AC123" s="524" t="str">
        <f>IF(AA123="","",IF(VLOOKUP(AA123,'G-3 Multipliers'!$L$3:$N$6,3,FALSE)=0,"Spatial Data Missing ⚠",VLOOKUP(AA123,'G-3 Multipliers'!$L$3:$N$6,3,FALSE)))</f>
        <v/>
      </c>
      <c r="AD123" s="537" t="str">
        <f t="shared" si="15"/>
        <v/>
      </c>
      <c r="AE123" s="203"/>
      <c r="AF123" s="203"/>
      <c r="AG123" s="520" t="str">
        <f t="shared" si="18"/>
        <v/>
      </c>
      <c r="AH123" s="544" t="str">
        <f t="shared" si="19"/>
        <v/>
      </c>
      <c r="AI123" s="525" t="str">
        <f>IF(AH123="Check Data ⚠","Check Data ⚠",IFERROR(VLOOKUP(AH123,'G-4 Temporal multipliers'!$A$4:$C$36,3,FALSE),""))</f>
        <v/>
      </c>
      <c r="AJ123" s="537" t="str">
        <f>IF(S123="","",VLOOKUP(S123,'G-3 Multipliers'!$A$2:$E$129,4,FALSE))</f>
        <v/>
      </c>
      <c r="AK123" s="520" t="str">
        <f t="shared" si="20"/>
        <v/>
      </c>
      <c r="AL123" s="520" t="str">
        <f t="shared" si="21"/>
        <v/>
      </c>
      <c r="AM123" s="524" t="str">
        <f>IFERROR(IF(F123="","",IF(AH123="Check Data ⚠","Check Data ⚠",VLOOKUP(AL123, 'G-3 Multipliers'!$P$2:$Q$6,2,FALSE))),"")</f>
        <v/>
      </c>
      <c r="AN123" s="197"/>
      <c r="AO123" s="540" t="str">
        <f>IF(AN123="","",IF(VLOOKUP(AN123,'G-3 Multipliers'!$S$3:$T$9,2,FALSE)=0,"Spatial Data Missing ⚠",VLOOKUP(AN123,'G-3 Multipliers'!$S$3:$T$9,2,FALSE)))</f>
        <v/>
      </c>
      <c r="AP123" s="513" t="str">
        <f t="shared" si="22"/>
        <v/>
      </c>
      <c r="AQ123" s="231"/>
      <c r="AR123" s="150"/>
    </row>
    <row r="124" spans="1:44" x14ac:dyDescent="0.3">
      <c r="A124" s="31" t="str">
        <f>IF(E124="","",IF(ISNA(VLOOKUP($E124,'D-1 Off Site Habitat Baseline'!$D$1:$O$258,2,FALSE)),"",(VLOOKUP($E124,'D-1 Off Site Habitat Baseline'!$D$1:$O$258,2,FALSE))))</f>
        <v/>
      </c>
      <c r="B124" s="31" t="str">
        <f>IF(E124="","",IF(ISNA(VLOOKUP($E124,'D-1 Off Site Habitat Baseline'!$D$1:$O$258,3,FALSE)),"",(VLOOKUP($E124,'D-1 Off Site Habitat Baseline'!$D$1:$O$258,3,FALSE))))</f>
        <v/>
      </c>
      <c r="C124" s="31" t="str">
        <f>IFERROR(INDEX('G-8 Condition Look up'!$I$4:$I$130,MATCH(S124,'G-8 Condition Look up'!$A$4:$A$130,0)),"")</f>
        <v/>
      </c>
      <c r="E124" s="547" t="str">
        <f>'D-1 Off Site Habitat Baseline'!AL123</f>
        <v/>
      </c>
      <c r="F124" s="520" t="str">
        <f>IF(E124="","",IF(ISNA(VLOOKUP($E124,'D-1 Off Site Habitat Baseline'!$D$1:$O$258,4,FALSE)),"",(VLOOKUP($E124,'D-1 Off Site Habitat Baseline'!$D$1:$O$258,4,FALSE))))</f>
        <v/>
      </c>
      <c r="G124" s="520" t="str">
        <f>IF(E124="","",IF(ISNA(VLOOKUP($E124,'D-1 Off Site Habitat Baseline'!$D$1:$O$258,5,FALSE)),"",(VLOOKUP($E124,'D-1 Off Site Habitat Baseline'!$D$1:$O$258,5,FALSE))))</f>
        <v/>
      </c>
      <c r="H124" s="520" t="str">
        <f>IF(E124="","",IF(ISNA(VLOOKUP($E124,'D-1 Off Site Habitat Baseline'!$D$1:$O$258,6,FALSE)),"",(VLOOKUP($E124,'D-1 Off Site Habitat Baseline'!$D$1:$O$258,6,FALSE))))</f>
        <v/>
      </c>
      <c r="I124" s="520" t="str">
        <f>IF(E124="","",IF(ISNA(VLOOKUP($E124,'D-1 Off Site Habitat Baseline'!$D$1:$O$258,7,FALSE)),"",(VLOOKUP($E124,'D-1 Off Site Habitat Baseline'!$D$1:$O$258,7,FALSE))))</f>
        <v/>
      </c>
      <c r="J124" s="520" t="str">
        <f>IF(E124="","",IF(ISNA(VLOOKUP($E124,'D-1 Off Site Habitat Baseline'!$D$1:$O$258,8,FALSE)),"",(VLOOKUP($E124,'D-1 Off Site Habitat Baseline'!$D$1:$O$258,8,FALSE))))</f>
        <v/>
      </c>
      <c r="K124" s="520" t="str">
        <f>IF(E124="","",IF(ISNA(VLOOKUP($E124,'D-1 Off Site Habitat Baseline'!$D$1:$O$258,9,FALSE)),"",(VLOOKUP($E124,'D-1 Off Site Habitat Baseline'!$D$1:$O$258,9,FALSE))))</f>
        <v/>
      </c>
      <c r="L124" s="520" t="str">
        <f>IF(E124="","",IF(ISNA(VLOOKUP($E124,'D-1 Off Site Habitat Baseline'!$D$1:$O$258,11,FALSE)),"",(VLOOKUP($E124,'D-1 Off Site Habitat Baseline'!$D$1:$O$258,11,FALSE))))</f>
        <v/>
      </c>
      <c r="M124" s="520" t="str">
        <f>IF(E124="","",IF(ISNA(VLOOKUP($E124,'D-1 Off Site Habitat Baseline'!$D$1:$O$258,12,FALSE)),"",(VLOOKUP($E124,'D-1 Off Site Habitat Baseline'!$D$1:$O$258,12,FALSE))))</f>
        <v/>
      </c>
      <c r="N124" s="520" t="str">
        <f>IF(E124="","",IF(ISNA(VLOOKUP($E124,'D-1 Off Site Habitat Baseline'!$D$1:$X$258,14,FALSE)),"",(VLOOKUP($E124,'D-1 Off Site Habitat Baseline'!$D$1:$X$258,14,FALSE))))</f>
        <v/>
      </c>
      <c r="O124" s="524" t="str">
        <f>IF(E124="","",IF(ISNA(VLOOKUP($E124,'D-1 Off Site Habitat Baseline'!$D$1:$X$258,13,FALSE)),"",(VLOOKUP($E124,'D-1 Off Site Habitat Baseline'!$D$1:$X$258,13,FALSE))))</f>
        <v/>
      </c>
      <c r="P124" s="232" t="str">
        <f>IFERROR(INDEX('G-1 All Habitats'!$AG$3:$AG$15,MATCH(Q124,'G-1 All Habitats'!$AF$3:$AF$15,0)),"")</f>
        <v/>
      </c>
      <c r="Q124" s="228" t="str">
        <f t="shared" si="23"/>
        <v/>
      </c>
      <c r="R124" s="229" t="str">
        <f t="shared" si="24"/>
        <v/>
      </c>
      <c r="S124" s="233" t="str">
        <f>IFERROR(INDEX('G-1 All Habitats'!$B$3:$B$129,MATCH(R124,'G-1 All Habitats'!$A$3:$A$129,0)),"")</f>
        <v/>
      </c>
      <c r="T124" s="507" t="str">
        <f t="shared" si="16"/>
        <v/>
      </c>
      <c r="U124" s="524" t="str">
        <f t="shared" si="17"/>
        <v/>
      </c>
      <c r="V124" s="523" t="str">
        <f t="shared" si="14"/>
        <v/>
      </c>
      <c r="W124" s="520" t="str">
        <f>IF(S124="","",VLOOKUP(S124,'G-1 All Habitats'!$B$2:$M$129,10,FALSE))</f>
        <v/>
      </c>
      <c r="X124" s="520" t="str">
        <f>IFERROR(VLOOKUP(W124,'G-1 All Habitats'!$V$3:$W$7,2,FALSE),"")</f>
        <v/>
      </c>
      <c r="Y124" s="203"/>
      <c r="Z124" s="524" t="str">
        <f>IFERROR(INDEX('G-8 Condition Look up'!$A$3:$H$130,MATCH(S124,'G-8 Condition Look up'!$A$3:$A$130,0),MATCH(Y124,'G-8 Condition Look up'!$A$3:$H$3,0)),"")</f>
        <v/>
      </c>
      <c r="AA124" s="145"/>
      <c r="AB124" s="540" t="str">
        <f>IF(AA124="","",IF(VLOOKUP(AA124,'G-3 Multipliers'!$L$3:$N$6,2,FALSE)=0,"Spatial Data Missing ⚠",VLOOKUP(AA124,'G-3 Multipliers'!$L$3:$N$6,2,FALSE)))</f>
        <v/>
      </c>
      <c r="AC124" s="524" t="str">
        <f>IF(AA124="","",IF(VLOOKUP(AA124,'G-3 Multipliers'!$L$3:$N$6,3,FALSE)=0,"Spatial Data Missing ⚠",VLOOKUP(AA124,'G-3 Multipliers'!$L$3:$N$6,3,FALSE)))</f>
        <v/>
      </c>
      <c r="AD124" s="537" t="str">
        <f t="shared" si="15"/>
        <v/>
      </c>
      <c r="AE124" s="203"/>
      <c r="AF124" s="203"/>
      <c r="AG124" s="520" t="str">
        <f t="shared" si="18"/>
        <v/>
      </c>
      <c r="AH124" s="544" t="str">
        <f t="shared" si="19"/>
        <v/>
      </c>
      <c r="AI124" s="525" t="str">
        <f>IF(AH124="Check Data ⚠","Check Data ⚠",IFERROR(VLOOKUP(AH124,'G-4 Temporal multipliers'!$A$4:$C$36,3,FALSE),""))</f>
        <v/>
      </c>
      <c r="AJ124" s="537" t="str">
        <f>IF(S124="","",VLOOKUP(S124,'G-3 Multipliers'!$A$2:$E$129,4,FALSE))</f>
        <v/>
      </c>
      <c r="AK124" s="520" t="str">
        <f t="shared" si="20"/>
        <v/>
      </c>
      <c r="AL124" s="520" t="str">
        <f t="shared" si="21"/>
        <v/>
      </c>
      <c r="AM124" s="524" t="str">
        <f>IFERROR(IF(F124="","",IF(AH124="Check Data ⚠","Check Data ⚠",VLOOKUP(AL124, 'G-3 Multipliers'!$P$2:$Q$6,2,FALSE))),"")</f>
        <v/>
      </c>
      <c r="AN124" s="197"/>
      <c r="AO124" s="540" t="str">
        <f>IF(AN124="","",IF(VLOOKUP(AN124,'G-3 Multipliers'!$S$3:$T$9,2,FALSE)=0,"Spatial Data Missing ⚠",VLOOKUP(AN124,'G-3 Multipliers'!$S$3:$T$9,2,FALSE)))</f>
        <v/>
      </c>
      <c r="AP124" s="513" t="str">
        <f t="shared" si="22"/>
        <v/>
      </c>
      <c r="AQ124" s="231"/>
      <c r="AR124" s="150"/>
    </row>
    <row r="125" spans="1:44" x14ac:dyDescent="0.3">
      <c r="A125" s="31" t="str">
        <f>IF(E125="","",IF(ISNA(VLOOKUP($E125,'D-1 Off Site Habitat Baseline'!$D$1:$O$258,2,FALSE)),"",(VLOOKUP($E125,'D-1 Off Site Habitat Baseline'!$D$1:$O$258,2,FALSE))))</f>
        <v/>
      </c>
      <c r="B125" s="31" t="str">
        <f>IF(E125="","",IF(ISNA(VLOOKUP($E125,'D-1 Off Site Habitat Baseline'!$D$1:$O$258,3,FALSE)),"",(VLOOKUP($E125,'D-1 Off Site Habitat Baseline'!$D$1:$O$258,3,FALSE))))</f>
        <v/>
      </c>
      <c r="C125" s="31" t="str">
        <f>IFERROR(INDEX('G-8 Condition Look up'!$I$4:$I$130,MATCH(S125,'G-8 Condition Look up'!$A$4:$A$130,0)),"")</f>
        <v/>
      </c>
      <c r="E125" s="547" t="str">
        <f>'D-1 Off Site Habitat Baseline'!AL124</f>
        <v/>
      </c>
      <c r="F125" s="520" t="str">
        <f>IF(E125="","",IF(ISNA(VLOOKUP($E125,'D-1 Off Site Habitat Baseline'!$D$1:$O$258,4,FALSE)),"",(VLOOKUP($E125,'D-1 Off Site Habitat Baseline'!$D$1:$O$258,4,FALSE))))</f>
        <v/>
      </c>
      <c r="G125" s="520" t="str">
        <f>IF(E125="","",IF(ISNA(VLOOKUP($E125,'D-1 Off Site Habitat Baseline'!$D$1:$O$258,5,FALSE)),"",(VLOOKUP($E125,'D-1 Off Site Habitat Baseline'!$D$1:$O$258,5,FALSE))))</f>
        <v/>
      </c>
      <c r="H125" s="520" t="str">
        <f>IF(E125="","",IF(ISNA(VLOOKUP($E125,'D-1 Off Site Habitat Baseline'!$D$1:$O$258,6,FALSE)),"",(VLOOKUP($E125,'D-1 Off Site Habitat Baseline'!$D$1:$O$258,6,FALSE))))</f>
        <v/>
      </c>
      <c r="I125" s="520" t="str">
        <f>IF(E125="","",IF(ISNA(VLOOKUP($E125,'D-1 Off Site Habitat Baseline'!$D$1:$O$258,7,FALSE)),"",(VLOOKUP($E125,'D-1 Off Site Habitat Baseline'!$D$1:$O$258,7,FALSE))))</f>
        <v/>
      </c>
      <c r="J125" s="520" t="str">
        <f>IF(E125="","",IF(ISNA(VLOOKUP($E125,'D-1 Off Site Habitat Baseline'!$D$1:$O$258,8,FALSE)),"",(VLOOKUP($E125,'D-1 Off Site Habitat Baseline'!$D$1:$O$258,8,FALSE))))</f>
        <v/>
      </c>
      <c r="K125" s="520" t="str">
        <f>IF(E125="","",IF(ISNA(VLOOKUP($E125,'D-1 Off Site Habitat Baseline'!$D$1:$O$258,9,FALSE)),"",(VLOOKUP($E125,'D-1 Off Site Habitat Baseline'!$D$1:$O$258,9,FALSE))))</f>
        <v/>
      </c>
      <c r="L125" s="520" t="str">
        <f>IF(E125="","",IF(ISNA(VLOOKUP($E125,'D-1 Off Site Habitat Baseline'!$D$1:$O$258,11,FALSE)),"",(VLOOKUP($E125,'D-1 Off Site Habitat Baseline'!$D$1:$O$258,11,FALSE))))</f>
        <v/>
      </c>
      <c r="M125" s="520" t="str">
        <f>IF(E125="","",IF(ISNA(VLOOKUP($E125,'D-1 Off Site Habitat Baseline'!$D$1:$O$258,12,FALSE)),"",(VLOOKUP($E125,'D-1 Off Site Habitat Baseline'!$D$1:$O$258,12,FALSE))))</f>
        <v/>
      </c>
      <c r="N125" s="520" t="str">
        <f>IF(E125="","",IF(ISNA(VLOOKUP($E125,'D-1 Off Site Habitat Baseline'!$D$1:$X$258,14,FALSE)),"",(VLOOKUP($E125,'D-1 Off Site Habitat Baseline'!$D$1:$X$258,14,FALSE))))</f>
        <v/>
      </c>
      <c r="O125" s="524" t="str">
        <f>IF(E125="","",IF(ISNA(VLOOKUP($E125,'D-1 Off Site Habitat Baseline'!$D$1:$X$258,13,FALSE)),"",(VLOOKUP($E125,'D-1 Off Site Habitat Baseline'!$D$1:$X$258,13,FALSE))))</f>
        <v/>
      </c>
      <c r="P125" s="232" t="str">
        <f>IFERROR(INDEX('G-1 All Habitats'!$AG$3:$AG$15,MATCH(Q125,'G-1 All Habitats'!$AF$3:$AF$15,0)),"")</f>
        <v/>
      </c>
      <c r="Q125" s="228" t="str">
        <f t="shared" si="23"/>
        <v/>
      </c>
      <c r="R125" s="229" t="str">
        <f t="shared" si="24"/>
        <v/>
      </c>
      <c r="S125" s="233" t="str">
        <f>IFERROR(INDEX('G-1 All Habitats'!$B$3:$B$129,MATCH(R125,'G-1 All Habitats'!$A$3:$A$129,0)),"")</f>
        <v/>
      </c>
      <c r="T125" s="507" t="str">
        <f t="shared" si="16"/>
        <v/>
      </c>
      <c r="U125" s="524" t="str">
        <f t="shared" si="17"/>
        <v/>
      </c>
      <c r="V125" s="523" t="str">
        <f t="shared" si="14"/>
        <v/>
      </c>
      <c r="W125" s="520" t="str">
        <f>IF(S125="","",VLOOKUP(S125,'G-1 All Habitats'!$B$2:$M$129,10,FALSE))</f>
        <v/>
      </c>
      <c r="X125" s="520" t="str">
        <f>IFERROR(VLOOKUP(W125,'G-1 All Habitats'!$V$3:$W$7,2,FALSE),"")</f>
        <v/>
      </c>
      <c r="Y125" s="203"/>
      <c r="Z125" s="524" t="str">
        <f>IFERROR(INDEX('G-8 Condition Look up'!$A$3:$H$130,MATCH(S125,'G-8 Condition Look up'!$A$3:$A$130,0),MATCH(Y125,'G-8 Condition Look up'!$A$3:$H$3,0)),"")</f>
        <v/>
      </c>
      <c r="AA125" s="145"/>
      <c r="AB125" s="540" t="str">
        <f>IF(AA125="","",IF(VLOOKUP(AA125,'G-3 Multipliers'!$L$3:$N$6,2,FALSE)=0,"Spatial Data Missing ⚠",VLOOKUP(AA125,'G-3 Multipliers'!$L$3:$N$6,2,FALSE)))</f>
        <v/>
      </c>
      <c r="AC125" s="524" t="str">
        <f>IF(AA125="","",IF(VLOOKUP(AA125,'G-3 Multipliers'!$L$3:$N$6,3,FALSE)=0,"Spatial Data Missing ⚠",VLOOKUP(AA125,'G-3 Multipliers'!$L$3:$N$6,3,FALSE)))</f>
        <v/>
      </c>
      <c r="AD125" s="537" t="str">
        <f t="shared" si="15"/>
        <v/>
      </c>
      <c r="AE125" s="203"/>
      <c r="AF125" s="203"/>
      <c r="AG125" s="520" t="str">
        <f t="shared" si="18"/>
        <v/>
      </c>
      <c r="AH125" s="544" t="str">
        <f t="shared" si="19"/>
        <v/>
      </c>
      <c r="AI125" s="525" t="str">
        <f>IF(AH125="Check Data ⚠","Check Data ⚠",IFERROR(VLOOKUP(AH125,'G-4 Temporal multipliers'!$A$4:$C$36,3,FALSE),""))</f>
        <v/>
      </c>
      <c r="AJ125" s="537" t="str">
        <f>IF(S125="","",VLOOKUP(S125,'G-3 Multipliers'!$A$2:$E$129,4,FALSE))</f>
        <v/>
      </c>
      <c r="AK125" s="520" t="str">
        <f t="shared" si="20"/>
        <v/>
      </c>
      <c r="AL125" s="520" t="str">
        <f t="shared" si="21"/>
        <v/>
      </c>
      <c r="AM125" s="524" t="str">
        <f>IFERROR(IF(F125="","",IF(AH125="Check Data ⚠","Check Data ⚠",VLOOKUP(AL125, 'G-3 Multipliers'!$P$2:$Q$6,2,FALSE))),"")</f>
        <v/>
      </c>
      <c r="AN125" s="197"/>
      <c r="AO125" s="540" t="str">
        <f>IF(AN125="","",IF(VLOOKUP(AN125,'G-3 Multipliers'!$S$3:$T$9,2,FALSE)=0,"Spatial Data Missing ⚠",VLOOKUP(AN125,'G-3 Multipliers'!$S$3:$T$9,2,FALSE)))</f>
        <v/>
      </c>
      <c r="AP125" s="513" t="str">
        <f t="shared" si="22"/>
        <v/>
      </c>
      <c r="AQ125" s="231"/>
      <c r="AR125" s="150"/>
    </row>
    <row r="126" spans="1:44" x14ac:dyDescent="0.3">
      <c r="A126" s="31" t="str">
        <f>IF(E126="","",IF(ISNA(VLOOKUP($E126,'D-1 Off Site Habitat Baseline'!$D$1:$O$258,2,FALSE)),"",(VLOOKUP($E126,'D-1 Off Site Habitat Baseline'!$D$1:$O$258,2,FALSE))))</f>
        <v/>
      </c>
      <c r="B126" s="31" t="str">
        <f>IF(E126="","",IF(ISNA(VLOOKUP($E126,'D-1 Off Site Habitat Baseline'!$D$1:$O$258,3,FALSE)),"",(VLOOKUP($E126,'D-1 Off Site Habitat Baseline'!$D$1:$O$258,3,FALSE))))</f>
        <v/>
      </c>
      <c r="C126" s="31" t="str">
        <f>IFERROR(INDEX('G-8 Condition Look up'!$I$4:$I$130,MATCH(S126,'G-8 Condition Look up'!$A$4:$A$130,0)),"")</f>
        <v/>
      </c>
      <c r="E126" s="547" t="str">
        <f>'D-1 Off Site Habitat Baseline'!AL125</f>
        <v/>
      </c>
      <c r="F126" s="520" t="str">
        <f>IF(E126="","",IF(ISNA(VLOOKUP($E126,'D-1 Off Site Habitat Baseline'!$D$1:$O$258,4,FALSE)),"",(VLOOKUP($E126,'D-1 Off Site Habitat Baseline'!$D$1:$O$258,4,FALSE))))</f>
        <v/>
      </c>
      <c r="G126" s="520" t="str">
        <f>IF(E126="","",IF(ISNA(VLOOKUP($E126,'D-1 Off Site Habitat Baseline'!$D$1:$O$258,5,FALSE)),"",(VLOOKUP($E126,'D-1 Off Site Habitat Baseline'!$D$1:$O$258,5,FALSE))))</f>
        <v/>
      </c>
      <c r="H126" s="520" t="str">
        <f>IF(E126="","",IF(ISNA(VLOOKUP($E126,'D-1 Off Site Habitat Baseline'!$D$1:$O$258,6,FALSE)),"",(VLOOKUP($E126,'D-1 Off Site Habitat Baseline'!$D$1:$O$258,6,FALSE))))</f>
        <v/>
      </c>
      <c r="I126" s="520" t="str">
        <f>IF(E126="","",IF(ISNA(VLOOKUP($E126,'D-1 Off Site Habitat Baseline'!$D$1:$O$258,7,FALSE)),"",(VLOOKUP($E126,'D-1 Off Site Habitat Baseline'!$D$1:$O$258,7,FALSE))))</f>
        <v/>
      </c>
      <c r="J126" s="520" t="str">
        <f>IF(E126="","",IF(ISNA(VLOOKUP($E126,'D-1 Off Site Habitat Baseline'!$D$1:$O$258,8,FALSE)),"",(VLOOKUP($E126,'D-1 Off Site Habitat Baseline'!$D$1:$O$258,8,FALSE))))</f>
        <v/>
      </c>
      <c r="K126" s="520" t="str">
        <f>IF(E126="","",IF(ISNA(VLOOKUP($E126,'D-1 Off Site Habitat Baseline'!$D$1:$O$258,9,FALSE)),"",(VLOOKUP($E126,'D-1 Off Site Habitat Baseline'!$D$1:$O$258,9,FALSE))))</f>
        <v/>
      </c>
      <c r="L126" s="520" t="str">
        <f>IF(E126="","",IF(ISNA(VLOOKUP($E126,'D-1 Off Site Habitat Baseline'!$D$1:$O$258,11,FALSE)),"",(VLOOKUP($E126,'D-1 Off Site Habitat Baseline'!$D$1:$O$258,11,FALSE))))</f>
        <v/>
      </c>
      <c r="M126" s="520" t="str">
        <f>IF(E126="","",IF(ISNA(VLOOKUP($E126,'D-1 Off Site Habitat Baseline'!$D$1:$O$258,12,FALSE)),"",(VLOOKUP($E126,'D-1 Off Site Habitat Baseline'!$D$1:$O$258,12,FALSE))))</f>
        <v/>
      </c>
      <c r="N126" s="520" t="str">
        <f>IF(E126="","",IF(ISNA(VLOOKUP($E126,'D-1 Off Site Habitat Baseline'!$D$1:$X$258,14,FALSE)),"",(VLOOKUP($E126,'D-1 Off Site Habitat Baseline'!$D$1:$X$258,14,FALSE))))</f>
        <v/>
      </c>
      <c r="O126" s="524" t="str">
        <f>IF(E126="","",IF(ISNA(VLOOKUP($E126,'D-1 Off Site Habitat Baseline'!$D$1:$X$258,13,FALSE)),"",(VLOOKUP($E126,'D-1 Off Site Habitat Baseline'!$D$1:$X$258,13,FALSE))))</f>
        <v/>
      </c>
      <c r="P126" s="232" t="str">
        <f>IFERROR(INDEX('G-1 All Habitats'!$AG$3:$AG$15,MATCH(Q126,'G-1 All Habitats'!$AF$3:$AF$15,0)),"")</f>
        <v/>
      </c>
      <c r="Q126" s="228" t="str">
        <f t="shared" si="23"/>
        <v/>
      </c>
      <c r="R126" s="229" t="str">
        <f t="shared" si="24"/>
        <v/>
      </c>
      <c r="S126" s="233" t="str">
        <f>IFERROR(INDEX('G-1 All Habitats'!$B$3:$B$129,MATCH(R126,'G-1 All Habitats'!$A$3:$A$129,0)),"")</f>
        <v/>
      </c>
      <c r="T126" s="507" t="str">
        <f t="shared" si="16"/>
        <v/>
      </c>
      <c r="U126" s="524" t="str">
        <f t="shared" si="17"/>
        <v/>
      </c>
      <c r="V126" s="523" t="str">
        <f t="shared" si="14"/>
        <v/>
      </c>
      <c r="W126" s="520" t="str">
        <f>IF(S126="","",VLOOKUP(S126,'G-1 All Habitats'!$B$2:$M$129,10,FALSE))</f>
        <v/>
      </c>
      <c r="X126" s="520" t="str">
        <f>IFERROR(VLOOKUP(W126,'G-1 All Habitats'!$V$3:$W$7,2,FALSE),"")</f>
        <v/>
      </c>
      <c r="Y126" s="203"/>
      <c r="Z126" s="524" t="str">
        <f>IFERROR(INDEX('G-8 Condition Look up'!$A$3:$H$130,MATCH(S126,'G-8 Condition Look up'!$A$3:$A$130,0),MATCH(Y126,'G-8 Condition Look up'!$A$3:$H$3,0)),"")</f>
        <v/>
      </c>
      <c r="AA126" s="145"/>
      <c r="AB126" s="540" t="str">
        <f>IF(AA126="","",IF(VLOOKUP(AA126,'G-3 Multipliers'!$L$3:$N$6,2,FALSE)=0,"Spatial Data Missing ⚠",VLOOKUP(AA126,'G-3 Multipliers'!$L$3:$N$6,2,FALSE)))</f>
        <v/>
      </c>
      <c r="AC126" s="524" t="str">
        <f>IF(AA126="","",IF(VLOOKUP(AA126,'G-3 Multipliers'!$L$3:$N$6,3,FALSE)=0,"Spatial Data Missing ⚠",VLOOKUP(AA126,'G-3 Multipliers'!$L$3:$N$6,3,FALSE)))</f>
        <v/>
      </c>
      <c r="AD126" s="537" t="str">
        <f t="shared" si="15"/>
        <v/>
      </c>
      <c r="AE126" s="203"/>
      <c r="AF126" s="203"/>
      <c r="AG126" s="520" t="str">
        <f t="shared" si="18"/>
        <v/>
      </c>
      <c r="AH126" s="544" t="str">
        <f t="shared" si="19"/>
        <v/>
      </c>
      <c r="AI126" s="525" t="str">
        <f>IF(AH126="Check Data ⚠","Check Data ⚠",IFERROR(VLOOKUP(AH126,'G-4 Temporal multipliers'!$A$4:$C$36,3,FALSE),""))</f>
        <v/>
      </c>
      <c r="AJ126" s="537" t="str">
        <f>IF(S126="","",VLOOKUP(S126,'G-3 Multipliers'!$A$2:$E$129,4,FALSE))</f>
        <v/>
      </c>
      <c r="AK126" s="520" t="str">
        <f t="shared" si="20"/>
        <v/>
      </c>
      <c r="AL126" s="520" t="str">
        <f t="shared" si="21"/>
        <v/>
      </c>
      <c r="AM126" s="524" t="str">
        <f>IFERROR(IF(F126="","",IF(AH126="Check Data ⚠","Check Data ⚠",VLOOKUP(AL126, 'G-3 Multipliers'!$P$2:$Q$6,2,FALSE))),"")</f>
        <v/>
      </c>
      <c r="AN126" s="197"/>
      <c r="AO126" s="540" t="str">
        <f>IF(AN126="","",IF(VLOOKUP(AN126,'G-3 Multipliers'!$S$3:$T$9,2,FALSE)=0,"Spatial Data Missing ⚠",VLOOKUP(AN126,'G-3 Multipliers'!$S$3:$T$9,2,FALSE)))</f>
        <v/>
      </c>
      <c r="AP126" s="513" t="str">
        <f t="shared" si="22"/>
        <v/>
      </c>
      <c r="AQ126" s="231"/>
      <c r="AR126" s="150"/>
    </row>
    <row r="127" spans="1:44" x14ac:dyDescent="0.3">
      <c r="A127" s="31" t="str">
        <f>IF(E127="","",IF(ISNA(VLOOKUP($E127,'D-1 Off Site Habitat Baseline'!$D$1:$O$258,2,FALSE)),"",(VLOOKUP($E127,'D-1 Off Site Habitat Baseline'!$D$1:$O$258,2,FALSE))))</f>
        <v/>
      </c>
      <c r="B127" s="31" t="str">
        <f>IF(E127="","",IF(ISNA(VLOOKUP($E127,'D-1 Off Site Habitat Baseline'!$D$1:$O$258,3,FALSE)),"",(VLOOKUP($E127,'D-1 Off Site Habitat Baseline'!$D$1:$O$258,3,FALSE))))</f>
        <v/>
      </c>
      <c r="C127" s="31" t="str">
        <f>IFERROR(INDEX('G-8 Condition Look up'!$I$4:$I$130,MATCH(S127,'G-8 Condition Look up'!$A$4:$A$130,0)),"")</f>
        <v/>
      </c>
      <c r="E127" s="547" t="str">
        <f>'D-1 Off Site Habitat Baseline'!AL126</f>
        <v/>
      </c>
      <c r="F127" s="520" t="str">
        <f>IF(E127="","",IF(ISNA(VLOOKUP($E127,'D-1 Off Site Habitat Baseline'!$D$1:$O$258,4,FALSE)),"",(VLOOKUP($E127,'D-1 Off Site Habitat Baseline'!$D$1:$O$258,4,FALSE))))</f>
        <v/>
      </c>
      <c r="G127" s="520" t="str">
        <f>IF(E127="","",IF(ISNA(VLOOKUP($E127,'D-1 Off Site Habitat Baseline'!$D$1:$O$258,5,FALSE)),"",(VLOOKUP($E127,'D-1 Off Site Habitat Baseline'!$D$1:$O$258,5,FALSE))))</f>
        <v/>
      </c>
      <c r="H127" s="520" t="str">
        <f>IF(E127="","",IF(ISNA(VLOOKUP($E127,'D-1 Off Site Habitat Baseline'!$D$1:$O$258,6,FALSE)),"",(VLOOKUP($E127,'D-1 Off Site Habitat Baseline'!$D$1:$O$258,6,FALSE))))</f>
        <v/>
      </c>
      <c r="I127" s="520" t="str">
        <f>IF(E127="","",IF(ISNA(VLOOKUP($E127,'D-1 Off Site Habitat Baseline'!$D$1:$O$258,7,FALSE)),"",(VLOOKUP($E127,'D-1 Off Site Habitat Baseline'!$D$1:$O$258,7,FALSE))))</f>
        <v/>
      </c>
      <c r="J127" s="520" t="str">
        <f>IF(E127="","",IF(ISNA(VLOOKUP($E127,'D-1 Off Site Habitat Baseline'!$D$1:$O$258,8,FALSE)),"",(VLOOKUP($E127,'D-1 Off Site Habitat Baseline'!$D$1:$O$258,8,FALSE))))</f>
        <v/>
      </c>
      <c r="K127" s="520" t="str">
        <f>IF(E127="","",IF(ISNA(VLOOKUP($E127,'D-1 Off Site Habitat Baseline'!$D$1:$O$258,9,FALSE)),"",(VLOOKUP($E127,'D-1 Off Site Habitat Baseline'!$D$1:$O$258,9,FALSE))))</f>
        <v/>
      </c>
      <c r="L127" s="520" t="str">
        <f>IF(E127="","",IF(ISNA(VLOOKUP($E127,'D-1 Off Site Habitat Baseline'!$D$1:$O$258,11,FALSE)),"",(VLOOKUP($E127,'D-1 Off Site Habitat Baseline'!$D$1:$O$258,11,FALSE))))</f>
        <v/>
      </c>
      <c r="M127" s="520" t="str">
        <f>IF(E127="","",IF(ISNA(VLOOKUP($E127,'D-1 Off Site Habitat Baseline'!$D$1:$O$258,12,FALSE)),"",(VLOOKUP($E127,'D-1 Off Site Habitat Baseline'!$D$1:$O$258,12,FALSE))))</f>
        <v/>
      </c>
      <c r="N127" s="520" t="str">
        <f>IF(E127="","",IF(ISNA(VLOOKUP($E127,'D-1 Off Site Habitat Baseline'!$D$1:$X$258,14,FALSE)),"",(VLOOKUP($E127,'D-1 Off Site Habitat Baseline'!$D$1:$X$258,14,FALSE))))</f>
        <v/>
      </c>
      <c r="O127" s="524" t="str">
        <f>IF(E127="","",IF(ISNA(VLOOKUP($E127,'D-1 Off Site Habitat Baseline'!$D$1:$X$258,13,FALSE)),"",(VLOOKUP($E127,'D-1 Off Site Habitat Baseline'!$D$1:$X$258,13,FALSE))))</f>
        <v/>
      </c>
      <c r="P127" s="232" t="str">
        <f>IFERROR(INDEX('G-1 All Habitats'!$AG$3:$AG$15,MATCH(Q127,'G-1 All Habitats'!$AF$3:$AF$15,0)),"")</f>
        <v/>
      </c>
      <c r="Q127" s="228" t="str">
        <f t="shared" si="23"/>
        <v/>
      </c>
      <c r="R127" s="229" t="str">
        <f t="shared" si="24"/>
        <v/>
      </c>
      <c r="S127" s="233" t="str">
        <f>IFERROR(INDEX('G-1 All Habitats'!$B$3:$B$129,MATCH(R127,'G-1 All Habitats'!$A$3:$A$129,0)),"")</f>
        <v/>
      </c>
      <c r="T127" s="507" t="str">
        <f t="shared" si="16"/>
        <v/>
      </c>
      <c r="U127" s="524" t="str">
        <f t="shared" si="17"/>
        <v/>
      </c>
      <c r="V127" s="523" t="str">
        <f t="shared" si="14"/>
        <v/>
      </c>
      <c r="W127" s="520" t="str">
        <f>IF(S127="","",VLOOKUP(S127,'G-1 All Habitats'!$B$2:$M$129,10,FALSE))</f>
        <v/>
      </c>
      <c r="X127" s="520" t="str">
        <f>IFERROR(VLOOKUP(W127,'G-1 All Habitats'!$V$3:$W$7,2,FALSE),"")</f>
        <v/>
      </c>
      <c r="Y127" s="203"/>
      <c r="Z127" s="524" t="str">
        <f>IFERROR(INDEX('G-8 Condition Look up'!$A$3:$H$130,MATCH(S127,'G-8 Condition Look up'!$A$3:$A$130,0),MATCH(Y127,'G-8 Condition Look up'!$A$3:$H$3,0)),"")</f>
        <v/>
      </c>
      <c r="AA127" s="145"/>
      <c r="AB127" s="540" t="str">
        <f>IF(AA127="","",IF(VLOOKUP(AA127,'G-3 Multipliers'!$L$3:$N$6,2,FALSE)=0,"Spatial Data Missing ⚠",VLOOKUP(AA127,'G-3 Multipliers'!$L$3:$N$6,2,FALSE)))</f>
        <v/>
      </c>
      <c r="AC127" s="524" t="str">
        <f>IF(AA127="","",IF(VLOOKUP(AA127,'G-3 Multipliers'!$L$3:$N$6,3,FALSE)=0,"Spatial Data Missing ⚠",VLOOKUP(AA127,'G-3 Multipliers'!$L$3:$N$6,3,FALSE)))</f>
        <v/>
      </c>
      <c r="AD127" s="537" t="str">
        <f t="shared" si="15"/>
        <v/>
      </c>
      <c r="AE127" s="203"/>
      <c r="AF127" s="203"/>
      <c r="AG127" s="520" t="str">
        <f t="shared" si="18"/>
        <v/>
      </c>
      <c r="AH127" s="544" t="str">
        <f t="shared" si="19"/>
        <v/>
      </c>
      <c r="AI127" s="525" t="str">
        <f>IF(AH127="Check Data ⚠","Check Data ⚠",IFERROR(VLOOKUP(AH127,'G-4 Temporal multipliers'!$A$4:$C$36,3,FALSE),""))</f>
        <v/>
      </c>
      <c r="AJ127" s="537" t="str">
        <f>IF(S127="","",VLOOKUP(S127,'G-3 Multipliers'!$A$2:$E$129,4,FALSE))</f>
        <v/>
      </c>
      <c r="AK127" s="520" t="str">
        <f t="shared" si="20"/>
        <v/>
      </c>
      <c r="AL127" s="520" t="str">
        <f t="shared" si="21"/>
        <v/>
      </c>
      <c r="AM127" s="524" t="str">
        <f>IFERROR(IF(F127="","",IF(AH127="Check Data ⚠","Check Data ⚠",VLOOKUP(AL127, 'G-3 Multipliers'!$P$2:$Q$6,2,FALSE))),"")</f>
        <v/>
      </c>
      <c r="AN127" s="197"/>
      <c r="AO127" s="540" t="str">
        <f>IF(AN127="","",IF(VLOOKUP(AN127,'G-3 Multipliers'!$S$3:$T$9,2,FALSE)=0,"Spatial Data Missing ⚠",VLOOKUP(AN127,'G-3 Multipliers'!$S$3:$T$9,2,FALSE)))</f>
        <v/>
      </c>
      <c r="AP127" s="513" t="str">
        <f t="shared" si="22"/>
        <v/>
      </c>
      <c r="AQ127" s="231"/>
      <c r="AR127" s="150"/>
    </row>
    <row r="128" spans="1:44" x14ac:dyDescent="0.3">
      <c r="A128" s="31" t="str">
        <f>IF(E128="","",IF(ISNA(VLOOKUP($E128,'D-1 Off Site Habitat Baseline'!$D$1:$O$258,2,FALSE)),"",(VLOOKUP($E128,'D-1 Off Site Habitat Baseline'!$D$1:$O$258,2,FALSE))))</f>
        <v/>
      </c>
      <c r="B128" s="31" t="str">
        <f>IF(E128="","",IF(ISNA(VLOOKUP($E128,'D-1 Off Site Habitat Baseline'!$D$1:$O$258,3,FALSE)),"",(VLOOKUP($E128,'D-1 Off Site Habitat Baseline'!$D$1:$O$258,3,FALSE))))</f>
        <v/>
      </c>
      <c r="C128" s="31" t="str">
        <f>IFERROR(INDEX('G-8 Condition Look up'!$I$4:$I$130,MATCH(S128,'G-8 Condition Look up'!$A$4:$A$130,0)),"")</f>
        <v/>
      </c>
      <c r="E128" s="547" t="str">
        <f>'D-1 Off Site Habitat Baseline'!AL127</f>
        <v/>
      </c>
      <c r="F128" s="520" t="str">
        <f>IF(E128="","",IF(ISNA(VLOOKUP($E128,'D-1 Off Site Habitat Baseline'!$D$1:$O$258,4,FALSE)),"",(VLOOKUP($E128,'D-1 Off Site Habitat Baseline'!$D$1:$O$258,4,FALSE))))</f>
        <v/>
      </c>
      <c r="G128" s="520" t="str">
        <f>IF(E128="","",IF(ISNA(VLOOKUP($E128,'D-1 Off Site Habitat Baseline'!$D$1:$O$258,5,FALSE)),"",(VLOOKUP($E128,'D-1 Off Site Habitat Baseline'!$D$1:$O$258,5,FALSE))))</f>
        <v/>
      </c>
      <c r="H128" s="520" t="str">
        <f>IF(E128="","",IF(ISNA(VLOOKUP($E128,'D-1 Off Site Habitat Baseline'!$D$1:$O$258,6,FALSE)),"",(VLOOKUP($E128,'D-1 Off Site Habitat Baseline'!$D$1:$O$258,6,FALSE))))</f>
        <v/>
      </c>
      <c r="I128" s="520" t="str">
        <f>IF(E128="","",IF(ISNA(VLOOKUP($E128,'D-1 Off Site Habitat Baseline'!$D$1:$O$258,7,FALSE)),"",(VLOOKUP($E128,'D-1 Off Site Habitat Baseline'!$D$1:$O$258,7,FALSE))))</f>
        <v/>
      </c>
      <c r="J128" s="520" t="str">
        <f>IF(E128="","",IF(ISNA(VLOOKUP($E128,'D-1 Off Site Habitat Baseline'!$D$1:$O$258,8,FALSE)),"",(VLOOKUP($E128,'D-1 Off Site Habitat Baseline'!$D$1:$O$258,8,FALSE))))</f>
        <v/>
      </c>
      <c r="K128" s="520" t="str">
        <f>IF(E128="","",IF(ISNA(VLOOKUP($E128,'D-1 Off Site Habitat Baseline'!$D$1:$O$258,9,FALSE)),"",(VLOOKUP($E128,'D-1 Off Site Habitat Baseline'!$D$1:$O$258,9,FALSE))))</f>
        <v/>
      </c>
      <c r="L128" s="520" t="str">
        <f>IF(E128="","",IF(ISNA(VLOOKUP($E128,'D-1 Off Site Habitat Baseline'!$D$1:$O$258,11,FALSE)),"",(VLOOKUP($E128,'D-1 Off Site Habitat Baseline'!$D$1:$O$258,11,FALSE))))</f>
        <v/>
      </c>
      <c r="M128" s="520" t="str">
        <f>IF(E128="","",IF(ISNA(VLOOKUP($E128,'D-1 Off Site Habitat Baseline'!$D$1:$O$258,12,FALSE)),"",(VLOOKUP($E128,'D-1 Off Site Habitat Baseline'!$D$1:$O$258,12,FALSE))))</f>
        <v/>
      </c>
      <c r="N128" s="520" t="str">
        <f>IF(E128="","",IF(ISNA(VLOOKUP($E128,'D-1 Off Site Habitat Baseline'!$D$1:$X$258,14,FALSE)),"",(VLOOKUP($E128,'D-1 Off Site Habitat Baseline'!$D$1:$X$258,14,FALSE))))</f>
        <v/>
      </c>
      <c r="O128" s="524" t="str">
        <f>IF(E128="","",IF(ISNA(VLOOKUP($E128,'D-1 Off Site Habitat Baseline'!$D$1:$X$258,13,FALSE)),"",(VLOOKUP($E128,'D-1 Off Site Habitat Baseline'!$D$1:$X$258,13,FALSE))))</f>
        <v/>
      </c>
      <c r="P128" s="232" t="str">
        <f>IFERROR(INDEX('G-1 All Habitats'!$AG$3:$AG$15,MATCH(Q128,'G-1 All Habitats'!$AF$3:$AF$15,0)),"")</f>
        <v/>
      </c>
      <c r="Q128" s="228" t="str">
        <f t="shared" si="23"/>
        <v/>
      </c>
      <c r="R128" s="229" t="str">
        <f t="shared" si="24"/>
        <v/>
      </c>
      <c r="S128" s="233" t="str">
        <f>IFERROR(INDEX('G-1 All Habitats'!$B$3:$B$129,MATCH(R128,'G-1 All Habitats'!$A$3:$A$129,0)),"")</f>
        <v/>
      </c>
      <c r="T128" s="507" t="str">
        <f t="shared" si="16"/>
        <v/>
      </c>
      <c r="U128" s="524" t="str">
        <f t="shared" si="17"/>
        <v/>
      </c>
      <c r="V128" s="523" t="str">
        <f t="shared" si="14"/>
        <v/>
      </c>
      <c r="W128" s="520" t="str">
        <f>IF(S128="","",VLOOKUP(S128,'G-1 All Habitats'!$B$2:$M$129,10,FALSE))</f>
        <v/>
      </c>
      <c r="X128" s="520" t="str">
        <f>IFERROR(VLOOKUP(W128,'G-1 All Habitats'!$V$3:$W$7,2,FALSE),"")</f>
        <v/>
      </c>
      <c r="Y128" s="203"/>
      <c r="Z128" s="524" t="str">
        <f>IFERROR(INDEX('G-8 Condition Look up'!$A$3:$H$130,MATCH(S128,'G-8 Condition Look up'!$A$3:$A$130,0),MATCH(Y128,'G-8 Condition Look up'!$A$3:$H$3,0)),"")</f>
        <v/>
      </c>
      <c r="AA128" s="145"/>
      <c r="AB128" s="540" t="str">
        <f>IF(AA128="","",IF(VLOOKUP(AA128,'G-3 Multipliers'!$L$3:$N$6,2,FALSE)=0,"Spatial Data Missing ⚠",VLOOKUP(AA128,'G-3 Multipliers'!$L$3:$N$6,2,FALSE)))</f>
        <v/>
      </c>
      <c r="AC128" s="524" t="str">
        <f>IF(AA128="","",IF(VLOOKUP(AA128,'G-3 Multipliers'!$L$3:$N$6,3,FALSE)=0,"Spatial Data Missing ⚠",VLOOKUP(AA128,'G-3 Multipliers'!$L$3:$N$6,3,FALSE)))</f>
        <v/>
      </c>
      <c r="AD128" s="537" t="str">
        <f t="shared" si="15"/>
        <v/>
      </c>
      <c r="AE128" s="203"/>
      <c r="AF128" s="203"/>
      <c r="AG128" s="520" t="str">
        <f t="shared" si="18"/>
        <v/>
      </c>
      <c r="AH128" s="544" t="str">
        <f t="shared" si="19"/>
        <v/>
      </c>
      <c r="AI128" s="525" t="str">
        <f>IF(AH128="Check Data ⚠","Check Data ⚠",IFERROR(VLOOKUP(AH128,'G-4 Temporal multipliers'!$A$4:$C$36,3,FALSE),""))</f>
        <v/>
      </c>
      <c r="AJ128" s="537" t="str">
        <f>IF(S128="","",VLOOKUP(S128,'G-3 Multipliers'!$A$2:$E$129,4,FALSE))</f>
        <v/>
      </c>
      <c r="AK128" s="520" t="str">
        <f t="shared" si="20"/>
        <v/>
      </c>
      <c r="AL128" s="520" t="str">
        <f t="shared" si="21"/>
        <v/>
      </c>
      <c r="AM128" s="524" t="str">
        <f>IFERROR(IF(F128="","",IF(AH128="Check Data ⚠","Check Data ⚠",VLOOKUP(AL128, 'G-3 Multipliers'!$P$2:$Q$6,2,FALSE))),"")</f>
        <v/>
      </c>
      <c r="AN128" s="197"/>
      <c r="AO128" s="540" t="str">
        <f>IF(AN128="","",IF(VLOOKUP(AN128,'G-3 Multipliers'!$S$3:$T$9,2,FALSE)=0,"Spatial Data Missing ⚠",VLOOKUP(AN128,'G-3 Multipliers'!$S$3:$T$9,2,FALSE)))</f>
        <v/>
      </c>
      <c r="AP128" s="513" t="str">
        <f t="shared" si="22"/>
        <v/>
      </c>
      <c r="AQ128" s="231"/>
      <c r="AR128" s="150"/>
    </row>
    <row r="129" spans="1:44" x14ac:dyDescent="0.3">
      <c r="A129" s="31" t="str">
        <f>IF(E129="","",IF(ISNA(VLOOKUP($E129,'D-1 Off Site Habitat Baseline'!$D$1:$O$258,2,FALSE)),"",(VLOOKUP($E129,'D-1 Off Site Habitat Baseline'!$D$1:$O$258,2,FALSE))))</f>
        <v/>
      </c>
      <c r="B129" s="31" t="str">
        <f>IF(E129="","",IF(ISNA(VLOOKUP($E129,'D-1 Off Site Habitat Baseline'!$D$1:$O$258,3,FALSE)),"",(VLOOKUP($E129,'D-1 Off Site Habitat Baseline'!$D$1:$O$258,3,FALSE))))</f>
        <v/>
      </c>
      <c r="C129" s="31" t="str">
        <f>IFERROR(INDEX('G-8 Condition Look up'!$I$4:$I$130,MATCH(S129,'G-8 Condition Look up'!$A$4:$A$130,0)),"")</f>
        <v/>
      </c>
      <c r="E129" s="547" t="str">
        <f>'D-1 Off Site Habitat Baseline'!AL128</f>
        <v/>
      </c>
      <c r="F129" s="520" t="str">
        <f>IF(E129="","",IF(ISNA(VLOOKUP($E129,'D-1 Off Site Habitat Baseline'!$D$1:$O$258,4,FALSE)),"",(VLOOKUP($E129,'D-1 Off Site Habitat Baseline'!$D$1:$O$258,4,FALSE))))</f>
        <v/>
      </c>
      <c r="G129" s="520" t="str">
        <f>IF(E129="","",IF(ISNA(VLOOKUP($E129,'D-1 Off Site Habitat Baseline'!$D$1:$O$258,5,FALSE)),"",(VLOOKUP($E129,'D-1 Off Site Habitat Baseline'!$D$1:$O$258,5,FALSE))))</f>
        <v/>
      </c>
      <c r="H129" s="520" t="str">
        <f>IF(E129="","",IF(ISNA(VLOOKUP($E129,'D-1 Off Site Habitat Baseline'!$D$1:$O$258,6,FALSE)),"",(VLOOKUP($E129,'D-1 Off Site Habitat Baseline'!$D$1:$O$258,6,FALSE))))</f>
        <v/>
      </c>
      <c r="I129" s="520" t="str">
        <f>IF(E129="","",IF(ISNA(VLOOKUP($E129,'D-1 Off Site Habitat Baseline'!$D$1:$O$258,7,FALSE)),"",(VLOOKUP($E129,'D-1 Off Site Habitat Baseline'!$D$1:$O$258,7,FALSE))))</f>
        <v/>
      </c>
      <c r="J129" s="520" t="str">
        <f>IF(E129="","",IF(ISNA(VLOOKUP($E129,'D-1 Off Site Habitat Baseline'!$D$1:$O$258,8,FALSE)),"",(VLOOKUP($E129,'D-1 Off Site Habitat Baseline'!$D$1:$O$258,8,FALSE))))</f>
        <v/>
      </c>
      <c r="K129" s="520" t="str">
        <f>IF(E129="","",IF(ISNA(VLOOKUP($E129,'D-1 Off Site Habitat Baseline'!$D$1:$O$258,9,FALSE)),"",(VLOOKUP($E129,'D-1 Off Site Habitat Baseline'!$D$1:$O$258,9,FALSE))))</f>
        <v/>
      </c>
      <c r="L129" s="520" t="str">
        <f>IF(E129="","",IF(ISNA(VLOOKUP($E129,'D-1 Off Site Habitat Baseline'!$D$1:$O$258,11,FALSE)),"",(VLOOKUP($E129,'D-1 Off Site Habitat Baseline'!$D$1:$O$258,11,FALSE))))</f>
        <v/>
      </c>
      <c r="M129" s="520" t="str">
        <f>IF(E129="","",IF(ISNA(VLOOKUP($E129,'D-1 Off Site Habitat Baseline'!$D$1:$O$258,12,FALSE)),"",(VLOOKUP($E129,'D-1 Off Site Habitat Baseline'!$D$1:$O$258,12,FALSE))))</f>
        <v/>
      </c>
      <c r="N129" s="520" t="str">
        <f>IF(E129="","",IF(ISNA(VLOOKUP($E129,'D-1 Off Site Habitat Baseline'!$D$1:$X$258,14,FALSE)),"",(VLOOKUP($E129,'D-1 Off Site Habitat Baseline'!$D$1:$X$258,14,FALSE))))</f>
        <v/>
      </c>
      <c r="O129" s="524" t="str">
        <f>IF(E129="","",IF(ISNA(VLOOKUP($E129,'D-1 Off Site Habitat Baseline'!$D$1:$X$258,13,FALSE)),"",(VLOOKUP($E129,'D-1 Off Site Habitat Baseline'!$D$1:$X$258,13,FALSE))))</f>
        <v/>
      </c>
      <c r="P129" s="232" t="str">
        <f>IFERROR(INDEX('G-1 All Habitats'!$AG$3:$AG$15,MATCH(Q129,'G-1 All Habitats'!$AF$3:$AF$15,0)),"")</f>
        <v/>
      </c>
      <c r="Q129" s="228" t="str">
        <f t="shared" si="23"/>
        <v/>
      </c>
      <c r="R129" s="229" t="str">
        <f t="shared" si="24"/>
        <v/>
      </c>
      <c r="S129" s="233" t="str">
        <f>IFERROR(INDEX('G-1 All Habitats'!$B$3:$B$129,MATCH(R129,'G-1 All Habitats'!$A$3:$A$129,0)),"")</f>
        <v/>
      </c>
      <c r="T129" s="507" t="str">
        <f t="shared" si="16"/>
        <v/>
      </c>
      <c r="U129" s="524" t="str">
        <f t="shared" si="17"/>
        <v/>
      </c>
      <c r="V129" s="523" t="str">
        <f t="shared" si="14"/>
        <v/>
      </c>
      <c r="W129" s="520" t="str">
        <f>IF(S129="","",VLOOKUP(S129,'G-1 All Habitats'!$B$2:$M$129,10,FALSE))</f>
        <v/>
      </c>
      <c r="X129" s="520" t="str">
        <f>IFERROR(VLOOKUP(W129,'G-1 All Habitats'!$V$3:$W$7,2,FALSE),"")</f>
        <v/>
      </c>
      <c r="Y129" s="203"/>
      <c r="Z129" s="524" t="str">
        <f>IFERROR(INDEX('G-8 Condition Look up'!$A$3:$H$130,MATCH(S129,'G-8 Condition Look up'!$A$3:$A$130,0),MATCH(Y129,'G-8 Condition Look up'!$A$3:$H$3,0)),"")</f>
        <v/>
      </c>
      <c r="AA129" s="145"/>
      <c r="AB129" s="540" t="str">
        <f>IF(AA129="","",IF(VLOOKUP(AA129,'G-3 Multipliers'!$L$3:$N$6,2,FALSE)=0,"Spatial Data Missing ⚠",VLOOKUP(AA129,'G-3 Multipliers'!$L$3:$N$6,2,FALSE)))</f>
        <v/>
      </c>
      <c r="AC129" s="524" t="str">
        <f>IF(AA129="","",IF(VLOOKUP(AA129,'G-3 Multipliers'!$L$3:$N$6,3,FALSE)=0,"Spatial Data Missing ⚠",VLOOKUP(AA129,'G-3 Multipliers'!$L$3:$N$6,3,FALSE)))</f>
        <v/>
      </c>
      <c r="AD129" s="537" t="str">
        <f t="shared" si="15"/>
        <v/>
      </c>
      <c r="AE129" s="203"/>
      <c r="AF129" s="203"/>
      <c r="AG129" s="520" t="str">
        <f t="shared" si="18"/>
        <v/>
      </c>
      <c r="AH129" s="544" t="str">
        <f t="shared" si="19"/>
        <v/>
      </c>
      <c r="AI129" s="525" t="str">
        <f>IF(AH129="Check Data ⚠","Check Data ⚠",IFERROR(VLOOKUP(AH129,'G-4 Temporal multipliers'!$A$4:$C$36,3,FALSE),""))</f>
        <v/>
      </c>
      <c r="AJ129" s="537" t="str">
        <f>IF(S129="","",VLOOKUP(S129,'G-3 Multipliers'!$A$2:$E$129,4,FALSE))</f>
        <v/>
      </c>
      <c r="AK129" s="520" t="str">
        <f t="shared" si="20"/>
        <v/>
      </c>
      <c r="AL129" s="520" t="str">
        <f t="shared" si="21"/>
        <v/>
      </c>
      <c r="AM129" s="524" t="str">
        <f>IFERROR(IF(F129="","",IF(AH129="Check Data ⚠","Check Data ⚠",VLOOKUP(AL129, 'G-3 Multipliers'!$P$2:$Q$6,2,FALSE))),"")</f>
        <v/>
      </c>
      <c r="AN129" s="197"/>
      <c r="AO129" s="540" t="str">
        <f>IF(AN129="","",IF(VLOOKUP(AN129,'G-3 Multipliers'!$S$3:$T$9,2,FALSE)=0,"Spatial Data Missing ⚠",VLOOKUP(AN129,'G-3 Multipliers'!$S$3:$T$9,2,FALSE)))</f>
        <v/>
      </c>
      <c r="AP129" s="513" t="str">
        <f t="shared" si="22"/>
        <v/>
      </c>
      <c r="AQ129" s="231"/>
      <c r="AR129" s="150"/>
    </row>
    <row r="130" spans="1:44" x14ac:dyDescent="0.3">
      <c r="A130" s="31" t="str">
        <f>IF(E130="","",IF(ISNA(VLOOKUP($E130,'D-1 Off Site Habitat Baseline'!$D$1:$O$258,2,FALSE)),"",(VLOOKUP($E130,'D-1 Off Site Habitat Baseline'!$D$1:$O$258,2,FALSE))))</f>
        <v/>
      </c>
      <c r="B130" s="31" t="str">
        <f>IF(E130="","",IF(ISNA(VLOOKUP($E130,'D-1 Off Site Habitat Baseline'!$D$1:$O$258,3,FALSE)),"",(VLOOKUP($E130,'D-1 Off Site Habitat Baseline'!$D$1:$O$258,3,FALSE))))</f>
        <v/>
      </c>
      <c r="C130" s="31" t="str">
        <f>IFERROR(INDEX('G-8 Condition Look up'!$I$4:$I$130,MATCH(S130,'G-8 Condition Look up'!$A$4:$A$130,0)),"")</f>
        <v/>
      </c>
      <c r="E130" s="547" t="str">
        <f>'D-1 Off Site Habitat Baseline'!AL129</f>
        <v/>
      </c>
      <c r="F130" s="520" t="str">
        <f>IF(E130="","",IF(ISNA(VLOOKUP($E130,'D-1 Off Site Habitat Baseline'!$D$1:$O$258,4,FALSE)),"",(VLOOKUP($E130,'D-1 Off Site Habitat Baseline'!$D$1:$O$258,4,FALSE))))</f>
        <v/>
      </c>
      <c r="G130" s="520" t="str">
        <f>IF(E130="","",IF(ISNA(VLOOKUP($E130,'D-1 Off Site Habitat Baseline'!$D$1:$O$258,5,FALSE)),"",(VLOOKUP($E130,'D-1 Off Site Habitat Baseline'!$D$1:$O$258,5,FALSE))))</f>
        <v/>
      </c>
      <c r="H130" s="520" t="str">
        <f>IF(E130="","",IF(ISNA(VLOOKUP($E130,'D-1 Off Site Habitat Baseline'!$D$1:$O$258,6,FALSE)),"",(VLOOKUP($E130,'D-1 Off Site Habitat Baseline'!$D$1:$O$258,6,FALSE))))</f>
        <v/>
      </c>
      <c r="I130" s="520" t="str">
        <f>IF(E130="","",IF(ISNA(VLOOKUP($E130,'D-1 Off Site Habitat Baseline'!$D$1:$O$258,7,FALSE)),"",(VLOOKUP($E130,'D-1 Off Site Habitat Baseline'!$D$1:$O$258,7,FALSE))))</f>
        <v/>
      </c>
      <c r="J130" s="520" t="str">
        <f>IF(E130="","",IF(ISNA(VLOOKUP($E130,'D-1 Off Site Habitat Baseline'!$D$1:$O$258,8,FALSE)),"",(VLOOKUP($E130,'D-1 Off Site Habitat Baseline'!$D$1:$O$258,8,FALSE))))</f>
        <v/>
      </c>
      <c r="K130" s="520" t="str">
        <f>IF(E130="","",IF(ISNA(VLOOKUP($E130,'D-1 Off Site Habitat Baseline'!$D$1:$O$258,9,FALSE)),"",(VLOOKUP($E130,'D-1 Off Site Habitat Baseline'!$D$1:$O$258,9,FALSE))))</f>
        <v/>
      </c>
      <c r="L130" s="520" t="str">
        <f>IF(E130="","",IF(ISNA(VLOOKUP($E130,'D-1 Off Site Habitat Baseline'!$D$1:$O$258,11,FALSE)),"",(VLOOKUP($E130,'D-1 Off Site Habitat Baseline'!$D$1:$O$258,11,FALSE))))</f>
        <v/>
      </c>
      <c r="M130" s="520" t="str">
        <f>IF(E130="","",IF(ISNA(VLOOKUP($E130,'D-1 Off Site Habitat Baseline'!$D$1:$O$258,12,FALSE)),"",(VLOOKUP($E130,'D-1 Off Site Habitat Baseline'!$D$1:$O$258,12,FALSE))))</f>
        <v/>
      </c>
      <c r="N130" s="520" t="str">
        <f>IF(E130="","",IF(ISNA(VLOOKUP($E130,'D-1 Off Site Habitat Baseline'!$D$1:$X$258,14,FALSE)),"",(VLOOKUP($E130,'D-1 Off Site Habitat Baseline'!$D$1:$X$258,14,FALSE))))</f>
        <v/>
      </c>
      <c r="O130" s="524" t="str">
        <f>IF(E130="","",IF(ISNA(VLOOKUP($E130,'D-1 Off Site Habitat Baseline'!$D$1:$X$258,13,FALSE)),"",(VLOOKUP($E130,'D-1 Off Site Habitat Baseline'!$D$1:$X$258,13,FALSE))))</f>
        <v/>
      </c>
      <c r="P130" s="232" t="str">
        <f>IFERROR(INDEX('G-1 All Habitats'!$AG$3:$AG$15,MATCH(Q130,'G-1 All Habitats'!$AF$3:$AF$15,0)),"")</f>
        <v/>
      </c>
      <c r="Q130" s="228" t="str">
        <f t="shared" si="23"/>
        <v/>
      </c>
      <c r="R130" s="229" t="str">
        <f t="shared" si="24"/>
        <v/>
      </c>
      <c r="S130" s="233" t="str">
        <f>IFERROR(INDEX('G-1 All Habitats'!$B$3:$B$129,MATCH(R130,'G-1 All Habitats'!$A$3:$A$129,0)),"")</f>
        <v/>
      </c>
      <c r="T130" s="507" t="str">
        <f t="shared" si="16"/>
        <v/>
      </c>
      <c r="U130" s="524" t="str">
        <f t="shared" si="17"/>
        <v/>
      </c>
      <c r="V130" s="523" t="str">
        <f t="shared" si="14"/>
        <v/>
      </c>
      <c r="W130" s="520" t="str">
        <f>IF(S130="","",VLOOKUP(S130,'G-1 All Habitats'!$B$2:$M$129,10,FALSE))</f>
        <v/>
      </c>
      <c r="X130" s="520" t="str">
        <f>IFERROR(VLOOKUP(W130,'G-1 All Habitats'!$V$3:$W$7,2,FALSE),"")</f>
        <v/>
      </c>
      <c r="Y130" s="203"/>
      <c r="Z130" s="524" t="str">
        <f>IFERROR(INDEX('G-8 Condition Look up'!$A$3:$H$130,MATCH(S130,'G-8 Condition Look up'!$A$3:$A$130,0),MATCH(Y130,'G-8 Condition Look up'!$A$3:$H$3,0)),"")</f>
        <v/>
      </c>
      <c r="AA130" s="145"/>
      <c r="AB130" s="540" t="str">
        <f>IF(AA130="","",IF(VLOOKUP(AA130,'G-3 Multipliers'!$L$3:$N$6,2,FALSE)=0,"Spatial Data Missing ⚠",VLOOKUP(AA130,'G-3 Multipliers'!$L$3:$N$6,2,FALSE)))</f>
        <v/>
      </c>
      <c r="AC130" s="524" t="str">
        <f>IF(AA130="","",IF(VLOOKUP(AA130,'G-3 Multipliers'!$L$3:$N$6,3,FALSE)=0,"Spatial Data Missing ⚠",VLOOKUP(AA130,'G-3 Multipliers'!$L$3:$N$6,3,FALSE)))</f>
        <v/>
      </c>
      <c r="AD130" s="537" t="str">
        <f t="shared" si="15"/>
        <v/>
      </c>
      <c r="AE130" s="203"/>
      <c r="AF130" s="203"/>
      <c r="AG130" s="520" t="str">
        <f t="shared" si="18"/>
        <v/>
      </c>
      <c r="AH130" s="544" t="str">
        <f t="shared" si="19"/>
        <v/>
      </c>
      <c r="AI130" s="525" t="str">
        <f>IF(AH130="Check Data ⚠","Check Data ⚠",IFERROR(VLOOKUP(AH130,'G-4 Temporal multipliers'!$A$4:$C$36,3,FALSE),""))</f>
        <v/>
      </c>
      <c r="AJ130" s="537" t="str">
        <f>IF(S130="","",VLOOKUP(S130,'G-3 Multipliers'!$A$2:$E$129,4,FALSE))</f>
        <v/>
      </c>
      <c r="AK130" s="520" t="str">
        <f t="shared" si="20"/>
        <v/>
      </c>
      <c r="AL130" s="520" t="str">
        <f t="shared" si="21"/>
        <v/>
      </c>
      <c r="AM130" s="524" t="str">
        <f>IFERROR(IF(F130="","",IF(AH130="Check Data ⚠","Check Data ⚠",VLOOKUP(AL130, 'G-3 Multipliers'!$P$2:$Q$6,2,FALSE))),"")</f>
        <v/>
      </c>
      <c r="AN130" s="197"/>
      <c r="AO130" s="540" t="str">
        <f>IF(AN130="","",IF(VLOOKUP(AN130,'G-3 Multipliers'!$S$3:$T$9,2,FALSE)=0,"Spatial Data Missing ⚠",VLOOKUP(AN130,'G-3 Multipliers'!$S$3:$T$9,2,FALSE)))</f>
        <v/>
      </c>
      <c r="AP130" s="513" t="str">
        <f t="shared" si="22"/>
        <v/>
      </c>
      <c r="AQ130" s="231"/>
      <c r="AR130" s="150"/>
    </row>
    <row r="131" spans="1:44" x14ac:dyDescent="0.3">
      <c r="A131" s="31" t="str">
        <f>IF(E131="","",IF(ISNA(VLOOKUP($E131,'D-1 Off Site Habitat Baseline'!$D$1:$O$258,2,FALSE)),"",(VLOOKUP($E131,'D-1 Off Site Habitat Baseline'!$D$1:$O$258,2,FALSE))))</f>
        <v/>
      </c>
      <c r="B131" s="31" t="str">
        <f>IF(E131="","",IF(ISNA(VLOOKUP($E131,'D-1 Off Site Habitat Baseline'!$D$1:$O$258,3,FALSE)),"",(VLOOKUP($E131,'D-1 Off Site Habitat Baseline'!$D$1:$O$258,3,FALSE))))</f>
        <v/>
      </c>
      <c r="C131" s="31" t="str">
        <f>IFERROR(INDEX('G-8 Condition Look up'!$I$4:$I$130,MATCH(S131,'G-8 Condition Look up'!$A$4:$A$130,0)),"")</f>
        <v/>
      </c>
      <c r="E131" s="547" t="str">
        <f>'D-1 Off Site Habitat Baseline'!AL130</f>
        <v/>
      </c>
      <c r="F131" s="520" t="str">
        <f>IF(E131="","",IF(ISNA(VLOOKUP($E131,'D-1 Off Site Habitat Baseline'!$D$1:$O$258,4,FALSE)),"",(VLOOKUP($E131,'D-1 Off Site Habitat Baseline'!$D$1:$O$258,4,FALSE))))</f>
        <v/>
      </c>
      <c r="G131" s="520" t="str">
        <f>IF(E131="","",IF(ISNA(VLOOKUP($E131,'D-1 Off Site Habitat Baseline'!$D$1:$O$258,5,FALSE)),"",(VLOOKUP($E131,'D-1 Off Site Habitat Baseline'!$D$1:$O$258,5,FALSE))))</f>
        <v/>
      </c>
      <c r="H131" s="520" t="str">
        <f>IF(E131="","",IF(ISNA(VLOOKUP($E131,'D-1 Off Site Habitat Baseline'!$D$1:$O$258,6,FALSE)),"",(VLOOKUP($E131,'D-1 Off Site Habitat Baseline'!$D$1:$O$258,6,FALSE))))</f>
        <v/>
      </c>
      <c r="I131" s="520" t="str">
        <f>IF(E131="","",IF(ISNA(VLOOKUP($E131,'D-1 Off Site Habitat Baseline'!$D$1:$O$258,7,FALSE)),"",(VLOOKUP($E131,'D-1 Off Site Habitat Baseline'!$D$1:$O$258,7,FALSE))))</f>
        <v/>
      </c>
      <c r="J131" s="520" t="str">
        <f>IF(E131="","",IF(ISNA(VLOOKUP($E131,'D-1 Off Site Habitat Baseline'!$D$1:$O$258,8,FALSE)),"",(VLOOKUP($E131,'D-1 Off Site Habitat Baseline'!$D$1:$O$258,8,FALSE))))</f>
        <v/>
      </c>
      <c r="K131" s="520" t="str">
        <f>IF(E131="","",IF(ISNA(VLOOKUP($E131,'D-1 Off Site Habitat Baseline'!$D$1:$O$258,9,FALSE)),"",(VLOOKUP($E131,'D-1 Off Site Habitat Baseline'!$D$1:$O$258,9,FALSE))))</f>
        <v/>
      </c>
      <c r="L131" s="520" t="str">
        <f>IF(E131="","",IF(ISNA(VLOOKUP($E131,'D-1 Off Site Habitat Baseline'!$D$1:$O$258,11,FALSE)),"",(VLOOKUP($E131,'D-1 Off Site Habitat Baseline'!$D$1:$O$258,11,FALSE))))</f>
        <v/>
      </c>
      <c r="M131" s="520" t="str">
        <f>IF(E131="","",IF(ISNA(VLOOKUP($E131,'D-1 Off Site Habitat Baseline'!$D$1:$O$258,12,FALSE)),"",(VLOOKUP($E131,'D-1 Off Site Habitat Baseline'!$D$1:$O$258,12,FALSE))))</f>
        <v/>
      </c>
      <c r="N131" s="520" t="str">
        <f>IF(E131="","",IF(ISNA(VLOOKUP($E131,'D-1 Off Site Habitat Baseline'!$D$1:$X$258,14,FALSE)),"",(VLOOKUP($E131,'D-1 Off Site Habitat Baseline'!$D$1:$X$258,14,FALSE))))</f>
        <v/>
      </c>
      <c r="O131" s="524" t="str">
        <f>IF(E131="","",IF(ISNA(VLOOKUP($E131,'D-1 Off Site Habitat Baseline'!$D$1:$X$258,13,FALSE)),"",(VLOOKUP($E131,'D-1 Off Site Habitat Baseline'!$D$1:$X$258,13,FALSE))))</f>
        <v/>
      </c>
      <c r="P131" s="232" t="str">
        <f>IFERROR(INDEX('G-1 All Habitats'!$AG$3:$AG$15,MATCH(Q131,'G-1 All Habitats'!$AF$3:$AF$15,0)),"")</f>
        <v/>
      </c>
      <c r="Q131" s="228" t="str">
        <f t="shared" si="23"/>
        <v/>
      </c>
      <c r="R131" s="229" t="str">
        <f t="shared" si="24"/>
        <v/>
      </c>
      <c r="S131" s="233" t="str">
        <f>IFERROR(INDEX('G-1 All Habitats'!$B$3:$B$129,MATCH(R131,'G-1 All Habitats'!$A$3:$A$129,0)),"")</f>
        <v/>
      </c>
      <c r="T131" s="507" t="str">
        <f t="shared" si="16"/>
        <v/>
      </c>
      <c r="U131" s="524" t="str">
        <f t="shared" si="17"/>
        <v/>
      </c>
      <c r="V131" s="523" t="str">
        <f t="shared" si="14"/>
        <v/>
      </c>
      <c r="W131" s="520" t="str">
        <f>IF(S131="","",VLOOKUP(S131,'G-1 All Habitats'!$B$2:$M$129,10,FALSE))</f>
        <v/>
      </c>
      <c r="X131" s="520" t="str">
        <f>IFERROR(VLOOKUP(W131,'G-1 All Habitats'!$V$3:$W$7,2,FALSE),"")</f>
        <v/>
      </c>
      <c r="Y131" s="203"/>
      <c r="Z131" s="524" t="str">
        <f>IFERROR(INDEX('G-8 Condition Look up'!$A$3:$H$130,MATCH(S131,'G-8 Condition Look up'!$A$3:$A$130,0),MATCH(Y131,'G-8 Condition Look up'!$A$3:$H$3,0)),"")</f>
        <v/>
      </c>
      <c r="AA131" s="145"/>
      <c r="AB131" s="540" t="str">
        <f>IF(AA131="","",IF(VLOOKUP(AA131,'G-3 Multipliers'!$L$3:$N$6,2,FALSE)=0,"Spatial Data Missing ⚠",VLOOKUP(AA131,'G-3 Multipliers'!$L$3:$N$6,2,FALSE)))</f>
        <v/>
      </c>
      <c r="AC131" s="524" t="str">
        <f>IF(AA131="","",IF(VLOOKUP(AA131,'G-3 Multipliers'!$L$3:$N$6,3,FALSE)=0,"Spatial Data Missing ⚠",VLOOKUP(AA131,'G-3 Multipliers'!$L$3:$N$6,3,FALSE)))</f>
        <v/>
      </c>
      <c r="AD131" s="537" t="str">
        <f t="shared" si="15"/>
        <v/>
      </c>
      <c r="AE131" s="203"/>
      <c r="AF131" s="203"/>
      <c r="AG131" s="520" t="str">
        <f t="shared" si="18"/>
        <v/>
      </c>
      <c r="AH131" s="544" t="str">
        <f t="shared" si="19"/>
        <v/>
      </c>
      <c r="AI131" s="525" t="str">
        <f>IF(AH131="Check Data ⚠","Check Data ⚠",IFERROR(VLOOKUP(AH131,'G-4 Temporal multipliers'!$A$4:$C$36,3,FALSE),""))</f>
        <v/>
      </c>
      <c r="AJ131" s="537" t="str">
        <f>IF(S131="","",VLOOKUP(S131,'G-3 Multipliers'!$A$2:$E$129,4,FALSE))</f>
        <v/>
      </c>
      <c r="AK131" s="520" t="str">
        <f t="shared" si="20"/>
        <v/>
      </c>
      <c r="AL131" s="520" t="str">
        <f t="shared" si="21"/>
        <v/>
      </c>
      <c r="AM131" s="524" t="str">
        <f>IFERROR(IF(F131="","",IF(AH131="Check Data ⚠","Check Data ⚠",VLOOKUP(AL131, 'G-3 Multipliers'!$P$2:$Q$6,2,FALSE))),"")</f>
        <v/>
      </c>
      <c r="AN131" s="197"/>
      <c r="AO131" s="540" t="str">
        <f>IF(AN131="","",IF(VLOOKUP(AN131,'G-3 Multipliers'!$S$3:$T$9,2,FALSE)=0,"Spatial Data Missing ⚠",VLOOKUP(AN131,'G-3 Multipliers'!$S$3:$T$9,2,FALSE)))</f>
        <v/>
      </c>
      <c r="AP131" s="513" t="str">
        <f t="shared" si="22"/>
        <v/>
      </c>
      <c r="AQ131" s="231"/>
      <c r="AR131" s="150"/>
    </row>
    <row r="132" spans="1:44" x14ac:dyDescent="0.3">
      <c r="A132" s="31" t="str">
        <f>IF(E132="","",IF(ISNA(VLOOKUP($E132,'D-1 Off Site Habitat Baseline'!$D$1:$O$258,2,FALSE)),"",(VLOOKUP($E132,'D-1 Off Site Habitat Baseline'!$D$1:$O$258,2,FALSE))))</f>
        <v/>
      </c>
      <c r="B132" s="31" t="str">
        <f>IF(E132="","",IF(ISNA(VLOOKUP($E132,'D-1 Off Site Habitat Baseline'!$D$1:$O$258,3,FALSE)),"",(VLOOKUP($E132,'D-1 Off Site Habitat Baseline'!$D$1:$O$258,3,FALSE))))</f>
        <v/>
      </c>
      <c r="C132" s="31" t="str">
        <f>IFERROR(INDEX('G-8 Condition Look up'!$I$4:$I$130,MATCH(S132,'G-8 Condition Look up'!$A$4:$A$130,0)),"")</f>
        <v/>
      </c>
      <c r="E132" s="547" t="str">
        <f>'D-1 Off Site Habitat Baseline'!AL131</f>
        <v/>
      </c>
      <c r="F132" s="520" t="str">
        <f>IF(E132="","",IF(ISNA(VLOOKUP($E132,'D-1 Off Site Habitat Baseline'!$D$1:$O$258,4,FALSE)),"",(VLOOKUP($E132,'D-1 Off Site Habitat Baseline'!$D$1:$O$258,4,FALSE))))</f>
        <v/>
      </c>
      <c r="G132" s="520" t="str">
        <f>IF(E132="","",IF(ISNA(VLOOKUP($E132,'D-1 Off Site Habitat Baseline'!$D$1:$O$258,5,FALSE)),"",(VLOOKUP($E132,'D-1 Off Site Habitat Baseline'!$D$1:$O$258,5,FALSE))))</f>
        <v/>
      </c>
      <c r="H132" s="520" t="str">
        <f>IF(E132="","",IF(ISNA(VLOOKUP($E132,'D-1 Off Site Habitat Baseline'!$D$1:$O$258,6,FALSE)),"",(VLOOKUP($E132,'D-1 Off Site Habitat Baseline'!$D$1:$O$258,6,FALSE))))</f>
        <v/>
      </c>
      <c r="I132" s="520" t="str">
        <f>IF(E132="","",IF(ISNA(VLOOKUP($E132,'D-1 Off Site Habitat Baseline'!$D$1:$O$258,7,FALSE)),"",(VLOOKUP($E132,'D-1 Off Site Habitat Baseline'!$D$1:$O$258,7,FALSE))))</f>
        <v/>
      </c>
      <c r="J132" s="520" t="str">
        <f>IF(E132="","",IF(ISNA(VLOOKUP($E132,'D-1 Off Site Habitat Baseline'!$D$1:$O$258,8,FALSE)),"",(VLOOKUP($E132,'D-1 Off Site Habitat Baseline'!$D$1:$O$258,8,FALSE))))</f>
        <v/>
      </c>
      <c r="K132" s="520" t="str">
        <f>IF(E132="","",IF(ISNA(VLOOKUP($E132,'D-1 Off Site Habitat Baseline'!$D$1:$O$258,9,FALSE)),"",(VLOOKUP($E132,'D-1 Off Site Habitat Baseline'!$D$1:$O$258,9,FALSE))))</f>
        <v/>
      </c>
      <c r="L132" s="520" t="str">
        <f>IF(E132="","",IF(ISNA(VLOOKUP($E132,'D-1 Off Site Habitat Baseline'!$D$1:$O$258,11,FALSE)),"",(VLOOKUP($E132,'D-1 Off Site Habitat Baseline'!$D$1:$O$258,11,FALSE))))</f>
        <v/>
      </c>
      <c r="M132" s="520" t="str">
        <f>IF(E132="","",IF(ISNA(VLOOKUP($E132,'D-1 Off Site Habitat Baseline'!$D$1:$O$258,12,FALSE)),"",(VLOOKUP($E132,'D-1 Off Site Habitat Baseline'!$D$1:$O$258,12,FALSE))))</f>
        <v/>
      </c>
      <c r="N132" s="520" t="str">
        <f>IF(E132="","",IF(ISNA(VLOOKUP($E132,'D-1 Off Site Habitat Baseline'!$D$1:$X$258,14,FALSE)),"",(VLOOKUP($E132,'D-1 Off Site Habitat Baseline'!$D$1:$X$258,14,FALSE))))</f>
        <v/>
      </c>
      <c r="O132" s="524" t="str">
        <f>IF(E132="","",IF(ISNA(VLOOKUP($E132,'D-1 Off Site Habitat Baseline'!$D$1:$X$258,13,FALSE)),"",(VLOOKUP($E132,'D-1 Off Site Habitat Baseline'!$D$1:$X$258,13,FALSE))))</f>
        <v/>
      </c>
      <c r="P132" s="232" t="str">
        <f>IFERROR(INDEX('G-1 All Habitats'!$AG$3:$AG$15,MATCH(Q132,'G-1 All Habitats'!$AF$3:$AF$15,0)),"")</f>
        <v/>
      </c>
      <c r="Q132" s="228" t="str">
        <f t="shared" si="23"/>
        <v/>
      </c>
      <c r="R132" s="229" t="str">
        <f t="shared" si="24"/>
        <v/>
      </c>
      <c r="S132" s="233" t="str">
        <f>IFERROR(INDEX('G-1 All Habitats'!$B$3:$B$129,MATCH(R132,'G-1 All Habitats'!$A$3:$A$129,0)),"")</f>
        <v/>
      </c>
      <c r="T132" s="507" t="str">
        <f t="shared" si="16"/>
        <v/>
      </c>
      <c r="U132" s="524" t="str">
        <f t="shared" si="17"/>
        <v/>
      </c>
      <c r="V132" s="523" t="str">
        <f t="shared" si="14"/>
        <v/>
      </c>
      <c r="W132" s="520" t="str">
        <f>IF(S132="","",VLOOKUP(S132,'G-1 All Habitats'!$B$2:$M$129,10,FALSE))</f>
        <v/>
      </c>
      <c r="X132" s="520" t="str">
        <f>IFERROR(VLOOKUP(W132,'G-1 All Habitats'!$V$3:$W$7,2,FALSE),"")</f>
        <v/>
      </c>
      <c r="Y132" s="203"/>
      <c r="Z132" s="524" t="str">
        <f>IFERROR(INDEX('G-8 Condition Look up'!$A$3:$H$130,MATCH(S132,'G-8 Condition Look up'!$A$3:$A$130,0),MATCH(Y132,'G-8 Condition Look up'!$A$3:$H$3,0)),"")</f>
        <v/>
      </c>
      <c r="AA132" s="145"/>
      <c r="AB132" s="540" t="str">
        <f>IF(AA132="","",IF(VLOOKUP(AA132,'G-3 Multipliers'!$L$3:$N$6,2,FALSE)=0,"Spatial Data Missing ⚠",VLOOKUP(AA132,'G-3 Multipliers'!$L$3:$N$6,2,FALSE)))</f>
        <v/>
      </c>
      <c r="AC132" s="524" t="str">
        <f>IF(AA132="","",IF(VLOOKUP(AA132,'G-3 Multipliers'!$L$3:$N$6,3,FALSE)=0,"Spatial Data Missing ⚠",VLOOKUP(AA132,'G-3 Multipliers'!$L$3:$N$6,3,FALSE)))</f>
        <v/>
      </c>
      <c r="AD132" s="537" t="str">
        <f t="shared" si="15"/>
        <v/>
      </c>
      <c r="AE132" s="203"/>
      <c r="AF132" s="203"/>
      <c r="AG132" s="520" t="str">
        <f t="shared" si="18"/>
        <v/>
      </c>
      <c r="AH132" s="544" t="str">
        <f t="shared" si="19"/>
        <v/>
      </c>
      <c r="AI132" s="525" t="str">
        <f>IF(AH132="Check Data ⚠","Check Data ⚠",IFERROR(VLOOKUP(AH132,'G-4 Temporal multipliers'!$A$4:$C$36,3,FALSE),""))</f>
        <v/>
      </c>
      <c r="AJ132" s="537" t="str">
        <f>IF(S132="","",VLOOKUP(S132,'G-3 Multipliers'!$A$2:$E$129,4,FALSE))</f>
        <v/>
      </c>
      <c r="AK132" s="520" t="str">
        <f t="shared" si="20"/>
        <v/>
      </c>
      <c r="AL132" s="520" t="str">
        <f t="shared" si="21"/>
        <v/>
      </c>
      <c r="AM132" s="524" t="str">
        <f>IFERROR(IF(F132="","",IF(AH132="Check Data ⚠","Check Data ⚠",VLOOKUP(AL132, 'G-3 Multipliers'!$P$2:$Q$6,2,FALSE))),"")</f>
        <v/>
      </c>
      <c r="AN132" s="197"/>
      <c r="AO132" s="540" t="str">
        <f>IF(AN132="","",IF(VLOOKUP(AN132,'G-3 Multipliers'!$S$3:$T$9,2,FALSE)=0,"Spatial Data Missing ⚠",VLOOKUP(AN132,'G-3 Multipliers'!$S$3:$T$9,2,FALSE)))</f>
        <v/>
      </c>
      <c r="AP132" s="513" t="str">
        <f t="shared" si="22"/>
        <v/>
      </c>
      <c r="AQ132" s="231"/>
      <c r="AR132" s="150"/>
    </row>
    <row r="133" spans="1:44" x14ac:dyDescent="0.3">
      <c r="A133" s="31" t="str">
        <f>IF(E133="","",IF(ISNA(VLOOKUP($E133,'D-1 Off Site Habitat Baseline'!$D$1:$O$258,2,FALSE)),"",(VLOOKUP($E133,'D-1 Off Site Habitat Baseline'!$D$1:$O$258,2,FALSE))))</f>
        <v/>
      </c>
      <c r="B133" s="31" t="str">
        <f>IF(E133="","",IF(ISNA(VLOOKUP($E133,'D-1 Off Site Habitat Baseline'!$D$1:$O$258,3,FALSE)),"",(VLOOKUP($E133,'D-1 Off Site Habitat Baseline'!$D$1:$O$258,3,FALSE))))</f>
        <v/>
      </c>
      <c r="C133" s="31" t="str">
        <f>IFERROR(INDEX('G-8 Condition Look up'!$I$4:$I$130,MATCH(S133,'G-8 Condition Look up'!$A$4:$A$130,0)),"")</f>
        <v/>
      </c>
      <c r="E133" s="547" t="str">
        <f>'D-1 Off Site Habitat Baseline'!AL132</f>
        <v/>
      </c>
      <c r="F133" s="520" t="str">
        <f>IF(E133="","",IF(ISNA(VLOOKUP($E133,'D-1 Off Site Habitat Baseline'!$D$1:$O$258,4,FALSE)),"",(VLOOKUP($E133,'D-1 Off Site Habitat Baseline'!$D$1:$O$258,4,FALSE))))</f>
        <v/>
      </c>
      <c r="G133" s="520" t="str">
        <f>IF(E133="","",IF(ISNA(VLOOKUP($E133,'D-1 Off Site Habitat Baseline'!$D$1:$O$258,5,FALSE)),"",(VLOOKUP($E133,'D-1 Off Site Habitat Baseline'!$D$1:$O$258,5,FALSE))))</f>
        <v/>
      </c>
      <c r="H133" s="520" t="str">
        <f>IF(E133="","",IF(ISNA(VLOOKUP($E133,'D-1 Off Site Habitat Baseline'!$D$1:$O$258,6,FALSE)),"",(VLOOKUP($E133,'D-1 Off Site Habitat Baseline'!$D$1:$O$258,6,FALSE))))</f>
        <v/>
      </c>
      <c r="I133" s="520" t="str">
        <f>IF(E133="","",IF(ISNA(VLOOKUP($E133,'D-1 Off Site Habitat Baseline'!$D$1:$O$258,7,FALSE)),"",(VLOOKUP($E133,'D-1 Off Site Habitat Baseline'!$D$1:$O$258,7,FALSE))))</f>
        <v/>
      </c>
      <c r="J133" s="520" t="str">
        <f>IF(E133="","",IF(ISNA(VLOOKUP($E133,'D-1 Off Site Habitat Baseline'!$D$1:$O$258,8,FALSE)),"",(VLOOKUP($E133,'D-1 Off Site Habitat Baseline'!$D$1:$O$258,8,FALSE))))</f>
        <v/>
      </c>
      <c r="K133" s="520" t="str">
        <f>IF(E133="","",IF(ISNA(VLOOKUP($E133,'D-1 Off Site Habitat Baseline'!$D$1:$O$258,9,FALSE)),"",(VLOOKUP($E133,'D-1 Off Site Habitat Baseline'!$D$1:$O$258,9,FALSE))))</f>
        <v/>
      </c>
      <c r="L133" s="520" t="str">
        <f>IF(E133="","",IF(ISNA(VLOOKUP($E133,'D-1 Off Site Habitat Baseline'!$D$1:$O$258,11,FALSE)),"",(VLOOKUP($E133,'D-1 Off Site Habitat Baseline'!$D$1:$O$258,11,FALSE))))</f>
        <v/>
      </c>
      <c r="M133" s="520" t="str">
        <f>IF(E133="","",IF(ISNA(VLOOKUP($E133,'D-1 Off Site Habitat Baseline'!$D$1:$O$258,12,FALSE)),"",(VLOOKUP($E133,'D-1 Off Site Habitat Baseline'!$D$1:$O$258,12,FALSE))))</f>
        <v/>
      </c>
      <c r="N133" s="520" t="str">
        <f>IF(E133="","",IF(ISNA(VLOOKUP($E133,'D-1 Off Site Habitat Baseline'!$D$1:$X$258,14,FALSE)),"",(VLOOKUP($E133,'D-1 Off Site Habitat Baseline'!$D$1:$X$258,14,FALSE))))</f>
        <v/>
      </c>
      <c r="O133" s="524" t="str">
        <f>IF(E133="","",IF(ISNA(VLOOKUP($E133,'D-1 Off Site Habitat Baseline'!$D$1:$X$258,13,FALSE)),"",(VLOOKUP($E133,'D-1 Off Site Habitat Baseline'!$D$1:$X$258,13,FALSE))))</f>
        <v/>
      </c>
      <c r="P133" s="232" t="str">
        <f>IFERROR(INDEX('G-1 All Habitats'!$AG$3:$AG$15,MATCH(Q133,'G-1 All Habitats'!$AF$3:$AF$15,0)),"")</f>
        <v/>
      </c>
      <c r="Q133" s="228" t="str">
        <f t="shared" si="23"/>
        <v/>
      </c>
      <c r="R133" s="229" t="str">
        <f t="shared" si="24"/>
        <v/>
      </c>
      <c r="S133" s="233" t="str">
        <f>IFERROR(INDEX('G-1 All Habitats'!$B$3:$B$129,MATCH(R133,'G-1 All Habitats'!$A$3:$A$129,0)),"")</f>
        <v/>
      </c>
      <c r="T133" s="507" t="str">
        <f t="shared" si="16"/>
        <v/>
      </c>
      <c r="U133" s="524" t="str">
        <f t="shared" si="17"/>
        <v/>
      </c>
      <c r="V133" s="523" t="str">
        <f t="shared" si="14"/>
        <v/>
      </c>
      <c r="W133" s="520" t="str">
        <f>IF(S133="","",VLOOKUP(S133,'G-1 All Habitats'!$B$2:$M$129,10,FALSE))</f>
        <v/>
      </c>
      <c r="X133" s="520" t="str">
        <f>IFERROR(VLOOKUP(W133,'G-1 All Habitats'!$V$3:$W$7,2,FALSE),"")</f>
        <v/>
      </c>
      <c r="Y133" s="203"/>
      <c r="Z133" s="524" t="str">
        <f>IFERROR(INDEX('G-8 Condition Look up'!$A$3:$H$130,MATCH(S133,'G-8 Condition Look up'!$A$3:$A$130,0),MATCH(Y133,'G-8 Condition Look up'!$A$3:$H$3,0)),"")</f>
        <v/>
      </c>
      <c r="AA133" s="145"/>
      <c r="AB133" s="540" t="str">
        <f>IF(AA133="","",IF(VLOOKUP(AA133,'G-3 Multipliers'!$L$3:$N$6,2,FALSE)=0,"Spatial Data Missing ⚠",VLOOKUP(AA133,'G-3 Multipliers'!$L$3:$N$6,2,FALSE)))</f>
        <v/>
      </c>
      <c r="AC133" s="524" t="str">
        <f>IF(AA133="","",IF(VLOOKUP(AA133,'G-3 Multipliers'!$L$3:$N$6,3,FALSE)=0,"Spatial Data Missing ⚠",VLOOKUP(AA133,'G-3 Multipliers'!$L$3:$N$6,3,FALSE)))</f>
        <v/>
      </c>
      <c r="AD133" s="537" t="str">
        <f t="shared" si="15"/>
        <v/>
      </c>
      <c r="AE133" s="203"/>
      <c r="AF133" s="203"/>
      <c r="AG133" s="520" t="str">
        <f t="shared" si="18"/>
        <v/>
      </c>
      <c r="AH133" s="544" t="str">
        <f t="shared" si="19"/>
        <v/>
      </c>
      <c r="AI133" s="525" t="str">
        <f>IF(AH133="Check Data ⚠","Check Data ⚠",IFERROR(VLOOKUP(AH133,'G-4 Temporal multipliers'!$A$4:$C$36,3,FALSE),""))</f>
        <v/>
      </c>
      <c r="AJ133" s="537" t="str">
        <f>IF(S133="","",VLOOKUP(S133,'G-3 Multipliers'!$A$2:$E$129,4,FALSE))</f>
        <v/>
      </c>
      <c r="AK133" s="520" t="str">
        <f t="shared" si="20"/>
        <v/>
      </c>
      <c r="AL133" s="520" t="str">
        <f t="shared" si="21"/>
        <v/>
      </c>
      <c r="AM133" s="524" t="str">
        <f>IFERROR(IF(F133="","",IF(AH133="Check Data ⚠","Check Data ⚠",VLOOKUP(AL133, 'G-3 Multipliers'!$P$2:$Q$6,2,FALSE))),"")</f>
        <v/>
      </c>
      <c r="AN133" s="197"/>
      <c r="AO133" s="540" t="str">
        <f>IF(AN133="","",IF(VLOOKUP(AN133,'G-3 Multipliers'!$S$3:$T$9,2,FALSE)=0,"Spatial Data Missing ⚠",VLOOKUP(AN133,'G-3 Multipliers'!$S$3:$T$9,2,FALSE)))</f>
        <v/>
      </c>
      <c r="AP133" s="513" t="str">
        <f t="shared" si="22"/>
        <v/>
      </c>
      <c r="AQ133" s="231"/>
      <c r="AR133" s="150"/>
    </row>
    <row r="134" spans="1:44" x14ac:dyDescent="0.3">
      <c r="A134" s="31" t="str">
        <f>IF(E134="","",IF(ISNA(VLOOKUP($E134,'D-1 Off Site Habitat Baseline'!$D$1:$O$258,2,FALSE)),"",(VLOOKUP($E134,'D-1 Off Site Habitat Baseline'!$D$1:$O$258,2,FALSE))))</f>
        <v/>
      </c>
      <c r="B134" s="31" t="str">
        <f>IF(E134="","",IF(ISNA(VLOOKUP($E134,'D-1 Off Site Habitat Baseline'!$D$1:$O$258,3,FALSE)),"",(VLOOKUP($E134,'D-1 Off Site Habitat Baseline'!$D$1:$O$258,3,FALSE))))</f>
        <v/>
      </c>
      <c r="C134" s="31" t="str">
        <f>IFERROR(INDEX('G-8 Condition Look up'!$I$4:$I$130,MATCH(S134,'G-8 Condition Look up'!$A$4:$A$130,0)),"")</f>
        <v/>
      </c>
      <c r="E134" s="547" t="str">
        <f>'D-1 Off Site Habitat Baseline'!AL133</f>
        <v/>
      </c>
      <c r="F134" s="520" t="str">
        <f>IF(E134="","",IF(ISNA(VLOOKUP($E134,'D-1 Off Site Habitat Baseline'!$D$1:$O$258,4,FALSE)),"",(VLOOKUP($E134,'D-1 Off Site Habitat Baseline'!$D$1:$O$258,4,FALSE))))</f>
        <v/>
      </c>
      <c r="G134" s="520" t="str">
        <f>IF(E134="","",IF(ISNA(VLOOKUP($E134,'D-1 Off Site Habitat Baseline'!$D$1:$O$258,5,FALSE)),"",(VLOOKUP($E134,'D-1 Off Site Habitat Baseline'!$D$1:$O$258,5,FALSE))))</f>
        <v/>
      </c>
      <c r="H134" s="520" t="str">
        <f>IF(E134="","",IF(ISNA(VLOOKUP($E134,'D-1 Off Site Habitat Baseline'!$D$1:$O$258,6,FALSE)),"",(VLOOKUP($E134,'D-1 Off Site Habitat Baseline'!$D$1:$O$258,6,FALSE))))</f>
        <v/>
      </c>
      <c r="I134" s="520" t="str">
        <f>IF(E134="","",IF(ISNA(VLOOKUP($E134,'D-1 Off Site Habitat Baseline'!$D$1:$O$258,7,FALSE)),"",(VLOOKUP($E134,'D-1 Off Site Habitat Baseline'!$D$1:$O$258,7,FALSE))))</f>
        <v/>
      </c>
      <c r="J134" s="520" t="str">
        <f>IF(E134="","",IF(ISNA(VLOOKUP($E134,'D-1 Off Site Habitat Baseline'!$D$1:$O$258,8,FALSE)),"",(VLOOKUP($E134,'D-1 Off Site Habitat Baseline'!$D$1:$O$258,8,FALSE))))</f>
        <v/>
      </c>
      <c r="K134" s="520" t="str">
        <f>IF(E134="","",IF(ISNA(VLOOKUP($E134,'D-1 Off Site Habitat Baseline'!$D$1:$O$258,9,FALSE)),"",(VLOOKUP($E134,'D-1 Off Site Habitat Baseline'!$D$1:$O$258,9,FALSE))))</f>
        <v/>
      </c>
      <c r="L134" s="520" t="str">
        <f>IF(E134="","",IF(ISNA(VLOOKUP($E134,'D-1 Off Site Habitat Baseline'!$D$1:$O$258,11,FALSE)),"",(VLOOKUP($E134,'D-1 Off Site Habitat Baseline'!$D$1:$O$258,11,FALSE))))</f>
        <v/>
      </c>
      <c r="M134" s="520" t="str">
        <f>IF(E134="","",IF(ISNA(VLOOKUP($E134,'D-1 Off Site Habitat Baseline'!$D$1:$O$258,12,FALSE)),"",(VLOOKUP($E134,'D-1 Off Site Habitat Baseline'!$D$1:$O$258,12,FALSE))))</f>
        <v/>
      </c>
      <c r="N134" s="520" t="str">
        <f>IF(E134="","",IF(ISNA(VLOOKUP($E134,'D-1 Off Site Habitat Baseline'!$D$1:$X$258,14,FALSE)),"",(VLOOKUP($E134,'D-1 Off Site Habitat Baseline'!$D$1:$X$258,14,FALSE))))</f>
        <v/>
      </c>
      <c r="O134" s="524" t="str">
        <f>IF(E134="","",IF(ISNA(VLOOKUP($E134,'D-1 Off Site Habitat Baseline'!$D$1:$X$258,13,FALSE)),"",(VLOOKUP($E134,'D-1 Off Site Habitat Baseline'!$D$1:$X$258,13,FALSE))))</f>
        <v/>
      </c>
      <c r="P134" s="232" t="str">
        <f>IFERROR(INDEX('G-1 All Habitats'!$AG$3:$AG$15,MATCH(Q134,'G-1 All Habitats'!$AF$3:$AF$15,0)),"")</f>
        <v/>
      </c>
      <c r="Q134" s="228" t="str">
        <f t="shared" si="23"/>
        <v/>
      </c>
      <c r="R134" s="229" t="str">
        <f t="shared" si="24"/>
        <v/>
      </c>
      <c r="S134" s="233" t="str">
        <f>IFERROR(INDEX('G-1 All Habitats'!$B$3:$B$129,MATCH(R134,'G-1 All Habitats'!$A$3:$A$129,0)),"")</f>
        <v/>
      </c>
      <c r="T134" s="507" t="str">
        <f t="shared" si="16"/>
        <v/>
      </c>
      <c r="U134" s="524" t="str">
        <f t="shared" si="17"/>
        <v/>
      </c>
      <c r="V134" s="523" t="str">
        <f t="shared" si="14"/>
        <v/>
      </c>
      <c r="W134" s="520" t="str">
        <f>IF(S134="","",VLOOKUP(S134,'G-1 All Habitats'!$B$2:$M$129,10,FALSE))</f>
        <v/>
      </c>
      <c r="X134" s="520" t="str">
        <f>IFERROR(VLOOKUP(W134,'G-1 All Habitats'!$V$3:$W$7,2,FALSE),"")</f>
        <v/>
      </c>
      <c r="Y134" s="203"/>
      <c r="Z134" s="524" t="str">
        <f>IFERROR(INDEX('G-8 Condition Look up'!$A$3:$H$130,MATCH(S134,'G-8 Condition Look up'!$A$3:$A$130,0),MATCH(Y134,'G-8 Condition Look up'!$A$3:$H$3,0)),"")</f>
        <v/>
      </c>
      <c r="AA134" s="145"/>
      <c r="AB134" s="540" t="str">
        <f>IF(AA134="","",IF(VLOOKUP(AA134,'G-3 Multipliers'!$L$3:$N$6,2,FALSE)=0,"Spatial Data Missing ⚠",VLOOKUP(AA134,'G-3 Multipliers'!$L$3:$N$6,2,FALSE)))</f>
        <v/>
      </c>
      <c r="AC134" s="524" t="str">
        <f>IF(AA134="","",IF(VLOOKUP(AA134,'G-3 Multipliers'!$L$3:$N$6,3,FALSE)=0,"Spatial Data Missing ⚠",VLOOKUP(AA134,'G-3 Multipliers'!$L$3:$N$6,3,FALSE)))</f>
        <v/>
      </c>
      <c r="AD134" s="537" t="str">
        <f t="shared" si="15"/>
        <v/>
      </c>
      <c r="AE134" s="203"/>
      <c r="AF134" s="203"/>
      <c r="AG134" s="520" t="str">
        <f t="shared" si="18"/>
        <v/>
      </c>
      <c r="AH134" s="544" t="str">
        <f t="shared" si="19"/>
        <v/>
      </c>
      <c r="AI134" s="525" t="str">
        <f>IF(AH134="Check Data ⚠","Check Data ⚠",IFERROR(VLOOKUP(AH134,'G-4 Temporal multipliers'!$A$4:$C$36,3,FALSE),""))</f>
        <v/>
      </c>
      <c r="AJ134" s="537" t="str">
        <f>IF(S134="","",VLOOKUP(S134,'G-3 Multipliers'!$A$2:$E$129,4,FALSE))</f>
        <v/>
      </c>
      <c r="AK134" s="520" t="str">
        <f t="shared" si="20"/>
        <v/>
      </c>
      <c r="AL134" s="520" t="str">
        <f t="shared" si="21"/>
        <v/>
      </c>
      <c r="AM134" s="524" t="str">
        <f>IFERROR(IF(F134="","",IF(AH134="Check Data ⚠","Check Data ⚠",VLOOKUP(AL134, 'G-3 Multipliers'!$P$2:$Q$6,2,FALSE))),"")</f>
        <v/>
      </c>
      <c r="AN134" s="197"/>
      <c r="AO134" s="540" t="str">
        <f>IF(AN134="","",IF(VLOOKUP(AN134,'G-3 Multipliers'!$S$3:$T$9,2,FALSE)=0,"Spatial Data Missing ⚠",VLOOKUP(AN134,'G-3 Multipliers'!$S$3:$T$9,2,FALSE)))</f>
        <v/>
      </c>
      <c r="AP134" s="513" t="str">
        <f t="shared" si="22"/>
        <v/>
      </c>
      <c r="AQ134" s="231"/>
      <c r="AR134" s="150"/>
    </row>
    <row r="135" spans="1:44" x14ac:dyDescent="0.3">
      <c r="A135" s="31" t="str">
        <f>IF(E135="","",IF(ISNA(VLOOKUP($E135,'D-1 Off Site Habitat Baseline'!$D$1:$O$258,2,FALSE)),"",(VLOOKUP($E135,'D-1 Off Site Habitat Baseline'!$D$1:$O$258,2,FALSE))))</f>
        <v/>
      </c>
      <c r="B135" s="31" t="str">
        <f>IF(E135="","",IF(ISNA(VLOOKUP($E135,'D-1 Off Site Habitat Baseline'!$D$1:$O$258,3,FALSE)),"",(VLOOKUP($E135,'D-1 Off Site Habitat Baseline'!$D$1:$O$258,3,FALSE))))</f>
        <v/>
      </c>
      <c r="C135" s="31" t="str">
        <f>IFERROR(INDEX('G-8 Condition Look up'!$I$4:$I$130,MATCH(S135,'G-8 Condition Look up'!$A$4:$A$130,0)),"")</f>
        <v/>
      </c>
      <c r="E135" s="547" t="str">
        <f>'D-1 Off Site Habitat Baseline'!AL134</f>
        <v/>
      </c>
      <c r="F135" s="520" t="str">
        <f>IF(E135="","",IF(ISNA(VLOOKUP($E135,'D-1 Off Site Habitat Baseline'!$D$1:$O$258,4,FALSE)),"",(VLOOKUP($E135,'D-1 Off Site Habitat Baseline'!$D$1:$O$258,4,FALSE))))</f>
        <v/>
      </c>
      <c r="G135" s="520" t="str">
        <f>IF(E135="","",IF(ISNA(VLOOKUP($E135,'D-1 Off Site Habitat Baseline'!$D$1:$O$258,5,FALSE)),"",(VLOOKUP($E135,'D-1 Off Site Habitat Baseline'!$D$1:$O$258,5,FALSE))))</f>
        <v/>
      </c>
      <c r="H135" s="520" t="str">
        <f>IF(E135="","",IF(ISNA(VLOOKUP($E135,'D-1 Off Site Habitat Baseline'!$D$1:$O$258,6,FALSE)),"",(VLOOKUP($E135,'D-1 Off Site Habitat Baseline'!$D$1:$O$258,6,FALSE))))</f>
        <v/>
      </c>
      <c r="I135" s="520" t="str">
        <f>IF(E135="","",IF(ISNA(VLOOKUP($E135,'D-1 Off Site Habitat Baseline'!$D$1:$O$258,7,FALSE)),"",(VLOOKUP($E135,'D-1 Off Site Habitat Baseline'!$D$1:$O$258,7,FALSE))))</f>
        <v/>
      </c>
      <c r="J135" s="520" t="str">
        <f>IF(E135="","",IF(ISNA(VLOOKUP($E135,'D-1 Off Site Habitat Baseline'!$D$1:$O$258,8,FALSE)),"",(VLOOKUP($E135,'D-1 Off Site Habitat Baseline'!$D$1:$O$258,8,FALSE))))</f>
        <v/>
      </c>
      <c r="K135" s="520" t="str">
        <f>IF(E135="","",IF(ISNA(VLOOKUP($E135,'D-1 Off Site Habitat Baseline'!$D$1:$O$258,9,FALSE)),"",(VLOOKUP($E135,'D-1 Off Site Habitat Baseline'!$D$1:$O$258,9,FALSE))))</f>
        <v/>
      </c>
      <c r="L135" s="520" t="str">
        <f>IF(E135="","",IF(ISNA(VLOOKUP($E135,'D-1 Off Site Habitat Baseline'!$D$1:$O$258,11,FALSE)),"",(VLOOKUP($E135,'D-1 Off Site Habitat Baseline'!$D$1:$O$258,11,FALSE))))</f>
        <v/>
      </c>
      <c r="M135" s="520" t="str">
        <f>IF(E135="","",IF(ISNA(VLOOKUP($E135,'D-1 Off Site Habitat Baseline'!$D$1:$O$258,12,FALSE)),"",(VLOOKUP($E135,'D-1 Off Site Habitat Baseline'!$D$1:$O$258,12,FALSE))))</f>
        <v/>
      </c>
      <c r="N135" s="520" t="str">
        <f>IF(E135="","",IF(ISNA(VLOOKUP($E135,'D-1 Off Site Habitat Baseline'!$D$1:$X$258,14,FALSE)),"",(VLOOKUP($E135,'D-1 Off Site Habitat Baseline'!$D$1:$X$258,14,FALSE))))</f>
        <v/>
      </c>
      <c r="O135" s="524" t="str">
        <f>IF(E135="","",IF(ISNA(VLOOKUP($E135,'D-1 Off Site Habitat Baseline'!$D$1:$X$258,13,FALSE)),"",(VLOOKUP($E135,'D-1 Off Site Habitat Baseline'!$D$1:$X$258,13,FALSE))))</f>
        <v/>
      </c>
      <c r="P135" s="232" t="str">
        <f>IFERROR(INDEX('G-1 All Habitats'!$AG$3:$AG$15,MATCH(Q135,'G-1 All Habitats'!$AF$3:$AF$15,0)),"")</f>
        <v/>
      </c>
      <c r="Q135" s="228" t="str">
        <f t="shared" si="23"/>
        <v/>
      </c>
      <c r="R135" s="229" t="str">
        <f t="shared" si="24"/>
        <v/>
      </c>
      <c r="S135" s="233" t="str">
        <f>IFERROR(INDEX('G-1 All Habitats'!$B$3:$B$129,MATCH(R135,'G-1 All Habitats'!$A$3:$A$129,0)),"")</f>
        <v/>
      </c>
      <c r="T135" s="507" t="str">
        <f t="shared" si="16"/>
        <v/>
      </c>
      <c r="U135" s="524" t="str">
        <f t="shared" si="17"/>
        <v/>
      </c>
      <c r="V135" s="523" t="str">
        <f t="shared" si="14"/>
        <v/>
      </c>
      <c r="W135" s="520" t="str">
        <f>IF(S135="","",VLOOKUP(S135,'G-1 All Habitats'!$B$2:$M$129,10,FALSE))</f>
        <v/>
      </c>
      <c r="X135" s="520" t="str">
        <f>IFERROR(VLOOKUP(W135,'G-1 All Habitats'!$V$3:$W$7,2,FALSE),"")</f>
        <v/>
      </c>
      <c r="Y135" s="203"/>
      <c r="Z135" s="524" t="str">
        <f>IFERROR(INDEX('G-8 Condition Look up'!$A$3:$H$130,MATCH(S135,'G-8 Condition Look up'!$A$3:$A$130,0),MATCH(Y135,'G-8 Condition Look up'!$A$3:$H$3,0)),"")</f>
        <v/>
      </c>
      <c r="AA135" s="145"/>
      <c r="AB135" s="540" t="str">
        <f>IF(AA135="","",IF(VLOOKUP(AA135,'G-3 Multipliers'!$L$3:$N$6,2,FALSE)=0,"Spatial Data Missing ⚠",VLOOKUP(AA135,'G-3 Multipliers'!$L$3:$N$6,2,FALSE)))</f>
        <v/>
      </c>
      <c r="AC135" s="524" t="str">
        <f>IF(AA135="","",IF(VLOOKUP(AA135,'G-3 Multipliers'!$L$3:$N$6,3,FALSE)=0,"Spatial Data Missing ⚠",VLOOKUP(AA135,'G-3 Multipliers'!$L$3:$N$6,3,FALSE)))</f>
        <v/>
      </c>
      <c r="AD135" s="537" t="str">
        <f t="shared" si="15"/>
        <v/>
      </c>
      <c r="AE135" s="203"/>
      <c r="AF135" s="203"/>
      <c r="AG135" s="520" t="str">
        <f t="shared" si="18"/>
        <v/>
      </c>
      <c r="AH135" s="544" t="str">
        <f t="shared" si="19"/>
        <v/>
      </c>
      <c r="AI135" s="525" t="str">
        <f>IF(AH135="Check Data ⚠","Check Data ⚠",IFERROR(VLOOKUP(AH135,'G-4 Temporal multipliers'!$A$4:$C$36,3,FALSE),""))</f>
        <v/>
      </c>
      <c r="AJ135" s="537" t="str">
        <f>IF(S135="","",VLOOKUP(S135,'G-3 Multipliers'!$A$2:$E$129,4,FALSE))</f>
        <v/>
      </c>
      <c r="AK135" s="520" t="str">
        <f t="shared" si="20"/>
        <v/>
      </c>
      <c r="AL135" s="520" t="str">
        <f t="shared" si="21"/>
        <v/>
      </c>
      <c r="AM135" s="524" t="str">
        <f>IFERROR(IF(F135="","",IF(AH135="Check Data ⚠","Check Data ⚠",VLOOKUP(AL135, 'G-3 Multipliers'!$P$2:$Q$6,2,FALSE))),"")</f>
        <v/>
      </c>
      <c r="AN135" s="197"/>
      <c r="AO135" s="540" t="str">
        <f>IF(AN135="","",IF(VLOOKUP(AN135,'G-3 Multipliers'!$S$3:$T$9,2,FALSE)=0,"Spatial Data Missing ⚠",VLOOKUP(AN135,'G-3 Multipliers'!$S$3:$T$9,2,FALSE)))</f>
        <v/>
      </c>
      <c r="AP135" s="513" t="str">
        <f t="shared" si="22"/>
        <v/>
      </c>
      <c r="AQ135" s="231"/>
      <c r="AR135" s="150"/>
    </row>
    <row r="136" spans="1:44" x14ac:dyDescent="0.3">
      <c r="A136" s="31" t="str">
        <f>IF(E136="","",IF(ISNA(VLOOKUP($E136,'D-1 Off Site Habitat Baseline'!$D$1:$O$258,2,FALSE)),"",(VLOOKUP($E136,'D-1 Off Site Habitat Baseline'!$D$1:$O$258,2,FALSE))))</f>
        <v/>
      </c>
      <c r="B136" s="31" t="str">
        <f>IF(E136="","",IF(ISNA(VLOOKUP($E136,'D-1 Off Site Habitat Baseline'!$D$1:$O$258,3,FALSE)),"",(VLOOKUP($E136,'D-1 Off Site Habitat Baseline'!$D$1:$O$258,3,FALSE))))</f>
        <v/>
      </c>
      <c r="C136" s="31" t="str">
        <f>IFERROR(INDEX('G-8 Condition Look up'!$I$4:$I$130,MATCH(S136,'G-8 Condition Look up'!$A$4:$A$130,0)),"")</f>
        <v/>
      </c>
      <c r="E136" s="547" t="str">
        <f>'D-1 Off Site Habitat Baseline'!AL135</f>
        <v/>
      </c>
      <c r="F136" s="520" t="str">
        <f>IF(E136="","",IF(ISNA(VLOOKUP($E136,'D-1 Off Site Habitat Baseline'!$D$1:$O$258,4,FALSE)),"",(VLOOKUP($E136,'D-1 Off Site Habitat Baseline'!$D$1:$O$258,4,FALSE))))</f>
        <v/>
      </c>
      <c r="G136" s="520" t="str">
        <f>IF(E136="","",IF(ISNA(VLOOKUP($E136,'D-1 Off Site Habitat Baseline'!$D$1:$O$258,5,FALSE)),"",(VLOOKUP($E136,'D-1 Off Site Habitat Baseline'!$D$1:$O$258,5,FALSE))))</f>
        <v/>
      </c>
      <c r="H136" s="520" t="str">
        <f>IF(E136="","",IF(ISNA(VLOOKUP($E136,'D-1 Off Site Habitat Baseline'!$D$1:$O$258,6,FALSE)),"",(VLOOKUP($E136,'D-1 Off Site Habitat Baseline'!$D$1:$O$258,6,FALSE))))</f>
        <v/>
      </c>
      <c r="I136" s="520" t="str">
        <f>IF(E136="","",IF(ISNA(VLOOKUP($E136,'D-1 Off Site Habitat Baseline'!$D$1:$O$258,7,FALSE)),"",(VLOOKUP($E136,'D-1 Off Site Habitat Baseline'!$D$1:$O$258,7,FALSE))))</f>
        <v/>
      </c>
      <c r="J136" s="520" t="str">
        <f>IF(E136="","",IF(ISNA(VLOOKUP($E136,'D-1 Off Site Habitat Baseline'!$D$1:$O$258,8,FALSE)),"",(VLOOKUP($E136,'D-1 Off Site Habitat Baseline'!$D$1:$O$258,8,FALSE))))</f>
        <v/>
      </c>
      <c r="K136" s="520" t="str">
        <f>IF(E136="","",IF(ISNA(VLOOKUP($E136,'D-1 Off Site Habitat Baseline'!$D$1:$O$258,9,FALSE)),"",(VLOOKUP($E136,'D-1 Off Site Habitat Baseline'!$D$1:$O$258,9,FALSE))))</f>
        <v/>
      </c>
      <c r="L136" s="520" t="str">
        <f>IF(E136="","",IF(ISNA(VLOOKUP($E136,'D-1 Off Site Habitat Baseline'!$D$1:$O$258,11,FALSE)),"",(VLOOKUP($E136,'D-1 Off Site Habitat Baseline'!$D$1:$O$258,11,FALSE))))</f>
        <v/>
      </c>
      <c r="M136" s="520" t="str">
        <f>IF(E136="","",IF(ISNA(VLOOKUP($E136,'D-1 Off Site Habitat Baseline'!$D$1:$O$258,12,FALSE)),"",(VLOOKUP($E136,'D-1 Off Site Habitat Baseline'!$D$1:$O$258,12,FALSE))))</f>
        <v/>
      </c>
      <c r="N136" s="520" t="str">
        <f>IF(E136="","",IF(ISNA(VLOOKUP($E136,'D-1 Off Site Habitat Baseline'!$D$1:$X$258,14,FALSE)),"",(VLOOKUP($E136,'D-1 Off Site Habitat Baseline'!$D$1:$X$258,14,FALSE))))</f>
        <v/>
      </c>
      <c r="O136" s="524" t="str">
        <f>IF(E136="","",IF(ISNA(VLOOKUP($E136,'D-1 Off Site Habitat Baseline'!$D$1:$X$258,13,FALSE)),"",(VLOOKUP($E136,'D-1 Off Site Habitat Baseline'!$D$1:$X$258,13,FALSE))))</f>
        <v/>
      </c>
      <c r="P136" s="232" t="str">
        <f>IFERROR(INDEX('G-1 All Habitats'!$AG$3:$AG$15,MATCH(Q136,'G-1 All Habitats'!$AF$3:$AF$15,0)),"")</f>
        <v/>
      </c>
      <c r="Q136" s="228" t="str">
        <f t="shared" si="23"/>
        <v/>
      </c>
      <c r="R136" s="229" t="str">
        <f t="shared" si="24"/>
        <v/>
      </c>
      <c r="S136" s="233" t="str">
        <f>IFERROR(INDEX('G-1 All Habitats'!$B$3:$B$129,MATCH(R136,'G-1 All Habitats'!$A$3:$A$129,0)),"")</f>
        <v/>
      </c>
      <c r="T136" s="507" t="str">
        <f t="shared" si="16"/>
        <v/>
      </c>
      <c r="U136" s="524" t="str">
        <f t="shared" si="17"/>
        <v/>
      </c>
      <c r="V136" s="523" t="str">
        <f t="shared" si="14"/>
        <v/>
      </c>
      <c r="W136" s="520" t="str">
        <f>IF(S136="","",VLOOKUP(S136,'G-1 All Habitats'!$B$2:$M$129,10,FALSE))</f>
        <v/>
      </c>
      <c r="X136" s="520" t="str">
        <f>IFERROR(VLOOKUP(W136,'G-1 All Habitats'!$V$3:$W$7,2,FALSE),"")</f>
        <v/>
      </c>
      <c r="Y136" s="203"/>
      <c r="Z136" s="524" t="str">
        <f>IFERROR(INDEX('G-8 Condition Look up'!$A$3:$H$130,MATCH(S136,'G-8 Condition Look up'!$A$3:$A$130,0),MATCH(Y136,'G-8 Condition Look up'!$A$3:$H$3,0)),"")</f>
        <v/>
      </c>
      <c r="AA136" s="145"/>
      <c r="AB136" s="540" t="str">
        <f>IF(AA136="","",IF(VLOOKUP(AA136,'G-3 Multipliers'!$L$3:$N$6,2,FALSE)=0,"Spatial Data Missing ⚠",VLOOKUP(AA136,'G-3 Multipliers'!$L$3:$N$6,2,FALSE)))</f>
        <v/>
      </c>
      <c r="AC136" s="524" t="str">
        <f>IF(AA136="","",IF(VLOOKUP(AA136,'G-3 Multipliers'!$L$3:$N$6,3,FALSE)=0,"Spatial Data Missing ⚠",VLOOKUP(AA136,'G-3 Multipliers'!$L$3:$N$6,3,FALSE)))</f>
        <v/>
      </c>
      <c r="AD136" s="537" t="str">
        <f t="shared" si="15"/>
        <v/>
      </c>
      <c r="AE136" s="203"/>
      <c r="AF136" s="203"/>
      <c r="AG136" s="520" t="str">
        <f t="shared" si="18"/>
        <v/>
      </c>
      <c r="AH136" s="544" t="str">
        <f t="shared" si="19"/>
        <v/>
      </c>
      <c r="AI136" s="525" t="str">
        <f>IF(AH136="Check Data ⚠","Check Data ⚠",IFERROR(VLOOKUP(AH136,'G-4 Temporal multipliers'!$A$4:$C$36,3,FALSE),""))</f>
        <v/>
      </c>
      <c r="AJ136" s="537" t="str">
        <f>IF(S136="","",VLOOKUP(S136,'G-3 Multipliers'!$A$2:$E$129,4,FALSE))</f>
        <v/>
      </c>
      <c r="AK136" s="520" t="str">
        <f t="shared" si="20"/>
        <v/>
      </c>
      <c r="AL136" s="520" t="str">
        <f t="shared" si="21"/>
        <v/>
      </c>
      <c r="AM136" s="524" t="str">
        <f>IFERROR(IF(F136="","",IF(AH136="Check Data ⚠","Check Data ⚠",VLOOKUP(AL136, 'G-3 Multipliers'!$P$2:$Q$6,2,FALSE))),"")</f>
        <v/>
      </c>
      <c r="AN136" s="197"/>
      <c r="AO136" s="540" t="str">
        <f>IF(AN136="","",IF(VLOOKUP(AN136,'G-3 Multipliers'!$S$3:$T$9,2,FALSE)=0,"Spatial Data Missing ⚠",VLOOKUP(AN136,'G-3 Multipliers'!$S$3:$T$9,2,FALSE)))</f>
        <v/>
      </c>
      <c r="AP136" s="513" t="str">
        <f t="shared" si="22"/>
        <v/>
      </c>
      <c r="AQ136" s="231"/>
      <c r="AR136" s="150"/>
    </row>
    <row r="137" spans="1:44" x14ac:dyDescent="0.3">
      <c r="A137" s="31" t="str">
        <f>IF(E137="","",IF(ISNA(VLOOKUP($E137,'D-1 Off Site Habitat Baseline'!$D$1:$O$258,2,FALSE)),"",(VLOOKUP($E137,'D-1 Off Site Habitat Baseline'!$D$1:$O$258,2,FALSE))))</f>
        <v/>
      </c>
      <c r="B137" s="31" t="str">
        <f>IF(E137="","",IF(ISNA(VLOOKUP($E137,'D-1 Off Site Habitat Baseline'!$D$1:$O$258,3,FALSE)),"",(VLOOKUP($E137,'D-1 Off Site Habitat Baseline'!$D$1:$O$258,3,FALSE))))</f>
        <v/>
      </c>
      <c r="C137" s="31" t="str">
        <f>IFERROR(INDEX('G-8 Condition Look up'!$I$4:$I$130,MATCH(S137,'G-8 Condition Look up'!$A$4:$A$130,0)),"")</f>
        <v/>
      </c>
      <c r="E137" s="547" t="str">
        <f>'D-1 Off Site Habitat Baseline'!AL136</f>
        <v/>
      </c>
      <c r="F137" s="520" t="str">
        <f>IF(E137="","",IF(ISNA(VLOOKUP($E137,'D-1 Off Site Habitat Baseline'!$D$1:$O$258,4,FALSE)),"",(VLOOKUP($E137,'D-1 Off Site Habitat Baseline'!$D$1:$O$258,4,FALSE))))</f>
        <v/>
      </c>
      <c r="G137" s="520" t="str">
        <f>IF(E137="","",IF(ISNA(VLOOKUP($E137,'D-1 Off Site Habitat Baseline'!$D$1:$O$258,5,FALSE)),"",(VLOOKUP($E137,'D-1 Off Site Habitat Baseline'!$D$1:$O$258,5,FALSE))))</f>
        <v/>
      </c>
      <c r="H137" s="520" t="str">
        <f>IF(E137="","",IF(ISNA(VLOOKUP($E137,'D-1 Off Site Habitat Baseline'!$D$1:$O$258,6,FALSE)),"",(VLOOKUP($E137,'D-1 Off Site Habitat Baseline'!$D$1:$O$258,6,FALSE))))</f>
        <v/>
      </c>
      <c r="I137" s="520" t="str">
        <f>IF(E137="","",IF(ISNA(VLOOKUP($E137,'D-1 Off Site Habitat Baseline'!$D$1:$O$258,7,FALSE)),"",(VLOOKUP($E137,'D-1 Off Site Habitat Baseline'!$D$1:$O$258,7,FALSE))))</f>
        <v/>
      </c>
      <c r="J137" s="520" t="str">
        <f>IF(E137="","",IF(ISNA(VLOOKUP($E137,'D-1 Off Site Habitat Baseline'!$D$1:$O$258,8,FALSE)),"",(VLOOKUP($E137,'D-1 Off Site Habitat Baseline'!$D$1:$O$258,8,FALSE))))</f>
        <v/>
      </c>
      <c r="K137" s="520" t="str">
        <f>IF(E137="","",IF(ISNA(VLOOKUP($E137,'D-1 Off Site Habitat Baseline'!$D$1:$O$258,9,FALSE)),"",(VLOOKUP($E137,'D-1 Off Site Habitat Baseline'!$D$1:$O$258,9,FALSE))))</f>
        <v/>
      </c>
      <c r="L137" s="520" t="str">
        <f>IF(E137="","",IF(ISNA(VLOOKUP($E137,'D-1 Off Site Habitat Baseline'!$D$1:$O$258,11,FALSE)),"",(VLOOKUP($E137,'D-1 Off Site Habitat Baseline'!$D$1:$O$258,11,FALSE))))</f>
        <v/>
      </c>
      <c r="M137" s="520" t="str">
        <f>IF(E137="","",IF(ISNA(VLOOKUP($E137,'D-1 Off Site Habitat Baseline'!$D$1:$O$258,12,FALSE)),"",(VLOOKUP($E137,'D-1 Off Site Habitat Baseline'!$D$1:$O$258,12,FALSE))))</f>
        <v/>
      </c>
      <c r="N137" s="520" t="str">
        <f>IF(E137="","",IF(ISNA(VLOOKUP($E137,'D-1 Off Site Habitat Baseline'!$D$1:$X$258,14,FALSE)),"",(VLOOKUP($E137,'D-1 Off Site Habitat Baseline'!$D$1:$X$258,14,FALSE))))</f>
        <v/>
      </c>
      <c r="O137" s="524" t="str">
        <f>IF(E137="","",IF(ISNA(VLOOKUP($E137,'D-1 Off Site Habitat Baseline'!$D$1:$X$258,13,FALSE)),"",(VLOOKUP($E137,'D-1 Off Site Habitat Baseline'!$D$1:$X$258,13,FALSE))))</f>
        <v/>
      </c>
      <c r="P137" s="232" t="str">
        <f>IFERROR(INDEX('G-1 All Habitats'!$AG$3:$AG$15,MATCH(Q137,'G-1 All Habitats'!$AF$3:$AF$15,0)),"")</f>
        <v/>
      </c>
      <c r="Q137" s="228" t="str">
        <f t="shared" si="23"/>
        <v/>
      </c>
      <c r="R137" s="229" t="str">
        <f t="shared" si="24"/>
        <v/>
      </c>
      <c r="S137" s="233" t="str">
        <f>IFERROR(INDEX('G-1 All Habitats'!$B$3:$B$129,MATCH(R137,'G-1 All Habitats'!$A$3:$A$129,0)),"")</f>
        <v/>
      </c>
      <c r="T137" s="507" t="str">
        <f t="shared" si="16"/>
        <v/>
      </c>
      <c r="U137" s="524" t="str">
        <f t="shared" si="17"/>
        <v/>
      </c>
      <c r="V137" s="523" t="str">
        <f t="shared" si="14"/>
        <v/>
      </c>
      <c r="W137" s="520" t="str">
        <f>IF(S137="","",VLOOKUP(S137,'G-1 All Habitats'!$B$2:$M$129,10,FALSE))</f>
        <v/>
      </c>
      <c r="X137" s="520" t="str">
        <f>IFERROR(VLOOKUP(W137,'G-1 All Habitats'!$V$3:$W$7,2,FALSE),"")</f>
        <v/>
      </c>
      <c r="Y137" s="203"/>
      <c r="Z137" s="524" t="str">
        <f>IFERROR(INDEX('G-8 Condition Look up'!$A$3:$H$130,MATCH(S137,'G-8 Condition Look up'!$A$3:$A$130,0),MATCH(Y137,'G-8 Condition Look up'!$A$3:$H$3,0)),"")</f>
        <v/>
      </c>
      <c r="AA137" s="145"/>
      <c r="AB137" s="540" t="str">
        <f>IF(AA137="","",IF(VLOOKUP(AA137,'G-3 Multipliers'!$L$3:$N$6,2,FALSE)=0,"Spatial Data Missing ⚠",VLOOKUP(AA137,'G-3 Multipliers'!$L$3:$N$6,2,FALSE)))</f>
        <v/>
      </c>
      <c r="AC137" s="524" t="str">
        <f>IF(AA137="","",IF(VLOOKUP(AA137,'G-3 Multipliers'!$L$3:$N$6,3,FALSE)=0,"Spatial Data Missing ⚠",VLOOKUP(AA137,'G-3 Multipliers'!$L$3:$N$6,3,FALSE)))</f>
        <v/>
      </c>
      <c r="AD137" s="537" t="str">
        <f t="shared" si="15"/>
        <v/>
      </c>
      <c r="AE137" s="203"/>
      <c r="AF137" s="203"/>
      <c r="AG137" s="520" t="str">
        <f t="shared" si="18"/>
        <v/>
      </c>
      <c r="AH137" s="544" t="str">
        <f t="shared" si="19"/>
        <v/>
      </c>
      <c r="AI137" s="525" t="str">
        <f>IF(AH137="Check Data ⚠","Check Data ⚠",IFERROR(VLOOKUP(AH137,'G-4 Temporal multipliers'!$A$4:$C$36,3,FALSE),""))</f>
        <v/>
      </c>
      <c r="AJ137" s="537" t="str">
        <f>IF(S137="","",VLOOKUP(S137,'G-3 Multipliers'!$A$2:$E$129,4,FALSE))</f>
        <v/>
      </c>
      <c r="AK137" s="520" t="str">
        <f t="shared" si="20"/>
        <v/>
      </c>
      <c r="AL137" s="520" t="str">
        <f t="shared" si="21"/>
        <v/>
      </c>
      <c r="AM137" s="524" t="str">
        <f>IFERROR(IF(F137="","",IF(AH137="Check Data ⚠","Check Data ⚠",VLOOKUP(AL137, 'G-3 Multipliers'!$P$2:$Q$6,2,FALSE))),"")</f>
        <v/>
      </c>
      <c r="AN137" s="197"/>
      <c r="AO137" s="540" t="str">
        <f>IF(AN137="","",IF(VLOOKUP(AN137,'G-3 Multipliers'!$S$3:$T$9,2,FALSE)=0,"Spatial Data Missing ⚠",VLOOKUP(AN137,'G-3 Multipliers'!$S$3:$T$9,2,FALSE)))</f>
        <v/>
      </c>
      <c r="AP137" s="513" t="str">
        <f t="shared" si="22"/>
        <v/>
      </c>
      <c r="AQ137" s="231"/>
      <c r="AR137" s="150"/>
    </row>
    <row r="138" spans="1:44" x14ac:dyDescent="0.3">
      <c r="A138" s="31" t="str">
        <f>IF(E138="","",IF(ISNA(VLOOKUP($E138,'D-1 Off Site Habitat Baseline'!$D$1:$O$258,2,FALSE)),"",(VLOOKUP($E138,'D-1 Off Site Habitat Baseline'!$D$1:$O$258,2,FALSE))))</f>
        <v/>
      </c>
      <c r="B138" s="31" t="str">
        <f>IF(E138="","",IF(ISNA(VLOOKUP($E138,'D-1 Off Site Habitat Baseline'!$D$1:$O$258,3,FALSE)),"",(VLOOKUP($E138,'D-1 Off Site Habitat Baseline'!$D$1:$O$258,3,FALSE))))</f>
        <v/>
      </c>
      <c r="C138" s="31" t="str">
        <f>IFERROR(INDEX('G-8 Condition Look up'!$I$4:$I$130,MATCH(S138,'G-8 Condition Look up'!$A$4:$A$130,0)),"")</f>
        <v/>
      </c>
      <c r="E138" s="547" t="str">
        <f>'D-1 Off Site Habitat Baseline'!AL137</f>
        <v/>
      </c>
      <c r="F138" s="520" t="str">
        <f>IF(E138="","",IF(ISNA(VLOOKUP($E138,'D-1 Off Site Habitat Baseline'!$D$1:$O$258,4,FALSE)),"",(VLOOKUP($E138,'D-1 Off Site Habitat Baseline'!$D$1:$O$258,4,FALSE))))</f>
        <v/>
      </c>
      <c r="G138" s="520" t="str">
        <f>IF(E138="","",IF(ISNA(VLOOKUP($E138,'D-1 Off Site Habitat Baseline'!$D$1:$O$258,5,FALSE)),"",(VLOOKUP($E138,'D-1 Off Site Habitat Baseline'!$D$1:$O$258,5,FALSE))))</f>
        <v/>
      </c>
      <c r="H138" s="520" t="str">
        <f>IF(E138="","",IF(ISNA(VLOOKUP($E138,'D-1 Off Site Habitat Baseline'!$D$1:$O$258,6,FALSE)),"",(VLOOKUP($E138,'D-1 Off Site Habitat Baseline'!$D$1:$O$258,6,FALSE))))</f>
        <v/>
      </c>
      <c r="I138" s="520" t="str">
        <f>IF(E138="","",IF(ISNA(VLOOKUP($E138,'D-1 Off Site Habitat Baseline'!$D$1:$O$258,7,FALSE)),"",(VLOOKUP($E138,'D-1 Off Site Habitat Baseline'!$D$1:$O$258,7,FALSE))))</f>
        <v/>
      </c>
      <c r="J138" s="520" t="str">
        <f>IF(E138="","",IF(ISNA(VLOOKUP($E138,'D-1 Off Site Habitat Baseline'!$D$1:$O$258,8,FALSE)),"",(VLOOKUP($E138,'D-1 Off Site Habitat Baseline'!$D$1:$O$258,8,FALSE))))</f>
        <v/>
      </c>
      <c r="K138" s="520" t="str">
        <f>IF(E138="","",IF(ISNA(VLOOKUP($E138,'D-1 Off Site Habitat Baseline'!$D$1:$O$258,9,FALSE)),"",(VLOOKUP($E138,'D-1 Off Site Habitat Baseline'!$D$1:$O$258,9,FALSE))))</f>
        <v/>
      </c>
      <c r="L138" s="520" t="str">
        <f>IF(E138="","",IF(ISNA(VLOOKUP($E138,'D-1 Off Site Habitat Baseline'!$D$1:$O$258,11,FALSE)),"",(VLOOKUP($E138,'D-1 Off Site Habitat Baseline'!$D$1:$O$258,11,FALSE))))</f>
        <v/>
      </c>
      <c r="M138" s="520" t="str">
        <f>IF(E138="","",IF(ISNA(VLOOKUP($E138,'D-1 Off Site Habitat Baseline'!$D$1:$O$258,12,FALSE)),"",(VLOOKUP($E138,'D-1 Off Site Habitat Baseline'!$D$1:$O$258,12,FALSE))))</f>
        <v/>
      </c>
      <c r="N138" s="520" t="str">
        <f>IF(E138="","",IF(ISNA(VLOOKUP($E138,'D-1 Off Site Habitat Baseline'!$D$1:$X$258,14,FALSE)),"",(VLOOKUP($E138,'D-1 Off Site Habitat Baseline'!$D$1:$X$258,14,FALSE))))</f>
        <v/>
      </c>
      <c r="O138" s="524" t="str">
        <f>IF(E138="","",IF(ISNA(VLOOKUP($E138,'D-1 Off Site Habitat Baseline'!$D$1:$X$258,13,FALSE)),"",(VLOOKUP($E138,'D-1 Off Site Habitat Baseline'!$D$1:$X$258,13,FALSE))))</f>
        <v/>
      </c>
      <c r="P138" s="232" t="str">
        <f>IFERROR(INDEX('G-1 All Habitats'!$AG$3:$AG$15,MATCH(Q138,'G-1 All Habitats'!$AF$3:$AF$15,0)),"")</f>
        <v/>
      </c>
      <c r="Q138" s="228" t="str">
        <f t="shared" si="23"/>
        <v/>
      </c>
      <c r="R138" s="229" t="str">
        <f t="shared" si="24"/>
        <v/>
      </c>
      <c r="S138" s="233" t="str">
        <f>IFERROR(INDEX('G-1 All Habitats'!$B$3:$B$129,MATCH(R138,'G-1 All Habitats'!$A$3:$A$129,0)),"")</f>
        <v/>
      </c>
      <c r="T138" s="507" t="str">
        <f t="shared" si="16"/>
        <v/>
      </c>
      <c r="U138" s="524" t="str">
        <f t="shared" si="17"/>
        <v/>
      </c>
      <c r="V138" s="523" t="str">
        <f t="shared" si="14"/>
        <v/>
      </c>
      <c r="W138" s="520" t="str">
        <f>IF(S138="","",VLOOKUP(S138,'G-1 All Habitats'!$B$2:$M$129,10,FALSE))</f>
        <v/>
      </c>
      <c r="X138" s="520" t="str">
        <f>IFERROR(VLOOKUP(W138,'G-1 All Habitats'!$V$3:$W$7,2,FALSE),"")</f>
        <v/>
      </c>
      <c r="Y138" s="203"/>
      <c r="Z138" s="524" t="str">
        <f>IFERROR(INDEX('G-8 Condition Look up'!$A$3:$H$130,MATCH(S138,'G-8 Condition Look up'!$A$3:$A$130,0),MATCH(Y138,'G-8 Condition Look up'!$A$3:$H$3,0)),"")</f>
        <v/>
      </c>
      <c r="AA138" s="145"/>
      <c r="AB138" s="540" t="str">
        <f>IF(AA138="","",IF(VLOOKUP(AA138,'G-3 Multipliers'!$L$3:$N$6,2,FALSE)=0,"Spatial Data Missing ⚠",VLOOKUP(AA138,'G-3 Multipliers'!$L$3:$N$6,2,FALSE)))</f>
        <v/>
      </c>
      <c r="AC138" s="524" t="str">
        <f>IF(AA138="","",IF(VLOOKUP(AA138,'G-3 Multipliers'!$L$3:$N$6,3,FALSE)=0,"Spatial Data Missing ⚠",VLOOKUP(AA138,'G-3 Multipliers'!$L$3:$N$6,3,FALSE)))</f>
        <v/>
      </c>
      <c r="AD138" s="537" t="str">
        <f t="shared" si="15"/>
        <v/>
      </c>
      <c r="AE138" s="203"/>
      <c r="AF138" s="203"/>
      <c r="AG138" s="520" t="str">
        <f t="shared" si="18"/>
        <v/>
      </c>
      <c r="AH138" s="544" t="str">
        <f t="shared" si="19"/>
        <v/>
      </c>
      <c r="AI138" s="525" t="str">
        <f>IF(AH138="Check Data ⚠","Check Data ⚠",IFERROR(VLOOKUP(AH138,'G-4 Temporal multipliers'!$A$4:$C$36,3,FALSE),""))</f>
        <v/>
      </c>
      <c r="AJ138" s="537" t="str">
        <f>IF(S138="","",VLOOKUP(S138,'G-3 Multipliers'!$A$2:$E$129,4,FALSE))</f>
        <v/>
      </c>
      <c r="AK138" s="520" t="str">
        <f t="shared" si="20"/>
        <v/>
      </c>
      <c r="AL138" s="520" t="str">
        <f t="shared" si="21"/>
        <v/>
      </c>
      <c r="AM138" s="524" t="str">
        <f>IFERROR(IF(F138="","",IF(AH138="Check Data ⚠","Check Data ⚠",VLOOKUP(AL138, 'G-3 Multipliers'!$P$2:$Q$6,2,FALSE))),"")</f>
        <v/>
      </c>
      <c r="AN138" s="197"/>
      <c r="AO138" s="540" t="str">
        <f>IF(AN138="","",IF(VLOOKUP(AN138,'G-3 Multipliers'!$S$3:$T$9,2,FALSE)=0,"Spatial Data Missing ⚠",VLOOKUP(AN138,'G-3 Multipliers'!$S$3:$T$9,2,FALSE)))</f>
        <v/>
      </c>
      <c r="AP138" s="513" t="str">
        <f t="shared" si="22"/>
        <v/>
      </c>
      <c r="AQ138" s="231"/>
      <c r="AR138" s="150"/>
    </row>
    <row r="139" spans="1:44" x14ac:dyDescent="0.3">
      <c r="A139" s="31" t="str">
        <f>IF(E139="","",IF(ISNA(VLOOKUP($E139,'D-1 Off Site Habitat Baseline'!$D$1:$O$258,2,FALSE)),"",(VLOOKUP($E139,'D-1 Off Site Habitat Baseline'!$D$1:$O$258,2,FALSE))))</f>
        <v/>
      </c>
      <c r="B139" s="31" t="str">
        <f>IF(E139="","",IF(ISNA(VLOOKUP($E139,'D-1 Off Site Habitat Baseline'!$D$1:$O$258,3,FALSE)),"",(VLOOKUP($E139,'D-1 Off Site Habitat Baseline'!$D$1:$O$258,3,FALSE))))</f>
        <v/>
      </c>
      <c r="C139" s="31" t="str">
        <f>IFERROR(INDEX('G-8 Condition Look up'!$I$4:$I$130,MATCH(S139,'G-8 Condition Look up'!$A$4:$A$130,0)),"")</f>
        <v/>
      </c>
      <c r="E139" s="547" t="str">
        <f>'D-1 Off Site Habitat Baseline'!AL138</f>
        <v/>
      </c>
      <c r="F139" s="520" t="str">
        <f>IF(E139="","",IF(ISNA(VLOOKUP($E139,'D-1 Off Site Habitat Baseline'!$D$1:$O$258,4,FALSE)),"",(VLOOKUP($E139,'D-1 Off Site Habitat Baseline'!$D$1:$O$258,4,FALSE))))</f>
        <v/>
      </c>
      <c r="G139" s="520" t="str">
        <f>IF(E139="","",IF(ISNA(VLOOKUP($E139,'D-1 Off Site Habitat Baseline'!$D$1:$O$258,5,FALSE)),"",(VLOOKUP($E139,'D-1 Off Site Habitat Baseline'!$D$1:$O$258,5,FALSE))))</f>
        <v/>
      </c>
      <c r="H139" s="520" t="str">
        <f>IF(E139="","",IF(ISNA(VLOOKUP($E139,'D-1 Off Site Habitat Baseline'!$D$1:$O$258,6,FALSE)),"",(VLOOKUP($E139,'D-1 Off Site Habitat Baseline'!$D$1:$O$258,6,FALSE))))</f>
        <v/>
      </c>
      <c r="I139" s="520" t="str">
        <f>IF(E139="","",IF(ISNA(VLOOKUP($E139,'D-1 Off Site Habitat Baseline'!$D$1:$O$258,7,FALSE)),"",(VLOOKUP($E139,'D-1 Off Site Habitat Baseline'!$D$1:$O$258,7,FALSE))))</f>
        <v/>
      </c>
      <c r="J139" s="520" t="str">
        <f>IF(E139="","",IF(ISNA(VLOOKUP($E139,'D-1 Off Site Habitat Baseline'!$D$1:$O$258,8,FALSE)),"",(VLOOKUP($E139,'D-1 Off Site Habitat Baseline'!$D$1:$O$258,8,FALSE))))</f>
        <v/>
      </c>
      <c r="K139" s="520" t="str">
        <f>IF(E139="","",IF(ISNA(VLOOKUP($E139,'D-1 Off Site Habitat Baseline'!$D$1:$O$258,9,FALSE)),"",(VLOOKUP($E139,'D-1 Off Site Habitat Baseline'!$D$1:$O$258,9,FALSE))))</f>
        <v/>
      </c>
      <c r="L139" s="520" t="str">
        <f>IF(E139="","",IF(ISNA(VLOOKUP($E139,'D-1 Off Site Habitat Baseline'!$D$1:$O$258,11,FALSE)),"",(VLOOKUP($E139,'D-1 Off Site Habitat Baseline'!$D$1:$O$258,11,FALSE))))</f>
        <v/>
      </c>
      <c r="M139" s="520" t="str">
        <f>IF(E139="","",IF(ISNA(VLOOKUP($E139,'D-1 Off Site Habitat Baseline'!$D$1:$O$258,12,FALSE)),"",(VLOOKUP($E139,'D-1 Off Site Habitat Baseline'!$D$1:$O$258,12,FALSE))))</f>
        <v/>
      </c>
      <c r="N139" s="520" t="str">
        <f>IF(E139="","",IF(ISNA(VLOOKUP($E139,'D-1 Off Site Habitat Baseline'!$D$1:$X$258,14,FALSE)),"",(VLOOKUP($E139,'D-1 Off Site Habitat Baseline'!$D$1:$X$258,14,FALSE))))</f>
        <v/>
      </c>
      <c r="O139" s="524" t="str">
        <f>IF(E139="","",IF(ISNA(VLOOKUP($E139,'D-1 Off Site Habitat Baseline'!$D$1:$X$258,13,FALSE)),"",(VLOOKUP($E139,'D-1 Off Site Habitat Baseline'!$D$1:$X$258,13,FALSE))))</f>
        <v/>
      </c>
      <c r="P139" s="232" t="str">
        <f>IFERROR(INDEX('G-1 All Habitats'!$AG$3:$AG$15,MATCH(Q139,'G-1 All Habitats'!$AF$3:$AF$15,0)),"")</f>
        <v/>
      </c>
      <c r="Q139" s="228" t="str">
        <f t="shared" si="23"/>
        <v/>
      </c>
      <c r="R139" s="229" t="str">
        <f t="shared" si="24"/>
        <v/>
      </c>
      <c r="S139" s="233" t="str">
        <f>IFERROR(INDEX('G-1 All Habitats'!$B$3:$B$129,MATCH(R139,'G-1 All Habitats'!$A$3:$A$129,0)),"")</f>
        <v/>
      </c>
      <c r="T139" s="507" t="str">
        <f t="shared" si="16"/>
        <v/>
      </c>
      <c r="U139" s="524" t="str">
        <f t="shared" si="17"/>
        <v/>
      </c>
      <c r="V139" s="523" t="str">
        <f t="shared" si="14"/>
        <v/>
      </c>
      <c r="W139" s="520" t="str">
        <f>IF(S139="","",VLOOKUP(S139,'G-1 All Habitats'!$B$2:$M$129,10,FALSE))</f>
        <v/>
      </c>
      <c r="X139" s="520" t="str">
        <f>IFERROR(VLOOKUP(W139,'G-1 All Habitats'!$V$3:$W$7,2,FALSE),"")</f>
        <v/>
      </c>
      <c r="Y139" s="203"/>
      <c r="Z139" s="524" t="str">
        <f>IFERROR(INDEX('G-8 Condition Look up'!$A$3:$H$130,MATCH(S139,'G-8 Condition Look up'!$A$3:$A$130,0),MATCH(Y139,'G-8 Condition Look up'!$A$3:$H$3,0)),"")</f>
        <v/>
      </c>
      <c r="AA139" s="145"/>
      <c r="AB139" s="540" t="str">
        <f>IF(AA139="","",IF(VLOOKUP(AA139,'G-3 Multipliers'!$L$3:$N$6,2,FALSE)=0,"Spatial Data Missing ⚠",VLOOKUP(AA139,'G-3 Multipliers'!$L$3:$N$6,2,FALSE)))</f>
        <v/>
      </c>
      <c r="AC139" s="524" t="str">
        <f>IF(AA139="","",IF(VLOOKUP(AA139,'G-3 Multipliers'!$L$3:$N$6,3,FALSE)=0,"Spatial Data Missing ⚠",VLOOKUP(AA139,'G-3 Multipliers'!$L$3:$N$6,3,FALSE)))</f>
        <v/>
      </c>
      <c r="AD139" s="537" t="str">
        <f t="shared" si="15"/>
        <v/>
      </c>
      <c r="AE139" s="203"/>
      <c r="AF139" s="203"/>
      <c r="AG139" s="520" t="str">
        <f t="shared" si="18"/>
        <v/>
      </c>
      <c r="AH139" s="544" t="str">
        <f t="shared" si="19"/>
        <v/>
      </c>
      <c r="AI139" s="525" t="str">
        <f>IF(AH139="Check Data ⚠","Check Data ⚠",IFERROR(VLOOKUP(AH139,'G-4 Temporal multipliers'!$A$4:$C$36,3,FALSE),""))</f>
        <v/>
      </c>
      <c r="AJ139" s="537" t="str">
        <f>IF(S139="","",VLOOKUP(S139,'G-3 Multipliers'!$A$2:$E$129,4,FALSE))</f>
        <v/>
      </c>
      <c r="AK139" s="520" t="str">
        <f t="shared" si="20"/>
        <v/>
      </c>
      <c r="AL139" s="520" t="str">
        <f t="shared" si="21"/>
        <v/>
      </c>
      <c r="AM139" s="524" t="str">
        <f>IFERROR(IF(F139="","",IF(AH139="Check Data ⚠","Check Data ⚠",VLOOKUP(AL139, 'G-3 Multipliers'!$P$2:$Q$6,2,FALSE))),"")</f>
        <v/>
      </c>
      <c r="AN139" s="197"/>
      <c r="AO139" s="540" t="str">
        <f>IF(AN139="","",IF(VLOOKUP(AN139,'G-3 Multipliers'!$S$3:$T$9,2,FALSE)=0,"Spatial Data Missing ⚠",VLOOKUP(AN139,'G-3 Multipliers'!$S$3:$T$9,2,FALSE)))</f>
        <v/>
      </c>
      <c r="AP139" s="513" t="str">
        <f t="shared" si="22"/>
        <v/>
      </c>
      <c r="AQ139" s="231"/>
      <c r="AR139" s="150"/>
    </row>
    <row r="140" spans="1:44" x14ac:dyDescent="0.3">
      <c r="A140" s="31" t="str">
        <f>IF(E140="","",IF(ISNA(VLOOKUP($E140,'D-1 Off Site Habitat Baseline'!$D$1:$O$258,2,FALSE)),"",(VLOOKUP($E140,'D-1 Off Site Habitat Baseline'!$D$1:$O$258,2,FALSE))))</f>
        <v/>
      </c>
      <c r="B140" s="31" t="str">
        <f>IF(E140="","",IF(ISNA(VLOOKUP($E140,'D-1 Off Site Habitat Baseline'!$D$1:$O$258,3,FALSE)),"",(VLOOKUP($E140,'D-1 Off Site Habitat Baseline'!$D$1:$O$258,3,FALSE))))</f>
        <v/>
      </c>
      <c r="C140" s="31" t="str">
        <f>IFERROR(INDEX('G-8 Condition Look up'!$I$4:$I$130,MATCH(S140,'G-8 Condition Look up'!$A$4:$A$130,0)),"")</f>
        <v/>
      </c>
      <c r="E140" s="547" t="str">
        <f>'D-1 Off Site Habitat Baseline'!AL139</f>
        <v/>
      </c>
      <c r="F140" s="520" t="str">
        <f>IF(E140="","",IF(ISNA(VLOOKUP($E140,'D-1 Off Site Habitat Baseline'!$D$1:$O$258,4,FALSE)),"",(VLOOKUP($E140,'D-1 Off Site Habitat Baseline'!$D$1:$O$258,4,FALSE))))</f>
        <v/>
      </c>
      <c r="G140" s="520" t="str">
        <f>IF(E140="","",IF(ISNA(VLOOKUP($E140,'D-1 Off Site Habitat Baseline'!$D$1:$O$258,5,FALSE)),"",(VLOOKUP($E140,'D-1 Off Site Habitat Baseline'!$D$1:$O$258,5,FALSE))))</f>
        <v/>
      </c>
      <c r="H140" s="520" t="str">
        <f>IF(E140="","",IF(ISNA(VLOOKUP($E140,'D-1 Off Site Habitat Baseline'!$D$1:$O$258,6,FALSE)),"",(VLOOKUP($E140,'D-1 Off Site Habitat Baseline'!$D$1:$O$258,6,FALSE))))</f>
        <v/>
      </c>
      <c r="I140" s="520" t="str">
        <f>IF(E140="","",IF(ISNA(VLOOKUP($E140,'D-1 Off Site Habitat Baseline'!$D$1:$O$258,7,FALSE)),"",(VLOOKUP($E140,'D-1 Off Site Habitat Baseline'!$D$1:$O$258,7,FALSE))))</f>
        <v/>
      </c>
      <c r="J140" s="520" t="str">
        <f>IF(E140="","",IF(ISNA(VLOOKUP($E140,'D-1 Off Site Habitat Baseline'!$D$1:$O$258,8,FALSE)),"",(VLOOKUP($E140,'D-1 Off Site Habitat Baseline'!$D$1:$O$258,8,FALSE))))</f>
        <v/>
      </c>
      <c r="K140" s="520" t="str">
        <f>IF(E140="","",IF(ISNA(VLOOKUP($E140,'D-1 Off Site Habitat Baseline'!$D$1:$O$258,9,FALSE)),"",(VLOOKUP($E140,'D-1 Off Site Habitat Baseline'!$D$1:$O$258,9,FALSE))))</f>
        <v/>
      </c>
      <c r="L140" s="520" t="str">
        <f>IF(E140="","",IF(ISNA(VLOOKUP($E140,'D-1 Off Site Habitat Baseline'!$D$1:$O$258,11,FALSE)),"",(VLOOKUP($E140,'D-1 Off Site Habitat Baseline'!$D$1:$O$258,11,FALSE))))</f>
        <v/>
      </c>
      <c r="M140" s="520" t="str">
        <f>IF(E140="","",IF(ISNA(VLOOKUP($E140,'D-1 Off Site Habitat Baseline'!$D$1:$O$258,12,FALSE)),"",(VLOOKUP($E140,'D-1 Off Site Habitat Baseline'!$D$1:$O$258,12,FALSE))))</f>
        <v/>
      </c>
      <c r="N140" s="520" t="str">
        <f>IF(E140="","",IF(ISNA(VLOOKUP($E140,'D-1 Off Site Habitat Baseline'!$D$1:$X$258,14,FALSE)),"",(VLOOKUP($E140,'D-1 Off Site Habitat Baseline'!$D$1:$X$258,14,FALSE))))</f>
        <v/>
      </c>
      <c r="O140" s="524" t="str">
        <f>IF(E140="","",IF(ISNA(VLOOKUP($E140,'D-1 Off Site Habitat Baseline'!$D$1:$X$258,13,FALSE)),"",(VLOOKUP($E140,'D-1 Off Site Habitat Baseline'!$D$1:$X$258,13,FALSE))))</f>
        <v/>
      </c>
      <c r="P140" s="232" t="str">
        <f>IFERROR(INDEX('G-1 All Habitats'!$AG$3:$AG$15,MATCH(Q140,'G-1 All Habitats'!$AF$3:$AF$15,0)),"")</f>
        <v/>
      </c>
      <c r="Q140" s="228" t="str">
        <f t="shared" si="23"/>
        <v/>
      </c>
      <c r="R140" s="229" t="str">
        <f t="shared" si="24"/>
        <v/>
      </c>
      <c r="S140" s="233" t="str">
        <f>IFERROR(INDEX('G-1 All Habitats'!$B$3:$B$129,MATCH(R140,'G-1 All Habitats'!$A$3:$A$129,0)),"")</f>
        <v/>
      </c>
      <c r="T140" s="507" t="str">
        <f t="shared" si="16"/>
        <v/>
      </c>
      <c r="U140" s="524" t="str">
        <f t="shared" si="17"/>
        <v/>
      </c>
      <c r="V140" s="523" t="str">
        <f t="shared" ref="V140:V203" si="25">IF(S140="","",VLOOKUP(E140,BaselineHabOffsite,17,FALSE))</f>
        <v/>
      </c>
      <c r="W140" s="520" t="str">
        <f>IF(S140="","",VLOOKUP(S140,'G-1 All Habitats'!$B$2:$M$129,10,FALSE))</f>
        <v/>
      </c>
      <c r="X140" s="520" t="str">
        <f>IFERROR(VLOOKUP(W140,'G-1 All Habitats'!$V$3:$W$7,2,FALSE),"")</f>
        <v/>
      </c>
      <c r="Y140" s="203"/>
      <c r="Z140" s="524" t="str">
        <f>IFERROR(INDEX('G-8 Condition Look up'!$A$3:$H$130,MATCH(S140,'G-8 Condition Look up'!$A$3:$A$130,0),MATCH(Y140,'G-8 Condition Look up'!$A$3:$H$3,0)),"")</f>
        <v/>
      </c>
      <c r="AA140" s="145"/>
      <c r="AB140" s="540" t="str">
        <f>IF(AA140="","",IF(VLOOKUP(AA140,'G-3 Multipliers'!$L$3:$N$6,2,FALSE)=0,"Spatial Data Missing ⚠",VLOOKUP(AA140,'G-3 Multipliers'!$L$3:$N$6,2,FALSE)))</f>
        <v/>
      </c>
      <c r="AC140" s="524" t="str">
        <f>IF(AA140="","",IF(VLOOKUP(AA140,'G-3 Multipliers'!$L$3:$N$6,3,FALSE)=0,"Spatial Data Missing ⚠",VLOOKUP(AA140,'G-3 Multipliers'!$L$3:$N$6,3,FALSE)))</f>
        <v/>
      </c>
      <c r="AD140" s="537" t="str">
        <f t="shared" ref="AD140:AD203" si="26">IFERROR(IF(OR(LEFT(U140,5)="Error ▲",LEFT(T140,5)="Error ▲"),"Check Data ⚠",INDEX(EnhanceTemporal,MATCH(S140,EnhanceHabitat,0),MATCH(U140,EnhanceCondition,0))),"")</f>
        <v/>
      </c>
      <c r="AE140" s="203"/>
      <c r="AF140" s="203"/>
      <c r="AG140" s="520" t="str">
        <f t="shared" si="18"/>
        <v/>
      </c>
      <c r="AH140" s="544" t="str">
        <f t="shared" si="19"/>
        <v/>
      </c>
      <c r="AI140" s="525" t="str">
        <f>IF(AH140="Check Data ⚠","Check Data ⚠",IFERROR(VLOOKUP(AH140,'G-4 Temporal multipliers'!$A$4:$C$36,3,FALSE),""))</f>
        <v/>
      </c>
      <c r="AJ140" s="537" t="str">
        <f>IF(S140="","",VLOOKUP(S140,'G-3 Multipliers'!$A$2:$E$129,4,FALSE))</f>
        <v/>
      </c>
      <c r="AK140" s="520" t="str">
        <f t="shared" si="20"/>
        <v/>
      </c>
      <c r="AL140" s="520" t="str">
        <f t="shared" si="21"/>
        <v/>
      </c>
      <c r="AM140" s="524" t="str">
        <f>IFERROR(IF(F140="","",IF(AH140="Check Data ⚠","Check Data ⚠",VLOOKUP(AL140, 'G-3 Multipliers'!$P$2:$Q$6,2,FALSE))),"")</f>
        <v/>
      </c>
      <c r="AN140" s="197"/>
      <c r="AO140" s="540" t="str">
        <f>IF(AN140="","",IF(VLOOKUP(AN140,'G-3 Multipliers'!$S$3:$T$9,2,FALSE)=0,"Spatial Data Missing ⚠",VLOOKUP(AN140,'G-3 Multipliers'!$S$3:$T$9,2,FALSE)))</f>
        <v/>
      </c>
      <c r="AP140" s="513" t="str">
        <f t="shared" si="22"/>
        <v/>
      </c>
      <c r="AQ140" s="231"/>
      <c r="AR140" s="150"/>
    </row>
    <row r="141" spans="1:44" x14ac:dyDescent="0.3">
      <c r="A141" s="31" t="str">
        <f>IF(E141="","",IF(ISNA(VLOOKUP($E141,'D-1 Off Site Habitat Baseline'!$D$1:$O$258,2,FALSE)),"",(VLOOKUP($E141,'D-1 Off Site Habitat Baseline'!$D$1:$O$258,2,FALSE))))</f>
        <v/>
      </c>
      <c r="B141" s="31" t="str">
        <f>IF(E141="","",IF(ISNA(VLOOKUP($E141,'D-1 Off Site Habitat Baseline'!$D$1:$O$258,3,FALSE)),"",(VLOOKUP($E141,'D-1 Off Site Habitat Baseline'!$D$1:$O$258,3,FALSE))))</f>
        <v/>
      </c>
      <c r="C141" s="31" t="str">
        <f>IFERROR(INDEX('G-8 Condition Look up'!$I$4:$I$130,MATCH(S141,'G-8 Condition Look up'!$A$4:$A$130,0)),"")</f>
        <v/>
      </c>
      <c r="E141" s="547" t="str">
        <f>'D-1 Off Site Habitat Baseline'!AL140</f>
        <v/>
      </c>
      <c r="F141" s="520" t="str">
        <f>IF(E141="","",IF(ISNA(VLOOKUP($E141,'D-1 Off Site Habitat Baseline'!$D$1:$O$258,4,FALSE)),"",(VLOOKUP($E141,'D-1 Off Site Habitat Baseline'!$D$1:$O$258,4,FALSE))))</f>
        <v/>
      </c>
      <c r="G141" s="520" t="str">
        <f>IF(E141="","",IF(ISNA(VLOOKUP($E141,'D-1 Off Site Habitat Baseline'!$D$1:$O$258,5,FALSE)),"",(VLOOKUP($E141,'D-1 Off Site Habitat Baseline'!$D$1:$O$258,5,FALSE))))</f>
        <v/>
      </c>
      <c r="H141" s="520" t="str">
        <f>IF(E141="","",IF(ISNA(VLOOKUP($E141,'D-1 Off Site Habitat Baseline'!$D$1:$O$258,6,FALSE)),"",(VLOOKUP($E141,'D-1 Off Site Habitat Baseline'!$D$1:$O$258,6,FALSE))))</f>
        <v/>
      </c>
      <c r="I141" s="520" t="str">
        <f>IF(E141="","",IF(ISNA(VLOOKUP($E141,'D-1 Off Site Habitat Baseline'!$D$1:$O$258,7,FALSE)),"",(VLOOKUP($E141,'D-1 Off Site Habitat Baseline'!$D$1:$O$258,7,FALSE))))</f>
        <v/>
      </c>
      <c r="J141" s="520" t="str">
        <f>IF(E141="","",IF(ISNA(VLOOKUP($E141,'D-1 Off Site Habitat Baseline'!$D$1:$O$258,8,FALSE)),"",(VLOOKUP($E141,'D-1 Off Site Habitat Baseline'!$D$1:$O$258,8,FALSE))))</f>
        <v/>
      </c>
      <c r="K141" s="520" t="str">
        <f>IF(E141="","",IF(ISNA(VLOOKUP($E141,'D-1 Off Site Habitat Baseline'!$D$1:$O$258,9,FALSE)),"",(VLOOKUP($E141,'D-1 Off Site Habitat Baseline'!$D$1:$O$258,9,FALSE))))</f>
        <v/>
      </c>
      <c r="L141" s="520" t="str">
        <f>IF(E141="","",IF(ISNA(VLOOKUP($E141,'D-1 Off Site Habitat Baseline'!$D$1:$O$258,11,FALSE)),"",(VLOOKUP($E141,'D-1 Off Site Habitat Baseline'!$D$1:$O$258,11,FALSE))))</f>
        <v/>
      </c>
      <c r="M141" s="520" t="str">
        <f>IF(E141="","",IF(ISNA(VLOOKUP($E141,'D-1 Off Site Habitat Baseline'!$D$1:$O$258,12,FALSE)),"",(VLOOKUP($E141,'D-1 Off Site Habitat Baseline'!$D$1:$O$258,12,FALSE))))</f>
        <v/>
      </c>
      <c r="N141" s="520" t="str">
        <f>IF(E141="","",IF(ISNA(VLOOKUP($E141,'D-1 Off Site Habitat Baseline'!$D$1:$X$258,14,FALSE)),"",(VLOOKUP($E141,'D-1 Off Site Habitat Baseline'!$D$1:$X$258,14,FALSE))))</f>
        <v/>
      </c>
      <c r="O141" s="524" t="str">
        <f>IF(E141="","",IF(ISNA(VLOOKUP($E141,'D-1 Off Site Habitat Baseline'!$D$1:$X$258,13,FALSE)),"",(VLOOKUP($E141,'D-1 Off Site Habitat Baseline'!$D$1:$X$258,13,FALSE))))</f>
        <v/>
      </c>
      <c r="P141" s="232" t="str">
        <f>IFERROR(INDEX('G-1 All Habitats'!$AG$3:$AG$15,MATCH(Q141,'G-1 All Habitats'!$AF$3:$AF$15,0)),"")</f>
        <v/>
      </c>
      <c r="Q141" s="228" t="str">
        <f t="shared" si="23"/>
        <v/>
      </c>
      <c r="R141" s="229" t="str">
        <f t="shared" si="24"/>
        <v/>
      </c>
      <c r="S141" s="233" t="str">
        <f>IFERROR(INDEX('G-1 All Habitats'!$B$3:$B$129,MATCH(R141,'G-1 All Habitats'!$A$3:$A$129,0)),"")</f>
        <v/>
      </c>
      <c r="T141" s="507" t="str">
        <f t="shared" ref="T141:T204" si="27">IF(E141="","",IF(AND(LEFT(O141,6)="Same d",I141&gt;X141),"Error - Trading rules not satisfied ▲",IF(AND(LEFT(O141,6)="Same b",AND(LEFT(F141,5)&lt;&gt;LEFT(S141,5),I141&gt;X141)),"Error - Trading rules not satisfied ▲",IF(AND(LEFT(O141,6)="Same h",F141&lt;&gt;S141),"Error - Trading rules not satisfied ▲",IF(AND(LEFT(O141,6)="Bespok",F141&lt;&gt;S141),"Error - Trading rules not satisfied ▲",IF(X141&lt;I141,"Error Trading Down ▲",H141&amp;" - "&amp;W141))))))</f>
        <v/>
      </c>
      <c r="U141" s="524" t="str">
        <f t="shared" ref="U141:U204" si="28">IF(F141="","",IF(AND(LEFT(F141,55)&lt;&gt;LEFT(S141,55),T141= "High - High"),"Error - Not like for like ▲",IF(AND(I141=X141,K141&gt;Z141),"Error - Can not reduce condition ▲",IF(AND(I141=X141,K141=Z141),"Error - No enhancement ▲",IF(X141&lt;I141,"Error Trading Down ▲",IF(AND(F141&lt;&gt;S141,I141&lt;X141),"Lower Distinctiveness Habitat"&amp;" - "&amp;Y141,J141&amp;" - "&amp;Y141))))))</f>
        <v/>
      </c>
      <c r="V141" s="523" t="str">
        <f t="shared" si="25"/>
        <v/>
      </c>
      <c r="W141" s="520" t="str">
        <f>IF(S141="","",VLOOKUP(S141,'G-1 All Habitats'!$B$2:$M$129,10,FALSE))</f>
        <v/>
      </c>
      <c r="X141" s="520" t="str">
        <f>IFERROR(VLOOKUP(W141,'G-1 All Habitats'!$V$3:$W$7,2,FALSE),"")</f>
        <v/>
      </c>
      <c r="Y141" s="203"/>
      <c r="Z141" s="524" t="str">
        <f>IFERROR(INDEX('G-8 Condition Look up'!$A$3:$H$130,MATCH(S141,'G-8 Condition Look up'!$A$3:$A$130,0),MATCH(Y141,'G-8 Condition Look up'!$A$3:$H$3,0)),"")</f>
        <v/>
      </c>
      <c r="AA141" s="145"/>
      <c r="AB141" s="540" t="str">
        <f>IF(AA141="","",IF(VLOOKUP(AA141,'G-3 Multipliers'!$L$3:$N$6,2,FALSE)=0,"Spatial Data Missing ⚠",VLOOKUP(AA141,'G-3 Multipliers'!$L$3:$N$6,2,FALSE)))</f>
        <v/>
      </c>
      <c r="AC141" s="524" t="str">
        <f>IF(AA141="","",IF(VLOOKUP(AA141,'G-3 Multipliers'!$L$3:$N$6,3,FALSE)=0,"Spatial Data Missing ⚠",VLOOKUP(AA141,'G-3 Multipliers'!$L$3:$N$6,3,FALSE)))</f>
        <v/>
      </c>
      <c r="AD141" s="537" t="str">
        <f t="shared" si="26"/>
        <v/>
      </c>
      <c r="AE141" s="203"/>
      <c r="AF141" s="203"/>
      <c r="AG141" s="520" t="str">
        <f t="shared" ref="AG141:AG204" si="29">IF(AD141="","",IF(AD141="Check Data ⚠","Check Data ⚠",IF(R141="","",IF(AND(AE141&gt;0,AF141&gt;0),"Error -both advance and delayed habitat creation ▲",IF(AND(OR(AE141="Habitat already in target condition",AD141&lt;=AE141),AF141=0),"Check details - Is there evidence that habitat has reached target condition? ⚠",IF(O140="","",IF(AE141&gt;0,"Check details - Is there evidence habitat creation started/in place? ⚠",IF(AF141&gt;0,"Check details- Delay in starting habitat in required condition? ⚠","Standard time to target condition applied"))))))))</f>
        <v/>
      </c>
      <c r="AH141" s="544" t="str">
        <f t="shared" ref="AH141:AH204" si="30">IF(LEFT(AG141,5)="Error ▲","Check Data ⚠",IF(AG141="Check Data ⚠","Check Data ⚠",IF(AD141="","",IF(AD141="Not Possible","CheckData ⚠",IF(AND(AD141="30+",AE141=0),"30+",IF(AND(AD141="30+",AE141="30+"),0,IF(AND(AD141="30+",AE141&lt;30),30-AE141,IF(AD141="30+",30-AE141,IF(AF141="30+","30+",IF(AE141&gt;AD141,0,IF(AD141+AF141&gt;30,"30+",IF(AD141+AF141&gt;30,"30+",IF(AD141-AE141&gt;30,"30+",IF(AD141+AF141-AE141&gt;0,AD141+AF141-AE141,IF(AD141-AE141&gt;0,AD141-AE141,AD141+AF141-AE141)))))))))))))))</f>
        <v/>
      </c>
      <c r="AI141" s="525" t="str">
        <f>IF(AH141="Check Data ⚠","Check Data ⚠",IFERROR(VLOOKUP(AH141,'G-4 Temporal multipliers'!$A$4:$C$36,3,FALSE),""))</f>
        <v/>
      </c>
      <c r="AJ141" s="537" t="str">
        <f>IF(S141="","",VLOOKUP(S141,'G-3 Multipliers'!$A$2:$E$129,4,FALSE))</f>
        <v/>
      </c>
      <c r="AK141" s="520" t="str">
        <f t="shared" ref="AK141:AK204" si="31">IF(E141="","",IF(AG141="Check details - Is there evidence that habitat has reached target condition? ⚠","Low Difficulty - only applicable if all habitat created before losses","Standard difficulty applied"))</f>
        <v/>
      </c>
      <c r="AL141" s="520" t="str">
        <f t="shared" ref="AL141:AL204" si="32">(IF(AND(AK141="Standard difficulty applied",AD141&gt;AE141),AJ141,IF(AND(AK141="Low Difficulty - only applicable if all habitat created before losses",AE141&gt;=AD141),"Low", AJ141)))</f>
        <v/>
      </c>
      <c r="AM141" s="524" t="str">
        <f>IFERROR(IF(F141="","",IF(AH141="Check Data ⚠","Check Data ⚠",VLOOKUP(AL141, 'G-3 Multipliers'!$P$2:$Q$6,2,FALSE))),"")</f>
        <v/>
      </c>
      <c r="AN141" s="197"/>
      <c r="AO141" s="540" t="str">
        <f>IF(AN141="","",IF(VLOOKUP(AN141,'G-3 Multipliers'!$S$3:$T$9,2,FALSE)=0,"Spatial Data Missing ⚠",VLOOKUP(AN141,'G-3 Multipliers'!$S$3:$T$9,2,FALSE)))</f>
        <v/>
      </c>
      <c r="AP141" s="513" t="str">
        <f t="shared" ref="AP141:AP204" si="33">IFERROR(((((V141*X141*Z141)-(V141*I141*K141))*(AM141*AI141))+(V141*I141*K141))*(AC141)*AO141,"")</f>
        <v/>
      </c>
      <c r="AQ141" s="231"/>
      <c r="AR141" s="150"/>
    </row>
    <row r="142" spans="1:44" x14ac:dyDescent="0.3">
      <c r="A142" s="31" t="str">
        <f>IF(E142="","",IF(ISNA(VLOOKUP($E142,'D-1 Off Site Habitat Baseline'!$D$1:$O$258,2,FALSE)),"",(VLOOKUP($E142,'D-1 Off Site Habitat Baseline'!$D$1:$O$258,2,FALSE))))</f>
        <v/>
      </c>
      <c r="B142" s="31" t="str">
        <f>IF(E142="","",IF(ISNA(VLOOKUP($E142,'D-1 Off Site Habitat Baseline'!$D$1:$O$258,3,FALSE)),"",(VLOOKUP($E142,'D-1 Off Site Habitat Baseline'!$D$1:$O$258,3,FALSE))))</f>
        <v/>
      </c>
      <c r="C142" s="31" t="str">
        <f>IFERROR(INDEX('G-8 Condition Look up'!$I$4:$I$130,MATCH(S142,'G-8 Condition Look up'!$A$4:$A$130,0)),"")</f>
        <v/>
      </c>
      <c r="E142" s="547" t="str">
        <f>'D-1 Off Site Habitat Baseline'!AL141</f>
        <v/>
      </c>
      <c r="F142" s="520" t="str">
        <f>IF(E142="","",IF(ISNA(VLOOKUP($E142,'D-1 Off Site Habitat Baseline'!$D$1:$O$258,4,FALSE)),"",(VLOOKUP($E142,'D-1 Off Site Habitat Baseline'!$D$1:$O$258,4,FALSE))))</f>
        <v/>
      </c>
      <c r="G142" s="520" t="str">
        <f>IF(E142="","",IF(ISNA(VLOOKUP($E142,'D-1 Off Site Habitat Baseline'!$D$1:$O$258,5,FALSE)),"",(VLOOKUP($E142,'D-1 Off Site Habitat Baseline'!$D$1:$O$258,5,FALSE))))</f>
        <v/>
      </c>
      <c r="H142" s="520" t="str">
        <f>IF(E142="","",IF(ISNA(VLOOKUP($E142,'D-1 Off Site Habitat Baseline'!$D$1:$O$258,6,FALSE)),"",(VLOOKUP($E142,'D-1 Off Site Habitat Baseline'!$D$1:$O$258,6,FALSE))))</f>
        <v/>
      </c>
      <c r="I142" s="520" t="str">
        <f>IF(E142="","",IF(ISNA(VLOOKUP($E142,'D-1 Off Site Habitat Baseline'!$D$1:$O$258,7,FALSE)),"",(VLOOKUP($E142,'D-1 Off Site Habitat Baseline'!$D$1:$O$258,7,FALSE))))</f>
        <v/>
      </c>
      <c r="J142" s="520" t="str">
        <f>IF(E142="","",IF(ISNA(VLOOKUP($E142,'D-1 Off Site Habitat Baseline'!$D$1:$O$258,8,FALSE)),"",(VLOOKUP($E142,'D-1 Off Site Habitat Baseline'!$D$1:$O$258,8,FALSE))))</f>
        <v/>
      </c>
      <c r="K142" s="520" t="str">
        <f>IF(E142="","",IF(ISNA(VLOOKUP($E142,'D-1 Off Site Habitat Baseline'!$D$1:$O$258,9,FALSE)),"",(VLOOKUP($E142,'D-1 Off Site Habitat Baseline'!$D$1:$O$258,9,FALSE))))</f>
        <v/>
      </c>
      <c r="L142" s="520" t="str">
        <f>IF(E142="","",IF(ISNA(VLOOKUP($E142,'D-1 Off Site Habitat Baseline'!$D$1:$O$258,11,FALSE)),"",(VLOOKUP($E142,'D-1 Off Site Habitat Baseline'!$D$1:$O$258,11,FALSE))))</f>
        <v/>
      </c>
      <c r="M142" s="520" t="str">
        <f>IF(E142="","",IF(ISNA(VLOOKUP($E142,'D-1 Off Site Habitat Baseline'!$D$1:$O$258,12,FALSE)),"",(VLOOKUP($E142,'D-1 Off Site Habitat Baseline'!$D$1:$O$258,12,FALSE))))</f>
        <v/>
      </c>
      <c r="N142" s="520" t="str">
        <f>IF(E142="","",IF(ISNA(VLOOKUP($E142,'D-1 Off Site Habitat Baseline'!$D$1:$X$258,14,FALSE)),"",(VLOOKUP($E142,'D-1 Off Site Habitat Baseline'!$D$1:$X$258,14,FALSE))))</f>
        <v/>
      </c>
      <c r="O142" s="524" t="str">
        <f>IF(E142="","",IF(ISNA(VLOOKUP($E142,'D-1 Off Site Habitat Baseline'!$D$1:$X$258,13,FALSE)),"",(VLOOKUP($E142,'D-1 Off Site Habitat Baseline'!$D$1:$X$258,13,FALSE))))</f>
        <v/>
      </c>
      <c r="P142" s="232" t="str">
        <f>IFERROR(INDEX('G-1 All Habitats'!$AG$3:$AG$15,MATCH(Q142,'G-1 All Habitats'!$AF$3:$AF$15,0)),"")</f>
        <v/>
      </c>
      <c r="Q142" s="228" t="str">
        <f t="shared" si="23"/>
        <v/>
      </c>
      <c r="R142" s="229" t="str">
        <f t="shared" si="24"/>
        <v/>
      </c>
      <c r="S142" s="233" t="str">
        <f>IFERROR(INDEX('G-1 All Habitats'!$B$3:$B$129,MATCH(R142,'G-1 All Habitats'!$A$3:$A$129,0)),"")</f>
        <v/>
      </c>
      <c r="T142" s="507" t="str">
        <f t="shared" si="27"/>
        <v/>
      </c>
      <c r="U142" s="524" t="str">
        <f t="shared" si="28"/>
        <v/>
      </c>
      <c r="V142" s="523" t="str">
        <f t="shared" si="25"/>
        <v/>
      </c>
      <c r="W142" s="520" t="str">
        <f>IF(S142="","",VLOOKUP(S142,'G-1 All Habitats'!$B$2:$M$129,10,FALSE))</f>
        <v/>
      </c>
      <c r="X142" s="520" t="str">
        <f>IFERROR(VLOOKUP(W142,'G-1 All Habitats'!$V$3:$W$7,2,FALSE),"")</f>
        <v/>
      </c>
      <c r="Y142" s="203"/>
      <c r="Z142" s="524" t="str">
        <f>IFERROR(INDEX('G-8 Condition Look up'!$A$3:$H$130,MATCH(S142,'G-8 Condition Look up'!$A$3:$A$130,0),MATCH(Y142,'G-8 Condition Look up'!$A$3:$H$3,0)),"")</f>
        <v/>
      </c>
      <c r="AA142" s="145"/>
      <c r="AB142" s="540" t="str">
        <f>IF(AA142="","",IF(VLOOKUP(AA142,'G-3 Multipliers'!$L$3:$N$6,2,FALSE)=0,"Spatial Data Missing ⚠",VLOOKUP(AA142,'G-3 Multipliers'!$L$3:$N$6,2,FALSE)))</f>
        <v/>
      </c>
      <c r="AC142" s="524" t="str">
        <f>IF(AA142="","",IF(VLOOKUP(AA142,'G-3 Multipliers'!$L$3:$N$6,3,FALSE)=0,"Spatial Data Missing ⚠",VLOOKUP(AA142,'G-3 Multipliers'!$L$3:$N$6,3,FALSE)))</f>
        <v/>
      </c>
      <c r="AD142" s="537" t="str">
        <f t="shared" si="26"/>
        <v/>
      </c>
      <c r="AE142" s="203"/>
      <c r="AF142" s="203"/>
      <c r="AG142" s="520" t="str">
        <f t="shared" si="29"/>
        <v/>
      </c>
      <c r="AH142" s="544" t="str">
        <f t="shared" si="30"/>
        <v/>
      </c>
      <c r="AI142" s="525" t="str">
        <f>IF(AH142="Check Data ⚠","Check Data ⚠",IFERROR(VLOOKUP(AH142,'G-4 Temporal multipliers'!$A$4:$C$36,3,FALSE),""))</f>
        <v/>
      </c>
      <c r="AJ142" s="537" t="str">
        <f>IF(S142="","",VLOOKUP(S142,'G-3 Multipliers'!$A$2:$E$129,4,FALSE))</f>
        <v/>
      </c>
      <c r="AK142" s="520" t="str">
        <f t="shared" si="31"/>
        <v/>
      </c>
      <c r="AL142" s="520" t="str">
        <f t="shared" si="32"/>
        <v/>
      </c>
      <c r="AM142" s="524" t="str">
        <f>IFERROR(IF(F142="","",IF(AH142="Check Data ⚠","Check Data ⚠",VLOOKUP(AL142, 'G-3 Multipliers'!$P$2:$Q$6,2,FALSE))),"")</f>
        <v/>
      </c>
      <c r="AN142" s="197"/>
      <c r="AO142" s="540" t="str">
        <f>IF(AN142="","",IF(VLOOKUP(AN142,'G-3 Multipliers'!$S$3:$T$9,2,FALSE)=0,"Spatial Data Missing ⚠",VLOOKUP(AN142,'G-3 Multipliers'!$S$3:$T$9,2,FALSE)))</f>
        <v/>
      </c>
      <c r="AP142" s="513" t="str">
        <f t="shared" si="33"/>
        <v/>
      </c>
      <c r="AQ142" s="231"/>
      <c r="AR142" s="150"/>
    </row>
    <row r="143" spans="1:44" x14ac:dyDescent="0.3">
      <c r="A143" s="31" t="str">
        <f>IF(E143="","",IF(ISNA(VLOOKUP($E143,'D-1 Off Site Habitat Baseline'!$D$1:$O$258,2,FALSE)),"",(VLOOKUP($E143,'D-1 Off Site Habitat Baseline'!$D$1:$O$258,2,FALSE))))</f>
        <v/>
      </c>
      <c r="B143" s="31" t="str">
        <f>IF(E143="","",IF(ISNA(VLOOKUP($E143,'D-1 Off Site Habitat Baseline'!$D$1:$O$258,3,FALSE)),"",(VLOOKUP($E143,'D-1 Off Site Habitat Baseline'!$D$1:$O$258,3,FALSE))))</f>
        <v/>
      </c>
      <c r="C143" s="31" t="str">
        <f>IFERROR(INDEX('G-8 Condition Look up'!$I$4:$I$130,MATCH(S143,'G-8 Condition Look up'!$A$4:$A$130,0)),"")</f>
        <v/>
      </c>
      <c r="E143" s="547" t="str">
        <f>'D-1 Off Site Habitat Baseline'!AL142</f>
        <v/>
      </c>
      <c r="F143" s="520" t="str">
        <f>IF(E143="","",IF(ISNA(VLOOKUP($E143,'D-1 Off Site Habitat Baseline'!$D$1:$O$258,4,FALSE)),"",(VLOOKUP($E143,'D-1 Off Site Habitat Baseline'!$D$1:$O$258,4,FALSE))))</f>
        <v/>
      </c>
      <c r="G143" s="520" t="str">
        <f>IF(E143="","",IF(ISNA(VLOOKUP($E143,'D-1 Off Site Habitat Baseline'!$D$1:$O$258,5,FALSE)),"",(VLOOKUP($E143,'D-1 Off Site Habitat Baseline'!$D$1:$O$258,5,FALSE))))</f>
        <v/>
      </c>
      <c r="H143" s="520" t="str">
        <f>IF(E143="","",IF(ISNA(VLOOKUP($E143,'D-1 Off Site Habitat Baseline'!$D$1:$O$258,6,FALSE)),"",(VLOOKUP($E143,'D-1 Off Site Habitat Baseline'!$D$1:$O$258,6,FALSE))))</f>
        <v/>
      </c>
      <c r="I143" s="520" t="str">
        <f>IF(E143="","",IF(ISNA(VLOOKUP($E143,'D-1 Off Site Habitat Baseline'!$D$1:$O$258,7,FALSE)),"",(VLOOKUP($E143,'D-1 Off Site Habitat Baseline'!$D$1:$O$258,7,FALSE))))</f>
        <v/>
      </c>
      <c r="J143" s="520" t="str">
        <f>IF(E143="","",IF(ISNA(VLOOKUP($E143,'D-1 Off Site Habitat Baseline'!$D$1:$O$258,8,FALSE)),"",(VLOOKUP($E143,'D-1 Off Site Habitat Baseline'!$D$1:$O$258,8,FALSE))))</f>
        <v/>
      </c>
      <c r="K143" s="520" t="str">
        <f>IF(E143="","",IF(ISNA(VLOOKUP($E143,'D-1 Off Site Habitat Baseline'!$D$1:$O$258,9,FALSE)),"",(VLOOKUP($E143,'D-1 Off Site Habitat Baseline'!$D$1:$O$258,9,FALSE))))</f>
        <v/>
      </c>
      <c r="L143" s="520" t="str">
        <f>IF(E143="","",IF(ISNA(VLOOKUP($E143,'D-1 Off Site Habitat Baseline'!$D$1:$O$258,11,FALSE)),"",(VLOOKUP($E143,'D-1 Off Site Habitat Baseline'!$D$1:$O$258,11,FALSE))))</f>
        <v/>
      </c>
      <c r="M143" s="520" t="str">
        <f>IF(E143="","",IF(ISNA(VLOOKUP($E143,'D-1 Off Site Habitat Baseline'!$D$1:$O$258,12,FALSE)),"",(VLOOKUP($E143,'D-1 Off Site Habitat Baseline'!$D$1:$O$258,12,FALSE))))</f>
        <v/>
      </c>
      <c r="N143" s="520" t="str">
        <f>IF(E143="","",IF(ISNA(VLOOKUP($E143,'D-1 Off Site Habitat Baseline'!$D$1:$X$258,14,FALSE)),"",(VLOOKUP($E143,'D-1 Off Site Habitat Baseline'!$D$1:$X$258,14,FALSE))))</f>
        <v/>
      </c>
      <c r="O143" s="524" t="str">
        <f>IF(E143="","",IF(ISNA(VLOOKUP($E143,'D-1 Off Site Habitat Baseline'!$D$1:$X$258,13,FALSE)),"",(VLOOKUP($E143,'D-1 Off Site Habitat Baseline'!$D$1:$X$258,13,FALSE))))</f>
        <v/>
      </c>
      <c r="P143" s="232" t="str">
        <f>IFERROR(INDEX('G-1 All Habitats'!$AG$3:$AG$15,MATCH(Q143,'G-1 All Habitats'!$AF$3:$AF$15,0)),"")</f>
        <v/>
      </c>
      <c r="Q143" s="228" t="str">
        <f t="shared" ref="Q143:Q206" si="34">A143</f>
        <v/>
      </c>
      <c r="R143" s="229" t="str">
        <f t="shared" ref="R143:R206" si="35">B143</f>
        <v/>
      </c>
      <c r="S143" s="233" t="str">
        <f>IFERROR(INDEX('G-1 All Habitats'!$B$3:$B$129,MATCH(R143,'G-1 All Habitats'!$A$3:$A$129,0)),"")</f>
        <v/>
      </c>
      <c r="T143" s="507" t="str">
        <f t="shared" si="27"/>
        <v/>
      </c>
      <c r="U143" s="524" t="str">
        <f t="shared" si="28"/>
        <v/>
      </c>
      <c r="V143" s="523" t="str">
        <f t="shared" si="25"/>
        <v/>
      </c>
      <c r="W143" s="520" t="str">
        <f>IF(S143="","",VLOOKUP(S143,'G-1 All Habitats'!$B$2:$M$129,10,FALSE))</f>
        <v/>
      </c>
      <c r="X143" s="520" t="str">
        <f>IFERROR(VLOOKUP(W143,'G-1 All Habitats'!$V$3:$W$7,2,FALSE),"")</f>
        <v/>
      </c>
      <c r="Y143" s="203"/>
      <c r="Z143" s="524" t="str">
        <f>IFERROR(INDEX('G-8 Condition Look up'!$A$3:$H$130,MATCH(S143,'G-8 Condition Look up'!$A$3:$A$130,0),MATCH(Y143,'G-8 Condition Look up'!$A$3:$H$3,0)),"")</f>
        <v/>
      </c>
      <c r="AA143" s="145"/>
      <c r="AB143" s="540" t="str">
        <f>IF(AA143="","",IF(VLOOKUP(AA143,'G-3 Multipliers'!$L$3:$N$6,2,FALSE)=0,"Spatial Data Missing ⚠",VLOOKUP(AA143,'G-3 Multipliers'!$L$3:$N$6,2,FALSE)))</f>
        <v/>
      </c>
      <c r="AC143" s="524" t="str">
        <f>IF(AA143="","",IF(VLOOKUP(AA143,'G-3 Multipliers'!$L$3:$N$6,3,FALSE)=0,"Spatial Data Missing ⚠",VLOOKUP(AA143,'G-3 Multipliers'!$L$3:$N$6,3,FALSE)))</f>
        <v/>
      </c>
      <c r="AD143" s="537" t="str">
        <f t="shared" si="26"/>
        <v/>
      </c>
      <c r="AE143" s="203"/>
      <c r="AF143" s="203"/>
      <c r="AG143" s="520" t="str">
        <f t="shared" si="29"/>
        <v/>
      </c>
      <c r="AH143" s="544" t="str">
        <f t="shared" si="30"/>
        <v/>
      </c>
      <c r="AI143" s="525" t="str">
        <f>IF(AH143="Check Data ⚠","Check Data ⚠",IFERROR(VLOOKUP(AH143,'G-4 Temporal multipliers'!$A$4:$C$36,3,FALSE),""))</f>
        <v/>
      </c>
      <c r="AJ143" s="537" t="str">
        <f>IF(S143="","",VLOOKUP(S143,'G-3 Multipliers'!$A$2:$E$129,4,FALSE))</f>
        <v/>
      </c>
      <c r="AK143" s="520" t="str">
        <f t="shared" si="31"/>
        <v/>
      </c>
      <c r="AL143" s="520" t="str">
        <f t="shared" si="32"/>
        <v/>
      </c>
      <c r="AM143" s="524" t="str">
        <f>IFERROR(IF(F143="","",IF(AH143="Check Data ⚠","Check Data ⚠",VLOOKUP(AL143, 'G-3 Multipliers'!$P$2:$Q$6,2,FALSE))),"")</f>
        <v/>
      </c>
      <c r="AN143" s="197"/>
      <c r="AO143" s="540" t="str">
        <f>IF(AN143="","",IF(VLOOKUP(AN143,'G-3 Multipliers'!$S$3:$T$9,2,FALSE)=0,"Spatial Data Missing ⚠",VLOOKUP(AN143,'G-3 Multipliers'!$S$3:$T$9,2,FALSE)))</f>
        <v/>
      </c>
      <c r="AP143" s="513" t="str">
        <f t="shared" si="33"/>
        <v/>
      </c>
      <c r="AQ143" s="231"/>
      <c r="AR143" s="150"/>
    </row>
    <row r="144" spans="1:44" x14ac:dyDescent="0.3">
      <c r="A144" s="31" t="str">
        <f>IF(E144="","",IF(ISNA(VLOOKUP($E144,'D-1 Off Site Habitat Baseline'!$D$1:$O$258,2,FALSE)),"",(VLOOKUP($E144,'D-1 Off Site Habitat Baseline'!$D$1:$O$258,2,FALSE))))</f>
        <v/>
      </c>
      <c r="B144" s="31" t="str">
        <f>IF(E144="","",IF(ISNA(VLOOKUP($E144,'D-1 Off Site Habitat Baseline'!$D$1:$O$258,3,FALSE)),"",(VLOOKUP($E144,'D-1 Off Site Habitat Baseline'!$D$1:$O$258,3,FALSE))))</f>
        <v/>
      </c>
      <c r="C144" s="31" t="str">
        <f>IFERROR(INDEX('G-8 Condition Look up'!$I$4:$I$130,MATCH(S144,'G-8 Condition Look up'!$A$4:$A$130,0)),"")</f>
        <v/>
      </c>
      <c r="E144" s="547" t="str">
        <f>'D-1 Off Site Habitat Baseline'!AL143</f>
        <v/>
      </c>
      <c r="F144" s="520" t="str">
        <f>IF(E144="","",IF(ISNA(VLOOKUP($E144,'D-1 Off Site Habitat Baseline'!$D$1:$O$258,4,FALSE)),"",(VLOOKUP($E144,'D-1 Off Site Habitat Baseline'!$D$1:$O$258,4,FALSE))))</f>
        <v/>
      </c>
      <c r="G144" s="520" t="str">
        <f>IF(E144="","",IF(ISNA(VLOOKUP($E144,'D-1 Off Site Habitat Baseline'!$D$1:$O$258,5,FALSE)),"",(VLOOKUP($E144,'D-1 Off Site Habitat Baseline'!$D$1:$O$258,5,FALSE))))</f>
        <v/>
      </c>
      <c r="H144" s="520" t="str">
        <f>IF(E144="","",IF(ISNA(VLOOKUP($E144,'D-1 Off Site Habitat Baseline'!$D$1:$O$258,6,FALSE)),"",(VLOOKUP($E144,'D-1 Off Site Habitat Baseline'!$D$1:$O$258,6,FALSE))))</f>
        <v/>
      </c>
      <c r="I144" s="520" t="str">
        <f>IF(E144="","",IF(ISNA(VLOOKUP($E144,'D-1 Off Site Habitat Baseline'!$D$1:$O$258,7,FALSE)),"",(VLOOKUP($E144,'D-1 Off Site Habitat Baseline'!$D$1:$O$258,7,FALSE))))</f>
        <v/>
      </c>
      <c r="J144" s="520" t="str">
        <f>IF(E144="","",IF(ISNA(VLOOKUP($E144,'D-1 Off Site Habitat Baseline'!$D$1:$O$258,8,FALSE)),"",(VLOOKUP($E144,'D-1 Off Site Habitat Baseline'!$D$1:$O$258,8,FALSE))))</f>
        <v/>
      </c>
      <c r="K144" s="520" t="str">
        <f>IF(E144="","",IF(ISNA(VLOOKUP($E144,'D-1 Off Site Habitat Baseline'!$D$1:$O$258,9,FALSE)),"",(VLOOKUP($E144,'D-1 Off Site Habitat Baseline'!$D$1:$O$258,9,FALSE))))</f>
        <v/>
      </c>
      <c r="L144" s="520" t="str">
        <f>IF(E144="","",IF(ISNA(VLOOKUP($E144,'D-1 Off Site Habitat Baseline'!$D$1:$O$258,11,FALSE)),"",(VLOOKUP($E144,'D-1 Off Site Habitat Baseline'!$D$1:$O$258,11,FALSE))))</f>
        <v/>
      </c>
      <c r="M144" s="520" t="str">
        <f>IF(E144="","",IF(ISNA(VLOOKUP($E144,'D-1 Off Site Habitat Baseline'!$D$1:$O$258,12,FALSE)),"",(VLOOKUP($E144,'D-1 Off Site Habitat Baseline'!$D$1:$O$258,12,FALSE))))</f>
        <v/>
      </c>
      <c r="N144" s="520" t="str">
        <f>IF(E144="","",IF(ISNA(VLOOKUP($E144,'D-1 Off Site Habitat Baseline'!$D$1:$X$258,14,FALSE)),"",(VLOOKUP($E144,'D-1 Off Site Habitat Baseline'!$D$1:$X$258,14,FALSE))))</f>
        <v/>
      </c>
      <c r="O144" s="524" t="str">
        <f>IF(E144="","",IF(ISNA(VLOOKUP($E144,'D-1 Off Site Habitat Baseline'!$D$1:$X$258,13,FALSE)),"",(VLOOKUP($E144,'D-1 Off Site Habitat Baseline'!$D$1:$X$258,13,FALSE))))</f>
        <v/>
      </c>
      <c r="P144" s="232" t="str">
        <f>IFERROR(INDEX('G-1 All Habitats'!$AG$3:$AG$15,MATCH(Q144,'G-1 All Habitats'!$AF$3:$AF$15,0)),"")</f>
        <v/>
      </c>
      <c r="Q144" s="228" t="str">
        <f t="shared" si="34"/>
        <v/>
      </c>
      <c r="R144" s="229" t="str">
        <f t="shared" si="35"/>
        <v/>
      </c>
      <c r="S144" s="233" t="str">
        <f>IFERROR(INDEX('G-1 All Habitats'!$B$3:$B$129,MATCH(R144,'G-1 All Habitats'!$A$3:$A$129,0)),"")</f>
        <v/>
      </c>
      <c r="T144" s="507" t="str">
        <f t="shared" si="27"/>
        <v/>
      </c>
      <c r="U144" s="524" t="str">
        <f t="shared" si="28"/>
        <v/>
      </c>
      <c r="V144" s="523" t="str">
        <f t="shared" si="25"/>
        <v/>
      </c>
      <c r="W144" s="520" t="str">
        <f>IF(S144="","",VLOOKUP(S144,'G-1 All Habitats'!$B$2:$M$129,10,FALSE))</f>
        <v/>
      </c>
      <c r="X144" s="520" t="str">
        <f>IFERROR(VLOOKUP(W144,'G-1 All Habitats'!$V$3:$W$7,2,FALSE),"")</f>
        <v/>
      </c>
      <c r="Y144" s="203"/>
      <c r="Z144" s="524" t="str">
        <f>IFERROR(INDEX('G-8 Condition Look up'!$A$3:$H$130,MATCH(S144,'G-8 Condition Look up'!$A$3:$A$130,0),MATCH(Y144,'G-8 Condition Look up'!$A$3:$H$3,0)),"")</f>
        <v/>
      </c>
      <c r="AA144" s="145"/>
      <c r="AB144" s="540" t="str">
        <f>IF(AA144="","",IF(VLOOKUP(AA144,'G-3 Multipliers'!$L$3:$N$6,2,FALSE)=0,"Spatial Data Missing ⚠",VLOOKUP(AA144,'G-3 Multipliers'!$L$3:$N$6,2,FALSE)))</f>
        <v/>
      </c>
      <c r="AC144" s="524" t="str">
        <f>IF(AA144="","",IF(VLOOKUP(AA144,'G-3 Multipliers'!$L$3:$N$6,3,FALSE)=0,"Spatial Data Missing ⚠",VLOOKUP(AA144,'G-3 Multipliers'!$L$3:$N$6,3,FALSE)))</f>
        <v/>
      </c>
      <c r="AD144" s="537" t="str">
        <f t="shared" si="26"/>
        <v/>
      </c>
      <c r="AE144" s="203"/>
      <c r="AF144" s="203"/>
      <c r="AG144" s="520" t="str">
        <f t="shared" si="29"/>
        <v/>
      </c>
      <c r="AH144" s="544" t="str">
        <f t="shared" si="30"/>
        <v/>
      </c>
      <c r="AI144" s="525" t="str">
        <f>IF(AH144="Check Data ⚠","Check Data ⚠",IFERROR(VLOOKUP(AH144,'G-4 Temporal multipliers'!$A$4:$C$36,3,FALSE),""))</f>
        <v/>
      </c>
      <c r="AJ144" s="537" t="str">
        <f>IF(S144="","",VLOOKUP(S144,'G-3 Multipliers'!$A$2:$E$129,4,FALSE))</f>
        <v/>
      </c>
      <c r="AK144" s="520" t="str">
        <f t="shared" si="31"/>
        <v/>
      </c>
      <c r="AL144" s="520" t="str">
        <f t="shared" si="32"/>
        <v/>
      </c>
      <c r="AM144" s="524" t="str">
        <f>IFERROR(IF(F144="","",IF(AH144="Check Data ⚠","Check Data ⚠",VLOOKUP(AL144, 'G-3 Multipliers'!$P$2:$Q$6,2,FALSE))),"")</f>
        <v/>
      </c>
      <c r="AN144" s="197"/>
      <c r="AO144" s="540" t="str">
        <f>IF(AN144="","",IF(VLOOKUP(AN144,'G-3 Multipliers'!$S$3:$T$9,2,FALSE)=0,"Spatial Data Missing ⚠",VLOOKUP(AN144,'G-3 Multipliers'!$S$3:$T$9,2,FALSE)))</f>
        <v/>
      </c>
      <c r="AP144" s="513" t="str">
        <f t="shared" si="33"/>
        <v/>
      </c>
      <c r="AQ144" s="231"/>
      <c r="AR144" s="150"/>
    </row>
    <row r="145" spans="1:44" x14ac:dyDescent="0.3">
      <c r="A145" s="31" t="str">
        <f>IF(E145="","",IF(ISNA(VLOOKUP($E145,'D-1 Off Site Habitat Baseline'!$D$1:$O$258,2,FALSE)),"",(VLOOKUP($E145,'D-1 Off Site Habitat Baseline'!$D$1:$O$258,2,FALSE))))</f>
        <v/>
      </c>
      <c r="B145" s="31" t="str">
        <f>IF(E145="","",IF(ISNA(VLOOKUP($E145,'D-1 Off Site Habitat Baseline'!$D$1:$O$258,3,FALSE)),"",(VLOOKUP($E145,'D-1 Off Site Habitat Baseline'!$D$1:$O$258,3,FALSE))))</f>
        <v/>
      </c>
      <c r="C145" s="31" t="str">
        <f>IFERROR(INDEX('G-8 Condition Look up'!$I$4:$I$130,MATCH(S145,'G-8 Condition Look up'!$A$4:$A$130,0)),"")</f>
        <v/>
      </c>
      <c r="E145" s="547" t="str">
        <f>'D-1 Off Site Habitat Baseline'!AL144</f>
        <v/>
      </c>
      <c r="F145" s="520" t="str">
        <f>IF(E145="","",IF(ISNA(VLOOKUP($E145,'D-1 Off Site Habitat Baseline'!$D$1:$O$258,4,FALSE)),"",(VLOOKUP($E145,'D-1 Off Site Habitat Baseline'!$D$1:$O$258,4,FALSE))))</f>
        <v/>
      </c>
      <c r="G145" s="520" t="str">
        <f>IF(E145="","",IF(ISNA(VLOOKUP($E145,'D-1 Off Site Habitat Baseline'!$D$1:$O$258,5,FALSE)),"",(VLOOKUP($E145,'D-1 Off Site Habitat Baseline'!$D$1:$O$258,5,FALSE))))</f>
        <v/>
      </c>
      <c r="H145" s="520" t="str">
        <f>IF(E145="","",IF(ISNA(VLOOKUP($E145,'D-1 Off Site Habitat Baseline'!$D$1:$O$258,6,FALSE)),"",(VLOOKUP($E145,'D-1 Off Site Habitat Baseline'!$D$1:$O$258,6,FALSE))))</f>
        <v/>
      </c>
      <c r="I145" s="520" t="str">
        <f>IF(E145="","",IF(ISNA(VLOOKUP($E145,'D-1 Off Site Habitat Baseline'!$D$1:$O$258,7,FALSE)),"",(VLOOKUP($E145,'D-1 Off Site Habitat Baseline'!$D$1:$O$258,7,FALSE))))</f>
        <v/>
      </c>
      <c r="J145" s="520" t="str">
        <f>IF(E145="","",IF(ISNA(VLOOKUP($E145,'D-1 Off Site Habitat Baseline'!$D$1:$O$258,8,FALSE)),"",(VLOOKUP($E145,'D-1 Off Site Habitat Baseline'!$D$1:$O$258,8,FALSE))))</f>
        <v/>
      </c>
      <c r="K145" s="520" t="str">
        <f>IF(E145="","",IF(ISNA(VLOOKUP($E145,'D-1 Off Site Habitat Baseline'!$D$1:$O$258,9,FALSE)),"",(VLOOKUP($E145,'D-1 Off Site Habitat Baseline'!$D$1:$O$258,9,FALSE))))</f>
        <v/>
      </c>
      <c r="L145" s="520" t="str">
        <f>IF(E145="","",IF(ISNA(VLOOKUP($E145,'D-1 Off Site Habitat Baseline'!$D$1:$O$258,11,FALSE)),"",(VLOOKUP($E145,'D-1 Off Site Habitat Baseline'!$D$1:$O$258,11,FALSE))))</f>
        <v/>
      </c>
      <c r="M145" s="520" t="str">
        <f>IF(E145="","",IF(ISNA(VLOOKUP($E145,'D-1 Off Site Habitat Baseline'!$D$1:$O$258,12,FALSE)),"",(VLOOKUP($E145,'D-1 Off Site Habitat Baseline'!$D$1:$O$258,12,FALSE))))</f>
        <v/>
      </c>
      <c r="N145" s="520" t="str">
        <f>IF(E145="","",IF(ISNA(VLOOKUP($E145,'D-1 Off Site Habitat Baseline'!$D$1:$X$258,14,FALSE)),"",(VLOOKUP($E145,'D-1 Off Site Habitat Baseline'!$D$1:$X$258,14,FALSE))))</f>
        <v/>
      </c>
      <c r="O145" s="524" t="str">
        <f>IF(E145="","",IF(ISNA(VLOOKUP($E145,'D-1 Off Site Habitat Baseline'!$D$1:$X$258,13,FALSE)),"",(VLOOKUP($E145,'D-1 Off Site Habitat Baseline'!$D$1:$X$258,13,FALSE))))</f>
        <v/>
      </c>
      <c r="P145" s="232" t="str">
        <f>IFERROR(INDEX('G-1 All Habitats'!$AG$3:$AG$15,MATCH(Q145,'G-1 All Habitats'!$AF$3:$AF$15,0)),"")</f>
        <v/>
      </c>
      <c r="Q145" s="228" t="str">
        <f t="shared" si="34"/>
        <v/>
      </c>
      <c r="R145" s="229" t="str">
        <f t="shared" si="35"/>
        <v/>
      </c>
      <c r="S145" s="233" t="str">
        <f>IFERROR(INDEX('G-1 All Habitats'!$B$3:$B$129,MATCH(R145,'G-1 All Habitats'!$A$3:$A$129,0)),"")</f>
        <v/>
      </c>
      <c r="T145" s="507" t="str">
        <f t="shared" si="27"/>
        <v/>
      </c>
      <c r="U145" s="524" t="str">
        <f t="shared" si="28"/>
        <v/>
      </c>
      <c r="V145" s="523" t="str">
        <f t="shared" si="25"/>
        <v/>
      </c>
      <c r="W145" s="520" t="str">
        <f>IF(S145="","",VLOOKUP(S145,'G-1 All Habitats'!$B$2:$M$129,10,FALSE))</f>
        <v/>
      </c>
      <c r="X145" s="520" t="str">
        <f>IFERROR(VLOOKUP(W145,'G-1 All Habitats'!$V$3:$W$7,2,FALSE),"")</f>
        <v/>
      </c>
      <c r="Y145" s="203"/>
      <c r="Z145" s="524" t="str">
        <f>IFERROR(INDEX('G-8 Condition Look up'!$A$3:$H$130,MATCH(S145,'G-8 Condition Look up'!$A$3:$A$130,0),MATCH(Y145,'G-8 Condition Look up'!$A$3:$H$3,0)),"")</f>
        <v/>
      </c>
      <c r="AA145" s="145"/>
      <c r="AB145" s="540" t="str">
        <f>IF(AA145="","",IF(VLOOKUP(AA145,'G-3 Multipliers'!$L$3:$N$6,2,FALSE)=0,"Spatial Data Missing ⚠",VLOOKUP(AA145,'G-3 Multipliers'!$L$3:$N$6,2,FALSE)))</f>
        <v/>
      </c>
      <c r="AC145" s="524" t="str">
        <f>IF(AA145="","",IF(VLOOKUP(AA145,'G-3 Multipliers'!$L$3:$N$6,3,FALSE)=0,"Spatial Data Missing ⚠",VLOOKUP(AA145,'G-3 Multipliers'!$L$3:$N$6,3,FALSE)))</f>
        <v/>
      </c>
      <c r="AD145" s="537" t="str">
        <f t="shared" si="26"/>
        <v/>
      </c>
      <c r="AE145" s="203"/>
      <c r="AF145" s="203"/>
      <c r="AG145" s="520" t="str">
        <f t="shared" si="29"/>
        <v/>
      </c>
      <c r="AH145" s="544" t="str">
        <f t="shared" si="30"/>
        <v/>
      </c>
      <c r="AI145" s="525" t="str">
        <f>IF(AH145="Check Data ⚠","Check Data ⚠",IFERROR(VLOOKUP(AH145,'G-4 Temporal multipliers'!$A$4:$C$36,3,FALSE),""))</f>
        <v/>
      </c>
      <c r="AJ145" s="537" t="str">
        <f>IF(S145="","",VLOOKUP(S145,'G-3 Multipliers'!$A$2:$E$129,4,FALSE))</f>
        <v/>
      </c>
      <c r="AK145" s="520" t="str">
        <f t="shared" si="31"/>
        <v/>
      </c>
      <c r="AL145" s="520" t="str">
        <f t="shared" si="32"/>
        <v/>
      </c>
      <c r="AM145" s="524" t="str">
        <f>IFERROR(IF(F145="","",IF(AH145="Check Data ⚠","Check Data ⚠",VLOOKUP(AL145, 'G-3 Multipliers'!$P$2:$Q$6,2,FALSE))),"")</f>
        <v/>
      </c>
      <c r="AN145" s="197"/>
      <c r="AO145" s="540" t="str">
        <f>IF(AN145="","",IF(VLOOKUP(AN145,'G-3 Multipliers'!$S$3:$T$9,2,FALSE)=0,"Spatial Data Missing ⚠",VLOOKUP(AN145,'G-3 Multipliers'!$S$3:$T$9,2,FALSE)))</f>
        <v/>
      </c>
      <c r="AP145" s="513" t="str">
        <f t="shared" si="33"/>
        <v/>
      </c>
      <c r="AQ145" s="231"/>
      <c r="AR145" s="150"/>
    </row>
    <row r="146" spans="1:44" x14ac:dyDescent="0.3">
      <c r="A146" s="31" t="str">
        <f>IF(E146="","",IF(ISNA(VLOOKUP($E146,'D-1 Off Site Habitat Baseline'!$D$1:$O$258,2,FALSE)),"",(VLOOKUP($E146,'D-1 Off Site Habitat Baseline'!$D$1:$O$258,2,FALSE))))</f>
        <v/>
      </c>
      <c r="B146" s="31" t="str">
        <f>IF(E146="","",IF(ISNA(VLOOKUP($E146,'D-1 Off Site Habitat Baseline'!$D$1:$O$258,3,FALSE)),"",(VLOOKUP($E146,'D-1 Off Site Habitat Baseline'!$D$1:$O$258,3,FALSE))))</f>
        <v/>
      </c>
      <c r="C146" s="31" t="str">
        <f>IFERROR(INDEX('G-8 Condition Look up'!$I$4:$I$130,MATCH(S146,'G-8 Condition Look up'!$A$4:$A$130,0)),"")</f>
        <v/>
      </c>
      <c r="E146" s="547" t="str">
        <f>'D-1 Off Site Habitat Baseline'!AL145</f>
        <v/>
      </c>
      <c r="F146" s="520" t="str">
        <f>IF(E146="","",IF(ISNA(VLOOKUP($E146,'D-1 Off Site Habitat Baseline'!$D$1:$O$258,4,FALSE)),"",(VLOOKUP($E146,'D-1 Off Site Habitat Baseline'!$D$1:$O$258,4,FALSE))))</f>
        <v/>
      </c>
      <c r="G146" s="520" t="str">
        <f>IF(E146="","",IF(ISNA(VLOOKUP($E146,'D-1 Off Site Habitat Baseline'!$D$1:$O$258,5,FALSE)),"",(VLOOKUP($E146,'D-1 Off Site Habitat Baseline'!$D$1:$O$258,5,FALSE))))</f>
        <v/>
      </c>
      <c r="H146" s="520" t="str">
        <f>IF(E146="","",IF(ISNA(VLOOKUP($E146,'D-1 Off Site Habitat Baseline'!$D$1:$O$258,6,FALSE)),"",(VLOOKUP($E146,'D-1 Off Site Habitat Baseline'!$D$1:$O$258,6,FALSE))))</f>
        <v/>
      </c>
      <c r="I146" s="520" t="str">
        <f>IF(E146="","",IF(ISNA(VLOOKUP($E146,'D-1 Off Site Habitat Baseline'!$D$1:$O$258,7,FALSE)),"",(VLOOKUP($E146,'D-1 Off Site Habitat Baseline'!$D$1:$O$258,7,FALSE))))</f>
        <v/>
      </c>
      <c r="J146" s="520" t="str">
        <f>IF(E146="","",IF(ISNA(VLOOKUP($E146,'D-1 Off Site Habitat Baseline'!$D$1:$O$258,8,FALSE)),"",(VLOOKUP($E146,'D-1 Off Site Habitat Baseline'!$D$1:$O$258,8,FALSE))))</f>
        <v/>
      </c>
      <c r="K146" s="520" t="str">
        <f>IF(E146="","",IF(ISNA(VLOOKUP($E146,'D-1 Off Site Habitat Baseline'!$D$1:$O$258,9,FALSE)),"",(VLOOKUP($E146,'D-1 Off Site Habitat Baseline'!$D$1:$O$258,9,FALSE))))</f>
        <v/>
      </c>
      <c r="L146" s="520" t="str">
        <f>IF(E146="","",IF(ISNA(VLOOKUP($E146,'D-1 Off Site Habitat Baseline'!$D$1:$O$258,11,FALSE)),"",(VLOOKUP($E146,'D-1 Off Site Habitat Baseline'!$D$1:$O$258,11,FALSE))))</f>
        <v/>
      </c>
      <c r="M146" s="520" t="str">
        <f>IF(E146="","",IF(ISNA(VLOOKUP($E146,'D-1 Off Site Habitat Baseline'!$D$1:$O$258,12,FALSE)),"",(VLOOKUP($E146,'D-1 Off Site Habitat Baseline'!$D$1:$O$258,12,FALSE))))</f>
        <v/>
      </c>
      <c r="N146" s="520" t="str">
        <f>IF(E146="","",IF(ISNA(VLOOKUP($E146,'D-1 Off Site Habitat Baseline'!$D$1:$X$258,14,FALSE)),"",(VLOOKUP($E146,'D-1 Off Site Habitat Baseline'!$D$1:$X$258,14,FALSE))))</f>
        <v/>
      </c>
      <c r="O146" s="524" t="str">
        <f>IF(E146="","",IF(ISNA(VLOOKUP($E146,'D-1 Off Site Habitat Baseline'!$D$1:$X$258,13,FALSE)),"",(VLOOKUP($E146,'D-1 Off Site Habitat Baseline'!$D$1:$X$258,13,FALSE))))</f>
        <v/>
      </c>
      <c r="P146" s="232" t="str">
        <f>IFERROR(INDEX('G-1 All Habitats'!$AG$3:$AG$15,MATCH(Q146,'G-1 All Habitats'!$AF$3:$AF$15,0)),"")</f>
        <v/>
      </c>
      <c r="Q146" s="228" t="str">
        <f t="shared" si="34"/>
        <v/>
      </c>
      <c r="R146" s="229" t="str">
        <f t="shared" si="35"/>
        <v/>
      </c>
      <c r="S146" s="233" t="str">
        <f>IFERROR(INDEX('G-1 All Habitats'!$B$3:$B$129,MATCH(R146,'G-1 All Habitats'!$A$3:$A$129,0)),"")</f>
        <v/>
      </c>
      <c r="T146" s="507" t="str">
        <f t="shared" si="27"/>
        <v/>
      </c>
      <c r="U146" s="524" t="str">
        <f t="shared" si="28"/>
        <v/>
      </c>
      <c r="V146" s="523" t="str">
        <f t="shared" si="25"/>
        <v/>
      </c>
      <c r="W146" s="520" t="str">
        <f>IF(S146="","",VLOOKUP(S146,'G-1 All Habitats'!$B$2:$M$129,10,FALSE))</f>
        <v/>
      </c>
      <c r="X146" s="520" t="str">
        <f>IFERROR(VLOOKUP(W146,'G-1 All Habitats'!$V$3:$W$7,2,FALSE),"")</f>
        <v/>
      </c>
      <c r="Y146" s="203"/>
      <c r="Z146" s="524" t="str">
        <f>IFERROR(INDEX('G-8 Condition Look up'!$A$3:$H$130,MATCH(S146,'G-8 Condition Look up'!$A$3:$A$130,0),MATCH(Y146,'G-8 Condition Look up'!$A$3:$H$3,0)),"")</f>
        <v/>
      </c>
      <c r="AA146" s="145"/>
      <c r="AB146" s="540" t="str">
        <f>IF(AA146="","",IF(VLOOKUP(AA146,'G-3 Multipliers'!$L$3:$N$6,2,FALSE)=0,"Spatial Data Missing ⚠",VLOOKUP(AA146,'G-3 Multipliers'!$L$3:$N$6,2,FALSE)))</f>
        <v/>
      </c>
      <c r="AC146" s="524" t="str">
        <f>IF(AA146="","",IF(VLOOKUP(AA146,'G-3 Multipliers'!$L$3:$N$6,3,FALSE)=0,"Spatial Data Missing ⚠",VLOOKUP(AA146,'G-3 Multipliers'!$L$3:$N$6,3,FALSE)))</f>
        <v/>
      </c>
      <c r="AD146" s="537" t="str">
        <f t="shared" si="26"/>
        <v/>
      </c>
      <c r="AE146" s="203"/>
      <c r="AF146" s="203"/>
      <c r="AG146" s="520" t="str">
        <f t="shared" si="29"/>
        <v/>
      </c>
      <c r="AH146" s="544" t="str">
        <f t="shared" si="30"/>
        <v/>
      </c>
      <c r="AI146" s="525" t="str">
        <f>IF(AH146="Check Data ⚠","Check Data ⚠",IFERROR(VLOOKUP(AH146,'G-4 Temporal multipliers'!$A$4:$C$36,3,FALSE),""))</f>
        <v/>
      </c>
      <c r="AJ146" s="537" t="str">
        <f>IF(S146="","",VLOOKUP(S146,'G-3 Multipliers'!$A$2:$E$129,4,FALSE))</f>
        <v/>
      </c>
      <c r="AK146" s="520" t="str">
        <f t="shared" si="31"/>
        <v/>
      </c>
      <c r="AL146" s="520" t="str">
        <f t="shared" si="32"/>
        <v/>
      </c>
      <c r="AM146" s="524" t="str">
        <f>IFERROR(IF(F146="","",IF(AH146="Check Data ⚠","Check Data ⚠",VLOOKUP(AL146, 'G-3 Multipliers'!$P$2:$Q$6,2,FALSE))),"")</f>
        <v/>
      </c>
      <c r="AN146" s="197"/>
      <c r="AO146" s="540" t="str">
        <f>IF(AN146="","",IF(VLOOKUP(AN146,'G-3 Multipliers'!$S$3:$T$9,2,FALSE)=0,"Spatial Data Missing ⚠",VLOOKUP(AN146,'G-3 Multipliers'!$S$3:$T$9,2,FALSE)))</f>
        <v/>
      </c>
      <c r="AP146" s="513" t="str">
        <f t="shared" si="33"/>
        <v/>
      </c>
      <c r="AQ146" s="231"/>
      <c r="AR146" s="150"/>
    </row>
    <row r="147" spans="1:44" x14ac:dyDescent="0.3">
      <c r="A147" s="31" t="str">
        <f>IF(E147="","",IF(ISNA(VLOOKUP($E147,'D-1 Off Site Habitat Baseline'!$D$1:$O$258,2,FALSE)),"",(VLOOKUP($E147,'D-1 Off Site Habitat Baseline'!$D$1:$O$258,2,FALSE))))</f>
        <v/>
      </c>
      <c r="B147" s="31" t="str">
        <f>IF(E147="","",IF(ISNA(VLOOKUP($E147,'D-1 Off Site Habitat Baseline'!$D$1:$O$258,3,FALSE)),"",(VLOOKUP($E147,'D-1 Off Site Habitat Baseline'!$D$1:$O$258,3,FALSE))))</f>
        <v/>
      </c>
      <c r="C147" s="31" t="str">
        <f>IFERROR(INDEX('G-8 Condition Look up'!$I$4:$I$130,MATCH(S147,'G-8 Condition Look up'!$A$4:$A$130,0)),"")</f>
        <v/>
      </c>
      <c r="E147" s="547" t="str">
        <f>'D-1 Off Site Habitat Baseline'!AL146</f>
        <v/>
      </c>
      <c r="F147" s="520" t="str">
        <f>IF(E147="","",IF(ISNA(VLOOKUP($E147,'D-1 Off Site Habitat Baseline'!$D$1:$O$258,4,FALSE)),"",(VLOOKUP($E147,'D-1 Off Site Habitat Baseline'!$D$1:$O$258,4,FALSE))))</f>
        <v/>
      </c>
      <c r="G147" s="520" t="str">
        <f>IF(E147="","",IF(ISNA(VLOOKUP($E147,'D-1 Off Site Habitat Baseline'!$D$1:$O$258,5,FALSE)),"",(VLOOKUP($E147,'D-1 Off Site Habitat Baseline'!$D$1:$O$258,5,FALSE))))</f>
        <v/>
      </c>
      <c r="H147" s="520" t="str">
        <f>IF(E147="","",IF(ISNA(VLOOKUP($E147,'D-1 Off Site Habitat Baseline'!$D$1:$O$258,6,FALSE)),"",(VLOOKUP($E147,'D-1 Off Site Habitat Baseline'!$D$1:$O$258,6,FALSE))))</f>
        <v/>
      </c>
      <c r="I147" s="520" t="str">
        <f>IF(E147="","",IF(ISNA(VLOOKUP($E147,'D-1 Off Site Habitat Baseline'!$D$1:$O$258,7,FALSE)),"",(VLOOKUP($E147,'D-1 Off Site Habitat Baseline'!$D$1:$O$258,7,FALSE))))</f>
        <v/>
      </c>
      <c r="J147" s="520" t="str">
        <f>IF(E147="","",IF(ISNA(VLOOKUP($E147,'D-1 Off Site Habitat Baseline'!$D$1:$O$258,8,FALSE)),"",(VLOOKUP($E147,'D-1 Off Site Habitat Baseline'!$D$1:$O$258,8,FALSE))))</f>
        <v/>
      </c>
      <c r="K147" s="520" t="str">
        <f>IF(E147="","",IF(ISNA(VLOOKUP($E147,'D-1 Off Site Habitat Baseline'!$D$1:$O$258,9,FALSE)),"",(VLOOKUP($E147,'D-1 Off Site Habitat Baseline'!$D$1:$O$258,9,FALSE))))</f>
        <v/>
      </c>
      <c r="L147" s="520" t="str">
        <f>IF(E147="","",IF(ISNA(VLOOKUP($E147,'D-1 Off Site Habitat Baseline'!$D$1:$O$258,11,FALSE)),"",(VLOOKUP($E147,'D-1 Off Site Habitat Baseline'!$D$1:$O$258,11,FALSE))))</f>
        <v/>
      </c>
      <c r="M147" s="520" t="str">
        <f>IF(E147="","",IF(ISNA(VLOOKUP($E147,'D-1 Off Site Habitat Baseline'!$D$1:$O$258,12,FALSE)),"",(VLOOKUP($E147,'D-1 Off Site Habitat Baseline'!$D$1:$O$258,12,FALSE))))</f>
        <v/>
      </c>
      <c r="N147" s="520" t="str">
        <f>IF(E147="","",IF(ISNA(VLOOKUP($E147,'D-1 Off Site Habitat Baseline'!$D$1:$X$258,14,FALSE)),"",(VLOOKUP($E147,'D-1 Off Site Habitat Baseline'!$D$1:$X$258,14,FALSE))))</f>
        <v/>
      </c>
      <c r="O147" s="524" t="str">
        <f>IF(E147="","",IF(ISNA(VLOOKUP($E147,'D-1 Off Site Habitat Baseline'!$D$1:$X$258,13,FALSE)),"",(VLOOKUP($E147,'D-1 Off Site Habitat Baseline'!$D$1:$X$258,13,FALSE))))</f>
        <v/>
      </c>
      <c r="P147" s="232" t="str">
        <f>IFERROR(INDEX('G-1 All Habitats'!$AG$3:$AG$15,MATCH(Q147,'G-1 All Habitats'!$AF$3:$AF$15,0)),"")</f>
        <v/>
      </c>
      <c r="Q147" s="228" t="str">
        <f t="shared" si="34"/>
        <v/>
      </c>
      <c r="R147" s="229" t="str">
        <f t="shared" si="35"/>
        <v/>
      </c>
      <c r="S147" s="233" t="str">
        <f>IFERROR(INDEX('G-1 All Habitats'!$B$3:$B$129,MATCH(R147,'G-1 All Habitats'!$A$3:$A$129,0)),"")</f>
        <v/>
      </c>
      <c r="T147" s="507" t="str">
        <f t="shared" si="27"/>
        <v/>
      </c>
      <c r="U147" s="524" t="str">
        <f t="shared" si="28"/>
        <v/>
      </c>
      <c r="V147" s="523" t="str">
        <f t="shared" si="25"/>
        <v/>
      </c>
      <c r="W147" s="520" t="str">
        <f>IF(S147="","",VLOOKUP(S147,'G-1 All Habitats'!$B$2:$M$129,10,FALSE))</f>
        <v/>
      </c>
      <c r="X147" s="520" t="str">
        <f>IFERROR(VLOOKUP(W147,'G-1 All Habitats'!$V$3:$W$7,2,FALSE),"")</f>
        <v/>
      </c>
      <c r="Y147" s="203"/>
      <c r="Z147" s="524" t="str">
        <f>IFERROR(INDEX('G-8 Condition Look up'!$A$3:$H$130,MATCH(S147,'G-8 Condition Look up'!$A$3:$A$130,0),MATCH(Y147,'G-8 Condition Look up'!$A$3:$H$3,0)),"")</f>
        <v/>
      </c>
      <c r="AA147" s="145"/>
      <c r="AB147" s="540" t="str">
        <f>IF(AA147="","",IF(VLOOKUP(AA147,'G-3 Multipliers'!$L$3:$N$6,2,FALSE)=0,"Spatial Data Missing ⚠",VLOOKUP(AA147,'G-3 Multipliers'!$L$3:$N$6,2,FALSE)))</f>
        <v/>
      </c>
      <c r="AC147" s="524" t="str">
        <f>IF(AA147="","",IF(VLOOKUP(AA147,'G-3 Multipliers'!$L$3:$N$6,3,FALSE)=0,"Spatial Data Missing ⚠",VLOOKUP(AA147,'G-3 Multipliers'!$L$3:$N$6,3,FALSE)))</f>
        <v/>
      </c>
      <c r="AD147" s="537" t="str">
        <f t="shared" si="26"/>
        <v/>
      </c>
      <c r="AE147" s="203"/>
      <c r="AF147" s="203"/>
      <c r="AG147" s="520" t="str">
        <f t="shared" si="29"/>
        <v/>
      </c>
      <c r="AH147" s="544" t="str">
        <f t="shared" si="30"/>
        <v/>
      </c>
      <c r="AI147" s="525" t="str">
        <f>IF(AH147="Check Data ⚠","Check Data ⚠",IFERROR(VLOOKUP(AH147,'G-4 Temporal multipliers'!$A$4:$C$36,3,FALSE),""))</f>
        <v/>
      </c>
      <c r="AJ147" s="537" t="str">
        <f>IF(S147="","",VLOOKUP(S147,'G-3 Multipliers'!$A$2:$E$129,4,FALSE))</f>
        <v/>
      </c>
      <c r="AK147" s="520" t="str">
        <f t="shared" si="31"/>
        <v/>
      </c>
      <c r="AL147" s="520" t="str">
        <f t="shared" si="32"/>
        <v/>
      </c>
      <c r="AM147" s="524" t="str">
        <f>IFERROR(IF(F147="","",IF(AH147="Check Data ⚠","Check Data ⚠",VLOOKUP(AL147, 'G-3 Multipliers'!$P$2:$Q$6,2,FALSE))),"")</f>
        <v/>
      </c>
      <c r="AN147" s="197"/>
      <c r="AO147" s="540" t="str">
        <f>IF(AN147="","",IF(VLOOKUP(AN147,'G-3 Multipliers'!$S$3:$T$9,2,FALSE)=0,"Spatial Data Missing ⚠",VLOOKUP(AN147,'G-3 Multipliers'!$S$3:$T$9,2,FALSE)))</f>
        <v/>
      </c>
      <c r="AP147" s="513" t="str">
        <f t="shared" si="33"/>
        <v/>
      </c>
      <c r="AQ147" s="231"/>
      <c r="AR147" s="150"/>
    </row>
    <row r="148" spans="1:44" x14ac:dyDescent="0.3">
      <c r="A148" s="31" t="str">
        <f>IF(E148="","",IF(ISNA(VLOOKUP($E148,'D-1 Off Site Habitat Baseline'!$D$1:$O$258,2,FALSE)),"",(VLOOKUP($E148,'D-1 Off Site Habitat Baseline'!$D$1:$O$258,2,FALSE))))</f>
        <v/>
      </c>
      <c r="B148" s="31" t="str">
        <f>IF(E148="","",IF(ISNA(VLOOKUP($E148,'D-1 Off Site Habitat Baseline'!$D$1:$O$258,3,FALSE)),"",(VLOOKUP($E148,'D-1 Off Site Habitat Baseline'!$D$1:$O$258,3,FALSE))))</f>
        <v/>
      </c>
      <c r="C148" s="31" t="str">
        <f>IFERROR(INDEX('G-8 Condition Look up'!$I$4:$I$130,MATCH(S148,'G-8 Condition Look up'!$A$4:$A$130,0)),"")</f>
        <v/>
      </c>
      <c r="E148" s="547" t="str">
        <f>'D-1 Off Site Habitat Baseline'!AL147</f>
        <v/>
      </c>
      <c r="F148" s="520" t="str">
        <f>IF(E148="","",IF(ISNA(VLOOKUP($E148,'D-1 Off Site Habitat Baseline'!$D$1:$O$258,4,FALSE)),"",(VLOOKUP($E148,'D-1 Off Site Habitat Baseline'!$D$1:$O$258,4,FALSE))))</f>
        <v/>
      </c>
      <c r="G148" s="520" t="str">
        <f>IF(E148="","",IF(ISNA(VLOOKUP($E148,'D-1 Off Site Habitat Baseline'!$D$1:$O$258,5,FALSE)),"",(VLOOKUP($E148,'D-1 Off Site Habitat Baseline'!$D$1:$O$258,5,FALSE))))</f>
        <v/>
      </c>
      <c r="H148" s="520" t="str">
        <f>IF(E148="","",IF(ISNA(VLOOKUP($E148,'D-1 Off Site Habitat Baseline'!$D$1:$O$258,6,FALSE)),"",(VLOOKUP($E148,'D-1 Off Site Habitat Baseline'!$D$1:$O$258,6,FALSE))))</f>
        <v/>
      </c>
      <c r="I148" s="520" t="str">
        <f>IF(E148="","",IF(ISNA(VLOOKUP($E148,'D-1 Off Site Habitat Baseline'!$D$1:$O$258,7,FALSE)),"",(VLOOKUP($E148,'D-1 Off Site Habitat Baseline'!$D$1:$O$258,7,FALSE))))</f>
        <v/>
      </c>
      <c r="J148" s="520" t="str">
        <f>IF(E148="","",IF(ISNA(VLOOKUP($E148,'D-1 Off Site Habitat Baseline'!$D$1:$O$258,8,FALSE)),"",(VLOOKUP($E148,'D-1 Off Site Habitat Baseline'!$D$1:$O$258,8,FALSE))))</f>
        <v/>
      </c>
      <c r="K148" s="520" t="str">
        <f>IF(E148="","",IF(ISNA(VLOOKUP($E148,'D-1 Off Site Habitat Baseline'!$D$1:$O$258,9,FALSE)),"",(VLOOKUP($E148,'D-1 Off Site Habitat Baseline'!$D$1:$O$258,9,FALSE))))</f>
        <v/>
      </c>
      <c r="L148" s="520" t="str">
        <f>IF(E148="","",IF(ISNA(VLOOKUP($E148,'D-1 Off Site Habitat Baseline'!$D$1:$O$258,11,FALSE)),"",(VLOOKUP($E148,'D-1 Off Site Habitat Baseline'!$D$1:$O$258,11,FALSE))))</f>
        <v/>
      </c>
      <c r="M148" s="520" t="str">
        <f>IF(E148="","",IF(ISNA(VLOOKUP($E148,'D-1 Off Site Habitat Baseline'!$D$1:$O$258,12,FALSE)),"",(VLOOKUP($E148,'D-1 Off Site Habitat Baseline'!$D$1:$O$258,12,FALSE))))</f>
        <v/>
      </c>
      <c r="N148" s="520" t="str">
        <f>IF(E148="","",IF(ISNA(VLOOKUP($E148,'D-1 Off Site Habitat Baseline'!$D$1:$X$258,14,FALSE)),"",(VLOOKUP($E148,'D-1 Off Site Habitat Baseline'!$D$1:$X$258,14,FALSE))))</f>
        <v/>
      </c>
      <c r="O148" s="524" t="str">
        <f>IF(E148="","",IF(ISNA(VLOOKUP($E148,'D-1 Off Site Habitat Baseline'!$D$1:$X$258,13,FALSE)),"",(VLOOKUP($E148,'D-1 Off Site Habitat Baseline'!$D$1:$X$258,13,FALSE))))</f>
        <v/>
      </c>
      <c r="P148" s="232" t="str">
        <f>IFERROR(INDEX('G-1 All Habitats'!$AG$3:$AG$15,MATCH(Q148,'G-1 All Habitats'!$AF$3:$AF$15,0)),"")</f>
        <v/>
      </c>
      <c r="Q148" s="228" t="str">
        <f t="shared" si="34"/>
        <v/>
      </c>
      <c r="R148" s="229" t="str">
        <f t="shared" si="35"/>
        <v/>
      </c>
      <c r="S148" s="233" t="str">
        <f>IFERROR(INDEX('G-1 All Habitats'!$B$3:$B$129,MATCH(R148,'G-1 All Habitats'!$A$3:$A$129,0)),"")</f>
        <v/>
      </c>
      <c r="T148" s="507" t="str">
        <f t="shared" si="27"/>
        <v/>
      </c>
      <c r="U148" s="524" t="str">
        <f t="shared" si="28"/>
        <v/>
      </c>
      <c r="V148" s="523" t="str">
        <f t="shared" si="25"/>
        <v/>
      </c>
      <c r="W148" s="520" t="str">
        <f>IF(S148="","",VLOOKUP(S148,'G-1 All Habitats'!$B$2:$M$129,10,FALSE))</f>
        <v/>
      </c>
      <c r="X148" s="520" t="str">
        <f>IFERROR(VLOOKUP(W148,'G-1 All Habitats'!$V$3:$W$7,2,FALSE),"")</f>
        <v/>
      </c>
      <c r="Y148" s="203"/>
      <c r="Z148" s="524" t="str">
        <f>IFERROR(INDEX('G-8 Condition Look up'!$A$3:$H$130,MATCH(S148,'G-8 Condition Look up'!$A$3:$A$130,0),MATCH(Y148,'G-8 Condition Look up'!$A$3:$H$3,0)),"")</f>
        <v/>
      </c>
      <c r="AA148" s="145"/>
      <c r="AB148" s="540" t="str">
        <f>IF(AA148="","",IF(VLOOKUP(AA148,'G-3 Multipliers'!$L$3:$N$6,2,FALSE)=0,"Spatial Data Missing ⚠",VLOOKUP(AA148,'G-3 Multipliers'!$L$3:$N$6,2,FALSE)))</f>
        <v/>
      </c>
      <c r="AC148" s="524" t="str">
        <f>IF(AA148="","",IF(VLOOKUP(AA148,'G-3 Multipliers'!$L$3:$N$6,3,FALSE)=0,"Spatial Data Missing ⚠",VLOOKUP(AA148,'G-3 Multipliers'!$L$3:$N$6,3,FALSE)))</f>
        <v/>
      </c>
      <c r="AD148" s="537" t="str">
        <f t="shared" si="26"/>
        <v/>
      </c>
      <c r="AE148" s="203"/>
      <c r="AF148" s="203"/>
      <c r="AG148" s="520" t="str">
        <f t="shared" si="29"/>
        <v/>
      </c>
      <c r="AH148" s="544" t="str">
        <f t="shared" si="30"/>
        <v/>
      </c>
      <c r="AI148" s="525" t="str">
        <f>IF(AH148="Check Data ⚠","Check Data ⚠",IFERROR(VLOOKUP(AH148,'G-4 Temporal multipliers'!$A$4:$C$36,3,FALSE),""))</f>
        <v/>
      </c>
      <c r="AJ148" s="537" t="str">
        <f>IF(S148="","",VLOOKUP(S148,'G-3 Multipliers'!$A$2:$E$129,4,FALSE))</f>
        <v/>
      </c>
      <c r="AK148" s="520" t="str">
        <f t="shared" si="31"/>
        <v/>
      </c>
      <c r="AL148" s="520" t="str">
        <f t="shared" si="32"/>
        <v/>
      </c>
      <c r="AM148" s="524" t="str">
        <f>IFERROR(IF(F148="","",IF(AH148="Check Data ⚠","Check Data ⚠",VLOOKUP(AL148, 'G-3 Multipliers'!$P$2:$Q$6,2,FALSE))),"")</f>
        <v/>
      </c>
      <c r="AN148" s="197"/>
      <c r="AO148" s="540" t="str">
        <f>IF(AN148="","",IF(VLOOKUP(AN148,'G-3 Multipliers'!$S$3:$T$9,2,FALSE)=0,"Spatial Data Missing ⚠",VLOOKUP(AN148,'G-3 Multipliers'!$S$3:$T$9,2,FALSE)))</f>
        <v/>
      </c>
      <c r="AP148" s="513" t="str">
        <f t="shared" si="33"/>
        <v/>
      </c>
      <c r="AQ148" s="231"/>
      <c r="AR148" s="150"/>
    </row>
    <row r="149" spans="1:44" x14ac:dyDescent="0.3">
      <c r="A149" s="31" t="str">
        <f>IF(E149="","",IF(ISNA(VLOOKUP($E149,'D-1 Off Site Habitat Baseline'!$D$1:$O$258,2,FALSE)),"",(VLOOKUP($E149,'D-1 Off Site Habitat Baseline'!$D$1:$O$258,2,FALSE))))</f>
        <v/>
      </c>
      <c r="B149" s="31" t="str">
        <f>IF(E149="","",IF(ISNA(VLOOKUP($E149,'D-1 Off Site Habitat Baseline'!$D$1:$O$258,3,FALSE)),"",(VLOOKUP($E149,'D-1 Off Site Habitat Baseline'!$D$1:$O$258,3,FALSE))))</f>
        <v/>
      </c>
      <c r="C149" s="31" t="str">
        <f>IFERROR(INDEX('G-8 Condition Look up'!$I$4:$I$130,MATCH(S149,'G-8 Condition Look up'!$A$4:$A$130,0)),"")</f>
        <v/>
      </c>
      <c r="E149" s="547" t="str">
        <f>'D-1 Off Site Habitat Baseline'!AL148</f>
        <v/>
      </c>
      <c r="F149" s="520" t="str">
        <f>IF(E149="","",IF(ISNA(VLOOKUP($E149,'D-1 Off Site Habitat Baseline'!$D$1:$O$258,4,FALSE)),"",(VLOOKUP($E149,'D-1 Off Site Habitat Baseline'!$D$1:$O$258,4,FALSE))))</f>
        <v/>
      </c>
      <c r="G149" s="520" t="str">
        <f>IF(E149="","",IF(ISNA(VLOOKUP($E149,'D-1 Off Site Habitat Baseline'!$D$1:$O$258,5,FALSE)),"",(VLOOKUP($E149,'D-1 Off Site Habitat Baseline'!$D$1:$O$258,5,FALSE))))</f>
        <v/>
      </c>
      <c r="H149" s="520" t="str">
        <f>IF(E149="","",IF(ISNA(VLOOKUP($E149,'D-1 Off Site Habitat Baseline'!$D$1:$O$258,6,FALSE)),"",(VLOOKUP($E149,'D-1 Off Site Habitat Baseline'!$D$1:$O$258,6,FALSE))))</f>
        <v/>
      </c>
      <c r="I149" s="520" t="str">
        <f>IF(E149="","",IF(ISNA(VLOOKUP($E149,'D-1 Off Site Habitat Baseline'!$D$1:$O$258,7,FALSE)),"",(VLOOKUP($E149,'D-1 Off Site Habitat Baseline'!$D$1:$O$258,7,FALSE))))</f>
        <v/>
      </c>
      <c r="J149" s="520" t="str">
        <f>IF(E149="","",IF(ISNA(VLOOKUP($E149,'D-1 Off Site Habitat Baseline'!$D$1:$O$258,8,FALSE)),"",(VLOOKUP($E149,'D-1 Off Site Habitat Baseline'!$D$1:$O$258,8,FALSE))))</f>
        <v/>
      </c>
      <c r="K149" s="520" t="str">
        <f>IF(E149="","",IF(ISNA(VLOOKUP($E149,'D-1 Off Site Habitat Baseline'!$D$1:$O$258,9,FALSE)),"",(VLOOKUP($E149,'D-1 Off Site Habitat Baseline'!$D$1:$O$258,9,FALSE))))</f>
        <v/>
      </c>
      <c r="L149" s="520" t="str">
        <f>IF(E149="","",IF(ISNA(VLOOKUP($E149,'D-1 Off Site Habitat Baseline'!$D$1:$O$258,11,FALSE)),"",(VLOOKUP($E149,'D-1 Off Site Habitat Baseline'!$D$1:$O$258,11,FALSE))))</f>
        <v/>
      </c>
      <c r="M149" s="520" t="str">
        <f>IF(E149="","",IF(ISNA(VLOOKUP($E149,'D-1 Off Site Habitat Baseline'!$D$1:$O$258,12,FALSE)),"",(VLOOKUP($E149,'D-1 Off Site Habitat Baseline'!$D$1:$O$258,12,FALSE))))</f>
        <v/>
      </c>
      <c r="N149" s="520" t="str">
        <f>IF(E149="","",IF(ISNA(VLOOKUP($E149,'D-1 Off Site Habitat Baseline'!$D$1:$X$258,14,FALSE)),"",(VLOOKUP($E149,'D-1 Off Site Habitat Baseline'!$D$1:$X$258,14,FALSE))))</f>
        <v/>
      </c>
      <c r="O149" s="524" t="str">
        <f>IF(E149="","",IF(ISNA(VLOOKUP($E149,'D-1 Off Site Habitat Baseline'!$D$1:$X$258,13,FALSE)),"",(VLOOKUP($E149,'D-1 Off Site Habitat Baseline'!$D$1:$X$258,13,FALSE))))</f>
        <v/>
      </c>
      <c r="P149" s="232" t="str">
        <f>IFERROR(INDEX('G-1 All Habitats'!$AG$3:$AG$15,MATCH(Q149,'G-1 All Habitats'!$AF$3:$AF$15,0)),"")</f>
        <v/>
      </c>
      <c r="Q149" s="228" t="str">
        <f t="shared" si="34"/>
        <v/>
      </c>
      <c r="R149" s="229" t="str">
        <f t="shared" si="35"/>
        <v/>
      </c>
      <c r="S149" s="233" t="str">
        <f>IFERROR(INDEX('G-1 All Habitats'!$B$3:$B$129,MATCH(R149,'G-1 All Habitats'!$A$3:$A$129,0)),"")</f>
        <v/>
      </c>
      <c r="T149" s="507" t="str">
        <f t="shared" si="27"/>
        <v/>
      </c>
      <c r="U149" s="524" t="str">
        <f t="shared" si="28"/>
        <v/>
      </c>
      <c r="V149" s="523" t="str">
        <f t="shared" si="25"/>
        <v/>
      </c>
      <c r="W149" s="520" t="str">
        <f>IF(S149="","",VLOOKUP(S149,'G-1 All Habitats'!$B$2:$M$129,10,FALSE))</f>
        <v/>
      </c>
      <c r="X149" s="520" t="str">
        <f>IFERROR(VLOOKUP(W149,'G-1 All Habitats'!$V$3:$W$7,2,FALSE),"")</f>
        <v/>
      </c>
      <c r="Y149" s="203"/>
      <c r="Z149" s="524" t="str">
        <f>IFERROR(INDEX('G-8 Condition Look up'!$A$3:$H$130,MATCH(S149,'G-8 Condition Look up'!$A$3:$A$130,0),MATCH(Y149,'G-8 Condition Look up'!$A$3:$H$3,0)),"")</f>
        <v/>
      </c>
      <c r="AA149" s="145"/>
      <c r="AB149" s="540" t="str">
        <f>IF(AA149="","",IF(VLOOKUP(AA149,'G-3 Multipliers'!$L$3:$N$6,2,FALSE)=0,"Spatial Data Missing ⚠",VLOOKUP(AA149,'G-3 Multipliers'!$L$3:$N$6,2,FALSE)))</f>
        <v/>
      </c>
      <c r="AC149" s="524" t="str">
        <f>IF(AA149="","",IF(VLOOKUP(AA149,'G-3 Multipliers'!$L$3:$N$6,3,FALSE)=0,"Spatial Data Missing ⚠",VLOOKUP(AA149,'G-3 Multipliers'!$L$3:$N$6,3,FALSE)))</f>
        <v/>
      </c>
      <c r="AD149" s="537" t="str">
        <f t="shared" si="26"/>
        <v/>
      </c>
      <c r="AE149" s="203"/>
      <c r="AF149" s="203"/>
      <c r="AG149" s="520" t="str">
        <f t="shared" si="29"/>
        <v/>
      </c>
      <c r="AH149" s="544" t="str">
        <f t="shared" si="30"/>
        <v/>
      </c>
      <c r="AI149" s="525" t="str">
        <f>IF(AH149="Check Data ⚠","Check Data ⚠",IFERROR(VLOOKUP(AH149,'G-4 Temporal multipliers'!$A$4:$C$36,3,FALSE),""))</f>
        <v/>
      </c>
      <c r="AJ149" s="537" t="str">
        <f>IF(S149="","",VLOOKUP(S149,'G-3 Multipliers'!$A$2:$E$129,4,FALSE))</f>
        <v/>
      </c>
      <c r="AK149" s="520" t="str">
        <f t="shared" si="31"/>
        <v/>
      </c>
      <c r="AL149" s="520" t="str">
        <f t="shared" si="32"/>
        <v/>
      </c>
      <c r="AM149" s="524" t="str">
        <f>IFERROR(IF(F149="","",IF(AH149="Check Data ⚠","Check Data ⚠",VLOOKUP(AL149, 'G-3 Multipliers'!$P$2:$Q$6,2,FALSE))),"")</f>
        <v/>
      </c>
      <c r="AN149" s="197"/>
      <c r="AO149" s="540" t="str">
        <f>IF(AN149="","",IF(VLOOKUP(AN149,'G-3 Multipliers'!$S$3:$T$9,2,FALSE)=0,"Spatial Data Missing ⚠",VLOOKUP(AN149,'G-3 Multipliers'!$S$3:$T$9,2,FALSE)))</f>
        <v/>
      </c>
      <c r="AP149" s="513" t="str">
        <f t="shared" si="33"/>
        <v/>
      </c>
      <c r="AQ149" s="231"/>
      <c r="AR149" s="150"/>
    </row>
    <row r="150" spans="1:44" x14ac:dyDescent="0.3">
      <c r="A150" s="31" t="str">
        <f>IF(E150="","",IF(ISNA(VLOOKUP($E150,'D-1 Off Site Habitat Baseline'!$D$1:$O$258,2,FALSE)),"",(VLOOKUP($E150,'D-1 Off Site Habitat Baseline'!$D$1:$O$258,2,FALSE))))</f>
        <v/>
      </c>
      <c r="B150" s="31" t="str">
        <f>IF(E150="","",IF(ISNA(VLOOKUP($E150,'D-1 Off Site Habitat Baseline'!$D$1:$O$258,3,FALSE)),"",(VLOOKUP($E150,'D-1 Off Site Habitat Baseline'!$D$1:$O$258,3,FALSE))))</f>
        <v/>
      </c>
      <c r="C150" s="31" t="str">
        <f>IFERROR(INDEX('G-8 Condition Look up'!$I$4:$I$130,MATCH(S150,'G-8 Condition Look up'!$A$4:$A$130,0)),"")</f>
        <v/>
      </c>
      <c r="E150" s="547" t="str">
        <f>'D-1 Off Site Habitat Baseline'!AL149</f>
        <v/>
      </c>
      <c r="F150" s="520" t="str">
        <f>IF(E150="","",IF(ISNA(VLOOKUP($E150,'D-1 Off Site Habitat Baseline'!$D$1:$O$258,4,FALSE)),"",(VLOOKUP($E150,'D-1 Off Site Habitat Baseline'!$D$1:$O$258,4,FALSE))))</f>
        <v/>
      </c>
      <c r="G150" s="520" t="str">
        <f>IF(E150="","",IF(ISNA(VLOOKUP($E150,'D-1 Off Site Habitat Baseline'!$D$1:$O$258,5,FALSE)),"",(VLOOKUP($E150,'D-1 Off Site Habitat Baseline'!$D$1:$O$258,5,FALSE))))</f>
        <v/>
      </c>
      <c r="H150" s="520" t="str">
        <f>IF(E150="","",IF(ISNA(VLOOKUP($E150,'D-1 Off Site Habitat Baseline'!$D$1:$O$258,6,FALSE)),"",(VLOOKUP($E150,'D-1 Off Site Habitat Baseline'!$D$1:$O$258,6,FALSE))))</f>
        <v/>
      </c>
      <c r="I150" s="520" t="str">
        <f>IF(E150="","",IF(ISNA(VLOOKUP($E150,'D-1 Off Site Habitat Baseline'!$D$1:$O$258,7,FALSE)),"",(VLOOKUP($E150,'D-1 Off Site Habitat Baseline'!$D$1:$O$258,7,FALSE))))</f>
        <v/>
      </c>
      <c r="J150" s="520" t="str">
        <f>IF(E150="","",IF(ISNA(VLOOKUP($E150,'D-1 Off Site Habitat Baseline'!$D$1:$O$258,8,FALSE)),"",(VLOOKUP($E150,'D-1 Off Site Habitat Baseline'!$D$1:$O$258,8,FALSE))))</f>
        <v/>
      </c>
      <c r="K150" s="520" t="str">
        <f>IF(E150="","",IF(ISNA(VLOOKUP($E150,'D-1 Off Site Habitat Baseline'!$D$1:$O$258,9,FALSE)),"",(VLOOKUP($E150,'D-1 Off Site Habitat Baseline'!$D$1:$O$258,9,FALSE))))</f>
        <v/>
      </c>
      <c r="L150" s="520" t="str">
        <f>IF(E150="","",IF(ISNA(VLOOKUP($E150,'D-1 Off Site Habitat Baseline'!$D$1:$O$258,11,FALSE)),"",(VLOOKUP($E150,'D-1 Off Site Habitat Baseline'!$D$1:$O$258,11,FALSE))))</f>
        <v/>
      </c>
      <c r="M150" s="520" t="str">
        <f>IF(E150="","",IF(ISNA(VLOOKUP($E150,'D-1 Off Site Habitat Baseline'!$D$1:$O$258,12,FALSE)),"",(VLOOKUP($E150,'D-1 Off Site Habitat Baseline'!$D$1:$O$258,12,FALSE))))</f>
        <v/>
      </c>
      <c r="N150" s="520" t="str">
        <f>IF(E150="","",IF(ISNA(VLOOKUP($E150,'D-1 Off Site Habitat Baseline'!$D$1:$X$258,14,FALSE)),"",(VLOOKUP($E150,'D-1 Off Site Habitat Baseline'!$D$1:$X$258,14,FALSE))))</f>
        <v/>
      </c>
      <c r="O150" s="524" t="str">
        <f>IF(E150="","",IF(ISNA(VLOOKUP($E150,'D-1 Off Site Habitat Baseline'!$D$1:$X$258,13,FALSE)),"",(VLOOKUP($E150,'D-1 Off Site Habitat Baseline'!$D$1:$X$258,13,FALSE))))</f>
        <v/>
      </c>
      <c r="P150" s="232" t="str">
        <f>IFERROR(INDEX('G-1 All Habitats'!$AG$3:$AG$15,MATCH(Q150,'G-1 All Habitats'!$AF$3:$AF$15,0)),"")</f>
        <v/>
      </c>
      <c r="Q150" s="228" t="str">
        <f t="shared" si="34"/>
        <v/>
      </c>
      <c r="R150" s="229" t="str">
        <f t="shared" si="35"/>
        <v/>
      </c>
      <c r="S150" s="233" t="str">
        <f>IFERROR(INDEX('G-1 All Habitats'!$B$3:$B$129,MATCH(R150,'G-1 All Habitats'!$A$3:$A$129,0)),"")</f>
        <v/>
      </c>
      <c r="T150" s="507" t="str">
        <f t="shared" si="27"/>
        <v/>
      </c>
      <c r="U150" s="524" t="str">
        <f t="shared" si="28"/>
        <v/>
      </c>
      <c r="V150" s="523" t="str">
        <f t="shared" si="25"/>
        <v/>
      </c>
      <c r="W150" s="520" t="str">
        <f>IF(S150="","",VLOOKUP(S150,'G-1 All Habitats'!$B$2:$M$129,10,FALSE))</f>
        <v/>
      </c>
      <c r="X150" s="520" t="str">
        <f>IFERROR(VLOOKUP(W150,'G-1 All Habitats'!$V$3:$W$7,2,FALSE),"")</f>
        <v/>
      </c>
      <c r="Y150" s="203"/>
      <c r="Z150" s="524" t="str">
        <f>IFERROR(INDEX('G-8 Condition Look up'!$A$3:$H$130,MATCH(S150,'G-8 Condition Look up'!$A$3:$A$130,0),MATCH(Y150,'G-8 Condition Look up'!$A$3:$H$3,0)),"")</f>
        <v/>
      </c>
      <c r="AA150" s="145"/>
      <c r="AB150" s="540" t="str">
        <f>IF(AA150="","",IF(VLOOKUP(AA150,'G-3 Multipliers'!$L$3:$N$6,2,FALSE)=0,"Spatial Data Missing ⚠",VLOOKUP(AA150,'G-3 Multipliers'!$L$3:$N$6,2,FALSE)))</f>
        <v/>
      </c>
      <c r="AC150" s="524" t="str">
        <f>IF(AA150="","",IF(VLOOKUP(AA150,'G-3 Multipliers'!$L$3:$N$6,3,FALSE)=0,"Spatial Data Missing ⚠",VLOOKUP(AA150,'G-3 Multipliers'!$L$3:$N$6,3,FALSE)))</f>
        <v/>
      </c>
      <c r="AD150" s="537" t="str">
        <f t="shared" si="26"/>
        <v/>
      </c>
      <c r="AE150" s="203"/>
      <c r="AF150" s="203"/>
      <c r="AG150" s="520" t="str">
        <f t="shared" si="29"/>
        <v/>
      </c>
      <c r="AH150" s="544" t="str">
        <f t="shared" si="30"/>
        <v/>
      </c>
      <c r="AI150" s="525" t="str">
        <f>IF(AH150="Check Data ⚠","Check Data ⚠",IFERROR(VLOOKUP(AH150,'G-4 Temporal multipliers'!$A$4:$C$36,3,FALSE),""))</f>
        <v/>
      </c>
      <c r="AJ150" s="537" t="str">
        <f>IF(S150="","",VLOOKUP(S150,'G-3 Multipliers'!$A$2:$E$129,4,FALSE))</f>
        <v/>
      </c>
      <c r="AK150" s="520" t="str">
        <f t="shared" si="31"/>
        <v/>
      </c>
      <c r="AL150" s="520" t="str">
        <f t="shared" si="32"/>
        <v/>
      </c>
      <c r="AM150" s="524" t="str">
        <f>IFERROR(IF(F150="","",IF(AH150="Check Data ⚠","Check Data ⚠",VLOOKUP(AL150, 'G-3 Multipliers'!$P$2:$Q$6,2,FALSE))),"")</f>
        <v/>
      </c>
      <c r="AN150" s="197"/>
      <c r="AO150" s="540" t="str">
        <f>IF(AN150="","",IF(VLOOKUP(AN150,'G-3 Multipliers'!$S$3:$T$9,2,FALSE)=0,"Spatial Data Missing ⚠",VLOOKUP(AN150,'G-3 Multipliers'!$S$3:$T$9,2,FALSE)))</f>
        <v/>
      </c>
      <c r="AP150" s="513" t="str">
        <f t="shared" si="33"/>
        <v/>
      </c>
      <c r="AQ150" s="231"/>
      <c r="AR150" s="150"/>
    </row>
    <row r="151" spans="1:44" x14ac:dyDescent="0.3">
      <c r="A151" s="31" t="str">
        <f>IF(E151="","",IF(ISNA(VLOOKUP($E151,'D-1 Off Site Habitat Baseline'!$D$1:$O$258,2,FALSE)),"",(VLOOKUP($E151,'D-1 Off Site Habitat Baseline'!$D$1:$O$258,2,FALSE))))</f>
        <v/>
      </c>
      <c r="B151" s="31" t="str">
        <f>IF(E151="","",IF(ISNA(VLOOKUP($E151,'D-1 Off Site Habitat Baseline'!$D$1:$O$258,3,FALSE)),"",(VLOOKUP($E151,'D-1 Off Site Habitat Baseline'!$D$1:$O$258,3,FALSE))))</f>
        <v/>
      </c>
      <c r="C151" s="31" t="str">
        <f>IFERROR(INDEX('G-8 Condition Look up'!$I$4:$I$130,MATCH(S151,'G-8 Condition Look up'!$A$4:$A$130,0)),"")</f>
        <v/>
      </c>
      <c r="E151" s="547" t="str">
        <f>'D-1 Off Site Habitat Baseline'!AL150</f>
        <v/>
      </c>
      <c r="F151" s="520" t="str">
        <f>IF(E151="","",IF(ISNA(VLOOKUP($E151,'D-1 Off Site Habitat Baseline'!$D$1:$O$258,4,FALSE)),"",(VLOOKUP($E151,'D-1 Off Site Habitat Baseline'!$D$1:$O$258,4,FALSE))))</f>
        <v/>
      </c>
      <c r="G151" s="520" t="str">
        <f>IF(E151="","",IF(ISNA(VLOOKUP($E151,'D-1 Off Site Habitat Baseline'!$D$1:$O$258,5,FALSE)),"",(VLOOKUP($E151,'D-1 Off Site Habitat Baseline'!$D$1:$O$258,5,FALSE))))</f>
        <v/>
      </c>
      <c r="H151" s="520" t="str">
        <f>IF(E151="","",IF(ISNA(VLOOKUP($E151,'D-1 Off Site Habitat Baseline'!$D$1:$O$258,6,FALSE)),"",(VLOOKUP($E151,'D-1 Off Site Habitat Baseline'!$D$1:$O$258,6,FALSE))))</f>
        <v/>
      </c>
      <c r="I151" s="520" t="str">
        <f>IF(E151="","",IF(ISNA(VLOOKUP($E151,'D-1 Off Site Habitat Baseline'!$D$1:$O$258,7,FALSE)),"",(VLOOKUP($E151,'D-1 Off Site Habitat Baseline'!$D$1:$O$258,7,FALSE))))</f>
        <v/>
      </c>
      <c r="J151" s="520" t="str">
        <f>IF(E151="","",IF(ISNA(VLOOKUP($E151,'D-1 Off Site Habitat Baseline'!$D$1:$O$258,8,FALSE)),"",(VLOOKUP($E151,'D-1 Off Site Habitat Baseline'!$D$1:$O$258,8,FALSE))))</f>
        <v/>
      </c>
      <c r="K151" s="520" t="str">
        <f>IF(E151="","",IF(ISNA(VLOOKUP($E151,'D-1 Off Site Habitat Baseline'!$D$1:$O$258,9,FALSE)),"",(VLOOKUP($E151,'D-1 Off Site Habitat Baseline'!$D$1:$O$258,9,FALSE))))</f>
        <v/>
      </c>
      <c r="L151" s="520" t="str">
        <f>IF(E151="","",IF(ISNA(VLOOKUP($E151,'D-1 Off Site Habitat Baseline'!$D$1:$O$258,11,FALSE)),"",(VLOOKUP($E151,'D-1 Off Site Habitat Baseline'!$D$1:$O$258,11,FALSE))))</f>
        <v/>
      </c>
      <c r="M151" s="520" t="str">
        <f>IF(E151="","",IF(ISNA(VLOOKUP($E151,'D-1 Off Site Habitat Baseline'!$D$1:$O$258,12,FALSE)),"",(VLOOKUP($E151,'D-1 Off Site Habitat Baseline'!$D$1:$O$258,12,FALSE))))</f>
        <v/>
      </c>
      <c r="N151" s="520" t="str">
        <f>IF(E151="","",IF(ISNA(VLOOKUP($E151,'D-1 Off Site Habitat Baseline'!$D$1:$X$258,14,FALSE)),"",(VLOOKUP($E151,'D-1 Off Site Habitat Baseline'!$D$1:$X$258,14,FALSE))))</f>
        <v/>
      </c>
      <c r="O151" s="524" t="str">
        <f>IF(E151="","",IF(ISNA(VLOOKUP($E151,'D-1 Off Site Habitat Baseline'!$D$1:$X$258,13,FALSE)),"",(VLOOKUP($E151,'D-1 Off Site Habitat Baseline'!$D$1:$X$258,13,FALSE))))</f>
        <v/>
      </c>
      <c r="P151" s="232" t="str">
        <f>IFERROR(INDEX('G-1 All Habitats'!$AG$3:$AG$15,MATCH(Q151,'G-1 All Habitats'!$AF$3:$AF$15,0)),"")</f>
        <v/>
      </c>
      <c r="Q151" s="228" t="str">
        <f t="shared" si="34"/>
        <v/>
      </c>
      <c r="R151" s="229" t="str">
        <f t="shared" si="35"/>
        <v/>
      </c>
      <c r="S151" s="233" t="str">
        <f>IFERROR(INDEX('G-1 All Habitats'!$B$3:$B$129,MATCH(R151,'G-1 All Habitats'!$A$3:$A$129,0)),"")</f>
        <v/>
      </c>
      <c r="T151" s="507" t="str">
        <f t="shared" si="27"/>
        <v/>
      </c>
      <c r="U151" s="524" t="str">
        <f t="shared" si="28"/>
        <v/>
      </c>
      <c r="V151" s="523" t="str">
        <f t="shared" si="25"/>
        <v/>
      </c>
      <c r="W151" s="520" t="str">
        <f>IF(S151="","",VLOOKUP(S151,'G-1 All Habitats'!$B$2:$M$129,10,FALSE))</f>
        <v/>
      </c>
      <c r="X151" s="520" t="str">
        <f>IFERROR(VLOOKUP(W151,'G-1 All Habitats'!$V$3:$W$7,2,FALSE),"")</f>
        <v/>
      </c>
      <c r="Y151" s="203"/>
      <c r="Z151" s="524" t="str">
        <f>IFERROR(INDEX('G-8 Condition Look up'!$A$3:$H$130,MATCH(S151,'G-8 Condition Look up'!$A$3:$A$130,0),MATCH(Y151,'G-8 Condition Look up'!$A$3:$H$3,0)),"")</f>
        <v/>
      </c>
      <c r="AA151" s="145"/>
      <c r="AB151" s="540" t="str">
        <f>IF(AA151="","",IF(VLOOKUP(AA151,'G-3 Multipliers'!$L$3:$N$6,2,FALSE)=0,"Spatial Data Missing ⚠",VLOOKUP(AA151,'G-3 Multipliers'!$L$3:$N$6,2,FALSE)))</f>
        <v/>
      </c>
      <c r="AC151" s="524" t="str">
        <f>IF(AA151="","",IF(VLOOKUP(AA151,'G-3 Multipliers'!$L$3:$N$6,3,FALSE)=0,"Spatial Data Missing ⚠",VLOOKUP(AA151,'G-3 Multipliers'!$L$3:$N$6,3,FALSE)))</f>
        <v/>
      </c>
      <c r="AD151" s="537" t="str">
        <f t="shared" si="26"/>
        <v/>
      </c>
      <c r="AE151" s="203"/>
      <c r="AF151" s="203"/>
      <c r="AG151" s="520" t="str">
        <f t="shared" si="29"/>
        <v/>
      </c>
      <c r="AH151" s="544" t="str">
        <f t="shared" si="30"/>
        <v/>
      </c>
      <c r="AI151" s="525" t="str">
        <f>IF(AH151="Check Data ⚠","Check Data ⚠",IFERROR(VLOOKUP(AH151,'G-4 Temporal multipliers'!$A$4:$C$36,3,FALSE),""))</f>
        <v/>
      </c>
      <c r="AJ151" s="537" t="str">
        <f>IF(S151="","",VLOOKUP(S151,'G-3 Multipliers'!$A$2:$E$129,4,FALSE))</f>
        <v/>
      </c>
      <c r="AK151" s="520" t="str">
        <f t="shared" si="31"/>
        <v/>
      </c>
      <c r="AL151" s="520" t="str">
        <f t="shared" si="32"/>
        <v/>
      </c>
      <c r="AM151" s="524" t="str">
        <f>IFERROR(IF(F151="","",IF(AH151="Check Data ⚠","Check Data ⚠",VLOOKUP(AL151, 'G-3 Multipliers'!$P$2:$Q$6,2,FALSE))),"")</f>
        <v/>
      </c>
      <c r="AN151" s="197"/>
      <c r="AO151" s="540" t="str">
        <f>IF(AN151="","",IF(VLOOKUP(AN151,'G-3 Multipliers'!$S$3:$T$9,2,FALSE)=0,"Spatial Data Missing ⚠",VLOOKUP(AN151,'G-3 Multipliers'!$S$3:$T$9,2,FALSE)))</f>
        <v/>
      </c>
      <c r="AP151" s="513" t="str">
        <f t="shared" si="33"/>
        <v/>
      </c>
      <c r="AQ151" s="231"/>
      <c r="AR151" s="150"/>
    </row>
    <row r="152" spans="1:44" x14ac:dyDescent="0.3">
      <c r="A152" s="31" t="str">
        <f>IF(E152="","",IF(ISNA(VLOOKUP($E152,'D-1 Off Site Habitat Baseline'!$D$1:$O$258,2,FALSE)),"",(VLOOKUP($E152,'D-1 Off Site Habitat Baseline'!$D$1:$O$258,2,FALSE))))</f>
        <v/>
      </c>
      <c r="B152" s="31" t="str">
        <f>IF(E152="","",IF(ISNA(VLOOKUP($E152,'D-1 Off Site Habitat Baseline'!$D$1:$O$258,3,FALSE)),"",(VLOOKUP($E152,'D-1 Off Site Habitat Baseline'!$D$1:$O$258,3,FALSE))))</f>
        <v/>
      </c>
      <c r="C152" s="31" t="str">
        <f>IFERROR(INDEX('G-8 Condition Look up'!$I$4:$I$130,MATCH(S152,'G-8 Condition Look up'!$A$4:$A$130,0)),"")</f>
        <v/>
      </c>
      <c r="E152" s="547" t="str">
        <f>'D-1 Off Site Habitat Baseline'!AL151</f>
        <v/>
      </c>
      <c r="F152" s="520" t="str">
        <f>IF(E152="","",IF(ISNA(VLOOKUP($E152,'D-1 Off Site Habitat Baseline'!$D$1:$O$258,4,FALSE)),"",(VLOOKUP($E152,'D-1 Off Site Habitat Baseline'!$D$1:$O$258,4,FALSE))))</f>
        <v/>
      </c>
      <c r="G152" s="520" t="str">
        <f>IF(E152="","",IF(ISNA(VLOOKUP($E152,'D-1 Off Site Habitat Baseline'!$D$1:$O$258,5,FALSE)),"",(VLOOKUP($E152,'D-1 Off Site Habitat Baseline'!$D$1:$O$258,5,FALSE))))</f>
        <v/>
      </c>
      <c r="H152" s="520" t="str">
        <f>IF(E152="","",IF(ISNA(VLOOKUP($E152,'D-1 Off Site Habitat Baseline'!$D$1:$O$258,6,FALSE)),"",(VLOOKUP($E152,'D-1 Off Site Habitat Baseline'!$D$1:$O$258,6,FALSE))))</f>
        <v/>
      </c>
      <c r="I152" s="520" t="str">
        <f>IF(E152="","",IF(ISNA(VLOOKUP($E152,'D-1 Off Site Habitat Baseline'!$D$1:$O$258,7,FALSE)),"",(VLOOKUP($E152,'D-1 Off Site Habitat Baseline'!$D$1:$O$258,7,FALSE))))</f>
        <v/>
      </c>
      <c r="J152" s="520" t="str">
        <f>IF(E152="","",IF(ISNA(VLOOKUP($E152,'D-1 Off Site Habitat Baseline'!$D$1:$O$258,8,FALSE)),"",(VLOOKUP($E152,'D-1 Off Site Habitat Baseline'!$D$1:$O$258,8,FALSE))))</f>
        <v/>
      </c>
      <c r="K152" s="520" t="str">
        <f>IF(E152="","",IF(ISNA(VLOOKUP($E152,'D-1 Off Site Habitat Baseline'!$D$1:$O$258,9,FALSE)),"",(VLOOKUP($E152,'D-1 Off Site Habitat Baseline'!$D$1:$O$258,9,FALSE))))</f>
        <v/>
      </c>
      <c r="L152" s="520" t="str">
        <f>IF(E152="","",IF(ISNA(VLOOKUP($E152,'D-1 Off Site Habitat Baseline'!$D$1:$O$258,11,FALSE)),"",(VLOOKUP($E152,'D-1 Off Site Habitat Baseline'!$D$1:$O$258,11,FALSE))))</f>
        <v/>
      </c>
      <c r="M152" s="520" t="str">
        <f>IF(E152="","",IF(ISNA(VLOOKUP($E152,'D-1 Off Site Habitat Baseline'!$D$1:$O$258,12,FALSE)),"",(VLOOKUP($E152,'D-1 Off Site Habitat Baseline'!$D$1:$O$258,12,FALSE))))</f>
        <v/>
      </c>
      <c r="N152" s="520" t="str">
        <f>IF(E152="","",IF(ISNA(VLOOKUP($E152,'D-1 Off Site Habitat Baseline'!$D$1:$X$258,14,FALSE)),"",(VLOOKUP($E152,'D-1 Off Site Habitat Baseline'!$D$1:$X$258,14,FALSE))))</f>
        <v/>
      </c>
      <c r="O152" s="524" t="str">
        <f>IF(E152="","",IF(ISNA(VLOOKUP($E152,'D-1 Off Site Habitat Baseline'!$D$1:$X$258,13,FALSE)),"",(VLOOKUP($E152,'D-1 Off Site Habitat Baseline'!$D$1:$X$258,13,FALSE))))</f>
        <v/>
      </c>
      <c r="P152" s="232" t="str">
        <f>IFERROR(INDEX('G-1 All Habitats'!$AG$3:$AG$15,MATCH(Q152,'G-1 All Habitats'!$AF$3:$AF$15,0)),"")</f>
        <v/>
      </c>
      <c r="Q152" s="228" t="str">
        <f t="shared" si="34"/>
        <v/>
      </c>
      <c r="R152" s="229" t="str">
        <f t="shared" si="35"/>
        <v/>
      </c>
      <c r="S152" s="233" t="str">
        <f>IFERROR(INDEX('G-1 All Habitats'!$B$3:$B$129,MATCH(R152,'G-1 All Habitats'!$A$3:$A$129,0)),"")</f>
        <v/>
      </c>
      <c r="T152" s="507" t="str">
        <f t="shared" si="27"/>
        <v/>
      </c>
      <c r="U152" s="524" t="str">
        <f t="shared" si="28"/>
        <v/>
      </c>
      <c r="V152" s="523" t="str">
        <f t="shared" si="25"/>
        <v/>
      </c>
      <c r="W152" s="520" t="str">
        <f>IF(S152="","",VLOOKUP(S152,'G-1 All Habitats'!$B$2:$M$129,10,FALSE))</f>
        <v/>
      </c>
      <c r="X152" s="520" t="str">
        <f>IFERROR(VLOOKUP(W152,'G-1 All Habitats'!$V$3:$W$7,2,FALSE),"")</f>
        <v/>
      </c>
      <c r="Y152" s="203"/>
      <c r="Z152" s="524" t="str">
        <f>IFERROR(INDEX('G-8 Condition Look up'!$A$3:$H$130,MATCH(S152,'G-8 Condition Look up'!$A$3:$A$130,0),MATCH(Y152,'G-8 Condition Look up'!$A$3:$H$3,0)),"")</f>
        <v/>
      </c>
      <c r="AA152" s="145"/>
      <c r="AB152" s="540" t="str">
        <f>IF(AA152="","",IF(VLOOKUP(AA152,'G-3 Multipliers'!$L$3:$N$6,2,FALSE)=0,"Spatial Data Missing ⚠",VLOOKUP(AA152,'G-3 Multipliers'!$L$3:$N$6,2,FALSE)))</f>
        <v/>
      </c>
      <c r="AC152" s="524" t="str">
        <f>IF(AA152="","",IF(VLOOKUP(AA152,'G-3 Multipliers'!$L$3:$N$6,3,FALSE)=0,"Spatial Data Missing ⚠",VLOOKUP(AA152,'G-3 Multipliers'!$L$3:$N$6,3,FALSE)))</f>
        <v/>
      </c>
      <c r="AD152" s="537" t="str">
        <f t="shared" si="26"/>
        <v/>
      </c>
      <c r="AE152" s="203"/>
      <c r="AF152" s="203"/>
      <c r="AG152" s="520" t="str">
        <f t="shared" si="29"/>
        <v/>
      </c>
      <c r="AH152" s="544" t="str">
        <f t="shared" si="30"/>
        <v/>
      </c>
      <c r="AI152" s="525" t="str">
        <f>IF(AH152="Check Data ⚠","Check Data ⚠",IFERROR(VLOOKUP(AH152,'G-4 Temporal multipliers'!$A$4:$C$36,3,FALSE),""))</f>
        <v/>
      </c>
      <c r="AJ152" s="537" t="str">
        <f>IF(S152="","",VLOOKUP(S152,'G-3 Multipliers'!$A$2:$E$129,4,FALSE))</f>
        <v/>
      </c>
      <c r="AK152" s="520" t="str">
        <f t="shared" si="31"/>
        <v/>
      </c>
      <c r="AL152" s="520" t="str">
        <f t="shared" si="32"/>
        <v/>
      </c>
      <c r="AM152" s="524" t="str">
        <f>IFERROR(IF(F152="","",IF(AH152="Check Data ⚠","Check Data ⚠",VLOOKUP(AL152, 'G-3 Multipliers'!$P$2:$Q$6,2,FALSE))),"")</f>
        <v/>
      </c>
      <c r="AN152" s="197"/>
      <c r="AO152" s="540" t="str">
        <f>IF(AN152="","",IF(VLOOKUP(AN152,'G-3 Multipliers'!$S$3:$T$9,2,FALSE)=0,"Spatial Data Missing ⚠",VLOOKUP(AN152,'G-3 Multipliers'!$S$3:$T$9,2,FALSE)))</f>
        <v/>
      </c>
      <c r="AP152" s="513" t="str">
        <f t="shared" si="33"/>
        <v/>
      </c>
      <c r="AQ152" s="231"/>
      <c r="AR152" s="150"/>
    </row>
    <row r="153" spans="1:44" x14ac:dyDescent="0.3">
      <c r="A153" s="31" t="str">
        <f>IF(E153="","",IF(ISNA(VLOOKUP($E153,'D-1 Off Site Habitat Baseline'!$D$1:$O$258,2,FALSE)),"",(VLOOKUP($E153,'D-1 Off Site Habitat Baseline'!$D$1:$O$258,2,FALSE))))</f>
        <v/>
      </c>
      <c r="B153" s="31" t="str">
        <f>IF(E153="","",IF(ISNA(VLOOKUP($E153,'D-1 Off Site Habitat Baseline'!$D$1:$O$258,3,FALSE)),"",(VLOOKUP($E153,'D-1 Off Site Habitat Baseline'!$D$1:$O$258,3,FALSE))))</f>
        <v/>
      </c>
      <c r="C153" s="31" t="str">
        <f>IFERROR(INDEX('G-8 Condition Look up'!$I$4:$I$130,MATCH(S153,'G-8 Condition Look up'!$A$4:$A$130,0)),"")</f>
        <v/>
      </c>
      <c r="E153" s="547" t="str">
        <f>'D-1 Off Site Habitat Baseline'!AL152</f>
        <v/>
      </c>
      <c r="F153" s="520" t="str">
        <f>IF(E153="","",IF(ISNA(VLOOKUP($E153,'D-1 Off Site Habitat Baseline'!$D$1:$O$258,4,FALSE)),"",(VLOOKUP($E153,'D-1 Off Site Habitat Baseline'!$D$1:$O$258,4,FALSE))))</f>
        <v/>
      </c>
      <c r="G153" s="520" t="str">
        <f>IF(E153="","",IF(ISNA(VLOOKUP($E153,'D-1 Off Site Habitat Baseline'!$D$1:$O$258,5,FALSE)),"",(VLOOKUP($E153,'D-1 Off Site Habitat Baseline'!$D$1:$O$258,5,FALSE))))</f>
        <v/>
      </c>
      <c r="H153" s="520" t="str">
        <f>IF(E153="","",IF(ISNA(VLOOKUP($E153,'D-1 Off Site Habitat Baseline'!$D$1:$O$258,6,FALSE)),"",(VLOOKUP($E153,'D-1 Off Site Habitat Baseline'!$D$1:$O$258,6,FALSE))))</f>
        <v/>
      </c>
      <c r="I153" s="520" t="str">
        <f>IF(E153="","",IF(ISNA(VLOOKUP($E153,'D-1 Off Site Habitat Baseline'!$D$1:$O$258,7,FALSE)),"",(VLOOKUP($E153,'D-1 Off Site Habitat Baseline'!$D$1:$O$258,7,FALSE))))</f>
        <v/>
      </c>
      <c r="J153" s="520" t="str">
        <f>IF(E153="","",IF(ISNA(VLOOKUP($E153,'D-1 Off Site Habitat Baseline'!$D$1:$O$258,8,FALSE)),"",(VLOOKUP($E153,'D-1 Off Site Habitat Baseline'!$D$1:$O$258,8,FALSE))))</f>
        <v/>
      </c>
      <c r="K153" s="520" t="str">
        <f>IF(E153="","",IF(ISNA(VLOOKUP($E153,'D-1 Off Site Habitat Baseline'!$D$1:$O$258,9,FALSE)),"",(VLOOKUP($E153,'D-1 Off Site Habitat Baseline'!$D$1:$O$258,9,FALSE))))</f>
        <v/>
      </c>
      <c r="L153" s="520" t="str">
        <f>IF(E153="","",IF(ISNA(VLOOKUP($E153,'D-1 Off Site Habitat Baseline'!$D$1:$O$258,11,FALSE)),"",(VLOOKUP($E153,'D-1 Off Site Habitat Baseline'!$D$1:$O$258,11,FALSE))))</f>
        <v/>
      </c>
      <c r="M153" s="520" t="str">
        <f>IF(E153="","",IF(ISNA(VLOOKUP($E153,'D-1 Off Site Habitat Baseline'!$D$1:$O$258,12,FALSE)),"",(VLOOKUP($E153,'D-1 Off Site Habitat Baseline'!$D$1:$O$258,12,FALSE))))</f>
        <v/>
      </c>
      <c r="N153" s="520" t="str">
        <f>IF(E153="","",IF(ISNA(VLOOKUP($E153,'D-1 Off Site Habitat Baseline'!$D$1:$X$258,14,FALSE)),"",(VLOOKUP($E153,'D-1 Off Site Habitat Baseline'!$D$1:$X$258,14,FALSE))))</f>
        <v/>
      </c>
      <c r="O153" s="524" t="str">
        <f>IF(E153="","",IF(ISNA(VLOOKUP($E153,'D-1 Off Site Habitat Baseline'!$D$1:$X$258,13,FALSE)),"",(VLOOKUP($E153,'D-1 Off Site Habitat Baseline'!$D$1:$X$258,13,FALSE))))</f>
        <v/>
      </c>
      <c r="P153" s="232" t="str">
        <f>IFERROR(INDEX('G-1 All Habitats'!$AG$3:$AG$15,MATCH(Q153,'G-1 All Habitats'!$AF$3:$AF$15,0)),"")</f>
        <v/>
      </c>
      <c r="Q153" s="228" t="str">
        <f t="shared" si="34"/>
        <v/>
      </c>
      <c r="R153" s="229" t="str">
        <f t="shared" si="35"/>
        <v/>
      </c>
      <c r="S153" s="233" t="str">
        <f>IFERROR(INDEX('G-1 All Habitats'!$B$3:$B$129,MATCH(R153,'G-1 All Habitats'!$A$3:$A$129,0)),"")</f>
        <v/>
      </c>
      <c r="T153" s="507" t="str">
        <f t="shared" si="27"/>
        <v/>
      </c>
      <c r="U153" s="524" t="str">
        <f t="shared" si="28"/>
        <v/>
      </c>
      <c r="V153" s="523" t="str">
        <f t="shared" si="25"/>
        <v/>
      </c>
      <c r="W153" s="520" t="str">
        <f>IF(S153="","",VLOOKUP(S153,'G-1 All Habitats'!$B$2:$M$129,10,FALSE))</f>
        <v/>
      </c>
      <c r="X153" s="520" t="str">
        <f>IFERROR(VLOOKUP(W153,'G-1 All Habitats'!$V$3:$W$7,2,FALSE),"")</f>
        <v/>
      </c>
      <c r="Y153" s="203"/>
      <c r="Z153" s="524" t="str">
        <f>IFERROR(INDEX('G-8 Condition Look up'!$A$3:$H$130,MATCH(S153,'G-8 Condition Look up'!$A$3:$A$130,0),MATCH(Y153,'G-8 Condition Look up'!$A$3:$H$3,0)),"")</f>
        <v/>
      </c>
      <c r="AA153" s="145"/>
      <c r="AB153" s="540" t="str">
        <f>IF(AA153="","",IF(VLOOKUP(AA153,'G-3 Multipliers'!$L$3:$N$6,2,FALSE)=0,"Spatial Data Missing ⚠",VLOOKUP(AA153,'G-3 Multipliers'!$L$3:$N$6,2,FALSE)))</f>
        <v/>
      </c>
      <c r="AC153" s="524" t="str">
        <f>IF(AA153="","",IF(VLOOKUP(AA153,'G-3 Multipliers'!$L$3:$N$6,3,FALSE)=0,"Spatial Data Missing ⚠",VLOOKUP(AA153,'G-3 Multipliers'!$L$3:$N$6,3,FALSE)))</f>
        <v/>
      </c>
      <c r="AD153" s="537" t="str">
        <f t="shared" si="26"/>
        <v/>
      </c>
      <c r="AE153" s="203"/>
      <c r="AF153" s="203"/>
      <c r="AG153" s="520" t="str">
        <f t="shared" si="29"/>
        <v/>
      </c>
      <c r="AH153" s="544" t="str">
        <f t="shared" si="30"/>
        <v/>
      </c>
      <c r="AI153" s="525" t="str">
        <f>IF(AH153="Check Data ⚠","Check Data ⚠",IFERROR(VLOOKUP(AH153,'G-4 Temporal multipliers'!$A$4:$C$36,3,FALSE),""))</f>
        <v/>
      </c>
      <c r="AJ153" s="537" t="str">
        <f>IF(S153="","",VLOOKUP(S153,'G-3 Multipliers'!$A$2:$E$129,4,FALSE))</f>
        <v/>
      </c>
      <c r="AK153" s="520" t="str">
        <f t="shared" si="31"/>
        <v/>
      </c>
      <c r="AL153" s="520" t="str">
        <f t="shared" si="32"/>
        <v/>
      </c>
      <c r="AM153" s="524" t="str">
        <f>IFERROR(IF(F153="","",IF(AH153="Check Data ⚠","Check Data ⚠",VLOOKUP(AL153, 'G-3 Multipliers'!$P$2:$Q$6,2,FALSE))),"")</f>
        <v/>
      </c>
      <c r="AN153" s="197"/>
      <c r="AO153" s="540" t="str">
        <f>IF(AN153="","",IF(VLOOKUP(AN153,'G-3 Multipliers'!$S$3:$T$9,2,FALSE)=0,"Spatial Data Missing ⚠",VLOOKUP(AN153,'G-3 Multipliers'!$S$3:$T$9,2,FALSE)))</f>
        <v/>
      </c>
      <c r="AP153" s="513" t="str">
        <f t="shared" si="33"/>
        <v/>
      </c>
      <c r="AQ153" s="231"/>
      <c r="AR153" s="150"/>
    </row>
    <row r="154" spans="1:44" x14ac:dyDescent="0.3">
      <c r="A154" s="31" t="str">
        <f>IF(E154="","",IF(ISNA(VLOOKUP($E154,'D-1 Off Site Habitat Baseline'!$D$1:$O$258,2,FALSE)),"",(VLOOKUP($E154,'D-1 Off Site Habitat Baseline'!$D$1:$O$258,2,FALSE))))</f>
        <v/>
      </c>
      <c r="B154" s="31" t="str">
        <f>IF(E154="","",IF(ISNA(VLOOKUP($E154,'D-1 Off Site Habitat Baseline'!$D$1:$O$258,3,FALSE)),"",(VLOOKUP($E154,'D-1 Off Site Habitat Baseline'!$D$1:$O$258,3,FALSE))))</f>
        <v/>
      </c>
      <c r="C154" s="31" t="str">
        <f>IFERROR(INDEX('G-8 Condition Look up'!$I$4:$I$130,MATCH(S154,'G-8 Condition Look up'!$A$4:$A$130,0)),"")</f>
        <v/>
      </c>
      <c r="E154" s="547" t="str">
        <f>'D-1 Off Site Habitat Baseline'!AL153</f>
        <v/>
      </c>
      <c r="F154" s="520" t="str">
        <f>IF(E154="","",IF(ISNA(VLOOKUP($E154,'D-1 Off Site Habitat Baseline'!$D$1:$O$258,4,FALSE)),"",(VLOOKUP($E154,'D-1 Off Site Habitat Baseline'!$D$1:$O$258,4,FALSE))))</f>
        <v/>
      </c>
      <c r="G154" s="520" t="str">
        <f>IF(E154="","",IF(ISNA(VLOOKUP($E154,'D-1 Off Site Habitat Baseline'!$D$1:$O$258,5,FALSE)),"",(VLOOKUP($E154,'D-1 Off Site Habitat Baseline'!$D$1:$O$258,5,FALSE))))</f>
        <v/>
      </c>
      <c r="H154" s="520" t="str">
        <f>IF(E154="","",IF(ISNA(VLOOKUP($E154,'D-1 Off Site Habitat Baseline'!$D$1:$O$258,6,FALSE)),"",(VLOOKUP($E154,'D-1 Off Site Habitat Baseline'!$D$1:$O$258,6,FALSE))))</f>
        <v/>
      </c>
      <c r="I154" s="520" t="str">
        <f>IF(E154="","",IF(ISNA(VLOOKUP($E154,'D-1 Off Site Habitat Baseline'!$D$1:$O$258,7,FALSE)),"",(VLOOKUP($E154,'D-1 Off Site Habitat Baseline'!$D$1:$O$258,7,FALSE))))</f>
        <v/>
      </c>
      <c r="J154" s="520" t="str">
        <f>IF(E154="","",IF(ISNA(VLOOKUP($E154,'D-1 Off Site Habitat Baseline'!$D$1:$O$258,8,FALSE)),"",(VLOOKUP($E154,'D-1 Off Site Habitat Baseline'!$D$1:$O$258,8,FALSE))))</f>
        <v/>
      </c>
      <c r="K154" s="520" t="str">
        <f>IF(E154="","",IF(ISNA(VLOOKUP($E154,'D-1 Off Site Habitat Baseline'!$D$1:$O$258,9,FALSE)),"",(VLOOKUP($E154,'D-1 Off Site Habitat Baseline'!$D$1:$O$258,9,FALSE))))</f>
        <v/>
      </c>
      <c r="L154" s="520" t="str">
        <f>IF(E154="","",IF(ISNA(VLOOKUP($E154,'D-1 Off Site Habitat Baseline'!$D$1:$O$258,11,FALSE)),"",(VLOOKUP($E154,'D-1 Off Site Habitat Baseline'!$D$1:$O$258,11,FALSE))))</f>
        <v/>
      </c>
      <c r="M154" s="520" t="str">
        <f>IF(E154="","",IF(ISNA(VLOOKUP($E154,'D-1 Off Site Habitat Baseline'!$D$1:$O$258,12,FALSE)),"",(VLOOKUP($E154,'D-1 Off Site Habitat Baseline'!$D$1:$O$258,12,FALSE))))</f>
        <v/>
      </c>
      <c r="N154" s="520" t="str">
        <f>IF(E154="","",IF(ISNA(VLOOKUP($E154,'D-1 Off Site Habitat Baseline'!$D$1:$X$258,14,FALSE)),"",(VLOOKUP($E154,'D-1 Off Site Habitat Baseline'!$D$1:$X$258,14,FALSE))))</f>
        <v/>
      </c>
      <c r="O154" s="524" t="str">
        <f>IF(E154="","",IF(ISNA(VLOOKUP($E154,'D-1 Off Site Habitat Baseline'!$D$1:$X$258,13,FALSE)),"",(VLOOKUP($E154,'D-1 Off Site Habitat Baseline'!$D$1:$X$258,13,FALSE))))</f>
        <v/>
      </c>
      <c r="P154" s="232" t="str">
        <f>IFERROR(INDEX('G-1 All Habitats'!$AG$3:$AG$15,MATCH(Q154,'G-1 All Habitats'!$AF$3:$AF$15,0)),"")</f>
        <v/>
      </c>
      <c r="Q154" s="228" t="str">
        <f t="shared" si="34"/>
        <v/>
      </c>
      <c r="R154" s="229" t="str">
        <f t="shared" si="35"/>
        <v/>
      </c>
      <c r="S154" s="233" t="str">
        <f>IFERROR(INDEX('G-1 All Habitats'!$B$3:$B$129,MATCH(R154,'G-1 All Habitats'!$A$3:$A$129,0)),"")</f>
        <v/>
      </c>
      <c r="T154" s="507" t="str">
        <f t="shared" si="27"/>
        <v/>
      </c>
      <c r="U154" s="524" t="str">
        <f t="shared" si="28"/>
        <v/>
      </c>
      <c r="V154" s="523" t="str">
        <f t="shared" si="25"/>
        <v/>
      </c>
      <c r="W154" s="520" t="str">
        <f>IF(S154="","",VLOOKUP(S154,'G-1 All Habitats'!$B$2:$M$129,10,FALSE))</f>
        <v/>
      </c>
      <c r="X154" s="520" t="str">
        <f>IFERROR(VLOOKUP(W154,'G-1 All Habitats'!$V$3:$W$7,2,FALSE),"")</f>
        <v/>
      </c>
      <c r="Y154" s="203"/>
      <c r="Z154" s="524" t="str">
        <f>IFERROR(INDEX('G-8 Condition Look up'!$A$3:$H$130,MATCH(S154,'G-8 Condition Look up'!$A$3:$A$130,0),MATCH(Y154,'G-8 Condition Look up'!$A$3:$H$3,0)),"")</f>
        <v/>
      </c>
      <c r="AA154" s="145"/>
      <c r="AB154" s="540" t="str">
        <f>IF(AA154="","",IF(VLOOKUP(AA154,'G-3 Multipliers'!$L$3:$N$6,2,FALSE)=0,"Spatial Data Missing ⚠",VLOOKUP(AA154,'G-3 Multipliers'!$L$3:$N$6,2,FALSE)))</f>
        <v/>
      </c>
      <c r="AC154" s="524" t="str">
        <f>IF(AA154="","",IF(VLOOKUP(AA154,'G-3 Multipliers'!$L$3:$N$6,3,FALSE)=0,"Spatial Data Missing ⚠",VLOOKUP(AA154,'G-3 Multipliers'!$L$3:$N$6,3,FALSE)))</f>
        <v/>
      </c>
      <c r="AD154" s="537" t="str">
        <f t="shared" si="26"/>
        <v/>
      </c>
      <c r="AE154" s="203"/>
      <c r="AF154" s="203"/>
      <c r="AG154" s="520" t="str">
        <f t="shared" si="29"/>
        <v/>
      </c>
      <c r="AH154" s="544" t="str">
        <f t="shared" si="30"/>
        <v/>
      </c>
      <c r="AI154" s="525" t="str">
        <f>IF(AH154="Check Data ⚠","Check Data ⚠",IFERROR(VLOOKUP(AH154,'G-4 Temporal multipliers'!$A$4:$C$36,3,FALSE),""))</f>
        <v/>
      </c>
      <c r="AJ154" s="537" t="str">
        <f>IF(S154="","",VLOOKUP(S154,'G-3 Multipliers'!$A$2:$E$129,4,FALSE))</f>
        <v/>
      </c>
      <c r="AK154" s="520" t="str">
        <f t="shared" si="31"/>
        <v/>
      </c>
      <c r="AL154" s="520" t="str">
        <f t="shared" si="32"/>
        <v/>
      </c>
      <c r="AM154" s="524" t="str">
        <f>IFERROR(IF(F154="","",IF(AH154="Check Data ⚠","Check Data ⚠",VLOOKUP(AL154, 'G-3 Multipliers'!$P$2:$Q$6,2,FALSE))),"")</f>
        <v/>
      </c>
      <c r="AN154" s="197"/>
      <c r="AO154" s="540" t="str">
        <f>IF(AN154="","",IF(VLOOKUP(AN154,'G-3 Multipliers'!$S$3:$T$9,2,FALSE)=0,"Spatial Data Missing ⚠",VLOOKUP(AN154,'G-3 Multipliers'!$S$3:$T$9,2,FALSE)))</f>
        <v/>
      </c>
      <c r="AP154" s="513" t="str">
        <f t="shared" si="33"/>
        <v/>
      </c>
      <c r="AQ154" s="231"/>
      <c r="AR154" s="150"/>
    </row>
    <row r="155" spans="1:44" x14ac:dyDescent="0.3">
      <c r="A155" s="31" t="str">
        <f>IF(E155="","",IF(ISNA(VLOOKUP($E155,'D-1 Off Site Habitat Baseline'!$D$1:$O$258,2,FALSE)),"",(VLOOKUP($E155,'D-1 Off Site Habitat Baseline'!$D$1:$O$258,2,FALSE))))</f>
        <v/>
      </c>
      <c r="B155" s="31" t="str">
        <f>IF(E155="","",IF(ISNA(VLOOKUP($E155,'D-1 Off Site Habitat Baseline'!$D$1:$O$258,3,FALSE)),"",(VLOOKUP($E155,'D-1 Off Site Habitat Baseline'!$D$1:$O$258,3,FALSE))))</f>
        <v/>
      </c>
      <c r="C155" s="31" t="str">
        <f>IFERROR(INDEX('G-8 Condition Look up'!$I$4:$I$130,MATCH(S155,'G-8 Condition Look up'!$A$4:$A$130,0)),"")</f>
        <v/>
      </c>
      <c r="E155" s="547" t="str">
        <f>'D-1 Off Site Habitat Baseline'!AL154</f>
        <v/>
      </c>
      <c r="F155" s="520" t="str">
        <f>IF(E155="","",IF(ISNA(VLOOKUP($E155,'D-1 Off Site Habitat Baseline'!$D$1:$O$258,4,FALSE)),"",(VLOOKUP($E155,'D-1 Off Site Habitat Baseline'!$D$1:$O$258,4,FALSE))))</f>
        <v/>
      </c>
      <c r="G155" s="520" t="str">
        <f>IF(E155="","",IF(ISNA(VLOOKUP($E155,'D-1 Off Site Habitat Baseline'!$D$1:$O$258,5,FALSE)),"",(VLOOKUP($E155,'D-1 Off Site Habitat Baseline'!$D$1:$O$258,5,FALSE))))</f>
        <v/>
      </c>
      <c r="H155" s="520" t="str">
        <f>IF(E155="","",IF(ISNA(VLOOKUP($E155,'D-1 Off Site Habitat Baseline'!$D$1:$O$258,6,FALSE)),"",(VLOOKUP($E155,'D-1 Off Site Habitat Baseline'!$D$1:$O$258,6,FALSE))))</f>
        <v/>
      </c>
      <c r="I155" s="520" t="str">
        <f>IF(E155="","",IF(ISNA(VLOOKUP($E155,'D-1 Off Site Habitat Baseline'!$D$1:$O$258,7,FALSE)),"",(VLOOKUP($E155,'D-1 Off Site Habitat Baseline'!$D$1:$O$258,7,FALSE))))</f>
        <v/>
      </c>
      <c r="J155" s="520" t="str">
        <f>IF(E155="","",IF(ISNA(VLOOKUP($E155,'D-1 Off Site Habitat Baseline'!$D$1:$O$258,8,FALSE)),"",(VLOOKUP($E155,'D-1 Off Site Habitat Baseline'!$D$1:$O$258,8,FALSE))))</f>
        <v/>
      </c>
      <c r="K155" s="520" t="str">
        <f>IF(E155="","",IF(ISNA(VLOOKUP($E155,'D-1 Off Site Habitat Baseline'!$D$1:$O$258,9,FALSE)),"",(VLOOKUP($E155,'D-1 Off Site Habitat Baseline'!$D$1:$O$258,9,FALSE))))</f>
        <v/>
      </c>
      <c r="L155" s="520" t="str">
        <f>IF(E155="","",IF(ISNA(VLOOKUP($E155,'D-1 Off Site Habitat Baseline'!$D$1:$O$258,11,FALSE)),"",(VLOOKUP($E155,'D-1 Off Site Habitat Baseline'!$D$1:$O$258,11,FALSE))))</f>
        <v/>
      </c>
      <c r="M155" s="520" t="str">
        <f>IF(E155="","",IF(ISNA(VLOOKUP($E155,'D-1 Off Site Habitat Baseline'!$D$1:$O$258,12,FALSE)),"",(VLOOKUP($E155,'D-1 Off Site Habitat Baseline'!$D$1:$O$258,12,FALSE))))</f>
        <v/>
      </c>
      <c r="N155" s="520" t="str">
        <f>IF(E155="","",IF(ISNA(VLOOKUP($E155,'D-1 Off Site Habitat Baseline'!$D$1:$X$258,14,FALSE)),"",(VLOOKUP($E155,'D-1 Off Site Habitat Baseline'!$D$1:$X$258,14,FALSE))))</f>
        <v/>
      </c>
      <c r="O155" s="524" t="str">
        <f>IF(E155="","",IF(ISNA(VLOOKUP($E155,'D-1 Off Site Habitat Baseline'!$D$1:$X$258,13,FALSE)),"",(VLOOKUP($E155,'D-1 Off Site Habitat Baseline'!$D$1:$X$258,13,FALSE))))</f>
        <v/>
      </c>
      <c r="P155" s="232" t="str">
        <f>IFERROR(INDEX('G-1 All Habitats'!$AG$3:$AG$15,MATCH(Q155,'G-1 All Habitats'!$AF$3:$AF$15,0)),"")</f>
        <v/>
      </c>
      <c r="Q155" s="228" t="str">
        <f t="shared" si="34"/>
        <v/>
      </c>
      <c r="R155" s="229" t="str">
        <f t="shared" si="35"/>
        <v/>
      </c>
      <c r="S155" s="233" t="str">
        <f>IFERROR(INDEX('G-1 All Habitats'!$B$3:$B$129,MATCH(R155,'G-1 All Habitats'!$A$3:$A$129,0)),"")</f>
        <v/>
      </c>
      <c r="T155" s="507" t="str">
        <f t="shared" si="27"/>
        <v/>
      </c>
      <c r="U155" s="524" t="str">
        <f t="shared" si="28"/>
        <v/>
      </c>
      <c r="V155" s="523" t="str">
        <f t="shared" si="25"/>
        <v/>
      </c>
      <c r="W155" s="520" t="str">
        <f>IF(S155="","",VLOOKUP(S155,'G-1 All Habitats'!$B$2:$M$129,10,FALSE))</f>
        <v/>
      </c>
      <c r="X155" s="520" t="str">
        <f>IFERROR(VLOOKUP(W155,'G-1 All Habitats'!$V$3:$W$7,2,FALSE),"")</f>
        <v/>
      </c>
      <c r="Y155" s="203"/>
      <c r="Z155" s="524" t="str">
        <f>IFERROR(INDEX('G-8 Condition Look up'!$A$3:$H$130,MATCH(S155,'G-8 Condition Look up'!$A$3:$A$130,0),MATCH(Y155,'G-8 Condition Look up'!$A$3:$H$3,0)),"")</f>
        <v/>
      </c>
      <c r="AA155" s="145"/>
      <c r="AB155" s="540" t="str">
        <f>IF(AA155="","",IF(VLOOKUP(AA155,'G-3 Multipliers'!$L$3:$N$6,2,FALSE)=0,"Spatial Data Missing ⚠",VLOOKUP(AA155,'G-3 Multipliers'!$L$3:$N$6,2,FALSE)))</f>
        <v/>
      </c>
      <c r="AC155" s="524" t="str">
        <f>IF(AA155="","",IF(VLOOKUP(AA155,'G-3 Multipliers'!$L$3:$N$6,3,FALSE)=0,"Spatial Data Missing ⚠",VLOOKUP(AA155,'G-3 Multipliers'!$L$3:$N$6,3,FALSE)))</f>
        <v/>
      </c>
      <c r="AD155" s="537" t="str">
        <f t="shared" si="26"/>
        <v/>
      </c>
      <c r="AE155" s="203"/>
      <c r="AF155" s="203"/>
      <c r="AG155" s="520" t="str">
        <f t="shared" si="29"/>
        <v/>
      </c>
      <c r="AH155" s="544" t="str">
        <f t="shared" si="30"/>
        <v/>
      </c>
      <c r="AI155" s="525" t="str">
        <f>IF(AH155="Check Data ⚠","Check Data ⚠",IFERROR(VLOOKUP(AH155,'G-4 Temporal multipliers'!$A$4:$C$36,3,FALSE),""))</f>
        <v/>
      </c>
      <c r="AJ155" s="537" t="str">
        <f>IF(S155="","",VLOOKUP(S155,'G-3 Multipliers'!$A$2:$E$129,4,FALSE))</f>
        <v/>
      </c>
      <c r="AK155" s="520" t="str">
        <f t="shared" si="31"/>
        <v/>
      </c>
      <c r="AL155" s="520" t="str">
        <f t="shared" si="32"/>
        <v/>
      </c>
      <c r="AM155" s="524" t="str">
        <f>IFERROR(IF(F155="","",IF(AH155="Check Data ⚠","Check Data ⚠",VLOOKUP(AL155, 'G-3 Multipliers'!$P$2:$Q$6,2,FALSE))),"")</f>
        <v/>
      </c>
      <c r="AN155" s="197"/>
      <c r="AO155" s="540" t="str">
        <f>IF(AN155="","",IF(VLOOKUP(AN155,'G-3 Multipliers'!$S$3:$T$9,2,FALSE)=0,"Spatial Data Missing ⚠",VLOOKUP(AN155,'G-3 Multipliers'!$S$3:$T$9,2,FALSE)))</f>
        <v/>
      </c>
      <c r="AP155" s="513" t="str">
        <f t="shared" si="33"/>
        <v/>
      </c>
      <c r="AQ155" s="231"/>
      <c r="AR155" s="150"/>
    </row>
    <row r="156" spans="1:44" x14ac:dyDescent="0.3">
      <c r="A156" s="31" t="str">
        <f>IF(E156="","",IF(ISNA(VLOOKUP($E156,'D-1 Off Site Habitat Baseline'!$D$1:$O$258,2,FALSE)),"",(VLOOKUP($E156,'D-1 Off Site Habitat Baseline'!$D$1:$O$258,2,FALSE))))</f>
        <v/>
      </c>
      <c r="B156" s="31" t="str">
        <f>IF(E156="","",IF(ISNA(VLOOKUP($E156,'D-1 Off Site Habitat Baseline'!$D$1:$O$258,3,FALSE)),"",(VLOOKUP($E156,'D-1 Off Site Habitat Baseline'!$D$1:$O$258,3,FALSE))))</f>
        <v/>
      </c>
      <c r="C156" s="31" t="str">
        <f>IFERROR(INDEX('G-8 Condition Look up'!$I$4:$I$130,MATCH(S156,'G-8 Condition Look up'!$A$4:$A$130,0)),"")</f>
        <v/>
      </c>
      <c r="E156" s="547" t="str">
        <f>'D-1 Off Site Habitat Baseline'!AL155</f>
        <v/>
      </c>
      <c r="F156" s="520" t="str">
        <f>IF(E156="","",IF(ISNA(VLOOKUP($E156,'D-1 Off Site Habitat Baseline'!$D$1:$O$258,4,FALSE)),"",(VLOOKUP($E156,'D-1 Off Site Habitat Baseline'!$D$1:$O$258,4,FALSE))))</f>
        <v/>
      </c>
      <c r="G156" s="520" t="str">
        <f>IF(E156="","",IF(ISNA(VLOOKUP($E156,'D-1 Off Site Habitat Baseline'!$D$1:$O$258,5,FALSE)),"",(VLOOKUP($E156,'D-1 Off Site Habitat Baseline'!$D$1:$O$258,5,FALSE))))</f>
        <v/>
      </c>
      <c r="H156" s="520" t="str">
        <f>IF(E156="","",IF(ISNA(VLOOKUP($E156,'D-1 Off Site Habitat Baseline'!$D$1:$O$258,6,FALSE)),"",(VLOOKUP($E156,'D-1 Off Site Habitat Baseline'!$D$1:$O$258,6,FALSE))))</f>
        <v/>
      </c>
      <c r="I156" s="520" t="str">
        <f>IF(E156="","",IF(ISNA(VLOOKUP($E156,'D-1 Off Site Habitat Baseline'!$D$1:$O$258,7,FALSE)),"",(VLOOKUP($E156,'D-1 Off Site Habitat Baseline'!$D$1:$O$258,7,FALSE))))</f>
        <v/>
      </c>
      <c r="J156" s="520" t="str">
        <f>IF(E156="","",IF(ISNA(VLOOKUP($E156,'D-1 Off Site Habitat Baseline'!$D$1:$O$258,8,FALSE)),"",(VLOOKUP($E156,'D-1 Off Site Habitat Baseline'!$D$1:$O$258,8,FALSE))))</f>
        <v/>
      </c>
      <c r="K156" s="520" t="str">
        <f>IF(E156="","",IF(ISNA(VLOOKUP($E156,'D-1 Off Site Habitat Baseline'!$D$1:$O$258,9,FALSE)),"",(VLOOKUP($E156,'D-1 Off Site Habitat Baseline'!$D$1:$O$258,9,FALSE))))</f>
        <v/>
      </c>
      <c r="L156" s="520" t="str">
        <f>IF(E156="","",IF(ISNA(VLOOKUP($E156,'D-1 Off Site Habitat Baseline'!$D$1:$O$258,11,FALSE)),"",(VLOOKUP($E156,'D-1 Off Site Habitat Baseline'!$D$1:$O$258,11,FALSE))))</f>
        <v/>
      </c>
      <c r="M156" s="520" t="str">
        <f>IF(E156="","",IF(ISNA(VLOOKUP($E156,'D-1 Off Site Habitat Baseline'!$D$1:$O$258,12,FALSE)),"",(VLOOKUP($E156,'D-1 Off Site Habitat Baseline'!$D$1:$O$258,12,FALSE))))</f>
        <v/>
      </c>
      <c r="N156" s="520" t="str">
        <f>IF(E156="","",IF(ISNA(VLOOKUP($E156,'D-1 Off Site Habitat Baseline'!$D$1:$X$258,14,FALSE)),"",(VLOOKUP($E156,'D-1 Off Site Habitat Baseline'!$D$1:$X$258,14,FALSE))))</f>
        <v/>
      </c>
      <c r="O156" s="524" t="str">
        <f>IF(E156="","",IF(ISNA(VLOOKUP($E156,'D-1 Off Site Habitat Baseline'!$D$1:$X$258,13,FALSE)),"",(VLOOKUP($E156,'D-1 Off Site Habitat Baseline'!$D$1:$X$258,13,FALSE))))</f>
        <v/>
      </c>
      <c r="P156" s="232" t="str">
        <f>IFERROR(INDEX('G-1 All Habitats'!$AG$3:$AG$15,MATCH(Q156,'G-1 All Habitats'!$AF$3:$AF$15,0)),"")</f>
        <v/>
      </c>
      <c r="Q156" s="228" t="str">
        <f t="shared" si="34"/>
        <v/>
      </c>
      <c r="R156" s="229" t="str">
        <f t="shared" si="35"/>
        <v/>
      </c>
      <c r="S156" s="233" t="str">
        <f>IFERROR(INDEX('G-1 All Habitats'!$B$3:$B$129,MATCH(R156,'G-1 All Habitats'!$A$3:$A$129,0)),"")</f>
        <v/>
      </c>
      <c r="T156" s="507" t="str">
        <f t="shared" si="27"/>
        <v/>
      </c>
      <c r="U156" s="524" t="str">
        <f t="shared" si="28"/>
        <v/>
      </c>
      <c r="V156" s="523" t="str">
        <f t="shared" si="25"/>
        <v/>
      </c>
      <c r="W156" s="520" t="str">
        <f>IF(S156="","",VLOOKUP(S156,'G-1 All Habitats'!$B$2:$M$129,10,FALSE))</f>
        <v/>
      </c>
      <c r="X156" s="520" t="str">
        <f>IFERROR(VLOOKUP(W156,'G-1 All Habitats'!$V$3:$W$7,2,FALSE),"")</f>
        <v/>
      </c>
      <c r="Y156" s="203"/>
      <c r="Z156" s="524" t="str">
        <f>IFERROR(INDEX('G-8 Condition Look up'!$A$3:$H$130,MATCH(S156,'G-8 Condition Look up'!$A$3:$A$130,0),MATCH(Y156,'G-8 Condition Look up'!$A$3:$H$3,0)),"")</f>
        <v/>
      </c>
      <c r="AA156" s="145"/>
      <c r="AB156" s="540" t="str">
        <f>IF(AA156="","",IF(VLOOKUP(AA156,'G-3 Multipliers'!$L$3:$N$6,2,FALSE)=0,"Spatial Data Missing ⚠",VLOOKUP(AA156,'G-3 Multipliers'!$L$3:$N$6,2,FALSE)))</f>
        <v/>
      </c>
      <c r="AC156" s="524" t="str">
        <f>IF(AA156="","",IF(VLOOKUP(AA156,'G-3 Multipliers'!$L$3:$N$6,3,FALSE)=0,"Spatial Data Missing ⚠",VLOOKUP(AA156,'G-3 Multipliers'!$L$3:$N$6,3,FALSE)))</f>
        <v/>
      </c>
      <c r="AD156" s="537" t="str">
        <f t="shared" si="26"/>
        <v/>
      </c>
      <c r="AE156" s="203"/>
      <c r="AF156" s="203"/>
      <c r="AG156" s="520" t="str">
        <f t="shared" si="29"/>
        <v/>
      </c>
      <c r="AH156" s="544" t="str">
        <f t="shared" si="30"/>
        <v/>
      </c>
      <c r="AI156" s="525" t="str">
        <f>IF(AH156="Check Data ⚠","Check Data ⚠",IFERROR(VLOOKUP(AH156,'G-4 Temporal multipliers'!$A$4:$C$36,3,FALSE),""))</f>
        <v/>
      </c>
      <c r="AJ156" s="537" t="str">
        <f>IF(S156="","",VLOOKUP(S156,'G-3 Multipliers'!$A$2:$E$129,4,FALSE))</f>
        <v/>
      </c>
      <c r="AK156" s="520" t="str">
        <f t="shared" si="31"/>
        <v/>
      </c>
      <c r="AL156" s="520" t="str">
        <f t="shared" si="32"/>
        <v/>
      </c>
      <c r="AM156" s="524" t="str">
        <f>IFERROR(IF(F156="","",IF(AH156="Check Data ⚠","Check Data ⚠",VLOOKUP(AL156, 'G-3 Multipliers'!$P$2:$Q$6,2,FALSE))),"")</f>
        <v/>
      </c>
      <c r="AN156" s="197"/>
      <c r="AO156" s="540" t="str">
        <f>IF(AN156="","",IF(VLOOKUP(AN156,'G-3 Multipliers'!$S$3:$T$9,2,FALSE)=0,"Spatial Data Missing ⚠",VLOOKUP(AN156,'G-3 Multipliers'!$S$3:$T$9,2,FALSE)))</f>
        <v/>
      </c>
      <c r="AP156" s="513" t="str">
        <f t="shared" si="33"/>
        <v/>
      </c>
      <c r="AQ156" s="231"/>
      <c r="AR156" s="150"/>
    </row>
    <row r="157" spans="1:44" x14ac:dyDescent="0.3">
      <c r="A157" s="31" t="str">
        <f>IF(E157="","",IF(ISNA(VLOOKUP($E157,'D-1 Off Site Habitat Baseline'!$D$1:$O$258,2,FALSE)),"",(VLOOKUP($E157,'D-1 Off Site Habitat Baseline'!$D$1:$O$258,2,FALSE))))</f>
        <v/>
      </c>
      <c r="B157" s="31" t="str">
        <f>IF(E157="","",IF(ISNA(VLOOKUP($E157,'D-1 Off Site Habitat Baseline'!$D$1:$O$258,3,FALSE)),"",(VLOOKUP($E157,'D-1 Off Site Habitat Baseline'!$D$1:$O$258,3,FALSE))))</f>
        <v/>
      </c>
      <c r="C157" s="31" t="str">
        <f>IFERROR(INDEX('G-8 Condition Look up'!$I$4:$I$130,MATCH(S157,'G-8 Condition Look up'!$A$4:$A$130,0)),"")</f>
        <v/>
      </c>
      <c r="E157" s="547" t="str">
        <f>'D-1 Off Site Habitat Baseline'!AL156</f>
        <v/>
      </c>
      <c r="F157" s="520" t="str">
        <f>IF(E157="","",IF(ISNA(VLOOKUP($E157,'D-1 Off Site Habitat Baseline'!$D$1:$O$258,4,FALSE)),"",(VLOOKUP($E157,'D-1 Off Site Habitat Baseline'!$D$1:$O$258,4,FALSE))))</f>
        <v/>
      </c>
      <c r="G157" s="520" t="str">
        <f>IF(E157="","",IF(ISNA(VLOOKUP($E157,'D-1 Off Site Habitat Baseline'!$D$1:$O$258,5,FALSE)),"",(VLOOKUP($E157,'D-1 Off Site Habitat Baseline'!$D$1:$O$258,5,FALSE))))</f>
        <v/>
      </c>
      <c r="H157" s="520" t="str">
        <f>IF(E157="","",IF(ISNA(VLOOKUP($E157,'D-1 Off Site Habitat Baseline'!$D$1:$O$258,6,FALSE)),"",(VLOOKUP($E157,'D-1 Off Site Habitat Baseline'!$D$1:$O$258,6,FALSE))))</f>
        <v/>
      </c>
      <c r="I157" s="520" t="str">
        <f>IF(E157="","",IF(ISNA(VLOOKUP($E157,'D-1 Off Site Habitat Baseline'!$D$1:$O$258,7,FALSE)),"",(VLOOKUP($E157,'D-1 Off Site Habitat Baseline'!$D$1:$O$258,7,FALSE))))</f>
        <v/>
      </c>
      <c r="J157" s="520" t="str">
        <f>IF(E157="","",IF(ISNA(VLOOKUP($E157,'D-1 Off Site Habitat Baseline'!$D$1:$O$258,8,FALSE)),"",(VLOOKUP($E157,'D-1 Off Site Habitat Baseline'!$D$1:$O$258,8,FALSE))))</f>
        <v/>
      </c>
      <c r="K157" s="520" t="str">
        <f>IF(E157="","",IF(ISNA(VLOOKUP($E157,'D-1 Off Site Habitat Baseline'!$D$1:$O$258,9,FALSE)),"",(VLOOKUP($E157,'D-1 Off Site Habitat Baseline'!$D$1:$O$258,9,FALSE))))</f>
        <v/>
      </c>
      <c r="L157" s="520" t="str">
        <f>IF(E157="","",IF(ISNA(VLOOKUP($E157,'D-1 Off Site Habitat Baseline'!$D$1:$O$258,11,FALSE)),"",(VLOOKUP($E157,'D-1 Off Site Habitat Baseline'!$D$1:$O$258,11,FALSE))))</f>
        <v/>
      </c>
      <c r="M157" s="520" t="str">
        <f>IF(E157="","",IF(ISNA(VLOOKUP($E157,'D-1 Off Site Habitat Baseline'!$D$1:$O$258,12,FALSE)),"",(VLOOKUP($E157,'D-1 Off Site Habitat Baseline'!$D$1:$O$258,12,FALSE))))</f>
        <v/>
      </c>
      <c r="N157" s="520" t="str">
        <f>IF(E157="","",IF(ISNA(VLOOKUP($E157,'D-1 Off Site Habitat Baseline'!$D$1:$X$258,14,FALSE)),"",(VLOOKUP($E157,'D-1 Off Site Habitat Baseline'!$D$1:$X$258,14,FALSE))))</f>
        <v/>
      </c>
      <c r="O157" s="524" t="str">
        <f>IF(E157="","",IF(ISNA(VLOOKUP($E157,'D-1 Off Site Habitat Baseline'!$D$1:$X$258,13,FALSE)),"",(VLOOKUP($E157,'D-1 Off Site Habitat Baseline'!$D$1:$X$258,13,FALSE))))</f>
        <v/>
      </c>
      <c r="P157" s="232" t="str">
        <f>IFERROR(INDEX('G-1 All Habitats'!$AG$3:$AG$15,MATCH(Q157,'G-1 All Habitats'!$AF$3:$AF$15,0)),"")</f>
        <v/>
      </c>
      <c r="Q157" s="228" t="str">
        <f t="shared" si="34"/>
        <v/>
      </c>
      <c r="R157" s="229" t="str">
        <f t="shared" si="35"/>
        <v/>
      </c>
      <c r="S157" s="233" t="str">
        <f>IFERROR(INDEX('G-1 All Habitats'!$B$3:$B$129,MATCH(R157,'G-1 All Habitats'!$A$3:$A$129,0)),"")</f>
        <v/>
      </c>
      <c r="T157" s="507" t="str">
        <f t="shared" si="27"/>
        <v/>
      </c>
      <c r="U157" s="524" t="str">
        <f t="shared" si="28"/>
        <v/>
      </c>
      <c r="V157" s="523" t="str">
        <f t="shared" si="25"/>
        <v/>
      </c>
      <c r="W157" s="520" t="str">
        <f>IF(S157="","",VLOOKUP(S157,'G-1 All Habitats'!$B$2:$M$129,10,FALSE))</f>
        <v/>
      </c>
      <c r="X157" s="520" t="str">
        <f>IFERROR(VLOOKUP(W157,'G-1 All Habitats'!$V$3:$W$7,2,FALSE),"")</f>
        <v/>
      </c>
      <c r="Y157" s="203"/>
      <c r="Z157" s="524" t="str">
        <f>IFERROR(INDEX('G-8 Condition Look up'!$A$3:$H$130,MATCH(S157,'G-8 Condition Look up'!$A$3:$A$130,0),MATCH(Y157,'G-8 Condition Look up'!$A$3:$H$3,0)),"")</f>
        <v/>
      </c>
      <c r="AA157" s="145"/>
      <c r="AB157" s="540" t="str">
        <f>IF(AA157="","",IF(VLOOKUP(AA157,'G-3 Multipliers'!$L$3:$N$6,2,FALSE)=0,"Spatial Data Missing ⚠",VLOOKUP(AA157,'G-3 Multipliers'!$L$3:$N$6,2,FALSE)))</f>
        <v/>
      </c>
      <c r="AC157" s="524" t="str">
        <f>IF(AA157="","",IF(VLOOKUP(AA157,'G-3 Multipliers'!$L$3:$N$6,3,FALSE)=0,"Spatial Data Missing ⚠",VLOOKUP(AA157,'G-3 Multipliers'!$L$3:$N$6,3,FALSE)))</f>
        <v/>
      </c>
      <c r="AD157" s="537" t="str">
        <f t="shared" si="26"/>
        <v/>
      </c>
      <c r="AE157" s="203"/>
      <c r="AF157" s="203"/>
      <c r="AG157" s="520" t="str">
        <f t="shared" si="29"/>
        <v/>
      </c>
      <c r="AH157" s="544" t="str">
        <f t="shared" si="30"/>
        <v/>
      </c>
      <c r="AI157" s="525" t="str">
        <f>IF(AH157="Check Data ⚠","Check Data ⚠",IFERROR(VLOOKUP(AH157,'G-4 Temporal multipliers'!$A$4:$C$36,3,FALSE),""))</f>
        <v/>
      </c>
      <c r="AJ157" s="537" t="str">
        <f>IF(S157="","",VLOOKUP(S157,'G-3 Multipliers'!$A$2:$E$129,4,FALSE))</f>
        <v/>
      </c>
      <c r="AK157" s="520" t="str">
        <f t="shared" si="31"/>
        <v/>
      </c>
      <c r="AL157" s="520" t="str">
        <f t="shared" si="32"/>
        <v/>
      </c>
      <c r="AM157" s="524" t="str">
        <f>IFERROR(IF(F157="","",IF(AH157="Check Data ⚠","Check Data ⚠",VLOOKUP(AL157, 'G-3 Multipliers'!$P$2:$Q$6,2,FALSE))),"")</f>
        <v/>
      </c>
      <c r="AN157" s="197"/>
      <c r="AO157" s="540" t="str">
        <f>IF(AN157="","",IF(VLOOKUP(AN157,'G-3 Multipliers'!$S$3:$T$9,2,FALSE)=0,"Spatial Data Missing ⚠",VLOOKUP(AN157,'G-3 Multipliers'!$S$3:$T$9,2,FALSE)))</f>
        <v/>
      </c>
      <c r="AP157" s="513" t="str">
        <f t="shared" si="33"/>
        <v/>
      </c>
      <c r="AQ157" s="231"/>
      <c r="AR157" s="150"/>
    </row>
    <row r="158" spans="1:44" x14ac:dyDescent="0.3">
      <c r="A158" s="31" t="str">
        <f>IF(E158="","",IF(ISNA(VLOOKUP($E158,'D-1 Off Site Habitat Baseline'!$D$1:$O$258,2,FALSE)),"",(VLOOKUP($E158,'D-1 Off Site Habitat Baseline'!$D$1:$O$258,2,FALSE))))</f>
        <v/>
      </c>
      <c r="B158" s="31" t="str">
        <f>IF(E158="","",IF(ISNA(VLOOKUP($E158,'D-1 Off Site Habitat Baseline'!$D$1:$O$258,3,FALSE)),"",(VLOOKUP($E158,'D-1 Off Site Habitat Baseline'!$D$1:$O$258,3,FALSE))))</f>
        <v/>
      </c>
      <c r="C158" s="31" t="str">
        <f>IFERROR(INDEX('G-8 Condition Look up'!$I$4:$I$130,MATCH(S158,'G-8 Condition Look up'!$A$4:$A$130,0)),"")</f>
        <v/>
      </c>
      <c r="E158" s="547" t="str">
        <f>'D-1 Off Site Habitat Baseline'!AL157</f>
        <v/>
      </c>
      <c r="F158" s="520" t="str">
        <f>IF(E158="","",IF(ISNA(VLOOKUP($E158,'D-1 Off Site Habitat Baseline'!$D$1:$O$258,4,FALSE)),"",(VLOOKUP($E158,'D-1 Off Site Habitat Baseline'!$D$1:$O$258,4,FALSE))))</f>
        <v/>
      </c>
      <c r="G158" s="520" t="str">
        <f>IF(E158="","",IF(ISNA(VLOOKUP($E158,'D-1 Off Site Habitat Baseline'!$D$1:$O$258,5,FALSE)),"",(VLOOKUP($E158,'D-1 Off Site Habitat Baseline'!$D$1:$O$258,5,FALSE))))</f>
        <v/>
      </c>
      <c r="H158" s="520" t="str">
        <f>IF(E158="","",IF(ISNA(VLOOKUP($E158,'D-1 Off Site Habitat Baseline'!$D$1:$O$258,6,FALSE)),"",(VLOOKUP($E158,'D-1 Off Site Habitat Baseline'!$D$1:$O$258,6,FALSE))))</f>
        <v/>
      </c>
      <c r="I158" s="520" t="str">
        <f>IF(E158="","",IF(ISNA(VLOOKUP($E158,'D-1 Off Site Habitat Baseline'!$D$1:$O$258,7,FALSE)),"",(VLOOKUP($E158,'D-1 Off Site Habitat Baseline'!$D$1:$O$258,7,FALSE))))</f>
        <v/>
      </c>
      <c r="J158" s="520" t="str">
        <f>IF(E158="","",IF(ISNA(VLOOKUP($E158,'D-1 Off Site Habitat Baseline'!$D$1:$O$258,8,FALSE)),"",(VLOOKUP($E158,'D-1 Off Site Habitat Baseline'!$D$1:$O$258,8,FALSE))))</f>
        <v/>
      </c>
      <c r="K158" s="520" t="str">
        <f>IF(E158="","",IF(ISNA(VLOOKUP($E158,'D-1 Off Site Habitat Baseline'!$D$1:$O$258,9,FALSE)),"",(VLOOKUP($E158,'D-1 Off Site Habitat Baseline'!$D$1:$O$258,9,FALSE))))</f>
        <v/>
      </c>
      <c r="L158" s="520" t="str">
        <f>IF(E158="","",IF(ISNA(VLOOKUP($E158,'D-1 Off Site Habitat Baseline'!$D$1:$O$258,11,FALSE)),"",(VLOOKUP($E158,'D-1 Off Site Habitat Baseline'!$D$1:$O$258,11,FALSE))))</f>
        <v/>
      </c>
      <c r="M158" s="520" t="str">
        <f>IF(E158="","",IF(ISNA(VLOOKUP($E158,'D-1 Off Site Habitat Baseline'!$D$1:$O$258,12,FALSE)),"",(VLOOKUP($E158,'D-1 Off Site Habitat Baseline'!$D$1:$O$258,12,FALSE))))</f>
        <v/>
      </c>
      <c r="N158" s="520" t="str">
        <f>IF(E158="","",IF(ISNA(VLOOKUP($E158,'D-1 Off Site Habitat Baseline'!$D$1:$X$258,14,FALSE)),"",(VLOOKUP($E158,'D-1 Off Site Habitat Baseline'!$D$1:$X$258,14,FALSE))))</f>
        <v/>
      </c>
      <c r="O158" s="524" t="str">
        <f>IF(E158="","",IF(ISNA(VLOOKUP($E158,'D-1 Off Site Habitat Baseline'!$D$1:$X$258,13,FALSE)),"",(VLOOKUP($E158,'D-1 Off Site Habitat Baseline'!$D$1:$X$258,13,FALSE))))</f>
        <v/>
      </c>
      <c r="P158" s="232" t="str">
        <f>IFERROR(INDEX('G-1 All Habitats'!$AG$3:$AG$15,MATCH(Q158,'G-1 All Habitats'!$AF$3:$AF$15,0)),"")</f>
        <v/>
      </c>
      <c r="Q158" s="228" t="str">
        <f t="shared" si="34"/>
        <v/>
      </c>
      <c r="R158" s="229" t="str">
        <f t="shared" si="35"/>
        <v/>
      </c>
      <c r="S158" s="233" t="str">
        <f>IFERROR(INDEX('G-1 All Habitats'!$B$3:$B$129,MATCH(R158,'G-1 All Habitats'!$A$3:$A$129,0)),"")</f>
        <v/>
      </c>
      <c r="T158" s="507" t="str">
        <f t="shared" si="27"/>
        <v/>
      </c>
      <c r="U158" s="524" t="str">
        <f t="shared" si="28"/>
        <v/>
      </c>
      <c r="V158" s="523" t="str">
        <f t="shared" si="25"/>
        <v/>
      </c>
      <c r="W158" s="520" t="str">
        <f>IF(S158="","",VLOOKUP(S158,'G-1 All Habitats'!$B$2:$M$129,10,FALSE))</f>
        <v/>
      </c>
      <c r="X158" s="520" t="str">
        <f>IFERROR(VLOOKUP(W158,'G-1 All Habitats'!$V$3:$W$7,2,FALSE),"")</f>
        <v/>
      </c>
      <c r="Y158" s="203"/>
      <c r="Z158" s="524" t="str">
        <f>IFERROR(INDEX('G-8 Condition Look up'!$A$3:$H$130,MATCH(S158,'G-8 Condition Look up'!$A$3:$A$130,0),MATCH(Y158,'G-8 Condition Look up'!$A$3:$H$3,0)),"")</f>
        <v/>
      </c>
      <c r="AA158" s="145"/>
      <c r="AB158" s="540" t="str">
        <f>IF(AA158="","",IF(VLOOKUP(AA158,'G-3 Multipliers'!$L$3:$N$6,2,FALSE)=0,"Spatial Data Missing ⚠",VLOOKUP(AA158,'G-3 Multipliers'!$L$3:$N$6,2,FALSE)))</f>
        <v/>
      </c>
      <c r="AC158" s="524" t="str">
        <f>IF(AA158="","",IF(VLOOKUP(AA158,'G-3 Multipliers'!$L$3:$N$6,3,FALSE)=0,"Spatial Data Missing ⚠",VLOOKUP(AA158,'G-3 Multipliers'!$L$3:$N$6,3,FALSE)))</f>
        <v/>
      </c>
      <c r="AD158" s="537" t="str">
        <f t="shared" si="26"/>
        <v/>
      </c>
      <c r="AE158" s="203"/>
      <c r="AF158" s="203"/>
      <c r="AG158" s="520" t="str">
        <f t="shared" si="29"/>
        <v/>
      </c>
      <c r="AH158" s="544" t="str">
        <f t="shared" si="30"/>
        <v/>
      </c>
      <c r="AI158" s="525" t="str">
        <f>IF(AH158="Check Data ⚠","Check Data ⚠",IFERROR(VLOOKUP(AH158,'G-4 Temporal multipliers'!$A$4:$C$36,3,FALSE),""))</f>
        <v/>
      </c>
      <c r="AJ158" s="537" t="str">
        <f>IF(S158="","",VLOOKUP(S158,'G-3 Multipliers'!$A$2:$E$129,4,FALSE))</f>
        <v/>
      </c>
      <c r="AK158" s="520" t="str">
        <f t="shared" si="31"/>
        <v/>
      </c>
      <c r="AL158" s="520" t="str">
        <f t="shared" si="32"/>
        <v/>
      </c>
      <c r="AM158" s="524" t="str">
        <f>IFERROR(IF(F158="","",IF(AH158="Check Data ⚠","Check Data ⚠",VLOOKUP(AL158, 'G-3 Multipliers'!$P$2:$Q$6,2,FALSE))),"")</f>
        <v/>
      </c>
      <c r="AN158" s="197"/>
      <c r="AO158" s="540" t="str">
        <f>IF(AN158="","",IF(VLOOKUP(AN158,'G-3 Multipliers'!$S$3:$T$9,2,FALSE)=0,"Spatial Data Missing ⚠",VLOOKUP(AN158,'G-3 Multipliers'!$S$3:$T$9,2,FALSE)))</f>
        <v/>
      </c>
      <c r="AP158" s="513" t="str">
        <f t="shared" si="33"/>
        <v/>
      </c>
      <c r="AQ158" s="231"/>
      <c r="AR158" s="150"/>
    </row>
    <row r="159" spans="1:44" x14ac:dyDescent="0.3">
      <c r="A159" s="31" t="str">
        <f>IF(E159="","",IF(ISNA(VLOOKUP($E159,'D-1 Off Site Habitat Baseline'!$D$1:$O$258,2,FALSE)),"",(VLOOKUP($E159,'D-1 Off Site Habitat Baseline'!$D$1:$O$258,2,FALSE))))</f>
        <v/>
      </c>
      <c r="B159" s="31" t="str">
        <f>IF(E159="","",IF(ISNA(VLOOKUP($E159,'D-1 Off Site Habitat Baseline'!$D$1:$O$258,3,FALSE)),"",(VLOOKUP($E159,'D-1 Off Site Habitat Baseline'!$D$1:$O$258,3,FALSE))))</f>
        <v/>
      </c>
      <c r="C159" s="31" t="str">
        <f>IFERROR(INDEX('G-8 Condition Look up'!$I$4:$I$130,MATCH(S159,'G-8 Condition Look up'!$A$4:$A$130,0)),"")</f>
        <v/>
      </c>
      <c r="E159" s="547" t="str">
        <f>'D-1 Off Site Habitat Baseline'!AL158</f>
        <v/>
      </c>
      <c r="F159" s="520" t="str">
        <f>IF(E159="","",IF(ISNA(VLOOKUP($E159,'D-1 Off Site Habitat Baseline'!$D$1:$O$258,4,FALSE)),"",(VLOOKUP($E159,'D-1 Off Site Habitat Baseline'!$D$1:$O$258,4,FALSE))))</f>
        <v/>
      </c>
      <c r="G159" s="520" t="str">
        <f>IF(E159="","",IF(ISNA(VLOOKUP($E159,'D-1 Off Site Habitat Baseline'!$D$1:$O$258,5,FALSE)),"",(VLOOKUP($E159,'D-1 Off Site Habitat Baseline'!$D$1:$O$258,5,FALSE))))</f>
        <v/>
      </c>
      <c r="H159" s="520" t="str">
        <f>IF(E159="","",IF(ISNA(VLOOKUP($E159,'D-1 Off Site Habitat Baseline'!$D$1:$O$258,6,FALSE)),"",(VLOOKUP($E159,'D-1 Off Site Habitat Baseline'!$D$1:$O$258,6,FALSE))))</f>
        <v/>
      </c>
      <c r="I159" s="520" t="str">
        <f>IF(E159="","",IF(ISNA(VLOOKUP($E159,'D-1 Off Site Habitat Baseline'!$D$1:$O$258,7,FALSE)),"",(VLOOKUP($E159,'D-1 Off Site Habitat Baseline'!$D$1:$O$258,7,FALSE))))</f>
        <v/>
      </c>
      <c r="J159" s="520" t="str">
        <f>IF(E159="","",IF(ISNA(VLOOKUP($E159,'D-1 Off Site Habitat Baseline'!$D$1:$O$258,8,FALSE)),"",(VLOOKUP($E159,'D-1 Off Site Habitat Baseline'!$D$1:$O$258,8,FALSE))))</f>
        <v/>
      </c>
      <c r="K159" s="520" t="str">
        <f>IF(E159="","",IF(ISNA(VLOOKUP($E159,'D-1 Off Site Habitat Baseline'!$D$1:$O$258,9,FALSE)),"",(VLOOKUP($E159,'D-1 Off Site Habitat Baseline'!$D$1:$O$258,9,FALSE))))</f>
        <v/>
      </c>
      <c r="L159" s="520" t="str">
        <f>IF(E159="","",IF(ISNA(VLOOKUP($E159,'D-1 Off Site Habitat Baseline'!$D$1:$O$258,11,FALSE)),"",(VLOOKUP($E159,'D-1 Off Site Habitat Baseline'!$D$1:$O$258,11,FALSE))))</f>
        <v/>
      </c>
      <c r="M159" s="520" t="str">
        <f>IF(E159="","",IF(ISNA(VLOOKUP($E159,'D-1 Off Site Habitat Baseline'!$D$1:$O$258,12,FALSE)),"",(VLOOKUP($E159,'D-1 Off Site Habitat Baseline'!$D$1:$O$258,12,FALSE))))</f>
        <v/>
      </c>
      <c r="N159" s="520" t="str">
        <f>IF(E159="","",IF(ISNA(VLOOKUP($E159,'D-1 Off Site Habitat Baseline'!$D$1:$X$258,14,FALSE)),"",(VLOOKUP($E159,'D-1 Off Site Habitat Baseline'!$D$1:$X$258,14,FALSE))))</f>
        <v/>
      </c>
      <c r="O159" s="524" t="str">
        <f>IF(E159="","",IF(ISNA(VLOOKUP($E159,'D-1 Off Site Habitat Baseline'!$D$1:$X$258,13,FALSE)),"",(VLOOKUP($E159,'D-1 Off Site Habitat Baseline'!$D$1:$X$258,13,FALSE))))</f>
        <v/>
      </c>
      <c r="P159" s="232" t="str">
        <f>IFERROR(INDEX('G-1 All Habitats'!$AG$3:$AG$15,MATCH(Q159,'G-1 All Habitats'!$AF$3:$AF$15,0)),"")</f>
        <v/>
      </c>
      <c r="Q159" s="228" t="str">
        <f t="shared" si="34"/>
        <v/>
      </c>
      <c r="R159" s="229" t="str">
        <f t="shared" si="35"/>
        <v/>
      </c>
      <c r="S159" s="233" t="str">
        <f>IFERROR(INDEX('G-1 All Habitats'!$B$3:$B$129,MATCH(R159,'G-1 All Habitats'!$A$3:$A$129,0)),"")</f>
        <v/>
      </c>
      <c r="T159" s="507" t="str">
        <f t="shared" si="27"/>
        <v/>
      </c>
      <c r="U159" s="524" t="str">
        <f t="shared" si="28"/>
        <v/>
      </c>
      <c r="V159" s="523" t="str">
        <f t="shared" si="25"/>
        <v/>
      </c>
      <c r="W159" s="520" t="str">
        <f>IF(S159="","",VLOOKUP(S159,'G-1 All Habitats'!$B$2:$M$129,10,FALSE))</f>
        <v/>
      </c>
      <c r="X159" s="520" t="str">
        <f>IFERROR(VLOOKUP(W159,'G-1 All Habitats'!$V$3:$W$7,2,FALSE),"")</f>
        <v/>
      </c>
      <c r="Y159" s="203"/>
      <c r="Z159" s="524" t="str">
        <f>IFERROR(INDEX('G-8 Condition Look up'!$A$3:$H$130,MATCH(S159,'G-8 Condition Look up'!$A$3:$A$130,0),MATCH(Y159,'G-8 Condition Look up'!$A$3:$H$3,0)),"")</f>
        <v/>
      </c>
      <c r="AA159" s="145"/>
      <c r="AB159" s="540" t="str">
        <f>IF(AA159="","",IF(VLOOKUP(AA159,'G-3 Multipliers'!$L$3:$N$6,2,FALSE)=0,"Spatial Data Missing ⚠",VLOOKUP(AA159,'G-3 Multipliers'!$L$3:$N$6,2,FALSE)))</f>
        <v/>
      </c>
      <c r="AC159" s="524" t="str">
        <f>IF(AA159="","",IF(VLOOKUP(AA159,'G-3 Multipliers'!$L$3:$N$6,3,FALSE)=0,"Spatial Data Missing ⚠",VLOOKUP(AA159,'G-3 Multipliers'!$L$3:$N$6,3,FALSE)))</f>
        <v/>
      </c>
      <c r="AD159" s="537" t="str">
        <f t="shared" si="26"/>
        <v/>
      </c>
      <c r="AE159" s="203"/>
      <c r="AF159" s="203"/>
      <c r="AG159" s="520" t="str">
        <f t="shared" si="29"/>
        <v/>
      </c>
      <c r="AH159" s="544" t="str">
        <f t="shared" si="30"/>
        <v/>
      </c>
      <c r="AI159" s="525" t="str">
        <f>IF(AH159="Check Data ⚠","Check Data ⚠",IFERROR(VLOOKUP(AH159,'G-4 Temporal multipliers'!$A$4:$C$36,3,FALSE),""))</f>
        <v/>
      </c>
      <c r="AJ159" s="537" t="str">
        <f>IF(S159="","",VLOOKUP(S159,'G-3 Multipliers'!$A$2:$E$129,4,FALSE))</f>
        <v/>
      </c>
      <c r="AK159" s="520" t="str">
        <f t="shared" si="31"/>
        <v/>
      </c>
      <c r="AL159" s="520" t="str">
        <f t="shared" si="32"/>
        <v/>
      </c>
      <c r="AM159" s="524" t="str">
        <f>IFERROR(IF(F159="","",IF(AH159="Check Data ⚠","Check Data ⚠",VLOOKUP(AL159, 'G-3 Multipliers'!$P$2:$Q$6,2,FALSE))),"")</f>
        <v/>
      </c>
      <c r="AN159" s="197"/>
      <c r="AO159" s="540" t="str">
        <f>IF(AN159="","",IF(VLOOKUP(AN159,'G-3 Multipliers'!$S$3:$T$9,2,FALSE)=0,"Spatial Data Missing ⚠",VLOOKUP(AN159,'G-3 Multipliers'!$S$3:$T$9,2,FALSE)))</f>
        <v/>
      </c>
      <c r="AP159" s="513" t="str">
        <f t="shared" si="33"/>
        <v/>
      </c>
      <c r="AQ159" s="231"/>
      <c r="AR159" s="150"/>
    </row>
    <row r="160" spans="1:44" x14ac:dyDescent="0.3">
      <c r="A160" s="31" t="str">
        <f>IF(E160="","",IF(ISNA(VLOOKUP($E160,'D-1 Off Site Habitat Baseline'!$D$1:$O$258,2,FALSE)),"",(VLOOKUP($E160,'D-1 Off Site Habitat Baseline'!$D$1:$O$258,2,FALSE))))</f>
        <v/>
      </c>
      <c r="B160" s="31" t="str">
        <f>IF(E160="","",IF(ISNA(VLOOKUP($E160,'D-1 Off Site Habitat Baseline'!$D$1:$O$258,3,FALSE)),"",(VLOOKUP($E160,'D-1 Off Site Habitat Baseline'!$D$1:$O$258,3,FALSE))))</f>
        <v/>
      </c>
      <c r="C160" s="31" t="str">
        <f>IFERROR(INDEX('G-8 Condition Look up'!$I$4:$I$130,MATCH(S160,'G-8 Condition Look up'!$A$4:$A$130,0)),"")</f>
        <v/>
      </c>
      <c r="E160" s="547" t="str">
        <f>'D-1 Off Site Habitat Baseline'!AL159</f>
        <v/>
      </c>
      <c r="F160" s="520" t="str">
        <f>IF(E160="","",IF(ISNA(VLOOKUP($E160,'D-1 Off Site Habitat Baseline'!$D$1:$O$258,4,FALSE)),"",(VLOOKUP($E160,'D-1 Off Site Habitat Baseline'!$D$1:$O$258,4,FALSE))))</f>
        <v/>
      </c>
      <c r="G160" s="520" t="str">
        <f>IF(E160="","",IF(ISNA(VLOOKUP($E160,'D-1 Off Site Habitat Baseline'!$D$1:$O$258,5,FALSE)),"",(VLOOKUP($E160,'D-1 Off Site Habitat Baseline'!$D$1:$O$258,5,FALSE))))</f>
        <v/>
      </c>
      <c r="H160" s="520" t="str">
        <f>IF(E160="","",IF(ISNA(VLOOKUP($E160,'D-1 Off Site Habitat Baseline'!$D$1:$O$258,6,FALSE)),"",(VLOOKUP($E160,'D-1 Off Site Habitat Baseline'!$D$1:$O$258,6,FALSE))))</f>
        <v/>
      </c>
      <c r="I160" s="520" t="str">
        <f>IF(E160="","",IF(ISNA(VLOOKUP($E160,'D-1 Off Site Habitat Baseline'!$D$1:$O$258,7,FALSE)),"",(VLOOKUP($E160,'D-1 Off Site Habitat Baseline'!$D$1:$O$258,7,FALSE))))</f>
        <v/>
      </c>
      <c r="J160" s="520" t="str">
        <f>IF(E160="","",IF(ISNA(VLOOKUP($E160,'D-1 Off Site Habitat Baseline'!$D$1:$O$258,8,FALSE)),"",(VLOOKUP($E160,'D-1 Off Site Habitat Baseline'!$D$1:$O$258,8,FALSE))))</f>
        <v/>
      </c>
      <c r="K160" s="520" t="str">
        <f>IF(E160="","",IF(ISNA(VLOOKUP($E160,'D-1 Off Site Habitat Baseline'!$D$1:$O$258,9,FALSE)),"",(VLOOKUP($E160,'D-1 Off Site Habitat Baseline'!$D$1:$O$258,9,FALSE))))</f>
        <v/>
      </c>
      <c r="L160" s="520" t="str">
        <f>IF(E160="","",IF(ISNA(VLOOKUP($E160,'D-1 Off Site Habitat Baseline'!$D$1:$O$258,11,FALSE)),"",(VLOOKUP($E160,'D-1 Off Site Habitat Baseline'!$D$1:$O$258,11,FALSE))))</f>
        <v/>
      </c>
      <c r="M160" s="520" t="str">
        <f>IF(E160="","",IF(ISNA(VLOOKUP($E160,'D-1 Off Site Habitat Baseline'!$D$1:$O$258,12,FALSE)),"",(VLOOKUP($E160,'D-1 Off Site Habitat Baseline'!$D$1:$O$258,12,FALSE))))</f>
        <v/>
      </c>
      <c r="N160" s="520" t="str">
        <f>IF(E160="","",IF(ISNA(VLOOKUP($E160,'D-1 Off Site Habitat Baseline'!$D$1:$X$258,14,FALSE)),"",(VLOOKUP($E160,'D-1 Off Site Habitat Baseline'!$D$1:$X$258,14,FALSE))))</f>
        <v/>
      </c>
      <c r="O160" s="524" t="str">
        <f>IF(E160="","",IF(ISNA(VLOOKUP($E160,'D-1 Off Site Habitat Baseline'!$D$1:$X$258,13,FALSE)),"",(VLOOKUP($E160,'D-1 Off Site Habitat Baseline'!$D$1:$X$258,13,FALSE))))</f>
        <v/>
      </c>
      <c r="P160" s="232" t="str">
        <f>IFERROR(INDEX('G-1 All Habitats'!$AG$3:$AG$15,MATCH(Q160,'G-1 All Habitats'!$AF$3:$AF$15,0)),"")</f>
        <v/>
      </c>
      <c r="Q160" s="228" t="str">
        <f t="shared" si="34"/>
        <v/>
      </c>
      <c r="R160" s="229" t="str">
        <f t="shared" si="35"/>
        <v/>
      </c>
      <c r="S160" s="233" t="str">
        <f>IFERROR(INDEX('G-1 All Habitats'!$B$3:$B$129,MATCH(R160,'G-1 All Habitats'!$A$3:$A$129,0)),"")</f>
        <v/>
      </c>
      <c r="T160" s="507" t="str">
        <f t="shared" si="27"/>
        <v/>
      </c>
      <c r="U160" s="524" t="str">
        <f t="shared" si="28"/>
        <v/>
      </c>
      <c r="V160" s="523" t="str">
        <f t="shared" si="25"/>
        <v/>
      </c>
      <c r="W160" s="520" t="str">
        <f>IF(S160="","",VLOOKUP(S160,'G-1 All Habitats'!$B$2:$M$129,10,FALSE))</f>
        <v/>
      </c>
      <c r="X160" s="520" t="str">
        <f>IFERROR(VLOOKUP(W160,'G-1 All Habitats'!$V$3:$W$7,2,FALSE),"")</f>
        <v/>
      </c>
      <c r="Y160" s="203"/>
      <c r="Z160" s="524" t="str">
        <f>IFERROR(INDEX('G-8 Condition Look up'!$A$3:$H$130,MATCH(S160,'G-8 Condition Look up'!$A$3:$A$130,0),MATCH(Y160,'G-8 Condition Look up'!$A$3:$H$3,0)),"")</f>
        <v/>
      </c>
      <c r="AA160" s="145"/>
      <c r="AB160" s="540" t="str">
        <f>IF(AA160="","",IF(VLOOKUP(AA160,'G-3 Multipliers'!$L$3:$N$6,2,FALSE)=0,"Spatial Data Missing ⚠",VLOOKUP(AA160,'G-3 Multipliers'!$L$3:$N$6,2,FALSE)))</f>
        <v/>
      </c>
      <c r="AC160" s="524" t="str">
        <f>IF(AA160="","",IF(VLOOKUP(AA160,'G-3 Multipliers'!$L$3:$N$6,3,FALSE)=0,"Spatial Data Missing ⚠",VLOOKUP(AA160,'G-3 Multipliers'!$L$3:$N$6,3,FALSE)))</f>
        <v/>
      </c>
      <c r="AD160" s="537" t="str">
        <f t="shared" si="26"/>
        <v/>
      </c>
      <c r="AE160" s="203"/>
      <c r="AF160" s="203"/>
      <c r="AG160" s="520" t="str">
        <f t="shared" si="29"/>
        <v/>
      </c>
      <c r="AH160" s="544" t="str">
        <f t="shared" si="30"/>
        <v/>
      </c>
      <c r="AI160" s="525" t="str">
        <f>IF(AH160="Check Data ⚠","Check Data ⚠",IFERROR(VLOOKUP(AH160,'G-4 Temporal multipliers'!$A$4:$C$36,3,FALSE),""))</f>
        <v/>
      </c>
      <c r="AJ160" s="537" t="str">
        <f>IF(S160="","",VLOOKUP(S160,'G-3 Multipliers'!$A$2:$E$129,4,FALSE))</f>
        <v/>
      </c>
      <c r="AK160" s="520" t="str">
        <f t="shared" si="31"/>
        <v/>
      </c>
      <c r="AL160" s="520" t="str">
        <f t="shared" si="32"/>
        <v/>
      </c>
      <c r="AM160" s="524" t="str">
        <f>IFERROR(IF(F160="","",IF(AH160="Check Data ⚠","Check Data ⚠",VLOOKUP(AL160, 'G-3 Multipliers'!$P$2:$Q$6,2,FALSE))),"")</f>
        <v/>
      </c>
      <c r="AN160" s="197"/>
      <c r="AO160" s="540" t="str">
        <f>IF(AN160="","",IF(VLOOKUP(AN160,'G-3 Multipliers'!$S$3:$T$9,2,FALSE)=0,"Spatial Data Missing ⚠",VLOOKUP(AN160,'G-3 Multipliers'!$S$3:$T$9,2,FALSE)))</f>
        <v/>
      </c>
      <c r="AP160" s="513" t="str">
        <f t="shared" si="33"/>
        <v/>
      </c>
      <c r="AQ160" s="231"/>
      <c r="AR160" s="150"/>
    </row>
    <row r="161" spans="1:44" x14ac:dyDescent="0.3">
      <c r="A161" s="31" t="str">
        <f>IF(E161="","",IF(ISNA(VLOOKUP($E161,'D-1 Off Site Habitat Baseline'!$D$1:$O$258,2,FALSE)),"",(VLOOKUP($E161,'D-1 Off Site Habitat Baseline'!$D$1:$O$258,2,FALSE))))</f>
        <v/>
      </c>
      <c r="B161" s="31" t="str">
        <f>IF(E161="","",IF(ISNA(VLOOKUP($E161,'D-1 Off Site Habitat Baseline'!$D$1:$O$258,3,FALSE)),"",(VLOOKUP($E161,'D-1 Off Site Habitat Baseline'!$D$1:$O$258,3,FALSE))))</f>
        <v/>
      </c>
      <c r="C161" s="31" t="str">
        <f>IFERROR(INDEX('G-8 Condition Look up'!$I$4:$I$130,MATCH(S161,'G-8 Condition Look up'!$A$4:$A$130,0)),"")</f>
        <v/>
      </c>
      <c r="E161" s="547" t="str">
        <f>'D-1 Off Site Habitat Baseline'!AL160</f>
        <v/>
      </c>
      <c r="F161" s="520" t="str">
        <f>IF(E161="","",IF(ISNA(VLOOKUP($E161,'D-1 Off Site Habitat Baseline'!$D$1:$O$258,4,FALSE)),"",(VLOOKUP($E161,'D-1 Off Site Habitat Baseline'!$D$1:$O$258,4,FALSE))))</f>
        <v/>
      </c>
      <c r="G161" s="520" t="str">
        <f>IF(E161="","",IF(ISNA(VLOOKUP($E161,'D-1 Off Site Habitat Baseline'!$D$1:$O$258,5,FALSE)),"",(VLOOKUP($E161,'D-1 Off Site Habitat Baseline'!$D$1:$O$258,5,FALSE))))</f>
        <v/>
      </c>
      <c r="H161" s="520" t="str">
        <f>IF(E161="","",IF(ISNA(VLOOKUP($E161,'D-1 Off Site Habitat Baseline'!$D$1:$O$258,6,FALSE)),"",(VLOOKUP($E161,'D-1 Off Site Habitat Baseline'!$D$1:$O$258,6,FALSE))))</f>
        <v/>
      </c>
      <c r="I161" s="520" t="str">
        <f>IF(E161="","",IF(ISNA(VLOOKUP($E161,'D-1 Off Site Habitat Baseline'!$D$1:$O$258,7,FALSE)),"",(VLOOKUP($E161,'D-1 Off Site Habitat Baseline'!$D$1:$O$258,7,FALSE))))</f>
        <v/>
      </c>
      <c r="J161" s="520" t="str">
        <f>IF(E161="","",IF(ISNA(VLOOKUP($E161,'D-1 Off Site Habitat Baseline'!$D$1:$O$258,8,FALSE)),"",(VLOOKUP($E161,'D-1 Off Site Habitat Baseline'!$D$1:$O$258,8,FALSE))))</f>
        <v/>
      </c>
      <c r="K161" s="520" t="str">
        <f>IF(E161="","",IF(ISNA(VLOOKUP($E161,'D-1 Off Site Habitat Baseline'!$D$1:$O$258,9,FALSE)),"",(VLOOKUP($E161,'D-1 Off Site Habitat Baseline'!$D$1:$O$258,9,FALSE))))</f>
        <v/>
      </c>
      <c r="L161" s="520" t="str">
        <f>IF(E161="","",IF(ISNA(VLOOKUP($E161,'D-1 Off Site Habitat Baseline'!$D$1:$O$258,11,FALSE)),"",(VLOOKUP($E161,'D-1 Off Site Habitat Baseline'!$D$1:$O$258,11,FALSE))))</f>
        <v/>
      </c>
      <c r="M161" s="520" t="str">
        <f>IF(E161="","",IF(ISNA(VLOOKUP($E161,'D-1 Off Site Habitat Baseline'!$D$1:$O$258,12,FALSE)),"",(VLOOKUP($E161,'D-1 Off Site Habitat Baseline'!$D$1:$O$258,12,FALSE))))</f>
        <v/>
      </c>
      <c r="N161" s="520" t="str">
        <f>IF(E161="","",IF(ISNA(VLOOKUP($E161,'D-1 Off Site Habitat Baseline'!$D$1:$X$258,14,FALSE)),"",(VLOOKUP($E161,'D-1 Off Site Habitat Baseline'!$D$1:$X$258,14,FALSE))))</f>
        <v/>
      </c>
      <c r="O161" s="524" t="str">
        <f>IF(E161="","",IF(ISNA(VLOOKUP($E161,'D-1 Off Site Habitat Baseline'!$D$1:$X$258,13,FALSE)),"",(VLOOKUP($E161,'D-1 Off Site Habitat Baseline'!$D$1:$X$258,13,FALSE))))</f>
        <v/>
      </c>
      <c r="P161" s="232" t="str">
        <f>IFERROR(INDEX('G-1 All Habitats'!$AG$3:$AG$15,MATCH(Q161,'G-1 All Habitats'!$AF$3:$AF$15,0)),"")</f>
        <v/>
      </c>
      <c r="Q161" s="228" t="str">
        <f t="shared" si="34"/>
        <v/>
      </c>
      <c r="R161" s="229" t="str">
        <f t="shared" si="35"/>
        <v/>
      </c>
      <c r="S161" s="233" t="str">
        <f>IFERROR(INDEX('G-1 All Habitats'!$B$3:$B$129,MATCH(R161,'G-1 All Habitats'!$A$3:$A$129,0)),"")</f>
        <v/>
      </c>
      <c r="T161" s="507" t="str">
        <f t="shared" si="27"/>
        <v/>
      </c>
      <c r="U161" s="524" t="str">
        <f t="shared" si="28"/>
        <v/>
      </c>
      <c r="V161" s="523" t="str">
        <f t="shared" si="25"/>
        <v/>
      </c>
      <c r="W161" s="520" t="str">
        <f>IF(S161="","",VLOOKUP(S161,'G-1 All Habitats'!$B$2:$M$129,10,FALSE))</f>
        <v/>
      </c>
      <c r="X161" s="520" t="str">
        <f>IFERROR(VLOOKUP(W161,'G-1 All Habitats'!$V$3:$W$7,2,FALSE),"")</f>
        <v/>
      </c>
      <c r="Y161" s="203"/>
      <c r="Z161" s="524" t="str">
        <f>IFERROR(INDEX('G-8 Condition Look up'!$A$3:$H$130,MATCH(S161,'G-8 Condition Look up'!$A$3:$A$130,0),MATCH(Y161,'G-8 Condition Look up'!$A$3:$H$3,0)),"")</f>
        <v/>
      </c>
      <c r="AA161" s="145"/>
      <c r="AB161" s="540" t="str">
        <f>IF(AA161="","",IF(VLOOKUP(AA161,'G-3 Multipliers'!$L$3:$N$6,2,FALSE)=0,"Spatial Data Missing ⚠",VLOOKUP(AA161,'G-3 Multipliers'!$L$3:$N$6,2,FALSE)))</f>
        <v/>
      </c>
      <c r="AC161" s="524" t="str">
        <f>IF(AA161="","",IF(VLOOKUP(AA161,'G-3 Multipliers'!$L$3:$N$6,3,FALSE)=0,"Spatial Data Missing ⚠",VLOOKUP(AA161,'G-3 Multipliers'!$L$3:$N$6,3,FALSE)))</f>
        <v/>
      </c>
      <c r="AD161" s="537" t="str">
        <f t="shared" si="26"/>
        <v/>
      </c>
      <c r="AE161" s="203"/>
      <c r="AF161" s="203"/>
      <c r="AG161" s="520" t="str">
        <f t="shared" si="29"/>
        <v/>
      </c>
      <c r="AH161" s="544" t="str">
        <f t="shared" si="30"/>
        <v/>
      </c>
      <c r="AI161" s="525" t="str">
        <f>IF(AH161="Check Data ⚠","Check Data ⚠",IFERROR(VLOOKUP(AH161,'G-4 Temporal multipliers'!$A$4:$C$36,3,FALSE),""))</f>
        <v/>
      </c>
      <c r="AJ161" s="537" t="str">
        <f>IF(S161="","",VLOOKUP(S161,'G-3 Multipliers'!$A$2:$E$129,4,FALSE))</f>
        <v/>
      </c>
      <c r="AK161" s="520" t="str">
        <f t="shared" si="31"/>
        <v/>
      </c>
      <c r="AL161" s="520" t="str">
        <f t="shared" si="32"/>
        <v/>
      </c>
      <c r="AM161" s="524" t="str">
        <f>IFERROR(IF(F161="","",IF(AH161="Check Data ⚠","Check Data ⚠",VLOOKUP(AL161, 'G-3 Multipliers'!$P$2:$Q$6,2,FALSE))),"")</f>
        <v/>
      </c>
      <c r="AN161" s="197"/>
      <c r="AO161" s="540" t="str">
        <f>IF(AN161="","",IF(VLOOKUP(AN161,'G-3 Multipliers'!$S$3:$T$9,2,FALSE)=0,"Spatial Data Missing ⚠",VLOOKUP(AN161,'G-3 Multipliers'!$S$3:$T$9,2,FALSE)))</f>
        <v/>
      </c>
      <c r="AP161" s="513" t="str">
        <f t="shared" si="33"/>
        <v/>
      </c>
      <c r="AQ161" s="231"/>
      <c r="AR161" s="150"/>
    </row>
    <row r="162" spans="1:44" x14ac:dyDescent="0.3">
      <c r="A162" s="31" t="str">
        <f>IF(E162="","",IF(ISNA(VLOOKUP($E162,'D-1 Off Site Habitat Baseline'!$D$1:$O$258,2,FALSE)),"",(VLOOKUP($E162,'D-1 Off Site Habitat Baseline'!$D$1:$O$258,2,FALSE))))</f>
        <v/>
      </c>
      <c r="B162" s="31" t="str">
        <f>IF(E162="","",IF(ISNA(VLOOKUP($E162,'D-1 Off Site Habitat Baseline'!$D$1:$O$258,3,FALSE)),"",(VLOOKUP($E162,'D-1 Off Site Habitat Baseline'!$D$1:$O$258,3,FALSE))))</f>
        <v/>
      </c>
      <c r="C162" s="31" t="str">
        <f>IFERROR(INDEX('G-8 Condition Look up'!$I$4:$I$130,MATCH(S162,'G-8 Condition Look up'!$A$4:$A$130,0)),"")</f>
        <v/>
      </c>
      <c r="E162" s="547" t="str">
        <f>'D-1 Off Site Habitat Baseline'!AL161</f>
        <v/>
      </c>
      <c r="F162" s="520" t="str">
        <f>IF(E162="","",IF(ISNA(VLOOKUP($E162,'D-1 Off Site Habitat Baseline'!$D$1:$O$258,4,FALSE)),"",(VLOOKUP($E162,'D-1 Off Site Habitat Baseline'!$D$1:$O$258,4,FALSE))))</f>
        <v/>
      </c>
      <c r="G162" s="520" t="str">
        <f>IF(E162="","",IF(ISNA(VLOOKUP($E162,'D-1 Off Site Habitat Baseline'!$D$1:$O$258,5,FALSE)),"",(VLOOKUP($E162,'D-1 Off Site Habitat Baseline'!$D$1:$O$258,5,FALSE))))</f>
        <v/>
      </c>
      <c r="H162" s="520" t="str">
        <f>IF(E162="","",IF(ISNA(VLOOKUP($E162,'D-1 Off Site Habitat Baseline'!$D$1:$O$258,6,FALSE)),"",(VLOOKUP($E162,'D-1 Off Site Habitat Baseline'!$D$1:$O$258,6,FALSE))))</f>
        <v/>
      </c>
      <c r="I162" s="520" t="str">
        <f>IF(E162="","",IF(ISNA(VLOOKUP($E162,'D-1 Off Site Habitat Baseline'!$D$1:$O$258,7,FALSE)),"",(VLOOKUP($E162,'D-1 Off Site Habitat Baseline'!$D$1:$O$258,7,FALSE))))</f>
        <v/>
      </c>
      <c r="J162" s="520" t="str">
        <f>IF(E162="","",IF(ISNA(VLOOKUP($E162,'D-1 Off Site Habitat Baseline'!$D$1:$O$258,8,FALSE)),"",(VLOOKUP($E162,'D-1 Off Site Habitat Baseline'!$D$1:$O$258,8,FALSE))))</f>
        <v/>
      </c>
      <c r="K162" s="520" t="str">
        <f>IF(E162="","",IF(ISNA(VLOOKUP($E162,'D-1 Off Site Habitat Baseline'!$D$1:$O$258,9,FALSE)),"",(VLOOKUP($E162,'D-1 Off Site Habitat Baseline'!$D$1:$O$258,9,FALSE))))</f>
        <v/>
      </c>
      <c r="L162" s="520" t="str">
        <f>IF(E162="","",IF(ISNA(VLOOKUP($E162,'D-1 Off Site Habitat Baseline'!$D$1:$O$258,11,FALSE)),"",(VLOOKUP($E162,'D-1 Off Site Habitat Baseline'!$D$1:$O$258,11,FALSE))))</f>
        <v/>
      </c>
      <c r="M162" s="520" t="str">
        <f>IF(E162="","",IF(ISNA(VLOOKUP($E162,'D-1 Off Site Habitat Baseline'!$D$1:$O$258,12,FALSE)),"",(VLOOKUP($E162,'D-1 Off Site Habitat Baseline'!$D$1:$O$258,12,FALSE))))</f>
        <v/>
      </c>
      <c r="N162" s="520" t="str">
        <f>IF(E162="","",IF(ISNA(VLOOKUP($E162,'D-1 Off Site Habitat Baseline'!$D$1:$X$258,14,FALSE)),"",(VLOOKUP($E162,'D-1 Off Site Habitat Baseline'!$D$1:$X$258,14,FALSE))))</f>
        <v/>
      </c>
      <c r="O162" s="524" t="str">
        <f>IF(E162="","",IF(ISNA(VLOOKUP($E162,'D-1 Off Site Habitat Baseline'!$D$1:$X$258,13,FALSE)),"",(VLOOKUP($E162,'D-1 Off Site Habitat Baseline'!$D$1:$X$258,13,FALSE))))</f>
        <v/>
      </c>
      <c r="P162" s="232" t="str">
        <f>IFERROR(INDEX('G-1 All Habitats'!$AG$3:$AG$15,MATCH(Q162,'G-1 All Habitats'!$AF$3:$AF$15,0)),"")</f>
        <v/>
      </c>
      <c r="Q162" s="228" t="str">
        <f t="shared" si="34"/>
        <v/>
      </c>
      <c r="R162" s="229" t="str">
        <f t="shared" si="35"/>
        <v/>
      </c>
      <c r="S162" s="233" t="str">
        <f>IFERROR(INDEX('G-1 All Habitats'!$B$3:$B$129,MATCH(R162,'G-1 All Habitats'!$A$3:$A$129,0)),"")</f>
        <v/>
      </c>
      <c r="T162" s="507" t="str">
        <f t="shared" si="27"/>
        <v/>
      </c>
      <c r="U162" s="524" t="str">
        <f t="shared" si="28"/>
        <v/>
      </c>
      <c r="V162" s="523" t="str">
        <f t="shared" si="25"/>
        <v/>
      </c>
      <c r="W162" s="520" t="str">
        <f>IF(S162="","",VLOOKUP(S162,'G-1 All Habitats'!$B$2:$M$129,10,FALSE))</f>
        <v/>
      </c>
      <c r="X162" s="520" t="str">
        <f>IFERROR(VLOOKUP(W162,'G-1 All Habitats'!$V$3:$W$7,2,FALSE),"")</f>
        <v/>
      </c>
      <c r="Y162" s="203"/>
      <c r="Z162" s="524" t="str">
        <f>IFERROR(INDEX('G-8 Condition Look up'!$A$3:$H$130,MATCH(S162,'G-8 Condition Look up'!$A$3:$A$130,0),MATCH(Y162,'G-8 Condition Look up'!$A$3:$H$3,0)),"")</f>
        <v/>
      </c>
      <c r="AA162" s="145"/>
      <c r="AB162" s="540" t="str">
        <f>IF(AA162="","",IF(VLOOKUP(AA162,'G-3 Multipliers'!$L$3:$N$6,2,FALSE)=0,"Spatial Data Missing ⚠",VLOOKUP(AA162,'G-3 Multipliers'!$L$3:$N$6,2,FALSE)))</f>
        <v/>
      </c>
      <c r="AC162" s="524" t="str">
        <f>IF(AA162="","",IF(VLOOKUP(AA162,'G-3 Multipliers'!$L$3:$N$6,3,FALSE)=0,"Spatial Data Missing ⚠",VLOOKUP(AA162,'G-3 Multipliers'!$L$3:$N$6,3,FALSE)))</f>
        <v/>
      </c>
      <c r="AD162" s="537" t="str">
        <f t="shared" si="26"/>
        <v/>
      </c>
      <c r="AE162" s="203"/>
      <c r="AF162" s="203"/>
      <c r="AG162" s="520" t="str">
        <f t="shared" si="29"/>
        <v/>
      </c>
      <c r="AH162" s="544" t="str">
        <f t="shared" si="30"/>
        <v/>
      </c>
      <c r="AI162" s="525" t="str">
        <f>IF(AH162="Check Data ⚠","Check Data ⚠",IFERROR(VLOOKUP(AH162,'G-4 Temporal multipliers'!$A$4:$C$36,3,FALSE),""))</f>
        <v/>
      </c>
      <c r="AJ162" s="537" t="str">
        <f>IF(S162="","",VLOOKUP(S162,'G-3 Multipliers'!$A$2:$E$129,4,FALSE))</f>
        <v/>
      </c>
      <c r="AK162" s="520" t="str">
        <f t="shared" si="31"/>
        <v/>
      </c>
      <c r="AL162" s="520" t="str">
        <f t="shared" si="32"/>
        <v/>
      </c>
      <c r="AM162" s="524" t="str">
        <f>IFERROR(IF(F162="","",IF(AH162="Check Data ⚠","Check Data ⚠",VLOOKUP(AL162, 'G-3 Multipliers'!$P$2:$Q$6,2,FALSE))),"")</f>
        <v/>
      </c>
      <c r="AN162" s="197"/>
      <c r="AO162" s="540" t="str">
        <f>IF(AN162="","",IF(VLOOKUP(AN162,'G-3 Multipliers'!$S$3:$T$9,2,FALSE)=0,"Spatial Data Missing ⚠",VLOOKUP(AN162,'G-3 Multipliers'!$S$3:$T$9,2,FALSE)))</f>
        <v/>
      </c>
      <c r="AP162" s="513" t="str">
        <f t="shared" si="33"/>
        <v/>
      </c>
      <c r="AQ162" s="231"/>
      <c r="AR162" s="150"/>
    </row>
    <row r="163" spans="1:44" x14ac:dyDescent="0.3">
      <c r="A163" s="31" t="str">
        <f>IF(E163="","",IF(ISNA(VLOOKUP($E163,'D-1 Off Site Habitat Baseline'!$D$1:$O$258,2,FALSE)),"",(VLOOKUP($E163,'D-1 Off Site Habitat Baseline'!$D$1:$O$258,2,FALSE))))</f>
        <v/>
      </c>
      <c r="B163" s="31" t="str">
        <f>IF(E163="","",IF(ISNA(VLOOKUP($E163,'D-1 Off Site Habitat Baseline'!$D$1:$O$258,3,FALSE)),"",(VLOOKUP($E163,'D-1 Off Site Habitat Baseline'!$D$1:$O$258,3,FALSE))))</f>
        <v/>
      </c>
      <c r="C163" s="31" t="str">
        <f>IFERROR(INDEX('G-8 Condition Look up'!$I$4:$I$130,MATCH(S163,'G-8 Condition Look up'!$A$4:$A$130,0)),"")</f>
        <v/>
      </c>
      <c r="E163" s="547" t="str">
        <f>'D-1 Off Site Habitat Baseline'!AL162</f>
        <v/>
      </c>
      <c r="F163" s="520" t="str">
        <f>IF(E163="","",IF(ISNA(VLOOKUP($E163,'D-1 Off Site Habitat Baseline'!$D$1:$O$258,4,FALSE)),"",(VLOOKUP($E163,'D-1 Off Site Habitat Baseline'!$D$1:$O$258,4,FALSE))))</f>
        <v/>
      </c>
      <c r="G163" s="520" t="str">
        <f>IF(E163="","",IF(ISNA(VLOOKUP($E163,'D-1 Off Site Habitat Baseline'!$D$1:$O$258,5,FALSE)),"",(VLOOKUP($E163,'D-1 Off Site Habitat Baseline'!$D$1:$O$258,5,FALSE))))</f>
        <v/>
      </c>
      <c r="H163" s="520" t="str">
        <f>IF(E163="","",IF(ISNA(VLOOKUP($E163,'D-1 Off Site Habitat Baseline'!$D$1:$O$258,6,FALSE)),"",(VLOOKUP($E163,'D-1 Off Site Habitat Baseline'!$D$1:$O$258,6,FALSE))))</f>
        <v/>
      </c>
      <c r="I163" s="520" t="str">
        <f>IF(E163="","",IF(ISNA(VLOOKUP($E163,'D-1 Off Site Habitat Baseline'!$D$1:$O$258,7,FALSE)),"",(VLOOKUP($E163,'D-1 Off Site Habitat Baseline'!$D$1:$O$258,7,FALSE))))</f>
        <v/>
      </c>
      <c r="J163" s="520" t="str">
        <f>IF(E163="","",IF(ISNA(VLOOKUP($E163,'D-1 Off Site Habitat Baseline'!$D$1:$O$258,8,FALSE)),"",(VLOOKUP($E163,'D-1 Off Site Habitat Baseline'!$D$1:$O$258,8,FALSE))))</f>
        <v/>
      </c>
      <c r="K163" s="520" t="str">
        <f>IF(E163="","",IF(ISNA(VLOOKUP($E163,'D-1 Off Site Habitat Baseline'!$D$1:$O$258,9,FALSE)),"",(VLOOKUP($E163,'D-1 Off Site Habitat Baseline'!$D$1:$O$258,9,FALSE))))</f>
        <v/>
      </c>
      <c r="L163" s="520" t="str">
        <f>IF(E163="","",IF(ISNA(VLOOKUP($E163,'D-1 Off Site Habitat Baseline'!$D$1:$O$258,11,FALSE)),"",(VLOOKUP($E163,'D-1 Off Site Habitat Baseline'!$D$1:$O$258,11,FALSE))))</f>
        <v/>
      </c>
      <c r="M163" s="520" t="str">
        <f>IF(E163="","",IF(ISNA(VLOOKUP($E163,'D-1 Off Site Habitat Baseline'!$D$1:$O$258,12,FALSE)),"",(VLOOKUP($E163,'D-1 Off Site Habitat Baseline'!$D$1:$O$258,12,FALSE))))</f>
        <v/>
      </c>
      <c r="N163" s="520" t="str">
        <f>IF(E163="","",IF(ISNA(VLOOKUP($E163,'D-1 Off Site Habitat Baseline'!$D$1:$X$258,14,FALSE)),"",(VLOOKUP($E163,'D-1 Off Site Habitat Baseline'!$D$1:$X$258,14,FALSE))))</f>
        <v/>
      </c>
      <c r="O163" s="524" t="str">
        <f>IF(E163="","",IF(ISNA(VLOOKUP($E163,'D-1 Off Site Habitat Baseline'!$D$1:$X$258,13,FALSE)),"",(VLOOKUP($E163,'D-1 Off Site Habitat Baseline'!$D$1:$X$258,13,FALSE))))</f>
        <v/>
      </c>
      <c r="P163" s="232" t="str">
        <f>IFERROR(INDEX('G-1 All Habitats'!$AG$3:$AG$15,MATCH(Q163,'G-1 All Habitats'!$AF$3:$AF$15,0)),"")</f>
        <v/>
      </c>
      <c r="Q163" s="228" t="str">
        <f t="shared" si="34"/>
        <v/>
      </c>
      <c r="R163" s="229" t="str">
        <f t="shared" si="35"/>
        <v/>
      </c>
      <c r="S163" s="233" t="str">
        <f>IFERROR(INDEX('G-1 All Habitats'!$B$3:$B$129,MATCH(R163,'G-1 All Habitats'!$A$3:$A$129,0)),"")</f>
        <v/>
      </c>
      <c r="T163" s="507" t="str">
        <f t="shared" si="27"/>
        <v/>
      </c>
      <c r="U163" s="524" t="str">
        <f t="shared" si="28"/>
        <v/>
      </c>
      <c r="V163" s="523" t="str">
        <f t="shared" si="25"/>
        <v/>
      </c>
      <c r="W163" s="520" t="str">
        <f>IF(S163="","",VLOOKUP(S163,'G-1 All Habitats'!$B$2:$M$129,10,FALSE))</f>
        <v/>
      </c>
      <c r="X163" s="520" t="str">
        <f>IFERROR(VLOOKUP(W163,'G-1 All Habitats'!$V$3:$W$7,2,FALSE),"")</f>
        <v/>
      </c>
      <c r="Y163" s="203"/>
      <c r="Z163" s="524" t="str">
        <f>IFERROR(INDEX('G-8 Condition Look up'!$A$3:$H$130,MATCH(S163,'G-8 Condition Look up'!$A$3:$A$130,0),MATCH(Y163,'G-8 Condition Look up'!$A$3:$H$3,0)),"")</f>
        <v/>
      </c>
      <c r="AA163" s="145"/>
      <c r="AB163" s="540" t="str">
        <f>IF(AA163="","",IF(VLOOKUP(AA163,'G-3 Multipliers'!$L$3:$N$6,2,FALSE)=0,"Spatial Data Missing ⚠",VLOOKUP(AA163,'G-3 Multipliers'!$L$3:$N$6,2,FALSE)))</f>
        <v/>
      </c>
      <c r="AC163" s="524" t="str">
        <f>IF(AA163="","",IF(VLOOKUP(AA163,'G-3 Multipliers'!$L$3:$N$6,3,FALSE)=0,"Spatial Data Missing ⚠",VLOOKUP(AA163,'G-3 Multipliers'!$L$3:$N$6,3,FALSE)))</f>
        <v/>
      </c>
      <c r="AD163" s="537" t="str">
        <f t="shared" si="26"/>
        <v/>
      </c>
      <c r="AE163" s="203"/>
      <c r="AF163" s="203"/>
      <c r="AG163" s="520" t="str">
        <f t="shared" si="29"/>
        <v/>
      </c>
      <c r="AH163" s="544" t="str">
        <f t="shared" si="30"/>
        <v/>
      </c>
      <c r="AI163" s="525" t="str">
        <f>IF(AH163="Check Data ⚠","Check Data ⚠",IFERROR(VLOOKUP(AH163,'G-4 Temporal multipliers'!$A$4:$C$36,3,FALSE),""))</f>
        <v/>
      </c>
      <c r="AJ163" s="537" t="str">
        <f>IF(S163="","",VLOOKUP(S163,'G-3 Multipliers'!$A$2:$E$129,4,FALSE))</f>
        <v/>
      </c>
      <c r="AK163" s="520" t="str">
        <f t="shared" si="31"/>
        <v/>
      </c>
      <c r="AL163" s="520" t="str">
        <f t="shared" si="32"/>
        <v/>
      </c>
      <c r="AM163" s="524" t="str">
        <f>IFERROR(IF(F163="","",IF(AH163="Check Data ⚠","Check Data ⚠",VLOOKUP(AL163, 'G-3 Multipliers'!$P$2:$Q$6,2,FALSE))),"")</f>
        <v/>
      </c>
      <c r="AN163" s="197"/>
      <c r="AO163" s="540" t="str">
        <f>IF(AN163="","",IF(VLOOKUP(AN163,'G-3 Multipliers'!$S$3:$T$9,2,FALSE)=0,"Spatial Data Missing ⚠",VLOOKUP(AN163,'G-3 Multipliers'!$S$3:$T$9,2,FALSE)))</f>
        <v/>
      </c>
      <c r="AP163" s="513" t="str">
        <f t="shared" si="33"/>
        <v/>
      </c>
      <c r="AQ163" s="231"/>
      <c r="AR163" s="150"/>
    </row>
    <row r="164" spans="1:44" x14ac:dyDescent="0.3">
      <c r="A164" s="31" t="str">
        <f>IF(E164="","",IF(ISNA(VLOOKUP($E164,'D-1 Off Site Habitat Baseline'!$D$1:$O$258,2,FALSE)),"",(VLOOKUP($E164,'D-1 Off Site Habitat Baseline'!$D$1:$O$258,2,FALSE))))</f>
        <v/>
      </c>
      <c r="B164" s="31" t="str">
        <f>IF(E164="","",IF(ISNA(VLOOKUP($E164,'D-1 Off Site Habitat Baseline'!$D$1:$O$258,3,FALSE)),"",(VLOOKUP($E164,'D-1 Off Site Habitat Baseline'!$D$1:$O$258,3,FALSE))))</f>
        <v/>
      </c>
      <c r="C164" s="31" t="str">
        <f>IFERROR(INDEX('G-8 Condition Look up'!$I$4:$I$130,MATCH(S164,'G-8 Condition Look up'!$A$4:$A$130,0)),"")</f>
        <v/>
      </c>
      <c r="E164" s="547" t="str">
        <f>'D-1 Off Site Habitat Baseline'!AL163</f>
        <v/>
      </c>
      <c r="F164" s="520" t="str">
        <f>IF(E164="","",IF(ISNA(VLOOKUP($E164,'D-1 Off Site Habitat Baseline'!$D$1:$O$258,4,FALSE)),"",(VLOOKUP($E164,'D-1 Off Site Habitat Baseline'!$D$1:$O$258,4,FALSE))))</f>
        <v/>
      </c>
      <c r="G164" s="520" t="str">
        <f>IF(E164="","",IF(ISNA(VLOOKUP($E164,'D-1 Off Site Habitat Baseline'!$D$1:$O$258,5,FALSE)),"",(VLOOKUP($E164,'D-1 Off Site Habitat Baseline'!$D$1:$O$258,5,FALSE))))</f>
        <v/>
      </c>
      <c r="H164" s="520" t="str">
        <f>IF(E164="","",IF(ISNA(VLOOKUP($E164,'D-1 Off Site Habitat Baseline'!$D$1:$O$258,6,FALSE)),"",(VLOOKUP($E164,'D-1 Off Site Habitat Baseline'!$D$1:$O$258,6,FALSE))))</f>
        <v/>
      </c>
      <c r="I164" s="520" t="str">
        <f>IF(E164="","",IF(ISNA(VLOOKUP($E164,'D-1 Off Site Habitat Baseline'!$D$1:$O$258,7,FALSE)),"",(VLOOKUP($E164,'D-1 Off Site Habitat Baseline'!$D$1:$O$258,7,FALSE))))</f>
        <v/>
      </c>
      <c r="J164" s="520" t="str">
        <f>IF(E164="","",IF(ISNA(VLOOKUP($E164,'D-1 Off Site Habitat Baseline'!$D$1:$O$258,8,FALSE)),"",(VLOOKUP($E164,'D-1 Off Site Habitat Baseline'!$D$1:$O$258,8,FALSE))))</f>
        <v/>
      </c>
      <c r="K164" s="520" t="str">
        <f>IF(E164="","",IF(ISNA(VLOOKUP($E164,'D-1 Off Site Habitat Baseline'!$D$1:$O$258,9,FALSE)),"",(VLOOKUP($E164,'D-1 Off Site Habitat Baseline'!$D$1:$O$258,9,FALSE))))</f>
        <v/>
      </c>
      <c r="L164" s="520" t="str">
        <f>IF(E164="","",IF(ISNA(VLOOKUP($E164,'D-1 Off Site Habitat Baseline'!$D$1:$O$258,11,FALSE)),"",(VLOOKUP($E164,'D-1 Off Site Habitat Baseline'!$D$1:$O$258,11,FALSE))))</f>
        <v/>
      </c>
      <c r="M164" s="520" t="str">
        <f>IF(E164="","",IF(ISNA(VLOOKUP($E164,'D-1 Off Site Habitat Baseline'!$D$1:$O$258,12,FALSE)),"",(VLOOKUP($E164,'D-1 Off Site Habitat Baseline'!$D$1:$O$258,12,FALSE))))</f>
        <v/>
      </c>
      <c r="N164" s="520" t="str">
        <f>IF(E164="","",IF(ISNA(VLOOKUP($E164,'D-1 Off Site Habitat Baseline'!$D$1:$X$258,14,FALSE)),"",(VLOOKUP($E164,'D-1 Off Site Habitat Baseline'!$D$1:$X$258,14,FALSE))))</f>
        <v/>
      </c>
      <c r="O164" s="524" t="str">
        <f>IF(E164="","",IF(ISNA(VLOOKUP($E164,'D-1 Off Site Habitat Baseline'!$D$1:$X$258,13,FALSE)),"",(VLOOKUP($E164,'D-1 Off Site Habitat Baseline'!$D$1:$X$258,13,FALSE))))</f>
        <v/>
      </c>
      <c r="P164" s="232" t="str">
        <f>IFERROR(INDEX('G-1 All Habitats'!$AG$3:$AG$15,MATCH(Q164,'G-1 All Habitats'!$AF$3:$AF$15,0)),"")</f>
        <v/>
      </c>
      <c r="Q164" s="228" t="str">
        <f t="shared" si="34"/>
        <v/>
      </c>
      <c r="R164" s="229" t="str">
        <f t="shared" si="35"/>
        <v/>
      </c>
      <c r="S164" s="233" t="str">
        <f>IFERROR(INDEX('G-1 All Habitats'!$B$3:$B$129,MATCH(R164,'G-1 All Habitats'!$A$3:$A$129,0)),"")</f>
        <v/>
      </c>
      <c r="T164" s="507" t="str">
        <f t="shared" si="27"/>
        <v/>
      </c>
      <c r="U164" s="524" t="str">
        <f t="shared" si="28"/>
        <v/>
      </c>
      <c r="V164" s="523" t="str">
        <f t="shared" si="25"/>
        <v/>
      </c>
      <c r="W164" s="520" t="str">
        <f>IF(S164="","",VLOOKUP(S164,'G-1 All Habitats'!$B$2:$M$129,10,FALSE))</f>
        <v/>
      </c>
      <c r="X164" s="520" t="str">
        <f>IFERROR(VLOOKUP(W164,'G-1 All Habitats'!$V$3:$W$7,2,FALSE),"")</f>
        <v/>
      </c>
      <c r="Y164" s="203"/>
      <c r="Z164" s="524" t="str">
        <f>IFERROR(INDEX('G-8 Condition Look up'!$A$3:$H$130,MATCH(S164,'G-8 Condition Look up'!$A$3:$A$130,0),MATCH(Y164,'G-8 Condition Look up'!$A$3:$H$3,0)),"")</f>
        <v/>
      </c>
      <c r="AA164" s="145"/>
      <c r="AB164" s="540" t="str">
        <f>IF(AA164="","",IF(VLOOKUP(AA164,'G-3 Multipliers'!$L$3:$N$6,2,FALSE)=0,"Spatial Data Missing ⚠",VLOOKUP(AA164,'G-3 Multipliers'!$L$3:$N$6,2,FALSE)))</f>
        <v/>
      </c>
      <c r="AC164" s="524" t="str">
        <f>IF(AA164="","",IF(VLOOKUP(AA164,'G-3 Multipliers'!$L$3:$N$6,3,FALSE)=0,"Spatial Data Missing ⚠",VLOOKUP(AA164,'G-3 Multipliers'!$L$3:$N$6,3,FALSE)))</f>
        <v/>
      </c>
      <c r="AD164" s="537" t="str">
        <f t="shared" si="26"/>
        <v/>
      </c>
      <c r="AE164" s="203"/>
      <c r="AF164" s="203"/>
      <c r="AG164" s="520" t="str">
        <f t="shared" si="29"/>
        <v/>
      </c>
      <c r="AH164" s="544" t="str">
        <f t="shared" si="30"/>
        <v/>
      </c>
      <c r="AI164" s="525" t="str">
        <f>IF(AH164="Check Data ⚠","Check Data ⚠",IFERROR(VLOOKUP(AH164,'G-4 Temporal multipliers'!$A$4:$C$36,3,FALSE),""))</f>
        <v/>
      </c>
      <c r="AJ164" s="537" t="str">
        <f>IF(S164="","",VLOOKUP(S164,'G-3 Multipliers'!$A$2:$E$129,4,FALSE))</f>
        <v/>
      </c>
      <c r="AK164" s="520" t="str">
        <f t="shared" si="31"/>
        <v/>
      </c>
      <c r="AL164" s="520" t="str">
        <f t="shared" si="32"/>
        <v/>
      </c>
      <c r="AM164" s="524" t="str">
        <f>IFERROR(IF(F164="","",IF(AH164="Check Data ⚠","Check Data ⚠",VLOOKUP(AL164, 'G-3 Multipliers'!$P$2:$Q$6,2,FALSE))),"")</f>
        <v/>
      </c>
      <c r="AN164" s="197"/>
      <c r="AO164" s="540" t="str">
        <f>IF(AN164="","",IF(VLOOKUP(AN164,'G-3 Multipliers'!$S$3:$T$9,2,FALSE)=0,"Spatial Data Missing ⚠",VLOOKUP(AN164,'G-3 Multipliers'!$S$3:$T$9,2,FALSE)))</f>
        <v/>
      </c>
      <c r="AP164" s="513" t="str">
        <f t="shared" si="33"/>
        <v/>
      </c>
      <c r="AQ164" s="231"/>
      <c r="AR164" s="150"/>
    </row>
    <row r="165" spans="1:44" x14ac:dyDescent="0.3">
      <c r="A165" s="31" t="str">
        <f>IF(E165="","",IF(ISNA(VLOOKUP($E165,'D-1 Off Site Habitat Baseline'!$D$1:$O$258,2,FALSE)),"",(VLOOKUP($E165,'D-1 Off Site Habitat Baseline'!$D$1:$O$258,2,FALSE))))</f>
        <v/>
      </c>
      <c r="B165" s="31" t="str">
        <f>IF(E165="","",IF(ISNA(VLOOKUP($E165,'D-1 Off Site Habitat Baseline'!$D$1:$O$258,3,FALSE)),"",(VLOOKUP($E165,'D-1 Off Site Habitat Baseline'!$D$1:$O$258,3,FALSE))))</f>
        <v/>
      </c>
      <c r="C165" s="31" t="str">
        <f>IFERROR(INDEX('G-8 Condition Look up'!$I$4:$I$130,MATCH(S165,'G-8 Condition Look up'!$A$4:$A$130,0)),"")</f>
        <v/>
      </c>
      <c r="E165" s="547" t="str">
        <f>'D-1 Off Site Habitat Baseline'!AL164</f>
        <v/>
      </c>
      <c r="F165" s="520" t="str">
        <f>IF(E165="","",IF(ISNA(VLOOKUP($E165,'D-1 Off Site Habitat Baseline'!$D$1:$O$258,4,FALSE)),"",(VLOOKUP($E165,'D-1 Off Site Habitat Baseline'!$D$1:$O$258,4,FALSE))))</f>
        <v/>
      </c>
      <c r="G165" s="520" t="str">
        <f>IF(E165="","",IF(ISNA(VLOOKUP($E165,'D-1 Off Site Habitat Baseline'!$D$1:$O$258,5,FALSE)),"",(VLOOKUP($E165,'D-1 Off Site Habitat Baseline'!$D$1:$O$258,5,FALSE))))</f>
        <v/>
      </c>
      <c r="H165" s="520" t="str">
        <f>IF(E165="","",IF(ISNA(VLOOKUP($E165,'D-1 Off Site Habitat Baseline'!$D$1:$O$258,6,FALSE)),"",(VLOOKUP($E165,'D-1 Off Site Habitat Baseline'!$D$1:$O$258,6,FALSE))))</f>
        <v/>
      </c>
      <c r="I165" s="520" t="str">
        <f>IF(E165="","",IF(ISNA(VLOOKUP($E165,'D-1 Off Site Habitat Baseline'!$D$1:$O$258,7,FALSE)),"",(VLOOKUP($E165,'D-1 Off Site Habitat Baseline'!$D$1:$O$258,7,FALSE))))</f>
        <v/>
      </c>
      <c r="J165" s="520" t="str">
        <f>IF(E165="","",IF(ISNA(VLOOKUP($E165,'D-1 Off Site Habitat Baseline'!$D$1:$O$258,8,FALSE)),"",(VLOOKUP($E165,'D-1 Off Site Habitat Baseline'!$D$1:$O$258,8,FALSE))))</f>
        <v/>
      </c>
      <c r="K165" s="520" t="str">
        <f>IF(E165="","",IF(ISNA(VLOOKUP($E165,'D-1 Off Site Habitat Baseline'!$D$1:$O$258,9,FALSE)),"",(VLOOKUP($E165,'D-1 Off Site Habitat Baseline'!$D$1:$O$258,9,FALSE))))</f>
        <v/>
      </c>
      <c r="L165" s="520" t="str">
        <f>IF(E165="","",IF(ISNA(VLOOKUP($E165,'D-1 Off Site Habitat Baseline'!$D$1:$O$258,11,FALSE)),"",(VLOOKUP($E165,'D-1 Off Site Habitat Baseline'!$D$1:$O$258,11,FALSE))))</f>
        <v/>
      </c>
      <c r="M165" s="520" t="str">
        <f>IF(E165="","",IF(ISNA(VLOOKUP($E165,'D-1 Off Site Habitat Baseline'!$D$1:$O$258,12,FALSE)),"",(VLOOKUP($E165,'D-1 Off Site Habitat Baseline'!$D$1:$O$258,12,FALSE))))</f>
        <v/>
      </c>
      <c r="N165" s="520" t="str">
        <f>IF(E165="","",IF(ISNA(VLOOKUP($E165,'D-1 Off Site Habitat Baseline'!$D$1:$X$258,14,FALSE)),"",(VLOOKUP($E165,'D-1 Off Site Habitat Baseline'!$D$1:$X$258,14,FALSE))))</f>
        <v/>
      </c>
      <c r="O165" s="524" t="str">
        <f>IF(E165="","",IF(ISNA(VLOOKUP($E165,'D-1 Off Site Habitat Baseline'!$D$1:$X$258,13,FALSE)),"",(VLOOKUP($E165,'D-1 Off Site Habitat Baseline'!$D$1:$X$258,13,FALSE))))</f>
        <v/>
      </c>
      <c r="P165" s="232" t="str">
        <f>IFERROR(INDEX('G-1 All Habitats'!$AG$3:$AG$15,MATCH(Q165,'G-1 All Habitats'!$AF$3:$AF$15,0)),"")</f>
        <v/>
      </c>
      <c r="Q165" s="228" t="str">
        <f t="shared" si="34"/>
        <v/>
      </c>
      <c r="R165" s="229" t="str">
        <f t="shared" si="35"/>
        <v/>
      </c>
      <c r="S165" s="233" t="str">
        <f>IFERROR(INDEX('G-1 All Habitats'!$B$3:$B$129,MATCH(R165,'G-1 All Habitats'!$A$3:$A$129,0)),"")</f>
        <v/>
      </c>
      <c r="T165" s="507" t="str">
        <f t="shared" si="27"/>
        <v/>
      </c>
      <c r="U165" s="524" t="str">
        <f t="shared" si="28"/>
        <v/>
      </c>
      <c r="V165" s="523" t="str">
        <f t="shared" si="25"/>
        <v/>
      </c>
      <c r="W165" s="520" t="str">
        <f>IF(S165="","",VLOOKUP(S165,'G-1 All Habitats'!$B$2:$M$129,10,FALSE))</f>
        <v/>
      </c>
      <c r="X165" s="520" t="str">
        <f>IFERROR(VLOOKUP(W165,'G-1 All Habitats'!$V$3:$W$7,2,FALSE),"")</f>
        <v/>
      </c>
      <c r="Y165" s="203"/>
      <c r="Z165" s="524" t="str">
        <f>IFERROR(INDEX('G-8 Condition Look up'!$A$3:$H$130,MATCH(S165,'G-8 Condition Look up'!$A$3:$A$130,0),MATCH(Y165,'G-8 Condition Look up'!$A$3:$H$3,0)),"")</f>
        <v/>
      </c>
      <c r="AA165" s="145"/>
      <c r="AB165" s="540" t="str">
        <f>IF(AA165="","",IF(VLOOKUP(AA165,'G-3 Multipliers'!$L$3:$N$6,2,FALSE)=0,"Spatial Data Missing ⚠",VLOOKUP(AA165,'G-3 Multipliers'!$L$3:$N$6,2,FALSE)))</f>
        <v/>
      </c>
      <c r="AC165" s="524" t="str">
        <f>IF(AA165="","",IF(VLOOKUP(AA165,'G-3 Multipliers'!$L$3:$N$6,3,FALSE)=0,"Spatial Data Missing ⚠",VLOOKUP(AA165,'G-3 Multipliers'!$L$3:$N$6,3,FALSE)))</f>
        <v/>
      </c>
      <c r="AD165" s="537" t="str">
        <f t="shared" si="26"/>
        <v/>
      </c>
      <c r="AE165" s="203"/>
      <c r="AF165" s="203"/>
      <c r="AG165" s="520" t="str">
        <f t="shared" si="29"/>
        <v/>
      </c>
      <c r="AH165" s="544" t="str">
        <f t="shared" si="30"/>
        <v/>
      </c>
      <c r="AI165" s="525" t="str">
        <f>IF(AH165="Check Data ⚠","Check Data ⚠",IFERROR(VLOOKUP(AH165,'G-4 Temporal multipliers'!$A$4:$C$36,3,FALSE),""))</f>
        <v/>
      </c>
      <c r="AJ165" s="537" t="str">
        <f>IF(S165="","",VLOOKUP(S165,'G-3 Multipliers'!$A$2:$E$129,4,FALSE))</f>
        <v/>
      </c>
      <c r="AK165" s="520" t="str">
        <f t="shared" si="31"/>
        <v/>
      </c>
      <c r="AL165" s="520" t="str">
        <f t="shared" si="32"/>
        <v/>
      </c>
      <c r="AM165" s="524" t="str">
        <f>IFERROR(IF(F165="","",IF(AH165="Check Data ⚠","Check Data ⚠",VLOOKUP(AL165, 'G-3 Multipliers'!$P$2:$Q$6,2,FALSE))),"")</f>
        <v/>
      </c>
      <c r="AN165" s="197"/>
      <c r="AO165" s="540" t="str">
        <f>IF(AN165="","",IF(VLOOKUP(AN165,'G-3 Multipliers'!$S$3:$T$9,2,FALSE)=0,"Spatial Data Missing ⚠",VLOOKUP(AN165,'G-3 Multipliers'!$S$3:$T$9,2,FALSE)))</f>
        <v/>
      </c>
      <c r="AP165" s="513" t="str">
        <f t="shared" si="33"/>
        <v/>
      </c>
      <c r="AQ165" s="231"/>
      <c r="AR165" s="150"/>
    </row>
    <row r="166" spans="1:44" x14ac:dyDescent="0.3">
      <c r="A166" s="31" t="str">
        <f>IF(E166="","",IF(ISNA(VLOOKUP($E166,'D-1 Off Site Habitat Baseline'!$D$1:$O$258,2,FALSE)),"",(VLOOKUP($E166,'D-1 Off Site Habitat Baseline'!$D$1:$O$258,2,FALSE))))</f>
        <v/>
      </c>
      <c r="B166" s="31" t="str">
        <f>IF(E166="","",IF(ISNA(VLOOKUP($E166,'D-1 Off Site Habitat Baseline'!$D$1:$O$258,3,FALSE)),"",(VLOOKUP($E166,'D-1 Off Site Habitat Baseline'!$D$1:$O$258,3,FALSE))))</f>
        <v/>
      </c>
      <c r="C166" s="31" t="str">
        <f>IFERROR(INDEX('G-8 Condition Look up'!$I$4:$I$130,MATCH(S166,'G-8 Condition Look up'!$A$4:$A$130,0)),"")</f>
        <v/>
      </c>
      <c r="E166" s="547" t="str">
        <f>'D-1 Off Site Habitat Baseline'!AL165</f>
        <v/>
      </c>
      <c r="F166" s="520" t="str">
        <f>IF(E166="","",IF(ISNA(VLOOKUP($E166,'D-1 Off Site Habitat Baseline'!$D$1:$O$258,4,FALSE)),"",(VLOOKUP($E166,'D-1 Off Site Habitat Baseline'!$D$1:$O$258,4,FALSE))))</f>
        <v/>
      </c>
      <c r="G166" s="520" t="str">
        <f>IF(E166="","",IF(ISNA(VLOOKUP($E166,'D-1 Off Site Habitat Baseline'!$D$1:$O$258,5,FALSE)),"",(VLOOKUP($E166,'D-1 Off Site Habitat Baseline'!$D$1:$O$258,5,FALSE))))</f>
        <v/>
      </c>
      <c r="H166" s="520" t="str">
        <f>IF(E166="","",IF(ISNA(VLOOKUP($E166,'D-1 Off Site Habitat Baseline'!$D$1:$O$258,6,FALSE)),"",(VLOOKUP($E166,'D-1 Off Site Habitat Baseline'!$D$1:$O$258,6,FALSE))))</f>
        <v/>
      </c>
      <c r="I166" s="520" t="str">
        <f>IF(E166="","",IF(ISNA(VLOOKUP($E166,'D-1 Off Site Habitat Baseline'!$D$1:$O$258,7,FALSE)),"",(VLOOKUP($E166,'D-1 Off Site Habitat Baseline'!$D$1:$O$258,7,FALSE))))</f>
        <v/>
      </c>
      <c r="J166" s="520" t="str">
        <f>IF(E166="","",IF(ISNA(VLOOKUP($E166,'D-1 Off Site Habitat Baseline'!$D$1:$O$258,8,FALSE)),"",(VLOOKUP($E166,'D-1 Off Site Habitat Baseline'!$D$1:$O$258,8,FALSE))))</f>
        <v/>
      </c>
      <c r="K166" s="520" t="str">
        <f>IF(E166="","",IF(ISNA(VLOOKUP($E166,'D-1 Off Site Habitat Baseline'!$D$1:$O$258,9,FALSE)),"",(VLOOKUP($E166,'D-1 Off Site Habitat Baseline'!$D$1:$O$258,9,FALSE))))</f>
        <v/>
      </c>
      <c r="L166" s="520" t="str">
        <f>IF(E166="","",IF(ISNA(VLOOKUP($E166,'D-1 Off Site Habitat Baseline'!$D$1:$O$258,11,FALSE)),"",(VLOOKUP($E166,'D-1 Off Site Habitat Baseline'!$D$1:$O$258,11,FALSE))))</f>
        <v/>
      </c>
      <c r="M166" s="520" t="str">
        <f>IF(E166="","",IF(ISNA(VLOOKUP($E166,'D-1 Off Site Habitat Baseline'!$D$1:$O$258,12,FALSE)),"",(VLOOKUP($E166,'D-1 Off Site Habitat Baseline'!$D$1:$O$258,12,FALSE))))</f>
        <v/>
      </c>
      <c r="N166" s="520" t="str">
        <f>IF(E166="","",IF(ISNA(VLOOKUP($E166,'D-1 Off Site Habitat Baseline'!$D$1:$X$258,14,FALSE)),"",(VLOOKUP($E166,'D-1 Off Site Habitat Baseline'!$D$1:$X$258,14,FALSE))))</f>
        <v/>
      </c>
      <c r="O166" s="524" t="str">
        <f>IF(E166="","",IF(ISNA(VLOOKUP($E166,'D-1 Off Site Habitat Baseline'!$D$1:$X$258,13,FALSE)),"",(VLOOKUP($E166,'D-1 Off Site Habitat Baseline'!$D$1:$X$258,13,FALSE))))</f>
        <v/>
      </c>
      <c r="P166" s="232" t="str">
        <f>IFERROR(INDEX('G-1 All Habitats'!$AG$3:$AG$15,MATCH(Q166,'G-1 All Habitats'!$AF$3:$AF$15,0)),"")</f>
        <v/>
      </c>
      <c r="Q166" s="228" t="str">
        <f t="shared" si="34"/>
        <v/>
      </c>
      <c r="R166" s="229" t="str">
        <f t="shared" si="35"/>
        <v/>
      </c>
      <c r="S166" s="233" t="str">
        <f>IFERROR(INDEX('G-1 All Habitats'!$B$3:$B$129,MATCH(R166,'G-1 All Habitats'!$A$3:$A$129,0)),"")</f>
        <v/>
      </c>
      <c r="T166" s="507" t="str">
        <f t="shared" si="27"/>
        <v/>
      </c>
      <c r="U166" s="524" t="str">
        <f t="shared" si="28"/>
        <v/>
      </c>
      <c r="V166" s="523" t="str">
        <f t="shared" si="25"/>
        <v/>
      </c>
      <c r="W166" s="520" t="str">
        <f>IF(S166="","",VLOOKUP(S166,'G-1 All Habitats'!$B$2:$M$129,10,FALSE))</f>
        <v/>
      </c>
      <c r="X166" s="520" t="str">
        <f>IFERROR(VLOOKUP(W166,'G-1 All Habitats'!$V$3:$W$7,2,FALSE),"")</f>
        <v/>
      </c>
      <c r="Y166" s="203"/>
      <c r="Z166" s="524" t="str">
        <f>IFERROR(INDEX('G-8 Condition Look up'!$A$3:$H$130,MATCH(S166,'G-8 Condition Look up'!$A$3:$A$130,0),MATCH(Y166,'G-8 Condition Look up'!$A$3:$H$3,0)),"")</f>
        <v/>
      </c>
      <c r="AA166" s="145"/>
      <c r="AB166" s="540" t="str">
        <f>IF(AA166="","",IF(VLOOKUP(AA166,'G-3 Multipliers'!$L$3:$N$6,2,FALSE)=0,"Spatial Data Missing ⚠",VLOOKUP(AA166,'G-3 Multipliers'!$L$3:$N$6,2,FALSE)))</f>
        <v/>
      </c>
      <c r="AC166" s="524" t="str">
        <f>IF(AA166="","",IF(VLOOKUP(AA166,'G-3 Multipliers'!$L$3:$N$6,3,FALSE)=0,"Spatial Data Missing ⚠",VLOOKUP(AA166,'G-3 Multipliers'!$L$3:$N$6,3,FALSE)))</f>
        <v/>
      </c>
      <c r="AD166" s="537" t="str">
        <f t="shared" si="26"/>
        <v/>
      </c>
      <c r="AE166" s="203"/>
      <c r="AF166" s="203"/>
      <c r="AG166" s="520" t="str">
        <f t="shared" si="29"/>
        <v/>
      </c>
      <c r="AH166" s="544" t="str">
        <f t="shared" si="30"/>
        <v/>
      </c>
      <c r="AI166" s="525" t="str">
        <f>IF(AH166="Check Data ⚠","Check Data ⚠",IFERROR(VLOOKUP(AH166,'G-4 Temporal multipliers'!$A$4:$C$36,3,FALSE),""))</f>
        <v/>
      </c>
      <c r="AJ166" s="537" t="str">
        <f>IF(S166="","",VLOOKUP(S166,'G-3 Multipliers'!$A$2:$E$129,4,FALSE))</f>
        <v/>
      </c>
      <c r="AK166" s="520" t="str">
        <f t="shared" si="31"/>
        <v/>
      </c>
      <c r="AL166" s="520" t="str">
        <f t="shared" si="32"/>
        <v/>
      </c>
      <c r="AM166" s="524" t="str">
        <f>IFERROR(IF(F166="","",IF(AH166="Check Data ⚠","Check Data ⚠",VLOOKUP(AL166, 'G-3 Multipliers'!$P$2:$Q$6,2,FALSE))),"")</f>
        <v/>
      </c>
      <c r="AN166" s="197"/>
      <c r="AO166" s="540" t="str">
        <f>IF(AN166="","",IF(VLOOKUP(AN166,'G-3 Multipliers'!$S$3:$T$9,2,FALSE)=0,"Spatial Data Missing ⚠",VLOOKUP(AN166,'G-3 Multipliers'!$S$3:$T$9,2,FALSE)))</f>
        <v/>
      </c>
      <c r="AP166" s="513" t="str">
        <f t="shared" si="33"/>
        <v/>
      </c>
      <c r="AQ166" s="231"/>
      <c r="AR166" s="150"/>
    </row>
    <row r="167" spans="1:44" x14ac:dyDescent="0.3">
      <c r="A167" s="31" t="str">
        <f>IF(E167="","",IF(ISNA(VLOOKUP($E167,'D-1 Off Site Habitat Baseline'!$D$1:$O$258,2,FALSE)),"",(VLOOKUP($E167,'D-1 Off Site Habitat Baseline'!$D$1:$O$258,2,FALSE))))</f>
        <v/>
      </c>
      <c r="B167" s="31" t="str">
        <f>IF(E167="","",IF(ISNA(VLOOKUP($E167,'D-1 Off Site Habitat Baseline'!$D$1:$O$258,3,FALSE)),"",(VLOOKUP($E167,'D-1 Off Site Habitat Baseline'!$D$1:$O$258,3,FALSE))))</f>
        <v/>
      </c>
      <c r="C167" s="31" t="str">
        <f>IFERROR(INDEX('G-8 Condition Look up'!$I$4:$I$130,MATCH(S167,'G-8 Condition Look up'!$A$4:$A$130,0)),"")</f>
        <v/>
      </c>
      <c r="E167" s="547" t="str">
        <f>'D-1 Off Site Habitat Baseline'!AL166</f>
        <v/>
      </c>
      <c r="F167" s="520" t="str">
        <f>IF(E167="","",IF(ISNA(VLOOKUP($E167,'D-1 Off Site Habitat Baseline'!$D$1:$O$258,4,FALSE)),"",(VLOOKUP($E167,'D-1 Off Site Habitat Baseline'!$D$1:$O$258,4,FALSE))))</f>
        <v/>
      </c>
      <c r="G167" s="520" t="str">
        <f>IF(E167="","",IF(ISNA(VLOOKUP($E167,'D-1 Off Site Habitat Baseline'!$D$1:$O$258,5,FALSE)),"",(VLOOKUP($E167,'D-1 Off Site Habitat Baseline'!$D$1:$O$258,5,FALSE))))</f>
        <v/>
      </c>
      <c r="H167" s="520" t="str">
        <f>IF(E167="","",IF(ISNA(VLOOKUP($E167,'D-1 Off Site Habitat Baseline'!$D$1:$O$258,6,FALSE)),"",(VLOOKUP($E167,'D-1 Off Site Habitat Baseline'!$D$1:$O$258,6,FALSE))))</f>
        <v/>
      </c>
      <c r="I167" s="520" t="str">
        <f>IF(E167="","",IF(ISNA(VLOOKUP($E167,'D-1 Off Site Habitat Baseline'!$D$1:$O$258,7,FALSE)),"",(VLOOKUP($E167,'D-1 Off Site Habitat Baseline'!$D$1:$O$258,7,FALSE))))</f>
        <v/>
      </c>
      <c r="J167" s="520" t="str">
        <f>IF(E167="","",IF(ISNA(VLOOKUP($E167,'D-1 Off Site Habitat Baseline'!$D$1:$O$258,8,FALSE)),"",(VLOOKUP($E167,'D-1 Off Site Habitat Baseline'!$D$1:$O$258,8,FALSE))))</f>
        <v/>
      </c>
      <c r="K167" s="520" t="str">
        <f>IF(E167="","",IF(ISNA(VLOOKUP($E167,'D-1 Off Site Habitat Baseline'!$D$1:$O$258,9,FALSE)),"",(VLOOKUP($E167,'D-1 Off Site Habitat Baseline'!$D$1:$O$258,9,FALSE))))</f>
        <v/>
      </c>
      <c r="L167" s="520" t="str">
        <f>IF(E167="","",IF(ISNA(VLOOKUP($E167,'D-1 Off Site Habitat Baseline'!$D$1:$O$258,11,FALSE)),"",(VLOOKUP($E167,'D-1 Off Site Habitat Baseline'!$D$1:$O$258,11,FALSE))))</f>
        <v/>
      </c>
      <c r="M167" s="520" t="str">
        <f>IF(E167="","",IF(ISNA(VLOOKUP($E167,'D-1 Off Site Habitat Baseline'!$D$1:$O$258,12,FALSE)),"",(VLOOKUP($E167,'D-1 Off Site Habitat Baseline'!$D$1:$O$258,12,FALSE))))</f>
        <v/>
      </c>
      <c r="N167" s="520" t="str">
        <f>IF(E167="","",IF(ISNA(VLOOKUP($E167,'D-1 Off Site Habitat Baseline'!$D$1:$X$258,14,FALSE)),"",(VLOOKUP($E167,'D-1 Off Site Habitat Baseline'!$D$1:$X$258,14,FALSE))))</f>
        <v/>
      </c>
      <c r="O167" s="524" t="str">
        <f>IF(E167="","",IF(ISNA(VLOOKUP($E167,'D-1 Off Site Habitat Baseline'!$D$1:$X$258,13,FALSE)),"",(VLOOKUP($E167,'D-1 Off Site Habitat Baseline'!$D$1:$X$258,13,FALSE))))</f>
        <v/>
      </c>
      <c r="P167" s="232" t="str">
        <f>IFERROR(INDEX('G-1 All Habitats'!$AG$3:$AG$15,MATCH(Q167,'G-1 All Habitats'!$AF$3:$AF$15,0)),"")</f>
        <v/>
      </c>
      <c r="Q167" s="228" t="str">
        <f t="shared" si="34"/>
        <v/>
      </c>
      <c r="R167" s="229" t="str">
        <f t="shared" si="35"/>
        <v/>
      </c>
      <c r="S167" s="233" t="str">
        <f>IFERROR(INDEX('G-1 All Habitats'!$B$3:$B$129,MATCH(R167,'G-1 All Habitats'!$A$3:$A$129,0)),"")</f>
        <v/>
      </c>
      <c r="T167" s="507" t="str">
        <f t="shared" si="27"/>
        <v/>
      </c>
      <c r="U167" s="524" t="str">
        <f t="shared" si="28"/>
        <v/>
      </c>
      <c r="V167" s="523" t="str">
        <f t="shared" si="25"/>
        <v/>
      </c>
      <c r="W167" s="520" t="str">
        <f>IF(S167="","",VLOOKUP(S167,'G-1 All Habitats'!$B$2:$M$129,10,FALSE))</f>
        <v/>
      </c>
      <c r="X167" s="520" t="str">
        <f>IFERROR(VLOOKUP(W167,'G-1 All Habitats'!$V$3:$W$7,2,FALSE),"")</f>
        <v/>
      </c>
      <c r="Y167" s="203"/>
      <c r="Z167" s="524" t="str">
        <f>IFERROR(INDEX('G-8 Condition Look up'!$A$3:$H$130,MATCH(S167,'G-8 Condition Look up'!$A$3:$A$130,0),MATCH(Y167,'G-8 Condition Look up'!$A$3:$H$3,0)),"")</f>
        <v/>
      </c>
      <c r="AA167" s="145"/>
      <c r="AB167" s="540" t="str">
        <f>IF(AA167="","",IF(VLOOKUP(AA167,'G-3 Multipliers'!$L$3:$N$6,2,FALSE)=0,"Spatial Data Missing ⚠",VLOOKUP(AA167,'G-3 Multipliers'!$L$3:$N$6,2,FALSE)))</f>
        <v/>
      </c>
      <c r="AC167" s="524" t="str">
        <f>IF(AA167="","",IF(VLOOKUP(AA167,'G-3 Multipliers'!$L$3:$N$6,3,FALSE)=0,"Spatial Data Missing ⚠",VLOOKUP(AA167,'G-3 Multipliers'!$L$3:$N$6,3,FALSE)))</f>
        <v/>
      </c>
      <c r="AD167" s="537" t="str">
        <f t="shared" si="26"/>
        <v/>
      </c>
      <c r="AE167" s="203"/>
      <c r="AF167" s="203"/>
      <c r="AG167" s="520" t="str">
        <f t="shared" si="29"/>
        <v/>
      </c>
      <c r="AH167" s="544" t="str">
        <f t="shared" si="30"/>
        <v/>
      </c>
      <c r="AI167" s="525" t="str">
        <f>IF(AH167="Check Data ⚠","Check Data ⚠",IFERROR(VLOOKUP(AH167,'G-4 Temporal multipliers'!$A$4:$C$36,3,FALSE),""))</f>
        <v/>
      </c>
      <c r="AJ167" s="537" t="str">
        <f>IF(S167="","",VLOOKUP(S167,'G-3 Multipliers'!$A$2:$E$129,4,FALSE))</f>
        <v/>
      </c>
      <c r="AK167" s="520" t="str">
        <f t="shared" si="31"/>
        <v/>
      </c>
      <c r="AL167" s="520" t="str">
        <f t="shared" si="32"/>
        <v/>
      </c>
      <c r="AM167" s="524" t="str">
        <f>IFERROR(IF(F167="","",IF(AH167="Check Data ⚠","Check Data ⚠",VLOOKUP(AL167, 'G-3 Multipliers'!$P$2:$Q$6,2,FALSE))),"")</f>
        <v/>
      </c>
      <c r="AN167" s="197"/>
      <c r="AO167" s="540" t="str">
        <f>IF(AN167="","",IF(VLOOKUP(AN167,'G-3 Multipliers'!$S$3:$T$9,2,FALSE)=0,"Spatial Data Missing ⚠",VLOOKUP(AN167,'G-3 Multipliers'!$S$3:$T$9,2,FALSE)))</f>
        <v/>
      </c>
      <c r="AP167" s="513" t="str">
        <f t="shared" si="33"/>
        <v/>
      </c>
      <c r="AQ167" s="231"/>
      <c r="AR167" s="150"/>
    </row>
    <row r="168" spans="1:44" x14ac:dyDescent="0.3">
      <c r="A168" s="31" t="str">
        <f>IF(E168="","",IF(ISNA(VLOOKUP($E168,'D-1 Off Site Habitat Baseline'!$D$1:$O$258,2,FALSE)),"",(VLOOKUP($E168,'D-1 Off Site Habitat Baseline'!$D$1:$O$258,2,FALSE))))</f>
        <v/>
      </c>
      <c r="B168" s="31" t="str">
        <f>IF(E168="","",IF(ISNA(VLOOKUP($E168,'D-1 Off Site Habitat Baseline'!$D$1:$O$258,3,FALSE)),"",(VLOOKUP($E168,'D-1 Off Site Habitat Baseline'!$D$1:$O$258,3,FALSE))))</f>
        <v/>
      </c>
      <c r="C168" s="31" t="str">
        <f>IFERROR(INDEX('G-8 Condition Look up'!$I$4:$I$130,MATCH(S168,'G-8 Condition Look up'!$A$4:$A$130,0)),"")</f>
        <v/>
      </c>
      <c r="E168" s="547" t="str">
        <f>'D-1 Off Site Habitat Baseline'!AL167</f>
        <v/>
      </c>
      <c r="F168" s="520" t="str">
        <f>IF(E168="","",IF(ISNA(VLOOKUP($E168,'D-1 Off Site Habitat Baseline'!$D$1:$O$258,4,FALSE)),"",(VLOOKUP($E168,'D-1 Off Site Habitat Baseline'!$D$1:$O$258,4,FALSE))))</f>
        <v/>
      </c>
      <c r="G168" s="520" t="str">
        <f>IF(E168="","",IF(ISNA(VLOOKUP($E168,'D-1 Off Site Habitat Baseline'!$D$1:$O$258,5,FALSE)),"",(VLOOKUP($E168,'D-1 Off Site Habitat Baseline'!$D$1:$O$258,5,FALSE))))</f>
        <v/>
      </c>
      <c r="H168" s="520" t="str">
        <f>IF(E168="","",IF(ISNA(VLOOKUP($E168,'D-1 Off Site Habitat Baseline'!$D$1:$O$258,6,FALSE)),"",(VLOOKUP($E168,'D-1 Off Site Habitat Baseline'!$D$1:$O$258,6,FALSE))))</f>
        <v/>
      </c>
      <c r="I168" s="520" t="str">
        <f>IF(E168="","",IF(ISNA(VLOOKUP($E168,'D-1 Off Site Habitat Baseline'!$D$1:$O$258,7,FALSE)),"",(VLOOKUP($E168,'D-1 Off Site Habitat Baseline'!$D$1:$O$258,7,FALSE))))</f>
        <v/>
      </c>
      <c r="J168" s="520" t="str">
        <f>IF(E168="","",IF(ISNA(VLOOKUP($E168,'D-1 Off Site Habitat Baseline'!$D$1:$O$258,8,FALSE)),"",(VLOOKUP($E168,'D-1 Off Site Habitat Baseline'!$D$1:$O$258,8,FALSE))))</f>
        <v/>
      </c>
      <c r="K168" s="520" t="str">
        <f>IF(E168="","",IF(ISNA(VLOOKUP($E168,'D-1 Off Site Habitat Baseline'!$D$1:$O$258,9,FALSE)),"",(VLOOKUP($E168,'D-1 Off Site Habitat Baseline'!$D$1:$O$258,9,FALSE))))</f>
        <v/>
      </c>
      <c r="L168" s="520" t="str">
        <f>IF(E168="","",IF(ISNA(VLOOKUP($E168,'D-1 Off Site Habitat Baseline'!$D$1:$O$258,11,FALSE)),"",(VLOOKUP($E168,'D-1 Off Site Habitat Baseline'!$D$1:$O$258,11,FALSE))))</f>
        <v/>
      </c>
      <c r="M168" s="520" t="str">
        <f>IF(E168="","",IF(ISNA(VLOOKUP($E168,'D-1 Off Site Habitat Baseline'!$D$1:$O$258,12,FALSE)),"",(VLOOKUP($E168,'D-1 Off Site Habitat Baseline'!$D$1:$O$258,12,FALSE))))</f>
        <v/>
      </c>
      <c r="N168" s="520" t="str">
        <f>IF(E168="","",IF(ISNA(VLOOKUP($E168,'D-1 Off Site Habitat Baseline'!$D$1:$X$258,14,FALSE)),"",(VLOOKUP($E168,'D-1 Off Site Habitat Baseline'!$D$1:$X$258,14,FALSE))))</f>
        <v/>
      </c>
      <c r="O168" s="524" t="str">
        <f>IF(E168="","",IF(ISNA(VLOOKUP($E168,'D-1 Off Site Habitat Baseline'!$D$1:$X$258,13,FALSE)),"",(VLOOKUP($E168,'D-1 Off Site Habitat Baseline'!$D$1:$X$258,13,FALSE))))</f>
        <v/>
      </c>
      <c r="P168" s="232" t="str">
        <f>IFERROR(INDEX('G-1 All Habitats'!$AG$3:$AG$15,MATCH(Q168,'G-1 All Habitats'!$AF$3:$AF$15,0)),"")</f>
        <v/>
      </c>
      <c r="Q168" s="228" t="str">
        <f t="shared" si="34"/>
        <v/>
      </c>
      <c r="R168" s="229" t="str">
        <f t="shared" si="35"/>
        <v/>
      </c>
      <c r="S168" s="233" t="str">
        <f>IFERROR(INDEX('G-1 All Habitats'!$B$3:$B$129,MATCH(R168,'G-1 All Habitats'!$A$3:$A$129,0)),"")</f>
        <v/>
      </c>
      <c r="T168" s="507" t="str">
        <f t="shared" si="27"/>
        <v/>
      </c>
      <c r="U168" s="524" t="str">
        <f t="shared" si="28"/>
        <v/>
      </c>
      <c r="V168" s="523" t="str">
        <f t="shared" si="25"/>
        <v/>
      </c>
      <c r="W168" s="520" t="str">
        <f>IF(S168="","",VLOOKUP(S168,'G-1 All Habitats'!$B$2:$M$129,10,FALSE))</f>
        <v/>
      </c>
      <c r="X168" s="520" t="str">
        <f>IFERROR(VLOOKUP(W168,'G-1 All Habitats'!$V$3:$W$7,2,FALSE),"")</f>
        <v/>
      </c>
      <c r="Y168" s="203"/>
      <c r="Z168" s="524" t="str">
        <f>IFERROR(INDEX('G-8 Condition Look up'!$A$3:$H$130,MATCH(S168,'G-8 Condition Look up'!$A$3:$A$130,0),MATCH(Y168,'G-8 Condition Look up'!$A$3:$H$3,0)),"")</f>
        <v/>
      </c>
      <c r="AA168" s="145"/>
      <c r="AB168" s="540" t="str">
        <f>IF(AA168="","",IF(VLOOKUP(AA168,'G-3 Multipliers'!$L$3:$N$6,2,FALSE)=0,"Spatial Data Missing ⚠",VLOOKUP(AA168,'G-3 Multipliers'!$L$3:$N$6,2,FALSE)))</f>
        <v/>
      </c>
      <c r="AC168" s="524" t="str">
        <f>IF(AA168="","",IF(VLOOKUP(AA168,'G-3 Multipliers'!$L$3:$N$6,3,FALSE)=0,"Spatial Data Missing ⚠",VLOOKUP(AA168,'G-3 Multipliers'!$L$3:$N$6,3,FALSE)))</f>
        <v/>
      </c>
      <c r="AD168" s="537" t="str">
        <f t="shared" si="26"/>
        <v/>
      </c>
      <c r="AE168" s="203"/>
      <c r="AF168" s="203"/>
      <c r="AG168" s="520" t="str">
        <f t="shared" si="29"/>
        <v/>
      </c>
      <c r="AH168" s="544" t="str">
        <f t="shared" si="30"/>
        <v/>
      </c>
      <c r="AI168" s="525" t="str">
        <f>IF(AH168="Check Data ⚠","Check Data ⚠",IFERROR(VLOOKUP(AH168,'G-4 Temporal multipliers'!$A$4:$C$36,3,FALSE),""))</f>
        <v/>
      </c>
      <c r="AJ168" s="537" t="str">
        <f>IF(S168="","",VLOOKUP(S168,'G-3 Multipliers'!$A$2:$E$129,4,FALSE))</f>
        <v/>
      </c>
      <c r="AK168" s="520" t="str">
        <f t="shared" si="31"/>
        <v/>
      </c>
      <c r="AL168" s="520" t="str">
        <f t="shared" si="32"/>
        <v/>
      </c>
      <c r="AM168" s="524" t="str">
        <f>IFERROR(IF(F168="","",IF(AH168="Check Data ⚠","Check Data ⚠",VLOOKUP(AL168, 'G-3 Multipliers'!$P$2:$Q$6,2,FALSE))),"")</f>
        <v/>
      </c>
      <c r="AN168" s="197"/>
      <c r="AO168" s="540" t="str">
        <f>IF(AN168="","",IF(VLOOKUP(AN168,'G-3 Multipliers'!$S$3:$T$9,2,FALSE)=0,"Spatial Data Missing ⚠",VLOOKUP(AN168,'G-3 Multipliers'!$S$3:$T$9,2,FALSE)))</f>
        <v/>
      </c>
      <c r="AP168" s="513" t="str">
        <f t="shared" si="33"/>
        <v/>
      </c>
      <c r="AQ168" s="231"/>
      <c r="AR168" s="150"/>
    </row>
    <row r="169" spans="1:44" x14ac:dyDescent="0.3">
      <c r="A169" s="31" t="str">
        <f>IF(E169="","",IF(ISNA(VLOOKUP($E169,'D-1 Off Site Habitat Baseline'!$D$1:$O$258,2,FALSE)),"",(VLOOKUP($E169,'D-1 Off Site Habitat Baseline'!$D$1:$O$258,2,FALSE))))</f>
        <v/>
      </c>
      <c r="B169" s="31" t="str">
        <f>IF(E169="","",IF(ISNA(VLOOKUP($E169,'D-1 Off Site Habitat Baseline'!$D$1:$O$258,3,FALSE)),"",(VLOOKUP($E169,'D-1 Off Site Habitat Baseline'!$D$1:$O$258,3,FALSE))))</f>
        <v/>
      </c>
      <c r="C169" s="31" t="str">
        <f>IFERROR(INDEX('G-8 Condition Look up'!$I$4:$I$130,MATCH(S169,'G-8 Condition Look up'!$A$4:$A$130,0)),"")</f>
        <v/>
      </c>
      <c r="E169" s="547" t="str">
        <f>'D-1 Off Site Habitat Baseline'!AL168</f>
        <v/>
      </c>
      <c r="F169" s="520" t="str">
        <f>IF(E169="","",IF(ISNA(VLOOKUP($E169,'D-1 Off Site Habitat Baseline'!$D$1:$O$258,4,FALSE)),"",(VLOOKUP($E169,'D-1 Off Site Habitat Baseline'!$D$1:$O$258,4,FALSE))))</f>
        <v/>
      </c>
      <c r="G169" s="520" t="str">
        <f>IF(E169="","",IF(ISNA(VLOOKUP($E169,'D-1 Off Site Habitat Baseline'!$D$1:$O$258,5,FALSE)),"",(VLOOKUP($E169,'D-1 Off Site Habitat Baseline'!$D$1:$O$258,5,FALSE))))</f>
        <v/>
      </c>
      <c r="H169" s="520" t="str">
        <f>IF(E169="","",IF(ISNA(VLOOKUP($E169,'D-1 Off Site Habitat Baseline'!$D$1:$O$258,6,FALSE)),"",(VLOOKUP($E169,'D-1 Off Site Habitat Baseline'!$D$1:$O$258,6,FALSE))))</f>
        <v/>
      </c>
      <c r="I169" s="520" t="str">
        <f>IF(E169="","",IF(ISNA(VLOOKUP($E169,'D-1 Off Site Habitat Baseline'!$D$1:$O$258,7,FALSE)),"",(VLOOKUP($E169,'D-1 Off Site Habitat Baseline'!$D$1:$O$258,7,FALSE))))</f>
        <v/>
      </c>
      <c r="J169" s="520" t="str">
        <f>IF(E169="","",IF(ISNA(VLOOKUP($E169,'D-1 Off Site Habitat Baseline'!$D$1:$O$258,8,FALSE)),"",(VLOOKUP($E169,'D-1 Off Site Habitat Baseline'!$D$1:$O$258,8,FALSE))))</f>
        <v/>
      </c>
      <c r="K169" s="520" t="str">
        <f>IF(E169="","",IF(ISNA(VLOOKUP($E169,'D-1 Off Site Habitat Baseline'!$D$1:$O$258,9,FALSE)),"",(VLOOKUP($E169,'D-1 Off Site Habitat Baseline'!$D$1:$O$258,9,FALSE))))</f>
        <v/>
      </c>
      <c r="L169" s="520" t="str">
        <f>IF(E169="","",IF(ISNA(VLOOKUP($E169,'D-1 Off Site Habitat Baseline'!$D$1:$O$258,11,FALSE)),"",(VLOOKUP($E169,'D-1 Off Site Habitat Baseline'!$D$1:$O$258,11,FALSE))))</f>
        <v/>
      </c>
      <c r="M169" s="520" t="str">
        <f>IF(E169="","",IF(ISNA(VLOOKUP($E169,'D-1 Off Site Habitat Baseline'!$D$1:$O$258,12,FALSE)),"",(VLOOKUP($E169,'D-1 Off Site Habitat Baseline'!$D$1:$O$258,12,FALSE))))</f>
        <v/>
      </c>
      <c r="N169" s="520" t="str">
        <f>IF(E169="","",IF(ISNA(VLOOKUP($E169,'D-1 Off Site Habitat Baseline'!$D$1:$X$258,14,FALSE)),"",(VLOOKUP($E169,'D-1 Off Site Habitat Baseline'!$D$1:$X$258,14,FALSE))))</f>
        <v/>
      </c>
      <c r="O169" s="524" t="str">
        <f>IF(E169="","",IF(ISNA(VLOOKUP($E169,'D-1 Off Site Habitat Baseline'!$D$1:$X$258,13,FALSE)),"",(VLOOKUP($E169,'D-1 Off Site Habitat Baseline'!$D$1:$X$258,13,FALSE))))</f>
        <v/>
      </c>
      <c r="P169" s="232" t="str">
        <f>IFERROR(INDEX('G-1 All Habitats'!$AG$3:$AG$15,MATCH(Q169,'G-1 All Habitats'!$AF$3:$AF$15,0)),"")</f>
        <v/>
      </c>
      <c r="Q169" s="228" t="str">
        <f t="shared" si="34"/>
        <v/>
      </c>
      <c r="R169" s="229" t="str">
        <f t="shared" si="35"/>
        <v/>
      </c>
      <c r="S169" s="233" t="str">
        <f>IFERROR(INDEX('G-1 All Habitats'!$B$3:$B$129,MATCH(R169,'G-1 All Habitats'!$A$3:$A$129,0)),"")</f>
        <v/>
      </c>
      <c r="T169" s="507" t="str">
        <f t="shared" si="27"/>
        <v/>
      </c>
      <c r="U169" s="524" t="str">
        <f t="shared" si="28"/>
        <v/>
      </c>
      <c r="V169" s="523" t="str">
        <f t="shared" si="25"/>
        <v/>
      </c>
      <c r="W169" s="520" t="str">
        <f>IF(S169="","",VLOOKUP(S169,'G-1 All Habitats'!$B$2:$M$129,10,FALSE))</f>
        <v/>
      </c>
      <c r="X169" s="520" t="str">
        <f>IFERROR(VLOOKUP(W169,'G-1 All Habitats'!$V$3:$W$7,2,FALSE),"")</f>
        <v/>
      </c>
      <c r="Y169" s="203"/>
      <c r="Z169" s="524" t="str">
        <f>IFERROR(INDEX('G-8 Condition Look up'!$A$3:$H$130,MATCH(S169,'G-8 Condition Look up'!$A$3:$A$130,0),MATCH(Y169,'G-8 Condition Look up'!$A$3:$H$3,0)),"")</f>
        <v/>
      </c>
      <c r="AA169" s="145"/>
      <c r="AB169" s="540" t="str">
        <f>IF(AA169="","",IF(VLOOKUP(AA169,'G-3 Multipliers'!$L$3:$N$6,2,FALSE)=0,"Spatial Data Missing ⚠",VLOOKUP(AA169,'G-3 Multipliers'!$L$3:$N$6,2,FALSE)))</f>
        <v/>
      </c>
      <c r="AC169" s="524" t="str">
        <f>IF(AA169="","",IF(VLOOKUP(AA169,'G-3 Multipliers'!$L$3:$N$6,3,FALSE)=0,"Spatial Data Missing ⚠",VLOOKUP(AA169,'G-3 Multipliers'!$L$3:$N$6,3,FALSE)))</f>
        <v/>
      </c>
      <c r="AD169" s="537" t="str">
        <f t="shared" si="26"/>
        <v/>
      </c>
      <c r="AE169" s="203"/>
      <c r="AF169" s="203"/>
      <c r="AG169" s="520" t="str">
        <f t="shared" si="29"/>
        <v/>
      </c>
      <c r="AH169" s="544" t="str">
        <f t="shared" si="30"/>
        <v/>
      </c>
      <c r="AI169" s="525" t="str">
        <f>IF(AH169="Check Data ⚠","Check Data ⚠",IFERROR(VLOOKUP(AH169,'G-4 Temporal multipliers'!$A$4:$C$36,3,FALSE),""))</f>
        <v/>
      </c>
      <c r="AJ169" s="537" t="str">
        <f>IF(S169="","",VLOOKUP(S169,'G-3 Multipliers'!$A$2:$E$129,4,FALSE))</f>
        <v/>
      </c>
      <c r="AK169" s="520" t="str">
        <f t="shared" si="31"/>
        <v/>
      </c>
      <c r="AL169" s="520" t="str">
        <f t="shared" si="32"/>
        <v/>
      </c>
      <c r="AM169" s="524" t="str">
        <f>IFERROR(IF(F169="","",IF(AH169="Check Data ⚠","Check Data ⚠",VLOOKUP(AL169, 'G-3 Multipliers'!$P$2:$Q$6,2,FALSE))),"")</f>
        <v/>
      </c>
      <c r="AN169" s="197"/>
      <c r="AO169" s="540" t="str">
        <f>IF(AN169="","",IF(VLOOKUP(AN169,'G-3 Multipliers'!$S$3:$T$9,2,FALSE)=0,"Spatial Data Missing ⚠",VLOOKUP(AN169,'G-3 Multipliers'!$S$3:$T$9,2,FALSE)))</f>
        <v/>
      </c>
      <c r="AP169" s="513" t="str">
        <f t="shared" si="33"/>
        <v/>
      </c>
      <c r="AQ169" s="231"/>
      <c r="AR169" s="150"/>
    </row>
    <row r="170" spans="1:44" x14ac:dyDescent="0.3">
      <c r="A170" s="31" t="str">
        <f>IF(E170="","",IF(ISNA(VLOOKUP($E170,'D-1 Off Site Habitat Baseline'!$D$1:$O$258,2,FALSE)),"",(VLOOKUP($E170,'D-1 Off Site Habitat Baseline'!$D$1:$O$258,2,FALSE))))</f>
        <v/>
      </c>
      <c r="B170" s="31" t="str">
        <f>IF(E170="","",IF(ISNA(VLOOKUP($E170,'D-1 Off Site Habitat Baseline'!$D$1:$O$258,3,FALSE)),"",(VLOOKUP($E170,'D-1 Off Site Habitat Baseline'!$D$1:$O$258,3,FALSE))))</f>
        <v/>
      </c>
      <c r="C170" s="31" t="str">
        <f>IFERROR(INDEX('G-8 Condition Look up'!$I$4:$I$130,MATCH(S170,'G-8 Condition Look up'!$A$4:$A$130,0)),"")</f>
        <v/>
      </c>
      <c r="E170" s="547" t="str">
        <f>'D-1 Off Site Habitat Baseline'!AL169</f>
        <v/>
      </c>
      <c r="F170" s="520" t="str">
        <f>IF(E170="","",IF(ISNA(VLOOKUP($E170,'D-1 Off Site Habitat Baseline'!$D$1:$O$258,4,FALSE)),"",(VLOOKUP($E170,'D-1 Off Site Habitat Baseline'!$D$1:$O$258,4,FALSE))))</f>
        <v/>
      </c>
      <c r="G170" s="520" t="str">
        <f>IF(E170="","",IF(ISNA(VLOOKUP($E170,'D-1 Off Site Habitat Baseline'!$D$1:$O$258,5,FALSE)),"",(VLOOKUP($E170,'D-1 Off Site Habitat Baseline'!$D$1:$O$258,5,FALSE))))</f>
        <v/>
      </c>
      <c r="H170" s="520" t="str">
        <f>IF(E170="","",IF(ISNA(VLOOKUP($E170,'D-1 Off Site Habitat Baseline'!$D$1:$O$258,6,FALSE)),"",(VLOOKUP($E170,'D-1 Off Site Habitat Baseline'!$D$1:$O$258,6,FALSE))))</f>
        <v/>
      </c>
      <c r="I170" s="520" t="str">
        <f>IF(E170="","",IF(ISNA(VLOOKUP($E170,'D-1 Off Site Habitat Baseline'!$D$1:$O$258,7,FALSE)),"",(VLOOKUP($E170,'D-1 Off Site Habitat Baseline'!$D$1:$O$258,7,FALSE))))</f>
        <v/>
      </c>
      <c r="J170" s="520" t="str">
        <f>IF(E170="","",IF(ISNA(VLOOKUP($E170,'D-1 Off Site Habitat Baseline'!$D$1:$O$258,8,FALSE)),"",(VLOOKUP($E170,'D-1 Off Site Habitat Baseline'!$D$1:$O$258,8,FALSE))))</f>
        <v/>
      </c>
      <c r="K170" s="520" t="str">
        <f>IF(E170="","",IF(ISNA(VLOOKUP($E170,'D-1 Off Site Habitat Baseline'!$D$1:$O$258,9,FALSE)),"",(VLOOKUP($E170,'D-1 Off Site Habitat Baseline'!$D$1:$O$258,9,FALSE))))</f>
        <v/>
      </c>
      <c r="L170" s="520" t="str">
        <f>IF(E170="","",IF(ISNA(VLOOKUP($E170,'D-1 Off Site Habitat Baseline'!$D$1:$O$258,11,FALSE)),"",(VLOOKUP($E170,'D-1 Off Site Habitat Baseline'!$D$1:$O$258,11,FALSE))))</f>
        <v/>
      </c>
      <c r="M170" s="520" t="str">
        <f>IF(E170="","",IF(ISNA(VLOOKUP($E170,'D-1 Off Site Habitat Baseline'!$D$1:$O$258,12,FALSE)),"",(VLOOKUP($E170,'D-1 Off Site Habitat Baseline'!$D$1:$O$258,12,FALSE))))</f>
        <v/>
      </c>
      <c r="N170" s="520" t="str">
        <f>IF(E170="","",IF(ISNA(VLOOKUP($E170,'D-1 Off Site Habitat Baseline'!$D$1:$X$258,14,FALSE)),"",(VLOOKUP($E170,'D-1 Off Site Habitat Baseline'!$D$1:$X$258,14,FALSE))))</f>
        <v/>
      </c>
      <c r="O170" s="524" t="str">
        <f>IF(E170="","",IF(ISNA(VLOOKUP($E170,'D-1 Off Site Habitat Baseline'!$D$1:$X$258,13,FALSE)),"",(VLOOKUP($E170,'D-1 Off Site Habitat Baseline'!$D$1:$X$258,13,FALSE))))</f>
        <v/>
      </c>
      <c r="P170" s="232" t="str">
        <f>IFERROR(INDEX('G-1 All Habitats'!$AG$3:$AG$15,MATCH(Q170,'G-1 All Habitats'!$AF$3:$AF$15,0)),"")</f>
        <v/>
      </c>
      <c r="Q170" s="228" t="str">
        <f t="shared" si="34"/>
        <v/>
      </c>
      <c r="R170" s="229" t="str">
        <f t="shared" si="35"/>
        <v/>
      </c>
      <c r="S170" s="233" t="str">
        <f>IFERROR(INDEX('G-1 All Habitats'!$B$3:$B$129,MATCH(R170,'G-1 All Habitats'!$A$3:$A$129,0)),"")</f>
        <v/>
      </c>
      <c r="T170" s="507" t="str">
        <f t="shared" si="27"/>
        <v/>
      </c>
      <c r="U170" s="524" t="str">
        <f t="shared" si="28"/>
        <v/>
      </c>
      <c r="V170" s="523" t="str">
        <f t="shared" si="25"/>
        <v/>
      </c>
      <c r="W170" s="520" t="str">
        <f>IF(S170="","",VLOOKUP(S170,'G-1 All Habitats'!$B$2:$M$129,10,FALSE))</f>
        <v/>
      </c>
      <c r="X170" s="520" t="str">
        <f>IFERROR(VLOOKUP(W170,'G-1 All Habitats'!$V$3:$W$7,2,FALSE),"")</f>
        <v/>
      </c>
      <c r="Y170" s="203"/>
      <c r="Z170" s="524" t="str">
        <f>IFERROR(INDEX('G-8 Condition Look up'!$A$3:$H$130,MATCH(S170,'G-8 Condition Look up'!$A$3:$A$130,0),MATCH(Y170,'G-8 Condition Look up'!$A$3:$H$3,0)),"")</f>
        <v/>
      </c>
      <c r="AA170" s="145"/>
      <c r="AB170" s="540" t="str">
        <f>IF(AA170="","",IF(VLOOKUP(AA170,'G-3 Multipliers'!$L$3:$N$6,2,FALSE)=0,"Spatial Data Missing ⚠",VLOOKUP(AA170,'G-3 Multipliers'!$L$3:$N$6,2,FALSE)))</f>
        <v/>
      </c>
      <c r="AC170" s="524" t="str">
        <f>IF(AA170="","",IF(VLOOKUP(AA170,'G-3 Multipliers'!$L$3:$N$6,3,FALSE)=0,"Spatial Data Missing ⚠",VLOOKUP(AA170,'G-3 Multipliers'!$L$3:$N$6,3,FALSE)))</f>
        <v/>
      </c>
      <c r="AD170" s="537" t="str">
        <f t="shared" si="26"/>
        <v/>
      </c>
      <c r="AE170" s="203"/>
      <c r="AF170" s="203"/>
      <c r="AG170" s="520" t="str">
        <f t="shared" si="29"/>
        <v/>
      </c>
      <c r="AH170" s="544" t="str">
        <f t="shared" si="30"/>
        <v/>
      </c>
      <c r="AI170" s="525" t="str">
        <f>IF(AH170="Check Data ⚠","Check Data ⚠",IFERROR(VLOOKUP(AH170,'G-4 Temporal multipliers'!$A$4:$C$36,3,FALSE),""))</f>
        <v/>
      </c>
      <c r="AJ170" s="537" t="str">
        <f>IF(S170="","",VLOOKUP(S170,'G-3 Multipliers'!$A$2:$E$129,4,FALSE))</f>
        <v/>
      </c>
      <c r="AK170" s="520" t="str">
        <f t="shared" si="31"/>
        <v/>
      </c>
      <c r="AL170" s="520" t="str">
        <f t="shared" si="32"/>
        <v/>
      </c>
      <c r="AM170" s="524" t="str">
        <f>IFERROR(IF(F170="","",IF(AH170="Check Data ⚠","Check Data ⚠",VLOOKUP(AL170, 'G-3 Multipliers'!$P$2:$Q$6,2,FALSE))),"")</f>
        <v/>
      </c>
      <c r="AN170" s="197"/>
      <c r="AO170" s="540" t="str">
        <f>IF(AN170="","",IF(VLOOKUP(AN170,'G-3 Multipliers'!$S$3:$T$9,2,FALSE)=0,"Spatial Data Missing ⚠",VLOOKUP(AN170,'G-3 Multipliers'!$S$3:$T$9,2,FALSE)))</f>
        <v/>
      </c>
      <c r="AP170" s="513" t="str">
        <f t="shared" si="33"/>
        <v/>
      </c>
      <c r="AQ170" s="231"/>
      <c r="AR170" s="150"/>
    </row>
    <row r="171" spans="1:44" x14ac:dyDescent="0.3">
      <c r="A171" s="31" t="str">
        <f>IF(E171="","",IF(ISNA(VLOOKUP($E171,'D-1 Off Site Habitat Baseline'!$D$1:$O$258,2,FALSE)),"",(VLOOKUP($E171,'D-1 Off Site Habitat Baseline'!$D$1:$O$258,2,FALSE))))</f>
        <v/>
      </c>
      <c r="B171" s="31" t="str">
        <f>IF(E171="","",IF(ISNA(VLOOKUP($E171,'D-1 Off Site Habitat Baseline'!$D$1:$O$258,3,FALSE)),"",(VLOOKUP($E171,'D-1 Off Site Habitat Baseline'!$D$1:$O$258,3,FALSE))))</f>
        <v/>
      </c>
      <c r="C171" s="31" t="str">
        <f>IFERROR(INDEX('G-8 Condition Look up'!$I$4:$I$130,MATCH(S171,'G-8 Condition Look up'!$A$4:$A$130,0)),"")</f>
        <v/>
      </c>
      <c r="E171" s="547" t="str">
        <f>'D-1 Off Site Habitat Baseline'!AL170</f>
        <v/>
      </c>
      <c r="F171" s="520" t="str">
        <f>IF(E171="","",IF(ISNA(VLOOKUP($E171,'D-1 Off Site Habitat Baseline'!$D$1:$O$258,4,FALSE)),"",(VLOOKUP($E171,'D-1 Off Site Habitat Baseline'!$D$1:$O$258,4,FALSE))))</f>
        <v/>
      </c>
      <c r="G171" s="520" t="str">
        <f>IF(E171="","",IF(ISNA(VLOOKUP($E171,'D-1 Off Site Habitat Baseline'!$D$1:$O$258,5,FALSE)),"",(VLOOKUP($E171,'D-1 Off Site Habitat Baseline'!$D$1:$O$258,5,FALSE))))</f>
        <v/>
      </c>
      <c r="H171" s="520" t="str">
        <f>IF(E171="","",IF(ISNA(VLOOKUP($E171,'D-1 Off Site Habitat Baseline'!$D$1:$O$258,6,FALSE)),"",(VLOOKUP($E171,'D-1 Off Site Habitat Baseline'!$D$1:$O$258,6,FALSE))))</f>
        <v/>
      </c>
      <c r="I171" s="520" t="str">
        <f>IF(E171="","",IF(ISNA(VLOOKUP($E171,'D-1 Off Site Habitat Baseline'!$D$1:$O$258,7,FALSE)),"",(VLOOKUP($E171,'D-1 Off Site Habitat Baseline'!$D$1:$O$258,7,FALSE))))</f>
        <v/>
      </c>
      <c r="J171" s="520" t="str">
        <f>IF(E171="","",IF(ISNA(VLOOKUP($E171,'D-1 Off Site Habitat Baseline'!$D$1:$O$258,8,FALSE)),"",(VLOOKUP($E171,'D-1 Off Site Habitat Baseline'!$D$1:$O$258,8,FALSE))))</f>
        <v/>
      </c>
      <c r="K171" s="520" t="str">
        <f>IF(E171="","",IF(ISNA(VLOOKUP($E171,'D-1 Off Site Habitat Baseline'!$D$1:$O$258,9,FALSE)),"",(VLOOKUP($E171,'D-1 Off Site Habitat Baseline'!$D$1:$O$258,9,FALSE))))</f>
        <v/>
      </c>
      <c r="L171" s="520" t="str">
        <f>IF(E171="","",IF(ISNA(VLOOKUP($E171,'D-1 Off Site Habitat Baseline'!$D$1:$O$258,11,FALSE)),"",(VLOOKUP($E171,'D-1 Off Site Habitat Baseline'!$D$1:$O$258,11,FALSE))))</f>
        <v/>
      </c>
      <c r="M171" s="520" t="str">
        <f>IF(E171="","",IF(ISNA(VLOOKUP($E171,'D-1 Off Site Habitat Baseline'!$D$1:$O$258,12,FALSE)),"",(VLOOKUP($E171,'D-1 Off Site Habitat Baseline'!$D$1:$O$258,12,FALSE))))</f>
        <v/>
      </c>
      <c r="N171" s="520" t="str">
        <f>IF(E171="","",IF(ISNA(VLOOKUP($E171,'D-1 Off Site Habitat Baseline'!$D$1:$X$258,14,FALSE)),"",(VLOOKUP($E171,'D-1 Off Site Habitat Baseline'!$D$1:$X$258,14,FALSE))))</f>
        <v/>
      </c>
      <c r="O171" s="524" t="str">
        <f>IF(E171="","",IF(ISNA(VLOOKUP($E171,'D-1 Off Site Habitat Baseline'!$D$1:$X$258,13,FALSE)),"",(VLOOKUP($E171,'D-1 Off Site Habitat Baseline'!$D$1:$X$258,13,FALSE))))</f>
        <v/>
      </c>
      <c r="P171" s="232" t="str">
        <f>IFERROR(INDEX('G-1 All Habitats'!$AG$3:$AG$15,MATCH(Q171,'G-1 All Habitats'!$AF$3:$AF$15,0)),"")</f>
        <v/>
      </c>
      <c r="Q171" s="228" t="str">
        <f t="shared" si="34"/>
        <v/>
      </c>
      <c r="R171" s="229" t="str">
        <f t="shared" si="35"/>
        <v/>
      </c>
      <c r="S171" s="233" t="str">
        <f>IFERROR(INDEX('G-1 All Habitats'!$B$3:$B$129,MATCH(R171,'G-1 All Habitats'!$A$3:$A$129,0)),"")</f>
        <v/>
      </c>
      <c r="T171" s="507" t="str">
        <f t="shared" si="27"/>
        <v/>
      </c>
      <c r="U171" s="524" t="str">
        <f t="shared" si="28"/>
        <v/>
      </c>
      <c r="V171" s="523" t="str">
        <f t="shared" si="25"/>
        <v/>
      </c>
      <c r="W171" s="520" t="str">
        <f>IF(S171="","",VLOOKUP(S171,'G-1 All Habitats'!$B$2:$M$129,10,FALSE))</f>
        <v/>
      </c>
      <c r="X171" s="520" t="str">
        <f>IFERROR(VLOOKUP(W171,'G-1 All Habitats'!$V$3:$W$7,2,FALSE),"")</f>
        <v/>
      </c>
      <c r="Y171" s="203"/>
      <c r="Z171" s="524" t="str">
        <f>IFERROR(INDEX('G-8 Condition Look up'!$A$3:$H$130,MATCH(S171,'G-8 Condition Look up'!$A$3:$A$130,0),MATCH(Y171,'G-8 Condition Look up'!$A$3:$H$3,0)),"")</f>
        <v/>
      </c>
      <c r="AA171" s="145"/>
      <c r="AB171" s="540" t="str">
        <f>IF(AA171="","",IF(VLOOKUP(AA171,'G-3 Multipliers'!$L$3:$N$6,2,FALSE)=0,"Spatial Data Missing ⚠",VLOOKUP(AA171,'G-3 Multipliers'!$L$3:$N$6,2,FALSE)))</f>
        <v/>
      </c>
      <c r="AC171" s="524" t="str">
        <f>IF(AA171="","",IF(VLOOKUP(AA171,'G-3 Multipliers'!$L$3:$N$6,3,FALSE)=0,"Spatial Data Missing ⚠",VLOOKUP(AA171,'G-3 Multipliers'!$L$3:$N$6,3,FALSE)))</f>
        <v/>
      </c>
      <c r="AD171" s="537" t="str">
        <f t="shared" si="26"/>
        <v/>
      </c>
      <c r="AE171" s="203"/>
      <c r="AF171" s="203"/>
      <c r="AG171" s="520" t="str">
        <f t="shared" si="29"/>
        <v/>
      </c>
      <c r="AH171" s="544" t="str">
        <f t="shared" si="30"/>
        <v/>
      </c>
      <c r="AI171" s="525" t="str">
        <f>IF(AH171="Check Data ⚠","Check Data ⚠",IFERROR(VLOOKUP(AH171,'G-4 Temporal multipliers'!$A$4:$C$36,3,FALSE),""))</f>
        <v/>
      </c>
      <c r="AJ171" s="537" t="str">
        <f>IF(S171="","",VLOOKUP(S171,'G-3 Multipliers'!$A$2:$E$129,4,FALSE))</f>
        <v/>
      </c>
      <c r="AK171" s="520" t="str">
        <f t="shared" si="31"/>
        <v/>
      </c>
      <c r="AL171" s="520" t="str">
        <f t="shared" si="32"/>
        <v/>
      </c>
      <c r="AM171" s="524" t="str">
        <f>IFERROR(IF(F171="","",IF(AH171="Check Data ⚠","Check Data ⚠",VLOOKUP(AL171, 'G-3 Multipliers'!$P$2:$Q$6,2,FALSE))),"")</f>
        <v/>
      </c>
      <c r="AN171" s="197"/>
      <c r="AO171" s="540" t="str">
        <f>IF(AN171="","",IF(VLOOKUP(AN171,'G-3 Multipliers'!$S$3:$T$9,2,FALSE)=0,"Spatial Data Missing ⚠",VLOOKUP(AN171,'G-3 Multipliers'!$S$3:$T$9,2,FALSE)))</f>
        <v/>
      </c>
      <c r="AP171" s="513" t="str">
        <f t="shared" si="33"/>
        <v/>
      </c>
      <c r="AQ171" s="231"/>
      <c r="AR171" s="150"/>
    </row>
    <row r="172" spans="1:44" x14ac:dyDescent="0.3">
      <c r="A172" s="31" t="str">
        <f>IF(E172="","",IF(ISNA(VLOOKUP($E172,'D-1 Off Site Habitat Baseline'!$D$1:$O$258,2,FALSE)),"",(VLOOKUP($E172,'D-1 Off Site Habitat Baseline'!$D$1:$O$258,2,FALSE))))</f>
        <v/>
      </c>
      <c r="B172" s="31" t="str">
        <f>IF(E172="","",IF(ISNA(VLOOKUP($E172,'D-1 Off Site Habitat Baseline'!$D$1:$O$258,3,FALSE)),"",(VLOOKUP($E172,'D-1 Off Site Habitat Baseline'!$D$1:$O$258,3,FALSE))))</f>
        <v/>
      </c>
      <c r="C172" s="31" t="str">
        <f>IFERROR(INDEX('G-8 Condition Look up'!$I$4:$I$130,MATCH(S172,'G-8 Condition Look up'!$A$4:$A$130,0)),"")</f>
        <v/>
      </c>
      <c r="E172" s="547" t="str">
        <f>'D-1 Off Site Habitat Baseline'!AL171</f>
        <v/>
      </c>
      <c r="F172" s="520" t="str">
        <f>IF(E172="","",IF(ISNA(VLOOKUP($E172,'D-1 Off Site Habitat Baseline'!$D$1:$O$258,4,FALSE)),"",(VLOOKUP($E172,'D-1 Off Site Habitat Baseline'!$D$1:$O$258,4,FALSE))))</f>
        <v/>
      </c>
      <c r="G172" s="520" t="str">
        <f>IF(E172="","",IF(ISNA(VLOOKUP($E172,'D-1 Off Site Habitat Baseline'!$D$1:$O$258,5,FALSE)),"",(VLOOKUP($E172,'D-1 Off Site Habitat Baseline'!$D$1:$O$258,5,FALSE))))</f>
        <v/>
      </c>
      <c r="H172" s="520" t="str">
        <f>IF(E172="","",IF(ISNA(VLOOKUP($E172,'D-1 Off Site Habitat Baseline'!$D$1:$O$258,6,FALSE)),"",(VLOOKUP($E172,'D-1 Off Site Habitat Baseline'!$D$1:$O$258,6,FALSE))))</f>
        <v/>
      </c>
      <c r="I172" s="520" t="str">
        <f>IF(E172="","",IF(ISNA(VLOOKUP($E172,'D-1 Off Site Habitat Baseline'!$D$1:$O$258,7,FALSE)),"",(VLOOKUP($E172,'D-1 Off Site Habitat Baseline'!$D$1:$O$258,7,FALSE))))</f>
        <v/>
      </c>
      <c r="J172" s="520" t="str">
        <f>IF(E172="","",IF(ISNA(VLOOKUP($E172,'D-1 Off Site Habitat Baseline'!$D$1:$O$258,8,FALSE)),"",(VLOOKUP($E172,'D-1 Off Site Habitat Baseline'!$D$1:$O$258,8,FALSE))))</f>
        <v/>
      </c>
      <c r="K172" s="520" t="str">
        <f>IF(E172="","",IF(ISNA(VLOOKUP($E172,'D-1 Off Site Habitat Baseline'!$D$1:$O$258,9,FALSE)),"",(VLOOKUP($E172,'D-1 Off Site Habitat Baseline'!$D$1:$O$258,9,FALSE))))</f>
        <v/>
      </c>
      <c r="L172" s="520" t="str">
        <f>IF(E172="","",IF(ISNA(VLOOKUP($E172,'D-1 Off Site Habitat Baseline'!$D$1:$O$258,11,FALSE)),"",(VLOOKUP($E172,'D-1 Off Site Habitat Baseline'!$D$1:$O$258,11,FALSE))))</f>
        <v/>
      </c>
      <c r="M172" s="520" t="str">
        <f>IF(E172="","",IF(ISNA(VLOOKUP($E172,'D-1 Off Site Habitat Baseline'!$D$1:$O$258,12,FALSE)),"",(VLOOKUP($E172,'D-1 Off Site Habitat Baseline'!$D$1:$O$258,12,FALSE))))</f>
        <v/>
      </c>
      <c r="N172" s="520" t="str">
        <f>IF(E172="","",IF(ISNA(VLOOKUP($E172,'D-1 Off Site Habitat Baseline'!$D$1:$X$258,14,FALSE)),"",(VLOOKUP($E172,'D-1 Off Site Habitat Baseline'!$D$1:$X$258,14,FALSE))))</f>
        <v/>
      </c>
      <c r="O172" s="524" t="str">
        <f>IF(E172="","",IF(ISNA(VLOOKUP($E172,'D-1 Off Site Habitat Baseline'!$D$1:$X$258,13,FALSE)),"",(VLOOKUP($E172,'D-1 Off Site Habitat Baseline'!$D$1:$X$258,13,FALSE))))</f>
        <v/>
      </c>
      <c r="P172" s="232" t="str">
        <f>IFERROR(INDEX('G-1 All Habitats'!$AG$3:$AG$15,MATCH(Q172,'G-1 All Habitats'!$AF$3:$AF$15,0)),"")</f>
        <v/>
      </c>
      <c r="Q172" s="228" t="str">
        <f t="shared" si="34"/>
        <v/>
      </c>
      <c r="R172" s="229" t="str">
        <f t="shared" si="35"/>
        <v/>
      </c>
      <c r="S172" s="233" t="str">
        <f>IFERROR(INDEX('G-1 All Habitats'!$B$3:$B$129,MATCH(R172,'G-1 All Habitats'!$A$3:$A$129,0)),"")</f>
        <v/>
      </c>
      <c r="T172" s="507" t="str">
        <f t="shared" si="27"/>
        <v/>
      </c>
      <c r="U172" s="524" t="str">
        <f t="shared" si="28"/>
        <v/>
      </c>
      <c r="V172" s="523" t="str">
        <f t="shared" si="25"/>
        <v/>
      </c>
      <c r="W172" s="520" t="str">
        <f>IF(S172="","",VLOOKUP(S172,'G-1 All Habitats'!$B$2:$M$129,10,FALSE))</f>
        <v/>
      </c>
      <c r="X172" s="520" t="str">
        <f>IFERROR(VLOOKUP(W172,'G-1 All Habitats'!$V$3:$W$7,2,FALSE),"")</f>
        <v/>
      </c>
      <c r="Y172" s="203"/>
      <c r="Z172" s="524" t="str">
        <f>IFERROR(INDEX('G-8 Condition Look up'!$A$3:$H$130,MATCH(S172,'G-8 Condition Look up'!$A$3:$A$130,0),MATCH(Y172,'G-8 Condition Look up'!$A$3:$H$3,0)),"")</f>
        <v/>
      </c>
      <c r="AA172" s="145"/>
      <c r="AB172" s="540" t="str">
        <f>IF(AA172="","",IF(VLOOKUP(AA172,'G-3 Multipliers'!$L$3:$N$6,2,FALSE)=0,"Spatial Data Missing ⚠",VLOOKUP(AA172,'G-3 Multipliers'!$L$3:$N$6,2,FALSE)))</f>
        <v/>
      </c>
      <c r="AC172" s="524" t="str">
        <f>IF(AA172="","",IF(VLOOKUP(AA172,'G-3 Multipliers'!$L$3:$N$6,3,FALSE)=0,"Spatial Data Missing ⚠",VLOOKUP(AA172,'G-3 Multipliers'!$L$3:$N$6,3,FALSE)))</f>
        <v/>
      </c>
      <c r="AD172" s="537" t="str">
        <f t="shared" si="26"/>
        <v/>
      </c>
      <c r="AE172" s="203"/>
      <c r="AF172" s="203"/>
      <c r="AG172" s="520" t="str">
        <f t="shared" si="29"/>
        <v/>
      </c>
      <c r="AH172" s="544" t="str">
        <f t="shared" si="30"/>
        <v/>
      </c>
      <c r="AI172" s="525" t="str">
        <f>IF(AH172="Check Data ⚠","Check Data ⚠",IFERROR(VLOOKUP(AH172,'G-4 Temporal multipliers'!$A$4:$C$36,3,FALSE),""))</f>
        <v/>
      </c>
      <c r="AJ172" s="537" t="str">
        <f>IF(S172="","",VLOOKUP(S172,'G-3 Multipliers'!$A$2:$E$129,4,FALSE))</f>
        <v/>
      </c>
      <c r="AK172" s="520" t="str">
        <f t="shared" si="31"/>
        <v/>
      </c>
      <c r="AL172" s="520" t="str">
        <f t="shared" si="32"/>
        <v/>
      </c>
      <c r="AM172" s="524" t="str">
        <f>IFERROR(IF(F172="","",IF(AH172="Check Data ⚠","Check Data ⚠",VLOOKUP(AL172, 'G-3 Multipliers'!$P$2:$Q$6,2,FALSE))),"")</f>
        <v/>
      </c>
      <c r="AN172" s="197"/>
      <c r="AO172" s="540" t="str">
        <f>IF(AN172="","",IF(VLOOKUP(AN172,'G-3 Multipliers'!$S$3:$T$9,2,FALSE)=0,"Spatial Data Missing ⚠",VLOOKUP(AN172,'G-3 Multipliers'!$S$3:$T$9,2,FALSE)))</f>
        <v/>
      </c>
      <c r="AP172" s="513" t="str">
        <f t="shared" si="33"/>
        <v/>
      </c>
      <c r="AQ172" s="231"/>
      <c r="AR172" s="150"/>
    </row>
    <row r="173" spans="1:44" x14ac:dyDescent="0.3">
      <c r="A173" s="31" t="str">
        <f>IF(E173="","",IF(ISNA(VLOOKUP($E173,'D-1 Off Site Habitat Baseline'!$D$1:$O$258,2,FALSE)),"",(VLOOKUP($E173,'D-1 Off Site Habitat Baseline'!$D$1:$O$258,2,FALSE))))</f>
        <v/>
      </c>
      <c r="B173" s="31" t="str">
        <f>IF(E173="","",IF(ISNA(VLOOKUP($E173,'D-1 Off Site Habitat Baseline'!$D$1:$O$258,3,FALSE)),"",(VLOOKUP($E173,'D-1 Off Site Habitat Baseline'!$D$1:$O$258,3,FALSE))))</f>
        <v/>
      </c>
      <c r="C173" s="31" t="str">
        <f>IFERROR(INDEX('G-8 Condition Look up'!$I$4:$I$130,MATCH(S173,'G-8 Condition Look up'!$A$4:$A$130,0)),"")</f>
        <v/>
      </c>
      <c r="E173" s="547" t="str">
        <f>'D-1 Off Site Habitat Baseline'!AL172</f>
        <v/>
      </c>
      <c r="F173" s="520" t="str">
        <f>IF(E173="","",IF(ISNA(VLOOKUP($E173,'D-1 Off Site Habitat Baseline'!$D$1:$O$258,4,FALSE)),"",(VLOOKUP($E173,'D-1 Off Site Habitat Baseline'!$D$1:$O$258,4,FALSE))))</f>
        <v/>
      </c>
      <c r="G173" s="520" t="str">
        <f>IF(E173="","",IF(ISNA(VLOOKUP($E173,'D-1 Off Site Habitat Baseline'!$D$1:$O$258,5,FALSE)),"",(VLOOKUP($E173,'D-1 Off Site Habitat Baseline'!$D$1:$O$258,5,FALSE))))</f>
        <v/>
      </c>
      <c r="H173" s="520" t="str">
        <f>IF(E173="","",IF(ISNA(VLOOKUP($E173,'D-1 Off Site Habitat Baseline'!$D$1:$O$258,6,FALSE)),"",(VLOOKUP($E173,'D-1 Off Site Habitat Baseline'!$D$1:$O$258,6,FALSE))))</f>
        <v/>
      </c>
      <c r="I173" s="520" t="str">
        <f>IF(E173="","",IF(ISNA(VLOOKUP($E173,'D-1 Off Site Habitat Baseline'!$D$1:$O$258,7,FALSE)),"",(VLOOKUP($E173,'D-1 Off Site Habitat Baseline'!$D$1:$O$258,7,FALSE))))</f>
        <v/>
      </c>
      <c r="J173" s="520" t="str">
        <f>IF(E173="","",IF(ISNA(VLOOKUP($E173,'D-1 Off Site Habitat Baseline'!$D$1:$O$258,8,FALSE)),"",(VLOOKUP($E173,'D-1 Off Site Habitat Baseline'!$D$1:$O$258,8,FALSE))))</f>
        <v/>
      </c>
      <c r="K173" s="520" t="str">
        <f>IF(E173="","",IF(ISNA(VLOOKUP($E173,'D-1 Off Site Habitat Baseline'!$D$1:$O$258,9,FALSE)),"",(VLOOKUP($E173,'D-1 Off Site Habitat Baseline'!$D$1:$O$258,9,FALSE))))</f>
        <v/>
      </c>
      <c r="L173" s="520" t="str">
        <f>IF(E173="","",IF(ISNA(VLOOKUP($E173,'D-1 Off Site Habitat Baseline'!$D$1:$O$258,11,FALSE)),"",(VLOOKUP($E173,'D-1 Off Site Habitat Baseline'!$D$1:$O$258,11,FALSE))))</f>
        <v/>
      </c>
      <c r="M173" s="520" t="str">
        <f>IF(E173="","",IF(ISNA(VLOOKUP($E173,'D-1 Off Site Habitat Baseline'!$D$1:$O$258,12,FALSE)),"",(VLOOKUP($E173,'D-1 Off Site Habitat Baseline'!$D$1:$O$258,12,FALSE))))</f>
        <v/>
      </c>
      <c r="N173" s="520" t="str">
        <f>IF(E173="","",IF(ISNA(VLOOKUP($E173,'D-1 Off Site Habitat Baseline'!$D$1:$X$258,14,FALSE)),"",(VLOOKUP($E173,'D-1 Off Site Habitat Baseline'!$D$1:$X$258,14,FALSE))))</f>
        <v/>
      </c>
      <c r="O173" s="524" t="str">
        <f>IF(E173="","",IF(ISNA(VLOOKUP($E173,'D-1 Off Site Habitat Baseline'!$D$1:$X$258,13,FALSE)),"",(VLOOKUP($E173,'D-1 Off Site Habitat Baseline'!$D$1:$X$258,13,FALSE))))</f>
        <v/>
      </c>
      <c r="P173" s="232" t="str">
        <f>IFERROR(INDEX('G-1 All Habitats'!$AG$3:$AG$15,MATCH(Q173,'G-1 All Habitats'!$AF$3:$AF$15,0)),"")</f>
        <v/>
      </c>
      <c r="Q173" s="228" t="str">
        <f t="shared" si="34"/>
        <v/>
      </c>
      <c r="R173" s="229" t="str">
        <f t="shared" si="35"/>
        <v/>
      </c>
      <c r="S173" s="233" t="str">
        <f>IFERROR(INDEX('G-1 All Habitats'!$B$3:$B$129,MATCH(R173,'G-1 All Habitats'!$A$3:$A$129,0)),"")</f>
        <v/>
      </c>
      <c r="T173" s="507" t="str">
        <f t="shared" si="27"/>
        <v/>
      </c>
      <c r="U173" s="524" t="str">
        <f t="shared" si="28"/>
        <v/>
      </c>
      <c r="V173" s="523" t="str">
        <f t="shared" si="25"/>
        <v/>
      </c>
      <c r="W173" s="520" t="str">
        <f>IF(S173="","",VLOOKUP(S173,'G-1 All Habitats'!$B$2:$M$129,10,FALSE))</f>
        <v/>
      </c>
      <c r="X173" s="520" t="str">
        <f>IFERROR(VLOOKUP(W173,'G-1 All Habitats'!$V$3:$W$7,2,FALSE),"")</f>
        <v/>
      </c>
      <c r="Y173" s="203"/>
      <c r="Z173" s="524" t="str">
        <f>IFERROR(INDEX('G-8 Condition Look up'!$A$3:$H$130,MATCH(S173,'G-8 Condition Look up'!$A$3:$A$130,0),MATCH(Y173,'G-8 Condition Look up'!$A$3:$H$3,0)),"")</f>
        <v/>
      </c>
      <c r="AA173" s="145"/>
      <c r="AB173" s="540" t="str">
        <f>IF(AA173="","",IF(VLOOKUP(AA173,'G-3 Multipliers'!$L$3:$N$6,2,FALSE)=0,"Spatial Data Missing ⚠",VLOOKUP(AA173,'G-3 Multipliers'!$L$3:$N$6,2,FALSE)))</f>
        <v/>
      </c>
      <c r="AC173" s="524" t="str">
        <f>IF(AA173="","",IF(VLOOKUP(AA173,'G-3 Multipliers'!$L$3:$N$6,3,FALSE)=0,"Spatial Data Missing ⚠",VLOOKUP(AA173,'G-3 Multipliers'!$L$3:$N$6,3,FALSE)))</f>
        <v/>
      </c>
      <c r="AD173" s="537" t="str">
        <f t="shared" si="26"/>
        <v/>
      </c>
      <c r="AE173" s="203"/>
      <c r="AF173" s="203"/>
      <c r="AG173" s="520" t="str">
        <f t="shared" si="29"/>
        <v/>
      </c>
      <c r="AH173" s="544" t="str">
        <f t="shared" si="30"/>
        <v/>
      </c>
      <c r="AI173" s="525" t="str">
        <f>IF(AH173="Check Data ⚠","Check Data ⚠",IFERROR(VLOOKUP(AH173,'G-4 Temporal multipliers'!$A$4:$C$36,3,FALSE),""))</f>
        <v/>
      </c>
      <c r="AJ173" s="537" t="str">
        <f>IF(S173="","",VLOOKUP(S173,'G-3 Multipliers'!$A$2:$E$129,4,FALSE))</f>
        <v/>
      </c>
      <c r="AK173" s="520" t="str">
        <f t="shared" si="31"/>
        <v/>
      </c>
      <c r="AL173" s="520" t="str">
        <f t="shared" si="32"/>
        <v/>
      </c>
      <c r="AM173" s="524" t="str">
        <f>IFERROR(IF(F173="","",IF(AH173="Check Data ⚠","Check Data ⚠",VLOOKUP(AL173, 'G-3 Multipliers'!$P$2:$Q$6,2,FALSE))),"")</f>
        <v/>
      </c>
      <c r="AN173" s="197"/>
      <c r="AO173" s="540" t="str">
        <f>IF(AN173="","",IF(VLOOKUP(AN173,'G-3 Multipliers'!$S$3:$T$9,2,FALSE)=0,"Spatial Data Missing ⚠",VLOOKUP(AN173,'G-3 Multipliers'!$S$3:$T$9,2,FALSE)))</f>
        <v/>
      </c>
      <c r="AP173" s="513" t="str">
        <f t="shared" si="33"/>
        <v/>
      </c>
      <c r="AQ173" s="231"/>
      <c r="AR173" s="150"/>
    </row>
    <row r="174" spans="1:44" x14ac:dyDescent="0.3">
      <c r="A174" s="31" t="str">
        <f>IF(E174="","",IF(ISNA(VLOOKUP($E174,'D-1 Off Site Habitat Baseline'!$D$1:$O$258,2,FALSE)),"",(VLOOKUP($E174,'D-1 Off Site Habitat Baseline'!$D$1:$O$258,2,FALSE))))</f>
        <v/>
      </c>
      <c r="B174" s="31" t="str">
        <f>IF(E174="","",IF(ISNA(VLOOKUP($E174,'D-1 Off Site Habitat Baseline'!$D$1:$O$258,3,FALSE)),"",(VLOOKUP($E174,'D-1 Off Site Habitat Baseline'!$D$1:$O$258,3,FALSE))))</f>
        <v/>
      </c>
      <c r="C174" s="31" t="str">
        <f>IFERROR(INDEX('G-8 Condition Look up'!$I$4:$I$130,MATCH(S174,'G-8 Condition Look up'!$A$4:$A$130,0)),"")</f>
        <v/>
      </c>
      <c r="E174" s="547" t="str">
        <f>'D-1 Off Site Habitat Baseline'!AL173</f>
        <v/>
      </c>
      <c r="F174" s="520" t="str">
        <f>IF(E174="","",IF(ISNA(VLOOKUP($E174,'D-1 Off Site Habitat Baseline'!$D$1:$O$258,4,FALSE)),"",(VLOOKUP($E174,'D-1 Off Site Habitat Baseline'!$D$1:$O$258,4,FALSE))))</f>
        <v/>
      </c>
      <c r="G174" s="520" t="str">
        <f>IF(E174="","",IF(ISNA(VLOOKUP($E174,'D-1 Off Site Habitat Baseline'!$D$1:$O$258,5,FALSE)),"",(VLOOKUP($E174,'D-1 Off Site Habitat Baseline'!$D$1:$O$258,5,FALSE))))</f>
        <v/>
      </c>
      <c r="H174" s="520" t="str">
        <f>IF(E174="","",IF(ISNA(VLOOKUP($E174,'D-1 Off Site Habitat Baseline'!$D$1:$O$258,6,FALSE)),"",(VLOOKUP($E174,'D-1 Off Site Habitat Baseline'!$D$1:$O$258,6,FALSE))))</f>
        <v/>
      </c>
      <c r="I174" s="520" t="str">
        <f>IF(E174="","",IF(ISNA(VLOOKUP($E174,'D-1 Off Site Habitat Baseline'!$D$1:$O$258,7,FALSE)),"",(VLOOKUP($E174,'D-1 Off Site Habitat Baseline'!$D$1:$O$258,7,FALSE))))</f>
        <v/>
      </c>
      <c r="J174" s="520" t="str">
        <f>IF(E174="","",IF(ISNA(VLOOKUP($E174,'D-1 Off Site Habitat Baseline'!$D$1:$O$258,8,FALSE)),"",(VLOOKUP($E174,'D-1 Off Site Habitat Baseline'!$D$1:$O$258,8,FALSE))))</f>
        <v/>
      </c>
      <c r="K174" s="520" t="str">
        <f>IF(E174="","",IF(ISNA(VLOOKUP($E174,'D-1 Off Site Habitat Baseline'!$D$1:$O$258,9,FALSE)),"",(VLOOKUP($E174,'D-1 Off Site Habitat Baseline'!$D$1:$O$258,9,FALSE))))</f>
        <v/>
      </c>
      <c r="L174" s="520" t="str">
        <f>IF(E174="","",IF(ISNA(VLOOKUP($E174,'D-1 Off Site Habitat Baseline'!$D$1:$O$258,11,FALSE)),"",(VLOOKUP($E174,'D-1 Off Site Habitat Baseline'!$D$1:$O$258,11,FALSE))))</f>
        <v/>
      </c>
      <c r="M174" s="520" t="str">
        <f>IF(E174="","",IF(ISNA(VLOOKUP($E174,'D-1 Off Site Habitat Baseline'!$D$1:$O$258,12,FALSE)),"",(VLOOKUP($E174,'D-1 Off Site Habitat Baseline'!$D$1:$O$258,12,FALSE))))</f>
        <v/>
      </c>
      <c r="N174" s="520" t="str">
        <f>IF(E174="","",IF(ISNA(VLOOKUP($E174,'D-1 Off Site Habitat Baseline'!$D$1:$X$258,14,FALSE)),"",(VLOOKUP($E174,'D-1 Off Site Habitat Baseline'!$D$1:$X$258,14,FALSE))))</f>
        <v/>
      </c>
      <c r="O174" s="524" t="str">
        <f>IF(E174="","",IF(ISNA(VLOOKUP($E174,'D-1 Off Site Habitat Baseline'!$D$1:$X$258,13,FALSE)),"",(VLOOKUP($E174,'D-1 Off Site Habitat Baseline'!$D$1:$X$258,13,FALSE))))</f>
        <v/>
      </c>
      <c r="P174" s="232" t="str">
        <f>IFERROR(INDEX('G-1 All Habitats'!$AG$3:$AG$15,MATCH(Q174,'G-1 All Habitats'!$AF$3:$AF$15,0)),"")</f>
        <v/>
      </c>
      <c r="Q174" s="228" t="str">
        <f t="shared" si="34"/>
        <v/>
      </c>
      <c r="R174" s="229" t="str">
        <f t="shared" si="35"/>
        <v/>
      </c>
      <c r="S174" s="233" t="str">
        <f>IFERROR(INDEX('G-1 All Habitats'!$B$3:$B$129,MATCH(R174,'G-1 All Habitats'!$A$3:$A$129,0)),"")</f>
        <v/>
      </c>
      <c r="T174" s="507" t="str">
        <f t="shared" si="27"/>
        <v/>
      </c>
      <c r="U174" s="524" t="str">
        <f t="shared" si="28"/>
        <v/>
      </c>
      <c r="V174" s="523" t="str">
        <f t="shared" si="25"/>
        <v/>
      </c>
      <c r="W174" s="520" t="str">
        <f>IF(S174="","",VLOOKUP(S174,'G-1 All Habitats'!$B$2:$M$129,10,FALSE))</f>
        <v/>
      </c>
      <c r="X174" s="520" t="str">
        <f>IFERROR(VLOOKUP(W174,'G-1 All Habitats'!$V$3:$W$7,2,FALSE),"")</f>
        <v/>
      </c>
      <c r="Y174" s="203"/>
      <c r="Z174" s="524" t="str">
        <f>IFERROR(INDEX('G-8 Condition Look up'!$A$3:$H$130,MATCH(S174,'G-8 Condition Look up'!$A$3:$A$130,0),MATCH(Y174,'G-8 Condition Look up'!$A$3:$H$3,0)),"")</f>
        <v/>
      </c>
      <c r="AA174" s="145"/>
      <c r="AB174" s="540" t="str">
        <f>IF(AA174="","",IF(VLOOKUP(AA174,'G-3 Multipliers'!$L$3:$N$6,2,FALSE)=0,"Spatial Data Missing ⚠",VLOOKUP(AA174,'G-3 Multipliers'!$L$3:$N$6,2,FALSE)))</f>
        <v/>
      </c>
      <c r="AC174" s="524" t="str">
        <f>IF(AA174="","",IF(VLOOKUP(AA174,'G-3 Multipliers'!$L$3:$N$6,3,FALSE)=0,"Spatial Data Missing ⚠",VLOOKUP(AA174,'G-3 Multipliers'!$L$3:$N$6,3,FALSE)))</f>
        <v/>
      </c>
      <c r="AD174" s="537" t="str">
        <f t="shared" si="26"/>
        <v/>
      </c>
      <c r="AE174" s="203"/>
      <c r="AF174" s="203"/>
      <c r="AG174" s="520" t="str">
        <f t="shared" si="29"/>
        <v/>
      </c>
      <c r="AH174" s="544" t="str">
        <f t="shared" si="30"/>
        <v/>
      </c>
      <c r="AI174" s="525" t="str">
        <f>IF(AH174="Check Data ⚠","Check Data ⚠",IFERROR(VLOOKUP(AH174,'G-4 Temporal multipliers'!$A$4:$C$36,3,FALSE),""))</f>
        <v/>
      </c>
      <c r="AJ174" s="537" t="str">
        <f>IF(S174="","",VLOOKUP(S174,'G-3 Multipliers'!$A$2:$E$129,4,FALSE))</f>
        <v/>
      </c>
      <c r="AK174" s="520" t="str">
        <f t="shared" si="31"/>
        <v/>
      </c>
      <c r="AL174" s="520" t="str">
        <f t="shared" si="32"/>
        <v/>
      </c>
      <c r="AM174" s="524" t="str">
        <f>IFERROR(IF(F174="","",IF(AH174="Check Data ⚠","Check Data ⚠",VLOOKUP(AL174, 'G-3 Multipliers'!$P$2:$Q$6,2,FALSE))),"")</f>
        <v/>
      </c>
      <c r="AN174" s="197"/>
      <c r="AO174" s="540" t="str">
        <f>IF(AN174="","",IF(VLOOKUP(AN174,'G-3 Multipliers'!$S$3:$T$9,2,FALSE)=0,"Spatial Data Missing ⚠",VLOOKUP(AN174,'G-3 Multipliers'!$S$3:$T$9,2,FALSE)))</f>
        <v/>
      </c>
      <c r="AP174" s="513" t="str">
        <f t="shared" si="33"/>
        <v/>
      </c>
      <c r="AQ174" s="231"/>
      <c r="AR174" s="150"/>
    </row>
    <row r="175" spans="1:44" x14ac:dyDescent="0.3">
      <c r="A175" s="31" t="str">
        <f>IF(E175="","",IF(ISNA(VLOOKUP($E175,'D-1 Off Site Habitat Baseline'!$D$1:$O$258,2,FALSE)),"",(VLOOKUP($E175,'D-1 Off Site Habitat Baseline'!$D$1:$O$258,2,FALSE))))</f>
        <v/>
      </c>
      <c r="B175" s="31" t="str">
        <f>IF(E175="","",IF(ISNA(VLOOKUP($E175,'D-1 Off Site Habitat Baseline'!$D$1:$O$258,3,FALSE)),"",(VLOOKUP($E175,'D-1 Off Site Habitat Baseline'!$D$1:$O$258,3,FALSE))))</f>
        <v/>
      </c>
      <c r="C175" s="31" t="str">
        <f>IFERROR(INDEX('G-8 Condition Look up'!$I$4:$I$130,MATCH(S175,'G-8 Condition Look up'!$A$4:$A$130,0)),"")</f>
        <v/>
      </c>
      <c r="E175" s="547" t="str">
        <f>'D-1 Off Site Habitat Baseline'!AL174</f>
        <v/>
      </c>
      <c r="F175" s="520" t="str">
        <f>IF(E175="","",IF(ISNA(VLOOKUP($E175,'D-1 Off Site Habitat Baseline'!$D$1:$O$258,4,FALSE)),"",(VLOOKUP($E175,'D-1 Off Site Habitat Baseline'!$D$1:$O$258,4,FALSE))))</f>
        <v/>
      </c>
      <c r="G175" s="520" t="str">
        <f>IF(E175="","",IF(ISNA(VLOOKUP($E175,'D-1 Off Site Habitat Baseline'!$D$1:$O$258,5,FALSE)),"",(VLOOKUP($E175,'D-1 Off Site Habitat Baseline'!$D$1:$O$258,5,FALSE))))</f>
        <v/>
      </c>
      <c r="H175" s="520" t="str">
        <f>IF(E175="","",IF(ISNA(VLOOKUP($E175,'D-1 Off Site Habitat Baseline'!$D$1:$O$258,6,FALSE)),"",(VLOOKUP($E175,'D-1 Off Site Habitat Baseline'!$D$1:$O$258,6,FALSE))))</f>
        <v/>
      </c>
      <c r="I175" s="520" t="str">
        <f>IF(E175="","",IF(ISNA(VLOOKUP($E175,'D-1 Off Site Habitat Baseline'!$D$1:$O$258,7,FALSE)),"",(VLOOKUP($E175,'D-1 Off Site Habitat Baseline'!$D$1:$O$258,7,FALSE))))</f>
        <v/>
      </c>
      <c r="J175" s="520" t="str">
        <f>IF(E175="","",IF(ISNA(VLOOKUP($E175,'D-1 Off Site Habitat Baseline'!$D$1:$O$258,8,FALSE)),"",(VLOOKUP($E175,'D-1 Off Site Habitat Baseline'!$D$1:$O$258,8,FALSE))))</f>
        <v/>
      </c>
      <c r="K175" s="520" t="str">
        <f>IF(E175="","",IF(ISNA(VLOOKUP($E175,'D-1 Off Site Habitat Baseline'!$D$1:$O$258,9,FALSE)),"",(VLOOKUP($E175,'D-1 Off Site Habitat Baseline'!$D$1:$O$258,9,FALSE))))</f>
        <v/>
      </c>
      <c r="L175" s="520" t="str">
        <f>IF(E175="","",IF(ISNA(VLOOKUP($E175,'D-1 Off Site Habitat Baseline'!$D$1:$O$258,11,FALSE)),"",(VLOOKUP($E175,'D-1 Off Site Habitat Baseline'!$D$1:$O$258,11,FALSE))))</f>
        <v/>
      </c>
      <c r="M175" s="520" t="str">
        <f>IF(E175="","",IF(ISNA(VLOOKUP($E175,'D-1 Off Site Habitat Baseline'!$D$1:$O$258,12,FALSE)),"",(VLOOKUP($E175,'D-1 Off Site Habitat Baseline'!$D$1:$O$258,12,FALSE))))</f>
        <v/>
      </c>
      <c r="N175" s="520" t="str">
        <f>IF(E175="","",IF(ISNA(VLOOKUP($E175,'D-1 Off Site Habitat Baseline'!$D$1:$X$258,14,FALSE)),"",(VLOOKUP($E175,'D-1 Off Site Habitat Baseline'!$D$1:$X$258,14,FALSE))))</f>
        <v/>
      </c>
      <c r="O175" s="524" t="str">
        <f>IF(E175="","",IF(ISNA(VLOOKUP($E175,'D-1 Off Site Habitat Baseline'!$D$1:$X$258,13,FALSE)),"",(VLOOKUP($E175,'D-1 Off Site Habitat Baseline'!$D$1:$X$258,13,FALSE))))</f>
        <v/>
      </c>
      <c r="P175" s="232" t="str">
        <f>IFERROR(INDEX('G-1 All Habitats'!$AG$3:$AG$15,MATCH(Q175,'G-1 All Habitats'!$AF$3:$AF$15,0)),"")</f>
        <v/>
      </c>
      <c r="Q175" s="228" t="str">
        <f t="shared" si="34"/>
        <v/>
      </c>
      <c r="R175" s="229" t="str">
        <f t="shared" si="35"/>
        <v/>
      </c>
      <c r="S175" s="233" t="str">
        <f>IFERROR(INDEX('G-1 All Habitats'!$B$3:$B$129,MATCH(R175,'G-1 All Habitats'!$A$3:$A$129,0)),"")</f>
        <v/>
      </c>
      <c r="T175" s="507" t="str">
        <f t="shared" si="27"/>
        <v/>
      </c>
      <c r="U175" s="524" t="str">
        <f t="shared" si="28"/>
        <v/>
      </c>
      <c r="V175" s="523" t="str">
        <f t="shared" si="25"/>
        <v/>
      </c>
      <c r="W175" s="520" t="str">
        <f>IF(S175="","",VLOOKUP(S175,'G-1 All Habitats'!$B$2:$M$129,10,FALSE))</f>
        <v/>
      </c>
      <c r="X175" s="520" t="str">
        <f>IFERROR(VLOOKUP(W175,'G-1 All Habitats'!$V$3:$W$7,2,FALSE),"")</f>
        <v/>
      </c>
      <c r="Y175" s="203"/>
      <c r="Z175" s="524" t="str">
        <f>IFERROR(INDEX('G-8 Condition Look up'!$A$3:$H$130,MATCH(S175,'G-8 Condition Look up'!$A$3:$A$130,0),MATCH(Y175,'G-8 Condition Look up'!$A$3:$H$3,0)),"")</f>
        <v/>
      </c>
      <c r="AA175" s="145"/>
      <c r="AB175" s="540" t="str">
        <f>IF(AA175="","",IF(VLOOKUP(AA175,'G-3 Multipliers'!$L$3:$N$6,2,FALSE)=0,"Spatial Data Missing ⚠",VLOOKUP(AA175,'G-3 Multipliers'!$L$3:$N$6,2,FALSE)))</f>
        <v/>
      </c>
      <c r="AC175" s="524" t="str">
        <f>IF(AA175="","",IF(VLOOKUP(AA175,'G-3 Multipliers'!$L$3:$N$6,3,FALSE)=0,"Spatial Data Missing ⚠",VLOOKUP(AA175,'G-3 Multipliers'!$L$3:$N$6,3,FALSE)))</f>
        <v/>
      </c>
      <c r="AD175" s="537" t="str">
        <f t="shared" si="26"/>
        <v/>
      </c>
      <c r="AE175" s="203"/>
      <c r="AF175" s="203"/>
      <c r="AG175" s="520" t="str">
        <f t="shared" si="29"/>
        <v/>
      </c>
      <c r="AH175" s="544" t="str">
        <f t="shared" si="30"/>
        <v/>
      </c>
      <c r="AI175" s="525" t="str">
        <f>IF(AH175="Check Data ⚠","Check Data ⚠",IFERROR(VLOOKUP(AH175,'G-4 Temporal multipliers'!$A$4:$C$36,3,FALSE),""))</f>
        <v/>
      </c>
      <c r="AJ175" s="537" t="str">
        <f>IF(S175="","",VLOOKUP(S175,'G-3 Multipliers'!$A$2:$E$129,4,FALSE))</f>
        <v/>
      </c>
      <c r="AK175" s="520" t="str">
        <f t="shared" si="31"/>
        <v/>
      </c>
      <c r="AL175" s="520" t="str">
        <f t="shared" si="32"/>
        <v/>
      </c>
      <c r="AM175" s="524" t="str">
        <f>IFERROR(IF(F175="","",IF(AH175="Check Data ⚠","Check Data ⚠",VLOOKUP(AL175, 'G-3 Multipliers'!$P$2:$Q$6,2,FALSE))),"")</f>
        <v/>
      </c>
      <c r="AN175" s="197"/>
      <c r="AO175" s="540" t="str">
        <f>IF(AN175="","",IF(VLOOKUP(AN175,'G-3 Multipliers'!$S$3:$T$9,2,FALSE)=0,"Spatial Data Missing ⚠",VLOOKUP(AN175,'G-3 Multipliers'!$S$3:$T$9,2,FALSE)))</f>
        <v/>
      </c>
      <c r="AP175" s="513" t="str">
        <f t="shared" si="33"/>
        <v/>
      </c>
      <c r="AQ175" s="231"/>
      <c r="AR175" s="150"/>
    </row>
    <row r="176" spans="1:44" x14ac:dyDescent="0.3">
      <c r="A176" s="31" t="str">
        <f>IF(E176="","",IF(ISNA(VLOOKUP($E176,'D-1 Off Site Habitat Baseline'!$D$1:$O$258,2,FALSE)),"",(VLOOKUP($E176,'D-1 Off Site Habitat Baseline'!$D$1:$O$258,2,FALSE))))</f>
        <v/>
      </c>
      <c r="B176" s="31" t="str">
        <f>IF(E176="","",IF(ISNA(VLOOKUP($E176,'D-1 Off Site Habitat Baseline'!$D$1:$O$258,3,FALSE)),"",(VLOOKUP($E176,'D-1 Off Site Habitat Baseline'!$D$1:$O$258,3,FALSE))))</f>
        <v/>
      </c>
      <c r="C176" s="31" t="str">
        <f>IFERROR(INDEX('G-8 Condition Look up'!$I$4:$I$130,MATCH(S176,'G-8 Condition Look up'!$A$4:$A$130,0)),"")</f>
        <v/>
      </c>
      <c r="E176" s="547" t="str">
        <f>'D-1 Off Site Habitat Baseline'!AL175</f>
        <v/>
      </c>
      <c r="F176" s="520" t="str">
        <f>IF(E176="","",IF(ISNA(VLOOKUP($E176,'D-1 Off Site Habitat Baseline'!$D$1:$O$258,4,FALSE)),"",(VLOOKUP($E176,'D-1 Off Site Habitat Baseline'!$D$1:$O$258,4,FALSE))))</f>
        <v/>
      </c>
      <c r="G176" s="520" t="str">
        <f>IF(E176="","",IF(ISNA(VLOOKUP($E176,'D-1 Off Site Habitat Baseline'!$D$1:$O$258,5,FALSE)),"",(VLOOKUP($E176,'D-1 Off Site Habitat Baseline'!$D$1:$O$258,5,FALSE))))</f>
        <v/>
      </c>
      <c r="H176" s="520" t="str">
        <f>IF(E176="","",IF(ISNA(VLOOKUP($E176,'D-1 Off Site Habitat Baseline'!$D$1:$O$258,6,FALSE)),"",(VLOOKUP($E176,'D-1 Off Site Habitat Baseline'!$D$1:$O$258,6,FALSE))))</f>
        <v/>
      </c>
      <c r="I176" s="520" t="str">
        <f>IF(E176="","",IF(ISNA(VLOOKUP($E176,'D-1 Off Site Habitat Baseline'!$D$1:$O$258,7,FALSE)),"",(VLOOKUP($E176,'D-1 Off Site Habitat Baseline'!$D$1:$O$258,7,FALSE))))</f>
        <v/>
      </c>
      <c r="J176" s="520" t="str">
        <f>IF(E176="","",IF(ISNA(VLOOKUP($E176,'D-1 Off Site Habitat Baseline'!$D$1:$O$258,8,FALSE)),"",(VLOOKUP($E176,'D-1 Off Site Habitat Baseline'!$D$1:$O$258,8,FALSE))))</f>
        <v/>
      </c>
      <c r="K176" s="520" t="str">
        <f>IF(E176="","",IF(ISNA(VLOOKUP($E176,'D-1 Off Site Habitat Baseline'!$D$1:$O$258,9,FALSE)),"",(VLOOKUP($E176,'D-1 Off Site Habitat Baseline'!$D$1:$O$258,9,FALSE))))</f>
        <v/>
      </c>
      <c r="L176" s="520" t="str">
        <f>IF(E176="","",IF(ISNA(VLOOKUP($E176,'D-1 Off Site Habitat Baseline'!$D$1:$O$258,11,FALSE)),"",(VLOOKUP($E176,'D-1 Off Site Habitat Baseline'!$D$1:$O$258,11,FALSE))))</f>
        <v/>
      </c>
      <c r="M176" s="520" t="str">
        <f>IF(E176="","",IF(ISNA(VLOOKUP($E176,'D-1 Off Site Habitat Baseline'!$D$1:$O$258,12,FALSE)),"",(VLOOKUP($E176,'D-1 Off Site Habitat Baseline'!$D$1:$O$258,12,FALSE))))</f>
        <v/>
      </c>
      <c r="N176" s="520" t="str">
        <f>IF(E176="","",IF(ISNA(VLOOKUP($E176,'D-1 Off Site Habitat Baseline'!$D$1:$X$258,14,FALSE)),"",(VLOOKUP($E176,'D-1 Off Site Habitat Baseline'!$D$1:$X$258,14,FALSE))))</f>
        <v/>
      </c>
      <c r="O176" s="524" t="str">
        <f>IF(E176="","",IF(ISNA(VLOOKUP($E176,'D-1 Off Site Habitat Baseline'!$D$1:$X$258,13,FALSE)),"",(VLOOKUP($E176,'D-1 Off Site Habitat Baseline'!$D$1:$X$258,13,FALSE))))</f>
        <v/>
      </c>
      <c r="P176" s="232" t="str">
        <f>IFERROR(INDEX('G-1 All Habitats'!$AG$3:$AG$15,MATCH(Q176,'G-1 All Habitats'!$AF$3:$AF$15,0)),"")</f>
        <v/>
      </c>
      <c r="Q176" s="228" t="str">
        <f t="shared" si="34"/>
        <v/>
      </c>
      <c r="R176" s="229" t="str">
        <f t="shared" si="35"/>
        <v/>
      </c>
      <c r="S176" s="233" t="str">
        <f>IFERROR(INDEX('G-1 All Habitats'!$B$3:$B$129,MATCH(R176,'G-1 All Habitats'!$A$3:$A$129,0)),"")</f>
        <v/>
      </c>
      <c r="T176" s="507" t="str">
        <f t="shared" si="27"/>
        <v/>
      </c>
      <c r="U176" s="524" t="str">
        <f t="shared" si="28"/>
        <v/>
      </c>
      <c r="V176" s="523" t="str">
        <f t="shared" si="25"/>
        <v/>
      </c>
      <c r="W176" s="520" t="str">
        <f>IF(S176="","",VLOOKUP(S176,'G-1 All Habitats'!$B$2:$M$129,10,FALSE))</f>
        <v/>
      </c>
      <c r="X176" s="520" t="str">
        <f>IFERROR(VLOOKUP(W176,'G-1 All Habitats'!$V$3:$W$7,2,FALSE),"")</f>
        <v/>
      </c>
      <c r="Y176" s="203"/>
      <c r="Z176" s="524" t="str">
        <f>IFERROR(INDEX('G-8 Condition Look up'!$A$3:$H$130,MATCH(S176,'G-8 Condition Look up'!$A$3:$A$130,0),MATCH(Y176,'G-8 Condition Look up'!$A$3:$H$3,0)),"")</f>
        <v/>
      </c>
      <c r="AA176" s="145"/>
      <c r="AB176" s="540" t="str">
        <f>IF(AA176="","",IF(VLOOKUP(AA176,'G-3 Multipliers'!$L$3:$N$6,2,FALSE)=0,"Spatial Data Missing ⚠",VLOOKUP(AA176,'G-3 Multipliers'!$L$3:$N$6,2,FALSE)))</f>
        <v/>
      </c>
      <c r="AC176" s="524" t="str">
        <f>IF(AA176="","",IF(VLOOKUP(AA176,'G-3 Multipliers'!$L$3:$N$6,3,FALSE)=0,"Spatial Data Missing ⚠",VLOOKUP(AA176,'G-3 Multipliers'!$L$3:$N$6,3,FALSE)))</f>
        <v/>
      </c>
      <c r="AD176" s="537" t="str">
        <f t="shared" si="26"/>
        <v/>
      </c>
      <c r="AE176" s="203"/>
      <c r="AF176" s="203"/>
      <c r="AG176" s="520" t="str">
        <f t="shared" si="29"/>
        <v/>
      </c>
      <c r="AH176" s="544" t="str">
        <f t="shared" si="30"/>
        <v/>
      </c>
      <c r="AI176" s="525" t="str">
        <f>IF(AH176="Check Data ⚠","Check Data ⚠",IFERROR(VLOOKUP(AH176,'G-4 Temporal multipliers'!$A$4:$C$36,3,FALSE),""))</f>
        <v/>
      </c>
      <c r="AJ176" s="537" t="str">
        <f>IF(S176="","",VLOOKUP(S176,'G-3 Multipliers'!$A$2:$E$129,4,FALSE))</f>
        <v/>
      </c>
      <c r="AK176" s="520" t="str">
        <f t="shared" si="31"/>
        <v/>
      </c>
      <c r="AL176" s="520" t="str">
        <f t="shared" si="32"/>
        <v/>
      </c>
      <c r="AM176" s="524" t="str">
        <f>IFERROR(IF(F176="","",IF(AH176="Check Data ⚠","Check Data ⚠",VLOOKUP(AL176, 'G-3 Multipliers'!$P$2:$Q$6,2,FALSE))),"")</f>
        <v/>
      </c>
      <c r="AN176" s="197"/>
      <c r="AO176" s="540" t="str">
        <f>IF(AN176="","",IF(VLOOKUP(AN176,'G-3 Multipliers'!$S$3:$T$9,2,FALSE)=0,"Spatial Data Missing ⚠",VLOOKUP(AN176,'G-3 Multipliers'!$S$3:$T$9,2,FALSE)))</f>
        <v/>
      </c>
      <c r="AP176" s="513" t="str">
        <f t="shared" si="33"/>
        <v/>
      </c>
      <c r="AQ176" s="231"/>
      <c r="AR176" s="150"/>
    </row>
    <row r="177" spans="1:44" x14ac:dyDescent="0.3">
      <c r="A177" s="31" t="str">
        <f>IF(E177="","",IF(ISNA(VLOOKUP($E177,'D-1 Off Site Habitat Baseline'!$D$1:$O$258,2,FALSE)),"",(VLOOKUP($E177,'D-1 Off Site Habitat Baseline'!$D$1:$O$258,2,FALSE))))</f>
        <v/>
      </c>
      <c r="B177" s="31" t="str">
        <f>IF(E177="","",IF(ISNA(VLOOKUP($E177,'D-1 Off Site Habitat Baseline'!$D$1:$O$258,3,FALSE)),"",(VLOOKUP($E177,'D-1 Off Site Habitat Baseline'!$D$1:$O$258,3,FALSE))))</f>
        <v/>
      </c>
      <c r="C177" s="31" t="str">
        <f>IFERROR(INDEX('G-8 Condition Look up'!$I$4:$I$130,MATCH(S177,'G-8 Condition Look up'!$A$4:$A$130,0)),"")</f>
        <v/>
      </c>
      <c r="E177" s="547" t="str">
        <f>'D-1 Off Site Habitat Baseline'!AL176</f>
        <v/>
      </c>
      <c r="F177" s="520" t="str">
        <f>IF(E177="","",IF(ISNA(VLOOKUP($E177,'D-1 Off Site Habitat Baseline'!$D$1:$O$258,4,FALSE)),"",(VLOOKUP($E177,'D-1 Off Site Habitat Baseline'!$D$1:$O$258,4,FALSE))))</f>
        <v/>
      </c>
      <c r="G177" s="520" t="str">
        <f>IF(E177="","",IF(ISNA(VLOOKUP($E177,'D-1 Off Site Habitat Baseline'!$D$1:$O$258,5,FALSE)),"",(VLOOKUP($E177,'D-1 Off Site Habitat Baseline'!$D$1:$O$258,5,FALSE))))</f>
        <v/>
      </c>
      <c r="H177" s="520" t="str">
        <f>IF(E177="","",IF(ISNA(VLOOKUP($E177,'D-1 Off Site Habitat Baseline'!$D$1:$O$258,6,FALSE)),"",(VLOOKUP($E177,'D-1 Off Site Habitat Baseline'!$D$1:$O$258,6,FALSE))))</f>
        <v/>
      </c>
      <c r="I177" s="520" t="str">
        <f>IF(E177="","",IF(ISNA(VLOOKUP($E177,'D-1 Off Site Habitat Baseline'!$D$1:$O$258,7,FALSE)),"",(VLOOKUP($E177,'D-1 Off Site Habitat Baseline'!$D$1:$O$258,7,FALSE))))</f>
        <v/>
      </c>
      <c r="J177" s="520" t="str">
        <f>IF(E177="","",IF(ISNA(VLOOKUP($E177,'D-1 Off Site Habitat Baseline'!$D$1:$O$258,8,FALSE)),"",(VLOOKUP($E177,'D-1 Off Site Habitat Baseline'!$D$1:$O$258,8,FALSE))))</f>
        <v/>
      </c>
      <c r="K177" s="520" t="str">
        <f>IF(E177="","",IF(ISNA(VLOOKUP($E177,'D-1 Off Site Habitat Baseline'!$D$1:$O$258,9,FALSE)),"",(VLOOKUP($E177,'D-1 Off Site Habitat Baseline'!$D$1:$O$258,9,FALSE))))</f>
        <v/>
      </c>
      <c r="L177" s="520" t="str">
        <f>IF(E177="","",IF(ISNA(VLOOKUP($E177,'D-1 Off Site Habitat Baseline'!$D$1:$O$258,11,FALSE)),"",(VLOOKUP($E177,'D-1 Off Site Habitat Baseline'!$D$1:$O$258,11,FALSE))))</f>
        <v/>
      </c>
      <c r="M177" s="520" t="str">
        <f>IF(E177="","",IF(ISNA(VLOOKUP($E177,'D-1 Off Site Habitat Baseline'!$D$1:$O$258,12,FALSE)),"",(VLOOKUP($E177,'D-1 Off Site Habitat Baseline'!$D$1:$O$258,12,FALSE))))</f>
        <v/>
      </c>
      <c r="N177" s="520" t="str">
        <f>IF(E177="","",IF(ISNA(VLOOKUP($E177,'D-1 Off Site Habitat Baseline'!$D$1:$X$258,14,FALSE)),"",(VLOOKUP($E177,'D-1 Off Site Habitat Baseline'!$D$1:$X$258,14,FALSE))))</f>
        <v/>
      </c>
      <c r="O177" s="524" t="str">
        <f>IF(E177="","",IF(ISNA(VLOOKUP($E177,'D-1 Off Site Habitat Baseline'!$D$1:$X$258,13,FALSE)),"",(VLOOKUP($E177,'D-1 Off Site Habitat Baseline'!$D$1:$X$258,13,FALSE))))</f>
        <v/>
      </c>
      <c r="P177" s="232" t="str">
        <f>IFERROR(INDEX('G-1 All Habitats'!$AG$3:$AG$15,MATCH(Q177,'G-1 All Habitats'!$AF$3:$AF$15,0)),"")</f>
        <v/>
      </c>
      <c r="Q177" s="228" t="str">
        <f t="shared" si="34"/>
        <v/>
      </c>
      <c r="R177" s="229" t="str">
        <f t="shared" si="35"/>
        <v/>
      </c>
      <c r="S177" s="233" t="str">
        <f>IFERROR(INDEX('G-1 All Habitats'!$B$3:$B$129,MATCH(R177,'G-1 All Habitats'!$A$3:$A$129,0)),"")</f>
        <v/>
      </c>
      <c r="T177" s="507" t="str">
        <f t="shared" si="27"/>
        <v/>
      </c>
      <c r="U177" s="524" t="str">
        <f t="shared" si="28"/>
        <v/>
      </c>
      <c r="V177" s="523" t="str">
        <f t="shared" si="25"/>
        <v/>
      </c>
      <c r="W177" s="520" t="str">
        <f>IF(S177="","",VLOOKUP(S177,'G-1 All Habitats'!$B$2:$M$129,10,FALSE))</f>
        <v/>
      </c>
      <c r="X177" s="520" t="str">
        <f>IFERROR(VLOOKUP(W177,'G-1 All Habitats'!$V$3:$W$7,2,FALSE),"")</f>
        <v/>
      </c>
      <c r="Y177" s="203"/>
      <c r="Z177" s="524" t="str">
        <f>IFERROR(INDEX('G-8 Condition Look up'!$A$3:$H$130,MATCH(S177,'G-8 Condition Look up'!$A$3:$A$130,0),MATCH(Y177,'G-8 Condition Look up'!$A$3:$H$3,0)),"")</f>
        <v/>
      </c>
      <c r="AA177" s="145"/>
      <c r="AB177" s="540" t="str">
        <f>IF(AA177="","",IF(VLOOKUP(AA177,'G-3 Multipliers'!$L$3:$N$6,2,FALSE)=0,"Spatial Data Missing ⚠",VLOOKUP(AA177,'G-3 Multipliers'!$L$3:$N$6,2,FALSE)))</f>
        <v/>
      </c>
      <c r="AC177" s="524" t="str">
        <f>IF(AA177="","",IF(VLOOKUP(AA177,'G-3 Multipliers'!$L$3:$N$6,3,FALSE)=0,"Spatial Data Missing ⚠",VLOOKUP(AA177,'G-3 Multipliers'!$L$3:$N$6,3,FALSE)))</f>
        <v/>
      </c>
      <c r="AD177" s="537" t="str">
        <f t="shared" si="26"/>
        <v/>
      </c>
      <c r="AE177" s="203"/>
      <c r="AF177" s="203"/>
      <c r="AG177" s="520" t="str">
        <f t="shared" si="29"/>
        <v/>
      </c>
      <c r="AH177" s="544" t="str">
        <f t="shared" si="30"/>
        <v/>
      </c>
      <c r="AI177" s="525" t="str">
        <f>IF(AH177="Check Data ⚠","Check Data ⚠",IFERROR(VLOOKUP(AH177,'G-4 Temporal multipliers'!$A$4:$C$36,3,FALSE),""))</f>
        <v/>
      </c>
      <c r="AJ177" s="537" t="str">
        <f>IF(S177="","",VLOOKUP(S177,'G-3 Multipliers'!$A$2:$E$129,4,FALSE))</f>
        <v/>
      </c>
      <c r="AK177" s="520" t="str">
        <f t="shared" si="31"/>
        <v/>
      </c>
      <c r="AL177" s="520" t="str">
        <f t="shared" si="32"/>
        <v/>
      </c>
      <c r="AM177" s="524" t="str">
        <f>IFERROR(IF(F177="","",IF(AH177="Check Data ⚠","Check Data ⚠",VLOOKUP(AL177, 'G-3 Multipliers'!$P$2:$Q$6,2,FALSE))),"")</f>
        <v/>
      </c>
      <c r="AN177" s="197"/>
      <c r="AO177" s="540" t="str">
        <f>IF(AN177="","",IF(VLOOKUP(AN177,'G-3 Multipliers'!$S$3:$T$9,2,FALSE)=0,"Spatial Data Missing ⚠",VLOOKUP(AN177,'G-3 Multipliers'!$S$3:$T$9,2,FALSE)))</f>
        <v/>
      </c>
      <c r="AP177" s="513" t="str">
        <f t="shared" si="33"/>
        <v/>
      </c>
      <c r="AQ177" s="231"/>
      <c r="AR177" s="150"/>
    </row>
    <row r="178" spans="1:44" x14ac:dyDescent="0.3">
      <c r="A178" s="31" t="str">
        <f>IF(E178="","",IF(ISNA(VLOOKUP($E178,'D-1 Off Site Habitat Baseline'!$D$1:$O$258,2,FALSE)),"",(VLOOKUP($E178,'D-1 Off Site Habitat Baseline'!$D$1:$O$258,2,FALSE))))</f>
        <v/>
      </c>
      <c r="B178" s="31" t="str">
        <f>IF(E178="","",IF(ISNA(VLOOKUP($E178,'D-1 Off Site Habitat Baseline'!$D$1:$O$258,3,FALSE)),"",(VLOOKUP($E178,'D-1 Off Site Habitat Baseline'!$D$1:$O$258,3,FALSE))))</f>
        <v/>
      </c>
      <c r="C178" s="31" t="str">
        <f>IFERROR(INDEX('G-8 Condition Look up'!$I$4:$I$130,MATCH(S178,'G-8 Condition Look up'!$A$4:$A$130,0)),"")</f>
        <v/>
      </c>
      <c r="E178" s="547" t="str">
        <f>'D-1 Off Site Habitat Baseline'!AL177</f>
        <v/>
      </c>
      <c r="F178" s="520" t="str">
        <f>IF(E178="","",IF(ISNA(VLOOKUP($E178,'D-1 Off Site Habitat Baseline'!$D$1:$O$258,4,FALSE)),"",(VLOOKUP($E178,'D-1 Off Site Habitat Baseline'!$D$1:$O$258,4,FALSE))))</f>
        <v/>
      </c>
      <c r="G178" s="520" t="str">
        <f>IF(E178="","",IF(ISNA(VLOOKUP($E178,'D-1 Off Site Habitat Baseline'!$D$1:$O$258,5,FALSE)),"",(VLOOKUP($E178,'D-1 Off Site Habitat Baseline'!$D$1:$O$258,5,FALSE))))</f>
        <v/>
      </c>
      <c r="H178" s="520" t="str">
        <f>IF(E178="","",IF(ISNA(VLOOKUP($E178,'D-1 Off Site Habitat Baseline'!$D$1:$O$258,6,FALSE)),"",(VLOOKUP($E178,'D-1 Off Site Habitat Baseline'!$D$1:$O$258,6,FALSE))))</f>
        <v/>
      </c>
      <c r="I178" s="520" t="str">
        <f>IF(E178="","",IF(ISNA(VLOOKUP($E178,'D-1 Off Site Habitat Baseline'!$D$1:$O$258,7,FALSE)),"",(VLOOKUP($E178,'D-1 Off Site Habitat Baseline'!$D$1:$O$258,7,FALSE))))</f>
        <v/>
      </c>
      <c r="J178" s="520" t="str">
        <f>IF(E178="","",IF(ISNA(VLOOKUP($E178,'D-1 Off Site Habitat Baseline'!$D$1:$O$258,8,FALSE)),"",(VLOOKUP($E178,'D-1 Off Site Habitat Baseline'!$D$1:$O$258,8,FALSE))))</f>
        <v/>
      </c>
      <c r="K178" s="520" t="str">
        <f>IF(E178="","",IF(ISNA(VLOOKUP($E178,'D-1 Off Site Habitat Baseline'!$D$1:$O$258,9,FALSE)),"",(VLOOKUP($E178,'D-1 Off Site Habitat Baseline'!$D$1:$O$258,9,FALSE))))</f>
        <v/>
      </c>
      <c r="L178" s="520" t="str">
        <f>IF(E178="","",IF(ISNA(VLOOKUP($E178,'D-1 Off Site Habitat Baseline'!$D$1:$O$258,11,FALSE)),"",(VLOOKUP($E178,'D-1 Off Site Habitat Baseline'!$D$1:$O$258,11,FALSE))))</f>
        <v/>
      </c>
      <c r="M178" s="520" t="str">
        <f>IF(E178="","",IF(ISNA(VLOOKUP($E178,'D-1 Off Site Habitat Baseline'!$D$1:$O$258,12,FALSE)),"",(VLOOKUP($E178,'D-1 Off Site Habitat Baseline'!$D$1:$O$258,12,FALSE))))</f>
        <v/>
      </c>
      <c r="N178" s="520" t="str">
        <f>IF(E178="","",IF(ISNA(VLOOKUP($E178,'D-1 Off Site Habitat Baseline'!$D$1:$X$258,14,FALSE)),"",(VLOOKUP($E178,'D-1 Off Site Habitat Baseline'!$D$1:$X$258,14,FALSE))))</f>
        <v/>
      </c>
      <c r="O178" s="524" t="str">
        <f>IF(E178="","",IF(ISNA(VLOOKUP($E178,'D-1 Off Site Habitat Baseline'!$D$1:$X$258,13,FALSE)),"",(VLOOKUP($E178,'D-1 Off Site Habitat Baseline'!$D$1:$X$258,13,FALSE))))</f>
        <v/>
      </c>
      <c r="P178" s="232" t="str">
        <f>IFERROR(INDEX('G-1 All Habitats'!$AG$3:$AG$15,MATCH(Q178,'G-1 All Habitats'!$AF$3:$AF$15,0)),"")</f>
        <v/>
      </c>
      <c r="Q178" s="228" t="str">
        <f t="shared" si="34"/>
        <v/>
      </c>
      <c r="R178" s="229" t="str">
        <f t="shared" si="35"/>
        <v/>
      </c>
      <c r="S178" s="233" t="str">
        <f>IFERROR(INDEX('G-1 All Habitats'!$B$3:$B$129,MATCH(R178,'G-1 All Habitats'!$A$3:$A$129,0)),"")</f>
        <v/>
      </c>
      <c r="T178" s="507" t="str">
        <f t="shared" si="27"/>
        <v/>
      </c>
      <c r="U178" s="524" t="str">
        <f t="shared" si="28"/>
        <v/>
      </c>
      <c r="V178" s="523" t="str">
        <f t="shared" si="25"/>
        <v/>
      </c>
      <c r="W178" s="520" t="str">
        <f>IF(S178="","",VLOOKUP(S178,'G-1 All Habitats'!$B$2:$M$129,10,FALSE))</f>
        <v/>
      </c>
      <c r="X178" s="520" t="str">
        <f>IFERROR(VLOOKUP(W178,'G-1 All Habitats'!$V$3:$W$7,2,FALSE),"")</f>
        <v/>
      </c>
      <c r="Y178" s="203"/>
      <c r="Z178" s="524" t="str">
        <f>IFERROR(INDEX('G-8 Condition Look up'!$A$3:$H$130,MATCH(S178,'G-8 Condition Look up'!$A$3:$A$130,0),MATCH(Y178,'G-8 Condition Look up'!$A$3:$H$3,0)),"")</f>
        <v/>
      </c>
      <c r="AA178" s="145"/>
      <c r="AB178" s="540" t="str">
        <f>IF(AA178="","",IF(VLOOKUP(AA178,'G-3 Multipliers'!$L$3:$N$6,2,FALSE)=0,"Spatial Data Missing ⚠",VLOOKUP(AA178,'G-3 Multipliers'!$L$3:$N$6,2,FALSE)))</f>
        <v/>
      </c>
      <c r="AC178" s="524" t="str">
        <f>IF(AA178="","",IF(VLOOKUP(AA178,'G-3 Multipliers'!$L$3:$N$6,3,FALSE)=0,"Spatial Data Missing ⚠",VLOOKUP(AA178,'G-3 Multipliers'!$L$3:$N$6,3,FALSE)))</f>
        <v/>
      </c>
      <c r="AD178" s="537" t="str">
        <f t="shared" si="26"/>
        <v/>
      </c>
      <c r="AE178" s="203"/>
      <c r="AF178" s="203"/>
      <c r="AG178" s="520" t="str">
        <f t="shared" si="29"/>
        <v/>
      </c>
      <c r="AH178" s="544" t="str">
        <f t="shared" si="30"/>
        <v/>
      </c>
      <c r="AI178" s="525" t="str">
        <f>IF(AH178="Check Data ⚠","Check Data ⚠",IFERROR(VLOOKUP(AH178,'G-4 Temporal multipliers'!$A$4:$C$36,3,FALSE),""))</f>
        <v/>
      </c>
      <c r="AJ178" s="537" t="str">
        <f>IF(S178="","",VLOOKUP(S178,'G-3 Multipliers'!$A$2:$E$129,4,FALSE))</f>
        <v/>
      </c>
      <c r="AK178" s="520" t="str">
        <f t="shared" si="31"/>
        <v/>
      </c>
      <c r="AL178" s="520" t="str">
        <f t="shared" si="32"/>
        <v/>
      </c>
      <c r="AM178" s="524" t="str">
        <f>IFERROR(IF(F178="","",IF(AH178="Check Data ⚠","Check Data ⚠",VLOOKUP(AL178, 'G-3 Multipliers'!$P$2:$Q$6,2,FALSE))),"")</f>
        <v/>
      </c>
      <c r="AN178" s="197"/>
      <c r="AO178" s="540" t="str">
        <f>IF(AN178="","",IF(VLOOKUP(AN178,'G-3 Multipliers'!$S$3:$T$9,2,FALSE)=0,"Spatial Data Missing ⚠",VLOOKUP(AN178,'G-3 Multipliers'!$S$3:$T$9,2,FALSE)))</f>
        <v/>
      </c>
      <c r="AP178" s="513" t="str">
        <f t="shared" si="33"/>
        <v/>
      </c>
      <c r="AQ178" s="231"/>
      <c r="AR178" s="150"/>
    </row>
    <row r="179" spans="1:44" x14ac:dyDescent="0.3">
      <c r="A179" s="31" t="str">
        <f>IF(E179="","",IF(ISNA(VLOOKUP($E179,'D-1 Off Site Habitat Baseline'!$D$1:$O$258,2,FALSE)),"",(VLOOKUP($E179,'D-1 Off Site Habitat Baseline'!$D$1:$O$258,2,FALSE))))</f>
        <v/>
      </c>
      <c r="B179" s="31" t="str">
        <f>IF(E179="","",IF(ISNA(VLOOKUP($E179,'D-1 Off Site Habitat Baseline'!$D$1:$O$258,3,FALSE)),"",(VLOOKUP($E179,'D-1 Off Site Habitat Baseline'!$D$1:$O$258,3,FALSE))))</f>
        <v/>
      </c>
      <c r="C179" s="31" t="str">
        <f>IFERROR(INDEX('G-8 Condition Look up'!$I$4:$I$130,MATCH(S179,'G-8 Condition Look up'!$A$4:$A$130,0)),"")</f>
        <v/>
      </c>
      <c r="E179" s="547" t="str">
        <f>'D-1 Off Site Habitat Baseline'!AL178</f>
        <v/>
      </c>
      <c r="F179" s="520" t="str">
        <f>IF(E179="","",IF(ISNA(VLOOKUP($E179,'D-1 Off Site Habitat Baseline'!$D$1:$O$258,4,FALSE)),"",(VLOOKUP($E179,'D-1 Off Site Habitat Baseline'!$D$1:$O$258,4,FALSE))))</f>
        <v/>
      </c>
      <c r="G179" s="520" t="str">
        <f>IF(E179="","",IF(ISNA(VLOOKUP($E179,'D-1 Off Site Habitat Baseline'!$D$1:$O$258,5,FALSE)),"",(VLOOKUP($E179,'D-1 Off Site Habitat Baseline'!$D$1:$O$258,5,FALSE))))</f>
        <v/>
      </c>
      <c r="H179" s="520" t="str">
        <f>IF(E179="","",IF(ISNA(VLOOKUP($E179,'D-1 Off Site Habitat Baseline'!$D$1:$O$258,6,FALSE)),"",(VLOOKUP($E179,'D-1 Off Site Habitat Baseline'!$D$1:$O$258,6,FALSE))))</f>
        <v/>
      </c>
      <c r="I179" s="520" t="str">
        <f>IF(E179="","",IF(ISNA(VLOOKUP($E179,'D-1 Off Site Habitat Baseline'!$D$1:$O$258,7,FALSE)),"",(VLOOKUP($E179,'D-1 Off Site Habitat Baseline'!$D$1:$O$258,7,FALSE))))</f>
        <v/>
      </c>
      <c r="J179" s="520" t="str">
        <f>IF(E179="","",IF(ISNA(VLOOKUP($E179,'D-1 Off Site Habitat Baseline'!$D$1:$O$258,8,FALSE)),"",(VLOOKUP($E179,'D-1 Off Site Habitat Baseline'!$D$1:$O$258,8,FALSE))))</f>
        <v/>
      </c>
      <c r="K179" s="520" t="str">
        <f>IF(E179="","",IF(ISNA(VLOOKUP($E179,'D-1 Off Site Habitat Baseline'!$D$1:$O$258,9,FALSE)),"",(VLOOKUP($E179,'D-1 Off Site Habitat Baseline'!$D$1:$O$258,9,FALSE))))</f>
        <v/>
      </c>
      <c r="L179" s="520" t="str">
        <f>IF(E179="","",IF(ISNA(VLOOKUP($E179,'D-1 Off Site Habitat Baseline'!$D$1:$O$258,11,FALSE)),"",(VLOOKUP($E179,'D-1 Off Site Habitat Baseline'!$D$1:$O$258,11,FALSE))))</f>
        <v/>
      </c>
      <c r="M179" s="520" t="str">
        <f>IF(E179="","",IF(ISNA(VLOOKUP($E179,'D-1 Off Site Habitat Baseline'!$D$1:$O$258,12,FALSE)),"",(VLOOKUP($E179,'D-1 Off Site Habitat Baseline'!$D$1:$O$258,12,FALSE))))</f>
        <v/>
      </c>
      <c r="N179" s="520" t="str">
        <f>IF(E179="","",IF(ISNA(VLOOKUP($E179,'D-1 Off Site Habitat Baseline'!$D$1:$X$258,14,FALSE)),"",(VLOOKUP($E179,'D-1 Off Site Habitat Baseline'!$D$1:$X$258,14,FALSE))))</f>
        <v/>
      </c>
      <c r="O179" s="524" t="str">
        <f>IF(E179="","",IF(ISNA(VLOOKUP($E179,'D-1 Off Site Habitat Baseline'!$D$1:$X$258,13,FALSE)),"",(VLOOKUP($E179,'D-1 Off Site Habitat Baseline'!$D$1:$X$258,13,FALSE))))</f>
        <v/>
      </c>
      <c r="P179" s="232" t="str">
        <f>IFERROR(INDEX('G-1 All Habitats'!$AG$3:$AG$15,MATCH(Q179,'G-1 All Habitats'!$AF$3:$AF$15,0)),"")</f>
        <v/>
      </c>
      <c r="Q179" s="228" t="str">
        <f t="shared" si="34"/>
        <v/>
      </c>
      <c r="R179" s="229" t="str">
        <f t="shared" si="35"/>
        <v/>
      </c>
      <c r="S179" s="233" t="str">
        <f>IFERROR(INDEX('G-1 All Habitats'!$B$3:$B$129,MATCH(R179,'G-1 All Habitats'!$A$3:$A$129,0)),"")</f>
        <v/>
      </c>
      <c r="T179" s="507" t="str">
        <f t="shared" si="27"/>
        <v/>
      </c>
      <c r="U179" s="524" t="str">
        <f t="shared" si="28"/>
        <v/>
      </c>
      <c r="V179" s="523" t="str">
        <f t="shared" si="25"/>
        <v/>
      </c>
      <c r="W179" s="520" t="str">
        <f>IF(S179="","",VLOOKUP(S179,'G-1 All Habitats'!$B$2:$M$129,10,FALSE))</f>
        <v/>
      </c>
      <c r="X179" s="520" t="str">
        <f>IFERROR(VLOOKUP(W179,'G-1 All Habitats'!$V$3:$W$7,2,FALSE),"")</f>
        <v/>
      </c>
      <c r="Y179" s="203"/>
      <c r="Z179" s="524" t="str">
        <f>IFERROR(INDEX('G-8 Condition Look up'!$A$3:$H$130,MATCH(S179,'G-8 Condition Look up'!$A$3:$A$130,0),MATCH(Y179,'G-8 Condition Look up'!$A$3:$H$3,0)),"")</f>
        <v/>
      </c>
      <c r="AA179" s="145"/>
      <c r="AB179" s="540" t="str">
        <f>IF(AA179="","",IF(VLOOKUP(AA179,'G-3 Multipliers'!$L$3:$N$6,2,FALSE)=0,"Spatial Data Missing ⚠",VLOOKUP(AA179,'G-3 Multipliers'!$L$3:$N$6,2,FALSE)))</f>
        <v/>
      </c>
      <c r="AC179" s="524" t="str">
        <f>IF(AA179="","",IF(VLOOKUP(AA179,'G-3 Multipliers'!$L$3:$N$6,3,FALSE)=0,"Spatial Data Missing ⚠",VLOOKUP(AA179,'G-3 Multipliers'!$L$3:$N$6,3,FALSE)))</f>
        <v/>
      </c>
      <c r="AD179" s="537" t="str">
        <f t="shared" si="26"/>
        <v/>
      </c>
      <c r="AE179" s="203"/>
      <c r="AF179" s="203"/>
      <c r="AG179" s="520" t="str">
        <f t="shared" si="29"/>
        <v/>
      </c>
      <c r="AH179" s="544" t="str">
        <f t="shared" si="30"/>
        <v/>
      </c>
      <c r="AI179" s="525" t="str">
        <f>IF(AH179="Check Data ⚠","Check Data ⚠",IFERROR(VLOOKUP(AH179,'G-4 Temporal multipliers'!$A$4:$C$36,3,FALSE),""))</f>
        <v/>
      </c>
      <c r="AJ179" s="537" t="str">
        <f>IF(S179="","",VLOOKUP(S179,'G-3 Multipliers'!$A$2:$E$129,4,FALSE))</f>
        <v/>
      </c>
      <c r="AK179" s="520" t="str">
        <f t="shared" si="31"/>
        <v/>
      </c>
      <c r="AL179" s="520" t="str">
        <f t="shared" si="32"/>
        <v/>
      </c>
      <c r="AM179" s="524" t="str">
        <f>IFERROR(IF(F179="","",IF(AH179="Check Data ⚠","Check Data ⚠",VLOOKUP(AL179, 'G-3 Multipliers'!$P$2:$Q$6,2,FALSE))),"")</f>
        <v/>
      </c>
      <c r="AN179" s="197"/>
      <c r="AO179" s="540" t="str">
        <f>IF(AN179="","",IF(VLOOKUP(AN179,'G-3 Multipliers'!$S$3:$T$9,2,FALSE)=0,"Spatial Data Missing ⚠",VLOOKUP(AN179,'G-3 Multipliers'!$S$3:$T$9,2,FALSE)))</f>
        <v/>
      </c>
      <c r="AP179" s="513" t="str">
        <f t="shared" si="33"/>
        <v/>
      </c>
      <c r="AQ179" s="231"/>
      <c r="AR179" s="150"/>
    </row>
    <row r="180" spans="1:44" x14ac:dyDescent="0.3">
      <c r="A180" s="31" t="str">
        <f>IF(E180="","",IF(ISNA(VLOOKUP($E180,'D-1 Off Site Habitat Baseline'!$D$1:$O$258,2,FALSE)),"",(VLOOKUP($E180,'D-1 Off Site Habitat Baseline'!$D$1:$O$258,2,FALSE))))</f>
        <v/>
      </c>
      <c r="B180" s="31" t="str">
        <f>IF(E180="","",IF(ISNA(VLOOKUP($E180,'D-1 Off Site Habitat Baseline'!$D$1:$O$258,3,FALSE)),"",(VLOOKUP($E180,'D-1 Off Site Habitat Baseline'!$D$1:$O$258,3,FALSE))))</f>
        <v/>
      </c>
      <c r="C180" s="31" t="str">
        <f>IFERROR(INDEX('G-8 Condition Look up'!$I$4:$I$130,MATCH(S180,'G-8 Condition Look up'!$A$4:$A$130,0)),"")</f>
        <v/>
      </c>
      <c r="E180" s="547" t="str">
        <f>'D-1 Off Site Habitat Baseline'!AL179</f>
        <v/>
      </c>
      <c r="F180" s="520" t="str">
        <f>IF(E180="","",IF(ISNA(VLOOKUP($E180,'D-1 Off Site Habitat Baseline'!$D$1:$O$258,4,FALSE)),"",(VLOOKUP($E180,'D-1 Off Site Habitat Baseline'!$D$1:$O$258,4,FALSE))))</f>
        <v/>
      </c>
      <c r="G180" s="520" t="str">
        <f>IF(E180="","",IF(ISNA(VLOOKUP($E180,'D-1 Off Site Habitat Baseline'!$D$1:$O$258,5,FALSE)),"",(VLOOKUP($E180,'D-1 Off Site Habitat Baseline'!$D$1:$O$258,5,FALSE))))</f>
        <v/>
      </c>
      <c r="H180" s="520" t="str">
        <f>IF(E180="","",IF(ISNA(VLOOKUP($E180,'D-1 Off Site Habitat Baseline'!$D$1:$O$258,6,FALSE)),"",(VLOOKUP($E180,'D-1 Off Site Habitat Baseline'!$D$1:$O$258,6,FALSE))))</f>
        <v/>
      </c>
      <c r="I180" s="520" t="str">
        <f>IF(E180="","",IF(ISNA(VLOOKUP($E180,'D-1 Off Site Habitat Baseline'!$D$1:$O$258,7,FALSE)),"",(VLOOKUP($E180,'D-1 Off Site Habitat Baseline'!$D$1:$O$258,7,FALSE))))</f>
        <v/>
      </c>
      <c r="J180" s="520" t="str">
        <f>IF(E180="","",IF(ISNA(VLOOKUP($E180,'D-1 Off Site Habitat Baseline'!$D$1:$O$258,8,FALSE)),"",(VLOOKUP($E180,'D-1 Off Site Habitat Baseline'!$D$1:$O$258,8,FALSE))))</f>
        <v/>
      </c>
      <c r="K180" s="520" t="str">
        <f>IF(E180="","",IF(ISNA(VLOOKUP($E180,'D-1 Off Site Habitat Baseline'!$D$1:$O$258,9,FALSE)),"",(VLOOKUP($E180,'D-1 Off Site Habitat Baseline'!$D$1:$O$258,9,FALSE))))</f>
        <v/>
      </c>
      <c r="L180" s="520" t="str">
        <f>IF(E180="","",IF(ISNA(VLOOKUP($E180,'D-1 Off Site Habitat Baseline'!$D$1:$O$258,11,FALSE)),"",(VLOOKUP($E180,'D-1 Off Site Habitat Baseline'!$D$1:$O$258,11,FALSE))))</f>
        <v/>
      </c>
      <c r="M180" s="520" t="str">
        <f>IF(E180="","",IF(ISNA(VLOOKUP($E180,'D-1 Off Site Habitat Baseline'!$D$1:$O$258,12,FALSE)),"",(VLOOKUP($E180,'D-1 Off Site Habitat Baseline'!$D$1:$O$258,12,FALSE))))</f>
        <v/>
      </c>
      <c r="N180" s="520" t="str">
        <f>IF(E180="","",IF(ISNA(VLOOKUP($E180,'D-1 Off Site Habitat Baseline'!$D$1:$X$258,14,FALSE)),"",(VLOOKUP($E180,'D-1 Off Site Habitat Baseline'!$D$1:$X$258,14,FALSE))))</f>
        <v/>
      </c>
      <c r="O180" s="524" t="str">
        <f>IF(E180="","",IF(ISNA(VLOOKUP($E180,'D-1 Off Site Habitat Baseline'!$D$1:$X$258,13,FALSE)),"",(VLOOKUP($E180,'D-1 Off Site Habitat Baseline'!$D$1:$X$258,13,FALSE))))</f>
        <v/>
      </c>
      <c r="P180" s="232" t="str">
        <f>IFERROR(INDEX('G-1 All Habitats'!$AG$3:$AG$15,MATCH(Q180,'G-1 All Habitats'!$AF$3:$AF$15,0)),"")</f>
        <v/>
      </c>
      <c r="Q180" s="228" t="str">
        <f t="shared" si="34"/>
        <v/>
      </c>
      <c r="R180" s="229" t="str">
        <f t="shared" si="35"/>
        <v/>
      </c>
      <c r="S180" s="233" t="str">
        <f>IFERROR(INDEX('G-1 All Habitats'!$B$3:$B$129,MATCH(R180,'G-1 All Habitats'!$A$3:$A$129,0)),"")</f>
        <v/>
      </c>
      <c r="T180" s="507" t="str">
        <f t="shared" si="27"/>
        <v/>
      </c>
      <c r="U180" s="524" t="str">
        <f t="shared" si="28"/>
        <v/>
      </c>
      <c r="V180" s="523" t="str">
        <f t="shared" si="25"/>
        <v/>
      </c>
      <c r="W180" s="520" t="str">
        <f>IF(S180="","",VLOOKUP(S180,'G-1 All Habitats'!$B$2:$M$129,10,FALSE))</f>
        <v/>
      </c>
      <c r="X180" s="520" t="str">
        <f>IFERROR(VLOOKUP(W180,'G-1 All Habitats'!$V$3:$W$7,2,FALSE),"")</f>
        <v/>
      </c>
      <c r="Y180" s="203"/>
      <c r="Z180" s="524" t="str">
        <f>IFERROR(INDEX('G-8 Condition Look up'!$A$3:$H$130,MATCH(S180,'G-8 Condition Look up'!$A$3:$A$130,0),MATCH(Y180,'G-8 Condition Look up'!$A$3:$H$3,0)),"")</f>
        <v/>
      </c>
      <c r="AA180" s="145"/>
      <c r="AB180" s="540" t="str">
        <f>IF(AA180="","",IF(VLOOKUP(AA180,'G-3 Multipliers'!$L$3:$N$6,2,FALSE)=0,"Spatial Data Missing ⚠",VLOOKUP(AA180,'G-3 Multipliers'!$L$3:$N$6,2,FALSE)))</f>
        <v/>
      </c>
      <c r="AC180" s="524" t="str">
        <f>IF(AA180="","",IF(VLOOKUP(AA180,'G-3 Multipliers'!$L$3:$N$6,3,FALSE)=0,"Spatial Data Missing ⚠",VLOOKUP(AA180,'G-3 Multipliers'!$L$3:$N$6,3,FALSE)))</f>
        <v/>
      </c>
      <c r="AD180" s="537" t="str">
        <f t="shared" si="26"/>
        <v/>
      </c>
      <c r="AE180" s="203"/>
      <c r="AF180" s="203"/>
      <c r="AG180" s="520" t="str">
        <f t="shared" si="29"/>
        <v/>
      </c>
      <c r="AH180" s="544" t="str">
        <f t="shared" si="30"/>
        <v/>
      </c>
      <c r="AI180" s="525" t="str">
        <f>IF(AH180="Check Data ⚠","Check Data ⚠",IFERROR(VLOOKUP(AH180,'G-4 Temporal multipliers'!$A$4:$C$36,3,FALSE),""))</f>
        <v/>
      </c>
      <c r="AJ180" s="537" t="str">
        <f>IF(S180="","",VLOOKUP(S180,'G-3 Multipliers'!$A$2:$E$129,4,FALSE))</f>
        <v/>
      </c>
      <c r="AK180" s="520" t="str">
        <f t="shared" si="31"/>
        <v/>
      </c>
      <c r="AL180" s="520" t="str">
        <f t="shared" si="32"/>
        <v/>
      </c>
      <c r="AM180" s="524" t="str">
        <f>IFERROR(IF(F180="","",IF(AH180="Check Data ⚠","Check Data ⚠",VLOOKUP(AL180, 'G-3 Multipliers'!$P$2:$Q$6,2,FALSE))),"")</f>
        <v/>
      </c>
      <c r="AN180" s="197"/>
      <c r="AO180" s="540" t="str">
        <f>IF(AN180="","",IF(VLOOKUP(AN180,'G-3 Multipliers'!$S$3:$T$9,2,FALSE)=0,"Spatial Data Missing ⚠",VLOOKUP(AN180,'G-3 Multipliers'!$S$3:$T$9,2,FALSE)))</f>
        <v/>
      </c>
      <c r="AP180" s="513" t="str">
        <f t="shared" si="33"/>
        <v/>
      </c>
      <c r="AQ180" s="231"/>
      <c r="AR180" s="150"/>
    </row>
    <row r="181" spans="1:44" x14ac:dyDescent="0.3">
      <c r="A181" s="31" t="str">
        <f>IF(E181="","",IF(ISNA(VLOOKUP($E181,'D-1 Off Site Habitat Baseline'!$D$1:$O$258,2,FALSE)),"",(VLOOKUP($E181,'D-1 Off Site Habitat Baseline'!$D$1:$O$258,2,FALSE))))</f>
        <v/>
      </c>
      <c r="B181" s="31" t="str">
        <f>IF(E181="","",IF(ISNA(VLOOKUP($E181,'D-1 Off Site Habitat Baseline'!$D$1:$O$258,3,FALSE)),"",(VLOOKUP($E181,'D-1 Off Site Habitat Baseline'!$D$1:$O$258,3,FALSE))))</f>
        <v/>
      </c>
      <c r="C181" s="31" t="str">
        <f>IFERROR(INDEX('G-8 Condition Look up'!$I$4:$I$130,MATCH(S181,'G-8 Condition Look up'!$A$4:$A$130,0)),"")</f>
        <v/>
      </c>
      <c r="E181" s="547" t="str">
        <f>'D-1 Off Site Habitat Baseline'!AL180</f>
        <v/>
      </c>
      <c r="F181" s="520" t="str">
        <f>IF(E181="","",IF(ISNA(VLOOKUP($E181,'D-1 Off Site Habitat Baseline'!$D$1:$O$258,4,FALSE)),"",(VLOOKUP($E181,'D-1 Off Site Habitat Baseline'!$D$1:$O$258,4,FALSE))))</f>
        <v/>
      </c>
      <c r="G181" s="520" t="str">
        <f>IF(E181="","",IF(ISNA(VLOOKUP($E181,'D-1 Off Site Habitat Baseline'!$D$1:$O$258,5,FALSE)),"",(VLOOKUP($E181,'D-1 Off Site Habitat Baseline'!$D$1:$O$258,5,FALSE))))</f>
        <v/>
      </c>
      <c r="H181" s="520" t="str">
        <f>IF(E181="","",IF(ISNA(VLOOKUP($E181,'D-1 Off Site Habitat Baseline'!$D$1:$O$258,6,FALSE)),"",(VLOOKUP($E181,'D-1 Off Site Habitat Baseline'!$D$1:$O$258,6,FALSE))))</f>
        <v/>
      </c>
      <c r="I181" s="520" t="str">
        <f>IF(E181="","",IF(ISNA(VLOOKUP($E181,'D-1 Off Site Habitat Baseline'!$D$1:$O$258,7,FALSE)),"",(VLOOKUP($E181,'D-1 Off Site Habitat Baseline'!$D$1:$O$258,7,FALSE))))</f>
        <v/>
      </c>
      <c r="J181" s="520" t="str">
        <f>IF(E181="","",IF(ISNA(VLOOKUP($E181,'D-1 Off Site Habitat Baseline'!$D$1:$O$258,8,FALSE)),"",(VLOOKUP($E181,'D-1 Off Site Habitat Baseline'!$D$1:$O$258,8,FALSE))))</f>
        <v/>
      </c>
      <c r="K181" s="520" t="str">
        <f>IF(E181="","",IF(ISNA(VLOOKUP($E181,'D-1 Off Site Habitat Baseline'!$D$1:$O$258,9,FALSE)),"",(VLOOKUP($E181,'D-1 Off Site Habitat Baseline'!$D$1:$O$258,9,FALSE))))</f>
        <v/>
      </c>
      <c r="L181" s="520" t="str">
        <f>IF(E181="","",IF(ISNA(VLOOKUP($E181,'D-1 Off Site Habitat Baseline'!$D$1:$O$258,11,FALSE)),"",(VLOOKUP($E181,'D-1 Off Site Habitat Baseline'!$D$1:$O$258,11,FALSE))))</f>
        <v/>
      </c>
      <c r="M181" s="520" t="str">
        <f>IF(E181="","",IF(ISNA(VLOOKUP($E181,'D-1 Off Site Habitat Baseline'!$D$1:$O$258,12,FALSE)),"",(VLOOKUP($E181,'D-1 Off Site Habitat Baseline'!$D$1:$O$258,12,FALSE))))</f>
        <v/>
      </c>
      <c r="N181" s="520" t="str">
        <f>IF(E181="","",IF(ISNA(VLOOKUP($E181,'D-1 Off Site Habitat Baseline'!$D$1:$X$258,14,FALSE)),"",(VLOOKUP($E181,'D-1 Off Site Habitat Baseline'!$D$1:$X$258,14,FALSE))))</f>
        <v/>
      </c>
      <c r="O181" s="524" t="str">
        <f>IF(E181="","",IF(ISNA(VLOOKUP($E181,'D-1 Off Site Habitat Baseline'!$D$1:$X$258,13,FALSE)),"",(VLOOKUP($E181,'D-1 Off Site Habitat Baseline'!$D$1:$X$258,13,FALSE))))</f>
        <v/>
      </c>
      <c r="P181" s="232" t="str">
        <f>IFERROR(INDEX('G-1 All Habitats'!$AG$3:$AG$15,MATCH(Q181,'G-1 All Habitats'!$AF$3:$AF$15,0)),"")</f>
        <v/>
      </c>
      <c r="Q181" s="228" t="str">
        <f t="shared" si="34"/>
        <v/>
      </c>
      <c r="R181" s="229" t="str">
        <f t="shared" si="35"/>
        <v/>
      </c>
      <c r="S181" s="233" t="str">
        <f>IFERROR(INDEX('G-1 All Habitats'!$B$3:$B$129,MATCH(R181,'G-1 All Habitats'!$A$3:$A$129,0)),"")</f>
        <v/>
      </c>
      <c r="T181" s="507" t="str">
        <f t="shared" si="27"/>
        <v/>
      </c>
      <c r="U181" s="524" t="str">
        <f t="shared" si="28"/>
        <v/>
      </c>
      <c r="V181" s="523" t="str">
        <f t="shared" si="25"/>
        <v/>
      </c>
      <c r="W181" s="520" t="str">
        <f>IF(S181="","",VLOOKUP(S181,'G-1 All Habitats'!$B$2:$M$129,10,FALSE))</f>
        <v/>
      </c>
      <c r="X181" s="520" t="str">
        <f>IFERROR(VLOOKUP(W181,'G-1 All Habitats'!$V$3:$W$7,2,FALSE),"")</f>
        <v/>
      </c>
      <c r="Y181" s="203"/>
      <c r="Z181" s="524" t="str">
        <f>IFERROR(INDEX('G-8 Condition Look up'!$A$3:$H$130,MATCH(S181,'G-8 Condition Look up'!$A$3:$A$130,0),MATCH(Y181,'G-8 Condition Look up'!$A$3:$H$3,0)),"")</f>
        <v/>
      </c>
      <c r="AA181" s="145"/>
      <c r="AB181" s="540" t="str">
        <f>IF(AA181="","",IF(VLOOKUP(AA181,'G-3 Multipliers'!$L$3:$N$6,2,FALSE)=0,"Spatial Data Missing ⚠",VLOOKUP(AA181,'G-3 Multipliers'!$L$3:$N$6,2,FALSE)))</f>
        <v/>
      </c>
      <c r="AC181" s="524" t="str">
        <f>IF(AA181="","",IF(VLOOKUP(AA181,'G-3 Multipliers'!$L$3:$N$6,3,FALSE)=0,"Spatial Data Missing ⚠",VLOOKUP(AA181,'G-3 Multipliers'!$L$3:$N$6,3,FALSE)))</f>
        <v/>
      </c>
      <c r="AD181" s="537" t="str">
        <f t="shared" si="26"/>
        <v/>
      </c>
      <c r="AE181" s="203"/>
      <c r="AF181" s="203"/>
      <c r="AG181" s="520" t="str">
        <f t="shared" si="29"/>
        <v/>
      </c>
      <c r="AH181" s="544" t="str">
        <f t="shared" si="30"/>
        <v/>
      </c>
      <c r="AI181" s="525" t="str">
        <f>IF(AH181="Check Data ⚠","Check Data ⚠",IFERROR(VLOOKUP(AH181,'G-4 Temporal multipliers'!$A$4:$C$36,3,FALSE),""))</f>
        <v/>
      </c>
      <c r="AJ181" s="537" t="str">
        <f>IF(S181="","",VLOOKUP(S181,'G-3 Multipliers'!$A$2:$E$129,4,FALSE))</f>
        <v/>
      </c>
      <c r="AK181" s="520" t="str">
        <f t="shared" si="31"/>
        <v/>
      </c>
      <c r="AL181" s="520" t="str">
        <f t="shared" si="32"/>
        <v/>
      </c>
      <c r="AM181" s="524" t="str">
        <f>IFERROR(IF(F181="","",IF(AH181="Check Data ⚠","Check Data ⚠",VLOOKUP(AL181, 'G-3 Multipliers'!$P$2:$Q$6,2,FALSE))),"")</f>
        <v/>
      </c>
      <c r="AN181" s="197"/>
      <c r="AO181" s="540" t="str">
        <f>IF(AN181="","",IF(VLOOKUP(AN181,'G-3 Multipliers'!$S$3:$T$9,2,FALSE)=0,"Spatial Data Missing ⚠",VLOOKUP(AN181,'G-3 Multipliers'!$S$3:$T$9,2,FALSE)))</f>
        <v/>
      </c>
      <c r="AP181" s="513" t="str">
        <f t="shared" si="33"/>
        <v/>
      </c>
      <c r="AQ181" s="231"/>
      <c r="AR181" s="150"/>
    </row>
    <row r="182" spans="1:44" x14ac:dyDescent="0.3">
      <c r="A182" s="31" t="str">
        <f>IF(E182="","",IF(ISNA(VLOOKUP($E182,'D-1 Off Site Habitat Baseline'!$D$1:$O$258,2,FALSE)),"",(VLOOKUP($E182,'D-1 Off Site Habitat Baseline'!$D$1:$O$258,2,FALSE))))</f>
        <v/>
      </c>
      <c r="B182" s="31" t="str">
        <f>IF(E182="","",IF(ISNA(VLOOKUP($E182,'D-1 Off Site Habitat Baseline'!$D$1:$O$258,3,FALSE)),"",(VLOOKUP($E182,'D-1 Off Site Habitat Baseline'!$D$1:$O$258,3,FALSE))))</f>
        <v/>
      </c>
      <c r="C182" s="31" t="str">
        <f>IFERROR(INDEX('G-8 Condition Look up'!$I$4:$I$130,MATCH(S182,'G-8 Condition Look up'!$A$4:$A$130,0)),"")</f>
        <v/>
      </c>
      <c r="E182" s="547" t="str">
        <f>'D-1 Off Site Habitat Baseline'!AL181</f>
        <v/>
      </c>
      <c r="F182" s="520" t="str">
        <f>IF(E182="","",IF(ISNA(VLOOKUP($E182,'D-1 Off Site Habitat Baseline'!$D$1:$O$258,4,FALSE)),"",(VLOOKUP($E182,'D-1 Off Site Habitat Baseline'!$D$1:$O$258,4,FALSE))))</f>
        <v/>
      </c>
      <c r="G182" s="520" t="str">
        <f>IF(E182="","",IF(ISNA(VLOOKUP($E182,'D-1 Off Site Habitat Baseline'!$D$1:$O$258,5,FALSE)),"",(VLOOKUP($E182,'D-1 Off Site Habitat Baseline'!$D$1:$O$258,5,FALSE))))</f>
        <v/>
      </c>
      <c r="H182" s="520" t="str">
        <f>IF(E182="","",IF(ISNA(VLOOKUP($E182,'D-1 Off Site Habitat Baseline'!$D$1:$O$258,6,FALSE)),"",(VLOOKUP($E182,'D-1 Off Site Habitat Baseline'!$D$1:$O$258,6,FALSE))))</f>
        <v/>
      </c>
      <c r="I182" s="520" t="str">
        <f>IF(E182="","",IF(ISNA(VLOOKUP($E182,'D-1 Off Site Habitat Baseline'!$D$1:$O$258,7,FALSE)),"",(VLOOKUP($E182,'D-1 Off Site Habitat Baseline'!$D$1:$O$258,7,FALSE))))</f>
        <v/>
      </c>
      <c r="J182" s="520" t="str">
        <f>IF(E182="","",IF(ISNA(VLOOKUP($E182,'D-1 Off Site Habitat Baseline'!$D$1:$O$258,8,FALSE)),"",(VLOOKUP($E182,'D-1 Off Site Habitat Baseline'!$D$1:$O$258,8,FALSE))))</f>
        <v/>
      </c>
      <c r="K182" s="520" t="str">
        <f>IF(E182="","",IF(ISNA(VLOOKUP($E182,'D-1 Off Site Habitat Baseline'!$D$1:$O$258,9,FALSE)),"",(VLOOKUP($E182,'D-1 Off Site Habitat Baseline'!$D$1:$O$258,9,FALSE))))</f>
        <v/>
      </c>
      <c r="L182" s="520" t="str">
        <f>IF(E182="","",IF(ISNA(VLOOKUP($E182,'D-1 Off Site Habitat Baseline'!$D$1:$O$258,11,FALSE)),"",(VLOOKUP($E182,'D-1 Off Site Habitat Baseline'!$D$1:$O$258,11,FALSE))))</f>
        <v/>
      </c>
      <c r="M182" s="520" t="str">
        <f>IF(E182="","",IF(ISNA(VLOOKUP($E182,'D-1 Off Site Habitat Baseline'!$D$1:$O$258,12,FALSE)),"",(VLOOKUP($E182,'D-1 Off Site Habitat Baseline'!$D$1:$O$258,12,FALSE))))</f>
        <v/>
      </c>
      <c r="N182" s="520" t="str">
        <f>IF(E182="","",IF(ISNA(VLOOKUP($E182,'D-1 Off Site Habitat Baseline'!$D$1:$X$258,14,FALSE)),"",(VLOOKUP($E182,'D-1 Off Site Habitat Baseline'!$D$1:$X$258,14,FALSE))))</f>
        <v/>
      </c>
      <c r="O182" s="524" t="str">
        <f>IF(E182="","",IF(ISNA(VLOOKUP($E182,'D-1 Off Site Habitat Baseline'!$D$1:$X$258,13,FALSE)),"",(VLOOKUP($E182,'D-1 Off Site Habitat Baseline'!$D$1:$X$258,13,FALSE))))</f>
        <v/>
      </c>
      <c r="P182" s="232" t="str">
        <f>IFERROR(INDEX('G-1 All Habitats'!$AG$3:$AG$15,MATCH(Q182,'G-1 All Habitats'!$AF$3:$AF$15,0)),"")</f>
        <v/>
      </c>
      <c r="Q182" s="228" t="str">
        <f t="shared" si="34"/>
        <v/>
      </c>
      <c r="R182" s="229" t="str">
        <f t="shared" si="35"/>
        <v/>
      </c>
      <c r="S182" s="233" t="str">
        <f>IFERROR(INDEX('G-1 All Habitats'!$B$3:$B$129,MATCH(R182,'G-1 All Habitats'!$A$3:$A$129,0)),"")</f>
        <v/>
      </c>
      <c r="T182" s="507" t="str">
        <f t="shared" si="27"/>
        <v/>
      </c>
      <c r="U182" s="524" t="str">
        <f t="shared" si="28"/>
        <v/>
      </c>
      <c r="V182" s="523" t="str">
        <f t="shared" si="25"/>
        <v/>
      </c>
      <c r="W182" s="520" t="str">
        <f>IF(S182="","",VLOOKUP(S182,'G-1 All Habitats'!$B$2:$M$129,10,FALSE))</f>
        <v/>
      </c>
      <c r="X182" s="520" t="str">
        <f>IFERROR(VLOOKUP(W182,'G-1 All Habitats'!$V$3:$W$7,2,FALSE),"")</f>
        <v/>
      </c>
      <c r="Y182" s="203"/>
      <c r="Z182" s="524" t="str">
        <f>IFERROR(INDEX('G-8 Condition Look up'!$A$3:$H$130,MATCH(S182,'G-8 Condition Look up'!$A$3:$A$130,0),MATCH(Y182,'G-8 Condition Look up'!$A$3:$H$3,0)),"")</f>
        <v/>
      </c>
      <c r="AA182" s="145"/>
      <c r="AB182" s="540" t="str">
        <f>IF(AA182="","",IF(VLOOKUP(AA182,'G-3 Multipliers'!$L$3:$N$6,2,FALSE)=0,"Spatial Data Missing ⚠",VLOOKUP(AA182,'G-3 Multipliers'!$L$3:$N$6,2,FALSE)))</f>
        <v/>
      </c>
      <c r="AC182" s="524" t="str">
        <f>IF(AA182="","",IF(VLOOKUP(AA182,'G-3 Multipliers'!$L$3:$N$6,3,FALSE)=0,"Spatial Data Missing ⚠",VLOOKUP(AA182,'G-3 Multipliers'!$L$3:$N$6,3,FALSE)))</f>
        <v/>
      </c>
      <c r="AD182" s="537" t="str">
        <f t="shared" si="26"/>
        <v/>
      </c>
      <c r="AE182" s="203"/>
      <c r="AF182" s="203"/>
      <c r="AG182" s="520" t="str">
        <f t="shared" si="29"/>
        <v/>
      </c>
      <c r="AH182" s="544" t="str">
        <f t="shared" si="30"/>
        <v/>
      </c>
      <c r="AI182" s="525" t="str">
        <f>IF(AH182="Check Data ⚠","Check Data ⚠",IFERROR(VLOOKUP(AH182,'G-4 Temporal multipliers'!$A$4:$C$36,3,FALSE),""))</f>
        <v/>
      </c>
      <c r="AJ182" s="537" t="str">
        <f>IF(S182="","",VLOOKUP(S182,'G-3 Multipliers'!$A$2:$E$129,4,FALSE))</f>
        <v/>
      </c>
      <c r="AK182" s="520" t="str">
        <f t="shared" si="31"/>
        <v/>
      </c>
      <c r="AL182" s="520" t="str">
        <f t="shared" si="32"/>
        <v/>
      </c>
      <c r="AM182" s="524" t="str">
        <f>IFERROR(IF(F182="","",IF(AH182="Check Data ⚠","Check Data ⚠",VLOOKUP(AL182, 'G-3 Multipliers'!$P$2:$Q$6,2,FALSE))),"")</f>
        <v/>
      </c>
      <c r="AN182" s="197"/>
      <c r="AO182" s="540" t="str">
        <f>IF(AN182="","",IF(VLOOKUP(AN182,'G-3 Multipliers'!$S$3:$T$9,2,FALSE)=0,"Spatial Data Missing ⚠",VLOOKUP(AN182,'G-3 Multipliers'!$S$3:$T$9,2,FALSE)))</f>
        <v/>
      </c>
      <c r="AP182" s="513" t="str">
        <f t="shared" si="33"/>
        <v/>
      </c>
      <c r="AQ182" s="231"/>
      <c r="AR182" s="150"/>
    </row>
    <row r="183" spans="1:44" x14ac:dyDescent="0.3">
      <c r="A183" s="31" t="str">
        <f>IF(E183="","",IF(ISNA(VLOOKUP($E183,'D-1 Off Site Habitat Baseline'!$D$1:$O$258,2,FALSE)),"",(VLOOKUP($E183,'D-1 Off Site Habitat Baseline'!$D$1:$O$258,2,FALSE))))</f>
        <v/>
      </c>
      <c r="B183" s="31" t="str">
        <f>IF(E183="","",IF(ISNA(VLOOKUP($E183,'D-1 Off Site Habitat Baseline'!$D$1:$O$258,3,FALSE)),"",(VLOOKUP($E183,'D-1 Off Site Habitat Baseline'!$D$1:$O$258,3,FALSE))))</f>
        <v/>
      </c>
      <c r="C183" s="31" t="str">
        <f>IFERROR(INDEX('G-8 Condition Look up'!$I$4:$I$130,MATCH(S183,'G-8 Condition Look up'!$A$4:$A$130,0)),"")</f>
        <v/>
      </c>
      <c r="E183" s="547" t="str">
        <f>'D-1 Off Site Habitat Baseline'!AL182</f>
        <v/>
      </c>
      <c r="F183" s="520" t="str">
        <f>IF(E183="","",IF(ISNA(VLOOKUP($E183,'D-1 Off Site Habitat Baseline'!$D$1:$O$258,4,FALSE)),"",(VLOOKUP($E183,'D-1 Off Site Habitat Baseline'!$D$1:$O$258,4,FALSE))))</f>
        <v/>
      </c>
      <c r="G183" s="520" t="str">
        <f>IF(E183="","",IF(ISNA(VLOOKUP($E183,'D-1 Off Site Habitat Baseline'!$D$1:$O$258,5,FALSE)),"",(VLOOKUP($E183,'D-1 Off Site Habitat Baseline'!$D$1:$O$258,5,FALSE))))</f>
        <v/>
      </c>
      <c r="H183" s="520" t="str">
        <f>IF(E183="","",IF(ISNA(VLOOKUP($E183,'D-1 Off Site Habitat Baseline'!$D$1:$O$258,6,FALSE)),"",(VLOOKUP($E183,'D-1 Off Site Habitat Baseline'!$D$1:$O$258,6,FALSE))))</f>
        <v/>
      </c>
      <c r="I183" s="520" t="str">
        <f>IF(E183="","",IF(ISNA(VLOOKUP($E183,'D-1 Off Site Habitat Baseline'!$D$1:$O$258,7,FALSE)),"",(VLOOKUP($E183,'D-1 Off Site Habitat Baseline'!$D$1:$O$258,7,FALSE))))</f>
        <v/>
      </c>
      <c r="J183" s="520" t="str">
        <f>IF(E183="","",IF(ISNA(VLOOKUP($E183,'D-1 Off Site Habitat Baseline'!$D$1:$O$258,8,FALSE)),"",(VLOOKUP($E183,'D-1 Off Site Habitat Baseline'!$D$1:$O$258,8,FALSE))))</f>
        <v/>
      </c>
      <c r="K183" s="520" t="str">
        <f>IF(E183="","",IF(ISNA(VLOOKUP($E183,'D-1 Off Site Habitat Baseline'!$D$1:$O$258,9,FALSE)),"",(VLOOKUP($E183,'D-1 Off Site Habitat Baseline'!$D$1:$O$258,9,FALSE))))</f>
        <v/>
      </c>
      <c r="L183" s="520" t="str">
        <f>IF(E183="","",IF(ISNA(VLOOKUP($E183,'D-1 Off Site Habitat Baseline'!$D$1:$O$258,11,FALSE)),"",(VLOOKUP($E183,'D-1 Off Site Habitat Baseline'!$D$1:$O$258,11,FALSE))))</f>
        <v/>
      </c>
      <c r="M183" s="520" t="str">
        <f>IF(E183="","",IF(ISNA(VLOOKUP($E183,'D-1 Off Site Habitat Baseline'!$D$1:$O$258,12,FALSE)),"",(VLOOKUP($E183,'D-1 Off Site Habitat Baseline'!$D$1:$O$258,12,FALSE))))</f>
        <v/>
      </c>
      <c r="N183" s="520" t="str">
        <f>IF(E183="","",IF(ISNA(VLOOKUP($E183,'D-1 Off Site Habitat Baseline'!$D$1:$X$258,14,FALSE)),"",(VLOOKUP($E183,'D-1 Off Site Habitat Baseline'!$D$1:$X$258,14,FALSE))))</f>
        <v/>
      </c>
      <c r="O183" s="524" t="str">
        <f>IF(E183="","",IF(ISNA(VLOOKUP($E183,'D-1 Off Site Habitat Baseline'!$D$1:$X$258,13,FALSE)),"",(VLOOKUP($E183,'D-1 Off Site Habitat Baseline'!$D$1:$X$258,13,FALSE))))</f>
        <v/>
      </c>
      <c r="P183" s="232" t="str">
        <f>IFERROR(INDEX('G-1 All Habitats'!$AG$3:$AG$15,MATCH(Q183,'G-1 All Habitats'!$AF$3:$AF$15,0)),"")</f>
        <v/>
      </c>
      <c r="Q183" s="228" t="str">
        <f t="shared" si="34"/>
        <v/>
      </c>
      <c r="R183" s="229" t="str">
        <f t="shared" si="35"/>
        <v/>
      </c>
      <c r="S183" s="233" t="str">
        <f>IFERROR(INDEX('G-1 All Habitats'!$B$3:$B$129,MATCH(R183,'G-1 All Habitats'!$A$3:$A$129,0)),"")</f>
        <v/>
      </c>
      <c r="T183" s="507" t="str">
        <f t="shared" si="27"/>
        <v/>
      </c>
      <c r="U183" s="524" t="str">
        <f t="shared" si="28"/>
        <v/>
      </c>
      <c r="V183" s="523" t="str">
        <f t="shared" si="25"/>
        <v/>
      </c>
      <c r="W183" s="520" t="str">
        <f>IF(S183="","",VLOOKUP(S183,'G-1 All Habitats'!$B$2:$M$129,10,FALSE))</f>
        <v/>
      </c>
      <c r="X183" s="520" t="str">
        <f>IFERROR(VLOOKUP(W183,'G-1 All Habitats'!$V$3:$W$7,2,FALSE),"")</f>
        <v/>
      </c>
      <c r="Y183" s="203"/>
      <c r="Z183" s="524" t="str">
        <f>IFERROR(INDEX('G-8 Condition Look up'!$A$3:$H$130,MATCH(S183,'G-8 Condition Look up'!$A$3:$A$130,0),MATCH(Y183,'G-8 Condition Look up'!$A$3:$H$3,0)),"")</f>
        <v/>
      </c>
      <c r="AA183" s="145"/>
      <c r="AB183" s="540" t="str">
        <f>IF(AA183="","",IF(VLOOKUP(AA183,'G-3 Multipliers'!$L$3:$N$6,2,FALSE)=0,"Spatial Data Missing ⚠",VLOOKUP(AA183,'G-3 Multipliers'!$L$3:$N$6,2,FALSE)))</f>
        <v/>
      </c>
      <c r="AC183" s="524" t="str">
        <f>IF(AA183="","",IF(VLOOKUP(AA183,'G-3 Multipliers'!$L$3:$N$6,3,FALSE)=0,"Spatial Data Missing ⚠",VLOOKUP(AA183,'G-3 Multipliers'!$L$3:$N$6,3,FALSE)))</f>
        <v/>
      </c>
      <c r="AD183" s="537" t="str">
        <f t="shared" si="26"/>
        <v/>
      </c>
      <c r="AE183" s="203"/>
      <c r="AF183" s="203"/>
      <c r="AG183" s="520" t="str">
        <f t="shared" si="29"/>
        <v/>
      </c>
      <c r="AH183" s="544" t="str">
        <f t="shared" si="30"/>
        <v/>
      </c>
      <c r="AI183" s="525" t="str">
        <f>IF(AH183="Check Data ⚠","Check Data ⚠",IFERROR(VLOOKUP(AH183,'G-4 Temporal multipliers'!$A$4:$C$36,3,FALSE),""))</f>
        <v/>
      </c>
      <c r="AJ183" s="537" t="str">
        <f>IF(S183="","",VLOOKUP(S183,'G-3 Multipliers'!$A$2:$E$129,4,FALSE))</f>
        <v/>
      </c>
      <c r="AK183" s="520" t="str">
        <f t="shared" si="31"/>
        <v/>
      </c>
      <c r="AL183" s="520" t="str">
        <f t="shared" si="32"/>
        <v/>
      </c>
      <c r="AM183" s="524" t="str">
        <f>IFERROR(IF(F183="","",IF(AH183="Check Data ⚠","Check Data ⚠",VLOOKUP(AL183, 'G-3 Multipliers'!$P$2:$Q$6,2,FALSE))),"")</f>
        <v/>
      </c>
      <c r="AN183" s="197"/>
      <c r="AO183" s="540" t="str">
        <f>IF(AN183="","",IF(VLOOKUP(AN183,'G-3 Multipliers'!$S$3:$T$9,2,FALSE)=0,"Spatial Data Missing ⚠",VLOOKUP(AN183,'G-3 Multipliers'!$S$3:$T$9,2,FALSE)))</f>
        <v/>
      </c>
      <c r="AP183" s="513" t="str">
        <f t="shared" si="33"/>
        <v/>
      </c>
      <c r="AQ183" s="231"/>
      <c r="AR183" s="150"/>
    </row>
    <row r="184" spans="1:44" x14ac:dyDescent="0.3">
      <c r="A184" s="31" t="str">
        <f>IF(E184="","",IF(ISNA(VLOOKUP($E184,'D-1 Off Site Habitat Baseline'!$D$1:$O$258,2,FALSE)),"",(VLOOKUP($E184,'D-1 Off Site Habitat Baseline'!$D$1:$O$258,2,FALSE))))</f>
        <v/>
      </c>
      <c r="B184" s="31" t="str">
        <f>IF(E184="","",IF(ISNA(VLOOKUP($E184,'D-1 Off Site Habitat Baseline'!$D$1:$O$258,3,FALSE)),"",(VLOOKUP($E184,'D-1 Off Site Habitat Baseline'!$D$1:$O$258,3,FALSE))))</f>
        <v/>
      </c>
      <c r="C184" s="31" t="str">
        <f>IFERROR(INDEX('G-8 Condition Look up'!$I$4:$I$130,MATCH(S184,'G-8 Condition Look up'!$A$4:$A$130,0)),"")</f>
        <v/>
      </c>
      <c r="E184" s="547" t="str">
        <f>'D-1 Off Site Habitat Baseline'!AL183</f>
        <v/>
      </c>
      <c r="F184" s="520" t="str">
        <f>IF(E184="","",IF(ISNA(VLOOKUP($E184,'D-1 Off Site Habitat Baseline'!$D$1:$O$258,4,FALSE)),"",(VLOOKUP($E184,'D-1 Off Site Habitat Baseline'!$D$1:$O$258,4,FALSE))))</f>
        <v/>
      </c>
      <c r="G184" s="520" t="str">
        <f>IF(E184="","",IF(ISNA(VLOOKUP($E184,'D-1 Off Site Habitat Baseline'!$D$1:$O$258,5,FALSE)),"",(VLOOKUP($E184,'D-1 Off Site Habitat Baseline'!$D$1:$O$258,5,FALSE))))</f>
        <v/>
      </c>
      <c r="H184" s="520" t="str">
        <f>IF(E184="","",IF(ISNA(VLOOKUP($E184,'D-1 Off Site Habitat Baseline'!$D$1:$O$258,6,FALSE)),"",(VLOOKUP($E184,'D-1 Off Site Habitat Baseline'!$D$1:$O$258,6,FALSE))))</f>
        <v/>
      </c>
      <c r="I184" s="520" t="str">
        <f>IF(E184="","",IF(ISNA(VLOOKUP($E184,'D-1 Off Site Habitat Baseline'!$D$1:$O$258,7,FALSE)),"",(VLOOKUP($E184,'D-1 Off Site Habitat Baseline'!$D$1:$O$258,7,FALSE))))</f>
        <v/>
      </c>
      <c r="J184" s="520" t="str">
        <f>IF(E184="","",IF(ISNA(VLOOKUP($E184,'D-1 Off Site Habitat Baseline'!$D$1:$O$258,8,FALSE)),"",(VLOOKUP($E184,'D-1 Off Site Habitat Baseline'!$D$1:$O$258,8,FALSE))))</f>
        <v/>
      </c>
      <c r="K184" s="520" t="str">
        <f>IF(E184="","",IF(ISNA(VLOOKUP($E184,'D-1 Off Site Habitat Baseline'!$D$1:$O$258,9,FALSE)),"",(VLOOKUP($E184,'D-1 Off Site Habitat Baseline'!$D$1:$O$258,9,FALSE))))</f>
        <v/>
      </c>
      <c r="L184" s="520" t="str">
        <f>IF(E184="","",IF(ISNA(VLOOKUP($E184,'D-1 Off Site Habitat Baseline'!$D$1:$O$258,11,FALSE)),"",(VLOOKUP($E184,'D-1 Off Site Habitat Baseline'!$D$1:$O$258,11,FALSE))))</f>
        <v/>
      </c>
      <c r="M184" s="520" t="str">
        <f>IF(E184="","",IF(ISNA(VLOOKUP($E184,'D-1 Off Site Habitat Baseline'!$D$1:$O$258,12,FALSE)),"",(VLOOKUP($E184,'D-1 Off Site Habitat Baseline'!$D$1:$O$258,12,FALSE))))</f>
        <v/>
      </c>
      <c r="N184" s="520" t="str">
        <f>IF(E184="","",IF(ISNA(VLOOKUP($E184,'D-1 Off Site Habitat Baseline'!$D$1:$X$258,14,FALSE)),"",(VLOOKUP($E184,'D-1 Off Site Habitat Baseline'!$D$1:$X$258,14,FALSE))))</f>
        <v/>
      </c>
      <c r="O184" s="524" t="str">
        <f>IF(E184="","",IF(ISNA(VLOOKUP($E184,'D-1 Off Site Habitat Baseline'!$D$1:$X$258,13,FALSE)),"",(VLOOKUP($E184,'D-1 Off Site Habitat Baseline'!$D$1:$X$258,13,FALSE))))</f>
        <v/>
      </c>
      <c r="P184" s="232" t="str">
        <f>IFERROR(INDEX('G-1 All Habitats'!$AG$3:$AG$15,MATCH(Q184,'G-1 All Habitats'!$AF$3:$AF$15,0)),"")</f>
        <v/>
      </c>
      <c r="Q184" s="228" t="str">
        <f t="shared" si="34"/>
        <v/>
      </c>
      <c r="R184" s="229" t="str">
        <f t="shared" si="35"/>
        <v/>
      </c>
      <c r="S184" s="233" t="str">
        <f>IFERROR(INDEX('G-1 All Habitats'!$B$3:$B$129,MATCH(R184,'G-1 All Habitats'!$A$3:$A$129,0)),"")</f>
        <v/>
      </c>
      <c r="T184" s="507" t="str">
        <f t="shared" si="27"/>
        <v/>
      </c>
      <c r="U184" s="524" t="str">
        <f t="shared" si="28"/>
        <v/>
      </c>
      <c r="V184" s="523" t="str">
        <f t="shared" si="25"/>
        <v/>
      </c>
      <c r="W184" s="520" t="str">
        <f>IF(S184="","",VLOOKUP(S184,'G-1 All Habitats'!$B$2:$M$129,10,FALSE))</f>
        <v/>
      </c>
      <c r="X184" s="520" t="str">
        <f>IFERROR(VLOOKUP(W184,'G-1 All Habitats'!$V$3:$W$7,2,FALSE),"")</f>
        <v/>
      </c>
      <c r="Y184" s="203"/>
      <c r="Z184" s="524" t="str">
        <f>IFERROR(INDEX('G-8 Condition Look up'!$A$3:$H$130,MATCH(S184,'G-8 Condition Look up'!$A$3:$A$130,0),MATCH(Y184,'G-8 Condition Look up'!$A$3:$H$3,0)),"")</f>
        <v/>
      </c>
      <c r="AA184" s="145"/>
      <c r="AB184" s="540" t="str">
        <f>IF(AA184="","",IF(VLOOKUP(AA184,'G-3 Multipliers'!$L$3:$N$6,2,FALSE)=0,"Spatial Data Missing ⚠",VLOOKUP(AA184,'G-3 Multipliers'!$L$3:$N$6,2,FALSE)))</f>
        <v/>
      </c>
      <c r="AC184" s="524" t="str">
        <f>IF(AA184="","",IF(VLOOKUP(AA184,'G-3 Multipliers'!$L$3:$N$6,3,FALSE)=0,"Spatial Data Missing ⚠",VLOOKUP(AA184,'G-3 Multipliers'!$L$3:$N$6,3,FALSE)))</f>
        <v/>
      </c>
      <c r="AD184" s="537" t="str">
        <f t="shared" si="26"/>
        <v/>
      </c>
      <c r="AE184" s="203"/>
      <c r="AF184" s="203"/>
      <c r="AG184" s="520" t="str">
        <f t="shared" si="29"/>
        <v/>
      </c>
      <c r="AH184" s="544" t="str">
        <f t="shared" si="30"/>
        <v/>
      </c>
      <c r="AI184" s="525" t="str">
        <f>IF(AH184="Check Data ⚠","Check Data ⚠",IFERROR(VLOOKUP(AH184,'G-4 Temporal multipliers'!$A$4:$C$36,3,FALSE),""))</f>
        <v/>
      </c>
      <c r="AJ184" s="537" t="str">
        <f>IF(S184="","",VLOOKUP(S184,'G-3 Multipliers'!$A$2:$E$129,4,FALSE))</f>
        <v/>
      </c>
      <c r="AK184" s="520" t="str">
        <f t="shared" si="31"/>
        <v/>
      </c>
      <c r="AL184" s="520" t="str">
        <f t="shared" si="32"/>
        <v/>
      </c>
      <c r="AM184" s="524" t="str">
        <f>IFERROR(IF(F184="","",IF(AH184="Check Data ⚠","Check Data ⚠",VLOOKUP(AL184, 'G-3 Multipliers'!$P$2:$Q$6,2,FALSE))),"")</f>
        <v/>
      </c>
      <c r="AN184" s="197"/>
      <c r="AO184" s="540" t="str">
        <f>IF(AN184="","",IF(VLOOKUP(AN184,'G-3 Multipliers'!$S$3:$T$9,2,FALSE)=0,"Spatial Data Missing ⚠",VLOOKUP(AN184,'G-3 Multipliers'!$S$3:$T$9,2,FALSE)))</f>
        <v/>
      </c>
      <c r="AP184" s="513" t="str">
        <f t="shared" si="33"/>
        <v/>
      </c>
      <c r="AQ184" s="231"/>
      <c r="AR184" s="150"/>
    </row>
    <row r="185" spans="1:44" x14ac:dyDescent="0.3">
      <c r="A185" s="31" t="str">
        <f>IF(E185="","",IF(ISNA(VLOOKUP($E185,'D-1 Off Site Habitat Baseline'!$D$1:$O$258,2,FALSE)),"",(VLOOKUP($E185,'D-1 Off Site Habitat Baseline'!$D$1:$O$258,2,FALSE))))</f>
        <v/>
      </c>
      <c r="B185" s="31" t="str">
        <f>IF(E185="","",IF(ISNA(VLOOKUP($E185,'D-1 Off Site Habitat Baseline'!$D$1:$O$258,3,FALSE)),"",(VLOOKUP($E185,'D-1 Off Site Habitat Baseline'!$D$1:$O$258,3,FALSE))))</f>
        <v/>
      </c>
      <c r="C185" s="31" t="str">
        <f>IFERROR(INDEX('G-8 Condition Look up'!$I$4:$I$130,MATCH(S185,'G-8 Condition Look up'!$A$4:$A$130,0)),"")</f>
        <v/>
      </c>
      <c r="E185" s="547" t="str">
        <f>'D-1 Off Site Habitat Baseline'!AL184</f>
        <v/>
      </c>
      <c r="F185" s="520" t="str">
        <f>IF(E185="","",IF(ISNA(VLOOKUP($E185,'D-1 Off Site Habitat Baseline'!$D$1:$O$258,4,FALSE)),"",(VLOOKUP($E185,'D-1 Off Site Habitat Baseline'!$D$1:$O$258,4,FALSE))))</f>
        <v/>
      </c>
      <c r="G185" s="520" t="str">
        <f>IF(E185="","",IF(ISNA(VLOOKUP($E185,'D-1 Off Site Habitat Baseline'!$D$1:$O$258,5,FALSE)),"",(VLOOKUP($E185,'D-1 Off Site Habitat Baseline'!$D$1:$O$258,5,FALSE))))</f>
        <v/>
      </c>
      <c r="H185" s="520" t="str">
        <f>IF(E185="","",IF(ISNA(VLOOKUP($E185,'D-1 Off Site Habitat Baseline'!$D$1:$O$258,6,FALSE)),"",(VLOOKUP($E185,'D-1 Off Site Habitat Baseline'!$D$1:$O$258,6,FALSE))))</f>
        <v/>
      </c>
      <c r="I185" s="520" t="str">
        <f>IF(E185="","",IF(ISNA(VLOOKUP($E185,'D-1 Off Site Habitat Baseline'!$D$1:$O$258,7,FALSE)),"",(VLOOKUP($E185,'D-1 Off Site Habitat Baseline'!$D$1:$O$258,7,FALSE))))</f>
        <v/>
      </c>
      <c r="J185" s="520" t="str">
        <f>IF(E185="","",IF(ISNA(VLOOKUP($E185,'D-1 Off Site Habitat Baseline'!$D$1:$O$258,8,FALSE)),"",(VLOOKUP($E185,'D-1 Off Site Habitat Baseline'!$D$1:$O$258,8,FALSE))))</f>
        <v/>
      </c>
      <c r="K185" s="520" t="str">
        <f>IF(E185="","",IF(ISNA(VLOOKUP($E185,'D-1 Off Site Habitat Baseline'!$D$1:$O$258,9,FALSE)),"",(VLOOKUP($E185,'D-1 Off Site Habitat Baseline'!$D$1:$O$258,9,FALSE))))</f>
        <v/>
      </c>
      <c r="L185" s="520" t="str">
        <f>IF(E185="","",IF(ISNA(VLOOKUP($E185,'D-1 Off Site Habitat Baseline'!$D$1:$O$258,11,FALSE)),"",(VLOOKUP($E185,'D-1 Off Site Habitat Baseline'!$D$1:$O$258,11,FALSE))))</f>
        <v/>
      </c>
      <c r="M185" s="520" t="str">
        <f>IF(E185="","",IF(ISNA(VLOOKUP($E185,'D-1 Off Site Habitat Baseline'!$D$1:$O$258,12,FALSE)),"",(VLOOKUP($E185,'D-1 Off Site Habitat Baseline'!$D$1:$O$258,12,FALSE))))</f>
        <v/>
      </c>
      <c r="N185" s="520" t="str">
        <f>IF(E185="","",IF(ISNA(VLOOKUP($E185,'D-1 Off Site Habitat Baseline'!$D$1:$X$258,14,FALSE)),"",(VLOOKUP($E185,'D-1 Off Site Habitat Baseline'!$D$1:$X$258,14,FALSE))))</f>
        <v/>
      </c>
      <c r="O185" s="524" t="str">
        <f>IF(E185="","",IF(ISNA(VLOOKUP($E185,'D-1 Off Site Habitat Baseline'!$D$1:$X$258,13,FALSE)),"",(VLOOKUP($E185,'D-1 Off Site Habitat Baseline'!$D$1:$X$258,13,FALSE))))</f>
        <v/>
      </c>
      <c r="P185" s="232" t="str">
        <f>IFERROR(INDEX('G-1 All Habitats'!$AG$3:$AG$15,MATCH(Q185,'G-1 All Habitats'!$AF$3:$AF$15,0)),"")</f>
        <v/>
      </c>
      <c r="Q185" s="228" t="str">
        <f t="shared" si="34"/>
        <v/>
      </c>
      <c r="R185" s="229" t="str">
        <f t="shared" si="35"/>
        <v/>
      </c>
      <c r="S185" s="233" t="str">
        <f>IFERROR(INDEX('G-1 All Habitats'!$B$3:$B$129,MATCH(R185,'G-1 All Habitats'!$A$3:$A$129,0)),"")</f>
        <v/>
      </c>
      <c r="T185" s="507" t="str">
        <f t="shared" si="27"/>
        <v/>
      </c>
      <c r="U185" s="524" t="str">
        <f t="shared" si="28"/>
        <v/>
      </c>
      <c r="V185" s="523" t="str">
        <f t="shared" si="25"/>
        <v/>
      </c>
      <c r="W185" s="520" t="str">
        <f>IF(S185="","",VLOOKUP(S185,'G-1 All Habitats'!$B$2:$M$129,10,FALSE))</f>
        <v/>
      </c>
      <c r="X185" s="520" t="str">
        <f>IFERROR(VLOOKUP(W185,'G-1 All Habitats'!$V$3:$W$7,2,FALSE),"")</f>
        <v/>
      </c>
      <c r="Y185" s="203"/>
      <c r="Z185" s="524" t="str">
        <f>IFERROR(INDEX('G-8 Condition Look up'!$A$3:$H$130,MATCH(S185,'G-8 Condition Look up'!$A$3:$A$130,0),MATCH(Y185,'G-8 Condition Look up'!$A$3:$H$3,0)),"")</f>
        <v/>
      </c>
      <c r="AA185" s="145"/>
      <c r="AB185" s="540" t="str">
        <f>IF(AA185="","",IF(VLOOKUP(AA185,'G-3 Multipliers'!$L$3:$N$6,2,FALSE)=0,"Spatial Data Missing ⚠",VLOOKUP(AA185,'G-3 Multipliers'!$L$3:$N$6,2,FALSE)))</f>
        <v/>
      </c>
      <c r="AC185" s="524" t="str">
        <f>IF(AA185="","",IF(VLOOKUP(AA185,'G-3 Multipliers'!$L$3:$N$6,3,FALSE)=0,"Spatial Data Missing ⚠",VLOOKUP(AA185,'G-3 Multipliers'!$L$3:$N$6,3,FALSE)))</f>
        <v/>
      </c>
      <c r="AD185" s="537" t="str">
        <f t="shared" si="26"/>
        <v/>
      </c>
      <c r="AE185" s="203"/>
      <c r="AF185" s="203"/>
      <c r="AG185" s="520" t="str">
        <f t="shared" si="29"/>
        <v/>
      </c>
      <c r="AH185" s="544" t="str">
        <f t="shared" si="30"/>
        <v/>
      </c>
      <c r="AI185" s="525" t="str">
        <f>IF(AH185="Check Data ⚠","Check Data ⚠",IFERROR(VLOOKUP(AH185,'G-4 Temporal multipliers'!$A$4:$C$36,3,FALSE),""))</f>
        <v/>
      </c>
      <c r="AJ185" s="537" t="str">
        <f>IF(S185="","",VLOOKUP(S185,'G-3 Multipliers'!$A$2:$E$129,4,FALSE))</f>
        <v/>
      </c>
      <c r="AK185" s="520" t="str">
        <f t="shared" si="31"/>
        <v/>
      </c>
      <c r="AL185" s="520" t="str">
        <f t="shared" si="32"/>
        <v/>
      </c>
      <c r="AM185" s="524" t="str">
        <f>IFERROR(IF(F185="","",IF(AH185="Check Data ⚠","Check Data ⚠",VLOOKUP(AL185, 'G-3 Multipliers'!$P$2:$Q$6,2,FALSE))),"")</f>
        <v/>
      </c>
      <c r="AN185" s="197"/>
      <c r="AO185" s="540" t="str">
        <f>IF(AN185="","",IF(VLOOKUP(AN185,'G-3 Multipliers'!$S$3:$T$9,2,FALSE)=0,"Spatial Data Missing ⚠",VLOOKUP(AN185,'G-3 Multipliers'!$S$3:$T$9,2,FALSE)))</f>
        <v/>
      </c>
      <c r="AP185" s="513" t="str">
        <f t="shared" si="33"/>
        <v/>
      </c>
      <c r="AQ185" s="231"/>
      <c r="AR185" s="150"/>
    </row>
    <row r="186" spans="1:44" x14ac:dyDescent="0.3">
      <c r="A186" s="31" t="str">
        <f>IF(E186="","",IF(ISNA(VLOOKUP($E186,'D-1 Off Site Habitat Baseline'!$D$1:$O$258,2,FALSE)),"",(VLOOKUP($E186,'D-1 Off Site Habitat Baseline'!$D$1:$O$258,2,FALSE))))</f>
        <v/>
      </c>
      <c r="B186" s="31" t="str">
        <f>IF(E186="","",IF(ISNA(VLOOKUP($E186,'D-1 Off Site Habitat Baseline'!$D$1:$O$258,3,FALSE)),"",(VLOOKUP($E186,'D-1 Off Site Habitat Baseline'!$D$1:$O$258,3,FALSE))))</f>
        <v/>
      </c>
      <c r="C186" s="31" t="str">
        <f>IFERROR(INDEX('G-8 Condition Look up'!$I$4:$I$130,MATCH(S186,'G-8 Condition Look up'!$A$4:$A$130,0)),"")</f>
        <v/>
      </c>
      <c r="E186" s="547" t="str">
        <f>'D-1 Off Site Habitat Baseline'!AL185</f>
        <v/>
      </c>
      <c r="F186" s="520" t="str">
        <f>IF(E186="","",IF(ISNA(VLOOKUP($E186,'D-1 Off Site Habitat Baseline'!$D$1:$O$258,4,FALSE)),"",(VLOOKUP($E186,'D-1 Off Site Habitat Baseline'!$D$1:$O$258,4,FALSE))))</f>
        <v/>
      </c>
      <c r="G186" s="520" t="str">
        <f>IF(E186="","",IF(ISNA(VLOOKUP($E186,'D-1 Off Site Habitat Baseline'!$D$1:$O$258,5,FALSE)),"",(VLOOKUP($E186,'D-1 Off Site Habitat Baseline'!$D$1:$O$258,5,FALSE))))</f>
        <v/>
      </c>
      <c r="H186" s="520" t="str">
        <f>IF(E186="","",IF(ISNA(VLOOKUP($E186,'D-1 Off Site Habitat Baseline'!$D$1:$O$258,6,FALSE)),"",(VLOOKUP($E186,'D-1 Off Site Habitat Baseline'!$D$1:$O$258,6,FALSE))))</f>
        <v/>
      </c>
      <c r="I186" s="520" t="str">
        <f>IF(E186="","",IF(ISNA(VLOOKUP($E186,'D-1 Off Site Habitat Baseline'!$D$1:$O$258,7,FALSE)),"",(VLOOKUP($E186,'D-1 Off Site Habitat Baseline'!$D$1:$O$258,7,FALSE))))</f>
        <v/>
      </c>
      <c r="J186" s="520" t="str">
        <f>IF(E186="","",IF(ISNA(VLOOKUP($E186,'D-1 Off Site Habitat Baseline'!$D$1:$O$258,8,FALSE)),"",(VLOOKUP($E186,'D-1 Off Site Habitat Baseline'!$D$1:$O$258,8,FALSE))))</f>
        <v/>
      </c>
      <c r="K186" s="520" t="str">
        <f>IF(E186="","",IF(ISNA(VLOOKUP($E186,'D-1 Off Site Habitat Baseline'!$D$1:$O$258,9,FALSE)),"",(VLOOKUP($E186,'D-1 Off Site Habitat Baseline'!$D$1:$O$258,9,FALSE))))</f>
        <v/>
      </c>
      <c r="L186" s="520" t="str">
        <f>IF(E186="","",IF(ISNA(VLOOKUP($E186,'D-1 Off Site Habitat Baseline'!$D$1:$O$258,11,FALSE)),"",(VLOOKUP($E186,'D-1 Off Site Habitat Baseline'!$D$1:$O$258,11,FALSE))))</f>
        <v/>
      </c>
      <c r="M186" s="520" t="str">
        <f>IF(E186="","",IF(ISNA(VLOOKUP($E186,'D-1 Off Site Habitat Baseline'!$D$1:$O$258,12,FALSE)),"",(VLOOKUP($E186,'D-1 Off Site Habitat Baseline'!$D$1:$O$258,12,FALSE))))</f>
        <v/>
      </c>
      <c r="N186" s="520" t="str">
        <f>IF(E186="","",IF(ISNA(VLOOKUP($E186,'D-1 Off Site Habitat Baseline'!$D$1:$X$258,14,FALSE)),"",(VLOOKUP($E186,'D-1 Off Site Habitat Baseline'!$D$1:$X$258,14,FALSE))))</f>
        <v/>
      </c>
      <c r="O186" s="524" t="str">
        <f>IF(E186="","",IF(ISNA(VLOOKUP($E186,'D-1 Off Site Habitat Baseline'!$D$1:$X$258,13,FALSE)),"",(VLOOKUP($E186,'D-1 Off Site Habitat Baseline'!$D$1:$X$258,13,FALSE))))</f>
        <v/>
      </c>
      <c r="P186" s="232" t="str">
        <f>IFERROR(INDEX('G-1 All Habitats'!$AG$3:$AG$15,MATCH(Q186,'G-1 All Habitats'!$AF$3:$AF$15,0)),"")</f>
        <v/>
      </c>
      <c r="Q186" s="228" t="str">
        <f t="shared" si="34"/>
        <v/>
      </c>
      <c r="R186" s="229" t="str">
        <f t="shared" si="35"/>
        <v/>
      </c>
      <c r="S186" s="233" t="str">
        <f>IFERROR(INDEX('G-1 All Habitats'!$B$3:$B$129,MATCH(R186,'G-1 All Habitats'!$A$3:$A$129,0)),"")</f>
        <v/>
      </c>
      <c r="T186" s="507" t="str">
        <f t="shared" si="27"/>
        <v/>
      </c>
      <c r="U186" s="524" t="str">
        <f t="shared" si="28"/>
        <v/>
      </c>
      <c r="V186" s="523" t="str">
        <f t="shared" si="25"/>
        <v/>
      </c>
      <c r="W186" s="520" t="str">
        <f>IF(S186="","",VLOOKUP(S186,'G-1 All Habitats'!$B$2:$M$129,10,FALSE))</f>
        <v/>
      </c>
      <c r="X186" s="520" t="str">
        <f>IFERROR(VLOOKUP(W186,'G-1 All Habitats'!$V$3:$W$7,2,FALSE),"")</f>
        <v/>
      </c>
      <c r="Y186" s="203"/>
      <c r="Z186" s="524" t="str">
        <f>IFERROR(INDEX('G-8 Condition Look up'!$A$3:$H$130,MATCH(S186,'G-8 Condition Look up'!$A$3:$A$130,0),MATCH(Y186,'G-8 Condition Look up'!$A$3:$H$3,0)),"")</f>
        <v/>
      </c>
      <c r="AA186" s="145"/>
      <c r="AB186" s="540" t="str">
        <f>IF(AA186="","",IF(VLOOKUP(AA186,'G-3 Multipliers'!$L$3:$N$6,2,FALSE)=0,"Spatial Data Missing ⚠",VLOOKUP(AA186,'G-3 Multipliers'!$L$3:$N$6,2,FALSE)))</f>
        <v/>
      </c>
      <c r="AC186" s="524" t="str">
        <f>IF(AA186="","",IF(VLOOKUP(AA186,'G-3 Multipliers'!$L$3:$N$6,3,FALSE)=0,"Spatial Data Missing ⚠",VLOOKUP(AA186,'G-3 Multipliers'!$L$3:$N$6,3,FALSE)))</f>
        <v/>
      </c>
      <c r="AD186" s="537" t="str">
        <f t="shared" si="26"/>
        <v/>
      </c>
      <c r="AE186" s="203"/>
      <c r="AF186" s="203"/>
      <c r="AG186" s="520" t="str">
        <f t="shared" si="29"/>
        <v/>
      </c>
      <c r="AH186" s="544" t="str">
        <f t="shared" si="30"/>
        <v/>
      </c>
      <c r="AI186" s="525" t="str">
        <f>IF(AH186="Check Data ⚠","Check Data ⚠",IFERROR(VLOOKUP(AH186,'G-4 Temporal multipliers'!$A$4:$C$36,3,FALSE),""))</f>
        <v/>
      </c>
      <c r="AJ186" s="537" t="str">
        <f>IF(S186="","",VLOOKUP(S186,'G-3 Multipliers'!$A$2:$E$129,4,FALSE))</f>
        <v/>
      </c>
      <c r="AK186" s="520" t="str">
        <f t="shared" si="31"/>
        <v/>
      </c>
      <c r="AL186" s="520" t="str">
        <f t="shared" si="32"/>
        <v/>
      </c>
      <c r="AM186" s="524" t="str">
        <f>IFERROR(IF(F186="","",IF(AH186="Check Data ⚠","Check Data ⚠",VLOOKUP(AL186, 'G-3 Multipliers'!$P$2:$Q$6,2,FALSE))),"")</f>
        <v/>
      </c>
      <c r="AN186" s="197"/>
      <c r="AO186" s="540" t="str">
        <f>IF(AN186="","",IF(VLOOKUP(AN186,'G-3 Multipliers'!$S$3:$T$9,2,FALSE)=0,"Spatial Data Missing ⚠",VLOOKUP(AN186,'G-3 Multipliers'!$S$3:$T$9,2,FALSE)))</f>
        <v/>
      </c>
      <c r="AP186" s="513" t="str">
        <f t="shared" si="33"/>
        <v/>
      </c>
      <c r="AQ186" s="231"/>
      <c r="AR186" s="150"/>
    </row>
    <row r="187" spans="1:44" x14ac:dyDescent="0.3">
      <c r="A187" s="31" t="str">
        <f>IF(E187="","",IF(ISNA(VLOOKUP($E187,'D-1 Off Site Habitat Baseline'!$D$1:$O$258,2,FALSE)),"",(VLOOKUP($E187,'D-1 Off Site Habitat Baseline'!$D$1:$O$258,2,FALSE))))</f>
        <v/>
      </c>
      <c r="B187" s="31" t="str">
        <f>IF(E187="","",IF(ISNA(VLOOKUP($E187,'D-1 Off Site Habitat Baseline'!$D$1:$O$258,3,FALSE)),"",(VLOOKUP($E187,'D-1 Off Site Habitat Baseline'!$D$1:$O$258,3,FALSE))))</f>
        <v/>
      </c>
      <c r="C187" s="31" t="str">
        <f>IFERROR(INDEX('G-8 Condition Look up'!$I$4:$I$130,MATCH(S187,'G-8 Condition Look up'!$A$4:$A$130,0)),"")</f>
        <v/>
      </c>
      <c r="E187" s="547" t="str">
        <f>'D-1 Off Site Habitat Baseline'!AL186</f>
        <v/>
      </c>
      <c r="F187" s="520" t="str">
        <f>IF(E187="","",IF(ISNA(VLOOKUP($E187,'D-1 Off Site Habitat Baseline'!$D$1:$O$258,4,FALSE)),"",(VLOOKUP($E187,'D-1 Off Site Habitat Baseline'!$D$1:$O$258,4,FALSE))))</f>
        <v/>
      </c>
      <c r="G187" s="520" t="str">
        <f>IF(E187="","",IF(ISNA(VLOOKUP($E187,'D-1 Off Site Habitat Baseline'!$D$1:$O$258,5,FALSE)),"",(VLOOKUP($E187,'D-1 Off Site Habitat Baseline'!$D$1:$O$258,5,FALSE))))</f>
        <v/>
      </c>
      <c r="H187" s="520" t="str">
        <f>IF(E187="","",IF(ISNA(VLOOKUP($E187,'D-1 Off Site Habitat Baseline'!$D$1:$O$258,6,FALSE)),"",(VLOOKUP($E187,'D-1 Off Site Habitat Baseline'!$D$1:$O$258,6,FALSE))))</f>
        <v/>
      </c>
      <c r="I187" s="520" t="str">
        <f>IF(E187="","",IF(ISNA(VLOOKUP($E187,'D-1 Off Site Habitat Baseline'!$D$1:$O$258,7,FALSE)),"",(VLOOKUP($E187,'D-1 Off Site Habitat Baseline'!$D$1:$O$258,7,FALSE))))</f>
        <v/>
      </c>
      <c r="J187" s="520" t="str">
        <f>IF(E187="","",IF(ISNA(VLOOKUP($E187,'D-1 Off Site Habitat Baseline'!$D$1:$O$258,8,FALSE)),"",(VLOOKUP($E187,'D-1 Off Site Habitat Baseline'!$D$1:$O$258,8,FALSE))))</f>
        <v/>
      </c>
      <c r="K187" s="520" t="str">
        <f>IF(E187="","",IF(ISNA(VLOOKUP($E187,'D-1 Off Site Habitat Baseline'!$D$1:$O$258,9,FALSE)),"",(VLOOKUP($E187,'D-1 Off Site Habitat Baseline'!$D$1:$O$258,9,FALSE))))</f>
        <v/>
      </c>
      <c r="L187" s="520" t="str">
        <f>IF(E187="","",IF(ISNA(VLOOKUP($E187,'D-1 Off Site Habitat Baseline'!$D$1:$O$258,11,FALSE)),"",(VLOOKUP($E187,'D-1 Off Site Habitat Baseline'!$D$1:$O$258,11,FALSE))))</f>
        <v/>
      </c>
      <c r="M187" s="520" t="str">
        <f>IF(E187="","",IF(ISNA(VLOOKUP($E187,'D-1 Off Site Habitat Baseline'!$D$1:$O$258,12,FALSE)),"",(VLOOKUP($E187,'D-1 Off Site Habitat Baseline'!$D$1:$O$258,12,FALSE))))</f>
        <v/>
      </c>
      <c r="N187" s="520" t="str">
        <f>IF(E187="","",IF(ISNA(VLOOKUP($E187,'D-1 Off Site Habitat Baseline'!$D$1:$X$258,14,FALSE)),"",(VLOOKUP($E187,'D-1 Off Site Habitat Baseline'!$D$1:$X$258,14,FALSE))))</f>
        <v/>
      </c>
      <c r="O187" s="524" t="str">
        <f>IF(E187="","",IF(ISNA(VLOOKUP($E187,'D-1 Off Site Habitat Baseline'!$D$1:$X$258,13,FALSE)),"",(VLOOKUP($E187,'D-1 Off Site Habitat Baseline'!$D$1:$X$258,13,FALSE))))</f>
        <v/>
      </c>
      <c r="P187" s="232" t="str">
        <f>IFERROR(INDEX('G-1 All Habitats'!$AG$3:$AG$15,MATCH(Q187,'G-1 All Habitats'!$AF$3:$AF$15,0)),"")</f>
        <v/>
      </c>
      <c r="Q187" s="228" t="str">
        <f t="shared" si="34"/>
        <v/>
      </c>
      <c r="R187" s="229" t="str">
        <f t="shared" si="35"/>
        <v/>
      </c>
      <c r="S187" s="233" t="str">
        <f>IFERROR(INDEX('G-1 All Habitats'!$B$3:$B$129,MATCH(R187,'G-1 All Habitats'!$A$3:$A$129,0)),"")</f>
        <v/>
      </c>
      <c r="T187" s="507" t="str">
        <f t="shared" si="27"/>
        <v/>
      </c>
      <c r="U187" s="524" t="str">
        <f t="shared" si="28"/>
        <v/>
      </c>
      <c r="V187" s="523" t="str">
        <f t="shared" si="25"/>
        <v/>
      </c>
      <c r="W187" s="520" t="str">
        <f>IF(S187="","",VLOOKUP(S187,'G-1 All Habitats'!$B$2:$M$129,10,FALSE))</f>
        <v/>
      </c>
      <c r="X187" s="520" t="str">
        <f>IFERROR(VLOOKUP(W187,'G-1 All Habitats'!$V$3:$W$7,2,FALSE),"")</f>
        <v/>
      </c>
      <c r="Y187" s="203"/>
      <c r="Z187" s="524" t="str">
        <f>IFERROR(INDEX('G-8 Condition Look up'!$A$3:$H$130,MATCH(S187,'G-8 Condition Look up'!$A$3:$A$130,0),MATCH(Y187,'G-8 Condition Look up'!$A$3:$H$3,0)),"")</f>
        <v/>
      </c>
      <c r="AA187" s="145"/>
      <c r="AB187" s="540" t="str">
        <f>IF(AA187="","",IF(VLOOKUP(AA187,'G-3 Multipliers'!$L$3:$N$6,2,FALSE)=0,"Spatial Data Missing ⚠",VLOOKUP(AA187,'G-3 Multipliers'!$L$3:$N$6,2,FALSE)))</f>
        <v/>
      </c>
      <c r="AC187" s="524" t="str">
        <f>IF(AA187="","",IF(VLOOKUP(AA187,'G-3 Multipliers'!$L$3:$N$6,3,FALSE)=0,"Spatial Data Missing ⚠",VLOOKUP(AA187,'G-3 Multipliers'!$L$3:$N$6,3,FALSE)))</f>
        <v/>
      </c>
      <c r="AD187" s="537" t="str">
        <f t="shared" si="26"/>
        <v/>
      </c>
      <c r="AE187" s="203"/>
      <c r="AF187" s="203"/>
      <c r="AG187" s="520" t="str">
        <f t="shared" si="29"/>
        <v/>
      </c>
      <c r="AH187" s="544" t="str">
        <f t="shared" si="30"/>
        <v/>
      </c>
      <c r="AI187" s="525" t="str">
        <f>IF(AH187="Check Data ⚠","Check Data ⚠",IFERROR(VLOOKUP(AH187,'G-4 Temporal multipliers'!$A$4:$C$36,3,FALSE),""))</f>
        <v/>
      </c>
      <c r="AJ187" s="537" t="str">
        <f>IF(S187="","",VLOOKUP(S187,'G-3 Multipliers'!$A$2:$E$129,4,FALSE))</f>
        <v/>
      </c>
      <c r="AK187" s="520" t="str">
        <f t="shared" si="31"/>
        <v/>
      </c>
      <c r="AL187" s="520" t="str">
        <f t="shared" si="32"/>
        <v/>
      </c>
      <c r="AM187" s="524" t="str">
        <f>IFERROR(IF(F187="","",IF(AH187="Check Data ⚠","Check Data ⚠",VLOOKUP(AL187, 'G-3 Multipliers'!$P$2:$Q$6,2,FALSE))),"")</f>
        <v/>
      </c>
      <c r="AN187" s="197"/>
      <c r="AO187" s="540" t="str">
        <f>IF(AN187="","",IF(VLOOKUP(AN187,'G-3 Multipliers'!$S$3:$T$9,2,FALSE)=0,"Spatial Data Missing ⚠",VLOOKUP(AN187,'G-3 Multipliers'!$S$3:$T$9,2,FALSE)))</f>
        <v/>
      </c>
      <c r="AP187" s="513" t="str">
        <f t="shared" si="33"/>
        <v/>
      </c>
      <c r="AQ187" s="231"/>
      <c r="AR187" s="150"/>
    </row>
    <row r="188" spans="1:44" x14ac:dyDescent="0.3">
      <c r="A188" s="31" t="str">
        <f>IF(E188="","",IF(ISNA(VLOOKUP($E188,'D-1 Off Site Habitat Baseline'!$D$1:$O$258,2,FALSE)),"",(VLOOKUP($E188,'D-1 Off Site Habitat Baseline'!$D$1:$O$258,2,FALSE))))</f>
        <v/>
      </c>
      <c r="B188" s="31" t="str">
        <f>IF(E188="","",IF(ISNA(VLOOKUP($E188,'D-1 Off Site Habitat Baseline'!$D$1:$O$258,3,FALSE)),"",(VLOOKUP($E188,'D-1 Off Site Habitat Baseline'!$D$1:$O$258,3,FALSE))))</f>
        <v/>
      </c>
      <c r="C188" s="31" t="str">
        <f>IFERROR(INDEX('G-8 Condition Look up'!$I$4:$I$130,MATCH(S188,'G-8 Condition Look up'!$A$4:$A$130,0)),"")</f>
        <v/>
      </c>
      <c r="E188" s="547" t="str">
        <f>'D-1 Off Site Habitat Baseline'!AL187</f>
        <v/>
      </c>
      <c r="F188" s="520" t="str">
        <f>IF(E188="","",IF(ISNA(VLOOKUP($E188,'D-1 Off Site Habitat Baseline'!$D$1:$O$258,4,FALSE)),"",(VLOOKUP($E188,'D-1 Off Site Habitat Baseline'!$D$1:$O$258,4,FALSE))))</f>
        <v/>
      </c>
      <c r="G188" s="520" t="str">
        <f>IF(E188="","",IF(ISNA(VLOOKUP($E188,'D-1 Off Site Habitat Baseline'!$D$1:$O$258,5,FALSE)),"",(VLOOKUP($E188,'D-1 Off Site Habitat Baseline'!$D$1:$O$258,5,FALSE))))</f>
        <v/>
      </c>
      <c r="H188" s="520" t="str">
        <f>IF(E188="","",IF(ISNA(VLOOKUP($E188,'D-1 Off Site Habitat Baseline'!$D$1:$O$258,6,FALSE)),"",(VLOOKUP($E188,'D-1 Off Site Habitat Baseline'!$D$1:$O$258,6,FALSE))))</f>
        <v/>
      </c>
      <c r="I188" s="520" t="str">
        <f>IF(E188="","",IF(ISNA(VLOOKUP($E188,'D-1 Off Site Habitat Baseline'!$D$1:$O$258,7,FALSE)),"",(VLOOKUP($E188,'D-1 Off Site Habitat Baseline'!$D$1:$O$258,7,FALSE))))</f>
        <v/>
      </c>
      <c r="J188" s="520" t="str">
        <f>IF(E188="","",IF(ISNA(VLOOKUP($E188,'D-1 Off Site Habitat Baseline'!$D$1:$O$258,8,FALSE)),"",(VLOOKUP($E188,'D-1 Off Site Habitat Baseline'!$D$1:$O$258,8,FALSE))))</f>
        <v/>
      </c>
      <c r="K188" s="520" t="str">
        <f>IF(E188="","",IF(ISNA(VLOOKUP($E188,'D-1 Off Site Habitat Baseline'!$D$1:$O$258,9,FALSE)),"",(VLOOKUP($E188,'D-1 Off Site Habitat Baseline'!$D$1:$O$258,9,FALSE))))</f>
        <v/>
      </c>
      <c r="L188" s="520" t="str">
        <f>IF(E188="","",IF(ISNA(VLOOKUP($E188,'D-1 Off Site Habitat Baseline'!$D$1:$O$258,11,FALSE)),"",(VLOOKUP($E188,'D-1 Off Site Habitat Baseline'!$D$1:$O$258,11,FALSE))))</f>
        <v/>
      </c>
      <c r="M188" s="520" t="str">
        <f>IF(E188="","",IF(ISNA(VLOOKUP($E188,'D-1 Off Site Habitat Baseline'!$D$1:$O$258,12,FALSE)),"",(VLOOKUP($E188,'D-1 Off Site Habitat Baseline'!$D$1:$O$258,12,FALSE))))</f>
        <v/>
      </c>
      <c r="N188" s="520" t="str">
        <f>IF(E188="","",IF(ISNA(VLOOKUP($E188,'D-1 Off Site Habitat Baseline'!$D$1:$X$258,14,FALSE)),"",(VLOOKUP($E188,'D-1 Off Site Habitat Baseline'!$D$1:$X$258,14,FALSE))))</f>
        <v/>
      </c>
      <c r="O188" s="524" t="str">
        <f>IF(E188="","",IF(ISNA(VLOOKUP($E188,'D-1 Off Site Habitat Baseline'!$D$1:$X$258,13,FALSE)),"",(VLOOKUP($E188,'D-1 Off Site Habitat Baseline'!$D$1:$X$258,13,FALSE))))</f>
        <v/>
      </c>
      <c r="P188" s="232" t="str">
        <f>IFERROR(INDEX('G-1 All Habitats'!$AG$3:$AG$15,MATCH(Q188,'G-1 All Habitats'!$AF$3:$AF$15,0)),"")</f>
        <v/>
      </c>
      <c r="Q188" s="228" t="str">
        <f t="shared" si="34"/>
        <v/>
      </c>
      <c r="R188" s="229" t="str">
        <f t="shared" si="35"/>
        <v/>
      </c>
      <c r="S188" s="233" t="str">
        <f>IFERROR(INDEX('G-1 All Habitats'!$B$3:$B$129,MATCH(R188,'G-1 All Habitats'!$A$3:$A$129,0)),"")</f>
        <v/>
      </c>
      <c r="T188" s="507" t="str">
        <f t="shared" si="27"/>
        <v/>
      </c>
      <c r="U188" s="524" t="str">
        <f t="shared" si="28"/>
        <v/>
      </c>
      <c r="V188" s="523" t="str">
        <f t="shared" si="25"/>
        <v/>
      </c>
      <c r="W188" s="520" t="str">
        <f>IF(S188="","",VLOOKUP(S188,'G-1 All Habitats'!$B$2:$M$129,10,FALSE))</f>
        <v/>
      </c>
      <c r="X188" s="520" t="str">
        <f>IFERROR(VLOOKUP(W188,'G-1 All Habitats'!$V$3:$W$7,2,FALSE),"")</f>
        <v/>
      </c>
      <c r="Y188" s="203"/>
      <c r="Z188" s="524" t="str">
        <f>IFERROR(INDEX('G-8 Condition Look up'!$A$3:$H$130,MATCH(S188,'G-8 Condition Look up'!$A$3:$A$130,0),MATCH(Y188,'G-8 Condition Look up'!$A$3:$H$3,0)),"")</f>
        <v/>
      </c>
      <c r="AA188" s="145"/>
      <c r="AB188" s="540" t="str">
        <f>IF(AA188="","",IF(VLOOKUP(AA188,'G-3 Multipliers'!$L$3:$N$6,2,FALSE)=0,"Spatial Data Missing ⚠",VLOOKUP(AA188,'G-3 Multipliers'!$L$3:$N$6,2,FALSE)))</f>
        <v/>
      </c>
      <c r="AC188" s="524" t="str">
        <f>IF(AA188="","",IF(VLOOKUP(AA188,'G-3 Multipliers'!$L$3:$N$6,3,FALSE)=0,"Spatial Data Missing ⚠",VLOOKUP(AA188,'G-3 Multipliers'!$L$3:$N$6,3,FALSE)))</f>
        <v/>
      </c>
      <c r="AD188" s="537" t="str">
        <f t="shared" si="26"/>
        <v/>
      </c>
      <c r="AE188" s="203"/>
      <c r="AF188" s="203"/>
      <c r="AG188" s="520" t="str">
        <f t="shared" si="29"/>
        <v/>
      </c>
      <c r="AH188" s="544" t="str">
        <f t="shared" si="30"/>
        <v/>
      </c>
      <c r="AI188" s="525" t="str">
        <f>IF(AH188="Check Data ⚠","Check Data ⚠",IFERROR(VLOOKUP(AH188,'G-4 Temporal multipliers'!$A$4:$C$36,3,FALSE),""))</f>
        <v/>
      </c>
      <c r="AJ188" s="537" t="str">
        <f>IF(S188="","",VLOOKUP(S188,'G-3 Multipliers'!$A$2:$E$129,4,FALSE))</f>
        <v/>
      </c>
      <c r="AK188" s="520" t="str">
        <f t="shared" si="31"/>
        <v/>
      </c>
      <c r="AL188" s="520" t="str">
        <f t="shared" si="32"/>
        <v/>
      </c>
      <c r="AM188" s="524" t="str">
        <f>IFERROR(IF(F188="","",IF(AH188="Check Data ⚠","Check Data ⚠",VLOOKUP(AL188, 'G-3 Multipliers'!$P$2:$Q$6,2,FALSE))),"")</f>
        <v/>
      </c>
      <c r="AN188" s="197"/>
      <c r="AO188" s="540" t="str">
        <f>IF(AN188="","",IF(VLOOKUP(AN188,'G-3 Multipliers'!$S$3:$T$9,2,FALSE)=0,"Spatial Data Missing ⚠",VLOOKUP(AN188,'G-3 Multipliers'!$S$3:$T$9,2,FALSE)))</f>
        <v/>
      </c>
      <c r="AP188" s="513" t="str">
        <f t="shared" si="33"/>
        <v/>
      </c>
      <c r="AQ188" s="231"/>
      <c r="AR188" s="150"/>
    </row>
    <row r="189" spans="1:44" x14ac:dyDescent="0.3">
      <c r="A189" s="31" t="str">
        <f>IF(E189="","",IF(ISNA(VLOOKUP($E189,'D-1 Off Site Habitat Baseline'!$D$1:$O$258,2,FALSE)),"",(VLOOKUP($E189,'D-1 Off Site Habitat Baseline'!$D$1:$O$258,2,FALSE))))</f>
        <v/>
      </c>
      <c r="B189" s="31" t="str">
        <f>IF(E189="","",IF(ISNA(VLOOKUP($E189,'D-1 Off Site Habitat Baseline'!$D$1:$O$258,3,FALSE)),"",(VLOOKUP($E189,'D-1 Off Site Habitat Baseline'!$D$1:$O$258,3,FALSE))))</f>
        <v/>
      </c>
      <c r="C189" s="31" t="str">
        <f>IFERROR(INDEX('G-8 Condition Look up'!$I$4:$I$130,MATCH(S189,'G-8 Condition Look up'!$A$4:$A$130,0)),"")</f>
        <v/>
      </c>
      <c r="E189" s="547" t="str">
        <f>'D-1 Off Site Habitat Baseline'!AL188</f>
        <v/>
      </c>
      <c r="F189" s="520" t="str">
        <f>IF(E189="","",IF(ISNA(VLOOKUP($E189,'D-1 Off Site Habitat Baseline'!$D$1:$O$258,4,FALSE)),"",(VLOOKUP($E189,'D-1 Off Site Habitat Baseline'!$D$1:$O$258,4,FALSE))))</f>
        <v/>
      </c>
      <c r="G189" s="520" t="str">
        <f>IF(E189="","",IF(ISNA(VLOOKUP($E189,'D-1 Off Site Habitat Baseline'!$D$1:$O$258,5,FALSE)),"",(VLOOKUP($E189,'D-1 Off Site Habitat Baseline'!$D$1:$O$258,5,FALSE))))</f>
        <v/>
      </c>
      <c r="H189" s="520" t="str">
        <f>IF(E189="","",IF(ISNA(VLOOKUP($E189,'D-1 Off Site Habitat Baseline'!$D$1:$O$258,6,FALSE)),"",(VLOOKUP($E189,'D-1 Off Site Habitat Baseline'!$D$1:$O$258,6,FALSE))))</f>
        <v/>
      </c>
      <c r="I189" s="520" t="str">
        <f>IF(E189="","",IF(ISNA(VLOOKUP($E189,'D-1 Off Site Habitat Baseline'!$D$1:$O$258,7,FALSE)),"",(VLOOKUP($E189,'D-1 Off Site Habitat Baseline'!$D$1:$O$258,7,FALSE))))</f>
        <v/>
      </c>
      <c r="J189" s="520" t="str">
        <f>IF(E189="","",IF(ISNA(VLOOKUP($E189,'D-1 Off Site Habitat Baseline'!$D$1:$O$258,8,FALSE)),"",(VLOOKUP($E189,'D-1 Off Site Habitat Baseline'!$D$1:$O$258,8,FALSE))))</f>
        <v/>
      </c>
      <c r="K189" s="520" t="str">
        <f>IF(E189="","",IF(ISNA(VLOOKUP($E189,'D-1 Off Site Habitat Baseline'!$D$1:$O$258,9,FALSE)),"",(VLOOKUP($E189,'D-1 Off Site Habitat Baseline'!$D$1:$O$258,9,FALSE))))</f>
        <v/>
      </c>
      <c r="L189" s="520" t="str">
        <f>IF(E189="","",IF(ISNA(VLOOKUP($E189,'D-1 Off Site Habitat Baseline'!$D$1:$O$258,11,FALSE)),"",(VLOOKUP($E189,'D-1 Off Site Habitat Baseline'!$D$1:$O$258,11,FALSE))))</f>
        <v/>
      </c>
      <c r="M189" s="520" t="str">
        <f>IF(E189="","",IF(ISNA(VLOOKUP($E189,'D-1 Off Site Habitat Baseline'!$D$1:$O$258,12,FALSE)),"",(VLOOKUP($E189,'D-1 Off Site Habitat Baseline'!$D$1:$O$258,12,FALSE))))</f>
        <v/>
      </c>
      <c r="N189" s="520" t="str">
        <f>IF(E189="","",IF(ISNA(VLOOKUP($E189,'D-1 Off Site Habitat Baseline'!$D$1:$X$258,14,FALSE)),"",(VLOOKUP($E189,'D-1 Off Site Habitat Baseline'!$D$1:$X$258,14,FALSE))))</f>
        <v/>
      </c>
      <c r="O189" s="524" t="str">
        <f>IF(E189="","",IF(ISNA(VLOOKUP($E189,'D-1 Off Site Habitat Baseline'!$D$1:$X$258,13,FALSE)),"",(VLOOKUP($E189,'D-1 Off Site Habitat Baseline'!$D$1:$X$258,13,FALSE))))</f>
        <v/>
      </c>
      <c r="P189" s="232" t="str">
        <f>IFERROR(INDEX('G-1 All Habitats'!$AG$3:$AG$15,MATCH(Q189,'G-1 All Habitats'!$AF$3:$AF$15,0)),"")</f>
        <v/>
      </c>
      <c r="Q189" s="228" t="str">
        <f t="shared" si="34"/>
        <v/>
      </c>
      <c r="R189" s="229" t="str">
        <f t="shared" si="35"/>
        <v/>
      </c>
      <c r="S189" s="233" t="str">
        <f>IFERROR(INDEX('G-1 All Habitats'!$B$3:$B$129,MATCH(R189,'G-1 All Habitats'!$A$3:$A$129,0)),"")</f>
        <v/>
      </c>
      <c r="T189" s="507" t="str">
        <f t="shared" si="27"/>
        <v/>
      </c>
      <c r="U189" s="524" t="str">
        <f t="shared" si="28"/>
        <v/>
      </c>
      <c r="V189" s="523" t="str">
        <f t="shared" si="25"/>
        <v/>
      </c>
      <c r="W189" s="520" t="str">
        <f>IF(S189="","",VLOOKUP(S189,'G-1 All Habitats'!$B$2:$M$129,10,FALSE))</f>
        <v/>
      </c>
      <c r="X189" s="520" t="str">
        <f>IFERROR(VLOOKUP(W189,'G-1 All Habitats'!$V$3:$W$7,2,FALSE),"")</f>
        <v/>
      </c>
      <c r="Y189" s="203"/>
      <c r="Z189" s="524" t="str">
        <f>IFERROR(INDEX('G-8 Condition Look up'!$A$3:$H$130,MATCH(S189,'G-8 Condition Look up'!$A$3:$A$130,0),MATCH(Y189,'G-8 Condition Look up'!$A$3:$H$3,0)),"")</f>
        <v/>
      </c>
      <c r="AA189" s="145"/>
      <c r="AB189" s="540" t="str">
        <f>IF(AA189="","",IF(VLOOKUP(AA189,'G-3 Multipliers'!$L$3:$N$6,2,FALSE)=0,"Spatial Data Missing ⚠",VLOOKUP(AA189,'G-3 Multipliers'!$L$3:$N$6,2,FALSE)))</f>
        <v/>
      </c>
      <c r="AC189" s="524" t="str">
        <f>IF(AA189="","",IF(VLOOKUP(AA189,'G-3 Multipliers'!$L$3:$N$6,3,FALSE)=0,"Spatial Data Missing ⚠",VLOOKUP(AA189,'G-3 Multipliers'!$L$3:$N$6,3,FALSE)))</f>
        <v/>
      </c>
      <c r="AD189" s="537" t="str">
        <f t="shared" si="26"/>
        <v/>
      </c>
      <c r="AE189" s="203"/>
      <c r="AF189" s="203"/>
      <c r="AG189" s="520" t="str">
        <f t="shared" si="29"/>
        <v/>
      </c>
      <c r="AH189" s="544" t="str">
        <f t="shared" si="30"/>
        <v/>
      </c>
      <c r="AI189" s="525" t="str">
        <f>IF(AH189="Check Data ⚠","Check Data ⚠",IFERROR(VLOOKUP(AH189,'G-4 Temporal multipliers'!$A$4:$C$36,3,FALSE),""))</f>
        <v/>
      </c>
      <c r="AJ189" s="537" t="str">
        <f>IF(S189="","",VLOOKUP(S189,'G-3 Multipliers'!$A$2:$E$129,4,FALSE))</f>
        <v/>
      </c>
      <c r="AK189" s="520" t="str">
        <f t="shared" si="31"/>
        <v/>
      </c>
      <c r="AL189" s="520" t="str">
        <f t="shared" si="32"/>
        <v/>
      </c>
      <c r="AM189" s="524" t="str">
        <f>IFERROR(IF(F189="","",IF(AH189="Check Data ⚠","Check Data ⚠",VLOOKUP(AL189, 'G-3 Multipliers'!$P$2:$Q$6,2,FALSE))),"")</f>
        <v/>
      </c>
      <c r="AN189" s="197"/>
      <c r="AO189" s="540" t="str">
        <f>IF(AN189="","",IF(VLOOKUP(AN189,'G-3 Multipliers'!$S$3:$T$9,2,FALSE)=0,"Spatial Data Missing ⚠",VLOOKUP(AN189,'G-3 Multipliers'!$S$3:$T$9,2,FALSE)))</f>
        <v/>
      </c>
      <c r="AP189" s="513" t="str">
        <f t="shared" si="33"/>
        <v/>
      </c>
      <c r="AQ189" s="231"/>
      <c r="AR189" s="150"/>
    </row>
    <row r="190" spans="1:44" x14ac:dyDescent="0.3">
      <c r="A190" s="31" t="str">
        <f>IF(E190="","",IF(ISNA(VLOOKUP($E190,'D-1 Off Site Habitat Baseline'!$D$1:$O$258,2,FALSE)),"",(VLOOKUP($E190,'D-1 Off Site Habitat Baseline'!$D$1:$O$258,2,FALSE))))</f>
        <v/>
      </c>
      <c r="B190" s="31" t="str">
        <f>IF(E190="","",IF(ISNA(VLOOKUP($E190,'D-1 Off Site Habitat Baseline'!$D$1:$O$258,3,FALSE)),"",(VLOOKUP($E190,'D-1 Off Site Habitat Baseline'!$D$1:$O$258,3,FALSE))))</f>
        <v/>
      </c>
      <c r="C190" s="31" t="str">
        <f>IFERROR(INDEX('G-8 Condition Look up'!$I$4:$I$130,MATCH(S190,'G-8 Condition Look up'!$A$4:$A$130,0)),"")</f>
        <v/>
      </c>
      <c r="E190" s="547" t="str">
        <f>'D-1 Off Site Habitat Baseline'!AL189</f>
        <v/>
      </c>
      <c r="F190" s="520" t="str">
        <f>IF(E190="","",IF(ISNA(VLOOKUP($E190,'D-1 Off Site Habitat Baseline'!$D$1:$O$258,4,FALSE)),"",(VLOOKUP($E190,'D-1 Off Site Habitat Baseline'!$D$1:$O$258,4,FALSE))))</f>
        <v/>
      </c>
      <c r="G190" s="520" t="str">
        <f>IF(E190="","",IF(ISNA(VLOOKUP($E190,'D-1 Off Site Habitat Baseline'!$D$1:$O$258,5,FALSE)),"",(VLOOKUP($E190,'D-1 Off Site Habitat Baseline'!$D$1:$O$258,5,FALSE))))</f>
        <v/>
      </c>
      <c r="H190" s="520" t="str">
        <f>IF(E190="","",IF(ISNA(VLOOKUP($E190,'D-1 Off Site Habitat Baseline'!$D$1:$O$258,6,FALSE)),"",(VLOOKUP($E190,'D-1 Off Site Habitat Baseline'!$D$1:$O$258,6,FALSE))))</f>
        <v/>
      </c>
      <c r="I190" s="520" t="str">
        <f>IF(E190="","",IF(ISNA(VLOOKUP($E190,'D-1 Off Site Habitat Baseline'!$D$1:$O$258,7,FALSE)),"",(VLOOKUP($E190,'D-1 Off Site Habitat Baseline'!$D$1:$O$258,7,FALSE))))</f>
        <v/>
      </c>
      <c r="J190" s="520" t="str">
        <f>IF(E190="","",IF(ISNA(VLOOKUP($E190,'D-1 Off Site Habitat Baseline'!$D$1:$O$258,8,FALSE)),"",(VLOOKUP($E190,'D-1 Off Site Habitat Baseline'!$D$1:$O$258,8,FALSE))))</f>
        <v/>
      </c>
      <c r="K190" s="520" t="str">
        <f>IF(E190="","",IF(ISNA(VLOOKUP($E190,'D-1 Off Site Habitat Baseline'!$D$1:$O$258,9,FALSE)),"",(VLOOKUP($E190,'D-1 Off Site Habitat Baseline'!$D$1:$O$258,9,FALSE))))</f>
        <v/>
      </c>
      <c r="L190" s="520" t="str">
        <f>IF(E190="","",IF(ISNA(VLOOKUP($E190,'D-1 Off Site Habitat Baseline'!$D$1:$O$258,11,FALSE)),"",(VLOOKUP($E190,'D-1 Off Site Habitat Baseline'!$D$1:$O$258,11,FALSE))))</f>
        <v/>
      </c>
      <c r="M190" s="520" t="str">
        <f>IF(E190="","",IF(ISNA(VLOOKUP($E190,'D-1 Off Site Habitat Baseline'!$D$1:$O$258,12,FALSE)),"",(VLOOKUP($E190,'D-1 Off Site Habitat Baseline'!$D$1:$O$258,12,FALSE))))</f>
        <v/>
      </c>
      <c r="N190" s="520" t="str">
        <f>IF(E190="","",IF(ISNA(VLOOKUP($E190,'D-1 Off Site Habitat Baseline'!$D$1:$X$258,14,FALSE)),"",(VLOOKUP($E190,'D-1 Off Site Habitat Baseline'!$D$1:$X$258,14,FALSE))))</f>
        <v/>
      </c>
      <c r="O190" s="524" t="str">
        <f>IF(E190="","",IF(ISNA(VLOOKUP($E190,'D-1 Off Site Habitat Baseline'!$D$1:$X$258,13,FALSE)),"",(VLOOKUP($E190,'D-1 Off Site Habitat Baseline'!$D$1:$X$258,13,FALSE))))</f>
        <v/>
      </c>
      <c r="P190" s="232" t="str">
        <f>IFERROR(INDEX('G-1 All Habitats'!$AG$3:$AG$15,MATCH(Q190,'G-1 All Habitats'!$AF$3:$AF$15,0)),"")</f>
        <v/>
      </c>
      <c r="Q190" s="228" t="str">
        <f t="shared" si="34"/>
        <v/>
      </c>
      <c r="R190" s="229" t="str">
        <f t="shared" si="35"/>
        <v/>
      </c>
      <c r="S190" s="233" t="str">
        <f>IFERROR(INDEX('G-1 All Habitats'!$B$3:$B$129,MATCH(R190,'G-1 All Habitats'!$A$3:$A$129,0)),"")</f>
        <v/>
      </c>
      <c r="T190" s="507" t="str">
        <f t="shared" si="27"/>
        <v/>
      </c>
      <c r="U190" s="524" t="str">
        <f t="shared" si="28"/>
        <v/>
      </c>
      <c r="V190" s="523" t="str">
        <f t="shared" si="25"/>
        <v/>
      </c>
      <c r="W190" s="520" t="str">
        <f>IF(S190="","",VLOOKUP(S190,'G-1 All Habitats'!$B$2:$M$129,10,FALSE))</f>
        <v/>
      </c>
      <c r="X190" s="520" t="str">
        <f>IFERROR(VLOOKUP(W190,'G-1 All Habitats'!$V$3:$W$7,2,FALSE),"")</f>
        <v/>
      </c>
      <c r="Y190" s="203"/>
      <c r="Z190" s="524" t="str">
        <f>IFERROR(INDEX('G-8 Condition Look up'!$A$3:$H$130,MATCH(S190,'G-8 Condition Look up'!$A$3:$A$130,0),MATCH(Y190,'G-8 Condition Look up'!$A$3:$H$3,0)),"")</f>
        <v/>
      </c>
      <c r="AA190" s="145"/>
      <c r="AB190" s="540" t="str">
        <f>IF(AA190="","",IF(VLOOKUP(AA190,'G-3 Multipliers'!$L$3:$N$6,2,FALSE)=0,"Spatial Data Missing ⚠",VLOOKUP(AA190,'G-3 Multipliers'!$L$3:$N$6,2,FALSE)))</f>
        <v/>
      </c>
      <c r="AC190" s="524" t="str">
        <f>IF(AA190="","",IF(VLOOKUP(AA190,'G-3 Multipliers'!$L$3:$N$6,3,FALSE)=0,"Spatial Data Missing ⚠",VLOOKUP(AA190,'G-3 Multipliers'!$L$3:$N$6,3,FALSE)))</f>
        <v/>
      </c>
      <c r="AD190" s="537" t="str">
        <f t="shared" si="26"/>
        <v/>
      </c>
      <c r="AE190" s="203"/>
      <c r="AF190" s="203"/>
      <c r="AG190" s="520" t="str">
        <f t="shared" si="29"/>
        <v/>
      </c>
      <c r="AH190" s="544" t="str">
        <f t="shared" si="30"/>
        <v/>
      </c>
      <c r="AI190" s="525" t="str">
        <f>IF(AH190="Check Data ⚠","Check Data ⚠",IFERROR(VLOOKUP(AH190,'G-4 Temporal multipliers'!$A$4:$C$36,3,FALSE),""))</f>
        <v/>
      </c>
      <c r="AJ190" s="537" t="str">
        <f>IF(S190="","",VLOOKUP(S190,'G-3 Multipliers'!$A$2:$E$129,4,FALSE))</f>
        <v/>
      </c>
      <c r="AK190" s="520" t="str">
        <f t="shared" si="31"/>
        <v/>
      </c>
      <c r="AL190" s="520" t="str">
        <f t="shared" si="32"/>
        <v/>
      </c>
      <c r="AM190" s="524" t="str">
        <f>IFERROR(IF(F190="","",IF(AH190="Check Data ⚠","Check Data ⚠",VLOOKUP(AL190, 'G-3 Multipliers'!$P$2:$Q$6,2,FALSE))),"")</f>
        <v/>
      </c>
      <c r="AN190" s="197"/>
      <c r="AO190" s="540" t="str">
        <f>IF(AN190="","",IF(VLOOKUP(AN190,'G-3 Multipliers'!$S$3:$T$9,2,FALSE)=0,"Spatial Data Missing ⚠",VLOOKUP(AN190,'G-3 Multipliers'!$S$3:$T$9,2,FALSE)))</f>
        <v/>
      </c>
      <c r="AP190" s="513" t="str">
        <f t="shared" si="33"/>
        <v/>
      </c>
      <c r="AQ190" s="231"/>
      <c r="AR190" s="150"/>
    </row>
    <row r="191" spans="1:44" x14ac:dyDescent="0.3">
      <c r="A191" s="31" t="str">
        <f>IF(E191="","",IF(ISNA(VLOOKUP($E191,'D-1 Off Site Habitat Baseline'!$D$1:$O$258,2,FALSE)),"",(VLOOKUP($E191,'D-1 Off Site Habitat Baseline'!$D$1:$O$258,2,FALSE))))</f>
        <v/>
      </c>
      <c r="B191" s="31" t="str">
        <f>IF(E191="","",IF(ISNA(VLOOKUP($E191,'D-1 Off Site Habitat Baseline'!$D$1:$O$258,3,FALSE)),"",(VLOOKUP($E191,'D-1 Off Site Habitat Baseline'!$D$1:$O$258,3,FALSE))))</f>
        <v/>
      </c>
      <c r="C191" s="31" t="str">
        <f>IFERROR(INDEX('G-8 Condition Look up'!$I$4:$I$130,MATCH(S191,'G-8 Condition Look up'!$A$4:$A$130,0)),"")</f>
        <v/>
      </c>
      <c r="E191" s="547" t="str">
        <f>'D-1 Off Site Habitat Baseline'!AL190</f>
        <v/>
      </c>
      <c r="F191" s="520" t="str">
        <f>IF(E191="","",IF(ISNA(VLOOKUP($E191,'D-1 Off Site Habitat Baseline'!$D$1:$O$258,4,FALSE)),"",(VLOOKUP($E191,'D-1 Off Site Habitat Baseline'!$D$1:$O$258,4,FALSE))))</f>
        <v/>
      </c>
      <c r="G191" s="520" t="str">
        <f>IF(E191="","",IF(ISNA(VLOOKUP($E191,'D-1 Off Site Habitat Baseline'!$D$1:$O$258,5,FALSE)),"",(VLOOKUP($E191,'D-1 Off Site Habitat Baseline'!$D$1:$O$258,5,FALSE))))</f>
        <v/>
      </c>
      <c r="H191" s="520" t="str">
        <f>IF(E191="","",IF(ISNA(VLOOKUP($E191,'D-1 Off Site Habitat Baseline'!$D$1:$O$258,6,FALSE)),"",(VLOOKUP($E191,'D-1 Off Site Habitat Baseline'!$D$1:$O$258,6,FALSE))))</f>
        <v/>
      </c>
      <c r="I191" s="520" t="str">
        <f>IF(E191="","",IF(ISNA(VLOOKUP($E191,'D-1 Off Site Habitat Baseline'!$D$1:$O$258,7,FALSE)),"",(VLOOKUP($E191,'D-1 Off Site Habitat Baseline'!$D$1:$O$258,7,FALSE))))</f>
        <v/>
      </c>
      <c r="J191" s="520" t="str">
        <f>IF(E191="","",IF(ISNA(VLOOKUP($E191,'D-1 Off Site Habitat Baseline'!$D$1:$O$258,8,FALSE)),"",(VLOOKUP($E191,'D-1 Off Site Habitat Baseline'!$D$1:$O$258,8,FALSE))))</f>
        <v/>
      </c>
      <c r="K191" s="520" t="str">
        <f>IF(E191="","",IF(ISNA(VLOOKUP($E191,'D-1 Off Site Habitat Baseline'!$D$1:$O$258,9,FALSE)),"",(VLOOKUP($E191,'D-1 Off Site Habitat Baseline'!$D$1:$O$258,9,FALSE))))</f>
        <v/>
      </c>
      <c r="L191" s="520" t="str">
        <f>IF(E191="","",IF(ISNA(VLOOKUP($E191,'D-1 Off Site Habitat Baseline'!$D$1:$O$258,11,FALSE)),"",(VLOOKUP($E191,'D-1 Off Site Habitat Baseline'!$D$1:$O$258,11,FALSE))))</f>
        <v/>
      </c>
      <c r="M191" s="520" t="str">
        <f>IF(E191="","",IF(ISNA(VLOOKUP($E191,'D-1 Off Site Habitat Baseline'!$D$1:$O$258,12,FALSE)),"",(VLOOKUP($E191,'D-1 Off Site Habitat Baseline'!$D$1:$O$258,12,FALSE))))</f>
        <v/>
      </c>
      <c r="N191" s="520" t="str">
        <f>IF(E191="","",IF(ISNA(VLOOKUP($E191,'D-1 Off Site Habitat Baseline'!$D$1:$X$258,14,FALSE)),"",(VLOOKUP($E191,'D-1 Off Site Habitat Baseline'!$D$1:$X$258,14,FALSE))))</f>
        <v/>
      </c>
      <c r="O191" s="524" t="str">
        <f>IF(E191="","",IF(ISNA(VLOOKUP($E191,'D-1 Off Site Habitat Baseline'!$D$1:$X$258,13,FALSE)),"",(VLOOKUP($E191,'D-1 Off Site Habitat Baseline'!$D$1:$X$258,13,FALSE))))</f>
        <v/>
      </c>
      <c r="P191" s="232" t="str">
        <f>IFERROR(INDEX('G-1 All Habitats'!$AG$3:$AG$15,MATCH(Q191,'G-1 All Habitats'!$AF$3:$AF$15,0)),"")</f>
        <v/>
      </c>
      <c r="Q191" s="228" t="str">
        <f t="shared" si="34"/>
        <v/>
      </c>
      <c r="R191" s="229" t="str">
        <f t="shared" si="35"/>
        <v/>
      </c>
      <c r="S191" s="233" t="str">
        <f>IFERROR(INDEX('G-1 All Habitats'!$B$3:$B$129,MATCH(R191,'G-1 All Habitats'!$A$3:$A$129,0)),"")</f>
        <v/>
      </c>
      <c r="T191" s="507" t="str">
        <f t="shared" si="27"/>
        <v/>
      </c>
      <c r="U191" s="524" t="str">
        <f t="shared" si="28"/>
        <v/>
      </c>
      <c r="V191" s="523" t="str">
        <f t="shared" si="25"/>
        <v/>
      </c>
      <c r="W191" s="520" t="str">
        <f>IF(S191="","",VLOOKUP(S191,'G-1 All Habitats'!$B$2:$M$129,10,FALSE))</f>
        <v/>
      </c>
      <c r="X191" s="520" t="str">
        <f>IFERROR(VLOOKUP(W191,'G-1 All Habitats'!$V$3:$W$7,2,FALSE),"")</f>
        <v/>
      </c>
      <c r="Y191" s="203"/>
      <c r="Z191" s="524" t="str">
        <f>IFERROR(INDEX('G-8 Condition Look up'!$A$3:$H$130,MATCH(S191,'G-8 Condition Look up'!$A$3:$A$130,0),MATCH(Y191,'G-8 Condition Look up'!$A$3:$H$3,0)),"")</f>
        <v/>
      </c>
      <c r="AA191" s="145"/>
      <c r="AB191" s="540" t="str">
        <f>IF(AA191="","",IF(VLOOKUP(AA191,'G-3 Multipliers'!$L$3:$N$6,2,FALSE)=0,"Spatial Data Missing ⚠",VLOOKUP(AA191,'G-3 Multipliers'!$L$3:$N$6,2,FALSE)))</f>
        <v/>
      </c>
      <c r="AC191" s="524" t="str">
        <f>IF(AA191="","",IF(VLOOKUP(AA191,'G-3 Multipliers'!$L$3:$N$6,3,FALSE)=0,"Spatial Data Missing ⚠",VLOOKUP(AA191,'G-3 Multipliers'!$L$3:$N$6,3,FALSE)))</f>
        <v/>
      </c>
      <c r="AD191" s="537" t="str">
        <f t="shared" si="26"/>
        <v/>
      </c>
      <c r="AE191" s="203"/>
      <c r="AF191" s="203"/>
      <c r="AG191" s="520" t="str">
        <f t="shared" si="29"/>
        <v/>
      </c>
      <c r="AH191" s="544" t="str">
        <f t="shared" si="30"/>
        <v/>
      </c>
      <c r="AI191" s="525" t="str">
        <f>IF(AH191="Check Data ⚠","Check Data ⚠",IFERROR(VLOOKUP(AH191,'G-4 Temporal multipliers'!$A$4:$C$36,3,FALSE),""))</f>
        <v/>
      </c>
      <c r="AJ191" s="537" t="str">
        <f>IF(S191="","",VLOOKUP(S191,'G-3 Multipliers'!$A$2:$E$129,4,FALSE))</f>
        <v/>
      </c>
      <c r="AK191" s="520" t="str">
        <f t="shared" si="31"/>
        <v/>
      </c>
      <c r="AL191" s="520" t="str">
        <f t="shared" si="32"/>
        <v/>
      </c>
      <c r="AM191" s="524" t="str">
        <f>IFERROR(IF(F191="","",IF(AH191="Check Data ⚠","Check Data ⚠",VLOOKUP(AL191, 'G-3 Multipliers'!$P$2:$Q$6,2,FALSE))),"")</f>
        <v/>
      </c>
      <c r="AN191" s="197"/>
      <c r="AO191" s="540" t="str">
        <f>IF(AN191="","",IF(VLOOKUP(AN191,'G-3 Multipliers'!$S$3:$T$9,2,FALSE)=0,"Spatial Data Missing ⚠",VLOOKUP(AN191,'G-3 Multipliers'!$S$3:$T$9,2,FALSE)))</f>
        <v/>
      </c>
      <c r="AP191" s="513" t="str">
        <f t="shared" si="33"/>
        <v/>
      </c>
      <c r="AQ191" s="231"/>
      <c r="AR191" s="150"/>
    </row>
    <row r="192" spans="1:44" x14ac:dyDescent="0.3">
      <c r="A192" s="31" t="str">
        <f>IF(E192="","",IF(ISNA(VLOOKUP($E192,'D-1 Off Site Habitat Baseline'!$D$1:$O$258,2,FALSE)),"",(VLOOKUP($E192,'D-1 Off Site Habitat Baseline'!$D$1:$O$258,2,FALSE))))</f>
        <v/>
      </c>
      <c r="B192" s="31" t="str">
        <f>IF(E192="","",IF(ISNA(VLOOKUP($E192,'D-1 Off Site Habitat Baseline'!$D$1:$O$258,3,FALSE)),"",(VLOOKUP($E192,'D-1 Off Site Habitat Baseline'!$D$1:$O$258,3,FALSE))))</f>
        <v/>
      </c>
      <c r="C192" s="31" t="str">
        <f>IFERROR(INDEX('G-8 Condition Look up'!$I$4:$I$130,MATCH(S192,'G-8 Condition Look up'!$A$4:$A$130,0)),"")</f>
        <v/>
      </c>
      <c r="E192" s="547" t="str">
        <f>'D-1 Off Site Habitat Baseline'!AL191</f>
        <v/>
      </c>
      <c r="F192" s="520" t="str">
        <f>IF(E192="","",IF(ISNA(VLOOKUP($E192,'D-1 Off Site Habitat Baseline'!$D$1:$O$258,4,FALSE)),"",(VLOOKUP($E192,'D-1 Off Site Habitat Baseline'!$D$1:$O$258,4,FALSE))))</f>
        <v/>
      </c>
      <c r="G192" s="520" t="str">
        <f>IF(E192="","",IF(ISNA(VLOOKUP($E192,'D-1 Off Site Habitat Baseline'!$D$1:$O$258,5,FALSE)),"",(VLOOKUP($E192,'D-1 Off Site Habitat Baseline'!$D$1:$O$258,5,FALSE))))</f>
        <v/>
      </c>
      <c r="H192" s="520" t="str">
        <f>IF(E192="","",IF(ISNA(VLOOKUP($E192,'D-1 Off Site Habitat Baseline'!$D$1:$O$258,6,FALSE)),"",(VLOOKUP($E192,'D-1 Off Site Habitat Baseline'!$D$1:$O$258,6,FALSE))))</f>
        <v/>
      </c>
      <c r="I192" s="520" t="str">
        <f>IF(E192="","",IF(ISNA(VLOOKUP($E192,'D-1 Off Site Habitat Baseline'!$D$1:$O$258,7,FALSE)),"",(VLOOKUP($E192,'D-1 Off Site Habitat Baseline'!$D$1:$O$258,7,FALSE))))</f>
        <v/>
      </c>
      <c r="J192" s="520" t="str">
        <f>IF(E192="","",IF(ISNA(VLOOKUP($E192,'D-1 Off Site Habitat Baseline'!$D$1:$O$258,8,FALSE)),"",(VLOOKUP($E192,'D-1 Off Site Habitat Baseline'!$D$1:$O$258,8,FALSE))))</f>
        <v/>
      </c>
      <c r="K192" s="520" t="str">
        <f>IF(E192="","",IF(ISNA(VLOOKUP($E192,'D-1 Off Site Habitat Baseline'!$D$1:$O$258,9,FALSE)),"",(VLOOKUP($E192,'D-1 Off Site Habitat Baseline'!$D$1:$O$258,9,FALSE))))</f>
        <v/>
      </c>
      <c r="L192" s="520" t="str">
        <f>IF(E192="","",IF(ISNA(VLOOKUP($E192,'D-1 Off Site Habitat Baseline'!$D$1:$O$258,11,FALSE)),"",(VLOOKUP($E192,'D-1 Off Site Habitat Baseline'!$D$1:$O$258,11,FALSE))))</f>
        <v/>
      </c>
      <c r="M192" s="520" t="str">
        <f>IF(E192="","",IF(ISNA(VLOOKUP($E192,'D-1 Off Site Habitat Baseline'!$D$1:$O$258,12,FALSE)),"",(VLOOKUP($E192,'D-1 Off Site Habitat Baseline'!$D$1:$O$258,12,FALSE))))</f>
        <v/>
      </c>
      <c r="N192" s="520" t="str">
        <f>IF(E192="","",IF(ISNA(VLOOKUP($E192,'D-1 Off Site Habitat Baseline'!$D$1:$X$258,14,FALSE)),"",(VLOOKUP($E192,'D-1 Off Site Habitat Baseline'!$D$1:$X$258,14,FALSE))))</f>
        <v/>
      </c>
      <c r="O192" s="524" t="str">
        <f>IF(E192="","",IF(ISNA(VLOOKUP($E192,'D-1 Off Site Habitat Baseline'!$D$1:$X$258,13,FALSE)),"",(VLOOKUP($E192,'D-1 Off Site Habitat Baseline'!$D$1:$X$258,13,FALSE))))</f>
        <v/>
      </c>
      <c r="P192" s="232" t="str">
        <f>IFERROR(INDEX('G-1 All Habitats'!$AG$3:$AG$15,MATCH(Q192,'G-1 All Habitats'!$AF$3:$AF$15,0)),"")</f>
        <v/>
      </c>
      <c r="Q192" s="228" t="str">
        <f t="shared" si="34"/>
        <v/>
      </c>
      <c r="R192" s="229" t="str">
        <f t="shared" si="35"/>
        <v/>
      </c>
      <c r="S192" s="233" t="str">
        <f>IFERROR(INDEX('G-1 All Habitats'!$B$3:$B$129,MATCH(R192,'G-1 All Habitats'!$A$3:$A$129,0)),"")</f>
        <v/>
      </c>
      <c r="T192" s="507" t="str">
        <f t="shared" si="27"/>
        <v/>
      </c>
      <c r="U192" s="524" t="str">
        <f t="shared" si="28"/>
        <v/>
      </c>
      <c r="V192" s="523" t="str">
        <f t="shared" si="25"/>
        <v/>
      </c>
      <c r="W192" s="520" t="str">
        <f>IF(S192="","",VLOOKUP(S192,'G-1 All Habitats'!$B$2:$M$129,10,FALSE))</f>
        <v/>
      </c>
      <c r="X192" s="520" t="str">
        <f>IFERROR(VLOOKUP(W192,'G-1 All Habitats'!$V$3:$W$7,2,FALSE),"")</f>
        <v/>
      </c>
      <c r="Y192" s="203"/>
      <c r="Z192" s="524" t="str">
        <f>IFERROR(INDEX('G-8 Condition Look up'!$A$3:$H$130,MATCH(S192,'G-8 Condition Look up'!$A$3:$A$130,0),MATCH(Y192,'G-8 Condition Look up'!$A$3:$H$3,0)),"")</f>
        <v/>
      </c>
      <c r="AA192" s="145"/>
      <c r="AB192" s="540" t="str">
        <f>IF(AA192="","",IF(VLOOKUP(AA192,'G-3 Multipliers'!$L$3:$N$6,2,FALSE)=0,"Spatial Data Missing ⚠",VLOOKUP(AA192,'G-3 Multipliers'!$L$3:$N$6,2,FALSE)))</f>
        <v/>
      </c>
      <c r="AC192" s="524" t="str">
        <f>IF(AA192="","",IF(VLOOKUP(AA192,'G-3 Multipliers'!$L$3:$N$6,3,FALSE)=0,"Spatial Data Missing ⚠",VLOOKUP(AA192,'G-3 Multipliers'!$L$3:$N$6,3,FALSE)))</f>
        <v/>
      </c>
      <c r="AD192" s="537" t="str">
        <f t="shared" si="26"/>
        <v/>
      </c>
      <c r="AE192" s="203"/>
      <c r="AF192" s="203"/>
      <c r="AG192" s="520" t="str">
        <f t="shared" si="29"/>
        <v/>
      </c>
      <c r="AH192" s="544" t="str">
        <f t="shared" si="30"/>
        <v/>
      </c>
      <c r="AI192" s="525" t="str">
        <f>IF(AH192="Check Data ⚠","Check Data ⚠",IFERROR(VLOOKUP(AH192,'G-4 Temporal multipliers'!$A$4:$C$36,3,FALSE),""))</f>
        <v/>
      </c>
      <c r="AJ192" s="537" t="str">
        <f>IF(S192="","",VLOOKUP(S192,'G-3 Multipliers'!$A$2:$E$129,4,FALSE))</f>
        <v/>
      </c>
      <c r="AK192" s="520" t="str">
        <f t="shared" si="31"/>
        <v/>
      </c>
      <c r="AL192" s="520" t="str">
        <f t="shared" si="32"/>
        <v/>
      </c>
      <c r="AM192" s="524" t="str">
        <f>IFERROR(IF(F192="","",IF(AH192="Check Data ⚠","Check Data ⚠",VLOOKUP(AL192, 'G-3 Multipliers'!$P$2:$Q$6,2,FALSE))),"")</f>
        <v/>
      </c>
      <c r="AN192" s="197"/>
      <c r="AO192" s="540" t="str">
        <f>IF(AN192="","",IF(VLOOKUP(AN192,'G-3 Multipliers'!$S$3:$T$9,2,FALSE)=0,"Spatial Data Missing ⚠",VLOOKUP(AN192,'G-3 Multipliers'!$S$3:$T$9,2,FALSE)))</f>
        <v/>
      </c>
      <c r="AP192" s="513" t="str">
        <f t="shared" si="33"/>
        <v/>
      </c>
      <c r="AQ192" s="231"/>
      <c r="AR192" s="150"/>
    </row>
    <row r="193" spans="1:44" x14ac:dyDescent="0.3">
      <c r="A193" s="31" t="str">
        <f>IF(E193="","",IF(ISNA(VLOOKUP($E193,'D-1 Off Site Habitat Baseline'!$D$1:$O$258,2,FALSE)),"",(VLOOKUP($E193,'D-1 Off Site Habitat Baseline'!$D$1:$O$258,2,FALSE))))</f>
        <v/>
      </c>
      <c r="B193" s="31" t="str">
        <f>IF(E193="","",IF(ISNA(VLOOKUP($E193,'D-1 Off Site Habitat Baseline'!$D$1:$O$258,3,FALSE)),"",(VLOOKUP($E193,'D-1 Off Site Habitat Baseline'!$D$1:$O$258,3,FALSE))))</f>
        <v/>
      </c>
      <c r="C193" s="31" t="str">
        <f>IFERROR(INDEX('G-8 Condition Look up'!$I$4:$I$130,MATCH(S193,'G-8 Condition Look up'!$A$4:$A$130,0)),"")</f>
        <v/>
      </c>
      <c r="E193" s="547" t="str">
        <f>'D-1 Off Site Habitat Baseline'!AL192</f>
        <v/>
      </c>
      <c r="F193" s="520" t="str">
        <f>IF(E193="","",IF(ISNA(VLOOKUP($E193,'D-1 Off Site Habitat Baseline'!$D$1:$O$258,4,FALSE)),"",(VLOOKUP($E193,'D-1 Off Site Habitat Baseline'!$D$1:$O$258,4,FALSE))))</f>
        <v/>
      </c>
      <c r="G193" s="520" t="str">
        <f>IF(E193="","",IF(ISNA(VLOOKUP($E193,'D-1 Off Site Habitat Baseline'!$D$1:$O$258,5,FALSE)),"",(VLOOKUP($E193,'D-1 Off Site Habitat Baseline'!$D$1:$O$258,5,FALSE))))</f>
        <v/>
      </c>
      <c r="H193" s="520" t="str">
        <f>IF(E193="","",IF(ISNA(VLOOKUP($E193,'D-1 Off Site Habitat Baseline'!$D$1:$O$258,6,FALSE)),"",(VLOOKUP($E193,'D-1 Off Site Habitat Baseline'!$D$1:$O$258,6,FALSE))))</f>
        <v/>
      </c>
      <c r="I193" s="520" t="str">
        <f>IF(E193="","",IF(ISNA(VLOOKUP($E193,'D-1 Off Site Habitat Baseline'!$D$1:$O$258,7,FALSE)),"",(VLOOKUP($E193,'D-1 Off Site Habitat Baseline'!$D$1:$O$258,7,FALSE))))</f>
        <v/>
      </c>
      <c r="J193" s="520" t="str">
        <f>IF(E193="","",IF(ISNA(VLOOKUP($E193,'D-1 Off Site Habitat Baseline'!$D$1:$O$258,8,FALSE)),"",(VLOOKUP($E193,'D-1 Off Site Habitat Baseline'!$D$1:$O$258,8,FALSE))))</f>
        <v/>
      </c>
      <c r="K193" s="520" t="str">
        <f>IF(E193="","",IF(ISNA(VLOOKUP($E193,'D-1 Off Site Habitat Baseline'!$D$1:$O$258,9,FALSE)),"",(VLOOKUP($E193,'D-1 Off Site Habitat Baseline'!$D$1:$O$258,9,FALSE))))</f>
        <v/>
      </c>
      <c r="L193" s="520" t="str">
        <f>IF(E193="","",IF(ISNA(VLOOKUP($E193,'D-1 Off Site Habitat Baseline'!$D$1:$O$258,11,FALSE)),"",(VLOOKUP($E193,'D-1 Off Site Habitat Baseline'!$D$1:$O$258,11,FALSE))))</f>
        <v/>
      </c>
      <c r="M193" s="520" t="str">
        <f>IF(E193="","",IF(ISNA(VLOOKUP($E193,'D-1 Off Site Habitat Baseline'!$D$1:$O$258,12,FALSE)),"",(VLOOKUP($E193,'D-1 Off Site Habitat Baseline'!$D$1:$O$258,12,FALSE))))</f>
        <v/>
      </c>
      <c r="N193" s="520" t="str">
        <f>IF(E193="","",IF(ISNA(VLOOKUP($E193,'D-1 Off Site Habitat Baseline'!$D$1:$X$258,14,FALSE)),"",(VLOOKUP($E193,'D-1 Off Site Habitat Baseline'!$D$1:$X$258,14,FALSE))))</f>
        <v/>
      </c>
      <c r="O193" s="524" t="str">
        <f>IF(E193="","",IF(ISNA(VLOOKUP($E193,'D-1 Off Site Habitat Baseline'!$D$1:$X$258,13,FALSE)),"",(VLOOKUP($E193,'D-1 Off Site Habitat Baseline'!$D$1:$X$258,13,FALSE))))</f>
        <v/>
      </c>
      <c r="P193" s="232" t="str">
        <f>IFERROR(INDEX('G-1 All Habitats'!$AG$3:$AG$15,MATCH(Q193,'G-1 All Habitats'!$AF$3:$AF$15,0)),"")</f>
        <v/>
      </c>
      <c r="Q193" s="228" t="str">
        <f t="shared" si="34"/>
        <v/>
      </c>
      <c r="R193" s="229" t="str">
        <f t="shared" si="35"/>
        <v/>
      </c>
      <c r="S193" s="233" t="str">
        <f>IFERROR(INDEX('G-1 All Habitats'!$B$3:$B$129,MATCH(R193,'G-1 All Habitats'!$A$3:$A$129,0)),"")</f>
        <v/>
      </c>
      <c r="T193" s="507" t="str">
        <f t="shared" si="27"/>
        <v/>
      </c>
      <c r="U193" s="524" t="str">
        <f t="shared" si="28"/>
        <v/>
      </c>
      <c r="V193" s="523" t="str">
        <f t="shared" si="25"/>
        <v/>
      </c>
      <c r="W193" s="520" t="str">
        <f>IF(S193="","",VLOOKUP(S193,'G-1 All Habitats'!$B$2:$M$129,10,FALSE))</f>
        <v/>
      </c>
      <c r="X193" s="520" t="str">
        <f>IFERROR(VLOOKUP(W193,'G-1 All Habitats'!$V$3:$W$7,2,FALSE),"")</f>
        <v/>
      </c>
      <c r="Y193" s="203"/>
      <c r="Z193" s="524" t="str">
        <f>IFERROR(INDEX('G-8 Condition Look up'!$A$3:$H$130,MATCH(S193,'G-8 Condition Look up'!$A$3:$A$130,0),MATCH(Y193,'G-8 Condition Look up'!$A$3:$H$3,0)),"")</f>
        <v/>
      </c>
      <c r="AA193" s="145"/>
      <c r="AB193" s="540" t="str">
        <f>IF(AA193="","",IF(VLOOKUP(AA193,'G-3 Multipliers'!$L$3:$N$6,2,FALSE)=0,"Spatial Data Missing ⚠",VLOOKUP(AA193,'G-3 Multipliers'!$L$3:$N$6,2,FALSE)))</f>
        <v/>
      </c>
      <c r="AC193" s="524" t="str">
        <f>IF(AA193="","",IF(VLOOKUP(AA193,'G-3 Multipliers'!$L$3:$N$6,3,FALSE)=0,"Spatial Data Missing ⚠",VLOOKUP(AA193,'G-3 Multipliers'!$L$3:$N$6,3,FALSE)))</f>
        <v/>
      </c>
      <c r="AD193" s="537" t="str">
        <f t="shared" si="26"/>
        <v/>
      </c>
      <c r="AE193" s="203"/>
      <c r="AF193" s="203"/>
      <c r="AG193" s="520" t="str">
        <f t="shared" si="29"/>
        <v/>
      </c>
      <c r="AH193" s="544" t="str">
        <f t="shared" si="30"/>
        <v/>
      </c>
      <c r="AI193" s="525" t="str">
        <f>IF(AH193="Check Data ⚠","Check Data ⚠",IFERROR(VLOOKUP(AH193,'G-4 Temporal multipliers'!$A$4:$C$36,3,FALSE),""))</f>
        <v/>
      </c>
      <c r="AJ193" s="537" t="str">
        <f>IF(S193="","",VLOOKUP(S193,'G-3 Multipliers'!$A$2:$E$129,4,FALSE))</f>
        <v/>
      </c>
      <c r="AK193" s="520" t="str">
        <f t="shared" si="31"/>
        <v/>
      </c>
      <c r="AL193" s="520" t="str">
        <f t="shared" si="32"/>
        <v/>
      </c>
      <c r="AM193" s="524" t="str">
        <f>IFERROR(IF(F193="","",IF(AH193="Check Data ⚠","Check Data ⚠",VLOOKUP(AL193, 'G-3 Multipliers'!$P$2:$Q$6,2,FALSE))),"")</f>
        <v/>
      </c>
      <c r="AN193" s="197"/>
      <c r="AO193" s="540" t="str">
        <f>IF(AN193="","",IF(VLOOKUP(AN193,'G-3 Multipliers'!$S$3:$T$9,2,FALSE)=0,"Spatial Data Missing ⚠",VLOOKUP(AN193,'G-3 Multipliers'!$S$3:$T$9,2,FALSE)))</f>
        <v/>
      </c>
      <c r="AP193" s="513" t="str">
        <f t="shared" si="33"/>
        <v/>
      </c>
      <c r="AQ193" s="231"/>
      <c r="AR193" s="150"/>
    </row>
    <row r="194" spans="1:44" x14ac:dyDescent="0.3">
      <c r="A194" s="31" t="str">
        <f>IF(E194="","",IF(ISNA(VLOOKUP($E194,'D-1 Off Site Habitat Baseline'!$D$1:$O$258,2,FALSE)),"",(VLOOKUP($E194,'D-1 Off Site Habitat Baseline'!$D$1:$O$258,2,FALSE))))</f>
        <v/>
      </c>
      <c r="B194" s="31" t="str">
        <f>IF(E194="","",IF(ISNA(VLOOKUP($E194,'D-1 Off Site Habitat Baseline'!$D$1:$O$258,3,FALSE)),"",(VLOOKUP($E194,'D-1 Off Site Habitat Baseline'!$D$1:$O$258,3,FALSE))))</f>
        <v/>
      </c>
      <c r="C194" s="31" t="str">
        <f>IFERROR(INDEX('G-8 Condition Look up'!$I$4:$I$130,MATCH(S194,'G-8 Condition Look up'!$A$4:$A$130,0)),"")</f>
        <v/>
      </c>
      <c r="E194" s="547" t="str">
        <f>'D-1 Off Site Habitat Baseline'!AL193</f>
        <v/>
      </c>
      <c r="F194" s="520" t="str">
        <f>IF(E194="","",IF(ISNA(VLOOKUP($E194,'D-1 Off Site Habitat Baseline'!$D$1:$O$258,4,FALSE)),"",(VLOOKUP($E194,'D-1 Off Site Habitat Baseline'!$D$1:$O$258,4,FALSE))))</f>
        <v/>
      </c>
      <c r="G194" s="520" t="str">
        <f>IF(E194="","",IF(ISNA(VLOOKUP($E194,'D-1 Off Site Habitat Baseline'!$D$1:$O$258,5,FALSE)),"",(VLOOKUP($E194,'D-1 Off Site Habitat Baseline'!$D$1:$O$258,5,FALSE))))</f>
        <v/>
      </c>
      <c r="H194" s="520" t="str">
        <f>IF(E194="","",IF(ISNA(VLOOKUP($E194,'D-1 Off Site Habitat Baseline'!$D$1:$O$258,6,FALSE)),"",(VLOOKUP($E194,'D-1 Off Site Habitat Baseline'!$D$1:$O$258,6,FALSE))))</f>
        <v/>
      </c>
      <c r="I194" s="520" t="str">
        <f>IF(E194="","",IF(ISNA(VLOOKUP($E194,'D-1 Off Site Habitat Baseline'!$D$1:$O$258,7,FALSE)),"",(VLOOKUP($E194,'D-1 Off Site Habitat Baseline'!$D$1:$O$258,7,FALSE))))</f>
        <v/>
      </c>
      <c r="J194" s="520" t="str">
        <f>IF(E194="","",IF(ISNA(VLOOKUP($E194,'D-1 Off Site Habitat Baseline'!$D$1:$O$258,8,FALSE)),"",(VLOOKUP($E194,'D-1 Off Site Habitat Baseline'!$D$1:$O$258,8,FALSE))))</f>
        <v/>
      </c>
      <c r="K194" s="520" t="str">
        <f>IF(E194="","",IF(ISNA(VLOOKUP($E194,'D-1 Off Site Habitat Baseline'!$D$1:$O$258,9,FALSE)),"",(VLOOKUP($E194,'D-1 Off Site Habitat Baseline'!$D$1:$O$258,9,FALSE))))</f>
        <v/>
      </c>
      <c r="L194" s="520" t="str">
        <f>IF(E194="","",IF(ISNA(VLOOKUP($E194,'D-1 Off Site Habitat Baseline'!$D$1:$O$258,11,FALSE)),"",(VLOOKUP($E194,'D-1 Off Site Habitat Baseline'!$D$1:$O$258,11,FALSE))))</f>
        <v/>
      </c>
      <c r="M194" s="520" t="str">
        <f>IF(E194="","",IF(ISNA(VLOOKUP($E194,'D-1 Off Site Habitat Baseline'!$D$1:$O$258,12,FALSE)),"",(VLOOKUP($E194,'D-1 Off Site Habitat Baseline'!$D$1:$O$258,12,FALSE))))</f>
        <v/>
      </c>
      <c r="N194" s="520" t="str">
        <f>IF(E194="","",IF(ISNA(VLOOKUP($E194,'D-1 Off Site Habitat Baseline'!$D$1:$X$258,14,FALSE)),"",(VLOOKUP($E194,'D-1 Off Site Habitat Baseline'!$D$1:$X$258,14,FALSE))))</f>
        <v/>
      </c>
      <c r="O194" s="524" t="str">
        <f>IF(E194="","",IF(ISNA(VLOOKUP($E194,'D-1 Off Site Habitat Baseline'!$D$1:$X$258,13,FALSE)),"",(VLOOKUP($E194,'D-1 Off Site Habitat Baseline'!$D$1:$X$258,13,FALSE))))</f>
        <v/>
      </c>
      <c r="P194" s="232" t="str">
        <f>IFERROR(INDEX('G-1 All Habitats'!$AG$3:$AG$15,MATCH(Q194,'G-1 All Habitats'!$AF$3:$AF$15,0)),"")</f>
        <v/>
      </c>
      <c r="Q194" s="228" t="str">
        <f t="shared" si="34"/>
        <v/>
      </c>
      <c r="R194" s="229" t="str">
        <f t="shared" si="35"/>
        <v/>
      </c>
      <c r="S194" s="233" t="str">
        <f>IFERROR(INDEX('G-1 All Habitats'!$B$3:$B$129,MATCH(R194,'G-1 All Habitats'!$A$3:$A$129,0)),"")</f>
        <v/>
      </c>
      <c r="T194" s="507" t="str">
        <f t="shared" si="27"/>
        <v/>
      </c>
      <c r="U194" s="524" t="str">
        <f t="shared" si="28"/>
        <v/>
      </c>
      <c r="V194" s="523" t="str">
        <f t="shared" si="25"/>
        <v/>
      </c>
      <c r="W194" s="520" t="str">
        <f>IF(S194="","",VLOOKUP(S194,'G-1 All Habitats'!$B$2:$M$129,10,FALSE))</f>
        <v/>
      </c>
      <c r="X194" s="520" t="str">
        <f>IFERROR(VLOOKUP(W194,'G-1 All Habitats'!$V$3:$W$7,2,FALSE),"")</f>
        <v/>
      </c>
      <c r="Y194" s="203"/>
      <c r="Z194" s="524" t="str">
        <f>IFERROR(INDEX('G-8 Condition Look up'!$A$3:$H$130,MATCH(S194,'G-8 Condition Look up'!$A$3:$A$130,0),MATCH(Y194,'G-8 Condition Look up'!$A$3:$H$3,0)),"")</f>
        <v/>
      </c>
      <c r="AA194" s="145"/>
      <c r="AB194" s="540" t="str">
        <f>IF(AA194="","",IF(VLOOKUP(AA194,'G-3 Multipliers'!$L$3:$N$6,2,FALSE)=0,"Spatial Data Missing ⚠",VLOOKUP(AA194,'G-3 Multipliers'!$L$3:$N$6,2,FALSE)))</f>
        <v/>
      </c>
      <c r="AC194" s="524" t="str">
        <f>IF(AA194="","",IF(VLOOKUP(AA194,'G-3 Multipliers'!$L$3:$N$6,3,FALSE)=0,"Spatial Data Missing ⚠",VLOOKUP(AA194,'G-3 Multipliers'!$L$3:$N$6,3,FALSE)))</f>
        <v/>
      </c>
      <c r="AD194" s="537" t="str">
        <f t="shared" si="26"/>
        <v/>
      </c>
      <c r="AE194" s="203"/>
      <c r="AF194" s="203"/>
      <c r="AG194" s="520" t="str">
        <f t="shared" si="29"/>
        <v/>
      </c>
      <c r="AH194" s="544" t="str">
        <f t="shared" si="30"/>
        <v/>
      </c>
      <c r="AI194" s="525" t="str">
        <f>IF(AH194="Check Data ⚠","Check Data ⚠",IFERROR(VLOOKUP(AH194,'G-4 Temporal multipliers'!$A$4:$C$36,3,FALSE),""))</f>
        <v/>
      </c>
      <c r="AJ194" s="537" t="str">
        <f>IF(S194="","",VLOOKUP(S194,'G-3 Multipliers'!$A$2:$E$129,4,FALSE))</f>
        <v/>
      </c>
      <c r="AK194" s="520" t="str">
        <f t="shared" si="31"/>
        <v/>
      </c>
      <c r="AL194" s="520" t="str">
        <f t="shared" si="32"/>
        <v/>
      </c>
      <c r="AM194" s="524" t="str">
        <f>IFERROR(IF(F194="","",IF(AH194="Check Data ⚠","Check Data ⚠",VLOOKUP(AL194, 'G-3 Multipliers'!$P$2:$Q$6,2,FALSE))),"")</f>
        <v/>
      </c>
      <c r="AN194" s="197"/>
      <c r="AO194" s="540" t="str">
        <f>IF(AN194="","",IF(VLOOKUP(AN194,'G-3 Multipliers'!$S$3:$T$9,2,FALSE)=0,"Spatial Data Missing ⚠",VLOOKUP(AN194,'G-3 Multipliers'!$S$3:$T$9,2,FALSE)))</f>
        <v/>
      </c>
      <c r="AP194" s="513" t="str">
        <f t="shared" si="33"/>
        <v/>
      </c>
      <c r="AQ194" s="231"/>
      <c r="AR194" s="150"/>
    </row>
    <row r="195" spans="1:44" x14ac:dyDescent="0.3">
      <c r="A195" s="31" t="str">
        <f>IF(E195="","",IF(ISNA(VLOOKUP($E195,'D-1 Off Site Habitat Baseline'!$D$1:$O$258,2,FALSE)),"",(VLOOKUP($E195,'D-1 Off Site Habitat Baseline'!$D$1:$O$258,2,FALSE))))</f>
        <v/>
      </c>
      <c r="B195" s="31" t="str">
        <f>IF(E195="","",IF(ISNA(VLOOKUP($E195,'D-1 Off Site Habitat Baseline'!$D$1:$O$258,3,FALSE)),"",(VLOOKUP($E195,'D-1 Off Site Habitat Baseline'!$D$1:$O$258,3,FALSE))))</f>
        <v/>
      </c>
      <c r="C195" s="31" t="str">
        <f>IFERROR(INDEX('G-8 Condition Look up'!$I$4:$I$130,MATCH(S195,'G-8 Condition Look up'!$A$4:$A$130,0)),"")</f>
        <v/>
      </c>
      <c r="E195" s="547" t="str">
        <f>'D-1 Off Site Habitat Baseline'!AL194</f>
        <v/>
      </c>
      <c r="F195" s="520" t="str">
        <f>IF(E195="","",IF(ISNA(VLOOKUP($E195,'D-1 Off Site Habitat Baseline'!$D$1:$O$258,4,FALSE)),"",(VLOOKUP($E195,'D-1 Off Site Habitat Baseline'!$D$1:$O$258,4,FALSE))))</f>
        <v/>
      </c>
      <c r="G195" s="520" t="str">
        <f>IF(E195="","",IF(ISNA(VLOOKUP($E195,'D-1 Off Site Habitat Baseline'!$D$1:$O$258,5,FALSE)),"",(VLOOKUP($E195,'D-1 Off Site Habitat Baseline'!$D$1:$O$258,5,FALSE))))</f>
        <v/>
      </c>
      <c r="H195" s="520" t="str">
        <f>IF(E195="","",IF(ISNA(VLOOKUP($E195,'D-1 Off Site Habitat Baseline'!$D$1:$O$258,6,FALSE)),"",(VLOOKUP($E195,'D-1 Off Site Habitat Baseline'!$D$1:$O$258,6,FALSE))))</f>
        <v/>
      </c>
      <c r="I195" s="520" t="str">
        <f>IF(E195="","",IF(ISNA(VLOOKUP($E195,'D-1 Off Site Habitat Baseline'!$D$1:$O$258,7,FALSE)),"",(VLOOKUP($E195,'D-1 Off Site Habitat Baseline'!$D$1:$O$258,7,FALSE))))</f>
        <v/>
      </c>
      <c r="J195" s="520" t="str">
        <f>IF(E195="","",IF(ISNA(VLOOKUP($E195,'D-1 Off Site Habitat Baseline'!$D$1:$O$258,8,FALSE)),"",(VLOOKUP($E195,'D-1 Off Site Habitat Baseline'!$D$1:$O$258,8,FALSE))))</f>
        <v/>
      </c>
      <c r="K195" s="520" t="str">
        <f>IF(E195="","",IF(ISNA(VLOOKUP($E195,'D-1 Off Site Habitat Baseline'!$D$1:$O$258,9,FALSE)),"",(VLOOKUP($E195,'D-1 Off Site Habitat Baseline'!$D$1:$O$258,9,FALSE))))</f>
        <v/>
      </c>
      <c r="L195" s="520" t="str">
        <f>IF(E195="","",IF(ISNA(VLOOKUP($E195,'D-1 Off Site Habitat Baseline'!$D$1:$O$258,11,FALSE)),"",(VLOOKUP($E195,'D-1 Off Site Habitat Baseline'!$D$1:$O$258,11,FALSE))))</f>
        <v/>
      </c>
      <c r="M195" s="520" t="str">
        <f>IF(E195="","",IF(ISNA(VLOOKUP($E195,'D-1 Off Site Habitat Baseline'!$D$1:$O$258,12,FALSE)),"",(VLOOKUP($E195,'D-1 Off Site Habitat Baseline'!$D$1:$O$258,12,FALSE))))</f>
        <v/>
      </c>
      <c r="N195" s="520" t="str">
        <f>IF(E195="","",IF(ISNA(VLOOKUP($E195,'D-1 Off Site Habitat Baseline'!$D$1:$X$258,14,FALSE)),"",(VLOOKUP($E195,'D-1 Off Site Habitat Baseline'!$D$1:$X$258,14,FALSE))))</f>
        <v/>
      </c>
      <c r="O195" s="524" t="str">
        <f>IF(E195="","",IF(ISNA(VLOOKUP($E195,'D-1 Off Site Habitat Baseline'!$D$1:$X$258,13,FALSE)),"",(VLOOKUP($E195,'D-1 Off Site Habitat Baseline'!$D$1:$X$258,13,FALSE))))</f>
        <v/>
      </c>
      <c r="P195" s="232" t="str">
        <f>IFERROR(INDEX('G-1 All Habitats'!$AG$3:$AG$15,MATCH(Q195,'G-1 All Habitats'!$AF$3:$AF$15,0)),"")</f>
        <v/>
      </c>
      <c r="Q195" s="228" t="str">
        <f t="shared" si="34"/>
        <v/>
      </c>
      <c r="R195" s="229" t="str">
        <f t="shared" si="35"/>
        <v/>
      </c>
      <c r="S195" s="233" t="str">
        <f>IFERROR(INDEX('G-1 All Habitats'!$B$3:$B$129,MATCH(R195,'G-1 All Habitats'!$A$3:$A$129,0)),"")</f>
        <v/>
      </c>
      <c r="T195" s="507" t="str">
        <f t="shared" si="27"/>
        <v/>
      </c>
      <c r="U195" s="524" t="str">
        <f t="shared" si="28"/>
        <v/>
      </c>
      <c r="V195" s="523" t="str">
        <f t="shared" si="25"/>
        <v/>
      </c>
      <c r="W195" s="520" t="str">
        <f>IF(S195="","",VLOOKUP(S195,'G-1 All Habitats'!$B$2:$M$129,10,FALSE))</f>
        <v/>
      </c>
      <c r="X195" s="520" t="str">
        <f>IFERROR(VLOOKUP(W195,'G-1 All Habitats'!$V$3:$W$7,2,FALSE),"")</f>
        <v/>
      </c>
      <c r="Y195" s="203"/>
      <c r="Z195" s="524" t="str">
        <f>IFERROR(INDEX('G-8 Condition Look up'!$A$3:$H$130,MATCH(S195,'G-8 Condition Look up'!$A$3:$A$130,0),MATCH(Y195,'G-8 Condition Look up'!$A$3:$H$3,0)),"")</f>
        <v/>
      </c>
      <c r="AA195" s="145"/>
      <c r="AB195" s="540" t="str">
        <f>IF(AA195="","",IF(VLOOKUP(AA195,'G-3 Multipliers'!$L$3:$N$6,2,FALSE)=0,"Spatial Data Missing ⚠",VLOOKUP(AA195,'G-3 Multipliers'!$L$3:$N$6,2,FALSE)))</f>
        <v/>
      </c>
      <c r="AC195" s="524" t="str">
        <f>IF(AA195="","",IF(VLOOKUP(AA195,'G-3 Multipliers'!$L$3:$N$6,3,FALSE)=0,"Spatial Data Missing ⚠",VLOOKUP(AA195,'G-3 Multipliers'!$L$3:$N$6,3,FALSE)))</f>
        <v/>
      </c>
      <c r="AD195" s="537" t="str">
        <f t="shared" si="26"/>
        <v/>
      </c>
      <c r="AE195" s="203"/>
      <c r="AF195" s="203"/>
      <c r="AG195" s="520" t="str">
        <f t="shared" si="29"/>
        <v/>
      </c>
      <c r="AH195" s="544" t="str">
        <f t="shared" si="30"/>
        <v/>
      </c>
      <c r="AI195" s="525" t="str">
        <f>IF(AH195="Check Data ⚠","Check Data ⚠",IFERROR(VLOOKUP(AH195,'G-4 Temporal multipliers'!$A$4:$C$36,3,FALSE),""))</f>
        <v/>
      </c>
      <c r="AJ195" s="537" t="str">
        <f>IF(S195="","",VLOOKUP(S195,'G-3 Multipliers'!$A$2:$E$129,4,FALSE))</f>
        <v/>
      </c>
      <c r="AK195" s="520" t="str">
        <f t="shared" si="31"/>
        <v/>
      </c>
      <c r="AL195" s="520" t="str">
        <f t="shared" si="32"/>
        <v/>
      </c>
      <c r="AM195" s="524" t="str">
        <f>IFERROR(IF(F195="","",IF(AH195="Check Data ⚠","Check Data ⚠",VLOOKUP(AL195, 'G-3 Multipliers'!$P$2:$Q$6,2,FALSE))),"")</f>
        <v/>
      </c>
      <c r="AN195" s="197"/>
      <c r="AO195" s="540" t="str">
        <f>IF(AN195="","",IF(VLOOKUP(AN195,'G-3 Multipliers'!$S$3:$T$9,2,FALSE)=0,"Spatial Data Missing ⚠",VLOOKUP(AN195,'G-3 Multipliers'!$S$3:$T$9,2,FALSE)))</f>
        <v/>
      </c>
      <c r="AP195" s="513" t="str">
        <f t="shared" si="33"/>
        <v/>
      </c>
      <c r="AQ195" s="231"/>
      <c r="AR195" s="150"/>
    </row>
    <row r="196" spans="1:44" x14ac:dyDescent="0.3">
      <c r="A196" s="31" t="str">
        <f>IF(E196="","",IF(ISNA(VLOOKUP($E196,'D-1 Off Site Habitat Baseline'!$D$1:$O$258,2,FALSE)),"",(VLOOKUP($E196,'D-1 Off Site Habitat Baseline'!$D$1:$O$258,2,FALSE))))</f>
        <v/>
      </c>
      <c r="B196" s="31" t="str">
        <f>IF(E196="","",IF(ISNA(VLOOKUP($E196,'D-1 Off Site Habitat Baseline'!$D$1:$O$258,3,FALSE)),"",(VLOOKUP($E196,'D-1 Off Site Habitat Baseline'!$D$1:$O$258,3,FALSE))))</f>
        <v/>
      </c>
      <c r="C196" s="31" t="str">
        <f>IFERROR(INDEX('G-8 Condition Look up'!$I$4:$I$130,MATCH(S196,'G-8 Condition Look up'!$A$4:$A$130,0)),"")</f>
        <v/>
      </c>
      <c r="E196" s="547" t="str">
        <f>'D-1 Off Site Habitat Baseline'!AL195</f>
        <v/>
      </c>
      <c r="F196" s="520" t="str">
        <f>IF(E196="","",IF(ISNA(VLOOKUP($E196,'D-1 Off Site Habitat Baseline'!$D$1:$O$258,4,FALSE)),"",(VLOOKUP($E196,'D-1 Off Site Habitat Baseline'!$D$1:$O$258,4,FALSE))))</f>
        <v/>
      </c>
      <c r="G196" s="520" t="str">
        <f>IF(E196="","",IF(ISNA(VLOOKUP($E196,'D-1 Off Site Habitat Baseline'!$D$1:$O$258,5,FALSE)),"",(VLOOKUP($E196,'D-1 Off Site Habitat Baseline'!$D$1:$O$258,5,FALSE))))</f>
        <v/>
      </c>
      <c r="H196" s="520" t="str">
        <f>IF(E196="","",IF(ISNA(VLOOKUP($E196,'D-1 Off Site Habitat Baseline'!$D$1:$O$258,6,FALSE)),"",(VLOOKUP($E196,'D-1 Off Site Habitat Baseline'!$D$1:$O$258,6,FALSE))))</f>
        <v/>
      </c>
      <c r="I196" s="520" t="str">
        <f>IF(E196="","",IF(ISNA(VLOOKUP($E196,'D-1 Off Site Habitat Baseline'!$D$1:$O$258,7,FALSE)),"",(VLOOKUP($E196,'D-1 Off Site Habitat Baseline'!$D$1:$O$258,7,FALSE))))</f>
        <v/>
      </c>
      <c r="J196" s="520" t="str">
        <f>IF(E196="","",IF(ISNA(VLOOKUP($E196,'D-1 Off Site Habitat Baseline'!$D$1:$O$258,8,FALSE)),"",(VLOOKUP($E196,'D-1 Off Site Habitat Baseline'!$D$1:$O$258,8,FALSE))))</f>
        <v/>
      </c>
      <c r="K196" s="520" t="str">
        <f>IF(E196="","",IF(ISNA(VLOOKUP($E196,'D-1 Off Site Habitat Baseline'!$D$1:$O$258,9,FALSE)),"",(VLOOKUP($E196,'D-1 Off Site Habitat Baseline'!$D$1:$O$258,9,FALSE))))</f>
        <v/>
      </c>
      <c r="L196" s="520" t="str">
        <f>IF(E196="","",IF(ISNA(VLOOKUP($E196,'D-1 Off Site Habitat Baseline'!$D$1:$O$258,11,FALSE)),"",(VLOOKUP($E196,'D-1 Off Site Habitat Baseline'!$D$1:$O$258,11,FALSE))))</f>
        <v/>
      </c>
      <c r="M196" s="520" t="str">
        <f>IF(E196="","",IF(ISNA(VLOOKUP($E196,'D-1 Off Site Habitat Baseline'!$D$1:$O$258,12,FALSE)),"",(VLOOKUP($E196,'D-1 Off Site Habitat Baseline'!$D$1:$O$258,12,FALSE))))</f>
        <v/>
      </c>
      <c r="N196" s="520" t="str">
        <f>IF(E196="","",IF(ISNA(VLOOKUP($E196,'D-1 Off Site Habitat Baseline'!$D$1:$X$258,14,FALSE)),"",(VLOOKUP($E196,'D-1 Off Site Habitat Baseline'!$D$1:$X$258,14,FALSE))))</f>
        <v/>
      </c>
      <c r="O196" s="524" t="str">
        <f>IF(E196="","",IF(ISNA(VLOOKUP($E196,'D-1 Off Site Habitat Baseline'!$D$1:$X$258,13,FALSE)),"",(VLOOKUP($E196,'D-1 Off Site Habitat Baseline'!$D$1:$X$258,13,FALSE))))</f>
        <v/>
      </c>
      <c r="P196" s="232" t="str">
        <f>IFERROR(INDEX('G-1 All Habitats'!$AG$3:$AG$15,MATCH(Q196,'G-1 All Habitats'!$AF$3:$AF$15,0)),"")</f>
        <v/>
      </c>
      <c r="Q196" s="228" t="str">
        <f t="shared" si="34"/>
        <v/>
      </c>
      <c r="R196" s="229" t="str">
        <f t="shared" si="35"/>
        <v/>
      </c>
      <c r="S196" s="233" t="str">
        <f>IFERROR(INDEX('G-1 All Habitats'!$B$3:$B$129,MATCH(R196,'G-1 All Habitats'!$A$3:$A$129,0)),"")</f>
        <v/>
      </c>
      <c r="T196" s="507" t="str">
        <f t="shared" si="27"/>
        <v/>
      </c>
      <c r="U196" s="524" t="str">
        <f t="shared" si="28"/>
        <v/>
      </c>
      <c r="V196" s="523" t="str">
        <f t="shared" si="25"/>
        <v/>
      </c>
      <c r="W196" s="520" t="str">
        <f>IF(S196="","",VLOOKUP(S196,'G-1 All Habitats'!$B$2:$M$129,10,FALSE))</f>
        <v/>
      </c>
      <c r="X196" s="520" t="str">
        <f>IFERROR(VLOOKUP(W196,'G-1 All Habitats'!$V$3:$W$7,2,FALSE),"")</f>
        <v/>
      </c>
      <c r="Y196" s="203"/>
      <c r="Z196" s="524" t="str">
        <f>IFERROR(INDEX('G-8 Condition Look up'!$A$3:$H$130,MATCH(S196,'G-8 Condition Look up'!$A$3:$A$130,0),MATCH(Y196,'G-8 Condition Look up'!$A$3:$H$3,0)),"")</f>
        <v/>
      </c>
      <c r="AA196" s="145"/>
      <c r="AB196" s="540" t="str">
        <f>IF(AA196="","",IF(VLOOKUP(AA196,'G-3 Multipliers'!$L$3:$N$6,2,FALSE)=0,"Spatial Data Missing ⚠",VLOOKUP(AA196,'G-3 Multipliers'!$L$3:$N$6,2,FALSE)))</f>
        <v/>
      </c>
      <c r="AC196" s="524" t="str">
        <f>IF(AA196="","",IF(VLOOKUP(AA196,'G-3 Multipliers'!$L$3:$N$6,3,FALSE)=0,"Spatial Data Missing ⚠",VLOOKUP(AA196,'G-3 Multipliers'!$L$3:$N$6,3,FALSE)))</f>
        <v/>
      </c>
      <c r="AD196" s="537" t="str">
        <f t="shared" si="26"/>
        <v/>
      </c>
      <c r="AE196" s="203"/>
      <c r="AF196" s="203"/>
      <c r="AG196" s="520" t="str">
        <f t="shared" si="29"/>
        <v/>
      </c>
      <c r="AH196" s="544" t="str">
        <f t="shared" si="30"/>
        <v/>
      </c>
      <c r="AI196" s="525" t="str">
        <f>IF(AH196="Check Data ⚠","Check Data ⚠",IFERROR(VLOOKUP(AH196,'G-4 Temporal multipliers'!$A$4:$C$36,3,FALSE),""))</f>
        <v/>
      </c>
      <c r="AJ196" s="537" t="str">
        <f>IF(S196="","",VLOOKUP(S196,'G-3 Multipliers'!$A$2:$E$129,4,FALSE))</f>
        <v/>
      </c>
      <c r="AK196" s="520" t="str">
        <f t="shared" si="31"/>
        <v/>
      </c>
      <c r="AL196" s="520" t="str">
        <f t="shared" si="32"/>
        <v/>
      </c>
      <c r="AM196" s="524" t="str">
        <f>IFERROR(IF(F196="","",IF(AH196="Check Data ⚠","Check Data ⚠",VLOOKUP(AL196, 'G-3 Multipliers'!$P$2:$Q$6,2,FALSE))),"")</f>
        <v/>
      </c>
      <c r="AN196" s="197"/>
      <c r="AO196" s="540" t="str">
        <f>IF(AN196="","",IF(VLOOKUP(AN196,'G-3 Multipliers'!$S$3:$T$9,2,FALSE)=0,"Spatial Data Missing ⚠",VLOOKUP(AN196,'G-3 Multipliers'!$S$3:$T$9,2,FALSE)))</f>
        <v/>
      </c>
      <c r="AP196" s="513" t="str">
        <f t="shared" si="33"/>
        <v/>
      </c>
      <c r="AQ196" s="231"/>
      <c r="AR196" s="150"/>
    </row>
    <row r="197" spans="1:44" x14ac:dyDescent="0.3">
      <c r="A197" s="31" t="str">
        <f>IF(E197="","",IF(ISNA(VLOOKUP($E197,'D-1 Off Site Habitat Baseline'!$D$1:$O$258,2,FALSE)),"",(VLOOKUP($E197,'D-1 Off Site Habitat Baseline'!$D$1:$O$258,2,FALSE))))</f>
        <v/>
      </c>
      <c r="B197" s="31" t="str">
        <f>IF(E197="","",IF(ISNA(VLOOKUP($E197,'D-1 Off Site Habitat Baseline'!$D$1:$O$258,3,FALSE)),"",(VLOOKUP($E197,'D-1 Off Site Habitat Baseline'!$D$1:$O$258,3,FALSE))))</f>
        <v/>
      </c>
      <c r="C197" s="31" t="str">
        <f>IFERROR(INDEX('G-8 Condition Look up'!$I$4:$I$130,MATCH(S197,'G-8 Condition Look up'!$A$4:$A$130,0)),"")</f>
        <v/>
      </c>
      <c r="E197" s="547" t="str">
        <f>'D-1 Off Site Habitat Baseline'!AL196</f>
        <v/>
      </c>
      <c r="F197" s="520" t="str">
        <f>IF(E197="","",IF(ISNA(VLOOKUP($E197,'D-1 Off Site Habitat Baseline'!$D$1:$O$258,4,FALSE)),"",(VLOOKUP($E197,'D-1 Off Site Habitat Baseline'!$D$1:$O$258,4,FALSE))))</f>
        <v/>
      </c>
      <c r="G197" s="520" t="str">
        <f>IF(E197="","",IF(ISNA(VLOOKUP($E197,'D-1 Off Site Habitat Baseline'!$D$1:$O$258,5,FALSE)),"",(VLOOKUP($E197,'D-1 Off Site Habitat Baseline'!$D$1:$O$258,5,FALSE))))</f>
        <v/>
      </c>
      <c r="H197" s="520" t="str">
        <f>IF(E197="","",IF(ISNA(VLOOKUP($E197,'D-1 Off Site Habitat Baseline'!$D$1:$O$258,6,FALSE)),"",(VLOOKUP($E197,'D-1 Off Site Habitat Baseline'!$D$1:$O$258,6,FALSE))))</f>
        <v/>
      </c>
      <c r="I197" s="520" t="str">
        <f>IF(E197="","",IF(ISNA(VLOOKUP($E197,'D-1 Off Site Habitat Baseline'!$D$1:$O$258,7,FALSE)),"",(VLOOKUP($E197,'D-1 Off Site Habitat Baseline'!$D$1:$O$258,7,FALSE))))</f>
        <v/>
      </c>
      <c r="J197" s="520" t="str">
        <f>IF(E197="","",IF(ISNA(VLOOKUP($E197,'D-1 Off Site Habitat Baseline'!$D$1:$O$258,8,FALSE)),"",(VLOOKUP($E197,'D-1 Off Site Habitat Baseline'!$D$1:$O$258,8,FALSE))))</f>
        <v/>
      </c>
      <c r="K197" s="520" t="str">
        <f>IF(E197="","",IF(ISNA(VLOOKUP($E197,'D-1 Off Site Habitat Baseline'!$D$1:$O$258,9,FALSE)),"",(VLOOKUP($E197,'D-1 Off Site Habitat Baseline'!$D$1:$O$258,9,FALSE))))</f>
        <v/>
      </c>
      <c r="L197" s="520" t="str">
        <f>IF(E197="","",IF(ISNA(VLOOKUP($E197,'D-1 Off Site Habitat Baseline'!$D$1:$O$258,11,FALSE)),"",(VLOOKUP($E197,'D-1 Off Site Habitat Baseline'!$D$1:$O$258,11,FALSE))))</f>
        <v/>
      </c>
      <c r="M197" s="520" t="str">
        <f>IF(E197="","",IF(ISNA(VLOOKUP($E197,'D-1 Off Site Habitat Baseline'!$D$1:$O$258,12,FALSE)),"",(VLOOKUP($E197,'D-1 Off Site Habitat Baseline'!$D$1:$O$258,12,FALSE))))</f>
        <v/>
      </c>
      <c r="N197" s="520" t="str">
        <f>IF(E197="","",IF(ISNA(VLOOKUP($E197,'D-1 Off Site Habitat Baseline'!$D$1:$X$258,14,FALSE)),"",(VLOOKUP($E197,'D-1 Off Site Habitat Baseline'!$D$1:$X$258,14,FALSE))))</f>
        <v/>
      </c>
      <c r="O197" s="524" t="str">
        <f>IF(E197="","",IF(ISNA(VLOOKUP($E197,'D-1 Off Site Habitat Baseline'!$D$1:$X$258,13,FALSE)),"",(VLOOKUP($E197,'D-1 Off Site Habitat Baseline'!$D$1:$X$258,13,FALSE))))</f>
        <v/>
      </c>
      <c r="P197" s="232" t="str">
        <f>IFERROR(INDEX('G-1 All Habitats'!$AG$3:$AG$15,MATCH(Q197,'G-1 All Habitats'!$AF$3:$AF$15,0)),"")</f>
        <v/>
      </c>
      <c r="Q197" s="228" t="str">
        <f t="shared" si="34"/>
        <v/>
      </c>
      <c r="R197" s="229" t="str">
        <f t="shared" si="35"/>
        <v/>
      </c>
      <c r="S197" s="233" t="str">
        <f>IFERROR(INDEX('G-1 All Habitats'!$B$3:$B$129,MATCH(R197,'G-1 All Habitats'!$A$3:$A$129,0)),"")</f>
        <v/>
      </c>
      <c r="T197" s="507" t="str">
        <f t="shared" si="27"/>
        <v/>
      </c>
      <c r="U197" s="524" t="str">
        <f t="shared" si="28"/>
        <v/>
      </c>
      <c r="V197" s="523" t="str">
        <f t="shared" si="25"/>
        <v/>
      </c>
      <c r="W197" s="520" t="str">
        <f>IF(S197="","",VLOOKUP(S197,'G-1 All Habitats'!$B$2:$M$129,10,FALSE))</f>
        <v/>
      </c>
      <c r="X197" s="520" t="str">
        <f>IFERROR(VLOOKUP(W197,'G-1 All Habitats'!$V$3:$W$7,2,FALSE),"")</f>
        <v/>
      </c>
      <c r="Y197" s="203"/>
      <c r="Z197" s="524" t="str">
        <f>IFERROR(INDEX('G-8 Condition Look up'!$A$3:$H$130,MATCH(S197,'G-8 Condition Look up'!$A$3:$A$130,0),MATCH(Y197,'G-8 Condition Look up'!$A$3:$H$3,0)),"")</f>
        <v/>
      </c>
      <c r="AA197" s="145"/>
      <c r="AB197" s="540" t="str">
        <f>IF(AA197="","",IF(VLOOKUP(AA197,'G-3 Multipliers'!$L$3:$N$6,2,FALSE)=0,"Spatial Data Missing ⚠",VLOOKUP(AA197,'G-3 Multipliers'!$L$3:$N$6,2,FALSE)))</f>
        <v/>
      </c>
      <c r="AC197" s="524" t="str">
        <f>IF(AA197="","",IF(VLOOKUP(AA197,'G-3 Multipliers'!$L$3:$N$6,3,FALSE)=0,"Spatial Data Missing ⚠",VLOOKUP(AA197,'G-3 Multipliers'!$L$3:$N$6,3,FALSE)))</f>
        <v/>
      </c>
      <c r="AD197" s="537" t="str">
        <f t="shared" si="26"/>
        <v/>
      </c>
      <c r="AE197" s="203"/>
      <c r="AF197" s="203"/>
      <c r="AG197" s="520" t="str">
        <f t="shared" si="29"/>
        <v/>
      </c>
      <c r="AH197" s="544" t="str">
        <f t="shared" si="30"/>
        <v/>
      </c>
      <c r="AI197" s="525" t="str">
        <f>IF(AH197="Check Data ⚠","Check Data ⚠",IFERROR(VLOOKUP(AH197,'G-4 Temporal multipliers'!$A$4:$C$36,3,FALSE),""))</f>
        <v/>
      </c>
      <c r="AJ197" s="537" t="str">
        <f>IF(S197="","",VLOOKUP(S197,'G-3 Multipliers'!$A$2:$E$129,4,FALSE))</f>
        <v/>
      </c>
      <c r="AK197" s="520" t="str">
        <f t="shared" si="31"/>
        <v/>
      </c>
      <c r="AL197" s="520" t="str">
        <f t="shared" si="32"/>
        <v/>
      </c>
      <c r="AM197" s="524" t="str">
        <f>IFERROR(IF(F197="","",IF(AH197="Check Data ⚠","Check Data ⚠",VLOOKUP(AL197, 'G-3 Multipliers'!$P$2:$Q$6,2,FALSE))),"")</f>
        <v/>
      </c>
      <c r="AN197" s="197"/>
      <c r="AO197" s="540" t="str">
        <f>IF(AN197="","",IF(VLOOKUP(AN197,'G-3 Multipliers'!$S$3:$T$9,2,FALSE)=0,"Spatial Data Missing ⚠",VLOOKUP(AN197,'G-3 Multipliers'!$S$3:$T$9,2,FALSE)))</f>
        <v/>
      </c>
      <c r="AP197" s="513" t="str">
        <f t="shared" si="33"/>
        <v/>
      </c>
      <c r="AQ197" s="231"/>
      <c r="AR197" s="150"/>
    </row>
    <row r="198" spans="1:44" x14ac:dyDescent="0.3">
      <c r="A198" s="31" t="str">
        <f>IF(E198="","",IF(ISNA(VLOOKUP($E198,'D-1 Off Site Habitat Baseline'!$D$1:$O$258,2,FALSE)),"",(VLOOKUP($E198,'D-1 Off Site Habitat Baseline'!$D$1:$O$258,2,FALSE))))</f>
        <v/>
      </c>
      <c r="B198" s="31" t="str">
        <f>IF(E198="","",IF(ISNA(VLOOKUP($E198,'D-1 Off Site Habitat Baseline'!$D$1:$O$258,3,FALSE)),"",(VLOOKUP($E198,'D-1 Off Site Habitat Baseline'!$D$1:$O$258,3,FALSE))))</f>
        <v/>
      </c>
      <c r="C198" s="31" t="str">
        <f>IFERROR(INDEX('G-8 Condition Look up'!$I$4:$I$130,MATCH(S198,'G-8 Condition Look up'!$A$4:$A$130,0)),"")</f>
        <v/>
      </c>
      <c r="E198" s="547" t="str">
        <f>'D-1 Off Site Habitat Baseline'!AL197</f>
        <v/>
      </c>
      <c r="F198" s="520" t="str">
        <f>IF(E198="","",IF(ISNA(VLOOKUP($E198,'D-1 Off Site Habitat Baseline'!$D$1:$O$258,4,FALSE)),"",(VLOOKUP($E198,'D-1 Off Site Habitat Baseline'!$D$1:$O$258,4,FALSE))))</f>
        <v/>
      </c>
      <c r="G198" s="520" t="str">
        <f>IF(E198="","",IF(ISNA(VLOOKUP($E198,'D-1 Off Site Habitat Baseline'!$D$1:$O$258,5,FALSE)),"",(VLOOKUP($E198,'D-1 Off Site Habitat Baseline'!$D$1:$O$258,5,FALSE))))</f>
        <v/>
      </c>
      <c r="H198" s="520" t="str">
        <f>IF(E198="","",IF(ISNA(VLOOKUP($E198,'D-1 Off Site Habitat Baseline'!$D$1:$O$258,6,FALSE)),"",(VLOOKUP($E198,'D-1 Off Site Habitat Baseline'!$D$1:$O$258,6,FALSE))))</f>
        <v/>
      </c>
      <c r="I198" s="520" t="str">
        <f>IF(E198="","",IF(ISNA(VLOOKUP($E198,'D-1 Off Site Habitat Baseline'!$D$1:$O$258,7,FALSE)),"",(VLOOKUP($E198,'D-1 Off Site Habitat Baseline'!$D$1:$O$258,7,FALSE))))</f>
        <v/>
      </c>
      <c r="J198" s="520" t="str">
        <f>IF(E198="","",IF(ISNA(VLOOKUP($E198,'D-1 Off Site Habitat Baseline'!$D$1:$O$258,8,FALSE)),"",(VLOOKUP($E198,'D-1 Off Site Habitat Baseline'!$D$1:$O$258,8,FALSE))))</f>
        <v/>
      </c>
      <c r="K198" s="520" t="str">
        <f>IF(E198="","",IF(ISNA(VLOOKUP($E198,'D-1 Off Site Habitat Baseline'!$D$1:$O$258,9,FALSE)),"",(VLOOKUP($E198,'D-1 Off Site Habitat Baseline'!$D$1:$O$258,9,FALSE))))</f>
        <v/>
      </c>
      <c r="L198" s="520" t="str">
        <f>IF(E198="","",IF(ISNA(VLOOKUP($E198,'D-1 Off Site Habitat Baseline'!$D$1:$O$258,11,FALSE)),"",(VLOOKUP($E198,'D-1 Off Site Habitat Baseline'!$D$1:$O$258,11,FALSE))))</f>
        <v/>
      </c>
      <c r="M198" s="520" t="str">
        <f>IF(E198="","",IF(ISNA(VLOOKUP($E198,'D-1 Off Site Habitat Baseline'!$D$1:$O$258,12,FALSE)),"",(VLOOKUP($E198,'D-1 Off Site Habitat Baseline'!$D$1:$O$258,12,FALSE))))</f>
        <v/>
      </c>
      <c r="N198" s="520" t="str">
        <f>IF(E198="","",IF(ISNA(VLOOKUP($E198,'D-1 Off Site Habitat Baseline'!$D$1:$X$258,14,FALSE)),"",(VLOOKUP($E198,'D-1 Off Site Habitat Baseline'!$D$1:$X$258,14,FALSE))))</f>
        <v/>
      </c>
      <c r="O198" s="524" t="str">
        <f>IF(E198="","",IF(ISNA(VLOOKUP($E198,'D-1 Off Site Habitat Baseline'!$D$1:$X$258,13,FALSE)),"",(VLOOKUP($E198,'D-1 Off Site Habitat Baseline'!$D$1:$X$258,13,FALSE))))</f>
        <v/>
      </c>
      <c r="P198" s="232" t="str">
        <f>IFERROR(INDEX('G-1 All Habitats'!$AG$3:$AG$15,MATCH(Q198,'G-1 All Habitats'!$AF$3:$AF$15,0)),"")</f>
        <v/>
      </c>
      <c r="Q198" s="228" t="str">
        <f t="shared" si="34"/>
        <v/>
      </c>
      <c r="R198" s="229" t="str">
        <f t="shared" si="35"/>
        <v/>
      </c>
      <c r="S198" s="233" t="str">
        <f>IFERROR(INDEX('G-1 All Habitats'!$B$3:$B$129,MATCH(R198,'G-1 All Habitats'!$A$3:$A$129,0)),"")</f>
        <v/>
      </c>
      <c r="T198" s="507" t="str">
        <f t="shared" si="27"/>
        <v/>
      </c>
      <c r="U198" s="524" t="str">
        <f t="shared" si="28"/>
        <v/>
      </c>
      <c r="V198" s="523" t="str">
        <f t="shared" si="25"/>
        <v/>
      </c>
      <c r="W198" s="520" t="str">
        <f>IF(S198="","",VLOOKUP(S198,'G-1 All Habitats'!$B$2:$M$129,10,FALSE))</f>
        <v/>
      </c>
      <c r="X198" s="520" t="str">
        <f>IFERROR(VLOOKUP(W198,'G-1 All Habitats'!$V$3:$W$7,2,FALSE),"")</f>
        <v/>
      </c>
      <c r="Y198" s="203"/>
      <c r="Z198" s="524" t="str">
        <f>IFERROR(INDEX('G-8 Condition Look up'!$A$3:$H$130,MATCH(S198,'G-8 Condition Look up'!$A$3:$A$130,0),MATCH(Y198,'G-8 Condition Look up'!$A$3:$H$3,0)),"")</f>
        <v/>
      </c>
      <c r="AA198" s="145"/>
      <c r="AB198" s="540" t="str">
        <f>IF(AA198="","",IF(VLOOKUP(AA198,'G-3 Multipliers'!$L$3:$N$6,2,FALSE)=0,"Spatial Data Missing ⚠",VLOOKUP(AA198,'G-3 Multipliers'!$L$3:$N$6,2,FALSE)))</f>
        <v/>
      </c>
      <c r="AC198" s="524" t="str">
        <f>IF(AA198="","",IF(VLOOKUP(AA198,'G-3 Multipliers'!$L$3:$N$6,3,FALSE)=0,"Spatial Data Missing ⚠",VLOOKUP(AA198,'G-3 Multipliers'!$L$3:$N$6,3,FALSE)))</f>
        <v/>
      </c>
      <c r="AD198" s="537" t="str">
        <f t="shared" si="26"/>
        <v/>
      </c>
      <c r="AE198" s="203"/>
      <c r="AF198" s="203"/>
      <c r="AG198" s="520" t="str">
        <f t="shared" si="29"/>
        <v/>
      </c>
      <c r="AH198" s="544" t="str">
        <f t="shared" si="30"/>
        <v/>
      </c>
      <c r="AI198" s="525" t="str">
        <f>IF(AH198="Check Data ⚠","Check Data ⚠",IFERROR(VLOOKUP(AH198,'G-4 Temporal multipliers'!$A$4:$C$36,3,FALSE),""))</f>
        <v/>
      </c>
      <c r="AJ198" s="537" t="str">
        <f>IF(S198="","",VLOOKUP(S198,'G-3 Multipliers'!$A$2:$E$129,4,FALSE))</f>
        <v/>
      </c>
      <c r="AK198" s="520" t="str">
        <f t="shared" si="31"/>
        <v/>
      </c>
      <c r="AL198" s="520" t="str">
        <f t="shared" si="32"/>
        <v/>
      </c>
      <c r="AM198" s="524" t="str">
        <f>IFERROR(IF(F198="","",IF(AH198="Check Data ⚠","Check Data ⚠",VLOOKUP(AL198, 'G-3 Multipliers'!$P$2:$Q$6,2,FALSE))),"")</f>
        <v/>
      </c>
      <c r="AN198" s="197"/>
      <c r="AO198" s="540" t="str">
        <f>IF(AN198="","",IF(VLOOKUP(AN198,'G-3 Multipliers'!$S$3:$T$9,2,FALSE)=0,"Spatial Data Missing ⚠",VLOOKUP(AN198,'G-3 Multipliers'!$S$3:$T$9,2,FALSE)))</f>
        <v/>
      </c>
      <c r="AP198" s="513" t="str">
        <f t="shared" si="33"/>
        <v/>
      </c>
      <c r="AQ198" s="231"/>
      <c r="AR198" s="150"/>
    </row>
    <row r="199" spans="1:44" x14ac:dyDescent="0.3">
      <c r="A199" s="31" t="str">
        <f>IF(E199="","",IF(ISNA(VLOOKUP($E199,'D-1 Off Site Habitat Baseline'!$D$1:$O$258,2,FALSE)),"",(VLOOKUP($E199,'D-1 Off Site Habitat Baseline'!$D$1:$O$258,2,FALSE))))</f>
        <v/>
      </c>
      <c r="B199" s="31" t="str">
        <f>IF(E199="","",IF(ISNA(VLOOKUP($E199,'D-1 Off Site Habitat Baseline'!$D$1:$O$258,3,FALSE)),"",(VLOOKUP($E199,'D-1 Off Site Habitat Baseline'!$D$1:$O$258,3,FALSE))))</f>
        <v/>
      </c>
      <c r="C199" s="31" t="str">
        <f>IFERROR(INDEX('G-8 Condition Look up'!$I$4:$I$130,MATCH(S199,'G-8 Condition Look up'!$A$4:$A$130,0)),"")</f>
        <v/>
      </c>
      <c r="E199" s="547" t="str">
        <f>'D-1 Off Site Habitat Baseline'!AL198</f>
        <v/>
      </c>
      <c r="F199" s="520" t="str">
        <f>IF(E199="","",IF(ISNA(VLOOKUP($E199,'D-1 Off Site Habitat Baseline'!$D$1:$O$258,4,FALSE)),"",(VLOOKUP($E199,'D-1 Off Site Habitat Baseline'!$D$1:$O$258,4,FALSE))))</f>
        <v/>
      </c>
      <c r="G199" s="520" t="str">
        <f>IF(E199="","",IF(ISNA(VLOOKUP($E199,'D-1 Off Site Habitat Baseline'!$D$1:$O$258,5,FALSE)),"",(VLOOKUP($E199,'D-1 Off Site Habitat Baseline'!$D$1:$O$258,5,FALSE))))</f>
        <v/>
      </c>
      <c r="H199" s="520" t="str">
        <f>IF(E199="","",IF(ISNA(VLOOKUP($E199,'D-1 Off Site Habitat Baseline'!$D$1:$O$258,6,FALSE)),"",(VLOOKUP($E199,'D-1 Off Site Habitat Baseline'!$D$1:$O$258,6,FALSE))))</f>
        <v/>
      </c>
      <c r="I199" s="520" t="str">
        <f>IF(E199="","",IF(ISNA(VLOOKUP($E199,'D-1 Off Site Habitat Baseline'!$D$1:$O$258,7,FALSE)),"",(VLOOKUP($E199,'D-1 Off Site Habitat Baseline'!$D$1:$O$258,7,FALSE))))</f>
        <v/>
      </c>
      <c r="J199" s="520" t="str">
        <f>IF(E199="","",IF(ISNA(VLOOKUP($E199,'D-1 Off Site Habitat Baseline'!$D$1:$O$258,8,FALSE)),"",(VLOOKUP($E199,'D-1 Off Site Habitat Baseline'!$D$1:$O$258,8,FALSE))))</f>
        <v/>
      </c>
      <c r="K199" s="520" t="str">
        <f>IF(E199="","",IF(ISNA(VLOOKUP($E199,'D-1 Off Site Habitat Baseline'!$D$1:$O$258,9,FALSE)),"",(VLOOKUP($E199,'D-1 Off Site Habitat Baseline'!$D$1:$O$258,9,FALSE))))</f>
        <v/>
      </c>
      <c r="L199" s="520" t="str">
        <f>IF(E199="","",IF(ISNA(VLOOKUP($E199,'D-1 Off Site Habitat Baseline'!$D$1:$O$258,11,FALSE)),"",(VLOOKUP($E199,'D-1 Off Site Habitat Baseline'!$D$1:$O$258,11,FALSE))))</f>
        <v/>
      </c>
      <c r="M199" s="520" t="str">
        <f>IF(E199="","",IF(ISNA(VLOOKUP($E199,'D-1 Off Site Habitat Baseline'!$D$1:$O$258,12,FALSE)),"",(VLOOKUP($E199,'D-1 Off Site Habitat Baseline'!$D$1:$O$258,12,FALSE))))</f>
        <v/>
      </c>
      <c r="N199" s="520" t="str">
        <f>IF(E199="","",IF(ISNA(VLOOKUP($E199,'D-1 Off Site Habitat Baseline'!$D$1:$X$258,14,FALSE)),"",(VLOOKUP($E199,'D-1 Off Site Habitat Baseline'!$D$1:$X$258,14,FALSE))))</f>
        <v/>
      </c>
      <c r="O199" s="524" t="str">
        <f>IF(E199="","",IF(ISNA(VLOOKUP($E199,'D-1 Off Site Habitat Baseline'!$D$1:$X$258,13,FALSE)),"",(VLOOKUP($E199,'D-1 Off Site Habitat Baseline'!$D$1:$X$258,13,FALSE))))</f>
        <v/>
      </c>
      <c r="P199" s="232" t="str">
        <f>IFERROR(INDEX('G-1 All Habitats'!$AG$3:$AG$15,MATCH(Q199,'G-1 All Habitats'!$AF$3:$AF$15,0)),"")</f>
        <v/>
      </c>
      <c r="Q199" s="228" t="str">
        <f t="shared" si="34"/>
        <v/>
      </c>
      <c r="R199" s="229" t="str">
        <f t="shared" si="35"/>
        <v/>
      </c>
      <c r="S199" s="233" t="str">
        <f>IFERROR(INDEX('G-1 All Habitats'!$B$3:$B$129,MATCH(R199,'G-1 All Habitats'!$A$3:$A$129,0)),"")</f>
        <v/>
      </c>
      <c r="T199" s="507" t="str">
        <f t="shared" si="27"/>
        <v/>
      </c>
      <c r="U199" s="524" t="str">
        <f t="shared" si="28"/>
        <v/>
      </c>
      <c r="V199" s="523" t="str">
        <f t="shared" si="25"/>
        <v/>
      </c>
      <c r="W199" s="520" t="str">
        <f>IF(S199="","",VLOOKUP(S199,'G-1 All Habitats'!$B$2:$M$129,10,FALSE))</f>
        <v/>
      </c>
      <c r="X199" s="520" t="str">
        <f>IFERROR(VLOOKUP(W199,'G-1 All Habitats'!$V$3:$W$7,2,FALSE),"")</f>
        <v/>
      </c>
      <c r="Y199" s="203"/>
      <c r="Z199" s="524" t="str">
        <f>IFERROR(INDEX('G-8 Condition Look up'!$A$3:$H$130,MATCH(S199,'G-8 Condition Look up'!$A$3:$A$130,0),MATCH(Y199,'G-8 Condition Look up'!$A$3:$H$3,0)),"")</f>
        <v/>
      </c>
      <c r="AA199" s="145"/>
      <c r="AB199" s="540" t="str">
        <f>IF(AA199="","",IF(VLOOKUP(AA199,'G-3 Multipliers'!$L$3:$N$6,2,FALSE)=0,"Spatial Data Missing ⚠",VLOOKUP(AA199,'G-3 Multipliers'!$L$3:$N$6,2,FALSE)))</f>
        <v/>
      </c>
      <c r="AC199" s="524" t="str">
        <f>IF(AA199="","",IF(VLOOKUP(AA199,'G-3 Multipliers'!$L$3:$N$6,3,FALSE)=0,"Spatial Data Missing ⚠",VLOOKUP(AA199,'G-3 Multipliers'!$L$3:$N$6,3,FALSE)))</f>
        <v/>
      </c>
      <c r="AD199" s="537" t="str">
        <f t="shared" si="26"/>
        <v/>
      </c>
      <c r="AE199" s="203"/>
      <c r="AF199" s="203"/>
      <c r="AG199" s="520" t="str">
        <f t="shared" si="29"/>
        <v/>
      </c>
      <c r="AH199" s="544" t="str">
        <f t="shared" si="30"/>
        <v/>
      </c>
      <c r="AI199" s="525" t="str">
        <f>IF(AH199="Check Data ⚠","Check Data ⚠",IFERROR(VLOOKUP(AH199,'G-4 Temporal multipliers'!$A$4:$C$36,3,FALSE),""))</f>
        <v/>
      </c>
      <c r="AJ199" s="537" t="str">
        <f>IF(S199="","",VLOOKUP(S199,'G-3 Multipliers'!$A$2:$E$129,4,FALSE))</f>
        <v/>
      </c>
      <c r="AK199" s="520" t="str">
        <f t="shared" si="31"/>
        <v/>
      </c>
      <c r="AL199" s="520" t="str">
        <f t="shared" si="32"/>
        <v/>
      </c>
      <c r="AM199" s="524" t="str">
        <f>IFERROR(IF(F199="","",IF(AH199="Check Data ⚠","Check Data ⚠",VLOOKUP(AL199, 'G-3 Multipliers'!$P$2:$Q$6,2,FALSE))),"")</f>
        <v/>
      </c>
      <c r="AN199" s="197"/>
      <c r="AO199" s="540" t="str">
        <f>IF(AN199="","",IF(VLOOKUP(AN199,'G-3 Multipliers'!$S$3:$T$9,2,FALSE)=0,"Spatial Data Missing ⚠",VLOOKUP(AN199,'G-3 Multipliers'!$S$3:$T$9,2,FALSE)))</f>
        <v/>
      </c>
      <c r="AP199" s="513" t="str">
        <f t="shared" si="33"/>
        <v/>
      </c>
      <c r="AQ199" s="231"/>
      <c r="AR199" s="150"/>
    </row>
    <row r="200" spans="1:44" x14ac:dyDescent="0.3">
      <c r="A200" s="31" t="str">
        <f>IF(E200="","",IF(ISNA(VLOOKUP($E200,'D-1 Off Site Habitat Baseline'!$D$1:$O$258,2,FALSE)),"",(VLOOKUP($E200,'D-1 Off Site Habitat Baseline'!$D$1:$O$258,2,FALSE))))</f>
        <v/>
      </c>
      <c r="B200" s="31" t="str">
        <f>IF(E200="","",IF(ISNA(VLOOKUP($E200,'D-1 Off Site Habitat Baseline'!$D$1:$O$258,3,FALSE)),"",(VLOOKUP($E200,'D-1 Off Site Habitat Baseline'!$D$1:$O$258,3,FALSE))))</f>
        <v/>
      </c>
      <c r="C200" s="31" t="str">
        <f>IFERROR(INDEX('G-8 Condition Look up'!$I$4:$I$130,MATCH(S200,'G-8 Condition Look up'!$A$4:$A$130,0)),"")</f>
        <v/>
      </c>
      <c r="E200" s="547" t="str">
        <f>'D-1 Off Site Habitat Baseline'!AL199</f>
        <v/>
      </c>
      <c r="F200" s="520" t="str">
        <f>IF(E200="","",IF(ISNA(VLOOKUP($E200,'D-1 Off Site Habitat Baseline'!$D$1:$O$258,4,FALSE)),"",(VLOOKUP($E200,'D-1 Off Site Habitat Baseline'!$D$1:$O$258,4,FALSE))))</f>
        <v/>
      </c>
      <c r="G200" s="520" t="str">
        <f>IF(E200="","",IF(ISNA(VLOOKUP($E200,'D-1 Off Site Habitat Baseline'!$D$1:$O$258,5,FALSE)),"",(VLOOKUP($E200,'D-1 Off Site Habitat Baseline'!$D$1:$O$258,5,FALSE))))</f>
        <v/>
      </c>
      <c r="H200" s="520" t="str">
        <f>IF(E200="","",IF(ISNA(VLOOKUP($E200,'D-1 Off Site Habitat Baseline'!$D$1:$O$258,6,FALSE)),"",(VLOOKUP($E200,'D-1 Off Site Habitat Baseline'!$D$1:$O$258,6,FALSE))))</f>
        <v/>
      </c>
      <c r="I200" s="520" t="str">
        <f>IF(E200="","",IF(ISNA(VLOOKUP($E200,'D-1 Off Site Habitat Baseline'!$D$1:$O$258,7,FALSE)),"",(VLOOKUP($E200,'D-1 Off Site Habitat Baseline'!$D$1:$O$258,7,FALSE))))</f>
        <v/>
      </c>
      <c r="J200" s="520" t="str">
        <f>IF(E200="","",IF(ISNA(VLOOKUP($E200,'D-1 Off Site Habitat Baseline'!$D$1:$O$258,8,FALSE)),"",(VLOOKUP($E200,'D-1 Off Site Habitat Baseline'!$D$1:$O$258,8,FALSE))))</f>
        <v/>
      </c>
      <c r="K200" s="520" t="str">
        <f>IF(E200="","",IF(ISNA(VLOOKUP($E200,'D-1 Off Site Habitat Baseline'!$D$1:$O$258,9,FALSE)),"",(VLOOKUP($E200,'D-1 Off Site Habitat Baseline'!$D$1:$O$258,9,FALSE))))</f>
        <v/>
      </c>
      <c r="L200" s="520" t="str">
        <f>IF(E200="","",IF(ISNA(VLOOKUP($E200,'D-1 Off Site Habitat Baseline'!$D$1:$O$258,11,FALSE)),"",(VLOOKUP($E200,'D-1 Off Site Habitat Baseline'!$D$1:$O$258,11,FALSE))))</f>
        <v/>
      </c>
      <c r="M200" s="520" t="str">
        <f>IF(E200="","",IF(ISNA(VLOOKUP($E200,'D-1 Off Site Habitat Baseline'!$D$1:$O$258,12,FALSE)),"",(VLOOKUP($E200,'D-1 Off Site Habitat Baseline'!$D$1:$O$258,12,FALSE))))</f>
        <v/>
      </c>
      <c r="N200" s="520" t="str">
        <f>IF(E200="","",IF(ISNA(VLOOKUP($E200,'D-1 Off Site Habitat Baseline'!$D$1:$X$258,14,FALSE)),"",(VLOOKUP($E200,'D-1 Off Site Habitat Baseline'!$D$1:$X$258,14,FALSE))))</f>
        <v/>
      </c>
      <c r="O200" s="524" t="str">
        <f>IF(E200="","",IF(ISNA(VLOOKUP($E200,'D-1 Off Site Habitat Baseline'!$D$1:$X$258,13,FALSE)),"",(VLOOKUP($E200,'D-1 Off Site Habitat Baseline'!$D$1:$X$258,13,FALSE))))</f>
        <v/>
      </c>
      <c r="P200" s="232" t="str">
        <f>IFERROR(INDEX('G-1 All Habitats'!$AG$3:$AG$15,MATCH(Q200,'G-1 All Habitats'!$AF$3:$AF$15,0)),"")</f>
        <v/>
      </c>
      <c r="Q200" s="228" t="str">
        <f t="shared" si="34"/>
        <v/>
      </c>
      <c r="R200" s="229" t="str">
        <f t="shared" si="35"/>
        <v/>
      </c>
      <c r="S200" s="233" t="str">
        <f>IFERROR(INDEX('G-1 All Habitats'!$B$3:$B$129,MATCH(R200,'G-1 All Habitats'!$A$3:$A$129,0)),"")</f>
        <v/>
      </c>
      <c r="T200" s="507" t="str">
        <f t="shared" si="27"/>
        <v/>
      </c>
      <c r="U200" s="524" t="str">
        <f t="shared" si="28"/>
        <v/>
      </c>
      <c r="V200" s="523" t="str">
        <f t="shared" si="25"/>
        <v/>
      </c>
      <c r="W200" s="520" t="str">
        <f>IF(S200="","",VLOOKUP(S200,'G-1 All Habitats'!$B$2:$M$129,10,FALSE))</f>
        <v/>
      </c>
      <c r="X200" s="520" t="str">
        <f>IFERROR(VLOOKUP(W200,'G-1 All Habitats'!$V$3:$W$7,2,FALSE),"")</f>
        <v/>
      </c>
      <c r="Y200" s="203"/>
      <c r="Z200" s="524" t="str">
        <f>IFERROR(INDEX('G-8 Condition Look up'!$A$3:$H$130,MATCH(S200,'G-8 Condition Look up'!$A$3:$A$130,0),MATCH(Y200,'G-8 Condition Look up'!$A$3:$H$3,0)),"")</f>
        <v/>
      </c>
      <c r="AA200" s="145"/>
      <c r="AB200" s="540" t="str">
        <f>IF(AA200="","",IF(VLOOKUP(AA200,'G-3 Multipliers'!$L$3:$N$6,2,FALSE)=0,"Spatial Data Missing ⚠",VLOOKUP(AA200,'G-3 Multipliers'!$L$3:$N$6,2,FALSE)))</f>
        <v/>
      </c>
      <c r="AC200" s="524" t="str">
        <f>IF(AA200="","",IF(VLOOKUP(AA200,'G-3 Multipliers'!$L$3:$N$6,3,FALSE)=0,"Spatial Data Missing ⚠",VLOOKUP(AA200,'G-3 Multipliers'!$L$3:$N$6,3,FALSE)))</f>
        <v/>
      </c>
      <c r="AD200" s="537" t="str">
        <f t="shared" si="26"/>
        <v/>
      </c>
      <c r="AE200" s="203"/>
      <c r="AF200" s="203"/>
      <c r="AG200" s="520" t="str">
        <f t="shared" si="29"/>
        <v/>
      </c>
      <c r="AH200" s="544" t="str">
        <f t="shared" si="30"/>
        <v/>
      </c>
      <c r="AI200" s="525" t="str">
        <f>IF(AH200="Check Data ⚠","Check Data ⚠",IFERROR(VLOOKUP(AH200,'G-4 Temporal multipliers'!$A$4:$C$36,3,FALSE),""))</f>
        <v/>
      </c>
      <c r="AJ200" s="537" t="str">
        <f>IF(S200="","",VLOOKUP(S200,'G-3 Multipliers'!$A$2:$E$129,4,FALSE))</f>
        <v/>
      </c>
      <c r="AK200" s="520" t="str">
        <f t="shared" si="31"/>
        <v/>
      </c>
      <c r="AL200" s="520" t="str">
        <f t="shared" si="32"/>
        <v/>
      </c>
      <c r="AM200" s="524" t="str">
        <f>IFERROR(IF(F200="","",IF(AH200="Check Data ⚠","Check Data ⚠",VLOOKUP(AL200, 'G-3 Multipliers'!$P$2:$Q$6,2,FALSE))),"")</f>
        <v/>
      </c>
      <c r="AN200" s="197"/>
      <c r="AO200" s="540" t="str">
        <f>IF(AN200="","",IF(VLOOKUP(AN200,'G-3 Multipliers'!$S$3:$T$9,2,FALSE)=0,"Spatial Data Missing ⚠",VLOOKUP(AN200,'G-3 Multipliers'!$S$3:$T$9,2,FALSE)))</f>
        <v/>
      </c>
      <c r="AP200" s="513" t="str">
        <f t="shared" si="33"/>
        <v/>
      </c>
      <c r="AQ200" s="231"/>
      <c r="AR200" s="150"/>
    </row>
    <row r="201" spans="1:44" x14ac:dyDescent="0.3">
      <c r="A201" s="31" t="str">
        <f>IF(E201="","",IF(ISNA(VLOOKUP($E201,'D-1 Off Site Habitat Baseline'!$D$1:$O$258,2,FALSE)),"",(VLOOKUP($E201,'D-1 Off Site Habitat Baseline'!$D$1:$O$258,2,FALSE))))</f>
        <v/>
      </c>
      <c r="B201" s="31" t="str">
        <f>IF(E201="","",IF(ISNA(VLOOKUP($E201,'D-1 Off Site Habitat Baseline'!$D$1:$O$258,3,FALSE)),"",(VLOOKUP($E201,'D-1 Off Site Habitat Baseline'!$D$1:$O$258,3,FALSE))))</f>
        <v/>
      </c>
      <c r="C201" s="31" t="str">
        <f>IFERROR(INDEX('G-8 Condition Look up'!$I$4:$I$130,MATCH(S201,'G-8 Condition Look up'!$A$4:$A$130,0)),"")</f>
        <v/>
      </c>
      <c r="E201" s="547" t="str">
        <f>'D-1 Off Site Habitat Baseline'!AL200</f>
        <v/>
      </c>
      <c r="F201" s="520" t="str">
        <f>IF(E201="","",IF(ISNA(VLOOKUP($E201,'D-1 Off Site Habitat Baseline'!$D$1:$O$258,4,FALSE)),"",(VLOOKUP($E201,'D-1 Off Site Habitat Baseline'!$D$1:$O$258,4,FALSE))))</f>
        <v/>
      </c>
      <c r="G201" s="520" t="str">
        <f>IF(E201="","",IF(ISNA(VLOOKUP($E201,'D-1 Off Site Habitat Baseline'!$D$1:$O$258,5,FALSE)),"",(VLOOKUP($E201,'D-1 Off Site Habitat Baseline'!$D$1:$O$258,5,FALSE))))</f>
        <v/>
      </c>
      <c r="H201" s="520" t="str">
        <f>IF(E201="","",IF(ISNA(VLOOKUP($E201,'D-1 Off Site Habitat Baseline'!$D$1:$O$258,6,FALSE)),"",(VLOOKUP($E201,'D-1 Off Site Habitat Baseline'!$D$1:$O$258,6,FALSE))))</f>
        <v/>
      </c>
      <c r="I201" s="520" t="str">
        <f>IF(E201="","",IF(ISNA(VLOOKUP($E201,'D-1 Off Site Habitat Baseline'!$D$1:$O$258,7,FALSE)),"",(VLOOKUP($E201,'D-1 Off Site Habitat Baseline'!$D$1:$O$258,7,FALSE))))</f>
        <v/>
      </c>
      <c r="J201" s="520" t="str">
        <f>IF(E201="","",IF(ISNA(VLOOKUP($E201,'D-1 Off Site Habitat Baseline'!$D$1:$O$258,8,FALSE)),"",(VLOOKUP($E201,'D-1 Off Site Habitat Baseline'!$D$1:$O$258,8,FALSE))))</f>
        <v/>
      </c>
      <c r="K201" s="520" t="str">
        <f>IF(E201="","",IF(ISNA(VLOOKUP($E201,'D-1 Off Site Habitat Baseline'!$D$1:$O$258,9,FALSE)),"",(VLOOKUP($E201,'D-1 Off Site Habitat Baseline'!$D$1:$O$258,9,FALSE))))</f>
        <v/>
      </c>
      <c r="L201" s="520" t="str">
        <f>IF(E201="","",IF(ISNA(VLOOKUP($E201,'D-1 Off Site Habitat Baseline'!$D$1:$O$258,11,FALSE)),"",(VLOOKUP($E201,'D-1 Off Site Habitat Baseline'!$D$1:$O$258,11,FALSE))))</f>
        <v/>
      </c>
      <c r="M201" s="520" t="str">
        <f>IF(E201="","",IF(ISNA(VLOOKUP($E201,'D-1 Off Site Habitat Baseline'!$D$1:$O$258,12,FALSE)),"",(VLOOKUP($E201,'D-1 Off Site Habitat Baseline'!$D$1:$O$258,12,FALSE))))</f>
        <v/>
      </c>
      <c r="N201" s="520" t="str">
        <f>IF(E201="","",IF(ISNA(VLOOKUP($E201,'D-1 Off Site Habitat Baseline'!$D$1:$X$258,14,FALSE)),"",(VLOOKUP($E201,'D-1 Off Site Habitat Baseline'!$D$1:$X$258,14,FALSE))))</f>
        <v/>
      </c>
      <c r="O201" s="524" t="str">
        <f>IF(E201="","",IF(ISNA(VLOOKUP($E201,'D-1 Off Site Habitat Baseline'!$D$1:$X$258,13,FALSE)),"",(VLOOKUP($E201,'D-1 Off Site Habitat Baseline'!$D$1:$X$258,13,FALSE))))</f>
        <v/>
      </c>
      <c r="P201" s="232" t="str">
        <f>IFERROR(INDEX('G-1 All Habitats'!$AG$3:$AG$15,MATCH(Q201,'G-1 All Habitats'!$AF$3:$AF$15,0)),"")</f>
        <v/>
      </c>
      <c r="Q201" s="228" t="str">
        <f t="shared" si="34"/>
        <v/>
      </c>
      <c r="R201" s="229" t="str">
        <f t="shared" si="35"/>
        <v/>
      </c>
      <c r="S201" s="233" t="str">
        <f>IFERROR(INDEX('G-1 All Habitats'!$B$3:$B$129,MATCH(R201,'G-1 All Habitats'!$A$3:$A$129,0)),"")</f>
        <v/>
      </c>
      <c r="T201" s="507" t="str">
        <f t="shared" si="27"/>
        <v/>
      </c>
      <c r="U201" s="524" t="str">
        <f t="shared" si="28"/>
        <v/>
      </c>
      <c r="V201" s="523" t="str">
        <f t="shared" si="25"/>
        <v/>
      </c>
      <c r="W201" s="520" t="str">
        <f>IF(S201="","",VLOOKUP(S201,'G-1 All Habitats'!$B$2:$M$129,10,FALSE))</f>
        <v/>
      </c>
      <c r="X201" s="520" t="str">
        <f>IFERROR(VLOOKUP(W201,'G-1 All Habitats'!$V$3:$W$7,2,FALSE),"")</f>
        <v/>
      </c>
      <c r="Y201" s="203"/>
      <c r="Z201" s="524" t="str">
        <f>IFERROR(INDEX('G-8 Condition Look up'!$A$3:$H$130,MATCH(S201,'G-8 Condition Look up'!$A$3:$A$130,0),MATCH(Y201,'G-8 Condition Look up'!$A$3:$H$3,0)),"")</f>
        <v/>
      </c>
      <c r="AA201" s="145"/>
      <c r="AB201" s="540" t="str">
        <f>IF(AA201="","",IF(VLOOKUP(AA201,'G-3 Multipliers'!$L$3:$N$6,2,FALSE)=0,"Spatial Data Missing ⚠",VLOOKUP(AA201,'G-3 Multipliers'!$L$3:$N$6,2,FALSE)))</f>
        <v/>
      </c>
      <c r="AC201" s="524" t="str">
        <f>IF(AA201="","",IF(VLOOKUP(AA201,'G-3 Multipliers'!$L$3:$N$6,3,FALSE)=0,"Spatial Data Missing ⚠",VLOOKUP(AA201,'G-3 Multipliers'!$L$3:$N$6,3,FALSE)))</f>
        <v/>
      </c>
      <c r="AD201" s="537" t="str">
        <f t="shared" si="26"/>
        <v/>
      </c>
      <c r="AE201" s="203"/>
      <c r="AF201" s="203"/>
      <c r="AG201" s="520" t="str">
        <f t="shared" si="29"/>
        <v/>
      </c>
      <c r="AH201" s="544" t="str">
        <f t="shared" si="30"/>
        <v/>
      </c>
      <c r="AI201" s="525" t="str">
        <f>IF(AH201="Check Data ⚠","Check Data ⚠",IFERROR(VLOOKUP(AH201,'G-4 Temporal multipliers'!$A$4:$C$36,3,FALSE),""))</f>
        <v/>
      </c>
      <c r="AJ201" s="537" t="str">
        <f>IF(S201="","",VLOOKUP(S201,'G-3 Multipliers'!$A$2:$E$129,4,FALSE))</f>
        <v/>
      </c>
      <c r="AK201" s="520" t="str">
        <f t="shared" si="31"/>
        <v/>
      </c>
      <c r="AL201" s="520" t="str">
        <f t="shared" si="32"/>
        <v/>
      </c>
      <c r="AM201" s="524" t="str">
        <f>IFERROR(IF(F201="","",IF(AH201="Check Data ⚠","Check Data ⚠",VLOOKUP(AL201, 'G-3 Multipliers'!$P$2:$Q$6,2,FALSE))),"")</f>
        <v/>
      </c>
      <c r="AN201" s="197"/>
      <c r="AO201" s="540" t="str">
        <f>IF(AN201="","",IF(VLOOKUP(AN201,'G-3 Multipliers'!$S$3:$T$9,2,FALSE)=0,"Spatial Data Missing ⚠",VLOOKUP(AN201,'G-3 Multipliers'!$S$3:$T$9,2,FALSE)))</f>
        <v/>
      </c>
      <c r="AP201" s="513" t="str">
        <f t="shared" si="33"/>
        <v/>
      </c>
      <c r="AQ201" s="231"/>
      <c r="AR201" s="150"/>
    </row>
    <row r="202" spans="1:44" x14ac:dyDescent="0.3">
      <c r="A202" s="31" t="str">
        <f>IF(E202="","",IF(ISNA(VLOOKUP($E202,'D-1 Off Site Habitat Baseline'!$D$1:$O$258,2,FALSE)),"",(VLOOKUP($E202,'D-1 Off Site Habitat Baseline'!$D$1:$O$258,2,FALSE))))</f>
        <v/>
      </c>
      <c r="B202" s="31" t="str">
        <f>IF(E202="","",IF(ISNA(VLOOKUP($E202,'D-1 Off Site Habitat Baseline'!$D$1:$O$258,3,FALSE)),"",(VLOOKUP($E202,'D-1 Off Site Habitat Baseline'!$D$1:$O$258,3,FALSE))))</f>
        <v/>
      </c>
      <c r="C202" s="31" t="str">
        <f>IFERROR(INDEX('G-8 Condition Look up'!$I$4:$I$130,MATCH(S202,'G-8 Condition Look up'!$A$4:$A$130,0)),"")</f>
        <v/>
      </c>
      <c r="E202" s="547" t="str">
        <f>'D-1 Off Site Habitat Baseline'!AL201</f>
        <v/>
      </c>
      <c r="F202" s="520" t="str">
        <f>IF(E202="","",IF(ISNA(VLOOKUP($E202,'D-1 Off Site Habitat Baseline'!$D$1:$O$258,4,FALSE)),"",(VLOOKUP($E202,'D-1 Off Site Habitat Baseline'!$D$1:$O$258,4,FALSE))))</f>
        <v/>
      </c>
      <c r="G202" s="520" t="str">
        <f>IF(E202="","",IF(ISNA(VLOOKUP($E202,'D-1 Off Site Habitat Baseline'!$D$1:$O$258,5,FALSE)),"",(VLOOKUP($E202,'D-1 Off Site Habitat Baseline'!$D$1:$O$258,5,FALSE))))</f>
        <v/>
      </c>
      <c r="H202" s="520" t="str">
        <f>IF(E202="","",IF(ISNA(VLOOKUP($E202,'D-1 Off Site Habitat Baseline'!$D$1:$O$258,6,FALSE)),"",(VLOOKUP($E202,'D-1 Off Site Habitat Baseline'!$D$1:$O$258,6,FALSE))))</f>
        <v/>
      </c>
      <c r="I202" s="520" t="str">
        <f>IF(E202="","",IF(ISNA(VLOOKUP($E202,'D-1 Off Site Habitat Baseline'!$D$1:$O$258,7,FALSE)),"",(VLOOKUP($E202,'D-1 Off Site Habitat Baseline'!$D$1:$O$258,7,FALSE))))</f>
        <v/>
      </c>
      <c r="J202" s="520" t="str">
        <f>IF(E202="","",IF(ISNA(VLOOKUP($E202,'D-1 Off Site Habitat Baseline'!$D$1:$O$258,8,FALSE)),"",(VLOOKUP($E202,'D-1 Off Site Habitat Baseline'!$D$1:$O$258,8,FALSE))))</f>
        <v/>
      </c>
      <c r="K202" s="520" t="str">
        <f>IF(E202="","",IF(ISNA(VLOOKUP($E202,'D-1 Off Site Habitat Baseline'!$D$1:$O$258,9,FALSE)),"",(VLOOKUP($E202,'D-1 Off Site Habitat Baseline'!$D$1:$O$258,9,FALSE))))</f>
        <v/>
      </c>
      <c r="L202" s="520" t="str">
        <f>IF(E202="","",IF(ISNA(VLOOKUP($E202,'D-1 Off Site Habitat Baseline'!$D$1:$O$258,11,FALSE)),"",(VLOOKUP($E202,'D-1 Off Site Habitat Baseline'!$D$1:$O$258,11,FALSE))))</f>
        <v/>
      </c>
      <c r="M202" s="520" t="str">
        <f>IF(E202="","",IF(ISNA(VLOOKUP($E202,'D-1 Off Site Habitat Baseline'!$D$1:$O$258,12,FALSE)),"",(VLOOKUP($E202,'D-1 Off Site Habitat Baseline'!$D$1:$O$258,12,FALSE))))</f>
        <v/>
      </c>
      <c r="N202" s="520" t="str">
        <f>IF(E202="","",IF(ISNA(VLOOKUP($E202,'D-1 Off Site Habitat Baseline'!$D$1:$X$258,14,FALSE)),"",(VLOOKUP($E202,'D-1 Off Site Habitat Baseline'!$D$1:$X$258,14,FALSE))))</f>
        <v/>
      </c>
      <c r="O202" s="524" t="str">
        <f>IF(E202="","",IF(ISNA(VLOOKUP($E202,'D-1 Off Site Habitat Baseline'!$D$1:$X$258,13,FALSE)),"",(VLOOKUP($E202,'D-1 Off Site Habitat Baseline'!$D$1:$X$258,13,FALSE))))</f>
        <v/>
      </c>
      <c r="P202" s="232" t="str">
        <f>IFERROR(INDEX('G-1 All Habitats'!$AG$3:$AG$15,MATCH(Q202,'G-1 All Habitats'!$AF$3:$AF$15,0)),"")</f>
        <v/>
      </c>
      <c r="Q202" s="228" t="str">
        <f t="shared" si="34"/>
        <v/>
      </c>
      <c r="R202" s="229" t="str">
        <f t="shared" si="35"/>
        <v/>
      </c>
      <c r="S202" s="233" t="str">
        <f>IFERROR(INDEX('G-1 All Habitats'!$B$3:$B$129,MATCH(R202,'G-1 All Habitats'!$A$3:$A$129,0)),"")</f>
        <v/>
      </c>
      <c r="T202" s="507" t="str">
        <f t="shared" si="27"/>
        <v/>
      </c>
      <c r="U202" s="524" t="str">
        <f t="shared" si="28"/>
        <v/>
      </c>
      <c r="V202" s="523" t="str">
        <f t="shared" si="25"/>
        <v/>
      </c>
      <c r="W202" s="520" t="str">
        <f>IF(S202="","",VLOOKUP(S202,'G-1 All Habitats'!$B$2:$M$129,10,FALSE))</f>
        <v/>
      </c>
      <c r="X202" s="520" t="str">
        <f>IFERROR(VLOOKUP(W202,'G-1 All Habitats'!$V$3:$W$7,2,FALSE),"")</f>
        <v/>
      </c>
      <c r="Y202" s="203"/>
      <c r="Z202" s="524" t="str">
        <f>IFERROR(INDEX('G-8 Condition Look up'!$A$3:$H$130,MATCH(S202,'G-8 Condition Look up'!$A$3:$A$130,0),MATCH(Y202,'G-8 Condition Look up'!$A$3:$H$3,0)),"")</f>
        <v/>
      </c>
      <c r="AA202" s="145"/>
      <c r="AB202" s="540" t="str">
        <f>IF(AA202="","",IF(VLOOKUP(AA202,'G-3 Multipliers'!$L$3:$N$6,2,FALSE)=0,"Spatial Data Missing ⚠",VLOOKUP(AA202,'G-3 Multipliers'!$L$3:$N$6,2,FALSE)))</f>
        <v/>
      </c>
      <c r="AC202" s="524" t="str">
        <f>IF(AA202="","",IF(VLOOKUP(AA202,'G-3 Multipliers'!$L$3:$N$6,3,FALSE)=0,"Spatial Data Missing ⚠",VLOOKUP(AA202,'G-3 Multipliers'!$L$3:$N$6,3,FALSE)))</f>
        <v/>
      </c>
      <c r="AD202" s="537" t="str">
        <f t="shared" si="26"/>
        <v/>
      </c>
      <c r="AE202" s="203"/>
      <c r="AF202" s="203"/>
      <c r="AG202" s="520" t="str">
        <f t="shared" si="29"/>
        <v/>
      </c>
      <c r="AH202" s="544" t="str">
        <f t="shared" si="30"/>
        <v/>
      </c>
      <c r="AI202" s="525" t="str">
        <f>IF(AH202="Check Data ⚠","Check Data ⚠",IFERROR(VLOOKUP(AH202,'G-4 Temporal multipliers'!$A$4:$C$36,3,FALSE),""))</f>
        <v/>
      </c>
      <c r="AJ202" s="537" t="str">
        <f>IF(S202="","",VLOOKUP(S202,'G-3 Multipliers'!$A$2:$E$129,4,FALSE))</f>
        <v/>
      </c>
      <c r="AK202" s="520" t="str">
        <f t="shared" si="31"/>
        <v/>
      </c>
      <c r="AL202" s="520" t="str">
        <f t="shared" si="32"/>
        <v/>
      </c>
      <c r="AM202" s="524" t="str">
        <f>IFERROR(IF(F202="","",IF(AH202="Check Data ⚠","Check Data ⚠",VLOOKUP(AL202, 'G-3 Multipliers'!$P$2:$Q$6,2,FALSE))),"")</f>
        <v/>
      </c>
      <c r="AN202" s="197"/>
      <c r="AO202" s="540" t="str">
        <f>IF(AN202="","",IF(VLOOKUP(AN202,'G-3 Multipliers'!$S$3:$T$9,2,FALSE)=0,"Spatial Data Missing ⚠",VLOOKUP(AN202,'G-3 Multipliers'!$S$3:$T$9,2,FALSE)))</f>
        <v/>
      </c>
      <c r="AP202" s="513" t="str">
        <f t="shared" si="33"/>
        <v/>
      </c>
      <c r="AQ202" s="231"/>
      <c r="AR202" s="150"/>
    </row>
    <row r="203" spans="1:44" x14ac:dyDescent="0.3">
      <c r="A203" s="31" t="str">
        <f>IF(E203="","",IF(ISNA(VLOOKUP($E203,'D-1 Off Site Habitat Baseline'!$D$1:$O$258,2,FALSE)),"",(VLOOKUP($E203,'D-1 Off Site Habitat Baseline'!$D$1:$O$258,2,FALSE))))</f>
        <v/>
      </c>
      <c r="B203" s="31" t="str">
        <f>IF(E203="","",IF(ISNA(VLOOKUP($E203,'D-1 Off Site Habitat Baseline'!$D$1:$O$258,3,FALSE)),"",(VLOOKUP($E203,'D-1 Off Site Habitat Baseline'!$D$1:$O$258,3,FALSE))))</f>
        <v/>
      </c>
      <c r="C203" s="31" t="str">
        <f>IFERROR(INDEX('G-8 Condition Look up'!$I$4:$I$130,MATCH(S203,'G-8 Condition Look up'!$A$4:$A$130,0)),"")</f>
        <v/>
      </c>
      <c r="E203" s="547" t="str">
        <f>'D-1 Off Site Habitat Baseline'!AL202</f>
        <v/>
      </c>
      <c r="F203" s="520" t="str">
        <f>IF(E203="","",IF(ISNA(VLOOKUP($E203,'D-1 Off Site Habitat Baseline'!$D$1:$O$258,4,FALSE)),"",(VLOOKUP($E203,'D-1 Off Site Habitat Baseline'!$D$1:$O$258,4,FALSE))))</f>
        <v/>
      </c>
      <c r="G203" s="520" t="str">
        <f>IF(E203="","",IF(ISNA(VLOOKUP($E203,'D-1 Off Site Habitat Baseline'!$D$1:$O$258,5,FALSE)),"",(VLOOKUP($E203,'D-1 Off Site Habitat Baseline'!$D$1:$O$258,5,FALSE))))</f>
        <v/>
      </c>
      <c r="H203" s="520" t="str">
        <f>IF(E203="","",IF(ISNA(VLOOKUP($E203,'D-1 Off Site Habitat Baseline'!$D$1:$O$258,6,FALSE)),"",(VLOOKUP($E203,'D-1 Off Site Habitat Baseline'!$D$1:$O$258,6,FALSE))))</f>
        <v/>
      </c>
      <c r="I203" s="520" t="str">
        <f>IF(E203="","",IF(ISNA(VLOOKUP($E203,'D-1 Off Site Habitat Baseline'!$D$1:$O$258,7,FALSE)),"",(VLOOKUP($E203,'D-1 Off Site Habitat Baseline'!$D$1:$O$258,7,FALSE))))</f>
        <v/>
      </c>
      <c r="J203" s="520" t="str">
        <f>IF(E203="","",IF(ISNA(VLOOKUP($E203,'D-1 Off Site Habitat Baseline'!$D$1:$O$258,8,FALSE)),"",(VLOOKUP($E203,'D-1 Off Site Habitat Baseline'!$D$1:$O$258,8,FALSE))))</f>
        <v/>
      </c>
      <c r="K203" s="520" t="str">
        <f>IF(E203="","",IF(ISNA(VLOOKUP($E203,'D-1 Off Site Habitat Baseline'!$D$1:$O$258,9,FALSE)),"",(VLOOKUP($E203,'D-1 Off Site Habitat Baseline'!$D$1:$O$258,9,FALSE))))</f>
        <v/>
      </c>
      <c r="L203" s="520" t="str">
        <f>IF(E203="","",IF(ISNA(VLOOKUP($E203,'D-1 Off Site Habitat Baseline'!$D$1:$O$258,11,FALSE)),"",(VLOOKUP($E203,'D-1 Off Site Habitat Baseline'!$D$1:$O$258,11,FALSE))))</f>
        <v/>
      </c>
      <c r="M203" s="520" t="str">
        <f>IF(E203="","",IF(ISNA(VLOOKUP($E203,'D-1 Off Site Habitat Baseline'!$D$1:$O$258,12,FALSE)),"",(VLOOKUP($E203,'D-1 Off Site Habitat Baseline'!$D$1:$O$258,12,FALSE))))</f>
        <v/>
      </c>
      <c r="N203" s="520" t="str">
        <f>IF(E203="","",IF(ISNA(VLOOKUP($E203,'D-1 Off Site Habitat Baseline'!$D$1:$X$258,14,FALSE)),"",(VLOOKUP($E203,'D-1 Off Site Habitat Baseline'!$D$1:$X$258,14,FALSE))))</f>
        <v/>
      </c>
      <c r="O203" s="524" t="str">
        <f>IF(E203="","",IF(ISNA(VLOOKUP($E203,'D-1 Off Site Habitat Baseline'!$D$1:$X$258,13,FALSE)),"",(VLOOKUP($E203,'D-1 Off Site Habitat Baseline'!$D$1:$X$258,13,FALSE))))</f>
        <v/>
      </c>
      <c r="P203" s="232" t="str">
        <f>IFERROR(INDEX('G-1 All Habitats'!$AG$3:$AG$15,MATCH(Q203,'G-1 All Habitats'!$AF$3:$AF$15,0)),"")</f>
        <v/>
      </c>
      <c r="Q203" s="228" t="str">
        <f t="shared" si="34"/>
        <v/>
      </c>
      <c r="R203" s="229" t="str">
        <f t="shared" si="35"/>
        <v/>
      </c>
      <c r="S203" s="233" t="str">
        <f>IFERROR(INDEX('G-1 All Habitats'!$B$3:$B$129,MATCH(R203,'G-1 All Habitats'!$A$3:$A$129,0)),"")</f>
        <v/>
      </c>
      <c r="T203" s="507" t="str">
        <f t="shared" si="27"/>
        <v/>
      </c>
      <c r="U203" s="524" t="str">
        <f t="shared" si="28"/>
        <v/>
      </c>
      <c r="V203" s="523" t="str">
        <f t="shared" si="25"/>
        <v/>
      </c>
      <c r="W203" s="520" t="str">
        <f>IF(S203="","",VLOOKUP(S203,'G-1 All Habitats'!$B$2:$M$129,10,FALSE))</f>
        <v/>
      </c>
      <c r="X203" s="520" t="str">
        <f>IFERROR(VLOOKUP(W203,'G-1 All Habitats'!$V$3:$W$7,2,FALSE),"")</f>
        <v/>
      </c>
      <c r="Y203" s="203"/>
      <c r="Z203" s="524" t="str">
        <f>IFERROR(INDEX('G-8 Condition Look up'!$A$3:$H$130,MATCH(S203,'G-8 Condition Look up'!$A$3:$A$130,0),MATCH(Y203,'G-8 Condition Look up'!$A$3:$H$3,0)),"")</f>
        <v/>
      </c>
      <c r="AA203" s="145"/>
      <c r="AB203" s="540" t="str">
        <f>IF(AA203="","",IF(VLOOKUP(AA203,'G-3 Multipliers'!$L$3:$N$6,2,FALSE)=0,"Spatial Data Missing ⚠",VLOOKUP(AA203,'G-3 Multipliers'!$L$3:$N$6,2,FALSE)))</f>
        <v/>
      </c>
      <c r="AC203" s="524" t="str">
        <f>IF(AA203="","",IF(VLOOKUP(AA203,'G-3 Multipliers'!$L$3:$N$6,3,FALSE)=0,"Spatial Data Missing ⚠",VLOOKUP(AA203,'G-3 Multipliers'!$L$3:$N$6,3,FALSE)))</f>
        <v/>
      </c>
      <c r="AD203" s="537" t="str">
        <f t="shared" si="26"/>
        <v/>
      </c>
      <c r="AE203" s="203"/>
      <c r="AF203" s="203"/>
      <c r="AG203" s="520" t="str">
        <f t="shared" si="29"/>
        <v/>
      </c>
      <c r="AH203" s="544" t="str">
        <f t="shared" si="30"/>
        <v/>
      </c>
      <c r="AI203" s="525" t="str">
        <f>IF(AH203="Check Data ⚠","Check Data ⚠",IFERROR(VLOOKUP(AH203,'G-4 Temporal multipliers'!$A$4:$C$36,3,FALSE),""))</f>
        <v/>
      </c>
      <c r="AJ203" s="537" t="str">
        <f>IF(S203="","",VLOOKUP(S203,'G-3 Multipliers'!$A$2:$E$129,4,FALSE))</f>
        <v/>
      </c>
      <c r="AK203" s="520" t="str">
        <f t="shared" si="31"/>
        <v/>
      </c>
      <c r="AL203" s="520" t="str">
        <f t="shared" si="32"/>
        <v/>
      </c>
      <c r="AM203" s="524" t="str">
        <f>IFERROR(IF(F203="","",IF(AH203="Check Data ⚠","Check Data ⚠",VLOOKUP(AL203, 'G-3 Multipliers'!$P$2:$Q$6,2,FALSE))),"")</f>
        <v/>
      </c>
      <c r="AN203" s="197"/>
      <c r="AO203" s="540" t="str">
        <f>IF(AN203="","",IF(VLOOKUP(AN203,'G-3 Multipliers'!$S$3:$T$9,2,FALSE)=0,"Spatial Data Missing ⚠",VLOOKUP(AN203,'G-3 Multipliers'!$S$3:$T$9,2,FALSE)))</f>
        <v/>
      </c>
      <c r="AP203" s="513" t="str">
        <f t="shared" si="33"/>
        <v/>
      </c>
      <c r="AQ203" s="231"/>
      <c r="AR203" s="150"/>
    </row>
    <row r="204" spans="1:44" x14ac:dyDescent="0.3">
      <c r="A204" s="31" t="str">
        <f>IF(E204="","",IF(ISNA(VLOOKUP($E204,'D-1 Off Site Habitat Baseline'!$D$1:$O$258,2,FALSE)),"",(VLOOKUP($E204,'D-1 Off Site Habitat Baseline'!$D$1:$O$258,2,FALSE))))</f>
        <v/>
      </c>
      <c r="B204" s="31" t="str">
        <f>IF(E204="","",IF(ISNA(VLOOKUP($E204,'D-1 Off Site Habitat Baseline'!$D$1:$O$258,3,FALSE)),"",(VLOOKUP($E204,'D-1 Off Site Habitat Baseline'!$D$1:$O$258,3,FALSE))))</f>
        <v/>
      </c>
      <c r="C204" s="31" t="str">
        <f>IFERROR(INDEX('G-8 Condition Look up'!$I$4:$I$130,MATCH(S204,'G-8 Condition Look up'!$A$4:$A$130,0)),"")</f>
        <v/>
      </c>
      <c r="E204" s="547" t="str">
        <f>'D-1 Off Site Habitat Baseline'!AL203</f>
        <v/>
      </c>
      <c r="F204" s="520" t="str">
        <f>IF(E204="","",IF(ISNA(VLOOKUP($E204,'D-1 Off Site Habitat Baseline'!$D$1:$O$258,4,FALSE)),"",(VLOOKUP($E204,'D-1 Off Site Habitat Baseline'!$D$1:$O$258,4,FALSE))))</f>
        <v/>
      </c>
      <c r="G204" s="520" t="str">
        <f>IF(E204="","",IF(ISNA(VLOOKUP($E204,'D-1 Off Site Habitat Baseline'!$D$1:$O$258,5,FALSE)),"",(VLOOKUP($E204,'D-1 Off Site Habitat Baseline'!$D$1:$O$258,5,FALSE))))</f>
        <v/>
      </c>
      <c r="H204" s="520" t="str">
        <f>IF(E204="","",IF(ISNA(VLOOKUP($E204,'D-1 Off Site Habitat Baseline'!$D$1:$O$258,6,FALSE)),"",(VLOOKUP($E204,'D-1 Off Site Habitat Baseline'!$D$1:$O$258,6,FALSE))))</f>
        <v/>
      </c>
      <c r="I204" s="520" t="str">
        <f>IF(E204="","",IF(ISNA(VLOOKUP($E204,'D-1 Off Site Habitat Baseline'!$D$1:$O$258,7,FALSE)),"",(VLOOKUP($E204,'D-1 Off Site Habitat Baseline'!$D$1:$O$258,7,FALSE))))</f>
        <v/>
      </c>
      <c r="J204" s="520" t="str">
        <f>IF(E204="","",IF(ISNA(VLOOKUP($E204,'D-1 Off Site Habitat Baseline'!$D$1:$O$258,8,FALSE)),"",(VLOOKUP($E204,'D-1 Off Site Habitat Baseline'!$D$1:$O$258,8,FALSE))))</f>
        <v/>
      </c>
      <c r="K204" s="520" t="str">
        <f>IF(E204="","",IF(ISNA(VLOOKUP($E204,'D-1 Off Site Habitat Baseline'!$D$1:$O$258,9,FALSE)),"",(VLOOKUP($E204,'D-1 Off Site Habitat Baseline'!$D$1:$O$258,9,FALSE))))</f>
        <v/>
      </c>
      <c r="L204" s="520" t="str">
        <f>IF(E204="","",IF(ISNA(VLOOKUP($E204,'D-1 Off Site Habitat Baseline'!$D$1:$O$258,11,FALSE)),"",(VLOOKUP($E204,'D-1 Off Site Habitat Baseline'!$D$1:$O$258,11,FALSE))))</f>
        <v/>
      </c>
      <c r="M204" s="520" t="str">
        <f>IF(E204="","",IF(ISNA(VLOOKUP($E204,'D-1 Off Site Habitat Baseline'!$D$1:$O$258,12,FALSE)),"",(VLOOKUP($E204,'D-1 Off Site Habitat Baseline'!$D$1:$O$258,12,FALSE))))</f>
        <v/>
      </c>
      <c r="N204" s="520" t="str">
        <f>IF(E204="","",IF(ISNA(VLOOKUP($E204,'D-1 Off Site Habitat Baseline'!$D$1:$X$258,14,FALSE)),"",(VLOOKUP($E204,'D-1 Off Site Habitat Baseline'!$D$1:$X$258,14,FALSE))))</f>
        <v/>
      </c>
      <c r="O204" s="524" t="str">
        <f>IF(E204="","",IF(ISNA(VLOOKUP($E204,'D-1 Off Site Habitat Baseline'!$D$1:$X$258,13,FALSE)),"",(VLOOKUP($E204,'D-1 Off Site Habitat Baseline'!$D$1:$X$258,13,FALSE))))</f>
        <v/>
      </c>
      <c r="P204" s="232" t="str">
        <f>IFERROR(INDEX('G-1 All Habitats'!$AG$3:$AG$15,MATCH(Q204,'G-1 All Habitats'!$AF$3:$AF$15,0)),"")</f>
        <v/>
      </c>
      <c r="Q204" s="228" t="str">
        <f t="shared" si="34"/>
        <v/>
      </c>
      <c r="R204" s="229" t="str">
        <f t="shared" si="35"/>
        <v/>
      </c>
      <c r="S204" s="233" t="str">
        <f>IFERROR(INDEX('G-1 All Habitats'!$B$3:$B$129,MATCH(R204,'G-1 All Habitats'!$A$3:$A$129,0)),"")</f>
        <v/>
      </c>
      <c r="T204" s="507" t="str">
        <f t="shared" si="27"/>
        <v/>
      </c>
      <c r="U204" s="524" t="str">
        <f t="shared" si="28"/>
        <v/>
      </c>
      <c r="V204" s="523" t="str">
        <f t="shared" ref="V204:V258" si="36">IF(S204="","",VLOOKUP(E204,BaselineHabOffsite,17,FALSE))</f>
        <v/>
      </c>
      <c r="W204" s="520" t="str">
        <f>IF(S204="","",VLOOKUP(S204,'G-1 All Habitats'!$B$2:$M$129,10,FALSE))</f>
        <v/>
      </c>
      <c r="X204" s="520" t="str">
        <f>IFERROR(VLOOKUP(W204,'G-1 All Habitats'!$V$3:$W$7,2,FALSE),"")</f>
        <v/>
      </c>
      <c r="Y204" s="203"/>
      <c r="Z204" s="524" t="str">
        <f>IFERROR(INDEX('G-8 Condition Look up'!$A$3:$H$130,MATCH(S204,'G-8 Condition Look up'!$A$3:$A$130,0),MATCH(Y204,'G-8 Condition Look up'!$A$3:$H$3,0)),"")</f>
        <v/>
      </c>
      <c r="AA204" s="145"/>
      <c r="AB204" s="540" t="str">
        <f>IF(AA204="","",IF(VLOOKUP(AA204,'G-3 Multipliers'!$L$3:$N$6,2,FALSE)=0,"Spatial Data Missing ⚠",VLOOKUP(AA204,'G-3 Multipliers'!$L$3:$N$6,2,FALSE)))</f>
        <v/>
      </c>
      <c r="AC204" s="524" t="str">
        <f>IF(AA204="","",IF(VLOOKUP(AA204,'G-3 Multipliers'!$L$3:$N$6,3,FALSE)=0,"Spatial Data Missing ⚠",VLOOKUP(AA204,'G-3 Multipliers'!$L$3:$N$6,3,FALSE)))</f>
        <v/>
      </c>
      <c r="AD204" s="537" t="str">
        <f t="shared" ref="AD204:AD258" si="37">IFERROR(IF(OR(LEFT(U204,5)="Error ▲",LEFT(T204,5)="Error ▲"),"Check Data ⚠",INDEX(EnhanceTemporal,MATCH(S204,EnhanceHabitat,0),MATCH(U204,EnhanceCondition,0))),"")</f>
        <v/>
      </c>
      <c r="AE204" s="203"/>
      <c r="AF204" s="203"/>
      <c r="AG204" s="520" t="str">
        <f t="shared" si="29"/>
        <v/>
      </c>
      <c r="AH204" s="544" t="str">
        <f t="shared" si="30"/>
        <v/>
      </c>
      <c r="AI204" s="525" t="str">
        <f>IF(AH204="Check Data ⚠","Check Data ⚠",IFERROR(VLOOKUP(AH204,'G-4 Temporal multipliers'!$A$4:$C$36,3,FALSE),""))</f>
        <v/>
      </c>
      <c r="AJ204" s="537" t="str">
        <f>IF(S204="","",VLOOKUP(S204,'G-3 Multipliers'!$A$2:$E$129,4,FALSE))</f>
        <v/>
      </c>
      <c r="AK204" s="520" t="str">
        <f t="shared" si="31"/>
        <v/>
      </c>
      <c r="AL204" s="520" t="str">
        <f t="shared" si="32"/>
        <v/>
      </c>
      <c r="AM204" s="524" t="str">
        <f>IFERROR(IF(F204="","",IF(AH204="Check Data ⚠","Check Data ⚠",VLOOKUP(AL204, 'G-3 Multipliers'!$P$2:$Q$6,2,FALSE))),"")</f>
        <v/>
      </c>
      <c r="AN204" s="197"/>
      <c r="AO204" s="540" t="str">
        <f>IF(AN204="","",IF(VLOOKUP(AN204,'G-3 Multipliers'!$S$3:$T$9,2,FALSE)=0,"Spatial Data Missing ⚠",VLOOKUP(AN204,'G-3 Multipliers'!$S$3:$T$9,2,FALSE)))</f>
        <v/>
      </c>
      <c r="AP204" s="513" t="str">
        <f t="shared" si="33"/>
        <v/>
      </c>
      <c r="AQ204" s="231"/>
      <c r="AR204" s="150"/>
    </row>
    <row r="205" spans="1:44" x14ac:dyDescent="0.3">
      <c r="A205" s="31" t="str">
        <f>IF(E205="","",IF(ISNA(VLOOKUP($E205,'D-1 Off Site Habitat Baseline'!$D$1:$O$258,2,FALSE)),"",(VLOOKUP($E205,'D-1 Off Site Habitat Baseline'!$D$1:$O$258,2,FALSE))))</f>
        <v/>
      </c>
      <c r="B205" s="31" t="str">
        <f>IF(E205="","",IF(ISNA(VLOOKUP($E205,'D-1 Off Site Habitat Baseline'!$D$1:$O$258,3,FALSE)),"",(VLOOKUP($E205,'D-1 Off Site Habitat Baseline'!$D$1:$O$258,3,FALSE))))</f>
        <v/>
      </c>
      <c r="C205" s="31" t="str">
        <f>IFERROR(INDEX('G-8 Condition Look up'!$I$4:$I$130,MATCH(S205,'G-8 Condition Look up'!$A$4:$A$130,0)),"")</f>
        <v/>
      </c>
      <c r="E205" s="547" t="str">
        <f>'D-1 Off Site Habitat Baseline'!AL204</f>
        <v/>
      </c>
      <c r="F205" s="520" t="str">
        <f>IF(E205="","",IF(ISNA(VLOOKUP($E205,'D-1 Off Site Habitat Baseline'!$D$1:$O$258,4,FALSE)),"",(VLOOKUP($E205,'D-1 Off Site Habitat Baseline'!$D$1:$O$258,4,FALSE))))</f>
        <v/>
      </c>
      <c r="G205" s="520" t="str">
        <f>IF(E205="","",IF(ISNA(VLOOKUP($E205,'D-1 Off Site Habitat Baseline'!$D$1:$O$258,5,FALSE)),"",(VLOOKUP($E205,'D-1 Off Site Habitat Baseline'!$D$1:$O$258,5,FALSE))))</f>
        <v/>
      </c>
      <c r="H205" s="520" t="str">
        <f>IF(E205="","",IF(ISNA(VLOOKUP($E205,'D-1 Off Site Habitat Baseline'!$D$1:$O$258,6,FALSE)),"",(VLOOKUP($E205,'D-1 Off Site Habitat Baseline'!$D$1:$O$258,6,FALSE))))</f>
        <v/>
      </c>
      <c r="I205" s="520" t="str">
        <f>IF(E205="","",IF(ISNA(VLOOKUP($E205,'D-1 Off Site Habitat Baseline'!$D$1:$O$258,7,FALSE)),"",(VLOOKUP($E205,'D-1 Off Site Habitat Baseline'!$D$1:$O$258,7,FALSE))))</f>
        <v/>
      </c>
      <c r="J205" s="520" t="str">
        <f>IF(E205="","",IF(ISNA(VLOOKUP($E205,'D-1 Off Site Habitat Baseline'!$D$1:$O$258,8,FALSE)),"",(VLOOKUP($E205,'D-1 Off Site Habitat Baseline'!$D$1:$O$258,8,FALSE))))</f>
        <v/>
      </c>
      <c r="K205" s="520" t="str">
        <f>IF(E205="","",IF(ISNA(VLOOKUP($E205,'D-1 Off Site Habitat Baseline'!$D$1:$O$258,9,FALSE)),"",(VLOOKUP($E205,'D-1 Off Site Habitat Baseline'!$D$1:$O$258,9,FALSE))))</f>
        <v/>
      </c>
      <c r="L205" s="520" t="str">
        <f>IF(E205="","",IF(ISNA(VLOOKUP($E205,'D-1 Off Site Habitat Baseline'!$D$1:$O$258,11,FALSE)),"",(VLOOKUP($E205,'D-1 Off Site Habitat Baseline'!$D$1:$O$258,11,FALSE))))</f>
        <v/>
      </c>
      <c r="M205" s="520" t="str">
        <f>IF(E205="","",IF(ISNA(VLOOKUP($E205,'D-1 Off Site Habitat Baseline'!$D$1:$O$258,12,FALSE)),"",(VLOOKUP($E205,'D-1 Off Site Habitat Baseline'!$D$1:$O$258,12,FALSE))))</f>
        <v/>
      </c>
      <c r="N205" s="520" t="str">
        <f>IF(E205="","",IF(ISNA(VLOOKUP($E205,'D-1 Off Site Habitat Baseline'!$D$1:$X$258,14,FALSE)),"",(VLOOKUP($E205,'D-1 Off Site Habitat Baseline'!$D$1:$X$258,14,FALSE))))</f>
        <v/>
      </c>
      <c r="O205" s="524" t="str">
        <f>IF(E205="","",IF(ISNA(VLOOKUP($E205,'D-1 Off Site Habitat Baseline'!$D$1:$X$258,13,FALSE)),"",(VLOOKUP($E205,'D-1 Off Site Habitat Baseline'!$D$1:$X$258,13,FALSE))))</f>
        <v/>
      </c>
      <c r="P205" s="232" t="str">
        <f>IFERROR(INDEX('G-1 All Habitats'!$AG$3:$AG$15,MATCH(Q205,'G-1 All Habitats'!$AF$3:$AF$15,0)),"")</f>
        <v/>
      </c>
      <c r="Q205" s="228" t="str">
        <f t="shared" si="34"/>
        <v/>
      </c>
      <c r="R205" s="229" t="str">
        <f t="shared" si="35"/>
        <v/>
      </c>
      <c r="S205" s="233" t="str">
        <f>IFERROR(INDEX('G-1 All Habitats'!$B$3:$B$129,MATCH(R205,'G-1 All Habitats'!$A$3:$A$129,0)),"")</f>
        <v/>
      </c>
      <c r="T205" s="507" t="str">
        <f t="shared" ref="T205:T258" si="38">IF(E205="","",IF(AND(LEFT(O205,6)="Same d",I205&gt;X205),"Error - Trading rules not satisfied ▲",IF(AND(LEFT(O205,6)="Same b",AND(LEFT(F205,5)&lt;&gt;LEFT(S205,5),I205&gt;X205)),"Error - Trading rules not satisfied ▲",IF(AND(LEFT(O205,6)="Same h",F205&lt;&gt;S205),"Error - Trading rules not satisfied ▲",IF(AND(LEFT(O205,6)="Bespok",F205&lt;&gt;S205),"Error - Trading rules not satisfied ▲",IF(X205&lt;I205,"Error Trading Down ▲",H205&amp;" - "&amp;W205))))))</f>
        <v/>
      </c>
      <c r="U205" s="524" t="str">
        <f t="shared" ref="U205:U258" si="39">IF(F205="","",IF(AND(LEFT(F205,55)&lt;&gt;LEFT(S205,55),T205= "High - High"),"Error - Not like for like ▲",IF(AND(I205=X205,K205&gt;Z205),"Error - Can not reduce condition ▲",IF(AND(I205=X205,K205=Z205),"Error - No enhancement ▲",IF(X205&lt;I205,"Error Trading Down ▲",IF(AND(F205&lt;&gt;S205,I205&lt;X205),"Lower Distinctiveness Habitat"&amp;" - "&amp;Y205,J205&amp;" - "&amp;Y205))))))</f>
        <v/>
      </c>
      <c r="V205" s="523" t="str">
        <f t="shared" si="36"/>
        <v/>
      </c>
      <c r="W205" s="520" t="str">
        <f>IF(S205="","",VLOOKUP(S205,'G-1 All Habitats'!$B$2:$M$129,10,FALSE))</f>
        <v/>
      </c>
      <c r="X205" s="520" t="str">
        <f>IFERROR(VLOOKUP(W205,'G-1 All Habitats'!$V$3:$W$7,2,FALSE),"")</f>
        <v/>
      </c>
      <c r="Y205" s="203"/>
      <c r="Z205" s="524" t="str">
        <f>IFERROR(INDEX('G-8 Condition Look up'!$A$3:$H$130,MATCH(S205,'G-8 Condition Look up'!$A$3:$A$130,0),MATCH(Y205,'G-8 Condition Look up'!$A$3:$H$3,0)),"")</f>
        <v/>
      </c>
      <c r="AA205" s="145"/>
      <c r="AB205" s="540" t="str">
        <f>IF(AA205="","",IF(VLOOKUP(AA205,'G-3 Multipliers'!$L$3:$N$6,2,FALSE)=0,"Spatial Data Missing ⚠",VLOOKUP(AA205,'G-3 Multipliers'!$L$3:$N$6,2,FALSE)))</f>
        <v/>
      </c>
      <c r="AC205" s="524" t="str">
        <f>IF(AA205="","",IF(VLOOKUP(AA205,'G-3 Multipliers'!$L$3:$N$6,3,FALSE)=0,"Spatial Data Missing ⚠",VLOOKUP(AA205,'G-3 Multipliers'!$L$3:$N$6,3,FALSE)))</f>
        <v/>
      </c>
      <c r="AD205" s="537" t="str">
        <f t="shared" si="37"/>
        <v/>
      </c>
      <c r="AE205" s="203"/>
      <c r="AF205" s="203"/>
      <c r="AG205" s="520" t="str">
        <f t="shared" ref="AG205:AG258" si="40">IF(AD205="","",IF(AD205="Check Data ⚠","Check Data ⚠",IF(R205="","",IF(AND(AE205&gt;0,AF205&gt;0),"Error -both advance and delayed habitat creation ▲",IF(AND(OR(AE205="Habitat already in target condition",AD205&lt;=AE205),AF205=0),"Check details - Is there evidence that habitat has reached target condition? ⚠",IF(O204="","",IF(AE205&gt;0,"Check details - Is there evidence habitat creation started/in place? ⚠",IF(AF205&gt;0,"Check details- Delay in starting habitat in required condition? ⚠","Standard time to target condition applied"))))))))</f>
        <v/>
      </c>
      <c r="AH205" s="544" t="str">
        <f t="shared" ref="AH205:AH258" si="41">IF(LEFT(AG205,5)="Error ▲","Check Data ⚠",IF(AG205="Check Data ⚠","Check Data ⚠",IF(AD205="","",IF(AD205="Not Possible","CheckData ⚠",IF(AND(AD205="30+",AE205=0),"30+",IF(AND(AD205="30+",AE205="30+"),0,IF(AND(AD205="30+",AE205&lt;30),30-AE205,IF(AD205="30+",30-AE205,IF(AF205="30+","30+",IF(AE205&gt;AD205,0,IF(AD205+AF205&gt;30,"30+",IF(AD205+AF205&gt;30,"30+",IF(AD205-AE205&gt;30,"30+",IF(AD205+AF205-AE205&gt;0,AD205+AF205-AE205,IF(AD205-AE205&gt;0,AD205-AE205,AD205+AF205-AE205)))))))))))))))</f>
        <v/>
      </c>
      <c r="AI205" s="525" t="str">
        <f>IF(AH205="Check Data ⚠","Check Data ⚠",IFERROR(VLOOKUP(AH205,'G-4 Temporal multipliers'!$A$4:$C$36,3,FALSE),""))</f>
        <v/>
      </c>
      <c r="AJ205" s="537" t="str">
        <f>IF(S205="","",VLOOKUP(S205,'G-3 Multipliers'!$A$2:$E$129,4,FALSE))</f>
        <v/>
      </c>
      <c r="AK205" s="520" t="str">
        <f t="shared" ref="AK205:AK258" si="42">IF(E205="","",IF(AG205="Check details - Is there evidence that habitat has reached target condition? ⚠","Low Difficulty - only applicable if all habitat created before losses","Standard difficulty applied"))</f>
        <v/>
      </c>
      <c r="AL205" s="520" t="str">
        <f t="shared" ref="AL205:AL258" si="43">(IF(AND(AK205="Standard difficulty applied",AD205&gt;AE205),AJ205,IF(AND(AK205="Low Difficulty - only applicable if all habitat created before losses",AE205&gt;=AD205),"Low", AJ205)))</f>
        <v/>
      </c>
      <c r="AM205" s="524" t="str">
        <f>IFERROR(IF(F205="","",IF(AH205="Check Data ⚠","Check Data ⚠",VLOOKUP(AL205, 'G-3 Multipliers'!$P$2:$Q$6,2,FALSE))),"")</f>
        <v/>
      </c>
      <c r="AN205" s="197"/>
      <c r="AO205" s="540" t="str">
        <f>IF(AN205="","",IF(VLOOKUP(AN205,'G-3 Multipliers'!$S$3:$T$9,2,FALSE)=0,"Spatial Data Missing ⚠",VLOOKUP(AN205,'G-3 Multipliers'!$S$3:$T$9,2,FALSE)))</f>
        <v/>
      </c>
      <c r="AP205" s="513" t="str">
        <f t="shared" ref="AP205:AP258" si="44">IFERROR(((((V205*X205*Z205)-(V205*I205*K205))*(AM205*AI205))+(V205*I205*K205))*(AC205)*AO205,"")</f>
        <v/>
      </c>
      <c r="AQ205" s="231"/>
      <c r="AR205" s="150"/>
    </row>
    <row r="206" spans="1:44" x14ac:dyDescent="0.3">
      <c r="A206" s="31" t="str">
        <f>IF(E206="","",IF(ISNA(VLOOKUP($E206,'D-1 Off Site Habitat Baseline'!$D$1:$O$258,2,FALSE)),"",(VLOOKUP($E206,'D-1 Off Site Habitat Baseline'!$D$1:$O$258,2,FALSE))))</f>
        <v/>
      </c>
      <c r="B206" s="31" t="str">
        <f>IF(E206="","",IF(ISNA(VLOOKUP($E206,'D-1 Off Site Habitat Baseline'!$D$1:$O$258,3,FALSE)),"",(VLOOKUP($E206,'D-1 Off Site Habitat Baseline'!$D$1:$O$258,3,FALSE))))</f>
        <v/>
      </c>
      <c r="C206" s="31" t="str">
        <f>IFERROR(INDEX('G-8 Condition Look up'!$I$4:$I$130,MATCH(S206,'G-8 Condition Look up'!$A$4:$A$130,0)),"")</f>
        <v/>
      </c>
      <c r="E206" s="547" t="str">
        <f>'D-1 Off Site Habitat Baseline'!AL205</f>
        <v/>
      </c>
      <c r="F206" s="520" t="str">
        <f>IF(E206="","",IF(ISNA(VLOOKUP($E206,'D-1 Off Site Habitat Baseline'!$D$1:$O$258,4,FALSE)),"",(VLOOKUP($E206,'D-1 Off Site Habitat Baseline'!$D$1:$O$258,4,FALSE))))</f>
        <v/>
      </c>
      <c r="G206" s="520" t="str">
        <f>IF(E206="","",IF(ISNA(VLOOKUP($E206,'D-1 Off Site Habitat Baseline'!$D$1:$O$258,5,FALSE)),"",(VLOOKUP($E206,'D-1 Off Site Habitat Baseline'!$D$1:$O$258,5,FALSE))))</f>
        <v/>
      </c>
      <c r="H206" s="520" t="str">
        <f>IF(E206="","",IF(ISNA(VLOOKUP($E206,'D-1 Off Site Habitat Baseline'!$D$1:$O$258,6,FALSE)),"",(VLOOKUP($E206,'D-1 Off Site Habitat Baseline'!$D$1:$O$258,6,FALSE))))</f>
        <v/>
      </c>
      <c r="I206" s="520" t="str">
        <f>IF(E206="","",IF(ISNA(VLOOKUP($E206,'D-1 Off Site Habitat Baseline'!$D$1:$O$258,7,FALSE)),"",(VLOOKUP($E206,'D-1 Off Site Habitat Baseline'!$D$1:$O$258,7,FALSE))))</f>
        <v/>
      </c>
      <c r="J206" s="520" t="str">
        <f>IF(E206="","",IF(ISNA(VLOOKUP($E206,'D-1 Off Site Habitat Baseline'!$D$1:$O$258,8,FALSE)),"",(VLOOKUP($E206,'D-1 Off Site Habitat Baseline'!$D$1:$O$258,8,FALSE))))</f>
        <v/>
      </c>
      <c r="K206" s="520" t="str">
        <f>IF(E206="","",IF(ISNA(VLOOKUP($E206,'D-1 Off Site Habitat Baseline'!$D$1:$O$258,9,FALSE)),"",(VLOOKUP($E206,'D-1 Off Site Habitat Baseline'!$D$1:$O$258,9,FALSE))))</f>
        <v/>
      </c>
      <c r="L206" s="520" t="str">
        <f>IF(E206="","",IF(ISNA(VLOOKUP($E206,'D-1 Off Site Habitat Baseline'!$D$1:$O$258,11,FALSE)),"",(VLOOKUP($E206,'D-1 Off Site Habitat Baseline'!$D$1:$O$258,11,FALSE))))</f>
        <v/>
      </c>
      <c r="M206" s="520" t="str">
        <f>IF(E206="","",IF(ISNA(VLOOKUP($E206,'D-1 Off Site Habitat Baseline'!$D$1:$O$258,12,FALSE)),"",(VLOOKUP($E206,'D-1 Off Site Habitat Baseline'!$D$1:$O$258,12,FALSE))))</f>
        <v/>
      </c>
      <c r="N206" s="520" t="str">
        <f>IF(E206="","",IF(ISNA(VLOOKUP($E206,'D-1 Off Site Habitat Baseline'!$D$1:$X$258,14,FALSE)),"",(VLOOKUP($E206,'D-1 Off Site Habitat Baseline'!$D$1:$X$258,14,FALSE))))</f>
        <v/>
      </c>
      <c r="O206" s="524" t="str">
        <f>IF(E206="","",IF(ISNA(VLOOKUP($E206,'D-1 Off Site Habitat Baseline'!$D$1:$X$258,13,FALSE)),"",(VLOOKUP($E206,'D-1 Off Site Habitat Baseline'!$D$1:$X$258,13,FALSE))))</f>
        <v/>
      </c>
      <c r="P206" s="232" t="str">
        <f>IFERROR(INDEX('G-1 All Habitats'!$AG$3:$AG$15,MATCH(Q206,'G-1 All Habitats'!$AF$3:$AF$15,0)),"")</f>
        <v/>
      </c>
      <c r="Q206" s="228" t="str">
        <f t="shared" si="34"/>
        <v/>
      </c>
      <c r="R206" s="229" t="str">
        <f t="shared" si="35"/>
        <v/>
      </c>
      <c r="S206" s="233" t="str">
        <f>IFERROR(INDEX('G-1 All Habitats'!$B$3:$B$129,MATCH(R206,'G-1 All Habitats'!$A$3:$A$129,0)),"")</f>
        <v/>
      </c>
      <c r="T206" s="507" t="str">
        <f t="shared" si="38"/>
        <v/>
      </c>
      <c r="U206" s="524" t="str">
        <f t="shared" si="39"/>
        <v/>
      </c>
      <c r="V206" s="523" t="str">
        <f t="shared" si="36"/>
        <v/>
      </c>
      <c r="W206" s="520" t="str">
        <f>IF(S206="","",VLOOKUP(S206,'G-1 All Habitats'!$B$2:$M$129,10,FALSE))</f>
        <v/>
      </c>
      <c r="X206" s="520" t="str">
        <f>IFERROR(VLOOKUP(W206,'G-1 All Habitats'!$V$3:$W$7,2,FALSE),"")</f>
        <v/>
      </c>
      <c r="Y206" s="203"/>
      <c r="Z206" s="524" t="str">
        <f>IFERROR(INDEX('G-8 Condition Look up'!$A$3:$H$130,MATCH(S206,'G-8 Condition Look up'!$A$3:$A$130,0),MATCH(Y206,'G-8 Condition Look up'!$A$3:$H$3,0)),"")</f>
        <v/>
      </c>
      <c r="AA206" s="145"/>
      <c r="AB206" s="540" t="str">
        <f>IF(AA206="","",IF(VLOOKUP(AA206,'G-3 Multipliers'!$L$3:$N$6,2,FALSE)=0,"Spatial Data Missing ⚠",VLOOKUP(AA206,'G-3 Multipliers'!$L$3:$N$6,2,FALSE)))</f>
        <v/>
      </c>
      <c r="AC206" s="524" t="str">
        <f>IF(AA206="","",IF(VLOOKUP(AA206,'G-3 Multipliers'!$L$3:$N$6,3,FALSE)=0,"Spatial Data Missing ⚠",VLOOKUP(AA206,'G-3 Multipliers'!$L$3:$N$6,3,FALSE)))</f>
        <v/>
      </c>
      <c r="AD206" s="537" t="str">
        <f t="shared" si="37"/>
        <v/>
      </c>
      <c r="AE206" s="203"/>
      <c r="AF206" s="203"/>
      <c r="AG206" s="520" t="str">
        <f t="shared" si="40"/>
        <v/>
      </c>
      <c r="AH206" s="544" t="str">
        <f t="shared" si="41"/>
        <v/>
      </c>
      <c r="AI206" s="525" t="str">
        <f>IF(AH206="Check Data ⚠","Check Data ⚠",IFERROR(VLOOKUP(AH206,'G-4 Temporal multipliers'!$A$4:$C$36,3,FALSE),""))</f>
        <v/>
      </c>
      <c r="AJ206" s="537" t="str">
        <f>IF(S206="","",VLOOKUP(S206,'G-3 Multipliers'!$A$2:$E$129,4,FALSE))</f>
        <v/>
      </c>
      <c r="AK206" s="520" t="str">
        <f t="shared" si="42"/>
        <v/>
      </c>
      <c r="AL206" s="520" t="str">
        <f t="shared" si="43"/>
        <v/>
      </c>
      <c r="AM206" s="524" t="str">
        <f>IFERROR(IF(F206="","",IF(AH206="Check Data ⚠","Check Data ⚠",VLOOKUP(AL206, 'G-3 Multipliers'!$P$2:$Q$6,2,FALSE))),"")</f>
        <v/>
      </c>
      <c r="AN206" s="197"/>
      <c r="AO206" s="540" t="str">
        <f>IF(AN206="","",IF(VLOOKUP(AN206,'G-3 Multipliers'!$S$3:$T$9,2,FALSE)=0,"Spatial Data Missing ⚠",VLOOKUP(AN206,'G-3 Multipliers'!$S$3:$T$9,2,FALSE)))</f>
        <v/>
      </c>
      <c r="AP206" s="513" t="str">
        <f t="shared" si="44"/>
        <v/>
      </c>
      <c r="AQ206" s="231"/>
      <c r="AR206" s="150"/>
    </row>
    <row r="207" spans="1:44" x14ac:dyDescent="0.3">
      <c r="A207" s="31" t="str">
        <f>IF(E207="","",IF(ISNA(VLOOKUP($E207,'D-1 Off Site Habitat Baseline'!$D$1:$O$258,2,FALSE)),"",(VLOOKUP($E207,'D-1 Off Site Habitat Baseline'!$D$1:$O$258,2,FALSE))))</f>
        <v/>
      </c>
      <c r="B207" s="31" t="str">
        <f>IF(E207="","",IF(ISNA(VLOOKUP($E207,'D-1 Off Site Habitat Baseline'!$D$1:$O$258,3,FALSE)),"",(VLOOKUP($E207,'D-1 Off Site Habitat Baseline'!$D$1:$O$258,3,FALSE))))</f>
        <v/>
      </c>
      <c r="C207" s="31" t="str">
        <f>IFERROR(INDEX('G-8 Condition Look up'!$I$4:$I$130,MATCH(S207,'G-8 Condition Look up'!$A$4:$A$130,0)),"")</f>
        <v/>
      </c>
      <c r="E207" s="547" t="str">
        <f>'D-1 Off Site Habitat Baseline'!AL206</f>
        <v/>
      </c>
      <c r="F207" s="520" t="str">
        <f>IF(E207="","",IF(ISNA(VLOOKUP($E207,'D-1 Off Site Habitat Baseline'!$D$1:$O$258,4,FALSE)),"",(VLOOKUP($E207,'D-1 Off Site Habitat Baseline'!$D$1:$O$258,4,FALSE))))</f>
        <v/>
      </c>
      <c r="G207" s="520" t="str">
        <f>IF(E207="","",IF(ISNA(VLOOKUP($E207,'D-1 Off Site Habitat Baseline'!$D$1:$O$258,5,FALSE)),"",(VLOOKUP($E207,'D-1 Off Site Habitat Baseline'!$D$1:$O$258,5,FALSE))))</f>
        <v/>
      </c>
      <c r="H207" s="520" t="str">
        <f>IF(E207="","",IF(ISNA(VLOOKUP($E207,'D-1 Off Site Habitat Baseline'!$D$1:$O$258,6,FALSE)),"",(VLOOKUP($E207,'D-1 Off Site Habitat Baseline'!$D$1:$O$258,6,FALSE))))</f>
        <v/>
      </c>
      <c r="I207" s="520" t="str">
        <f>IF(E207="","",IF(ISNA(VLOOKUP($E207,'D-1 Off Site Habitat Baseline'!$D$1:$O$258,7,FALSE)),"",(VLOOKUP($E207,'D-1 Off Site Habitat Baseline'!$D$1:$O$258,7,FALSE))))</f>
        <v/>
      </c>
      <c r="J207" s="520" t="str">
        <f>IF(E207="","",IF(ISNA(VLOOKUP($E207,'D-1 Off Site Habitat Baseline'!$D$1:$O$258,8,FALSE)),"",(VLOOKUP($E207,'D-1 Off Site Habitat Baseline'!$D$1:$O$258,8,FALSE))))</f>
        <v/>
      </c>
      <c r="K207" s="520" t="str">
        <f>IF(E207="","",IF(ISNA(VLOOKUP($E207,'D-1 Off Site Habitat Baseline'!$D$1:$O$258,9,FALSE)),"",(VLOOKUP($E207,'D-1 Off Site Habitat Baseline'!$D$1:$O$258,9,FALSE))))</f>
        <v/>
      </c>
      <c r="L207" s="520" t="str">
        <f>IF(E207="","",IF(ISNA(VLOOKUP($E207,'D-1 Off Site Habitat Baseline'!$D$1:$O$258,11,FALSE)),"",(VLOOKUP($E207,'D-1 Off Site Habitat Baseline'!$D$1:$O$258,11,FALSE))))</f>
        <v/>
      </c>
      <c r="M207" s="520" t="str">
        <f>IF(E207="","",IF(ISNA(VLOOKUP($E207,'D-1 Off Site Habitat Baseline'!$D$1:$O$258,12,FALSE)),"",(VLOOKUP($E207,'D-1 Off Site Habitat Baseline'!$D$1:$O$258,12,FALSE))))</f>
        <v/>
      </c>
      <c r="N207" s="520" t="str">
        <f>IF(E207="","",IF(ISNA(VLOOKUP($E207,'D-1 Off Site Habitat Baseline'!$D$1:$X$258,14,FALSE)),"",(VLOOKUP($E207,'D-1 Off Site Habitat Baseline'!$D$1:$X$258,14,FALSE))))</f>
        <v/>
      </c>
      <c r="O207" s="524" t="str">
        <f>IF(E207="","",IF(ISNA(VLOOKUP($E207,'D-1 Off Site Habitat Baseline'!$D$1:$X$258,13,FALSE)),"",(VLOOKUP($E207,'D-1 Off Site Habitat Baseline'!$D$1:$X$258,13,FALSE))))</f>
        <v/>
      </c>
      <c r="P207" s="232" t="str">
        <f>IFERROR(INDEX('G-1 All Habitats'!$AG$3:$AG$15,MATCH(Q207,'G-1 All Habitats'!$AF$3:$AF$15,0)),"")</f>
        <v/>
      </c>
      <c r="Q207" s="228" t="str">
        <f t="shared" ref="Q207:Q258" si="45">A207</f>
        <v/>
      </c>
      <c r="R207" s="229" t="str">
        <f t="shared" ref="R207:R258" si="46">B207</f>
        <v/>
      </c>
      <c r="S207" s="233" t="str">
        <f>IFERROR(INDEX('G-1 All Habitats'!$B$3:$B$129,MATCH(R207,'G-1 All Habitats'!$A$3:$A$129,0)),"")</f>
        <v/>
      </c>
      <c r="T207" s="507" t="str">
        <f t="shared" si="38"/>
        <v/>
      </c>
      <c r="U207" s="524" t="str">
        <f t="shared" si="39"/>
        <v/>
      </c>
      <c r="V207" s="523" t="str">
        <f t="shared" si="36"/>
        <v/>
      </c>
      <c r="W207" s="520" t="str">
        <f>IF(S207="","",VLOOKUP(S207,'G-1 All Habitats'!$B$2:$M$129,10,FALSE))</f>
        <v/>
      </c>
      <c r="X207" s="520" t="str">
        <f>IFERROR(VLOOKUP(W207,'G-1 All Habitats'!$V$3:$W$7,2,FALSE),"")</f>
        <v/>
      </c>
      <c r="Y207" s="203"/>
      <c r="Z207" s="524" t="str">
        <f>IFERROR(INDEX('G-8 Condition Look up'!$A$3:$H$130,MATCH(S207,'G-8 Condition Look up'!$A$3:$A$130,0),MATCH(Y207,'G-8 Condition Look up'!$A$3:$H$3,0)),"")</f>
        <v/>
      </c>
      <c r="AA207" s="145"/>
      <c r="AB207" s="540" t="str">
        <f>IF(AA207="","",IF(VLOOKUP(AA207,'G-3 Multipliers'!$L$3:$N$6,2,FALSE)=0,"Spatial Data Missing ⚠",VLOOKUP(AA207,'G-3 Multipliers'!$L$3:$N$6,2,FALSE)))</f>
        <v/>
      </c>
      <c r="AC207" s="524" t="str">
        <f>IF(AA207="","",IF(VLOOKUP(AA207,'G-3 Multipliers'!$L$3:$N$6,3,FALSE)=0,"Spatial Data Missing ⚠",VLOOKUP(AA207,'G-3 Multipliers'!$L$3:$N$6,3,FALSE)))</f>
        <v/>
      </c>
      <c r="AD207" s="537" t="str">
        <f t="shared" si="37"/>
        <v/>
      </c>
      <c r="AE207" s="203"/>
      <c r="AF207" s="203"/>
      <c r="AG207" s="520" t="str">
        <f t="shared" si="40"/>
        <v/>
      </c>
      <c r="AH207" s="544" t="str">
        <f t="shared" si="41"/>
        <v/>
      </c>
      <c r="AI207" s="525" t="str">
        <f>IF(AH207="Check Data ⚠","Check Data ⚠",IFERROR(VLOOKUP(AH207,'G-4 Temporal multipliers'!$A$4:$C$36,3,FALSE),""))</f>
        <v/>
      </c>
      <c r="AJ207" s="537" t="str">
        <f>IF(S207="","",VLOOKUP(S207,'G-3 Multipliers'!$A$2:$E$129,4,FALSE))</f>
        <v/>
      </c>
      <c r="AK207" s="520" t="str">
        <f t="shared" si="42"/>
        <v/>
      </c>
      <c r="AL207" s="520" t="str">
        <f t="shared" si="43"/>
        <v/>
      </c>
      <c r="AM207" s="524" t="str">
        <f>IFERROR(IF(F207="","",IF(AH207="Check Data ⚠","Check Data ⚠",VLOOKUP(AL207, 'G-3 Multipliers'!$P$2:$Q$6,2,FALSE))),"")</f>
        <v/>
      </c>
      <c r="AN207" s="197"/>
      <c r="AO207" s="540" t="str">
        <f>IF(AN207="","",IF(VLOOKUP(AN207,'G-3 Multipliers'!$S$3:$T$9,2,FALSE)=0,"Spatial Data Missing ⚠",VLOOKUP(AN207,'G-3 Multipliers'!$S$3:$T$9,2,FALSE)))</f>
        <v/>
      </c>
      <c r="AP207" s="513" t="str">
        <f t="shared" si="44"/>
        <v/>
      </c>
      <c r="AQ207" s="231"/>
      <c r="AR207" s="150"/>
    </row>
    <row r="208" spans="1:44" x14ac:dyDescent="0.3">
      <c r="A208" s="31" t="str">
        <f>IF(E208="","",IF(ISNA(VLOOKUP($E208,'D-1 Off Site Habitat Baseline'!$D$1:$O$258,2,FALSE)),"",(VLOOKUP($E208,'D-1 Off Site Habitat Baseline'!$D$1:$O$258,2,FALSE))))</f>
        <v/>
      </c>
      <c r="B208" s="31" t="str">
        <f>IF(E208="","",IF(ISNA(VLOOKUP($E208,'D-1 Off Site Habitat Baseline'!$D$1:$O$258,3,FALSE)),"",(VLOOKUP($E208,'D-1 Off Site Habitat Baseline'!$D$1:$O$258,3,FALSE))))</f>
        <v/>
      </c>
      <c r="C208" s="31" t="str">
        <f>IFERROR(INDEX('G-8 Condition Look up'!$I$4:$I$130,MATCH(S208,'G-8 Condition Look up'!$A$4:$A$130,0)),"")</f>
        <v/>
      </c>
      <c r="E208" s="547" t="str">
        <f>'D-1 Off Site Habitat Baseline'!AL207</f>
        <v/>
      </c>
      <c r="F208" s="520" t="str">
        <f>IF(E208="","",IF(ISNA(VLOOKUP($E208,'D-1 Off Site Habitat Baseline'!$D$1:$O$258,4,FALSE)),"",(VLOOKUP($E208,'D-1 Off Site Habitat Baseline'!$D$1:$O$258,4,FALSE))))</f>
        <v/>
      </c>
      <c r="G208" s="520" t="str">
        <f>IF(E208="","",IF(ISNA(VLOOKUP($E208,'D-1 Off Site Habitat Baseline'!$D$1:$O$258,5,FALSE)),"",(VLOOKUP($E208,'D-1 Off Site Habitat Baseline'!$D$1:$O$258,5,FALSE))))</f>
        <v/>
      </c>
      <c r="H208" s="520" t="str">
        <f>IF(E208="","",IF(ISNA(VLOOKUP($E208,'D-1 Off Site Habitat Baseline'!$D$1:$O$258,6,FALSE)),"",(VLOOKUP($E208,'D-1 Off Site Habitat Baseline'!$D$1:$O$258,6,FALSE))))</f>
        <v/>
      </c>
      <c r="I208" s="520" t="str">
        <f>IF(E208="","",IF(ISNA(VLOOKUP($E208,'D-1 Off Site Habitat Baseline'!$D$1:$O$258,7,FALSE)),"",(VLOOKUP($E208,'D-1 Off Site Habitat Baseline'!$D$1:$O$258,7,FALSE))))</f>
        <v/>
      </c>
      <c r="J208" s="520" t="str">
        <f>IF(E208="","",IF(ISNA(VLOOKUP($E208,'D-1 Off Site Habitat Baseline'!$D$1:$O$258,8,FALSE)),"",(VLOOKUP($E208,'D-1 Off Site Habitat Baseline'!$D$1:$O$258,8,FALSE))))</f>
        <v/>
      </c>
      <c r="K208" s="520" t="str">
        <f>IF(E208="","",IF(ISNA(VLOOKUP($E208,'D-1 Off Site Habitat Baseline'!$D$1:$O$258,9,FALSE)),"",(VLOOKUP($E208,'D-1 Off Site Habitat Baseline'!$D$1:$O$258,9,FALSE))))</f>
        <v/>
      </c>
      <c r="L208" s="520" t="str">
        <f>IF(E208="","",IF(ISNA(VLOOKUP($E208,'D-1 Off Site Habitat Baseline'!$D$1:$O$258,11,FALSE)),"",(VLOOKUP($E208,'D-1 Off Site Habitat Baseline'!$D$1:$O$258,11,FALSE))))</f>
        <v/>
      </c>
      <c r="M208" s="520" t="str">
        <f>IF(E208="","",IF(ISNA(VLOOKUP($E208,'D-1 Off Site Habitat Baseline'!$D$1:$O$258,12,FALSE)),"",(VLOOKUP($E208,'D-1 Off Site Habitat Baseline'!$D$1:$O$258,12,FALSE))))</f>
        <v/>
      </c>
      <c r="N208" s="520" t="str">
        <f>IF(E208="","",IF(ISNA(VLOOKUP($E208,'D-1 Off Site Habitat Baseline'!$D$1:$X$258,14,FALSE)),"",(VLOOKUP($E208,'D-1 Off Site Habitat Baseline'!$D$1:$X$258,14,FALSE))))</f>
        <v/>
      </c>
      <c r="O208" s="524" t="str">
        <f>IF(E208="","",IF(ISNA(VLOOKUP($E208,'D-1 Off Site Habitat Baseline'!$D$1:$X$258,13,FALSE)),"",(VLOOKUP($E208,'D-1 Off Site Habitat Baseline'!$D$1:$X$258,13,FALSE))))</f>
        <v/>
      </c>
      <c r="P208" s="232" t="str">
        <f>IFERROR(INDEX('G-1 All Habitats'!$AG$3:$AG$15,MATCH(Q208,'G-1 All Habitats'!$AF$3:$AF$15,0)),"")</f>
        <v/>
      </c>
      <c r="Q208" s="228" t="str">
        <f t="shared" si="45"/>
        <v/>
      </c>
      <c r="R208" s="229" t="str">
        <f t="shared" si="46"/>
        <v/>
      </c>
      <c r="S208" s="233" t="str">
        <f>IFERROR(INDEX('G-1 All Habitats'!$B$3:$B$129,MATCH(R208,'G-1 All Habitats'!$A$3:$A$129,0)),"")</f>
        <v/>
      </c>
      <c r="T208" s="507" t="str">
        <f t="shared" si="38"/>
        <v/>
      </c>
      <c r="U208" s="524" t="str">
        <f t="shared" si="39"/>
        <v/>
      </c>
      <c r="V208" s="523" t="str">
        <f t="shared" si="36"/>
        <v/>
      </c>
      <c r="W208" s="520" t="str">
        <f>IF(S208="","",VLOOKUP(S208,'G-1 All Habitats'!$B$2:$M$129,10,FALSE))</f>
        <v/>
      </c>
      <c r="X208" s="520" t="str">
        <f>IFERROR(VLOOKUP(W208,'G-1 All Habitats'!$V$3:$W$7,2,FALSE),"")</f>
        <v/>
      </c>
      <c r="Y208" s="203"/>
      <c r="Z208" s="524" t="str">
        <f>IFERROR(INDEX('G-8 Condition Look up'!$A$3:$H$130,MATCH(S208,'G-8 Condition Look up'!$A$3:$A$130,0),MATCH(Y208,'G-8 Condition Look up'!$A$3:$H$3,0)),"")</f>
        <v/>
      </c>
      <c r="AA208" s="145"/>
      <c r="AB208" s="540" t="str">
        <f>IF(AA208="","",IF(VLOOKUP(AA208,'G-3 Multipliers'!$L$3:$N$6,2,FALSE)=0,"Spatial Data Missing ⚠",VLOOKUP(AA208,'G-3 Multipliers'!$L$3:$N$6,2,FALSE)))</f>
        <v/>
      </c>
      <c r="AC208" s="524" t="str">
        <f>IF(AA208="","",IF(VLOOKUP(AA208,'G-3 Multipliers'!$L$3:$N$6,3,FALSE)=0,"Spatial Data Missing ⚠",VLOOKUP(AA208,'G-3 Multipliers'!$L$3:$N$6,3,FALSE)))</f>
        <v/>
      </c>
      <c r="AD208" s="537" t="str">
        <f t="shared" si="37"/>
        <v/>
      </c>
      <c r="AE208" s="203"/>
      <c r="AF208" s="203"/>
      <c r="AG208" s="520" t="str">
        <f t="shared" si="40"/>
        <v/>
      </c>
      <c r="AH208" s="544" t="str">
        <f t="shared" si="41"/>
        <v/>
      </c>
      <c r="AI208" s="525" t="str">
        <f>IF(AH208="Check Data ⚠","Check Data ⚠",IFERROR(VLOOKUP(AH208,'G-4 Temporal multipliers'!$A$4:$C$36,3,FALSE),""))</f>
        <v/>
      </c>
      <c r="AJ208" s="537" t="str">
        <f>IF(S208="","",VLOOKUP(S208,'G-3 Multipliers'!$A$2:$E$129,4,FALSE))</f>
        <v/>
      </c>
      <c r="AK208" s="520" t="str">
        <f t="shared" si="42"/>
        <v/>
      </c>
      <c r="AL208" s="520" t="str">
        <f t="shared" si="43"/>
        <v/>
      </c>
      <c r="AM208" s="524" t="str">
        <f>IFERROR(IF(F208="","",IF(AH208="Check Data ⚠","Check Data ⚠",VLOOKUP(AL208, 'G-3 Multipliers'!$P$2:$Q$6,2,FALSE))),"")</f>
        <v/>
      </c>
      <c r="AN208" s="197"/>
      <c r="AO208" s="540" t="str">
        <f>IF(AN208="","",IF(VLOOKUP(AN208,'G-3 Multipliers'!$S$3:$T$9,2,FALSE)=0,"Spatial Data Missing ⚠",VLOOKUP(AN208,'G-3 Multipliers'!$S$3:$T$9,2,FALSE)))</f>
        <v/>
      </c>
      <c r="AP208" s="513" t="str">
        <f t="shared" si="44"/>
        <v/>
      </c>
      <c r="AQ208" s="231"/>
      <c r="AR208" s="150"/>
    </row>
    <row r="209" spans="1:44" x14ac:dyDescent="0.3">
      <c r="A209" s="31" t="str">
        <f>IF(E209="","",IF(ISNA(VLOOKUP($E209,'D-1 Off Site Habitat Baseline'!$D$1:$O$258,2,FALSE)),"",(VLOOKUP($E209,'D-1 Off Site Habitat Baseline'!$D$1:$O$258,2,FALSE))))</f>
        <v/>
      </c>
      <c r="B209" s="31" t="str">
        <f>IF(E209="","",IF(ISNA(VLOOKUP($E209,'D-1 Off Site Habitat Baseline'!$D$1:$O$258,3,FALSE)),"",(VLOOKUP($E209,'D-1 Off Site Habitat Baseline'!$D$1:$O$258,3,FALSE))))</f>
        <v/>
      </c>
      <c r="C209" s="31" t="str">
        <f>IFERROR(INDEX('G-8 Condition Look up'!$I$4:$I$130,MATCH(S209,'G-8 Condition Look up'!$A$4:$A$130,0)),"")</f>
        <v/>
      </c>
      <c r="E209" s="547" t="str">
        <f>'D-1 Off Site Habitat Baseline'!AL208</f>
        <v/>
      </c>
      <c r="F209" s="520" t="str">
        <f>IF(E209="","",IF(ISNA(VLOOKUP($E209,'D-1 Off Site Habitat Baseline'!$D$1:$O$258,4,FALSE)),"",(VLOOKUP($E209,'D-1 Off Site Habitat Baseline'!$D$1:$O$258,4,FALSE))))</f>
        <v/>
      </c>
      <c r="G209" s="520" t="str">
        <f>IF(E209="","",IF(ISNA(VLOOKUP($E209,'D-1 Off Site Habitat Baseline'!$D$1:$O$258,5,FALSE)),"",(VLOOKUP($E209,'D-1 Off Site Habitat Baseline'!$D$1:$O$258,5,FALSE))))</f>
        <v/>
      </c>
      <c r="H209" s="520" t="str">
        <f>IF(E209="","",IF(ISNA(VLOOKUP($E209,'D-1 Off Site Habitat Baseline'!$D$1:$O$258,6,FALSE)),"",(VLOOKUP($E209,'D-1 Off Site Habitat Baseline'!$D$1:$O$258,6,FALSE))))</f>
        <v/>
      </c>
      <c r="I209" s="520" t="str">
        <f>IF(E209="","",IF(ISNA(VLOOKUP($E209,'D-1 Off Site Habitat Baseline'!$D$1:$O$258,7,FALSE)),"",(VLOOKUP($E209,'D-1 Off Site Habitat Baseline'!$D$1:$O$258,7,FALSE))))</f>
        <v/>
      </c>
      <c r="J209" s="520" t="str">
        <f>IF(E209="","",IF(ISNA(VLOOKUP($E209,'D-1 Off Site Habitat Baseline'!$D$1:$O$258,8,FALSE)),"",(VLOOKUP($E209,'D-1 Off Site Habitat Baseline'!$D$1:$O$258,8,FALSE))))</f>
        <v/>
      </c>
      <c r="K209" s="520" t="str">
        <f>IF(E209="","",IF(ISNA(VLOOKUP($E209,'D-1 Off Site Habitat Baseline'!$D$1:$O$258,9,FALSE)),"",(VLOOKUP($E209,'D-1 Off Site Habitat Baseline'!$D$1:$O$258,9,FALSE))))</f>
        <v/>
      </c>
      <c r="L209" s="520" t="str">
        <f>IF(E209="","",IF(ISNA(VLOOKUP($E209,'D-1 Off Site Habitat Baseline'!$D$1:$O$258,11,FALSE)),"",(VLOOKUP($E209,'D-1 Off Site Habitat Baseline'!$D$1:$O$258,11,FALSE))))</f>
        <v/>
      </c>
      <c r="M209" s="520" t="str">
        <f>IF(E209="","",IF(ISNA(VLOOKUP($E209,'D-1 Off Site Habitat Baseline'!$D$1:$O$258,12,FALSE)),"",(VLOOKUP($E209,'D-1 Off Site Habitat Baseline'!$D$1:$O$258,12,FALSE))))</f>
        <v/>
      </c>
      <c r="N209" s="520" t="str">
        <f>IF(E209="","",IF(ISNA(VLOOKUP($E209,'D-1 Off Site Habitat Baseline'!$D$1:$X$258,14,FALSE)),"",(VLOOKUP($E209,'D-1 Off Site Habitat Baseline'!$D$1:$X$258,14,FALSE))))</f>
        <v/>
      </c>
      <c r="O209" s="524" t="str">
        <f>IF(E209="","",IF(ISNA(VLOOKUP($E209,'D-1 Off Site Habitat Baseline'!$D$1:$X$258,13,FALSE)),"",(VLOOKUP($E209,'D-1 Off Site Habitat Baseline'!$D$1:$X$258,13,FALSE))))</f>
        <v/>
      </c>
      <c r="P209" s="232" t="str">
        <f>IFERROR(INDEX('G-1 All Habitats'!$AG$3:$AG$15,MATCH(Q209,'G-1 All Habitats'!$AF$3:$AF$15,0)),"")</f>
        <v/>
      </c>
      <c r="Q209" s="228" t="str">
        <f t="shared" si="45"/>
        <v/>
      </c>
      <c r="R209" s="229" t="str">
        <f t="shared" si="46"/>
        <v/>
      </c>
      <c r="S209" s="233" t="str">
        <f>IFERROR(INDEX('G-1 All Habitats'!$B$3:$B$129,MATCH(R209,'G-1 All Habitats'!$A$3:$A$129,0)),"")</f>
        <v/>
      </c>
      <c r="T209" s="507" t="str">
        <f t="shared" si="38"/>
        <v/>
      </c>
      <c r="U209" s="524" t="str">
        <f t="shared" si="39"/>
        <v/>
      </c>
      <c r="V209" s="523" t="str">
        <f t="shared" si="36"/>
        <v/>
      </c>
      <c r="W209" s="520" t="str">
        <f>IF(S209="","",VLOOKUP(S209,'G-1 All Habitats'!$B$2:$M$129,10,FALSE))</f>
        <v/>
      </c>
      <c r="X209" s="520" t="str">
        <f>IFERROR(VLOOKUP(W209,'G-1 All Habitats'!$V$3:$W$7,2,FALSE),"")</f>
        <v/>
      </c>
      <c r="Y209" s="203"/>
      <c r="Z209" s="524" t="str">
        <f>IFERROR(INDEX('G-8 Condition Look up'!$A$3:$H$130,MATCH(S209,'G-8 Condition Look up'!$A$3:$A$130,0),MATCH(Y209,'G-8 Condition Look up'!$A$3:$H$3,0)),"")</f>
        <v/>
      </c>
      <c r="AA209" s="145"/>
      <c r="AB209" s="540" t="str">
        <f>IF(AA209="","",IF(VLOOKUP(AA209,'G-3 Multipliers'!$L$3:$N$6,2,FALSE)=0,"Spatial Data Missing ⚠",VLOOKUP(AA209,'G-3 Multipliers'!$L$3:$N$6,2,FALSE)))</f>
        <v/>
      </c>
      <c r="AC209" s="524" t="str">
        <f>IF(AA209="","",IF(VLOOKUP(AA209,'G-3 Multipliers'!$L$3:$N$6,3,FALSE)=0,"Spatial Data Missing ⚠",VLOOKUP(AA209,'G-3 Multipliers'!$L$3:$N$6,3,FALSE)))</f>
        <v/>
      </c>
      <c r="AD209" s="537" t="str">
        <f t="shared" si="37"/>
        <v/>
      </c>
      <c r="AE209" s="203"/>
      <c r="AF209" s="203"/>
      <c r="AG209" s="520" t="str">
        <f t="shared" si="40"/>
        <v/>
      </c>
      <c r="AH209" s="544" t="str">
        <f t="shared" si="41"/>
        <v/>
      </c>
      <c r="AI209" s="525" t="str">
        <f>IF(AH209="Check Data ⚠","Check Data ⚠",IFERROR(VLOOKUP(AH209,'G-4 Temporal multipliers'!$A$4:$C$36,3,FALSE),""))</f>
        <v/>
      </c>
      <c r="AJ209" s="537" t="str">
        <f>IF(S209="","",VLOOKUP(S209,'G-3 Multipliers'!$A$2:$E$129,4,FALSE))</f>
        <v/>
      </c>
      <c r="AK209" s="520" t="str">
        <f t="shared" si="42"/>
        <v/>
      </c>
      <c r="AL209" s="520" t="str">
        <f t="shared" si="43"/>
        <v/>
      </c>
      <c r="AM209" s="524" t="str">
        <f>IFERROR(IF(F209="","",IF(AH209="Check Data ⚠","Check Data ⚠",VLOOKUP(AL209, 'G-3 Multipliers'!$P$2:$Q$6,2,FALSE))),"")</f>
        <v/>
      </c>
      <c r="AN209" s="197"/>
      <c r="AO209" s="540" t="str">
        <f>IF(AN209="","",IF(VLOOKUP(AN209,'G-3 Multipliers'!$S$3:$T$9,2,FALSE)=0,"Spatial Data Missing ⚠",VLOOKUP(AN209,'G-3 Multipliers'!$S$3:$T$9,2,FALSE)))</f>
        <v/>
      </c>
      <c r="AP209" s="513" t="str">
        <f t="shared" si="44"/>
        <v/>
      </c>
      <c r="AQ209" s="231"/>
      <c r="AR209" s="150"/>
    </row>
    <row r="210" spans="1:44" x14ac:dyDescent="0.3">
      <c r="A210" s="31" t="str">
        <f>IF(E210="","",IF(ISNA(VLOOKUP($E210,'D-1 Off Site Habitat Baseline'!$D$1:$O$258,2,FALSE)),"",(VLOOKUP($E210,'D-1 Off Site Habitat Baseline'!$D$1:$O$258,2,FALSE))))</f>
        <v/>
      </c>
      <c r="B210" s="31" t="str">
        <f>IF(E210="","",IF(ISNA(VLOOKUP($E210,'D-1 Off Site Habitat Baseline'!$D$1:$O$258,3,FALSE)),"",(VLOOKUP($E210,'D-1 Off Site Habitat Baseline'!$D$1:$O$258,3,FALSE))))</f>
        <v/>
      </c>
      <c r="C210" s="31" t="str">
        <f>IFERROR(INDEX('G-8 Condition Look up'!$I$4:$I$130,MATCH(S210,'G-8 Condition Look up'!$A$4:$A$130,0)),"")</f>
        <v/>
      </c>
      <c r="E210" s="547" t="str">
        <f>'D-1 Off Site Habitat Baseline'!AL209</f>
        <v/>
      </c>
      <c r="F210" s="520" t="str">
        <f>IF(E210="","",IF(ISNA(VLOOKUP($E210,'D-1 Off Site Habitat Baseline'!$D$1:$O$258,4,FALSE)),"",(VLOOKUP($E210,'D-1 Off Site Habitat Baseline'!$D$1:$O$258,4,FALSE))))</f>
        <v/>
      </c>
      <c r="G210" s="520" t="str">
        <f>IF(E210="","",IF(ISNA(VLOOKUP($E210,'D-1 Off Site Habitat Baseline'!$D$1:$O$258,5,FALSE)),"",(VLOOKUP($E210,'D-1 Off Site Habitat Baseline'!$D$1:$O$258,5,FALSE))))</f>
        <v/>
      </c>
      <c r="H210" s="520" t="str">
        <f>IF(E210="","",IF(ISNA(VLOOKUP($E210,'D-1 Off Site Habitat Baseline'!$D$1:$O$258,6,FALSE)),"",(VLOOKUP($E210,'D-1 Off Site Habitat Baseline'!$D$1:$O$258,6,FALSE))))</f>
        <v/>
      </c>
      <c r="I210" s="520" t="str">
        <f>IF(E210="","",IF(ISNA(VLOOKUP($E210,'D-1 Off Site Habitat Baseline'!$D$1:$O$258,7,FALSE)),"",(VLOOKUP($E210,'D-1 Off Site Habitat Baseline'!$D$1:$O$258,7,FALSE))))</f>
        <v/>
      </c>
      <c r="J210" s="520" t="str">
        <f>IF(E210="","",IF(ISNA(VLOOKUP($E210,'D-1 Off Site Habitat Baseline'!$D$1:$O$258,8,FALSE)),"",(VLOOKUP($E210,'D-1 Off Site Habitat Baseline'!$D$1:$O$258,8,FALSE))))</f>
        <v/>
      </c>
      <c r="K210" s="520" t="str">
        <f>IF(E210="","",IF(ISNA(VLOOKUP($E210,'D-1 Off Site Habitat Baseline'!$D$1:$O$258,9,FALSE)),"",(VLOOKUP($E210,'D-1 Off Site Habitat Baseline'!$D$1:$O$258,9,FALSE))))</f>
        <v/>
      </c>
      <c r="L210" s="520" t="str">
        <f>IF(E210="","",IF(ISNA(VLOOKUP($E210,'D-1 Off Site Habitat Baseline'!$D$1:$O$258,11,FALSE)),"",(VLOOKUP($E210,'D-1 Off Site Habitat Baseline'!$D$1:$O$258,11,FALSE))))</f>
        <v/>
      </c>
      <c r="M210" s="520" t="str">
        <f>IF(E210="","",IF(ISNA(VLOOKUP($E210,'D-1 Off Site Habitat Baseline'!$D$1:$O$258,12,FALSE)),"",(VLOOKUP($E210,'D-1 Off Site Habitat Baseline'!$D$1:$O$258,12,FALSE))))</f>
        <v/>
      </c>
      <c r="N210" s="520" t="str">
        <f>IF(E210="","",IF(ISNA(VLOOKUP($E210,'D-1 Off Site Habitat Baseline'!$D$1:$X$258,14,FALSE)),"",(VLOOKUP($E210,'D-1 Off Site Habitat Baseline'!$D$1:$X$258,14,FALSE))))</f>
        <v/>
      </c>
      <c r="O210" s="524" t="str">
        <f>IF(E210="","",IF(ISNA(VLOOKUP($E210,'D-1 Off Site Habitat Baseline'!$D$1:$X$258,13,FALSE)),"",(VLOOKUP($E210,'D-1 Off Site Habitat Baseline'!$D$1:$X$258,13,FALSE))))</f>
        <v/>
      </c>
      <c r="P210" s="232" t="str">
        <f>IFERROR(INDEX('G-1 All Habitats'!$AG$3:$AG$15,MATCH(Q210,'G-1 All Habitats'!$AF$3:$AF$15,0)),"")</f>
        <v/>
      </c>
      <c r="Q210" s="228" t="str">
        <f t="shared" si="45"/>
        <v/>
      </c>
      <c r="R210" s="229" t="str">
        <f t="shared" si="46"/>
        <v/>
      </c>
      <c r="S210" s="233" t="str">
        <f>IFERROR(INDEX('G-1 All Habitats'!$B$3:$B$129,MATCH(R210,'G-1 All Habitats'!$A$3:$A$129,0)),"")</f>
        <v/>
      </c>
      <c r="T210" s="507" t="str">
        <f t="shared" si="38"/>
        <v/>
      </c>
      <c r="U210" s="524" t="str">
        <f t="shared" si="39"/>
        <v/>
      </c>
      <c r="V210" s="523" t="str">
        <f t="shared" si="36"/>
        <v/>
      </c>
      <c r="W210" s="520" t="str">
        <f>IF(S210="","",VLOOKUP(S210,'G-1 All Habitats'!$B$2:$M$129,10,FALSE))</f>
        <v/>
      </c>
      <c r="X210" s="520" t="str">
        <f>IFERROR(VLOOKUP(W210,'G-1 All Habitats'!$V$3:$W$7,2,FALSE),"")</f>
        <v/>
      </c>
      <c r="Y210" s="203"/>
      <c r="Z210" s="524" t="str">
        <f>IFERROR(INDEX('G-8 Condition Look up'!$A$3:$H$130,MATCH(S210,'G-8 Condition Look up'!$A$3:$A$130,0),MATCH(Y210,'G-8 Condition Look up'!$A$3:$H$3,0)),"")</f>
        <v/>
      </c>
      <c r="AA210" s="145"/>
      <c r="AB210" s="540" t="str">
        <f>IF(AA210="","",IF(VLOOKUP(AA210,'G-3 Multipliers'!$L$3:$N$6,2,FALSE)=0,"Spatial Data Missing ⚠",VLOOKUP(AA210,'G-3 Multipliers'!$L$3:$N$6,2,FALSE)))</f>
        <v/>
      </c>
      <c r="AC210" s="524" t="str">
        <f>IF(AA210="","",IF(VLOOKUP(AA210,'G-3 Multipliers'!$L$3:$N$6,3,FALSE)=0,"Spatial Data Missing ⚠",VLOOKUP(AA210,'G-3 Multipliers'!$L$3:$N$6,3,FALSE)))</f>
        <v/>
      </c>
      <c r="AD210" s="537" t="str">
        <f t="shared" si="37"/>
        <v/>
      </c>
      <c r="AE210" s="203"/>
      <c r="AF210" s="203"/>
      <c r="AG210" s="520" t="str">
        <f t="shared" si="40"/>
        <v/>
      </c>
      <c r="AH210" s="544" t="str">
        <f t="shared" si="41"/>
        <v/>
      </c>
      <c r="AI210" s="525" t="str">
        <f>IF(AH210="Check Data ⚠","Check Data ⚠",IFERROR(VLOOKUP(AH210,'G-4 Temporal multipliers'!$A$4:$C$36,3,FALSE),""))</f>
        <v/>
      </c>
      <c r="AJ210" s="537" t="str">
        <f>IF(S210="","",VLOOKUP(S210,'G-3 Multipliers'!$A$2:$E$129,4,FALSE))</f>
        <v/>
      </c>
      <c r="AK210" s="520" t="str">
        <f t="shared" si="42"/>
        <v/>
      </c>
      <c r="AL210" s="520" t="str">
        <f t="shared" si="43"/>
        <v/>
      </c>
      <c r="AM210" s="524" t="str">
        <f>IFERROR(IF(F210="","",IF(AH210="Check Data ⚠","Check Data ⚠",VLOOKUP(AL210, 'G-3 Multipliers'!$P$2:$Q$6,2,FALSE))),"")</f>
        <v/>
      </c>
      <c r="AN210" s="197"/>
      <c r="AO210" s="540" t="str">
        <f>IF(AN210="","",IF(VLOOKUP(AN210,'G-3 Multipliers'!$S$3:$T$9,2,FALSE)=0,"Spatial Data Missing ⚠",VLOOKUP(AN210,'G-3 Multipliers'!$S$3:$T$9,2,FALSE)))</f>
        <v/>
      </c>
      <c r="AP210" s="513" t="str">
        <f t="shared" si="44"/>
        <v/>
      </c>
      <c r="AQ210" s="231"/>
      <c r="AR210" s="150"/>
    </row>
    <row r="211" spans="1:44" x14ac:dyDescent="0.3">
      <c r="A211" s="31" t="str">
        <f>IF(E211="","",IF(ISNA(VLOOKUP($E211,'D-1 Off Site Habitat Baseline'!$D$1:$O$258,2,FALSE)),"",(VLOOKUP($E211,'D-1 Off Site Habitat Baseline'!$D$1:$O$258,2,FALSE))))</f>
        <v/>
      </c>
      <c r="B211" s="31" t="str">
        <f>IF(E211="","",IF(ISNA(VLOOKUP($E211,'D-1 Off Site Habitat Baseline'!$D$1:$O$258,3,FALSE)),"",(VLOOKUP($E211,'D-1 Off Site Habitat Baseline'!$D$1:$O$258,3,FALSE))))</f>
        <v/>
      </c>
      <c r="C211" s="31" t="str">
        <f>IFERROR(INDEX('G-8 Condition Look up'!$I$4:$I$130,MATCH(S211,'G-8 Condition Look up'!$A$4:$A$130,0)),"")</f>
        <v/>
      </c>
      <c r="E211" s="547" t="str">
        <f>'D-1 Off Site Habitat Baseline'!AL210</f>
        <v/>
      </c>
      <c r="F211" s="520" t="str">
        <f>IF(E211="","",IF(ISNA(VLOOKUP($E211,'D-1 Off Site Habitat Baseline'!$D$1:$O$258,4,FALSE)),"",(VLOOKUP($E211,'D-1 Off Site Habitat Baseline'!$D$1:$O$258,4,FALSE))))</f>
        <v/>
      </c>
      <c r="G211" s="520" t="str">
        <f>IF(E211="","",IF(ISNA(VLOOKUP($E211,'D-1 Off Site Habitat Baseline'!$D$1:$O$258,5,FALSE)),"",(VLOOKUP($E211,'D-1 Off Site Habitat Baseline'!$D$1:$O$258,5,FALSE))))</f>
        <v/>
      </c>
      <c r="H211" s="520" t="str">
        <f>IF(E211="","",IF(ISNA(VLOOKUP($E211,'D-1 Off Site Habitat Baseline'!$D$1:$O$258,6,FALSE)),"",(VLOOKUP($E211,'D-1 Off Site Habitat Baseline'!$D$1:$O$258,6,FALSE))))</f>
        <v/>
      </c>
      <c r="I211" s="520" t="str">
        <f>IF(E211="","",IF(ISNA(VLOOKUP($E211,'D-1 Off Site Habitat Baseline'!$D$1:$O$258,7,FALSE)),"",(VLOOKUP($E211,'D-1 Off Site Habitat Baseline'!$D$1:$O$258,7,FALSE))))</f>
        <v/>
      </c>
      <c r="J211" s="520" t="str">
        <f>IF(E211="","",IF(ISNA(VLOOKUP($E211,'D-1 Off Site Habitat Baseline'!$D$1:$O$258,8,FALSE)),"",(VLOOKUP($E211,'D-1 Off Site Habitat Baseline'!$D$1:$O$258,8,FALSE))))</f>
        <v/>
      </c>
      <c r="K211" s="520" t="str">
        <f>IF(E211="","",IF(ISNA(VLOOKUP($E211,'D-1 Off Site Habitat Baseline'!$D$1:$O$258,9,FALSE)),"",(VLOOKUP($E211,'D-1 Off Site Habitat Baseline'!$D$1:$O$258,9,FALSE))))</f>
        <v/>
      </c>
      <c r="L211" s="520" t="str">
        <f>IF(E211="","",IF(ISNA(VLOOKUP($E211,'D-1 Off Site Habitat Baseline'!$D$1:$O$258,11,FALSE)),"",(VLOOKUP($E211,'D-1 Off Site Habitat Baseline'!$D$1:$O$258,11,FALSE))))</f>
        <v/>
      </c>
      <c r="M211" s="520" t="str">
        <f>IF(E211="","",IF(ISNA(VLOOKUP($E211,'D-1 Off Site Habitat Baseline'!$D$1:$O$258,12,FALSE)),"",(VLOOKUP($E211,'D-1 Off Site Habitat Baseline'!$D$1:$O$258,12,FALSE))))</f>
        <v/>
      </c>
      <c r="N211" s="520" t="str">
        <f>IF(E211="","",IF(ISNA(VLOOKUP($E211,'D-1 Off Site Habitat Baseline'!$D$1:$X$258,14,FALSE)),"",(VLOOKUP($E211,'D-1 Off Site Habitat Baseline'!$D$1:$X$258,14,FALSE))))</f>
        <v/>
      </c>
      <c r="O211" s="524" t="str">
        <f>IF(E211="","",IF(ISNA(VLOOKUP($E211,'D-1 Off Site Habitat Baseline'!$D$1:$X$258,13,FALSE)),"",(VLOOKUP($E211,'D-1 Off Site Habitat Baseline'!$D$1:$X$258,13,FALSE))))</f>
        <v/>
      </c>
      <c r="P211" s="232" t="str">
        <f>IFERROR(INDEX('G-1 All Habitats'!$AG$3:$AG$15,MATCH(Q211,'G-1 All Habitats'!$AF$3:$AF$15,0)),"")</f>
        <v/>
      </c>
      <c r="Q211" s="228" t="str">
        <f t="shared" si="45"/>
        <v/>
      </c>
      <c r="R211" s="229" t="str">
        <f t="shared" si="46"/>
        <v/>
      </c>
      <c r="S211" s="233" t="str">
        <f>IFERROR(INDEX('G-1 All Habitats'!$B$3:$B$129,MATCH(R211,'G-1 All Habitats'!$A$3:$A$129,0)),"")</f>
        <v/>
      </c>
      <c r="T211" s="507" t="str">
        <f t="shared" si="38"/>
        <v/>
      </c>
      <c r="U211" s="524" t="str">
        <f t="shared" si="39"/>
        <v/>
      </c>
      <c r="V211" s="523" t="str">
        <f t="shared" si="36"/>
        <v/>
      </c>
      <c r="W211" s="520" t="str">
        <f>IF(S211="","",VLOOKUP(S211,'G-1 All Habitats'!$B$2:$M$129,10,FALSE))</f>
        <v/>
      </c>
      <c r="X211" s="520" t="str">
        <f>IFERROR(VLOOKUP(W211,'G-1 All Habitats'!$V$3:$W$7,2,FALSE),"")</f>
        <v/>
      </c>
      <c r="Y211" s="203"/>
      <c r="Z211" s="524" t="str">
        <f>IFERROR(INDEX('G-8 Condition Look up'!$A$3:$H$130,MATCH(S211,'G-8 Condition Look up'!$A$3:$A$130,0),MATCH(Y211,'G-8 Condition Look up'!$A$3:$H$3,0)),"")</f>
        <v/>
      </c>
      <c r="AA211" s="145"/>
      <c r="AB211" s="540" t="str">
        <f>IF(AA211="","",IF(VLOOKUP(AA211,'G-3 Multipliers'!$L$3:$N$6,2,FALSE)=0,"Spatial Data Missing ⚠",VLOOKUP(AA211,'G-3 Multipliers'!$L$3:$N$6,2,FALSE)))</f>
        <v/>
      </c>
      <c r="AC211" s="524" t="str">
        <f>IF(AA211="","",IF(VLOOKUP(AA211,'G-3 Multipliers'!$L$3:$N$6,3,FALSE)=0,"Spatial Data Missing ⚠",VLOOKUP(AA211,'G-3 Multipliers'!$L$3:$N$6,3,FALSE)))</f>
        <v/>
      </c>
      <c r="AD211" s="537" t="str">
        <f t="shared" si="37"/>
        <v/>
      </c>
      <c r="AE211" s="203"/>
      <c r="AF211" s="203"/>
      <c r="AG211" s="520" t="str">
        <f t="shared" si="40"/>
        <v/>
      </c>
      <c r="AH211" s="544" t="str">
        <f t="shared" si="41"/>
        <v/>
      </c>
      <c r="AI211" s="525" t="str">
        <f>IF(AH211="Check Data ⚠","Check Data ⚠",IFERROR(VLOOKUP(AH211,'G-4 Temporal multipliers'!$A$4:$C$36,3,FALSE),""))</f>
        <v/>
      </c>
      <c r="AJ211" s="537" t="str">
        <f>IF(S211="","",VLOOKUP(S211,'G-3 Multipliers'!$A$2:$E$129,4,FALSE))</f>
        <v/>
      </c>
      <c r="AK211" s="520" t="str">
        <f t="shared" si="42"/>
        <v/>
      </c>
      <c r="AL211" s="520" t="str">
        <f t="shared" si="43"/>
        <v/>
      </c>
      <c r="AM211" s="524" t="str">
        <f>IFERROR(IF(F211="","",IF(AH211="Check Data ⚠","Check Data ⚠",VLOOKUP(AL211, 'G-3 Multipliers'!$P$2:$Q$6,2,FALSE))),"")</f>
        <v/>
      </c>
      <c r="AN211" s="197"/>
      <c r="AO211" s="540" t="str">
        <f>IF(AN211="","",IF(VLOOKUP(AN211,'G-3 Multipliers'!$S$3:$T$9,2,FALSE)=0,"Spatial Data Missing ⚠",VLOOKUP(AN211,'G-3 Multipliers'!$S$3:$T$9,2,FALSE)))</f>
        <v/>
      </c>
      <c r="AP211" s="513" t="str">
        <f t="shared" si="44"/>
        <v/>
      </c>
      <c r="AQ211" s="231"/>
      <c r="AR211" s="150"/>
    </row>
    <row r="212" spans="1:44" x14ac:dyDescent="0.3">
      <c r="A212" s="31" t="str">
        <f>IF(E212="","",IF(ISNA(VLOOKUP($E212,'D-1 Off Site Habitat Baseline'!$D$1:$O$258,2,FALSE)),"",(VLOOKUP($E212,'D-1 Off Site Habitat Baseline'!$D$1:$O$258,2,FALSE))))</f>
        <v/>
      </c>
      <c r="B212" s="31" t="str">
        <f>IF(E212="","",IF(ISNA(VLOOKUP($E212,'D-1 Off Site Habitat Baseline'!$D$1:$O$258,3,FALSE)),"",(VLOOKUP($E212,'D-1 Off Site Habitat Baseline'!$D$1:$O$258,3,FALSE))))</f>
        <v/>
      </c>
      <c r="C212" s="31" t="str">
        <f>IFERROR(INDEX('G-8 Condition Look up'!$I$4:$I$130,MATCH(S212,'G-8 Condition Look up'!$A$4:$A$130,0)),"")</f>
        <v/>
      </c>
      <c r="E212" s="547" t="str">
        <f>'D-1 Off Site Habitat Baseline'!AL211</f>
        <v/>
      </c>
      <c r="F212" s="520" t="str">
        <f>IF(E212="","",IF(ISNA(VLOOKUP($E212,'D-1 Off Site Habitat Baseline'!$D$1:$O$258,4,FALSE)),"",(VLOOKUP($E212,'D-1 Off Site Habitat Baseline'!$D$1:$O$258,4,FALSE))))</f>
        <v/>
      </c>
      <c r="G212" s="520" t="str">
        <f>IF(E212="","",IF(ISNA(VLOOKUP($E212,'D-1 Off Site Habitat Baseline'!$D$1:$O$258,5,FALSE)),"",(VLOOKUP($E212,'D-1 Off Site Habitat Baseline'!$D$1:$O$258,5,FALSE))))</f>
        <v/>
      </c>
      <c r="H212" s="520" t="str">
        <f>IF(E212="","",IF(ISNA(VLOOKUP($E212,'D-1 Off Site Habitat Baseline'!$D$1:$O$258,6,FALSE)),"",(VLOOKUP($E212,'D-1 Off Site Habitat Baseline'!$D$1:$O$258,6,FALSE))))</f>
        <v/>
      </c>
      <c r="I212" s="520" t="str">
        <f>IF(E212="","",IF(ISNA(VLOOKUP($E212,'D-1 Off Site Habitat Baseline'!$D$1:$O$258,7,FALSE)),"",(VLOOKUP($E212,'D-1 Off Site Habitat Baseline'!$D$1:$O$258,7,FALSE))))</f>
        <v/>
      </c>
      <c r="J212" s="520" t="str">
        <f>IF(E212="","",IF(ISNA(VLOOKUP($E212,'D-1 Off Site Habitat Baseline'!$D$1:$O$258,8,FALSE)),"",(VLOOKUP($E212,'D-1 Off Site Habitat Baseline'!$D$1:$O$258,8,FALSE))))</f>
        <v/>
      </c>
      <c r="K212" s="520" t="str">
        <f>IF(E212="","",IF(ISNA(VLOOKUP($E212,'D-1 Off Site Habitat Baseline'!$D$1:$O$258,9,FALSE)),"",(VLOOKUP($E212,'D-1 Off Site Habitat Baseline'!$D$1:$O$258,9,FALSE))))</f>
        <v/>
      </c>
      <c r="L212" s="520" t="str">
        <f>IF(E212="","",IF(ISNA(VLOOKUP($E212,'D-1 Off Site Habitat Baseline'!$D$1:$O$258,11,FALSE)),"",(VLOOKUP($E212,'D-1 Off Site Habitat Baseline'!$D$1:$O$258,11,FALSE))))</f>
        <v/>
      </c>
      <c r="M212" s="520" t="str">
        <f>IF(E212="","",IF(ISNA(VLOOKUP($E212,'D-1 Off Site Habitat Baseline'!$D$1:$O$258,12,FALSE)),"",(VLOOKUP($E212,'D-1 Off Site Habitat Baseline'!$D$1:$O$258,12,FALSE))))</f>
        <v/>
      </c>
      <c r="N212" s="520" t="str">
        <f>IF(E212="","",IF(ISNA(VLOOKUP($E212,'D-1 Off Site Habitat Baseline'!$D$1:$X$258,14,FALSE)),"",(VLOOKUP($E212,'D-1 Off Site Habitat Baseline'!$D$1:$X$258,14,FALSE))))</f>
        <v/>
      </c>
      <c r="O212" s="524" t="str">
        <f>IF(E212="","",IF(ISNA(VLOOKUP($E212,'D-1 Off Site Habitat Baseline'!$D$1:$X$258,13,FALSE)),"",(VLOOKUP($E212,'D-1 Off Site Habitat Baseline'!$D$1:$X$258,13,FALSE))))</f>
        <v/>
      </c>
      <c r="P212" s="232" t="str">
        <f>IFERROR(INDEX('G-1 All Habitats'!$AG$3:$AG$15,MATCH(Q212,'G-1 All Habitats'!$AF$3:$AF$15,0)),"")</f>
        <v/>
      </c>
      <c r="Q212" s="228" t="str">
        <f t="shared" si="45"/>
        <v/>
      </c>
      <c r="R212" s="229" t="str">
        <f t="shared" si="46"/>
        <v/>
      </c>
      <c r="S212" s="233" t="str">
        <f>IFERROR(INDEX('G-1 All Habitats'!$B$3:$B$129,MATCH(R212,'G-1 All Habitats'!$A$3:$A$129,0)),"")</f>
        <v/>
      </c>
      <c r="T212" s="507" t="str">
        <f t="shared" si="38"/>
        <v/>
      </c>
      <c r="U212" s="524" t="str">
        <f t="shared" si="39"/>
        <v/>
      </c>
      <c r="V212" s="523" t="str">
        <f t="shared" si="36"/>
        <v/>
      </c>
      <c r="W212" s="520" t="str">
        <f>IF(S212="","",VLOOKUP(S212,'G-1 All Habitats'!$B$2:$M$129,10,FALSE))</f>
        <v/>
      </c>
      <c r="X212" s="520" t="str">
        <f>IFERROR(VLOOKUP(W212,'G-1 All Habitats'!$V$3:$W$7,2,FALSE),"")</f>
        <v/>
      </c>
      <c r="Y212" s="203"/>
      <c r="Z212" s="524" t="str">
        <f>IFERROR(INDEX('G-8 Condition Look up'!$A$3:$H$130,MATCH(S212,'G-8 Condition Look up'!$A$3:$A$130,0),MATCH(Y212,'G-8 Condition Look up'!$A$3:$H$3,0)),"")</f>
        <v/>
      </c>
      <c r="AA212" s="145"/>
      <c r="AB212" s="540" t="str">
        <f>IF(AA212="","",IF(VLOOKUP(AA212,'G-3 Multipliers'!$L$3:$N$6,2,FALSE)=0,"Spatial Data Missing ⚠",VLOOKUP(AA212,'G-3 Multipliers'!$L$3:$N$6,2,FALSE)))</f>
        <v/>
      </c>
      <c r="AC212" s="524" t="str">
        <f>IF(AA212="","",IF(VLOOKUP(AA212,'G-3 Multipliers'!$L$3:$N$6,3,FALSE)=0,"Spatial Data Missing ⚠",VLOOKUP(AA212,'G-3 Multipliers'!$L$3:$N$6,3,FALSE)))</f>
        <v/>
      </c>
      <c r="AD212" s="537" t="str">
        <f t="shared" si="37"/>
        <v/>
      </c>
      <c r="AE212" s="203"/>
      <c r="AF212" s="203"/>
      <c r="AG212" s="520" t="str">
        <f t="shared" si="40"/>
        <v/>
      </c>
      <c r="AH212" s="544" t="str">
        <f t="shared" si="41"/>
        <v/>
      </c>
      <c r="AI212" s="525" t="str">
        <f>IF(AH212="Check Data ⚠","Check Data ⚠",IFERROR(VLOOKUP(AH212,'G-4 Temporal multipliers'!$A$4:$C$36,3,FALSE),""))</f>
        <v/>
      </c>
      <c r="AJ212" s="537" t="str">
        <f>IF(S212="","",VLOOKUP(S212,'G-3 Multipliers'!$A$2:$E$129,4,FALSE))</f>
        <v/>
      </c>
      <c r="AK212" s="520" t="str">
        <f t="shared" si="42"/>
        <v/>
      </c>
      <c r="AL212" s="520" t="str">
        <f t="shared" si="43"/>
        <v/>
      </c>
      <c r="AM212" s="524" t="str">
        <f>IFERROR(IF(F212="","",IF(AH212="Check Data ⚠","Check Data ⚠",VLOOKUP(AL212, 'G-3 Multipliers'!$P$2:$Q$6,2,FALSE))),"")</f>
        <v/>
      </c>
      <c r="AN212" s="197"/>
      <c r="AO212" s="540" t="str">
        <f>IF(AN212="","",IF(VLOOKUP(AN212,'G-3 Multipliers'!$S$3:$T$9,2,FALSE)=0,"Spatial Data Missing ⚠",VLOOKUP(AN212,'G-3 Multipliers'!$S$3:$T$9,2,FALSE)))</f>
        <v/>
      </c>
      <c r="AP212" s="513" t="str">
        <f t="shared" si="44"/>
        <v/>
      </c>
      <c r="AQ212" s="231"/>
      <c r="AR212" s="150"/>
    </row>
    <row r="213" spans="1:44" x14ac:dyDescent="0.3">
      <c r="A213" s="31" t="str">
        <f>IF(E213="","",IF(ISNA(VLOOKUP($E213,'D-1 Off Site Habitat Baseline'!$D$1:$O$258,2,FALSE)),"",(VLOOKUP($E213,'D-1 Off Site Habitat Baseline'!$D$1:$O$258,2,FALSE))))</f>
        <v/>
      </c>
      <c r="B213" s="31" t="str">
        <f>IF(E213="","",IF(ISNA(VLOOKUP($E213,'D-1 Off Site Habitat Baseline'!$D$1:$O$258,3,FALSE)),"",(VLOOKUP($E213,'D-1 Off Site Habitat Baseline'!$D$1:$O$258,3,FALSE))))</f>
        <v/>
      </c>
      <c r="C213" s="31" t="str">
        <f>IFERROR(INDEX('G-8 Condition Look up'!$I$4:$I$130,MATCH(S213,'G-8 Condition Look up'!$A$4:$A$130,0)),"")</f>
        <v/>
      </c>
      <c r="E213" s="547" t="str">
        <f>'D-1 Off Site Habitat Baseline'!AL212</f>
        <v/>
      </c>
      <c r="F213" s="520" t="str">
        <f>IF(E213="","",IF(ISNA(VLOOKUP($E213,'D-1 Off Site Habitat Baseline'!$D$1:$O$258,4,FALSE)),"",(VLOOKUP($E213,'D-1 Off Site Habitat Baseline'!$D$1:$O$258,4,FALSE))))</f>
        <v/>
      </c>
      <c r="G213" s="520" t="str">
        <f>IF(E213="","",IF(ISNA(VLOOKUP($E213,'D-1 Off Site Habitat Baseline'!$D$1:$O$258,5,FALSE)),"",(VLOOKUP($E213,'D-1 Off Site Habitat Baseline'!$D$1:$O$258,5,FALSE))))</f>
        <v/>
      </c>
      <c r="H213" s="520" t="str">
        <f>IF(E213="","",IF(ISNA(VLOOKUP($E213,'D-1 Off Site Habitat Baseline'!$D$1:$O$258,6,FALSE)),"",(VLOOKUP($E213,'D-1 Off Site Habitat Baseline'!$D$1:$O$258,6,FALSE))))</f>
        <v/>
      </c>
      <c r="I213" s="520" t="str">
        <f>IF(E213="","",IF(ISNA(VLOOKUP($E213,'D-1 Off Site Habitat Baseline'!$D$1:$O$258,7,FALSE)),"",(VLOOKUP($E213,'D-1 Off Site Habitat Baseline'!$D$1:$O$258,7,FALSE))))</f>
        <v/>
      </c>
      <c r="J213" s="520" t="str">
        <f>IF(E213="","",IF(ISNA(VLOOKUP($E213,'D-1 Off Site Habitat Baseline'!$D$1:$O$258,8,FALSE)),"",(VLOOKUP($E213,'D-1 Off Site Habitat Baseline'!$D$1:$O$258,8,FALSE))))</f>
        <v/>
      </c>
      <c r="K213" s="520" t="str">
        <f>IF(E213="","",IF(ISNA(VLOOKUP($E213,'D-1 Off Site Habitat Baseline'!$D$1:$O$258,9,FALSE)),"",(VLOOKUP($E213,'D-1 Off Site Habitat Baseline'!$D$1:$O$258,9,FALSE))))</f>
        <v/>
      </c>
      <c r="L213" s="520" t="str">
        <f>IF(E213="","",IF(ISNA(VLOOKUP($E213,'D-1 Off Site Habitat Baseline'!$D$1:$O$258,11,FALSE)),"",(VLOOKUP($E213,'D-1 Off Site Habitat Baseline'!$D$1:$O$258,11,FALSE))))</f>
        <v/>
      </c>
      <c r="M213" s="520" t="str">
        <f>IF(E213="","",IF(ISNA(VLOOKUP($E213,'D-1 Off Site Habitat Baseline'!$D$1:$O$258,12,FALSE)),"",(VLOOKUP($E213,'D-1 Off Site Habitat Baseline'!$D$1:$O$258,12,FALSE))))</f>
        <v/>
      </c>
      <c r="N213" s="520" t="str">
        <f>IF(E213="","",IF(ISNA(VLOOKUP($E213,'D-1 Off Site Habitat Baseline'!$D$1:$X$258,14,FALSE)),"",(VLOOKUP($E213,'D-1 Off Site Habitat Baseline'!$D$1:$X$258,14,FALSE))))</f>
        <v/>
      </c>
      <c r="O213" s="524" t="str">
        <f>IF(E213="","",IF(ISNA(VLOOKUP($E213,'D-1 Off Site Habitat Baseline'!$D$1:$X$258,13,FALSE)),"",(VLOOKUP($E213,'D-1 Off Site Habitat Baseline'!$D$1:$X$258,13,FALSE))))</f>
        <v/>
      </c>
      <c r="P213" s="232" t="str">
        <f>IFERROR(INDEX('G-1 All Habitats'!$AG$3:$AG$15,MATCH(Q213,'G-1 All Habitats'!$AF$3:$AF$15,0)),"")</f>
        <v/>
      </c>
      <c r="Q213" s="228" t="str">
        <f t="shared" si="45"/>
        <v/>
      </c>
      <c r="R213" s="229" t="str">
        <f t="shared" si="46"/>
        <v/>
      </c>
      <c r="S213" s="233" t="str">
        <f>IFERROR(INDEX('G-1 All Habitats'!$B$3:$B$129,MATCH(R213,'G-1 All Habitats'!$A$3:$A$129,0)),"")</f>
        <v/>
      </c>
      <c r="T213" s="507" t="str">
        <f t="shared" si="38"/>
        <v/>
      </c>
      <c r="U213" s="524" t="str">
        <f t="shared" si="39"/>
        <v/>
      </c>
      <c r="V213" s="523" t="str">
        <f t="shared" si="36"/>
        <v/>
      </c>
      <c r="W213" s="520" t="str">
        <f>IF(S213="","",VLOOKUP(S213,'G-1 All Habitats'!$B$2:$M$129,10,FALSE))</f>
        <v/>
      </c>
      <c r="X213" s="520" t="str">
        <f>IFERROR(VLOOKUP(W213,'G-1 All Habitats'!$V$3:$W$7,2,FALSE),"")</f>
        <v/>
      </c>
      <c r="Y213" s="203"/>
      <c r="Z213" s="524" t="str">
        <f>IFERROR(INDEX('G-8 Condition Look up'!$A$3:$H$130,MATCH(S213,'G-8 Condition Look up'!$A$3:$A$130,0),MATCH(Y213,'G-8 Condition Look up'!$A$3:$H$3,0)),"")</f>
        <v/>
      </c>
      <c r="AA213" s="145"/>
      <c r="AB213" s="540" t="str">
        <f>IF(AA213="","",IF(VLOOKUP(AA213,'G-3 Multipliers'!$L$3:$N$6,2,FALSE)=0,"Spatial Data Missing ⚠",VLOOKUP(AA213,'G-3 Multipliers'!$L$3:$N$6,2,FALSE)))</f>
        <v/>
      </c>
      <c r="AC213" s="524" t="str">
        <f>IF(AA213="","",IF(VLOOKUP(AA213,'G-3 Multipliers'!$L$3:$N$6,3,FALSE)=0,"Spatial Data Missing ⚠",VLOOKUP(AA213,'G-3 Multipliers'!$L$3:$N$6,3,FALSE)))</f>
        <v/>
      </c>
      <c r="AD213" s="537" t="str">
        <f t="shared" si="37"/>
        <v/>
      </c>
      <c r="AE213" s="203"/>
      <c r="AF213" s="203"/>
      <c r="AG213" s="520" t="str">
        <f t="shared" si="40"/>
        <v/>
      </c>
      <c r="AH213" s="544" t="str">
        <f t="shared" si="41"/>
        <v/>
      </c>
      <c r="AI213" s="525" t="str">
        <f>IF(AH213="Check Data ⚠","Check Data ⚠",IFERROR(VLOOKUP(AH213,'G-4 Temporal multipliers'!$A$4:$C$36,3,FALSE),""))</f>
        <v/>
      </c>
      <c r="AJ213" s="537" t="str">
        <f>IF(S213="","",VLOOKUP(S213,'G-3 Multipliers'!$A$2:$E$129,4,FALSE))</f>
        <v/>
      </c>
      <c r="AK213" s="520" t="str">
        <f t="shared" si="42"/>
        <v/>
      </c>
      <c r="AL213" s="520" t="str">
        <f t="shared" si="43"/>
        <v/>
      </c>
      <c r="AM213" s="524" t="str">
        <f>IFERROR(IF(F213="","",IF(AH213="Check Data ⚠","Check Data ⚠",VLOOKUP(AL213, 'G-3 Multipliers'!$P$2:$Q$6,2,FALSE))),"")</f>
        <v/>
      </c>
      <c r="AN213" s="197"/>
      <c r="AO213" s="540" t="str">
        <f>IF(AN213="","",IF(VLOOKUP(AN213,'G-3 Multipliers'!$S$3:$T$9,2,FALSE)=0,"Spatial Data Missing ⚠",VLOOKUP(AN213,'G-3 Multipliers'!$S$3:$T$9,2,FALSE)))</f>
        <v/>
      </c>
      <c r="AP213" s="513" t="str">
        <f t="shared" si="44"/>
        <v/>
      </c>
      <c r="AQ213" s="231"/>
      <c r="AR213" s="150"/>
    </row>
    <row r="214" spans="1:44" x14ac:dyDescent="0.3">
      <c r="A214" s="31" t="str">
        <f>IF(E214="","",IF(ISNA(VLOOKUP($E214,'D-1 Off Site Habitat Baseline'!$D$1:$O$258,2,FALSE)),"",(VLOOKUP($E214,'D-1 Off Site Habitat Baseline'!$D$1:$O$258,2,FALSE))))</f>
        <v/>
      </c>
      <c r="B214" s="31" t="str">
        <f>IF(E214="","",IF(ISNA(VLOOKUP($E214,'D-1 Off Site Habitat Baseline'!$D$1:$O$258,3,FALSE)),"",(VLOOKUP($E214,'D-1 Off Site Habitat Baseline'!$D$1:$O$258,3,FALSE))))</f>
        <v/>
      </c>
      <c r="C214" s="31" t="str">
        <f>IFERROR(INDEX('G-8 Condition Look up'!$I$4:$I$130,MATCH(S214,'G-8 Condition Look up'!$A$4:$A$130,0)),"")</f>
        <v/>
      </c>
      <c r="E214" s="547" t="str">
        <f>'D-1 Off Site Habitat Baseline'!AL213</f>
        <v/>
      </c>
      <c r="F214" s="520" t="str">
        <f>IF(E214="","",IF(ISNA(VLOOKUP($E214,'D-1 Off Site Habitat Baseline'!$D$1:$O$258,4,FALSE)),"",(VLOOKUP($E214,'D-1 Off Site Habitat Baseline'!$D$1:$O$258,4,FALSE))))</f>
        <v/>
      </c>
      <c r="G214" s="520" t="str">
        <f>IF(E214="","",IF(ISNA(VLOOKUP($E214,'D-1 Off Site Habitat Baseline'!$D$1:$O$258,5,FALSE)),"",(VLOOKUP($E214,'D-1 Off Site Habitat Baseline'!$D$1:$O$258,5,FALSE))))</f>
        <v/>
      </c>
      <c r="H214" s="520" t="str">
        <f>IF(E214="","",IF(ISNA(VLOOKUP($E214,'D-1 Off Site Habitat Baseline'!$D$1:$O$258,6,FALSE)),"",(VLOOKUP($E214,'D-1 Off Site Habitat Baseline'!$D$1:$O$258,6,FALSE))))</f>
        <v/>
      </c>
      <c r="I214" s="520" t="str">
        <f>IF(E214="","",IF(ISNA(VLOOKUP($E214,'D-1 Off Site Habitat Baseline'!$D$1:$O$258,7,FALSE)),"",(VLOOKUP($E214,'D-1 Off Site Habitat Baseline'!$D$1:$O$258,7,FALSE))))</f>
        <v/>
      </c>
      <c r="J214" s="520" t="str">
        <f>IF(E214="","",IF(ISNA(VLOOKUP($E214,'D-1 Off Site Habitat Baseline'!$D$1:$O$258,8,FALSE)),"",(VLOOKUP($E214,'D-1 Off Site Habitat Baseline'!$D$1:$O$258,8,FALSE))))</f>
        <v/>
      </c>
      <c r="K214" s="520" t="str">
        <f>IF(E214="","",IF(ISNA(VLOOKUP($E214,'D-1 Off Site Habitat Baseline'!$D$1:$O$258,9,FALSE)),"",(VLOOKUP($E214,'D-1 Off Site Habitat Baseline'!$D$1:$O$258,9,FALSE))))</f>
        <v/>
      </c>
      <c r="L214" s="520" t="str">
        <f>IF(E214="","",IF(ISNA(VLOOKUP($E214,'D-1 Off Site Habitat Baseline'!$D$1:$O$258,11,FALSE)),"",(VLOOKUP($E214,'D-1 Off Site Habitat Baseline'!$D$1:$O$258,11,FALSE))))</f>
        <v/>
      </c>
      <c r="M214" s="520" t="str">
        <f>IF(E214="","",IF(ISNA(VLOOKUP($E214,'D-1 Off Site Habitat Baseline'!$D$1:$O$258,12,FALSE)),"",(VLOOKUP($E214,'D-1 Off Site Habitat Baseline'!$D$1:$O$258,12,FALSE))))</f>
        <v/>
      </c>
      <c r="N214" s="520" t="str">
        <f>IF(E214="","",IF(ISNA(VLOOKUP($E214,'D-1 Off Site Habitat Baseline'!$D$1:$X$258,14,FALSE)),"",(VLOOKUP($E214,'D-1 Off Site Habitat Baseline'!$D$1:$X$258,14,FALSE))))</f>
        <v/>
      </c>
      <c r="O214" s="524" t="str">
        <f>IF(E214="","",IF(ISNA(VLOOKUP($E214,'D-1 Off Site Habitat Baseline'!$D$1:$X$258,13,FALSE)),"",(VLOOKUP($E214,'D-1 Off Site Habitat Baseline'!$D$1:$X$258,13,FALSE))))</f>
        <v/>
      </c>
      <c r="P214" s="232" t="str">
        <f>IFERROR(INDEX('G-1 All Habitats'!$AG$3:$AG$15,MATCH(Q214,'G-1 All Habitats'!$AF$3:$AF$15,0)),"")</f>
        <v/>
      </c>
      <c r="Q214" s="228" t="str">
        <f t="shared" si="45"/>
        <v/>
      </c>
      <c r="R214" s="229" t="str">
        <f t="shared" si="46"/>
        <v/>
      </c>
      <c r="S214" s="233" t="str">
        <f>IFERROR(INDEX('G-1 All Habitats'!$B$3:$B$129,MATCH(R214,'G-1 All Habitats'!$A$3:$A$129,0)),"")</f>
        <v/>
      </c>
      <c r="T214" s="507" t="str">
        <f t="shared" si="38"/>
        <v/>
      </c>
      <c r="U214" s="524" t="str">
        <f t="shared" si="39"/>
        <v/>
      </c>
      <c r="V214" s="523" t="str">
        <f t="shared" si="36"/>
        <v/>
      </c>
      <c r="W214" s="520" t="str">
        <f>IF(S214="","",VLOOKUP(S214,'G-1 All Habitats'!$B$2:$M$129,10,FALSE))</f>
        <v/>
      </c>
      <c r="X214" s="520" t="str">
        <f>IFERROR(VLOOKUP(W214,'G-1 All Habitats'!$V$3:$W$7,2,FALSE),"")</f>
        <v/>
      </c>
      <c r="Y214" s="203"/>
      <c r="Z214" s="524" t="str">
        <f>IFERROR(INDEX('G-8 Condition Look up'!$A$3:$H$130,MATCH(S214,'G-8 Condition Look up'!$A$3:$A$130,0),MATCH(Y214,'G-8 Condition Look up'!$A$3:$H$3,0)),"")</f>
        <v/>
      </c>
      <c r="AA214" s="145"/>
      <c r="AB214" s="540" t="str">
        <f>IF(AA214="","",IF(VLOOKUP(AA214,'G-3 Multipliers'!$L$3:$N$6,2,FALSE)=0,"Spatial Data Missing ⚠",VLOOKUP(AA214,'G-3 Multipliers'!$L$3:$N$6,2,FALSE)))</f>
        <v/>
      </c>
      <c r="AC214" s="524" t="str">
        <f>IF(AA214="","",IF(VLOOKUP(AA214,'G-3 Multipliers'!$L$3:$N$6,3,FALSE)=0,"Spatial Data Missing ⚠",VLOOKUP(AA214,'G-3 Multipliers'!$L$3:$N$6,3,FALSE)))</f>
        <v/>
      </c>
      <c r="AD214" s="537" t="str">
        <f t="shared" si="37"/>
        <v/>
      </c>
      <c r="AE214" s="203"/>
      <c r="AF214" s="203"/>
      <c r="AG214" s="520" t="str">
        <f t="shared" si="40"/>
        <v/>
      </c>
      <c r="AH214" s="544" t="str">
        <f t="shared" si="41"/>
        <v/>
      </c>
      <c r="AI214" s="525" t="str">
        <f>IF(AH214="Check Data ⚠","Check Data ⚠",IFERROR(VLOOKUP(AH214,'G-4 Temporal multipliers'!$A$4:$C$36,3,FALSE),""))</f>
        <v/>
      </c>
      <c r="AJ214" s="537" t="str">
        <f>IF(S214="","",VLOOKUP(S214,'G-3 Multipliers'!$A$2:$E$129,4,FALSE))</f>
        <v/>
      </c>
      <c r="AK214" s="520" t="str">
        <f t="shared" si="42"/>
        <v/>
      </c>
      <c r="AL214" s="520" t="str">
        <f t="shared" si="43"/>
        <v/>
      </c>
      <c r="AM214" s="524" t="str">
        <f>IFERROR(IF(F214="","",IF(AH214="Check Data ⚠","Check Data ⚠",VLOOKUP(AL214, 'G-3 Multipliers'!$P$2:$Q$6,2,FALSE))),"")</f>
        <v/>
      </c>
      <c r="AN214" s="197"/>
      <c r="AO214" s="540" t="str">
        <f>IF(AN214="","",IF(VLOOKUP(AN214,'G-3 Multipliers'!$S$3:$T$9,2,FALSE)=0,"Spatial Data Missing ⚠",VLOOKUP(AN214,'G-3 Multipliers'!$S$3:$T$9,2,FALSE)))</f>
        <v/>
      </c>
      <c r="AP214" s="513" t="str">
        <f t="shared" si="44"/>
        <v/>
      </c>
      <c r="AQ214" s="231"/>
      <c r="AR214" s="150"/>
    </row>
    <row r="215" spans="1:44" x14ac:dyDescent="0.3">
      <c r="A215" s="31" t="str">
        <f>IF(E215="","",IF(ISNA(VLOOKUP($E215,'D-1 Off Site Habitat Baseline'!$D$1:$O$258,2,FALSE)),"",(VLOOKUP($E215,'D-1 Off Site Habitat Baseline'!$D$1:$O$258,2,FALSE))))</f>
        <v/>
      </c>
      <c r="B215" s="31" t="str">
        <f>IF(E215="","",IF(ISNA(VLOOKUP($E215,'D-1 Off Site Habitat Baseline'!$D$1:$O$258,3,FALSE)),"",(VLOOKUP($E215,'D-1 Off Site Habitat Baseline'!$D$1:$O$258,3,FALSE))))</f>
        <v/>
      </c>
      <c r="C215" s="31" t="str">
        <f>IFERROR(INDEX('G-8 Condition Look up'!$I$4:$I$130,MATCH(S215,'G-8 Condition Look up'!$A$4:$A$130,0)),"")</f>
        <v/>
      </c>
      <c r="E215" s="547" t="str">
        <f>'D-1 Off Site Habitat Baseline'!AL214</f>
        <v/>
      </c>
      <c r="F215" s="520" t="str">
        <f>IF(E215="","",IF(ISNA(VLOOKUP($E215,'D-1 Off Site Habitat Baseline'!$D$1:$O$258,4,FALSE)),"",(VLOOKUP($E215,'D-1 Off Site Habitat Baseline'!$D$1:$O$258,4,FALSE))))</f>
        <v/>
      </c>
      <c r="G215" s="520" t="str">
        <f>IF(E215="","",IF(ISNA(VLOOKUP($E215,'D-1 Off Site Habitat Baseline'!$D$1:$O$258,5,FALSE)),"",(VLOOKUP($E215,'D-1 Off Site Habitat Baseline'!$D$1:$O$258,5,FALSE))))</f>
        <v/>
      </c>
      <c r="H215" s="520" t="str">
        <f>IF(E215="","",IF(ISNA(VLOOKUP($E215,'D-1 Off Site Habitat Baseline'!$D$1:$O$258,6,FALSE)),"",(VLOOKUP($E215,'D-1 Off Site Habitat Baseline'!$D$1:$O$258,6,FALSE))))</f>
        <v/>
      </c>
      <c r="I215" s="520" t="str">
        <f>IF(E215="","",IF(ISNA(VLOOKUP($E215,'D-1 Off Site Habitat Baseline'!$D$1:$O$258,7,FALSE)),"",(VLOOKUP($E215,'D-1 Off Site Habitat Baseline'!$D$1:$O$258,7,FALSE))))</f>
        <v/>
      </c>
      <c r="J215" s="520" t="str">
        <f>IF(E215="","",IF(ISNA(VLOOKUP($E215,'D-1 Off Site Habitat Baseline'!$D$1:$O$258,8,FALSE)),"",(VLOOKUP($E215,'D-1 Off Site Habitat Baseline'!$D$1:$O$258,8,FALSE))))</f>
        <v/>
      </c>
      <c r="K215" s="520" t="str">
        <f>IF(E215="","",IF(ISNA(VLOOKUP($E215,'D-1 Off Site Habitat Baseline'!$D$1:$O$258,9,FALSE)),"",(VLOOKUP($E215,'D-1 Off Site Habitat Baseline'!$D$1:$O$258,9,FALSE))))</f>
        <v/>
      </c>
      <c r="L215" s="520" t="str">
        <f>IF(E215="","",IF(ISNA(VLOOKUP($E215,'D-1 Off Site Habitat Baseline'!$D$1:$O$258,11,FALSE)),"",(VLOOKUP($E215,'D-1 Off Site Habitat Baseline'!$D$1:$O$258,11,FALSE))))</f>
        <v/>
      </c>
      <c r="M215" s="520" t="str">
        <f>IF(E215="","",IF(ISNA(VLOOKUP($E215,'D-1 Off Site Habitat Baseline'!$D$1:$O$258,12,FALSE)),"",(VLOOKUP($E215,'D-1 Off Site Habitat Baseline'!$D$1:$O$258,12,FALSE))))</f>
        <v/>
      </c>
      <c r="N215" s="520" t="str">
        <f>IF(E215="","",IF(ISNA(VLOOKUP($E215,'D-1 Off Site Habitat Baseline'!$D$1:$X$258,14,FALSE)),"",(VLOOKUP($E215,'D-1 Off Site Habitat Baseline'!$D$1:$X$258,14,FALSE))))</f>
        <v/>
      </c>
      <c r="O215" s="524" t="str">
        <f>IF(E215="","",IF(ISNA(VLOOKUP($E215,'D-1 Off Site Habitat Baseline'!$D$1:$X$258,13,FALSE)),"",(VLOOKUP($E215,'D-1 Off Site Habitat Baseline'!$D$1:$X$258,13,FALSE))))</f>
        <v/>
      </c>
      <c r="P215" s="232" t="str">
        <f>IFERROR(INDEX('G-1 All Habitats'!$AG$3:$AG$15,MATCH(Q215,'G-1 All Habitats'!$AF$3:$AF$15,0)),"")</f>
        <v/>
      </c>
      <c r="Q215" s="228" t="str">
        <f t="shared" si="45"/>
        <v/>
      </c>
      <c r="R215" s="229" t="str">
        <f t="shared" si="46"/>
        <v/>
      </c>
      <c r="S215" s="233" t="str">
        <f>IFERROR(INDEX('G-1 All Habitats'!$B$3:$B$129,MATCH(R215,'G-1 All Habitats'!$A$3:$A$129,0)),"")</f>
        <v/>
      </c>
      <c r="T215" s="507" t="str">
        <f t="shared" si="38"/>
        <v/>
      </c>
      <c r="U215" s="524" t="str">
        <f t="shared" si="39"/>
        <v/>
      </c>
      <c r="V215" s="523" t="str">
        <f t="shared" si="36"/>
        <v/>
      </c>
      <c r="W215" s="520" t="str">
        <f>IF(S215="","",VLOOKUP(S215,'G-1 All Habitats'!$B$2:$M$129,10,FALSE))</f>
        <v/>
      </c>
      <c r="X215" s="520" t="str">
        <f>IFERROR(VLOOKUP(W215,'G-1 All Habitats'!$V$3:$W$7,2,FALSE),"")</f>
        <v/>
      </c>
      <c r="Y215" s="203"/>
      <c r="Z215" s="524" t="str">
        <f>IFERROR(INDEX('G-8 Condition Look up'!$A$3:$H$130,MATCH(S215,'G-8 Condition Look up'!$A$3:$A$130,0),MATCH(Y215,'G-8 Condition Look up'!$A$3:$H$3,0)),"")</f>
        <v/>
      </c>
      <c r="AA215" s="145"/>
      <c r="AB215" s="540" t="str">
        <f>IF(AA215="","",IF(VLOOKUP(AA215,'G-3 Multipliers'!$L$3:$N$6,2,FALSE)=0,"Spatial Data Missing ⚠",VLOOKUP(AA215,'G-3 Multipliers'!$L$3:$N$6,2,FALSE)))</f>
        <v/>
      </c>
      <c r="AC215" s="524" t="str">
        <f>IF(AA215="","",IF(VLOOKUP(AA215,'G-3 Multipliers'!$L$3:$N$6,3,FALSE)=0,"Spatial Data Missing ⚠",VLOOKUP(AA215,'G-3 Multipliers'!$L$3:$N$6,3,FALSE)))</f>
        <v/>
      </c>
      <c r="AD215" s="537" t="str">
        <f t="shared" si="37"/>
        <v/>
      </c>
      <c r="AE215" s="203"/>
      <c r="AF215" s="203"/>
      <c r="AG215" s="520" t="str">
        <f t="shared" si="40"/>
        <v/>
      </c>
      <c r="AH215" s="544" t="str">
        <f t="shared" si="41"/>
        <v/>
      </c>
      <c r="AI215" s="525" t="str">
        <f>IF(AH215="Check Data ⚠","Check Data ⚠",IFERROR(VLOOKUP(AH215,'G-4 Temporal multipliers'!$A$4:$C$36,3,FALSE),""))</f>
        <v/>
      </c>
      <c r="AJ215" s="537" t="str">
        <f>IF(S215="","",VLOOKUP(S215,'G-3 Multipliers'!$A$2:$E$129,4,FALSE))</f>
        <v/>
      </c>
      <c r="AK215" s="520" t="str">
        <f t="shared" si="42"/>
        <v/>
      </c>
      <c r="AL215" s="520" t="str">
        <f t="shared" si="43"/>
        <v/>
      </c>
      <c r="AM215" s="524" t="str">
        <f>IFERROR(IF(F215="","",IF(AH215="Check Data ⚠","Check Data ⚠",VLOOKUP(AL215, 'G-3 Multipliers'!$P$2:$Q$6,2,FALSE))),"")</f>
        <v/>
      </c>
      <c r="AN215" s="197"/>
      <c r="AO215" s="540" t="str">
        <f>IF(AN215="","",IF(VLOOKUP(AN215,'G-3 Multipliers'!$S$3:$T$9,2,FALSE)=0,"Spatial Data Missing ⚠",VLOOKUP(AN215,'G-3 Multipliers'!$S$3:$T$9,2,FALSE)))</f>
        <v/>
      </c>
      <c r="AP215" s="513" t="str">
        <f t="shared" si="44"/>
        <v/>
      </c>
      <c r="AQ215" s="231"/>
      <c r="AR215" s="150"/>
    </row>
    <row r="216" spans="1:44" x14ac:dyDescent="0.3">
      <c r="A216" s="31" t="str">
        <f>IF(E216="","",IF(ISNA(VLOOKUP($E216,'D-1 Off Site Habitat Baseline'!$D$1:$O$258,2,FALSE)),"",(VLOOKUP($E216,'D-1 Off Site Habitat Baseline'!$D$1:$O$258,2,FALSE))))</f>
        <v/>
      </c>
      <c r="B216" s="31" t="str">
        <f>IF(E216="","",IF(ISNA(VLOOKUP($E216,'D-1 Off Site Habitat Baseline'!$D$1:$O$258,3,FALSE)),"",(VLOOKUP($E216,'D-1 Off Site Habitat Baseline'!$D$1:$O$258,3,FALSE))))</f>
        <v/>
      </c>
      <c r="C216" s="31" t="str">
        <f>IFERROR(INDEX('G-8 Condition Look up'!$I$4:$I$130,MATCH(S216,'G-8 Condition Look up'!$A$4:$A$130,0)),"")</f>
        <v/>
      </c>
      <c r="E216" s="547" t="str">
        <f>'D-1 Off Site Habitat Baseline'!AL215</f>
        <v/>
      </c>
      <c r="F216" s="520" t="str">
        <f>IF(E216="","",IF(ISNA(VLOOKUP($E216,'D-1 Off Site Habitat Baseline'!$D$1:$O$258,4,FALSE)),"",(VLOOKUP($E216,'D-1 Off Site Habitat Baseline'!$D$1:$O$258,4,FALSE))))</f>
        <v/>
      </c>
      <c r="G216" s="520" t="str">
        <f>IF(E216="","",IF(ISNA(VLOOKUP($E216,'D-1 Off Site Habitat Baseline'!$D$1:$O$258,5,FALSE)),"",(VLOOKUP($E216,'D-1 Off Site Habitat Baseline'!$D$1:$O$258,5,FALSE))))</f>
        <v/>
      </c>
      <c r="H216" s="520" t="str">
        <f>IF(E216="","",IF(ISNA(VLOOKUP($E216,'D-1 Off Site Habitat Baseline'!$D$1:$O$258,6,FALSE)),"",(VLOOKUP($E216,'D-1 Off Site Habitat Baseline'!$D$1:$O$258,6,FALSE))))</f>
        <v/>
      </c>
      <c r="I216" s="520" t="str">
        <f>IF(E216="","",IF(ISNA(VLOOKUP($E216,'D-1 Off Site Habitat Baseline'!$D$1:$O$258,7,FALSE)),"",(VLOOKUP($E216,'D-1 Off Site Habitat Baseline'!$D$1:$O$258,7,FALSE))))</f>
        <v/>
      </c>
      <c r="J216" s="520" t="str">
        <f>IF(E216="","",IF(ISNA(VLOOKUP($E216,'D-1 Off Site Habitat Baseline'!$D$1:$O$258,8,FALSE)),"",(VLOOKUP($E216,'D-1 Off Site Habitat Baseline'!$D$1:$O$258,8,FALSE))))</f>
        <v/>
      </c>
      <c r="K216" s="520" t="str">
        <f>IF(E216="","",IF(ISNA(VLOOKUP($E216,'D-1 Off Site Habitat Baseline'!$D$1:$O$258,9,FALSE)),"",(VLOOKUP($E216,'D-1 Off Site Habitat Baseline'!$D$1:$O$258,9,FALSE))))</f>
        <v/>
      </c>
      <c r="L216" s="520" t="str">
        <f>IF(E216="","",IF(ISNA(VLOOKUP($E216,'D-1 Off Site Habitat Baseline'!$D$1:$O$258,11,FALSE)),"",(VLOOKUP($E216,'D-1 Off Site Habitat Baseline'!$D$1:$O$258,11,FALSE))))</f>
        <v/>
      </c>
      <c r="M216" s="520" t="str">
        <f>IF(E216="","",IF(ISNA(VLOOKUP($E216,'D-1 Off Site Habitat Baseline'!$D$1:$O$258,12,FALSE)),"",(VLOOKUP($E216,'D-1 Off Site Habitat Baseline'!$D$1:$O$258,12,FALSE))))</f>
        <v/>
      </c>
      <c r="N216" s="520" t="str">
        <f>IF(E216="","",IF(ISNA(VLOOKUP($E216,'D-1 Off Site Habitat Baseline'!$D$1:$X$258,14,FALSE)),"",(VLOOKUP($E216,'D-1 Off Site Habitat Baseline'!$D$1:$X$258,14,FALSE))))</f>
        <v/>
      </c>
      <c r="O216" s="524" t="str">
        <f>IF(E216="","",IF(ISNA(VLOOKUP($E216,'D-1 Off Site Habitat Baseline'!$D$1:$X$258,13,FALSE)),"",(VLOOKUP($E216,'D-1 Off Site Habitat Baseline'!$D$1:$X$258,13,FALSE))))</f>
        <v/>
      </c>
      <c r="P216" s="232" t="str">
        <f>IFERROR(INDEX('G-1 All Habitats'!$AG$3:$AG$15,MATCH(Q216,'G-1 All Habitats'!$AF$3:$AF$15,0)),"")</f>
        <v/>
      </c>
      <c r="Q216" s="228" t="str">
        <f t="shared" si="45"/>
        <v/>
      </c>
      <c r="R216" s="229" t="str">
        <f t="shared" si="46"/>
        <v/>
      </c>
      <c r="S216" s="233" t="str">
        <f>IFERROR(INDEX('G-1 All Habitats'!$B$3:$B$129,MATCH(R216,'G-1 All Habitats'!$A$3:$A$129,0)),"")</f>
        <v/>
      </c>
      <c r="T216" s="507" t="str">
        <f t="shared" si="38"/>
        <v/>
      </c>
      <c r="U216" s="524" t="str">
        <f t="shared" si="39"/>
        <v/>
      </c>
      <c r="V216" s="523" t="str">
        <f t="shared" si="36"/>
        <v/>
      </c>
      <c r="W216" s="520" t="str">
        <f>IF(S216="","",VLOOKUP(S216,'G-1 All Habitats'!$B$2:$M$129,10,FALSE))</f>
        <v/>
      </c>
      <c r="X216" s="520" t="str">
        <f>IFERROR(VLOOKUP(W216,'G-1 All Habitats'!$V$3:$W$7,2,FALSE),"")</f>
        <v/>
      </c>
      <c r="Y216" s="203"/>
      <c r="Z216" s="524" t="str">
        <f>IFERROR(INDEX('G-8 Condition Look up'!$A$3:$H$130,MATCH(S216,'G-8 Condition Look up'!$A$3:$A$130,0),MATCH(Y216,'G-8 Condition Look up'!$A$3:$H$3,0)),"")</f>
        <v/>
      </c>
      <c r="AA216" s="145"/>
      <c r="AB216" s="540" t="str">
        <f>IF(AA216="","",IF(VLOOKUP(AA216,'G-3 Multipliers'!$L$3:$N$6,2,FALSE)=0,"Spatial Data Missing ⚠",VLOOKUP(AA216,'G-3 Multipliers'!$L$3:$N$6,2,FALSE)))</f>
        <v/>
      </c>
      <c r="AC216" s="524" t="str">
        <f>IF(AA216="","",IF(VLOOKUP(AA216,'G-3 Multipliers'!$L$3:$N$6,3,FALSE)=0,"Spatial Data Missing ⚠",VLOOKUP(AA216,'G-3 Multipliers'!$L$3:$N$6,3,FALSE)))</f>
        <v/>
      </c>
      <c r="AD216" s="537" t="str">
        <f t="shared" si="37"/>
        <v/>
      </c>
      <c r="AE216" s="203"/>
      <c r="AF216" s="203"/>
      <c r="AG216" s="520" t="str">
        <f t="shared" si="40"/>
        <v/>
      </c>
      <c r="AH216" s="544" t="str">
        <f t="shared" si="41"/>
        <v/>
      </c>
      <c r="AI216" s="525" t="str">
        <f>IF(AH216="Check Data ⚠","Check Data ⚠",IFERROR(VLOOKUP(AH216,'G-4 Temporal multipliers'!$A$4:$C$36,3,FALSE),""))</f>
        <v/>
      </c>
      <c r="AJ216" s="537" t="str">
        <f>IF(S216="","",VLOOKUP(S216,'G-3 Multipliers'!$A$2:$E$129,4,FALSE))</f>
        <v/>
      </c>
      <c r="AK216" s="520" t="str">
        <f t="shared" si="42"/>
        <v/>
      </c>
      <c r="AL216" s="520" t="str">
        <f t="shared" si="43"/>
        <v/>
      </c>
      <c r="AM216" s="524" t="str">
        <f>IFERROR(IF(F216="","",IF(AH216="Check Data ⚠","Check Data ⚠",VLOOKUP(AL216, 'G-3 Multipliers'!$P$2:$Q$6,2,FALSE))),"")</f>
        <v/>
      </c>
      <c r="AN216" s="197"/>
      <c r="AO216" s="540" t="str">
        <f>IF(AN216="","",IF(VLOOKUP(AN216,'G-3 Multipliers'!$S$3:$T$9,2,FALSE)=0,"Spatial Data Missing ⚠",VLOOKUP(AN216,'G-3 Multipliers'!$S$3:$T$9,2,FALSE)))</f>
        <v/>
      </c>
      <c r="AP216" s="513" t="str">
        <f t="shared" si="44"/>
        <v/>
      </c>
      <c r="AQ216" s="231"/>
      <c r="AR216" s="150"/>
    </row>
    <row r="217" spans="1:44" x14ac:dyDescent="0.3">
      <c r="A217" s="31" t="str">
        <f>IF(E217="","",IF(ISNA(VLOOKUP($E217,'D-1 Off Site Habitat Baseline'!$D$1:$O$258,2,FALSE)),"",(VLOOKUP($E217,'D-1 Off Site Habitat Baseline'!$D$1:$O$258,2,FALSE))))</f>
        <v/>
      </c>
      <c r="B217" s="31" t="str">
        <f>IF(E217="","",IF(ISNA(VLOOKUP($E217,'D-1 Off Site Habitat Baseline'!$D$1:$O$258,3,FALSE)),"",(VLOOKUP($E217,'D-1 Off Site Habitat Baseline'!$D$1:$O$258,3,FALSE))))</f>
        <v/>
      </c>
      <c r="C217" s="31" t="str">
        <f>IFERROR(INDEX('G-8 Condition Look up'!$I$4:$I$130,MATCH(S217,'G-8 Condition Look up'!$A$4:$A$130,0)),"")</f>
        <v/>
      </c>
      <c r="E217" s="547" t="str">
        <f>'D-1 Off Site Habitat Baseline'!AL216</f>
        <v/>
      </c>
      <c r="F217" s="520" t="str">
        <f>IF(E217="","",IF(ISNA(VLOOKUP($E217,'D-1 Off Site Habitat Baseline'!$D$1:$O$258,4,FALSE)),"",(VLOOKUP($E217,'D-1 Off Site Habitat Baseline'!$D$1:$O$258,4,FALSE))))</f>
        <v/>
      </c>
      <c r="G217" s="520" t="str">
        <f>IF(E217="","",IF(ISNA(VLOOKUP($E217,'D-1 Off Site Habitat Baseline'!$D$1:$O$258,5,FALSE)),"",(VLOOKUP($E217,'D-1 Off Site Habitat Baseline'!$D$1:$O$258,5,FALSE))))</f>
        <v/>
      </c>
      <c r="H217" s="520" t="str">
        <f>IF(E217="","",IF(ISNA(VLOOKUP($E217,'D-1 Off Site Habitat Baseline'!$D$1:$O$258,6,FALSE)),"",(VLOOKUP($E217,'D-1 Off Site Habitat Baseline'!$D$1:$O$258,6,FALSE))))</f>
        <v/>
      </c>
      <c r="I217" s="520" t="str">
        <f>IF(E217="","",IF(ISNA(VLOOKUP($E217,'D-1 Off Site Habitat Baseline'!$D$1:$O$258,7,FALSE)),"",(VLOOKUP($E217,'D-1 Off Site Habitat Baseline'!$D$1:$O$258,7,FALSE))))</f>
        <v/>
      </c>
      <c r="J217" s="520" t="str">
        <f>IF(E217="","",IF(ISNA(VLOOKUP($E217,'D-1 Off Site Habitat Baseline'!$D$1:$O$258,8,FALSE)),"",(VLOOKUP($E217,'D-1 Off Site Habitat Baseline'!$D$1:$O$258,8,FALSE))))</f>
        <v/>
      </c>
      <c r="K217" s="520" t="str">
        <f>IF(E217="","",IF(ISNA(VLOOKUP($E217,'D-1 Off Site Habitat Baseline'!$D$1:$O$258,9,FALSE)),"",(VLOOKUP($E217,'D-1 Off Site Habitat Baseline'!$D$1:$O$258,9,FALSE))))</f>
        <v/>
      </c>
      <c r="L217" s="520" t="str">
        <f>IF(E217="","",IF(ISNA(VLOOKUP($E217,'D-1 Off Site Habitat Baseline'!$D$1:$O$258,11,FALSE)),"",(VLOOKUP($E217,'D-1 Off Site Habitat Baseline'!$D$1:$O$258,11,FALSE))))</f>
        <v/>
      </c>
      <c r="M217" s="520" t="str">
        <f>IF(E217="","",IF(ISNA(VLOOKUP($E217,'D-1 Off Site Habitat Baseline'!$D$1:$O$258,12,FALSE)),"",(VLOOKUP($E217,'D-1 Off Site Habitat Baseline'!$D$1:$O$258,12,FALSE))))</f>
        <v/>
      </c>
      <c r="N217" s="520" t="str">
        <f>IF(E217="","",IF(ISNA(VLOOKUP($E217,'D-1 Off Site Habitat Baseline'!$D$1:$X$258,14,FALSE)),"",(VLOOKUP($E217,'D-1 Off Site Habitat Baseline'!$D$1:$X$258,14,FALSE))))</f>
        <v/>
      </c>
      <c r="O217" s="524" t="str">
        <f>IF(E217="","",IF(ISNA(VLOOKUP($E217,'D-1 Off Site Habitat Baseline'!$D$1:$X$258,13,FALSE)),"",(VLOOKUP($E217,'D-1 Off Site Habitat Baseline'!$D$1:$X$258,13,FALSE))))</f>
        <v/>
      </c>
      <c r="P217" s="232" t="str">
        <f>IFERROR(INDEX('G-1 All Habitats'!$AG$3:$AG$15,MATCH(Q217,'G-1 All Habitats'!$AF$3:$AF$15,0)),"")</f>
        <v/>
      </c>
      <c r="Q217" s="228" t="str">
        <f t="shared" si="45"/>
        <v/>
      </c>
      <c r="R217" s="229" t="str">
        <f t="shared" si="46"/>
        <v/>
      </c>
      <c r="S217" s="233" t="str">
        <f>IFERROR(INDEX('G-1 All Habitats'!$B$3:$B$129,MATCH(R217,'G-1 All Habitats'!$A$3:$A$129,0)),"")</f>
        <v/>
      </c>
      <c r="T217" s="507" t="str">
        <f t="shared" si="38"/>
        <v/>
      </c>
      <c r="U217" s="524" t="str">
        <f t="shared" si="39"/>
        <v/>
      </c>
      <c r="V217" s="523" t="str">
        <f t="shared" si="36"/>
        <v/>
      </c>
      <c r="W217" s="520" t="str">
        <f>IF(S217="","",VLOOKUP(S217,'G-1 All Habitats'!$B$2:$M$129,10,FALSE))</f>
        <v/>
      </c>
      <c r="X217" s="520" t="str">
        <f>IFERROR(VLOOKUP(W217,'G-1 All Habitats'!$V$3:$W$7,2,FALSE),"")</f>
        <v/>
      </c>
      <c r="Y217" s="203"/>
      <c r="Z217" s="524" t="str">
        <f>IFERROR(INDEX('G-8 Condition Look up'!$A$3:$H$130,MATCH(S217,'G-8 Condition Look up'!$A$3:$A$130,0),MATCH(Y217,'G-8 Condition Look up'!$A$3:$H$3,0)),"")</f>
        <v/>
      </c>
      <c r="AA217" s="145"/>
      <c r="AB217" s="540" t="str">
        <f>IF(AA217="","",IF(VLOOKUP(AA217,'G-3 Multipliers'!$L$3:$N$6,2,FALSE)=0,"Spatial Data Missing ⚠",VLOOKUP(AA217,'G-3 Multipliers'!$L$3:$N$6,2,FALSE)))</f>
        <v/>
      </c>
      <c r="AC217" s="524" t="str">
        <f>IF(AA217="","",IF(VLOOKUP(AA217,'G-3 Multipliers'!$L$3:$N$6,3,FALSE)=0,"Spatial Data Missing ⚠",VLOOKUP(AA217,'G-3 Multipliers'!$L$3:$N$6,3,FALSE)))</f>
        <v/>
      </c>
      <c r="AD217" s="537" t="str">
        <f t="shared" si="37"/>
        <v/>
      </c>
      <c r="AE217" s="203"/>
      <c r="AF217" s="203"/>
      <c r="AG217" s="520" t="str">
        <f t="shared" si="40"/>
        <v/>
      </c>
      <c r="AH217" s="544" t="str">
        <f t="shared" si="41"/>
        <v/>
      </c>
      <c r="AI217" s="525" t="str">
        <f>IF(AH217="Check Data ⚠","Check Data ⚠",IFERROR(VLOOKUP(AH217,'G-4 Temporal multipliers'!$A$4:$C$36,3,FALSE),""))</f>
        <v/>
      </c>
      <c r="AJ217" s="537" t="str">
        <f>IF(S217="","",VLOOKUP(S217,'G-3 Multipliers'!$A$2:$E$129,4,FALSE))</f>
        <v/>
      </c>
      <c r="AK217" s="520" t="str">
        <f t="shared" si="42"/>
        <v/>
      </c>
      <c r="AL217" s="520" t="str">
        <f t="shared" si="43"/>
        <v/>
      </c>
      <c r="AM217" s="524" t="str">
        <f>IFERROR(IF(F217="","",IF(AH217="Check Data ⚠","Check Data ⚠",VLOOKUP(AL217, 'G-3 Multipliers'!$P$2:$Q$6,2,FALSE))),"")</f>
        <v/>
      </c>
      <c r="AN217" s="197"/>
      <c r="AO217" s="540" t="str">
        <f>IF(AN217="","",IF(VLOOKUP(AN217,'G-3 Multipliers'!$S$3:$T$9,2,FALSE)=0,"Spatial Data Missing ⚠",VLOOKUP(AN217,'G-3 Multipliers'!$S$3:$T$9,2,FALSE)))</f>
        <v/>
      </c>
      <c r="AP217" s="513" t="str">
        <f t="shared" si="44"/>
        <v/>
      </c>
      <c r="AQ217" s="231"/>
      <c r="AR217" s="150"/>
    </row>
    <row r="218" spans="1:44" x14ac:dyDescent="0.3">
      <c r="A218" s="31" t="str">
        <f>IF(E218="","",IF(ISNA(VLOOKUP($E218,'D-1 Off Site Habitat Baseline'!$D$1:$O$258,2,FALSE)),"",(VLOOKUP($E218,'D-1 Off Site Habitat Baseline'!$D$1:$O$258,2,FALSE))))</f>
        <v/>
      </c>
      <c r="B218" s="31" t="str">
        <f>IF(E218="","",IF(ISNA(VLOOKUP($E218,'D-1 Off Site Habitat Baseline'!$D$1:$O$258,3,FALSE)),"",(VLOOKUP($E218,'D-1 Off Site Habitat Baseline'!$D$1:$O$258,3,FALSE))))</f>
        <v/>
      </c>
      <c r="C218" s="31" t="str">
        <f>IFERROR(INDEX('G-8 Condition Look up'!$I$4:$I$130,MATCH(S218,'G-8 Condition Look up'!$A$4:$A$130,0)),"")</f>
        <v/>
      </c>
      <c r="E218" s="547" t="str">
        <f>'D-1 Off Site Habitat Baseline'!AL217</f>
        <v/>
      </c>
      <c r="F218" s="520" t="str">
        <f>IF(E218="","",IF(ISNA(VLOOKUP($E218,'D-1 Off Site Habitat Baseline'!$D$1:$O$258,4,FALSE)),"",(VLOOKUP($E218,'D-1 Off Site Habitat Baseline'!$D$1:$O$258,4,FALSE))))</f>
        <v/>
      </c>
      <c r="G218" s="520" t="str">
        <f>IF(E218="","",IF(ISNA(VLOOKUP($E218,'D-1 Off Site Habitat Baseline'!$D$1:$O$258,5,FALSE)),"",(VLOOKUP($E218,'D-1 Off Site Habitat Baseline'!$D$1:$O$258,5,FALSE))))</f>
        <v/>
      </c>
      <c r="H218" s="520" t="str">
        <f>IF(E218="","",IF(ISNA(VLOOKUP($E218,'D-1 Off Site Habitat Baseline'!$D$1:$O$258,6,FALSE)),"",(VLOOKUP($E218,'D-1 Off Site Habitat Baseline'!$D$1:$O$258,6,FALSE))))</f>
        <v/>
      </c>
      <c r="I218" s="520" t="str">
        <f>IF(E218="","",IF(ISNA(VLOOKUP($E218,'D-1 Off Site Habitat Baseline'!$D$1:$O$258,7,FALSE)),"",(VLOOKUP($E218,'D-1 Off Site Habitat Baseline'!$D$1:$O$258,7,FALSE))))</f>
        <v/>
      </c>
      <c r="J218" s="520" t="str">
        <f>IF(E218="","",IF(ISNA(VLOOKUP($E218,'D-1 Off Site Habitat Baseline'!$D$1:$O$258,8,FALSE)),"",(VLOOKUP($E218,'D-1 Off Site Habitat Baseline'!$D$1:$O$258,8,FALSE))))</f>
        <v/>
      </c>
      <c r="K218" s="520" t="str">
        <f>IF(E218="","",IF(ISNA(VLOOKUP($E218,'D-1 Off Site Habitat Baseline'!$D$1:$O$258,9,FALSE)),"",(VLOOKUP($E218,'D-1 Off Site Habitat Baseline'!$D$1:$O$258,9,FALSE))))</f>
        <v/>
      </c>
      <c r="L218" s="520" t="str">
        <f>IF(E218="","",IF(ISNA(VLOOKUP($E218,'D-1 Off Site Habitat Baseline'!$D$1:$O$258,11,FALSE)),"",(VLOOKUP($E218,'D-1 Off Site Habitat Baseline'!$D$1:$O$258,11,FALSE))))</f>
        <v/>
      </c>
      <c r="M218" s="520" t="str">
        <f>IF(E218="","",IF(ISNA(VLOOKUP($E218,'D-1 Off Site Habitat Baseline'!$D$1:$O$258,12,FALSE)),"",(VLOOKUP($E218,'D-1 Off Site Habitat Baseline'!$D$1:$O$258,12,FALSE))))</f>
        <v/>
      </c>
      <c r="N218" s="520" t="str">
        <f>IF(E218="","",IF(ISNA(VLOOKUP($E218,'D-1 Off Site Habitat Baseline'!$D$1:$X$258,14,FALSE)),"",(VLOOKUP($E218,'D-1 Off Site Habitat Baseline'!$D$1:$X$258,14,FALSE))))</f>
        <v/>
      </c>
      <c r="O218" s="524" t="str">
        <f>IF(E218="","",IF(ISNA(VLOOKUP($E218,'D-1 Off Site Habitat Baseline'!$D$1:$X$258,13,FALSE)),"",(VLOOKUP($E218,'D-1 Off Site Habitat Baseline'!$D$1:$X$258,13,FALSE))))</f>
        <v/>
      </c>
      <c r="P218" s="232" t="str">
        <f>IFERROR(INDEX('G-1 All Habitats'!$AG$3:$AG$15,MATCH(Q218,'G-1 All Habitats'!$AF$3:$AF$15,0)),"")</f>
        <v/>
      </c>
      <c r="Q218" s="228" t="str">
        <f t="shared" si="45"/>
        <v/>
      </c>
      <c r="R218" s="229" t="str">
        <f t="shared" si="46"/>
        <v/>
      </c>
      <c r="S218" s="233" t="str">
        <f>IFERROR(INDEX('G-1 All Habitats'!$B$3:$B$129,MATCH(R218,'G-1 All Habitats'!$A$3:$A$129,0)),"")</f>
        <v/>
      </c>
      <c r="T218" s="507" t="str">
        <f t="shared" si="38"/>
        <v/>
      </c>
      <c r="U218" s="524" t="str">
        <f t="shared" si="39"/>
        <v/>
      </c>
      <c r="V218" s="523" t="str">
        <f t="shared" si="36"/>
        <v/>
      </c>
      <c r="W218" s="520" t="str">
        <f>IF(S218="","",VLOOKUP(S218,'G-1 All Habitats'!$B$2:$M$129,10,FALSE))</f>
        <v/>
      </c>
      <c r="X218" s="520" t="str">
        <f>IFERROR(VLOOKUP(W218,'G-1 All Habitats'!$V$3:$W$7,2,FALSE),"")</f>
        <v/>
      </c>
      <c r="Y218" s="203"/>
      <c r="Z218" s="524" t="str">
        <f>IFERROR(INDEX('G-8 Condition Look up'!$A$3:$H$130,MATCH(S218,'G-8 Condition Look up'!$A$3:$A$130,0),MATCH(Y218,'G-8 Condition Look up'!$A$3:$H$3,0)),"")</f>
        <v/>
      </c>
      <c r="AA218" s="145"/>
      <c r="AB218" s="540" t="str">
        <f>IF(AA218="","",IF(VLOOKUP(AA218,'G-3 Multipliers'!$L$3:$N$6,2,FALSE)=0,"Spatial Data Missing ⚠",VLOOKUP(AA218,'G-3 Multipliers'!$L$3:$N$6,2,FALSE)))</f>
        <v/>
      </c>
      <c r="AC218" s="524" t="str">
        <f>IF(AA218="","",IF(VLOOKUP(AA218,'G-3 Multipliers'!$L$3:$N$6,3,FALSE)=0,"Spatial Data Missing ⚠",VLOOKUP(AA218,'G-3 Multipliers'!$L$3:$N$6,3,FALSE)))</f>
        <v/>
      </c>
      <c r="AD218" s="537" t="str">
        <f t="shared" si="37"/>
        <v/>
      </c>
      <c r="AE218" s="203"/>
      <c r="AF218" s="203"/>
      <c r="AG218" s="520" t="str">
        <f t="shared" si="40"/>
        <v/>
      </c>
      <c r="AH218" s="544" t="str">
        <f t="shared" si="41"/>
        <v/>
      </c>
      <c r="AI218" s="525" t="str">
        <f>IF(AH218="Check Data ⚠","Check Data ⚠",IFERROR(VLOOKUP(AH218,'G-4 Temporal multipliers'!$A$4:$C$36,3,FALSE),""))</f>
        <v/>
      </c>
      <c r="AJ218" s="537" t="str">
        <f>IF(S218="","",VLOOKUP(S218,'G-3 Multipliers'!$A$2:$E$129,4,FALSE))</f>
        <v/>
      </c>
      <c r="AK218" s="520" t="str">
        <f t="shared" si="42"/>
        <v/>
      </c>
      <c r="AL218" s="520" t="str">
        <f t="shared" si="43"/>
        <v/>
      </c>
      <c r="AM218" s="524" t="str">
        <f>IFERROR(IF(F218="","",IF(AH218="Check Data ⚠","Check Data ⚠",VLOOKUP(AL218, 'G-3 Multipliers'!$P$2:$Q$6,2,FALSE))),"")</f>
        <v/>
      </c>
      <c r="AN218" s="197"/>
      <c r="AO218" s="540" t="str">
        <f>IF(AN218="","",IF(VLOOKUP(AN218,'G-3 Multipliers'!$S$3:$T$9,2,FALSE)=0,"Spatial Data Missing ⚠",VLOOKUP(AN218,'G-3 Multipliers'!$S$3:$T$9,2,FALSE)))</f>
        <v/>
      </c>
      <c r="AP218" s="513" t="str">
        <f t="shared" si="44"/>
        <v/>
      </c>
      <c r="AQ218" s="231"/>
      <c r="AR218" s="150"/>
    </row>
    <row r="219" spans="1:44" x14ac:dyDescent="0.3">
      <c r="A219" s="31" t="str">
        <f>IF(E219="","",IF(ISNA(VLOOKUP($E219,'D-1 Off Site Habitat Baseline'!$D$1:$O$258,2,FALSE)),"",(VLOOKUP($E219,'D-1 Off Site Habitat Baseline'!$D$1:$O$258,2,FALSE))))</f>
        <v/>
      </c>
      <c r="B219" s="31" t="str">
        <f>IF(E219="","",IF(ISNA(VLOOKUP($E219,'D-1 Off Site Habitat Baseline'!$D$1:$O$258,3,FALSE)),"",(VLOOKUP($E219,'D-1 Off Site Habitat Baseline'!$D$1:$O$258,3,FALSE))))</f>
        <v/>
      </c>
      <c r="C219" s="31" t="str">
        <f>IFERROR(INDEX('G-8 Condition Look up'!$I$4:$I$130,MATCH(S219,'G-8 Condition Look up'!$A$4:$A$130,0)),"")</f>
        <v/>
      </c>
      <c r="E219" s="547" t="str">
        <f>'D-1 Off Site Habitat Baseline'!AL218</f>
        <v/>
      </c>
      <c r="F219" s="520" t="str">
        <f>IF(E219="","",IF(ISNA(VLOOKUP($E219,'D-1 Off Site Habitat Baseline'!$D$1:$O$258,4,FALSE)),"",(VLOOKUP($E219,'D-1 Off Site Habitat Baseline'!$D$1:$O$258,4,FALSE))))</f>
        <v/>
      </c>
      <c r="G219" s="520" t="str">
        <f>IF(E219="","",IF(ISNA(VLOOKUP($E219,'D-1 Off Site Habitat Baseline'!$D$1:$O$258,5,FALSE)),"",(VLOOKUP($E219,'D-1 Off Site Habitat Baseline'!$D$1:$O$258,5,FALSE))))</f>
        <v/>
      </c>
      <c r="H219" s="520" t="str">
        <f>IF(E219="","",IF(ISNA(VLOOKUP($E219,'D-1 Off Site Habitat Baseline'!$D$1:$O$258,6,FALSE)),"",(VLOOKUP($E219,'D-1 Off Site Habitat Baseline'!$D$1:$O$258,6,FALSE))))</f>
        <v/>
      </c>
      <c r="I219" s="520" t="str">
        <f>IF(E219="","",IF(ISNA(VLOOKUP($E219,'D-1 Off Site Habitat Baseline'!$D$1:$O$258,7,FALSE)),"",(VLOOKUP($E219,'D-1 Off Site Habitat Baseline'!$D$1:$O$258,7,FALSE))))</f>
        <v/>
      </c>
      <c r="J219" s="520" t="str">
        <f>IF(E219="","",IF(ISNA(VLOOKUP($E219,'D-1 Off Site Habitat Baseline'!$D$1:$O$258,8,FALSE)),"",(VLOOKUP($E219,'D-1 Off Site Habitat Baseline'!$D$1:$O$258,8,FALSE))))</f>
        <v/>
      </c>
      <c r="K219" s="520" t="str">
        <f>IF(E219="","",IF(ISNA(VLOOKUP($E219,'D-1 Off Site Habitat Baseline'!$D$1:$O$258,9,FALSE)),"",(VLOOKUP($E219,'D-1 Off Site Habitat Baseline'!$D$1:$O$258,9,FALSE))))</f>
        <v/>
      </c>
      <c r="L219" s="520" t="str">
        <f>IF(E219="","",IF(ISNA(VLOOKUP($E219,'D-1 Off Site Habitat Baseline'!$D$1:$O$258,11,FALSE)),"",(VLOOKUP($E219,'D-1 Off Site Habitat Baseline'!$D$1:$O$258,11,FALSE))))</f>
        <v/>
      </c>
      <c r="M219" s="520" t="str">
        <f>IF(E219="","",IF(ISNA(VLOOKUP($E219,'D-1 Off Site Habitat Baseline'!$D$1:$O$258,12,FALSE)),"",(VLOOKUP($E219,'D-1 Off Site Habitat Baseline'!$D$1:$O$258,12,FALSE))))</f>
        <v/>
      </c>
      <c r="N219" s="520" t="str">
        <f>IF(E219="","",IF(ISNA(VLOOKUP($E219,'D-1 Off Site Habitat Baseline'!$D$1:$X$258,14,FALSE)),"",(VLOOKUP($E219,'D-1 Off Site Habitat Baseline'!$D$1:$X$258,14,FALSE))))</f>
        <v/>
      </c>
      <c r="O219" s="524" t="str">
        <f>IF(E219="","",IF(ISNA(VLOOKUP($E219,'D-1 Off Site Habitat Baseline'!$D$1:$X$258,13,FALSE)),"",(VLOOKUP($E219,'D-1 Off Site Habitat Baseline'!$D$1:$X$258,13,FALSE))))</f>
        <v/>
      </c>
      <c r="P219" s="232" t="str">
        <f>IFERROR(INDEX('G-1 All Habitats'!$AG$3:$AG$15,MATCH(Q219,'G-1 All Habitats'!$AF$3:$AF$15,0)),"")</f>
        <v/>
      </c>
      <c r="Q219" s="228" t="str">
        <f t="shared" si="45"/>
        <v/>
      </c>
      <c r="R219" s="229" t="str">
        <f t="shared" si="46"/>
        <v/>
      </c>
      <c r="S219" s="233" t="str">
        <f>IFERROR(INDEX('G-1 All Habitats'!$B$3:$B$129,MATCH(R219,'G-1 All Habitats'!$A$3:$A$129,0)),"")</f>
        <v/>
      </c>
      <c r="T219" s="507" t="str">
        <f t="shared" si="38"/>
        <v/>
      </c>
      <c r="U219" s="524" t="str">
        <f t="shared" si="39"/>
        <v/>
      </c>
      <c r="V219" s="523" t="str">
        <f t="shared" si="36"/>
        <v/>
      </c>
      <c r="W219" s="520" t="str">
        <f>IF(S219="","",VLOOKUP(S219,'G-1 All Habitats'!$B$2:$M$129,10,FALSE))</f>
        <v/>
      </c>
      <c r="X219" s="520" t="str">
        <f>IFERROR(VLOOKUP(W219,'G-1 All Habitats'!$V$3:$W$7,2,FALSE),"")</f>
        <v/>
      </c>
      <c r="Y219" s="203"/>
      <c r="Z219" s="524" t="str">
        <f>IFERROR(INDEX('G-8 Condition Look up'!$A$3:$H$130,MATCH(S219,'G-8 Condition Look up'!$A$3:$A$130,0),MATCH(Y219,'G-8 Condition Look up'!$A$3:$H$3,0)),"")</f>
        <v/>
      </c>
      <c r="AA219" s="145"/>
      <c r="AB219" s="540" t="str">
        <f>IF(AA219="","",IF(VLOOKUP(AA219,'G-3 Multipliers'!$L$3:$N$6,2,FALSE)=0,"Spatial Data Missing ⚠",VLOOKUP(AA219,'G-3 Multipliers'!$L$3:$N$6,2,FALSE)))</f>
        <v/>
      </c>
      <c r="AC219" s="524" t="str">
        <f>IF(AA219="","",IF(VLOOKUP(AA219,'G-3 Multipliers'!$L$3:$N$6,3,FALSE)=0,"Spatial Data Missing ⚠",VLOOKUP(AA219,'G-3 Multipliers'!$L$3:$N$6,3,FALSE)))</f>
        <v/>
      </c>
      <c r="AD219" s="537" t="str">
        <f t="shared" si="37"/>
        <v/>
      </c>
      <c r="AE219" s="203"/>
      <c r="AF219" s="203"/>
      <c r="AG219" s="520" t="str">
        <f t="shared" si="40"/>
        <v/>
      </c>
      <c r="AH219" s="544" t="str">
        <f t="shared" si="41"/>
        <v/>
      </c>
      <c r="AI219" s="525" t="str">
        <f>IF(AH219="Check Data ⚠","Check Data ⚠",IFERROR(VLOOKUP(AH219,'G-4 Temporal multipliers'!$A$4:$C$36,3,FALSE),""))</f>
        <v/>
      </c>
      <c r="AJ219" s="537" t="str">
        <f>IF(S219="","",VLOOKUP(S219,'G-3 Multipliers'!$A$2:$E$129,4,FALSE))</f>
        <v/>
      </c>
      <c r="AK219" s="520" t="str">
        <f t="shared" si="42"/>
        <v/>
      </c>
      <c r="AL219" s="520" t="str">
        <f t="shared" si="43"/>
        <v/>
      </c>
      <c r="AM219" s="524" t="str">
        <f>IFERROR(IF(F219="","",IF(AH219="Check Data ⚠","Check Data ⚠",VLOOKUP(AL219, 'G-3 Multipliers'!$P$2:$Q$6,2,FALSE))),"")</f>
        <v/>
      </c>
      <c r="AN219" s="197"/>
      <c r="AO219" s="540" t="str">
        <f>IF(AN219="","",IF(VLOOKUP(AN219,'G-3 Multipliers'!$S$3:$T$9,2,FALSE)=0,"Spatial Data Missing ⚠",VLOOKUP(AN219,'G-3 Multipliers'!$S$3:$T$9,2,FALSE)))</f>
        <v/>
      </c>
      <c r="AP219" s="513" t="str">
        <f t="shared" si="44"/>
        <v/>
      </c>
      <c r="AQ219" s="231"/>
      <c r="AR219" s="150"/>
    </row>
    <row r="220" spans="1:44" x14ac:dyDescent="0.3">
      <c r="A220" s="31" t="str">
        <f>IF(E220="","",IF(ISNA(VLOOKUP($E220,'D-1 Off Site Habitat Baseline'!$D$1:$O$258,2,FALSE)),"",(VLOOKUP($E220,'D-1 Off Site Habitat Baseline'!$D$1:$O$258,2,FALSE))))</f>
        <v/>
      </c>
      <c r="B220" s="31" t="str">
        <f>IF(E220="","",IF(ISNA(VLOOKUP($E220,'D-1 Off Site Habitat Baseline'!$D$1:$O$258,3,FALSE)),"",(VLOOKUP($E220,'D-1 Off Site Habitat Baseline'!$D$1:$O$258,3,FALSE))))</f>
        <v/>
      </c>
      <c r="C220" s="31" t="str">
        <f>IFERROR(INDEX('G-8 Condition Look up'!$I$4:$I$130,MATCH(S220,'G-8 Condition Look up'!$A$4:$A$130,0)),"")</f>
        <v/>
      </c>
      <c r="E220" s="547" t="str">
        <f>'D-1 Off Site Habitat Baseline'!AL219</f>
        <v/>
      </c>
      <c r="F220" s="520" t="str">
        <f>IF(E220="","",IF(ISNA(VLOOKUP($E220,'D-1 Off Site Habitat Baseline'!$D$1:$O$258,4,FALSE)),"",(VLOOKUP($E220,'D-1 Off Site Habitat Baseline'!$D$1:$O$258,4,FALSE))))</f>
        <v/>
      </c>
      <c r="G220" s="520" t="str">
        <f>IF(E220="","",IF(ISNA(VLOOKUP($E220,'D-1 Off Site Habitat Baseline'!$D$1:$O$258,5,FALSE)),"",(VLOOKUP($E220,'D-1 Off Site Habitat Baseline'!$D$1:$O$258,5,FALSE))))</f>
        <v/>
      </c>
      <c r="H220" s="520" t="str">
        <f>IF(E220="","",IF(ISNA(VLOOKUP($E220,'D-1 Off Site Habitat Baseline'!$D$1:$O$258,6,FALSE)),"",(VLOOKUP($E220,'D-1 Off Site Habitat Baseline'!$D$1:$O$258,6,FALSE))))</f>
        <v/>
      </c>
      <c r="I220" s="520" t="str">
        <f>IF(E220="","",IF(ISNA(VLOOKUP($E220,'D-1 Off Site Habitat Baseline'!$D$1:$O$258,7,FALSE)),"",(VLOOKUP($E220,'D-1 Off Site Habitat Baseline'!$D$1:$O$258,7,FALSE))))</f>
        <v/>
      </c>
      <c r="J220" s="520" t="str">
        <f>IF(E220="","",IF(ISNA(VLOOKUP($E220,'D-1 Off Site Habitat Baseline'!$D$1:$O$258,8,FALSE)),"",(VLOOKUP($E220,'D-1 Off Site Habitat Baseline'!$D$1:$O$258,8,FALSE))))</f>
        <v/>
      </c>
      <c r="K220" s="520" t="str">
        <f>IF(E220="","",IF(ISNA(VLOOKUP($E220,'D-1 Off Site Habitat Baseline'!$D$1:$O$258,9,FALSE)),"",(VLOOKUP($E220,'D-1 Off Site Habitat Baseline'!$D$1:$O$258,9,FALSE))))</f>
        <v/>
      </c>
      <c r="L220" s="520" t="str">
        <f>IF(E220="","",IF(ISNA(VLOOKUP($E220,'D-1 Off Site Habitat Baseline'!$D$1:$O$258,11,FALSE)),"",(VLOOKUP($E220,'D-1 Off Site Habitat Baseline'!$D$1:$O$258,11,FALSE))))</f>
        <v/>
      </c>
      <c r="M220" s="520" t="str">
        <f>IF(E220="","",IF(ISNA(VLOOKUP($E220,'D-1 Off Site Habitat Baseline'!$D$1:$O$258,12,FALSE)),"",(VLOOKUP($E220,'D-1 Off Site Habitat Baseline'!$D$1:$O$258,12,FALSE))))</f>
        <v/>
      </c>
      <c r="N220" s="520" t="str">
        <f>IF(E220="","",IF(ISNA(VLOOKUP($E220,'D-1 Off Site Habitat Baseline'!$D$1:$X$258,14,FALSE)),"",(VLOOKUP($E220,'D-1 Off Site Habitat Baseline'!$D$1:$X$258,14,FALSE))))</f>
        <v/>
      </c>
      <c r="O220" s="524" t="str">
        <f>IF(E220="","",IF(ISNA(VLOOKUP($E220,'D-1 Off Site Habitat Baseline'!$D$1:$X$258,13,FALSE)),"",(VLOOKUP($E220,'D-1 Off Site Habitat Baseline'!$D$1:$X$258,13,FALSE))))</f>
        <v/>
      </c>
      <c r="P220" s="232" t="str">
        <f>IFERROR(INDEX('G-1 All Habitats'!$AG$3:$AG$15,MATCH(Q220,'G-1 All Habitats'!$AF$3:$AF$15,0)),"")</f>
        <v/>
      </c>
      <c r="Q220" s="228" t="str">
        <f t="shared" si="45"/>
        <v/>
      </c>
      <c r="R220" s="229" t="str">
        <f t="shared" si="46"/>
        <v/>
      </c>
      <c r="S220" s="233" t="str">
        <f>IFERROR(INDEX('G-1 All Habitats'!$B$3:$B$129,MATCH(R220,'G-1 All Habitats'!$A$3:$A$129,0)),"")</f>
        <v/>
      </c>
      <c r="T220" s="507" t="str">
        <f t="shared" si="38"/>
        <v/>
      </c>
      <c r="U220" s="524" t="str">
        <f t="shared" si="39"/>
        <v/>
      </c>
      <c r="V220" s="523" t="str">
        <f t="shared" si="36"/>
        <v/>
      </c>
      <c r="W220" s="520" t="str">
        <f>IF(S220="","",VLOOKUP(S220,'G-1 All Habitats'!$B$2:$M$129,10,FALSE))</f>
        <v/>
      </c>
      <c r="X220" s="520" t="str">
        <f>IFERROR(VLOOKUP(W220,'G-1 All Habitats'!$V$3:$W$7,2,FALSE),"")</f>
        <v/>
      </c>
      <c r="Y220" s="203"/>
      <c r="Z220" s="524" t="str">
        <f>IFERROR(INDEX('G-8 Condition Look up'!$A$3:$H$130,MATCH(S220,'G-8 Condition Look up'!$A$3:$A$130,0),MATCH(Y220,'G-8 Condition Look up'!$A$3:$H$3,0)),"")</f>
        <v/>
      </c>
      <c r="AA220" s="145"/>
      <c r="AB220" s="540" t="str">
        <f>IF(AA220="","",IF(VLOOKUP(AA220,'G-3 Multipliers'!$L$3:$N$6,2,FALSE)=0,"Spatial Data Missing ⚠",VLOOKUP(AA220,'G-3 Multipliers'!$L$3:$N$6,2,FALSE)))</f>
        <v/>
      </c>
      <c r="AC220" s="524" t="str">
        <f>IF(AA220="","",IF(VLOOKUP(AA220,'G-3 Multipliers'!$L$3:$N$6,3,FALSE)=0,"Spatial Data Missing ⚠",VLOOKUP(AA220,'G-3 Multipliers'!$L$3:$N$6,3,FALSE)))</f>
        <v/>
      </c>
      <c r="AD220" s="537" t="str">
        <f t="shared" si="37"/>
        <v/>
      </c>
      <c r="AE220" s="203"/>
      <c r="AF220" s="203"/>
      <c r="AG220" s="520" t="str">
        <f t="shared" si="40"/>
        <v/>
      </c>
      <c r="AH220" s="544" t="str">
        <f t="shared" si="41"/>
        <v/>
      </c>
      <c r="AI220" s="525" t="str">
        <f>IF(AH220="Check Data ⚠","Check Data ⚠",IFERROR(VLOOKUP(AH220,'G-4 Temporal multipliers'!$A$4:$C$36,3,FALSE),""))</f>
        <v/>
      </c>
      <c r="AJ220" s="537" t="str">
        <f>IF(S220="","",VLOOKUP(S220,'G-3 Multipliers'!$A$2:$E$129,4,FALSE))</f>
        <v/>
      </c>
      <c r="AK220" s="520" t="str">
        <f t="shared" si="42"/>
        <v/>
      </c>
      <c r="AL220" s="520" t="str">
        <f t="shared" si="43"/>
        <v/>
      </c>
      <c r="AM220" s="524" t="str">
        <f>IFERROR(IF(F220="","",IF(AH220="Check Data ⚠","Check Data ⚠",VLOOKUP(AL220, 'G-3 Multipliers'!$P$2:$Q$6,2,FALSE))),"")</f>
        <v/>
      </c>
      <c r="AN220" s="197"/>
      <c r="AO220" s="540" t="str">
        <f>IF(AN220="","",IF(VLOOKUP(AN220,'G-3 Multipliers'!$S$3:$T$9,2,FALSE)=0,"Spatial Data Missing ⚠",VLOOKUP(AN220,'G-3 Multipliers'!$S$3:$T$9,2,FALSE)))</f>
        <v/>
      </c>
      <c r="AP220" s="513" t="str">
        <f t="shared" si="44"/>
        <v/>
      </c>
      <c r="AQ220" s="231"/>
      <c r="AR220" s="150"/>
    </row>
    <row r="221" spans="1:44" x14ac:dyDescent="0.3">
      <c r="A221" s="31" t="str">
        <f>IF(E221="","",IF(ISNA(VLOOKUP($E221,'D-1 Off Site Habitat Baseline'!$D$1:$O$258,2,FALSE)),"",(VLOOKUP($E221,'D-1 Off Site Habitat Baseline'!$D$1:$O$258,2,FALSE))))</f>
        <v/>
      </c>
      <c r="B221" s="31" t="str">
        <f>IF(E221="","",IF(ISNA(VLOOKUP($E221,'D-1 Off Site Habitat Baseline'!$D$1:$O$258,3,FALSE)),"",(VLOOKUP($E221,'D-1 Off Site Habitat Baseline'!$D$1:$O$258,3,FALSE))))</f>
        <v/>
      </c>
      <c r="C221" s="31" t="str">
        <f>IFERROR(INDEX('G-8 Condition Look up'!$I$4:$I$130,MATCH(S221,'G-8 Condition Look up'!$A$4:$A$130,0)),"")</f>
        <v/>
      </c>
      <c r="E221" s="547" t="str">
        <f>'D-1 Off Site Habitat Baseline'!AL220</f>
        <v/>
      </c>
      <c r="F221" s="520" t="str">
        <f>IF(E221="","",IF(ISNA(VLOOKUP($E221,'D-1 Off Site Habitat Baseline'!$D$1:$O$258,4,FALSE)),"",(VLOOKUP($E221,'D-1 Off Site Habitat Baseline'!$D$1:$O$258,4,FALSE))))</f>
        <v/>
      </c>
      <c r="G221" s="520" t="str">
        <f>IF(E221="","",IF(ISNA(VLOOKUP($E221,'D-1 Off Site Habitat Baseline'!$D$1:$O$258,5,FALSE)),"",(VLOOKUP($E221,'D-1 Off Site Habitat Baseline'!$D$1:$O$258,5,FALSE))))</f>
        <v/>
      </c>
      <c r="H221" s="520" t="str">
        <f>IF(E221="","",IF(ISNA(VLOOKUP($E221,'D-1 Off Site Habitat Baseline'!$D$1:$O$258,6,FALSE)),"",(VLOOKUP($E221,'D-1 Off Site Habitat Baseline'!$D$1:$O$258,6,FALSE))))</f>
        <v/>
      </c>
      <c r="I221" s="520" t="str">
        <f>IF(E221="","",IF(ISNA(VLOOKUP($E221,'D-1 Off Site Habitat Baseline'!$D$1:$O$258,7,FALSE)),"",(VLOOKUP($E221,'D-1 Off Site Habitat Baseline'!$D$1:$O$258,7,FALSE))))</f>
        <v/>
      </c>
      <c r="J221" s="520" t="str">
        <f>IF(E221="","",IF(ISNA(VLOOKUP($E221,'D-1 Off Site Habitat Baseline'!$D$1:$O$258,8,FALSE)),"",(VLOOKUP($E221,'D-1 Off Site Habitat Baseline'!$D$1:$O$258,8,FALSE))))</f>
        <v/>
      </c>
      <c r="K221" s="520" t="str">
        <f>IF(E221="","",IF(ISNA(VLOOKUP($E221,'D-1 Off Site Habitat Baseline'!$D$1:$O$258,9,FALSE)),"",(VLOOKUP($E221,'D-1 Off Site Habitat Baseline'!$D$1:$O$258,9,FALSE))))</f>
        <v/>
      </c>
      <c r="L221" s="520" t="str">
        <f>IF(E221="","",IF(ISNA(VLOOKUP($E221,'D-1 Off Site Habitat Baseline'!$D$1:$O$258,11,FALSE)),"",(VLOOKUP($E221,'D-1 Off Site Habitat Baseline'!$D$1:$O$258,11,FALSE))))</f>
        <v/>
      </c>
      <c r="M221" s="520" t="str">
        <f>IF(E221="","",IF(ISNA(VLOOKUP($E221,'D-1 Off Site Habitat Baseline'!$D$1:$O$258,12,FALSE)),"",(VLOOKUP($E221,'D-1 Off Site Habitat Baseline'!$D$1:$O$258,12,FALSE))))</f>
        <v/>
      </c>
      <c r="N221" s="520" t="str">
        <f>IF(E221="","",IF(ISNA(VLOOKUP($E221,'D-1 Off Site Habitat Baseline'!$D$1:$X$258,14,FALSE)),"",(VLOOKUP($E221,'D-1 Off Site Habitat Baseline'!$D$1:$X$258,14,FALSE))))</f>
        <v/>
      </c>
      <c r="O221" s="524" t="str">
        <f>IF(E221="","",IF(ISNA(VLOOKUP($E221,'D-1 Off Site Habitat Baseline'!$D$1:$X$258,13,FALSE)),"",(VLOOKUP($E221,'D-1 Off Site Habitat Baseline'!$D$1:$X$258,13,FALSE))))</f>
        <v/>
      </c>
      <c r="P221" s="232" t="str">
        <f>IFERROR(INDEX('G-1 All Habitats'!$AG$3:$AG$15,MATCH(Q221,'G-1 All Habitats'!$AF$3:$AF$15,0)),"")</f>
        <v/>
      </c>
      <c r="Q221" s="228" t="str">
        <f t="shared" si="45"/>
        <v/>
      </c>
      <c r="R221" s="229" t="str">
        <f t="shared" si="46"/>
        <v/>
      </c>
      <c r="S221" s="233" t="str">
        <f>IFERROR(INDEX('G-1 All Habitats'!$B$3:$B$129,MATCH(R221,'G-1 All Habitats'!$A$3:$A$129,0)),"")</f>
        <v/>
      </c>
      <c r="T221" s="507" t="str">
        <f t="shared" si="38"/>
        <v/>
      </c>
      <c r="U221" s="524" t="str">
        <f t="shared" si="39"/>
        <v/>
      </c>
      <c r="V221" s="523" t="str">
        <f t="shared" si="36"/>
        <v/>
      </c>
      <c r="W221" s="520" t="str">
        <f>IF(S221="","",VLOOKUP(S221,'G-1 All Habitats'!$B$2:$M$129,10,FALSE))</f>
        <v/>
      </c>
      <c r="X221" s="520" t="str">
        <f>IFERROR(VLOOKUP(W221,'G-1 All Habitats'!$V$3:$W$7,2,FALSE),"")</f>
        <v/>
      </c>
      <c r="Y221" s="203"/>
      <c r="Z221" s="524" t="str">
        <f>IFERROR(INDEX('G-8 Condition Look up'!$A$3:$H$130,MATCH(S221,'G-8 Condition Look up'!$A$3:$A$130,0),MATCH(Y221,'G-8 Condition Look up'!$A$3:$H$3,0)),"")</f>
        <v/>
      </c>
      <c r="AA221" s="145"/>
      <c r="AB221" s="540" t="str">
        <f>IF(AA221="","",IF(VLOOKUP(AA221,'G-3 Multipliers'!$L$3:$N$6,2,FALSE)=0,"Spatial Data Missing ⚠",VLOOKUP(AA221,'G-3 Multipliers'!$L$3:$N$6,2,FALSE)))</f>
        <v/>
      </c>
      <c r="AC221" s="524" t="str">
        <f>IF(AA221="","",IF(VLOOKUP(AA221,'G-3 Multipliers'!$L$3:$N$6,3,FALSE)=0,"Spatial Data Missing ⚠",VLOOKUP(AA221,'G-3 Multipliers'!$L$3:$N$6,3,FALSE)))</f>
        <v/>
      </c>
      <c r="AD221" s="537" t="str">
        <f t="shared" si="37"/>
        <v/>
      </c>
      <c r="AE221" s="203"/>
      <c r="AF221" s="203"/>
      <c r="AG221" s="520" t="str">
        <f t="shared" si="40"/>
        <v/>
      </c>
      <c r="AH221" s="544" t="str">
        <f t="shared" si="41"/>
        <v/>
      </c>
      <c r="AI221" s="525" t="str">
        <f>IF(AH221="Check Data ⚠","Check Data ⚠",IFERROR(VLOOKUP(AH221,'G-4 Temporal multipliers'!$A$4:$C$36,3,FALSE),""))</f>
        <v/>
      </c>
      <c r="AJ221" s="537" t="str">
        <f>IF(S221="","",VLOOKUP(S221,'G-3 Multipliers'!$A$2:$E$129,4,FALSE))</f>
        <v/>
      </c>
      <c r="AK221" s="520" t="str">
        <f t="shared" si="42"/>
        <v/>
      </c>
      <c r="AL221" s="520" t="str">
        <f t="shared" si="43"/>
        <v/>
      </c>
      <c r="AM221" s="524" t="str">
        <f>IFERROR(IF(F221="","",IF(AH221="Check Data ⚠","Check Data ⚠",VLOOKUP(AL221, 'G-3 Multipliers'!$P$2:$Q$6,2,FALSE))),"")</f>
        <v/>
      </c>
      <c r="AN221" s="197"/>
      <c r="AO221" s="540" t="str">
        <f>IF(AN221="","",IF(VLOOKUP(AN221,'G-3 Multipliers'!$S$3:$T$9,2,FALSE)=0,"Spatial Data Missing ⚠",VLOOKUP(AN221,'G-3 Multipliers'!$S$3:$T$9,2,FALSE)))</f>
        <v/>
      </c>
      <c r="AP221" s="513" t="str">
        <f t="shared" si="44"/>
        <v/>
      </c>
      <c r="AQ221" s="231"/>
      <c r="AR221" s="150"/>
    </row>
    <row r="222" spans="1:44" x14ac:dyDescent="0.3">
      <c r="A222" s="31" t="str">
        <f>IF(E222="","",IF(ISNA(VLOOKUP($E222,'D-1 Off Site Habitat Baseline'!$D$1:$O$258,2,FALSE)),"",(VLOOKUP($E222,'D-1 Off Site Habitat Baseline'!$D$1:$O$258,2,FALSE))))</f>
        <v/>
      </c>
      <c r="B222" s="31" t="str">
        <f>IF(E222="","",IF(ISNA(VLOOKUP($E222,'D-1 Off Site Habitat Baseline'!$D$1:$O$258,3,FALSE)),"",(VLOOKUP($E222,'D-1 Off Site Habitat Baseline'!$D$1:$O$258,3,FALSE))))</f>
        <v/>
      </c>
      <c r="C222" s="31" t="str">
        <f>IFERROR(INDEX('G-8 Condition Look up'!$I$4:$I$130,MATCH(S222,'G-8 Condition Look up'!$A$4:$A$130,0)),"")</f>
        <v/>
      </c>
      <c r="E222" s="547" t="str">
        <f>'D-1 Off Site Habitat Baseline'!AL221</f>
        <v/>
      </c>
      <c r="F222" s="520" t="str">
        <f>IF(E222="","",IF(ISNA(VLOOKUP($E222,'D-1 Off Site Habitat Baseline'!$D$1:$O$258,4,FALSE)),"",(VLOOKUP($E222,'D-1 Off Site Habitat Baseline'!$D$1:$O$258,4,FALSE))))</f>
        <v/>
      </c>
      <c r="G222" s="520" t="str">
        <f>IF(E222="","",IF(ISNA(VLOOKUP($E222,'D-1 Off Site Habitat Baseline'!$D$1:$O$258,5,FALSE)),"",(VLOOKUP($E222,'D-1 Off Site Habitat Baseline'!$D$1:$O$258,5,FALSE))))</f>
        <v/>
      </c>
      <c r="H222" s="520" t="str">
        <f>IF(E222="","",IF(ISNA(VLOOKUP($E222,'D-1 Off Site Habitat Baseline'!$D$1:$O$258,6,FALSE)),"",(VLOOKUP($E222,'D-1 Off Site Habitat Baseline'!$D$1:$O$258,6,FALSE))))</f>
        <v/>
      </c>
      <c r="I222" s="520" t="str">
        <f>IF(E222="","",IF(ISNA(VLOOKUP($E222,'D-1 Off Site Habitat Baseline'!$D$1:$O$258,7,FALSE)),"",(VLOOKUP($E222,'D-1 Off Site Habitat Baseline'!$D$1:$O$258,7,FALSE))))</f>
        <v/>
      </c>
      <c r="J222" s="520" t="str">
        <f>IF(E222="","",IF(ISNA(VLOOKUP($E222,'D-1 Off Site Habitat Baseline'!$D$1:$O$258,8,FALSE)),"",(VLOOKUP($E222,'D-1 Off Site Habitat Baseline'!$D$1:$O$258,8,FALSE))))</f>
        <v/>
      </c>
      <c r="K222" s="520" t="str">
        <f>IF(E222="","",IF(ISNA(VLOOKUP($E222,'D-1 Off Site Habitat Baseline'!$D$1:$O$258,9,FALSE)),"",(VLOOKUP($E222,'D-1 Off Site Habitat Baseline'!$D$1:$O$258,9,FALSE))))</f>
        <v/>
      </c>
      <c r="L222" s="520" t="str">
        <f>IF(E222="","",IF(ISNA(VLOOKUP($E222,'D-1 Off Site Habitat Baseline'!$D$1:$O$258,11,FALSE)),"",(VLOOKUP($E222,'D-1 Off Site Habitat Baseline'!$D$1:$O$258,11,FALSE))))</f>
        <v/>
      </c>
      <c r="M222" s="520" t="str">
        <f>IF(E222="","",IF(ISNA(VLOOKUP($E222,'D-1 Off Site Habitat Baseline'!$D$1:$O$258,12,FALSE)),"",(VLOOKUP($E222,'D-1 Off Site Habitat Baseline'!$D$1:$O$258,12,FALSE))))</f>
        <v/>
      </c>
      <c r="N222" s="520" t="str">
        <f>IF(E222="","",IF(ISNA(VLOOKUP($E222,'D-1 Off Site Habitat Baseline'!$D$1:$X$258,14,FALSE)),"",(VLOOKUP($E222,'D-1 Off Site Habitat Baseline'!$D$1:$X$258,14,FALSE))))</f>
        <v/>
      </c>
      <c r="O222" s="524" t="str">
        <f>IF(E222="","",IF(ISNA(VLOOKUP($E222,'D-1 Off Site Habitat Baseline'!$D$1:$X$258,13,FALSE)),"",(VLOOKUP($E222,'D-1 Off Site Habitat Baseline'!$D$1:$X$258,13,FALSE))))</f>
        <v/>
      </c>
      <c r="P222" s="232" t="str">
        <f>IFERROR(INDEX('G-1 All Habitats'!$AG$3:$AG$15,MATCH(Q222,'G-1 All Habitats'!$AF$3:$AF$15,0)),"")</f>
        <v/>
      </c>
      <c r="Q222" s="228" t="str">
        <f t="shared" si="45"/>
        <v/>
      </c>
      <c r="R222" s="229" t="str">
        <f t="shared" si="46"/>
        <v/>
      </c>
      <c r="S222" s="233" t="str">
        <f>IFERROR(INDEX('G-1 All Habitats'!$B$3:$B$129,MATCH(R222,'G-1 All Habitats'!$A$3:$A$129,0)),"")</f>
        <v/>
      </c>
      <c r="T222" s="507" t="str">
        <f t="shared" si="38"/>
        <v/>
      </c>
      <c r="U222" s="524" t="str">
        <f t="shared" si="39"/>
        <v/>
      </c>
      <c r="V222" s="523" t="str">
        <f t="shared" si="36"/>
        <v/>
      </c>
      <c r="W222" s="520" t="str">
        <f>IF(S222="","",VLOOKUP(S222,'G-1 All Habitats'!$B$2:$M$129,10,FALSE))</f>
        <v/>
      </c>
      <c r="X222" s="520" t="str">
        <f>IFERROR(VLOOKUP(W222,'G-1 All Habitats'!$V$3:$W$7,2,FALSE),"")</f>
        <v/>
      </c>
      <c r="Y222" s="203"/>
      <c r="Z222" s="524" t="str">
        <f>IFERROR(INDEX('G-8 Condition Look up'!$A$3:$H$130,MATCH(S222,'G-8 Condition Look up'!$A$3:$A$130,0),MATCH(Y222,'G-8 Condition Look up'!$A$3:$H$3,0)),"")</f>
        <v/>
      </c>
      <c r="AA222" s="145"/>
      <c r="AB222" s="540" t="str">
        <f>IF(AA222="","",IF(VLOOKUP(AA222,'G-3 Multipliers'!$L$3:$N$6,2,FALSE)=0,"Spatial Data Missing ⚠",VLOOKUP(AA222,'G-3 Multipliers'!$L$3:$N$6,2,FALSE)))</f>
        <v/>
      </c>
      <c r="AC222" s="524" t="str">
        <f>IF(AA222="","",IF(VLOOKUP(AA222,'G-3 Multipliers'!$L$3:$N$6,3,FALSE)=0,"Spatial Data Missing ⚠",VLOOKUP(AA222,'G-3 Multipliers'!$L$3:$N$6,3,FALSE)))</f>
        <v/>
      </c>
      <c r="AD222" s="537" t="str">
        <f t="shared" si="37"/>
        <v/>
      </c>
      <c r="AE222" s="203"/>
      <c r="AF222" s="203"/>
      <c r="AG222" s="520" t="str">
        <f t="shared" si="40"/>
        <v/>
      </c>
      <c r="AH222" s="544" t="str">
        <f t="shared" si="41"/>
        <v/>
      </c>
      <c r="AI222" s="525" t="str">
        <f>IF(AH222="Check Data ⚠","Check Data ⚠",IFERROR(VLOOKUP(AH222,'G-4 Temporal multipliers'!$A$4:$C$36,3,FALSE),""))</f>
        <v/>
      </c>
      <c r="AJ222" s="537" t="str">
        <f>IF(S222="","",VLOOKUP(S222,'G-3 Multipliers'!$A$2:$E$129,4,FALSE))</f>
        <v/>
      </c>
      <c r="AK222" s="520" t="str">
        <f t="shared" si="42"/>
        <v/>
      </c>
      <c r="AL222" s="520" t="str">
        <f t="shared" si="43"/>
        <v/>
      </c>
      <c r="AM222" s="524" t="str">
        <f>IFERROR(IF(F222="","",IF(AH222="Check Data ⚠","Check Data ⚠",VLOOKUP(AL222, 'G-3 Multipliers'!$P$2:$Q$6,2,FALSE))),"")</f>
        <v/>
      </c>
      <c r="AN222" s="197"/>
      <c r="AO222" s="540" t="str">
        <f>IF(AN222="","",IF(VLOOKUP(AN222,'G-3 Multipliers'!$S$3:$T$9,2,FALSE)=0,"Spatial Data Missing ⚠",VLOOKUP(AN222,'G-3 Multipliers'!$S$3:$T$9,2,FALSE)))</f>
        <v/>
      </c>
      <c r="AP222" s="513" t="str">
        <f t="shared" si="44"/>
        <v/>
      </c>
      <c r="AQ222" s="231"/>
      <c r="AR222" s="150"/>
    </row>
    <row r="223" spans="1:44" x14ac:dyDescent="0.3">
      <c r="A223" s="31" t="str">
        <f>IF(E223="","",IF(ISNA(VLOOKUP($E223,'D-1 Off Site Habitat Baseline'!$D$1:$O$258,2,FALSE)),"",(VLOOKUP($E223,'D-1 Off Site Habitat Baseline'!$D$1:$O$258,2,FALSE))))</f>
        <v/>
      </c>
      <c r="B223" s="31" t="str">
        <f>IF(E223="","",IF(ISNA(VLOOKUP($E223,'D-1 Off Site Habitat Baseline'!$D$1:$O$258,3,FALSE)),"",(VLOOKUP($E223,'D-1 Off Site Habitat Baseline'!$D$1:$O$258,3,FALSE))))</f>
        <v/>
      </c>
      <c r="C223" s="31" t="str">
        <f>IFERROR(INDEX('G-8 Condition Look up'!$I$4:$I$130,MATCH(S223,'G-8 Condition Look up'!$A$4:$A$130,0)),"")</f>
        <v/>
      </c>
      <c r="E223" s="547" t="str">
        <f>'D-1 Off Site Habitat Baseline'!AL222</f>
        <v/>
      </c>
      <c r="F223" s="520" t="str">
        <f>IF(E223="","",IF(ISNA(VLOOKUP($E223,'D-1 Off Site Habitat Baseline'!$D$1:$O$258,4,FALSE)),"",(VLOOKUP($E223,'D-1 Off Site Habitat Baseline'!$D$1:$O$258,4,FALSE))))</f>
        <v/>
      </c>
      <c r="G223" s="520" t="str">
        <f>IF(E223="","",IF(ISNA(VLOOKUP($E223,'D-1 Off Site Habitat Baseline'!$D$1:$O$258,5,FALSE)),"",(VLOOKUP($E223,'D-1 Off Site Habitat Baseline'!$D$1:$O$258,5,FALSE))))</f>
        <v/>
      </c>
      <c r="H223" s="520" t="str">
        <f>IF(E223="","",IF(ISNA(VLOOKUP($E223,'D-1 Off Site Habitat Baseline'!$D$1:$O$258,6,FALSE)),"",(VLOOKUP($E223,'D-1 Off Site Habitat Baseline'!$D$1:$O$258,6,FALSE))))</f>
        <v/>
      </c>
      <c r="I223" s="520" t="str">
        <f>IF(E223="","",IF(ISNA(VLOOKUP($E223,'D-1 Off Site Habitat Baseline'!$D$1:$O$258,7,FALSE)),"",(VLOOKUP($E223,'D-1 Off Site Habitat Baseline'!$D$1:$O$258,7,FALSE))))</f>
        <v/>
      </c>
      <c r="J223" s="520" t="str">
        <f>IF(E223="","",IF(ISNA(VLOOKUP($E223,'D-1 Off Site Habitat Baseline'!$D$1:$O$258,8,FALSE)),"",(VLOOKUP($E223,'D-1 Off Site Habitat Baseline'!$D$1:$O$258,8,FALSE))))</f>
        <v/>
      </c>
      <c r="K223" s="520" t="str">
        <f>IF(E223="","",IF(ISNA(VLOOKUP($E223,'D-1 Off Site Habitat Baseline'!$D$1:$O$258,9,FALSE)),"",(VLOOKUP($E223,'D-1 Off Site Habitat Baseline'!$D$1:$O$258,9,FALSE))))</f>
        <v/>
      </c>
      <c r="L223" s="520" t="str">
        <f>IF(E223="","",IF(ISNA(VLOOKUP($E223,'D-1 Off Site Habitat Baseline'!$D$1:$O$258,11,FALSE)),"",(VLOOKUP($E223,'D-1 Off Site Habitat Baseline'!$D$1:$O$258,11,FALSE))))</f>
        <v/>
      </c>
      <c r="M223" s="520" t="str">
        <f>IF(E223="","",IF(ISNA(VLOOKUP($E223,'D-1 Off Site Habitat Baseline'!$D$1:$O$258,12,FALSE)),"",(VLOOKUP($E223,'D-1 Off Site Habitat Baseline'!$D$1:$O$258,12,FALSE))))</f>
        <v/>
      </c>
      <c r="N223" s="520" t="str">
        <f>IF(E223="","",IF(ISNA(VLOOKUP($E223,'D-1 Off Site Habitat Baseline'!$D$1:$X$258,14,FALSE)),"",(VLOOKUP($E223,'D-1 Off Site Habitat Baseline'!$D$1:$X$258,14,FALSE))))</f>
        <v/>
      </c>
      <c r="O223" s="524" t="str">
        <f>IF(E223="","",IF(ISNA(VLOOKUP($E223,'D-1 Off Site Habitat Baseline'!$D$1:$X$258,13,FALSE)),"",(VLOOKUP($E223,'D-1 Off Site Habitat Baseline'!$D$1:$X$258,13,FALSE))))</f>
        <v/>
      </c>
      <c r="P223" s="232" t="str">
        <f>IFERROR(INDEX('G-1 All Habitats'!$AG$3:$AG$15,MATCH(Q223,'G-1 All Habitats'!$AF$3:$AF$15,0)),"")</f>
        <v/>
      </c>
      <c r="Q223" s="228" t="str">
        <f t="shared" si="45"/>
        <v/>
      </c>
      <c r="R223" s="229" t="str">
        <f t="shared" si="46"/>
        <v/>
      </c>
      <c r="S223" s="233" t="str">
        <f>IFERROR(INDEX('G-1 All Habitats'!$B$3:$B$129,MATCH(R223,'G-1 All Habitats'!$A$3:$A$129,0)),"")</f>
        <v/>
      </c>
      <c r="T223" s="507" t="str">
        <f t="shared" si="38"/>
        <v/>
      </c>
      <c r="U223" s="524" t="str">
        <f t="shared" si="39"/>
        <v/>
      </c>
      <c r="V223" s="523" t="str">
        <f t="shared" si="36"/>
        <v/>
      </c>
      <c r="W223" s="520" t="str">
        <f>IF(S223="","",VLOOKUP(S223,'G-1 All Habitats'!$B$2:$M$129,10,FALSE))</f>
        <v/>
      </c>
      <c r="X223" s="520" t="str">
        <f>IFERROR(VLOOKUP(W223,'G-1 All Habitats'!$V$3:$W$7,2,FALSE),"")</f>
        <v/>
      </c>
      <c r="Y223" s="203"/>
      <c r="Z223" s="524" t="str">
        <f>IFERROR(INDEX('G-8 Condition Look up'!$A$3:$H$130,MATCH(S223,'G-8 Condition Look up'!$A$3:$A$130,0),MATCH(Y223,'G-8 Condition Look up'!$A$3:$H$3,0)),"")</f>
        <v/>
      </c>
      <c r="AA223" s="145"/>
      <c r="AB223" s="540" t="str">
        <f>IF(AA223="","",IF(VLOOKUP(AA223,'G-3 Multipliers'!$L$3:$N$6,2,FALSE)=0,"Spatial Data Missing ⚠",VLOOKUP(AA223,'G-3 Multipliers'!$L$3:$N$6,2,FALSE)))</f>
        <v/>
      </c>
      <c r="AC223" s="524" t="str">
        <f>IF(AA223="","",IF(VLOOKUP(AA223,'G-3 Multipliers'!$L$3:$N$6,3,FALSE)=0,"Spatial Data Missing ⚠",VLOOKUP(AA223,'G-3 Multipliers'!$L$3:$N$6,3,FALSE)))</f>
        <v/>
      </c>
      <c r="AD223" s="537" t="str">
        <f t="shared" si="37"/>
        <v/>
      </c>
      <c r="AE223" s="203"/>
      <c r="AF223" s="203"/>
      <c r="AG223" s="520" t="str">
        <f t="shared" si="40"/>
        <v/>
      </c>
      <c r="AH223" s="544" t="str">
        <f t="shared" si="41"/>
        <v/>
      </c>
      <c r="AI223" s="525" t="str">
        <f>IF(AH223="Check Data ⚠","Check Data ⚠",IFERROR(VLOOKUP(AH223,'G-4 Temporal multipliers'!$A$4:$C$36,3,FALSE),""))</f>
        <v/>
      </c>
      <c r="AJ223" s="537" t="str">
        <f>IF(S223="","",VLOOKUP(S223,'G-3 Multipliers'!$A$2:$E$129,4,FALSE))</f>
        <v/>
      </c>
      <c r="AK223" s="520" t="str">
        <f t="shared" si="42"/>
        <v/>
      </c>
      <c r="AL223" s="520" t="str">
        <f t="shared" si="43"/>
        <v/>
      </c>
      <c r="AM223" s="524" t="str">
        <f>IFERROR(IF(F223="","",IF(AH223="Check Data ⚠","Check Data ⚠",VLOOKUP(AL223, 'G-3 Multipliers'!$P$2:$Q$6,2,FALSE))),"")</f>
        <v/>
      </c>
      <c r="AN223" s="197"/>
      <c r="AO223" s="540" t="str">
        <f>IF(AN223="","",IF(VLOOKUP(AN223,'G-3 Multipliers'!$S$3:$T$9,2,FALSE)=0,"Spatial Data Missing ⚠",VLOOKUP(AN223,'G-3 Multipliers'!$S$3:$T$9,2,FALSE)))</f>
        <v/>
      </c>
      <c r="AP223" s="513" t="str">
        <f t="shared" si="44"/>
        <v/>
      </c>
      <c r="AQ223" s="231"/>
      <c r="AR223" s="150"/>
    </row>
    <row r="224" spans="1:44" x14ac:dyDescent="0.3">
      <c r="A224" s="31" t="str">
        <f>IF(E224="","",IF(ISNA(VLOOKUP($E224,'D-1 Off Site Habitat Baseline'!$D$1:$O$258,2,FALSE)),"",(VLOOKUP($E224,'D-1 Off Site Habitat Baseline'!$D$1:$O$258,2,FALSE))))</f>
        <v/>
      </c>
      <c r="B224" s="31" t="str">
        <f>IF(E224="","",IF(ISNA(VLOOKUP($E224,'D-1 Off Site Habitat Baseline'!$D$1:$O$258,3,FALSE)),"",(VLOOKUP($E224,'D-1 Off Site Habitat Baseline'!$D$1:$O$258,3,FALSE))))</f>
        <v/>
      </c>
      <c r="C224" s="31" t="str">
        <f>IFERROR(INDEX('G-8 Condition Look up'!$I$4:$I$130,MATCH(S224,'G-8 Condition Look up'!$A$4:$A$130,0)),"")</f>
        <v/>
      </c>
      <c r="E224" s="547" t="str">
        <f>'D-1 Off Site Habitat Baseline'!AL223</f>
        <v/>
      </c>
      <c r="F224" s="520" t="str">
        <f>IF(E224="","",IF(ISNA(VLOOKUP($E224,'D-1 Off Site Habitat Baseline'!$D$1:$O$258,4,FALSE)),"",(VLOOKUP($E224,'D-1 Off Site Habitat Baseline'!$D$1:$O$258,4,FALSE))))</f>
        <v/>
      </c>
      <c r="G224" s="520" t="str">
        <f>IF(E224="","",IF(ISNA(VLOOKUP($E224,'D-1 Off Site Habitat Baseline'!$D$1:$O$258,5,FALSE)),"",(VLOOKUP($E224,'D-1 Off Site Habitat Baseline'!$D$1:$O$258,5,FALSE))))</f>
        <v/>
      </c>
      <c r="H224" s="520" t="str">
        <f>IF(E224="","",IF(ISNA(VLOOKUP($E224,'D-1 Off Site Habitat Baseline'!$D$1:$O$258,6,FALSE)),"",(VLOOKUP($E224,'D-1 Off Site Habitat Baseline'!$D$1:$O$258,6,FALSE))))</f>
        <v/>
      </c>
      <c r="I224" s="520" t="str">
        <f>IF(E224="","",IF(ISNA(VLOOKUP($E224,'D-1 Off Site Habitat Baseline'!$D$1:$O$258,7,FALSE)),"",(VLOOKUP($E224,'D-1 Off Site Habitat Baseline'!$D$1:$O$258,7,FALSE))))</f>
        <v/>
      </c>
      <c r="J224" s="520" t="str">
        <f>IF(E224="","",IF(ISNA(VLOOKUP($E224,'D-1 Off Site Habitat Baseline'!$D$1:$O$258,8,FALSE)),"",(VLOOKUP($E224,'D-1 Off Site Habitat Baseline'!$D$1:$O$258,8,FALSE))))</f>
        <v/>
      </c>
      <c r="K224" s="520" t="str">
        <f>IF(E224="","",IF(ISNA(VLOOKUP($E224,'D-1 Off Site Habitat Baseline'!$D$1:$O$258,9,FALSE)),"",(VLOOKUP($E224,'D-1 Off Site Habitat Baseline'!$D$1:$O$258,9,FALSE))))</f>
        <v/>
      </c>
      <c r="L224" s="520" t="str">
        <f>IF(E224="","",IF(ISNA(VLOOKUP($E224,'D-1 Off Site Habitat Baseline'!$D$1:$O$258,11,FALSE)),"",(VLOOKUP($E224,'D-1 Off Site Habitat Baseline'!$D$1:$O$258,11,FALSE))))</f>
        <v/>
      </c>
      <c r="M224" s="520" t="str">
        <f>IF(E224="","",IF(ISNA(VLOOKUP($E224,'D-1 Off Site Habitat Baseline'!$D$1:$O$258,12,FALSE)),"",(VLOOKUP($E224,'D-1 Off Site Habitat Baseline'!$D$1:$O$258,12,FALSE))))</f>
        <v/>
      </c>
      <c r="N224" s="520" t="str">
        <f>IF(E224="","",IF(ISNA(VLOOKUP($E224,'D-1 Off Site Habitat Baseline'!$D$1:$X$258,14,FALSE)),"",(VLOOKUP($E224,'D-1 Off Site Habitat Baseline'!$D$1:$X$258,14,FALSE))))</f>
        <v/>
      </c>
      <c r="O224" s="524" t="str">
        <f>IF(E224="","",IF(ISNA(VLOOKUP($E224,'D-1 Off Site Habitat Baseline'!$D$1:$X$258,13,FALSE)),"",(VLOOKUP($E224,'D-1 Off Site Habitat Baseline'!$D$1:$X$258,13,FALSE))))</f>
        <v/>
      </c>
      <c r="P224" s="232" t="str">
        <f>IFERROR(INDEX('G-1 All Habitats'!$AG$3:$AG$15,MATCH(Q224,'G-1 All Habitats'!$AF$3:$AF$15,0)),"")</f>
        <v/>
      </c>
      <c r="Q224" s="228" t="str">
        <f t="shared" si="45"/>
        <v/>
      </c>
      <c r="R224" s="229" t="str">
        <f t="shared" si="46"/>
        <v/>
      </c>
      <c r="S224" s="233" t="str">
        <f>IFERROR(INDEX('G-1 All Habitats'!$B$3:$B$129,MATCH(R224,'G-1 All Habitats'!$A$3:$A$129,0)),"")</f>
        <v/>
      </c>
      <c r="T224" s="507" t="str">
        <f t="shared" si="38"/>
        <v/>
      </c>
      <c r="U224" s="524" t="str">
        <f t="shared" si="39"/>
        <v/>
      </c>
      <c r="V224" s="523" t="str">
        <f t="shared" si="36"/>
        <v/>
      </c>
      <c r="W224" s="520" t="str">
        <f>IF(S224="","",VLOOKUP(S224,'G-1 All Habitats'!$B$2:$M$129,10,FALSE))</f>
        <v/>
      </c>
      <c r="X224" s="520" t="str">
        <f>IFERROR(VLOOKUP(W224,'G-1 All Habitats'!$V$3:$W$7,2,FALSE),"")</f>
        <v/>
      </c>
      <c r="Y224" s="203"/>
      <c r="Z224" s="524" t="str">
        <f>IFERROR(INDEX('G-8 Condition Look up'!$A$3:$H$130,MATCH(S224,'G-8 Condition Look up'!$A$3:$A$130,0),MATCH(Y224,'G-8 Condition Look up'!$A$3:$H$3,0)),"")</f>
        <v/>
      </c>
      <c r="AA224" s="145"/>
      <c r="AB224" s="540" t="str">
        <f>IF(AA224="","",IF(VLOOKUP(AA224,'G-3 Multipliers'!$L$3:$N$6,2,FALSE)=0,"Spatial Data Missing ⚠",VLOOKUP(AA224,'G-3 Multipliers'!$L$3:$N$6,2,FALSE)))</f>
        <v/>
      </c>
      <c r="AC224" s="524" t="str">
        <f>IF(AA224="","",IF(VLOOKUP(AA224,'G-3 Multipliers'!$L$3:$N$6,3,FALSE)=0,"Spatial Data Missing ⚠",VLOOKUP(AA224,'G-3 Multipliers'!$L$3:$N$6,3,FALSE)))</f>
        <v/>
      </c>
      <c r="AD224" s="537" t="str">
        <f t="shared" si="37"/>
        <v/>
      </c>
      <c r="AE224" s="203"/>
      <c r="AF224" s="203"/>
      <c r="AG224" s="520" t="str">
        <f t="shared" si="40"/>
        <v/>
      </c>
      <c r="AH224" s="544" t="str">
        <f t="shared" si="41"/>
        <v/>
      </c>
      <c r="AI224" s="525" t="str">
        <f>IF(AH224="Check Data ⚠","Check Data ⚠",IFERROR(VLOOKUP(AH224,'G-4 Temporal multipliers'!$A$4:$C$36,3,FALSE),""))</f>
        <v/>
      </c>
      <c r="AJ224" s="537" t="str">
        <f>IF(S224="","",VLOOKUP(S224,'G-3 Multipliers'!$A$2:$E$129,4,FALSE))</f>
        <v/>
      </c>
      <c r="AK224" s="520" t="str">
        <f t="shared" si="42"/>
        <v/>
      </c>
      <c r="AL224" s="520" t="str">
        <f t="shared" si="43"/>
        <v/>
      </c>
      <c r="AM224" s="524" t="str">
        <f>IFERROR(IF(F224="","",IF(AH224="Check Data ⚠","Check Data ⚠",VLOOKUP(AL224, 'G-3 Multipliers'!$P$2:$Q$6,2,FALSE))),"")</f>
        <v/>
      </c>
      <c r="AN224" s="197"/>
      <c r="AO224" s="540" t="str">
        <f>IF(AN224="","",IF(VLOOKUP(AN224,'G-3 Multipliers'!$S$3:$T$9,2,FALSE)=0,"Spatial Data Missing ⚠",VLOOKUP(AN224,'G-3 Multipliers'!$S$3:$T$9,2,FALSE)))</f>
        <v/>
      </c>
      <c r="AP224" s="513" t="str">
        <f t="shared" si="44"/>
        <v/>
      </c>
      <c r="AQ224" s="231"/>
      <c r="AR224" s="150"/>
    </row>
    <row r="225" spans="1:44" x14ac:dyDescent="0.3">
      <c r="A225" s="31" t="str">
        <f>IF(E225="","",IF(ISNA(VLOOKUP($E225,'D-1 Off Site Habitat Baseline'!$D$1:$O$258,2,FALSE)),"",(VLOOKUP($E225,'D-1 Off Site Habitat Baseline'!$D$1:$O$258,2,FALSE))))</f>
        <v/>
      </c>
      <c r="B225" s="31" t="str">
        <f>IF(E225="","",IF(ISNA(VLOOKUP($E225,'D-1 Off Site Habitat Baseline'!$D$1:$O$258,3,FALSE)),"",(VLOOKUP($E225,'D-1 Off Site Habitat Baseline'!$D$1:$O$258,3,FALSE))))</f>
        <v/>
      </c>
      <c r="C225" s="31" t="str">
        <f>IFERROR(INDEX('G-8 Condition Look up'!$I$4:$I$130,MATCH(S225,'G-8 Condition Look up'!$A$4:$A$130,0)),"")</f>
        <v/>
      </c>
      <c r="E225" s="547" t="str">
        <f>'D-1 Off Site Habitat Baseline'!AL224</f>
        <v/>
      </c>
      <c r="F225" s="520" t="str">
        <f>IF(E225="","",IF(ISNA(VLOOKUP($E225,'D-1 Off Site Habitat Baseline'!$D$1:$O$258,4,FALSE)),"",(VLOOKUP($E225,'D-1 Off Site Habitat Baseline'!$D$1:$O$258,4,FALSE))))</f>
        <v/>
      </c>
      <c r="G225" s="520" t="str">
        <f>IF(E225="","",IF(ISNA(VLOOKUP($E225,'D-1 Off Site Habitat Baseline'!$D$1:$O$258,5,FALSE)),"",(VLOOKUP($E225,'D-1 Off Site Habitat Baseline'!$D$1:$O$258,5,FALSE))))</f>
        <v/>
      </c>
      <c r="H225" s="520" t="str">
        <f>IF(E225="","",IF(ISNA(VLOOKUP($E225,'D-1 Off Site Habitat Baseline'!$D$1:$O$258,6,FALSE)),"",(VLOOKUP($E225,'D-1 Off Site Habitat Baseline'!$D$1:$O$258,6,FALSE))))</f>
        <v/>
      </c>
      <c r="I225" s="520" t="str">
        <f>IF(E225="","",IF(ISNA(VLOOKUP($E225,'D-1 Off Site Habitat Baseline'!$D$1:$O$258,7,FALSE)),"",(VLOOKUP($E225,'D-1 Off Site Habitat Baseline'!$D$1:$O$258,7,FALSE))))</f>
        <v/>
      </c>
      <c r="J225" s="520" t="str">
        <f>IF(E225="","",IF(ISNA(VLOOKUP($E225,'D-1 Off Site Habitat Baseline'!$D$1:$O$258,8,FALSE)),"",(VLOOKUP($E225,'D-1 Off Site Habitat Baseline'!$D$1:$O$258,8,FALSE))))</f>
        <v/>
      </c>
      <c r="K225" s="520" t="str">
        <f>IF(E225="","",IF(ISNA(VLOOKUP($E225,'D-1 Off Site Habitat Baseline'!$D$1:$O$258,9,FALSE)),"",(VLOOKUP($E225,'D-1 Off Site Habitat Baseline'!$D$1:$O$258,9,FALSE))))</f>
        <v/>
      </c>
      <c r="L225" s="520" t="str">
        <f>IF(E225="","",IF(ISNA(VLOOKUP($E225,'D-1 Off Site Habitat Baseline'!$D$1:$O$258,11,FALSE)),"",(VLOOKUP($E225,'D-1 Off Site Habitat Baseline'!$D$1:$O$258,11,FALSE))))</f>
        <v/>
      </c>
      <c r="M225" s="520" t="str">
        <f>IF(E225="","",IF(ISNA(VLOOKUP($E225,'D-1 Off Site Habitat Baseline'!$D$1:$O$258,12,FALSE)),"",(VLOOKUP($E225,'D-1 Off Site Habitat Baseline'!$D$1:$O$258,12,FALSE))))</f>
        <v/>
      </c>
      <c r="N225" s="520" t="str">
        <f>IF(E225="","",IF(ISNA(VLOOKUP($E225,'D-1 Off Site Habitat Baseline'!$D$1:$X$258,14,FALSE)),"",(VLOOKUP($E225,'D-1 Off Site Habitat Baseline'!$D$1:$X$258,14,FALSE))))</f>
        <v/>
      </c>
      <c r="O225" s="524" t="str">
        <f>IF(E225="","",IF(ISNA(VLOOKUP($E225,'D-1 Off Site Habitat Baseline'!$D$1:$X$258,13,FALSE)),"",(VLOOKUP($E225,'D-1 Off Site Habitat Baseline'!$D$1:$X$258,13,FALSE))))</f>
        <v/>
      </c>
      <c r="P225" s="232" t="str">
        <f>IFERROR(INDEX('G-1 All Habitats'!$AG$3:$AG$15,MATCH(Q225,'G-1 All Habitats'!$AF$3:$AF$15,0)),"")</f>
        <v/>
      </c>
      <c r="Q225" s="228" t="str">
        <f t="shared" si="45"/>
        <v/>
      </c>
      <c r="R225" s="229" t="str">
        <f t="shared" si="46"/>
        <v/>
      </c>
      <c r="S225" s="233" t="str">
        <f>IFERROR(INDEX('G-1 All Habitats'!$B$3:$B$129,MATCH(R225,'G-1 All Habitats'!$A$3:$A$129,0)),"")</f>
        <v/>
      </c>
      <c r="T225" s="507" t="str">
        <f t="shared" si="38"/>
        <v/>
      </c>
      <c r="U225" s="524" t="str">
        <f t="shared" si="39"/>
        <v/>
      </c>
      <c r="V225" s="523" t="str">
        <f t="shared" si="36"/>
        <v/>
      </c>
      <c r="W225" s="520" t="str">
        <f>IF(S225="","",VLOOKUP(S225,'G-1 All Habitats'!$B$2:$M$129,10,FALSE))</f>
        <v/>
      </c>
      <c r="X225" s="520" t="str">
        <f>IFERROR(VLOOKUP(W225,'G-1 All Habitats'!$V$3:$W$7,2,FALSE),"")</f>
        <v/>
      </c>
      <c r="Y225" s="203"/>
      <c r="Z225" s="524" t="str">
        <f>IFERROR(INDEX('G-8 Condition Look up'!$A$3:$H$130,MATCH(S225,'G-8 Condition Look up'!$A$3:$A$130,0),MATCH(Y225,'G-8 Condition Look up'!$A$3:$H$3,0)),"")</f>
        <v/>
      </c>
      <c r="AA225" s="145"/>
      <c r="AB225" s="540" t="str">
        <f>IF(AA225="","",IF(VLOOKUP(AA225,'G-3 Multipliers'!$L$3:$N$6,2,FALSE)=0,"Spatial Data Missing ⚠",VLOOKUP(AA225,'G-3 Multipliers'!$L$3:$N$6,2,FALSE)))</f>
        <v/>
      </c>
      <c r="AC225" s="524" t="str">
        <f>IF(AA225="","",IF(VLOOKUP(AA225,'G-3 Multipliers'!$L$3:$N$6,3,FALSE)=0,"Spatial Data Missing ⚠",VLOOKUP(AA225,'G-3 Multipliers'!$L$3:$N$6,3,FALSE)))</f>
        <v/>
      </c>
      <c r="AD225" s="537" t="str">
        <f t="shared" si="37"/>
        <v/>
      </c>
      <c r="AE225" s="203"/>
      <c r="AF225" s="203"/>
      <c r="AG225" s="520" t="str">
        <f t="shared" si="40"/>
        <v/>
      </c>
      <c r="AH225" s="544" t="str">
        <f t="shared" si="41"/>
        <v/>
      </c>
      <c r="AI225" s="525" t="str">
        <f>IF(AH225="Check Data ⚠","Check Data ⚠",IFERROR(VLOOKUP(AH225,'G-4 Temporal multipliers'!$A$4:$C$36,3,FALSE),""))</f>
        <v/>
      </c>
      <c r="AJ225" s="537" t="str">
        <f>IF(S225="","",VLOOKUP(S225,'G-3 Multipliers'!$A$2:$E$129,4,FALSE))</f>
        <v/>
      </c>
      <c r="AK225" s="520" t="str">
        <f t="shared" si="42"/>
        <v/>
      </c>
      <c r="AL225" s="520" t="str">
        <f t="shared" si="43"/>
        <v/>
      </c>
      <c r="AM225" s="524" t="str">
        <f>IFERROR(IF(F225="","",IF(AH225="Check Data ⚠","Check Data ⚠",VLOOKUP(AL225, 'G-3 Multipliers'!$P$2:$Q$6,2,FALSE))),"")</f>
        <v/>
      </c>
      <c r="AN225" s="197"/>
      <c r="AO225" s="540" t="str">
        <f>IF(AN225="","",IF(VLOOKUP(AN225,'G-3 Multipliers'!$S$3:$T$9,2,FALSE)=0,"Spatial Data Missing ⚠",VLOOKUP(AN225,'G-3 Multipliers'!$S$3:$T$9,2,FALSE)))</f>
        <v/>
      </c>
      <c r="AP225" s="513" t="str">
        <f t="shared" si="44"/>
        <v/>
      </c>
      <c r="AQ225" s="231"/>
      <c r="AR225" s="150"/>
    </row>
    <row r="226" spans="1:44" x14ac:dyDescent="0.3">
      <c r="A226" s="31" t="str">
        <f>IF(E226="","",IF(ISNA(VLOOKUP($E226,'D-1 Off Site Habitat Baseline'!$D$1:$O$258,2,FALSE)),"",(VLOOKUP($E226,'D-1 Off Site Habitat Baseline'!$D$1:$O$258,2,FALSE))))</f>
        <v/>
      </c>
      <c r="B226" s="31" t="str">
        <f>IF(E226="","",IF(ISNA(VLOOKUP($E226,'D-1 Off Site Habitat Baseline'!$D$1:$O$258,3,FALSE)),"",(VLOOKUP($E226,'D-1 Off Site Habitat Baseline'!$D$1:$O$258,3,FALSE))))</f>
        <v/>
      </c>
      <c r="C226" s="31" t="str">
        <f>IFERROR(INDEX('G-8 Condition Look up'!$I$4:$I$130,MATCH(S226,'G-8 Condition Look up'!$A$4:$A$130,0)),"")</f>
        <v/>
      </c>
      <c r="E226" s="547" t="str">
        <f>'D-1 Off Site Habitat Baseline'!AL225</f>
        <v/>
      </c>
      <c r="F226" s="520" t="str">
        <f>IF(E226="","",IF(ISNA(VLOOKUP($E226,'D-1 Off Site Habitat Baseline'!$D$1:$O$258,4,FALSE)),"",(VLOOKUP($E226,'D-1 Off Site Habitat Baseline'!$D$1:$O$258,4,FALSE))))</f>
        <v/>
      </c>
      <c r="G226" s="520" t="str">
        <f>IF(E226="","",IF(ISNA(VLOOKUP($E226,'D-1 Off Site Habitat Baseline'!$D$1:$O$258,5,FALSE)),"",(VLOOKUP($E226,'D-1 Off Site Habitat Baseline'!$D$1:$O$258,5,FALSE))))</f>
        <v/>
      </c>
      <c r="H226" s="520" t="str">
        <f>IF(E226="","",IF(ISNA(VLOOKUP($E226,'D-1 Off Site Habitat Baseline'!$D$1:$O$258,6,FALSE)),"",(VLOOKUP($E226,'D-1 Off Site Habitat Baseline'!$D$1:$O$258,6,FALSE))))</f>
        <v/>
      </c>
      <c r="I226" s="520" t="str">
        <f>IF(E226="","",IF(ISNA(VLOOKUP($E226,'D-1 Off Site Habitat Baseline'!$D$1:$O$258,7,FALSE)),"",(VLOOKUP($E226,'D-1 Off Site Habitat Baseline'!$D$1:$O$258,7,FALSE))))</f>
        <v/>
      </c>
      <c r="J226" s="520" t="str">
        <f>IF(E226="","",IF(ISNA(VLOOKUP($E226,'D-1 Off Site Habitat Baseline'!$D$1:$O$258,8,FALSE)),"",(VLOOKUP($E226,'D-1 Off Site Habitat Baseline'!$D$1:$O$258,8,FALSE))))</f>
        <v/>
      </c>
      <c r="K226" s="520" t="str">
        <f>IF(E226="","",IF(ISNA(VLOOKUP($E226,'D-1 Off Site Habitat Baseline'!$D$1:$O$258,9,FALSE)),"",(VLOOKUP($E226,'D-1 Off Site Habitat Baseline'!$D$1:$O$258,9,FALSE))))</f>
        <v/>
      </c>
      <c r="L226" s="520" t="str">
        <f>IF(E226="","",IF(ISNA(VLOOKUP($E226,'D-1 Off Site Habitat Baseline'!$D$1:$O$258,11,FALSE)),"",(VLOOKUP($E226,'D-1 Off Site Habitat Baseline'!$D$1:$O$258,11,FALSE))))</f>
        <v/>
      </c>
      <c r="M226" s="520" t="str">
        <f>IF(E226="","",IF(ISNA(VLOOKUP($E226,'D-1 Off Site Habitat Baseline'!$D$1:$O$258,12,FALSE)),"",(VLOOKUP($E226,'D-1 Off Site Habitat Baseline'!$D$1:$O$258,12,FALSE))))</f>
        <v/>
      </c>
      <c r="N226" s="520" t="str">
        <f>IF(E226="","",IF(ISNA(VLOOKUP($E226,'D-1 Off Site Habitat Baseline'!$D$1:$X$258,14,FALSE)),"",(VLOOKUP($E226,'D-1 Off Site Habitat Baseline'!$D$1:$X$258,14,FALSE))))</f>
        <v/>
      </c>
      <c r="O226" s="524" t="str">
        <f>IF(E226="","",IF(ISNA(VLOOKUP($E226,'D-1 Off Site Habitat Baseline'!$D$1:$X$258,13,FALSE)),"",(VLOOKUP($E226,'D-1 Off Site Habitat Baseline'!$D$1:$X$258,13,FALSE))))</f>
        <v/>
      </c>
      <c r="P226" s="232" t="str">
        <f>IFERROR(INDEX('G-1 All Habitats'!$AG$3:$AG$15,MATCH(Q226,'G-1 All Habitats'!$AF$3:$AF$15,0)),"")</f>
        <v/>
      </c>
      <c r="Q226" s="228" t="str">
        <f t="shared" si="45"/>
        <v/>
      </c>
      <c r="R226" s="229" t="str">
        <f t="shared" si="46"/>
        <v/>
      </c>
      <c r="S226" s="233" t="str">
        <f>IFERROR(INDEX('G-1 All Habitats'!$B$3:$B$129,MATCH(R226,'G-1 All Habitats'!$A$3:$A$129,0)),"")</f>
        <v/>
      </c>
      <c r="T226" s="507" t="str">
        <f t="shared" si="38"/>
        <v/>
      </c>
      <c r="U226" s="524" t="str">
        <f t="shared" si="39"/>
        <v/>
      </c>
      <c r="V226" s="523" t="str">
        <f t="shared" si="36"/>
        <v/>
      </c>
      <c r="W226" s="520" t="str">
        <f>IF(S226="","",VLOOKUP(S226,'G-1 All Habitats'!$B$2:$M$129,10,FALSE))</f>
        <v/>
      </c>
      <c r="X226" s="520" t="str">
        <f>IFERROR(VLOOKUP(W226,'G-1 All Habitats'!$V$3:$W$7,2,FALSE),"")</f>
        <v/>
      </c>
      <c r="Y226" s="203"/>
      <c r="Z226" s="524" t="str">
        <f>IFERROR(INDEX('G-8 Condition Look up'!$A$3:$H$130,MATCH(S226,'G-8 Condition Look up'!$A$3:$A$130,0),MATCH(Y226,'G-8 Condition Look up'!$A$3:$H$3,0)),"")</f>
        <v/>
      </c>
      <c r="AA226" s="145"/>
      <c r="AB226" s="540" t="str">
        <f>IF(AA226="","",IF(VLOOKUP(AA226,'G-3 Multipliers'!$L$3:$N$6,2,FALSE)=0,"Spatial Data Missing ⚠",VLOOKUP(AA226,'G-3 Multipliers'!$L$3:$N$6,2,FALSE)))</f>
        <v/>
      </c>
      <c r="AC226" s="524" t="str">
        <f>IF(AA226="","",IF(VLOOKUP(AA226,'G-3 Multipliers'!$L$3:$N$6,3,FALSE)=0,"Spatial Data Missing ⚠",VLOOKUP(AA226,'G-3 Multipliers'!$L$3:$N$6,3,FALSE)))</f>
        <v/>
      </c>
      <c r="AD226" s="537" t="str">
        <f t="shared" si="37"/>
        <v/>
      </c>
      <c r="AE226" s="203"/>
      <c r="AF226" s="203"/>
      <c r="AG226" s="520" t="str">
        <f t="shared" si="40"/>
        <v/>
      </c>
      <c r="AH226" s="544" t="str">
        <f t="shared" si="41"/>
        <v/>
      </c>
      <c r="AI226" s="525" t="str">
        <f>IF(AH226="Check Data ⚠","Check Data ⚠",IFERROR(VLOOKUP(AH226,'G-4 Temporal multipliers'!$A$4:$C$36,3,FALSE),""))</f>
        <v/>
      </c>
      <c r="AJ226" s="537" t="str">
        <f>IF(S226="","",VLOOKUP(S226,'G-3 Multipliers'!$A$2:$E$129,4,FALSE))</f>
        <v/>
      </c>
      <c r="AK226" s="520" t="str">
        <f t="shared" si="42"/>
        <v/>
      </c>
      <c r="AL226" s="520" t="str">
        <f t="shared" si="43"/>
        <v/>
      </c>
      <c r="AM226" s="524" t="str">
        <f>IFERROR(IF(F226="","",IF(AH226="Check Data ⚠","Check Data ⚠",VLOOKUP(AL226, 'G-3 Multipliers'!$P$2:$Q$6,2,FALSE))),"")</f>
        <v/>
      </c>
      <c r="AN226" s="197"/>
      <c r="AO226" s="540" t="str">
        <f>IF(AN226="","",IF(VLOOKUP(AN226,'G-3 Multipliers'!$S$3:$T$9,2,FALSE)=0,"Spatial Data Missing ⚠",VLOOKUP(AN226,'G-3 Multipliers'!$S$3:$T$9,2,FALSE)))</f>
        <v/>
      </c>
      <c r="AP226" s="513" t="str">
        <f t="shared" si="44"/>
        <v/>
      </c>
      <c r="AQ226" s="231"/>
      <c r="AR226" s="150"/>
    </row>
    <row r="227" spans="1:44" x14ac:dyDescent="0.3">
      <c r="A227" s="31" t="str">
        <f>IF(E227="","",IF(ISNA(VLOOKUP($E227,'D-1 Off Site Habitat Baseline'!$D$1:$O$258,2,FALSE)),"",(VLOOKUP($E227,'D-1 Off Site Habitat Baseline'!$D$1:$O$258,2,FALSE))))</f>
        <v/>
      </c>
      <c r="B227" s="31" t="str">
        <f>IF(E227="","",IF(ISNA(VLOOKUP($E227,'D-1 Off Site Habitat Baseline'!$D$1:$O$258,3,FALSE)),"",(VLOOKUP($E227,'D-1 Off Site Habitat Baseline'!$D$1:$O$258,3,FALSE))))</f>
        <v/>
      </c>
      <c r="C227" s="31" t="str">
        <f>IFERROR(INDEX('G-8 Condition Look up'!$I$4:$I$130,MATCH(S227,'G-8 Condition Look up'!$A$4:$A$130,0)),"")</f>
        <v/>
      </c>
      <c r="E227" s="547" t="str">
        <f>'D-1 Off Site Habitat Baseline'!AL226</f>
        <v/>
      </c>
      <c r="F227" s="520" t="str">
        <f>IF(E227="","",IF(ISNA(VLOOKUP($E227,'D-1 Off Site Habitat Baseline'!$D$1:$O$258,4,FALSE)),"",(VLOOKUP($E227,'D-1 Off Site Habitat Baseline'!$D$1:$O$258,4,FALSE))))</f>
        <v/>
      </c>
      <c r="G227" s="520" t="str">
        <f>IF(E227="","",IF(ISNA(VLOOKUP($E227,'D-1 Off Site Habitat Baseline'!$D$1:$O$258,5,FALSE)),"",(VLOOKUP($E227,'D-1 Off Site Habitat Baseline'!$D$1:$O$258,5,FALSE))))</f>
        <v/>
      </c>
      <c r="H227" s="520" t="str">
        <f>IF(E227="","",IF(ISNA(VLOOKUP($E227,'D-1 Off Site Habitat Baseline'!$D$1:$O$258,6,FALSE)),"",(VLOOKUP($E227,'D-1 Off Site Habitat Baseline'!$D$1:$O$258,6,FALSE))))</f>
        <v/>
      </c>
      <c r="I227" s="520" t="str">
        <f>IF(E227="","",IF(ISNA(VLOOKUP($E227,'D-1 Off Site Habitat Baseline'!$D$1:$O$258,7,FALSE)),"",(VLOOKUP($E227,'D-1 Off Site Habitat Baseline'!$D$1:$O$258,7,FALSE))))</f>
        <v/>
      </c>
      <c r="J227" s="520" t="str">
        <f>IF(E227="","",IF(ISNA(VLOOKUP($E227,'D-1 Off Site Habitat Baseline'!$D$1:$O$258,8,FALSE)),"",(VLOOKUP($E227,'D-1 Off Site Habitat Baseline'!$D$1:$O$258,8,FALSE))))</f>
        <v/>
      </c>
      <c r="K227" s="520" t="str">
        <f>IF(E227="","",IF(ISNA(VLOOKUP($E227,'D-1 Off Site Habitat Baseline'!$D$1:$O$258,9,FALSE)),"",(VLOOKUP($E227,'D-1 Off Site Habitat Baseline'!$D$1:$O$258,9,FALSE))))</f>
        <v/>
      </c>
      <c r="L227" s="520" t="str">
        <f>IF(E227="","",IF(ISNA(VLOOKUP($E227,'D-1 Off Site Habitat Baseline'!$D$1:$O$258,11,FALSE)),"",(VLOOKUP($E227,'D-1 Off Site Habitat Baseline'!$D$1:$O$258,11,FALSE))))</f>
        <v/>
      </c>
      <c r="M227" s="520" t="str">
        <f>IF(E227="","",IF(ISNA(VLOOKUP($E227,'D-1 Off Site Habitat Baseline'!$D$1:$O$258,12,FALSE)),"",(VLOOKUP($E227,'D-1 Off Site Habitat Baseline'!$D$1:$O$258,12,FALSE))))</f>
        <v/>
      </c>
      <c r="N227" s="520" t="str">
        <f>IF(E227="","",IF(ISNA(VLOOKUP($E227,'D-1 Off Site Habitat Baseline'!$D$1:$X$258,14,FALSE)),"",(VLOOKUP($E227,'D-1 Off Site Habitat Baseline'!$D$1:$X$258,14,FALSE))))</f>
        <v/>
      </c>
      <c r="O227" s="524" t="str">
        <f>IF(E227="","",IF(ISNA(VLOOKUP($E227,'D-1 Off Site Habitat Baseline'!$D$1:$X$258,13,FALSE)),"",(VLOOKUP($E227,'D-1 Off Site Habitat Baseline'!$D$1:$X$258,13,FALSE))))</f>
        <v/>
      </c>
      <c r="P227" s="232" t="str">
        <f>IFERROR(INDEX('G-1 All Habitats'!$AG$3:$AG$15,MATCH(Q227,'G-1 All Habitats'!$AF$3:$AF$15,0)),"")</f>
        <v/>
      </c>
      <c r="Q227" s="228" t="str">
        <f t="shared" si="45"/>
        <v/>
      </c>
      <c r="R227" s="229" t="str">
        <f t="shared" si="46"/>
        <v/>
      </c>
      <c r="S227" s="233" t="str">
        <f>IFERROR(INDEX('G-1 All Habitats'!$B$3:$B$129,MATCH(R227,'G-1 All Habitats'!$A$3:$A$129,0)),"")</f>
        <v/>
      </c>
      <c r="T227" s="507" t="str">
        <f t="shared" si="38"/>
        <v/>
      </c>
      <c r="U227" s="524" t="str">
        <f t="shared" si="39"/>
        <v/>
      </c>
      <c r="V227" s="523" t="str">
        <f t="shared" si="36"/>
        <v/>
      </c>
      <c r="W227" s="520" t="str">
        <f>IF(S227="","",VLOOKUP(S227,'G-1 All Habitats'!$B$2:$M$129,10,FALSE))</f>
        <v/>
      </c>
      <c r="X227" s="520" t="str">
        <f>IFERROR(VLOOKUP(W227,'G-1 All Habitats'!$V$3:$W$7,2,FALSE),"")</f>
        <v/>
      </c>
      <c r="Y227" s="203"/>
      <c r="Z227" s="524" t="str">
        <f>IFERROR(INDEX('G-8 Condition Look up'!$A$3:$H$130,MATCH(S227,'G-8 Condition Look up'!$A$3:$A$130,0),MATCH(Y227,'G-8 Condition Look up'!$A$3:$H$3,0)),"")</f>
        <v/>
      </c>
      <c r="AA227" s="145"/>
      <c r="AB227" s="540" t="str">
        <f>IF(AA227="","",IF(VLOOKUP(AA227,'G-3 Multipliers'!$L$3:$N$6,2,FALSE)=0,"Spatial Data Missing ⚠",VLOOKUP(AA227,'G-3 Multipliers'!$L$3:$N$6,2,FALSE)))</f>
        <v/>
      </c>
      <c r="AC227" s="524" t="str">
        <f>IF(AA227="","",IF(VLOOKUP(AA227,'G-3 Multipliers'!$L$3:$N$6,3,FALSE)=0,"Spatial Data Missing ⚠",VLOOKUP(AA227,'G-3 Multipliers'!$L$3:$N$6,3,FALSE)))</f>
        <v/>
      </c>
      <c r="AD227" s="537" t="str">
        <f t="shared" si="37"/>
        <v/>
      </c>
      <c r="AE227" s="203"/>
      <c r="AF227" s="203"/>
      <c r="AG227" s="520" t="str">
        <f t="shared" si="40"/>
        <v/>
      </c>
      <c r="AH227" s="544" t="str">
        <f t="shared" si="41"/>
        <v/>
      </c>
      <c r="AI227" s="525" t="str">
        <f>IF(AH227="Check Data ⚠","Check Data ⚠",IFERROR(VLOOKUP(AH227,'G-4 Temporal multipliers'!$A$4:$C$36,3,FALSE),""))</f>
        <v/>
      </c>
      <c r="AJ227" s="537" t="str">
        <f>IF(S227="","",VLOOKUP(S227,'G-3 Multipliers'!$A$2:$E$129,4,FALSE))</f>
        <v/>
      </c>
      <c r="AK227" s="520" t="str">
        <f t="shared" si="42"/>
        <v/>
      </c>
      <c r="AL227" s="520" t="str">
        <f t="shared" si="43"/>
        <v/>
      </c>
      <c r="AM227" s="524" t="str">
        <f>IFERROR(IF(F227="","",IF(AH227="Check Data ⚠","Check Data ⚠",VLOOKUP(AL227, 'G-3 Multipliers'!$P$2:$Q$6,2,FALSE))),"")</f>
        <v/>
      </c>
      <c r="AN227" s="197"/>
      <c r="AO227" s="540" t="str">
        <f>IF(AN227="","",IF(VLOOKUP(AN227,'G-3 Multipliers'!$S$3:$T$9,2,FALSE)=0,"Spatial Data Missing ⚠",VLOOKUP(AN227,'G-3 Multipliers'!$S$3:$T$9,2,FALSE)))</f>
        <v/>
      </c>
      <c r="AP227" s="513" t="str">
        <f t="shared" si="44"/>
        <v/>
      </c>
      <c r="AQ227" s="231"/>
      <c r="AR227" s="150"/>
    </row>
    <row r="228" spans="1:44" x14ac:dyDescent="0.3">
      <c r="A228" s="31" t="str">
        <f>IF(E228="","",IF(ISNA(VLOOKUP($E228,'D-1 Off Site Habitat Baseline'!$D$1:$O$258,2,FALSE)),"",(VLOOKUP($E228,'D-1 Off Site Habitat Baseline'!$D$1:$O$258,2,FALSE))))</f>
        <v/>
      </c>
      <c r="B228" s="31" t="str">
        <f>IF(E228="","",IF(ISNA(VLOOKUP($E228,'D-1 Off Site Habitat Baseline'!$D$1:$O$258,3,FALSE)),"",(VLOOKUP($E228,'D-1 Off Site Habitat Baseline'!$D$1:$O$258,3,FALSE))))</f>
        <v/>
      </c>
      <c r="C228" s="31" t="str">
        <f>IFERROR(INDEX('G-8 Condition Look up'!$I$4:$I$130,MATCH(S228,'G-8 Condition Look up'!$A$4:$A$130,0)),"")</f>
        <v/>
      </c>
      <c r="E228" s="547" t="str">
        <f>'D-1 Off Site Habitat Baseline'!AL227</f>
        <v/>
      </c>
      <c r="F228" s="520" t="str">
        <f>IF(E228="","",IF(ISNA(VLOOKUP($E228,'D-1 Off Site Habitat Baseline'!$D$1:$O$258,4,FALSE)),"",(VLOOKUP($E228,'D-1 Off Site Habitat Baseline'!$D$1:$O$258,4,FALSE))))</f>
        <v/>
      </c>
      <c r="G228" s="520" t="str">
        <f>IF(E228="","",IF(ISNA(VLOOKUP($E228,'D-1 Off Site Habitat Baseline'!$D$1:$O$258,5,FALSE)),"",(VLOOKUP($E228,'D-1 Off Site Habitat Baseline'!$D$1:$O$258,5,FALSE))))</f>
        <v/>
      </c>
      <c r="H228" s="520" t="str">
        <f>IF(E228="","",IF(ISNA(VLOOKUP($E228,'D-1 Off Site Habitat Baseline'!$D$1:$O$258,6,FALSE)),"",(VLOOKUP($E228,'D-1 Off Site Habitat Baseline'!$D$1:$O$258,6,FALSE))))</f>
        <v/>
      </c>
      <c r="I228" s="520" t="str">
        <f>IF(E228="","",IF(ISNA(VLOOKUP($E228,'D-1 Off Site Habitat Baseline'!$D$1:$O$258,7,FALSE)),"",(VLOOKUP($E228,'D-1 Off Site Habitat Baseline'!$D$1:$O$258,7,FALSE))))</f>
        <v/>
      </c>
      <c r="J228" s="520" t="str">
        <f>IF(E228="","",IF(ISNA(VLOOKUP($E228,'D-1 Off Site Habitat Baseline'!$D$1:$O$258,8,FALSE)),"",(VLOOKUP($E228,'D-1 Off Site Habitat Baseline'!$D$1:$O$258,8,FALSE))))</f>
        <v/>
      </c>
      <c r="K228" s="520" t="str">
        <f>IF(E228="","",IF(ISNA(VLOOKUP($E228,'D-1 Off Site Habitat Baseline'!$D$1:$O$258,9,FALSE)),"",(VLOOKUP($E228,'D-1 Off Site Habitat Baseline'!$D$1:$O$258,9,FALSE))))</f>
        <v/>
      </c>
      <c r="L228" s="520" t="str">
        <f>IF(E228="","",IF(ISNA(VLOOKUP($E228,'D-1 Off Site Habitat Baseline'!$D$1:$O$258,11,FALSE)),"",(VLOOKUP($E228,'D-1 Off Site Habitat Baseline'!$D$1:$O$258,11,FALSE))))</f>
        <v/>
      </c>
      <c r="M228" s="520" t="str">
        <f>IF(E228="","",IF(ISNA(VLOOKUP($E228,'D-1 Off Site Habitat Baseline'!$D$1:$O$258,12,FALSE)),"",(VLOOKUP($E228,'D-1 Off Site Habitat Baseline'!$D$1:$O$258,12,FALSE))))</f>
        <v/>
      </c>
      <c r="N228" s="520" t="str">
        <f>IF(E228="","",IF(ISNA(VLOOKUP($E228,'D-1 Off Site Habitat Baseline'!$D$1:$X$258,14,FALSE)),"",(VLOOKUP($E228,'D-1 Off Site Habitat Baseline'!$D$1:$X$258,14,FALSE))))</f>
        <v/>
      </c>
      <c r="O228" s="524" t="str">
        <f>IF(E228="","",IF(ISNA(VLOOKUP($E228,'D-1 Off Site Habitat Baseline'!$D$1:$X$258,13,FALSE)),"",(VLOOKUP($E228,'D-1 Off Site Habitat Baseline'!$D$1:$X$258,13,FALSE))))</f>
        <v/>
      </c>
      <c r="P228" s="232" t="str">
        <f>IFERROR(INDEX('G-1 All Habitats'!$AG$3:$AG$15,MATCH(Q228,'G-1 All Habitats'!$AF$3:$AF$15,0)),"")</f>
        <v/>
      </c>
      <c r="Q228" s="228" t="str">
        <f t="shared" si="45"/>
        <v/>
      </c>
      <c r="R228" s="229" t="str">
        <f t="shared" si="46"/>
        <v/>
      </c>
      <c r="S228" s="233" t="str">
        <f>IFERROR(INDEX('G-1 All Habitats'!$B$3:$B$129,MATCH(R228,'G-1 All Habitats'!$A$3:$A$129,0)),"")</f>
        <v/>
      </c>
      <c r="T228" s="507" t="str">
        <f t="shared" si="38"/>
        <v/>
      </c>
      <c r="U228" s="524" t="str">
        <f t="shared" si="39"/>
        <v/>
      </c>
      <c r="V228" s="523" t="str">
        <f t="shared" si="36"/>
        <v/>
      </c>
      <c r="W228" s="520" t="str">
        <f>IF(S228="","",VLOOKUP(S228,'G-1 All Habitats'!$B$2:$M$129,10,FALSE))</f>
        <v/>
      </c>
      <c r="X228" s="520" t="str">
        <f>IFERROR(VLOOKUP(W228,'G-1 All Habitats'!$V$3:$W$7,2,FALSE),"")</f>
        <v/>
      </c>
      <c r="Y228" s="203"/>
      <c r="Z228" s="524" t="str">
        <f>IFERROR(INDEX('G-8 Condition Look up'!$A$3:$H$130,MATCH(S228,'G-8 Condition Look up'!$A$3:$A$130,0),MATCH(Y228,'G-8 Condition Look up'!$A$3:$H$3,0)),"")</f>
        <v/>
      </c>
      <c r="AA228" s="145"/>
      <c r="AB228" s="540" t="str">
        <f>IF(AA228="","",IF(VLOOKUP(AA228,'G-3 Multipliers'!$L$3:$N$6,2,FALSE)=0,"Spatial Data Missing ⚠",VLOOKUP(AA228,'G-3 Multipliers'!$L$3:$N$6,2,FALSE)))</f>
        <v/>
      </c>
      <c r="AC228" s="524" t="str">
        <f>IF(AA228="","",IF(VLOOKUP(AA228,'G-3 Multipliers'!$L$3:$N$6,3,FALSE)=0,"Spatial Data Missing ⚠",VLOOKUP(AA228,'G-3 Multipliers'!$L$3:$N$6,3,FALSE)))</f>
        <v/>
      </c>
      <c r="AD228" s="537" t="str">
        <f t="shared" si="37"/>
        <v/>
      </c>
      <c r="AE228" s="203"/>
      <c r="AF228" s="203"/>
      <c r="AG228" s="520" t="str">
        <f t="shared" si="40"/>
        <v/>
      </c>
      <c r="AH228" s="544" t="str">
        <f t="shared" si="41"/>
        <v/>
      </c>
      <c r="AI228" s="525" t="str">
        <f>IF(AH228="Check Data ⚠","Check Data ⚠",IFERROR(VLOOKUP(AH228,'G-4 Temporal multipliers'!$A$4:$C$36,3,FALSE),""))</f>
        <v/>
      </c>
      <c r="AJ228" s="537" t="str">
        <f>IF(S228="","",VLOOKUP(S228,'G-3 Multipliers'!$A$2:$E$129,4,FALSE))</f>
        <v/>
      </c>
      <c r="AK228" s="520" t="str">
        <f t="shared" si="42"/>
        <v/>
      </c>
      <c r="AL228" s="520" t="str">
        <f t="shared" si="43"/>
        <v/>
      </c>
      <c r="AM228" s="524" t="str">
        <f>IFERROR(IF(F228="","",IF(AH228="Check Data ⚠","Check Data ⚠",VLOOKUP(AL228, 'G-3 Multipliers'!$P$2:$Q$6,2,FALSE))),"")</f>
        <v/>
      </c>
      <c r="AN228" s="197"/>
      <c r="AO228" s="540" t="str">
        <f>IF(AN228="","",IF(VLOOKUP(AN228,'G-3 Multipliers'!$S$3:$T$9,2,FALSE)=0,"Spatial Data Missing ⚠",VLOOKUP(AN228,'G-3 Multipliers'!$S$3:$T$9,2,FALSE)))</f>
        <v/>
      </c>
      <c r="AP228" s="513" t="str">
        <f t="shared" si="44"/>
        <v/>
      </c>
      <c r="AQ228" s="231"/>
      <c r="AR228" s="150"/>
    </row>
    <row r="229" spans="1:44" x14ac:dyDescent="0.3">
      <c r="A229" s="31" t="str">
        <f>IF(E229="","",IF(ISNA(VLOOKUP($E229,'D-1 Off Site Habitat Baseline'!$D$1:$O$258,2,FALSE)),"",(VLOOKUP($E229,'D-1 Off Site Habitat Baseline'!$D$1:$O$258,2,FALSE))))</f>
        <v/>
      </c>
      <c r="B229" s="31" t="str">
        <f>IF(E229="","",IF(ISNA(VLOOKUP($E229,'D-1 Off Site Habitat Baseline'!$D$1:$O$258,3,FALSE)),"",(VLOOKUP($E229,'D-1 Off Site Habitat Baseline'!$D$1:$O$258,3,FALSE))))</f>
        <v/>
      </c>
      <c r="C229" s="31" t="str">
        <f>IFERROR(INDEX('G-8 Condition Look up'!$I$4:$I$130,MATCH(S229,'G-8 Condition Look up'!$A$4:$A$130,0)),"")</f>
        <v/>
      </c>
      <c r="E229" s="547" t="str">
        <f>'D-1 Off Site Habitat Baseline'!AL228</f>
        <v/>
      </c>
      <c r="F229" s="520" t="str">
        <f>IF(E229="","",IF(ISNA(VLOOKUP($E229,'D-1 Off Site Habitat Baseline'!$D$1:$O$258,4,FALSE)),"",(VLOOKUP($E229,'D-1 Off Site Habitat Baseline'!$D$1:$O$258,4,FALSE))))</f>
        <v/>
      </c>
      <c r="G229" s="520" t="str">
        <f>IF(E229="","",IF(ISNA(VLOOKUP($E229,'D-1 Off Site Habitat Baseline'!$D$1:$O$258,5,FALSE)),"",(VLOOKUP($E229,'D-1 Off Site Habitat Baseline'!$D$1:$O$258,5,FALSE))))</f>
        <v/>
      </c>
      <c r="H229" s="520" t="str">
        <f>IF(E229="","",IF(ISNA(VLOOKUP($E229,'D-1 Off Site Habitat Baseline'!$D$1:$O$258,6,FALSE)),"",(VLOOKUP($E229,'D-1 Off Site Habitat Baseline'!$D$1:$O$258,6,FALSE))))</f>
        <v/>
      </c>
      <c r="I229" s="520" t="str">
        <f>IF(E229="","",IF(ISNA(VLOOKUP($E229,'D-1 Off Site Habitat Baseline'!$D$1:$O$258,7,FALSE)),"",(VLOOKUP($E229,'D-1 Off Site Habitat Baseline'!$D$1:$O$258,7,FALSE))))</f>
        <v/>
      </c>
      <c r="J229" s="520" t="str">
        <f>IF(E229="","",IF(ISNA(VLOOKUP($E229,'D-1 Off Site Habitat Baseline'!$D$1:$O$258,8,FALSE)),"",(VLOOKUP($E229,'D-1 Off Site Habitat Baseline'!$D$1:$O$258,8,FALSE))))</f>
        <v/>
      </c>
      <c r="K229" s="520" t="str">
        <f>IF(E229="","",IF(ISNA(VLOOKUP($E229,'D-1 Off Site Habitat Baseline'!$D$1:$O$258,9,FALSE)),"",(VLOOKUP($E229,'D-1 Off Site Habitat Baseline'!$D$1:$O$258,9,FALSE))))</f>
        <v/>
      </c>
      <c r="L229" s="520" t="str">
        <f>IF(E229="","",IF(ISNA(VLOOKUP($E229,'D-1 Off Site Habitat Baseline'!$D$1:$O$258,11,FALSE)),"",(VLOOKUP($E229,'D-1 Off Site Habitat Baseline'!$D$1:$O$258,11,FALSE))))</f>
        <v/>
      </c>
      <c r="M229" s="520" t="str">
        <f>IF(E229="","",IF(ISNA(VLOOKUP($E229,'D-1 Off Site Habitat Baseline'!$D$1:$O$258,12,FALSE)),"",(VLOOKUP($E229,'D-1 Off Site Habitat Baseline'!$D$1:$O$258,12,FALSE))))</f>
        <v/>
      </c>
      <c r="N229" s="520" t="str">
        <f>IF(E229="","",IF(ISNA(VLOOKUP($E229,'D-1 Off Site Habitat Baseline'!$D$1:$X$258,14,FALSE)),"",(VLOOKUP($E229,'D-1 Off Site Habitat Baseline'!$D$1:$X$258,14,FALSE))))</f>
        <v/>
      </c>
      <c r="O229" s="524" t="str">
        <f>IF(E229="","",IF(ISNA(VLOOKUP($E229,'D-1 Off Site Habitat Baseline'!$D$1:$X$258,13,FALSE)),"",(VLOOKUP($E229,'D-1 Off Site Habitat Baseline'!$D$1:$X$258,13,FALSE))))</f>
        <v/>
      </c>
      <c r="P229" s="232" t="str">
        <f>IFERROR(INDEX('G-1 All Habitats'!$AG$3:$AG$15,MATCH(Q229,'G-1 All Habitats'!$AF$3:$AF$15,0)),"")</f>
        <v/>
      </c>
      <c r="Q229" s="228" t="str">
        <f t="shared" si="45"/>
        <v/>
      </c>
      <c r="R229" s="229" t="str">
        <f t="shared" si="46"/>
        <v/>
      </c>
      <c r="S229" s="233" t="str">
        <f>IFERROR(INDEX('G-1 All Habitats'!$B$3:$B$129,MATCH(R229,'G-1 All Habitats'!$A$3:$A$129,0)),"")</f>
        <v/>
      </c>
      <c r="T229" s="507" t="str">
        <f t="shared" si="38"/>
        <v/>
      </c>
      <c r="U229" s="524" t="str">
        <f t="shared" si="39"/>
        <v/>
      </c>
      <c r="V229" s="523" t="str">
        <f t="shared" si="36"/>
        <v/>
      </c>
      <c r="W229" s="520" t="str">
        <f>IF(S229="","",VLOOKUP(S229,'G-1 All Habitats'!$B$2:$M$129,10,FALSE))</f>
        <v/>
      </c>
      <c r="X229" s="520" t="str">
        <f>IFERROR(VLOOKUP(W229,'G-1 All Habitats'!$V$3:$W$7,2,FALSE),"")</f>
        <v/>
      </c>
      <c r="Y229" s="203"/>
      <c r="Z229" s="524" t="str">
        <f>IFERROR(INDEX('G-8 Condition Look up'!$A$3:$H$130,MATCH(S229,'G-8 Condition Look up'!$A$3:$A$130,0),MATCH(Y229,'G-8 Condition Look up'!$A$3:$H$3,0)),"")</f>
        <v/>
      </c>
      <c r="AA229" s="145"/>
      <c r="AB229" s="540" t="str">
        <f>IF(AA229="","",IF(VLOOKUP(AA229,'G-3 Multipliers'!$L$3:$N$6,2,FALSE)=0,"Spatial Data Missing ⚠",VLOOKUP(AA229,'G-3 Multipliers'!$L$3:$N$6,2,FALSE)))</f>
        <v/>
      </c>
      <c r="AC229" s="524" t="str">
        <f>IF(AA229="","",IF(VLOOKUP(AA229,'G-3 Multipliers'!$L$3:$N$6,3,FALSE)=0,"Spatial Data Missing ⚠",VLOOKUP(AA229,'G-3 Multipliers'!$L$3:$N$6,3,FALSE)))</f>
        <v/>
      </c>
      <c r="AD229" s="537" t="str">
        <f t="shared" si="37"/>
        <v/>
      </c>
      <c r="AE229" s="203"/>
      <c r="AF229" s="203"/>
      <c r="AG229" s="520" t="str">
        <f t="shared" si="40"/>
        <v/>
      </c>
      <c r="AH229" s="544" t="str">
        <f t="shared" si="41"/>
        <v/>
      </c>
      <c r="AI229" s="525" t="str">
        <f>IF(AH229="Check Data ⚠","Check Data ⚠",IFERROR(VLOOKUP(AH229,'G-4 Temporal multipliers'!$A$4:$C$36,3,FALSE),""))</f>
        <v/>
      </c>
      <c r="AJ229" s="537" t="str">
        <f>IF(S229="","",VLOOKUP(S229,'G-3 Multipliers'!$A$2:$E$129,4,FALSE))</f>
        <v/>
      </c>
      <c r="AK229" s="520" t="str">
        <f t="shared" si="42"/>
        <v/>
      </c>
      <c r="AL229" s="520" t="str">
        <f t="shared" si="43"/>
        <v/>
      </c>
      <c r="AM229" s="524" t="str">
        <f>IFERROR(IF(F229="","",IF(AH229="Check Data ⚠","Check Data ⚠",VLOOKUP(AL229, 'G-3 Multipliers'!$P$2:$Q$6,2,FALSE))),"")</f>
        <v/>
      </c>
      <c r="AN229" s="197"/>
      <c r="AO229" s="540" t="str">
        <f>IF(AN229="","",IF(VLOOKUP(AN229,'G-3 Multipliers'!$S$3:$T$9,2,FALSE)=0,"Spatial Data Missing ⚠",VLOOKUP(AN229,'G-3 Multipliers'!$S$3:$T$9,2,FALSE)))</f>
        <v/>
      </c>
      <c r="AP229" s="513" t="str">
        <f t="shared" si="44"/>
        <v/>
      </c>
      <c r="AQ229" s="231"/>
      <c r="AR229" s="150"/>
    </row>
    <row r="230" spans="1:44" x14ac:dyDescent="0.3">
      <c r="A230" s="31" t="str">
        <f>IF(E230="","",IF(ISNA(VLOOKUP($E230,'D-1 Off Site Habitat Baseline'!$D$1:$O$258,2,FALSE)),"",(VLOOKUP($E230,'D-1 Off Site Habitat Baseline'!$D$1:$O$258,2,FALSE))))</f>
        <v/>
      </c>
      <c r="B230" s="31" t="str">
        <f>IF(E230="","",IF(ISNA(VLOOKUP($E230,'D-1 Off Site Habitat Baseline'!$D$1:$O$258,3,FALSE)),"",(VLOOKUP($E230,'D-1 Off Site Habitat Baseline'!$D$1:$O$258,3,FALSE))))</f>
        <v/>
      </c>
      <c r="C230" s="31" t="str">
        <f>IFERROR(INDEX('G-8 Condition Look up'!$I$4:$I$130,MATCH(S230,'G-8 Condition Look up'!$A$4:$A$130,0)),"")</f>
        <v/>
      </c>
      <c r="E230" s="547" t="str">
        <f>'D-1 Off Site Habitat Baseline'!AL229</f>
        <v/>
      </c>
      <c r="F230" s="520" t="str">
        <f>IF(E230="","",IF(ISNA(VLOOKUP($E230,'D-1 Off Site Habitat Baseline'!$D$1:$O$258,4,FALSE)),"",(VLOOKUP($E230,'D-1 Off Site Habitat Baseline'!$D$1:$O$258,4,FALSE))))</f>
        <v/>
      </c>
      <c r="G230" s="520" t="str">
        <f>IF(E230="","",IF(ISNA(VLOOKUP($E230,'D-1 Off Site Habitat Baseline'!$D$1:$O$258,5,FALSE)),"",(VLOOKUP($E230,'D-1 Off Site Habitat Baseline'!$D$1:$O$258,5,FALSE))))</f>
        <v/>
      </c>
      <c r="H230" s="520" t="str">
        <f>IF(E230="","",IF(ISNA(VLOOKUP($E230,'D-1 Off Site Habitat Baseline'!$D$1:$O$258,6,FALSE)),"",(VLOOKUP($E230,'D-1 Off Site Habitat Baseline'!$D$1:$O$258,6,FALSE))))</f>
        <v/>
      </c>
      <c r="I230" s="520" t="str">
        <f>IF(E230="","",IF(ISNA(VLOOKUP($E230,'D-1 Off Site Habitat Baseline'!$D$1:$O$258,7,FALSE)),"",(VLOOKUP($E230,'D-1 Off Site Habitat Baseline'!$D$1:$O$258,7,FALSE))))</f>
        <v/>
      </c>
      <c r="J230" s="520" t="str">
        <f>IF(E230="","",IF(ISNA(VLOOKUP($E230,'D-1 Off Site Habitat Baseline'!$D$1:$O$258,8,FALSE)),"",(VLOOKUP($E230,'D-1 Off Site Habitat Baseline'!$D$1:$O$258,8,FALSE))))</f>
        <v/>
      </c>
      <c r="K230" s="520" t="str">
        <f>IF(E230="","",IF(ISNA(VLOOKUP($E230,'D-1 Off Site Habitat Baseline'!$D$1:$O$258,9,FALSE)),"",(VLOOKUP($E230,'D-1 Off Site Habitat Baseline'!$D$1:$O$258,9,FALSE))))</f>
        <v/>
      </c>
      <c r="L230" s="520" t="str">
        <f>IF(E230="","",IF(ISNA(VLOOKUP($E230,'D-1 Off Site Habitat Baseline'!$D$1:$O$258,11,FALSE)),"",(VLOOKUP($E230,'D-1 Off Site Habitat Baseline'!$D$1:$O$258,11,FALSE))))</f>
        <v/>
      </c>
      <c r="M230" s="520" t="str">
        <f>IF(E230="","",IF(ISNA(VLOOKUP($E230,'D-1 Off Site Habitat Baseline'!$D$1:$O$258,12,FALSE)),"",(VLOOKUP($E230,'D-1 Off Site Habitat Baseline'!$D$1:$O$258,12,FALSE))))</f>
        <v/>
      </c>
      <c r="N230" s="520" t="str">
        <f>IF(E230="","",IF(ISNA(VLOOKUP($E230,'D-1 Off Site Habitat Baseline'!$D$1:$X$258,14,FALSE)),"",(VLOOKUP($E230,'D-1 Off Site Habitat Baseline'!$D$1:$X$258,14,FALSE))))</f>
        <v/>
      </c>
      <c r="O230" s="524" t="str">
        <f>IF(E230="","",IF(ISNA(VLOOKUP($E230,'D-1 Off Site Habitat Baseline'!$D$1:$X$258,13,FALSE)),"",(VLOOKUP($E230,'D-1 Off Site Habitat Baseline'!$D$1:$X$258,13,FALSE))))</f>
        <v/>
      </c>
      <c r="P230" s="232" t="str">
        <f>IFERROR(INDEX('G-1 All Habitats'!$AG$3:$AG$15,MATCH(Q230,'G-1 All Habitats'!$AF$3:$AF$15,0)),"")</f>
        <v/>
      </c>
      <c r="Q230" s="228" t="str">
        <f t="shared" si="45"/>
        <v/>
      </c>
      <c r="R230" s="229" t="str">
        <f t="shared" si="46"/>
        <v/>
      </c>
      <c r="S230" s="233" t="str">
        <f>IFERROR(INDEX('G-1 All Habitats'!$B$3:$B$129,MATCH(R230,'G-1 All Habitats'!$A$3:$A$129,0)),"")</f>
        <v/>
      </c>
      <c r="T230" s="507" t="str">
        <f t="shared" si="38"/>
        <v/>
      </c>
      <c r="U230" s="524" t="str">
        <f t="shared" si="39"/>
        <v/>
      </c>
      <c r="V230" s="523" t="str">
        <f t="shared" si="36"/>
        <v/>
      </c>
      <c r="W230" s="520" t="str">
        <f>IF(S230="","",VLOOKUP(S230,'G-1 All Habitats'!$B$2:$M$129,10,FALSE))</f>
        <v/>
      </c>
      <c r="X230" s="520" t="str">
        <f>IFERROR(VLOOKUP(W230,'G-1 All Habitats'!$V$3:$W$7,2,FALSE),"")</f>
        <v/>
      </c>
      <c r="Y230" s="203"/>
      <c r="Z230" s="524" t="str">
        <f>IFERROR(INDEX('G-8 Condition Look up'!$A$3:$H$130,MATCH(S230,'G-8 Condition Look up'!$A$3:$A$130,0),MATCH(Y230,'G-8 Condition Look up'!$A$3:$H$3,0)),"")</f>
        <v/>
      </c>
      <c r="AA230" s="145"/>
      <c r="AB230" s="540" t="str">
        <f>IF(AA230="","",IF(VLOOKUP(AA230,'G-3 Multipliers'!$L$3:$N$6,2,FALSE)=0,"Spatial Data Missing ⚠",VLOOKUP(AA230,'G-3 Multipliers'!$L$3:$N$6,2,FALSE)))</f>
        <v/>
      </c>
      <c r="AC230" s="524" t="str">
        <f>IF(AA230="","",IF(VLOOKUP(AA230,'G-3 Multipliers'!$L$3:$N$6,3,FALSE)=0,"Spatial Data Missing ⚠",VLOOKUP(AA230,'G-3 Multipliers'!$L$3:$N$6,3,FALSE)))</f>
        <v/>
      </c>
      <c r="AD230" s="537" t="str">
        <f t="shared" si="37"/>
        <v/>
      </c>
      <c r="AE230" s="203"/>
      <c r="AF230" s="203"/>
      <c r="AG230" s="520" t="str">
        <f t="shared" si="40"/>
        <v/>
      </c>
      <c r="AH230" s="544" t="str">
        <f t="shared" si="41"/>
        <v/>
      </c>
      <c r="AI230" s="525" t="str">
        <f>IF(AH230="Check Data ⚠","Check Data ⚠",IFERROR(VLOOKUP(AH230,'G-4 Temporal multipliers'!$A$4:$C$36,3,FALSE),""))</f>
        <v/>
      </c>
      <c r="AJ230" s="537" t="str">
        <f>IF(S230="","",VLOOKUP(S230,'G-3 Multipliers'!$A$2:$E$129,4,FALSE))</f>
        <v/>
      </c>
      <c r="AK230" s="520" t="str">
        <f t="shared" si="42"/>
        <v/>
      </c>
      <c r="AL230" s="520" t="str">
        <f t="shared" si="43"/>
        <v/>
      </c>
      <c r="AM230" s="524" t="str">
        <f>IFERROR(IF(F230="","",IF(AH230="Check Data ⚠","Check Data ⚠",VLOOKUP(AL230, 'G-3 Multipliers'!$P$2:$Q$6,2,FALSE))),"")</f>
        <v/>
      </c>
      <c r="AN230" s="197"/>
      <c r="AO230" s="540" t="str">
        <f>IF(AN230="","",IF(VLOOKUP(AN230,'G-3 Multipliers'!$S$3:$T$9,2,FALSE)=0,"Spatial Data Missing ⚠",VLOOKUP(AN230,'G-3 Multipliers'!$S$3:$T$9,2,FALSE)))</f>
        <v/>
      </c>
      <c r="AP230" s="513" t="str">
        <f t="shared" si="44"/>
        <v/>
      </c>
      <c r="AQ230" s="231"/>
      <c r="AR230" s="150"/>
    </row>
    <row r="231" spans="1:44" x14ac:dyDescent="0.3">
      <c r="A231" s="31" t="str">
        <f>IF(E231="","",IF(ISNA(VLOOKUP($E231,'D-1 Off Site Habitat Baseline'!$D$1:$O$258,2,FALSE)),"",(VLOOKUP($E231,'D-1 Off Site Habitat Baseline'!$D$1:$O$258,2,FALSE))))</f>
        <v/>
      </c>
      <c r="B231" s="31" t="str">
        <f>IF(E231="","",IF(ISNA(VLOOKUP($E231,'D-1 Off Site Habitat Baseline'!$D$1:$O$258,3,FALSE)),"",(VLOOKUP($E231,'D-1 Off Site Habitat Baseline'!$D$1:$O$258,3,FALSE))))</f>
        <v/>
      </c>
      <c r="C231" s="31" t="str">
        <f>IFERROR(INDEX('G-8 Condition Look up'!$I$4:$I$130,MATCH(S231,'G-8 Condition Look up'!$A$4:$A$130,0)),"")</f>
        <v/>
      </c>
      <c r="E231" s="547" t="str">
        <f>'D-1 Off Site Habitat Baseline'!AL230</f>
        <v/>
      </c>
      <c r="F231" s="520" t="str">
        <f>IF(E231="","",IF(ISNA(VLOOKUP($E231,'D-1 Off Site Habitat Baseline'!$D$1:$O$258,4,FALSE)),"",(VLOOKUP($E231,'D-1 Off Site Habitat Baseline'!$D$1:$O$258,4,FALSE))))</f>
        <v/>
      </c>
      <c r="G231" s="520" t="str">
        <f>IF(E231="","",IF(ISNA(VLOOKUP($E231,'D-1 Off Site Habitat Baseline'!$D$1:$O$258,5,FALSE)),"",(VLOOKUP($E231,'D-1 Off Site Habitat Baseline'!$D$1:$O$258,5,FALSE))))</f>
        <v/>
      </c>
      <c r="H231" s="520" t="str">
        <f>IF(E231="","",IF(ISNA(VLOOKUP($E231,'D-1 Off Site Habitat Baseline'!$D$1:$O$258,6,FALSE)),"",(VLOOKUP($E231,'D-1 Off Site Habitat Baseline'!$D$1:$O$258,6,FALSE))))</f>
        <v/>
      </c>
      <c r="I231" s="520" t="str">
        <f>IF(E231="","",IF(ISNA(VLOOKUP($E231,'D-1 Off Site Habitat Baseline'!$D$1:$O$258,7,FALSE)),"",(VLOOKUP($E231,'D-1 Off Site Habitat Baseline'!$D$1:$O$258,7,FALSE))))</f>
        <v/>
      </c>
      <c r="J231" s="520" t="str">
        <f>IF(E231="","",IF(ISNA(VLOOKUP($E231,'D-1 Off Site Habitat Baseline'!$D$1:$O$258,8,FALSE)),"",(VLOOKUP($E231,'D-1 Off Site Habitat Baseline'!$D$1:$O$258,8,FALSE))))</f>
        <v/>
      </c>
      <c r="K231" s="520" t="str">
        <f>IF(E231="","",IF(ISNA(VLOOKUP($E231,'D-1 Off Site Habitat Baseline'!$D$1:$O$258,9,FALSE)),"",(VLOOKUP($E231,'D-1 Off Site Habitat Baseline'!$D$1:$O$258,9,FALSE))))</f>
        <v/>
      </c>
      <c r="L231" s="520" t="str">
        <f>IF(E231="","",IF(ISNA(VLOOKUP($E231,'D-1 Off Site Habitat Baseline'!$D$1:$O$258,11,FALSE)),"",(VLOOKUP($E231,'D-1 Off Site Habitat Baseline'!$D$1:$O$258,11,FALSE))))</f>
        <v/>
      </c>
      <c r="M231" s="520" t="str">
        <f>IF(E231="","",IF(ISNA(VLOOKUP($E231,'D-1 Off Site Habitat Baseline'!$D$1:$O$258,12,FALSE)),"",(VLOOKUP($E231,'D-1 Off Site Habitat Baseline'!$D$1:$O$258,12,FALSE))))</f>
        <v/>
      </c>
      <c r="N231" s="520" t="str">
        <f>IF(E231="","",IF(ISNA(VLOOKUP($E231,'D-1 Off Site Habitat Baseline'!$D$1:$X$258,14,FALSE)),"",(VLOOKUP($E231,'D-1 Off Site Habitat Baseline'!$D$1:$X$258,14,FALSE))))</f>
        <v/>
      </c>
      <c r="O231" s="524" t="str">
        <f>IF(E231="","",IF(ISNA(VLOOKUP($E231,'D-1 Off Site Habitat Baseline'!$D$1:$X$258,13,FALSE)),"",(VLOOKUP($E231,'D-1 Off Site Habitat Baseline'!$D$1:$X$258,13,FALSE))))</f>
        <v/>
      </c>
      <c r="P231" s="232" t="str">
        <f>IFERROR(INDEX('G-1 All Habitats'!$AG$3:$AG$15,MATCH(Q231,'G-1 All Habitats'!$AF$3:$AF$15,0)),"")</f>
        <v/>
      </c>
      <c r="Q231" s="228" t="str">
        <f t="shared" si="45"/>
        <v/>
      </c>
      <c r="R231" s="229" t="str">
        <f t="shared" si="46"/>
        <v/>
      </c>
      <c r="S231" s="233" t="str">
        <f>IFERROR(INDEX('G-1 All Habitats'!$B$3:$B$129,MATCH(R231,'G-1 All Habitats'!$A$3:$A$129,0)),"")</f>
        <v/>
      </c>
      <c r="T231" s="507" t="str">
        <f t="shared" si="38"/>
        <v/>
      </c>
      <c r="U231" s="524" t="str">
        <f t="shared" si="39"/>
        <v/>
      </c>
      <c r="V231" s="523" t="str">
        <f t="shared" si="36"/>
        <v/>
      </c>
      <c r="W231" s="520" t="str">
        <f>IF(S231="","",VLOOKUP(S231,'G-1 All Habitats'!$B$2:$M$129,10,FALSE))</f>
        <v/>
      </c>
      <c r="X231" s="520" t="str">
        <f>IFERROR(VLOOKUP(W231,'G-1 All Habitats'!$V$3:$W$7,2,FALSE),"")</f>
        <v/>
      </c>
      <c r="Y231" s="203"/>
      <c r="Z231" s="524" t="str">
        <f>IFERROR(INDEX('G-8 Condition Look up'!$A$3:$H$130,MATCH(S231,'G-8 Condition Look up'!$A$3:$A$130,0),MATCH(Y231,'G-8 Condition Look up'!$A$3:$H$3,0)),"")</f>
        <v/>
      </c>
      <c r="AA231" s="145"/>
      <c r="AB231" s="540" t="str">
        <f>IF(AA231="","",IF(VLOOKUP(AA231,'G-3 Multipliers'!$L$3:$N$6,2,FALSE)=0,"Spatial Data Missing ⚠",VLOOKUP(AA231,'G-3 Multipliers'!$L$3:$N$6,2,FALSE)))</f>
        <v/>
      </c>
      <c r="AC231" s="524" t="str">
        <f>IF(AA231="","",IF(VLOOKUP(AA231,'G-3 Multipliers'!$L$3:$N$6,3,FALSE)=0,"Spatial Data Missing ⚠",VLOOKUP(AA231,'G-3 Multipliers'!$L$3:$N$6,3,FALSE)))</f>
        <v/>
      </c>
      <c r="AD231" s="537" t="str">
        <f t="shared" si="37"/>
        <v/>
      </c>
      <c r="AE231" s="203"/>
      <c r="AF231" s="203"/>
      <c r="AG231" s="520" t="str">
        <f t="shared" si="40"/>
        <v/>
      </c>
      <c r="AH231" s="544" t="str">
        <f t="shared" si="41"/>
        <v/>
      </c>
      <c r="AI231" s="525" t="str">
        <f>IF(AH231="Check Data ⚠","Check Data ⚠",IFERROR(VLOOKUP(AH231,'G-4 Temporal multipliers'!$A$4:$C$36,3,FALSE),""))</f>
        <v/>
      </c>
      <c r="AJ231" s="537" t="str">
        <f>IF(S231="","",VLOOKUP(S231,'G-3 Multipliers'!$A$2:$E$129,4,FALSE))</f>
        <v/>
      </c>
      <c r="AK231" s="520" t="str">
        <f t="shared" si="42"/>
        <v/>
      </c>
      <c r="AL231" s="520" t="str">
        <f t="shared" si="43"/>
        <v/>
      </c>
      <c r="AM231" s="524" t="str">
        <f>IFERROR(IF(F231="","",IF(AH231="Check Data ⚠","Check Data ⚠",VLOOKUP(AL231, 'G-3 Multipliers'!$P$2:$Q$6,2,FALSE))),"")</f>
        <v/>
      </c>
      <c r="AN231" s="197"/>
      <c r="AO231" s="540" t="str">
        <f>IF(AN231="","",IF(VLOOKUP(AN231,'G-3 Multipliers'!$S$3:$T$9,2,FALSE)=0,"Spatial Data Missing ⚠",VLOOKUP(AN231,'G-3 Multipliers'!$S$3:$T$9,2,FALSE)))</f>
        <v/>
      </c>
      <c r="AP231" s="513" t="str">
        <f t="shared" si="44"/>
        <v/>
      </c>
      <c r="AQ231" s="231"/>
      <c r="AR231" s="150"/>
    </row>
    <row r="232" spans="1:44" x14ac:dyDescent="0.3">
      <c r="A232" s="31" t="str">
        <f>IF(E232="","",IF(ISNA(VLOOKUP($E232,'D-1 Off Site Habitat Baseline'!$D$1:$O$258,2,FALSE)),"",(VLOOKUP($E232,'D-1 Off Site Habitat Baseline'!$D$1:$O$258,2,FALSE))))</f>
        <v/>
      </c>
      <c r="B232" s="31" t="str">
        <f>IF(E232="","",IF(ISNA(VLOOKUP($E232,'D-1 Off Site Habitat Baseline'!$D$1:$O$258,3,FALSE)),"",(VLOOKUP($E232,'D-1 Off Site Habitat Baseline'!$D$1:$O$258,3,FALSE))))</f>
        <v/>
      </c>
      <c r="C232" s="31" t="str">
        <f>IFERROR(INDEX('G-8 Condition Look up'!$I$4:$I$130,MATCH(S232,'G-8 Condition Look up'!$A$4:$A$130,0)),"")</f>
        <v/>
      </c>
      <c r="E232" s="547" t="str">
        <f>'D-1 Off Site Habitat Baseline'!AL231</f>
        <v/>
      </c>
      <c r="F232" s="520" t="str">
        <f>IF(E232="","",IF(ISNA(VLOOKUP($E232,'D-1 Off Site Habitat Baseline'!$D$1:$O$258,4,FALSE)),"",(VLOOKUP($E232,'D-1 Off Site Habitat Baseline'!$D$1:$O$258,4,FALSE))))</f>
        <v/>
      </c>
      <c r="G232" s="520" t="str">
        <f>IF(E232="","",IF(ISNA(VLOOKUP($E232,'D-1 Off Site Habitat Baseline'!$D$1:$O$258,5,FALSE)),"",(VLOOKUP($E232,'D-1 Off Site Habitat Baseline'!$D$1:$O$258,5,FALSE))))</f>
        <v/>
      </c>
      <c r="H232" s="520" t="str">
        <f>IF(E232="","",IF(ISNA(VLOOKUP($E232,'D-1 Off Site Habitat Baseline'!$D$1:$O$258,6,FALSE)),"",(VLOOKUP($E232,'D-1 Off Site Habitat Baseline'!$D$1:$O$258,6,FALSE))))</f>
        <v/>
      </c>
      <c r="I232" s="520" t="str">
        <f>IF(E232="","",IF(ISNA(VLOOKUP($E232,'D-1 Off Site Habitat Baseline'!$D$1:$O$258,7,FALSE)),"",(VLOOKUP($E232,'D-1 Off Site Habitat Baseline'!$D$1:$O$258,7,FALSE))))</f>
        <v/>
      </c>
      <c r="J232" s="520" t="str">
        <f>IF(E232="","",IF(ISNA(VLOOKUP($E232,'D-1 Off Site Habitat Baseline'!$D$1:$O$258,8,FALSE)),"",(VLOOKUP($E232,'D-1 Off Site Habitat Baseline'!$D$1:$O$258,8,FALSE))))</f>
        <v/>
      </c>
      <c r="K232" s="520" t="str">
        <f>IF(E232="","",IF(ISNA(VLOOKUP($E232,'D-1 Off Site Habitat Baseline'!$D$1:$O$258,9,FALSE)),"",(VLOOKUP($E232,'D-1 Off Site Habitat Baseline'!$D$1:$O$258,9,FALSE))))</f>
        <v/>
      </c>
      <c r="L232" s="520" t="str">
        <f>IF(E232="","",IF(ISNA(VLOOKUP($E232,'D-1 Off Site Habitat Baseline'!$D$1:$O$258,11,FALSE)),"",(VLOOKUP($E232,'D-1 Off Site Habitat Baseline'!$D$1:$O$258,11,FALSE))))</f>
        <v/>
      </c>
      <c r="M232" s="520" t="str">
        <f>IF(E232="","",IF(ISNA(VLOOKUP($E232,'D-1 Off Site Habitat Baseline'!$D$1:$O$258,12,FALSE)),"",(VLOOKUP($E232,'D-1 Off Site Habitat Baseline'!$D$1:$O$258,12,FALSE))))</f>
        <v/>
      </c>
      <c r="N232" s="520" t="str">
        <f>IF(E232="","",IF(ISNA(VLOOKUP($E232,'D-1 Off Site Habitat Baseline'!$D$1:$X$258,14,FALSE)),"",(VLOOKUP($E232,'D-1 Off Site Habitat Baseline'!$D$1:$X$258,14,FALSE))))</f>
        <v/>
      </c>
      <c r="O232" s="524" t="str">
        <f>IF(E232="","",IF(ISNA(VLOOKUP($E232,'D-1 Off Site Habitat Baseline'!$D$1:$X$258,13,FALSE)),"",(VLOOKUP($E232,'D-1 Off Site Habitat Baseline'!$D$1:$X$258,13,FALSE))))</f>
        <v/>
      </c>
      <c r="P232" s="232" t="str">
        <f>IFERROR(INDEX('G-1 All Habitats'!$AG$3:$AG$15,MATCH(Q232,'G-1 All Habitats'!$AF$3:$AF$15,0)),"")</f>
        <v/>
      </c>
      <c r="Q232" s="228" t="str">
        <f t="shared" si="45"/>
        <v/>
      </c>
      <c r="R232" s="229" t="str">
        <f t="shared" si="46"/>
        <v/>
      </c>
      <c r="S232" s="233" t="str">
        <f>IFERROR(INDEX('G-1 All Habitats'!$B$3:$B$129,MATCH(R232,'G-1 All Habitats'!$A$3:$A$129,0)),"")</f>
        <v/>
      </c>
      <c r="T232" s="507" t="str">
        <f t="shared" si="38"/>
        <v/>
      </c>
      <c r="U232" s="524" t="str">
        <f t="shared" si="39"/>
        <v/>
      </c>
      <c r="V232" s="523" t="str">
        <f t="shared" si="36"/>
        <v/>
      </c>
      <c r="W232" s="520" t="str">
        <f>IF(S232="","",VLOOKUP(S232,'G-1 All Habitats'!$B$2:$M$129,10,FALSE))</f>
        <v/>
      </c>
      <c r="X232" s="520" t="str">
        <f>IFERROR(VLOOKUP(W232,'G-1 All Habitats'!$V$3:$W$7,2,FALSE),"")</f>
        <v/>
      </c>
      <c r="Y232" s="203"/>
      <c r="Z232" s="524" t="str">
        <f>IFERROR(INDEX('G-8 Condition Look up'!$A$3:$H$130,MATCH(S232,'G-8 Condition Look up'!$A$3:$A$130,0),MATCH(Y232,'G-8 Condition Look up'!$A$3:$H$3,0)),"")</f>
        <v/>
      </c>
      <c r="AA232" s="145"/>
      <c r="AB232" s="540" t="str">
        <f>IF(AA232="","",IF(VLOOKUP(AA232,'G-3 Multipliers'!$L$3:$N$6,2,FALSE)=0,"Spatial Data Missing ⚠",VLOOKUP(AA232,'G-3 Multipliers'!$L$3:$N$6,2,FALSE)))</f>
        <v/>
      </c>
      <c r="AC232" s="524" t="str">
        <f>IF(AA232="","",IF(VLOOKUP(AA232,'G-3 Multipliers'!$L$3:$N$6,3,FALSE)=0,"Spatial Data Missing ⚠",VLOOKUP(AA232,'G-3 Multipliers'!$L$3:$N$6,3,FALSE)))</f>
        <v/>
      </c>
      <c r="AD232" s="537" t="str">
        <f t="shared" si="37"/>
        <v/>
      </c>
      <c r="AE232" s="203"/>
      <c r="AF232" s="203"/>
      <c r="AG232" s="520" t="str">
        <f t="shared" si="40"/>
        <v/>
      </c>
      <c r="AH232" s="544" t="str">
        <f t="shared" si="41"/>
        <v/>
      </c>
      <c r="AI232" s="525" t="str">
        <f>IF(AH232="Check Data ⚠","Check Data ⚠",IFERROR(VLOOKUP(AH232,'G-4 Temporal multipliers'!$A$4:$C$36,3,FALSE),""))</f>
        <v/>
      </c>
      <c r="AJ232" s="537" t="str">
        <f>IF(S232="","",VLOOKUP(S232,'G-3 Multipliers'!$A$2:$E$129,4,FALSE))</f>
        <v/>
      </c>
      <c r="AK232" s="520" t="str">
        <f t="shared" si="42"/>
        <v/>
      </c>
      <c r="AL232" s="520" t="str">
        <f t="shared" si="43"/>
        <v/>
      </c>
      <c r="AM232" s="524" t="str">
        <f>IFERROR(IF(F232="","",IF(AH232="Check Data ⚠","Check Data ⚠",VLOOKUP(AL232, 'G-3 Multipliers'!$P$2:$Q$6,2,FALSE))),"")</f>
        <v/>
      </c>
      <c r="AN232" s="197"/>
      <c r="AO232" s="540" t="str">
        <f>IF(AN232="","",IF(VLOOKUP(AN232,'G-3 Multipliers'!$S$3:$T$9,2,FALSE)=0,"Spatial Data Missing ⚠",VLOOKUP(AN232,'G-3 Multipliers'!$S$3:$T$9,2,FALSE)))</f>
        <v/>
      </c>
      <c r="AP232" s="513" t="str">
        <f t="shared" si="44"/>
        <v/>
      </c>
      <c r="AQ232" s="231"/>
      <c r="AR232" s="150"/>
    </row>
    <row r="233" spans="1:44" x14ac:dyDescent="0.3">
      <c r="A233" s="31" t="str">
        <f>IF(E233="","",IF(ISNA(VLOOKUP($E233,'D-1 Off Site Habitat Baseline'!$D$1:$O$258,2,FALSE)),"",(VLOOKUP($E233,'D-1 Off Site Habitat Baseline'!$D$1:$O$258,2,FALSE))))</f>
        <v/>
      </c>
      <c r="B233" s="31" t="str">
        <f>IF(E233="","",IF(ISNA(VLOOKUP($E233,'D-1 Off Site Habitat Baseline'!$D$1:$O$258,3,FALSE)),"",(VLOOKUP($E233,'D-1 Off Site Habitat Baseline'!$D$1:$O$258,3,FALSE))))</f>
        <v/>
      </c>
      <c r="C233" s="31" t="str">
        <f>IFERROR(INDEX('G-8 Condition Look up'!$I$4:$I$130,MATCH(S233,'G-8 Condition Look up'!$A$4:$A$130,0)),"")</f>
        <v/>
      </c>
      <c r="E233" s="547" t="str">
        <f>'D-1 Off Site Habitat Baseline'!AL232</f>
        <v/>
      </c>
      <c r="F233" s="520" t="str">
        <f>IF(E233="","",IF(ISNA(VLOOKUP($E233,'D-1 Off Site Habitat Baseline'!$D$1:$O$258,4,FALSE)),"",(VLOOKUP($E233,'D-1 Off Site Habitat Baseline'!$D$1:$O$258,4,FALSE))))</f>
        <v/>
      </c>
      <c r="G233" s="520" t="str">
        <f>IF(E233="","",IF(ISNA(VLOOKUP($E233,'D-1 Off Site Habitat Baseline'!$D$1:$O$258,5,FALSE)),"",(VLOOKUP($E233,'D-1 Off Site Habitat Baseline'!$D$1:$O$258,5,FALSE))))</f>
        <v/>
      </c>
      <c r="H233" s="520" t="str">
        <f>IF(E233="","",IF(ISNA(VLOOKUP($E233,'D-1 Off Site Habitat Baseline'!$D$1:$O$258,6,FALSE)),"",(VLOOKUP($E233,'D-1 Off Site Habitat Baseline'!$D$1:$O$258,6,FALSE))))</f>
        <v/>
      </c>
      <c r="I233" s="520" t="str">
        <f>IF(E233="","",IF(ISNA(VLOOKUP($E233,'D-1 Off Site Habitat Baseline'!$D$1:$O$258,7,FALSE)),"",(VLOOKUP($E233,'D-1 Off Site Habitat Baseline'!$D$1:$O$258,7,FALSE))))</f>
        <v/>
      </c>
      <c r="J233" s="520" t="str">
        <f>IF(E233="","",IF(ISNA(VLOOKUP($E233,'D-1 Off Site Habitat Baseline'!$D$1:$O$258,8,FALSE)),"",(VLOOKUP($E233,'D-1 Off Site Habitat Baseline'!$D$1:$O$258,8,FALSE))))</f>
        <v/>
      </c>
      <c r="K233" s="520" t="str">
        <f>IF(E233="","",IF(ISNA(VLOOKUP($E233,'D-1 Off Site Habitat Baseline'!$D$1:$O$258,9,FALSE)),"",(VLOOKUP($E233,'D-1 Off Site Habitat Baseline'!$D$1:$O$258,9,FALSE))))</f>
        <v/>
      </c>
      <c r="L233" s="520" t="str">
        <f>IF(E233="","",IF(ISNA(VLOOKUP($E233,'D-1 Off Site Habitat Baseline'!$D$1:$O$258,11,FALSE)),"",(VLOOKUP($E233,'D-1 Off Site Habitat Baseline'!$D$1:$O$258,11,FALSE))))</f>
        <v/>
      </c>
      <c r="M233" s="520" t="str">
        <f>IF(E233="","",IF(ISNA(VLOOKUP($E233,'D-1 Off Site Habitat Baseline'!$D$1:$O$258,12,FALSE)),"",(VLOOKUP($E233,'D-1 Off Site Habitat Baseline'!$D$1:$O$258,12,FALSE))))</f>
        <v/>
      </c>
      <c r="N233" s="520" t="str">
        <f>IF(E233="","",IF(ISNA(VLOOKUP($E233,'D-1 Off Site Habitat Baseline'!$D$1:$X$258,14,FALSE)),"",(VLOOKUP($E233,'D-1 Off Site Habitat Baseline'!$D$1:$X$258,14,FALSE))))</f>
        <v/>
      </c>
      <c r="O233" s="524" t="str">
        <f>IF(E233="","",IF(ISNA(VLOOKUP($E233,'D-1 Off Site Habitat Baseline'!$D$1:$X$258,13,FALSE)),"",(VLOOKUP($E233,'D-1 Off Site Habitat Baseline'!$D$1:$X$258,13,FALSE))))</f>
        <v/>
      </c>
      <c r="P233" s="232" t="str">
        <f>IFERROR(INDEX('G-1 All Habitats'!$AG$3:$AG$15,MATCH(Q233,'G-1 All Habitats'!$AF$3:$AF$15,0)),"")</f>
        <v/>
      </c>
      <c r="Q233" s="228" t="str">
        <f t="shared" si="45"/>
        <v/>
      </c>
      <c r="R233" s="229" t="str">
        <f t="shared" si="46"/>
        <v/>
      </c>
      <c r="S233" s="233" t="str">
        <f>IFERROR(INDEX('G-1 All Habitats'!$B$3:$B$129,MATCH(R233,'G-1 All Habitats'!$A$3:$A$129,0)),"")</f>
        <v/>
      </c>
      <c r="T233" s="507" t="str">
        <f t="shared" si="38"/>
        <v/>
      </c>
      <c r="U233" s="524" t="str">
        <f t="shared" si="39"/>
        <v/>
      </c>
      <c r="V233" s="523" t="str">
        <f t="shared" si="36"/>
        <v/>
      </c>
      <c r="W233" s="520" t="str">
        <f>IF(S233="","",VLOOKUP(S233,'G-1 All Habitats'!$B$2:$M$129,10,FALSE))</f>
        <v/>
      </c>
      <c r="X233" s="520" t="str">
        <f>IFERROR(VLOOKUP(W233,'G-1 All Habitats'!$V$3:$W$7,2,FALSE),"")</f>
        <v/>
      </c>
      <c r="Y233" s="203"/>
      <c r="Z233" s="524" t="str">
        <f>IFERROR(INDEX('G-8 Condition Look up'!$A$3:$H$130,MATCH(S233,'G-8 Condition Look up'!$A$3:$A$130,0),MATCH(Y233,'G-8 Condition Look up'!$A$3:$H$3,0)),"")</f>
        <v/>
      </c>
      <c r="AA233" s="145"/>
      <c r="AB233" s="540" t="str">
        <f>IF(AA233="","",IF(VLOOKUP(AA233,'G-3 Multipliers'!$L$3:$N$6,2,FALSE)=0,"Spatial Data Missing ⚠",VLOOKUP(AA233,'G-3 Multipliers'!$L$3:$N$6,2,FALSE)))</f>
        <v/>
      </c>
      <c r="AC233" s="524" t="str">
        <f>IF(AA233="","",IF(VLOOKUP(AA233,'G-3 Multipliers'!$L$3:$N$6,3,FALSE)=0,"Spatial Data Missing ⚠",VLOOKUP(AA233,'G-3 Multipliers'!$L$3:$N$6,3,FALSE)))</f>
        <v/>
      </c>
      <c r="AD233" s="537" t="str">
        <f t="shared" si="37"/>
        <v/>
      </c>
      <c r="AE233" s="203"/>
      <c r="AF233" s="203"/>
      <c r="AG233" s="520" t="str">
        <f t="shared" si="40"/>
        <v/>
      </c>
      <c r="AH233" s="544" t="str">
        <f t="shared" si="41"/>
        <v/>
      </c>
      <c r="AI233" s="525" t="str">
        <f>IF(AH233="Check Data ⚠","Check Data ⚠",IFERROR(VLOOKUP(AH233,'G-4 Temporal multipliers'!$A$4:$C$36,3,FALSE),""))</f>
        <v/>
      </c>
      <c r="AJ233" s="537" t="str">
        <f>IF(S233="","",VLOOKUP(S233,'G-3 Multipliers'!$A$2:$E$129,4,FALSE))</f>
        <v/>
      </c>
      <c r="AK233" s="520" t="str">
        <f t="shared" si="42"/>
        <v/>
      </c>
      <c r="AL233" s="520" t="str">
        <f t="shared" si="43"/>
        <v/>
      </c>
      <c r="AM233" s="524" t="str">
        <f>IFERROR(IF(F233="","",IF(AH233="Check Data ⚠","Check Data ⚠",VLOOKUP(AL233, 'G-3 Multipliers'!$P$2:$Q$6,2,FALSE))),"")</f>
        <v/>
      </c>
      <c r="AN233" s="197"/>
      <c r="AO233" s="540" t="str">
        <f>IF(AN233="","",IF(VLOOKUP(AN233,'G-3 Multipliers'!$S$3:$T$9,2,FALSE)=0,"Spatial Data Missing ⚠",VLOOKUP(AN233,'G-3 Multipliers'!$S$3:$T$9,2,FALSE)))</f>
        <v/>
      </c>
      <c r="AP233" s="513" t="str">
        <f t="shared" si="44"/>
        <v/>
      </c>
      <c r="AQ233" s="231"/>
      <c r="AR233" s="150"/>
    </row>
    <row r="234" spans="1:44" x14ac:dyDescent="0.3">
      <c r="A234" s="31" t="str">
        <f>IF(E234="","",IF(ISNA(VLOOKUP($E234,'D-1 Off Site Habitat Baseline'!$D$1:$O$258,2,FALSE)),"",(VLOOKUP($E234,'D-1 Off Site Habitat Baseline'!$D$1:$O$258,2,FALSE))))</f>
        <v/>
      </c>
      <c r="B234" s="31" t="str">
        <f>IF(E234="","",IF(ISNA(VLOOKUP($E234,'D-1 Off Site Habitat Baseline'!$D$1:$O$258,3,FALSE)),"",(VLOOKUP($E234,'D-1 Off Site Habitat Baseline'!$D$1:$O$258,3,FALSE))))</f>
        <v/>
      </c>
      <c r="C234" s="31" t="str">
        <f>IFERROR(INDEX('G-8 Condition Look up'!$I$4:$I$130,MATCH(S234,'G-8 Condition Look up'!$A$4:$A$130,0)),"")</f>
        <v/>
      </c>
      <c r="E234" s="547" t="str">
        <f>'D-1 Off Site Habitat Baseline'!AL233</f>
        <v/>
      </c>
      <c r="F234" s="520" t="str">
        <f>IF(E234="","",IF(ISNA(VLOOKUP($E234,'D-1 Off Site Habitat Baseline'!$D$1:$O$258,4,FALSE)),"",(VLOOKUP($E234,'D-1 Off Site Habitat Baseline'!$D$1:$O$258,4,FALSE))))</f>
        <v/>
      </c>
      <c r="G234" s="520" t="str">
        <f>IF(E234="","",IF(ISNA(VLOOKUP($E234,'D-1 Off Site Habitat Baseline'!$D$1:$O$258,5,FALSE)),"",(VLOOKUP($E234,'D-1 Off Site Habitat Baseline'!$D$1:$O$258,5,FALSE))))</f>
        <v/>
      </c>
      <c r="H234" s="520" t="str">
        <f>IF(E234="","",IF(ISNA(VLOOKUP($E234,'D-1 Off Site Habitat Baseline'!$D$1:$O$258,6,FALSE)),"",(VLOOKUP($E234,'D-1 Off Site Habitat Baseline'!$D$1:$O$258,6,FALSE))))</f>
        <v/>
      </c>
      <c r="I234" s="520" t="str">
        <f>IF(E234="","",IF(ISNA(VLOOKUP($E234,'D-1 Off Site Habitat Baseline'!$D$1:$O$258,7,FALSE)),"",(VLOOKUP($E234,'D-1 Off Site Habitat Baseline'!$D$1:$O$258,7,FALSE))))</f>
        <v/>
      </c>
      <c r="J234" s="520" t="str">
        <f>IF(E234="","",IF(ISNA(VLOOKUP($E234,'D-1 Off Site Habitat Baseline'!$D$1:$O$258,8,FALSE)),"",(VLOOKUP($E234,'D-1 Off Site Habitat Baseline'!$D$1:$O$258,8,FALSE))))</f>
        <v/>
      </c>
      <c r="K234" s="520" t="str">
        <f>IF(E234="","",IF(ISNA(VLOOKUP($E234,'D-1 Off Site Habitat Baseline'!$D$1:$O$258,9,FALSE)),"",(VLOOKUP($E234,'D-1 Off Site Habitat Baseline'!$D$1:$O$258,9,FALSE))))</f>
        <v/>
      </c>
      <c r="L234" s="520" t="str">
        <f>IF(E234="","",IF(ISNA(VLOOKUP($E234,'D-1 Off Site Habitat Baseline'!$D$1:$O$258,11,FALSE)),"",(VLOOKUP($E234,'D-1 Off Site Habitat Baseline'!$D$1:$O$258,11,FALSE))))</f>
        <v/>
      </c>
      <c r="M234" s="520" t="str">
        <f>IF(E234="","",IF(ISNA(VLOOKUP($E234,'D-1 Off Site Habitat Baseline'!$D$1:$O$258,12,FALSE)),"",(VLOOKUP($E234,'D-1 Off Site Habitat Baseline'!$D$1:$O$258,12,FALSE))))</f>
        <v/>
      </c>
      <c r="N234" s="520" t="str">
        <f>IF(E234="","",IF(ISNA(VLOOKUP($E234,'D-1 Off Site Habitat Baseline'!$D$1:$X$258,14,FALSE)),"",(VLOOKUP($E234,'D-1 Off Site Habitat Baseline'!$D$1:$X$258,14,FALSE))))</f>
        <v/>
      </c>
      <c r="O234" s="524" t="str">
        <f>IF(E234="","",IF(ISNA(VLOOKUP($E234,'D-1 Off Site Habitat Baseline'!$D$1:$X$258,13,FALSE)),"",(VLOOKUP($E234,'D-1 Off Site Habitat Baseline'!$D$1:$X$258,13,FALSE))))</f>
        <v/>
      </c>
      <c r="P234" s="232" t="str">
        <f>IFERROR(INDEX('G-1 All Habitats'!$AG$3:$AG$15,MATCH(Q234,'G-1 All Habitats'!$AF$3:$AF$15,0)),"")</f>
        <v/>
      </c>
      <c r="Q234" s="228" t="str">
        <f t="shared" si="45"/>
        <v/>
      </c>
      <c r="R234" s="229" t="str">
        <f t="shared" si="46"/>
        <v/>
      </c>
      <c r="S234" s="233" t="str">
        <f>IFERROR(INDEX('G-1 All Habitats'!$B$3:$B$129,MATCH(R234,'G-1 All Habitats'!$A$3:$A$129,0)),"")</f>
        <v/>
      </c>
      <c r="T234" s="507" t="str">
        <f t="shared" si="38"/>
        <v/>
      </c>
      <c r="U234" s="524" t="str">
        <f t="shared" si="39"/>
        <v/>
      </c>
      <c r="V234" s="523" t="str">
        <f t="shared" si="36"/>
        <v/>
      </c>
      <c r="W234" s="520" t="str">
        <f>IF(S234="","",VLOOKUP(S234,'G-1 All Habitats'!$B$2:$M$129,10,FALSE))</f>
        <v/>
      </c>
      <c r="X234" s="520" t="str">
        <f>IFERROR(VLOOKUP(W234,'G-1 All Habitats'!$V$3:$W$7,2,FALSE),"")</f>
        <v/>
      </c>
      <c r="Y234" s="203"/>
      <c r="Z234" s="524" t="str">
        <f>IFERROR(INDEX('G-8 Condition Look up'!$A$3:$H$130,MATCH(S234,'G-8 Condition Look up'!$A$3:$A$130,0),MATCH(Y234,'G-8 Condition Look up'!$A$3:$H$3,0)),"")</f>
        <v/>
      </c>
      <c r="AA234" s="145"/>
      <c r="AB234" s="540" t="str">
        <f>IF(AA234="","",IF(VLOOKUP(AA234,'G-3 Multipliers'!$L$3:$N$6,2,FALSE)=0,"Spatial Data Missing ⚠",VLOOKUP(AA234,'G-3 Multipliers'!$L$3:$N$6,2,FALSE)))</f>
        <v/>
      </c>
      <c r="AC234" s="524" t="str">
        <f>IF(AA234="","",IF(VLOOKUP(AA234,'G-3 Multipliers'!$L$3:$N$6,3,FALSE)=0,"Spatial Data Missing ⚠",VLOOKUP(AA234,'G-3 Multipliers'!$L$3:$N$6,3,FALSE)))</f>
        <v/>
      </c>
      <c r="AD234" s="537" t="str">
        <f t="shared" si="37"/>
        <v/>
      </c>
      <c r="AE234" s="203"/>
      <c r="AF234" s="203"/>
      <c r="AG234" s="520" t="str">
        <f t="shared" si="40"/>
        <v/>
      </c>
      <c r="AH234" s="544" t="str">
        <f t="shared" si="41"/>
        <v/>
      </c>
      <c r="AI234" s="525" t="str">
        <f>IF(AH234="Check Data ⚠","Check Data ⚠",IFERROR(VLOOKUP(AH234,'G-4 Temporal multipliers'!$A$4:$C$36,3,FALSE),""))</f>
        <v/>
      </c>
      <c r="AJ234" s="537" t="str">
        <f>IF(S234="","",VLOOKUP(S234,'G-3 Multipliers'!$A$2:$E$129,4,FALSE))</f>
        <v/>
      </c>
      <c r="AK234" s="520" t="str">
        <f t="shared" si="42"/>
        <v/>
      </c>
      <c r="AL234" s="520" t="str">
        <f t="shared" si="43"/>
        <v/>
      </c>
      <c r="AM234" s="524" t="str">
        <f>IFERROR(IF(F234="","",IF(AH234="Check Data ⚠","Check Data ⚠",VLOOKUP(AL234, 'G-3 Multipliers'!$P$2:$Q$6,2,FALSE))),"")</f>
        <v/>
      </c>
      <c r="AN234" s="197"/>
      <c r="AO234" s="540" t="str">
        <f>IF(AN234="","",IF(VLOOKUP(AN234,'G-3 Multipliers'!$S$3:$T$9,2,FALSE)=0,"Spatial Data Missing ⚠",VLOOKUP(AN234,'G-3 Multipliers'!$S$3:$T$9,2,FALSE)))</f>
        <v/>
      </c>
      <c r="AP234" s="513" t="str">
        <f t="shared" si="44"/>
        <v/>
      </c>
      <c r="AQ234" s="231"/>
      <c r="AR234" s="150"/>
    </row>
    <row r="235" spans="1:44" x14ac:dyDescent="0.3">
      <c r="A235" s="31" t="str">
        <f>IF(E235="","",IF(ISNA(VLOOKUP($E235,'D-1 Off Site Habitat Baseline'!$D$1:$O$258,2,FALSE)),"",(VLOOKUP($E235,'D-1 Off Site Habitat Baseline'!$D$1:$O$258,2,FALSE))))</f>
        <v/>
      </c>
      <c r="B235" s="31" t="str">
        <f>IF(E235="","",IF(ISNA(VLOOKUP($E235,'D-1 Off Site Habitat Baseline'!$D$1:$O$258,3,FALSE)),"",(VLOOKUP($E235,'D-1 Off Site Habitat Baseline'!$D$1:$O$258,3,FALSE))))</f>
        <v/>
      </c>
      <c r="C235" s="31" t="str">
        <f>IFERROR(INDEX('G-8 Condition Look up'!$I$4:$I$130,MATCH(S235,'G-8 Condition Look up'!$A$4:$A$130,0)),"")</f>
        <v/>
      </c>
      <c r="E235" s="547" t="str">
        <f>'D-1 Off Site Habitat Baseline'!AL234</f>
        <v/>
      </c>
      <c r="F235" s="520" t="str">
        <f>IF(E235="","",IF(ISNA(VLOOKUP($E235,'D-1 Off Site Habitat Baseline'!$D$1:$O$258,4,FALSE)),"",(VLOOKUP($E235,'D-1 Off Site Habitat Baseline'!$D$1:$O$258,4,FALSE))))</f>
        <v/>
      </c>
      <c r="G235" s="520" t="str">
        <f>IF(E235="","",IF(ISNA(VLOOKUP($E235,'D-1 Off Site Habitat Baseline'!$D$1:$O$258,5,FALSE)),"",(VLOOKUP($E235,'D-1 Off Site Habitat Baseline'!$D$1:$O$258,5,FALSE))))</f>
        <v/>
      </c>
      <c r="H235" s="520" t="str">
        <f>IF(E235="","",IF(ISNA(VLOOKUP($E235,'D-1 Off Site Habitat Baseline'!$D$1:$O$258,6,FALSE)),"",(VLOOKUP($E235,'D-1 Off Site Habitat Baseline'!$D$1:$O$258,6,FALSE))))</f>
        <v/>
      </c>
      <c r="I235" s="520" t="str">
        <f>IF(E235="","",IF(ISNA(VLOOKUP($E235,'D-1 Off Site Habitat Baseline'!$D$1:$O$258,7,FALSE)),"",(VLOOKUP($E235,'D-1 Off Site Habitat Baseline'!$D$1:$O$258,7,FALSE))))</f>
        <v/>
      </c>
      <c r="J235" s="520" t="str">
        <f>IF(E235="","",IF(ISNA(VLOOKUP($E235,'D-1 Off Site Habitat Baseline'!$D$1:$O$258,8,FALSE)),"",(VLOOKUP($E235,'D-1 Off Site Habitat Baseline'!$D$1:$O$258,8,FALSE))))</f>
        <v/>
      </c>
      <c r="K235" s="520" t="str">
        <f>IF(E235="","",IF(ISNA(VLOOKUP($E235,'D-1 Off Site Habitat Baseline'!$D$1:$O$258,9,FALSE)),"",(VLOOKUP($E235,'D-1 Off Site Habitat Baseline'!$D$1:$O$258,9,FALSE))))</f>
        <v/>
      </c>
      <c r="L235" s="520" t="str">
        <f>IF(E235="","",IF(ISNA(VLOOKUP($E235,'D-1 Off Site Habitat Baseline'!$D$1:$O$258,11,FALSE)),"",(VLOOKUP($E235,'D-1 Off Site Habitat Baseline'!$D$1:$O$258,11,FALSE))))</f>
        <v/>
      </c>
      <c r="M235" s="520" t="str">
        <f>IF(E235="","",IF(ISNA(VLOOKUP($E235,'D-1 Off Site Habitat Baseline'!$D$1:$O$258,12,FALSE)),"",(VLOOKUP($E235,'D-1 Off Site Habitat Baseline'!$D$1:$O$258,12,FALSE))))</f>
        <v/>
      </c>
      <c r="N235" s="520" t="str">
        <f>IF(E235="","",IF(ISNA(VLOOKUP($E235,'D-1 Off Site Habitat Baseline'!$D$1:$X$258,14,FALSE)),"",(VLOOKUP($E235,'D-1 Off Site Habitat Baseline'!$D$1:$X$258,14,FALSE))))</f>
        <v/>
      </c>
      <c r="O235" s="524" t="str">
        <f>IF(E235="","",IF(ISNA(VLOOKUP($E235,'D-1 Off Site Habitat Baseline'!$D$1:$X$258,13,FALSE)),"",(VLOOKUP($E235,'D-1 Off Site Habitat Baseline'!$D$1:$X$258,13,FALSE))))</f>
        <v/>
      </c>
      <c r="P235" s="232" t="str">
        <f>IFERROR(INDEX('G-1 All Habitats'!$AG$3:$AG$15,MATCH(Q235,'G-1 All Habitats'!$AF$3:$AF$15,0)),"")</f>
        <v/>
      </c>
      <c r="Q235" s="228" t="str">
        <f t="shared" si="45"/>
        <v/>
      </c>
      <c r="R235" s="229" t="str">
        <f t="shared" si="46"/>
        <v/>
      </c>
      <c r="S235" s="233" t="str">
        <f>IFERROR(INDEX('G-1 All Habitats'!$B$3:$B$129,MATCH(R235,'G-1 All Habitats'!$A$3:$A$129,0)),"")</f>
        <v/>
      </c>
      <c r="T235" s="507" t="str">
        <f t="shared" si="38"/>
        <v/>
      </c>
      <c r="U235" s="524" t="str">
        <f t="shared" si="39"/>
        <v/>
      </c>
      <c r="V235" s="523" t="str">
        <f t="shared" si="36"/>
        <v/>
      </c>
      <c r="W235" s="520" t="str">
        <f>IF(S235="","",VLOOKUP(S235,'G-1 All Habitats'!$B$2:$M$129,10,FALSE))</f>
        <v/>
      </c>
      <c r="X235" s="520" t="str">
        <f>IFERROR(VLOOKUP(W235,'G-1 All Habitats'!$V$3:$W$7,2,FALSE),"")</f>
        <v/>
      </c>
      <c r="Y235" s="203"/>
      <c r="Z235" s="524" t="str">
        <f>IFERROR(INDEX('G-8 Condition Look up'!$A$3:$H$130,MATCH(S235,'G-8 Condition Look up'!$A$3:$A$130,0),MATCH(Y235,'G-8 Condition Look up'!$A$3:$H$3,0)),"")</f>
        <v/>
      </c>
      <c r="AA235" s="145"/>
      <c r="AB235" s="540" t="str">
        <f>IF(AA235="","",IF(VLOOKUP(AA235,'G-3 Multipliers'!$L$3:$N$6,2,FALSE)=0,"Spatial Data Missing ⚠",VLOOKUP(AA235,'G-3 Multipliers'!$L$3:$N$6,2,FALSE)))</f>
        <v/>
      </c>
      <c r="AC235" s="524" t="str">
        <f>IF(AA235="","",IF(VLOOKUP(AA235,'G-3 Multipliers'!$L$3:$N$6,3,FALSE)=0,"Spatial Data Missing ⚠",VLOOKUP(AA235,'G-3 Multipliers'!$L$3:$N$6,3,FALSE)))</f>
        <v/>
      </c>
      <c r="AD235" s="537" t="str">
        <f t="shared" si="37"/>
        <v/>
      </c>
      <c r="AE235" s="203"/>
      <c r="AF235" s="203"/>
      <c r="AG235" s="520" t="str">
        <f t="shared" si="40"/>
        <v/>
      </c>
      <c r="AH235" s="544" t="str">
        <f t="shared" si="41"/>
        <v/>
      </c>
      <c r="AI235" s="525" t="str">
        <f>IF(AH235="Check Data ⚠","Check Data ⚠",IFERROR(VLOOKUP(AH235,'G-4 Temporal multipliers'!$A$4:$C$36,3,FALSE),""))</f>
        <v/>
      </c>
      <c r="AJ235" s="537" t="str">
        <f>IF(S235="","",VLOOKUP(S235,'G-3 Multipliers'!$A$2:$E$129,4,FALSE))</f>
        <v/>
      </c>
      <c r="AK235" s="520" t="str">
        <f t="shared" si="42"/>
        <v/>
      </c>
      <c r="AL235" s="520" t="str">
        <f t="shared" si="43"/>
        <v/>
      </c>
      <c r="AM235" s="524" t="str">
        <f>IFERROR(IF(F235="","",IF(AH235="Check Data ⚠","Check Data ⚠",VLOOKUP(AL235, 'G-3 Multipliers'!$P$2:$Q$6,2,FALSE))),"")</f>
        <v/>
      </c>
      <c r="AN235" s="197"/>
      <c r="AO235" s="540" t="str">
        <f>IF(AN235="","",IF(VLOOKUP(AN235,'G-3 Multipliers'!$S$3:$T$9,2,FALSE)=0,"Spatial Data Missing ⚠",VLOOKUP(AN235,'G-3 Multipliers'!$S$3:$T$9,2,FALSE)))</f>
        <v/>
      </c>
      <c r="AP235" s="513" t="str">
        <f t="shared" si="44"/>
        <v/>
      </c>
      <c r="AQ235" s="231"/>
      <c r="AR235" s="150"/>
    </row>
    <row r="236" spans="1:44" x14ac:dyDescent="0.3">
      <c r="A236" s="31" t="str">
        <f>IF(E236="","",IF(ISNA(VLOOKUP($E236,'D-1 Off Site Habitat Baseline'!$D$1:$O$258,2,FALSE)),"",(VLOOKUP($E236,'D-1 Off Site Habitat Baseline'!$D$1:$O$258,2,FALSE))))</f>
        <v/>
      </c>
      <c r="B236" s="31" t="str">
        <f>IF(E236="","",IF(ISNA(VLOOKUP($E236,'D-1 Off Site Habitat Baseline'!$D$1:$O$258,3,FALSE)),"",(VLOOKUP($E236,'D-1 Off Site Habitat Baseline'!$D$1:$O$258,3,FALSE))))</f>
        <v/>
      </c>
      <c r="C236" s="31" t="str">
        <f>IFERROR(INDEX('G-8 Condition Look up'!$I$4:$I$130,MATCH(S236,'G-8 Condition Look up'!$A$4:$A$130,0)),"")</f>
        <v/>
      </c>
      <c r="E236" s="547" t="str">
        <f>'D-1 Off Site Habitat Baseline'!AL235</f>
        <v/>
      </c>
      <c r="F236" s="520" t="str">
        <f>IF(E236="","",IF(ISNA(VLOOKUP($E236,'D-1 Off Site Habitat Baseline'!$D$1:$O$258,4,FALSE)),"",(VLOOKUP($E236,'D-1 Off Site Habitat Baseline'!$D$1:$O$258,4,FALSE))))</f>
        <v/>
      </c>
      <c r="G236" s="520" t="str">
        <f>IF(E236="","",IF(ISNA(VLOOKUP($E236,'D-1 Off Site Habitat Baseline'!$D$1:$O$258,5,FALSE)),"",(VLOOKUP($E236,'D-1 Off Site Habitat Baseline'!$D$1:$O$258,5,FALSE))))</f>
        <v/>
      </c>
      <c r="H236" s="520" t="str">
        <f>IF(E236="","",IF(ISNA(VLOOKUP($E236,'D-1 Off Site Habitat Baseline'!$D$1:$O$258,6,FALSE)),"",(VLOOKUP($E236,'D-1 Off Site Habitat Baseline'!$D$1:$O$258,6,FALSE))))</f>
        <v/>
      </c>
      <c r="I236" s="520" t="str">
        <f>IF(E236="","",IF(ISNA(VLOOKUP($E236,'D-1 Off Site Habitat Baseline'!$D$1:$O$258,7,FALSE)),"",(VLOOKUP($E236,'D-1 Off Site Habitat Baseline'!$D$1:$O$258,7,FALSE))))</f>
        <v/>
      </c>
      <c r="J236" s="520" t="str">
        <f>IF(E236="","",IF(ISNA(VLOOKUP($E236,'D-1 Off Site Habitat Baseline'!$D$1:$O$258,8,FALSE)),"",(VLOOKUP($E236,'D-1 Off Site Habitat Baseline'!$D$1:$O$258,8,FALSE))))</f>
        <v/>
      </c>
      <c r="K236" s="520" t="str">
        <f>IF(E236="","",IF(ISNA(VLOOKUP($E236,'D-1 Off Site Habitat Baseline'!$D$1:$O$258,9,FALSE)),"",(VLOOKUP($E236,'D-1 Off Site Habitat Baseline'!$D$1:$O$258,9,FALSE))))</f>
        <v/>
      </c>
      <c r="L236" s="520" t="str">
        <f>IF(E236="","",IF(ISNA(VLOOKUP($E236,'D-1 Off Site Habitat Baseline'!$D$1:$O$258,11,FALSE)),"",(VLOOKUP($E236,'D-1 Off Site Habitat Baseline'!$D$1:$O$258,11,FALSE))))</f>
        <v/>
      </c>
      <c r="M236" s="520" t="str">
        <f>IF(E236="","",IF(ISNA(VLOOKUP($E236,'D-1 Off Site Habitat Baseline'!$D$1:$O$258,12,FALSE)),"",(VLOOKUP($E236,'D-1 Off Site Habitat Baseline'!$D$1:$O$258,12,FALSE))))</f>
        <v/>
      </c>
      <c r="N236" s="520" t="str">
        <f>IF(E236="","",IF(ISNA(VLOOKUP($E236,'D-1 Off Site Habitat Baseline'!$D$1:$X$258,14,FALSE)),"",(VLOOKUP($E236,'D-1 Off Site Habitat Baseline'!$D$1:$X$258,14,FALSE))))</f>
        <v/>
      </c>
      <c r="O236" s="524" t="str">
        <f>IF(E236="","",IF(ISNA(VLOOKUP($E236,'D-1 Off Site Habitat Baseline'!$D$1:$X$258,13,FALSE)),"",(VLOOKUP($E236,'D-1 Off Site Habitat Baseline'!$D$1:$X$258,13,FALSE))))</f>
        <v/>
      </c>
      <c r="P236" s="232" t="str">
        <f>IFERROR(INDEX('G-1 All Habitats'!$AG$3:$AG$15,MATCH(Q236,'G-1 All Habitats'!$AF$3:$AF$15,0)),"")</f>
        <v/>
      </c>
      <c r="Q236" s="228" t="str">
        <f t="shared" si="45"/>
        <v/>
      </c>
      <c r="R236" s="229" t="str">
        <f t="shared" si="46"/>
        <v/>
      </c>
      <c r="S236" s="233" t="str">
        <f>IFERROR(INDEX('G-1 All Habitats'!$B$3:$B$129,MATCH(R236,'G-1 All Habitats'!$A$3:$A$129,0)),"")</f>
        <v/>
      </c>
      <c r="T236" s="507" t="str">
        <f t="shared" si="38"/>
        <v/>
      </c>
      <c r="U236" s="524" t="str">
        <f t="shared" si="39"/>
        <v/>
      </c>
      <c r="V236" s="523" t="str">
        <f t="shared" si="36"/>
        <v/>
      </c>
      <c r="W236" s="520" t="str">
        <f>IF(S236="","",VLOOKUP(S236,'G-1 All Habitats'!$B$2:$M$129,10,FALSE))</f>
        <v/>
      </c>
      <c r="X236" s="520" t="str">
        <f>IFERROR(VLOOKUP(W236,'G-1 All Habitats'!$V$3:$W$7,2,FALSE),"")</f>
        <v/>
      </c>
      <c r="Y236" s="203"/>
      <c r="Z236" s="524" t="str">
        <f>IFERROR(INDEX('G-8 Condition Look up'!$A$3:$H$130,MATCH(S236,'G-8 Condition Look up'!$A$3:$A$130,0),MATCH(Y236,'G-8 Condition Look up'!$A$3:$H$3,0)),"")</f>
        <v/>
      </c>
      <c r="AA236" s="145"/>
      <c r="AB236" s="540" t="str">
        <f>IF(AA236="","",IF(VLOOKUP(AA236,'G-3 Multipliers'!$L$3:$N$6,2,FALSE)=0,"Spatial Data Missing ⚠",VLOOKUP(AA236,'G-3 Multipliers'!$L$3:$N$6,2,FALSE)))</f>
        <v/>
      </c>
      <c r="AC236" s="524" t="str">
        <f>IF(AA236="","",IF(VLOOKUP(AA236,'G-3 Multipliers'!$L$3:$N$6,3,FALSE)=0,"Spatial Data Missing ⚠",VLOOKUP(AA236,'G-3 Multipliers'!$L$3:$N$6,3,FALSE)))</f>
        <v/>
      </c>
      <c r="AD236" s="537" t="str">
        <f t="shared" si="37"/>
        <v/>
      </c>
      <c r="AE236" s="203"/>
      <c r="AF236" s="203"/>
      <c r="AG236" s="520" t="str">
        <f t="shared" si="40"/>
        <v/>
      </c>
      <c r="AH236" s="544" t="str">
        <f t="shared" si="41"/>
        <v/>
      </c>
      <c r="AI236" s="525" t="str">
        <f>IF(AH236="Check Data ⚠","Check Data ⚠",IFERROR(VLOOKUP(AH236,'G-4 Temporal multipliers'!$A$4:$C$36,3,FALSE),""))</f>
        <v/>
      </c>
      <c r="AJ236" s="537" t="str">
        <f>IF(S236="","",VLOOKUP(S236,'G-3 Multipliers'!$A$2:$E$129,4,FALSE))</f>
        <v/>
      </c>
      <c r="AK236" s="520" t="str">
        <f t="shared" si="42"/>
        <v/>
      </c>
      <c r="AL236" s="520" t="str">
        <f t="shared" si="43"/>
        <v/>
      </c>
      <c r="AM236" s="524" t="str">
        <f>IFERROR(IF(F236="","",IF(AH236="Check Data ⚠","Check Data ⚠",VLOOKUP(AL236, 'G-3 Multipliers'!$P$2:$Q$6,2,FALSE))),"")</f>
        <v/>
      </c>
      <c r="AN236" s="197"/>
      <c r="AO236" s="540" t="str">
        <f>IF(AN236="","",IF(VLOOKUP(AN236,'G-3 Multipliers'!$S$3:$T$9,2,FALSE)=0,"Spatial Data Missing ⚠",VLOOKUP(AN236,'G-3 Multipliers'!$S$3:$T$9,2,FALSE)))</f>
        <v/>
      </c>
      <c r="AP236" s="513" t="str">
        <f t="shared" si="44"/>
        <v/>
      </c>
      <c r="AQ236" s="231"/>
      <c r="AR236" s="150"/>
    </row>
    <row r="237" spans="1:44" x14ac:dyDescent="0.3">
      <c r="A237" s="31" t="str">
        <f>IF(E237="","",IF(ISNA(VLOOKUP($E237,'D-1 Off Site Habitat Baseline'!$D$1:$O$258,2,FALSE)),"",(VLOOKUP($E237,'D-1 Off Site Habitat Baseline'!$D$1:$O$258,2,FALSE))))</f>
        <v/>
      </c>
      <c r="B237" s="31" t="str">
        <f>IF(E237="","",IF(ISNA(VLOOKUP($E237,'D-1 Off Site Habitat Baseline'!$D$1:$O$258,3,FALSE)),"",(VLOOKUP($E237,'D-1 Off Site Habitat Baseline'!$D$1:$O$258,3,FALSE))))</f>
        <v/>
      </c>
      <c r="C237" s="31" t="str">
        <f>IFERROR(INDEX('G-8 Condition Look up'!$I$4:$I$130,MATCH(S237,'G-8 Condition Look up'!$A$4:$A$130,0)),"")</f>
        <v/>
      </c>
      <c r="E237" s="547" t="str">
        <f>'D-1 Off Site Habitat Baseline'!AL236</f>
        <v/>
      </c>
      <c r="F237" s="520" t="str">
        <f>IF(E237="","",IF(ISNA(VLOOKUP($E237,'D-1 Off Site Habitat Baseline'!$D$1:$O$258,4,FALSE)),"",(VLOOKUP($E237,'D-1 Off Site Habitat Baseline'!$D$1:$O$258,4,FALSE))))</f>
        <v/>
      </c>
      <c r="G237" s="520" t="str">
        <f>IF(E237="","",IF(ISNA(VLOOKUP($E237,'D-1 Off Site Habitat Baseline'!$D$1:$O$258,5,FALSE)),"",(VLOOKUP($E237,'D-1 Off Site Habitat Baseline'!$D$1:$O$258,5,FALSE))))</f>
        <v/>
      </c>
      <c r="H237" s="520" t="str">
        <f>IF(E237="","",IF(ISNA(VLOOKUP($E237,'D-1 Off Site Habitat Baseline'!$D$1:$O$258,6,FALSE)),"",(VLOOKUP($E237,'D-1 Off Site Habitat Baseline'!$D$1:$O$258,6,FALSE))))</f>
        <v/>
      </c>
      <c r="I237" s="520" t="str">
        <f>IF(E237="","",IF(ISNA(VLOOKUP($E237,'D-1 Off Site Habitat Baseline'!$D$1:$O$258,7,FALSE)),"",(VLOOKUP($E237,'D-1 Off Site Habitat Baseline'!$D$1:$O$258,7,FALSE))))</f>
        <v/>
      </c>
      <c r="J237" s="520" t="str">
        <f>IF(E237="","",IF(ISNA(VLOOKUP($E237,'D-1 Off Site Habitat Baseline'!$D$1:$O$258,8,FALSE)),"",(VLOOKUP($E237,'D-1 Off Site Habitat Baseline'!$D$1:$O$258,8,FALSE))))</f>
        <v/>
      </c>
      <c r="K237" s="520" t="str">
        <f>IF(E237="","",IF(ISNA(VLOOKUP($E237,'D-1 Off Site Habitat Baseline'!$D$1:$O$258,9,FALSE)),"",(VLOOKUP($E237,'D-1 Off Site Habitat Baseline'!$D$1:$O$258,9,FALSE))))</f>
        <v/>
      </c>
      <c r="L237" s="520" t="str">
        <f>IF(E237="","",IF(ISNA(VLOOKUP($E237,'D-1 Off Site Habitat Baseline'!$D$1:$O$258,11,FALSE)),"",(VLOOKUP($E237,'D-1 Off Site Habitat Baseline'!$D$1:$O$258,11,FALSE))))</f>
        <v/>
      </c>
      <c r="M237" s="520" t="str">
        <f>IF(E237="","",IF(ISNA(VLOOKUP($E237,'D-1 Off Site Habitat Baseline'!$D$1:$O$258,12,FALSE)),"",(VLOOKUP($E237,'D-1 Off Site Habitat Baseline'!$D$1:$O$258,12,FALSE))))</f>
        <v/>
      </c>
      <c r="N237" s="520" t="str">
        <f>IF(E237="","",IF(ISNA(VLOOKUP($E237,'D-1 Off Site Habitat Baseline'!$D$1:$X$258,14,FALSE)),"",(VLOOKUP($E237,'D-1 Off Site Habitat Baseline'!$D$1:$X$258,14,FALSE))))</f>
        <v/>
      </c>
      <c r="O237" s="524" t="str">
        <f>IF(E237="","",IF(ISNA(VLOOKUP($E237,'D-1 Off Site Habitat Baseline'!$D$1:$X$258,13,FALSE)),"",(VLOOKUP($E237,'D-1 Off Site Habitat Baseline'!$D$1:$X$258,13,FALSE))))</f>
        <v/>
      </c>
      <c r="P237" s="232" t="str">
        <f>IFERROR(INDEX('G-1 All Habitats'!$AG$3:$AG$15,MATCH(Q237,'G-1 All Habitats'!$AF$3:$AF$15,0)),"")</f>
        <v/>
      </c>
      <c r="Q237" s="228" t="str">
        <f t="shared" si="45"/>
        <v/>
      </c>
      <c r="R237" s="229" t="str">
        <f t="shared" si="46"/>
        <v/>
      </c>
      <c r="S237" s="233" t="str">
        <f>IFERROR(INDEX('G-1 All Habitats'!$B$3:$B$129,MATCH(R237,'G-1 All Habitats'!$A$3:$A$129,0)),"")</f>
        <v/>
      </c>
      <c r="T237" s="507" t="str">
        <f t="shared" si="38"/>
        <v/>
      </c>
      <c r="U237" s="524" t="str">
        <f t="shared" si="39"/>
        <v/>
      </c>
      <c r="V237" s="523" t="str">
        <f t="shared" si="36"/>
        <v/>
      </c>
      <c r="W237" s="520" t="str">
        <f>IF(S237="","",VLOOKUP(S237,'G-1 All Habitats'!$B$2:$M$129,10,FALSE))</f>
        <v/>
      </c>
      <c r="X237" s="520" t="str">
        <f>IFERROR(VLOOKUP(W237,'G-1 All Habitats'!$V$3:$W$7,2,FALSE),"")</f>
        <v/>
      </c>
      <c r="Y237" s="203"/>
      <c r="Z237" s="524" t="str">
        <f>IFERROR(INDEX('G-8 Condition Look up'!$A$3:$H$130,MATCH(S237,'G-8 Condition Look up'!$A$3:$A$130,0),MATCH(Y237,'G-8 Condition Look up'!$A$3:$H$3,0)),"")</f>
        <v/>
      </c>
      <c r="AA237" s="145"/>
      <c r="AB237" s="540" t="str">
        <f>IF(AA237="","",IF(VLOOKUP(AA237,'G-3 Multipliers'!$L$3:$N$6,2,FALSE)=0,"Spatial Data Missing ⚠",VLOOKUP(AA237,'G-3 Multipliers'!$L$3:$N$6,2,FALSE)))</f>
        <v/>
      </c>
      <c r="AC237" s="524" t="str">
        <f>IF(AA237="","",IF(VLOOKUP(AA237,'G-3 Multipliers'!$L$3:$N$6,3,FALSE)=0,"Spatial Data Missing ⚠",VLOOKUP(AA237,'G-3 Multipliers'!$L$3:$N$6,3,FALSE)))</f>
        <v/>
      </c>
      <c r="AD237" s="537" t="str">
        <f t="shared" si="37"/>
        <v/>
      </c>
      <c r="AE237" s="203"/>
      <c r="AF237" s="203"/>
      <c r="AG237" s="520" t="str">
        <f t="shared" si="40"/>
        <v/>
      </c>
      <c r="AH237" s="544" t="str">
        <f t="shared" si="41"/>
        <v/>
      </c>
      <c r="AI237" s="525" t="str">
        <f>IF(AH237="Check Data ⚠","Check Data ⚠",IFERROR(VLOOKUP(AH237,'G-4 Temporal multipliers'!$A$4:$C$36,3,FALSE),""))</f>
        <v/>
      </c>
      <c r="AJ237" s="537" t="str">
        <f>IF(S237="","",VLOOKUP(S237,'G-3 Multipliers'!$A$2:$E$129,4,FALSE))</f>
        <v/>
      </c>
      <c r="AK237" s="520" t="str">
        <f t="shared" si="42"/>
        <v/>
      </c>
      <c r="AL237" s="520" t="str">
        <f t="shared" si="43"/>
        <v/>
      </c>
      <c r="AM237" s="524" t="str">
        <f>IFERROR(IF(F237="","",IF(AH237="Check Data ⚠","Check Data ⚠",VLOOKUP(AL237, 'G-3 Multipliers'!$P$2:$Q$6,2,FALSE))),"")</f>
        <v/>
      </c>
      <c r="AN237" s="197"/>
      <c r="AO237" s="540" t="str">
        <f>IF(AN237="","",IF(VLOOKUP(AN237,'G-3 Multipliers'!$S$3:$T$9,2,FALSE)=0,"Spatial Data Missing ⚠",VLOOKUP(AN237,'G-3 Multipliers'!$S$3:$T$9,2,FALSE)))</f>
        <v/>
      </c>
      <c r="AP237" s="513" t="str">
        <f t="shared" si="44"/>
        <v/>
      </c>
      <c r="AQ237" s="231"/>
      <c r="AR237" s="150"/>
    </row>
    <row r="238" spans="1:44" x14ac:dyDescent="0.3">
      <c r="A238" s="31" t="str">
        <f>IF(E238="","",IF(ISNA(VLOOKUP($E238,'D-1 Off Site Habitat Baseline'!$D$1:$O$258,2,FALSE)),"",(VLOOKUP($E238,'D-1 Off Site Habitat Baseline'!$D$1:$O$258,2,FALSE))))</f>
        <v/>
      </c>
      <c r="B238" s="31" t="str">
        <f>IF(E238="","",IF(ISNA(VLOOKUP($E238,'D-1 Off Site Habitat Baseline'!$D$1:$O$258,3,FALSE)),"",(VLOOKUP($E238,'D-1 Off Site Habitat Baseline'!$D$1:$O$258,3,FALSE))))</f>
        <v/>
      </c>
      <c r="C238" s="31" t="str">
        <f>IFERROR(INDEX('G-8 Condition Look up'!$I$4:$I$130,MATCH(S238,'G-8 Condition Look up'!$A$4:$A$130,0)),"")</f>
        <v/>
      </c>
      <c r="E238" s="547" t="str">
        <f>'D-1 Off Site Habitat Baseline'!AL237</f>
        <v/>
      </c>
      <c r="F238" s="520" t="str">
        <f>IF(E238="","",IF(ISNA(VLOOKUP($E238,'D-1 Off Site Habitat Baseline'!$D$1:$O$258,4,FALSE)),"",(VLOOKUP($E238,'D-1 Off Site Habitat Baseline'!$D$1:$O$258,4,FALSE))))</f>
        <v/>
      </c>
      <c r="G238" s="520" t="str">
        <f>IF(E238="","",IF(ISNA(VLOOKUP($E238,'D-1 Off Site Habitat Baseline'!$D$1:$O$258,5,FALSE)),"",(VLOOKUP($E238,'D-1 Off Site Habitat Baseline'!$D$1:$O$258,5,FALSE))))</f>
        <v/>
      </c>
      <c r="H238" s="520" t="str">
        <f>IF(E238="","",IF(ISNA(VLOOKUP($E238,'D-1 Off Site Habitat Baseline'!$D$1:$O$258,6,FALSE)),"",(VLOOKUP($E238,'D-1 Off Site Habitat Baseline'!$D$1:$O$258,6,FALSE))))</f>
        <v/>
      </c>
      <c r="I238" s="520" t="str">
        <f>IF(E238="","",IF(ISNA(VLOOKUP($E238,'D-1 Off Site Habitat Baseline'!$D$1:$O$258,7,FALSE)),"",(VLOOKUP($E238,'D-1 Off Site Habitat Baseline'!$D$1:$O$258,7,FALSE))))</f>
        <v/>
      </c>
      <c r="J238" s="520" t="str">
        <f>IF(E238="","",IF(ISNA(VLOOKUP($E238,'D-1 Off Site Habitat Baseline'!$D$1:$O$258,8,FALSE)),"",(VLOOKUP($E238,'D-1 Off Site Habitat Baseline'!$D$1:$O$258,8,FALSE))))</f>
        <v/>
      </c>
      <c r="K238" s="520" t="str">
        <f>IF(E238="","",IF(ISNA(VLOOKUP($E238,'D-1 Off Site Habitat Baseline'!$D$1:$O$258,9,FALSE)),"",(VLOOKUP($E238,'D-1 Off Site Habitat Baseline'!$D$1:$O$258,9,FALSE))))</f>
        <v/>
      </c>
      <c r="L238" s="520" t="str">
        <f>IF(E238="","",IF(ISNA(VLOOKUP($E238,'D-1 Off Site Habitat Baseline'!$D$1:$O$258,11,FALSE)),"",(VLOOKUP($E238,'D-1 Off Site Habitat Baseline'!$D$1:$O$258,11,FALSE))))</f>
        <v/>
      </c>
      <c r="M238" s="520" t="str">
        <f>IF(E238="","",IF(ISNA(VLOOKUP($E238,'D-1 Off Site Habitat Baseline'!$D$1:$O$258,12,FALSE)),"",(VLOOKUP($E238,'D-1 Off Site Habitat Baseline'!$D$1:$O$258,12,FALSE))))</f>
        <v/>
      </c>
      <c r="N238" s="520" t="str">
        <f>IF(E238="","",IF(ISNA(VLOOKUP($E238,'D-1 Off Site Habitat Baseline'!$D$1:$X$258,14,FALSE)),"",(VLOOKUP($E238,'D-1 Off Site Habitat Baseline'!$D$1:$X$258,14,FALSE))))</f>
        <v/>
      </c>
      <c r="O238" s="524" t="str">
        <f>IF(E238="","",IF(ISNA(VLOOKUP($E238,'D-1 Off Site Habitat Baseline'!$D$1:$X$258,13,FALSE)),"",(VLOOKUP($E238,'D-1 Off Site Habitat Baseline'!$D$1:$X$258,13,FALSE))))</f>
        <v/>
      </c>
      <c r="P238" s="232" t="str">
        <f>IFERROR(INDEX('G-1 All Habitats'!$AG$3:$AG$15,MATCH(Q238,'G-1 All Habitats'!$AF$3:$AF$15,0)),"")</f>
        <v/>
      </c>
      <c r="Q238" s="228" t="str">
        <f t="shared" si="45"/>
        <v/>
      </c>
      <c r="R238" s="229" t="str">
        <f t="shared" si="46"/>
        <v/>
      </c>
      <c r="S238" s="233" t="str">
        <f>IFERROR(INDEX('G-1 All Habitats'!$B$3:$B$129,MATCH(R238,'G-1 All Habitats'!$A$3:$A$129,0)),"")</f>
        <v/>
      </c>
      <c r="T238" s="507" t="str">
        <f t="shared" si="38"/>
        <v/>
      </c>
      <c r="U238" s="524" t="str">
        <f t="shared" si="39"/>
        <v/>
      </c>
      <c r="V238" s="523" t="str">
        <f t="shared" si="36"/>
        <v/>
      </c>
      <c r="W238" s="520" t="str">
        <f>IF(S238="","",VLOOKUP(S238,'G-1 All Habitats'!$B$2:$M$129,10,FALSE))</f>
        <v/>
      </c>
      <c r="X238" s="520" t="str">
        <f>IFERROR(VLOOKUP(W238,'G-1 All Habitats'!$V$3:$W$7,2,FALSE),"")</f>
        <v/>
      </c>
      <c r="Y238" s="203"/>
      <c r="Z238" s="524" t="str">
        <f>IFERROR(INDEX('G-8 Condition Look up'!$A$3:$H$130,MATCH(S238,'G-8 Condition Look up'!$A$3:$A$130,0),MATCH(Y238,'G-8 Condition Look up'!$A$3:$H$3,0)),"")</f>
        <v/>
      </c>
      <c r="AA238" s="145"/>
      <c r="AB238" s="540" t="str">
        <f>IF(AA238="","",IF(VLOOKUP(AA238,'G-3 Multipliers'!$L$3:$N$6,2,FALSE)=0,"Spatial Data Missing ⚠",VLOOKUP(AA238,'G-3 Multipliers'!$L$3:$N$6,2,FALSE)))</f>
        <v/>
      </c>
      <c r="AC238" s="524" t="str">
        <f>IF(AA238="","",IF(VLOOKUP(AA238,'G-3 Multipliers'!$L$3:$N$6,3,FALSE)=0,"Spatial Data Missing ⚠",VLOOKUP(AA238,'G-3 Multipliers'!$L$3:$N$6,3,FALSE)))</f>
        <v/>
      </c>
      <c r="AD238" s="537" t="str">
        <f t="shared" si="37"/>
        <v/>
      </c>
      <c r="AE238" s="203"/>
      <c r="AF238" s="203"/>
      <c r="AG238" s="520" t="str">
        <f t="shared" si="40"/>
        <v/>
      </c>
      <c r="AH238" s="544" t="str">
        <f t="shared" si="41"/>
        <v/>
      </c>
      <c r="AI238" s="525" t="str">
        <f>IF(AH238="Check Data ⚠","Check Data ⚠",IFERROR(VLOOKUP(AH238,'G-4 Temporal multipliers'!$A$4:$C$36,3,FALSE),""))</f>
        <v/>
      </c>
      <c r="AJ238" s="537" t="str">
        <f>IF(S238="","",VLOOKUP(S238,'G-3 Multipliers'!$A$2:$E$129,4,FALSE))</f>
        <v/>
      </c>
      <c r="AK238" s="520" t="str">
        <f t="shared" si="42"/>
        <v/>
      </c>
      <c r="AL238" s="520" t="str">
        <f t="shared" si="43"/>
        <v/>
      </c>
      <c r="AM238" s="524" t="str">
        <f>IFERROR(IF(F238="","",IF(AH238="Check Data ⚠","Check Data ⚠",VLOOKUP(AL238, 'G-3 Multipliers'!$P$2:$Q$6,2,FALSE))),"")</f>
        <v/>
      </c>
      <c r="AN238" s="197"/>
      <c r="AO238" s="540" t="str">
        <f>IF(AN238="","",IF(VLOOKUP(AN238,'G-3 Multipliers'!$S$3:$T$9,2,FALSE)=0,"Spatial Data Missing ⚠",VLOOKUP(AN238,'G-3 Multipliers'!$S$3:$T$9,2,FALSE)))</f>
        <v/>
      </c>
      <c r="AP238" s="513" t="str">
        <f t="shared" si="44"/>
        <v/>
      </c>
      <c r="AQ238" s="231"/>
      <c r="AR238" s="150"/>
    </row>
    <row r="239" spans="1:44" x14ac:dyDescent="0.3">
      <c r="A239" s="31" t="str">
        <f>IF(E239="","",IF(ISNA(VLOOKUP($E239,'D-1 Off Site Habitat Baseline'!$D$1:$O$258,2,FALSE)),"",(VLOOKUP($E239,'D-1 Off Site Habitat Baseline'!$D$1:$O$258,2,FALSE))))</f>
        <v/>
      </c>
      <c r="B239" s="31" t="str">
        <f>IF(E239="","",IF(ISNA(VLOOKUP($E239,'D-1 Off Site Habitat Baseline'!$D$1:$O$258,3,FALSE)),"",(VLOOKUP($E239,'D-1 Off Site Habitat Baseline'!$D$1:$O$258,3,FALSE))))</f>
        <v/>
      </c>
      <c r="C239" s="31" t="str">
        <f>IFERROR(INDEX('G-8 Condition Look up'!$I$4:$I$130,MATCH(S239,'G-8 Condition Look up'!$A$4:$A$130,0)),"")</f>
        <v/>
      </c>
      <c r="E239" s="547" t="str">
        <f>'D-1 Off Site Habitat Baseline'!AL238</f>
        <v/>
      </c>
      <c r="F239" s="520" t="str">
        <f>IF(E239="","",IF(ISNA(VLOOKUP($E239,'D-1 Off Site Habitat Baseline'!$D$1:$O$258,4,FALSE)),"",(VLOOKUP($E239,'D-1 Off Site Habitat Baseline'!$D$1:$O$258,4,FALSE))))</f>
        <v/>
      </c>
      <c r="G239" s="520" t="str">
        <f>IF(E239="","",IF(ISNA(VLOOKUP($E239,'D-1 Off Site Habitat Baseline'!$D$1:$O$258,5,FALSE)),"",(VLOOKUP($E239,'D-1 Off Site Habitat Baseline'!$D$1:$O$258,5,FALSE))))</f>
        <v/>
      </c>
      <c r="H239" s="520" t="str">
        <f>IF(E239="","",IF(ISNA(VLOOKUP($E239,'D-1 Off Site Habitat Baseline'!$D$1:$O$258,6,FALSE)),"",(VLOOKUP($E239,'D-1 Off Site Habitat Baseline'!$D$1:$O$258,6,FALSE))))</f>
        <v/>
      </c>
      <c r="I239" s="520" t="str">
        <f>IF(E239="","",IF(ISNA(VLOOKUP($E239,'D-1 Off Site Habitat Baseline'!$D$1:$O$258,7,FALSE)),"",(VLOOKUP($E239,'D-1 Off Site Habitat Baseline'!$D$1:$O$258,7,FALSE))))</f>
        <v/>
      </c>
      <c r="J239" s="520" t="str">
        <f>IF(E239="","",IF(ISNA(VLOOKUP($E239,'D-1 Off Site Habitat Baseline'!$D$1:$O$258,8,FALSE)),"",(VLOOKUP($E239,'D-1 Off Site Habitat Baseline'!$D$1:$O$258,8,FALSE))))</f>
        <v/>
      </c>
      <c r="K239" s="520" t="str">
        <f>IF(E239="","",IF(ISNA(VLOOKUP($E239,'D-1 Off Site Habitat Baseline'!$D$1:$O$258,9,FALSE)),"",(VLOOKUP($E239,'D-1 Off Site Habitat Baseline'!$D$1:$O$258,9,FALSE))))</f>
        <v/>
      </c>
      <c r="L239" s="520" t="str">
        <f>IF(E239="","",IF(ISNA(VLOOKUP($E239,'D-1 Off Site Habitat Baseline'!$D$1:$O$258,11,FALSE)),"",(VLOOKUP($E239,'D-1 Off Site Habitat Baseline'!$D$1:$O$258,11,FALSE))))</f>
        <v/>
      </c>
      <c r="M239" s="520" t="str">
        <f>IF(E239="","",IF(ISNA(VLOOKUP($E239,'D-1 Off Site Habitat Baseline'!$D$1:$O$258,12,FALSE)),"",(VLOOKUP($E239,'D-1 Off Site Habitat Baseline'!$D$1:$O$258,12,FALSE))))</f>
        <v/>
      </c>
      <c r="N239" s="520" t="str">
        <f>IF(E239="","",IF(ISNA(VLOOKUP($E239,'D-1 Off Site Habitat Baseline'!$D$1:$X$258,14,FALSE)),"",(VLOOKUP($E239,'D-1 Off Site Habitat Baseline'!$D$1:$X$258,14,FALSE))))</f>
        <v/>
      </c>
      <c r="O239" s="524" t="str">
        <f>IF(E239="","",IF(ISNA(VLOOKUP($E239,'D-1 Off Site Habitat Baseline'!$D$1:$X$258,13,FALSE)),"",(VLOOKUP($E239,'D-1 Off Site Habitat Baseline'!$D$1:$X$258,13,FALSE))))</f>
        <v/>
      </c>
      <c r="P239" s="232" t="str">
        <f>IFERROR(INDEX('G-1 All Habitats'!$AG$3:$AG$15,MATCH(Q239,'G-1 All Habitats'!$AF$3:$AF$15,0)),"")</f>
        <v/>
      </c>
      <c r="Q239" s="228" t="str">
        <f t="shared" si="45"/>
        <v/>
      </c>
      <c r="R239" s="229" t="str">
        <f t="shared" si="46"/>
        <v/>
      </c>
      <c r="S239" s="233" t="str">
        <f>IFERROR(INDEX('G-1 All Habitats'!$B$3:$B$129,MATCH(R239,'G-1 All Habitats'!$A$3:$A$129,0)),"")</f>
        <v/>
      </c>
      <c r="T239" s="507" t="str">
        <f t="shared" si="38"/>
        <v/>
      </c>
      <c r="U239" s="524" t="str">
        <f t="shared" si="39"/>
        <v/>
      </c>
      <c r="V239" s="523" t="str">
        <f t="shared" si="36"/>
        <v/>
      </c>
      <c r="W239" s="520" t="str">
        <f>IF(S239="","",VLOOKUP(S239,'G-1 All Habitats'!$B$2:$M$129,10,FALSE))</f>
        <v/>
      </c>
      <c r="X239" s="520" t="str">
        <f>IFERROR(VLOOKUP(W239,'G-1 All Habitats'!$V$3:$W$7,2,FALSE),"")</f>
        <v/>
      </c>
      <c r="Y239" s="203"/>
      <c r="Z239" s="524" t="str">
        <f>IFERROR(INDEX('G-8 Condition Look up'!$A$3:$H$130,MATCH(S239,'G-8 Condition Look up'!$A$3:$A$130,0),MATCH(Y239,'G-8 Condition Look up'!$A$3:$H$3,0)),"")</f>
        <v/>
      </c>
      <c r="AA239" s="145"/>
      <c r="AB239" s="540" t="str">
        <f>IF(AA239="","",IF(VLOOKUP(AA239,'G-3 Multipliers'!$L$3:$N$6,2,FALSE)=0,"Spatial Data Missing ⚠",VLOOKUP(AA239,'G-3 Multipliers'!$L$3:$N$6,2,FALSE)))</f>
        <v/>
      </c>
      <c r="AC239" s="524" t="str">
        <f>IF(AA239="","",IF(VLOOKUP(AA239,'G-3 Multipliers'!$L$3:$N$6,3,FALSE)=0,"Spatial Data Missing ⚠",VLOOKUP(AA239,'G-3 Multipliers'!$L$3:$N$6,3,FALSE)))</f>
        <v/>
      </c>
      <c r="AD239" s="537" t="str">
        <f t="shared" si="37"/>
        <v/>
      </c>
      <c r="AE239" s="203"/>
      <c r="AF239" s="203"/>
      <c r="AG239" s="520" t="str">
        <f t="shared" si="40"/>
        <v/>
      </c>
      <c r="AH239" s="544" t="str">
        <f t="shared" si="41"/>
        <v/>
      </c>
      <c r="AI239" s="525" t="str">
        <f>IF(AH239="Check Data ⚠","Check Data ⚠",IFERROR(VLOOKUP(AH239,'G-4 Temporal multipliers'!$A$4:$C$36,3,FALSE),""))</f>
        <v/>
      </c>
      <c r="AJ239" s="537" t="str">
        <f>IF(S239="","",VLOOKUP(S239,'G-3 Multipliers'!$A$2:$E$129,4,FALSE))</f>
        <v/>
      </c>
      <c r="AK239" s="520" t="str">
        <f t="shared" si="42"/>
        <v/>
      </c>
      <c r="AL239" s="520" t="str">
        <f t="shared" si="43"/>
        <v/>
      </c>
      <c r="AM239" s="524" t="str">
        <f>IFERROR(IF(F239="","",IF(AH239="Check Data ⚠","Check Data ⚠",VLOOKUP(AL239, 'G-3 Multipliers'!$P$2:$Q$6,2,FALSE))),"")</f>
        <v/>
      </c>
      <c r="AN239" s="197"/>
      <c r="AO239" s="540" t="str">
        <f>IF(AN239="","",IF(VLOOKUP(AN239,'G-3 Multipliers'!$S$3:$T$9,2,FALSE)=0,"Spatial Data Missing ⚠",VLOOKUP(AN239,'G-3 Multipliers'!$S$3:$T$9,2,FALSE)))</f>
        <v/>
      </c>
      <c r="AP239" s="513" t="str">
        <f t="shared" si="44"/>
        <v/>
      </c>
      <c r="AQ239" s="231"/>
      <c r="AR239" s="150"/>
    </row>
    <row r="240" spans="1:44" x14ac:dyDescent="0.3">
      <c r="A240" s="31" t="str">
        <f>IF(E240="","",IF(ISNA(VLOOKUP($E240,'D-1 Off Site Habitat Baseline'!$D$1:$O$258,2,FALSE)),"",(VLOOKUP($E240,'D-1 Off Site Habitat Baseline'!$D$1:$O$258,2,FALSE))))</f>
        <v/>
      </c>
      <c r="B240" s="31" t="str">
        <f>IF(E240="","",IF(ISNA(VLOOKUP($E240,'D-1 Off Site Habitat Baseline'!$D$1:$O$258,3,FALSE)),"",(VLOOKUP($E240,'D-1 Off Site Habitat Baseline'!$D$1:$O$258,3,FALSE))))</f>
        <v/>
      </c>
      <c r="C240" s="31" t="str">
        <f>IFERROR(INDEX('G-8 Condition Look up'!$I$4:$I$130,MATCH(S240,'G-8 Condition Look up'!$A$4:$A$130,0)),"")</f>
        <v/>
      </c>
      <c r="E240" s="547" t="str">
        <f>'D-1 Off Site Habitat Baseline'!AL239</f>
        <v/>
      </c>
      <c r="F240" s="520" t="str">
        <f>IF(E240="","",IF(ISNA(VLOOKUP($E240,'D-1 Off Site Habitat Baseline'!$D$1:$O$258,4,FALSE)),"",(VLOOKUP($E240,'D-1 Off Site Habitat Baseline'!$D$1:$O$258,4,FALSE))))</f>
        <v/>
      </c>
      <c r="G240" s="520" t="str">
        <f>IF(E240="","",IF(ISNA(VLOOKUP($E240,'D-1 Off Site Habitat Baseline'!$D$1:$O$258,5,FALSE)),"",(VLOOKUP($E240,'D-1 Off Site Habitat Baseline'!$D$1:$O$258,5,FALSE))))</f>
        <v/>
      </c>
      <c r="H240" s="520" t="str">
        <f>IF(E240="","",IF(ISNA(VLOOKUP($E240,'D-1 Off Site Habitat Baseline'!$D$1:$O$258,6,FALSE)),"",(VLOOKUP($E240,'D-1 Off Site Habitat Baseline'!$D$1:$O$258,6,FALSE))))</f>
        <v/>
      </c>
      <c r="I240" s="520" t="str">
        <f>IF(E240="","",IF(ISNA(VLOOKUP($E240,'D-1 Off Site Habitat Baseline'!$D$1:$O$258,7,FALSE)),"",(VLOOKUP($E240,'D-1 Off Site Habitat Baseline'!$D$1:$O$258,7,FALSE))))</f>
        <v/>
      </c>
      <c r="J240" s="520" t="str">
        <f>IF(E240="","",IF(ISNA(VLOOKUP($E240,'D-1 Off Site Habitat Baseline'!$D$1:$O$258,8,FALSE)),"",(VLOOKUP($E240,'D-1 Off Site Habitat Baseline'!$D$1:$O$258,8,FALSE))))</f>
        <v/>
      </c>
      <c r="K240" s="520" t="str">
        <f>IF(E240="","",IF(ISNA(VLOOKUP($E240,'D-1 Off Site Habitat Baseline'!$D$1:$O$258,9,FALSE)),"",(VLOOKUP($E240,'D-1 Off Site Habitat Baseline'!$D$1:$O$258,9,FALSE))))</f>
        <v/>
      </c>
      <c r="L240" s="520" t="str">
        <f>IF(E240="","",IF(ISNA(VLOOKUP($E240,'D-1 Off Site Habitat Baseline'!$D$1:$O$258,11,FALSE)),"",(VLOOKUP($E240,'D-1 Off Site Habitat Baseline'!$D$1:$O$258,11,FALSE))))</f>
        <v/>
      </c>
      <c r="M240" s="520" t="str">
        <f>IF(E240="","",IF(ISNA(VLOOKUP($E240,'D-1 Off Site Habitat Baseline'!$D$1:$O$258,12,FALSE)),"",(VLOOKUP($E240,'D-1 Off Site Habitat Baseline'!$D$1:$O$258,12,FALSE))))</f>
        <v/>
      </c>
      <c r="N240" s="520" t="str">
        <f>IF(E240="","",IF(ISNA(VLOOKUP($E240,'D-1 Off Site Habitat Baseline'!$D$1:$X$258,14,FALSE)),"",(VLOOKUP($E240,'D-1 Off Site Habitat Baseline'!$D$1:$X$258,14,FALSE))))</f>
        <v/>
      </c>
      <c r="O240" s="524" t="str">
        <f>IF(E240="","",IF(ISNA(VLOOKUP($E240,'D-1 Off Site Habitat Baseline'!$D$1:$X$258,13,FALSE)),"",(VLOOKUP($E240,'D-1 Off Site Habitat Baseline'!$D$1:$X$258,13,FALSE))))</f>
        <v/>
      </c>
      <c r="P240" s="232" t="str">
        <f>IFERROR(INDEX('G-1 All Habitats'!$AG$3:$AG$15,MATCH(Q240,'G-1 All Habitats'!$AF$3:$AF$15,0)),"")</f>
        <v/>
      </c>
      <c r="Q240" s="228" t="str">
        <f t="shared" si="45"/>
        <v/>
      </c>
      <c r="R240" s="229" t="str">
        <f t="shared" si="46"/>
        <v/>
      </c>
      <c r="S240" s="233" t="str">
        <f>IFERROR(INDEX('G-1 All Habitats'!$B$3:$B$129,MATCH(R240,'G-1 All Habitats'!$A$3:$A$129,0)),"")</f>
        <v/>
      </c>
      <c r="T240" s="507" t="str">
        <f t="shared" si="38"/>
        <v/>
      </c>
      <c r="U240" s="524" t="str">
        <f t="shared" si="39"/>
        <v/>
      </c>
      <c r="V240" s="523" t="str">
        <f t="shared" si="36"/>
        <v/>
      </c>
      <c r="W240" s="520" t="str">
        <f>IF(S240="","",VLOOKUP(S240,'G-1 All Habitats'!$B$2:$M$129,10,FALSE))</f>
        <v/>
      </c>
      <c r="X240" s="520" t="str">
        <f>IFERROR(VLOOKUP(W240,'G-1 All Habitats'!$V$3:$W$7,2,FALSE),"")</f>
        <v/>
      </c>
      <c r="Y240" s="203"/>
      <c r="Z240" s="524" t="str">
        <f>IFERROR(INDEX('G-8 Condition Look up'!$A$3:$H$130,MATCH(S240,'G-8 Condition Look up'!$A$3:$A$130,0),MATCH(Y240,'G-8 Condition Look up'!$A$3:$H$3,0)),"")</f>
        <v/>
      </c>
      <c r="AA240" s="145"/>
      <c r="AB240" s="540" t="str">
        <f>IF(AA240="","",IF(VLOOKUP(AA240,'G-3 Multipliers'!$L$3:$N$6,2,FALSE)=0,"Spatial Data Missing ⚠",VLOOKUP(AA240,'G-3 Multipliers'!$L$3:$N$6,2,FALSE)))</f>
        <v/>
      </c>
      <c r="AC240" s="524" t="str">
        <f>IF(AA240="","",IF(VLOOKUP(AA240,'G-3 Multipliers'!$L$3:$N$6,3,FALSE)=0,"Spatial Data Missing ⚠",VLOOKUP(AA240,'G-3 Multipliers'!$L$3:$N$6,3,FALSE)))</f>
        <v/>
      </c>
      <c r="AD240" s="537" t="str">
        <f t="shared" si="37"/>
        <v/>
      </c>
      <c r="AE240" s="203"/>
      <c r="AF240" s="203"/>
      <c r="AG240" s="520" t="str">
        <f t="shared" si="40"/>
        <v/>
      </c>
      <c r="AH240" s="544" t="str">
        <f t="shared" si="41"/>
        <v/>
      </c>
      <c r="AI240" s="525" t="str">
        <f>IF(AH240="Check Data ⚠","Check Data ⚠",IFERROR(VLOOKUP(AH240,'G-4 Temporal multipliers'!$A$4:$C$36,3,FALSE),""))</f>
        <v/>
      </c>
      <c r="AJ240" s="537" t="str">
        <f>IF(S240="","",VLOOKUP(S240,'G-3 Multipliers'!$A$2:$E$129,4,FALSE))</f>
        <v/>
      </c>
      <c r="AK240" s="520" t="str">
        <f t="shared" si="42"/>
        <v/>
      </c>
      <c r="AL240" s="520" t="str">
        <f t="shared" si="43"/>
        <v/>
      </c>
      <c r="AM240" s="524" t="str">
        <f>IFERROR(IF(F240="","",IF(AH240="Check Data ⚠","Check Data ⚠",VLOOKUP(AL240, 'G-3 Multipliers'!$P$2:$Q$6,2,FALSE))),"")</f>
        <v/>
      </c>
      <c r="AN240" s="197"/>
      <c r="AO240" s="540" t="str">
        <f>IF(AN240="","",IF(VLOOKUP(AN240,'G-3 Multipliers'!$S$3:$T$9,2,FALSE)=0,"Spatial Data Missing ⚠",VLOOKUP(AN240,'G-3 Multipliers'!$S$3:$T$9,2,FALSE)))</f>
        <v/>
      </c>
      <c r="AP240" s="513" t="str">
        <f t="shared" si="44"/>
        <v/>
      </c>
      <c r="AQ240" s="231"/>
      <c r="AR240" s="150"/>
    </row>
    <row r="241" spans="1:44" x14ac:dyDescent="0.3">
      <c r="A241" s="31" t="str">
        <f>IF(E241="","",IF(ISNA(VLOOKUP($E241,'D-1 Off Site Habitat Baseline'!$D$1:$O$258,2,FALSE)),"",(VLOOKUP($E241,'D-1 Off Site Habitat Baseline'!$D$1:$O$258,2,FALSE))))</f>
        <v/>
      </c>
      <c r="B241" s="31" t="str">
        <f>IF(E241="","",IF(ISNA(VLOOKUP($E241,'D-1 Off Site Habitat Baseline'!$D$1:$O$258,3,FALSE)),"",(VLOOKUP($E241,'D-1 Off Site Habitat Baseline'!$D$1:$O$258,3,FALSE))))</f>
        <v/>
      </c>
      <c r="C241" s="31" t="str">
        <f>IFERROR(INDEX('G-8 Condition Look up'!$I$4:$I$130,MATCH(S241,'G-8 Condition Look up'!$A$4:$A$130,0)),"")</f>
        <v/>
      </c>
      <c r="E241" s="547" t="str">
        <f>'D-1 Off Site Habitat Baseline'!AL240</f>
        <v/>
      </c>
      <c r="F241" s="520" t="str">
        <f>IF(E241="","",IF(ISNA(VLOOKUP($E241,'D-1 Off Site Habitat Baseline'!$D$1:$O$258,4,FALSE)),"",(VLOOKUP($E241,'D-1 Off Site Habitat Baseline'!$D$1:$O$258,4,FALSE))))</f>
        <v/>
      </c>
      <c r="G241" s="520" t="str">
        <f>IF(E241="","",IF(ISNA(VLOOKUP($E241,'D-1 Off Site Habitat Baseline'!$D$1:$O$258,5,FALSE)),"",(VLOOKUP($E241,'D-1 Off Site Habitat Baseline'!$D$1:$O$258,5,FALSE))))</f>
        <v/>
      </c>
      <c r="H241" s="520" t="str">
        <f>IF(E241="","",IF(ISNA(VLOOKUP($E241,'D-1 Off Site Habitat Baseline'!$D$1:$O$258,6,FALSE)),"",(VLOOKUP($E241,'D-1 Off Site Habitat Baseline'!$D$1:$O$258,6,FALSE))))</f>
        <v/>
      </c>
      <c r="I241" s="520" t="str">
        <f>IF(E241="","",IF(ISNA(VLOOKUP($E241,'D-1 Off Site Habitat Baseline'!$D$1:$O$258,7,FALSE)),"",(VLOOKUP($E241,'D-1 Off Site Habitat Baseline'!$D$1:$O$258,7,FALSE))))</f>
        <v/>
      </c>
      <c r="J241" s="520" t="str">
        <f>IF(E241="","",IF(ISNA(VLOOKUP($E241,'D-1 Off Site Habitat Baseline'!$D$1:$O$258,8,FALSE)),"",(VLOOKUP($E241,'D-1 Off Site Habitat Baseline'!$D$1:$O$258,8,FALSE))))</f>
        <v/>
      </c>
      <c r="K241" s="520" t="str">
        <f>IF(E241="","",IF(ISNA(VLOOKUP($E241,'D-1 Off Site Habitat Baseline'!$D$1:$O$258,9,FALSE)),"",(VLOOKUP($E241,'D-1 Off Site Habitat Baseline'!$D$1:$O$258,9,FALSE))))</f>
        <v/>
      </c>
      <c r="L241" s="520" t="str">
        <f>IF(E241="","",IF(ISNA(VLOOKUP($E241,'D-1 Off Site Habitat Baseline'!$D$1:$O$258,11,FALSE)),"",(VLOOKUP($E241,'D-1 Off Site Habitat Baseline'!$D$1:$O$258,11,FALSE))))</f>
        <v/>
      </c>
      <c r="M241" s="520" t="str">
        <f>IF(E241="","",IF(ISNA(VLOOKUP($E241,'D-1 Off Site Habitat Baseline'!$D$1:$O$258,12,FALSE)),"",(VLOOKUP($E241,'D-1 Off Site Habitat Baseline'!$D$1:$O$258,12,FALSE))))</f>
        <v/>
      </c>
      <c r="N241" s="520" t="str">
        <f>IF(E241="","",IF(ISNA(VLOOKUP($E241,'D-1 Off Site Habitat Baseline'!$D$1:$X$258,14,FALSE)),"",(VLOOKUP($E241,'D-1 Off Site Habitat Baseline'!$D$1:$X$258,14,FALSE))))</f>
        <v/>
      </c>
      <c r="O241" s="524" t="str">
        <f>IF(E241="","",IF(ISNA(VLOOKUP($E241,'D-1 Off Site Habitat Baseline'!$D$1:$X$258,13,FALSE)),"",(VLOOKUP($E241,'D-1 Off Site Habitat Baseline'!$D$1:$X$258,13,FALSE))))</f>
        <v/>
      </c>
      <c r="P241" s="232" t="str">
        <f>IFERROR(INDEX('G-1 All Habitats'!$AG$3:$AG$15,MATCH(Q241,'G-1 All Habitats'!$AF$3:$AF$15,0)),"")</f>
        <v/>
      </c>
      <c r="Q241" s="228" t="str">
        <f t="shared" si="45"/>
        <v/>
      </c>
      <c r="R241" s="229" t="str">
        <f t="shared" si="46"/>
        <v/>
      </c>
      <c r="S241" s="233" t="str">
        <f>IFERROR(INDEX('G-1 All Habitats'!$B$3:$B$129,MATCH(R241,'G-1 All Habitats'!$A$3:$A$129,0)),"")</f>
        <v/>
      </c>
      <c r="T241" s="507" t="str">
        <f t="shared" si="38"/>
        <v/>
      </c>
      <c r="U241" s="524" t="str">
        <f t="shared" si="39"/>
        <v/>
      </c>
      <c r="V241" s="523" t="str">
        <f t="shared" si="36"/>
        <v/>
      </c>
      <c r="W241" s="520" t="str">
        <f>IF(S241="","",VLOOKUP(S241,'G-1 All Habitats'!$B$2:$M$129,10,FALSE))</f>
        <v/>
      </c>
      <c r="X241" s="520" t="str">
        <f>IFERROR(VLOOKUP(W241,'G-1 All Habitats'!$V$3:$W$7,2,FALSE),"")</f>
        <v/>
      </c>
      <c r="Y241" s="203"/>
      <c r="Z241" s="524" t="str">
        <f>IFERROR(INDEX('G-8 Condition Look up'!$A$3:$H$130,MATCH(S241,'G-8 Condition Look up'!$A$3:$A$130,0),MATCH(Y241,'G-8 Condition Look up'!$A$3:$H$3,0)),"")</f>
        <v/>
      </c>
      <c r="AA241" s="145"/>
      <c r="AB241" s="540" t="str">
        <f>IF(AA241="","",IF(VLOOKUP(AA241,'G-3 Multipliers'!$L$3:$N$6,2,FALSE)=0,"Spatial Data Missing ⚠",VLOOKUP(AA241,'G-3 Multipliers'!$L$3:$N$6,2,FALSE)))</f>
        <v/>
      </c>
      <c r="AC241" s="524" t="str">
        <f>IF(AA241="","",IF(VLOOKUP(AA241,'G-3 Multipliers'!$L$3:$N$6,3,FALSE)=0,"Spatial Data Missing ⚠",VLOOKUP(AA241,'G-3 Multipliers'!$L$3:$N$6,3,FALSE)))</f>
        <v/>
      </c>
      <c r="AD241" s="537" t="str">
        <f t="shared" si="37"/>
        <v/>
      </c>
      <c r="AE241" s="203"/>
      <c r="AF241" s="203"/>
      <c r="AG241" s="520" t="str">
        <f t="shared" si="40"/>
        <v/>
      </c>
      <c r="AH241" s="544" t="str">
        <f t="shared" si="41"/>
        <v/>
      </c>
      <c r="AI241" s="525" t="str">
        <f>IF(AH241="Check Data ⚠","Check Data ⚠",IFERROR(VLOOKUP(AH241,'G-4 Temporal multipliers'!$A$4:$C$36,3,FALSE),""))</f>
        <v/>
      </c>
      <c r="AJ241" s="537" t="str">
        <f>IF(S241="","",VLOOKUP(S241,'G-3 Multipliers'!$A$2:$E$129,4,FALSE))</f>
        <v/>
      </c>
      <c r="AK241" s="520" t="str">
        <f t="shared" si="42"/>
        <v/>
      </c>
      <c r="AL241" s="520" t="str">
        <f t="shared" si="43"/>
        <v/>
      </c>
      <c r="AM241" s="524" t="str">
        <f>IFERROR(IF(F241="","",IF(AH241="Check Data ⚠","Check Data ⚠",VLOOKUP(AL241, 'G-3 Multipliers'!$P$2:$Q$6,2,FALSE))),"")</f>
        <v/>
      </c>
      <c r="AN241" s="197"/>
      <c r="AO241" s="540" t="str">
        <f>IF(AN241="","",IF(VLOOKUP(AN241,'G-3 Multipliers'!$S$3:$T$9,2,FALSE)=0,"Spatial Data Missing ⚠",VLOOKUP(AN241,'G-3 Multipliers'!$S$3:$T$9,2,FALSE)))</f>
        <v/>
      </c>
      <c r="AP241" s="513" t="str">
        <f t="shared" si="44"/>
        <v/>
      </c>
      <c r="AQ241" s="231"/>
      <c r="AR241" s="150"/>
    </row>
    <row r="242" spans="1:44" x14ac:dyDescent="0.3">
      <c r="A242" s="31" t="str">
        <f>IF(E242="","",IF(ISNA(VLOOKUP($E242,'D-1 Off Site Habitat Baseline'!$D$1:$O$258,2,FALSE)),"",(VLOOKUP($E242,'D-1 Off Site Habitat Baseline'!$D$1:$O$258,2,FALSE))))</f>
        <v/>
      </c>
      <c r="B242" s="31" t="str">
        <f>IF(E242="","",IF(ISNA(VLOOKUP($E242,'D-1 Off Site Habitat Baseline'!$D$1:$O$258,3,FALSE)),"",(VLOOKUP($E242,'D-1 Off Site Habitat Baseline'!$D$1:$O$258,3,FALSE))))</f>
        <v/>
      </c>
      <c r="C242" s="31" t="str">
        <f>IFERROR(INDEX('G-8 Condition Look up'!$I$4:$I$130,MATCH(S242,'G-8 Condition Look up'!$A$4:$A$130,0)),"")</f>
        <v/>
      </c>
      <c r="E242" s="547" t="str">
        <f>'D-1 Off Site Habitat Baseline'!AL241</f>
        <v/>
      </c>
      <c r="F242" s="520" t="str">
        <f>IF(E242="","",IF(ISNA(VLOOKUP($E242,'D-1 Off Site Habitat Baseline'!$D$1:$O$258,4,FALSE)),"",(VLOOKUP($E242,'D-1 Off Site Habitat Baseline'!$D$1:$O$258,4,FALSE))))</f>
        <v/>
      </c>
      <c r="G242" s="520" t="str">
        <f>IF(E242="","",IF(ISNA(VLOOKUP($E242,'D-1 Off Site Habitat Baseline'!$D$1:$O$258,5,FALSE)),"",(VLOOKUP($E242,'D-1 Off Site Habitat Baseline'!$D$1:$O$258,5,FALSE))))</f>
        <v/>
      </c>
      <c r="H242" s="520" t="str">
        <f>IF(E242="","",IF(ISNA(VLOOKUP($E242,'D-1 Off Site Habitat Baseline'!$D$1:$O$258,6,FALSE)),"",(VLOOKUP($E242,'D-1 Off Site Habitat Baseline'!$D$1:$O$258,6,FALSE))))</f>
        <v/>
      </c>
      <c r="I242" s="520" t="str">
        <f>IF(E242="","",IF(ISNA(VLOOKUP($E242,'D-1 Off Site Habitat Baseline'!$D$1:$O$258,7,FALSE)),"",(VLOOKUP($E242,'D-1 Off Site Habitat Baseline'!$D$1:$O$258,7,FALSE))))</f>
        <v/>
      </c>
      <c r="J242" s="520" t="str">
        <f>IF(E242="","",IF(ISNA(VLOOKUP($E242,'D-1 Off Site Habitat Baseline'!$D$1:$O$258,8,FALSE)),"",(VLOOKUP($E242,'D-1 Off Site Habitat Baseline'!$D$1:$O$258,8,FALSE))))</f>
        <v/>
      </c>
      <c r="K242" s="520" t="str">
        <f>IF(E242="","",IF(ISNA(VLOOKUP($E242,'D-1 Off Site Habitat Baseline'!$D$1:$O$258,9,FALSE)),"",(VLOOKUP($E242,'D-1 Off Site Habitat Baseline'!$D$1:$O$258,9,FALSE))))</f>
        <v/>
      </c>
      <c r="L242" s="520" t="str">
        <f>IF(E242="","",IF(ISNA(VLOOKUP($E242,'D-1 Off Site Habitat Baseline'!$D$1:$O$258,11,FALSE)),"",(VLOOKUP($E242,'D-1 Off Site Habitat Baseline'!$D$1:$O$258,11,FALSE))))</f>
        <v/>
      </c>
      <c r="M242" s="520" t="str">
        <f>IF(E242="","",IF(ISNA(VLOOKUP($E242,'D-1 Off Site Habitat Baseline'!$D$1:$O$258,12,FALSE)),"",(VLOOKUP($E242,'D-1 Off Site Habitat Baseline'!$D$1:$O$258,12,FALSE))))</f>
        <v/>
      </c>
      <c r="N242" s="520" t="str">
        <f>IF(E242="","",IF(ISNA(VLOOKUP($E242,'D-1 Off Site Habitat Baseline'!$D$1:$X$258,14,FALSE)),"",(VLOOKUP($E242,'D-1 Off Site Habitat Baseline'!$D$1:$X$258,14,FALSE))))</f>
        <v/>
      </c>
      <c r="O242" s="524" t="str">
        <f>IF(E242="","",IF(ISNA(VLOOKUP($E242,'D-1 Off Site Habitat Baseline'!$D$1:$X$258,13,FALSE)),"",(VLOOKUP($E242,'D-1 Off Site Habitat Baseline'!$D$1:$X$258,13,FALSE))))</f>
        <v/>
      </c>
      <c r="P242" s="232" t="str">
        <f>IFERROR(INDEX('G-1 All Habitats'!$AG$3:$AG$15,MATCH(Q242,'G-1 All Habitats'!$AF$3:$AF$15,0)),"")</f>
        <v/>
      </c>
      <c r="Q242" s="228" t="str">
        <f t="shared" si="45"/>
        <v/>
      </c>
      <c r="R242" s="229" t="str">
        <f t="shared" si="46"/>
        <v/>
      </c>
      <c r="S242" s="233" t="str">
        <f>IFERROR(INDEX('G-1 All Habitats'!$B$3:$B$129,MATCH(R242,'G-1 All Habitats'!$A$3:$A$129,0)),"")</f>
        <v/>
      </c>
      <c r="T242" s="507" t="str">
        <f t="shared" si="38"/>
        <v/>
      </c>
      <c r="U242" s="524" t="str">
        <f t="shared" si="39"/>
        <v/>
      </c>
      <c r="V242" s="523" t="str">
        <f t="shared" si="36"/>
        <v/>
      </c>
      <c r="W242" s="520" t="str">
        <f>IF(S242="","",VLOOKUP(S242,'G-1 All Habitats'!$B$2:$M$129,10,FALSE))</f>
        <v/>
      </c>
      <c r="X242" s="520" t="str">
        <f>IFERROR(VLOOKUP(W242,'G-1 All Habitats'!$V$3:$W$7,2,FALSE),"")</f>
        <v/>
      </c>
      <c r="Y242" s="203"/>
      <c r="Z242" s="524" t="str">
        <f>IFERROR(INDEX('G-8 Condition Look up'!$A$3:$H$130,MATCH(S242,'G-8 Condition Look up'!$A$3:$A$130,0),MATCH(Y242,'G-8 Condition Look up'!$A$3:$H$3,0)),"")</f>
        <v/>
      </c>
      <c r="AA242" s="145"/>
      <c r="AB242" s="540" t="str">
        <f>IF(AA242="","",IF(VLOOKUP(AA242,'G-3 Multipliers'!$L$3:$N$6,2,FALSE)=0,"Spatial Data Missing ⚠",VLOOKUP(AA242,'G-3 Multipliers'!$L$3:$N$6,2,FALSE)))</f>
        <v/>
      </c>
      <c r="AC242" s="524" t="str">
        <f>IF(AA242="","",IF(VLOOKUP(AA242,'G-3 Multipliers'!$L$3:$N$6,3,FALSE)=0,"Spatial Data Missing ⚠",VLOOKUP(AA242,'G-3 Multipliers'!$L$3:$N$6,3,FALSE)))</f>
        <v/>
      </c>
      <c r="AD242" s="537" t="str">
        <f t="shared" si="37"/>
        <v/>
      </c>
      <c r="AE242" s="203"/>
      <c r="AF242" s="203"/>
      <c r="AG242" s="520" t="str">
        <f t="shared" si="40"/>
        <v/>
      </c>
      <c r="AH242" s="544" t="str">
        <f t="shared" si="41"/>
        <v/>
      </c>
      <c r="AI242" s="525" t="str">
        <f>IF(AH242="Check Data ⚠","Check Data ⚠",IFERROR(VLOOKUP(AH242,'G-4 Temporal multipliers'!$A$4:$C$36,3,FALSE),""))</f>
        <v/>
      </c>
      <c r="AJ242" s="537" t="str">
        <f>IF(S242="","",VLOOKUP(S242,'G-3 Multipliers'!$A$2:$E$129,4,FALSE))</f>
        <v/>
      </c>
      <c r="AK242" s="520" t="str">
        <f t="shared" si="42"/>
        <v/>
      </c>
      <c r="AL242" s="520" t="str">
        <f t="shared" si="43"/>
        <v/>
      </c>
      <c r="AM242" s="524" t="str">
        <f>IFERROR(IF(F242="","",IF(AH242="Check Data ⚠","Check Data ⚠",VLOOKUP(AL242, 'G-3 Multipliers'!$P$2:$Q$6,2,FALSE))),"")</f>
        <v/>
      </c>
      <c r="AN242" s="197"/>
      <c r="AO242" s="540" t="str">
        <f>IF(AN242="","",IF(VLOOKUP(AN242,'G-3 Multipliers'!$S$3:$T$9,2,FALSE)=0,"Spatial Data Missing ⚠",VLOOKUP(AN242,'G-3 Multipliers'!$S$3:$T$9,2,FALSE)))</f>
        <v/>
      </c>
      <c r="AP242" s="513" t="str">
        <f t="shared" si="44"/>
        <v/>
      </c>
      <c r="AQ242" s="231"/>
      <c r="AR242" s="150"/>
    </row>
    <row r="243" spans="1:44" x14ac:dyDescent="0.3">
      <c r="A243" s="31" t="str">
        <f>IF(E243="","",IF(ISNA(VLOOKUP($E243,'D-1 Off Site Habitat Baseline'!$D$1:$O$258,2,FALSE)),"",(VLOOKUP($E243,'D-1 Off Site Habitat Baseline'!$D$1:$O$258,2,FALSE))))</f>
        <v/>
      </c>
      <c r="B243" s="31" t="str">
        <f>IF(E243="","",IF(ISNA(VLOOKUP($E243,'D-1 Off Site Habitat Baseline'!$D$1:$O$258,3,FALSE)),"",(VLOOKUP($E243,'D-1 Off Site Habitat Baseline'!$D$1:$O$258,3,FALSE))))</f>
        <v/>
      </c>
      <c r="C243" s="31" t="str">
        <f>IFERROR(INDEX('G-8 Condition Look up'!$I$4:$I$130,MATCH(S243,'G-8 Condition Look up'!$A$4:$A$130,0)),"")</f>
        <v/>
      </c>
      <c r="E243" s="547" t="str">
        <f>'D-1 Off Site Habitat Baseline'!AL242</f>
        <v/>
      </c>
      <c r="F243" s="520" t="str">
        <f>IF(E243="","",IF(ISNA(VLOOKUP($E243,'D-1 Off Site Habitat Baseline'!$D$1:$O$258,4,FALSE)),"",(VLOOKUP($E243,'D-1 Off Site Habitat Baseline'!$D$1:$O$258,4,FALSE))))</f>
        <v/>
      </c>
      <c r="G243" s="520" t="str">
        <f>IF(E243="","",IF(ISNA(VLOOKUP($E243,'D-1 Off Site Habitat Baseline'!$D$1:$O$258,5,FALSE)),"",(VLOOKUP($E243,'D-1 Off Site Habitat Baseline'!$D$1:$O$258,5,FALSE))))</f>
        <v/>
      </c>
      <c r="H243" s="520" t="str">
        <f>IF(E243="","",IF(ISNA(VLOOKUP($E243,'D-1 Off Site Habitat Baseline'!$D$1:$O$258,6,FALSE)),"",(VLOOKUP($E243,'D-1 Off Site Habitat Baseline'!$D$1:$O$258,6,FALSE))))</f>
        <v/>
      </c>
      <c r="I243" s="520" t="str">
        <f>IF(E243="","",IF(ISNA(VLOOKUP($E243,'D-1 Off Site Habitat Baseline'!$D$1:$O$258,7,FALSE)),"",(VLOOKUP($E243,'D-1 Off Site Habitat Baseline'!$D$1:$O$258,7,FALSE))))</f>
        <v/>
      </c>
      <c r="J243" s="520" t="str">
        <f>IF(E243="","",IF(ISNA(VLOOKUP($E243,'D-1 Off Site Habitat Baseline'!$D$1:$O$258,8,FALSE)),"",(VLOOKUP($E243,'D-1 Off Site Habitat Baseline'!$D$1:$O$258,8,FALSE))))</f>
        <v/>
      </c>
      <c r="K243" s="520" t="str">
        <f>IF(E243="","",IF(ISNA(VLOOKUP($E243,'D-1 Off Site Habitat Baseline'!$D$1:$O$258,9,FALSE)),"",(VLOOKUP($E243,'D-1 Off Site Habitat Baseline'!$D$1:$O$258,9,FALSE))))</f>
        <v/>
      </c>
      <c r="L243" s="520" t="str">
        <f>IF(E243="","",IF(ISNA(VLOOKUP($E243,'D-1 Off Site Habitat Baseline'!$D$1:$O$258,11,FALSE)),"",(VLOOKUP($E243,'D-1 Off Site Habitat Baseline'!$D$1:$O$258,11,FALSE))))</f>
        <v/>
      </c>
      <c r="M243" s="520" t="str">
        <f>IF(E243="","",IF(ISNA(VLOOKUP($E243,'D-1 Off Site Habitat Baseline'!$D$1:$O$258,12,FALSE)),"",(VLOOKUP($E243,'D-1 Off Site Habitat Baseline'!$D$1:$O$258,12,FALSE))))</f>
        <v/>
      </c>
      <c r="N243" s="520" t="str">
        <f>IF(E243="","",IF(ISNA(VLOOKUP($E243,'D-1 Off Site Habitat Baseline'!$D$1:$X$258,14,FALSE)),"",(VLOOKUP($E243,'D-1 Off Site Habitat Baseline'!$D$1:$X$258,14,FALSE))))</f>
        <v/>
      </c>
      <c r="O243" s="524" t="str">
        <f>IF(E243="","",IF(ISNA(VLOOKUP($E243,'D-1 Off Site Habitat Baseline'!$D$1:$X$258,13,FALSE)),"",(VLOOKUP($E243,'D-1 Off Site Habitat Baseline'!$D$1:$X$258,13,FALSE))))</f>
        <v/>
      </c>
      <c r="P243" s="232" t="str">
        <f>IFERROR(INDEX('G-1 All Habitats'!$AG$3:$AG$15,MATCH(Q243,'G-1 All Habitats'!$AF$3:$AF$15,0)),"")</f>
        <v/>
      </c>
      <c r="Q243" s="228" t="str">
        <f t="shared" si="45"/>
        <v/>
      </c>
      <c r="R243" s="229" t="str">
        <f t="shared" si="46"/>
        <v/>
      </c>
      <c r="S243" s="233" t="str">
        <f>IFERROR(INDEX('G-1 All Habitats'!$B$3:$B$129,MATCH(R243,'G-1 All Habitats'!$A$3:$A$129,0)),"")</f>
        <v/>
      </c>
      <c r="T243" s="507" t="str">
        <f t="shared" si="38"/>
        <v/>
      </c>
      <c r="U243" s="524" t="str">
        <f t="shared" si="39"/>
        <v/>
      </c>
      <c r="V243" s="523" t="str">
        <f t="shared" si="36"/>
        <v/>
      </c>
      <c r="W243" s="520" t="str">
        <f>IF(S243="","",VLOOKUP(S243,'G-1 All Habitats'!$B$2:$M$129,10,FALSE))</f>
        <v/>
      </c>
      <c r="X243" s="520" t="str">
        <f>IFERROR(VLOOKUP(W243,'G-1 All Habitats'!$V$3:$W$7,2,FALSE),"")</f>
        <v/>
      </c>
      <c r="Y243" s="203"/>
      <c r="Z243" s="524" t="str">
        <f>IFERROR(INDEX('G-8 Condition Look up'!$A$3:$H$130,MATCH(S243,'G-8 Condition Look up'!$A$3:$A$130,0),MATCH(Y243,'G-8 Condition Look up'!$A$3:$H$3,0)),"")</f>
        <v/>
      </c>
      <c r="AA243" s="145"/>
      <c r="AB243" s="540" t="str">
        <f>IF(AA243="","",IF(VLOOKUP(AA243,'G-3 Multipliers'!$L$3:$N$6,2,FALSE)=0,"Spatial Data Missing ⚠",VLOOKUP(AA243,'G-3 Multipliers'!$L$3:$N$6,2,FALSE)))</f>
        <v/>
      </c>
      <c r="AC243" s="524" t="str">
        <f>IF(AA243="","",IF(VLOOKUP(AA243,'G-3 Multipliers'!$L$3:$N$6,3,FALSE)=0,"Spatial Data Missing ⚠",VLOOKUP(AA243,'G-3 Multipliers'!$L$3:$N$6,3,FALSE)))</f>
        <v/>
      </c>
      <c r="AD243" s="537" t="str">
        <f t="shared" si="37"/>
        <v/>
      </c>
      <c r="AE243" s="203"/>
      <c r="AF243" s="203"/>
      <c r="AG243" s="520" t="str">
        <f t="shared" si="40"/>
        <v/>
      </c>
      <c r="AH243" s="544" t="str">
        <f t="shared" si="41"/>
        <v/>
      </c>
      <c r="AI243" s="525" t="str">
        <f>IF(AH243="Check Data ⚠","Check Data ⚠",IFERROR(VLOOKUP(AH243,'G-4 Temporal multipliers'!$A$4:$C$36,3,FALSE),""))</f>
        <v/>
      </c>
      <c r="AJ243" s="537" t="str">
        <f>IF(S243="","",VLOOKUP(S243,'G-3 Multipliers'!$A$2:$E$129,4,FALSE))</f>
        <v/>
      </c>
      <c r="AK243" s="520" t="str">
        <f t="shared" si="42"/>
        <v/>
      </c>
      <c r="AL243" s="520" t="str">
        <f t="shared" si="43"/>
        <v/>
      </c>
      <c r="AM243" s="524" t="str">
        <f>IFERROR(IF(F243="","",IF(AH243="Check Data ⚠","Check Data ⚠",VLOOKUP(AL243, 'G-3 Multipliers'!$P$2:$Q$6,2,FALSE))),"")</f>
        <v/>
      </c>
      <c r="AN243" s="197"/>
      <c r="AO243" s="540" t="str">
        <f>IF(AN243="","",IF(VLOOKUP(AN243,'G-3 Multipliers'!$S$3:$T$9,2,FALSE)=0,"Spatial Data Missing ⚠",VLOOKUP(AN243,'G-3 Multipliers'!$S$3:$T$9,2,FALSE)))</f>
        <v/>
      </c>
      <c r="AP243" s="513" t="str">
        <f t="shared" si="44"/>
        <v/>
      </c>
      <c r="AQ243" s="231"/>
      <c r="AR243" s="150"/>
    </row>
    <row r="244" spans="1:44" x14ac:dyDescent="0.3">
      <c r="A244" s="31" t="str">
        <f>IF(E244="","",IF(ISNA(VLOOKUP($E244,'D-1 Off Site Habitat Baseline'!$D$1:$O$258,2,FALSE)),"",(VLOOKUP($E244,'D-1 Off Site Habitat Baseline'!$D$1:$O$258,2,FALSE))))</f>
        <v/>
      </c>
      <c r="B244" s="31" t="str">
        <f>IF(E244="","",IF(ISNA(VLOOKUP($E244,'D-1 Off Site Habitat Baseline'!$D$1:$O$258,3,FALSE)),"",(VLOOKUP($E244,'D-1 Off Site Habitat Baseline'!$D$1:$O$258,3,FALSE))))</f>
        <v/>
      </c>
      <c r="C244" s="31" t="str">
        <f>IFERROR(INDEX('G-8 Condition Look up'!$I$4:$I$130,MATCH(S244,'G-8 Condition Look up'!$A$4:$A$130,0)),"")</f>
        <v/>
      </c>
      <c r="E244" s="547" t="str">
        <f>'D-1 Off Site Habitat Baseline'!AL243</f>
        <v/>
      </c>
      <c r="F244" s="520" t="str">
        <f>IF(E244="","",IF(ISNA(VLOOKUP($E244,'D-1 Off Site Habitat Baseline'!$D$1:$O$258,4,FALSE)),"",(VLOOKUP($E244,'D-1 Off Site Habitat Baseline'!$D$1:$O$258,4,FALSE))))</f>
        <v/>
      </c>
      <c r="G244" s="520" t="str">
        <f>IF(E244="","",IF(ISNA(VLOOKUP($E244,'D-1 Off Site Habitat Baseline'!$D$1:$O$258,5,FALSE)),"",(VLOOKUP($E244,'D-1 Off Site Habitat Baseline'!$D$1:$O$258,5,FALSE))))</f>
        <v/>
      </c>
      <c r="H244" s="520" t="str">
        <f>IF(E244="","",IF(ISNA(VLOOKUP($E244,'D-1 Off Site Habitat Baseline'!$D$1:$O$258,6,FALSE)),"",(VLOOKUP($E244,'D-1 Off Site Habitat Baseline'!$D$1:$O$258,6,FALSE))))</f>
        <v/>
      </c>
      <c r="I244" s="520" t="str">
        <f>IF(E244="","",IF(ISNA(VLOOKUP($E244,'D-1 Off Site Habitat Baseline'!$D$1:$O$258,7,FALSE)),"",(VLOOKUP($E244,'D-1 Off Site Habitat Baseline'!$D$1:$O$258,7,FALSE))))</f>
        <v/>
      </c>
      <c r="J244" s="520" t="str">
        <f>IF(E244="","",IF(ISNA(VLOOKUP($E244,'D-1 Off Site Habitat Baseline'!$D$1:$O$258,8,FALSE)),"",(VLOOKUP($E244,'D-1 Off Site Habitat Baseline'!$D$1:$O$258,8,FALSE))))</f>
        <v/>
      </c>
      <c r="K244" s="520" t="str">
        <f>IF(E244="","",IF(ISNA(VLOOKUP($E244,'D-1 Off Site Habitat Baseline'!$D$1:$O$258,9,FALSE)),"",(VLOOKUP($E244,'D-1 Off Site Habitat Baseline'!$D$1:$O$258,9,FALSE))))</f>
        <v/>
      </c>
      <c r="L244" s="520" t="str">
        <f>IF(E244="","",IF(ISNA(VLOOKUP($E244,'D-1 Off Site Habitat Baseline'!$D$1:$O$258,11,FALSE)),"",(VLOOKUP($E244,'D-1 Off Site Habitat Baseline'!$D$1:$O$258,11,FALSE))))</f>
        <v/>
      </c>
      <c r="M244" s="520" t="str">
        <f>IF(E244="","",IF(ISNA(VLOOKUP($E244,'D-1 Off Site Habitat Baseline'!$D$1:$O$258,12,FALSE)),"",(VLOOKUP($E244,'D-1 Off Site Habitat Baseline'!$D$1:$O$258,12,FALSE))))</f>
        <v/>
      </c>
      <c r="N244" s="520" t="str">
        <f>IF(E244="","",IF(ISNA(VLOOKUP($E244,'D-1 Off Site Habitat Baseline'!$D$1:$X$258,14,FALSE)),"",(VLOOKUP($E244,'D-1 Off Site Habitat Baseline'!$D$1:$X$258,14,FALSE))))</f>
        <v/>
      </c>
      <c r="O244" s="524" t="str">
        <f>IF(E244="","",IF(ISNA(VLOOKUP($E244,'D-1 Off Site Habitat Baseline'!$D$1:$X$258,13,FALSE)),"",(VLOOKUP($E244,'D-1 Off Site Habitat Baseline'!$D$1:$X$258,13,FALSE))))</f>
        <v/>
      </c>
      <c r="P244" s="232" t="str">
        <f>IFERROR(INDEX('G-1 All Habitats'!$AG$3:$AG$15,MATCH(Q244,'G-1 All Habitats'!$AF$3:$AF$15,0)),"")</f>
        <v/>
      </c>
      <c r="Q244" s="228" t="str">
        <f t="shared" si="45"/>
        <v/>
      </c>
      <c r="R244" s="229" t="str">
        <f t="shared" si="46"/>
        <v/>
      </c>
      <c r="S244" s="233" t="str">
        <f>IFERROR(INDEX('G-1 All Habitats'!$B$3:$B$129,MATCH(R244,'G-1 All Habitats'!$A$3:$A$129,0)),"")</f>
        <v/>
      </c>
      <c r="T244" s="507" t="str">
        <f t="shared" si="38"/>
        <v/>
      </c>
      <c r="U244" s="524" t="str">
        <f t="shared" si="39"/>
        <v/>
      </c>
      <c r="V244" s="523" t="str">
        <f t="shared" si="36"/>
        <v/>
      </c>
      <c r="W244" s="520" t="str">
        <f>IF(S244="","",VLOOKUP(S244,'G-1 All Habitats'!$B$2:$M$129,10,FALSE))</f>
        <v/>
      </c>
      <c r="X244" s="520" t="str">
        <f>IFERROR(VLOOKUP(W244,'G-1 All Habitats'!$V$3:$W$7,2,FALSE),"")</f>
        <v/>
      </c>
      <c r="Y244" s="203"/>
      <c r="Z244" s="524" t="str">
        <f>IFERROR(INDEX('G-8 Condition Look up'!$A$3:$H$130,MATCH(S244,'G-8 Condition Look up'!$A$3:$A$130,0),MATCH(Y244,'G-8 Condition Look up'!$A$3:$H$3,0)),"")</f>
        <v/>
      </c>
      <c r="AA244" s="145"/>
      <c r="AB244" s="540" t="str">
        <f>IF(AA244="","",IF(VLOOKUP(AA244,'G-3 Multipliers'!$L$3:$N$6,2,FALSE)=0,"Spatial Data Missing ⚠",VLOOKUP(AA244,'G-3 Multipliers'!$L$3:$N$6,2,FALSE)))</f>
        <v/>
      </c>
      <c r="AC244" s="524" t="str">
        <f>IF(AA244="","",IF(VLOOKUP(AA244,'G-3 Multipliers'!$L$3:$N$6,3,FALSE)=0,"Spatial Data Missing ⚠",VLOOKUP(AA244,'G-3 Multipliers'!$L$3:$N$6,3,FALSE)))</f>
        <v/>
      </c>
      <c r="AD244" s="537" t="str">
        <f t="shared" si="37"/>
        <v/>
      </c>
      <c r="AE244" s="203"/>
      <c r="AF244" s="203"/>
      <c r="AG244" s="520" t="str">
        <f t="shared" si="40"/>
        <v/>
      </c>
      <c r="AH244" s="544" t="str">
        <f t="shared" si="41"/>
        <v/>
      </c>
      <c r="AI244" s="525" t="str">
        <f>IF(AH244="Check Data ⚠","Check Data ⚠",IFERROR(VLOOKUP(AH244,'G-4 Temporal multipliers'!$A$4:$C$36,3,FALSE),""))</f>
        <v/>
      </c>
      <c r="AJ244" s="537" t="str">
        <f>IF(S244="","",VLOOKUP(S244,'G-3 Multipliers'!$A$2:$E$129,4,FALSE))</f>
        <v/>
      </c>
      <c r="AK244" s="520" t="str">
        <f t="shared" si="42"/>
        <v/>
      </c>
      <c r="AL244" s="520" t="str">
        <f t="shared" si="43"/>
        <v/>
      </c>
      <c r="AM244" s="524" t="str">
        <f>IFERROR(IF(F244="","",IF(AH244="Check Data ⚠","Check Data ⚠",VLOOKUP(AL244, 'G-3 Multipliers'!$P$2:$Q$6,2,FALSE))),"")</f>
        <v/>
      </c>
      <c r="AN244" s="197"/>
      <c r="AO244" s="540" t="str">
        <f>IF(AN244="","",IF(VLOOKUP(AN244,'G-3 Multipliers'!$S$3:$T$9,2,FALSE)=0,"Spatial Data Missing ⚠",VLOOKUP(AN244,'G-3 Multipliers'!$S$3:$T$9,2,FALSE)))</f>
        <v/>
      </c>
      <c r="AP244" s="513" t="str">
        <f t="shared" si="44"/>
        <v/>
      </c>
      <c r="AQ244" s="231"/>
      <c r="AR244" s="150"/>
    </row>
    <row r="245" spans="1:44" x14ac:dyDescent="0.3">
      <c r="A245" s="31" t="str">
        <f>IF(E245="","",IF(ISNA(VLOOKUP($E245,'D-1 Off Site Habitat Baseline'!$D$1:$O$258,2,FALSE)),"",(VLOOKUP($E245,'D-1 Off Site Habitat Baseline'!$D$1:$O$258,2,FALSE))))</f>
        <v/>
      </c>
      <c r="B245" s="31" t="str">
        <f>IF(E245="","",IF(ISNA(VLOOKUP($E245,'D-1 Off Site Habitat Baseline'!$D$1:$O$258,3,FALSE)),"",(VLOOKUP($E245,'D-1 Off Site Habitat Baseline'!$D$1:$O$258,3,FALSE))))</f>
        <v/>
      </c>
      <c r="C245" s="31" t="str">
        <f>IFERROR(INDEX('G-8 Condition Look up'!$I$4:$I$130,MATCH(S245,'G-8 Condition Look up'!$A$4:$A$130,0)),"")</f>
        <v/>
      </c>
      <c r="E245" s="547" t="str">
        <f>'D-1 Off Site Habitat Baseline'!AL244</f>
        <v/>
      </c>
      <c r="F245" s="520" t="str">
        <f>IF(E245="","",IF(ISNA(VLOOKUP($E245,'D-1 Off Site Habitat Baseline'!$D$1:$O$258,4,FALSE)),"",(VLOOKUP($E245,'D-1 Off Site Habitat Baseline'!$D$1:$O$258,4,FALSE))))</f>
        <v/>
      </c>
      <c r="G245" s="520" t="str">
        <f>IF(E245="","",IF(ISNA(VLOOKUP($E245,'D-1 Off Site Habitat Baseline'!$D$1:$O$258,5,FALSE)),"",(VLOOKUP($E245,'D-1 Off Site Habitat Baseline'!$D$1:$O$258,5,FALSE))))</f>
        <v/>
      </c>
      <c r="H245" s="520" t="str">
        <f>IF(E245="","",IF(ISNA(VLOOKUP($E245,'D-1 Off Site Habitat Baseline'!$D$1:$O$258,6,FALSE)),"",(VLOOKUP($E245,'D-1 Off Site Habitat Baseline'!$D$1:$O$258,6,FALSE))))</f>
        <v/>
      </c>
      <c r="I245" s="520" t="str">
        <f>IF(E245="","",IF(ISNA(VLOOKUP($E245,'D-1 Off Site Habitat Baseline'!$D$1:$O$258,7,FALSE)),"",(VLOOKUP($E245,'D-1 Off Site Habitat Baseline'!$D$1:$O$258,7,FALSE))))</f>
        <v/>
      </c>
      <c r="J245" s="520" t="str">
        <f>IF(E245="","",IF(ISNA(VLOOKUP($E245,'D-1 Off Site Habitat Baseline'!$D$1:$O$258,8,FALSE)),"",(VLOOKUP($E245,'D-1 Off Site Habitat Baseline'!$D$1:$O$258,8,FALSE))))</f>
        <v/>
      </c>
      <c r="K245" s="520" t="str">
        <f>IF(E245="","",IF(ISNA(VLOOKUP($E245,'D-1 Off Site Habitat Baseline'!$D$1:$O$258,9,FALSE)),"",(VLOOKUP($E245,'D-1 Off Site Habitat Baseline'!$D$1:$O$258,9,FALSE))))</f>
        <v/>
      </c>
      <c r="L245" s="520" t="str">
        <f>IF(E245="","",IF(ISNA(VLOOKUP($E245,'D-1 Off Site Habitat Baseline'!$D$1:$O$258,11,FALSE)),"",(VLOOKUP($E245,'D-1 Off Site Habitat Baseline'!$D$1:$O$258,11,FALSE))))</f>
        <v/>
      </c>
      <c r="M245" s="520" t="str">
        <f>IF(E245="","",IF(ISNA(VLOOKUP($E245,'D-1 Off Site Habitat Baseline'!$D$1:$O$258,12,FALSE)),"",(VLOOKUP($E245,'D-1 Off Site Habitat Baseline'!$D$1:$O$258,12,FALSE))))</f>
        <v/>
      </c>
      <c r="N245" s="520" t="str">
        <f>IF(E245="","",IF(ISNA(VLOOKUP($E245,'D-1 Off Site Habitat Baseline'!$D$1:$X$258,14,FALSE)),"",(VLOOKUP($E245,'D-1 Off Site Habitat Baseline'!$D$1:$X$258,14,FALSE))))</f>
        <v/>
      </c>
      <c r="O245" s="524" t="str">
        <f>IF(E245="","",IF(ISNA(VLOOKUP($E245,'D-1 Off Site Habitat Baseline'!$D$1:$X$258,13,FALSE)),"",(VLOOKUP($E245,'D-1 Off Site Habitat Baseline'!$D$1:$X$258,13,FALSE))))</f>
        <v/>
      </c>
      <c r="P245" s="232" t="str">
        <f>IFERROR(INDEX('G-1 All Habitats'!$AG$3:$AG$15,MATCH(Q245,'G-1 All Habitats'!$AF$3:$AF$15,0)),"")</f>
        <v/>
      </c>
      <c r="Q245" s="228" t="str">
        <f t="shared" si="45"/>
        <v/>
      </c>
      <c r="R245" s="229" t="str">
        <f t="shared" si="46"/>
        <v/>
      </c>
      <c r="S245" s="233" t="str">
        <f>IFERROR(INDEX('G-1 All Habitats'!$B$3:$B$129,MATCH(R245,'G-1 All Habitats'!$A$3:$A$129,0)),"")</f>
        <v/>
      </c>
      <c r="T245" s="507" t="str">
        <f t="shared" si="38"/>
        <v/>
      </c>
      <c r="U245" s="524" t="str">
        <f t="shared" si="39"/>
        <v/>
      </c>
      <c r="V245" s="523" t="str">
        <f t="shared" si="36"/>
        <v/>
      </c>
      <c r="W245" s="520" t="str">
        <f>IF(S245="","",VLOOKUP(S245,'G-1 All Habitats'!$B$2:$M$129,10,FALSE))</f>
        <v/>
      </c>
      <c r="X245" s="520" t="str">
        <f>IFERROR(VLOOKUP(W245,'G-1 All Habitats'!$V$3:$W$7,2,FALSE),"")</f>
        <v/>
      </c>
      <c r="Y245" s="203"/>
      <c r="Z245" s="524" t="str">
        <f>IFERROR(INDEX('G-8 Condition Look up'!$A$3:$H$130,MATCH(S245,'G-8 Condition Look up'!$A$3:$A$130,0),MATCH(Y245,'G-8 Condition Look up'!$A$3:$H$3,0)),"")</f>
        <v/>
      </c>
      <c r="AA245" s="145"/>
      <c r="AB245" s="540" t="str">
        <f>IF(AA245="","",IF(VLOOKUP(AA245,'G-3 Multipliers'!$L$3:$N$6,2,FALSE)=0,"Spatial Data Missing ⚠",VLOOKUP(AA245,'G-3 Multipliers'!$L$3:$N$6,2,FALSE)))</f>
        <v/>
      </c>
      <c r="AC245" s="524" t="str">
        <f>IF(AA245="","",IF(VLOOKUP(AA245,'G-3 Multipliers'!$L$3:$N$6,3,FALSE)=0,"Spatial Data Missing ⚠",VLOOKUP(AA245,'G-3 Multipliers'!$L$3:$N$6,3,FALSE)))</f>
        <v/>
      </c>
      <c r="AD245" s="537" t="str">
        <f t="shared" si="37"/>
        <v/>
      </c>
      <c r="AE245" s="203"/>
      <c r="AF245" s="203"/>
      <c r="AG245" s="520" t="str">
        <f t="shared" si="40"/>
        <v/>
      </c>
      <c r="AH245" s="544" t="str">
        <f t="shared" si="41"/>
        <v/>
      </c>
      <c r="AI245" s="525" t="str">
        <f>IF(AH245="Check Data ⚠","Check Data ⚠",IFERROR(VLOOKUP(AH245,'G-4 Temporal multipliers'!$A$4:$C$36,3,FALSE),""))</f>
        <v/>
      </c>
      <c r="AJ245" s="537" t="str">
        <f>IF(S245="","",VLOOKUP(S245,'G-3 Multipliers'!$A$2:$E$129,4,FALSE))</f>
        <v/>
      </c>
      <c r="AK245" s="520" t="str">
        <f t="shared" si="42"/>
        <v/>
      </c>
      <c r="AL245" s="520" t="str">
        <f t="shared" si="43"/>
        <v/>
      </c>
      <c r="AM245" s="524" t="str">
        <f>IFERROR(IF(F245="","",IF(AH245="Check Data ⚠","Check Data ⚠",VLOOKUP(AL245, 'G-3 Multipliers'!$P$2:$Q$6,2,FALSE))),"")</f>
        <v/>
      </c>
      <c r="AN245" s="197"/>
      <c r="AO245" s="540" t="str">
        <f>IF(AN245="","",IF(VLOOKUP(AN245,'G-3 Multipliers'!$S$3:$T$9,2,FALSE)=0,"Spatial Data Missing ⚠",VLOOKUP(AN245,'G-3 Multipliers'!$S$3:$T$9,2,FALSE)))</f>
        <v/>
      </c>
      <c r="AP245" s="513" t="str">
        <f t="shared" si="44"/>
        <v/>
      </c>
      <c r="AQ245" s="231"/>
      <c r="AR245" s="150"/>
    </row>
    <row r="246" spans="1:44" x14ac:dyDescent="0.3">
      <c r="A246" s="31" t="str">
        <f>IF(E246="","",IF(ISNA(VLOOKUP($E246,'D-1 Off Site Habitat Baseline'!$D$1:$O$258,2,FALSE)),"",(VLOOKUP($E246,'D-1 Off Site Habitat Baseline'!$D$1:$O$258,2,FALSE))))</f>
        <v/>
      </c>
      <c r="B246" s="31" t="str">
        <f>IF(E246="","",IF(ISNA(VLOOKUP($E246,'D-1 Off Site Habitat Baseline'!$D$1:$O$258,3,FALSE)),"",(VLOOKUP($E246,'D-1 Off Site Habitat Baseline'!$D$1:$O$258,3,FALSE))))</f>
        <v/>
      </c>
      <c r="C246" s="31" t="str">
        <f>IFERROR(INDEX('G-8 Condition Look up'!$I$4:$I$130,MATCH(S246,'G-8 Condition Look up'!$A$4:$A$130,0)),"")</f>
        <v/>
      </c>
      <c r="E246" s="547" t="str">
        <f>'D-1 Off Site Habitat Baseline'!AL245</f>
        <v/>
      </c>
      <c r="F246" s="520" t="str">
        <f>IF(E246="","",IF(ISNA(VLOOKUP($E246,'D-1 Off Site Habitat Baseline'!$D$1:$O$258,4,FALSE)),"",(VLOOKUP($E246,'D-1 Off Site Habitat Baseline'!$D$1:$O$258,4,FALSE))))</f>
        <v/>
      </c>
      <c r="G246" s="520" t="str">
        <f>IF(E246="","",IF(ISNA(VLOOKUP($E246,'D-1 Off Site Habitat Baseline'!$D$1:$O$258,5,FALSE)),"",(VLOOKUP($E246,'D-1 Off Site Habitat Baseline'!$D$1:$O$258,5,FALSE))))</f>
        <v/>
      </c>
      <c r="H246" s="520" t="str">
        <f>IF(E246="","",IF(ISNA(VLOOKUP($E246,'D-1 Off Site Habitat Baseline'!$D$1:$O$258,6,FALSE)),"",(VLOOKUP($E246,'D-1 Off Site Habitat Baseline'!$D$1:$O$258,6,FALSE))))</f>
        <v/>
      </c>
      <c r="I246" s="520" t="str">
        <f>IF(E246="","",IF(ISNA(VLOOKUP($E246,'D-1 Off Site Habitat Baseline'!$D$1:$O$258,7,FALSE)),"",(VLOOKUP($E246,'D-1 Off Site Habitat Baseline'!$D$1:$O$258,7,FALSE))))</f>
        <v/>
      </c>
      <c r="J246" s="520" t="str">
        <f>IF(E246="","",IF(ISNA(VLOOKUP($E246,'D-1 Off Site Habitat Baseline'!$D$1:$O$258,8,FALSE)),"",(VLOOKUP($E246,'D-1 Off Site Habitat Baseline'!$D$1:$O$258,8,FALSE))))</f>
        <v/>
      </c>
      <c r="K246" s="520" t="str">
        <f>IF(E246="","",IF(ISNA(VLOOKUP($E246,'D-1 Off Site Habitat Baseline'!$D$1:$O$258,9,FALSE)),"",(VLOOKUP($E246,'D-1 Off Site Habitat Baseline'!$D$1:$O$258,9,FALSE))))</f>
        <v/>
      </c>
      <c r="L246" s="520" t="str">
        <f>IF(E246="","",IF(ISNA(VLOOKUP($E246,'D-1 Off Site Habitat Baseline'!$D$1:$O$258,11,FALSE)),"",(VLOOKUP($E246,'D-1 Off Site Habitat Baseline'!$D$1:$O$258,11,FALSE))))</f>
        <v/>
      </c>
      <c r="M246" s="520" t="str">
        <f>IF(E246="","",IF(ISNA(VLOOKUP($E246,'D-1 Off Site Habitat Baseline'!$D$1:$O$258,12,FALSE)),"",(VLOOKUP($E246,'D-1 Off Site Habitat Baseline'!$D$1:$O$258,12,FALSE))))</f>
        <v/>
      </c>
      <c r="N246" s="520" t="str">
        <f>IF(E246="","",IF(ISNA(VLOOKUP($E246,'D-1 Off Site Habitat Baseline'!$D$1:$X$258,14,FALSE)),"",(VLOOKUP($E246,'D-1 Off Site Habitat Baseline'!$D$1:$X$258,14,FALSE))))</f>
        <v/>
      </c>
      <c r="O246" s="524" t="str">
        <f>IF(E246="","",IF(ISNA(VLOOKUP($E246,'D-1 Off Site Habitat Baseline'!$D$1:$X$258,13,FALSE)),"",(VLOOKUP($E246,'D-1 Off Site Habitat Baseline'!$D$1:$X$258,13,FALSE))))</f>
        <v/>
      </c>
      <c r="P246" s="232" t="str">
        <f>IFERROR(INDEX('G-1 All Habitats'!$AG$3:$AG$15,MATCH(Q246,'G-1 All Habitats'!$AF$3:$AF$15,0)),"")</f>
        <v/>
      </c>
      <c r="Q246" s="228" t="str">
        <f t="shared" si="45"/>
        <v/>
      </c>
      <c r="R246" s="229" t="str">
        <f t="shared" si="46"/>
        <v/>
      </c>
      <c r="S246" s="233" t="str">
        <f>IFERROR(INDEX('G-1 All Habitats'!$B$3:$B$129,MATCH(R246,'G-1 All Habitats'!$A$3:$A$129,0)),"")</f>
        <v/>
      </c>
      <c r="T246" s="507" t="str">
        <f t="shared" si="38"/>
        <v/>
      </c>
      <c r="U246" s="524" t="str">
        <f t="shared" si="39"/>
        <v/>
      </c>
      <c r="V246" s="523" t="str">
        <f t="shared" si="36"/>
        <v/>
      </c>
      <c r="W246" s="520" t="str">
        <f>IF(S246="","",VLOOKUP(S246,'G-1 All Habitats'!$B$2:$M$129,10,FALSE))</f>
        <v/>
      </c>
      <c r="X246" s="520" t="str">
        <f>IFERROR(VLOOKUP(W246,'G-1 All Habitats'!$V$3:$W$7,2,FALSE),"")</f>
        <v/>
      </c>
      <c r="Y246" s="203"/>
      <c r="Z246" s="524" t="str">
        <f>IFERROR(INDEX('G-8 Condition Look up'!$A$3:$H$130,MATCH(S246,'G-8 Condition Look up'!$A$3:$A$130,0),MATCH(Y246,'G-8 Condition Look up'!$A$3:$H$3,0)),"")</f>
        <v/>
      </c>
      <c r="AA246" s="145"/>
      <c r="AB246" s="540" t="str">
        <f>IF(AA246="","",IF(VLOOKUP(AA246,'G-3 Multipliers'!$L$3:$N$6,2,FALSE)=0,"Spatial Data Missing ⚠",VLOOKUP(AA246,'G-3 Multipliers'!$L$3:$N$6,2,FALSE)))</f>
        <v/>
      </c>
      <c r="AC246" s="524" t="str">
        <f>IF(AA246="","",IF(VLOOKUP(AA246,'G-3 Multipliers'!$L$3:$N$6,3,FALSE)=0,"Spatial Data Missing ⚠",VLOOKUP(AA246,'G-3 Multipliers'!$L$3:$N$6,3,FALSE)))</f>
        <v/>
      </c>
      <c r="AD246" s="537" t="str">
        <f t="shared" si="37"/>
        <v/>
      </c>
      <c r="AE246" s="203"/>
      <c r="AF246" s="203"/>
      <c r="AG246" s="520" t="str">
        <f t="shared" si="40"/>
        <v/>
      </c>
      <c r="AH246" s="544" t="str">
        <f t="shared" si="41"/>
        <v/>
      </c>
      <c r="AI246" s="525" t="str">
        <f>IF(AH246="Check Data ⚠","Check Data ⚠",IFERROR(VLOOKUP(AH246,'G-4 Temporal multipliers'!$A$4:$C$36,3,FALSE),""))</f>
        <v/>
      </c>
      <c r="AJ246" s="537" t="str">
        <f>IF(S246="","",VLOOKUP(S246,'G-3 Multipliers'!$A$2:$E$129,4,FALSE))</f>
        <v/>
      </c>
      <c r="AK246" s="520" t="str">
        <f t="shared" si="42"/>
        <v/>
      </c>
      <c r="AL246" s="520" t="str">
        <f t="shared" si="43"/>
        <v/>
      </c>
      <c r="AM246" s="524" t="str">
        <f>IFERROR(IF(F246="","",IF(AH246="Check Data ⚠","Check Data ⚠",VLOOKUP(AL246, 'G-3 Multipliers'!$P$2:$Q$6,2,FALSE))),"")</f>
        <v/>
      </c>
      <c r="AN246" s="197"/>
      <c r="AO246" s="540" t="str">
        <f>IF(AN246="","",IF(VLOOKUP(AN246,'G-3 Multipliers'!$S$3:$T$9,2,FALSE)=0,"Spatial Data Missing ⚠",VLOOKUP(AN246,'G-3 Multipliers'!$S$3:$T$9,2,FALSE)))</f>
        <v/>
      </c>
      <c r="AP246" s="513" t="str">
        <f t="shared" si="44"/>
        <v/>
      </c>
      <c r="AQ246" s="231"/>
      <c r="AR246" s="150"/>
    </row>
    <row r="247" spans="1:44" x14ac:dyDescent="0.3">
      <c r="A247" s="31" t="str">
        <f>IF(E247="","",IF(ISNA(VLOOKUP($E247,'D-1 Off Site Habitat Baseline'!$D$1:$O$258,2,FALSE)),"",(VLOOKUP($E247,'D-1 Off Site Habitat Baseline'!$D$1:$O$258,2,FALSE))))</f>
        <v/>
      </c>
      <c r="B247" s="31" t="str">
        <f>IF(E247="","",IF(ISNA(VLOOKUP($E247,'D-1 Off Site Habitat Baseline'!$D$1:$O$258,3,FALSE)),"",(VLOOKUP($E247,'D-1 Off Site Habitat Baseline'!$D$1:$O$258,3,FALSE))))</f>
        <v/>
      </c>
      <c r="C247" s="31" t="str">
        <f>IFERROR(INDEX('G-8 Condition Look up'!$I$4:$I$130,MATCH(S247,'G-8 Condition Look up'!$A$4:$A$130,0)),"")</f>
        <v/>
      </c>
      <c r="E247" s="547" t="str">
        <f>'D-1 Off Site Habitat Baseline'!AL246</f>
        <v/>
      </c>
      <c r="F247" s="520" t="str">
        <f>IF(E247="","",IF(ISNA(VLOOKUP($E247,'D-1 Off Site Habitat Baseline'!$D$1:$O$258,4,FALSE)),"",(VLOOKUP($E247,'D-1 Off Site Habitat Baseline'!$D$1:$O$258,4,FALSE))))</f>
        <v/>
      </c>
      <c r="G247" s="520" t="str">
        <f>IF(E247="","",IF(ISNA(VLOOKUP($E247,'D-1 Off Site Habitat Baseline'!$D$1:$O$258,5,FALSE)),"",(VLOOKUP($E247,'D-1 Off Site Habitat Baseline'!$D$1:$O$258,5,FALSE))))</f>
        <v/>
      </c>
      <c r="H247" s="520" t="str">
        <f>IF(E247="","",IF(ISNA(VLOOKUP($E247,'D-1 Off Site Habitat Baseline'!$D$1:$O$258,6,FALSE)),"",(VLOOKUP($E247,'D-1 Off Site Habitat Baseline'!$D$1:$O$258,6,FALSE))))</f>
        <v/>
      </c>
      <c r="I247" s="520" t="str">
        <f>IF(E247="","",IF(ISNA(VLOOKUP($E247,'D-1 Off Site Habitat Baseline'!$D$1:$O$258,7,FALSE)),"",(VLOOKUP($E247,'D-1 Off Site Habitat Baseline'!$D$1:$O$258,7,FALSE))))</f>
        <v/>
      </c>
      <c r="J247" s="520" t="str">
        <f>IF(E247="","",IF(ISNA(VLOOKUP($E247,'D-1 Off Site Habitat Baseline'!$D$1:$O$258,8,FALSE)),"",(VLOOKUP($E247,'D-1 Off Site Habitat Baseline'!$D$1:$O$258,8,FALSE))))</f>
        <v/>
      </c>
      <c r="K247" s="520" t="str">
        <f>IF(E247="","",IF(ISNA(VLOOKUP($E247,'D-1 Off Site Habitat Baseline'!$D$1:$O$258,9,FALSE)),"",(VLOOKUP($E247,'D-1 Off Site Habitat Baseline'!$D$1:$O$258,9,FALSE))))</f>
        <v/>
      </c>
      <c r="L247" s="520" t="str">
        <f>IF(E247="","",IF(ISNA(VLOOKUP($E247,'D-1 Off Site Habitat Baseline'!$D$1:$O$258,11,FALSE)),"",(VLOOKUP($E247,'D-1 Off Site Habitat Baseline'!$D$1:$O$258,11,FALSE))))</f>
        <v/>
      </c>
      <c r="M247" s="520" t="str">
        <f>IF(E247="","",IF(ISNA(VLOOKUP($E247,'D-1 Off Site Habitat Baseline'!$D$1:$O$258,12,FALSE)),"",(VLOOKUP($E247,'D-1 Off Site Habitat Baseline'!$D$1:$O$258,12,FALSE))))</f>
        <v/>
      </c>
      <c r="N247" s="520" t="str">
        <f>IF(E247="","",IF(ISNA(VLOOKUP($E247,'D-1 Off Site Habitat Baseline'!$D$1:$X$258,14,FALSE)),"",(VLOOKUP($E247,'D-1 Off Site Habitat Baseline'!$D$1:$X$258,14,FALSE))))</f>
        <v/>
      </c>
      <c r="O247" s="524" t="str">
        <f>IF(E247="","",IF(ISNA(VLOOKUP($E247,'D-1 Off Site Habitat Baseline'!$D$1:$X$258,13,FALSE)),"",(VLOOKUP($E247,'D-1 Off Site Habitat Baseline'!$D$1:$X$258,13,FALSE))))</f>
        <v/>
      </c>
      <c r="P247" s="232" t="str">
        <f>IFERROR(INDEX('G-1 All Habitats'!$AG$3:$AG$15,MATCH(Q247,'G-1 All Habitats'!$AF$3:$AF$15,0)),"")</f>
        <v/>
      </c>
      <c r="Q247" s="228" t="str">
        <f t="shared" si="45"/>
        <v/>
      </c>
      <c r="R247" s="229" t="str">
        <f t="shared" si="46"/>
        <v/>
      </c>
      <c r="S247" s="233" t="str">
        <f>IFERROR(INDEX('G-1 All Habitats'!$B$3:$B$129,MATCH(R247,'G-1 All Habitats'!$A$3:$A$129,0)),"")</f>
        <v/>
      </c>
      <c r="T247" s="507" t="str">
        <f t="shared" si="38"/>
        <v/>
      </c>
      <c r="U247" s="524" t="str">
        <f t="shared" si="39"/>
        <v/>
      </c>
      <c r="V247" s="523" t="str">
        <f t="shared" si="36"/>
        <v/>
      </c>
      <c r="W247" s="520" t="str">
        <f>IF(S247="","",VLOOKUP(S247,'G-1 All Habitats'!$B$2:$M$129,10,FALSE))</f>
        <v/>
      </c>
      <c r="X247" s="520" t="str">
        <f>IFERROR(VLOOKUP(W247,'G-1 All Habitats'!$V$3:$W$7,2,FALSE),"")</f>
        <v/>
      </c>
      <c r="Y247" s="203"/>
      <c r="Z247" s="524" t="str">
        <f>IFERROR(INDEX('G-8 Condition Look up'!$A$3:$H$130,MATCH(S247,'G-8 Condition Look up'!$A$3:$A$130,0),MATCH(Y247,'G-8 Condition Look up'!$A$3:$H$3,0)),"")</f>
        <v/>
      </c>
      <c r="AA247" s="145"/>
      <c r="AB247" s="540" t="str">
        <f>IF(AA247="","",IF(VLOOKUP(AA247,'G-3 Multipliers'!$L$3:$N$6,2,FALSE)=0,"Spatial Data Missing ⚠",VLOOKUP(AA247,'G-3 Multipliers'!$L$3:$N$6,2,FALSE)))</f>
        <v/>
      </c>
      <c r="AC247" s="524" t="str">
        <f>IF(AA247="","",IF(VLOOKUP(AA247,'G-3 Multipliers'!$L$3:$N$6,3,FALSE)=0,"Spatial Data Missing ⚠",VLOOKUP(AA247,'G-3 Multipliers'!$L$3:$N$6,3,FALSE)))</f>
        <v/>
      </c>
      <c r="AD247" s="537" t="str">
        <f t="shared" si="37"/>
        <v/>
      </c>
      <c r="AE247" s="203"/>
      <c r="AF247" s="203"/>
      <c r="AG247" s="520" t="str">
        <f t="shared" si="40"/>
        <v/>
      </c>
      <c r="AH247" s="544" t="str">
        <f t="shared" si="41"/>
        <v/>
      </c>
      <c r="AI247" s="525" t="str">
        <f>IF(AH247="Check Data ⚠","Check Data ⚠",IFERROR(VLOOKUP(AH247,'G-4 Temporal multipliers'!$A$4:$C$36,3,FALSE),""))</f>
        <v/>
      </c>
      <c r="AJ247" s="537" t="str">
        <f>IF(S247="","",VLOOKUP(S247,'G-3 Multipliers'!$A$2:$E$129,4,FALSE))</f>
        <v/>
      </c>
      <c r="AK247" s="520" t="str">
        <f t="shared" si="42"/>
        <v/>
      </c>
      <c r="AL247" s="520" t="str">
        <f t="shared" si="43"/>
        <v/>
      </c>
      <c r="AM247" s="524" t="str">
        <f>IFERROR(IF(F247="","",IF(AH247="Check Data ⚠","Check Data ⚠",VLOOKUP(AL247, 'G-3 Multipliers'!$P$2:$Q$6,2,FALSE))),"")</f>
        <v/>
      </c>
      <c r="AN247" s="197"/>
      <c r="AO247" s="540" t="str">
        <f>IF(AN247="","",IF(VLOOKUP(AN247,'G-3 Multipliers'!$S$3:$T$9,2,FALSE)=0,"Spatial Data Missing ⚠",VLOOKUP(AN247,'G-3 Multipliers'!$S$3:$T$9,2,FALSE)))</f>
        <v/>
      </c>
      <c r="AP247" s="513" t="str">
        <f t="shared" si="44"/>
        <v/>
      </c>
      <c r="AQ247" s="231"/>
      <c r="AR247" s="150"/>
    </row>
    <row r="248" spans="1:44" x14ac:dyDescent="0.3">
      <c r="A248" s="31" t="str">
        <f>IF(E248="","",IF(ISNA(VLOOKUP($E248,'D-1 Off Site Habitat Baseline'!$D$1:$O$258,2,FALSE)),"",(VLOOKUP($E248,'D-1 Off Site Habitat Baseline'!$D$1:$O$258,2,FALSE))))</f>
        <v/>
      </c>
      <c r="B248" s="31" t="str">
        <f>IF(E248="","",IF(ISNA(VLOOKUP($E248,'D-1 Off Site Habitat Baseline'!$D$1:$O$258,3,FALSE)),"",(VLOOKUP($E248,'D-1 Off Site Habitat Baseline'!$D$1:$O$258,3,FALSE))))</f>
        <v/>
      </c>
      <c r="C248" s="31" t="str">
        <f>IFERROR(INDEX('G-8 Condition Look up'!$I$4:$I$130,MATCH(S248,'G-8 Condition Look up'!$A$4:$A$130,0)),"")</f>
        <v/>
      </c>
      <c r="E248" s="547" t="str">
        <f>'D-1 Off Site Habitat Baseline'!AL247</f>
        <v/>
      </c>
      <c r="F248" s="520" t="str">
        <f>IF(E248="","",IF(ISNA(VLOOKUP($E248,'D-1 Off Site Habitat Baseline'!$D$1:$O$258,4,FALSE)),"",(VLOOKUP($E248,'D-1 Off Site Habitat Baseline'!$D$1:$O$258,4,FALSE))))</f>
        <v/>
      </c>
      <c r="G248" s="520" t="str">
        <f>IF(E248="","",IF(ISNA(VLOOKUP($E248,'D-1 Off Site Habitat Baseline'!$D$1:$O$258,5,FALSE)),"",(VLOOKUP($E248,'D-1 Off Site Habitat Baseline'!$D$1:$O$258,5,FALSE))))</f>
        <v/>
      </c>
      <c r="H248" s="520" t="str">
        <f>IF(E248="","",IF(ISNA(VLOOKUP($E248,'D-1 Off Site Habitat Baseline'!$D$1:$O$258,6,FALSE)),"",(VLOOKUP($E248,'D-1 Off Site Habitat Baseline'!$D$1:$O$258,6,FALSE))))</f>
        <v/>
      </c>
      <c r="I248" s="520" t="str">
        <f>IF(E248="","",IF(ISNA(VLOOKUP($E248,'D-1 Off Site Habitat Baseline'!$D$1:$O$258,7,FALSE)),"",(VLOOKUP($E248,'D-1 Off Site Habitat Baseline'!$D$1:$O$258,7,FALSE))))</f>
        <v/>
      </c>
      <c r="J248" s="520" t="str">
        <f>IF(E248="","",IF(ISNA(VLOOKUP($E248,'D-1 Off Site Habitat Baseline'!$D$1:$O$258,8,FALSE)),"",(VLOOKUP($E248,'D-1 Off Site Habitat Baseline'!$D$1:$O$258,8,FALSE))))</f>
        <v/>
      </c>
      <c r="K248" s="520" t="str">
        <f>IF(E248="","",IF(ISNA(VLOOKUP($E248,'D-1 Off Site Habitat Baseline'!$D$1:$O$258,9,FALSE)),"",(VLOOKUP($E248,'D-1 Off Site Habitat Baseline'!$D$1:$O$258,9,FALSE))))</f>
        <v/>
      </c>
      <c r="L248" s="520" t="str">
        <f>IF(E248="","",IF(ISNA(VLOOKUP($E248,'D-1 Off Site Habitat Baseline'!$D$1:$O$258,11,FALSE)),"",(VLOOKUP($E248,'D-1 Off Site Habitat Baseline'!$D$1:$O$258,11,FALSE))))</f>
        <v/>
      </c>
      <c r="M248" s="520" t="str">
        <f>IF(E248="","",IF(ISNA(VLOOKUP($E248,'D-1 Off Site Habitat Baseline'!$D$1:$O$258,12,FALSE)),"",(VLOOKUP($E248,'D-1 Off Site Habitat Baseline'!$D$1:$O$258,12,FALSE))))</f>
        <v/>
      </c>
      <c r="N248" s="520" t="str">
        <f>IF(E248="","",IF(ISNA(VLOOKUP($E248,'D-1 Off Site Habitat Baseline'!$D$1:$X$258,14,FALSE)),"",(VLOOKUP($E248,'D-1 Off Site Habitat Baseline'!$D$1:$X$258,14,FALSE))))</f>
        <v/>
      </c>
      <c r="O248" s="524" t="str">
        <f>IF(E248="","",IF(ISNA(VLOOKUP($E248,'D-1 Off Site Habitat Baseline'!$D$1:$X$258,13,FALSE)),"",(VLOOKUP($E248,'D-1 Off Site Habitat Baseline'!$D$1:$X$258,13,FALSE))))</f>
        <v/>
      </c>
      <c r="P248" s="232" t="str">
        <f>IFERROR(INDEX('G-1 All Habitats'!$AG$3:$AG$15,MATCH(Q248,'G-1 All Habitats'!$AF$3:$AF$15,0)),"")</f>
        <v/>
      </c>
      <c r="Q248" s="228" t="str">
        <f t="shared" si="45"/>
        <v/>
      </c>
      <c r="R248" s="229" t="str">
        <f t="shared" si="46"/>
        <v/>
      </c>
      <c r="S248" s="233" t="str">
        <f>IFERROR(INDEX('G-1 All Habitats'!$B$3:$B$129,MATCH(R248,'G-1 All Habitats'!$A$3:$A$129,0)),"")</f>
        <v/>
      </c>
      <c r="T248" s="507" t="str">
        <f t="shared" si="38"/>
        <v/>
      </c>
      <c r="U248" s="524" t="str">
        <f t="shared" si="39"/>
        <v/>
      </c>
      <c r="V248" s="523" t="str">
        <f t="shared" si="36"/>
        <v/>
      </c>
      <c r="W248" s="520" t="str">
        <f>IF(S248="","",VLOOKUP(S248,'G-1 All Habitats'!$B$2:$M$129,10,FALSE))</f>
        <v/>
      </c>
      <c r="X248" s="520" t="str">
        <f>IFERROR(VLOOKUP(W248,'G-1 All Habitats'!$V$3:$W$7,2,FALSE),"")</f>
        <v/>
      </c>
      <c r="Y248" s="203"/>
      <c r="Z248" s="524" t="str">
        <f>IFERROR(INDEX('G-8 Condition Look up'!$A$3:$H$130,MATCH(S248,'G-8 Condition Look up'!$A$3:$A$130,0),MATCH(Y248,'G-8 Condition Look up'!$A$3:$H$3,0)),"")</f>
        <v/>
      </c>
      <c r="AA248" s="145"/>
      <c r="AB248" s="540" t="str">
        <f>IF(AA248="","",IF(VLOOKUP(AA248,'G-3 Multipliers'!$L$3:$N$6,2,FALSE)=0,"Spatial Data Missing ⚠",VLOOKUP(AA248,'G-3 Multipliers'!$L$3:$N$6,2,FALSE)))</f>
        <v/>
      </c>
      <c r="AC248" s="524" t="str">
        <f>IF(AA248="","",IF(VLOOKUP(AA248,'G-3 Multipliers'!$L$3:$N$6,3,FALSE)=0,"Spatial Data Missing ⚠",VLOOKUP(AA248,'G-3 Multipliers'!$L$3:$N$6,3,FALSE)))</f>
        <v/>
      </c>
      <c r="AD248" s="537" t="str">
        <f t="shared" si="37"/>
        <v/>
      </c>
      <c r="AE248" s="203"/>
      <c r="AF248" s="203"/>
      <c r="AG248" s="520" t="str">
        <f t="shared" si="40"/>
        <v/>
      </c>
      <c r="AH248" s="544" t="str">
        <f t="shared" si="41"/>
        <v/>
      </c>
      <c r="AI248" s="525" t="str">
        <f>IF(AH248="Check Data ⚠","Check Data ⚠",IFERROR(VLOOKUP(AH248,'G-4 Temporal multipliers'!$A$4:$C$36,3,FALSE),""))</f>
        <v/>
      </c>
      <c r="AJ248" s="537" t="str">
        <f>IF(S248="","",VLOOKUP(S248,'G-3 Multipliers'!$A$2:$E$129,4,FALSE))</f>
        <v/>
      </c>
      <c r="AK248" s="520" t="str">
        <f t="shared" si="42"/>
        <v/>
      </c>
      <c r="AL248" s="520" t="str">
        <f t="shared" si="43"/>
        <v/>
      </c>
      <c r="AM248" s="524" t="str">
        <f>IFERROR(IF(F248="","",IF(AH248="Check Data ⚠","Check Data ⚠",VLOOKUP(AL248, 'G-3 Multipliers'!$P$2:$Q$6,2,FALSE))),"")</f>
        <v/>
      </c>
      <c r="AN248" s="197"/>
      <c r="AO248" s="540" t="str">
        <f>IF(AN248="","",IF(VLOOKUP(AN248,'G-3 Multipliers'!$S$3:$T$9,2,FALSE)=0,"Spatial Data Missing ⚠",VLOOKUP(AN248,'G-3 Multipliers'!$S$3:$T$9,2,FALSE)))</f>
        <v/>
      </c>
      <c r="AP248" s="513" t="str">
        <f t="shared" si="44"/>
        <v/>
      </c>
      <c r="AQ248" s="231"/>
      <c r="AR248" s="150"/>
    </row>
    <row r="249" spans="1:44" x14ac:dyDescent="0.3">
      <c r="A249" s="31" t="str">
        <f>IF(E249="","",IF(ISNA(VLOOKUP($E249,'D-1 Off Site Habitat Baseline'!$D$1:$O$258,2,FALSE)),"",(VLOOKUP($E249,'D-1 Off Site Habitat Baseline'!$D$1:$O$258,2,FALSE))))</f>
        <v/>
      </c>
      <c r="B249" s="31" t="str">
        <f>IF(E249="","",IF(ISNA(VLOOKUP($E249,'D-1 Off Site Habitat Baseline'!$D$1:$O$258,3,FALSE)),"",(VLOOKUP($E249,'D-1 Off Site Habitat Baseline'!$D$1:$O$258,3,FALSE))))</f>
        <v/>
      </c>
      <c r="C249" s="31" t="str">
        <f>IFERROR(INDEX('G-8 Condition Look up'!$I$4:$I$130,MATCH(S249,'G-8 Condition Look up'!$A$4:$A$130,0)),"")</f>
        <v/>
      </c>
      <c r="E249" s="547" t="str">
        <f>'D-1 Off Site Habitat Baseline'!AL248</f>
        <v/>
      </c>
      <c r="F249" s="520" t="str">
        <f>IF(E249="","",IF(ISNA(VLOOKUP($E249,'D-1 Off Site Habitat Baseline'!$D$1:$O$258,4,FALSE)),"",(VLOOKUP($E249,'D-1 Off Site Habitat Baseline'!$D$1:$O$258,4,FALSE))))</f>
        <v/>
      </c>
      <c r="G249" s="520" t="str">
        <f>IF(E249="","",IF(ISNA(VLOOKUP($E249,'D-1 Off Site Habitat Baseline'!$D$1:$O$258,5,FALSE)),"",(VLOOKUP($E249,'D-1 Off Site Habitat Baseline'!$D$1:$O$258,5,FALSE))))</f>
        <v/>
      </c>
      <c r="H249" s="520" t="str">
        <f>IF(E249="","",IF(ISNA(VLOOKUP($E249,'D-1 Off Site Habitat Baseline'!$D$1:$O$258,6,FALSE)),"",(VLOOKUP($E249,'D-1 Off Site Habitat Baseline'!$D$1:$O$258,6,FALSE))))</f>
        <v/>
      </c>
      <c r="I249" s="520" t="str">
        <f>IF(E249="","",IF(ISNA(VLOOKUP($E249,'D-1 Off Site Habitat Baseline'!$D$1:$O$258,7,FALSE)),"",(VLOOKUP($E249,'D-1 Off Site Habitat Baseline'!$D$1:$O$258,7,FALSE))))</f>
        <v/>
      </c>
      <c r="J249" s="520" t="str">
        <f>IF(E249="","",IF(ISNA(VLOOKUP($E249,'D-1 Off Site Habitat Baseline'!$D$1:$O$258,8,FALSE)),"",(VLOOKUP($E249,'D-1 Off Site Habitat Baseline'!$D$1:$O$258,8,FALSE))))</f>
        <v/>
      </c>
      <c r="K249" s="520" t="str">
        <f>IF(E249="","",IF(ISNA(VLOOKUP($E249,'D-1 Off Site Habitat Baseline'!$D$1:$O$258,9,FALSE)),"",(VLOOKUP($E249,'D-1 Off Site Habitat Baseline'!$D$1:$O$258,9,FALSE))))</f>
        <v/>
      </c>
      <c r="L249" s="520" t="str">
        <f>IF(E249="","",IF(ISNA(VLOOKUP($E249,'D-1 Off Site Habitat Baseline'!$D$1:$O$258,11,FALSE)),"",(VLOOKUP($E249,'D-1 Off Site Habitat Baseline'!$D$1:$O$258,11,FALSE))))</f>
        <v/>
      </c>
      <c r="M249" s="520" t="str">
        <f>IF(E249="","",IF(ISNA(VLOOKUP($E249,'D-1 Off Site Habitat Baseline'!$D$1:$O$258,12,FALSE)),"",(VLOOKUP($E249,'D-1 Off Site Habitat Baseline'!$D$1:$O$258,12,FALSE))))</f>
        <v/>
      </c>
      <c r="N249" s="520" t="str">
        <f>IF(E249="","",IF(ISNA(VLOOKUP($E249,'D-1 Off Site Habitat Baseline'!$D$1:$X$258,14,FALSE)),"",(VLOOKUP($E249,'D-1 Off Site Habitat Baseline'!$D$1:$X$258,14,FALSE))))</f>
        <v/>
      </c>
      <c r="O249" s="524" t="str">
        <f>IF(E249="","",IF(ISNA(VLOOKUP($E249,'D-1 Off Site Habitat Baseline'!$D$1:$X$258,13,FALSE)),"",(VLOOKUP($E249,'D-1 Off Site Habitat Baseline'!$D$1:$X$258,13,FALSE))))</f>
        <v/>
      </c>
      <c r="P249" s="232" t="str">
        <f>IFERROR(INDEX('G-1 All Habitats'!$AG$3:$AG$15,MATCH(Q249,'G-1 All Habitats'!$AF$3:$AF$15,0)),"")</f>
        <v/>
      </c>
      <c r="Q249" s="228" t="str">
        <f t="shared" si="45"/>
        <v/>
      </c>
      <c r="R249" s="229" t="str">
        <f t="shared" si="46"/>
        <v/>
      </c>
      <c r="S249" s="233" t="str">
        <f>IFERROR(INDEX('G-1 All Habitats'!$B$3:$B$129,MATCH(R249,'G-1 All Habitats'!$A$3:$A$129,0)),"")</f>
        <v/>
      </c>
      <c r="T249" s="507" t="str">
        <f t="shared" si="38"/>
        <v/>
      </c>
      <c r="U249" s="524" t="str">
        <f t="shared" si="39"/>
        <v/>
      </c>
      <c r="V249" s="523" t="str">
        <f t="shared" si="36"/>
        <v/>
      </c>
      <c r="W249" s="520" t="str">
        <f>IF(S249="","",VLOOKUP(S249,'G-1 All Habitats'!$B$2:$M$129,10,FALSE))</f>
        <v/>
      </c>
      <c r="X249" s="520" t="str">
        <f>IFERROR(VLOOKUP(W249,'G-1 All Habitats'!$V$3:$W$7,2,FALSE),"")</f>
        <v/>
      </c>
      <c r="Y249" s="203"/>
      <c r="Z249" s="524" t="str">
        <f>IFERROR(INDEX('G-8 Condition Look up'!$A$3:$H$130,MATCH(S249,'G-8 Condition Look up'!$A$3:$A$130,0),MATCH(Y249,'G-8 Condition Look up'!$A$3:$H$3,0)),"")</f>
        <v/>
      </c>
      <c r="AA249" s="145"/>
      <c r="AB249" s="540" t="str">
        <f>IF(AA249="","",IF(VLOOKUP(AA249,'G-3 Multipliers'!$L$3:$N$6,2,FALSE)=0,"Spatial Data Missing ⚠",VLOOKUP(AA249,'G-3 Multipliers'!$L$3:$N$6,2,FALSE)))</f>
        <v/>
      </c>
      <c r="AC249" s="524" t="str">
        <f>IF(AA249="","",IF(VLOOKUP(AA249,'G-3 Multipliers'!$L$3:$N$6,3,FALSE)=0,"Spatial Data Missing ⚠",VLOOKUP(AA249,'G-3 Multipliers'!$L$3:$N$6,3,FALSE)))</f>
        <v/>
      </c>
      <c r="AD249" s="537" t="str">
        <f t="shared" si="37"/>
        <v/>
      </c>
      <c r="AE249" s="203"/>
      <c r="AF249" s="203"/>
      <c r="AG249" s="520" t="str">
        <f t="shared" si="40"/>
        <v/>
      </c>
      <c r="AH249" s="544" t="str">
        <f t="shared" si="41"/>
        <v/>
      </c>
      <c r="AI249" s="525" t="str">
        <f>IF(AH249="Check Data ⚠","Check Data ⚠",IFERROR(VLOOKUP(AH249,'G-4 Temporal multipliers'!$A$4:$C$36,3,FALSE),""))</f>
        <v/>
      </c>
      <c r="AJ249" s="537" t="str">
        <f>IF(S249="","",VLOOKUP(S249,'G-3 Multipliers'!$A$2:$E$129,4,FALSE))</f>
        <v/>
      </c>
      <c r="AK249" s="520" t="str">
        <f t="shared" si="42"/>
        <v/>
      </c>
      <c r="AL249" s="520" t="str">
        <f t="shared" si="43"/>
        <v/>
      </c>
      <c r="AM249" s="524" t="str">
        <f>IFERROR(IF(F249="","",IF(AH249="Check Data ⚠","Check Data ⚠",VLOOKUP(AL249, 'G-3 Multipliers'!$P$2:$Q$6,2,FALSE))),"")</f>
        <v/>
      </c>
      <c r="AN249" s="197"/>
      <c r="AO249" s="540" t="str">
        <f>IF(AN249="","",IF(VLOOKUP(AN249,'G-3 Multipliers'!$S$3:$T$9,2,FALSE)=0,"Spatial Data Missing ⚠",VLOOKUP(AN249,'G-3 Multipliers'!$S$3:$T$9,2,FALSE)))</f>
        <v/>
      </c>
      <c r="AP249" s="513" t="str">
        <f t="shared" si="44"/>
        <v/>
      </c>
      <c r="AQ249" s="231"/>
      <c r="AR249" s="150"/>
    </row>
    <row r="250" spans="1:44" x14ac:dyDescent="0.3">
      <c r="A250" s="31" t="str">
        <f>IF(E250="","",IF(ISNA(VLOOKUP($E250,'D-1 Off Site Habitat Baseline'!$D$1:$O$258,2,FALSE)),"",(VLOOKUP($E250,'D-1 Off Site Habitat Baseline'!$D$1:$O$258,2,FALSE))))</f>
        <v/>
      </c>
      <c r="B250" s="31" t="str">
        <f>IF(E250="","",IF(ISNA(VLOOKUP($E250,'D-1 Off Site Habitat Baseline'!$D$1:$O$258,3,FALSE)),"",(VLOOKUP($E250,'D-1 Off Site Habitat Baseline'!$D$1:$O$258,3,FALSE))))</f>
        <v/>
      </c>
      <c r="C250" s="31" t="str">
        <f>IFERROR(INDEX('G-8 Condition Look up'!$I$4:$I$130,MATCH(S250,'G-8 Condition Look up'!$A$4:$A$130,0)),"")</f>
        <v/>
      </c>
      <c r="E250" s="547" t="str">
        <f>'D-1 Off Site Habitat Baseline'!AL249</f>
        <v/>
      </c>
      <c r="F250" s="520" t="str">
        <f>IF(E250="","",IF(ISNA(VLOOKUP($E250,'D-1 Off Site Habitat Baseline'!$D$1:$O$258,4,FALSE)),"",(VLOOKUP($E250,'D-1 Off Site Habitat Baseline'!$D$1:$O$258,4,FALSE))))</f>
        <v/>
      </c>
      <c r="G250" s="520" t="str">
        <f>IF(E250="","",IF(ISNA(VLOOKUP($E250,'D-1 Off Site Habitat Baseline'!$D$1:$O$258,5,FALSE)),"",(VLOOKUP($E250,'D-1 Off Site Habitat Baseline'!$D$1:$O$258,5,FALSE))))</f>
        <v/>
      </c>
      <c r="H250" s="520" t="str">
        <f>IF(E250="","",IF(ISNA(VLOOKUP($E250,'D-1 Off Site Habitat Baseline'!$D$1:$O$258,6,FALSE)),"",(VLOOKUP($E250,'D-1 Off Site Habitat Baseline'!$D$1:$O$258,6,FALSE))))</f>
        <v/>
      </c>
      <c r="I250" s="520" t="str">
        <f>IF(E250="","",IF(ISNA(VLOOKUP($E250,'D-1 Off Site Habitat Baseline'!$D$1:$O$258,7,FALSE)),"",(VLOOKUP($E250,'D-1 Off Site Habitat Baseline'!$D$1:$O$258,7,FALSE))))</f>
        <v/>
      </c>
      <c r="J250" s="520" t="str">
        <f>IF(E250="","",IF(ISNA(VLOOKUP($E250,'D-1 Off Site Habitat Baseline'!$D$1:$O$258,8,FALSE)),"",(VLOOKUP($E250,'D-1 Off Site Habitat Baseline'!$D$1:$O$258,8,FALSE))))</f>
        <v/>
      </c>
      <c r="K250" s="520" t="str">
        <f>IF(E250="","",IF(ISNA(VLOOKUP($E250,'D-1 Off Site Habitat Baseline'!$D$1:$O$258,9,FALSE)),"",(VLOOKUP($E250,'D-1 Off Site Habitat Baseline'!$D$1:$O$258,9,FALSE))))</f>
        <v/>
      </c>
      <c r="L250" s="520" t="str">
        <f>IF(E250="","",IF(ISNA(VLOOKUP($E250,'D-1 Off Site Habitat Baseline'!$D$1:$O$258,11,FALSE)),"",(VLOOKUP($E250,'D-1 Off Site Habitat Baseline'!$D$1:$O$258,11,FALSE))))</f>
        <v/>
      </c>
      <c r="M250" s="520" t="str">
        <f>IF(E250="","",IF(ISNA(VLOOKUP($E250,'D-1 Off Site Habitat Baseline'!$D$1:$O$258,12,FALSE)),"",(VLOOKUP($E250,'D-1 Off Site Habitat Baseline'!$D$1:$O$258,12,FALSE))))</f>
        <v/>
      </c>
      <c r="N250" s="520" t="str">
        <f>IF(E250="","",IF(ISNA(VLOOKUP($E250,'D-1 Off Site Habitat Baseline'!$D$1:$X$258,14,FALSE)),"",(VLOOKUP($E250,'D-1 Off Site Habitat Baseline'!$D$1:$X$258,14,FALSE))))</f>
        <v/>
      </c>
      <c r="O250" s="524" t="str">
        <f>IF(E250="","",IF(ISNA(VLOOKUP($E250,'D-1 Off Site Habitat Baseline'!$D$1:$X$258,13,FALSE)),"",(VLOOKUP($E250,'D-1 Off Site Habitat Baseline'!$D$1:$X$258,13,FALSE))))</f>
        <v/>
      </c>
      <c r="P250" s="232" t="str">
        <f>IFERROR(INDEX('G-1 All Habitats'!$AG$3:$AG$15,MATCH(Q250,'G-1 All Habitats'!$AF$3:$AF$15,0)),"")</f>
        <v/>
      </c>
      <c r="Q250" s="228" t="str">
        <f t="shared" si="45"/>
        <v/>
      </c>
      <c r="R250" s="229" t="str">
        <f t="shared" si="46"/>
        <v/>
      </c>
      <c r="S250" s="233" t="str">
        <f>IFERROR(INDEX('G-1 All Habitats'!$B$3:$B$129,MATCH(R250,'G-1 All Habitats'!$A$3:$A$129,0)),"")</f>
        <v/>
      </c>
      <c r="T250" s="507" t="str">
        <f t="shared" si="38"/>
        <v/>
      </c>
      <c r="U250" s="524" t="str">
        <f t="shared" si="39"/>
        <v/>
      </c>
      <c r="V250" s="523" t="str">
        <f t="shared" si="36"/>
        <v/>
      </c>
      <c r="W250" s="520" t="str">
        <f>IF(S250="","",VLOOKUP(S250,'G-1 All Habitats'!$B$2:$M$129,10,FALSE))</f>
        <v/>
      </c>
      <c r="X250" s="520" t="str">
        <f>IFERROR(VLOOKUP(W250,'G-1 All Habitats'!$V$3:$W$7,2,FALSE),"")</f>
        <v/>
      </c>
      <c r="Y250" s="203"/>
      <c r="Z250" s="524" t="str">
        <f>IFERROR(INDEX('G-8 Condition Look up'!$A$3:$H$130,MATCH(S250,'G-8 Condition Look up'!$A$3:$A$130,0),MATCH(Y250,'G-8 Condition Look up'!$A$3:$H$3,0)),"")</f>
        <v/>
      </c>
      <c r="AA250" s="145"/>
      <c r="AB250" s="540" t="str">
        <f>IF(AA250="","",IF(VLOOKUP(AA250,'G-3 Multipliers'!$L$3:$N$6,2,FALSE)=0,"Spatial Data Missing ⚠",VLOOKUP(AA250,'G-3 Multipliers'!$L$3:$N$6,2,FALSE)))</f>
        <v/>
      </c>
      <c r="AC250" s="524" t="str">
        <f>IF(AA250="","",IF(VLOOKUP(AA250,'G-3 Multipliers'!$L$3:$N$6,3,FALSE)=0,"Spatial Data Missing ⚠",VLOOKUP(AA250,'G-3 Multipliers'!$L$3:$N$6,3,FALSE)))</f>
        <v/>
      </c>
      <c r="AD250" s="537" t="str">
        <f t="shared" si="37"/>
        <v/>
      </c>
      <c r="AE250" s="203"/>
      <c r="AF250" s="203"/>
      <c r="AG250" s="520" t="str">
        <f t="shared" si="40"/>
        <v/>
      </c>
      <c r="AH250" s="544" t="str">
        <f t="shared" si="41"/>
        <v/>
      </c>
      <c r="AI250" s="525" t="str">
        <f>IF(AH250="Check Data ⚠","Check Data ⚠",IFERROR(VLOOKUP(AH250,'G-4 Temporal multipliers'!$A$4:$C$36,3,FALSE),""))</f>
        <v/>
      </c>
      <c r="AJ250" s="537" t="str">
        <f>IF(S250="","",VLOOKUP(S250,'G-3 Multipliers'!$A$2:$E$129,4,FALSE))</f>
        <v/>
      </c>
      <c r="AK250" s="520" t="str">
        <f t="shared" si="42"/>
        <v/>
      </c>
      <c r="AL250" s="520" t="str">
        <f t="shared" si="43"/>
        <v/>
      </c>
      <c r="AM250" s="524" t="str">
        <f>IFERROR(IF(F250="","",IF(AH250="Check Data ⚠","Check Data ⚠",VLOOKUP(AL250, 'G-3 Multipliers'!$P$2:$Q$6,2,FALSE))),"")</f>
        <v/>
      </c>
      <c r="AN250" s="197"/>
      <c r="AO250" s="540" t="str">
        <f>IF(AN250="","",IF(VLOOKUP(AN250,'G-3 Multipliers'!$S$3:$T$9,2,FALSE)=0,"Spatial Data Missing ⚠",VLOOKUP(AN250,'G-3 Multipliers'!$S$3:$T$9,2,FALSE)))</f>
        <v/>
      </c>
      <c r="AP250" s="513" t="str">
        <f t="shared" si="44"/>
        <v/>
      </c>
      <c r="AQ250" s="231"/>
      <c r="AR250" s="150"/>
    </row>
    <row r="251" spans="1:44" x14ac:dyDescent="0.3">
      <c r="A251" s="31" t="str">
        <f>IF(E251="","",IF(ISNA(VLOOKUP($E251,'D-1 Off Site Habitat Baseline'!$D$1:$O$258,2,FALSE)),"",(VLOOKUP($E251,'D-1 Off Site Habitat Baseline'!$D$1:$O$258,2,FALSE))))</f>
        <v/>
      </c>
      <c r="B251" s="31" t="str">
        <f>IF(E251="","",IF(ISNA(VLOOKUP($E251,'D-1 Off Site Habitat Baseline'!$D$1:$O$258,3,FALSE)),"",(VLOOKUP($E251,'D-1 Off Site Habitat Baseline'!$D$1:$O$258,3,FALSE))))</f>
        <v/>
      </c>
      <c r="C251" s="31" t="str">
        <f>IFERROR(INDEX('G-8 Condition Look up'!$I$4:$I$130,MATCH(S251,'G-8 Condition Look up'!$A$4:$A$130,0)),"")</f>
        <v/>
      </c>
      <c r="E251" s="547" t="str">
        <f>'D-1 Off Site Habitat Baseline'!AL250</f>
        <v/>
      </c>
      <c r="F251" s="520" t="str">
        <f>IF(E251="","",IF(ISNA(VLOOKUP($E251,'D-1 Off Site Habitat Baseline'!$D$1:$O$258,4,FALSE)),"",(VLOOKUP($E251,'D-1 Off Site Habitat Baseline'!$D$1:$O$258,4,FALSE))))</f>
        <v/>
      </c>
      <c r="G251" s="520" t="str">
        <f>IF(E251="","",IF(ISNA(VLOOKUP($E251,'D-1 Off Site Habitat Baseline'!$D$1:$O$258,5,FALSE)),"",(VLOOKUP($E251,'D-1 Off Site Habitat Baseline'!$D$1:$O$258,5,FALSE))))</f>
        <v/>
      </c>
      <c r="H251" s="520" t="str">
        <f>IF(E251="","",IF(ISNA(VLOOKUP($E251,'D-1 Off Site Habitat Baseline'!$D$1:$O$258,6,FALSE)),"",(VLOOKUP($E251,'D-1 Off Site Habitat Baseline'!$D$1:$O$258,6,FALSE))))</f>
        <v/>
      </c>
      <c r="I251" s="520" t="str">
        <f>IF(E251="","",IF(ISNA(VLOOKUP($E251,'D-1 Off Site Habitat Baseline'!$D$1:$O$258,7,FALSE)),"",(VLOOKUP($E251,'D-1 Off Site Habitat Baseline'!$D$1:$O$258,7,FALSE))))</f>
        <v/>
      </c>
      <c r="J251" s="520" t="str">
        <f>IF(E251="","",IF(ISNA(VLOOKUP($E251,'D-1 Off Site Habitat Baseline'!$D$1:$O$258,8,FALSE)),"",(VLOOKUP($E251,'D-1 Off Site Habitat Baseline'!$D$1:$O$258,8,FALSE))))</f>
        <v/>
      </c>
      <c r="K251" s="520" t="str">
        <f>IF(E251="","",IF(ISNA(VLOOKUP($E251,'D-1 Off Site Habitat Baseline'!$D$1:$O$258,9,FALSE)),"",(VLOOKUP($E251,'D-1 Off Site Habitat Baseline'!$D$1:$O$258,9,FALSE))))</f>
        <v/>
      </c>
      <c r="L251" s="520" t="str">
        <f>IF(E251="","",IF(ISNA(VLOOKUP($E251,'D-1 Off Site Habitat Baseline'!$D$1:$O$258,11,FALSE)),"",(VLOOKUP($E251,'D-1 Off Site Habitat Baseline'!$D$1:$O$258,11,FALSE))))</f>
        <v/>
      </c>
      <c r="M251" s="520" t="str">
        <f>IF(E251="","",IF(ISNA(VLOOKUP($E251,'D-1 Off Site Habitat Baseline'!$D$1:$O$258,12,FALSE)),"",(VLOOKUP($E251,'D-1 Off Site Habitat Baseline'!$D$1:$O$258,12,FALSE))))</f>
        <v/>
      </c>
      <c r="N251" s="520" t="str">
        <f>IF(E251="","",IF(ISNA(VLOOKUP($E251,'D-1 Off Site Habitat Baseline'!$D$1:$X$258,14,FALSE)),"",(VLOOKUP($E251,'D-1 Off Site Habitat Baseline'!$D$1:$X$258,14,FALSE))))</f>
        <v/>
      </c>
      <c r="O251" s="524" t="str">
        <f>IF(E251="","",IF(ISNA(VLOOKUP($E251,'D-1 Off Site Habitat Baseline'!$D$1:$X$258,13,FALSE)),"",(VLOOKUP($E251,'D-1 Off Site Habitat Baseline'!$D$1:$X$258,13,FALSE))))</f>
        <v/>
      </c>
      <c r="P251" s="232" t="str">
        <f>IFERROR(INDEX('G-1 All Habitats'!$AG$3:$AG$15,MATCH(Q251,'G-1 All Habitats'!$AF$3:$AF$15,0)),"")</f>
        <v/>
      </c>
      <c r="Q251" s="228" t="str">
        <f t="shared" si="45"/>
        <v/>
      </c>
      <c r="R251" s="229" t="str">
        <f t="shared" si="46"/>
        <v/>
      </c>
      <c r="S251" s="233" t="str">
        <f>IFERROR(INDEX('G-1 All Habitats'!$B$3:$B$129,MATCH(R251,'G-1 All Habitats'!$A$3:$A$129,0)),"")</f>
        <v/>
      </c>
      <c r="T251" s="507" t="str">
        <f t="shared" si="38"/>
        <v/>
      </c>
      <c r="U251" s="524" t="str">
        <f t="shared" si="39"/>
        <v/>
      </c>
      <c r="V251" s="523" t="str">
        <f t="shared" si="36"/>
        <v/>
      </c>
      <c r="W251" s="520" t="str">
        <f>IF(S251="","",VLOOKUP(S251,'G-1 All Habitats'!$B$2:$M$129,10,FALSE))</f>
        <v/>
      </c>
      <c r="X251" s="520" t="str">
        <f>IFERROR(VLOOKUP(W251,'G-1 All Habitats'!$V$3:$W$7,2,FALSE),"")</f>
        <v/>
      </c>
      <c r="Y251" s="203"/>
      <c r="Z251" s="524" t="str">
        <f>IFERROR(INDEX('G-8 Condition Look up'!$A$3:$H$130,MATCH(S251,'G-8 Condition Look up'!$A$3:$A$130,0),MATCH(Y251,'G-8 Condition Look up'!$A$3:$H$3,0)),"")</f>
        <v/>
      </c>
      <c r="AA251" s="145"/>
      <c r="AB251" s="540" t="str">
        <f>IF(AA251="","",IF(VLOOKUP(AA251,'G-3 Multipliers'!$L$3:$N$6,2,FALSE)=0,"Spatial Data Missing ⚠",VLOOKUP(AA251,'G-3 Multipliers'!$L$3:$N$6,2,FALSE)))</f>
        <v/>
      </c>
      <c r="AC251" s="524" t="str">
        <f>IF(AA251="","",IF(VLOOKUP(AA251,'G-3 Multipliers'!$L$3:$N$6,3,FALSE)=0,"Spatial Data Missing ⚠",VLOOKUP(AA251,'G-3 Multipliers'!$L$3:$N$6,3,FALSE)))</f>
        <v/>
      </c>
      <c r="AD251" s="537" t="str">
        <f t="shared" si="37"/>
        <v/>
      </c>
      <c r="AE251" s="203"/>
      <c r="AF251" s="203"/>
      <c r="AG251" s="520" t="str">
        <f t="shared" si="40"/>
        <v/>
      </c>
      <c r="AH251" s="544" t="str">
        <f t="shared" si="41"/>
        <v/>
      </c>
      <c r="AI251" s="525" t="str">
        <f>IF(AH251="Check Data ⚠","Check Data ⚠",IFERROR(VLOOKUP(AH251,'G-4 Temporal multipliers'!$A$4:$C$36,3,FALSE),""))</f>
        <v/>
      </c>
      <c r="AJ251" s="537" t="str">
        <f>IF(S251="","",VLOOKUP(S251,'G-3 Multipliers'!$A$2:$E$129,4,FALSE))</f>
        <v/>
      </c>
      <c r="AK251" s="520" t="str">
        <f t="shared" si="42"/>
        <v/>
      </c>
      <c r="AL251" s="520" t="str">
        <f t="shared" si="43"/>
        <v/>
      </c>
      <c r="AM251" s="524" t="str">
        <f>IFERROR(IF(F251="","",IF(AH251="Check Data ⚠","Check Data ⚠",VLOOKUP(AL251, 'G-3 Multipliers'!$P$2:$Q$6,2,FALSE))),"")</f>
        <v/>
      </c>
      <c r="AN251" s="197"/>
      <c r="AO251" s="540" t="str">
        <f>IF(AN251="","",IF(VLOOKUP(AN251,'G-3 Multipliers'!$S$3:$T$9,2,FALSE)=0,"Spatial Data Missing ⚠",VLOOKUP(AN251,'G-3 Multipliers'!$S$3:$T$9,2,FALSE)))</f>
        <v/>
      </c>
      <c r="AP251" s="513" t="str">
        <f t="shared" si="44"/>
        <v/>
      </c>
      <c r="AQ251" s="231"/>
      <c r="AR251" s="150"/>
    </row>
    <row r="252" spans="1:44" x14ac:dyDescent="0.3">
      <c r="A252" s="31" t="str">
        <f>IF(E252="","",IF(ISNA(VLOOKUP($E252,'D-1 Off Site Habitat Baseline'!$D$1:$O$258,2,FALSE)),"",(VLOOKUP($E252,'D-1 Off Site Habitat Baseline'!$D$1:$O$258,2,FALSE))))</f>
        <v/>
      </c>
      <c r="B252" s="31" t="str">
        <f>IF(E252="","",IF(ISNA(VLOOKUP($E252,'D-1 Off Site Habitat Baseline'!$D$1:$O$258,3,FALSE)),"",(VLOOKUP($E252,'D-1 Off Site Habitat Baseline'!$D$1:$O$258,3,FALSE))))</f>
        <v/>
      </c>
      <c r="C252" s="31" t="str">
        <f>IFERROR(INDEX('G-8 Condition Look up'!$I$4:$I$130,MATCH(S252,'G-8 Condition Look up'!$A$4:$A$130,0)),"")</f>
        <v/>
      </c>
      <c r="E252" s="547" t="str">
        <f>'D-1 Off Site Habitat Baseline'!AL251</f>
        <v/>
      </c>
      <c r="F252" s="520" t="str">
        <f>IF(E252="","",IF(ISNA(VLOOKUP($E252,'D-1 Off Site Habitat Baseline'!$D$1:$O$258,4,FALSE)),"",(VLOOKUP($E252,'D-1 Off Site Habitat Baseline'!$D$1:$O$258,4,FALSE))))</f>
        <v/>
      </c>
      <c r="G252" s="520" t="str">
        <f>IF(E252="","",IF(ISNA(VLOOKUP($E252,'D-1 Off Site Habitat Baseline'!$D$1:$O$258,5,FALSE)),"",(VLOOKUP($E252,'D-1 Off Site Habitat Baseline'!$D$1:$O$258,5,FALSE))))</f>
        <v/>
      </c>
      <c r="H252" s="520" t="str">
        <f>IF(E252="","",IF(ISNA(VLOOKUP($E252,'D-1 Off Site Habitat Baseline'!$D$1:$O$258,6,FALSE)),"",(VLOOKUP($E252,'D-1 Off Site Habitat Baseline'!$D$1:$O$258,6,FALSE))))</f>
        <v/>
      </c>
      <c r="I252" s="520" t="str">
        <f>IF(E252="","",IF(ISNA(VLOOKUP($E252,'D-1 Off Site Habitat Baseline'!$D$1:$O$258,7,FALSE)),"",(VLOOKUP($E252,'D-1 Off Site Habitat Baseline'!$D$1:$O$258,7,FALSE))))</f>
        <v/>
      </c>
      <c r="J252" s="520" t="str">
        <f>IF(E252="","",IF(ISNA(VLOOKUP($E252,'D-1 Off Site Habitat Baseline'!$D$1:$O$258,8,FALSE)),"",(VLOOKUP($E252,'D-1 Off Site Habitat Baseline'!$D$1:$O$258,8,FALSE))))</f>
        <v/>
      </c>
      <c r="K252" s="520" t="str">
        <f>IF(E252="","",IF(ISNA(VLOOKUP($E252,'D-1 Off Site Habitat Baseline'!$D$1:$O$258,9,FALSE)),"",(VLOOKUP($E252,'D-1 Off Site Habitat Baseline'!$D$1:$O$258,9,FALSE))))</f>
        <v/>
      </c>
      <c r="L252" s="520" t="str">
        <f>IF(E252="","",IF(ISNA(VLOOKUP($E252,'D-1 Off Site Habitat Baseline'!$D$1:$O$258,11,FALSE)),"",(VLOOKUP($E252,'D-1 Off Site Habitat Baseline'!$D$1:$O$258,11,FALSE))))</f>
        <v/>
      </c>
      <c r="M252" s="520" t="str">
        <f>IF(E252="","",IF(ISNA(VLOOKUP($E252,'D-1 Off Site Habitat Baseline'!$D$1:$O$258,12,FALSE)),"",(VLOOKUP($E252,'D-1 Off Site Habitat Baseline'!$D$1:$O$258,12,FALSE))))</f>
        <v/>
      </c>
      <c r="N252" s="520" t="str">
        <f>IF(E252="","",IF(ISNA(VLOOKUP($E252,'D-1 Off Site Habitat Baseline'!$D$1:$X$258,14,FALSE)),"",(VLOOKUP($E252,'D-1 Off Site Habitat Baseline'!$D$1:$X$258,14,FALSE))))</f>
        <v/>
      </c>
      <c r="O252" s="524" t="str">
        <f>IF(E252="","",IF(ISNA(VLOOKUP($E252,'D-1 Off Site Habitat Baseline'!$D$1:$X$258,13,FALSE)),"",(VLOOKUP($E252,'D-1 Off Site Habitat Baseline'!$D$1:$X$258,13,FALSE))))</f>
        <v/>
      </c>
      <c r="P252" s="232" t="str">
        <f>IFERROR(INDEX('G-1 All Habitats'!$AG$3:$AG$15,MATCH(Q252,'G-1 All Habitats'!$AF$3:$AF$15,0)),"")</f>
        <v/>
      </c>
      <c r="Q252" s="228" t="str">
        <f t="shared" si="45"/>
        <v/>
      </c>
      <c r="R252" s="229" t="str">
        <f t="shared" si="46"/>
        <v/>
      </c>
      <c r="S252" s="233" t="str">
        <f>IFERROR(INDEX('G-1 All Habitats'!$B$3:$B$129,MATCH(R252,'G-1 All Habitats'!$A$3:$A$129,0)),"")</f>
        <v/>
      </c>
      <c r="T252" s="507" t="str">
        <f t="shared" si="38"/>
        <v/>
      </c>
      <c r="U252" s="524" t="str">
        <f t="shared" si="39"/>
        <v/>
      </c>
      <c r="V252" s="523" t="str">
        <f t="shared" si="36"/>
        <v/>
      </c>
      <c r="W252" s="520" t="str">
        <f>IF(S252="","",VLOOKUP(S252,'G-1 All Habitats'!$B$2:$M$129,10,FALSE))</f>
        <v/>
      </c>
      <c r="X252" s="520" t="str">
        <f>IFERROR(VLOOKUP(W252,'G-1 All Habitats'!$V$3:$W$7,2,FALSE),"")</f>
        <v/>
      </c>
      <c r="Y252" s="203"/>
      <c r="Z252" s="524" t="str">
        <f>IFERROR(INDEX('G-8 Condition Look up'!$A$3:$H$130,MATCH(S252,'G-8 Condition Look up'!$A$3:$A$130,0),MATCH(Y252,'G-8 Condition Look up'!$A$3:$H$3,0)),"")</f>
        <v/>
      </c>
      <c r="AA252" s="145"/>
      <c r="AB252" s="540" t="str">
        <f>IF(AA252="","",IF(VLOOKUP(AA252,'G-3 Multipliers'!$L$3:$N$6,2,FALSE)=0,"Spatial Data Missing ⚠",VLOOKUP(AA252,'G-3 Multipliers'!$L$3:$N$6,2,FALSE)))</f>
        <v/>
      </c>
      <c r="AC252" s="524" t="str">
        <f>IF(AA252="","",IF(VLOOKUP(AA252,'G-3 Multipliers'!$L$3:$N$6,3,FALSE)=0,"Spatial Data Missing ⚠",VLOOKUP(AA252,'G-3 Multipliers'!$L$3:$N$6,3,FALSE)))</f>
        <v/>
      </c>
      <c r="AD252" s="537" t="str">
        <f t="shared" si="37"/>
        <v/>
      </c>
      <c r="AE252" s="203"/>
      <c r="AF252" s="203"/>
      <c r="AG252" s="520" t="str">
        <f t="shared" si="40"/>
        <v/>
      </c>
      <c r="AH252" s="544" t="str">
        <f t="shared" si="41"/>
        <v/>
      </c>
      <c r="AI252" s="525" t="str">
        <f>IF(AH252="Check Data ⚠","Check Data ⚠",IFERROR(VLOOKUP(AH252,'G-4 Temporal multipliers'!$A$4:$C$36,3,FALSE),""))</f>
        <v/>
      </c>
      <c r="AJ252" s="537" t="str">
        <f>IF(S252="","",VLOOKUP(S252,'G-3 Multipliers'!$A$2:$E$129,4,FALSE))</f>
        <v/>
      </c>
      <c r="AK252" s="520" t="str">
        <f t="shared" si="42"/>
        <v/>
      </c>
      <c r="AL252" s="520" t="str">
        <f t="shared" si="43"/>
        <v/>
      </c>
      <c r="AM252" s="524" t="str">
        <f>IFERROR(IF(F252="","",IF(AH252="Check Data ⚠","Check Data ⚠",VLOOKUP(AL252, 'G-3 Multipliers'!$P$2:$Q$6,2,FALSE))),"")</f>
        <v/>
      </c>
      <c r="AN252" s="197"/>
      <c r="AO252" s="540" t="str">
        <f>IF(AN252="","",IF(VLOOKUP(AN252,'G-3 Multipliers'!$S$3:$T$9,2,FALSE)=0,"Spatial Data Missing ⚠",VLOOKUP(AN252,'G-3 Multipliers'!$S$3:$T$9,2,FALSE)))</f>
        <v/>
      </c>
      <c r="AP252" s="513" t="str">
        <f t="shared" si="44"/>
        <v/>
      </c>
      <c r="AQ252" s="231"/>
      <c r="AR252" s="150"/>
    </row>
    <row r="253" spans="1:44" x14ac:dyDescent="0.3">
      <c r="A253" s="31" t="str">
        <f>IF(E253="","",IF(ISNA(VLOOKUP($E253,'D-1 Off Site Habitat Baseline'!$D$1:$O$258,2,FALSE)),"",(VLOOKUP($E253,'D-1 Off Site Habitat Baseline'!$D$1:$O$258,2,FALSE))))</f>
        <v/>
      </c>
      <c r="B253" s="31" t="str">
        <f>IF(E253="","",IF(ISNA(VLOOKUP($E253,'D-1 Off Site Habitat Baseline'!$D$1:$O$258,3,FALSE)),"",(VLOOKUP($E253,'D-1 Off Site Habitat Baseline'!$D$1:$O$258,3,FALSE))))</f>
        <v/>
      </c>
      <c r="C253" s="31" t="str">
        <f>IFERROR(INDEX('G-8 Condition Look up'!$I$4:$I$130,MATCH(S253,'G-8 Condition Look up'!$A$4:$A$130,0)),"")</f>
        <v/>
      </c>
      <c r="E253" s="547" t="str">
        <f>'D-1 Off Site Habitat Baseline'!AL252</f>
        <v/>
      </c>
      <c r="F253" s="520" t="str">
        <f>IF(E253="","",IF(ISNA(VLOOKUP($E253,'D-1 Off Site Habitat Baseline'!$D$1:$O$258,4,FALSE)),"",(VLOOKUP($E253,'D-1 Off Site Habitat Baseline'!$D$1:$O$258,4,FALSE))))</f>
        <v/>
      </c>
      <c r="G253" s="520" t="str">
        <f>IF(E253="","",IF(ISNA(VLOOKUP($E253,'D-1 Off Site Habitat Baseline'!$D$1:$O$258,5,FALSE)),"",(VLOOKUP($E253,'D-1 Off Site Habitat Baseline'!$D$1:$O$258,5,FALSE))))</f>
        <v/>
      </c>
      <c r="H253" s="520" t="str">
        <f>IF(E253="","",IF(ISNA(VLOOKUP($E253,'D-1 Off Site Habitat Baseline'!$D$1:$O$258,6,FALSE)),"",(VLOOKUP($E253,'D-1 Off Site Habitat Baseline'!$D$1:$O$258,6,FALSE))))</f>
        <v/>
      </c>
      <c r="I253" s="520" t="str">
        <f>IF(E253="","",IF(ISNA(VLOOKUP($E253,'D-1 Off Site Habitat Baseline'!$D$1:$O$258,7,FALSE)),"",(VLOOKUP($E253,'D-1 Off Site Habitat Baseline'!$D$1:$O$258,7,FALSE))))</f>
        <v/>
      </c>
      <c r="J253" s="520" t="str">
        <f>IF(E253="","",IF(ISNA(VLOOKUP($E253,'D-1 Off Site Habitat Baseline'!$D$1:$O$258,8,FALSE)),"",(VLOOKUP($E253,'D-1 Off Site Habitat Baseline'!$D$1:$O$258,8,FALSE))))</f>
        <v/>
      </c>
      <c r="K253" s="520" t="str">
        <f>IF(E253="","",IF(ISNA(VLOOKUP($E253,'D-1 Off Site Habitat Baseline'!$D$1:$O$258,9,FALSE)),"",(VLOOKUP($E253,'D-1 Off Site Habitat Baseline'!$D$1:$O$258,9,FALSE))))</f>
        <v/>
      </c>
      <c r="L253" s="520" t="str">
        <f>IF(E253="","",IF(ISNA(VLOOKUP($E253,'D-1 Off Site Habitat Baseline'!$D$1:$O$258,11,FALSE)),"",(VLOOKUP($E253,'D-1 Off Site Habitat Baseline'!$D$1:$O$258,11,FALSE))))</f>
        <v/>
      </c>
      <c r="M253" s="520" t="str">
        <f>IF(E253="","",IF(ISNA(VLOOKUP($E253,'D-1 Off Site Habitat Baseline'!$D$1:$O$258,12,FALSE)),"",(VLOOKUP($E253,'D-1 Off Site Habitat Baseline'!$D$1:$O$258,12,FALSE))))</f>
        <v/>
      </c>
      <c r="N253" s="520" t="str">
        <f>IF(E253="","",IF(ISNA(VLOOKUP($E253,'D-1 Off Site Habitat Baseline'!$D$1:$X$258,14,FALSE)),"",(VLOOKUP($E253,'D-1 Off Site Habitat Baseline'!$D$1:$X$258,14,FALSE))))</f>
        <v/>
      </c>
      <c r="O253" s="524" t="str">
        <f>IF(E253="","",IF(ISNA(VLOOKUP($E253,'D-1 Off Site Habitat Baseline'!$D$1:$X$258,13,FALSE)),"",(VLOOKUP($E253,'D-1 Off Site Habitat Baseline'!$D$1:$X$258,13,FALSE))))</f>
        <v/>
      </c>
      <c r="P253" s="232" t="str">
        <f>IFERROR(INDEX('G-1 All Habitats'!$AG$3:$AG$15,MATCH(Q253,'G-1 All Habitats'!$AF$3:$AF$15,0)),"")</f>
        <v/>
      </c>
      <c r="Q253" s="228" t="str">
        <f t="shared" si="45"/>
        <v/>
      </c>
      <c r="R253" s="229" t="str">
        <f t="shared" si="46"/>
        <v/>
      </c>
      <c r="S253" s="233" t="str">
        <f>IFERROR(INDEX('G-1 All Habitats'!$B$3:$B$129,MATCH(R253,'G-1 All Habitats'!$A$3:$A$129,0)),"")</f>
        <v/>
      </c>
      <c r="T253" s="507" t="str">
        <f t="shared" si="38"/>
        <v/>
      </c>
      <c r="U253" s="524" t="str">
        <f t="shared" si="39"/>
        <v/>
      </c>
      <c r="V253" s="523" t="str">
        <f t="shared" si="36"/>
        <v/>
      </c>
      <c r="W253" s="520" t="str">
        <f>IF(S253="","",VLOOKUP(S253,'G-1 All Habitats'!$B$2:$M$129,10,FALSE))</f>
        <v/>
      </c>
      <c r="X253" s="520" t="str">
        <f>IFERROR(VLOOKUP(W253,'G-1 All Habitats'!$V$3:$W$7,2,FALSE),"")</f>
        <v/>
      </c>
      <c r="Y253" s="203"/>
      <c r="Z253" s="524" t="str">
        <f>IFERROR(INDEX('G-8 Condition Look up'!$A$3:$H$130,MATCH(S253,'G-8 Condition Look up'!$A$3:$A$130,0),MATCH(Y253,'G-8 Condition Look up'!$A$3:$H$3,0)),"")</f>
        <v/>
      </c>
      <c r="AA253" s="145"/>
      <c r="AB253" s="540" t="str">
        <f>IF(AA253="","",IF(VLOOKUP(AA253,'G-3 Multipliers'!$L$3:$N$6,2,FALSE)=0,"Spatial Data Missing ⚠",VLOOKUP(AA253,'G-3 Multipliers'!$L$3:$N$6,2,FALSE)))</f>
        <v/>
      </c>
      <c r="AC253" s="524" t="str">
        <f>IF(AA253="","",IF(VLOOKUP(AA253,'G-3 Multipliers'!$L$3:$N$6,3,FALSE)=0,"Spatial Data Missing ⚠",VLOOKUP(AA253,'G-3 Multipliers'!$L$3:$N$6,3,FALSE)))</f>
        <v/>
      </c>
      <c r="AD253" s="537" t="str">
        <f t="shared" si="37"/>
        <v/>
      </c>
      <c r="AE253" s="203"/>
      <c r="AF253" s="203"/>
      <c r="AG253" s="520" t="str">
        <f t="shared" si="40"/>
        <v/>
      </c>
      <c r="AH253" s="544" t="str">
        <f t="shared" si="41"/>
        <v/>
      </c>
      <c r="AI253" s="525" t="str">
        <f>IF(AH253="Check Data ⚠","Check Data ⚠",IFERROR(VLOOKUP(AH253,'G-4 Temporal multipliers'!$A$4:$C$36,3,FALSE),""))</f>
        <v/>
      </c>
      <c r="AJ253" s="537" t="str">
        <f>IF(S253="","",VLOOKUP(S253,'G-3 Multipliers'!$A$2:$E$129,4,FALSE))</f>
        <v/>
      </c>
      <c r="AK253" s="520" t="str">
        <f t="shared" si="42"/>
        <v/>
      </c>
      <c r="AL253" s="520" t="str">
        <f t="shared" si="43"/>
        <v/>
      </c>
      <c r="AM253" s="524" t="str">
        <f>IFERROR(IF(F253="","",IF(AH253="Check Data ⚠","Check Data ⚠",VLOOKUP(AL253, 'G-3 Multipliers'!$P$2:$Q$6,2,FALSE))),"")</f>
        <v/>
      </c>
      <c r="AN253" s="197"/>
      <c r="AO253" s="540" t="str">
        <f>IF(AN253="","",IF(VLOOKUP(AN253,'G-3 Multipliers'!$S$3:$T$9,2,FALSE)=0,"Spatial Data Missing ⚠",VLOOKUP(AN253,'G-3 Multipliers'!$S$3:$T$9,2,FALSE)))</f>
        <v/>
      </c>
      <c r="AP253" s="513" t="str">
        <f t="shared" si="44"/>
        <v/>
      </c>
      <c r="AQ253" s="231"/>
      <c r="AR253" s="150"/>
    </row>
    <row r="254" spans="1:44" x14ac:dyDescent="0.3">
      <c r="A254" s="31" t="str">
        <f>IF(E254="","",IF(ISNA(VLOOKUP($E254,'D-1 Off Site Habitat Baseline'!$D$1:$O$258,2,FALSE)),"",(VLOOKUP($E254,'D-1 Off Site Habitat Baseline'!$D$1:$O$258,2,FALSE))))</f>
        <v/>
      </c>
      <c r="B254" s="31" t="str">
        <f>IF(E254="","",IF(ISNA(VLOOKUP($E254,'D-1 Off Site Habitat Baseline'!$D$1:$O$258,3,FALSE)),"",(VLOOKUP($E254,'D-1 Off Site Habitat Baseline'!$D$1:$O$258,3,FALSE))))</f>
        <v/>
      </c>
      <c r="C254" s="31" t="str">
        <f>IFERROR(INDEX('G-8 Condition Look up'!$I$4:$I$130,MATCH(S254,'G-8 Condition Look up'!$A$4:$A$130,0)),"")</f>
        <v/>
      </c>
      <c r="E254" s="547" t="str">
        <f>'D-1 Off Site Habitat Baseline'!AL253</f>
        <v/>
      </c>
      <c r="F254" s="520" t="str">
        <f>IF(E254="","",IF(ISNA(VLOOKUP($E254,'D-1 Off Site Habitat Baseline'!$D$1:$O$258,4,FALSE)),"",(VLOOKUP($E254,'D-1 Off Site Habitat Baseline'!$D$1:$O$258,4,FALSE))))</f>
        <v/>
      </c>
      <c r="G254" s="520" t="str">
        <f>IF(E254="","",IF(ISNA(VLOOKUP($E254,'D-1 Off Site Habitat Baseline'!$D$1:$O$258,5,FALSE)),"",(VLOOKUP($E254,'D-1 Off Site Habitat Baseline'!$D$1:$O$258,5,FALSE))))</f>
        <v/>
      </c>
      <c r="H254" s="520" t="str">
        <f>IF(E254="","",IF(ISNA(VLOOKUP($E254,'D-1 Off Site Habitat Baseline'!$D$1:$O$258,6,FALSE)),"",(VLOOKUP($E254,'D-1 Off Site Habitat Baseline'!$D$1:$O$258,6,FALSE))))</f>
        <v/>
      </c>
      <c r="I254" s="520" t="str">
        <f>IF(E254="","",IF(ISNA(VLOOKUP($E254,'D-1 Off Site Habitat Baseline'!$D$1:$O$258,7,FALSE)),"",(VLOOKUP($E254,'D-1 Off Site Habitat Baseline'!$D$1:$O$258,7,FALSE))))</f>
        <v/>
      </c>
      <c r="J254" s="520" t="str">
        <f>IF(E254="","",IF(ISNA(VLOOKUP($E254,'D-1 Off Site Habitat Baseline'!$D$1:$O$258,8,FALSE)),"",(VLOOKUP($E254,'D-1 Off Site Habitat Baseline'!$D$1:$O$258,8,FALSE))))</f>
        <v/>
      </c>
      <c r="K254" s="520" t="str">
        <f>IF(E254="","",IF(ISNA(VLOOKUP($E254,'D-1 Off Site Habitat Baseline'!$D$1:$O$258,9,FALSE)),"",(VLOOKUP($E254,'D-1 Off Site Habitat Baseline'!$D$1:$O$258,9,FALSE))))</f>
        <v/>
      </c>
      <c r="L254" s="520" t="str">
        <f>IF(E254="","",IF(ISNA(VLOOKUP($E254,'D-1 Off Site Habitat Baseline'!$D$1:$O$258,11,FALSE)),"",(VLOOKUP($E254,'D-1 Off Site Habitat Baseline'!$D$1:$O$258,11,FALSE))))</f>
        <v/>
      </c>
      <c r="M254" s="520" t="str">
        <f>IF(E254="","",IF(ISNA(VLOOKUP($E254,'D-1 Off Site Habitat Baseline'!$D$1:$O$258,12,FALSE)),"",(VLOOKUP($E254,'D-1 Off Site Habitat Baseline'!$D$1:$O$258,12,FALSE))))</f>
        <v/>
      </c>
      <c r="N254" s="520" t="str">
        <f>IF(E254="","",IF(ISNA(VLOOKUP($E254,'D-1 Off Site Habitat Baseline'!$D$1:$X$258,14,FALSE)),"",(VLOOKUP($E254,'D-1 Off Site Habitat Baseline'!$D$1:$X$258,14,FALSE))))</f>
        <v/>
      </c>
      <c r="O254" s="524" t="str">
        <f>IF(E254="","",IF(ISNA(VLOOKUP($E254,'D-1 Off Site Habitat Baseline'!$D$1:$X$258,13,FALSE)),"",(VLOOKUP($E254,'D-1 Off Site Habitat Baseline'!$D$1:$X$258,13,FALSE))))</f>
        <v/>
      </c>
      <c r="P254" s="232" t="str">
        <f>IFERROR(INDEX('G-1 All Habitats'!$AG$3:$AG$15,MATCH(Q254,'G-1 All Habitats'!$AF$3:$AF$15,0)),"")</f>
        <v/>
      </c>
      <c r="Q254" s="228" t="str">
        <f t="shared" si="45"/>
        <v/>
      </c>
      <c r="R254" s="229" t="str">
        <f t="shared" si="46"/>
        <v/>
      </c>
      <c r="S254" s="233" t="str">
        <f>IFERROR(INDEX('G-1 All Habitats'!$B$3:$B$129,MATCH(R254,'G-1 All Habitats'!$A$3:$A$129,0)),"")</f>
        <v/>
      </c>
      <c r="T254" s="507" t="str">
        <f t="shared" si="38"/>
        <v/>
      </c>
      <c r="U254" s="524" t="str">
        <f t="shared" si="39"/>
        <v/>
      </c>
      <c r="V254" s="523" t="str">
        <f t="shared" si="36"/>
        <v/>
      </c>
      <c r="W254" s="520" t="str">
        <f>IF(S254="","",VLOOKUP(S254,'G-1 All Habitats'!$B$2:$M$129,10,FALSE))</f>
        <v/>
      </c>
      <c r="X254" s="520" t="str">
        <f>IFERROR(VLOOKUP(W254,'G-1 All Habitats'!$V$3:$W$7,2,FALSE),"")</f>
        <v/>
      </c>
      <c r="Y254" s="203"/>
      <c r="Z254" s="524" t="str">
        <f>IFERROR(INDEX('G-8 Condition Look up'!$A$3:$H$130,MATCH(S254,'G-8 Condition Look up'!$A$3:$A$130,0),MATCH(Y254,'G-8 Condition Look up'!$A$3:$H$3,0)),"")</f>
        <v/>
      </c>
      <c r="AA254" s="145"/>
      <c r="AB254" s="540" t="str">
        <f>IF(AA254="","",IF(VLOOKUP(AA254,'G-3 Multipliers'!$L$3:$N$6,2,FALSE)=0,"Spatial Data Missing ⚠",VLOOKUP(AA254,'G-3 Multipliers'!$L$3:$N$6,2,FALSE)))</f>
        <v/>
      </c>
      <c r="AC254" s="524" t="str">
        <f>IF(AA254="","",IF(VLOOKUP(AA254,'G-3 Multipliers'!$L$3:$N$6,3,FALSE)=0,"Spatial Data Missing ⚠",VLOOKUP(AA254,'G-3 Multipliers'!$L$3:$N$6,3,FALSE)))</f>
        <v/>
      </c>
      <c r="AD254" s="537" t="str">
        <f t="shared" si="37"/>
        <v/>
      </c>
      <c r="AE254" s="203"/>
      <c r="AF254" s="203"/>
      <c r="AG254" s="520" t="str">
        <f t="shared" si="40"/>
        <v/>
      </c>
      <c r="AH254" s="544" t="str">
        <f t="shared" si="41"/>
        <v/>
      </c>
      <c r="AI254" s="525" t="str">
        <f>IF(AH254="Check Data ⚠","Check Data ⚠",IFERROR(VLOOKUP(AH254,'G-4 Temporal multipliers'!$A$4:$C$36,3,FALSE),""))</f>
        <v/>
      </c>
      <c r="AJ254" s="537" t="str">
        <f>IF(S254="","",VLOOKUP(S254,'G-3 Multipliers'!$A$2:$E$129,4,FALSE))</f>
        <v/>
      </c>
      <c r="AK254" s="520" t="str">
        <f t="shared" si="42"/>
        <v/>
      </c>
      <c r="AL254" s="520" t="str">
        <f t="shared" si="43"/>
        <v/>
      </c>
      <c r="AM254" s="524" t="str">
        <f>IFERROR(IF(F254="","",IF(AH254="Check Data ⚠","Check Data ⚠",VLOOKUP(AL254, 'G-3 Multipliers'!$P$2:$Q$6,2,FALSE))),"")</f>
        <v/>
      </c>
      <c r="AN254" s="197"/>
      <c r="AO254" s="540" t="str">
        <f>IF(AN254="","",IF(VLOOKUP(AN254,'G-3 Multipliers'!$S$3:$T$9,2,FALSE)=0,"Spatial Data Missing ⚠",VLOOKUP(AN254,'G-3 Multipliers'!$S$3:$T$9,2,FALSE)))</f>
        <v/>
      </c>
      <c r="AP254" s="513" t="str">
        <f t="shared" si="44"/>
        <v/>
      </c>
      <c r="AQ254" s="231"/>
      <c r="AR254" s="150"/>
    </row>
    <row r="255" spans="1:44" x14ac:dyDescent="0.3">
      <c r="A255" s="31" t="str">
        <f>IF(E255="","",IF(ISNA(VLOOKUP($E255,'D-1 Off Site Habitat Baseline'!$D$1:$O$258,2,FALSE)),"",(VLOOKUP($E255,'D-1 Off Site Habitat Baseline'!$D$1:$O$258,2,FALSE))))</f>
        <v/>
      </c>
      <c r="B255" s="31" t="str">
        <f>IF(E255="","",IF(ISNA(VLOOKUP($E255,'D-1 Off Site Habitat Baseline'!$D$1:$O$258,3,FALSE)),"",(VLOOKUP($E255,'D-1 Off Site Habitat Baseline'!$D$1:$O$258,3,FALSE))))</f>
        <v/>
      </c>
      <c r="C255" s="31" t="str">
        <f>IFERROR(INDEX('G-8 Condition Look up'!$I$4:$I$130,MATCH(S255,'G-8 Condition Look up'!$A$4:$A$130,0)),"")</f>
        <v/>
      </c>
      <c r="E255" s="547" t="str">
        <f>'D-1 Off Site Habitat Baseline'!AL254</f>
        <v/>
      </c>
      <c r="F255" s="520" t="str">
        <f>IF(E255="","",IF(ISNA(VLOOKUP($E255,'D-1 Off Site Habitat Baseline'!$D$1:$O$258,4,FALSE)),"",(VLOOKUP($E255,'D-1 Off Site Habitat Baseline'!$D$1:$O$258,4,FALSE))))</f>
        <v/>
      </c>
      <c r="G255" s="520" t="str">
        <f>IF(E255="","",IF(ISNA(VLOOKUP($E255,'D-1 Off Site Habitat Baseline'!$D$1:$O$258,5,FALSE)),"",(VLOOKUP($E255,'D-1 Off Site Habitat Baseline'!$D$1:$O$258,5,FALSE))))</f>
        <v/>
      </c>
      <c r="H255" s="520" t="str">
        <f>IF(E255="","",IF(ISNA(VLOOKUP($E255,'D-1 Off Site Habitat Baseline'!$D$1:$O$258,6,FALSE)),"",(VLOOKUP($E255,'D-1 Off Site Habitat Baseline'!$D$1:$O$258,6,FALSE))))</f>
        <v/>
      </c>
      <c r="I255" s="520" t="str">
        <f>IF(E255="","",IF(ISNA(VLOOKUP($E255,'D-1 Off Site Habitat Baseline'!$D$1:$O$258,7,FALSE)),"",(VLOOKUP($E255,'D-1 Off Site Habitat Baseline'!$D$1:$O$258,7,FALSE))))</f>
        <v/>
      </c>
      <c r="J255" s="520" t="str">
        <f>IF(E255="","",IF(ISNA(VLOOKUP($E255,'D-1 Off Site Habitat Baseline'!$D$1:$O$258,8,FALSE)),"",(VLOOKUP($E255,'D-1 Off Site Habitat Baseline'!$D$1:$O$258,8,FALSE))))</f>
        <v/>
      </c>
      <c r="K255" s="520" t="str">
        <f>IF(E255="","",IF(ISNA(VLOOKUP($E255,'D-1 Off Site Habitat Baseline'!$D$1:$O$258,9,FALSE)),"",(VLOOKUP($E255,'D-1 Off Site Habitat Baseline'!$D$1:$O$258,9,FALSE))))</f>
        <v/>
      </c>
      <c r="L255" s="520" t="str">
        <f>IF(E255="","",IF(ISNA(VLOOKUP($E255,'D-1 Off Site Habitat Baseline'!$D$1:$O$258,11,FALSE)),"",(VLOOKUP($E255,'D-1 Off Site Habitat Baseline'!$D$1:$O$258,11,FALSE))))</f>
        <v/>
      </c>
      <c r="M255" s="520" t="str">
        <f>IF(E255="","",IF(ISNA(VLOOKUP($E255,'D-1 Off Site Habitat Baseline'!$D$1:$O$258,12,FALSE)),"",(VLOOKUP($E255,'D-1 Off Site Habitat Baseline'!$D$1:$O$258,12,FALSE))))</f>
        <v/>
      </c>
      <c r="N255" s="520" t="str">
        <f>IF(E255="","",IF(ISNA(VLOOKUP($E255,'D-1 Off Site Habitat Baseline'!$D$1:$X$258,14,FALSE)),"",(VLOOKUP($E255,'D-1 Off Site Habitat Baseline'!$D$1:$X$258,14,FALSE))))</f>
        <v/>
      </c>
      <c r="O255" s="524" t="str">
        <f>IF(E255="","",IF(ISNA(VLOOKUP($E255,'D-1 Off Site Habitat Baseline'!$D$1:$X$258,13,FALSE)),"",(VLOOKUP($E255,'D-1 Off Site Habitat Baseline'!$D$1:$X$258,13,FALSE))))</f>
        <v/>
      </c>
      <c r="P255" s="232" t="str">
        <f>IFERROR(INDEX('G-1 All Habitats'!$AG$3:$AG$15,MATCH(Q255,'G-1 All Habitats'!$AF$3:$AF$15,0)),"")</f>
        <v/>
      </c>
      <c r="Q255" s="228" t="str">
        <f t="shared" si="45"/>
        <v/>
      </c>
      <c r="R255" s="229" t="str">
        <f t="shared" si="46"/>
        <v/>
      </c>
      <c r="S255" s="233" t="str">
        <f>IFERROR(INDEX('G-1 All Habitats'!$B$3:$B$129,MATCH(R255,'G-1 All Habitats'!$A$3:$A$129,0)),"")</f>
        <v/>
      </c>
      <c r="T255" s="507" t="str">
        <f t="shared" si="38"/>
        <v/>
      </c>
      <c r="U255" s="524" t="str">
        <f t="shared" si="39"/>
        <v/>
      </c>
      <c r="V255" s="523" t="str">
        <f t="shared" si="36"/>
        <v/>
      </c>
      <c r="W255" s="520" t="str">
        <f>IF(S255="","",VLOOKUP(S255,'G-1 All Habitats'!$B$2:$M$129,10,FALSE))</f>
        <v/>
      </c>
      <c r="X255" s="520" t="str">
        <f>IFERROR(VLOOKUP(W255,'G-1 All Habitats'!$V$3:$W$7,2,FALSE),"")</f>
        <v/>
      </c>
      <c r="Y255" s="203"/>
      <c r="Z255" s="524" t="str">
        <f>IFERROR(INDEX('G-8 Condition Look up'!$A$3:$H$130,MATCH(S255,'G-8 Condition Look up'!$A$3:$A$130,0),MATCH(Y255,'G-8 Condition Look up'!$A$3:$H$3,0)),"")</f>
        <v/>
      </c>
      <c r="AA255" s="145"/>
      <c r="AB255" s="540" t="str">
        <f>IF(AA255="","",IF(VLOOKUP(AA255,'G-3 Multipliers'!$L$3:$N$6,2,FALSE)=0,"Spatial Data Missing ⚠",VLOOKUP(AA255,'G-3 Multipliers'!$L$3:$N$6,2,FALSE)))</f>
        <v/>
      </c>
      <c r="AC255" s="524" t="str">
        <f>IF(AA255="","",IF(VLOOKUP(AA255,'G-3 Multipliers'!$L$3:$N$6,3,FALSE)=0,"Spatial Data Missing ⚠",VLOOKUP(AA255,'G-3 Multipliers'!$L$3:$N$6,3,FALSE)))</f>
        <v/>
      </c>
      <c r="AD255" s="537" t="str">
        <f t="shared" si="37"/>
        <v/>
      </c>
      <c r="AE255" s="203"/>
      <c r="AF255" s="203"/>
      <c r="AG255" s="520" t="str">
        <f t="shared" si="40"/>
        <v/>
      </c>
      <c r="AH255" s="544" t="str">
        <f t="shared" si="41"/>
        <v/>
      </c>
      <c r="AI255" s="525" t="str">
        <f>IF(AH255="Check Data ⚠","Check Data ⚠",IFERROR(VLOOKUP(AH255,'G-4 Temporal multipliers'!$A$4:$C$36,3,FALSE),""))</f>
        <v/>
      </c>
      <c r="AJ255" s="537" t="str">
        <f>IF(S255="","",VLOOKUP(S255,'G-3 Multipliers'!$A$2:$E$129,4,FALSE))</f>
        <v/>
      </c>
      <c r="AK255" s="520" t="str">
        <f t="shared" si="42"/>
        <v/>
      </c>
      <c r="AL255" s="520" t="str">
        <f t="shared" si="43"/>
        <v/>
      </c>
      <c r="AM255" s="524" t="str">
        <f>IFERROR(IF(F255="","",IF(AH255="Check Data ⚠","Check Data ⚠",VLOOKUP(AL255, 'G-3 Multipliers'!$P$2:$Q$6,2,FALSE))),"")</f>
        <v/>
      </c>
      <c r="AN255" s="197"/>
      <c r="AO255" s="540" t="str">
        <f>IF(AN255="","",IF(VLOOKUP(AN255,'G-3 Multipliers'!$S$3:$T$9,2,FALSE)=0,"Spatial Data Missing ⚠",VLOOKUP(AN255,'G-3 Multipliers'!$S$3:$T$9,2,FALSE)))</f>
        <v/>
      </c>
      <c r="AP255" s="513" t="str">
        <f t="shared" si="44"/>
        <v/>
      </c>
      <c r="AQ255" s="231"/>
      <c r="AR255" s="150"/>
    </row>
    <row r="256" spans="1:44" x14ac:dyDescent="0.3">
      <c r="A256" s="31" t="str">
        <f>IF(E256="","",IF(ISNA(VLOOKUP($E256,'D-1 Off Site Habitat Baseline'!$D$1:$O$258,2,FALSE)),"",(VLOOKUP($E256,'D-1 Off Site Habitat Baseline'!$D$1:$O$258,2,FALSE))))</f>
        <v/>
      </c>
      <c r="B256" s="31" t="str">
        <f>IF(E256="","",IF(ISNA(VLOOKUP($E256,'D-1 Off Site Habitat Baseline'!$D$1:$O$258,3,FALSE)),"",(VLOOKUP($E256,'D-1 Off Site Habitat Baseline'!$D$1:$O$258,3,FALSE))))</f>
        <v/>
      </c>
      <c r="C256" s="31" t="str">
        <f>IFERROR(INDEX('G-8 Condition Look up'!$I$4:$I$130,MATCH(S256,'G-8 Condition Look up'!$A$4:$A$130,0)),"")</f>
        <v/>
      </c>
      <c r="E256" s="547" t="str">
        <f>'D-1 Off Site Habitat Baseline'!AL255</f>
        <v/>
      </c>
      <c r="F256" s="520" t="str">
        <f>IF(E256="","",IF(ISNA(VLOOKUP($E256,'D-1 Off Site Habitat Baseline'!$D$1:$O$258,4,FALSE)),"",(VLOOKUP($E256,'D-1 Off Site Habitat Baseline'!$D$1:$O$258,4,FALSE))))</f>
        <v/>
      </c>
      <c r="G256" s="520" t="str">
        <f>IF(E256="","",IF(ISNA(VLOOKUP($E256,'D-1 Off Site Habitat Baseline'!$D$1:$O$258,5,FALSE)),"",(VLOOKUP($E256,'D-1 Off Site Habitat Baseline'!$D$1:$O$258,5,FALSE))))</f>
        <v/>
      </c>
      <c r="H256" s="520" t="str">
        <f>IF(E256="","",IF(ISNA(VLOOKUP($E256,'D-1 Off Site Habitat Baseline'!$D$1:$O$258,6,FALSE)),"",(VLOOKUP($E256,'D-1 Off Site Habitat Baseline'!$D$1:$O$258,6,FALSE))))</f>
        <v/>
      </c>
      <c r="I256" s="520" t="str">
        <f>IF(E256="","",IF(ISNA(VLOOKUP($E256,'D-1 Off Site Habitat Baseline'!$D$1:$O$258,7,FALSE)),"",(VLOOKUP($E256,'D-1 Off Site Habitat Baseline'!$D$1:$O$258,7,FALSE))))</f>
        <v/>
      </c>
      <c r="J256" s="520" t="str">
        <f>IF(E256="","",IF(ISNA(VLOOKUP($E256,'D-1 Off Site Habitat Baseline'!$D$1:$O$258,8,FALSE)),"",(VLOOKUP($E256,'D-1 Off Site Habitat Baseline'!$D$1:$O$258,8,FALSE))))</f>
        <v/>
      </c>
      <c r="K256" s="520" t="str">
        <f>IF(E256="","",IF(ISNA(VLOOKUP($E256,'D-1 Off Site Habitat Baseline'!$D$1:$O$258,9,FALSE)),"",(VLOOKUP($E256,'D-1 Off Site Habitat Baseline'!$D$1:$O$258,9,FALSE))))</f>
        <v/>
      </c>
      <c r="L256" s="520" t="str">
        <f>IF(E256="","",IF(ISNA(VLOOKUP($E256,'D-1 Off Site Habitat Baseline'!$D$1:$O$258,11,FALSE)),"",(VLOOKUP($E256,'D-1 Off Site Habitat Baseline'!$D$1:$O$258,11,FALSE))))</f>
        <v/>
      </c>
      <c r="M256" s="520" t="str">
        <f>IF(E256="","",IF(ISNA(VLOOKUP($E256,'D-1 Off Site Habitat Baseline'!$D$1:$O$258,12,FALSE)),"",(VLOOKUP($E256,'D-1 Off Site Habitat Baseline'!$D$1:$O$258,12,FALSE))))</f>
        <v/>
      </c>
      <c r="N256" s="520" t="str">
        <f>IF(E256="","",IF(ISNA(VLOOKUP($E256,'D-1 Off Site Habitat Baseline'!$D$1:$X$258,14,FALSE)),"",(VLOOKUP($E256,'D-1 Off Site Habitat Baseline'!$D$1:$X$258,14,FALSE))))</f>
        <v/>
      </c>
      <c r="O256" s="524" t="str">
        <f>IF(E256="","",IF(ISNA(VLOOKUP($E256,'D-1 Off Site Habitat Baseline'!$D$1:$X$258,13,FALSE)),"",(VLOOKUP($E256,'D-1 Off Site Habitat Baseline'!$D$1:$X$258,13,FALSE))))</f>
        <v/>
      </c>
      <c r="P256" s="232" t="str">
        <f>IFERROR(INDEX('G-1 All Habitats'!$AG$3:$AG$15,MATCH(Q256,'G-1 All Habitats'!$AF$3:$AF$15,0)),"")</f>
        <v/>
      </c>
      <c r="Q256" s="228" t="str">
        <f t="shared" si="45"/>
        <v/>
      </c>
      <c r="R256" s="229" t="str">
        <f t="shared" si="46"/>
        <v/>
      </c>
      <c r="S256" s="233" t="str">
        <f>IFERROR(INDEX('G-1 All Habitats'!$B$3:$B$129,MATCH(R256,'G-1 All Habitats'!$A$3:$A$129,0)),"")</f>
        <v/>
      </c>
      <c r="T256" s="507" t="str">
        <f t="shared" si="38"/>
        <v/>
      </c>
      <c r="U256" s="524" t="str">
        <f t="shared" si="39"/>
        <v/>
      </c>
      <c r="V256" s="523" t="str">
        <f t="shared" si="36"/>
        <v/>
      </c>
      <c r="W256" s="520" t="str">
        <f>IF(S256="","",VLOOKUP(S256,'G-1 All Habitats'!$B$2:$M$129,10,FALSE))</f>
        <v/>
      </c>
      <c r="X256" s="520" t="str">
        <f>IFERROR(VLOOKUP(W256,'G-1 All Habitats'!$V$3:$W$7,2,FALSE),"")</f>
        <v/>
      </c>
      <c r="Y256" s="203"/>
      <c r="Z256" s="524" t="str">
        <f>IFERROR(INDEX('G-8 Condition Look up'!$A$3:$H$130,MATCH(S256,'G-8 Condition Look up'!$A$3:$A$130,0),MATCH(Y256,'G-8 Condition Look up'!$A$3:$H$3,0)),"")</f>
        <v/>
      </c>
      <c r="AA256" s="145"/>
      <c r="AB256" s="540" t="str">
        <f>IF(AA256="","",IF(VLOOKUP(AA256,'G-3 Multipliers'!$L$3:$N$6,2,FALSE)=0,"Spatial Data Missing ⚠",VLOOKUP(AA256,'G-3 Multipliers'!$L$3:$N$6,2,FALSE)))</f>
        <v/>
      </c>
      <c r="AC256" s="524" t="str">
        <f>IF(AA256="","",IF(VLOOKUP(AA256,'G-3 Multipliers'!$L$3:$N$6,3,FALSE)=0,"Spatial Data Missing ⚠",VLOOKUP(AA256,'G-3 Multipliers'!$L$3:$N$6,3,FALSE)))</f>
        <v/>
      </c>
      <c r="AD256" s="537" t="str">
        <f t="shared" si="37"/>
        <v/>
      </c>
      <c r="AE256" s="203"/>
      <c r="AF256" s="203"/>
      <c r="AG256" s="520" t="str">
        <f t="shared" si="40"/>
        <v/>
      </c>
      <c r="AH256" s="544" t="str">
        <f t="shared" si="41"/>
        <v/>
      </c>
      <c r="AI256" s="525" t="str">
        <f>IF(AH256="Check Data ⚠","Check Data ⚠",IFERROR(VLOOKUP(AH256,'G-4 Temporal multipliers'!$A$4:$C$36,3,FALSE),""))</f>
        <v/>
      </c>
      <c r="AJ256" s="537" t="str">
        <f>IF(S256="","",VLOOKUP(S256,'G-3 Multipliers'!$A$2:$E$129,4,FALSE))</f>
        <v/>
      </c>
      <c r="AK256" s="520" t="str">
        <f t="shared" si="42"/>
        <v/>
      </c>
      <c r="AL256" s="520" t="str">
        <f t="shared" si="43"/>
        <v/>
      </c>
      <c r="AM256" s="524" t="str">
        <f>IFERROR(IF(F256="","",IF(AH256="Check Data ⚠","Check Data ⚠",VLOOKUP(AL256, 'G-3 Multipliers'!$P$2:$Q$6,2,FALSE))),"")</f>
        <v/>
      </c>
      <c r="AN256" s="197"/>
      <c r="AO256" s="540" t="str">
        <f>IF(AN256="","",IF(VLOOKUP(AN256,'G-3 Multipliers'!$S$3:$T$9,2,FALSE)=0,"Spatial Data Missing ⚠",VLOOKUP(AN256,'G-3 Multipliers'!$S$3:$T$9,2,FALSE)))</f>
        <v/>
      </c>
      <c r="AP256" s="513" t="str">
        <f t="shared" si="44"/>
        <v/>
      </c>
      <c r="AQ256" s="231"/>
      <c r="AR256" s="150"/>
    </row>
    <row r="257" spans="1:44" x14ac:dyDescent="0.3">
      <c r="A257" s="31" t="str">
        <f>IF(E257="","",IF(ISNA(VLOOKUP($E257,'D-1 Off Site Habitat Baseline'!$D$1:$O$258,2,FALSE)),"",(VLOOKUP($E257,'D-1 Off Site Habitat Baseline'!$D$1:$O$258,2,FALSE))))</f>
        <v/>
      </c>
      <c r="B257" s="31" t="str">
        <f>IF(E257="","",IF(ISNA(VLOOKUP($E257,'D-1 Off Site Habitat Baseline'!$D$1:$O$258,3,FALSE)),"",(VLOOKUP($E257,'D-1 Off Site Habitat Baseline'!$D$1:$O$258,3,FALSE))))</f>
        <v/>
      </c>
      <c r="C257" s="31" t="str">
        <f>IFERROR(INDEX('G-8 Condition Look up'!$I$4:$I$130,MATCH(S257,'G-8 Condition Look up'!$A$4:$A$130,0)),"")</f>
        <v/>
      </c>
      <c r="E257" s="547" t="str">
        <f>'D-1 Off Site Habitat Baseline'!AL256</f>
        <v/>
      </c>
      <c r="F257" s="520" t="str">
        <f>IF(E257="","",IF(ISNA(VLOOKUP($E257,'D-1 Off Site Habitat Baseline'!$D$1:$O$258,4,FALSE)),"",(VLOOKUP($E257,'D-1 Off Site Habitat Baseline'!$D$1:$O$258,4,FALSE))))</f>
        <v/>
      </c>
      <c r="G257" s="520" t="str">
        <f>IF(E257="","",IF(ISNA(VLOOKUP($E257,'D-1 Off Site Habitat Baseline'!$D$1:$O$258,5,FALSE)),"",(VLOOKUP($E257,'D-1 Off Site Habitat Baseline'!$D$1:$O$258,5,FALSE))))</f>
        <v/>
      </c>
      <c r="H257" s="520" t="str">
        <f>IF(E257="","",IF(ISNA(VLOOKUP($E257,'D-1 Off Site Habitat Baseline'!$D$1:$O$258,6,FALSE)),"",(VLOOKUP($E257,'D-1 Off Site Habitat Baseline'!$D$1:$O$258,6,FALSE))))</f>
        <v/>
      </c>
      <c r="I257" s="520" t="str">
        <f>IF(E257="","",IF(ISNA(VLOOKUP($E257,'D-1 Off Site Habitat Baseline'!$D$1:$O$258,7,FALSE)),"",(VLOOKUP($E257,'D-1 Off Site Habitat Baseline'!$D$1:$O$258,7,FALSE))))</f>
        <v/>
      </c>
      <c r="J257" s="520" t="str">
        <f>IF(E257="","",IF(ISNA(VLOOKUP($E257,'D-1 Off Site Habitat Baseline'!$D$1:$O$258,8,FALSE)),"",(VLOOKUP($E257,'D-1 Off Site Habitat Baseline'!$D$1:$O$258,8,FALSE))))</f>
        <v/>
      </c>
      <c r="K257" s="520" t="str">
        <f>IF(E257="","",IF(ISNA(VLOOKUP($E257,'D-1 Off Site Habitat Baseline'!$D$1:$O$258,9,FALSE)),"",(VLOOKUP($E257,'D-1 Off Site Habitat Baseline'!$D$1:$O$258,9,FALSE))))</f>
        <v/>
      </c>
      <c r="L257" s="520" t="str">
        <f>IF(E257="","",IF(ISNA(VLOOKUP($E257,'D-1 Off Site Habitat Baseline'!$D$1:$O$258,11,FALSE)),"",(VLOOKUP($E257,'D-1 Off Site Habitat Baseline'!$D$1:$O$258,11,FALSE))))</f>
        <v/>
      </c>
      <c r="M257" s="520" t="str">
        <f>IF(E257="","",IF(ISNA(VLOOKUP($E257,'D-1 Off Site Habitat Baseline'!$D$1:$O$258,12,FALSE)),"",(VLOOKUP($E257,'D-1 Off Site Habitat Baseline'!$D$1:$O$258,12,FALSE))))</f>
        <v/>
      </c>
      <c r="N257" s="520" t="str">
        <f>IF(E257="","",IF(ISNA(VLOOKUP($E257,'D-1 Off Site Habitat Baseline'!$D$1:$X$258,14,FALSE)),"",(VLOOKUP($E257,'D-1 Off Site Habitat Baseline'!$D$1:$X$258,14,FALSE))))</f>
        <v/>
      </c>
      <c r="O257" s="524" t="str">
        <f>IF(E257="","",IF(ISNA(VLOOKUP($E257,'D-1 Off Site Habitat Baseline'!$D$1:$X$258,13,FALSE)),"",(VLOOKUP($E257,'D-1 Off Site Habitat Baseline'!$D$1:$X$258,13,FALSE))))</f>
        <v/>
      </c>
      <c r="P257" s="232" t="str">
        <f>IFERROR(INDEX('G-1 All Habitats'!$AG$3:$AG$15,MATCH(Q257,'G-1 All Habitats'!$AF$3:$AF$15,0)),"")</f>
        <v/>
      </c>
      <c r="Q257" s="228" t="str">
        <f t="shared" si="45"/>
        <v/>
      </c>
      <c r="R257" s="229" t="str">
        <f t="shared" si="46"/>
        <v/>
      </c>
      <c r="S257" s="233" t="str">
        <f>IFERROR(INDEX('G-1 All Habitats'!$B$3:$B$129,MATCH(R257,'G-1 All Habitats'!$A$3:$A$129,0)),"")</f>
        <v/>
      </c>
      <c r="T257" s="507" t="str">
        <f t="shared" si="38"/>
        <v/>
      </c>
      <c r="U257" s="524" t="str">
        <f t="shared" si="39"/>
        <v/>
      </c>
      <c r="V257" s="523" t="str">
        <f t="shared" si="36"/>
        <v/>
      </c>
      <c r="W257" s="520" t="str">
        <f>IF(S257="","",VLOOKUP(S257,'G-1 All Habitats'!$B$2:$M$129,10,FALSE))</f>
        <v/>
      </c>
      <c r="X257" s="520" t="str">
        <f>IFERROR(VLOOKUP(W257,'G-1 All Habitats'!$V$3:$W$7,2,FALSE),"")</f>
        <v/>
      </c>
      <c r="Y257" s="203"/>
      <c r="Z257" s="524" t="str">
        <f>IFERROR(INDEX('G-8 Condition Look up'!$A$3:$H$130,MATCH(S257,'G-8 Condition Look up'!$A$3:$A$130,0),MATCH(Y257,'G-8 Condition Look up'!$A$3:$H$3,0)),"")</f>
        <v/>
      </c>
      <c r="AA257" s="145"/>
      <c r="AB257" s="540" t="str">
        <f>IF(AA257="","",IF(VLOOKUP(AA257,'G-3 Multipliers'!$L$3:$N$6,2,FALSE)=0,"Spatial Data Missing ⚠",VLOOKUP(AA257,'G-3 Multipliers'!$L$3:$N$6,2,FALSE)))</f>
        <v/>
      </c>
      <c r="AC257" s="524" t="str">
        <f>IF(AA257="","",IF(VLOOKUP(AA257,'G-3 Multipliers'!$L$3:$N$6,3,FALSE)=0,"Spatial Data Missing ⚠",VLOOKUP(AA257,'G-3 Multipliers'!$L$3:$N$6,3,FALSE)))</f>
        <v/>
      </c>
      <c r="AD257" s="537" t="str">
        <f t="shared" si="37"/>
        <v/>
      </c>
      <c r="AE257" s="203"/>
      <c r="AF257" s="203"/>
      <c r="AG257" s="520" t="str">
        <f t="shared" si="40"/>
        <v/>
      </c>
      <c r="AH257" s="544" t="str">
        <f t="shared" si="41"/>
        <v/>
      </c>
      <c r="AI257" s="525" t="str">
        <f>IF(AH257="Check Data ⚠","Check Data ⚠",IFERROR(VLOOKUP(AH257,'G-4 Temporal multipliers'!$A$4:$C$36,3,FALSE),""))</f>
        <v/>
      </c>
      <c r="AJ257" s="537" t="str">
        <f>IF(S257="","",VLOOKUP(S257,'G-3 Multipliers'!$A$2:$E$129,4,FALSE))</f>
        <v/>
      </c>
      <c r="AK257" s="520" t="str">
        <f t="shared" si="42"/>
        <v/>
      </c>
      <c r="AL257" s="520" t="str">
        <f t="shared" si="43"/>
        <v/>
      </c>
      <c r="AM257" s="524" t="str">
        <f>IFERROR(IF(F257="","",IF(AH257="Check Data ⚠","Check Data ⚠",VLOOKUP(AL257, 'G-3 Multipliers'!$P$2:$Q$6,2,FALSE))),"")</f>
        <v/>
      </c>
      <c r="AN257" s="197"/>
      <c r="AO257" s="540" t="str">
        <f>IF(AN257="","",IF(VLOOKUP(AN257,'G-3 Multipliers'!$S$3:$T$9,2,FALSE)=0,"Spatial Data Missing ⚠",VLOOKUP(AN257,'G-3 Multipliers'!$S$3:$T$9,2,FALSE)))</f>
        <v/>
      </c>
      <c r="AP257" s="513" t="str">
        <f t="shared" si="44"/>
        <v/>
      </c>
      <c r="AQ257" s="231"/>
      <c r="AR257" s="150"/>
    </row>
    <row r="258" spans="1:44" ht="14.5" thickBot="1" x14ac:dyDescent="0.35">
      <c r="A258" s="31" t="str">
        <f>IF(E258="","",IF(ISNA(VLOOKUP($E258,'D-1 Off Site Habitat Baseline'!$D$1:$O$258,2,FALSE)),"",(VLOOKUP($E258,'D-1 Off Site Habitat Baseline'!$D$1:$O$258,2,FALSE))))</f>
        <v/>
      </c>
      <c r="B258" s="31" t="str">
        <f>IF(E258="","",IF(ISNA(VLOOKUP($E258,'D-1 Off Site Habitat Baseline'!$D$1:$O$258,3,FALSE)),"",(VLOOKUP($E258,'D-1 Off Site Habitat Baseline'!$D$1:$O$258,3,FALSE))))</f>
        <v/>
      </c>
      <c r="C258" s="31" t="str">
        <f>IFERROR(INDEX('G-8 Condition Look up'!$I$4:$I$130,MATCH(S258,'G-8 Condition Look up'!$A$4:$A$130,0)),"")</f>
        <v/>
      </c>
      <c r="E258" s="548" t="str">
        <f>'D-1 Off Site Habitat Baseline'!AL257</f>
        <v/>
      </c>
      <c r="F258" s="534" t="str">
        <f>IF(E258="","",IF(ISNA(VLOOKUP($E258,'D-1 Off Site Habitat Baseline'!$D$1:$O$258,4,FALSE)),"",(VLOOKUP($E258,'D-1 Off Site Habitat Baseline'!$D$1:$O$258,4,FALSE))))</f>
        <v/>
      </c>
      <c r="G258" s="534" t="str">
        <f>IF(E258="","",IF(ISNA(VLOOKUP($E258,'D-1 Off Site Habitat Baseline'!$D$1:$O$258,5,FALSE)),"",(VLOOKUP($E258,'D-1 Off Site Habitat Baseline'!$D$1:$O$258,5,FALSE))))</f>
        <v/>
      </c>
      <c r="H258" s="534" t="str">
        <f>IF(E258="","",IF(ISNA(VLOOKUP($E258,'D-1 Off Site Habitat Baseline'!$D$1:$O$258,6,FALSE)),"",(VLOOKUP($E258,'D-1 Off Site Habitat Baseline'!$D$1:$O$258,6,FALSE))))</f>
        <v/>
      </c>
      <c r="I258" s="534" t="str">
        <f>IF(E258="","",IF(ISNA(VLOOKUP($E258,'D-1 Off Site Habitat Baseline'!$D$1:$O$258,7,FALSE)),"",(VLOOKUP($E258,'D-1 Off Site Habitat Baseline'!$D$1:$O$258,7,FALSE))))</f>
        <v/>
      </c>
      <c r="J258" s="534" t="str">
        <f>IF(E258="","",IF(ISNA(VLOOKUP($E258,'D-1 Off Site Habitat Baseline'!$D$1:$O$258,8,FALSE)),"",(VLOOKUP($E258,'D-1 Off Site Habitat Baseline'!$D$1:$O$258,8,FALSE))))</f>
        <v/>
      </c>
      <c r="K258" s="534" t="str">
        <f>IF(E258="","",IF(ISNA(VLOOKUP($E258,'D-1 Off Site Habitat Baseline'!$D$1:$O$258,9,FALSE)),"",(VLOOKUP($E258,'D-1 Off Site Habitat Baseline'!$D$1:$O$258,9,FALSE))))</f>
        <v/>
      </c>
      <c r="L258" s="534" t="str">
        <f>IF(E258="","",IF(ISNA(VLOOKUP($E258,'D-1 Off Site Habitat Baseline'!$D$1:$O$258,11,FALSE)),"",(VLOOKUP($E258,'D-1 Off Site Habitat Baseline'!$D$1:$O$258,11,FALSE))))</f>
        <v/>
      </c>
      <c r="M258" s="534" t="str">
        <f>IF(E258="","",IF(ISNA(VLOOKUP($E258,'D-1 Off Site Habitat Baseline'!$D$1:$O$258,12,FALSE)),"",(VLOOKUP($E258,'D-1 Off Site Habitat Baseline'!$D$1:$O$258,12,FALSE))))</f>
        <v/>
      </c>
      <c r="N258" s="534" t="str">
        <f>IF(E258="","",IF(ISNA(VLOOKUP($E258,'D-1 Off Site Habitat Baseline'!$D$1:$X$258,14,FALSE)),"",(VLOOKUP($E258,'D-1 Off Site Habitat Baseline'!$D$1:$X$258,14,FALSE))))</f>
        <v/>
      </c>
      <c r="O258" s="536" t="str">
        <f>IF(E258="","",IF(ISNA(VLOOKUP($E258,'D-1 Off Site Habitat Baseline'!$D$1:$X$258,13,FALSE)),"",(VLOOKUP($E258,'D-1 Off Site Habitat Baseline'!$D$1:$X$258,13,FALSE))))</f>
        <v/>
      </c>
      <c r="P258" s="437" t="str">
        <f>IFERROR(INDEX('G-1 All Habitats'!$AG$3:$AG$15,MATCH(Q258,'G-1 All Habitats'!$AF$3:$AF$15,0)),"")</f>
        <v/>
      </c>
      <c r="Q258" s="438" t="str">
        <f t="shared" si="45"/>
        <v/>
      </c>
      <c r="R258" s="439" t="str">
        <f t="shared" si="46"/>
        <v/>
      </c>
      <c r="S258" s="440" t="str">
        <f>IFERROR(INDEX('G-1 All Habitats'!$B$3:$B$129,MATCH(R258,'G-1 All Habitats'!$A$3:$A$129,0)),"")</f>
        <v/>
      </c>
      <c r="T258" s="507" t="str">
        <f t="shared" si="38"/>
        <v/>
      </c>
      <c r="U258" s="524" t="str">
        <f t="shared" si="39"/>
        <v/>
      </c>
      <c r="V258" s="549" t="str">
        <f t="shared" si="36"/>
        <v/>
      </c>
      <c r="W258" s="534" t="str">
        <f>IF(S258="","",VLOOKUP(S258,'G-1 All Habitats'!$B$2:$M$129,10,FALSE))</f>
        <v/>
      </c>
      <c r="X258" s="534" t="str">
        <f>IFERROR(VLOOKUP(W258,'G-1 All Habitats'!$V$3:$W$7,2,FALSE),"")</f>
        <v/>
      </c>
      <c r="Y258" s="211"/>
      <c r="Z258" s="536" t="str">
        <f>IFERROR(INDEX('G-8 Condition Look up'!$A$3:$H$130,MATCH(S258,'G-8 Condition Look up'!$A$3:$A$130,0),MATCH(Y258,'G-8 Condition Look up'!$A$3:$H$3,0)),"")</f>
        <v/>
      </c>
      <c r="AA258" s="210"/>
      <c r="AB258" s="540" t="str">
        <f>IF(AA258="","",IF(VLOOKUP(AA258,'G-3 Multipliers'!$L$3:$N$6,2,FALSE)=0,"Spatial Data Missing ⚠",VLOOKUP(AA258,'G-3 Multipliers'!$L$3:$N$6,2,FALSE)))</f>
        <v/>
      </c>
      <c r="AC258" s="524" t="str">
        <f>IF(AA258="","",IF(VLOOKUP(AA258,'G-3 Multipliers'!$L$3:$N$6,3,FALSE)=0,"Spatial Data Missing ⚠",VLOOKUP(AA258,'G-3 Multipliers'!$L$3:$N$6,3,FALSE)))</f>
        <v/>
      </c>
      <c r="AD258" s="537" t="str">
        <f t="shared" si="37"/>
        <v/>
      </c>
      <c r="AE258" s="211"/>
      <c r="AF258" s="211"/>
      <c r="AG258" s="520" t="str">
        <f t="shared" si="40"/>
        <v/>
      </c>
      <c r="AH258" s="544" t="str">
        <f t="shared" si="41"/>
        <v/>
      </c>
      <c r="AI258" s="525" t="str">
        <f>IF(AH258="Check Data ⚠","Check Data ⚠",IFERROR(VLOOKUP(AH258,'G-4 Temporal multipliers'!$A$4:$C$36,3,FALSE),""))</f>
        <v/>
      </c>
      <c r="AJ258" s="538" t="str">
        <f>IF(S258="","",VLOOKUP(S258,'G-3 Multipliers'!$A$2:$E$129,4,FALSE))</f>
        <v/>
      </c>
      <c r="AK258" s="520" t="str">
        <f t="shared" si="42"/>
        <v/>
      </c>
      <c r="AL258" s="534" t="str">
        <f t="shared" si="43"/>
        <v/>
      </c>
      <c r="AM258" s="524" t="str">
        <f>IFERROR(IF(F258="","",IF(AH258="Check Data ⚠","Check Data ⚠",VLOOKUP(AL258, 'G-3 Multipliers'!$P$2:$Q$6,2,FALSE))),"")</f>
        <v/>
      </c>
      <c r="AN258" s="397"/>
      <c r="AO258" s="540" t="str">
        <f>IF(AN258="","",IF(VLOOKUP(AN258,'G-3 Multipliers'!$S$3:$T$9,2,FALSE)=0,"Spatial Data Missing ⚠",VLOOKUP(AN258,'G-3 Multipliers'!$S$3:$T$9,2,FALSE)))</f>
        <v/>
      </c>
      <c r="AP258" s="551" t="str">
        <f t="shared" si="44"/>
        <v/>
      </c>
      <c r="AQ258" s="441"/>
      <c r="AR258" s="442"/>
    </row>
    <row r="259" spans="1:44" ht="21.65" customHeight="1" thickBot="1" x14ac:dyDescent="0.35">
      <c r="E259" s="46"/>
      <c r="F259" s="46"/>
      <c r="G259" s="46"/>
      <c r="H259" s="46"/>
      <c r="I259" s="46"/>
      <c r="J259" s="46"/>
      <c r="K259" s="46"/>
      <c r="L259" s="46"/>
      <c r="M259" s="46"/>
      <c r="N259" s="46"/>
      <c r="O259" s="46"/>
      <c r="P259" s="46"/>
      <c r="Q259" s="46"/>
      <c r="R259" s="46"/>
      <c r="S259" s="46"/>
      <c r="T259" s="46"/>
      <c r="U259" s="224"/>
      <c r="V259" s="550">
        <f>SUM(V12:V258)</f>
        <v>0</v>
      </c>
      <c r="W259" s="46"/>
      <c r="X259" s="46"/>
      <c r="Y259" s="46"/>
      <c r="Z259" s="46"/>
      <c r="AA259" s="46"/>
      <c r="AB259" s="46"/>
      <c r="AC259" s="46"/>
      <c r="AD259" s="46"/>
      <c r="AE259" s="46"/>
      <c r="AF259" s="46"/>
      <c r="AG259" s="46"/>
      <c r="AH259" s="46"/>
      <c r="AI259" s="46"/>
      <c r="AJ259" s="46"/>
      <c r="AK259" s="46"/>
      <c r="AL259" s="46"/>
      <c r="AM259" s="46"/>
      <c r="AN259" s="436"/>
      <c r="AO259" s="436"/>
      <c r="AP259" s="552">
        <f>SUM(AP12:AP258)</f>
        <v>0</v>
      </c>
      <c r="AQ259" s="46"/>
      <c r="AR259" s="46"/>
    </row>
    <row r="260" spans="1:44" x14ac:dyDescent="0.3">
      <c r="V260" s="31" t="str">
        <f>IF(V259&lt;&gt;'D-1 Off Site Habitat Baseline'!T259,"Error - Area of habitat enhancement must match the area from sheet D1 ▲","")</f>
        <v/>
      </c>
    </row>
    <row r="261" spans="1:44" x14ac:dyDescent="0.3"/>
    <row r="262" spans="1:44" x14ac:dyDescent="0.3"/>
    <row r="263" spans="1:44" x14ac:dyDescent="0.3"/>
    <row r="264" spans="1:44" x14ac:dyDescent="0.3"/>
    <row r="265" spans="1:44" x14ac:dyDescent="0.3"/>
    <row r="266" spans="1:44" x14ac:dyDescent="0.3"/>
    <row r="267" spans="1:44" x14ac:dyDescent="0.3"/>
    <row r="268" spans="1:44" x14ac:dyDescent="0.3"/>
    <row r="269" spans="1:44" x14ac:dyDescent="0.3"/>
  </sheetData>
  <sheetProtection algorithmName="SHA-512" hashValue="OwHBmelk8JST2CPgodTTPj+cP4FWQZWpMiEo02KHhnjmDaWUhRugYkhJFInfcdMT6rDaEP9oFD9YIpMLyROxVQ==" saltValue="N6LIeGgEYgiHqZo63OLdhg==" spinCount="100000" sheet="1" objects="1" scenarios="1"/>
  <customSheetViews>
    <customSheetView guid="{8BDA793C-C9C5-4FC6-A0A5-F1109F6D4F22}" topLeftCell="D1">
      <pane ySplit="11" topLeftCell="A12" activePane="bottomLeft" state="frozen"/>
      <selection pane="bottomLeft"/>
    </customSheetView>
  </customSheetViews>
  <mergeCells count="19">
    <mergeCell ref="E2:G2"/>
    <mergeCell ref="E3:G4"/>
    <mergeCell ref="AN10:AO10"/>
    <mergeCell ref="F10:O10"/>
    <mergeCell ref="Q9:AO9"/>
    <mergeCell ref="Q10:R10"/>
    <mergeCell ref="AD5:AI6"/>
    <mergeCell ref="AD2:AI3"/>
    <mergeCell ref="AQ10:AR10"/>
    <mergeCell ref="T10:U10"/>
    <mergeCell ref="AA10:AC10"/>
    <mergeCell ref="Z10:Z11"/>
    <mergeCell ref="Y10:Y11"/>
    <mergeCell ref="X10:X11"/>
    <mergeCell ref="W10:W11"/>
    <mergeCell ref="V10:V11"/>
    <mergeCell ref="AD10:AI10"/>
    <mergeCell ref="AJ10:AM10"/>
    <mergeCell ref="AP10:AP11"/>
  </mergeCells>
  <conditionalFormatting sqref="Z12">
    <cfRule type="containsText" dxfId="154" priority="40" operator="containsText" text="Not Possible">
      <formula>NOT(ISERROR(SEARCH("Not Possible",Z12)))</formula>
    </cfRule>
  </conditionalFormatting>
  <conditionalFormatting sqref="AN12:AN24">
    <cfRule type="containsText" dxfId="153" priority="37" operator="containsText" text="Existing Value Not Required">
      <formula>NOT(ISERROR(SEARCH("Existing Value Not Required",AN12)))</formula>
    </cfRule>
    <cfRule type="containsText" dxfId="152" priority="38" operator="containsText" text="Existing Value Required">
      <formula>NOT(ISERROR(SEARCH("Existing Value Required",AN12)))</formula>
    </cfRule>
  </conditionalFormatting>
  <conditionalFormatting sqref="Z13">
    <cfRule type="containsText" dxfId="151" priority="19" operator="containsText" text="Not Possible">
      <formula>NOT(ISERROR(SEARCH("Not Possible",Z13)))</formula>
    </cfRule>
  </conditionalFormatting>
  <conditionalFormatting sqref="AN13">
    <cfRule type="containsText" dxfId="150" priority="17" operator="containsText" text="Existing Value Not Required">
      <formula>NOT(ISERROR(SEARCH("Existing Value Not Required",AN13)))</formula>
    </cfRule>
    <cfRule type="containsText" dxfId="149" priority="18" operator="containsText" text="Existing Value Required">
      <formula>NOT(ISERROR(SEARCH("Existing Value Required",AN13)))</formula>
    </cfRule>
  </conditionalFormatting>
  <conditionalFormatting sqref="AN14:AN258">
    <cfRule type="containsText" dxfId="148" priority="14" operator="containsText" text="Existing Value Not Required">
      <formula>NOT(ISERROR(SEARCH("Existing Value Not Required",AN14)))</formula>
    </cfRule>
    <cfRule type="containsText" dxfId="147" priority="15" operator="containsText" text="Existing Value Required">
      <formula>NOT(ISERROR(SEARCH("Existing Value Required",AN14)))</formula>
    </cfRule>
  </conditionalFormatting>
  <conditionalFormatting sqref="Z14:Z258">
    <cfRule type="containsText" dxfId="146" priority="16" operator="containsText" text="Not Possible">
      <formula>NOT(ISERROR(SEARCH("Not Possible",Z14)))</formula>
    </cfRule>
  </conditionalFormatting>
  <conditionalFormatting sqref="AP12:AP258">
    <cfRule type="containsText" dxfId="145" priority="12" operator="containsText" text="Existing Value Not Required">
      <formula>NOT(ISERROR(SEARCH("Existing Value Not Required",AP12)))</formula>
    </cfRule>
    <cfRule type="containsText" dxfId="144" priority="13" operator="containsText" text="Existing Value Required">
      <formula>NOT(ISERROR(SEARCH("Existing Value Required",AP12)))</formula>
    </cfRule>
  </conditionalFormatting>
  <conditionalFormatting sqref="O12:O258">
    <cfRule type="beginsWith" dxfId="143" priority="8" operator="beginsWith" text="Bespoke">
      <formula>LEFT(O12,LEN("Bespoke"))="Bespoke"</formula>
    </cfRule>
    <cfRule type="beginsWith" dxfId="142" priority="9" operator="beginsWith" text="Same distinctiveness">
      <formula>LEFT(O12,LEN("Same distinctiveness"))="Same distinctiveness"</formula>
    </cfRule>
    <cfRule type="beginsWith" dxfId="141" priority="10" operator="beginsWith" text="Same broad">
      <formula>LEFT(O12,LEN("Same broad"))="Same broad"</formula>
    </cfRule>
    <cfRule type="beginsWith" dxfId="140" priority="11" operator="beginsWith" text="Same Habitat">
      <formula>LEFT(O12,LEN("Same Habitat"))="Same Habitat"</formula>
    </cfRule>
  </conditionalFormatting>
  <conditionalFormatting sqref="T12:AP258">
    <cfRule type="containsText" dxfId="139" priority="7" operator="containsText" text="Error">
      <formula>NOT(ISERROR(SEARCH("Error",T12)))</formula>
    </cfRule>
  </conditionalFormatting>
  <conditionalFormatting sqref="AB12:AC258">
    <cfRule type="containsText" dxfId="138" priority="6" operator="containsText" text="Spatial">
      <formula>NOT(ISERROR(SEARCH("Spatial",AB12)))</formula>
    </cfRule>
  </conditionalFormatting>
  <conditionalFormatting sqref="AD2">
    <cfRule type="containsText" dxfId="137" priority="5" operator="containsText" text="Note">
      <formula>NOT(ISERROR(SEARCH("Note",AD2)))</formula>
    </cfRule>
  </conditionalFormatting>
  <conditionalFormatting sqref="AD12:AP258">
    <cfRule type="containsText" dxfId="136" priority="4" operator="containsText" text="Check">
      <formula>NOT(ISERROR(SEARCH("Check",AD12)))</formula>
    </cfRule>
  </conditionalFormatting>
  <conditionalFormatting sqref="AO12:AO258">
    <cfRule type="containsText" dxfId="135" priority="3" operator="containsText" text="Spatial">
      <formula>NOT(ISERROR(SEARCH("Spatial",AO12)))</formula>
    </cfRule>
  </conditionalFormatting>
  <conditionalFormatting sqref="V260">
    <cfRule type="containsText" dxfId="134" priority="2" operator="containsText" text="Error">
      <formula>NOT(ISERROR(SEARCH("Error",V260)))</formula>
    </cfRule>
  </conditionalFormatting>
  <conditionalFormatting sqref="AD5">
    <cfRule type="containsText" dxfId="133" priority="1" operator="containsText" text="Change">
      <formula>NOT(ISERROR(SEARCH("Change",AD5)))</formula>
    </cfRule>
  </conditionalFormatting>
  <dataValidations count="3">
    <dataValidation type="list" allowBlank="1" showInputMessage="1" showErrorMessage="1" sqref="R12:R258" xr:uid="{00000000-0002-0000-0E00-000000000000}">
      <formula1>INDIRECT(P12)</formula1>
    </dataValidation>
    <dataValidation allowBlank="1" showErrorMessage="1" errorTitle="Invalid Habitat" error="Select from List" sqref="S12:S258" xr:uid="{00000000-0002-0000-0E00-000001000000}"/>
    <dataValidation type="list" allowBlank="1" showInputMessage="1" showErrorMessage="1" sqref="Y12:Y258" xr:uid="{00000000-0002-0000-0E00-000002000000}">
      <formula1>INDIRECT(C12)</formula1>
    </dataValidation>
  </dataValidations>
  <pageMargins left="0.7" right="0.7" top="0.75" bottom="0.75" header="0.3" footer="0.3"/>
  <pageSetup paperSize="9" orientation="portrait" horizontalDpi="90" verticalDpi="90"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E00-000003000000}">
          <x14:formula1>
            <xm:f>'G-3 Multipliers'!$L$4:$L$6</xm:f>
          </x14:formula1>
          <xm:sqref>AA12:AA258</xm:sqref>
        </x14:dataValidation>
        <x14:dataValidation type="list" allowBlank="1" showInputMessage="1" showErrorMessage="1" xr:uid="{00000000-0002-0000-0E00-000004000000}">
          <x14:formula1>
            <xm:f>'G-3 Multipliers'!$S$4:$S$9</xm:f>
          </x14:formula1>
          <xm:sqref>AN12:AN258</xm:sqref>
        </x14:dataValidation>
        <x14:dataValidation type="list" allowBlank="1" showInputMessage="1" showErrorMessage="1" xr:uid="{00000000-0002-0000-0E00-000006000000}">
          <x14:formula1>
            <xm:f>'G-4 Temporal multipliers'!$A$41:$A$72</xm:f>
          </x14:formula1>
          <xm:sqref>AE12:AF258</xm:sqref>
        </x14:dataValidation>
        <x14:dataValidation type="list" allowBlank="1" showInputMessage="1" showErrorMessage="1" xr:uid="{00000000-0002-0000-0E00-000005000000}">
          <x14:formula1>
            <xm:f>'G-1 All Habitats'!$AF$3:$AF$15</xm:f>
          </x14:formula1>
          <xm:sqref>Q12:Q258</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8">
    <tabColor rgb="FF663300"/>
  </sheetPr>
  <dimension ref="B1:AL264"/>
  <sheetViews>
    <sheetView workbookViewId="0"/>
  </sheetViews>
  <sheetFormatPr defaultColWidth="8.81640625" defaultRowHeight="0" customHeight="1" zeroHeight="1" x14ac:dyDescent="0.3"/>
  <cols>
    <col min="1" max="1" width="3" style="31" customWidth="1"/>
    <col min="2" max="2" width="11.81640625" style="31" customWidth="1"/>
    <col min="3" max="3" width="12.7265625" style="31" customWidth="1"/>
    <col min="4" max="4" width="62.54296875" style="31" customWidth="1"/>
    <col min="5" max="5" width="10.7265625" style="31" customWidth="1"/>
    <col min="6" max="6" width="19.1796875" style="31" customWidth="1"/>
    <col min="7" max="7" width="8.7265625" style="31" customWidth="1"/>
    <col min="8" max="8" width="14.26953125" style="31" bestFit="1" customWidth="1"/>
    <col min="9" max="9" width="8.453125" style="31" customWidth="1"/>
    <col min="10" max="10" width="41.7265625" style="31" customWidth="1"/>
    <col min="11" max="11" width="21.453125" style="31" customWidth="1"/>
    <col min="12" max="12" width="13.1796875" style="31" customWidth="1"/>
    <col min="13" max="13" width="20.7265625" style="31" customWidth="1"/>
    <col min="14" max="14" width="13.26953125" style="31" customWidth="1"/>
    <col min="15" max="15" width="3.7265625" style="31" customWidth="1"/>
    <col min="16" max="17" width="12" style="31" customWidth="1"/>
    <col min="18" max="18" width="10.1796875" style="31" customWidth="1"/>
    <col min="19" max="19" width="12" style="31" customWidth="1"/>
    <col min="20" max="21" width="8.7265625" style="31" customWidth="1"/>
    <col min="22" max="23" width="50.1796875" style="31" customWidth="1"/>
    <col min="24" max="28" width="8.81640625" style="31" customWidth="1"/>
    <col min="29" max="30" width="8.81640625" style="31"/>
    <col min="31" max="31" width="9" style="31" hidden="1" customWidth="1"/>
    <col min="32" max="32" width="9.54296875" style="31" hidden="1" customWidth="1"/>
    <col min="33" max="33" width="0" style="31" hidden="1" customWidth="1"/>
    <col min="34" max="34" width="11.81640625" style="31" hidden="1" customWidth="1"/>
    <col min="35" max="35" width="0" style="31" hidden="1" customWidth="1"/>
    <col min="36" max="36" width="9" style="31" hidden="1" customWidth="1"/>
    <col min="37" max="37" width="9.54296875" style="31" hidden="1" customWidth="1"/>
    <col min="38" max="38" width="15.81640625" style="31" hidden="1" customWidth="1"/>
    <col min="39" max="16384" width="8.81640625" style="31"/>
  </cols>
  <sheetData>
    <row r="1" spans="2:38" ht="15.75" customHeight="1" thickBot="1" x14ac:dyDescent="0.35"/>
    <row r="2" spans="2:38" ht="20.25" customHeight="1" thickBot="1" x14ac:dyDescent="0.35">
      <c r="B2" s="744" t="str">
        <f>IF([1]Start!$F$12="","",[1]Start!$F$12)</f>
        <v/>
      </c>
      <c r="C2" s="745"/>
      <c r="D2" s="746"/>
    </row>
    <row r="3" spans="2:38" ht="20.5" customHeight="1" x14ac:dyDescent="0.3">
      <c r="B3" s="975" t="str">
        <f ca="1">MID(CELL("filename",A1),FIND("]",CELL("filename",A1))+1,256)</f>
        <v>B-1 Site Hedge Baseline</v>
      </c>
      <c r="C3" s="976"/>
      <c r="D3" s="977"/>
    </row>
    <row r="4" spans="2:38" ht="10.9" customHeight="1" thickBot="1" x14ac:dyDescent="0.35">
      <c r="B4" s="978"/>
      <c r="C4" s="979"/>
      <c r="D4" s="980"/>
    </row>
    <row r="5" spans="2:38" ht="15.75" customHeight="1" x14ac:dyDescent="0.3"/>
    <row r="6" spans="2:38" ht="20.5" customHeight="1" x14ac:dyDescent="0.3"/>
    <row r="7" spans="2:38" ht="45" customHeight="1" thickBot="1" x14ac:dyDescent="0.35">
      <c r="B7" s="132"/>
      <c r="C7" s="132"/>
      <c r="E7" s="131"/>
    </row>
    <row r="8" spans="2:38" s="42" customFormat="1" ht="28.5" customHeight="1" thickBot="1" x14ac:dyDescent="0.35">
      <c r="B8" s="40"/>
      <c r="C8" s="967" t="s">
        <v>292</v>
      </c>
      <c r="D8" s="968"/>
      <c r="E8" s="969"/>
      <c r="F8" s="940" t="s">
        <v>272</v>
      </c>
      <c r="G8" s="940"/>
      <c r="H8" s="940" t="s">
        <v>273</v>
      </c>
      <c r="I8" s="940"/>
      <c r="J8" s="940" t="s">
        <v>191</v>
      </c>
      <c r="K8" s="940"/>
      <c r="L8" s="940"/>
      <c r="M8" s="970" t="s">
        <v>192</v>
      </c>
      <c r="N8" s="167" t="s">
        <v>193</v>
      </c>
      <c r="O8" s="31"/>
      <c r="P8" s="967" t="s">
        <v>194</v>
      </c>
      <c r="Q8" s="968"/>
      <c r="R8" s="968"/>
      <c r="S8" s="968"/>
      <c r="T8" s="968"/>
      <c r="U8" s="969"/>
      <c r="V8" s="967" t="s">
        <v>196</v>
      </c>
      <c r="W8" s="969"/>
    </row>
    <row r="9" spans="2:38" ht="45.75" customHeight="1" thickBot="1" x14ac:dyDescent="0.35">
      <c r="B9" s="135" t="s">
        <v>254</v>
      </c>
      <c r="C9" s="201" t="s">
        <v>293</v>
      </c>
      <c r="D9" s="201" t="s">
        <v>99</v>
      </c>
      <c r="E9" s="202" t="s">
        <v>294</v>
      </c>
      <c r="F9" s="368" t="s">
        <v>189</v>
      </c>
      <c r="G9" s="202" t="s">
        <v>206</v>
      </c>
      <c r="H9" s="368" t="s">
        <v>190</v>
      </c>
      <c r="I9" s="202" t="s">
        <v>206</v>
      </c>
      <c r="J9" s="368" t="s">
        <v>191</v>
      </c>
      <c r="K9" s="201" t="s">
        <v>191</v>
      </c>
      <c r="L9" s="202" t="s">
        <v>231</v>
      </c>
      <c r="M9" s="971"/>
      <c r="N9" s="207" t="s">
        <v>295</v>
      </c>
      <c r="P9" s="368" t="s">
        <v>296</v>
      </c>
      <c r="Q9" s="201" t="s">
        <v>297</v>
      </c>
      <c r="R9" s="201" t="s">
        <v>298</v>
      </c>
      <c r="S9" s="201" t="s">
        <v>299</v>
      </c>
      <c r="T9" s="201" t="s">
        <v>300</v>
      </c>
      <c r="U9" s="202" t="s">
        <v>214</v>
      </c>
      <c r="V9" s="208" t="s">
        <v>215</v>
      </c>
      <c r="W9" s="209" t="s">
        <v>216</v>
      </c>
      <c r="AE9" s="156" t="s">
        <v>219</v>
      </c>
      <c r="AF9" s="156" t="s">
        <v>220</v>
      </c>
      <c r="AH9" s="156" t="s">
        <v>222</v>
      </c>
      <c r="AJ9" s="156" t="s">
        <v>219</v>
      </c>
      <c r="AK9" s="156" t="s">
        <v>220</v>
      </c>
      <c r="AL9" s="131" t="s">
        <v>200</v>
      </c>
    </row>
    <row r="10" spans="2:38" ht="14" x14ac:dyDescent="0.3">
      <c r="B10" s="141">
        <v>1</v>
      </c>
      <c r="C10" s="203"/>
      <c r="D10" s="203"/>
      <c r="E10" s="153"/>
      <c r="F10" s="553" t="str">
        <f>IF(D10="","",VLOOKUP(D10,'G-6 Hedgerow Data'!$B$2:$AG$15,2,FALSE))</f>
        <v/>
      </c>
      <c r="G10" s="499" t="str">
        <f>IF(D10="","",VLOOKUP(D10,'G-6 Hedgerow Data'!$B$2:$AG$15,3,FALSE))</f>
        <v/>
      </c>
      <c r="H10" s="145"/>
      <c r="I10" s="499" t="str">
        <f>IFERROR(VLOOKUP(H10,'G-1 All Habitats'!$Z$2:$AA$9,2,FALSE),"")</f>
        <v/>
      </c>
      <c r="J10" s="145"/>
      <c r="K10" s="520" t="str">
        <f>IF(J10="","",IF(VLOOKUP(J10,'G-3 Multipliers'!$L$3:$N$6,2,FALSE)=0,"Spatial Data Missing",VLOOKUP(J10,'G-3 Multipliers'!$L$3:$N$6,2,FALSE)))</f>
        <v/>
      </c>
      <c r="L10" s="505" t="str">
        <f>IF(J10="","",IF(VLOOKUP(J10,'G-3 Multipliers'!$L$3:$N$6,3,FALSE)=0,"Spatial Data Missing ⚠",VLOOKUP(J10,'G-3 Multipliers'!$L$3:$N$6,3,FALSE)))</f>
        <v/>
      </c>
      <c r="M10" s="506" t="str">
        <f>IF(D10="","",VLOOKUP(D10,'G-6 Hedgerow Data'!$B$1:$AH$15,33,FALSE))</f>
        <v/>
      </c>
      <c r="N10" s="513" t="str">
        <f>IFERROR(E10*G10*I10*L10,"")</f>
        <v/>
      </c>
      <c r="O10" s="40"/>
      <c r="P10" s="154"/>
      <c r="Q10" s="203"/>
      <c r="R10" s="532" t="str">
        <f>IFERROR(P10*G10*I10*L10,"")</f>
        <v/>
      </c>
      <c r="S10" s="532" t="str">
        <f>IFERROR(Q10*G10*I10*L10,"")</f>
        <v/>
      </c>
      <c r="T10" s="532" t="str">
        <f>IF(D10="","",IF(E10-P10-Q10=0&lt;0,"Error in lengths ▲",IF(P10+Q10&gt;E10,"Error in Lengths ▲",E10-P10-Q10)))</f>
        <v/>
      </c>
      <c r="U10" s="557" t="str">
        <f>IF(OR(E10="",N10=""),"",IF(E10-P10-Q10=0&lt;0,"Error in Lengths ▲",IF(P10+Q10&gt;E10,"Error in Lengths ▲",N10-R10-S10)))</f>
        <v/>
      </c>
      <c r="V10" s="169"/>
      <c r="W10" s="170"/>
      <c r="AE10" s="156" t="str">
        <f t="shared" ref="AE10:AE73" si="0">IF(D10="","",IF(P10&gt;0,TRUE,FALSE))</f>
        <v/>
      </c>
      <c r="AF10" s="156" t="str">
        <f t="shared" ref="AF10:AF73" si="1">IF(D10="","",IF(Q10&gt;0,TRUE,FALSE))</f>
        <v/>
      </c>
      <c r="AH10" s="156">
        <v>1</v>
      </c>
      <c r="AJ10" s="156" t="str">
        <f t="array" ref="AJ10">IFERROR(INDEX($AH$10:$AH$258, MATCH(0, IF(TRUE=$AE$10:$AE$258, COUNTIF($AJ9:$AJ$9, $AH$10:$AH$258), ""), 0)),"")</f>
        <v/>
      </c>
      <c r="AK10" s="156" t="str">
        <f t="array" ref="AK10">IFERROR(INDEX($AH$10:$AH$258, MATCH(0, IF(TRUE=$AF$10:$AF$258, COUNTIF($AK9:$AK$9, $AH$10:$AH$258), ""), 0)),"")</f>
        <v/>
      </c>
      <c r="AL10" s="31" t="str">
        <f>IFERROR(INDEX('G-6 Hedgerow Data'!$BJ$3:$BJ$15,MATCH(D10,'G-6 Hedgerow Data'!$B$3:$B$15,0)),"")</f>
        <v/>
      </c>
    </row>
    <row r="11" spans="2:38" ht="14" x14ac:dyDescent="0.3">
      <c r="B11" s="141">
        <v>2</v>
      </c>
      <c r="C11" s="203"/>
      <c r="D11" s="203"/>
      <c r="E11" s="153"/>
      <c r="F11" s="553" t="str">
        <f>IF(D11="","",VLOOKUP(D11,'G-6 Hedgerow Data'!$B$2:$AG$15,2,FALSE))</f>
        <v/>
      </c>
      <c r="G11" s="499" t="str">
        <f>IF(D11="","",VLOOKUP(D11,'G-6 Hedgerow Data'!$B$2:$AG$15,3,FALSE))</f>
        <v/>
      </c>
      <c r="H11" s="145"/>
      <c r="I11" s="499" t="str">
        <f>IFERROR(VLOOKUP(H11,'G-1 All Habitats'!$Z$2:$AA$9,2,FALSE),"")</f>
        <v/>
      </c>
      <c r="J11" s="145"/>
      <c r="K11" s="507" t="str">
        <f>IF(J11="","",IF(VLOOKUP(J11,'G-3 Multipliers'!$L$3:$N$6,2,FALSE)=0,"Spatial Data Missing",VLOOKUP(J11,'G-3 Multipliers'!$L$3:$N$6,2,FALSE)))</f>
        <v/>
      </c>
      <c r="L11" s="505" t="str">
        <f>IF(J11="","",IF(VLOOKUP(J11,'G-3 Multipliers'!$L$3:$N$6,3,FALSE)=0,"Spatial Data Missing ⚠",VLOOKUP(J11,'G-3 Multipliers'!$L$3:$N$6,3,FALSE)))</f>
        <v/>
      </c>
      <c r="M11" s="506" t="str">
        <f>IF(D11="","",VLOOKUP(D11,'G-6 Hedgerow Data'!$B$1:$AH$15,33,FALSE))</f>
        <v/>
      </c>
      <c r="N11" s="513" t="str">
        <f t="shared" ref="N11:N74" si="2">IFERROR(E11*G11*I11*L11,"")</f>
        <v/>
      </c>
      <c r="O11" s="40"/>
      <c r="P11" s="154"/>
      <c r="Q11" s="203"/>
      <c r="R11" s="532" t="str">
        <f t="shared" ref="R11:R74" si="3">IFERROR(P11*G11*I11*L11,"")</f>
        <v/>
      </c>
      <c r="S11" s="532" t="str">
        <f t="shared" ref="S11:S74" si="4">IFERROR(Q11*G11*I11*L11,"")</f>
        <v/>
      </c>
      <c r="T11" s="532" t="str">
        <f t="shared" ref="T11:T74" si="5">IF(D11="","",IF(E11-P11-Q11=0&lt;0,"Error in lengths ▲",IF(P11+Q11&gt;E11,"Error in Lengths ▲",E11-P11-Q11)))</f>
        <v/>
      </c>
      <c r="U11" s="557" t="str">
        <f>IF(OR(E11="",N11=""),"",IF(E11-P11-Q11=0&lt;0,"Error in Lengths ▲",IF(P11+Q11&gt;E11,"Error in Lengths ▲",N11-R11-S11)))</f>
        <v/>
      </c>
      <c r="V11" s="151"/>
      <c r="W11" s="152"/>
      <c r="AE11" s="156" t="str">
        <f t="shared" si="0"/>
        <v/>
      </c>
      <c r="AF11" s="156" t="str">
        <f t="shared" si="1"/>
        <v/>
      </c>
      <c r="AH11" s="156">
        <v>2</v>
      </c>
      <c r="AJ11" s="156" t="str">
        <f t="array" ref="AJ11">IFERROR(INDEX($AH$10:$AH$258, MATCH(0, IF(TRUE=$AE$10:$AE$258, COUNTIF($AJ$9:$AJ10, $AH$10:$AH$258), ""), 0)),"")</f>
        <v/>
      </c>
      <c r="AK11" s="156" t="str">
        <f t="array" ref="AK11">IFERROR(INDEX($AH$10:$AH$258, MATCH(0, IF(TRUE=$AF$10:$AF$258, COUNTIF($AK$9:$AK10, $AH$10:$AH$258), ""), 0)),"")</f>
        <v/>
      </c>
      <c r="AL11" s="31" t="str">
        <f>IFERROR(INDEX('G-6 Hedgerow Data'!$BJ$3:$BJ$15,MATCH(D11,'G-6 Hedgerow Data'!$B$3:$B$15,0)),"")</f>
        <v/>
      </c>
    </row>
    <row r="12" spans="2:38" ht="14" x14ac:dyDescent="0.3">
      <c r="B12" s="141">
        <v>3</v>
      </c>
      <c r="C12" s="203"/>
      <c r="D12" s="203"/>
      <c r="E12" s="153"/>
      <c r="F12" s="553" t="str">
        <f>IF(D12="","",VLOOKUP(D12,'G-6 Hedgerow Data'!$B$2:$AG$15,2,FALSE))</f>
        <v/>
      </c>
      <c r="G12" s="499" t="str">
        <f>IF(D12="","",VLOOKUP(D12,'G-6 Hedgerow Data'!$B$2:$AG$15,3,FALSE))</f>
        <v/>
      </c>
      <c r="H12" s="145"/>
      <c r="I12" s="499" t="str">
        <f>IFERROR(VLOOKUP(H12,'G-1 All Habitats'!$Z$2:$AA$9,2,FALSE),"")</f>
        <v/>
      </c>
      <c r="J12" s="145"/>
      <c r="K12" s="507" t="str">
        <f>IF(J12="","",IF(VLOOKUP(J12,'G-3 Multipliers'!$L$3:$N$6,2,FALSE)=0,"Spatial Data Missing",VLOOKUP(J12,'G-3 Multipliers'!$L$3:$N$6,2,FALSE)))</f>
        <v/>
      </c>
      <c r="L12" s="505" t="str">
        <f>IF(J12="","",IF(VLOOKUP(J12,'G-3 Multipliers'!$L$3:$N$6,3,FALSE)=0,"Spatial Data Missing ⚠",VLOOKUP(J12,'G-3 Multipliers'!$L$3:$N$6,3,FALSE)))</f>
        <v/>
      </c>
      <c r="M12" s="506" t="str">
        <f>IF(D12="","",VLOOKUP(D12,'G-6 Hedgerow Data'!$B$1:$AH$15,33,FALSE))</f>
        <v/>
      </c>
      <c r="N12" s="513" t="str">
        <f t="shared" si="2"/>
        <v/>
      </c>
      <c r="O12" s="40"/>
      <c r="P12" s="154"/>
      <c r="Q12" s="203"/>
      <c r="R12" s="532" t="str">
        <f t="shared" si="3"/>
        <v/>
      </c>
      <c r="S12" s="532" t="str">
        <f t="shared" si="4"/>
        <v/>
      </c>
      <c r="T12" s="532" t="str">
        <f t="shared" si="5"/>
        <v/>
      </c>
      <c r="U12" s="557" t="str">
        <f t="shared" ref="U12:U75" si="6">IF(OR(E12="",N12=""),"",IF(E12-P12-Q12=0&lt;0,"Error in Lengths ▲",IF(P12+Q12&gt;E12,"Error in Lengths ▲",N12-R12-S12)))</f>
        <v/>
      </c>
      <c r="V12" s="151"/>
      <c r="W12" s="152"/>
      <c r="AE12" s="156" t="str">
        <f t="shared" si="0"/>
        <v/>
      </c>
      <c r="AF12" s="156" t="str">
        <f t="shared" si="1"/>
        <v/>
      </c>
      <c r="AH12" s="156">
        <v>3</v>
      </c>
      <c r="AJ12" s="156" t="str">
        <f t="array" ref="AJ12">IFERROR(INDEX($AH$10:$AH$258, MATCH(0, IF(TRUE=$AE$10:$AE$258, COUNTIF($AJ$9:$AJ11, $AH$10:$AH$258), ""), 0)),"")</f>
        <v/>
      </c>
      <c r="AK12" s="156" t="str">
        <f t="array" ref="AK12">IFERROR(INDEX($AH$10:$AH$258, MATCH(0, IF(TRUE=$AF$10:$AF$258, COUNTIF($AK$9:$AK11, $AH$10:$AH$258), ""), 0)),"")</f>
        <v/>
      </c>
      <c r="AL12" s="31" t="str">
        <f>IFERROR(INDEX('G-6 Hedgerow Data'!$BJ$3:$BJ$15,MATCH(D12,'G-6 Hedgerow Data'!$B$3:$B$15,0)),"")</f>
        <v/>
      </c>
    </row>
    <row r="13" spans="2:38" ht="14" x14ac:dyDescent="0.3">
      <c r="B13" s="141">
        <v>4</v>
      </c>
      <c r="C13" s="203"/>
      <c r="D13" s="203"/>
      <c r="E13" s="153"/>
      <c r="F13" s="553" t="str">
        <f>IF(D13="","",VLOOKUP(D13,'G-6 Hedgerow Data'!$B$2:$AG$15,2,FALSE))</f>
        <v/>
      </c>
      <c r="G13" s="499" t="str">
        <f>IF(D13="","",VLOOKUP(D13,'G-6 Hedgerow Data'!$B$2:$AG$15,3,FALSE))</f>
        <v/>
      </c>
      <c r="H13" s="145"/>
      <c r="I13" s="499" t="str">
        <f>IFERROR(VLOOKUP(H13,'G-1 All Habitats'!$Z$2:$AA$9,2,FALSE),"")</f>
        <v/>
      </c>
      <c r="J13" s="145"/>
      <c r="K13" s="507" t="str">
        <f>IF(J13="","",IF(VLOOKUP(J13,'G-3 Multipliers'!$L$3:$N$6,2,FALSE)=0,"Spatial Data Missing",VLOOKUP(J13,'G-3 Multipliers'!$L$3:$N$6,2,FALSE)))</f>
        <v/>
      </c>
      <c r="L13" s="505" t="str">
        <f>IF(J13="","",IF(VLOOKUP(J13,'G-3 Multipliers'!$L$3:$N$6,3,FALSE)=0,"Spatial Data Missing ⚠",VLOOKUP(J13,'G-3 Multipliers'!$L$3:$N$6,3,FALSE)))</f>
        <v/>
      </c>
      <c r="M13" s="506" t="str">
        <f>IF(D13="","",VLOOKUP(D13,'G-6 Hedgerow Data'!$B$1:$AH$15,33,FALSE))</f>
        <v/>
      </c>
      <c r="N13" s="513" t="str">
        <f t="shared" si="2"/>
        <v/>
      </c>
      <c r="O13" s="40"/>
      <c r="P13" s="154"/>
      <c r="Q13" s="203"/>
      <c r="R13" s="532" t="str">
        <f t="shared" si="3"/>
        <v/>
      </c>
      <c r="S13" s="532" t="str">
        <f t="shared" si="4"/>
        <v/>
      </c>
      <c r="T13" s="532" t="str">
        <f t="shared" si="5"/>
        <v/>
      </c>
      <c r="U13" s="557" t="str">
        <f t="shared" si="6"/>
        <v/>
      </c>
      <c r="V13" s="151"/>
      <c r="W13" s="152"/>
      <c r="AE13" s="156" t="str">
        <f t="shared" si="0"/>
        <v/>
      </c>
      <c r="AF13" s="156" t="str">
        <f t="shared" si="1"/>
        <v/>
      </c>
      <c r="AH13" s="156">
        <v>4</v>
      </c>
      <c r="AJ13" s="156" t="str">
        <f t="array" ref="AJ13">IFERROR(INDEX($AH$10:$AH$258, MATCH(0, IF(TRUE=$AE$10:$AE$258, COUNTIF($AJ$9:$AJ12, $AH$10:$AH$258), ""), 0)),"")</f>
        <v/>
      </c>
      <c r="AK13" s="156" t="str">
        <f t="array" ref="AK13">IFERROR(INDEX($AH$10:$AH$258, MATCH(0, IF(TRUE=$AF$10:$AF$258, COUNTIF($AK$9:$AK12, $AH$10:$AH$258), ""), 0)),"")</f>
        <v/>
      </c>
      <c r="AL13" s="31" t="str">
        <f>IFERROR(INDEX('G-6 Hedgerow Data'!$BJ$3:$BJ$15,MATCH(D13,'G-6 Hedgerow Data'!$B$3:$B$15,0)),"")</f>
        <v/>
      </c>
    </row>
    <row r="14" spans="2:38" ht="14" x14ac:dyDescent="0.3">
      <c r="B14" s="141">
        <v>5</v>
      </c>
      <c r="C14" s="203"/>
      <c r="D14" s="203"/>
      <c r="E14" s="153"/>
      <c r="F14" s="553" t="str">
        <f>IF(D14="","",VLOOKUP(D14,'G-6 Hedgerow Data'!$B$2:$AG$15,2,FALSE))</f>
        <v/>
      </c>
      <c r="G14" s="499" t="str">
        <f>IF(D14="","",VLOOKUP(D14,'G-6 Hedgerow Data'!$B$2:$AG$15,3,FALSE))</f>
        <v/>
      </c>
      <c r="H14" s="145"/>
      <c r="I14" s="499" t="str">
        <f>IFERROR(VLOOKUP(H14,'G-1 All Habitats'!$Z$2:$AA$9,2,FALSE),"")</f>
        <v/>
      </c>
      <c r="J14" s="145"/>
      <c r="K14" s="507" t="str">
        <f>IF(J14="","",IF(VLOOKUP(J14,'G-3 Multipliers'!$L$3:$N$6,2,FALSE)=0,"Spatial Data Missing",VLOOKUP(J14,'G-3 Multipliers'!$L$3:$N$6,2,FALSE)))</f>
        <v/>
      </c>
      <c r="L14" s="505" t="str">
        <f>IF(J14="","",IF(VLOOKUP(J14,'G-3 Multipliers'!$L$3:$N$6,3,FALSE)=0,"Spatial Data Missing ⚠",VLOOKUP(J14,'G-3 Multipliers'!$L$3:$N$6,3,FALSE)))</f>
        <v/>
      </c>
      <c r="M14" s="506" t="str">
        <f>IF(D14="","",VLOOKUP(D14,'G-6 Hedgerow Data'!$B$1:$AH$15,33,FALSE))</f>
        <v/>
      </c>
      <c r="N14" s="513" t="str">
        <f t="shared" si="2"/>
        <v/>
      </c>
      <c r="O14" s="40"/>
      <c r="P14" s="154"/>
      <c r="Q14" s="203"/>
      <c r="R14" s="532" t="str">
        <f t="shared" si="3"/>
        <v/>
      </c>
      <c r="S14" s="532" t="str">
        <f t="shared" si="4"/>
        <v/>
      </c>
      <c r="T14" s="532" t="str">
        <f t="shared" si="5"/>
        <v/>
      </c>
      <c r="U14" s="557" t="str">
        <f t="shared" si="6"/>
        <v/>
      </c>
      <c r="V14" s="151"/>
      <c r="W14" s="152"/>
      <c r="AE14" s="156" t="str">
        <f t="shared" si="0"/>
        <v/>
      </c>
      <c r="AF14" s="156" t="str">
        <f t="shared" si="1"/>
        <v/>
      </c>
      <c r="AH14" s="156">
        <v>5</v>
      </c>
      <c r="AJ14" s="156" t="str">
        <f t="array" ref="AJ14">IFERROR(INDEX($AH$10:$AH$258, MATCH(0, IF(TRUE=$AE$10:$AE$258, COUNTIF($AJ$9:$AJ13, $AH$10:$AH$258), ""), 0)),"")</f>
        <v/>
      </c>
      <c r="AK14" s="156" t="str">
        <f t="array" ref="AK14">IFERROR(INDEX($AH$10:$AH$258, MATCH(0, IF(TRUE=$AF$10:$AF$258, COUNTIF($AK$9:$AK13, $AH$10:$AH$258), ""), 0)),"")</f>
        <v/>
      </c>
      <c r="AL14" s="31" t="str">
        <f>IFERROR(INDEX('G-6 Hedgerow Data'!$BJ$3:$BJ$15,MATCH(D14,'G-6 Hedgerow Data'!$B$3:$B$15,0)),"")</f>
        <v/>
      </c>
    </row>
    <row r="15" spans="2:38" ht="14" x14ac:dyDescent="0.3">
      <c r="B15" s="141">
        <v>6</v>
      </c>
      <c r="C15" s="203"/>
      <c r="D15" s="203"/>
      <c r="E15" s="153"/>
      <c r="F15" s="553" t="str">
        <f>IF(D15="","",VLOOKUP(D15,'G-6 Hedgerow Data'!$B$2:$AG$15,2,FALSE))</f>
        <v/>
      </c>
      <c r="G15" s="499" t="str">
        <f>IF(D15="","",VLOOKUP(D15,'G-6 Hedgerow Data'!$B$2:$AG$15,3,FALSE))</f>
        <v/>
      </c>
      <c r="H15" s="145"/>
      <c r="I15" s="499" t="str">
        <f>IFERROR(VLOOKUP(H15,'G-1 All Habitats'!$Z$2:$AA$9,2,FALSE),"")</f>
        <v/>
      </c>
      <c r="J15" s="145"/>
      <c r="K15" s="507" t="str">
        <f>IF(J15="","",IF(VLOOKUP(J15,'G-3 Multipliers'!$L$3:$N$6,2,FALSE)=0,"Spatial Data Missing",VLOOKUP(J15,'G-3 Multipliers'!$L$3:$N$6,2,FALSE)))</f>
        <v/>
      </c>
      <c r="L15" s="505" t="str">
        <f>IF(J15="","",IF(VLOOKUP(J15,'G-3 Multipliers'!$L$3:$N$6,3,FALSE)=0,"Spatial Data Missing ⚠",VLOOKUP(J15,'G-3 Multipliers'!$L$3:$N$6,3,FALSE)))</f>
        <v/>
      </c>
      <c r="M15" s="506" t="str">
        <f>IF(D15="","",VLOOKUP(D15,'G-6 Hedgerow Data'!$B$1:$AH$15,33,FALSE))</f>
        <v/>
      </c>
      <c r="N15" s="513" t="str">
        <f t="shared" si="2"/>
        <v/>
      </c>
      <c r="O15" s="40"/>
      <c r="P15" s="154"/>
      <c r="Q15" s="203"/>
      <c r="R15" s="532" t="str">
        <f t="shared" si="3"/>
        <v/>
      </c>
      <c r="S15" s="532" t="str">
        <f t="shared" si="4"/>
        <v/>
      </c>
      <c r="T15" s="532" t="str">
        <f t="shared" si="5"/>
        <v/>
      </c>
      <c r="U15" s="557" t="str">
        <f t="shared" si="6"/>
        <v/>
      </c>
      <c r="V15" s="151"/>
      <c r="W15" s="152"/>
      <c r="AE15" s="156" t="str">
        <f t="shared" si="0"/>
        <v/>
      </c>
      <c r="AF15" s="156" t="str">
        <f t="shared" si="1"/>
        <v/>
      </c>
      <c r="AH15" s="156">
        <v>6</v>
      </c>
      <c r="AJ15" s="156" t="str">
        <f t="array" ref="AJ15">IFERROR(INDEX($AH$10:$AH$258, MATCH(0, IF(TRUE=$AE$10:$AE$258, COUNTIF($AJ$9:$AJ14, $AH$10:$AH$258), ""), 0)),"")</f>
        <v/>
      </c>
      <c r="AK15" s="156" t="str">
        <f t="array" ref="AK15">IFERROR(INDEX($AH$10:$AH$258, MATCH(0, IF(TRUE=$AF$10:$AF$258, COUNTIF($AK$9:$AK14, $AH$10:$AH$258), ""), 0)),"")</f>
        <v/>
      </c>
      <c r="AL15" s="31" t="str">
        <f>IFERROR(INDEX('G-6 Hedgerow Data'!$BJ$3:$BJ$15,MATCH(D15,'G-6 Hedgerow Data'!$B$3:$B$15,0)),"")</f>
        <v/>
      </c>
    </row>
    <row r="16" spans="2:38" ht="14" x14ac:dyDescent="0.3">
      <c r="B16" s="141">
        <v>7</v>
      </c>
      <c r="C16" s="203"/>
      <c r="D16" s="203"/>
      <c r="E16" s="153"/>
      <c r="F16" s="553" t="str">
        <f>IF(D16="","",VLOOKUP(D16,'G-6 Hedgerow Data'!$B$2:$AG$15,2,FALSE))</f>
        <v/>
      </c>
      <c r="G16" s="499" t="str">
        <f>IF(D16="","",VLOOKUP(D16,'G-6 Hedgerow Data'!$B$2:$AG$15,3,FALSE))</f>
        <v/>
      </c>
      <c r="H16" s="145"/>
      <c r="I16" s="499" t="str">
        <f>IFERROR(VLOOKUP(H16,'G-1 All Habitats'!$Z$2:$AA$9,2,FALSE),"")</f>
        <v/>
      </c>
      <c r="J16" s="145"/>
      <c r="K16" s="507" t="str">
        <f>IF(J16="","",IF(VLOOKUP(J16,'G-3 Multipliers'!$L$3:$N$6,2,FALSE)=0,"Spatial Data Missing",VLOOKUP(J16,'G-3 Multipliers'!$L$3:$N$6,2,FALSE)))</f>
        <v/>
      </c>
      <c r="L16" s="505" t="str">
        <f>IF(J16="","",IF(VLOOKUP(J16,'G-3 Multipliers'!$L$3:$N$6,3,FALSE)=0,"Spatial Data Missing ⚠",VLOOKUP(J16,'G-3 Multipliers'!$L$3:$N$6,3,FALSE)))</f>
        <v/>
      </c>
      <c r="M16" s="506" t="str">
        <f>IF(D16="","",VLOOKUP(D16,'G-6 Hedgerow Data'!$B$1:$AH$15,33,FALSE))</f>
        <v/>
      </c>
      <c r="N16" s="513" t="str">
        <f t="shared" si="2"/>
        <v/>
      </c>
      <c r="O16" s="40"/>
      <c r="P16" s="154"/>
      <c r="Q16" s="203"/>
      <c r="R16" s="532" t="str">
        <f t="shared" si="3"/>
        <v/>
      </c>
      <c r="S16" s="532" t="str">
        <f t="shared" si="4"/>
        <v/>
      </c>
      <c r="T16" s="532" t="str">
        <f t="shared" si="5"/>
        <v/>
      </c>
      <c r="U16" s="557" t="str">
        <f t="shared" si="6"/>
        <v/>
      </c>
      <c r="V16" s="151"/>
      <c r="W16" s="152"/>
      <c r="AE16" s="156" t="str">
        <f t="shared" si="0"/>
        <v/>
      </c>
      <c r="AF16" s="156" t="str">
        <f t="shared" si="1"/>
        <v/>
      </c>
      <c r="AH16" s="156">
        <v>7</v>
      </c>
      <c r="AJ16" s="156" t="str">
        <f t="array" ref="AJ16">IFERROR(INDEX($AH$10:$AH$258, MATCH(0, IF(TRUE=$AE$10:$AE$258, COUNTIF($AJ$9:$AJ15, $AH$10:$AH$258), ""), 0)),"")</f>
        <v/>
      </c>
      <c r="AK16" s="156" t="str">
        <f t="array" ref="AK16">IFERROR(INDEX($AH$10:$AH$258, MATCH(0, IF(TRUE=$AF$10:$AF$258, COUNTIF($AK$9:$AK15, $AH$10:$AH$258), ""), 0)),"")</f>
        <v/>
      </c>
      <c r="AL16" s="31" t="str">
        <f>IFERROR(INDEX('G-6 Hedgerow Data'!$BJ$3:$BJ$15,MATCH(D16,'G-6 Hedgerow Data'!$B$3:$B$15,0)),"")</f>
        <v/>
      </c>
    </row>
    <row r="17" spans="2:38" ht="14" x14ac:dyDescent="0.3">
      <c r="B17" s="141">
        <v>8</v>
      </c>
      <c r="C17" s="203"/>
      <c r="D17" s="203"/>
      <c r="E17" s="153"/>
      <c r="F17" s="553" t="str">
        <f>IF(D17="","",VLOOKUP(D17,'G-6 Hedgerow Data'!$B$2:$AG$15,2,FALSE))</f>
        <v/>
      </c>
      <c r="G17" s="499" t="str">
        <f>IF(D17="","",VLOOKUP(D17,'G-6 Hedgerow Data'!$B$2:$AG$15,3,FALSE))</f>
        <v/>
      </c>
      <c r="H17" s="145"/>
      <c r="I17" s="499" t="str">
        <f>IFERROR(VLOOKUP(H17,'G-1 All Habitats'!$Z$2:$AA$9,2,FALSE),"")</f>
        <v/>
      </c>
      <c r="J17" s="145"/>
      <c r="K17" s="507" t="str">
        <f>IF(J17="","",IF(VLOOKUP(J17,'G-3 Multipliers'!$L$3:$N$6,2,FALSE)=0,"Spatial Data Missing",VLOOKUP(J17,'G-3 Multipliers'!$L$3:$N$6,2,FALSE)))</f>
        <v/>
      </c>
      <c r="L17" s="505" t="str">
        <f>IF(J17="","",IF(VLOOKUP(J17,'G-3 Multipliers'!$L$3:$N$6,3,FALSE)=0,"Spatial Data Missing ⚠",VLOOKUP(J17,'G-3 Multipliers'!$L$3:$N$6,3,FALSE)))</f>
        <v/>
      </c>
      <c r="M17" s="506" t="str">
        <f>IF(D17="","",VLOOKUP(D17,'G-6 Hedgerow Data'!$B$1:$AH$15,33,FALSE))</f>
        <v/>
      </c>
      <c r="N17" s="513" t="str">
        <f t="shared" si="2"/>
        <v/>
      </c>
      <c r="O17" s="40"/>
      <c r="P17" s="154"/>
      <c r="Q17" s="203"/>
      <c r="R17" s="532" t="str">
        <f t="shared" si="3"/>
        <v/>
      </c>
      <c r="S17" s="532" t="str">
        <f t="shared" si="4"/>
        <v/>
      </c>
      <c r="T17" s="532" t="str">
        <f t="shared" si="5"/>
        <v/>
      </c>
      <c r="U17" s="557" t="str">
        <f t="shared" si="6"/>
        <v/>
      </c>
      <c r="V17" s="151"/>
      <c r="W17" s="152"/>
      <c r="AE17" s="156" t="str">
        <f t="shared" si="0"/>
        <v/>
      </c>
      <c r="AF17" s="156" t="str">
        <f t="shared" si="1"/>
        <v/>
      </c>
      <c r="AH17" s="156">
        <v>8</v>
      </c>
      <c r="AJ17" s="156" t="str">
        <f t="array" ref="AJ17">IFERROR(INDEX($AH$10:$AH$258, MATCH(0, IF(TRUE=$AE$10:$AE$258, COUNTIF($AJ$9:$AJ16, $AH$10:$AH$258), ""), 0)),"")</f>
        <v/>
      </c>
      <c r="AK17" s="156" t="str">
        <f t="array" ref="AK17">IFERROR(INDEX($AH$10:$AH$258, MATCH(0, IF(TRUE=$AF$10:$AF$258, COUNTIF($AK$9:$AK16, $AH$10:$AH$258), ""), 0)),"")</f>
        <v/>
      </c>
      <c r="AL17" s="31" t="str">
        <f>IFERROR(INDEX('G-6 Hedgerow Data'!$BJ$3:$BJ$15,MATCH(D17,'G-6 Hedgerow Data'!$B$3:$B$15,0)),"")</f>
        <v/>
      </c>
    </row>
    <row r="18" spans="2:38" ht="14" x14ac:dyDescent="0.3">
      <c r="B18" s="141">
        <v>9</v>
      </c>
      <c r="C18" s="203"/>
      <c r="D18" s="203"/>
      <c r="E18" s="153"/>
      <c r="F18" s="553" t="str">
        <f>IF(D18="","",VLOOKUP(D18,'G-6 Hedgerow Data'!$B$2:$AG$15,2,FALSE))</f>
        <v/>
      </c>
      <c r="G18" s="499" t="str">
        <f>IF(D18="","",VLOOKUP(D18,'G-6 Hedgerow Data'!$B$2:$AG$15,3,FALSE))</f>
        <v/>
      </c>
      <c r="H18" s="145"/>
      <c r="I18" s="499" t="str">
        <f>IFERROR(VLOOKUP(H18,'G-1 All Habitats'!$Z$2:$AA$9,2,FALSE),"")</f>
        <v/>
      </c>
      <c r="J18" s="145"/>
      <c r="K18" s="507" t="str">
        <f>IF(J18="","",IF(VLOOKUP(J18,'G-3 Multipliers'!$L$3:$N$6,2,FALSE)=0,"Spatial Data Missing",VLOOKUP(J18,'G-3 Multipliers'!$L$3:$N$6,2,FALSE)))</f>
        <v/>
      </c>
      <c r="L18" s="505" t="str">
        <f>IF(J18="","",IF(VLOOKUP(J18,'G-3 Multipliers'!$L$3:$N$6,3,FALSE)=0,"Spatial Data Missing ⚠",VLOOKUP(J18,'G-3 Multipliers'!$L$3:$N$6,3,FALSE)))</f>
        <v/>
      </c>
      <c r="M18" s="506" t="str">
        <f>IF(D18="","",VLOOKUP(D18,'G-6 Hedgerow Data'!$B$1:$AH$15,33,FALSE))</f>
        <v/>
      </c>
      <c r="N18" s="513" t="str">
        <f t="shared" si="2"/>
        <v/>
      </c>
      <c r="O18" s="40"/>
      <c r="P18" s="154"/>
      <c r="Q18" s="203"/>
      <c r="R18" s="532" t="str">
        <f t="shared" si="3"/>
        <v/>
      </c>
      <c r="S18" s="532" t="str">
        <f t="shared" si="4"/>
        <v/>
      </c>
      <c r="T18" s="532" t="str">
        <f t="shared" si="5"/>
        <v/>
      </c>
      <c r="U18" s="557" t="str">
        <f t="shared" si="6"/>
        <v/>
      </c>
      <c r="V18" s="151"/>
      <c r="W18" s="152"/>
      <c r="AE18" s="156" t="str">
        <f t="shared" si="0"/>
        <v/>
      </c>
      <c r="AF18" s="156" t="str">
        <f t="shared" si="1"/>
        <v/>
      </c>
      <c r="AH18" s="156">
        <v>9</v>
      </c>
      <c r="AJ18" s="156" t="str">
        <f t="array" ref="AJ18">IFERROR(INDEX($AH$10:$AH$258, MATCH(0, IF(TRUE=$AE$10:$AE$258, COUNTIF($AJ$9:$AJ17, $AH$10:$AH$258), ""), 0)),"")</f>
        <v/>
      </c>
      <c r="AK18" s="156" t="str">
        <f t="array" ref="AK18">IFERROR(INDEX($AH$10:$AH$258, MATCH(0, IF(TRUE=$AF$10:$AF$258, COUNTIF($AK$9:$AK17, $AH$10:$AH$258), ""), 0)),"")</f>
        <v/>
      </c>
      <c r="AL18" s="31" t="str">
        <f>IFERROR(INDEX('G-6 Hedgerow Data'!$BJ$3:$BJ$15,MATCH(D18,'G-6 Hedgerow Data'!$B$3:$B$15,0)),"")</f>
        <v/>
      </c>
    </row>
    <row r="19" spans="2:38" ht="14" x14ac:dyDescent="0.3">
      <c r="B19" s="141">
        <v>10</v>
      </c>
      <c r="C19" s="203"/>
      <c r="D19" s="203"/>
      <c r="E19" s="153"/>
      <c r="F19" s="553" t="str">
        <f>IF(D19="","",VLOOKUP(D19,'G-6 Hedgerow Data'!$B$2:$AG$15,2,FALSE))</f>
        <v/>
      </c>
      <c r="G19" s="499" t="str">
        <f>IF(D19="","",VLOOKUP(D19,'G-6 Hedgerow Data'!$B$2:$AG$15,3,FALSE))</f>
        <v/>
      </c>
      <c r="H19" s="145"/>
      <c r="I19" s="499" t="str">
        <f>IFERROR(VLOOKUP(H19,'G-1 All Habitats'!$Z$2:$AA$9,2,FALSE),"")</f>
        <v/>
      </c>
      <c r="J19" s="145"/>
      <c r="K19" s="507" t="str">
        <f>IF(J19="","",IF(VLOOKUP(J19,'G-3 Multipliers'!$L$3:$N$6,2,FALSE)=0,"Spatial Data Missing",VLOOKUP(J19,'G-3 Multipliers'!$L$3:$N$6,2,FALSE)))</f>
        <v/>
      </c>
      <c r="L19" s="505" t="str">
        <f>IF(J19="","",IF(VLOOKUP(J19,'G-3 Multipliers'!$L$3:$N$6,3,FALSE)=0,"Spatial Data Missing ⚠",VLOOKUP(J19,'G-3 Multipliers'!$L$3:$N$6,3,FALSE)))</f>
        <v/>
      </c>
      <c r="M19" s="506" t="str">
        <f>IF(D19="","",VLOOKUP(D19,'G-6 Hedgerow Data'!$B$1:$AH$15,33,FALSE))</f>
        <v/>
      </c>
      <c r="N19" s="513" t="str">
        <f t="shared" si="2"/>
        <v/>
      </c>
      <c r="O19" s="40"/>
      <c r="P19" s="154"/>
      <c r="Q19" s="203"/>
      <c r="R19" s="532" t="str">
        <f t="shared" si="3"/>
        <v/>
      </c>
      <c r="S19" s="532" t="str">
        <f t="shared" si="4"/>
        <v/>
      </c>
      <c r="T19" s="532" t="str">
        <f t="shared" si="5"/>
        <v/>
      </c>
      <c r="U19" s="557" t="str">
        <f t="shared" si="6"/>
        <v/>
      </c>
      <c r="V19" s="151"/>
      <c r="W19" s="152"/>
      <c r="AE19" s="156" t="str">
        <f t="shared" si="0"/>
        <v/>
      </c>
      <c r="AF19" s="156" t="str">
        <f t="shared" si="1"/>
        <v/>
      </c>
      <c r="AH19" s="156">
        <v>10</v>
      </c>
      <c r="AJ19" s="156" t="str">
        <f t="array" ref="AJ19">IFERROR(INDEX($AH$10:$AH$258, MATCH(0, IF(TRUE=$AE$10:$AE$258, COUNTIF($AJ$9:$AJ18, $AH$10:$AH$258), ""), 0)),"")</f>
        <v/>
      </c>
      <c r="AK19" s="156" t="str">
        <f t="array" ref="AK19">IFERROR(INDEX($AH$10:$AH$258, MATCH(0, IF(TRUE=$AF$10:$AF$258, COUNTIF($AK$9:$AK18, $AH$10:$AH$258), ""), 0)),"")</f>
        <v/>
      </c>
      <c r="AL19" s="31" t="str">
        <f>IFERROR(INDEX('G-6 Hedgerow Data'!$BJ$3:$BJ$15,MATCH(D19,'G-6 Hedgerow Data'!$B$3:$B$15,0)),"")</f>
        <v/>
      </c>
    </row>
    <row r="20" spans="2:38" ht="14" x14ac:dyDescent="0.3">
      <c r="B20" s="141">
        <v>11</v>
      </c>
      <c r="C20" s="203"/>
      <c r="D20" s="203"/>
      <c r="E20" s="153"/>
      <c r="F20" s="553" t="str">
        <f>IF(D20="","",VLOOKUP(D20,'G-6 Hedgerow Data'!$B$2:$AG$15,2,FALSE))</f>
        <v/>
      </c>
      <c r="G20" s="499" t="str">
        <f>IF(D20="","",VLOOKUP(D20,'G-6 Hedgerow Data'!$B$2:$AG$15,3,FALSE))</f>
        <v/>
      </c>
      <c r="H20" s="145"/>
      <c r="I20" s="499" t="str">
        <f>IFERROR(VLOOKUP(H20,'G-1 All Habitats'!$Z$2:$AA$9,2,FALSE),"")</f>
        <v/>
      </c>
      <c r="J20" s="145"/>
      <c r="K20" s="507" t="str">
        <f>IF(J20="","",IF(VLOOKUP(J20,'G-3 Multipliers'!$L$3:$N$6,2,FALSE)=0,"Spatial Data Missing",VLOOKUP(J20,'G-3 Multipliers'!$L$3:$N$6,2,FALSE)))</f>
        <v/>
      </c>
      <c r="L20" s="505" t="str">
        <f>IF(J20="","",IF(VLOOKUP(J20,'G-3 Multipliers'!$L$3:$N$6,3,FALSE)=0,"Spatial Data Missing ⚠",VLOOKUP(J20,'G-3 Multipliers'!$L$3:$N$6,3,FALSE)))</f>
        <v/>
      </c>
      <c r="M20" s="506" t="str">
        <f>IF(D20="","",VLOOKUP(D20,'G-6 Hedgerow Data'!$B$1:$AH$15,33,FALSE))</f>
        <v/>
      </c>
      <c r="N20" s="513" t="str">
        <f t="shared" si="2"/>
        <v/>
      </c>
      <c r="O20" s="40"/>
      <c r="P20" s="154"/>
      <c r="Q20" s="203"/>
      <c r="R20" s="532" t="str">
        <f t="shared" si="3"/>
        <v/>
      </c>
      <c r="S20" s="532" t="str">
        <f t="shared" si="4"/>
        <v/>
      </c>
      <c r="T20" s="532" t="str">
        <f t="shared" si="5"/>
        <v/>
      </c>
      <c r="U20" s="557" t="str">
        <f t="shared" si="6"/>
        <v/>
      </c>
      <c r="V20" s="151"/>
      <c r="W20" s="152"/>
      <c r="AE20" s="156" t="str">
        <f t="shared" si="0"/>
        <v/>
      </c>
      <c r="AF20" s="156" t="str">
        <f t="shared" si="1"/>
        <v/>
      </c>
      <c r="AH20" s="156">
        <v>11</v>
      </c>
      <c r="AJ20" s="156" t="str">
        <f t="array" ref="AJ20">IFERROR(INDEX($AH$10:$AH$258, MATCH(0, IF(TRUE=$AE$10:$AE$258, COUNTIF($AJ$9:$AJ19, $AH$10:$AH$258), ""), 0)),"")</f>
        <v/>
      </c>
      <c r="AK20" s="156" t="str">
        <f t="array" ref="AK20">IFERROR(INDEX($AH$10:$AH$258, MATCH(0, IF(TRUE=$AF$10:$AF$258, COUNTIF($AK$9:$AK19, $AH$10:$AH$258), ""), 0)),"")</f>
        <v/>
      </c>
      <c r="AL20" s="31" t="str">
        <f>IFERROR(INDEX('G-6 Hedgerow Data'!$BJ$3:$BJ$15,MATCH(D20,'G-6 Hedgerow Data'!$B$3:$B$15,0)),"")</f>
        <v/>
      </c>
    </row>
    <row r="21" spans="2:38" ht="14" x14ac:dyDescent="0.3">
      <c r="B21" s="141">
        <v>12</v>
      </c>
      <c r="C21" s="203"/>
      <c r="D21" s="203"/>
      <c r="E21" s="153"/>
      <c r="F21" s="553" t="str">
        <f>IF(D21="","",VLOOKUP(D21,'G-6 Hedgerow Data'!$B$2:$AG$15,2,FALSE))</f>
        <v/>
      </c>
      <c r="G21" s="499" t="str">
        <f>IF(D21="","",VLOOKUP(D21,'G-6 Hedgerow Data'!$B$2:$AG$15,3,FALSE))</f>
        <v/>
      </c>
      <c r="H21" s="145"/>
      <c r="I21" s="499" t="str">
        <f>IFERROR(VLOOKUP(H21,'G-1 All Habitats'!$Z$2:$AA$9,2,FALSE),"")</f>
        <v/>
      </c>
      <c r="J21" s="145"/>
      <c r="K21" s="507" t="str">
        <f>IF(J21="","",IF(VLOOKUP(J21,'G-3 Multipliers'!$L$3:$N$6,2,FALSE)=0,"Spatial Data Missing",VLOOKUP(J21,'G-3 Multipliers'!$L$3:$N$6,2,FALSE)))</f>
        <v/>
      </c>
      <c r="L21" s="505" t="str">
        <f>IF(J21="","",IF(VLOOKUP(J21,'G-3 Multipliers'!$L$3:$N$6,3,FALSE)=0,"Spatial Data Missing ⚠",VLOOKUP(J21,'G-3 Multipliers'!$L$3:$N$6,3,FALSE)))</f>
        <v/>
      </c>
      <c r="M21" s="506" t="str">
        <f>IF(D21="","",VLOOKUP(D21,'G-6 Hedgerow Data'!$B$1:$AH$15,33,FALSE))</f>
        <v/>
      </c>
      <c r="N21" s="513" t="str">
        <f t="shared" si="2"/>
        <v/>
      </c>
      <c r="O21" s="40"/>
      <c r="P21" s="154"/>
      <c r="Q21" s="203"/>
      <c r="R21" s="532" t="str">
        <f t="shared" si="3"/>
        <v/>
      </c>
      <c r="S21" s="532" t="str">
        <f t="shared" si="4"/>
        <v/>
      </c>
      <c r="T21" s="532" t="str">
        <f t="shared" si="5"/>
        <v/>
      </c>
      <c r="U21" s="557" t="str">
        <f t="shared" si="6"/>
        <v/>
      </c>
      <c r="V21" s="151"/>
      <c r="W21" s="152"/>
      <c r="AE21" s="156" t="str">
        <f t="shared" si="0"/>
        <v/>
      </c>
      <c r="AF21" s="156" t="str">
        <f t="shared" si="1"/>
        <v/>
      </c>
      <c r="AH21" s="156">
        <v>12</v>
      </c>
      <c r="AJ21" s="156" t="str">
        <f t="array" ref="AJ21">IFERROR(INDEX($AH$10:$AH$258, MATCH(0, IF(TRUE=$AE$10:$AE$258, COUNTIF($AJ$9:$AJ20, $AH$10:$AH$258), ""), 0)),"")</f>
        <v/>
      </c>
      <c r="AK21" s="156" t="str">
        <f t="array" ref="AK21">IFERROR(INDEX($AH$10:$AH$258, MATCH(0, IF(TRUE=$AF$10:$AF$258, COUNTIF($AK$9:$AK20, $AH$10:$AH$258), ""), 0)),"")</f>
        <v/>
      </c>
      <c r="AL21" s="31" t="str">
        <f>IFERROR(INDEX('G-6 Hedgerow Data'!$BJ$3:$BJ$15,MATCH(D21,'G-6 Hedgerow Data'!$B$3:$B$15,0)),"")</f>
        <v/>
      </c>
    </row>
    <row r="22" spans="2:38" ht="14" x14ac:dyDescent="0.3">
      <c r="B22" s="141">
        <v>13</v>
      </c>
      <c r="C22" s="203"/>
      <c r="D22" s="203"/>
      <c r="E22" s="153"/>
      <c r="F22" s="553" t="str">
        <f>IF(D22="","",VLOOKUP(D22,'G-6 Hedgerow Data'!$B$2:$AG$15,2,FALSE))</f>
        <v/>
      </c>
      <c r="G22" s="499" t="str">
        <f>IF(D22="","",VLOOKUP(D22,'G-6 Hedgerow Data'!$B$2:$AG$15,3,FALSE))</f>
        <v/>
      </c>
      <c r="H22" s="145"/>
      <c r="I22" s="499" t="str">
        <f>IFERROR(VLOOKUP(H22,'G-1 All Habitats'!$Z$2:$AA$9,2,FALSE),"")</f>
        <v/>
      </c>
      <c r="J22" s="145"/>
      <c r="K22" s="507" t="str">
        <f>IF(J22="","",IF(VLOOKUP(J22,'G-3 Multipliers'!$L$3:$N$6,2,FALSE)=0,"Spatial Data Missing",VLOOKUP(J22,'G-3 Multipliers'!$L$3:$N$6,2,FALSE)))</f>
        <v/>
      </c>
      <c r="L22" s="505" t="str">
        <f>IF(J22="","",IF(VLOOKUP(J22,'G-3 Multipliers'!$L$3:$N$6,3,FALSE)=0,"Spatial Data Missing ⚠",VLOOKUP(J22,'G-3 Multipliers'!$L$3:$N$6,3,FALSE)))</f>
        <v/>
      </c>
      <c r="M22" s="506" t="str">
        <f>IF(D22="","",VLOOKUP(D22,'G-6 Hedgerow Data'!$B$1:$AH$15,33,FALSE))</f>
        <v/>
      </c>
      <c r="N22" s="513" t="str">
        <f t="shared" si="2"/>
        <v/>
      </c>
      <c r="O22" s="40"/>
      <c r="P22" s="154"/>
      <c r="Q22" s="203"/>
      <c r="R22" s="532" t="str">
        <f t="shared" si="3"/>
        <v/>
      </c>
      <c r="S22" s="532" t="str">
        <f t="shared" si="4"/>
        <v/>
      </c>
      <c r="T22" s="532" t="str">
        <f t="shared" si="5"/>
        <v/>
      </c>
      <c r="U22" s="557" t="str">
        <f t="shared" si="6"/>
        <v/>
      </c>
      <c r="V22" s="151"/>
      <c r="W22" s="152"/>
      <c r="AE22" s="156" t="str">
        <f t="shared" si="0"/>
        <v/>
      </c>
      <c r="AF22" s="156" t="str">
        <f t="shared" si="1"/>
        <v/>
      </c>
      <c r="AH22" s="156">
        <v>13</v>
      </c>
      <c r="AJ22" s="156" t="str">
        <f t="array" ref="AJ22">IFERROR(INDEX($AH$10:$AH$258, MATCH(0, IF(TRUE=$AE$10:$AE$258, COUNTIF($AJ$9:$AJ21, $AH$10:$AH$258), ""), 0)),"")</f>
        <v/>
      </c>
      <c r="AK22" s="156" t="str">
        <f t="array" ref="AK22">IFERROR(INDEX($AH$10:$AH$258, MATCH(0, IF(TRUE=$AF$10:$AF$258, COUNTIF($AK$9:$AK21, $AH$10:$AH$258), ""), 0)),"")</f>
        <v/>
      </c>
      <c r="AL22" s="31" t="str">
        <f>IFERROR(INDEX('G-6 Hedgerow Data'!$BJ$3:$BJ$15,MATCH(D22,'G-6 Hedgerow Data'!$B$3:$B$15,0)),"")</f>
        <v/>
      </c>
    </row>
    <row r="23" spans="2:38" ht="14" x14ac:dyDescent="0.3">
      <c r="B23" s="141">
        <v>14</v>
      </c>
      <c r="C23" s="203"/>
      <c r="D23" s="203"/>
      <c r="E23" s="153"/>
      <c r="F23" s="553" t="str">
        <f>IF(D23="","",VLOOKUP(D23,'G-6 Hedgerow Data'!$B$2:$AG$15,2,FALSE))</f>
        <v/>
      </c>
      <c r="G23" s="499" t="str">
        <f>IF(D23="","",VLOOKUP(D23,'G-6 Hedgerow Data'!$B$2:$AG$15,3,FALSE))</f>
        <v/>
      </c>
      <c r="H23" s="145"/>
      <c r="I23" s="499" t="str">
        <f>IFERROR(VLOOKUP(H23,'G-1 All Habitats'!$Z$2:$AA$9,2,FALSE),"")</f>
        <v/>
      </c>
      <c r="J23" s="145"/>
      <c r="K23" s="507" t="str">
        <f>IF(J23="","",IF(VLOOKUP(J23,'G-3 Multipliers'!$L$3:$N$6,2,FALSE)=0,"Spatial Data Missing",VLOOKUP(J23,'G-3 Multipliers'!$L$3:$N$6,2,FALSE)))</f>
        <v/>
      </c>
      <c r="L23" s="505" t="str">
        <f>IF(J23="","",IF(VLOOKUP(J23,'G-3 Multipliers'!$L$3:$N$6,3,FALSE)=0,"Spatial Data Missing ⚠",VLOOKUP(J23,'G-3 Multipliers'!$L$3:$N$6,3,FALSE)))</f>
        <v/>
      </c>
      <c r="M23" s="506" t="str">
        <f>IF(D23="","",VLOOKUP(D23,'G-6 Hedgerow Data'!$B$1:$AH$15,33,FALSE))</f>
        <v/>
      </c>
      <c r="N23" s="513" t="str">
        <f t="shared" si="2"/>
        <v/>
      </c>
      <c r="O23" s="40"/>
      <c r="P23" s="154"/>
      <c r="Q23" s="203"/>
      <c r="R23" s="532" t="str">
        <f t="shared" si="3"/>
        <v/>
      </c>
      <c r="S23" s="532" t="str">
        <f t="shared" si="4"/>
        <v/>
      </c>
      <c r="T23" s="532" t="str">
        <f t="shared" si="5"/>
        <v/>
      </c>
      <c r="U23" s="557" t="str">
        <f t="shared" si="6"/>
        <v/>
      </c>
      <c r="V23" s="151"/>
      <c r="W23" s="152"/>
      <c r="AE23" s="156" t="str">
        <f t="shared" si="0"/>
        <v/>
      </c>
      <c r="AF23" s="156" t="str">
        <f t="shared" si="1"/>
        <v/>
      </c>
      <c r="AH23" s="156">
        <v>14</v>
      </c>
      <c r="AJ23" s="156" t="str">
        <f t="array" ref="AJ23">IFERROR(INDEX($AH$10:$AH$258, MATCH(0, IF(TRUE=$AE$10:$AE$258, COUNTIF($AJ$9:$AJ22, $AH$10:$AH$258), ""), 0)),"")</f>
        <v/>
      </c>
      <c r="AK23" s="156" t="str">
        <f t="array" ref="AK23">IFERROR(INDEX($AH$10:$AH$258, MATCH(0, IF(TRUE=$AF$10:$AF$258, COUNTIF($AK$9:$AK22, $AH$10:$AH$258), ""), 0)),"")</f>
        <v/>
      </c>
      <c r="AL23" s="31" t="str">
        <f>IFERROR(INDEX('G-6 Hedgerow Data'!$BJ$3:$BJ$15,MATCH(D23,'G-6 Hedgerow Data'!$B$3:$B$15,0)),"")</f>
        <v/>
      </c>
    </row>
    <row r="24" spans="2:38" ht="14" x14ac:dyDescent="0.3">
      <c r="B24" s="141">
        <v>15</v>
      </c>
      <c r="C24" s="203"/>
      <c r="D24" s="203"/>
      <c r="E24" s="153"/>
      <c r="F24" s="553" t="str">
        <f>IF(D24="","",VLOOKUP(D24,'G-6 Hedgerow Data'!$B$2:$AG$15,2,FALSE))</f>
        <v/>
      </c>
      <c r="G24" s="499" t="str">
        <f>IF(D24="","",VLOOKUP(D24,'G-6 Hedgerow Data'!$B$2:$AG$15,3,FALSE))</f>
        <v/>
      </c>
      <c r="H24" s="145"/>
      <c r="I24" s="499" t="str">
        <f>IFERROR(VLOOKUP(H24,'G-1 All Habitats'!$Z$2:$AA$9,2,FALSE),"")</f>
        <v/>
      </c>
      <c r="J24" s="145"/>
      <c r="K24" s="507" t="str">
        <f>IF(J24="","",IF(VLOOKUP(J24,'G-3 Multipliers'!$L$3:$N$6,2,FALSE)=0,"Spatial Data Missing",VLOOKUP(J24,'G-3 Multipliers'!$L$3:$N$6,2,FALSE)))</f>
        <v/>
      </c>
      <c r="L24" s="505" t="str">
        <f>IF(J24="","",IF(VLOOKUP(J24,'G-3 Multipliers'!$L$3:$N$6,3,FALSE)=0,"Spatial Data Missing ⚠",VLOOKUP(J24,'G-3 Multipliers'!$L$3:$N$6,3,FALSE)))</f>
        <v/>
      </c>
      <c r="M24" s="506" t="str">
        <f>IF(D24="","",VLOOKUP(D24,'G-6 Hedgerow Data'!$B$1:$AH$15,33,FALSE))</f>
        <v/>
      </c>
      <c r="N24" s="513" t="str">
        <f t="shared" si="2"/>
        <v/>
      </c>
      <c r="O24" s="40"/>
      <c r="P24" s="154"/>
      <c r="Q24" s="203"/>
      <c r="R24" s="532" t="str">
        <f t="shared" si="3"/>
        <v/>
      </c>
      <c r="S24" s="532" t="str">
        <f t="shared" si="4"/>
        <v/>
      </c>
      <c r="T24" s="532" t="str">
        <f t="shared" si="5"/>
        <v/>
      </c>
      <c r="U24" s="557" t="str">
        <f t="shared" si="6"/>
        <v/>
      </c>
      <c r="V24" s="151"/>
      <c r="W24" s="152"/>
      <c r="AE24" s="156" t="str">
        <f t="shared" si="0"/>
        <v/>
      </c>
      <c r="AF24" s="156" t="str">
        <f t="shared" si="1"/>
        <v/>
      </c>
      <c r="AH24" s="156">
        <v>15</v>
      </c>
      <c r="AJ24" s="156" t="str">
        <f t="array" ref="AJ24">IFERROR(INDEX($AH$10:$AH$258, MATCH(0, IF(TRUE=$AE$10:$AE$258, COUNTIF($AJ$9:$AJ23, $AH$10:$AH$258), ""), 0)),"")</f>
        <v/>
      </c>
      <c r="AK24" s="156" t="str">
        <f t="array" ref="AK24">IFERROR(INDEX($AH$10:$AH$258, MATCH(0, IF(TRUE=$AF$10:$AF$258, COUNTIF($AK$9:$AK23, $AH$10:$AH$258), ""), 0)),"")</f>
        <v/>
      </c>
      <c r="AL24" s="31" t="str">
        <f>IFERROR(INDEX('G-6 Hedgerow Data'!$BJ$3:$BJ$15,MATCH(D24,'G-6 Hedgerow Data'!$B$3:$B$15,0)),"")</f>
        <v/>
      </c>
    </row>
    <row r="25" spans="2:38" ht="14" x14ac:dyDescent="0.3">
      <c r="B25" s="141">
        <v>16</v>
      </c>
      <c r="C25" s="203"/>
      <c r="D25" s="203"/>
      <c r="E25" s="153"/>
      <c r="F25" s="553" t="str">
        <f>IF(D25="","",VLOOKUP(D25,'G-6 Hedgerow Data'!$B$2:$AG$15,2,FALSE))</f>
        <v/>
      </c>
      <c r="G25" s="499" t="str">
        <f>IF(D25="","",VLOOKUP(D25,'G-6 Hedgerow Data'!$B$2:$AG$15,3,FALSE))</f>
        <v/>
      </c>
      <c r="H25" s="145"/>
      <c r="I25" s="499" t="str">
        <f>IFERROR(VLOOKUP(H25,'G-1 All Habitats'!$Z$2:$AA$9,2,FALSE),"")</f>
        <v/>
      </c>
      <c r="J25" s="145"/>
      <c r="K25" s="507" t="str">
        <f>IF(J25="","",IF(VLOOKUP(J25,'G-3 Multipliers'!$L$3:$N$6,2,FALSE)=0,"Spatial Data Missing",VLOOKUP(J25,'G-3 Multipliers'!$L$3:$N$6,2,FALSE)))</f>
        <v/>
      </c>
      <c r="L25" s="505" t="str">
        <f>IF(J25="","",IF(VLOOKUP(J25,'G-3 Multipliers'!$L$3:$N$6,3,FALSE)=0,"Spatial Data Missing ⚠",VLOOKUP(J25,'G-3 Multipliers'!$L$3:$N$6,3,FALSE)))</f>
        <v/>
      </c>
      <c r="M25" s="506" t="str">
        <f>IF(D25="","",VLOOKUP(D25,'G-6 Hedgerow Data'!$B$1:$AH$15,33,FALSE))</f>
        <v/>
      </c>
      <c r="N25" s="513" t="str">
        <f t="shared" si="2"/>
        <v/>
      </c>
      <c r="O25" s="40"/>
      <c r="P25" s="154"/>
      <c r="Q25" s="203"/>
      <c r="R25" s="532" t="str">
        <f t="shared" si="3"/>
        <v/>
      </c>
      <c r="S25" s="532" t="str">
        <f t="shared" si="4"/>
        <v/>
      </c>
      <c r="T25" s="532" t="str">
        <f t="shared" si="5"/>
        <v/>
      </c>
      <c r="U25" s="557" t="str">
        <f t="shared" si="6"/>
        <v/>
      </c>
      <c r="V25" s="151"/>
      <c r="W25" s="152"/>
      <c r="AE25" s="156" t="str">
        <f t="shared" si="0"/>
        <v/>
      </c>
      <c r="AF25" s="156" t="str">
        <f t="shared" si="1"/>
        <v/>
      </c>
      <c r="AH25" s="156">
        <v>16</v>
      </c>
      <c r="AJ25" s="156" t="str">
        <f t="array" ref="AJ25">IFERROR(INDEX($AH$10:$AH$258, MATCH(0, IF(TRUE=$AE$10:$AE$258, COUNTIF($AJ$9:$AJ24, $AH$10:$AH$258), ""), 0)),"")</f>
        <v/>
      </c>
      <c r="AK25" s="156" t="str">
        <f t="array" ref="AK25">IFERROR(INDEX($AH$10:$AH$258, MATCH(0, IF(TRUE=$AF$10:$AF$258, COUNTIF($AK$9:$AK24, $AH$10:$AH$258), ""), 0)),"")</f>
        <v/>
      </c>
      <c r="AL25" s="31" t="str">
        <f>IFERROR(INDEX('G-6 Hedgerow Data'!$BJ$3:$BJ$15,MATCH(D25,'G-6 Hedgerow Data'!$B$3:$B$15,0)),"")</f>
        <v/>
      </c>
    </row>
    <row r="26" spans="2:38" ht="14" x14ac:dyDescent="0.3">
      <c r="B26" s="141">
        <v>17</v>
      </c>
      <c r="C26" s="203"/>
      <c r="D26" s="203"/>
      <c r="E26" s="153"/>
      <c r="F26" s="553" t="str">
        <f>IF(D26="","",VLOOKUP(D26,'G-6 Hedgerow Data'!$B$2:$AG$15,2,FALSE))</f>
        <v/>
      </c>
      <c r="G26" s="499" t="str">
        <f>IF(D26="","",VLOOKUP(D26,'G-6 Hedgerow Data'!$B$2:$AG$15,3,FALSE))</f>
        <v/>
      </c>
      <c r="H26" s="145"/>
      <c r="I26" s="499" t="str">
        <f>IFERROR(VLOOKUP(H26,'G-1 All Habitats'!$Z$2:$AA$9,2,FALSE),"")</f>
        <v/>
      </c>
      <c r="J26" s="145"/>
      <c r="K26" s="507" t="str">
        <f>IF(J26="","",IF(VLOOKUP(J26,'G-3 Multipliers'!$L$3:$N$6,2,FALSE)=0,"Spatial Data Missing",VLOOKUP(J26,'G-3 Multipliers'!$L$3:$N$6,2,FALSE)))</f>
        <v/>
      </c>
      <c r="L26" s="505" t="str">
        <f>IF(J26="","",IF(VLOOKUP(J26,'G-3 Multipliers'!$L$3:$N$6,3,FALSE)=0,"Spatial Data Missing ⚠",VLOOKUP(J26,'G-3 Multipliers'!$L$3:$N$6,3,FALSE)))</f>
        <v/>
      </c>
      <c r="M26" s="506" t="str">
        <f>IF(D26="","",VLOOKUP(D26,'G-6 Hedgerow Data'!$B$1:$AH$15,33,FALSE))</f>
        <v/>
      </c>
      <c r="N26" s="513" t="str">
        <f t="shared" si="2"/>
        <v/>
      </c>
      <c r="O26" s="40"/>
      <c r="P26" s="154"/>
      <c r="Q26" s="203"/>
      <c r="R26" s="532" t="str">
        <f t="shared" si="3"/>
        <v/>
      </c>
      <c r="S26" s="532" t="str">
        <f t="shared" si="4"/>
        <v/>
      </c>
      <c r="T26" s="532" t="str">
        <f t="shared" si="5"/>
        <v/>
      </c>
      <c r="U26" s="557" t="str">
        <f t="shared" si="6"/>
        <v/>
      </c>
      <c r="V26" s="151"/>
      <c r="W26" s="152"/>
      <c r="AE26" s="156" t="str">
        <f t="shared" si="0"/>
        <v/>
      </c>
      <c r="AF26" s="156" t="str">
        <f t="shared" si="1"/>
        <v/>
      </c>
      <c r="AH26" s="156">
        <v>17</v>
      </c>
      <c r="AJ26" s="156" t="str">
        <f t="array" ref="AJ26">IFERROR(INDEX($AH$10:$AH$258, MATCH(0, IF(TRUE=$AE$10:$AE$258, COUNTIF($AJ$9:$AJ25, $AH$10:$AH$258), ""), 0)),"")</f>
        <v/>
      </c>
      <c r="AK26" s="156" t="str">
        <f t="array" ref="AK26">IFERROR(INDEX($AH$10:$AH$258, MATCH(0, IF(TRUE=$AF$10:$AF$258, COUNTIF($AK$9:$AK25, $AH$10:$AH$258), ""), 0)),"")</f>
        <v/>
      </c>
      <c r="AL26" s="31" t="str">
        <f>IFERROR(INDEX('G-6 Hedgerow Data'!$BJ$3:$BJ$15,MATCH(D26,'G-6 Hedgerow Data'!$B$3:$B$15,0)),"")</f>
        <v/>
      </c>
    </row>
    <row r="27" spans="2:38" ht="14" x14ac:dyDescent="0.3">
      <c r="B27" s="141">
        <v>18</v>
      </c>
      <c r="C27" s="203"/>
      <c r="D27" s="203"/>
      <c r="E27" s="153"/>
      <c r="F27" s="553" t="str">
        <f>IF(D27="","",VLOOKUP(D27,'G-6 Hedgerow Data'!$B$2:$AG$15,2,FALSE))</f>
        <v/>
      </c>
      <c r="G27" s="499" t="str">
        <f>IF(D27="","",VLOOKUP(D27,'G-6 Hedgerow Data'!$B$2:$AG$15,3,FALSE))</f>
        <v/>
      </c>
      <c r="H27" s="145"/>
      <c r="I27" s="499" t="str">
        <f>IFERROR(VLOOKUP(H27,'G-1 All Habitats'!$Z$2:$AA$9,2,FALSE),"")</f>
        <v/>
      </c>
      <c r="J27" s="145"/>
      <c r="K27" s="507" t="str">
        <f>IF(J27="","",IF(VLOOKUP(J27,'G-3 Multipliers'!$L$3:$N$6,2,FALSE)=0,"Spatial Data Missing",VLOOKUP(J27,'G-3 Multipliers'!$L$3:$N$6,2,FALSE)))</f>
        <v/>
      </c>
      <c r="L27" s="505" t="str">
        <f>IF(J27="","",IF(VLOOKUP(J27,'G-3 Multipliers'!$L$3:$N$6,3,FALSE)=0,"Spatial Data Missing ⚠",VLOOKUP(J27,'G-3 Multipliers'!$L$3:$N$6,3,FALSE)))</f>
        <v/>
      </c>
      <c r="M27" s="506" t="str">
        <f>IF(D27="","",VLOOKUP(D27,'G-6 Hedgerow Data'!$B$1:$AH$15,33,FALSE))</f>
        <v/>
      </c>
      <c r="N27" s="513" t="str">
        <f t="shared" si="2"/>
        <v/>
      </c>
      <c r="O27" s="40"/>
      <c r="P27" s="154"/>
      <c r="Q27" s="203"/>
      <c r="R27" s="532" t="str">
        <f t="shared" si="3"/>
        <v/>
      </c>
      <c r="S27" s="532" t="str">
        <f t="shared" si="4"/>
        <v/>
      </c>
      <c r="T27" s="532" t="str">
        <f t="shared" si="5"/>
        <v/>
      </c>
      <c r="U27" s="557" t="str">
        <f t="shared" si="6"/>
        <v/>
      </c>
      <c r="V27" s="151"/>
      <c r="W27" s="152"/>
      <c r="AE27" s="156" t="str">
        <f t="shared" si="0"/>
        <v/>
      </c>
      <c r="AF27" s="156" t="str">
        <f t="shared" si="1"/>
        <v/>
      </c>
      <c r="AH27" s="156">
        <v>18</v>
      </c>
      <c r="AJ27" s="156" t="str">
        <f t="array" ref="AJ27">IFERROR(INDEX($AH$10:$AH$258, MATCH(0, IF(TRUE=$AE$10:$AE$258, COUNTIF($AJ$9:$AJ26, $AH$10:$AH$258), ""), 0)),"")</f>
        <v/>
      </c>
      <c r="AK27" s="156" t="str">
        <f t="array" ref="AK27">IFERROR(INDEX($AH$10:$AH$258, MATCH(0, IF(TRUE=$AF$10:$AF$258, COUNTIF($AK$9:$AK26, $AH$10:$AH$258), ""), 0)),"")</f>
        <v/>
      </c>
      <c r="AL27" s="31" t="str">
        <f>IFERROR(INDEX('G-6 Hedgerow Data'!$BJ$3:$BJ$15,MATCH(D27,'G-6 Hedgerow Data'!$B$3:$B$15,0)),"")</f>
        <v/>
      </c>
    </row>
    <row r="28" spans="2:38" ht="14" x14ac:dyDescent="0.3">
      <c r="B28" s="141">
        <v>19</v>
      </c>
      <c r="C28" s="203"/>
      <c r="D28" s="203"/>
      <c r="E28" s="153"/>
      <c r="F28" s="553" t="str">
        <f>IF(D28="","",VLOOKUP(D28,'G-6 Hedgerow Data'!$B$2:$AG$15,2,FALSE))</f>
        <v/>
      </c>
      <c r="G28" s="499" t="str">
        <f>IF(D28="","",VLOOKUP(D28,'G-6 Hedgerow Data'!$B$2:$AG$15,3,FALSE))</f>
        <v/>
      </c>
      <c r="H28" s="145"/>
      <c r="I28" s="499" t="str">
        <f>IFERROR(VLOOKUP(H28,'G-1 All Habitats'!$Z$2:$AA$9,2,FALSE),"")</f>
        <v/>
      </c>
      <c r="J28" s="145"/>
      <c r="K28" s="507" t="str">
        <f>IF(J28="","",IF(VLOOKUP(J28,'G-3 Multipliers'!$L$3:$N$6,2,FALSE)=0,"Spatial Data Missing",VLOOKUP(J28,'G-3 Multipliers'!$L$3:$N$6,2,FALSE)))</f>
        <v/>
      </c>
      <c r="L28" s="505" t="str">
        <f>IF(J28="","",IF(VLOOKUP(J28,'G-3 Multipliers'!$L$3:$N$6,3,FALSE)=0,"Spatial Data Missing ⚠",VLOOKUP(J28,'G-3 Multipliers'!$L$3:$N$6,3,FALSE)))</f>
        <v/>
      </c>
      <c r="M28" s="506" t="str">
        <f>IF(D28="","",VLOOKUP(D28,'G-6 Hedgerow Data'!$B$1:$AH$15,33,FALSE))</f>
        <v/>
      </c>
      <c r="N28" s="513" t="str">
        <f t="shared" si="2"/>
        <v/>
      </c>
      <c r="O28" s="40"/>
      <c r="P28" s="154"/>
      <c r="Q28" s="203"/>
      <c r="R28" s="532" t="str">
        <f t="shared" si="3"/>
        <v/>
      </c>
      <c r="S28" s="532" t="str">
        <f t="shared" si="4"/>
        <v/>
      </c>
      <c r="T28" s="532" t="str">
        <f t="shared" si="5"/>
        <v/>
      </c>
      <c r="U28" s="557" t="str">
        <f t="shared" si="6"/>
        <v/>
      </c>
      <c r="V28" s="151"/>
      <c r="W28" s="152"/>
      <c r="AE28" s="156" t="str">
        <f t="shared" si="0"/>
        <v/>
      </c>
      <c r="AF28" s="156" t="str">
        <f t="shared" si="1"/>
        <v/>
      </c>
      <c r="AH28" s="156">
        <v>19</v>
      </c>
      <c r="AJ28" s="156" t="str">
        <f t="array" ref="AJ28">IFERROR(INDEX($AH$10:$AH$258, MATCH(0, IF(TRUE=$AE$10:$AE$258, COUNTIF($AJ$9:$AJ27, $AH$10:$AH$258), ""), 0)),"")</f>
        <v/>
      </c>
      <c r="AK28" s="156" t="str">
        <f t="array" ref="AK28">IFERROR(INDEX($AH$10:$AH$258, MATCH(0, IF(TRUE=$AF$10:$AF$258, COUNTIF($AK$9:$AK27, $AH$10:$AH$258), ""), 0)),"")</f>
        <v/>
      </c>
      <c r="AL28" s="31" t="str">
        <f>IFERROR(INDEX('G-6 Hedgerow Data'!$BJ$3:$BJ$15,MATCH(D28,'G-6 Hedgerow Data'!$B$3:$B$15,0)),"")</f>
        <v/>
      </c>
    </row>
    <row r="29" spans="2:38" ht="14" x14ac:dyDescent="0.3">
      <c r="B29" s="141">
        <v>20</v>
      </c>
      <c r="C29" s="203"/>
      <c r="D29" s="203"/>
      <c r="E29" s="153"/>
      <c r="F29" s="553" t="str">
        <f>IF(D29="","",VLOOKUP(D29,'G-6 Hedgerow Data'!$B$2:$AG$15,2,FALSE))</f>
        <v/>
      </c>
      <c r="G29" s="499" t="str">
        <f>IF(D29="","",VLOOKUP(D29,'G-6 Hedgerow Data'!$B$2:$AG$15,3,FALSE))</f>
        <v/>
      </c>
      <c r="H29" s="145"/>
      <c r="I29" s="499" t="str">
        <f>IFERROR(VLOOKUP(H29,'G-1 All Habitats'!$Z$2:$AA$9,2,FALSE),"")</f>
        <v/>
      </c>
      <c r="J29" s="145"/>
      <c r="K29" s="507" t="str">
        <f>IF(J29="","",IF(VLOOKUP(J29,'G-3 Multipliers'!$L$3:$N$6,2,FALSE)=0,"Spatial Data Missing",VLOOKUP(J29,'G-3 Multipliers'!$L$3:$N$6,2,FALSE)))</f>
        <v/>
      </c>
      <c r="L29" s="505" t="str">
        <f>IF(J29="","",IF(VLOOKUP(J29,'G-3 Multipliers'!$L$3:$N$6,3,FALSE)=0,"Spatial Data Missing ⚠",VLOOKUP(J29,'G-3 Multipliers'!$L$3:$N$6,3,FALSE)))</f>
        <v/>
      </c>
      <c r="M29" s="506" t="str">
        <f>IF(D29="","",VLOOKUP(D29,'G-6 Hedgerow Data'!$B$1:$AH$15,33,FALSE))</f>
        <v/>
      </c>
      <c r="N29" s="513" t="str">
        <f t="shared" si="2"/>
        <v/>
      </c>
      <c r="O29" s="40"/>
      <c r="P29" s="154"/>
      <c r="Q29" s="203"/>
      <c r="R29" s="532" t="str">
        <f t="shared" si="3"/>
        <v/>
      </c>
      <c r="S29" s="532" t="str">
        <f t="shared" si="4"/>
        <v/>
      </c>
      <c r="T29" s="532" t="str">
        <f t="shared" si="5"/>
        <v/>
      </c>
      <c r="U29" s="557" t="str">
        <f t="shared" si="6"/>
        <v/>
      </c>
      <c r="V29" s="151"/>
      <c r="W29" s="152"/>
      <c r="AE29" s="156" t="str">
        <f t="shared" si="0"/>
        <v/>
      </c>
      <c r="AF29" s="156" t="str">
        <f t="shared" si="1"/>
        <v/>
      </c>
      <c r="AH29" s="156">
        <v>20</v>
      </c>
      <c r="AJ29" s="156" t="str">
        <f t="array" ref="AJ29">IFERROR(INDEX($AH$10:$AH$258, MATCH(0, IF(TRUE=$AE$10:$AE$258, COUNTIF($AJ$9:$AJ28, $AH$10:$AH$258), ""), 0)),"")</f>
        <v/>
      </c>
      <c r="AK29" s="156" t="str">
        <f t="array" ref="AK29">IFERROR(INDEX($AH$10:$AH$258, MATCH(0, IF(TRUE=$AF$10:$AF$258, COUNTIF($AK$9:$AK28, $AH$10:$AH$258), ""), 0)),"")</f>
        <v/>
      </c>
      <c r="AL29" s="31" t="str">
        <f>IFERROR(INDEX('G-6 Hedgerow Data'!$BJ$3:$BJ$15,MATCH(D29,'G-6 Hedgerow Data'!$B$3:$B$15,0)),"")</f>
        <v/>
      </c>
    </row>
    <row r="30" spans="2:38" ht="14" x14ac:dyDescent="0.3">
      <c r="B30" s="141">
        <v>21</v>
      </c>
      <c r="C30" s="203"/>
      <c r="D30" s="203"/>
      <c r="E30" s="153"/>
      <c r="F30" s="553" t="str">
        <f>IF(D30="","",VLOOKUP(D30,'G-6 Hedgerow Data'!$B$2:$AG$15,2,FALSE))</f>
        <v/>
      </c>
      <c r="G30" s="499" t="str">
        <f>IF(D30="","",VLOOKUP(D30,'G-6 Hedgerow Data'!$B$2:$AG$15,3,FALSE))</f>
        <v/>
      </c>
      <c r="H30" s="145"/>
      <c r="I30" s="499" t="str">
        <f>IFERROR(VLOOKUP(H30,'G-1 All Habitats'!$Z$2:$AA$9,2,FALSE),"")</f>
        <v/>
      </c>
      <c r="J30" s="145"/>
      <c r="K30" s="507" t="str">
        <f>IF(J30="","",IF(VLOOKUP(J30,'G-3 Multipliers'!$L$3:$N$6,2,FALSE)=0,"Spatial Data Missing",VLOOKUP(J30,'G-3 Multipliers'!$L$3:$N$6,2,FALSE)))</f>
        <v/>
      </c>
      <c r="L30" s="505" t="str">
        <f>IF(J30="","",IF(VLOOKUP(J30,'G-3 Multipliers'!$L$3:$N$6,3,FALSE)=0,"Spatial Data Missing ⚠",VLOOKUP(J30,'G-3 Multipliers'!$L$3:$N$6,3,FALSE)))</f>
        <v/>
      </c>
      <c r="M30" s="506" t="str">
        <f>IF(D30="","",VLOOKUP(D30,'G-6 Hedgerow Data'!$B$1:$AH$15,33,FALSE))</f>
        <v/>
      </c>
      <c r="N30" s="513" t="str">
        <f t="shared" si="2"/>
        <v/>
      </c>
      <c r="O30" s="40"/>
      <c r="P30" s="154"/>
      <c r="Q30" s="203"/>
      <c r="R30" s="532" t="str">
        <f t="shared" si="3"/>
        <v/>
      </c>
      <c r="S30" s="532" t="str">
        <f t="shared" si="4"/>
        <v/>
      </c>
      <c r="T30" s="532" t="str">
        <f t="shared" si="5"/>
        <v/>
      </c>
      <c r="U30" s="557" t="str">
        <f t="shared" si="6"/>
        <v/>
      </c>
      <c r="V30" s="151"/>
      <c r="W30" s="152"/>
      <c r="AE30" s="156" t="str">
        <f t="shared" si="0"/>
        <v/>
      </c>
      <c r="AF30" s="156" t="str">
        <f t="shared" si="1"/>
        <v/>
      </c>
      <c r="AH30" s="156">
        <v>21</v>
      </c>
      <c r="AJ30" s="156" t="str">
        <f t="array" ref="AJ30">IFERROR(INDEX($AH$10:$AH$258, MATCH(0, IF(TRUE=$AE$10:$AE$258, COUNTIF($AJ$9:$AJ29, $AH$10:$AH$258), ""), 0)),"")</f>
        <v/>
      </c>
      <c r="AK30" s="156" t="str">
        <f t="array" ref="AK30">IFERROR(INDEX($AH$10:$AH$258, MATCH(0, IF(TRUE=$AF$10:$AF$258, COUNTIF($AK$9:$AK29, $AH$10:$AH$258), ""), 0)),"")</f>
        <v/>
      </c>
      <c r="AL30" s="31" t="str">
        <f>IFERROR(INDEX('G-6 Hedgerow Data'!$BJ$3:$BJ$15,MATCH(D30,'G-6 Hedgerow Data'!$B$3:$B$15,0)),"")</f>
        <v/>
      </c>
    </row>
    <row r="31" spans="2:38" ht="14" x14ac:dyDescent="0.3">
      <c r="B31" s="141">
        <v>22</v>
      </c>
      <c r="C31" s="203"/>
      <c r="D31" s="203"/>
      <c r="E31" s="153"/>
      <c r="F31" s="553" t="str">
        <f>IF(D31="","",VLOOKUP(D31,'G-6 Hedgerow Data'!$B$2:$AG$15,2,FALSE))</f>
        <v/>
      </c>
      <c r="G31" s="499" t="str">
        <f>IF(D31="","",VLOOKUP(D31,'G-6 Hedgerow Data'!$B$2:$AG$15,3,FALSE))</f>
        <v/>
      </c>
      <c r="H31" s="145"/>
      <c r="I31" s="499" t="str">
        <f>IFERROR(VLOOKUP(H31,'G-1 All Habitats'!$Z$2:$AA$9,2,FALSE),"")</f>
        <v/>
      </c>
      <c r="J31" s="145"/>
      <c r="K31" s="507" t="str">
        <f>IF(J31="","",IF(VLOOKUP(J31,'G-3 Multipliers'!$L$3:$N$6,2,FALSE)=0,"Spatial Data Missing",VLOOKUP(J31,'G-3 Multipliers'!$L$3:$N$6,2,FALSE)))</f>
        <v/>
      </c>
      <c r="L31" s="505" t="str">
        <f>IF(J31="","",IF(VLOOKUP(J31,'G-3 Multipliers'!$L$3:$N$6,3,FALSE)=0,"Spatial Data Missing ⚠",VLOOKUP(J31,'G-3 Multipliers'!$L$3:$N$6,3,FALSE)))</f>
        <v/>
      </c>
      <c r="M31" s="506" t="str">
        <f>IF(D31="","",VLOOKUP(D31,'G-6 Hedgerow Data'!$B$1:$AH$15,33,FALSE))</f>
        <v/>
      </c>
      <c r="N31" s="513" t="str">
        <f t="shared" si="2"/>
        <v/>
      </c>
      <c r="O31" s="40"/>
      <c r="P31" s="154"/>
      <c r="Q31" s="203"/>
      <c r="R31" s="532" t="str">
        <f t="shared" si="3"/>
        <v/>
      </c>
      <c r="S31" s="532" t="str">
        <f t="shared" si="4"/>
        <v/>
      </c>
      <c r="T31" s="532" t="str">
        <f t="shared" si="5"/>
        <v/>
      </c>
      <c r="U31" s="557" t="str">
        <f t="shared" si="6"/>
        <v/>
      </c>
      <c r="V31" s="151"/>
      <c r="W31" s="152"/>
      <c r="AE31" s="156" t="str">
        <f t="shared" si="0"/>
        <v/>
      </c>
      <c r="AF31" s="156" t="str">
        <f t="shared" si="1"/>
        <v/>
      </c>
      <c r="AH31" s="156">
        <v>22</v>
      </c>
      <c r="AJ31" s="156" t="str">
        <f t="array" ref="AJ31">IFERROR(INDEX($AH$10:$AH$258, MATCH(0, IF(TRUE=$AE$10:$AE$258, COUNTIF($AJ$9:$AJ30, $AH$10:$AH$258), ""), 0)),"")</f>
        <v/>
      </c>
      <c r="AK31" s="156" t="str">
        <f t="array" ref="AK31">IFERROR(INDEX($AH$10:$AH$258, MATCH(0, IF(TRUE=$AF$10:$AF$258, COUNTIF($AK$9:$AK30, $AH$10:$AH$258), ""), 0)),"")</f>
        <v/>
      </c>
      <c r="AL31" s="31" t="str">
        <f>IFERROR(INDEX('G-6 Hedgerow Data'!$BJ$3:$BJ$15,MATCH(D31,'G-6 Hedgerow Data'!$B$3:$B$15,0)),"")</f>
        <v/>
      </c>
    </row>
    <row r="32" spans="2:38" ht="14" x14ac:dyDescent="0.3">
      <c r="B32" s="141">
        <v>23</v>
      </c>
      <c r="C32" s="203"/>
      <c r="D32" s="203"/>
      <c r="E32" s="153"/>
      <c r="F32" s="553" t="str">
        <f>IF(D32="","",VLOOKUP(D32,'G-6 Hedgerow Data'!$B$2:$AG$15,2,FALSE))</f>
        <v/>
      </c>
      <c r="G32" s="499" t="str">
        <f>IF(D32="","",VLOOKUP(D32,'G-6 Hedgerow Data'!$B$2:$AG$15,3,FALSE))</f>
        <v/>
      </c>
      <c r="H32" s="145"/>
      <c r="I32" s="499" t="str">
        <f>IFERROR(VLOOKUP(H32,'G-1 All Habitats'!$Z$2:$AA$9,2,FALSE),"")</f>
        <v/>
      </c>
      <c r="J32" s="145"/>
      <c r="K32" s="507" t="str">
        <f>IF(J32="","",IF(VLOOKUP(J32,'G-3 Multipliers'!$L$3:$N$6,2,FALSE)=0,"Spatial Data Missing",VLOOKUP(J32,'G-3 Multipliers'!$L$3:$N$6,2,FALSE)))</f>
        <v/>
      </c>
      <c r="L32" s="505" t="str">
        <f>IF(J32="","",IF(VLOOKUP(J32,'G-3 Multipliers'!$L$3:$N$6,3,FALSE)=0,"Spatial Data Missing ⚠",VLOOKUP(J32,'G-3 Multipliers'!$L$3:$N$6,3,FALSE)))</f>
        <v/>
      </c>
      <c r="M32" s="506" t="str">
        <f>IF(D32="","",VLOOKUP(D32,'G-6 Hedgerow Data'!$B$1:$AH$15,33,FALSE))</f>
        <v/>
      </c>
      <c r="N32" s="513" t="str">
        <f t="shared" si="2"/>
        <v/>
      </c>
      <c r="O32" s="40"/>
      <c r="P32" s="154"/>
      <c r="Q32" s="203"/>
      <c r="R32" s="532" t="str">
        <f t="shared" si="3"/>
        <v/>
      </c>
      <c r="S32" s="532" t="str">
        <f t="shared" si="4"/>
        <v/>
      </c>
      <c r="T32" s="532" t="str">
        <f t="shared" si="5"/>
        <v/>
      </c>
      <c r="U32" s="557" t="str">
        <f t="shared" si="6"/>
        <v/>
      </c>
      <c r="V32" s="151"/>
      <c r="W32" s="152"/>
      <c r="AE32" s="156" t="str">
        <f t="shared" si="0"/>
        <v/>
      </c>
      <c r="AF32" s="156" t="str">
        <f t="shared" si="1"/>
        <v/>
      </c>
      <c r="AH32" s="156">
        <v>23</v>
      </c>
      <c r="AJ32" s="156" t="str">
        <f t="array" ref="AJ32">IFERROR(INDEX($AH$10:$AH$258, MATCH(0, IF(TRUE=$AE$10:$AE$258, COUNTIF($AJ$9:$AJ31, $AH$10:$AH$258), ""), 0)),"")</f>
        <v/>
      </c>
      <c r="AK32" s="156" t="str">
        <f t="array" ref="AK32">IFERROR(INDEX($AH$10:$AH$258, MATCH(0, IF(TRUE=$AF$10:$AF$258, COUNTIF($AK$9:$AK31, $AH$10:$AH$258), ""), 0)),"")</f>
        <v/>
      </c>
      <c r="AL32" s="31" t="str">
        <f>IFERROR(INDEX('G-6 Hedgerow Data'!$BJ$3:$BJ$15,MATCH(D32,'G-6 Hedgerow Data'!$B$3:$B$15,0)),"")</f>
        <v/>
      </c>
    </row>
    <row r="33" spans="2:38" ht="14" x14ac:dyDescent="0.3">
      <c r="B33" s="141">
        <v>24</v>
      </c>
      <c r="C33" s="203"/>
      <c r="D33" s="203"/>
      <c r="E33" s="153"/>
      <c r="F33" s="553" t="str">
        <f>IF(D33="","",VLOOKUP(D33,'G-6 Hedgerow Data'!$B$2:$AG$15,2,FALSE))</f>
        <v/>
      </c>
      <c r="G33" s="499" t="str">
        <f>IF(D33="","",VLOOKUP(D33,'G-6 Hedgerow Data'!$B$2:$AG$15,3,FALSE))</f>
        <v/>
      </c>
      <c r="H33" s="145"/>
      <c r="I33" s="499" t="str">
        <f>IFERROR(VLOOKUP(H33,'G-1 All Habitats'!$Z$2:$AA$9,2,FALSE),"")</f>
        <v/>
      </c>
      <c r="J33" s="145"/>
      <c r="K33" s="507" t="str">
        <f>IF(J33="","",IF(VLOOKUP(J33,'G-3 Multipliers'!$L$3:$N$6,2,FALSE)=0,"Spatial Data Missing",VLOOKUP(J33,'G-3 Multipliers'!$L$3:$N$6,2,FALSE)))</f>
        <v/>
      </c>
      <c r="L33" s="505" t="str">
        <f>IF(J33="","",IF(VLOOKUP(J33,'G-3 Multipliers'!$L$3:$N$6,3,FALSE)=0,"Spatial Data Missing ⚠",VLOOKUP(J33,'G-3 Multipliers'!$L$3:$N$6,3,FALSE)))</f>
        <v/>
      </c>
      <c r="M33" s="506" t="str">
        <f>IF(D33="","",VLOOKUP(D33,'G-6 Hedgerow Data'!$B$1:$AH$15,33,FALSE))</f>
        <v/>
      </c>
      <c r="N33" s="513" t="str">
        <f t="shared" si="2"/>
        <v/>
      </c>
      <c r="O33" s="40"/>
      <c r="P33" s="154"/>
      <c r="Q33" s="203"/>
      <c r="R33" s="532" t="str">
        <f t="shared" si="3"/>
        <v/>
      </c>
      <c r="S33" s="532" t="str">
        <f t="shared" si="4"/>
        <v/>
      </c>
      <c r="T33" s="532" t="str">
        <f t="shared" si="5"/>
        <v/>
      </c>
      <c r="U33" s="557" t="str">
        <f t="shared" si="6"/>
        <v/>
      </c>
      <c r="V33" s="151"/>
      <c r="W33" s="152"/>
      <c r="AE33" s="156" t="str">
        <f t="shared" si="0"/>
        <v/>
      </c>
      <c r="AF33" s="156" t="str">
        <f t="shared" si="1"/>
        <v/>
      </c>
      <c r="AH33" s="156">
        <v>24</v>
      </c>
      <c r="AJ33" s="156" t="str">
        <f t="array" ref="AJ33">IFERROR(INDEX($AH$10:$AH$258, MATCH(0, IF(TRUE=$AE$10:$AE$258, COUNTIF($AJ$9:$AJ32, $AH$10:$AH$258), ""), 0)),"")</f>
        <v/>
      </c>
      <c r="AK33" s="156" t="str">
        <f t="array" ref="AK33">IFERROR(INDEX($AH$10:$AH$258, MATCH(0, IF(TRUE=$AF$10:$AF$258, COUNTIF($AK$9:$AK32, $AH$10:$AH$258), ""), 0)),"")</f>
        <v/>
      </c>
      <c r="AL33" s="31" t="str">
        <f>IFERROR(INDEX('G-6 Hedgerow Data'!$BJ$3:$BJ$15,MATCH(D33,'G-6 Hedgerow Data'!$B$3:$B$15,0)),"")</f>
        <v/>
      </c>
    </row>
    <row r="34" spans="2:38" ht="14" x14ac:dyDescent="0.3">
      <c r="B34" s="141">
        <v>25</v>
      </c>
      <c r="C34" s="203"/>
      <c r="D34" s="203"/>
      <c r="E34" s="153"/>
      <c r="F34" s="553" t="str">
        <f>IF(D34="","",VLOOKUP(D34,'G-6 Hedgerow Data'!$B$2:$AG$15,2,FALSE))</f>
        <v/>
      </c>
      <c r="G34" s="499" t="str">
        <f>IF(D34="","",VLOOKUP(D34,'G-6 Hedgerow Data'!$B$2:$AG$15,3,FALSE))</f>
        <v/>
      </c>
      <c r="H34" s="145"/>
      <c r="I34" s="499" t="str">
        <f>IFERROR(VLOOKUP(H34,'G-1 All Habitats'!$Z$2:$AA$9,2,FALSE),"")</f>
        <v/>
      </c>
      <c r="J34" s="145"/>
      <c r="K34" s="507" t="str">
        <f>IF(J34="","",IF(VLOOKUP(J34,'G-3 Multipliers'!$L$3:$N$6,2,FALSE)=0,"Spatial Data Missing",VLOOKUP(J34,'G-3 Multipliers'!$L$3:$N$6,2,FALSE)))</f>
        <v/>
      </c>
      <c r="L34" s="505" t="str">
        <f>IF(J34="","",IF(VLOOKUP(J34,'G-3 Multipliers'!$L$3:$N$6,3,FALSE)=0,"Spatial Data Missing ⚠",VLOOKUP(J34,'G-3 Multipliers'!$L$3:$N$6,3,FALSE)))</f>
        <v/>
      </c>
      <c r="M34" s="506" t="str">
        <f>IF(D34="","",VLOOKUP(D34,'G-6 Hedgerow Data'!$B$1:$AH$15,33,FALSE))</f>
        <v/>
      </c>
      <c r="N34" s="513" t="str">
        <f t="shared" si="2"/>
        <v/>
      </c>
      <c r="O34" s="40"/>
      <c r="P34" s="154"/>
      <c r="Q34" s="203"/>
      <c r="R34" s="532" t="str">
        <f t="shared" si="3"/>
        <v/>
      </c>
      <c r="S34" s="532" t="str">
        <f t="shared" si="4"/>
        <v/>
      </c>
      <c r="T34" s="532" t="str">
        <f t="shared" si="5"/>
        <v/>
      </c>
      <c r="U34" s="557" t="str">
        <f t="shared" si="6"/>
        <v/>
      </c>
      <c r="V34" s="151"/>
      <c r="W34" s="152"/>
      <c r="AE34" s="156" t="str">
        <f t="shared" si="0"/>
        <v/>
      </c>
      <c r="AF34" s="156" t="str">
        <f t="shared" si="1"/>
        <v/>
      </c>
      <c r="AH34" s="156">
        <v>25</v>
      </c>
      <c r="AJ34" s="156" t="str">
        <f t="array" ref="AJ34">IFERROR(INDEX($AH$10:$AH$258, MATCH(0, IF(TRUE=$AE$10:$AE$258, COUNTIF($AJ$9:$AJ33, $AH$10:$AH$258), ""), 0)),"")</f>
        <v/>
      </c>
      <c r="AK34" s="156" t="str">
        <f t="array" ref="AK34">IFERROR(INDEX($AH$10:$AH$258, MATCH(0, IF(TRUE=$AF$10:$AF$258, COUNTIF($AK$9:$AK33, $AH$10:$AH$258), ""), 0)),"")</f>
        <v/>
      </c>
      <c r="AL34" s="31" t="str">
        <f>IFERROR(INDEX('G-6 Hedgerow Data'!$BJ$3:$BJ$15,MATCH(D34,'G-6 Hedgerow Data'!$B$3:$B$15,0)),"")</f>
        <v/>
      </c>
    </row>
    <row r="35" spans="2:38" ht="14" x14ac:dyDescent="0.3">
      <c r="B35" s="141">
        <v>26</v>
      </c>
      <c r="C35" s="203"/>
      <c r="D35" s="203"/>
      <c r="E35" s="153"/>
      <c r="F35" s="553" t="str">
        <f>IF(D35="","",VLOOKUP(D35,'G-6 Hedgerow Data'!$B$2:$AG$15,2,FALSE))</f>
        <v/>
      </c>
      <c r="G35" s="499" t="str">
        <f>IF(D35="","",VLOOKUP(D35,'G-6 Hedgerow Data'!$B$2:$AG$15,3,FALSE))</f>
        <v/>
      </c>
      <c r="H35" s="145"/>
      <c r="I35" s="499" t="str">
        <f>IFERROR(VLOOKUP(H35,'G-1 All Habitats'!$Z$2:$AA$9,2,FALSE),"")</f>
        <v/>
      </c>
      <c r="J35" s="145"/>
      <c r="K35" s="507" t="str">
        <f>IF(J35="","",IF(VLOOKUP(J35,'G-3 Multipliers'!$L$3:$N$6,2,FALSE)=0,"Spatial Data Missing",VLOOKUP(J35,'G-3 Multipliers'!$L$3:$N$6,2,FALSE)))</f>
        <v/>
      </c>
      <c r="L35" s="505" t="str">
        <f>IF(J35="","",IF(VLOOKUP(J35,'G-3 Multipliers'!$L$3:$N$6,3,FALSE)=0,"Spatial Data Missing ⚠",VLOOKUP(J35,'G-3 Multipliers'!$L$3:$N$6,3,FALSE)))</f>
        <v/>
      </c>
      <c r="M35" s="506" t="str">
        <f>IF(D35="","",VLOOKUP(D35,'G-6 Hedgerow Data'!$B$1:$AH$15,33,FALSE))</f>
        <v/>
      </c>
      <c r="N35" s="513" t="str">
        <f t="shared" si="2"/>
        <v/>
      </c>
      <c r="O35" s="40"/>
      <c r="P35" s="154"/>
      <c r="Q35" s="203"/>
      <c r="R35" s="532" t="str">
        <f t="shared" si="3"/>
        <v/>
      </c>
      <c r="S35" s="532" t="str">
        <f t="shared" si="4"/>
        <v/>
      </c>
      <c r="T35" s="532" t="str">
        <f t="shared" si="5"/>
        <v/>
      </c>
      <c r="U35" s="557" t="str">
        <f t="shared" si="6"/>
        <v/>
      </c>
      <c r="V35" s="151"/>
      <c r="W35" s="152"/>
      <c r="AE35" s="156" t="str">
        <f t="shared" si="0"/>
        <v/>
      </c>
      <c r="AF35" s="156" t="str">
        <f t="shared" si="1"/>
        <v/>
      </c>
      <c r="AH35" s="156">
        <v>26</v>
      </c>
      <c r="AJ35" s="156" t="str">
        <f t="array" ref="AJ35">IFERROR(INDEX($AH$10:$AH$258, MATCH(0, IF(TRUE=$AE$10:$AE$258, COUNTIF($AJ$9:$AJ34, $AH$10:$AH$258), ""), 0)),"")</f>
        <v/>
      </c>
      <c r="AK35" s="156" t="str">
        <f t="array" ref="AK35">IFERROR(INDEX($AH$10:$AH$258, MATCH(0, IF(TRUE=$AF$10:$AF$258, COUNTIF($AK$9:$AK34, $AH$10:$AH$258), ""), 0)),"")</f>
        <v/>
      </c>
      <c r="AL35" s="31" t="str">
        <f>IFERROR(INDEX('G-6 Hedgerow Data'!$BJ$3:$BJ$15,MATCH(D35,'G-6 Hedgerow Data'!$B$3:$B$15,0)),"")</f>
        <v/>
      </c>
    </row>
    <row r="36" spans="2:38" ht="14" x14ac:dyDescent="0.3">
      <c r="B36" s="141">
        <v>27</v>
      </c>
      <c r="C36" s="203"/>
      <c r="D36" s="203"/>
      <c r="E36" s="153"/>
      <c r="F36" s="553" t="str">
        <f>IF(D36="","",VLOOKUP(D36,'G-6 Hedgerow Data'!$B$2:$AG$15,2,FALSE))</f>
        <v/>
      </c>
      <c r="G36" s="499" t="str">
        <f>IF(D36="","",VLOOKUP(D36,'G-6 Hedgerow Data'!$B$2:$AG$15,3,FALSE))</f>
        <v/>
      </c>
      <c r="H36" s="145"/>
      <c r="I36" s="499" t="str">
        <f>IFERROR(VLOOKUP(H36,'G-1 All Habitats'!$Z$2:$AA$9,2,FALSE),"")</f>
        <v/>
      </c>
      <c r="J36" s="145"/>
      <c r="K36" s="507" t="str">
        <f>IF(J36="","",IF(VLOOKUP(J36,'G-3 Multipliers'!$L$3:$N$6,2,FALSE)=0,"Spatial Data Missing",VLOOKUP(J36,'G-3 Multipliers'!$L$3:$N$6,2,FALSE)))</f>
        <v/>
      </c>
      <c r="L36" s="505" t="str">
        <f>IF(J36="","",IF(VLOOKUP(J36,'G-3 Multipliers'!$L$3:$N$6,3,FALSE)=0,"Spatial Data Missing ⚠",VLOOKUP(J36,'G-3 Multipliers'!$L$3:$N$6,3,FALSE)))</f>
        <v/>
      </c>
      <c r="M36" s="506" t="str">
        <f>IF(D36="","",VLOOKUP(D36,'G-6 Hedgerow Data'!$B$1:$AH$15,33,FALSE))</f>
        <v/>
      </c>
      <c r="N36" s="513" t="str">
        <f t="shared" si="2"/>
        <v/>
      </c>
      <c r="O36" s="40"/>
      <c r="P36" s="154"/>
      <c r="Q36" s="203"/>
      <c r="R36" s="532" t="str">
        <f t="shared" si="3"/>
        <v/>
      </c>
      <c r="S36" s="532" t="str">
        <f t="shared" si="4"/>
        <v/>
      </c>
      <c r="T36" s="532" t="str">
        <f t="shared" si="5"/>
        <v/>
      </c>
      <c r="U36" s="557" t="str">
        <f t="shared" si="6"/>
        <v/>
      </c>
      <c r="V36" s="151"/>
      <c r="W36" s="152"/>
      <c r="AE36" s="156" t="str">
        <f t="shared" si="0"/>
        <v/>
      </c>
      <c r="AF36" s="156" t="str">
        <f t="shared" si="1"/>
        <v/>
      </c>
      <c r="AH36" s="156">
        <v>27</v>
      </c>
      <c r="AJ36" s="156" t="str">
        <f t="array" ref="AJ36">IFERROR(INDEX($AH$10:$AH$258, MATCH(0, IF(TRUE=$AE$10:$AE$258, COUNTIF($AJ$9:$AJ35, $AH$10:$AH$258), ""), 0)),"")</f>
        <v/>
      </c>
      <c r="AK36" s="156" t="str">
        <f t="array" ref="AK36">IFERROR(INDEX($AH$10:$AH$258, MATCH(0, IF(TRUE=$AF$10:$AF$258, COUNTIF($AK$9:$AK35, $AH$10:$AH$258), ""), 0)),"")</f>
        <v/>
      </c>
      <c r="AL36" s="31" t="str">
        <f>IFERROR(INDEX('G-6 Hedgerow Data'!$BJ$3:$BJ$15,MATCH(D36,'G-6 Hedgerow Data'!$B$3:$B$15,0)),"")</f>
        <v/>
      </c>
    </row>
    <row r="37" spans="2:38" ht="14" x14ac:dyDescent="0.3">
      <c r="B37" s="141">
        <v>28</v>
      </c>
      <c r="C37" s="203"/>
      <c r="D37" s="203"/>
      <c r="E37" s="153"/>
      <c r="F37" s="553" t="str">
        <f>IF(D37="","",VLOOKUP(D37,'G-6 Hedgerow Data'!$B$2:$AG$15,2,FALSE))</f>
        <v/>
      </c>
      <c r="G37" s="499" t="str">
        <f>IF(D37="","",VLOOKUP(D37,'G-6 Hedgerow Data'!$B$2:$AG$15,3,FALSE))</f>
        <v/>
      </c>
      <c r="H37" s="145"/>
      <c r="I37" s="499" t="str">
        <f>IFERROR(VLOOKUP(H37,'G-1 All Habitats'!$Z$2:$AA$9,2,FALSE),"")</f>
        <v/>
      </c>
      <c r="J37" s="145"/>
      <c r="K37" s="507" t="str">
        <f>IF(J37="","",IF(VLOOKUP(J37,'G-3 Multipliers'!$L$3:$N$6,2,FALSE)=0,"Spatial Data Missing",VLOOKUP(J37,'G-3 Multipliers'!$L$3:$N$6,2,FALSE)))</f>
        <v/>
      </c>
      <c r="L37" s="505" t="str">
        <f>IF(J37="","",IF(VLOOKUP(J37,'G-3 Multipliers'!$L$3:$N$6,3,FALSE)=0,"Spatial Data Missing ⚠",VLOOKUP(J37,'G-3 Multipliers'!$L$3:$N$6,3,FALSE)))</f>
        <v/>
      </c>
      <c r="M37" s="506" t="str">
        <f>IF(D37="","",VLOOKUP(D37,'G-6 Hedgerow Data'!$B$1:$AH$15,33,FALSE))</f>
        <v/>
      </c>
      <c r="N37" s="513" t="str">
        <f t="shared" si="2"/>
        <v/>
      </c>
      <c r="O37" s="40"/>
      <c r="P37" s="154"/>
      <c r="Q37" s="203"/>
      <c r="R37" s="532" t="str">
        <f t="shared" si="3"/>
        <v/>
      </c>
      <c r="S37" s="532" t="str">
        <f t="shared" si="4"/>
        <v/>
      </c>
      <c r="T37" s="532" t="str">
        <f t="shared" si="5"/>
        <v/>
      </c>
      <c r="U37" s="557" t="str">
        <f t="shared" si="6"/>
        <v/>
      </c>
      <c r="V37" s="151"/>
      <c r="W37" s="152"/>
      <c r="AE37" s="156" t="str">
        <f t="shared" si="0"/>
        <v/>
      </c>
      <c r="AF37" s="156" t="str">
        <f t="shared" si="1"/>
        <v/>
      </c>
      <c r="AH37" s="156">
        <v>28</v>
      </c>
      <c r="AJ37" s="156" t="str">
        <f t="array" ref="AJ37">IFERROR(INDEX($AH$10:$AH$258, MATCH(0, IF(TRUE=$AE$10:$AE$258, COUNTIF($AJ$9:$AJ36, $AH$10:$AH$258), ""), 0)),"")</f>
        <v/>
      </c>
      <c r="AK37" s="156" t="str">
        <f t="array" ref="AK37">IFERROR(INDEX($AH$10:$AH$258, MATCH(0, IF(TRUE=$AF$10:$AF$258, COUNTIF($AK$9:$AK36, $AH$10:$AH$258), ""), 0)),"")</f>
        <v/>
      </c>
      <c r="AL37" s="31" t="str">
        <f>IFERROR(INDEX('G-6 Hedgerow Data'!$BJ$3:$BJ$15,MATCH(D37,'G-6 Hedgerow Data'!$B$3:$B$15,0)),"")</f>
        <v/>
      </c>
    </row>
    <row r="38" spans="2:38" ht="14" x14ac:dyDescent="0.3">
      <c r="B38" s="141">
        <v>29</v>
      </c>
      <c r="C38" s="203"/>
      <c r="D38" s="203"/>
      <c r="E38" s="153"/>
      <c r="F38" s="553" t="str">
        <f>IF(D38="","",VLOOKUP(D38,'G-6 Hedgerow Data'!$B$2:$AG$15,2,FALSE))</f>
        <v/>
      </c>
      <c r="G38" s="499" t="str">
        <f>IF(D38="","",VLOOKUP(D38,'G-6 Hedgerow Data'!$B$2:$AG$15,3,FALSE))</f>
        <v/>
      </c>
      <c r="H38" s="145"/>
      <c r="I38" s="499" t="str">
        <f>IFERROR(VLOOKUP(H38,'G-1 All Habitats'!$Z$2:$AA$9,2,FALSE),"")</f>
        <v/>
      </c>
      <c r="J38" s="145"/>
      <c r="K38" s="507" t="str">
        <f>IF(J38="","",IF(VLOOKUP(J38,'G-3 Multipliers'!$L$3:$N$6,2,FALSE)=0,"Spatial Data Missing",VLOOKUP(J38,'G-3 Multipliers'!$L$3:$N$6,2,FALSE)))</f>
        <v/>
      </c>
      <c r="L38" s="505" t="str">
        <f>IF(J38="","",IF(VLOOKUP(J38,'G-3 Multipliers'!$L$3:$N$6,3,FALSE)=0,"Spatial Data Missing ⚠",VLOOKUP(J38,'G-3 Multipliers'!$L$3:$N$6,3,FALSE)))</f>
        <v/>
      </c>
      <c r="M38" s="506" t="str">
        <f>IF(D38="","",VLOOKUP(D38,'G-6 Hedgerow Data'!$B$1:$AH$15,33,FALSE))</f>
        <v/>
      </c>
      <c r="N38" s="513" t="str">
        <f t="shared" si="2"/>
        <v/>
      </c>
      <c r="O38" s="40"/>
      <c r="P38" s="154"/>
      <c r="Q38" s="203"/>
      <c r="R38" s="532" t="str">
        <f t="shared" si="3"/>
        <v/>
      </c>
      <c r="S38" s="532" t="str">
        <f t="shared" si="4"/>
        <v/>
      </c>
      <c r="T38" s="532" t="str">
        <f t="shared" si="5"/>
        <v/>
      </c>
      <c r="U38" s="557" t="str">
        <f t="shared" si="6"/>
        <v/>
      </c>
      <c r="V38" s="151"/>
      <c r="W38" s="152"/>
      <c r="AE38" s="156" t="str">
        <f t="shared" si="0"/>
        <v/>
      </c>
      <c r="AF38" s="156" t="str">
        <f t="shared" si="1"/>
        <v/>
      </c>
      <c r="AH38" s="156">
        <v>29</v>
      </c>
      <c r="AJ38" s="156" t="str">
        <f t="array" ref="AJ38">IFERROR(INDEX($AH$10:$AH$258, MATCH(0, IF(TRUE=$AE$10:$AE$258, COUNTIF($AJ$9:$AJ37, $AH$10:$AH$258), ""), 0)),"")</f>
        <v/>
      </c>
      <c r="AK38" s="156" t="str">
        <f t="array" ref="AK38">IFERROR(INDEX($AH$10:$AH$258, MATCH(0, IF(TRUE=$AF$10:$AF$258, COUNTIF($AK$9:$AK37, $AH$10:$AH$258), ""), 0)),"")</f>
        <v/>
      </c>
      <c r="AL38" s="31" t="str">
        <f>IFERROR(INDEX('G-6 Hedgerow Data'!$BJ$3:$BJ$15,MATCH(D38,'G-6 Hedgerow Data'!$B$3:$B$15,0)),"")</f>
        <v/>
      </c>
    </row>
    <row r="39" spans="2:38" ht="14" x14ac:dyDescent="0.3">
      <c r="B39" s="141">
        <v>30</v>
      </c>
      <c r="C39" s="203"/>
      <c r="D39" s="203"/>
      <c r="E39" s="153"/>
      <c r="F39" s="553" t="str">
        <f>IF(D39="","",VLOOKUP(D39,'G-6 Hedgerow Data'!$B$2:$AG$15,2,FALSE))</f>
        <v/>
      </c>
      <c r="G39" s="499" t="str">
        <f>IF(D39="","",VLOOKUP(D39,'G-6 Hedgerow Data'!$B$2:$AG$15,3,FALSE))</f>
        <v/>
      </c>
      <c r="H39" s="145"/>
      <c r="I39" s="499" t="str">
        <f>IFERROR(VLOOKUP(H39,'G-1 All Habitats'!$Z$2:$AA$9,2,FALSE),"")</f>
        <v/>
      </c>
      <c r="J39" s="145"/>
      <c r="K39" s="507" t="str">
        <f>IF(J39="","",IF(VLOOKUP(J39,'G-3 Multipliers'!$L$3:$N$6,2,FALSE)=0,"Spatial Data Missing",VLOOKUP(J39,'G-3 Multipliers'!$L$3:$N$6,2,FALSE)))</f>
        <v/>
      </c>
      <c r="L39" s="505" t="str">
        <f>IF(J39="","",IF(VLOOKUP(J39,'G-3 Multipliers'!$L$3:$N$6,3,FALSE)=0,"Spatial Data Missing ⚠",VLOOKUP(J39,'G-3 Multipliers'!$L$3:$N$6,3,FALSE)))</f>
        <v/>
      </c>
      <c r="M39" s="506" t="str">
        <f>IF(D39="","",VLOOKUP(D39,'G-6 Hedgerow Data'!$B$1:$AH$15,33,FALSE))</f>
        <v/>
      </c>
      <c r="N39" s="513" t="str">
        <f t="shared" si="2"/>
        <v/>
      </c>
      <c r="O39" s="40"/>
      <c r="P39" s="154"/>
      <c r="Q39" s="203"/>
      <c r="R39" s="532" t="str">
        <f t="shared" si="3"/>
        <v/>
      </c>
      <c r="S39" s="532" t="str">
        <f t="shared" si="4"/>
        <v/>
      </c>
      <c r="T39" s="532" t="str">
        <f t="shared" si="5"/>
        <v/>
      </c>
      <c r="U39" s="557" t="str">
        <f t="shared" si="6"/>
        <v/>
      </c>
      <c r="V39" s="151"/>
      <c r="W39" s="152"/>
      <c r="AE39" s="156" t="str">
        <f t="shared" si="0"/>
        <v/>
      </c>
      <c r="AF39" s="156" t="str">
        <f t="shared" si="1"/>
        <v/>
      </c>
      <c r="AH39" s="156">
        <v>30</v>
      </c>
      <c r="AJ39" s="156" t="str">
        <f t="array" ref="AJ39">IFERROR(INDEX($AH$10:$AH$258, MATCH(0, IF(TRUE=$AE$10:$AE$258, COUNTIF($AJ$9:$AJ38, $AH$10:$AH$258), ""), 0)),"")</f>
        <v/>
      </c>
      <c r="AK39" s="156" t="str">
        <f t="array" ref="AK39">IFERROR(INDEX($AH$10:$AH$258, MATCH(0, IF(TRUE=$AF$10:$AF$258, COUNTIF($AK$9:$AK38, $AH$10:$AH$258), ""), 0)),"")</f>
        <v/>
      </c>
      <c r="AL39" s="31" t="str">
        <f>IFERROR(INDEX('G-6 Hedgerow Data'!$BJ$3:$BJ$15,MATCH(D39,'G-6 Hedgerow Data'!$B$3:$B$15,0)),"")</f>
        <v/>
      </c>
    </row>
    <row r="40" spans="2:38" ht="14" x14ac:dyDescent="0.3">
      <c r="B40" s="141">
        <v>31</v>
      </c>
      <c r="C40" s="203"/>
      <c r="D40" s="203"/>
      <c r="E40" s="153"/>
      <c r="F40" s="553" t="str">
        <f>IF(D40="","",VLOOKUP(D40,'G-6 Hedgerow Data'!$B$2:$AG$15,2,FALSE))</f>
        <v/>
      </c>
      <c r="G40" s="499" t="str">
        <f>IF(D40="","",VLOOKUP(D40,'G-6 Hedgerow Data'!$B$2:$AG$15,3,FALSE))</f>
        <v/>
      </c>
      <c r="H40" s="145"/>
      <c r="I40" s="499" t="str">
        <f>IFERROR(VLOOKUP(H40,'G-1 All Habitats'!$Z$2:$AA$9,2,FALSE),"")</f>
        <v/>
      </c>
      <c r="J40" s="145"/>
      <c r="K40" s="507" t="str">
        <f>IF(J40="","",IF(VLOOKUP(J40,'G-3 Multipliers'!$L$3:$N$6,2,FALSE)=0,"Spatial Data Missing",VLOOKUP(J40,'G-3 Multipliers'!$L$3:$N$6,2,FALSE)))</f>
        <v/>
      </c>
      <c r="L40" s="505" t="str">
        <f>IF(J40="","",IF(VLOOKUP(J40,'G-3 Multipliers'!$L$3:$N$6,3,FALSE)=0,"Spatial Data Missing ⚠",VLOOKUP(J40,'G-3 Multipliers'!$L$3:$N$6,3,FALSE)))</f>
        <v/>
      </c>
      <c r="M40" s="506" t="str">
        <f>IF(D40="","",VLOOKUP(D40,'G-6 Hedgerow Data'!$B$1:$AH$15,33,FALSE))</f>
        <v/>
      </c>
      <c r="N40" s="513" t="str">
        <f t="shared" si="2"/>
        <v/>
      </c>
      <c r="O40" s="40"/>
      <c r="P40" s="154"/>
      <c r="Q40" s="203"/>
      <c r="R40" s="532" t="str">
        <f t="shared" si="3"/>
        <v/>
      </c>
      <c r="S40" s="532" t="str">
        <f t="shared" si="4"/>
        <v/>
      </c>
      <c r="T40" s="532" t="str">
        <f t="shared" si="5"/>
        <v/>
      </c>
      <c r="U40" s="557" t="str">
        <f t="shared" si="6"/>
        <v/>
      </c>
      <c r="V40" s="151"/>
      <c r="W40" s="152"/>
      <c r="AE40" s="156" t="str">
        <f t="shared" si="0"/>
        <v/>
      </c>
      <c r="AF40" s="156" t="str">
        <f t="shared" si="1"/>
        <v/>
      </c>
      <c r="AH40" s="156">
        <v>31</v>
      </c>
      <c r="AJ40" s="156" t="str">
        <f t="array" ref="AJ40">IFERROR(INDEX($AH$10:$AH$258, MATCH(0, IF(TRUE=$AE$10:$AE$258, COUNTIF($AJ$9:$AJ39, $AH$10:$AH$258), ""), 0)),"")</f>
        <v/>
      </c>
      <c r="AK40" s="156" t="str">
        <f t="array" ref="AK40">IFERROR(INDEX($AH$10:$AH$258, MATCH(0, IF(TRUE=$AF$10:$AF$258, COUNTIF($AK$9:$AK39, $AH$10:$AH$258), ""), 0)),"")</f>
        <v/>
      </c>
      <c r="AL40" s="31" t="str">
        <f>IFERROR(INDEX('G-6 Hedgerow Data'!$BJ$3:$BJ$15,MATCH(D40,'G-6 Hedgerow Data'!$B$3:$B$15,0)),"")</f>
        <v/>
      </c>
    </row>
    <row r="41" spans="2:38" ht="14" x14ac:dyDescent="0.3">
      <c r="B41" s="141">
        <v>32</v>
      </c>
      <c r="C41" s="203"/>
      <c r="D41" s="203"/>
      <c r="E41" s="153"/>
      <c r="F41" s="553" t="str">
        <f>IF(D41="","",VLOOKUP(D41,'G-6 Hedgerow Data'!$B$2:$AG$15,2,FALSE))</f>
        <v/>
      </c>
      <c r="G41" s="499" t="str">
        <f>IF(D41="","",VLOOKUP(D41,'G-6 Hedgerow Data'!$B$2:$AG$15,3,FALSE))</f>
        <v/>
      </c>
      <c r="H41" s="145"/>
      <c r="I41" s="499" t="str">
        <f>IFERROR(VLOOKUP(H41,'G-1 All Habitats'!$Z$2:$AA$9,2,FALSE),"")</f>
        <v/>
      </c>
      <c r="J41" s="145"/>
      <c r="K41" s="507" t="str">
        <f>IF(J41="","",IF(VLOOKUP(J41,'G-3 Multipliers'!$L$3:$N$6,2,FALSE)=0,"Spatial Data Missing",VLOOKUP(J41,'G-3 Multipliers'!$L$3:$N$6,2,FALSE)))</f>
        <v/>
      </c>
      <c r="L41" s="505" t="str">
        <f>IF(J41="","",IF(VLOOKUP(J41,'G-3 Multipliers'!$L$3:$N$6,3,FALSE)=0,"Spatial Data Missing ⚠",VLOOKUP(J41,'G-3 Multipliers'!$L$3:$N$6,3,FALSE)))</f>
        <v/>
      </c>
      <c r="M41" s="506" t="str">
        <f>IF(D41="","",VLOOKUP(D41,'G-6 Hedgerow Data'!$B$1:$AH$15,33,FALSE))</f>
        <v/>
      </c>
      <c r="N41" s="513" t="str">
        <f t="shared" si="2"/>
        <v/>
      </c>
      <c r="O41" s="40"/>
      <c r="P41" s="154"/>
      <c r="Q41" s="203"/>
      <c r="R41" s="532" t="str">
        <f t="shared" si="3"/>
        <v/>
      </c>
      <c r="S41" s="532" t="str">
        <f t="shared" si="4"/>
        <v/>
      </c>
      <c r="T41" s="532" t="str">
        <f t="shared" si="5"/>
        <v/>
      </c>
      <c r="U41" s="557" t="str">
        <f t="shared" si="6"/>
        <v/>
      </c>
      <c r="V41" s="151"/>
      <c r="W41" s="152"/>
      <c r="AE41" s="156" t="str">
        <f t="shared" si="0"/>
        <v/>
      </c>
      <c r="AF41" s="156" t="str">
        <f t="shared" si="1"/>
        <v/>
      </c>
      <c r="AH41" s="156">
        <v>32</v>
      </c>
      <c r="AJ41" s="156" t="str">
        <f t="array" ref="AJ41">IFERROR(INDEX($AH$10:$AH$258, MATCH(0, IF(TRUE=$AE$10:$AE$258, COUNTIF($AJ$9:$AJ40, $AH$10:$AH$258), ""), 0)),"")</f>
        <v/>
      </c>
      <c r="AK41" s="156" t="str">
        <f t="array" ref="AK41">IFERROR(INDEX($AH$10:$AH$258, MATCH(0, IF(TRUE=$AF$10:$AF$258, COUNTIF($AK$9:$AK40, $AH$10:$AH$258), ""), 0)),"")</f>
        <v/>
      </c>
      <c r="AL41" s="31" t="str">
        <f>IFERROR(INDEX('G-6 Hedgerow Data'!$BJ$3:$BJ$15,MATCH(D41,'G-6 Hedgerow Data'!$B$3:$B$15,0)),"")</f>
        <v/>
      </c>
    </row>
    <row r="42" spans="2:38" ht="14" x14ac:dyDescent="0.3">
      <c r="B42" s="141">
        <v>33</v>
      </c>
      <c r="C42" s="203"/>
      <c r="D42" s="203"/>
      <c r="E42" s="153"/>
      <c r="F42" s="553" t="str">
        <f>IF(D42="","",VLOOKUP(D42,'G-6 Hedgerow Data'!$B$2:$AG$15,2,FALSE))</f>
        <v/>
      </c>
      <c r="G42" s="499" t="str">
        <f>IF(D42="","",VLOOKUP(D42,'G-6 Hedgerow Data'!$B$2:$AG$15,3,FALSE))</f>
        <v/>
      </c>
      <c r="H42" s="145"/>
      <c r="I42" s="499" t="str">
        <f>IFERROR(VLOOKUP(H42,'G-1 All Habitats'!$Z$2:$AA$9,2,FALSE),"")</f>
        <v/>
      </c>
      <c r="J42" s="145"/>
      <c r="K42" s="507" t="str">
        <f>IF(J42="","",IF(VLOOKUP(J42,'G-3 Multipliers'!$L$3:$N$6,2,FALSE)=0,"Spatial Data Missing",VLOOKUP(J42,'G-3 Multipliers'!$L$3:$N$6,2,FALSE)))</f>
        <v/>
      </c>
      <c r="L42" s="505" t="str">
        <f>IF(J42="","",IF(VLOOKUP(J42,'G-3 Multipliers'!$L$3:$N$6,3,FALSE)=0,"Spatial Data Missing ⚠",VLOOKUP(J42,'G-3 Multipliers'!$L$3:$N$6,3,FALSE)))</f>
        <v/>
      </c>
      <c r="M42" s="506" t="str">
        <f>IF(D42="","",VLOOKUP(D42,'G-6 Hedgerow Data'!$B$1:$AH$15,33,FALSE))</f>
        <v/>
      </c>
      <c r="N42" s="513" t="str">
        <f t="shared" si="2"/>
        <v/>
      </c>
      <c r="O42" s="40"/>
      <c r="P42" s="154"/>
      <c r="Q42" s="203"/>
      <c r="R42" s="532" t="str">
        <f t="shared" si="3"/>
        <v/>
      </c>
      <c r="S42" s="532" t="str">
        <f t="shared" si="4"/>
        <v/>
      </c>
      <c r="T42" s="532" t="str">
        <f t="shared" si="5"/>
        <v/>
      </c>
      <c r="U42" s="557" t="str">
        <f t="shared" si="6"/>
        <v/>
      </c>
      <c r="V42" s="151"/>
      <c r="W42" s="152"/>
      <c r="AE42" s="156" t="str">
        <f t="shared" si="0"/>
        <v/>
      </c>
      <c r="AF42" s="156" t="str">
        <f t="shared" si="1"/>
        <v/>
      </c>
      <c r="AH42" s="156">
        <v>33</v>
      </c>
      <c r="AJ42" s="156" t="str">
        <f t="array" ref="AJ42">IFERROR(INDEX($AH$10:$AH$258, MATCH(0, IF(TRUE=$AE$10:$AE$258, COUNTIF($AJ$9:$AJ41, $AH$10:$AH$258), ""), 0)),"")</f>
        <v/>
      </c>
      <c r="AK42" s="156" t="str">
        <f t="array" ref="AK42">IFERROR(INDEX($AH$10:$AH$258, MATCH(0, IF(TRUE=$AF$10:$AF$258, COUNTIF($AK$9:$AK41, $AH$10:$AH$258), ""), 0)),"")</f>
        <v/>
      </c>
      <c r="AL42" s="31" t="str">
        <f>IFERROR(INDEX('G-6 Hedgerow Data'!$BJ$3:$BJ$15,MATCH(D42,'G-6 Hedgerow Data'!$B$3:$B$15,0)),"")</f>
        <v/>
      </c>
    </row>
    <row r="43" spans="2:38" ht="14" x14ac:dyDescent="0.3">
      <c r="B43" s="141">
        <v>34</v>
      </c>
      <c r="C43" s="203"/>
      <c r="D43" s="203"/>
      <c r="E43" s="153"/>
      <c r="F43" s="553" t="str">
        <f>IF(D43="","",VLOOKUP(D43,'G-6 Hedgerow Data'!$B$2:$AG$15,2,FALSE))</f>
        <v/>
      </c>
      <c r="G43" s="499" t="str">
        <f>IF(D43="","",VLOOKUP(D43,'G-6 Hedgerow Data'!$B$2:$AG$15,3,FALSE))</f>
        <v/>
      </c>
      <c r="H43" s="145"/>
      <c r="I43" s="499" t="str">
        <f>IFERROR(VLOOKUP(H43,'G-1 All Habitats'!$Z$2:$AA$9,2,FALSE),"")</f>
        <v/>
      </c>
      <c r="J43" s="145"/>
      <c r="K43" s="507" t="str">
        <f>IF(J43="","",IF(VLOOKUP(J43,'G-3 Multipliers'!$L$3:$N$6,2,FALSE)=0,"Spatial Data Missing",VLOOKUP(J43,'G-3 Multipliers'!$L$3:$N$6,2,FALSE)))</f>
        <v/>
      </c>
      <c r="L43" s="505" t="str">
        <f>IF(J43="","",IF(VLOOKUP(J43,'G-3 Multipliers'!$L$3:$N$6,3,FALSE)=0,"Spatial Data Missing ⚠",VLOOKUP(J43,'G-3 Multipliers'!$L$3:$N$6,3,FALSE)))</f>
        <v/>
      </c>
      <c r="M43" s="506" t="str">
        <f>IF(D43="","",VLOOKUP(D43,'G-6 Hedgerow Data'!$B$1:$AH$15,33,FALSE))</f>
        <v/>
      </c>
      <c r="N43" s="513" t="str">
        <f t="shared" si="2"/>
        <v/>
      </c>
      <c r="O43" s="40"/>
      <c r="P43" s="154"/>
      <c r="Q43" s="203"/>
      <c r="R43" s="532" t="str">
        <f t="shared" si="3"/>
        <v/>
      </c>
      <c r="S43" s="532" t="str">
        <f t="shared" si="4"/>
        <v/>
      </c>
      <c r="T43" s="532" t="str">
        <f t="shared" si="5"/>
        <v/>
      </c>
      <c r="U43" s="557" t="str">
        <f t="shared" si="6"/>
        <v/>
      </c>
      <c r="V43" s="151"/>
      <c r="W43" s="152"/>
      <c r="AE43" s="156" t="str">
        <f t="shared" si="0"/>
        <v/>
      </c>
      <c r="AF43" s="156" t="str">
        <f t="shared" si="1"/>
        <v/>
      </c>
      <c r="AH43" s="156">
        <v>34</v>
      </c>
      <c r="AJ43" s="156" t="str">
        <f t="array" ref="AJ43">IFERROR(INDEX($AH$10:$AH$258, MATCH(0, IF(TRUE=$AE$10:$AE$258, COUNTIF($AJ$9:$AJ42, $AH$10:$AH$258), ""), 0)),"")</f>
        <v/>
      </c>
      <c r="AK43" s="156" t="str">
        <f t="array" ref="AK43">IFERROR(INDEX($AH$10:$AH$258, MATCH(0, IF(TRUE=$AF$10:$AF$258, COUNTIF($AK$9:$AK42, $AH$10:$AH$258), ""), 0)),"")</f>
        <v/>
      </c>
      <c r="AL43" s="31" t="str">
        <f>IFERROR(INDEX('G-6 Hedgerow Data'!$BJ$3:$BJ$15,MATCH(D43,'G-6 Hedgerow Data'!$B$3:$B$15,0)),"")</f>
        <v/>
      </c>
    </row>
    <row r="44" spans="2:38" ht="14" x14ac:dyDescent="0.3">
      <c r="B44" s="141">
        <v>35</v>
      </c>
      <c r="C44" s="203"/>
      <c r="D44" s="203"/>
      <c r="E44" s="153"/>
      <c r="F44" s="553" t="str">
        <f>IF(D44="","",VLOOKUP(D44,'G-6 Hedgerow Data'!$B$2:$AG$15,2,FALSE))</f>
        <v/>
      </c>
      <c r="G44" s="499" t="str">
        <f>IF(D44="","",VLOOKUP(D44,'G-6 Hedgerow Data'!$B$2:$AG$15,3,FALSE))</f>
        <v/>
      </c>
      <c r="H44" s="145"/>
      <c r="I44" s="499" t="str">
        <f>IFERROR(VLOOKUP(H44,'G-1 All Habitats'!$Z$2:$AA$9,2,FALSE),"")</f>
        <v/>
      </c>
      <c r="J44" s="145"/>
      <c r="K44" s="507" t="str">
        <f>IF(J44="","",IF(VLOOKUP(J44,'G-3 Multipliers'!$L$3:$N$6,2,FALSE)=0,"Spatial Data Missing",VLOOKUP(J44,'G-3 Multipliers'!$L$3:$N$6,2,FALSE)))</f>
        <v/>
      </c>
      <c r="L44" s="505" t="str">
        <f>IF(J44="","",IF(VLOOKUP(J44,'G-3 Multipliers'!$L$3:$N$6,3,FALSE)=0,"Spatial Data Missing ⚠",VLOOKUP(J44,'G-3 Multipliers'!$L$3:$N$6,3,FALSE)))</f>
        <v/>
      </c>
      <c r="M44" s="506" t="str">
        <f>IF(D44="","",VLOOKUP(D44,'G-6 Hedgerow Data'!$B$1:$AH$15,33,FALSE))</f>
        <v/>
      </c>
      <c r="N44" s="513" t="str">
        <f t="shared" si="2"/>
        <v/>
      </c>
      <c r="O44" s="40"/>
      <c r="P44" s="154"/>
      <c r="Q44" s="203"/>
      <c r="R44" s="532" t="str">
        <f t="shared" si="3"/>
        <v/>
      </c>
      <c r="S44" s="532" t="str">
        <f t="shared" si="4"/>
        <v/>
      </c>
      <c r="T44" s="532" t="str">
        <f t="shared" si="5"/>
        <v/>
      </c>
      <c r="U44" s="557" t="str">
        <f t="shared" si="6"/>
        <v/>
      </c>
      <c r="V44" s="151"/>
      <c r="W44" s="152"/>
      <c r="AE44" s="156" t="str">
        <f t="shared" si="0"/>
        <v/>
      </c>
      <c r="AF44" s="156" t="str">
        <f t="shared" si="1"/>
        <v/>
      </c>
      <c r="AH44" s="156">
        <v>35</v>
      </c>
      <c r="AJ44" s="156" t="str">
        <f t="array" ref="AJ44">IFERROR(INDEX($AH$10:$AH$258, MATCH(0, IF(TRUE=$AE$10:$AE$258, COUNTIF($AJ$9:$AJ43, $AH$10:$AH$258), ""), 0)),"")</f>
        <v/>
      </c>
      <c r="AK44" s="156" t="str">
        <f t="array" ref="AK44">IFERROR(INDEX($AH$10:$AH$258, MATCH(0, IF(TRUE=$AF$10:$AF$258, COUNTIF($AK$9:$AK43, $AH$10:$AH$258), ""), 0)),"")</f>
        <v/>
      </c>
      <c r="AL44" s="31" t="str">
        <f>IFERROR(INDEX('G-6 Hedgerow Data'!$BJ$3:$BJ$15,MATCH(D44,'G-6 Hedgerow Data'!$B$3:$B$15,0)),"")</f>
        <v/>
      </c>
    </row>
    <row r="45" spans="2:38" ht="14" x14ac:dyDescent="0.3">
      <c r="B45" s="141">
        <v>36</v>
      </c>
      <c r="C45" s="203"/>
      <c r="D45" s="203"/>
      <c r="E45" s="153"/>
      <c r="F45" s="553" t="str">
        <f>IF(D45="","",VLOOKUP(D45,'G-6 Hedgerow Data'!$B$2:$AG$15,2,FALSE))</f>
        <v/>
      </c>
      <c r="G45" s="499" t="str">
        <f>IF(D45="","",VLOOKUP(D45,'G-6 Hedgerow Data'!$B$2:$AG$15,3,FALSE))</f>
        <v/>
      </c>
      <c r="H45" s="145"/>
      <c r="I45" s="499" t="str">
        <f>IFERROR(VLOOKUP(H45,'G-1 All Habitats'!$Z$2:$AA$9,2,FALSE),"")</f>
        <v/>
      </c>
      <c r="J45" s="145"/>
      <c r="K45" s="507" t="str">
        <f>IF(J45="","",IF(VLOOKUP(J45,'G-3 Multipliers'!$L$3:$N$6,2,FALSE)=0,"Spatial Data Missing",VLOOKUP(J45,'G-3 Multipliers'!$L$3:$N$6,2,FALSE)))</f>
        <v/>
      </c>
      <c r="L45" s="505" t="str">
        <f>IF(J45="","",IF(VLOOKUP(J45,'G-3 Multipliers'!$L$3:$N$6,3,FALSE)=0,"Spatial Data Missing ⚠",VLOOKUP(J45,'G-3 Multipliers'!$L$3:$N$6,3,FALSE)))</f>
        <v/>
      </c>
      <c r="M45" s="506" t="str">
        <f>IF(D45="","",VLOOKUP(D45,'G-6 Hedgerow Data'!$B$1:$AH$15,33,FALSE))</f>
        <v/>
      </c>
      <c r="N45" s="513" t="str">
        <f t="shared" si="2"/>
        <v/>
      </c>
      <c r="O45" s="40"/>
      <c r="P45" s="154"/>
      <c r="Q45" s="203"/>
      <c r="R45" s="532" t="str">
        <f t="shared" si="3"/>
        <v/>
      </c>
      <c r="S45" s="532" t="str">
        <f t="shared" si="4"/>
        <v/>
      </c>
      <c r="T45" s="532" t="str">
        <f t="shared" si="5"/>
        <v/>
      </c>
      <c r="U45" s="557" t="str">
        <f t="shared" si="6"/>
        <v/>
      </c>
      <c r="V45" s="151"/>
      <c r="W45" s="152"/>
      <c r="AE45" s="156" t="str">
        <f t="shared" si="0"/>
        <v/>
      </c>
      <c r="AF45" s="156" t="str">
        <f t="shared" si="1"/>
        <v/>
      </c>
      <c r="AH45" s="156">
        <v>36</v>
      </c>
      <c r="AJ45" s="156" t="str">
        <f t="array" ref="AJ45">IFERROR(INDEX($AH$10:$AH$258, MATCH(0, IF(TRUE=$AE$10:$AE$258, COUNTIF($AJ$9:$AJ44, $AH$10:$AH$258), ""), 0)),"")</f>
        <v/>
      </c>
      <c r="AK45" s="156" t="str">
        <f t="array" ref="AK45">IFERROR(INDEX($AH$10:$AH$258, MATCH(0, IF(TRUE=$AF$10:$AF$258, COUNTIF($AK$9:$AK44, $AH$10:$AH$258), ""), 0)),"")</f>
        <v/>
      </c>
      <c r="AL45" s="31" t="str">
        <f>IFERROR(INDEX('G-6 Hedgerow Data'!$BJ$3:$BJ$15,MATCH(D45,'G-6 Hedgerow Data'!$B$3:$B$15,0)),"")</f>
        <v/>
      </c>
    </row>
    <row r="46" spans="2:38" ht="14" x14ac:dyDescent="0.3">
      <c r="B46" s="141">
        <v>37</v>
      </c>
      <c r="C46" s="203"/>
      <c r="D46" s="203"/>
      <c r="E46" s="153"/>
      <c r="F46" s="553" t="str">
        <f>IF(D46="","",VLOOKUP(D46,'G-6 Hedgerow Data'!$B$2:$AG$15,2,FALSE))</f>
        <v/>
      </c>
      <c r="G46" s="499" t="str">
        <f>IF(D46="","",VLOOKUP(D46,'G-6 Hedgerow Data'!$B$2:$AG$15,3,FALSE))</f>
        <v/>
      </c>
      <c r="H46" s="145"/>
      <c r="I46" s="499" t="str">
        <f>IFERROR(VLOOKUP(H46,'G-1 All Habitats'!$Z$2:$AA$9,2,FALSE),"")</f>
        <v/>
      </c>
      <c r="J46" s="145"/>
      <c r="K46" s="507" t="str">
        <f>IF(J46="","",IF(VLOOKUP(J46,'G-3 Multipliers'!$L$3:$N$6,2,FALSE)=0,"Spatial Data Missing",VLOOKUP(J46,'G-3 Multipliers'!$L$3:$N$6,2,FALSE)))</f>
        <v/>
      </c>
      <c r="L46" s="505" t="str">
        <f>IF(J46="","",IF(VLOOKUP(J46,'G-3 Multipliers'!$L$3:$N$6,3,FALSE)=0,"Spatial Data Missing ⚠",VLOOKUP(J46,'G-3 Multipliers'!$L$3:$N$6,3,FALSE)))</f>
        <v/>
      </c>
      <c r="M46" s="506" t="str">
        <f>IF(D46="","",VLOOKUP(D46,'G-6 Hedgerow Data'!$B$1:$AH$15,33,FALSE))</f>
        <v/>
      </c>
      <c r="N46" s="513" t="str">
        <f t="shared" si="2"/>
        <v/>
      </c>
      <c r="O46" s="40"/>
      <c r="P46" s="154"/>
      <c r="Q46" s="203"/>
      <c r="R46" s="532" t="str">
        <f t="shared" si="3"/>
        <v/>
      </c>
      <c r="S46" s="532" t="str">
        <f t="shared" si="4"/>
        <v/>
      </c>
      <c r="T46" s="532" t="str">
        <f t="shared" si="5"/>
        <v/>
      </c>
      <c r="U46" s="557" t="str">
        <f t="shared" si="6"/>
        <v/>
      </c>
      <c r="V46" s="151"/>
      <c r="W46" s="152"/>
      <c r="AE46" s="156" t="str">
        <f t="shared" si="0"/>
        <v/>
      </c>
      <c r="AF46" s="156" t="str">
        <f t="shared" si="1"/>
        <v/>
      </c>
      <c r="AH46" s="156">
        <v>37</v>
      </c>
      <c r="AJ46" s="156" t="str">
        <f t="array" ref="AJ46">IFERROR(INDEX($AH$10:$AH$258, MATCH(0, IF(TRUE=$AE$10:$AE$258, COUNTIF($AJ$9:$AJ45, $AH$10:$AH$258), ""), 0)),"")</f>
        <v/>
      </c>
      <c r="AK46" s="156" t="str">
        <f t="array" ref="AK46">IFERROR(INDEX($AH$10:$AH$258, MATCH(0, IF(TRUE=$AF$10:$AF$258, COUNTIF($AK$9:$AK45, $AH$10:$AH$258), ""), 0)),"")</f>
        <v/>
      </c>
      <c r="AL46" s="31" t="str">
        <f>IFERROR(INDEX('G-6 Hedgerow Data'!$BJ$3:$BJ$15,MATCH(D46,'G-6 Hedgerow Data'!$B$3:$B$15,0)),"")</f>
        <v/>
      </c>
    </row>
    <row r="47" spans="2:38" ht="14" x14ac:dyDescent="0.3">
      <c r="B47" s="141">
        <v>38</v>
      </c>
      <c r="C47" s="203"/>
      <c r="D47" s="203"/>
      <c r="E47" s="153"/>
      <c r="F47" s="553" t="str">
        <f>IF(D47="","",VLOOKUP(D47,'G-6 Hedgerow Data'!$B$2:$AG$15,2,FALSE))</f>
        <v/>
      </c>
      <c r="G47" s="499" t="str">
        <f>IF(D47="","",VLOOKUP(D47,'G-6 Hedgerow Data'!$B$2:$AG$15,3,FALSE))</f>
        <v/>
      </c>
      <c r="H47" s="145"/>
      <c r="I47" s="499" t="str">
        <f>IFERROR(VLOOKUP(H47,'G-1 All Habitats'!$Z$2:$AA$9,2,FALSE),"")</f>
        <v/>
      </c>
      <c r="J47" s="145"/>
      <c r="K47" s="507" t="str">
        <f>IF(J47="","",IF(VLOOKUP(J47,'G-3 Multipliers'!$L$3:$N$6,2,FALSE)=0,"Spatial Data Missing",VLOOKUP(J47,'G-3 Multipliers'!$L$3:$N$6,2,FALSE)))</f>
        <v/>
      </c>
      <c r="L47" s="505" t="str">
        <f>IF(J47="","",IF(VLOOKUP(J47,'G-3 Multipliers'!$L$3:$N$6,3,FALSE)=0,"Spatial Data Missing ⚠",VLOOKUP(J47,'G-3 Multipliers'!$L$3:$N$6,3,FALSE)))</f>
        <v/>
      </c>
      <c r="M47" s="506" t="str">
        <f>IF(D47="","",VLOOKUP(D47,'G-6 Hedgerow Data'!$B$1:$AH$15,33,FALSE))</f>
        <v/>
      </c>
      <c r="N47" s="513" t="str">
        <f t="shared" si="2"/>
        <v/>
      </c>
      <c r="O47" s="40"/>
      <c r="P47" s="154"/>
      <c r="Q47" s="203"/>
      <c r="R47" s="532" t="str">
        <f t="shared" si="3"/>
        <v/>
      </c>
      <c r="S47" s="532" t="str">
        <f t="shared" si="4"/>
        <v/>
      </c>
      <c r="T47" s="532" t="str">
        <f t="shared" si="5"/>
        <v/>
      </c>
      <c r="U47" s="557" t="str">
        <f t="shared" si="6"/>
        <v/>
      </c>
      <c r="V47" s="151"/>
      <c r="W47" s="152"/>
      <c r="AE47" s="156" t="str">
        <f t="shared" si="0"/>
        <v/>
      </c>
      <c r="AF47" s="156" t="str">
        <f t="shared" si="1"/>
        <v/>
      </c>
      <c r="AH47" s="156">
        <v>38</v>
      </c>
      <c r="AJ47" s="156" t="str">
        <f t="array" ref="AJ47">IFERROR(INDEX($AH$10:$AH$258, MATCH(0, IF(TRUE=$AE$10:$AE$258, COUNTIF($AJ$9:$AJ46, $AH$10:$AH$258), ""), 0)),"")</f>
        <v/>
      </c>
      <c r="AK47" s="156" t="str">
        <f t="array" ref="AK47">IFERROR(INDEX($AH$10:$AH$258, MATCH(0, IF(TRUE=$AF$10:$AF$258, COUNTIF($AK$9:$AK46, $AH$10:$AH$258), ""), 0)),"")</f>
        <v/>
      </c>
      <c r="AL47" s="31" t="str">
        <f>IFERROR(INDEX('G-6 Hedgerow Data'!$BJ$3:$BJ$15,MATCH(D47,'G-6 Hedgerow Data'!$B$3:$B$15,0)),"")</f>
        <v/>
      </c>
    </row>
    <row r="48" spans="2:38" ht="14" x14ac:dyDescent="0.3">
      <c r="B48" s="141">
        <v>39</v>
      </c>
      <c r="C48" s="203"/>
      <c r="D48" s="203"/>
      <c r="E48" s="153"/>
      <c r="F48" s="553" t="str">
        <f>IF(D48="","",VLOOKUP(D48,'G-6 Hedgerow Data'!$B$2:$AG$15,2,FALSE))</f>
        <v/>
      </c>
      <c r="G48" s="499" t="str">
        <f>IF(D48="","",VLOOKUP(D48,'G-6 Hedgerow Data'!$B$2:$AG$15,3,FALSE))</f>
        <v/>
      </c>
      <c r="H48" s="145"/>
      <c r="I48" s="499" t="str">
        <f>IFERROR(VLOOKUP(H48,'G-1 All Habitats'!$Z$2:$AA$9,2,FALSE),"")</f>
        <v/>
      </c>
      <c r="J48" s="145"/>
      <c r="K48" s="507" t="str">
        <f>IF(J48="","",IF(VLOOKUP(J48,'G-3 Multipliers'!$L$3:$N$6,2,FALSE)=0,"Spatial Data Missing",VLOOKUP(J48,'G-3 Multipliers'!$L$3:$N$6,2,FALSE)))</f>
        <v/>
      </c>
      <c r="L48" s="505" t="str">
        <f>IF(J48="","",IF(VLOOKUP(J48,'G-3 Multipliers'!$L$3:$N$6,3,FALSE)=0,"Spatial Data Missing ⚠",VLOOKUP(J48,'G-3 Multipliers'!$L$3:$N$6,3,FALSE)))</f>
        <v/>
      </c>
      <c r="M48" s="506" t="str">
        <f>IF(D48="","",VLOOKUP(D48,'G-6 Hedgerow Data'!$B$1:$AH$15,33,FALSE))</f>
        <v/>
      </c>
      <c r="N48" s="513" t="str">
        <f t="shared" si="2"/>
        <v/>
      </c>
      <c r="O48" s="40"/>
      <c r="P48" s="154"/>
      <c r="Q48" s="203"/>
      <c r="R48" s="532" t="str">
        <f t="shared" si="3"/>
        <v/>
      </c>
      <c r="S48" s="532" t="str">
        <f t="shared" si="4"/>
        <v/>
      </c>
      <c r="T48" s="532" t="str">
        <f t="shared" si="5"/>
        <v/>
      </c>
      <c r="U48" s="557" t="str">
        <f t="shared" si="6"/>
        <v/>
      </c>
      <c r="V48" s="151"/>
      <c r="W48" s="152"/>
      <c r="AE48" s="156" t="str">
        <f t="shared" si="0"/>
        <v/>
      </c>
      <c r="AF48" s="156" t="str">
        <f t="shared" si="1"/>
        <v/>
      </c>
      <c r="AH48" s="156">
        <v>39</v>
      </c>
      <c r="AJ48" s="156" t="str">
        <f t="array" ref="AJ48">IFERROR(INDEX($AH$10:$AH$258, MATCH(0, IF(TRUE=$AE$10:$AE$258, COUNTIF($AJ$9:$AJ47, $AH$10:$AH$258), ""), 0)),"")</f>
        <v/>
      </c>
      <c r="AK48" s="156" t="str">
        <f t="array" ref="AK48">IFERROR(INDEX($AH$10:$AH$258, MATCH(0, IF(TRUE=$AF$10:$AF$258, COUNTIF($AK$9:$AK47, $AH$10:$AH$258), ""), 0)),"")</f>
        <v/>
      </c>
      <c r="AL48" s="31" t="str">
        <f>IFERROR(INDEX('G-6 Hedgerow Data'!$BJ$3:$BJ$15,MATCH(D48,'G-6 Hedgerow Data'!$B$3:$B$15,0)),"")</f>
        <v/>
      </c>
    </row>
    <row r="49" spans="2:38" ht="14" x14ac:dyDescent="0.3">
      <c r="B49" s="141">
        <v>40</v>
      </c>
      <c r="C49" s="203"/>
      <c r="D49" s="203"/>
      <c r="E49" s="153"/>
      <c r="F49" s="553" t="str">
        <f>IF(D49="","",VLOOKUP(D49,'G-6 Hedgerow Data'!$B$2:$AG$15,2,FALSE))</f>
        <v/>
      </c>
      <c r="G49" s="499" t="str">
        <f>IF(D49="","",VLOOKUP(D49,'G-6 Hedgerow Data'!$B$2:$AG$15,3,FALSE))</f>
        <v/>
      </c>
      <c r="H49" s="145"/>
      <c r="I49" s="499" t="str">
        <f>IFERROR(VLOOKUP(H49,'G-1 All Habitats'!$Z$2:$AA$9,2,FALSE),"")</f>
        <v/>
      </c>
      <c r="J49" s="145"/>
      <c r="K49" s="507" t="str">
        <f>IF(J49="","",IF(VLOOKUP(J49,'G-3 Multipliers'!$L$3:$N$6,2,FALSE)=0,"Spatial Data Missing",VLOOKUP(J49,'G-3 Multipliers'!$L$3:$N$6,2,FALSE)))</f>
        <v/>
      </c>
      <c r="L49" s="505" t="str">
        <f>IF(J49="","",IF(VLOOKUP(J49,'G-3 Multipliers'!$L$3:$N$6,3,FALSE)=0,"Spatial Data Missing ⚠",VLOOKUP(J49,'G-3 Multipliers'!$L$3:$N$6,3,FALSE)))</f>
        <v/>
      </c>
      <c r="M49" s="506" t="str">
        <f>IF(D49="","",VLOOKUP(D49,'G-6 Hedgerow Data'!$B$1:$AH$15,33,FALSE))</f>
        <v/>
      </c>
      <c r="N49" s="513" t="str">
        <f t="shared" si="2"/>
        <v/>
      </c>
      <c r="O49" s="40"/>
      <c r="P49" s="154"/>
      <c r="Q49" s="203"/>
      <c r="R49" s="532" t="str">
        <f t="shared" si="3"/>
        <v/>
      </c>
      <c r="S49" s="532" t="str">
        <f t="shared" si="4"/>
        <v/>
      </c>
      <c r="T49" s="532" t="str">
        <f t="shared" si="5"/>
        <v/>
      </c>
      <c r="U49" s="557" t="str">
        <f t="shared" si="6"/>
        <v/>
      </c>
      <c r="V49" s="151"/>
      <c r="W49" s="152"/>
      <c r="AE49" s="156" t="str">
        <f t="shared" si="0"/>
        <v/>
      </c>
      <c r="AF49" s="156" t="str">
        <f t="shared" si="1"/>
        <v/>
      </c>
      <c r="AH49" s="156">
        <v>40</v>
      </c>
      <c r="AJ49" s="156" t="str">
        <f t="array" ref="AJ49">IFERROR(INDEX($AH$10:$AH$258, MATCH(0, IF(TRUE=$AE$10:$AE$258, COUNTIF($AJ$9:$AJ48, $AH$10:$AH$258), ""), 0)),"")</f>
        <v/>
      </c>
      <c r="AK49" s="156" t="str">
        <f t="array" ref="AK49">IFERROR(INDEX($AH$10:$AH$258, MATCH(0, IF(TRUE=$AF$10:$AF$258, COUNTIF($AK$9:$AK48, $AH$10:$AH$258), ""), 0)),"")</f>
        <v/>
      </c>
      <c r="AL49" s="31" t="str">
        <f>IFERROR(INDEX('G-6 Hedgerow Data'!$BJ$3:$BJ$15,MATCH(D49,'G-6 Hedgerow Data'!$B$3:$B$15,0)),"")</f>
        <v/>
      </c>
    </row>
    <row r="50" spans="2:38" ht="14" x14ac:dyDescent="0.3">
      <c r="B50" s="141">
        <v>41</v>
      </c>
      <c r="C50" s="203"/>
      <c r="D50" s="203"/>
      <c r="E50" s="153"/>
      <c r="F50" s="553" t="str">
        <f>IF(D50="","",VLOOKUP(D50,'G-6 Hedgerow Data'!$B$2:$AG$15,2,FALSE))</f>
        <v/>
      </c>
      <c r="G50" s="499" t="str">
        <f>IF(D50="","",VLOOKUP(D50,'G-6 Hedgerow Data'!$B$2:$AG$15,3,FALSE))</f>
        <v/>
      </c>
      <c r="H50" s="145"/>
      <c r="I50" s="499" t="str">
        <f>IFERROR(VLOOKUP(H50,'G-1 All Habitats'!$Z$2:$AA$9,2,FALSE),"")</f>
        <v/>
      </c>
      <c r="J50" s="145"/>
      <c r="K50" s="507" t="str">
        <f>IF(J50="","",IF(VLOOKUP(J50,'G-3 Multipliers'!$L$3:$N$6,2,FALSE)=0,"Spatial Data Missing",VLOOKUP(J50,'G-3 Multipliers'!$L$3:$N$6,2,FALSE)))</f>
        <v/>
      </c>
      <c r="L50" s="505" t="str">
        <f>IF(J50="","",IF(VLOOKUP(J50,'G-3 Multipliers'!$L$3:$N$6,3,FALSE)=0,"Spatial Data Missing ⚠",VLOOKUP(J50,'G-3 Multipliers'!$L$3:$N$6,3,FALSE)))</f>
        <v/>
      </c>
      <c r="M50" s="506" t="str">
        <f>IF(D50="","",VLOOKUP(D50,'G-6 Hedgerow Data'!$B$1:$AH$15,33,FALSE))</f>
        <v/>
      </c>
      <c r="N50" s="513" t="str">
        <f t="shared" si="2"/>
        <v/>
      </c>
      <c r="O50" s="40"/>
      <c r="P50" s="154"/>
      <c r="Q50" s="203"/>
      <c r="R50" s="532" t="str">
        <f t="shared" si="3"/>
        <v/>
      </c>
      <c r="S50" s="532" t="str">
        <f t="shared" si="4"/>
        <v/>
      </c>
      <c r="T50" s="532" t="str">
        <f t="shared" si="5"/>
        <v/>
      </c>
      <c r="U50" s="557" t="str">
        <f t="shared" si="6"/>
        <v/>
      </c>
      <c r="V50" s="151"/>
      <c r="W50" s="152"/>
      <c r="AE50" s="156" t="str">
        <f t="shared" si="0"/>
        <v/>
      </c>
      <c r="AF50" s="156" t="str">
        <f t="shared" si="1"/>
        <v/>
      </c>
      <c r="AH50" s="156">
        <v>41</v>
      </c>
      <c r="AJ50" s="156" t="str">
        <f t="array" ref="AJ50">IFERROR(INDEX($AH$10:$AH$258, MATCH(0, IF(TRUE=$AE$10:$AE$258, COUNTIF($AJ$9:$AJ49, $AH$10:$AH$258), ""), 0)),"")</f>
        <v/>
      </c>
      <c r="AK50" s="156" t="str">
        <f t="array" ref="AK50">IFERROR(INDEX($AH$10:$AH$258, MATCH(0, IF(TRUE=$AF$10:$AF$258, COUNTIF($AK$9:$AK49, $AH$10:$AH$258), ""), 0)),"")</f>
        <v/>
      </c>
      <c r="AL50" s="31" t="str">
        <f>IFERROR(INDEX('G-6 Hedgerow Data'!$BJ$3:$BJ$15,MATCH(D50,'G-6 Hedgerow Data'!$B$3:$B$15,0)),"")</f>
        <v/>
      </c>
    </row>
    <row r="51" spans="2:38" ht="14" x14ac:dyDescent="0.3">
      <c r="B51" s="141">
        <v>42</v>
      </c>
      <c r="C51" s="203"/>
      <c r="D51" s="203"/>
      <c r="E51" s="153"/>
      <c r="F51" s="553" t="str">
        <f>IF(D51="","",VLOOKUP(D51,'G-6 Hedgerow Data'!$B$2:$AG$15,2,FALSE))</f>
        <v/>
      </c>
      <c r="G51" s="499" t="str">
        <f>IF(D51="","",VLOOKUP(D51,'G-6 Hedgerow Data'!$B$2:$AG$15,3,FALSE))</f>
        <v/>
      </c>
      <c r="H51" s="145"/>
      <c r="I51" s="499" t="str">
        <f>IFERROR(VLOOKUP(H51,'G-1 All Habitats'!$Z$2:$AA$9,2,FALSE),"")</f>
        <v/>
      </c>
      <c r="J51" s="145"/>
      <c r="K51" s="507" t="str">
        <f>IF(J51="","",IF(VLOOKUP(J51,'G-3 Multipliers'!$L$3:$N$6,2,FALSE)=0,"Spatial Data Missing",VLOOKUP(J51,'G-3 Multipliers'!$L$3:$N$6,2,FALSE)))</f>
        <v/>
      </c>
      <c r="L51" s="505" t="str">
        <f>IF(J51="","",IF(VLOOKUP(J51,'G-3 Multipliers'!$L$3:$N$6,3,FALSE)=0,"Spatial Data Missing ⚠",VLOOKUP(J51,'G-3 Multipliers'!$L$3:$N$6,3,FALSE)))</f>
        <v/>
      </c>
      <c r="M51" s="506" t="str">
        <f>IF(D51="","",VLOOKUP(D51,'G-6 Hedgerow Data'!$B$1:$AH$15,33,FALSE))</f>
        <v/>
      </c>
      <c r="N51" s="513" t="str">
        <f t="shared" si="2"/>
        <v/>
      </c>
      <c r="O51" s="40"/>
      <c r="P51" s="154"/>
      <c r="Q51" s="203"/>
      <c r="R51" s="532" t="str">
        <f t="shared" si="3"/>
        <v/>
      </c>
      <c r="S51" s="532" t="str">
        <f t="shared" si="4"/>
        <v/>
      </c>
      <c r="T51" s="532" t="str">
        <f t="shared" si="5"/>
        <v/>
      </c>
      <c r="U51" s="557" t="str">
        <f t="shared" si="6"/>
        <v/>
      </c>
      <c r="V51" s="151"/>
      <c r="W51" s="152"/>
      <c r="AE51" s="156" t="str">
        <f t="shared" si="0"/>
        <v/>
      </c>
      <c r="AF51" s="156" t="str">
        <f t="shared" si="1"/>
        <v/>
      </c>
      <c r="AH51" s="156">
        <v>42</v>
      </c>
      <c r="AJ51" s="156" t="str">
        <f t="array" ref="AJ51">IFERROR(INDEX($AH$10:$AH$258, MATCH(0, IF(TRUE=$AE$10:$AE$258, COUNTIF($AJ$9:$AJ50, $AH$10:$AH$258), ""), 0)),"")</f>
        <v/>
      </c>
      <c r="AK51" s="156" t="str">
        <f t="array" ref="AK51">IFERROR(INDEX($AH$10:$AH$258, MATCH(0, IF(TRUE=$AF$10:$AF$258, COUNTIF($AK$9:$AK50, $AH$10:$AH$258), ""), 0)),"")</f>
        <v/>
      </c>
      <c r="AL51" s="31" t="str">
        <f>IFERROR(INDEX('G-6 Hedgerow Data'!$BJ$3:$BJ$15,MATCH(D51,'G-6 Hedgerow Data'!$B$3:$B$15,0)),"")</f>
        <v/>
      </c>
    </row>
    <row r="52" spans="2:38" ht="14" x14ac:dyDescent="0.3">
      <c r="B52" s="141">
        <v>43</v>
      </c>
      <c r="C52" s="203"/>
      <c r="D52" s="203"/>
      <c r="E52" s="153"/>
      <c r="F52" s="553" t="str">
        <f>IF(D52="","",VLOOKUP(D52,'G-6 Hedgerow Data'!$B$2:$AG$15,2,FALSE))</f>
        <v/>
      </c>
      <c r="G52" s="499" t="str">
        <f>IF(D52="","",VLOOKUP(D52,'G-6 Hedgerow Data'!$B$2:$AG$15,3,FALSE))</f>
        <v/>
      </c>
      <c r="H52" s="145"/>
      <c r="I52" s="499" t="str">
        <f>IFERROR(VLOOKUP(H52,'G-1 All Habitats'!$Z$2:$AA$9,2,FALSE),"")</f>
        <v/>
      </c>
      <c r="J52" s="145"/>
      <c r="K52" s="507" t="str">
        <f>IF(J52="","",IF(VLOOKUP(J52,'G-3 Multipliers'!$L$3:$N$6,2,FALSE)=0,"Spatial Data Missing",VLOOKUP(J52,'G-3 Multipliers'!$L$3:$N$6,2,FALSE)))</f>
        <v/>
      </c>
      <c r="L52" s="505" t="str">
        <f>IF(J52="","",IF(VLOOKUP(J52,'G-3 Multipliers'!$L$3:$N$6,3,FALSE)=0,"Spatial Data Missing ⚠",VLOOKUP(J52,'G-3 Multipliers'!$L$3:$N$6,3,FALSE)))</f>
        <v/>
      </c>
      <c r="M52" s="506" t="str">
        <f>IF(D52="","",VLOOKUP(D52,'G-6 Hedgerow Data'!$B$1:$AH$15,33,FALSE))</f>
        <v/>
      </c>
      <c r="N52" s="513" t="str">
        <f t="shared" si="2"/>
        <v/>
      </c>
      <c r="O52" s="40"/>
      <c r="P52" s="154"/>
      <c r="Q52" s="203"/>
      <c r="R52" s="532" t="str">
        <f t="shared" si="3"/>
        <v/>
      </c>
      <c r="S52" s="532" t="str">
        <f t="shared" si="4"/>
        <v/>
      </c>
      <c r="T52" s="532" t="str">
        <f t="shared" si="5"/>
        <v/>
      </c>
      <c r="U52" s="557" t="str">
        <f t="shared" si="6"/>
        <v/>
      </c>
      <c r="V52" s="151"/>
      <c r="W52" s="152"/>
      <c r="AE52" s="156" t="str">
        <f t="shared" si="0"/>
        <v/>
      </c>
      <c r="AF52" s="156" t="str">
        <f t="shared" si="1"/>
        <v/>
      </c>
      <c r="AH52" s="156">
        <v>43</v>
      </c>
      <c r="AJ52" s="156" t="str">
        <f t="array" ref="AJ52">IFERROR(INDEX($AH$10:$AH$258, MATCH(0, IF(TRUE=$AE$10:$AE$258, COUNTIF($AJ$9:$AJ51, $AH$10:$AH$258), ""), 0)),"")</f>
        <v/>
      </c>
      <c r="AK52" s="156" t="str">
        <f t="array" ref="AK52">IFERROR(INDEX($AH$10:$AH$258, MATCH(0, IF(TRUE=$AF$10:$AF$258, COUNTIF($AK$9:$AK51, $AH$10:$AH$258), ""), 0)),"")</f>
        <v/>
      </c>
      <c r="AL52" s="31" t="str">
        <f>IFERROR(INDEX('G-6 Hedgerow Data'!$BJ$3:$BJ$15,MATCH(D52,'G-6 Hedgerow Data'!$B$3:$B$15,0)),"")</f>
        <v/>
      </c>
    </row>
    <row r="53" spans="2:38" ht="14" x14ac:dyDescent="0.3">
      <c r="B53" s="141">
        <v>44</v>
      </c>
      <c r="C53" s="203"/>
      <c r="D53" s="203"/>
      <c r="E53" s="153"/>
      <c r="F53" s="553" t="str">
        <f>IF(D53="","",VLOOKUP(D53,'G-6 Hedgerow Data'!$B$2:$AG$15,2,FALSE))</f>
        <v/>
      </c>
      <c r="G53" s="499" t="str">
        <f>IF(D53="","",VLOOKUP(D53,'G-6 Hedgerow Data'!$B$2:$AG$15,3,FALSE))</f>
        <v/>
      </c>
      <c r="H53" s="145"/>
      <c r="I53" s="499" t="str">
        <f>IFERROR(VLOOKUP(H53,'G-1 All Habitats'!$Z$2:$AA$9,2,FALSE),"")</f>
        <v/>
      </c>
      <c r="J53" s="145"/>
      <c r="K53" s="507" t="str">
        <f>IF(J53="","",IF(VLOOKUP(J53,'G-3 Multipliers'!$L$3:$N$6,2,FALSE)=0,"Spatial Data Missing",VLOOKUP(J53,'G-3 Multipliers'!$L$3:$N$6,2,FALSE)))</f>
        <v/>
      </c>
      <c r="L53" s="505" t="str">
        <f>IF(J53="","",IF(VLOOKUP(J53,'G-3 Multipliers'!$L$3:$N$6,3,FALSE)=0,"Spatial Data Missing ⚠",VLOOKUP(J53,'G-3 Multipliers'!$L$3:$N$6,3,FALSE)))</f>
        <v/>
      </c>
      <c r="M53" s="506" t="str">
        <f>IF(D53="","",VLOOKUP(D53,'G-6 Hedgerow Data'!$B$1:$AH$15,33,FALSE))</f>
        <v/>
      </c>
      <c r="N53" s="513" t="str">
        <f t="shared" si="2"/>
        <v/>
      </c>
      <c r="O53" s="40"/>
      <c r="P53" s="154"/>
      <c r="Q53" s="203"/>
      <c r="R53" s="532" t="str">
        <f t="shared" si="3"/>
        <v/>
      </c>
      <c r="S53" s="532" t="str">
        <f t="shared" si="4"/>
        <v/>
      </c>
      <c r="T53" s="532" t="str">
        <f t="shared" si="5"/>
        <v/>
      </c>
      <c r="U53" s="557" t="str">
        <f t="shared" si="6"/>
        <v/>
      </c>
      <c r="V53" s="151"/>
      <c r="W53" s="152"/>
      <c r="AE53" s="156" t="str">
        <f t="shared" si="0"/>
        <v/>
      </c>
      <c r="AF53" s="156" t="str">
        <f t="shared" si="1"/>
        <v/>
      </c>
      <c r="AH53" s="156">
        <v>44</v>
      </c>
      <c r="AJ53" s="156" t="str">
        <f t="array" ref="AJ53">IFERROR(INDEX($AH$10:$AH$258, MATCH(0, IF(TRUE=$AE$10:$AE$258, COUNTIF($AJ$9:$AJ52, $AH$10:$AH$258), ""), 0)),"")</f>
        <v/>
      </c>
      <c r="AK53" s="156" t="str">
        <f t="array" ref="AK53">IFERROR(INDEX($AH$10:$AH$258, MATCH(0, IF(TRUE=$AF$10:$AF$258, COUNTIF($AK$9:$AK52, $AH$10:$AH$258), ""), 0)),"")</f>
        <v/>
      </c>
      <c r="AL53" s="31" t="str">
        <f>IFERROR(INDEX('G-6 Hedgerow Data'!$BJ$3:$BJ$15,MATCH(D53,'G-6 Hedgerow Data'!$B$3:$B$15,0)),"")</f>
        <v/>
      </c>
    </row>
    <row r="54" spans="2:38" ht="14" x14ac:dyDescent="0.3">
      <c r="B54" s="141">
        <v>45</v>
      </c>
      <c r="C54" s="203"/>
      <c r="D54" s="203"/>
      <c r="E54" s="153"/>
      <c r="F54" s="553" t="str">
        <f>IF(D54="","",VLOOKUP(D54,'G-6 Hedgerow Data'!$B$2:$AG$15,2,FALSE))</f>
        <v/>
      </c>
      <c r="G54" s="499" t="str">
        <f>IF(D54="","",VLOOKUP(D54,'G-6 Hedgerow Data'!$B$2:$AG$15,3,FALSE))</f>
        <v/>
      </c>
      <c r="H54" s="145"/>
      <c r="I54" s="499" t="str">
        <f>IFERROR(VLOOKUP(H54,'G-1 All Habitats'!$Z$2:$AA$9,2,FALSE),"")</f>
        <v/>
      </c>
      <c r="J54" s="145"/>
      <c r="K54" s="507" t="str">
        <f>IF(J54="","",IF(VLOOKUP(J54,'G-3 Multipliers'!$L$3:$N$6,2,FALSE)=0,"Spatial Data Missing",VLOOKUP(J54,'G-3 Multipliers'!$L$3:$N$6,2,FALSE)))</f>
        <v/>
      </c>
      <c r="L54" s="505" t="str">
        <f>IF(J54="","",IF(VLOOKUP(J54,'G-3 Multipliers'!$L$3:$N$6,3,FALSE)=0,"Spatial Data Missing ⚠",VLOOKUP(J54,'G-3 Multipliers'!$L$3:$N$6,3,FALSE)))</f>
        <v/>
      </c>
      <c r="M54" s="506" t="str">
        <f>IF(D54="","",VLOOKUP(D54,'G-6 Hedgerow Data'!$B$1:$AH$15,33,FALSE))</f>
        <v/>
      </c>
      <c r="N54" s="513" t="str">
        <f t="shared" si="2"/>
        <v/>
      </c>
      <c r="O54" s="40"/>
      <c r="P54" s="154"/>
      <c r="Q54" s="203"/>
      <c r="R54" s="532" t="str">
        <f t="shared" si="3"/>
        <v/>
      </c>
      <c r="S54" s="532" t="str">
        <f t="shared" si="4"/>
        <v/>
      </c>
      <c r="T54" s="532" t="str">
        <f t="shared" si="5"/>
        <v/>
      </c>
      <c r="U54" s="557" t="str">
        <f t="shared" si="6"/>
        <v/>
      </c>
      <c r="V54" s="151"/>
      <c r="W54" s="152"/>
      <c r="AE54" s="156" t="str">
        <f t="shared" si="0"/>
        <v/>
      </c>
      <c r="AF54" s="156" t="str">
        <f t="shared" si="1"/>
        <v/>
      </c>
      <c r="AH54" s="156">
        <v>45</v>
      </c>
      <c r="AJ54" s="156" t="str">
        <f t="array" ref="AJ54">IFERROR(INDEX($AH$10:$AH$258, MATCH(0, IF(TRUE=$AE$10:$AE$258, COUNTIF($AJ$9:$AJ53, $AH$10:$AH$258), ""), 0)),"")</f>
        <v/>
      </c>
      <c r="AK54" s="156" t="str">
        <f t="array" ref="AK54">IFERROR(INDEX($AH$10:$AH$258, MATCH(0, IF(TRUE=$AF$10:$AF$258, COUNTIF($AK$9:$AK53, $AH$10:$AH$258), ""), 0)),"")</f>
        <v/>
      </c>
      <c r="AL54" s="31" t="str">
        <f>IFERROR(INDEX('G-6 Hedgerow Data'!$BJ$3:$BJ$15,MATCH(D54,'G-6 Hedgerow Data'!$B$3:$B$15,0)),"")</f>
        <v/>
      </c>
    </row>
    <row r="55" spans="2:38" ht="14" x14ac:dyDescent="0.3">
      <c r="B55" s="141">
        <v>46</v>
      </c>
      <c r="C55" s="203"/>
      <c r="D55" s="203"/>
      <c r="E55" s="153"/>
      <c r="F55" s="553" t="str">
        <f>IF(D55="","",VLOOKUP(D55,'G-6 Hedgerow Data'!$B$2:$AG$15,2,FALSE))</f>
        <v/>
      </c>
      <c r="G55" s="499" t="str">
        <f>IF(D55="","",VLOOKUP(D55,'G-6 Hedgerow Data'!$B$2:$AG$15,3,FALSE))</f>
        <v/>
      </c>
      <c r="H55" s="145"/>
      <c r="I55" s="499" t="str">
        <f>IFERROR(VLOOKUP(H55,'G-1 All Habitats'!$Z$2:$AA$9,2,FALSE),"")</f>
        <v/>
      </c>
      <c r="J55" s="145"/>
      <c r="K55" s="507" t="str">
        <f>IF(J55="","",IF(VLOOKUP(J55,'G-3 Multipliers'!$L$3:$N$6,2,FALSE)=0,"Spatial Data Missing",VLOOKUP(J55,'G-3 Multipliers'!$L$3:$N$6,2,FALSE)))</f>
        <v/>
      </c>
      <c r="L55" s="505" t="str">
        <f>IF(J55="","",IF(VLOOKUP(J55,'G-3 Multipliers'!$L$3:$N$6,3,FALSE)=0,"Spatial Data Missing ⚠",VLOOKUP(J55,'G-3 Multipliers'!$L$3:$N$6,3,FALSE)))</f>
        <v/>
      </c>
      <c r="M55" s="506" t="str">
        <f>IF(D55="","",VLOOKUP(D55,'G-6 Hedgerow Data'!$B$1:$AH$15,33,FALSE))</f>
        <v/>
      </c>
      <c r="N55" s="513" t="str">
        <f t="shared" si="2"/>
        <v/>
      </c>
      <c r="O55" s="40"/>
      <c r="P55" s="154"/>
      <c r="Q55" s="203"/>
      <c r="R55" s="532" t="str">
        <f t="shared" si="3"/>
        <v/>
      </c>
      <c r="S55" s="532" t="str">
        <f t="shared" si="4"/>
        <v/>
      </c>
      <c r="T55" s="532" t="str">
        <f t="shared" si="5"/>
        <v/>
      </c>
      <c r="U55" s="557" t="str">
        <f t="shared" si="6"/>
        <v/>
      </c>
      <c r="V55" s="151"/>
      <c r="W55" s="152"/>
      <c r="AE55" s="156" t="str">
        <f t="shared" si="0"/>
        <v/>
      </c>
      <c r="AF55" s="156" t="str">
        <f t="shared" si="1"/>
        <v/>
      </c>
      <c r="AH55" s="156">
        <v>46</v>
      </c>
      <c r="AJ55" s="156" t="str">
        <f t="array" ref="AJ55">IFERROR(INDEX($AH$10:$AH$258, MATCH(0, IF(TRUE=$AE$10:$AE$258, COUNTIF($AJ$9:$AJ54, $AH$10:$AH$258), ""), 0)),"")</f>
        <v/>
      </c>
      <c r="AK55" s="156" t="str">
        <f t="array" ref="AK55">IFERROR(INDEX($AH$10:$AH$258, MATCH(0, IF(TRUE=$AF$10:$AF$258, COUNTIF($AK$9:$AK54, $AH$10:$AH$258), ""), 0)),"")</f>
        <v/>
      </c>
      <c r="AL55" s="31" t="str">
        <f>IFERROR(INDEX('G-6 Hedgerow Data'!$BJ$3:$BJ$15,MATCH(D55,'G-6 Hedgerow Data'!$B$3:$B$15,0)),"")</f>
        <v/>
      </c>
    </row>
    <row r="56" spans="2:38" ht="14" x14ac:dyDescent="0.3">
      <c r="B56" s="141">
        <v>47</v>
      </c>
      <c r="C56" s="203"/>
      <c r="D56" s="203"/>
      <c r="E56" s="153"/>
      <c r="F56" s="553" t="str">
        <f>IF(D56="","",VLOOKUP(D56,'G-6 Hedgerow Data'!$B$2:$AG$15,2,FALSE))</f>
        <v/>
      </c>
      <c r="G56" s="499" t="str">
        <f>IF(D56="","",VLOOKUP(D56,'G-6 Hedgerow Data'!$B$2:$AG$15,3,FALSE))</f>
        <v/>
      </c>
      <c r="H56" s="145"/>
      <c r="I56" s="499" t="str">
        <f>IFERROR(VLOOKUP(H56,'G-1 All Habitats'!$Z$2:$AA$9,2,FALSE),"")</f>
        <v/>
      </c>
      <c r="J56" s="145"/>
      <c r="K56" s="507" t="str">
        <f>IF(J56="","",IF(VLOOKUP(J56,'G-3 Multipliers'!$L$3:$N$6,2,FALSE)=0,"Spatial Data Missing",VLOOKUP(J56,'G-3 Multipliers'!$L$3:$N$6,2,FALSE)))</f>
        <v/>
      </c>
      <c r="L56" s="505" t="str">
        <f>IF(J56="","",IF(VLOOKUP(J56,'G-3 Multipliers'!$L$3:$N$6,3,FALSE)=0,"Spatial Data Missing ⚠",VLOOKUP(J56,'G-3 Multipliers'!$L$3:$N$6,3,FALSE)))</f>
        <v/>
      </c>
      <c r="M56" s="506" t="str">
        <f>IF(D56="","",VLOOKUP(D56,'G-6 Hedgerow Data'!$B$1:$AH$15,33,FALSE))</f>
        <v/>
      </c>
      <c r="N56" s="513" t="str">
        <f t="shared" si="2"/>
        <v/>
      </c>
      <c r="O56" s="40"/>
      <c r="P56" s="154"/>
      <c r="Q56" s="203"/>
      <c r="R56" s="532" t="str">
        <f t="shared" si="3"/>
        <v/>
      </c>
      <c r="S56" s="532" t="str">
        <f t="shared" si="4"/>
        <v/>
      </c>
      <c r="T56" s="532" t="str">
        <f t="shared" si="5"/>
        <v/>
      </c>
      <c r="U56" s="557" t="str">
        <f t="shared" si="6"/>
        <v/>
      </c>
      <c r="V56" s="151"/>
      <c r="W56" s="152"/>
      <c r="AE56" s="156" t="str">
        <f t="shared" si="0"/>
        <v/>
      </c>
      <c r="AF56" s="156" t="str">
        <f t="shared" si="1"/>
        <v/>
      </c>
      <c r="AH56" s="156">
        <v>47</v>
      </c>
      <c r="AJ56" s="156" t="str">
        <f t="array" ref="AJ56">IFERROR(INDEX($AH$10:$AH$258, MATCH(0, IF(TRUE=$AE$10:$AE$258, COUNTIF($AJ$9:$AJ55, $AH$10:$AH$258), ""), 0)),"")</f>
        <v/>
      </c>
      <c r="AK56" s="156" t="str">
        <f t="array" ref="AK56">IFERROR(INDEX($AH$10:$AH$258, MATCH(0, IF(TRUE=$AF$10:$AF$258, COUNTIF($AK$9:$AK55, $AH$10:$AH$258), ""), 0)),"")</f>
        <v/>
      </c>
      <c r="AL56" s="31" t="str">
        <f>IFERROR(INDEX('G-6 Hedgerow Data'!$BJ$3:$BJ$15,MATCH(D56,'G-6 Hedgerow Data'!$B$3:$B$15,0)),"")</f>
        <v/>
      </c>
    </row>
    <row r="57" spans="2:38" ht="14" x14ac:dyDescent="0.3">
      <c r="B57" s="141">
        <v>48</v>
      </c>
      <c r="C57" s="203"/>
      <c r="D57" s="203"/>
      <c r="E57" s="153"/>
      <c r="F57" s="553" t="str">
        <f>IF(D57="","",VLOOKUP(D57,'G-6 Hedgerow Data'!$B$2:$AG$15,2,FALSE))</f>
        <v/>
      </c>
      <c r="G57" s="499" t="str">
        <f>IF(D57="","",VLOOKUP(D57,'G-6 Hedgerow Data'!$B$2:$AG$15,3,FALSE))</f>
        <v/>
      </c>
      <c r="H57" s="145"/>
      <c r="I57" s="499" t="str">
        <f>IFERROR(VLOOKUP(H57,'G-1 All Habitats'!$Z$2:$AA$9,2,FALSE),"")</f>
        <v/>
      </c>
      <c r="J57" s="145"/>
      <c r="K57" s="507" t="str">
        <f>IF(J57="","",IF(VLOOKUP(J57,'G-3 Multipliers'!$L$3:$N$6,2,FALSE)=0,"Spatial Data Missing",VLOOKUP(J57,'G-3 Multipliers'!$L$3:$N$6,2,FALSE)))</f>
        <v/>
      </c>
      <c r="L57" s="505" t="str">
        <f>IF(J57="","",IF(VLOOKUP(J57,'G-3 Multipliers'!$L$3:$N$6,3,FALSE)=0,"Spatial Data Missing ⚠",VLOOKUP(J57,'G-3 Multipliers'!$L$3:$N$6,3,FALSE)))</f>
        <v/>
      </c>
      <c r="M57" s="506" t="str">
        <f>IF(D57="","",VLOOKUP(D57,'G-6 Hedgerow Data'!$B$1:$AH$15,33,FALSE))</f>
        <v/>
      </c>
      <c r="N57" s="513" t="str">
        <f t="shared" si="2"/>
        <v/>
      </c>
      <c r="O57" s="40"/>
      <c r="P57" s="154"/>
      <c r="Q57" s="203"/>
      <c r="R57" s="532" t="str">
        <f t="shared" si="3"/>
        <v/>
      </c>
      <c r="S57" s="532" t="str">
        <f t="shared" si="4"/>
        <v/>
      </c>
      <c r="T57" s="532" t="str">
        <f t="shared" si="5"/>
        <v/>
      </c>
      <c r="U57" s="557" t="str">
        <f t="shared" si="6"/>
        <v/>
      </c>
      <c r="V57" s="151"/>
      <c r="W57" s="152"/>
      <c r="AE57" s="156" t="str">
        <f t="shared" si="0"/>
        <v/>
      </c>
      <c r="AF57" s="156" t="str">
        <f t="shared" si="1"/>
        <v/>
      </c>
      <c r="AH57" s="156">
        <v>48</v>
      </c>
      <c r="AJ57" s="156" t="str">
        <f t="array" ref="AJ57">IFERROR(INDEX($AH$10:$AH$258, MATCH(0, IF(TRUE=$AE$10:$AE$258, COUNTIF($AJ$9:$AJ56, $AH$10:$AH$258), ""), 0)),"")</f>
        <v/>
      </c>
      <c r="AK57" s="156" t="str">
        <f t="array" ref="AK57">IFERROR(INDEX($AH$10:$AH$258, MATCH(0, IF(TRUE=$AF$10:$AF$258, COUNTIF($AK$9:$AK56, $AH$10:$AH$258), ""), 0)),"")</f>
        <v/>
      </c>
      <c r="AL57" s="31" t="str">
        <f>IFERROR(INDEX('G-6 Hedgerow Data'!$BJ$3:$BJ$15,MATCH(D57,'G-6 Hedgerow Data'!$B$3:$B$15,0)),"")</f>
        <v/>
      </c>
    </row>
    <row r="58" spans="2:38" ht="14" x14ac:dyDescent="0.3">
      <c r="B58" s="141">
        <v>49</v>
      </c>
      <c r="C58" s="203"/>
      <c r="D58" s="203"/>
      <c r="E58" s="153"/>
      <c r="F58" s="553" t="str">
        <f>IF(D58="","",VLOOKUP(D58,'G-6 Hedgerow Data'!$B$2:$AG$15,2,FALSE))</f>
        <v/>
      </c>
      <c r="G58" s="499" t="str">
        <f>IF(D58="","",VLOOKUP(D58,'G-6 Hedgerow Data'!$B$2:$AG$15,3,FALSE))</f>
        <v/>
      </c>
      <c r="H58" s="145"/>
      <c r="I58" s="499" t="str">
        <f>IFERROR(VLOOKUP(H58,'G-1 All Habitats'!$Z$2:$AA$9,2,FALSE),"")</f>
        <v/>
      </c>
      <c r="J58" s="145"/>
      <c r="K58" s="507" t="str">
        <f>IF(J58="","",IF(VLOOKUP(J58,'G-3 Multipliers'!$L$3:$N$6,2,FALSE)=0,"Spatial Data Missing",VLOOKUP(J58,'G-3 Multipliers'!$L$3:$N$6,2,FALSE)))</f>
        <v/>
      </c>
      <c r="L58" s="505" t="str">
        <f>IF(J58="","",IF(VLOOKUP(J58,'G-3 Multipliers'!$L$3:$N$6,3,FALSE)=0,"Spatial Data Missing ⚠",VLOOKUP(J58,'G-3 Multipliers'!$L$3:$N$6,3,FALSE)))</f>
        <v/>
      </c>
      <c r="M58" s="506" t="str">
        <f>IF(D58="","",VLOOKUP(D58,'G-6 Hedgerow Data'!$B$1:$AH$15,33,FALSE))</f>
        <v/>
      </c>
      <c r="N58" s="513" t="str">
        <f t="shared" si="2"/>
        <v/>
      </c>
      <c r="O58" s="40"/>
      <c r="P58" s="154"/>
      <c r="Q58" s="203"/>
      <c r="R58" s="532" t="str">
        <f t="shared" si="3"/>
        <v/>
      </c>
      <c r="S58" s="532" t="str">
        <f t="shared" si="4"/>
        <v/>
      </c>
      <c r="T58" s="532" t="str">
        <f t="shared" si="5"/>
        <v/>
      </c>
      <c r="U58" s="557" t="str">
        <f t="shared" si="6"/>
        <v/>
      </c>
      <c r="V58" s="151"/>
      <c r="W58" s="152"/>
      <c r="AE58" s="156" t="str">
        <f t="shared" si="0"/>
        <v/>
      </c>
      <c r="AF58" s="156" t="str">
        <f t="shared" si="1"/>
        <v/>
      </c>
      <c r="AH58" s="156">
        <v>49</v>
      </c>
      <c r="AJ58" s="156" t="str">
        <f t="array" ref="AJ58">IFERROR(INDEX($AH$10:$AH$258, MATCH(0, IF(TRUE=$AE$10:$AE$258, COUNTIF($AJ$9:$AJ57, $AH$10:$AH$258), ""), 0)),"")</f>
        <v/>
      </c>
      <c r="AK58" s="156" t="str">
        <f t="array" ref="AK58">IFERROR(INDEX($AH$10:$AH$258, MATCH(0, IF(TRUE=$AF$10:$AF$258, COUNTIF($AK$9:$AK57, $AH$10:$AH$258), ""), 0)),"")</f>
        <v/>
      </c>
      <c r="AL58" s="31" t="str">
        <f>IFERROR(INDEX('G-6 Hedgerow Data'!$BJ$3:$BJ$15,MATCH(D58,'G-6 Hedgerow Data'!$B$3:$B$15,0)),"")</f>
        <v/>
      </c>
    </row>
    <row r="59" spans="2:38" ht="14" x14ac:dyDescent="0.3">
      <c r="B59" s="141">
        <v>50</v>
      </c>
      <c r="C59" s="203"/>
      <c r="D59" s="203"/>
      <c r="E59" s="153"/>
      <c r="F59" s="553" t="str">
        <f>IF(D59="","",VLOOKUP(D59,'G-6 Hedgerow Data'!$B$2:$AG$15,2,FALSE))</f>
        <v/>
      </c>
      <c r="G59" s="499" t="str">
        <f>IF(D59="","",VLOOKUP(D59,'G-6 Hedgerow Data'!$B$2:$AG$15,3,FALSE))</f>
        <v/>
      </c>
      <c r="H59" s="145"/>
      <c r="I59" s="499" t="str">
        <f>IFERROR(VLOOKUP(H59,'G-1 All Habitats'!$Z$2:$AA$9,2,FALSE),"")</f>
        <v/>
      </c>
      <c r="J59" s="145"/>
      <c r="K59" s="507" t="str">
        <f>IF(J59="","",IF(VLOOKUP(J59,'G-3 Multipliers'!$L$3:$N$6,2,FALSE)=0,"Spatial Data Missing",VLOOKUP(J59,'G-3 Multipliers'!$L$3:$N$6,2,FALSE)))</f>
        <v/>
      </c>
      <c r="L59" s="505" t="str">
        <f>IF(J59="","",IF(VLOOKUP(J59,'G-3 Multipliers'!$L$3:$N$6,3,FALSE)=0,"Spatial Data Missing ⚠",VLOOKUP(J59,'G-3 Multipliers'!$L$3:$N$6,3,FALSE)))</f>
        <v/>
      </c>
      <c r="M59" s="506" t="str">
        <f>IF(D59="","",VLOOKUP(D59,'G-6 Hedgerow Data'!$B$1:$AH$15,33,FALSE))</f>
        <v/>
      </c>
      <c r="N59" s="513" t="str">
        <f t="shared" si="2"/>
        <v/>
      </c>
      <c r="O59" s="40"/>
      <c r="P59" s="154"/>
      <c r="Q59" s="203"/>
      <c r="R59" s="532" t="str">
        <f t="shared" si="3"/>
        <v/>
      </c>
      <c r="S59" s="532" t="str">
        <f t="shared" si="4"/>
        <v/>
      </c>
      <c r="T59" s="532" t="str">
        <f t="shared" si="5"/>
        <v/>
      </c>
      <c r="U59" s="557" t="str">
        <f t="shared" si="6"/>
        <v/>
      </c>
      <c r="V59" s="151"/>
      <c r="W59" s="152"/>
      <c r="AE59" s="156" t="str">
        <f t="shared" si="0"/>
        <v/>
      </c>
      <c r="AF59" s="156" t="str">
        <f t="shared" si="1"/>
        <v/>
      </c>
      <c r="AH59" s="156">
        <v>50</v>
      </c>
      <c r="AJ59" s="156" t="str">
        <f t="array" ref="AJ59">IFERROR(INDEX($AH$10:$AH$258, MATCH(0, IF(TRUE=$AE$10:$AE$258, COUNTIF($AJ$9:$AJ58, $AH$10:$AH$258), ""), 0)),"")</f>
        <v/>
      </c>
      <c r="AK59" s="156" t="str">
        <f t="array" ref="AK59">IFERROR(INDEX($AH$10:$AH$258, MATCH(0, IF(TRUE=$AF$10:$AF$258, COUNTIF($AK$9:$AK58, $AH$10:$AH$258), ""), 0)),"")</f>
        <v/>
      </c>
      <c r="AL59" s="31" t="str">
        <f>IFERROR(INDEX('G-6 Hedgerow Data'!$BJ$3:$BJ$15,MATCH(D59,'G-6 Hedgerow Data'!$B$3:$B$15,0)),"")</f>
        <v/>
      </c>
    </row>
    <row r="60" spans="2:38" ht="14" x14ac:dyDescent="0.3">
      <c r="B60" s="141">
        <v>51</v>
      </c>
      <c r="C60" s="203"/>
      <c r="D60" s="203"/>
      <c r="E60" s="153"/>
      <c r="F60" s="553" t="str">
        <f>IF(D60="","",VLOOKUP(D60,'G-6 Hedgerow Data'!$B$2:$AG$15,2,FALSE))</f>
        <v/>
      </c>
      <c r="G60" s="499" t="str">
        <f>IF(D60="","",VLOOKUP(D60,'G-6 Hedgerow Data'!$B$2:$AG$15,3,FALSE))</f>
        <v/>
      </c>
      <c r="H60" s="145"/>
      <c r="I60" s="499" t="str">
        <f>IFERROR(VLOOKUP(H60,'G-1 All Habitats'!$Z$2:$AA$9,2,FALSE),"")</f>
        <v/>
      </c>
      <c r="J60" s="145"/>
      <c r="K60" s="507" t="str">
        <f>IF(J60="","",IF(VLOOKUP(J60,'G-3 Multipliers'!$L$3:$N$6,2,FALSE)=0,"Spatial Data Missing",VLOOKUP(J60,'G-3 Multipliers'!$L$3:$N$6,2,FALSE)))</f>
        <v/>
      </c>
      <c r="L60" s="505" t="str">
        <f>IF(J60="","",IF(VLOOKUP(J60,'G-3 Multipliers'!$L$3:$N$6,3,FALSE)=0,"Spatial Data Missing ⚠",VLOOKUP(J60,'G-3 Multipliers'!$L$3:$N$6,3,FALSE)))</f>
        <v/>
      </c>
      <c r="M60" s="506" t="str">
        <f>IF(D60="","",VLOOKUP(D60,'G-6 Hedgerow Data'!$B$1:$AH$15,33,FALSE))</f>
        <v/>
      </c>
      <c r="N60" s="513" t="str">
        <f t="shared" si="2"/>
        <v/>
      </c>
      <c r="O60" s="40"/>
      <c r="P60" s="154"/>
      <c r="Q60" s="203"/>
      <c r="R60" s="532" t="str">
        <f t="shared" si="3"/>
        <v/>
      </c>
      <c r="S60" s="532" t="str">
        <f t="shared" si="4"/>
        <v/>
      </c>
      <c r="T60" s="532" t="str">
        <f t="shared" si="5"/>
        <v/>
      </c>
      <c r="U60" s="557" t="str">
        <f t="shared" si="6"/>
        <v/>
      </c>
      <c r="V60" s="151"/>
      <c r="W60" s="152"/>
      <c r="AE60" s="156" t="str">
        <f t="shared" si="0"/>
        <v/>
      </c>
      <c r="AF60" s="156" t="str">
        <f t="shared" si="1"/>
        <v/>
      </c>
      <c r="AH60" s="156">
        <v>51</v>
      </c>
      <c r="AJ60" s="156" t="str">
        <f t="array" ref="AJ60">IFERROR(INDEX($AH$10:$AH$258, MATCH(0, IF(TRUE=$AE$10:$AE$258, COUNTIF($AJ$9:$AJ59, $AH$10:$AH$258), ""), 0)),"")</f>
        <v/>
      </c>
      <c r="AK60" s="156" t="str">
        <f t="array" ref="AK60">IFERROR(INDEX($AH$10:$AH$258, MATCH(0, IF(TRUE=$AF$10:$AF$258, COUNTIF($AK$9:$AK59, $AH$10:$AH$258), ""), 0)),"")</f>
        <v/>
      </c>
      <c r="AL60" s="31" t="str">
        <f>IFERROR(INDEX('G-6 Hedgerow Data'!$BJ$3:$BJ$15,MATCH(D60,'G-6 Hedgerow Data'!$B$3:$B$15,0)),"")</f>
        <v/>
      </c>
    </row>
    <row r="61" spans="2:38" ht="14" x14ac:dyDescent="0.3">
      <c r="B61" s="141">
        <v>52</v>
      </c>
      <c r="C61" s="203"/>
      <c r="D61" s="203"/>
      <c r="E61" s="153"/>
      <c r="F61" s="553" t="str">
        <f>IF(D61="","",VLOOKUP(D61,'G-6 Hedgerow Data'!$B$2:$AG$15,2,FALSE))</f>
        <v/>
      </c>
      <c r="G61" s="499" t="str">
        <f>IF(D61="","",VLOOKUP(D61,'G-6 Hedgerow Data'!$B$2:$AG$15,3,FALSE))</f>
        <v/>
      </c>
      <c r="H61" s="145"/>
      <c r="I61" s="499" t="str">
        <f>IFERROR(VLOOKUP(H61,'G-1 All Habitats'!$Z$2:$AA$9,2,FALSE),"")</f>
        <v/>
      </c>
      <c r="J61" s="145"/>
      <c r="K61" s="507" t="str">
        <f>IF(J61="","",IF(VLOOKUP(J61,'G-3 Multipliers'!$L$3:$N$6,2,FALSE)=0,"Spatial Data Missing",VLOOKUP(J61,'G-3 Multipliers'!$L$3:$N$6,2,FALSE)))</f>
        <v/>
      </c>
      <c r="L61" s="505" t="str">
        <f>IF(J61="","",IF(VLOOKUP(J61,'G-3 Multipliers'!$L$3:$N$6,3,FALSE)=0,"Spatial Data Missing ⚠",VLOOKUP(J61,'G-3 Multipliers'!$L$3:$N$6,3,FALSE)))</f>
        <v/>
      </c>
      <c r="M61" s="506" t="str">
        <f>IF(D61="","",VLOOKUP(D61,'G-6 Hedgerow Data'!$B$1:$AH$15,33,FALSE))</f>
        <v/>
      </c>
      <c r="N61" s="513" t="str">
        <f t="shared" si="2"/>
        <v/>
      </c>
      <c r="O61" s="40"/>
      <c r="P61" s="154"/>
      <c r="Q61" s="203"/>
      <c r="R61" s="532" t="str">
        <f t="shared" si="3"/>
        <v/>
      </c>
      <c r="S61" s="532" t="str">
        <f t="shared" si="4"/>
        <v/>
      </c>
      <c r="T61" s="532" t="str">
        <f t="shared" si="5"/>
        <v/>
      </c>
      <c r="U61" s="557" t="str">
        <f t="shared" si="6"/>
        <v/>
      </c>
      <c r="V61" s="151"/>
      <c r="W61" s="152"/>
      <c r="AE61" s="156" t="str">
        <f t="shared" si="0"/>
        <v/>
      </c>
      <c r="AF61" s="156" t="str">
        <f t="shared" si="1"/>
        <v/>
      </c>
      <c r="AH61" s="156">
        <v>52</v>
      </c>
      <c r="AJ61" s="156" t="str">
        <f t="array" ref="AJ61">IFERROR(INDEX($AH$10:$AH$258, MATCH(0, IF(TRUE=$AE$10:$AE$258, COUNTIF($AJ$9:$AJ60, $AH$10:$AH$258), ""), 0)),"")</f>
        <v/>
      </c>
      <c r="AK61" s="156" t="str">
        <f t="array" ref="AK61">IFERROR(INDEX($AH$10:$AH$258, MATCH(0, IF(TRUE=$AF$10:$AF$258, COUNTIF($AK$9:$AK60, $AH$10:$AH$258), ""), 0)),"")</f>
        <v/>
      </c>
      <c r="AL61" s="31" t="str">
        <f>IFERROR(INDEX('G-6 Hedgerow Data'!$BJ$3:$BJ$15,MATCH(D61,'G-6 Hedgerow Data'!$B$3:$B$15,0)),"")</f>
        <v/>
      </c>
    </row>
    <row r="62" spans="2:38" ht="14" x14ac:dyDescent="0.3">
      <c r="B62" s="141">
        <v>53</v>
      </c>
      <c r="C62" s="203"/>
      <c r="D62" s="203"/>
      <c r="E62" s="153"/>
      <c r="F62" s="553" t="str">
        <f>IF(D62="","",VLOOKUP(D62,'G-6 Hedgerow Data'!$B$2:$AG$15,2,FALSE))</f>
        <v/>
      </c>
      <c r="G62" s="499" t="str">
        <f>IF(D62="","",VLOOKUP(D62,'G-6 Hedgerow Data'!$B$2:$AG$15,3,FALSE))</f>
        <v/>
      </c>
      <c r="H62" s="145"/>
      <c r="I62" s="499" t="str">
        <f>IFERROR(VLOOKUP(H62,'G-1 All Habitats'!$Z$2:$AA$9,2,FALSE),"")</f>
        <v/>
      </c>
      <c r="J62" s="145"/>
      <c r="K62" s="507" t="str">
        <f>IF(J62="","",IF(VLOOKUP(J62,'G-3 Multipliers'!$L$3:$N$6,2,FALSE)=0,"Spatial Data Missing",VLOOKUP(J62,'G-3 Multipliers'!$L$3:$N$6,2,FALSE)))</f>
        <v/>
      </c>
      <c r="L62" s="505" t="str">
        <f>IF(J62="","",IF(VLOOKUP(J62,'G-3 Multipliers'!$L$3:$N$6,3,FALSE)=0,"Spatial Data Missing ⚠",VLOOKUP(J62,'G-3 Multipliers'!$L$3:$N$6,3,FALSE)))</f>
        <v/>
      </c>
      <c r="M62" s="506" t="str">
        <f>IF(D62="","",VLOOKUP(D62,'G-6 Hedgerow Data'!$B$1:$AH$15,33,FALSE))</f>
        <v/>
      </c>
      <c r="N62" s="513" t="str">
        <f t="shared" si="2"/>
        <v/>
      </c>
      <c r="O62" s="40"/>
      <c r="P62" s="154"/>
      <c r="Q62" s="203"/>
      <c r="R62" s="532" t="str">
        <f t="shared" si="3"/>
        <v/>
      </c>
      <c r="S62" s="532" t="str">
        <f t="shared" si="4"/>
        <v/>
      </c>
      <c r="T62" s="532" t="str">
        <f t="shared" si="5"/>
        <v/>
      </c>
      <c r="U62" s="557" t="str">
        <f t="shared" si="6"/>
        <v/>
      </c>
      <c r="V62" s="151"/>
      <c r="W62" s="152"/>
      <c r="AE62" s="156" t="str">
        <f t="shared" si="0"/>
        <v/>
      </c>
      <c r="AF62" s="156" t="str">
        <f t="shared" si="1"/>
        <v/>
      </c>
      <c r="AH62" s="156">
        <v>53</v>
      </c>
      <c r="AJ62" s="156" t="str">
        <f t="array" ref="AJ62">IFERROR(INDEX($AH$10:$AH$258, MATCH(0, IF(TRUE=$AE$10:$AE$258, COUNTIF($AJ$9:$AJ61, $AH$10:$AH$258), ""), 0)),"")</f>
        <v/>
      </c>
      <c r="AK62" s="156" t="str">
        <f t="array" ref="AK62">IFERROR(INDEX($AH$10:$AH$258, MATCH(0, IF(TRUE=$AF$10:$AF$258, COUNTIF($AK$9:$AK61, $AH$10:$AH$258), ""), 0)),"")</f>
        <v/>
      </c>
      <c r="AL62" s="31" t="str">
        <f>IFERROR(INDEX('G-6 Hedgerow Data'!$BJ$3:$BJ$15,MATCH(D62,'G-6 Hedgerow Data'!$B$3:$B$15,0)),"")</f>
        <v/>
      </c>
    </row>
    <row r="63" spans="2:38" ht="14" x14ac:dyDescent="0.3">
      <c r="B63" s="141">
        <v>54</v>
      </c>
      <c r="C63" s="203"/>
      <c r="D63" s="203"/>
      <c r="E63" s="153"/>
      <c r="F63" s="553" t="str">
        <f>IF(D63="","",VLOOKUP(D63,'G-6 Hedgerow Data'!$B$2:$AG$15,2,FALSE))</f>
        <v/>
      </c>
      <c r="G63" s="499" t="str">
        <f>IF(D63="","",VLOOKUP(D63,'G-6 Hedgerow Data'!$B$2:$AG$15,3,FALSE))</f>
        <v/>
      </c>
      <c r="H63" s="145"/>
      <c r="I63" s="499" t="str">
        <f>IFERROR(VLOOKUP(H63,'G-1 All Habitats'!$Z$2:$AA$9,2,FALSE),"")</f>
        <v/>
      </c>
      <c r="J63" s="145"/>
      <c r="K63" s="507" t="str">
        <f>IF(J63="","",IF(VLOOKUP(J63,'G-3 Multipliers'!$L$3:$N$6,2,FALSE)=0,"Spatial Data Missing",VLOOKUP(J63,'G-3 Multipliers'!$L$3:$N$6,2,FALSE)))</f>
        <v/>
      </c>
      <c r="L63" s="505" t="str">
        <f>IF(J63="","",IF(VLOOKUP(J63,'G-3 Multipliers'!$L$3:$N$6,3,FALSE)=0,"Spatial Data Missing ⚠",VLOOKUP(J63,'G-3 Multipliers'!$L$3:$N$6,3,FALSE)))</f>
        <v/>
      </c>
      <c r="M63" s="506" t="str">
        <f>IF(D63="","",VLOOKUP(D63,'G-6 Hedgerow Data'!$B$1:$AH$15,33,FALSE))</f>
        <v/>
      </c>
      <c r="N63" s="513" t="str">
        <f t="shared" si="2"/>
        <v/>
      </c>
      <c r="O63" s="40"/>
      <c r="P63" s="154"/>
      <c r="Q63" s="203"/>
      <c r="R63" s="532" t="str">
        <f t="shared" si="3"/>
        <v/>
      </c>
      <c r="S63" s="532" t="str">
        <f t="shared" si="4"/>
        <v/>
      </c>
      <c r="T63" s="532" t="str">
        <f t="shared" si="5"/>
        <v/>
      </c>
      <c r="U63" s="557" t="str">
        <f t="shared" si="6"/>
        <v/>
      </c>
      <c r="V63" s="151"/>
      <c r="W63" s="152"/>
      <c r="AE63" s="156" t="str">
        <f t="shared" si="0"/>
        <v/>
      </c>
      <c r="AF63" s="156" t="str">
        <f t="shared" si="1"/>
        <v/>
      </c>
      <c r="AH63" s="156">
        <v>54</v>
      </c>
      <c r="AJ63" s="156" t="str">
        <f t="array" ref="AJ63">IFERROR(INDEX($AH$10:$AH$258, MATCH(0, IF(TRUE=$AE$10:$AE$258, COUNTIF($AJ$9:$AJ62, $AH$10:$AH$258), ""), 0)),"")</f>
        <v/>
      </c>
      <c r="AK63" s="156" t="str">
        <f t="array" ref="AK63">IFERROR(INDEX($AH$10:$AH$258, MATCH(0, IF(TRUE=$AF$10:$AF$258, COUNTIF($AK$9:$AK62, $AH$10:$AH$258), ""), 0)),"")</f>
        <v/>
      </c>
      <c r="AL63" s="31" t="str">
        <f>IFERROR(INDEX('G-6 Hedgerow Data'!$BJ$3:$BJ$15,MATCH(D63,'G-6 Hedgerow Data'!$B$3:$B$15,0)),"")</f>
        <v/>
      </c>
    </row>
    <row r="64" spans="2:38" ht="14" x14ac:dyDescent="0.3">
      <c r="B64" s="141">
        <v>55</v>
      </c>
      <c r="C64" s="203"/>
      <c r="D64" s="203"/>
      <c r="E64" s="153"/>
      <c r="F64" s="553" t="str">
        <f>IF(D64="","",VLOOKUP(D64,'G-6 Hedgerow Data'!$B$2:$AG$15,2,FALSE))</f>
        <v/>
      </c>
      <c r="G64" s="499" t="str">
        <f>IF(D64="","",VLOOKUP(D64,'G-6 Hedgerow Data'!$B$2:$AG$15,3,FALSE))</f>
        <v/>
      </c>
      <c r="H64" s="145"/>
      <c r="I64" s="499" t="str">
        <f>IFERROR(VLOOKUP(H64,'G-1 All Habitats'!$Z$2:$AA$9,2,FALSE),"")</f>
        <v/>
      </c>
      <c r="J64" s="145"/>
      <c r="K64" s="507" t="str">
        <f>IF(J64="","",IF(VLOOKUP(J64,'G-3 Multipliers'!$L$3:$N$6,2,FALSE)=0,"Spatial Data Missing",VLOOKUP(J64,'G-3 Multipliers'!$L$3:$N$6,2,FALSE)))</f>
        <v/>
      </c>
      <c r="L64" s="505" t="str">
        <f>IF(J64="","",IF(VLOOKUP(J64,'G-3 Multipliers'!$L$3:$N$6,3,FALSE)=0,"Spatial Data Missing ⚠",VLOOKUP(J64,'G-3 Multipliers'!$L$3:$N$6,3,FALSE)))</f>
        <v/>
      </c>
      <c r="M64" s="506" t="str">
        <f>IF(D64="","",VLOOKUP(D64,'G-6 Hedgerow Data'!$B$1:$AH$15,33,FALSE))</f>
        <v/>
      </c>
      <c r="N64" s="513" t="str">
        <f t="shared" si="2"/>
        <v/>
      </c>
      <c r="O64" s="40"/>
      <c r="P64" s="154"/>
      <c r="Q64" s="203"/>
      <c r="R64" s="532" t="str">
        <f t="shared" si="3"/>
        <v/>
      </c>
      <c r="S64" s="532" t="str">
        <f t="shared" si="4"/>
        <v/>
      </c>
      <c r="T64" s="532" t="str">
        <f t="shared" si="5"/>
        <v/>
      </c>
      <c r="U64" s="557" t="str">
        <f t="shared" si="6"/>
        <v/>
      </c>
      <c r="V64" s="151"/>
      <c r="W64" s="152"/>
      <c r="AE64" s="156" t="str">
        <f t="shared" si="0"/>
        <v/>
      </c>
      <c r="AF64" s="156" t="str">
        <f t="shared" si="1"/>
        <v/>
      </c>
      <c r="AH64" s="156">
        <v>55</v>
      </c>
      <c r="AJ64" s="156" t="str">
        <f t="array" ref="AJ64">IFERROR(INDEX($AH$10:$AH$258, MATCH(0, IF(TRUE=$AE$10:$AE$258, COUNTIF($AJ$9:$AJ63, $AH$10:$AH$258), ""), 0)),"")</f>
        <v/>
      </c>
      <c r="AK64" s="156" t="str">
        <f t="array" ref="AK64">IFERROR(INDEX($AH$10:$AH$258, MATCH(0, IF(TRUE=$AF$10:$AF$258, COUNTIF($AK$9:$AK63, $AH$10:$AH$258), ""), 0)),"")</f>
        <v/>
      </c>
      <c r="AL64" s="31" t="str">
        <f>IFERROR(INDEX('G-6 Hedgerow Data'!$BJ$3:$BJ$15,MATCH(D64,'G-6 Hedgerow Data'!$B$3:$B$15,0)),"")</f>
        <v/>
      </c>
    </row>
    <row r="65" spans="2:38" ht="14" x14ac:dyDescent="0.3">
      <c r="B65" s="141">
        <v>56</v>
      </c>
      <c r="C65" s="203"/>
      <c r="D65" s="203"/>
      <c r="E65" s="153"/>
      <c r="F65" s="553" t="str">
        <f>IF(D65="","",VLOOKUP(D65,'G-6 Hedgerow Data'!$B$2:$AG$15,2,FALSE))</f>
        <v/>
      </c>
      <c r="G65" s="499" t="str">
        <f>IF(D65="","",VLOOKUP(D65,'G-6 Hedgerow Data'!$B$2:$AG$15,3,FALSE))</f>
        <v/>
      </c>
      <c r="H65" s="145"/>
      <c r="I65" s="499" t="str">
        <f>IFERROR(VLOOKUP(H65,'G-1 All Habitats'!$Z$2:$AA$9,2,FALSE),"")</f>
        <v/>
      </c>
      <c r="J65" s="145"/>
      <c r="K65" s="507" t="str">
        <f>IF(J65="","",IF(VLOOKUP(J65,'G-3 Multipliers'!$L$3:$N$6,2,FALSE)=0,"Spatial Data Missing",VLOOKUP(J65,'G-3 Multipliers'!$L$3:$N$6,2,FALSE)))</f>
        <v/>
      </c>
      <c r="L65" s="505" t="str">
        <f>IF(J65="","",IF(VLOOKUP(J65,'G-3 Multipliers'!$L$3:$N$6,3,FALSE)=0,"Spatial Data Missing ⚠",VLOOKUP(J65,'G-3 Multipliers'!$L$3:$N$6,3,FALSE)))</f>
        <v/>
      </c>
      <c r="M65" s="506" t="str">
        <f>IF(D65="","",VLOOKUP(D65,'G-6 Hedgerow Data'!$B$1:$AH$15,33,FALSE))</f>
        <v/>
      </c>
      <c r="N65" s="513" t="str">
        <f t="shared" si="2"/>
        <v/>
      </c>
      <c r="O65" s="40"/>
      <c r="P65" s="154"/>
      <c r="Q65" s="203"/>
      <c r="R65" s="532" t="str">
        <f t="shared" si="3"/>
        <v/>
      </c>
      <c r="S65" s="532" t="str">
        <f t="shared" si="4"/>
        <v/>
      </c>
      <c r="T65" s="532" t="str">
        <f t="shared" si="5"/>
        <v/>
      </c>
      <c r="U65" s="557" t="str">
        <f t="shared" si="6"/>
        <v/>
      </c>
      <c r="V65" s="151"/>
      <c r="W65" s="152"/>
      <c r="AE65" s="156" t="str">
        <f t="shared" si="0"/>
        <v/>
      </c>
      <c r="AF65" s="156" t="str">
        <f t="shared" si="1"/>
        <v/>
      </c>
      <c r="AH65" s="156">
        <v>56</v>
      </c>
      <c r="AJ65" s="156" t="str">
        <f t="array" ref="AJ65">IFERROR(INDEX($AH$10:$AH$258, MATCH(0, IF(TRUE=$AE$10:$AE$258, COUNTIF($AJ$9:$AJ64, $AH$10:$AH$258), ""), 0)),"")</f>
        <v/>
      </c>
      <c r="AK65" s="156" t="str">
        <f t="array" ref="AK65">IFERROR(INDEX($AH$10:$AH$258, MATCH(0, IF(TRUE=$AF$10:$AF$258, COUNTIF($AK$9:$AK64, $AH$10:$AH$258), ""), 0)),"")</f>
        <v/>
      </c>
      <c r="AL65" s="31" t="str">
        <f>IFERROR(INDEX('G-6 Hedgerow Data'!$BJ$3:$BJ$15,MATCH(D65,'G-6 Hedgerow Data'!$B$3:$B$15,0)),"")</f>
        <v/>
      </c>
    </row>
    <row r="66" spans="2:38" ht="14" x14ac:dyDescent="0.3">
      <c r="B66" s="141">
        <v>57</v>
      </c>
      <c r="C66" s="203"/>
      <c r="D66" s="203"/>
      <c r="E66" s="153"/>
      <c r="F66" s="553" t="str">
        <f>IF(D66="","",VLOOKUP(D66,'G-6 Hedgerow Data'!$B$2:$AG$15,2,FALSE))</f>
        <v/>
      </c>
      <c r="G66" s="499" t="str">
        <f>IF(D66="","",VLOOKUP(D66,'G-6 Hedgerow Data'!$B$2:$AG$15,3,FALSE))</f>
        <v/>
      </c>
      <c r="H66" s="145"/>
      <c r="I66" s="499" t="str">
        <f>IFERROR(VLOOKUP(H66,'G-1 All Habitats'!$Z$2:$AA$9,2,FALSE),"")</f>
        <v/>
      </c>
      <c r="J66" s="145"/>
      <c r="K66" s="507" t="str">
        <f>IF(J66="","",IF(VLOOKUP(J66,'G-3 Multipliers'!$L$3:$N$6,2,FALSE)=0,"Spatial Data Missing",VLOOKUP(J66,'G-3 Multipliers'!$L$3:$N$6,2,FALSE)))</f>
        <v/>
      </c>
      <c r="L66" s="505" t="str">
        <f>IF(J66="","",IF(VLOOKUP(J66,'G-3 Multipliers'!$L$3:$N$6,3,FALSE)=0,"Spatial Data Missing ⚠",VLOOKUP(J66,'G-3 Multipliers'!$L$3:$N$6,3,FALSE)))</f>
        <v/>
      </c>
      <c r="M66" s="506" t="str">
        <f>IF(D66="","",VLOOKUP(D66,'G-6 Hedgerow Data'!$B$1:$AH$15,33,FALSE))</f>
        <v/>
      </c>
      <c r="N66" s="513" t="str">
        <f t="shared" si="2"/>
        <v/>
      </c>
      <c r="O66" s="40"/>
      <c r="P66" s="154"/>
      <c r="Q66" s="203"/>
      <c r="R66" s="532" t="str">
        <f t="shared" si="3"/>
        <v/>
      </c>
      <c r="S66" s="532" t="str">
        <f t="shared" si="4"/>
        <v/>
      </c>
      <c r="T66" s="532" t="str">
        <f t="shared" si="5"/>
        <v/>
      </c>
      <c r="U66" s="557" t="str">
        <f t="shared" si="6"/>
        <v/>
      </c>
      <c r="V66" s="151"/>
      <c r="W66" s="152"/>
      <c r="AE66" s="156" t="str">
        <f t="shared" si="0"/>
        <v/>
      </c>
      <c r="AF66" s="156" t="str">
        <f t="shared" si="1"/>
        <v/>
      </c>
      <c r="AH66" s="156">
        <v>57</v>
      </c>
      <c r="AJ66" s="156" t="str">
        <f t="array" ref="AJ66">IFERROR(INDEX($AH$10:$AH$258, MATCH(0, IF(TRUE=$AE$10:$AE$258, COUNTIF($AJ$9:$AJ65, $AH$10:$AH$258), ""), 0)),"")</f>
        <v/>
      </c>
      <c r="AK66" s="156" t="str">
        <f t="array" ref="AK66">IFERROR(INDEX($AH$10:$AH$258, MATCH(0, IF(TRUE=$AF$10:$AF$258, COUNTIF($AK$9:$AK65, $AH$10:$AH$258), ""), 0)),"")</f>
        <v/>
      </c>
      <c r="AL66" s="31" t="str">
        <f>IFERROR(INDEX('G-6 Hedgerow Data'!$BJ$3:$BJ$15,MATCH(D66,'G-6 Hedgerow Data'!$B$3:$B$15,0)),"")</f>
        <v/>
      </c>
    </row>
    <row r="67" spans="2:38" ht="14" x14ac:dyDescent="0.3">
      <c r="B67" s="141">
        <v>58</v>
      </c>
      <c r="C67" s="203"/>
      <c r="D67" s="203"/>
      <c r="E67" s="153"/>
      <c r="F67" s="553" t="str">
        <f>IF(D67="","",VLOOKUP(D67,'G-6 Hedgerow Data'!$B$2:$AG$15,2,FALSE))</f>
        <v/>
      </c>
      <c r="G67" s="499" t="str">
        <f>IF(D67="","",VLOOKUP(D67,'G-6 Hedgerow Data'!$B$2:$AG$15,3,FALSE))</f>
        <v/>
      </c>
      <c r="H67" s="145"/>
      <c r="I67" s="499" t="str">
        <f>IFERROR(VLOOKUP(H67,'G-1 All Habitats'!$Z$2:$AA$9,2,FALSE),"")</f>
        <v/>
      </c>
      <c r="J67" s="145"/>
      <c r="K67" s="507" t="str">
        <f>IF(J67="","",IF(VLOOKUP(J67,'G-3 Multipliers'!$L$3:$N$6,2,FALSE)=0,"Spatial Data Missing",VLOOKUP(J67,'G-3 Multipliers'!$L$3:$N$6,2,FALSE)))</f>
        <v/>
      </c>
      <c r="L67" s="505" t="str">
        <f>IF(J67="","",IF(VLOOKUP(J67,'G-3 Multipliers'!$L$3:$N$6,3,FALSE)=0,"Spatial Data Missing ⚠",VLOOKUP(J67,'G-3 Multipliers'!$L$3:$N$6,3,FALSE)))</f>
        <v/>
      </c>
      <c r="M67" s="506" t="str">
        <f>IF(D67="","",VLOOKUP(D67,'G-6 Hedgerow Data'!$B$1:$AH$15,33,FALSE))</f>
        <v/>
      </c>
      <c r="N67" s="513" t="str">
        <f t="shared" si="2"/>
        <v/>
      </c>
      <c r="O67" s="40"/>
      <c r="P67" s="154"/>
      <c r="Q67" s="203"/>
      <c r="R67" s="532" t="str">
        <f t="shared" si="3"/>
        <v/>
      </c>
      <c r="S67" s="532" t="str">
        <f t="shared" si="4"/>
        <v/>
      </c>
      <c r="T67" s="532" t="str">
        <f t="shared" si="5"/>
        <v/>
      </c>
      <c r="U67" s="557" t="str">
        <f t="shared" si="6"/>
        <v/>
      </c>
      <c r="V67" s="151"/>
      <c r="W67" s="152"/>
      <c r="AE67" s="156" t="str">
        <f t="shared" si="0"/>
        <v/>
      </c>
      <c r="AF67" s="156" t="str">
        <f t="shared" si="1"/>
        <v/>
      </c>
      <c r="AH67" s="156">
        <v>58</v>
      </c>
      <c r="AJ67" s="156" t="str">
        <f t="array" ref="AJ67">IFERROR(INDEX($AH$10:$AH$258, MATCH(0, IF(TRUE=$AE$10:$AE$258, COUNTIF($AJ$9:$AJ66, $AH$10:$AH$258), ""), 0)),"")</f>
        <v/>
      </c>
      <c r="AK67" s="156" t="str">
        <f t="array" ref="AK67">IFERROR(INDEX($AH$10:$AH$258, MATCH(0, IF(TRUE=$AF$10:$AF$258, COUNTIF($AK$9:$AK66, $AH$10:$AH$258), ""), 0)),"")</f>
        <v/>
      </c>
      <c r="AL67" s="31" t="str">
        <f>IFERROR(INDEX('G-6 Hedgerow Data'!$BJ$3:$BJ$15,MATCH(D67,'G-6 Hedgerow Data'!$B$3:$B$15,0)),"")</f>
        <v/>
      </c>
    </row>
    <row r="68" spans="2:38" ht="14" x14ac:dyDescent="0.3">
      <c r="B68" s="141">
        <v>59</v>
      </c>
      <c r="C68" s="203"/>
      <c r="D68" s="203"/>
      <c r="E68" s="153"/>
      <c r="F68" s="553" t="str">
        <f>IF(D68="","",VLOOKUP(D68,'G-6 Hedgerow Data'!$B$2:$AG$15,2,FALSE))</f>
        <v/>
      </c>
      <c r="G68" s="499" t="str">
        <f>IF(D68="","",VLOOKUP(D68,'G-6 Hedgerow Data'!$B$2:$AG$15,3,FALSE))</f>
        <v/>
      </c>
      <c r="H68" s="145"/>
      <c r="I68" s="499" t="str">
        <f>IFERROR(VLOOKUP(H68,'G-1 All Habitats'!$Z$2:$AA$9,2,FALSE),"")</f>
        <v/>
      </c>
      <c r="J68" s="145"/>
      <c r="K68" s="507" t="str">
        <f>IF(J68="","",IF(VLOOKUP(J68,'G-3 Multipliers'!$L$3:$N$6,2,FALSE)=0,"Spatial Data Missing",VLOOKUP(J68,'G-3 Multipliers'!$L$3:$N$6,2,FALSE)))</f>
        <v/>
      </c>
      <c r="L68" s="505" t="str">
        <f>IF(J68="","",IF(VLOOKUP(J68,'G-3 Multipliers'!$L$3:$N$6,3,FALSE)=0,"Spatial Data Missing ⚠",VLOOKUP(J68,'G-3 Multipliers'!$L$3:$N$6,3,FALSE)))</f>
        <v/>
      </c>
      <c r="M68" s="506" t="str">
        <f>IF(D68="","",VLOOKUP(D68,'G-6 Hedgerow Data'!$B$1:$AH$15,33,FALSE))</f>
        <v/>
      </c>
      <c r="N68" s="513" t="str">
        <f t="shared" si="2"/>
        <v/>
      </c>
      <c r="O68" s="40"/>
      <c r="P68" s="154"/>
      <c r="Q68" s="203"/>
      <c r="R68" s="532" t="str">
        <f t="shared" si="3"/>
        <v/>
      </c>
      <c r="S68" s="532" t="str">
        <f t="shared" si="4"/>
        <v/>
      </c>
      <c r="T68" s="532" t="str">
        <f t="shared" si="5"/>
        <v/>
      </c>
      <c r="U68" s="557" t="str">
        <f t="shared" si="6"/>
        <v/>
      </c>
      <c r="V68" s="151"/>
      <c r="W68" s="152"/>
      <c r="AE68" s="156" t="str">
        <f t="shared" si="0"/>
        <v/>
      </c>
      <c r="AF68" s="156" t="str">
        <f t="shared" si="1"/>
        <v/>
      </c>
      <c r="AH68" s="156">
        <v>59</v>
      </c>
      <c r="AJ68" s="156" t="str">
        <f t="array" ref="AJ68">IFERROR(INDEX($AH$10:$AH$258, MATCH(0, IF(TRUE=$AE$10:$AE$258, COUNTIF($AJ$9:$AJ67, $AH$10:$AH$258), ""), 0)),"")</f>
        <v/>
      </c>
      <c r="AK68" s="156" t="str">
        <f t="array" ref="AK68">IFERROR(INDEX($AH$10:$AH$258, MATCH(0, IF(TRUE=$AF$10:$AF$258, COUNTIF($AK$9:$AK67, $AH$10:$AH$258), ""), 0)),"")</f>
        <v/>
      </c>
      <c r="AL68" s="31" t="str">
        <f>IFERROR(INDEX('G-6 Hedgerow Data'!$BJ$3:$BJ$15,MATCH(D68,'G-6 Hedgerow Data'!$B$3:$B$15,0)),"")</f>
        <v/>
      </c>
    </row>
    <row r="69" spans="2:38" ht="14" x14ac:dyDescent="0.3">
      <c r="B69" s="141">
        <v>60</v>
      </c>
      <c r="C69" s="203"/>
      <c r="D69" s="203"/>
      <c r="E69" s="153"/>
      <c r="F69" s="553" t="str">
        <f>IF(D69="","",VLOOKUP(D69,'G-6 Hedgerow Data'!$B$2:$AG$15,2,FALSE))</f>
        <v/>
      </c>
      <c r="G69" s="499" t="str">
        <f>IF(D69="","",VLOOKUP(D69,'G-6 Hedgerow Data'!$B$2:$AG$15,3,FALSE))</f>
        <v/>
      </c>
      <c r="H69" s="145"/>
      <c r="I69" s="499" t="str">
        <f>IFERROR(VLOOKUP(H69,'G-1 All Habitats'!$Z$2:$AA$9,2,FALSE),"")</f>
        <v/>
      </c>
      <c r="J69" s="145"/>
      <c r="K69" s="507" t="str">
        <f>IF(J69="","",IF(VLOOKUP(J69,'G-3 Multipliers'!$L$3:$N$6,2,FALSE)=0,"Spatial Data Missing",VLOOKUP(J69,'G-3 Multipliers'!$L$3:$N$6,2,FALSE)))</f>
        <v/>
      </c>
      <c r="L69" s="505" t="str">
        <f>IF(J69="","",IF(VLOOKUP(J69,'G-3 Multipliers'!$L$3:$N$6,3,FALSE)=0,"Spatial Data Missing ⚠",VLOOKUP(J69,'G-3 Multipliers'!$L$3:$N$6,3,FALSE)))</f>
        <v/>
      </c>
      <c r="M69" s="506" t="str">
        <f>IF(D69="","",VLOOKUP(D69,'G-6 Hedgerow Data'!$B$1:$AH$15,33,FALSE))</f>
        <v/>
      </c>
      <c r="N69" s="513" t="str">
        <f t="shared" si="2"/>
        <v/>
      </c>
      <c r="O69" s="40"/>
      <c r="P69" s="154"/>
      <c r="Q69" s="203"/>
      <c r="R69" s="532" t="str">
        <f t="shared" si="3"/>
        <v/>
      </c>
      <c r="S69" s="532" t="str">
        <f t="shared" si="4"/>
        <v/>
      </c>
      <c r="T69" s="532" t="str">
        <f t="shared" si="5"/>
        <v/>
      </c>
      <c r="U69" s="557" t="str">
        <f t="shared" si="6"/>
        <v/>
      </c>
      <c r="V69" s="151"/>
      <c r="W69" s="152"/>
      <c r="AE69" s="156" t="str">
        <f t="shared" si="0"/>
        <v/>
      </c>
      <c r="AF69" s="156" t="str">
        <f t="shared" si="1"/>
        <v/>
      </c>
      <c r="AH69" s="156">
        <v>60</v>
      </c>
      <c r="AJ69" s="156" t="str">
        <f t="array" ref="AJ69">IFERROR(INDEX($AH$10:$AH$258, MATCH(0, IF(TRUE=$AE$10:$AE$258, COUNTIF($AJ$9:$AJ68, $AH$10:$AH$258), ""), 0)),"")</f>
        <v/>
      </c>
      <c r="AK69" s="156" t="str">
        <f t="array" ref="AK69">IFERROR(INDEX($AH$10:$AH$258, MATCH(0, IF(TRUE=$AF$10:$AF$258, COUNTIF($AK$9:$AK68, $AH$10:$AH$258), ""), 0)),"")</f>
        <v/>
      </c>
      <c r="AL69" s="31" t="str">
        <f>IFERROR(INDEX('G-6 Hedgerow Data'!$BJ$3:$BJ$15,MATCH(D69,'G-6 Hedgerow Data'!$B$3:$B$15,0)),"")</f>
        <v/>
      </c>
    </row>
    <row r="70" spans="2:38" ht="14" x14ac:dyDescent="0.3">
      <c r="B70" s="141">
        <v>61</v>
      </c>
      <c r="C70" s="203"/>
      <c r="D70" s="203"/>
      <c r="E70" s="153"/>
      <c r="F70" s="553" t="str">
        <f>IF(D70="","",VLOOKUP(D70,'G-6 Hedgerow Data'!$B$2:$AG$15,2,FALSE))</f>
        <v/>
      </c>
      <c r="G70" s="499" t="str">
        <f>IF(D70="","",VLOOKUP(D70,'G-6 Hedgerow Data'!$B$2:$AG$15,3,FALSE))</f>
        <v/>
      </c>
      <c r="H70" s="145"/>
      <c r="I70" s="499" t="str">
        <f>IFERROR(VLOOKUP(H70,'G-1 All Habitats'!$Z$2:$AA$9,2,FALSE),"")</f>
        <v/>
      </c>
      <c r="J70" s="145"/>
      <c r="K70" s="507" t="str">
        <f>IF(J70="","",IF(VLOOKUP(J70,'G-3 Multipliers'!$L$3:$N$6,2,FALSE)=0,"Spatial Data Missing",VLOOKUP(J70,'G-3 Multipliers'!$L$3:$N$6,2,FALSE)))</f>
        <v/>
      </c>
      <c r="L70" s="505" t="str">
        <f>IF(J70="","",IF(VLOOKUP(J70,'G-3 Multipliers'!$L$3:$N$6,3,FALSE)=0,"Spatial Data Missing ⚠",VLOOKUP(J70,'G-3 Multipliers'!$L$3:$N$6,3,FALSE)))</f>
        <v/>
      </c>
      <c r="M70" s="506" t="str">
        <f>IF(D70="","",VLOOKUP(D70,'G-6 Hedgerow Data'!$B$1:$AH$15,33,FALSE))</f>
        <v/>
      </c>
      <c r="N70" s="513" t="str">
        <f t="shared" si="2"/>
        <v/>
      </c>
      <c r="O70" s="40"/>
      <c r="P70" s="154"/>
      <c r="Q70" s="203"/>
      <c r="R70" s="532" t="str">
        <f t="shared" si="3"/>
        <v/>
      </c>
      <c r="S70" s="532" t="str">
        <f t="shared" si="4"/>
        <v/>
      </c>
      <c r="T70" s="532" t="str">
        <f t="shared" si="5"/>
        <v/>
      </c>
      <c r="U70" s="557" t="str">
        <f t="shared" si="6"/>
        <v/>
      </c>
      <c r="V70" s="151"/>
      <c r="W70" s="152"/>
      <c r="AE70" s="156" t="str">
        <f t="shared" si="0"/>
        <v/>
      </c>
      <c r="AF70" s="156" t="str">
        <f t="shared" si="1"/>
        <v/>
      </c>
      <c r="AH70" s="156">
        <v>61</v>
      </c>
      <c r="AJ70" s="156" t="str">
        <f t="array" ref="AJ70">IFERROR(INDEX($AH$10:$AH$258, MATCH(0, IF(TRUE=$AE$10:$AE$258, COUNTIF($AJ$9:$AJ69, $AH$10:$AH$258), ""), 0)),"")</f>
        <v/>
      </c>
      <c r="AK70" s="156" t="str">
        <f t="array" ref="AK70">IFERROR(INDEX($AH$10:$AH$258, MATCH(0, IF(TRUE=$AF$10:$AF$258, COUNTIF($AK$9:$AK69, $AH$10:$AH$258), ""), 0)),"")</f>
        <v/>
      </c>
      <c r="AL70" s="31" t="str">
        <f>IFERROR(INDEX('G-6 Hedgerow Data'!$BJ$3:$BJ$15,MATCH(D70,'G-6 Hedgerow Data'!$B$3:$B$15,0)),"")</f>
        <v/>
      </c>
    </row>
    <row r="71" spans="2:38" ht="14" x14ac:dyDescent="0.3">
      <c r="B71" s="141">
        <v>62</v>
      </c>
      <c r="C71" s="203"/>
      <c r="D71" s="203"/>
      <c r="E71" s="153"/>
      <c r="F71" s="553" t="str">
        <f>IF(D71="","",VLOOKUP(D71,'G-6 Hedgerow Data'!$B$2:$AG$15,2,FALSE))</f>
        <v/>
      </c>
      <c r="G71" s="499" t="str">
        <f>IF(D71="","",VLOOKUP(D71,'G-6 Hedgerow Data'!$B$2:$AG$15,3,FALSE))</f>
        <v/>
      </c>
      <c r="H71" s="145"/>
      <c r="I71" s="499" t="str">
        <f>IFERROR(VLOOKUP(H71,'G-1 All Habitats'!$Z$2:$AA$9,2,FALSE),"")</f>
        <v/>
      </c>
      <c r="J71" s="145"/>
      <c r="K71" s="507" t="str">
        <f>IF(J71="","",IF(VLOOKUP(J71,'G-3 Multipliers'!$L$3:$N$6,2,FALSE)=0,"Spatial Data Missing",VLOOKUP(J71,'G-3 Multipliers'!$L$3:$N$6,2,FALSE)))</f>
        <v/>
      </c>
      <c r="L71" s="505" t="str">
        <f>IF(J71="","",IF(VLOOKUP(J71,'G-3 Multipliers'!$L$3:$N$6,3,FALSE)=0,"Spatial Data Missing ⚠",VLOOKUP(J71,'G-3 Multipliers'!$L$3:$N$6,3,FALSE)))</f>
        <v/>
      </c>
      <c r="M71" s="506" t="str">
        <f>IF(D71="","",VLOOKUP(D71,'G-6 Hedgerow Data'!$B$1:$AH$15,33,FALSE))</f>
        <v/>
      </c>
      <c r="N71" s="513" t="str">
        <f t="shared" si="2"/>
        <v/>
      </c>
      <c r="O71" s="40"/>
      <c r="P71" s="154"/>
      <c r="Q71" s="203"/>
      <c r="R71" s="532" t="str">
        <f t="shared" si="3"/>
        <v/>
      </c>
      <c r="S71" s="532" t="str">
        <f t="shared" si="4"/>
        <v/>
      </c>
      <c r="T71" s="532" t="str">
        <f t="shared" si="5"/>
        <v/>
      </c>
      <c r="U71" s="557" t="str">
        <f t="shared" si="6"/>
        <v/>
      </c>
      <c r="V71" s="151"/>
      <c r="W71" s="152"/>
      <c r="AE71" s="156" t="str">
        <f t="shared" si="0"/>
        <v/>
      </c>
      <c r="AF71" s="156" t="str">
        <f t="shared" si="1"/>
        <v/>
      </c>
      <c r="AH71" s="156">
        <v>62</v>
      </c>
      <c r="AJ71" s="156" t="str">
        <f t="array" ref="AJ71">IFERROR(INDEX($AH$10:$AH$258, MATCH(0, IF(TRUE=$AE$10:$AE$258, COUNTIF($AJ$9:$AJ70, $AH$10:$AH$258), ""), 0)),"")</f>
        <v/>
      </c>
      <c r="AK71" s="156" t="str">
        <f t="array" ref="AK71">IFERROR(INDEX($AH$10:$AH$258, MATCH(0, IF(TRUE=$AF$10:$AF$258, COUNTIF($AK$9:$AK70, $AH$10:$AH$258), ""), 0)),"")</f>
        <v/>
      </c>
      <c r="AL71" s="31" t="str">
        <f>IFERROR(INDEX('G-6 Hedgerow Data'!$BJ$3:$BJ$15,MATCH(D71,'G-6 Hedgerow Data'!$B$3:$B$15,0)),"")</f>
        <v/>
      </c>
    </row>
    <row r="72" spans="2:38" ht="14" x14ac:dyDescent="0.3">
      <c r="B72" s="141">
        <v>63</v>
      </c>
      <c r="C72" s="203"/>
      <c r="D72" s="203"/>
      <c r="E72" s="153"/>
      <c r="F72" s="553" t="str">
        <f>IF(D72="","",VLOOKUP(D72,'G-6 Hedgerow Data'!$B$2:$AG$15,2,FALSE))</f>
        <v/>
      </c>
      <c r="G72" s="499" t="str">
        <f>IF(D72="","",VLOOKUP(D72,'G-6 Hedgerow Data'!$B$2:$AG$15,3,FALSE))</f>
        <v/>
      </c>
      <c r="H72" s="145"/>
      <c r="I72" s="499" t="str">
        <f>IFERROR(VLOOKUP(H72,'G-1 All Habitats'!$Z$2:$AA$9,2,FALSE),"")</f>
        <v/>
      </c>
      <c r="J72" s="145"/>
      <c r="K72" s="507" t="str">
        <f>IF(J72="","",IF(VLOOKUP(J72,'G-3 Multipliers'!$L$3:$N$6,2,FALSE)=0,"Spatial Data Missing",VLOOKUP(J72,'G-3 Multipliers'!$L$3:$N$6,2,FALSE)))</f>
        <v/>
      </c>
      <c r="L72" s="505" t="str">
        <f>IF(J72="","",IF(VLOOKUP(J72,'G-3 Multipliers'!$L$3:$N$6,3,FALSE)=0,"Spatial Data Missing ⚠",VLOOKUP(J72,'G-3 Multipliers'!$L$3:$N$6,3,FALSE)))</f>
        <v/>
      </c>
      <c r="M72" s="506" t="str">
        <f>IF(D72="","",VLOOKUP(D72,'G-6 Hedgerow Data'!$B$1:$AH$15,33,FALSE))</f>
        <v/>
      </c>
      <c r="N72" s="513" t="str">
        <f t="shared" si="2"/>
        <v/>
      </c>
      <c r="O72" s="40"/>
      <c r="P72" s="154"/>
      <c r="Q72" s="203"/>
      <c r="R72" s="532" t="str">
        <f t="shared" si="3"/>
        <v/>
      </c>
      <c r="S72" s="532" t="str">
        <f t="shared" si="4"/>
        <v/>
      </c>
      <c r="T72" s="532" t="str">
        <f t="shared" si="5"/>
        <v/>
      </c>
      <c r="U72" s="557" t="str">
        <f t="shared" si="6"/>
        <v/>
      </c>
      <c r="V72" s="151"/>
      <c r="W72" s="152"/>
      <c r="AE72" s="156" t="str">
        <f t="shared" si="0"/>
        <v/>
      </c>
      <c r="AF72" s="156" t="str">
        <f t="shared" si="1"/>
        <v/>
      </c>
      <c r="AH72" s="156">
        <v>63</v>
      </c>
      <c r="AJ72" s="156" t="str">
        <f t="array" ref="AJ72">IFERROR(INDEX($AH$10:$AH$258, MATCH(0, IF(TRUE=$AE$10:$AE$258, COUNTIF($AJ$9:$AJ71, $AH$10:$AH$258), ""), 0)),"")</f>
        <v/>
      </c>
      <c r="AK72" s="156" t="str">
        <f t="array" ref="AK72">IFERROR(INDEX($AH$10:$AH$258, MATCH(0, IF(TRUE=$AF$10:$AF$258, COUNTIF($AK$9:$AK71, $AH$10:$AH$258), ""), 0)),"")</f>
        <v/>
      </c>
      <c r="AL72" s="31" t="str">
        <f>IFERROR(INDEX('G-6 Hedgerow Data'!$BJ$3:$BJ$15,MATCH(D72,'G-6 Hedgerow Data'!$B$3:$B$15,0)),"")</f>
        <v/>
      </c>
    </row>
    <row r="73" spans="2:38" ht="14" x14ac:dyDescent="0.3">
      <c r="B73" s="141">
        <v>64</v>
      </c>
      <c r="C73" s="203"/>
      <c r="D73" s="203"/>
      <c r="E73" s="153"/>
      <c r="F73" s="553" t="str">
        <f>IF(D73="","",VLOOKUP(D73,'G-6 Hedgerow Data'!$B$2:$AG$15,2,FALSE))</f>
        <v/>
      </c>
      <c r="G73" s="499" t="str">
        <f>IF(D73="","",VLOOKUP(D73,'G-6 Hedgerow Data'!$B$2:$AG$15,3,FALSE))</f>
        <v/>
      </c>
      <c r="H73" s="145"/>
      <c r="I73" s="499" t="str">
        <f>IFERROR(VLOOKUP(H73,'G-1 All Habitats'!$Z$2:$AA$9,2,FALSE),"")</f>
        <v/>
      </c>
      <c r="J73" s="145"/>
      <c r="K73" s="507" t="str">
        <f>IF(J73="","",IF(VLOOKUP(J73,'G-3 Multipliers'!$L$3:$N$6,2,FALSE)=0,"Spatial Data Missing",VLOOKUP(J73,'G-3 Multipliers'!$L$3:$N$6,2,FALSE)))</f>
        <v/>
      </c>
      <c r="L73" s="505" t="str">
        <f>IF(J73="","",IF(VLOOKUP(J73,'G-3 Multipliers'!$L$3:$N$6,3,FALSE)=0,"Spatial Data Missing ⚠",VLOOKUP(J73,'G-3 Multipliers'!$L$3:$N$6,3,FALSE)))</f>
        <v/>
      </c>
      <c r="M73" s="506" t="str">
        <f>IF(D73="","",VLOOKUP(D73,'G-6 Hedgerow Data'!$B$1:$AH$15,33,FALSE))</f>
        <v/>
      </c>
      <c r="N73" s="513" t="str">
        <f t="shared" si="2"/>
        <v/>
      </c>
      <c r="O73" s="40"/>
      <c r="P73" s="154"/>
      <c r="Q73" s="203"/>
      <c r="R73" s="532" t="str">
        <f t="shared" si="3"/>
        <v/>
      </c>
      <c r="S73" s="532" t="str">
        <f t="shared" si="4"/>
        <v/>
      </c>
      <c r="T73" s="532" t="str">
        <f t="shared" si="5"/>
        <v/>
      </c>
      <c r="U73" s="557" t="str">
        <f t="shared" si="6"/>
        <v/>
      </c>
      <c r="V73" s="151"/>
      <c r="W73" s="152"/>
      <c r="AE73" s="156" t="str">
        <f t="shared" si="0"/>
        <v/>
      </c>
      <c r="AF73" s="156" t="str">
        <f t="shared" si="1"/>
        <v/>
      </c>
      <c r="AH73" s="156">
        <v>64</v>
      </c>
      <c r="AJ73" s="156" t="str">
        <f t="array" ref="AJ73">IFERROR(INDEX($AH$10:$AH$258, MATCH(0, IF(TRUE=$AE$10:$AE$258, COUNTIF($AJ$9:$AJ72, $AH$10:$AH$258), ""), 0)),"")</f>
        <v/>
      </c>
      <c r="AK73" s="156" t="str">
        <f t="array" ref="AK73">IFERROR(INDEX($AH$10:$AH$258, MATCH(0, IF(TRUE=$AF$10:$AF$258, COUNTIF($AK$9:$AK72, $AH$10:$AH$258), ""), 0)),"")</f>
        <v/>
      </c>
      <c r="AL73" s="31" t="str">
        <f>IFERROR(INDEX('G-6 Hedgerow Data'!$BJ$3:$BJ$15,MATCH(D73,'G-6 Hedgerow Data'!$B$3:$B$15,0)),"")</f>
        <v/>
      </c>
    </row>
    <row r="74" spans="2:38" ht="14" x14ac:dyDescent="0.3">
      <c r="B74" s="141">
        <v>65</v>
      </c>
      <c r="C74" s="203"/>
      <c r="D74" s="203"/>
      <c r="E74" s="153"/>
      <c r="F74" s="553" t="str">
        <f>IF(D74="","",VLOOKUP(D74,'G-6 Hedgerow Data'!$B$2:$AG$15,2,FALSE))</f>
        <v/>
      </c>
      <c r="G74" s="499" t="str">
        <f>IF(D74="","",VLOOKUP(D74,'G-6 Hedgerow Data'!$B$2:$AG$15,3,FALSE))</f>
        <v/>
      </c>
      <c r="H74" s="145"/>
      <c r="I74" s="499" t="str">
        <f>IFERROR(VLOOKUP(H74,'G-1 All Habitats'!$Z$2:$AA$9,2,FALSE),"")</f>
        <v/>
      </c>
      <c r="J74" s="145"/>
      <c r="K74" s="507" t="str">
        <f>IF(J74="","",IF(VLOOKUP(J74,'G-3 Multipliers'!$L$3:$N$6,2,FALSE)=0,"Spatial Data Missing",VLOOKUP(J74,'G-3 Multipliers'!$L$3:$N$6,2,FALSE)))</f>
        <v/>
      </c>
      <c r="L74" s="505" t="str">
        <f>IF(J74="","",IF(VLOOKUP(J74,'G-3 Multipliers'!$L$3:$N$6,3,FALSE)=0,"Spatial Data Missing ⚠",VLOOKUP(J74,'G-3 Multipliers'!$L$3:$N$6,3,FALSE)))</f>
        <v/>
      </c>
      <c r="M74" s="506" t="str">
        <f>IF(D74="","",VLOOKUP(D74,'G-6 Hedgerow Data'!$B$1:$AH$15,33,FALSE))</f>
        <v/>
      </c>
      <c r="N74" s="513" t="str">
        <f t="shared" si="2"/>
        <v/>
      </c>
      <c r="O74" s="40"/>
      <c r="P74" s="154"/>
      <c r="Q74" s="203"/>
      <c r="R74" s="532" t="str">
        <f t="shared" si="3"/>
        <v/>
      </c>
      <c r="S74" s="532" t="str">
        <f t="shared" si="4"/>
        <v/>
      </c>
      <c r="T74" s="532" t="str">
        <f t="shared" si="5"/>
        <v/>
      </c>
      <c r="U74" s="557" t="str">
        <f t="shared" si="6"/>
        <v/>
      </c>
      <c r="V74" s="151"/>
      <c r="W74" s="152"/>
      <c r="AE74" s="156" t="str">
        <f t="shared" ref="AE74:AE137" si="7">IF(D74="","",IF(P74&gt;0,TRUE,FALSE))</f>
        <v/>
      </c>
      <c r="AF74" s="156" t="str">
        <f t="shared" ref="AF74:AF137" si="8">IF(D74="","",IF(Q74&gt;0,TRUE,FALSE))</f>
        <v/>
      </c>
      <c r="AH74" s="156">
        <v>65</v>
      </c>
      <c r="AJ74" s="156" t="str">
        <f t="array" ref="AJ74">IFERROR(INDEX($AH$10:$AH$258, MATCH(0, IF(TRUE=$AE$10:$AE$258, COUNTIF($AJ$9:$AJ73, $AH$10:$AH$258), ""), 0)),"")</f>
        <v/>
      </c>
      <c r="AK74" s="156" t="str">
        <f t="array" ref="AK74">IFERROR(INDEX($AH$10:$AH$258, MATCH(0, IF(TRUE=$AF$10:$AF$258, COUNTIF($AK$9:$AK73, $AH$10:$AH$258), ""), 0)),"")</f>
        <v/>
      </c>
      <c r="AL74" s="31" t="str">
        <f>IFERROR(INDEX('G-6 Hedgerow Data'!$BJ$3:$BJ$15,MATCH(D74,'G-6 Hedgerow Data'!$B$3:$B$15,0)),"")</f>
        <v/>
      </c>
    </row>
    <row r="75" spans="2:38" ht="14" x14ac:dyDescent="0.3">
      <c r="B75" s="141">
        <v>66</v>
      </c>
      <c r="C75" s="203"/>
      <c r="D75" s="203"/>
      <c r="E75" s="153"/>
      <c r="F75" s="553" t="str">
        <f>IF(D75="","",VLOOKUP(D75,'G-6 Hedgerow Data'!$B$2:$AG$15,2,FALSE))</f>
        <v/>
      </c>
      <c r="G75" s="499" t="str">
        <f>IF(D75="","",VLOOKUP(D75,'G-6 Hedgerow Data'!$B$2:$AG$15,3,FALSE))</f>
        <v/>
      </c>
      <c r="H75" s="145"/>
      <c r="I75" s="499" t="str">
        <f>IFERROR(VLOOKUP(H75,'G-1 All Habitats'!$Z$2:$AA$9,2,FALSE),"")</f>
        <v/>
      </c>
      <c r="J75" s="145"/>
      <c r="K75" s="507" t="str">
        <f>IF(J75="","",IF(VLOOKUP(J75,'G-3 Multipliers'!$L$3:$N$6,2,FALSE)=0,"Spatial Data Missing",VLOOKUP(J75,'G-3 Multipliers'!$L$3:$N$6,2,FALSE)))</f>
        <v/>
      </c>
      <c r="L75" s="505" t="str">
        <f>IF(J75="","",IF(VLOOKUP(J75,'G-3 Multipliers'!$L$3:$N$6,3,FALSE)=0,"Spatial Data Missing ⚠",VLOOKUP(J75,'G-3 Multipliers'!$L$3:$N$6,3,FALSE)))</f>
        <v/>
      </c>
      <c r="M75" s="506" t="str">
        <f>IF(D75="","",VLOOKUP(D75,'G-6 Hedgerow Data'!$B$1:$AH$15,33,FALSE))</f>
        <v/>
      </c>
      <c r="N75" s="513" t="str">
        <f t="shared" ref="N75:N138" si="9">IFERROR(E75*G75*I75*L75,"")</f>
        <v/>
      </c>
      <c r="O75" s="40"/>
      <c r="P75" s="154"/>
      <c r="Q75" s="203"/>
      <c r="R75" s="532" t="str">
        <f t="shared" ref="R75:R138" si="10">IFERROR(P75*G75*I75*L75,"")</f>
        <v/>
      </c>
      <c r="S75" s="532" t="str">
        <f t="shared" ref="S75:S138" si="11">IFERROR(Q75*G75*I75*L75,"")</f>
        <v/>
      </c>
      <c r="T75" s="532" t="str">
        <f t="shared" ref="T75:T138" si="12">IF(D75="","",IF(E75-P75-Q75=0&lt;0,"Error in lengths ▲",IF(P75+Q75&gt;E75,"Error in Lengths ▲",E75-P75-Q75)))</f>
        <v/>
      </c>
      <c r="U75" s="557" t="str">
        <f t="shared" si="6"/>
        <v/>
      </c>
      <c r="V75" s="151"/>
      <c r="W75" s="152"/>
      <c r="AE75" s="156" t="str">
        <f t="shared" si="7"/>
        <v/>
      </c>
      <c r="AF75" s="156" t="str">
        <f t="shared" si="8"/>
        <v/>
      </c>
      <c r="AH75" s="156">
        <v>66</v>
      </c>
      <c r="AJ75" s="156" t="str">
        <f t="array" ref="AJ75">IFERROR(INDEX($AH$10:$AH$258, MATCH(0, IF(TRUE=$AE$10:$AE$258, COUNTIF($AJ$9:$AJ74, $AH$10:$AH$258), ""), 0)),"")</f>
        <v/>
      </c>
      <c r="AK75" s="156" t="str">
        <f t="array" ref="AK75">IFERROR(INDEX($AH$10:$AH$258, MATCH(0, IF(TRUE=$AF$10:$AF$258, COUNTIF($AK$9:$AK74, $AH$10:$AH$258), ""), 0)),"")</f>
        <v/>
      </c>
      <c r="AL75" s="31" t="str">
        <f>IFERROR(INDEX('G-6 Hedgerow Data'!$BJ$3:$BJ$15,MATCH(D75,'G-6 Hedgerow Data'!$B$3:$B$15,0)),"")</f>
        <v/>
      </c>
    </row>
    <row r="76" spans="2:38" ht="14" x14ac:dyDescent="0.3">
      <c r="B76" s="141">
        <v>67</v>
      </c>
      <c r="C76" s="203"/>
      <c r="D76" s="203"/>
      <c r="E76" s="153"/>
      <c r="F76" s="553" t="str">
        <f>IF(D76="","",VLOOKUP(D76,'G-6 Hedgerow Data'!$B$2:$AG$15,2,FALSE))</f>
        <v/>
      </c>
      <c r="G76" s="499" t="str">
        <f>IF(D76="","",VLOOKUP(D76,'G-6 Hedgerow Data'!$B$2:$AG$15,3,FALSE))</f>
        <v/>
      </c>
      <c r="H76" s="145"/>
      <c r="I76" s="499" t="str">
        <f>IFERROR(VLOOKUP(H76,'G-1 All Habitats'!$Z$2:$AA$9,2,FALSE),"")</f>
        <v/>
      </c>
      <c r="J76" s="145"/>
      <c r="K76" s="507" t="str">
        <f>IF(J76="","",IF(VLOOKUP(J76,'G-3 Multipliers'!$L$3:$N$6,2,FALSE)=0,"Spatial Data Missing",VLOOKUP(J76,'G-3 Multipliers'!$L$3:$N$6,2,FALSE)))</f>
        <v/>
      </c>
      <c r="L76" s="505" t="str">
        <f>IF(J76="","",IF(VLOOKUP(J76,'G-3 Multipliers'!$L$3:$N$6,3,FALSE)=0,"Spatial Data Missing ⚠",VLOOKUP(J76,'G-3 Multipliers'!$L$3:$N$6,3,FALSE)))</f>
        <v/>
      </c>
      <c r="M76" s="506" t="str">
        <f>IF(D76="","",VLOOKUP(D76,'G-6 Hedgerow Data'!$B$1:$AH$15,33,FALSE))</f>
        <v/>
      </c>
      <c r="N76" s="513" t="str">
        <f t="shared" si="9"/>
        <v/>
      </c>
      <c r="O76" s="40"/>
      <c r="P76" s="154"/>
      <c r="Q76" s="203"/>
      <c r="R76" s="532" t="str">
        <f t="shared" si="10"/>
        <v/>
      </c>
      <c r="S76" s="532" t="str">
        <f t="shared" si="11"/>
        <v/>
      </c>
      <c r="T76" s="532" t="str">
        <f t="shared" si="12"/>
        <v/>
      </c>
      <c r="U76" s="557" t="str">
        <f t="shared" ref="U76:U139" si="13">IF(OR(E76="",N76=""),"",IF(E76-P76-Q76=0&lt;0,"Error in Lengths ▲",IF(P76+Q76&gt;E76,"Error in Lengths ▲",N76-R76-S76)))</f>
        <v/>
      </c>
      <c r="V76" s="151"/>
      <c r="W76" s="152"/>
      <c r="AE76" s="156" t="str">
        <f t="shared" si="7"/>
        <v/>
      </c>
      <c r="AF76" s="156" t="str">
        <f t="shared" si="8"/>
        <v/>
      </c>
      <c r="AH76" s="156">
        <v>67</v>
      </c>
      <c r="AJ76" s="156" t="str">
        <f t="array" ref="AJ76">IFERROR(INDEX($AH$10:$AH$258, MATCH(0, IF(TRUE=$AE$10:$AE$258, COUNTIF($AJ$9:$AJ75, $AH$10:$AH$258), ""), 0)),"")</f>
        <v/>
      </c>
      <c r="AK76" s="156" t="str">
        <f t="array" ref="AK76">IFERROR(INDEX($AH$10:$AH$258, MATCH(0, IF(TRUE=$AF$10:$AF$258, COUNTIF($AK$9:$AK75, $AH$10:$AH$258), ""), 0)),"")</f>
        <v/>
      </c>
      <c r="AL76" s="31" t="str">
        <f>IFERROR(INDEX('G-6 Hedgerow Data'!$BJ$3:$BJ$15,MATCH(D76,'G-6 Hedgerow Data'!$B$3:$B$15,0)),"")</f>
        <v/>
      </c>
    </row>
    <row r="77" spans="2:38" ht="14" x14ac:dyDescent="0.3">
      <c r="B77" s="141">
        <v>68</v>
      </c>
      <c r="C77" s="203"/>
      <c r="D77" s="203"/>
      <c r="E77" s="153"/>
      <c r="F77" s="553" t="str">
        <f>IF(D77="","",VLOOKUP(D77,'G-6 Hedgerow Data'!$B$2:$AG$15,2,FALSE))</f>
        <v/>
      </c>
      <c r="G77" s="499" t="str">
        <f>IF(D77="","",VLOOKUP(D77,'G-6 Hedgerow Data'!$B$2:$AG$15,3,FALSE))</f>
        <v/>
      </c>
      <c r="H77" s="145"/>
      <c r="I77" s="499" t="str">
        <f>IFERROR(VLOOKUP(H77,'G-1 All Habitats'!$Z$2:$AA$9,2,FALSE),"")</f>
        <v/>
      </c>
      <c r="J77" s="145"/>
      <c r="K77" s="507" t="str">
        <f>IF(J77="","",IF(VLOOKUP(J77,'G-3 Multipliers'!$L$3:$N$6,2,FALSE)=0,"Spatial Data Missing",VLOOKUP(J77,'G-3 Multipliers'!$L$3:$N$6,2,FALSE)))</f>
        <v/>
      </c>
      <c r="L77" s="505" t="str">
        <f>IF(J77="","",IF(VLOOKUP(J77,'G-3 Multipliers'!$L$3:$N$6,3,FALSE)=0,"Spatial Data Missing ⚠",VLOOKUP(J77,'G-3 Multipliers'!$L$3:$N$6,3,FALSE)))</f>
        <v/>
      </c>
      <c r="M77" s="506" t="str">
        <f>IF(D77="","",VLOOKUP(D77,'G-6 Hedgerow Data'!$B$1:$AH$15,33,FALSE))</f>
        <v/>
      </c>
      <c r="N77" s="513" t="str">
        <f t="shared" si="9"/>
        <v/>
      </c>
      <c r="O77" s="40"/>
      <c r="P77" s="154"/>
      <c r="Q77" s="203"/>
      <c r="R77" s="532" t="str">
        <f t="shared" si="10"/>
        <v/>
      </c>
      <c r="S77" s="532" t="str">
        <f t="shared" si="11"/>
        <v/>
      </c>
      <c r="T77" s="532" t="str">
        <f t="shared" si="12"/>
        <v/>
      </c>
      <c r="U77" s="557" t="str">
        <f t="shared" si="13"/>
        <v/>
      </c>
      <c r="V77" s="151"/>
      <c r="W77" s="152"/>
      <c r="AE77" s="156" t="str">
        <f t="shared" si="7"/>
        <v/>
      </c>
      <c r="AF77" s="156" t="str">
        <f t="shared" si="8"/>
        <v/>
      </c>
      <c r="AH77" s="156">
        <v>68</v>
      </c>
      <c r="AJ77" s="156" t="str">
        <f t="array" ref="AJ77">IFERROR(INDEX($AH$10:$AH$258, MATCH(0, IF(TRUE=$AE$10:$AE$258, COUNTIF($AJ$9:$AJ76, $AH$10:$AH$258), ""), 0)),"")</f>
        <v/>
      </c>
      <c r="AK77" s="156" t="str">
        <f t="array" ref="AK77">IFERROR(INDEX($AH$10:$AH$258, MATCH(0, IF(TRUE=$AF$10:$AF$258, COUNTIF($AK$9:$AK76, $AH$10:$AH$258), ""), 0)),"")</f>
        <v/>
      </c>
      <c r="AL77" s="31" t="str">
        <f>IFERROR(INDEX('G-6 Hedgerow Data'!$BJ$3:$BJ$15,MATCH(D77,'G-6 Hedgerow Data'!$B$3:$B$15,0)),"")</f>
        <v/>
      </c>
    </row>
    <row r="78" spans="2:38" ht="14" x14ac:dyDescent="0.3">
      <c r="B78" s="141">
        <v>69</v>
      </c>
      <c r="C78" s="203"/>
      <c r="D78" s="203"/>
      <c r="E78" s="153"/>
      <c r="F78" s="553" t="str">
        <f>IF(D78="","",VLOOKUP(D78,'G-6 Hedgerow Data'!$B$2:$AG$15,2,FALSE))</f>
        <v/>
      </c>
      <c r="G78" s="499" t="str">
        <f>IF(D78="","",VLOOKUP(D78,'G-6 Hedgerow Data'!$B$2:$AG$15,3,FALSE))</f>
        <v/>
      </c>
      <c r="H78" s="145"/>
      <c r="I78" s="499" t="str">
        <f>IFERROR(VLOOKUP(H78,'G-1 All Habitats'!$Z$2:$AA$9,2,FALSE),"")</f>
        <v/>
      </c>
      <c r="J78" s="145"/>
      <c r="K78" s="507" t="str">
        <f>IF(J78="","",IF(VLOOKUP(J78,'G-3 Multipliers'!$L$3:$N$6,2,FALSE)=0,"Spatial Data Missing",VLOOKUP(J78,'G-3 Multipliers'!$L$3:$N$6,2,FALSE)))</f>
        <v/>
      </c>
      <c r="L78" s="505" t="str">
        <f>IF(J78="","",IF(VLOOKUP(J78,'G-3 Multipliers'!$L$3:$N$6,3,FALSE)=0,"Spatial Data Missing ⚠",VLOOKUP(J78,'G-3 Multipliers'!$L$3:$N$6,3,FALSE)))</f>
        <v/>
      </c>
      <c r="M78" s="506" t="str">
        <f>IF(D78="","",VLOOKUP(D78,'G-6 Hedgerow Data'!$B$1:$AH$15,33,FALSE))</f>
        <v/>
      </c>
      <c r="N78" s="513" t="str">
        <f t="shared" si="9"/>
        <v/>
      </c>
      <c r="O78" s="40"/>
      <c r="P78" s="154"/>
      <c r="Q78" s="203"/>
      <c r="R78" s="532" t="str">
        <f t="shared" si="10"/>
        <v/>
      </c>
      <c r="S78" s="532" t="str">
        <f t="shared" si="11"/>
        <v/>
      </c>
      <c r="T78" s="532" t="str">
        <f t="shared" si="12"/>
        <v/>
      </c>
      <c r="U78" s="557" t="str">
        <f t="shared" si="13"/>
        <v/>
      </c>
      <c r="V78" s="151"/>
      <c r="W78" s="152"/>
      <c r="AE78" s="156" t="str">
        <f t="shared" si="7"/>
        <v/>
      </c>
      <c r="AF78" s="156" t="str">
        <f t="shared" si="8"/>
        <v/>
      </c>
      <c r="AH78" s="156">
        <v>69</v>
      </c>
      <c r="AJ78" s="156" t="str">
        <f t="array" ref="AJ78">IFERROR(INDEX($AH$10:$AH$258, MATCH(0, IF(TRUE=$AE$10:$AE$258, COUNTIF($AJ$9:$AJ77, $AH$10:$AH$258), ""), 0)),"")</f>
        <v/>
      </c>
      <c r="AK78" s="156" t="str">
        <f t="array" ref="AK78">IFERROR(INDEX($AH$10:$AH$258, MATCH(0, IF(TRUE=$AF$10:$AF$258, COUNTIF($AK$9:$AK77, $AH$10:$AH$258), ""), 0)),"")</f>
        <v/>
      </c>
      <c r="AL78" s="31" t="str">
        <f>IFERROR(INDEX('G-6 Hedgerow Data'!$BJ$3:$BJ$15,MATCH(D78,'G-6 Hedgerow Data'!$B$3:$B$15,0)),"")</f>
        <v/>
      </c>
    </row>
    <row r="79" spans="2:38" ht="14" x14ac:dyDescent="0.3">
      <c r="B79" s="141">
        <v>70</v>
      </c>
      <c r="C79" s="203"/>
      <c r="D79" s="203"/>
      <c r="E79" s="153"/>
      <c r="F79" s="553" t="str">
        <f>IF(D79="","",VLOOKUP(D79,'G-6 Hedgerow Data'!$B$2:$AG$15,2,FALSE))</f>
        <v/>
      </c>
      <c r="G79" s="499" t="str">
        <f>IF(D79="","",VLOOKUP(D79,'G-6 Hedgerow Data'!$B$2:$AG$15,3,FALSE))</f>
        <v/>
      </c>
      <c r="H79" s="145"/>
      <c r="I79" s="499" t="str">
        <f>IFERROR(VLOOKUP(H79,'G-1 All Habitats'!$Z$2:$AA$9,2,FALSE),"")</f>
        <v/>
      </c>
      <c r="J79" s="145"/>
      <c r="K79" s="507" t="str">
        <f>IF(J79="","",IF(VLOOKUP(J79,'G-3 Multipliers'!$L$3:$N$6,2,FALSE)=0,"Spatial Data Missing",VLOOKUP(J79,'G-3 Multipliers'!$L$3:$N$6,2,FALSE)))</f>
        <v/>
      </c>
      <c r="L79" s="505" t="str">
        <f>IF(J79="","",IF(VLOOKUP(J79,'G-3 Multipliers'!$L$3:$N$6,3,FALSE)=0,"Spatial Data Missing ⚠",VLOOKUP(J79,'G-3 Multipliers'!$L$3:$N$6,3,FALSE)))</f>
        <v/>
      </c>
      <c r="M79" s="506" t="str">
        <f>IF(D79="","",VLOOKUP(D79,'G-6 Hedgerow Data'!$B$1:$AH$15,33,FALSE))</f>
        <v/>
      </c>
      <c r="N79" s="513" t="str">
        <f t="shared" si="9"/>
        <v/>
      </c>
      <c r="O79" s="40"/>
      <c r="P79" s="154"/>
      <c r="Q79" s="203"/>
      <c r="R79" s="532" t="str">
        <f t="shared" si="10"/>
        <v/>
      </c>
      <c r="S79" s="532" t="str">
        <f t="shared" si="11"/>
        <v/>
      </c>
      <c r="T79" s="532" t="str">
        <f t="shared" si="12"/>
        <v/>
      </c>
      <c r="U79" s="557" t="str">
        <f t="shared" si="13"/>
        <v/>
      </c>
      <c r="V79" s="151"/>
      <c r="W79" s="152"/>
      <c r="AE79" s="156" t="str">
        <f t="shared" si="7"/>
        <v/>
      </c>
      <c r="AF79" s="156" t="str">
        <f t="shared" si="8"/>
        <v/>
      </c>
      <c r="AH79" s="156">
        <v>70</v>
      </c>
      <c r="AJ79" s="156" t="str">
        <f t="array" ref="AJ79">IFERROR(INDEX($AH$10:$AH$258, MATCH(0, IF(TRUE=$AE$10:$AE$258, COUNTIF($AJ$9:$AJ78, $AH$10:$AH$258), ""), 0)),"")</f>
        <v/>
      </c>
      <c r="AK79" s="156" t="str">
        <f t="array" ref="AK79">IFERROR(INDEX($AH$10:$AH$258, MATCH(0, IF(TRUE=$AF$10:$AF$258, COUNTIF($AK$9:$AK78, $AH$10:$AH$258), ""), 0)),"")</f>
        <v/>
      </c>
      <c r="AL79" s="31" t="str">
        <f>IFERROR(INDEX('G-6 Hedgerow Data'!$BJ$3:$BJ$15,MATCH(D79,'G-6 Hedgerow Data'!$B$3:$B$15,0)),"")</f>
        <v/>
      </c>
    </row>
    <row r="80" spans="2:38" ht="14" x14ac:dyDescent="0.3">
      <c r="B80" s="141">
        <v>71</v>
      </c>
      <c r="C80" s="203"/>
      <c r="D80" s="203"/>
      <c r="E80" s="153"/>
      <c r="F80" s="553" t="str">
        <f>IF(D80="","",VLOOKUP(D80,'G-6 Hedgerow Data'!$B$2:$AG$15,2,FALSE))</f>
        <v/>
      </c>
      <c r="G80" s="499" t="str">
        <f>IF(D80="","",VLOOKUP(D80,'G-6 Hedgerow Data'!$B$2:$AG$15,3,FALSE))</f>
        <v/>
      </c>
      <c r="H80" s="145"/>
      <c r="I80" s="499" t="str">
        <f>IFERROR(VLOOKUP(H80,'G-1 All Habitats'!$Z$2:$AA$9,2,FALSE),"")</f>
        <v/>
      </c>
      <c r="J80" s="145"/>
      <c r="K80" s="507" t="str">
        <f>IF(J80="","",IF(VLOOKUP(J80,'G-3 Multipliers'!$L$3:$N$6,2,FALSE)=0,"Spatial Data Missing",VLOOKUP(J80,'G-3 Multipliers'!$L$3:$N$6,2,FALSE)))</f>
        <v/>
      </c>
      <c r="L80" s="505" t="str">
        <f>IF(J80="","",IF(VLOOKUP(J80,'G-3 Multipliers'!$L$3:$N$6,3,FALSE)=0,"Spatial Data Missing ⚠",VLOOKUP(J80,'G-3 Multipliers'!$L$3:$N$6,3,FALSE)))</f>
        <v/>
      </c>
      <c r="M80" s="506" t="str">
        <f>IF(D80="","",VLOOKUP(D80,'G-6 Hedgerow Data'!$B$1:$AH$15,33,FALSE))</f>
        <v/>
      </c>
      <c r="N80" s="513" t="str">
        <f t="shared" si="9"/>
        <v/>
      </c>
      <c r="O80" s="40"/>
      <c r="P80" s="154"/>
      <c r="Q80" s="203"/>
      <c r="R80" s="532" t="str">
        <f t="shared" si="10"/>
        <v/>
      </c>
      <c r="S80" s="532" t="str">
        <f t="shared" si="11"/>
        <v/>
      </c>
      <c r="T80" s="532" t="str">
        <f t="shared" si="12"/>
        <v/>
      </c>
      <c r="U80" s="557" t="str">
        <f t="shared" si="13"/>
        <v/>
      </c>
      <c r="V80" s="151"/>
      <c r="W80" s="152"/>
      <c r="AE80" s="156" t="str">
        <f t="shared" si="7"/>
        <v/>
      </c>
      <c r="AF80" s="156" t="str">
        <f t="shared" si="8"/>
        <v/>
      </c>
      <c r="AH80" s="156">
        <v>71</v>
      </c>
      <c r="AJ80" s="156" t="str">
        <f t="array" ref="AJ80">IFERROR(INDEX($AH$10:$AH$258, MATCH(0, IF(TRUE=$AE$10:$AE$258, COUNTIF($AJ$9:$AJ79, $AH$10:$AH$258), ""), 0)),"")</f>
        <v/>
      </c>
      <c r="AK80" s="156" t="str">
        <f t="array" ref="AK80">IFERROR(INDEX($AH$10:$AH$258, MATCH(0, IF(TRUE=$AF$10:$AF$258, COUNTIF($AK$9:$AK79, $AH$10:$AH$258), ""), 0)),"")</f>
        <v/>
      </c>
      <c r="AL80" s="31" t="str">
        <f>IFERROR(INDEX('G-6 Hedgerow Data'!$BJ$3:$BJ$15,MATCH(D80,'G-6 Hedgerow Data'!$B$3:$B$15,0)),"")</f>
        <v/>
      </c>
    </row>
    <row r="81" spans="2:38" ht="14" x14ac:dyDescent="0.3">
      <c r="B81" s="141">
        <v>72</v>
      </c>
      <c r="C81" s="203"/>
      <c r="D81" s="203"/>
      <c r="E81" s="153"/>
      <c r="F81" s="553" t="str">
        <f>IF(D81="","",VLOOKUP(D81,'G-6 Hedgerow Data'!$B$2:$AG$15,2,FALSE))</f>
        <v/>
      </c>
      <c r="G81" s="499" t="str">
        <f>IF(D81="","",VLOOKUP(D81,'G-6 Hedgerow Data'!$B$2:$AG$15,3,FALSE))</f>
        <v/>
      </c>
      <c r="H81" s="145"/>
      <c r="I81" s="499" t="str">
        <f>IFERROR(VLOOKUP(H81,'G-1 All Habitats'!$Z$2:$AA$9,2,FALSE),"")</f>
        <v/>
      </c>
      <c r="J81" s="145"/>
      <c r="K81" s="507" t="str">
        <f>IF(J81="","",IF(VLOOKUP(J81,'G-3 Multipliers'!$L$3:$N$6,2,FALSE)=0,"Spatial Data Missing",VLOOKUP(J81,'G-3 Multipliers'!$L$3:$N$6,2,FALSE)))</f>
        <v/>
      </c>
      <c r="L81" s="505" t="str">
        <f>IF(J81="","",IF(VLOOKUP(J81,'G-3 Multipliers'!$L$3:$N$6,3,FALSE)=0,"Spatial Data Missing ⚠",VLOOKUP(J81,'G-3 Multipliers'!$L$3:$N$6,3,FALSE)))</f>
        <v/>
      </c>
      <c r="M81" s="506" t="str">
        <f>IF(D81="","",VLOOKUP(D81,'G-6 Hedgerow Data'!$B$1:$AH$15,33,FALSE))</f>
        <v/>
      </c>
      <c r="N81" s="513" t="str">
        <f t="shared" si="9"/>
        <v/>
      </c>
      <c r="O81" s="40"/>
      <c r="P81" s="154"/>
      <c r="Q81" s="203"/>
      <c r="R81" s="532" t="str">
        <f t="shared" si="10"/>
        <v/>
      </c>
      <c r="S81" s="532" t="str">
        <f t="shared" si="11"/>
        <v/>
      </c>
      <c r="T81" s="532" t="str">
        <f t="shared" si="12"/>
        <v/>
      </c>
      <c r="U81" s="557" t="str">
        <f t="shared" si="13"/>
        <v/>
      </c>
      <c r="V81" s="151"/>
      <c r="W81" s="152"/>
      <c r="AE81" s="156" t="str">
        <f t="shared" si="7"/>
        <v/>
      </c>
      <c r="AF81" s="156" t="str">
        <f t="shared" si="8"/>
        <v/>
      </c>
      <c r="AH81" s="156">
        <v>72</v>
      </c>
      <c r="AJ81" s="156" t="str">
        <f t="array" ref="AJ81">IFERROR(INDEX($AH$10:$AH$258, MATCH(0, IF(TRUE=$AE$10:$AE$258, COUNTIF($AJ$9:$AJ80, $AH$10:$AH$258), ""), 0)),"")</f>
        <v/>
      </c>
      <c r="AK81" s="156" t="str">
        <f t="array" ref="AK81">IFERROR(INDEX($AH$10:$AH$258, MATCH(0, IF(TRUE=$AF$10:$AF$258, COUNTIF($AK$9:$AK80, $AH$10:$AH$258), ""), 0)),"")</f>
        <v/>
      </c>
      <c r="AL81" s="31" t="str">
        <f>IFERROR(INDEX('G-6 Hedgerow Data'!$BJ$3:$BJ$15,MATCH(D81,'G-6 Hedgerow Data'!$B$3:$B$15,0)),"")</f>
        <v/>
      </c>
    </row>
    <row r="82" spans="2:38" ht="14" x14ac:dyDescent="0.3">
      <c r="B82" s="141">
        <v>73</v>
      </c>
      <c r="C82" s="203"/>
      <c r="D82" s="203"/>
      <c r="E82" s="153"/>
      <c r="F82" s="553" t="str">
        <f>IF(D82="","",VLOOKUP(D82,'G-6 Hedgerow Data'!$B$2:$AG$15,2,FALSE))</f>
        <v/>
      </c>
      <c r="G82" s="499" t="str">
        <f>IF(D82="","",VLOOKUP(D82,'G-6 Hedgerow Data'!$B$2:$AG$15,3,FALSE))</f>
        <v/>
      </c>
      <c r="H82" s="145"/>
      <c r="I82" s="499" t="str">
        <f>IFERROR(VLOOKUP(H82,'G-1 All Habitats'!$Z$2:$AA$9,2,FALSE),"")</f>
        <v/>
      </c>
      <c r="J82" s="145"/>
      <c r="K82" s="507" t="str">
        <f>IF(J82="","",IF(VLOOKUP(J82,'G-3 Multipliers'!$L$3:$N$6,2,FALSE)=0,"Spatial Data Missing",VLOOKUP(J82,'G-3 Multipliers'!$L$3:$N$6,2,FALSE)))</f>
        <v/>
      </c>
      <c r="L82" s="505" t="str">
        <f>IF(J82="","",IF(VLOOKUP(J82,'G-3 Multipliers'!$L$3:$N$6,3,FALSE)=0,"Spatial Data Missing ⚠",VLOOKUP(J82,'G-3 Multipliers'!$L$3:$N$6,3,FALSE)))</f>
        <v/>
      </c>
      <c r="M82" s="506" t="str">
        <f>IF(D82="","",VLOOKUP(D82,'G-6 Hedgerow Data'!$B$1:$AH$15,33,FALSE))</f>
        <v/>
      </c>
      <c r="N82" s="513" t="str">
        <f t="shared" si="9"/>
        <v/>
      </c>
      <c r="O82" s="40"/>
      <c r="P82" s="154"/>
      <c r="Q82" s="203"/>
      <c r="R82" s="532" t="str">
        <f t="shared" si="10"/>
        <v/>
      </c>
      <c r="S82" s="532" t="str">
        <f t="shared" si="11"/>
        <v/>
      </c>
      <c r="T82" s="532" t="str">
        <f t="shared" si="12"/>
        <v/>
      </c>
      <c r="U82" s="557" t="str">
        <f t="shared" si="13"/>
        <v/>
      </c>
      <c r="V82" s="151"/>
      <c r="W82" s="152"/>
      <c r="AE82" s="156" t="str">
        <f t="shared" si="7"/>
        <v/>
      </c>
      <c r="AF82" s="156" t="str">
        <f t="shared" si="8"/>
        <v/>
      </c>
      <c r="AH82" s="156">
        <v>73</v>
      </c>
      <c r="AJ82" s="156" t="str">
        <f t="array" ref="AJ82">IFERROR(INDEX($AH$10:$AH$258, MATCH(0, IF(TRUE=$AE$10:$AE$258, COUNTIF($AJ$9:$AJ81, $AH$10:$AH$258), ""), 0)),"")</f>
        <v/>
      </c>
      <c r="AK82" s="156" t="str">
        <f t="array" ref="AK82">IFERROR(INDEX($AH$10:$AH$258, MATCH(0, IF(TRUE=$AF$10:$AF$258, COUNTIF($AK$9:$AK81, $AH$10:$AH$258), ""), 0)),"")</f>
        <v/>
      </c>
      <c r="AL82" s="31" t="str">
        <f>IFERROR(INDEX('G-6 Hedgerow Data'!$BJ$3:$BJ$15,MATCH(D82,'G-6 Hedgerow Data'!$B$3:$B$15,0)),"")</f>
        <v/>
      </c>
    </row>
    <row r="83" spans="2:38" ht="14" x14ac:dyDescent="0.3">
      <c r="B83" s="141">
        <v>74</v>
      </c>
      <c r="C83" s="203"/>
      <c r="D83" s="203"/>
      <c r="E83" s="153"/>
      <c r="F83" s="553" t="str">
        <f>IF(D83="","",VLOOKUP(D83,'G-6 Hedgerow Data'!$B$2:$AG$15,2,FALSE))</f>
        <v/>
      </c>
      <c r="G83" s="499" t="str">
        <f>IF(D83="","",VLOOKUP(D83,'G-6 Hedgerow Data'!$B$2:$AG$15,3,FALSE))</f>
        <v/>
      </c>
      <c r="H83" s="145"/>
      <c r="I83" s="499" t="str">
        <f>IFERROR(VLOOKUP(H83,'G-1 All Habitats'!$Z$2:$AA$9,2,FALSE),"")</f>
        <v/>
      </c>
      <c r="J83" s="145"/>
      <c r="K83" s="507" t="str">
        <f>IF(J83="","",IF(VLOOKUP(J83,'G-3 Multipliers'!$L$3:$N$6,2,FALSE)=0,"Spatial Data Missing",VLOOKUP(J83,'G-3 Multipliers'!$L$3:$N$6,2,FALSE)))</f>
        <v/>
      </c>
      <c r="L83" s="505" t="str">
        <f>IF(J83="","",IF(VLOOKUP(J83,'G-3 Multipliers'!$L$3:$N$6,3,FALSE)=0,"Spatial Data Missing ⚠",VLOOKUP(J83,'G-3 Multipliers'!$L$3:$N$6,3,FALSE)))</f>
        <v/>
      </c>
      <c r="M83" s="506" t="str">
        <f>IF(D83="","",VLOOKUP(D83,'G-6 Hedgerow Data'!$B$1:$AH$15,33,FALSE))</f>
        <v/>
      </c>
      <c r="N83" s="513" t="str">
        <f t="shared" si="9"/>
        <v/>
      </c>
      <c r="O83" s="40"/>
      <c r="P83" s="154"/>
      <c r="Q83" s="203"/>
      <c r="R83" s="532" t="str">
        <f t="shared" si="10"/>
        <v/>
      </c>
      <c r="S83" s="532" t="str">
        <f t="shared" si="11"/>
        <v/>
      </c>
      <c r="T83" s="532" t="str">
        <f t="shared" si="12"/>
        <v/>
      </c>
      <c r="U83" s="557" t="str">
        <f t="shared" si="13"/>
        <v/>
      </c>
      <c r="V83" s="151"/>
      <c r="W83" s="152"/>
      <c r="AE83" s="156" t="str">
        <f t="shared" si="7"/>
        <v/>
      </c>
      <c r="AF83" s="156" t="str">
        <f t="shared" si="8"/>
        <v/>
      </c>
      <c r="AH83" s="156">
        <v>74</v>
      </c>
      <c r="AJ83" s="156" t="str">
        <f t="array" ref="AJ83">IFERROR(INDEX($AH$10:$AH$258, MATCH(0, IF(TRUE=$AE$10:$AE$258, COUNTIF($AJ$9:$AJ82, $AH$10:$AH$258), ""), 0)),"")</f>
        <v/>
      </c>
      <c r="AK83" s="156" t="str">
        <f t="array" ref="AK83">IFERROR(INDEX($AH$10:$AH$258, MATCH(0, IF(TRUE=$AF$10:$AF$258, COUNTIF($AK$9:$AK82, $AH$10:$AH$258), ""), 0)),"")</f>
        <v/>
      </c>
      <c r="AL83" s="31" t="str">
        <f>IFERROR(INDEX('G-6 Hedgerow Data'!$BJ$3:$BJ$15,MATCH(D83,'G-6 Hedgerow Data'!$B$3:$B$15,0)),"")</f>
        <v/>
      </c>
    </row>
    <row r="84" spans="2:38" ht="14" x14ac:dyDescent="0.3">
      <c r="B84" s="141">
        <v>75</v>
      </c>
      <c r="C84" s="203"/>
      <c r="D84" s="203"/>
      <c r="E84" s="153"/>
      <c r="F84" s="553" t="str">
        <f>IF(D84="","",VLOOKUP(D84,'G-6 Hedgerow Data'!$B$2:$AG$15,2,FALSE))</f>
        <v/>
      </c>
      <c r="G84" s="499" t="str">
        <f>IF(D84="","",VLOOKUP(D84,'G-6 Hedgerow Data'!$B$2:$AG$15,3,FALSE))</f>
        <v/>
      </c>
      <c r="H84" s="145"/>
      <c r="I84" s="499" t="str">
        <f>IFERROR(VLOOKUP(H84,'G-1 All Habitats'!$Z$2:$AA$9,2,FALSE),"")</f>
        <v/>
      </c>
      <c r="J84" s="145"/>
      <c r="K84" s="507" t="str">
        <f>IF(J84="","",IF(VLOOKUP(J84,'G-3 Multipliers'!$L$3:$N$6,2,FALSE)=0,"Spatial Data Missing",VLOOKUP(J84,'G-3 Multipliers'!$L$3:$N$6,2,FALSE)))</f>
        <v/>
      </c>
      <c r="L84" s="505" t="str">
        <f>IF(J84="","",IF(VLOOKUP(J84,'G-3 Multipliers'!$L$3:$N$6,3,FALSE)=0,"Spatial Data Missing ⚠",VLOOKUP(J84,'G-3 Multipliers'!$L$3:$N$6,3,FALSE)))</f>
        <v/>
      </c>
      <c r="M84" s="506" t="str">
        <f>IF(D84="","",VLOOKUP(D84,'G-6 Hedgerow Data'!$B$1:$AH$15,33,FALSE))</f>
        <v/>
      </c>
      <c r="N84" s="513" t="str">
        <f t="shared" si="9"/>
        <v/>
      </c>
      <c r="O84" s="40"/>
      <c r="P84" s="154"/>
      <c r="Q84" s="203"/>
      <c r="R84" s="532" t="str">
        <f t="shared" si="10"/>
        <v/>
      </c>
      <c r="S84" s="532" t="str">
        <f t="shared" si="11"/>
        <v/>
      </c>
      <c r="T84" s="532" t="str">
        <f t="shared" si="12"/>
        <v/>
      </c>
      <c r="U84" s="557" t="str">
        <f t="shared" si="13"/>
        <v/>
      </c>
      <c r="V84" s="151"/>
      <c r="W84" s="152"/>
      <c r="AE84" s="156" t="str">
        <f t="shared" si="7"/>
        <v/>
      </c>
      <c r="AF84" s="156" t="str">
        <f t="shared" si="8"/>
        <v/>
      </c>
      <c r="AH84" s="156">
        <v>75</v>
      </c>
      <c r="AJ84" s="156" t="str">
        <f t="array" ref="AJ84">IFERROR(INDEX($AH$10:$AH$258, MATCH(0, IF(TRUE=$AE$10:$AE$258, COUNTIF($AJ$9:$AJ83, $AH$10:$AH$258), ""), 0)),"")</f>
        <v/>
      </c>
      <c r="AK84" s="156" t="str">
        <f t="array" ref="AK84">IFERROR(INDEX($AH$10:$AH$258, MATCH(0, IF(TRUE=$AF$10:$AF$258, COUNTIF($AK$9:$AK83, $AH$10:$AH$258), ""), 0)),"")</f>
        <v/>
      </c>
      <c r="AL84" s="31" t="str">
        <f>IFERROR(INDEX('G-6 Hedgerow Data'!$BJ$3:$BJ$15,MATCH(D84,'G-6 Hedgerow Data'!$B$3:$B$15,0)),"")</f>
        <v/>
      </c>
    </row>
    <row r="85" spans="2:38" ht="14" x14ac:dyDescent="0.3">
      <c r="B85" s="141">
        <v>76</v>
      </c>
      <c r="C85" s="203"/>
      <c r="D85" s="203"/>
      <c r="E85" s="153"/>
      <c r="F85" s="553" t="str">
        <f>IF(D85="","",VLOOKUP(D85,'G-6 Hedgerow Data'!$B$2:$AG$15,2,FALSE))</f>
        <v/>
      </c>
      <c r="G85" s="499" t="str">
        <f>IF(D85="","",VLOOKUP(D85,'G-6 Hedgerow Data'!$B$2:$AG$15,3,FALSE))</f>
        <v/>
      </c>
      <c r="H85" s="145"/>
      <c r="I85" s="499" t="str">
        <f>IFERROR(VLOOKUP(H85,'G-1 All Habitats'!$Z$2:$AA$9,2,FALSE),"")</f>
        <v/>
      </c>
      <c r="J85" s="145"/>
      <c r="K85" s="507" t="str">
        <f>IF(J85="","",IF(VLOOKUP(J85,'G-3 Multipliers'!$L$3:$N$6,2,FALSE)=0,"Spatial Data Missing",VLOOKUP(J85,'G-3 Multipliers'!$L$3:$N$6,2,FALSE)))</f>
        <v/>
      </c>
      <c r="L85" s="505" t="str">
        <f>IF(J85="","",IF(VLOOKUP(J85,'G-3 Multipliers'!$L$3:$N$6,3,FALSE)=0,"Spatial Data Missing ⚠",VLOOKUP(J85,'G-3 Multipliers'!$L$3:$N$6,3,FALSE)))</f>
        <v/>
      </c>
      <c r="M85" s="506" t="str">
        <f>IF(D85="","",VLOOKUP(D85,'G-6 Hedgerow Data'!$B$1:$AH$15,33,FALSE))</f>
        <v/>
      </c>
      <c r="N85" s="513" t="str">
        <f t="shared" si="9"/>
        <v/>
      </c>
      <c r="O85" s="40"/>
      <c r="P85" s="154"/>
      <c r="Q85" s="203"/>
      <c r="R85" s="532" t="str">
        <f t="shared" si="10"/>
        <v/>
      </c>
      <c r="S85" s="532" t="str">
        <f t="shared" si="11"/>
        <v/>
      </c>
      <c r="T85" s="532" t="str">
        <f t="shared" si="12"/>
        <v/>
      </c>
      <c r="U85" s="557" t="str">
        <f t="shared" si="13"/>
        <v/>
      </c>
      <c r="V85" s="151"/>
      <c r="W85" s="152"/>
      <c r="AE85" s="156" t="str">
        <f t="shared" si="7"/>
        <v/>
      </c>
      <c r="AF85" s="156" t="str">
        <f t="shared" si="8"/>
        <v/>
      </c>
      <c r="AH85" s="156">
        <v>76</v>
      </c>
      <c r="AJ85" s="156" t="str">
        <f t="array" ref="AJ85">IFERROR(INDEX($AH$10:$AH$258, MATCH(0, IF(TRUE=$AE$10:$AE$258, COUNTIF($AJ$9:$AJ84, $AH$10:$AH$258), ""), 0)),"")</f>
        <v/>
      </c>
      <c r="AK85" s="156" t="str">
        <f t="array" ref="AK85">IFERROR(INDEX($AH$10:$AH$258, MATCH(0, IF(TRUE=$AF$10:$AF$258, COUNTIF($AK$9:$AK84, $AH$10:$AH$258), ""), 0)),"")</f>
        <v/>
      </c>
      <c r="AL85" s="31" t="str">
        <f>IFERROR(INDEX('G-6 Hedgerow Data'!$BJ$3:$BJ$15,MATCH(D85,'G-6 Hedgerow Data'!$B$3:$B$15,0)),"")</f>
        <v/>
      </c>
    </row>
    <row r="86" spans="2:38" ht="14" x14ac:dyDescent="0.3">
      <c r="B86" s="141">
        <v>77</v>
      </c>
      <c r="C86" s="203"/>
      <c r="D86" s="203"/>
      <c r="E86" s="153"/>
      <c r="F86" s="553" t="str">
        <f>IF(D86="","",VLOOKUP(D86,'G-6 Hedgerow Data'!$B$2:$AG$15,2,FALSE))</f>
        <v/>
      </c>
      <c r="G86" s="499" t="str">
        <f>IF(D86="","",VLOOKUP(D86,'G-6 Hedgerow Data'!$B$2:$AG$15,3,FALSE))</f>
        <v/>
      </c>
      <c r="H86" s="145"/>
      <c r="I86" s="499" t="str">
        <f>IFERROR(VLOOKUP(H86,'G-1 All Habitats'!$Z$2:$AA$9,2,FALSE),"")</f>
        <v/>
      </c>
      <c r="J86" s="145"/>
      <c r="K86" s="507" t="str">
        <f>IF(J86="","",IF(VLOOKUP(J86,'G-3 Multipliers'!$L$3:$N$6,2,FALSE)=0,"Spatial Data Missing",VLOOKUP(J86,'G-3 Multipliers'!$L$3:$N$6,2,FALSE)))</f>
        <v/>
      </c>
      <c r="L86" s="505" t="str">
        <f>IF(J86="","",IF(VLOOKUP(J86,'G-3 Multipliers'!$L$3:$N$6,3,FALSE)=0,"Spatial Data Missing ⚠",VLOOKUP(J86,'G-3 Multipliers'!$L$3:$N$6,3,FALSE)))</f>
        <v/>
      </c>
      <c r="M86" s="506" t="str">
        <f>IF(D86="","",VLOOKUP(D86,'G-6 Hedgerow Data'!$B$1:$AH$15,33,FALSE))</f>
        <v/>
      </c>
      <c r="N86" s="513" t="str">
        <f t="shared" si="9"/>
        <v/>
      </c>
      <c r="O86" s="40"/>
      <c r="P86" s="154"/>
      <c r="Q86" s="203"/>
      <c r="R86" s="532" t="str">
        <f t="shared" si="10"/>
        <v/>
      </c>
      <c r="S86" s="532" t="str">
        <f t="shared" si="11"/>
        <v/>
      </c>
      <c r="T86" s="532" t="str">
        <f t="shared" si="12"/>
        <v/>
      </c>
      <c r="U86" s="557" t="str">
        <f t="shared" si="13"/>
        <v/>
      </c>
      <c r="V86" s="151"/>
      <c r="W86" s="152"/>
      <c r="AE86" s="156" t="str">
        <f t="shared" si="7"/>
        <v/>
      </c>
      <c r="AF86" s="156" t="str">
        <f t="shared" si="8"/>
        <v/>
      </c>
      <c r="AH86" s="156">
        <v>77</v>
      </c>
      <c r="AJ86" s="156" t="str">
        <f t="array" ref="AJ86">IFERROR(INDEX($AH$10:$AH$258, MATCH(0, IF(TRUE=$AE$10:$AE$258, COUNTIF($AJ$9:$AJ85, $AH$10:$AH$258), ""), 0)),"")</f>
        <v/>
      </c>
      <c r="AK86" s="156" t="str">
        <f t="array" ref="AK86">IFERROR(INDEX($AH$10:$AH$258, MATCH(0, IF(TRUE=$AF$10:$AF$258, COUNTIF($AK$9:$AK85, $AH$10:$AH$258), ""), 0)),"")</f>
        <v/>
      </c>
      <c r="AL86" s="31" t="str">
        <f>IFERROR(INDEX('G-6 Hedgerow Data'!$BJ$3:$BJ$15,MATCH(D86,'G-6 Hedgerow Data'!$B$3:$B$15,0)),"")</f>
        <v/>
      </c>
    </row>
    <row r="87" spans="2:38" ht="14" x14ac:dyDescent="0.3">
      <c r="B87" s="141">
        <v>78</v>
      </c>
      <c r="C87" s="203"/>
      <c r="D87" s="203"/>
      <c r="E87" s="153"/>
      <c r="F87" s="553" t="str">
        <f>IF(D87="","",VLOOKUP(D87,'G-6 Hedgerow Data'!$B$2:$AG$15,2,FALSE))</f>
        <v/>
      </c>
      <c r="G87" s="499" t="str">
        <f>IF(D87="","",VLOOKUP(D87,'G-6 Hedgerow Data'!$B$2:$AG$15,3,FALSE))</f>
        <v/>
      </c>
      <c r="H87" s="145"/>
      <c r="I87" s="499" t="str">
        <f>IFERROR(VLOOKUP(H87,'G-1 All Habitats'!$Z$2:$AA$9,2,FALSE),"")</f>
        <v/>
      </c>
      <c r="J87" s="145"/>
      <c r="K87" s="507" t="str">
        <f>IF(J87="","",IF(VLOOKUP(J87,'G-3 Multipliers'!$L$3:$N$6,2,FALSE)=0,"Spatial Data Missing",VLOOKUP(J87,'G-3 Multipliers'!$L$3:$N$6,2,FALSE)))</f>
        <v/>
      </c>
      <c r="L87" s="505" t="str">
        <f>IF(J87="","",IF(VLOOKUP(J87,'G-3 Multipliers'!$L$3:$N$6,3,FALSE)=0,"Spatial Data Missing ⚠",VLOOKUP(J87,'G-3 Multipliers'!$L$3:$N$6,3,FALSE)))</f>
        <v/>
      </c>
      <c r="M87" s="506" t="str">
        <f>IF(D87="","",VLOOKUP(D87,'G-6 Hedgerow Data'!$B$1:$AH$15,33,FALSE))</f>
        <v/>
      </c>
      <c r="N87" s="513" t="str">
        <f t="shared" si="9"/>
        <v/>
      </c>
      <c r="O87" s="40"/>
      <c r="P87" s="154"/>
      <c r="Q87" s="203"/>
      <c r="R87" s="532" t="str">
        <f t="shared" si="10"/>
        <v/>
      </c>
      <c r="S87" s="532" t="str">
        <f t="shared" si="11"/>
        <v/>
      </c>
      <c r="T87" s="532" t="str">
        <f t="shared" si="12"/>
        <v/>
      </c>
      <c r="U87" s="557" t="str">
        <f t="shared" si="13"/>
        <v/>
      </c>
      <c r="V87" s="151"/>
      <c r="W87" s="152"/>
      <c r="AE87" s="156" t="str">
        <f t="shared" si="7"/>
        <v/>
      </c>
      <c r="AF87" s="156" t="str">
        <f t="shared" si="8"/>
        <v/>
      </c>
      <c r="AH87" s="156">
        <v>78</v>
      </c>
      <c r="AJ87" s="156" t="str">
        <f t="array" ref="AJ87">IFERROR(INDEX($AH$10:$AH$258, MATCH(0, IF(TRUE=$AE$10:$AE$258, COUNTIF($AJ$9:$AJ86, $AH$10:$AH$258), ""), 0)),"")</f>
        <v/>
      </c>
      <c r="AK87" s="156" t="str">
        <f t="array" ref="AK87">IFERROR(INDEX($AH$10:$AH$258, MATCH(0, IF(TRUE=$AF$10:$AF$258, COUNTIF($AK$9:$AK86, $AH$10:$AH$258), ""), 0)),"")</f>
        <v/>
      </c>
      <c r="AL87" s="31" t="str">
        <f>IFERROR(INDEX('G-6 Hedgerow Data'!$BJ$3:$BJ$15,MATCH(D87,'G-6 Hedgerow Data'!$B$3:$B$15,0)),"")</f>
        <v/>
      </c>
    </row>
    <row r="88" spans="2:38" ht="14" x14ac:dyDescent="0.3">
      <c r="B88" s="141">
        <v>79</v>
      </c>
      <c r="C88" s="203"/>
      <c r="D88" s="203"/>
      <c r="E88" s="153"/>
      <c r="F88" s="553" t="str">
        <f>IF(D88="","",VLOOKUP(D88,'G-6 Hedgerow Data'!$B$2:$AG$15,2,FALSE))</f>
        <v/>
      </c>
      <c r="G88" s="499" t="str">
        <f>IF(D88="","",VLOOKUP(D88,'G-6 Hedgerow Data'!$B$2:$AG$15,3,FALSE))</f>
        <v/>
      </c>
      <c r="H88" s="145"/>
      <c r="I88" s="499" t="str">
        <f>IFERROR(VLOOKUP(H88,'G-1 All Habitats'!$Z$2:$AA$9,2,FALSE),"")</f>
        <v/>
      </c>
      <c r="J88" s="145"/>
      <c r="K88" s="507" t="str">
        <f>IF(J88="","",IF(VLOOKUP(J88,'G-3 Multipliers'!$L$3:$N$6,2,FALSE)=0,"Spatial Data Missing",VLOOKUP(J88,'G-3 Multipliers'!$L$3:$N$6,2,FALSE)))</f>
        <v/>
      </c>
      <c r="L88" s="505" t="str">
        <f>IF(J88="","",IF(VLOOKUP(J88,'G-3 Multipliers'!$L$3:$N$6,3,FALSE)=0,"Spatial Data Missing ⚠",VLOOKUP(J88,'G-3 Multipliers'!$L$3:$N$6,3,FALSE)))</f>
        <v/>
      </c>
      <c r="M88" s="506" t="str">
        <f>IF(D88="","",VLOOKUP(D88,'G-6 Hedgerow Data'!$B$1:$AH$15,33,FALSE))</f>
        <v/>
      </c>
      <c r="N88" s="513" t="str">
        <f t="shared" si="9"/>
        <v/>
      </c>
      <c r="O88" s="40"/>
      <c r="P88" s="154"/>
      <c r="Q88" s="203"/>
      <c r="R88" s="532" t="str">
        <f t="shared" si="10"/>
        <v/>
      </c>
      <c r="S88" s="532" t="str">
        <f t="shared" si="11"/>
        <v/>
      </c>
      <c r="T88" s="532" t="str">
        <f t="shared" si="12"/>
        <v/>
      </c>
      <c r="U88" s="557" t="str">
        <f t="shared" si="13"/>
        <v/>
      </c>
      <c r="V88" s="151"/>
      <c r="W88" s="152"/>
      <c r="AE88" s="156" t="str">
        <f t="shared" si="7"/>
        <v/>
      </c>
      <c r="AF88" s="156" t="str">
        <f t="shared" si="8"/>
        <v/>
      </c>
      <c r="AH88" s="156">
        <v>79</v>
      </c>
      <c r="AJ88" s="156" t="str">
        <f t="array" ref="AJ88">IFERROR(INDEX($AH$10:$AH$258, MATCH(0, IF(TRUE=$AE$10:$AE$258, COUNTIF($AJ$9:$AJ87, $AH$10:$AH$258), ""), 0)),"")</f>
        <v/>
      </c>
      <c r="AK88" s="156" t="str">
        <f t="array" ref="AK88">IFERROR(INDEX($AH$10:$AH$258, MATCH(0, IF(TRUE=$AF$10:$AF$258, COUNTIF($AK$9:$AK87, $AH$10:$AH$258), ""), 0)),"")</f>
        <v/>
      </c>
      <c r="AL88" s="31" t="str">
        <f>IFERROR(INDEX('G-6 Hedgerow Data'!$BJ$3:$BJ$15,MATCH(D88,'G-6 Hedgerow Data'!$B$3:$B$15,0)),"")</f>
        <v/>
      </c>
    </row>
    <row r="89" spans="2:38" ht="14" x14ac:dyDescent="0.3">
      <c r="B89" s="141">
        <v>80</v>
      </c>
      <c r="C89" s="203"/>
      <c r="D89" s="203"/>
      <c r="E89" s="153"/>
      <c r="F89" s="553" t="str">
        <f>IF(D89="","",VLOOKUP(D89,'G-6 Hedgerow Data'!$B$2:$AG$15,2,FALSE))</f>
        <v/>
      </c>
      <c r="G89" s="499" t="str">
        <f>IF(D89="","",VLOOKUP(D89,'G-6 Hedgerow Data'!$B$2:$AG$15,3,FALSE))</f>
        <v/>
      </c>
      <c r="H89" s="145"/>
      <c r="I89" s="499" t="str">
        <f>IFERROR(VLOOKUP(H89,'G-1 All Habitats'!$Z$2:$AA$9,2,FALSE),"")</f>
        <v/>
      </c>
      <c r="J89" s="145"/>
      <c r="K89" s="507" t="str">
        <f>IF(J89="","",IF(VLOOKUP(J89,'G-3 Multipliers'!$L$3:$N$6,2,FALSE)=0,"Spatial Data Missing",VLOOKUP(J89,'G-3 Multipliers'!$L$3:$N$6,2,FALSE)))</f>
        <v/>
      </c>
      <c r="L89" s="505" t="str">
        <f>IF(J89="","",IF(VLOOKUP(J89,'G-3 Multipliers'!$L$3:$N$6,3,FALSE)=0,"Spatial Data Missing ⚠",VLOOKUP(J89,'G-3 Multipliers'!$L$3:$N$6,3,FALSE)))</f>
        <v/>
      </c>
      <c r="M89" s="506" t="str">
        <f>IF(D89="","",VLOOKUP(D89,'G-6 Hedgerow Data'!$B$1:$AH$15,33,FALSE))</f>
        <v/>
      </c>
      <c r="N89" s="513" t="str">
        <f t="shared" si="9"/>
        <v/>
      </c>
      <c r="O89" s="40"/>
      <c r="P89" s="154"/>
      <c r="Q89" s="203"/>
      <c r="R89" s="532" t="str">
        <f t="shared" si="10"/>
        <v/>
      </c>
      <c r="S89" s="532" t="str">
        <f t="shared" si="11"/>
        <v/>
      </c>
      <c r="T89" s="532" t="str">
        <f t="shared" si="12"/>
        <v/>
      </c>
      <c r="U89" s="557" t="str">
        <f t="shared" si="13"/>
        <v/>
      </c>
      <c r="V89" s="151"/>
      <c r="W89" s="152"/>
      <c r="AE89" s="156" t="str">
        <f t="shared" si="7"/>
        <v/>
      </c>
      <c r="AF89" s="156" t="str">
        <f t="shared" si="8"/>
        <v/>
      </c>
      <c r="AH89" s="156">
        <v>80</v>
      </c>
      <c r="AJ89" s="156" t="str">
        <f t="array" ref="AJ89">IFERROR(INDEX($AH$10:$AH$258, MATCH(0, IF(TRUE=$AE$10:$AE$258, COUNTIF($AJ$9:$AJ88, $AH$10:$AH$258), ""), 0)),"")</f>
        <v/>
      </c>
      <c r="AK89" s="156" t="str">
        <f t="array" ref="AK89">IFERROR(INDEX($AH$10:$AH$258, MATCH(0, IF(TRUE=$AF$10:$AF$258, COUNTIF($AK$9:$AK88, $AH$10:$AH$258), ""), 0)),"")</f>
        <v/>
      </c>
      <c r="AL89" s="31" t="str">
        <f>IFERROR(INDEX('G-6 Hedgerow Data'!$BJ$3:$BJ$15,MATCH(D89,'G-6 Hedgerow Data'!$B$3:$B$15,0)),"")</f>
        <v/>
      </c>
    </row>
    <row r="90" spans="2:38" ht="14" x14ac:dyDescent="0.3">
      <c r="B90" s="141">
        <v>81</v>
      </c>
      <c r="C90" s="203"/>
      <c r="D90" s="203"/>
      <c r="E90" s="153"/>
      <c r="F90" s="553" t="str">
        <f>IF(D90="","",VLOOKUP(D90,'G-6 Hedgerow Data'!$B$2:$AG$15,2,FALSE))</f>
        <v/>
      </c>
      <c r="G90" s="499" t="str">
        <f>IF(D90="","",VLOOKUP(D90,'G-6 Hedgerow Data'!$B$2:$AG$15,3,FALSE))</f>
        <v/>
      </c>
      <c r="H90" s="145"/>
      <c r="I90" s="499" t="str">
        <f>IFERROR(VLOOKUP(H90,'G-1 All Habitats'!$Z$2:$AA$9,2,FALSE),"")</f>
        <v/>
      </c>
      <c r="J90" s="145"/>
      <c r="K90" s="507" t="str">
        <f>IF(J90="","",IF(VLOOKUP(J90,'G-3 Multipliers'!$L$3:$N$6,2,FALSE)=0,"Spatial Data Missing",VLOOKUP(J90,'G-3 Multipliers'!$L$3:$N$6,2,FALSE)))</f>
        <v/>
      </c>
      <c r="L90" s="505" t="str">
        <f>IF(J90="","",IF(VLOOKUP(J90,'G-3 Multipliers'!$L$3:$N$6,3,FALSE)=0,"Spatial Data Missing ⚠",VLOOKUP(J90,'G-3 Multipliers'!$L$3:$N$6,3,FALSE)))</f>
        <v/>
      </c>
      <c r="M90" s="506" t="str">
        <f>IF(D90="","",VLOOKUP(D90,'G-6 Hedgerow Data'!$B$1:$AH$15,33,FALSE))</f>
        <v/>
      </c>
      <c r="N90" s="513" t="str">
        <f t="shared" si="9"/>
        <v/>
      </c>
      <c r="O90" s="40"/>
      <c r="P90" s="154"/>
      <c r="Q90" s="203"/>
      <c r="R90" s="532" t="str">
        <f t="shared" si="10"/>
        <v/>
      </c>
      <c r="S90" s="532" t="str">
        <f t="shared" si="11"/>
        <v/>
      </c>
      <c r="T90" s="532" t="str">
        <f t="shared" si="12"/>
        <v/>
      </c>
      <c r="U90" s="557" t="str">
        <f t="shared" si="13"/>
        <v/>
      </c>
      <c r="V90" s="151"/>
      <c r="W90" s="152"/>
      <c r="AE90" s="156" t="str">
        <f t="shared" si="7"/>
        <v/>
      </c>
      <c r="AF90" s="156" t="str">
        <f t="shared" si="8"/>
        <v/>
      </c>
      <c r="AH90" s="156">
        <v>81</v>
      </c>
      <c r="AJ90" s="156" t="str">
        <f t="array" ref="AJ90">IFERROR(INDEX($AH$10:$AH$258, MATCH(0, IF(TRUE=$AE$10:$AE$258, COUNTIF($AJ$9:$AJ89, $AH$10:$AH$258), ""), 0)),"")</f>
        <v/>
      </c>
      <c r="AK90" s="156" t="str">
        <f t="array" ref="AK90">IFERROR(INDEX($AH$10:$AH$258, MATCH(0, IF(TRUE=$AF$10:$AF$258, COUNTIF($AK$9:$AK89, $AH$10:$AH$258), ""), 0)),"")</f>
        <v/>
      </c>
      <c r="AL90" s="31" t="str">
        <f>IFERROR(INDEX('G-6 Hedgerow Data'!$BJ$3:$BJ$15,MATCH(D90,'G-6 Hedgerow Data'!$B$3:$B$15,0)),"")</f>
        <v/>
      </c>
    </row>
    <row r="91" spans="2:38" ht="14" x14ac:dyDescent="0.3">
      <c r="B91" s="141">
        <v>82</v>
      </c>
      <c r="C91" s="203"/>
      <c r="D91" s="203"/>
      <c r="E91" s="153"/>
      <c r="F91" s="553" t="str">
        <f>IF(D91="","",VLOOKUP(D91,'G-6 Hedgerow Data'!$B$2:$AG$15,2,FALSE))</f>
        <v/>
      </c>
      <c r="G91" s="499" t="str">
        <f>IF(D91="","",VLOOKUP(D91,'G-6 Hedgerow Data'!$B$2:$AG$15,3,FALSE))</f>
        <v/>
      </c>
      <c r="H91" s="145"/>
      <c r="I91" s="499" t="str">
        <f>IFERROR(VLOOKUP(H91,'G-1 All Habitats'!$Z$2:$AA$9,2,FALSE),"")</f>
        <v/>
      </c>
      <c r="J91" s="145"/>
      <c r="K91" s="507" t="str">
        <f>IF(J91="","",IF(VLOOKUP(J91,'G-3 Multipliers'!$L$3:$N$6,2,FALSE)=0,"Spatial Data Missing",VLOOKUP(J91,'G-3 Multipliers'!$L$3:$N$6,2,FALSE)))</f>
        <v/>
      </c>
      <c r="L91" s="505" t="str">
        <f>IF(J91="","",IF(VLOOKUP(J91,'G-3 Multipliers'!$L$3:$N$6,3,FALSE)=0,"Spatial Data Missing ⚠",VLOOKUP(J91,'G-3 Multipliers'!$L$3:$N$6,3,FALSE)))</f>
        <v/>
      </c>
      <c r="M91" s="506" t="str">
        <f>IF(D91="","",VLOOKUP(D91,'G-6 Hedgerow Data'!$B$1:$AH$15,33,FALSE))</f>
        <v/>
      </c>
      <c r="N91" s="513" t="str">
        <f t="shared" si="9"/>
        <v/>
      </c>
      <c r="O91" s="40"/>
      <c r="P91" s="154"/>
      <c r="Q91" s="203"/>
      <c r="R91" s="532" t="str">
        <f t="shared" si="10"/>
        <v/>
      </c>
      <c r="S91" s="532" t="str">
        <f t="shared" si="11"/>
        <v/>
      </c>
      <c r="T91" s="532" t="str">
        <f t="shared" si="12"/>
        <v/>
      </c>
      <c r="U91" s="557" t="str">
        <f t="shared" si="13"/>
        <v/>
      </c>
      <c r="V91" s="151"/>
      <c r="W91" s="152"/>
      <c r="AE91" s="156" t="str">
        <f t="shared" si="7"/>
        <v/>
      </c>
      <c r="AF91" s="156" t="str">
        <f t="shared" si="8"/>
        <v/>
      </c>
      <c r="AH91" s="156">
        <v>82</v>
      </c>
      <c r="AJ91" s="156" t="str">
        <f t="array" ref="AJ91">IFERROR(INDEX($AH$10:$AH$258, MATCH(0, IF(TRUE=$AE$10:$AE$258, COUNTIF($AJ$9:$AJ90, $AH$10:$AH$258), ""), 0)),"")</f>
        <v/>
      </c>
      <c r="AK91" s="156" t="str">
        <f t="array" ref="AK91">IFERROR(INDEX($AH$10:$AH$258, MATCH(0, IF(TRUE=$AF$10:$AF$258, COUNTIF($AK$9:$AK90, $AH$10:$AH$258), ""), 0)),"")</f>
        <v/>
      </c>
      <c r="AL91" s="31" t="str">
        <f>IFERROR(INDEX('G-6 Hedgerow Data'!$BJ$3:$BJ$15,MATCH(D91,'G-6 Hedgerow Data'!$B$3:$B$15,0)),"")</f>
        <v/>
      </c>
    </row>
    <row r="92" spans="2:38" ht="14" x14ac:dyDescent="0.3">
      <c r="B92" s="141">
        <v>83</v>
      </c>
      <c r="C92" s="203"/>
      <c r="D92" s="203"/>
      <c r="E92" s="153"/>
      <c r="F92" s="553" t="str">
        <f>IF(D92="","",VLOOKUP(D92,'G-6 Hedgerow Data'!$B$2:$AG$15,2,FALSE))</f>
        <v/>
      </c>
      <c r="G92" s="499" t="str">
        <f>IF(D92="","",VLOOKUP(D92,'G-6 Hedgerow Data'!$B$2:$AG$15,3,FALSE))</f>
        <v/>
      </c>
      <c r="H92" s="145"/>
      <c r="I92" s="499" t="str">
        <f>IFERROR(VLOOKUP(H92,'G-1 All Habitats'!$Z$2:$AA$9,2,FALSE),"")</f>
        <v/>
      </c>
      <c r="J92" s="145"/>
      <c r="K92" s="507" t="str">
        <f>IF(J92="","",IF(VLOOKUP(J92,'G-3 Multipliers'!$L$3:$N$6,2,FALSE)=0,"Spatial Data Missing",VLOOKUP(J92,'G-3 Multipliers'!$L$3:$N$6,2,FALSE)))</f>
        <v/>
      </c>
      <c r="L92" s="505" t="str">
        <f>IF(J92="","",IF(VLOOKUP(J92,'G-3 Multipliers'!$L$3:$N$6,3,FALSE)=0,"Spatial Data Missing ⚠",VLOOKUP(J92,'G-3 Multipliers'!$L$3:$N$6,3,FALSE)))</f>
        <v/>
      </c>
      <c r="M92" s="506" t="str">
        <f>IF(D92="","",VLOOKUP(D92,'G-6 Hedgerow Data'!$B$1:$AH$15,33,FALSE))</f>
        <v/>
      </c>
      <c r="N92" s="513" t="str">
        <f t="shared" si="9"/>
        <v/>
      </c>
      <c r="O92" s="40"/>
      <c r="P92" s="154"/>
      <c r="Q92" s="203"/>
      <c r="R92" s="532" t="str">
        <f t="shared" si="10"/>
        <v/>
      </c>
      <c r="S92" s="532" t="str">
        <f t="shared" si="11"/>
        <v/>
      </c>
      <c r="T92" s="532" t="str">
        <f t="shared" si="12"/>
        <v/>
      </c>
      <c r="U92" s="557" t="str">
        <f t="shared" si="13"/>
        <v/>
      </c>
      <c r="V92" s="151"/>
      <c r="W92" s="152"/>
      <c r="AE92" s="156" t="str">
        <f t="shared" si="7"/>
        <v/>
      </c>
      <c r="AF92" s="156" t="str">
        <f t="shared" si="8"/>
        <v/>
      </c>
      <c r="AH92" s="156">
        <v>83</v>
      </c>
      <c r="AJ92" s="156" t="str">
        <f t="array" ref="AJ92">IFERROR(INDEX($AH$10:$AH$258, MATCH(0, IF(TRUE=$AE$10:$AE$258, COUNTIF($AJ$9:$AJ91, $AH$10:$AH$258), ""), 0)),"")</f>
        <v/>
      </c>
      <c r="AK92" s="156" t="str">
        <f t="array" ref="AK92">IFERROR(INDEX($AH$10:$AH$258, MATCH(0, IF(TRUE=$AF$10:$AF$258, COUNTIF($AK$9:$AK91, $AH$10:$AH$258), ""), 0)),"")</f>
        <v/>
      </c>
      <c r="AL92" s="31" t="str">
        <f>IFERROR(INDEX('G-6 Hedgerow Data'!$BJ$3:$BJ$15,MATCH(D92,'G-6 Hedgerow Data'!$B$3:$B$15,0)),"")</f>
        <v/>
      </c>
    </row>
    <row r="93" spans="2:38" ht="14" x14ac:dyDescent="0.3">
      <c r="B93" s="141">
        <v>84</v>
      </c>
      <c r="C93" s="203"/>
      <c r="D93" s="203"/>
      <c r="E93" s="153"/>
      <c r="F93" s="553" t="str">
        <f>IF(D93="","",VLOOKUP(D93,'G-6 Hedgerow Data'!$B$2:$AG$15,2,FALSE))</f>
        <v/>
      </c>
      <c r="G93" s="499" t="str">
        <f>IF(D93="","",VLOOKUP(D93,'G-6 Hedgerow Data'!$B$2:$AG$15,3,FALSE))</f>
        <v/>
      </c>
      <c r="H93" s="145"/>
      <c r="I93" s="499" t="str">
        <f>IFERROR(VLOOKUP(H93,'G-1 All Habitats'!$Z$2:$AA$9,2,FALSE),"")</f>
        <v/>
      </c>
      <c r="J93" s="145"/>
      <c r="K93" s="507" t="str">
        <f>IF(J93="","",IF(VLOOKUP(J93,'G-3 Multipliers'!$L$3:$N$6,2,FALSE)=0,"Spatial Data Missing",VLOOKUP(J93,'G-3 Multipliers'!$L$3:$N$6,2,FALSE)))</f>
        <v/>
      </c>
      <c r="L93" s="505" t="str">
        <f>IF(J93="","",IF(VLOOKUP(J93,'G-3 Multipliers'!$L$3:$N$6,3,FALSE)=0,"Spatial Data Missing ⚠",VLOOKUP(J93,'G-3 Multipliers'!$L$3:$N$6,3,FALSE)))</f>
        <v/>
      </c>
      <c r="M93" s="506" t="str">
        <f>IF(D93="","",VLOOKUP(D93,'G-6 Hedgerow Data'!$B$1:$AH$15,33,FALSE))</f>
        <v/>
      </c>
      <c r="N93" s="513" t="str">
        <f t="shared" si="9"/>
        <v/>
      </c>
      <c r="O93" s="40"/>
      <c r="P93" s="154"/>
      <c r="Q93" s="203"/>
      <c r="R93" s="532" t="str">
        <f t="shared" si="10"/>
        <v/>
      </c>
      <c r="S93" s="532" t="str">
        <f t="shared" si="11"/>
        <v/>
      </c>
      <c r="T93" s="532" t="str">
        <f t="shared" si="12"/>
        <v/>
      </c>
      <c r="U93" s="557" t="str">
        <f t="shared" si="13"/>
        <v/>
      </c>
      <c r="V93" s="151"/>
      <c r="W93" s="152"/>
      <c r="AE93" s="156" t="str">
        <f t="shared" si="7"/>
        <v/>
      </c>
      <c r="AF93" s="156" t="str">
        <f t="shared" si="8"/>
        <v/>
      </c>
      <c r="AH93" s="156">
        <v>84</v>
      </c>
      <c r="AJ93" s="156" t="str">
        <f t="array" ref="AJ93">IFERROR(INDEX($AH$10:$AH$258, MATCH(0, IF(TRUE=$AE$10:$AE$258, COUNTIF($AJ$9:$AJ92, $AH$10:$AH$258), ""), 0)),"")</f>
        <v/>
      </c>
      <c r="AK93" s="156" t="str">
        <f t="array" ref="AK93">IFERROR(INDEX($AH$10:$AH$258, MATCH(0, IF(TRUE=$AF$10:$AF$258, COUNTIF($AK$9:$AK92, $AH$10:$AH$258), ""), 0)),"")</f>
        <v/>
      </c>
      <c r="AL93" s="31" t="str">
        <f>IFERROR(INDEX('G-6 Hedgerow Data'!$BJ$3:$BJ$15,MATCH(D93,'G-6 Hedgerow Data'!$B$3:$B$15,0)),"")</f>
        <v/>
      </c>
    </row>
    <row r="94" spans="2:38" ht="14" x14ac:dyDescent="0.3">
      <c r="B94" s="141">
        <v>85</v>
      </c>
      <c r="C94" s="203"/>
      <c r="D94" s="203"/>
      <c r="E94" s="153"/>
      <c r="F94" s="553" t="str">
        <f>IF(D94="","",VLOOKUP(D94,'G-6 Hedgerow Data'!$B$2:$AG$15,2,FALSE))</f>
        <v/>
      </c>
      <c r="G94" s="499" t="str">
        <f>IF(D94="","",VLOOKUP(D94,'G-6 Hedgerow Data'!$B$2:$AG$15,3,FALSE))</f>
        <v/>
      </c>
      <c r="H94" s="145"/>
      <c r="I94" s="499" t="str">
        <f>IFERROR(VLOOKUP(H94,'G-1 All Habitats'!$Z$2:$AA$9,2,FALSE),"")</f>
        <v/>
      </c>
      <c r="J94" s="145"/>
      <c r="K94" s="507" t="str">
        <f>IF(J94="","",IF(VLOOKUP(J94,'G-3 Multipliers'!$L$3:$N$6,2,FALSE)=0,"Spatial Data Missing",VLOOKUP(J94,'G-3 Multipliers'!$L$3:$N$6,2,FALSE)))</f>
        <v/>
      </c>
      <c r="L94" s="505" t="str">
        <f>IF(J94="","",IF(VLOOKUP(J94,'G-3 Multipliers'!$L$3:$N$6,3,FALSE)=0,"Spatial Data Missing ⚠",VLOOKUP(J94,'G-3 Multipliers'!$L$3:$N$6,3,FALSE)))</f>
        <v/>
      </c>
      <c r="M94" s="506" t="str">
        <f>IF(D94="","",VLOOKUP(D94,'G-6 Hedgerow Data'!$B$1:$AH$15,33,FALSE))</f>
        <v/>
      </c>
      <c r="N94" s="513" t="str">
        <f t="shared" si="9"/>
        <v/>
      </c>
      <c r="O94" s="40"/>
      <c r="P94" s="154"/>
      <c r="Q94" s="203"/>
      <c r="R94" s="532" t="str">
        <f t="shared" si="10"/>
        <v/>
      </c>
      <c r="S94" s="532" t="str">
        <f t="shared" si="11"/>
        <v/>
      </c>
      <c r="T94" s="532" t="str">
        <f t="shared" si="12"/>
        <v/>
      </c>
      <c r="U94" s="557" t="str">
        <f t="shared" si="13"/>
        <v/>
      </c>
      <c r="V94" s="151"/>
      <c r="W94" s="152"/>
      <c r="AE94" s="156" t="str">
        <f t="shared" si="7"/>
        <v/>
      </c>
      <c r="AF94" s="156" t="str">
        <f t="shared" si="8"/>
        <v/>
      </c>
      <c r="AH94" s="156">
        <v>85</v>
      </c>
      <c r="AJ94" s="156" t="str">
        <f t="array" ref="AJ94">IFERROR(INDEX($AH$10:$AH$258, MATCH(0, IF(TRUE=$AE$10:$AE$258, COUNTIF($AJ$9:$AJ93, $AH$10:$AH$258), ""), 0)),"")</f>
        <v/>
      </c>
      <c r="AK94" s="156" t="str">
        <f t="array" ref="AK94">IFERROR(INDEX($AH$10:$AH$258, MATCH(0, IF(TRUE=$AF$10:$AF$258, COUNTIF($AK$9:$AK93, $AH$10:$AH$258), ""), 0)),"")</f>
        <v/>
      </c>
      <c r="AL94" s="31" t="str">
        <f>IFERROR(INDEX('G-6 Hedgerow Data'!$BJ$3:$BJ$15,MATCH(D94,'G-6 Hedgerow Data'!$B$3:$B$15,0)),"")</f>
        <v/>
      </c>
    </row>
    <row r="95" spans="2:38" ht="14" x14ac:dyDescent="0.3">
      <c r="B95" s="141">
        <v>86</v>
      </c>
      <c r="C95" s="203"/>
      <c r="D95" s="203"/>
      <c r="E95" s="153"/>
      <c r="F95" s="553" t="str">
        <f>IF(D95="","",VLOOKUP(D95,'G-6 Hedgerow Data'!$B$2:$AG$15,2,FALSE))</f>
        <v/>
      </c>
      <c r="G95" s="499" t="str">
        <f>IF(D95="","",VLOOKUP(D95,'G-6 Hedgerow Data'!$B$2:$AG$15,3,FALSE))</f>
        <v/>
      </c>
      <c r="H95" s="145"/>
      <c r="I95" s="499" t="str">
        <f>IFERROR(VLOOKUP(H95,'G-1 All Habitats'!$Z$2:$AA$9,2,FALSE),"")</f>
        <v/>
      </c>
      <c r="J95" s="145"/>
      <c r="K95" s="507" t="str">
        <f>IF(J95="","",IF(VLOOKUP(J95,'G-3 Multipliers'!$L$3:$N$6,2,FALSE)=0,"Spatial Data Missing",VLOOKUP(J95,'G-3 Multipliers'!$L$3:$N$6,2,FALSE)))</f>
        <v/>
      </c>
      <c r="L95" s="505" t="str">
        <f>IF(J95="","",IF(VLOOKUP(J95,'G-3 Multipliers'!$L$3:$N$6,3,FALSE)=0,"Spatial Data Missing ⚠",VLOOKUP(J95,'G-3 Multipliers'!$L$3:$N$6,3,FALSE)))</f>
        <v/>
      </c>
      <c r="M95" s="506" t="str">
        <f>IF(D95="","",VLOOKUP(D95,'G-6 Hedgerow Data'!$B$1:$AH$15,33,FALSE))</f>
        <v/>
      </c>
      <c r="N95" s="513" t="str">
        <f t="shared" si="9"/>
        <v/>
      </c>
      <c r="O95" s="40"/>
      <c r="P95" s="154"/>
      <c r="Q95" s="203"/>
      <c r="R95" s="532" t="str">
        <f t="shared" si="10"/>
        <v/>
      </c>
      <c r="S95" s="532" t="str">
        <f t="shared" si="11"/>
        <v/>
      </c>
      <c r="T95" s="532" t="str">
        <f t="shared" si="12"/>
        <v/>
      </c>
      <c r="U95" s="557" t="str">
        <f t="shared" si="13"/>
        <v/>
      </c>
      <c r="V95" s="151"/>
      <c r="W95" s="152"/>
      <c r="AE95" s="156" t="str">
        <f t="shared" si="7"/>
        <v/>
      </c>
      <c r="AF95" s="156" t="str">
        <f t="shared" si="8"/>
        <v/>
      </c>
      <c r="AH95" s="156">
        <v>86</v>
      </c>
      <c r="AJ95" s="156" t="str">
        <f t="array" ref="AJ95">IFERROR(INDEX($AH$10:$AH$258, MATCH(0, IF(TRUE=$AE$10:$AE$258, COUNTIF($AJ$9:$AJ94, $AH$10:$AH$258), ""), 0)),"")</f>
        <v/>
      </c>
      <c r="AK95" s="156" t="str">
        <f t="array" ref="AK95">IFERROR(INDEX($AH$10:$AH$258, MATCH(0, IF(TRUE=$AF$10:$AF$258, COUNTIF($AK$9:$AK94, $AH$10:$AH$258), ""), 0)),"")</f>
        <v/>
      </c>
      <c r="AL95" s="31" t="str">
        <f>IFERROR(INDEX('G-6 Hedgerow Data'!$BJ$3:$BJ$15,MATCH(D95,'G-6 Hedgerow Data'!$B$3:$B$15,0)),"")</f>
        <v/>
      </c>
    </row>
    <row r="96" spans="2:38" ht="14" x14ac:dyDescent="0.3">
      <c r="B96" s="141">
        <v>87</v>
      </c>
      <c r="C96" s="203"/>
      <c r="D96" s="203"/>
      <c r="E96" s="153"/>
      <c r="F96" s="553" t="str">
        <f>IF(D96="","",VLOOKUP(D96,'G-6 Hedgerow Data'!$B$2:$AG$15,2,FALSE))</f>
        <v/>
      </c>
      <c r="G96" s="499" t="str">
        <f>IF(D96="","",VLOOKUP(D96,'G-6 Hedgerow Data'!$B$2:$AG$15,3,FALSE))</f>
        <v/>
      </c>
      <c r="H96" s="145"/>
      <c r="I96" s="499" t="str">
        <f>IFERROR(VLOOKUP(H96,'G-1 All Habitats'!$Z$2:$AA$9,2,FALSE),"")</f>
        <v/>
      </c>
      <c r="J96" s="145"/>
      <c r="K96" s="507" t="str">
        <f>IF(J96="","",IF(VLOOKUP(J96,'G-3 Multipliers'!$L$3:$N$6,2,FALSE)=0,"Spatial Data Missing",VLOOKUP(J96,'G-3 Multipliers'!$L$3:$N$6,2,FALSE)))</f>
        <v/>
      </c>
      <c r="L96" s="505" t="str">
        <f>IF(J96="","",IF(VLOOKUP(J96,'G-3 Multipliers'!$L$3:$N$6,3,FALSE)=0,"Spatial Data Missing ⚠",VLOOKUP(J96,'G-3 Multipliers'!$L$3:$N$6,3,FALSE)))</f>
        <v/>
      </c>
      <c r="M96" s="506" t="str">
        <f>IF(D96="","",VLOOKUP(D96,'G-6 Hedgerow Data'!$B$1:$AH$15,33,FALSE))</f>
        <v/>
      </c>
      <c r="N96" s="513" t="str">
        <f t="shared" si="9"/>
        <v/>
      </c>
      <c r="O96" s="40"/>
      <c r="P96" s="154"/>
      <c r="Q96" s="203"/>
      <c r="R96" s="532" t="str">
        <f t="shared" si="10"/>
        <v/>
      </c>
      <c r="S96" s="532" t="str">
        <f t="shared" si="11"/>
        <v/>
      </c>
      <c r="T96" s="532" t="str">
        <f t="shared" si="12"/>
        <v/>
      </c>
      <c r="U96" s="557" t="str">
        <f t="shared" si="13"/>
        <v/>
      </c>
      <c r="V96" s="151"/>
      <c r="W96" s="152"/>
      <c r="AE96" s="156" t="str">
        <f t="shared" si="7"/>
        <v/>
      </c>
      <c r="AF96" s="156" t="str">
        <f t="shared" si="8"/>
        <v/>
      </c>
      <c r="AH96" s="156">
        <v>87</v>
      </c>
      <c r="AJ96" s="156" t="str">
        <f t="array" ref="AJ96">IFERROR(INDEX($AH$10:$AH$258, MATCH(0, IF(TRUE=$AE$10:$AE$258, COUNTIF($AJ$9:$AJ95, $AH$10:$AH$258), ""), 0)),"")</f>
        <v/>
      </c>
      <c r="AK96" s="156" t="str">
        <f t="array" ref="AK96">IFERROR(INDEX($AH$10:$AH$258, MATCH(0, IF(TRUE=$AF$10:$AF$258, COUNTIF($AK$9:$AK95, $AH$10:$AH$258), ""), 0)),"")</f>
        <v/>
      </c>
      <c r="AL96" s="31" t="str">
        <f>IFERROR(INDEX('G-6 Hedgerow Data'!$BJ$3:$BJ$15,MATCH(D96,'G-6 Hedgerow Data'!$B$3:$B$15,0)),"")</f>
        <v/>
      </c>
    </row>
    <row r="97" spans="2:38" ht="14" x14ac:dyDescent="0.3">
      <c r="B97" s="141">
        <v>88</v>
      </c>
      <c r="C97" s="203"/>
      <c r="D97" s="203"/>
      <c r="E97" s="153"/>
      <c r="F97" s="553" t="str">
        <f>IF(D97="","",VLOOKUP(D97,'G-6 Hedgerow Data'!$B$2:$AG$15,2,FALSE))</f>
        <v/>
      </c>
      <c r="G97" s="499" t="str">
        <f>IF(D97="","",VLOOKUP(D97,'G-6 Hedgerow Data'!$B$2:$AG$15,3,FALSE))</f>
        <v/>
      </c>
      <c r="H97" s="145"/>
      <c r="I97" s="499" t="str">
        <f>IFERROR(VLOOKUP(H97,'G-1 All Habitats'!$Z$2:$AA$9,2,FALSE),"")</f>
        <v/>
      </c>
      <c r="J97" s="145"/>
      <c r="K97" s="507" t="str">
        <f>IF(J97="","",IF(VLOOKUP(J97,'G-3 Multipliers'!$L$3:$N$6,2,FALSE)=0,"Spatial Data Missing",VLOOKUP(J97,'G-3 Multipliers'!$L$3:$N$6,2,FALSE)))</f>
        <v/>
      </c>
      <c r="L97" s="505" t="str">
        <f>IF(J97="","",IF(VLOOKUP(J97,'G-3 Multipliers'!$L$3:$N$6,3,FALSE)=0,"Spatial Data Missing ⚠",VLOOKUP(J97,'G-3 Multipliers'!$L$3:$N$6,3,FALSE)))</f>
        <v/>
      </c>
      <c r="M97" s="506" t="str">
        <f>IF(D97="","",VLOOKUP(D97,'G-6 Hedgerow Data'!$B$1:$AH$15,33,FALSE))</f>
        <v/>
      </c>
      <c r="N97" s="513" t="str">
        <f t="shared" si="9"/>
        <v/>
      </c>
      <c r="O97" s="40"/>
      <c r="P97" s="154"/>
      <c r="Q97" s="203"/>
      <c r="R97" s="532" t="str">
        <f t="shared" si="10"/>
        <v/>
      </c>
      <c r="S97" s="532" t="str">
        <f t="shared" si="11"/>
        <v/>
      </c>
      <c r="T97" s="532" t="str">
        <f t="shared" si="12"/>
        <v/>
      </c>
      <c r="U97" s="557" t="str">
        <f t="shared" si="13"/>
        <v/>
      </c>
      <c r="V97" s="151"/>
      <c r="W97" s="152"/>
      <c r="AE97" s="156" t="str">
        <f t="shared" si="7"/>
        <v/>
      </c>
      <c r="AF97" s="156" t="str">
        <f t="shared" si="8"/>
        <v/>
      </c>
      <c r="AH97" s="156">
        <v>88</v>
      </c>
      <c r="AJ97" s="156" t="str">
        <f t="array" ref="AJ97">IFERROR(INDEX($AH$10:$AH$258, MATCH(0, IF(TRUE=$AE$10:$AE$258, COUNTIF($AJ$9:$AJ96, $AH$10:$AH$258), ""), 0)),"")</f>
        <v/>
      </c>
      <c r="AK97" s="156" t="str">
        <f t="array" ref="AK97">IFERROR(INDEX($AH$10:$AH$258, MATCH(0, IF(TRUE=$AF$10:$AF$258, COUNTIF($AK$9:$AK96, $AH$10:$AH$258), ""), 0)),"")</f>
        <v/>
      </c>
      <c r="AL97" s="31" t="str">
        <f>IFERROR(INDEX('G-6 Hedgerow Data'!$BJ$3:$BJ$15,MATCH(D97,'G-6 Hedgerow Data'!$B$3:$B$15,0)),"")</f>
        <v/>
      </c>
    </row>
    <row r="98" spans="2:38" ht="14" x14ac:dyDescent="0.3">
      <c r="B98" s="141">
        <v>89</v>
      </c>
      <c r="C98" s="203"/>
      <c r="D98" s="203"/>
      <c r="E98" s="153"/>
      <c r="F98" s="553" t="str">
        <f>IF(D98="","",VLOOKUP(D98,'G-6 Hedgerow Data'!$B$2:$AG$15,2,FALSE))</f>
        <v/>
      </c>
      <c r="G98" s="499" t="str">
        <f>IF(D98="","",VLOOKUP(D98,'G-6 Hedgerow Data'!$B$2:$AG$15,3,FALSE))</f>
        <v/>
      </c>
      <c r="H98" s="145"/>
      <c r="I98" s="499" t="str">
        <f>IFERROR(VLOOKUP(H98,'G-1 All Habitats'!$Z$2:$AA$9,2,FALSE),"")</f>
        <v/>
      </c>
      <c r="J98" s="145"/>
      <c r="K98" s="507" t="str">
        <f>IF(J98="","",IF(VLOOKUP(J98,'G-3 Multipliers'!$L$3:$N$6,2,FALSE)=0,"Spatial Data Missing",VLOOKUP(J98,'G-3 Multipliers'!$L$3:$N$6,2,FALSE)))</f>
        <v/>
      </c>
      <c r="L98" s="505" t="str">
        <f>IF(J98="","",IF(VLOOKUP(J98,'G-3 Multipliers'!$L$3:$N$6,3,FALSE)=0,"Spatial Data Missing ⚠",VLOOKUP(J98,'G-3 Multipliers'!$L$3:$N$6,3,FALSE)))</f>
        <v/>
      </c>
      <c r="M98" s="506" t="str">
        <f>IF(D98="","",VLOOKUP(D98,'G-6 Hedgerow Data'!$B$1:$AH$15,33,FALSE))</f>
        <v/>
      </c>
      <c r="N98" s="513" t="str">
        <f t="shared" si="9"/>
        <v/>
      </c>
      <c r="O98" s="40"/>
      <c r="P98" s="154"/>
      <c r="Q98" s="203"/>
      <c r="R98" s="532" t="str">
        <f t="shared" si="10"/>
        <v/>
      </c>
      <c r="S98" s="532" t="str">
        <f t="shared" si="11"/>
        <v/>
      </c>
      <c r="T98" s="532" t="str">
        <f t="shared" si="12"/>
        <v/>
      </c>
      <c r="U98" s="557" t="str">
        <f t="shared" si="13"/>
        <v/>
      </c>
      <c r="V98" s="151"/>
      <c r="W98" s="152"/>
      <c r="AE98" s="156" t="str">
        <f t="shared" si="7"/>
        <v/>
      </c>
      <c r="AF98" s="156" t="str">
        <f t="shared" si="8"/>
        <v/>
      </c>
      <c r="AH98" s="156">
        <v>89</v>
      </c>
      <c r="AJ98" s="156" t="str">
        <f t="array" ref="AJ98">IFERROR(INDEX($AH$10:$AH$258, MATCH(0, IF(TRUE=$AE$10:$AE$258, COUNTIF($AJ$9:$AJ97, $AH$10:$AH$258), ""), 0)),"")</f>
        <v/>
      </c>
      <c r="AK98" s="156" t="str">
        <f t="array" ref="AK98">IFERROR(INDEX($AH$10:$AH$258, MATCH(0, IF(TRUE=$AF$10:$AF$258, COUNTIF($AK$9:$AK97, $AH$10:$AH$258), ""), 0)),"")</f>
        <v/>
      </c>
      <c r="AL98" s="31" t="str">
        <f>IFERROR(INDEX('G-6 Hedgerow Data'!$BJ$3:$BJ$15,MATCH(D98,'G-6 Hedgerow Data'!$B$3:$B$15,0)),"")</f>
        <v/>
      </c>
    </row>
    <row r="99" spans="2:38" ht="14" x14ac:dyDescent="0.3">
      <c r="B99" s="141">
        <v>90</v>
      </c>
      <c r="C99" s="203"/>
      <c r="D99" s="203"/>
      <c r="E99" s="153"/>
      <c r="F99" s="553" t="str">
        <f>IF(D99="","",VLOOKUP(D99,'G-6 Hedgerow Data'!$B$2:$AG$15,2,FALSE))</f>
        <v/>
      </c>
      <c r="G99" s="499" t="str">
        <f>IF(D99="","",VLOOKUP(D99,'G-6 Hedgerow Data'!$B$2:$AG$15,3,FALSE))</f>
        <v/>
      </c>
      <c r="H99" s="145"/>
      <c r="I99" s="499" t="str">
        <f>IFERROR(VLOOKUP(H99,'G-1 All Habitats'!$Z$2:$AA$9,2,FALSE),"")</f>
        <v/>
      </c>
      <c r="J99" s="145"/>
      <c r="K99" s="507" t="str">
        <f>IF(J99="","",IF(VLOOKUP(J99,'G-3 Multipliers'!$L$3:$N$6,2,FALSE)=0,"Spatial Data Missing",VLOOKUP(J99,'G-3 Multipliers'!$L$3:$N$6,2,FALSE)))</f>
        <v/>
      </c>
      <c r="L99" s="505" t="str">
        <f>IF(J99="","",IF(VLOOKUP(J99,'G-3 Multipliers'!$L$3:$N$6,3,FALSE)=0,"Spatial Data Missing ⚠",VLOOKUP(J99,'G-3 Multipliers'!$L$3:$N$6,3,FALSE)))</f>
        <v/>
      </c>
      <c r="M99" s="506" t="str">
        <f>IF(D99="","",VLOOKUP(D99,'G-6 Hedgerow Data'!$B$1:$AH$15,33,FALSE))</f>
        <v/>
      </c>
      <c r="N99" s="513" t="str">
        <f t="shared" si="9"/>
        <v/>
      </c>
      <c r="O99" s="40"/>
      <c r="P99" s="154"/>
      <c r="Q99" s="203"/>
      <c r="R99" s="532" t="str">
        <f t="shared" si="10"/>
        <v/>
      </c>
      <c r="S99" s="532" t="str">
        <f t="shared" si="11"/>
        <v/>
      </c>
      <c r="T99" s="532" t="str">
        <f t="shared" si="12"/>
        <v/>
      </c>
      <c r="U99" s="557" t="str">
        <f t="shared" si="13"/>
        <v/>
      </c>
      <c r="V99" s="151"/>
      <c r="W99" s="152"/>
      <c r="AE99" s="156" t="str">
        <f t="shared" si="7"/>
        <v/>
      </c>
      <c r="AF99" s="156" t="str">
        <f t="shared" si="8"/>
        <v/>
      </c>
      <c r="AH99" s="156">
        <v>90</v>
      </c>
      <c r="AJ99" s="156" t="str">
        <f t="array" ref="AJ99">IFERROR(INDEX($AH$10:$AH$258, MATCH(0, IF(TRUE=$AE$10:$AE$258, COUNTIF($AJ$9:$AJ98, $AH$10:$AH$258), ""), 0)),"")</f>
        <v/>
      </c>
      <c r="AK99" s="156" t="str">
        <f t="array" ref="AK99">IFERROR(INDEX($AH$10:$AH$258, MATCH(0, IF(TRUE=$AF$10:$AF$258, COUNTIF($AK$9:$AK98, $AH$10:$AH$258), ""), 0)),"")</f>
        <v/>
      </c>
      <c r="AL99" s="31" t="str">
        <f>IFERROR(INDEX('G-6 Hedgerow Data'!$BJ$3:$BJ$15,MATCH(D99,'G-6 Hedgerow Data'!$B$3:$B$15,0)),"")</f>
        <v/>
      </c>
    </row>
    <row r="100" spans="2:38" ht="14" x14ac:dyDescent="0.3">
      <c r="B100" s="141">
        <v>91</v>
      </c>
      <c r="C100" s="203"/>
      <c r="D100" s="203"/>
      <c r="E100" s="153"/>
      <c r="F100" s="553" t="str">
        <f>IF(D100="","",VLOOKUP(D100,'G-6 Hedgerow Data'!$B$2:$AG$15,2,FALSE))</f>
        <v/>
      </c>
      <c r="G100" s="499" t="str">
        <f>IF(D100="","",VLOOKUP(D100,'G-6 Hedgerow Data'!$B$2:$AG$15,3,FALSE))</f>
        <v/>
      </c>
      <c r="H100" s="145"/>
      <c r="I100" s="499" t="str">
        <f>IFERROR(VLOOKUP(H100,'G-1 All Habitats'!$Z$2:$AA$9,2,FALSE),"")</f>
        <v/>
      </c>
      <c r="J100" s="145"/>
      <c r="K100" s="507" t="str">
        <f>IF(J100="","",IF(VLOOKUP(J100,'G-3 Multipliers'!$L$3:$N$6,2,FALSE)=0,"Spatial Data Missing",VLOOKUP(J100,'G-3 Multipliers'!$L$3:$N$6,2,FALSE)))</f>
        <v/>
      </c>
      <c r="L100" s="505" t="str">
        <f>IF(J100="","",IF(VLOOKUP(J100,'G-3 Multipliers'!$L$3:$N$6,3,FALSE)=0,"Spatial Data Missing ⚠",VLOOKUP(J100,'G-3 Multipliers'!$L$3:$N$6,3,FALSE)))</f>
        <v/>
      </c>
      <c r="M100" s="506" t="str">
        <f>IF(D100="","",VLOOKUP(D100,'G-6 Hedgerow Data'!$B$1:$AH$15,33,FALSE))</f>
        <v/>
      </c>
      <c r="N100" s="513" t="str">
        <f t="shared" si="9"/>
        <v/>
      </c>
      <c r="O100" s="40"/>
      <c r="P100" s="154"/>
      <c r="Q100" s="203"/>
      <c r="R100" s="532" t="str">
        <f t="shared" si="10"/>
        <v/>
      </c>
      <c r="S100" s="532" t="str">
        <f t="shared" si="11"/>
        <v/>
      </c>
      <c r="T100" s="532" t="str">
        <f t="shared" si="12"/>
        <v/>
      </c>
      <c r="U100" s="557" t="str">
        <f t="shared" si="13"/>
        <v/>
      </c>
      <c r="V100" s="151"/>
      <c r="W100" s="152"/>
      <c r="AE100" s="156" t="str">
        <f t="shared" si="7"/>
        <v/>
      </c>
      <c r="AF100" s="156" t="str">
        <f t="shared" si="8"/>
        <v/>
      </c>
      <c r="AH100" s="156">
        <v>91</v>
      </c>
      <c r="AJ100" s="156" t="str">
        <f t="array" ref="AJ100">IFERROR(INDEX($AH$10:$AH$258, MATCH(0, IF(TRUE=$AE$10:$AE$258, COUNTIF($AJ$9:$AJ99, $AH$10:$AH$258), ""), 0)),"")</f>
        <v/>
      </c>
      <c r="AK100" s="156" t="str">
        <f t="array" ref="AK100">IFERROR(INDEX($AH$10:$AH$258, MATCH(0, IF(TRUE=$AF$10:$AF$258, COUNTIF($AK$9:$AK99, $AH$10:$AH$258), ""), 0)),"")</f>
        <v/>
      </c>
      <c r="AL100" s="31" t="str">
        <f>IFERROR(INDEX('G-6 Hedgerow Data'!$BJ$3:$BJ$15,MATCH(D100,'G-6 Hedgerow Data'!$B$3:$B$15,0)),"")</f>
        <v/>
      </c>
    </row>
    <row r="101" spans="2:38" ht="14" x14ac:dyDescent="0.3">
      <c r="B101" s="141">
        <v>92</v>
      </c>
      <c r="C101" s="203"/>
      <c r="D101" s="203"/>
      <c r="E101" s="153"/>
      <c r="F101" s="553" t="str">
        <f>IF(D101="","",VLOOKUP(D101,'G-6 Hedgerow Data'!$B$2:$AG$15,2,FALSE))</f>
        <v/>
      </c>
      <c r="G101" s="499" t="str">
        <f>IF(D101="","",VLOOKUP(D101,'G-6 Hedgerow Data'!$B$2:$AG$15,3,FALSE))</f>
        <v/>
      </c>
      <c r="H101" s="145"/>
      <c r="I101" s="499" t="str">
        <f>IFERROR(VLOOKUP(H101,'G-1 All Habitats'!$Z$2:$AA$9,2,FALSE),"")</f>
        <v/>
      </c>
      <c r="J101" s="145"/>
      <c r="K101" s="507" t="str">
        <f>IF(J101="","",IF(VLOOKUP(J101,'G-3 Multipliers'!$L$3:$N$6,2,FALSE)=0,"Spatial Data Missing",VLOOKUP(J101,'G-3 Multipliers'!$L$3:$N$6,2,FALSE)))</f>
        <v/>
      </c>
      <c r="L101" s="505" t="str">
        <f>IF(J101="","",IF(VLOOKUP(J101,'G-3 Multipliers'!$L$3:$N$6,3,FALSE)=0,"Spatial Data Missing ⚠",VLOOKUP(J101,'G-3 Multipliers'!$L$3:$N$6,3,FALSE)))</f>
        <v/>
      </c>
      <c r="M101" s="506" t="str">
        <f>IF(D101="","",VLOOKUP(D101,'G-6 Hedgerow Data'!$B$1:$AH$15,33,FALSE))</f>
        <v/>
      </c>
      <c r="N101" s="513" t="str">
        <f t="shared" si="9"/>
        <v/>
      </c>
      <c r="O101" s="40"/>
      <c r="P101" s="154"/>
      <c r="Q101" s="203"/>
      <c r="R101" s="532" t="str">
        <f t="shared" si="10"/>
        <v/>
      </c>
      <c r="S101" s="532" t="str">
        <f t="shared" si="11"/>
        <v/>
      </c>
      <c r="T101" s="532" t="str">
        <f t="shared" si="12"/>
        <v/>
      </c>
      <c r="U101" s="557" t="str">
        <f t="shared" si="13"/>
        <v/>
      </c>
      <c r="V101" s="151"/>
      <c r="W101" s="152"/>
      <c r="AE101" s="156" t="str">
        <f t="shared" si="7"/>
        <v/>
      </c>
      <c r="AF101" s="156" t="str">
        <f t="shared" si="8"/>
        <v/>
      </c>
      <c r="AH101" s="156">
        <v>92</v>
      </c>
      <c r="AJ101" s="156" t="str">
        <f t="array" ref="AJ101">IFERROR(INDEX($AH$10:$AH$258, MATCH(0, IF(TRUE=$AE$10:$AE$258, COUNTIF($AJ$9:$AJ100, $AH$10:$AH$258), ""), 0)),"")</f>
        <v/>
      </c>
      <c r="AK101" s="156" t="str">
        <f t="array" ref="AK101">IFERROR(INDEX($AH$10:$AH$258, MATCH(0, IF(TRUE=$AF$10:$AF$258, COUNTIF($AK$9:$AK100, $AH$10:$AH$258), ""), 0)),"")</f>
        <v/>
      </c>
      <c r="AL101" s="31" t="str">
        <f>IFERROR(INDEX('G-6 Hedgerow Data'!$BJ$3:$BJ$15,MATCH(D101,'G-6 Hedgerow Data'!$B$3:$B$15,0)),"")</f>
        <v/>
      </c>
    </row>
    <row r="102" spans="2:38" ht="14" x14ac:dyDescent="0.3">
      <c r="B102" s="141">
        <v>93</v>
      </c>
      <c r="C102" s="203"/>
      <c r="D102" s="203"/>
      <c r="E102" s="153"/>
      <c r="F102" s="553" t="str">
        <f>IF(D102="","",VLOOKUP(D102,'G-6 Hedgerow Data'!$B$2:$AG$15,2,FALSE))</f>
        <v/>
      </c>
      <c r="G102" s="499" t="str">
        <f>IF(D102="","",VLOOKUP(D102,'G-6 Hedgerow Data'!$B$2:$AG$15,3,FALSE))</f>
        <v/>
      </c>
      <c r="H102" s="145"/>
      <c r="I102" s="499" t="str">
        <f>IFERROR(VLOOKUP(H102,'G-1 All Habitats'!$Z$2:$AA$9,2,FALSE),"")</f>
        <v/>
      </c>
      <c r="J102" s="145"/>
      <c r="K102" s="507" t="str">
        <f>IF(J102="","",IF(VLOOKUP(J102,'G-3 Multipliers'!$L$3:$N$6,2,FALSE)=0,"Spatial Data Missing",VLOOKUP(J102,'G-3 Multipliers'!$L$3:$N$6,2,FALSE)))</f>
        <v/>
      </c>
      <c r="L102" s="505" t="str">
        <f>IF(J102="","",IF(VLOOKUP(J102,'G-3 Multipliers'!$L$3:$N$6,3,FALSE)=0,"Spatial Data Missing ⚠",VLOOKUP(J102,'G-3 Multipliers'!$L$3:$N$6,3,FALSE)))</f>
        <v/>
      </c>
      <c r="M102" s="506" t="str">
        <f>IF(D102="","",VLOOKUP(D102,'G-6 Hedgerow Data'!$B$1:$AH$15,33,FALSE))</f>
        <v/>
      </c>
      <c r="N102" s="513" t="str">
        <f t="shared" si="9"/>
        <v/>
      </c>
      <c r="O102" s="40"/>
      <c r="P102" s="154"/>
      <c r="Q102" s="203"/>
      <c r="R102" s="532" t="str">
        <f t="shared" si="10"/>
        <v/>
      </c>
      <c r="S102" s="532" t="str">
        <f t="shared" si="11"/>
        <v/>
      </c>
      <c r="T102" s="532" t="str">
        <f t="shared" si="12"/>
        <v/>
      </c>
      <c r="U102" s="557" t="str">
        <f t="shared" si="13"/>
        <v/>
      </c>
      <c r="V102" s="151"/>
      <c r="W102" s="152"/>
      <c r="AE102" s="156" t="str">
        <f t="shared" si="7"/>
        <v/>
      </c>
      <c r="AF102" s="156" t="str">
        <f t="shared" si="8"/>
        <v/>
      </c>
      <c r="AH102" s="156">
        <v>93</v>
      </c>
      <c r="AJ102" s="156" t="str">
        <f t="array" ref="AJ102">IFERROR(INDEX($AH$10:$AH$258, MATCH(0, IF(TRUE=$AE$10:$AE$258, COUNTIF($AJ$9:$AJ101, $AH$10:$AH$258), ""), 0)),"")</f>
        <v/>
      </c>
      <c r="AK102" s="156" t="str">
        <f t="array" ref="AK102">IFERROR(INDEX($AH$10:$AH$258, MATCH(0, IF(TRUE=$AF$10:$AF$258, COUNTIF($AK$9:$AK101, $AH$10:$AH$258), ""), 0)),"")</f>
        <v/>
      </c>
      <c r="AL102" s="31" t="str">
        <f>IFERROR(INDEX('G-6 Hedgerow Data'!$BJ$3:$BJ$15,MATCH(D102,'G-6 Hedgerow Data'!$B$3:$B$15,0)),"")</f>
        <v/>
      </c>
    </row>
    <row r="103" spans="2:38" ht="14" x14ac:dyDescent="0.3">
      <c r="B103" s="141">
        <v>94</v>
      </c>
      <c r="C103" s="203"/>
      <c r="D103" s="203"/>
      <c r="E103" s="153"/>
      <c r="F103" s="553" t="str">
        <f>IF(D103="","",VLOOKUP(D103,'G-6 Hedgerow Data'!$B$2:$AG$15,2,FALSE))</f>
        <v/>
      </c>
      <c r="G103" s="499" t="str">
        <f>IF(D103="","",VLOOKUP(D103,'G-6 Hedgerow Data'!$B$2:$AG$15,3,FALSE))</f>
        <v/>
      </c>
      <c r="H103" s="145"/>
      <c r="I103" s="499" t="str">
        <f>IFERROR(VLOOKUP(H103,'G-1 All Habitats'!$Z$2:$AA$9,2,FALSE),"")</f>
        <v/>
      </c>
      <c r="J103" s="145"/>
      <c r="K103" s="507" t="str">
        <f>IF(J103="","",IF(VLOOKUP(J103,'G-3 Multipliers'!$L$3:$N$6,2,FALSE)=0,"Spatial Data Missing",VLOOKUP(J103,'G-3 Multipliers'!$L$3:$N$6,2,FALSE)))</f>
        <v/>
      </c>
      <c r="L103" s="505" t="str">
        <f>IF(J103="","",IF(VLOOKUP(J103,'G-3 Multipliers'!$L$3:$N$6,3,FALSE)=0,"Spatial Data Missing ⚠",VLOOKUP(J103,'G-3 Multipliers'!$L$3:$N$6,3,FALSE)))</f>
        <v/>
      </c>
      <c r="M103" s="506" t="str">
        <f>IF(D103="","",VLOOKUP(D103,'G-6 Hedgerow Data'!$B$1:$AH$15,33,FALSE))</f>
        <v/>
      </c>
      <c r="N103" s="513" t="str">
        <f t="shared" si="9"/>
        <v/>
      </c>
      <c r="O103" s="40"/>
      <c r="P103" s="154"/>
      <c r="Q103" s="203"/>
      <c r="R103" s="532" t="str">
        <f t="shared" si="10"/>
        <v/>
      </c>
      <c r="S103" s="532" t="str">
        <f t="shared" si="11"/>
        <v/>
      </c>
      <c r="T103" s="532" t="str">
        <f t="shared" si="12"/>
        <v/>
      </c>
      <c r="U103" s="557" t="str">
        <f t="shared" si="13"/>
        <v/>
      </c>
      <c r="V103" s="151"/>
      <c r="W103" s="152"/>
      <c r="AE103" s="156" t="str">
        <f t="shared" si="7"/>
        <v/>
      </c>
      <c r="AF103" s="156" t="str">
        <f t="shared" si="8"/>
        <v/>
      </c>
      <c r="AH103" s="156">
        <v>94</v>
      </c>
      <c r="AJ103" s="156" t="str">
        <f t="array" ref="AJ103">IFERROR(INDEX($AH$10:$AH$258, MATCH(0, IF(TRUE=$AE$10:$AE$258, COUNTIF($AJ$9:$AJ102, $AH$10:$AH$258), ""), 0)),"")</f>
        <v/>
      </c>
      <c r="AK103" s="156" t="str">
        <f t="array" ref="AK103">IFERROR(INDEX($AH$10:$AH$258, MATCH(0, IF(TRUE=$AF$10:$AF$258, COUNTIF($AK$9:$AK102, $AH$10:$AH$258), ""), 0)),"")</f>
        <v/>
      </c>
      <c r="AL103" s="31" t="str">
        <f>IFERROR(INDEX('G-6 Hedgerow Data'!$BJ$3:$BJ$15,MATCH(D103,'G-6 Hedgerow Data'!$B$3:$B$15,0)),"")</f>
        <v/>
      </c>
    </row>
    <row r="104" spans="2:38" ht="14" x14ac:dyDescent="0.3">
      <c r="B104" s="141">
        <v>95</v>
      </c>
      <c r="C104" s="203"/>
      <c r="D104" s="203"/>
      <c r="E104" s="153"/>
      <c r="F104" s="553" t="str">
        <f>IF(D104="","",VLOOKUP(D104,'G-6 Hedgerow Data'!$B$2:$AG$15,2,FALSE))</f>
        <v/>
      </c>
      <c r="G104" s="499" t="str">
        <f>IF(D104="","",VLOOKUP(D104,'G-6 Hedgerow Data'!$B$2:$AG$15,3,FALSE))</f>
        <v/>
      </c>
      <c r="H104" s="145"/>
      <c r="I104" s="499" t="str">
        <f>IFERROR(VLOOKUP(H104,'G-1 All Habitats'!$Z$2:$AA$9,2,FALSE),"")</f>
        <v/>
      </c>
      <c r="J104" s="145"/>
      <c r="K104" s="507" t="str">
        <f>IF(J104="","",IF(VLOOKUP(J104,'G-3 Multipliers'!$L$3:$N$6,2,FALSE)=0,"Spatial Data Missing",VLOOKUP(J104,'G-3 Multipliers'!$L$3:$N$6,2,FALSE)))</f>
        <v/>
      </c>
      <c r="L104" s="505" t="str">
        <f>IF(J104="","",IF(VLOOKUP(J104,'G-3 Multipliers'!$L$3:$N$6,3,FALSE)=0,"Spatial Data Missing ⚠",VLOOKUP(J104,'G-3 Multipliers'!$L$3:$N$6,3,FALSE)))</f>
        <v/>
      </c>
      <c r="M104" s="506" t="str">
        <f>IF(D104="","",VLOOKUP(D104,'G-6 Hedgerow Data'!$B$1:$AH$15,33,FALSE))</f>
        <v/>
      </c>
      <c r="N104" s="513" t="str">
        <f t="shared" si="9"/>
        <v/>
      </c>
      <c r="O104" s="40"/>
      <c r="P104" s="154"/>
      <c r="Q104" s="203"/>
      <c r="R104" s="532" t="str">
        <f t="shared" si="10"/>
        <v/>
      </c>
      <c r="S104" s="532" t="str">
        <f t="shared" si="11"/>
        <v/>
      </c>
      <c r="T104" s="532" t="str">
        <f t="shared" si="12"/>
        <v/>
      </c>
      <c r="U104" s="557" t="str">
        <f t="shared" si="13"/>
        <v/>
      </c>
      <c r="V104" s="151"/>
      <c r="W104" s="152"/>
      <c r="AE104" s="156" t="str">
        <f t="shared" si="7"/>
        <v/>
      </c>
      <c r="AF104" s="156" t="str">
        <f t="shared" si="8"/>
        <v/>
      </c>
      <c r="AH104" s="156">
        <v>95</v>
      </c>
      <c r="AJ104" s="156" t="str">
        <f t="array" ref="AJ104">IFERROR(INDEX($AH$10:$AH$258, MATCH(0, IF(TRUE=$AE$10:$AE$258, COUNTIF($AJ$9:$AJ103, $AH$10:$AH$258), ""), 0)),"")</f>
        <v/>
      </c>
      <c r="AK104" s="156" t="str">
        <f t="array" ref="AK104">IFERROR(INDEX($AH$10:$AH$258, MATCH(0, IF(TRUE=$AF$10:$AF$258, COUNTIF($AK$9:$AK103, $AH$10:$AH$258), ""), 0)),"")</f>
        <v/>
      </c>
      <c r="AL104" s="31" t="str">
        <f>IFERROR(INDEX('G-6 Hedgerow Data'!$BJ$3:$BJ$15,MATCH(D104,'G-6 Hedgerow Data'!$B$3:$B$15,0)),"")</f>
        <v/>
      </c>
    </row>
    <row r="105" spans="2:38" ht="14" x14ac:dyDescent="0.3">
      <c r="B105" s="141">
        <v>96</v>
      </c>
      <c r="C105" s="203"/>
      <c r="D105" s="203"/>
      <c r="E105" s="153"/>
      <c r="F105" s="553" t="str">
        <f>IF(D105="","",VLOOKUP(D105,'G-6 Hedgerow Data'!$B$2:$AG$15,2,FALSE))</f>
        <v/>
      </c>
      <c r="G105" s="499" t="str">
        <f>IF(D105="","",VLOOKUP(D105,'G-6 Hedgerow Data'!$B$2:$AG$15,3,FALSE))</f>
        <v/>
      </c>
      <c r="H105" s="145"/>
      <c r="I105" s="499" t="str">
        <f>IFERROR(VLOOKUP(H105,'G-1 All Habitats'!$Z$2:$AA$9,2,FALSE),"")</f>
        <v/>
      </c>
      <c r="J105" s="145"/>
      <c r="K105" s="507" t="str">
        <f>IF(J105="","",IF(VLOOKUP(J105,'G-3 Multipliers'!$L$3:$N$6,2,FALSE)=0,"Spatial Data Missing",VLOOKUP(J105,'G-3 Multipliers'!$L$3:$N$6,2,FALSE)))</f>
        <v/>
      </c>
      <c r="L105" s="505" t="str">
        <f>IF(J105="","",IF(VLOOKUP(J105,'G-3 Multipliers'!$L$3:$N$6,3,FALSE)=0,"Spatial Data Missing ⚠",VLOOKUP(J105,'G-3 Multipliers'!$L$3:$N$6,3,FALSE)))</f>
        <v/>
      </c>
      <c r="M105" s="506" t="str">
        <f>IF(D105="","",VLOOKUP(D105,'G-6 Hedgerow Data'!$B$1:$AH$15,33,FALSE))</f>
        <v/>
      </c>
      <c r="N105" s="513" t="str">
        <f t="shared" si="9"/>
        <v/>
      </c>
      <c r="O105" s="40"/>
      <c r="P105" s="154"/>
      <c r="Q105" s="203"/>
      <c r="R105" s="532" t="str">
        <f t="shared" si="10"/>
        <v/>
      </c>
      <c r="S105" s="532" t="str">
        <f t="shared" si="11"/>
        <v/>
      </c>
      <c r="T105" s="532" t="str">
        <f t="shared" si="12"/>
        <v/>
      </c>
      <c r="U105" s="557" t="str">
        <f t="shared" si="13"/>
        <v/>
      </c>
      <c r="V105" s="151"/>
      <c r="W105" s="152"/>
      <c r="AE105" s="156" t="str">
        <f t="shared" si="7"/>
        <v/>
      </c>
      <c r="AF105" s="156" t="str">
        <f t="shared" si="8"/>
        <v/>
      </c>
      <c r="AH105" s="156">
        <v>96</v>
      </c>
      <c r="AJ105" s="156" t="str">
        <f t="array" ref="AJ105">IFERROR(INDEX($AH$10:$AH$258, MATCH(0, IF(TRUE=$AE$10:$AE$258, COUNTIF($AJ$9:$AJ104, $AH$10:$AH$258), ""), 0)),"")</f>
        <v/>
      </c>
      <c r="AK105" s="156" t="str">
        <f t="array" ref="AK105">IFERROR(INDEX($AH$10:$AH$258, MATCH(0, IF(TRUE=$AF$10:$AF$258, COUNTIF($AK$9:$AK104, $AH$10:$AH$258), ""), 0)),"")</f>
        <v/>
      </c>
      <c r="AL105" s="31" t="str">
        <f>IFERROR(INDEX('G-6 Hedgerow Data'!$BJ$3:$BJ$15,MATCH(D105,'G-6 Hedgerow Data'!$B$3:$B$15,0)),"")</f>
        <v/>
      </c>
    </row>
    <row r="106" spans="2:38" ht="14" x14ac:dyDescent="0.3">
      <c r="B106" s="141">
        <v>97</v>
      </c>
      <c r="C106" s="203"/>
      <c r="D106" s="203"/>
      <c r="E106" s="153"/>
      <c r="F106" s="553" t="str">
        <f>IF(D106="","",VLOOKUP(D106,'G-6 Hedgerow Data'!$B$2:$AG$15,2,FALSE))</f>
        <v/>
      </c>
      <c r="G106" s="499" t="str">
        <f>IF(D106="","",VLOOKUP(D106,'G-6 Hedgerow Data'!$B$2:$AG$15,3,FALSE))</f>
        <v/>
      </c>
      <c r="H106" s="145"/>
      <c r="I106" s="499" t="str">
        <f>IFERROR(VLOOKUP(H106,'G-1 All Habitats'!$Z$2:$AA$9,2,FALSE),"")</f>
        <v/>
      </c>
      <c r="J106" s="145"/>
      <c r="K106" s="507" t="str">
        <f>IF(J106="","",IF(VLOOKUP(J106,'G-3 Multipliers'!$L$3:$N$6,2,FALSE)=0,"Spatial Data Missing",VLOOKUP(J106,'G-3 Multipliers'!$L$3:$N$6,2,FALSE)))</f>
        <v/>
      </c>
      <c r="L106" s="505" t="str">
        <f>IF(J106="","",IF(VLOOKUP(J106,'G-3 Multipliers'!$L$3:$N$6,3,FALSE)=0,"Spatial Data Missing ⚠",VLOOKUP(J106,'G-3 Multipliers'!$L$3:$N$6,3,FALSE)))</f>
        <v/>
      </c>
      <c r="M106" s="506" t="str">
        <f>IF(D106="","",VLOOKUP(D106,'G-6 Hedgerow Data'!$B$1:$AH$15,33,FALSE))</f>
        <v/>
      </c>
      <c r="N106" s="513" t="str">
        <f t="shared" si="9"/>
        <v/>
      </c>
      <c r="O106" s="40"/>
      <c r="P106" s="154"/>
      <c r="Q106" s="203"/>
      <c r="R106" s="532" t="str">
        <f t="shared" si="10"/>
        <v/>
      </c>
      <c r="S106" s="532" t="str">
        <f t="shared" si="11"/>
        <v/>
      </c>
      <c r="T106" s="532" t="str">
        <f t="shared" si="12"/>
        <v/>
      </c>
      <c r="U106" s="557" t="str">
        <f t="shared" si="13"/>
        <v/>
      </c>
      <c r="V106" s="151"/>
      <c r="W106" s="152"/>
      <c r="AE106" s="156" t="str">
        <f t="shared" si="7"/>
        <v/>
      </c>
      <c r="AF106" s="156" t="str">
        <f t="shared" si="8"/>
        <v/>
      </c>
      <c r="AH106" s="156">
        <v>97</v>
      </c>
      <c r="AJ106" s="156" t="str">
        <f t="array" ref="AJ106">IFERROR(INDEX($AH$10:$AH$258, MATCH(0, IF(TRUE=$AE$10:$AE$258, COUNTIF($AJ$9:$AJ105, $AH$10:$AH$258), ""), 0)),"")</f>
        <v/>
      </c>
      <c r="AK106" s="156" t="str">
        <f t="array" ref="AK106">IFERROR(INDEX($AH$10:$AH$258, MATCH(0, IF(TRUE=$AF$10:$AF$258, COUNTIF($AK$9:$AK105, $AH$10:$AH$258), ""), 0)),"")</f>
        <v/>
      </c>
      <c r="AL106" s="31" t="str">
        <f>IFERROR(INDEX('G-6 Hedgerow Data'!$BJ$3:$BJ$15,MATCH(D106,'G-6 Hedgerow Data'!$B$3:$B$15,0)),"")</f>
        <v/>
      </c>
    </row>
    <row r="107" spans="2:38" ht="14" x14ac:dyDescent="0.3">
      <c r="B107" s="141">
        <v>98</v>
      </c>
      <c r="C107" s="203"/>
      <c r="D107" s="203"/>
      <c r="E107" s="153"/>
      <c r="F107" s="553" t="str">
        <f>IF(D107="","",VLOOKUP(D107,'G-6 Hedgerow Data'!$B$2:$AG$15,2,FALSE))</f>
        <v/>
      </c>
      <c r="G107" s="499" t="str">
        <f>IF(D107="","",VLOOKUP(D107,'G-6 Hedgerow Data'!$B$2:$AG$15,3,FALSE))</f>
        <v/>
      </c>
      <c r="H107" s="145"/>
      <c r="I107" s="499" t="str">
        <f>IFERROR(VLOOKUP(H107,'G-1 All Habitats'!$Z$2:$AA$9,2,FALSE),"")</f>
        <v/>
      </c>
      <c r="J107" s="145"/>
      <c r="K107" s="507" t="str">
        <f>IF(J107="","",IF(VLOOKUP(J107,'G-3 Multipliers'!$L$3:$N$6,2,FALSE)=0,"Spatial Data Missing",VLOOKUP(J107,'G-3 Multipliers'!$L$3:$N$6,2,FALSE)))</f>
        <v/>
      </c>
      <c r="L107" s="505" t="str">
        <f>IF(J107="","",IF(VLOOKUP(J107,'G-3 Multipliers'!$L$3:$N$6,3,FALSE)=0,"Spatial Data Missing ⚠",VLOOKUP(J107,'G-3 Multipliers'!$L$3:$N$6,3,FALSE)))</f>
        <v/>
      </c>
      <c r="M107" s="506" t="str">
        <f>IF(D107="","",VLOOKUP(D107,'G-6 Hedgerow Data'!$B$1:$AH$15,33,FALSE))</f>
        <v/>
      </c>
      <c r="N107" s="513" t="str">
        <f t="shared" si="9"/>
        <v/>
      </c>
      <c r="O107" s="40"/>
      <c r="P107" s="154"/>
      <c r="Q107" s="203"/>
      <c r="R107" s="532" t="str">
        <f t="shared" si="10"/>
        <v/>
      </c>
      <c r="S107" s="532" t="str">
        <f t="shared" si="11"/>
        <v/>
      </c>
      <c r="T107" s="532" t="str">
        <f t="shared" si="12"/>
        <v/>
      </c>
      <c r="U107" s="557" t="str">
        <f t="shared" si="13"/>
        <v/>
      </c>
      <c r="V107" s="151"/>
      <c r="W107" s="152"/>
      <c r="AE107" s="156" t="str">
        <f t="shared" si="7"/>
        <v/>
      </c>
      <c r="AF107" s="156" t="str">
        <f t="shared" si="8"/>
        <v/>
      </c>
      <c r="AH107" s="156">
        <v>98</v>
      </c>
      <c r="AJ107" s="156" t="str">
        <f t="array" ref="AJ107">IFERROR(INDEX($AH$10:$AH$258, MATCH(0, IF(TRUE=$AE$10:$AE$258, COUNTIF($AJ$9:$AJ106, $AH$10:$AH$258), ""), 0)),"")</f>
        <v/>
      </c>
      <c r="AK107" s="156" t="str">
        <f t="array" ref="AK107">IFERROR(INDEX($AH$10:$AH$258, MATCH(0, IF(TRUE=$AF$10:$AF$258, COUNTIF($AK$9:$AK106, $AH$10:$AH$258), ""), 0)),"")</f>
        <v/>
      </c>
      <c r="AL107" s="31" t="str">
        <f>IFERROR(INDEX('G-6 Hedgerow Data'!$BJ$3:$BJ$15,MATCH(D107,'G-6 Hedgerow Data'!$B$3:$B$15,0)),"")</f>
        <v/>
      </c>
    </row>
    <row r="108" spans="2:38" ht="14" x14ac:dyDescent="0.3">
      <c r="B108" s="141">
        <v>99</v>
      </c>
      <c r="C108" s="203"/>
      <c r="D108" s="203"/>
      <c r="E108" s="153"/>
      <c r="F108" s="553" t="str">
        <f>IF(D108="","",VLOOKUP(D108,'G-6 Hedgerow Data'!$B$2:$AG$15,2,FALSE))</f>
        <v/>
      </c>
      <c r="G108" s="499" t="str">
        <f>IF(D108="","",VLOOKUP(D108,'G-6 Hedgerow Data'!$B$2:$AG$15,3,FALSE))</f>
        <v/>
      </c>
      <c r="H108" s="145"/>
      <c r="I108" s="499" t="str">
        <f>IFERROR(VLOOKUP(H108,'G-1 All Habitats'!$Z$2:$AA$9,2,FALSE),"")</f>
        <v/>
      </c>
      <c r="J108" s="145"/>
      <c r="K108" s="507" t="str">
        <f>IF(J108="","",IF(VLOOKUP(J108,'G-3 Multipliers'!$L$3:$N$6,2,FALSE)=0,"Spatial Data Missing",VLOOKUP(J108,'G-3 Multipliers'!$L$3:$N$6,2,FALSE)))</f>
        <v/>
      </c>
      <c r="L108" s="505" t="str">
        <f>IF(J108="","",IF(VLOOKUP(J108,'G-3 Multipliers'!$L$3:$N$6,3,FALSE)=0,"Spatial Data Missing ⚠",VLOOKUP(J108,'G-3 Multipliers'!$L$3:$N$6,3,FALSE)))</f>
        <v/>
      </c>
      <c r="M108" s="506" t="str">
        <f>IF(D108="","",VLOOKUP(D108,'G-6 Hedgerow Data'!$B$1:$AH$15,33,FALSE))</f>
        <v/>
      </c>
      <c r="N108" s="513" t="str">
        <f t="shared" si="9"/>
        <v/>
      </c>
      <c r="O108" s="40"/>
      <c r="P108" s="154"/>
      <c r="Q108" s="203"/>
      <c r="R108" s="532" t="str">
        <f t="shared" si="10"/>
        <v/>
      </c>
      <c r="S108" s="532" t="str">
        <f t="shared" si="11"/>
        <v/>
      </c>
      <c r="T108" s="532" t="str">
        <f t="shared" si="12"/>
        <v/>
      </c>
      <c r="U108" s="557" t="str">
        <f t="shared" si="13"/>
        <v/>
      </c>
      <c r="V108" s="151"/>
      <c r="W108" s="152"/>
      <c r="AE108" s="156" t="str">
        <f t="shared" si="7"/>
        <v/>
      </c>
      <c r="AF108" s="156" t="str">
        <f t="shared" si="8"/>
        <v/>
      </c>
      <c r="AH108" s="156">
        <v>99</v>
      </c>
      <c r="AJ108" s="156" t="str">
        <f t="array" ref="AJ108">IFERROR(INDEX($AH$10:$AH$258, MATCH(0, IF(TRUE=$AE$10:$AE$258, COUNTIF($AJ$9:$AJ107, $AH$10:$AH$258), ""), 0)),"")</f>
        <v/>
      </c>
      <c r="AK108" s="156" t="str">
        <f t="array" ref="AK108">IFERROR(INDEX($AH$10:$AH$258, MATCH(0, IF(TRUE=$AF$10:$AF$258, COUNTIF($AK$9:$AK107, $AH$10:$AH$258), ""), 0)),"")</f>
        <v/>
      </c>
      <c r="AL108" s="31" t="str">
        <f>IFERROR(INDEX('G-6 Hedgerow Data'!$BJ$3:$BJ$15,MATCH(D108,'G-6 Hedgerow Data'!$B$3:$B$15,0)),"")</f>
        <v/>
      </c>
    </row>
    <row r="109" spans="2:38" ht="14" x14ac:dyDescent="0.3">
      <c r="B109" s="141">
        <v>100</v>
      </c>
      <c r="C109" s="203"/>
      <c r="D109" s="203"/>
      <c r="E109" s="153"/>
      <c r="F109" s="553" t="str">
        <f>IF(D109="","",VLOOKUP(D109,'G-6 Hedgerow Data'!$B$2:$AG$15,2,FALSE))</f>
        <v/>
      </c>
      <c r="G109" s="499" t="str">
        <f>IF(D109="","",VLOOKUP(D109,'G-6 Hedgerow Data'!$B$2:$AG$15,3,FALSE))</f>
        <v/>
      </c>
      <c r="H109" s="145"/>
      <c r="I109" s="499" t="str">
        <f>IFERROR(VLOOKUP(H109,'G-1 All Habitats'!$Z$2:$AA$9,2,FALSE),"")</f>
        <v/>
      </c>
      <c r="J109" s="145"/>
      <c r="K109" s="507" t="str">
        <f>IF(J109="","",IF(VLOOKUP(J109,'G-3 Multipliers'!$L$3:$N$6,2,FALSE)=0,"Spatial Data Missing",VLOOKUP(J109,'G-3 Multipliers'!$L$3:$N$6,2,FALSE)))</f>
        <v/>
      </c>
      <c r="L109" s="505" t="str">
        <f>IF(J109="","",IF(VLOOKUP(J109,'G-3 Multipliers'!$L$3:$N$6,3,FALSE)=0,"Spatial Data Missing ⚠",VLOOKUP(J109,'G-3 Multipliers'!$L$3:$N$6,3,FALSE)))</f>
        <v/>
      </c>
      <c r="M109" s="506" t="str">
        <f>IF(D109="","",VLOOKUP(D109,'G-6 Hedgerow Data'!$B$1:$AH$15,33,FALSE))</f>
        <v/>
      </c>
      <c r="N109" s="513" t="str">
        <f t="shared" si="9"/>
        <v/>
      </c>
      <c r="O109" s="40"/>
      <c r="P109" s="154"/>
      <c r="Q109" s="203"/>
      <c r="R109" s="532" t="str">
        <f t="shared" si="10"/>
        <v/>
      </c>
      <c r="S109" s="532" t="str">
        <f t="shared" si="11"/>
        <v/>
      </c>
      <c r="T109" s="532" t="str">
        <f t="shared" si="12"/>
        <v/>
      </c>
      <c r="U109" s="557" t="str">
        <f t="shared" si="13"/>
        <v/>
      </c>
      <c r="V109" s="151"/>
      <c r="W109" s="152"/>
      <c r="AE109" s="156" t="str">
        <f t="shared" si="7"/>
        <v/>
      </c>
      <c r="AF109" s="156" t="str">
        <f t="shared" si="8"/>
        <v/>
      </c>
      <c r="AH109" s="156">
        <v>100</v>
      </c>
      <c r="AJ109" s="156" t="str">
        <f t="array" ref="AJ109">IFERROR(INDEX($AH$10:$AH$258, MATCH(0, IF(TRUE=$AE$10:$AE$258, COUNTIF($AJ$9:$AJ108, $AH$10:$AH$258), ""), 0)),"")</f>
        <v/>
      </c>
      <c r="AK109" s="156" t="str">
        <f t="array" ref="AK109">IFERROR(INDEX($AH$10:$AH$258, MATCH(0, IF(TRUE=$AF$10:$AF$258, COUNTIF($AK$9:$AK108, $AH$10:$AH$258), ""), 0)),"")</f>
        <v/>
      </c>
      <c r="AL109" s="31" t="str">
        <f>IFERROR(INDEX('G-6 Hedgerow Data'!$BJ$3:$BJ$15,MATCH(D109,'G-6 Hedgerow Data'!$B$3:$B$15,0)),"")</f>
        <v/>
      </c>
    </row>
    <row r="110" spans="2:38" ht="14" x14ac:dyDescent="0.3">
      <c r="B110" s="141">
        <v>101</v>
      </c>
      <c r="C110" s="203"/>
      <c r="D110" s="203"/>
      <c r="E110" s="153"/>
      <c r="F110" s="553" t="str">
        <f>IF(D110="","",VLOOKUP(D110,'G-6 Hedgerow Data'!$B$2:$AG$15,2,FALSE))</f>
        <v/>
      </c>
      <c r="G110" s="499" t="str">
        <f>IF(D110="","",VLOOKUP(D110,'G-6 Hedgerow Data'!$B$2:$AG$15,3,FALSE))</f>
        <v/>
      </c>
      <c r="H110" s="145"/>
      <c r="I110" s="499" t="str">
        <f>IFERROR(VLOOKUP(H110,'G-1 All Habitats'!$Z$2:$AA$9,2,FALSE),"")</f>
        <v/>
      </c>
      <c r="J110" s="145"/>
      <c r="K110" s="507" t="str">
        <f>IF(J110="","",IF(VLOOKUP(J110,'G-3 Multipliers'!$L$3:$N$6,2,FALSE)=0,"Spatial Data Missing",VLOOKUP(J110,'G-3 Multipliers'!$L$3:$N$6,2,FALSE)))</f>
        <v/>
      </c>
      <c r="L110" s="505" t="str">
        <f>IF(J110="","",IF(VLOOKUP(J110,'G-3 Multipliers'!$L$3:$N$6,3,FALSE)=0,"Spatial Data Missing ⚠",VLOOKUP(J110,'G-3 Multipliers'!$L$3:$N$6,3,FALSE)))</f>
        <v/>
      </c>
      <c r="M110" s="506" t="str">
        <f>IF(D110="","",VLOOKUP(D110,'G-6 Hedgerow Data'!$B$1:$AH$15,33,FALSE))</f>
        <v/>
      </c>
      <c r="N110" s="513" t="str">
        <f t="shared" si="9"/>
        <v/>
      </c>
      <c r="O110" s="40"/>
      <c r="P110" s="154"/>
      <c r="Q110" s="203"/>
      <c r="R110" s="532" t="str">
        <f t="shared" si="10"/>
        <v/>
      </c>
      <c r="S110" s="532" t="str">
        <f t="shared" si="11"/>
        <v/>
      </c>
      <c r="T110" s="532" t="str">
        <f t="shared" si="12"/>
        <v/>
      </c>
      <c r="U110" s="557" t="str">
        <f t="shared" si="13"/>
        <v/>
      </c>
      <c r="V110" s="151"/>
      <c r="W110" s="152"/>
      <c r="AE110" s="156" t="str">
        <f t="shared" si="7"/>
        <v/>
      </c>
      <c r="AF110" s="156" t="str">
        <f t="shared" si="8"/>
        <v/>
      </c>
      <c r="AH110" s="156">
        <v>101</v>
      </c>
      <c r="AJ110" s="156" t="str">
        <f t="array" ref="AJ110">IFERROR(INDEX($AH$10:$AH$258, MATCH(0, IF(TRUE=$AE$10:$AE$258, COUNTIF($AJ$9:$AJ109, $AH$10:$AH$258), ""), 0)),"")</f>
        <v/>
      </c>
      <c r="AK110" s="156" t="str">
        <f t="array" ref="AK110">IFERROR(INDEX($AH$10:$AH$258, MATCH(0, IF(TRUE=$AF$10:$AF$258, COUNTIF($AK$9:$AK109, $AH$10:$AH$258), ""), 0)),"")</f>
        <v/>
      </c>
      <c r="AL110" s="31" t="str">
        <f>IFERROR(INDEX('G-6 Hedgerow Data'!$BJ$3:$BJ$15,MATCH(D110,'G-6 Hedgerow Data'!$B$3:$B$15,0)),"")</f>
        <v/>
      </c>
    </row>
    <row r="111" spans="2:38" ht="14" x14ac:dyDescent="0.3">
      <c r="B111" s="141">
        <v>102</v>
      </c>
      <c r="C111" s="203"/>
      <c r="D111" s="203"/>
      <c r="E111" s="153"/>
      <c r="F111" s="553" t="str">
        <f>IF(D111="","",VLOOKUP(D111,'G-6 Hedgerow Data'!$B$2:$AG$15,2,FALSE))</f>
        <v/>
      </c>
      <c r="G111" s="499" t="str">
        <f>IF(D111="","",VLOOKUP(D111,'G-6 Hedgerow Data'!$B$2:$AG$15,3,FALSE))</f>
        <v/>
      </c>
      <c r="H111" s="145"/>
      <c r="I111" s="499" t="str">
        <f>IFERROR(VLOOKUP(H111,'G-1 All Habitats'!$Z$2:$AA$9,2,FALSE),"")</f>
        <v/>
      </c>
      <c r="J111" s="145"/>
      <c r="K111" s="507" t="str">
        <f>IF(J111="","",IF(VLOOKUP(J111,'G-3 Multipliers'!$L$3:$N$6,2,FALSE)=0,"Spatial Data Missing",VLOOKUP(J111,'G-3 Multipliers'!$L$3:$N$6,2,FALSE)))</f>
        <v/>
      </c>
      <c r="L111" s="505" t="str">
        <f>IF(J111="","",IF(VLOOKUP(J111,'G-3 Multipliers'!$L$3:$N$6,3,FALSE)=0,"Spatial Data Missing ⚠",VLOOKUP(J111,'G-3 Multipliers'!$L$3:$N$6,3,FALSE)))</f>
        <v/>
      </c>
      <c r="M111" s="506" t="str">
        <f>IF(D111="","",VLOOKUP(D111,'G-6 Hedgerow Data'!$B$1:$AH$15,33,FALSE))</f>
        <v/>
      </c>
      <c r="N111" s="513" t="str">
        <f t="shared" si="9"/>
        <v/>
      </c>
      <c r="O111" s="40"/>
      <c r="P111" s="154"/>
      <c r="Q111" s="203"/>
      <c r="R111" s="532" t="str">
        <f t="shared" si="10"/>
        <v/>
      </c>
      <c r="S111" s="532" t="str">
        <f t="shared" si="11"/>
        <v/>
      </c>
      <c r="T111" s="532" t="str">
        <f t="shared" si="12"/>
        <v/>
      </c>
      <c r="U111" s="557" t="str">
        <f t="shared" si="13"/>
        <v/>
      </c>
      <c r="V111" s="151"/>
      <c r="W111" s="152"/>
      <c r="AE111" s="156" t="str">
        <f t="shared" si="7"/>
        <v/>
      </c>
      <c r="AF111" s="156" t="str">
        <f t="shared" si="8"/>
        <v/>
      </c>
      <c r="AH111" s="156">
        <v>102</v>
      </c>
      <c r="AJ111" s="156" t="str">
        <f t="array" ref="AJ111">IFERROR(INDEX($AH$10:$AH$258, MATCH(0, IF(TRUE=$AE$10:$AE$258, COUNTIF($AJ$9:$AJ110, $AH$10:$AH$258), ""), 0)),"")</f>
        <v/>
      </c>
      <c r="AK111" s="156" t="str">
        <f t="array" ref="AK111">IFERROR(INDEX($AH$10:$AH$258, MATCH(0, IF(TRUE=$AF$10:$AF$258, COUNTIF($AK$9:$AK110, $AH$10:$AH$258), ""), 0)),"")</f>
        <v/>
      </c>
      <c r="AL111" s="31" t="str">
        <f>IFERROR(INDEX('G-6 Hedgerow Data'!$BJ$3:$BJ$15,MATCH(D111,'G-6 Hedgerow Data'!$B$3:$B$15,0)),"")</f>
        <v/>
      </c>
    </row>
    <row r="112" spans="2:38" ht="14" x14ac:dyDescent="0.3">
      <c r="B112" s="141">
        <v>103</v>
      </c>
      <c r="C112" s="203"/>
      <c r="D112" s="203"/>
      <c r="E112" s="153"/>
      <c r="F112" s="553" t="str">
        <f>IF(D112="","",VLOOKUP(D112,'G-6 Hedgerow Data'!$B$2:$AG$15,2,FALSE))</f>
        <v/>
      </c>
      <c r="G112" s="499" t="str">
        <f>IF(D112="","",VLOOKUP(D112,'G-6 Hedgerow Data'!$B$2:$AG$15,3,FALSE))</f>
        <v/>
      </c>
      <c r="H112" s="145"/>
      <c r="I112" s="499" t="str">
        <f>IFERROR(VLOOKUP(H112,'G-1 All Habitats'!$Z$2:$AA$9,2,FALSE),"")</f>
        <v/>
      </c>
      <c r="J112" s="145"/>
      <c r="K112" s="507" t="str">
        <f>IF(J112="","",IF(VLOOKUP(J112,'G-3 Multipliers'!$L$3:$N$6,2,FALSE)=0,"Spatial Data Missing",VLOOKUP(J112,'G-3 Multipliers'!$L$3:$N$6,2,FALSE)))</f>
        <v/>
      </c>
      <c r="L112" s="505" t="str">
        <f>IF(J112="","",IF(VLOOKUP(J112,'G-3 Multipliers'!$L$3:$N$6,3,FALSE)=0,"Spatial Data Missing ⚠",VLOOKUP(J112,'G-3 Multipliers'!$L$3:$N$6,3,FALSE)))</f>
        <v/>
      </c>
      <c r="M112" s="506" t="str">
        <f>IF(D112="","",VLOOKUP(D112,'G-6 Hedgerow Data'!$B$1:$AH$15,33,FALSE))</f>
        <v/>
      </c>
      <c r="N112" s="513" t="str">
        <f t="shared" si="9"/>
        <v/>
      </c>
      <c r="O112" s="40"/>
      <c r="P112" s="154"/>
      <c r="Q112" s="203"/>
      <c r="R112" s="532" t="str">
        <f t="shared" si="10"/>
        <v/>
      </c>
      <c r="S112" s="532" t="str">
        <f t="shared" si="11"/>
        <v/>
      </c>
      <c r="T112" s="532" t="str">
        <f t="shared" si="12"/>
        <v/>
      </c>
      <c r="U112" s="557" t="str">
        <f t="shared" si="13"/>
        <v/>
      </c>
      <c r="V112" s="151"/>
      <c r="W112" s="152"/>
      <c r="AE112" s="156" t="str">
        <f t="shared" si="7"/>
        <v/>
      </c>
      <c r="AF112" s="156" t="str">
        <f t="shared" si="8"/>
        <v/>
      </c>
      <c r="AH112" s="156">
        <v>103</v>
      </c>
      <c r="AJ112" s="156" t="str">
        <f t="array" ref="AJ112">IFERROR(INDEX($AH$10:$AH$258, MATCH(0, IF(TRUE=$AE$10:$AE$258, COUNTIF($AJ$9:$AJ111, $AH$10:$AH$258), ""), 0)),"")</f>
        <v/>
      </c>
      <c r="AK112" s="156" t="str">
        <f t="array" ref="AK112">IFERROR(INDEX($AH$10:$AH$258, MATCH(0, IF(TRUE=$AF$10:$AF$258, COUNTIF($AK$9:$AK111, $AH$10:$AH$258), ""), 0)),"")</f>
        <v/>
      </c>
      <c r="AL112" s="31" t="str">
        <f>IFERROR(INDEX('G-6 Hedgerow Data'!$BJ$3:$BJ$15,MATCH(D112,'G-6 Hedgerow Data'!$B$3:$B$15,0)),"")</f>
        <v/>
      </c>
    </row>
    <row r="113" spans="2:38" ht="14" x14ac:dyDescent="0.3">
      <c r="B113" s="141">
        <v>104</v>
      </c>
      <c r="C113" s="203"/>
      <c r="D113" s="203"/>
      <c r="E113" s="153"/>
      <c r="F113" s="553" t="str">
        <f>IF(D113="","",VLOOKUP(D113,'G-6 Hedgerow Data'!$B$2:$AG$15,2,FALSE))</f>
        <v/>
      </c>
      <c r="G113" s="499" t="str">
        <f>IF(D113="","",VLOOKUP(D113,'G-6 Hedgerow Data'!$B$2:$AG$15,3,FALSE))</f>
        <v/>
      </c>
      <c r="H113" s="145"/>
      <c r="I113" s="499" t="str">
        <f>IFERROR(VLOOKUP(H113,'G-1 All Habitats'!$Z$2:$AA$9,2,FALSE),"")</f>
        <v/>
      </c>
      <c r="J113" s="145"/>
      <c r="K113" s="507" t="str">
        <f>IF(J113="","",IF(VLOOKUP(J113,'G-3 Multipliers'!$L$3:$N$6,2,FALSE)=0,"Spatial Data Missing",VLOOKUP(J113,'G-3 Multipliers'!$L$3:$N$6,2,FALSE)))</f>
        <v/>
      </c>
      <c r="L113" s="505" t="str">
        <f>IF(J113="","",IF(VLOOKUP(J113,'G-3 Multipliers'!$L$3:$N$6,3,FALSE)=0,"Spatial Data Missing ⚠",VLOOKUP(J113,'G-3 Multipliers'!$L$3:$N$6,3,FALSE)))</f>
        <v/>
      </c>
      <c r="M113" s="506" t="str">
        <f>IF(D113="","",VLOOKUP(D113,'G-6 Hedgerow Data'!$B$1:$AH$15,33,FALSE))</f>
        <v/>
      </c>
      <c r="N113" s="513" t="str">
        <f t="shared" si="9"/>
        <v/>
      </c>
      <c r="O113" s="40"/>
      <c r="P113" s="154"/>
      <c r="Q113" s="203"/>
      <c r="R113" s="532" t="str">
        <f t="shared" si="10"/>
        <v/>
      </c>
      <c r="S113" s="532" t="str">
        <f t="shared" si="11"/>
        <v/>
      </c>
      <c r="T113" s="532" t="str">
        <f t="shared" si="12"/>
        <v/>
      </c>
      <c r="U113" s="557" t="str">
        <f t="shared" si="13"/>
        <v/>
      </c>
      <c r="V113" s="151"/>
      <c r="W113" s="152"/>
      <c r="AE113" s="156" t="str">
        <f t="shared" si="7"/>
        <v/>
      </c>
      <c r="AF113" s="156" t="str">
        <f t="shared" si="8"/>
        <v/>
      </c>
      <c r="AH113" s="156">
        <v>104</v>
      </c>
      <c r="AJ113" s="156" t="str">
        <f t="array" ref="AJ113">IFERROR(INDEX($AH$10:$AH$258, MATCH(0, IF(TRUE=$AE$10:$AE$258, COUNTIF($AJ$9:$AJ112, $AH$10:$AH$258), ""), 0)),"")</f>
        <v/>
      </c>
      <c r="AK113" s="156" t="str">
        <f t="array" ref="AK113">IFERROR(INDEX($AH$10:$AH$258, MATCH(0, IF(TRUE=$AF$10:$AF$258, COUNTIF($AK$9:$AK112, $AH$10:$AH$258), ""), 0)),"")</f>
        <v/>
      </c>
      <c r="AL113" s="31" t="str">
        <f>IFERROR(INDEX('G-6 Hedgerow Data'!$BJ$3:$BJ$15,MATCH(D113,'G-6 Hedgerow Data'!$B$3:$B$15,0)),"")</f>
        <v/>
      </c>
    </row>
    <row r="114" spans="2:38" ht="14" x14ac:dyDescent="0.3">
      <c r="B114" s="141">
        <v>105</v>
      </c>
      <c r="C114" s="203"/>
      <c r="D114" s="203"/>
      <c r="E114" s="153"/>
      <c r="F114" s="553" t="str">
        <f>IF(D114="","",VLOOKUP(D114,'G-6 Hedgerow Data'!$B$2:$AG$15,2,FALSE))</f>
        <v/>
      </c>
      <c r="G114" s="499" t="str">
        <f>IF(D114="","",VLOOKUP(D114,'G-6 Hedgerow Data'!$B$2:$AG$15,3,FALSE))</f>
        <v/>
      </c>
      <c r="H114" s="145"/>
      <c r="I114" s="499" t="str">
        <f>IFERROR(VLOOKUP(H114,'G-1 All Habitats'!$Z$2:$AA$9,2,FALSE),"")</f>
        <v/>
      </c>
      <c r="J114" s="145"/>
      <c r="K114" s="507" t="str">
        <f>IF(J114="","",IF(VLOOKUP(J114,'G-3 Multipliers'!$L$3:$N$6,2,FALSE)=0,"Spatial Data Missing",VLOOKUP(J114,'G-3 Multipliers'!$L$3:$N$6,2,FALSE)))</f>
        <v/>
      </c>
      <c r="L114" s="505" t="str">
        <f>IF(J114="","",IF(VLOOKUP(J114,'G-3 Multipliers'!$L$3:$N$6,3,FALSE)=0,"Spatial Data Missing ⚠",VLOOKUP(J114,'G-3 Multipliers'!$L$3:$N$6,3,FALSE)))</f>
        <v/>
      </c>
      <c r="M114" s="506" t="str">
        <f>IF(D114="","",VLOOKUP(D114,'G-6 Hedgerow Data'!$B$1:$AH$15,33,FALSE))</f>
        <v/>
      </c>
      <c r="N114" s="513" t="str">
        <f t="shared" si="9"/>
        <v/>
      </c>
      <c r="O114" s="40"/>
      <c r="P114" s="154"/>
      <c r="Q114" s="203"/>
      <c r="R114" s="532" t="str">
        <f t="shared" si="10"/>
        <v/>
      </c>
      <c r="S114" s="532" t="str">
        <f t="shared" si="11"/>
        <v/>
      </c>
      <c r="T114" s="532" t="str">
        <f t="shared" si="12"/>
        <v/>
      </c>
      <c r="U114" s="557" t="str">
        <f t="shared" si="13"/>
        <v/>
      </c>
      <c r="V114" s="151"/>
      <c r="W114" s="152"/>
      <c r="AE114" s="156" t="str">
        <f t="shared" si="7"/>
        <v/>
      </c>
      <c r="AF114" s="156" t="str">
        <f t="shared" si="8"/>
        <v/>
      </c>
      <c r="AH114" s="156">
        <v>105</v>
      </c>
      <c r="AJ114" s="156" t="str">
        <f t="array" ref="AJ114">IFERROR(INDEX($AH$10:$AH$258, MATCH(0, IF(TRUE=$AE$10:$AE$258, COUNTIF($AJ$9:$AJ113, $AH$10:$AH$258), ""), 0)),"")</f>
        <v/>
      </c>
      <c r="AK114" s="156" t="str">
        <f t="array" ref="AK114">IFERROR(INDEX($AH$10:$AH$258, MATCH(0, IF(TRUE=$AF$10:$AF$258, COUNTIF($AK$9:$AK113, $AH$10:$AH$258), ""), 0)),"")</f>
        <v/>
      </c>
      <c r="AL114" s="31" t="str">
        <f>IFERROR(INDEX('G-6 Hedgerow Data'!$BJ$3:$BJ$15,MATCH(D114,'G-6 Hedgerow Data'!$B$3:$B$15,0)),"")</f>
        <v/>
      </c>
    </row>
    <row r="115" spans="2:38" ht="14" x14ac:dyDescent="0.3">
      <c r="B115" s="141">
        <v>106</v>
      </c>
      <c r="C115" s="203"/>
      <c r="D115" s="203"/>
      <c r="E115" s="153"/>
      <c r="F115" s="553" t="str">
        <f>IF(D115="","",VLOOKUP(D115,'G-6 Hedgerow Data'!$B$2:$AG$15,2,FALSE))</f>
        <v/>
      </c>
      <c r="G115" s="499" t="str">
        <f>IF(D115="","",VLOOKUP(D115,'G-6 Hedgerow Data'!$B$2:$AG$15,3,FALSE))</f>
        <v/>
      </c>
      <c r="H115" s="145"/>
      <c r="I115" s="499" t="str">
        <f>IFERROR(VLOOKUP(H115,'G-1 All Habitats'!$Z$2:$AA$9,2,FALSE),"")</f>
        <v/>
      </c>
      <c r="J115" s="145"/>
      <c r="K115" s="507" t="str">
        <f>IF(J115="","",IF(VLOOKUP(J115,'G-3 Multipliers'!$L$3:$N$6,2,FALSE)=0,"Spatial Data Missing",VLOOKUP(J115,'G-3 Multipliers'!$L$3:$N$6,2,FALSE)))</f>
        <v/>
      </c>
      <c r="L115" s="505" t="str">
        <f>IF(J115="","",IF(VLOOKUP(J115,'G-3 Multipliers'!$L$3:$N$6,3,FALSE)=0,"Spatial Data Missing ⚠",VLOOKUP(J115,'G-3 Multipliers'!$L$3:$N$6,3,FALSE)))</f>
        <v/>
      </c>
      <c r="M115" s="506" t="str">
        <f>IF(D115="","",VLOOKUP(D115,'G-6 Hedgerow Data'!$B$1:$AH$15,33,FALSE))</f>
        <v/>
      </c>
      <c r="N115" s="513" t="str">
        <f t="shared" si="9"/>
        <v/>
      </c>
      <c r="O115" s="40"/>
      <c r="P115" s="154"/>
      <c r="Q115" s="203"/>
      <c r="R115" s="532" t="str">
        <f t="shared" si="10"/>
        <v/>
      </c>
      <c r="S115" s="532" t="str">
        <f t="shared" si="11"/>
        <v/>
      </c>
      <c r="T115" s="532" t="str">
        <f t="shared" si="12"/>
        <v/>
      </c>
      <c r="U115" s="557" t="str">
        <f t="shared" si="13"/>
        <v/>
      </c>
      <c r="V115" s="151"/>
      <c r="W115" s="152"/>
      <c r="AE115" s="156" t="str">
        <f t="shared" si="7"/>
        <v/>
      </c>
      <c r="AF115" s="156" t="str">
        <f t="shared" si="8"/>
        <v/>
      </c>
      <c r="AH115" s="156">
        <v>106</v>
      </c>
      <c r="AJ115" s="156" t="str">
        <f t="array" ref="AJ115">IFERROR(INDEX($AH$10:$AH$258, MATCH(0, IF(TRUE=$AE$10:$AE$258, COUNTIF($AJ$9:$AJ114, $AH$10:$AH$258), ""), 0)),"")</f>
        <v/>
      </c>
      <c r="AK115" s="156" t="str">
        <f t="array" ref="AK115">IFERROR(INDEX($AH$10:$AH$258, MATCH(0, IF(TRUE=$AF$10:$AF$258, COUNTIF($AK$9:$AK114, $AH$10:$AH$258), ""), 0)),"")</f>
        <v/>
      </c>
      <c r="AL115" s="31" t="str">
        <f>IFERROR(INDEX('G-6 Hedgerow Data'!$BJ$3:$BJ$15,MATCH(D115,'G-6 Hedgerow Data'!$B$3:$B$15,0)),"")</f>
        <v/>
      </c>
    </row>
    <row r="116" spans="2:38" ht="14" x14ac:dyDescent="0.3">
      <c r="B116" s="141">
        <v>107</v>
      </c>
      <c r="C116" s="203"/>
      <c r="D116" s="203"/>
      <c r="E116" s="153"/>
      <c r="F116" s="553" t="str">
        <f>IF(D116="","",VLOOKUP(D116,'G-6 Hedgerow Data'!$B$2:$AG$15,2,FALSE))</f>
        <v/>
      </c>
      <c r="G116" s="499" t="str">
        <f>IF(D116="","",VLOOKUP(D116,'G-6 Hedgerow Data'!$B$2:$AG$15,3,FALSE))</f>
        <v/>
      </c>
      <c r="H116" s="145"/>
      <c r="I116" s="499" t="str">
        <f>IFERROR(VLOOKUP(H116,'G-1 All Habitats'!$Z$2:$AA$9,2,FALSE),"")</f>
        <v/>
      </c>
      <c r="J116" s="145"/>
      <c r="K116" s="507" t="str">
        <f>IF(J116="","",IF(VLOOKUP(J116,'G-3 Multipliers'!$L$3:$N$6,2,FALSE)=0,"Spatial Data Missing",VLOOKUP(J116,'G-3 Multipliers'!$L$3:$N$6,2,FALSE)))</f>
        <v/>
      </c>
      <c r="L116" s="505" t="str">
        <f>IF(J116="","",IF(VLOOKUP(J116,'G-3 Multipliers'!$L$3:$N$6,3,FALSE)=0,"Spatial Data Missing ⚠",VLOOKUP(J116,'G-3 Multipliers'!$L$3:$N$6,3,FALSE)))</f>
        <v/>
      </c>
      <c r="M116" s="506" t="str">
        <f>IF(D116="","",VLOOKUP(D116,'G-6 Hedgerow Data'!$B$1:$AH$15,33,FALSE))</f>
        <v/>
      </c>
      <c r="N116" s="513" t="str">
        <f t="shared" si="9"/>
        <v/>
      </c>
      <c r="O116" s="40"/>
      <c r="P116" s="154"/>
      <c r="Q116" s="203"/>
      <c r="R116" s="532" t="str">
        <f t="shared" si="10"/>
        <v/>
      </c>
      <c r="S116" s="532" t="str">
        <f t="shared" si="11"/>
        <v/>
      </c>
      <c r="T116" s="532" t="str">
        <f t="shared" si="12"/>
        <v/>
      </c>
      <c r="U116" s="557" t="str">
        <f t="shared" si="13"/>
        <v/>
      </c>
      <c r="V116" s="151"/>
      <c r="W116" s="152"/>
      <c r="AE116" s="156" t="str">
        <f t="shared" si="7"/>
        <v/>
      </c>
      <c r="AF116" s="156" t="str">
        <f t="shared" si="8"/>
        <v/>
      </c>
      <c r="AH116" s="156">
        <v>107</v>
      </c>
      <c r="AJ116" s="156" t="str">
        <f t="array" ref="AJ116">IFERROR(INDEX($AH$10:$AH$258, MATCH(0, IF(TRUE=$AE$10:$AE$258, COUNTIF($AJ$9:$AJ115, $AH$10:$AH$258), ""), 0)),"")</f>
        <v/>
      </c>
      <c r="AK116" s="156" t="str">
        <f t="array" ref="AK116">IFERROR(INDEX($AH$10:$AH$258, MATCH(0, IF(TRUE=$AF$10:$AF$258, COUNTIF($AK$9:$AK115, $AH$10:$AH$258), ""), 0)),"")</f>
        <v/>
      </c>
      <c r="AL116" s="31" t="str">
        <f>IFERROR(INDEX('G-6 Hedgerow Data'!$BJ$3:$BJ$15,MATCH(D116,'G-6 Hedgerow Data'!$B$3:$B$15,0)),"")</f>
        <v/>
      </c>
    </row>
    <row r="117" spans="2:38" ht="14" x14ac:dyDescent="0.3">
      <c r="B117" s="141">
        <v>108</v>
      </c>
      <c r="C117" s="203"/>
      <c r="D117" s="203"/>
      <c r="E117" s="153"/>
      <c r="F117" s="553" t="str">
        <f>IF(D117="","",VLOOKUP(D117,'G-6 Hedgerow Data'!$B$2:$AG$15,2,FALSE))</f>
        <v/>
      </c>
      <c r="G117" s="499" t="str">
        <f>IF(D117="","",VLOOKUP(D117,'G-6 Hedgerow Data'!$B$2:$AG$15,3,FALSE))</f>
        <v/>
      </c>
      <c r="H117" s="145"/>
      <c r="I117" s="499" t="str">
        <f>IFERROR(VLOOKUP(H117,'G-1 All Habitats'!$Z$2:$AA$9,2,FALSE),"")</f>
        <v/>
      </c>
      <c r="J117" s="145"/>
      <c r="K117" s="507" t="str">
        <f>IF(J117="","",IF(VLOOKUP(J117,'G-3 Multipliers'!$L$3:$N$6,2,FALSE)=0,"Spatial Data Missing",VLOOKUP(J117,'G-3 Multipliers'!$L$3:$N$6,2,FALSE)))</f>
        <v/>
      </c>
      <c r="L117" s="505" t="str">
        <f>IF(J117="","",IF(VLOOKUP(J117,'G-3 Multipliers'!$L$3:$N$6,3,FALSE)=0,"Spatial Data Missing ⚠",VLOOKUP(J117,'G-3 Multipliers'!$L$3:$N$6,3,FALSE)))</f>
        <v/>
      </c>
      <c r="M117" s="506" t="str">
        <f>IF(D117="","",VLOOKUP(D117,'G-6 Hedgerow Data'!$B$1:$AH$15,33,FALSE))</f>
        <v/>
      </c>
      <c r="N117" s="513" t="str">
        <f t="shared" si="9"/>
        <v/>
      </c>
      <c r="O117" s="40"/>
      <c r="P117" s="154"/>
      <c r="Q117" s="203"/>
      <c r="R117" s="532" t="str">
        <f t="shared" si="10"/>
        <v/>
      </c>
      <c r="S117" s="532" t="str">
        <f t="shared" si="11"/>
        <v/>
      </c>
      <c r="T117" s="532" t="str">
        <f t="shared" si="12"/>
        <v/>
      </c>
      <c r="U117" s="557" t="str">
        <f t="shared" si="13"/>
        <v/>
      </c>
      <c r="V117" s="151"/>
      <c r="W117" s="152"/>
      <c r="AE117" s="156" t="str">
        <f t="shared" si="7"/>
        <v/>
      </c>
      <c r="AF117" s="156" t="str">
        <f t="shared" si="8"/>
        <v/>
      </c>
      <c r="AH117" s="156">
        <v>108</v>
      </c>
      <c r="AJ117" s="156" t="str">
        <f t="array" ref="AJ117">IFERROR(INDEX($AH$10:$AH$258, MATCH(0, IF(TRUE=$AE$10:$AE$258, COUNTIF($AJ$9:$AJ116, $AH$10:$AH$258), ""), 0)),"")</f>
        <v/>
      </c>
      <c r="AK117" s="156" t="str">
        <f t="array" ref="AK117">IFERROR(INDEX($AH$10:$AH$258, MATCH(0, IF(TRUE=$AF$10:$AF$258, COUNTIF($AK$9:$AK116, $AH$10:$AH$258), ""), 0)),"")</f>
        <v/>
      </c>
      <c r="AL117" s="31" t="str">
        <f>IFERROR(INDEX('G-6 Hedgerow Data'!$BJ$3:$BJ$15,MATCH(D117,'G-6 Hedgerow Data'!$B$3:$B$15,0)),"")</f>
        <v/>
      </c>
    </row>
    <row r="118" spans="2:38" ht="14" x14ac:dyDescent="0.3">
      <c r="B118" s="141">
        <v>109</v>
      </c>
      <c r="C118" s="203"/>
      <c r="D118" s="203"/>
      <c r="E118" s="153"/>
      <c r="F118" s="553" t="str">
        <f>IF(D118="","",VLOOKUP(D118,'G-6 Hedgerow Data'!$B$2:$AG$15,2,FALSE))</f>
        <v/>
      </c>
      <c r="G118" s="499" t="str">
        <f>IF(D118="","",VLOOKUP(D118,'G-6 Hedgerow Data'!$B$2:$AG$15,3,FALSE))</f>
        <v/>
      </c>
      <c r="H118" s="145"/>
      <c r="I118" s="499" t="str">
        <f>IFERROR(VLOOKUP(H118,'G-1 All Habitats'!$Z$2:$AA$9,2,FALSE),"")</f>
        <v/>
      </c>
      <c r="J118" s="145"/>
      <c r="K118" s="507" t="str">
        <f>IF(J118="","",IF(VLOOKUP(J118,'G-3 Multipliers'!$L$3:$N$6,2,FALSE)=0,"Spatial Data Missing",VLOOKUP(J118,'G-3 Multipliers'!$L$3:$N$6,2,FALSE)))</f>
        <v/>
      </c>
      <c r="L118" s="505" t="str">
        <f>IF(J118="","",IF(VLOOKUP(J118,'G-3 Multipliers'!$L$3:$N$6,3,FALSE)=0,"Spatial Data Missing ⚠",VLOOKUP(J118,'G-3 Multipliers'!$L$3:$N$6,3,FALSE)))</f>
        <v/>
      </c>
      <c r="M118" s="506" t="str">
        <f>IF(D118="","",VLOOKUP(D118,'G-6 Hedgerow Data'!$B$1:$AH$15,33,FALSE))</f>
        <v/>
      </c>
      <c r="N118" s="513" t="str">
        <f t="shared" si="9"/>
        <v/>
      </c>
      <c r="O118" s="40"/>
      <c r="P118" s="154"/>
      <c r="Q118" s="203"/>
      <c r="R118" s="532" t="str">
        <f t="shared" si="10"/>
        <v/>
      </c>
      <c r="S118" s="532" t="str">
        <f t="shared" si="11"/>
        <v/>
      </c>
      <c r="T118" s="532" t="str">
        <f t="shared" si="12"/>
        <v/>
      </c>
      <c r="U118" s="557" t="str">
        <f t="shared" si="13"/>
        <v/>
      </c>
      <c r="V118" s="151"/>
      <c r="W118" s="152"/>
      <c r="AE118" s="156" t="str">
        <f t="shared" si="7"/>
        <v/>
      </c>
      <c r="AF118" s="156" t="str">
        <f t="shared" si="8"/>
        <v/>
      </c>
      <c r="AH118" s="156">
        <v>109</v>
      </c>
      <c r="AJ118" s="156" t="str">
        <f t="array" ref="AJ118">IFERROR(INDEX($AH$10:$AH$258, MATCH(0, IF(TRUE=$AE$10:$AE$258, COUNTIF($AJ$9:$AJ117, $AH$10:$AH$258), ""), 0)),"")</f>
        <v/>
      </c>
      <c r="AK118" s="156" t="str">
        <f t="array" ref="AK118">IFERROR(INDEX($AH$10:$AH$258, MATCH(0, IF(TRUE=$AF$10:$AF$258, COUNTIF($AK$9:$AK117, $AH$10:$AH$258), ""), 0)),"")</f>
        <v/>
      </c>
      <c r="AL118" s="31" t="str">
        <f>IFERROR(INDEX('G-6 Hedgerow Data'!$BJ$3:$BJ$15,MATCH(D118,'G-6 Hedgerow Data'!$B$3:$B$15,0)),"")</f>
        <v/>
      </c>
    </row>
    <row r="119" spans="2:38" ht="14" x14ac:dyDescent="0.3">
      <c r="B119" s="141">
        <v>110</v>
      </c>
      <c r="C119" s="203"/>
      <c r="D119" s="203"/>
      <c r="E119" s="153"/>
      <c r="F119" s="553" t="str">
        <f>IF(D119="","",VLOOKUP(D119,'G-6 Hedgerow Data'!$B$2:$AG$15,2,FALSE))</f>
        <v/>
      </c>
      <c r="G119" s="499" t="str">
        <f>IF(D119="","",VLOOKUP(D119,'G-6 Hedgerow Data'!$B$2:$AG$15,3,FALSE))</f>
        <v/>
      </c>
      <c r="H119" s="145"/>
      <c r="I119" s="499" t="str">
        <f>IFERROR(VLOOKUP(H119,'G-1 All Habitats'!$Z$2:$AA$9,2,FALSE),"")</f>
        <v/>
      </c>
      <c r="J119" s="145"/>
      <c r="K119" s="507" t="str">
        <f>IF(J119="","",IF(VLOOKUP(J119,'G-3 Multipliers'!$L$3:$N$6,2,FALSE)=0,"Spatial Data Missing",VLOOKUP(J119,'G-3 Multipliers'!$L$3:$N$6,2,FALSE)))</f>
        <v/>
      </c>
      <c r="L119" s="505" t="str">
        <f>IF(J119="","",IF(VLOOKUP(J119,'G-3 Multipliers'!$L$3:$N$6,3,FALSE)=0,"Spatial Data Missing ⚠",VLOOKUP(J119,'G-3 Multipliers'!$L$3:$N$6,3,FALSE)))</f>
        <v/>
      </c>
      <c r="M119" s="506" t="str">
        <f>IF(D119="","",VLOOKUP(D119,'G-6 Hedgerow Data'!$B$1:$AH$15,33,FALSE))</f>
        <v/>
      </c>
      <c r="N119" s="513" t="str">
        <f t="shared" si="9"/>
        <v/>
      </c>
      <c r="O119" s="40"/>
      <c r="P119" s="154"/>
      <c r="Q119" s="203"/>
      <c r="R119" s="532" t="str">
        <f t="shared" si="10"/>
        <v/>
      </c>
      <c r="S119" s="532" t="str">
        <f t="shared" si="11"/>
        <v/>
      </c>
      <c r="T119" s="532" t="str">
        <f t="shared" si="12"/>
        <v/>
      </c>
      <c r="U119" s="557" t="str">
        <f t="shared" si="13"/>
        <v/>
      </c>
      <c r="V119" s="151"/>
      <c r="W119" s="152"/>
      <c r="AE119" s="156" t="str">
        <f t="shared" si="7"/>
        <v/>
      </c>
      <c r="AF119" s="156" t="str">
        <f t="shared" si="8"/>
        <v/>
      </c>
      <c r="AH119" s="156">
        <v>110</v>
      </c>
      <c r="AJ119" s="156" t="str">
        <f t="array" ref="AJ119">IFERROR(INDEX($AH$10:$AH$258, MATCH(0, IF(TRUE=$AE$10:$AE$258, COUNTIF($AJ$9:$AJ118, $AH$10:$AH$258), ""), 0)),"")</f>
        <v/>
      </c>
      <c r="AK119" s="156" t="str">
        <f t="array" ref="AK119">IFERROR(INDEX($AH$10:$AH$258, MATCH(0, IF(TRUE=$AF$10:$AF$258, COUNTIF($AK$9:$AK118, $AH$10:$AH$258), ""), 0)),"")</f>
        <v/>
      </c>
      <c r="AL119" s="31" t="str">
        <f>IFERROR(INDEX('G-6 Hedgerow Data'!$BJ$3:$BJ$15,MATCH(D119,'G-6 Hedgerow Data'!$B$3:$B$15,0)),"")</f>
        <v/>
      </c>
    </row>
    <row r="120" spans="2:38" ht="14" x14ac:dyDescent="0.3">
      <c r="B120" s="141">
        <v>111</v>
      </c>
      <c r="C120" s="203"/>
      <c r="D120" s="203"/>
      <c r="E120" s="153"/>
      <c r="F120" s="553" t="str">
        <f>IF(D120="","",VLOOKUP(D120,'G-6 Hedgerow Data'!$B$2:$AG$15,2,FALSE))</f>
        <v/>
      </c>
      <c r="G120" s="499" t="str">
        <f>IF(D120="","",VLOOKUP(D120,'G-6 Hedgerow Data'!$B$2:$AG$15,3,FALSE))</f>
        <v/>
      </c>
      <c r="H120" s="145"/>
      <c r="I120" s="499" t="str">
        <f>IFERROR(VLOOKUP(H120,'G-1 All Habitats'!$Z$2:$AA$9,2,FALSE),"")</f>
        <v/>
      </c>
      <c r="J120" s="145"/>
      <c r="K120" s="507" t="str">
        <f>IF(J120="","",IF(VLOOKUP(J120,'G-3 Multipliers'!$L$3:$N$6,2,FALSE)=0,"Spatial Data Missing",VLOOKUP(J120,'G-3 Multipliers'!$L$3:$N$6,2,FALSE)))</f>
        <v/>
      </c>
      <c r="L120" s="505" t="str">
        <f>IF(J120="","",IF(VLOOKUP(J120,'G-3 Multipliers'!$L$3:$N$6,3,FALSE)=0,"Spatial Data Missing ⚠",VLOOKUP(J120,'G-3 Multipliers'!$L$3:$N$6,3,FALSE)))</f>
        <v/>
      </c>
      <c r="M120" s="506" t="str">
        <f>IF(D120="","",VLOOKUP(D120,'G-6 Hedgerow Data'!$B$1:$AH$15,33,FALSE))</f>
        <v/>
      </c>
      <c r="N120" s="513" t="str">
        <f t="shared" si="9"/>
        <v/>
      </c>
      <c r="O120" s="40"/>
      <c r="P120" s="154"/>
      <c r="Q120" s="203"/>
      <c r="R120" s="532" t="str">
        <f t="shared" si="10"/>
        <v/>
      </c>
      <c r="S120" s="532" t="str">
        <f t="shared" si="11"/>
        <v/>
      </c>
      <c r="T120" s="532" t="str">
        <f t="shared" si="12"/>
        <v/>
      </c>
      <c r="U120" s="557" t="str">
        <f t="shared" si="13"/>
        <v/>
      </c>
      <c r="V120" s="151"/>
      <c r="W120" s="152"/>
      <c r="AE120" s="156" t="str">
        <f t="shared" si="7"/>
        <v/>
      </c>
      <c r="AF120" s="156" t="str">
        <f t="shared" si="8"/>
        <v/>
      </c>
      <c r="AH120" s="156">
        <v>111</v>
      </c>
      <c r="AJ120" s="156" t="str">
        <f t="array" ref="AJ120">IFERROR(INDEX($AH$10:$AH$258, MATCH(0, IF(TRUE=$AE$10:$AE$258, COUNTIF($AJ$9:$AJ119, $AH$10:$AH$258), ""), 0)),"")</f>
        <v/>
      </c>
      <c r="AK120" s="156" t="str">
        <f t="array" ref="AK120">IFERROR(INDEX($AH$10:$AH$258, MATCH(0, IF(TRUE=$AF$10:$AF$258, COUNTIF($AK$9:$AK119, $AH$10:$AH$258), ""), 0)),"")</f>
        <v/>
      </c>
      <c r="AL120" s="31" t="str">
        <f>IFERROR(INDEX('G-6 Hedgerow Data'!$BJ$3:$BJ$15,MATCH(D120,'G-6 Hedgerow Data'!$B$3:$B$15,0)),"")</f>
        <v/>
      </c>
    </row>
    <row r="121" spans="2:38" ht="14" x14ac:dyDescent="0.3">
      <c r="B121" s="141">
        <v>112</v>
      </c>
      <c r="C121" s="203"/>
      <c r="D121" s="203"/>
      <c r="E121" s="153"/>
      <c r="F121" s="553" t="str">
        <f>IF(D121="","",VLOOKUP(D121,'G-6 Hedgerow Data'!$B$2:$AG$15,2,FALSE))</f>
        <v/>
      </c>
      <c r="G121" s="499" t="str">
        <f>IF(D121="","",VLOOKUP(D121,'G-6 Hedgerow Data'!$B$2:$AG$15,3,FALSE))</f>
        <v/>
      </c>
      <c r="H121" s="145"/>
      <c r="I121" s="499" t="str">
        <f>IFERROR(VLOOKUP(H121,'G-1 All Habitats'!$Z$2:$AA$9,2,FALSE),"")</f>
        <v/>
      </c>
      <c r="J121" s="145"/>
      <c r="K121" s="507" t="str">
        <f>IF(J121="","",IF(VLOOKUP(J121,'G-3 Multipliers'!$L$3:$N$6,2,FALSE)=0,"Spatial Data Missing",VLOOKUP(J121,'G-3 Multipliers'!$L$3:$N$6,2,FALSE)))</f>
        <v/>
      </c>
      <c r="L121" s="505" t="str">
        <f>IF(J121="","",IF(VLOOKUP(J121,'G-3 Multipliers'!$L$3:$N$6,3,FALSE)=0,"Spatial Data Missing ⚠",VLOOKUP(J121,'G-3 Multipliers'!$L$3:$N$6,3,FALSE)))</f>
        <v/>
      </c>
      <c r="M121" s="506" t="str">
        <f>IF(D121="","",VLOOKUP(D121,'G-6 Hedgerow Data'!$B$1:$AH$15,33,FALSE))</f>
        <v/>
      </c>
      <c r="N121" s="513" t="str">
        <f t="shared" si="9"/>
        <v/>
      </c>
      <c r="O121" s="40"/>
      <c r="P121" s="154"/>
      <c r="Q121" s="203"/>
      <c r="R121" s="532" t="str">
        <f t="shared" si="10"/>
        <v/>
      </c>
      <c r="S121" s="532" t="str">
        <f t="shared" si="11"/>
        <v/>
      </c>
      <c r="T121" s="532" t="str">
        <f t="shared" si="12"/>
        <v/>
      </c>
      <c r="U121" s="557" t="str">
        <f t="shared" si="13"/>
        <v/>
      </c>
      <c r="V121" s="151"/>
      <c r="W121" s="152"/>
      <c r="AE121" s="156" t="str">
        <f t="shared" si="7"/>
        <v/>
      </c>
      <c r="AF121" s="156" t="str">
        <f t="shared" si="8"/>
        <v/>
      </c>
      <c r="AH121" s="156">
        <v>112</v>
      </c>
      <c r="AJ121" s="156" t="str">
        <f t="array" ref="AJ121">IFERROR(INDEX($AH$10:$AH$258, MATCH(0, IF(TRUE=$AE$10:$AE$258, COUNTIF($AJ$9:$AJ120, $AH$10:$AH$258), ""), 0)),"")</f>
        <v/>
      </c>
      <c r="AK121" s="156" t="str">
        <f t="array" ref="AK121">IFERROR(INDEX($AH$10:$AH$258, MATCH(0, IF(TRUE=$AF$10:$AF$258, COUNTIF($AK$9:$AK120, $AH$10:$AH$258), ""), 0)),"")</f>
        <v/>
      </c>
      <c r="AL121" s="31" t="str">
        <f>IFERROR(INDEX('G-6 Hedgerow Data'!$BJ$3:$BJ$15,MATCH(D121,'G-6 Hedgerow Data'!$B$3:$B$15,0)),"")</f>
        <v/>
      </c>
    </row>
    <row r="122" spans="2:38" ht="14" x14ac:dyDescent="0.3">
      <c r="B122" s="141">
        <v>113</v>
      </c>
      <c r="C122" s="203"/>
      <c r="D122" s="203"/>
      <c r="E122" s="153"/>
      <c r="F122" s="553" t="str">
        <f>IF(D122="","",VLOOKUP(D122,'G-6 Hedgerow Data'!$B$2:$AG$15,2,FALSE))</f>
        <v/>
      </c>
      <c r="G122" s="499" t="str">
        <f>IF(D122="","",VLOOKUP(D122,'G-6 Hedgerow Data'!$B$2:$AG$15,3,FALSE))</f>
        <v/>
      </c>
      <c r="H122" s="145"/>
      <c r="I122" s="499" t="str">
        <f>IFERROR(VLOOKUP(H122,'G-1 All Habitats'!$Z$2:$AA$9,2,FALSE),"")</f>
        <v/>
      </c>
      <c r="J122" s="145"/>
      <c r="K122" s="507" t="str">
        <f>IF(J122="","",IF(VLOOKUP(J122,'G-3 Multipliers'!$L$3:$N$6,2,FALSE)=0,"Spatial Data Missing",VLOOKUP(J122,'G-3 Multipliers'!$L$3:$N$6,2,FALSE)))</f>
        <v/>
      </c>
      <c r="L122" s="505" t="str">
        <f>IF(J122="","",IF(VLOOKUP(J122,'G-3 Multipliers'!$L$3:$N$6,3,FALSE)=0,"Spatial Data Missing ⚠",VLOOKUP(J122,'G-3 Multipliers'!$L$3:$N$6,3,FALSE)))</f>
        <v/>
      </c>
      <c r="M122" s="506" t="str">
        <f>IF(D122="","",VLOOKUP(D122,'G-6 Hedgerow Data'!$B$1:$AH$15,33,FALSE))</f>
        <v/>
      </c>
      <c r="N122" s="513" t="str">
        <f t="shared" si="9"/>
        <v/>
      </c>
      <c r="O122" s="40"/>
      <c r="P122" s="154"/>
      <c r="Q122" s="203"/>
      <c r="R122" s="532" t="str">
        <f t="shared" si="10"/>
        <v/>
      </c>
      <c r="S122" s="532" t="str">
        <f t="shared" si="11"/>
        <v/>
      </c>
      <c r="T122" s="532" t="str">
        <f t="shared" si="12"/>
        <v/>
      </c>
      <c r="U122" s="557" t="str">
        <f t="shared" si="13"/>
        <v/>
      </c>
      <c r="V122" s="151"/>
      <c r="W122" s="152"/>
      <c r="AE122" s="156" t="str">
        <f t="shared" si="7"/>
        <v/>
      </c>
      <c r="AF122" s="156" t="str">
        <f t="shared" si="8"/>
        <v/>
      </c>
      <c r="AH122" s="156">
        <v>113</v>
      </c>
      <c r="AJ122" s="156" t="str">
        <f t="array" ref="AJ122">IFERROR(INDEX($AH$10:$AH$258, MATCH(0, IF(TRUE=$AE$10:$AE$258, COUNTIF($AJ$9:$AJ121, $AH$10:$AH$258), ""), 0)),"")</f>
        <v/>
      </c>
      <c r="AK122" s="156" t="str">
        <f t="array" ref="AK122">IFERROR(INDEX($AH$10:$AH$258, MATCH(0, IF(TRUE=$AF$10:$AF$258, COUNTIF($AK$9:$AK121, $AH$10:$AH$258), ""), 0)),"")</f>
        <v/>
      </c>
      <c r="AL122" s="31" t="str">
        <f>IFERROR(INDEX('G-6 Hedgerow Data'!$BJ$3:$BJ$15,MATCH(D122,'G-6 Hedgerow Data'!$B$3:$B$15,0)),"")</f>
        <v/>
      </c>
    </row>
    <row r="123" spans="2:38" ht="14" x14ac:dyDescent="0.3">
      <c r="B123" s="141">
        <v>114</v>
      </c>
      <c r="C123" s="203"/>
      <c r="D123" s="203"/>
      <c r="E123" s="153"/>
      <c r="F123" s="553" t="str">
        <f>IF(D123="","",VLOOKUP(D123,'G-6 Hedgerow Data'!$B$2:$AG$15,2,FALSE))</f>
        <v/>
      </c>
      <c r="G123" s="499" t="str">
        <f>IF(D123="","",VLOOKUP(D123,'G-6 Hedgerow Data'!$B$2:$AG$15,3,FALSE))</f>
        <v/>
      </c>
      <c r="H123" s="145"/>
      <c r="I123" s="499" t="str">
        <f>IFERROR(VLOOKUP(H123,'G-1 All Habitats'!$Z$2:$AA$9,2,FALSE),"")</f>
        <v/>
      </c>
      <c r="J123" s="145"/>
      <c r="K123" s="507" t="str">
        <f>IF(J123="","",IF(VLOOKUP(J123,'G-3 Multipliers'!$L$3:$N$6,2,FALSE)=0,"Spatial Data Missing",VLOOKUP(J123,'G-3 Multipliers'!$L$3:$N$6,2,FALSE)))</f>
        <v/>
      </c>
      <c r="L123" s="505" t="str">
        <f>IF(J123="","",IF(VLOOKUP(J123,'G-3 Multipliers'!$L$3:$N$6,3,FALSE)=0,"Spatial Data Missing ⚠",VLOOKUP(J123,'G-3 Multipliers'!$L$3:$N$6,3,FALSE)))</f>
        <v/>
      </c>
      <c r="M123" s="506" t="str">
        <f>IF(D123="","",VLOOKUP(D123,'G-6 Hedgerow Data'!$B$1:$AH$15,33,FALSE))</f>
        <v/>
      </c>
      <c r="N123" s="513" t="str">
        <f t="shared" si="9"/>
        <v/>
      </c>
      <c r="O123" s="40"/>
      <c r="P123" s="154"/>
      <c r="Q123" s="203"/>
      <c r="R123" s="532" t="str">
        <f t="shared" si="10"/>
        <v/>
      </c>
      <c r="S123" s="532" t="str">
        <f t="shared" si="11"/>
        <v/>
      </c>
      <c r="T123" s="532" t="str">
        <f t="shared" si="12"/>
        <v/>
      </c>
      <c r="U123" s="557" t="str">
        <f t="shared" si="13"/>
        <v/>
      </c>
      <c r="V123" s="151"/>
      <c r="W123" s="152"/>
      <c r="AE123" s="156" t="str">
        <f t="shared" si="7"/>
        <v/>
      </c>
      <c r="AF123" s="156" t="str">
        <f t="shared" si="8"/>
        <v/>
      </c>
      <c r="AH123" s="156">
        <v>114</v>
      </c>
      <c r="AJ123" s="156" t="str">
        <f t="array" ref="AJ123">IFERROR(INDEX($AH$10:$AH$258, MATCH(0, IF(TRUE=$AE$10:$AE$258, COUNTIF($AJ$9:$AJ122, $AH$10:$AH$258), ""), 0)),"")</f>
        <v/>
      </c>
      <c r="AK123" s="156" t="str">
        <f t="array" ref="AK123">IFERROR(INDEX($AH$10:$AH$258, MATCH(0, IF(TRUE=$AF$10:$AF$258, COUNTIF($AK$9:$AK122, $AH$10:$AH$258), ""), 0)),"")</f>
        <v/>
      </c>
      <c r="AL123" s="31" t="str">
        <f>IFERROR(INDEX('G-6 Hedgerow Data'!$BJ$3:$BJ$15,MATCH(D123,'G-6 Hedgerow Data'!$B$3:$B$15,0)),"")</f>
        <v/>
      </c>
    </row>
    <row r="124" spans="2:38" ht="14" x14ac:dyDescent="0.3">
      <c r="B124" s="141">
        <v>115</v>
      </c>
      <c r="C124" s="203"/>
      <c r="D124" s="203"/>
      <c r="E124" s="153"/>
      <c r="F124" s="553" t="str">
        <f>IF(D124="","",VLOOKUP(D124,'G-6 Hedgerow Data'!$B$2:$AG$15,2,FALSE))</f>
        <v/>
      </c>
      <c r="G124" s="499" t="str">
        <f>IF(D124="","",VLOOKUP(D124,'G-6 Hedgerow Data'!$B$2:$AG$15,3,FALSE))</f>
        <v/>
      </c>
      <c r="H124" s="145"/>
      <c r="I124" s="499" t="str">
        <f>IFERROR(VLOOKUP(H124,'G-1 All Habitats'!$Z$2:$AA$9,2,FALSE),"")</f>
        <v/>
      </c>
      <c r="J124" s="145"/>
      <c r="K124" s="507" t="str">
        <f>IF(J124="","",IF(VLOOKUP(J124,'G-3 Multipliers'!$L$3:$N$6,2,FALSE)=0,"Spatial Data Missing",VLOOKUP(J124,'G-3 Multipliers'!$L$3:$N$6,2,FALSE)))</f>
        <v/>
      </c>
      <c r="L124" s="505" t="str">
        <f>IF(J124="","",IF(VLOOKUP(J124,'G-3 Multipliers'!$L$3:$N$6,3,FALSE)=0,"Spatial Data Missing ⚠",VLOOKUP(J124,'G-3 Multipliers'!$L$3:$N$6,3,FALSE)))</f>
        <v/>
      </c>
      <c r="M124" s="506" t="str">
        <f>IF(D124="","",VLOOKUP(D124,'G-6 Hedgerow Data'!$B$1:$AH$15,33,FALSE))</f>
        <v/>
      </c>
      <c r="N124" s="513" t="str">
        <f t="shared" si="9"/>
        <v/>
      </c>
      <c r="O124" s="40"/>
      <c r="P124" s="154"/>
      <c r="Q124" s="203"/>
      <c r="R124" s="532" t="str">
        <f t="shared" si="10"/>
        <v/>
      </c>
      <c r="S124" s="532" t="str">
        <f t="shared" si="11"/>
        <v/>
      </c>
      <c r="T124" s="532" t="str">
        <f t="shared" si="12"/>
        <v/>
      </c>
      <c r="U124" s="557" t="str">
        <f t="shared" si="13"/>
        <v/>
      </c>
      <c r="V124" s="151"/>
      <c r="W124" s="152"/>
      <c r="AE124" s="156" t="str">
        <f t="shared" si="7"/>
        <v/>
      </c>
      <c r="AF124" s="156" t="str">
        <f t="shared" si="8"/>
        <v/>
      </c>
      <c r="AH124" s="156">
        <v>115</v>
      </c>
      <c r="AJ124" s="156" t="str">
        <f t="array" ref="AJ124">IFERROR(INDEX($AH$10:$AH$258, MATCH(0, IF(TRUE=$AE$10:$AE$258, COUNTIF($AJ$9:$AJ123, $AH$10:$AH$258), ""), 0)),"")</f>
        <v/>
      </c>
      <c r="AK124" s="156" t="str">
        <f t="array" ref="AK124">IFERROR(INDEX($AH$10:$AH$258, MATCH(0, IF(TRUE=$AF$10:$AF$258, COUNTIF($AK$9:$AK123, $AH$10:$AH$258), ""), 0)),"")</f>
        <v/>
      </c>
      <c r="AL124" s="31" t="str">
        <f>IFERROR(INDEX('G-6 Hedgerow Data'!$BJ$3:$BJ$15,MATCH(D124,'G-6 Hedgerow Data'!$B$3:$B$15,0)),"")</f>
        <v/>
      </c>
    </row>
    <row r="125" spans="2:38" ht="14" x14ac:dyDescent="0.3">
      <c r="B125" s="141">
        <v>116</v>
      </c>
      <c r="C125" s="203"/>
      <c r="D125" s="203"/>
      <c r="E125" s="153"/>
      <c r="F125" s="553" t="str">
        <f>IF(D125="","",VLOOKUP(D125,'G-6 Hedgerow Data'!$B$2:$AG$15,2,FALSE))</f>
        <v/>
      </c>
      <c r="G125" s="499" t="str">
        <f>IF(D125="","",VLOOKUP(D125,'G-6 Hedgerow Data'!$B$2:$AG$15,3,FALSE))</f>
        <v/>
      </c>
      <c r="H125" s="145"/>
      <c r="I125" s="499" t="str">
        <f>IFERROR(VLOOKUP(H125,'G-1 All Habitats'!$Z$2:$AA$9,2,FALSE),"")</f>
        <v/>
      </c>
      <c r="J125" s="145"/>
      <c r="K125" s="507" t="str">
        <f>IF(J125="","",IF(VLOOKUP(J125,'G-3 Multipliers'!$L$3:$N$6,2,FALSE)=0,"Spatial Data Missing",VLOOKUP(J125,'G-3 Multipliers'!$L$3:$N$6,2,FALSE)))</f>
        <v/>
      </c>
      <c r="L125" s="505" t="str">
        <f>IF(J125="","",IF(VLOOKUP(J125,'G-3 Multipliers'!$L$3:$N$6,3,FALSE)=0,"Spatial Data Missing ⚠",VLOOKUP(J125,'G-3 Multipliers'!$L$3:$N$6,3,FALSE)))</f>
        <v/>
      </c>
      <c r="M125" s="506" t="str">
        <f>IF(D125="","",VLOOKUP(D125,'G-6 Hedgerow Data'!$B$1:$AH$15,33,FALSE))</f>
        <v/>
      </c>
      <c r="N125" s="513" t="str">
        <f t="shared" si="9"/>
        <v/>
      </c>
      <c r="O125" s="40"/>
      <c r="P125" s="154"/>
      <c r="Q125" s="203"/>
      <c r="R125" s="532" t="str">
        <f t="shared" si="10"/>
        <v/>
      </c>
      <c r="S125" s="532" t="str">
        <f t="shared" si="11"/>
        <v/>
      </c>
      <c r="T125" s="532" t="str">
        <f t="shared" si="12"/>
        <v/>
      </c>
      <c r="U125" s="557" t="str">
        <f t="shared" si="13"/>
        <v/>
      </c>
      <c r="V125" s="151"/>
      <c r="W125" s="152"/>
      <c r="AE125" s="156" t="str">
        <f t="shared" si="7"/>
        <v/>
      </c>
      <c r="AF125" s="156" t="str">
        <f t="shared" si="8"/>
        <v/>
      </c>
      <c r="AH125" s="156">
        <v>116</v>
      </c>
      <c r="AJ125" s="156" t="str">
        <f t="array" ref="AJ125">IFERROR(INDEX($AH$10:$AH$258, MATCH(0, IF(TRUE=$AE$10:$AE$258, COUNTIF($AJ$9:$AJ124, $AH$10:$AH$258), ""), 0)),"")</f>
        <v/>
      </c>
      <c r="AK125" s="156" t="str">
        <f t="array" ref="AK125">IFERROR(INDEX($AH$10:$AH$258, MATCH(0, IF(TRUE=$AF$10:$AF$258, COUNTIF($AK$9:$AK124, $AH$10:$AH$258), ""), 0)),"")</f>
        <v/>
      </c>
      <c r="AL125" s="31" t="str">
        <f>IFERROR(INDEX('G-6 Hedgerow Data'!$BJ$3:$BJ$15,MATCH(D125,'G-6 Hedgerow Data'!$B$3:$B$15,0)),"")</f>
        <v/>
      </c>
    </row>
    <row r="126" spans="2:38" ht="14" x14ac:dyDescent="0.3">
      <c r="B126" s="141">
        <v>117</v>
      </c>
      <c r="C126" s="203"/>
      <c r="D126" s="203"/>
      <c r="E126" s="153"/>
      <c r="F126" s="553" t="str">
        <f>IF(D126="","",VLOOKUP(D126,'G-6 Hedgerow Data'!$B$2:$AG$15,2,FALSE))</f>
        <v/>
      </c>
      <c r="G126" s="499" t="str">
        <f>IF(D126="","",VLOOKUP(D126,'G-6 Hedgerow Data'!$B$2:$AG$15,3,FALSE))</f>
        <v/>
      </c>
      <c r="H126" s="145"/>
      <c r="I126" s="499" t="str">
        <f>IFERROR(VLOOKUP(H126,'G-1 All Habitats'!$Z$2:$AA$9,2,FALSE),"")</f>
        <v/>
      </c>
      <c r="J126" s="145"/>
      <c r="K126" s="507" t="str">
        <f>IF(J126="","",IF(VLOOKUP(J126,'G-3 Multipliers'!$L$3:$N$6,2,FALSE)=0,"Spatial Data Missing",VLOOKUP(J126,'G-3 Multipliers'!$L$3:$N$6,2,FALSE)))</f>
        <v/>
      </c>
      <c r="L126" s="505" t="str">
        <f>IF(J126="","",IF(VLOOKUP(J126,'G-3 Multipliers'!$L$3:$N$6,3,FALSE)=0,"Spatial Data Missing ⚠",VLOOKUP(J126,'G-3 Multipliers'!$L$3:$N$6,3,FALSE)))</f>
        <v/>
      </c>
      <c r="M126" s="506" t="str">
        <f>IF(D126="","",VLOOKUP(D126,'G-6 Hedgerow Data'!$B$1:$AH$15,33,FALSE))</f>
        <v/>
      </c>
      <c r="N126" s="513" t="str">
        <f t="shared" si="9"/>
        <v/>
      </c>
      <c r="O126" s="40"/>
      <c r="P126" s="154"/>
      <c r="Q126" s="203"/>
      <c r="R126" s="532" t="str">
        <f t="shared" si="10"/>
        <v/>
      </c>
      <c r="S126" s="532" t="str">
        <f t="shared" si="11"/>
        <v/>
      </c>
      <c r="T126" s="532" t="str">
        <f t="shared" si="12"/>
        <v/>
      </c>
      <c r="U126" s="557" t="str">
        <f t="shared" si="13"/>
        <v/>
      </c>
      <c r="V126" s="151"/>
      <c r="W126" s="152"/>
      <c r="AE126" s="156" t="str">
        <f t="shared" si="7"/>
        <v/>
      </c>
      <c r="AF126" s="156" t="str">
        <f t="shared" si="8"/>
        <v/>
      </c>
      <c r="AH126" s="156">
        <v>117</v>
      </c>
      <c r="AJ126" s="156" t="str">
        <f t="array" ref="AJ126">IFERROR(INDEX($AH$10:$AH$258, MATCH(0, IF(TRUE=$AE$10:$AE$258, COUNTIF($AJ$9:$AJ125, $AH$10:$AH$258), ""), 0)),"")</f>
        <v/>
      </c>
      <c r="AK126" s="156" t="str">
        <f t="array" ref="AK126">IFERROR(INDEX($AH$10:$AH$258, MATCH(0, IF(TRUE=$AF$10:$AF$258, COUNTIF($AK$9:$AK125, $AH$10:$AH$258), ""), 0)),"")</f>
        <v/>
      </c>
      <c r="AL126" s="31" t="str">
        <f>IFERROR(INDEX('G-6 Hedgerow Data'!$BJ$3:$BJ$15,MATCH(D126,'G-6 Hedgerow Data'!$B$3:$B$15,0)),"")</f>
        <v/>
      </c>
    </row>
    <row r="127" spans="2:38" ht="14" x14ac:dyDescent="0.3">
      <c r="B127" s="141">
        <v>118</v>
      </c>
      <c r="C127" s="203"/>
      <c r="D127" s="203"/>
      <c r="E127" s="153"/>
      <c r="F127" s="553" t="str">
        <f>IF(D127="","",VLOOKUP(D127,'G-6 Hedgerow Data'!$B$2:$AG$15,2,FALSE))</f>
        <v/>
      </c>
      <c r="G127" s="499" t="str">
        <f>IF(D127="","",VLOOKUP(D127,'G-6 Hedgerow Data'!$B$2:$AG$15,3,FALSE))</f>
        <v/>
      </c>
      <c r="H127" s="145"/>
      <c r="I127" s="499" t="str">
        <f>IFERROR(VLOOKUP(H127,'G-1 All Habitats'!$Z$2:$AA$9,2,FALSE),"")</f>
        <v/>
      </c>
      <c r="J127" s="145"/>
      <c r="K127" s="507" t="str">
        <f>IF(J127="","",IF(VLOOKUP(J127,'G-3 Multipliers'!$L$3:$N$6,2,FALSE)=0,"Spatial Data Missing",VLOOKUP(J127,'G-3 Multipliers'!$L$3:$N$6,2,FALSE)))</f>
        <v/>
      </c>
      <c r="L127" s="505" t="str">
        <f>IF(J127="","",IF(VLOOKUP(J127,'G-3 Multipliers'!$L$3:$N$6,3,FALSE)=0,"Spatial Data Missing ⚠",VLOOKUP(J127,'G-3 Multipliers'!$L$3:$N$6,3,FALSE)))</f>
        <v/>
      </c>
      <c r="M127" s="506" t="str">
        <f>IF(D127="","",VLOOKUP(D127,'G-6 Hedgerow Data'!$B$1:$AH$15,33,FALSE))</f>
        <v/>
      </c>
      <c r="N127" s="513" t="str">
        <f t="shared" si="9"/>
        <v/>
      </c>
      <c r="O127" s="40"/>
      <c r="P127" s="154"/>
      <c r="Q127" s="203"/>
      <c r="R127" s="532" t="str">
        <f t="shared" si="10"/>
        <v/>
      </c>
      <c r="S127" s="532" t="str">
        <f t="shared" si="11"/>
        <v/>
      </c>
      <c r="T127" s="532" t="str">
        <f t="shared" si="12"/>
        <v/>
      </c>
      <c r="U127" s="557" t="str">
        <f t="shared" si="13"/>
        <v/>
      </c>
      <c r="V127" s="151"/>
      <c r="W127" s="152"/>
      <c r="AE127" s="156" t="str">
        <f t="shared" si="7"/>
        <v/>
      </c>
      <c r="AF127" s="156" t="str">
        <f t="shared" si="8"/>
        <v/>
      </c>
      <c r="AH127" s="156">
        <v>118</v>
      </c>
      <c r="AJ127" s="156" t="str">
        <f t="array" ref="AJ127">IFERROR(INDEX($AH$10:$AH$258, MATCH(0, IF(TRUE=$AE$10:$AE$258, COUNTIF($AJ$9:$AJ126, $AH$10:$AH$258), ""), 0)),"")</f>
        <v/>
      </c>
      <c r="AK127" s="156" t="str">
        <f t="array" ref="AK127">IFERROR(INDEX($AH$10:$AH$258, MATCH(0, IF(TRUE=$AF$10:$AF$258, COUNTIF($AK$9:$AK126, $AH$10:$AH$258), ""), 0)),"")</f>
        <v/>
      </c>
      <c r="AL127" s="31" t="str">
        <f>IFERROR(INDEX('G-6 Hedgerow Data'!$BJ$3:$BJ$15,MATCH(D127,'G-6 Hedgerow Data'!$B$3:$B$15,0)),"")</f>
        <v/>
      </c>
    </row>
    <row r="128" spans="2:38" ht="14" x14ac:dyDescent="0.3">
      <c r="B128" s="141">
        <v>119</v>
      </c>
      <c r="C128" s="203"/>
      <c r="D128" s="203"/>
      <c r="E128" s="153"/>
      <c r="F128" s="553" t="str">
        <f>IF(D128="","",VLOOKUP(D128,'G-6 Hedgerow Data'!$B$2:$AG$15,2,FALSE))</f>
        <v/>
      </c>
      <c r="G128" s="499" t="str">
        <f>IF(D128="","",VLOOKUP(D128,'G-6 Hedgerow Data'!$B$2:$AG$15,3,FALSE))</f>
        <v/>
      </c>
      <c r="H128" s="145"/>
      <c r="I128" s="499" t="str">
        <f>IFERROR(VLOOKUP(H128,'G-1 All Habitats'!$Z$2:$AA$9,2,FALSE),"")</f>
        <v/>
      </c>
      <c r="J128" s="145"/>
      <c r="K128" s="507" t="str">
        <f>IF(J128="","",IF(VLOOKUP(J128,'G-3 Multipliers'!$L$3:$N$6,2,FALSE)=0,"Spatial Data Missing",VLOOKUP(J128,'G-3 Multipliers'!$L$3:$N$6,2,FALSE)))</f>
        <v/>
      </c>
      <c r="L128" s="505" t="str">
        <f>IF(J128="","",IF(VLOOKUP(J128,'G-3 Multipliers'!$L$3:$N$6,3,FALSE)=0,"Spatial Data Missing ⚠",VLOOKUP(J128,'G-3 Multipliers'!$L$3:$N$6,3,FALSE)))</f>
        <v/>
      </c>
      <c r="M128" s="506" t="str">
        <f>IF(D128="","",VLOOKUP(D128,'G-6 Hedgerow Data'!$B$1:$AH$15,33,FALSE))</f>
        <v/>
      </c>
      <c r="N128" s="513" t="str">
        <f t="shared" si="9"/>
        <v/>
      </c>
      <c r="O128" s="40"/>
      <c r="P128" s="154"/>
      <c r="Q128" s="203"/>
      <c r="R128" s="532" t="str">
        <f t="shared" si="10"/>
        <v/>
      </c>
      <c r="S128" s="532" t="str">
        <f t="shared" si="11"/>
        <v/>
      </c>
      <c r="T128" s="532" t="str">
        <f t="shared" si="12"/>
        <v/>
      </c>
      <c r="U128" s="557" t="str">
        <f t="shared" si="13"/>
        <v/>
      </c>
      <c r="V128" s="151"/>
      <c r="W128" s="152"/>
      <c r="AE128" s="156" t="str">
        <f t="shared" si="7"/>
        <v/>
      </c>
      <c r="AF128" s="156" t="str">
        <f t="shared" si="8"/>
        <v/>
      </c>
      <c r="AH128" s="156">
        <v>119</v>
      </c>
      <c r="AJ128" s="156" t="str">
        <f t="array" ref="AJ128">IFERROR(INDEX($AH$10:$AH$258, MATCH(0, IF(TRUE=$AE$10:$AE$258, COUNTIF($AJ$9:$AJ127, $AH$10:$AH$258), ""), 0)),"")</f>
        <v/>
      </c>
      <c r="AK128" s="156" t="str">
        <f t="array" ref="AK128">IFERROR(INDEX($AH$10:$AH$258, MATCH(0, IF(TRUE=$AF$10:$AF$258, COUNTIF($AK$9:$AK127, $AH$10:$AH$258), ""), 0)),"")</f>
        <v/>
      </c>
      <c r="AL128" s="31" t="str">
        <f>IFERROR(INDEX('G-6 Hedgerow Data'!$BJ$3:$BJ$15,MATCH(D128,'G-6 Hedgerow Data'!$B$3:$B$15,0)),"")</f>
        <v/>
      </c>
    </row>
    <row r="129" spans="2:38" ht="14" x14ac:dyDescent="0.3">
      <c r="B129" s="141">
        <v>120</v>
      </c>
      <c r="C129" s="203"/>
      <c r="D129" s="203"/>
      <c r="E129" s="153"/>
      <c r="F129" s="553" t="str">
        <f>IF(D129="","",VLOOKUP(D129,'G-6 Hedgerow Data'!$B$2:$AG$15,2,FALSE))</f>
        <v/>
      </c>
      <c r="G129" s="499" t="str">
        <f>IF(D129="","",VLOOKUP(D129,'G-6 Hedgerow Data'!$B$2:$AG$15,3,FALSE))</f>
        <v/>
      </c>
      <c r="H129" s="145"/>
      <c r="I129" s="499" t="str">
        <f>IFERROR(VLOOKUP(H129,'G-1 All Habitats'!$Z$2:$AA$9,2,FALSE),"")</f>
        <v/>
      </c>
      <c r="J129" s="145"/>
      <c r="K129" s="507" t="str">
        <f>IF(J129="","",IF(VLOOKUP(J129,'G-3 Multipliers'!$L$3:$N$6,2,FALSE)=0,"Spatial Data Missing",VLOOKUP(J129,'G-3 Multipliers'!$L$3:$N$6,2,FALSE)))</f>
        <v/>
      </c>
      <c r="L129" s="505" t="str">
        <f>IF(J129="","",IF(VLOOKUP(J129,'G-3 Multipliers'!$L$3:$N$6,3,FALSE)=0,"Spatial Data Missing ⚠",VLOOKUP(J129,'G-3 Multipliers'!$L$3:$N$6,3,FALSE)))</f>
        <v/>
      </c>
      <c r="M129" s="506" t="str">
        <f>IF(D129="","",VLOOKUP(D129,'G-6 Hedgerow Data'!$B$1:$AH$15,33,FALSE))</f>
        <v/>
      </c>
      <c r="N129" s="513" t="str">
        <f t="shared" si="9"/>
        <v/>
      </c>
      <c r="O129" s="40"/>
      <c r="P129" s="154"/>
      <c r="Q129" s="203"/>
      <c r="R129" s="532" t="str">
        <f t="shared" si="10"/>
        <v/>
      </c>
      <c r="S129" s="532" t="str">
        <f t="shared" si="11"/>
        <v/>
      </c>
      <c r="T129" s="532" t="str">
        <f t="shared" si="12"/>
        <v/>
      </c>
      <c r="U129" s="557" t="str">
        <f t="shared" si="13"/>
        <v/>
      </c>
      <c r="V129" s="151"/>
      <c r="W129" s="152"/>
      <c r="AE129" s="156" t="str">
        <f t="shared" si="7"/>
        <v/>
      </c>
      <c r="AF129" s="156" t="str">
        <f t="shared" si="8"/>
        <v/>
      </c>
      <c r="AH129" s="156">
        <v>120</v>
      </c>
      <c r="AJ129" s="156" t="str">
        <f t="array" ref="AJ129">IFERROR(INDEX($AH$10:$AH$258, MATCH(0, IF(TRUE=$AE$10:$AE$258, COUNTIF($AJ$9:$AJ128, $AH$10:$AH$258), ""), 0)),"")</f>
        <v/>
      </c>
      <c r="AK129" s="156" t="str">
        <f t="array" ref="AK129">IFERROR(INDEX($AH$10:$AH$258, MATCH(0, IF(TRUE=$AF$10:$AF$258, COUNTIF($AK$9:$AK128, $AH$10:$AH$258), ""), 0)),"")</f>
        <v/>
      </c>
      <c r="AL129" s="31" t="str">
        <f>IFERROR(INDEX('G-6 Hedgerow Data'!$BJ$3:$BJ$15,MATCH(D129,'G-6 Hedgerow Data'!$B$3:$B$15,0)),"")</f>
        <v/>
      </c>
    </row>
    <row r="130" spans="2:38" ht="14" x14ac:dyDescent="0.3">
      <c r="B130" s="141">
        <v>121</v>
      </c>
      <c r="C130" s="203"/>
      <c r="D130" s="203"/>
      <c r="E130" s="153"/>
      <c r="F130" s="553" t="str">
        <f>IF(D130="","",VLOOKUP(D130,'G-6 Hedgerow Data'!$B$2:$AG$15,2,FALSE))</f>
        <v/>
      </c>
      <c r="G130" s="499" t="str">
        <f>IF(D130="","",VLOOKUP(D130,'G-6 Hedgerow Data'!$B$2:$AG$15,3,FALSE))</f>
        <v/>
      </c>
      <c r="H130" s="145"/>
      <c r="I130" s="499" t="str">
        <f>IFERROR(VLOOKUP(H130,'G-1 All Habitats'!$Z$2:$AA$9,2,FALSE),"")</f>
        <v/>
      </c>
      <c r="J130" s="145"/>
      <c r="K130" s="507" t="str">
        <f>IF(J130="","",IF(VLOOKUP(J130,'G-3 Multipliers'!$L$3:$N$6,2,FALSE)=0,"Spatial Data Missing",VLOOKUP(J130,'G-3 Multipliers'!$L$3:$N$6,2,FALSE)))</f>
        <v/>
      </c>
      <c r="L130" s="505" t="str">
        <f>IF(J130="","",IF(VLOOKUP(J130,'G-3 Multipliers'!$L$3:$N$6,3,FALSE)=0,"Spatial Data Missing ⚠",VLOOKUP(J130,'G-3 Multipliers'!$L$3:$N$6,3,FALSE)))</f>
        <v/>
      </c>
      <c r="M130" s="506" t="str">
        <f>IF(D130="","",VLOOKUP(D130,'G-6 Hedgerow Data'!$B$1:$AH$15,33,FALSE))</f>
        <v/>
      </c>
      <c r="N130" s="513" t="str">
        <f t="shared" si="9"/>
        <v/>
      </c>
      <c r="O130" s="40"/>
      <c r="P130" s="154"/>
      <c r="Q130" s="203"/>
      <c r="R130" s="532" t="str">
        <f t="shared" si="10"/>
        <v/>
      </c>
      <c r="S130" s="532" t="str">
        <f t="shared" si="11"/>
        <v/>
      </c>
      <c r="T130" s="532" t="str">
        <f t="shared" si="12"/>
        <v/>
      </c>
      <c r="U130" s="557" t="str">
        <f t="shared" si="13"/>
        <v/>
      </c>
      <c r="V130" s="151"/>
      <c r="W130" s="152"/>
      <c r="AE130" s="156" t="str">
        <f t="shared" si="7"/>
        <v/>
      </c>
      <c r="AF130" s="156" t="str">
        <f t="shared" si="8"/>
        <v/>
      </c>
      <c r="AH130" s="156">
        <v>121</v>
      </c>
      <c r="AJ130" s="156" t="str">
        <f t="array" ref="AJ130">IFERROR(INDEX($AH$10:$AH$258, MATCH(0, IF(TRUE=$AE$10:$AE$258, COUNTIF($AJ$9:$AJ129, $AH$10:$AH$258), ""), 0)),"")</f>
        <v/>
      </c>
      <c r="AK130" s="156" t="str">
        <f t="array" ref="AK130">IFERROR(INDEX($AH$10:$AH$258, MATCH(0, IF(TRUE=$AF$10:$AF$258, COUNTIF($AK$9:$AK129, $AH$10:$AH$258), ""), 0)),"")</f>
        <v/>
      </c>
      <c r="AL130" s="31" t="str">
        <f>IFERROR(INDEX('G-6 Hedgerow Data'!$BJ$3:$BJ$15,MATCH(D130,'G-6 Hedgerow Data'!$B$3:$B$15,0)),"")</f>
        <v/>
      </c>
    </row>
    <row r="131" spans="2:38" ht="14" x14ac:dyDescent="0.3">
      <c r="B131" s="141">
        <v>122</v>
      </c>
      <c r="C131" s="203"/>
      <c r="D131" s="203"/>
      <c r="E131" s="153"/>
      <c r="F131" s="553" t="str">
        <f>IF(D131="","",VLOOKUP(D131,'G-6 Hedgerow Data'!$B$2:$AG$15,2,FALSE))</f>
        <v/>
      </c>
      <c r="G131" s="499" t="str">
        <f>IF(D131="","",VLOOKUP(D131,'G-6 Hedgerow Data'!$B$2:$AG$15,3,FALSE))</f>
        <v/>
      </c>
      <c r="H131" s="145"/>
      <c r="I131" s="499" t="str">
        <f>IFERROR(VLOOKUP(H131,'G-1 All Habitats'!$Z$2:$AA$9,2,FALSE),"")</f>
        <v/>
      </c>
      <c r="J131" s="145"/>
      <c r="K131" s="507" t="str">
        <f>IF(J131="","",IF(VLOOKUP(J131,'G-3 Multipliers'!$L$3:$N$6,2,FALSE)=0,"Spatial Data Missing",VLOOKUP(J131,'G-3 Multipliers'!$L$3:$N$6,2,FALSE)))</f>
        <v/>
      </c>
      <c r="L131" s="505" t="str">
        <f>IF(J131="","",IF(VLOOKUP(J131,'G-3 Multipliers'!$L$3:$N$6,3,FALSE)=0,"Spatial Data Missing ⚠",VLOOKUP(J131,'G-3 Multipliers'!$L$3:$N$6,3,FALSE)))</f>
        <v/>
      </c>
      <c r="M131" s="506" t="str">
        <f>IF(D131="","",VLOOKUP(D131,'G-6 Hedgerow Data'!$B$1:$AH$15,33,FALSE))</f>
        <v/>
      </c>
      <c r="N131" s="513" t="str">
        <f t="shared" si="9"/>
        <v/>
      </c>
      <c r="O131" s="40"/>
      <c r="P131" s="154"/>
      <c r="Q131" s="203"/>
      <c r="R131" s="532" t="str">
        <f t="shared" si="10"/>
        <v/>
      </c>
      <c r="S131" s="532" t="str">
        <f t="shared" si="11"/>
        <v/>
      </c>
      <c r="T131" s="532" t="str">
        <f t="shared" si="12"/>
        <v/>
      </c>
      <c r="U131" s="557" t="str">
        <f t="shared" si="13"/>
        <v/>
      </c>
      <c r="V131" s="151"/>
      <c r="W131" s="152"/>
      <c r="AE131" s="156" t="str">
        <f t="shared" si="7"/>
        <v/>
      </c>
      <c r="AF131" s="156" t="str">
        <f t="shared" si="8"/>
        <v/>
      </c>
      <c r="AH131" s="156">
        <v>122</v>
      </c>
      <c r="AJ131" s="156" t="str">
        <f t="array" ref="AJ131">IFERROR(INDEX($AH$10:$AH$258, MATCH(0, IF(TRUE=$AE$10:$AE$258, COUNTIF($AJ$9:$AJ130, $AH$10:$AH$258), ""), 0)),"")</f>
        <v/>
      </c>
      <c r="AK131" s="156" t="str">
        <f t="array" ref="AK131">IFERROR(INDEX($AH$10:$AH$258, MATCH(0, IF(TRUE=$AF$10:$AF$258, COUNTIF($AK$9:$AK130, $AH$10:$AH$258), ""), 0)),"")</f>
        <v/>
      </c>
      <c r="AL131" s="31" t="str">
        <f>IFERROR(INDEX('G-6 Hedgerow Data'!$BJ$3:$BJ$15,MATCH(D131,'G-6 Hedgerow Data'!$B$3:$B$15,0)),"")</f>
        <v/>
      </c>
    </row>
    <row r="132" spans="2:38" ht="14" x14ac:dyDescent="0.3">
      <c r="B132" s="141">
        <v>123</v>
      </c>
      <c r="C132" s="203"/>
      <c r="D132" s="203"/>
      <c r="E132" s="153"/>
      <c r="F132" s="553" t="str">
        <f>IF(D132="","",VLOOKUP(D132,'G-6 Hedgerow Data'!$B$2:$AG$15,2,FALSE))</f>
        <v/>
      </c>
      <c r="G132" s="499" t="str">
        <f>IF(D132="","",VLOOKUP(D132,'G-6 Hedgerow Data'!$B$2:$AG$15,3,FALSE))</f>
        <v/>
      </c>
      <c r="H132" s="145"/>
      <c r="I132" s="499" t="str">
        <f>IFERROR(VLOOKUP(H132,'G-1 All Habitats'!$Z$2:$AA$9,2,FALSE),"")</f>
        <v/>
      </c>
      <c r="J132" s="145"/>
      <c r="K132" s="507" t="str">
        <f>IF(J132="","",IF(VLOOKUP(J132,'G-3 Multipliers'!$L$3:$N$6,2,FALSE)=0,"Spatial Data Missing",VLOOKUP(J132,'G-3 Multipliers'!$L$3:$N$6,2,FALSE)))</f>
        <v/>
      </c>
      <c r="L132" s="505" t="str">
        <f>IF(J132="","",IF(VLOOKUP(J132,'G-3 Multipliers'!$L$3:$N$6,3,FALSE)=0,"Spatial Data Missing ⚠",VLOOKUP(J132,'G-3 Multipliers'!$L$3:$N$6,3,FALSE)))</f>
        <v/>
      </c>
      <c r="M132" s="506" t="str">
        <f>IF(D132="","",VLOOKUP(D132,'G-6 Hedgerow Data'!$B$1:$AH$15,33,FALSE))</f>
        <v/>
      </c>
      <c r="N132" s="513" t="str">
        <f t="shared" si="9"/>
        <v/>
      </c>
      <c r="O132" s="40"/>
      <c r="P132" s="154"/>
      <c r="Q132" s="203"/>
      <c r="R132" s="532" t="str">
        <f t="shared" si="10"/>
        <v/>
      </c>
      <c r="S132" s="532" t="str">
        <f t="shared" si="11"/>
        <v/>
      </c>
      <c r="T132" s="532" t="str">
        <f t="shared" si="12"/>
        <v/>
      </c>
      <c r="U132" s="557" t="str">
        <f t="shared" si="13"/>
        <v/>
      </c>
      <c r="V132" s="151"/>
      <c r="W132" s="152"/>
      <c r="AE132" s="156" t="str">
        <f t="shared" si="7"/>
        <v/>
      </c>
      <c r="AF132" s="156" t="str">
        <f t="shared" si="8"/>
        <v/>
      </c>
      <c r="AH132" s="156">
        <v>123</v>
      </c>
      <c r="AJ132" s="156" t="str">
        <f t="array" ref="AJ132">IFERROR(INDEX($AH$10:$AH$258, MATCH(0, IF(TRUE=$AE$10:$AE$258, COUNTIF($AJ$9:$AJ131, $AH$10:$AH$258), ""), 0)),"")</f>
        <v/>
      </c>
      <c r="AK132" s="156" t="str">
        <f t="array" ref="AK132">IFERROR(INDEX($AH$10:$AH$258, MATCH(0, IF(TRUE=$AF$10:$AF$258, COUNTIF($AK$9:$AK131, $AH$10:$AH$258), ""), 0)),"")</f>
        <v/>
      </c>
      <c r="AL132" s="31" t="str">
        <f>IFERROR(INDEX('G-6 Hedgerow Data'!$BJ$3:$BJ$15,MATCH(D132,'G-6 Hedgerow Data'!$B$3:$B$15,0)),"")</f>
        <v/>
      </c>
    </row>
    <row r="133" spans="2:38" ht="14" x14ac:dyDescent="0.3">
      <c r="B133" s="141">
        <v>124</v>
      </c>
      <c r="C133" s="203"/>
      <c r="D133" s="203"/>
      <c r="E133" s="153"/>
      <c r="F133" s="553" t="str">
        <f>IF(D133="","",VLOOKUP(D133,'G-6 Hedgerow Data'!$B$2:$AG$15,2,FALSE))</f>
        <v/>
      </c>
      <c r="G133" s="499" t="str">
        <f>IF(D133="","",VLOOKUP(D133,'G-6 Hedgerow Data'!$B$2:$AG$15,3,FALSE))</f>
        <v/>
      </c>
      <c r="H133" s="145"/>
      <c r="I133" s="499" t="str">
        <f>IFERROR(VLOOKUP(H133,'G-1 All Habitats'!$Z$2:$AA$9,2,FALSE),"")</f>
        <v/>
      </c>
      <c r="J133" s="145"/>
      <c r="K133" s="507" t="str">
        <f>IF(J133="","",IF(VLOOKUP(J133,'G-3 Multipliers'!$L$3:$N$6,2,FALSE)=0,"Spatial Data Missing",VLOOKUP(J133,'G-3 Multipliers'!$L$3:$N$6,2,FALSE)))</f>
        <v/>
      </c>
      <c r="L133" s="505" t="str">
        <f>IF(J133="","",IF(VLOOKUP(J133,'G-3 Multipliers'!$L$3:$N$6,3,FALSE)=0,"Spatial Data Missing ⚠",VLOOKUP(J133,'G-3 Multipliers'!$L$3:$N$6,3,FALSE)))</f>
        <v/>
      </c>
      <c r="M133" s="506" t="str">
        <f>IF(D133="","",VLOOKUP(D133,'G-6 Hedgerow Data'!$B$1:$AH$15,33,FALSE))</f>
        <v/>
      </c>
      <c r="N133" s="513" t="str">
        <f t="shared" si="9"/>
        <v/>
      </c>
      <c r="O133" s="40"/>
      <c r="P133" s="154"/>
      <c r="Q133" s="203"/>
      <c r="R133" s="532" t="str">
        <f t="shared" si="10"/>
        <v/>
      </c>
      <c r="S133" s="532" t="str">
        <f t="shared" si="11"/>
        <v/>
      </c>
      <c r="T133" s="532" t="str">
        <f t="shared" si="12"/>
        <v/>
      </c>
      <c r="U133" s="557" t="str">
        <f t="shared" si="13"/>
        <v/>
      </c>
      <c r="V133" s="151"/>
      <c r="W133" s="152"/>
      <c r="AE133" s="156" t="str">
        <f t="shared" si="7"/>
        <v/>
      </c>
      <c r="AF133" s="156" t="str">
        <f t="shared" si="8"/>
        <v/>
      </c>
      <c r="AH133" s="156">
        <v>124</v>
      </c>
      <c r="AJ133" s="156" t="str">
        <f t="array" ref="AJ133">IFERROR(INDEX($AH$10:$AH$258, MATCH(0, IF(TRUE=$AE$10:$AE$258, COUNTIF($AJ$9:$AJ132, $AH$10:$AH$258), ""), 0)),"")</f>
        <v/>
      </c>
      <c r="AK133" s="156" t="str">
        <f t="array" ref="AK133">IFERROR(INDEX($AH$10:$AH$258, MATCH(0, IF(TRUE=$AF$10:$AF$258, COUNTIF($AK$9:$AK132, $AH$10:$AH$258), ""), 0)),"")</f>
        <v/>
      </c>
      <c r="AL133" s="31" t="str">
        <f>IFERROR(INDEX('G-6 Hedgerow Data'!$BJ$3:$BJ$15,MATCH(D133,'G-6 Hedgerow Data'!$B$3:$B$15,0)),"")</f>
        <v/>
      </c>
    </row>
    <row r="134" spans="2:38" ht="14" x14ac:dyDescent="0.3">
      <c r="B134" s="141">
        <v>125</v>
      </c>
      <c r="C134" s="203"/>
      <c r="D134" s="203"/>
      <c r="E134" s="153"/>
      <c r="F134" s="553" t="str">
        <f>IF(D134="","",VLOOKUP(D134,'G-6 Hedgerow Data'!$B$2:$AG$15,2,FALSE))</f>
        <v/>
      </c>
      <c r="G134" s="499" t="str">
        <f>IF(D134="","",VLOOKUP(D134,'G-6 Hedgerow Data'!$B$2:$AG$15,3,FALSE))</f>
        <v/>
      </c>
      <c r="H134" s="145"/>
      <c r="I134" s="499" t="str">
        <f>IFERROR(VLOOKUP(H134,'G-1 All Habitats'!$Z$2:$AA$9,2,FALSE),"")</f>
        <v/>
      </c>
      <c r="J134" s="145"/>
      <c r="K134" s="507" t="str">
        <f>IF(J134="","",IF(VLOOKUP(J134,'G-3 Multipliers'!$L$3:$N$6,2,FALSE)=0,"Spatial Data Missing",VLOOKUP(J134,'G-3 Multipliers'!$L$3:$N$6,2,FALSE)))</f>
        <v/>
      </c>
      <c r="L134" s="505" t="str">
        <f>IF(J134="","",IF(VLOOKUP(J134,'G-3 Multipliers'!$L$3:$N$6,3,FALSE)=0,"Spatial Data Missing ⚠",VLOOKUP(J134,'G-3 Multipliers'!$L$3:$N$6,3,FALSE)))</f>
        <v/>
      </c>
      <c r="M134" s="506" t="str">
        <f>IF(D134="","",VLOOKUP(D134,'G-6 Hedgerow Data'!$B$1:$AH$15,33,FALSE))</f>
        <v/>
      </c>
      <c r="N134" s="513" t="str">
        <f t="shared" si="9"/>
        <v/>
      </c>
      <c r="O134" s="40"/>
      <c r="P134" s="154"/>
      <c r="Q134" s="203"/>
      <c r="R134" s="532" t="str">
        <f t="shared" si="10"/>
        <v/>
      </c>
      <c r="S134" s="532" t="str">
        <f t="shared" si="11"/>
        <v/>
      </c>
      <c r="T134" s="532" t="str">
        <f t="shared" si="12"/>
        <v/>
      </c>
      <c r="U134" s="557" t="str">
        <f t="shared" si="13"/>
        <v/>
      </c>
      <c r="V134" s="151"/>
      <c r="W134" s="152"/>
      <c r="AE134" s="156" t="str">
        <f t="shared" si="7"/>
        <v/>
      </c>
      <c r="AF134" s="156" t="str">
        <f t="shared" si="8"/>
        <v/>
      </c>
      <c r="AH134" s="156">
        <v>125</v>
      </c>
      <c r="AJ134" s="156" t="str">
        <f t="array" ref="AJ134">IFERROR(INDEX($AH$10:$AH$258, MATCH(0, IF(TRUE=$AE$10:$AE$258, COUNTIF($AJ$9:$AJ133, $AH$10:$AH$258), ""), 0)),"")</f>
        <v/>
      </c>
      <c r="AK134" s="156" t="str">
        <f t="array" ref="AK134">IFERROR(INDEX($AH$10:$AH$258, MATCH(0, IF(TRUE=$AF$10:$AF$258, COUNTIF($AK$9:$AK133, $AH$10:$AH$258), ""), 0)),"")</f>
        <v/>
      </c>
      <c r="AL134" s="31" t="str">
        <f>IFERROR(INDEX('G-6 Hedgerow Data'!$BJ$3:$BJ$15,MATCH(D134,'G-6 Hedgerow Data'!$B$3:$B$15,0)),"")</f>
        <v/>
      </c>
    </row>
    <row r="135" spans="2:38" ht="14" x14ac:dyDescent="0.3">
      <c r="B135" s="141">
        <v>126</v>
      </c>
      <c r="C135" s="203"/>
      <c r="D135" s="203"/>
      <c r="E135" s="153"/>
      <c r="F135" s="553" t="str">
        <f>IF(D135="","",VLOOKUP(D135,'G-6 Hedgerow Data'!$B$2:$AG$15,2,FALSE))</f>
        <v/>
      </c>
      <c r="G135" s="499" t="str">
        <f>IF(D135="","",VLOOKUP(D135,'G-6 Hedgerow Data'!$B$2:$AG$15,3,FALSE))</f>
        <v/>
      </c>
      <c r="H135" s="145"/>
      <c r="I135" s="499" t="str">
        <f>IFERROR(VLOOKUP(H135,'G-1 All Habitats'!$Z$2:$AA$9,2,FALSE),"")</f>
        <v/>
      </c>
      <c r="J135" s="145"/>
      <c r="K135" s="507" t="str">
        <f>IF(J135="","",IF(VLOOKUP(J135,'G-3 Multipliers'!$L$3:$N$6,2,FALSE)=0,"Spatial Data Missing",VLOOKUP(J135,'G-3 Multipliers'!$L$3:$N$6,2,FALSE)))</f>
        <v/>
      </c>
      <c r="L135" s="505" t="str">
        <f>IF(J135="","",IF(VLOOKUP(J135,'G-3 Multipliers'!$L$3:$N$6,3,FALSE)=0,"Spatial Data Missing ⚠",VLOOKUP(J135,'G-3 Multipliers'!$L$3:$N$6,3,FALSE)))</f>
        <v/>
      </c>
      <c r="M135" s="506" t="str">
        <f>IF(D135="","",VLOOKUP(D135,'G-6 Hedgerow Data'!$B$1:$AH$15,33,FALSE))</f>
        <v/>
      </c>
      <c r="N135" s="513" t="str">
        <f t="shared" si="9"/>
        <v/>
      </c>
      <c r="O135" s="40"/>
      <c r="P135" s="154"/>
      <c r="Q135" s="203"/>
      <c r="R135" s="532" t="str">
        <f t="shared" si="10"/>
        <v/>
      </c>
      <c r="S135" s="532" t="str">
        <f t="shared" si="11"/>
        <v/>
      </c>
      <c r="T135" s="532" t="str">
        <f t="shared" si="12"/>
        <v/>
      </c>
      <c r="U135" s="557" t="str">
        <f t="shared" si="13"/>
        <v/>
      </c>
      <c r="V135" s="151"/>
      <c r="W135" s="152"/>
      <c r="AE135" s="156" t="str">
        <f t="shared" si="7"/>
        <v/>
      </c>
      <c r="AF135" s="156" t="str">
        <f t="shared" si="8"/>
        <v/>
      </c>
      <c r="AH135" s="156">
        <v>126</v>
      </c>
      <c r="AJ135" s="156" t="str">
        <f t="array" ref="AJ135">IFERROR(INDEX($AH$10:$AH$258, MATCH(0, IF(TRUE=$AE$10:$AE$258, COUNTIF($AJ$9:$AJ134, $AH$10:$AH$258), ""), 0)),"")</f>
        <v/>
      </c>
      <c r="AK135" s="156" t="str">
        <f t="array" ref="AK135">IFERROR(INDEX($AH$10:$AH$258, MATCH(0, IF(TRUE=$AF$10:$AF$258, COUNTIF($AK$9:$AK134, $AH$10:$AH$258), ""), 0)),"")</f>
        <v/>
      </c>
      <c r="AL135" s="31" t="str">
        <f>IFERROR(INDEX('G-6 Hedgerow Data'!$BJ$3:$BJ$15,MATCH(D135,'G-6 Hedgerow Data'!$B$3:$B$15,0)),"")</f>
        <v/>
      </c>
    </row>
    <row r="136" spans="2:38" ht="14" x14ac:dyDescent="0.3">
      <c r="B136" s="141">
        <v>127</v>
      </c>
      <c r="C136" s="203"/>
      <c r="D136" s="203"/>
      <c r="E136" s="153"/>
      <c r="F136" s="553" t="str">
        <f>IF(D136="","",VLOOKUP(D136,'G-6 Hedgerow Data'!$B$2:$AG$15,2,FALSE))</f>
        <v/>
      </c>
      <c r="G136" s="499" t="str">
        <f>IF(D136="","",VLOOKUP(D136,'G-6 Hedgerow Data'!$B$2:$AG$15,3,FALSE))</f>
        <v/>
      </c>
      <c r="H136" s="145"/>
      <c r="I136" s="499" t="str">
        <f>IFERROR(VLOOKUP(H136,'G-1 All Habitats'!$Z$2:$AA$9,2,FALSE),"")</f>
        <v/>
      </c>
      <c r="J136" s="145"/>
      <c r="K136" s="507" t="str">
        <f>IF(J136="","",IF(VLOOKUP(J136,'G-3 Multipliers'!$L$3:$N$6,2,FALSE)=0,"Spatial Data Missing",VLOOKUP(J136,'G-3 Multipliers'!$L$3:$N$6,2,FALSE)))</f>
        <v/>
      </c>
      <c r="L136" s="505" t="str">
        <f>IF(J136="","",IF(VLOOKUP(J136,'G-3 Multipliers'!$L$3:$N$6,3,FALSE)=0,"Spatial Data Missing ⚠",VLOOKUP(J136,'G-3 Multipliers'!$L$3:$N$6,3,FALSE)))</f>
        <v/>
      </c>
      <c r="M136" s="506" t="str">
        <f>IF(D136="","",VLOOKUP(D136,'G-6 Hedgerow Data'!$B$1:$AH$15,33,FALSE))</f>
        <v/>
      </c>
      <c r="N136" s="513" t="str">
        <f t="shared" si="9"/>
        <v/>
      </c>
      <c r="O136" s="40"/>
      <c r="P136" s="154"/>
      <c r="Q136" s="203"/>
      <c r="R136" s="532" t="str">
        <f t="shared" si="10"/>
        <v/>
      </c>
      <c r="S136" s="532" t="str">
        <f t="shared" si="11"/>
        <v/>
      </c>
      <c r="T136" s="532" t="str">
        <f t="shared" si="12"/>
        <v/>
      </c>
      <c r="U136" s="557" t="str">
        <f t="shared" si="13"/>
        <v/>
      </c>
      <c r="V136" s="151"/>
      <c r="W136" s="152"/>
      <c r="AE136" s="156" t="str">
        <f t="shared" si="7"/>
        <v/>
      </c>
      <c r="AF136" s="156" t="str">
        <f t="shared" si="8"/>
        <v/>
      </c>
      <c r="AH136" s="156">
        <v>127</v>
      </c>
      <c r="AJ136" s="156" t="str">
        <f t="array" ref="AJ136">IFERROR(INDEX($AH$10:$AH$258, MATCH(0, IF(TRUE=$AE$10:$AE$258, COUNTIF($AJ$9:$AJ135, $AH$10:$AH$258), ""), 0)),"")</f>
        <v/>
      </c>
      <c r="AK136" s="156" t="str">
        <f t="array" ref="AK136">IFERROR(INDEX($AH$10:$AH$258, MATCH(0, IF(TRUE=$AF$10:$AF$258, COUNTIF($AK$9:$AK135, $AH$10:$AH$258), ""), 0)),"")</f>
        <v/>
      </c>
      <c r="AL136" s="31" t="str">
        <f>IFERROR(INDEX('G-6 Hedgerow Data'!$BJ$3:$BJ$15,MATCH(D136,'G-6 Hedgerow Data'!$B$3:$B$15,0)),"")</f>
        <v/>
      </c>
    </row>
    <row r="137" spans="2:38" ht="14" x14ac:dyDescent="0.3">
      <c r="B137" s="141">
        <v>128</v>
      </c>
      <c r="C137" s="203"/>
      <c r="D137" s="203"/>
      <c r="E137" s="153"/>
      <c r="F137" s="553" t="str">
        <f>IF(D137="","",VLOOKUP(D137,'G-6 Hedgerow Data'!$B$2:$AG$15,2,FALSE))</f>
        <v/>
      </c>
      <c r="G137" s="499" t="str">
        <f>IF(D137="","",VLOOKUP(D137,'G-6 Hedgerow Data'!$B$2:$AG$15,3,FALSE))</f>
        <v/>
      </c>
      <c r="H137" s="145"/>
      <c r="I137" s="499" t="str">
        <f>IFERROR(VLOOKUP(H137,'G-1 All Habitats'!$Z$2:$AA$9,2,FALSE),"")</f>
        <v/>
      </c>
      <c r="J137" s="145"/>
      <c r="K137" s="507" t="str">
        <f>IF(J137="","",IF(VLOOKUP(J137,'G-3 Multipliers'!$L$3:$N$6,2,FALSE)=0,"Spatial Data Missing",VLOOKUP(J137,'G-3 Multipliers'!$L$3:$N$6,2,FALSE)))</f>
        <v/>
      </c>
      <c r="L137" s="505" t="str">
        <f>IF(J137="","",IF(VLOOKUP(J137,'G-3 Multipliers'!$L$3:$N$6,3,FALSE)=0,"Spatial Data Missing ⚠",VLOOKUP(J137,'G-3 Multipliers'!$L$3:$N$6,3,FALSE)))</f>
        <v/>
      </c>
      <c r="M137" s="506" t="str">
        <f>IF(D137="","",VLOOKUP(D137,'G-6 Hedgerow Data'!$B$1:$AH$15,33,FALSE))</f>
        <v/>
      </c>
      <c r="N137" s="513" t="str">
        <f t="shared" si="9"/>
        <v/>
      </c>
      <c r="O137" s="40"/>
      <c r="P137" s="154"/>
      <c r="Q137" s="203"/>
      <c r="R137" s="532" t="str">
        <f t="shared" si="10"/>
        <v/>
      </c>
      <c r="S137" s="532" t="str">
        <f t="shared" si="11"/>
        <v/>
      </c>
      <c r="T137" s="532" t="str">
        <f t="shared" si="12"/>
        <v/>
      </c>
      <c r="U137" s="557" t="str">
        <f t="shared" si="13"/>
        <v/>
      </c>
      <c r="V137" s="151"/>
      <c r="W137" s="152"/>
      <c r="AE137" s="156" t="str">
        <f t="shared" si="7"/>
        <v/>
      </c>
      <c r="AF137" s="156" t="str">
        <f t="shared" si="8"/>
        <v/>
      </c>
      <c r="AH137" s="156">
        <v>128</v>
      </c>
      <c r="AJ137" s="156" t="str">
        <f t="array" ref="AJ137">IFERROR(INDEX($AH$10:$AH$258, MATCH(0, IF(TRUE=$AE$10:$AE$258, COUNTIF($AJ$9:$AJ136, $AH$10:$AH$258), ""), 0)),"")</f>
        <v/>
      </c>
      <c r="AK137" s="156" t="str">
        <f t="array" ref="AK137">IFERROR(INDEX($AH$10:$AH$258, MATCH(0, IF(TRUE=$AF$10:$AF$258, COUNTIF($AK$9:$AK136, $AH$10:$AH$258), ""), 0)),"")</f>
        <v/>
      </c>
      <c r="AL137" s="31" t="str">
        <f>IFERROR(INDEX('G-6 Hedgerow Data'!$BJ$3:$BJ$15,MATCH(D137,'G-6 Hedgerow Data'!$B$3:$B$15,0)),"")</f>
        <v/>
      </c>
    </row>
    <row r="138" spans="2:38" ht="14" x14ac:dyDescent="0.3">
      <c r="B138" s="141">
        <v>129</v>
      </c>
      <c r="C138" s="203"/>
      <c r="D138" s="203"/>
      <c r="E138" s="153"/>
      <c r="F138" s="553" t="str">
        <f>IF(D138="","",VLOOKUP(D138,'G-6 Hedgerow Data'!$B$2:$AG$15,2,FALSE))</f>
        <v/>
      </c>
      <c r="G138" s="499" t="str">
        <f>IF(D138="","",VLOOKUP(D138,'G-6 Hedgerow Data'!$B$2:$AG$15,3,FALSE))</f>
        <v/>
      </c>
      <c r="H138" s="145"/>
      <c r="I138" s="499" t="str">
        <f>IFERROR(VLOOKUP(H138,'G-1 All Habitats'!$Z$2:$AA$9,2,FALSE),"")</f>
        <v/>
      </c>
      <c r="J138" s="145"/>
      <c r="K138" s="507" t="str">
        <f>IF(J138="","",IF(VLOOKUP(J138,'G-3 Multipliers'!$L$3:$N$6,2,FALSE)=0,"Spatial Data Missing",VLOOKUP(J138,'G-3 Multipliers'!$L$3:$N$6,2,FALSE)))</f>
        <v/>
      </c>
      <c r="L138" s="505" t="str">
        <f>IF(J138="","",IF(VLOOKUP(J138,'G-3 Multipliers'!$L$3:$N$6,3,FALSE)=0,"Spatial Data Missing ⚠",VLOOKUP(J138,'G-3 Multipliers'!$L$3:$N$6,3,FALSE)))</f>
        <v/>
      </c>
      <c r="M138" s="506" t="str">
        <f>IF(D138="","",VLOOKUP(D138,'G-6 Hedgerow Data'!$B$1:$AH$15,33,FALSE))</f>
        <v/>
      </c>
      <c r="N138" s="513" t="str">
        <f t="shared" si="9"/>
        <v/>
      </c>
      <c r="O138" s="40"/>
      <c r="P138" s="154"/>
      <c r="Q138" s="203"/>
      <c r="R138" s="532" t="str">
        <f t="shared" si="10"/>
        <v/>
      </c>
      <c r="S138" s="532" t="str">
        <f t="shared" si="11"/>
        <v/>
      </c>
      <c r="T138" s="532" t="str">
        <f t="shared" si="12"/>
        <v/>
      </c>
      <c r="U138" s="557" t="str">
        <f t="shared" si="13"/>
        <v/>
      </c>
      <c r="V138" s="151"/>
      <c r="W138" s="152"/>
      <c r="AE138" s="156" t="str">
        <f t="shared" ref="AE138:AE201" si="14">IF(D138="","",IF(P138&gt;0,TRUE,FALSE))</f>
        <v/>
      </c>
      <c r="AF138" s="156" t="str">
        <f t="shared" ref="AF138:AF201" si="15">IF(D138="","",IF(Q138&gt;0,TRUE,FALSE))</f>
        <v/>
      </c>
      <c r="AH138" s="156">
        <v>129</v>
      </c>
      <c r="AJ138" s="156" t="str">
        <f t="array" ref="AJ138">IFERROR(INDEX($AH$10:$AH$258, MATCH(0, IF(TRUE=$AE$10:$AE$258, COUNTIF($AJ$9:$AJ137, $AH$10:$AH$258), ""), 0)),"")</f>
        <v/>
      </c>
      <c r="AK138" s="156" t="str">
        <f t="array" ref="AK138">IFERROR(INDEX($AH$10:$AH$258, MATCH(0, IF(TRUE=$AF$10:$AF$258, COUNTIF($AK$9:$AK137, $AH$10:$AH$258), ""), 0)),"")</f>
        <v/>
      </c>
      <c r="AL138" s="31" t="str">
        <f>IFERROR(INDEX('G-6 Hedgerow Data'!$BJ$3:$BJ$15,MATCH(D138,'G-6 Hedgerow Data'!$B$3:$B$15,0)),"")</f>
        <v/>
      </c>
    </row>
    <row r="139" spans="2:38" ht="14" x14ac:dyDescent="0.3">
      <c r="B139" s="141">
        <v>130</v>
      </c>
      <c r="C139" s="203"/>
      <c r="D139" s="203"/>
      <c r="E139" s="153"/>
      <c r="F139" s="553" t="str">
        <f>IF(D139="","",VLOOKUP(D139,'G-6 Hedgerow Data'!$B$2:$AG$15,2,FALSE))</f>
        <v/>
      </c>
      <c r="G139" s="499" t="str">
        <f>IF(D139="","",VLOOKUP(D139,'G-6 Hedgerow Data'!$B$2:$AG$15,3,FALSE))</f>
        <v/>
      </c>
      <c r="H139" s="145"/>
      <c r="I139" s="499" t="str">
        <f>IFERROR(VLOOKUP(H139,'G-1 All Habitats'!$Z$2:$AA$9,2,FALSE),"")</f>
        <v/>
      </c>
      <c r="J139" s="145"/>
      <c r="K139" s="507" t="str">
        <f>IF(J139="","",IF(VLOOKUP(J139,'G-3 Multipliers'!$L$3:$N$6,2,FALSE)=0,"Spatial Data Missing",VLOOKUP(J139,'G-3 Multipliers'!$L$3:$N$6,2,FALSE)))</f>
        <v/>
      </c>
      <c r="L139" s="505" t="str">
        <f>IF(J139="","",IF(VLOOKUP(J139,'G-3 Multipliers'!$L$3:$N$6,3,FALSE)=0,"Spatial Data Missing ⚠",VLOOKUP(J139,'G-3 Multipliers'!$L$3:$N$6,3,FALSE)))</f>
        <v/>
      </c>
      <c r="M139" s="506" t="str">
        <f>IF(D139="","",VLOOKUP(D139,'G-6 Hedgerow Data'!$B$1:$AH$15,33,FALSE))</f>
        <v/>
      </c>
      <c r="N139" s="513" t="str">
        <f t="shared" ref="N139:N202" si="16">IFERROR(E139*G139*I139*L139,"")</f>
        <v/>
      </c>
      <c r="O139" s="40"/>
      <c r="P139" s="154"/>
      <c r="Q139" s="203"/>
      <c r="R139" s="532" t="str">
        <f t="shared" ref="R139:R202" si="17">IFERROR(P139*G139*I139*L139,"")</f>
        <v/>
      </c>
      <c r="S139" s="532" t="str">
        <f t="shared" ref="S139:S202" si="18">IFERROR(Q139*G139*I139*L139,"")</f>
        <v/>
      </c>
      <c r="T139" s="532" t="str">
        <f t="shared" ref="T139:T202" si="19">IF(D139="","",IF(E139-P139-Q139=0&lt;0,"Error in lengths ▲",IF(P139+Q139&gt;E139,"Error in Lengths ▲",E139-P139-Q139)))</f>
        <v/>
      </c>
      <c r="U139" s="557" t="str">
        <f t="shared" si="13"/>
        <v/>
      </c>
      <c r="V139" s="151"/>
      <c r="W139" s="152"/>
      <c r="AE139" s="156" t="str">
        <f t="shared" si="14"/>
        <v/>
      </c>
      <c r="AF139" s="156" t="str">
        <f t="shared" si="15"/>
        <v/>
      </c>
      <c r="AH139" s="156">
        <v>130</v>
      </c>
      <c r="AJ139" s="156" t="str">
        <f t="array" ref="AJ139">IFERROR(INDEX($AH$10:$AH$258, MATCH(0, IF(TRUE=$AE$10:$AE$258, COUNTIF($AJ$9:$AJ138, $AH$10:$AH$258), ""), 0)),"")</f>
        <v/>
      </c>
      <c r="AK139" s="156" t="str">
        <f t="array" ref="AK139">IFERROR(INDEX($AH$10:$AH$258, MATCH(0, IF(TRUE=$AF$10:$AF$258, COUNTIF($AK$9:$AK138, $AH$10:$AH$258), ""), 0)),"")</f>
        <v/>
      </c>
      <c r="AL139" s="31" t="str">
        <f>IFERROR(INDEX('G-6 Hedgerow Data'!$BJ$3:$BJ$15,MATCH(D139,'G-6 Hedgerow Data'!$B$3:$B$15,0)),"")</f>
        <v/>
      </c>
    </row>
    <row r="140" spans="2:38" ht="14" x14ac:dyDescent="0.3">
      <c r="B140" s="141">
        <v>131</v>
      </c>
      <c r="C140" s="203"/>
      <c r="D140" s="203"/>
      <c r="E140" s="153"/>
      <c r="F140" s="553" t="str">
        <f>IF(D140="","",VLOOKUP(D140,'G-6 Hedgerow Data'!$B$2:$AG$15,2,FALSE))</f>
        <v/>
      </c>
      <c r="G140" s="499" t="str">
        <f>IF(D140="","",VLOOKUP(D140,'G-6 Hedgerow Data'!$B$2:$AG$15,3,FALSE))</f>
        <v/>
      </c>
      <c r="H140" s="145"/>
      <c r="I140" s="499" t="str">
        <f>IFERROR(VLOOKUP(H140,'G-1 All Habitats'!$Z$2:$AA$9,2,FALSE),"")</f>
        <v/>
      </c>
      <c r="J140" s="145"/>
      <c r="K140" s="507" t="str">
        <f>IF(J140="","",IF(VLOOKUP(J140,'G-3 Multipliers'!$L$3:$N$6,2,FALSE)=0,"Spatial Data Missing",VLOOKUP(J140,'G-3 Multipliers'!$L$3:$N$6,2,FALSE)))</f>
        <v/>
      </c>
      <c r="L140" s="505" t="str">
        <f>IF(J140="","",IF(VLOOKUP(J140,'G-3 Multipliers'!$L$3:$N$6,3,FALSE)=0,"Spatial Data Missing ⚠",VLOOKUP(J140,'G-3 Multipliers'!$L$3:$N$6,3,FALSE)))</f>
        <v/>
      </c>
      <c r="M140" s="506" t="str">
        <f>IF(D140="","",VLOOKUP(D140,'G-6 Hedgerow Data'!$B$1:$AH$15,33,FALSE))</f>
        <v/>
      </c>
      <c r="N140" s="513" t="str">
        <f t="shared" si="16"/>
        <v/>
      </c>
      <c r="O140" s="40"/>
      <c r="P140" s="154"/>
      <c r="Q140" s="203"/>
      <c r="R140" s="532" t="str">
        <f t="shared" si="17"/>
        <v/>
      </c>
      <c r="S140" s="532" t="str">
        <f t="shared" si="18"/>
        <v/>
      </c>
      <c r="T140" s="532" t="str">
        <f t="shared" si="19"/>
        <v/>
      </c>
      <c r="U140" s="557" t="str">
        <f t="shared" ref="U140:U203" si="20">IF(OR(E140="",N140=""),"",IF(E140-P140-Q140=0&lt;0,"Error in Lengths ▲",IF(P140+Q140&gt;E140,"Error in Lengths ▲",N140-R140-S140)))</f>
        <v/>
      </c>
      <c r="V140" s="151"/>
      <c r="W140" s="152"/>
      <c r="AE140" s="156" t="str">
        <f t="shared" si="14"/>
        <v/>
      </c>
      <c r="AF140" s="156" t="str">
        <f t="shared" si="15"/>
        <v/>
      </c>
      <c r="AH140" s="156">
        <v>131</v>
      </c>
      <c r="AJ140" s="156" t="str">
        <f t="array" ref="AJ140">IFERROR(INDEX($AH$10:$AH$258, MATCH(0, IF(TRUE=$AE$10:$AE$258, COUNTIF($AJ$9:$AJ139, $AH$10:$AH$258), ""), 0)),"")</f>
        <v/>
      </c>
      <c r="AK140" s="156" t="str">
        <f t="array" ref="AK140">IFERROR(INDEX($AH$10:$AH$258, MATCH(0, IF(TRUE=$AF$10:$AF$258, COUNTIF($AK$9:$AK139, $AH$10:$AH$258), ""), 0)),"")</f>
        <v/>
      </c>
      <c r="AL140" s="31" t="str">
        <f>IFERROR(INDEX('G-6 Hedgerow Data'!$BJ$3:$BJ$15,MATCH(D140,'G-6 Hedgerow Data'!$B$3:$B$15,0)),"")</f>
        <v/>
      </c>
    </row>
    <row r="141" spans="2:38" ht="14" x14ac:dyDescent="0.3">
      <c r="B141" s="141">
        <v>132</v>
      </c>
      <c r="C141" s="203"/>
      <c r="D141" s="203"/>
      <c r="E141" s="153"/>
      <c r="F141" s="553" t="str">
        <f>IF(D141="","",VLOOKUP(D141,'G-6 Hedgerow Data'!$B$2:$AG$15,2,FALSE))</f>
        <v/>
      </c>
      <c r="G141" s="499" t="str">
        <f>IF(D141="","",VLOOKUP(D141,'G-6 Hedgerow Data'!$B$2:$AG$15,3,FALSE))</f>
        <v/>
      </c>
      <c r="H141" s="145"/>
      <c r="I141" s="499" t="str">
        <f>IFERROR(VLOOKUP(H141,'G-1 All Habitats'!$Z$2:$AA$9,2,FALSE),"")</f>
        <v/>
      </c>
      <c r="J141" s="145"/>
      <c r="K141" s="507" t="str">
        <f>IF(J141="","",IF(VLOOKUP(J141,'G-3 Multipliers'!$L$3:$N$6,2,FALSE)=0,"Spatial Data Missing",VLOOKUP(J141,'G-3 Multipliers'!$L$3:$N$6,2,FALSE)))</f>
        <v/>
      </c>
      <c r="L141" s="505" t="str">
        <f>IF(J141="","",IF(VLOOKUP(J141,'G-3 Multipliers'!$L$3:$N$6,3,FALSE)=0,"Spatial Data Missing ⚠",VLOOKUP(J141,'G-3 Multipliers'!$L$3:$N$6,3,FALSE)))</f>
        <v/>
      </c>
      <c r="M141" s="506" t="str">
        <f>IF(D141="","",VLOOKUP(D141,'G-6 Hedgerow Data'!$B$1:$AH$15,33,FALSE))</f>
        <v/>
      </c>
      <c r="N141" s="513" t="str">
        <f t="shared" si="16"/>
        <v/>
      </c>
      <c r="O141" s="40"/>
      <c r="P141" s="154"/>
      <c r="Q141" s="203"/>
      <c r="R141" s="532" t="str">
        <f t="shared" si="17"/>
        <v/>
      </c>
      <c r="S141" s="532" t="str">
        <f t="shared" si="18"/>
        <v/>
      </c>
      <c r="T141" s="532" t="str">
        <f t="shared" si="19"/>
        <v/>
      </c>
      <c r="U141" s="557" t="str">
        <f t="shared" si="20"/>
        <v/>
      </c>
      <c r="V141" s="151"/>
      <c r="W141" s="152"/>
      <c r="AE141" s="156" t="str">
        <f t="shared" si="14"/>
        <v/>
      </c>
      <c r="AF141" s="156" t="str">
        <f t="shared" si="15"/>
        <v/>
      </c>
      <c r="AH141" s="156">
        <v>132</v>
      </c>
      <c r="AJ141" s="156" t="str">
        <f t="array" ref="AJ141">IFERROR(INDEX($AH$10:$AH$258, MATCH(0, IF(TRUE=$AE$10:$AE$258, COUNTIF($AJ$9:$AJ140, $AH$10:$AH$258), ""), 0)),"")</f>
        <v/>
      </c>
      <c r="AK141" s="156" t="str">
        <f t="array" ref="AK141">IFERROR(INDEX($AH$10:$AH$258, MATCH(0, IF(TRUE=$AF$10:$AF$258, COUNTIF($AK$9:$AK140, $AH$10:$AH$258), ""), 0)),"")</f>
        <v/>
      </c>
      <c r="AL141" s="31" t="str">
        <f>IFERROR(INDEX('G-6 Hedgerow Data'!$BJ$3:$BJ$15,MATCH(D141,'G-6 Hedgerow Data'!$B$3:$B$15,0)),"")</f>
        <v/>
      </c>
    </row>
    <row r="142" spans="2:38" ht="14" x14ac:dyDescent="0.3">
      <c r="B142" s="141">
        <v>133</v>
      </c>
      <c r="C142" s="203"/>
      <c r="D142" s="203"/>
      <c r="E142" s="153"/>
      <c r="F142" s="553" t="str">
        <f>IF(D142="","",VLOOKUP(D142,'G-6 Hedgerow Data'!$B$2:$AG$15,2,FALSE))</f>
        <v/>
      </c>
      <c r="G142" s="499" t="str">
        <f>IF(D142="","",VLOOKUP(D142,'G-6 Hedgerow Data'!$B$2:$AG$15,3,FALSE))</f>
        <v/>
      </c>
      <c r="H142" s="145"/>
      <c r="I142" s="499" t="str">
        <f>IFERROR(VLOOKUP(H142,'G-1 All Habitats'!$Z$2:$AA$9,2,FALSE),"")</f>
        <v/>
      </c>
      <c r="J142" s="145"/>
      <c r="K142" s="507" t="str">
        <f>IF(J142="","",IF(VLOOKUP(J142,'G-3 Multipliers'!$L$3:$N$6,2,FALSE)=0,"Spatial Data Missing",VLOOKUP(J142,'G-3 Multipliers'!$L$3:$N$6,2,FALSE)))</f>
        <v/>
      </c>
      <c r="L142" s="505" t="str">
        <f>IF(J142="","",IF(VLOOKUP(J142,'G-3 Multipliers'!$L$3:$N$6,3,FALSE)=0,"Spatial Data Missing ⚠",VLOOKUP(J142,'G-3 Multipliers'!$L$3:$N$6,3,FALSE)))</f>
        <v/>
      </c>
      <c r="M142" s="506" t="str">
        <f>IF(D142="","",VLOOKUP(D142,'G-6 Hedgerow Data'!$B$1:$AH$15,33,FALSE))</f>
        <v/>
      </c>
      <c r="N142" s="513" t="str">
        <f t="shared" si="16"/>
        <v/>
      </c>
      <c r="O142" s="40"/>
      <c r="P142" s="154"/>
      <c r="Q142" s="203"/>
      <c r="R142" s="532" t="str">
        <f t="shared" si="17"/>
        <v/>
      </c>
      <c r="S142" s="532" t="str">
        <f t="shared" si="18"/>
        <v/>
      </c>
      <c r="T142" s="532" t="str">
        <f t="shared" si="19"/>
        <v/>
      </c>
      <c r="U142" s="557" t="str">
        <f t="shared" si="20"/>
        <v/>
      </c>
      <c r="V142" s="151"/>
      <c r="W142" s="152"/>
      <c r="AE142" s="156" t="str">
        <f t="shared" si="14"/>
        <v/>
      </c>
      <c r="AF142" s="156" t="str">
        <f t="shared" si="15"/>
        <v/>
      </c>
      <c r="AH142" s="156">
        <v>133</v>
      </c>
      <c r="AJ142" s="156" t="str">
        <f t="array" ref="AJ142">IFERROR(INDEX($AH$10:$AH$258, MATCH(0, IF(TRUE=$AE$10:$AE$258, COUNTIF($AJ$9:$AJ141, $AH$10:$AH$258), ""), 0)),"")</f>
        <v/>
      </c>
      <c r="AK142" s="156" t="str">
        <f t="array" ref="AK142">IFERROR(INDEX($AH$10:$AH$258, MATCH(0, IF(TRUE=$AF$10:$AF$258, COUNTIF($AK$9:$AK141, $AH$10:$AH$258), ""), 0)),"")</f>
        <v/>
      </c>
      <c r="AL142" s="31" t="str">
        <f>IFERROR(INDEX('G-6 Hedgerow Data'!$BJ$3:$BJ$15,MATCH(D142,'G-6 Hedgerow Data'!$B$3:$B$15,0)),"")</f>
        <v/>
      </c>
    </row>
    <row r="143" spans="2:38" ht="14" x14ac:dyDescent="0.3">
      <c r="B143" s="141">
        <v>134</v>
      </c>
      <c r="C143" s="203"/>
      <c r="D143" s="203"/>
      <c r="E143" s="153"/>
      <c r="F143" s="553" t="str">
        <f>IF(D143="","",VLOOKUP(D143,'G-6 Hedgerow Data'!$B$2:$AG$15,2,FALSE))</f>
        <v/>
      </c>
      <c r="G143" s="499" t="str">
        <f>IF(D143="","",VLOOKUP(D143,'G-6 Hedgerow Data'!$B$2:$AG$15,3,FALSE))</f>
        <v/>
      </c>
      <c r="H143" s="145"/>
      <c r="I143" s="499" t="str">
        <f>IFERROR(VLOOKUP(H143,'G-1 All Habitats'!$Z$2:$AA$9,2,FALSE),"")</f>
        <v/>
      </c>
      <c r="J143" s="145"/>
      <c r="K143" s="507" t="str">
        <f>IF(J143="","",IF(VLOOKUP(J143,'G-3 Multipliers'!$L$3:$N$6,2,FALSE)=0,"Spatial Data Missing",VLOOKUP(J143,'G-3 Multipliers'!$L$3:$N$6,2,FALSE)))</f>
        <v/>
      </c>
      <c r="L143" s="505" t="str">
        <f>IF(J143="","",IF(VLOOKUP(J143,'G-3 Multipliers'!$L$3:$N$6,3,FALSE)=0,"Spatial Data Missing ⚠",VLOOKUP(J143,'G-3 Multipliers'!$L$3:$N$6,3,FALSE)))</f>
        <v/>
      </c>
      <c r="M143" s="506" t="str">
        <f>IF(D143="","",VLOOKUP(D143,'G-6 Hedgerow Data'!$B$1:$AH$15,33,FALSE))</f>
        <v/>
      </c>
      <c r="N143" s="513" t="str">
        <f t="shared" si="16"/>
        <v/>
      </c>
      <c r="O143" s="40"/>
      <c r="P143" s="154"/>
      <c r="Q143" s="203"/>
      <c r="R143" s="532" t="str">
        <f t="shared" si="17"/>
        <v/>
      </c>
      <c r="S143" s="532" t="str">
        <f t="shared" si="18"/>
        <v/>
      </c>
      <c r="T143" s="532" t="str">
        <f t="shared" si="19"/>
        <v/>
      </c>
      <c r="U143" s="557" t="str">
        <f t="shared" si="20"/>
        <v/>
      </c>
      <c r="V143" s="151"/>
      <c r="W143" s="152"/>
      <c r="AE143" s="156" t="str">
        <f t="shared" si="14"/>
        <v/>
      </c>
      <c r="AF143" s="156" t="str">
        <f t="shared" si="15"/>
        <v/>
      </c>
      <c r="AH143" s="156">
        <v>134</v>
      </c>
      <c r="AJ143" s="156" t="str">
        <f t="array" ref="AJ143">IFERROR(INDEX($AH$10:$AH$258, MATCH(0, IF(TRUE=$AE$10:$AE$258, COUNTIF($AJ$9:$AJ142, $AH$10:$AH$258), ""), 0)),"")</f>
        <v/>
      </c>
      <c r="AK143" s="156" t="str">
        <f t="array" ref="AK143">IFERROR(INDEX($AH$10:$AH$258, MATCH(0, IF(TRUE=$AF$10:$AF$258, COUNTIF($AK$9:$AK142, $AH$10:$AH$258), ""), 0)),"")</f>
        <v/>
      </c>
      <c r="AL143" s="31" t="str">
        <f>IFERROR(INDEX('G-6 Hedgerow Data'!$BJ$3:$BJ$15,MATCH(D143,'G-6 Hedgerow Data'!$B$3:$B$15,0)),"")</f>
        <v/>
      </c>
    </row>
    <row r="144" spans="2:38" ht="14" x14ac:dyDescent="0.3">
      <c r="B144" s="141">
        <v>135</v>
      </c>
      <c r="C144" s="203"/>
      <c r="D144" s="203"/>
      <c r="E144" s="153"/>
      <c r="F144" s="553" t="str">
        <f>IF(D144="","",VLOOKUP(D144,'G-6 Hedgerow Data'!$B$2:$AG$15,2,FALSE))</f>
        <v/>
      </c>
      <c r="G144" s="499" t="str">
        <f>IF(D144="","",VLOOKUP(D144,'G-6 Hedgerow Data'!$B$2:$AG$15,3,FALSE))</f>
        <v/>
      </c>
      <c r="H144" s="145"/>
      <c r="I144" s="499" t="str">
        <f>IFERROR(VLOOKUP(H144,'G-1 All Habitats'!$Z$2:$AA$9,2,FALSE),"")</f>
        <v/>
      </c>
      <c r="J144" s="145"/>
      <c r="K144" s="507" t="str">
        <f>IF(J144="","",IF(VLOOKUP(J144,'G-3 Multipliers'!$L$3:$N$6,2,FALSE)=0,"Spatial Data Missing",VLOOKUP(J144,'G-3 Multipliers'!$L$3:$N$6,2,FALSE)))</f>
        <v/>
      </c>
      <c r="L144" s="505" t="str">
        <f>IF(J144="","",IF(VLOOKUP(J144,'G-3 Multipliers'!$L$3:$N$6,3,FALSE)=0,"Spatial Data Missing ⚠",VLOOKUP(J144,'G-3 Multipliers'!$L$3:$N$6,3,FALSE)))</f>
        <v/>
      </c>
      <c r="M144" s="506" t="str">
        <f>IF(D144="","",VLOOKUP(D144,'G-6 Hedgerow Data'!$B$1:$AH$15,33,FALSE))</f>
        <v/>
      </c>
      <c r="N144" s="513" t="str">
        <f t="shared" si="16"/>
        <v/>
      </c>
      <c r="O144" s="40"/>
      <c r="P144" s="154"/>
      <c r="Q144" s="203"/>
      <c r="R144" s="532" t="str">
        <f t="shared" si="17"/>
        <v/>
      </c>
      <c r="S144" s="532" t="str">
        <f t="shared" si="18"/>
        <v/>
      </c>
      <c r="T144" s="532" t="str">
        <f t="shared" si="19"/>
        <v/>
      </c>
      <c r="U144" s="557" t="str">
        <f t="shared" si="20"/>
        <v/>
      </c>
      <c r="V144" s="151"/>
      <c r="W144" s="152"/>
      <c r="AE144" s="156" t="str">
        <f t="shared" si="14"/>
        <v/>
      </c>
      <c r="AF144" s="156" t="str">
        <f t="shared" si="15"/>
        <v/>
      </c>
      <c r="AH144" s="156">
        <v>135</v>
      </c>
      <c r="AJ144" s="156" t="str">
        <f t="array" ref="AJ144">IFERROR(INDEX($AH$10:$AH$258, MATCH(0, IF(TRUE=$AE$10:$AE$258, COUNTIF($AJ$9:$AJ143, $AH$10:$AH$258), ""), 0)),"")</f>
        <v/>
      </c>
      <c r="AK144" s="156" t="str">
        <f t="array" ref="AK144">IFERROR(INDEX($AH$10:$AH$258, MATCH(0, IF(TRUE=$AF$10:$AF$258, COUNTIF($AK$9:$AK143, $AH$10:$AH$258), ""), 0)),"")</f>
        <v/>
      </c>
      <c r="AL144" s="31" t="str">
        <f>IFERROR(INDEX('G-6 Hedgerow Data'!$BJ$3:$BJ$15,MATCH(D144,'G-6 Hedgerow Data'!$B$3:$B$15,0)),"")</f>
        <v/>
      </c>
    </row>
    <row r="145" spans="2:38" ht="14" x14ac:dyDescent="0.3">
      <c r="B145" s="141">
        <v>136</v>
      </c>
      <c r="C145" s="203"/>
      <c r="D145" s="203"/>
      <c r="E145" s="153"/>
      <c r="F145" s="553" t="str">
        <f>IF(D145="","",VLOOKUP(D145,'G-6 Hedgerow Data'!$B$2:$AG$15,2,FALSE))</f>
        <v/>
      </c>
      <c r="G145" s="499" t="str">
        <f>IF(D145="","",VLOOKUP(D145,'G-6 Hedgerow Data'!$B$2:$AG$15,3,FALSE))</f>
        <v/>
      </c>
      <c r="H145" s="145"/>
      <c r="I145" s="499" t="str">
        <f>IFERROR(VLOOKUP(H145,'G-1 All Habitats'!$Z$2:$AA$9,2,FALSE),"")</f>
        <v/>
      </c>
      <c r="J145" s="145"/>
      <c r="K145" s="507" t="str">
        <f>IF(J145="","",IF(VLOOKUP(J145,'G-3 Multipliers'!$L$3:$N$6,2,FALSE)=0,"Spatial Data Missing",VLOOKUP(J145,'G-3 Multipliers'!$L$3:$N$6,2,FALSE)))</f>
        <v/>
      </c>
      <c r="L145" s="505" t="str">
        <f>IF(J145="","",IF(VLOOKUP(J145,'G-3 Multipliers'!$L$3:$N$6,3,FALSE)=0,"Spatial Data Missing ⚠",VLOOKUP(J145,'G-3 Multipliers'!$L$3:$N$6,3,FALSE)))</f>
        <v/>
      </c>
      <c r="M145" s="506" t="str">
        <f>IF(D145="","",VLOOKUP(D145,'G-6 Hedgerow Data'!$B$1:$AH$15,33,FALSE))</f>
        <v/>
      </c>
      <c r="N145" s="513" t="str">
        <f t="shared" si="16"/>
        <v/>
      </c>
      <c r="O145" s="40"/>
      <c r="P145" s="154"/>
      <c r="Q145" s="203"/>
      <c r="R145" s="532" t="str">
        <f t="shared" si="17"/>
        <v/>
      </c>
      <c r="S145" s="532" t="str">
        <f t="shared" si="18"/>
        <v/>
      </c>
      <c r="T145" s="532" t="str">
        <f t="shared" si="19"/>
        <v/>
      </c>
      <c r="U145" s="557" t="str">
        <f t="shared" si="20"/>
        <v/>
      </c>
      <c r="V145" s="151"/>
      <c r="W145" s="152"/>
      <c r="AE145" s="156" t="str">
        <f t="shared" si="14"/>
        <v/>
      </c>
      <c r="AF145" s="156" t="str">
        <f t="shared" si="15"/>
        <v/>
      </c>
      <c r="AH145" s="156">
        <v>136</v>
      </c>
      <c r="AJ145" s="156" t="str">
        <f t="array" ref="AJ145">IFERROR(INDEX($AH$10:$AH$258, MATCH(0, IF(TRUE=$AE$10:$AE$258, COUNTIF($AJ$9:$AJ144, $AH$10:$AH$258), ""), 0)),"")</f>
        <v/>
      </c>
      <c r="AK145" s="156" t="str">
        <f t="array" ref="AK145">IFERROR(INDEX($AH$10:$AH$258, MATCH(0, IF(TRUE=$AF$10:$AF$258, COUNTIF($AK$9:$AK144, $AH$10:$AH$258), ""), 0)),"")</f>
        <v/>
      </c>
      <c r="AL145" s="31" t="str">
        <f>IFERROR(INDEX('G-6 Hedgerow Data'!$BJ$3:$BJ$15,MATCH(D145,'G-6 Hedgerow Data'!$B$3:$B$15,0)),"")</f>
        <v/>
      </c>
    </row>
    <row r="146" spans="2:38" ht="14" x14ac:dyDescent="0.3">
      <c r="B146" s="141">
        <v>137</v>
      </c>
      <c r="C146" s="203"/>
      <c r="D146" s="203"/>
      <c r="E146" s="153"/>
      <c r="F146" s="553" t="str">
        <f>IF(D146="","",VLOOKUP(D146,'G-6 Hedgerow Data'!$B$2:$AG$15,2,FALSE))</f>
        <v/>
      </c>
      <c r="G146" s="499" t="str">
        <f>IF(D146="","",VLOOKUP(D146,'G-6 Hedgerow Data'!$B$2:$AG$15,3,FALSE))</f>
        <v/>
      </c>
      <c r="H146" s="145"/>
      <c r="I146" s="499" t="str">
        <f>IFERROR(VLOOKUP(H146,'G-1 All Habitats'!$Z$2:$AA$9,2,FALSE),"")</f>
        <v/>
      </c>
      <c r="J146" s="145"/>
      <c r="K146" s="507" t="str">
        <f>IF(J146="","",IF(VLOOKUP(J146,'G-3 Multipliers'!$L$3:$N$6,2,FALSE)=0,"Spatial Data Missing",VLOOKUP(J146,'G-3 Multipliers'!$L$3:$N$6,2,FALSE)))</f>
        <v/>
      </c>
      <c r="L146" s="505" t="str">
        <f>IF(J146="","",IF(VLOOKUP(J146,'G-3 Multipliers'!$L$3:$N$6,3,FALSE)=0,"Spatial Data Missing ⚠",VLOOKUP(J146,'G-3 Multipliers'!$L$3:$N$6,3,FALSE)))</f>
        <v/>
      </c>
      <c r="M146" s="506" t="str">
        <f>IF(D146="","",VLOOKUP(D146,'G-6 Hedgerow Data'!$B$1:$AH$15,33,FALSE))</f>
        <v/>
      </c>
      <c r="N146" s="513" t="str">
        <f t="shared" si="16"/>
        <v/>
      </c>
      <c r="O146" s="40"/>
      <c r="P146" s="154"/>
      <c r="Q146" s="203"/>
      <c r="R146" s="532" t="str">
        <f t="shared" si="17"/>
        <v/>
      </c>
      <c r="S146" s="532" t="str">
        <f t="shared" si="18"/>
        <v/>
      </c>
      <c r="T146" s="532" t="str">
        <f t="shared" si="19"/>
        <v/>
      </c>
      <c r="U146" s="557" t="str">
        <f t="shared" si="20"/>
        <v/>
      </c>
      <c r="V146" s="151"/>
      <c r="W146" s="152"/>
      <c r="AE146" s="156" t="str">
        <f t="shared" si="14"/>
        <v/>
      </c>
      <c r="AF146" s="156" t="str">
        <f t="shared" si="15"/>
        <v/>
      </c>
      <c r="AH146" s="156">
        <v>137</v>
      </c>
      <c r="AJ146" s="156" t="str">
        <f t="array" ref="AJ146">IFERROR(INDEX($AH$10:$AH$258, MATCH(0, IF(TRUE=$AE$10:$AE$258, COUNTIF($AJ$9:$AJ145, $AH$10:$AH$258), ""), 0)),"")</f>
        <v/>
      </c>
      <c r="AK146" s="156" t="str">
        <f t="array" ref="AK146">IFERROR(INDEX($AH$10:$AH$258, MATCH(0, IF(TRUE=$AF$10:$AF$258, COUNTIF($AK$9:$AK145, $AH$10:$AH$258), ""), 0)),"")</f>
        <v/>
      </c>
      <c r="AL146" s="31" t="str">
        <f>IFERROR(INDEX('G-6 Hedgerow Data'!$BJ$3:$BJ$15,MATCH(D146,'G-6 Hedgerow Data'!$B$3:$B$15,0)),"")</f>
        <v/>
      </c>
    </row>
    <row r="147" spans="2:38" ht="14" x14ac:dyDescent="0.3">
      <c r="B147" s="141">
        <v>138</v>
      </c>
      <c r="C147" s="203"/>
      <c r="D147" s="203"/>
      <c r="E147" s="153"/>
      <c r="F147" s="553" t="str">
        <f>IF(D147="","",VLOOKUP(D147,'G-6 Hedgerow Data'!$B$2:$AG$15,2,FALSE))</f>
        <v/>
      </c>
      <c r="G147" s="499" t="str">
        <f>IF(D147="","",VLOOKUP(D147,'G-6 Hedgerow Data'!$B$2:$AG$15,3,FALSE))</f>
        <v/>
      </c>
      <c r="H147" s="145"/>
      <c r="I147" s="499" t="str">
        <f>IFERROR(VLOOKUP(H147,'G-1 All Habitats'!$Z$2:$AA$9,2,FALSE),"")</f>
        <v/>
      </c>
      <c r="J147" s="145"/>
      <c r="K147" s="507" t="str">
        <f>IF(J147="","",IF(VLOOKUP(J147,'G-3 Multipliers'!$L$3:$N$6,2,FALSE)=0,"Spatial Data Missing",VLOOKUP(J147,'G-3 Multipliers'!$L$3:$N$6,2,FALSE)))</f>
        <v/>
      </c>
      <c r="L147" s="505" t="str">
        <f>IF(J147="","",IF(VLOOKUP(J147,'G-3 Multipliers'!$L$3:$N$6,3,FALSE)=0,"Spatial Data Missing ⚠",VLOOKUP(J147,'G-3 Multipliers'!$L$3:$N$6,3,FALSE)))</f>
        <v/>
      </c>
      <c r="M147" s="506" t="str">
        <f>IF(D147="","",VLOOKUP(D147,'G-6 Hedgerow Data'!$B$1:$AH$15,33,FALSE))</f>
        <v/>
      </c>
      <c r="N147" s="513" t="str">
        <f t="shared" si="16"/>
        <v/>
      </c>
      <c r="O147" s="40"/>
      <c r="P147" s="154"/>
      <c r="Q147" s="203"/>
      <c r="R147" s="532" t="str">
        <f t="shared" si="17"/>
        <v/>
      </c>
      <c r="S147" s="532" t="str">
        <f t="shared" si="18"/>
        <v/>
      </c>
      <c r="T147" s="532" t="str">
        <f t="shared" si="19"/>
        <v/>
      </c>
      <c r="U147" s="557" t="str">
        <f t="shared" si="20"/>
        <v/>
      </c>
      <c r="V147" s="151"/>
      <c r="W147" s="152"/>
      <c r="AE147" s="156" t="str">
        <f t="shared" si="14"/>
        <v/>
      </c>
      <c r="AF147" s="156" t="str">
        <f t="shared" si="15"/>
        <v/>
      </c>
      <c r="AH147" s="156">
        <v>138</v>
      </c>
      <c r="AJ147" s="156" t="str">
        <f t="array" ref="AJ147">IFERROR(INDEX($AH$10:$AH$258, MATCH(0, IF(TRUE=$AE$10:$AE$258, COUNTIF($AJ$9:$AJ146, $AH$10:$AH$258), ""), 0)),"")</f>
        <v/>
      </c>
      <c r="AK147" s="156" t="str">
        <f t="array" ref="AK147">IFERROR(INDEX($AH$10:$AH$258, MATCH(0, IF(TRUE=$AF$10:$AF$258, COUNTIF($AK$9:$AK146, $AH$10:$AH$258), ""), 0)),"")</f>
        <v/>
      </c>
      <c r="AL147" s="31" t="str">
        <f>IFERROR(INDEX('G-6 Hedgerow Data'!$BJ$3:$BJ$15,MATCH(D147,'G-6 Hedgerow Data'!$B$3:$B$15,0)),"")</f>
        <v/>
      </c>
    </row>
    <row r="148" spans="2:38" ht="14" x14ac:dyDescent="0.3">
      <c r="B148" s="141">
        <v>139</v>
      </c>
      <c r="C148" s="203"/>
      <c r="D148" s="203"/>
      <c r="E148" s="153"/>
      <c r="F148" s="553" t="str">
        <f>IF(D148="","",VLOOKUP(D148,'G-6 Hedgerow Data'!$B$2:$AG$15,2,FALSE))</f>
        <v/>
      </c>
      <c r="G148" s="499" t="str">
        <f>IF(D148="","",VLOOKUP(D148,'G-6 Hedgerow Data'!$B$2:$AG$15,3,FALSE))</f>
        <v/>
      </c>
      <c r="H148" s="145"/>
      <c r="I148" s="499" t="str">
        <f>IFERROR(VLOOKUP(H148,'G-1 All Habitats'!$Z$2:$AA$9,2,FALSE),"")</f>
        <v/>
      </c>
      <c r="J148" s="145"/>
      <c r="K148" s="507" t="str">
        <f>IF(J148="","",IF(VLOOKUP(J148,'G-3 Multipliers'!$L$3:$N$6,2,FALSE)=0,"Spatial Data Missing",VLOOKUP(J148,'G-3 Multipliers'!$L$3:$N$6,2,FALSE)))</f>
        <v/>
      </c>
      <c r="L148" s="505" t="str">
        <f>IF(J148="","",IF(VLOOKUP(J148,'G-3 Multipliers'!$L$3:$N$6,3,FALSE)=0,"Spatial Data Missing ⚠",VLOOKUP(J148,'G-3 Multipliers'!$L$3:$N$6,3,FALSE)))</f>
        <v/>
      </c>
      <c r="M148" s="506" t="str">
        <f>IF(D148="","",VLOOKUP(D148,'G-6 Hedgerow Data'!$B$1:$AH$15,33,FALSE))</f>
        <v/>
      </c>
      <c r="N148" s="513" t="str">
        <f t="shared" si="16"/>
        <v/>
      </c>
      <c r="O148" s="40"/>
      <c r="P148" s="154"/>
      <c r="Q148" s="203"/>
      <c r="R148" s="532" t="str">
        <f t="shared" si="17"/>
        <v/>
      </c>
      <c r="S148" s="532" t="str">
        <f t="shared" si="18"/>
        <v/>
      </c>
      <c r="T148" s="532" t="str">
        <f t="shared" si="19"/>
        <v/>
      </c>
      <c r="U148" s="557" t="str">
        <f t="shared" si="20"/>
        <v/>
      </c>
      <c r="V148" s="151"/>
      <c r="W148" s="152"/>
      <c r="AE148" s="156" t="str">
        <f t="shared" si="14"/>
        <v/>
      </c>
      <c r="AF148" s="156" t="str">
        <f t="shared" si="15"/>
        <v/>
      </c>
      <c r="AH148" s="156">
        <v>139</v>
      </c>
      <c r="AJ148" s="156" t="str">
        <f t="array" ref="AJ148">IFERROR(INDEX($AH$10:$AH$258, MATCH(0, IF(TRUE=$AE$10:$AE$258, COUNTIF($AJ$9:$AJ147, $AH$10:$AH$258), ""), 0)),"")</f>
        <v/>
      </c>
      <c r="AK148" s="156" t="str">
        <f t="array" ref="AK148">IFERROR(INDEX($AH$10:$AH$258, MATCH(0, IF(TRUE=$AF$10:$AF$258, COUNTIF($AK$9:$AK147, $AH$10:$AH$258), ""), 0)),"")</f>
        <v/>
      </c>
      <c r="AL148" s="31" t="str">
        <f>IFERROR(INDEX('G-6 Hedgerow Data'!$BJ$3:$BJ$15,MATCH(D148,'G-6 Hedgerow Data'!$B$3:$B$15,0)),"")</f>
        <v/>
      </c>
    </row>
    <row r="149" spans="2:38" ht="14" x14ac:dyDescent="0.3">
      <c r="B149" s="141">
        <v>140</v>
      </c>
      <c r="C149" s="203"/>
      <c r="D149" s="203"/>
      <c r="E149" s="153"/>
      <c r="F149" s="553" t="str">
        <f>IF(D149="","",VLOOKUP(D149,'G-6 Hedgerow Data'!$B$2:$AG$15,2,FALSE))</f>
        <v/>
      </c>
      <c r="G149" s="499" t="str">
        <f>IF(D149="","",VLOOKUP(D149,'G-6 Hedgerow Data'!$B$2:$AG$15,3,FALSE))</f>
        <v/>
      </c>
      <c r="H149" s="145"/>
      <c r="I149" s="499" t="str">
        <f>IFERROR(VLOOKUP(H149,'G-1 All Habitats'!$Z$2:$AA$9,2,FALSE),"")</f>
        <v/>
      </c>
      <c r="J149" s="145"/>
      <c r="K149" s="507" t="str">
        <f>IF(J149="","",IF(VLOOKUP(J149,'G-3 Multipliers'!$L$3:$N$6,2,FALSE)=0,"Spatial Data Missing",VLOOKUP(J149,'G-3 Multipliers'!$L$3:$N$6,2,FALSE)))</f>
        <v/>
      </c>
      <c r="L149" s="505" t="str">
        <f>IF(J149="","",IF(VLOOKUP(J149,'G-3 Multipliers'!$L$3:$N$6,3,FALSE)=0,"Spatial Data Missing ⚠",VLOOKUP(J149,'G-3 Multipliers'!$L$3:$N$6,3,FALSE)))</f>
        <v/>
      </c>
      <c r="M149" s="506" t="str">
        <f>IF(D149="","",VLOOKUP(D149,'G-6 Hedgerow Data'!$B$1:$AH$15,33,FALSE))</f>
        <v/>
      </c>
      <c r="N149" s="513" t="str">
        <f t="shared" si="16"/>
        <v/>
      </c>
      <c r="O149" s="40"/>
      <c r="P149" s="154"/>
      <c r="Q149" s="203"/>
      <c r="R149" s="532" t="str">
        <f t="shared" si="17"/>
        <v/>
      </c>
      <c r="S149" s="532" t="str">
        <f t="shared" si="18"/>
        <v/>
      </c>
      <c r="T149" s="532" t="str">
        <f t="shared" si="19"/>
        <v/>
      </c>
      <c r="U149" s="557" t="str">
        <f t="shared" si="20"/>
        <v/>
      </c>
      <c r="V149" s="151"/>
      <c r="W149" s="152"/>
      <c r="AE149" s="156" t="str">
        <f t="shared" si="14"/>
        <v/>
      </c>
      <c r="AF149" s="156" t="str">
        <f t="shared" si="15"/>
        <v/>
      </c>
      <c r="AH149" s="156">
        <v>140</v>
      </c>
      <c r="AJ149" s="156" t="str">
        <f t="array" ref="AJ149">IFERROR(INDEX($AH$10:$AH$258, MATCH(0, IF(TRUE=$AE$10:$AE$258, COUNTIF($AJ$9:$AJ148, $AH$10:$AH$258), ""), 0)),"")</f>
        <v/>
      </c>
      <c r="AK149" s="156" t="str">
        <f t="array" ref="AK149">IFERROR(INDEX($AH$10:$AH$258, MATCH(0, IF(TRUE=$AF$10:$AF$258, COUNTIF($AK$9:$AK148, $AH$10:$AH$258), ""), 0)),"")</f>
        <v/>
      </c>
      <c r="AL149" s="31" t="str">
        <f>IFERROR(INDEX('G-6 Hedgerow Data'!$BJ$3:$BJ$15,MATCH(D149,'G-6 Hedgerow Data'!$B$3:$B$15,0)),"")</f>
        <v/>
      </c>
    </row>
    <row r="150" spans="2:38" ht="14" x14ac:dyDescent="0.3">
      <c r="B150" s="141">
        <v>141</v>
      </c>
      <c r="C150" s="203"/>
      <c r="D150" s="203"/>
      <c r="E150" s="153"/>
      <c r="F150" s="553" t="str">
        <f>IF(D150="","",VLOOKUP(D150,'G-6 Hedgerow Data'!$B$2:$AG$15,2,FALSE))</f>
        <v/>
      </c>
      <c r="G150" s="499" t="str">
        <f>IF(D150="","",VLOOKUP(D150,'G-6 Hedgerow Data'!$B$2:$AG$15,3,FALSE))</f>
        <v/>
      </c>
      <c r="H150" s="145"/>
      <c r="I150" s="499" t="str">
        <f>IFERROR(VLOOKUP(H150,'G-1 All Habitats'!$Z$2:$AA$9,2,FALSE),"")</f>
        <v/>
      </c>
      <c r="J150" s="145"/>
      <c r="K150" s="507" t="str">
        <f>IF(J150="","",IF(VLOOKUP(J150,'G-3 Multipliers'!$L$3:$N$6,2,FALSE)=0,"Spatial Data Missing",VLOOKUP(J150,'G-3 Multipliers'!$L$3:$N$6,2,FALSE)))</f>
        <v/>
      </c>
      <c r="L150" s="505" t="str">
        <f>IF(J150="","",IF(VLOOKUP(J150,'G-3 Multipliers'!$L$3:$N$6,3,FALSE)=0,"Spatial Data Missing ⚠",VLOOKUP(J150,'G-3 Multipliers'!$L$3:$N$6,3,FALSE)))</f>
        <v/>
      </c>
      <c r="M150" s="506" t="str">
        <f>IF(D150="","",VLOOKUP(D150,'G-6 Hedgerow Data'!$B$1:$AH$15,33,FALSE))</f>
        <v/>
      </c>
      <c r="N150" s="513" t="str">
        <f t="shared" si="16"/>
        <v/>
      </c>
      <c r="O150" s="40"/>
      <c r="P150" s="154"/>
      <c r="Q150" s="203"/>
      <c r="R150" s="532" t="str">
        <f t="shared" si="17"/>
        <v/>
      </c>
      <c r="S150" s="532" t="str">
        <f t="shared" si="18"/>
        <v/>
      </c>
      <c r="T150" s="532" t="str">
        <f t="shared" si="19"/>
        <v/>
      </c>
      <c r="U150" s="557" t="str">
        <f t="shared" si="20"/>
        <v/>
      </c>
      <c r="V150" s="151"/>
      <c r="W150" s="152"/>
      <c r="AE150" s="156" t="str">
        <f t="shared" si="14"/>
        <v/>
      </c>
      <c r="AF150" s="156" t="str">
        <f t="shared" si="15"/>
        <v/>
      </c>
      <c r="AH150" s="156">
        <v>141</v>
      </c>
      <c r="AJ150" s="156" t="str">
        <f t="array" ref="AJ150">IFERROR(INDEX($AH$10:$AH$258, MATCH(0, IF(TRUE=$AE$10:$AE$258, COUNTIF($AJ$9:$AJ149, $AH$10:$AH$258), ""), 0)),"")</f>
        <v/>
      </c>
      <c r="AK150" s="156" t="str">
        <f t="array" ref="AK150">IFERROR(INDEX($AH$10:$AH$258, MATCH(0, IF(TRUE=$AF$10:$AF$258, COUNTIF($AK$9:$AK149, $AH$10:$AH$258), ""), 0)),"")</f>
        <v/>
      </c>
      <c r="AL150" s="31" t="str">
        <f>IFERROR(INDEX('G-6 Hedgerow Data'!$BJ$3:$BJ$15,MATCH(D150,'G-6 Hedgerow Data'!$B$3:$B$15,0)),"")</f>
        <v/>
      </c>
    </row>
    <row r="151" spans="2:38" ht="14" x14ac:dyDescent="0.3">
      <c r="B151" s="141">
        <v>142</v>
      </c>
      <c r="C151" s="203"/>
      <c r="D151" s="203"/>
      <c r="E151" s="153"/>
      <c r="F151" s="553" t="str">
        <f>IF(D151="","",VLOOKUP(D151,'G-6 Hedgerow Data'!$B$2:$AG$15,2,FALSE))</f>
        <v/>
      </c>
      <c r="G151" s="499" t="str">
        <f>IF(D151="","",VLOOKUP(D151,'G-6 Hedgerow Data'!$B$2:$AG$15,3,FALSE))</f>
        <v/>
      </c>
      <c r="H151" s="145"/>
      <c r="I151" s="499" t="str">
        <f>IFERROR(VLOOKUP(H151,'G-1 All Habitats'!$Z$2:$AA$9,2,FALSE),"")</f>
        <v/>
      </c>
      <c r="J151" s="145"/>
      <c r="K151" s="507" t="str">
        <f>IF(J151="","",IF(VLOOKUP(J151,'G-3 Multipliers'!$L$3:$N$6,2,FALSE)=0,"Spatial Data Missing",VLOOKUP(J151,'G-3 Multipliers'!$L$3:$N$6,2,FALSE)))</f>
        <v/>
      </c>
      <c r="L151" s="505" t="str">
        <f>IF(J151="","",IF(VLOOKUP(J151,'G-3 Multipliers'!$L$3:$N$6,3,FALSE)=0,"Spatial Data Missing ⚠",VLOOKUP(J151,'G-3 Multipliers'!$L$3:$N$6,3,FALSE)))</f>
        <v/>
      </c>
      <c r="M151" s="506" t="str">
        <f>IF(D151="","",VLOOKUP(D151,'G-6 Hedgerow Data'!$B$1:$AH$15,33,FALSE))</f>
        <v/>
      </c>
      <c r="N151" s="513" t="str">
        <f t="shared" si="16"/>
        <v/>
      </c>
      <c r="O151" s="40"/>
      <c r="P151" s="154"/>
      <c r="Q151" s="203"/>
      <c r="R151" s="532" t="str">
        <f t="shared" si="17"/>
        <v/>
      </c>
      <c r="S151" s="532" t="str">
        <f t="shared" si="18"/>
        <v/>
      </c>
      <c r="T151" s="532" t="str">
        <f t="shared" si="19"/>
        <v/>
      </c>
      <c r="U151" s="557" t="str">
        <f t="shared" si="20"/>
        <v/>
      </c>
      <c r="V151" s="151"/>
      <c r="W151" s="152"/>
      <c r="AE151" s="156" t="str">
        <f t="shared" si="14"/>
        <v/>
      </c>
      <c r="AF151" s="156" t="str">
        <f t="shared" si="15"/>
        <v/>
      </c>
      <c r="AH151" s="156">
        <v>142</v>
      </c>
      <c r="AJ151" s="156" t="str">
        <f t="array" ref="AJ151">IFERROR(INDEX($AH$10:$AH$258, MATCH(0, IF(TRUE=$AE$10:$AE$258, COUNTIF($AJ$9:$AJ150, $AH$10:$AH$258), ""), 0)),"")</f>
        <v/>
      </c>
      <c r="AK151" s="156" t="str">
        <f t="array" ref="AK151">IFERROR(INDEX($AH$10:$AH$258, MATCH(0, IF(TRUE=$AF$10:$AF$258, COUNTIF($AK$9:$AK150, $AH$10:$AH$258), ""), 0)),"")</f>
        <v/>
      </c>
      <c r="AL151" s="31" t="str">
        <f>IFERROR(INDEX('G-6 Hedgerow Data'!$BJ$3:$BJ$15,MATCH(D151,'G-6 Hedgerow Data'!$B$3:$B$15,0)),"")</f>
        <v/>
      </c>
    </row>
    <row r="152" spans="2:38" ht="14" x14ac:dyDescent="0.3">
      <c r="B152" s="141">
        <v>143</v>
      </c>
      <c r="C152" s="203"/>
      <c r="D152" s="203"/>
      <c r="E152" s="153"/>
      <c r="F152" s="553" t="str">
        <f>IF(D152="","",VLOOKUP(D152,'G-6 Hedgerow Data'!$B$2:$AG$15,2,FALSE))</f>
        <v/>
      </c>
      <c r="G152" s="499" t="str">
        <f>IF(D152="","",VLOOKUP(D152,'G-6 Hedgerow Data'!$B$2:$AG$15,3,FALSE))</f>
        <v/>
      </c>
      <c r="H152" s="145"/>
      <c r="I152" s="499" t="str">
        <f>IFERROR(VLOOKUP(H152,'G-1 All Habitats'!$Z$2:$AA$9,2,FALSE),"")</f>
        <v/>
      </c>
      <c r="J152" s="145"/>
      <c r="K152" s="507" t="str">
        <f>IF(J152="","",IF(VLOOKUP(J152,'G-3 Multipliers'!$L$3:$N$6,2,FALSE)=0,"Spatial Data Missing",VLOOKUP(J152,'G-3 Multipliers'!$L$3:$N$6,2,FALSE)))</f>
        <v/>
      </c>
      <c r="L152" s="505" t="str">
        <f>IF(J152="","",IF(VLOOKUP(J152,'G-3 Multipliers'!$L$3:$N$6,3,FALSE)=0,"Spatial Data Missing ⚠",VLOOKUP(J152,'G-3 Multipliers'!$L$3:$N$6,3,FALSE)))</f>
        <v/>
      </c>
      <c r="M152" s="506" t="str">
        <f>IF(D152="","",VLOOKUP(D152,'G-6 Hedgerow Data'!$B$1:$AH$15,33,FALSE))</f>
        <v/>
      </c>
      <c r="N152" s="513" t="str">
        <f t="shared" si="16"/>
        <v/>
      </c>
      <c r="O152" s="40"/>
      <c r="P152" s="154"/>
      <c r="Q152" s="203"/>
      <c r="R152" s="532" t="str">
        <f t="shared" si="17"/>
        <v/>
      </c>
      <c r="S152" s="532" t="str">
        <f t="shared" si="18"/>
        <v/>
      </c>
      <c r="T152" s="532" t="str">
        <f t="shared" si="19"/>
        <v/>
      </c>
      <c r="U152" s="557" t="str">
        <f t="shared" si="20"/>
        <v/>
      </c>
      <c r="V152" s="151"/>
      <c r="W152" s="152"/>
      <c r="AE152" s="156" t="str">
        <f t="shared" si="14"/>
        <v/>
      </c>
      <c r="AF152" s="156" t="str">
        <f t="shared" si="15"/>
        <v/>
      </c>
      <c r="AH152" s="156">
        <v>143</v>
      </c>
      <c r="AJ152" s="156" t="str">
        <f t="array" ref="AJ152">IFERROR(INDEX($AH$10:$AH$258, MATCH(0, IF(TRUE=$AE$10:$AE$258, COUNTIF($AJ$9:$AJ151, $AH$10:$AH$258), ""), 0)),"")</f>
        <v/>
      </c>
      <c r="AK152" s="156" t="str">
        <f t="array" ref="AK152">IFERROR(INDEX($AH$10:$AH$258, MATCH(0, IF(TRUE=$AF$10:$AF$258, COUNTIF($AK$9:$AK151, $AH$10:$AH$258), ""), 0)),"")</f>
        <v/>
      </c>
      <c r="AL152" s="31" t="str">
        <f>IFERROR(INDEX('G-6 Hedgerow Data'!$BJ$3:$BJ$15,MATCH(D152,'G-6 Hedgerow Data'!$B$3:$B$15,0)),"")</f>
        <v/>
      </c>
    </row>
    <row r="153" spans="2:38" ht="14" x14ac:dyDescent="0.3">
      <c r="B153" s="141">
        <v>144</v>
      </c>
      <c r="C153" s="203"/>
      <c r="D153" s="203"/>
      <c r="E153" s="153"/>
      <c r="F153" s="553" t="str">
        <f>IF(D153="","",VLOOKUP(D153,'G-6 Hedgerow Data'!$B$2:$AG$15,2,FALSE))</f>
        <v/>
      </c>
      <c r="G153" s="499" t="str">
        <f>IF(D153="","",VLOOKUP(D153,'G-6 Hedgerow Data'!$B$2:$AG$15,3,FALSE))</f>
        <v/>
      </c>
      <c r="H153" s="145"/>
      <c r="I153" s="499" t="str">
        <f>IFERROR(VLOOKUP(H153,'G-1 All Habitats'!$Z$2:$AA$9,2,FALSE),"")</f>
        <v/>
      </c>
      <c r="J153" s="145"/>
      <c r="K153" s="507" t="str">
        <f>IF(J153="","",IF(VLOOKUP(J153,'G-3 Multipliers'!$L$3:$N$6,2,FALSE)=0,"Spatial Data Missing",VLOOKUP(J153,'G-3 Multipliers'!$L$3:$N$6,2,FALSE)))</f>
        <v/>
      </c>
      <c r="L153" s="505" t="str">
        <f>IF(J153="","",IF(VLOOKUP(J153,'G-3 Multipliers'!$L$3:$N$6,3,FALSE)=0,"Spatial Data Missing ⚠",VLOOKUP(J153,'G-3 Multipliers'!$L$3:$N$6,3,FALSE)))</f>
        <v/>
      </c>
      <c r="M153" s="506" t="str">
        <f>IF(D153="","",VLOOKUP(D153,'G-6 Hedgerow Data'!$B$1:$AH$15,33,FALSE))</f>
        <v/>
      </c>
      <c r="N153" s="513" t="str">
        <f t="shared" si="16"/>
        <v/>
      </c>
      <c r="O153" s="40"/>
      <c r="P153" s="154"/>
      <c r="Q153" s="203"/>
      <c r="R153" s="532" t="str">
        <f t="shared" si="17"/>
        <v/>
      </c>
      <c r="S153" s="532" t="str">
        <f t="shared" si="18"/>
        <v/>
      </c>
      <c r="T153" s="532" t="str">
        <f t="shared" si="19"/>
        <v/>
      </c>
      <c r="U153" s="557" t="str">
        <f t="shared" si="20"/>
        <v/>
      </c>
      <c r="V153" s="151"/>
      <c r="W153" s="152"/>
      <c r="AE153" s="156" t="str">
        <f t="shared" si="14"/>
        <v/>
      </c>
      <c r="AF153" s="156" t="str">
        <f t="shared" si="15"/>
        <v/>
      </c>
      <c r="AH153" s="156">
        <v>144</v>
      </c>
      <c r="AJ153" s="156" t="str">
        <f t="array" ref="AJ153">IFERROR(INDEX($AH$10:$AH$258, MATCH(0, IF(TRUE=$AE$10:$AE$258, COUNTIF($AJ$9:$AJ152, $AH$10:$AH$258), ""), 0)),"")</f>
        <v/>
      </c>
      <c r="AK153" s="156" t="str">
        <f t="array" ref="AK153">IFERROR(INDEX($AH$10:$AH$258, MATCH(0, IF(TRUE=$AF$10:$AF$258, COUNTIF($AK$9:$AK152, $AH$10:$AH$258), ""), 0)),"")</f>
        <v/>
      </c>
      <c r="AL153" s="31" t="str">
        <f>IFERROR(INDEX('G-6 Hedgerow Data'!$BJ$3:$BJ$15,MATCH(D153,'G-6 Hedgerow Data'!$B$3:$B$15,0)),"")</f>
        <v/>
      </c>
    </row>
    <row r="154" spans="2:38" ht="14" x14ac:dyDescent="0.3">
      <c r="B154" s="141">
        <v>145</v>
      </c>
      <c r="C154" s="203"/>
      <c r="D154" s="203"/>
      <c r="E154" s="153"/>
      <c r="F154" s="553" t="str">
        <f>IF(D154="","",VLOOKUP(D154,'G-6 Hedgerow Data'!$B$2:$AG$15,2,FALSE))</f>
        <v/>
      </c>
      <c r="G154" s="499" t="str">
        <f>IF(D154="","",VLOOKUP(D154,'G-6 Hedgerow Data'!$B$2:$AG$15,3,FALSE))</f>
        <v/>
      </c>
      <c r="H154" s="145"/>
      <c r="I154" s="499" t="str">
        <f>IFERROR(VLOOKUP(H154,'G-1 All Habitats'!$Z$2:$AA$9,2,FALSE),"")</f>
        <v/>
      </c>
      <c r="J154" s="145"/>
      <c r="K154" s="507" t="str">
        <f>IF(J154="","",IF(VLOOKUP(J154,'G-3 Multipliers'!$L$3:$N$6,2,FALSE)=0,"Spatial Data Missing",VLOOKUP(J154,'G-3 Multipliers'!$L$3:$N$6,2,FALSE)))</f>
        <v/>
      </c>
      <c r="L154" s="505" t="str">
        <f>IF(J154="","",IF(VLOOKUP(J154,'G-3 Multipliers'!$L$3:$N$6,3,FALSE)=0,"Spatial Data Missing ⚠",VLOOKUP(J154,'G-3 Multipliers'!$L$3:$N$6,3,FALSE)))</f>
        <v/>
      </c>
      <c r="M154" s="506" t="str">
        <f>IF(D154="","",VLOOKUP(D154,'G-6 Hedgerow Data'!$B$1:$AH$15,33,FALSE))</f>
        <v/>
      </c>
      <c r="N154" s="513" t="str">
        <f t="shared" si="16"/>
        <v/>
      </c>
      <c r="O154" s="40"/>
      <c r="P154" s="154"/>
      <c r="Q154" s="203"/>
      <c r="R154" s="532" t="str">
        <f t="shared" si="17"/>
        <v/>
      </c>
      <c r="S154" s="532" t="str">
        <f t="shared" si="18"/>
        <v/>
      </c>
      <c r="T154" s="532" t="str">
        <f t="shared" si="19"/>
        <v/>
      </c>
      <c r="U154" s="557" t="str">
        <f t="shared" si="20"/>
        <v/>
      </c>
      <c r="V154" s="151"/>
      <c r="W154" s="152"/>
      <c r="AE154" s="156" t="str">
        <f t="shared" si="14"/>
        <v/>
      </c>
      <c r="AF154" s="156" t="str">
        <f t="shared" si="15"/>
        <v/>
      </c>
      <c r="AH154" s="156">
        <v>145</v>
      </c>
      <c r="AJ154" s="156" t="str">
        <f t="array" ref="AJ154">IFERROR(INDEX($AH$10:$AH$258, MATCH(0, IF(TRUE=$AE$10:$AE$258, COUNTIF($AJ$9:$AJ153, $AH$10:$AH$258), ""), 0)),"")</f>
        <v/>
      </c>
      <c r="AK154" s="156" t="str">
        <f t="array" ref="AK154">IFERROR(INDEX($AH$10:$AH$258, MATCH(0, IF(TRUE=$AF$10:$AF$258, COUNTIF($AK$9:$AK153, $AH$10:$AH$258), ""), 0)),"")</f>
        <v/>
      </c>
      <c r="AL154" s="31" t="str">
        <f>IFERROR(INDEX('G-6 Hedgerow Data'!$BJ$3:$BJ$15,MATCH(D154,'G-6 Hedgerow Data'!$B$3:$B$15,0)),"")</f>
        <v/>
      </c>
    </row>
    <row r="155" spans="2:38" ht="14" x14ac:dyDescent="0.3">
      <c r="B155" s="141">
        <v>146</v>
      </c>
      <c r="C155" s="203"/>
      <c r="D155" s="203"/>
      <c r="E155" s="153"/>
      <c r="F155" s="553" t="str">
        <f>IF(D155="","",VLOOKUP(D155,'G-6 Hedgerow Data'!$B$2:$AG$15,2,FALSE))</f>
        <v/>
      </c>
      <c r="G155" s="499" t="str">
        <f>IF(D155="","",VLOOKUP(D155,'G-6 Hedgerow Data'!$B$2:$AG$15,3,FALSE))</f>
        <v/>
      </c>
      <c r="H155" s="145"/>
      <c r="I155" s="499" t="str">
        <f>IFERROR(VLOOKUP(H155,'G-1 All Habitats'!$Z$2:$AA$9,2,FALSE),"")</f>
        <v/>
      </c>
      <c r="J155" s="145"/>
      <c r="K155" s="507" t="str">
        <f>IF(J155="","",IF(VLOOKUP(J155,'G-3 Multipliers'!$L$3:$N$6,2,FALSE)=0,"Spatial Data Missing",VLOOKUP(J155,'G-3 Multipliers'!$L$3:$N$6,2,FALSE)))</f>
        <v/>
      </c>
      <c r="L155" s="505" t="str">
        <f>IF(J155="","",IF(VLOOKUP(J155,'G-3 Multipliers'!$L$3:$N$6,3,FALSE)=0,"Spatial Data Missing ⚠",VLOOKUP(J155,'G-3 Multipliers'!$L$3:$N$6,3,FALSE)))</f>
        <v/>
      </c>
      <c r="M155" s="506" t="str">
        <f>IF(D155="","",VLOOKUP(D155,'G-6 Hedgerow Data'!$B$1:$AH$15,33,FALSE))</f>
        <v/>
      </c>
      <c r="N155" s="513" t="str">
        <f t="shared" si="16"/>
        <v/>
      </c>
      <c r="O155" s="40"/>
      <c r="P155" s="154"/>
      <c r="Q155" s="203"/>
      <c r="R155" s="532" t="str">
        <f t="shared" si="17"/>
        <v/>
      </c>
      <c r="S155" s="532" t="str">
        <f t="shared" si="18"/>
        <v/>
      </c>
      <c r="T155" s="532" t="str">
        <f t="shared" si="19"/>
        <v/>
      </c>
      <c r="U155" s="557" t="str">
        <f t="shared" si="20"/>
        <v/>
      </c>
      <c r="V155" s="151"/>
      <c r="W155" s="152"/>
      <c r="AE155" s="156" t="str">
        <f t="shared" si="14"/>
        <v/>
      </c>
      <c r="AF155" s="156" t="str">
        <f t="shared" si="15"/>
        <v/>
      </c>
      <c r="AH155" s="156">
        <v>146</v>
      </c>
      <c r="AJ155" s="156" t="str">
        <f t="array" ref="AJ155">IFERROR(INDEX($AH$10:$AH$258, MATCH(0, IF(TRUE=$AE$10:$AE$258, COUNTIF($AJ$9:$AJ154, $AH$10:$AH$258), ""), 0)),"")</f>
        <v/>
      </c>
      <c r="AK155" s="156" t="str">
        <f t="array" ref="AK155">IFERROR(INDEX($AH$10:$AH$258, MATCH(0, IF(TRUE=$AF$10:$AF$258, COUNTIF($AK$9:$AK154, $AH$10:$AH$258), ""), 0)),"")</f>
        <v/>
      </c>
      <c r="AL155" s="31" t="str">
        <f>IFERROR(INDEX('G-6 Hedgerow Data'!$BJ$3:$BJ$15,MATCH(D155,'G-6 Hedgerow Data'!$B$3:$B$15,0)),"")</f>
        <v/>
      </c>
    </row>
    <row r="156" spans="2:38" ht="14" x14ac:dyDescent="0.3">
      <c r="B156" s="141">
        <v>147</v>
      </c>
      <c r="C156" s="203"/>
      <c r="D156" s="203"/>
      <c r="E156" s="153"/>
      <c r="F156" s="553" t="str">
        <f>IF(D156="","",VLOOKUP(D156,'G-6 Hedgerow Data'!$B$2:$AG$15,2,FALSE))</f>
        <v/>
      </c>
      <c r="G156" s="499" t="str">
        <f>IF(D156="","",VLOOKUP(D156,'G-6 Hedgerow Data'!$B$2:$AG$15,3,FALSE))</f>
        <v/>
      </c>
      <c r="H156" s="145"/>
      <c r="I156" s="499" t="str">
        <f>IFERROR(VLOOKUP(H156,'G-1 All Habitats'!$Z$2:$AA$9,2,FALSE),"")</f>
        <v/>
      </c>
      <c r="J156" s="145"/>
      <c r="K156" s="507" t="str">
        <f>IF(J156="","",IF(VLOOKUP(J156,'G-3 Multipliers'!$L$3:$N$6,2,FALSE)=0,"Spatial Data Missing",VLOOKUP(J156,'G-3 Multipliers'!$L$3:$N$6,2,FALSE)))</f>
        <v/>
      </c>
      <c r="L156" s="505" t="str">
        <f>IF(J156="","",IF(VLOOKUP(J156,'G-3 Multipliers'!$L$3:$N$6,3,FALSE)=0,"Spatial Data Missing ⚠",VLOOKUP(J156,'G-3 Multipliers'!$L$3:$N$6,3,FALSE)))</f>
        <v/>
      </c>
      <c r="M156" s="506" t="str">
        <f>IF(D156="","",VLOOKUP(D156,'G-6 Hedgerow Data'!$B$1:$AH$15,33,FALSE))</f>
        <v/>
      </c>
      <c r="N156" s="513" t="str">
        <f t="shared" si="16"/>
        <v/>
      </c>
      <c r="O156" s="40"/>
      <c r="P156" s="154"/>
      <c r="Q156" s="203"/>
      <c r="R156" s="532" t="str">
        <f t="shared" si="17"/>
        <v/>
      </c>
      <c r="S156" s="532" t="str">
        <f t="shared" si="18"/>
        <v/>
      </c>
      <c r="T156" s="532" t="str">
        <f t="shared" si="19"/>
        <v/>
      </c>
      <c r="U156" s="557" t="str">
        <f t="shared" si="20"/>
        <v/>
      </c>
      <c r="V156" s="151"/>
      <c r="W156" s="152"/>
      <c r="AE156" s="156" t="str">
        <f t="shared" si="14"/>
        <v/>
      </c>
      <c r="AF156" s="156" t="str">
        <f t="shared" si="15"/>
        <v/>
      </c>
      <c r="AH156" s="156">
        <v>147</v>
      </c>
      <c r="AJ156" s="156" t="str">
        <f t="array" ref="AJ156">IFERROR(INDEX($AH$10:$AH$258, MATCH(0, IF(TRUE=$AE$10:$AE$258, COUNTIF($AJ$9:$AJ155, $AH$10:$AH$258), ""), 0)),"")</f>
        <v/>
      </c>
      <c r="AK156" s="156" t="str">
        <f t="array" ref="AK156">IFERROR(INDEX($AH$10:$AH$258, MATCH(0, IF(TRUE=$AF$10:$AF$258, COUNTIF($AK$9:$AK155, $AH$10:$AH$258), ""), 0)),"")</f>
        <v/>
      </c>
      <c r="AL156" s="31" t="str">
        <f>IFERROR(INDEX('G-6 Hedgerow Data'!$BJ$3:$BJ$15,MATCH(D156,'G-6 Hedgerow Data'!$B$3:$B$15,0)),"")</f>
        <v/>
      </c>
    </row>
    <row r="157" spans="2:38" ht="14" x14ac:dyDescent="0.3">
      <c r="B157" s="141">
        <v>148</v>
      </c>
      <c r="C157" s="203"/>
      <c r="D157" s="203"/>
      <c r="E157" s="153"/>
      <c r="F157" s="553" t="str">
        <f>IF(D157="","",VLOOKUP(D157,'G-6 Hedgerow Data'!$B$2:$AG$15,2,FALSE))</f>
        <v/>
      </c>
      <c r="G157" s="499" t="str">
        <f>IF(D157="","",VLOOKUP(D157,'G-6 Hedgerow Data'!$B$2:$AG$15,3,FALSE))</f>
        <v/>
      </c>
      <c r="H157" s="145"/>
      <c r="I157" s="499" t="str">
        <f>IFERROR(VLOOKUP(H157,'G-1 All Habitats'!$Z$2:$AA$9,2,FALSE),"")</f>
        <v/>
      </c>
      <c r="J157" s="145"/>
      <c r="K157" s="507" t="str">
        <f>IF(J157="","",IF(VLOOKUP(J157,'G-3 Multipliers'!$L$3:$N$6,2,FALSE)=0,"Spatial Data Missing",VLOOKUP(J157,'G-3 Multipliers'!$L$3:$N$6,2,FALSE)))</f>
        <v/>
      </c>
      <c r="L157" s="505" t="str">
        <f>IF(J157="","",IF(VLOOKUP(J157,'G-3 Multipliers'!$L$3:$N$6,3,FALSE)=0,"Spatial Data Missing ⚠",VLOOKUP(J157,'G-3 Multipliers'!$L$3:$N$6,3,FALSE)))</f>
        <v/>
      </c>
      <c r="M157" s="506" t="str">
        <f>IF(D157="","",VLOOKUP(D157,'G-6 Hedgerow Data'!$B$1:$AH$15,33,FALSE))</f>
        <v/>
      </c>
      <c r="N157" s="513" t="str">
        <f t="shared" si="16"/>
        <v/>
      </c>
      <c r="O157" s="40"/>
      <c r="P157" s="154"/>
      <c r="Q157" s="203"/>
      <c r="R157" s="532" t="str">
        <f t="shared" si="17"/>
        <v/>
      </c>
      <c r="S157" s="532" t="str">
        <f t="shared" si="18"/>
        <v/>
      </c>
      <c r="T157" s="532" t="str">
        <f t="shared" si="19"/>
        <v/>
      </c>
      <c r="U157" s="557" t="str">
        <f t="shared" si="20"/>
        <v/>
      </c>
      <c r="V157" s="151"/>
      <c r="W157" s="152"/>
      <c r="AE157" s="156" t="str">
        <f t="shared" si="14"/>
        <v/>
      </c>
      <c r="AF157" s="156" t="str">
        <f t="shared" si="15"/>
        <v/>
      </c>
      <c r="AH157" s="156">
        <v>148</v>
      </c>
      <c r="AJ157" s="156" t="str">
        <f t="array" ref="AJ157">IFERROR(INDEX($AH$10:$AH$258, MATCH(0, IF(TRUE=$AE$10:$AE$258, COUNTIF($AJ$9:$AJ156, $AH$10:$AH$258), ""), 0)),"")</f>
        <v/>
      </c>
      <c r="AK157" s="156" t="str">
        <f t="array" ref="AK157">IFERROR(INDEX($AH$10:$AH$258, MATCH(0, IF(TRUE=$AF$10:$AF$258, COUNTIF($AK$9:$AK156, $AH$10:$AH$258), ""), 0)),"")</f>
        <v/>
      </c>
      <c r="AL157" s="31" t="str">
        <f>IFERROR(INDEX('G-6 Hedgerow Data'!$BJ$3:$BJ$15,MATCH(D157,'G-6 Hedgerow Data'!$B$3:$B$15,0)),"")</f>
        <v/>
      </c>
    </row>
    <row r="158" spans="2:38" ht="14" x14ac:dyDescent="0.3">
      <c r="B158" s="141">
        <v>149</v>
      </c>
      <c r="C158" s="203"/>
      <c r="D158" s="203"/>
      <c r="E158" s="153"/>
      <c r="F158" s="553" t="str">
        <f>IF(D158="","",VLOOKUP(D158,'G-6 Hedgerow Data'!$B$2:$AG$15,2,FALSE))</f>
        <v/>
      </c>
      <c r="G158" s="499" t="str">
        <f>IF(D158="","",VLOOKUP(D158,'G-6 Hedgerow Data'!$B$2:$AG$15,3,FALSE))</f>
        <v/>
      </c>
      <c r="H158" s="145"/>
      <c r="I158" s="499" t="str">
        <f>IFERROR(VLOOKUP(H158,'G-1 All Habitats'!$Z$2:$AA$9,2,FALSE),"")</f>
        <v/>
      </c>
      <c r="J158" s="145"/>
      <c r="K158" s="507" t="str">
        <f>IF(J158="","",IF(VLOOKUP(J158,'G-3 Multipliers'!$L$3:$N$6,2,FALSE)=0,"Spatial Data Missing",VLOOKUP(J158,'G-3 Multipliers'!$L$3:$N$6,2,FALSE)))</f>
        <v/>
      </c>
      <c r="L158" s="505" t="str">
        <f>IF(J158="","",IF(VLOOKUP(J158,'G-3 Multipliers'!$L$3:$N$6,3,FALSE)=0,"Spatial Data Missing ⚠",VLOOKUP(J158,'G-3 Multipliers'!$L$3:$N$6,3,FALSE)))</f>
        <v/>
      </c>
      <c r="M158" s="506" t="str">
        <f>IF(D158="","",VLOOKUP(D158,'G-6 Hedgerow Data'!$B$1:$AH$15,33,FALSE))</f>
        <v/>
      </c>
      <c r="N158" s="513" t="str">
        <f t="shared" si="16"/>
        <v/>
      </c>
      <c r="O158" s="40"/>
      <c r="P158" s="154"/>
      <c r="Q158" s="203"/>
      <c r="R158" s="532" t="str">
        <f t="shared" si="17"/>
        <v/>
      </c>
      <c r="S158" s="532" t="str">
        <f t="shared" si="18"/>
        <v/>
      </c>
      <c r="T158" s="532" t="str">
        <f t="shared" si="19"/>
        <v/>
      </c>
      <c r="U158" s="557" t="str">
        <f t="shared" si="20"/>
        <v/>
      </c>
      <c r="V158" s="151"/>
      <c r="W158" s="152"/>
      <c r="AE158" s="156" t="str">
        <f t="shared" si="14"/>
        <v/>
      </c>
      <c r="AF158" s="156" t="str">
        <f t="shared" si="15"/>
        <v/>
      </c>
      <c r="AH158" s="156">
        <v>149</v>
      </c>
      <c r="AJ158" s="156" t="str">
        <f t="array" ref="AJ158">IFERROR(INDEX($AH$10:$AH$258, MATCH(0, IF(TRUE=$AE$10:$AE$258, COUNTIF($AJ$9:$AJ157, $AH$10:$AH$258), ""), 0)),"")</f>
        <v/>
      </c>
      <c r="AK158" s="156" t="str">
        <f t="array" ref="AK158">IFERROR(INDEX($AH$10:$AH$258, MATCH(0, IF(TRUE=$AF$10:$AF$258, COUNTIF($AK$9:$AK157, $AH$10:$AH$258), ""), 0)),"")</f>
        <v/>
      </c>
      <c r="AL158" s="31" t="str">
        <f>IFERROR(INDEX('G-6 Hedgerow Data'!$BJ$3:$BJ$15,MATCH(D158,'G-6 Hedgerow Data'!$B$3:$B$15,0)),"")</f>
        <v/>
      </c>
    </row>
    <row r="159" spans="2:38" ht="14" x14ac:dyDescent="0.3">
      <c r="B159" s="141">
        <v>150</v>
      </c>
      <c r="C159" s="203"/>
      <c r="D159" s="203"/>
      <c r="E159" s="153"/>
      <c r="F159" s="553" t="str">
        <f>IF(D159="","",VLOOKUP(D159,'G-6 Hedgerow Data'!$B$2:$AG$15,2,FALSE))</f>
        <v/>
      </c>
      <c r="G159" s="499" t="str">
        <f>IF(D159="","",VLOOKUP(D159,'G-6 Hedgerow Data'!$B$2:$AG$15,3,FALSE))</f>
        <v/>
      </c>
      <c r="H159" s="145"/>
      <c r="I159" s="499" t="str">
        <f>IFERROR(VLOOKUP(H159,'G-1 All Habitats'!$Z$2:$AA$9,2,FALSE),"")</f>
        <v/>
      </c>
      <c r="J159" s="145"/>
      <c r="K159" s="507" t="str">
        <f>IF(J159="","",IF(VLOOKUP(J159,'G-3 Multipliers'!$L$3:$N$6,2,FALSE)=0,"Spatial Data Missing",VLOOKUP(J159,'G-3 Multipliers'!$L$3:$N$6,2,FALSE)))</f>
        <v/>
      </c>
      <c r="L159" s="505" t="str">
        <f>IF(J159="","",IF(VLOOKUP(J159,'G-3 Multipliers'!$L$3:$N$6,3,FALSE)=0,"Spatial Data Missing ⚠",VLOOKUP(J159,'G-3 Multipliers'!$L$3:$N$6,3,FALSE)))</f>
        <v/>
      </c>
      <c r="M159" s="506" t="str">
        <f>IF(D159="","",VLOOKUP(D159,'G-6 Hedgerow Data'!$B$1:$AH$15,33,FALSE))</f>
        <v/>
      </c>
      <c r="N159" s="513" t="str">
        <f t="shared" si="16"/>
        <v/>
      </c>
      <c r="O159" s="40"/>
      <c r="P159" s="154"/>
      <c r="Q159" s="203"/>
      <c r="R159" s="532" t="str">
        <f t="shared" si="17"/>
        <v/>
      </c>
      <c r="S159" s="532" t="str">
        <f t="shared" si="18"/>
        <v/>
      </c>
      <c r="T159" s="532" t="str">
        <f t="shared" si="19"/>
        <v/>
      </c>
      <c r="U159" s="557" t="str">
        <f t="shared" si="20"/>
        <v/>
      </c>
      <c r="V159" s="151"/>
      <c r="W159" s="152"/>
      <c r="AE159" s="156" t="str">
        <f t="shared" si="14"/>
        <v/>
      </c>
      <c r="AF159" s="156" t="str">
        <f t="shared" si="15"/>
        <v/>
      </c>
      <c r="AH159" s="156">
        <v>150</v>
      </c>
      <c r="AJ159" s="156" t="str">
        <f t="array" ref="AJ159">IFERROR(INDEX($AH$10:$AH$258, MATCH(0, IF(TRUE=$AE$10:$AE$258, COUNTIF($AJ$9:$AJ158, $AH$10:$AH$258), ""), 0)),"")</f>
        <v/>
      </c>
      <c r="AK159" s="156" t="str">
        <f t="array" ref="AK159">IFERROR(INDEX($AH$10:$AH$258, MATCH(0, IF(TRUE=$AF$10:$AF$258, COUNTIF($AK$9:$AK158, $AH$10:$AH$258), ""), 0)),"")</f>
        <v/>
      </c>
      <c r="AL159" s="31" t="str">
        <f>IFERROR(INDEX('G-6 Hedgerow Data'!$BJ$3:$BJ$15,MATCH(D159,'G-6 Hedgerow Data'!$B$3:$B$15,0)),"")</f>
        <v/>
      </c>
    </row>
    <row r="160" spans="2:38" ht="14" x14ac:dyDescent="0.3">
      <c r="B160" s="141">
        <v>151</v>
      </c>
      <c r="C160" s="203"/>
      <c r="D160" s="203"/>
      <c r="E160" s="153"/>
      <c r="F160" s="553" t="str">
        <f>IF(D160="","",VLOOKUP(D160,'G-6 Hedgerow Data'!$B$2:$AG$15,2,FALSE))</f>
        <v/>
      </c>
      <c r="G160" s="499" t="str">
        <f>IF(D160="","",VLOOKUP(D160,'G-6 Hedgerow Data'!$B$2:$AG$15,3,FALSE))</f>
        <v/>
      </c>
      <c r="H160" s="145"/>
      <c r="I160" s="499" t="str">
        <f>IFERROR(VLOOKUP(H160,'G-1 All Habitats'!$Z$2:$AA$9,2,FALSE),"")</f>
        <v/>
      </c>
      <c r="J160" s="145"/>
      <c r="K160" s="507" t="str">
        <f>IF(J160="","",IF(VLOOKUP(J160,'G-3 Multipliers'!$L$3:$N$6,2,FALSE)=0,"Spatial Data Missing",VLOOKUP(J160,'G-3 Multipliers'!$L$3:$N$6,2,FALSE)))</f>
        <v/>
      </c>
      <c r="L160" s="505" t="str">
        <f>IF(J160="","",IF(VLOOKUP(J160,'G-3 Multipliers'!$L$3:$N$6,3,FALSE)=0,"Spatial Data Missing ⚠",VLOOKUP(J160,'G-3 Multipliers'!$L$3:$N$6,3,FALSE)))</f>
        <v/>
      </c>
      <c r="M160" s="506" t="str">
        <f>IF(D160="","",VLOOKUP(D160,'G-6 Hedgerow Data'!$B$1:$AH$15,33,FALSE))</f>
        <v/>
      </c>
      <c r="N160" s="513" t="str">
        <f t="shared" si="16"/>
        <v/>
      </c>
      <c r="O160" s="40"/>
      <c r="P160" s="154"/>
      <c r="Q160" s="203"/>
      <c r="R160" s="532" t="str">
        <f t="shared" si="17"/>
        <v/>
      </c>
      <c r="S160" s="532" t="str">
        <f t="shared" si="18"/>
        <v/>
      </c>
      <c r="T160" s="532" t="str">
        <f t="shared" si="19"/>
        <v/>
      </c>
      <c r="U160" s="557" t="str">
        <f t="shared" si="20"/>
        <v/>
      </c>
      <c r="V160" s="151"/>
      <c r="W160" s="152"/>
      <c r="AE160" s="156" t="str">
        <f t="shared" si="14"/>
        <v/>
      </c>
      <c r="AF160" s="156" t="str">
        <f t="shared" si="15"/>
        <v/>
      </c>
      <c r="AH160" s="156">
        <v>151</v>
      </c>
      <c r="AJ160" s="156" t="str">
        <f t="array" ref="AJ160">IFERROR(INDEX($AH$10:$AH$258, MATCH(0, IF(TRUE=$AE$10:$AE$258, COUNTIF($AJ$9:$AJ159, $AH$10:$AH$258), ""), 0)),"")</f>
        <v/>
      </c>
      <c r="AK160" s="156" t="str">
        <f t="array" ref="AK160">IFERROR(INDEX($AH$10:$AH$258, MATCH(0, IF(TRUE=$AF$10:$AF$258, COUNTIF($AK$9:$AK159, $AH$10:$AH$258), ""), 0)),"")</f>
        <v/>
      </c>
      <c r="AL160" s="31" t="str">
        <f>IFERROR(INDEX('G-6 Hedgerow Data'!$BJ$3:$BJ$15,MATCH(D160,'G-6 Hedgerow Data'!$B$3:$B$15,0)),"")</f>
        <v/>
      </c>
    </row>
    <row r="161" spans="2:38" ht="14" x14ac:dyDescent="0.3">
      <c r="B161" s="141">
        <v>152</v>
      </c>
      <c r="C161" s="203"/>
      <c r="D161" s="203"/>
      <c r="E161" s="153"/>
      <c r="F161" s="553" t="str">
        <f>IF(D161="","",VLOOKUP(D161,'G-6 Hedgerow Data'!$B$2:$AG$15,2,FALSE))</f>
        <v/>
      </c>
      <c r="G161" s="499" t="str">
        <f>IF(D161="","",VLOOKUP(D161,'G-6 Hedgerow Data'!$B$2:$AG$15,3,FALSE))</f>
        <v/>
      </c>
      <c r="H161" s="145"/>
      <c r="I161" s="499" t="str">
        <f>IFERROR(VLOOKUP(H161,'G-1 All Habitats'!$Z$2:$AA$9,2,FALSE),"")</f>
        <v/>
      </c>
      <c r="J161" s="145"/>
      <c r="K161" s="507" t="str">
        <f>IF(J161="","",IF(VLOOKUP(J161,'G-3 Multipliers'!$L$3:$N$6,2,FALSE)=0,"Spatial Data Missing",VLOOKUP(J161,'G-3 Multipliers'!$L$3:$N$6,2,FALSE)))</f>
        <v/>
      </c>
      <c r="L161" s="505" t="str">
        <f>IF(J161="","",IF(VLOOKUP(J161,'G-3 Multipliers'!$L$3:$N$6,3,FALSE)=0,"Spatial Data Missing ⚠",VLOOKUP(J161,'G-3 Multipliers'!$L$3:$N$6,3,FALSE)))</f>
        <v/>
      </c>
      <c r="M161" s="506" t="str">
        <f>IF(D161="","",VLOOKUP(D161,'G-6 Hedgerow Data'!$B$1:$AH$15,33,FALSE))</f>
        <v/>
      </c>
      <c r="N161" s="513" t="str">
        <f t="shared" si="16"/>
        <v/>
      </c>
      <c r="O161" s="40"/>
      <c r="P161" s="154"/>
      <c r="Q161" s="203"/>
      <c r="R161" s="532" t="str">
        <f t="shared" si="17"/>
        <v/>
      </c>
      <c r="S161" s="532" t="str">
        <f t="shared" si="18"/>
        <v/>
      </c>
      <c r="T161" s="532" t="str">
        <f t="shared" si="19"/>
        <v/>
      </c>
      <c r="U161" s="557" t="str">
        <f t="shared" si="20"/>
        <v/>
      </c>
      <c r="V161" s="151"/>
      <c r="W161" s="152"/>
      <c r="AE161" s="156" t="str">
        <f t="shared" si="14"/>
        <v/>
      </c>
      <c r="AF161" s="156" t="str">
        <f t="shared" si="15"/>
        <v/>
      </c>
      <c r="AH161" s="156">
        <v>152</v>
      </c>
      <c r="AJ161" s="156" t="str">
        <f t="array" ref="AJ161">IFERROR(INDEX($AH$10:$AH$258, MATCH(0, IF(TRUE=$AE$10:$AE$258, COUNTIF($AJ$9:$AJ160, $AH$10:$AH$258), ""), 0)),"")</f>
        <v/>
      </c>
      <c r="AK161" s="156" t="str">
        <f t="array" ref="AK161">IFERROR(INDEX($AH$10:$AH$258, MATCH(0, IF(TRUE=$AF$10:$AF$258, COUNTIF($AK$9:$AK160, $AH$10:$AH$258), ""), 0)),"")</f>
        <v/>
      </c>
      <c r="AL161" s="31" t="str">
        <f>IFERROR(INDEX('G-6 Hedgerow Data'!$BJ$3:$BJ$15,MATCH(D161,'G-6 Hedgerow Data'!$B$3:$B$15,0)),"")</f>
        <v/>
      </c>
    </row>
    <row r="162" spans="2:38" ht="14" x14ac:dyDescent="0.3">
      <c r="B162" s="141">
        <v>153</v>
      </c>
      <c r="C162" s="203"/>
      <c r="D162" s="203"/>
      <c r="E162" s="153"/>
      <c r="F162" s="553" t="str">
        <f>IF(D162="","",VLOOKUP(D162,'G-6 Hedgerow Data'!$B$2:$AG$15,2,FALSE))</f>
        <v/>
      </c>
      <c r="G162" s="499" t="str">
        <f>IF(D162="","",VLOOKUP(D162,'G-6 Hedgerow Data'!$B$2:$AG$15,3,FALSE))</f>
        <v/>
      </c>
      <c r="H162" s="145"/>
      <c r="I162" s="499" t="str">
        <f>IFERROR(VLOOKUP(H162,'G-1 All Habitats'!$Z$2:$AA$9,2,FALSE),"")</f>
        <v/>
      </c>
      <c r="J162" s="145"/>
      <c r="K162" s="507" t="str">
        <f>IF(J162="","",IF(VLOOKUP(J162,'G-3 Multipliers'!$L$3:$N$6,2,FALSE)=0,"Spatial Data Missing",VLOOKUP(J162,'G-3 Multipliers'!$L$3:$N$6,2,FALSE)))</f>
        <v/>
      </c>
      <c r="L162" s="505" t="str">
        <f>IF(J162="","",IF(VLOOKUP(J162,'G-3 Multipliers'!$L$3:$N$6,3,FALSE)=0,"Spatial Data Missing ⚠",VLOOKUP(J162,'G-3 Multipliers'!$L$3:$N$6,3,FALSE)))</f>
        <v/>
      </c>
      <c r="M162" s="506" t="str">
        <f>IF(D162="","",VLOOKUP(D162,'G-6 Hedgerow Data'!$B$1:$AH$15,33,FALSE))</f>
        <v/>
      </c>
      <c r="N162" s="513" t="str">
        <f t="shared" si="16"/>
        <v/>
      </c>
      <c r="O162" s="40"/>
      <c r="P162" s="154"/>
      <c r="Q162" s="203"/>
      <c r="R162" s="532" t="str">
        <f t="shared" si="17"/>
        <v/>
      </c>
      <c r="S162" s="532" t="str">
        <f t="shared" si="18"/>
        <v/>
      </c>
      <c r="T162" s="532" t="str">
        <f t="shared" si="19"/>
        <v/>
      </c>
      <c r="U162" s="557" t="str">
        <f t="shared" si="20"/>
        <v/>
      </c>
      <c r="V162" s="151"/>
      <c r="W162" s="152"/>
      <c r="AE162" s="156" t="str">
        <f t="shared" si="14"/>
        <v/>
      </c>
      <c r="AF162" s="156" t="str">
        <f t="shared" si="15"/>
        <v/>
      </c>
      <c r="AH162" s="156">
        <v>153</v>
      </c>
      <c r="AJ162" s="156" t="str">
        <f t="array" ref="AJ162">IFERROR(INDEX($AH$10:$AH$258, MATCH(0, IF(TRUE=$AE$10:$AE$258, COUNTIF($AJ$9:$AJ161, $AH$10:$AH$258), ""), 0)),"")</f>
        <v/>
      </c>
      <c r="AK162" s="156" t="str">
        <f t="array" ref="AK162">IFERROR(INDEX($AH$10:$AH$258, MATCH(0, IF(TRUE=$AF$10:$AF$258, COUNTIF($AK$9:$AK161, $AH$10:$AH$258), ""), 0)),"")</f>
        <v/>
      </c>
      <c r="AL162" s="31" t="str">
        <f>IFERROR(INDEX('G-6 Hedgerow Data'!$BJ$3:$BJ$15,MATCH(D162,'G-6 Hedgerow Data'!$B$3:$B$15,0)),"")</f>
        <v/>
      </c>
    </row>
    <row r="163" spans="2:38" ht="14" x14ac:dyDescent="0.3">
      <c r="B163" s="141">
        <v>154</v>
      </c>
      <c r="C163" s="203"/>
      <c r="D163" s="203"/>
      <c r="E163" s="153"/>
      <c r="F163" s="553" t="str">
        <f>IF(D163="","",VLOOKUP(D163,'G-6 Hedgerow Data'!$B$2:$AG$15,2,FALSE))</f>
        <v/>
      </c>
      <c r="G163" s="499" t="str">
        <f>IF(D163="","",VLOOKUP(D163,'G-6 Hedgerow Data'!$B$2:$AG$15,3,FALSE))</f>
        <v/>
      </c>
      <c r="H163" s="145"/>
      <c r="I163" s="499" t="str">
        <f>IFERROR(VLOOKUP(H163,'G-1 All Habitats'!$Z$2:$AA$9,2,FALSE),"")</f>
        <v/>
      </c>
      <c r="J163" s="145"/>
      <c r="K163" s="507" t="str">
        <f>IF(J163="","",IF(VLOOKUP(J163,'G-3 Multipliers'!$L$3:$N$6,2,FALSE)=0,"Spatial Data Missing",VLOOKUP(J163,'G-3 Multipliers'!$L$3:$N$6,2,FALSE)))</f>
        <v/>
      </c>
      <c r="L163" s="505" t="str">
        <f>IF(J163="","",IF(VLOOKUP(J163,'G-3 Multipliers'!$L$3:$N$6,3,FALSE)=0,"Spatial Data Missing ⚠",VLOOKUP(J163,'G-3 Multipliers'!$L$3:$N$6,3,FALSE)))</f>
        <v/>
      </c>
      <c r="M163" s="506" t="str">
        <f>IF(D163="","",VLOOKUP(D163,'G-6 Hedgerow Data'!$B$1:$AH$15,33,FALSE))</f>
        <v/>
      </c>
      <c r="N163" s="513" t="str">
        <f t="shared" si="16"/>
        <v/>
      </c>
      <c r="O163" s="40"/>
      <c r="P163" s="154"/>
      <c r="Q163" s="203"/>
      <c r="R163" s="532" t="str">
        <f t="shared" si="17"/>
        <v/>
      </c>
      <c r="S163" s="532" t="str">
        <f t="shared" si="18"/>
        <v/>
      </c>
      <c r="T163" s="532" t="str">
        <f t="shared" si="19"/>
        <v/>
      </c>
      <c r="U163" s="557" t="str">
        <f t="shared" si="20"/>
        <v/>
      </c>
      <c r="V163" s="151"/>
      <c r="W163" s="152"/>
      <c r="AE163" s="156" t="str">
        <f t="shared" si="14"/>
        <v/>
      </c>
      <c r="AF163" s="156" t="str">
        <f t="shared" si="15"/>
        <v/>
      </c>
      <c r="AH163" s="156">
        <v>154</v>
      </c>
      <c r="AJ163" s="156" t="str">
        <f t="array" ref="AJ163">IFERROR(INDEX($AH$10:$AH$258, MATCH(0, IF(TRUE=$AE$10:$AE$258, COUNTIF($AJ$9:$AJ162, $AH$10:$AH$258), ""), 0)),"")</f>
        <v/>
      </c>
      <c r="AK163" s="156" t="str">
        <f t="array" ref="AK163">IFERROR(INDEX($AH$10:$AH$258, MATCH(0, IF(TRUE=$AF$10:$AF$258, COUNTIF($AK$9:$AK162, $AH$10:$AH$258), ""), 0)),"")</f>
        <v/>
      </c>
      <c r="AL163" s="31" t="str">
        <f>IFERROR(INDEX('G-6 Hedgerow Data'!$BJ$3:$BJ$15,MATCH(D163,'G-6 Hedgerow Data'!$B$3:$B$15,0)),"")</f>
        <v/>
      </c>
    </row>
    <row r="164" spans="2:38" ht="14" x14ac:dyDescent="0.3">
      <c r="B164" s="141">
        <v>155</v>
      </c>
      <c r="C164" s="203"/>
      <c r="D164" s="203"/>
      <c r="E164" s="153"/>
      <c r="F164" s="553" t="str">
        <f>IF(D164="","",VLOOKUP(D164,'G-6 Hedgerow Data'!$B$2:$AG$15,2,FALSE))</f>
        <v/>
      </c>
      <c r="G164" s="499" t="str">
        <f>IF(D164="","",VLOOKUP(D164,'G-6 Hedgerow Data'!$B$2:$AG$15,3,FALSE))</f>
        <v/>
      </c>
      <c r="H164" s="145"/>
      <c r="I164" s="499" t="str">
        <f>IFERROR(VLOOKUP(H164,'G-1 All Habitats'!$Z$2:$AA$9,2,FALSE),"")</f>
        <v/>
      </c>
      <c r="J164" s="145"/>
      <c r="K164" s="507" t="str">
        <f>IF(J164="","",IF(VLOOKUP(J164,'G-3 Multipliers'!$L$3:$N$6,2,FALSE)=0,"Spatial Data Missing",VLOOKUP(J164,'G-3 Multipliers'!$L$3:$N$6,2,FALSE)))</f>
        <v/>
      </c>
      <c r="L164" s="505" t="str">
        <f>IF(J164="","",IF(VLOOKUP(J164,'G-3 Multipliers'!$L$3:$N$6,3,FALSE)=0,"Spatial Data Missing ⚠",VLOOKUP(J164,'G-3 Multipliers'!$L$3:$N$6,3,FALSE)))</f>
        <v/>
      </c>
      <c r="M164" s="506" t="str">
        <f>IF(D164="","",VLOOKUP(D164,'G-6 Hedgerow Data'!$B$1:$AH$15,33,FALSE))</f>
        <v/>
      </c>
      <c r="N164" s="513" t="str">
        <f t="shared" si="16"/>
        <v/>
      </c>
      <c r="O164" s="40"/>
      <c r="P164" s="154"/>
      <c r="Q164" s="203"/>
      <c r="R164" s="532" t="str">
        <f t="shared" si="17"/>
        <v/>
      </c>
      <c r="S164" s="532" t="str">
        <f t="shared" si="18"/>
        <v/>
      </c>
      <c r="T164" s="532" t="str">
        <f t="shared" si="19"/>
        <v/>
      </c>
      <c r="U164" s="557" t="str">
        <f t="shared" si="20"/>
        <v/>
      </c>
      <c r="V164" s="151"/>
      <c r="W164" s="152"/>
      <c r="AE164" s="156" t="str">
        <f t="shared" si="14"/>
        <v/>
      </c>
      <c r="AF164" s="156" t="str">
        <f t="shared" si="15"/>
        <v/>
      </c>
      <c r="AH164" s="156">
        <v>155</v>
      </c>
      <c r="AJ164" s="156" t="str">
        <f t="array" ref="AJ164">IFERROR(INDEX($AH$10:$AH$258, MATCH(0, IF(TRUE=$AE$10:$AE$258, COUNTIF($AJ$9:$AJ163, $AH$10:$AH$258), ""), 0)),"")</f>
        <v/>
      </c>
      <c r="AK164" s="156" t="str">
        <f t="array" ref="AK164">IFERROR(INDEX($AH$10:$AH$258, MATCH(0, IF(TRUE=$AF$10:$AF$258, COUNTIF($AK$9:$AK163, $AH$10:$AH$258), ""), 0)),"")</f>
        <v/>
      </c>
      <c r="AL164" s="31" t="str">
        <f>IFERROR(INDEX('G-6 Hedgerow Data'!$BJ$3:$BJ$15,MATCH(D164,'G-6 Hedgerow Data'!$B$3:$B$15,0)),"")</f>
        <v/>
      </c>
    </row>
    <row r="165" spans="2:38" ht="14" x14ac:dyDescent="0.3">
      <c r="B165" s="141">
        <v>156</v>
      </c>
      <c r="C165" s="203"/>
      <c r="D165" s="203"/>
      <c r="E165" s="153"/>
      <c r="F165" s="553" t="str">
        <f>IF(D165="","",VLOOKUP(D165,'G-6 Hedgerow Data'!$B$2:$AG$15,2,FALSE))</f>
        <v/>
      </c>
      <c r="G165" s="499" t="str">
        <f>IF(D165="","",VLOOKUP(D165,'G-6 Hedgerow Data'!$B$2:$AG$15,3,FALSE))</f>
        <v/>
      </c>
      <c r="H165" s="145"/>
      <c r="I165" s="499" t="str">
        <f>IFERROR(VLOOKUP(H165,'G-1 All Habitats'!$Z$2:$AA$9,2,FALSE),"")</f>
        <v/>
      </c>
      <c r="J165" s="145"/>
      <c r="K165" s="507" t="str">
        <f>IF(J165="","",IF(VLOOKUP(J165,'G-3 Multipliers'!$L$3:$N$6,2,FALSE)=0,"Spatial Data Missing",VLOOKUP(J165,'G-3 Multipliers'!$L$3:$N$6,2,FALSE)))</f>
        <v/>
      </c>
      <c r="L165" s="505" t="str">
        <f>IF(J165="","",IF(VLOOKUP(J165,'G-3 Multipliers'!$L$3:$N$6,3,FALSE)=0,"Spatial Data Missing ⚠",VLOOKUP(J165,'G-3 Multipliers'!$L$3:$N$6,3,FALSE)))</f>
        <v/>
      </c>
      <c r="M165" s="506" t="str">
        <f>IF(D165="","",VLOOKUP(D165,'G-6 Hedgerow Data'!$B$1:$AH$15,33,FALSE))</f>
        <v/>
      </c>
      <c r="N165" s="513" t="str">
        <f t="shared" si="16"/>
        <v/>
      </c>
      <c r="O165" s="40"/>
      <c r="P165" s="154"/>
      <c r="Q165" s="203"/>
      <c r="R165" s="532" t="str">
        <f t="shared" si="17"/>
        <v/>
      </c>
      <c r="S165" s="532" t="str">
        <f t="shared" si="18"/>
        <v/>
      </c>
      <c r="T165" s="532" t="str">
        <f t="shared" si="19"/>
        <v/>
      </c>
      <c r="U165" s="557" t="str">
        <f t="shared" si="20"/>
        <v/>
      </c>
      <c r="V165" s="151"/>
      <c r="W165" s="152"/>
      <c r="AE165" s="156" t="str">
        <f t="shared" si="14"/>
        <v/>
      </c>
      <c r="AF165" s="156" t="str">
        <f t="shared" si="15"/>
        <v/>
      </c>
      <c r="AH165" s="156">
        <v>156</v>
      </c>
      <c r="AJ165" s="156" t="str">
        <f t="array" ref="AJ165">IFERROR(INDEX($AH$10:$AH$258, MATCH(0, IF(TRUE=$AE$10:$AE$258, COUNTIF($AJ$9:$AJ164, $AH$10:$AH$258), ""), 0)),"")</f>
        <v/>
      </c>
      <c r="AK165" s="156" t="str">
        <f t="array" ref="AK165">IFERROR(INDEX($AH$10:$AH$258, MATCH(0, IF(TRUE=$AF$10:$AF$258, COUNTIF($AK$9:$AK164, $AH$10:$AH$258), ""), 0)),"")</f>
        <v/>
      </c>
      <c r="AL165" s="31" t="str">
        <f>IFERROR(INDEX('G-6 Hedgerow Data'!$BJ$3:$BJ$15,MATCH(D165,'G-6 Hedgerow Data'!$B$3:$B$15,0)),"")</f>
        <v/>
      </c>
    </row>
    <row r="166" spans="2:38" ht="14" x14ac:dyDescent="0.3">
      <c r="B166" s="141">
        <v>157</v>
      </c>
      <c r="C166" s="203"/>
      <c r="D166" s="203"/>
      <c r="E166" s="153"/>
      <c r="F166" s="553" t="str">
        <f>IF(D166="","",VLOOKUP(D166,'G-6 Hedgerow Data'!$B$2:$AG$15,2,FALSE))</f>
        <v/>
      </c>
      <c r="G166" s="499" t="str">
        <f>IF(D166="","",VLOOKUP(D166,'G-6 Hedgerow Data'!$B$2:$AG$15,3,FALSE))</f>
        <v/>
      </c>
      <c r="H166" s="145"/>
      <c r="I166" s="499" t="str">
        <f>IFERROR(VLOOKUP(H166,'G-1 All Habitats'!$Z$2:$AA$9,2,FALSE),"")</f>
        <v/>
      </c>
      <c r="J166" s="145"/>
      <c r="K166" s="507" t="str">
        <f>IF(J166="","",IF(VLOOKUP(J166,'G-3 Multipliers'!$L$3:$N$6,2,FALSE)=0,"Spatial Data Missing",VLOOKUP(J166,'G-3 Multipliers'!$L$3:$N$6,2,FALSE)))</f>
        <v/>
      </c>
      <c r="L166" s="505" t="str">
        <f>IF(J166="","",IF(VLOOKUP(J166,'G-3 Multipliers'!$L$3:$N$6,3,FALSE)=0,"Spatial Data Missing ⚠",VLOOKUP(J166,'G-3 Multipliers'!$L$3:$N$6,3,FALSE)))</f>
        <v/>
      </c>
      <c r="M166" s="506" t="str">
        <f>IF(D166="","",VLOOKUP(D166,'G-6 Hedgerow Data'!$B$1:$AH$15,33,FALSE))</f>
        <v/>
      </c>
      <c r="N166" s="513" t="str">
        <f t="shared" si="16"/>
        <v/>
      </c>
      <c r="O166" s="40"/>
      <c r="P166" s="154"/>
      <c r="Q166" s="203"/>
      <c r="R166" s="532" t="str">
        <f t="shared" si="17"/>
        <v/>
      </c>
      <c r="S166" s="532" t="str">
        <f t="shared" si="18"/>
        <v/>
      </c>
      <c r="T166" s="532" t="str">
        <f t="shared" si="19"/>
        <v/>
      </c>
      <c r="U166" s="557" t="str">
        <f t="shared" si="20"/>
        <v/>
      </c>
      <c r="V166" s="151"/>
      <c r="W166" s="152"/>
      <c r="AE166" s="156" t="str">
        <f t="shared" si="14"/>
        <v/>
      </c>
      <c r="AF166" s="156" t="str">
        <f t="shared" si="15"/>
        <v/>
      </c>
      <c r="AH166" s="156">
        <v>157</v>
      </c>
      <c r="AJ166" s="156" t="str">
        <f t="array" ref="AJ166">IFERROR(INDEX($AH$10:$AH$258, MATCH(0, IF(TRUE=$AE$10:$AE$258, COUNTIF($AJ$9:$AJ165, $AH$10:$AH$258), ""), 0)),"")</f>
        <v/>
      </c>
      <c r="AK166" s="156" t="str">
        <f t="array" ref="AK166">IFERROR(INDEX($AH$10:$AH$258, MATCH(0, IF(TRUE=$AF$10:$AF$258, COUNTIF($AK$9:$AK165, $AH$10:$AH$258), ""), 0)),"")</f>
        <v/>
      </c>
      <c r="AL166" s="31" t="str">
        <f>IFERROR(INDEX('G-6 Hedgerow Data'!$BJ$3:$BJ$15,MATCH(D166,'G-6 Hedgerow Data'!$B$3:$B$15,0)),"")</f>
        <v/>
      </c>
    </row>
    <row r="167" spans="2:38" ht="14" x14ac:dyDescent="0.3">
      <c r="B167" s="141">
        <v>158</v>
      </c>
      <c r="C167" s="203"/>
      <c r="D167" s="203"/>
      <c r="E167" s="153"/>
      <c r="F167" s="553" t="str">
        <f>IF(D167="","",VLOOKUP(D167,'G-6 Hedgerow Data'!$B$2:$AG$15,2,FALSE))</f>
        <v/>
      </c>
      <c r="G167" s="499" t="str">
        <f>IF(D167="","",VLOOKUP(D167,'G-6 Hedgerow Data'!$B$2:$AG$15,3,FALSE))</f>
        <v/>
      </c>
      <c r="H167" s="145"/>
      <c r="I167" s="499" t="str">
        <f>IFERROR(VLOOKUP(H167,'G-1 All Habitats'!$Z$2:$AA$9,2,FALSE),"")</f>
        <v/>
      </c>
      <c r="J167" s="145"/>
      <c r="K167" s="507" t="str">
        <f>IF(J167="","",IF(VLOOKUP(J167,'G-3 Multipliers'!$L$3:$N$6,2,FALSE)=0,"Spatial Data Missing",VLOOKUP(J167,'G-3 Multipliers'!$L$3:$N$6,2,FALSE)))</f>
        <v/>
      </c>
      <c r="L167" s="505" t="str">
        <f>IF(J167="","",IF(VLOOKUP(J167,'G-3 Multipliers'!$L$3:$N$6,3,FALSE)=0,"Spatial Data Missing ⚠",VLOOKUP(J167,'G-3 Multipliers'!$L$3:$N$6,3,FALSE)))</f>
        <v/>
      </c>
      <c r="M167" s="506" t="str">
        <f>IF(D167="","",VLOOKUP(D167,'G-6 Hedgerow Data'!$B$1:$AH$15,33,FALSE))</f>
        <v/>
      </c>
      <c r="N167" s="513" t="str">
        <f t="shared" si="16"/>
        <v/>
      </c>
      <c r="O167" s="40"/>
      <c r="P167" s="154"/>
      <c r="Q167" s="203"/>
      <c r="R167" s="532" t="str">
        <f t="shared" si="17"/>
        <v/>
      </c>
      <c r="S167" s="532" t="str">
        <f t="shared" si="18"/>
        <v/>
      </c>
      <c r="T167" s="532" t="str">
        <f t="shared" si="19"/>
        <v/>
      </c>
      <c r="U167" s="557" t="str">
        <f t="shared" si="20"/>
        <v/>
      </c>
      <c r="V167" s="151"/>
      <c r="W167" s="152"/>
      <c r="AE167" s="156" t="str">
        <f t="shared" si="14"/>
        <v/>
      </c>
      <c r="AF167" s="156" t="str">
        <f t="shared" si="15"/>
        <v/>
      </c>
      <c r="AH167" s="156">
        <v>158</v>
      </c>
      <c r="AJ167" s="156" t="str">
        <f t="array" ref="AJ167">IFERROR(INDEX($AH$10:$AH$258, MATCH(0, IF(TRUE=$AE$10:$AE$258, COUNTIF($AJ$9:$AJ166, $AH$10:$AH$258), ""), 0)),"")</f>
        <v/>
      </c>
      <c r="AK167" s="156" t="str">
        <f t="array" ref="AK167">IFERROR(INDEX($AH$10:$AH$258, MATCH(0, IF(TRUE=$AF$10:$AF$258, COUNTIF($AK$9:$AK166, $AH$10:$AH$258), ""), 0)),"")</f>
        <v/>
      </c>
      <c r="AL167" s="31" t="str">
        <f>IFERROR(INDEX('G-6 Hedgerow Data'!$BJ$3:$BJ$15,MATCH(D167,'G-6 Hedgerow Data'!$B$3:$B$15,0)),"")</f>
        <v/>
      </c>
    </row>
    <row r="168" spans="2:38" ht="14" x14ac:dyDescent="0.3">
      <c r="B168" s="141">
        <v>159</v>
      </c>
      <c r="C168" s="203"/>
      <c r="D168" s="203"/>
      <c r="E168" s="153"/>
      <c r="F168" s="553" t="str">
        <f>IF(D168="","",VLOOKUP(D168,'G-6 Hedgerow Data'!$B$2:$AG$15,2,FALSE))</f>
        <v/>
      </c>
      <c r="G168" s="499" t="str">
        <f>IF(D168="","",VLOOKUP(D168,'G-6 Hedgerow Data'!$B$2:$AG$15,3,FALSE))</f>
        <v/>
      </c>
      <c r="H168" s="145"/>
      <c r="I168" s="499" t="str">
        <f>IFERROR(VLOOKUP(H168,'G-1 All Habitats'!$Z$2:$AA$9,2,FALSE),"")</f>
        <v/>
      </c>
      <c r="J168" s="145"/>
      <c r="K168" s="507" t="str">
        <f>IF(J168="","",IF(VLOOKUP(J168,'G-3 Multipliers'!$L$3:$N$6,2,FALSE)=0,"Spatial Data Missing",VLOOKUP(J168,'G-3 Multipliers'!$L$3:$N$6,2,FALSE)))</f>
        <v/>
      </c>
      <c r="L168" s="505" t="str">
        <f>IF(J168="","",IF(VLOOKUP(J168,'G-3 Multipliers'!$L$3:$N$6,3,FALSE)=0,"Spatial Data Missing ⚠",VLOOKUP(J168,'G-3 Multipliers'!$L$3:$N$6,3,FALSE)))</f>
        <v/>
      </c>
      <c r="M168" s="506" t="str">
        <f>IF(D168="","",VLOOKUP(D168,'G-6 Hedgerow Data'!$B$1:$AH$15,33,FALSE))</f>
        <v/>
      </c>
      <c r="N168" s="513" t="str">
        <f t="shared" si="16"/>
        <v/>
      </c>
      <c r="O168" s="40"/>
      <c r="P168" s="154"/>
      <c r="Q168" s="203"/>
      <c r="R168" s="532" t="str">
        <f t="shared" si="17"/>
        <v/>
      </c>
      <c r="S168" s="532" t="str">
        <f t="shared" si="18"/>
        <v/>
      </c>
      <c r="T168" s="532" t="str">
        <f t="shared" si="19"/>
        <v/>
      </c>
      <c r="U168" s="557" t="str">
        <f t="shared" si="20"/>
        <v/>
      </c>
      <c r="V168" s="151"/>
      <c r="W168" s="152"/>
      <c r="AE168" s="156" t="str">
        <f t="shared" si="14"/>
        <v/>
      </c>
      <c r="AF168" s="156" t="str">
        <f t="shared" si="15"/>
        <v/>
      </c>
      <c r="AH168" s="156">
        <v>159</v>
      </c>
      <c r="AJ168" s="156" t="str">
        <f t="array" ref="AJ168">IFERROR(INDEX($AH$10:$AH$258, MATCH(0, IF(TRUE=$AE$10:$AE$258, COUNTIF($AJ$9:$AJ167, $AH$10:$AH$258), ""), 0)),"")</f>
        <v/>
      </c>
      <c r="AK168" s="156" t="str">
        <f t="array" ref="AK168">IFERROR(INDEX($AH$10:$AH$258, MATCH(0, IF(TRUE=$AF$10:$AF$258, COUNTIF($AK$9:$AK167, $AH$10:$AH$258), ""), 0)),"")</f>
        <v/>
      </c>
      <c r="AL168" s="31" t="str">
        <f>IFERROR(INDEX('G-6 Hedgerow Data'!$BJ$3:$BJ$15,MATCH(D168,'G-6 Hedgerow Data'!$B$3:$B$15,0)),"")</f>
        <v/>
      </c>
    </row>
    <row r="169" spans="2:38" ht="14" x14ac:dyDescent="0.3">
      <c r="B169" s="141">
        <v>160</v>
      </c>
      <c r="C169" s="203"/>
      <c r="D169" s="203"/>
      <c r="E169" s="153"/>
      <c r="F169" s="553" t="str">
        <f>IF(D169="","",VLOOKUP(D169,'G-6 Hedgerow Data'!$B$2:$AG$15,2,FALSE))</f>
        <v/>
      </c>
      <c r="G169" s="499" t="str">
        <f>IF(D169="","",VLOOKUP(D169,'G-6 Hedgerow Data'!$B$2:$AG$15,3,FALSE))</f>
        <v/>
      </c>
      <c r="H169" s="145"/>
      <c r="I169" s="499" t="str">
        <f>IFERROR(VLOOKUP(H169,'G-1 All Habitats'!$Z$2:$AA$9,2,FALSE),"")</f>
        <v/>
      </c>
      <c r="J169" s="145"/>
      <c r="K169" s="507" t="str">
        <f>IF(J169="","",IF(VLOOKUP(J169,'G-3 Multipliers'!$L$3:$N$6,2,FALSE)=0,"Spatial Data Missing",VLOOKUP(J169,'G-3 Multipliers'!$L$3:$N$6,2,FALSE)))</f>
        <v/>
      </c>
      <c r="L169" s="505" t="str">
        <f>IF(J169="","",IF(VLOOKUP(J169,'G-3 Multipliers'!$L$3:$N$6,3,FALSE)=0,"Spatial Data Missing ⚠",VLOOKUP(J169,'G-3 Multipliers'!$L$3:$N$6,3,FALSE)))</f>
        <v/>
      </c>
      <c r="M169" s="506" t="str">
        <f>IF(D169="","",VLOOKUP(D169,'G-6 Hedgerow Data'!$B$1:$AH$15,33,FALSE))</f>
        <v/>
      </c>
      <c r="N169" s="513" t="str">
        <f t="shared" si="16"/>
        <v/>
      </c>
      <c r="O169" s="40"/>
      <c r="P169" s="154"/>
      <c r="Q169" s="203"/>
      <c r="R169" s="532" t="str">
        <f t="shared" si="17"/>
        <v/>
      </c>
      <c r="S169" s="532" t="str">
        <f t="shared" si="18"/>
        <v/>
      </c>
      <c r="T169" s="532" t="str">
        <f t="shared" si="19"/>
        <v/>
      </c>
      <c r="U169" s="557" t="str">
        <f t="shared" si="20"/>
        <v/>
      </c>
      <c r="V169" s="151"/>
      <c r="W169" s="152"/>
      <c r="AE169" s="156" t="str">
        <f t="shared" si="14"/>
        <v/>
      </c>
      <c r="AF169" s="156" t="str">
        <f t="shared" si="15"/>
        <v/>
      </c>
      <c r="AH169" s="156">
        <v>160</v>
      </c>
      <c r="AJ169" s="156" t="str">
        <f t="array" ref="AJ169">IFERROR(INDEX($AH$10:$AH$258, MATCH(0, IF(TRUE=$AE$10:$AE$258, COUNTIF($AJ$9:$AJ168, $AH$10:$AH$258), ""), 0)),"")</f>
        <v/>
      </c>
      <c r="AK169" s="156" t="str">
        <f t="array" ref="AK169">IFERROR(INDEX($AH$10:$AH$258, MATCH(0, IF(TRUE=$AF$10:$AF$258, COUNTIF($AK$9:$AK168, $AH$10:$AH$258), ""), 0)),"")</f>
        <v/>
      </c>
      <c r="AL169" s="31" t="str">
        <f>IFERROR(INDEX('G-6 Hedgerow Data'!$BJ$3:$BJ$15,MATCH(D169,'G-6 Hedgerow Data'!$B$3:$B$15,0)),"")</f>
        <v/>
      </c>
    </row>
    <row r="170" spans="2:38" ht="14" x14ac:dyDescent="0.3">
      <c r="B170" s="141">
        <v>161</v>
      </c>
      <c r="C170" s="203"/>
      <c r="D170" s="203"/>
      <c r="E170" s="153"/>
      <c r="F170" s="553" t="str">
        <f>IF(D170="","",VLOOKUP(D170,'G-6 Hedgerow Data'!$B$2:$AG$15,2,FALSE))</f>
        <v/>
      </c>
      <c r="G170" s="499" t="str">
        <f>IF(D170="","",VLOOKUP(D170,'G-6 Hedgerow Data'!$B$2:$AG$15,3,FALSE))</f>
        <v/>
      </c>
      <c r="H170" s="145"/>
      <c r="I170" s="499" t="str">
        <f>IFERROR(VLOOKUP(H170,'G-1 All Habitats'!$Z$2:$AA$9,2,FALSE),"")</f>
        <v/>
      </c>
      <c r="J170" s="145"/>
      <c r="K170" s="507" t="str">
        <f>IF(J170="","",IF(VLOOKUP(J170,'G-3 Multipliers'!$L$3:$N$6,2,FALSE)=0,"Spatial Data Missing",VLOOKUP(J170,'G-3 Multipliers'!$L$3:$N$6,2,FALSE)))</f>
        <v/>
      </c>
      <c r="L170" s="505" t="str">
        <f>IF(J170="","",IF(VLOOKUP(J170,'G-3 Multipliers'!$L$3:$N$6,3,FALSE)=0,"Spatial Data Missing ⚠",VLOOKUP(J170,'G-3 Multipliers'!$L$3:$N$6,3,FALSE)))</f>
        <v/>
      </c>
      <c r="M170" s="506" t="str">
        <f>IF(D170="","",VLOOKUP(D170,'G-6 Hedgerow Data'!$B$1:$AH$15,33,FALSE))</f>
        <v/>
      </c>
      <c r="N170" s="513" t="str">
        <f t="shared" si="16"/>
        <v/>
      </c>
      <c r="O170" s="40"/>
      <c r="P170" s="154"/>
      <c r="Q170" s="203"/>
      <c r="R170" s="532" t="str">
        <f t="shared" si="17"/>
        <v/>
      </c>
      <c r="S170" s="532" t="str">
        <f t="shared" si="18"/>
        <v/>
      </c>
      <c r="T170" s="532" t="str">
        <f t="shared" si="19"/>
        <v/>
      </c>
      <c r="U170" s="557" t="str">
        <f t="shared" si="20"/>
        <v/>
      </c>
      <c r="V170" s="151"/>
      <c r="W170" s="152"/>
      <c r="AE170" s="156" t="str">
        <f t="shared" si="14"/>
        <v/>
      </c>
      <c r="AF170" s="156" t="str">
        <f t="shared" si="15"/>
        <v/>
      </c>
      <c r="AH170" s="156">
        <v>161</v>
      </c>
      <c r="AJ170" s="156" t="str">
        <f t="array" ref="AJ170">IFERROR(INDEX($AH$10:$AH$258, MATCH(0, IF(TRUE=$AE$10:$AE$258, COUNTIF($AJ$9:$AJ169, $AH$10:$AH$258), ""), 0)),"")</f>
        <v/>
      </c>
      <c r="AK170" s="156" t="str">
        <f t="array" ref="AK170">IFERROR(INDEX($AH$10:$AH$258, MATCH(0, IF(TRUE=$AF$10:$AF$258, COUNTIF($AK$9:$AK169, $AH$10:$AH$258), ""), 0)),"")</f>
        <v/>
      </c>
      <c r="AL170" s="31" t="str">
        <f>IFERROR(INDEX('G-6 Hedgerow Data'!$BJ$3:$BJ$15,MATCH(D170,'G-6 Hedgerow Data'!$B$3:$B$15,0)),"")</f>
        <v/>
      </c>
    </row>
    <row r="171" spans="2:38" ht="14" x14ac:dyDescent="0.3">
      <c r="B171" s="141">
        <v>162</v>
      </c>
      <c r="C171" s="203"/>
      <c r="D171" s="203"/>
      <c r="E171" s="153"/>
      <c r="F171" s="553" t="str">
        <f>IF(D171="","",VLOOKUP(D171,'G-6 Hedgerow Data'!$B$2:$AG$15,2,FALSE))</f>
        <v/>
      </c>
      <c r="G171" s="499" t="str">
        <f>IF(D171="","",VLOOKUP(D171,'G-6 Hedgerow Data'!$B$2:$AG$15,3,FALSE))</f>
        <v/>
      </c>
      <c r="H171" s="145"/>
      <c r="I171" s="499" t="str">
        <f>IFERROR(VLOOKUP(H171,'G-1 All Habitats'!$Z$2:$AA$9,2,FALSE),"")</f>
        <v/>
      </c>
      <c r="J171" s="145"/>
      <c r="K171" s="507" t="str">
        <f>IF(J171="","",IF(VLOOKUP(J171,'G-3 Multipliers'!$L$3:$N$6,2,FALSE)=0,"Spatial Data Missing",VLOOKUP(J171,'G-3 Multipliers'!$L$3:$N$6,2,FALSE)))</f>
        <v/>
      </c>
      <c r="L171" s="505" t="str">
        <f>IF(J171="","",IF(VLOOKUP(J171,'G-3 Multipliers'!$L$3:$N$6,3,FALSE)=0,"Spatial Data Missing ⚠",VLOOKUP(J171,'G-3 Multipliers'!$L$3:$N$6,3,FALSE)))</f>
        <v/>
      </c>
      <c r="M171" s="506" t="str">
        <f>IF(D171="","",VLOOKUP(D171,'G-6 Hedgerow Data'!$B$1:$AH$15,33,FALSE))</f>
        <v/>
      </c>
      <c r="N171" s="513" t="str">
        <f t="shared" si="16"/>
        <v/>
      </c>
      <c r="O171" s="40"/>
      <c r="P171" s="154"/>
      <c r="Q171" s="203"/>
      <c r="R171" s="532" t="str">
        <f t="shared" si="17"/>
        <v/>
      </c>
      <c r="S171" s="532" t="str">
        <f t="shared" si="18"/>
        <v/>
      </c>
      <c r="T171" s="532" t="str">
        <f t="shared" si="19"/>
        <v/>
      </c>
      <c r="U171" s="557" t="str">
        <f t="shared" si="20"/>
        <v/>
      </c>
      <c r="V171" s="151"/>
      <c r="W171" s="152"/>
      <c r="AE171" s="156" t="str">
        <f t="shared" si="14"/>
        <v/>
      </c>
      <c r="AF171" s="156" t="str">
        <f t="shared" si="15"/>
        <v/>
      </c>
      <c r="AH171" s="156">
        <v>162</v>
      </c>
      <c r="AJ171" s="156" t="str">
        <f t="array" ref="AJ171">IFERROR(INDEX($AH$10:$AH$258, MATCH(0, IF(TRUE=$AE$10:$AE$258, COUNTIF($AJ$9:$AJ170, $AH$10:$AH$258), ""), 0)),"")</f>
        <v/>
      </c>
      <c r="AK171" s="156" t="str">
        <f t="array" ref="AK171">IFERROR(INDEX($AH$10:$AH$258, MATCH(0, IF(TRUE=$AF$10:$AF$258, COUNTIF($AK$9:$AK170, $AH$10:$AH$258), ""), 0)),"")</f>
        <v/>
      </c>
      <c r="AL171" s="31" t="str">
        <f>IFERROR(INDEX('G-6 Hedgerow Data'!$BJ$3:$BJ$15,MATCH(D171,'G-6 Hedgerow Data'!$B$3:$B$15,0)),"")</f>
        <v/>
      </c>
    </row>
    <row r="172" spans="2:38" ht="14" x14ac:dyDescent="0.3">
      <c r="B172" s="141">
        <v>163</v>
      </c>
      <c r="C172" s="203"/>
      <c r="D172" s="203"/>
      <c r="E172" s="153"/>
      <c r="F172" s="553" t="str">
        <f>IF(D172="","",VLOOKUP(D172,'G-6 Hedgerow Data'!$B$2:$AG$15,2,FALSE))</f>
        <v/>
      </c>
      <c r="G172" s="499" t="str">
        <f>IF(D172="","",VLOOKUP(D172,'G-6 Hedgerow Data'!$B$2:$AG$15,3,FALSE))</f>
        <v/>
      </c>
      <c r="H172" s="145"/>
      <c r="I172" s="499" t="str">
        <f>IFERROR(VLOOKUP(H172,'G-1 All Habitats'!$Z$2:$AA$9,2,FALSE),"")</f>
        <v/>
      </c>
      <c r="J172" s="145"/>
      <c r="K172" s="507" t="str">
        <f>IF(J172="","",IF(VLOOKUP(J172,'G-3 Multipliers'!$L$3:$N$6,2,FALSE)=0,"Spatial Data Missing",VLOOKUP(J172,'G-3 Multipliers'!$L$3:$N$6,2,FALSE)))</f>
        <v/>
      </c>
      <c r="L172" s="505" t="str">
        <f>IF(J172="","",IF(VLOOKUP(J172,'G-3 Multipliers'!$L$3:$N$6,3,FALSE)=0,"Spatial Data Missing ⚠",VLOOKUP(J172,'G-3 Multipliers'!$L$3:$N$6,3,FALSE)))</f>
        <v/>
      </c>
      <c r="M172" s="506" t="str">
        <f>IF(D172="","",VLOOKUP(D172,'G-6 Hedgerow Data'!$B$1:$AH$15,33,FALSE))</f>
        <v/>
      </c>
      <c r="N172" s="513" t="str">
        <f t="shared" si="16"/>
        <v/>
      </c>
      <c r="O172" s="40"/>
      <c r="P172" s="154"/>
      <c r="Q172" s="203"/>
      <c r="R172" s="532" t="str">
        <f t="shared" si="17"/>
        <v/>
      </c>
      <c r="S172" s="532" t="str">
        <f t="shared" si="18"/>
        <v/>
      </c>
      <c r="T172" s="532" t="str">
        <f t="shared" si="19"/>
        <v/>
      </c>
      <c r="U172" s="557" t="str">
        <f t="shared" si="20"/>
        <v/>
      </c>
      <c r="V172" s="151"/>
      <c r="W172" s="152"/>
      <c r="AE172" s="156" t="str">
        <f t="shared" si="14"/>
        <v/>
      </c>
      <c r="AF172" s="156" t="str">
        <f t="shared" si="15"/>
        <v/>
      </c>
      <c r="AH172" s="156">
        <v>163</v>
      </c>
      <c r="AJ172" s="156" t="str">
        <f t="array" ref="AJ172">IFERROR(INDEX($AH$10:$AH$258, MATCH(0, IF(TRUE=$AE$10:$AE$258, COUNTIF($AJ$9:$AJ171, $AH$10:$AH$258), ""), 0)),"")</f>
        <v/>
      </c>
      <c r="AK172" s="156" t="str">
        <f t="array" ref="AK172">IFERROR(INDEX($AH$10:$AH$258, MATCH(0, IF(TRUE=$AF$10:$AF$258, COUNTIF($AK$9:$AK171, $AH$10:$AH$258), ""), 0)),"")</f>
        <v/>
      </c>
      <c r="AL172" s="31" t="str">
        <f>IFERROR(INDEX('G-6 Hedgerow Data'!$BJ$3:$BJ$15,MATCH(D172,'G-6 Hedgerow Data'!$B$3:$B$15,0)),"")</f>
        <v/>
      </c>
    </row>
    <row r="173" spans="2:38" ht="14" x14ac:dyDescent="0.3">
      <c r="B173" s="141">
        <v>164</v>
      </c>
      <c r="C173" s="203"/>
      <c r="D173" s="203"/>
      <c r="E173" s="153"/>
      <c r="F173" s="553" t="str">
        <f>IF(D173="","",VLOOKUP(D173,'G-6 Hedgerow Data'!$B$2:$AG$15,2,FALSE))</f>
        <v/>
      </c>
      <c r="G173" s="499" t="str">
        <f>IF(D173="","",VLOOKUP(D173,'G-6 Hedgerow Data'!$B$2:$AG$15,3,FALSE))</f>
        <v/>
      </c>
      <c r="H173" s="145"/>
      <c r="I173" s="499" t="str">
        <f>IFERROR(VLOOKUP(H173,'G-1 All Habitats'!$Z$2:$AA$9,2,FALSE),"")</f>
        <v/>
      </c>
      <c r="J173" s="145"/>
      <c r="K173" s="507" t="str">
        <f>IF(J173="","",IF(VLOOKUP(J173,'G-3 Multipliers'!$L$3:$N$6,2,FALSE)=0,"Spatial Data Missing",VLOOKUP(J173,'G-3 Multipliers'!$L$3:$N$6,2,FALSE)))</f>
        <v/>
      </c>
      <c r="L173" s="505" t="str">
        <f>IF(J173="","",IF(VLOOKUP(J173,'G-3 Multipliers'!$L$3:$N$6,3,FALSE)=0,"Spatial Data Missing ⚠",VLOOKUP(J173,'G-3 Multipliers'!$L$3:$N$6,3,FALSE)))</f>
        <v/>
      </c>
      <c r="M173" s="506" t="str">
        <f>IF(D173="","",VLOOKUP(D173,'G-6 Hedgerow Data'!$B$1:$AH$15,33,FALSE))</f>
        <v/>
      </c>
      <c r="N173" s="513" t="str">
        <f t="shared" si="16"/>
        <v/>
      </c>
      <c r="O173" s="40"/>
      <c r="P173" s="154"/>
      <c r="Q173" s="203"/>
      <c r="R173" s="532" t="str">
        <f t="shared" si="17"/>
        <v/>
      </c>
      <c r="S173" s="532" t="str">
        <f t="shared" si="18"/>
        <v/>
      </c>
      <c r="T173" s="532" t="str">
        <f t="shared" si="19"/>
        <v/>
      </c>
      <c r="U173" s="557" t="str">
        <f t="shared" si="20"/>
        <v/>
      </c>
      <c r="V173" s="151"/>
      <c r="W173" s="152"/>
      <c r="AE173" s="156" t="str">
        <f t="shared" si="14"/>
        <v/>
      </c>
      <c r="AF173" s="156" t="str">
        <f t="shared" si="15"/>
        <v/>
      </c>
      <c r="AH173" s="156">
        <v>164</v>
      </c>
      <c r="AJ173" s="156" t="str">
        <f t="array" ref="AJ173">IFERROR(INDEX($AH$10:$AH$258, MATCH(0, IF(TRUE=$AE$10:$AE$258, COUNTIF($AJ$9:$AJ172, $AH$10:$AH$258), ""), 0)),"")</f>
        <v/>
      </c>
      <c r="AK173" s="156" t="str">
        <f t="array" ref="AK173">IFERROR(INDEX($AH$10:$AH$258, MATCH(0, IF(TRUE=$AF$10:$AF$258, COUNTIF($AK$9:$AK172, $AH$10:$AH$258), ""), 0)),"")</f>
        <v/>
      </c>
      <c r="AL173" s="31" t="str">
        <f>IFERROR(INDEX('G-6 Hedgerow Data'!$BJ$3:$BJ$15,MATCH(D173,'G-6 Hedgerow Data'!$B$3:$B$15,0)),"")</f>
        <v/>
      </c>
    </row>
    <row r="174" spans="2:38" ht="14" x14ac:dyDescent="0.3">
      <c r="B174" s="141">
        <v>165</v>
      </c>
      <c r="C174" s="203"/>
      <c r="D174" s="203"/>
      <c r="E174" s="153"/>
      <c r="F174" s="553" t="str">
        <f>IF(D174="","",VLOOKUP(D174,'G-6 Hedgerow Data'!$B$2:$AG$15,2,FALSE))</f>
        <v/>
      </c>
      <c r="G174" s="499" t="str">
        <f>IF(D174="","",VLOOKUP(D174,'G-6 Hedgerow Data'!$B$2:$AG$15,3,FALSE))</f>
        <v/>
      </c>
      <c r="H174" s="145"/>
      <c r="I174" s="499" t="str">
        <f>IFERROR(VLOOKUP(H174,'G-1 All Habitats'!$Z$2:$AA$9,2,FALSE),"")</f>
        <v/>
      </c>
      <c r="J174" s="145"/>
      <c r="K174" s="507" t="str">
        <f>IF(J174="","",IF(VLOOKUP(J174,'G-3 Multipliers'!$L$3:$N$6,2,FALSE)=0,"Spatial Data Missing",VLOOKUP(J174,'G-3 Multipliers'!$L$3:$N$6,2,FALSE)))</f>
        <v/>
      </c>
      <c r="L174" s="505" t="str">
        <f>IF(J174="","",IF(VLOOKUP(J174,'G-3 Multipliers'!$L$3:$N$6,3,FALSE)=0,"Spatial Data Missing ⚠",VLOOKUP(J174,'G-3 Multipliers'!$L$3:$N$6,3,FALSE)))</f>
        <v/>
      </c>
      <c r="M174" s="506" t="str">
        <f>IF(D174="","",VLOOKUP(D174,'G-6 Hedgerow Data'!$B$1:$AH$15,33,FALSE))</f>
        <v/>
      </c>
      <c r="N174" s="513" t="str">
        <f t="shared" si="16"/>
        <v/>
      </c>
      <c r="O174" s="40"/>
      <c r="P174" s="154"/>
      <c r="Q174" s="203"/>
      <c r="R174" s="532" t="str">
        <f t="shared" si="17"/>
        <v/>
      </c>
      <c r="S174" s="532" t="str">
        <f t="shared" si="18"/>
        <v/>
      </c>
      <c r="T174" s="532" t="str">
        <f t="shared" si="19"/>
        <v/>
      </c>
      <c r="U174" s="557" t="str">
        <f t="shared" si="20"/>
        <v/>
      </c>
      <c r="V174" s="151"/>
      <c r="W174" s="152"/>
      <c r="AE174" s="156" t="str">
        <f t="shared" si="14"/>
        <v/>
      </c>
      <c r="AF174" s="156" t="str">
        <f t="shared" si="15"/>
        <v/>
      </c>
      <c r="AH174" s="156">
        <v>165</v>
      </c>
      <c r="AJ174" s="156" t="str">
        <f t="array" ref="AJ174">IFERROR(INDEX($AH$10:$AH$258, MATCH(0, IF(TRUE=$AE$10:$AE$258, COUNTIF($AJ$9:$AJ173, $AH$10:$AH$258), ""), 0)),"")</f>
        <v/>
      </c>
      <c r="AK174" s="156" t="str">
        <f t="array" ref="AK174">IFERROR(INDEX($AH$10:$AH$258, MATCH(0, IF(TRUE=$AF$10:$AF$258, COUNTIF($AK$9:$AK173, $AH$10:$AH$258), ""), 0)),"")</f>
        <v/>
      </c>
      <c r="AL174" s="31" t="str">
        <f>IFERROR(INDEX('G-6 Hedgerow Data'!$BJ$3:$BJ$15,MATCH(D174,'G-6 Hedgerow Data'!$B$3:$B$15,0)),"")</f>
        <v/>
      </c>
    </row>
    <row r="175" spans="2:38" ht="14" x14ac:dyDescent="0.3">
      <c r="B175" s="141">
        <v>166</v>
      </c>
      <c r="C175" s="203"/>
      <c r="D175" s="203"/>
      <c r="E175" s="153"/>
      <c r="F175" s="553" t="str">
        <f>IF(D175="","",VLOOKUP(D175,'G-6 Hedgerow Data'!$B$2:$AG$15,2,FALSE))</f>
        <v/>
      </c>
      <c r="G175" s="499" t="str">
        <f>IF(D175="","",VLOOKUP(D175,'G-6 Hedgerow Data'!$B$2:$AG$15,3,FALSE))</f>
        <v/>
      </c>
      <c r="H175" s="145"/>
      <c r="I175" s="499" t="str">
        <f>IFERROR(VLOOKUP(H175,'G-1 All Habitats'!$Z$2:$AA$9,2,FALSE),"")</f>
        <v/>
      </c>
      <c r="J175" s="145"/>
      <c r="K175" s="507" t="str">
        <f>IF(J175="","",IF(VLOOKUP(J175,'G-3 Multipliers'!$L$3:$N$6,2,FALSE)=0,"Spatial Data Missing",VLOOKUP(J175,'G-3 Multipliers'!$L$3:$N$6,2,FALSE)))</f>
        <v/>
      </c>
      <c r="L175" s="505" t="str">
        <f>IF(J175="","",IF(VLOOKUP(J175,'G-3 Multipliers'!$L$3:$N$6,3,FALSE)=0,"Spatial Data Missing ⚠",VLOOKUP(J175,'G-3 Multipliers'!$L$3:$N$6,3,FALSE)))</f>
        <v/>
      </c>
      <c r="M175" s="506" t="str">
        <f>IF(D175="","",VLOOKUP(D175,'G-6 Hedgerow Data'!$B$1:$AH$15,33,FALSE))</f>
        <v/>
      </c>
      <c r="N175" s="513" t="str">
        <f t="shared" si="16"/>
        <v/>
      </c>
      <c r="O175" s="40"/>
      <c r="P175" s="154"/>
      <c r="Q175" s="203"/>
      <c r="R175" s="532" t="str">
        <f t="shared" si="17"/>
        <v/>
      </c>
      <c r="S175" s="532" t="str">
        <f t="shared" si="18"/>
        <v/>
      </c>
      <c r="T175" s="532" t="str">
        <f t="shared" si="19"/>
        <v/>
      </c>
      <c r="U175" s="557" t="str">
        <f t="shared" si="20"/>
        <v/>
      </c>
      <c r="V175" s="151"/>
      <c r="W175" s="152"/>
      <c r="AE175" s="156" t="str">
        <f t="shared" si="14"/>
        <v/>
      </c>
      <c r="AF175" s="156" t="str">
        <f t="shared" si="15"/>
        <v/>
      </c>
      <c r="AH175" s="156">
        <v>166</v>
      </c>
      <c r="AJ175" s="156" t="str">
        <f t="array" ref="AJ175">IFERROR(INDEX($AH$10:$AH$258, MATCH(0, IF(TRUE=$AE$10:$AE$258, COUNTIF($AJ$9:$AJ174, $AH$10:$AH$258), ""), 0)),"")</f>
        <v/>
      </c>
      <c r="AK175" s="156" t="str">
        <f t="array" ref="AK175">IFERROR(INDEX($AH$10:$AH$258, MATCH(0, IF(TRUE=$AF$10:$AF$258, COUNTIF($AK$9:$AK174, $AH$10:$AH$258), ""), 0)),"")</f>
        <v/>
      </c>
      <c r="AL175" s="31" t="str">
        <f>IFERROR(INDEX('G-6 Hedgerow Data'!$BJ$3:$BJ$15,MATCH(D175,'G-6 Hedgerow Data'!$B$3:$B$15,0)),"")</f>
        <v/>
      </c>
    </row>
    <row r="176" spans="2:38" ht="14" x14ac:dyDescent="0.3">
      <c r="B176" s="141">
        <v>167</v>
      </c>
      <c r="C176" s="203"/>
      <c r="D176" s="203"/>
      <c r="E176" s="153"/>
      <c r="F176" s="553" t="str">
        <f>IF(D176="","",VLOOKUP(D176,'G-6 Hedgerow Data'!$B$2:$AG$15,2,FALSE))</f>
        <v/>
      </c>
      <c r="G176" s="499" t="str">
        <f>IF(D176="","",VLOOKUP(D176,'G-6 Hedgerow Data'!$B$2:$AG$15,3,FALSE))</f>
        <v/>
      </c>
      <c r="H176" s="145"/>
      <c r="I176" s="499" t="str">
        <f>IFERROR(VLOOKUP(H176,'G-1 All Habitats'!$Z$2:$AA$9,2,FALSE),"")</f>
        <v/>
      </c>
      <c r="J176" s="145"/>
      <c r="K176" s="507" t="str">
        <f>IF(J176="","",IF(VLOOKUP(J176,'G-3 Multipliers'!$L$3:$N$6,2,FALSE)=0,"Spatial Data Missing",VLOOKUP(J176,'G-3 Multipliers'!$L$3:$N$6,2,FALSE)))</f>
        <v/>
      </c>
      <c r="L176" s="505" t="str">
        <f>IF(J176="","",IF(VLOOKUP(J176,'G-3 Multipliers'!$L$3:$N$6,3,FALSE)=0,"Spatial Data Missing ⚠",VLOOKUP(J176,'G-3 Multipliers'!$L$3:$N$6,3,FALSE)))</f>
        <v/>
      </c>
      <c r="M176" s="506" t="str">
        <f>IF(D176="","",VLOOKUP(D176,'G-6 Hedgerow Data'!$B$1:$AH$15,33,FALSE))</f>
        <v/>
      </c>
      <c r="N176" s="513" t="str">
        <f t="shared" si="16"/>
        <v/>
      </c>
      <c r="O176" s="40"/>
      <c r="P176" s="154"/>
      <c r="Q176" s="203"/>
      <c r="R176" s="532" t="str">
        <f t="shared" si="17"/>
        <v/>
      </c>
      <c r="S176" s="532" t="str">
        <f t="shared" si="18"/>
        <v/>
      </c>
      <c r="T176" s="532" t="str">
        <f t="shared" si="19"/>
        <v/>
      </c>
      <c r="U176" s="557" t="str">
        <f t="shared" si="20"/>
        <v/>
      </c>
      <c r="V176" s="151"/>
      <c r="W176" s="152"/>
      <c r="AE176" s="156" t="str">
        <f t="shared" si="14"/>
        <v/>
      </c>
      <c r="AF176" s="156" t="str">
        <f t="shared" si="15"/>
        <v/>
      </c>
      <c r="AH176" s="156">
        <v>167</v>
      </c>
      <c r="AJ176" s="156" t="str">
        <f t="array" ref="AJ176">IFERROR(INDEX($AH$10:$AH$258, MATCH(0, IF(TRUE=$AE$10:$AE$258, COUNTIF($AJ$9:$AJ175, $AH$10:$AH$258), ""), 0)),"")</f>
        <v/>
      </c>
      <c r="AK176" s="156" t="str">
        <f t="array" ref="AK176">IFERROR(INDEX($AH$10:$AH$258, MATCH(0, IF(TRUE=$AF$10:$AF$258, COUNTIF($AK$9:$AK175, $AH$10:$AH$258), ""), 0)),"")</f>
        <v/>
      </c>
      <c r="AL176" s="31" t="str">
        <f>IFERROR(INDEX('G-6 Hedgerow Data'!$BJ$3:$BJ$15,MATCH(D176,'G-6 Hedgerow Data'!$B$3:$B$15,0)),"")</f>
        <v/>
      </c>
    </row>
    <row r="177" spans="2:38" ht="14" x14ac:dyDescent="0.3">
      <c r="B177" s="141">
        <v>168</v>
      </c>
      <c r="C177" s="203"/>
      <c r="D177" s="203"/>
      <c r="E177" s="153"/>
      <c r="F177" s="553" t="str">
        <f>IF(D177="","",VLOOKUP(D177,'G-6 Hedgerow Data'!$B$2:$AG$15,2,FALSE))</f>
        <v/>
      </c>
      <c r="G177" s="499" t="str">
        <f>IF(D177="","",VLOOKUP(D177,'G-6 Hedgerow Data'!$B$2:$AG$15,3,FALSE))</f>
        <v/>
      </c>
      <c r="H177" s="145"/>
      <c r="I177" s="499" t="str">
        <f>IFERROR(VLOOKUP(H177,'G-1 All Habitats'!$Z$2:$AA$9,2,FALSE),"")</f>
        <v/>
      </c>
      <c r="J177" s="145"/>
      <c r="K177" s="507" t="str">
        <f>IF(J177="","",IF(VLOOKUP(J177,'G-3 Multipliers'!$L$3:$N$6,2,FALSE)=0,"Spatial Data Missing",VLOOKUP(J177,'G-3 Multipliers'!$L$3:$N$6,2,FALSE)))</f>
        <v/>
      </c>
      <c r="L177" s="505" t="str">
        <f>IF(J177="","",IF(VLOOKUP(J177,'G-3 Multipliers'!$L$3:$N$6,3,FALSE)=0,"Spatial Data Missing ⚠",VLOOKUP(J177,'G-3 Multipliers'!$L$3:$N$6,3,FALSE)))</f>
        <v/>
      </c>
      <c r="M177" s="506" t="str">
        <f>IF(D177="","",VLOOKUP(D177,'G-6 Hedgerow Data'!$B$1:$AH$15,33,FALSE))</f>
        <v/>
      </c>
      <c r="N177" s="513" t="str">
        <f t="shared" si="16"/>
        <v/>
      </c>
      <c r="O177" s="40"/>
      <c r="P177" s="154"/>
      <c r="Q177" s="203"/>
      <c r="R177" s="532" t="str">
        <f t="shared" si="17"/>
        <v/>
      </c>
      <c r="S177" s="532" t="str">
        <f t="shared" si="18"/>
        <v/>
      </c>
      <c r="T177" s="532" t="str">
        <f t="shared" si="19"/>
        <v/>
      </c>
      <c r="U177" s="557" t="str">
        <f t="shared" si="20"/>
        <v/>
      </c>
      <c r="V177" s="151"/>
      <c r="W177" s="152"/>
      <c r="AE177" s="156" t="str">
        <f t="shared" si="14"/>
        <v/>
      </c>
      <c r="AF177" s="156" t="str">
        <f t="shared" si="15"/>
        <v/>
      </c>
      <c r="AH177" s="156">
        <v>168</v>
      </c>
      <c r="AJ177" s="156" t="str">
        <f t="array" ref="AJ177">IFERROR(INDEX($AH$10:$AH$258, MATCH(0, IF(TRUE=$AE$10:$AE$258, COUNTIF($AJ$9:$AJ176, $AH$10:$AH$258), ""), 0)),"")</f>
        <v/>
      </c>
      <c r="AK177" s="156" t="str">
        <f t="array" ref="AK177">IFERROR(INDEX($AH$10:$AH$258, MATCH(0, IF(TRUE=$AF$10:$AF$258, COUNTIF($AK$9:$AK176, $AH$10:$AH$258), ""), 0)),"")</f>
        <v/>
      </c>
      <c r="AL177" s="31" t="str">
        <f>IFERROR(INDEX('G-6 Hedgerow Data'!$BJ$3:$BJ$15,MATCH(D177,'G-6 Hedgerow Data'!$B$3:$B$15,0)),"")</f>
        <v/>
      </c>
    </row>
    <row r="178" spans="2:38" ht="14" x14ac:dyDescent="0.3">
      <c r="B178" s="141">
        <v>169</v>
      </c>
      <c r="C178" s="203"/>
      <c r="D178" s="203"/>
      <c r="E178" s="153"/>
      <c r="F178" s="553" t="str">
        <f>IF(D178="","",VLOOKUP(D178,'G-6 Hedgerow Data'!$B$2:$AG$15,2,FALSE))</f>
        <v/>
      </c>
      <c r="G178" s="499" t="str">
        <f>IF(D178="","",VLOOKUP(D178,'G-6 Hedgerow Data'!$B$2:$AG$15,3,FALSE))</f>
        <v/>
      </c>
      <c r="H178" s="145"/>
      <c r="I178" s="499" t="str">
        <f>IFERROR(VLOOKUP(H178,'G-1 All Habitats'!$Z$2:$AA$9,2,FALSE),"")</f>
        <v/>
      </c>
      <c r="J178" s="145"/>
      <c r="K178" s="507" t="str">
        <f>IF(J178="","",IF(VLOOKUP(J178,'G-3 Multipliers'!$L$3:$N$6,2,FALSE)=0,"Spatial Data Missing",VLOOKUP(J178,'G-3 Multipliers'!$L$3:$N$6,2,FALSE)))</f>
        <v/>
      </c>
      <c r="L178" s="505" t="str">
        <f>IF(J178="","",IF(VLOOKUP(J178,'G-3 Multipliers'!$L$3:$N$6,3,FALSE)=0,"Spatial Data Missing ⚠",VLOOKUP(J178,'G-3 Multipliers'!$L$3:$N$6,3,FALSE)))</f>
        <v/>
      </c>
      <c r="M178" s="506" t="str">
        <f>IF(D178="","",VLOOKUP(D178,'G-6 Hedgerow Data'!$B$1:$AH$15,33,FALSE))</f>
        <v/>
      </c>
      <c r="N178" s="513" t="str">
        <f t="shared" si="16"/>
        <v/>
      </c>
      <c r="O178" s="40"/>
      <c r="P178" s="154"/>
      <c r="Q178" s="203"/>
      <c r="R178" s="532" t="str">
        <f t="shared" si="17"/>
        <v/>
      </c>
      <c r="S178" s="532" t="str">
        <f t="shared" si="18"/>
        <v/>
      </c>
      <c r="T178" s="532" t="str">
        <f t="shared" si="19"/>
        <v/>
      </c>
      <c r="U178" s="557" t="str">
        <f t="shared" si="20"/>
        <v/>
      </c>
      <c r="V178" s="151"/>
      <c r="W178" s="152"/>
      <c r="AE178" s="156" t="str">
        <f t="shared" si="14"/>
        <v/>
      </c>
      <c r="AF178" s="156" t="str">
        <f t="shared" si="15"/>
        <v/>
      </c>
      <c r="AH178" s="156">
        <v>169</v>
      </c>
      <c r="AJ178" s="156" t="str">
        <f t="array" ref="AJ178">IFERROR(INDEX($AH$10:$AH$258, MATCH(0, IF(TRUE=$AE$10:$AE$258, COUNTIF($AJ$9:$AJ177, $AH$10:$AH$258), ""), 0)),"")</f>
        <v/>
      </c>
      <c r="AK178" s="156" t="str">
        <f t="array" ref="AK178">IFERROR(INDEX($AH$10:$AH$258, MATCH(0, IF(TRUE=$AF$10:$AF$258, COUNTIF($AK$9:$AK177, $AH$10:$AH$258), ""), 0)),"")</f>
        <v/>
      </c>
      <c r="AL178" s="31" t="str">
        <f>IFERROR(INDEX('G-6 Hedgerow Data'!$BJ$3:$BJ$15,MATCH(D178,'G-6 Hedgerow Data'!$B$3:$B$15,0)),"")</f>
        <v/>
      </c>
    </row>
    <row r="179" spans="2:38" ht="14" x14ac:dyDescent="0.3">
      <c r="B179" s="141">
        <v>170</v>
      </c>
      <c r="C179" s="203"/>
      <c r="D179" s="203"/>
      <c r="E179" s="153"/>
      <c r="F179" s="553" t="str">
        <f>IF(D179="","",VLOOKUP(D179,'G-6 Hedgerow Data'!$B$2:$AG$15,2,FALSE))</f>
        <v/>
      </c>
      <c r="G179" s="499" t="str">
        <f>IF(D179="","",VLOOKUP(D179,'G-6 Hedgerow Data'!$B$2:$AG$15,3,FALSE))</f>
        <v/>
      </c>
      <c r="H179" s="145"/>
      <c r="I179" s="499" t="str">
        <f>IFERROR(VLOOKUP(H179,'G-1 All Habitats'!$Z$2:$AA$9,2,FALSE),"")</f>
        <v/>
      </c>
      <c r="J179" s="145"/>
      <c r="K179" s="507" t="str">
        <f>IF(J179="","",IF(VLOOKUP(J179,'G-3 Multipliers'!$L$3:$N$6,2,FALSE)=0,"Spatial Data Missing",VLOOKUP(J179,'G-3 Multipliers'!$L$3:$N$6,2,FALSE)))</f>
        <v/>
      </c>
      <c r="L179" s="505" t="str">
        <f>IF(J179="","",IF(VLOOKUP(J179,'G-3 Multipliers'!$L$3:$N$6,3,FALSE)=0,"Spatial Data Missing ⚠",VLOOKUP(J179,'G-3 Multipliers'!$L$3:$N$6,3,FALSE)))</f>
        <v/>
      </c>
      <c r="M179" s="506" t="str">
        <f>IF(D179="","",VLOOKUP(D179,'G-6 Hedgerow Data'!$B$1:$AH$15,33,FALSE))</f>
        <v/>
      </c>
      <c r="N179" s="513" t="str">
        <f t="shared" si="16"/>
        <v/>
      </c>
      <c r="O179" s="40"/>
      <c r="P179" s="154"/>
      <c r="Q179" s="203"/>
      <c r="R179" s="532" t="str">
        <f t="shared" si="17"/>
        <v/>
      </c>
      <c r="S179" s="532" t="str">
        <f t="shared" si="18"/>
        <v/>
      </c>
      <c r="T179" s="532" t="str">
        <f t="shared" si="19"/>
        <v/>
      </c>
      <c r="U179" s="557" t="str">
        <f t="shared" si="20"/>
        <v/>
      </c>
      <c r="V179" s="151"/>
      <c r="W179" s="152"/>
      <c r="AE179" s="156" t="str">
        <f t="shared" si="14"/>
        <v/>
      </c>
      <c r="AF179" s="156" t="str">
        <f t="shared" si="15"/>
        <v/>
      </c>
      <c r="AH179" s="156">
        <v>170</v>
      </c>
      <c r="AJ179" s="156" t="str">
        <f t="array" ref="AJ179">IFERROR(INDEX($AH$10:$AH$258, MATCH(0, IF(TRUE=$AE$10:$AE$258, COUNTIF($AJ$9:$AJ178, $AH$10:$AH$258), ""), 0)),"")</f>
        <v/>
      </c>
      <c r="AK179" s="156" t="str">
        <f t="array" ref="AK179">IFERROR(INDEX($AH$10:$AH$258, MATCH(0, IF(TRUE=$AF$10:$AF$258, COUNTIF($AK$9:$AK178, $AH$10:$AH$258), ""), 0)),"")</f>
        <v/>
      </c>
      <c r="AL179" s="31" t="str">
        <f>IFERROR(INDEX('G-6 Hedgerow Data'!$BJ$3:$BJ$15,MATCH(D179,'G-6 Hedgerow Data'!$B$3:$B$15,0)),"")</f>
        <v/>
      </c>
    </row>
    <row r="180" spans="2:38" ht="14" x14ac:dyDescent="0.3">
      <c r="B180" s="141">
        <v>171</v>
      </c>
      <c r="C180" s="203"/>
      <c r="D180" s="203"/>
      <c r="E180" s="153"/>
      <c r="F180" s="553" t="str">
        <f>IF(D180="","",VLOOKUP(D180,'G-6 Hedgerow Data'!$B$2:$AG$15,2,FALSE))</f>
        <v/>
      </c>
      <c r="G180" s="499" t="str">
        <f>IF(D180="","",VLOOKUP(D180,'G-6 Hedgerow Data'!$B$2:$AG$15,3,FALSE))</f>
        <v/>
      </c>
      <c r="H180" s="145"/>
      <c r="I180" s="499" t="str">
        <f>IFERROR(VLOOKUP(H180,'G-1 All Habitats'!$Z$2:$AA$9,2,FALSE),"")</f>
        <v/>
      </c>
      <c r="J180" s="145"/>
      <c r="K180" s="507" t="str">
        <f>IF(J180="","",IF(VLOOKUP(J180,'G-3 Multipliers'!$L$3:$N$6,2,FALSE)=0,"Spatial Data Missing",VLOOKUP(J180,'G-3 Multipliers'!$L$3:$N$6,2,FALSE)))</f>
        <v/>
      </c>
      <c r="L180" s="505" t="str">
        <f>IF(J180="","",IF(VLOOKUP(J180,'G-3 Multipliers'!$L$3:$N$6,3,FALSE)=0,"Spatial Data Missing ⚠",VLOOKUP(J180,'G-3 Multipliers'!$L$3:$N$6,3,FALSE)))</f>
        <v/>
      </c>
      <c r="M180" s="506" t="str">
        <f>IF(D180="","",VLOOKUP(D180,'G-6 Hedgerow Data'!$B$1:$AH$15,33,FALSE))</f>
        <v/>
      </c>
      <c r="N180" s="513" t="str">
        <f t="shared" si="16"/>
        <v/>
      </c>
      <c r="O180" s="40"/>
      <c r="P180" s="154"/>
      <c r="Q180" s="203"/>
      <c r="R180" s="532" t="str">
        <f t="shared" si="17"/>
        <v/>
      </c>
      <c r="S180" s="532" t="str">
        <f t="shared" si="18"/>
        <v/>
      </c>
      <c r="T180" s="532" t="str">
        <f t="shared" si="19"/>
        <v/>
      </c>
      <c r="U180" s="557" t="str">
        <f t="shared" si="20"/>
        <v/>
      </c>
      <c r="V180" s="151"/>
      <c r="W180" s="152"/>
      <c r="AE180" s="156" t="str">
        <f t="shared" si="14"/>
        <v/>
      </c>
      <c r="AF180" s="156" t="str">
        <f t="shared" si="15"/>
        <v/>
      </c>
      <c r="AH180" s="156">
        <v>171</v>
      </c>
      <c r="AJ180" s="156" t="str">
        <f t="array" ref="AJ180">IFERROR(INDEX($AH$10:$AH$258, MATCH(0, IF(TRUE=$AE$10:$AE$258, COUNTIF($AJ$9:$AJ179, $AH$10:$AH$258), ""), 0)),"")</f>
        <v/>
      </c>
      <c r="AK180" s="156" t="str">
        <f t="array" ref="AK180">IFERROR(INDEX($AH$10:$AH$258, MATCH(0, IF(TRUE=$AF$10:$AF$258, COUNTIF($AK$9:$AK179, $AH$10:$AH$258), ""), 0)),"")</f>
        <v/>
      </c>
      <c r="AL180" s="31" t="str">
        <f>IFERROR(INDEX('G-6 Hedgerow Data'!$BJ$3:$BJ$15,MATCH(D180,'G-6 Hedgerow Data'!$B$3:$B$15,0)),"")</f>
        <v/>
      </c>
    </row>
    <row r="181" spans="2:38" ht="14" x14ac:dyDescent="0.3">
      <c r="B181" s="141">
        <v>172</v>
      </c>
      <c r="C181" s="203"/>
      <c r="D181" s="203"/>
      <c r="E181" s="153"/>
      <c r="F181" s="553" t="str">
        <f>IF(D181="","",VLOOKUP(D181,'G-6 Hedgerow Data'!$B$2:$AG$15,2,FALSE))</f>
        <v/>
      </c>
      <c r="G181" s="499" t="str">
        <f>IF(D181="","",VLOOKUP(D181,'G-6 Hedgerow Data'!$B$2:$AG$15,3,FALSE))</f>
        <v/>
      </c>
      <c r="H181" s="145"/>
      <c r="I181" s="499" t="str">
        <f>IFERROR(VLOOKUP(H181,'G-1 All Habitats'!$Z$2:$AA$9,2,FALSE),"")</f>
        <v/>
      </c>
      <c r="J181" s="145"/>
      <c r="K181" s="507" t="str">
        <f>IF(J181="","",IF(VLOOKUP(J181,'G-3 Multipliers'!$L$3:$N$6,2,FALSE)=0,"Spatial Data Missing",VLOOKUP(J181,'G-3 Multipliers'!$L$3:$N$6,2,FALSE)))</f>
        <v/>
      </c>
      <c r="L181" s="505" t="str">
        <f>IF(J181="","",IF(VLOOKUP(J181,'G-3 Multipliers'!$L$3:$N$6,3,FALSE)=0,"Spatial Data Missing ⚠",VLOOKUP(J181,'G-3 Multipliers'!$L$3:$N$6,3,FALSE)))</f>
        <v/>
      </c>
      <c r="M181" s="506" t="str">
        <f>IF(D181="","",VLOOKUP(D181,'G-6 Hedgerow Data'!$B$1:$AH$15,33,FALSE))</f>
        <v/>
      </c>
      <c r="N181" s="513" t="str">
        <f t="shared" si="16"/>
        <v/>
      </c>
      <c r="O181" s="40"/>
      <c r="P181" s="154"/>
      <c r="Q181" s="203"/>
      <c r="R181" s="532" t="str">
        <f t="shared" si="17"/>
        <v/>
      </c>
      <c r="S181" s="532" t="str">
        <f t="shared" si="18"/>
        <v/>
      </c>
      <c r="T181" s="532" t="str">
        <f t="shared" si="19"/>
        <v/>
      </c>
      <c r="U181" s="557" t="str">
        <f t="shared" si="20"/>
        <v/>
      </c>
      <c r="V181" s="151"/>
      <c r="W181" s="152"/>
      <c r="AE181" s="156" t="str">
        <f t="shared" si="14"/>
        <v/>
      </c>
      <c r="AF181" s="156" t="str">
        <f t="shared" si="15"/>
        <v/>
      </c>
      <c r="AH181" s="156">
        <v>172</v>
      </c>
      <c r="AJ181" s="156" t="str">
        <f t="array" ref="AJ181">IFERROR(INDEX($AH$10:$AH$258, MATCH(0, IF(TRUE=$AE$10:$AE$258, COUNTIF($AJ$9:$AJ180, $AH$10:$AH$258), ""), 0)),"")</f>
        <v/>
      </c>
      <c r="AK181" s="156" t="str">
        <f t="array" ref="AK181">IFERROR(INDEX($AH$10:$AH$258, MATCH(0, IF(TRUE=$AF$10:$AF$258, COUNTIF($AK$9:$AK180, $AH$10:$AH$258), ""), 0)),"")</f>
        <v/>
      </c>
      <c r="AL181" s="31" t="str">
        <f>IFERROR(INDEX('G-6 Hedgerow Data'!$BJ$3:$BJ$15,MATCH(D181,'G-6 Hedgerow Data'!$B$3:$B$15,0)),"")</f>
        <v/>
      </c>
    </row>
    <row r="182" spans="2:38" ht="14" x14ac:dyDescent="0.3">
      <c r="B182" s="141">
        <v>173</v>
      </c>
      <c r="C182" s="203"/>
      <c r="D182" s="203"/>
      <c r="E182" s="153"/>
      <c r="F182" s="553" t="str">
        <f>IF(D182="","",VLOOKUP(D182,'G-6 Hedgerow Data'!$B$2:$AG$15,2,FALSE))</f>
        <v/>
      </c>
      <c r="G182" s="499" t="str">
        <f>IF(D182="","",VLOOKUP(D182,'G-6 Hedgerow Data'!$B$2:$AG$15,3,FALSE))</f>
        <v/>
      </c>
      <c r="H182" s="145"/>
      <c r="I182" s="499" t="str">
        <f>IFERROR(VLOOKUP(H182,'G-1 All Habitats'!$Z$2:$AA$9,2,FALSE),"")</f>
        <v/>
      </c>
      <c r="J182" s="145"/>
      <c r="K182" s="507" t="str">
        <f>IF(J182="","",IF(VLOOKUP(J182,'G-3 Multipliers'!$L$3:$N$6,2,FALSE)=0,"Spatial Data Missing",VLOOKUP(J182,'G-3 Multipliers'!$L$3:$N$6,2,FALSE)))</f>
        <v/>
      </c>
      <c r="L182" s="505" t="str">
        <f>IF(J182="","",IF(VLOOKUP(J182,'G-3 Multipliers'!$L$3:$N$6,3,FALSE)=0,"Spatial Data Missing ⚠",VLOOKUP(J182,'G-3 Multipliers'!$L$3:$N$6,3,FALSE)))</f>
        <v/>
      </c>
      <c r="M182" s="506" t="str">
        <f>IF(D182="","",VLOOKUP(D182,'G-6 Hedgerow Data'!$B$1:$AH$15,33,FALSE))</f>
        <v/>
      </c>
      <c r="N182" s="513" t="str">
        <f t="shared" si="16"/>
        <v/>
      </c>
      <c r="O182" s="40"/>
      <c r="P182" s="154"/>
      <c r="Q182" s="203"/>
      <c r="R182" s="532" t="str">
        <f t="shared" si="17"/>
        <v/>
      </c>
      <c r="S182" s="532" t="str">
        <f t="shared" si="18"/>
        <v/>
      </c>
      <c r="T182" s="532" t="str">
        <f t="shared" si="19"/>
        <v/>
      </c>
      <c r="U182" s="557" t="str">
        <f t="shared" si="20"/>
        <v/>
      </c>
      <c r="V182" s="151"/>
      <c r="W182" s="152"/>
      <c r="AE182" s="156" t="str">
        <f t="shared" si="14"/>
        <v/>
      </c>
      <c r="AF182" s="156" t="str">
        <f t="shared" si="15"/>
        <v/>
      </c>
      <c r="AH182" s="156">
        <v>173</v>
      </c>
      <c r="AJ182" s="156" t="str">
        <f t="array" ref="AJ182">IFERROR(INDEX($AH$10:$AH$258, MATCH(0, IF(TRUE=$AE$10:$AE$258, COUNTIF($AJ$9:$AJ181, $AH$10:$AH$258), ""), 0)),"")</f>
        <v/>
      </c>
      <c r="AK182" s="156" t="str">
        <f t="array" ref="AK182">IFERROR(INDEX($AH$10:$AH$258, MATCH(0, IF(TRUE=$AF$10:$AF$258, COUNTIF($AK$9:$AK181, $AH$10:$AH$258), ""), 0)),"")</f>
        <v/>
      </c>
      <c r="AL182" s="31" t="str">
        <f>IFERROR(INDEX('G-6 Hedgerow Data'!$BJ$3:$BJ$15,MATCH(D182,'G-6 Hedgerow Data'!$B$3:$B$15,0)),"")</f>
        <v/>
      </c>
    </row>
    <row r="183" spans="2:38" ht="14" x14ac:dyDescent="0.3">
      <c r="B183" s="141">
        <v>174</v>
      </c>
      <c r="C183" s="203"/>
      <c r="D183" s="203"/>
      <c r="E183" s="153"/>
      <c r="F183" s="553" t="str">
        <f>IF(D183="","",VLOOKUP(D183,'G-6 Hedgerow Data'!$B$2:$AG$15,2,FALSE))</f>
        <v/>
      </c>
      <c r="G183" s="499" t="str">
        <f>IF(D183="","",VLOOKUP(D183,'G-6 Hedgerow Data'!$B$2:$AG$15,3,FALSE))</f>
        <v/>
      </c>
      <c r="H183" s="145"/>
      <c r="I183" s="499" t="str">
        <f>IFERROR(VLOOKUP(H183,'G-1 All Habitats'!$Z$2:$AA$9,2,FALSE),"")</f>
        <v/>
      </c>
      <c r="J183" s="145"/>
      <c r="K183" s="507" t="str">
        <f>IF(J183="","",IF(VLOOKUP(J183,'G-3 Multipliers'!$L$3:$N$6,2,FALSE)=0,"Spatial Data Missing",VLOOKUP(J183,'G-3 Multipliers'!$L$3:$N$6,2,FALSE)))</f>
        <v/>
      </c>
      <c r="L183" s="505" t="str">
        <f>IF(J183="","",IF(VLOOKUP(J183,'G-3 Multipliers'!$L$3:$N$6,3,FALSE)=0,"Spatial Data Missing ⚠",VLOOKUP(J183,'G-3 Multipliers'!$L$3:$N$6,3,FALSE)))</f>
        <v/>
      </c>
      <c r="M183" s="506" t="str">
        <f>IF(D183="","",VLOOKUP(D183,'G-6 Hedgerow Data'!$B$1:$AH$15,33,FALSE))</f>
        <v/>
      </c>
      <c r="N183" s="513" t="str">
        <f t="shared" si="16"/>
        <v/>
      </c>
      <c r="O183" s="40"/>
      <c r="P183" s="154"/>
      <c r="Q183" s="203"/>
      <c r="R183" s="532" t="str">
        <f t="shared" si="17"/>
        <v/>
      </c>
      <c r="S183" s="532" t="str">
        <f t="shared" si="18"/>
        <v/>
      </c>
      <c r="T183" s="532" t="str">
        <f t="shared" si="19"/>
        <v/>
      </c>
      <c r="U183" s="557" t="str">
        <f t="shared" si="20"/>
        <v/>
      </c>
      <c r="V183" s="151"/>
      <c r="W183" s="152"/>
      <c r="AE183" s="156" t="str">
        <f t="shared" si="14"/>
        <v/>
      </c>
      <c r="AF183" s="156" t="str">
        <f t="shared" si="15"/>
        <v/>
      </c>
      <c r="AH183" s="156">
        <v>174</v>
      </c>
      <c r="AJ183" s="156" t="str">
        <f t="array" ref="AJ183">IFERROR(INDEX($AH$10:$AH$258, MATCH(0, IF(TRUE=$AE$10:$AE$258, COUNTIF($AJ$9:$AJ182, $AH$10:$AH$258), ""), 0)),"")</f>
        <v/>
      </c>
      <c r="AK183" s="156" t="str">
        <f t="array" ref="AK183">IFERROR(INDEX($AH$10:$AH$258, MATCH(0, IF(TRUE=$AF$10:$AF$258, COUNTIF($AK$9:$AK182, $AH$10:$AH$258), ""), 0)),"")</f>
        <v/>
      </c>
      <c r="AL183" s="31" t="str">
        <f>IFERROR(INDEX('G-6 Hedgerow Data'!$BJ$3:$BJ$15,MATCH(D183,'G-6 Hedgerow Data'!$B$3:$B$15,0)),"")</f>
        <v/>
      </c>
    </row>
    <row r="184" spans="2:38" ht="14" x14ac:dyDescent="0.3">
      <c r="B184" s="141">
        <v>175</v>
      </c>
      <c r="C184" s="203"/>
      <c r="D184" s="203"/>
      <c r="E184" s="153"/>
      <c r="F184" s="553" t="str">
        <f>IF(D184="","",VLOOKUP(D184,'G-6 Hedgerow Data'!$B$2:$AG$15,2,FALSE))</f>
        <v/>
      </c>
      <c r="G184" s="499" t="str">
        <f>IF(D184="","",VLOOKUP(D184,'G-6 Hedgerow Data'!$B$2:$AG$15,3,FALSE))</f>
        <v/>
      </c>
      <c r="H184" s="145"/>
      <c r="I184" s="499" t="str">
        <f>IFERROR(VLOOKUP(H184,'G-1 All Habitats'!$Z$2:$AA$9,2,FALSE),"")</f>
        <v/>
      </c>
      <c r="J184" s="145"/>
      <c r="K184" s="507" t="str">
        <f>IF(J184="","",IF(VLOOKUP(J184,'G-3 Multipliers'!$L$3:$N$6,2,FALSE)=0,"Spatial Data Missing",VLOOKUP(J184,'G-3 Multipliers'!$L$3:$N$6,2,FALSE)))</f>
        <v/>
      </c>
      <c r="L184" s="505" t="str">
        <f>IF(J184="","",IF(VLOOKUP(J184,'G-3 Multipliers'!$L$3:$N$6,3,FALSE)=0,"Spatial Data Missing ⚠",VLOOKUP(J184,'G-3 Multipliers'!$L$3:$N$6,3,FALSE)))</f>
        <v/>
      </c>
      <c r="M184" s="506" t="str">
        <f>IF(D184="","",VLOOKUP(D184,'G-6 Hedgerow Data'!$B$1:$AH$15,33,FALSE))</f>
        <v/>
      </c>
      <c r="N184" s="513" t="str">
        <f t="shared" si="16"/>
        <v/>
      </c>
      <c r="O184" s="40"/>
      <c r="P184" s="154"/>
      <c r="Q184" s="203"/>
      <c r="R184" s="532" t="str">
        <f t="shared" si="17"/>
        <v/>
      </c>
      <c r="S184" s="532" t="str">
        <f t="shared" si="18"/>
        <v/>
      </c>
      <c r="T184" s="532" t="str">
        <f t="shared" si="19"/>
        <v/>
      </c>
      <c r="U184" s="557" t="str">
        <f t="shared" si="20"/>
        <v/>
      </c>
      <c r="V184" s="151"/>
      <c r="W184" s="152"/>
      <c r="AE184" s="156" t="str">
        <f t="shared" si="14"/>
        <v/>
      </c>
      <c r="AF184" s="156" t="str">
        <f t="shared" si="15"/>
        <v/>
      </c>
      <c r="AH184" s="156">
        <v>175</v>
      </c>
      <c r="AJ184" s="156" t="str">
        <f t="array" ref="AJ184">IFERROR(INDEX($AH$10:$AH$258, MATCH(0, IF(TRUE=$AE$10:$AE$258, COUNTIF($AJ$9:$AJ183, $AH$10:$AH$258), ""), 0)),"")</f>
        <v/>
      </c>
      <c r="AK184" s="156" t="str">
        <f t="array" ref="AK184">IFERROR(INDEX($AH$10:$AH$258, MATCH(0, IF(TRUE=$AF$10:$AF$258, COUNTIF($AK$9:$AK183, $AH$10:$AH$258), ""), 0)),"")</f>
        <v/>
      </c>
      <c r="AL184" s="31" t="str">
        <f>IFERROR(INDEX('G-6 Hedgerow Data'!$BJ$3:$BJ$15,MATCH(D184,'G-6 Hedgerow Data'!$B$3:$B$15,0)),"")</f>
        <v/>
      </c>
    </row>
    <row r="185" spans="2:38" ht="14" x14ac:dyDescent="0.3">
      <c r="B185" s="141">
        <v>176</v>
      </c>
      <c r="C185" s="203"/>
      <c r="D185" s="203"/>
      <c r="E185" s="153"/>
      <c r="F185" s="553" t="str">
        <f>IF(D185="","",VLOOKUP(D185,'G-6 Hedgerow Data'!$B$2:$AG$15,2,FALSE))</f>
        <v/>
      </c>
      <c r="G185" s="499" t="str">
        <f>IF(D185="","",VLOOKUP(D185,'G-6 Hedgerow Data'!$B$2:$AG$15,3,FALSE))</f>
        <v/>
      </c>
      <c r="H185" s="145"/>
      <c r="I185" s="499" t="str">
        <f>IFERROR(VLOOKUP(H185,'G-1 All Habitats'!$Z$2:$AA$9,2,FALSE),"")</f>
        <v/>
      </c>
      <c r="J185" s="145"/>
      <c r="K185" s="507" t="str">
        <f>IF(J185="","",IF(VLOOKUP(J185,'G-3 Multipliers'!$L$3:$N$6,2,FALSE)=0,"Spatial Data Missing",VLOOKUP(J185,'G-3 Multipliers'!$L$3:$N$6,2,FALSE)))</f>
        <v/>
      </c>
      <c r="L185" s="505" t="str">
        <f>IF(J185="","",IF(VLOOKUP(J185,'G-3 Multipliers'!$L$3:$N$6,3,FALSE)=0,"Spatial Data Missing ⚠",VLOOKUP(J185,'G-3 Multipliers'!$L$3:$N$6,3,FALSE)))</f>
        <v/>
      </c>
      <c r="M185" s="506" t="str">
        <f>IF(D185="","",VLOOKUP(D185,'G-6 Hedgerow Data'!$B$1:$AH$15,33,FALSE))</f>
        <v/>
      </c>
      <c r="N185" s="513" t="str">
        <f t="shared" si="16"/>
        <v/>
      </c>
      <c r="O185" s="40"/>
      <c r="P185" s="154"/>
      <c r="Q185" s="203"/>
      <c r="R185" s="532" t="str">
        <f t="shared" si="17"/>
        <v/>
      </c>
      <c r="S185" s="532" t="str">
        <f t="shared" si="18"/>
        <v/>
      </c>
      <c r="T185" s="532" t="str">
        <f t="shared" si="19"/>
        <v/>
      </c>
      <c r="U185" s="557" t="str">
        <f t="shared" si="20"/>
        <v/>
      </c>
      <c r="V185" s="151"/>
      <c r="W185" s="152"/>
      <c r="AE185" s="156" t="str">
        <f t="shared" si="14"/>
        <v/>
      </c>
      <c r="AF185" s="156" t="str">
        <f t="shared" si="15"/>
        <v/>
      </c>
      <c r="AH185" s="156">
        <v>176</v>
      </c>
      <c r="AJ185" s="156" t="str">
        <f t="array" ref="AJ185">IFERROR(INDEX($AH$10:$AH$258, MATCH(0, IF(TRUE=$AE$10:$AE$258, COUNTIF($AJ$9:$AJ184, $AH$10:$AH$258), ""), 0)),"")</f>
        <v/>
      </c>
      <c r="AK185" s="156" t="str">
        <f t="array" ref="AK185">IFERROR(INDEX($AH$10:$AH$258, MATCH(0, IF(TRUE=$AF$10:$AF$258, COUNTIF($AK$9:$AK184, $AH$10:$AH$258), ""), 0)),"")</f>
        <v/>
      </c>
      <c r="AL185" s="31" t="str">
        <f>IFERROR(INDEX('G-6 Hedgerow Data'!$BJ$3:$BJ$15,MATCH(D185,'G-6 Hedgerow Data'!$B$3:$B$15,0)),"")</f>
        <v/>
      </c>
    </row>
    <row r="186" spans="2:38" ht="14" x14ac:dyDescent="0.3">
      <c r="B186" s="141">
        <v>177</v>
      </c>
      <c r="C186" s="203"/>
      <c r="D186" s="203"/>
      <c r="E186" s="153"/>
      <c r="F186" s="553" t="str">
        <f>IF(D186="","",VLOOKUP(D186,'G-6 Hedgerow Data'!$B$2:$AG$15,2,FALSE))</f>
        <v/>
      </c>
      <c r="G186" s="499" t="str">
        <f>IF(D186="","",VLOOKUP(D186,'G-6 Hedgerow Data'!$B$2:$AG$15,3,FALSE))</f>
        <v/>
      </c>
      <c r="H186" s="145"/>
      <c r="I186" s="499" t="str">
        <f>IFERROR(VLOOKUP(H186,'G-1 All Habitats'!$Z$2:$AA$9,2,FALSE),"")</f>
        <v/>
      </c>
      <c r="J186" s="145"/>
      <c r="K186" s="507" t="str">
        <f>IF(J186="","",IF(VLOOKUP(J186,'G-3 Multipliers'!$L$3:$N$6,2,FALSE)=0,"Spatial Data Missing",VLOOKUP(J186,'G-3 Multipliers'!$L$3:$N$6,2,FALSE)))</f>
        <v/>
      </c>
      <c r="L186" s="505" t="str">
        <f>IF(J186="","",IF(VLOOKUP(J186,'G-3 Multipliers'!$L$3:$N$6,3,FALSE)=0,"Spatial Data Missing ⚠",VLOOKUP(J186,'G-3 Multipliers'!$L$3:$N$6,3,FALSE)))</f>
        <v/>
      </c>
      <c r="M186" s="506" t="str">
        <f>IF(D186="","",VLOOKUP(D186,'G-6 Hedgerow Data'!$B$1:$AH$15,33,FALSE))</f>
        <v/>
      </c>
      <c r="N186" s="513" t="str">
        <f t="shared" si="16"/>
        <v/>
      </c>
      <c r="O186" s="40"/>
      <c r="P186" s="154"/>
      <c r="Q186" s="203"/>
      <c r="R186" s="532" t="str">
        <f t="shared" si="17"/>
        <v/>
      </c>
      <c r="S186" s="532" t="str">
        <f t="shared" si="18"/>
        <v/>
      </c>
      <c r="T186" s="532" t="str">
        <f t="shared" si="19"/>
        <v/>
      </c>
      <c r="U186" s="557" t="str">
        <f t="shared" si="20"/>
        <v/>
      </c>
      <c r="V186" s="151"/>
      <c r="W186" s="152"/>
      <c r="AE186" s="156" t="str">
        <f t="shared" si="14"/>
        <v/>
      </c>
      <c r="AF186" s="156" t="str">
        <f t="shared" si="15"/>
        <v/>
      </c>
      <c r="AH186" s="156">
        <v>177</v>
      </c>
      <c r="AJ186" s="156" t="str">
        <f t="array" ref="AJ186">IFERROR(INDEX($AH$10:$AH$258, MATCH(0, IF(TRUE=$AE$10:$AE$258, COUNTIF($AJ$9:$AJ185, $AH$10:$AH$258), ""), 0)),"")</f>
        <v/>
      </c>
      <c r="AK186" s="156" t="str">
        <f t="array" ref="AK186">IFERROR(INDEX($AH$10:$AH$258, MATCH(0, IF(TRUE=$AF$10:$AF$258, COUNTIF($AK$9:$AK185, $AH$10:$AH$258), ""), 0)),"")</f>
        <v/>
      </c>
      <c r="AL186" s="31" t="str">
        <f>IFERROR(INDEX('G-6 Hedgerow Data'!$BJ$3:$BJ$15,MATCH(D186,'G-6 Hedgerow Data'!$B$3:$B$15,0)),"")</f>
        <v/>
      </c>
    </row>
    <row r="187" spans="2:38" ht="14" x14ac:dyDescent="0.3">
      <c r="B187" s="141">
        <v>178</v>
      </c>
      <c r="C187" s="203"/>
      <c r="D187" s="203"/>
      <c r="E187" s="153"/>
      <c r="F187" s="553" t="str">
        <f>IF(D187="","",VLOOKUP(D187,'G-6 Hedgerow Data'!$B$2:$AG$15,2,FALSE))</f>
        <v/>
      </c>
      <c r="G187" s="499" t="str">
        <f>IF(D187="","",VLOOKUP(D187,'G-6 Hedgerow Data'!$B$2:$AG$15,3,FALSE))</f>
        <v/>
      </c>
      <c r="H187" s="145"/>
      <c r="I187" s="499" t="str">
        <f>IFERROR(VLOOKUP(H187,'G-1 All Habitats'!$Z$2:$AA$9,2,FALSE),"")</f>
        <v/>
      </c>
      <c r="J187" s="145"/>
      <c r="K187" s="507" t="str">
        <f>IF(J187="","",IF(VLOOKUP(J187,'G-3 Multipliers'!$L$3:$N$6,2,FALSE)=0,"Spatial Data Missing",VLOOKUP(J187,'G-3 Multipliers'!$L$3:$N$6,2,FALSE)))</f>
        <v/>
      </c>
      <c r="L187" s="505" t="str">
        <f>IF(J187="","",IF(VLOOKUP(J187,'G-3 Multipliers'!$L$3:$N$6,3,FALSE)=0,"Spatial Data Missing ⚠",VLOOKUP(J187,'G-3 Multipliers'!$L$3:$N$6,3,FALSE)))</f>
        <v/>
      </c>
      <c r="M187" s="506" t="str">
        <f>IF(D187="","",VLOOKUP(D187,'G-6 Hedgerow Data'!$B$1:$AH$15,33,FALSE))</f>
        <v/>
      </c>
      <c r="N187" s="513" t="str">
        <f t="shared" si="16"/>
        <v/>
      </c>
      <c r="O187" s="40"/>
      <c r="P187" s="154"/>
      <c r="Q187" s="203"/>
      <c r="R187" s="532" t="str">
        <f t="shared" si="17"/>
        <v/>
      </c>
      <c r="S187" s="532" t="str">
        <f t="shared" si="18"/>
        <v/>
      </c>
      <c r="T187" s="532" t="str">
        <f t="shared" si="19"/>
        <v/>
      </c>
      <c r="U187" s="557" t="str">
        <f t="shared" si="20"/>
        <v/>
      </c>
      <c r="V187" s="151"/>
      <c r="W187" s="152"/>
      <c r="AE187" s="156" t="str">
        <f t="shared" si="14"/>
        <v/>
      </c>
      <c r="AF187" s="156" t="str">
        <f t="shared" si="15"/>
        <v/>
      </c>
      <c r="AH187" s="156">
        <v>178</v>
      </c>
      <c r="AJ187" s="156" t="str">
        <f t="array" ref="AJ187">IFERROR(INDEX($AH$10:$AH$258, MATCH(0, IF(TRUE=$AE$10:$AE$258, COUNTIF($AJ$9:$AJ186, $AH$10:$AH$258), ""), 0)),"")</f>
        <v/>
      </c>
      <c r="AK187" s="156" t="str">
        <f t="array" ref="AK187">IFERROR(INDEX($AH$10:$AH$258, MATCH(0, IF(TRUE=$AF$10:$AF$258, COUNTIF($AK$9:$AK186, $AH$10:$AH$258), ""), 0)),"")</f>
        <v/>
      </c>
      <c r="AL187" s="31" t="str">
        <f>IFERROR(INDEX('G-6 Hedgerow Data'!$BJ$3:$BJ$15,MATCH(D187,'G-6 Hedgerow Data'!$B$3:$B$15,0)),"")</f>
        <v/>
      </c>
    </row>
    <row r="188" spans="2:38" ht="14" x14ac:dyDescent="0.3">
      <c r="B188" s="141">
        <v>179</v>
      </c>
      <c r="C188" s="203"/>
      <c r="D188" s="203"/>
      <c r="E188" s="153"/>
      <c r="F188" s="553" t="str">
        <f>IF(D188="","",VLOOKUP(D188,'G-6 Hedgerow Data'!$B$2:$AG$15,2,FALSE))</f>
        <v/>
      </c>
      <c r="G188" s="499" t="str">
        <f>IF(D188="","",VLOOKUP(D188,'G-6 Hedgerow Data'!$B$2:$AG$15,3,FALSE))</f>
        <v/>
      </c>
      <c r="H188" s="145"/>
      <c r="I188" s="499" t="str">
        <f>IFERROR(VLOOKUP(H188,'G-1 All Habitats'!$Z$2:$AA$9,2,FALSE),"")</f>
        <v/>
      </c>
      <c r="J188" s="145"/>
      <c r="K188" s="507" t="str">
        <f>IF(J188="","",IF(VLOOKUP(J188,'G-3 Multipliers'!$L$3:$N$6,2,FALSE)=0,"Spatial Data Missing",VLOOKUP(J188,'G-3 Multipliers'!$L$3:$N$6,2,FALSE)))</f>
        <v/>
      </c>
      <c r="L188" s="505" t="str">
        <f>IF(J188="","",IF(VLOOKUP(J188,'G-3 Multipliers'!$L$3:$N$6,3,FALSE)=0,"Spatial Data Missing ⚠",VLOOKUP(J188,'G-3 Multipliers'!$L$3:$N$6,3,FALSE)))</f>
        <v/>
      </c>
      <c r="M188" s="506" t="str">
        <f>IF(D188="","",VLOOKUP(D188,'G-6 Hedgerow Data'!$B$1:$AH$15,33,FALSE))</f>
        <v/>
      </c>
      <c r="N188" s="513" t="str">
        <f t="shared" si="16"/>
        <v/>
      </c>
      <c r="O188" s="40"/>
      <c r="P188" s="154"/>
      <c r="Q188" s="203"/>
      <c r="R188" s="532" t="str">
        <f t="shared" si="17"/>
        <v/>
      </c>
      <c r="S188" s="532" t="str">
        <f t="shared" si="18"/>
        <v/>
      </c>
      <c r="T188" s="532" t="str">
        <f t="shared" si="19"/>
        <v/>
      </c>
      <c r="U188" s="557" t="str">
        <f t="shared" si="20"/>
        <v/>
      </c>
      <c r="V188" s="151"/>
      <c r="W188" s="152"/>
      <c r="AE188" s="156" t="str">
        <f t="shared" si="14"/>
        <v/>
      </c>
      <c r="AF188" s="156" t="str">
        <f t="shared" si="15"/>
        <v/>
      </c>
      <c r="AH188" s="156">
        <v>179</v>
      </c>
      <c r="AJ188" s="156" t="str">
        <f t="array" ref="AJ188">IFERROR(INDEX($AH$10:$AH$258, MATCH(0, IF(TRUE=$AE$10:$AE$258, COUNTIF($AJ$9:$AJ187, $AH$10:$AH$258), ""), 0)),"")</f>
        <v/>
      </c>
      <c r="AK188" s="156" t="str">
        <f t="array" ref="AK188">IFERROR(INDEX($AH$10:$AH$258, MATCH(0, IF(TRUE=$AF$10:$AF$258, COUNTIF($AK$9:$AK187, $AH$10:$AH$258), ""), 0)),"")</f>
        <v/>
      </c>
      <c r="AL188" s="31" t="str">
        <f>IFERROR(INDEX('G-6 Hedgerow Data'!$BJ$3:$BJ$15,MATCH(D188,'G-6 Hedgerow Data'!$B$3:$B$15,0)),"")</f>
        <v/>
      </c>
    </row>
    <row r="189" spans="2:38" ht="14" x14ac:dyDescent="0.3">
      <c r="B189" s="141">
        <v>180</v>
      </c>
      <c r="C189" s="203"/>
      <c r="D189" s="203"/>
      <c r="E189" s="153"/>
      <c r="F189" s="553" t="str">
        <f>IF(D189="","",VLOOKUP(D189,'G-6 Hedgerow Data'!$B$2:$AG$15,2,FALSE))</f>
        <v/>
      </c>
      <c r="G189" s="499" t="str">
        <f>IF(D189="","",VLOOKUP(D189,'G-6 Hedgerow Data'!$B$2:$AG$15,3,FALSE))</f>
        <v/>
      </c>
      <c r="H189" s="145"/>
      <c r="I189" s="499" t="str">
        <f>IFERROR(VLOOKUP(H189,'G-1 All Habitats'!$Z$2:$AA$9,2,FALSE),"")</f>
        <v/>
      </c>
      <c r="J189" s="145"/>
      <c r="K189" s="507" t="str">
        <f>IF(J189="","",IF(VLOOKUP(J189,'G-3 Multipliers'!$L$3:$N$6,2,FALSE)=0,"Spatial Data Missing",VLOOKUP(J189,'G-3 Multipliers'!$L$3:$N$6,2,FALSE)))</f>
        <v/>
      </c>
      <c r="L189" s="505" t="str">
        <f>IF(J189="","",IF(VLOOKUP(J189,'G-3 Multipliers'!$L$3:$N$6,3,FALSE)=0,"Spatial Data Missing ⚠",VLOOKUP(J189,'G-3 Multipliers'!$L$3:$N$6,3,FALSE)))</f>
        <v/>
      </c>
      <c r="M189" s="506" t="str">
        <f>IF(D189="","",VLOOKUP(D189,'G-6 Hedgerow Data'!$B$1:$AH$15,33,FALSE))</f>
        <v/>
      </c>
      <c r="N189" s="513" t="str">
        <f t="shared" si="16"/>
        <v/>
      </c>
      <c r="O189" s="40"/>
      <c r="P189" s="154"/>
      <c r="Q189" s="203"/>
      <c r="R189" s="532" t="str">
        <f t="shared" si="17"/>
        <v/>
      </c>
      <c r="S189" s="532" t="str">
        <f t="shared" si="18"/>
        <v/>
      </c>
      <c r="T189" s="532" t="str">
        <f t="shared" si="19"/>
        <v/>
      </c>
      <c r="U189" s="557" t="str">
        <f t="shared" si="20"/>
        <v/>
      </c>
      <c r="V189" s="151"/>
      <c r="W189" s="152"/>
      <c r="AE189" s="156" t="str">
        <f t="shared" si="14"/>
        <v/>
      </c>
      <c r="AF189" s="156" t="str">
        <f t="shared" si="15"/>
        <v/>
      </c>
      <c r="AH189" s="156">
        <v>180</v>
      </c>
      <c r="AJ189" s="156" t="str">
        <f t="array" ref="AJ189">IFERROR(INDEX($AH$10:$AH$258, MATCH(0, IF(TRUE=$AE$10:$AE$258, COUNTIF($AJ$9:$AJ188, $AH$10:$AH$258), ""), 0)),"")</f>
        <v/>
      </c>
      <c r="AK189" s="156" t="str">
        <f t="array" ref="AK189">IFERROR(INDEX($AH$10:$AH$258, MATCH(0, IF(TRUE=$AF$10:$AF$258, COUNTIF($AK$9:$AK188, $AH$10:$AH$258), ""), 0)),"")</f>
        <v/>
      </c>
      <c r="AL189" s="31" t="str">
        <f>IFERROR(INDEX('G-6 Hedgerow Data'!$BJ$3:$BJ$15,MATCH(D189,'G-6 Hedgerow Data'!$B$3:$B$15,0)),"")</f>
        <v/>
      </c>
    </row>
    <row r="190" spans="2:38" ht="14" x14ac:dyDescent="0.3">
      <c r="B190" s="141">
        <v>181</v>
      </c>
      <c r="C190" s="203"/>
      <c r="D190" s="203"/>
      <c r="E190" s="153"/>
      <c r="F190" s="553" t="str">
        <f>IF(D190="","",VLOOKUP(D190,'G-6 Hedgerow Data'!$B$2:$AG$15,2,FALSE))</f>
        <v/>
      </c>
      <c r="G190" s="499" t="str">
        <f>IF(D190="","",VLOOKUP(D190,'G-6 Hedgerow Data'!$B$2:$AG$15,3,FALSE))</f>
        <v/>
      </c>
      <c r="H190" s="145"/>
      <c r="I190" s="499" t="str">
        <f>IFERROR(VLOOKUP(H190,'G-1 All Habitats'!$Z$2:$AA$9,2,FALSE),"")</f>
        <v/>
      </c>
      <c r="J190" s="145"/>
      <c r="K190" s="507" t="str">
        <f>IF(J190="","",IF(VLOOKUP(J190,'G-3 Multipliers'!$L$3:$N$6,2,FALSE)=0,"Spatial Data Missing",VLOOKUP(J190,'G-3 Multipliers'!$L$3:$N$6,2,FALSE)))</f>
        <v/>
      </c>
      <c r="L190" s="505" t="str">
        <f>IF(J190="","",IF(VLOOKUP(J190,'G-3 Multipliers'!$L$3:$N$6,3,FALSE)=0,"Spatial Data Missing ⚠",VLOOKUP(J190,'G-3 Multipliers'!$L$3:$N$6,3,FALSE)))</f>
        <v/>
      </c>
      <c r="M190" s="506" t="str">
        <f>IF(D190="","",VLOOKUP(D190,'G-6 Hedgerow Data'!$B$1:$AH$15,33,FALSE))</f>
        <v/>
      </c>
      <c r="N190" s="513" t="str">
        <f t="shared" si="16"/>
        <v/>
      </c>
      <c r="O190" s="40"/>
      <c r="P190" s="154"/>
      <c r="Q190" s="203"/>
      <c r="R190" s="532" t="str">
        <f t="shared" si="17"/>
        <v/>
      </c>
      <c r="S190" s="532" t="str">
        <f t="shared" si="18"/>
        <v/>
      </c>
      <c r="T190" s="532" t="str">
        <f t="shared" si="19"/>
        <v/>
      </c>
      <c r="U190" s="557" t="str">
        <f t="shared" si="20"/>
        <v/>
      </c>
      <c r="V190" s="151"/>
      <c r="W190" s="152"/>
      <c r="AE190" s="156" t="str">
        <f t="shared" si="14"/>
        <v/>
      </c>
      <c r="AF190" s="156" t="str">
        <f t="shared" si="15"/>
        <v/>
      </c>
      <c r="AH190" s="156">
        <v>181</v>
      </c>
      <c r="AJ190" s="156" t="str">
        <f t="array" ref="AJ190">IFERROR(INDEX($AH$10:$AH$258, MATCH(0, IF(TRUE=$AE$10:$AE$258, COUNTIF($AJ$9:$AJ189, $AH$10:$AH$258), ""), 0)),"")</f>
        <v/>
      </c>
      <c r="AK190" s="156" t="str">
        <f t="array" ref="AK190">IFERROR(INDEX($AH$10:$AH$258, MATCH(0, IF(TRUE=$AF$10:$AF$258, COUNTIF($AK$9:$AK189, $AH$10:$AH$258), ""), 0)),"")</f>
        <v/>
      </c>
      <c r="AL190" s="31" t="str">
        <f>IFERROR(INDEX('G-6 Hedgerow Data'!$BJ$3:$BJ$15,MATCH(D190,'G-6 Hedgerow Data'!$B$3:$B$15,0)),"")</f>
        <v/>
      </c>
    </row>
    <row r="191" spans="2:38" ht="14" x14ac:dyDescent="0.3">
      <c r="B191" s="141">
        <v>182</v>
      </c>
      <c r="C191" s="203"/>
      <c r="D191" s="203"/>
      <c r="E191" s="153"/>
      <c r="F191" s="553" t="str">
        <f>IF(D191="","",VLOOKUP(D191,'G-6 Hedgerow Data'!$B$2:$AG$15,2,FALSE))</f>
        <v/>
      </c>
      <c r="G191" s="499" t="str">
        <f>IF(D191="","",VLOOKUP(D191,'G-6 Hedgerow Data'!$B$2:$AG$15,3,FALSE))</f>
        <v/>
      </c>
      <c r="H191" s="145"/>
      <c r="I191" s="499" t="str">
        <f>IFERROR(VLOOKUP(H191,'G-1 All Habitats'!$Z$2:$AA$9,2,FALSE),"")</f>
        <v/>
      </c>
      <c r="J191" s="145"/>
      <c r="K191" s="507" t="str">
        <f>IF(J191="","",IF(VLOOKUP(J191,'G-3 Multipliers'!$L$3:$N$6,2,FALSE)=0,"Spatial Data Missing",VLOOKUP(J191,'G-3 Multipliers'!$L$3:$N$6,2,FALSE)))</f>
        <v/>
      </c>
      <c r="L191" s="505" t="str">
        <f>IF(J191="","",IF(VLOOKUP(J191,'G-3 Multipliers'!$L$3:$N$6,3,FALSE)=0,"Spatial Data Missing ⚠",VLOOKUP(J191,'G-3 Multipliers'!$L$3:$N$6,3,FALSE)))</f>
        <v/>
      </c>
      <c r="M191" s="506" t="str">
        <f>IF(D191="","",VLOOKUP(D191,'G-6 Hedgerow Data'!$B$1:$AH$15,33,FALSE))</f>
        <v/>
      </c>
      <c r="N191" s="513" t="str">
        <f t="shared" si="16"/>
        <v/>
      </c>
      <c r="O191" s="40"/>
      <c r="P191" s="154"/>
      <c r="Q191" s="203"/>
      <c r="R191" s="532" t="str">
        <f t="shared" si="17"/>
        <v/>
      </c>
      <c r="S191" s="532" t="str">
        <f t="shared" si="18"/>
        <v/>
      </c>
      <c r="T191" s="532" t="str">
        <f t="shared" si="19"/>
        <v/>
      </c>
      <c r="U191" s="557" t="str">
        <f t="shared" si="20"/>
        <v/>
      </c>
      <c r="V191" s="151"/>
      <c r="W191" s="152"/>
      <c r="AE191" s="156" t="str">
        <f t="shared" si="14"/>
        <v/>
      </c>
      <c r="AF191" s="156" t="str">
        <f t="shared" si="15"/>
        <v/>
      </c>
      <c r="AH191" s="156">
        <v>182</v>
      </c>
      <c r="AJ191" s="156" t="str">
        <f t="array" ref="AJ191">IFERROR(INDEX($AH$10:$AH$258, MATCH(0, IF(TRUE=$AE$10:$AE$258, COUNTIF($AJ$9:$AJ190, $AH$10:$AH$258), ""), 0)),"")</f>
        <v/>
      </c>
      <c r="AK191" s="156" t="str">
        <f t="array" ref="AK191">IFERROR(INDEX($AH$10:$AH$258, MATCH(0, IF(TRUE=$AF$10:$AF$258, COUNTIF($AK$9:$AK190, $AH$10:$AH$258), ""), 0)),"")</f>
        <v/>
      </c>
      <c r="AL191" s="31" t="str">
        <f>IFERROR(INDEX('G-6 Hedgerow Data'!$BJ$3:$BJ$15,MATCH(D191,'G-6 Hedgerow Data'!$B$3:$B$15,0)),"")</f>
        <v/>
      </c>
    </row>
    <row r="192" spans="2:38" ht="14" x14ac:dyDescent="0.3">
      <c r="B192" s="141">
        <v>183</v>
      </c>
      <c r="C192" s="203"/>
      <c r="D192" s="203"/>
      <c r="E192" s="153"/>
      <c r="F192" s="553" t="str">
        <f>IF(D192="","",VLOOKUP(D192,'G-6 Hedgerow Data'!$B$2:$AG$15,2,FALSE))</f>
        <v/>
      </c>
      <c r="G192" s="499" t="str">
        <f>IF(D192="","",VLOOKUP(D192,'G-6 Hedgerow Data'!$B$2:$AG$15,3,FALSE))</f>
        <v/>
      </c>
      <c r="H192" s="145"/>
      <c r="I192" s="499" t="str">
        <f>IFERROR(VLOOKUP(H192,'G-1 All Habitats'!$Z$2:$AA$9,2,FALSE),"")</f>
        <v/>
      </c>
      <c r="J192" s="145"/>
      <c r="K192" s="507" t="str">
        <f>IF(J192="","",IF(VLOOKUP(J192,'G-3 Multipliers'!$L$3:$N$6,2,FALSE)=0,"Spatial Data Missing",VLOOKUP(J192,'G-3 Multipliers'!$L$3:$N$6,2,FALSE)))</f>
        <v/>
      </c>
      <c r="L192" s="505" t="str">
        <f>IF(J192="","",IF(VLOOKUP(J192,'G-3 Multipliers'!$L$3:$N$6,3,FALSE)=0,"Spatial Data Missing ⚠",VLOOKUP(J192,'G-3 Multipliers'!$L$3:$N$6,3,FALSE)))</f>
        <v/>
      </c>
      <c r="M192" s="506" t="str">
        <f>IF(D192="","",VLOOKUP(D192,'G-6 Hedgerow Data'!$B$1:$AH$15,33,FALSE))</f>
        <v/>
      </c>
      <c r="N192" s="513" t="str">
        <f t="shared" si="16"/>
        <v/>
      </c>
      <c r="O192" s="40"/>
      <c r="P192" s="154"/>
      <c r="Q192" s="203"/>
      <c r="R192" s="532" t="str">
        <f t="shared" si="17"/>
        <v/>
      </c>
      <c r="S192" s="532" t="str">
        <f t="shared" si="18"/>
        <v/>
      </c>
      <c r="T192" s="532" t="str">
        <f t="shared" si="19"/>
        <v/>
      </c>
      <c r="U192" s="557" t="str">
        <f t="shared" si="20"/>
        <v/>
      </c>
      <c r="V192" s="151"/>
      <c r="W192" s="152"/>
      <c r="AE192" s="156" t="str">
        <f t="shared" si="14"/>
        <v/>
      </c>
      <c r="AF192" s="156" t="str">
        <f t="shared" si="15"/>
        <v/>
      </c>
      <c r="AH192" s="156">
        <v>183</v>
      </c>
      <c r="AJ192" s="156" t="str">
        <f t="array" ref="AJ192">IFERROR(INDEX($AH$10:$AH$258, MATCH(0, IF(TRUE=$AE$10:$AE$258, COUNTIF($AJ$9:$AJ191, $AH$10:$AH$258), ""), 0)),"")</f>
        <v/>
      </c>
      <c r="AK192" s="156" t="str">
        <f t="array" ref="AK192">IFERROR(INDEX($AH$10:$AH$258, MATCH(0, IF(TRUE=$AF$10:$AF$258, COUNTIF($AK$9:$AK191, $AH$10:$AH$258), ""), 0)),"")</f>
        <v/>
      </c>
      <c r="AL192" s="31" t="str">
        <f>IFERROR(INDEX('G-6 Hedgerow Data'!$BJ$3:$BJ$15,MATCH(D192,'G-6 Hedgerow Data'!$B$3:$B$15,0)),"")</f>
        <v/>
      </c>
    </row>
    <row r="193" spans="2:38" ht="14" x14ac:dyDescent="0.3">
      <c r="B193" s="141">
        <v>184</v>
      </c>
      <c r="C193" s="203"/>
      <c r="D193" s="203"/>
      <c r="E193" s="153"/>
      <c r="F193" s="553" t="str">
        <f>IF(D193="","",VLOOKUP(D193,'G-6 Hedgerow Data'!$B$2:$AG$15,2,FALSE))</f>
        <v/>
      </c>
      <c r="G193" s="499" t="str">
        <f>IF(D193="","",VLOOKUP(D193,'G-6 Hedgerow Data'!$B$2:$AG$15,3,FALSE))</f>
        <v/>
      </c>
      <c r="H193" s="145"/>
      <c r="I193" s="499" t="str">
        <f>IFERROR(VLOOKUP(H193,'G-1 All Habitats'!$Z$2:$AA$9,2,FALSE),"")</f>
        <v/>
      </c>
      <c r="J193" s="145"/>
      <c r="K193" s="507" t="str">
        <f>IF(J193="","",IF(VLOOKUP(J193,'G-3 Multipliers'!$L$3:$N$6,2,FALSE)=0,"Spatial Data Missing",VLOOKUP(J193,'G-3 Multipliers'!$L$3:$N$6,2,FALSE)))</f>
        <v/>
      </c>
      <c r="L193" s="505" t="str">
        <f>IF(J193="","",IF(VLOOKUP(J193,'G-3 Multipliers'!$L$3:$N$6,3,FALSE)=0,"Spatial Data Missing ⚠",VLOOKUP(J193,'G-3 Multipliers'!$L$3:$N$6,3,FALSE)))</f>
        <v/>
      </c>
      <c r="M193" s="506" t="str">
        <f>IF(D193="","",VLOOKUP(D193,'G-6 Hedgerow Data'!$B$1:$AH$15,33,FALSE))</f>
        <v/>
      </c>
      <c r="N193" s="513" t="str">
        <f t="shared" si="16"/>
        <v/>
      </c>
      <c r="O193" s="40"/>
      <c r="P193" s="154"/>
      <c r="Q193" s="203"/>
      <c r="R193" s="532" t="str">
        <f t="shared" si="17"/>
        <v/>
      </c>
      <c r="S193" s="532" t="str">
        <f t="shared" si="18"/>
        <v/>
      </c>
      <c r="T193" s="532" t="str">
        <f t="shared" si="19"/>
        <v/>
      </c>
      <c r="U193" s="557" t="str">
        <f t="shared" si="20"/>
        <v/>
      </c>
      <c r="V193" s="151"/>
      <c r="W193" s="152"/>
      <c r="AE193" s="156" t="str">
        <f t="shared" si="14"/>
        <v/>
      </c>
      <c r="AF193" s="156" t="str">
        <f t="shared" si="15"/>
        <v/>
      </c>
      <c r="AH193" s="156">
        <v>184</v>
      </c>
      <c r="AJ193" s="156" t="str">
        <f t="array" ref="AJ193">IFERROR(INDEX($AH$10:$AH$258, MATCH(0, IF(TRUE=$AE$10:$AE$258, COUNTIF($AJ$9:$AJ192, $AH$10:$AH$258), ""), 0)),"")</f>
        <v/>
      </c>
      <c r="AK193" s="156" t="str">
        <f t="array" ref="AK193">IFERROR(INDEX($AH$10:$AH$258, MATCH(0, IF(TRUE=$AF$10:$AF$258, COUNTIF($AK$9:$AK192, $AH$10:$AH$258), ""), 0)),"")</f>
        <v/>
      </c>
      <c r="AL193" s="31" t="str">
        <f>IFERROR(INDEX('G-6 Hedgerow Data'!$BJ$3:$BJ$15,MATCH(D193,'G-6 Hedgerow Data'!$B$3:$B$15,0)),"")</f>
        <v/>
      </c>
    </row>
    <row r="194" spans="2:38" ht="14" x14ac:dyDescent="0.3">
      <c r="B194" s="141">
        <v>185</v>
      </c>
      <c r="C194" s="203"/>
      <c r="D194" s="203"/>
      <c r="E194" s="153"/>
      <c r="F194" s="553" t="str">
        <f>IF(D194="","",VLOOKUP(D194,'G-6 Hedgerow Data'!$B$2:$AG$15,2,FALSE))</f>
        <v/>
      </c>
      <c r="G194" s="499" t="str">
        <f>IF(D194="","",VLOOKUP(D194,'G-6 Hedgerow Data'!$B$2:$AG$15,3,FALSE))</f>
        <v/>
      </c>
      <c r="H194" s="145"/>
      <c r="I194" s="499" t="str">
        <f>IFERROR(VLOOKUP(H194,'G-1 All Habitats'!$Z$2:$AA$9,2,FALSE),"")</f>
        <v/>
      </c>
      <c r="J194" s="145"/>
      <c r="K194" s="507" t="str">
        <f>IF(J194="","",IF(VLOOKUP(J194,'G-3 Multipliers'!$L$3:$N$6,2,FALSE)=0,"Spatial Data Missing",VLOOKUP(J194,'G-3 Multipliers'!$L$3:$N$6,2,FALSE)))</f>
        <v/>
      </c>
      <c r="L194" s="505" t="str">
        <f>IF(J194="","",IF(VLOOKUP(J194,'G-3 Multipliers'!$L$3:$N$6,3,FALSE)=0,"Spatial Data Missing ⚠",VLOOKUP(J194,'G-3 Multipliers'!$L$3:$N$6,3,FALSE)))</f>
        <v/>
      </c>
      <c r="M194" s="506" t="str">
        <f>IF(D194="","",VLOOKUP(D194,'G-6 Hedgerow Data'!$B$1:$AH$15,33,FALSE))</f>
        <v/>
      </c>
      <c r="N194" s="513" t="str">
        <f t="shared" si="16"/>
        <v/>
      </c>
      <c r="O194" s="40"/>
      <c r="P194" s="154"/>
      <c r="Q194" s="203"/>
      <c r="R194" s="532" t="str">
        <f t="shared" si="17"/>
        <v/>
      </c>
      <c r="S194" s="532" t="str">
        <f t="shared" si="18"/>
        <v/>
      </c>
      <c r="T194" s="532" t="str">
        <f t="shared" si="19"/>
        <v/>
      </c>
      <c r="U194" s="557" t="str">
        <f t="shared" si="20"/>
        <v/>
      </c>
      <c r="V194" s="151"/>
      <c r="W194" s="152"/>
      <c r="AE194" s="156" t="str">
        <f t="shared" si="14"/>
        <v/>
      </c>
      <c r="AF194" s="156" t="str">
        <f t="shared" si="15"/>
        <v/>
      </c>
      <c r="AH194" s="156">
        <v>185</v>
      </c>
      <c r="AJ194" s="156" t="str">
        <f t="array" ref="AJ194">IFERROR(INDEX($AH$10:$AH$258, MATCH(0, IF(TRUE=$AE$10:$AE$258, COUNTIF($AJ$9:$AJ193, $AH$10:$AH$258), ""), 0)),"")</f>
        <v/>
      </c>
      <c r="AK194" s="156" t="str">
        <f t="array" ref="AK194">IFERROR(INDEX($AH$10:$AH$258, MATCH(0, IF(TRUE=$AF$10:$AF$258, COUNTIF($AK$9:$AK193, $AH$10:$AH$258), ""), 0)),"")</f>
        <v/>
      </c>
      <c r="AL194" s="31" t="str">
        <f>IFERROR(INDEX('G-6 Hedgerow Data'!$BJ$3:$BJ$15,MATCH(D194,'G-6 Hedgerow Data'!$B$3:$B$15,0)),"")</f>
        <v/>
      </c>
    </row>
    <row r="195" spans="2:38" ht="14" x14ac:dyDescent="0.3">
      <c r="B195" s="141">
        <v>186</v>
      </c>
      <c r="C195" s="203"/>
      <c r="D195" s="203"/>
      <c r="E195" s="153"/>
      <c r="F195" s="553" t="str">
        <f>IF(D195="","",VLOOKUP(D195,'G-6 Hedgerow Data'!$B$2:$AG$15,2,FALSE))</f>
        <v/>
      </c>
      <c r="G195" s="499" t="str">
        <f>IF(D195="","",VLOOKUP(D195,'G-6 Hedgerow Data'!$B$2:$AG$15,3,FALSE))</f>
        <v/>
      </c>
      <c r="H195" s="145"/>
      <c r="I195" s="499" t="str">
        <f>IFERROR(VLOOKUP(H195,'G-1 All Habitats'!$Z$2:$AA$9,2,FALSE),"")</f>
        <v/>
      </c>
      <c r="J195" s="145"/>
      <c r="K195" s="507" t="str">
        <f>IF(J195="","",IF(VLOOKUP(J195,'G-3 Multipliers'!$L$3:$N$6,2,FALSE)=0,"Spatial Data Missing",VLOOKUP(J195,'G-3 Multipliers'!$L$3:$N$6,2,FALSE)))</f>
        <v/>
      </c>
      <c r="L195" s="505" t="str">
        <f>IF(J195="","",IF(VLOOKUP(J195,'G-3 Multipliers'!$L$3:$N$6,3,FALSE)=0,"Spatial Data Missing ⚠",VLOOKUP(J195,'G-3 Multipliers'!$L$3:$N$6,3,FALSE)))</f>
        <v/>
      </c>
      <c r="M195" s="506" t="str">
        <f>IF(D195="","",VLOOKUP(D195,'G-6 Hedgerow Data'!$B$1:$AH$15,33,FALSE))</f>
        <v/>
      </c>
      <c r="N195" s="513" t="str">
        <f t="shared" si="16"/>
        <v/>
      </c>
      <c r="O195" s="40"/>
      <c r="P195" s="154"/>
      <c r="Q195" s="203"/>
      <c r="R195" s="532" t="str">
        <f t="shared" si="17"/>
        <v/>
      </c>
      <c r="S195" s="532" t="str">
        <f t="shared" si="18"/>
        <v/>
      </c>
      <c r="T195" s="532" t="str">
        <f t="shared" si="19"/>
        <v/>
      </c>
      <c r="U195" s="557" t="str">
        <f t="shared" si="20"/>
        <v/>
      </c>
      <c r="V195" s="151"/>
      <c r="W195" s="152"/>
      <c r="AE195" s="156" t="str">
        <f t="shared" si="14"/>
        <v/>
      </c>
      <c r="AF195" s="156" t="str">
        <f t="shared" si="15"/>
        <v/>
      </c>
      <c r="AH195" s="156">
        <v>186</v>
      </c>
      <c r="AJ195" s="156" t="str">
        <f t="array" ref="AJ195">IFERROR(INDEX($AH$10:$AH$258, MATCH(0, IF(TRUE=$AE$10:$AE$258, COUNTIF($AJ$9:$AJ194, $AH$10:$AH$258), ""), 0)),"")</f>
        <v/>
      </c>
      <c r="AK195" s="156" t="str">
        <f t="array" ref="AK195">IFERROR(INDEX($AH$10:$AH$258, MATCH(0, IF(TRUE=$AF$10:$AF$258, COUNTIF($AK$9:$AK194, $AH$10:$AH$258), ""), 0)),"")</f>
        <v/>
      </c>
      <c r="AL195" s="31" t="str">
        <f>IFERROR(INDEX('G-6 Hedgerow Data'!$BJ$3:$BJ$15,MATCH(D195,'G-6 Hedgerow Data'!$B$3:$B$15,0)),"")</f>
        <v/>
      </c>
    </row>
    <row r="196" spans="2:38" ht="14" x14ac:dyDescent="0.3">
      <c r="B196" s="141">
        <v>187</v>
      </c>
      <c r="C196" s="203"/>
      <c r="D196" s="203"/>
      <c r="E196" s="153"/>
      <c r="F196" s="553" t="str">
        <f>IF(D196="","",VLOOKUP(D196,'G-6 Hedgerow Data'!$B$2:$AG$15,2,FALSE))</f>
        <v/>
      </c>
      <c r="G196" s="499" t="str">
        <f>IF(D196="","",VLOOKUP(D196,'G-6 Hedgerow Data'!$B$2:$AG$15,3,FALSE))</f>
        <v/>
      </c>
      <c r="H196" s="145"/>
      <c r="I196" s="499" t="str">
        <f>IFERROR(VLOOKUP(H196,'G-1 All Habitats'!$Z$2:$AA$9,2,FALSE),"")</f>
        <v/>
      </c>
      <c r="J196" s="145"/>
      <c r="K196" s="507" t="str">
        <f>IF(J196="","",IF(VLOOKUP(J196,'G-3 Multipliers'!$L$3:$N$6,2,FALSE)=0,"Spatial Data Missing",VLOOKUP(J196,'G-3 Multipliers'!$L$3:$N$6,2,FALSE)))</f>
        <v/>
      </c>
      <c r="L196" s="505" t="str">
        <f>IF(J196="","",IF(VLOOKUP(J196,'G-3 Multipliers'!$L$3:$N$6,3,FALSE)=0,"Spatial Data Missing ⚠",VLOOKUP(J196,'G-3 Multipliers'!$L$3:$N$6,3,FALSE)))</f>
        <v/>
      </c>
      <c r="M196" s="506" t="str">
        <f>IF(D196="","",VLOOKUP(D196,'G-6 Hedgerow Data'!$B$1:$AH$15,33,FALSE))</f>
        <v/>
      </c>
      <c r="N196" s="513" t="str">
        <f t="shared" si="16"/>
        <v/>
      </c>
      <c r="O196" s="40"/>
      <c r="P196" s="154"/>
      <c r="Q196" s="203"/>
      <c r="R196" s="532" t="str">
        <f t="shared" si="17"/>
        <v/>
      </c>
      <c r="S196" s="532" t="str">
        <f t="shared" si="18"/>
        <v/>
      </c>
      <c r="T196" s="532" t="str">
        <f t="shared" si="19"/>
        <v/>
      </c>
      <c r="U196" s="557" t="str">
        <f t="shared" si="20"/>
        <v/>
      </c>
      <c r="V196" s="151"/>
      <c r="W196" s="152"/>
      <c r="AE196" s="156" t="str">
        <f t="shared" si="14"/>
        <v/>
      </c>
      <c r="AF196" s="156" t="str">
        <f t="shared" si="15"/>
        <v/>
      </c>
      <c r="AH196" s="156">
        <v>187</v>
      </c>
      <c r="AJ196" s="156" t="str">
        <f t="array" ref="AJ196">IFERROR(INDEX($AH$10:$AH$258, MATCH(0, IF(TRUE=$AE$10:$AE$258, COUNTIF($AJ$9:$AJ195, $AH$10:$AH$258), ""), 0)),"")</f>
        <v/>
      </c>
      <c r="AK196" s="156" t="str">
        <f t="array" ref="AK196">IFERROR(INDEX($AH$10:$AH$258, MATCH(0, IF(TRUE=$AF$10:$AF$258, COUNTIF($AK$9:$AK195, $AH$10:$AH$258), ""), 0)),"")</f>
        <v/>
      </c>
      <c r="AL196" s="31" t="str">
        <f>IFERROR(INDEX('G-6 Hedgerow Data'!$BJ$3:$BJ$15,MATCH(D196,'G-6 Hedgerow Data'!$B$3:$B$15,0)),"")</f>
        <v/>
      </c>
    </row>
    <row r="197" spans="2:38" ht="14" x14ac:dyDescent="0.3">
      <c r="B197" s="141">
        <v>188</v>
      </c>
      <c r="C197" s="203"/>
      <c r="D197" s="203"/>
      <c r="E197" s="153"/>
      <c r="F197" s="553" t="str">
        <f>IF(D197="","",VLOOKUP(D197,'G-6 Hedgerow Data'!$B$2:$AG$15,2,FALSE))</f>
        <v/>
      </c>
      <c r="G197" s="499" t="str">
        <f>IF(D197="","",VLOOKUP(D197,'G-6 Hedgerow Data'!$B$2:$AG$15,3,FALSE))</f>
        <v/>
      </c>
      <c r="H197" s="145"/>
      <c r="I197" s="499" t="str">
        <f>IFERROR(VLOOKUP(H197,'G-1 All Habitats'!$Z$2:$AA$9,2,FALSE),"")</f>
        <v/>
      </c>
      <c r="J197" s="145"/>
      <c r="K197" s="507" t="str">
        <f>IF(J197="","",IF(VLOOKUP(J197,'G-3 Multipliers'!$L$3:$N$6,2,FALSE)=0,"Spatial Data Missing",VLOOKUP(J197,'G-3 Multipliers'!$L$3:$N$6,2,FALSE)))</f>
        <v/>
      </c>
      <c r="L197" s="505" t="str">
        <f>IF(J197="","",IF(VLOOKUP(J197,'G-3 Multipliers'!$L$3:$N$6,3,FALSE)=0,"Spatial Data Missing ⚠",VLOOKUP(J197,'G-3 Multipliers'!$L$3:$N$6,3,FALSE)))</f>
        <v/>
      </c>
      <c r="M197" s="506" t="str">
        <f>IF(D197="","",VLOOKUP(D197,'G-6 Hedgerow Data'!$B$1:$AH$15,33,FALSE))</f>
        <v/>
      </c>
      <c r="N197" s="513" t="str">
        <f t="shared" si="16"/>
        <v/>
      </c>
      <c r="O197" s="40"/>
      <c r="P197" s="154"/>
      <c r="Q197" s="203"/>
      <c r="R197" s="532" t="str">
        <f t="shared" si="17"/>
        <v/>
      </c>
      <c r="S197" s="532" t="str">
        <f t="shared" si="18"/>
        <v/>
      </c>
      <c r="T197" s="532" t="str">
        <f t="shared" si="19"/>
        <v/>
      </c>
      <c r="U197" s="557" t="str">
        <f t="shared" si="20"/>
        <v/>
      </c>
      <c r="V197" s="151"/>
      <c r="W197" s="152"/>
      <c r="AE197" s="156" t="str">
        <f t="shared" si="14"/>
        <v/>
      </c>
      <c r="AF197" s="156" t="str">
        <f t="shared" si="15"/>
        <v/>
      </c>
      <c r="AH197" s="156">
        <v>188</v>
      </c>
      <c r="AJ197" s="156" t="str">
        <f t="array" ref="AJ197">IFERROR(INDEX($AH$10:$AH$258, MATCH(0, IF(TRUE=$AE$10:$AE$258, COUNTIF($AJ$9:$AJ196, $AH$10:$AH$258), ""), 0)),"")</f>
        <v/>
      </c>
      <c r="AK197" s="156" t="str">
        <f t="array" ref="AK197">IFERROR(INDEX($AH$10:$AH$258, MATCH(0, IF(TRUE=$AF$10:$AF$258, COUNTIF($AK$9:$AK196, $AH$10:$AH$258), ""), 0)),"")</f>
        <v/>
      </c>
      <c r="AL197" s="31" t="str">
        <f>IFERROR(INDEX('G-6 Hedgerow Data'!$BJ$3:$BJ$15,MATCH(D197,'G-6 Hedgerow Data'!$B$3:$B$15,0)),"")</f>
        <v/>
      </c>
    </row>
    <row r="198" spans="2:38" ht="14" x14ac:dyDescent="0.3">
      <c r="B198" s="141">
        <v>189</v>
      </c>
      <c r="C198" s="203"/>
      <c r="D198" s="203"/>
      <c r="E198" s="153"/>
      <c r="F198" s="553" t="str">
        <f>IF(D198="","",VLOOKUP(D198,'G-6 Hedgerow Data'!$B$2:$AG$15,2,FALSE))</f>
        <v/>
      </c>
      <c r="G198" s="499" t="str">
        <f>IF(D198="","",VLOOKUP(D198,'G-6 Hedgerow Data'!$B$2:$AG$15,3,FALSE))</f>
        <v/>
      </c>
      <c r="H198" s="145"/>
      <c r="I198" s="499" t="str">
        <f>IFERROR(VLOOKUP(H198,'G-1 All Habitats'!$Z$2:$AA$9,2,FALSE),"")</f>
        <v/>
      </c>
      <c r="J198" s="145"/>
      <c r="K198" s="507" t="str">
        <f>IF(J198="","",IF(VLOOKUP(J198,'G-3 Multipliers'!$L$3:$N$6,2,FALSE)=0,"Spatial Data Missing",VLOOKUP(J198,'G-3 Multipliers'!$L$3:$N$6,2,FALSE)))</f>
        <v/>
      </c>
      <c r="L198" s="505" t="str">
        <f>IF(J198="","",IF(VLOOKUP(J198,'G-3 Multipliers'!$L$3:$N$6,3,FALSE)=0,"Spatial Data Missing ⚠",VLOOKUP(J198,'G-3 Multipliers'!$L$3:$N$6,3,FALSE)))</f>
        <v/>
      </c>
      <c r="M198" s="506" t="str">
        <f>IF(D198="","",VLOOKUP(D198,'G-6 Hedgerow Data'!$B$1:$AH$15,33,FALSE))</f>
        <v/>
      </c>
      <c r="N198" s="513" t="str">
        <f t="shared" si="16"/>
        <v/>
      </c>
      <c r="O198" s="40"/>
      <c r="P198" s="154"/>
      <c r="Q198" s="203"/>
      <c r="R198" s="532" t="str">
        <f t="shared" si="17"/>
        <v/>
      </c>
      <c r="S198" s="532" t="str">
        <f t="shared" si="18"/>
        <v/>
      </c>
      <c r="T198" s="532" t="str">
        <f t="shared" si="19"/>
        <v/>
      </c>
      <c r="U198" s="557" t="str">
        <f t="shared" si="20"/>
        <v/>
      </c>
      <c r="V198" s="151"/>
      <c r="W198" s="152"/>
      <c r="AE198" s="156" t="str">
        <f t="shared" si="14"/>
        <v/>
      </c>
      <c r="AF198" s="156" t="str">
        <f t="shared" si="15"/>
        <v/>
      </c>
      <c r="AH198" s="156">
        <v>189</v>
      </c>
      <c r="AJ198" s="156" t="str">
        <f t="array" ref="AJ198">IFERROR(INDEX($AH$10:$AH$258, MATCH(0, IF(TRUE=$AE$10:$AE$258, COUNTIF($AJ$9:$AJ197, $AH$10:$AH$258), ""), 0)),"")</f>
        <v/>
      </c>
      <c r="AK198" s="156" t="str">
        <f t="array" ref="AK198">IFERROR(INDEX($AH$10:$AH$258, MATCH(0, IF(TRUE=$AF$10:$AF$258, COUNTIF($AK$9:$AK197, $AH$10:$AH$258), ""), 0)),"")</f>
        <v/>
      </c>
      <c r="AL198" s="31" t="str">
        <f>IFERROR(INDEX('G-6 Hedgerow Data'!$BJ$3:$BJ$15,MATCH(D198,'G-6 Hedgerow Data'!$B$3:$B$15,0)),"")</f>
        <v/>
      </c>
    </row>
    <row r="199" spans="2:38" ht="14" x14ac:dyDescent="0.3">
      <c r="B199" s="141">
        <v>190</v>
      </c>
      <c r="C199" s="203"/>
      <c r="D199" s="203"/>
      <c r="E199" s="153"/>
      <c r="F199" s="553" t="str">
        <f>IF(D199="","",VLOOKUP(D199,'G-6 Hedgerow Data'!$B$2:$AG$15,2,FALSE))</f>
        <v/>
      </c>
      <c r="G199" s="499" t="str">
        <f>IF(D199="","",VLOOKUP(D199,'G-6 Hedgerow Data'!$B$2:$AG$15,3,FALSE))</f>
        <v/>
      </c>
      <c r="H199" s="145"/>
      <c r="I199" s="499" t="str">
        <f>IFERROR(VLOOKUP(H199,'G-1 All Habitats'!$Z$2:$AA$9,2,FALSE),"")</f>
        <v/>
      </c>
      <c r="J199" s="145"/>
      <c r="K199" s="507" t="str">
        <f>IF(J199="","",IF(VLOOKUP(J199,'G-3 Multipliers'!$L$3:$N$6,2,FALSE)=0,"Spatial Data Missing",VLOOKUP(J199,'G-3 Multipliers'!$L$3:$N$6,2,FALSE)))</f>
        <v/>
      </c>
      <c r="L199" s="505" t="str">
        <f>IF(J199="","",IF(VLOOKUP(J199,'G-3 Multipliers'!$L$3:$N$6,3,FALSE)=0,"Spatial Data Missing ⚠",VLOOKUP(J199,'G-3 Multipliers'!$L$3:$N$6,3,FALSE)))</f>
        <v/>
      </c>
      <c r="M199" s="506" t="str">
        <f>IF(D199="","",VLOOKUP(D199,'G-6 Hedgerow Data'!$B$1:$AH$15,33,FALSE))</f>
        <v/>
      </c>
      <c r="N199" s="513" t="str">
        <f t="shared" si="16"/>
        <v/>
      </c>
      <c r="O199" s="40"/>
      <c r="P199" s="154"/>
      <c r="Q199" s="203"/>
      <c r="R199" s="532" t="str">
        <f t="shared" si="17"/>
        <v/>
      </c>
      <c r="S199" s="532" t="str">
        <f t="shared" si="18"/>
        <v/>
      </c>
      <c r="T199" s="532" t="str">
        <f t="shared" si="19"/>
        <v/>
      </c>
      <c r="U199" s="557" t="str">
        <f t="shared" si="20"/>
        <v/>
      </c>
      <c r="V199" s="151"/>
      <c r="W199" s="152"/>
      <c r="AE199" s="156" t="str">
        <f t="shared" si="14"/>
        <v/>
      </c>
      <c r="AF199" s="156" t="str">
        <f t="shared" si="15"/>
        <v/>
      </c>
      <c r="AH199" s="156">
        <v>190</v>
      </c>
      <c r="AJ199" s="156" t="str">
        <f t="array" ref="AJ199">IFERROR(INDEX($AH$10:$AH$258, MATCH(0, IF(TRUE=$AE$10:$AE$258, COUNTIF($AJ$9:$AJ198, $AH$10:$AH$258), ""), 0)),"")</f>
        <v/>
      </c>
      <c r="AK199" s="156" t="str">
        <f t="array" ref="AK199">IFERROR(INDEX($AH$10:$AH$258, MATCH(0, IF(TRUE=$AF$10:$AF$258, COUNTIF($AK$9:$AK198, $AH$10:$AH$258), ""), 0)),"")</f>
        <v/>
      </c>
      <c r="AL199" s="31" t="str">
        <f>IFERROR(INDEX('G-6 Hedgerow Data'!$BJ$3:$BJ$15,MATCH(D199,'G-6 Hedgerow Data'!$B$3:$B$15,0)),"")</f>
        <v/>
      </c>
    </row>
    <row r="200" spans="2:38" ht="14" x14ac:dyDescent="0.3">
      <c r="B200" s="141">
        <v>191</v>
      </c>
      <c r="C200" s="203"/>
      <c r="D200" s="203"/>
      <c r="E200" s="153"/>
      <c r="F200" s="553" t="str">
        <f>IF(D200="","",VLOOKUP(D200,'G-6 Hedgerow Data'!$B$2:$AG$15,2,FALSE))</f>
        <v/>
      </c>
      <c r="G200" s="499" t="str">
        <f>IF(D200="","",VLOOKUP(D200,'G-6 Hedgerow Data'!$B$2:$AG$15,3,FALSE))</f>
        <v/>
      </c>
      <c r="H200" s="145"/>
      <c r="I200" s="499" t="str">
        <f>IFERROR(VLOOKUP(H200,'G-1 All Habitats'!$Z$2:$AA$9,2,FALSE),"")</f>
        <v/>
      </c>
      <c r="J200" s="145"/>
      <c r="K200" s="507" t="str">
        <f>IF(J200="","",IF(VLOOKUP(J200,'G-3 Multipliers'!$L$3:$N$6,2,FALSE)=0,"Spatial Data Missing",VLOOKUP(J200,'G-3 Multipliers'!$L$3:$N$6,2,FALSE)))</f>
        <v/>
      </c>
      <c r="L200" s="505" t="str">
        <f>IF(J200="","",IF(VLOOKUP(J200,'G-3 Multipliers'!$L$3:$N$6,3,FALSE)=0,"Spatial Data Missing ⚠",VLOOKUP(J200,'G-3 Multipliers'!$L$3:$N$6,3,FALSE)))</f>
        <v/>
      </c>
      <c r="M200" s="506" t="str">
        <f>IF(D200="","",VLOOKUP(D200,'G-6 Hedgerow Data'!$B$1:$AH$15,33,FALSE))</f>
        <v/>
      </c>
      <c r="N200" s="513" t="str">
        <f t="shared" si="16"/>
        <v/>
      </c>
      <c r="O200" s="40"/>
      <c r="P200" s="154"/>
      <c r="Q200" s="203"/>
      <c r="R200" s="532" t="str">
        <f t="shared" si="17"/>
        <v/>
      </c>
      <c r="S200" s="532" t="str">
        <f t="shared" si="18"/>
        <v/>
      </c>
      <c r="T200" s="532" t="str">
        <f t="shared" si="19"/>
        <v/>
      </c>
      <c r="U200" s="557" t="str">
        <f t="shared" si="20"/>
        <v/>
      </c>
      <c r="V200" s="151"/>
      <c r="W200" s="152"/>
      <c r="AE200" s="156" t="str">
        <f t="shared" si="14"/>
        <v/>
      </c>
      <c r="AF200" s="156" t="str">
        <f t="shared" si="15"/>
        <v/>
      </c>
      <c r="AH200" s="156">
        <v>191</v>
      </c>
      <c r="AJ200" s="156" t="str">
        <f t="array" ref="AJ200">IFERROR(INDEX($AH$10:$AH$258, MATCH(0, IF(TRUE=$AE$10:$AE$258, COUNTIF($AJ$9:$AJ199, $AH$10:$AH$258), ""), 0)),"")</f>
        <v/>
      </c>
      <c r="AK200" s="156" t="str">
        <f t="array" ref="AK200">IFERROR(INDEX($AH$10:$AH$258, MATCH(0, IF(TRUE=$AF$10:$AF$258, COUNTIF($AK$9:$AK199, $AH$10:$AH$258), ""), 0)),"")</f>
        <v/>
      </c>
      <c r="AL200" s="31" t="str">
        <f>IFERROR(INDEX('G-6 Hedgerow Data'!$BJ$3:$BJ$15,MATCH(D200,'G-6 Hedgerow Data'!$B$3:$B$15,0)),"")</f>
        <v/>
      </c>
    </row>
    <row r="201" spans="2:38" ht="14" x14ac:dyDescent="0.3">
      <c r="B201" s="141">
        <v>192</v>
      </c>
      <c r="C201" s="203"/>
      <c r="D201" s="203"/>
      <c r="E201" s="153"/>
      <c r="F201" s="553" t="str">
        <f>IF(D201="","",VLOOKUP(D201,'G-6 Hedgerow Data'!$B$2:$AG$15,2,FALSE))</f>
        <v/>
      </c>
      <c r="G201" s="499" t="str">
        <f>IF(D201="","",VLOOKUP(D201,'G-6 Hedgerow Data'!$B$2:$AG$15,3,FALSE))</f>
        <v/>
      </c>
      <c r="H201" s="145"/>
      <c r="I201" s="499" t="str">
        <f>IFERROR(VLOOKUP(H201,'G-1 All Habitats'!$Z$2:$AA$9,2,FALSE),"")</f>
        <v/>
      </c>
      <c r="J201" s="145"/>
      <c r="K201" s="507" t="str">
        <f>IF(J201="","",IF(VLOOKUP(J201,'G-3 Multipliers'!$L$3:$N$6,2,FALSE)=0,"Spatial Data Missing",VLOOKUP(J201,'G-3 Multipliers'!$L$3:$N$6,2,FALSE)))</f>
        <v/>
      </c>
      <c r="L201" s="505" t="str">
        <f>IF(J201="","",IF(VLOOKUP(J201,'G-3 Multipliers'!$L$3:$N$6,3,FALSE)=0,"Spatial Data Missing ⚠",VLOOKUP(J201,'G-3 Multipliers'!$L$3:$N$6,3,FALSE)))</f>
        <v/>
      </c>
      <c r="M201" s="506" t="str">
        <f>IF(D201="","",VLOOKUP(D201,'G-6 Hedgerow Data'!$B$1:$AH$15,33,FALSE))</f>
        <v/>
      </c>
      <c r="N201" s="513" t="str">
        <f t="shared" si="16"/>
        <v/>
      </c>
      <c r="O201" s="40"/>
      <c r="P201" s="154"/>
      <c r="Q201" s="203"/>
      <c r="R201" s="532" t="str">
        <f t="shared" si="17"/>
        <v/>
      </c>
      <c r="S201" s="532" t="str">
        <f t="shared" si="18"/>
        <v/>
      </c>
      <c r="T201" s="532" t="str">
        <f t="shared" si="19"/>
        <v/>
      </c>
      <c r="U201" s="557" t="str">
        <f t="shared" si="20"/>
        <v/>
      </c>
      <c r="V201" s="151"/>
      <c r="W201" s="152"/>
      <c r="AE201" s="156" t="str">
        <f t="shared" si="14"/>
        <v/>
      </c>
      <c r="AF201" s="156" t="str">
        <f t="shared" si="15"/>
        <v/>
      </c>
      <c r="AH201" s="156">
        <v>192</v>
      </c>
      <c r="AJ201" s="156" t="str">
        <f t="array" ref="AJ201">IFERROR(INDEX($AH$10:$AH$258, MATCH(0, IF(TRUE=$AE$10:$AE$258, COUNTIF($AJ$9:$AJ200, $AH$10:$AH$258), ""), 0)),"")</f>
        <v/>
      </c>
      <c r="AK201" s="156" t="str">
        <f t="array" ref="AK201">IFERROR(INDEX($AH$10:$AH$258, MATCH(0, IF(TRUE=$AF$10:$AF$258, COUNTIF($AK$9:$AK200, $AH$10:$AH$258), ""), 0)),"")</f>
        <v/>
      </c>
      <c r="AL201" s="31" t="str">
        <f>IFERROR(INDEX('G-6 Hedgerow Data'!$BJ$3:$BJ$15,MATCH(D201,'G-6 Hedgerow Data'!$B$3:$B$15,0)),"")</f>
        <v/>
      </c>
    </row>
    <row r="202" spans="2:38" ht="14" x14ac:dyDescent="0.3">
      <c r="B202" s="141">
        <v>193</v>
      </c>
      <c r="C202" s="203"/>
      <c r="D202" s="203"/>
      <c r="E202" s="153"/>
      <c r="F202" s="553" t="str">
        <f>IF(D202="","",VLOOKUP(D202,'G-6 Hedgerow Data'!$B$2:$AG$15,2,FALSE))</f>
        <v/>
      </c>
      <c r="G202" s="499" t="str">
        <f>IF(D202="","",VLOOKUP(D202,'G-6 Hedgerow Data'!$B$2:$AG$15,3,FALSE))</f>
        <v/>
      </c>
      <c r="H202" s="145"/>
      <c r="I202" s="499" t="str">
        <f>IFERROR(VLOOKUP(H202,'G-1 All Habitats'!$Z$2:$AA$9,2,FALSE),"")</f>
        <v/>
      </c>
      <c r="J202" s="145"/>
      <c r="K202" s="507" t="str">
        <f>IF(J202="","",IF(VLOOKUP(J202,'G-3 Multipliers'!$L$3:$N$6,2,FALSE)=0,"Spatial Data Missing",VLOOKUP(J202,'G-3 Multipliers'!$L$3:$N$6,2,FALSE)))</f>
        <v/>
      </c>
      <c r="L202" s="505" t="str">
        <f>IF(J202="","",IF(VLOOKUP(J202,'G-3 Multipliers'!$L$3:$N$6,3,FALSE)=0,"Spatial Data Missing ⚠",VLOOKUP(J202,'G-3 Multipliers'!$L$3:$N$6,3,FALSE)))</f>
        <v/>
      </c>
      <c r="M202" s="506" t="str">
        <f>IF(D202="","",VLOOKUP(D202,'G-6 Hedgerow Data'!$B$1:$AH$15,33,FALSE))</f>
        <v/>
      </c>
      <c r="N202" s="513" t="str">
        <f t="shared" si="16"/>
        <v/>
      </c>
      <c r="O202" s="40"/>
      <c r="P202" s="154"/>
      <c r="Q202" s="203"/>
      <c r="R202" s="532" t="str">
        <f t="shared" si="17"/>
        <v/>
      </c>
      <c r="S202" s="532" t="str">
        <f t="shared" si="18"/>
        <v/>
      </c>
      <c r="T202" s="532" t="str">
        <f t="shared" si="19"/>
        <v/>
      </c>
      <c r="U202" s="557" t="str">
        <f t="shared" si="20"/>
        <v/>
      </c>
      <c r="V202" s="151"/>
      <c r="W202" s="152"/>
      <c r="AE202" s="156" t="str">
        <f t="shared" ref="AE202:AE257" si="21">IF(D202="","",IF(P202&gt;0,TRUE,FALSE))</f>
        <v/>
      </c>
      <c r="AF202" s="156" t="str">
        <f t="shared" ref="AF202:AF257" si="22">IF(D202="","",IF(Q202&gt;0,TRUE,FALSE))</f>
        <v/>
      </c>
      <c r="AH202" s="156">
        <v>193</v>
      </c>
      <c r="AJ202" s="156" t="str">
        <f t="array" ref="AJ202">IFERROR(INDEX($AH$10:$AH$258, MATCH(0, IF(TRUE=$AE$10:$AE$258, COUNTIF($AJ$9:$AJ201, $AH$10:$AH$258), ""), 0)),"")</f>
        <v/>
      </c>
      <c r="AK202" s="156" t="str">
        <f t="array" ref="AK202">IFERROR(INDEX($AH$10:$AH$258, MATCH(0, IF(TRUE=$AF$10:$AF$258, COUNTIF($AK$9:$AK201, $AH$10:$AH$258), ""), 0)),"")</f>
        <v/>
      </c>
      <c r="AL202" s="31" t="str">
        <f>IFERROR(INDEX('G-6 Hedgerow Data'!$BJ$3:$BJ$15,MATCH(D202,'G-6 Hedgerow Data'!$B$3:$B$15,0)),"")</f>
        <v/>
      </c>
    </row>
    <row r="203" spans="2:38" ht="14" x14ac:dyDescent="0.3">
      <c r="B203" s="141">
        <v>194</v>
      </c>
      <c r="C203" s="203"/>
      <c r="D203" s="203"/>
      <c r="E203" s="153"/>
      <c r="F203" s="553" t="str">
        <f>IF(D203="","",VLOOKUP(D203,'G-6 Hedgerow Data'!$B$2:$AG$15,2,FALSE))</f>
        <v/>
      </c>
      <c r="G203" s="499" t="str">
        <f>IF(D203="","",VLOOKUP(D203,'G-6 Hedgerow Data'!$B$2:$AG$15,3,FALSE))</f>
        <v/>
      </c>
      <c r="H203" s="145"/>
      <c r="I203" s="499" t="str">
        <f>IFERROR(VLOOKUP(H203,'G-1 All Habitats'!$Z$2:$AA$9,2,FALSE),"")</f>
        <v/>
      </c>
      <c r="J203" s="145"/>
      <c r="K203" s="507" t="str">
        <f>IF(J203="","",IF(VLOOKUP(J203,'G-3 Multipliers'!$L$3:$N$6,2,FALSE)=0,"Spatial Data Missing",VLOOKUP(J203,'G-3 Multipliers'!$L$3:$N$6,2,FALSE)))</f>
        <v/>
      </c>
      <c r="L203" s="505" t="str">
        <f>IF(J203="","",IF(VLOOKUP(J203,'G-3 Multipliers'!$L$3:$N$6,3,FALSE)=0,"Spatial Data Missing ⚠",VLOOKUP(J203,'G-3 Multipliers'!$L$3:$N$6,3,FALSE)))</f>
        <v/>
      </c>
      <c r="M203" s="506" t="str">
        <f>IF(D203="","",VLOOKUP(D203,'G-6 Hedgerow Data'!$B$1:$AH$15,33,FALSE))</f>
        <v/>
      </c>
      <c r="N203" s="513" t="str">
        <f t="shared" ref="N203:N257" si="23">IFERROR(E203*G203*I203*L203,"")</f>
        <v/>
      </c>
      <c r="O203" s="40"/>
      <c r="P203" s="154"/>
      <c r="Q203" s="203"/>
      <c r="R203" s="532" t="str">
        <f t="shared" ref="R203:R257" si="24">IFERROR(P203*G203*I203*L203,"")</f>
        <v/>
      </c>
      <c r="S203" s="532" t="str">
        <f t="shared" ref="S203:S257" si="25">IFERROR(Q203*G203*I203*L203,"")</f>
        <v/>
      </c>
      <c r="T203" s="532" t="str">
        <f t="shared" ref="T203:T256" si="26">IF(D203="","",IF(E203-P203-Q203=0&lt;0,"Error in lengths ▲",IF(P203+Q203&gt;E203,"Error in Lengths ▲",E203-P203-Q203)))</f>
        <v/>
      </c>
      <c r="U203" s="557" t="str">
        <f t="shared" si="20"/>
        <v/>
      </c>
      <c r="V203" s="151"/>
      <c r="W203" s="152"/>
      <c r="AE203" s="156" t="str">
        <f t="shared" si="21"/>
        <v/>
      </c>
      <c r="AF203" s="156" t="str">
        <f t="shared" si="22"/>
        <v/>
      </c>
      <c r="AH203" s="156">
        <v>194</v>
      </c>
      <c r="AJ203" s="156" t="str">
        <f t="array" ref="AJ203">IFERROR(INDEX($AH$10:$AH$258, MATCH(0, IF(TRUE=$AE$10:$AE$258, COUNTIF($AJ$9:$AJ202, $AH$10:$AH$258), ""), 0)),"")</f>
        <v/>
      </c>
      <c r="AK203" s="156" t="str">
        <f t="array" ref="AK203">IFERROR(INDEX($AH$10:$AH$258, MATCH(0, IF(TRUE=$AF$10:$AF$258, COUNTIF($AK$9:$AK202, $AH$10:$AH$258), ""), 0)),"")</f>
        <v/>
      </c>
      <c r="AL203" s="31" t="str">
        <f>IFERROR(INDEX('G-6 Hedgerow Data'!$BJ$3:$BJ$15,MATCH(D203,'G-6 Hedgerow Data'!$B$3:$B$15,0)),"")</f>
        <v/>
      </c>
    </row>
    <row r="204" spans="2:38" ht="14" x14ac:dyDescent="0.3">
      <c r="B204" s="141">
        <v>195</v>
      </c>
      <c r="C204" s="203"/>
      <c r="D204" s="203"/>
      <c r="E204" s="153"/>
      <c r="F204" s="553" t="str">
        <f>IF(D204="","",VLOOKUP(D204,'G-6 Hedgerow Data'!$B$2:$AG$15,2,FALSE))</f>
        <v/>
      </c>
      <c r="G204" s="499" t="str">
        <f>IF(D204="","",VLOOKUP(D204,'G-6 Hedgerow Data'!$B$2:$AG$15,3,FALSE))</f>
        <v/>
      </c>
      <c r="H204" s="145"/>
      <c r="I204" s="499" t="str">
        <f>IFERROR(VLOOKUP(H204,'G-1 All Habitats'!$Z$2:$AA$9,2,FALSE),"")</f>
        <v/>
      </c>
      <c r="J204" s="145"/>
      <c r="K204" s="507" t="str">
        <f>IF(J204="","",IF(VLOOKUP(J204,'G-3 Multipliers'!$L$3:$N$6,2,FALSE)=0,"Spatial Data Missing",VLOOKUP(J204,'G-3 Multipliers'!$L$3:$N$6,2,FALSE)))</f>
        <v/>
      </c>
      <c r="L204" s="505" t="str">
        <f>IF(J204="","",IF(VLOOKUP(J204,'G-3 Multipliers'!$L$3:$N$6,3,FALSE)=0,"Spatial Data Missing ⚠",VLOOKUP(J204,'G-3 Multipliers'!$L$3:$N$6,3,FALSE)))</f>
        <v/>
      </c>
      <c r="M204" s="506" t="str">
        <f>IF(D204="","",VLOOKUP(D204,'G-6 Hedgerow Data'!$B$1:$AH$15,33,FALSE))</f>
        <v/>
      </c>
      <c r="N204" s="513" t="str">
        <f t="shared" si="23"/>
        <v/>
      </c>
      <c r="O204" s="40"/>
      <c r="P204" s="154"/>
      <c r="Q204" s="203"/>
      <c r="R204" s="532" t="str">
        <f t="shared" si="24"/>
        <v/>
      </c>
      <c r="S204" s="532" t="str">
        <f t="shared" si="25"/>
        <v/>
      </c>
      <c r="T204" s="532" t="str">
        <f t="shared" si="26"/>
        <v/>
      </c>
      <c r="U204" s="557" t="str">
        <f t="shared" ref="U204:U256" si="27">IF(OR(E204="",N204=""),"",IF(E204-P204-Q204=0&lt;0,"Error in Lengths ▲",IF(P204+Q204&gt;E204,"Error in Lengths ▲",N204-R204-S204)))</f>
        <v/>
      </c>
      <c r="V204" s="151"/>
      <c r="W204" s="152"/>
      <c r="AE204" s="156" t="str">
        <f t="shared" si="21"/>
        <v/>
      </c>
      <c r="AF204" s="156" t="str">
        <f t="shared" si="22"/>
        <v/>
      </c>
      <c r="AH204" s="156">
        <v>195</v>
      </c>
      <c r="AJ204" s="156" t="str">
        <f t="array" ref="AJ204">IFERROR(INDEX($AH$10:$AH$258, MATCH(0, IF(TRUE=$AE$10:$AE$258, COUNTIF($AJ$9:$AJ203, $AH$10:$AH$258), ""), 0)),"")</f>
        <v/>
      </c>
      <c r="AK204" s="156" t="str">
        <f t="array" ref="AK204">IFERROR(INDEX($AH$10:$AH$258, MATCH(0, IF(TRUE=$AF$10:$AF$258, COUNTIF($AK$9:$AK203, $AH$10:$AH$258), ""), 0)),"")</f>
        <v/>
      </c>
      <c r="AL204" s="31" t="str">
        <f>IFERROR(INDEX('G-6 Hedgerow Data'!$BJ$3:$BJ$15,MATCH(D204,'G-6 Hedgerow Data'!$B$3:$B$15,0)),"")</f>
        <v/>
      </c>
    </row>
    <row r="205" spans="2:38" ht="14" x14ac:dyDescent="0.3">
      <c r="B205" s="141">
        <v>196</v>
      </c>
      <c r="C205" s="203"/>
      <c r="D205" s="203"/>
      <c r="E205" s="153"/>
      <c r="F205" s="553" t="str">
        <f>IF(D205="","",VLOOKUP(D205,'G-6 Hedgerow Data'!$B$2:$AG$15,2,FALSE))</f>
        <v/>
      </c>
      <c r="G205" s="499" t="str">
        <f>IF(D205="","",VLOOKUP(D205,'G-6 Hedgerow Data'!$B$2:$AG$15,3,FALSE))</f>
        <v/>
      </c>
      <c r="H205" s="145"/>
      <c r="I205" s="499" t="str">
        <f>IFERROR(VLOOKUP(H205,'G-1 All Habitats'!$Z$2:$AA$9,2,FALSE),"")</f>
        <v/>
      </c>
      <c r="J205" s="145"/>
      <c r="K205" s="507" t="str">
        <f>IF(J205="","",IF(VLOOKUP(J205,'G-3 Multipliers'!$L$3:$N$6,2,FALSE)=0,"Spatial Data Missing",VLOOKUP(J205,'G-3 Multipliers'!$L$3:$N$6,2,FALSE)))</f>
        <v/>
      </c>
      <c r="L205" s="505" t="str">
        <f>IF(J205="","",IF(VLOOKUP(J205,'G-3 Multipliers'!$L$3:$N$6,3,FALSE)=0,"Spatial Data Missing ⚠",VLOOKUP(J205,'G-3 Multipliers'!$L$3:$N$6,3,FALSE)))</f>
        <v/>
      </c>
      <c r="M205" s="506" t="str">
        <f>IF(D205="","",VLOOKUP(D205,'G-6 Hedgerow Data'!$B$1:$AH$15,33,FALSE))</f>
        <v/>
      </c>
      <c r="N205" s="513" t="str">
        <f t="shared" si="23"/>
        <v/>
      </c>
      <c r="O205" s="40"/>
      <c r="P205" s="154"/>
      <c r="Q205" s="203"/>
      <c r="R205" s="532" t="str">
        <f t="shared" si="24"/>
        <v/>
      </c>
      <c r="S205" s="532" t="str">
        <f t="shared" si="25"/>
        <v/>
      </c>
      <c r="T205" s="532" t="str">
        <f t="shared" si="26"/>
        <v/>
      </c>
      <c r="U205" s="557" t="str">
        <f t="shared" si="27"/>
        <v/>
      </c>
      <c r="V205" s="151"/>
      <c r="W205" s="152"/>
      <c r="AE205" s="156" t="str">
        <f t="shared" si="21"/>
        <v/>
      </c>
      <c r="AF205" s="156" t="str">
        <f t="shared" si="22"/>
        <v/>
      </c>
      <c r="AH205" s="156">
        <v>196</v>
      </c>
      <c r="AJ205" s="156" t="str">
        <f t="array" ref="AJ205">IFERROR(INDEX($AH$10:$AH$258, MATCH(0, IF(TRUE=$AE$10:$AE$258, COUNTIF($AJ$9:$AJ204, $AH$10:$AH$258), ""), 0)),"")</f>
        <v/>
      </c>
      <c r="AK205" s="156" t="str">
        <f t="array" ref="AK205">IFERROR(INDEX($AH$10:$AH$258, MATCH(0, IF(TRUE=$AF$10:$AF$258, COUNTIF($AK$9:$AK204, $AH$10:$AH$258), ""), 0)),"")</f>
        <v/>
      </c>
      <c r="AL205" s="31" t="str">
        <f>IFERROR(INDEX('G-6 Hedgerow Data'!$BJ$3:$BJ$15,MATCH(D205,'G-6 Hedgerow Data'!$B$3:$B$15,0)),"")</f>
        <v/>
      </c>
    </row>
    <row r="206" spans="2:38" ht="14" x14ac:dyDescent="0.3">
      <c r="B206" s="141">
        <v>197</v>
      </c>
      <c r="C206" s="203"/>
      <c r="D206" s="203"/>
      <c r="E206" s="153"/>
      <c r="F206" s="553" t="str">
        <f>IF(D206="","",VLOOKUP(D206,'G-6 Hedgerow Data'!$B$2:$AG$15,2,FALSE))</f>
        <v/>
      </c>
      <c r="G206" s="499" t="str">
        <f>IF(D206="","",VLOOKUP(D206,'G-6 Hedgerow Data'!$B$2:$AG$15,3,FALSE))</f>
        <v/>
      </c>
      <c r="H206" s="145"/>
      <c r="I206" s="499" t="str">
        <f>IFERROR(VLOOKUP(H206,'G-1 All Habitats'!$Z$2:$AA$9,2,FALSE),"")</f>
        <v/>
      </c>
      <c r="J206" s="145"/>
      <c r="K206" s="507" t="str">
        <f>IF(J206="","",IF(VLOOKUP(J206,'G-3 Multipliers'!$L$3:$N$6,2,FALSE)=0,"Spatial Data Missing",VLOOKUP(J206,'G-3 Multipliers'!$L$3:$N$6,2,FALSE)))</f>
        <v/>
      </c>
      <c r="L206" s="505" t="str">
        <f>IF(J206="","",IF(VLOOKUP(J206,'G-3 Multipliers'!$L$3:$N$6,3,FALSE)=0,"Spatial Data Missing ⚠",VLOOKUP(J206,'G-3 Multipliers'!$L$3:$N$6,3,FALSE)))</f>
        <v/>
      </c>
      <c r="M206" s="506" t="str">
        <f>IF(D206="","",VLOOKUP(D206,'G-6 Hedgerow Data'!$B$1:$AH$15,33,FALSE))</f>
        <v/>
      </c>
      <c r="N206" s="513" t="str">
        <f t="shared" si="23"/>
        <v/>
      </c>
      <c r="O206" s="40"/>
      <c r="P206" s="154"/>
      <c r="Q206" s="203"/>
      <c r="R206" s="532" t="str">
        <f t="shared" si="24"/>
        <v/>
      </c>
      <c r="S206" s="532" t="str">
        <f t="shared" si="25"/>
        <v/>
      </c>
      <c r="T206" s="532" t="str">
        <f t="shared" si="26"/>
        <v/>
      </c>
      <c r="U206" s="557" t="str">
        <f t="shared" si="27"/>
        <v/>
      </c>
      <c r="V206" s="151"/>
      <c r="W206" s="152"/>
      <c r="AE206" s="156" t="str">
        <f t="shared" si="21"/>
        <v/>
      </c>
      <c r="AF206" s="156" t="str">
        <f t="shared" si="22"/>
        <v/>
      </c>
      <c r="AH206" s="156">
        <v>197</v>
      </c>
      <c r="AJ206" s="156" t="str">
        <f t="array" ref="AJ206">IFERROR(INDEX($AH$10:$AH$258, MATCH(0, IF(TRUE=$AE$10:$AE$258, COUNTIF($AJ$9:$AJ205, $AH$10:$AH$258), ""), 0)),"")</f>
        <v/>
      </c>
      <c r="AK206" s="156" t="str">
        <f t="array" ref="AK206">IFERROR(INDEX($AH$10:$AH$258, MATCH(0, IF(TRUE=$AF$10:$AF$258, COUNTIF($AK$9:$AK205, $AH$10:$AH$258), ""), 0)),"")</f>
        <v/>
      </c>
      <c r="AL206" s="31" t="str">
        <f>IFERROR(INDEX('G-6 Hedgerow Data'!$BJ$3:$BJ$15,MATCH(D206,'G-6 Hedgerow Data'!$B$3:$B$15,0)),"")</f>
        <v/>
      </c>
    </row>
    <row r="207" spans="2:38" ht="14" x14ac:dyDescent="0.3">
      <c r="B207" s="141">
        <v>198</v>
      </c>
      <c r="C207" s="203"/>
      <c r="D207" s="203"/>
      <c r="E207" s="153"/>
      <c r="F207" s="553" t="str">
        <f>IF(D207="","",VLOOKUP(D207,'G-6 Hedgerow Data'!$B$2:$AG$15,2,FALSE))</f>
        <v/>
      </c>
      <c r="G207" s="499" t="str">
        <f>IF(D207="","",VLOOKUP(D207,'G-6 Hedgerow Data'!$B$2:$AG$15,3,FALSE))</f>
        <v/>
      </c>
      <c r="H207" s="145"/>
      <c r="I207" s="499" t="str">
        <f>IFERROR(VLOOKUP(H207,'G-1 All Habitats'!$Z$2:$AA$9,2,FALSE),"")</f>
        <v/>
      </c>
      <c r="J207" s="145"/>
      <c r="K207" s="507" t="str">
        <f>IF(J207="","",IF(VLOOKUP(J207,'G-3 Multipliers'!$L$3:$N$6,2,FALSE)=0,"Spatial Data Missing",VLOOKUP(J207,'G-3 Multipliers'!$L$3:$N$6,2,FALSE)))</f>
        <v/>
      </c>
      <c r="L207" s="505" t="str">
        <f>IF(J207="","",IF(VLOOKUP(J207,'G-3 Multipliers'!$L$3:$N$6,3,FALSE)=0,"Spatial Data Missing ⚠",VLOOKUP(J207,'G-3 Multipliers'!$L$3:$N$6,3,FALSE)))</f>
        <v/>
      </c>
      <c r="M207" s="506" t="str">
        <f>IF(D207="","",VLOOKUP(D207,'G-6 Hedgerow Data'!$B$1:$AH$15,33,FALSE))</f>
        <v/>
      </c>
      <c r="N207" s="513" t="str">
        <f t="shared" si="23"/>
        <v/>
      </c>
      <c r="O207" s="40"/>
      <c r="P207" s="154"/>
      <c r="Q207" s="203"/>
      <c r="R207" s="532" t="str">
        <f t="shared" si="24"/>
        <v/>
      </c>
      <c r="S207" s="532" t="str">
        <f t="shared" si="25"/>
        <v/>
      </c>
      <c r="T207" s="532" t="str">
        <f t="shared" si="26"/>
        <v/>
      </c>
      <c r="U207" s="557" t="str">
        <f t="shared" si="27"/>
        <v/>
      </c>
      <c r="V207" s="151"/>
      <c r="W207" s="152"/>
      <c r="AE207" s="156" t="str">
        <f t="shared" si="21"/>
        <v/>
      </c>
      <c r="AF207" s="156" t="str">
        <f t="shared" si="22"/>
        <v/>
      </c>
      <c r="AH207" s="156">
        <v>198</v>
      </c>
      <c r="AJ207" s="156" t="str">
        <f t="array" ref="AJ207">IFERROR(INDEX($AH$10:$AH$258, MATCH(0, IF(TRUE=$AE$10:$AE$258, COUNTIF($AJ$9:$AJ206, $AH$10:$AH$258), ""), 0)),"")</f>
        <v/>
      </c>
      <c r="AK207" s="156" t="str">
        <f t="array" ref="AK207">IFERROR(INDEX($AH$10:$AH$258, MATCH(0, IF(TRUE=$AF$10:$AF$258, COUNTIF($AK$9:$AK206, $AH$10:$AH$258), ""), 0)),"")</f>
        <v/>
      </c>
      <c r="AL207" s="31" t="str">
        <f>IFERROR(INDEX('G-6 Hedgerow Data'!$BJ$3:$BJ$15,MATCH(D207,'G-6 Hedgerow Data'!$B$3:$B$15,0)),"")</f>
        <v/>
      </c>
    </row>
    <row r="208" spans="2:38" ht="14" x14ac:dyDescent="0.3">
      <c r="B208" s="141">
        <v>199</v>
      </c>
      <c r="C208" s="203"/>
      <c r="D208" s="203"/>
      <c r="E208" s="153"/>
      <c r="F208" s="553" t="str">
        <f>IF(D208="","",VLOOKUP(D208,'G-6 Hedgerow Data'!$B$2:$AG$15,2,FALSE))</f>
        <v/>
      </c>
      <c r="G208" s="499" t="str">
        <f>IF(D208="","",VLOOKUP(D208,'G-6 Hedgerow Data'!$B$2:$AG$15,3,FALSE))</f>
        <v/>
      </c>
      <c r="H208" s="145"/>
      <c r="I208" s="499" t="str">
        <f>IFERROR(VLOOKUP(H208,'G-1 All Habitats'!$Z$2:$AA$9,2,FALSE),"")</f>
        <v/>
      </c>
      <c r="J208" s="145"/>
      <c r="K208" s="507" t="str">
        <f>IF(J208="","",IF(VLOOKUP(J208,'G-3 Multipliers'!$L$3:$N$6,2,FALSE)=0,"Spatial Data Missing",VLOOKUP(J208,'G-3 Multipliers'!$L$3:$N$6,2,FALSE)))</f>
        <v/>
      </c>
      <c r="L208" s="505" t="str">
        <f>IF(J208="","",IF(VLOOKUP(J208,'G-3 Multipliers'!$L$3:$N$6,3,FALSE)=0,"Spatial Data Missing ⚠",VLOOKUP(J208,'G-3 Multipliers'!$L$3:$N$6,3,FALSE)))</f>
        <v/>
      </c>
      <c r="M208" s="506" t="str">
        <f>IF(D208="","",VLOOKUP(D208,'G-6 Hedgerow Data'!$B$1:$AH$15,33,FALSE))</f>
        <v/>
      </c>
      <c r="N208" s="513" t="str">
        <f t="shared" si="23"/>
        <v/>
      </c>
      <c r="O208" s="40"/>
      <c r="P208" s="154"/>
      <c r="Q208" s="203"/>
      <c r="R208" s="532" t="str">
        <f t="shared" si="24"/>
        <v/>
      </c>
      <c r="S208" s="532" t="str">
        <f t="shared" si="25"/>
        <v/>
      </c>
      <c r="T208" s="532" t="str">
        <f t="shared" si="26"/>
        <v/>
      </c>
      <c r="U208" s="557" t="str">
        <f t="shared" si="27"/>
        <v/>
      </c>
      <c r="V208" s="151"/>
      <c r="W208" s="152"/>
      <c r="AE208" s="156" t="str">
        <f t="shared" si="21"/>
        <v/>
      </c>
      <c r="AF208" s="156" t="str">
        <f t="shared" si="22"/>
        <v/>
      </c>
      <c r="AH208" s="156">
        <v>199</v>
      </c>
      <c r="AJ208" s="156" t="str">
        <f t="array" ref="AJ208">IFERROR(INDEX($AH$10:$AH$258, MATCH(0, IF(TRUE=$AE$10:$AE$258, COUNTIF($AJ$9:$AJ207, $AH$10:$AH$258), ""), 0)),"")</f>
        <v/>
      </c>
      <c r="AK208" s="156" t="str">
        <f t="array" ref="AK208">IFERROR(INDEX($AH$10:$AH$258, MATCH(0, IF(TRUE=$AF$10:$AF$258, COUNTIF($AK$9:$AK207, $AH$10:$AH$258), ""), 0)),"")</f>
        <v/>
      </c>
      <c r="AL208" s="31" t="str">
        <f>IFERROR(INDEX('G-6 Hedgerow Data'!$BJ$3:$BJ$15,MATCH(D208,'G-6 Hedgerow Data'!$B$3:$B$15,0)),"")</f>
        <v/>
      </c>
    </row>
    <row r="209" spans="2:38" ht="14" x14ac:dyDescent="0.3">
      <c r="B209" s="141">
        <v>200</v>
      </c>
      <c r="C209" s="203"/>
      <c r="D209" s="203"/>
      <c r="E209" s="153"/>
      <c r="F209" s="553" t="str">
        <f>IF(D209="","",VLOOKUP(D209,'G-6 Hedgerow Data'!$B$2:$AG$15,2,FALSE))</f>
        <v/>
      </c>
      <c r="G209" s="499" t="str">
        <f>IF(D209="","",VLOOKUP(D209,'G-6 Hedgerow Data'!$B$2:$AG$15,3,FALSE))</f>
        <v/>
      </c>
      <c r="H209" s="145"/>
      <c r="I209" s="499" t="str">
        <f>IFERROR(VLOOKUP(H209,'G-1 All Habitats'!$Z$2:$AA$9,2,FALSE),"")</f>
        <v/>
      </c>
      <c r="J209" s="145"/>
      <c r="K209" s="507" t="str">
        <f>IF(J209="","",IF(VLOOKUP(J209,'G-3 Multipliers'!$L$3:$N$6,2,FALSE)=0,"Spatial Data Missing",VLOOKUP(J209,'G-3 Multipliers'!$L$3:$N$6,2,FALSE)))</f>
        <v/>
      </c>
      <c r="L209" s="505" t="str">
        <f>IF(J209="","",IF(VLOOKUP(J209,'G-3 Multipliers'!$L$3:$N$6,3,FALSE)=0,"Spatial Data Missing ⚠",VLOOKUP(J209,'G-3 Multipliers'!$L$3:$N$6,3,FALSE)))</f>
        <v/>
      </c>
      <c r="M209" s="506" t="str">
        <f>IF(D209="","",VLOOKUP(D209,'G-6 Hedgerow Data'!$B$1:$AH$15,33,FALSE))</f>
        <v/>
      </c>
      <c r="N209" s="513" t="str">
        <f t="shared" si="23"/>
        <v/>
      </c>
      <c r="O209" s="40"/>
      <c r="P209" s="154"/>
      <c r="Q209" s="203"/>
      <c r="R209" s="532" t="str">
        <f t="shared" si="24"/>
        <v/>
      </c>
      <c r="S209" s="532" t="str">
        <f t="shared" si="25"/>
        <v/>
      </c>
      <c r="T209" s="532" t="str">
        <f t="shared" si="26"/>
        <v/>
      </c>
      <c r="U209" s="557" t="str">
        <f t="shared" si="27"/>
        <v/>
      </c>
      <c r="V209" s="151"/>
      <c r="W209" s="152"/>
      <c r="AE209" s="156" t="str">
        <f t="shared" si="21"/>
        <v/>
      </c>
      <c r="AF209" s="156" t="str">
        <f t="shared" si="22"/>
        <v/>
      </c>
      <c r="AH209" s="156">
        <v>200</v>
      </c>
      <c r="AJ209" s="156" t="str">
        <f t="array" ref="AJ209">IFERROR(INDEX($AH$10:$AH$258, MATCH(0, IF(TRUE=$AE$10:$AE$258, COUNTIF($AJ$9:$AJ208, $AH$10:$AH$258), ""), 0)),"")</f>
        <v/>
      </c>
      <c r="AK209" s="156" t="str">
        <f t="array" ref="AK209">IFERROR(INDEX($AH$10:$AH$258, MATCH(0, IF(TRUE=$AF$10:$AF$258, COUNTIF($AK$9:$AK208, $AH$10:$AH$258), ""), 0)),"")</f>
        <v/>
      </c>
      <c r="AL209" s="31" t="str">
        <f>IFERROR(INDEX('G-6 Hedgerow Data'!$BJ$3:$BJ$15,MATCH(D209,'G-6 Hedgerow Data'!$B$3:$B$15,0)),"")</f>
        <v/>
      </c>
    </row>
    <row r="210" spans="2:38" ht="14" x14ac:dyDescent="0.3">
      <c r="B210" s="141">
        <v>201</v>
      </c>
      <c r="C210" s="203"/>
      <c r="D210" s="203"/>
      <c r="E210" s="153"/>
      <c r="F210" s="553" t="str">
        <f>IF(D210="","",VLOOKUP(D210,'G-6 Hedgerow Data'!$B$2:$AG$15,2,FALSE))</f>
        <v/>
      </c>
      <c r="G210" s="499" t="str">
        <f>IF(D210="","",VLOOKUP(D210,'G-6 Hedgerow Data'!$B$2:$AG$15,3,FALSE))</f>
        <v/>
      </c>
      <c r="H210" s="145"/>
      <c r="I210" s="499" t="str">
        <f>IFERROR(VLOOKUP(H210,'G-1 All Habitats'!$Z$2:$AA$9,2,FALSE),"")</f>
        <v/>
      </c>
      <c r="J210" s="145"/>
      <c r="K210" s="507" t="str">
        <f>IF(J210="","",IF(VLOOKUP(J210,'G-3 Multipliers'!$L$3:$N$6,2,FALSE)=0,"Spatial Data Missing",VLOOKUP(J210,'G-3 Multipliers'!$L$3:$N$6,2,FALSE)))</f>
        <v/>
      </c>
      <c r="L210" s="505" t="str">
        <f>IF(J210="","",IF(VLOOKUP(J210,'G-3 Multipliers'!$L$3:$N$6,3,FALSE)=0,"Spatial Data Missing ⚠",VLOOKUP(J210,'G-3 Multipliers'!$L$3:$N$6,3,FALSE)))</f>
        <v/>
      </c>
      <c r="M210" s="506" t="str">
        <f>IF(D210="","",VLOOKUP(D210,'G-6 Hedgerow Data'!$B$1:$AH$15,33,FALSE))</f>
        <v/>
      </c>
      <c r="N210" s="513" t="str">
        <f t="shared" si="23"/>
        <v/>
      </c>
      <c r="O210" s="40"/>
      <c r="P210" s="154"/>
      <c r="Q210" s="203"/>
      <c r="R210" s="532" t="str">
        <f t="shared" si="24"/>
        <v/>
      </c>
      <c r="S210" s="532" t="str">
        <f t="shared" si="25"/>
        <v/>
      </c>
      <c r="T210" s="532" t="str">
        <f t="shared" si="26"/>
        <v/>
      </c>
      <c r="U210" s="557" t="str">
        <f t="shared" si="27"/>
        <v/>
      </c>
      <c r="V210" s="151"/>
      <c r="W210" s="152"/>
      <c r="AE210" s="156" t="str">
        <f t="shared" si="21"/>
        <v/>
      </c>
      <c r="AF210" s="156" t="str">
        <f t="shared" si="22"/>
        <v/>
      </c>
      <c r="AH210" s="156">
        <v>201</v>
      </c>
      <c r="AJ210" s="156" t="str">
        <f t="array" ref="AJ210">IFERROR(INDEX($AH$10:$AH$258, MATCH(0, IF(TRUE=$AE$10:$AE$258, COUNTIF($AJ$9:$AJ209, $AH$10:$AH$258), ""), 0)),"")</f>
        <v/>
      </c>
      <c r="AK210" s="156" t="str">
        <f t="array" ref="AK210">IFERROR(INDEX($AH$10:$AH$258, MATCH(0, IF(TRUE=$AF$10:$AF$258, COUNTIF($AK$9:$AK209, $AH$10:$AH$258), ""), 0)),"")</f>
        <v/>
      </c>
      <c r="AL210" s="31" t="str">
        <f>IFERROR(INDEX('G-6 Hedgerow Data'!$BJ$3:$BJ$15,MATCH(D210,'G-6 Hedgerow Data'!$B$3:$B$15,0)),"")</f>
        <v/>
      </c>
    </row>
    <row r="211" spans="2:38" ht="14" x14ac:dyDescent="0.3">
      <c r="B211" s="141">
        <v>202</v>
      </c>
      <c r="C211" s="203"/>
      <c r="D211" s="203"/>
      <c r="E211" s="153"/>
      <c r="F211" s="553" t="str">
        <f>IF(D211="","",VLOOKUP(D211,'G-6 Hedgerow Data'!$B$2:$AG$15,2,FALSE))</f>
        <v/>
      </c>
      <c r="G211" s="499" t="str">
        <f>IF(D211="","",VLOOKUP(D211,'G-6 Hedgerow Data'!$B$2:$AG$15,3,FALSE))</f>
        <v/>
      </c>
      <c r="H211" s="145"/>
      <c r="I211" s="499" t="str">
        <f>IFERROR(VLOOKUP(H211,'G-1 All Habitats'!$Z$2:$AA$9,2,FALSE),"")</f>
        <v/>
      </c>
      <c r="J211" s="145"/>
      <c r="K211" s="507" t="str">
        <f>IF(J211="","",IF(VLOOKUP(J211,'G-3 Multipliers'!$L$3:$N$6,2,FALSE)=0,"Spatial Data Missing ⚠",VLOOKUP(J211,'G-3 Multipliers'!$L$3:$N$6,2,FALSE)))</f>
        <v/>
      </c>
      <c r="L211" s="505" t="str">
        <f>IF(J211="","",IF(VLOOKUP(J211,'G-3 Multipliers'!$L$3:$N$6,3,FALSE)=0,"Spatial Data Missing ⚠",VLOOKUP(J211,'G-3 Multipliers'!$L$3:$N$6,3,FALSE)))</f>
        <v/>
      </c>
      <c r="M211" s="506" t="str">
        <f>IF(D211="","",VLOOKUP(D211,'G-6 Hedgerow Data'!$B$1:$AH$15,33,FALSE))</f>
        <v/>
      </c>
      <c r="N211" s="513" t="str">
        <f t="shared" si="23"/>
        <v/>
      </c>
      <c r="O211" s="40"/>
      <c r="P211" s="154"/>
      <c r="Q211" s="203"/>
      <c r="R211" s="532" t="str">
        <f t="shared" si="24"/>
        <v/>
      </c>
      <c r="S211" s="532" t="str">
        <f t="shared" si="25"/>
        <v/>
      </c>
      <c r="T211" s="532" t="str">
        <f t="shared" si="26"/>
        <v/>
      </c>
      <c r="U211" s="557" t="str">
        <f t="shared" si="27"/>
        <v/>
      </c>
      <c r="V211" s="151"/>
      <c r="W211" s="152"/>
      <c r="AE211" s="156" t="str">
        <f t="shared" si="21"/>
        <v/>
      </c>
      <c r="AF211" s="156" t="str">
        <f t="shared" si="22"/>
        <v/>
      </c>
      <c r="AH211" s="156">
        <v>202</v>
      </c>
      <c r="AJ211" s="156" t="str">
        <f t="array" ref="AJ211">IFERROR(INDEX($AH$10:$AH$258, MATCH(0, IF(TRUE=$AE$10:$AE$258, COUNTIF($AJ$9:$AJ210, $AH$10:$AH$258), ""), 0)),"")</f>
        <v/>
      </c>
      <c r="AK211" s="156" t="str">
        <f t="array" ref="AK211">IFERROR(INDEX($AH$10:$AH$258, MATCH(0, IF(TRUE=$AF$10:$AF$258, COUNTIF($AK$9:$AK210, $AH$10:$AH$258), ""), 0)),"")</f>
        <v/>
      </c>
      <c r="AL211" s="31" t="str">
        <f>IFERROR(INDEX('G-6 Hedgerow Data'!$BJ$3:$BJ$15,MATCH(D211,'G-6 Hedgerow Data'!$B$3:$B$15,0)),"")</f>
        <v/>
      </c>
    </row>
    <row r="212" spans="2:38" ht="14" x14ac:dyDescent="0.3">
      <c r="B212" s="141">
        <v>203</v>
      </c>
      <c r="C212" s="203"/>
      <c r="D212" s="203"/>
      <c r="E212" s="153"/>
      <c r="F212" s="553" t="str">
        <f>IF(D212="","",VLOOKUP(D212,'G-6 Hedgerow Data'!$B$2:$AG$15,2,FALSE))</f>
        <v/>
      </c>
      <c r="G212" s="499" t="str">
        <f>IF(D212="","",VLOOKUP(D212,'G-6 Hedgerow Data'!$B$2:$AG$15,3,FALSE))</f>
        <v/>
      </c>
      <c r="H212" s="145"/>
      <c r="I212" s="499" t="str">
        <f>IFERROR(VLOOKUP(H212,'G-1 All Habitats'!$Z$2:$AA$9,2,FALSE),"")</f>
        <v/>
      </c>
      <c r="J212" s="145"/>
      <c r="K212" s="507" t="str">
        <f>IF(J212="","",IF(VLOOKUP(J212,'G-3 Multipliers'!$L$3:$N$6,2,FALSE)=0,"Spatial Data Missing ⚠",VLOOKUP(J212,'G-3 Multipliers'!$L$3:$N$6,2,FALSE)))</f>
        <v/>
      </c>
      <c r="L212" s="505" t="str">
        <f>IF(J212="","",IF(VLOOKUP(J212,'G-3 Multipliers'!$L$3:$N$6,3,FALSE)=0,"Spatial Data Missing ⚠",VLOOKUP(J212,'G-3 Multipliers'!$L$3:$N$6,3,FALSE)))</f>
        <v/>
      </c>
      <c r="M212" s="506" t="str">
        <f>IF(D212="","",VLOOKUP(D212,'G-6 Hedgerow Data'!$B$1:$AH$15,33,FALSE))</f>
        <v/>
      </c>
      <c r="N212" s="513" t="str">
        <f t="shared" si="23"/>
        <v/>
      </c>
      <c r="O212" s="40"/>
      <c r="P212" s="154"/>
      <c r="Q212" s="203"/>
      <c r="R212" s="532" t="str">
        <f t="shared" si="24"/>
        <v/>
      </c>
      <c r="S212" s="532" t="str">
        <f t="shared" si="25"/>
        <v/>
      </c>
      <c r="T212" s="532" t="str">
        <f t="shared" si="26"/>
        <v/>
      </c>
      <c r="U212" s="557" t="str">
        <f t="shared" si="27"/>
        <v/>
      </c>
      <c r="V212" s="151"/>
      <c r="W212" s="152"/>
      <c r="AE212" s="156" t="str">
        <f t="shared" si="21"/>
        <v/>
      </c>
      <c r="AF212" s="156" t="str">
        <f t="shared" si="22"/>
        <v/>
      </c>
      <c r="AH212" s="156">
        <v>203</v>
      </c>
      <c r="AJ212" s="156" t="str">
        <f t="array" ref="AJ212">IFERROR(INDEX($AH$10:$AH$258, MATCH(0, IF(TRUE=$AE$10:$AE$258, COUNTIF($AJ$9:$AJ211, $AH$10:$AH$258), ""), 0)),"")</f>
        <v/>
      </c>
      <c r="AK212" s="156" t="str">
        <f t="array" ref="AK212">IFERROR(INDEX($AH$10:$AH$258, MATCH(0, IF(TRUE=$AF$10:$AF$258, COUNTIF($AK$9:$AK211, $AH$10:$AH$258), ""), 0)),"")</f>
        <v/>
      </c>
      <c r="AL212" s="31" t="str">
        <f>IFERROR(INDEX('G-6 Hedgerow Data'!$BJ$3:$BJ$15,MATCH(D212,'G-6 Hedgerow Data'!$B$3:$B$15,0)),"")</f>
        <v/>
      </c>
    </row>
    <row r="213" spans="2:38" ht="14" x14ac:dyDescent="0.3">
      <c r="B213" s="141">
        <v>204</v>
      </c>
      <c r="C213" s="203"/>
      <c r="D213" s="203"/>
      <c r="E213" s="153"/>
      <c r="F213" s="553" t="str">
        <f>IF(D213="","",VLOOKUP(D213,'G-6 Hedgerow Data'!$B$2:$AG$15,2,FALSE))</f>
        <v/>
      </c>
      <c r="G213" s="499" t="str">
        <f>IF(D213="","",VLOOKUP(D213,'G-6 Hedgerow Data'!$B$2:$AG$15,3,FALSE))</f>
        <v/>
      </c>
      <c r="H213" s="145"/>
      <c r="I213" s="499" t="str">
        <f>IFERROR(VLOOKUP(H213,'G-1 All Habitats'!$Z$2:$AA$9,2,FALSE),"")</f>
        <v/>
      </c>
      <c r="J213" s="145"/>
      <c r="K213" s="507" t="str">
        <f>IF(J213="","",IF(VLOOKUP(J213,'G-3 Multipliers'!$L$3:$N$6,2,FALSE)=0,"Spatial Data Missing ⚠",VLOOKUP(J213,'G-3 Multipliers'!$L$3:$N$6,2,FALSE)))</f>
        <v/>
      </c>
      <c r="L213" s="505" t="str">
        <f>IF(J213="","",IF(VLOOKUP(J213,'G-3 Multipliers'!$L$3:$N$6,3,FALSE)=0,"Spatial Data Missing ⚠",VLOOKUP(J213,'G-3 Multipliers'!$L$3:$N$6,3,FALSE)))</f>
        <v/>
      </c>
      <c r="M213" s="506" t="str">
        <f>IF(D213="","",VLOOKUP(D213,'G-6 Hedgerow Data'!$B$1:$AH$15,33,FALSE))</f>
        <v/>
      </c>
      <c r="N213" s="513" t="str">
        <f t="shared" si="23"/>
        <v/>
      </c>
      <c r="O213" s="40"/>
      <c r="P213" s="154"/>
      <c r="Q213" s="203"/>
      <c r="R213" s="532" t="str">
        <f t="shared" si="24"/>
        <v/>
      </c>
      <c r="S213" s="532" t="str">
        <f t="shared" si="25"/>
        <v/>
      </c>
      <c r="T213" s="532" t="str">
        <f t="shared" si="26"/>
        <v/>
      </c>
      <c r="U213" s="557" t="str">
        <f t="shared" si="27"/>
        <v/>
      </c>
      <c r="V213" s="151"/>
      <c r="W213" s="152"/>
      <c r="AE213" s="156" t="str">
        <f t="shared" si="21"/>
        <v/>
      </c>
      <c r="AF213" s="156" t="str">
        <f t="shared" si="22"/>
        <v/>
      </c>
      <c r="AH213" s="156">
        <v>204</v>
      </c>
      <c r="AJ213" s="156" t="str">
        <f t="array" ref="AJ213">IFERROR(INDEX($AH$10:$AH$258, MATCH(0, IF(TRUE=$AE$10:$AE$258, COUNTIF($AJ$9:$AJ212, $AH$10:$AH$258), ""), 0)),"")</f>
        <v/>
      </c>
      <c r="AK213" s="156" t="str">
        <f t="array" ref="AK213">IFERROR(INDEX($AH$10:$AH$258, MATCH(0, IF(TRUE=$AF$10:$AF$258, COUNTIF($AK$9:$AK212, $AH$10:$AH$258), ""), 0)),"")</f>
        <v/>
      </c>
      <c r="AL213" s="31" t="str">
        <f>IFERROR(INDEX('G-6 Hedgerow Data'!$BJ$3:$BJ$15,MATCH(D213,'G-6 Hedgerow Data'!$B$3:$B$15,0)),"")</f>
        <v/>
      </c>
    </row>
    <row r="214" spans="2:38" ht="14" x14ac:dyDescent="0.3">
      <c r="B214" s="141">
        <v>205</v>
      </c>
      <c r="C214" s="203"/>
      <c r="D214" s="203"/>
      <c r="E214" s="153"/>
      <c r="F214" s="553" t="str">
        <f>IF(D214="","",VLOOKUP(D214,'G-6 Hedgerow Data'!$B$2:$AG$15,2,FALSE))</f>
        <v/>
      </c>
      <c r="G214" s="499" t="str">
        <f>IF(D214="","",VLOOKUP(D214,'G-6 Hedgerow Data'!$B$2:$AG$15,3,FALSE))</f>
        <v/>
      </c>
      <c r="H214" s="145"/>
      <c r="I214" s="499" t="str">
        <f>IFERROR(VLOOKUP(H214,'G-1 All Habitats'!$Z$2:$AA$9,2,FALSE),"")</f>
        <v/>
      </c>
      <c r="J214" s="145"/>
      <c r="K214" s="507" t="str">
        <f>IF(J214="","",IF(VLOOKUP(J214,'G-3 Multipliers'!$L$3:$N$6,2,FALSE)=0,"Spatial Data Missing ⚠",VLOOKUP(J214,'G-3 Multipliers'!$L$3:$N$6,2,FALSE)))</f>
        <v/>
      </c>
      <c r="L214" s="505" t="str">
        <f>IF(J214="","",IF(VLOOKUP(J214,'G-3 Multipliers'!$L$3:$N$6,3,FALSE)=0,"Spatial Data Missing ⚠",VLOOKUP(J214,'G-3 Multipliers'!$L$3:$N$6,3,FALSE)))</f>
        <v/>
      </c>
      <c r="M214" s="506" t="str">
        <f>IF(D214="","",VLOOKUP(D214,'G-6 Hedgerow Data'!$B$1:$AH$15,33,FALSE))</f>
        <v/>
      </c>
      <c r="N214" s="513" t="str">
        <f t="shared" si="23"/>
        <v/>
      </c>
      <c r="O214" s="40"/>
      <c r="P214" s="154"/>
      <c r="Q214" s="203"/>
      <c r="R214" s="532" t="str">
        <f t="shared" si="24"/>
        <v/>
      </c>
      <c r="S214" s="532" t="str">
        <f t="shared" si="25"/>
        <v/>
      </c>
      <c r="T214" s="532" t="str">
        <f t="shared" si="26"/>
        <v/>
      </c>
      <c r="U214" s="557" t="str">
        <f t="shared" si="27"/>
        <v/>
      </c>
      <c r="V214" s="151"/>
      <c r="W214" s="152"/>
      <c r="AE214" s="156" t="str">
        <f t="shared" si="21"/>
        <v/>
      </c>
      <c r="AF214" s="156" t="str">
        <f t="shared" si="22"/>
        <v/>
      </c>
      <c r="AH214" s="156">
        <v>205</v>
      </c>
      <c r="AJ214" s="156" t="str">
        <f t="array" ref="AJ214">IFERROR(INDEX($AH$10:$AH$258, MATCH(0, IF(TRUE=$AE$10:$AE$258, COUNTIF($AJ$9:$AJ213, $AH$10:$AH$258), ""), 0)),"")</f>
        <v/>
      </c>
      <c r="AK214" s="156" t="str">
        <f t="array" ref="AK214">IFERROR(INDEX($AH$10:$AH$258, MATCH(0, IF(TRUE=$AF$10:$AF$258, COUNTIF($AK$9:$AK213, $AH$10:$AH$258), ""), 0)),"")</f>
        <v/>
      </c>
      <c r="AL214" s="31" t="str">
        <f>IFERROR(INDEX('G-6 Hedgerow Data'!$BJ$3:$BJ$15,MATCH(D214,'G-6 Hedgerow Data'!$B$3:$B$15,0)),"")</f>
        <v/>
      </c>
    </row>
    <row r="215" spans="2:38" ht="14" x14ac:dyDescent="0.3">
      <c r="B215" s="141">
        <v>206</v>
      </c>
      <c r="C215" s="203"/>
      <c r="D215" s="203"/>
      <c r="E215" s="153"/>
      <c r="F215" s="553" t="str">
        <f>IF(D215="","",VLOOKUP(D215,'G-6 Hedgerow Data'!$B$2:$AG$15,2,FALSE))</f>
        <v/>
      </c>
      <c r="G215" s="499" t="str">
        <f>IF(D215="","",VLOOKUP(D215,'G-6 Hedgerow Data'!$B$2:$AG$15,3,FALSE))</f>
        <v/>
      </c>
      <c r="H215" s="145"/>
      <c r="I215" s="499" t="str">
        <f>IFERROR(VLOOKUP(H215,'G-1 All Habitats'!$Z$2:$AA$9,2,FALSE),"")</f>
        <v/>
      </c>
      <c r="J215" s="145"/>
      <c r="K215" s="507" t="str">
        <f>IF(J215="","",IF(VLOOKUP(J215,'G-3 Multipliers'!$L$3:$N$6,2,FALSE)=0,"Spatial Data Missing ⚠",VLOOKUP(J215,'G-3 Multipliers'!$L$3:$N$6,2,FALSE)))</f>
        <v/>
      </c>
      <c r="L215" s="505" t="str">
        <f>IF(J215="","",IF(VLOOKUP(J215,'G-3 Multipliers'!$L$3:$N$6,3,FALSE)=0,"Spatial Data Missing ⚠",VLOOKUP(J215,'G-3 Multipliers'!$L$3:$N$6,3,FALSE)))</f>
        <v/>
      </c>
      <c r="M215" s="506" t="str">
        <f>IF(D215="","",VLOOKUP(D215,'G-6 Hedgerow Data'!$B$1:$AH$15,33,FALSE))</f>
        <v/>
      </c>
      <c r="N215" s="513" t="str">
        <f t="shared" si="23"/>
        <v/>
      </c>
      <c r="O215" s="40"/>
      <c r="P215" s="154"/>
      <c r="Q215" s="203"/>
      <c r="R215" s="532" t="str">
        <f t="shared" si="24"/>
        <v/>
      </c>
      <c r="S215" s="532" t="str">
        <f t="shared" si="25"/>
        <v/>
      </c>
      <c r="T215" s="532" t="str">
        <f t="shared" si="26"/>
        <v/>
      </c>
      <c r="U215" s="557" t="str">
        <f t="shared" si="27"/>
        <v/>
      </c>
      <c r="V215" s="151"/>
      <c r="W215" s="152"/>
      <c r="AE215" s="156" t="str">
        <f t="shared" si="21"/>
        <v/>
      </c>
      <c r="AF215" s="156" t="str">
        <f t="shared" si="22"/>
        <v/>
      </c>
      <c r="AH215" s="156">
        <v>206</v>
      </c>
      <c r="AJ215" s="156" t="str">
        <f t="array" ref="AJ215">IFERROR(INDEX($AH$10:$AH$258, MATCH(0, IF(TRUE=$AE$10:$AE$258, COUNTIF($AJ$9:$AJ214, $AH$10:$AH$258), ""), 0)),"")</f>
        <v/>
      </c>
      <c r="AK215" s="156" t="str">
        <f t="array" ref="AK215">IFERROR(INDEX($AH$10:$AH$258, MATCH(0, IF(TRUE=$AF$10:$AF$258, COUNTIF($AK$9:$AK214, $AH$10:$AH$258), ""), 0)),"")</f>
        <v/>
      </c>
      <c r="AL215" s="31" t="str">
        <f>IFERROR(INDEX('G-6 Hedgerow Data'!$BJ$3:$BJ$15,MATCH(D215,'G-6 Hedgerow Data'!$B$3:$B$15,0)),"")</f>
        <v/>
      </c>
    </row>
    <row r="216" spans="2:38" ht="14" x14ac:dyDescent="0.3">
      <c r="B216" s="141">
        <v>207</v>
      </c>
      <c r="C216" s="203"/>
      <c r="D216" s="203"/>
      <c r="E216" s="153"/>
      <c r="F216" s="553" t="str">
        <f>IF(D216="","",VLOOKUP(D216,'G-6 Hedgerow Data'!$B$2:$AG$15,2,FALSE))</f>
        <v/>
      </c>
      <c r="G216" s="499" t="str">
        <f>IF(D216="","",VLOOKUP(D216,'G-6 Hedgerow Data'!$B$2:$AG$15,3,FALSE))</f>
        <v/>
      </c>
      <c r="H216" s="145"/>
      <c r="I216" s="499" t="str">
        <f>IFERROR(VLOOKUP(H216,'G-1 All Habitats'!$Z$2:$AA$9,2,FALSE),"")</f>
        <v/>
      </c>
      <c r="J216" s="145"/>
      <c r="K216" s="507" t="str">
        <f>IF(J216="","",IF(VLOOKUP(J216,'G-3 Multipliers'!$L$3:$N$6,2,FALSE)=0,"Spatial Data Missing ⚠",VLOOKUP(J216,'G-3 Multipliers'!$L$3:$N$6,2,FALSE)))</f>
        <v/>
      </c>
      <c r="L216" s="505" t="str">
        <f>IF(J216="","",IF(VLOOKUP(J216,'G-3 Multipliers'!$L$3:$N$6,3,FALSE)=0,"Spatial Data Missing ⚠",VLOOKUP(J216,'G-3 Multipliers'!$L$3:$N$6,3,FALSE)))</f>
        <v/>
      </c>
      <c r="M216" s="506" t="str">
        <f>IF(D216="","",VLOOKUP(D216,'G-6 Hedgerow Data'!$B$1:$AH$15,33,FALSE))</f>
        <v/>
      </c>
      <c r="N216" s="513" t="str">
        <f t="shared" si="23"/>
        <v/>
      </c>
      <c r="O216" s="40"/>
      <c r="P216" s="154"/>
      <c r="Q216" s="203"/>
      <c r="R216" s="532" t="str">
        <f t="shared" si="24"/>
        <v/>
      </c>
      <c r="S216" s="532" t="str">
        <f t="shared" si="25"/>
        <v/>
      </c>
      <c r="T216" s="532" t="str">
        <f t="shared" si="26"/>
        <v/>
      </c>
      <c r="U216" s="557" t="str">
        <f t="shared" si="27"/>
        <v/>
      </c>
      <c r="V216" s="151"/>
      <c r="W216" s="152"/>
      <c r="AE216" s="156" t="str">
        <f t="shared" si="21"/>
        <v/>
      </c>
      <c r="AF216" s="156" t="str">
        <f t="shared" si="22"/>
        <v/>
      </c>
      <c r="AH216" s="156">
        <v>207</v>
      </c>
      <c r="AJ216" s="156" t="str">
        <f t="array" ref="AJ216">IFERROR(INDEX($AH$10:$AH$258, MATCH(0, IF(TRUE=$AE$10:$AE$258, COUNTIF($AJ$9:$AJ215, $AH$10:$AH$258), ""), 0)),"")</f>
        <v/>
      </c>
      <c r="AK216" s="156" t="str">
        <f t="array" ref="AK216">IFERROR(INDEX($AH$10:$AH$258, MATCH(0, IF(TRUE=$AF$10:$AF$258, COUNTIF($AK$9:$AK215, $AH$10:$AH$258), ""), 0)),"")</f>
        <v/>
      </c>
      <c r="AL216" s="31" t="str">
        <f>IFERROR(INDEX('G-6 Hedgerow Data'!$BJ$3:$BJ$15,MATCH(D216,'G-6 Hedgerow Data'!$B$3:$B$15,0)),"")</f>
        <v/>
      </c>
    </row>
    <row r="217" spans="2:38" ht="14" x14ac:dyDescent="0.3">
      <c r="B217" s="141">
        <v>208</v>
      </c>
      <c r="C217" s="203"/>
      <c r="D217" s="203"/>
      <c r="E217" s="153"/>
      <c r="F217" s="553" t="str">
        <f>IF(D217="","",VLOOKUP(D217,'G-6 Hedgerow Data'!$B$2:$AG$15,2,FALSE))</f>
        <v/>
      </c>
      <c r="G217" s="499" t="str">
        <f>IF(D217="","",VLOOKUP(D217,'G-6 Hedgerow Data'!$B$2:$AG$15,3,FALSE))</f>
        <v/>
      </c>
      <c r="H217" s="145"/>
      <c r="I217" s="499" t="str">
        <f>IFERROR(VLOOKUP(H217,'G-1 All Habitats'!$Z$2:$AA$9,2,FALSE),"")</f>
        <v/>
      </c>
      <c r="J217" s="145"/>
      <c r="K217" s="507" t="str">
        <f>IF(J217="","",IF(VLOOKUP(J217,'G-3 Multipliers'!$L$3:$N$6,2,FALSE)=0,"Spatial Data Missing ⚠",VLOOKUP(J217,'G-3 Multipliers'!$L$3:$N$6,2,FALSE)))</f>
        <v/>
      </c>
      <c r="L217" s="505" t="str">
        <f>IF(J217="","",IF(VLOOKUP(J217,'G-3 Multipliers'!$L$3:$N$6,3,FALSE)=0,"Spatial Data Missing ⚠",VLOOKUP(J217,'G-3 Multipliers'!$L$3:$N$6,3,FALSE)))</f>
        <v/>
      </c>
      <c r="M217" s="506" t="str">
        <f>IF(D217="","",VLOOKUP(D217,'G-6 Hedgerow Data'!$B$1:$AH$15,33,FALSE))</f>
        <v/>
      </c>
      <c r="N217" s="513" t="str">
        <f t="shared" si="23"/>
        <v/>
      </c>
      <c r="O217" s="40"/>
      <c r="P217" s="154"/>
      <c r="Q217" s="203"/>
      <c r="R217" s="532" t="str">
        <f t="shared" si="24"/>
        <v/>
      </c>
      <c r="S217" s="532" t="str">
        <f t="shared" si="25"/>
        <v/>
      </c>
      <c r="T217" s="532" t="str">
        <f t="shared" si="26"/>
        <v/>
      </c>
      <c r="U217" s="557" t="str">
        <f t="shared" si="27"/>
        <v/>
      </c>
      <c r="V217" s="151"/>
      <c r="W217" s="152"/>
      <c r="AE217" s="156" t="str">
        <f t="shared" si="21"/>
        <v/>
      </c>
      <c r="AF217" s="156" t="str">
        <f t="shared" si="22"/>
        <v/>
      </c>
      <c r="AH217" s="156">
        <v>208</v>
      </c>
      <c r="AJ217" s="156" t="str">
        <f t="array" ref="AJ217">IFERROR(INDEX($AH$10:$AH$258, MATCH(0, IF(TRUE=$AE$10:$AE$258, COUNTIF($AJ$9:$AJ216, $AH$10:$AH$258), ""), 0)),"")</f>
        <v/>
      </c>
      <c r="AK217" s="156" t="str">
        <f t="array" ref="AK217">IFERROR(INDEX($AH$10:$AH$258, MATCH(0, IF(TRUE=$AF$10:$AF$258, COUNTIF($AK$9:$AK216, $AH$10:$AH$258), ""), 0)),"")</f>
        <v/>
      </c>
      <c r="AL217" s="31" t="str">
        <f>IFERROR(INDEX('G-6 Hedgerow Data'!$BJ$3:$BJ$15,MATCH(D217,'G-6 Hedgerow Data'!$B$3:$B$15,0)),"")</f>
        <v/>
      </c>
    </row>
    <row r="218" spans="2:38" ht="14" x14ac:dyDescent="0.3">
      <c r="B218" s="141">
        <v>209</v>
      </c>
      <c r="C218" s="203"/>
      <c r="D218" s="203"/>
      <c r="E218" s="153"/>
      <c r="F218" s="553" t="str">
        <f>IF(D218="","",VLOOKUP(D218,'G-6 Hedgerow Data'!$B$2:$AG$15,2,FALSE))</f>
        <v/>
      </c>
      <c r="G218" s="499" t="str">
        <f>IF(D218="","",VLOOKUP(D218,'G-6 Hedgerow Data'!$B$2:$AG$15,3,FALSE))</f>
        <v/>
      </c>
      <c r="H218" s="145"/>
      <c r="I218" s="499" t="str">
        <f>IFERROR(VLOOKUP(H218,'G-1 All Habitats'!$Z$2:$AA$9,2,FALSE),"")</f>
        <v/>
      </c>
      <c r="J218" s="145"/>
      <c r="K218" s="507" t="str">
        <f>IF(J218="","",IF(VLOOKUP(J218,'G-3 Multipliers'!$L$3:$N$6,2,FALSE)=0,"Spatial Data Missing ⚠",VLOOKUP(J218,'G-3 Multipliers'!$L$3:$N$6,2,FALSE)))</f>
        <v/>
      </c>
      <c r="L218" s="505" t="str">
        <f>IF(J218="","",IF(VLOOKUP(J218,'G-3 Multipliers'!$L$3:$N$6,3,FALSE)=0,"Spatial Data Missing ⚠",VLOOKUP(J218,'G-3 Multipliers'!$L$3:$N$6,3,FALSE)))</f>
        <v/>
      </c>
      <c r="M218" s="506" t="str">
        <f>IF(D218="","",VLOOKUP(D218,'G-6 Hedgerow Data'!$B$1:$AH$15,33,FALSE))</f>
        <v/>
      </c>
      <c r="N218" s="513" t="str">
        <f t="shared" si="23"/>
        <v/>
      </c>
      <c r="O218" s="40"/>
      <c r="P218" s="154"/>
      <c r="Q218" s="203"/>
      <c r="R218" s="532" t="str">
        <f t="shared" si="24"/>
        <v/>
      </c>
      <c r="S218" s="532" t="str">
        <f t="shared" si="25"/>
        <v/>
      </c>
      <c r="T218" s="532" t="str">
        <f t="shared" si="26"/>
        <v/>
      </c>
      <c r="U218" s="557" t="str">
        <f t="shared" si="27"/>
        <v/>
      </c>
      <c r="V218" s="151"/>
      <c r="W218" s="152"/>
      <c r="AE218" s="156" t="str">
        <f t="shared" si="21"/>
        <v/>
      </c>
      <c r="AF218" s="156" t="str">
        <f t="shared" si="22"/>
        <v/>
      </c>
      <c r="AH218" s="156">
        <v>209</v>
      </c>
      <c r="AJ218" s="156" t="str">
        <f t="array" ref="AJ218">IFERROR(INDEX($AH$10:$AH$258, MATCH(0, IF(TRUE=$AE$10:$AE$258, COUNTIF($AJ$9:$AJ217, $AH$10:$AH$258), ""), 0)),"")</f>
        <v/>
      </c>
      <c r="AK218" s="156" t="str">
        <f t="array" ref="AK218">IFERROR(INDEX($AH$10:$AH$258, MATCH(0, IF(TRUE=$AF$10:$AF$258, COUNTIF($AK$9:$AK217, $AH$10:$AH$258), ""), 0)),"")</f>
        <v/>
      </c>
      <c r="AL218" s="31" t="str">
        <f>IFERROR(INDEX('G-6 Hedgerow Data'!$BJ$3:$BJ$15,MATCH(D218,'G-6 Hedgerow Data'!$B$3:$B$15,0)),"")</f>
        <v/>
      </c>
    </row>
    <row r="219" spans="2:38" ht="14" x14ac:dyDescent="0.3">
      <c r="B219" s="141">
        <v>210</v>
      </c>
      <c r="C219" s="203"/>
      <c r="D219" s="203"/>
      <c r="E219" s="153"/>
      <c r="F219" s="553" t="str">
        <f>IF(D219="","",VLOOKUP(D219,'G-6 Hedgerow Data'!$B$2:$AG$15,2,FALSE))</f>
        <v/>
      </c>
      <c r="G219" s="499" t="str">
        <f>IF(D219="","",VLOOKUP(D219,'G-6 Hedgerow Data'!$B$2:$AG$15,3,FALSE))</f>
        <v/>
      </c>
      <c r="H219" s="145"/>
      <c r="I219" s="499" t="str">
        <f>IFERROR(VLOOKUP(H219,'G-1 All Habitats'!$Z$2:$AA$9,2,FALSE),"")</f>
        <v/>
      </c>
      <c r="J219" s="145"/>
      <c r="K219" s="507" t="str">
        <f>IF(J219="","",IF(VLOOKUP(J219,'G-3 Multipliers'!$L$3:$N$6,2,FALSE)=0,"Spatial Data Missing ⚠",VLOOKUP(J219,'G-3 Multipliers'!$L$3:$N$6,2,FALSE)))</f>
        <v/>
      </c>
      <c r="L219" s="505" t="str">
        <f>IF(J219="","",IF(VLOOKUP(J219,'G-3 Multipliers'!$L$3:$N$6,3,FALSE)=0,"Spatial Data Missing ⚠",VLOOKUP(J219,'G-3 Multipliers'!$L$3:$N$6,3,FALSE)))</f>
        <v/>
      </c>
      <c r="M219" s="506" t="str">
        <f>IF(D219="","",VLOOKUP(D219,'G-6 Hedgerow Data'!$B$1:$AH$15,33,FALSE))</f>
        <v/>
      </c>
      <c r="N219" s="513" t="str">
        <f t="shared" si="23"/>
        <v/>
      </c>
      <c r="O219" s="40"/>
      <c r="P219" s="154"/>
      <c r="Q219" s="203"/>
      <c r="R219" s="532" t="str">
        <f t="shared" si="24"/>
        <v/>
      </c>
      <c r="S219" s="532" t="str">
        <f t="shared" si="25"/>
        <v/>
      </c>
      <c r="T219" s="532" t="str">
        <f t="shared" si="26"/>
        <v/>
      </c>
      <c r="U219" s="557" t="str">
        <f t="shared" si="27"/>
        <v/>
      </c>
      <c r="V219" s="151"/>
      <c r="W219" s="152"/>
      <c r="AE219" s="156" t="str">
        <f t="shared" si="21"/>
        <v/>
      </c>
      <c r="AF219" s="156" t="str">
        <f t="shared" si="22"/>
        <v/>
      </c>
      <c r="AH219" s="156">
        <v>210</v>
      </c>
      <c r="AJ219" s="156" t="str">
        <f t="array" ref="AJ219">IFERROR(INDEX($AH$10:$AH$258, MATCH(0, IF(TRUE=$AE$10:$AE$258, COUNTIF($AJ$9:$AJ218, $AH$10:$AH$258), ""), 0)),"")</f>
        <v/>
      </c>
      <c r="AK219" s="156" t="str">
        <f t="array" ref="AK219">IFERROR(INDEX($AH$10:$AH$258, MATCH(0, IF(TRUE=$AF$10:$AF$258, COUNTIF($AK$9:$AK218, $AH$10:$AH$258), ""), 0)),"")</f>
        <v/>
      </c>
      <c r="AL219" s="31" t="str">
        <f>IFERROR(INDEX('G-6 Hedgerow Data'!$BJ$3:$BJ$15,MATCH(D219,'G-6 Hedgerow Data'!$B$3:$B$15,0)),"")</f>
        <v/>
      </c>
    </row>
    <row r="220" spans="2:38" ht="14" x14ac:dyDescent="0.3">
      <c r="B220" s="141">
        <v>211</v>
      </c>
      <c r="C220" s="203"/>
      <c r="D220" s="203"/>
      <c r="E220" s="153"/>
      <c r="F220" s="553" t="str">
        <f>IF(D220="","",VLOOKUP(D220,'G-6 Hedgerow Data'!$B$2:$AG$15,2,FALSE))</f>
        <v/>
      </c>
      <c r="G220" s="499" t="str">
        <f>IF(D220="","",VLOOKUP(D220,'G-6 Hedgerow Data'!$B$2:$AG$15,3,FALSE))</f>
        <v/>
      </c>
      <c r="H220" s="145"/>
      <c r="I220" s="499" t="str">
        <f>IFERROR(VLOOKUP(H220,'G-1 All Habitats'!$Z$2:$AA$9,2,FALSE),"")</f>
        <v/>
      </c>
      <c r="J220" s="145"/>
      <c r="K220" s="507" t="str">
        <f>IF(J220="","",IF(VLOOKUP(J220,'G-3 Multipliers'!$L$3:$N$6,2,FALSE)=0,"Spatial Data Missing ⚠",VLOOKUP(J220,'G-3 Multipliers'!$L$3:$N$6,2,FALSE)))</f>
        <v/>
      </c>
      <c r="L220" s="505" t="str">
        <f>IF(J220="","",IF(VLOOKUP(J220,'G-3 Multipliers'!$L$3:$N$6,3,FALSE)=0,"Spatial Data Missing ⚠",VLOOKUP(J220,'G-3 Multipliers'!$L$3:$N$6,3,FALSE)))</f>
        <v/>
      </c>
      <c r="M220" s="506" t="str">
        <f>IF(D220="","",VLOOKUP(D220,'G-6 Hedgerow Data'!$B$1:$AH$15,33,FALSE))</f>
        <v/>
      </c>
      <c r="N220" s="513" t="str">
        <f t="shared" si="23"/>
        <v/>
      </c>
      <c r="O220" s="40"/>
      <c r="P220" s="154"/>
      <c r="Q220" s="203"/>
      <c r="R220" s="532" t="str">
        <f t="shared" si="24"/>
        <v/>
      </c>
      <c r="S220" s="532" t="str">
        <f t="shared" si="25"/>
        <v/>
      </c>
      <c r="T220" s="532" t="str">
        <f t="shared" si="26"/>
        <v/>
      </c>
      <c r="U220" s="557" t="str">
        <f t="shared" si="27"/>
        <v/>
      </c>
      <c r="V220" s="151"/>
      <c r="W220" s="152"/>
      <c r="AE220" s="156" t="str">
        <f t="shared" si="21"/>
        <v/>
      </c>
      <c r="AF220" s="156" t="str">
        <f t="shared" si="22"/>
        <v/>
      </c>
      <c r="AH220" s="156">
        <v>211</v>
      </c>
      <c r="AJ220" s="156" t="str">
        <f t="array" ref="AJ220">IFERROR(INDEX($AH$10:$AH$258, MATCH(0, IF(TRUE=$AE$10:$AE$258, COUNTIF($AJ$9:$AJ219, $AH$10:$AH$258), ""), 0)),"")</f>
        <v/>
      </c>
      <c r="AK220" s="156" t="str">
        <f t="array" ref="AK220">IFERROR(INDEX($AH$10:$AH$258, MATCH(0, IF(TRUE=$AF$10:$AF$258, COUNTIF($AK$9:$AK219, $AH$10:$AH$258), ""), 0)),"")</f>
        <v/>
      </c>
      <c r="AL220" s="31" t="str">
        <f>IFERROR(INDEX('G-6 Hedgerow Data'!$BJ$3:$BJ$15,MATCH(D220,'G-6 Hedgerow Data'!$B$3:$B$15,0)),"")</f>
        <v/>
      </c>
    </row>
    <row r="221" spans="2:38" ht="14" x14ac:dyDescent="0.3">
      <c r="B221" s="141">
        <v>212</v>
      </c>
      <c r="C221" s="203"/>
      <c r="D221" s="203"/>
      <c r="E221" s="153"/>
      <c r="F221" s="553" t="str">
        <f>IF(D221="","",VLOOKUP(D221,'G-6 Hedgerow Data'!$B$2:$AG$15,2,FALSE))</f>
        <v/>
      </c>
      <c r="G221" s="499" t="str">
        <f>IF(D221="","",VLOOKUP(D221,'G-6 Hedgerow Data'!$B$2:$AG$15,3,FALSE))</f>
        <v/>
      </c>
      <c r="H221" s="145"/>
      <c r="I221" s="499" t="str">
        <f>IFERROR(VLOOKUP(H221,'G-1 All Habitats'!$Z$2:$AA$9,2,FALSE),"")</f>
        <v/>
      </c>
      <c r="J221" s="145"/>
      <c r="K221" s="507" t="str">
        <f>IF(J221="","",IF(VLOOKUP(J221,'G-3 Multipliers'!$L$3:$N$6,2,FALSE)=0,"Spatial Data Missing ⚠",VLOOKUP(J221,'G-3 Multipliers'!$L$3:$N$6,2,FALSE)))</f>
        <v/>
      </c>
      <c r="L221" s="505" t="str">
        <f>IF(J221="","",IF(VLOOKUP(J221,'G-3 Multipliers'!$L$3:$N$6,3,FALSE)=0,"Spatial Data Missing ⚠",VLOOKUP(J221,'G-3 Multipliers'!$L$3:$N$6,3,FALSE)))</f>
        <v/>
      </c>
      <c r="M221" s="506" t="str">
        <f>IF(D221="","",VLOOKUP(D221,'G-6 Hedgerow Data'!$B$1:$AH$15,33,FALSE))</f>
        <v/>
      </c>
      <c r="N221" s="513" t="str">
        <f t="shared" si="23"/>
        <v/>
      </c>
      <c r="O221" s="40"/>
      <c r="P221" s="154"/>
      <c r="Q221" s="203"/>
      <c r="R221" s="532" t="str">
        <f t="shared" si="24"/>
        <v/>
      </c>
      <c r="S221" s="532" t="str">
        <f t="shared" si="25"/>
        <v/>
      </c>
      <c r="T221" s="532" t="str">
        <f t="shared" si="26"/>
        <v/>
      </c>
      <c r="U221" s="557" t="str">
        <f t="shared" si="27"/>
        <v/>
      </c>
      <c r="V221" s="151"/>
      <c r="W221" s="152"/>
      <c r="AE221" s="156" t="str">
        <f t="shared" si="21"/>
        <v/>
      </c>
      <c r="AF221" s="156" t="str">
        <f t="shared" si="22"/>
        <v/>
      </c>
      <c r="AH221" s="156">
        <v>212</v>
      </c>
      <c r="AJ221" s="156" t="str">
        <f t="array" ref="AJ221">IFERROR(INDEX($AH$10:$AH$258, MATCH(0, IF(TRUE=$AE$10:$AE$258, COUNTIF($AJ$9:$AJ220, $AH$10:$AH$258), ""), 0)),"")</f>
        <v/>
      </c>
      <c r="AK221" s="156" t="str">
        <f t="array" ref="AK221">IFERROR(INDEX($AH$10:$AH$258, MATCH(0, IF(TRUE=$AF$10:$AF$258, COUNTIF($AK$9:$AK220, $AH$10:$AH$258), ""), 0)),"")</f>
        <v/>
      </c>
      <c r="AL221" s="31" t="str">
        <f>IFERROR(INDEX('G-6 Hedgerow Data'!$BJ$3:$BJ$15,MATCH(D221,'G-6 Hedgerow Data'!$B$3:$B$15,0)),"")</f>
        <v/>
      </c>
    </row>
    <row r="222" spans="2:38" ht="14" x14ac:dyDescent="0.3">
      <c r="B222" s="141">
        <v>213</v>
      </c>
      <c r="C222" s="203"/>
      <c r="D222" s="203"/>
      <c r="E222" s="153"/>
      <c r="F222" s="553" t="str">
        <f>IF(D222="","",VLOOKUP(D222,'G-6 Hedgerow Data'!$B$2:$AG$15,2,FALSE))</f>
        <v/>
      </c>
      <c r="G222" s="499" t="str">
        <f>IF(D222="","",VLOOKUP(D222,'G-6 Hedgerow Data'!$B$2:$AG$15,3,FALSE))</f>
        <v/>
      </c>
      <c r="H222" s="145"/>
      <c r="I222" s="499" t="str">
        <f>IFERROR(VLOOKUP(H222,'G-1 All Habitats'!$Z$2:$AA$9,2,FALSE),"")</f>
        <v/>
      </c>
      <c r="J222" s="145"/>
      <c r="K222" s="507" t="str">
        <f>IF(J222="","",IF(VLOOKUP(J222,'G-3 Multipliers'!$L$3:$N$6,2,FALSE)=0,"Spatial Data Missing ⚠",VLOOKUP(J222,'G-3 Multipliers'!$L$3:$N$6,2,FALSE)))</f>
        <v/>
      </c>
      <c r="L222" s="505" t="str">
        <f>IF(J222="","",IF(VLOOKUP(J222,'G-3 Multipliers'!$L$3:$N$6,3,FALSE)=0,"Spatial Data Missing ⚠",VLOOKUP(J222,'G-3 Multipliers'!$L$3:$N$6,3,FALSE)))</f>
        <v/>
      </c>
      <c r="M222" s="506" t="str">
        <f>IF(D222="","",VLOOKUP(D222,'G-6 Hedgerow Data'!$B$1:$AH$15,33,FALSE))</f>
        <v/>
      </c>
      <c r="N222" s="513" t="str">
        <f t="shared" si="23"/>
        <v/>
      </c>
      <c r="O222" s="40"/>
      <c r="P222" s="154"/>
      <c r="Q222" s="203"/>
      <c r="R222" s="532" t="str">
        <f t="shared" si="24"/>
        <v/>
      </c>
      <c r="S222" s="532" t="str">
        <f t="shared" si="25"/>
        <v/>
      </c>
      <c r="T222" s="532" t="str">
        <f t="shared" si="26"/>
        <v/>
      </c>
      <c r="U222" s="557" t="str">
        <f t="shared" si="27"/>
        <v/>
      </c>
      <c r="V222" s="151"/>
      <c r="W222" s="152"/>
      <c r="AE222" s="156" t="str">
        <f t="shared" si="21"/>
        <v/>
      </c>
      <c r="AF222" s="156" t="str">
        <f t="shared" si="22"/>
        <v/>
      </c>
      <c r="AH222" s="156">
        <v>213</v>
      </c>
      <c r="AJ222" s="156" t="str">
        <f t="array" ref="AJ222">IFERROR(INDEX($AH$10:$AH$258, MATCH(0, IF(TRUE=$AE$10:$AE$258, COUNTIF($AJ$9:$AJ221, $AH$10:$AH$258), ""), 0)),"")</f>
        <v/>
      </c>
      <c r="AK222" s="156" t="str">
        <f t="array" ref="AK222">IFERROR(INDEX($AH$10:$AH$258, MATCH(0, IF(TRUE=$AF$10:$AF$258, COUNTIF($AK$9:$AK221, $AH$10:$AH$258), ""), 0)),"")</f>
        <v/>
      </c>
      <c r="AL222" s="31" t="str">
        <f>IFERROR(INDEX('G-6 Hedgerow Data'!$BJ$3:$BJ$15,MATCH(D222,'G-6 Hedgerow Data'!$B$3:$B$15,0)),"")</f>
        <v/>
      </c>
    </row>
    <row r="223" spans="2:38" ht="14" x14ac:dyDescent="0.3">
      <c r="B223" s="141">
        <v>214</v>
      </c>
      <c r="C223" s="203"/>
      <c r="D223" s="203"/>
      <c r="E223" s="153"/>
      <c r="F223" s="553" t="str">
        <f>IF(D223="","",VLOOKUP(D223,'G-6 Hedgerow Data'!$B$2:$AG$15,2,FALSE))</f>
        <v/>
      </c>
      <c r="G223" s="499" t="str">
        <f>IF(D223="","",VLOOKUP(D223,'G-6 Hedgerow Data'!$B$2:$AG$15,3,FALSE))</f>
        <v/>
      </c>
      <c r="H223" s="145"/>
      <c r="I223" s="499" t="str">
        <f>IFERROR(VLOOKUP(H223,'G-1 All Habitats'!$Z$2:$AA$9,2,FALSE),"")</f>
        <v/>
      </c>
      <c r="J223" s="145"/>
      <c r="K223" s="507" t="str">
        <f>IF(J223="","",IF(VLOOKUP(J223,'G-3 Multipliers'!$L$3:$N$6,2,FALSE)=0,"Spatial Data Missing ⚠",VLOOKUP(J223,'G-3 Multipliers'!$L$3:$N$6,2,FALSE)))</f>
        <v/>
      </c>
      <c r="L223" s="505" t="str">
        <f>IF(J223="","",IF(VLOOKUP(J223,'G-3 Multipliers'!$L$3:$N$6,3,FALSE)=0,"Spatial Data Missing ⚠",VLOOKUP(J223,'G-3 Multipliers'!$L$3:$N$6,3,FALSE)))</f>
        <v/>
      </c>
      <c r="M223" s="506" t="str">
        <f>IF(D223="","",VLOOKUP(D223,'G-6 Hedgerow Data'!$B$1:$AH$15,33,FALSE))</f>
        <v/>
      </c>
      <c r="N223" s="513" t="str">
        <f t="shared" si="23"/>
        <v/>
      </c>
      <c r="O223" s="40"/>
      <c r="P223" s="154"/>
      <c r="Q223" s="203"/>
      <c r="R223" s="532" t="str">
        <f t="shared" si="24"/>
        <v/>
      </c>
      <c r="S223" s="532" t="str">
        <f t="shared" si="25"/>
        <v/>
      </c>
      <c r="T223" s="532" t="str">
        <f t="shared" si="26"/>
        <v/>
      </c>
      <c r="U223" s="557" t="str">
        <f t="shared" si="27"/>
        <v/>
      </c>
      <c r="V223" s="151"/>
      <c r="W223" s="152"/>
      <c r="AE223" s="156" t="str">
        <f t="shared" si="21"/>
        <v/>
      </c>
      <c r="AF223" s="156" t="str">
        <f t="shared" si="22"/>
        <v/>
      </c>
      <c r="AH223" s="156">
        <v>214</v>
      </c>
      <c r="AJ223" s="156" t="str">
        <f t="array" ref="AJ223">IFERROR(INDEX($AH$10:$AH$258, MATCH(0, IF(TRUE=$AE$10:$AE$258, COUNTIF($AJ$9:$AJ222, $AH$10:$AH$258), ""), 0)),"")</f>
        <v/>
      </c>
      <c r="AK223" s="156" t="str">
        <f t="array" ref="AK223">IFERROR(INDEX($AH$10:$AH$258, MATCH(0, IF(TRUE=$AF$10:$AF$258, COUNTIF($AK$9:$AK222, $AH$10:$AH$258), ""), 0)),"")</f>
        <v/>
      </c>
      <c r="AL223" s="31" t="str">
        <f>IFERROR(INDEX('G-6 Hedgerow Data'!$BJ$3:$BJ$15,MATCH(D223,'G-6 Hedgerow Data'!$B$3:$B$15,0)),"")</f>
        <v/>
      </c>
    </row>
    <row r="224" spans="2:38" ht="14" x14ac:dyDescent="0.3">
      <c r="B224" s="141">
        <v>215</v>
      </c>
      <c r="C224" s="203"/>
      <c r="D224" s="203"/>
      <c r="E224" s="153"/>
      <c r="F224" s="553" t="str">
        <f>IF(D224="","",VLOOKUP(D224,'G-6 Hedgerow Data'!$B$2:$AG$15,2,FALSE))</f>
        <v/>
      </c>
      <c r="G224" s="499" t="str">
        <f>IF(D224="","",VLOOKUP(D224,'G-6 Hedgerow Data'!$B$2:$AG$15,3,FALSE))</f>
        <v/>
      </c>
      <c r="H224" s="145"/>
      <c r="I224" s="499" t="str">
        <f>IFERROR(VLOOKUP(H224,'G-1 All Habitats'!$Z$2:$AA$9,2,FALSE),"")</f>
        <v/>
      </c>
      <c r="J224" s="145"/>
      <c r="K224" s="507" t="str">
        <f>IF(J224="","",IF(VLOOKUP(J224,'G-3 Multipliers'!$L$3:$N$6,2,FALSE)=0,"Spatial Data Missing ⚠",VLOOKUP(J224,'G-3 Multipliers'!$L$3:$N$6,2,FALSE)))</f>
        <v/>
      </c>
      <c r="L224" s="505" t="str">
        <f>IF(J224="","",IF(VLOOKUP(J224,'G-3 Multipliers'!$L$3:$N$6,3,FALSE)=0,"Spatial Data Missing ⚠",VLOOKUP(J224,'G-3 Multipliers'!$L$3:$N$6,3,FALSE)))</f>
        <v/>
      </c>
      <c r="M224" s="506" t="str">
        <f>IF(D224="","",VLOOKUP(D224,'G-6 Hedgerow Data'!$B$1:$AH$15,33,FALSE))</f>
        <v/>
      </c>
      <c r="N224" s="513" t="str">
        <f t="shared" si="23"/>
        <v/>
      </c>
      <c r="O224" s="40"/>
      <c r="P224" s="154"/>
      <c r="Q224" s="203"/>
      <c r="R224" s="532" t="str">
        <f t="shared" si="24"/>
        <v/>
      </c>
      <c r="S224" s="532" t="str">
        <f t="shared" si="25"/>
        <v/>
      </c>
      <c r="T224" s="532" t="str">
        <f t="shared" si="26"/>
        <v/>
      </c>
      <c r="U224" s="557" t="str">
        <f t="shared" si="27"/>
        <v/>
      </c>
      <c r="V224" s="151"/>
      <c r="W224" s="152"/>
      <c r="AE224" s="156" t="str">
        <f t="shared" si="21"/>
        <v/>
      </c>
      <c r="AF224" s="156" t="str">
        <f t="shared" si="22"/>
        <v/>
      </c>
      <c r="AH224" s="156">
        <v>215</v>
      </c>
      <c r="AJ224" s="156" t="str">
        <f t="array" ref="AJ224">IFERROR(INDEX($AH$10:$AH$258, MATCH(0, IF(TRUE=$AE$10:$AE$258, COUNTIF($AJ$9:$AJ223, $AH$10:$AH$258), ""), 0)),"")</f>
        <v/>
      </c>
      <c r="AK224" s="156" t="str">
        <f t="array" ref="AK224">IFERROR(INDEX($AH$10:$AH$258, MATCH(0, IF(TRUE=$AF$10:$AF$258, COUNTIF($AK$9:$AK223, $AH$10:$AH$258), ""), 0)),"")</f>
        <v/>
      </c>
      <c r="AL224" s="31" t="str">
        <f>IFERROR(INDEX('G-6 Hedgerow Data'!$BJ$3:$BJ$15,MATCH(D224,'G-6 Hedgerow Data'!$B$3:$B$15,0)),"")</f>
        <v/>
      </c>
    </row>
    <row r="225" spans="2:38" ht="14" x14ac:dyDescent="0.3">
      <c r="B225" s="141">
        <v>216</v>
      </c>
      <c r="C225" s="203"/>
      <c r="D225" s="203"/>
      <c r="E225" s="153"/>
      <c r="F225" s="553" t="str">
        <f>IF(D225="","",VLOOKUP(D225,'G-6 Hedgerow Data'!$B$2:$AG$15,2,FALSE))</f>
        <v/>
      </c>
      <c r="G225" s="499" t="str">
        <f>IF(D225="","",VLOOKUP(D225,'G-6 Hedgerow Data'!$B$2:$AG$15,3,FALSE))</f>
        <v/>
      </c>
      <c r="H225" s="145"/>
      <c r="I225" s="499" t="str">
        <f>IFERROR(VLOOKUP(H225,'G-1 All Habitats'!$Z$2:$AA$9,2,FALSE),"")</f>
        <v/>
      </c>
      <c r="J225" s="145"/>
      <c r="K225" s="507" t="str">
        <f>IF(J225="","",IF(VLOOKUP(J225,'G-3 Multipliers'!$L$3:$N$6,2,FALSE)=0,"Spatial Data Missing ⚠",VLOOKUP(J225,'G-3 Multipliers'!$L$3:$N$6,2,FALSE)))</f>
        <v/>
      </c>
      <c r="L225" s="505" t="str">
        <f>IF(J225="","",IF(VLOOKUP(J225,'G-3 Multipliers'!$L$3:$N$6,3,FALSE)=0,"Spatial Data Missing ⚠",VLOOKUP(J225,'G-3 Multipliers'!$L$3:$N$6,3,FALSE)))</f>
        <v/>
      </c>
      <c r="M225" s="506" t="str">
        <f>IF(D225="","",VLOOKUP(D225,'G-6 Hedgerow Data'!$B$1:$AH$15,33,FALSE))</f>
        <v/>
      </c>
      <c r="N225" s="513" t="str">
        <f t="shared" si="23"/>
        <v/>
      </c>
      <c r="O225" s="40"/>
      <c r="P225" s="154"/>
      <c r="Q225" s="203"/>
      <c r="R225" s="532" t="str">
        <f t="shared" si="24"/>
        <v/>
      </c>
      <c r="S225" s="532" t="str">
        <f t="shared" si="25"/>
        <v/>
      </c>
      <c r="T225" s="532" t="str">
        <f t="shared" si="26"/>
        <v/>
      </c>
      <c r="U225" s="557" t="str">
        <f t="shared" si="27"/>
        <v/>
      </c>
      <c r="V225" s="151"/>
      <c r="W225" s="152"/>
      <c r="AE225" s="156" t="str">
        <f t="shared" si="21"/>
        <v/>
      </c>
      <c r="AF225" s="156" t="str">
        <f t="shared" si="22"/>
        <v/>
      </c>
      <c r="AH225" s="156">
        <v>216</v>
      </c>
      <c r="AJ225" s="156" t="str">
        <f t="array" ref="AJ225">IFERROR(INDEX($AH$10:$AH$258, MATCH(0, IF(TRUE=$AE$10:$AE$258, COUNTIF($AJ$9:$AJ224, $AH$10:$AH$258), ""), 0)),"")</f>
        <v/>
      </c>
      <c r="AK225" s="156" t="str">
        <f t="array" ref="AK225">IFERROR(INDEX($AH$10:$AH$258, MATCH(0, IF(TRUE=$AF$10:$AF$258, COUNTIF($AK$9:$AK224, $AH$10:$AH$258), ""), 0)),"")</f>
        <v/>
      </c>
      <c r="AL225" s="31" t="str">
        <f>IFERROR(INDEX('G-6 Hedgerow Data'!$BJ$3:$BJ$15,MATCH(D225,'G-6 Hedgerow Data'!$B$3:$B$15,0)),"")</f>
        <v/>
      </c>
    </row>
    <row r="226" spans="2:38" ht="14" x14ac:dyDescent="0.3">
      <c r="B226" s="141">
        <v>217</v>
      </c>
      <c r="C226" s="203"/>
      <c r="D226" s="203"/>
      <c r="E226" s="153"/>
      <c r="F226" s="553" t="str">
        <f>IF(D226="","",VLOOKUP(D226,'G-6 Hedgerow Data'!$B$2:$AG$15,2,FALSE))</f>
        <v/>
      </c>
      <c r="G226" s="499" t="str">
        <f>IF(D226="","",VLOOKUP(D226,'G-6 Hedgerow Data'!$B$2:$AG$15,3,FALSE))</f>
        <v/>
      </c>
      <c r="H226" s="145"/>
      <c r="I226" s="499" t="str">
        <f>IFERROR(VLOOKUP(H226,'G-1 All Habitats'!$Z$2:$AA$9,2,FALSE),"")</f>
        <v/>
      </c>
      <c r="J226" s="145"/>
      <c r="K226" s="507" t="str">
        <f>IF(J226="","",IF(VLOOKUP(J226,'G-3 Multipliers'!$L$3:$N$6,2,FALSE)=0,"Spatial Data Missing ⚠",VLOOKUP(J226,'G-3 Multipliers'!$L$3:$N$6,2,FALSE)))</f>
        <v/>
      </c>
      <c r="L226" s="505" t="str">
        <f>IF(J226="","",IF(VLOOKUP(J226,'G-3 Multipliers'!$L$3:$N$6,3,FALSE)=0,"Spatial Data Missing ⚠",VLOOKUP(J226,'G-3 Multipliers'!$L$3:$N$6,3,FALSE)))</f>
        <v/>
      </c>
      <c r="M226" s="506" t="str">
        <f>IF(D226="","",VLOOKUP(D226,'G-6 Hedgerow Data'!$B$1:$AH$15,33,FALSE))</f>
        <v/>
      </c>
      <c r="N226" s="513" t="str">
        <f t="shared" si="23"/>
        <v/>
      </c>
      <c r="O226" s="40"/>
      <c r="P226" s="154"/>
      <c r="Q226" s="203"/>
      <c r="R226" s="532" t="str">
        <f t="shared" si="24"/>
        <v/>
      </c>
      <c r="S226" s="532" t="str">
        <f t="shared" si="25"/>
        <v/>
      </c>
      <c r="T226" s="532" t="str">
        <f t="shared" si="26"/>
        <v/>
      </c>
      <c r="U226" s="557" t="str">
        <f t="shared" si="27"/>
        <v/>
      </c>
      <c r="V226" s="151"/>
      <c r="W226" s="152"/>
      <c r="AE226" s="156" t="str">
        <f t="shared" si="21"/>
        <v/>
      </c>
      <c r="AF226" s="156" t="str">
        <f t="shared" si="22"/>
        <v/>
      </c>
      <c r="AH226" s="156">
        <v>217</v>
      </c>
      <c r="AJ226" s="156" t="str">
        <f t="array" ref="AJ226">IFERROR(INDEX($AH$10:$AH$258, MATCH(0, IF(TRUE=$AE$10:$AE$258, COUNTIF($AJ$9:$AJ225, $AH$10:$AH$258), ""), 0)),"")</f>
        <v/>
      </c>
      <c r="AK226" s="156" t="str">
        <f t="array" ref="AK226">IFERROR(INDEX($AH$10:$AH$258, MATCH(0, IF(TRUE=$AF$10:$AF$258, COUNTIF($AK$9:$AK225, $AH$10:$AH$258), ""), 0)),"")</f>
        <v/>
      </c>
      <c r="AL226" s="31" t="str">
        <f>IFERROR(INDEX('G-6 Hedgerow Data'!$BJ$3:$BJ$15,MATCH(D226,'G-6 Hedgerow Data'!$B$3:$B$15,0)),"")</f>
        <v/>
      </c>
    </row>
    <row r="227" spans="2:38" ht="14" x14ac:dyDescent="0.3">
      <c r="B227" s="141">
        <v>218</v>
      </c>
      <c r="C227" s="203"/>
      <c r="D227" s="203"/>
      <c r="E227" s="153"/>
      <c r="F227" s="553" t="str">
        <f>IF(D227="","",VLOOKUP(D227,'G-6 Hedgerow Data'!$B$2:$AG$15,2,FALSE))</f>
        <v/>
      </c>
      <c r="G227" s="499" t="str">
        <f>IF(D227="","",VLOOKUP(D227,'G-6 Hedgerow Data'!$B$2:$AG$15,3,FALSE))</f>
        <v/>
      </c>
      <c r="H227" s="145"/>
      <c r="I227" s="499" t="str">
        <f>IFERROR(VLOOKUP(H227,'G-1 All Habitats'!$Z$2:$AA$9,2,FALSE),"")</f>
        <v/>
      </c>
      <c r="J227" s="145"/>
      <c r="K227" s="507" t="str">
        <f>IF(J227="","",IF(VLOOKUP(J227,'G-3 Multipliers'!$L$3:$N$6,2,FALSE)=0,"Spatial Data Missing ⚠",VLOOKUP(J227,'G-3 Multipliers'!$L$3:$N$6,2,FALSE)))</f>
        <v/>
      </c>
      <c r="L227" s="505" t="str">
        <f>IF(J227="","",IF(VLOOKUP(J227,'G-3 Multipliers'!$L$3:$N$6,3,FALSE)=0,"Spatial Data Missing ⚠",VLOOKUP(J227,'G-3 Multipliers'!$L$3:$N$6,3,FALSE)))</f>
        <v/>
      </c>
      <c r="M227" s="506" t="str">
        <f>IF(D227="","",VLOOKUP(D227,'G-6 Hedgerow Data'!$B$1:$AH$15,33,FALSE))</f>
        <v/>
      </c>
      <c r="N227" s="513" t="str">
        <f t="shared" si="23"/>
        <v/>
      </c>
      <c r="O227" s="40"/>
      <c r="P227" s="154"/>
      <c r="Q227" s="203"/>
      <c r="R227" s="532" t="str">
        <f t="shared" si="24"/>
        <v/>
      </c>
      <c r="S227" s="532" t="str">
        <f t="shared" si="25"/>
        <v/>
      </c>
      <c r="T227" s="532" t="str">
        <f t="shared" si="26"/>
        <v/>
      </c>
      <c r="U227" s="557" t="str">
        <f t="shared" si="27"/>
        <v/>
      </c>
      <c r="V227" s="151"/>
      <c r="W227" s="152"/>
      <c r="AE227" s="156" t="str">
        <f t="shared" si="21"/>
        <v/>
      </c>
      <c r="AF227" s="156" t="str">
        <f t="shared" si="22"/>
        <v/>
      </c>
      <c r="AH227" s="156">
        <v>218</v>
      </c>
      <c r="AJ227" s="156" t="str">
        <f t="array" ref="AJ227">IFERROR(INDEX($AH$10:$AH$258, MATCH(0, IF(TRUE=$AE$10:$AE$258, COUNTIF($AJ$9:$AJ226, $AH$10:$AH$258), ""), 0)),"")</f>
        <v/>
      </c>
      <c r="AK227" s="156" t="str">
        <f t="array" ref="AK227">IFERROR(INDEX($AH$10:$AH$258, MATCH(0, IF(TRUE=$AF$10:$AF$258, COUNTIF($AK$9:$AK226, $AH$10:$AH$258), ""), 0)),"")</f>
        <v/>
      </c>
      <c r="AL227" s="31" t="str">
        <f>IFERROR(INDEX('G-6 Hedgerow Data'!$BJ$3:$BJ$15,MATCH(D227,'G-6 Hedgerow Data'!$B$3:$B$15,0)),"")</f>
        <v/>
      </c>
    </row>
    <row r="228" spans="2:38" ht="14" x14ac:dyDescent="0.3">
      <c r="B228" s="141">
        <v>219</v>
      </c>
      <c r="C228" s="203"/>
      <c r="D228" s="203"/>
      <c r="E228" s="153"/>
      <c r="F228" s="553" t="str">
        <f>IF(D228="","",VLOOKUP(D228,'G-6 Hedgerow Data'!$B$2:$AG$15,2,FALSE))</f>
        <v/>
      </c>
      <c r="G228" s="499" t="str">
        <f>IF(D228="","",VLOOKUP(D228,'G-6 Hedgerow Data'!$B$2:$AG$15,3,FALSE))</f>
        <v/>
      </c>
      <c r="H228" s="145"/>
      <c r="I228" s="499" t="str">
        <f>IFERROR(VLOOKUP(H228,'G-1 All Habitats'!$Z$2:$AA$9,2,FALSE),"")</f>
        <v/>
      </c>
      <c r="J228" s="145"/>
      <c r="K228" s="507" t="str">
        <f>IF(J228="","",IF(VLOOKUP(J228,'G-3 Multipliers'!$L$3:$N$6,2,FALSE)=0,"Spatial Data Missing ⚠",VLOOKUP(J228,'G-3 Multipliers'!$L$3:$N$6,2,FALSE)))</f>
        <v/>
      </c>
      <c r="L228" s="505" t="str">
        <f>IF(J228="","",IF(VLOOKUP(J228,'G-3 Multipliers'!$L$3:$N$6,3,FALSE)=0,"Spatial Data Missing ⚠",VLOOKUP(J228,'G-3 Multipliers'!$L$3:$N$6,3,FALSE)))</f>
        <v/>
      </c>
      <c r="M228" s="506" t="str">
        <f>IF(D228="","",VLOOKUP(D228,'G-6 Hedgerow Data'!$B$1:$AH$15,33,FALSE))</f>
        <v/>
      </c>
      <c r="N228" s="513" t="str">
        <f t="shared" si="23"/>
        <v/>
      </c>
      <c r="O228" s="40"/>
      <c r="P228" s="154"/>
      <c r="Q228" s="203"/>
      <c r="R228" s="532" t="str">
        <f t="shared" si="24"/>
        <v/>
      </c>
      <c r="S228" s="532" t="str">
        <f t="shared" si="25"/>
        <v/>
      </c>
      <c r="T228" s="532" t="str">
        <f t="shared" si="26"/>
        <v/>
      </c>
      <c r="U228" s="557" t="str">
        <f t="shared" si="27"/>
        <v/>
      </c>
      <c r="V228" s="151"/>
      <c r="W228" s="152"/>
      <c r="AE228" s="156" t="str">
        <f t="shared" si="21"/>
        <v/>
      </c>
      <c r="AF228" s="156" t="str">
        <f t="shared" si="22"/>
        <v/>
      </c>
      <c r="AH228" s="156">
        <v>219</v>
      </c>
      <c r="AJ228" s="156" t="str">
        <f t="array" ref="AJ228">IFERROR(INDEX($AH$10:$AH$258, MATCH(0, IF(TRUE=$AE$10:$AE$258, COUNTIF($AJ$9:$AJ227, $AH$10:$AH$258), ""), 0)),"")</f>
        <v/>
      </c>
      <c r="AK228" s="156" t="str">
        <f t="array" ref="AK228">IFERROR(INDEX($AH$10:$AH$258, MATCH(0, IF(TRUE=$AF$10:$AF$258, COUNTIF($AK$9:$AK227, $AH$10:$AH$258), ""), 0)),"")</f>
        <v/>
      </c>
      <c r="AL228" s="31" t="str">
        <f>IFERROR(INDEX('G-6 Hedgerow Data'!$BJ$3:$BJ$15,MATCH(D228,'G-6 Hedgerow Data'!$B$3:$B$15,0)),"")</f>
        <v/>
      </c>
    </row>
    <row r="229" spans="2:38" ht="14" x14ac:dyDescent="0.3">
      <c r="B229" s="141">
        <v>220</v>
      </c>
      <c r="C229" s="203"/>
      <c r="D229" s="203"/>
      <c r="E229" s="153"/>
      <c r="F229" s="553" t="str">
        <f>IF(D229="","",VLOOKUP(D229,'G-6 Hedgerow Data'!$B$2:$AG$15,2,FALSE))</f>
        <v/>
      </c>
      <c r="G229" s="499" t="str">
        <f>IF(D229="","",VLOOKUP(D229,'G-6 Hedgerow Data'!$B$2:$AG$15,3,FALSE))</f>
        <v/>
      </c>
      <c r="H229" s="145"/>
      <c r="I229" s="499" t="str">
        <f>IFERROR(VLOOKUP(H229,'G-1 All Habitats'!$Z$2:$AA$9,2,FALSE),"")</f>
        <v/>
      </c>
      <c r="J229" s="145"/>
      <c r="K229" s="507" t="str">
        <f>IF(J229="","",IF(VLOOKUP(J229,'G-3 Multipliers'!$L$3:$N$6,2,FALSE)=0,"Spatial Data Missing ⚠",VLOOKUP(J229,'G-3 Multipliers'!$L$3:$N$6,2,FALSE)))</f>
        <v/>
      </c>
      <c r="L229" s="505" t="str">
        <f>IF(J229="","",IF(VLOOKUP(J229,'G-3 Multipliers'!$L$3:$N$6,3,FALSE)=0,"Spatial Data Missing ⚠",VLOOKUP(J229,'G-3 Multipliers'!$L$3:$N$6,3,FALSE)))</f>
        <v/>
      </c>
      <c r="M229" s="506" t="str">
        <f>IF(D229="","",VLOOKUP(D229,'G-6 Hedgerow Data'!$B$1:$AH$15,33,FALSE))</f>
        <v/>
      </c>
      <c r="N229" s="513" t="str">
        <f t="shared" si="23"/>
        <v/>
      </c>
      <c r="O229" s="40"/>
      <c r="P229" s="154"/>
      <c r="Q229" s="203"/>
      <c r="R229" s="532" t="str">
        <f t="shared" si="24"/>
        <v/>
      </c>
      <c r="S229" s="532" t="str">
        <f t="shared" si="25"/>
        <v/>
      </c>
      <c r="T229" s="532" t="str">
        <f t="shared" si="26"/>
        <v/>
      </c>
      <c r="U229" s="557" t="str">
        <f t="shared" si="27"/>
        <v/>
      </c>
      <c r="V229" s="151"/>
      <c r="W229" s="152"/>
      <c r="AE229" s="156" t="str">
        <f t="shared" si="21"/>
        <v/>
      </c>
      <c r="AF229" s="156" t="str">
        <f t="shared" si="22"/>
        <v/>
      </c>
      <c r="AH229" s="156">
        <v>220</v>
      </c>
      <c r="AJ229" s="156" t="str">
        <f t="array" ref="AJ229">IFERROR(INDEX($AH$10:$AH$258, MATCH(0, IF(TRUE=$AE$10:$AE$258, COUNTIF($AJ$9:$AJ228, $AH$10:$AH$258), ""), 0)),"")</f>
        <v/>
      </c>
      <c r="AK229" s="156" t="str">
        <f t="array" ref="AK229">IFERROR(INDEX($AH$10:$AH$258, MATCH(0, IF(TRUE=$AF$10:$AF$258, COUNTIF($AK$9:$AK228, $AH$10:$AH$258), ""), 0)),"")</f>
        <v/>
      </c>
      <c r="AL229" s="31" t="str">
        <f>IFERROR(INDEX('G-6 Hedgerow Data'!$BJ$3:$BJ$15,MATCH(D229,'G-6 Hedgerow Data'!$B$3:$B$15,0)),"")</f>
        <v/>
      </c>
    </row>
    <row r="230" spans="2:38" ht="14" x14ac:dyDescent="0.3">
      <c r="B230" s="141">
        <v>221</v>
      </c>
      <c r="C230" s="203"/>
      <c r="D230" s="203"/>
      <c r="E230" s="153"/>
      <c r="F230" s="553" t="str">
        <f>IF(D230="","",VLOOKUP(D230,'G-6 Hedgerow Data'!$B$2:$AG$15,2,FALSE))</f>
        <v/>
      </c>
      <c r="G230" s="499" t="str">
        <f>IF(D230="","",VLOOKUP(D230,'G-6 Hedgerow Data'!$B$2:$AG$15,3,FALSE))</f>
        <v/>
      </c>
      <c r="H230" s="145"/>
      <c r="I230" s="499" t="str">
        <f>IFERROR(VLOOKUP(H230,'G-1 All Habitats'!$Z$2:$AA$9,2,FALSE),"")</f>
        <v/>
      </c>
      <c r="J230" s="145"/>
      <c r="K230" s="507" t="str">
        <f>IF(J230="","",IF(VLOOKUP(J230,'G-3 Multipliers'!$L$3:$N$6,2,FALSE)=0,"Spatial Data Missing ⚠",VLOOKUP(J230,'G-3 Multipliers'!$L$3:$N$6,2,FALSE)))</f>
        <v/>
      </c>
      <c r="L230" s="505" t="str">
        <f>IF(J230="","",IF(VLOOKUP(J230,'G-3 Multipliers'!$L$3:$N$6,3,FALSE)=0,"Spatial Data Missing ⚠",VLOOKUP(J230,'G-3 Multipliers'!$L$3:$N$6,3,FALSE)))</f>
        <v/>
      </c>
      <c r="M230" s="506" t="str">
        <f>IF(D230="","",VLOOKUP(D230,'G-6 Hedgerow Data'!$B$1:$AH$15,33,FALSE))</f>
        <v/>
      </c>
      <c r="N230" s="513" t="str">
        <f t="shared" si="23"/>
        <v/>
      </c>
      <c r="O230" s="40"/>
      <c r="P230" s="154"/>
      <c r="Q230" s="203"/>
      <c r="R230" s="532" t="str">
        <f t="shared" si="24"/>
        <v/>
      </c>
      <c r="S230" s="532" t="str">
        <f t="shared" si="25"/>
        <v/>
      </c>
      <c r="T230" s="532" t="str">
        <f t="shared" si="26"/>
        <v/>
      </c>
      <c r="U230" s="557" t="str">
        <f t="shared" si="27"/>
        <v/>
      </c>
      <c r="V230" s="151"/>
      <c r="W230" s="152"/>
      <c r="AE230" s="156" t="str">
        <f t="shared" si="21"/>
        <v/>
      </c>
      <c r="AF230" s="156" t="str">
        <f t="shared" si="22"/>
        <v/>
      </c>
      <c r="AH230" s="156">
        <v>221</v>
      </c>
      <c r="AJ230" s="156" t="str">
        <f t="array" ref="AJ230">IFERROR(INDEX($AH$10:$AH$258, MATCH(0, IF(TRUE=$AE$10:$AE$258, COUNTIF($AJ$9:$AJ229, $AH$10:$AH$258), ""), 0)),"")</f>
        <v/>
      </c>
      <c r="AK230" s="156" t="str">
        <f t="array" ref="AK230">IFERROR(INDEX($AH$10:$AH$258, MATCH(0, IF(TRUE=$AF$10:$AF$258, COUNTIF($AK$9:$AK229, $AH$10:$AH$258), ""), 0)),"")</f>
        <v/>
      </c>
      <c r="AL230" s="31" t="str">
        <f>IFERROR(INDEX('G-6 Hedgerow Data'!$BJ$3:$BJ$15,MATCH(D230,'G-6 Hedgerow Data'!$B$3:$B$15,0)),"")</f>
        <v/>
      </c>
    </row>
    <row r="231" spans="2:38" ht="14" x14ac:dyDescent="0.3">
      <c r="B231" s="141">
        <v>222</v>
      </c>
      <c r="C231" s="203"/>
      <c r="D231" s="203"/>
      <c r="E231" s="153"/>
      <c r="F231" s="553" t="str">
        <f>IF(D231="","",VLOOKUP(D231,'G-6 Hedgerow Data'!$B$2:$AG$15,2,FALSE))</f>
        <v/>
      </c>
      <c r="G231" s="499" t="str">
        <f>IF(D231="","",VLOOKUP(D231,'G-6 Hedgerow Data'!$B$2:$AG$15,3,FALSE))</f>
        <v/>
      </c>
      <c r="H231" s="145"/>
      <c r="I231" s="499" t="str">
        <f>IFERROR(VLOOKUP(H231,'G-1 All Habitats'!$Z$2:$AA$9,2,FALSE),"")</f>
        <v/>
      </c>
      <c r="J231" s="145"/>
      <c r="K231" s="507" t="str">
        <f>IF(J231="","",IF(VLOOKUP(J231,'G-3 Multipliers'!$L$3:$N$6,2,FALSE)=0,"Spatial Data Missing ⚠",VLOOKUP(J231,'G-3 Multipliers'!$L$3:$N$6,2,FALSE)))</f>
        <v/>
      </c>
      <c r="L231" s="505" t="str">
        <f>IF(J231="","",IF(VLOOKUP(J231,'G-3 Multipliers'!$L$3:$N$6,3,FALSE)=0,"Spatial Data Missing ⚠",VLOOKUP(J231,'G-3 Multipliers'!$L$3:$N$6,3,FALSE)))</f>
        <v/>
      </c>
      <c r="M231" s="506" t="str">
        <f>IF(D231="","",VLOOKUP(D231,'G-6 Hedgerow Data'!$B$1:$AH$15,33,FALSE))</f>
        <v/>
      </c>
      <c r="N231" s="513" t="str">
        <f t="shared" si="23"/>
        <v/>
      </c>
      <c r="O231" s="40"/>
      <c r="P231" s="154"/>
      <c r="Q231" s="203"/>
      <c r="R231" s="532" t="str">
        <f t="shared" si="24"/>
        <v/>
      </c>
      <c r="S231" s="532" t="str">
        <f t="shared" si="25"/>
        <v/>
      </c>
      <c r="T231" s="532" t="str">
        <f t="shared" si="26"/>
        <v/>
      </c>
      <c r="U231" s="557" t="str">
        <f t="shared" si="27"/>
        <v/>
      </c>
      <c r="V231" s="151"/>
      <c r="W231" s="152"/>
      <c r="AE231" s="156" t="str">
        <f t="shared" si="21"/>
        <v/>
      </c>
      <c r="AF231" s="156" t="str">
        <f t="shared" si="22"/>
        <v/>
      </c>
      <c r="AH231" s="156">
        <v>222</v>
      </c>
      <c r="AJ231" s="156" t="str">
        <f t="array" ref="AJ231">IFERROR(INDEX($AH$10:$AH$258, MATCH(0, IF(TRUE=$AE$10:$AE$258, COUNTIF($AJ$9:$AJ230, $AH$10:$AH$258), ""), 0)),"")</f>
        <v/>
      </c>
      <c r="AK231" s="156" t="str">
        <f t="array" ref="AK231">IFERROR(INDEX($AH$10:$AH$258, MATCH(0, IF(TRUE=$AF$10:$AF$258, COUNTIF($AK$9:$AK230, $AH$10:$AH$258), ""), 0)),"")</f>
        <v/>
      </c>
      <c r="AL231" s="31" t="str">
        <f>IFERROR(INDEX('G-6 Hedgerow Data'!$BJ$3:$BJ$15,MATCH(D231,'G-6 Hedgerow Data'!$B$3:$B$15,0)),"")</f>
        <v/>
      </c>
    </row>
    <row r="232" spans="2:38" ht="14" x14ac:dyDescent="0.3">
      <c r="B232" s="141">
        <v>223</v>
      </c>
      <c r="C232" s="203"/>
      <c r="D232" s="203"/>
      <c r="E232" s="153"/>
      <c r="F232" s="553" t="str">
        <f>IF(D232="","",VLOOKUP(D232,'G-6 Hedgerow Data'!$B$2:$AG$15,2,FALSE))</f>
        <v/>
      </c>
      <c r="G232" s="499" t="str">
        <f>IF(D232="","",VLOOKUP(D232,'G-6 Hedgerow Data'!$B$2:$AG$15,3,FALSE))</f>
        <v/>
      </c>
      <c r="H232" s="145"/>
      <c r="I232" s="499" t="str">
        <f>IFERROR(VLOOKUP(H232,'G-1 All Habitats'!$Z$2:$AA$9,2,FALSE),"")</f>
        <v/>
      </c>
      <c r="J232" s="145"/>
      <c r="K232" s="507" t="str">
        <f>IF(J232="","",IF(VLOOKUP(J232,'G-3 Multipliers'!$L$3:$N$6,2,FALSE)=0,"Spatial Data Missing ⚠",VLOOKUP(J232,'G-3 Multipliers'!$L$3:$N$6,2,FALSE)))</f>
        <v/>
      </c>
      <c r="L232" s="505" t="str">
        <f>IF(J232="","",IF(VLOOKUP(J232,'G-3 Multipliers'!$L$3:$N$6,3,FALSE)=0,"Spatial Data Missing ⚠",VLOOKUP(J232,'G-3 Multipliers'!$L$3:$N$6,3,FALSE)))</f>
        <v/>
      </c>
      <c r="M232" s="506" t="str">
        <f>IF(D232="","",VLOOKUP(D232,'G-6 Hedgerow Data'!$B$1:$AH$15,33,FALSE))</f>
        <v/>
      </c>
      <c r="N232" s="513" t="str">
        <f t="shared" si="23"/>
        <v/>
      </c>
      <c r="O232" s="40"/>
      <c r="P232" s="154"/>
      <c r="Q232" s="203"/>
      <c r="R232" s="532" t="str">
        <f t="shared" si="24"/>
        <v/>
      </c>
      <c r="S232" s="532" t="str">
        <f t="shared" si="25"/>
        <v/>
      </c>
      <c r="T232" s="532" t="str">
        <f t="shared" si="26"/>
        <v/>
      </c>
      <c r="U232" s="557" t="str">
        <f t="shared" si="27"/>
        <v/>
      </c>
      <c r="V232" s="151"/>
      <c r="W232" s="152"/>
      <c r="AE232" s="156" t="str">
        <f t="shared" si="21"/>
        <v/>
      </c>
      <c r="AF232" s="156" t="str">
        <f t="shared" si="22"/>
        <v/>
      </c>
      <c r="AH232" s="156">
        <v>223</v>
      </c>
      <c r="AJ232" s="156" t="str">
        <f t="array" ref="AJ232">IFERROR(INDEX($AH$10:$AH$258, MATCH(0, IF(TRUE=$AE$10:$AE$258, COUNTIF($AJ$9:$AJ231, $AH$10:$AH$258), ""), 0)),"")</f>
        <v/>
      </c>
      <c r="AK232" s="156" t="str">
        <f t="array" ref="AK232">IFERROR(INDEX($AH$10:$AH$258, MATCH(0, IF(TRUE=$AF$10:$AF$258, COUNTIF($AK$9:$AK231, $AH$10:$AH$258), ""), 0)),"")</f>
        <v/>
      </c>
      <c r="AL232" s="31" t="str">
        <f>IFERROR(INDEX('G-6 Hedgerow Data'!$BJ$3:$BJ$15,MATCH(D232,'G-6 Hedgerow Data'!$B$3:$B$15,0)),"")</f>
        <v/>
      </c>
    </row>
    <row r="233" spans="2:38" ht="14" x14ac:dyDescent="0.3">
      <c r="B233" s="141">
        <v>224</v>
      </c>
      <c r="C233" s="203"/>
      <c r="D233" s="203"/>
      <c r="E233" s="153"/>
      <c r="F233" s="553" t="str">
        <f>IF(D233="","",VLOOKUP(D233,'G-6 Hedgerow Data'!$B$2:$AG$15,2,FALSE))</f>
        <v/>
      </c>
      <c r="G233" s="499" t="str">
        <f>IF(D233="","",VLOOKUP(D233,'G-6 Hedgerow Data'!$B$2:$AG$15,3,FALSE))</f>
        <v/>
      </c>
      <c r="H233" s="145"/>
      <c r="I233" s="499" t="str">
        <f>IFERROR(VLOOKUP(H233,'G-1 All Habitats'!$Z$2:$AA$9,2,FALSE),"")</f>
        <v/>
      </c>
      <c r="J233" s="145"/>
      <c r="K233" s="507" t="str">
        <f>IF(J233="","",IF(VLOOKUP(J233,'G-3 Multipliers'!$L$3:$N$6,2,FALSE)=0,"Spatial Data Missing ⚠",VLOOKUP(J233,'G-3 Multipliers'!$L$3:$N$6,2,FALSE)))</f>
        <v/>
      </c>
      <c r="L233" s="505" t="str">
        <f>IF(J233="","",IF(VLOOKUP(J233,'G-3 Multipliers'!$L$3:$N$6,3,FALSE)=0,"Spatial Data Missing ⚠",VLOOKUP(J233,'G-3 Multipliers'!$L$3:$N$6,3,FALSE)))</f>
        <v/>
      </c>
      <c r="M233" s="506" t="str">
        <f>IF(D233="","",VLOOKUP(D233,'G-6 Hedgerow Data'!$B$1:$AH$15,33,FALSE))</f>
        <v/>
      </c>
      <c r="N233" s="513" t="str">
        <f t="shared" si="23"/>
        <v/>
      </c>
      <c r="O233" s="40"/>
      <c r="P233" s="154"/>
      <c r="Q233" s="203"/>
      <c r="R233" s="532" t="str">
        <f t="shared" si="24"/>
        <v/>
      </c>
      <c r="S233" s="532" t="str">
        <f t="shared" si="25"/>
        <v/>
      </c>
      <c r="T233" s="532" t="str">
        <f t="shared" si="26"/>
        <v/>
      </c>
      <c r="U233" s="557" t="str">
        <f t="shared" si="27"/>
        <v/>
      </c>
      <c r="V233" s="151"/>
      <c r="W233" s="152"/>
      <c r="AE233" s="156" t="str">
        <f t="shared" si="21"/>
        <v/>
      </c>
      <c r="AF233" s="156" t="str">
        <f t="shared" si="22"/>
        <v/>
      </c>
      <c r="AH233" s="156">
        <v>224</v>
      </c>
      <c r="AJ233" s="156" t="str">
        <f t="array" ref="AJ233">IFERROR(INDEX($AH$10:$AH$258, MATCH(0, IF(TRUE=$AE$10:$AE$258, COUNTIF($AJ$9:$AJ232, $AH$10:$AH$258), ""), 0)),"")</f>
        <v/>
      </c>
      <c r="AK233" s="156" t="str">
        <f t="array" ref="AK233">IFERROR(INDEX($AH$10:$AH$258, MATCH(0, IF(TRUE=$AF$10:$AF$258, COUNTIF($AK$9:$AK232, $AH$10:$AH$258), ""), 0)),"")</f>
        <v/>
      </c>
      <c r="AL233" s="31" t="str">
        <f>IFERROR(INDEX('G-6 Hedgerow Data'!$BJ$3:$BJ$15,MATCH(D233,'G-6 Hedgerow Data'!$B$3:$B$15,0)),"")</f>
        <v/>
      </c>
    </row>
    <row r="234" spans="2:38" ht="14" x14ac:dyDescent="0.3">
      <c r="B234" s="141">
        <v>225</v>
      </c>
      <c r="C234" s="203"/>
      <c r="D234" s="203"/>
      <c r="E234" s="153"/>
      <c r="F234" s="553" t="str">
        <f>IF(D234="","",VLOOKUP(D234,'G-6 Hedgerow Data'!$B$2:$AG$15,2,FALSE))</f>
        <v/>
      </c>
      <c r="G234" s="499" t="str">
        <f>IF(D234="","",VLOOKUP(D234,'G-6 Hedgerow Data'!$B$2:$AG$15,3,FALSE))</f>
        <v/>
      </c>
      <c r="H234" s="145"/>
      <c r="I234" s="499" t="str">
        <f>IFERROR(VLOOKUP(H234,'G-1 All Habitats'!$Z$2:$AA$9,2,FALSE),"")</f>
        <v/>
      </c>
      <c r="J234" s="145"/>
      <c r="K234" s="507" t="str">
        <f>IF(J234="","",IF(VLOOKUP(J234,'G-3 Multipliers'!$L$3:$N$6,2,FALSE)=0,"Spatial Data Missing ⚠",VLOOKUP(J234,'G-3 Multipliers'!$L$3:$N$6,2,FALSE)))</f>
        <v/>
      </c>
      <c r="L234" s="505" t="str">
        <f>IF(J234="","",IF(VLOOKUP(J234,'G-3 Multipliers'!$L$3:$N$6,3,FALSE)=0,"Spatial Data Missing ⚠",VLOOKUP(J234,'G-3 Multipliers'!$L$3:$N$6,3,FALSE)))</f>
        <v/>
      </c>
      <c r="M234" s="506" t="str">
        <f>IF(D234="","",VLOOKUP(D234,'G-6 Hedgerow Data'!$B$1:$AH$15,33,FALSE))</f>
        <v/>
      </c>
      <c r="N234" s="513" t="str">
        <f t="shared" si="23"/>
        <v/>
      </c>
      <c r="O234" s="40"/>
      <c r="P234" s="154"/>
      <c r="Q234" s="203"/>
      <c r="R234" s="532" t="str">
        <f t="shared" si="24"/>
        <v/>
      </c>
      <c r="S234" s="532" t="str">
        <f t="shared" si="25"/>
        <v/>
      </c>
      <c r="T234" s="532" t="str">
        <f t="shared" si="26"/>
        <v/>
      </c>
      <c r="U234" s="557" t="str">
        <f t="shared" si="27"/>
        <v/>
      </c>
      <c r="V234" s="151"/>
      <c r="W234" s="152"/>
      <c r="AE234" s="156" t="str">
        <f t="shared" si="21"/>
        <v/>
      </c>
      <c r="AF234" s="156" t="str">
        <f t="shared" si="22"/>
        <v/>
      </c>
      <c r="AH234" s="156">
        <v>225</v>
      </c>
      <c r="AJ234" s="156" t="str">
        <f t="array" ref="AJ234">IFERROR(INDEX($AH$10:$AH$258, MATCH(0, IF(TRUE=$AE$10:$AE$258, COUNTIF($AJ$9:$AJ233, $AH$10:$AH$258), ""), 0)),"")</f>
        <v/>
      </c>
      <c r="AK234" s="156" t="str">
        <f t="array" ref="AK234">IFERROR(INDEX($AH$10:$AH$258, MATCH(0, IF(TRUE=$AF$10:$AF$258, COUNTIF($AK$9:$AK233, $AH$10:$AH$258), ""), 0)),"")</f>
        <v/>
      </c>
      <c r="AL234" s="31" t="str">
        <f>IFERROR(INDEX('G-6 Hedgerow Data'!$BJ$3:$BJ$15,MATCH(D234,'G-6 Hedgerow Data'!$B$3:$B$15,0)),"")</f>
        <v/>
      </c>
    </row>
    <row r="235" spans="2:38" ht="14" x14ac:dyDescent="0.3">
      <c r="B235" s="141">
        <v>226</v>
      </c>
      <c r="C235" s="203"/>
      <c r="D235" s="203"/>
      <c r="E235" s="153"/>
      <c r="F235" s="553" t="str">
        <f>IF(D235="","",VLOOKUP(D235,'G-6 Hedgerow Data'!$B$2:$AG$15,2,FALSE))</f>
        <v/>
      </c>
      <c r="G235" s="499" t="str">
        <f>IF(D235="","",VLOOKUP(D235,'G-6 Hedgerow Data'!$B$2:$AG$15,3,FALSE))</f>
        <v/>
      </c>
      <c r="H235" s="145"/>
      <c r="I235" s="499" t="str">
        <f>IFERROR(VLOOKUP(H235,'G-1 All Habitats'!$Z$2:$AA$9,2,FALSE),"")</f>
        <v/>
      </c>
      <c r="J235" s="145"/>
      <c r="K235" s="507" t="str">
        <f>IF(J235="","",IF(VLOOKUP(J235,'G-3 Multipliers'!$L$3:$N$6,2,FALSE)=0,"Spatial Data Missing ⚠",VLOOKUP(J235,'G-3 Multipliers'!$L$3:$N$6,2,FALSE)))</f>
        <v/>
      </c>
      <c r="L235" s="505" t="str">
        <f>IF(J235="","",IF(VLOOKUP(J235,'G-3 Multipliers'!$L$3:$N$6,3,FALSE)=0,"Spatial Data Missing ⚠",VLOOKUP(J235,'G-3 Multipliers'!$L$3:$N$6,3,FALSE)))</f>
        <v/>
      </c>
      <c r="M235" s="506" t="str">
        <f>IF(D235="","",VLOOKUP(D235,'G-6 Hedgerow Data'!$B$1:$AH$15,33,FALSE))</f>
        <v/>
      </c>
      <c r="N235" s="513" t="str">
        <f t="shared" si="23"/>
        <v/>
      </c>
      <c r="O235" s="40"/>
      <c r="P235" s="154"/>
      <c r="Q235" s="203"/>
      <c r="R235" s="532" t="str">
        <f t="shared" si="24"/>
        <v/>
      </c>
      <c r="S235" s="532" t="str">
        <f t="shared" si="25"/>
        <v/>
      </c>
      <c r="T235" s="532" t="str">
        <f t="shared" si="26"/>
        <v/>
      </c>
      <c r="U235" s="557" t="str">
        <f t="shared" si="27"/>
        <v/>
      </c>
      <c r="V235" s="151"/>
      <c r="W235" s="152"/>
      <c r="AE235" s="156" t="str">
        <f t="shared" si="21"/>
        <v/>
      </c>
      <c r="AF235" s="156" t="str">
        <f t="shared" si="22"/>
        <v/>
      </c>
      <c r="AH235" s="156">
        <v>226</v>
      </c>
      <c r="AJ235" s="156" t="str">
        <f t="array" ref="AJ235">IFERROR(INDEX($AH$10:$AH$258, MATCH(0, IF(TRUE=$AE$10:$AE$258, COUNTIF($AJ$9:$AJ234, $AH$10:$AH$258), ""), 0)),"")</f>
        <v/>
      </c>
      <c r="AK235" s="156" t="str">
        <f t="array" ref="AK235">IFERROR(INDEX($AH$10:$AH$258, MATCH(0, IF(TRUE=$AF$10:$AF$258, COUNTIF($AK$9:$AK234, $AH$10:$AH$258), ""), 0)),"")</f>
        <v/>
      </c>
      <c r="AL235" s="31" t="str">
        <f>IFERROR(INDEX('G-6 Hedgerow Data'!$BJ$3:$BJ$15,MATCH(D235,'G-6 Hedgerow Data'!$B$3:$B$15,0)),"")</f>
        <v/>
      </c>
    </row>
    <row r="236" spans="2:38" ht="14" x14ac:dyDescent="0.3">
      <c r="B236" s="141">
        <v>227</v>
      </c>
      <c r="C236" s="203"/>
      <c r="D236" s="203"/>
      <c r="E236" s="153"/>
      <c r="F236" s="553" t="str">
        <f>IF(D236="","",VLOOKUP(D236,'G-6 Hedgerow Data'!$B$2:$AG$15,2,FALSE))</f>
        <v/>
      </c>
      <c r="G236" s="499" t="str">
        <f>IF(D236="","",VLOOKUP(D236,'G-6 Hedgerow Data'!$B$2:$AG$15,3,FALSE))</f>
        <v/>
      </c>
      <c r="H236" s="145"/>
      <c r="I236" s="499" t="str">
        <f>IFERROR(VLOOKUP(H236,'G-1 All Habitats'!$Z$2:$AA$9,2,FALSE),"")</f>
        <v/>
      </c>
      <c r="J236" s="145"/>
      <c r="K236" s="507" t="str">
        <f>IF(J236="","",IF(VLOOKUP(J236,'G-3 Multipliers'!$L$3:$N$6,2,FALSE)=0,"Spatial Data Missing ⚠",VLOOKUP(J236,'G-3 Multipliers'!$L$3:$N$6,2,FALSE)))</f>
        <v/>
      </c>
      <c r="L236" s="505" t="str">
        <f>IF(J236="","",IF(VLOOKUP(J236,'G-3 Multipliers'!$L$3:$N$6,3,FALSE)=0,"Spatial Data Missing ⚠",VLOOKUP(J236,'G-3 Multipliers'!$L$3:$N$6,3,FALSE)))</f>
        <v/>
      </c>
      <c r="M236" s="506" t="str">
        <f>IF(D236="","",VLOOKUP(D236,'G-6 Hedgerow Data'!$B$1:$AH$15,33,FALSE))</f>
        <v/>
      </c>
      <c r="N236" s="513" t="str">
        <f t="shared" si="23"/>
        <v/>
      </c>
      <c r="O236" s="40"/>
      <c r="P236" s="154"/>
      <c r="Q236" s="203"/>
      <c r="R236" s="532" t="str">
        <f t="shared" si="24"/>
        <v/>
      </c>
      <c r="S236" s="532" t="str">
        <f t="shared" si="25"/>
        <v/>
      </c>
      <c r="T236" s="532" t="str">
        <f t="shared" si="26"/>
        <v/>
      </c>
      <c r="U236" s="557" t="str">
        <f t="shared" si="27"/>
        <v/>
      </c>
      <c r="V236" s="151"/>
      <c r="W236" s="152"/>
      <c r="AE236" s="156" t="str">
        <f t="shared" si="21"/>
        <v/>
      </c>
      <c r="AF236" s="156" t="str">
        <f t="shared" si="22"/>
        <v/>
      </c>
      <c r="AH236" s="156">
        <v>227</v>
      </c>
      <c r="AJ236" s="156" t="str">
        <f t="array" ref="AJ236">IFERROR(INDEX($AH$10:$AH$258, MATCH(0, IF(TRUE=$AE$10:$AE$258, COUNTIF($AJ$9:$AJ235, $AH$10:$AH$258), ""), 0)),"")</f>
        <v/>
      </c>
      <c r="AK236" s="156" t="str">
        <f t="array" ref="AK236">IFERROR(INDEX($AH$10:$AH$258, MATCH(0, IF(TRUE=$AF$10:$AF$258, COUNTIF($AK$9:$AK235, $AH$10:$AH$258), ""), 0)),"")</f>
        <v/>
      </c>
      <c r="AL236" s="31" t="str">
        <f>IFERROR(INDEX('G-6 Hedgerow Data'!$BJ$3:$BJ$15,MATCH(D236,'G-6 Hedgerow Data'!$B$3:$B$15,0)),"")</f>
        <v/>
      </c>
    </row>
    <row r="237" spans="2:38" ht="14" x14ac:dyDescent="0.3">
      <c r="B237" s="141">
        <v>228</v>
      </c>
      <c r="C237" s="203"/>
      <c r="D237" s="203"/>
      <c r="E237" s="153"/>
      <c r="F237" s="553" t="str">
        <f>IF(D237="","",VLOOKUP(D237,'G-6 Hedgerow Data'!$B$2:$AG$15,2,FALSE))</f>
        <v/>
      </c>
      <c r="G237" s="499" t="str">
        <f>IF(D237="","",VLOOKUP(D237,'G-6 Hedgerow Data'!$B$2:$AG$15,3,FALSE))</f>
        <v/>
      </c>
      <c r="H237" s="145"/>
      <c r="I237" s="499" t="str">
        <f>IFERROR(VLOOKUP(H237,'G-1 All Habitats'!$Z$2:$AA$9,2,FALSE),"")</f>
        <v/>
      </c>
      <c r="J237" s="145"/>
      <c r="K237" s="507" t="str">
        <f>IF(J237="","",IF(VLOOKUP(J237,'G-3 Multipliers'!$L$3:$N$6,2,FALSE)=0,"Spatial Data Missing ⚠",VLOOKUP(J237,'G-3 Multipliers'!$L$3:$N$6,2,FALSE)))</f>
        <v/>
      </c>
      <c r="L237" s="505" t="str">
        <f>IF(J237="","",IF(VLOOKUP(J237,'G-3 Multipliers'!$L$3:$N$6,3,FALSE)=0,"Spatial Data Missing ⚠",VLOOKUP(J237,'G-3 Multipliers'!$L$3:$N$6,3,FALSE)))</f>
        <v/>
      </c>
      <c r="M237" s="506" t="str">
        <f>IF(D237="","",VLOOKUP(D237,'G-6 Hedgerow Data'!$B$1:$AH$15,33,FALSE))</f>
        <v/>
      </c>
      <c r="N237" s="513" t="str">
        <f t="shared" si="23"/>
        <v/>
      </c>
      <c r="O237" s="40"/>
      <c r="P237" s="154"/>
      <c r="Q237" s="203"/>
      <c r="R237" s="532" t="str">
        <f t="shared" si="24"/>
        <v/>
      </c>
      <c r="S237" s="532" t="str">
        <f t="shared" si="25"/>
        <v/>
      </c>
      <c r="T237" s="532" t="str">
        <f t="shared" si="26"/>
        <v/>
      </c>
      <c r="U237" s="557" t="str">
        <f t="shared" si="27"/>
        <v/>
      </c>
      <c r="V237" s="151"/>
      <c r="W237" s="152"/>
      <c r="AE237" s="156" t="str">
        <f t="shared" si="21"/>
        <v/>
      </c>
      <c r="AF237" s="156" t="str">
        <f t="shared" si="22"/>
        <v/>
      </c>
      <c r="AH237" s="156">
        <v>228</v>
      </c>
      <c r="AJ237" s="156" t="str">
        <f t="array" ref="AJ237">IFERROR(INDEX($AH$10:$AH$258, MATCH(0, IF(TRUE=$AE$10:$AE$258, COUNTIF($AJ$9:$AJ236, $AH$10:$AH$258), ""), 0)),"")</f>
        <v/>
      </c>
      <c r="AK237" s="156" t="str">
        <f t="array" ref="AK237">IFERROR(INDEX($AH$10:$AH$258, MATCH(0, IF(TRUE=$AF$10:$AF$258, COUNTIF($AK$9:$AK236, $AH$10:$AH$258), ""), 0)),"")</f>
        <v/>
      </c>
      <c r="AL237" s="31" t="str">
        <f>IFERROR(INDEX('G-6 Hedgerow Data'!$BJ$3:$BJ$15,MATCH(D237,'G-6 Hedgerow Data'!$B$3:$B$15,0)),"")</f>
        <v/>
      </c>
    </row>
    <row r="238" spans="2:38" ht="14" x14ac:dyDescent="0.3">
      <c r="B238" s="141">
        <v>229</v>
      </c>
      <c r="C238" s="203"/>
      <c r="D238" s="203"/>
      <c r="E238" s="153"/>
      <c r="F238" s="553" t="str">
        <f>IF(D238="","",VLOOKUP(D238,'G-6 Hedgerow Data'!$B$2:$AG$15,2,FALSE))</f>
        <v/>
      </c>
      <c r="G238" s="499" t="str">
        <f>IF(D238="","",VLOOKUP(D238,'G-6 Hedgerow Data'!$B$2:$AG$15,3,FALSE))</f>
        <v/>
      </c>
      <c r="H238" s="145"/>
      <c r="I238" s="499" t="str">
        <f>IFERROR(VLOOKUP(H238,'G-1 All Habitats'!$Z$2:$AA$9,2,FALSE),"")</f>
        <v/>
      </c>
      <c r="J238" s="145"/>
      <c r="K238" s="507" t="str">
        <f>IF(J238="","",IF(VLOOKUP(J238,'G-3 Multipliers'!$L$3:$N$6,2,FALSE)=0,"Spatial Data Missing ⚠",VLOOKUP(J238,'G-3 Multipliers'!$L$3:$N$6,2,FALSE)))</f>
        <v/>
      </c>
      <c r="L238" s="505" t="str">
        <f>IF(J238="","",IF(VLOOKUP(J238,'G-3 Multipliers'!$L$3:$N$6,3,FALSE)=0,"Spatial Data Missing ⚠",VLOOKUP(J238,'G-3 Multipliers'!$L$3:$N$6,3,FALSE)))</f>
        <v/>
      </c>
      <c r="M238" s="506" t="str">
        <f>IF(D238="","",VLOOKUP(D238,'G-6 Hedgerow Data'!$B$1:$AH$15,33,FALSE))</f>
        <v/>
      </c>
      <c r="N238" s="513" t="str">
        <f t="shared" si="23"/>
        <v/>
      </c>
      <c r="O238" s="40"/>
      <c r="P238" s="154"/>
      <c r="Q238" s="203"/>
      <c r="R238" s="532" t="str">
        <f t="shared" si="24"/>
        <v/>
      </c>
      <c r="S238" s="532" t="str">
        <f t="shared" si="25"/>
        <v/>
      </c>
      <c r="T238" s="532" t="str">
        <f t="shared" si="26"/>
        <v/>
      </c>
      <c r="U238" s="557" t="str">
        <f t="shared" si="27"/>
        <v/>
      </c>
      <c r="V238" s="151"/>
      <c r="W238" s="152"/>
      <c r="AE238" s="156" t="str">
        <f t="shared" si="21"/>
        <v/>
      </c>
      <c r="AF238" s="156" t="str">
        <f t="shared" si="22"/>
        <v/>
      </c>
      <c r="AH238" s="156">
        <v>229</v>
      </c>
      <c r="AJ238" s="156" t="str">
        <f t="array" ref="AJ238">IFERROR(INDEX($AH$10:$AH$258, MATCH(0, IF(TRUE=$AE$10:$AE$258, COUNTIF($AJ$9:$AJ237, $AH$10:$AH$258), ""), 0)),"")</f>
        <v/>
      </c>
      <c r="AK238" s="156" t="str">
        <f t="array" ref="AK238">IFERROR(INDEX($AH$10:$AH$258, MATCH(0, IF(TRUE=$AF$10:$AF$258, COUNTIF($AK$9:$AK237, $AH$10:$AH$258), ""), 0)),"")</f>
        <v/>
      </c>
      <c r="AL238" s="31" t="str">
        <f>IFERROR(INDEX('G-6 Hedgerow Data'!$BJ$3:$BJ$15,MATCH(D238,'G-6 Hedgerow Data'!$B$3:$B$15,0)),"")</f>
        <v/>
      </c>
    </row>
    <row r="239" spans="2:38" ht="14" x14ac:dyDescent="0.3">
      <c r="B239" s="141">
        <v>230</v>
      </c>
      <c r="C239" s="203"/>
      <c r="D239" s="203"/>
      <c r="E239" s="153"/>
      <c r="F239" s="553" t="str">
        <f>IF(D239="","",VLOOKUP(D239,'G-6 Hedgerow Data'!$B$2:$AG$15,2,FALSE))</f>
        <v/>
      </c>
      <c r="G239" s="499" t="str">
        <f>IF(D239="","",VLOOKUP(D239,'G-6 Hedgerow Data'!$B$2:$AG$15,3,FALSE))</f>
        <v/>
      </c>
      <c r="H239" s="145"/>
      <c r="I239" s="499" t="str">
        <f>IFERROR(VLOOKUP(H239,'G-1 All Habitats'!$Z$2:$AA$9,2,FALSE),"")</f>
        <v/>
      </c>
      <c r="J239" s="145"/>
      <c r="K239" s="507" t="str">
        <f>IF(J239="","",IF(VLOOKUP(J239,'G-3 Multipliers'!$L$3:$N$6,2,FALSE)=0,"Spatial Data Missing ⚠",VLOOKUP(J239,'G-3 Multipliers'!$L$3:$N$6,2,FALSE)))</f>
        <v/>
      </c>
      <c r="L239" s="505" t="str">
        <f>IF(J239="","",IF(VLOOKUP(J239,'G-3 Multipliers'!$L$3:$N$6,3,FALSE)=0,"Spatial Data Missing ⚠",VLOOKUP(J239,'G-3 Multipliers'!$L$3:$N$6,3,FALSE)))</f>
        <v/>
      </c>
      <c r="M239" s="506" t="str">
        <f>IF(D239="","",VLOOKUP(D239,'G-6 Hedgerow Data'!$B$1:$AH$15,33,FALSE))</f>
        <v/>
      </c>
      <c r="N239" s="513" t="str">
        <f t="shared" si="23"/>
        <v/>
      </c>
      <c r="O239" s="40"/>
      <c r="P239" s="154"/>
      <c r="Q239" s="203"/>
      <c r="R239" s="532" t="str">
        <f t="shared" si="24"/>
        <v/>
      </c>
      <c r="S239" s="532" t="str">
        <f t="shared" si="25"/>
        <v/>
      </c>
      <c r="T239" s="532" t="str">
        <f t="shared" si="26"/>
        <v/>
      </c>
      <c r="U239" s="557" t="str">
        <f t="shared" si="27"/>
        <v/>
      </c>
      <c r="V239" s="151"/>
      <c r="W239" s="152"/>
      <c r="AE239" s="156" t="str">
        <f t="shared" si="21"/>
        <v/>
      </c>
      <c r="AF239" s="156" t="str">
        <f t="shared" si="22"/>
        <v/>
      </c>
      <c r="AH239" s="156">
        <v>230</v>
      </c>
      <c r="AJ239" s="156" t="str">
        <f t="array" ref="AJ239">IFERROR(INDEX($AH$10:$AH$258, MATCH(0, IF(TRUE=$AE$10:$AE$258, COUNTIF($AJ$9:$AJ238, $AH$10:$AH$258), ""), 0)),"")</f>
        <v/>
      </c>
      <c r="AK239" s="156" t="str">
        <f t="array" ref="AK239">IFERROR(INDEX($AH$10:$AH$258, MATCH(0, IF(TRUE=$AF$10:$AF$258, COUNTIF($AK$9:$AK238, $AH$10:$AH$258), ""), 0)),"")</f>
        <v/>
      </c>
      <c r="AL239" s="31" t="str">
        <f>IFERROR(INDEX('G-6 Hedgerow Data'!$BJ$3:$BJ$15,MATCH(D239,'G-6 Hedgerow Data'!$B$3:$B$15,0)),"")</f>
        <v/>
      </c>
    </row>
    <row r="240" spans="2:38" ht="14" x14ac:dyDescent="0.3">
      <c r="B240" s="141">
        <v>231</v>
      </c>
      <c r="C240" s="203"/>
      <c r="D240" s="203"/>
      <c r="E240" s="153"/>
      <c r="F240" s="553" t="str">
        <f>IF(D240="","",VLOOKUP(D240,'G-6 Hedgerow Data'!$B$2:$AG$15,2,FALSE))</f>
        <v/>
      </c>
      <c r="G240" s="499" t="str">
        <f>IF(D240="","",VLOOKUP(D240,'G-6 Hedgerow Data'!$B$2:$AG$15,3,FALSE))</f>
        <v/>
      </c>
      <c r="H240" s="145"/>
      <c r="I240" s="499" t="str">
        <f>IFERROR(VLOOKUP(H240,'G-1 All Habitats'!$Z$2:$AA$9,2,FALSE),"")</f>
        <v/>
      </c>
      <c r="J240" s="145"/>
      <c r="K240" s="507" t="str">
        <f>IF(J240="","",IF(VLOOKUP(J240,'G-3 Multipliers'!$L$3:$N$6,2,FALSE)=0,"Spatial Data Missing ⚠",VLOOKUP(J240,'G-3 Multipliers'!$L$3:$N$6,2,FALSE)))</f>
        <v/>
      </c>
      <c r="L240" s="505" t="str">
        <f>IF(J240="","",IF(VLOOKUP(J240,'G-3 Multipliers'!$L$3:$N$6,3,FALSE)=0,"Spatial Data Missing ⚠",VLOOKUP(J240,'G-3 Multipliers'!$L$3:$N$6,3,FALSE)))</f>
        <v/>
      </c>
      <c r="M240" s="506" t="str">
        <f>IF(D240="","",VLOOKUP(D240,'G-6 Hedgerow Data'!$B$1:$AH$15,33,FALSE))</f>
        <v/>
      </c>
      <c r="N240" s="513" t="str">
        <f t="shared" si="23"/>
        <v/>
      </c>
      <c r="O240" s="40"/>
      <c r="P240" s="154"/>
      <c r="Q240" s="203"/>
      <c r="R240" s="532" t="str">
        <f t="shared" si="24"/>
        <v/>
      </c>
      <c r="S240" s="532" t="str">
        <f t="shared" si="25"/>
        <v/>
      </c>
      <c r="T240" s="532" t="str">
        <f t="shared" si="26"/>
        <v/>
      </c>
      <c r="U240" s="557" t="str">
        <f t="shared" si="27"/>
        <v/>
      </c>
      <c r="V240" s="151"/>
      <c r="W240" s="152"/>
      <c r="AE240" s="156" t="str">
        <f t="shared" si="21"/>
        <v/>
      </c>
      <c r="AF240" s="156" t="str">
        <f t="shared" si="22"/>
        <v/>
      </c>
      <c r="AH240" s="156">
        <v>231</v>
      </c>
      <c r="AJ240" s="156" t="str">
        <f t="array" ref="AJ240">IFERROR(INDEX($AH$10:$AH$258, MATCH(0, IF(TRUE=$AE$10:$AE$258, COUNTIF($AJ$9:$AJ239, $AH$10:$AH$258), ""), 0)),"")</f>
        <v/>
      </c>
      <c r="AK240" s="156" t="str">
        <f t="array" ref="AK240">IFERROR(INDEX($AH$10:$AH$258, MATCH(0, IF(TRUE=$AF$10:$AF$258, COUNTIF($AK$9:$AK239, $AH$10:$AH$258), ""), 0)),"")</f>
        <v/>
      </c>
      <c r="AL240" s="31" t="str">
        <f>IFERROR(INDEX('G-6 Hedgerow Data'!$BJ$3:$BJ$15,MATCH(D240,'G-6 Hedgerow Data'!$B$3:$B$15,0)),"")</f>
        <v/>
      </c>
    </row>
    <row r="241" spans="2:38" ht="14" x14ac:dyDescent="0.3">
      <c r="B241" s="141">
        <v>232</v>
      </c>
      <c r="C241" s="203"/>
      <c r="D241" s="203"/>
      <c r="E241" s="153"/>
      <c r="F241" s="553" t="str">
        <f>IF(D241="","",VLOOKUP(D241,'G-6 Hedgerow Data'!$B$2:$AG$15,2,FALSE))</f>
        <v/>
      </c>
      <c r="G241" s="499" t="str">
        <f>IF(D241="","",VLOOKUP(D241,'G-6 Hedgerow Data'!$B$2:$AG$15,3,FALSE))</f>
        <v/>
      </c>
      <c r="H241" s="145"/>
      <c r="I241" s="499" t="str">
        <f>IFERROR(VLOOKUP(H241,'G-1 All Habitats'!$Z$2:$AA$9,2,FALSE),"")</f>
        <v/>
      </c>
      <c r="J241" s="145"/>
      <c r="K241" s="507" t="str">
        <f>IF(J241="","",IF(VLOOKUP(J241,'G-3 Multipliers'!$L$3:$N$6,2,FALSE)=0,"Spatial Data Missing ⚠",VLOOKUP(J241,'G-3 Multipliers'!$L$3:$N$6,2,FALSE)))</f>
        <v/>
      </c>
      <c r="L241" s="505" t="str">
        <f>IF(J241="","",IF(VLOOKUP(J241,'G-3 Multipliers'!$L$3:$N$6,3,FALSE)=0,"Spatial Data Missing ⚠",VLOOKUP(J241,'G-3 Multipliers'!$L$3:$N$6,3,FALSE)))</f>
        <v/>
      </c>
      <c r="M241" s="506" t="str">
        <f>IF(D241="","",VLOOKUP(D241,'G-6 Hedgerow Data'!$B$1:$AH$15,33,FALSE))</f>
        <v/>
      </c>
      <c r="N241" s="513" t="str">
        <f t="shared" si="23"/>
        <v/>
      </c>
      <c r="O241" s="40"/>
      <c r="P241" s="154"/>
      <c r="Q241" s="203"/>
      <c r="R241" s="532" t="str">
        <f t="shared" si="24"/>
        <v/>
      </c>
      <c r="S241" s="532" t="str">
        <f t="shared" si="25"/>
        <v/>
      </c>
      <c r="T241" s="532" t="str">
        <f t="shared" si="26"/>
        <v/>
      </c>
      <c r="U241" s="557" t="str">
        <f t="shared" si="27"/>
        <v/>
      </c>
      <c r="V241" s="151"/>
      <c r="W241" s="152"/>
      <c r="AE241" s="156" t="str">
        <f t="shared" si="21"/>
        <v/>
      </c>
      <c r="AF241" s="156" t="str">
        <f t="shared" si="22"/>
        <v/>
      </c>
      <c r="AH241" s="156">
        <v>232</v>
      </c>
      <c r="AJ241" s="156" t="str">
        <f t="array" ref="AJ241">IFERROR(INDEX($AH$10:$AH$258, MATCH(0, IF(TRUE=$AE$10:$AE$258, COUNTIF($AJ$9:$AJ240, $AH$10:$AH$258), ""), 0)),"")</f>
        <v/>
      </c>
      <c r="AK241" s="156" t="str">
        <f t="array" ref="AK241">IFERROR(INDEX($AH$10:$AH$258, MATCH(0, IF(TRUE=$AF$10:$AF$258, COUNTIF($AK$9:$AK240, $AH$10:$AH$258), ""), 0)),"")</f>
        <v/>
      </c>
      <c r="AL241" s="31" t="str">
        <f>IFERROR(INDEX('G-6 Hedgerow Data'!$BJ$3:$BJ$15,MATCH(D241,'G-6 Hedgerow Data'!$B$3:$B$15,0)),"")</f>
        <v/>
      </c>
    </row>
    <row r="242" spans="2:38" ht="14" x14ac:dyDescent="0.3">
      <c r="B242" s="141">
        <v>233</v>
      </c>
      <c r="C242" s="203"/>
      <c r="D242" s="203"/>
      <c r="E242" s="153"/>
      <c r="F242" s="553" t="str">
        <f>IF(D242="","",VLOOKUP(D242,'G-6 Hedgerow Data'!$B$2:$AG$15,2,FALSE))</f>
        <v/>
      </c>
      <c r="G242" s="499" t="str">
        <f>IF(D242="","",VLOOKUP(D242,'G-6 Hedgerow Data'!$B$2:$AG$15,3,FALSE))</f>
        <v/>
      </c>
      <c r="H242" s="145"/>
      <c r="I242" s="499" t="str">
        <f>IFERROR(VLOOKUP(H242,'G-1 All Habitats'!$Z$2:$AA$9,2,FALSE),"")</f>
        <v/>
      </c>
      <c r="J242" s="145"/>
      <c r="K242" s="507" t="str">
        <f>IF(J242="","",IF(VLOOKUP(J242,'G-3 Multipliers'!$L$3:$N$6,2,FALSE)=0,"Spatial Data Missing ⚠",VLOOKUP(J242,'G-3 Multipliers'!$L$3:$N$6,2,FALSE)))</f>
        <v/>
      </c>
      <c r="L242" s="505" t="str">
        <f>IF(J242="","",IF(VLOOKUP(J242,'G-3 Multipliers'!$L$3:$N$6,3,FALSE)=0,"Spatial Data Missing ⚠",VLOOKUP(J242,'G-3 Multipliers'!$L$3:$N$6,3,FALSE)))</f>
        <v/>
      </c>
      <c r="M242" s="506" t="str">
        <f>IF(D242="","",VLOOKUP(D242,'G-6 Hedgerow Data'!$B$1:$AH$15,33,FALSE))</f>
        <v/>
      </c>
      <c r="N242" s="513" t="str">
        <f t="shared" si="23"/>
        <v/>
      </c>
      <c r="O242" s="40"/>
      <c r="P242" s="154"/>
      <c r="Q242" s="203"/>
      <c r="R242" s="532" t="str">
        <f t="shared" si="24"/>
        <v/>
      </c>
      <c r="S242" s="532" t="str">
        <f t="shared" si="25"/>
        <v/>
      </c>
      <c r="T242" s="532" t="str">
        <f t="shared" si="26"/>
        <v/>
      </c>
      <c r="U242" s="557" t="str">
        <f t="shared" si="27"/>
        <v/>
      </c>
      <c r="V242" s="151"/>
      <c r="W242" s="152"/>
      <c r="AE242" s="156" t="str">
        <f t="shared" si="21"/>
        <v/>
      </c>
      <c r="AF242" s="156" t="str">
        <f t="shared" si="22"/>
        <v/>
      </c>
      <c r="AH242" s="156">
        <v>233</v>
      </c>
      <c r="AJ242" s="156" t="str">
        <f t="array" ref="AJ242">IFERROR(INDEX($AH$10:$AH$258, MATCH(0, IF(TRUE=$AE$10:$AE$258, COUNTIF($AJ$9:$AJ241, $AH$10:$AH$258), ""), 0)),"")</f>
        <v/>
      </c>
      <c r="AK242" s="156" t="str">
        <f t="array" ref="AK242">IFERROR(INDEX($AH$10:$AH$258, MATCH(0, IF(TRUE=$AF$10:$AF$258, COUNTIF($AK$9:$AK241, $AH$10:$AH$258), ""), 0)),"")</f>
        <v/>
      </c>
      <c r="AL242" s="31" t="str">
        <f>IFERROR(INDEX('G-6 Hedgerow Data'!$BJ$3:$BJ$15,MATCH(D242,'G-6 Hedgerow Data'!$B$3:$B$15,0)),"")</f>
        <v/>
      </c>
    </row>
    <row r="243" spans="2:38" ht="14" x14ac:dyDescent="0.3">
      <c r="B243" s="141">
        <v>234</v>
      </c>
      <c r="C243" s="203"/>
      <c r="D243" s="203"/>
      <c r="E243" s="153"/>
      <c r="F243" s="553" t="str">
        <f>IF(D243="","",VLOOKUP(D243,'G-6 Hedgerow Data'!$B$2:$AG$15,2,FALSE))</f>
        <v/>
      </c>
      <c r="G243" s="499" t="str">
        <f>IF(D243="","",VLOOKUP(D243,'G-6 Hedgerow Data'!$B$2:$AG$15,3,FALSE))</f>
        <v/>
      </c>
      <c r="H243" s="145"/>
      <c r="I243" s="499" t="str">
        <f>IFERROR(VLOOKUP(H243,'G-1 All Habitats'!$Z$2:$AA$9,2,FALSE),"")</f>
        <v/>
      </c>
      <c r="J243" s="145"/>
      <c r="K243" s="507" t="str">
        <f>IF(J243="","",IF(VLOOKUP(J243,'G-3 Multipliers'!$L$3:$N$6,2,FALSE)=0,"Spatial Data Missing ⚠",VLOOKUP(J243,'G-3 Multipliers'!$L$3:$N$6,2,FALSE)))</f>
        <v/>
      </c>
      <c r="L243" s="505" t="str">
        <f>IF(J243="","",IF(VLOOKUP(J243,'G-3 Multipliers'!$L$3:$N$6,3,FALSE)=0,"Spatial Data Missing ⚠",VLOOKUP(J243,'G-3 Multipliers'!$L$3:$N$6,3,FALSE)))</f>
        <v/>
      </c>
      <c r="M243" s="506" t="str">
        <f>IF(D243="","",VLOOKUP(D243,'G-6 Hedgerow Data'!$B$1:$AH$15,33,FALSE))</f>
        <v/>
      </c>
      <c r="N243" s="513" t="str">
        <f t="shared" si="23"/>
        <v/>
      </c>
      <c r="O243" s="40"/>
      <c r="P243" s="154"/>
      <c r="Q243" s="203"/>
      <c r="R243" s="532" t="str">
        <f t="shared" si="24"/>
        <v/>
      </c>
      <c r="S243" s="532" t="str">
        <f t="shared" si="25"/>
        <v/>
      </c>
      <c r="T243" s="532" t="str">
        <f t="shared" si="26"/>
        <v/>
      </c>
      <c r="U243" s="557" t="str">
        <f t="shared" si="27"/>
        <v/>
      </c>
      <c r="V243" s="151"/>
      <c r="W243" s="152"/>
      <c r="AE243" s="156" t="str">
        <f t="shared" si="21"/>
        <v/>
      </c>
      <c r="AF243" s="156" t="str">
        <f t="shared" si="22"/>
        <v/>
      </c>
      <c r="AH243" s="156">
        <v>234</v>
      </c>
      <c r="AJ243" s="156" t="str">
        <f t="array" ref="AJ243">IFERROR(INDEX($AH$10:$AH$258, MATCH(0, IF(TRUE=$AE$10:$AE$258, COUNTIF($AJ$9:$AJ242, $AH$10:$AH$258), ""), 0)),"")</f>
        <v/>
      </c>
      <c r="AK243" s="156" t="str">
        <f t="array" ref="AK243">IFERROR(INDEX($AH$10:$AH$258, MATCH(0, IF(TRUE=$AF$10:$AF$258, COUNTIF($AK$9:$AK242, $AH$10:$AH$258), ""), 0)),"")</f>
        <v/>
      </c>
      <c r="AL243" s="31" t="str">
        <f>IFERROR(INDEX('G-6 Hedgerow Data'!$BJ$3:$BJ$15,MATCH(D243,'G-6 Hedgerow Data'!$B$3:$B$15,0)),"")</f>
        <v/>
      </c>
    </row>
    <row r="244" spans="2:38" ht="14" x14ac:dyDescent="0.3">
      <c r="B244" s="141">
        <v>235</v>
      </c>
      <c r="C244" s="203"/>
      <c r="D244" s="203"/>
      <c r="E244" s="153"/>
      <c r="F244" s="553" t="str">
        <f>IF(D244="","",VLOOKUP(D244,'G-6 Hedgerow Data'!$B$2:$AG$15,2,FALSE))</f>
        <v/>
      </c>
      <c r="G244" s="499" t="str">
        <f>IF(D244="","",VLOOKUP(D244,'G-6 Hedgerow Data'!$B$2:$AG$15,3,FALSE))</f>
        <v/>
      </c>
      <c r="H244" s="145"/>
      <c r="I244" s="499" t="str">
        <f>IFERROR(VLOOKUP(H244,'G-1 All Habitats'!$Z$2:$AA$9,2,FALSE),"")</f>
        <v/>
      </c>
      <c r="J244" s="145"/>
      <c r="K244" s="507" t="str">
        <f>IF(J244="","",IF(VLOOKUP(J244,'G-3 Multipliers'!$L$3:$N$6,2,FALSE)=0,"Spatial Data Missing ⚠",VLOOKUP(J244,'G-3 Multipliers'!$L$3:$N$6,2,FALSE)))</f>
        <v/>
      </c>
      <c r="L244" s="505" t="str">
        <f>IF(J244="","",IF(VLOOKUP(J244,'G-3 Multipliers'!$L$3:$N$6,3,FALSE)=0,"Spatial Data Missing ⚠",VLOOKUP(J244,'G-3 Multipliers'!$L$3:$N$6,3,FALSE)))</f>
        <v/>
      </c>
      <c r="M244" s="506" t="str">
        <f>IF(D244="","",VLOOKUP(D244,'G-6 Hedgerow Data'!$B$1:$AH$15,33,FALSE))</f>
        <v/>
      </c>
      <c r="N244" s="513" t="str">
        <f t="shared" si="23"/>
        <v/>
      </c>
      <c r="O244" s="40"/>
      <c r="P244" s="154"/>
      <c r="Q244" s="203"/>
      <c r="R244" s="532" t="str">
        <f t="shared" si="24"/>
        <v/>
      </c>
      <c r="S244" s="532" t="str">
        <f t="shared" si="25"/>
        <v/>
      </c>
      <c r="T244" s="532" t="str">
        <f t="shared" si="26"/>
        <v/>
      </c>
      <c r="U244" s="557" t="str">
        <f t="shared" si="27"/>
        <v/>
      </c>
      <c r="V244" s="151"/>
      <c r="W244" s="152"/>
      <c r="AE244" s="156" t="str">
        <f t="shared" si="21"/>
        <v/>
      </c>
      <c r="AF244" s="156" t="str">
        <f t="shared" si="22"/>
        <v/>
      </c>
      <c r="AH244" s="156">
        <v>235</v>
      </c>
      <c r="AJ244" s="156" t="str">
        <f t="array" ref="AJ244">IFERROR(INDEX($AH$10:$AH$258, MATCH(0, IF(TRUE=$AE$10:$AE$258, COUNTIF($AJ$9:$AJ243, $AH$10:$AH$258), ""), 0)),"")</f>
        <v/>
      </c>
      <c r="AK244" s="156" t="str">
        <f t="array" ref="AK244">IFERROR(INDEX($AH$10:$AH$258, MATCH(0, IF(TRUE=$AF$10:$AF$258, COUNTIF($AK$9:$AK243, $AH$10:$AH$258), ""), 0)),"")</f>
        <v/>
      </c>
      <c r="AL244" s="31" t="str">
        <f>IFERROR(INDEX('G-6 Hedgerow Data'!$BJ$3:$BJ$15,MATCH(D244,'G-6 Hedgerow Data'!$B$3:$B$15,0)),"")</f>
        <v/>
      </c>
    </row>
    <row r="245" spans="2:38" ht="14" x14ac:dyDescent="0.3">
      <c r="B245" s="141">
        <v>236</v>
      </c>
      <c r="C245" s="203"/>
      <c r="D245" s="203"/>
      <c r="E245" s="153"/>
      <c r="F245" s="553" t="str">
        <f>IF(D245="","",VLOOKUP(D245,'G-6 Hedgerow Data'!$B$2:$AG$15,2,FALSE))</f>
        <v/>
      </c>
      <c r="G245" s="499" t="str">
        <f>IF(D245="","",VLOOKUP(D245,'G-6 Hedgerow Data'!$B$2:$AG$15,3,FALSE))</f>
        <v/>
      </c>
      <c r="H245" s="145"/>
      <c r="I245" s="499" t="str">
        <f>IFERROR(VLOOKUP(H245,'G-1 All Habitats'!$Z$2:$AA$9,2,FALSE),"")</f>
        <v/>
      </c>
      <c r="J245" s="145"/>
      <c r="K245" s="507" t="str">
        <f>IF(J245="","",IF(VLOOKUP(J245,'G-3 Multipliers'!$L$3:$N$6,2,FALSE)=0,"Spatial Data Missing ⚠",VLOOKUP(J245,'G-3 Multipliers'!$L$3:$N$6,2,FALSE)))</f>
        <v/>
      </c>
      <c r="L245" s="505" t="str">
        <f>IF(J245="","",IF(VLOOKUP(J245,'G-3 Multipliers'!$L$3:$N$6,3,FALSE)=0,"Spatial Data Missing ⚠",VLOOKUP(J245,'G-3 Multipliers'!$L$3:$N$6,3,FALSE)))</f>
        <v/>
      </c>
      <c r="M245" s="506" t="str">
        <f>IF(D245="","",VLOOKUP(D245,'G-6 Hedgerow Data'!$B$1:$AH$15,33,FALSE))</f>
        <v/>
      </c>
      <c r="N245" s="513" t="str">
        <f t="shared" si="23"/>
        <v/>
      </c>
      <c r="O245" s="40"/>
      <c r="P245" s="154"/>
      <c r="Q245" s="203"/>
      <c r="R245" s="532" t="str">
        <f t="shared" si="24"/>
        <v/>
      </c>
      <c r="S245" s="532" t="str">
        <f t="shared" si="25"/>
        <v/>
      </c>
      <c r="T245" s="532" t="str">
        <f t="shared" si="26"/>
        <v/>
      </c>
      <c r="U245" s="557" t="str">
        <f t="shared" si="27"/>
        <v/>
      </c>
      <c r="V245" s="151"/>
      <c r="W245" s="152"/>
      <c r="AE245" s="156" t="str">
        <f t="shared" si="21"/>
        <v/>
      </c>
      <c r="AF245" s="156" t="str">
        <f t="shared" si="22"/>
        <v/>
      </c>
      <c r="AH245" s="156">
        <v>236</v>
      </c>
      <c r="AJ245" s="156" t="str">
        <f t="array" ref="AJ245">IFERROR(INDEX($AH$10:$AH$258, MATCH(0, IF(TRUE=$AE$10:$AE$258, COUNTIF($AJ$9:$AJ244, $AH$10:$AH$258), ""), 0)),"")</f>
        <v/>
      </c>
      <c r="AK245" s="156" t="str">
        <f t="array" ref="AK245">IFERROR(INDEX($AH$10:$AH$258, MATCH(0, IF(TRUE=$AF$10:$AF$258, COUNTIF($AK$9:$AK244, $AH$10:$AH$258), ""), 0)),"")</f>
        <v/>
      </c>
      <c r="AL245" s="31" t="str">
        <f>IFERROR(INDEX('G-6 Hedgerow Data'!$BJ$3:$BJ$15,MATCH(D245,'G-6 Hedgerow Data'!$B$3:$B$15,0)),"")</f>
        <v/>
      </c>
    </row>
    <row r="246" spans="2:38" ht="14" x14ac:dyDescent="0.3">
      <c r="B246" s="141">
        <v>237</v>
      </c>
      <c r="C246" s="203"/>
      <c r="D246" s="203"/>
      <c r="E246" s="153"/>
      <c r="F246" s="553" t="str">
        <f>IF(D246="","",VLOOKUP(D246,'G-6 Hedgerow Data'!$B$2:$AG$15,2,FALSE))</f>
        <v/>
      </c>
      <c r="G246" s="499" t="str">
        <f>IF(D246="","",VLOOKUP(D246,'G-6 Hedgerow Data'!$B$2:$AG$15,3,FALSE))</f>
        <v/>
      </c>
      <c r="H246" s="145"/>
      <c r="I246" s="499" t="str">
        <f>IFERROR(VLOOKUP(H246,'G-1 All Habitats'!$Z$2:$AA$9,2,FALSE),"")</f>
        <v/>
      </c>
      <c r="J246" s="145"/>
      <c r="K246" s="507" t="str">
        <f>IF(J246="","",IF(VLOOKUP(J246,'G-3 Multipliers'!$L$3:$N$6,2,FALSE)=0,"Spatial Data Missing ⚠",VLOOKUP(J246,'G-3 Multipliers'!$L$3:$N$6,2,FALSE)))</f>
        <v/>
      </c>
      <c r="L246" s="505" t="str">
        <f>IF(J246="","",IF(VLOOKUP(J246,'G-3 Multipliers'!$L$3:$N$6,3,FALSE)=0,"Spatial Data Missing ⚠",VLOOKUP(J246,'G-3 Multipliers'!$L$3:$N$6,3,FALSE)))</f>
        <v/>
      </c>
      <c r="M246" s="506" t="str">
        <f>IF(D246="","",VLOOKUP(D246,'G-6 Hedgerow Data'!$B$1:$AH$15,33,FALSE))</f>
        <v/>
      </c>
      <c r="N246" s="513" t="str">
        <f t="shared" si="23"/>
        <v/>
      </c>
      <c r="O246" s="40"/>
      <c r="P246" s="154"/>
      <c r="Q246" s="203"/>
      <c r="R246" s="532" t="str">
        <f t="shared" si="24"/>
        <v/>
      </c>
      <c r="S246" s="532" t="str">
        <f t="shared" si="25"/>
        <v/>
      </c>
      <c r="T246" s="532" t="str">
        <f t="shared" si="26"/>
        <v/>
      </c>
      <c r="U246" s="557" t="str">
        <f t="shared" si="27"/>
        <v/>
      </c>
      <c r="V246" s="151"/>
      <c r="W246" s="152"/>
      <c r="AE246" s="156" t="str">
        <f t="shared" si="21"/>
        <v/>
      </c>
      <c r="AF246" s="156" t="str">
        <f t="shared" si="22"/>
        <v/>
      </c>
      <c r="AH246" s="156">
        <v>237</v>
      </c>
      <c r="AJ246" s="156" t="str">
        <f t="array" ref="AJ246">IFERROR(INDEX($AH$10:$AH$258, MATCH(0, IF(TRUE=$AE$10:$AE$258, COUNTIF($AJ$9:$AJ245, $AH$10:$AH$258), ""), 0)),"")</f>
        <v/>
      </c>
      <c r="AK246" s="156" t="str">
        <f t="array" ref="AK246">IFERROR(INDEX($AH$10:$AH$258, MATCH(0, IF(TRUE=$AF$10:$AF$258, COUNTIF($AK$9:$AK245, $AH$10:$AH$258), ""), 0)),"")</f>
        <v/>
      </c>
      <c r="AL246" s="31" t="str">
        <f>IFERROR(INDEX('G-6 Hedgerow Data'!$BJ$3:$BJ$15,MATCH(D246,'G-6 Hedgerow Data'!$B$3:$B$15,0)),"")</f>
        <v/>
      </c>
    </row>
    <row r="247" spans="2:38" ht="14" x14ac:dyDescent="0.3">
      <c r="B247" s="141">
        <v>238</v>
      </c>
      <c r="C247" s="203"/>
      <c r="D247" s="203"/>
      <c r="E247" s="153"/>
      <c r="F247" s="553" t="str">
        <f>IF(D247="","",VLOOKUP(D247,'G-6 Hedgerow Data'!$B$2:$AG$15,2,FALSE))</f>
        <v/>
      </c>
      <c r="G247" s="499" t="str">
        <f>IF(D247="","",VLOOKUP(D247,'G-6 Hedgerow Data'!$B$2:$AG$15,3,FALSE))</f>
        <v/>
      </c>
      <c r="H247" s="145"/>
      <c r="I247" s="499" t="str">
        <f>IFERROR(VLOOKUP(H247,'G-1 All Habitats'!$Z$2:$AA$9,2,FALSE),"")</f>
        <v/>
      </c>
      <c r="J247" s="145"/>
      <c r="K247" s="507" t="str">
        <f>IF(J247="","",IF(VLOOKUP(J247,'G-3 Multipliers'!$L$3:$N$6,2,FALSE)=0,"Spatial Data Missing ⚠",VLOOKUP(J247,'G-3 Multipliers'!$L$3:$N$6,2,FALSE)))</f>
        <v/>
      </c>
      <c r="L247" s="505" t="str">
        <f>IF(J247="","",IF(VLOOKUP(J247,'G-3 Multipliers'!$L$3:$N$6,3,FALSE)=0,"Spatial Data Missing ⚠",VLOOKUP(J247,'G-3 Multipliers'!$L$3:$N$6,3,FALSE)))</f>
        <v/>
      </c>
      <c r="M247" s="506" t="str">
        <f>IF(D247="","",VLOOKUP(D247,'G-6 Hedgerow Data'!$B$1:$AH$15,33,FALSE))</f>
        <v/>
      </c>
      <c r="N247" s="513" t="str">
        <f t="shared" si="23"/>
        <v/>
      </c>
      <c r="O247" s="40"/>
      <c r="P247" s="154"/>
      <c r="Q247" s="203"/>
      <c r="R247" s="532" t="str">
        <f t="shared" si="24"/>
        <v/>
      </c>
      <c r="S247" s="532" t="str">
        <f t="shared" si="25"/>
        <v/>
      </c>
      <c r="T247" s="532" t="str">
        <f t="shared" si="26"/>
        <v/>
      </c>
      <c r="U247" s="557" t="str">
        <f t="shared" si="27"/>
        <v/>
      </c>
      <c r="V247" s="151"/>
      <c r="W247" s="152"/>
      <c r="AE247" s="156" t="str">
        <f t="shared" si="21"/>
        <v/>
      </c>
      <c r="AF247" s="156" t="str">
        <f t="shared" si="22"/>
        <v/>
      </c>
      <c r="AH247" s="156">
        <v>238</v>
      </c>
      <c r="AJ247" s="156" t="str">
        <f t="array" ref="AJ247">IFERROR(INDEX($AH$10:$AH$258, MATCH(0, IF(TRUE=$AE$10:$AE$258, COUNTIF($AJ$9:$AJ246, $AH$10:$AH$258), ""), 0)),"")</f>
        <v/>
      </c>
      <c r="AK247" s="156" t="str">
        <f t="array" ref="AK247">IFERROR(INDEX($AH$10:$AH$258, MATCH(0, IF(TRUE=$AF$10:$AF$258, COUNTIF($AK$9:$AK246, $AH$10:$AH$258), ""), 0)),"")</f>
        <v/>
      </c>
      <c r="AL247" s="31" t="str">
        <f>IFERROR(INDEX('G-6 Hedgerow Data'!$BJ$3:$BJ$15,MATCH(D247,'G-6 Hedgerow Data'!$B$3:$B$15,0)),"")</f>
        <v/>
      </c>
    </row>
    <row r="248" spans="2:38" ht="14" x14ac:dyDescent="0.3">
      <c r="B248" s="141">
        <v>239</v>
      </c>
      <c r="C248" s="203"/>
      <c r="D248" s="203"/>
      <c r="E248" s="153"/>
      <c r="F248" s="553" t="str">
        <f>IF(D248="","",VLOOKUP(D248,'G-6 Hedgerow Data'!$B$2:$AG$15,2,FALSE))</f>
        <v/>
      </c>
      <c r="G248" s="499" t="str">
        <f>IF(D248="","",VLOOKUP(D248,'G-6 Hedgerow Data'!$B$2:$AG$15,3,FALSE))</f>
        <v/>
      </c>
      <c r="H248" s="145"/>
      <c r="I248" s="499" t="str">
        <f>IFERROR(VLOOKUP(H248,'G-1 All Habitats'!$Z$2:$AA$9,2,FALSE),"")</f>
        <v/>
      </c>
      <c r="J248" s="145"/>
      <c r="K248" s="507" t="str">
        <f>IF(J248="","",IF(VLOOKUP(J248,'G-3 Multipliers'!$L$3:$N$6,2,FALSE)=0,"Spatial Data Missing ⚠",VLOOKUP(J248,'G-3 Multipliers'!$L$3:$N$6,2,FALSE)))</f>
        <v/>
      </c>
      <c r="L248" s="505" t="str">
        <f>IF(J248="","",IF(VLOOKUP(J248,'G-3 Multipliers'!$L$3:$N$6,3,FALSE)=0,"Spatial Data Missing ⚠",VLOOKUP(J248,'G-3 Multipliers'!$L$3:$N$6,3,FALSE)))</f>
        <v/>
      </c>
      <c r="M248" s="506" t="str">
        <f>IF(D248="","",VLOOKUP(D248,'G-6 Hedgerow Data'!$B$1:$AH$15,33,FALSE))</f>
        <v/>
      </c>
      <c r="N248" s="513" t="str">
        <f t="shared" si="23"/>
        <v/>
      </c>
      <c r="O248" s="40"/>
      <c r="P248" s="154"/>
      <c r="Q248" s="203"/>
      <c r="R248" s="532" t="str">
        <f t="shared" si="24"/>
        <v/>
      </c>
      <c r="S248" s="532" t="str">
        <f t="shared" si="25"/>
        <v/>
      </c>
      <c r="T248" s="532" t="str">
        <f t="shared" si="26"/>
        <v/>
      </c>
      <c r="U248" s="557" t="str">
        <f t="shared" si="27"/>
        <v/>
      </c>
      <c r="V248" s="151"/>
      <c r="W248" s="152"/>
      <c r="AE248" s="156" t="str">
        <f t="shared" si="21"/>
        <v/>
      </c>
      <c r="AF248" s="156" t="str">
        <f t="shared" si="22"/>
        <v/>
      </c>
      <c r="AH248" s="156">
        <v>239</v>
      </c>
      <c r="AJ248" s="156" t="str">
        <f t="array" ref="AJ248">IFERROR(INDEX($AH$10:$AH$258, MATCH(0, IF(TRUE=$AE$10:$AE$258, COUNTIF($AJ$9:$AJ247, $AH$10:$AH$258), ""), 0)),"")</f>
        <v/>
      </c>
      <c r="AK248" s="156" t="str">
        <f t="array" ref="AK248">IFERROR(INDEX($AH$10:$AH$258, MATCH(0, IF(TRUE=$AF$10:$AF$258, COUNTIF($AK$9:$AK247, $AH$10:$AH$258), ""), 0)),"")</f>
        <v/>
      </c>
      <c r="AL248" s="31" t="str">
        <f>IFERROR(INDEX('G-6 Hedgerow Data'!$BJ$3:$BJ$15,MATCH(D248,'G-6 Hedgerow Data'!$B$3:$B$15,0)),"")</f>
        <v/>
      </c>
    </row>
    <row r="249" spans="2:38" ht="14" x14ac:dyDescent="0.3">
      <c r="B249" s="141">
        <v>240</v>
      </c>
      <c r="C249" s="203"/>
      <c r="D249" s="203"/>
      <c r="E249" s="153"/>
      <c r="F249" s="553" t="str">
        <f>IF(D249="","",VLOOKUP(D249,'G-6 Hedgerow Data'!$B$2:$AG$15,2,FALSE))</f>
        <v/>
      </c>
      <c r="G249" s="499" t="str">
        <f>IF(D249="","",VLOOKUP(D249,'G-6 Hedgerow Data'!$B$2:$AG$15,3,FALSE))</f>
        <v/>
      </c>
      <c r="H249" s="145"/>
      <c r="I249" s="499" t="str">
        <f>IFERROR(VLOOKUP(H249,'G-1 All Habitats'!$Z$2:$AA$9,2,FALSE),"")</f>
        <v/>
      </c>
      <c r="J249" s="145"/>
      <c r="K249" s="507" t="str">
        <f>IF(J249="","",IF(VLOOKUP(J249,'G-3 Multipliers'!$L$3:$N$6,2,FALSE)=0,"Spatial Data Missing ⚠",VLOOKUP(J249,'G-3 Multipliers'!$L$3:$N$6,2,FALSE)))</f>
        <v/>
      </c>
      <c r="L249" s="505" t="str">
        <f>IF(J249="","",IF(VLOOKUP(J249,'G-3 Multipliers'!$L$3:$N$6,3,FALSE)=0,"Spatial Data Missing ⚠",VLOOKUP(J249,'G-3 Multipliers'!$L$3:$N$6,3,FALSE)))</f>
        <v/>
      </c>
      <c r="M249" s="506" t="str">
        <f>IF(D249="","",VLOOKUP(D249,'G-6 Hedgerow Data'!$B$1:$AH$15,33,FALSE))</f>
        <v/>
      </c>
      <c r="N249" s="513" t="str">
        <f t="shared" si="23"/>
        <v/>
      </c>
      <c r="O249" s="40"/>
      <c r="P249" s="154"/>
      <c r="Q249" s="203"/>
      <c r="R249" s="532" t="str">
        <f t="shared" si="24"/>
        <v/>
      </c>
      <c r="S249" s="532" t="str">
        <f t="shared" si="25"/>
        <v/>
      </c>
      <c r="T249" s="532" t="str">
        <f t="shared" si="26"/>
        <v/>
      </c>
      <c r="U249" s="557" t="str">
        <f t="shared" si="27"/>
        <v/>
      </c>
      <c r="V249" s="151"/>
      <c r="W249" s="152"/>
      <c r="AE249" s="156" t="str">
        <f t="shared" si="21"/>
        <v/>
      </c>
      <c r="AF249" s="156" t="str">
        <f t="shared" si="22"/>
        <v/>
      </c>
      <c r="AH249" s="156">
        <v>240</v>
      </c>
      <c r="AJ249" s="156" t="str">
        <f t="array" ref="AJ249">IFERROR(INDEX($AH$10:$AH$258, MATCH(0, IF(TRUE=$AE$10:$AE$258, COUNTIF($AJ$9:$AJ248, $AH$10:$AH$258), ""), 0)),"")</f>
        <v/>
      </c>
      <c r="AK249" s="156" t="str">
        <f t="array" ref="AK249">IFERROR(INDEX($AH$10:$AH$258, MATCH(0, IF(TRUE=$AF$10:$AF$258, COUNTIF($AK$9:$AK248, $AH$10:$AH$258), ""), 0)),"")</f>
        <v/>
      </c>
      <c r="AL249" s="31" t="str">
        <f>IFERROR(INDEX('G-6 Hedgerow Data'!$BJ$3:$BJ$15,MATCH(D249,'G-6 Hedgerow Data'!$B$3:$B$15,0)),"")</f>
        <v/>
      </c>
    </row>
    <row r="250" spans="2:38" ht="14" x14ac:dyDescent="0.3">
      <c r="B250" s="141">
        <v>241</v>
      </c>
      <c r="C250" s="203"/>
      <c r="D250" s="203"/>
      <c r="E250" s="153"/>
      <c r="F250" s="553" t="str">
        <f>IF(D250="","",VLOOKUP(D250,'G-6 Hedgerow Data'!$B$2:$AG$15,2,FALSE))</f>
        <v/>
      </c>
      <c r="G250" s="499" t="str">
        <f>IF(D250="","",VLOOKUP(D250,'G-6 Hedgerow Data'!$B$2:$AG$15,3,FALSE))</f>
        <v/>
      </c>
      <c r="H250" s="145"/>
      <c r="I250" s="499" t="str">
        <f>IFERROR(VLOOKUP(H250,'G-1 All Habitats'!$Z$2:$AA$9,2,FALSE),"")</f>
        <v/>
      </c>
      <c r="J250" s="145"/>
      <c r="K250" s="507" t="str">
        <f>IF(J250="","",IF(VLOOKUP(J250,'G-3 Multipliers'!$L$3:$N$6,2,FALSE)=0,"Spatial Data Missing ⚠",VLOOKUP(J250,'G-3 Multipliers'!$L$3:$N$6,2,FALSE)))</f>
        <v/>
      </c>
      <c r="L250" s="505" t="str">
        <f>IF(J250="","",IF(VLOOKUP(J250,'G-3 Multipliers'!$L$3:$N$6,3,FALSE)=0,"Spatial Data Missing ⚠",VLOOKUP(J250,'G-3 Multipliers'!$L$3:$N$6,3,FALSE)))</f>
        <v/>
      </c>
      <c r="M250" s="506" t="str">
        <f>IF(D250="","",VLOOKUP(D250,'G-6 Hedgerow Data'!$B$1:$AH$15,33,FALSE))</f>
        <v/>
      </c>
      <c r="N250" s="513" t="str">
        <f t="shared" si="23"/>
        <v/>
      </c>
      <c r="O250" s="40"/>
      <c r="P250" s="154"/>
      <c r="Q250" s="203"/>
      <c r="R250" s="532" t="str">
        <f t="shared" si="24"/>
        <v/>
      </c>
      <c r="S250" s="532" t="str">
        <f t="shared" si="25"/>
        <v/>
      </c>
      <c r="T250" s="532" t="str">
        <f t="shared" si="26"/>
        <v/>
      </c>
      <c r="U250" s="557" t="str">
        <f t="shared" si="27"/>
        <v/>
      </c>
      <c r="V250" s="151"/>
      <c r="W250" s="152"/>
      <c r="AE250" s="156" t="str">
        <f t="shared" si="21"/>
        <v/>
      </c>
      <c r="AF250" s="156" t="str">
        <f t="shared" si="22"/>
        <v/>
      </c>
      <c r="AH250" s="156">
        <v>241</v>
      </c>
      <c r="AJ250" s="156" t="str">
        <f t="array" ref="AJ250">IFERROR(INDEX($AH$10:$AH$258, MATCH(0, IF(TRUE=$AE$10:$AE$258, COUNTIF($AJ$9:$AJ249, $AH$10:$AH$258), ""), 0)),"")</f>
        <v/>
      </c>
      <c r="AK250" s="156" t="str">
        <f t="array" ref="AK250">IFERROR(INDEX($AH$10:$AH$258, MATCH(0, IF(TRUE=$AF$10:$AF$258, COUNTIF($AK$9:$AK249, $AH$10:$AH$258), ""), 0)),"")</f>
        <v/>
      </c>
      <c r="AL250" s="31" t="str">
        <f>IFERROR(INDEX('G-6 Hedgerow Data'!$BJ$3:$BJ$15,MATCH(D250,'G-6 Hedgerow Data'!$B$3:$B$15,0)),"")</f>
        <v/>
      </c>
    </row>
    <row r="251" spans="2:38" ht="14" x14ac:dyDescent="0.3">
      <c r="B251" s="141">
        <v>242</v>
      </c>
      <c r="C251" s="203"/>
      <c r="D251" s="203"/>
      <c r="E251" s="153"/>
      <c r="F251" s="553" t="str">
        <f>IF(D251="","",VLOOKUP(D251,'G-6 Hedgerow Data'!$B$2:$AG$15,2,FALSE))</f>
        <v/>
      </c>
      <c r="G251" s="499" t="str">
        <f>IF(D251="","",VLOOKUP(D251,'G-6 Hedgerow Data'!$B$2:$AG$15,3,FALSE))</f>
        <v/>
      </c>
      <c r="H251" s="145"/>
      <c r="I251" s="499" t="str">
        <f>IFERROR(VLOOKUP(H251,'G-1 All Habitats'!$Z$2:$AA$9,2,FALSE),"")</f>
        <v/>
      </c>
      <c r="J251" s="145"/>
      <c r="K251" s="507" t="str">
        <f>IF(J251="","",IF(VLOOKUP(J251,'G-3 Multipliers'!$L$3:$N$6,2,FALSE)=0,"Spatial Data Missing ⚠",VLOOKUP(J251,'G-3 Multipliers'!$L$3:$N$6,2,FALSE)))</f>
        <v/>
      </c>
      <c r="L251" s="505" t="str">
        <f>IF(J251="","",IF(VLOOKUP(J251,'G-3 Multipliers'!$L$3:$N$6,3,FALSE)=0,"Spatial Data Missing ⚠",VLOOKUP(J251,'G-3 Multipliers'!$L$3:$N$6,3,FALSE)))</f>
        <v/>
      </c>
      <c r="M251" s="506" t="str">
        <f>IF(D251="","",VLOOKUP(D251,'G-6 Hedgerow Data'!$B$1:$AH$15,33,FALSE))</f>
        <v/>
      </c>
      <c r="N251" s="513" t="str">
        <f t="shared" si="23"/>
        <v/>
      </c>
      <c r="O251" s="40"/>
      <c r="P251" s="154"/>
      <c r="Q251" s="203"/>
      <c r="R251" s="532" t="str">
        <f t="shared" si="24"/>
        <v/>
      </c>
      <c r="S251" s="532" t="str">
        <f t="shared" si="25"/>
        <v/>
      </c>
      <c r="T251" s="532" t="str">
        <f t="shared" si="26"/>
        <v/>
      </c>
      <c r="U251" s="557" t="str">
        <f t="shared" si="27"/>
        <v/>
      </c>
      <c r="V251" s="151"/>
      <c r="W251" s="152"/>
      <c r="AE251" s="156" t="str">
        <f t="shared" si="21"/>
        <v/>
      </c>
      <c r="AF251" s="156" t="str">
        <f t="shared" si="22"/>
        <v/>
      </c>
      <c r="AH251" s="156">
        <v>242</v>
      </c>
      <c r="AJ251" s="156" t="str">
        <f t="array" ref="AJ251">IFERROR(INDEX($AH$10:$AH$258, MATCH(0, IF(TRUE=$AE$10:$AE$258, COUNTIF($AJ$9:$AJ250, $AH$10:$AH$258), ""), 0)),"")</f>
        <v/>
      </c>
      <c r="AK251" s="156" t="str">
        <f t="array" ref="AK251">IFERROR(INDEX($AH$10:$AH$258, MATCH(0, IF(TRUE=$AF$10:$AF$258, COUNTIF($AK$9:$AK250, $AH$10:$AH$258), ""), 0)),"")</f>
        <v/>
      </c>
      <c r="AL251" s="31" t="str">
        <f>IFERROR(INDEX('G-6 Hedgerow Data'!$BJ$3:$BJ$15,MATCH(D251,'G-6 Hedgerow Data'!$B$3:$B$15,0)),"")</f>
        <v/>
      </c>
    </row>
    <row r="252" spans="2:38" ht="14" x14ac:dyDescent="0.3">
      <c r="B252" s="141">
        <v>243</v>
      </c>
      <c r="C252" s="203"/>
      <c r="D252" s="203"/>
      <c r="E252" s="153"/>
      <c r="F252" s="553" t="str">
        <f>IF(D252="","",VLOOKUP(D252,'G-6 Hedgerow Data'!$B$2:$AG$15,2,FALSE))</f>
        <v/>
      </c>
      <c r="G252" s="499" t="str">
        <f>IF(D252="","",VLOOKUP(D252,'G-6 Hedgerow Data'!$B$2:$AG$15,3,FALSE))</f>
        <v/>
      </c>
      <c r="H252" s="145"/>
      <c r="I252" s="499" t="str">
        <f>IFERROR(VLOOKUP(H252,'G-1 All Habitats'!$Z$2:$AA$9,2,FALSE),"")</f>
        <v/>
      </c>
      <c r="J252" s="145"/>
      <c r="K252" s="507" t="str">
        <f>IF(J252="","",IF(VLOOKUP(J252,'G-3 Multipliers'!$L$3:$N$6,2,FALSE)=0,"Spatial Data Missing ⚠",VLOOKUP(J252,'G-3 Multipliers'!$L$3:$N$6,2,FALSE)))</f>
        <v/>
      </c>
      <c r="L252" s="505" t="str">
        <f>IF(J252="","",IF(VLOOKUP(J252,'G-3 Multipliers'!$L$3:$N$6,3,FALSE)=0,"Spatial Data Missing ⚠",VLOOKUP(J252,'G-3 Multipliers'!$L$3:$N$6,3,FALSE)))</f>
        <v/>
      </c>
      <c r="M252" s="506" t="str">
        <f>IF(D252="","",VLOOKUP(D252,'G-6 Hedgerow Data'!$B$1:$AH$15,33,FALSE))</f>
        <v/>
      </c>
      <c r="N252" s="513" t="str">
        <f t="shared" si="23"/>
        <v/>
      </c>
      <c r="O252" s="40"/>
      <c r="P252" s="154"/>
      <c r="Q252" s="203"/>
      <c r="R252" s="532" t="str">
        <f t="shared" si="24"/>
        <v/>
      </c>
      <c r="S252" s="532" t="str">
        <f t="shared" si="25"/>
        <v/>
      </c>
      <c r="T252" s="532" t="str">
        <f t="shared" si="26"/>
        <v/>
      </c>
      <c r="U252" s="557" t="str">
        <f t="shared" si="27"/>
        <v/>
      </c>
      <c r="V252" s="151"/>
      <c r="W252" s="152"/>
      <c r="AE252" s="156" t="str">
        <f t="shared" si="21"/>
        <v/>
      </c>
      <c r="AF252" s="156" t="str">
        <f t="shared" si="22"/>
        <v/>
      </c>
      <c r="AH252" s="156">
        <v>243</v>
      </c>
      <c r="AJ252" s="156" t="str">
        <f t="array" ref="AJ252">IFERROR(INDEX($AH$10:$AH$258, MATCH(0, IF(TRUE=$AE$10:$AE$258, COUNTIF($AJ$9:$AJ251, $AH$10:$AH$258), ""), 0)),"")</f>
        <v/>
      </c>
      <c r="AK252" s="156" t="str">
        <f t="array" ref="AK252">IFERROR(INDEX($AH$10:$AH$258, MATCH(0, IF(TRUE=$AF$10:$AF$258, COUNTIF($AK$9:$AK251, $AH$10:$AH$258), ""), 0)),"")</f>
        <v/>
      </c>
      <c r="AL252" s="31" t="str">
        <f>IFERROR(INDEX('G-6 Hedgerow Data'!$BJ$3:$BJ$15,MATCH(D252,'G-6 Hedgerow Data'!$B$3:$B$15,0)),"")</f>
        <v/>
      </c>
    </row>
    <row r="253" spans="2:38" ht="14" x14ac:dyDescent="0.3">
      <c r="B253" s="141">
        <v>244</v>
      </c>
      <c r="C253" s="203"/>
      <c r="D253" s="203"/>
      <c r="E253" s="153"/>
      <c r="F253" s="553" t="str">
        <f>IF(D253="","",VLOOKUP(D253,'G-6 Hedgerow Data'!$B$2:$AG$15,2,FALSE))</f>
        <v/>
      </c>
      <c r="G253" s="499" t="str">
        <f>IF(D253="","",VLOOKUP(D253,'G-6 Hedgerow Data'!$B$2:$AG$15,3,FALSE))</f>
        <v/>
      </c>
      <c r="H253" s="145"/>
      <c r="I253" s="499" t="str">
        <f>IFERROR(VLOOKUP(H253,'G-1 All Habitats'!$Z$2:$AA$9,2,FALSE),"")</f>
        <v/>
      </c>
      <c r="J253" s="145"/>
      <c r="K253" s="507" t="str">
        <f>IF(J253="","",IF(VLOOKUP(J253,'G-3 Multipliers'!$L$3:$N$6,2,FALSE)=0,"Spatial Data Missing ⚠",VLOOKUP(J253,'G-3 Multipliers'!$L$3:$N$6,2,FALSE)))</f>
        <v/>
      </c>
      <c r="L253" s="505" t="str">
        <f>IF(J253="","",IF(VLOOKUP(J253,'G-3 Multipliers'!$L$3:$N$6,3,FALSE)=0,"Spatial Data Missing ⚠",VLOOKUP(J253,'G-3 Multipliers'!$L$3:$N$6,3,FALSE)))</f>
        <v/>
      </c>
      <c r="M253" s="506" t="str">
        <f>IF(D253="","",VLOOKUP(D253,'G-6 Hedgerow Data'!$B$1:$AH$15,33,FALSE))</f>
        <v/>
      </c>
      <c r="N253" s="513" t="str">
        <f t="shared" si="23"/>
        <v/>
      </c>
      <c r="O253" s="40"/>
      <c r="P253" s="154"/>
      <c r="Q253" s="203"/>
      <c r="R253" s="532" t="str">
        <f t="shared" si="24"/>
        <v/>
      </c>
      <c r="S253" s="532" t="str">
        <f t="shared" si="25"/>
        <v/>
      </c>
      <c r="T253" s="532" t="str">
        <f t="shared" si="26"/>
        <v/>
      </c>
      <c r="U253" s="557" t="str">
        <f t="shared" si="27"/>
        <v/>
      </c>
      <c r="V253" s="151"/>
      <c r="W253" s="152"/>
      <c r="AE253" s="156" t="str">
        <f t="shared" si="21"/>
        <v/>
      </c>
      <c r="AF253" s="156" t="str">
        <f t="shared" si="22"/>
        <v/>
      </c>
      <c r="AH253" s="156">
        <v>244</v>
      </c>
      <c r="AJ253" s="156" t="str">
        <f t="array" ref="AJ253">IFERROR(INDEX($AH$10:$AH$258, MATCH(0, IF(TRUE=$AE$10:$AE$258, COUNTIF($AJ$9:$AJ252, $AH$10:$AH$258), ""), 0)),"")</f>
        <v/>
      </c>
      <c r="AK253" s="156" t="str">
        <f t="array" ref="AK253">IFERROR(INDEX($AH$10:$AH$258, MATCH(0, IF(TRUE=$AF$10:$AF$258, COUNTIF($AK$9:$AK252, $AH$10:$AH$258), ""), 0)),"")</f>
        <v/>
      </c>
      <c r="AL253" s="31" t="str">
        <f>IFERROR(INDEX('G-6 Hedgerow Data'!$BJ$3:$BJ$15,MATCH(D253,'G-6 Hedgerow Data'!$B$3:$B$15,0)),"")</f>
        <v/>
      </c>
    </row>
    <row r="254" spans="2:38" ht="14" x14ac:dyDescent="0.3">
      <c r="B254" s="141">
        <v>245</v>
      </c>
      <c r="C254" s="203"/>
      <c r="D254" s="203"/>
      <c r="E254" s="153"/>
      <c r="F254" s="553" t="str">
        <f>IF(D254="","",VLOOKUP(D254,'G-6 Hedgerow Data'!$B$2:$AG$15,2,FALSE))</f>
        <v/>
      </c>
      <c r="G254" s="499" t="str">
        <f>IF(D254="","",VLOOKUP(D254,'G-6 Hedgerow Data'!$B$2:$AG$15,3,FALSE))</f>
        <v/>
      </c>
      <c r="H254" s="145"/>
      <c r="I254" s="499" t="str">
        <f>IFERROR(VLOOKUP(H254,'G-1 All Habitats'!$Z$2:$AA$9,2,FALSE),"")</f>
        <v/>
      </c>
      <c r="J254" s="145"/>
      <c r="K254" s="507" t="str">
        <f>IF(J254="","",IF(VLOOKUP(J254,'G-3 Multipliers'!$L$3:$N$6,2,FALSE)=0,"Spatial Data Missing ⚠",VLOOKUP(J254,'G-3 Multipliers'!$L$3:$N$6,2,FALSE)))</f>
        <v/>
      </c>
      <c r="L254" s="505" t="str">
        <f>IF(J254="","",IF(VLOOKUP(J254,'G-3 Multipliers'!$L$3:$N$6,3,FALSE)=0,"Spatial Data Missing ⚠",VLOOKUP(J254,'G-3 Multipliers'!$L$3:$N$6,3,FALSE)))</f>
        <v/>
      </c>
      <c r="M254" s="506" t="str">
        <f>IF(D254="","",VLOOKUP(D254,'G-6 Hedgerow Data'!$B$1:$AH$15,33,FALSE))</f>
        <v/>
      </c>
      <c r="N254" s="513" t="str">
        <f t="shared" si="23"/>
        <v/>
      </c>
      <c r="O254" s="40"/>
      <c r="P254" s="154"/>
      <c r="Q254" s="203"/>
      <c r="R254" s="532" t="str">
        <f t="shared" si="24"/>
        <v/>
      </c>
      <c r="S254" s="532" t="str">
        <f t="shared" si="25"/>
        <v/>
      </c>
      <c r="T254" s="532" t="str">
        <f t="shared" si="26"/>
        <v/>
      </c>
      <c r="U254" s="557" t="str">
        <f t="shared" si="27"/>
        <v/>
      </c>
      <c r="V254" s="151"/>
      <c r="W254" s="152"/>
      <c r="AE254" s="156" t="str">
        <f t="shared" si="21"/>
        <v/>
      </c>
      <c r="AF254" s="156" t="str">
        <f t="shared" si="22"/>
        <v/>
      </c>
      <c r="AH254" s="156">
        <v>245</v>
      </c>
      <c r="AJ254" s="156" t="str">
        <f t="array" ref="AJ254">IFERROR(INDEX($AH$10:$AH$258, MATCH(0, IF(TRUE=$AE$10:$AE$258, COUNTIF($AJ$9:$AJ253, $AH$10:$AH$258), ""), 0)),"")</f>
        <v/>
      </c>
      <c r="AK254" s="156" t="str">
        <f t="array" ref="AK254">IFERROR(INDEX($AH$10:$AH$258, MATCH(0, IF(TRUE=$AF$10:$AF$258, COUNTIF($AK$9:$AK253, $AH$10:$AH$258), ""), 0)),"")</f>
        <v/>
      </c>
      <c r="AL254" s="31" t="str">
        <f>IFERROR(INDEX('G-6 Hedgerow Data'!$BJ$3:$BJ$15,MATCH(D254,'G-6 Hedgerow Data'!$B$3:$B$15,0)),"")</f>
        <v/>
      </c>
    </row>
    <row r="255" spans="2:38" ht="14" x14ac:dyDescent="0.3">
      <c r="B255" s="141">
        <v>246</v>
      </c>
      <c r="C255" s="203"/>
      <c r="D255" s="203"/>
      <c r="E255" s="153"/>
      <c r="F255" s="553" t="str">
        <f>IF(D255="","",VLOOKUP(D255,'G-6 Hedgerow Data'!$B$2:$AG$15,2,FALSE))</f>
        <v/>
      </c>
      <c r="G255" s="499" t="str">
        <f>IF(D255="","",VLOOKUP(D255,'G-6 Hedgerow Data'!$B$2:$AG$15,3,FALSE))</f>
        <v/>
      </c>
      <c r="H255" s="145"/>
      <c r="I255" s="499" t="str">
        <f>IFERROR(VLOOKUP(H255,'G-1 All Habitats'!$Z$2:$AA$9,2,FALSE),"")</f>
        <v/>
      </c>
      <c r="J255" s="145"/>
      <c r="K255" s="507" t="str">
        <f>IF(J255="","",IF(VLOOKUP(J255,'G-3 Multipliers'!$L$3:$N$6,2,FALSE)=0,"Spatial Data Missing ⚠",VLOOKUP(J255,'G-3 Multipliers'!$L$3:$N$6,2,FALSE)))</f>
        <v/>
      </c>
      <c r="L255" s="505" t="str">
        <f>IF(J255="","",IF(VLOOKUP(J255,'G-3 Multipliers'!$L$3:$N$6,3,FALSE)=0,"Spatial Data Missing ⚠",VLOOKUP(J255,'G-3 Multipliers'!$L$3:$N$6,3,FALSE)))</f>
        <v/>
      </c>
      <c r="M255" s="506" t="str">
        <f>IF(D255="","",VLOOKUP(D255,'G-6 Hedgerow Data'!$B$1:$AH$15,33,FALSE))</f>
        <v/>
      </c>
      <c r="N255" s="513" t="str">
        <f t="shared" si="23"/>
        <v/>
      </c>
      <c r="O255" s="40"/>
      <c r="P255" s="154"/>
      <c r="Q255" s="203"/>
      <c r="R255" s="532" t="str">
        <f t="shared" si="24"/>
        <v/>
      </c>
      <c r="S255" s="532" t="str">
        <f t="shared" si="25"/>
        <v/>
      </c>
      <c r="T255" s="532" t="str">
        <f t="shared" si="26"/>
        <v/>
      </c>
      <c r="U255" s="557" t="str">
        <f t="shared" si="27"/>
        <v/>
      </c>
      <c r="V255" s="151"/>
      <c r="W255" s="152"/>
      <c r="AE255" s="156" t="str">
        <f t="shared" si="21"/>
        <v/>
      </c>
      <c r="AF255" s="156" t="str">
        <f t="shared" si="22"/>
        <v/>
      </c>
      <c r="AH255" s="156">
        <v>246</v>
      </c>
      <c r="AJ255" s="156" t="str">
        <f t="array" ref="AJ255">IFERROR(INDEX($AH$10:$AH$258, MATCH(0, IF(TRUE=$AE$10:$AE$258, COUNTIF($AJ$9:$AJ254, $AH$10:$AH$258), ""), 0)),"")</f>
        <v/>
      </c>
      <c r="AK255" s="156" t="str">
        <f t="array" ref="AK255">IFERROR(INDEX($AH$10:$AH$258, MATCH(0, IF(TRUE=$AF$10:$AF$258, COUNTIF($AK$9:$AK254, $AH$10:$AH$258), ""), 0)),"")</f>
        <v/>
      </c>
      <c r="AL255" s="31" t="str">
        <f>IFERROR(INDEX('G-6 Hedgerow Data'!$BJ$3:$BJ$15,MATCH(D255,'G-6 Hedgerow Data'!$B$3:$B$15,0)),"")</f>
        <v/>
      </c>
    </row>
    <row r="256" spans="2:38" ht="14" x14ac:dyDescent="0.3">
      <c r="B256" s="141">
        <v>247</v>
      </c>
      <c r="C256" s="203"/>
      <c r="D256" s="203"/>
      <c r="E256" s="153"/>
      <c r="F256" s="553" t="str">
        <f>IF(D256="","",VLOOKUP(D256,'G-6 Hedgerow Data'!$B$2:$AG$15,2,FALSE))</f>
        <v/>
      </c>
      <c r="G256" s="499" t="str">
        <f>IF(D256="","",VLOOKUP(D256,'G-6 Hedgerow Data'!$B$2:$AG$15,3,FALSE))</f>
        <v/>
      </c>
      <c r="H256" s="145"/>
      <c r="I256" s="499" t="str">
        <f>IFERROR(VLOOKUP(H256,'G-1 All Habitats'!$Z$2:$AA$9,2,FALSE),"")</f>
        <v/>
      </c>
      <c r="J256" s="145"/>
      <c r="K256" s="507" t="str">
        <f>IF(J256="","",IF(VLOOKUP(J256,'G-3 Multipliers'!$L$3:$N$6,2,FALSE)=0,"Spatial Data Missing ⚠",VLOOKUP(J256,'G-3 Multipliers'!$L$3:$N$6,2,FALSE)))</f>
        <v/>
      </c>
      <c r="L256" s="505" t="str">
        <f>IF(J256="","",IF(VLOOKUP(J256,'G-3 Multipliers'!$L$3:$N$6,3,FALSE)=0,"Spatial Data Missing ⚠",VLOOKUP(J256,'G-3 Multipliers'!$L$3:$N$6,3,FALSE)))</f>
        <v/>
      </c>
      <c r="M256" s="506" t="str">
        <f>IF(D256="","",VLOOKUP(D256,'G-6 Hedgerow Data'!$B$1:$AH$15,33,FALSE))</f>
        <v/>
      </c>
      <c r="N256" s="513" t="str">
        <f t="shared" si="23"/>
        <v/>
      </c>
      <c r="O256" s="40"/>
      <c r="P256" s="154"/>
      <c r="Q256" s="203"/>
      <c r="R256" s="532" t="str">
        <f t="shared" si="24"/>
        <v/>
      </c>
      <c r="S256" s="532" t="str">
        <f t="shared" si="25"/>
        <v/>
      </c>
      <c r="T256" s="532" t="str">
        <f t="shared" si="26"/>
        <v/>
      </c>
      <c r="U256" s="557" t="str">
        <f t="shared" si="27"/>
        <v/>
      </c>
      <c r="V256" s="151"/>
      <c r="W256" s="152"/>
      <c r="AE256" s="156" t="str">
        <f t="shared" si="21"/>
        <v/>
      </c>
      <c r="AF256" s="156" t="str">
        <f t="shared" si="22"/>
        <v/>
      </c>
      <c r="AH256" s="156">
        <v>247</v>
      </c>
      <c r="AJ256" s="156" t="str">
        <f t="array" ref="AJ256">IFERROR(INDEX($AH$10:$AH$258, MATCH(0, IF(TRUE=$AE$10:$AE$258, COUNTIF($AJ$9:$AJ255, $AH$10:$AH$258), ""), 0)),"")</f>
        <v/>
      </c>
      <c r="AK256" s="156" t="str">
        <f t="array" ref="AK256">IFERROR(INDEX($AH$10:$AH$258, MATCH(0, IF(TRUE=$AF$10:$AF$258, COUNTIF($AK$9:$AK255, $AH$10:$AH$258), ""), 0)),"")</f>
        <v/>
      </c>
      <c r="AL256" s="31" t="str">
        <f>IFERROR(INDEX('G-6 Hedgerow Data'!$BJ$3:$BJ$15,MATCH(D256,'G-6 Hedgerow Data'!$B$3:$B$15,0)),"")</f>
        <v/>
      </c>
    </row>
    <row r="257" spans="2:38" ht="14.5" thickBot="1" x14ac:dyDescent="0.35">
      <c r="B257" s="158">
        <v>248</v>
      </c>
      <c r="C257" s="206"/>
      <c r="D257" s="206"/>
      <c r="E257" s="160"/>
      <c r="F257" s="528" t="str">
        <f>IF(D257="","",VLOOKUP(D257,'G-6 Hedgerow Data'!$B$2:$AG$15,2,FALSE))</f>
        <v/>
      </c>
      <c r="G257" s="499" t="str">
        <f>IF(D257="","",VLOOKUP(D257,'G-6 Hedgerow Data'!$B$2:$AG$15,3,FALSE))</f>
        <v/>
      </c>
      <c r="H257" s="161"/>
      <c r="I257" s="501" t="str">
        <f>IFERROR(VLOOKUP(H257,'G-1 All Habitats'!$Z$2:$AA$9,2,FALSE),"")</f>
        <v/>
      </c>
      <c r="J257" s="161"/>
      <c r="K257" s="508" t="str">
        <f>IF(J257="","",IF(VLOOKUP(J257,'G-3 Multipliers'!$L$3:$N$6,2,FALSE)=0,"Spatial Data Missing ⚠",VLOOKUP(J257,'G-3 Multipliers'!$L$3:$N$6,2,FALSE)))</f>
        <v/>
      </c>
      <c r="L257" s="509" t="str">
        <f>IF(J257="","",IF(VLOOKUP(J257,'G-3 Multipliers'!$L$3:$N$6,3,FALSE)=0,"Spatial Data Missing ⚠",VLOOKUP(J257,'G-3 Multipliers'!$L$3:$N$6,3,FALSE)))</f>
        <v/>
      </c>
      <c r="M257" s="510" t="str">
        <f>IF(D257="","",VLOOKUP(D257,'G-6 Hedgerow Data'!$B$1:$AH$15,33,FALSE))</f>
        <v/>
      </c>
      <c r="N257" s="555" t="str">
        <f t="shared" si="23"/>
        <v/>
      </c>
      <c r="O257" s="40"/>
      <c r="P257" s="210"/>
      <c r="Q257" s="211"/>
      <c r="R257" s="535" t="str">
        <f t="shared" si="24"/>
        <v/>
      </c>
      <c r="S257" s="535" t="str">
        <f t="shared" si="25"/>
        <v/>
      </c>
      <c r="T257" s="532" t="str">
        <f>IF(D257="","",IF(E257-P257-Q257=0&lt;0,"Error in lengths ▲",IF(P257+Q257&gt;E257,"Error in Lengths ▲",E257-P257-Q257)))</f>
        <v/>
      </c>
      <c r="U257" s="557" t="str">
        <f>IF(OR(E257="",N257=""),"",IF(E257-P257-Q257=0&lt;0,"Error in Lengths ▲",IF(P257+Q257&gt;E257,"Error in Lengths ▲",N257-R257-S257)))</f>
        <v/>
      </c>
      <c r="V257" s="163"/>
      <c r="W257" s="164"/>
      <c r="AE257" s="156" t="str">
        <f t="shared" si="21"/>
        <v/>
      </c>
      <c r="AF257" s="156" t="str">
        <f t="shared" si="22"/>
        <v/>
      </c>
      <c r="AH257" s="156">
        <v>248</v>
      </c>
      <c r="AJ257" s="156" t="str">
        <f t="array" ref="AJ257">IFERROR(INDEX($AH$10:$AH$258, MATCH(0, IF(TRUE=$AE$10:$AE$258, COUNTIF($AJ$9:$AJ256, $AH$10:$AH$258), ""), 0)),"")</f>
        <v/>
      </c>
      <c r="AK257" s="156" t="str">
        <f t="array" ref="AK257">IFERROR(INDEX($AH$10:$AH$258, MATCH(0, IF(TRUE=$AF$10:$AF$258, COUNTIF($AK$9:$AK256, $AH$10:$AH$258), ""), 0)),"")</f>
        <v/>
      </c>
      <c r="AL257" s="31" t="str">
        <f>IFERROR(INDEX('G-6 Hedgerow Data'!$BJ$3:$BJ$15,MATCH(D257,'G-6 Hedgerow Data'!$B$3:$B$15,0)),"")</f>
        <v/>
      </c>
    </row>
    <row r="258" spans="2:38" ht="14.5" thickBot="1" x14ac:dyDescent="0.35">
      <c r="D258" s="443"/>
      <c r="E258" s="554">
        <f>SUM(E10:E257)</f>
        <v>0</v>
      </c>
      <c r="M258" s="443"/>
      <c r="N258" s="556">
        <f>SUM(N10:N257)</f>
        <v>0</v>
      </c>
      <c r="O258" s="166"/>
      <c r="P258" s="517">
        <f t="shared" ref="P258:U258" si="28">SUM(P10:P257)</f>
        <v>0</v>
      </c>
      <c r="Q258" s="518">
        <f t="shared" si="28"/>
        <v>0</v>
      </c>
      <c r="R258" s="518">
        <f t="shared" si="28"/>
        <v>0</v>
      </c>
      <c r="S258" s="518">
        <f t="shared" si="28"/>
        <v>0</v>
      </c>
      <c r="T258" s="518">
        <f t="shared" si="28"/>
        <v>0</v>
      </c>
      <c r="U258" s="514">
        <f t="shared" si="28"/>
        <v>0</v>
      </c>
    </row>
    <row r="259" spans="2:38" ht="14" x14ac:dyDescent="0.3">
      <c r="O259" s="166"/>
      <c r="P259" s="166"/>
      <c r="Q259" s="166"/>
      <c r="R259" s="166"/>
      <c r="S259" s="166"/>
      <c r="T259" s="166"/>
      <c r="U259" s="166"/>
    </row>
    <row r="260" spans="2:38" ht="14" x14ac:dyDescent="0.3">
      <c r="B260" s="132"/>
      <c r="C260" s="132"/>
    </row>
    <row r="261" spans="2:38" ht="14" x14ac:dyDescent="0.3">
      <c r="B261" s="132"/>
      <c r="C261" s="132"/>
    </row>
    <row r="262" spans="2:38" ht="14" x14ac:dyDescent="0.3">
      <c r="B262" s="132"/>
      <c r="C262" s="132"/>
    </row>
    <row r="263" spans="2:38" ht="14" x14ac:dyDescent="0.3">
      <c r="B263" s="132"/>
      <c r="C263" s="132"/>
    </row>
    <row r="264" spans="2:38" ht="14" x14ac:dyDescent="0.3">
      <c r="B264" s="132"/>
      <c r="C264" s="132"/>
    </row>
  </sheetData>
  <sheetProtection algorithmName="SHA-512" hashValue="9X6AsQ//zhxGBc+nnYUzmQ5CXxVC2nhA9+NV96OJYiXWnzyjcKmpAPC2MA0DkBo8bLDFntJs+8+dZcTMvtydDQ==" saltValue="gJdyIw+VuPbprqdOghKHdw==" spinCount="100000" sheet="1" objects="1" scenarios="1"/>
  <customSheetViews>
    <customSheetView guid="{8BDA793C-C9C5-4FC6-A0A5-F1109F6D4F22}" state="hidden">
      <pane ySplit="9" topLeftCell="A10" activePane="bottomLeft" state="frozen"/>
      <selection pane="bottomLeft" activeCell="D14" sqref="D14"/>
    </customSheetView>
  </customSheetViews>
  <mergeCells count="9">
    <mergeCell ref="B2:D2"/>
    <mergeCell ref="V8:W8"/>
    <mergeCell ref="C8:E8"/>
    <mergeCell ref="F8:G8"/>
    <mergeCell ref="H8:I8"/>
    <mergeCell ref="J8:L8"/>
    <mergeCell ref="P8:U8"/>
    <mergeCell ref="M8:M9"/>
    <mergeCell ref="B3:D4"/>
  </mergeCells>
  <conditionalFormatting sqref="M10:M257">
    <cfRule type="cellIs" dxfId="132" priority="10" operator="equal">
      <formula>"Like for like or better"</formula>
    </cfRule>
    <cfRule type="cellIs" dxfId="131" priority="11" operator="equal">
      <formula>"Like for like"</formula>
    </cfRule>
    <cfRule type="containsText" dxfId="130" priority="12" operator="containsText" text="Same distinctiveness">
      <formula>NOT(ISERROR(SEARCH("Same distinctiveness",M10)))</formula>
    </cfRule>
  </conditionalFormatting>
  <conditionalFormatting sqref="K10:K257">
    <cfRule type="containsText" dxfId="129" priority="8" operator="containsText" text="Spatial">
      <formula>NOT(ISERROR(SEARCH("Spatial",K10)))</formula>
    </cfRule>
  </conditionalFormatting>
  <conditionalFormatting sqref="L10:L257">
    <cfRule type="containsText" dxfId="128" priority="7" operator="containsText" text="Spatial">
      <formula>NOT(ISERROR(SEARCH("Spatial",L10)))</formula>
    </cfRule>
  </conditionalFormatting>
  <conditionalFormatting sqref="T10:T257">
    <cfRule type="containsText" dxfId="127" priority="6" operator="containsText" text="Error">
      <formula>NOT(ISERROR(SEARCH("Error",T10)))</formula>
    </cfRule>
  </conditionalFormatting>
  <conditionalFormatting sqref="U10:U257">
    <cfRule type="containsText" dxfId="126" priority="5" operator="containsText" text="Error">
      <formula>NOT(ISERROR(SEARCH("Error",U10)))</formula>
    </cfRule>
  </conditionalFormatting>
  <dataValidations count="1">
    <dataValidation type="list" allowBlank="1" showInputMessage="1" showErrorMessage="1" sqref="H10:H257" xr:uid="{00000000-0002-0000-1000-000000000000}">
      <formula1>INDIRECT(AL10)</formula1>
    </dataValidation>
  </dataValidations>
  <pageMargins left="0.7" right="0.7" top="0.75" bottom="0.75" header="0.3" footer="0.3"/>
  <pageSetup paperSize="9" orientation="portrait" horizontalDpi="90" verticalDpi="9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1000000}">
          <x14:formula1>
            <xm:f>'G-6 Hedgerow Data'!$B$3:$B$15</xm:f>
          </x14:formula1>
          <xm:sqref>D10:D257</xm:sqref>
        </x14:dataValidation>
        <x14:dataValidation type="list" allowBlank="1" showErrorMessage="1" prompt=" _x000a_" xr:uid="{00000000-0002-0000-1000-000002000000}">
          <x14:formula1>
            <xm:f>'G-3 Multipliers'!$L$4:$L$6</xm:f>
          </x14:formula1>
          <xm:sqref>J10:J257</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2">
    <tabColor rgb="FF663300"/>
  </sheetPr>
  <dimension ref="A1:AG268"/>
  <sheetViews>
    <sheetView workbookViewId="0">
      <selection activeCell="E12" sqref="E12"/>
    </sheetView>
  </sheetViews>
  <sheetFormatPr defaultColWidth="0" defaultRowHeight="0" customHeight="1" zeroHeight="1" x14ac:dyDescent="0.3"/>
  <cols>
    <col min="1" max="1" width="2.81640625" style="31" customWidth="1"/>
    <col min="2" max="2" width="12.7265625" style="31" customWidth="1"/>
    <col min="3" max="3" width="10.54296875" style="31" customWidth="1"/>
    <col min="4" max="4" width="62.7265625" style="31" customWidth="1"/>
    <col min="5" max="5" width="10.453125" style="31" customWidth="1"/>
    <col min="6" max="6" width="18.81640625" style="31" customWidth="1"/>
    <col min="7" max="7" width="13.1796875" style="31" customWidth="1"/>
    <col min="8" max="8" width="12.54296875" style="31" bestFit="1" customWidth="1"/>
    <col min="9" max="9" width="12.54296875" style="31" customWidth="1"/>
    <col min="10" max="10" width="41.7265625" style="31" customWidth="1"/>
    <col min="11" max="11" width="18.54296875" style="31" customWidth="1"/>
    <col min="12" max="12" width="12.26953125" style="31" customWidth="1"/>
    <col min="13" max="13" width="19.1796875" style="31" customWidth="1"/>
    <col min="14" max="14" width="20" style="31" customWidth="1"/>
    <col min="15" max="15" width="17.7265625" style="31" customWidth="1"/>
    <col min="16" max="16" width="33.26953125" style="31" customWidth="1"/>
    <col min="17" max="17" width="19.1796875" style="31" customWidth="1"/>
    <col min="18" max="18" width="15.26953125" style="31" customWidth="1"/>
    <col min="19" max="19" width="13.453125" style="31" customWidth="1"/>
    <col min="20" max="20" width="18.453125" style="31" customWidth="1"/>
    <col min="21" max="21" width="13.7265625" style="31" customWidth="1"/>
    <col min="22" max="22" width="11.81640625" style="31" customWidth="1"/>
    <col min="23" max="23" width="12.7265625" style="31" customWidth="1"/>
    <col min="24" max="24" width="42.453125" style="31" customWidth="1"/>
    <col min="25" max="25" width="43.1796875" style="31" customWidth="1"/>
    <col min="26" max="31" width="8.81640625" style="31" customWidth="1"/>
    <col min="32" max="32" width="8.81640625" style="31" hidden="1" customWidth="1"/>
    <col min="33" max="33" width="15.81640625" style="31" hidden="1" customWidth="1"/>
    <col min="34" max="16384" width="8.81640625" style="31" hidden="1"/>
  </cols>
  <sheetData>
    <row r="1" spans="2:33" ht="15.75" customHeight="1" thickBot="1" x14ac:dyDescent="0.35"/>
    <row r="2" spans="2:33" ht="21.65" customHeight="1" thickBot="1" x14ac:dyDescent="0.35">
      <c r="B2" s="833" t="str">
        <f>IF([1]Start!F12="","",[1]Start!F12)</f>
        <v/>
      </c>
      <c r="C2" s="834"/>
      <c r="D2" s="835"/>
    </row>
    <row r="3" spans="2:33" ht="15" customHeight="1" x14ac:dyDescent="0.3">
      <c r="B3" s="941" t="str">
        <f ca="1">MID(CELL("filename",A1),FIND("]",CELL("filename",A1))+1,256)</f>
        <v>B-2 Site Hedge Creation</v>
      </c>
      <c r="C3" s="942"/>
      <c r="D3" s="943"/>
      <c r="M3" s="921" t="str">
        <f>IF(OR(COUNTIF($M$12:M259,"*30+*")&gt;0,COUNTIF($Q$12:Q259,"*30+*")&gt;0),"Note; Habitat selected has a time to target condition greater than 30 years. Non standard agreement may be required. ⚠","")</f>
        <v/>
      </c>
      <c r="N3" s="921"/>
      <c r="O3" s="921"/>
      <c r="P3" s="921"/>
      <c r="Q3" s="921"/>
      <c r="R3" s="921"/>
    </row>
    <row r="4" spans="2:33" ht="15.75" customHeight="1" thickBot="1" x14ac:dyDescent="0.35">
      <c r="B4" s="944"/>
      <c r="C4" s="945"/>
      <c r="D4" s="946"/>
      <c r="M4" s="921"/>
      <c r="N4" s="921"/>
      <c r="O4" s="921"/>
      <c r="P4" s="921"/>
      <c r="Q4" s="921"/>
      <c r="R4" s="921"/>
    </row>
    <row r="5" spans="2:33" ht="15.75" customHeight="1" x14ac:dyDescent="0.3">
      <c r="M5" s="921"/>
      <c r="N5" s="921"/>
      <c r="O5" s="921"/>
      <c r="P5" s="921"/>
      <c r="Q5" s="921"/>
      <c r="R5" s="921"/>
    </row>
    <row r="6" spans="2:33" ht="15.75" customHeight="1" x14ac:dyDescent="0.3">
      <c r="M6" s="403"/>
      <c r="N6" s="403"/>
      <c r="O6" s="403"/>
      <c r="P6" s="403"/>
      <c r="Q6" s="403"/>
    </row>
    <row r="7" spans="2:33" ht="15.75" customHeight="1" x14ac:dyDescent="0.3">
      <c r="B7" s="132"/>
      <c r="C7" s="132"/>
      <c r="M7" s="403"/>
      <c r="N7" s="403"/>
      <c r="O7" s="403"/>
      <c r="P7" s="403"/>
      <c r="Q7" s="403"/>
    </row>
    <row r="8" spans="2:33" ht="14" x14ac:dyDescent="0.3"/>
    <row r="9" spans="2:33" ht="19.899999999999999" customHeight="1" thickBot="1" x14ac:dyDescent="0.35"/>
    <row r="10" spans="2:33" ht="31.5" customHeight="1" thickBot="1" x14ac:dyDescent="0.35">
      <c r="B10" s="132"/>
      <c r="C10" s="132"/>
      <c r="D10" s="967" t="s">
        <v>301</v>
      </c>
      <c r="E10" s="969"/>
      <c r="F10" s="967" t="s">
        <v>272</v>
      </c>
      <c r="G10" s="969"/>
      <c r="H10" s="967" t="s">
        <v>273</v>
      </c>
      <c r="I10" s="969"/>
      <c r="J10" s="967" t="s">
        <v>191</v>
      </c>
      <c r="K10" s="968"/>
      <c r="L10" s="969"/>
      <c r="M10" s="967" t="s">
        <v>228</v>
      </c>
      <c r="N10" s="968"/>
      <c r="O10" s="968"/>
      <c r="P10" s="968"/>
      <c r="Q10" s="968"/>
      <c r="R10" s="969"/>
      <c r="S10" s="967" t="s">
        <v>252</v>
      </c>
      <c r="T10" s="968"/>
      <c r="U10" s="968"/>
      <c r="V10" s="969"/>
      <c r="W10" s="970" t="s">
        <v>302</v>
      </c>
      <c r="X10" s="958" t="s">
        <v>196</v>
      </c>
      <c r="Y10" s="959"/>
    </row>
    <row r="11" spans="2:33" ht="42" x14ac:dyDescent="0.3">
      <c r="B11" s="135" t="s">
        <v>254</v>
      </c>
      <c r="C11" s="136" t="s">
        <v>303</v>
      </c>
      <c r="D11" s="201" t="s">
        <v>275</v>
      </c>
      <c r="E11" s="359" t="s">
        <v>294</v>
      </c>
      <c r="F11" s="304" t="s">
        <v>189</v>
      </c>
      <c r="G11" s="202" t="s">
        <v>206</v>
      </c>
      <c r="H11" s="368" t="s">
        <v>190</v>
      </c>
      <c r="I11" s="202" t="s">
        <v>206</v>
      </c>
      <c r="J11" s="368" t="s">
        <v>191</v>
      </c>
      <c r="K11" s="201" t="s">
        <v>191</v>
      </c>
      <c r="L11" s="202" t="s">
        <v>231</v>
      </c>
      <c r="M11" s="368" t="s">
        <v>304</v>
      </c>
      <c r="N11" s="201" t="s">
        <v>233</v>
      </c>
      <c r="O11" s="201" t="s">
        <v>234</v>
      </c>
      <c r="P11" s="201" t="s">
        <v>235</v>
      </c>
      <c r="Q11" s="201" t="s">
        <v>236</v>
      </c>
      <c r="R11" s="202" t="s">
        <v>237</v>
      </c>
      <c r="S11" s="368" t="s">
        <v>238</v>
      </c>
      <c r="T11" s="201" t="s">
        <v>305</v>
      </c>
      <c r="U11" s="201" t="s">
        <v>240</v>
      </c>
      <c r="V11" s="202" t="s">
        <v>241</v>
      </c>
      <c r="W11" s="982"/>
      <c r="X11" s="141" t="s">
        <v>215</v>
      </c>
      <c r="Y11" s="359" t="s">
        <v>216</v>
      </c>
      <c r="AG11" s="131" t="s">
        <v>200</v>
      </c>
    </row>
    <row r="12" spans="2:33" ht="28" x14ac:dyDescent="0.3">
      <c r="B12" s="368">
        <v>1</v>
      </c>
      <c r="C12" s="204">
        <v>1</v>
      </c>
      <c r="D12" s="82" t="s">
        <v>116</v>
      </c>
      <c r="E12" s="70">
        <v>0.246</v>
      </c>
      <c r="F12" s="553" t="str">
        <f>IF(D12="","",VLOOKUP(D12,'G-6 Hedgerow Data'!$B$2:$AG$15,2,FALSE))</f>
        <v>Low</v>
      </c>
      <c r="G12" s="499">
        <f>IF(D12="","",VLOOKUP(D12,'G-6 Hedgerow Data'!$B$2:$AG$15,3,FALSE))</f>
        <v>2</v>
      </c>
      <c r="H12" s="145" t="s">
        <v>20</v>
      </c>
      <c r="I12" s="499">
        <f>IFERROR(VLOOKUP(H12,'G-1 All Habitats'!$Z$2:$AA$9,2,FALSE),"")</f>
        <v>2</v>
      </c>
      <c r="J12" s="145" t="s">
        <v>921</v>
      </c>
      <c r="K12" s="507" t="str">
        <f>IF(J12="","",IF(VLOOKUP(J12,'G-3 Multipliers'!$L$3:$N$6,2,FALSE)=0,"Spatial Data Missing ⚠",VLOOKUP(J12,'G-3 Multipliers'!$L$3:$N$6,2,FALSE)))</f>
        <v>Low Strategic Significance</v>
      </c>
      <c r="L12" s="505">
        <f>IF(J12="","",IF(VLOOKUP(J12,'G-3 Multipliers'!$L$3:$N$6,3,FALSE)=0,"Spatial Data Missing ⚠",VLOOKUP(J12,'G-3 Multipliers'!$L$3:$N$6,3,FALSE)))</f>
        <v>1</v>
      </c>
      <c r="M12" s="498">
        <f>IF(OR(D12="",H12=""),"",(INDEX('G-6 Hedgerow Data'!$E$3:$I$15,MATCH(D12,'G-6 Hedgerow Data'!$B$3:$B$15,0),MATCH(H12,'G-6 Hedgerow Data'!$E$2:$I$2,0))))</f>
        <v>5</v>
      </c>
      <c r="N12" s="195"/>
      <c r="O12" s="195"/>
      <c r="P12" s="507" t="str">
        <f>IF(M12="","",IF(AND(N12&gt;0,O12&gt;0),"Error -both advance and delayed habitat creation ▲",IF(AND(OR(N12="Habitat already in target condition",M12&lt;=N12),O12=0),"Check details - Is there evidence that habitat has reached target condition? ⚠",IF(M12="","",IF(N12&gt;0,"Check details - Is there evidence habitat creation started/in place? ⚠",IF(O12&gt;0,"Check details- Delay in starting habitat in required condition? ⚠","Standard time to target condition applied"))))))</f>
        <v>Standard time to target condition applied</v>
      </c>
      <c r="Q12" s="521">
        <f>IF(M12="","",IF(LEFT(P12,5)="Error ▲","Check Data ⚠",IF(OR(N12="30+",N12="Habitat already in target condition"),0,IF(O12="30+","30+ ⚠",IF(AND(M12="30+ ⚠",OR(N12="",N12=0)),"30+ ⚠",IF(AND(M12="30+ ⚠",N12&gt;0),32-N12,IF(M12+O12&gt;30,"30+ ⚠",IF(M12+O12-N12&gt;0,M12+O12-N12,IF(M12-N12&lt;0,0,M12+O12-N12)))))))))</f>
        <v>5</v>
      </c>
      <c r="R12" s="522">
        <f t="shared" ref="R12:R75" si="0">IF(M12="","",IF(LEFT(P12,5)="Error ▲","Check Data ⚠",VLOOKUP(Q12,TemporalMultipliers,3,FALSE)))</f>
        <v>0.83682870060000003</v>
      </c>
      <c r="S12" s="498" t="str">
        <f>IF(D12="","",VLOOKUP(D12,'G-6 Hedgerow Data'!$B$3:$AG$15,31,FALSE))</f>
        <v>Low</v>
      </c>
      <c r="T12" s="507" t="str">
        <f>IF(D12="","",IF(Q12="Check Data ⚠","Check Data ⚠",IF(H12="","",IF($P12="Check details - Is there evidence that habitat has reached target condition? ⚠","Low Difficulty - only applicable if all habitat created before losses ⚠","Standard difficulty applied"))))</f>
        <v>Standard difficulty applied</v>
      </c>
      <c r="U12" s="507" t="str">
        <f>(IF(AND(T12="Standard difficulty applied",M12&gt;N12),S12,IF(AND(T12="Low Difficulty - only applicable if all habitat created before losses ⚠",Q12&lt;=0),"Low",S12)))</f>
        <v>Low</v>
      </c>
      <c r="V12" s="499">
        <f>IF(D12="","",VLOOKUP(S12,'G-3 Multipliers'!$P$3:$Q$6,2,FALSE))</f>
        <v>1</v>
      </c>
      <c r="W12" s="529">
        <f>IFERROR(E12*G12*I12*L12*R12*V12,"")</f>
        <v>0.82343944139040004</v>
      </c>
      <c r="X12" s="149"/>
      <c r="Y12" s="150"/>
      <c r="AG12" s="31" t="str">
        <f>IFERROR(INDEX('G-6 Hedgerow Data'!$BJ$3:$BJ$15,MATCH(D12,'G-6 Hedgerow Data'!$B$3:$B$15,0)),"")</f>
        <v>Hedgecond1</v>
      </c>
    </row>
    <row r="13" spans="2:33" ht="14" x14ac:dyDescent="0.3">
      <c r="B13" s="141">
        <v>2</v>
      </c>
      <c r="C13" s="204"/>
      <c r="D13" s="82"/>
      <c r="E13" s="70"/>
      <c r="F13" s="553" t="str">
        <f>IF(D13="","",VLOOKUP(D13,'G-6 Hedgerow Data'!$B$2:$AG$15,2,FALSE))</f>
        <v/>
      </c>
      <c r="G13" s="499" t="str">
        <f>IF(D13="","",VLOOKUP(D13,'G-6 Hedgerow Data'!$B$2:$AG$15,3,FALSE))</f>
        <v/>
      </c>
      <c r="H13" s="145"/>
      <c r="I13" s="499" t="str">
        <f>IFERROR(VLOOKUP(H13,'G-1 All Habitats'!$Z$2:$AA$9,2,FALSE),"")</f>
        <v/>
      </c>
      <c r="J13" s="145"/>
      <c r="K13" s="520" t="str">
        <f>IF(J13="","",IF(VLOOKUP(J13,'G-3 Multipliers'!$L$3:$N$6,2,FALSE)=0,"Spatial Data Missing ⚠",VLOOKUP(J13,'G-3 Multipliers'!$L$3:$N$6,2,FALSE)))</f>
        <v/>
      </c>
      <c r="L13" s="505" t="str">
        <f>IF(J13="","",IF(VLOOKUP(J13,'G-3 Multipliers'!$L$3:$N$6,3,FALSE)=0,"Spatial Data Missing ⚠",VLOOKUP(J13,'G-3 Multipliers'!$L$3:$N$6,3,FALSE)))</f>
        <v/>
      </c>
      <c r="M13" s="498" t="str">
        <f>IF(OR(D13="",H13=""),"",(INDEX('G-6 Hedgerow Data'!$E$3:$I$15,MATCH(D13,'G-6 Hedgerow Data'!$B$3:$B$15,0),MATCH(H13,'G-6 Hedgerow Data'!$E$2:$I$2,0))))</f>
        <v/>
      </c>
      <c r="N13" s="195"/>
      <c r="O13" s="195"/>
      <c r="P13" s="507" t="str">
        <f t="shared" ref="P13:P76" si="1">IF(M13="","",IF(AND(N13&gt;0,O13&gt;0),"Error -both advance and delayed habitat creation ▲",IF(AND(OR(N13="Habitat already in target condition",M13&lt;=N13),O13=0),"Check details - Is there evidence that habitat has reached target condition? ⚠",IF(M13="","",IF(N13&gt;0,"Check details - Is there evidence habitat creation started/in place? ⚠",IF(O13&gt;0,"Check details- Delay in starting habitat in required condition? ⚠","Standard time to target condition applied"))))))</f>
        <v/>
      </c>
      <c r="Q13" s="521" t="str">
        <f t="shared" ref="Q13:Q76" si="2">IF(M13="","",IF(LEFT(P13,5)="Error ▲","Check Data ⚠",IF(OR(N13="30+",N13="Habitat already in target condition"),0,IF(O13="30+","30+ ⚠",IF(AND(M13="30+ ⚠",OR(N13="",N13=0)),"30+ ⚠",IF(AND(M13="30+ ⚠",N13&gt;0),32-N13,IF(M13+O13&gt;30,"30+ ⚠",IF(M13+O13-N13&gt;0,M13+O13-N13,IF(M13-N13&lt;0,0,M13+O13-N13)))))))))</f>
        <v/>
      </c>
      <c r="R13" s="522" t="str">
        <f t="shared" si="0"/>
        <v/>
      </c>
      <c r="S13" s="537" t="str">
        <f>IF(D13="","",VLOOKUP(D13,'G-6 Hedgerow Data'!$B$3:$AG$15,31,FALSE))</f>
        <v/>
      </c>
      <c r="T13" s="507" t="str">
        <f t="shared" ref="T13:T76" si="3">IF(D13="","",IF(Q13="Check Data ⚠","Check Data ⚠",IF(H13="","",IF($P13="Check details - Is there evidence that habitat has reached target condition? ⚠","Low Difficulty - only applicable if all habitat created before losses ⚠","Standard difficulty applied"))))</f>
        <v/>
      </c>
      <c r="U13" s="507" t="str">
        <f t="shared" ref="U13:U76" si="4">(IF(AND(T13="Standard difficulty applied",M13&gt;N13),S13,IF(AND(T13="Low Difficulty - only applicable if all habitat created before losses ⚠",Q13&lt;=0),"Low",S13)))</f>
        <v/>
      </c>
      <c r="V13" s="524" t="str">
        <f>IF(D13="","",VLOOKUP(S13,'G-3 Multipliers'!$P$3:$Q$6,2,FALSE))</f>
        <v/>
      </c>
      <c r="W13" s="529" t="str">
        <f t="shared" ref="W13:W76" si="5">IFERROR(E13*G13*I13*L13*R13*V13,"")</f>
        <v/>
      </c>
      <c r="X13" s="149"/>
      <c r="Y13" s="150"/>
      <c r="AG13" s="31" t="str">
        <f>IFERROR(INDEX('G-6 Hedgerow Data'!$BJ$3:$BJ$15,MATCH(D13,'G-6 Hedgerow Data'!$B$3:$B$15,0)),"")</f>
        <v/>
      </c>
    </row>
    <row r="14" spans="2:33" ht="14" x14ac:dyDescent="0.3">
      <c r="B14" s="141">
        <v>3</v>
      </c>
      <c r="C14" s="204"/>
      <c r="D14" s="82"/>
      <c r="E14" s="70"/>
      <c r="F14" s="553" t="str">
        <f>IF(D14="","",VLOOKUP(D14,'G-6 Hedgerow Data'!$B$2:$AG$15,2,FALSE))</f>
        <v/>
      </c>
      <c r="G14" s="499" t="str">
        <f>IF(D14="","",VLOOKUP(D14,'G-6 Hedgerow Data'!$B$2:$AG$15,3,FALSE))</f>
        <v/>
      </c>
      <c r="H14" s="145"/>
      <c r="I14" s="499" t="str">
        <f>IFERROR(VLOOKUP(H14,'G-1 All Habitats'!$Z$2:$AA$9,2,FALSE),"")</f>
        <v/>
      </c>
      <c r="J14" s="145"/>
      <c r="K14" s="520" t="str">
        <f>IF(J14="","",IF(VLOOKUP(J14,'G-3 Multipliers'!$L$3:$N$6,2,FALSE)=0,"Spatial Data Missing ⚠",VLOOKUP(J14,'G-3 Multipliers'!$L$3:$N$6,2,FALSE)))</f>
        <v/>
      </c>
      <c r="L14" s="505" t="str">
        <f>IF(J14="","",IF(VLOOKUP(J14,'G-3 Multipliers'!$L$3:$N$6,3,FALSE)=0,"Spatial Data Missing ⚠",VLOOKUP(J14,'G-3 Multipliers'!$L$3:$N$6,3,FALSE)))</f>
        <v/>
      </c>
      <c r="M14" s="498" t="str">
        <f>IF(OR(D14="",H14=""),"",(INDEX('G-6 Hedgerow Data'!$E$3:$I$15,MATCH(D14,'G-6 Hedgerow Data'!$B$3:$B$15,0),MATCH(H14,'G-6 Hedgerow Data'!$E$2:$I$2,0))))</f>
        <v/>
      </c>
      <c r="N14" s="195"/>
      <c r="O14" s="195"/>
      <c r="P14" s="507" t="str">
        <f t="shared" si="1"/>
        <v/>
      </c>
      <c r="Q14" s="521" t="str">
        <f t="shared" si="2"/>
        <v/>
      </c>
      <c r="R14" s="522" t="str">
        <f t="shared" si="0"/>
        <v/>
      </c>
      <c r="S14" s="537" t="str">
        <f>IF(D14="","",VLOOKUP(D14,'G-6 Hedgerow Data'!$B$3:$AG$15,31,FALSE))</f>
        <v/>
      </c>
      <c r="T14" s="507" t="str">
        <f t="shared" si="3"/>
        <v/>
      </c>
      <c r="U14" s="507" t="str">
        <f t="shared" si="4"/>
        <v/>
      </c>
      <c r="V14" s="524" t="str">
        <f>IF(D14="","",VLOOKUP(S14,'G-3 Multipliers'!$P$3:$Q$6,2,FALSE))</f>
        <v/>
      </c>
      <c r="W14" s="529" t="str">
        <f t="shared" si="5"/>
        <v/>
      </c>
      <c r="X14" s="149"/>
      <c r="Y14" s="150"/>
      <c r="AG14" s="31" t="str">
        <f>IFERROR(INDEX('G-6 Hedgerow Data'!$BJ$3:$BJ$15,MATCH(D14,'G-6 Hedgerow Data'!$B$3:$B$15,0)),"")</f>
        <v/>
      </c>
    </row>
    <row r="15" spans="2:33" ht="14" x14ac:dyDescent="0.3">
      <c r="B15" s="141">
        <v>4</v>
      </c>
      <c r="C15" s="204"/>
      <c r="D15" s="82"/>
      <c r="E15" s="70"/>
      <c r="F15" s="553" t="str">
        <f>IF(D15="","",VLOOKUP(D15,'G-6 Hedgerow Data'!$B$2:$AG$15,2,FALSE))</f>
        <v/>
      </c>
      <c r="G15" s="499" t="str">
        <f>IF(D15="","",VLOOKUP(D15,'G-6 Hedgerow Data'!$B$2:$AG$15,3,FALSE))</f>
        <v/>
      </c>
      <c r="H15" s="145"/>
      <c r="I15" s="499" t="str">
        <f>IFERROR(VLOOKUP(H15,'G-1 All Habitats'!$Z$2:$AA$9,2,FALSE),"")</f>
        <v/>
      </c>
      <c r="J15" s="145"/>
      <c r="K15" s="520" t="str">
        <f>IF(J15="","",IF(VLOOKUP(J15,'G-3 Multipliers'!$L$3:$N$6,2,FALSE)=0,"Spatial Data Missing ⚠",VLOOKUP(J15,'G-3 Multipliers'!$L$3:$N$6,2,FALSE)))</f>
        <v/>
      </c>
      <c r="L15" s="505" t="str">
        <f>IF(J15="","",IF(VLOOKUP(J15,'G-3 Multipliers'!$L$3:$N$6,3,FALSE)=0,"Spatial Data Missing ⚠",VLOOKUP(J15,'G-3 Multipliers'!$L$3:$N$6,3,FALSE)))</f>
        <v/>
      </c>
      <c r="M15" s="498" t="str">
        <f>IF(OR(D15="",H15=""),"",(INDEX('G-6 Hedgerow Data'!$E$3:$I$15,MATCH(D15,'G-6 Hedgerow Data'!$B$3:$B$15,0),MATCH(H15,'G-6 Hedgerow Data'!$E$2:$I$2,0))))</f>
        <v/>
      </c>
      <c r="N15" s="195"/>
      <c r="O15" s="195"/>
      <c r="P15" s="507" t="str">
        <f t="shared" si="1"/>
        <v/>
      </c>
      <c r="Q15" s="521" t="str">
        <f t="shared" si="2"/>
        <v/>
      </c>
      <c r="R15" s="522" t="str">
        <f t="shared" si="0"/>
        <v/>
      </c>
      <c r="S15" s="537" t="str">
        <f>IF(D15="","",VLOOKUP(D15,'G-6 Hedgerow Data'!$B$3:$AG$15,31,FALSE))</f>
        <v/>
      </c>
      <c r="T15" s="507" t="str">
        <f t="shared" si="3"/>
        <v/>
      </c>
      <c r="U15" s="507" t="str">
        <f t="shared" si="4"/>
        <v/>
      </c>
      <c r="V15" s="524" t="str">
        <f>IF(D15="","",VLOOKUP(S15,'G-3 Multipliers'!$P$3:$Q$6,2,FALSE))</f>
        <v/>
      </c>
      <c r="W15" s="529" t="str">
        <f t="shared" si="5"/>
        <v/>
      </c>
      <c r="X15" s="149"/>
      <c r="Y15" s="150"/>
      <c r="AG15" s="31" t="str">
        <f>IFERROR(INDEX('G-6 Hedgerow Data'!$BJ$3:$BJ$15,MATCH(D15,'G-6 Hedgerow Data'!$B$3:$B$15,0)),"")</f>
        <v/>
      </c>
    </row>
    <row r="16" spans="2:33" ht="14" x14ac:dyDescent="0.3">
      <c r="B16" s="141">
        <v>5</v>
      </c>
      <c r="C16" s="205"/>
      <c r="D16" s="195"/>
      <c r="E16" s="172"/>
      <c r="F16" s="553" t="str">
        <f>IF(D16="","",VLOOKUP(D16,'G-6 Hedgerow Data'!$B$2:$AG$15,2,FALSE))</f>
        <v/>
      </c>
      <c r="G16" s="499" t="str">
        <f>IF(D16="","",VLOOKUP(D16,'G-6 Hedgerow Data'!$B$2:$AG$15,3,FALSE))</f>
        <v/>
      </c>
      <c r="H16" s="145"/>
      <c r="I16" s="499" t="str">
        <f>IFERROR(VLOOKUP(H16,'G-1 All Habitats'!$Z$2:$AA$9,2,FALSE),"")</f>
        <v/>
      </c>
      <c r="J16" s="145"/>
      <c r="K16" s="520" t="str">
        <f>IF(J16="","",IF(VLOOKUP(J16,'G-3 Multipliers'!$L$3:$N$6,2,FALSE)=0,"Spatial Data Missing ⚠",VLOOKUP(J16,'G-3 Multipliers'!$L$3:$N$6,2,FALSE)))</f>
        <v/>
      </c>
      <c r="L16" s="505" t="str">
        <f>IF(J16="","",IF(VLOOKUP(J16,'G-3 Multipliers'!$L$3:$N$6,3,FALSE)=0,"Spatial Data Missing ⚠",VLOOKUP(J16,'G-3 Multipliers'!$L$3:$N$6,3,FALSE)))</f>
        <v/>
      </c>
      <c r="M16" s="498" t="str">
        <f>IF(OR(D16="",H16=""),"",(INDEX('G-6 Hedgerow Data'!$E$3:$I$15,MATCH(D16,'G-6 Hedgerow Data'!$B$3:$B$15,0),MATCH(H16,'G-6 Hedgerow Data'!$E$2:$I$2,0))))</f>
        <v/>
      </c>
      <c r="N16" s="195"/>
      <c r="O16" s="195"/>
      <c r="P16" s="507" t="str">
        <f t="shared" si="1"/>
        <v/>
      </c>
      <c r="Q16" s="521" t="str">
        <f t="shared" si="2"/>
        <v/>
      </c>
      <c r="R16" s="522" t="str">
        <f t="shared" si="0"/>
        <v/>
      </c>
      <c r="S16" s="537" t="str">
        <f>IF(D16="","",VLOOKUP(D16,'G-6 Hedgerow Data'!$B$3:$AG$15,31,FALSE))</f>
        <v/>
      </c>
      <c r="T16" s="507" t="str">
        <f t="shared" si="3"/>
        <v/>
      </c>
      <c r="U16" s="507" t="str">
        <f t="shared" si="4"/>
        <v/>
      </c>
      <c r="V16" s="524" t="str">
        <f>IF(D16="","",VLOOKUP(S16,'G-3 Multipliers'!$P$3:$Q$6,2,FALSE))</f>
        <v/>
      </c>
      <c r="W16" s="529" t="str">
        <f t="shared" si="5"/>
        <v/>
      </c>
      <c r="X16" s="149"/>
      <c r="Y16" s="150"/>
      <c r="AG16" s="31" t="str">
        <f>IFERROR(INDEX('G-6 Hedgerow Data'!$BJ$3:$BJ$15,MATCH(D16,'G-6 Hedgerow Data'!$B$3:$B$15,0)),"")</f>
        <v/>
      </c>
    </row>
    <row r="17" spans="2:33" ht="14" x14ac:dyDescent="0.3">
      <c r="B17" s="141">
        <v>6</v>
      </c>
      <c r="C17" s="205"/>
      <c r="D17" s="195"/>
      <c r="E17" s="172"/>
      <c r="F17" s="553" t="str">
        <f>IF(D17="","",VLOOKUP(D17,'G-6 Hedgerow Data'!$B$2:$AG$15,2,FALSE))</f>
        <v/>
      </c>
      <c r="G17" s="499" t="str">
        <f>IF(D17="","",VLOOKUP(D17,'G-6 Hedgerow Data'!$B$2:$AG$15,3,FALSE))</f>
        <v/>
      </c>
      <c r="H17" s="145"/>
      <c r="I17" s="499" t="str">
        <f>IFERROR(VLOOKUP(H17,'G-1 All Habitats'!$Z$2:$AA$9,2,FALSE),"")</f>
        <v/>
      </c>
      <c r="J17" s="145"/>
      <c r="K17" s="520" t="str">
        <f>IF(J17="","",IF(VLOOKUP(J17,'G-3 Multipliers'!$L$3:$N$6,2,FALSE)=0,"Spatial Data Missing ⚠",VLOOKUP(J17,'G-3 Multipliers'!$L$3:$N$6,2,FALSE)))</f>
        <v/>
      </c>
      <c r="L17" s="505" t="str">
        <f>IF(J17="","",IF(VLOOKUP(J17,'G-3 Multipliers'!$L$3:$N$6,3,FALSE)=0,"Spatial Data Missing ⚠",VLOOKUP(J17,'G-3 Multipliers'!$L$3:$N$6,3,FALSE)))</f>
        <v/>
      </c>
      <c r="M17" s="498" t="str">
        <f>IF(OR(D17="",H17=""),"",(INDEX('G-6 Hedgerow Data'!$E$3:$I$15,MATCH(D17,'G-6 Hedgerow Data'!$B$3:$B$15,0),MATCH(H17,'G-6 Hedgerow Data'!$E$2:$I$2,0))))</f>
        <v/>
      </c>
      <c r="N17" s="195"/>
      <c r="O17" s="195"/>
      <c r="P17" s="507" t="str">
        <f t="shared" si="1"/>
        <v/>
      </c>
      <c r="Q17" s="521" t="str">
        <f t="shared" si="2"/>
        <v/>
      </c>
      <c r="R17" s="522" t="str">
        <f t="shared" si="0"/>
        <v/>
      </c>
      <c r="S17" s="537" t="str">
        <f>IF(D17="","",VLOOKUP(D17,'G-6 Hedgerow Data'!$B$3:$AG$15,31,FALSE))</f>
        <v/>
      </c>
      <c r="T17" s="507" t="str">
        <f t="shared" si="3"/>
        <v/>
      </c>
      <c r="U17" s="507" t="str">
        <f t="shared" si="4"/>
        <v/>
      </c>
      <c r="V17" s="524" t="str">
        <f>IF(D17="","",VLOOKUP(S17,'G-3 Multipliers'!$P$3:$Q$6,2,FALSE))</f>
        <v/>
      </c>
      <c r="W17" s="529" t="str">
        <f t="shared" si="5"/>
        <v/>
      </c>
      <c r="X17" s="149"/>
      <c r="Y17" s="150"/>
      <c r="AG17" s="31" t="str">
        <f>IFERROR(INDEX('G-6 Hedgerow Data'!$BJ$3:$BJ$15,MATCH(D17,'G-6 Hedgerow Data'!$B$3:$B$15,0)),"")</f>
        <v/>
      </c>
    </row>
    <row r="18" spans="2:33" ht="14" x14ac:dyDescent="0.3">
      <c r="B18" s="141">
        <v>7</v>
      </c>
      <c r="C18" s="205"/>
      <c r="D18" s="195"/>
      <c r="E18" s="172"/>
      <c r="F18" s="553" t="str">
        <f>IF(D18="","",VLOOKUP(D18,'G-6 Hedgerow Data'!$B$2:$AG$15,2,FALSE))</f>
        <v/>
      </c>
      <c r="G18" s="499" t="str">
        <f>IF(D18="","",VLOOKUP(D18,'G-6 Hedgerow Data'!$B$2:$AG$15,3,FALSE))</f>
        <v/>
      </c>
      <c r="H18" s="145"/>
      <c r="I18" s="499" t="str">
        <f>IFERROR(VLOOKUP(H18,'G-1 All Habitats'!$Z$2:$AA$9,2,FALSE),"")</f>
        <v/>
      </c>
      <c r="J18" s="145"/>
      <c r="K18" s="520" t="str">
        <f>IF(J18="","",IF(VLOOKUP(J18,'G-3 Multipliers'!$L$3:$N$6,2,FALSE)=0,"Spatial Data Missing ⚠",VLOOKUP(J18,'G-3 Multipliers'!$L$3:$N$6,2,FALSE)))</f>
        <v/>
      </c>
      <c r="L18" s="505" t="str">
        <f>IF(J18="","",IF(VLOOKUP(J18,'G-3 Multipliers'!$L$3:$N$6,3,FALSE)=0,"Spatial Data Missing ⚠",VLOOKUP(J18,'G-3 Multipliers'!$L$3:$N$6,3,FALSE)))</f>
        <v/>
      </c>
      <c r="M18" s="498" t="str">
        <f>IF(OR(D18="",H18=""),"",(INDEX('G-6 Hedgerow Data'!$E$3:$I$15,MATCH(D18,'G-6 Hedgerow Data'!$B$3:$B$15,0),MATCH(H18,'G-6 Hedgerow Data'!$E$2:$I$2,0))))</f>
        <v/>
      </c>
      <c r="N18" s="195"/>
      <c r="O18" s="195"/>
      <c r="P18" s="507" t="str">
        <f t="shared" si="1"/>
        <v/>
      </c>
      <c r="Q18" s="521" t="str">
        <f t="shared" si="2"/>
        <v/>
      </c>
      <c r="R18" s="522" t="str">
        <f t="shared" si="0"/>
        <v/>
      </c>
      <c r="S18" s="537" t="str">
        <f>IF(D18="","",VLOOKUP(D18,'G-6 Hedgerow Data'!$B$3:$AG$15,31,FALSE))</f>
        <v/>
      </c>
      <c r="T18" s="507" t="str">
        <f t="shared" si="3"/>
        <v/>
      </c>
      <c r="U18" s="507" t="str">
        <f t="shared" si="4"/>
        <v/>
      </c>
      <c r="V18" s="524" t="str">
        <f>IF(D18="","",VLOOKUP(S18,'G-3 Multipliers'!$P$3:$Q$6,2,FALSE))</f>
        <v/>
      </c>
      <c r="W18" s="529" t="str">
        <f t="shared" si="5"/>
        <v/>
      </c>
      <c r="X18" s="149"/>
      <c r="Y18" s="150"/>
      <c r="AG18" s="31" t="str">
        <f>IFERROR(INDEX('G-6 Hedgerow Data'!$BJ$3:$BJ$15,MATCH(D18,'G-6 Hedgerow Data'!$B$3:$B$15,0)),"")</f>
        <v/>
      </c>
    </row>
    <row r="19" spans="2:33" ht="14" x14ac:dyDescent="0.3">
      <c r="B19" s="141">
        <v>8</v>
      </c>
      <c r="C19" s="205"/>
      <c r="D19" s="195"/>
      <c r="E19" s="172"/>
      <c r="F19" s="553" t="str">
        <f>IF(D19="","",VLOOKUP(D19,'G-6 Hedgerow Data'!$B$2:$AG$15,2,FALSE))</f>
        <v/>
      </c>
      <c r="G19" s="499" t="str">
        <f>IF(D19="","",VLOOKUP(D19,'G-6 Hedgerow Data'!$B$2:$AG$15,3,FALSE))</f>
        <v/>
      </c>
      <c r="H19" s="145"/>
      <c r="I19" s="499" t="str">
        <f>IFERROR(VLOOKUP(H19,'G-1 All Habitats'!$Z$2:$AA$9,2,FALSE),"")</f>
        <v/>
      </c>
      <c r="J19" s="145"/>
      <c r="K19" s="520" t="str">
        <f>IF(J19="","",IF(VLOOKUP(J19,'G-3 Multipliers'!$L$3:$N$6,2,FALSE)=0,"Spatial Data Missing ⚠",VLOOKUP(J19,'G-3 Multipliers'!$L$3:$N$6,2,FALSE)))</f>
        <v/>
      </c>
      <c r="L19" s="505" t="str">
        <f>IF(J19="","",IF(VLOOKUP(J19,'G-3 Multipliers'!$L$3:$N$6,3,FALSE)=0,"Spatial Data Missing ⚠",VLOOKUP(J19,'G-3 Multipliers'!$L$3:$N$6,3,FALSE)))</f>
        <v/>
      </c>
      <c r="M19" s="498" t="str">
        <f>IF(OR(D19="",H19=""),"",(INDEX('G-6 Hedgerow Data'!$E$3:$I$15,MATCH(D19,'G-6 Hedgerow Data'!$B$3:$B$15,0),MATCH(H19,'G-6 Hedgerow Data'!$E$2:$I$2,0))))</f>
        <v/>
      </c>
      <c r="N19" s="195"/>
      <c r="O19" s="195"/>
      <c r="P19" s="507" t="str">
        <f t="shared" si="1"/>
        <v/>
      </c>
      <c r="Q19" s="521" t="str">
        <f t="shared" si="2"/>
        <v/>
      </c>
      <c r="R19" s="522" t="str">
        <f t="shared" si="0"/>
        <v/>
      </c>
      <c r="S19" s="537" t="str">
        <f>IF(D19="","",VLOOKUP(D19,'G-6 Hedgerow Data'!$B$3:$AG$15,31,FALSE))</f>
        <v/>
      </c>
      <c r="T19" s="507" t="str">
        <f t="shared" si="3"/>
        <v/>
      </c>
      <c r="U19" s="507" t="str">
        <f t="shared" si="4"/>
        <v/>
      </c>
      <c r="V19" s="524" t="str">
        <f>IF(D19="","",VLOOKUP(S19,'G-3 Multipliers'!$P$3:$Q$6,2,FALSE))</f>
        <v/>
      </c>
      <c r="W19" s="529" t="str">
        <f t="shared" si="5"/>
        <v/>
      </c>
      <c r="X19" s="149"/>
      <c r="Y19" s="150"/>
      <c r="AG19" s="31" t="str">
        <f>IFERROR(INDEX('G-6 Hedgerow Data'!$BJ$3:$BJ$15,MATCH(D19,'G-6 Hedgerow Data'!$B$3:$B$15,0)),"")</f>
        <v/>
      </c>
    </row>
    <row r="20" spans="2:33" ht="14" x14ac:dyDescent="0.3">
      <c r="B20" s="141">
        <v>9</v>
      </c>
      <c r="C20" s="205"/>
      <c r="D20" s="195"/>
      <c r="E20" s="172"/>
      <c r="F20" s="553" t="str">
        <f>IF(D20="","",VLOOKUP(D20,'G-6 Hedgerow Data'!$B$2:$AG$15,2,FALSE))</f>
        <v/>
      </c>
      <c r="G20" s="499" t="str">
        <f>IF(D20="","",VLOOKUP(D20,'G-6 Hedgerow Data'!$B$2:$AG$15,3,FALSE))</f>
        <v/>
      </c>
      <c r="H20" s="145"/>
      <c r="I20" s="499" t="str">
        <f>IFERROR(VLOOKUP(H20,'G-1 All Habitats'!$Z$2:$AA$9,2,FALSE),"")</f>
        <v/>
      </c>
      <c r="J20" s="145"/>
      <c r="K20" s="520" t="str">
        <f>IF(J20="","",IF(VLOOKUP(J20,'G-3 Multipliers'!$L$3:$N$6,2,FALSE)=0,"Spatial Data Missing ⚠",VLOOKUP(J20,'G-3 Multipliers'!$L$3:$N$6,2,FALSE)))</f>
        <v/>
      </c>
      <c r="L20" s="505" t="str">
        <f>IF(J20="","",IF(VLOOKUP(J20,'G-3 Multipliers'!$L$3:$N$6,3,FALSE)=0,"Spatial Data Missing ⚠",VLOOKUP(J20,'G-3 Multipliers'!$L$3:$N$6,3,FALSE)))</f>
        <v/>
      </c>
      <c r="M20" s="498" t="str">
        <f>IF(OR(D20="",H20=""),"",(INDEX('G-6 Hedgerow Data'!$E$3:$I$15,MATCH(D20,'G-6 Hedgerow Data'!$B$3:$B$15,0),MATCH(H20,'G-6 Hedgerow Data'!$E$2:$I$2,0))))</f>
        <v/>
      </c>
      <c r="N20" s="195"/>
      <c r="O20" s="195"/>
      <c r="P20" s="507" t="str">
        <f t="shared" si="1"/>
        <v/>
      </c>
      <c r="Q20" s="521" t="str">
        <f t="shared" si="2"/>
        <v/>
      </c>
      <c r="R20" s="522" t="str">
        <f t="shared" si="0"/>
        <v/>
      </c>
      <c r="S20" s="537" t="str">
        <f>IF(D20="","",VLOOKUP(D20,'G-6 Hedgerow Data'!$B$3:$AG$15,31,FALSE))</f>
        <v/>
      </c>
      <c r="T20" s="507" t="str">
        <f t="shared" si="3"/>
        <v/>
      </c>
      <c r="U20" s="507" t="str">
        <f t="shared" si="4"/>
        <v/>
      </c>
      <c r="V20" s="524" t="str">
        <f>IF(D20="","",VLOOKUP(S20,'G-3 Multipliers'!$P$3:$Q$6,2,FALSE))</f>
        <v/>
      </c>
      <c r="W20" s="529" t="str">
        <f t="shared" si="5"/>
        <v/>
      </c>
      <c r="X20" s="149"/>
      <c r="Y20" s="150"/>
      <c r="AG20" s="31" t="str">
        <f>IFERROR(INDEX('G-6 Hedgerow Data'!$BJ$3:$BJ$15,MATCH(D20,'G-6 Hedgerow Data'!$B$3:$B$15,0)),"")</f>
        <v/>
      </c>
    </row>
    <row r="21" spans="2:33" ht="14" x14ac:dyDescent="0.3">
      <c r="B21" s="141">
        <v>10</v>
      </c>
      <c r="C21" s="205"/>
      <c r="D21" s="195"/>
      <c r="E21" s="172"/>
      <c r="F21" s="553" t="str">
        <f>IF(D21="","",VLOOKUP(D21,'G-6 Hedgerow Data'!$B$2:$AG$15,2,FALSE))</f>
        <v/>
      </c>
      <c r="G21" s="499" t="str">
        <f>IF(D21="","",VLOOKUP(D21,'G-6 Hedgerow Data'!$B$2:$AG$15,3,FALSE))</f>
        <v/>
      </c>
      <c r="H21" s="145"/>
      <c r="I21" s="499" t="str">
        <f>IFERROR(VLOOKUP(H21,'G-1 All Habitats'!$Z$2:$AA$9,2,FALSE),"")</f>
        <v/>
      </c>
      <c r="J21" s="145"/>
      <c r="K21" s="520" t="str">
        <f>IF(J21="","",IF(VLOOKUP(J21,'G-3 Multipliers'!$L$3:$N$6,2,FALSE)=0,"Spatial Data Missing ⚠",VLOOKUP(J21,'G-3 Multipliers'!$L$3:$N$6,2,FALSE)))</f>
        <v/>
      </c>
      <c r="L21" s="505" t="str">
        <f>IF(J21="","",IF(VLOOKUP(J21,'G-3 Multipliers'!$L$3:$N$6,3,FALSE)=0,"Spatial Data Missing ⚠",VLOOKUP(J21,'G-3 Multipliers'!$L$3:$N$6,3,FALSE)))</f>
        <v/>
      </c>
      <c r="M21" s="498" t="str">
        <f>IF(OR(D21="",H21=""),"",(INDEX('G-6 Hedgerow Data'!$E$3:$I$15,MATCH(D21,'G-6 Hedgerow Data'!$B$3:$B$15,0),MATCH(H21,'G-6 Hedgerow Data'!$E$2:$I$2,0))))</f>
        <v/>
      </c>
      <c r="N21" s="195"/>
      <c r="O21" s="195"/>
      <c r="P21" s="507" t="str">
        <f t="shared" si="1"/>
        <v/>
      </c>
      <c r="Q21" s="521" t="str">
        <f t="shared" si="2"/>
        <v/>
      </c>
      <c r="R21" s="522" t="str">
        <f t="shared" si="0"/>
        <v/>
      </c>
      <c r="S21" s="537" t="str">
        <f>IF(D21="","",VLOOKUP(D21,'G-6 Hedgerow Data'!$B$3:$AG$15,31,FALSE))</f>
        <v/>
      </c>
      <c r="T21" s="507" t="str">
        <f t="shared" si="3"/>
        <v/>
      </c>
      <c r="U21" s="507" t="str">
        <f t="shared" si="4"/>
        <v/>
      </c>
      <c r="V21" s="524" t="str">
        <f>IF(D21="","",VLOOKUP(S21,'G-3 Multipliers'!$P$3:$Q$6,2,FALSE))</f>
        <v/>
      </c>
      <c r="W21" s="529" t="str">
        <f t="shared" si="5"/>
        <v/>
      </c>
      <c r="X21" s="149"/>
      <c r="Y21" s="150"/>
      <c r="AG21" s="31" t="str">
        <f>IFERROR(INDEX('G-6 Hedgerow Data'!$BJ$3:$BJ$15,MATCH(D21,'G-6 Hedgerow Data'!$B$3:$B$15,0)),"")</f>
        <v/>
      </c>
    </row>
    <row r="22" spans="2:33" ht="14" x14ac:dyDescent="0.3">
      <c r="B22" s="141">
        <v>11</v>
      </c>
      <c r="C22" s="205"/>
      <c r="D22" s="195"/>
      <c r="E22" s="172"/>
      <c r="F22" s="553" t="str">
        <f>IF(D22="","",VLOOKUP(D22,'G-6 Hedgerow Data'!$B$2:$AG$15,2,FALSE))</f>
        <v/>
      </c>
      <c r="G22" s="499" t="str">
        <f>IF(D22="","",VLOOKUP(D22,'G-6 Hedgerow Data'!$B$2:$AG$15,3,FALSE))</f>
        <v/>
      </c>
      <c r="H22" s="145"/>
      <c r="I22" s="499" t="str">
        <f>IFERROR(VLOOKUP(H22,'G-1 All Habitats'!$Z$2:$AA$9,2,FALSE),"")</f>
        <v/>
      </c>
      <c r="J22" s="145"/>
      <c r="K22" s="520" t="str">
        <f>IF(J22="","",IF(VLOOKUP(J22,'G-3 Multipliers'!$L$3:$N$6,2,FALSE)=0,"Spatial Data Missing ⚠",VLOOKUP(J22,'G-3 Multipliers'!$L$3:$N$6,2,FALSE)))</f>
        <v/>
      </c>
      <c r="L22" s="505" t="str">
        <f>IF(J22="","",IF(VLOOKUP(J22,'G-3 Multipliers'!$L$3:$N$6,3,FALSE)=0,"Spatial Data Missing ⚠",VLOOKUP(J22,'G-3 Multipliers'!$L$3:$N$6,3,FALSE)))</f>
        <v/>
      </c>
      <c r="M22" s="498" t="str">
        <f>IF(OR(D22="",H22=""),"",(INDEX('G-6 Hedgerow Data'!$E$3:$I$15,MATCH(D22,'G-6 Hedgerow Data'!$B$3:$B$15,0),MATCH(H22,'G-6 Hedgerow Data'!$E$2:$I$2,0))))</f>
        <v/>
      </c>
      <c r="N22" s="195"/>
      <c r="O22" s="195"/>
      <c r="P22" s="507" t="str">
        <f t="shared" si="1"/>
        <v/>
      </c>
      <c r="Q22" s="521" t="str">
        <f t="shared" si="2"/>
        <v/>
      </c>
      <c r="R22" s="522" t="str">
        <f t="shared" si="0"/>
        <v/>
      </c>
      <c r="S22" s="537" t="str">
        <f>IF(D22="","",VLOOKUP(D22,'G-6 Hedgerow Data'!$B$3:$AG$15,31,FALSE))</f>
        <v/>
      </c>
      <c r="T22" s="507" t="str">
        <f t="shared" si="3"/>
        <v/>
      </c>
      <c r="U22" s="507" t="str">
        <f t="shared" si="4"/>
        <v/>
      </c>
      <c r="V22" s="524" t="str">
        <f>IF(D22="","",VLOOKUP(S22,'G-3 Multipliers'!$P$3:$Q$6,2,FALSE))</f>
        <v/>
      </c>
      <c r="W22" s="529" t="str">
        <f t="shared" si="5"/>
        <v/>
      </c>
      <c r="X22" s="149"/>
      <c r="Y22" s="150"/>
      <c r="AG22" s="31" t="str">
        <f>IFERROR(INDEX('G-6 Hedgerow Data'!$BJ$3:$BJ$15,MATCH(D22,'G-6 Hedgerow Data'!$B$3:$B$15,0)),"")</f>
        <v/>
      </c>
    </row>
    <row r="23" spans="2:33" ht="14" x14ac:dyDescent="0.3">
      <c r="B23" s="141">
        <v>12</v>
      </c>
      <c r="C23" s="205"/>
      <c r="D23" s="195"/>
      <c r="E23" s="172"/>
      <c r="F23" s="553" t="str">
        <f>IF(D23="","",VLOOKUP(D23,'G-6 Hedgerow Data'!$B$2:$AG$15,2,FALSE))</f>
        <v/>
      </c>
      <c r="G23" s="499" t="str">
        <f>IF(D23="","",VLOOKUP(D23,'G-6 Hedgerow Data'!$B$2:$AG$15,3,FALSE))</f>
        <v/>
      </c>
      <c r="H23" s="145"/>
      <c r="I23" s="499" t="str">
        <f>IFERROR(VLOOKUP(H23,'G-1 All Habitats'!$Z$2:$AA$9,2,FALSE),"")</f>
        <v/>
      </c>
      <c r="J23" s="145"/>
      <c r="K23" s="520" t="str">
        <f>IF(J23="","",IF(VLOOKUP(J23,'G-3 Multipliers'!$L$3:$N$6,2,FALSE)=0,"Spatial Data Missing ⚠",VLOOKUP(J23,'G-3 Multipliers'!$L$3:$N$6,2,FALSE)))</f>
        <v/>
      </c>
      <c r="L23" s="505" t="str">
        <f>IF(J23="","",IF(VLOOKUP(J23,'G-3 Multipliers'!$L$3:$N$6,3,FALSE)=0,"Spatial Data Missing ⚠",VLOOKUP(J23,'G-3 Multipliers'!$L$3:$N$6,3,FALSE)))</f>
        <v/>
      </c>
      <c r="M23" s="498" t="str">
        <f>IF(OR(D23="",H23=""),"",(INDEX('G-6 Hedgerow Data'!$E$3:$I$15,MATCH(D23,'G-6 Hedgerow Data'!$B$3:$B$15,0),MATCH(H23,'G-6 Hedgerow Data'!$E$2:$I$2,0))))</f>
        <v/>
      </c>
      <c r="N23" s="195"/>
      <c r="O23" s="195"/>
      <c r="P23" s="507" t="str">
        <f t="shared" si="1"/>
        <v/>
      </c>
      <c r="Q23" s="521" t="str">
        <f t="shared" si="2"/>
        <v/>
      </c>
      <c r="R23" s="522" t="str">
        <f t="shared" si="0"/>
        <v/>
      </c>
      <c r="S23" s="537" t="str">
        <f>IF(D23="","",VLOOKUP(D23,'G-6 Hedgerow Data'!$B$3:$AG$15,31,FALSE))</f>
        <v/>
      </c>
      <c r="T23" s="507" t="str">
        <f t="shared" si="3"/>
        <v/>
      </c>
      <c r="U23" s="507" t="str">
        <f t="shared" si="4"/>
        <v/>
      </c>
      <c r="V23" s="524" t="str">
        <f>IF(D23="","",VLOOKUP(S23,'G-3 Multipliers'!$P$3:$Q$6,2,FALSE))</f>
        <v/>
      </c>
      <c r="W23" s="529" t="str">
        <f t="shared" si="5"/>
        <v/>
      </c>
      <c r="X23" s="149"/>
      <c r="Y23" s="150"/>
      <c r="AG23" s="31" t="str">
        <f>IFERROR(INDEX('G-6 Hedgerow Data'!$BJ$3:$BJ$15,MATCH(D23,'G-6 Hedgerow Data'!$B$3:$B$15,0)),"")</f>
        <v/>
      </c>
    </row>
    <row r="24" spans="2:33" ht="14" x14ac:dyDescent="0.3">
      <c r="B24" s="141">
        <v>13</v>
      </c>
      <c r="C24" s="205"/>
      <c r="D24" s="195"/>
      <c r="E24" s="172"/>
      <c r="F24" s="553" t="str">
        <f>IF(D24="","",VLOOKUP(D24,'G-6 Hedgerow Data'!$B$2:$AG$15,2,FALSE))</f>
        <v/>
      </c>
      <c r="G24" s="499" t="str">
        <f>IF(D24="","",VLOOKUP(D24,'G-6 Hedgerow Data'!$B$2:$AG$15,3,FALSE))</f>
        <v/>
      </c>
      <c r="H24" s="145"/>
      <c r="I24" s="499" t="str">
        <f>IFERROR(VLOOKUP(H24,'G-1 All Habitats'!$Z$2:$AA$9,2,FALSE),"")</f>
        <v/>
      </c>
      <c r="J24" s="145"/>
      <c r="K24" s="520" t="str">
        <f>IF(J24="","",IF(VLOOKUP(J24,'G-3 Multipliers'!$L$3:$N$6,2,FALSE)=0,"Spatial Data Missing ⚠",VLOOKUP(J24,'G-3 Multipliers'!$L$3:$N$6,2,FALSE)))</f>
        <v/>
      </c>
      <c r="L24" s="505" t="str">
        <f>IF(J24="","",IF(VLOOKUP(J24,'G-3 Multipliers'!$L$3:$N$6,3,FALSE)=0,"Spatial Data Missing ⚠",VLOOKUP(J24,'G-3 Multipliers'!$L$3:$N$6,3,FALSE)))</f>
        <v/>
      </c>
      <c r="M24" s="498" t="str">
        <f>IF(OR(D24="",H24=""),"",(INDEX('G-6 Hedgerow Data'!$E$3:$I$15,MATCH(D24,'G-6 Hedgerow Data'!$B$3:$B$15,0),MATCH(H24,'G-6 Hedgerow Data'!$E$2:$I$2,0))))</f>
        <v/>
      </c>
      <c r="N24" s="195"/>
      <c r="O24" s="195"/>
      <c r="P24" s="507" t="str">
        <f t="shared" si="1"/>
        <v/>
      </c>
      <c r="Q24" s="521" t="str">
        <f t="shared" si="2"/>
        <v/>
      </c>
      <c r="R24" s="522" t="str">
        <f t="shared" si="0"/>
        <v/>
      </c>
      <c r="S24" s="537" t="str">
        <f>IF(D24="","",VLOOKUP(D24,'G-6 Hedgerow Data'!$B$3:$AG$15,31,FALSE))</f>
        <v/>
      </c>
      <c r="T24" s="507" t="str">
        <f t="shared" si="3"/>
        <v/>
      </c>
      <c r="U24" s="507" t="str">
        <f t="shared" si="4"/>
        <v/>
      </c>
      <c r="V24" s="524" t="str">
        <f>IF(D24="","",VLOOKUP(S24,'G-3 Multipliers'!$P$3:$Q$6,2,FALSE))</f>
        <v/>
      </c>
      <c r="W24" s="529" t="str">
        <f t="shared" si="5"/>
        <v/>
      </c>
      <c r="X24" s="149"/>
      <c r="Y24" s="150"/>
      <c r="AG24" s="31" t="str">
        <f>IFERROR(INDEX('G-6 Hedgerow Data'!$BJ$3:$BJ$15,MATCH(D24,'G-6 Hedgerow Data'!$B$3:$B$15,0)),"")</f>
        <v/>
      </c>
    </row>
    <row r="25" spans="2:33" ht="14" x14ac:dyDescent="0.3">
      <c r="B25" s="141">
        <v>14</v>
      </c>
      <c r="C25" s="205"/>
      <c r="D25" s="195"/>
      <c r="E25" s="172"/>
      <c r="F25" s="553" t="str">
        <f>IF(D25="","",VLOOKUP(D25,'G-6 Hedgerow Data'!$B$2:$AG$15,2,FALSE))</f>
        <v/>
      </c>
      <c r="G25" s="499" t="str">
        <f>IF(D25="","",VLOOKUP(D25,'G-6 Hedgerow Data'!$B$2:$AG$15,3,FALSE))</f>
        <v/>
      </c>
      <c r="H25" s="145"/>
      <c r="I25" s="499" t="str">
        <f>IFERROR(VLOOKUP(H25,'G-1 All Habitats'!$Z$2:$AA$9,2,FALSE),"")</f>
        <v/>
      </c>
      <c r="J25" s="145"/>
      <c r="K25" s="520" t="str">
        <f>IF(J25="","",IF(VLOOKUP(J25,'G-3 Multipliers'!$L$3:$N$6,2,FALSE)=0,"Spatial Data Missing ⚠",VLOOKUP(J25,'G-3 Multipliers'!$L$3:$N$6,2,FALSE)))</f>
        <v/>
      </c>
      <c r="L25" s="505" t="str">
        <f>IF(J25="","",IF(VLOOKUP(J25,'G-3 Multipliers'!$L$3:$N$6,3,FALSE)=0,"Spatial Data Missing ⚠",VLOOKUP(J25,'G-3 Multipliers'!$L$3:$N$6,3,FALSE)))</f>
        <v/>
      </c>
      <c r="M25" s="498" t="str">
        <f>IF(OR(D25="",H25=""),"",(INDEX('G-6 Hedgerow Data'!$E$3:$I$15,MATCH(D25,'G-6 Hedgerow Data'!$B$3:$B$15,0),MATCH(H25,'G-6 Hedgerow Data'!$E$2:$I$2,0))))</f>
        <v/>
      </c>
      <c r="N25" s="195"/>
      <c r="O25" s="195"/>
      <c r="P25" s="507" t="str">
        <f t="shared" si="1"/>
        <v/>
      </c>
      <c r="Q25" s="521" t="str">
        <f t="shared" si="2"/>
        <v/>
      </c>
      <c r="R25" s="522" t="str">
        <f t="shared" si="0"/>
        <v/>
      </c>
      <c r="S25" s="537" t="str">
        <f>IF(D25="","",VLOOKUP(D25,'G-6 Hedgerow Data'!$B$3:$AG$15,31,FALSE))</f>
        <v/>
      </c>
      <c r="T25" s="507" t="str">
        <f t="shared" si="3"/>
        <v/>
      </c>
      <c r="U25" s="507" t="str">
        <f t="shared" si="4"/>
        <v/>
      </c>
      <c r="V25" s="524" t="str">
        <f>IF(D25="","",VLOOKUP(S25,'G-3 Multipliers'!$P$3:$Q$6,2,FALSE))</f>
        <v/>
      </c>
      <c r="W25" s="529" t="str">
        <f t="shared" si="5"/>
        <v/>
      </c>
      <c r="X25" s="149"/>
      <c r="Y25" s="150"/>
      <c r="AG25" s="31" t="str">
        <f>IFERROR(INDEX('G-6 Hedgerow Data'!$BJ$3:$BJ$15,MATCH(D25,'G-6 Hedgerow Data'!$B$3:$B$15,0)),"")</f>
        <v/>
      </c>
    </row>
    <row r="26" spans="2:33" ht="14" x14ac:dyDescent="0.3">
      <c r="B26" s="141">
        <v>15</v>
      </c>
      <c r="C26" s="205"/>
      <c r="D26" s="195"/>
      <c r="E26" s="172"/>
      <c r="F26" s="553" t="str">
        <f>IF(D26="","",VLOOKUP(D26,'G-6 Hedgerow Data'!$B$2:$AG$15,2,FALSE))</f>
        <v/>
      </c>
      <c r="G26" s="499" t="str">
        <f>IF(D26="","",VLOOKUP(D26,'G-6 Hedgerow Data'!$B$2:$AG$15,3,FALSE))</f>
        <v/>
      </c>
      <c r="H26" s="145"/>
      <c r="I26" s="499" t="str">
        <f>IFERROR(VLOOKUP(H26,'G-1 All Habitats'!$Z$2:$AA$9,2,FALSE),"")</f>
        <v/>
      </c>
      <c r="J26" s="145"/>
      <c r="K26" s="520" t="str">
        <f>IF(J26="","",IF(VLOOKUP(J26,'G-3 Multipliers'!$L$3:$N$6,2,FALSE)=0,"Spatial Data Missing ⚠",VLOOKUP(J26,'G-3 Multipliers'!$L$3:$N$6,2,FALSE)))</f>
        <v/>
      </c>
      <c r="L26" s="505" t="str">
        <f>IF(J26="","",IF(VLOOKUP(J26,'G-3 Multipliers'!$L$3:$N$6,3,FALSE)=0,"Spatial Data Missing ⚠",VLOOKUP(J26,'G-3 Multipliers'!$L$3:$N$6,3,FALSE)))</f>
        <v/>
      </c>
      <c r="M26" s="498" t="str">
        <f>IF(OR(D26="",H26=""),"",(INDEX('G-6 Hedgerow Data'!$E$3:$I$15,MATCH(D26,'G-6 Hedgerow Data'!$B$3:$B$15,0),MATCH(H26,'G-6 Hedgerow Data'!$E$2:$I$2,0))))</f>
        <v/>
      </c>
      <c r="N26" s="195"/>
      <c r="O26" s="195"/>
      <c r="P26" s="507" t="str">
        <f t="shared" si="1"/>
        <v/>
      </c>
      <c r="Q26" s="521" t="str">
        <f t="shared" si="2"/>
        <v/>
      </c>
      <c r="R26" s="522" t="str">
        <f t="shared" si="0"/>
        <v/>
      </c>
      <c r="S26" s="537" t="str">
        <f>IF(D26="","",VLOOKUP(D26,'G-6 Hedgerow Data'!$B$3:$AG$15,31,FALSE))</f>
        <v/>
      </c>
      <c r="T26" s="507" t="str">
        <f t="shared" si="3"/>
        <v/>
      </c>
      <c r="U26" s="507" t="str">
        <f t="shared" si="4"/>
        <v/>
      </c>
      <c r="V26" s="524" t="str">
        <f>IF(D26="","",VLOOKUP(S26,'G-3 Multipliers'!$P$3:$Q$6,2,FALSE))</f>
        <v/>
      </c>
      <c r="W26" s="529" t="str">
        <f t="shared" si="5"/>
        <v/>
      </c>
      <c r="X26" s="149"/>
      <c r="Y26" s="150"/>
      <c r="AG26" s="31" t="str">
        <f>IFERROR(INDEX('G-6 Hedgerow Data'!$BJ$3:$BJ$15,MATCH(D26,'G-6 Hedgerow Data'!$B$3:$B$15,0)),"")</f>
        <v/>
      </c>
    </row>
    <row r="27" spans="2:33" ht="14" x14ac:dyDescent="0.3">
      <c r="B27" s="141">
        <v>16</v>
      </c>
      <c r="C27" s="205"/>
      <c r="D27" s="195"/>
      <c r="E27" s="172"/>
      <c r="F27" s="553" t="str">
        <f>IF(D27="","",VLOOKUP(D27,'G-6 Hedgerow Data'!$B$2:$AG$15,2,FALSE))</f>
        <v/>
      </c>
      <c r="G27" s="499" t="str">
        <f>IF(D27="","",VLOOKUP(D27,'G-6 Hedgerow Data'!$B$2:$AG$15,3,FALSE))</f>
        <v/>
      </c>
      <c r="H27" s="145"/>
      <c r="I27" s="499" t="str">
        <f>IFERROR(VLOOKUP(H27,'G-1 All Habitats'!$Z$2:$AA$9,2,FALSE),"")</f>
        <v/>
      </c>
      <c r="J27" s="145"/>
      <c r="K27" s="520" t="str">
        <f>IF(J27="","",IF(VLOOKUP(J27,'G-3 Multipliers'!$L$3:$N$6,2,FALSE)=0,"Spatial Data Missing ⚠",VLOOKUP(J27,'G-3 Multipliers'!$L$3:$N$6,2,FALSE)))</f>
        <v/>
      </c>
      <c r="L27" s="505" t="str">
        <f>IF(J27="","",IF(VLOOKUP(J27,'G-3 Multipliers'!$L$3:$N$6,3,FALSE)=0,"Spatial Data Missing ⚠",VLOOKUP(J27,'G-3 Multipliers'!$L$3:$N$6,3,FALSE)))</f>
        <v/>
      </c>
      <c r="M27" s="498" t="str">
        <f>IF(OR(D27="",H27=""),"",(INDEX('G-6 Hedgerow Data'!$E$3:$I$15,MATCH(D27,'G-6 Hedgerow Data'!$B$3:$B$15,0),MATCH(H27,'G-6 Hedgerow Data'!$E$2:$I$2,0))))</f>
        <v/>
      </c>
      <c r="N27" s="195"/>
      <c r="O27" s="195"/>
      <c r="P27" s="507" t="str">
        <f t="shared" si="1"/>
        <v/>
      </c>
      <c r="Q27" s="521" t="str">
        <f t="shared" si="2"/>
        <v/>
      </c>
      <c r="R27" s="522" t="str">
        <f t="shared" si="0"/>
        <v/>
      </c>
      <c r="S27" s="537" t="str">
        <f>IF(D27="","",VLOOKUP(D27,'G-6 Hedgerow Data'!$B$3:$AG$15,31,FALSE))</f>
        <v/>
      </c>
      <c r="T27" s="507" t="str">
        <f t="shared" si="3"/>
        <v/>
      </c>
      <c r="U27" s="507" t="str">
        <f t="shared" si="4"/>
        <v/>
      </c>
      <c r="V27" s="524" t="str">
        <f>IF(D27="","",VLOOKUP(S27,'G-3 Multipliers'!$P$3:$Q$6,2,FALSE))</f>
        <v/>
      </c>
      <c r="W27" s="529" t="str">
        <f t="shared" si="5"/>
        <v/>
      </c>
      <c r="X27" s="149"/>
      <c r="Y27" s="150"/>
      <c r="AG27" s="31" t="str">
        <f>IFERROR(INDEX('G-6 Hedgerow Data'!$BJ$3:$BJ$15,MATCH(D27,'G-6 Hedgerow Data'!$B$3:$B$15,0)),"")</f>
        <v/>
      </c>
    </row>
    <row r="28" spans="2:33" ht="14" x14ac:dyDescent="0.3">
      <c r="B28" s="141">
        <v>17</v>
      </c>
      <c r="C28" s="205"/>
      <c r="D28" s="195"/>
      <c r="E28" s="172"/>
      <c r="F28" s="553" t="str">
        <f>IF(D28="","",VLOOKUP(D28,'G-6 Hedgerow Data'!$B$2:$AG$15,2,FALSE))</f>
        <v/>
      </c>
      <c r="G28" s="499" t="str">
        <f>IF(D28="","",VLOOKUP(D28,'G-6 Hedgerow Data'!$B$2:$AG$15,3,FALSE))</f>
        <v/>
      </c>
      <c r="H28" s="145"/>
      <c r="I28" s="499" t="str">
        <f>IFERROR(VLOOKUP(H28,'G-1 All Habitats'!$Z$2:$AA$9,2,FALSE),"")</f>
        <v/>
      </c>
      <c r="J28" s="145"/>
      <c r="K28" s="520" t="str">
        <f>IF(J28="","",IF(VLOOKUP(J28,'G-3 Multipliers'!$L$3:$N$6,2,FALSE)=0,"Spatial Data Missing ⚠",VLOOKUP(J28,'G-3 Multipliers'!$L$3:$N$6,2,FALSE)))</f>
        <v/>
      </c>
      <c r="L28" s="505" t="str">
        <f>IF(J28="","",IF(VLOOKUP(J28,'G-3 Multipliers'!$L$3:$N$6,3,FALSE)=0,"Spatial Data Missing ⚠",VLOOKUP(J28,'G-3 Multipliers'!$L$3:$N$6,3,FALSE)))</f>
        <v/>
      </c>
      <c r="M28" s="498" t="str">
        <f>IF(OR(D28="",H28=""),"",(INDEX('G-6 Hedgerow Data'!$E$3:$I$15,MATCH(D28,'G-6 Hedgerow Data'!$B$3:$B$15,0),MATCH(H28,'G-6 Hedgerow Data'!$E$2:$I$2,0))))</f>
        <v/>
      </c>
      <c r="N28" s="195"/>
      <c r="O28" s="195"/>
      <c r="P28" s="507" t="str">
        <f t="shared" si="1"/>
        <v/>
      </c>
      <c r="Q28" s="521" t="str">
        <f t="shared" si="2"/>
        <v/>
      </c>
      <c r="R28" s="522" t="str">
        <f t="shared" si="0"/>
        <v/>
      </c>
      <c r="S28" s="537" t="str">
        <f>IF(D28="","",VLOOKUP(D28,'G-6 Hedgerow Data'!$B$3:$AG$15,31,FALSE))</f>
        <v/>
      </c>
      <c r="T28" s="507" t="str">
        <f t="shared" si="3"/>
        <v/>
      </c>
      <c r="U28" s="507" t="str">
        <f t="shared" si="4"/>
        <v/>
      </c>
      <c r="V28" s="524" t="str">
        <f>IF(D28="","",VLOOKUP(S28,'G-3 Multipliers'!$P$3:$Q$6,2,FALSE))</f>
        <v/>
      </c>
      <c r="W28" s="529" t="str">
        <f t="shared" si="5"/>
        <v/>
      </c>
      <c r="X28" s="149"/>
      <c r="Y28" s="150"/>
      <c r="AG28" s="31" t="str">
        <f>IFERROR(INDEX('G-6 Hedgerow Data'!$BJ$3:$BJ$15,MATCH(D28,'G-6 Hedgerow Data'!$B$3:$B$15,0)),"")</f>
        <v/>
      </c>
    </row>
    <row r="29" spans="2:33" ht="14" x14ac:dyDescent="0.3">
      <c r="B29" s="141">
        <v>18</v>
      </c>
      <c r="C29" s="205"/>
      <c r="D29" s="195"/>
      <c r="E29" s="172"/>
      <c r="F29" s="553" t="str">
        <f>IF(D29="","",VLOOKUP(D29,'G-6 Hedgerow Data'!$B$2:$AG$15,2,FALSE))</f>
        <v/>
      </c>
      <c r="G29" s="499" t="str">
        <f>IF(D29="","",VLOOKUP(D29,'G-6 Hedgerow Data'!$B$2:$AG$15,3,FALSE))</f>
        <v/>
      </c>
      <c r="H29" s="145"/>
      <c r="I29" s="499" t="str">
        <f>IFERROR(VLOOKUP(H29,'G-1 All Habitats'!$Z$2:$AA$9,2,FALSE),"")</f>
        <v/>
      </c>
      <c r="J29" s="145"/>
      <c r="K29" s="520" t="str">
        <f>IF(J29="","",IF(VLOOKUP(J29,'G-3 Multipliers'!$L$3:$N$6,2,FALSE)=0,"Spatial Data Missing ⚠",VLOOKUP(J29,'G-3 Multipliers'!$L$3:$N$6,2,FALSE)))</f>
        <v/>
      </c>
      <c r="L29" s="505" t="str">
        <f>IF(J29="","",IF(VLOOKUP(J29,'G-3 Multipliers'!$L$3:$N$6,3,FALSE)=0,"Spatial Data Missing ⚠",VLOOKUP(J29,'G-3 Multipliers'!$L$3:$N$6,3,FALSE)))</f>
        <v/>
      </c>
      <c r="M29" s="498" t="str">
        <f>IF(OR(D29="",H29=""),"",(INDEX('G-6 Hedgerow Data'!$E$3:$I$15,MATCH(D29,'G-6 Hedgerow Data'!$B$3:$B$15,0),MATCH(H29,'G-6 Hedgerow Data'!$E$2:$I$2,0))))</f>
        <v/>
      </c>
      <c r="N29" s="195"/>
      <c r="O29" s="195"/>
      <c r="P29" s="507" t="str">
        <f t="shared" si="1"/>
        <v/>
      </c>
      <c r="Q29" s="521" t="str">
        <f t="shared" si="2"/>
        <v/>
      </c>
      <c r="R29" s="522" t="str">
        <f t="shared" si="0"/>
        <v/>
      </c>
      <c r="S29" s="537" t="str">
        <f>IF(D29="","",VLOOKUP(D29,'G-6 Hedgerow Data'!$B$3:$AG$15,31,FALSE))</f>
        <v/>
      </c>
      <c r="T29" s="507" t="str">
        <f t="shared" si="3"/>
        <v/>
      </c>
      <c r="U29" s="507" t="str">
        <f t="shared" si="4"/>
        <v/>
      </c>
      <c r="V29" s="524" t="str">
        <f>IF(D29="","",VLOOKUP(S29,'G-3 Multipliers'!$P$3:$Q$6,2,FALSE))</f>
        <v/>
      </c>
      <c r="W29" s="529" t="str">
        <f t="shared" si="5"/>
        <v/>
      </c>
      <c r="X29" s="149"/>
      <c r="Y29" s="150"/>
      <c r="AG29" s="31" t="str">
        <f>IFERROR(INDEX('G-6 Hedgerow Data'!$BJ$3:$BJ$15,MATCH(D29,'G-6 Hedgerow Data'!$B$3:$B$15,0)),"")</f>
        <v/>
      </c>
    </row>
    <row r="30" spans="2:33" ht="14" x14ac:dyDescent="0.3">
      <c r="B30" s="141">
        <v>19</v>
      </c>
      <c r="C30" s="205"/>
      <c r="D30" s="195"/>
      <c r="E30" s="172"/>
      <c r="F30" s="553" t="str">
        <f>IF(D30="","",VLOOKUP(D30,'G-6 Hedgerow Data'!$B$2:$AG$15,2,FALSE))</f>
        <v/>
      </c>
      <c r="G30" s="499" t="str">
        <f>IF(D30="","",VLOOKUP(D30,'G-6 Hedgerow Data'!$B$2:$AG$15,3,FALSE))</f>
        <v/>
      </c>
      <c r="H30" s="145"/>
      <c r="I30" s="499" t="str">
        <f>IFERROR(VLOOKUP(H30,'G-1 All Habitats'!$Z$2:$AA$9,2,FALSE),"")</f>
        <v/>
      </c>
      <c r="J30" s="145"/>
      <c r="K30" s="520" t="str">
        <f>IF(J30="","",IF(VLOOKUP(J30,'G-3 Multipliers'!$L$3:$N$6,2,FALSE)=0,"Spatial Data Missing ⚠",VLOOKUP(J30,'G-3 Multipliers'!$L$3:$N$6,2,FALSE)))</f>
        <v/>
      </c>
      <c r="L30" s="505" t="str">
        <f>IF(J30="","",IF(VLOOKUP(J30,'G-3 Multipliers'!$L$3:$N$6,3,FALSE)=0,"Spatial Data Missing ⚠",VLOOKUP(J30,'G-3 Multipliers'!$L$3:$N$6,3,FALSE)))</f>
        <v/>
      </c>
      <c r="M30" s="498" t="str">
        <f>IF(OR(D30="",H30=""),"",(INDEX('G-6 Hedgerow Data'!$E$3:$I$15,MATCH(D30,'G-6 Hedgerow Data'!$B$3:$B$15,0),MATCH(H30,'G-6 Hedgerow Data'!$E$2:$I$2,0))))</f>
        <v/>
      </c>
      <c r="N30" s="195"/>
      <c r="O30" s="195"/>
      <c r="P30" s="507" t="str">
        <f t="shared" si="1"/>
        <v/>
      </c>
      <c r="Q30" s="521" t="str">
        <f t="shared" si="2"/>
        <v/>
      </c>
      <c r="R30" s="522" t="str">
        <f t="shared" si="0"/>
        <v/>
      </c>
      <c r="S30" s="537" t="str">
        <f>IF(D30="","",VLOOKUP(D30,'G-6 Hedgerow Data'!$B$3:$AG$15,31,FALSE))</f>
        <v/>
      </c>
      <c r="T30" s="507" t="str">
        <f t="shared" si="3"/>
        <v/>
      </c>
      <c r="U30" s="507" t="str">
        <f t="shared" si="4"/>
        <v/>
      </c>
      <c r="V30" s="524" t="str">
        <f>IF(D30="","",VLOOKUP(S30,'G-3 Multipliers'!$P$3:$Q$6,2,FALSE))</f>
        <v/>
      </c>
      <c r="W30" s="529" t="str">
        <f t="shared" si="5"/>
        <v/>
      </c>
      <c r="X30" s="149"/>
      <c r="Y30" s="150"/>
      <c r="AG30" s="31" t="str">
        <f>IFERROR(INDEX('G-6 Hedgerow Data'!$BJ$3:$BJ$15,MATCH(D30,'G-6 Hedgerow Data'!$B$3:$B$15,0)),"")</f>
        <v/>
      </c>
    </row>
    <row r="31" spans="2:33" ht="14" x14ac:dyDescent="0.3">
      <c r="B31" s="141">
        <v>20</v>
      </c>
      <c r="C31" s="205"/>
      <c r="D31" s="195"/>
      <c r="E31" s="172"/>
      <c r="F31" s="553" t="str">
        <f>IF(D31="","",VLOOKUP(D31,'G-6 Hedgerow Data'!$B$2:$AG$15,2,FALSE))</f>
        <v/>
      </c>
      <c r="G31" s="499" t="str">
        <f>IF(D31="","",VLOOKUP(D31,'G-6 Hedgerow Data'!$B$2:$AG$15,3,FALSE))</f>
        <v/>
      </c>
      <c r="H31" s="145"/>
      <c r="I31" s="499" t="str">
        <f>IFERROR(VLOOKUP(H31,'G-1 All Habitats'!$Z$2:$AA$9,2,FALSE),"")</f>
        <v/>
      </c>
      <c r="J31" s="145"/>
      <c r="K31" s="520" t="str">
        <f>IF(J31="","",IF(VLOOKUP(J31,'G-3 Multipliers'!$L$3:$N$6,2,FALSE)=0,"Spatial Data Missing ⚠",VLOOKUP(J31,'G-3 Multipliers'!$L$3:$N$6,2,FALSE)))</f>
        <v/>
      </c>
      <c r="L31" s="505" t="str">
        <f>IF(J31="","",IF(VLOOKUP(J31,'G-3 Multipliers'!$L$3:$N$6,3,FALSE)=0,"Spatial Data Missing ⚠",VLOOKUP(J31,'G-3 Multipliers'!$L$3:$N$6,3,FALSE)))</f>
        <v/>
      </c>
      <c r="M31" s="498" t="str">
        <f>IF(OR(D31="",H31=""),"",(INDEX('G-6 Hedgerow Data'!$E$3:$I$15,MATCH(D31,'G-6 Hedgerow Data'!$B$3:$B$15,0),MATCH(H31,'G-6 Hedgerow Data'!$E$2:$I$2,0))))</f>
        <v/>
      </c>
      <c r="N31" s="195"/>
      <c r="O31" s="195"/>
      <c r="P31" s="507" t="str">
        <f t="shared" si="1"/>
        <v/>
      </c>
      <c r="Q31" s="521" t="str">
        <f t="shared" si="2"/>
        <v/>
      </c>
      <c r="R31" s="522" t="str">
        <f t="shared" si="0"/>
        <v/>
      </c>
      <c r="S31" s="537" t="str">
        <f>IF(D31="","",VLOOKUP(D31,'G-6 Hedgerow Data'!$B$3:$AG$15,31,FALSE))</f>
        <v/>
      </c>
      <c r="T31" s="507" t="str">
        <f t="shared" si="3"/>
        <v/>
      </c>
      <c r="U31" s="507" t="str">
        <f t="shared" si="4"/>
        <v/>
      </c>
      <c r="V31" s="524" t="str">
        <f>IF(D31="","",VLOOKUP(S31,'G-3 Multipliers'!$P$3:$Q$6,2,FALSE))</f>
        <v/>
      </c>
      <c r="W31" s="529" t="str">
        <f t="shared" si="5"/>
        <v/>
      </c>
      <c r="X31" s="149"/>
      <c r="Y31" s="150"/>
      <c r="AG31" s="31" t="str">
        <f>IFERROR(INDEX('G-6 Hedgerow Data'!$BJ$3:$BJ$15,MATCH(D31,'G-6 Hedgerow Data'!$B$3:$B$15,0)),"")</f>
        <v/>
      </c>
    </row>
    <row r="32" spans="2:33" ht="14" x14ac:dyDescent="0.3">
      <c r="B32" s="141">
        <v>21</v>
      </c>
      <c r="C32" s="205"/>
      <c r="D32" s="195"/>
      <c r="E32" s="172"/>
      <c r="F32" s="553" t="str">
        <f>IF(D32="","",VLOOKUP(D32,'G-6 Hedgerow Data'!$B$2:$AG$15,2,FALSE))</f>
        <v/>
      </c>
      <c r="G32" s="499" t="str">
        <f>IF(D32="","",VLOOKUP(D32,'G-6 Hedgerow Data'!$B$2:$AG$15,3,FALSE))</f>
        <v/>
      </c>
      <c r="H32" s="145"/>
      <c r="I32" s="499" t="str">
        <f>IFERROR(VLOOKUP(H32,'G-1 All Habitats'!$Z$2:$AA$9,2,FALSE),"")</f>
        <v/>
      </c>
      <c r="J32" s="145"/>
      <c r="K32" s="520" t="str">
        <f>IF(J32="","",IF(VLOOKUP(J32,'G-3 Multipliers'!$L$3:$N$6,2,FALSE)=0,"Spatial Data Missing ⚠",VLOOKUP(J32,'G-3 Multipliers'!$L$3:$N$6,2,FALSE)))</f>
        <v/>
      </c>
      <c r="L32" s="505" t="str">
        <f>IF(J32="","",IF(VLOOKUP(J32,'G-3 Multipliers'!$L$3:$N$6,3,FALSE)=0,"Spatial Data Missing ⚠",VLOOKUP(J32,'G-3 Multipliers'!$L$3:$N$6,3,FALSE)))</f>
        <v/>
      </c>
      <c r="M32" s="498" t="str">
        <f>IF(OR(D32="",H32=""),"",(INDEX('G-6 Hedgerow Data'!$E$3:$I$15,MATCH(D32,'G-6 Hedgerow Data'!$B$3:$B$15,0),MATCH(H32,'G-6 Hedgerow Data'!$E$2:$I$2,0))))</f>
        <v/>
      </c>
      <c r="N32" s="195"/>
      <c r="O32" s="195"/>
      <c r="P32" s="507" t="str">
        <f t="shared" si="1"/>
        <v/>
      </c>
      <c r="Q32" s="521" t="str">
        <f t="shared" si="2"/>
        <v/>
      </c>
      <c r="R32" s="522" t="str">
        <f t="shared" si="0"/>
        <v/>
      </c>
      <c r="S32" s="537" t="str">
        <f>IF(D32="","",VLOOKUP(D32,'G-6 Hedgerow Data'!$B$3:$AG$15,31,FALSE))</f>
        <v/>
      </c>
      <c r="T32" s="507" t="str">
        <f t="shared" si="3"/>
        <v/>
      </c>
      <c r="U32" s="507" t="str">
        <f t="shared" si="4"/>
        <v/>
      </c>
      <c r="V32" s="524" t="str">
        <f>IF(D32="","",VLOOKUP(S32,'G-3 Multipliers'!$P$3:$Q$6,2,FALSE))</f>
        <v/>
      </c>
      <c r="W32" s="529" t="str">
        <f t="shared" si="5"/>
        <v/>
      </c>
      <c r="X32" s="149"/>
      <c r="Y32" s="150"/>
      <c r="AG32" s="31" t="str">
        <f>IFERROR(INDEX('G-6 Hedgerow Data'!$BJ$3:$BJ$15,MATCH(D32,'G-6 Hedgerow Data'!$B$3:$B$15,0)),"")</f>
        <v/>
      </c>
    </row>
    <row r="33" spans="2:33" ht="14" x14ac:dyDescent="0.3">
      <c r="B33" s="141">
        <v>22</v>
      </c>
      <c r="C33" s="205"/>
      <c r="D33" s="195"/>
      <c r="E33" s="172"/>
      <c r="F33" s="553" t="str">
        <f>IF(D33="","",VLOOKUP(D33,'G-6 Hedgerow Data'!$B$2:$AG$15,2,FALSE))</f>
        <v/>
      </c>
      <c r="G33" s="499" t="str">
        <f>IF(D33="","",VLOOKUP(D33,'G-6 Hedgerow Data'!$B$2:$AG$15,3,FALSE))</f>
        <v/>
      </c>
      <c r="H33" s="145"/>
      <c r="I33" s="499" t="str">
        <f>IFERROR(VLOOKUP(H33,'G-1 All Habitats'!$Z$2:$AA$9,2,FALSE),"")</f>
        <v/>
      </c>
      <c r="J33" s="145"/>
      <c r="K33" s="520" t="str">
        <f>IF(J33="","",IF(VLOOKUP(J33,'G-3 Multipliers'!$L$3:$N$6,2,FALSE)=0,"Spatial Data Missing ⚠",VLOOKUP(J33,'G-3 Multipliers'!$L$3:$N$6,2,FALSE)))</f>
        <v/>
      </c>
      <c r="L33" s="505" t="str">
        <f>IF(J33="","",IF(VLOOKUP(J33,'G-3 Multipliers'!$L$3:$N$6,3,FALSE)=0,"Spatial Data Missing ⚠",VLOOKUP(J33,'G-3 Multipliers'!$L$3:$N$6,3,FALSE)))</f>
        <v/>
      </c>
      <c r="M33" s="498" t="str">
        <f>IF(OR(D33="",H33=""),"",(INDEX('G-6 Hedgerow Data'!$E$3:$I$15,MATCH(D33,'G-6 Hedgerow Data'!$B$3:$B$15,0),MATCH(H33,'G-6 Hedgerow Data'!$E$2:$I$2,0))))</f>
        <v/>
      </c>
      <c r="N33" s="195"/>
      <c r="O33" s="195"/>
      <c r="P33" s="507" t="str">
        <f t="shared" si="1"/>
        <v/>
      </c>
      <c r="Q33" s="521" t="str">
        <f t="shared" si="2"/>
        <v/>
      </c>
      <c r="R33" s="522" t="str">
        <f t="shared" si="0"/>
        <v/>
      </c>
      <c r="S33" s="537" t="str">
        <f>IF(D33="","",VLOOKUP(D33,'G-6 Hedgerow Data'!$B$3:$AG$15,31,FALSE))</f>
        <v/>
      </c>
      <c r="T33" s="507" t="str">
        <f t="shared" si="3"/>
        <v/>
      </c>
      <c r="U33" s="507" t="str">
        <f t="shared" si="4"/>
        <v/>
      </c>
      <c r="V33" s="524" t="str">
        <f>IF(D33="","",VLOOKUP(S33,'G-3 Multipliers'!$P$3:$Q$6,2,FALSE))</f>
        <v/>
      </c>
      <c r="W33" s="529" t="str">
        <f t="shared" si="5"/>
        <v/>
      </c>
      <c r="X33" s="149"/>
      <c r="Y33" s="150"/>
      <c r="AG33" s="31" t="str">
        <f>IFERROR(INDEX('G-6 Hedgerow Data'!$BJ$3:$BJ$15,MATCH(D33,'G-6 Hedgerow Data'!$B$3:$B$15,0)),"")</f>
        <v/>
      </c>
    </row>
    <row r="34" spans="2:33" ht="14" x14ac:dyDescent="0.3">
      <c r="B34" s="141">
        <v>23</v>
      </c>
      <c r="C34" s="205"/>
      <c r="D34" s="195"/>
      <c r="E34" s="172"/>
      <c r="F34" s="553" t="str">
        <f>IF(D34="","",VLOOKUP(D34,'G-6 Hedgerow Data'!$B$2:$AG$15,2,FALSE))</f>
        <v/>
      </c>
      <c r="G34" s="499" t="str">
        <f>IF(D34="","",VLOOKUP(D34,'G-6 Hedgerow Data'!$B$2:$AG$15,3,FALSE))</f>
        <v/>
      </c>
      <c r="H34" s="145"/>
      <c r="I34" s="499" t="str">
        <f>IFERROR(VLOOKUP(H34,'G-1 All Habitats'!$Z$2:$AA$9,2,FALSE),"")</f>
        <v/>
      </c>
      <c r="J34" s="145"/>
      <c r="K34" s="520" t="str">
        <f>IF(J34="","",IF(VLOOKUP(J34,'G-3 Multipliers'!$L$3:$N$6,2,FALSE)=0,"Spatial Data Missing ⚠",VLOOKUP(J34,'G-3 Multipliers'!$L$3:$N$6,2,FALSE)))</f>
        <v/>
      </c>
      <c r="L34" s="505" t="str">
        <f>IF(J34="","",IF(VLOOKUP(J34,'G-3 Multipliers'!$L$3:$N$6,3,FALSE)=0,"Spatial Data Missing ⚠",VLOOKUP(J34,'G-3 Multipliers'!$L$3:$N$6,3,FALSE)))</f>
        <v/>
      </c>
      <c r="M34" s="498" t="str">
        <f>IF(OR(D34="",H34=""),"",(INDEX('G-6 Hedgerow Data'!$E$3:$I$15,MATCH(D34,'G-6 Hedgerow Data'!$B$3:$B$15,0),MATCH(H34,'G-6 Hedgerow Data'!$E$2:$I$2,0))))</f>
        <v/>
      </c>
      <c r="N34" s="195"/>
      <c r="O34" s="195"/>
      <c r="P34" s="507" t="str">
        <f t="shared" si="1"/>
        <v/>
      </c>
      <c r="Q34" s="521" t="str">
        <f t="shared" si="2"/>
        <v/>
      </c>
      <c r="R34" s="522" t="str">
        <f t="shared" si="0"/>
        <v/>
      </c>
      <c r="S34" s="537" t="str">
        <f>IF(D34="","",VLOOKUP(D34,'G-6 Hedgerow Data'!$B$3:$AG$15,31,FALSE))</f>
        <v/>
      </c>
      <c r="T34" s="507" t="str">
        <f t="shared" si="3"/>
        <v/>
      </c>
      <c r="U34" s="507" t="str">
        <f t="shared" si="4"/>
        <v/>
      </c>
      <c r="V34" s="524" t="str">
        <f>IF(D34="","",VLOOKUP(S34,'G-3 Multipliers'!$P$3:$Q$6,2,FALSE))</f>
        <v/>
      </c>
      <c r="W34" s="529" t="str">
        <f t="shared" si="5"/>
        <v/>
      </c>
      <c r="X34" s="149"/>
      <c r="Y34" s="150"/>
      <c r="AG34" s="31" t="str">
        <f>IFERROR(INDEX('G-6 Hedgerow Data'!$BJ$3:$BJ$15,MATCH(D34,'G-6 Hedgerow Data'!$B$3:$B$15,0)),"")</f>
        <v/>
      </c>
    </row>
    <row r="35" spans="2:33" ht="14" x14ac:dyDescent="0.3">
      <c r="B35" s="141">
        <v>24</v>
      </c>
      <c r="C35" s="205"/>
      <c r="D35" s="195"/>
      <c r="E35" s="172"/>
      <c r="F35" s="553" t="str">
        <f>IF(D35="","",VLOOKUP(D35,'G-6 Hedgerow Data'!$B$2:$AG$15,2,FALSE))</f>
        <v/>
      </c>
      <c r="G35" s="499" t="str">
        <f>IF(D35="","",VLOOKUP(D35,'G-6 Hedgerow Data'!$B$2:$AG$15,3,FALSE))</f>
        <v/>
      </c>
      <c r="H35" s="145"/>
      <c r="I35" s="499" t="str">
        <f>IFERROR(VLOOKUP(H35,'G-1 All Habitats'!$Z$2:$AA$9,2,FALSE),"")</f>
        <v/>
      </c>
      <c r="J35" s="145"/>
      <c r="K35" s="520" t="str">
        <f>IF(J35="","",IF(VLOOKUP(J35,'G-3 Multipliers'!$L$3:$N$6,2,FALSE)=0,"Spatial Data Missing ⚠",VLOOKUP(J35,'G-3 Multipliers'!$L$3:$N$6,2,FALSE)))</f>
        <v/>
      </c>
      <c r="L35" s="505" t="str">
        <f>IF(J35="","",IF(VLOOKUP(J35,'G-3 Multipliers'!$L$3:$N$6,3,FALSE)=0,"Spatial Data Missing ⚠",VLOOKUP(J35,'G-3 Multipliers'!$L$3:$N$6,3,FALSE)))</f>
        <v/>
      </c>
      <c r="M35" s="498" t="str">
        <f>IF(OR(D35="",H35=""),"",(INDEX('G-6 Hedgerow Data'!$E$3:$I$15,MATCH(D35,'G-6 Hedgerow Data'!$B$3:$B$15,0),MATCH(H35,'G-6 Hedgerow Data'!$E$2:$I$2,0))))</f>
        <v/>
      </c>
      <c r="N35" s="195"/>
      <c r="O35" s="195"/>
      <c r="P35" s="507" t="str">
        <f t="shared" si="1"/>
        <v/>
      </c>
      <c r="Q35" s="521" t="str">
        <f t="shared" si="2"/>
        <v/>
      </c>
      <c r="R35" s="522" t="str">
        <f t="shared" si="0"/>
        <v/>
      </c>
      <c r="S35" s="537" t="str">
        <f>IF(D35="","",VLOOKUP(D35,'G-6 Hedgerow Data'!$B$3:$AG$15,31,FALSE))</f>
        <v/>
      </c>
      <c r="T35" s="507" t="str">
        <f t="shared" si="3"/>
        <v/>
      </c>
      <c r="U35" s="507" t="str">
        <f t="shared" si="4"/>
        <v/>
      </c>
      <c r="V35" s="524" t="str">
        <f>IF(D35="","",VLOOKUP(S35,'G-3 Multipliers'!$P$3:$Q$6,2,FALSE))</f>
        <v/>
      </c>
      <c r="W35" s="529" t="str">
        <f t="shared" si="5"/>
        <v/>
      </c>
      <c r="X35" s="149"/>
      <c r="Y35" s="150"/>
      <c r="AG35" s="31" t="str">
        <f>IFERROR(INDEX('G-6 Hedgerow Data'!$BJ$3:$BJ$15,MATCH(D35,'G-6 Hedgerow Data'!$B$3:$B$15,0)),"")</f>
        <v/>
      </c>
    </row>
    <row r="36" spans="2:33" ht="14" x14ac:dyDescent="0.3">
      <c r="B36" s="141">
        <v>25</v>
      </c>
      <c r="C36" s="205"/>
      <c r="D36" s="195"/>
      <c r="E36" s="172"/>
      <c r="F36" s="553" t="str">
        <f>IF(D36="","",VLOOKUP(D36,'G-6 Hedgerow Data'!$B$2:$AG$15,2,FALSE))</f>
        <v/>
      </c>
      <c r="G36" s="499" t="str">
        <f>IF(D36="","",VLOOKUP(D36,'G-6 Hedgerow Data'!$B$2:$AG$15,3,FALSE))</f>
        <v/>
      </c>
      <c r="H36" s="145"/>
      <c r="I36" s="499" t="str">
        <f>IFERROR(VLOOKUP(H36,'G-1 All Habitats'!$Z$2:$AA$9,2,FALSE),"")</f>
        <v/>
      </c>
      <c r="J36" s="145"/>
      <c r="K36" s="520" t="str">
        <f>IF(J36="","",IF(VLOOKUP(J36,'G-3 Multipliers'!$L$3:$N$6,2,FALSE)=0,"Spatial Data Missing ⚠",VLOOKUP(J36,'G-3 Multipliers'!$L$3:$N$6,2,FALSE)))</f>
        <v/>
      </c>
      <c r="L36" s="505" t="str">
        <f>IF(J36="","",IF(VLOOKUP(J36,'G-3 Multipliers'!$L$3:$N$6,3,FALSE)=0,"Spatial Data Missing ⚠",VLOOKUP(J36,'G-3 Multipliers'!$L$3:$N$6,3,FALSE)))</f>
        <v/>
      </c>
      <c r="M36" s="498" t="str">
        <f>IF(OR(D36="",H36=""),"",(INDEX('G-6 Hedgerow Data'!$E$3:$I$15,MATCH(D36,'G-6 Hedgerow Data'!$B$3:$B$15,0),MATCH(H36,'G-6 Hedgerow Data'!$E$2:$I$2,0))))</f>
        <v/>
      </c>
      <c r="N36" s="195"/>
      <c r="O36" s="195"/>
      <c r="P36" s="507" t="str">
        <f t="shared" si="1"/>
        <v/>
      </c>
      <c r="Q36" s="521" t="str">
        <f t="shared" si="2"/>
        <v/>
      </c>
      <c r="R36" s="522" t="str">
        <f t="shared" si="0"/>
        <v/>
      </c>
      <c r="S36" s="537" t="str">
        <f>IF(D36="","",VLOOKUP(D36,'G-6 Hedgerow Data'!$B$3:$AG$15,31,FALSE))</f>
        <v/>
      </c>
      <c r="T36" s="507" t="str">
        <f t="shared" si="3"/>
        <v/>
      </c>
      <c r="U36" s="507" t="str">
        <f t="shared" si="4"/>
        <v/>
      </c>
      <c r="V36" s="524" t="str">
        <f>IF(D36="","",VLOOKUP(S36,'G-3 Multipliers'!$P$3:$Q$6,2,FALSE))</f>
        <v/>
      </c>
      <c r="W36" s="529" t="str">
        <f t="shared" si="5"/>
        <v/>
      </c>
      <c r="X36" s="149"/>
      <c r="Y36" s="150"/>
      <c r="AG36" s="31" t="str">
        <f>IFERROR(INDEX('G-6 Hedgerow Data'!$BJ$3:$BJ$15,MATCH(D36,'G-6 Hedgerow Data'!$B$3:$B$15,0)),"")</f>
        <v/>
      </c>
    </row>
    <row r="37" spans="2:33" ht="14" x14ac:dyDescent="0.3">
      <c r="B37" s="141">
        <v>26</v>
      </c>
      <c r="C37" s="205"/>
      <c r="D37" s="195"/>
      <c r="E37" s="172"/>
      <c r="F37" s="553" t="str">
        <f>IF(D37="","",VLOOKUP(D37,'G-6 Hedgerow Data'!$B$2:$AG$15,2,FALSE))</f>
        <v/>
      </c>
      <c r="G37" s="499" t="str">
        <f>IF(D37="","",VLOOKUP(D37,'G-6 Hedgerow Data'!$B$2:$AG$15,3,FALSE))</f>
        <v/>
      </c>
      <c r="H37" s="145"/>
      <c r="I37" s="499" t="str">
        <f>IFERROR(VLOOKUP(H37,'G-1 All Habitats'!$Z$2:$AA$9,2,FALSE),"")</f>
        <v/>
      </c>
      <c r="J37" s="145"/>
      <c r="K37" s="520" t="str">
        <f>IF(J37="","",IF(VLOOKUP(J37,'G-3 Multipliers'!$L$3:$N$6,2,FALSE)=0,"Spatial Data Missing ⚠",VLOOKUP(J37,'G-3 Multipliers'!$L$3:$N$6,2,FALSE)))</f>
        <v/>
      </c>
      <c r="L37" s="505" t="str">
        <f>IF(J37="","",IF(VLOOKUP(J37,'G-3 Multipliers'!$L$3:$N$6,3,FALSE)=0,"Spatial Data Missing ⚠",VLOOKUP(J37,'G-3 Multipliers'!$L$3:$N$6,3,FALSE)))</f>
        <v/>
      </c>
      <c r="M37" s="498" t="str">
        <f>IF(OR(D37="",H37=""),"",(INDEX('G-6 Hedgerow Data'!$E$3:$I$15,MATCH(D37,'G-6 Hedgerow Data'!$B$3:$B$15,0),MATCH(H37,'G-6 Hedgerow Data'!$E$2:$I$2,0))))</f>
        <v/>
      </c>
      <c r="N37" s="195"/>
      <c r="O37" s="195"/>
      <c r="P37" s="507" t="str">
        <f t="shared" si="1"/>
        <v/>
      </c>
      <c r="Q37" s="521" t="str">
        <f t="shared" si="2"/>
        <v/>
      </c>
      <c r="R37" s="522" t="str">
        <f t="shared" si="0"/>
        <v/>
      </c>
      <c r="S37" s="537" t="str">
        <f>IF(D37="","",VLOOKUP(D37,'G-6 Hedgerow Data'!$B$3:$AG$15,31,FALSE))</f>
        <v/>
      </c>
      <c r="T37" s="507" t="str">
        <f t="shared" si="3"/>
        <v/>
      </c>
      <c r="U37" s="507" t="str">
        <f t="shared" si="4"/>
        <v/>
      </c>
      <c r="V37" s="524" t="str">
        <f>IF(D37="","",VLOOKUP(S37,'G-3 Multipliers'!$P$3:$Q$6,2,FALSE))</f>
        <v/>
      </c>
      <c r="W37" s="529" t="str">
        <f t="shared" si="5"/>
        <v/>
      </c>
      <c r="X37" s="149"/>
      <c r="Y37" s="150"/>
      <c r="AG37" s="31" t="str">
        <f>IFERROR(INDEX('G-6 Hedgerow Data'!$BJ$3:$BJ$15,MATCH(D37,'G-6 Hedgerow Data'!$B$3:$B$15,0)),"")</f>
        <v/>
      </c>
    </row>
    <row r="38" spans="2:33" ht="14" x14ac:dyDescent="0.3">
      <c r="B38" s="141">
        <v>27</v>
      </c>
      <c r="C38" s="205"/>
      <c r="D38" s="195"/>
      <c r="E38" s="172"/>
      <c r="F38" s="553" t="str">
        <f>IF(D38="","",VLOOKUP(D38,'G-6 Hedgerow Data'!$B$2:$AG$15,2,FALSE))</f>
        <v/>
      </c>
      <c r="G38" s="499" t="str">
        <f>IF(D38="","",VLOOKUP(D38,'G-6 Hedgerow Data'!$B$2:$AG$15,3,FALSE))</f>
        <v/>
      </c>
      <c r="H38" s="145"/>
      <c r="I38" s="499" t="str">
        <f>IFERROR(VLOOKUP(H38,'G-1 All Habitats'!$Z$2:$AA$9,2,FALSE),"")</f>
        <v/>
      </c>
      <c r="J38" s="145"/>
      <c r="K38" s="520" t="str">
        <f>IF(J38="","",IF(VLOOKUP(J38,'G-3 Multipliers'!$L$3:$N$6,2,FALSE)=0,"Spatial Data Missing ⚠",VLOOKUP(J38,'G-3 Multipliers'!$L$3:$N$6,2,FALSE)))</f>
        <v/>
      </c>
      <c r="L38" s="505" t="str">
        <f>IF(J38="","",IF(VLOOKUP(J38,'G-3 Multipliers'!$L$3:$N$6,3,FALSE)=0,"Spatial Data Missing ⚠",VLOOKUP(J38,'G-3 Multipliers'!$L$3:$N$6,3,FALSE)))</f>
        <v/>
      </c>
      <c r="M38" s="498" t="str">
        <f>IF(OR(D38="",H38=""),"",(INDEX('G-6 Hedgerow Data'!$E$3:$I$15,MATCH(D38,'G-6 Hedgerow Data'!$B$3:$B$15,0),MATCH(H38,'G-6 Hedgerow Data'!$E$2:$I$2,0))))</f>
        <v/>
      </c>
      <c r="N38" s="195"/>
      <c r="O38" s="195"/>
      <c r="P38" s="507" t="str">
        <f t="shared" si="1"/>
        <v/>
      </c>
      <c r="Q38" s="521" t="str">
        <f t="shared" si="2"/>
        <v/>
      </c>
      <c r="R38" s="522" t="str">
        <f t="shared" si="0"/>
        <v/>
      </c>
      <c r="S38" s="537" t="str">
        <f>IF(D38="","",VLOOKUP(D38,'G-6 Hedgerow Data'!$B$3:$AG$15,31,FALSE))</f>
        <v/>
      </c>
      <c r="T38" s="507" t="str">
        <f t="shared" si="3"/>
        <v/>
      </c>
      <c r="U38" s="507" t="str">
        <f t="shared" si="4"/>
        <v/>
      </c>
      <c r="V38" s="524" t="str">
        <f>IF(D38="","",VLOOKUP(S38,'G-3 Multipliers'!$P$3:$Q$6,2,FALSE))</f>
        <v/>
      </c>
      <c r="W38" s="529" t="str">
        <f t="shared" si="5"/>
        <v/>
      </c>
      <c r="X38" s="149"/>
      <c r="Y38" s="150"/>
      <c r="AG38" s="31" t="str">
        <f>IFERROR(INDEX('G-6 Hedgerow Data'!$BJ$3:$BJ$15,MATCH(D38,'G-6 Hedgerow Data'!$B$3:$B$15,0)),"")</f>
        <v/>
      </c>
    </row>
    <row r="39" spans="2:33" ht="14" x14ac:dyDescent="0.3">
      <c r="B39" s="141">
        <v>28</v>
      </c>
      <c r="C39" s="205"/>
      <c r="D39" s="195"/>
      <c r="E39" s="172"/>
      <c r="F39" s="553" t="str">
        <f>IF(D39="","",VLOOKUP(D39,'G-6 Hedgerow Data'!$B$2:$AG$15,2,FALSE))</f>
        <v/>
      </c>
      <c r="G39" s="499" t="str">
        <f>IF(D39="","",VLOOKUP(D39,'G-6 Hedgerow Data'!$B$2:$AG$15,3,FALSE))</f>
        <v/>
      </c>
      <c r="H39" s="145"/>
      <c r="I39" s="499" t="str">
        <f>IFERROR(VLOOKUP(H39,'G-1 All Habitats'!$Z$2:$AA$9,2,FALSE),"")</f>
        <v/>
      </c>
      <c r="J39" s="145"/>
      <c r="K39" s="520" t="str">
        <f>IF(J39="","",IF(VLOOKUP(J39,'G-3 Multipliers'!$L$3:$N$6,2,FALSE)=0,"Spatial Data Missing ⚠",VLOOKUP(J39,'G-3 Multipliers'!$L$3:$N$6,2,FALSE)))</f>
        <v/>
      </c>
      <c r="L39" s="505" t="str">
        <f>IF(J39="","",IF(VLOOKUP(J39,'G-3 Multipliers'!$L$3:$N$6,3,FALSE)=0,"Spatial Data Missing ⚠",VLOOKUP(J39,'G-3 Multipliers'!$L$3:$N$6,3,FALSE)))</f>
        <v/>
      </c>
      <c r="M39" s="498" t="str">
        <f>IF(OR(D39="",H39=""),"",(INDEX('G-6 Hedgerow Data'!$E$3:$I$15,MATCH(D39,'G-6 Hedgerow Data'!$B$3:$B$15,0),MATCH(H39,'G-6 Hedgerow Data'!$E$2:$I$2,0))))</f>
        <v/>
      </c>
      <c r="N39" s="195"/>
      <c r="O39" s="195"/>
      <c r="P39" s="507" t="str">
        <f t="shared" si="1"/>
        <v/>
      </c>
      <c r="Q39" s="521" t="str">
        <f t="shared" si="2"/>
        <v/>
      </c>
      <c r="R39" s="522" t="str">
        <f t="shared" si="0"/>
        <v/>
      </c>
      <c r="S39" s="537" t="str">
        <f>IF(D39="","",VLOOKUP(D39,'G-6 Hedgerow Data'!$B$3:$AG$15,31,FALSE))</f>
        <v/>
      </c>
      <c r="T39" s="507" t="str">
        <f t="shared" si="3"/>
        <v/>
      </c>
      <c r="U39" s="507" t="str">
        <f t="shared" si="4"/>
        <v/>
      </c>
      <c r="V39" s="524" t="str">
        <f>IF(D39="","",VLOOKUP(S39,'G-3 Multipliers'!$P$3:$Q$6,2,FALSE))</f>
        <v/>
      </c>
      <c r="W39" s="529" t="str">
        <f t="shared" si="5"/>
        <v/>
      </c>
      <c r="X39" s="149"/>
      <c r="Y39" s="150"/>
      <c r="AG39" s="31" t="str">
        <f>IFERROR(INDEX('G-6 Hedgerow Data'!$BJ$3:$BJ$15,MATCH(D39,'G-6 Hedgerow Data'!$B$3:$B$15,0)),"")</f>
        <v/>
      </c>
    </row>
    <row r="40" spans="2:33" ht="14" x14ac:dyDescent="0.3">
      <c r="B40" s="141">
        <v>29</v>
      </c>
      <c r="C40" s="205"/>
      <c r="D40" s="195"/>
      <c r="E40" s="172"/>
      <c r="F40" s="553" t="str">
        <f>IF(D40="","",VLOOKUP(D40,'G-6 Hedgerow Data'!$B$2:$AG$15,2,FALSE))</f>
        <v/>
      </c>
      <c r="G40" s="499" t="str">
        <f>IF(D40="","",VLOOKUP(D40,'G-6 Hedgerow Data'!$B$2:$AG$15,3,FALSE))</f>
        <v/>
      </c>
      <c r="H40" s="145"/>
      <c r="I40" s="499" t="str">
        <f>IFERROR(VLOOKUP(H40,'G-1 All Habitats'!$Z$2:$AA$9,2,FALSE),"")</f>
        <v/>
      </c>
      <c r="J40" s="145"/>
      <c r="K40" s="520" t="str">
        <f>IF(J40="","",IF(VLOOKUP(J40,'G-3 Multipliers'!$L$3:$N$6,2,FALSE)=0,"Spatial Data Missing ⚠",VLOOKUP(J40,'G-3 Multipliers'!$L$3:$N$6,2,FALSE)))</f>
        <v/>
      </c>
      <c r="L40" s="505" t="str">
        <f>IF(J40="","",IF(VLOOKUP(J40,'G-3 Multipliers'!$L$3:$N$6,3,FALSE)=0,"Spatial Data Missing ⚠",VLOOKUP(J40,'G-3 Multipliers'!$L$3:$N$6,3,FALSE)))</f>
        <v/>
      </c>
      <c r="M40" s="498" t="str">
        <f>IF(OR(D40="",H40=""),"",(INDEX('G-6 Hedgerow Data'!$E$3:$I$15,MATCH(D40,'G-6 Hedgerow Data'!$B$3:$B$15,0),MATCH(H40,'G-6 Hedgerow Data'!$E$2:$I$2,0))))</f>
        <v/>
      </c>
      <c r="N40" s="195"/>
      <c r="O40" s="195"/>
      <c r="P40" s="507" t="str">
        <f t="shared" si="1"/>
        <v/>
      </c>
      <c r="Q40" s="521" t="str">
        <f t="shared" si="2"/>
        <v/>
      </c>
      <c r="R40" s="522" t="str">
        <f t="shared" si="0"/>
        <v/>
      </c>
      <c r="S40" s="537" t="str">
        <f>IF(D40="","",VLOOKUP(D40,'G-6 Hedgerow Data'!$B$3:$AG$15,31,FALSE))</f>
        <v/>
      </c>
      <c r="T40" s="507" t="str">
        <f t="shared" si="3"/>
        <v/>
      </c>
      <c r="U40" s="507" t="str">
        <f t="shared" si="4"/>
        <v/>
      </c>
      <c r="V40" s="524" t="str">
        <f>IF(D40="","",VLOOKUP(S40,'G-3 Multipliers'!$P$3:$Q$6,2,FALSE))</f>
        <v/>
      </c>
      <c r="W40" s="529" t="str">
        <f t="shared" si="5"/>
        <v/>
      </c>
      <c r="X40" s="149"/>
      <c r="Y40" s="150"/>
      <c r="AG40" s="31" t="str">
        <f>IFERROR(INDEX('G-6 Hedgerow Data'!$BJ$3:$BJ$15,MATCH(D40,'G-6 Hedgerow Data'!$B$3:$B$15,0)),"")</f>
        <v/>
      </c>
    </row>
    <row r="41" spans="2:33" ht="14" x14ac:dyDescent="0.3">
      <c r="B41" s="141">
        <v>30</v>
      </c>
      <c r="C41" s="205"/>
      <c r="D41" s="195"/>
      <c r="E41" s="172"/>
      <c r="F41" s="553" t="str">
        <f>IF(D41="","",VLOOKUP(D41,'G-6 Hedgerow Data'!$B$2:$AG$15,2,FALSE))</f>
        <v/>
      </c>
      <c r="G41" s="499" t="str">
        <f>IF(D41="","",VLOOKUP(D41,'G-6 Hedgerow Data'!$B$2:$AG$15,3,FALSE))</f>
        <v/>
      </c>
      <c r="H41" s="145"/>
      <c r="I41" s="499" t="str">
        <f>IFERROR(VLOOKUP(H41,'G-1 All Habitats'!$Z$2:$AA$9,2,FALSE),"")</f>
        <v/>
      </c>
      <c r="J41" s="145"/>
      <c r="K41" s="520" t="str">
        <f>IF(J41="","",IF(VLOOKUP(J41,'G-3 Multipliers'!$L$3:$N$6,2,FALSE)=0,"Spatial Data Missing ⚠",VLOOKUP(J41,'G-3 Multipliers'!$L$3:$N$6,2,FALSE)))</f>
        <v/>
      </c>
      <c r="L41" s="505" t="str">
        <f>IF(J41="","",IF(VLOOKUP(J41,'G-3 Multipliers'!$L$3:$N$6,3,FALSE)=0,"Spatial Data Missing ⚠",VLOOKUP(J41,'G-3 Multipliers'!$L$3:$N$6,3,FALSE)))</f>
        <v/>
      </c>
      <c r="M41" s="498" t="str">
        <f>IF(OR(D41="",H41=""),"",(INDEX('G-6 Hedgerow Data'!$E$3:$I$15,MATCH(D41,'G-6 Hedgerow Data'!$B$3:$B$15,0),MATCH(H41,'G-6 Hedgerow Data'!$E$2:$I$2,0))))</f>
        <v/>
      </c>
      <c r="N41" s="195"/>
      <c r="O41" s="195"/>
      <c r="P41" s="507" t="str">
        <f t="shared" si="1"/>
        <v/>
      </c>
      <c r="Q41" s="521" t="str">
        <f t="shared" si="2"/>
        <v/>
      </c>
      <c r="R41" s="522" t="str">
        <f t="shared" si="0"/>
        <v/>
      </c>
      <c r="S41" s="537" t="str">
        <f>IF(D41="","",VLOOKUP(D41,'G-6 Hedgerow Data'!$B$3:$AG$15,31,FALSE))</f>
        <v/>
      </c>
      <c r="T41" s="507" t="str">
        <f t="shared" si="3"/>
        <v/>
      </c>
      <c r="U41" s="507" t="str">
        <f t="shared" si="4"/>
        <v/>
      </c>
      <c r="V41" s="524" t="str">
        <f>IF(D41="","",VLOOKUP(S41,'G-3 Multipliers'!$P$3:$Q$6,2,FALSE))</f>
        <v/>
      </c>
      <c r="W41" s="529" t="str">
        <f t="shared" si="5"/>
        <v/>
      </c>
      <c r="X41" s="149"/>
      <c r="Y41" s="150"/>
      <c r="AG41" s="31" t="str">
        <f>IFERROR(INDEX('G-6 Hedgerow Data'!$BJ$3:$BJ$15,MATCH(D41,'G-6 Hedgerow Data'!$B$3:$B$15,0)),"")</f>
        <v/>
      </c>
    </row>
    <row r="42" spans="2:33" ht="14" x14ac:dyDescent="0.3">
      <c r="B42" s="141">
        <v>31</v>
      </c>
      <c r="C42" s="205"/>
      <c r="D42" s="195"/>
      <c r="E42" s="172"/>
      <c r="F42" s="553" t="str">
        <f>IF(D42="","",VLOOKUP(D42,'G-6 Hedgerow Data'!$B$2:$AG$15,2,FALSE))</f>
        <v/>
      </c>
      <c r="G42" s="499" t="str">
        <f>IF(D42="","",VLOOKUP(D42,'G-6 Hedgerow Data'!$B$2:$AG$15,3,FALSE))</f>
        <v/>
      </c>
      <c r="H42" s="145"/>
      <c r="I42" s="499" t="str">
        <f>IFERROR(VLOOKUP(H42,'G-1 All Habitats'!$Z$2:$AA$9,2,FALSE),"")</f>
        <v/>
      </c>
      <c r="J42" s="145"/>
      <c r="K42" s="520" t="str">
        <f>IF(J42="","",IF(VLOOKUP(J42,'G-3 Multipliers'!$L$3:$N$6,2,FALSE)=0,"Spatial Data Missing ⚠",VLOOKUP(J42,'G-3 Multipliers'!$L$3:$N$6,2,FALSE)))</f>
        <v/>
      </c>
      <c r="L42" s="505" t="str">
        <f>IF(J42="","",IF(VLOOKUP(J42,'G-3 Multipliers'!$L$3:$N$6,3,FALSE)=0,"Spatial Data Missing ⚠",VLOOKUP(J42,'G-3 Multipliers'!$L$3:$N$6,3,FALSE)))</f>
        <v/>
      </c>
      <c r="M42" s="498" t="str">
        <f>IF(OR(D42="",H42=""),"",(INDEX('G-6 Hedgerow Data'!$E$3:$I$15,MATCH(D42,'G-6 Hedgerow Data'!$B$3:$B$15,0),MATCH(H42,'G-6 Hedgerow Data'!$E$2:$I$2,0))))</f>
        <v/>
      </c>
      <c r="N42" s="195"/>
      <c r="O42" s="195"/>
      <c r="P42" s="507" t="str">
        <f t="shared" si="1"/>
        <v/>
      </c>
      <c r="Q42" s="521" t="str">
        <f t="shared" si="2"/>
        <v/>
      </c>
      <c r="R42" s="522" t="str">
        <f t="shared" si="0"/>
        <v/>
      </c>
      <c r="S42" s="537" t="str">
        <f>IF(D42="","",VLOOKUP(D42,'G-6 Hedgerow Data'!$B$3:$AG$15,31,FALSE))</f>
        <v/>
      </c>
      <c r="T42" s="507" t="str">
        <f t="shared" si="3"/>
        <v/>
      </c>
      <c r="U42" s="507" t="str">
        <f t="shared" si="4"/>
        <v/>
      </c>
      <c r="V42" s="524" t="str">
        <f>IF(D42="","",VLOOKUP(S42,'G-3 Multipliers'!$P$3:$Q$6,2,FALSE))</f>
        <v/>
      </c>
      <c r="W42" s="529" t="str">
        <f t="shared" si="5"/>
        <v/>
      </c>
      <c r="X42" s="149"/>
      <c r="Y42" s="150"/>
      <c r="AG42" s="31" t="str">
        <f>IFERROR(INDEX('G-6 Hedgerow Data'!$BJ$3:$BJ$15,MATCH(D42,'G-6 Hedgerow Data'!$B$3:$B$15,0)),"")</f>
        <v/>
      </c>
    </row>
    <row r="43" spans="2:33" ht="14" x14ac:dyDescent="0.3">
      <c r="B43" s="141">
        <v>32</v>
      </c>
      <c r="C43" s="205"/>
      <c r="D43" s="195"/>
      <c r="E43" s="172"/>
      <c r="F43" s="553" t="str">
        <f>IF(D43="","",VLOOKUP(D43,'G-6 Hedgerow Data'!$B$2:$AG$15,2,FALSE))</f>
        <v/>
      </c>
      <c r="G43" s="499" t="str">
        <f>IF(D43="","",VLOOKUP(D43,'G-6 Hedgerow Data'!$B$2:$AG$15,3,FALSE))</f>
        <v/>
      </c>
      <c r="H43" s="145"/>
      <c r="I43" s="499" t="str">
        <f>IFERROR(VLOOKUP(H43,'G-1 All Habitats'!$Z$2:$AA$9,2,FALSE),"")</f>
        <v/>
      </c>
      <c r="J43" s="145"/>
      <c r="K43" s="520" t="str">
        <f>IF(J43="","",IF(VLOOKUP(J43,'G-3 Multipliers'!$L$3:$N$6,2,FALSE)=0,"Spatial Data Missing ⚠",VLOOKUP(J43,'G-3 Multipliers'!$L$3:$N$6,2,FALSE)))</f>
        <v/>
      </c>
      <c r="L43" s="505" t="str">
        <f>IF(J43="","",IF(VLOOKUP(J43,'G-3 Multipliers'!$L$3:$N$6,3,FALSE)=0,"Spatial Data Missing ⚠",VLOOKUP(J43,'G-3 Multipliers'!$L$3:$N$6,3,FALSE)))</f>
        <v/>
      </c>
      <c r="M43" s="498" t="str">
        <f>IF(OR(D43="",H43=""),"",(INDEX('G-6 Hedgerow Data'!$E$3:$I$15,MATCH(D43,'G-6 Hedgerow Data'!$B$3:$B$15,0),MATCH(H43,'G-6 Hedgerow Data'!$E$2:$I$2,0))))</f>
        <v/>
      </c>
      <c r="N43" s="195"/>
      <c r="O43" s="195"/>
      <c r="P43" s="507" t="str">
        <f t="shared" si="1"/>
        <v/>
      </c>
      <c r="Q43" s="521" t="str">
        <f t="shared" si="2"/>
        <v/>
      </c>
      <c r="R43" s="522" t="str">
        <f t="shared" si="0"/>
        <v/>
      </c>
      <c r="S43" s="537" t="str">
        <f>IF(D43="","",VLOOKUP(D43,'G-6 Hedgerow Data'!$B$3:$AG$15,31,FALSE))</f>
        <v/>
      </c>
      <c r="T43" s="507" t="str">
        <f t="shared" si="3"/>
        <v/>
      </c>
      <c r="U43" s="507" t="str">
        <f t="shared" si="4"/>
        <v/>
      </c>
      <c r="V43" s="524" t="str">
        <f>IF(D43="","",VLOOKUP(S43,'G-3 Multipliers'!$P$3:$Q$6,2,FALSE))</f>
        <v/>
      </c>
      <c r="W43" s="529" t="str">
        <f t="shared" si="5"/>
        <v/>
      </c>
      <c r="X43" s="149"/>
      <c r="Y43" s="150"/>
      <c r="AG43" s="31" t="str">
        <f>IFERROR(INDEX('G-6 Hedgerow Data'!$BJ$3:$BJ$15,MATCH(D43,'G-6 Hedgerow Data'!$B$3:$B$15,0)),"")</f>
        <v/>
      </c>
    </row>
    <row r="44" spans="2:33" ht="14" x14ac:dyDescent="0.3">
      <c r="B44" s="141">
        <v>33</v>
      </c>
      <c r="C44" s="205"/>
      <c r="D44" s="195"/>
      <c r="E44" s="172"/>
      <c r="F44" s="553" t="str">
        <f>IF(D44="","",VLOOKUP(D44,'G-6 Hedgerow Data'!$B$2:$AG$15,2,FALSE))</f>
        <v/>
      </c>
      <c r="G44" s="499" t="str">
        <f>IF(D44="","",VLOOKUP(D44,'G-6 Hedgerow Data'!$B$2:$AG$15,3,FALSE))</f>
        <v/>
      </c>
      <c r="H44" s="145"/>
      <c r="I44" s="499" t="str">
        <f>IFERROR(VLOOKUP(H44,'G-1 All Habitats'!$Z$2:$AA$9,2,FALSE),"")</f>
        <v/>
      </c>
      <c r="J44" s="145"/>
      <c r="K44" s="520" t="str">
        <f>IF(J44="","",IF(VLOOKUP(J44,'G-3 Multipliers'!$L$3:$N$6,2,FALSE)=0,"Spatial Data Missing ⚠",VLOOKUP(J44,'G-3 Multipliers'!$L$3:$N$6,2,FALSE)))</f>
        <v/>
      </c>
      <c r="L44" s="505" t="str">
        <f>IF(J44="","",IF(VLOOKUP(J44,'G-3 Multipliers'!$L$3:$N$6,3,FALSE)=0,"Spatial Data Missing ⚠",VLOOKUP(J44,'G-3 Multipliers'!$L$3:$N$6,3,FALSE)))</f>
        <v/>
      </c>
      <c r="M44" s="498" t="str">
        <f>IF(OR(D44="",H44=""),"",(INDEX('G-6 Hedgerow Data'!$E$3:$I$15,MATCH(D44,'G-6 Hedgerow Data'!$B$3:$B$15,0),MATCH(H44,'G-6 Hedgerow Data'!$E$2:$I$2,0))))</f>
        <v/>
      </c>
      <c r="N44" s="195"/>
      <c r="O44" s="195"/>
      <c r="P44" s="507" t="str">
        <f t="shared" si="1"/>
        <v/>
      </c>
      <c r="Q44" s="521" t="str">
        <f t="shared" si="2"/>
        <v/>
      </c>
      <c r="R44" s="522" t="str">
        <f t="shared" si="0"/>
        <v/>
      </c>
      <c r="S44" s="537" t="str">
        <f>IF(D44="","",VLOOKUP(D44,'G-6 Hedgerow Data'!$B$3:$AG$15,31,FALSE))</f>
        <v/>
      </c>
      <c r="T44" s="507" t="str">
        <f t="shared" si="3"/>
        <v/>
      </c>
      <c r="U44" s="507" t="str">
        <f t="shared" si="4"/>
        <v/>
      </c>
      <c r="V44" s="524" t="str">
        <f>IF(D44="","",VLOOKUP(S44,'G-3 Multipliers'!$P$3:$Q$6,2,FALSE))</f>
        <v/>
      </c>
      <c r="W44" s="529" t="str">
        <f t="shared" si="5"/>
        <v/>
      </c>
      <c r="X44" s="149"/>
      <c r="Y44" s="150"/>
      <c r="AG44" s="31" t="str">
        <f>IFERROR(INDEX('G-6 Hedgerow Data'!$BJ$3:$BJ$15,MATCH(D44,'G-6 Hedgerow Data'!$B$3:$B$15,0)),"")</f>
        <v/>
      </c>
    </row>
    <row r="45" spans="2:33" ht="14" x14ac:dyDescent="0.3">
      <c r="B45" s="141">
        <v>34</v>
      </c>
      <c r="C45" s="205"/>
      <c r="D45" s="195"/>
      <c r="E45" s="172"/>
      <c r="F45" s="553" t="str">
        <f>IF(D45="","",VLOOKUP(D45,'G-6 Hedgerow Data'!$B$2:$AG$15,2,FALSE))</f>
        <v/>
      </c>
      <c r="G45" s="499" t="str">
        <f>IF(D45="","",VLOOKUP(D45,'G-6 Hedgerow Data'!$B$2:$AG$15,3,FALSE))</f>
        <v/>
      </c>
      <c r="H45" s="145"/>
      <c r="I45" s="499" t="str">
        <f>IFERROR(VLOOKUP(H45,'G-1 All Habitats'!$Z$2:$AA$9,2,FALSE),"")</f>
        <v/>
      </c>
      <c r="J45" s="145"/>
      <c r="K45" s="520" t="str">
        <f>IF(J45="","",IF(VLOOKUP(J45,'G-3 Multipliers'!$L$3:$N$6,2,FALSE)=0,"Spatial Data Missing ⚠",VLOOKUP(J45,'G-3 Multipliers'!$L$3:$N$6,2,FALSE)))</f>
        <v/>
      </c>
      <c r="L45" s="505" t="str">
        <f>IF(J45="","",IF(VLOOKUP(J45,'G-3 Multipliers'!$L$3:$N$6,3,FALSE)=0,"Spatial Data Missing ⚠",VLOOKUP(J45,'G-3 Multipliers'!$L$3:$N$6,3,FALSE)))</f>
        <v/>
      </c>
      <c r="M45" s="498" t="str">
        <f>IF(OR(D45="",H45=""),"",(INDEX('G-6 Hedgerow Data'!$E$3:$I$15,MATCH(D45,'G-6 Hedgerow Data'!$B$3:$B$15,0),MATCH(H45,'G-6 Hedgerow Data'!$E$2:$I$2,0))))</f>
        <v/>
      </c>
      <c r="N45" s="195"/>
      <c r="O45" s="195"/>
      <c r="P45" s="507" t="str">
        <f t="shared" si="1"/>
        <v/>
      </c>
      <c r="Q45" s="521" t="str">
        <f t="shared" si="2"/>
        <v/>
      </c>
      <c r="R45" s="522" t="str">
        <f t="shared" si="0"/>
        <v/>
      </c>
      <c r="S45" s="537" t="str">
        <f>IF(D45="","",VLOOKUP(D45,'G-6 Hedgerow Data'!$B$3:$AG$15,31,FALSE))</f>
        <v/>
      </c>
      <c r="T45" s="507" t="str">
        <f t="shared" si="3"/>
        <v/>
      </c>
      <c r="U45" s="507" t="str">
        <f t="shared" si="4"/>
        <v/>
      </c>
      <c r="V45" s="524" t="str">
        <f>IF(D45="","",VLOOKUP(S45,'G-3 Multipliers'!$P$3:$Q$6,2,FALSE))</f>
        <v/>
      </c>
      <c r="W45" s="529" t="str">
        <f t="shared" si="5"/>
        <v/>
      </c>
      <c r="X45" s="149"/>
      <c r="Y45" s="150"/>
      <c r="AG45" s="31" t="str">
        <f>IFERROR(INDEX('G-6 Hedgerow Data'!$BJ$3:$BJ$15,MATCH(D45,'G-6 Hedgerow Data'!$B$3:$B$15,0)),"")</f>
        <v/>
      </c>
    </row>
    <row r="46" spans="2:33" ht="14" x14ac:dyDescent="0.3">
      <c r="B46" s="141">
        <v>35</v>
      </c>
      <c r="C46" s="205"/>
      <c r="D46" s="195"/>
      <c r="E46" s="172"/>
      <c r="F46" s="553" t="str">
        <f>IF(D46="","",VLOOKUP(D46,'G-6 Hedgerow Data'!$B$2:$AG$15,2,FALSE))</f>
        <v/>
      </c>
      <c r="G46" s="499" t="str">
        <f>IF(D46="","",VLOOKUP(D46,'G-6 Hedgerow Data'!$B$2:$AG$15,3,FALSE))</f>
        <v/>
      </c>
      <c r="H46" s="145"/>
      <c r="I46" s="499" t="str">
        <f>IFERROR(VLOOKUP(H46,'G-1 All Habitats'!$Z$2:$AA$9,2,FALSE),"")</f>
        <v/>
      </c>
      <c r="J46" s="145"/>
      <c r="K46" s="520" t="str">
        <f>IF(J46="","",IF(VLOOKUP(J46,'G-3 Multipliers'!$L$3:$N$6,2,FALSE)=0,"Spatial Data Missing ⚠",VLOOKUP(J46,'G-3 Multipliers'!$L$3:$N$6,2,FALSE)))</f>
        <v/>
      </c>
      <c r="L46" s="505" t="str">
        <f>IF(J46="","",IF(VLOOKUP(J46,'G-3 Multipliers'!$L$3:$N$6,3,FALSE)=0,"Spatial Data Missing ⚠",VLOOKUP(J46,'G-3 Multipliers'!$L$3:$N$6,3,FALSE)))</f>
        <v/>
      </c>
      <c r="M46" s="498" t="str">
        <f>IF(OR(D46="",H46=""),"",(INDEX('G-6 Hedgerow Data'!$E$3:$I$15,MATCH(D46,'G-6 Hedgerow Data'!$B$3:$B$15,0),MATCH(H46,'G-6 Hedgerow Data'!$E$2:$I$2,0))))</f>
        <v/>
      </c>
      <c r="N46" s="195"/>
      <c r="O46" s="195"/>
      <c r="P46" s="507" t="str">
        <f t="shared" si="1"/>
        <v/>
      </c>
      <c r="Q46" s="521" t="str">
        <f t="shared" si="2"/>
        <v/>
      </c>
      <c r="R46" s="522" t="str">
        <f t="shared" si="0"/>
        <v/>
      </c>
      <c r="S46" s="537" t="str">
        <f>IF(D46="","",VLOOKUP(D46,'G-6 Hedgerow Data'!$B$3:$AG$15,31,FALSE))</f>
        <v/>
      </c>
      <c r="T46" s="507" t="str">
        <f t="shared" si="3"/>
        <v/>
      </c>
      <c r="U46" s="507" t="str">
        <f t="shared" si="4"/>
        <v/>
      </c>
      <c r="V46" s="524" t="str">
        <f>IF(D46="","",VLOOKUP(S46,'G-3 Multipliers'!$P$3:$Q$6,2,FALSE))</f>
        <v/>
      </c>
      <c r="W46" s="529" t="str">
        <f t="shared" si="5"/>
        <v/>
      </c>
      <c r="X46" s="149"/>
      <c r="Y46" s="150"/>
      <c r="AG46" s="31" t="str">
        <f>IFERROR(INDEX('G-6 Hedgerow Data'!$BJ$3:$BJ$15,MATCH(D46,'G-6 Hedgerow Data'!$B$3:$B$15,0)),"")</f>
        <v/>
      </c>
    </row>
    <row r="47" spans="2:33" ht="14" x14ac:dyDescent="0.3">
      <c r="B47" s="141">
        <v>36</v>
      </c>
      <c r="C47" s="205"/>
      <c r="D47" s="195"/>
      <c r="E47" s="172"/>
      <c r="F47" s="553" t="str">
        <f>IF(D47="","",VLOOKUP(D47,'G-6 Hedgerow Data'!$B$2:$AG$15,2,FALSE))</f>
        <v/>
      </c>
      <c r="G47" s="499" t="str">
        <f>IF(D47="","",VLOOKUP(D47,'G-6 Hedgerow Data'!$B$2:$AG$15,3,FALSE))</f>
        <v/>
      </c>
      <c r="H47" s="145"/>
      <c r="I47" s="499" t="str">
        <f>IFERROR(VLOOKUP(H47,'G-1 All Habitats'!$Z$2:$AA$9,2,FALSE),"")</f>
        <v/>
      </c>
      <c r="J47" s="145"/>
      <c r="K47" s="520" t="str">
        <f>IF(J47="","",IF(VLOOKUP(J47,'G-3 Multipliers'!$L$3:$N$6,2,FALSE)=0,"Spatial Data Missing ⚠",VLOOKUP(J47,'G-3 Multipliers'!$L$3:$N$6,2,FALSE)))</f>
        <v/>
      </c>
      <c r="L47" s="505" t="str">
        <f>IF(J47="","",IF(VLOOKUP(J47,'G-3 Multipliers'!$L$3:$N$6,3,FALSE)=0,"Spatial Data Missing ⚠",VLOOKUP(J47,'G-3 Multipliers'!$L$3:$N$6,3,FALSE)))</f>
        <v/>
      </c>
      <c r="M47" s="498" t="str">
        <f>IF(OR(D47="",H47=""),"",(INDEX('G-6 Hedgerow Data'!$E$3:$I$15,MATCH(D47,'G-6 Hedgerow Data'!$B$3:$B$15,0),MATCH(H47,'G-6 Hedgerow Data'!$E$2:$I$2,0))))</f>
        <v/>
      </c>
      <c r="N47" s="195"/>
      <c r="O47" s="195"/>
      <c r="P47" s="507" t="str">
        <f t="shared" si="1"/>
        <v/>
      </c>
      <c r="Q47" s="521" t="str">
        <f t="shared" si="2"/>
        <v/>
      </c>
      <c r="R47" s="522" t="str">
        <f t="shared" si="0"/>
        <v/>
      </c>
      <c r="S47" s="537" t="str">
        <f>IF(D47="","",VLOOKUP(D47,'G-6 Hedgerow Data'!$B$3:$AG$15,31,FALSE))</f>
        <v/>
      </c>
      <c r="T47" s="507" t="str">
        <f t="shared" si="3"/>
        <v/>
      </c>
      <c r="U47" s="507" t="str">
        <f t="shared" si="4"/>
        <v/>
      </c>
      <c r="V47" s="524" t="str">
        <f>IF(D47="","",VLOOKUP(S47,'G-3 Multipliers'!$P$3:$Q$6,2,FALSE))</f>
        <v/>
      </c>
      <c r="W47" s="529" t="str">
        <f t="shared" si="5"/>
        <v/>
      </c>
      <c r="X47" s="149"/>
      <c r="Y47" s="150"/>
      <c r="AG47" s="31" t="str">
        <f>IFERROR(INDEX('G-6 Hedgerow Data'!$BJ$3:$BJ$15,MATCH(D47,'G-6 Hedgerow Data'!$B$3:$B$15,0)),"")</f>
        <v/>
      </c>
    </row>
    <row r="48" spans="2:33" ht="14" x14ac:dyDescent="0.3">
      <c r="B48" s="141">
        <v>37</v>
      </c>
      <c r="C48" s="205"/>
      <c r="D48" s="195"/>
      <c r="E48" s="172"/>
      <c r="F48" s="553" t="str">
        <f>IF(D48="","",VLOOKUP(D48,'G-6 Hedgerow Data'!$B$2:$AG$15,2,FALSE))</f>
        <v/>
      </c>
      <c r="G48" s="499" t="str">
        <f>IF(D48="","",VLOOKUP(D48,'G-6 Hedgerow Data'!$B$2:$AG$15,3,FALSE))</f>
        <v/>
      </c>
      <c r="H48" s="145"/>
      <c r="I48" s="499" t="str">
        <f>IFERROR(VLOOKUP(H48,'G-1 All Habitats'!$Z$2:$AA$9,2,FALSE),"")</f>
        <v/>
      </c>
      <c r="J48" s="145"/>
      <c r="K48" s="520" t="str">
        <f>IF(J48="","",IF(VLOOKUP(J48,'G-3 Multipliers'!$L$3:$N$6,2,FALSE)=0,"Spatial Data Missing ⚠",VLOOKUP(J48,'G-3 Multipliers'!$L$3:$N$6,2,FALSE)))</f>
        <v/>
      </c>
      <c r="L48" s="505" t="str">
        <f>IF(J48="","",IF(VLOOKUP(J48,'G-3 Multipliers'!$L$3:$N$6,3,FALSE)=0,"Spatial Data Missing ⚠",VLOOKUP(J48,'G-3 Multipliers'!$L$3:$N$6,3,FALSE)))</f>
        <v/>
      </c>
      <c r="M48" s="498" t="str">
        <f>IF(OR(D48="",H48=""),"",(INDEX('G-6 Hedgerow Data'!$E$3:$I$15,MATCH(D48,'G-6 Hedgerow Data'!$B$3:$B$15,0),MATCH(H48,'G-6 Hedgerow Data'!$E$2:$I$2,0))))</f>
        <v/>
      </c>
      <c r="N48" s="195"/>
      <c r="O48" s="195"/>
      <c r="P48" s="507" t="str">
        <f t="shared" si="1"/>
        <v/>
      </c>
      <c r="Q48" s="521" t="str">
        <f t="shared" si="2"/>
        <v/>
      </c>
      <c r="R48" s="522" t="str">
        <f t="shared" si="0"/>
        <v/>
      </c>
      <c r="S48" s="537" t="str">
        <f>IF(D48="","",VLOOKUP(D48,'G-6 Hedgerow Data'!$B$3:$AG$15,31,FALSE))</f>
        <v/>
      </c>
      <c r="T48" s="507" t="str">
        <f t="shared" si="3"/>
        <v/>
      </c>
      <c r="U48" s="507" t="str">
        <f t="shared" si="4"/>
        <v/>
      </c>
      <c r="V48" s="524" t="str">
        <f>IF(D48="","",VLOOKUP(S48,'G-3 Multipliers'!$P$3:$Q$6,2,FALSE))</f>
        <v/>
      </c>
      <c r="W48" s="529" t="str">
        <f t="shared" si="5"/>
        <v/>
      </c>
      <c r="X48" s="149"/>
      <c r="Y48" s="150"/>
      <c r="AG48" s="31" t="str">
        <f>IFERROR(INDEX('G-6 Hedgerow Data'!$BJ$3:$BJ$15,MATCH(D48,'G-6 Hedgerow Data'!$B$3:$B$15,0)),"")</f>
        <v/>
      </c>
    </row>
    <row r="49" spans="2:33" ht="14" x14ac:dyDescent="0.3">
      <c r="B49" s="141">
        <v>38</v>
      </c>
      <c r="C49" s="205"/>
      <c r="D49" s="195"/>
      <c r="E49" s="172"/>
      <c r="F49" s="553" t="str">
        <f>IF(D49="","",VLOOKUP(D49,'G-6 Hedgerow Data'!$B$2:$AG$15,2,FALSE))</f>
        <v/>
      </c>
      <c r="G49" s="499" t="str">
        <f>IF(D49="","",VLOOKUP(D49,'G-6 Hedgerow Data'!$B$2:$AG$15,3,FALSE))</f>
        <v/>
      </c>
      <c r="H49" s="145"/>
      <c r="I49" s="499" t="str">
        <f>IFERROR(VLOOKUP(H49,'G-1 All Habitats'!$Z$2:$AA$9,2,FALSE),"")</f>
        <v/>
      </c>
      <c r="J49" s="145"/>
      <c r="K49" s="520" t="str">
        <f>IF(J49="","",IF(VLOOKUP(J49,'G-3 Multipliers'!$L$3:$N$6,2,FALSE)=0,"Spatial Data Missing ⚠",VLOOKUP(J49,'G-3 Multipliers'!$L$3:$N$6,2,FALSE)))</f>
        <v/>
      </c>
      <c r="L49" s="505" t="str">
        <f>IF(J49="","",IF(VLOOKUP(J49,'G-3 Multipliers'!$L$3:$N$6,3,FALSE)=0,"Spatial Data Missing ⚠",VLOOKUP(J49,'G-3 Multipliers'!$L$3:$N$6,3,FALSE)))</f>
        <v/>
      </c>
      <c r="M49" s="498" t="str">
        <f>IF(OR(D49="",H49=""),"",(INDEX('G-6 Hedgerow Data'!$E$3:$I$15,MATCH(D49,'G-6 Hedgerow Data'!$B$3:$B$15,0),MATCH(H49,'G-6 Hedgerow Data'!$E$2:$I$2,0))))</f>
        <v/>
      </c>
      <c r="N49" s="195"/>
      <c r="O49" s="195"/>
      <c r="P49" s="507" t="str">
        <f t="shared" si="1"/>
        <v/>
      </c>
      <c r="Q49" s="521" t="str">
        <f t="shared" si="2"/>
        <v/>
      </c>
      <c r="R49" s="522" t="str">
        <f t="shared" si="0"/>
        <v/>
      </c>
      <c r="S49" s="537" t="str">
        <f>IF(D49="","",VLOOKUP(D49,'G-6 Hedgerow Data'!$B$3:$AG$15,31,FALSE))</f>
        <v/>
      </c>
      <c r="T49" s="507" t="str">
        <f t="shared" si="3"/>
        <v/>
      </c>
      <c r="U49" s="507" t="str">
        <f t="shared" si="4"/>
        <v/>
      </c>
      <c r="V49" s="524" t="str">
        <f>IF(D49="","",VLOOKUP(S49,'G-3 Multipliers'!$P$3:$Q$6,2,FALSE))</f>
        <v/>
      </c>
      <c r="W49" s="529" t="str">
        <f t="shared" si="5"/>
        <v/>
      </c>
      <c r="X49" s="149"/>
      <c r="Y49" s="150"/>
      <c r="AG49" s="31" t="str">
        <f>IFERROR(INDEX('G-6 Hedgerow Data'!$BJ$3:$BJ$15,MATCH(D49,'G-6 Hedgerow Data'!$B$3:$B$15,0)),"")</f>
        <v/>
      </c>
    </row>
    <row r="50" spans="2:33" ht="14" x14ac:dyDescent="0.3">
      <c r="B50" s="141">
        <v>39</v>
      </c>
      <c r="C50" s="205"/>
      <c r="D50" s="195"/>
      <c r="E50" s="172"/>
      <c r="F50" s="553" t="str">
        <f>IF(D50="","",VLOOKUP(D50,'G-6 Hedgerow Data'!$B$2:$AG$15,2,FALSE))</f>
        <v/>
      </c>
      <c r="G50" s="499" t="str">
        <f>IF(D50="","",VLOOKUP(D50,'G-6 Hedgerow Data'!$B$2:$AG$15,3,FALSE))</f>
        <v/>
      </c>
      <c r="H50" s="145"/>
      <c r="I50" s="499" t="str">
        <f>IFERROR(VLOOKUP(H50,'G-1 All Habitats'!$Z$2:$AA$9,2,FALSE),"")</f>
        <v/>
      </c>
      <c r="J50" s="145"/>
      <c r="K50" s="520" t="str">
        <f>IF(J50="","",IF(VLOOKUP(J50,'G-3 Multipliers'!$L$3:$N$6,2,FALSE)=0,"Spatial Data Missing ⚠",VLOOKUP(J50,'G-3 Multipliers'!$L$3:$N$6,2,FALSE)))</f>
        <v/>
      </c>
      <c r="L50" s="505" t="str">
        <f>IF(J50="","",IF(VLOOKUP(J50,'G-3 Multipliers'!$L$3:$N$6,3,FALSE)=0,"Spatial Data Missing ⚠",VLOOKUP(J50,'G-3 Multipliers'!$L$3:$N$6,3,FALSE)))</f>
        <v/>
      </c>
      <c r="M50" s="498" t="str">
        <f>IF(OR(D50="",H50=""),"",(INDEX('G-6 Hedgerow Data'!$E$3:$I$15,MATCH(D50,'G-6 Hedgerow Data'!$B$3:$B$15,0),MATCH(H50,'G-6 Hedgerow Data'!$E$2:$I$2,0))))</f>
        <v/>
      </c>
      <c r="N50" s="195"/>
      <c r="O50" s="195"/>
      <c r="P50" s="507" t="str">
        <f t="shared" si="1"/>
        <v/>
      </c>
      <c r="Q50" s="521" t="str">
        <f t="shared" si="2"/>
        <v/>
      </c>
      <c r="R50" s="522" t="str">
        <f t="shared" si="0"/>
        <v/>
      </c>
      <c r="S50" s="537" t="str">
        <f>IF(D50="","",VLOOKUP(D50,'G-6 Hedgerow Data'!$B$3:$AG$15,31,FALSE))</f>
        <v/>
      </c>
      <c r="T50" s="507" t="str">
        <f t="shared" si="3"/>
        <v/>
      </c>
      <c r="U50" s="507" t="str">
        <f t="shared" si="4"/>
        <v/>
      </c>
      <c r="V50" s="524" t="str">
        <f>IF(D50="","",VLOOKUP(S50,'G-3 Multipliers'!$P$3:$Q$6,2,FALSE))</f>
        <v/>
      </c>
      <c r="W50" s="529" t="str">
        <f t="shared" si="5"/>
        <v/>
      </c>
      <c r="X50" s="149"/>
      <c r="Y50" s="150"/>
      <c r="AG50" s="31" t="str">
        <f>IFERROR(INDEX('G-6 Hedgerow Data'!$BJ$3:$BJ$15,MATCH(D50,'G-6 Hedgerow Data'!$B$3:$B$15,0)),"")</f>
        <v/>
      </c>
    </row>
    <row r="51" spans="2:33" ht="14" x14ac:dyDescent="0.3">
      <c r="B51" s="141">
        <v>40</v>
      </c>
      <c r="C51" s="205"/>
      <c r="D51" s="195"/>
      <c r="E51" s="172"/>
      <c r="F51" s="553" t="str">
        <f>IF(D51="","",VLOOKUP(D51,'G-6 Hedgerow Data'!$B$2:$AG$15,2,FALSE))</f>
        <v/>
      </c>
      <c r="G51" s="499" t="str">
        <f>IF(D51="","",VLOOKUP(D51,'G-6 Hedgerow Data'!$B$2:$AG$15,3,FALSE))</f>
        <v/>
      </c>
      <c r="H51" s="145"/>
      <c r="I51" s="499" t="str">
        <f>IFERROR(VLOOKUP(H51,'G-1 All Habitats'!$Z$2:$AA$9,2,FALSE),"")</f>
        <v/>
      </c>
      <c r="J51" s="145"/>
      <c r="K51" s="520" t="str">
        <f>IF(J51="","",IF(VLOOKUP(J51,'G-3 Multipliers'!$L$3:$N$6,2,FALSE)=0,"Spatial Data Missing ⚠",VLOOKUP(J51,'G-3 Multipliers'!$L$3:$N$6,2,FALSE)))</f>
        <v/>
      </c>
      <c r="L51" s="505" t="str">
        <f>IF(J51="","",IF(VLOOKUP(J51,'G-3 Multipliers'!$L$3:$N$6,3,FALSE)=0,"Spatial Data Missing ⚠",VLOOKUP(J51,'G-3 Multipliers'!$L$3:$N$6,3,FALSE)))</f>
        <v/>
      </c>
      <c r="M51" s="498" t="str">
        <f>IF(OR(D51="",H51=""),"",(INDEX('G-6 Hedgerow Data'!$E$3:$I$15,MATCH(D51,'G-6 Hedgerow Data'!$B$3:$B$15,0),MATCH(H51,'G-6 Hedgerow Data'!$E$2:$I$2,0))))</f>
        <v/>
      </c>
      <c r="N51" s="195"/>
      <c r="O51" s="195"/>
      <c r="P51" s="507" t="str">
        <f t="shared" si="1"/>
        <v/>
      </c>
      <c r="Q51" s="521" t="str">
        <f t="shared" si="2"/>
        <v/>
      </c>
      <c r="R51" s="522" t="str">
        <f t="shared" si="0"/>
        <v/>
      </c>
      <c r="S51" s="537" t="str">
        <f>IF(D51="","",VLOOKUP(D51,'G-6 Hedgerow Data'!$B$3:$AG$15,31,FALSE))</f>
        <v/>
      </c>
      <c r="T51" s="507" t="str">
        <f t="shared" si="3"/>
        <v/>
      </c>
      <c r="U51" s="507" t="str">
        <f t="shared" si="4"/>
        <v/>
      </c>
      <c r="V51" s="524" t="str">
        <f>IF(D51="","",VLOOKUP(S51,'G-3 Multipliers'!$P$3:$Q$6,2,FALSE))</f>
        <v/>
      </c>
      <c r="W51" s="529" t="str">
        <f t="shared" si="5"/>
        <v/>
      </c>
      <c r="X51" s="149"/>
      <c r="Y51" s="150"/>
      <c r="AG51" s="31" t="str">
        <f>IFERROR(INDEX('G-6 Hedgerow Data'!$BJ$3:$BJ$15,MATCH(D51,'G-6 Hedgerow Data'!$B$3:$B$15,0)),"")</f>
        <v/>
      </c>
    </row>
    <row r="52" spans="2:33" ht="14" x14ac:dyDescent="0.3">
      <c r="B52" s="141">
        <v>41</v>
      </c>
      <c r="C52" s="205"/>
      <c r="D52" s="195"/>
      <c r="E52" s="172"/>
      <c r="F52" s="553" t="str">
        <f>IF(D52="","",VLOOKUP(D52,'G-6 Hedgerow Data'!$B$2:$AG$15,2,FALSE))</f>
        <v/>
      </c>
      <c r="G52" s="499" t="str">
        <f>IF(D52="","",VLOOKUP(D52,'G-6 Hedgerow Data'!$B$2:$AG$15,3,FALSE))</f>
        <v/>
      </c>
      <c r="H52" s="145"/>
      <c r="I52" s="499" t="str">
        <f>IFERROR(VLOOKUP(H52,'G-1 All Habitats'!$Z$2:$AA$9,2,FALSE),"")</f>
        <v/>
      </c>
      <c r="J52" s="145"/>
      <c r="K52" s="520" t="str">
        <f>IF(J52="","",IF(VLOOKUP(J52,'G-3 Multipliers'!$L$3:$N$6,2,FALSE)=0,"Spatial Data Missing ⚠",VLOOKUP(J52,'G-3 Multipliers'!$L$3:$N$6,2,FALSE)))</f>
        <v/>
      </c>
      <c r="L52" s="505" t="str">
        <f>IF(J52="","",IF(VLOOKUP(J52,'G-3 Multipliers'!$L$3:$N$6,3,FALSE)=0,"Spatial Data Missing ⚠",VLOOKUP(J52,'G-3 Multipliers'!$L$3:$N$6,3,FALSE)))</f>
        <v/>
      </c>
      <c r="M52" s="498" t="str">
        <f>IF(OR(D52="",H52=""),"",(INDEX('G-6 Hedgerow Data'!$E$3:$I$15,MATCH(D52,'G-6 Hedgerow Data'!$B$3:$B$15,0),MATCH(H52,'G-6 Hedgerow Data'!$E$2:$I$2,0))))</f>
        <v/>
      </c>
      <c r="N52" s="195"/>
      <c r="O52" s="195"/>
      <c r="P52" s="507" t="str">
        <f t="shared" si="1"/>
        <v/>
      </c>
      <c r="Q52" s="521" t="str">
        <f t="shared" si="2"/>
        <v/>
      </c>
      <c r="R52" s="522" t="str">
        <f t="shared" si="0"/>
        <v/>
      </c>
      <c r="S52" s="537" t="str">
        <f>IF(D52="","",VLOOKUP(D52,'G-6 Hedgerow Data'!$B$3:$AG$15,31,FALSE))</f>
        <v/>
      </c>
      <c r="T52" s="507" t="str">
        <f t="shared" si="3"/>
        <v/>
      </c>
      <c r="U52" s="507" t="str">
        <f t="shared" si="4"/>
        <v/>
      </c>
      <c r="V52" s="524" t="str">
        <f>IF(D52="","",VLOOKUP(S52,'G-3 Multipliers'!$P$3:$Q$6,2,FALSE))</f>
        <v/>
      </c>
      <c r="W52" s="529" t="str">
        <f t="shared" si="5"/>
        <v/>
      </c>
      <c r="X52" s="149"/>
      <c r="Y52" s="150"/>
      <c r="AG52" s="31" t="str">
        <f>IFERROR(INDEX('G-6 Hedgerow Data'!$BJ$3:$BJ$15,MATCH(D52,'G-6 Hedgerow Data'!$B$3:$B$15,0)),"")</f>
        <v/>
      </c>
    </row>
    <row r="53" spans="2:33" ht="14" x14ac:dyDescent="0.3">
      <c r="B53" s="141">
        <v>42</v>
      </c>
      <c r="C53" s="205"/>
      <c r="D53" s="195"/>
      <c r="E53" s="172"/>
      <c r="F53" s="553" t="str">
        <f>IF(D53="","",VLOOKUP(D53,'G-6 Hedgerow Data'!$B$2:$AG$15,2,FALSE))</f>
        <v/>
      </c>
      <c r="G53" s="499" t="str">
        <f>IF(D53="","",VLOOKUP(D53,'G-6 Hedgerow Data'!$B$2:$AG$15,3,FALSE))</f>
        <v/>
      </c>
      <c r="H53" s="145"/>
      <c r="I53" s="499" t="str">
        <f>IFERROR(VLOOKUP(H53,'G-1 All Habitats'!$Z$2:$AA$9,2,FALSE),"")</f>
        <v/>
      </c>
      <c r="J53" s="145"/>
      <c r="K53" s="520" t="str">
        <f>IF(J53="","",IF(VLOOKUP(J53,'G-3 Multipliers'!$L$3:$N$6,2,FALSE)=0,"Spatial Data Missing ⚠",VLOOKUP(J53,'G-3 Multipliers'!$L$3:$N$6,2,FALSE)))</f>
        <v/>
      </c>
      <c r="L53" s="505" t="str">
        <f>IF(J53="","",IF(VLOOKUP(J53,'G-3 Multipliers'!$L$3:$N$6,3,FALSE)=0,"Spatial Data Missing ⚠",VLOOKUP(J53,'G-3 Multipliers'!$L$3:$N$6,3,FALSE)))</f>
        <v/>
      </c>
      <c r="M53" s="498" t="str">
        <f>IF(OR(D53="",H53=""),"",(INDEX('G-6 Hedgerow Data'!$E$3:$I$15,MATCH(D53,'G-6 Hedgerow Data'!$B$3:$B$15,0),MATCH(H53,'G-6 Hedgerow Data'!$E$2:$I$2,0))))</f>
        <v/>
      </c>
      <c r="N53" s="195"/>
      <c r="O53" s="195"/>
      <c r="P53" s="507" t="str">
        <f t="shared" si="1"/>
        <v/>
      </c>
      <c r="Q53" s="521" t="str">
        <f t="shared" si="2"/>
        <v/>
      </c>
      <c r="R53" s="522" t="str">
        <f t="shared" si="0"/>
        <v/>
      </c>
      <c r="S53" s="537" t="str">
        <f>IF(D53="","",VLOOKUP(D53,'G-6 Hedgerow Data'!$B$3:$AG$15,31,FALSE))</f>
        <v/>
      </c>
      <c r="T53" s="507" t="str">
        <f t="shared" si="3"/>
        <v/>
      </c>
      <c r="U53" s="507" t="str">
        <f t="shared" si="4"/>
        <v/>
      </c>
      <c r="V53" s="524" t="str">
        <f>IF(D53="","",VLOOKUP(S53,'G-3 Multipliers'!$P$3:$Q$6,2,FALSE))</f>
        <v/>
      </c>
      <c r="W53" s="529" t="str">
        <f t="shared" si="5"/>
        <v/>
      </c>
      <c r="X53" s="149"/>
      <c r="Y53" s="150"/>
      <c r="AG53" s="31" t="str">
        <f>IFERROR(INDEX('G-6 Hedgerow Data'!$BJ$3:$BJ$15,MATCH(D53,'G-6 Hedgerow Data'!$B$3:$B$15,0)),"")</f>
        <v/>
      </c>
    </row>
    <row r="54" spans="2:33" ht="14" x14ac:dyDescent="0.3">
      <c r="B54" s="141">
        <v>43</v>
      </c>
      <c r="C54" s="205"/>
      <c r="D54" s="195"/>
      <c r="E54" s="172"/>
      <c r="F54" s="553" t="str">
        <f>IF(D54="","",VLOOKUP(D54,'G-6 Hedgerow Data'!$B$2:$AG$15,2,FALSE))</f>
        <v/>
      </c>
      <c r="G54" s="499" t="str">
        <f>IF(D54="","",VLOOKUP(D54,'G-6 Hedgerow Data'!$B$2:$AG$15,3,FALSE))</f>
        <v/>
      </c>
      <c r="H54" s="145"/>
      <c r="I54" s="499" t="str">
        <f>IFERROR(VLOOKUP(H54,'G-1 All Habitats'!$Z$2:$AA$9,2,FALSE),"")</f>
        <v/>
      </c>
      <c r="J54" s="145"/>
      <c r="K54" s="520" t="str">
        <f>IF(J54="","",IF(VLOOKUP(J54,'G-3 Multipliers'!$L$3:$N$6,2,FALSE)=0,"Spatial Data Missing ⚠",VLOOKUP(J54,'G-3 Multipliers'!$L$3:$N$6,2,FALSE)))</f>
        <v/>
      </c>
      <c r="L54" s="505" t="str">
        <f>IF(J54="","",IF(VLOOKUP(J54,'G-3 Multipliers'!$L$3:$N$6,3,FALSE)=0,"Spatial Data Missing ⚠",VLOOKUP(J54,'G-3 Multipliers'!$L$3:$N$6,3,FALSE)))</f>
        <v/>
      </c>
      <c r="M54" s="498" t="str">
        <f>IF(OR(D54="",H54=""),"",(INDEX('G-6 Hedgerow Data'!$E$3:$I$15,MATCH(D54,'G-6 Hedgerow Data'!$B$3:$B$15,0),MATCH(H54,'G-6 Hedgerow Data'!$E$2:$I$2,0))))</f>
        <v/>
      </c>
      <c r="N54" s="195"/>
      <c r="O54" s="195"/>
      <c r="P54" s="507" t="str">
        <f t="shared" si="1"/>
        <v/>
      </c>
      <c r="Q54" s="521" t="str">
        <f t="shared" si="2"/>
        <v/>
      </c>
      <c r="R54" s="522" t="str">
        <f t="shared" si="0"/>
        <v/>
      </c>
      <c r="S54" s="537" t="str">
        <f>IF(D54="","",VLOOKUP(D54,'G-6 Hedgerow Data'!$B$3:$AG$15,31,FALSE))</f>
        <v/>
      </c>
      <c r="T54" s="507" t="str">
        <f t="shared" si="3"/>
        <v/>
      </c>
      <c r="U54" s="507" t="str">
        <f t="shared" si="4"/>
        <v/>
      </c>
      <c r="V54" s="524" t="str">
        <f>IF(D54="","",VLOOKUP(S54,'G-3 Multipliers'!$P$3:$Q$6,2,FALSE))</f>
        <v/>
      </c>
      <c r="W54" s="529" t="str">
        <f t="shared" si="5"/>
        <v/>
      </c>
      <c r="X54" s="149"/>
      <c r="Y54" s="150"/>
      <c r="AG54" s="31" t="str">
        <f>IFERROR(INDEX('G-6 Hedgerow Data'!$BJ$3:$BJ$15,MATCH(D54,'G-6 Hedgerow Data'!$B$3:$B$15,0)),"")</f>
        <v/>
      </c>
    </row>
    <row r="55" spans="2:33" ht="14" x14ac:dyDescent="0.3">
      <c r="B55" s="141">
        <v>44</v>
      </c>
      <c r="C55" s="205"/>
      <c r="D55" s="195"/>
      <c r="E55" s="172"/>
      <c r="F55" s="553" t="str">
        <f>IF(D55="","",VLOOKUP(D55,'G-6 Hedgerow Data'!$B$2:$AG$15,2,FALSE))</f>
        <v/>
      </c>
      <c r="G55" s="499" t="str">
        <f>IF(D55="","",VLOOKUP(D55,'G-6 Hedgerow Data'!$B$2:$AG$15,3,FALSE))</f>
        <v/>
      </c>
      <c r="H55" s="145"/>
      <c r="I55" s="499" t="str">
        <f>IFERROR(VLOOKUP(H55,'G-1 All Habitats'!$Z$2:$AA$9,2,FALSE),"")</f>
        <v/>
      </c>
      <c r="J55" s="145"/>
      <c r="K55" s="520" t="str">
        <f>IF(J55="","",IF(VLOOKUP(J55,'G-3 Multipliers'!$L$3:$N$6,2,FALSE)=0,"Spatial Data Missing ⚠",VLOOKUP(J55,'G-3 Multipliers'!$L$3:$N$6,2,FALSE)))</f>
        <v/>
      </c>
      <c r="L55" s="505" t="str">
        <f>IF(J55="","",IF(VLOOKUP(J55,'G-3 Multipliers'!$L$3:$N$6,3,FALSE)=0,"Spatial Data Missing ⚠",VLOOKUP(J55,'G-3 Multipliers'!$L$3:$N$6,3,FALSE)))</f>
        <v/>
      </c>
      <c r="M55" s="498" t="str">
        <f>IF(OR(D55="",H55=""),"",(INDEX('G-6 Hedgerow Data'!$E$3:$I$15,MATCH(D55,'G-6 Hedgerow Data'!$B$3:$B$15,0),MATCH(H55,'G-6 Hedgerow Data'!$E$2:$I$2,0))))</f>
        <v/>
      </c>
      <c r="N55" s="195"/>
      <c r="O55" s="195"/>
      <c r="P55" s="507" t="str">
        <f t="shared" si="1"/>
        <v/>
      </c>
      <c r="Q55" s="521" t="str">
        <f t="shared" si="2"/>
        <v/>
      </c>
      <c r="R55" s="522" t="str">
        <f t="shared" si="0"/>
        <v/>
      </c>
      <c r="S55" s="537" t="str">
        <f>IF(D55="","",VLOOKUP(D55,'G-6 Hedgerow Data'!$B$3:$AG$15,31,FALSE))</f>
        <v/>
      </c>
      <c r="T55" s="507" t="str">
        <f t="shared" si="3"/>
        <v/>
      </c>
      <c r="U55" s="507" t="str">
        <f t="shared" si="4"/>
        <v/>
      </c>
      <c r="V55" s="524" t="str">
        <f>IF(D55="","",VLOOKUP(S55,'G-3 Multipliers'!$P$3:$Q$6,2,FALSE))</f>
        <v/>
      </c>
      <c r="W55" s="529" t="str">
        <f t="shared" si="5"/>
        <v/>
      </c>
      <c r="X55" s="149"/>
      <c r="Y55" s="150"/>
      <c r="AG55" s="31" t="str">
        <f>IFERROR(INDEX('G-6 Hedgerow Data'!$BJ$3:$BJ$15,MATCH(D55,'G-6 Hedgerow Data'!$B$3:$B$15,0)),"")</f>
        <v/>
      </c>
    </row>
    <row r="56" spans="2:33" ht="14" x14ac:dyDescent="0.3">
      <c r="B56" s="141">
        <v>45</v>
      </c>
      <c r="C56" s="205"/>
      <c r="D56" s="195"/>
      <c r="E56" s="172"/>
      <c r="F56" s="553" t="str">
        <f>IF(D56="","",VLOOKUP(D56,'G-6 Hedgerow Data'!$B$2:$AG$15,2,FALSE))</f>
        <v/>
      </c>
      <c r="G56" s="499" t="str">
        <f>IF(D56="","",VLOOKUP(D56,'G-6 Hedgerow Data'!$B$2:$AG$15,3,FALSE))</f>
        <v/>
      </c>
      <c r="H56" s="145"/>
      <c r="I56" s="499" t="str">
        <f>IFERROR(VLOOKUP(H56,'G-1 All Habitats'!$Z$2:$AA$9,2,FALSE),"")</f>
        <v/>
      </c>
      <c r="J56" s="145"/>
      <c r="K56" s="520" t="str">
        <f>IF(J56="","",IF(VLOOKUP(J56,'G-3 Multipliers'!$L$3:$N$6,2,FALSE)=0,"Spatial Data Missing ⚠",VLOOKUP(J56,'G-3 Multipliers'!$L$3:$N$6,2,FALSE)))</f>
        <v/>
      </c>
      <c r="L56" s="505" t="str">
        <f>IF(J56="","",IF(VLOOKUP(J56,'G-3 Multipliers'!$L$3:$N$6,3,FALSE)=0,"Spatial Data Missing ⚠",VLOOKUP(J56,'G-3 Multipliers'!$L$3:$N$6,3,FALSE)))</f>
        <v/>
      </c>
      <c r="M56" s="498" t="str">
        <f>IF(OR(D56="",H56=""),"",(INDEX('G-6 Hedgerow Data'!$E$3:$I$15,MATCH(D56,'G-6 Hedgerow Data'!$B$3:$B$15,0),MATCH(H56,'G-6 Hedgerow Data'!$E$2:$I$2,0))))</f>
        <v/>
      </c>
      <c r="N56" s="195"/>
      <c r="O56" s="195"/>
      <c r="P56" s="507" t="str">
        <f t="shared" si="1"/>
        <v/>
      </c>
      <c r="Q56" s="521" t="str">
        <f t="shared" si="2"/>
        <v/>
      </c>
      <c r="R56" s="522" t="str">
        <f t="shared" si="0"/>
        <v/>
      </c>
      <c r="S56" s="537" t="str">
        <f>IF(D56="","",VLOOKUP(D56,'G-6 Hedgerow Data'!$B$3:$AG$15,31,FALSE))</f>
        <v/>
      </c>
      <c r="T56" s="507" t="str">
        <f t="shared" si="3"/>
        <v/>
      </c>
      <c r="U56" s="507" t="str">
        <f t="shared" si="4"/>
        <v/>
      </c>
      <c r="V56" s="524" t="str">
        <f>IF(D56="","",VLOOKUP(S56,'G-3 Multipliers'!$P$3:$Q$6,2,FALSE))</f>
        <v/>
      </c>
      <c r="W56" s="529" t="str">
        <f t="shared" si="5"/>
        <v/>
      </c>
      <c r="X56" s="149"/>
      <c r="Y56" s="150"/>
      <c r="AG56" s="31" t="str">
        <f>IFERROR(INDEX('G-6 Hedgerow Data'!$BJ$3:$BJ$15,MATCH(D56,'G-6 Hedgerow Data'!$B$3:$B$15,0)),"")</f>
        <v/>
      </c>
    </row>
    <row r="57" spans="2:33" ht="14" x14ac:dyDescent="0.3">
      <c r="B57" s="141">
        <v>46</v>
      </c>
      <c r="C57" s="205"/>
      <c r="D57" s="195"/>
      <c r="E57" s="172"/>
      <c r="F57" s="553" t="str">
        <f>IF(D57="","",VLOOKUP(D57,'G-6 Hedgerow Data'!$B$2:$AG$15,2,FALSE))</f>
        <v/>
      </c>
      <c r="G57" s="499" t="str">
        <f>IF(D57="","",VLOOKUP(D57,'G-6 Hedgerow Data'!$B$2:$AG$15,3,FALSE))</f>
        <v/>
      </c>
      <c r="H57" s="145"/>
      <c r="I57" s="499" t="str">
        <f>IFERROR(VLOOKUP(H57,'G-1 All Habitats'!$Z$2:$AA$9,2,FALSE),"")</f>
        <v/>
      </c>
      <c r="J57" s="145"/>
      <c r="K57" s="520" t="str">
        <f>IF(J57="","",IF(VLOOKUP(J57,'G-3 Multipliers'!$L$3:$N$6,2,FALSE)=0,"Spatial Data Missing ⚠",VLOOKUP(J57,'G-3 Multipliers'!$L$3:$N$6,2,FALSE)))</f>
        <v/>
      </c>
      <c r="L57" s="505" t="str">
        <f>IF(J57="","",IF(VLOOKUP(J57,'G-3 Multipliers'!$L$3:$N$6,3,FALSE)=0,"Spatial Data Missing ⚠",VLOOKUP(J57,'G-3 Multipliers'!$L$3:$N$6,3,FALSE)))</f>
        <v/>
      </c>
      <c r="M57" s="498" t="str">
        <f>IF(OR(D57="",H57=""),"",(INDEX('G-6 Hedgerow Data'!$E$3:$I$15,MATCH(D57,'G-6 Hedgerow Data'!$B$3:$B$15,0),MATCH(H57,'G-6 Hedgerow Data'!$E$2:$I$2,0))))</f>
        <v/>
      </c>
      <c r="N57" s="195"/>
      <c r="O57" s="195"/>
      <c r="P57" s="507" t="str">
        <f t="shared" si="1"/>
        <v/>
      </c>
      <c r="Q57" s="521" t="str">
        <f t="shared" si="2"/>
        <v/>
      </c>
      <c r="R57" s="522" t="str">
        <f t="shared" si="0"/>
        <v/>
      </c>
      <c r="S57" s="537" t="str">
        <f>IF(D57="","",VLOOKUP(D57,'G-6 Hedgerow Data'!$B$3:$AG$15,31,FALSE))</f>
        <v/>
      </c>
      <c r="T57" s="507" t="str">
        <f t="shared" si="3"/>
        <v/>
      </c>
      <c r="U57" s="507" t="str">
        <f t="shared" si="4"/>
        <v/>
      </c>
      <c r="V57" s="524" t="str">
        <f>IF(D57="","",VLOOKUP(S57,'G-3 Multipliers'!$P$3:$Q$6,2,FALSE))</f>
        <v/>
      </c>
      <c r="W57" s="529" t="str">
        <f t="shared" si="5"/>
        <v/>
      </c>
      <c r="X57" s="149"/>
      <c r="Y57" s="150"/>
      <c r="AG57" s="31" t="str">
        <f>IFERROR(INDEX('G-6 Hedgerow Data'!$BJ$3:$BJ$15,MATCH(D57,'G-6 Hedgerow Data'!$B$3:$B$15,0)),"")</f>
        <v/>
      </c>
    </row>
    <row r="58" spans="2:33" ht="14" x14ac:dyDescent="0.3">
      <c r="B58" s="141">
        <v>47</v>
      </c>
      <c r="C58" s="205"/>
      <c r="D58" s="195"/>
      <c r="E58" s="172"/>
      <c r="F58" s="553" t="str">
        <f>IF(D58="","",VLOOKUP(D58,'G-6 Hedgerow Data'!$B$2:$AG$15,2,FALSE))</f>
        <v/>
      </c>
      <c r="G58" s="499" t="str">
        <f>IF(D58="","",VLOOKUP(D58,'G-6 Hedgerow Data'!$B$2:$AG$15,3,FALSE))</f>
        <v/>
      </c>
      <c r="H58" s="145"/>
      <c r="I58" s="499" t="str">
        <f>IFERROR(VLOOKUP(H58,'G-1 All Habitats'!$Z$2:$AA$9,2,FALSE),"")</f>
        <v/>
      </c>
      <c r="J58" s="145"/>
      <c r="K58" s="520" t="str">
        <f>IF(J58="","",IF(VLOOKUP(J58,'G-3 Multipliers'!$L$3:$N$6,2,FALSE)=0,"Spatial Data Missing ⚠",VLOOKUP(J58,'G-3 Multipliers'!$L$3:$N$6,2,FALSE)))</f>
        <v/>
      </c>
      <c r="L58" s="505" t="str">
        <f>IF(J58="","",IF(VLOOKUP(J58,'G-3 Multipliers'!$L$3:$N$6,3,FALSE)=0,"Spatial Data Missing ⚠",VLOOKUP(J58,'G-3 Multipliers'!$L$3:$N$6,3,FALSE)))</f>
        <v/>
      </c>
      <c r="M58" s="498" t="str">
        <f>IF(OR(D58="",H58=""),"",(INDEX('G-6 Hedgerow Data'!$E$3:$I$15,MATCH(D58,'G-6 Hedgerow Data'!$B$3:$B$15,0),MATCH(H58,'G-6 Hedgerow Data'!$E$2:$I$2,0))))</f>
        <v/>
      </c>
      <c r="N58" s="195"/>
      <c r="O58" s="195"/>
      <c r="P58" s="507" t="str">
        <f t="shared" si="1"/>
        <v/>
      </c>
      <c r="Q58" s="521" t="str">
        <f t="shared" si="2"/>
        <v/>
      </c>
      <c r="R58" s="522" t="str">
        <f t="shared" si="0"/>
        <v/>
      </c>
      <c r="S58" s="537" t="str">
        <f>IF(D58="","",VLOOKUP(D58,'G-6 Hedgerow Data'!$B$3:$AG$15,31,FALSE))</f>
        <v/>
      </c>
      <c r="T58" s="507" t="str">
        <f t="shared" si="3"/>
        <v/>
      </c>
      <c r="U58" s="507" t="str">
        <f t="shared" si="4"/>
        <v/>
      </c>
      <c r="V58" s="524" t="str">
        <f>IF(D58="","",VLOOKUP(S58,'G-3 Multipliers'!$P$3:$Q$6,2,FALSE))</f>
        <v/>
      </c>
      <c r="W58" s="529" t="str">
        <f t="shared" si="5"/>
        <v/>
      </c>
      <c r="X58" s="149"/>
      <c r="Y58" s="150"/>
      <c r="AG58" s="31" t="str">
        <f>IFERROR(INDEX('G-6 Hedgerow Data'!$BJ$3:$BJ$15,MATCH(D58,'G-6 Hedgerow Data'!$B$3:$B$15,0)),"")</f>
        <v/>
      </c>
    </row>
    <row r="59" spans="2:33" ht="14" x14ac:dyDescent="0.3">
      <c r="B59" s="141">
        <v>48</v>
      </c>
      <c r="C59" s="205"/>
      <c r="D59" s="195"/>
      <c r="E59" s="172"/>
      <c r="F59" s="553" t="str">
        <f>IF(D59="","",VLOOKUP(D59,'G-6 Hedgerow Data'!$B$2:$AG$15,2,FALSE))</f>
        <v/>
      </c>
      <c r="G59" s="499" t="str">
        <f>IF(D59="","",VLOOKUP(D59,'G-6 Hedgerow Data'!$B$2:$AG$15,3,FALSE))</f>
        <v/>
      </c>
      <c r="H59" s="145"/>
      <c r="I59" s="499" t="str">
        <f>IFERROR(VLOOKUP(H59,'G-1 All Habitats'!$Z$2:$AA$9,2,FALSE),"")</f>
        <v/>
      </c>
      <c r="J59" s="145"/>
      <c r="K59" s="520" t="str">
        <f>IF(J59="","",IF(VLOOKUP(J59,'G-3 Multipliers'!$L$3:$N$6,2,FALSE)=0,"Spatial Data Missing ⚠",VLOOKUP(J59,'G-3 Multipliers'!$L$3:$N$6,2,FALSE)))</f>
        <v/>
      </c>
      <c r="L59" s="505" t="str">
        <f>IF(J59="","",IF(VLOOKUP(J59,'G-3 Multipliers'!$L$3:$N$6,3,FALSE)=0,"Spatial Data Missing ⚠",VLOOKUP(J59,'G-3 Multipliers'!$L$3:$N$6,3,FALSE)))</f>
        <v/>
      </c>
      <c r="M59" s="498" t="str">
        <f>IF(OR(D59="",H59=""),"",(INDEX('G-6 Hedgerow Data'!$E$3:$I$15,MATCH(D59,'G-6 Hedgerow Data'!$B$3:$B$15,0),MATCH(H59,'G-6 Hedgerow Data'!$E$2:$I$2,0))))</f>
        <v/>
      </c>
      <c r="N59" s="195"/>
      <c r="O59" s="195"/>
      <c r="P59" s="507" t="str">
        <f t="shared" si="1"/>
        <v/>
      </c>
      <c r="Q59" s="521" t="str">
        <f t="shared" si="2"/>
        <v/>
      </c>
      <c r="R59" s="522" t="str">
        <f t="shared" si="0"/>
        <v/>
      </c>
      <c r="S59" s="537" t="str">
        <f>IF(D59="","",VLOOKUP(D59,'G-6 Hedgerow Data'!$B$3:$AG$15,31,FALSE))</f>
        <v/>
      </c>
      <c r="T59" s="507" t="str">
        <f t="shared" si="3"/>
        <v/>
      </c>
      <c r="U59" s="507" t="str">
        <f t="shared" si="4"/>
        <v/>
      </c>
      <c r="V59" s="524" t="str">
        <f>IF(D59="","",VLOOKUP(S59,'G-3 Multipliers'!$P$3:$Q$6,2,FALSE))</f>
        <v/>
      </c>
      <c r="W59" s="529" t="str">
        <f t="shared" si="5"/>
        <v/>
      </c>
      <c r="X59" s="149"/>
      <c r="Y59" s="150"/>
      <c r="AG59" s="31" t="str">
        <f>IFERROR(INDEX('G-6 Hedgerow Data'!$BJ$3:$BJ$15,MATCH(D59,'G-6 Hedgerow Data'!$B$3:$B$15,0)),"")</f>
        <v/>
      </c>
    </row>
    <row r="60" spans="2:33" ht="14" x14ac:dyDescent="0.3">
      <c r="B60" s="141">
        <v>49</v>
      </c>
      <c r="C60" s="205"/>
      <c r="D60" s="195"/>
      <c r="E60" s="172"/>
      <c r="F60" s="553" t="str">
        <f>IF(D60="","",VLOOKUP(D60,'G-6 Hedgerow Data'!$B$2:$AG$15,2,FALSE))</f>
        <v/>
      </c>
      <c r="G60" s="499" t="str">
        <f>IF(D60="","",VLOOKUP(D60,'G-6 Hedgerow Data'!$B$2:$AG$15,3,FALSE))</f>
        <v/>
      </c>
      <c r="H60" s="145"/>
      <c r="I60" s="499" t="str">
        <f>IFERROR(VLOOKUP(H60,'G-1 All Habitats'!$Z$2:$AA$9,2,FALSE),"")</f>
        <v/>
      </c>
      <c r="J60" s="145"/>
      <c r="K60" s="520" t="str">
        <f>IF(J60="","",IF(VLOOKUP(J60,'G-3 Multipliers'!$L$3:$N$6,2,FALSE)=0,"Spatial Data Missing ⚠",VLOOKUP(J60,'G-3 Multipliers'!$L$3:$N$6,2,FALSE)))</f>
        <v/>
      </c>
      <c r="L60" s="505" t="str">
        <f>IF(J60="","",IF(VLOOKUP(J60,'G-3 Multipliers'!$L$3:$N$6,3,FALSE)=0,"Spatial Data Missing ⚠",VLOOKUP(J60,'G-3 Multipliers'!$L$3:$N$6,3,FALSE)))</f>
        <v/>
      </c>
      <c r="M60" s="498" t="str">
        <f>IF(OR(D60="",H60=""),"",(INDEX('G-6 Hedgerow Data'!$E$3:$I$15,MATCH(D60,'G-6 Hedgerow Data'!$B$3:$B$15,0),MATCH(H60,'G-6 Hedgerow Data'!$E$2:$I$2,0))))</f>
        <v/>
      </c>
      <c r="N60" s="195"/>
      <c r="O60" s="195"/>
      <c r="P60" s="507" t="str">
        <f t="shared" si="1"/>
        <v/>
      </c>
      <c r="Q60" s="521" t="str">
        <f t="shared" si="2"/>
        <v/>
      </c>
      <c r="R60" s="522" t="str">
        <f t="shared" si="0"/>
        <v/>
      </c>
      <c r="S60" s="537" t="str">
        <f>IF(D60="","",VLOOKUP(D60,'G-6 Hedgerow Data'!$B$3:$AG$15,31,FALSE))</f>
        <v/>
      </c>
      <c r="T60" s="507" t="str">
        <f t="shared" si="3"/>
        <v/>
      </c>
      <c r="U60" s="507" t="str">
        <f t="shared" si="4"/>
        <v/>
      </c>
      <c r="V60" s="524" t="str">
        <f>IF(D60="","",VLOOKUP(S60,'G-3 Multipliers'!$P$3:$Q$6,2,FALSE))</f>
        <v/>
      </c>
      <c r="W60" s="529" t="str">
        <f t="shared" si="5"/>
        <v/>
      </c>
      <c r="X60" s="149"/>
      <c r="Y60" s="150"/>
      <c r="AG60" s="31" t="str">
        <f>IFERROR(INDEX('G-6 Hedgerow Data'!$BJ$3:$BJ$15,MATCH(D60,'G-6 Hedgerow Data'!$B$3:$B$15,0)),"")</f>
        <v/>
      </c>
    </row>
    <row r="61" spans="2:33" ht="14" x14ac:dyDescent="0.3">
      <c r="B61" s="141">
        <v>50</v>
      </c>
      <c r="C61" s="205"/>
      <c r="D61" s="195"/>
      <c r="E61" s="172"/>
      <c r="F61" s="553" t="str">
        <f>IF(D61="","",VLOOKUP(D61,'G-6 Hedgerow Data'!$B$2:$AG$15,2,FALSE))</f>
        <v/>
      </c>
      <c r="G61" s="499" t="str">
        <f>IF(D61="","",VLOOKUP(D61,'G-6 Hedgerow Data'!$B$2:$AG$15,3,FALSE))</f>
        <v/>
      </c>
      <c r="H61" s="145"/>
      <c r="I61" s="499" t="str">
        <f>IFERROR(VLOOKUP(H61,'G-1 All Habitats'!$Z$2:$AA$9,2,FALSE),"")</f>
        <v/>
      </c>
      <c r="J61" s="145"/>
      <c r="K61" s="520" t="str">
        <f>IF(J61="","",IF(VLOOKUP(J61,'G-3 Multipliers'!$L$3:$N$6,2,FALSE)=0,"Spatial Data Missing ⚠",VLOOKUP(J61,'G-3 Multipliers'!$L$3:$N$6,2,FALSE)))</f>
        <v/>
      </c>
      <c r="L61" s="505" t="str">
        <f>IF(J61="","",IF(VLOOKUP(J61,'G-3 Multipliers'!$L$3:$N$6,3,FALSE)=0,"Spatial Data Missing ⚠",VLOOKUP(J61,'G-3 Multipliers'!$L$3:$N$6,3,FALSE)))</f>
        <v/>
      </c>
      <c r="M61" s="498" t="str">
        <f>IF(OR(D61="",H61=""),"",(INDEX('G-6 Hedgerow Data'!$E$3:$I$15,MATCH(D61,'G-6 Hedgerow Data'!$B$3:$B$15,0),MATCH(H61,'G-6 Hedgerow Data'!$E$2:$I$2,0))))</f>
        <v/>
      </c>
      <c r="N61" s="195"/>
      <c r="O61" s="195"/>
      <c r="P61" s="507" t="str">
        <f t="shared" si="1"/>
        <v/>
      </c>
      <c r="Q61" s="521" t="str">
        <f t="shared" si="2"/>
        <v/>
      </c>
      <c r="R61" s="522" t="str">
        <f t="shared" si="0"/>
        <v/>
      </c>
      <c r="S61" s="537" t="str">
        <f>IF(D61="","",VLOOKUP(D61,'G-6 Hedgerow Data'!$B$3:$AG$15,31,FALSE))</f>
        <v/>
      </c>
      <c r="T61" s="507" t="str">
        <f t="shared" si="3"/>
        <v/>
      </c>
      <c r="U61" s="507" t="str">
        <f t="shared" si="4"/>
        <v/>
      </c>
      <c r="V61" s="524" t="str">
        <f>IF(D61="","",VLOOKUP(S61,'G-3 Multipliers'!$P$3:$Q$6,2,FALSE))</f>
        <v/>
      </c>
      <c r="W61" s="529" t="str">
        <f t="shared" si="5"/>
        <v/>
      </c>
      <c r="X61" s="149"/>
      <c r="Y61" s="150"/>
      <c r="AG61" s="31" t="str">
        <f>IFERROR(INDEX('G-6 Hedgerow Data'!$BJ$3:$BJ$15,MATCH(D61,'G-6 Hedgerow Data'!$B$3:$B$15,0)),"")</f>
        <v/>
      </c>
    </row>
    <row r="62" spans="2:33" ht="14" x14ac:dyDescent="0.3">
      <c r="B62" s="141">
        <v>51</v>
      </c>
      <c r="C62" s="205"/>
      <c r="D62" s="195"/>
      <c r="E62" s="172"/>
      <c r="F62" s="553" t="str">
        <f>IF(D62="","",VLOOKUP(D62,'G-6 Hedgerow Data'!$B$2:$AG$15,2,FALSE))</f>
        <v/>
      </c>
      <c r="G62" s="499" t="str">
        <f>IF(D62="","",VLOOKUP(D62,'G-6 Hedgerow Data'!$B$2:$AG$15,3,FALSE))</f>
        <v/>
      </c>
      <c r="H62" s="145"/>
      <c r="I62" s="499" t="str">
        <f>IFERROR(VLOOKUP(H62,'G-1 All Habitats'!$Z$2:$AA$9,2,FALSE),"")</f>
        <v/>
      </c>
      <c r="J62" s="145"/>
      <c r="K62" s="520" t="str">
        <f>IF(J62="","",IF(VLOOKUP(J62,'G-3 Multipliers'!$L$3:$N$6,2,FALSE)=0,"Spatial Data Missing ⚠",VLOOKUP(J62,'G-3 Multipliers'!$L$3:$N$6,2,FALSE)))</f>
        <v/>
      </c>
      <c r="L62" s="505" t="str">
        <f>IF(J62="","",IF(VLOOKUP(J62,'G-3 Multipliers'!$L$3:$N$6,3,FALSE)=0,"Spatial Data Missing ⚠",VLOOKUP(J62,'G-3 Multipliers'!$L$3:$N$6,3,FALSE)))</f>
        <v/>
      </c>
      <c r="M62" s="498" t="str">
        <f>IF(OR(D62="",H62=""),"",(INDEX('G-6 Hedgerow Data'!$E$3:$I$15,MATCH(D62,'G-6 Hedgerow Data'!$B$3:$B$15,0),MATCH(H62,'G-6 Hedgerow Data'!$E$2:$I$2,0))))</f>
        <v/>
      </c>
      <c r="N62" s="195"/>
      <c r="O62" s="195"/>
      <c r="P62" s="507" t="str">
        <f t="shared" si="1"/>
        <v/>
      </c>
      <c r="Q62" s="521" t="str">
        <f t="shared" si="2"/>
        <v/>
      </c>
      <c r="R62" s="522" t="str">
        <f t="shared" si="0"/>
        <v/>
      </c>
      <c r="S62" s="537" t="str">
        <f>IF(D62="","",VLOOKUP(D62,'G-6 Hedgerow Data'!$B$3:$AG$15,31,FALSE))</f>
        <v/>
      </c>
      <c r="T62" s="507" t="str">
        <f t="shared" si="3"/>
        <v/>
      </c>
      <c r="U62" s="507" t="str">
        <f t="shared" si="4"/>
        <v/>
      </c>
      <c r="V62" s="524" t="str">
        <f>IF(D62="","",VLOOKUP(S62,'G-3 Multipliers'!$P$3:$Q$6,2,FALSE))</f>
        <v/>
      </c>
      <c r="W62" s="529" t="str">
        <f t="shared" si="5"/>
        <v/>
      </c>
      <c r="X62" s="149"/>
      <c r="Y62" s="150"/>
      <c r="AG62" s="31" t="str">
        <f>IFERROR(INDEX('G-6 Hedgerow Data'!$BJ$3:$BJ$15,MATCH(D62,'G-6 Hedgerow Data'!$B$3:$B$15,0)),"")</f>
        <v/>
      </c>
    </row>
    <row r="63" spans="2:33" ht="14" x14ac:dyDescent="0.3">
      <c r="B63" s="141">
        <v>52</v>
      </c>
      <c r="C63" s="205"/>
      <c r="D63" s="195"/>
      <c r="E63" s="172"/>
      <c r="F63" s="553" t="str">
        <f>IF(D63="","",VLOOKUP(D63,'G-6 Hedgerow Data'!$B$2:$AG$15,2,FALSE))</f>
        <v/>
      </c>
      <c r="G63" s="499" t="str">
        <f>IF(D63="","",VLOOKUP(D63,'G-6 Hedgerow Data'!$B$2:$AG$15,3,FALSE))</f>
        <v/>
      </c>
      <c r="H63" s="145"/>
      <c r="I63" s="499" t="str">
        <f>IFERROR(VLOOKUP(H63,'G-1 All Habitats'!$Z$2:$AA$9,2,FALSE),"")</f>
        <v/>
      </c>
      <c r="J63" s="145"/>
      <c r="K63" s="520" t="str">
        <f>IF(J63="","",IF(VLOOKUP(J63,'G-3 Multipliers'!$L$3:$N$6,2,FALSE)=0,"Spatial Data Missing ⚠",VLOOKUP(J63,'G-3 Multipliers'!$L$3:$N$6,2,FALSE)))</f>
        <v/>
      </c>
      <c r="L63" s="505" t="str">
        <f>IF(J63="","",IF(VLOOKUP(J63,'G-3 Multipliers'!$L$3:$N$6,3,FALSE)=0,"Spatial Data Missing ⚠",VLOOKUP(J63,'G-3 Multipliers'!$L$3:$N$6,3,FALSE)))</f>
        <v/>
      </c>
      <c r="M63" s="498" t="str">
        <f>IF(OR(D63="",H63=""),"",(INDEX('G-6 Hedgerow Data'!$E$3:$I$15,MATCH(D63,'G-6 Hedgerow Data'!$B$3:$B$15,0),MATCH(H63,'G-6 Hedgerow Data'!$E$2:$I$2,0))))</f>
        <v/>
      </c>
      <c r="N63" s="195"/>
      <c r="O63" s="195"/>
      <c r="P63" s="507" t="str">
        <f t="shared" si="1"/>
        <v/>
      </c>
      <c r="Q63" s="521" t="str">
        <f t="shared" si="2"/>
        <v/>
      </c>
      <c r="R63" s="522" t="str">
        <f t="shared" si="0"/>
        <v/>
      </c>
      <c r="S63" s="537" t="str">
        <f>IF(D63="","",VLOOKUP(D63,'G-6 Hedgerow Data'!$B$3:$AG$15,31,FALSE))</f>
        <v/>
      </c>
      <c r="T63" s="507" t="str">
        <f t="shared" si="3"/>
        <v/>
      </c>
      <c r="U63" s="507" t="str">
        <f t="shared" si="4"/>
        <v/>
      </c>
      <c r="V63" s="524" t="str">
        <f>IF(D63="","",VLOOKUP(S63,'G-3 Multipliers'!$P$3:$Q$6,2,FALSE))</f>
        <v/>
      </c>
      <c r="W63" s="529" t="str">
        <f t="shared" si="5"/>
        <v/>
      </c>
      <c r="X63" s="149"/>
      <c r="Y63" s="150"/>
      <c r="AG63" s="31" t="str">
        <f>IFERROR(INDEX('G-6 Hedgerow Data'!$BJ$3:$BJ$15,MATCH(D63,'G-6 Hedgerow Data'!$B$3:$B$15,0)),"")</f>
        <v/>
      </c>
    </row>
    <row r="64" spans="2:33" ht="14" x14ac:dyDescent="0.3">
      <c r="B64" s="141">
        <v>53</v>
      </c>
      <c r="C64" s="205"/>
      <c r="D64" s="195"/>
      <c r="E64" s="172"/>
      <c r="F64" s="553" t="str">
        <f>IF(D64="","",VLOOKUP(D64,'G-6 Hedgerow Data'!$B$2:$AG$15,2,FALSE))</f>
        <v/>
      </c>
      <c r="G64" s="499" t="str">
        <f>IF(D64="","",VLOOKUP(D64,'G-6 Hedgerow Data'!$B$2:$AG$15,3,FALSE))</f>
        <v/>
      </c>
      <c r="H64" s="145"/>
      <c r="I64" s="499" t="str">
        <f>IFERROR(VLOOKUP(H64,'G-1 All Habitats'!$Z$2:$AA$9,2,FALSE),"")</f>
        <v/>
      </c>
      <c r="J64" s="145"/>
      <c r="K64" s="520" t="str">
        <f>IF(J64="","",IF(VLOOKUP(J64,'G-3 Multipliers'!$L$3:$N$6,2,FALSE)=0,"Spatial Data Missing ⚠",VLOOKUP(J64,'G-3 Multipliers'!$L$3:$N$6,2,FALSE)))</f>
        <v/>
      </c>
      <c r="L64" s="505" t="str">
        <f>IF(J64="","",IF(VLOOKUP(J64,'G-3 Multipliers'!$L$3:$N$6,3,FALSE)=0,"Spatial Data Missing ⚠",VLOOKUP(J64,'G-3 Multipliers'!$L$3:$N$6,3,FALSE)))</f>
        <v/>
      </c>
      <c r="M64" s="498" t="str">
        <f>IF(OR(D64="",H64=""),"",(INDEX('G-6 Hedgerow Data'!$E$3:$I$15,MATCH(D64,'G-6 Hedgerow Data'!$B$3:$B$15,0),MATCH(H64,'G-6 Hedgerow Data'!$E$2:$I$2,0))))</f>
        <v/>
      </c>
      <c r="N64" s="195"/>
      <c r="O64" s="195"/>
      <c r="P64" s="507" t="str">
        <f t="shared" si="1"/>
        <v/>
      </c>
      <c r="Q64" s="521" t="str">
        <f t="shared" si="2"/>
        <v/>
      </c>
      <c r="R64" s="522" t="str">
        <f t="shared" si="0"/>
        <v/>
      </c>
      <c r="S64" s="537" t="str">
        <f>IF(D64="","",VLOOKUP(D64,'G-6 Hedgerow Data'!$B$3:$AG$15,31,FALSE))</f>
        <v/>
      </c>
      <c r="T64" s="507" t="str">
        <f t="shared" si="3"/>
        <v/>
      </c>
      <c r="U64" s="507" t="str">
        <f t="shared" si="4"/>
        <v/>
      </c>
      <c r="V64" s="524" t="str">
        <f>IF(D64="","",VLOOKUP(S64,'G-3 Multipliers'!$P$3:$Q$6,2,FALSE))</f>
        <v/>
      </c>
      <c r="W64" s="529" t="str">
        <f t="shared" si="5"/>
        <v/>
      </c>
      <c r="X64" s="149"/>
      <c r="Y64" s="150"/>
      <c r="AG64" s="31" t="str">
        <f>IFERROR(INDEX('G-6 Hedgerow Data'!$BJ$3:$BJ$15,MATCH(D64,'G-6 Hedgerow Data'!$B$3:$B$15,0)),"")</f>
        <v/>
      </c>
    </row>
    <row r="65" spans="2:33" ht="14" x14ac:dyDescent="0.3">
      <c r="B65" s="141">
        <v>54</v>
      </c>
      <c r="C65" s="205"/>
      <c r="D65" s="195"/>
      <c r="E65" s="172"/>
      <c r="F65" s="553" t="str">
        <f>IF(D65="","",VLOOKUP(D65,'G-6 Hedgerow Data'!$B$2:$AG$15,2,FALSE))</f>
        <v/>
      </c>
      <c r="G65" s="499" t="str">
        <f>IF(D65="","",VLOOKUP(D65,'G-6 Hedgerow Data'!$B$2:$AG$15,3,FALSE))</f>
        <v/>
      </c>
      <c r="H65" s="145"/>
      <c r="I65" s="499" t="str">
        <f>IFERROR(VLOOKUP(H65,'G-1 All Habitats'!$Z$2:$AA$9,2,FALSE),"")</f>
        <v/>
      </c>
      <c r="J65" s="145"/>
      <c r="K65" s="520" t="str">
        <f>IF(J65="","",IF(VLOOKUP(J65,'G-3 Multipliers'!$L$3:$N$6,2,FALSE)=0,"Spatial Data Missing ⚠",VLOOKUP(J65,'G-3 Multipliers'!$L$3:$N$6,2,FALSE)))</f>
        <v/>
      </c>
      <c r="L65" s="505" t="str">
        <f>IF(J65="","",IF(VLOOKUP(J65,'G-3 Multipliers'!$L$3:$N$6,3,FALSE)=0,"Spatial Data Missing ⚠",VLOOKUP(J65,'G-3 Multipliers'!$L$3:$N$6,3,FALSE)))</f>
        <v/>
      </c>
      <c r="M65" s="498" t="str">
        <f>IF(OR(D65="",H65=""),"",(INDEX('G-6 Hedgerow Data'!$E$3:$I$15,MATCH(D65,'G-6 Hedgerow Data'!$B$3:$B$15,0),MATCH(H65,'G-6 Hedgerow Data'!$E$2:$I$2,0))))</f>
        <v/>
      </c>
      <c r="N65" s="195"/>
      <c r="O65" s="195"/>
      <c r="P65" s="507" t="str">
        <f t="shared" si="1"/>
        <v/>
      </c>
      <c r="Q65" s="521" t="str">
        <f t="shared" si="2"/>
        <v/>
      </c>
      <c r="R65" s="522" t="str">
        <f t="shared" si="0"/>
        <v/>
      </c>
      <c r="S65" s="537" t="str">
        <f>IF(D65="","",VLOOKUP(D65,'G-6 Hedgerow Data'!$B$3:$AG$15,31,FALSE))</f>
        <v/>
      </c>
      <c r="T65" s="507" t="str">
        <f t="shared" si="3"/>
        <v/>
      </c>
      <c r="U65" s="507" t="str">
        <f t="shared" si="4"/>
        <v/>
      </c>
      <c r="V65" s="524" t="str">
        <f>IF(D65="","",VLOOKUP(S65,'G-3 Multipliers'!$P$3:$Q$6,2,FALSE))</f>
        <v/>
      </c>
      <c r="W65" s="529" t="str">
        <f t="shared" si="5"/>
        <v/>
      </c>
      <c r="X65" s="149"/>
      <c r="Y65" s="150"/>
      <c r="AG65" s="31" t="str">
        <f>IFERROR(INDEX('G-6 Hedgerow Data'!$BJ$3:$BJ$15,MATCH(D65,'G-6 Hedgerow Data'!$B$3:$B$15,0)),"")</f>
        <v/>
      </c>
    </row>
    <row r="66" spans="2:33" ht="14" x14ac:dyDescent="0.3">
      <c r="B66" s="141">
        <v>55</v>
      </c>
      <c r="C66" s="205"/>
      <c r="D66" s="195"/>
      <c r="E66" s="172"/>
      <c r="F66" s="553" t="str">
        <f>IF(D66="","",VLOOKUP(D66,'G-6 Hedgerow Data'!$B$2:$AG$15,2,FALSE))</f>
        <v/>
      </c>
      <c r="G66" s="499" t="str">
        <f>IF(D66="","",VLOOKUP(D66,'G-6 Hedgerow Data'!$B$2:$AG$15,3,FALSE))</f>
        <v/>
      </c>
      <c r="H66" s="145"/>
      <c r="I66" s="499" t="str">
        <f>IFERROR(VLOOKUP(H66,'G-1 All Habitats'!$Z$2:$AA$9,2,FALSE),"")</f>
        <v/>
      </c>
      <c r="J66" s="145"/>
      <c r="K66" s="520" t="str">
        <f>IF(J66="","",IF(VLOOKUP(J66,'G-3 Multipliers'!$L$3:$N$6,2,FALSE)=0,"Spatial Data Missing ⚠",VLOOKUP(J66,'G-3 Multipliers'!$L$3:$N$6,2,FALSE)))</f>
        <v/>
      </c>
      <c r="L66" s="505" t="str">
        <f>IF(J66="","",IF(VLOOKUP(J66,'G-3 Multipliers'!$L$3:$N$6,3,FALSE)=0,"Spatial Data Missing ⚠",VLOOKUP(J66,'G-3 Multipliers'!$L$3:$N$6,3,FALSE)))</f>
        <v/>
      </c>
      <c r="M66" s="498" t="str">
        <f>IF(OR(D66="",H66=""),"",(INDEX('G-6 Hedgerow Data'!$E$3:$I$15,MATCH(D66,'G-6 Hedgerow Data'!$B$3:$B$15,0),MATCH(H66,'G-6 Hedgerow Data'!$E$2:$I$2,0))))</f>
        <v/>
      </c>
      <c r="N66" s="195"/>
      <c r="O66" s="195"/>
      <c r="P66" s="507" t="str">
        <f t="shared" si="1"/>
        <v/>
      </c>
      <c r="Q66" s="521" t="str">
        <f t="shared" si="2"/>
        <v/>
      </c>
      <c r="R66" s="522" t="str">
        <f t="shared" si="0"/>
        <v/>
      </c>
      <c r="S66" s="537" t="str">
        <f>IF(D66="","",VLOOKUP(D66,'G-6 Hedgerow Data'!$B$3:$AG$15,31,FALSE))</f>
        <v/>
      </c>
      <c r="T66" s="507" t="str">
        <f t="shared" si="3"/>
        <v/>
      </c>
      <c r="U66" s="507" t="str">
        <f t="shared" si="4"/>
        <v/>
      </c>
      <c r="V66" s="524" t="str">
        <f>IF(D66="","",VLOOKUP(S66,'G-3 Multipliers'!$P$3:$Q$6,2,FALSE))</f>
        <v/>
      </c>
      <c r="W66" s="529" t="str">
        <f t="shared" si="5"/>
        <v/>
      </c>
      <c r="X66" s="149"/>
      <c r="Y66" s="150"/>
      <c r="AG66" s="31" t="str">
        <f>IFERROR(INDEX('G-6 Hedgerow Data'!$BJ$3:$BJ$15,MATCH(D66,'G-6 Hedgerow Data'!$B$3:$B$15,0)),"")</f>
        <v/>
      </c>
    </row>
    <row r="67" spans="2:33" ht="14" x14ac:dyDescent="0.3">
      <c r="B67" s="141">
        <v>56</v>
      </c>
      <c r="C67" s="205"/>
      <c r="D67" s="195"/>
      <c r="E67" s="172"/>
      <c r="F67" s="553" t="str">
        <f>IF(D67="","",VLOOKUP(D67,'G-6 Hedgerow Data'!$B$2:$AG$15,2,FALSE))</f>
        <v/>
      </c>
      <c r="G67" s="499" t="str">
        <f>IF(D67="","",VLOOKUP(D67,'G-6 Hedgerow Data'!$B$2:$AG$15,3,FALSE))</f>
        <v/>
      </c>
      <c r="H67" s="145"/>
      <c r="I67" s="499" t="str">
        <f>IFERROR(VLOOKUP(H67,'G-1 All Habitats'!$Z$2:$AA$9,2,FALSE),"")</f>
        <v/>
      </c>
      <c r="J67" s="145"/>
      <c r="K67" s="520" t="str">
        <f>IF(J67="","",IF(VLOOKUP(J67,'G-3 Multipliers'!$L$3:$N$6,2,FALSE)=0,"Spatial Data Missing ⚠",VLOOKUP(J67,'G-3 Multipliers'!$L$3:$N$6,2,FALSE)))</f>
        <v/>
      </c>
      <c r="L67" s="505" t="str">
        <f>IF(J67="","",IF(VLOOKUP(J67,'G-3 Multipliers'!$L$3:$N$6,3,FALSE)=0,"Spatial Data Missing ⚠",VLOOKUP(J67,'G-3 Multipliers'!$L$3:$N$6,3,FALSE)))</f>
        <v/>
      </c>
      <c r="M67" s="498" t="str">
        <f>IF(OR(D67="",H67=""),"",(INDEX('G-6 Hedgerow Data'!$E$3:$I$15,MATCH(D67,'G-6 Hedgerow Data'!$B$3:$B$15,0),MATCH(H67,'G-6 Hedgerow Data'!$E$2:$I$2,0))))</f>
        <v/>
      </c>
      <c r="N67" s="195"/>
      <c r="O67" s="195"/>
      <c r="P67" s="507" t="str">
        <f t="shared" si="1"/>
        <v/>
      </c>
      <c r="Q67" s="521" t="str">
        <f t="shared" si="2"/>
        <v/>
      </c>
      <c r="R67" s="522" t="str">
        <f t="shared" si="0"/>
        <v/>
      </c>
      <c r="S67" s="537" t="str">
        <f>IF(D67="","",VLOOKUP(D67,'G-6 Hedgerow Data'!$B$3:$AG$15,31,FALSE))</f>
        <v/>
      </c>
      <c r="T67" s="507" t="str">
        <f t="shared" si="3"/>
        <v/>
      </c>
      <c r="U67" s="507" t="str">
        <f t="shared" si="4"/>
        <v/>
      </c>
      <c r="V67" s="524" t="str">
        <f>IF(D67="","",VLOOKUP(S67,'G-3 Multipliers'!$P$3:$Q$6,2,FALSE))</f>
        <v/>
      </c>
      <c r="W67" s="529" t="str">
        <f t="shared" si="5"/>
        <v/>
      </c>
      <c r="X67" s="149"/>
      <c r="Y67" s="150"/>
      <c r="AG67" s="31" t="str">
        <f>IFERROR(INDEX('G-6 Hedgerow Data'!$BJ$3:$BJ$15,MATCH(D67,'G-6 Hedgerow Data'!$B$3:$B$15,0)),"")</f>
        <v/>
      </c>
    </row>
    <row r="68" spans="2:33" ht="14" x14ac:dyDescent="0.3">
      <c r="B68" s="141">
        <v>57</v>
      </c>
      <c r="C68" s="205"/>
      <c r="D68" s="195"/>
      <c r="E68" s="172"/>
      <c r="F68" s="553" t="str">
        <f>IF(D68="","",VLOOKUP(D68,'G-6 Hedgerow Data'!$B$2:$AG$15,2,FALSE))</f>
        <v/>
      </c>
      <c r="G68" s="499" t="str">
        <f>IF(D68="","",VLOOKUP(D68,'G-6 Hedgerow Data'!$B$2:$AG$15,3,FALSE))</f>
        <v/>
      </c>
      <c r="H68" s="145"/>
      <c r="I68" s="499" t="str">
        <f>IFERROR(VLOOKUP(H68,'G-1 All Habitats'!$Z$2:$AA$9,2,FALSE),"")</f>
        <v/>
      </c>
      <c r="J68" s="145"/>
      <c r="K68" s="520" t="str">
        <f>IF(J68="","",IF(VLOOKUP(J68,'G-3 Multipliers'!$L$3:$N$6,2,FALSE)=0,"Spatial Data Missing ⚠",VLOOKUP(J68,'G-3 Multipliers'!$L$3:$N$6,2,FALSE)))</f>
        <v/>
      </c>
      <c r="L68" s="505" t="str">
        <f>IF(J68="","",IF(VLOOKUP(J68,'G-3 Multipliers'!$L$3:$N$6,3,FALSE)=0,"Spatial Data Missing ⚠",VLOOKUP(J68,'G-3 Multipliers'!$L$3:$N$6,3,FALSE)))</f>
        <v/>
      </c>
      <c r="M68" s="498" t="str">
        <f>IF(OR(D68="",H68=""),"",(INDEX('G-6 Hedgerow Data'!$E$3:$I$15,MATCH(D68,'G-6 Hedgerow Data'!$B$3:$B$15,0),MATCH(H68,'G-6 Hedgerow Data'!$E$2:$I$2,0))))</f>
        <v/>
      </c>
      <c r="N68" s="195"/>
      <c r="O68" s="195"/>
      <c r="P68" s="507" t="str">
        <f t="shared" si="1"/>
        <v/>
      </c>
      <c r="Q68" s="521" t="str">
        <f t="shared" si="2"/>
        <v/>
      </c>
      <c r="R68" s="522" t="str">
        <f t="shared" si="0"/>
        <v/>
      </c>
      <c r="S68" s="537" t="str">
        <f>IF(D68="","",VLOOKUP(D68,'G-6 Hedgerow Data'!$B$3:$AG$15,31,FALSE))</f>
        <v/>
      </c>
      <c r="T68" s="507" t="str">
        <f t="shared" si="3"/>
        <v/>
      </c>
      <c r="U68" s="507" t="str">
        <f t="shared" si="4"/>
        <v/>
      </c>
      <c r="V68" s="524" t="str">
        <f>IF(D68="","",VLOOKUP(S68,'G-3 Multipliers'!$P$3:$Q$6,2,FALSE))</f>
        <v/>
      </c>
      <c r="W68" s="529" t="str">
        <f t="shared" si="5"/>
        <v/>
      </c>
      <c r="X68" s="149"/>
      <c r="Y68" s="150"/>
      <c r="AG68" s="31" t="str">
        <f>IFERROR(INDEX('G-6 Hedgerow Data'!$BJ$3:$BJ$15,MATCH(D68,'G-6 Hedgerow Data'!$B$3:$B$15,0)),"")</f>
        <v/>
      </c>
    </row>
    <row r="69" spans="2:33" ht="14" x14ac:dyDescent="0.3">
      <c r="B69" s="141">
        <v>58</v>
      </c>
      <c r="C69" s="205"/>
      <c r="D69" s="195"/>
      <c r="E69" s="172"/>
      <c r="F69" s="553" t="str">
        <f>IF(D69="","",VLOOKUP(D69,'G-6 Hedgerow Data'!$B$2:$AG$15,2,FALSE))</f>
        <v/>
      </c>
      <c r="G69" s="499" t="str">
        <f>IF(D69="","",VLOOKUP(D69,'G-6 Hedgerow Data'!$B$2:$AG$15,3,FALSE))</f>
        <v/>
      </c>
      <c r="H69" s="145"/>
      <c r="I69" s="499" t="str">
        <f>IFERROR(VLOOKUP(H69,'G-1 All Habitats'!$Z$2:$AA$9,2,FALSE),"")</f>
        <v/>
      </c>
      <c r="J69" s="145"/>
      <c r="K69" s="520" t="str">
        <f>IF(J69="","",IF(VLOOKUP(J69,'G-3 Multipliers'!$L$3:$N$6,2,FALSE)=0,"Spatial Data Missing ⚠",VLOOKUP(J69,'G-3 Multipliers'!$L$3:$N$6,2,FALSE)))</f>
        <v/>
      </c>
      <c r="L69" s="505" t="str">
        <f>IF(J69="","",IF(VLOOKUP(J69,'G-3 Multipliers'!$L$3:$N$6,3,FALSE)=0,"Spatial Data Missing ⚠",VLOOKUP(J69,'G-3 Multipliers'!$L$3:$N$6,3,FALSE)))</f>
        <v/>
      </c>
      <c r="M69" s="498" t="str">
        <f>IF(OR(D69="",H69=""),"",(INDEX('G-6 Hedgerow Data'!$E$3:$I$15,MATCH(D69,'G-6 Hedgerow Data'!$B$3:$B$15,0),MATCH(H69,'G-6 Hedgerow Data'!$E$2:$I$2,0))))</f>
        <v/>
      </c>
      <c r="N69" s="195"/>
      <c r="O69" s="195"/>
      <c r="P69" s="507" t="str">
        <f t="shared" si="1"/>
        <v/>
      </c>
      <c r="Q69" s="521" t="str">
        <f t="shared" si="2"/>
        <v/>
      </c>
      <c r="R69" s="522" t="str">
        <f t="shared" si="0"/>
        <v/>
      </c>
      <c r="S69" s="537" t="str">
        <f>IF(D69="","",VLOOKUP(D69,'G-6 Hedgerow Data'!$B$3:$AG$15,31,FALSE))</f>
        <v/>
      </c>
      <c r="T69" s="507" t="str">
        <f t="shared" si="3"/>
        <v/>
      </c>
      <c r="U69" s="507" t="str">
        <f t="shared" si="4"/>
        <v/>
      </c>
      <c r="V69" s="524" t="str">
        <f>IF(D69="","",VLOOKUP(S69,'G-3 Multipliers'!$P$3:$Q$6,2,FALSE))</f>
        <v/>
      </c>
      <c r="W69" s="529" t="str">
        <f t="shared" si="5"/>
        <v/>
      </c>
      <c r="X69" s="149"/>
      <c r="Y69" s="150"/>
      <c r="AG69" s="31" t="str">
        <f>IFERROR(INDEX('G-6 Hedgerow Data'!$BJ$3:$BJ$15,MATCH(D69,'G-6 Hedgerow Data'!$B$3:$B$15,0)),"")</f>
        <v/>
      </c>
    </row>
    <row r="70" spans="2:33" ht="14" x14ac:dyDescent="0.3">
      <c r="B70" s="141">
        <v>59</v>
      </c>
      <c r="C70" s="205"/>
      <c r="D70" s="195"/>
      <c r="E70" s="172"/>
      <c r="F70" s="553" t="str">
        <f>IF(D70="","",VLOOKUP(D70,'G-6 Hedgerow Data'!$B$2:$AG$15,2,FALSE))</f>
        <v/>
      </c>
      <c r="G70" s="499" t="str">
        <f>IF(D70="","",VLOOKUP(D70,'G-6 Hedgerow Data'!$B$2:$AG$15,3,FALSE))</f>
        <v/>
      </c>
      <c r="H70" s="145"/>
      <c r="I70" s="499" t="str">
        <f>IFERROR(VLOOKUP(H70,'G-1 All Habitats'!$Z$2:$AA$9,2,FALSE),"")</f>
        <v/>
      </c>
      <c r="J70" s="145"/>
      <c r="K70" s="520" t="str">
        <f>IF(J70="","",IF(VLOOKUP(J70,'G-3 Multipliers'!$L$3:$N$6,2,FALSE)=0,"Spatial Data Missing ⚠",VLOOKUP(J70,'G-3 Multipliers'!$L$3:$N$6,2,FALSE)))</f>
        <v/>
      </c>
      <c r="L70" s="505" t="str">
        <f>IF(J70="","",IF(VLOOKUP(J70,'G-3 Multipliers'!$L$3:$N$6,3,FALSE)=0,"Spatial Data Missing ⚠",VLOOKUP(J70,'G-3 Multipliers'!$L$3:$N$6,3,FALSE)))</f>
        <v/>
      </c>
      <c r="M70" s="498" t="str">
        <f>IF(OR(D70="",H70=""),"",(INDEX('G-6 Hedgerow Data'!$E$3:$I$15,MATCH(D70,'G-6 Hedgerow Data'!$B$3:$B$15,0),MATCH(H70,'G-6 Hedgerow Data'!$E$2:$I$2,0))))</f>
        <v/>
      </c>
      <c r="N70" s="195"/>
      <c r="O70" s="195"/>
      <c r="P70" s="507" t="str">
        <f t="shared" si="1"/>
        <v/>
      </c>
      <c r="Q70" s="521" t="str">
        <f t="shared" si="2"/>
        <v/>
      </c>
      <c r="R70" s="522" t="str">
        <f t="shared" si="0"/>
        <v/>
      </c>
      <c r="S70" s="537" t="str">
        <f>IF(D70="","",VLOOKUP(D70,'G-6 Hedgerow Data'!$B$3:$AG$15,31,FALSE))</f>
        <v/>
      </c>
      <c r="T70" s="507" t="str">
        <f t="shared" si="3"/>
        <v/>
      </c>
      <c r="U70" s="507" t="str">
        <f t="shared" si="4"/>
        <v/>
      </c>
      <c r="V70" s="524" t="str">
        <f>IF(D70="","",VLOOKUP(S70,'G-3 Multipliers'!$P$3:$Q$6,2,FALSE))</f>
        <v/>
      </c>
      <c r="W70" s="529" t="str">
        <f t="shared" si="5"/>
        <v/>
      </c>
      <c r="X70" s="149"/>
      <c r="Y70" s="150"/>
      <c r="AG70" s="31" t="str">
        <f>IFERROR(INDEX('G-6 Hedgerow Data'!$BJ$3:$BJ$15,MATCH(D70,'G-6 Hedgerow Data'!$B$3:$B$15,0)),"")</f>
        <v/>
      </c>
    </row>
    <row r="71" spans="2:33" ht="14" x14ac:dyDescent="0.3">
      <c r="B71" s="141">
        <v>60</v>
      </c>
      <c r="C71" s="205"/>
      <c r="D71" s="195"/>
      <c r="E71" s="172"/>
      <c r="F71" s="553" t="str">
        <f>IF(D71="","",VLOOKUP(D71,'G-6 Hedgerow Data'!$B$2:$AG$15,2,FALSE))</f>
        <v/>
      </c>
      <c r="G71" s="499" t="str">
        <f>IF(D71="","",VLOOKUP(D71,'G-6 Hedgerow Data'!$B$2:$AG$15,3,FALSE))</f>
        <v/>
      </c>
      <c r="H71" s="145"/>
      <c r="I71" s="499" t="str">
        <f>IFERROR(VLOOKUP(H71,'G-1 All Habitats'!$Z$2:$AA$9,2,FALSE),"")</f>
        <v/>
      </c>
      <c r="J71" s="145"/>
      <c r="K71" s="520" t="str">
        <f>IF(J71="","",IF(VLOOKUP(J71,'G-3 Multipliers'!$L$3:$N$6,2,FALSE)=0,"Spatial Data Missing ⚠",VLOOKUP(J71,'G-3 Multipliers'!$L$3:$N$6,2,FALSE)))</f>
        <v/>
      </c>
      <c r="L71" s="505" t="str">
        <f>IF(J71="","",IF(VLOOKUP(J71,'G-3 Multipliers'!$L$3:$N$6,3,FALSE)=0,"Spatial Data Missing ⚠",VLOOKUP(J71,'G-3 Multipliers'!$L$3:$N$6,3,FALSE)))</f>
        <v/>
      </c>
      <c r="M71" s="498" t="str">
        <f>IF(OR(D71="",H71=""),"",(INDEX('G-6 Hedgerow Data'!$E$3:$I$15,MATCH(D71,'G-6 Hedgerow Data'!$B$3:$B$15,0),MATCH(H71,'G-6 Hedgerow Data'!$E$2:$I$2,0))))</f>
        <v/>
      </c>
      <c r="N71" s="195"/>
      <c r="O71" s="195"/>
      <c r="P71" s="507" t="str">
        <f t="shared" si="1"/>
        <v/>
      </c>
      <c r="Q71" s="521" t="str">
        <f t="shared" si="2"/>
        <v/>
      </c>
      <c r="R71" s="522" t="str">
        <f t="shared" si="0"/>
        <v/>
      </c>
      <c r="S71" s="537" t="str">
        <f>IF(D71="","",VLOOKUP(D71,'G-6 Hedgerow Data'!$B$3:$AG$15,31,FALSE))</f>
        <v/>
      </c>
      <c r="T71" s="507" t="str">
        <f t="shared" si="3"/>
        <v/>
      </c>
      <c r="U71" s="507" t="str">
        <f t="shared" si="4"/>
        <v/>
      </c>
      <c r="V71" s="524" t="str">
        <f>IF(D71="","",VLOOKUP(S71,'G-3 Multipliers'!$P$3:$Q$6,2,FALSE))</f>
        <v/>
      </c>
      <c r="W71" s="529" t="str">
        <f t="shared" si="5"/>
        <v/>
      </c>
      <c r="X71" s="149"/>
      <c r="Y71" s="150"/>
      <c r="AG71" s="31" t="str">
        <f>IFERROR(INDEX('G-6 Hedgerow Data'!$BJ$3:$BJ$15,MATCH(D71,'G-6 Hedgerow Data'!$B$3:$B$15,0)),"")</f>
        <v/>
      </c>
    </row>
    <row r="72" spans="2:33" ht="14" x14ac:dyDescent="0.3">
      <c r="B72" s="141">
        <v>61</v>
      </c>
      <c r="C72" s="205"/>
      <c r="D72" s="195"/>
      <c r="E72" s="172"/>
      <c r="F72" s="553" t="str">
        <f>IF(D72="","",VLOOKUP(D72,'G-6 Hedgerow Data'!$B$2:$AG$15,2,FALSE))</f>
        <v/>
      </c>
      <c r="G72" s="499" t="str">
        <f>IF(D72="","",VLOOKUP(D72,'G-6 Hedgerow Data'!$B$2:$AG$15,3,FALSE))</f>
        <v/>
      </c>
      <c r="H72" s="145"/>
      <c r="I72" s="499" t="str">
        <f>IFERROR(VLOOKUP(H72,'G-1 All Habitats'!$Z$2:$AA$9,2,FALSE),"")</f>
        <v/>
      </c>
      <c r="J72" s="145"/>
      <c r="K72" s="520" t="str">
        <f>IF(J72="","",IF(VLOOKUP(J72,'G-3 Multipliers'!$L$3:$N$6,2,FALSE)=0,"Spatial Data Missing ⚠",VLOOKUP(J72,'G-3 Multipliers'!$L$3:$N$6,2,FALSE)))</f>
        <v/>
      </c>
      <c r="L72" s="505" t="str">
        <f>IF(J72="","",IF(VLOOKUP(J72,'G-3 Multipliers'!$L$3:$N$6,3,FALSE)=0,"Spatial Data Missing ⚠",VLOOKUP(J72,'G-3 Multipliers'!$L$3:$N$6,3,FALSE)))</f>
        <v/>
      </c>
      <c r="M72" s="498" t="str">
        <f>IF(OR(D72="",H72=""),"",(INDEX('G-6 Hedgerow Data'!$E$3:$I$15,MATCH(D72,'G-6 Hedgerow Data'!$B$3:$B$15,0),MATCH(H72,'G-6 Hedgerow Data'!$E$2:$I$2,0))))</f>
        <v/>
      </c>
      <c r="N72" s="195"/>
      <c r="O72" s="195"/>
      <c r="P72" s="507" t="str">
        <f t="shared" si="1"/>
        <v/>
      </c>
      <c r="Q72" s="521" t="str">
        <f t="shared" si="2"/>
        <v/>
      </c>
      <c r="R72" s="522" t="str">
        <f t="shared" si="0"/>
        <v/>
      </c>
      <c r="S72" s="537" t="str">
        <f>IF(D72="","",VLOOKUP(D72,'G-6 Hedgerow Data'!$B$3:$AG$15,31,FALSE))</f>
        <v/>
      </c>
      <c r="T72" s="507" t="str">
        <f t="shared" si="3"/>
        <v/>
      </c>
      <c r="U72" s="507" t="str">
        <f t="shared" si="4"/>
        <v/>
      </c>
      <c r="V72" s="524" t="str">
        <f>IF(D72="","",VLOOKUP(S72,'G-3 Multipliers'!$P$3:$Q$6,2,FALSE))</f>
        <v/>
      </c>
      <c r="W72" s="529" t="str">
        <f t="shared" si="5"/>
        <v/>
      </c>
      <c r="X72" s="149"/>
      <c r="Y72" s="150"/>
      <c r="AG72" s="31" t="str">
        <f>IFERROR(INDEX('G-6 Hedgerow Data'!$BJ$3:$BJ$15,MATCH(D72,'G-6 Hedgerow Data'!$B$3:$B$15,0)),"")</f>
        <v/>
      </c>
    </row>
    <row r="73" spans="2:33" ht="14" x14ac:dyDescent="0.3">
      <c r="B73" s="141">
        <v>62</v>
      </c>
      <c r="C73" s="205"/>
      <c r="D73" s="195"/>
      <c r="E73" s="172"/>
      <c r="F73" s="553" t="str">
        <f>IF(D73="","",VLOOKUP(D73,'G-6 Hedgerow Data'!$B$2:$AG$15,2,FALSE))</f>
        <v/>
      </c>
      <c r="G73" s="499" t="str">
        <f>IF(D73="","",VLOOKUP(D73,'G-6 Hedgerow Data'!$B$2:$AG$15,3,FALSE))</f>
        <v/>
      </c>
      <c r="H73" s="145"/>
      <c r="I73" s="499" t="str">
        <f>IFERROR(VLOOKUP(H73,'G-1 All Habitats'!$Z$2:$AA$9,2,FALSE),"")</f>
        <v/>
      </c>
      <c r="J73" s="145"/>
      <c r="K73" s="520" t="str">
        <f>IF(J73="","",IF(VLOOKUP(J73,'G-3 Multipliers'!$L$3:$N$6,2,FALSE)=0,"Spatial Data Missing ⚠",VLOOKUP(J73,'G-3 Multipliers'!$L$3:$N$6,2,FALSE)))</f>
        <v/>
      </c>
      <c r="L73" s="505" t="str">
        <f>IF(J73="","",IF(VLOOKUP(J73,'G-3 Multipliers'!$L$3:$N$6,3,FALSE)=0,"Spatial Data Missing ⚠",VLOOKUP(J73,'G-3 Multipliers'!$L$3:$N$6,3,FALSE)))</f>
        <v/>
      </c>
      <c r="M73" s="498" t="str">
        <f>IF(OR(D73="",H73=""),"",(INDEX('G-6 Hedgerow Data'!$E$3:$I$15,MATCH(D73,'G-6 Hedgerow Data'!$B$3:$B$15,0),MATCH(H73,'G-6 Hedgerow Data'!$E$2:$I$2,0))))</f>
        <v/>
      </c>
      <c r="N73" s="195"/>
      <c r="O73" s="195"/>
      <c r="P73" s="507" t="str">
        <f t="shared" si="1"/>
        <v/>
      </c>
      <c r="Q73" s="521" t="str">
        <f t="shared" si="2"/>
        <v/>
      </c>
      <c r="R73" s="522" t="str">
        <f t="shared" si="0"/>
        <v/>
      </c>
      <c r="S73" s="537" t="str">
        <f>IF(D73="","",VLOOKUP(D73,'G-6 Hedgerow Data'!$B$3:$AG$15,31,FALSE))</f>
        <v/>
      </c>
      <c r="T73" s="507" t="str">
        <f t="shared" si="3"/>
        <v/>
      </c>
      <c r="U73" s="507" t="str">
        <f t="shared" si="4"/>
        <v/>
      </c>
      <c r="V73" s="524" t="str">
        <f>IF(D73="","",VLOOKUP(S73,'G-3 Multipliers'!$P$3:$Q$6,2,FALSE))</f>
        <v/>
      </c>
      <c r="W73" s="529" t="str">
        <f t="shared" si="5"/>
        <v/>
      </c>
      <c r="X73" s="149"/>
      <c r="Y73" s="150"/>
      <c r="AG73" s="31" t="str">
        <f>IFERROR(INDEX('G-6 Hedgerow Data'!$BJ$3:$BJ$15,MATCH(D73,'G-6 Hedgerow Data'!$B$3:$B$15,0)),"")</f>
        <v/>
      </c>
    </row>
    <row r="74" spans="2:33" ht="14" x14ac:dyDescent="0.3">
      <c r="B74" s="141">
        <v>63</v>
      </c>
      <c r="C74" s="205"/>
      <c r="D74" s="195"/>
      <c r="E74" s="172"/>
      <c r="F74" s="553" t="str">
        <f>IF(D74="","",VLOOKUP(D74,'G-6 Hedgerow Data'!$B$2:$AG$15,2,FALSE))</f>
        <v/>
      </c>
      <c r="G74" s="499" t="str">
        <f>IF(D74="","",VLOOKUP(D74,'G-6 Hedgerow Data'!$B$2:$AG$15,3,FALSE))</f>
        <v/>
      </c>
      <c r="H74" s="145"/>
      <c r="I74" s="499" t="str">
        <f>IFERROR(VLOOKUP(H74,'G-1 All Habitats'!$Z$2:$AA$9,2,FALSE),"")</f>
        <v/>
      </c>
      <c r="J74" s="145"/>
      <c r="K74" s="520" t="str">
        <f>IF(J74="","",IF(VLOOKUP(J74,'G-3 Multipliers'!$L$3:$N$6,2,FALSE)=0,"Spatial Data Missing ⚠",VLOOKUP(J74,'G-3 Multipliers'!$L$3:$N$6,2,FALSE)))</f>
        <v/>
      </c>
      <c r="L74" s="505" t="str">
        <f>IF(J74="","",IF(VLOOKUP(J74,'G-3 Multipliers'!$L$3:$N$6,3,FALSE)=0,"Spatial Data Missing ⚠",VLOOKUP(J74,'G-3 Multipliers'!$L$3:$N$6,3,FALSE)))</f>
        <v/>
      </c>
      <c r="M74" s="498" t="str">
        <f>IF(OR(D74="",H74=""),"",(INDEX('G-6 Hedgerow Data'!$E$3:$I$15,MATCH(D74,'G-6 Hedgerow Data'!$B$3:$B$15,0),MATCH(H74,'G-6 Hedgerow Data'!$E$2:$I$2,0))))</f>
        <v/>
      </c>
      <c r="N74" s="195"/>
      <c r="O74" s="195"/>
      <c r="P74" s="507" t="str">
        <f t="shared" si="1"/>
        <v/>
      </c>
      <c r="Q74" s="521" t="str">
        <f t="shared" si="2"/>
        <v/>
      </c>
      <c r="R74" s="522" t="str">
        <f t="shared" si="0"/>
        <v/>
      </c>
      <c r="S74" s="537" t="str">
        <f>IF(D74="","",VLOOKUP(D74,'G-6 Hedgerow Data'!$B$3:$AG$15,31,FALSE))</f>
        <v/>
      </c>
      <c r="T74" s="507" t="str">
        <f t="shared" si="3"/>
        <v/>
      </c>
      <c r="U74" s="507" t="str">
        <f t="shared" si="4"/>
        <v/>
      </c>
      <c r="V74" s="524" t="str">
        <f>IF(D74="","",VLOOKUP(S74,'G-3 Multipliers'!$P$3:$Q$6,2,FALSE))</f>
        <v/>
      </c>
      <c r="W74" s="529" t="str">
        <f t="shared" si="5"/>
        <v/>
      </c>
      <c r="X74" s="149"/>
      <c r="Y74" s="150"/>
      <c r="AG74" s="31" t="str">
        <f>IFERROR(INDEX('G-6 Hedgerow Data'!$BJ$3:$BJ$15,MATCH(D74,'G-6 Hedgerow Data'!$B$3:$B$15,0)),"")</f>
        <v/>
      </c>
    </row>
    <row r="75" spans="2:33" ht="14" x14ac:dyDescent="0.3">
      <c r="B75" s="141">
        <v>64</v>
      </c>
      <c r="C75" s="205"/>
      <c r="D75" s="195"/>
      <c r="E75" s="172"/>
      <c r="F75" s="553" t="str">
        <f>IF(D75="","",VLOOKUP(D75,'G-6 Hedgerow Data'!$B$2:$AG$15,2,FALSE))</f>
        <v/>
      </c>
      <c r="G75" s="499" t="str">
        <f>IF(D75="","",VLOOKUP(D75,'G-6 Hedgerow Data'!$B$2:$AG$15,3,FALSE))</f>
        <v/>
      </c>
      <c r="H75" s="145"/>
      <c r="I75" s="499" t="str">
        <f>IFERROR(VLOOKUP(H75,'G-1 All Habitats'!$Z$2:$AA$9,2,FALSE),"")</f>
        <v/>
      </c>
      <c r="J75" s="145"/>
      <c r="K75" s="520" t="str">
        <f>IF(J75="","",IF(VLOOKUP(J75,'G-3 Multipliers'!$L$3:$N$6,2,FALSE)=0,"Spatial Data Missing ⚠",VLOOKUP(J75,'G-3 Multipliers'!$L$3:$N$6,2,FALSE)))</f>
        <v/>
      </c>
      <c r="L75" s="505" t="str">
        <f>IF(J75="","",IF(VLOOKUP(J75,'G-3 Multipliers'!$L$3:$N$6,3,FALSE)=0,"Spatial Data Missing ⚠",VLOOKUP(J75,'G-3 Multipliers'!$L$3:$N$6,3,FALSE)))</f>
        <v/>
      </c>
      <c r="M75" s="498" t="str">
        <f>IF(OR(D75="",H75=""),"",(INDEX('G-6 Hedgerow Data'!$E$3:$I$15,MATCH(D75,'G-6 Hedgerow Data'!$B$3:$B$15,0),MATCH(H75,'G-6 Hedgerow Data'!$E$2:$I$2,0))))</f>
        <v/>
      </c>
      <c r="N75" s="195"/>
      <c r="O75" s="195"/>
      <c r="P75" s="507" t="str">
        <f t="shared" si="1"/>
        <v/>
      </c>
      <c r="Q75" s="521" t="str">
        <f t="shared" si="2"/>
        <v/>
      </c>
      <c r="R75" s="522" t="str">
        <f t="shared" si="0"/>
        <v/>
      </c>
      <c r="S75" s="537" t="str">
        <f>IF(D75="","",VLOOKUP(D75,'G-6 Hedgerow Data'!$B$3:$AG$15,31,FALSE))</f>
        <v/>
      </c>
      <c r="T75" s="507" t="str">
        <f t="shared" si="3"/>
        <v/>
      </c>
      <c r="U75" s="507" t="str">
        <f t="shared" si="4"/>
        <v/>
      </c>
      <c r="V75" s="524" t="str">
        <f>IF(D75="","",VLOOKUP(S75,'G-3 Multipliers'!$P$3:$Q$6,2,FALSE))</f>
        <v/>
      </c>
      <c r="W75" s="529" t="str">
        <f t="shared" si="5"/>
        <v/>
      </c>
      <c r="X75" s="149"/>
      <c r="Y75" s="150"/>
      <c r="AG75" s="31" t="str">
        <f>IFERROR(INDEX('G-6 Hedgerow Data'!$BJ$3:$BJ$15,MATCH(D75,'G-6 Hedgerow Data'!$B$3:$B$15,0)),"")</f>
        <v/>
      </c>
    </row>
    <row r="76" spans="2:33" ht="14" x14ac:dyDescent="0.3">
      <c r="B76" s="141">
        <v>65</v>
      </c>
      <c r="C76" s="205"/>
      <c r="D76" s="195"/>
      <c r="E76" s="172"/>
      <c r="F76" s="553" t="str">
        <f>IF(D76="","",VLOOKUP(D76,'G-6 Hedgerow Data'!$B$2:$AG$15,2,FALSE))</f>
        <v/>
      </c>
      <c r="G76" s="499" t="str">
        <f>IF(D76="","",VLOOKUP(D76,'G-6 Hedgerow Data'!$B$2:$AG$15,3,FALSE))</f>
        <v/>
      </c>
      <c r="H76" s="145"/>
      <c r="I76" s="499" t="str">
        <f>IFERROR(VLOOKUP(H76,'G-1 All Habitats'!$Z$2:$AA$9,2,FALSE),"")</f>
        <v/>
      </c>
      <c r="J76" s="145"/>
      <c r="K76" s="520" t="str">
        <f>IF(J76="","",IF(VLOOKUP(J76,'G-3 Multipliers'!$L$3:$N$6,2,FALSE)=0,"Spatial Data Missing ⚠",VLOOKUP(J76,'G-3 Multipliers'!$L$3:$N$6,2,FALSE)))</f>
        <v/>
      </c>
      <c r="L76" s="505" t="str">
        <f>IF(J76="","",IF(VLOOKUP(J76,'G-3 Multipliers'!$L$3:$N$6,3,FALSE)=0,"Spatial Data Missing ⚠",VLOOKUP(J76,'G-3 Multipliers'!$L$3:$N$6,3,FALSE)))</f>
        <v/>
      </c>
      <c r="M76" s="498" t="str">
        <f>IF(OR(D76="",H76=""),"",(INDEX('G-6 Hedgerow Data'!$E$3:$I$15,MATCH(D76,'G-6 Hedgerow Data'!$B$3:$B$15,0),MATCH(H76,'G-6 Hedgerow Data'!$E$2:$I$2,0))))</f>
        <v/>
      </c>
      <c r="N76" s="195"/>
      <c r="O76" s="195"/>
      <c r="P76" s="507" t="str">
        <f t="shared" si="1"/>
        <v/>
      </c>
      <c r="Q76" s="521" t="str">
        <f t="shared" si="2"/>
        <v/>
      </c>
      <c r="R76" s="522" t="str">
        <f t="shared" ref="R76:R139" si="6">IF(M76="","",IF(LEFT(P76,5)="Error ▲","Check Data ⚠",VLOOKUP(Q76,TemporalMultipliers,3,FALSE)))</f>
        <v/>
      </c>
      <c r="S76" s="537" t="str">
        <f>IF(D76="","",VLOOKUP(D76,'G-6 Hedgerow Data'!$B$3:$AG$15,31,FALSE))</f>
        <v/>
      </c>
      <c r="T76" s="507" t="str">
        <f t="shared" si="3"/>
        <v/>
      </c>
      <c r="U76" s="507" t="str">
        <f t="shared" si="4"/>
        <v/>
      </c>
      <c r="V76" s="524" t="str">
        <f>IF(D76="","",VLOOKUP(S76,'G-3 Multipliers'!$P$3:$Q$6,2,FALSE))</f>
        <v/>
      </c>
      <c r="W76" s="529" t="str">
        <f t="shared" si="5"/>
        <v/>
      </c>
      <c r="X76" s="149"/>
      <c r="Y76" s="150"/>
      <c r="AG76" s="31" t="str">
        <f>IFERROR(INDEX('G-6 Hedgerow Data'!$BJ$3:$BJ$15,MATCH(D76,'G-6 Hedgerow Data'!$B$3:$B$15,0)),"")</f>
        <v/>
      </c>
    </row>
    <row r="77" spans="2:33" ht="14" x14ac:dyDescent="0.3">
      <c r="B77" s="141">
        <v>66</v>
      </c>
      <c r="C77" s="205"/>
      <c r="D77" s="195"/>
      <c r="E77" s="172"/>
      <c r="F77" s="553" t="str">
        <f>IF(D77="","",VLOOKUP(D77,'G-6 Hedgerow Data'!$B$2:$AG$15,2,FALSE))</f>
        <v/>
      </c>
      <c r="G77" s="499" t="str">
        <f>IF(D77="","",VLOOKUP(D77,'G-6 Hedgerow Data'!$B$2:$AG$15,3,FALSE))</f>
        <v/>
      </c>
      <c r="H77" s="145"/>
      <c r="I77" s="499" t="str">
        <f>IFERROR(VLOOKUP(H77,'G-1 All Habitats'!$Z$2:$AA$9,2,FALSE),"")</f>
        <v/>
      </c>
      <c r="J77" s="145"/>
      <c r="K77" s="520" t="str">
        <f>IF(J77="","",IF(VLOOKUP(J77,'G-3 Multipliers'!$L$3:$N$6,2,FALSE)=0,"Spatial Data Missing ⚠",VLOOKUP(J77,'G-3 Multipliers'!$L$3:$N$6,2,FALSE)))</f>
        <v/>
      </c>
      <c r="L77" s="505" t="str">
        <f>IF(J77="","",IF(VLOOKUP(J77,'G-3 Multipliers'!$L$3:$N$6,3,FALSE)=0,"Spatial Data Missing ⚠",VLOOKUP(J77,'G-3 Multipliers'!$L$3:$N$6,3,FALSE)))</f>
        <v/>
      </c>
      <c r="M77" s="498" t="str">
        <f>IF(OR(D77="",H77=""),"",(INDEX('G-6 Hedgerow Data'!$E$3:$I$15,MATCH(D77,'G-6 Hedgerow Data'!$B$3:$B$15,0),MATCH(H77,'G-6 Hedgerow Data'!$E$2:$I$2,0))))</f>
        <v/>
      </c>
      <c r="N77" s="195"/>
      <c r="O77" s="195"/>
      <c r="P77" s="507" t="str">
        <f t="shared" ref="P77:P140" si="7">IF(M77="","",IF(AND(N77&gt;0,O77&gt;0),"Error -both advance and delayed habitat creation ▲",IF(AND(OR(N77="Habitat already in target condition",M77&lt;=N77),O77=0),"Check details - Is there evidence that habitat has reached target condition? ⚠",IF(M77="","",IF(N77&gt;0,"Check details - Is there evidence habitat creation started/in place? ⚠",IF(O77&gt;0,"Check details- Delay in starting habitat in required condition? ⚠","Standard time to target condition applied"))))))</f>
        <v/>
      </c>
      <c r="Q77" s="521" t="str">
        <f t="shared" ref="Q77:Q140" si="8">IF(M77="","",IF(LEFT(P77,5)="Error ▲","Check Data ⚠",IF(OR(N77="30+",N77="Habitat already in target condition"),0,IF(O77="30+","30+ ⚠",IF(AND(M77="30+ ⚠",OR(N77="",N77=0)),"30+ ⚠",IF(AND(M77="30+ ⚠",N77&gt;0),32-N77,IF(M77+O77&gt;30,"30+ ⚠",IF(M77+O77-N77&gt;0,M77+O77-N77,IF(M77-N77&lt;0,0,M77+O77-N77)))))))))</f>
        <v/>
      </c>
      <c r="R77" s="522" t="str">
        <f t="shared" si="6"/>
        <v/>
      </c>
      <c r="S77" s="537" t="str">
        <f>IF(D77="","",VLOOKUP(D77,'G-6 Hedgerow Data'!$B$3:$AG$15,31,FALSE))</f>
        <v/>
      </c>
      <c r="T77" s="507" t="str">
        <f t="shared" ref="T77:T140" si="9">IF(D77="","",IF(Q77="Check Data ⚠","Check Data ⚠",IF(H77="","",IF($P77="Check details - Is there evidence that habitat has reached target condition? ⚠","Low Difficulty - only applicable if all habitat created before losses ⚠","Standard difficulty applied"))))</f>
        <v/>
      </c>
      <c r="U77" s="507" t="str">
        <f t="shared" ref="U77:U140" si="10">(IF(AND(T77="Standard difficulty applied",M77&gt;N77),S77,IF(AND(T77="Low Difficulty - only applicable if all habitat created before losses ⚠",Q77&lt;=0),"Low",S77)))</f>
        <v/>
      </c>
      <c r="V77" s="524" t="str">
        <f>IF(D77="","",VLOOKUP(S77,'G-3 Multipliers'!$P$3:$Q$6,2,FALSE))</f>
        <v/>
      </c>
      <c r="W77" s="529" t="str">
        <f t="shared" ref="W77:W140" si="11">IFERROR(E77*G77*I77*L77*R77*V77,"")</f>
        <v/>
      </c>
      <c r="X77" s="149"/>
      <c r="Y77" s="150"/>
      <c r="AG77" s="31" t="str">
        <f>IFERROR(INDEX('G-6 Hedgerow Data'!$BJ$3:$BJ$15,MATCH(D77,'G-6 Hedgerow Data'!$B$3:$B$15,0)),"")</f>
        <v/>
      </c>
    </row>
    <row r="78" spans="2:33" ht="14" x14ac:dyDescent="0.3">
      <c r="B78" s="141">
        <v>67</v>
      </c>
      <c r="C78" s="205"/>
      <c r="D78" s="195"/>
      <c r="E78" s="172"/>
      <c r="F78" s="553" t="str">
        <f>IF(D78="","",VLOOKUP(D78,'G-6 Hedgerow Data'!$B$2:$AG$15,2,FALSE))</f>
        <v/>
      </c>
      <c r="G78" s="499" t="str">
        <f>IF(D78="","",VLOOKUP(D78,'G-6 Hedgerow Data'!$B$2:$AG$15,3,FALSE))</f>
        <v/>
      </c>
      <c r="H78" s="145"/>
      <c r="I78" s="499" t="str">
        <f>IFERROR(VLOOKUP(H78,'G-1 All Habitats'!$Z$2:$AA$9,2,FALSE),"")</f>
        <v/>
      </c>
      <c r="J78" s="145"/>
      <c r="K78" s="520" t="str">
        <f>IF(J78="","",IF(VLOOKUP(J78,'G-3 Multipliers'!$L$3:$N$6,2,FALSE)=0,"Spatial Data Missing ⚠",VLOOKUP(J78,'G-3 Multipliers'!$L$3:$N$6,2,FALSE)))</f>
        <v/>
      </c>
      <c r="L78" s="505" t="str">
        <f>IF(J78="","",IF(VLOOKUP(J78,'G-3 Multipliers'!$L$3:$N$6,3,FALSE)=0,"Spatial Data Missing ⚠",VLOOKUP(J78,'G-3 Multipliers'!$L$3:$N$6,3,FALSE)))</f>
        <v/>
      </c>
      <c r="M78" s="498" t="str">
        <f>IF(OR(D78="",H78=""),"",(INDEX('G-6 Hedgerow Data'!$E$3:$I$15,MATCH(D78,'G-6 Hedgerow Data'!$B$3:$B$15,0),MATCH(H78,'G-6 Hedgerow Data'!$E$2:$I$2,0))))</f>
        <v/>
      </c>
      <c r="N78" s="195"/>
      <c r="O78" s="195"/>
      <c r="P78" s="507" t="str">
        <f t="shared" si="7"/>
        <v/>
      </c>
      <c r="Q78" s="521" t="str">
        <f t="shared" si="8"/>
        <v/>
      </c>
      <c r="R78" s="522" t="str">
        <f t="shared" si="6"/>
        <v/>
      </c>
      <c r="S78" s="537" t="str">
        <f>IF(D78="","",VLOOKUP(D78,'G-6 Hedgerow Data'!$B$3:$AG$15,31,FALSE))</f>
        <v/>
      </c>
      <c r="T78" s="507" t="str">
        <f t="shared" si="9"/>
        <v/>
      </c>
      <c r="U78" s="507" t="str">
        <f t="shared" si="10"/>
        <v/>
      </c>
      <c r="V78" s="524" t="str">
        <f>IF(D78="","",VLOOKUP(S78,'G-3 Multipliers'!$P$3:$Q$6,2,FALSE))</f>
        <v/>
      </c>
      <c r="W78" s="529" t="str">
        <f t="shared" si="11"/>
        <v/>
      </c>
      <c r="X78" s="149"/>
      <c r="Y78" s="150"/>
      <c r="AG78" s="31" t="str">
        <f>IFERROR(INDEX('G-6 Hedgerow Data'!$BJ$3:$BJ$15,MATCH(D78,'G-6 Hedgerow Data'!$B$3:$B$15,0)),"")</f>
        <v/>
      </c>
    </row>
    <row r="79" spans="2:33" ht="14" x14ac:dyDescent="0.3">
      <c r="B79" s="141">
        <v>68</v>
      </c>
      <c r="C79" s="205"/>
      <c r="D79" s="195"/>
      <c r="E79" s="172"/>
      <c r="F79" s="553" t="str">
        <f>IF(D79="","",VLOOKUP(D79,'G-6 Hedgerow Data'!$B$2:$AG$15,2,FALSE))</f>
        <v/>
      </c>
      <c r="G79" s="499" t="str">
        <f>IF(D79="","",VLOOKUP(D79,'G-6 Hedgerow Data'!$B$2:$AG$15,3,FALSE))</f>
        <v/>
      </c>
      <c r="H79" s="145"/>
      <c r="I79" s="499" t="str">
        <f>IFERROR(VLOOKUP(H79,'G-1 All Habitats'!$Z$2:$AA$9,2,FALSE),"")</f>
        <v/>
      </c>
      <c r="J79" s="145"/>
      <c r="K79" s="520" t="str">
        <f>IF(J79="","",IF(VLOOKUP(J79,'G-3 Multipliers'!$L$3:$N$6,2,FALSE)=0,"Spatial Data Missing ⚠",VLOOKUP(J79,'G-3 Multipliers'!$L$3:$N$6,2,FALSE)))</f>
        <v/>
      </c>
      <c r="L79" s="505" t="str">
        <f>IF(J79="","",IF(VLOOKUP(J79,'G-3 Multipliers'!$L$3:$N$6,3,FALSE)=0,"Spatial Data Missing ⚠",VLOOKUP(J79,'G-3 Multipliers'!$L$3:$N$6,3,FALSE)))</f>
        <v/>
      </c>
      <c r="M79" s="498" t="str">
        <f>IF(OR(D79="",H79=""),"",(INDEX('G-6 Hedgerow Data'!$E$3:$I$15,MATCH(D79,'G-6 Hedgerow Data'!$B$3:$B$15,0),MATCH(H79,'G-6 Hedgerow Data'!$E$2:$I$2,0))))</f>
        <v/>
      </c>
      <c r="N79" s="195"/>
      <c r="O79" s="195"/>
      <c r="P79" s="507" t="str">
        <f t="shared" si="7"/>
        <v/>
      </c>
      <c r="Q79" s="521" t="str">
        <f t="shared" si="8"/>
        <v/>
      </c>
      <c r="R79" s="522" t="str">
        <f t="shared" si="6"/>
        <v/>
      </c>
      <c r="S79" s="537" t="str">
        <f>IF(D79="","",VLOOKUP(D79,'G-6 Hedgerow Data'!$B$3:$AG$15,31,FALSE))</f>
        <v/>
      </c>
      <c r="T79" s="507" t="str">
        <f t="shared" si="9"/>
        <v/>
      </c>
      <c r="U79" s="507" t="str">
        <f t="shared" si="10"/>
        <v/>
      </c>
      <c r="V79" s="524" t="str">
        <f>IF(D79="","",VLOOKUP(S79,'G-3 Multipliers'!$P$3:$Q$6,2,FALSE))</f>
        <v/>
      </c>
      <c r="W79" s="529" t="str">
        <f t="shared" si="11"/>
        <v/>
      </c>
      <c r="X79" s="149"/>
      <c r="Y79" s="150"/>
      <c r="AG79" s="31" t="str">
        <f>IFERROR(INDEX('G-6 Hedgerow Data'!$BJ$3:$BJ$15,MATCH(D79,'G-6 Hedgerow Data'!$B$3:$B$15,0)),"")</f>
        <v/>
      </c>
    </row>
    <row r="80" spans="2:33" ht="14" x14ac:dyDescent="0.3">
      <c r="B80" s="141">
        <v>69</v>
      </c>
      <c r="C80" s="205"/>
      <c r="D80" s="195"/>
      <c r="E80" s="172"/>
      <c r="F80" s="553" t="str">
        <f>IF(D80="","",VLOOKUP(D80,'G-6 Hedgerow Data'!$B$2:$AG$15,2,FALSE))</f>
        <v/>
      </c>
      <c r="G80" s="499" t="str">
        <f>IF(D80="","",VLOOKUP(D80,'G-6 Hedgerow Data'!$B$2:$AG$15,3,FALSE))</f>
        <v/>
      </c>
      <c r="H80" s="145"/>
      <c r="I80" s="499" t="str">
        <f>IFERROR(VLOOKUP(H80,'G-1 All Habitats'!$Z$2:$AA$9,2,FALSE),"")</f>
        <v/>
      </c>
      <c r="J80" s="145"/>
      <c r="K80" s="520" t="str">
        <f>IF(J80="","",IF(VLOOKUP(J80,'G-3 Multipliers'!$L$3:$N$6,2,FALSE)=0,"Spatial Data Missing ⚠",VLOOKUP(J80,'G-3 Multipliers'!$L$3:$N$6,2,FALSE)))</f>
        <v/>
      </c>
      <c r="L80" s="505" t="str">
        <f>IF(J80="","",IF(VLOOKUP(J80,'G-3 Multipliers'!$L$3:$N$6,3,FALSE)=0,"Spatial Data Missing ⚠",VLOOKUP(J80,'G-3 Multipliers'!$L$3:$N$6,3,FALSE)))</f>
        <v/>
      </c>
      <c r="M80" s="498" t="str">
        <f>IF(OR(D80="",H80=""),"",(INDEX('G-6 Hedgerow Data'!$E$3:$I$15,MATCH(D80,'G-6 Hedgerow Data'!$B$3:$B$15,0),MATCH(H80,'G-6 Hedgerow Data'!$E$2:$I$2,0))))</f>
        <v/>
      </c>
      <c r="N80" s="195"/>
      <c r="O80" s="195"/>
      <c r="P80" s="507" t="str">
        <f t="shared" si="7"/>
        <v/>
      </c>
      <c r="Q80" s="521" t="str">
        <f t="shared" si="8"/>
        <v/>
      </c>
      <c r="R80" s="522" t="str">
        <f t="shared" si="6"/>
        <v/>
      </c>
      <c r="S80" s="537" t="str">
        <f>IF(D80="","",VLOOKUP(D80,'G-6 Hedgerow Data'!$B$3:$AG$15,31,FALSE))</f>
        <v/>
      </c>
      <c r="T80" s="507" t="str">
        <f t="shared" si="9"/>
        <v/>
      </c>
      <c r="U80" s="507" t="str">
        <f t="shared" si="10"/>
        <v/>
      </c>
      <c r="V80" s="524" t="str">
        <f>IF(D80="","",VLOOKUP(S80,'G-3 Multipliers'!$P$3:$Q$6,2,FALSE))</f>
        <v/>
      </c>
      <c r="W80" s="529" t="str">
        <f t="shared" si="11"/>
        <v/>
      </c>
      <c r="X80" s="149"/>
      <c r="Y80" s="150"/>
      <c r="AG80" s="31" t="str">
        <f>IFERROR(INDEX('G-6 Hedgerow Data'!$BJ$3:$BJ$15,MATCH(D80,'G-6 Hedgerow Data'!$B$3:$B$15,0)),"")</f>
        <v/>
      </c>
    </row>
    <row r="81" spans="2:33" ht="14" x14ac:dyDescent="0.3">
      <c r="B81" s="141">
        <v>70</v>
      </c>
      <c r="C81" s="205"/>
      <c r="D81" s="195"/>
      <c r="E81" s="172"/>
      <c r="F81" s="553" t="str">
        <f>IF(D81="","",VLOOKUP(D81,'G-6 Hedgerow Data'!$B$2:$AG$15,2,FALSE))</f>
        <v/>
      </c>
      <c r="G81" s="499" t="str">
        <f>IF(D81="","",VLOOKUP(D81,'G-6 Hedgerow Data'!$B$2:$AG$15,3,FALSE))</f>
        <v/>
      </c>
      <c r="H81" s="145"/>
      <c r="I81" s="499" t="str">
        <f>IFERROR(VLOOKUP(H81,'G-1 All Habitats'!$Z$2:$AA$9,2,FALSE),"")</f>
        <v/>
      </c>
      <c r="J81" s="145"/>
      <c r="K81" s="520" t="str">
        <f>IF(J81="","",IF(VLOOKUP(J81,'G-3 Multipliers'!$L$3:$N$6,2,FALSE)=0,"Spatial Data Missing ⚠",VLOOKUP(J81,'G-3 Multipliers'!$L$3:$N$6,2,FALSE)))</f>
        <v/>
      </c>
      <c r="L81" s="505" t="str">
        <f>IF(J81="","",IF(VLOOKUP(J81,'G-3 Multipliers'!$L$3:$N$6,3,FALSE)=0,"Spatial Data Missing ⚠",VLOOKUP(J81,'G-3 Multipliers'!$L$3:$N$6,3,FALSE)))</f>
        <v/>
      </c>
      <c r="M81" s="498" t="str">
        <f>IF(OR(D81="",H81=""),"",(INDEX('G-6 Hedgerow Data'!$E$3:$I$15,MATCH(D81,'G-6 Hedgerow Data'!$B$3:$B$15,0),MATCH(H81,'G-6 Hedgerow Data'!$E$2:$I$2,0))))</f>
        <v/>
      </c>
      <c r="N81" s="195"/>
      <c r="O81" s="195"/>
      <c r="P81" s="507" t="str">
        <f t="shared" si="7"/>
        <v/>
      </c>
      <c r="Q81" s="521" t="str">
        <f t="shared" si="8"/>
        <v/>
      </c>
      <c r="R81" s="522" t="str">
        <f t="shared" si="6"/>
        <v/>
      </c>
      <c r="S81" s="537" t="str">
        <f>IF(D81="","",VLOOKUP(D81,'G-6 Hedgerow Data'!$B$3:$AG$15,31,FALSE))</f>
        <v/>
      </c>
      <c r="T81" s="507" t="str">
        <f t="shared" si="9"/>
        <v/>
      </c>
      <c r="U81" s="507" t="str">
        <f t="shared" si="10"/>
        <v/>
      </c>
      <c r="V81" s="524" t="str">
        <f>IF(D81="","",VLOOKUP(S81,'G-3 Multipliers'!$P$3:$Q$6,2,FALSE))</f>
        <v/>
      </c>
      <c r="W81" s="529" t="str">
        <f t="shared" si="11"/>
        <v/>
      </c>
      <c r="X81" s="149"/>
      <c r="Y81" s="150"/>
      <c r="AG81" s="31" t="str">
        <f>IFERROR(INDEX('G-6 Hedgerow Data'!$BJ$3:$BJ$15,MATCH(D81,'G-6 Hedgerow Data'!$B$3:$B$15,0)),"")</f>
        <v/>
      </c>
    </row>
    <row r="82" spans="2:33" ht="14" x14ac:dyDescent="0.3">
      <c r="B82" s="141">
        <v>71</v>
      </c>
      <c r="C82" s="205"/>
      <c r="D82" s="195"/>
      <c r="E82" s="172"/>
      <c r="F82" s="553" t="str">
        <f>IF(D82="","",VLOOKUP(D82,'G-6 Hedgerow Data'!$B$2:$AG$15,2,FALSE))</f>
        <v/>
      </c>
      <c r="G82" s="499" t="str">
        <f>IF(D82="","",VLOOKUP(D82,'G-6 Hedgerow Data'!$B$2:$AG$15,3,FALSE))</f>
        <v/>
      </c>
      <c r="H82" s="145"/>
      <c r="I82" s="499" t="str">
        <f>IFERROR(VLOOKUP(H82,'G-1 All Habitats'!$Z$2:$AA$9,2,FALSE),"")</f>
        <v/>
      </c>
      <c r="J82" s="145"/>
      <c r="K82" s="520" t="str">
        <f>IF(J82="","",IF(VLOOKUP(J82,'G-3 Multipliers'!$L$3:$N$6,2,FALSE)=0,"Spatial Data Missing ⚠",VLOOKUP(J82,'G-3 Multipliers'!$L$3:$N$6,2,FALSE)))</f>
        <v/>
      </c>
      <c r="L82" s="505" t="str">
        <f>IF(J82="","",IF(VLOOKUP(J82,'G-3 Multipliers'!$L$3:$N$6,3,FALSE)=0,"Spatial Data Missing ⚠",VLOOKUP(J82,'G-3 Multipliers'!$L$3:$N$6,3,FALSE)))</f>
        <v/>
      </c>
      <c r="M82" s="498" t="str">
        <f>IF(OR(D82="",H82=""),"",(INDEX('G-6 Hedgerow Data'!$E$3:$I$15,MATCH(D82,'G-6 Hedgerow Data'!$B$3:$B$15,0),MATCH(H82,'G-6 Hedgerow Data'!$E$2:$I$2,0))))</f>
        <v/>
      </c>
      <c r="N82" s="195"/>
      <c r="O82" s="195"/>
      <c r="P82" s="507" t="str">
        <f t="shared" si="7"/>
        <v/>
      </c>
      <c r="Q82" s="521" t="str">
        <f t="shared" si="8"/>
        <v/>
      </c>
      <c r="R82" s="522" t="str">
        <f t="shared" si="6"/>
        <v/>
      </c>
      <c r="S82" s="537" t="str">
        <f>IF(D82="","",VLOOKUP(D82,'G-6 Hedgerow Data'!$B$3:$AG$15,31,FALSE))</f>
        <v/>
      </c>
      <c r="T82" s="507" t="str">
        <f t="shared" si="9"/>
        <v/>
      </c>
      <c r="U82" s="507" t="str">
        <f t="shared" si="10"/>
        <v/>
      </c>
      <c r="V82" s="524" t="str">
        <f>IF(D82="","",VLOOKUP(S82,'G-3 Multipliers'!$P$3:$Q$6,2,FALSE))</f>
        <v/>
      </c>
      <c r="W82" s="529" t="str">
        <f t="shared" si="11"/>
        <v/>
      </c>
      <c r="X82" s="149"/>
      <c r="Y82" s="150"/>
      <c r="AG82" s="31" t="str">
        <f>IFERROR(INDEX('G-6 Hedgerow Data'!$BJ$3:$BJ$15,MATCH(D82,'G-6 Hedgerow Data'!$B$3:$B$15,0)),"")</f>
        <v/>
      </c>
    </row>
    <row r="83" spans="2:33" ht="14" x14ac:dyDescent="0.3">
      <c r="B83" s="141">
        <v>72</v>
      </c>
      <c r="C83" s="205"/>
      <c r="D83" s="195"/>
      <c r="E83" s="172"/>
      <c r="F83" s="553" t="str">
        <f>IF(D83="","",VLOOKUP(D83,'G-6 Hedgerow Data'!$B$2:$AG$15,2,FALSE))</f>
        <v/>
      </c>
      <c r="G83" s="499" t="str">
        <f>IF(D83="","",VLOOKUP(D83,'G-6 Hedgerow Data'!$B$2:$AG$15,3,FALSE))</f>
        <v/>
      </c>
      <c r="H83" s="145"/>
      <c r="I83" s="499" t="str">
        <f>IFERROR(VLOOKUP(H83,'G-1 All Habitats'!$Z$2:$AA$9,2,FALSE),"")</f>
        <v/>
      </c>
      <c r="J83" s="145"/>
      <c r="K83" s="520" t="str">
        <f>IF(J83="","",IF(VLOOKUP(J83,'G-3 Multipliers'!$L$3:$N$6,2,FALSE)=0,"Spatial Data Missing ⚠",VLOOKUP(J83,'G-3 Multipliers'!$L$3:$N$6,2,FALSE)))</f>
        <v/>
      </c>
      <c r="L83" s="505" t="str">
        <f>IF(J83="","",IF(VLOOKUP(J83,'G-3 Multipliers'!$L$3:$N$6,3,FALSE)=0,"Spatial Data Missing ⚠",VLOOKUP(J83,'G-3 Multipliers'!$L$3:$N$6,3,FALSE)))</f>
        <v/>
      </c>
      <c r="M83" s="498" t="str">
        <f>IF(OR(D83="",H83=""),"",(INDEX('G-6 Hedgerow Data'!$E$3:$I$15,MATCH(D83,'G-6 Hedgerow Data'!$B$3:$B$15,0),MATCH(H83,'G-6 Hedgerow Data'!$E$2:$I$2,0))))</f>
        <v/>
      </c>
      <c r="N83" s="195"/>
      <c r="O83" s="195"/>
      <c r="P83" s="507" t="str">
        <f t="shared" si="7"/>
        <v/>
      </c>
      <c r="Q83" s="521" t="str">
        <f t="shared" si="8"/>
        <v/>
      </c>
      <c r="R83" s="522" t="str">
        <f t="shared" si="6"/>
        <v/>
      </c>
      <c r="S83" s="537" t="str">
        <f>IF(D83="","",VLOOKUP(D83,'G-6 Hedgerow Data'!$B$3:$AG$15,31,FALSE))</f>
        <v/>
      </c>
      <c r="T83" s="507" t="str">
        <f t="shared" si="9"/>
        <v/>
      </c>
      <c r="U83" s="507" t="str">
        <f t="shared" si="10"/>
        <v/>
      </c>
      <c r="V83" s="524" t="str">
        <f>IF(D83="","",VLOOKUP(S83,'G-3 Multipliers'!$P$3:$Q$6,2,FALSE))</f>
        <v/>
      </c>
      <c r="W83" s="529" t="str">
        <f t="shared" si="11"/>
        <v/>
      </c>
      <c r="X83" s="149"/>
      <c r="Y83" s="150"/>
      <c r="AG83" s="31" t="str">
        <f>IFERROR(INDEX('G-6 Hedgerow Data'!$BJ$3:$BJ$15,MATCH(D83,'G-6 Hedgerow Data'!$B$3:$B$15,0)),"")</f>
        <v/>
      </c>
    </row>
    <row r="84" spans="2:33" ht="14" x14ac:dyDescent="0.3">
      <c r="B84" s="141">
        <v>73</v>
      </c>
      <c r="C84" s="205"/>
      <c r="D84" s="195"/>
      <c r="E84" s="172"/>
      <c r="F84" s="553" t="str">
        <f>IF(D84="","",VLOOKUP(D84,'G-6 Hedgerow Data'!$B$2:$AG$15,2,FALSE))</f>
        <v/>
      </c>
      <c r="G84" s="499" t="str">
        <f>IF(D84="","",VLOOKUP(D84,'G-6 Hedgerow Data'!$B$2:$AG$15,3,FALSE))</f>
        <v/>
      </c>
      <c r="H84" s="145"/>
      <c r="I84" s="499" t="str">
        <f>IFERROR(VLOOKUP(H84,'G-1 All Habitats'!$Z$2:$AA$9,2,FALSE),"")</f>
        <v/>
      </c>
      <c r="J84" s="145"/>
      <c r="K84" s="520" t="str">
        <f>IF(J84="","",IF(VLOOKUP(J84,'G-3 Multipliers'!$L$3:$N$6,2,FALSE)=0,"Spatial Data Missing ⚠",VLOOKUP(J84,'G-3 Multipliers'!$L$3:$N$6,2,FALSE)))</f>
        <v/>
      </c>
      <c r="L84" s="505" t="str">
        <f>IF(J84="","",IF(VLOOKUP(J84,'G-3 Multipliers'!$L$3:$N$6,3,FALSE)=0,"Spatial Data Missing ⚠",VLOOKUP(J84,'G-3 Multipliers'!$L$3:$N$6,3,FALSE)))</f>
        <v/>
      </c>
      <c r="M84" s="498" t="str">
        <f>IF(OR(D84="",H84=""),"",(INDEX('G-6 Hedgerow Data'!$E$3:$I$15,MATCH(D84,'G-6 Hedgerow Data'!$B$3:$B$15,0),MATCH(H84,'G-6 Hedgerow Data'!$E$2:$I$2,0))))</f>
        <v/>
      </c>
      <c r="N84" s="195"/>
      <c r="O84" s="195"/>
      <c r="P84" s="507" t="str">
        <f t="shared" si="7"/>
        <v/>
      </c>
      <c r="Q84" s="521" t="str">
        <f t="shared" si="8"/>
        <v/>
      </c>
      <c r="R84" s="522" t="str">
        <f t="shared" si="6"/>
        <v/>
      </c>
      <c r="S84" s="537" t="str">
        <f>IF(D84="","",VLOOKUP(D84,'G-6 Hedgerow Data'!$B$3:$AG$15,31,FALSE))</f>
        <v/>
      </c>
      <c r="T84" s="507" t="str">
        <f t="shared" si="9"/>
        <v/>
      </c>
      <c r="U84" s="507" t="str">
        <f t="shared" si="10"/>
        <v/>
      </c>
      <c r="V84" s="524" t="str">
        <f>IF(D84="","",VLOOKUP(S84,'G-3 Multipliers'!$P$3:$Q$6,2,FALSE))</f>
        <v/>
      </c>
      <c r="W84" s="529" t="str">
        <f t="shared" si="11"/>
        <v/>
      </c>
      <c r="X84" s="149"/>
      <c r="Y84" s="150"/>
      <c r="AG84" s="31" t="str">
        <f>IFERROR(INDEX('G-6 Hedgerow Data'!$BJ$3:$BJ$15,MATCH(D84,'G-6 Hedgerow Data'!$B$3:$B$15,0)),"")</f>
        <v/>
      </c>
    </row>
    <row r="85" spans="2:33" ht="14" x14ac:dyDescent="0.3">
      <c r="B85" s="141">
        <v>74</v>
      </c>
      <c r="C85" s="205"/>
      <c r="D85" s="195"/>
      <c r="E85" s="172"/>
      <c r="F85" s="553" t="str">
        <f>IF(D85="","",VLOOKUP(D85,'G-6 Hedgerow Data'!$B$2:$AG$15,2,FALSE))</f>
        <v/>
      </c>
      <c r="G85" s="499" t="str">
        <f>IF(D85="","",VLOOKUP(D85,'G-6 Hedgerow Data'!$B$2:$AG$15,3,FALSE))</f>
        <v/>
      </c>
      <c r="H85" s="145"/>
      <c r="I85" s="499" t="str">
        <f>IFERROR(VLOOKUP(H85,'G-1 All Habitats'!$Z$2:$AA$9,2,FALSE),"")</f>
        <v/>
      </c>
      <c r="J85" s="145"/>
      <c r="K85" s="520" t="str">
        <f>IF(J85="","",IF(VLOOKUP(J85,'G-3 Multipliers'!$L$3:$N$6,2,FALSE)=0,"Spatial Data Missing ⚠",VLOOKUP(J85,'G-3 Multipliers'!$L$3:$N$6,2,FALSE)))</f>
        <v/>
      </c>
      <c r="L85" s="505" t="str">
        <f>IF(J85="","",IF(VLOOKUP(J85,'G-3 Multipliers'!$L$3:$N$6,3,FALSE)=0,"Spatial Data Missing ⚠",VLOOKUP(J85,'G-3 Multipliers'!$L$3:$N$6,3,FALSE)))</f>
        <v/>
      </c>
      <c r="M85" s="498" t="str">
        <f>IF(OR(D85="",H85=""),"",(INDEX('G-6 Hedgerow Data'!$E$3:$I$15,MATCH(D85,'G-6 Hedgerow Data'!$B$3:$B$15,0),MATCH(H85,'G-6 Hedgerow Data'!$E$2:$I$2,0))))</f>
        <v/>
      </c>
      <c r="N85" s="195"/>
      <c r="O85" s="195"/>
      <c r="P85" s="507" t="str">
        <f t="shared" si="7"/>
        <v/>
      </c>
      <c r="Q85" s="521" t="str">
        <f t="shared" si="8"/>
        <v/>
      </c>
      <c r="R85" s="522" t="str">
        <f t="shared" si="6"/>
        <v/>
      </c>
      <c r="S85" s="537" t="str">
        <f>IF(D85="","",VLOOKUP(D85,'G-6 Hedgerow Data'!$B$3:$AG$15,31,FALSE))</f>
        <v/>
      </c>
      <c r="T85" s="507" t="str">
        <f t="shared" si="9"/>
        <v/>
      </c>
      <c r="U85" s="507" t="str">
        <f t="shared" si="10"/>
        <v/>
      </c>
      <c r="V85" s="524" t="str">
        <f>IF(D85="","",VLOOKUP(S85,'G-3 Multipliers'!$P$3:$Q$6,2,FALSE))</f>
        <v/>
      </c>
      <c r="W85" s="529" t="str">
        <f t="shared" si="11"/>
        <v/>
      </c>
      <c r="X85" s="149"/>
      <c r="Y85" s="150"/>
      <c r="AG85" s="31" t="str">
        <f>IFERROR(INDEX('G-6 Hedgerow Data'!$BJ$3:$BJ$15,MATCH(D85,'G-6 Hedgerow Data'!$B$3:$B$15,0)),"")</f>
        <v/>
      </c>
    </row>
    <row r="86" spans="2:33" ht="14" x14ac:dyDescent="0.3">
      <c r="B86" s="141">
        <v>75</v>
      </c>
      <c r="C86" s="205"/>
      <c r="D86" s="195"/>
      <c r="E86" s="172"/>
      <c r="F86" s="553" t="str">
        <f>IF(D86="","",VLOOKUP(D86,'G-6 Hedgerow Data'!$B$2:$AG$15,2,FALSE))</f>
        <v/>
      </c>
      <c r="G86" s="499" t="str">
        <f>IF(D86="","",VLOOKUP(D86,'G-6 Hedgerow Data'!$B$2:$AG$15,3,FALSE))</f>
        <v/>
      </c>
      <c r="H86" s="145"/>
      <c r="I86" s="499" t="str">
        <f>IFERROR(VLOOKUP(H86,'G-1 All Habitats'!$Z$2:$AA$9,2,FALSE),"")</f>
        <v/>
      </c>
      <c r="J86" s="145"/>
      <c r="K86" s="520" t="str">
        <f>IF(J86="","",IF(VLOOKUP(J86,'G-3 Multipliers'!$L$3:$N$6,2,FALSE)=0,"Spatial Data Missing ⚠",VLOOKUP(J86,'G-3 Multipliers'!$L$3:$N$6,2,FALSE)))</f>
        <v/>
      </c>
      <c r="L86" s="505" t="str">
        <f>IF(J86="","",IF(VLOOKUP(J86,'G-3 Multipliers'!$L$3:$N$6,3,FALSE)=0,"Spatial Data Missing ⚠",VLOOKUP(J86,'G-3 Multipliers'!$L$3:$N$6,3,FALSE)))</f>
        <v/>
      </c>
      <c r="M86" s="498" t="str">
        <f>IF(OR(D86="",H86=""),"",(INDEX('G-6 Hedgerow Data'!$E$3:$I$15,MATCH(D86,'G-6 Hedgerow Data'!$B$3:$B$15,0),MATCH(H86,'G-6 Hedgerow Data'!$E$2:$I$2,0))))</f>
        <v/>
      </c>
      <c r="N86" s="195"/>
      <c r="O86" s="195"/>
      <c r="P86" s="507" t="str">
        <f t="shared" si="7"/>
        <v/>
      </c>
      <c r="Q86" s="521" t="str">
        <f t="shared" si="8"/>
        <v/>
      </c>
      <c r="R86" s="522" t="str">
        <f t="shared" si="6"/>
        <v/>
      </c>
      <c r="S86" s="537" t="str">
        <f>IF(D86="","",VLOOKUP(D86,'G-6 Hedgerow Data'!$B$3:$AG$15,31,FALSE))</f>
        <v/>
      </c>
      <c r="T86" s="507" t="str">
        <f t="shared" si="9"/>
        <v/>
      </c>
      <c r="U86" s="507" t="str">
        <f t="shared" si="10"/>
        <v/>
      </c>
      <c r="V86" s="524" t="str">
        <f>IF(D86="","",VLOOKUP(S86,'G-3 Multipliers'!$P$3:$Q$6,2,FALSE))</f>
        <v/>
      </c>
      <c r="W86" s="529" t="str">
        <f t="shared" si="11"/>
        <v/>
      </c>
      <c r="X86" s="149"/>
      <c r="Y86" s="150"/>
      <c r="AG86" s="31" t="str">
        <f>IFERROR(INDEX('G-6 Hedgerow Data'!$BJ$3:$BJ$15,MATCH(D86,'G-6 Hedgerow Data'!$B$3:$B$15,0)),"")</f>
        <v/>
      </c>
    </row>
    <row r="87" spans="2:33" ht="14" x14ac:dyDescent="0.3">
      <c r="B87" s="141">
        <v>76</v>
      </c>
      <c r="C87" s="205"/>
      <c r="D87" s="195"/>
      <c r="E87" s="172"/>
      <c r="F87" s="553" t="str">
        <f>IF(D87="","",VLOOKUP(D87,'G-6 Hedgerow Data'!$B$2:$AG$15,2,FALSE))</f>
        <v/>
      </c>
      <c r="G87" s="499" t="str">
        <f>IF(D87="","",VLOOKUP(D87,'G-6 Hedgerow Data'!$B$2:$AG$15,3,FALSE))</f>
        <v/>
      </c>
      <c r="H87" s="145"/>
      <c r="I87" s="499" t="str">
        <f>IFERROR(VLOOKUP(H87,'G-1 All Habitats'!$Z$2:$AA$9,2,FALSE),"")</f>
        <v/>
      </c>
      <c r="J87" s="145"/>
      <c r="K87" s="520" t="str">
        <f>IF(J87="","",IF(VLOOKUP(J87,'G-3 Multipliers'!$L$3:$N$6,2,FALSE)=0,"Spatial Data Missing ⚠",VLOOKUP(J87,'G-3 Multipliers'!$L$3:$N$6,2,FALSE)))</f>
        <v/>
      </c>
      <c r="L87" s="505" t="str">
        <f>IF(J87="","",IF(VLOOKUP(J87,'G-3 Multipliers'!$L$3:$N$6,3,FALSE)=0,"Spatial Data Missing ⚠",VLOOKUP(J87,'G-3 Multipliers'!$L$3:$N$6,3,FALSE)))</f>
        <v/>
      </c>
      <c r="M87" s="498" t="str">
        <f>IF(OR(D87="",H87=""),"",(INDEX('G-6 Hedgerow Data'!$E$3:$I$15,MATCH(D87,'G-6 Hedgerow Data'!$B$3:$B$15,0),MATCH(H87,'G-6 Hedgerow Data'!$E$2:$I$2,0))))</f>
        <v/>
      </c>
      <c r="N87" s="195"/>
      <c r="O87" s="195"/>
      <c r="P87" s="507" t="str">
        <f t="shared" si="7"/>
        <v/>
      </c>
      <c r="Q87" s="521" t="str">
        <f t="shared" si="8"/>
        <v/>
      </c>
      <c r="R87" s="522" t="str">
        <f t="shared" si="6"/>
        <v/>
      </c>
      <c r="S87" s="537" t="str">
        <f>IF(D87="","",VLOOKUP(D87,'G-6 Hedgerow Data'!$B$3:$AG$15,31,FALSE))</f>
        <v/>
      </c>
      <c r="T87" s="507" t="str">
        <f t="shared" si="9"/>
        <v/>
      </c>
      <c r="U87" s="507" t="str">
        <f t="shared" si="10"/>
        <v/>
      </c>
      <c r="V87" s="524" t="str">
        <f>IF(D87="","",VLOOKUP(S87,'G-3 Multipliers'!$P$3:$Q$6,2,FALSE))</f>
        <v/>
      </c>
      <c r="W87" s="529" t="str">
        <f t="shared" si="11"/>
        <v/>
      </c>
      <c r="X87" s="149"/>
      <c r="Y87" s="150"/>
      <c r="AG87" s="31" t="str">
        <f>IFERROR(INDEX('G-6 Hedgerow Data'!$BJ$3:$BJ$15,MATCH(D87,'G-6 Hedgerow Data'!$B$3:$B$15,0)),"")</f>
        <v/>
      </c>
    </row>
    <row r="88" spans="2:33" ht="14" x14ac:dyDescent="0.3">
      <c r="B88" s="141">
        <v>77</v>
      </c>
      <c r="C88" s="205"/>
      <c r="D88" s="195"/>
      <c r="E88" s="172"/>
      <c r="F88" s="553" t="str">
        <f>IF(D88="","",VLOOKUP(D88,'G-6 Hedgerow Data'!$B$2:$AG$15,2,FALSE))</f>
        <v/>
      </c>
      <c r="G88" s="499" t="str">
        <f>IF(D88="","",VLOOKUP(D88,'G-6 Hedgerow Data'!$B$2:$AG$15,3,FALSE))</f>
        <v/>
      </c>
      <c r="H88" s="145"/>
      <c r="I88" s="499" t="str">
        <f>IFERROR(VLOOKUP(H88,'G-1 All Habitats'!$Z$2:$AA$9,2,FALSE),"")</f>
        <v/>
      </c>
      <c r="J88" s="145"/>
      <c r="K88" s="520" t="str">
        <f>IF(J88="","",IF(VLOOKUP(J88,'G-3 Multipliers'!$L$3:$N$6,2,FALSE)=0,"Spatial Data Missing ⚠",VLOOKUP(J88,'G-3 Multipliers'!$L$3:$N$6,2,FALSE)))</f>
        <v/>
      </c>
      <c r="L88" s="505" t="str">
        <f>IF(J88="","",IF(VLOOKUP(J88,'G-3 Multipliers'!$L$3:$N$6,3,FALSE)=0,"Spatial Data Missing ⚠",VLOOKUP(J88,'G-3 Multipliers'!$L$3:$N$6,3,FALSE)))</f>
        <v/>
      </c>
      <c r="M88" s="498" t="str">
        <f>IF(OR(D88="",H88=""),"",(INDEX('G-6 Hedgerow Data'!$E$3:$I$15,MATCH(D88,'G-6 Hedgerow Data'!$B$3:$B$15,0),MATCH(H88,'G-6 Hedgerow Data'!$E$2:$I$2,0))))</f>
        <v/>
      </c>
      <c r="N88" s="195"/>
      <c r="O88" s="195"/>
      <c r="P88" s="507" t="str">
        <f t="shared" si="7"/>
        <v/>
      </c>
      <c r="Q88" s="521" t="str">
        <f t="shared" si="8"/>
        <v/>
      </c>
      <c r="R88" s="522" t="str">
        <f t="shared" si="6"/>
        <v/>
      </c>
      <c r="S88" s="537" t="str">
        <f>IF(D88="","",VLOOKUP(D88,'G-6 Hedgerow Data'!$B$3:$AG$15,31,FALSE))</f>
        <v/>
      </c>
      <c r="T88" s="507" t="str">
        <f t="shared" si="9"/>
        <v/>
      </c>
      <c r="U88" s="507" t="str">
        <f t="shared" si="10"/>
        <v/>
      </c>
      <c r="V88" s="524" t="str">
        <f>IF(D88="","",VLOOKUP(S88,'G-3 Multipliers'!$P$3:$Q$6,2,FALSE))</f>
        <v/>
      </c>
      <c r="W88" s="529" t="str">
        <f t="shared" si="11"/>
        <v/>
      </c>
      <c r="X88" s="149"/>
      <c r="Y88" s="150"/>
      <c r="AG88" s="31" t="str">
        <f>IFERROR(INDEX('G-6 Hedgerow Data'!$BJ$3:$BJ$15,MATCH(D88,'G-6 Hedgerow Data'!$B$3:$B$15,0)),"")</f>
        <v/>
      </c>
    </row>
    <row r="89" spans="2:33" ht="14" x14ac:dyDescent="0.3">
      <c r="B89" s="141">
        <v>78</v>
      </c>
      <c r="C89" s="205"/>
      <c r="D89" s="195"/>
      <c r="E89" s="172"/>
      <c r="F89" s="553" t="str">
        <f>IF(D89="","",VLOOKUP(D89,'G-6 Hedgerow Data'!$B$2:$AG$15,2,FALSE))</f>
        <v/>
      </c>
      <c r="G89" s="499" t="str">
        <f>IF(D89="","",VLOOKUP(D89,'G-6 Hedgerow Data'!$B$2:$AG$15,3,FALSE))</f>
        <v/>
      </c>
      <c r="H89" s="145"/>
      <c r="I89" s="499" t="str">
        <f>IFERROR(VLOOKUP(H89,'G-1 All Habitats'!$Z$2:$AA$9,2,FALSE),"")</f>
        <v/>
      </c>
      <c r="J89" s="145"/>
      <c r="K89" s="520" t="str">
        <f>IF(J89="","",IF(VLOOKUP(J89,'G-3 Multipliers'!$L$3:$N$6,2,FALSE)=0,"Spatial Data Missing ⚠",VLOOKUP(J89,'G-3 Multipliers'!$L$3:$N$6,2,FALSE)))</f>
        <v/>
      </c>
      <c r="L89" s="505" t="str">
        <f>IF(J89="","",IF(VLOOKUP(J89,'G-3 Multipliers'!$L$3:$N$6,3,FALSE)=0,"Spatial Data Missing ⚠",VLOOKUP(J89,'G-3 Multipliers'!$L$3:$N$6,3,FALSE)))</f>
        <v/>
      </c>
      <c r="M89" s="498" t="str">
        <f>IF(OR(D89="",H89=""),"",(INDEX('G-6 Hedgerow Data'!$E$3:$I$15,MATCH(D89,'G-6 Hedgerow Data'!$B$3:$B$15,0),MATCH(H89,'G-6 Hedgerow Data'!$E$2:$I$2,0))))</f>
        <v/>
      </c>
      <c r="N89" s="195"/>
      <c r="O89" s="195"/>
      <c r="P89" s="507" t="str">
        <f t="shared" si="7"/>
        <v/>
      </c>
      <c r="Q89" s="521" t="str">
        <f t="shared" si="8"/>
        <v/>
      </c>
      <c r="R89" s="522" t="str">
        <f t="shared" si="6"/>
        <v/>
      </c>
      <c r="S89" s="537" t="str">
        <f>IF(D89="","",VLOOKUP(D89,'G-6 Hedgerow Data'!$B$3:$AG$15,31,FALSE))</f>
        <v/>
      </c>
      <c r="T89" s="507" t="str">
        <f t="shared" si="9"/>
        <v/>
      </c>
      <c r="U89" s="507" t="str">
        <f t="shared" si="10"/>
        <v/>
      </c>
      <c r="V89" s="524" t="str">
        <f>IF(D89="","",VLOOKUP(S89,'G-3 Multipliers'!$P$3:$Q$6,2,FALSE))</f>
        <v/>
      </c>
      <c r="W89" s="529" t="str">
        <f t="shared" si="11"/>
        <v/>
      </c>
      <c r="X89" s="149"/>
      <c r="Y89" s="150"/>
      <c r="AG89" s="31" t="str">
        <f>IFERROR(INDEX('G-6 Hedgerow Data'!$BJ$3:$BJ$15,MATCH(D89,'G-6 Hedgerow Data'!$B$3:$B$15,0)),"")</f>
        <v/>
      </c>
    </row>
    <row r="90" spans="2:33" ht="14" x14ac:dyDescent="0.3">
      <c r="B90" s="141">
        <v>79</v>
      </c>
      <c r="C90" s="205"/>
      <c r="D90" s="195"/>
      <c r="E90" s="172"/>
      <c r="F90" s="553" t="str">
        <f>IF(D90="","",VLOOKUP(D90,'G-6 Hedgerow Data'!$B$2:$AG$15,2,FALSE))</f>
        <v/>
      </c>
      <c r="G90" s="499" t="str">
        <f>IF(D90="","",VLOOKUP(D90,'G-6 Hedgerow Data'!$B$2:$AG$15,3,FALSE))</f>
        <v/>
      </c>
      <c r="H90" s="145"/>
      <c r="I90" s="499" t="str">
        <f>IFERROR(VLOOKUP(H90,'G-1 All Habitats'!$Z$2:$AA$9,2,FALSE),"")</f>
        <v/>
      </c>
      <c r="J90" s="145"/>
      <c r="K90" s="520" t="str">
        <f>IF(J90="","",IF(VLOOKUP(J90,'G-3 Multipliers'!$L$3:$N$6,2,FALSE)=0,"Spatial Data Missing ⚠",VLOOKUP(J90,'G-3 Multipliers'!$L$3:$N$6,2,FALSE)))</f>
        <v/>
      </c>
      <c r="L90" s="505" t="str">
        <f>IF(J90="","",IF(VLOOKUP(J90,'G-3 Multipliers'!$L$3:$N$6,3,FALSE)=0,"Spatial Data Missing ⚠",VLOOKUP(J90,'G-3 Multipliers'!$L$3:$N$6,3,FALSE)))</f>
        <v/>
      </c>
      <c r="M90" s="498" t="str">
        <f>IF(OR(D90="",H90=""),"",(INDEX('G-6 Hedgerow Data'!$E$3:$I$15,MATCH(D90,'G-6 Hedgerow Data'!$B$3:$B$15,0),MATCH(H90,'G-6 Hedgerow Data'!$E$2:$I$2,0))))</f>
        <v/>
      </c>
      <c r="N90" s="195"/>
      <c r="O90" s="195"/>
      <c r="P90" s="507" t="str">
        <f t="shared" si="7"/>
        <v/>
      </c>
      <c r="Q90" s="521" t="str">
        <f t="shared" si="8"/>
        <v/>
      </c>
      <c r="R90" s="522" t="str">
        <f t="shared" si="6"/>
        <v/>
      </c>
      <c r="S90" s="537" t="str">
        <f>IF(D90="","",VLOOKUP(D90,'G-6 Hedgerow Data'!$B$3:$AG$15,31,FALSE))</f>
        <v/>
      </c>
      <c r="T90" s="507" t="str">
        <f t="shared" si="9"/>
        <v/>
      </c>
      <c r="U90" s="507" t="str">
        <f t="shared" si="10"/>
        <v/>
      </c>
      <c r="V90" s="524" t="str">
        <f>IF(D90="","",VLOOKUP(S90,'G-3 Multipliers'!$P$3:$Q$6,2,FALSE))</f>
        <v/>
      </c>
      <c r="W90" s="529" t="str">
        <f t="shared" si="11"/>
        <v/>
      </c>
      <c r="X90" s="149"/>
      <c r="Y90" s="150"/>
      <c r="AG90" s="31" t="str">
        <f>IFERROR(INDEX('G-6 Hedgerow Data'!$BJ$3:$BJ$15,MATCH(D90,'G-6 Hedgerow Data'!$B$3:$B$15,0)),"")</f>
        <v/>
      </c>
    </row>
    <row r="91" spans="2:33" ht="14" x14ac:dyDescent="0.3">
      <c r="B91" s="141">
        <v>80</v>
      </c>
      <c r="C91" s="205"/>
      <c r="D91" s="195"/>
      <c r="E91" s="172"/>
      <c r="F91" s="553" t="str">
        <f>IF(D91="","",VLOOKUP(D91,'G-6 Hedgerow Data'!$B$2:$AG$15,2,FALSE))</f>
        <v/>
      </c>
      <c r="G91" s="499" t="str">
        <f>IF(D91="","",VLOOKUP(D91,'G-6 Hedgerow Data'!$B$2:$AG$15,3,FALSE))</f>
        <v/>
      </c>
      <c r="H91" s="145"/>
      <c r="I91" s="499" t="str">
        <f>IFERROR(VLOOKUP(H91,'G-1 All Habitats'!$Z$2:$AA$9,2,FALSE),"")</f>
        <v/>
      </c>
      <c r="J91" s="145"/>
      <c r="K91" s="520" t="str">
        <f>IF(J91="","",IF(VLOOKUP(J91,'G-3 Multipliers'!$L$3:$N$6,2,FALSE)=0,"Spatial Data Missing ⚠",VLOOKUP(J91,'G-3 Multipliers'!$L$3:$N$6,2,FALSE)))</f>
        <v/>
      </c>
      <c r="L91" s="505" t="str">
        <f>IF(J91="","",IF(VLOOKUP(J91,'G-3 Multipliers'!$L$3:$N$6,3,FALSE)=0,"Spatial Data Missing ⚠",VLOOKUP(J91,'G-3 Multipliers'!$L$3:$N$6,3,FALSE)))</f>
        <v/>
      </c>
      <c r="M91" s="498" t="str">
        <f>IF(OR(D91="",H91=""),"",(INDEX('G-6 Hedgerow Data'!$E$3:$I$15,MATCH(D91,'G-6 Hedgerow Data'!$B$3:$B$15,0),MATCH(H91,'G-6 Hedgerow Data'!$E$2:$I$2,0))))</f>
        <v/>
      </c>
      <c r="N91" s="195"/>
      <c r="O91" s="195"/>
      <c r="P91" s="507" t="str">
        <f t="shared" si="7"/>
        <v/>
      </c>
      <c r="Q91" s="521" t="str">
        <f t="shared" si="8"/>
        <v/>
      </c>
      <c r="R91" s="522" t="str">
        <f t="shared" si="6"/>
        <v/>
      </c>
      <c r="S91" s="537" t="str">
        <f>IF(D91="","",VLOOKUP(D91,'G-6 Hedgerow Data'!$B$3:$AG$15,31,FALSE))</f>
        <v/>
      </c>
      <c r="T91" s="507" t="str">
        <f t="shared" si="9"/>
        <v/>
      </c>
      <c r="U91" s="507" t="str">
        <f t="shared" si="10"/>
        <v/>
      </c>
      <c r="V91" s="524" t="str">
        <f>IF(D91="","",VLOOKUP(S91,'G-3 Multipliers'!$P$3:$Q$6,2,FALSE))</f>
        <v/>
      </c>
      <c r="W91" s="529" t="str">
        <f t="shared" si="11"/>
        <v/>
      </c>
      <c r="X91" s="149"/>
      <c r="Y91" s="150"/>
      <c r="AG91" s="31" t="str">
        <f>IFERROR(INDEX('G-6 Hedgerow Data'!$BJ$3:$BJ$15,MATCH(D91,'G-6 Hedgerow Data'!$B$3:$B$15,0)),"")</f>
        <v/>
      </c>
    </row>
    <row r="92" spans="2:33" ht="14" x14ac:dyDescent="0.3">
      <c r="B92" s="141">
        <v>81</v>
      </c>
      <c r="C92" s="205"/>
      <c r="D92" s="195"/>
      <c r="E92" s="172"/>
      <c r="F92" s="553" t="str">
        <f>IF(D92="","",VLOOKUP(D92,'G-6 Hedgerow Data'!$B$2:$AG$15,2,FALSE))</f>
        <v/>
      </c>
      <c r="G92" s="499" t="str">
        <f>IF(D92="","",VLOOKUP(D92,'G-6 Hedgerow Data'!$B$2:$AG$15,3,FALSE))</f>
        <v/>
      </c>
      <c r="H92" s="145"/>
      <c r="I92" s="499" t="str">
        <f>IFERROR(VLOOKUP(H92,'G-1 All Habitats'!$Z$2:$AA$9,2,FALSE),"")</f>
        <v/>
      </c>
      <c r="J92" s="145"/>
      <c r="K92" s="520" t="str">
        <f>IF(J92="","",IF(VLOOKUP(J92,'G-3 Multipliers'!$L$3:$N$6,2,FALSE)=0,"Spatial Data Missing ⚠",VLOOKUP(J92,'G-3 Multipliers'!$L$3:$N$6,2,FALSE)))</f>
        <v/>
      </c>
      <c r="L92" s="505" t="str">
        <f>IF(J92="","",IF(VLOOKUP(J92,'G-3 Multipliers'!$L$3:$N$6,3,FALSE)=0,"Spatial Data Missing ⚠",VLOOKUP(J92,'G-3 Multipliers'!$L$3:$N$6,3,FALSE)))</f>
        <v/>
      </c>
      <c r="M92" s="498" t="str">
        <f>IF(OR(D92="",H92=""),"",(INDEX('G-6 Hedgerow Data'!$E$3:$I$15,MATCH(D92,'G-6 Hedgerow Data'!$B$3:$B$15,0),MATCH(H92,'G-6 Hedgerow Data'!$E$2:$I$2,0))))</f>
        <v/>
      </c>
      <c r="N92" s="195"/>
      <c r="O92" s="195"/>
      <c r="P92" s="507" t="str">
        <f t="shared" si="7"/>
        <v/>
      </c>
      <c r="Q92" s="521" t="str">
        <f t="shared" si="8"/>
        <v/>
      </c>
      <c r="R92" s="522" t="str">
        <f t="shared" si="6"/>
        <v/>
      </c>
      <c r="S92" s="537" t="str">
        <f>IF(D92="","",VLOOKUP(D92,'G-6 Hedgerow Data'!$B$3:$AG$15,31,FALSE))</f>
        <v/>
      </c>
      <c r="T92" s="507" t="str">
        <f t="shared" si="9"/>
        <v/>
      </c>
      <c r="U92" s="507" t="str">
        <f t="shared" si="10"/>
        <v/>
      </c>
      <c r="V92" s="524" t="str">
        <f>IF(D92="","",VLOOKUP(S92,'G-3 Multipliers'!$P$3:$Q$6,2,FALSE))</f>
        <v/>
      </c>
      <c r="W92" s="529" t="str">
        <f t="shared" si="11"/>
        <v/>
      </c>
      <c r="X92" s="149"/>
      <c r="Y92" s="150"/>
      <c r="AG92" s="31" t="str">
        <f>IFERROR(INDEX('G-6 Hedgerow Data'!$BJ$3:$BJ$15,MATCH(D92,'G-6 Hedgerow Data'!$B$3:$B$15,0)),"")</f>
        <v/>
      </c>
    </row>
    <row r="93" spans="2:33" ht="14" x14ac:dyDescent="0.3">
      <c r="B93" s="141">
        <v>82</v>
      </c>
      <c r="C93" s="205"/>
      <c r="D93" s="195"/>
      <c r="E93" s="172"/>
      <c r="F93" s="553" t="str">
        <f>IF(D93="","",VLOOKUP(D93,'G-6 Hedgerow Data'!$B$2:$AG$15,2,FALSE))</f>
        <v/>
      </c>
      <c r="G93" s="499" t="str">
        <f>IF(D93="","",VLOOKUP(D93,'G-6 Hedgerow Data'!$B$2:$AG$15,3,FALSE))</f>
        <v/>
      </c>
      <c r="H93" s="145"/>
      <c r="I93" s="499" t="str">
        <f>IFERROR(VLOOKUP(H93,'G-1 All Habitats'!$Z$2:$AA$9,2,FALSE),"")</f>
        <v/>
      </c>
      <c r="J93" s="145"/>
      <c r="K93" s="520" t="str">
        <f>IF(J93="","",IF(VLOOKUP(J93,'G-3 Multipliers'!$L$3:$N$6,2,FALSE)=0,"Spatial Data Missing ⚠",VLOOKUP(J93,'G-3 Multipliers'!$L$3:$N$6,2,FALSE)))</f>
        <v/>
      </c>
      <c r="L93" s="505" t="str">
        <f>IF(J93="","",IF(VLOOKUP(J93,'G-3 Multipliers'!$L$3:$N$6,3,FALSE)=0,"Spatial Data Missing ⚠",VLOOKUP(J93,'G-3 Multipliers'!$L$3:$N$6,3,FALSE)))</f>
        <v/>
      </c>
      <c r="M93" s="498" t="str">
        <f>IF(OR(D93="",H93=""),"",(INDEX('G-6 Hedgerow Data'!$E$3:$I$15,MATCH(D93,'G-6 Hedgerow Data'!$B$3:$B$15,0),MATCH(H93,'G-6 Hedgerow Data'!$E$2:$I$2,0))))</f>
        <v/>
      </c>
      <c r="N93" s="195"/>
      <c r="O93" s="195"/>
      <c r="P93" s="507" t="str">
        <f t="shared" si="7"/>
        <v/>
      </c>
      <c r="Q93" s="521" t="str">
        <f t="shared" si="8"/>
        <v/>
      </c>
      <c r="R93" s="522" t="str">
        <f t="shared" si="6"/>
        <v/>
      </c>
      <c r="S93" s="537" t="str">
        <f>IF(D93="","",VLOOKUP(D93,'G-6 Hedgerow Data'!$B$3:$AG$15,31,FALSE))</f>
        <v/>
      </c>
      <c r="T93" s="507" t="str">
        <f t="shared" si="9"/>
        <v/>
      </c>
      <c r="U93" s="507" t="str">
        <f t="shared" si="10"/>
        <v/>
      </c>
      <c r="V93" s="524" t="str">
        <f>IF(D93="","",VLOOKUP(S93,'G-3 Multipliers'!$P$3:$Q$6,2,FALSE))</f>
        <v/>
      </c>
      <c r="W93" s="529" t="str">
        <f t="shared" si="11"/>
        <v/>
      </c>
      <c r="X93" s="149"/>
      <c r="Y93" s="150"/>
      <c r="AG93" s="31" t="str">
        <f>IFERROR(INDEX('G-6 Hedgerow Data'!$BJ$3:$BJ$15,MATCH(D93,'G-6 Hedgerow Data'!$B$3:$B$15,0)),"")</f>
        <v/>
      </c>
    </row>
    <row r="94" spans="2:33" ht="14" x14ac:dyDescent="0.3">
      <c r="B94" s="141">
        <v>83</v>
      </c>
      <c r="C94" s="205"/>
      <c r="D94" s="195"/>
      <c r="E94" s="172"/>
      <c r="F94" s="553" t="str">
        <f>IF(D94="","",VLOOKUP(D94,'G-6 Hedgerow Data'!$B$2:$AG$15,2,FALSE))</f>
        <v/>
      </c>
      <c r="G94" s="499" t="str">
        <f>IF(D94="","",VLOOKUP(D94,'G-6 Hedgerow Data'!$B$2:$AG$15,3,FALSE))</f>
        <v/>
      </c>
      <c r="H94" s="145"/>
      <c r="I94" s="499" t="str">
        <f>IFERROR(VLOOKUP(H94,'G-1 All Habitats'!$Z$2:$AA$9,2,FALSE),"")</f>
        <v/>
      </c>
      <c r="J94" s="145"/>
      <c r="K94" s="520" t="str">
        <f>IF(J94="","",IF(VLOOKUP(J94,'G-3 Multipliers'!$L$3:$N$6,2,FALSE)=0,"Spatial Data Missing ⚠",VLOOKUP(J94,'G-3 Multipliers'!$L$3:$N$6,2,FALSE)))</f>
        <v/>
      </c>
      <c r="L94" s="505" t="str">
        <f>IF(J94="","",IF(VLOOKUP(J94,'G-3 Multipliers'!$L$3:$N$6,3,FALSE)=0,"Spatial Data Missing ⚠",VLOOKUP(J94,'G-3 Multipliers'!$L$3:$N$6,3,FALSE)))</f>
        <v/>
      </c>
      <c r="M94" s="498" t="str">
        <f>IF(OR(D94="",H94=""),"",(INDEX('G-6 Hedgerow Data'!$E$3:$I$15,MATCH(D94,'G-6 Hedgerow Data'!$B$3:$B$15,0),MATCH(H94,'G-6 Hedgerow Data'!$E$2:$I$2,0))))</f>
        <v/>
      </c>
      <c r="N94" s="195"/>
      <c r="O94" s="195"/>
      <c r="P94" s="507" t="str">
        <f t="shared" si="7"/>
        <v/>
      </c>
      <c r="Q94" s="521" t="str">
        <f t="shared" si="8"/>
        <v/>
      </c>
      <c r="R94" s="522" t="str">
        <f t="shared" si="6"/>
        <v/>
      </c>
      <c r="S94" s="537" t="str">
        <f>IF(D94="","",VLOOKUP(D94,'G-6 Hedgerow Data'!$B$3:$AG$15,31,FALSE))</f>
        <v/>
      </c>
      <c r="T94" s="507" t="str">
        <f t="shared" si="9"/>
        <v/>
      </c>
      <c r="U94" s="507" t="str">
        <f t="shared" si="10"/>
        <v/>
      </c>
      <c r="V94" s="524" t="str">
        <f>IF(D94="","",VLOOKUP(S94,'G-3 Multipliers'!$P$3:$Q$6,2,FALSE))</f>
        <v/>
      </c>
      <c r="W94" s="529" t="str">
        <f t="shared" si="11"/>
        <v/>
      </c>
      <c r="X94" s="149"/>
      <c r="Y94" s="150"/>
      <c r="AG94" s="31" t="str">
        <f>IFERROR(INDEX('G-6 Hedgerow Data'!$BJ$3:$BJ$15,MATCH(D94,'G-6 Hedgerow Data'!$B$3:$B$15,0)),"")</f>
        <v/>
      </c>
    </row>
    <row r="95" spans="2:33" ht="14" x14ac:dyDescent="0.3">
      <c r="B95" s="141">
        <v>84</v>
      </c>
      <c r="C95" s="205"/>
      <c r="D95" s="195"/>
      <c r="E95" s="172"/>
      <c r="F95" s="553" t="str">
        <f>IF(D95="","",VLOOKUP(D95,'G-6 Hedgerow Data'!$B$2:$AG$15,2,FALSE))</f>
        <v/>
      </c>
      <c r="G95" s="499" t="str">
        <f>IF(D95="","",VLOOKUP(D95,'G-6 Hedgerow Data'!$B$2:$AG$15,3,FALSE))</f>
        <v/>
      </c>
      <c r="H95" s="145"/>
      <c r="I95" s="499" t="str">
        <f>IFERROR(VLOOKUP(H95,'G-1 All Habitats'!$Z$2:$AA$9,2,FALSE),"")</f>
        <v/>
      </c>
      <c r="J95" s="145"/>
      <c r="K95" s="520" t="str">
        <f>IF(J95="","",IF(VLOOKUP(J95,'G-3 Multipliers'!$L$3:$N$6,2,FALSE)=0,"Spatial Data Missing ⚠",VLOOKUP(J95,'G-3 Multipliers'!$L$3:$N$6,2,FALSE)))</f>
        <v/>
      </c>
      <c r="L95" s="505" t="str">
        <f>IF(J95="","",IF(VLOOKUP(J95,'G-3 Multipliers'!$L$3:$N$6,3,FALSE)=0,"Spatial Data Missing ⚠",VLOOKUP(J95,'G-3 Multipliers'!$L$3:$N$6,3,FALSE)))</f>
        <v/>
      </c>
      <c r="M95" s="498" t="str">
        <f>IF(OR(D95="",H95=""),"",(INDEX('G-6 Hedgerow Data'!$E$3:$I$15,MATCH(D95,'G-6 Hedgerow Data'!$B$3:$B$15,0),MATCH(H95,'G-6 Hedgerow Data'!$E$2:$I$2,0))))</f>
        <v/>
      </c>
      <c r="N95" s="195"/>
      <c r="O95" s="195"/>
      <c r="P95" s="507" t="str">
        <f t="shared" si="7"/>
        <v/>
      </c>
      <c r="Q95" s="521" t="str">
        <f t="shared" si="8"/>
        <v/>
      </c>
      <c r="R95" s="522" t="str">
        <f t="shared" si="6"/>
        <v/>
      </c>
      <c r="S95" s="537" t="str">
        <f>IF(D95="","",VLOOKUP(D95,'G-6 Hedgerow Data'!$B$3:$AG$15,31,FALSE))</f>
        <v/>
      </c>
      <c r="T95" s="507" t="str">
        <f t="shared" si="9"/>
        <v/>
      </c>
      <c r="U95" s="507" t="str">
        <f t="shared" si="10"/>
        <v/>
      </c>
      <c r="V95" s="524" t="str">
        <f>IF(D95="","",VLOOKUP(S95,'G-3 Multipliers'!$P$3:$Q$6,2,FALSE))</f>
        <v/>
      </c>
      <c r="W95" s="529" t="str">
        <f t="shared" si="11"/>
        <v/>
      </c>
      <c r="X95" s="149"/>
      <c r="Y95" s="150"/>
      <c r="AG95" s="31" t="str">
        <f>IFERROR(INDEX('G-6 Hedgerow Data'!$BJ$3:$BJ$15,MATCH(D95,'G-6 Hedgerow Data'!$B$3:$B$15,0)),"")</f>
        <v/>
      </c>
    </row>
    <row r="96" spans="2:33" ht="14" x14ac:dyDescent="0.3">
      <c r="B96" s="141">
        <v>85</v>
      </c>
      <c r="C96" s="205"/>
      <c r="D96" s="195"/>
      <c r="E96" s="172"/>
      <c r="F96" s="553" t="str">
        <f>IF(D96="","",VLOOKUP(D96,'G-6 Hedgerow Data'!$B$2:$AG$15,2,FALSE))</f>
        <v/>
      </c>
      <c r="G96" s="499" t="str">
        <f>IF(D96="","",VLOOKUP(D96,'G-6 Hedgerow Data'!$B$2:$AG$15,3,FALSE))</f>
        <v/>
      </c>
      <c r="H96" s="145"/>
      <c r="I96" s="499" t="str">
        <f>IFERROR(VLOOKUP(H96,'G-1 All Habitats'!$Z$2:$AA$9,2,FALSE),"")</f>
        <v/>
      </c>
      <c r="J96" s="145"/>
      <c r="K96" s="520" t="str">
        <f>IF(J96="","",IF(VLOOKUP(J96,'G-3 Multipliers'!$L$3:$N$6,2,FALSE)=0,"Spatial Data Missing ⚠",VLOOKUP(J96,'G-3 Multipliers'!$L$3:$N$6,2,FALSE)))</f>
        <v/>
      </c>
      <c r="L96" s="505" t="str">
        <f>IF(J96="","",IF(VLOOKUP(J96,'G-3 Multipliers'!$L$3:$N$6,3,FALSE)=0,"Spatial Data Missing ⚠",VLOOKUP(J96,'G-3 Multipliers'!$L$3:$N$6,3,FALSE)))</f>
        <v/>
      </c>
      <c r="M96" s="498" t="str">
        <f>IF(OR(D96="",H96=""),"",(INDEX('G-6 Hedgerow Data'!$E$3:$I$15,MATCH(D96,'G-6 Hedgerow Data'!$B$3:$B$15,0),MATCH(H96,'G-6 Hedgerow Data'!$E$2:$I$2,0))))</f>
        <v/>
      </c>
      <c r="N96" s="195"/>
      <c r="O96" s="195"/>
      <c r="P96" s="507" t="str">
        <f t="shared" si="7"/>
        <v/>
      </c>
      <c r="Q96" s="521" t="str">
        <f t="shared" si="8"/>
        <v/>
      </c>
      <c r="R96" s="522" t="str">
        <f t="shared" si="6"/>
        <v/>
      </c>
      <c r="S96" s="537" t="str">
        <f>IF(D96="","",VLOOKUP(D96,'G-6 Hedgerow Data'!$B$3:$AG$15,31,FALSE))</f>
        <v/>
      </c>
      <c r="T96" s="507" t="str">
        <f t="shared" si="9"/>
        <v/>
      </c>
      <c r="U96" s="507" t="str">
        <f t="shared" si="10"/>
        <v/>
      </c>
      <c r="V96" s="524" t="str">
        <f>IF(D96="","",VLOOKUP(S96,'G-3 Multipliers'!$P$3:$Q$6,2,FALSE))</f>
        <v/>
      </c>
      <c r="W96" s="529" t="str">
        <f t="shared" si="11"/>
        <v/>
      </c>
      <c r="X96" s="149"/>
      <c r="Y96" s="150"/>
      <c r="AG96" s="31" t="str">
        <f>IFERROR(INDEX('G-6 Hedgerow Data'!$BJ$3:$BJ$15,MATCH(D96,'G-6 Hedgerow Data'!$B$3:$B$15,0)),"")</f>
        <v/>
      </c>
    </row>
    <row r="97" spans="2:33" ht="14" x14ac:dyDescent="0.3">
      <c r="B97" s="141">
        <v>86</v>
      </c>
      <c r="C97" s="205"/>
      <c r="D97" s="195"/>
      <c r="E97" s="172"/>
      <c r="F97" s="553" t="str">
        <f>IF(D97="","",VLOOKUP(D97,'G-6 Hedgerow Data'!$B$2:$AG$15,2,FALSE))</f>
        <v/>
      </c>
      <c r="G97" s="499" t="str">
        <f>IF(D97="","",VLOOKUP(D97,'G-6 Hedgerow Data'!$B$2:$AG$15,3,FALSE))</f>
        <v/>
      </c>
      <c r="H97" s="145"/>
      <c r="I97" s="499" t="str">
        <f>IFERROR(VLOOKUP(H97,'G-1 All Habitats'!$Z$2:$AA$9,2,FALSE),"")</f>
        <v/>
      </c>
      <c r="J97" s="145"/>
      <c r="K97" s="520" t="str">
        <f>IF(J97="","",IF(VLOOKUP(J97,'G-3 Multipliers'!$L$3:$N$6,2,FALSE)=0,"Spatial Data Missing ⚠",VLOOKUP(J97,'G-3 Multipliers'!$L$3:$N$6,2,FALSE)))</f>
        <v/>
      </c>
      <c r="L97" s="505" t="str">
        <f>IF(J97="","",IF(VLOOKUP(J97,'G-3 Multipliers'!$L$3:$N$6,3,FALSE)=0,"Spatial Data Missing ⚠",VLOOKUP(J97,'G-3 Multipliers'!$L$3:$N$6,3,FALSE)))</f>
        <v/>
      </c>
      <c r="M97" s="498" t="str">
        <f>IF(OR(D97="",H97=""),"",(INDEX('G-6 Hedgerow Data'!$E$3:$I$15,MATCH(D97,'G-6 Hedgerow Data'!$B$3:$B$15,0),MATCH(H97,'G-6 Hedgerow Data'!$E$2:$I$2,0))))</f>
        <v/>
      </c>
      <c r="N97" s="195"/>
      <c r="O97" s="195"/>
      <c r="P97" s="507" t="str">
        <f t="shared" si="7"/>
        <v/>
      </c>
      <c r="Q97" s="521" t="str">
        <f t="shared" si="8"/>
        <v/>
      </c>
      <c r="R97" s="522" t="str">
        <f t="shared" si="6"/>
        <v/>
      </c>
      <c r="S97" s="537" t="str">
        <f>IF(D97="","",VLOOKUP(D97,'G-6 Hedgerow Data'!$B$3:$AG$15,31,FALSE))</f>
        <v/>
      </c>
      <c r="T97" s="507" t="str">
        <f t="shared" si="9"/>
        <v/>
      </c>
      <c r="U97" s="507" t="str">
        <f t="shared" si="10"/>
        <v/>
      </c>
      <c r="V97" s="524" t="str">
        <f>IF(D97="","",VLOOKUP(S97,'G-3 Multipliers'!$P$3:$Q$6,2,FALSE))</f>
        <v/>
      </c>
      <c r="W97" s="529" t="str">
        <f t="shared" si="11"/>
        <v/>
      </c>
      <c r="X97" s="149"/>
      <c r="Y97" s="150"/>
      <c r="AG97" s="31" t="str">
        <f>IFERROR(INDEX('G-6 Hedgerow Data'!$BJ$3:$BJ$15,MATCH(D97,'G-6 Hedgerow Data'!$B$3:$B$15,0)),"")</f>
        <v/>
      </c>
    </row>
    <row r="98" spans="2:33" ht="14" x14ac:dyDescent="0.3">
      <c r="B98" s="141">
        <v>87</v>
      </c>
      <c r="C98" s="205"/>
      <c r="D98" s="195"/>
      <c r="E98" s="172"/>
      <c r="F98" s="553" t="str">
        <f>IF(D98="","",VLOOKUP(D98,'G-6 Hedgerow Data'!$B$2:$AG$15,2,FALSE))</f>
        <v/>
      </c>
      <c r="G98" s="499" t="str">
        <f>IF(D98="","",VLOOKUP(D98,'G-6 Hedgerow Data'!$B$2:$AG$15,3,FALSE))</f>
        <v/>
      </c>
      <c r="H98" s="145"/>
      <c r="I98" s="499" t="str">
        <f>IFERROR(VLOOKUP(H98,'G-1 All Habitats'!$Z$2:$AA$9,2,FALSE),"")</f>
        <v/>
      </c>
      <c r="J98" s="145"/>
      <c r="K98" s="520" t="str">
        <f>IF(J98="","",IF(VLOOKUP(J98,'G-3 Multipliers'!$L$3:$N$6,2,FALSE)=0,"Spatial Data Missing ⚠",VLOOKUP(J98,'G-3 Multipliers'!$L$3:$N$6,2,FALSE)))</f>
        <v/>
      </c>
      <c r="L98" s="505" t="str">
        <f>IF(J98="","",IF(VLOOKUP(J98,'G-3 Multipliers'!$L$3:$N$6,3,FALSE)=0,"Spatial Data Missing ⚠",VLOOKUP(J98,'G-3 Multipliers'!$L$3:$N$6,3,FALSE)))</f>
        <v/>
      </c>
      <c r="M98" s="498" t="str">
        <f>IF(OR(D98="",H98=""),"",(INDEX('G-6 Hedgerow Data'!$E$3:$I$15,MATCH(D98,'G-6 Hedgerow Data'!$B$3:$B$15,0),MATCH(H98,'G-6 Hedgerow Data'!$E$2:$I$2,0))))</f>
        <v/>
      </c>
      <c r="N98" s="195"/>
      <c r="O98" s="195"/>
      <c r="P98" s="507" t="str">
        <f t="shared" si="7"/>
        <v/>
      </c>
      <c r="Q98" s="521" t="str">
        <f t="shared" si="8"/>
        <v/>
      </c>
      <c r="R98" s="522" t="str">
        <f t="shared" si="6"/>
        <v/>
      </c>
      <c r="S98" s="537" t="str">
        <f>IF(D98="","",VLOOKUP(D98,'G-6 Hedgerow Data'!$B$3:$AG$15,31,FALSE))</f>
        <v/>
      </c>
      <c r="T98" s="507" t="str">
        <f t="shared" si="9"/>
        <v/>
      </c>
      <c r="U98" s="507" t="str">
        <f t="shared" si="10"/>
        <v/>
      </c>
      <c r="V98" s="524" t="str">
        <f>IF(D98="","",VLOOKUP(S98,'G-3 Multipliers'!$P$3:$Q$6,2,FALSE))</f>
        <v/>
      </c>
      <c r="W98" s="529" t="str">
        <f t="shared" si="11"/>
        <v/>
      </c>
      <c r="X98" s="149"/>
      <c r="Y98" s="150"/>
      <c r="AG98" s="31" t="str">
        <f>IFERROR(INDEX('G-6 Hedgerow Data'!$BJ$3:$BJ$15,MATCH(D98,'G-6 Hedgerow Data'!$B$3:$B$15,0)),"")</f>
        <v/>
      </c>
    </row>
    <row r="99" spans="2:33" ht="14" x14ac:dyDescent="0.3">
      <c r="B99" s="141">
        <v>88</v>
      </c>
      <c r="C99" s="205"/>
      <c r="D99" s="195"/>
      <c r="E99" s="172"/>
      <c r="F99" s="553" t="str">
        <f>IF(D99="","",VLOOKUP(D99,'G-6 Hedgerow Data'!$B$2:$AG$15,2,FALSE))</f>
        <v/>
      </c>
      <c r="G99" s="499" t="str">
        <f>IF(D99="","",VLOOKUP(D99,'G-6 Hedgerow Data'!$B$2:$AG$15,3,FALSE))</f>
        <v/>
      </c>
      <c r="H99" s="145"/>
      <c r="I99" s="499" t="str">
        <f>IFERROR(VLOOKUP(H99,'G-1 All Habitats'!$Z$2:$AA$9,2,FALSE),"")</f>
        <v/>
      </c>
      <c r="J99" s="145"/>
      <c r="K99" s="520" t="str">
        <f>IF(J99="","",IF(VLOOKUP(J99,'G-3 Multipliers'!$L$3:$N$6,2,FALSE)=0,"Spatial Data Missing ⚠",VLOOKUP(J99,'G-3 Multipliers'!$L$3:$N$6,2,FALSE)))</f>
        <v/>
      </c>
      <c r="L99" s="505" t="str">
        <f>IF(J99="","",IF(VLOOKUP(J99,'G-3 Multipliers'!$L$3:$N$6,3,FALSE)=0,"Spatial Data Missing ⚠",VLOOKUP(J99,'G-3 Multipliers'!$L$3:$N$6,3,FALSE)))</f>
        <v/>
      </c>
      <c r="M99" s="498" t="str">
        <f>IF(OR(D99="",H99=""),"",(INDEX('G-6 Hedgerow Data'!$E$3:$I$15,MATCH(D99,'G-6 Hedgerow Data'!$B$3:$B$15,0),MATCH(H99,'G-6 Hedgerow Data'!$E$2:$I$2,0))))</f>
        <v/>
      </c>
      <c r="N99" s="195"/>
      <c r="O99" s="195"/>
      <c r="P99" s="507" t="str">
        <f t="shared" si="7"/>
        <v/>
      </c>
      <c r="Q99" s="521" t="str">
        <f t="shared" si="8"/>
        <v/>
      </c>
      <c r="R99" s="522" t="str">
        <f t="shared" si="6"/>
        <v/>
      </c>
      <c r="S99" s="537" t="str">
        <f>IF(D99="","",VLOOKUP(D99,'G-6 Hedgerow Data'!$B$3:$AG$15,31,FALSE))</f>
        <v/>
      </c>
      <c r="T99" s="507" t="str">
        <f t="shared" si="9"/>
        <v/>
      </c>
      <c r="U99" s="507" t="str">
        <f t="shared" si="10"/>
        <v/>
      </c>
      <c r="V99" s="524" t="str">
        <f>IF(D99="","",VLOOKUP(S99,'G-3 Multipliers'!$P$3:$Q$6,2,FALSE))</f>
        <v/>
      </c>
      <c r="W99" s="529" t="str">
        <f t="shared" si="11"/>
        <v/>
      </c>
      <c r="X99" s="149"/>
      <c r="Y99" s="150"/>
      <c r="AG99" s="31" t="str">
        <f>IFERROR(INDEX('G-6 Hedgerow Data'!$BJ$3:$BJ$15,MATCH(D99,'G-6 Hedgerow Data'!$B$3:$B$15,0)),"")</f>
        <v/>
      </c>
    </row>
    <row r="100" spans="2:33" ht="14" x14ac:dyDescent="0.3">
      <c r="B100" s="141">
        <v>89</v>
      </c>
      <c r="C100" s="205"/>
      <c r="D100" s="195"/>
      <c r="E100" s="172"/>
      <c r="F100" s="553" t="str">
        <f>IF(D100="","",VLOOKUP(D100,'G-6 Hedgerow Data'!$B$2:$AG$15,2,FALSE))</f>
        <v/>
      </c>
      <c r="G100" s="499" t="str">
        <f>IF(D100="","",VLOOKUP(D100,'G-6 Hedgerow Data'!$B$2:$AG$15,3,FALSE))</f>
        <v/>
      </c>
      <c r="H100" s="145"/>
      <c r="I100" s="499" t="str">
        <f>IFERROR(VLOOKUP(H100,'G-1 All Habitats'!$Z$2:$AA$9,2,FALSE),"")</f>
        <v/>
      </c>
      <c r="J100" s="145"/>
      <c r="K100" s="520" t="str">
        <f>IF(J100="","",IF(VLOOKUP(J100,'G-3 Multipliers'!$L$3:$N$6,2,FALSE)=0,"Spatial Data Missing ⚠",VLOOKUP(J100,'G-3 Multipliers'!$L$3:$N$6,2,FALSE)))</f>
        <v/>
      </c>
      <c r="L100" s="505" t="str">
        <f>IF(J100="","",IF(VLOOKUP(J100,'G-3 Multipliers'!$L$3:$N$6,3,FALSE)=0,"Spatial Data Missing ⚠",VLOOKUP(J100,'G-3 Multipliers'!$L$3:$N$6,3,FALSE)))</f>
        <v/>
      </c>
      <c r="M100" s="498" t="str">
        <f>IF(OR(D100="",H100=""),"",(INDEX('G-6 Hedgerow Data'!$E$3:$I$15,MATCH(D100,'G-6 Hedgerow Data'!$B$3:$B$15,0),MATCH(H100,'G-6 Hedgerow Data'!$E$2:$I$2,0))))</f>
        <v/>
      </c>
      <c r="N100" s="195"/>
      <c r="O100" s="195"/>
      <c r="P100" s="507" t="str">
        <f t="shared" si="7"/>
        <v/>
      </c>
      <c r="Q100" s="521" t="str">
        <f t="shared" si="8"/>
        <v/>
      </c>
      <c r="R100" s="522" t="str">
        <f t="shared" si="6"/>
        <v/>
      </c>
      <c r="S100" s="537" t="str">
        <f>IF(D100="","",VLOOKUP(D100,'G-6 Hedgerow Data'!$B$3:$AG$15,31,FALSE))</f>
        <v/>
      </c>
      <c r="T100" s="507" t="str">
        <f t="shared" si="9"/>
        <v/>
      </c>
      <c r="U100" s="507" t="str">
        <f t="shared" si="10"/>
        <v/>
      </c>
      <c r="V100" s="524" t="str">
        <f>IF(D100="","",VLOOKUP(S100,'G-3 Multipliers'!$P$3:$Q$6,2,FALSE))</f>
        <v/>
      </c>
      <c r="W100" s="529" t="str">
        <f t="shared" si="11"/>
        <v/>
      </c>
      <c r="X100" s="149"/>
      <c r="Y100" s="150"/>
      <c r="AG100" s="31" t="str">
        <f>IFERROR(INDEX('G-6 Hedgerow Data'!$BJ$3:$BJ$15,MATCH(D100,'G-6 Hedgerow Data'!$B$3:$B$15,0)),"")</f>
        <v/>
      </c>
    </row>
    <row r="101" spans="2:33" ht="14" x14ac:dyDescent="0.3">
      <c r="B101" s="141">
        <v>90</v>
      </c>
      <c r="C101" s="205"/>
      <c r="D101" s="195"/>
      <c r="E101" s="172"/>
      <c r="F101" s="553" t="str">
        <f>IF(D101="","",VLOOKUP(D101,'G-6 Hedgerow Data'!$B$2:$AG$15,2,FALSE))</f>
        <v/>
      </c>
      <c r="G101" s="499" t="str">
        <f>IF(D101="","",VLOOKUP(D101,'G-6 Hedgerow Data'!$B$2:$AG$15,3,FALSE))</f>
        <v/>
      </c>
      <c r="H101" s="145"/>
      <c r="I101" s="499" t="str">
        <f>IFERROR(VLOOKUP(H101,'G-1 All Habitats'!$Z$2:$AA$9,2,FALSE),"")</f>
        <v/>
      </c>
      <c r="J101" s="145"/>
      <c r="K101" s="520" t="str">
        <f>IF(J101="","",IF(VLOOKUP(J101,'G-3 Multipliers'!$L$3:$N$6,2,FALSE)=0,"Spatial Data Missing ⚠",VLOOKUP(J101,'G-3 Multipliers'!$L$3:$N$6,2,FALSE)))</f>
        <v/>
      </c>
      <c r="L101" s="505" t="str">
        <f>IF(J101="","",IF(VLOOKUP(J101,'G-3 Multipliers'!$L$3:$N$6,3,FALSE)=0,"Spatial Data Missing ⚠",VLOOKUP(J101,'G-3 Multipliers'!$L$3:$N$6,3,FALSE)))</f>
        <v/>
      </c>
      <c r="M101" s="498" t="str">
        <f>IF(OR(D101="",H101=""),"",(INDEX('G-6 Hedgerow Data'!$E$3:$I$15,MATCH(D101,'G-6 Hedgerow Data'!$B$3:$B$15,0),MATCH(H101,'G-6 Hedgerow Data'!$E$2:$I$2,0))))</f>
        <v/>
      </c>
      <c r="N101" s="195"/>
      <c r="O101" s="195"/>
      <c r="P101" s="507" t="str">
        <f t="shared" si="7"/>
        <v/>
      </c>
      <c r="Q101" s="521" t="str">
        <f t="shared" si="8"/>
        <v/>
      </c>
      <c r="R101" s="522" t="str">
        <f t="shared" si="6"/>
        <v/>
      </c>
      <c r="S101" s="537" t="str">
        <f>IF(D101="","",VLOOKUP(D101,'G-6 Hedgerow Data'!$B$3:$AG$15,31,FALSE))</f>
        <v/>
      </c>
      <c r="T101" s="507" t="str">
        <f t="shared" si="9"/>
        <v/>
      </c>
      <c r="U101" s="507" t="str">
        <f t="shared" si="10"/>
        <v/>
      </c>
      <c r="V101" s="524" t="str">
        <f>IF(D101="","",VLOOKUP(S101,'G-3 Multipliers'!$P$3:$Q$6,2,FALSE))</f>
        <v/>
      </c>
      <c r="W101" s="529" t="str">
        <f t="shared" si="11"/>
        <v/>
      </c>
      <c r="X101" s="149"/>
      <c r="Y101" s="150"/>
      <c r="AG101" s="31" t="str">
        <f>IFERROR(INDEX('G-6 Hedgerow Data'!$BJ$3:$BJ$15,MATCH(D101,'G-6 Hedgerow Data'!$B$3:$B$15,0)),"")</f>
        <v/>
      </c>
    </row>
    <row r="102" spans="2:33" ht="14" x14ac:dyDescent="0.3">
      <c r="B102" s="141">
        <v>91</v>
      </c>
      <c r="C102" s="205"/>
      <c r="D102" s="195"/>
      <c r="E102" s="172"/>
      <c r="F102" s="553" t="str">
        <f>IF(D102="","",VLOOKUP(D102,'G-6 Hedgerow Data'!$B$2:$AG$15,2,FALSE))</f>
        <v/>
      </c>
      <c r="G102" s="499" t="str">
        <f>IF(D102="","",VLOOKUP(D102,'G-6 Hedgerow Data'!$B$2:$AG$15,3,FALSE))</f>
        <v/>
      </c>
      <c r="H102" s="145"/>
      <c r="I102" s="499" t="str">
        <f>IFERROR(VLOOKUP(H102,'G-1 All Habitats'!$Z$2:$AA$9,2,FALSE),"")</f>
        <v/>
      </c>
      <c r="J102" s="145"/>
      <c r="K102" s="520" t="str">
        <f>IF(J102="","",IF(VLOOKUP(J102,'G-3 Multipliers'!$L$3:$N$6,2,FALSE)=0,"Spatial Data Missing ⚠",VLOOKUP(J102,'G-3 Multipliers'!$L$3:$N$6,2,FALSE)))</f>
        <v/>
      </c>
      <c r="L102" s="505" t="str">
        <f>IF(J102="","",IF(VLOOKUP(J102,'G-3 Multipliers'!$L$3:$N$6,3,FALSE)=0,"Spatial Data Missing ⚠",VLOOKUP(J102,'G-3 Multipliers'!$L$3:$N$6,3,FALSE)))</f>
        <v/>
      </c>
      <c r="M102" s="498" t="str">
        <f>IF(OR(D102="",H102=""),"",(INDEX('G-6 Hedgerow Data'!$E$3:$I$15,MATCH(D102,'G-6 Hedgerow Data'!$B$3:$B$15,0),MATCH(H102,'G-6 Hedgerow Data'!$E$2:$I$2,0))))</f>
        <v/>
      </c>
      <c r="N102" s="195"/>
      <c r="O102" s="195"/>
      <c r="P102" s="507" t="str">
        <f t="shared" si="7"/>
        <v/>
      </c>
      <c r="Q102" s="521" t="str">
        <f t="shared" si="8"/>
        <v/>
      </c>
      <c r="R102" s="522" t="str">
        <f t="shared" si="6"/>
        <v/>
      </c>
      <c r="S102" s="537" t="str">
        <f>IF(D102="","",VLOOKUP(D102,'G-6 Hedgerow Data'!$B$3:$AG$15,31,FALSE))</f>
        <v/>
      </c>
      <c r="T102" s="507" t="str">
        <f t="shared" si="9"/>
        <v/>
      </c>
      <c r="U102" s="507" t="str">
        <f t="shared" si="10"/>
        <v/>
      </c>
      <c r="V102" s="524" t="str">
        <f>IF(D102="","",VLOOKUP(S102,'G-3 Multipliers'!$P$3:$Q$6,2,FALSE))</f>
        <v/>
      </c>
      <c r="W102" s="529" t="str">
        <f t="shared" si="11"/>
        <v/>
      </c>
      <c r="X102" s="149"/>
      <c r="Y102" s="150"/>
      <c r="AG102" s="31" t="str">
        <f>IFERROR(INDEX('G-6 Hedgerow Data'!$BJ$3:$BJ$15,MATCH(D102,'G-6 Hedgerow Data'!$B$3:$B$15,0)),"")</f>
        <v/>
      </c>
    </row>
    <row r="103" spans="2:33" ht="14" x14ac:dyDescent="0.3">
      <c r="B103" s="141">
        <v>92</v>
      </c>
      <c r="C103" s="205"/>
      <c r="D103" s="195"/>
      <c r="E103" s="172"/>
      <c r="F103" s="553" t="str">
        <f>IF(D103="","",VLOOKUP(D103,'G-6 Hedgerow Data'!$B$2:$AG$15,2,FALSE))</f>
        <v/>
      </c>
      <c r="G103" s="499" t="str">
        <f>IF(D103="","",VLOOKUP(D103,'G-6 Hedgerow Data'!$B$2:$AG$15,3,FALSE))</f>
        <v/>
      </c>
      <c r="H103" s="145"/>
      <c r="I103" s="499" t="str">
        <f>IFERROR(VLOOKUP(H103,'G-1 All Habitats'!$Z$2:$AA$9,2,FALSE),"")</f>
        <v/>
      </c>
      <c r="J103" s="145"/>
      <c r="K103" s="520" t="str">
        <f>IF(J103="","",IF(VLOOKUP(J103,'G-3 Multipliers'!$L$3:$N$6,2,FALSE)=0,"Spatial Data Missing ⚠",VLOOKUP(J103,'G-3 Multipliers'!$L$3:$N$6,2,FALSE)))</f>
        <v/>
      </c>
      <c r="L103" s="505" t="str">
        <f>IF(J103="","",IF(VLOOKUP(J103,'G-3 Multipliers'!$L$3:$N$6,3,FALSE)=0,"Spatial Data Missing ⚠",VLOOKUP(J103,'G-3 Multipliers'!$L$3:$N$6,3,FALSE)))</f>
        <v/>
      </c>
      <c r="M103" s="498" t="str">
        <f>IF(OR(D103="",H103=""),"",(INDEX('G-6 Hedgerow Data'!$E$3:$I$15,MATCH(D103,'G-6 Hedgerow Data'!$B$3:$B$15,0),MATCH(H103,'G-6 Hedgerow Data'!$E$2:$I$2,0))))</f>
        <v/>
      </c>
      <c r="N103" s="195"/>
      <c r="O103" s="195"/>
      <c r="P103" s="507" t="str">
        <f t="shared" si="7"/>
        <v/>
      </c>
      <c r="Q103" s="521" t="str">
        <f t="shared" si="8"/>
        <v/>
      </c>
      <c r="R103" s="522" t="str">
        <f t="shared" si="6"/>
        <v/>
      </c>
      <c r="S103" s="537" t="str">
        <f>IF(D103="","",VLOOKUP(D103,'G-6 Hedgerow Data'!$B$3:$AG$15,31,FALSE))</f>
        <v/>
      </c>
      <c r="T103" s="507" t="str">
        <f t="shared" si="9"/>
        <v/>
      </c>
      <c r="U103" s="507" t="str">
        <f t="shared" si="10"/>
        <v/>
      </c>
      <c r="V103" s="524" t="str">
        <f>IF(D103="","",VLOOKUP(S103,'G-3 Multipliers'!$P$3:$Q$6,2,FALSE))</f>
        <v/>
      </c>
      <c r="W103" s="529" t="str">
        <f t="shared" si="11"/>
        <v/>
      </c>
      <c r="X103" s="149"/>
      <c r="Y103" s="150"/>
      <c r="AG103" s="31" t="str">
        <f>IFERROR(INDEX('G-6 Hedgerow Data'!$BJ$3:$BJ$15,MATCH(D103,'G-6 Hedgerow Data'!$B$3:$B$15,0)),"")</f>
        <v/>
      </c>
    </row>
    <row r="104" spans="2:33" ht="14" x14ac:dyDescent="0.3">
      <c r="B104" s="141">
        <v>93</v>
      </c>
      <c r="C104" s="205"/>
      <c r="D104" s="195"/>
      <c r="E104" s="172"/>
      <c r="F104" s="553" t="str">
        <f>IF(D104="","",VLOOKUP(D104,'G-6 Hedgerow Data'!$B$2:$AG$15,2,FALSE))</f>
        <v/>
      </c>
      <c r="G104" s="499" t="str">
        <f>IF(D104="","",VLOOKUP(D104,'G-6 Hedgerow Data'!$B$2:$AG$15,3,FALSE))</f>
        <v/>
      </c>
      <c r="H104" s="145"/>
      <c r="I104" s="499" t="str">
        <f>IFERROR(VLOOKUP(H104,'G-1 All Habitats'!$Z$2:$AA$9,2,FALSE),"")</f>
        <v/>
      </c>
      <c r="J104" s="145"/>
      <c r="K104" s="520" t="str">
        <f>IF(J104="","",IF(VLOOKUP(J104,'G-3 Multipliers'!$L$3:$N$6,2,FALSE)=0,"Spatial Data Missing ⚠",VLOOKUP(J104,'G-3 Multipliers'!$L$3:$N$6,2,FALSE)))</f>
        <v/>
      </c>
      <c r="L104" s="505" t="str">
        <f>IF(J104="","",IF(VLOOKUP(J104,'G-3 Multipliers'!$L$3:$N$6,3,FALSE)=0,"Spatial Data Missing ⚠",VLOOKUP(J104,'G-3 Multipliers'!$L$3:$N$6,3,FALSE)))</f>
        <v/>
      </c>
      <c r="M104" s="498" t="str">
        <f>IF(OR(D104="",H104=""),"",(INDEX('G-6 Hedgerow Data'!$E$3:$I$15,MATCH(D104,'G-6 Hedgerow Data'!$B$3:$B$15,0),MATCH(H104,'G-6 Hedgerow Data'!$E$2:$I$2,0))))</f>
        <v/>
      </c>
      <c r="N104" s="195"/>
      <c r="O104" s="195"/>
      <c r="P104" s="507" t="str">
        <f t="shared" si="7"/>
        <v/>
      </c>
      <c r="Q104" s="521" t="str">
        <f t="shared" si="8"/>
        <v/>
      </c>
      <c r="R104" s="522" t="str">
        <f t="shared" si="6"/>
        <v/>
      </c>
      <c r="S104" s="537" t="str">
        <f>IF(D104="","",VLOOKUP(D104,'G-6 Hedgerow Data'!$B$3:$AG$15,31,FALSE))</f>
        <v/>
      </c>
      <c r="T104" s="507" t="str">
        <f t="shared" si="9"/>
        <v/>
      </c>
      <c r="U104" s="507" t="str">
        <f t="shared" si="10"/>
        <v/>
      </c>
      <c r="V104" s="524" t="str">
        <f>IF(D104="","",VLOOKUP(S104,'G-3 Multipliers'!$P$3:$Q$6,2,FALSE))</f>
        <v/>
      </c>
      <c r="W104" s="529" t="str">
        <f t="shared" si="11"/>
        <v/>
      </c>
      <c r="X104" s="149"/>
      <c r="Y104" s="150"/>
      <c r="AG104" s="31" t="str">
        <f>IFERROR(INDEX('G-6 Hedgerow Data'!$BJ$3:$BJ$15,MATCH(D104,'G-6 Hedgerow Data'!$B$3:$B$15,0)),"")</f>
        <v/>
      </c>
    </row>
    <row r="105" spans="2:33" ht="14" x14ac:dyDescent="0.3">
      <c r="B105" s="141">
        <v>94</v>
      </c>
      <c r="C105" s="205"/>
      <c r="D105" s="195"/>
      <c r="E105" s="172"/>
      <c r="F105" s="553" t="str">
        <f>IF(D105="","",VLOOKUP(D105,'G-6 Hedgerow Data'!$B$2:$AG$15,2,FALSE))</f>
        <v/>
      </c>
      <c r="G105" s="499" t="str">
        <f>IF(D105="","",VLOOKUP(D105,'G-6 Hedgerow Data'!$B$2:$AG$15,3,FALSE))</f>
        <v/>
      </c>
      <c r="H105" s="145"/>
      <c r="I105" s="499" t="str">
        <f>IFERROR(VLOOKUP(H105,'G-1 All Habitats'!$Z$2:$AA$9,2,FALSE),"")</f>
        <v/>
      </c>
      <c r="J105" s="145"/>
      <c r="K105" s="520" t="str">
        <f>IF(J105="","",IF(VLOOKUP(J105,'G-3 Multipliers'!$L$3:$N$6,2,FALSE)=0,"Spatial Data Missing ⚠",VLOOKUP(J105,'G-3 Multipliers'!$L$3:$N$6,2,FALSE)))</f>
        <v/>
      </c>
      <c r="L105" s="505" t="str">
        <f>IF(J105="","",IF(VLOOKUP(J105,'G-3 Multipliers'!$L$3:$N$6,3,FALSE)=0,"Spatial Data Missing ⚠",VLOOKUP(J105,'G-3 Multipliers'!$L$3:$N$6,3,FALSE)))</f>
        <v/>
      </c>
      <c r="M105" s="498" t="str">
        <f>IF(OR(D105="",H105=""),"",(INDEX('G-6 Hedgerow Data'!$E$3:$I$15,MATCH(D105,'G-6 Hedgerow Data'!$B$3:$B$15,0),MATCH(H105,'G-6 Hedgerow Data'!$E$2:$I$2,0))))</f>
        <v/>
      </c>
      <c r="N105" s="195"/>
      <c r="O105" s="195"/>
      <c r="P105" s="507" t="str">
        <f t="shared" si="7"/>
        <v/>
      </c>
      <c r="Q105" s="521" t="str">
        <f t="shared" si="8"/>
        <v/>
      </c>
      <c r="R105" s="522" t="str">
        <f t="shared" si="6"/>
        <v/>
      </c>
      <c r="S105" s="537" t="str">
        <f>IF(D105="","",VLOOKUP(D105,'G-6 Hedgerow Data'!$B$3:$AG$15,31,FALSE))</f>
        <v/>
      </c>
      <c r="T105" s="507" t="str">
        <f t="shared" si="9"/>
        <v/>
      </c>
      <c r="U105" s="507" t="str">
        <f t="shared" si="10"/>
        <v/>
      </c>
      <c r="V105" s="524" t="str">
        <f>IF(D105="","",VLOOKUP(S105,'G-3 Multipliers'!$P$3:$Q$6,2,FALSE))</f>
        <v/>
      </c>
      <c r="W105" s="529" t="str">
        <f t="shared" si="11"/>
        <v/>
      </c>
      <c r="X105" s="149"/>
      <c r="Y105" s="150"/>
      <c r="AG105" s="31" t="str">
        <f>IFERROR(INDEX('G-6 Hedgerow Data'!$BJ$3:$BJ$15,MATCH(D105,'G-6 Hedgerow Data'!$B$3:$B$15,0)),"")</f>
        <v/>
      </c>
    </row>
    <row r="106" spans="2:33" ht="14" x14ac:dyDescent="0.3">
      <c r="B106" s="141">
        <v>95</v>
      </c>
      <c r="C106" s="205"/>
      <c r="D106" s="195"/>
      <c r="E106" s="172"/>
      <c r="F106" s="553" t="str">
        <f>IF(D106="","",VLOOKUP(D106,'G-6 Hedgerow Data'!$B$2:$AG$15,2,FALSE))</f>
        <v/>
      </c>
      <c r="G106" s="499" t="str">
        <f>IF(D106="","",VLOOKUP(D106,'G-6 Hedgerow Data'!$B$2:$AG$15,3,FALSE))</f>
        <v/>
      </c>
      <c r="H106" s="145"/>
      <c r="I106" s="499" t="str">
        <f>IFERROR(VLOOKUP(H106,'G-1 All Habitats'!$Z$2:$AA$9,2,FALSE),"")</f>
        <v/>
      </c>
      <c r="J106" s="145"/>
      <c r="K106" s="520" t="str">
        <f>IF(J106="","",IF(VLOOKUP(J106,'G-3 Multipliers'!$L$3:$N$6,2,FALSE)=0,"Spatial Data Missing ⚠",VLOOKUP(J106,'G-3 Multipliers'!$L$3:$N$6,2,FALSE)))</f>
        <v/>
      </c>
      <c r="L106" s="505" t="str">
        <f>IF(J106="","",IF(VLOOKUP(J106,'G-3 Multipliers'!$L$3:$N$6,3,FALSE)=0,"Spatial Data Missing ⚠",VLOOKUP(J106,'G-3 Multipliers'!$L$3:$N$6,3,FALSE)))</f>
        <v/>
      </c>
      <c r="M106" s="498" t="str">
        <f>IF(OR(D106="",H106=""),"",(INDEX('G-6 Hedgerow Data'!$E$3:$I$15,MATCH(D106,'G-6 Hedgerow Data'!$B$3:$B$15,0),MATCH(H106,'G-6 Hedgerow Data'!$E$2:$I$2,0))))</f>
        <v/>
      </c>
      <c r="N106" s="195"/>
      <c r="O106" s="195"/>
      <c r="P106" s="507" t="str">
        <f t="shared" si="7"/>
        <v/>
      </c>
      <c r="Q106" s="521" t="str">
        <f t="shared" si="8"/>
        <v/>
      </c>
      <c r="R106" s="522" t="str">
        <f t="shared" si="6"/>
        <v/>
      </c>
      <c r="S106" s="537" t="str">
        <f>IF(D106="","",VLOOKUP(D106,'G-6 Hedgerow Data'!$B$3:$AG$15,31,FALSE))</f>
        <v/>
      </c>
      <c r="T106" s="507" t="str">
        <f t="shared" si="9"/>
        <v/>
      </c>
      <c r="U106" s="507" t="str">
        <f t="shared" si="10"/>
        <v/>
      </c>
      <c r="V106" s="524" t="str">
        <f>IF(D106="","",VLOOKUP(S106,'G-3 Multipliers'!$P$3:$Q$6,2,FALSE))</f>
        <v/>
      </c>
      <c r="W106" s="529" t="str">
        <f t="shared" si="11"/>
        <v/>
      </c>
      <c r="X106" s="149"/>
      <c r="Y106" s="150"/>
      <c r="AG106" s="31" t="str">
        <f>IFERROR(INDEX('G-6 Hedgerow Data'!$BJ$3:$BJ$15,MATCH(D106,'G-6 Hedgerow Data'!$B$3:$B$15,0)),"")</f>
        <v/>
      </c>
    </row>
    <row r="107" spans="2:33" ht="14" x14ac:dyDescent="0.3">
      <c r="B107" s="141">
        <v>96</v>
      </c>
      <c r="C107" s="205"/>
      <c r="D107" s="195"/>
      <c r="E107" s="172"/>
      <c r="F107" s="553" t="str">
        <f>IF(D107="","",VLOOKUP(D107,'G-6 Hedgerow Data'!$B$2:$AG$15,2,FALSE))</f>
        <v/>
      </c>
      <c r="G107" s="499" t="str">
        <f>IF(D107="","",VLOOKUP(D107,'G-6 Hedgerow Data'!$B$2:$AG$15,3,FALSE))</f>
        <v/>
      </c>
      <c r="H107" s="145"/>
      <c r="I107" s="499" t="str">
        <f>IFERROR(VLOOKUP(H107,'G-1 All Habitats'!$Z$2:$AA$9,2,FALSE),"")</f>
        <v/>
      </c>
      <c r="J107" s="145"/>
      <c r="K107" s="520" t="str">
        <f>IF(J107="","",IF(VLOOKUP(J107,'G-3 Multipliers'!$L$3:$N$6,2,FALSE)=0,"Spatial Data Missing ⚠",VLOOKUP(J107,'G-3 Multipliers'!$L$3:$N$6,2,FALSE)))</f>
        <v/>
      </c>
      <c r="L107" s="505" t="str">
        <f>IF(J107="","",IF(VLOOKUP(J107,'G-3 Multipliers'!$L$3:$N$6,3,FALSE)=0,"Spatial Data Missing ⚠",VLOOKUP(J107,'G-3 Multipliers'!$L$3:$N$6,3,FALSE)))</f>
        <v/>
      </c>
      <c r="M107" s="498" t="str">
        <f>IF(OR(D107="",H107=""),"",(INDEX('G-6 Hedgerow Data'!$E$3:$I$15,MATCH(D107,'G-6 Hedgerow Data'!$B$3:$B$15,0),MATCH(H107,'G-6 Hedgerow Data'!$E$2:$I$2,0))))</f>
        <v/>
      </c>
      <c r="N107" s="195"/>
      <c r="O107" s="195"/>
      <c r="P107" s="507" t="str">
        <f t="shared" si="7"/>
        <v/>
      </c>
      <c r="Q107" s="521" t="str">
        <f t="shared" si="8"/>
        <v/>
      </c>
      <c r="R107" s="522" t="str">
        <f t="shared" si="6"/>
        <v/>
      </c>
      <c r="S107" s="537" t="str">
        <f>IF(D107="","",VLOOKUP(D107,'G-6 Hedgerow Data'!$B$3:$AG$15,31,FALSE))</f>
        <v/>
      </c>
      <c r="T107" s="507" t="str">
        <f t="shared" si="9"/>
        <v/>
      </c>
      <c r="U107" s="507" t="str">
        <f t="shared" si="10"/>
        <v/>
      </c>
      <c r="V107" s="524" t="str">
        <f>IF(D107="","",VLOOKUP(S107,'G-3 Multipliers'!$P$3:$Q$6,2,FALSE))</f>
        <v/>
      </c>
      <c r="W107" s="529" t="str">
        <f t="shared" si="11"/>
        <v/>
      </c>
      <c r="X107" s="149"/>
      <c r="Y107" s="150"/>
      <c r="AG107" s="31" t="str">
        <f>IFERROR(INDEX('G-6 Hedgerow Data'!$BJ$3:$BJ$15,MATCH(D107,'G-6 Hedgerow Data'!$B$3:$B$15,0)),"")</f>
        <v/>
      </c>
    </row>
    <row r="108" spans="2:33" ht="14" x14ac:dyDescent="0.3">
      <c r="B108" s="141">
        <v>97</v>
      </c>
      <c r="C108" s="205"/>
      <c r="D108" s="195"/>
      <c r="E108" s="172"/>
      <c r="F108" s="553" t="str">
        <f>IF(D108="","",VLOOKUP(D108,'G-6 Hedgerow Data'!$B$2:$AG$15,2,FALSE))</f>
        <v/>
      </c>
      <c r="G108" s="499" t="str">
        <f>IF(D108="","",VLOOKUP(D108,'G-6 Hedgerow Data'!$B$2:$AG$15,3,FALSE))</f>
        <v/>
      </c>
      <c r="H108" s="145"/>
      <c r="I108" s="499" t="str">
        <f>IFERROR(VLOOKUP(H108,'G-1 All Habitats'!$Z$2:$AA$9,2,FALSE),"")</f>
        <v/>
      </c>
      <c r="J108" s="145"/>
      <c r="K108" s="520" t="str">
        <f>IF(J108="","",IF(VLOOKUP(J108,'G-3 Multipliers'!$L$3:$N$6,2,FALSE)=0,"Spatial Data Missing ⚠",VLOOKUP(J108,'G-3 Multipliers'!$L$3:$N$6,2,FALSE)))</f>
        <v/>
      </c>
      <c r="L108" s="505" t="str">
        <f>IF(J108="","",IF(VLOOKUP(J108,'G-3 Multipliers'!$L$3:$N$6,3,FALSE)=0,"Spatial Data Missing ⚠",VLOOKUP(J108,'G-3 Multipliers'!$L$3:$N$6,3,FALSE)))</f>
        <v/>
      </c>
      <c r="M108" s="498" t="str">
        <f>IF(OR(D108="",H108=""),"",(INDEX('G-6 Hedgerow Data'!$E$3:$I$15,MATCH(D108,'G-6 Hedgerow Data'!$B$3:$B$15,0),MATCH(H108,'G-6 Hedgerow Data'!$E$2:$I$2,0))))</f>
        <v/>
      </c>
      <c r="N108" s="195"/>
      <c r="O108" s="195"/>
      <c r="P108" s="507" t="str">
        <f t="shared" si="7"/>
        <v/>
      </c>
      <c r="Q108" s="521" t="str">
        <f t="shared" si="8"/>
        <v/>
      </c>
      <c r="R108" s="522" t="str">
        <f t="shared" si="6"/>
        <v/>
      </c>
      <c r="S108" s="537" t="str">
        <f>IF(D108="","",VLOOKUP(D108,'G-6 Hedgerow Data'!$B$3:$AG$15,31,FALSE))</f>
        <v/>
      </c>
      <c r="T108" s="507" t="str">
        <f t="shared" si="9"/>
        <v/>
      </c>
      <c r="U108" s="507" t="str">
        <f t="shared" si="10"/>
        <v/>
      </c>
      <c r="V108" s="524" t="str">
        <f>IF(D108="","",VLOOKUP(S108,'G-3 Multipliers'!$P$3:$Q$6,2,FALSE))</f>
        <v/>
      </c>
      <c r="W108" s="529" t="str">
        <f t="shared" si="11"/>
        <v/>
      </c>
      <c r="X108" s="149"/>
      <c r="Y108" s="150"/>
      <c r="AG108" s="31" t="str">
        <f>IFERROR(INDEX('G-6 Hedgerow Data'!$BJ$3:$BJ$15,MATCH(D108,'G-6 Hedgerow Data'!$B$3:$B$15,0)),"")</f>
        <v/>
      </c>
    </row>
    <row r="109" spans="2:33" ht="14" x14ac:dyDescent="0.3">
      <c r="B109" s="141">
        <v>98</v>
      </c>
      <c r="C109" s="205"/>
      <c r="D109" s="195"/>
      <c r="E109" s="172"/>
      <c r="F109" s="553" t="str">
        <f>IF(D109="","",VLOOKUP(D109,'G-6 Hedgerow Data'!$B$2:$AG$15,2,FALSE))</f>
        <v/>
      </c>
      <c r="G109" s="499" t="str">
        <f>IF(D109="","",VLOOKUP(D109,'G-6 Hedgerow Data'!$B$2:$AG$15,3,FALSE))</f>
        <v/>
      </c>
      <c r="H109" s="145"/>
      <c r="I109" s="499" t="str">
        <f>IFERROR(VLOOKUP(H109,'G-1 All Habitats'!$Z$2:$AA$9,2,FALSE),"")</f>
        <v/>
      </c>
      <c r="J109" s="145"/>
      <c r="K109" s="520" t="str">
        <f>IF(J109="","",IF(VLOOKUP(J109,'G-3 Multipliers'!$L$3:$N$6,2,FALSE)=0,"Spatial Data Missing ⚠",VLOOKUP(J109,'G-3 Multipliers'!$L$3:$N$6,2,FALSE)))</f>
        <v/>
      </c>
      <c r="L109" s="505" t="str">
        <f>IF(J109="","",IF(VLOOKUP(J109,'G-3 Multipliers'!$L$3:$N$6,3,FALSE)=0,"Spatial Data Missing ⚠",VLOOKUP(J109,'G-3 Multipliers'!$L$3:$N$6,3,FALSE)))</f>
        <v/>
      </c>
      <c r="M109" s="498" t="str">
        <f>IF(OR(D109="",H109=""),"",(INDEX('G-6 Hedgerow Data'!$E$3:$I$15,MATCH(D109,'G-6 Hedgerow Data'!$B$3:$B$15,0),MATCH(H109,'G-6 Hedgerow Data'!$E$2:$I$2,0))))</f>
        <v/>
      </c>
      <c r="N109" s="195"/>
      <c r="O109" s="195"/>
      <c r="P109" s="507" t="str">
        <f t="shared" si="7"/>
        <v/>
      </c>
      <c r="Q109" s="521" t="str">
        <f t="shared" si="8"/>
        <v/>
      </c>
      <c r="R109" s="522" t="str">
        <f t="shared" si="6"/>
        <v/>
      </c>
      <c r="S109" s="537" t="str">
        <f>IF(D109="","",VLOOKUP(D109,'G-6 Hedgerow Data'!$B$3:$AG$15,31,FALSE))</f>
        <v/>
      </c>
      <c r="T109" s="507" t="str">
        <f t="shared" si="9"/>
        <v/>
      </c>
      <c r="U109" s="507" t="str">
        <f t="shared" si="10"/>
        <v/>
      </c>
      <c r="V109" s="524" t="str">
        <f>IF(D109="","",VLOOKUP(S109,'G-3 Multipliers'!$P$3:$Q$6,2,FALSE))</f>
        <v/>
      </c>
      <c r="W109" s="529" t="str">
        <f t="shared" si="11"/>
        <v/>
      </c>
      <c r="X109" s="149"/>
      <c r="Y109" s="150"/>
      <c r="AG109" s="31" t="str">
        <f>IFERROR(INDEX('G-6 Hedgerow Data'!$BJ$3:$BJ$15,MATCH(D109,'G-6 Hedgerow Data'!$B$3:$B$15,0)),"")</f>
        <v/>
      </c>
    </row>
    <row r="110" spans="2:33" ht="14" x14ac:dyDescent="0.3">
      <c r="B110" s="141">
        <v>99</v>
      </c>
      <c r="C110" s="205"/>
      <c r="D110" s="195"/>
      <c r="E110" s="172"/>
      <c r="F110" s="553" t="str">
        <f>IF(D110="","",VLOOKUP(D110,'G-6 Hedgerow Data'!$B$2:$AG$15,2,FALSE))</f>
        <v/>
      </c>
      <c r="G110" s="499" t="str">
        <f>IF(D110="","",VLOOKUP(D110,'G-6 Hedgerow Data'!$B$2:$AG$15,3,FALSE))</f>
        <v/>
      </c>
      <c r="H110" s="145"/>
      <c r="I110" s="499" t="str">
        <f>IFERROR(VLOOKUP(H110,'G-1 All Habitats'!$Z$2:$AA$9,2,FALSE),"")</f>
        <v/>
      </c>
      <c r="J110" s="145"/>
      <c r="K110" s="520" t="str">
        <f>IF(J110="","",IF(VLOOKUP(J110,'G-3 Multipliers'!$L$3:$N$6,2,FALSE)=0,"Spatial Data Missing ⚠",VLOOKUP(J110,'G-3 Multipliers'!$L$3:$N$6,2,FALSE)))</f>
        <v/>
      </c>
      <c r="L110" s="505" t="str">
        <f>IF(J110="","",IF(VLOOKUP(J110,'G-3 Multipliers'!$L$3:$N$6,3,FALSE)=0,"Spatial Data Missing ⚠",VLOOKUP(J110,'G-3 Multipliers'!$L$3:$N$6,3,FALSE)))</f>
        <v/>
      </c>
      <c r="M110" s="498" t="str">
        <f>IF(OR(D110="",H110=""),"",(INDEX('G-6 Hedgerow Data'!$E$3:$I$15,MATCH(D110,'G-6 Hedgerow Data'!$B$3:$B$15,0),MATCH(H110,'G-6 Hedgerow Data'!$E$2:$I$2,0))))</f>
        <v/>
      </c>
      <c r="N110" s="195"/>
      <c r="O110" s="195"/>
      <c r="P110" s="507" t="str">
        <f t="shared" si="7"/>
        <v/>
      </c>
      <c r="Q110" s="521" t="str">
        <f t="shared" si="8"/>
        <v/>
      </c>
      <c r="R110" s="522" t="str">
        <f t="shared" si="6"/>
        <v/>
      </c>
      <c r="S110" s="537" t="str">
        <f>IF(D110="","",VLOOKUP(D110,'G-6 Hedgerow Data'!$B$3:$AG$15,31,FALSE))</f>
        <v/>
      </c>
      <c r="T110" s="507" t="str">
        <f t="shared" si="9"/>
        <v/>
      </c>
      <c r="U110" s="507" t="str">
        <f t="shared" si="10"/>
        <v/>
      </c>
      <c r="V110" s="524" t="str">
        <f>IF(D110="","",VLOOKUP(S110,'G-3 Multipliers'!$P$3:$Q$6,2,FALSE))</f>
        <v/>
      </c>
      <c r="W110" s="529" t="str">
        <f t="shared" si="11"/>
        <v/>
      </c>
      <c r="X110" s="149"/>
      <c r="Y110" s="150"/>
      <c r="AG110" s="31" t="str">
        <f>IFERROR(INDEX('G-6 Hedgerow Data'!$BJ$3:$BJ$15,MATCH(D110,'G-6 Hedgerow Data'!$B$3:$B$15,0)),"")</f>
        <v/>
      </c>
    </row>
    <row r="111" spans="2:33" ht="14" x14ac:dyDescent="0.3">
      <c r="B111" s="141">
        <v>100</v>
      </c>
      <c r="C111" s="205"/>
      <c r="D111" s="195"/>
      <c r="E111" s="172"/>
      <c r="F111" s="553" t="str">
        <f>IF(D111="","",VLOOKUP(D111,'G-6 Hedgerow Data'!$B$2:$AG$15,2,FALSE))</f>
        <v/>
      </c>
      <c r="G111" s="499" t="str">
        <f>IF(D111="","",VLOOKUP(D111,'G-6 Hedgerow Data'!$B$2:$AG$15,3,FALSE))</f>
        <v/>
      </c>
      <c r="H111" s="145"/>
      <c r="I111" s="499" t="str">
        <f>IFERROR(VLOOKUP(H111,'G-1 All Habitats'!$Z$2:$AA$9,2,FALSE),"")</f>
        <v/>
      </c>
      <c r="J111" s="145"/>
      <c r="K111" s="520" t="str">
        <f>IF(J111="","",IF(VLOOKUP(J111,'G-3 Multipliers'!$L$3:$N$6,2,FALSE)=0,"Spatial Data Missing ⚠",VLOOKUP(J111,'G-3 Multipliers'!$L$3:$N$6,2,FALSE)))</f>
        <v/>
      </c>
      <c r="L111" s="505" t="str">
        <f>IF(J111="","",IF(VLOOKUP(J111,'G-3 Multipliers'!$L$3:$N$6,3,FALSE)=0,"Spatial Data Missing ⚠",VLOOKUP(J111,'G-3 Multipliers'!$L$3:$N$6,3,FALSE)))</f>
        <v/>
      </c>
      <c r="M111" s="498" t="str">
        <f>IF(OR(D111="",H111=""),"",(INDEX('G-6 Hedgerow Data'!$E$3:$I$15,MATCH(D111,'G-6 Hedgerow Data'!$B$3:$B$15,0),MATCH(H111,'G-6 Hedgerow Data'!$E$2:$I$2,0))))</f>
        <v/>
      </c>
      <c r="N111" s="195"/>
      <c r="O111" s="195"/>
      <c r="P111" s="507" t="str">
        <f t="shared" si="7"/>
        <v/>
      </c>
      <c r="Q111" s="521" t="str">
        <f t="shared" si="8"/>
        <v/>
      </c>
      <c r="R111" s="522" t="str">
        <f t="shared" si="6"/>
        <v/>
      </c>
      <c r="S111" s="537" t="str">
        <f>IF(D111="","",VLOOKUP(D111,'G-6 Hedgerow Data'!$B$3:$AG$15,31,FALSE))</f>
        <v/>
      </c>
      <c r="T111" s="507" t="str">
        <f t="shared" si="9"/>
        <v/>
      </c>
      <c r="U111" s="507" t="str">
        <f t="shared" si="10"/>
        <v/>
      </c>
      <c r="V111" s="524" t="str">
        <f>IF(D111="","",VLOOKUP(S111,'G-3 Multipliers'!$P$3:$Q$6,2,FALSE))</f>
        <v/>
      </c>
      <c r="W111" s="529" t="str">
        <f t="shared" si="11"/>
        <v/>
      </c>
      <c r="X111" s="149"/>
      <c r="Y111" s="150"/>
      <c r="AG111" s="31" t="str">
        <f>IFERROR(INDEX('G-6 Hedgerow Data'!$BJ$3:$BJ$15,MATCH(D111,'G-6 Hedgerow Data'!$B$3:$B$15,0)),"")</f>
        <v/>
      </c>
    </row>
    <row r="112" spans="2:33" ht="14" x14ac:dyDescent="0.3">
      <c r="B112" s="141">
        <v>101</v>
      </c>
      <c r="C112" s="205"/>
      <c r="D112" s="195"/>
      <c r="E112" s="172"/>
      <c r="F112" s="553" t="str">
        <f>IF(D112="","",VLOOKUP(D112,'G-6 Hedgerow Data'!$B$2:$AG$15,2,FALSE))</f>
        <v/>
      </c>
      <c r="G112" s="499" t="str">
        <f>IF(D112="","",VLOOKUP(D112,'G-6 Hedgerow Data'!$B$2:$AG$15,3,FALSE))</f>
        <v/>
      </c>
      <c r="H112" s="145"/>
      <c r="I112" s="499" t="str">
        <f>IFERROR(VLOOKUP(H112,'G-1 All Habitats'!$Z$2:$AA$9,2,FALSE),"")</f>
        <v/>
      </c>
      <c r="J112" s="145"/>
      <c r="K112" s="520" t="str">
        <f>IF(J112="","",IF(VLOOKUP(J112,'G-3 Multipliers'!$L$3:$N$6,2,FALSE)=0,"Spatial Data Missing ⚠",VLOOKUP(J112,'G-3 Multipliers'!$L$3:$N$6,2,FALSE)))</f>
        <v/>
      </c>
      <c r="L112" s="505" t="str">
        <f>IF(J112="","",IF(VLOOKUP(J112,'G-3 Multipliers'!$L$3:$N$6,3,FALSE)=0,"Spatial Data Missing ⚠",VLOOKUP(J112,'G-3 Multipliers'!$L$3:$N$6,3,FALSE)))</f>
        <v/>
      </c>
      <c r="M112" s="498" t="str">
        <f>IF(OR(D112="",H112=""),"",(INDEX('G-6 Hedgerow Data'!$E$3:$I$15,MATCH(D112,'G-6 Hedgerow Data'!$B$3:$B$15,0),MATCH(H112,'G-6 Hedgerow Data'!$E$2:$I$2,0))))</f>
        <v/>
      </c>
      <c r="N112" s="195"/>
      <c r="O112" s="195"/>
      <c r="P112" s="507" t="str">
        <f t="shared" si="7"/>
        <v/>
      </c>
      <c r="Q112" s="521" t="str">
        <f t="shared" si="8"/>
        <v/>
      </c>
      <c r="R112" s="522" t="str">
        <f t="shared" si="6"/>
        <v/>
      </c>
      <c r="S112" s="537" t="str">
        <f>IF(D112="","",VLOOKUP(D112,'G-6 Hedgerow Data'!$B$3:$AG$15,31,FALSE))</f>
        <v/>
      </c>
      <c r="T112" s="507" t="str">
        <f t="shared" si="9"/>
        <v/>
      </c>
      <c r="U112" s="507" t="str">
        <f t="shared" si="10"/>
        <v/>
      </c>
      <c r="V112" s="524" t="str">
        <f>IF(D112="","",VLOOKUP(S112,'G-3 Multipliers'!$P$3:$Q$6,2,FALSE))</f>
        <v/>
      </c>
      <c r="W112" s="529" t="str">
        <f t="shared" si="11"/>
        <v/>
      </c>
      <c r="X112" s="149"/>
      <c r="Y112" s="150"/>
      <c r="AG112" s="31" t="str">
        <f>IFERROR(INDEX('G-6 Hedgerow Data'!$BJ$3:$BJ$15,MATCH(D112,'G-6 Hedgerow Data'!$B$3:$B$15,0)),"")</f>
        <v/>
      </c>
    </row>
    <row r="113" spans="2:33" ht="14" x14ac:dyDescent="0.3">
      <c r="B113" s="141">
        <v>102</v>
      </c>
      <c r="C113" s="205"/>
      <c r="D113" s="195"/>
      <c r="E113" s="172"/>
      <c r="F113" s="553" t="str">
        <f>IF(D113="","",VLOOKUP(D113,'G-6 Hedgerow Data'!$B$2:$AG$15,2,FALSE))</f>
        <v/>
      </c>
      <c r="G113" s="499" t="str">
        <f>IF(D113="","",VLOOKUP(D113,'G-6 Hedgerow Data'!$B$2:$AG$15,3,FALSE))</f>
        <v/>
      </c>
      <c r="H113" s="145"/>
      <c r="I113" s="499" t="str">
        <f>IFERROR(VLOOKUP(H113,'G-1 All Habitats'!$Z$2:$AA$9,2,FALSE),"")</f>
        <v/>
      </c>
      <c r="J113" s="145"/>
      <c r="K113" s="520" t="str">
        <f>IF(J113="","",IF(VLOOKUP(J113,'G-3 Multipliers'!$L$3:$N$6,2,FALSE)=0,"Spatial Data Missing ⚠",VLOOKUP(J113,'G-3 Multipliers'!$L$3:$N$6,2,FALSE)))</f>
        <v/>
      </c>
      <c r="L113" s="505" t="str">
        <f>IF(J113="","",IF(VLOOKUP(J113,'G-3 Multipliers'!$L$3:$N$6,3,FALSE)=0,"Spatial Data Missing ⚠",VLOOKUP(J113,'G-3 Multipliers'!$L$3:$N$6,3,FALSE)))</f>
        <v/>
      </c>
      <c r="M113" s="498" t="str">
        <f>IF(OR(D113="",H113=""),"",(INDEX('G-6 Hedgerow Data'!$E$3:$I$15,MATCH(D113,'G-6 Hedgerow Data'!$B$3:$B$15,0),MATCH(H113,'G-6 Hedgerow Data'!$E$2:$I$2,0))))</f>
        <v/>
      </c>
      <c r="N113" s="195"/>
      <c r="O113" s="195"/>
      <c r="P113" s="507" t="str">
        <f t="shared" si="7"/>
        <v/>
      </c>
      <c r="Q113" s="521" t="str">
        <f t="shared" si="8"/>
        <v/>
      </c>
      <c r="R113" s="522" t="str">
        <f t="shared" si="6"/>
        <v/>
      </c>
      <c r="S113" s="537" t="str">
        <f>IF(D113="","",VLOOKUP(D113,'G-6 Hedgerow Data'!$B$3:$AG$15,31,FALSE))</f>
        <v/>
      </c>
      <c r="T113" s="507" t="str">
        <f t="shared" si="9"/>
        <v/>
      </c>
      <c r="U113" s="507" t="str">
        <f t="shared" si="10"/>
        <v/>
      </c>
      <c r="V113" s="524" t="str">
        <f>IF(D113="","",VLOOKUP(S113,'G-3 Multipliers'!$P$3:$Q$6,2,FALSE))</f>
        <v/>
      </c>
      <c r="W113" s="529" t="str">
        <f t="shared" si="11"/>
        <v/>
      </c>
      <c r="X113" s="149"/>
      <c r="Y113" s="150"/>
      <c r="AG113" s="31" t="str">
        <f>IFERROR(INDEX('G-6 Hedgerow Data'!$BJ$3:$BJ$15,MATCH(D113,'G-6 Hedgerow Data'!$B$3:$B$15,0)),"")</f>
        <v/>
      </c>
    </row>
    <row r="114" spans="2:33" ht="14" x14ac:dyDescent="0.3">
      <c r="B114" s="141">
        <v>103</v>
      </c>
      <c r="C114" s="205"/>
      <c r="D114" s="195"/>
      <c r="E114" s="172"/>
      <c r="F114" s="553" t="str">
        <f>IF(D114="","",VLOOKUP(D114,'G-6 Hedgerow Data'!$B$2:$AG$15,2,FALSE))</f>
        <v/>
      </c>
      <c r="G114" s="499" t="str">
        <f>IF(D114="","",VLOOKUP(D114,'G-6 Hedgerow Data'!$B$2:$AG$15,3,FALSE))</f>
        <v/>
      </c>
      <c r="H114" s="145"/>
      <c r="I114" s="499" t="str">
        <f>IFERROR(VLOOKUP(H114,'G-1 All Habitats'!$Z$2:$AA$9,2,FALSE),"")</f>
        <v/>
      </c>
      <c r="J114" s="145"/>
      <c r="K114" s="520" t="str">
        <f>IF(J114="","",IF(VLOOKUP(J114,'G-3 Multipliers'!$L$3:$N$6,2,FALSE)=0,"Spatial Data Missing ⚠",VLOOKUP(J114,'G-3 Multipliers'!$L$3:$N$6,2,FALSE)))</f>
        <v/>
      </c>
      <c r="L114" s="505" t="str">
        <f>IF(J114="","",IF(VLOOKUP(J114,'G-3 Multipliers'!$L$3:$N$6,3,FALSE)=0,"Spatial Data Missing ⚠",VLOOKUP(J114,'G-3 Multipliers'!$L$3:$N$6,3,FALSE)))</f>
        <v/>
      </c>
      <c r="M114" s="498" t="str">
        <f>IF(OR(D114="",H114=""),"",(INDEX('G-6 Hedgerow Data'!$E$3:$I$15,MATCH(D114,'G-6 Hedgerow Data'!$B$3:$B$15,0),MATCH(H114,'G-6 Hedgerow Data'!$E$2:$I$2,0))))</f>
        <v/>
      </c>
      <c r="N114" s="195"/>
      <c r="O114" s="195"/>
      <c r="P114" s="507" t="str">
        <f t="shared" si="7"/>
        <v/>
      </c>
      <c r="Q114" s="521" t="str">
        <f t="shared" si="8"/>
        <v/>
      </c>
      <c r="R114" s="522" t="str">
        <f t="shared" si="6"/>
        <v/>
      </c>
      <c r="S114" s="537" t="str">
        <f>IF(D114="","",VLOOKUP(D114,'G-6 Hedgerow Data'!$B$3:$AG$15,31,FALSE))</f>
        <v/>
      </c>
      <c r="T114" s="507" t="str">
        <f t="shared" si="9"/>
        <v/>
      </c>
      <c r="U114" s="507" t="str">
        <f t="shared" si="10"/>
        <v/>
      </c>
      <c r="V114" s="524" t="str">
        <f>IF(D114="","",VLOOKUP(S114,'G-3 Multipliers'!$P$3:$Q$6,2,FALSE))</f>
        <v/>
      </c>
      <c r="W114" s="529" t="str">
        <f t="shared" si="11"/>
        <v/>
      </c>
      <c r="X114" s="149"/>
      <c r="Y114" s="150"/>
      <c r="AG114" s="31" t="str">
        <f>IFERROR(INDEX('G-6 Hedgerow Data'!$BJ$3:$BJ$15,MATCH(D114,'G-6 Hedgerow Data'!$B$3:$B$15,0)),"")</f>
        <v/>
      </c>
    </row>
    <row r="115" spans="2:33" ht="14" x14ac:dyDescent="0.3">
      <c r="B115" s="141">
        <v>104</v>
      </c>
      <c r="C115" s="205"/>
      <c r="D115" s="195"/>
      <c r="E115" s="172"/>
      <c r="F115" s="553" t="str">
        <f>IF(D115="","",VLOOKUP(D115,'G-6 Hedgerow Data'!$B$2:$AG$15,2,FALSE))</f>
        <v/>
      </c>
      <c r="G115" s="499" t="str">
        <f>IF(D115="","",VLOOKUP(D115,'G-6 Hedgerow Data'!$B$2:$AG$15,3,FALSE))</f>
        <v/>
      </c>
      <c r="H115" s="145"/>
      <c r="I115" s="499" t="str">
        <f>IFERROR(VLOOKUP(H115,'G-1 All Habitats'!$Z$2:$AA$9,2,FALSE),"")</f>
        <v/>
      </c>
      <c r="J115" s="145"/>
      <c r="K115" s="520" t="str">
        <f>IF(J115="","",IF(VLOOKUP(J115,'G-3 Multipliers'!$L$3:$N$6,2,FALSE)=0,"Spatial Data Missing ⚠",VLOOKUP(J115,'G-3 Multipliers'!$L$3:$N$6,2,FALSE)))</f>
        <v/>
      </c>
      <c r="L115" s="505" t="str">
        <f>IF(J115="","",IF(VLOOKUP(J115,'G-3 Multipliers'!$L$3:$N$6,3,FALSE)=0,"Spatial Data Missing ⚠",VLOOKUP(J115,'G-3 Multipliers'!$L$3:$N$6,3,FALSE)))</f>
        <v/>
      </c>
      <c r="M115" s="498" t="str">
        <f>IF(OR(D115="",H115=""),"",(INDEX('G-6 Hedgerow Data'!$E$3:$I$15,MATCH(D115,'G-6 Hedgerow Data'!$B$3:$B$15,0),MATCH(H115,'G-6 Hedgerow Data'!$E$2:$I$2,0))))</f>
        <v/>
      </c>
      <c r="N115" s="195"/>
      <c r="O115" s="195"/>
      <c r="P115" s="507" t="str">
        <f t="shared" si="7"/>
        <v/>
      </c>
      <c r="Q115" s="521" t="str">
        <f t="shared" si="8"/>
        <v/>
      </c>
      <c r="R115" s="522" t="str">
        <f t="shared" si="6"/>
        <v/>
      </c>
      <c r="S115" s="537" t="str">
        <f>IF(D115="","",VLOOKUP(D115,'G-6 Hedgerow Data'!$B$3:$AG$15,31,FALSE))</f>
        <v/>
      </c>
      <c r="T115" s="507" t="str">
        <f t="shared" si="9"/>
        <v/>
      </c>
      <c r="U115" s="507" t="str">
        <f t="shared" si="10"/>
        <v/>
      </c>
      <c r="V115" s="524" t="str">
        <f>IF(D115="","",VLOOKUP(S115,'G-3 Multipliers'!$P$3:$Q$6,2,FALSE))</f>
        <v/>
      </c>
      <c r="W115" s="529" t="str">
        <f t="shared" si="11"/>
        <v/>
      </c>
      <c r="X115" s="149"/>
      <c r="Y115" s="150"/>
      <c r="AG115" s="31" t="str">
        <f>IFERROR(INDEX('G-6 Hedgerow Data'!$BJ$3:$BJ$15,MATCH(D115,'G-6 Hedgerow Data'!$B$3:$B$15,0)),"")</f>
        <v/>
      </c>
    </row>
    <row r="116" spans="2:33" ht="14" x14ac:dyDescent="0.3">
      <c r="B116" s="141">
        <v>105</v>
      </c>
      <c r="C116" s="205"/>
      <c r="D116" s="195"/>
      <c r="E116" s="172"/>
      <c r="F116" s="553" t="str">
        <f>IF(D116="","",VLOOKUP(D116,'G-6 Hedgerow Data'!$B$2:$AG$15,2,FALSE))</f>
        <v/>
      </c>
      <c r="G116" s="499" t="str">
        <f>IF(D116="","",VLOOKUP(D116,'G-6 Hedgerow Data'!$B$2:$AG$15,3,FALSE))</f>
        <v/>
      </c>
      <c r="H116" s="145"/>
      <c r="I116" s="499" t="str">
        <f>IFERROR(VLOOKUP(H116,'G-1 All Habitats'!$Z$2:$AA$9,2,FALSE),"")</f>
        <v/>
      </c>
      <c r="J116" s="145"/>
      <c r="K116" s="520" t="str">
        <f>IF(J116="","",IF(VLOOKUP(J116,'G-3 Multipliers'!$L$3:$N$6,2,FALSE)=0,"Spatial Data Missing ⚠",VLOOKUP(J116,'G-3 Multipliers'!$L$3:$N$6,2,FALSE)))</f>
        <v/>
      </c>
      <c r="L116" s="505" t="str">
        <f>IF(J116="","",IF(VLOOKUP(J116,'G-3 Multipliers'!$L$3:$N$6,3,FALSE)=0,"Spatial Data Missing ⚠",VLOOKUP(J116,'G-3 Multipliers'!$L$3:$N$6,3,FALSE)))</f>
        <v/>
      </c>
      <c r="M116" s="498" t="str">
        <f>IF(OR(D116="",H116=""),"",(INDEX('G-6 Hedgerow Data'!$E$3:$I$15,MATCH(D116,'G-6 Hedgerow Data'!$B$3:$B$15,0),MATCH(H116,'G-6 Hedgerow Data'!$E$2:$I$2,0))))</f>
        <v/>
      </c>
      <c r="N116" s="195"/>
      <c r="O116" s="195"/>
      <c r="P116" s="507" t="str">
        <f t="shared" si="7"/>
        <v/>
      </c>
      <c r="Q116" s="521" t="str">
        <f t="shared" si="8"/>
        <v/>
      </c>
      <c r="R116" s="522" t="str">
        <f t="shared" si="6"/>
        <v/>
      </c>
      <c r="S116" s="537" t="str">
        <f>IF(D116="","",VLOOKUP(D116,'G-6 Hedgerow Data'!$B$3:$AG$15,31,FALSE))</f>
        <v/>
      </c>
      <c r="T116" s="507" t="str">
        <f t="shared" si="9"/>
        <v/>
      </c>
      <c r="U116" s="507" t="str">
        <f t="shared" si="10"/>
        <v/>
      </c>
      <c r="V116" s="524" t="str">
        <f>IF(D116="","",VLOOKUP(S116,'G-3 Multipliers'!$P$3:$Q$6,2,FALSE))</f>
        <v/>
      </c>
      <c r="W116" s="529" t="str">
        <f t="shared" si="11"/>
        <v/>
      </c>
      <c r="X116" s="149"/>
      <c r="Y116" s="150"/>
      <c r="AG116" s="31" t="str">
        <f>IFERROR(INDEX('G-6 Hedgerow Data'!$BJ$3:$BJ$15,MATCH(D116,'G-6 Hedgerow Data'!$B$3:$B$15,0)),"")</f>
        <v/>
      </c>
    </row>
    <row r="117" spans="2:33" ht="14" x14ac:dyDescent="0.3">
      <c r="B117" s="141">
        <v>106</v>
      </c>
      <c r="C117" s="205"/>
      <c r="D117" s="195"/>
      <c r="E117" s="172"/>
      <c r="F117" s="553" t="str">
        <f>IF(D117="","",VLOOKUP(D117,'G-6 Hedgerow Data'!$B$2:$AG$15,2,FALSE))</f>
        <v/>
      </c>
      <c r="G117" s="499" t="str">
        <f>IF(D117="","",VLOOKUP(D117,'G-6 Hedgerow Data'!$B$2:$AG$15,3,FALSE))</f>
        <v/>
      </c>
      <c r="H117" s="145"/>
      <c r="I117" s="499" t="str">
        <f>IFERROR(VLOOKUP(H117,'G-1 All Habitats'!$Z$2:$AA$9,2,FALSE),"")</f>
        <v/>
      </c>
      <c r="J117" s="145"/>
      <c r="K117" s="520" t="str">
        <f>IF(J117="","",IF(VLOOKUP(J117,'G-3 Multipliers'!$L$3:$N$6,2,FALSE)=0,"Spatial Data Missing ⚠",VLOOKUP(J117,'G-3 Multipliers'!$L$3:$N$6,2,FALSE)))</f>
        <v/>
      </c>
      <c r="L117" s="505" t="str">
        <f>IF(J117="","",IF(VLOOKUP(J117,'G-3 Multipliers'!$L$3:$N$6,3,FALSE)=0,"Spatial Data Missing ⚠",VLOOKUP(J117,'G-3 Multipliers'!$L$3:$N$6,3,FALSE)))</f>
        <v/>
      </c>
      <c r="M117" s="498" t="str">
        <f>IF(OR(D117="",H117=""),"",(INDEX('G-6 Hedgerow Data'!$E$3:$I$15,MATCH(D117,'G-6 Hedgerow Data'!$B$3:$B$15,0),MATCH(H117,'G-6 Hedgerow Data'!$E$2:$I$2,0))))</f>
        <v/>
      </c>
      <c r="N117" s="195"/>
      <c r="O117" s="195"/>
      <c r="P117" s="507" t="str">
        <f t="shared" si="7"/>
        <v/>
      </c>
      <c r="Q117" s="521" t="str">
        <f t="shared" si="8"/>
        <v/>
      </c>
      <c r="R117" s="522" t="str">
        <f t="shared" si="6"/>
        <v/>
      </c>
      <c r="S117" s="537" t="str">
        <f>IF(D117="","",VLOOKUP(D117,'G-6 Hedgerow Data'!$B$3:$AG$15,31,FALSE))</f>
        <v/>
      </c>
      <c r="T117" s="507" t="str">
        <f t="shared" si="9"/>
        <v/>
      </c>
      <c r="U117" s="507" t="str">
        <f t="shared" si="10"/>
        <v/>
      </c>
      <c r="V117" s="524" t="str">
        <f>IF(D117="","",VLOOKUP(S117,'G-3 Multipliers'!$P$3:$Q$6,2,FALSE))</f>
        <v/>
      </c>
      <c r="W117" s="529" t="str">
        <f t="shared" si="11"/>
        <v/>
      </c>
      <c r="X117" s="149"/>
      <c r="Y117" s="150"/>
      <c r="AG117" s="31" t="str">
        <f>IFERROR(INDEX('G-6 Hedgerow Data'!$BJ$3:$BJ$15,MATCH(D117,'G-6 Hedgerow Data'!$B$3:$B$15,0)),"")</f>
        <v/>
      </c>
    </row>
    <row r="118" spans="2:33" ht="14" x14ac:dyDescent="0.3">
      <c r="B118" s="141">
        <v>107</v>
      </c>
      <c r="C118" s="205"/>
      <c r="D118" s="195"/>
      <c r="E118" s="172"/>
      <c r="F118" s="553" t="str">
        <f>IF(D118="","",VLOOKUP(D118,'G-6 Hedgerow Data'!$B$2:$AG$15,2,FALSE))</f>
        <v/>
      </c>
      <c r="G118" s="499" t="str">
        <f>IF(D118="","",VLOOKUP(D118,'G-6 Hedgerow Data'!$B$2:$AG$15,3,FALSE))</f>
        <v/>
      </c>
      <c r="H118" s="145"/>
      <c r="I118" s="499" t="str">
        <f>IFERROR(VLOOKUP(H118,'G-1 All Habitats'!$Z$2:$AA$9,2,FALSE),"")</f>
        <v/>
      </c>
      <c r="J118" s="145"/>
      <c r="K118" s="520" t="str">
        <f>IF(J118="","",IF(VLOOKUP(J118,'G-3 Multipliers'!$L$3:$N$6,2,FALSE)=0,"Spatial Data Missing ⚠",VLOOKUP(J118,'G-3 Multipliers'!$L$3:$N$6,2,FALSE)))</f>
        <v/>
      </c>
      <c r="L118" s="505" t="str">
        <f>IF(J118="","",IF(VLOOKUP(J118,'G-3 Multipliers'!$L$3:$N$6,3,FALSE)=0,"Spatial Data Missing ⚠",VLOOKUP(J118,'G-3 Multipliers'!$L$3:$N$6,3,FALSE)))</f>
        <v/>
      </c>
      <c r="M118" s="498" t="str">
        <f>IF(OR(D118="",H118=""),"",(INDEX('G-6 Hedgerow Data'!$E$3:$I$15,MATCH(D118,'G-6 Hedgerow Data'!$B$3:$B$15,0),MATCH(H118,'G-6 Hedgerow Data'!$E$2:$I$2,0))))</f>
        <v/>
      </c>
      <c r="N118" s="195"/>
      <c r="O118" s="195"/>
      <c r="P118" s="507" t="str">
        <f t="shared" si="7"/>
        <v/>
      </c>
      <c r="Q118" s="521" t="str">
        <f t="shared" si="8"/>
        <v/>
      </c>
      <c r="R118" s="522" t="str">
        <f t="shared" si="6"/>
        <v/>
      </c>
      <c r="S118" s="537" t="str">
        <f>IF(D118="","",VLOOKUP(D118,'G-6 Hedgerow Data'!$B$3:$AG$15,31,FALSE))</f>
        <v/>
      </c>
      <c r="T118" s="507" t="str">
        <f t="shared" si="9"/>
        <v/>
      </c>
      <c r="U118" s="507" t="str">
        <f t="shared" si="10"/>
        <v/>
      </c>
      <c r="V118" s="524" t="str">
        <f>IF(D118="","",VLOOKUP(S118,'G-3 Multipliers'!$P$3:$Q$6,2,FALSE))</f>
        <v/>
      </c>
      <c r="W118" s="529" t="str">
        <f t="shared" si="11"/>
        <v/>
      </c>
      <c r="X118" s="149"/>
      <c r="Y118" s="150"/>
      <c r="AG118" s="31" t="str">
        <f>IFERROR(INDEX('G-6 Hedgerow Data'!$BJ$3:$BJ$15,MATCH(D118,'G-6 Hedgerow Data'!$B$3:$B$15,0)),"")</f>
        <v/>
      </c>
    </row>
    <row r="119" spans="2:33" ht="14" x14ac:dyDescent="0.3">
      <c r="B119" s="141">
        <v>108</v>
      </c>
      <c r="C119" s="205"/>
      <c r="D119" s="195"/>
      <c r="E119" s="172"/>
      <c r="F119" s="553" t="str">
        <f>IF(D119="","",VLOOKUP(D119,'G-6 Hedgerow Data'!$B$2:$AG$15,2,FALSE))</f>
        <v/>
      </c>
      <c r="G119" s="499" t="str">
        <f>IF(D119="","",VLOOKUP(D119,'G-6 Hedgerow Data'!$B$2:$AG$15,3,FALSE))</f>
        <v/>
      </c>
      <c r="H119" s="145"/>
      <c r="I119" s="499" t="str">
        <f>IFERROR(VLOOKUP(H119,'G-1 All Habitats'!$Z$2:$AA$9,2,FALSE),"")</f>
        <v/>
      </c>
      <c r="J119" s="145"/>
      <c r="K119" s="520" t="str">
        <f>IF(J119="","",IF(VLOOKUP(J119,'G-3 Multipliers'!$L$3:$N$6,2,FALSE)=0,"Spatial Data Missing ⚠",VLOOKUP(J119,'G-3 Multipliers'!$L$3:$N$6,2,FALSE)))</f>
        <v/>
      </c>
      <c r="L119" s="505" t="str">
        <f>IF(J119="","",IF(VLOOKUP(J119,'G-3 Multipliers'!$L$3:$N$6,3,FALSE)=0,"Spatial Data Missing ⚠",VLOOKUP(J119,'G-3 Multipliers'!$L$3:$N$6,3,FALSE)))</f>
        <v/>
      </c>
      <c r="M119" s="498" t="str">
        <f>IF(OR(D119="",H119=""),"",(INDEX('G-6 Hedgerow Data'!$E$3:$I$15,MATCH(D119,'G-6 Hedgerow Data'!$B$3:$B$15,0),MATCH(H119,'G-6 Hedgerow Data'!$E$2:$I$2,0))))</f>
        <v/>
      </c>
      <c r="N119" s="195"/>
      <c r="O119" s="195"/>
      <c r="P119" s="507" t="str">
        <f t="shared" si="7"/>
        <v/>
      </c>
      <c r="Q119" s="521" t="str">
        <f t="shared" si="8"/>
        <v/>
      </c>
      <c r="R119" s="522" t="str">
        <f t="shared" si="6"/>
        <v/>
      </c>
      <c r="S119" s="537" t="str">
        <f>IF(D119="","",VLOOKUP(D119,'G-6 Hedgerow Data'!$B$3:$AG$15,31,FALSE))</f>
        <v/>
      </c>
      <c r="T119" s="507" t="str">
        <f t="shared" si="9"/>
        <v/>
      </c>
      <c r="U119" s="507" t="str">
        <f t="shared" si="10"/>
        <v/>
      </c>
      <c r="V119" s="524" t="str">
        <f>IF(D119="","",VLOOKUP(S119,'G-3 Multipliers'!$P$3:$Q$6,2,FALSE))</f>
        <v/>
      </c>
      <c r="W119" s="529" t="str">
        <f t="shared" si="11"/>
        <v/>
      </c>
      <c r="X119" s="149"/>
      <c r="Y119" s="150"/>
      <c r="AG119" s="31" t="str">
        <f>IFERROR(INDEX('G-6 Hedgerow Data'!$BJ$3:$BJ$15,MATCH(D119,'G-6 Hedgerow Data'!$B$3:$B$15,0)),"")</f>
        <v/>
      </c>
    </row>
    <row r="120" spans="2:33" ht="14" x14ac:dyDescent="0.3">
      <c r="B120" s="141">
        <v>109</v>
      </c>
      <c r="C120" s="205"/>
      <c r="D120" s="195"/>
      <c r="E120" s="172"/>
      <c r="F120" s="553" t="str">
        <f>IF(D120="","",VLOOKUP(D120,'G-6 Hedgerow Data'!$B$2:$AG$15,2,FALSE))</f>
        <v/>
      </c>
      <c r="G120" s="499" t="str">
        <f>IF(D120="","",VLOOKUP(D120,'G-6 Hedgerow Data'!$B$2:$AG$15,3,FALSE))</f>
        <v/>
      </c>
      <c r="H120" s="145"/>
      <c r="I120" s="499" t="str">
        <f>IFERROR(VLOOKUP(H120,'G-1 All Habitats'!$Z$2:$AA$9,2,FALSE),"")</f>
        <v/>
      </c>
      <c r="J120" s="145"/>
      <c r="K120" s="520" t="str">
        <f>IF(J120="","",IF(VLOOKUP(J120,'G-3 Multipliers'!$L$3:$N$6,2,FALSE)=0,"Spatial Data Missing ⚠",VLOOKUP(J120,'G-3 Multipliers'!$L$3:$N$6,2,FALSE)))</f>
        <v/>
      </c>
      <c r="L120" s="505" t="str">
        <f>IF(J120="","",IF(VLOOKUP(J120,'G-3 Multipliers'!$L$3:$N$6,3,FALSE)=0,"Spatial Data Missing ⚠",VLOOKUP(J120,'G-3 Multipliers'!$L$3:$N$6,3,FALSE)))</f>
        <v/>
      </c>
      <c r="M120" s="498" t="str">
        <f>IF(OR(D120="",H120=""),"",(INDEX('G-6 Hedgerow Data'!$E$3:$I$15,MATCH(D120,'G-6 Hedgerow Data'!$B$3:$B$15,0),MATCH(H120,'G-6 Hedgerow Data'!$E$2:$I$2,0))))</f>
        <v/>
      </c>
      <c r="N120" s="195"/>
      <c r="O120" s="195"/>
      <c r="P120" s="507" t="str">
        <f t="shared" si="7"/>
        <v/>
      </c>
      <c r="Q120" s="521" t="str">
        <f t="shared" si="8"/>
        <v/>
      </c>
      <c r="R120" s="522" t="str">
        <f t="shared" si="6"/>
        <v/>
      </c>
      <c r="S120" s="537" t="str">
        <f>IF(D120="","",VLOOKUP(D120,'G-6 Hedgerow Data'!$B$3:$AG$15,31,FALSE))</f>
        <v/>
      </c>
      <c r="T120" s="507" t="str">
        <f t="shared" si="9"/>
        <v/>
      </c>
      <c r="U120" s="507" t="str">
        <f t="shared" si="10"/>
        <v/>
      </c>
      <c r="V120" s="524" t="str">
        <f>IF(D120="","",VLOOKUP(S120,'G-3 Multipliers'!$P$3:$Q$6,2,FALSE))</f>
        <v/>
      </c>
      <c r="W120" s="529" t="str">
        <f t="shared" si="11"/>
        <v/>
      </c>
      <c r="X120" s="149"/>
      <c r="Y120" s="150"/>
      <c r="AG120" s="31" t="str">
        <f>IFERROR(INDEX('G-6 Hedgerow Data'!$BJ$3:$BJ$15,MATCH(D120,'G-6 Hedgerow Data'!$B$3:$B$15,0)),"")</f>
        <v/>
      </c>
    </row>
    <row r="121" spans="2:33" ht="14" x14ac:dyDescent="0.3">
      <c r="B121" s="141">
        <v>110</v>
      </c>
      <c r="C121" s="205"/>
      <c r="D121" s="195"/>
      <c r="E121" s="172"/>
      <c r="F121" s="553" t="str">
        <f>IF(D121="","",VLOOKUP(D121,'G-6 Hedgerow Data'!$B$2:$AG$15,2,FALSE))</f>
        <v/>
      </c>
      <c r="G121" s="499" t="str">
        <f>IF(D121="","",VLOOKUP(D121,'G-6 Hedgerow Data'!$B$2:$AG$15,3,FALSE))</f>
        <v/>
      </c>
      <c r="H121" s="145"/>
      <c r="I121" s="499" t="str">
        <f>IFERROR(VLOOKUP(H121,'G-1 All Habitats'!$Z$2:$AA$9,2,FALSE),"")</f>
        <v/>
      </c>
      <c r="J121" s="145"/>
      <c r="K121" s="520" t="str">
        <f>IF(J121="","",IF(VLOOKUP(J121,'G-3 Multipliers'!$L$3:$N$6,2,FALSE)=0,"Spatial Data Missing ⚠",VLOOKUP(J121,'G-3 Multipliers'!$L$3:$N$6,2,FALSE)))</f>
        <v/>
      </c>
      <c r="L121" s="505" t="str">
        <f>IF(J121="","",IF(VLOOKUP(J121,'G-3 Multipliers'!$L$3:$N$6,3,FALSE)=0,"Spatial Data Missing ⚠",VLOOKUP(J121,'G-3 Multipliers'!$L$3:$N$6,3,FALSE)))</f>
        <v/>
      </c>
      <c r="M121" s="498" t="str">
        <f>IF(OR(D121="",H121=""),"",(INDEX('G-6 Hedgerow Data'!$E$3:$I$15,MATCH(D121,'G-6 Hedgerow Data'!$B$3:$B$15,0),MATCH(H121,'G-6 Hedgerow Data'!$E$2:$I$2,0))))</f>
        <v/>
      </c>
      <c r="N121" s="195"/>
      <c r="O121" s="195"/>
      <c r="P121" s="507" t="str">
        <f t="shared" si="7"/>
        <v/>
      </c>
      <c r="Q121" s="521" t="str">
        <f t="shared" si="8"/>
        <v/>
      </c>
      <c r="R121" s="522" t="str">
        <f t="shared" si="6"/>
        <v/>
      </c>
      <c r="S121" s="537" t="str">
        <f>IF(D121="","",VLOOKUP(D121,'G-6 Hedgerow Data'!$B$3:$AG$15,31,FALSE))</f>
        <v/>
      </c>
      <c r="T121" s="507" t="str">
        <f t="shared" si="9"/>
        <v/>
      </c>
      <c r="U121" s="507" t="str">
        <f t="shared" si="10"/>
        <v/>
      </c>
      <c r="V121" s="524" t="str">
        <f>IF(D121="","",VLOOKUP(S121,'G-3 Multipliers'!$P$3:$Q$6,2,FALSE))</f>
        <v/>
      </c>
      <c r="W121" s="529" t="str">
        <f t="shared" si="11"/>
        <v/>
      </c>
      <c r="X121" s="149"/>
      <c r="Y121" s="150"/>
      <c r="AG121" s="31" t="str">
        <f>IFERROR(INDEX('G-6 Hedgerow Data'!$BJ$3:$BJ$15,MATCH(D121,'G-6 Hedgerow Data'!$B$3:$B$15,0)),"")</f>
        <v/>
      </c>
    </row>
    <row r="122" spans="2:33" ht="14" x14ac:dyDescent="0.3">
      <c r="B122" s="141">
        <v>111</v>
      </c>
      <c r="C122" s="205"/>
      <c r="D122" s="195"/>
      <c r="E122" s="172"/>
      <c r="F122" s="553" t="str">
        <f>IF(D122="","",VLOOKUP(D122,'G-6 Hedgerow Data'!$B$2:$AG$15,2,FALSE))</f>
        <v/>
      </c>
      <c r="G122" s="499" t="str">
        <f>IF(D122="","",VLOOKUP(D122,'G-6 Hedgerow Data'!$B$2:$AG$15,3,FALSE))</f>
        <v/>
      </c>
      <c r="H122" s="145"/>
      <c r="I122" s="499" t="str">
        <f>IFERROR(VLOOKUP(H122,'G-1 All Habitats'!$Z$2:$AA$9,2,FALSE),"")</f>
        <v/>
      </c>
      <c r="J122" s="145"/>
      <c r="K122" s="520" t="str">
        <f>IF(J122="","",IF(VLOOKUP(J122,'G-3 Multipliers'!$L$3:$N$6,2,FALSE)=0,"Spatial Data Missing ⚠",VLOOKUP(J122,'G-3 Multipliers'!$L$3:$N$6,2,FALSE)))</f>
        <v/>
      </c>
      <c r="L122" s="505" t="str">
        <f>IF(J122="","",IF(VLOOKUP(J122,'G-3 Multipliers'!$L$3:$N$6,3,FALSE)=0,"Spatial Data Missing ⚠",VLOOKUP(J122,'G-3 Multipliers'!$L$3:$N$6,3,FALSE)))</f>
        <v/>
      </c>
      <c r="M122" s="498" t="str">
        <f>IF(OR(D122="",H122=""),"",(INDEX('G-6 Hedgerow Data'!$E$3:$I$15,MATCH(D122,'G-6 Hedgerow Data'!$B$3:$B$15,0),MATCH(H122,'G-6 Hedgerow Data'!$E$2:$I$2,0))))</f>
        <v/>
      </c>
      <c r="N122" s="195"/>
      <c r="O122" s="195"/>
      <c r="P122" s="507" t="str">
        <f t="shared" si="7"/>
        <v/>
      </c>
      <c r="Q122" s="521" t="str">
        <f t="shared" si="8"/>
        <v/>
      </c>
      <c r="R122" s="522" t="str">
        <f t="shared" si="6"/>
        <v/>
      </c>
      <c r="S122" s="537" t="str">
        <f>IF(D122="","",VLOOKUP(D122,'G-6 Hedgerow Data'!$B$3:$AG$15,31,FALSE))</f>
        <v/>
      </c>
      <c r="T122" s="507" t="str">
        <f t="shared" si="9"/>
        <v/>
      </c>
      <c r="U122" s="507" t="str">
        <f t="shared" si="10"/>
        <v/>
      </c>
      <c r="V122" s="524" t="str">
        <f>IF(D122="","",VLOOKUP(S122,'G-3 Multipliers'!$P$3:$Q$6,2,FALSE))</f>
        <v/>
      </c>
      <c r="W122" s="529" t="str">
        <f t="shared" si="11"/>
        <v/>
      </c>
      <c r="X122" s="149"/>
      <c r="Y122" s="150"/>
      <c r="AG122" s="31" t="str">
        <f>IFERROR(INDEX('G-6 Hedgerow Data'!$BJ$3:$BJ$15,MATCH(D122,'G-6 Hedgerow Data'!$B$3:$B$15,0)),"")</f>
        <v/>
      </c>
    </row>
    <row r="123" spans="2:33" ht="14" x14ac:dyDescent="0.3">
      <c r="B123" s="141">
        <v>112</v>
      </c>
      <c r="C123" s="205"/>
      <c r="D123" s="195"/>
      <c r="E123" s="172"/>
      <c r="F123" s="553" t="str">
        <f>IF(D123="","",VLOOKUP(D123,'G-6 Hedgerow Data'!$B$2:$AG$15,2,FALSE))</f>
        <v/>
      </c>
      <c r="G123" s="499" t="str">
        <f>IF(D123="","",VLOOKUP(D123,'G-6 Hedgerow Data'!$B$2:$AG$15,3,FALSE))</f>
        <v/>
      </c>
      <c r="H123" s="145"/>
      <c r="I123" s="499" t="str">
        <f>IFERROR(VLOOKUP(H123,'G-1 All Habitats'!$Z$2:$AA$9,2,FALSE),"")</f>
        <v/>
      </c>
      <c r="J123" s="145"/>
      <c r="K123" s="520" t="str">
        <f>IF(J123="","",IF(VLOOKUP(J123,'G-3 Multipliers'!$L$3:$N$6,2,FALSE)=0,"Spatial Data Missing ⚠",VLOOKUP(J123,'G-3 Multipliers'!$L$3:$N$6,2,FALSE)))</f>
        <v/>
      </c>
      <c r="L123" s="505" t="str">
        <f>IF(J123="","",IF(VLOOKUP(J123,'G-3 Multipliers'!$L$3:$N$6,3,FALSE)=0,"Spatial Data Missing ⚠",VLOOKUP(J123,'G-3 Multipliers'!$L$3:$N$6,3,FALSE)))</f>
        <v/>
      </c>
      <c r="M123" s="498" t="str">
        <f>IF(OR(D123="",H123=""),"",(INDEX('G-6 Hedgerow Data'!$E$3:$I$15,MATCH(D123,'G-6 Hedgerow Data'!$B$3:$B$15,0),MATCH(H123,'G-6 Hedgerow Data'!$E$2:$I$2,0))))</f>
        <v/>
      </c>
      <c r="N123" s="195"/>
      <c r="O123" s="195"/>
      <c r="P123" s="507" t="str">
        <f t="shared" si="7"/>
        <v/>
      </c>
      <c r="Q123" s="521" t="str">
        <f t="shared" si="8"/>
        <v/>
      </c>
      <c r="R123" s="522" t="str">
        <f t="shared" si="6"/>
        <v/>
      </c>
      <c r="S123" s="537" t="str">
        <f>IF(D123="","",VLOOKUP(D123,'G-6 Hedgerow Data'!$B$3:$AG$15,31,FALSE))</f>
        <v/>
      </c>
      <c r="T123" s="507" t="str">
        <f t="shared" si="9"/>
        <v/>
      </c>
      <c r="U123" s="507" t="str">
        <f t="shared" si="10"/>
        <v/>
      </c>
      <c r="V123" s="524" t="str">
        <f>IF(D123="","",VLOOKUP(S123,'G-3 Multipliers'!$P$3:$Q$6,2,FALSE))</f>
        <v/>
      </c>
      <c r="W123" s="529" t="str">
        <f t="shared" si="11"/>
        <v/>
      </c>
      <c r="X123" s="149"/>
      <c r="Y123" s="150"/>
      <c r="AG123" s="31" t="str">
        <f>IFERROR(INDEX('G-6 Hedgerow Data'!$BJ$3:$BJ$15,MATCH(D123,'G-6 Hedgerow Data'!$B$3:$B$15,0)),"")</f>
        <v/>
      </c>
    </row>
    <row r="124" spans="2:33" ht="14" x14ac:dyDescent="0.3">
      <c r="B124" s="141">
        <v>113</v>
      </c>
      <c r="C124" s="205"/>
      <c r="D124" s="195"/>
      <c r="E124" s="172"/>
      <c r="F124" s="553" t="str">
        <f>IF(D124="","",VLOOKUP(D124,'G-6 Hedgerow Data'!$B$2:$AG$15,2,FALSE))</f>
        <v/>
      </c>
      <c r="G124" s="499" t="str">
        <f>IF(D124="","",VLOOKUP(D124,'G-6 Hedgerow Data'!$B$2:$AG$15,3,FALSE))</f>
        <v/>
      </c>
      <c r="H124" s="145"/>
      <c r="I124" s="499" t="str">
        <f>IFERROR(VLOOKUP(H124,'G-1 All Habitats'!$Z$2:$AA$9,2,FALSE),"")</f>
        <v/>
      </c>
      <c r="J124" s="145"/>
      <c r="K124" s="520" t="str">
        <f>IF(J124="","",IF(VLOOKUP(J124,'G-3 Multipliers'!$L$3:$N$6,2,FALSE)=0,"Spatial Data Missing ⚠",VLOOKUP(J124,'G-3 Multipliers'!$L$3:$N$6,2,FALSE)))</f>
        <v/>
      </c>
      <c r="L124" s="505" t="str">
        <f>IF(J124="","",IF(VLOOKUP(J124,'G-3 Multipliers'!$L$3:$N$6,3,FALSE)=0,"Spatial Data Missing ⚠",VLOOKUP(J124,'G-3 Multipliers'!$L$3:$N$6,3,FALSE)))</f>
        <v/>
      </c>
      <c r="M124" s="498" t="str">
        <f>IF(OR(D124="",H124=""),"",(INDEX('G-6 Hedgerow Data'!$E$3:$I$15,MATCH(D124,'G-6 Hedgerow Data'!$B$3:$B$15,0),MATCH(H124,'G-6 Hedgerow Data'!$E$2:$I$2,0))))</f>
        <v/>
      </c>
      <c r="N124" s="195"/>
      <c r="O124" s="195"/>
      <c r="P124" s="507" t="str">
        <f t="shared" si="7"/>
        <v/>
      </c>
      <c r="Q124" s="521" t="str">
        <f t="shared" si="8"/>
        <v/>
      </c>
      <c r="R124" s="522" t="str">
        <f t="shared" si="6"/>
        <v/>
      </c>
      <c r="S124" s="537" t="str">
        <f>IF(D124="","",VLOOKUP(D124,'G-6 Hedgerow Data'!$B$3:$AG$15,31,FALSE))</f>
        <v/>
      </c>
      <c r="T124" s="507" t="str">
        <f t="shared" si="9"/>
        <v/>
      </c>
      <c r="U124" s="507" t="str">
        <f t="shared" si="10"/>
        <v/>
      </c>
      <c r="V124" s="524" t="str">
        <f>IF(D124="","",VLOOKUP(S124,'G-3 Multipliers'!$P$3:$Q$6,2,FALSE))</f>
        <v/>
      </c>
      <c r="W124" s="529" t="str">
        <f t="shared" si="11"/>
        <v/>
      </c>
      <c r="X124" s="149"/>
      <c r="Y124" s="150"/>
      <c r="AG124" s="31" t="str">
        <f>IFERROR(INDEX('G-6 Hedgerow Data'!$BJ$3:$BJ$15,MATCH(D124,'G-6 Hedgerow Data'!$B$3:$B$15,0)),"")</f>
        <v/>
      </c>
    </row>
    <row r="125" spans="2:33" ht="14" x14ac:dyDescent="0.3">
      <c r="B125" s="141">
        <v>114</v>
      </c>
      <c r="C125" s="205"/>
      <c r="D125" s="195"/>
      <c r="E125" s="172"/>
      <c r="F125" s="553" t="str">
        <f>IF(D125="","",VLOOKUP(D125,'G-6 Hedgerow Data'!$B$2:$AG$15,2,FALSE))</f>
        <v/>
      </c>
      <c r="G125" s="499" t="str">
        <f>IF(D125="","",VLOOKUP(D125,'G-6 Hedgerow Data'!$B$2:$AG$15,3,FALSE))</f>
        <v/>
      </c>
      <c r="H125" s="145"/>
      <c r="I125" s="499" t="str">
        <f>IFERROR(VLOOKUP(H125,'G-1 All Habitats'!$Z$2:$AA$9,2,FALSE),"")</f>
        <v/>
      </c>
      <c r="J125" s="145"/>
      <c r="K125" s="520" t="str">
        <f>IF(J125="","",IF(VLOOKUP(J125,'G-3 Multipliers'!$L$3:$N$6,2,FALSE)=0,"Spatial Data Missing ⚠",VLOOKUP(J125,'G-3 Multipliers'!$L$3:$N$6,2,FALSE)))</f>
        <v/>
      </c>
      <c r="L125" s="505" t="str">
        <f>IF(J125="","",IF(VLOOKUP(J125,'G-3 Multipliers'!$L$3:$N$6,3,FALSE)=0,"Spatial Data Missing ⚠",VLOOKUP(J125,'G-3 Multipliers'!$L$3:$N$6,3,FALSE)))</f>
        <v/>
      </c>
      <c r="M125" s="498" t="str">
        <f>IF(OR(D125="",H125=""),"",(INDEX('G-6 Hedgerow Data'!$E$3:$I$15,MATCH(D125,'G-6 Hedgerow Data'!$B$3:$B$15,0),MATCH(H125,'G-6 Hedgerow Data'!$E$2:$I$2,0))))</f>
        <v/>
      </c>
      <c r="N125" s="195"/>
      <c r="O125" s="195"/>
      <c r="P125" s="507" t="str">
        <f t="shared" si="7"/>
        <v/>
      </c>
      <c r="Q125" s="521" t="str">
        <f t="shared" si="8"/>
        <v/>
      </c>
      <c r="R125" s="522" t="str">
        <f t="shared" si="6"/>
        <v/>
      </c>
      <c r="S125" s="537" t="str">
        <f>IF(D125="","",VLOOKUP(D125,'G-6 Hedgerow Data'!$B$3:$AG$15,31,FALSE))</f>
        <v/>
      </c>
      <c r="T125" s="507" t="str">
        <f t="shared" si="9"/>
        <v/>
      </c>
      <c r="U125" s="507" t="str">
        <f t="shared" si="10"/>
        <v/>
      </c>
      <c r="V125" s="524" t="str">
        <f>IF(D125="","",VLOOKUP(S125,'G-3 Multipliers'!$P$3:$Q$6,2,FALSE))</f>
        <v/>
      </c>
      <c r="W125" s="529" t="str">
        <f t="shared" si="11"/>
        <v/>
      </c>
      <c r="X125" s="149"/>
      <c r="Y125" s="150"/>
      <c r="AG125" s="31" t="str">
        <f>IFERROR(INDEX('G-6 Hedgerow Data'!$BJ$3:$BJ$15,MATCH(D125,'G-6 Hedgerow Data'!$B$3:$B$15,0)),"")</f>
        <v/>
      </c>
    </row>
    <row r="126" spans="2:33" ht="14" x14ac:dyDescent="0.3">
      <c r="B126" s="141">
        <v>115</v>
      </c>
      <c r="C126" s="205"/>
      <c r="D126" s="195"/>
      <c r="E126" s="172"/>
      <c r="F126" s="553" t="str">
        <f>IF(D126="","",VLOOKUP(D126,'G-6 Hedgerow Data'!$B$2:$AG$15,2,FALSE))</f>
        <v/>
      </c>
      <c r="G126" s="499" t="str">
        <f>IF(D126="","",VLOOKUP(D126,'G-6 Hedgerow Data'!$B$2:$AG$15,3,FALSE))</f>
        <v/>
      </c>
      <c r="H126" s="145"/>
      <c r="I126" s="499" t="str">
        <f>IFERROR(VLOOKUP(H126,'G-1 All Habitats'!$Z$2:$AA$9,2,FALSE),"")</f>
        <v/>
      </c>
      <c r="J126" s="145"/>
      <c r="K126" s="520" t="str">
        <f>IF(J126="","",IF(VLOOKUP(J126,'G-3 Multipliers'!$L$3:$N$6,2,FALSE)=0,"Spatial Data Missing ⚠",VLOOKUP(J126,'G-3 Multipliers'!$L$3:$N$6,2,FALSE)))</f>
        <v/>
      </c>
      <c r="L126" s="505" t="str">
        <f>IF(J126="","",IF(VLOOKUP(J126,'G-3 Multipliers'!$L$3:$N$6,3,FALSE)=0,"Spatial Data Missing ⚠",VLOOKUP(J126,'G-3 Multipliers'!$L$3:$N$6,3,FALSE)))</f>
        <v/>
      </c>
      <c r="M126" s="498" t="str">
        <f>IF(OR(D126="",H126=""),"",(INDEX('G-6 Hedgerow Data'!$E$3:$I$15,MATCH(D126,'G-6 Hedgerow Data'!$B$3:$B$15,0),MATCH(H126,'G-6 Hedgerow Data'!$E$2:$I$2,0))))</f>
        <v/>
      </c>
      <c r="N126" s="195"/>
      <c r="O126" s="195"/>
      <c r="P126" s="507" t="str">
        <f t="shared" si="7"/>
        <v/>
      </c>
      <c r="Q126" s="521" t="str">
        <f t="shared" si="8"/>
        <v/>
      </c>
      <c r="R126" s="522" t="str">
        <f t="shared" si="6"/>
        <v/>
      </c>
      <c r="S126" s="537" t="str">
        <f>IF(D126="","",VLOOKUP(D126,'G-6 Hedgerow Data'!$B$3:$AG$15,31,FALSE))</f>
        <v/>
      </c>
      <c r="T126" s="507" t="str">
        <f t="shared" si="9"/>
        <v/>
      </c>
      <c r="U126" s="507" t="str">
        <f t="shared" si="10"/>
        <v/>
      </c>
      <c r="V126" s="524" t="str">
        <f>IF(D126="","",VLOOKUP(S126,'G-3 Multipliers'!$P$3:$Q$6,2,FALSE))</f>
        <v/>
      </c>
      <c r="W126" s="529" t="str">
        <f t="shared" si="11"/>
        <v/>
      </c>
      <c r="X126" s="149"/>
      <c r="Y126" s="150"/>
      <c r="AG126" s="31" t="str">
        <f>IFERROR(INDEX('G-6 Hedgerow Data'!$BJ$3:$BJ$15,MATCH(D126,'G-6 Hedgerow Data'!$B$3:$B$15,0)),"")</f>
        <v/>
      </c>
    </row>
    <row r="127" spans="2:33" ht="14" x14ac:dyDescent="0.3">
      <c r="B127" s="141">
        <v>116</v>
      </c>
      <c r="C127" s="205"/>
      <c r="D127" s="195"/>
      <c r="E127" s="172"/>
      <c r="F127" s="553" t="str">
        <f>IF(D127="","",VLOOKUP(D127,'G-6 Hedgerow Data'!$B$2:$AG$15,2,FALSE))</f>
        <v/>
      </c>
      <c r="G127" s="499" t="str">
        <f>IF(D127="","",VLOOKUP(D127,'G-6 Hedgerow Data'!$B$2:$AG$15,3,FALSE))</f>
        <v/>
      </c>
      <c r="H127" s="145"/>
      <c r="I127" s="499" t="str">
        <f>IFERROR(VLOOKUP(H127,'G-1 All Habitats'!$Z$2:$AA$9,2,FALSE),"")</f>
        <v/>
      </c>
      <c r="J127" s="145"/>
      <c r="K127" s="520" t="str">
        <f>IF(J127="","",IF(VLOOKUP(J127,'G-3 Multipliers'!$L$3:$N$6,2,FALSE)=0,"Spatial Data Missing ⚠",VLOOKUP(J127,'G-3 Multipliers'!$L$3:$N$6,2,FALSE)))</f>
        <v/>
      </c>
      <c r="L127" s="505" t="str">
        <f>IF(J127="","",IF(VLOOKUP(J127,'G-3 Multipliers'!$L$3:$N$6,3,FALSE)=0,"Spatial Data Missing ⚠",VLOOKUP(J127,'G-3 Multipliers'!$L$3:$N$6,3,FALSE)))</f>
        <v/>
      </c>
      <c r="M127" s="498" t="str">
        <f>IF(OR(D127="",H127=""),"",(INDEX('G-6 Hedgerow Data'!$E$3:$I$15,MATCH(D127,'G-6 Hedgerow Data'!$B$3:$B$15,0),MATCH(H127,'G-6 Hedgerow Data'!$E$2:$I$2,0))))</f>
        <v/>
      </c>
      <c r="N127" s="195"/>
      <c r="O127" s="195"/>
      <c r="P127" s="507" t="str">
        <f t="shared" si="7"/>
        <v/>
      </c>
      <c r="Q127" s="521" t="str">
        <f t="shared" si="8"/>
        <v/>
      </c>
      <c r="R127" s="522" t="str">
        <f t="shared" si="6"/>
        <v/>
      </c>
      <c r="S127" s="537" t="str">
        <f>IF(D127="","",VLOOKUP(D127,'G-6 Hedgerow Data'!$B$3:$AG$15,31,FALSE))</f>
        <v/>
      </c>
      <c r="T127" s="507" t="str">
        <f t="shared" si="9"/>
        <v/>
      </c>
      <c r="U127" s="507" t="str">
        <f t="shared" si="10"/>
        <v/>
      </c>
      <c r="V127" s="524" t="str">
        <f>IF(D127="","",VLOOKUP(S127,'G-3 Multipliers'!$P$3:$Q$6,2,FALSE))</f>
        <v/>
      </c>
      <c r="W127" s="529" t="str">
        <f t="shared" si="11"/>
        <v/>
      </c>
      <c r="X127" s="149"/>
      <c r="Y127" s="150"/>
      <c r="AG127" s="31" t="str">
        <f>IFERROR(INDEX('G-6 Hedgerow Data'!$BJ$3:$BJ$15,MATCH(D127,'G-6 Hedgerow Data'!$B$3:$B$15,0)),"")</f>
        <v/>
      </c>
    </row>
    <row r="128" spans="2:33" ht="14" x14ac:dyDescent="0.3">
      <c r="B128" s="141">
        <v>117</v>
      </c>
      <c r="C128" s="205"/>
      <c r="D128" s="195"/>
      <c r="E128" s="172"/>
      <c r="F128" s="553" t="str">
        <f>IF(D128="","",VLOOKUP(D128,'G-6 Hedgerow Data'!$B$2:$AG$15,2,FALSE))</f>
        <v/>
      </c>
      <c r="G128" s="499" t="str">
        <f>IF(D128="","",VLOOKUP(D128,'G-6 Hedgerow Data'!$B$2:$AG$15,3,FALSE))</f>
        <v/>
      </c>
      <c r="H128" s="145"/>
      <c r="I128" s="499" t="str">
        <f>IFERROR(VLOOKUP(H128,'G-1 All Habitats'!$Z$2:$AA$9,2,FALSE),"")</f>
        <v/>
      </c>
      <c r="J128" s="145"/>
      <c r="K128" s="520" t="str">
        <f>IF(J128="","",IF(VLOOKUP(J128,'G-3 Multipliers'!$L$3:$N$6,2,FALSE)=0,"Spatial Data Missing ⚠",VLOOKUP(J128,'G-3 Multipliers'!$L$3:$N$6,2,FALSE)))</f>
        <v/>
      </c>
      <c r="L128" s="505" t="str">
        <f>IF(J128="","",IF(VLOOKUP(J128,'G-3 Multipliers'!$L$3:$N$6,3,FALSE)=0,"Spatial Data Missing ⚠",VLOOKUP(J128,'G-3 Multipliers'!$L$3:$N$6,3,FALSE)))</f>
        <v/>
      </c>
      <c r="M128" s="498" t="str">
        <f>IF(OR(D128="",H128=""),"",(INDEX('G-6 Hedgerow Data'!$E$3:$I$15,MATCH(D128,'G-6 Hedgerow Data'!$B$3:$B$15,0),MATCH(H128,'G-6 Hedgerow Data'!$E$2:$I$2,0))))</f>
        <v/>
      </c>
      <c r="N128" s="195"/>
      <c r="O128" s="195"/>
      <c r="P128" s="507" t="str">
        <f t="shared" si="7"/>
        <v/>
      </c>
      <c r="Q128" s="521" t="str">
        <f t="shared" si="8"/>
        <v/>
      </c>
      <c r="R128" s="522" t="str">
        <f t="shared" si="6"/>
        <v/>
      </c>
      <c r="S128" s="537" t="str">
        <f>IF(D128="","",VLOOKUP(D128,'G-6 Hedgerow Data'!$B$3:$AG$15,31,FALSE))</f>
        <v/>
      </c>
      <c r="T128" s="507" t="str">
        <f t="shared" si="9"/>
        <v/>
      </c>
      <c r="U128" s="507" t="str">
        <f t="shared" si="10"/>
        <v/>
      </c>
      <c r="V128" s="524" t="str">
        <f>IF(D128="","",VLOOKUP(S128,'G-3 Multipliers'!$P$3:$Q$6,2,FALSE))</f>
        <v/>
      </c>
      <c r="W128" s="529" t="str">
        <f t="shared" si="11"/>
        <v/>
      </c>
      <c r="X128" s="149"/>
      <c r="Y128" s="150"/>
      <c r="AG128" s="31" t="str">
        <f>IFERROR(INDEX('G-6 Hedgerow Data'!$BJ$3:$BJ$15,MATCH(D128,'G-6 Hedgerow Data'!$B$3:$B$15,0)),"")</f>
        <v/>
      </c>
    </row>
    <row r="129" spans="2:33" ht="14" x14ac:dyDescent="0.3">
      <c r="B129" s="141">
        <v>118</v>
      </c>
      <c r="C129" s="205"/>
      <c r="D129" s="195"/>
      <c r="E129" s="172"/>
      <c r="F129" s="553" t="str">
        <f>IF(D129="","",VLOOKUP(D129,'G-6 Hedgerow Data'!$B$2:$AG$15,2,FALSE))</f>
        <v/>
      </c>
      <c r="G129" s="499" t="str">
        <f>IF(D129="","",VLOOKUP(D129,'G-6 Hedgerow Data'!$B$2:$AG$15,3,FALSE))</f>
        <v/>
      </c>
      <c r="H129" s="145"/>
      <c r="I129" s="499" t="str">
        <f>IFERROR(VLOOKUP(H129,'G-1 All Habitats'!$Z$2:$AA$9,2,FALSE),"")</f>
        <v/>
      </c>
      <c r="J129" s="145"/>
      <c r="K129" s="520" t="str">
        <f>IF(J129="","",IF(VLOOKUP(J129,'G-3 Multipliers'!$L$3:$N$6,2,FALSE)=0,"Spatial Data Missing ⚠",VLOOKUP(J129,'G-3 Multipliers'!$L$3:$N$6,2,FALSE)))</f>
        <v/>
      </c>
      <c r="L129" s="505" t="str">
        <f>IF(J129="","",IF(VLOOKUP(J129,'G-3 Multipliers'!$L$3:$N$6,3,FALSE)=0,"Spatial Data Missing ⚠",VLOOKUP(J129,'G-3 Multipliers'!$L$3:$N$6,3,FALSE)))</f>
        <v/>
      </c>
      <c r="M129" s="498" t="str">
        <f>IF(OR(D129="",H129=""),"",(INDEX('G-6 Hedgerow Data'!$E$3:$I$15,MATCH(D129,'G-6 Hedgerow Data'!$B$3:$B$15,0),MATCH(H129,'G-6 Hedgerow Data'!$E$2:$I$2,0))))</f>
        <v/>
      </c>
      <c r="N129" s="195"/>
      <c r="O129" s="195"/>
      <c r="P129" s="507" t="str">
        <f t="shared" si="7"/>
        <v/>
      </c>
      <c r="Q129" s="521" t="str">
        <f t="shared" si="8"/>
        <v/>
      </c>
      <c r="R129" s="522" t="str">
        <f t="shared" si="6"/>
        <v/>
      </c>
      <c r="S129" s="537" t="str">
        <f>IF(D129="","",VLOOKUP(D129,'G-6 Hedgerow Data'!$B$3:$AG$15,31,FALSE))</f>
        <v/>
      </c>
      <c r="T129" s="507" t="str">
        <f t="shared" si="9"/>
        <v/>
      </c>
      <c r="U129" s="507" t="str">
        <f t="shared" si="10"/>
        <v/>
      </c>
      <c r="V129" s="524" t="str">
        <f>IF(D129="","",VLOOKUP(S129,'G-3 Multipliers'!$P$3:$Q$6,2,FALSE))</f>
        <v/>
      </c>
      <c r="W129" s="529" t="str">
        <f t="shared" si="11"/>
        <v/>
      </c>
      <c r="X129" s="149"/>
      <c r="Y129" s="150"/>
      <c r="AG129" s="31" t="str">
        <f>IFERROR(INDEX('G-6 Hedgerow Data'!$BJ$3:$BJ$15,MATCH(D129,'G-6 Hedgerow Data'!$B$3:$B$15,0)),"")</f>
        <v/>
      </c>
    </row>
    <row r="130" spans="2:33" ht="14" x14ac:dyDescent="0.3">
      <c r="B130" s="141">
        <v>119</v>
      </c>
      <c r="C130" s="205"/>
      <c r="D130" s="195"/>
      <c r="E130" s="172"/>
      <c r="F130" s="553" t="str">
        <f>IF(D130="","",VLOOKUP(D130,'G-6 Hedgerow Data'!$B$2:$AG$15,2,FALSE))</f>
        <v/>
      </c>
      <c r="G130" s="499" t="str">
        <f>IF(D130="","",VLOOKUP(D130,'G-6 Hedgerow Data'!$B$2:$AG$15,3,FALSE))</f>
        <v/>
      </c>
      <c r="H130" s="145"/>
      <c r="I130" s="499" t="str">
        <f>IFERROR(VLOOKUP(H130,'G-1 All Habitats'!$Z$2:$AA$9,2,FALSE),"")</f>
        <v/>
      </c>
      <c r="J130" s="145"/>
      <c r="K130" s="520" t="str">
        <f>IF(J130="","",IF(VLOOKUP(J130,'G-3 Multipliers'!$L$3:$N$6,2,FALSE)=0,"Spatial Data Missing ⚠",VLOOKUP(J130,'G-3 Multipliers'!$L$3:$N$6,2,FALSE)))</f>
        <v/>
      </c>
      <c r="L130" s="505" t="str">
        <f>IF(J130="","",IF(VLOOKUP(J130,'G-3 Multipliers'!$L$3:$N$6,3,FALSE)=0,"Spatial Data Missing ⚠",VLOOKUP(J130,'G-3 Multipliers'!$L$3:$N$6,3,FALSE)))</f>
        <v/>
      </c>
      <c r="M130" s="498" t="str">
        <f>IF(OR(D130="",H130=""),"",(INDEX('G-6 Hedgerow Data'!$E$3:$I$15,MATCH(D130,'G-6 Hedgerow Data'!$B$3:$B$15,0),MATCH(H130,'G-6 Hedgerow Data'!$E$2:$I$2,0))))</f>
        <v/>
      </c>
      <c r="N130" s="195"/>
      <c r="O130" s="195"/>
      <c r="P130" s="507" t="str">
        <f t="shared" si="7"/>
        <v/>
      </c>
      <c r="Q130" s="521" t="str">
        <f t="shared" si="8"/>
        <v/>
      </c>
      <c r="R130" s="522" t="str">
        <f t="shared" si="6"/>
        <v/>
      </c>
      <c r="S130" s="537" t="str">
        <f>IF(D130="","",VLOOKUP(D130,'G-6 Hedgerow Data'!$B$3:$AG$15,31,FALSE))</f>
        <v/>
      </c>
      <c r="T130" s="507" t="str">
        <f t="shared" si="9"/>
        <v/>
      </c>
      <c r="U130" s="507" t="str">
        <f t="shared" si="10"/>
        <v/>
      </c>
      <c r="V130" s="524" t="str">
        <f>IF(D130="","",VLOOKUP(S130,'G-3 Multipliers'!$P$3:$Q$6,2,FALSE))</f>
        <v/>
      </c>
      <c r="W130" s="529" t="str">
        <f t="shared" si="11"/>
        <v/>
      </c>
      <c r="X130" s="149"/>
      <c r="Y130" s="150"/>
      <c r="AG130" s="31" t="str">
        <f>IFERROR(INDEX('G-6 Hedgerow Data'!$BJ$3:$BJ$15,MATCH(D130,'G-6 Hedgerow Data'!$B$3:$B$15,0)),"")</f>
        <v/>
      </c>
    </row>
    <row r="131" spans="2:33" ht="14" x14ac:dyDescent="0.3">
      <c r="B131" s="141">
        <v>120</v>
      </c>
      <c r="C131" s="205"/>
      <c r="D131" s="195"/>
      <c r="E131" s="172"/>
      <c r="F131" s="553" t="str">
        <f>IF(D131="","",VLOOKUP(D131,'G-6 Hedgerow Data'!$B$2:$AG$15,2,FALSE))</f>
        <v/>
      </c>
      <c r="G131" s="499" t="str">
        <f>IF(D131="","",VLOOKUP(D131,'G-6 Hedgerow Data'!$B$2:$AG$15,3,FALSE))</f>
        <v/>
      </c>
      <c r="H131" s="145"/>
      <c r="I131" s="499" t="str">
        <f>IFERROR(VLOOKUP(H131,'G-1 All Habitats'!$Z$2:$AA$9,2,FALSE),"")</f>
        <v/>
      </c>
      <c r="J131" s="145"/>
      <c r="K131" s="520" t="str">
        <f>IF(J131="","",IF(VLOOKUP(J131,'G-3 Multipliers'!$L$3:$N$6,2,FALSE)=0,"Spatial Data Missing ⚠",VLOOKUP(J131,'G-3 Multipliers'!$L$3:$N$6,2,FALSE)))</f>
        <v/>
      </c>
      <c r="L131" s="505" t="str">
        <f>IF(J131="","",IF(VLOOKUP(J131,'G-3 Multipliers'!$L$3:$N$6,3,FALSE)=0,"Spatial Data Missing ⚠",VLOOKUP(J131,'G-3 Multipliers'!$L$3:$N$6,3,FALSE)))</f>
        <v/>
      </c>
      <c r="M131" s="498" t="str">
        <f>IF(OR(D131="",H131=""),"",(INDEX('G-6 Hedgerow Data'!$E$3:$I$15,MATCH(D131,'G-6 Hedgerow Data'!$B$3:$B$15,0),MATCH(H131,'G-6 Hedgerow Data'!$E$2:$I$2,0))))</f>
        <v/>
      </c>
      <c r="N131" s="195"/>
      <c r="O131" s="195"/>
      <c r="P131" s="507" t="str">
        <f t="shared" si="7"/>
        <v/>
      </c>
      <c r="Q131" s="521" t="str">
        <f t="shared" si="8"/>
        <v/>
      </c>
      <c r="R131" s="522" t="str">
        <f t="shared" si="6"/>
        <v/>
      </c>
      <c r="S131" s="537" t="str">
        <f>IF(D131="","",VLOOKUP(D131,'G-6 Hedgerow Data'!$B$3:$AG$15,31,FALSE))</f>
        <v/>
      </c>
      <c r="T131" s="507" t="str">
        <f t="shared" si="9"/>
        <v/>
      </c>
      <c r="U131" s="507" t="str">
        <f t="shared" si="10"/>
        <v/>
      </c>
      <c r="V131" s="524" t="str">
        <f>IF(D131="","",VLOOKUP(S131,'G-3 Multipliers'!$P$3:$Q$6,2,FALSE))</f>
        <v/>
      </c>
      <c r="W131" s="529" t="str">
        <f t="shared" si="11"/>
        <v/>
      </c>
      <c r="X131" s="149"/>
      <c r="Y131" s="150"/>
      <c r="AG131" s="31" t="str">
        <f>IFERROR(INDEX('G-6 Hedgerow Data'!$BJ$3:$BJ$15,MATCH(D131,'G-6 Hedgerow Data'!$B$3:$B$15,0)),"")</f>
        <v/>
      </c>
    </row>
    <row r="132" spans="2:33" ht="14" x14ac:dyDescent="0.3">
      <c r="B132" s="141">
        <v>121</v>
      </c>
      <c r="C132" s="205"/>
      <c r="D132" s="195"/>
      <c r="E132" s="172"/>
      <c r="F132" s="553" t="str">
        <f>IF(D132="","",VLOOKUP(D132,'G-6 Hedgerow Data'!$B$2:$AG$15,2,FALSE))</f>
        <v/>
      </c>
      <c r="G132" s="499" t="str">
        <f>IF(D132="","",VLOOKUP(D132,'G-6 Hedgerow Data'!$B$2:$AG$15,3,FALSE))</f>
        <v/>
      </c>
      <c r="H132" s="145"/>
      <c r="I132" s="499" t="str">
        <f>IFERROR(VLOOKUP(H132,'G-1 All Habitats'!$Z$2:$AA$9,2,FALSE),"")</f>
        <v/>
      </c>
      <c r="J132" s="145"/>
      <c r="K132" s="520" t="str">
        <f>IF(J132="","",IF(VLOOKUP(J132,'G-3 Multipliers'!$L$3:$N$6,2,FALSE)=0,"Spatial Data Missing ⚠",VLOOKUP(J132,'G-3 Multipliers'!$L$3:$N$6,2,FALSE)))</f>
        <v/>
      </c>
      <c r="L132" s="505" t="str">
        <f>IF(J132="","",IF(VLOOKUP(J132,'G-3 Multipliers'!$L$3:$N$6,3,FALSE)=0,"Spatial Data Missing ⚠",VLOOKUP(J132,'G-3 Multipliers'!$L$3:$N$6,3,FALSE)))</f>
        <v/>
      </c>
      <c r="M132" s="498" t="str">
        <f>IF(OR(D132="",H132=""),"",(INDEX('G-6 Hedgerow Data'!$E$3:$I$15,MATCH(D132,'G-6 Hedgerow Data'!$B$3:$B$15,0),MATCH(H132,'G-6 Hedgerow Data'!$E$2:$I$2,0))))</f>
        <v/>
      </c>
      <c r="N132" s="195"/>
      <c r="O132" s="195"/>
      <c r="P132" s="507" t="str">
        <f t="shared" si="7"/>
        <v/>
      </c>
      <c r="Q132" s="521" t="str">
        <f t="shared" si="8"/>
        <v/>
      </c>
      <c r="R132" s="522" t="str">
        <f t="shared" si="6"/>
        <v/>
      </c>
      <c r="S132" s="537" t="str">
        <f>IF(D132="","",VLOOKUP(D132,'G-6 Hedgerow Data'!$B$3:$AG$15,31,FALSE))</f>
        <v/>
      </c>
      <c r="T132" s="507" t="str">
        <f t="shared" si="9"/>
        <v/>
      </c>
      <c r="U132" s="507" t="str">
        <f t="shared" si="10"/>
        <v/>
      </c>
      <c r="V132" s="524" t="str">
        <f>IF(D132="","",VLOOKUP(S132,'G-3 Multipliers'!$P$3:$Q$6,2,FALSE))</f>
        <v/>
      </c>
      <c r="W132" s="529" t="str">
        <f t="shared" si="11"/>
        <v/>
      </c>
      <c r="X132" s="149"/>
      <c r="Y132" s="150"/>
      <c r="AG132" s="31" t="str">
        <f>IFERROR(INDEX('G-6 Hedgerow Data'!$BJ$3:$BJ$15,MATCH(D132,'G-6 Hedgerow Data'!$B$3:$B$15,0)),"")</f>
        <v/>
      </c>
    </row>
    <row r="133" spans="2:33" ht="14" x14ac:dyDescent="0.3">
      <c r="B133" s="141">
        <v>122</v>
      </c>
      <c r="C133" s="205"/>
      <c r="D133" s="195"/>
      <c r="E133" s="172"/>
      <c r="F133" s="553" t="str">
        <f>IF(D133="","",VLOOKUP(D133,'G-6 Hedgerow Data'!$B$2:$AG$15,2,FALSE))</f>
        <v/>
      </c>
      <c r="G133" s="499" t="str">
        <f>IF(D133="","",VLOOKUP(D133,'G-6 Hedgerow Data'!$B$2:$AG$15,3,FALSE))</f>
        <v/>
      </c>
      <c r="H133" s="145"/>
      <c r="I133" s="499" t="str">
        <f>IFERROR(VLOOKUP(H133,'G-1 All Habitats'!$Z$2:$AA$9,2,FALSE),"")</f>
        <v/>
      </c>
      <c r="J133" s="145"/>
      <c r="K133" s="520" t="str">
        <f>IF(J133="","",IF(VLOOKUP(J133,'G-3 Multipliers'!$L$3:$N$6,2,FALSE)=0,"Spatial Data Missing ⚠",VLOOKUP(J133,'G-3 Multipliers'!$L$3:$N$6,2,FALSE)))</f>
        <v/>
      </c>
      <c r="L133" s="505" t="str">
        <f>IF(J133="","",IF(VLOOKUP(J133,'G-3 Multipliers'!$L$3:$N$6,3,FALSE)=0,"Spatial Data Missing ⚠",VLOOKUP(J133,'G-3 Multipliers'!$L$3:$N$6,3,FALSE)))</f>
        <v/>
      </c>
      <c r="M133" s="498" t="str">
        <f>IF(OR(D133="",H133=""),"",(INDEX('G-6 Hedgerow Data'!$E$3:$I$15,MATCH(D133,'G-6 Hedgerow Data'!$B$3:$B$15,0),MATCH(H133,'G-6 Hedgerow Data'!$E$2:$I$2,0))))</f>
        <v/>
      </c>
      <c r="N133" s="195"/>
      <c r="O133" s="195"/>
      <c r="P133" s="507" t="str">
        <f t="shared" si="7"/>
        <v/>
      </c>
      <c r="Q133" s="521" t="str">
        <f t="shared" si="8"/>
        <v/>
      </c>
      <c r="R133" s="522" t="str">
        <f t="shared" si="6"/>
        <v/>
      </c>
      <c r="S133" s="537" t="str">
        <f>IF(D133="","",VLOOKUP(D133,'G-6 Hedgerow Data'!$B$3:$AG$15,31,FALSE))</f>
        <v/>
      </c>
      <c r="T133" s="507" t="str">
        <f t="shared" si="9"/>
        <v/>
      </c>
      <c r="U133" s="507" t="str">
        <f t="shared" si="10"/>
        <v/>
      </c>
      <c r="V133" s="524" t="str">
        <f>IF(D133="","",VLOOKUP(S133,'G-3 Multipliers'!$P$3:$Q$6,2,FALSE))</f>
        <v/>
      </c>
      <c r="W133" s="529" t="str">
        <f t="shared" si="11"/>
        <v/>
      </c>
      <c r="X133" s="149"/>
      <c r="Y133" s="150"/>
      <c r="AG133" s="31" t="str">
        <f>IFERROR(INDEX('G-6 Hedgerow Data'!$BJ$3:$BJ$15,MATCH(D133,'G-6 Hedgerow Data'!$B$3:$B$15,0)),"")</f>
        <v/>
      </c>
    </row>
    <row r="134" spans="2:33" ht="14" x14ac:dyDescent="0.3">
      <c r="B134" s="141">
        <v>123</v>
      </c>
      <c r="C134" s="205"/>
      <c r="D134" s="195"/>
      <c r="E134" s="172"/>
      <c r="F134" s="553" t="str">
        <f>IF(D134="","",VLOOKUP(D134,'G-6 Hedgerow Data'!$B$2:$AG$15,2,FALSE))</f>
        <v/>
      </c>
      <c r="G134" s="499" t="str">
        <f>IF(D134="","",VLOOKUP(D134,'G-6 Hedgerow Data'!$B$2:$AG$15,3,FALSE))</f>
        <v/>
      </c>
      <c r="H134" s="145"/>
      <c r="I134" s="499" t="str">
        <f>IFERROR(VLOOKUP(H134,'G-1 All Habitats'!$Z$2:$AA$9,2,FALSE),"")</f>
        <v/>
      </c>
      <c r="J134" s="145"/>
      <c r="K134" s="520" t="str">
        <f>IF(J134="","",IF(VLOOKUP(J134,'G-3 Multipliers'!$L$3:$N$6,2,FALSE)=0,"Spatial Data Missing ⚠",VLOOKUP(J134,'G-3 Multipliers'!$L$3:$N$6,2,FALSE)))</f>
        <v/>
      </c>
      <c r="L134" s="505" t="str">
        <f>IF(J134="","",IF(VLOOKUP(J134,'G-3 Multipliers'!$L$3:$N$6,3,FALSE)=0,"Spatial Data Missing ⚠",VLOOKUP(J134,'G-3 Multipliers'!$L$3:$N$6,3,FALSE)))</f>
        <v/>
      </c>
      <c r="M134" s="498" t="str">
        <f>IF(OR(D134="",H134=""),"",(INDEX('G-6 Hedgerow Data'!$E$3:$I$15,MATCH(D134,'G-6 Hedgerow Data'!$B$3:$B$15,0),MATCH(H134,'G-6 Hedgerow Data'!$E$2:$I$2,0))))</f>
        <v/>
      </c>
      <c r="N134" s="195"/>
      <c r="O134" s="195"/>
      <c r="P134" s="507" t="str">
        <f t="shared" si="7"/>
        <v/>
      </c>
      <c r="Q134" s="521" t="str">
        <f t="shared" si="8"/>
        <v/>
      </c>
      <c r="R134" s="522" t="str">
        <f t="shared" si="6"/>
        <v/>
      </c>
      <c r="S134" s="537" t="str">
        <f>IF(D134="","",VLOOKUP(D134,'G-6 Hedgerow Data'!$B$3:$AG$15,31,FALSE))</f>
        <v/>
      </c>
      <c r="T134" s="507" t="str">
        <f t="shared" si="9"/>
        <v/>
      </c>
      <c r="U134" s="507" t="str">
        <f t="shared" si="10"/>
        <v/>
      </c>
      <c r="V134" s="524" t="str">
        <f>IF(D134="","",VLOOKUP(S134,'G-3 Multipliers'!$P$3:$Q$6,2,FALSE))</f>
        <v/>
      </c>
      <c r="W134" s="529" t="str">
        <f t="shared" si="11"/>
        <v/>
      </c>
      <c r="X134" s="149"/>
      <c r="Y134" s="150"/>
      <c r="AG134" s="31" t="str">
        <f>IFERROR(INDEX('G-6 Hedgerow Data'!$BJ$3:$BJ$15,MATCH(D134,'G-6 Hedgerow Data'!$B$3:$B$15,0)),"")</f>
        <v/>
      </c>
    </row>
    <row r="135" spans="2:33" ht="14" x14ac:dyDescent="0.3">
      <c r="B135" s="141">
        <v>124</v>
      </c>
      <c r="C135" s="205"/>
      <c r="D135" s="195"/>
      <c r="E135" s="172"/>
      <c r="F135" s="553" t="str">
        <f>IF(D135="","",VLOOKUP(D135,'G-6 Hedgerow Data'!$B$2:$AG$15,2,FALSE))</f>
        <v/>
      </c>
      <c r="G135" s="499" t="str">
        <f>IF(D135="","",VLOOKUP(D135,'G-6 Hedgerow Data'!$B$2:$AG$15,3,FALSE))</f>
        <v/>
      </c>
      <c r="H135" s="145"/>
      <c r="I135" s="499" t="str">
        <f>IFERROR(VLOOKUP(H135,'G-1 All Habitats'!$Z$2:$AA$9,2,FALSE),"")</f>
        <v/>
      </c>
      <c r="J135" s="145"/>
      <c r="K135" s="520" t="str">
        <f>IF(J135="","",IF(VLOOKUP(J135,'G-3 Multipliers'!$L$3:$N$6,2,FALSE)=0,"Spatial Data Missing ⚠",VLOOKUP(J135,'G-3 Multipliers'!$L$3:$N$6,2,FALSE)))</f>
        <v/>
      </c>
      <c r="L135" s="505" t="str">
        <f>IF(J135="","",IF(VLOOKUP(J135,'G-3 Multipliers'!$L$3:$N$6,3,FALSE)=0,"Spatial Data Missing ⚠",VLOOKUP(J135,'G-3 Multipliers'!$L$3:$N$6,3,FALSE)))</f>
        <v/>
      </c>
      <c r="M135" s="498" t="str">
        <f>IF(OR(D135="",H135=""),"",(INDEX('G-6 Hedgerow Data'!$E$3:$I$15,MATCH(D135,'G-6 Hedgerow Data'!$B$3:$B$15,0),MATCH(H135,'G-6 Hedgerow Data'!$E$2:$I$2,0))))</f>
        <v/>
      </c>
      <c r="N135" s="195"/>
      <c r="O135" s="195"/>
      <c r="P135" s="507" t="str">
        <f t="shared" si="7"/>
        <v/>
      </c>
      <c r="Q135" s="521" t="str">
        <f t="shared" si="8"/>
        <v/>
      </c>
      <c r="R135" s="522" t="str">
        <f t="shared" si="6"/>
        <v/>
      </c>
      <c r="S135" s="537" t="str">
        <f>IF(D135="","",VLOOKUP(D135,'G-6 Hedgerow Data'!$B$3:$AG$15,31,FALSE))</f>
        <v/>
      </c>
      <c r="T135" s="507" t="str">
        <f t="shared" si="9"/>
        <v/>
      </c>
      <c r="U135" s="507" t="str">
        <f t="shared" si="10"/>
        <v/>
      </c>
      <c r="V135" s="524" t="str">
        <f>IF(D135="","",VLOOKUP(S135,'G-3 Multipliers'!$P$3:$Q$6,2,FALSE))</f>
        <v/>
      </c>
      <c r="W135" s="529" t="str">
        <f t="shared" si="11"/>
        <v/>
      </c>
      <c r="X135" s="149"/>
      <c r="Y135" s="150"/>
      <c r="AG135" s="31" t="str">
        <f>IFERROR(INDEX('G-6 Hedgerow Data'!$BJ$3:$BJ$15,MATCH(D135,'G-6 Hedgerow Data'!$B$3:$B$15,0)),"")</f>
        <v/>
      </c>
    </row>
    <row r="136" spans="2:33" ht="14" x14ac:dyDescent="0.3">
      <c r="B136" s="141">
        <v>125</v>
      </c>
      <c r="C136" s="205"/>
      <c r="D136" s="195"/>
      <c r="E136" s="172"/>
      <c r="F136" s="553" t="str">
        <f>IF(D136="","",VLOOKUP(D136,'G-6 Hedgerow Data'!$B$2:$AG$15,2,FALSE))</f>
        <v/>
      </c>
      <c r="G136" s="499" t="str">
        <f>IF(D136="","",VLOOKUP(D136,'G-6 Hedgerow Data'!$B$2:$AG$15,3,FALSE))</f>
        <v/>
      </c>
      <c r="H136" s="145"/>
      <c r="I136" s="499" t="str">
        <f>IFERROR(VLOOKUP(H136,'G-1 All Habitats'!$Z$2:$AA$9,2,FALSE),"")</f>
        <v/>
      </c>
      <c r="J136" s="145"/>
      <c r="K136" s="520" t="str">
        <f>IF(J136="","",IF(VLOOKUP(J136,'G-3 Multipliers'!$L$3:$N$6,2,FALSE)=0,"Spatial Data Missing ⚠",VLOOKUP(J136,'G-3 Multipliers'!$L$3:$N$6,2,FALSE)))</f>
        <v/>
      </c>
      <c r="L136" s="505" t="str">
        <f>IF(J136="","",IF(VLOOKUP(J136,'G-3 Multipliers'!$L$3:$N$6,3,FALSE)=0,"Spatial Data Missing ⚠",VLOOKUP(J136,'G-3 Multipliers'!$L$3:$N$6,3,FALSE)))</f>
        <v/>
      </c>
      <c r="M136" s="498" t="str">
        <f>IF(OR(D136="",H136=""),"",(INDEX('G-6 Hedgerow Data'!$E$3:$I$15,MATCH(D136,'G-6 Hedgerow Data'!$B$3:$B$15,0),MATCH(H136,'G-6 Hedgerow Data'!$E$2:$I$2,0))))</f>
        <v/>
      </c>
      <c r="N136" s="195"/>
      <c r="O136" s="195"/>
      <c r="P136" s="507" t="str">
        <f t="shared" si="7"/>
        <v/>
      </c>
      <c r="Q136" s="521" t="str">
        <f t="shared" si="8"/>
        <v/>
      </c>
      <c r="R136" s="522" t="str">
        <f t="shared" si="6"/>
        <v/>
      </c>
      <c r="S136" s="537" t="str">
        <f>IF(D136="","",VLOOKUP(D136,'G-6 Hedgerow Data'!$B$3:$AG$15,31,FALSE))</f>
        <v/>
      </c>
      <c r="T136" s="507" t="str">
        <f t="shared" si="9"/>
        <v/>
      </c>
      <c r="U136" s="507" t="str">
        <f t="shared" si="10"/>
        <v/>
      </c>
      <c r="V136" s="524" t="str">
        <f>IF(D136="","",VLOOKUP(S136,'G-3 Multipliers'!$P$3:$Q$6,2,FALSE))</f>
        <v/>
      </c>
      <c r="W136" s="529" t="str">
        <f t="shared" si="11"/>
        <v/>
      </c>
      <c r="X136" s="149"/>
      <c r="Y136" s="150"/>
      <c r="AG136" s="31" t="str">
        <f>IFERROR(INDEX('G-6 Hedgerow Data'!$BJ$3:$BJ$15,MATCH(D136,'G-6 Hedgerow Data'!$B$3:$B$15,0)),"")</f>
        <v/>
      </c>
    </row>
    <row r="137" spans="2:33" ht="14" x14ac:dyDescent="0.3">
      <c r="B137" s="141">
        <v>126</v>
      </c>
      <c r="C137" s="205"/>
      <c r="D137" s="195"/>
      <c r="E137" s="172"/>
      <c r="F137" s="553" t="str">
        <f>IF(D137="","",VLOOKUP(D137,'G-6 Hedgerow Data'!$B$2:$AG$15,2,FALSE))</f>
        <v/>
      </c>
      <c r="G137" s="499" t="str">
        <f>IF(D137="","",VLOOKUP(D137,'G-6 Hedgerow Data'!$B$2:$AG$15,3,FALSE))</f>
        <v/>
      </c>
      <c r="H137" s="145"/>
      <c r="I137" s="499" t="str">
        <f>IFERROR(VLOOKUP(H137,'G-1 All Habitats'!$Z$2:$AA$9,2,FALSE),"")</f>
        <v/>
      </c>
      <c r="J137" s="145"/>
      <c r="K137" s="520" t="str">
        <f>IF(J137="","",IF(VLOOKUP(J137,'G-3 Multipliers'!$L$3:$N$6,2,FALSE)=0,"Spatial Data Missing ⚠",VLOOKUP(J137,'G-3 Multipliers'!$L$3:$N$6,2,FALSE)))</f>
        <v/>
      </c>
      <c r="L137" s="505" t="str">
        <f>IF(J137="","",IF(VLOOKUP(J137,'G-3 Multipliers'!$L$3:$N$6,3,FALSE)=0,"Spatial Data Missing ⚠",VLOOKUP(J137,'G-3 Multipliers'!$L$3:$N$6,3,FALSE)))</f>
        <v/>
      </c>
      <c r="M137" s="498" t="str">
        <f>IF(OR(D137="",H137=""),"",(INDEX('G-6 Hedgerow Data'!$E$3:$I$15,MATCH(D137,'G-6 Hedgerow Data'!$B$3:$B$15,0),MATCH(H137,'G-6 Hedgerow Data'!$E$2:$I$2,0))))</f>
        <v/>
      </c>
      <c r="N137" s="195"/>
      <c r="O137" s="195"/>
      <c r="P137" s="507" t="str">
        <f t="shared" si="7"/>
        <v/>
      </c>
      <c r="Q137" s="521" t="str">
        <f t="shared" si="8"/>
        <v/>
      </c>
      <c r="R137" s="522" t="str">
        <f t="shared" si="6"/>
        <v/>
      </c>
      <c r="S137" s="537" t="str">
        <f>IF(D137="","",VLOOKUP(D137,'G-6 Hedgerow Data'!$B$3:$AG$15,31,FALSE))</f>
        <v/>
      </c>
      <c r="T137" s="507" t="str">
        <f t="shared" si="9"/>
        <v/>
      </c>
      <c r="U137" s="507" t="str">
        <f t="shared" si="10"/>
        <v/>
      </c>
      <c r="V137" s="524" t="str">
        <f>IF(D137="","",VLOOKUP(S137,'G-3 Multipliers'!$P$3:$Q$6,2,FALSE))</f>
        <v/>
      </c>
      <c r="W137" s="529" t="str">
        <f t="shared" si="11"/>
        <v/>
      </c>
      <c r="X137" s="149"/>
      <c r="Y137" s="150"/>
      <c r="AG137" s="31" t="str">
        <f>IFERROR(INDEX('G-6 Hedgerow Data'!$BJ$3:$BJ$15,MATCH(D137,'G-6 Hedgerow Data'!$B$3:$B$15,0)),"")</f>
        <v/>
      </c>
    </row>
    <row r="138" spans="2:33" ht="14" x14ac:dyDescent="0.3">
      <c r="B138" s="141">
        <v>127</v>
      </c>
      <c r="C138" s="205"/>
      <c r="D138" s="195"/>
      <c r="E138" s="172"/>
      <c r="F138" s="553" t="str">
        <f>IF(D138="","",VLOOKUP(D138,'G-6 Hedgerow Data'!$B$2:$AG$15,2,FALSE))</f>
        <v/>
      </c>
      <c r="G138" s="499" t="str">
        <f>IF(D138="","",VLOOKUP(D138,'G-6 Hedgerow Data'!$B$2:$AG$15,3,FALSE))</f>
        <v/>
      </c>
      <c r="H138" s="145"/>
      <c r="I138" s="499" t="str">
        <f>IFERROR(VLOOKUP(H138,'G-1 All Habitats'!$Z$2:$AA$9,2,FALSE),"")</f>
        <v/>
      </c>
      <c r="J138" s="145"/>
      <c r="K138" s="520" t="str">
        <f>IF(J138="","",IF(VLOOKUP(J138,'G-3 Multipliers'!$L$3:$N$6,2,FALSE)=0,"Spatial Data Missing ⚠",VLOOKUP(J138,'G-3 Multipliers'!$L$3:$N$6,2,FALSE)))</f>
        <v/>
      </c>
      <c r="L138" s="505" t="str">
        <f>IF(J138="","",IF(VLOOKUP(J138,'G-3 Multipliers'!$L$3:$N$6,3,FALSE)=0,"Spatial Data Missing ⚠",VLOOKUP(J138,'G-3 Multipliers'!$L$3:$N$6,3,FALSE)))</f>
        <v/>
      </c>
      <c r="M138" s="498" t="str">
        <f>IF(OR(D138="",H138=""),"",(INDEX('G-6 Hedgerow Data'!$E$3:$I$15,MATCH(D138,'G-6 Hedgerow Data'!$B$3:$B$15,0),MATCH(H138,'G-6 Hedgerow Data'!$E$2:$I$2,0))))</f>
        <v/>
      </c>
      <c r="N138" s="195"/>
      <c r="O138" s="195"/>
      <c r="P138" s="507" t="str">
        <f t="shared" si="7"/>
        <v/>
      </c>
      <c r="Q138" s="521" t="str">
        <f t="shared" si="8"/>
        <v/>
      </c>
      <c r="R138" s="522" t="str">
        <f t="shared" si="6"/>
        <v/>
      </c>
      <c r="S138" s="537" t="str">
        <f>IF(D138="","",VLOOKUP(D138,'G-6 Hedgerow Data'!$B$3:$AG$15,31,FALSE))</f>
        <v/>
      </c>
      <c r="T138" s="507" t="str">
        <f t="shared" si="9"/>
        <v/>
      </c>
      <c r="U138" s="507" t="str">
        <f t="shared" si="10"/>
        <v/>
      </c>
      <c r="V138" s="524" t="str">
        <f>IF(D138="","",VLOOKUP(S138,'G-3 Multipliers'!$P$3:$Q$6,2,FALSE))</f>
        <v/>
      </c>
      <c r="W138" s="529" t="str">
        <f t="shared" si="11"/>
        <v/>
      </c>
      <c r="X138" s="149"/>
      <c r="Y138" s="150"/>
      <c r="AG138" s="31" t="str">
        <f>IFERROR(INDEX('G-6 Hedgerow Data'!$BJ$3:$BJ$15,MATCH(D138,'G-6 Hedgerow Data'!$B$3:$B$15,0)),"")</f>
        <v/>
      </c>
    </row>
    <row r="139" spans="2:33" ht="14" x14ac:dyDescent="0.3">
      <c r="B139" s="141">
        <v>128</v>
      </c>
      <c r="C139" s="205"/>
      <c r="D139" s="195"/>
      <c r="E139" s="172"/>
      <c r="F139" s="553" t="str">
        <f>IF(D139="","",VLOOKUP(D139,'G-6 Hedgerow Data'!$B$2:$AG$15,2,FALSE))</f>
        <v/>
      </c>
      <c r="G139" s="499" t="str">
        <f>IF(D139="","",VLOOKUP(D139,'G-6 Hedgerow Data'!$B$2:$AG$15,3,FALSE))</f>
        <v/>
      </c>
      <c r="H139" s="145"/>
      <c r="I139" s="499" t="str">
        <f>IFERROR(VLOOKUP(H139,'G-1 All Habitats'!$Z$2:$AA$9,2,FALSE),"")</f>
        <v/>
      </c>
      <c r="J139" s="145"/>
      <c r="K139" s="520" t="str">
        <f>IF(J139="","",IF(VLOOKUP(J139,'G-3 Multipliers'!$L$3:$N$6,2,FALSE)=0,"Spatial Data Missing ⚠",VLOOKUP(J139,'G-3 Multipliers'!$L$3:$N$6,2,FALSE)))</f>
        <v/>
      </c>
      <c r="L139" s="505" t="str">
        <f>IF(J139="","",IF(VLOOKUP(J139,'G-3 Multipliers'!$L$3:$N$6,3,FALSE)=0,"Spatial Data Missing ⚠",VLOOKUP(J139,'G-3 Multipliers'!$L$3:$N$6,3,FALSE)))</f>
        <v/>
      </c>
      <c r="M139" s="498" t="str">
        <f>IF(OR(D139="",H139=""),"",(INDEX('G-6 Hedgerow Data'!$E$3:$I$15,MATCH(D139,'G-6 Hedgerow Data'!$B$3:$B$15,0),MATCH(H139,'G-6 Hedgerow Data'!$E$2:$I$2,0))))</f>
        <v/>
      </c>
      <c r="N139" s="195"/>
      <c r="O139" s="195"/>
      <c r="P139" s="507" t="str">
        <f t="shared" si="7"/>
        <v/>
      </c>
      <c r="Q139" s="521" t="str">
        <f t="shared" si="8"/>
        <v/>
      </c>
      <c r="R139" s="522" t="str">
        <f t="shared" si="6"/>
        <v/>
      </c>
      <c r="S139" s="537" t="str">
        <f>IF(D139="","",VLOOKUP(D139,'G-6 Hedgerow Data'!$B$3:$AG$15,31,FALSE))</f>
        <v/>
      </c>
      <c r="T139" s="507" t="str">
        <f t="shared" si="9"/>
        <v/>
      </c>
      <c r="U139" s="507" t="str">
        <f t="shared" si="10"/>
        <v/>
      </c>
      <c r="V139" s="524" t="str">
        <f>IF(D139="","",VLOOKUP(S139,'G-3 Multipliers'!$P$3:$Q$6,2,FALSE))</f>
        <v/>
      </c>
      <c r="W139" s="529" t="str">
        <f t="shared" si="11"/>
        <v/>
      </c>
      <c r="X139" s="149"/>
      <c r="Y139" s="150"/>
      <c r="AG139" s="31" t="str">
        <f>IFERROR(INDEX('G-6 Hedgerow Data'!$BJ$3:$BJ$15,MATCH(D139,'G-6 Hedgerow Data'!$B$3:$B$15,0)),"")</f>
        <v/>
      </c>
    </row>
    <row r="140" spans="2:33" ht="14" x14ac:dyDescent="0.3">
      <c r="B140" s="141">
        <v>129</v>
      </c>
      <c r="C140" s="205"/>
      <c r="D140" s="195"/>
      <c r="E140" s="172"/>
      <c r="F140" s="553" t="str">
        <f>IF(D140="","",VLOOKUP(D140,'G-6 Hedgerow Data'!$B$2:$AG$15,2,FALSE))</f>
        <v/>
      </c>
      <c r="G140" s="499" t="str">
        <f>IF(D140="","",VLOOKUP(D140,'G-6 Hedgerow Data'!$B$2:$AG$15,3,FALSE))</f>
        <v/>
      </c>
      <c r="H140" s="145"/>
      <c r="I140" s="499" t="str">
        <f>IFERROR(VLOOKUP(H140,'G-1 All Habitats'!$Z$2:$AA$9,2,FALSE),"")</f>
        <v/>
      </c>
      <c r="J140" s="145"/>
      <c r="K140" s="520" t="str">
        <f>IF(J140="","",IF(VLOOKUP(J140,'G-3 Multipliers'!$L$3:$N$6,2,FALSE)=0,"Spatial Data Missing ⚠",VLOOKUP(J140,'G-3 Multipliers'!$L$3:$N$6,2,FALSE)))</f>
        <v/>
      </c>
      <c r="L140" s="505" t="str">
        <f>IF(J140="","",IF(VLOOKUP(J140,'G-3 Multipliers'!$L$3:$N$6,3,FALSE)=0,"Spatial Data Missing ⚠",VLOOKUP(J140,'G-3 Multipliers'!$L$3:$N$6,3,FALSE)))</f>
        <v/>
      </c>
      <c r="M140" s="498" t="str">
        <f>IF(OR(D140="",H140=""),"",(INDEX('G-6 Hedgerow Data'!$E$3:$I$15,MATCH(D140,'G-6 Hedgerow Data'!$B$3:$B$15,0),MATCH(H140,'G-6 Hedgerow Data'!$E$2:$I$2,0))))</f>
        <v/>
      </c>
      <c r="N140" s="195"/>
      <c r="O140" s="195"/>
      <c r="P140" s="507" t="str">
        <f t="shared" si="7"/>
        <v/>
      </c>
      <c r="Q140" s="521" t="str">
        <f t="shared" si="8"/>
        <v/>
      </c>
      <c r="R140" s="522" t="str">
        <f t="shared" ref="R140:R203" si="12">IF(M140="","",IF(LEFT(P140,5)="Error ▲","Check Data ⚠",VLOOKUP(Q140,TemporalMultipliers,3,FALSE)))</f>
        <v/>
      </c>
      <c r="S140" s="537" t="str">
        <f>IF(D140="","",VLOOKUP(D140,'G-6 Hedgerow Data'!$B$3:$AG$15,31,FALSE))</f>
        <v/>
      </c>
      <c r="T140" s="507" t="str">
        <f t="shared" si="9"/>
        <v/>
      </c>
      <c r="U140" s="507" t="str">
        <f t="shared" si="10"/>
        <v/>
      </c>
      <c r="V140" s="524" t="str">
        <f>IF(D140="","",VLOOKUP(S140,'G-3 Multipliers'!$P$3:$Q$6,2,FALSE))</f>
        <v/>
      </c>
      <c r="W140" s="529" t="str">
        <f t="shared" si="11"/>
        <v/>
      </c>
      <c r="X140" s="149"/>
      <c r="Y140" s="150"/>
      <c r="AG140" s="31" t="str">
        <f>IFERROR(INDEX('G-6 Hedgerow Data'!$BJ$3:$BJ$15,MATCH(D140,'G-6 Hedgerow Data'!$B$3:$B$15,0)),"")</f>
        <v/>
      </c>
    </row>
    <row r="141" spans="2:33" ht="14" x14ac:dyDescent="0.3">
      <c r="B141" s="141">
        <v>130</v>
      </c>
      <c r="C141" s="205"/>
      <c r="D141" s="195"/>
      <c r="E141" s="172"/>
      <c r="F141" s="553" t="str">
        <f>IF(D141="","",VLOOKUP(D141,'G-6 Hedgerow Data'!$B$2:$AG$15,2,FALSE))</f>
        <v/>
      </c>
      <c r="G141" s="499" t="str">
        <f>IF(D141="","",VLOOKUP(D141,'G-6 Hedgerow Data'!$B$2:$AG$15,3,FALSE))</f>
        <v/>
      </c>
      <c r="H141" s="145"/>
      <c r="I141" s="499" t="str">
        <f>IFERROR(VLOOKUP(H141,'G-1 All Habitats'!$Z$2:$AA$9,2,FALSE),"")</f>
        <v/>
      </c>
      <c r="J141" s="145"/>
      <c r="K141" s="520" t="str">
        <f>IF(J141="","",IF(VLOOKUP(J141,'G-3 Multipliers'!$L$3:$N$6,2,FALSE)=0,"Spatial Data Missing ⚠",VLOOKUP(J141,'G-3 Multipliers'!$L$3:$N$6,2,FALSE)))</f>
        <v/>
      </c>
      <c r="L141" s="505" t="str">
        <f>IF(J141="","",IF(VLOOKUP(J141,'G-3 Multipliers'!$L$3:$N$6,3,FALSE)=0,"Spatial Data Missing ⚠",VLOOKUP(J141,'G-3 Multipliers'!$L$3:$N$6,3,FALSE)))</f>
        <v/>
      </c>
      <c r="M141" s="498" t="str">
        <f>IF(OR(D141="",H141=""),"",(INDEX('G-6 Hedgerow Data'!$E$3:$I$15,MATCH(D141,'G-6 Hedgerow Data'!$B$3:$B$15,0),MATCH(H141,'G-6 Hedgerow Data'!$E$2:$I$2,0))))</f>
        <v/>
      </c>
      <c r="N141" s="195"/>
      <c r="O141" s="195"/>
      <c r="P141" s="507" t="str">
        <f t="shared" ref="P141:P204" si="13">IF(M141="","",IF(AND(N141&gt;0,O141&gt;0),"Error -both advance and delayed habitat creation ▲",IF(AND(OR(N141="Habitat already in target condition",M141&lt;=N141),O141=0),"Check details - Is there evidence that habitat has reached target condition? ⚠",IF(M141="","",IF(N141&gt;0,"Check details - Is there evidence habitat creation started/in place? ⚠",IF(O141&gt;0,"Check details- Delay in starting habitat in required condition? ⚠","Standard time to target condition applied"))))))</f>
        <v/>
      </c>
      <c r="Q141" s="521" t="str">
        <f t="shared" ref="Q141:Q204" si="14">IF(M141="","",IF(LEFT(P141,5)="Error ▲","Check Data ⚠",IF(OR(N141="30+",N141="Habitat already in target condition"),0,IF(O141="30+","30+ ⚠",IF(AND(M141="30+ ⚠",OR(N141="",N141=0)),"30+ ⚠",IF(AND(M141="30+ ⚠",N141&gt;0),32-N141,IF(M141+O141&gt;30,"30+ ⚠",IF(M141+O141-N141&gt;0,M141+O141-N141,IF(M141-N141&lt;0,0,M141+O141-N141)))))))))</f>
        <v/>
      </c>
      <c r="R141" s="522" t="str">
        <f t="shared" si="12"/>
        <v/>
      </c>
      <c r="S141" s="537" t="str">
        <f>IF(D141="","",VLOOKUP(D141,'G-6 Hedgerow Data'!$B$3:$AG$15,31,FALSE))</f>
        <v/>
      </c>
      <c r="T141" s="507" t="str">
        <f t="shared" ref="T141:T204" si="15">IF(D141="","",IF(Q141="Check Data ⚠","Check Data ⚠",IF(H141="","",IF($P141="Check details - Is there evidence that habitat has reached target condition? ⚠","Low Difficulty - only applicable if all habitat created before losses ⚠","Standard difficulty applied"))))</f>
        <v/>
      </c>
      <c r="U141" s="507" t="str">
        <f t="shared" ref="U141:U204" si="16">(IF(AND(T141="Standard difficulty applied",M141&gt;N141),S141,IF(AND(T141="Low Difficulty - only applicable if all habitat created before losses ⚠",Q141&lt;=0),"Low",S141)))</f>
        <v/>
      </c>
      <c r="V141" s="524" t="str">
        <f>IF(D141="","",VLOOKUP(S141,'G-3 Multipliers'!$P$3:$Q$6,2,FALSE))</f>
        <v/>
      </c>
      <c r="W141" s="529" t="str">
        <f t="shared" ref="W141:W204" si="17">IFERROR(E141*G141*I141*L141*R141*V141,"")</f>
        <v/>
      </c>
      <c r="X141" s="149"/>
      <c r="Y141" s="150"/>
      <c r="AG141" s="31" t="str">
        <f>IFERROR(INDEX('G-6 Hedgerow Data'!$BJ$3:$BJ$15,MATCH(D141,'G-6 Hedgerow Data'!$B$3:$B$15,0)),"")</f>
        <v/>
      </c>
    </row>
    <row r="142" spans="2:33" ht="14" x14ac:dyDescent="0.3">
      <c r="B142" s="141">
        <v>131</v>
      </c>
      <c r="C142" s="205"/>
      <c r="D142" s="195"/>
      <c r="E142" s="172"/>
      <c r="F142" s="553" t="str">
        <f>IF(D142="","",VLOOKUP(D142,'G-6 Hedgerow Data'!$B$2:$AG$15,2,FALSE))</f>
        <v/>
      </c>
      <c r="G142" s="499" t="str">
        <f>IF(D142="","",VLOOKUP(D142,'G-6 Hedgerow Data'!$B$2:$AG$15,3,FALSE))</f>
        <v/>
      </c>
      <c r="H142" s="145"/>
      <c r="I142" s="499" t="str">
        <f>IFERROR(VLOOKUP(H142,'G-1 All Habitats'!$Z$2:$AA$9,2,FALSE),"")</f>
        <v/>
      </c>
      <c r="J142" s="145"/>
      <c r="K142" s="520" t="str">
        <f>IF(J142="","",IF(VLOOKUP(J142,'G-3 Multipliers'!$L$3:$N$6,2,FALSE)=0,"Spatial Data Missing ⚠",VLOOKUP(J142,'G-3 Multipliers'!$L$3:$N$6,2,FALSE)))</f>
        <v/>
      </c>
      <c r="L142" s="505" t="str">
        <f>IF(J142="","",IF(VLOOKUP(J142,'G-3 Multipliers'!$L$3:$N$6,3,FALSE)=0,"Spatial Data Missing ⚠",VLOOKUP(J142,'G-3 Multipliers'!$L$3:$N$6,3,FALSE)))</f>
        <v/>
      </c>
      <c r="M142" s="498" t="str">
        <f>IF(OR(D142="",H142=""),"",(INDEX('G-6 Hedgerow Data'!$E$3:$I$15,MATCH(D142,'G-6 Hedgerow Data'!$B$3:$B$15,0),MATCH(H142,'G-6 Hedgerow Data'!$E$2:$I$2,0))))</f>
        <v/>
      </c>
      <c r="N142" s="195"/>
      <c r="O142" s="195"/>
      <c r="P142" s="507" t="str">
        <f t="shared" si="13"/>
        <v/>
      </c>
      <c r="Q142" s="521" t="str">
        <f t="shared" si="14"/>
        <v/>
      </c>
      <c r="R142" s="522" t="str">
        <f t="shared" si="12"/>
        <v/>
      </c>
      <c r="S142" s="537" t="str">
        <f>IF(D142="","",VLOOKUP(D142,'G-6 Hedgerow Data'!$B$3:$AG$15,31,FALSE))</f>
        <v/>
      </c>
      <c r="T142" s="507" t="str">
        <f t="shared" si="15"/>
        <v/>
      </c>
      <c r="U142" s="507" t="str">
        <f t="shared" si="16"/>
        <v/>
      </c>
      <c r="V142" s="524" t="str">
        <f>IF(D142="","",VLOOKUP(S142,'G-3 Multipliers'!$P$3:$Q$6,2,FALSE))</f>
        <v/>
      </c>
      <c r="W142" s="529" t="str">
        <f t="shared" si="17"/>
        <v/>
      </c>
      <c r="X142" s="149"/>
      <c r="Y142" s="150"/>
      <c r="AG142" s="31" t="str">
        <f>IFERROR(INDEX('G-6 Hedgerow Data'!$BJ$3:$BJ$15,MATCH(D142,'G-6 Hedgerow Data'!$B$3:$B$15,0)),"")</f>
        <v/>
      </c>
    </row>
    <row r="143" spans="2:33" ht="14" x14ac:dyDescent="0.3">
      <c r="B143" s="141">
        <v>132</v>
      </c>
      <c r="C143" s="205"/>
      <c r="D143" s="195"/>
      <c r="E143" s="172"/>
      <c r="F143" s="553" t="str">
        <f>IF(D143="","",VLOOKUP(D143,'G-6 Hedgerow Data'!$B$2:$AG$15,2,FALSE))</f>
        <v/>
      </c>
      <c r="G143" s="499" t="str">
        <f>IF(D143="","",VLOOKUP(D143,'G-6 Hedgerow Data'!$B$2:$AG$15,3,FALSE))</f>
        <v/>
      </c>
      <c r="H143" s="145"/>
      <c r="I143" s="499" t="str">
        <f>IFERROR(VLOOKUP(H143,'G-1 All Habitats'!$Z$2:$AA$9,2,FALSE),"")</f>
        <v/>
      </c>
      <c r="J143" s="145"/>
      <c r="K143" s="520" t="str">
        <f>IF(J143="","",IF(VLOOKUP(J143,'G-3 Multipliers'!$L$3:$N$6,2,FALSE)=0,"Spatial Data Missing ⚠",VLOOKUP(J143,'G-3 Multipliers'!$L$3:$N$6,2,FALSE)))</f>
        <v/>
      </c>
      <c r="L143" s="505" t="str">
        <f>IF(J143="","",IF(VLOOKUP(J143,'G-3 Multipliers'!$L$3:$N$6,3,FALSE)=0,"Spatial Data Missing ⚠",VLOOKUP(J143,'G-3 Multipliers'!$L$3:$N$6,3,FALSE)))</f>
        <v/>
      </c>
      <c r="M143" s="498" t="str">
        <f>IF(OR(D143="",H143=""),"",(INDEX('G-6 Hedgerow Data'!$E$3:$I$15,MATCH(D143,'G-6 Hedgerow Data'!$B$3:$B$15,0),MATCH(H143,'G-6 Hedgerow Data'!$E$2:$I$2,0))))</f>
        <v/>
      </c>
      <c r="N143" s="195"/>
      <c r="O143" s="195"/>
      <c r="P143" s="507" t="str">
        <f t="shared" si="13"/>
        <v/>
      </c>
      <c r="Q143" s="521" t="str">
        <f t="shared" si="14"/>
        <v/>
      </c>
      <c r="R143" s="522" t="str">
        <f t="shared" si="12"/>
        <v/>
      </c>
      <c r="S143" s="537" t="str">
        <f>IF(D143="","",VLOOKUP(D143,'G-6 Hedgerow Data'!$B$3:$AG$15,31,FALSE))</f>
        <v/>
      </c>
      <c r="T143" s="507" t="str">
        <f t="shared" si="15"/>
        <v/>
      </c>
      <c r="U143" s="507" t="str">
        <f t="shared" si="16"/>
        <v/>
      </c>
      <c r="V143" s="524" t="str">
        <f>IF(D143="","",VLOOKUP(S143,'G-3 Multipliers'!$P$3:$Q$6,2,FALSE))</f>
        <v/>
      </c>
      <c r="W143" s="529" t="str">
        <f t="shared" si="17"/>
        <v/>
      </c>
      <c r="X143" s="149"/>
      <c r="Y143" s="150"/>
      <c r="AG143" s="31" t="str">
        <f>IFERROR(INDEX('G-6 Hedgerow Data'!$BJ$3:$BJ$15,MATCH(D143,'G-6 Hedgerow Data'!$B$3:$B$15,0)),"")</f>
        <v/>
      </c>
    </row>
    <row r="144" spans="2:33" ht="14" x14ac:dyDescent="0.3">
      <c r="B144" s="141">
        <v>133</v>
      </c>
      <c r="C144" s="205"/>
      <c r="D144" s="195"/>
      <c r="E144" s="172"/>
      <c r="F144" s="553" t="str">
        <f>IF(D144="","",VLOOKUP(D144,'G-6 Hedgerow Data'!$B$2:$AG$15,2,FALSE))</f>
        <v/>
      </c>
      <c r="G144" s="499" t="str">
        <f>IF(D144="","",VLOOKUP(D144,'G-6 Hedgerow Data'!$B$2:$AG$15,3,FALSE))</f>
        <v/>
      </c>
      <c r="H144" s="145"/>
      <c r="I144" s="499" t="str">
        <f>IFERROR(VLOOKUP(H144,'G-1 All Habitats'!$Z$2:$AA$9,2,FALSE),"")</f>
        <v/>
      </c>
      <c r="J144" s="145"/>
      <c r="K144" s="520" t="str">
        <f>IF(J144="","",IF(VLOOKUP(J144,'G-3 Multipliers'!$L$3:$N$6,2,FALSE)=0,"Spatial Data Missing ⚠",VLOOKUP(J144,'G-3 Multipliers'!$L$3:$N$6,2,FALSE)))</f>
        <v/>
      </c>
      <c r="L144" s="505" t="str">
        <f>IF(J144="","",IF(VLOOKUP(J144,'G-3 Multipliers'!$L$3:$N$6,3,FALSE)=0,"Spatial Data Missing ⚠",VLOOKUP(J144,'G-3 Multipliers'!$L$3:$N$6,3,FALSE)))</f>
        <v/>
      </c>
      <c r="M144" s="498" t="str">
        <f>IF(OR(D144="",H144=""),"",(INDEX('G-6 Hedgerow Data'!$E$3:$I$15,MATCH(D144,'G-6 Hedgerow Data'!$B$3:$B$15,0),MATCH(H144,'G-6 Hedgerow Data'!$E$2:$I$2,0))))</f>
        <v/>
      </c>
      <c r="N144" s="195"/>
      <c r="O144" s="195"/>
      <c r="P144" s="507" t="str">
        <f t="shared" si="13"/>
        <v/>
      </c>
      <c r="Q144" s="521" t="str">
        <f t="shared" si="14"/>
        <v/>
      </c>
      <c r="R144" s="522" t="str">
        <f t="shared" si="12"/>
        <v/>
      </c>
      <c r="S144" s="537" t="str">
        <f>IF(D144="","",VLOOKUP(D144,'G-6 Hedgerow Data'!$B$3:$AG$15,31,FALSE))</f>
        <v/>
      </c>
      <c r="T144" s="507" t="str">
        <f t="shared" si="15"/>
        <v/>
      </c>
      <c r="U144" s="507" t="str">
        <f t="shared" si="16"/>
        <v/>
      </c>
      <c r="V144" s="524" t="str">
        <f>IF(D144="","",VLOOKUP(S144,'G-3 Multipliers'!$P$3:$Q$6,2,FALSE))</f>
        <v/>
      </c>
      <c r="W144" s="529" t="str">
        <f t="shared" si="17"/>
        <v/>
      </c>
      <c r="X144" s="149"/>
      <c r="Y144" s="150"/>
      <c r="AG144" s="31" t="str">
        <f>IFERROR(INDEX('G-6 Hedgerow Data'!$BJ$3:$BJ$15,MATCH(D144,'G-6 Hedgerow Data'!$B$3:$B$15,0)),"")</f>
        <v/>
      </c>
    </row>
    <row r="145" spans="2:33" ht="14" x14ac:dyDescent="0.3">
      <c r="B145" s="141">
        <v>134</v>
      </c>
      <c r="C145" s="205"/>
      <c r="D145" s="195"/>
      <c r="E145" s="172"/>
      <c r="F145" s="553" t="str">
        <f>IF(D145="","",VLOOKUP(D145,'G-6 Hedgerow Data'!$B$2:$AG$15,2,FALSE))</f>
        <v/>
      </c>
      <c r="G145" s="499" t="str">
        <f>IF(D145="","",VLOOKUP(D145,'G-6 Hedgerow Data'!$B$2:$AG$15,3,FALSE))</f>
        <v/>
      </c>
      <c r="H145" s="145"/>
      <c r="I145" s="499" t="str">
        <f>IFERROR(VLOOKUP(H145,'G-1 All Habitats'!$Z$2:$AA$9,2,FALSE),"")</f>
        <v/>
      </c>
      <c r="J145" s="145"/>
      <c r="K145" s="520" t="str">
        <f>IF(J145="","",IF(VLOOKUP(J145,'G-3 Multipliers'!$L$3:$N$6,2,FALSE)=0,"Spatial Data Missing ⚠",VLOOKUP(J145,'G-3 Multipliers'!$L$3:$N$6,2,FALSE)))</f>
        <v/>
      </c>
      <c r="L145" s="505" t="str">
        <f>IF(J145="","",IF(VLOOKUP(J145,'G-3 Multipliers'!$L$3:$N$6,3,FALSE)=0,"Spatial Data Missing ⚠",VLOOKUP(J145,'G-3 Multipliers'!$L$3:$N$6,3,FALSE)))</f>
        <v/>
      </c>
      <c r="M145" s="498" t="str">
        <f>IF(OR(D145="",H145=""),"",(INDEX('G-6 Hedgerow Data'!$E$3:$I$15,MATCH(D145,'G-6 Hedgerow Data'!$B$3:$B$15,0),MATCH(H145,'G-6 Hedgerow Data'!$E$2:$I$2,0))))</f>
        <v/>
      </c>
      <c r="N145" s="195"/>
      <c r="O145" s="195"/>
      <c r="P145" s="507" t="str">
        <f t="shared" si="13"/>
        <v/>
      </c>
      <c r="Q145" s="521" t="str">
        <f t="shared" si="14"/>
        <v/>
      </c>
      <c r="R145" s="522" t="str">
        <f t="shared" si="12"/>
        <v/>
      </c>
      <c r="S145" s="537" t="str">
        <f>IF(D145="","",VLOOKUP(D145,'G-6 Hedgerow Data'!$B$3:$AG$15,31,FALSE))</f>
        <v/>
      </c>
      <c r="T145" s="507" t="str">
        <f t="shared" si="15"/>
        <v/>
      </c>
      <c r="U145" s="507" t="str">
        <f t="shared" si="16"/>
        <v/>
      </c>
      <c r="V145" s="524" t="str">
        <f>IF(D145="","",VLOOKUP(S145,'G-3 Multipliers'!$P$3:$Q$6,2,FALSE))</f>
        <v/>
      </c>
      <c r="W145" s="529" t="str">
        <f t="shared" si="17"/>
        <v/>
      </c>
      <c r="X145" s="149"/>
      <c r="Y145" s="150"/>
      <c r="AG145" s="31" t="str">
        <f>IFERROR(INDEX('G-6 Hedgerow Data'!$BJ$3:$BJ$15,MATCH(D145,'G-6 Hedgerow Data'!$B$3:$B$15,0)),"")</f>
        <v/>
      </c>
    </row>
    <row r="146" spans="2:33" ht="14" x14ac:dyDescent="0.3">
      <c r="B146" s="141">
        <v>135</v>
      </c>
      <c r="C146" s="205"/>
      <c r="D146" s="195"/>
      <c r="E146" s="172"/>
      <c r="F146" s="553" t="str">
        <f>IF(D146="","",VLOOKUP(D146,'G-6 Hedgerow Data'!$B$2:$AG$15,2,FALSE))</f>
        <v/>
      </c>
      <c r="G146" s="499" t="str">
        <f>IF(D146="","",VLOOKUP(D146,'G-6 Hedgerow Data'!$B$2:$AG$15,3,FALSE))</f>
        <v/>
      </c>
      <c r="H146" s="145"/>
      <c r="I146" s="499" t="str">
        <f>IFERROR(VLOOKUP(H146,'G-1 All Habitats'!$Z$2:$AA$9,2,FALSE),"")</f>
        <v/>
      </c>
      <c r="J146" s="145"/>
      <c r="K146" s="520" t="str">
        <f>IF(J146="","",IF(VLOOKUP(J146,'G-3 Multipliers'!$L$3:$N$6,2,FALSE)=0,"Spatial Data Missing ⚠",VLOOKUP(J146,'G-3 Multipliers'!$L$3:$N$6,2,FALSE)))</f>
        <v/>
      </c>
      <c r="L146" s="505" t="str">
        <f>IF(J146="","",IF(VLOOKUP(J146,'G-3 Multipliers'!$L$3:$N$6,3,FALSE)=0,"Spatial Data Missing ⚠",VLOOKUP(J146,'G-3 Multipliers'!$L$3:$N$6,3,FALSE)))</f>
        <v/>
      </c>
      <c r="M146" s="498" t="str">
        <f>IF(OR(D146="",H146=""),"",(INDEX('G-6 Hedgerow Data'!$E$3:$I$15,MATCH(D146,'G-6 Hedgerow Data'!$B$3:$B$15,0),MATCH(H146,'G-6 Hedgerow Data'!$E$2:$I$2,0))))</f>
        <v/>
      </c>
      <c r="N146" s="195"/>
      <c r="O146" s="195"/>
      <c r="P146" s="507" t="str">
        <f t="shared" si="13"/>
        <v/>
      </c>
      <c r="Q146" s="521" t="str">
        <f t="shared" si="14"/>
        <v/>
      </c>
      <c r="R146" s="522" t="str">
        <f t="shared" si="12"/>
        <v/>
      </c>
      <c r="S146" s="537" t="str">
        <f>IF(D146="","",VLOOKUP(D146,'G-6 Hedgerow Data'!$B$3:$AG$15,31,FALSE))</f>
        <v/>
      </c>
      <c r="T146" s="507" t="str">
        <f t="shared" si="15"/>
        <v/>
      </c>
      <c r="U146" s="507" t="str">
        <f t="shared" si="16"/>
        <v/>
      </c>
      <c r="V146" s="524" t="str">
        <f>IF(D146="","",VLOOKUP(S146,'G-3 Multipliers'!$P$3:$Q$6,2,FALSE))</f>
        <v/>
      </c>
      <c r="W146" s="529" t="str">
        <f t="shared" si="17"/>
        <v/>
      </c>
      <c r="X146" s="149"/>
      <c r="Y146" s="150"/>
      <c r="AG146" s="31" t="str">
        <f>IFERROR(INDEX('G-6 Hedgerow Data'!$BJ$3:$BJ$15,MATCH(D146,'G-6 Hedgerow Data'!$B$3:$B$15,0)),"")</f>
        <v/>
      </c>
    </row>
    <row r="147" spans="2:33" ht="14" x14ac:dyDescent="0.3">
      <c r="B147" s="141">
        <v>136</v>
      </c>
      <c r="C147" s="205"/>
      <c r="D147" s="195"/>
      <c r="E147" s="172"/>
      <c r="F147" s="553" t="str">
        <f>IF(D147="","",VLOOKUP(D147,'G-6 Hedgerow Data'!$B$2:$AG$15,2,FALSE))</f>
        <v/>
      </c>
      <c r="G147" s="499" t="str">
        <f>IF(D147="","",VLOOKUP(D147,'G-6 Hedgerow Data'!$B$2:$AG$15,3,FALSE))</f>
        <v/>
      </c>
      <c r="H147" s="145"/>
      <c r="I147" s="499" t="str">
        <f>IFERROR(VLOOKUP(H147,'G-1 All Habitats'!$Z$2:$AA$9,2,FALSE),"")</f>
        <v/>
      </c>
      <c r="J147" s="145"/>
      <c r="K147" s="520" t="str">
        <f>IF(J147="","",IF(VLOOKUP(J147,'G-3 Multipliers'!$L$3:$N$6,2,FALSE)=0,"Spatial Data Missing ⚠",VLOOKUP(J147,'G-3 Multipliers'!$L$3:$N$6,2,FALSE)))</f>
        <v/>
      </c>
      <c r="L147" s="505" t="str">
        <f>IF(J147="","",IF(VLOOKUP(J147,'G-3 Multipliers'!$L$3:$N$6,3,FALSE)=0,"Spatial Data Missing ⚠",VLOOKUP(J147,'G-3 Multipliers'!$L$3:$N$6,3,FALSE)))</f>
        <v/>
      </c>
      <c r="M147" s="498" t="str">
        <f>IF(OR(D147="",H147=""),"",(INDEX('G-6 Hedgerow Data'!$E$3:$I$15,MATCH(D147,'G-6 Hedgerow Data'!$B$3:$B$15,0),MATCH(H147,'G-6 Hedgerow Data'!$E$2:$I$2,0))))</f>
        <v/>
      </c>
      <c r="N147" s="195"/>
      <c r="O147" s="195"/>
      <c r="P147" s="507" t="str">
        <f t="shared" si="13"/>
        <v/>
      </c>
      <c r="Q147" s="521" t="str">
        <f t="shared" si="14"/>
        <v/>
      </c>
      <c r="R147" s="522" t="str">
        <f t="shared" si="12"/>
        <v/>
      </c>
      <c r="S147" s="537" t="str">
        <f>IF(D147="","",VLOOKUP(D147,'G-6 Hedgerow Data'!$B$3:$AG$15,31,FALSE))</f>
        <v/>
      </c>
      <c r="T147" s="507" t="str">
        <f t="shared" si="15"/>
        <v/>
      </c>
      <c r="U147" s="507" t="str">
        <f t="shared" si="16"/>
        <v/>
      </c>
      <c r="V147" s="524" t="str">
        <f>IF(D147="","",VLOOKUP(S147,'G-3 Multipliers'!$P$3:$Q$6,2,FALSE))</f>
        <v/>
      </c>
      <c r="W147" s="529" t="str">
        <f t="shared" si="17"/>
        <v/>
      </c>
      <c r="X147" s="149"/>
      <c r="Y147" s="150"/>
      <c r="AG147" s="31" t="str">
        <f>IFERROR(INDEX('G-6 Hedgerow Data'!$BJ$3:$BJ$15,MATCH(D147,'G-6 Hedgerow Data'!$B$3:$B$15,0)),"")</f>
        <v/>
      </c>
    </row>
    <row r="148" spans="2:33" ht="14" x14ac:dyDescent="0.3">
      <c r="B148" s="141">
        <v>137</v>
      </c>
      <c r="C148" s="205"/>
      <c r="D148" s="195"/>
      <c r="E148" s="172"/>
      <c r="F148" s="553" t="str">
        <f>IF(D148="","",VLOOKUP(D148,'G-6 Hedgerow Data'!$B$2:$AG$15,2,FALSE))</f>
        <v/>
      </c>
      <c r="G148" s="499" t="str">
        <f>IF(D148="","",VLOOKUP(D148,'G-6 Hedgerow Data'!$B$2:$AG$15,3,FALSE))</f>
        <v/>
      </c>
      <c r="H148" s="145"/>
      <c r="I148" s="499" t="str">
        <f>IFERROR(VLOOKUP(H148,'G-1 All Habitats'!$Z$2:$AA$9,2,FALSE),"")</f>
        <v/>
      </c>
      <c r="J148" s="145"/>
      <c r="K148" s="520" t="str">
        <f>IF(J148="","",IF(VLOOKUP(J148,'G-3 Multipliers'!$L$3:$N$6,2,FALSE)=0,"Spatial Data Missing ⚠",VLOOKUP(J148,'G-3 Multipliers'!$L$3:$N$6,2,FALSE)))</f>
        <v/>
      </c>
      <c r="L148" s="505" t="str">
        <f>IF(J148="","",IF(VLOOKUP(J148,'G-3 Multipliers'!$L$3:$N$6,3,FALSE)=0,"Spatial Data Missing ⚠",VLOOKUP(J148,'G-3 Multipliers'!$L$3:$N$6,3,FALSE)))</f>
        <v/>
      </c>
      <c r="M148" s="498" t="str">
        <f>IF(OR(D148="",H148=""),"",(INDEX('G-6 Hedgerow Data'!$E$3:$I$15,MATCH(D148,'G-6 Hedgerow Data'!$B$3:$B$15,0),MATCH(H148,'G-6 Hedgerow Data'!$E$2:$I$2,0))))</f>
        <v/>
      </c>
      <c r="N148" s="195"/>
      <c r="O148" s="195"/>
      <c r="P148" s="507" t="str">
        <f t="shared" si="13"/>
        <v/>
      </c>
      <c r="Q148" s="521" t="str">
        <f t="shared" si="14"/>
        <v/>
      </c>
      <c r="R148" s="522" t="str">
        <f t="shared" si="12"/>
        <v/>
      </c>
      <c r="S148" s="537" t="str">
        <f>IF(D148="","",VLOOKUP(D148,'G-6 Hedgerow Data'!$B$3:$AG$15,31,FALSE))</f>
        <v/>
      </c>
      <c r="T148" s="507" t="str">
        <f t="shared" si="15"/>
        <v/>
      </c>
      <c r="U148" s="507" t="str">
        <f t="shared" si="16"/>
        <v/>
      </c>
      <c r="V148" s="524" t="str">
        <f>IF(D148="","",VLOOKUP(S148,'G-3 Multipliers'!$P$3:$Q$6,2,FALSE))</f>
        <v/>
      </c>
      <c r="W148" s="529" t="str">
        <f t="shared" si="17"/>
        <v/>
      </c>
      <c r="X148" s="149"/>
      <c r="Y148" s="150"/>
      <c r="AG148" s="31" t="str">
        <f>IFERROR(INDEX('G-6 Hedgerow Data'!$BJ$3:$BJ$15,MATCH(D148,'G-6 Hedgerow Data'!$B$3:$B$15,0)),"")</f>
        <v/>
      </c>
    </row>
    <row r="149" spans="2:33" ht="14" x14ac:dyDescent="0.3">
      <c r="B149" s="141">
        <v>138</v>
      </c>
      <c r="C149" s="205"/>
      <c r="D149" s="195"/>
      <c r="E149" s="172"/>
      <c r="F149" s="553" t="str">
        <f>IF(D149="","",VLOOKUP(D149,'G-6 Hedgerow Data'!$B$2:$AG$15,2,FALSE))</f>
        <v/>
      </c>
      <c r="G149" s="499" t="str">
        <f>IF(D149="","",VLOOKUP(D149,'G-6 Hedgerow Data'!$B$2:$AG$15,3,FALSE))</f>
        <v/>
      </c>
      <c r="H149" s="145"/>
      <c r="I149" s="499" t="str">
        <f>IFERROR(VLOOKUP(H149,'G-1 All Habitats'!$Z$2:$AA$9,2,FALSE),"")</f>
        <v/>
      </c>
      <c r="J149" s="145"/>
      <c r="K149" s="520" t="str">
        <f>IF(J149="","",IF(VLOOKUP(J149,'G-3 Multipliers'!$L$3:$N$6,2,FALSE)=0,"Spatial Data Missing ⚠",VLOOKUP(J149,'G-3 Multipliers'!$L$3:$N$6,2,FALSE)))</f>
        <v/>
      </c>
      <c r="L149" s="505" t="str">
        <f>IF(J149="","",IF(VLOOKUP(J149,'G-3 Multipliers'!$L$3:$N$6,3,FALSE)=0,"Spatial Data Missing ⚠",VLOOKUP(J149,'G-3 Multipliers'!$L$3:$N$6,3,FALSE)))</f>
        <v/>
      </c>
      <c r="M149" s="498" t="str">
        <f>IF(OR(D149="",H149=""),"",(INDEX('G-6 Hedgerow Data'!$E$3:$I$15,MATCH(D149,'G-6 Hedgerow Data'!$B$3:$B$15,0),MATCH(H149,'G-6 Hedgerow Data'!$E$2:$I$2,0))))</f>
        <v/>
      </c>
      <c r="N149" s="195"/>
      <c r="O149" s="195"/>
      <c r="P149" s="507" t="str">
        <f t="shared" si="13"/>
        <v/>
      </c>
      <c r="Q149" s="521" t="str">
        <f t="shared" si="14"/>
        <v/>
      </c>
      <c r="R149" s="522" t="str">
        <f t="shared" si="12"/>
        <v/>
      </c>
      <c r="S149" s="537" t="str">
        <f>IF(D149="","",VLOOKUP(D149,'G-6 Hedgerow Data'!$B$3:$AG$15,31,FALSE))</f>
        <v/>
      </c>
      <c r="T149" s="507" t="str">
        <f t="shared" si="15"/>
        <v/>
      </c>
      <c r="U149" s="507" t="str">
        <f t="shared" si="16"/>
        <v/>
      </c>
      <c r="V149" s="524" t="str">
        <f>IF(D149="","",VLOOKUP(S149,'G-3 Multipliers'!$P$3:$Q$6,2,FALSE))</f>
        <v/>
      </c>
      <c r="W149" s="529" t="str">
        <f t="shared" si="17"/>
        <v/>
      </c>
      <c r="X149" s="149"/>
      <c r="Y149" s="150"/>
      <c r="AG149" s="31" t="str">
        <f>IFERROR(INDEX('G-6 Hedgerow Data'!$BJ$3:$BJ$15,MATCH(D149,'G-6 Hedgerow Data'!$B$3:$B$15,0)),"")</f>
        <v/>
      </c>
    </row>
    <row r="150" spans="2:33" ht="14" x14ac:dyDescent="0.3">
      <c r="B150" s="141">
        <v>139</v>
      </c>
      <c r="C150" s="205"/>
      <c r="D150" s="195"/>
      <c r="E150" s="172"/>
      <c r="F150" s="553" t="str">
        <f>IF(D150="","",VLOOKUP(D150,'G-6 Hedgerow Data'!$B$2:$AG$15,2,FALSE))</f>
        <v/>
      </c>
      <c r="G150" s="499" t="str">
        <f>IF(D150="","",VLOOKUP(D150,'G-6 Hedgerow Data'!$B$2:$AG$15,3,FALSE))</f>
        <v/>
      </c>
      <c r="H150" s="145"/>
      <c r="I150" s="499" t="str">
        <f>IFERROR(VLOOKUP(H150,'G-1 All Habitats'!$Z$2:$AA$9,2,FALSE),"")</f>
        <v/>
      </c>
      <c r="J150" s="145"/>
      <c r="K150" s="520" t="str">
        <f>IF(J150="","",IF(VLOOKUP(J150,'G-3 Multipliers'!$L$3:$N$6,2,FALSE)=0,"Spatial Data Missing ⚠",VLOOKUP(J150,'G-3 Multipliers'!$L$3:$N$6,2,FALSE)))</f>
        <v/>
      </c>
      <c r="L150" s="505" t="str">
        <f>IF(J150="","",IF(VLOOKUP(J150,'G-3 Multipliers'!$L$3:$N$6,3,FALSE)=0,"Spatial Data Missing ⚠",VLOOKUP(J150,'G-3 Multipliers'!$L$3:$N$6,3,FALSE)))</f>
        <v/>
      </c>
      <c r="M150" s="498" t="str">
        <f>IF(OR(D150="",H150=""),"",(INDEX('G-6 Hedgerow Data'!$E$3:$I$15,MATCH(D150,'G-6 Hedgerow Data'!$B$3:$B$15,0),MATCH(H150,'G-6 Hedgerow Data'!$E$2:$I$2,0))))</f>
        <v/>
      </c>
      <c r="N150" s="195"/>
      <c r="O150" s="195"/>
      <c r="P150" s="507" t="str">
        <f t="shared" si="13"/>
        <v/>
      </c>
      <c r="Q150" s="521" t="str">
        <f t="shared" si="14"/>
        <v/>
      </c>
      <c r="R150" s="522" t="str">
        <f t="shared" si="12"/>
        <v/>
      </c>
      <c r="S150" s="537" t="str">
        <f>IF(D150="","",VLOOKUP(D150,'G-6 Hedgerow Data'!$B$3:$AG$15,31,FALSE))</f>
        <v/>
      </c>
      <c r="T150" s="507" t="str">
        <f t="shared" si="15"/>
        <v/>
      </c>
      <c r="U150" s="507" t="str">
        <f t="shared" si="16"/>
        <v/>
      </c>
      <c r="V150" s="524" t="str">
        <f>IF(D150="","",VLOOKUP(S150,'G-3 Multipliers'!$P$3:$Q$6,2,FALSE))</f>
        <v/>
      </c>
      <c r="W150" s="529" t="str">
        <f t="shared" si="17"/>
        <v/>
      </c>
      <c r="X150" s="149"/>
      <c r="Y150" s="150"/>
      <c r="AG150" s="31" t="str">
        <f>IFERROR(INDEX('G-6 Hedgerow Data'!$BJ$3:$BJ$15,MATCH(D150,'G-6 Hedgerow Data'!$B$3:$B$15,0)),"")</f>
        <v/>
      </c>
    </row>
    <row r="151" spans="2:33" ht="14" x14ac:dyDescent="0.3">
      <c r="B151" s="141">
        <v>140</v>
      </c>
      <c r="C151" s="205"/>
      <c r="D151" s="195"/>
      <c r="E151" s="172"/>
      <c r="F151" s="553" t="str">
        <f>IF(D151="","",VLOOKUP(D151,'G-6 Hedgerow Data'!$B$2:$AG$15,2,FALSE))</f>
        <v/>
      </c>
      <c r="G151" s="499" t="str">
        <f>IF(D151="","",VLOOKUP(D151,'G-6 Hedgerow Data'!$B$2:$AG$15,3,FALSE))</f>
        <v/>
      </c>
      <c r="H151" s="145"/>
      <c r="I151" s="499" t="str">
        <f>IFERROR(VLOOKUP(H151,'G-1 All Habitats'!$Z$2:$AA$9,2,FALSE),"")</f>
        <v/>
      </c>
      <c r="J151" s="145"/>
      <c r="K151" s="520" t="str">
        <f>IF(J151="","",IF(VLOOKUP(J151,'G-3 Multipliers'!$L$3:$N$6,2,FALSE)=0,"Spatial Data Missing ⚠",VLOOKUP(J151,'G-3 Multipliers'!$L$3:$N$6,2,FALSE)))</f>
        <v/>
      </c>
      <c r="L151" s="505" t="str">
        <f>IF(J151="","",IF(VLOOKUP(J151,'G-3 Multipliers'!$L$3:$N$6,3,FALSE)=0,"Spatial Data Missing ⚠",VLOOKUP(J151,'G-3 Multipliers'!$L$3:$N$6,3,FALSE)))</f>
        <v/>
      </c>
      <c r="M151" s="498" t="str">
        <f>IF(OR(D151="",H151=""),"",(INDEX('G-6 Hedgerow Data'!$E$3:$I$15,MATCH(D151,'G-6 Hedgerow Data'!$B$3:$B$15,0),MATCH(H151,'G-6 Hedgerow Data'!$E$2:$I$2,0))))</f>
        <v/>
      </c>
      <c r="N151" s="195"/>
      <c r="O151" s="195"/>
      <c r="P151" s="507" t="str">
        <f t="shared" si="13"/>
        <v/>
      </c>
      <c r="Q151" s="521" t="str">
        <f t="shared" si="14"/>
        <v/>
      </c>
      <c r="R151" s="522" t="str">
        <f t="shared" si="12"/>
        <v/>
      </c>
      <c r="S151" s="537" t="str">
        <f>IF(D151="","",VLOOKUP(D151,'G-6 Hedgerow Data'!$B$3:$AG$15,31,FALSE))</f>
        <v/>
      </c>
      <c r="T151" s="507" t="str">
        <f t="shared" si="15"/>
        <v/>
      </c>
      <c r="U151" s="507" t="str">
        <f t="shared" si="16"/>
        <v/>
      </c>
      <c r="V151" s="524" t="str">
        <f>IF(D151="","",VLOOKUP(S151,'G-3 Multipliers'!$P$3:$Q$6,2,FALSE))</f>
        <v/>
      </c>
      <c r="W151" s="529" t="str">
        <f t="shared" si="17"/>
        <v/>
      </c>
      <c r="X151" s="149"/>
      <c r="Y151" s="150"/>
      <c r="AG151" s="31" t="str">
        <f>IFERROR(INDEX('G-6 Hedgerow Data'!$BJ$3:$BJ$15,MATCH(D151,'G-6 Hedgerow Data'!$B$3:$B$15,0)),"")</f>
        <v/>
      </c>
    </row>
    <row r="152" spans="2:33" ht="14" x14ac:dyDescent="0.3">
      <c r="B152" s="141">
        <v>141</v>
      </c>
      <c r="C152" s="205"/>
      <c r="D152" s="195"/>
      <c r="E152" s="172"/>
      <c r="F152" s="553" t="str">
        <f>IF(D152="","",VLOOKUP(D152,'G-6 Hedgerow Data'!$B$2:$AG$15,2,FALSE))</f>
        <v/>
      </c>
      <c r="G152" s="499" t="str">
        <f>IF(D152="","",VLOOKUP(D152,'G-6 Hedgerow Data'!$B$2:$AG$15,3,FALSE))</f>
        <v/>
      </c>
      <c r="H152" s="145"/>
      <c r="I152" s="499" t="str">
        <f>IFERROR(VLOOKUP(H152,'G-1 All Habitats'!$Z$2:$AA$9,2,FALSE),"")</f>
        <v/>
      </c>
      <c r="J152" s="145"/>
      <c r="K152" s="520" t="str">
        <f>IF(J152="","",IF(VLOOKUP(J152,'G-3 Multipliers'!$L$3:$N$6,2,FALSE)=0,"Spatial Data Missing ⚠",VLOOKUP(J152,'G-3 Multipliers'!$L$3:$N$6,2,FALSE)))</f>
        <v/>
      </c>
      <c r="L152" s="505" t="str">
        <f>IF(J152="","",IF(VLOOKUP(J152,'G-3 Multipliers'!$L$3:$N$6,3,FALSE)=0,"Spatial Data Missing ⚠",VLOOKUP(J152,'G-3 Multipliers'!$L$3:$N$6,3,FALSE)))</f>
        <v/>
      </c>
      <c r="M152" s="498" t="str">
        <f>IF(OR(D152="",H152=""),"",(INDEX('G-6 Hedgerow Data'!$E$3:$I$15,MATCH(D152,'G-6 Hedgerow Data'!$B$3:$B$15,0),MATCH(H152,'G-6 Hedgerow Data'!$E$2:$I$2,0))))</f>
        <v/>
      </c>
      <c r="N152" s="195"/>
      <c r="O152" s="195"/>
      <c r="P152" s="507" t="str">
        <f t="shared" si="13"/>
        <v/>
      </c>
      <c r="Q152" s="521" t="str">
        <f t="shared" si="14"/>
        <v/>
      </c>
      <c r="R152" s="522" t="str">
        <f t="shared" si="12"/>
        <v/>
      </c>
      <c r="S152" s="537" t="str">
        <f>IF(D152="","",VLOOKUP(D152,'G-6 Hedgerow Data'!$B$3:$AG$15,31,FALSE))</f>
        <v/>
      </c>
      <c r="T152" s="507" t="str">
        <f t="shared" si="15"/>
        <v/>
      </c>
      <c r="U152" s="507" t="str">
        <f t="shared" si="16"/>
        <v/>
      </c>
      <c r="V152" s="524" t="str">
        <f>IF(D152="","",VLOOKUP(S152,'G-3 Multipliers'!$P$3:$Q$6,2,FALSE))</f>
        <v/>
      </c>
      <c r="W152" s="529" t="str">
        <f t="shared" si="17"/>
        <v/>
      </c>
      <c r="X152" s="149"/>
      <c r="Y152" s="150"/>
      <c r="AG152" s="31" t="str">
        <f>IFERROR(INDEX('G-6 Hedgerow Data'!$BJ$3:$BJ$15,MATCH(D152,'G-6 Hedgerow Data'!$B$3:$B$15,0)),"")</f>
        <v/>
      </c>
    </row>
    <row r="153" spans="2:33" ht="14" x14ac:dyDescent="0.3">
      <c r="B153" s="141">
        <v>142</v>
      </c>
      <c r="C153" s="205"/>
      <c r="D153" s="195"/>
      <c r="E153" s="172"/>
      <c r="F153" s="553" t="str">
        <f>IF(D153="","",VLOOKUP(D153,'G-6 Hedgerow Data'!$B$2:$AG$15,2,FALSE))</f>
        <v/>
      </c>
      <c r="G153" s="499" t="str">
        <f>IF(D153="","",VLOOKUP(D153,'G-6 Hedgerow Data'!$B$2:$AG$15,3,FALSE))</f>
        <v/>
      </c>
      <c r="H153" s="145"/>
      <c r="I153" s="499" t="str">
        <f>IFERROR(VLOOKUP(H153,'G-1 All Habitats'!$Z$2:$AA$9,2,FALSE),"")</f>
        <v/>
      </c>
      <c r="J153" s="145"/>
      <c r="K153" s="520" t="str">
        <f>IF(J153="","",IF(VLOOKUP(J153,'G-3 Multipliers'!$L$3:$N$6,2,FALSE)=0,"Spatial Data Missing ⚠",VLOOKUP(J153,'G-3 Multipliers'!$L$3:$N$6,2,FALSE)))</f>
        <v/>
      </c>
      <c r="L153" s="505" t="str">
        <f>IF(J153="","",IF(VLOOKUP(J153,'G-3 Multipliers'!$L$3:$N$6,3,FALSE)=0,"Spatial Data Missing ⚠",VLOOKUP(J153,'G-3 Multipliers'!$L$3:$N$6,3,FALSE)))</f>
        <v/>
      </c>
      <c r="M153" s="498" t="str">
        <f>IF(OR(D153="",H153=""),"",(INDEX('G-6 Hedgerow Data'!$E$3:$I$15,MATCH(D153,'G-6 Hedgerow Data'!$B$3:$B$15,0),MATCH(H153,'G-6 Hedgerow Data'!$E$2:$I$2,0))))</f>
        <v/>
      </c>
      <c r="N153" s="195"/>
      <c r="O153" s="195"/>
      <c r="P153" s="507" t="str">
        <f t="shared" si="13"/>
        <v/>
      </c>
      <c r="Q153" s="521" t="str">
        <f t="shared" si="14"/>
        <v/>
      </c>
      <c r="R153" s="522" t="str">
        <f t="shared" si="12"/>
        <v/>
      </c>
      <c r="S153" s="537" t="str">
        <f>IF(D153="","",VLOOKUP(D153,'G-6 Hedgerow Data'!$B$3:$AG$15,31,FALSE))</f>
        <v/>
      </c>
      <c r="T153" s="507" t="str">
        <f t="shared" si="15"/>
        <v/>
      </c>
      <c r="U153" s="507" t="str">
        <f t="shared" si="16"/>
        <v/>
      </c>
      <c r="V153" s="524" t="str">
        <f>IF(D153="","",VLOOKUP(S153,'G-3 Multipliers'!$P$3:$Q$6,2,FALSE))</f>
        <v/>
      </c>
      <c r="W153" s="529" t="str">
        <f t="shared" si="17"/>
        <v/>
      </c>
      <c r="X153" s="149"/>
      <c r="Y153" s="150"/>
      <c r="AG153" s="31" t="str">
        <f>IFERROR(INDEX('G-6 Hedgerow Data'!$BJ$3:$BJ$15,MATCH(D153,'G-6 Hedgerow Data'!$B$3:$B$15,0)),"")</f>
        <v/>
      </c>
    </row>
    <row r="154" spans="2:33" ht="14" x14ac:dyDescent="0.3">
      <c r="B154" s="141">
        <v>143</v>
      </c>
      <c r="C154" s="205"/>
      <c r="D154" s="195"/>
      <c r="E154" s="172"/>
      <c r="F154" s="553" t="str">
        <f>IF(D154="","",VLOOKUP(D154,'G-6 Hedgerow Data'!$B$2:$AG$15,2,FALSE))</f>
        <v/>
      </c>
      <c r="G154" s="499" t="str">
        <f>IF(D154="","",VLOOKUP(D154,'G-6 Hedgerow Data'!$B$2:$AG$15,3,FALSE))</f>
        <v/>
      </c>
      <c r="H154" s="145"/>
      <c r="I154" s="499" t="str">
        <f>IFERROR(VLOOKUP(H154,'G-1 All Habitats'!$Z$2:$AA$9,2,FALSE),"")</f>
        <v/>
      </c>
      <c r="J154" s="145"/>
      <c r="K154" s="520" t="str">
        <f>IF(J154="","",IF(VLOOKUP(J154,'G-3 Multipliers'!$L$3:$N$6,2,FALSE)=0,"Spatial Data Missing ⚠",VLOOKUP(J154,'G-3 Multipliers'!$L$3:$N$6,2,FALSE)))</f>
        <v/>
      </c>
      <c r="L154" s="505" t="str">
        <f>IF(J154="","",IF(VLOOKUP(J154,'G-3 Multipliers'!$L$3:$N$6,3,FALSE)=0,"Spatial Data Missing ⚠",VLOOKUP(J154,'G-3 Multipliers'!$L$3:$N$6,3,FALSE)))</f>
        <v/>
      </c>
      <c r="M154" s="498" t="str">
        <f>IF(OR(D154="",H154=""),"",(INDEX('G-6 Hedgerow Data'!$E$3:$I$15,MATCH(D154,'G-6 Hedgerow Data'!$B$3:$B$15,0),MATCH(H154,'G-6 Hedgerow Data'!$E$2:$I$2,0))))</f>
        <v/>
      </c>
      <c r="N154" s="195"/>
      <c r="O154" s="195"/>
      <c r="P154" s="507" t="str">
        <f t="shared" si="13"/>
        <v/>
      </c>
      <c r="Q154" s="521" t="str">
        <f t="shared" si="14"/>
        <v/>
      </c>
      <c r="R154" s="522" t="str">
        <f t="shared" si="12"/>
        <v/>
      </c>
      <c r="S154" s="537" t="str">
        <f>IF(D154="","",VLOOKUP(D154,'G-6 Hedgerow Data'!$B$3:$AG$15,31,FALSE))</f>
        <v/>
      </c>
      <c r="T154" s="507" t="str">
        <f t="shared" si="15"/>
        <v/>
      </c>
      <c r="U154" s="507" t="str">
        <f t="shared" si="16"/>
        <v/>
      </c>
      <c r="V154" s="524" t="str">
        <f>IF(D154="","",VLOOKUP(S154,'G-3 Multipliers'!$P$3:$Q$6,2,FALSE))</f>
        <v/>
      </c>
      <c r="W154" s="529" t="str">
        <f t="shared" si="17"/>
        <v/>
      </c>
      <c r="X154" s="149"/>
      <c r="Y154" s="150"/>
      <c r="AG154" s="31" t="str">
        <f>IFERROR(INDEX('G-6 Hedgerow Data'!$BJ$3:$BJ$15,MATCH(D154,'G-6 Hedgerow Data'!$B$3:$B$15,0)),"")</f>
        <v/>
      </c>
    </row>
    <row r="155" spans="2:33" ht="14" x14ac:dyDescent="0.3">
      <c r="B155" s="141">
        <v>144</v>
      </c>
      <c r="C155" s="205"/>
      <c r="D155" s="195"/>
      <c r="E155" s="172"/>
      <c r="F155" s="553" t="str">
        <f>IF(D155="","",VLOOKUP(D155,'G-6 Hedgerow Data'!$B$2:$AG$15,2,FALSE))</f>
        <v/>
      </c>
      <c r="G155" s="499" t="str">
        <f>IF(D155="","",VLOOKUP(D155,'G-6 Hedgerow Data'!$B$2:$AG$15,3,FALSE))</f>
        <v/>
      </c>
      <c r="H155" s="145"/>
      <c r="I155" s="499" t="str">
        <f>IFERROR(VLOOKUP(H155,'G-1 All Habitats'!$Z$2:$AA$9,2,FALSE),"")</f>
        <v/>
      </c>
      <c r="J155" s="145"/>
      <c r="K155" s="520" t="str">
        <f>IF(J155="","",IF(VLOOKUP(J155,'G-3 Multipliers'!$L$3:$N$6,2,FALSE)=0,"Spatial Data Missing ⚠",VLOOKUP(J155,'G-3 Multipliers'!$L$3:$N$6,2,FALSE)))</f>
        <v/>
      </c>
      <c r="L155" s="505" t="str">
        <f>IF(J155="","",IF(VLOOKUP(J155,'G-3 Multipliers'!$L$3:$N$6,3,FALSE)=0,"Spatial Data Missing ⚠",VLOOKUP(J155,'G-3 Multipliers'!$L$3:$N$6,3,FALSE)))</f>
        <v/>
      </c>
      <c r="M155" s="498" t="str">
        <f>IF(OR(D155="",H155=""),"",(INDEX('G-6 Hedgerow Data'!$E$3:$I$15,MATCH(D155,'G-6 Hedgerow Data'!$B$3:$B$15,0),MATCH(H155,'G-6 Hedgerow Data'!$E$2:$I$2,0))))</f>
        <v/>
      </c>
      <c r="N155" s="195"/>
      <c r="O155" s="195"/>
      <c r="P155" s="507" t="str">
        <f t="shared" si="13"/>
        <v/>
      </c>
      <c r="Q155" s="521" t="str">
        <f t="shared" si="14"/>
        <v/>
      </c>
      <c r="R155" s="522" t="str">
        <f t="shared" si="12"/>
        <v/>
      </c>
      <c r="S155" s="537" t="str">
        <f>IF(D155="","",VLOOKUP(D155,'G-6 Hedgerow Data'!$B$3:$AG$15,31,FALSE))</f>
        <v/>
      </c>
      <c r="T155" s="507" t="str">
        <f t="shared" si="15"/>
        <v/>
      </c>
      <c r="U155" s="507" t="str">
        <f t="shared" si="16"/>
        <v/>
      </c>
      <c r="V155" s="524" t="str">
        <f>IF(D155="","",VLOOKUP(S155,'G-3 Multipliers'!$P$3:$Q$6,2,FALSE))</f>
        <v/>
      </c>
      <c r="W155" s="529" t="str">
        <f t="shared" si="17"/>
        <v/>
      </c>
      <c r="X155" s="149"/>
      <c r="Y155" s="150"/>
      <c r="AG155" s="31" t="str">
        <f>IFERROR(INDEX('G-6 Hedgerow Data'!$BJ$3:$BJ$15,MATCH(D155,'G-6 Hedgerow Data'!$B$3:$B$15,0)),"")</f>
        <v/>
      </c>
    </row>
    <row r="156" spans="2:33" ht="14" x14ac:dyDescent="0.3">
      <c r="B156" s="141">
        <v>145</v>
      </c>
      <c r="C156" s="205"/>
      <c r="D156" s="195"/>
      <c r="E156" s="172"/>
      <c r="F156" s="553" t="str">
        <f>IF(D156="","",VLOOKUP(D156,'G-6 Hedgerow Data'!$B$2:$AG$15,2,FALSE))</f>
        <v/>
      </c>
      <c r="G156" s="499" t="str">
        <f>IF(D156="","",VLOOKUP(D156,'G-6 Hedgerow Data'!$B$2:$AG$15,3,FALSE))</f>
        <v/>
      </c>
      <c r="H156" s="145"/>
      <c r="I156" s="499" t="str">
        <f>IFERROR(VLOOKUP(H156,'G-1 All Habitats'!$Z$2:$AA$9,2,FALSE),"")</f>
        <v/>
      </c>
      <c r="J156" s="145"/>
      <c r="K156" s="520" t="str">
        <f>IF(J156="","",IF(VLOOKUP(J156,'G-3 Multipliers'!$L$3:$N$6,2,FALSE)=0,"Spatial Data Missing ⚠",VLOOKUP(J156,'G-3 Multipliers'!$L$3:$N$6,2,FALSE)))</f>
        <v/>
      </c>
      <c r="L156" s="505" t="str">
        <f>IF(J156="","",IF(VLOOKUP(J156,'G-3 Multipliers'!$L$3:$N$6,3,FALSE)=0,"Spatial Data Missing ⚠",VLOOKUP(J156,'G-3 Multipliers'!$L$3:$N$6,3,FALSE)))</f>
        <v/>
      </c>
      <c r="M156" s="498" t="str">
        <f>IF(OR(D156="",H156=""),"",(INDEX('G-6 Hedgerow Data'!$E$3:$I$15,MATCH(D156,'G-6 Hedgerow Data'!$B$3:$B$15,0),MATCH(H156,'G-6 Hedgerow Data'!$E$2:$I$2,0))))</f>
        <v/>
      </c>
      <c r="N156" s="195"/>
      <c r="O156" s="195"/>
      <c r="P156" s="507" t="str">
        <f t="shared" si="13"/>
        <v/>
      </c>
      <c r="Q156" s="521" t="str">
        <f t="shared" si="14"/>
        <v/>
      </c>
      <c r="R156" s="522" t="str">
        <f t="shared" si="12"/>
        <v/>
      </c>
      <c r="S156" s="537" t="str">
        <f>IF(D156="","",VLOOKUP(D156,'G-6 Hedgerow Data'!$B$3:$AG$15,31,FALSE))</f>
        <v/>
      </c>
      <c r="T156" s="507" t="str">
        <f t="shared" si="15"/>
        <v/>
      </c>
      <c r="U156" s="507" t="str">
        <f t="shared" si="16"/>
        <v/>
      </c>
      <c r="V156" s="524" t="str">
        <f>IF(D156="","",VLOOKUP(S156,'G-3 Multipliers'!$P$3:$Q$6,2,FALSE))</f>
        <v/>
      </c>
      <c r="W156" s="529" t="str">
        <f t="shared" si="17"/>
        <v/>
      </c>
      <c r="X156" s="149"/>
      <c r="Y156" s="150"/>
      <c r="AG156" s="31" t="str">
        <f>IFERROR(INDEX('G-6 Hedgerow Data'!$BJ$3:$BJ$15,MATCH(D156,'G-6 Hedgerow Data'!$B$3:$B$15,0)),"")</f>
        <v/>
      </c>
    </row>
    <row r="157" spans="2:33" ht="14" x14ac:dyDescent="0.3">
      <c r="B157" s="141">
        <v>146</v>
      </c>
      <c r="C157" s="205"/>
      <c r="D157" s="195"/>
      <c r="E157" s="172"/>
      <c r="F157" s="553" t="str">
        <f>IF(D157="","",VLOOKUP(D157,'G-6 Hedgerow Data'!$B$2:$AG$15,2,FALSE))</f>
        <v/>
      </c>
      <c r="G157" s="499" t="str">
        <f>IF(D157="","",VLOOKUP(D157,'G-6 Hedgerow Data'!$B$2:$AG$15,3,FALSE))</f>
        <v/>
      </c>
      <c r="H157" s="145"/>
      <c r="I157" s="499" t="str">
        <f>IFERROR(VLOOKUP(H157,'G-1 All Habitats'!$Z$2:$AA$9,2,FALSE),"")</f>
        <v/>
      </c>
      <c r="J157" s="145"/>
      <c r="K157" s="520" t="str">
        <f>IF(J157="","",IF(VLOOKUP(J157,'G-3 Multipliers'!$L$3:$N$6,2,FALSE)=0,"Spatial Data Missing ⚠",VLOOKUP(J157,'G-3 Multipliers'!$L$3:$N$6,2,FALSE)))</f>
        <v/>
      </c>
      <c r="L157" s="505" t="str">
        <f>IF(J157="","",IF(VLOOKUP(J157,'G-3 Multipliers'!$L$3:$N$6,3,FALSE)=0,"Spatial Data Missing ⚠",VLOOKUP(J157,'G-3 Multipliers'!$L$3:$N$6,3,FALSE)))</f>
        <v/>
      </c>
      <c r="M157" s="498" t="str">
        <f>IF(OR(D157="",H157=""),"",(INDEX('G-6 Hedgerow Data'!$E$3:$I$15,MATCH(D157,'G-6 Hedgerow Data'!$B$3:$B$15,0),MATCH(H157,'G-6 Hedgerow Data'!$E$2:$I$2,0))))</f>
        <v/>
      </c>
      <c r="N157" s="195"/>
      <c r="O157" s="195"/>
      <c r="P157" s="507" t="str">
        <f t="shared" si="13"/>
        <v/>
      </c>
      <c r="Q157" s="521" t="str">
        <f t="shared" si="14"/>
        <v/>
      </c>
      <c r="R157" s="522" t="str">
        <f t="shared" si="12"/>
        <v/>
      </c>
      <c r="S157" s="537" t="str">
        <f>IF(D157="","",VLOOKUP(D157,'G-6 Hedgerow Data'!$B$3:$AG$15,31,FALSE))</f>
        <v/>
      </c>
      <c r="T157" s="507" t="str">
        <f t="shared" si="15"/>
        <v/>
      </c>
      <c r="U157" s="507" t="str">
        <f t="shared" si="16"/>
        <v/>
      </c>
      <c r="V157" s="524" t="str">
        <f>IF(D157="","",VLOOKUP(S157,'G-3 Multipliers'!$P$3:$Q$6,2,FALSE))</f>
        <v/>
      </c>
      <c r="W157" s="529" t="str">
        <f t="shared" si="17"/>
        <v/>
      </c>
      <c r="X157" s="149"/>
      <c r="Y157" s="150"/>
      <c r="AG157" s="31" t="str">
        <f>IFERROR(INDEX('G-6 Hedgerow Data'!$BJ$3:$BJ$15,MATCH(D157,'G-6 Hedgerow Data'!$B$3:$B$15,0)),"")</f>
        <v/>
      </c>
    </row>
    <row r="158" spans="2:33" ht="14" x14ac:dyDescent="0.3">
      <c r="B158" s="141">
        <v>147</v>
      </c>
      <c r="C158" s="205"/>
      <c r="D158" s="195"/>
      <c r="E158" s="172"/>
      <c r="F158" s="553" t="str">
        <f>IF(D158="","",VLOOKUP(D158,'G-6 Hedgerow Data'!$B$2:$AG$15,2,FALSE))</f>
        <v/>
      </c>
      <c r="G158" s="499" t="str">
        <f>IF(D158="","",VLOOKUP(D158,'G-6 Hedgerow Data'!$B$2:$AG$15,3,FALSE))</f>
        <v/>
      </c>
      <c r="H158" s="145"/>
      <c r="I158" s="499" t="str">
        <f>IFERROR(VLOOKUP(H158,'G-1 All Habitats'!$Z$2:$AA$9,2,FALSE),"")</f>
        <v/>
      </c>
      <c r="J158" s="145"/>
      <c r="K158" s="520" t="str">
        <f>IF(J158="","",IF(VLOOKUP(J158,'G-3 Multipliers'!$L$3:$N$6,2,FALSE)=0,"Spatial Data Missing ⚠",VLOOKUP(J158,'G-3 Multipliers'!$L$3:$N$6,2,FALSE)))</f>
        <v/>
      </c>
      <c r="L158" s="505" t="str">
        <f>IF(J158="","",IF(VLOOKUP(J158,'G-3 Multipliers'!$L$3:$N$6,3,FALSE)=0,"Spatial Data Missing ⚠",VLOOKUP(J158,'G-3 Multipliers'!$L$3:$N$6,3,FALSE)))</f>
        <v/>
      </c>
      <c r="M158" s="498" t="str">
        <f>IF(OR(D158="",H158=""),"",(INDEX('G-6 Hedgerow Data'!$E$3:$I$15,MATCH(D158,'G-6 Hedgerow Data'!$B$3:$B$15,0),MATCH(H158,'G-6 Hedgerow Data'!$E$2:$I$2,0))))</f>
        <v/>
      </c>
      <c r="N158" s="195"/>
      <c r="O158" s="195"/>
      <c r="P158" s="507" t="str">
        <f t="shared" si="13"/>
        <v/>
      </c>
      <c r="Q158" s="521" t="str">
        <f t="shared" si="14"/>
        <v/>
      </c>
      <c r="R158" s="522" t="str">
        <f t="shared" si="12"/>
        <v/>
      </c>
      <c r="S158" s="537" t="str">
        <f>IF(D158="","",VLOOKUP(D158,'G-6 Hedgerow Data'!$B$3:$AG$15,31,FALSE))</f>
        <v/>
      </c>
      <c r="T158" s="507" t="str">
        <f t="shared" si="15"/>
        <v/>
      </c>
      <c r="U158" s="507" t="str">
        <f t="shared" si="16"/>
        <v/>
      </c>
      <c r="V158" s="524" t="str">
        <f>IF(D158="","",VLOOKUP(S158,'G-3 Multipliers'!$P$3:$Q$6,2,FALSE))</f>
        <v/>
      </c>
      <c r="W158" s="529" t="str">
        <f t="shared" si="17"/>
        <v/>
      </c>
      <c r="X158" s="149"/>
      <c r="Y158" s="150"/>
      <c r="AG158" s="31" t="str">
        <f>IFERROR(INDEX('G-6 Hedgerow Data'!$BJ$3:$BJ$15,MATCH(D158,'G-6 Hedgerow Data'!$B$3:$B$15,0)),"")</f>
        <v/>
      </c>
    </row>
    <row r="159" spans="2:33" ht="14" x14ac:dyDescent="0.3">
      <c r="B159" s="141">
        <v>148</v>
      </c>
      <c r="C159" s="205"/>
      <c r="D159" s="195"/>
      <c r="E159" s="172"/>
      <c r="F159" s="553" t="str">
        <f>IF(D159="","",VLOOKUP(D159,'G-6 Hedgerow Data'!$B$2:$AG$15,2,FALSE))</f>
        <v/>
      </c>
      <c r="G159" s="499" t="str">
        <f>IF(D159="","",VLOOKUP(D159,'G-6 Hedgerow Data'!$B$2:$AG$15,3,FALSE))</f>
        <v/>
      </c>
      <c r="H159" s="145"/>
      <c r="I159" s="499" t="str">
        <f>IFERROR(VLOOKUP(H159,'G-1 All Habitats'!$Z$2:$AA$9,2,FALSE),"")</f>
        <v/>
      </c>
      <c r="J159" s="145"/>
      <c r="K159" s="520" t="str">
        <f>IF(J159="","",IF(VLOOKUP(J159,'G-3 Multipliers'!$L$3:$N$6,2,FALSE)=0,"Spatial Data Missing ⚠",VLOOKUP(J159,'G-3 Multipliers'!$L$3:$N$6,2,FALSE)))</f>
        <v/>
      </c>
      <c r="L159" s="505" t="str">
        <f>IF(J159="","",IF(VLOOKUP(J159,'G-3 Multipliers'!$L$3:$N$6,3,FALSE)=0,"Spatial Data Missing ⚠",VLOOKUP(J159,'G-3 Multipliers'!$L$3:$N$6,3,FALSE)))</f>
        <v/>
      </c>
      <c r="M159" s="498" t="str">
        <f>IF(OR(D159="",H159=""),"",(INDEX('G-6 Hedgerow Data'!$E$3:$I$15,MATCH(D159,'G-6 Hedgerow Data'!$B$3:$B$15,0),MATCH(H159,'G-6 Hedgerow Data'!$E$2:$I$2,0))))</f>
        <v/>
      </c>
      <c r="N159" s="195"/>
      <c r="O159" s="195"/>
      <c r="P159" s="507" t="str">
        <f t="shared" si="13"/>
        <v/>
      </c>
      <c r="Q159" s="521" t="str">
        <f t="shared" si="14"/>
        <v/>
      </c>
      <c r="R159" s="522" t="str">
        <f t="shared" si="12"/>
        <v/>
      </c>
      <c r="S159" s="537" t="str">
        <f>IF(D159="","",VLOOKUP(D159,'G-6 Hedgerow Data'!$B$3:$AG$15,31,FALSE))</f>
        <v/>
      </c>
      <c r="T159" s="507" t="str">
        <f t="shared" si="15"/>
        <v/>
      </c>
      <c r="U159" s="507" t="str">
        <f t="shared" si="16"/>
        <v/>
      </c>
      <c r="V159" s="524" t="str">
        <f>IF(D159="","",VLOOKUP(S159,'G-3 Multipliers'!$P$3:$Q$6,2,FALSE))</f>
        <v/>
      </c>
      <c r="W159" s="529" t="str">
        <f t="shared" si="17"/>
        <v/>
      </c>
      <c r="X159" s="149"/>
      <c r="Y159" s="150"/>
      <c r="AG159" s="31" t="str">
        <f>IFERROR(INDEX('G-6 Hedgerow Data'!$BJ$3:$BJ$15,MATCH(D159,'G-6 Hedgerow Data'!$B$3:$B$15,0)),"")</f>
        <v/>
      </c>
    </row>
    <row r="160" spans="2:33" ht="14" x14ac:dyDescent="0.3">
      <c r="B160" s="141">
        <v>149</v>
      </c>
      <c r="C160" s="205"/>
      <c r="D160" s="195"/>
      <c r="E160" s="172"/>
      <c r="F160" s="553" t="str">
        <f>IF(D160="","",VLOOKUP(D160,'G-6 Hedgerow Data'!$B$2:$AG$15,2,FALSE))</f>
        <v/>
      </c>
      <c r="G160" s="499" t="str">
        <f>IF(D160="","",VLOOKUP(D160,'G-6 Hedgerow Data'!$B$2:$AG$15,3,FALSE))</f>
        <v/>
      </c>
      <c r="H160" s="145"/>
      <c r="I160" s="499" t="str">
        <f>IFERROR(VLOOKUP(H160,'G-1 All Habitats'!$Z$2:$AA$9,2,FALSE),"")</f>
        <v/>
      </c>
      <c r="J160" s="145"/>
      <c r="K160" s="520" t="str">
        <f>IF(J160="","",IF(VLOOKUP(J160,'G-3 Multipliers'!$L$3:$N$6,2,FALSE)=0,"Spatial Data Missing ⚠",VLOOKUP(J160,'G-3 Multipliers'!$L$3:$N$6,2,FALSE)))</f>
        <v/>
      </c>
      <c r="L160" s="505" t="str">
        <f>IF(J160="","",IF(VLOOKUP(J160,'G-3 Multipliers'!$L$3:$N$6,3,FALSE)=0,"Spatial Data Missing ⚠",VLOOKUP(J160,'G-3 Multipliers'!$L$3:$N$6,3,FALSE)))</f>
        <v/>
      </c>
      <c r="M160" s="498" t="str">
        <f>IF(OR(D160="",H160=""),"",(INDEX('G-6 Hedgerow Data'!$E$3:$I$15,MATCH(D160,'G-6 Hedgerow Data'!$B$3:$B$15,0),MATCH(H160,'G-6 Hedgerow Data'!$E$2:$I$2,0))))</f>
        <v/>
      </c>
      <c r="N160" s="195"/>
      <c r="O160" s="195"/>
      <c r="P160" s="507" t="str">
        <f t="shared" si="13"/>
        <v/>
      </c>
      <c r="Q160" s="521" t="str">
        <f t="shared" si="14"/>
        <v/>
      </c>
      <c r="R160" s="522" t="str">
        <f t="shared" si="12"/>
        <v/>
      </c>
      <c r="S160" s="537" t="str">
        <f>IF(D160="","",VLOOKUP(D160,'G-6 Hedgerow Data'!$B$3:$AG$15,31,FALSE))</f>
        <v/>
      </c>
      <c r="T160" s="507" t="str">
        <f t="shared" si="15"/>
        <v/>
      </c>
      <c r="U160" s="507" t="str">
        <f t="shared" si="16"/>
        <v/>
      </c>
      <c r="V160" s="524" t="str">
        <f>IF(D160="","",VLOOKUP(S160,'G-3 Multipliers'!$P$3:$Q$6,2,FALSE))</f>
        <v/>
      </c>
      <c r="W160" s="529" t="str">
        <f t="shared" si="17"/>
        <v/>
      </c>
      <c r="X160" s="149"/>
      <c r="Y160" s="150"/>
      <c r="AG160" s="31" t="str">
        <f>IFERROR(INDEX('G-6 Hedgerow Data'!$BJ$3:$BJ$15,MATCH(D160,'G-6 Hedgerow Data'!$B$3:$B$15,0)),"")</f>
        <v/>
      </c>
    </row>
    <row r="161" spans="2:33" ht="14" x14ac:dyDescent="0.3">
      <c r="B161" s="141">
        <v>150</v>
      </c>
      <c r="C161" s="205"/>
      <c r="D161" s="195"/>
      <c r="E161" s="172"/>
      <c r="F161" s="553" t="str">
        <f>IF(D161="","",VLOOKUP(D161,'G-6 Hedgerow Data'!$B$2:$AG$15,2,FALSE))</f>
        <v/>
      </c>
      <c r="G161" s="499" t="str">
        <f>IF(D161="","",VLOOKUP(D161,'G-6 Hedgerow Data'!$B$2:$AG$15,3,FALSE))</f>
        <v/>
      </c>
      <c r="H161" s="145"/>
      <c r="I161" s="499" t="str">
        <f>IFERROR(VLOOKUP(H161,'G-1 All Habitats'!$Z$2:$AA$9,2,FALSE),"")</f>
        <v/>
      </c>
      <c r="J161" s="145"/>
      <c r="K161" s="520" t="str">
        <f>IF(J161="","",IF(VLOOKUP(J161,'G-3 Multipliers'!$L$3:$N$6,2,FALSE)=0,"Spatial Data Missing ⚠",VLOOKUP(J161,'G-3 Multipliers'!$L$3:$N$6,2,FALSE)))</f>
        <v/>
      </c>
      <c r="L161" s="505" t="str">
        <f>IF(J161="","",IF(VLOOKUP(J161,'G-3 Multipliers'!$L$3:$N$6,3,FALSE)=0,"Spatial Data Missing ⚠",VLOOKUP(J161,'G-3 Multipliers'!$L$3:$N$6,3,FALSE)))</f>
        <v/>
      </c>
      <c r="M161" s="498" t="str">
        <f>IF(OR(D161="",H161=""),"",(INDEX('G-6 Hedgerow Data'!$E$3:$I$15,MATCH(D161,'G-6 Hedgerow Data'!$B$3:$B$15,0),MATCH(H161,'G-6 Hedgerow Data'!$E$2:$I$2,0))))</f>
        <v/>
      </c>
      <c r="N161" s="195"/>
      <c r="O161" s="195"/>
      <c r="P161" s="507" t="str">
        <f t="shared" si="13"/>
        <v/>
      </c>
      <c r="Q161" s="521" t="str">
        <f t="shared" si="14"/>
        <v/>
      </c>
      <c r="R161" s="522" t="str">
        <f t="shared" si="12"/>
        <v/>
      </c>
      <c r="S161" s="537" t="str">
        <f>IF(D161="","",VLOOKUP(D161,'G-6 Hedgerow Data'!$B$3:$AG$15,31,FALSE))</f>
        <v/>
      </c>
      <c r="T161" s="507" t="str">
        <f t="shared" si="15"/>
        <v/>
      </c>
      <c r="U161" s="507" t="str">
        <f t="shared" si="16"/>
        <v/>
      </c>
      <c r="V161" s="524" t="str">
        <f>IF(D161="","",VLOOKUP(S161,'G-3 Multipliers'!$P$3:$Q$6,2,FALSE))</f>
        <v/>
      </c>
      <c r="W161" s="529" t="str">
        <f t="shared" si="17"/>
        <v/>
      </c>
      <c r="X161" s="149"/>
      <c r="Y161" s="150"/>
      <c r="AG161" s="31" t="str">
        <f>IFERROR(INDEX('G-6 Hedgerow Data'!$BJ$3:$BJ$15,MATCH(D161,'G-6 Hedgerow Data'!$B$3:$B$15,0)),"")</f>
        <v/>
      </c>
    </row>
    <row r="162" spans="2:33" ht="14" x14ac:dyDescent="0.3">
      <c r="B162" s="141">
        <v>151</v>
      </c>
      <c r="C162" s="205"/>
      <c r="D162" s="195"/>
      <c r="E162" s="172"/>
      <c r="F162" s="553" t="str">
        <f>IF(D162="","",VLOOKUP(D162,'G-6 Hedgerow Data'!$B$2:$AG$15,2,FALSE))</f>
        <v/>
      </c>
      <c r="G162" s="499" t="str">
        <f>IF(D162="","",VLOOKUP(D162,'G-6 Hedgerow Data'!$B$2:$AG$15,3,FALSE))</f>
        <v/>
      </c>
      <c r="H162" s="145"/>
      <c r="I162" s="499" t="str">
        <f>IFERROR(VLOOKUP(H162,'G-1 All Habitats'!$Z$2:$AA$9,2,FALSE),"")</f>
        <v/>
      </c>
      <c r="J162" s="145"/>
      <c r="K162" s="520" t="str">
        <f>IF(J162="","",IF(VLOOKUP(J162,'G-3 Multipliers'!$L$3:$N$6,2,FALSE)=0,"Spatial Data Missing ⚠",VLOOKUP(J162,'G-3 Multipliers'!$L$3:$N$6,2,FALSE)))</f>
        <v/>
      </c>
      <c r="L162" s="505" t="str">
        <f>IF(J162="","",IF(VLOOKUP(J162,'G-3 Multipliers'!$L$3:$N$6,3,FALSE)=0,"Spatial Data Missing ⚠",VLOOKUP(J162,'G-3 Multipliers'!$L$3:$N$6,3,FALSE)))</f>
        <v/>
      </c>
      <c r="M162" s="498" t="str">
        <f>IF(OR(D162="",H162=""),"",(INDEX('G-6 Hedgerow Data'!$E$3:$I$15,MATCH(D162,'G-6 Hedgerow Data'!$B$3:$B$15,0),MATCH(H162,'G-6 Hedgerow Data'!$E$2:$I$2,0))))</f>
        <v/>
      </c>
      <c r="N162" s="195"/>
      <c r="O162" s="195"/>
      <c r="P162" s="507" t="str">
        <f t="shared" si="13"/>
        <v/>
      </c>
      <c r="Q162" s="521" t="str">
        <f t="shared" si="14"/>
        <v/>
      </c>
      <c r="R162" s="522" t="str">
        <f t="shared" si="12"/>
        <v/>
      </c>
      <c r="S162" s="537" t="str">
        <f>IF(D162="","",VLOOKUP(D162,'G-6 Hedgerow Data'!$B$3:$AG$15,31,FALSE))</f>
        <v/>
      </c>
      <c r="T162" s="507" t="str">
        <f t="shared" si="15"/>
        <v/>
      </c>
      <c r="U162" s="507" t="str">
        <f t="shared" si="16"/>
        <v/>
      </c>
      <c r="V162" s="524" t="str">
        <f>IF(D162="","",VLOOKUP(S162,'G-3 Multipliers'!$P$3:$Q$6,2,FALSE))</f>
        <v/>
      </c>
      <c r="W162" s="529" t="str">
        <f t="shared" si="17"/>
        <v/>
      </c>
      <c r="X162" s="149"/>
      <c r="Y162" s="150"/>
      <c r="AG162" s="31" t="str">
        <f>IFERROR(INDEX('G-6 Hedgerow Data'!$BJ$3:$BJ$15,MATCH(D162,'G-6 Hedgerow Data'!$B$3:$B$15,0)),"")</f>
        <v/>
      </c>
    </row>
    <row r="163" spans="2:33" ht="14" x14ac:dyDescent="0.3">
      <c r="B163" s="141">
        <v>152</v>
      </c>
      <c r="C163" s="205"/>
      <c r="D163" s="195"/>
      <c r="E163" s="172"/>
      <c r="F163" s="553" t="str">
        <f>IF(D163="","",VLOOKUP(D163,'G-6 Hedgerow Data'!$B$2:$AG$15,2,FALSE))</f>
        <v/>
      </c>
      <c r="G163" s="499" t="str">
        <f>IF(D163="","",VLOOKUP(D163,'G-6 Hedgerow Data'!$B$2:$AG$15,3,FALSE))</f>
        <v/>
      </c>
      <c r="H163" s="145"/>
      <c r="I163" s="499" t="str">
        <f>IFERROR(VLOOKUP(H163,'G-1 All Habitats'!$Z$2:$AA$9,2,FALSE),"")</f>
        <v/>
      </c>
      <c r="J163" s="145"/>
      <c r="K163" s="520" t="str">
        <f>IF(J163="","",IF(VLOOKUP(J163,'G-3 Multipliers'!$L$3:$N$6,2,FALSE)=0,"Spatial Data Missing ⚠",VLOOKUP(J163,'G-3 Multipliers'!$L$3:$N$6,2,FALSE)))</f>
        <v/>
      </c>
      <c r="L163" s="505" t="str">
        <f>IF(J163="","",IF(VLOOKUP(J163,'G-3 Multipliers'!$L$3:$N$6,3,FALSE)=0,"Spatial Data Missing ⚠",VLOOKUP(J163,'G-3 Multipliers'!$L$3:$N$6,3,FALSE)))</f>
        <v/>
      </c>
      <c r="M163" s="498" t="str">
        <f>IF(OR(D163="",H163=""),"",(INDEX('G-6 Hedgerow Data'!$E$3:$I$15,MATCH(D163,'G-6 Hedgerow Data'!$B$3:$B$15,0),MATCH(H163,'G-6 Hedgerow Data'!$E$2:$I$2,0))))</f>
        <v/>
      </c>
      <c r="N163" s="195"/>
      <c r="O163" s="195"/>
      <c r="P163" s="507" t="str">
        <f t="shared" si="13"/>
        <v/>
      </c>
      <c r="Q163" s="521" t="str">
        <f t="shared" si="14"/>
        <v/>
      </c>
      <c r="R163" s="522" t="str">
        <f t="shared" si="12"/>
        <v/>
      </c>
      <c r="S163" s="537" t="str">
        <f>IF(D163="","",VLOOKUP(D163,'G-6 Hedgerow Data'!$B$3:$AG$15,31,FALSE))</f>
        <v/>
      </c>
      <c r="T163" s="507" t="str">
        <f t="shared" si="15"/>
        <v/>
      </c>
      <c r="U163" s="507" t="str">
        <f t="shared" si="16"/>
        <v/>
      </c>
      <c r="V163" s="524" t="str">
        <f>IF(D163="","",VLOOKUP(S163,'G-3 Multipliers'!$P$3:$Q$6,2,FALSE))</f>
        <v/>
      </c>
      <c r="W163" s="529" t="str">
        <f t="shared" si="17"/>
        <v/>
      </c>
      <c r="X163" s="149"/>
      <c r="Y163" s="150"/>
      <c r="AG163" s="31" t="str">
        <f>IFERROR(INDEX('G-6 Hedgerow Data'!$BJ$3:$BJ$15,MATCH(D163,'G-6 Hedgerow Data'!$B$3:$B$15,0)),"")</f>
        <v/>
      </c>
    </row>
    <row r="164" spans="2:33" ht="14" x14ac:dyDescent="0.3">
      <c r="B164" s="141">
        <v>153</v>
      </c>
      <c r="C164" s="205"/>
      <c r="D164" s="195"/>
      <c r="E164" s="172"/>
      <c r="F164" s="553" t="str">
        <f>IF(D164="","",VLOOKUP(D164,'G-6 Hedgerow Data'!$B$2:$AG$15,2,FALSE))</f>
        <v/>
      </c>
      <c r="G164" s="499" t="str">
        <f>IF(D164="","",VLOOKUP(D164,'G-6 Hedgerow Data'!$B$2:$AG$15,3,FALSE))</f>
        <v/>
      </c>
      <c r="H164" s="145"/>
      <c r="I164" s="499" t="str">
        <f>IFERROR(VLOOKUP(H164,'G-1 All Habitats'!$Z$2:$AA$9,2,FALSE),"")</f>
        <v/>
      </c>
      <c r="J164" s="145"/>
      <c r="K164" s="520" t="str">
        <f>IF(J164="","",IF(VLOOKUP(J164,'G-3 Multipliers'!$L$3:$N$6,2,FALSE)=0,"Spatial Data Missing ⚠",VLOOKUP(J164,'G-3 Multipliers'!$L$3:$N$6,2,FALSE)))</f>
        <v/>
      </c>
      <c r="L164" s="505" t="str">
        <f>IF(J164="","",IF(VLOOKUP(J164,'G-3 Multipliers'!$L$3:$N$6,3,FALSE)=0,"Spatial Data Missing ⚠",VLOOKUP(J164,'G-3 Multipliers'!$L$3:$N$6,3,FALSE)))</f>
        <v/>
      </c>
      <c r="M164" s="498" t="str">
        <f>IF(OR(D164="",H164=""),"",(INDEX('G-6 Hedgerow Data'!$E$3:$I$15,MATCH(D164,'G-6 Hedgerow Data'!$B$3:$B$15,0),MATCH(H164,'G-6 Hedgerow Data'!$E$2:$I$2,0))))</f>
        <v/>
      </c>
      <c r="N164" s="195"/>
      <c r="O164" s="195"/>
      <c r="P164" s="507" t="str">
        <f t="shared" si="13"/>
        <v/>
      </c>
      <c r="Q164" s="521" t="str">
        <f t="shared" si="14"/>
        <v/>
      </c>
      <c r="R164" s="522" t="str">
        <f t="shared" si="12"/>
        <v/>
      </c>
      <c r="S164" s="537" t="str">
        <f>IF(D164="","",VLOOKUP(D164,'G-6 Hedgerow Data'!$B$3:$AG$15,31,FALSE))</f>
        <v/>
      </c>
      <c r="T164" s="507" t="str">
        <f t="shared" si="15"/>
        <v/>
      </c>
      <c r="U164" s="507" t="str">
        <f t="shared" si="16"/>
        <v/>
      </c>
      <c r="V164" s="524" t="str">
        <f>IF(D164="","",VLOOKUP(S164,'G-3 Multipliers'!$P$3:$Q$6,2,FALSE))</f>
        <v/>
      </c>
      <c r="W164" s="529" t="str">
        <f t="shared" si="17"/>
        <v/>
      </c>
      <c r="X164" s="149"/>
      <c r="Y164" s="150"/>
      <c r="AG164" s="31" t="str">
        <f>IFERROR(INDEX('G-6 Hedgerow Data'!$BJ$3:$BJ$15,MATCH(D164,'G-6 Hedgerow Data'!$B$3:$B$15,0)),"")</f>
        <v/>
      </c>
    </row>
    <row r="165" spans="2:33" ht="14" x14ac:dyDescent="0.3">
      <c r="B165" s="141">
        <v>154</v>
      </c>
      <c r="C165" s="205"/>
      <c r="D165" s="195"/>
      <c r="E165" s="172"/>
      <c r="F165" s="553" t="str">
        <f>IF(D165="","",VLOOKUP(D165,'G-6 Hedgerow Data'!$B$2:$AG$15,2,FALSE))</f>
        <v/>
      </c>
      <c r="G165" s="499" t="str">
        <f>IF(D165="","",VLOOKUP(D165,'G-6 Hedgerow Data'!$B$2:$AG$15,3,FALSE))</f>
        <v/>
      </c>
      <c r="H165" s="145"/>
      <c r="I165" s="499" t="str">
        <f>IFERROR(VLOOKUP(H165,'G-1 All Habitats'!$Z$2:$AA$9,2,FALSE),"")</f>
        <v/>
      </c>
      <c r="J165" s="145"/>
      <c r="K165" s="520" t="str">
        <f>IF(J165="","",IF(VLOOKUP(J165,'G-3 Multipliers'!$L$3:$N$6,2,FALSE)=0,"Spatial Data Missing ⚠",VLOOKUP(J165,'G-3 Multipliers'!$L$3:$N$6,2,FALSE)))</f>
        <v/>
      </c>
      <c r="L165" s="505" t="str">
        <f>IF(J165="","",IF(VLOOKUP(J165,'G-3 Multipliers'!$L$3:$N$6,3,FALSE)=0,"Spatial Data Missing ⚠",VLOOKUP(J165,'G-3 Multipliers'!$L$3:$N$6,3,FALSE)))</f>
        <v/>
      </c>
      <c r="M165" s="498" t="str">
        <f>IF(OR(D165="",H165=""),"",(INDEX('G-6 Hedgerow Data'!$E$3:$I$15,MATCH(D165,'G-6 Hedgerow Data'!$B$3:$B$15,0),MATCH(H165,'G-6 Hedgerow Data'!$E$2:$I$2,0))))</f>
        <v/>
      </c>
      <c r="N165" s="195"/>
      <c r="O165" s="195"/>
      <c r="P165" s="507" t="str">
        <f t="shared" si="13"/>
        <v/>
      </c>
      <c r="Q165" s="521" t="str">
        <f t="shared" si="14"/>
        <v/>
      </c>
      <c r="R165" s="522" t="str">
        <f t="shared" si="12"/>
        <v/>
      </c>
      <c r="S165" s="537" t="str">
        <f>IF(D165="","",VLOOKUP(D165,'G-6 Hedgerow Data'!$B$3:$AG$15,31,FALSE))</f>
        <v/>
      </c>
      <c r="T165" s="507" t="str">
        <f t="shared" si="15"/>
        <v/>
      </c>
      <c r="U165" s="507" t="str">
        <f t="shared" si="16"/>
        <v/>
      </c>
      <c r="V165" s="524" t="str">
        <f>IF(D165="","",VLOOKUP(S165,'G-3 Multipliers'!$P$3:$Q$6,2,FALSE))</f>
        <v/>
      </c>
      <c r="W165" s="529" t="str">
        <f t="shared" si="17"/>
        <v/>
      </c>
      <c r="X165" s="149"/>
      <c r="Y165" s="150"/>
      <c r="AG165" s="31" t="str">
        <f>IFERROR(INDEX('G-6 Hedgerow Data'!$BJ$3:$BJ$15,MATCH(D165,'G-6 Hedgerow Data'!$B$3:$B$15,0)),"")</f>
        <v/>
      </c>
    </row>
    <row r="166" spans="2:33" ht="14" x14ac:dyDescent="0.3">
      <c r="B166" s="141">
        <v>155</v>
      </c>
      <c r="C166" s="205"/>
      <c r="D166" s="195"/>
      <c r="E166" s="172"/>
      <c r="F166" s="553" t="str">
        <f>IF(D166="","",VLOOKUP(D166,'G-6 Hedgerow Data'!$B$2:$AG$15,2,FALSE))</f>
        <v/>
      </c>
      <c r="G166" s="499" t="str">
        <f>IF(D166="","",VLOOKUP(D166,'G-6 Hedgerow Data'!$B$2:$AG$15,3,FALSE))</f>
        <v/>
      </c>
      <c r="H166" s="145"/>
      <c r="I166" s="499" t="str">
        <f>IFERROR(VLOOKUP(H166,'G-1 All Habitats'!$Z$2:$AA$9,2,FALSE),"")</f>
        <v/>
      </c>
      <c r="J166" s="145"/>
      <c r="K166" s="520" t="str">
        <f>IF(J166="","",IF(VLOOKUP(J166,'G-3 Multipliers'!$L$3:$N$6,2,FALSE)=0,"Spatial Data Missing ⚠",VLOOKUP(J166,'G-3 Multipliers'!$L$3:$N$6,2,FALSE)))</f>
        <v/>
      </c>
      <c r="L166" s="505" t="str">
        <f>IF(J166="","",IF(VLOOKUP(J166,'G-3 Multipliers'!$L$3:$N$6,3,FALSE)=0,"Spatial Data Missing ⚠",VLOOKUP(J166,'G-3 Multipliers'!$L$3:$N$6,3,FALSE)))</f>
        <v/>
      </c>
      <c r="M166" s="498" t="str">
        <f>IF(OR(D166="",H166=""),"",(INDEX('G-6 Hedgerow Data'!$E$3:$I$15,MATCH(D166,'G-6 Hedgerow Data'!$B$3:$B$15,0),MATCH(H166,'G-6 Hedgerow Data'!$E$2:$I$2,0))))</f>
        <v/>
      </c>
      <c r="N166" s="195"/>
      <c r="O166" s="195"/>
      <c r="P166" s="507" t="str">
        <f t="shared" si="13"/>
        <v/>
      </c>
      <c r="Q166" s="521" t="str">
        <f t="shared" si="14"/>
        <v/>
      </c>
      <c r="R166" s="522" t="str">
        <f t="shared" si="12"/>
        <v/>
      </c>
      <c r="S166" s="537" t="str">
        <f>IF(D166="","",VLOOKUP(D166,'G-6 Hedgerow Data'!$B$3:$AG$15,31,FALSE))</f>
        <v/>
      </c>
      <c r="T166" s="507" t="str">
        <f t="shared" si="15"/>
        <v/>
      </c>
      <c r="U166" s="507" t="str">
        <f t="shared" si="16"/>
        <v/>
      </c>
      <c r="V166" s="524" t="str">
        <f>IF(D166="","",VLOOKUP(S166,'G-3 Multipliers'!$P$3:$Q$6,2,FALSE))</f>
        <v/>
      </c>
      <c r="W166" s="529" t="str">
        <f t="shared" si="17"/>
        <v/>
      </c>
      <c r="X166" s="149"/>
      <c r="Y166" s="150"/>
      <c r="AG166" s="31" t="str">
        <f>IFERROR(INDEX('G-6 Hedgerow Data'!$BJ$3:$BJ$15,MATCH(D166,'G-6 Hedgerow Data'!$B$3:$B$15,0)),"")</f>
        <v/>
      </c>
    </row>
    <row r="167" spans="2:33" ht="14" x14ac:dyDescent="0.3">
      <c r="B167" s="141">
        <v>156</v>
      </c>
      <c r="C167" s="205"/>
      <c r="D167" s="195"/>
      <c r="E167" s="172"/>
      <c r="F167" s="553" t="str">
        <f>IF(D167="","",VLOOKUP(D167,'G-6 Hedgerow Data'!$B$2:$AG$15,2,FALSE))</f>
        <v/>
      </c>
      <c r="G167" s="499" t="str">
        <f>IF(D167="","",VLOOKUP(D167,'G-6 Hedgerow Data'!$B$2:$AG$15,3,FALSE))</f>
        <v/>
      </c>
      <c r="H167" s="145"/>
      <c r="I167" s="499" t="str">
        <f>IFERROR(VLOOKUP(H167,'G-1 All Habitats'!$Z$2:$AA$9,2,FALSE),"")</f>
        <v/>
      </c>
      <c r="J167" s="145"/>
      <c r="K167" s="520" t="str">
        <f>IF(J167="","",IF(VLOOKUP(J167,'G-3 Multipliers'!$L$3:$N$6,2,FALSE)=0,"Spatial Data Missing ⚠",VLOOKUP(J167,'G-3 Multipliers'!$L$3:$N$6,2,FALSE)))</f>
        <v/>
      </c>
      <c r="L167" s="505" t="str">
        <f>IF(J167="","",IF(VLOOKUP(J167,'G-3 Multipliers'!$L$3:$N$6,3,FALSE)=0,"Spatial Data Missing ⚠",VLOOKUP(J167,'G-3 Multipliers'!$L$3:$N$6,3,FALSE)))</f>
        <v/>
      </c>
      <c r="M167" s="498" t="str">
        <f>IF(OR(D167="",H167=""),"",(INDEX('G-6 Hedgerow Data'!$E$3:$I$15,MATCH(D167,'G-6 Hedgerow Data'!$B$3:$B$15,0),MATCH(H167,'G-6 Hedgerow Data'!$E$2:$I$2,0))))</f>
        <v/>
      </c>
      <c r="N167" s="195"/>
      <c r="O167" s="195"/>
      <c r="P167" s="507" t="str">
        <f t="shared" si="13"/>
        <v/>
      </c>
      <c r="Q167" s="521" t="str">
        <f t="shared" si="14"/>
        <v/>
      </c>
      <c r="R167" s="522" t="str">
        <f t="shared" si="12"/>
        <v/>
      </c>
      <c r="S167" s="537" t="str">
        <f>IF(D167="","",VLOOKUP(D167,'G-6 Hedgerow Data'!$B$3:$AG$15,31,FALSE))</f>
        <v/>
      </c>
      <c r="T167" s="507" t="str">
        <f t="shared" si="15"/>
        <v/>
      </c>
      <c r="U167" s="507" t="str">
        <f t="shared" si="16"/>
        <v/>
      </c>
      <c r="V167" s="524" t="str">
        <f>IF(D167="","",VLOOKUP(S167,'G-3 Multipliers'!$P$3:$Q$6,2,FALSE))</f>
        <v/>
      </c>
      <c r="W167" s="529" t="str">
        <f t="shared" si="17"/>
        <v/>
      </c>
      <c r="X167" s="149"/>
      <c r="Y167" s="150"/>
      <c r="AG167" s="31" t="str">
        <f>IFERROR(INDEX('G-6 Hedgerow Data'!$BJ$3:$BJ$15,MATCH(D167,'G-6 Hedgerow Data'!$B$3:$B$15,0)),"")</f>
        <v/>
      </c>
    </row>
    <row r="168" spans="2:33" ht="14" x14ac:dyDescent="0.3">
      <c r="B168" s="141">
        <v>157</v>
      </c>
      <c r="C168" s="205"/>
      <c r="D168" s="195"/>
      <c r="E168" s="172"/>
      <c r="F168" s="553" t="str">
        <f>IF(D168="","",VLOOKUP(D168,'G-6 Hedgerow Data'!$B$2:$AG$15,2,FALSE))</f>
        <v/>
      </c>
      <c r="G168" s="499" t="str">
        <f>IF(D168="","",VLOOKUP(D168,'G-6 Hedgerow Data'!$B$2:$AG$15,3,FALSE))</f>
        <v/>
      </c>
      <c r="H168" s="145"/>
      <c r="I168" s="499" t="str">
        <f>IFERROR(VLOOKUP(H168,'G-1 All Habitats'!$Z$2:$AA$9,2,FALSE),"")</f>
        <v/>
      </c>
      <c r="J168" s="145"/>
      <c r="K168" s="520" t="str">
        <f>IF(J168="","",IF(VLOOKUP(J168,'G-3 Multipliers'!$L$3:$N$6,2,FALSE)=0,"Spatial Data Missing ⚠",VLOOKUP(J168,'G-3 Multipliers'!$L$3:$N$6,2,FALSE)))</f>
        <v/>
      </c>
      <c r="L168" s="505" t="str">
        <f>IF(J168="","",IF(VLOOKUP(J168,'G-3 Multipliers'!$L$3:$N$6,3,FALSE)=0,"Spatial Data Missing ⚠",VLOOKUP(J168,'G-3 Multipliers'!$L$3:$N$6,3,FALSE)))</f>
        <v/>
      </c>
      <c r="M168" s="498" t="str">
        <f>IF(OR(D168="",H168=""),"",(INDEX('G-6 Hedgerow Data'!$E$3:$I$15,MATCH(D168,'G-6 Hedgerow Data'!$B$3:$B$15,0),MATCH(H168,'G-6 Hedgerow Data'!$E$2:$I$2,0))))</f>
        <v/>
      </c>
      <c r="N168" s="195"/>
      <c r="O168" s="195"/>
      <c r="P168" s="507" t="str">
        <f t="shared" si="13"/>
        <v/>
      </c>
      <c r="Q168" s="521" t="str">
        <f t="shared" si="14"/>
        <v/>
      </c>
      <c r="R168" s="522" t="str">
        <f t="shared" si="12"/>
        <v/>
      </c>
      <c r="S168" s="537" t="str">
        <f>IF(D168="","",VLOOKUP(D168,'G-6 Hedgerow Data'!$B$3:$AG$15,31,FALSE))</f>
        <v/>
      </c>
      <c r="T168" s="507" t="str">
        <f t="shared" si="15"/>
        <v/>
      </c>
      <c r="U168" s="507" t="str">
        <f t="shared" si="16"/>
        <v/>
      </c>
      <c r="V168" s="524" t="str">
        <f>IF(D168="","",VLOOKUP(S168,'G-3 Multipliers'!$P$3:$Q$6,2,FALSE))</f>
        <v/>
      </c>
      <c r="W168" s="529" t="str">
        <f t="shared" si="17"/>
        <v/>
      </c>
      <c r="X168" s="149"/>
      <c r="Y168" s="150"/>
      <c r="AG168" s="31" t="str">
        <f>IFERROR(INDEX('G-6 Hedgerow Data'!$BJ$3:$BJ$15,MATCH(D168,'G-6 Hedgerow Data'!$B$3:$B$15,0)),"")</f>
        <v/>
      </c>
    </row>
    <row r="169" spans="2:33" ht="14" x14ac:dyDescent="0.3">
      <c r="B169" s="141">
        <v>158</v>
      </c>
      <c r="C169" s="205"/>
      <c r="D169" s="195"/>
      <c r="E169" s="172"/>
      <c r="F169" s="553" t="str">
        <f>IF(D169="","",VLOOKUP(D169,'G-6 Hedgerow Data'!$B$2:$AG$15,2,FALSE))</f>
        <v/>
      </c>
      <c r="G169" s="499" t="str">
        <f>IF(D169="","",VLOOKUP(D169,'G-6 Hedgerow Data'!$B$2:$AG$15,3,FALSE))</f>
        <v/>
      </c>
      <c r="H169" s="145"/>
      <c r="I169" s="499" t="str">
        <f>IFERROR(VLOOKUP(H169,'G-1 All Habitats'!$Z$2:$AA$9,2,FALSE),"")</f>
        <v/>
      </c>
      <c r="J169" s="145"/>
      <c r="K169" s="520" t="str">
        <f>IF(J169="","",IF(VLOOKUP(J169,'G-3 Multipliers'!$L$3:$N$6,2,FALSE)=0,"Spatial Data Missing ⚠",VLOOKUP(J169,'G-3 Multipliers'!$L$3:$N$6,2,FALSE)))</f>
        <v/>
      </c>
      <c r="L169" s="505" t="str">
        <f>IF(J169="","",IF(VLOOKUP(J169,'G-3 Multipliers'!$L$3:$N$6,3,FALSE)=0,"Spatial Data Missing ⚠",VLOOKUP(J169,'G-3 Multipliers'!$L$3:$N$6,3,FALSE)))</f>
        <v/>
      </c>
      <c r="M169" s="498" t="str">
        <f>IF(OR(D169="",H169=""),"",(INDEX('G-6 Hedgerow Data'!$E$3:$I$15,MATCH(D169,'G-6 Hedgerow Data'!$B$3:$B$15,0),MATCH(H169,'G-6 Hedgerow Data'!$E$2:$I$2,0))))</f>
        <v/>
      </c>
      <c r="N169" s="195"/>
      <c r="O169" s="195"/>
      <c r="P169" s="507" t="str">
        <f t="shared" si="13"/>
        <v/>
      </c>
      <c r="Q169" s="521" t="str">
        <f t="shared" si="14"/>
        <v/>
      </c>
      <c r="R169" s="522" t="str">
        <f t="shared" si="12"/>
        <v/>
      </c>
      <c r="S169" s="537" t="str">
        <f>IF(D169="","",VLOOKUP(D169,'G-6 Hedgerow Data'!$B$3:$AG$15,31,FALSE))</f>
        <v/>
      </c>
      <c r="T169" s="507" t="str">
        <f t="shared" si="15"/>
        <v/>
      </c>
      <c r="U169" s="507" t="str">
        <f t="shared" si="16"/>
        <v/>
      </c>
      <c r="V169" s="524" t="str">
        <f>IF(D169="","",VLOOKUP(S169,'G-3 Multipliers'!$P$3:$Q$6,2,FALSE))</f>
        <v/>
      </c>
      <c r="W169" s="529" t="str">
        <f t="shared" si="17"/>
        <v/>
      </c>
      <c r="X169" s="149"/>
      <c r="Y169" s="150"/>
      <c r="AG169" s="31" t="str">
        <f>IFERROR(INDEX('G-6 Hedgerow Data'!$BJ$3:$BJ$15,MATCH(D169,'G-6 Hedgerow Data'!$B$3:$B$15,0)),"")</f>
        <v/>
      </c>
    </row>
    <row r="170" spans="2:33" ht="14" x14ac:dyDescent="0.3">
      <c r="B170" s="141">
        <v>159</v>
      </c>
      <c r="C170" s="205"/>
      <c r="D170" s="195"/>
      <c r="E170" s="172"/>
      <c r="F170" s="553" t="str">
        <f>IF(D170="","",VLOOKUP(D170,'G-6 Hedgerow Data'!$B$2:$AG$15,2,FALSE))</f>
        <v/>
      </c>
      <c r="G170" s="499" t="str">
        <f>IF(D170="","",VLOOKUP(D170,'G-6 Hedgerow Data'!$B$2:$AG$15,3,FALSE))</f>
        <v/>
      </c>
      <c r="H170" s="145"/>
      <c r="I170" s="499" t="str">
        <f>IFERROR(VLOOKUP(H170,'G-1 All Habitats'!$Z$2:$AA$9,2,FALSE),"")</f>
        <v/>
      </c>
      <c r="J170" s="145"/>
      <c r="K170" s="520" t="str">
        <f>IF(J170="","",IF(VLOOKUP(J170,'G-3 Multipliers'!$L$3:$N$6,2,FALSE)=0,"Spatial Data Missing ⚠",VLOOKUP(J170,'G-3 Multipliers'!$L$3:$N$6,2,FALSE)))</f>
        <v/>
      </c>
      <c r="L170" s="505" t="str">
        <f>IF(J170="","",IF(VLOOKUP(J170,'G-3 Multipliers'!$L$3:$N$6,3,FALSE)=0,"Spatial Data Missing ⚠",VLOOKUP(J170,'G-3 Multipliers'!$L$3:$N$6,3,FALSE)))</f>
        <v/>
      </c>
      <c r="M170" s="498" t="str">
        <f>IF(OR(D170="",H170=""),"",(INDEX('G-6 Hedgerow Data'!$E$3:$I$15,MATCH(D170,'G-6 Hedgerow Data'!$B$3:$B$15,0),MATCH(H170,'G-6 Hedgerow Data'!$E$2:$I$2,0))))</f>
        <v/>
      </c>
      <c r="N170" s="195"/>
      <c r="O170" s="195"/>
      <c r="P170" s="507" t="str">
        <f t="shared" si="13"/>
        <v/>
      </c>
      <c r="Q170" s="521" t="str">
        <f t="shared" si="14"/>
        <v/>
      </c>
      <c r="R170" s="522" t="str">
        <f t="shared" si="12"/>
        <v/>
      </c>
      <c r="S170" s="537" t="str">
        <f>IF(D170="","",VLOOKUP(D170,'G-6 Hedgerow Data'!$B$3:$AG$15,31,FALSE))</f>
        <v/>
      </c>
      <c r="T170" s="507" t="str">
        <f t="shared" si="15"/>
        <v/>
      </c>
      <c r="U170" s="507" t="str">
        <f t="shared" si="16"/>
        <v/>
      </c>
      <c r="V170" s="524" t="str">
        <f>IF(D170="","",VLOOKUP(S170,'G-3 Multipliers'!$P$3:$Q$6,2,FALSE))</f>
        <v/>
      </c>
      <c r="W170" s="529" t="str">
        <f t="shared" si="17"/>
        <v/>
      </c>
      <c r="X170" s="149"/>
      <c r="Y170" s="150"/>
      <c r="AG170" s="31" t="str">
        <f>IFERROR(INDEX('G-6 Hedgerow Data'!$BJ$3:$BJ$15,MATCH(D170,'G-6 Hedgerow Data'!$B$3:$B$15,0)),"")</f>
        <v/>
      </c>
    </row>
    <row r="171" spans="2:33" ht="14" x14ac:dyDescent="0.3">
      <c r="B171" s="141">
        <v>160</v>
      </c>
      <c r="C171" s="205"/>
      <c r="D171" s="195"/>
      <c r="E171" s="172"/>
      <c r="F171" s="553" t="str">
        <f>IF(D171="","",VLOOKUP(D171,'G-6 Hedgerow Data'!$B$2:$AG$15,2,FALSE))</f>
        <v/>
      </c>
      <c r="G171" s="499" t="str">
        <f>IF(D171="","",VLOOKUP(D171,'G-6 Hedgerow Data'!$B$2:$AG$15,3,FALSE))</f>
        <v/>
      </c>
      <c r="H171" s="145"/>
      <c r="I171" s="499" t="str">
        <f>IFERROR(VLOOKUP(H171,'G-1 All Habitats'!$Z$2:$AA$9,2,FALSE),"")</f>
        <v/>
      </c>
      <c r="J171" s="145"/>
      <c r="K171" s="520" t="str">
        <f>IF(J171="","",IF(VLOOKUP(J171,'G-3 Multipliers'!$L$3:$N$6,2,FALSE)=0,"Spatial Data Missing ⚠",VLOOKUP(J171,'G-3 Multipliers'!$L$3:$N$6,2,FALSE)))</f>
        <v/>
      </c>
      <c r="L171" s="505" t="str">
        <f>IF(J171="","",IF(VLOOKUP(J171,'G-3 Multipliers'!$L$3:$N$6,3,FALSE)=0,"Spatial Data Missing ⚠",VLOOKUP(J171,'G-3 Multipliers'!$L$3:$N$6,3,FALSE)))</f>
        <v/>
      </c>
      <c r="M171" s="498" t="str">
        <f>IF(OR(D171="",H171=""),"",(INDEX('G-6 Hedgerow Data'!$E$3:$I$15,MATCH(D171,'G-6 Hedgerow Data'!$B$3:$B$15,0),MATCH(H171,'G-6 Hedgerow Data'!$E$2:$I$2,0))))</f>
        <v/>
      </c>
      <c r="N171" s="195"/>
      <c r="O171" s="195"/>
      <c r="P171" s="507" t="str">
        <f t="shared" si="13"/>
        <v/>
      </c>
      <c r="Q171" s="521" t="str">
        <f t="shared" si="14"/>
        <v/>
      </c>
      <c r="R171" s="522" t="str">
        <f t="shared" si="12"/>
        <v/>
      </c>
      <c r="S171" s="537" t="str">
        <f>IF(D171="","",VLOOKUP(D171,'G-6 Hedgerow Data'!$B$3:$AG$15,31,FALSE))</f>
        <v/>
      </c>
      <c r="T171" s="507" t="str">
        <f t="shared" si="15"/>
        <v/>
      </c>
      <c r="U171" s="507" t="str">
        <f t="shared" si="16"/>
        <v/>
      </c>
      <c r="V171" s="524" t="str">
        <f>IF(D171="","",VLOOKUP(S171,'G-3 Multipliers'!$P$3:$Q$6,2,FALSE))</f>
        <v/>
      </c>
      <c r="W171" s="529" t="str">
        <f t="shared" si="17"/>
        <v/>
      </c>
      <c r="X171" s="149"/>
      <c r="Y171" s="150"/>
      <c r="AG171" s="31" t="str">
        <f>IFERROR(INDEX('G-6 Hedgerow Data'!$BJ$3:$BJ$15,MATCH(D171,'G-6 Hedgerow Data'!$B$3:$B$15,0)),"")</f>
        <v/>
      </c>
    </row>
    <row r="172" spans="2:33" ht="14" x14ac:dyDescent="0.3">
      <c r="B172" s="141">
        <v>161</v>
      </c>
      <c r="C172" s="205"/>
      <c r="D172" s="195"/>
      <c r="E172" s="172"/>
      <c r="F172" s="553" t="str">
        <f>IF(D172="","",VLOOKUP(D172,'G-6 Hedgerow Data'!$B$2:$AG$15,2,FALSE))</f>
        <v/>
      </c>
      <c r="G172" s="499" t="str">
        <f>IF(D172="","",VLOOKUP(D172,'G-6 Hedgerow Data'!$B$2:$AG$15,3,FALSE))</f>
        <v/>
      </c>
      <c r="H172" s="145"/>
      <c r="I172" s="499" t="str">
        <f>IFERROR(VLOOKUP(H172,'G-1 All Habitats'!$Z$2:$AA$9,2,FALSE),"")</f>
        <v/>
      </c>
      <c r="J172" s="145"/>
      <c r="K172" s="520" t="str">
        <f>IF(J172="","",IF(VLOOKUP(J172,'G-3 Multipliers'!$L$3:$N$6,2,FALSE)=0,"Spatial Data Missing ⚠",VLOOKUP(J172,'G-3 Multipliers'!$L$3:$N$6,2,FALSE)))</f>
        <v/>
      </c>
      <c r="L172" s="505" t="str">
        <f>IF(J172="","",IF(VLOOKUP(J172,'G-3 Multipliers'!$L$3:$N$6,3,FALSE)=0,"Spatial Data Missing ⚠",VLOOKUP(J172,'G-3 Multipliers'!$L$3:$N$6,3,FALSE)))</f>
        <v/>
      </c>
      <c r="M172" s="498" t="str">
        <f>IF(OR(D172="",H172=""),"",(INDEX('G-6 Hedgerow Data'!$E$3:$I$15,MATCH(D172,'G-6 Hedgerow Data'!$B$3:$B$15,0),MATCH(H172,'G-6 Hedgerow Data'!$E$2:$I$2,0))))</f>
        <v/>
      </c>
      <c r="N172" s="195"/>
      <c r="O172" s="195"/>
      <c r="P172" s="507" t="str">
        <f t="shared" si="13"/>
        <v/>
      </c>
      <c r="Q172" s="521" t="str">
        <f t="shared" si="14"/>
        <v/>
      </c>
      <c r="R172" s="522" t="str">
        <f t="shared" si="12"/>
        <v/>
      </c>
      <c r="S172" s="537" t="str">
        <f>IF(D172="","",VLOOKUP(D172,'G-6 Hedgerow Data'!$B$3:$AG$15,31,FALSE))</f>
        <v/>
      </c>
      <c r="T172" s="507" t="str">
        <f t="shared" si="15"/>
        <v/>
      </c>
      <c r="U172" s="507" t="str">
        <f t="shared" si="16"/>
        <v/>
      </c>
      <c r="V172" s="524" t="str">
        <f>IF(D172="","",VLOOKUP(S172,'G-3 Multipliers'!$P$3:$Q$6,2,FALSE))</f>
        <v/>
      </c>
      <c r="W172" s="529" t="str">
        <f t="shared" si="17"/>
        <v/>
      </c>
      <c r="X172" s="149"/>
      <c r="Y172" s="150"/>
      <c r="AG172" s="31" t="str">
        <f>IFERROR(INDEX('G-6 Hedgerow Data'!$BJ$3:$BJ$15,MATCH(D172,'G-6 Hedgerow Data'!$B$3:$B$15,0)),"")</f>
        <v/>
      </c>
    </row>
    <row r="173" spans="2:33" ht="14" x14ac:dyDescent="0.3">
      <c r="B173" s="141">
        <v>162</v>
      </c>
      <c r="C173" s="205"/>
      <c r="D173" s="195"/>
      <c r="E173" s="172"/>
      <c r="F173" s="553" t="str">
        <f>IF(D173="","",VLOOKUP(D173,'G-6 Hedgerow Data'!$B$2:$AG$15,2,FALSE))</f>
        <v/>
      </c>
      <c r="G173" s="499" t="str">
        <f>IF(D173="","",VLOOKUP(D173,'G-6 Hedgerow Data'!$B$2:$AG$15,3,FALSE))</f>
        <v/>
      </c>
      <c r="H173" s="145"/>
      <c r="I173" s="499" t="str">
        <f>IFERROR(VLOOKUP(H173,'G-1 All Habitats'!$Z$2:$AA$9,2,FALSE),"")</f>
        <v/>
      </c>
      <c r="J173" s="145"/>
      <c r="K173" s="520" t="str">
        <f>IF(J173="","",IF(VLOOKUP(J173,'G-3 Multipliers'!$L$3:$N$6,2,FALSE)=0,"Spatial Data Missing ⚠",VLOOKUP(J173,'G-3 Multipliers'!$L$3:$N$6,2,FALSE)))</f>
        <v/>
      </c>
      <c r="L173" s="505" t="str">
        <f>IF(J173="","",IF(VLOOKUP(J173,'G-3 Multipliers'!$L$3:$N$6,3,FALSE)=0,"Spatial Data Missing ⚠",VLOOKUP(J173,'G-3 Multipliers'!$L$3:$N$6,3,FALSE)))</f>
        <v/>
      </c>
      <c r="M173" s="498" t="str">
        <f>IF(OR(D173="",H173=""),"",(INDEX('G-6 Hedgerow Data'!$E$3:$I$15,MATCH(D173,'G-6 Hedgerow Data'!$B$3:$B$15,0),MATCH(H173,'G-6 Hedgerow Data'!$E$2:$I$2,0))))</f>
        <v/>
      </c>
      <c r="N173" s="195"/>
      <c r="O173" s="195"/>
      <c r="P173" s="507" t="str">
        <f t="shared" si="13"/>
        <v/>
      </c>
      <c r="Q173" s="521" t="str">
        <f t="shared" si="14"/>
        <v/>
      </c>
      <c r="R173" s="522" t="str">
        <f t="shared" si="12"/>
        <v/>
      </c>
      <c r="S173" s="537" t="str">
        <f>IF(D173="","",VLOOKUP(D173,'G-6 Hedgerow Data'!$B$3:$AG$15,31,FALSE))</f>
        <v/>
      </c>
      <c r="T173" s="507" t="str">
        <f t="shared" si="15"/>
        <v/>
      </c>
      <c r="U173" s="507" t="str">
        <f t="shared" si="16"/>
        <v/>
      </c>
      <c r="V173" s="524" t="str">
        <f>IF(D173="","",VLOOKUP(S173,'G-3 Multipliers'!$P$3:$Q$6,2,FALSE))</f>
        <v/>
      </c>
      <c r="W173" s="529" t="str">
        <f t="shared" si="17"/>
        <v/>
      </c>
      <c r="X173" s="149"/>
      <c r="Y173" s="150"/>
      <c r="AG173" s="31" t="str">
        <f>IFERROR(INDEX('G-6 Hedgerow Data'!$BJ$3:$BJ$15,MATCH(D173,'G-6 Hedgerow Data'!$B$3:$B$15,0)),"")</f>
        <v/>
      </c>
    </row>
    <row r="174" spans="2:33" ht="14" x14ac:dyDescent="0.3">
      <c r="B174" s="141">
        <v>163</v>
      </c>
      <c r="C174" s="205"/>
      <c r="D174" s="195"/>
      <c r="E174" s="172"/>
      <c r="F174" s="553" t="str">
        <f>IF(D174="","",VLOOKUP(D174,'G-6 Hedgerow Data'!$B$2:$AG$15,2,FALSE))</f>
        <v/>
      </c>
      <c r="G174" s="499" t="str">
        <f>IF(D174="","",VLOOKUP(D174,'G-6 Hedgerow Data'!$B$2:$AG$15,3,FALSE))</f>
        <v/>
      </c>
      <c r="H174" s="145"/>
      <c r="I174" s="499" t="str">
        <f>IFERROR(VLOOKUP(H174,'G-1 All Habitats'!$Z$2:$AA$9,2,FALSE),"")</f>
        <v/>
      </c>
      <c r="J174" s="145"/>
      <c r="K174" s="520" t="str">
        <f>IF(J174="","",IF(VLOOKUP(J174,'G-3 Multipliers'!$L$3:$N$6,2,FALSE)=0,"Spatial Data Missing ⚠",VLOOKUP(J174,'G-3 Multipliers'!$L$3:$N$6,2,FALSE)))</f>
        <v/>
      </c>
      <c r="L174" s="505" t="str">
        <f>IF(J174="","",IF(VLOOKUP(J174,'G-3 Multipliers'!$L$3:$N$6,3,FALSE)=0,"Spatial Data Missing ⚠",VLOOKUP(J174,'G-3 Multipliers'!$L$3:$N$6,3,FALSE)))</f>
        <v/>
      </c>
      <c r="M174" s="498" t="str">
        <f>IF(OR(D174="",H174=""),"",(INDEX('G-6 Hedgerow Data'!$E$3:$I$15,MATCH(D174,'G-6 Hedgerow Data'!$B$3:$B$15,0),MATCH(H174,'G-6 Hedgerow Data'!$E$2:$I$2,0))))</f>
        <v/>
      </c>
      <c r="N174" s="195"/>
      <c r="O174" s="195"/>
      <c r="P174" s="507" t="str">
        <f t="shared" si="13"/>
        <v/>
      </c>
      <c r="Q174" s="521" t="str">
        <f t="shared" si="14"/>
        <v/>
      </c>
      <c r="R174" s="522" t="str">
        <f t="shared" si="12"/>
        <v/>
      </c>
      <c r="S174" s="537" t="str">
        <f>IF(D174="","",VLOOKUP(D174,'G-6 Hedgerow Data'!$B$3:$AG$15,31,FALSE))</f>
        <v/>
      </c>
      <c r="T174" s="507" t="str">
        <f t="shared" si="15"/>
        <v/>
      </c>
      <c r="U174" s="507" t="str">
        <f t="shared" si="16"/>
        <v/>
      </c>
      <c r="V174" s="524" t="str">
        <f>IF(D174="","",VLOOKUP(S174,'G-3 Multipliers'!$P$3:$Q$6,2,FALSE))</f>
        <v/>
      </c>
      <c r="W174" s="529" t="str">
        <f t="shared" si="17"/>
        <v/>
      </c>
      <c r="X174" s="149"/>
      <c r="Y174" s="150"/>
      <c r="AG174" s="31" t="str">
        <f>IFERROR(INDEX('G-6 Hedgerow Data'!$BJ$3:$BJ$15,MATCH(D174,'G-6 Hedgerow Data'!$B$3:$B$15,0)),"")</f>
        <v/>
      </c>
    </row>
    <row r="175" spans="2:33" ht="14" x14ac:dyDescent="0.3">
      <c r="B175" s="141">
        <v>164</v>
      </c>
      <c r="C175" s="205"/>
      <c r="D175" s="195"/>
      <c r="E175" s="172"/>
      <c r="F175" s="553" t="str">
        <f>IF(D175="","",VLOOKUP(D175,'G-6 Hedgerow Data'!$B$2:$AG$15,2,FALSE))</f>
        <v/>
      </c>
      <c r="G175" s="499" t="str">
        <f>IF(D175="","",VLOOKUP(D175,'G-6 Hedgerow Data'!$B$2:$AG$15,3,FALSE))</f>
        <v/>
      </c>
      <c r="H175" s="145"/>
      <c r="I175" s="499" t="str">
        <f>IFERROR(VLOOKUP(H175,'G-1 All Habitats'!$Z$2:$AA$9,2,FALSE),"")</f>
        <v/>
      </c>
      <c r="J175" s="145"/>
      <c r="K175" s="520" t="str">
        <f>IF(J175="","",IF(VLOOKUP(J175,'G-3 Multipliers'!$L$3:$N$6,2,FALSE)=0,"Spatial Data Missing ⚠",VLOOKUP(J175,'G-3 Multipliers'!$L$3:$N$6,2,FALSE)))</f>
        <v/>
      </c>
      <c r="L175" s="505" t="str">
        <f>IF(J175="","",IF(VLOOKUP(J175,'G-3 Multipliers'!$L$3:$N$6,3,FALSE)=0,"Spatial Data Missing ⚠",VLOOKUP(J175,'G-3 Multipliers'!$L$3:$N$6,3,FALSE)))</f>
        <v/>
      </c>
      <c r="M175" s="498" t="str">
        <f>IF(OR(D175="",H175=""),"",(INDEX('G-6 Hedgerow Data'!$E$3:$I$15,MATCH(D175,'G-6 Hedgerow Data'!$B$3:$B$15,0),MATCH(H175,'G-6 Hedgerow Data'!$E$2:$I$2,0))))</f>
        <v/>
      </c>
      <c r="N175" s="195"/>
      <c r="O175" s="195"/>
      <c r="P175" s="507" t="str">
        <f t="shared" si="13"/>
        <v/>
      </c>
      <c r="Q175" s="521" t="str">
        <f t="shared" si="14"/>
        <v/>
      </c>
      <c r="R175" s="522" t="str">
        <f t="shared" si="12"/>
        <v/>
      </c>
      <c r="S175" s="537" t="str">
        <f>IF(D175="","",VLOOKUP(D175,'G-6 Hedgerow Data'!$B$3:$AG$15,31,FALSE))</f>
        <v/>
      </c>
      <c r="T175" s="507" t="str">
        <f t="shared" si="15"/>
        <v/>
      </c>
      <c r="U175" s="507" t="str">
        <f t="shared" si="16"/>
        <v/>
      </c>
      <c r="V175" s="524" t="str">
        <f>IF(D175="","",VLOOKUP(S175,'G-3 Multipliers'!$P$3:$Q$6,2,FALSE))</f>
        <v/>
      </c>
      <c r="W175" s="529" t="str">
        <f t="shared" si="17"/>
        <v/>
      </c>
      <c r="X175" s="149"/>
      <c r="Y175" s="150"/>
      <c r="AG175" s="31" t="str">
        <f>IFERROR(INDEX('G-6 Hedgerow Data'!$BJ$3:$BJ$15,MATCH(D175,'G-6 Hedgerow Data'!$B$3:$B$15,0)),"")</f>
        <v/>
      </c>
    </row>
    <row r="176" spans="2:33" ht="14" x14ac:dyDescent="0.3">
      <c r="B176" s="141">
        <v>165</v>
      </c>
      <c r="C176" s="205"/>
      <c r="D176" s="195"/>
      <c r="E176" s="172"/>
      <c r="F176" s="553" t="str">
        <f>IF(D176="","",VLOOKUP(D176,'G-6 Hedgerow Data'!$B$2:$AG$15,2,FALSE))</f>
        <v/>
      </c>
      <c r="G176" s="499" t="str">
        <f>IF(D176="","",VLOOKUP(D176,'G-6 Hedgerow Data'!$B$2:$AG$15,3,FALSE))</f>
        <v/>
      </c>
      <c r="H176" s="145"/>
      <c r="I176" s="499" t="str">
        <f>IFERROR(VLOOKUP(H176,'G-1 All Habitats'!$Z$2:$AA$9,2,FALSE),"")</f>
        <v/>
      </c>
      <c r="J176" s="145"/>
      <c r="K176" s="520" t="str">
        <f>IF(J176="","",IF(VLOOKUP(J176,'G-3 Multipliers'!$L$3:$N$6,2,FALSE)=0,"Spatial Data Missing ⚠",VLOOKUP(J176,'G-3 Multipliers'!$L$3:$N$6,2,FALSE)))</f>
        <v/>
      </c>
      <c r="L176" s="505" t="str">
        <f>IF(J176="","",IF(VLOOKUP(J176,'G-3 Multipliers'!$L$3:$N$6,3,FALSE)=0,"Spatial Data Missing ⚠",VLOOKUP(J176,'G-3 Multipliers'!$L$3:$N$6,3,FALSE)))</f>
        <v/>
      </c>
      <c r="M176" s="498" t="str">
        <f>IF(OR(D176="",H176=""),"",(INDEX('G-6 Hedgerow Data'!$E$3:$I$15,MATCH(D176,'G-6 Hedgerow Data'!$B$3:$B$15,0),MATCH(H176,'G-6 Hedgerow Data'!$E$2:$I$2,0))))</f>
        <v/>
      </c>
      <c r="N176" s="195"/>
      <c r="O176" s="195"/>
      <c r="P176" s="507" t="str">
        <f t="shared" si="13"/>
        <v/>
      </c>
      <c r="Q176" s="521" t="str">
        <f t="shared" si="14"/>
        <v/>
      </c>
      <c r="R176" s="522" t="str">
        <f t="shared" si="12"/>
        <v/>
      </c>
      <c r="S176" s="537" t="str">
        <f>IF(D176="","",VLOOKUP(D176,'G-6 Hedgerow Data'!$B$3:$AG$15,31,FALSE))</f>
        <v/>
      </c>
      <c r="T176" s="507" t="str">
        <f t="shared" si="15"/>
        <v/>
      </c>
      <c r="U176" s="507" t="str">
        <f t="shared" si="16"/>
        <v/>
      </c>
      <c r="V176" s="524" t="str">
        <f>IF(D176="","",VLOOKUP(S176,'G-3 Multipliers'!$P$3:$Q$6,2,FALSE))</f>
        <v/>
      </c>
      <c r="W176" s="529" t="str">
        <f t="shared" si="17"/>
        <v/>
      </c>
      <c r="X176" s="149"/>
      <c r="Y176" s="150"/>
      <c r="AG176" s="31" t="str">
        <f>IFERROR(INDEX('G-6 Hedgerow Data'!$BJ$3:$BJ$15,MATCH(D176,'G-6 Hedgerow Data'!$B$3:$B$15,0)),"")</f>
        <v/>
      </c>
    </row>
    <row r="177" spans="2:33" ht="14" x14ac:dyDescent="0.3">
      <c r="B177" s="141">
        <v>166</v>
      </c>
      <c r="C177" s="205"/>
      <c r="D177" s="195"/>
      <c r="E177" s="172"/>
      <c r="F177" s="553" t="str">
        <f>IF(D177="","",VLOOKUP(D177,'G-6 Hedgerow Data'!$B$2:$AG$15,2,FALSE))</f>
        <v/>
      </c>
      <c r="G177" s="499" t="str">
        <f>IF(D177="","",VLOOKUP(D177,'G-6 Hedgerow Data'!$B$2:$AG$15,3,FALSE))</f>
        <v/>
      </c>
      <c r="H177" s="145"/>
      <c r="I177" s="499" t="str">
        <f>IFERROR(VLOOKUP(H177,'G-1 All Habitats'!$Z$2:$AA$9,2,FALSE),"")</f>
        <v/>
      </c>
      <c r="J177" s="145"/>
      <c r="K177" s="520" t="str">
        <f>IF(J177="","",IF(VLOOKUP(J177,'G-3 Multipliers'!$L$3:$N$6,2,FALSE)=0,"Spatial Data Missing ⚠",VLOOKUP(J177,'G-3 Multipliers'!$L$3:$N$6,2,FALSE)))</f>
        <v/>
      </c>
      <c r="L177" s="505" t="str">
        <f>IF(J177="","",IF(VLOOKUP(J177,'G-3 Multipliers'!$L$3:$N$6,3,FALSE)=0,"Spatial Data Missing ⚠",VLOOKUP(J177,'G-3 Multipliers'!$L$3:$N$6,3,FALSE)))</f>
        <v/>
      </c>
      <c r="M177" s="498" t="str">
        <f>IF(OR(D177="",H177=""),"",(INDEX('G-6 Hedgerow Data'!$E$3:$I$15,MATCH(D177,'G-6 Hedgerow Data'!$B$3:$B$15,0),MATCH(H177,'G-6 Hedgerow Data'!$E$2:$I$2,0))))</f>
        <v/>
      </c>
      <c r="N177" s="195"/>
      <c r="O177" s="195"/>
      <c r="P177" s="507" t="str">
        <f t="shared" si="13"/>
        <v/>
      </c>
      <c r="Q177" s="521" t="str">
        <f t="shared" si="14"/>
        <v/>
      </c>
      <c r="R177" s="522" t="str">
        <f t="shared" si="12"/>
        <v/>
      </c>
      <c r="S177" s="537" t="str">
        <f>IF(D177="","",VLOOKUP(D177,'G-6 Hedgerow Data'!$B$3:$AG$15,31,FALSE))</f>
        <v/>
      </c>
      <c r="T177" s="507" t="str">
        <f t="shared" si="15"/>
        <v/>
      </c>
      <c r="U177" s="507" t="str">
        <f t="shared" si="16"/>
        <v/>
      </c>
      <c r="V177" s="524" t="str">
        <f>IF(D177="","",VLOOKUP(S177,'G-3 Multipliers'!$P$3:$Q$6,2,FALSE))</f>
        <v/>
      </c>
      <c r="W177" s="529" t="str">
        <f t="shared" si="17"/>
        <v/>
      </c>
      <c r="X177" s="149"/>
      <c r="Y177" s="150"/>
      <c r="AG177" s="31" t="str">
        <f>IFERROR(INDEX('G-6 Hedgerow Data'!$BJ$3:$BJ$15,MATCH(D177,'G-6 Hedgerow Data'!$B$3:$B$15,0)),"")</f>
        <v/>
      </c>
    </row>
    <row r="178" spans="2:33" ht="14" x14ac:dyDescent="0.3">
      <c r="B178" s="141">
        <v>167</v>
      </c>
      <c r="C178" s="205"/>
      <c r="D178" s="195"/>
      <c r="E178" s="172"/>
      <c r="F178" s="553" t="str">
        <f>IF(D178="","",VLOOKUP(D178,'G-6 Hedgerow Data'!$B$2:$AG$15,2,FALSE))</f>
        <v/>
      </c>
      <c r="G178" s="499" t="str">
        <f>IF(D178="","",VLOOKUP(D178,'G-6 Hedgerow Data'!$B$2:$AG$15,3,FALSE))</f>
        <v/>
      </c>
      <c r="H178" s="145"/>
      <c r="I178" s="499" t="str">
        <f>IFERROR(VLOOKUP(H178,'G-1 All Habitats'!$Z$2:$AA$9,2,FALSE),"")</f>
        <v/>
      </c>
      <c r="J178" s="145"/>
      <c r="K178" s="520" t="str">
        <f>IF(J178="","",IF(VLOOKUP(J178,'G-3 Multipliers'!$L$3:$N$6,2,FALSE)=0,"Spatial Data Missing ⚠",VLOOKUP(J178,'G-3 Multipliers'!$L$3:$N$6,2,FALSE)))</f>
        <v/>
      </c>
      <c r="L178" s="505" t="str">
        <f>IF(J178="","",IF(VLOOKUP(J178,'G-3 Multipliers'!$L$3:$N$6,3,FALSE)=0,"Spatial Data Missing ⚠",VLOOKUP(J178,'G-3 Multipliers'!$L$3:$N$6,3,FALSE)))</f>
        <v/>
      </c>
      <c r="M178" s="498" t="str">
        <f>IF(OR(D178="",H178=""),"",(INDEX('G-6 Hedgerow Data'!$E$3:$I$15,MATCH(D178,'G-6 Hedgerow Data'!$B$3:$B$15,0),MATCH(H178,'G-6 Hedgerow Data'!$E$2:$I$2,0))))</f>
        <v/>
      </c>
      <c r="N178" s="195"/>
      <c r="O178" s="195"/>
      <c r="P178" s="507" t="str">
        <f t="shared" si="13"/>
        <v/>
      </c>
      <c r="Q178" s="521" t="str">
        <f t="shared" si="14"/>
        <v/>
      </c>
      <c r="R178" s="522" t="str">
        <f t="shared" si="12"/>
        <v/>
      </c>
      <c r="S178" s="537" t="str">
        <f>IF(D178="","",VLOOKUP(D178,'G-6 Hedgerow Data'!$B$3:$AG$15,31,FALSE))</f>
        <v/>
      </c>
      <c r="T178" s="507" t="str">
        <f t="shared" si="15"/>
        <v/>
      </c>
      <c r="U178" s="507" t="str">
        <f t="shared" si="16"/>
        <v/>
      </c>
      <c r="V178" s="524" t="str">
        <f>IF(D178="","",VLOOKUP(S178,'G-3 Multipliers'!$P$3:$Q$6,2,FALSE))</f>
        <v/>
      </c>
      <c r="W178" s="529" t="str">
        <f t="shared" si="17"/>
        <v/>
      </c>
      <c r="X178" s="149"/>
      <c r="Y178" s="150"/>
      <c r="AG178" s="31" t="str">
        <f>IFERROR(INDEX('G-6 Hedgerow Data'!$BJ$3:$BJ$15,MATCH(D178,'G-6 Hedgerow Data'!$B$3:$B$15,0)),"")</f>
        <v/>
      </c>
    </row>
    <row r="179" spans="2:33" ht="14" x14ac:dyDescent="0.3">
      <c r="B179" s="141">
        <v>168</v>
      </c>
      <c r="C179" s="205"/>
      <c r="D179" s="195"/>
      <c r="E179" s="172"/>
      <c r="F179" s="553" t="str">
        <f>IF(D179="","",VLOOKUP(D179,'G-6 Hedgerow Data'!$B$2:$AG$15,2,FALSE))</f>
        <v/>
      </c>
      <c r="G179" s="499" t="str">
        <f>IF(D179="","",VLOOKUP(D179,'G-6 Hedgerow Data'!$B$2:$AG$15,3,FALSE))</f>
        <v/>
      </c>
      <c r="H179" s="145"/>
      <c r="I179" s="499" t="str">
        <f>IFERROR(VLOOKUP(H179,'G-1 All Habitats'!$Z$2:$AA$9,2,FALSE),"")</f>
        <v/>
      </c>
      <c r="J179" s="145"/>
      <c r="K179" s="520" t="str">
        <f>IF(J179="","",IF(VLOOKUP(J179,'G-3 Multipliers'!$L$3:$N$6,2,FALSE)=0,"Spatial Data Missing ⚠",VLOOKUP(J179,'G-3 Multipliers'!$L$3:$N$6,2,FALSE)))</f>
        <v/>
      </c>
      <c r="L179" s="505" t="str">
        <f>IF(J179="","",IF(VLOOKUP(J179,'G-3 Multipliers'!$L$3:$N$6,3,FALSE)=0,"Spatial Data Missing ⚠",VLOOKUP(J179,'G-3 Multipliers'!$L$3:$N$6,3,FALSE)))</f>
        <v/>
      </c>
      <c r="M179" s="498" t="str">
        <f>IF(OR(D179="",H179=""),"",(INDEX('G-6 Hedgerow Data'!$E$3:$I$15,MATCH(D179,'G-6 Hedgerow Data'!$B$3:$B$15,0),MATCH(H179,'G-6 Hedgerow Data'!$E$2:$I$2,0))))</f>
        <v/>
      </c>
      <c r="N179" s="195"/>
      <c r="O179" s="195"/>
      <c r="P179" s="507" t="str">
        <f t="shared" si="13"/>
        <v/>
      </c>
      <c r="Q179" s="521" t="str">
        <f t="shared" si="14"/>
        <v/>
      </c>
      <c r="R179" s="522" t="str">
        <f t="shared" si="12"/>
        <v/>
      </c>
      <c r="S179" s="537" t="str">
        <f>IF(D179="","",VLOOKUP(D179,'G-6 Hedgerow Data'!$B$3:$AG$15,31,FALSE))</f>
        <v/>
      </c>
      <c r="T179" s="507" t="str">
        <f t="shared" si="15"/>
        <v/>
      </c>
      <c r="U179" s="507" t="str">
        <f t="shared" si="16"/>
        <v/>
      </c>
      <c r="V179" s="524" t="str">
        <f>IF(D179="","",VLOOKUP(S179,'G-3 Multipliers'!$P$3:$Q$6,2,FALSE))</f>
        <v/>
      </c>
      <c r="W179" s="529" t="str">
        <f t="shared" si="17"/>
        <v/>
      </c>
      <c r="X179" s="149"/>
      <c r="Y179" s="150"/>
      <c r="AG179" s="31" t="str">
        <f>IFERROR(INDEX('G-6 Hedgerow Data'!$BJ$3:$BJ$15,MATCH(D179,'G-6 Hedgerow Data'!$B$3:$B$15,0)),"")</f>
        <v/>
      </c>
    </row>
    <row r="180" spans="2:33" ht="14" x14ac:dyDescent="0.3">
      <c r="B180" s="141">
        <v>169</v>
      </c>
      <c r="C180" s="205"/>
      <c r="D180" s="195"/>
      <c r="E180" s="172"/>
      <c r="F180" s="553" t="str">
        <f>IF(D180="","",VLOOKUP(D180,'G-6 Hedgerow Data'!$B$2:$AG$15,2,FALSE))</f>
        <v/>
      </c>
      <c r="G180" s="499" t="str">
        <f>IF(D180="","",VLOOKUP(D180,'G-6 Hedgerow Data'!$B$2:$AG$15,3,FALSE))</f>
        <v/>
      </c>
      <c r="H180" s="145"/>
      <c r="I180" s="499" t="str">
        <f>IFERROR(VLOOKUP(H180,'G-1 All Habitats'!$Z$2:$AA$9,2,FALSE),"")</f>
        <v/>
      </c>
      <c r="J180" s="145"/>
      <c r="K180" s="520" t="str">
        <f>IF(J180="","",IF(VLOOKUP(J180,'G-3 Multipliers'!$L$3:$N$6,2,FALSE)=0,"Spatial Data Missing ⚠",VLOOKUP(J180,'G-3 Multipliers'!$L$3:$N$6,2,FALSE)))</f>
        <v/>
      </c>
      <c r="L180" s="505" t="str">
        <f>IF(J180="","",IF(VLOOKUP(J180,'G-3 Multipliers'!$L$3:$N$6,3,FALSE)=0,"Spatial Data Missing ⚠",VLOOKUP(J180,'G-3 Multipliers'!$L$3:$N$6,3,FALSE)))</f>
        <v/>
      </c>
      <c r="M180" s="498" t="str">
        <f>IF(OR(D180="",H180=""),"",(INDEX('G-6 Hedgerow Data'!$E$3:$I$15,MATCH(D180,'G-6 Hedgerow Data'!$B$3:$B$15,0),MATCH(H180,'G-6 Hedgerow Data'!$E$2:$I$2,0))))</f>
        <v/>
      </c>
      <c r="N180" s="195"/>
      <c r="O180" s="195"/>
      <c r="P180" s="507" t="str">
        <f t="shared" si="13"/>
        <v/>
      </c>
      <c r="Q180" s="521" t="str">
        <f t="shared" si="14"/>
        <v/>
      </c>
      <c r="R180" s="522" t="str">
        <f t="shared" si="12"/>
        <v/>
      </c>
      <c r="S180" s="537" t="str">
        <f>IF(D180="","",VLOOKUP(D180,'G-6 Hedgerow Data'!$B$3:$AG$15,31,FALSE))</f>
        <v/>
      </c>
      <c r="T180" s="507" t="str">
        <f t="shared" si="15"/>
        <v/>
      </c>
      <c r="U180" s="507" t="str">
        <f t="shared" si="16"/>
        <v/>
      </c>
      <c r="V180" s="524" t="str">
        <f>IF(D180="","",VLOOKUP(S180,'G-3 Multipliers'!$P$3:$Q$6,2,FALSE))</f>
        <v/>
      </c>
      <c r="W180" s="529" t="str">
        <f t="shared" si="17"/>
        <v/>
      </c>
      <c r="X180" s="149"/>
      <c r="Y180" s="150"/>
      <c r="AG180" s="31" t="str">
        <f>IFERROR(INDEX('G-6 Hedgerow Data'!$BJ$3:$BJ$15,MATCH(D180,'G-6 Hedgerow Data'!$B$3:$B$15,0)),"")</f>
        <v/>
      </c>
    </row>
    <row r="181" spans="2:33" ht="14" x14ac:dyDescent="0.3">
      <c r="B181" s="141">
        <v>170</v>
      </c>
      <c r="C181" s="205"/>
      <c r="D181" s="195"/>
      <c r="E181" s="172"/>
      <c r="F181" s="553" t="str">
        <f>IF(D181="","",VLOOKUP(D181,'G-6 Hedgerow Data'!$B$2:$AG$15,2,FALSE))</f>
        <v/>
      </c>
      <c r="G181" s="499" t="str">
        <f>IF(D181="","",VLOOKUP(D181,'G-6 Hedgerow Data'!$B$2:$AG$15,3,FALSE))</f>
        <v/>
      </c>
      <c r="H181" s="145"/>
      <c r="I181" s="499" t="str">
        <f>IFERROR(VLOOKUP(H181,'G-1 All Habitats'!$Z$2:$AA$9,2,FALSE),"")</f>
        <v/>
      </c>
      <c r="J181" s="145"/>
      <c r="K181" s="520" t="str">
        <f>IF(J181="","",IF(VLOOKUP(J181,'G-3 Multipliers'!$L$3:$N$6,2,FALSE)=0,"Spatial Data Missing ⚠",VLOOKUP(J181,'G-3 Multipliers'!$L$3:$N$6,2,FALSE)))</f>
        <v/>
      </c>
      <c r="L181" s="505" t="str">
        <f>IF(J181="","",IF(VLOOKUP(J181,'G-3 Multipliers'!$L$3:$N$6,3,FALSE)=0,"Spatial Data Missing ⚠",VLOOKUP(J181,'G-3 Multipliers'!$L$3:$N$6,3,FALSE)))</f>
        <v/>
      </c>
      <c r="M181" s="498" t="str">
        <f>IF(OR(D181="",H181=""),"",(INDEX('G-6 Hedgerow Data'!$E$3:$I$15,MATCH(D181,'G-6 Hedgerow Data'!$B$3:$B$15,0),MATCH(H181,'G-6 Hedgerow Data'!$E$2:$I$2,0))))</f>
        <v/>
      </c>
      <c r="N181" s="195"/>
      <c r="O181" s="195"/>
      <c r="P181" s="507" t="str">
        <f t="shared" si="13"/>
        <v/>
      </c>
      <c r="Q181" s="521" t="str">
        <f t="shared" si="14"/>
        <v/>
      </c>
      <c r="R181" s="522" t="str">
        <f t="shared" si="12"/>
        <v/>
      </c>
      <c r="S181" s="537" t="str">
        <f>IF(D181="","",VLOOKUP(D181,'G-6 Hedgerow Data'!$B$3:$AG$15,31,FALSE))</f>
        <v/>
      </c>
      <c r="T181" s="507" t="str">
        <f t="shared" si="15"/>
        <v/>
      </c>
      <c r="U181" s="507" t="str">
        <f t="shared" si="16"/>
        <v/>
      </c>
      <c r="V181" s="524" t="str">
        <f>IF(D181="","",VLOOKUP(S181,'G-3 Multipliers'!$P$3:$Q$6,2,FALSE))</f>
        <v/>
      </c>
      <c r="W181" s="529" t="str">
        <f t="shared" si="17"/>
        <v/>
      </c>
      <c r="X181" s="149"/>
      <c r="Y181" s="150"/>
      <c r="AG181" s="31" t="str">
        <f>IFERROR(INDEX('G-6 Hedgerow Data'!$BJ$3:$BJ$15,MATCH(D181,'G-6 Hedgerow Data'!$B$3:$B$15,0)),"")</f>
        <v/>
      </c>
    </row>
    <row r="182" spans="2:33" ht="14" x14ac:dyDescent="0.3">
      <c r="B182" s="141">
        <v>171</v>
      </c>
      <c r="C182" s="205"/>
      <c r="D182" s="195"/>
      <c r="E182" s="172"/>
      <c r="F182" s="553" t="str">
        <f>IF(D182="","",VLOOKUP(D182,'G-6 Hedgerow Data'!$B$2:$AG$15,2,FALSE))</f>
        <v/>
      </c>
      <c r="G182" s="499" t="str">
        <f>IF(D182="","",VLOOKUP(D182,'G-6 Hedgerow Data'!$B$2:$AG$15,3,FALSE))</f>
        <v/>
      </c>
      <c r="H182" s="145"/>
      <c r="I182" s="499" t="str">
        <f>IFERROR(VLOOKUP(H182,'G-1 All Habitats'!$Z$2:$AA$9,2,FALSE),"")</f>
        <v/>
      </c>
      <c r="J182" s="145"/>
      <c r="K182" s="520" t="str">
        <f>IF(J182="","",IF(VLOOKUP(J182,'G-3 Multipliers'!$L$3:$N$6,2,FALSE)=0,"Spatial Data Missing ⚠",VLOOKUP(J182,'G-3 Multipliers'!$L$3:$N$6,2,FALSE)))</f>
        <v/>
      </c>
      <c r="L182" s="505" t="str">
        <f>IF(J182="","",IF(VLOOKUP(J182,'G-3 Multipliers'!$L$3:$N$6,3,FALSE)=0,"Spatial Data Missing ⚠",VLOOKUP(J182,'G-3 Multipliers'!$L$3:$N$6,3,FALSE)))</f>
        <v/>
      </c>
      <c r="M182" s="498" t="str">
        <f>IF(OR(D182="",H182=""),"",(INDEX('G-6 Hedgerow Data'!$E$3:$I$15,MATCH(D182,'G-6 Hedgerow Data'!$B$3:$B$15,0),MATCH(H182,'G-6 Hedgerow Data'!$E$2:$I$2,0))))</f>
        <v/>
      </c>
      <c r="N182" s="195"/>
      <c r="O182" s="195"/>
      <c r="P182" s="507" t="str">
        <f t="shared" si="13"/>
        <v/>
      </c>
      <c r="Q182" s="521" t="str">
        <f t="shared" si="14"/>
        <v/>
      </c>
      <c r="R182" s="522" t="str">
        <f t="shared" si="12"/>
        <v/>
      </c>
      <c r="S182" s="537" t="str">
        <f>IF(D182="","",VLOOKUP(D182,'G-6 Hedgerow Data'!$B$3:$AG$15,31,FALSE))</f>
        <v/>
      </c>
      <c r="T182" s="507" t="str">
        <f t="shared" si="15"/>
        <v/>
      </c>
      <c r="U182" s="507" t="str">
        <f t="shared" si="16"/>
        <v/>
      </c>
      <c r="V182" s="524" t="str">
        <f>IF(D182="","",VLOOKUP(S182,'G-3 Multipliers'!$P$3:$Q$6,2,FALSE))</f>
        <v/>
      </c>
      <c r="W182" s="529" t="str">
        <f t="shared" si="17"/>
        <v/>
      </c>
      <c r="X182" s="149"/>
      <c r="Y182" s="150"/>
      <c r="AG182" s="31" t="str">
        <f>IFERROR(INDEX('G-6 Hedgerow Data'!$BJ$3:$BJ$15,MATCH(D182,'G-6 Hedgerow Data'!$B$3:$B$15,0)),"")</f>
        <v/>
      </c>
    </row>
    <row r="183" spans="2:33" ht="14" x14ac:dyDescent="0.3">
      <c r="B183" s="141">
        <v>172</v>
      </c>
      <c r="C183" s="205"/>
      <c r="D183" s="195"/>
      <c r="E183" s="172"/>
      <c r="F183" s="553" t="str">
        <f>IF(D183="","",VLOOKUP(D183,'G-6 Hedgerow Data'!$B$2:$AG$15,2,FALSE))</f>
        <v/>
      </c>
      <c r="G183" s="499" t="str">
        <f>IF(D183="","",VLOOKUP(D183,'G-6 Hedgerow Data'!$B$2:$AG$15,3,FALSE))</f>
        <v/>
      </c>
      <c r="H183" s="145"/>
      <c r="I183" s="499" t="str">
        <f>IFERROR(VLOOKUP(H183,'G-1 All Habitats'!$Z$2:$AA$9,2,FALSE),"")</f>
        <v/>
      </c>
      <c r="J183" s="145"/>
      <c r="K183" s="520" t="str">
        <f>IF(J183="","",IF(VLOOKUP(J183,'G-3 Multipliers'!$L$3:$N$6,2,FALSE)=0,"Spatial Data Missing ⚠",VLOOKUP(J183,'G-3 Multipliers'!$L$3:$N$6,2,FALSE)))</f>
        <v/>
      </c>
      <c r="L183" s="505" t="str">
        <f>IF(J183="","",IF(VLOOKUP(J183,'G-3 Multipliers'!$L$3:$N$6,3,FALSE)=0,"Spatial Data Missing ⚠",VLOOKUP(J183,'G-3 Multipliers'!$L$3:$N$6,3,FALSE)))</f>
        <v/>
      </c>
      <c r="M183" s="498" t="str">
        <f>IF(OR(D183="",H183=""),"",(INDEX('G-6 Hedgerow Data'!$E$3:$I$15,MATCH(D183,'G-6 Hedgerow Data'!$B$3:$B$15,0),MATCH(H183,'G-6 Hedgerow Data'!$E$2:$I$2,0))))</f>
        <v/>
      </c>
      <c r="N183" s="195"/>
      <c r="O183" s="195"/>
      <c r="P183" s="507" t="str">
        <f t="shared" si="13"/>
        <v/>
      </c>
      <c r="Q183" s="521" t="str">
        <f t="shared" si="14"/>
        <v/>
      </c>
      <c r="R183" s="522" t="str">
        <f t="shared" si="12"/>
        <v/>
      </c>
      <c r="S183" s="537" t="str">
        <f>IF(D183="","",VLOOKUP(D183,'G-6 Hedgerow Data'!$B$3:$AG$15,31,FALSE))</f>
        <v/>
      </c>
      <c r="T183" s="507" t="str">
        <f t="shared" si="15"/>
        <v/>
      </c>
      <c r="U183" s="507" t="str">
        <f t="shared" si="16"/>
        <v/>
      </c>
      <c r="V183" s="524" t="str">
        <f>IF(D183="","",VLOOKUP(S183,'G-3 Multipliers'!$P$3:$Q$6,2,FALSE))</f>
        <v/>
      </c>
      <c r="W183" s="529" t="str">
        <f t="shared" si="17"/>
        <v/>
      </c>
      <c r="X183" s="149"/>
      <c r="Y183" s="150"/>
      <c r="AG183" s="31" t="str">
        <f>IFERROR(INDEX('G-6 Hedgerow Data'!$BJ$3:$BJ$15,MATCH(D183,'G-6 Hedgerow Data'!$B$3:$B$15,0)),"")</f>
        <v/>
      </c>
    </row>
    <row r="184" spans="2:33" ht="14" x14ac:dyDescent="0.3">
      <c r="B184" s="141">
        <v>173</v>
      </c>
      <c r="C184" s="205"/>
      <c r="D184" s="195"/>
      <c r="E184" s="172"/>
      <c r="F184" s="553" t="str">
        <f>IF(D184="","",VLOOKUP(D184,'G-6 Hedgerow Data'!$B$2:$AG$15,2,FALSE))</f>
        <v/>
      </c>
      <c r="G184" s="499" t="str">
        <f>IF(D184="","",VLOOKUP(D184,'G-6 Hedgerow Data'!$B$2:$AG$15,3,FALSE))</f>
        <v/>
      </c>
      <c r="H184" s="145"/>
      <c r="I184" s="499" t="str">
        <f>IFERROR(VLOOKUP(H184,'G-1 All Habitats'!$Z$2:$AA$9,2,FALSE),"")</f>
        <v/>
      </c>
      <c r="J184" s="145"/>
      <c r="K184" s="520" t="str">
        <f>IF(J184="","",IF(VLOOKUP(J184,'G-3 Multipliers'!$L$3:$N$6,2,FALSE)=0,"Spatial Data Missing ⚠",VLOOKUP(J184,'G-3 Multipliers'!$L$3:$N$6,2,FALSE)))</f>
        <v/>
      </c>
      <c r="L184" s="505" t="str">
        <f>IF(J184="","",IF(VLOOKUP(J184,'G-3 Multipliers'!$L$3:$N$6,3,FALSE)=0,"Spatial Data Missing ⚠",VLOOKUP(J184,'G-3 Multipliers'!$L$3:$N$6,3,FALSE)))</f>
        <v/>
      </c>
      <c r="M184" s="498" t="str">
        <f>IF(OR(D184="",H184=""),"",(INDEX('G-6 Hedgerow Data'!$E$3:$I$15,MATCH(D184,'G-6 Hedgerow Data'!$B$3:$B$15,0),MATCH(H184,'G-6 Hedgerow Data'!$E$2:$I$2,0))))</f>
        <v/>
      </c>
      <c r="N184" s="195"/>
      <c r="O184" s="195"/>
      <c r="P184" s="507" t="str">
        <f t="shared" si="13"/>
        <v/>
      </c>
      <c r="Q184" s="521" t="str">
        <f t="shared" si="14"/>
        <v/>
      </c>
      <c r="R184" s="522" t="str">
        <f t="shared" si="12"/>
        <v/>
      </c>
      <c r="S184" s="537" t="str">
        <f>IF(D184="","",VLOOKUP(D184,'G-6 Hedgerow Data'!$B$3:$AG$15,31,FALSE))</f>
        <v/>
      </c>
      <c r="T184" s="507" t="str">
        <f t="shared" si="15"/>
        <v/>
      </c>
      <c r="U184" s="507" t="str">
        <f t="shared" si="16"/>
        <v/>
      </c>
      <c r="V184" s="524" t="str">
        <f>IF(D184="","",VLOOKUP(S184,'G-3 Multipliers'!$P$3:$Q$6,2,FALSE))</f>
        <v/>
      </c>
      <c r="W184" s="529" t="str">
        <f t="shared" si="17"/>
        <v/>
      </c>
      <c r="X184" s="149"/>
      <c r="Y184" s="150"/>
      <c r="AG184" s="31" t="str">
        <f>IFERROR(INDEX('G-6 Hedgerow Data'!$BJ$3:$BJ$15,MATCH(D184,'G-6 Hedgerow Data'!$B$3:$B$15,0)),"")</f>
        <v/>
      </c>
    </row>
    <row r="185" spans="2:33" ht="14" x14ac:dyDescent="0.3">
      <c r="B185" s="141">
        <v>174</v>
      </c>
      <c r="C185" s="205"/>
      <c r="D185" s="195"/>
      <c r="E185" s="172"/>
      <c r="F185" s="553" t="str">
        <f>IF(D185="","",VLOOKUP(D185,'G-6 Hedgerow Data'!$B$2:$AG$15,2,FALSE))</f>
        <v/>
      </c>
      <c r="G185" s="499" t="str">
        <f>IF(D185="","",VLOOKUP(D185,'G-6 Hedgerow Data'!$B$2:$AG$15,3,FALSE))</f>
        <v/>
      </c>
      <c r="H185" s="145"/>
      <c r="I185" s="499" t="str">
        <f>IFERROR(VLOOKUP(H185,'G-1 All Habitats'!$Z$2:$AA$9,2,FALSE),"")</f>
        <v/>
      </c>
      <c r="J185" s="145"/>
      <c r="K185" s="520" t="str">
        <f>IF(J185="","",IF(VLOOKUP(J185,'G-3 Multipliers'!$L$3:$N$6,2,FALSE)=0,"Spatial Data Missing ⚠",VLOOKUP(J185,'G-3 Multipliers'!$L$3:$N$6,2,FALSE)))</f>
        <v/>
      </c>
      <c r="L185" s="505" t="str">
        <f>IF(J185="","",IF(VLOOKUP(J185,'G-3 Multipliers'!$L$3:$N$6,3,FALSE)=0,"Spatial Data Missing ⚠",VLOOKUP(J185,'G-3 Multipliers'!$L$3:$N$6,3,FALSE)))</f>
        <v/>
      </c>
      <c r="M185" s="498" t="str">
        <f>IF(OR(D185="",H185=""),"",(INDEX('G-6 Hedgerow Data'!$E$3:$I$15,MATCH(D185,'G-6 Hedgerow Data'!$B$3:$B$15,0),MATCH(H185,'G-6 Hedgerow Data'!$E$2:$I$2,0))))</f>
        <v/>
      </c>
      <c r="N185" s="195"/>
      <c r="O185" s="195"/>
      <c r="P185" s="507" t="str">
        <f t="shared" si="13"/>
        <v/>
      </c>
      <c r="Q185" s="521" t="str">
        <f t="shared" si="14"/>
        <v/>
      </c>
      <c r="R185" s="522" t="str">
        <f t="shared" si="12"/>
        <v/>
      </c>
      <c r="S185" s="537" t="str">
        <f>IF(D185="","",VLOOKUP(D185,'G-6 Hedgerow Data'!$B$3:$AG$15,31,FALSE))</f>
        <v/>
      </c>
      <c r="T185" s="507" t="str">
        <f t="shared" si="15"/>
        <v/>
      </c>
      <c r="U185" s="507" t="str">
        <f t="shared" si="16"/>
        <v/>
      </c>
      <c r="V185" s="524" t="str">
        <f>IF(D185="","",VLOOKUP(S185,'G-3 Multipliers'!$P$3:$Q$6,2,FALSE))</f>
        <v/>
      </c>
      <c r="W185" s="529" t="str">
        <f t="shared" si="17"/>
        <v/>
      </c>
      <c r="X185" s="149"/>
      <c r="Y185" s="150"/>
      <c r="AG185" s="31" t="str">
        <f>IFERROR(INDEX('G-6 Hedgerow Data'!$BJ$3:$BJ$15,MATCH(D185,'G-6 Hedgerow Data'!$B$3:$B$15,0)),"")</f>
        <v/>
      </c>
    </row>
    <row r="186" spans="2:33" ht="14" x14ac:dyDescent="0.3">
      <c r="B186" s="141">
        <v>175</v>
      </c>
      <c r="C186" s="205"/>
      <c r="D186" s="195"/>
      <c r="E186" s="172"/>
      <c r="F186" s="553" t="str">
        <f>IF(D186="","",VLOOKUP(D186,'G-6 Hedgerow Data'!$B$2:$AG$15,2,FALSE))</f>
        <v/>
      </c>
      <c r="G186" s="499" t="str">
        <f>IF(D186="","",VLOOKUP(D186,'G-6 Hedgerow Data'!$B$2:$AG$15,3,FALSE))</f>
        <v/>
      </c>
      <c r="H186" s="145"/>
      <c r="I186" s="499" t="str">
        <f>IFERROR(VLOOKUP(H186,'G-1 All Habitats'!$Z$2:$AA$9,2,FALSE),"")</f>
        <v/>
      </c>
      <c r="J186" s="145"/>
      <c r="K186" s="520" t="str">
        <f>IF(J186="","",IF(VLOOKUP(J186,'G-3 Multipliers'!$L$3:$N$6,2,FALSE)=0,"Spatial Data Missing ⚠",VLOOKUP(J186,'G-3 Multipliers'!$L$3:$N$6,2,FALSE)))</f>
        <v/>
      </c>
      <c r="L186" s="505" t="str">
        <f>IF(J186="","",IF(VLOOKUP(J186,'G-3 Multipliers'!$L$3:$N$6,3,FALSE)=0,"Spatial Data Missing ⚠",VLOOKUP(J186,'G-3 Multipliers'!$L$3:$N$6,3,FALSE)))</f>
        <v/>
      </c>
      <c r="M186" s="498" t="str">
        <f>IF(OR(D186="",H186=""),"",(INDEX('G-6 Hedgerow Data'!$E$3:$I$15,MATCH(D186,'G-6 Hedgerow Data'!$B$3:$B$15,0),MATCH(H186,'G-6 Hedgerow Data'!$E$2:$I$2,0))))</f>
        <v/>
      </c>
      <c r="N186" s="195"/>
      <c r="O186" s="195"/>
      <c r="P186" s="507" t="str">
        <f t="shared" si="13"/>
        <v/>
      </c>
      <c r="Q186" s="521" t="str">
        <f t="shared" si="14"/>
        <v/>
      </c>
      <c r="R186" s="522" t="str">
        <f t="shared" si="12"/>
        <v/>
      </c>
      <c r="S186" s="537" t="str">
        <f>IF(D186="","",VLOOKUP(D186,'G-6 Hedgerow Data'!$B$3:$AG$15,31,FALSE))</f>
        <v/>
      </c>
      <c r="T186" s="507" t="str">
        <f t="shared" si="15"/>
        <v/>
      </c>
      <c r="U186" s="507" t="str">
        <f t="shared" si="16"/>
        <v/>
      </c>
      <c r="V186" s="524" t="str">
        <f>IF(D186="","",VLOOKUP(S186,'G-3 Multipliers'!$P$3:$Q$6,2,FALSE))</f>
        <v/>
      </c>
      <c r="W186" s="529" t="str">
        <f t="shared" si="17"/>
        <v/>
      </c>
      <c r="X186" s="149"/>
      <c r="Y186" s="150"/>
      <c r="AG186" s="31" t="str">
        <f>IFERROR(INDEX('G-6 Hedgerow Data'!$BJ$3:$BJ$15,MATCH(D186,'G-6 Hedgerow Data'!$B$3:$B$15,0)),"")</f>
        <v/>
      </c>
    </row>
    <row r="187" spans="2:33" ht="14" x14ac:dyDescent="0.3">
      <c r="B187" s="141">
        <v>176</v>
      </c>
      <c r="C187" s="205"/>
      <c r="D187" s="195"/>
      <c r="E187" s="172"/>
      <c r="F187" s="553" t="str">
        <f>IF(D187="","",VLOOKUP(D187,'G-6 Hedgerow Data'!$B$2:$AG$15,2,FALSE))</f>
        <v/>
      </c>
      <c r="G187" s="499" t="str">
        <f>IF(D187="","",VLOOKUP(D187,'G-6 Hedgerow Data'!$B$2:$AG$15,3,FALSE))</f>
        <v/>
      </c>
      <c r="H187" s="145"/>
      <c r="I187" s="499" t="str">
        <f>IFERROR(VLOOKUP(H187,'G-1 All Habitats'!$Z$2:$AA$9,2,FALSE),"")</f>
        <v/>
      </c>
      <c r="J187" s="145"/>
      <c r="K187" s="520" t="str">
        <f>IF(J187="","",IF(VLOOKUP(J187,'G-3 Multipliers'!$L$3:$N$6,2,FALSE)=0,"Spatial Data Missing ⚠",VLOOKUP(J187,'G-3 Multipliers'!$L$3:$N$6,2,FALSE)))</f>
        <v/>
      </c>
      <c r="L187" s="505" t="str">
        <f>IF(J187="","",IF(VLOOKUP(J187,'G-3 Multipliers'!$L$3:$N$6,3,FALSE)=0,"Spatial Data Missing ⚠",VLOOKUP(J187,'G-3 Multipliers'!$L$3:$N$6,3,FALSE)))</f>
        <v/>
      </c>
      <c r="M187" s="498" t="str">
        <f>IF(OR(D187="",H187=""),"",(INDEX('G-6 Hedgerow Data'!$E$3:$I$15,MATCH(D187,'G-6 Hedgerow Data'!$B$3:$B$15,0),MATCH(H187,'G-6 Hedgerow Data'!$E$2:$I$2,0))))</f>
        <v/>
      </c>
      <c r="N187" s="195"/>
      <c r="O187" s="195"/>
      <c r="P187" s="507" t="str">
        <f t="shared" si="13"/>
        <v/>
      </c>
      <c r="Q187" s="521" t="str">
        <f t="shared" si="14"/>
        <v/>
      </c>
      <c r="R187" s="522" t="str">
        <f t="shared" si="12"/>
        <v/>
      </c>
      <c r="S187" s="537" t="str">
        <f>IF(D187="","",VLOOKUP(D187,'G-6 Hedgerow Data'!$B$3:$AG$15,31,FALSE))</f>
        <v/>
      </c>
      <c r="T187" s="507" t="str">
        <f t="shared" si="15"/>
        <v/>
      </c>
      <c r="U187" s="507" t="str">
        <f t="shared" si="16"/>
        <v/>
      </c>
      <c r="V187" s="524" t="str">
        <f>IF(D187="","",VLOOKUP(S187,'G-3 Multipliers'!$P$3:$Q$6,2,FALSE))</f>
        <v/>
      </c>
      <c r="W187" s="529" t="str">
        <f t="shared" si="17"/>
        <v/>
      </c>
      <c r="X187" s="149"/>
      <c r="Y187" s="150"/>
      <c r="AG187" s="31" t="str">
        <f>IFERROR(INDEX('G-6 Hedgerow Data'!$BJ$3:$BJ$15,MATCH(D187,'G-6 Hedgerow Data'!$B$3:$B$15,0)),"")</f>
        <v/>
      </c>
    </row>
    <row r="188" spans="2:33" ht="14" x14ac:dyDescent="0.3">
      <c r="B188" s="141">
        <v>177</v>
      </c>
      <c r="C188" s="205"/>
      <c r="D188" s="195"/>
      <c r="E188" s="172"/>
      <c r="F188" s="553" t="str">
        <f>IF(D188="","",VLOOKUP(D188,'G-6 Hedgerow Data'!$B$2:$AG$15,2,FALSE))</f>
        <v/>
      </c>
      <c r="G188" s="499" t="str">
        <f>IF(D188="","",VLOOKUP(D188,'G-6 Hedgerow Data'!$B$2:$AG$15,3,FALSE))</f>
        <v/>
      </c>
      <c r="H188" s="145"/>
      <c r="I188" s="499" t="str">
        <f>IFERROR(VLOOKUP(H188,'G-1 All Habitats'!$Z$2:$AA$9,2,FALSE),"")</f>
        <v/>
      </c>
      <c r="J188" s="145"/>
      <c r="K188" s="520" t="str">
        <f>IF(J188="","",IF(VLOOKUP(J188,'G-3 Multipliers'!$L$3:$N$6,2,FALSE)=0,"Spatial Data Missing ⚠",VLOOKUP(J188,'G-3 Multipliers'!$L$3:$N$6,2,FALSE)))</f>
        <v/>
      </c>
      <c r="L188" s="505" t="str">
        <f>IF(J188="","",IF(VLOOKUP(J188,'G-3 Multipliers'!$L$3:$N$6,3,FALSE)=0,"Spatial Data Missing ⚠",VLOOKUP(J188,'G-3 Multipliers'!$L$3:$N$6,3,FALSE)))</f>
        <v/>
      </c>
      <c r="M188" s="498" t="str">
        <f>IF(OR(D188="",H188=""),"",(INDEX('G-6 Hedgerow Data'!$E$3:$I$15,MATCH(D188,'G-6 Hedgerow Data'!$B$3:$B$15,0),MATCH(H188,'G-6 Hedgerow Data'!$E$2:$I$2,0))))</f>
        <v/>
      </c>
      <c r="N188" s="195"/>
      <c r="O188" s="195"/>
      <c r="P188" s="507" t="str">
        <f t="shared" si="13"/>
        <v/>
      </c>
      <c r="Q188" s="521" t="str">
        <f t="shared" si="14"/>
        <v/>
      </c>
      <c r="R188" s="522" t="str">
        <f t="shared" si="12"/>
        <v/>
      </c>
      <c r="S188" s="537" t="str">
        <f>IF(D188="","",VLOOKUP(D188,'G-6 Hedgerow Data'!$B$3:$AG$15,31,FALSE))</f>
        <v/>
      </c>
      <c r="T188" s="507" t="str">
        <f t="shared" si="15"/>
        <v/>
      </c>
      <c r="U188" s="507" t="str">
        <f t="shared" si="16"/>
        <v/>
      </c>
      <c r="V188" s="524" t="str">
        <f>IF(D188="","",VLOOKUP(S188,'G-3 Multipliers'!$P$3:$Q$6,2,FALSE))</f>
        <v/>
      </c>
      <c r="W188" s="529" t="str">
        <f t="shared" si="17"/>
        <v/>
      </c>
      <c r="X188" s="149"/>
      <c r="Y188" s="150"/>
      <c r="AG188" s="31" t="str">
        <f>IFERROR(INDEX('G-6 Hedgerow Data'!$BJ$3:$BJ$15,MATCH(D188,'G-6 Hedgerow Data'!$B$3:$B$15,0)),"")</f>
        <v/>
      </c>
    </row>
    <row r="189" spans="2:33" ht="14" x14ac:dyDescent="0.3">
      <c r="B189" s="141">
        <v>178</v>
      </c>
      <c r="C189" s="205"/>
      <c r="D189" s="195"/>
      <c r="E189" s="172"/>
      <c r="F189" s="553" t="str">
        <f>IF(D189="","",VLOOKUP(D189,'G-6 Hedgerow Data'!$B$2:$AG$15,2,FALSE))</f>
        <v/>
      </c>
      <c r="G189" s="499" t="str">
        <f>IF(D189="","",VLOOKUP(D189,'G-6 Hedgerow Data'!$B$2:$AG$15,3,FALSE))</f>
        <v/>
      </c>
      <c r="H189" s="145"/>
      <c r="I189" s="499" t="str">
        <f>IFERROR(VLOOKUP(H189,'G-1 All Habitats'!$Z$2:$AA$9,2,FALSE),"")</f>
        <v/>
      </c>
      <c r="J189" s="145"/>
      <c r="K189" s="520" t="str">
        <f>IF(J189="","",IF(VLOOKUP(J189,'G-3 Multipliers'!$L$3:$N$6,2,FALSE)=0,"Spatial Data Missing ⚠",VLOOKUP(J189,'G-3 Multipliers'!$L$3:$N$6,2,FALSE)))</f>
        <v/>
      </c>
      <c r="L189" s="505" t="str">
        <f>IF(J189="","",IF(VLOOKUP(J189,'G-3 Multipliers'!$L$3:$N$6,3,FALSE)=0,"Spatial Data Missing ⚠",VLOOKUP(J189,'G-3 Multipliers'!$L$3:$N$6,3,FALSE)))</f>
        <v/>
      </c>
      <c r="M189" s="498" t="str">
        <f>IF(OR(D189="",H189=""),"",(INDEX('G-6 Hedgerow Data'!$E$3:$I$15,MATCH(D189,'G-6 Hedgerow Data'!$B$3:$B$15,0),MATCH(H189,'G-6 Hedgerow Data'!$E$2:$I$2,0))))</f>
        <v/>
      </c>
      <c r="N189" s="195"/>
      <c r="O189" s="195"/>
      <c r="P189" s="507" t="str">
        <f t="shared" si="13"/>
        <v/>
      </c>
      <c r="Q189" s="521" t="str">
        <f t="shared" si="14"/>
        <v/>
      </c>
      <c r="R189" s="522" t="str">
        <f t="shared" si="12"/>
        <v/>
      </c>
      <c r="S189" s="537" t="str">
        <f>IF(D189="","",VLOOKUP(D189,'G-6 Hedgerow Data'!$B$3:$AG$15,31,FALSE))</f>
        <v/>
      </c>
      <c r="T189" s="507" t="str">
        <f t="shared" si="15"/>
        <v/>
      </c>
      <c r="U189" s="507" t="str">
        <f t="shared" si="16"/>
        <v/>
      </c>
      <c r="V189" s="524" t="str">
        <f>IF(D189="","",VLOOKUP(S189,'G-3 Multipliers'!$P$3:$Q$6,2,FALSE))</f>
        <v/>
      </c>
      <c r="W189" s="529" t="str">
        <f t="shared" si="17"/>
        <v/>
      </c>
      <c r="X189" s="149"/>
      <c r="Y189" s="150"/>
      <c r="AG189" s="31" t="str">
        <f>IFERROR(INDEX('G-6 Hedgerow Data'!$BJ$3:$BJ$15,MATCH(D189,'G-6 Hedgerow Data'!$B$3:$B$15,0)),"")</f>
        <v/>
      </c>
    </row>
    <row r="190" spans="2:33" ht="14" x14ac:dyDescent="0.3">
      <c r="B190" s="141">
        <v>179</v>
      </c>
      <c r="C190" s="205"/>
      <c r="D190" s="195"/>
      <c r="E190" s="172"/>
      <c r="F190" s="553" t="str">
        <f>IF(D190="","",VLOOKUP(D190,'G-6 Hedgerow Data'!$B$2:$AG$15,2,FALSE))</f>
        <v/>
      </c>
      <c r="G190" s="499" t="str">
        <f>IF(D190="","",VLOOKUP(D190,'G-6 Hedgerow Data'!$B$2:$AG$15,3,FALSE))</f>
        <v/>
      </c>
      <c r="H190" s="145"/>
      <c r="I190" s="499" t="str">
        <f>IFERROR(VLOOKUP(H190,'G-1 All Habitats'!$Z$2:$AA$9,2,FALSE),"")</f>
        <v/>
      </c>
      <c r="J190" s="145"/>
      <c r="K190" s="520" t="str">
        <f>IF(J190="","",IF(VLOOKUP(J190,'G-3 Multipliers'!$L$3:$N$6,2,FALSE)=0,"Spatial Data Missing ⚠",VLOOKUP(J190,'G-3 Multipliers'!$L$3:$N$6,2,FALSE)))</f>
        <v/>
      </c>
      <c r="L190" s="505" t="str">
        <f>IF(J190="","",IF(VLOOKUP(J190,'G-3 Multipliers'!$L$3:$N$6,3,FALSE)=0,"Spatial Data Missing ⚠",VLOOKUP(J190,'G-3 Multipliers'!$L$3:$N$6,3,FALSE)))</f>
        <v/>
      </c>
      <c r="M190" s="498" t="str">
        <f>IF(OR(D190="",H190=""),"",(INDEX('G-6 Hedgerow Data'!$E$3:$I$15,MATCH(D190,'G-6 Hedgerow Data'!$B$3:$B$15,0),MATCH(H190,'G-6 Hedgerow Data'!$E$2:$I$2,0))))</f>
        <v/>
      </c>
      <c r="N190" s="195"/>
      <c r="O190" s="195"/>
      <c r="P190" s="507" t="str">
        <f t="shared" si="13"/>
        <v/>
      </c>
      <c r="Q190" s="521" t="str">
        <f t="shared" si="14"/>
        <v/>
      </c>
      <c r="R190" s="522" t="str">
        <f t="shared" si="12"/>
        <v/>
      </c>
      <c r="S190" s="537" t="str">
        <f>IF(D190="","",VLOOKUP(D190,'G-6 Hedgerow Data'!$B$3:$AG$15,31,FALSE))</f>
        <v/>
      </c>
      <c r="T190" s="507" t="str">
        <f t="shared" si="15"/>
        <v/>
      </c>
      <c r="U190" s="507" t="str">
        <f t="shared" si="16"/>
        <v/>
      </c>
      <c r="V190" s="524" t="str">
        <f>IF(D190="","",VLOOKUP(S190,'G-3 Multipliers'!$P$3:$Q$6,2,FALSE))</f>
        <v/>
      </c>
      <c r="W190" s="529" t="str">
        <f t="shared" si="17"/>
        <v/>
      </c>
      <c r="X190" s="149"/>
      <c r="Y190" s="150"/>
      <c r="AG190" s="31" t="str">
        <f>IFERROR(INDEX('G-6 Hedgerow Data'!$BJ$3:$BJ$15,MATCH(D190,'G-6 Hedgerow Data'!$B$3:$B$15,0)),"")</f>
        <v/>
      </c>
    </row>
    <row r="191" spans="2:33" ht="14" x14ac:dyDescent="0.3">
      <c r="B191" s="141">
        <v>180</v>
      </c>
      <c r="C191" s="205"/>
      <c r="D191" s="195"/>
      <c r="E191" s="172"/>
      <c r="F191" s="553" t="str">
        <f>IF(D191="","",VLOOKUP(D191,'G-6 Hedgerow Data'!$B$2:$AG$15,2,FALSE))</f>
        <v/>
      </c>
      <c r="G191" s="499" t="str">
        <f>IF(D191="","",VLOOKUP(D191,'G-6 Hedgerow Data'!$B$2:$AG$15,3,FALSE))</f>
        <v/>
      </c>
      <c r="H191" s="145"/>
      <c r="I191" s="499" t="str">
        <f>IFERROR(VLOOKUP(H191,'G-1 All Habitats'!$Z$2:$AA$9,2,FALSE),"")</f>
        <v/>
      </c>
      <c r="J191" s="145"/>
      <c r="K191" s="520" t="str">
        <f>IF(J191="","",IF(VLOOKUP(J191,'G-3 Multipliers'!$L$3:$N$6,2,FALSE)=0,"Spatial Data Missing ⚠",VLOOKUP(J191,'G-3 Multipliers'!$L$3:$N$6,2,FALSE)))</f>
        <v/>
      </c>
      <c r="L191" s="505" t="str">
        <f>IF(J191="","",IF(VLOOKUP(J191,'G-3 Multipliers'!$L$3:$N$6,3,FALSE)=0,"Spatial Data Missing ⚠",VLOOKUP(J191,'G-3 Multipliers'!$L$3:$N$6,3,FALSE)))</f>
        <v/>
      </c>
      <c r="M191" s="498" t="str">
        <f>IF(OR(D191="",H191=""),"",(INDEX('G-6 Hedgerow Data'!$E$3:$I$15,MATCH(D191,'G-6 Hedgerow Data'!$B$3:$B$15,0),MATCH(H191,'G-6 Hedgerow Data'!$E$2:$I$2,0))))</f>
        <v/>
      </c>
      <c r="N191" s="195"/>
      <c r="O191" s="195"/>
      <c r="P191" s="507" t="str">
        <f t="shared" si="13"/>
        <v/>
      </c>
      <c r="Q191" s="521" t="str">
        <f t="shared" si="14"/>
        <v/>
      </c>
      <c r="R191" s="522" t="str">
        <f t="shared" si="12"/>
        <v/>
      </c>
      <c r="S191" s="537" t="str">
        <f>IF(D191="","",VLOOKUP(D191,'G-6 Hedgerow Data'!$B$3:$AG$15,31,FALSE))</f>
        <v/>
      </c>
      <c r="T191" s="507" t="str">
        <f t="shared" si="15"/>
        <v/>
      </c>
      <c r="U191" s="507" t="str">
        <f t="shared" si="16"/>
        <v/>
      </c>
      <c r="V191" s="524" t="str">
        <f>IF(D191="","",VLOOKUP(S191,'G-3 Multipliers'!$P$3:$Q$6,2,FALSE))</f>
        <v/>
      </c>
      <c r="W191" s="529" t="str">
        <f t="shared" si="17"/>
        <v/>
      </c>
      <c r="X191" s="149"/>
      <c r="Y191" s="150"/>
      <c r="AG191" s="31" t="str">
        <f>IFERROR(INDEX('G-6 Hedgerow Data'!$BJ$3:$BJ$15,MATCH(D191,'G-6 Hedgerow Data'!$B$3:$B$15,0)),"")</f>
        <v/>
      </c>
    </row>
    <row r="192" spans="2:33" ht="14" x14ac:dyDescent="0.3">
      <c r="B192" s="141">
        <v>181</v>
      </c>
      <c r="C192" s="205"/>
      <c r="D192" s="195"/>
      <c r="E192" s="172"/>
      <c r="F192" s="553" t="str">
        <f>IF(D192="","",VLOOKUP(D192,'G-6 Hedgerow Data'!$B$2:$AG$15,2,FALSE))</f>
        <v/>
      </c>
      <c r="G192" s="499" t="str">
        <f>IF(D192="","",VLOOKUP(D192,'G-6 Hedgerow Data'!$B$2:$AG$15,3,FALSE))</f>
        <v/>
      </c>
      <c r="H192" s="145"/>
      <c r="I192" s="499" t="str">
        <f>IFERROR(VLOOKUP(H192,'G-1 All Habitats'!$Z$2:$AA$9,2,FALSE),"")</f>
        <v/>
      </c>
      <c r="J192" s="145"/>
      <c r="K192" s="520" t="str">
        <f>IF(J192="","",IF(VLOOKUP(J192,'G-3 Multipliers'!$L$3:$N$6,2,FALSE)=0,"Spatial Data Missing ⚠",VLOOKUP(J192,'G-3 Multipliers'!$L$3:$N$6,2,FALSE)))</f>
        <v/>
      </c>
      <c r="L192" s="505" t="str">
        <f>IF(J192="","",IF(VLOOKUP(J192,'G-3 Multipliers'!$L$3:$N$6,3,FALSE)=0,"Spatial Data Missing ⚠",VLOOKUP(J192,'G-3 Multipliers'!$L$3:$N$6,3,FALSE)))</f>
        <v/>
      </c>
      <c r="M192" s="498" t="str">
        <f>IF(OR(D192="",H192=""),"",(INDEX('G-6 Hedgerow Data'!$E$3:$I$15,MATCH(D192,'G-6 Hedgerow Data'!$B$3:$B$15,0),MATCH(H192,'G-6 Hedgerow Data'!$E$2:$I$2,0))))</f>
        <v/>
      </c>
      <c r="N192" s="195"/>
      <c r="O192" s="195"/>
      <c r="P192" s="507" t="str">
        <f t="shared" si="13"/>
        <v/>
      </c>
      <c r="Q192" s="521" t="str">
        <f t="shared" si="14"/>
        <v/>
      </c>
      <c r="R192" s="522" t="str">
        <f t="shared" si="12"/>
        <v/>
      </c>
      <c r="S192" s="537" t="str">
        <f>IF(D192="","",VLOOKUP(D192,'G-6 Hedgerow Data'!$B$3:$AG$15,31,FALSE))</f>
        <v/>
      </c>
      <c r="T192" s="507" t="str">
        <f t="shared" si="15"/>
        <v/>
      </c>
      <c r="U192" s="507" t="str">
        <f t="shared" si="16"/>
        <v/>
      </c>
      <c r="V192" s="524" t="str">
        <f>IF(D192="","",VLOOKUP(S192,'G-3 Multipliers'!$P$3:$Q$6,2,FALSE))</f>
        <v/>
      </c>
      <c r="W192" s="529" t="str">
        <f t="shared" si="17"/>
        <v/>
      </c>
      <c r="X192" s="149"/>
      <c r="Y192" s="150"/>
      <c r="AG192" s="31" t="str">
        <f>IFERROR(INDEX('G-6 Hedgerow Data'!$BJ$3:$BJ$15,MATCH(D192,'G-6 Hedgerow Data'!$B$3:$B$15,0)),"")</f>
        <v/>
      </c>
    </row>
    <row r="193" spans="2:33" ht="14" x14ac:dyDescent="0.3">
      <c r="B193" s="141">
        <v>182</v>
      </c>
      <c r="C193" s="205"/>
      <c r="D193" s="195"/>
      <c r="E193" s="172"/>
      <c r="F193" s="553" t="str">
        <f>IF(D193="","",VLOOKUP(D193,'G-6 Hedgerow Data'!$B$2:$AG$15,2,FALSE))</f>
        <v/>
      </c>
      <c r="G193" s="499" t="str">
        <f>IF(D193="","",VLOOKUP(D193,'G-6 Hedgerow Data'!$B$2:$AG$15,3,FALSE))</f>
        <v/>
      </c>
      <c r="H193" s="145"/>
      <c r="I193" s="499" t="str">
        <f>IFERROR(VLOOKUP(H193,'G-1 All Habitats'!$Z$2:$AA$9,2,FALSE),"")</f>
        <v/>
      </c>
      <c r="J193" s="145"/>
      <c r="K193" s="520" t="str">
        <f>IF(J193="","",IF(VLOOKUP(J193,'G-3 Multipliers'!$L$3:$N$6,2,FALSE)=0,"Spatial Data Missing ⚠",VLOOKUP(J193,'G-3 Multipliers'!$L$3:$N$6,2,FALSE)))</f>
        <v/>
      </c>
      <c r="L193" s="505" t="str">
        <f>IF(J193="","",IF(VLOOKUP(J193,'G-3 Multipliers'!$L$3:$N$6,3,FALSE)=0,"Spatial Data Missing ⚠",VLOOKUP(J193,'G-3 Multipliers'!$L$3:$N$6,3,FALSE)))</f>
        <v/>
      </c>
      <c r="M193" s="498" t="str">
        <f>IF(OR(D193="",H193=""),"",(INDEX('G-6 Hedgerow Data'!$E$3:$I$15,MATCH(D193,'G-6 Hedgerow Data'!$B$3:$B$15,0),MATCH(H193,'G-6 Hedgerow Data'!$E$2:$I$2,0))))</f>
        <v/>
      </c>
      <c r="N193" s="195"/>
      <c r="O193" s="195"/>
      <c r="P193" s="507" t="str">
        <f t="shared" si="13"/>
        <v/>
      </c>
      <c r="Q193" s="521" t="str">
        <f t="shared" si="14"/>
        <v/>
      </c>
      <c r="R193" s="522" t="str">
        <f t="shared" si="12"/>
        <v/>
      </c>
      <c r="S193" s="537" t="str">
        <f>IF(D193="","",VLOOKUP(D193,'G-6 Hedgerow Data'!$B$3:$AG$15,31,FALSE))</f>
        <v/>
      </c>
      <c r="T193" s="507" t="str">
        <f t="shared" si="15"/>
        <v/>
      </c>
      <c r="U193" s="507" t="str">
        <f t="shared" si="16"/>
        <v/>
      </c>
      <c r="V193" s="524" t="str">
        <f>IF(D193="","",VLOOKUP(S193,'G-3 Multipliers'!$P$3:$Q$6,2,FALSE))</f>
        <v/>
      </c>
      <c r="W193" s="529" t="str">
        <f t="shared" si="17"/>
        <v/>
      </c>
      <c r="X193" s="149"/>
      <c r="Y193" s="150"/>
      <c r="AG193" s="31" t="str">
        <f>IFERROR(INDEX('G-6 Hedgerow Data'!$BJ$3:$BJ$15,MATCH(D193,'G-6 Hedgerow Data'!$B$3:$B$15,0)),"")</f>
        <v/>
      </c>
    </row>
    <row r="194" spans="2:33" ht="14" x14ac:dyDescent="0.3">
      <c r="B194" s="141">
        <v>183</v>
      </c>
      <c r="C194" s="205"/>
      <c r="D194" s="195"/>
      <c r="E194" s="172"/>
      <c r="F194" s="553" t="str">
        <f>IF(D194="","",VLOOKUP(D194,'G-6 Hedgerow Data'!$B$2:$AG$15,2,FALSE))</f>
        <v/>
      </c>
      <c r="G194" s="499" t="str">
        <f>IF(D194="","",VLOOKUP(D194,'G-6 Hedgerow Data'!$B$2:$AG$15,3,FALSE))</f>
        <v/>
      </c>
      <c r="H194" s="145"/>
      <c r="I194" s="499" t="str">
        <f>IFERROR(VLOOKUP(H194,'G-1 All Habitats'!$Z$2:$AA$9,2,FALSE),"")</f>
        <v/>
      </c>
      <c r="J194" s="145"/>
      <c r="K194" s="520" t="str">
        <f>IF(J194="","",IF(VLOOKUP(J194,'G-3 Multipliers'!$L$3:$N$6,2,FALSE)=0,"Spatial Data Missing ⚠",VLOOKUP(J194,'G-3 Multipliers'!$L$3:$N$6,2,FALSE)))</f>
        <v/>
      </c>
      <c r="L194" s="505" t="str">
        <f>IF(J194="","",IF(VLOOKUP(J194,'G-3 Multipliers'!$L$3:$N$6,3,FALSE)=0,"Spatial Data Missing ⚠",VLOOKUP(J194,'G-3 Multipliers'!$L$3:$N$6,3,FALSE)))</f>
        <v/>
      </c>
      <c r="M194" s="498" t="str">
        <f>IF(OR(D194="",H194=""),"",(INDEX('G-6 Hedgerow Data'!$E$3:$I$15,MATCH(D194,'G-6 Hedgerow Data'!$B$3:$B$15,0),MATCH(H194,'G-6 Hedgerow Data'!$E$2:$I$2,0))))</f>
        <v/>
      </c>
      <c r="N194" s="195"/>
      <c r="O194" s="195"/>
      <c r="P194" s="507" t="str">
        <f t="shared" si="13"/>
        <v/>
      </c>
      <c r="Q194" s="521" t="str">
        <f t="shared" si="14"/>
        <v/>
      </c>
      <c r="R194" s="522" t="str">
        <f t="shared" si="12"/>
        <v/>
      </c>
      <c r="S194" s="537" t="str">
        <f>IF(D194="","",VLOOKUP(D194,'G-6 Hedgerow Data'!$B$3:$AG$15,31,FALSE))</f>
        <v/>
      </c>
      <c r="T194" s="507" t="str">
        <f t="shared" si="15"/>
        <v/>
      </c>
      <c r="U194" s="507" t="str">
        <f t="shared" si="16"/>
        <v/>
      </c>
      <c r="V194" s="524" t="str">
        <f>IF(D194="","",VLOOKUP(S194,'G-3 Multipliers'!$P$3:$Q$6,2,FALSE))</f>
        <v/>
      </c>
      <c r="W194" s="529" t="str">
        <f t="shared" si="17"/>
        <v/>
      </c>
      <c r="X194" s="149"/>
      <c r="Y194" s="150"/>
      <c r="AG194" s="31" t="str">
        <f>IFERROR(INDEX('G-6 Hedgerow Data'!$BJ$3:$BJ$15,MATCH(D194,'G-6 Hedgerow Data'!$B$3:$B$15,0)),"")</f>
        <v/>
      </c>
    </row>
    <row r="195" spans="2:33" ht="14" x14ac:dyDescent="0.3">
      <c r="B195" s="141">
        <v>184</v>
      </c>
      <c r="C195" s="205"/>
      <c r="D195" s="195"/>
      <c r="E195" s="172"/>
      <c r="F195" s="553" t="str">
        <f>IF(D195="","",VLOOKUP(D195,'G-6 Hedgerow Data'!$B$2:$AG$15,2,FALSE))</f>
        <v/>
      </c>
      <c r="G195" s="499" t="str">
        <f>IF(D195="","",VLOOKUP(D195,'G-6 Hedgerow Data'!$B$2:$AG$15,3,FALSE))</f>
        <v/>
      </c>
      <c r="H195" s="145"/>
      <c r="I195" s="499" t="str">
        <f>IFERROR(VLOOKUP(H195,'G-1 All Habitats'!$Z$2:$AA$9,2,FALSE),"")</f>
        <v/>
      </c>
      <c r="J195" s="145"/>
      <c r="K195" s="520" t="str">
        <f>IF(J195="","",IF(VLOOKUP(J195,'G-3 Multipliers'!$L$3:$N$6,2,FALSE)=0,"Spatial Data Missing ⚠",VLOOKUP(J195,'G-3 Multipliers'!$L$3:$N$6,2,FALSE)))</f>
        <v/>
      </c>
      <c r="L195" s="505" t="str">
        <f>IF(J195="","",IF(VLOOKUP(J195,'G-3 Multipliers'!$L$3:$N$6,3,FALSE)=0,"Spatial Data Missing ⚠",VLOOKUP(J195,'G-3 Multipliers'!$L$3:$N$6,3,FALSE)))</f>
        <v/>
      </c>
      <c r="M195" s="498" t="str">
        <f>IF(OR(D195="",H195=""),"",(INDEX('G-6 Hedgerow Data'!$E$3:$I$15,MATCH(D195,'G-6 Hedgerow Data'!$B$3:$B$15,0),MATCH(H195,'G-6 Hedgerow Data'!$E$2:$I$2,0))))</f>
        <v/>
      </c>
      <c r="N195" s="195"/>
      <c r="O195" s="195"/>
      <c r="P195" s="507" t="str">
        <f t="shared" si="13"/>
        <v/>
      </c>
      <c r="Q195" s="521" t="str">
        <f t="shared" si="14"/>
        <v/>
      </c>
      <c r="R195" s="522" t="str">
        <f t="shared" si="12"/>
        <v/>
      </c>
      <c r="S195" s="537" t="str">
        <f>IF(D195="","",VLOOKUP(D195,'G-6 Hedgerow Data'!$B$3:$AG$15,31,FALSE))</f>
        <v/>
      </c>
      <c r="T195" s="507" t="str">
        <f t="shared" si="15"/>
        <v/>
      </c>
      <c r="U195" s="507" t="str">
        <f t="shared" si="16"/>
        <v/>
      </c>
      <c r="V195" s="524" t="str">
        <f>IF(D195="","",VLOOKUP(S195,'G-3 Multipliers'!$P$3:$Q$6,2,FALSE))</f>
        <v/>
      </c>
      <c r="W195" s="529" t="str">
        <f t="shared" si="17"/>
        <v/>
      </c>
      <c r="X195" s="149"/>
      <c r="Y195" s="150"/>
      <c r="AG195" s="31" t="str">
        <f>IFERROR(INDEX('G-6 Hedgerow Data'!$BJ$3:$BJ$15,MATCH(D195,'G-6 Hedgerow Data'!$B$3:$B$15,0)),"")</f>
        <v/>
      </c>
    </row>
    <row r="196" spans="2:33" ht="14" x14ac:dyDescent="0.3">
      <c r="B196" s="141">
        <v>185</v>
      </c>
      <c r="C196" s="205"/>
      <c r="D196" s="195"/>
      <c r="E196" s="172"/>
      <c r="F196" s="553" t="str">
        <f>IF(D196="","",VLOOKUP(D196,'G-6 Hedgerow Data'!$B$2:$AG$15,2,FALSE))</f>
        <v/>
      </c>
      <c r="G196" s="499" t="str">
        <f>IF(D196="","",VLOOKUP(D196,'G-6 Hedgerow Data'!$B$2:$AG$15,3,FALSE))</f>
        <v/>
      </c>
      <c r="H196" s="145"/>
      <c r="I196" s="499" t="str">
        <f>IFERROR(VLOOKUP(H196,'G-1 All Habitats'!$Z$2:$AA$9,2,FALSE),"")</f>
        <v/>
      </c>
      <c r="J196" s="145"/>
      <c r="K196" s="520" t="str">
        <f>IF(J196="","",IF(VLOOKUP(J196,'G-3 Multipliers'!$L$3:$N$6,2,FALSE)=0,"Spatial Data Missing ⚠",VLOOKUP(J196,'G-3 Multipliers'!$L$3:$N$6,2,FALSE)))</f>
        <v/>
      </c>
      <c r="L196" s="505" t="str">
        <f>IF(J196="","",IF(VLOOKUP(J196,'G-3 Multipliers'!$L$3:$N$6,3,FALSE)=0,"Spatial Data Missing ⚠",VLOOKUP(J196,'G-3 Multipliers'!$L$3:$N$6,3,FALSE)))</f>
        <v/>
      </c>
      <c r="M196" s="498" t="str">
        <f>IF(OR(D196="",H196=""),"",(INDEX('G-6 Hedgerow Data'!$E$3:$I$15,MATCH(D196,'G-6 Hedgerow Data'!$B$3:$B$15,0),MATCH(H196,'G-6 Hedgerow Data'!$E$2:$I$2,0))))</f>
        <v/>
      </c>
      <c r="N196" s="195"/>
      <c r="O196" s="195"/>
      <c r="P196" s="507" t="str">
        <f t="shared" si="13"/>
        <v/>
      </c>
      <c r="Q196" s="521" t="str">
        <f t="shared" si="14"/>
        <v/>
      </c>
      <c r="R196" s="522" t="str">
        <f t="shared" si="12"/>
        <v/>
      </c>
      <c r="S196" s="537" t="str">
        <f>IF(D196="","",VLOOKUP(D196,'G-6 Hedgerow Data'!$B$3:$AG$15,31,FALSE))</f>
        <v/>
      </c>
      <c r="T196" s="507" t="str">
        <f t="shared" si="15"/>
        <v/>
      </c>
      <c r="U196" s="507" t="str">
        <f t="shared" si="16"/>
        <v/>
      </c>
      <c r="V196" s="524" t="str">
        <f>IF(D196="","",VLOOKUP(S196,'G-3 Multipliers'!$P$3:$Q$6,2,FALSE))</f>
        <v/>
      </c>
      <c r="W196" s="529" t="str">
        <f t="shared" si="17"/>
        <v/>
      </c>
      <c r="X196" s="149"/>
      <c r="Y196" s="150"/>
      <c r="AG196" s="31" t="str">
        <f>IFERROR(INDEX('G-6 Hedgerow Data'!$BJ$3:$BJ$15,MATCH(D196,'G-6 Hedgerow Data'!$B$3:$B$15,0)),"")</f>
        <v/>
      </c>
    </row>
    <row r="197" spans="2:33" ht="14" x14ac:dyDescent="0.3">
      <c r="B197" s="141">
        <v>186</v>
      </c>
      <c r="C197" s="205"/>
      <c r="D197" s="195"/>
      <c r="E197" s="172"/>
      <c r="F197" s="553" t="str">
        <f>IF(D197="","",VLOOKUP(D197,'G-6 Hedgerow Data'!$B$2:$AG$15,2,FALSE))</f>
        <v/>
      </c>
      <c r="G197" s="499" t="str">
        <f>IF(D197="","",VLOOKUP(D197,'G-6 Hedgerow Data'!$B$2:$AG$15,3,FALSE))</f>
        <v/>
      </c>
      <c r="H197" s="145"/>
      <c r="I197" s="499" t="str">
        <f>IFERROR(VLOOKUP(H197,'G-1 All Habitats'!$Z$2:$AA$9,2,FALSE),"")</f>
        <v/>
      </c>
      <c r="J197" s="145"/>
      <c r="K197" s="520" t="str">
        <f>IF(J197="","",IF(VLOOKUP(J197,'G-3 Multipliers'!$L$3:$N$6,2,FALSE)=0,"Spatial Data Missing ⚠",VLOOKUP(J197,'G-3 Multipliers'!$L$3:$N$6,2,FALSE)))</f>
        <v/>
      </c>
      <c r="L197" s="505" t="str">
        <f>IF(J197="","",IF(VLOOKUP(J197,'G-3 Multipliers'!$L$3:$N$6,3,FALSE)=0,"Spatial Data Missing ⚠",VLOOKUP(J197,'G-3 Multipliers'!$L$3:$N$6,3,FALSE)))</f>
        <v/>
      </c>
      <c r="M197" s="498" t="str">
        <f>IF(OR(D197="",H197=""),"",(INDEX('G-6 Hedgerow Data'!$E$3:$I$15,MATCH(D197,'G-6 Hedgerow Data'!$B$3:$B$15,0),MATCH(H197,'G-6 Hedgerow Data'!$E$2:$I$2,0))))</f>
        <v/>
      </c>
      <c r="N197" s="195"/>
      <c r="O197" s="195"/>
      <c r="P197" s="507" t="str">
        <f t="shared" si="13"/>
        <v/>
      </c>
      <c r="Q197" s="521" t="str">
        <f t="shared" si="14"/>
        <v/>
      </c>
      <c r="R197" s="522" t="str">
        <f t="shared" si="12"/>
        <v/>
      </c>
      <c r="S197" s="537" t="str">
        <f>IF(D197="","",VLOOKUP(D197,'G-6 Hedgerow Data'!$B$3:$AG$15,31,FALSE))</f>
        <v/>
      </c>
      <c r="T197" s="507" t="str">
        <f t="shared" si="15"/>
        <v/>
      </c>
      <c r="U197" s="507" t="str">
        <f t="shared" si="16"/>
        <v/>
      </c>
      <c r="V197" s="524" t="str">
        <f>IF(D197="","",VLOOKUP(S197,'G-3 Multipliers'!$P$3:$Q$6,2,FALSE))</f>
        <v/>
      </c>
      <c r="W197" s="529" t="str">
        <f t="shared" si="17"/>
        <v/>
      </c>
      <c r="X197" s="149"/>
      <c r="Y197" s="150"/>
      <c r="AG197" s="31" t="str">
        <f>IFERROR(INDEX('G-6 Hedgerow Data'!$BJ$3:$BJ$15,MATCH(D197,'G-6 Hedgerow Data'!$B$3:$B$15,0)),"")</f>
        <v/>
      </c>
    </row>
    <row r="198" spans="2:33" ht="14" x14ac:dyDescent="0.3">
      <c r="B198" s="141">
        <v>187</v>
      </c>
      <c r="C198" s="205"/>
      <c r="D198" s="195"/>
      <c r="E198" s="172"/>
      <c r="F198" s="553" t="str">
        <f>IF(D198="","",VLOOKUP(D198,'G-6 Hedgerow Data'!$B$2:$AG$15,2,FALSE))</f>
        <v/>
      </c>
      <c r="G198" s="499" t="str">
        <f>IF(D198="","",VLOOKUP(D198,'G-6 Hedgerow Data'!$B$2:$AG$15,3,FALSE))</f>
        <v/>
      </c>
      <c r="H198" s="145"/>
      <c r="I198" s="499" t="str">
        <f>IFERROR(VLOOKUP(H198,'G-1 All Habitats'!$Z$2:$AA$9,2,FALSE),"")</f>
        <v/>
      </c>
      <c r="J198" s="145"/>
      <c r="K198" s="520" t="str">
        <f>IF(J198="","",IF(VLOOKUP(J198,'G-3 Multipliers'!$L$3:$N$6,2,FALSE)=0,"Spatial Data Missing ⚠",VLOOKUP(J198,'G-3 Multipliers'!$L$3:$N$6,2,FALSE)))</f>
        <v/>
      </c>
      <c r="L198" s="505" t="str">
        <f>IF(J198="","",IF(VLOOKUP(J198,'G-3 Multipliers'!$L$3:$N$6,3,FALSE)=0,"Spatial Data Missing ⚠",VLOOKUP(J198,'G-3 Multipliers'!$L$3:$N$6,3,FALSE)))</f>
        <v/>
      </c>
      <c r="M198" s="498" t="str">
        <f>IF(OR(D198="",H198=""),"",(INDEX('G-6 Hedgerow Data'!$E$3:$I$15,MATCH(D198,'G-6 Hedgerow Data'!$B$3:$B$15,0),MATCH(H198,'G-6 Hedgerow Data'!$E$2:$I$2,0))))</f>
        <v/>
      </c>
      <c r="N198" s="195"/>
      <c r="O198" s="195"/>
      <c r="P198" s="507" t="str">
        <f t="shared" si="13"/>
        <v/>
      </c>
      <c r="Q198" s="521" t="str">
        <f t="shared" si="14"/>
        <v/>
      </c>
      <c r="R198" s="522" t="str">
        <f t="shared" si="12"/>
        <v/>
      </c>
      <c r="S198" s="537" t="str">
        <f>IF(D198="","",VLOOKUP(D198,'G-6 Hedgerow Data'!$B$3:$AG$15,31,FALSE))</f>
        <v/>
      </c>
      <c r="T198" s="507" t="str">
        <f t="shared" si="15"/>
        <v/>
      </c>
      <c r="U198" s="507" t="str">
        <f t="shared" si="16"/>
        <v/>
      </c>
      <c r="V198" s="524" t="str">
        <f>IF(D198="","",VLOOKUP(S198,'G-3 Multipliers'!$P$3:$Q$6,2,FALSE))</f>
        <v/>
      </c>
      <c r="W198" s="529" t="str">
        <f t="shared" si="17"/>
        <v/>
      </c>
      <c r="X198" s="149"/>
      <c r="Y198" s="150"/>
      <c r="AG198" s="31" t="str">
        <f>IFERROR(INDEX('G-6 Hedgerow Data'!$BJ$3:$BJ$15,MATCH(D198,'G-6 Hedgerow Data'!$B$3:$B$15,0)),"")</f>
        <v/>
      </c>
    </row>
    <row r="199" spans="2:33" ht="14" x14ac:dyDescent="0.3">
      <c r="B199" s="141">
        <v>188</v>
      </c>
      <c r="C199" s="205"/>
      <c r="D199" s="195"/>
      <c r="E199" s="172"/>
      <c r="F199" s="553" t="str">
        <f>IF(D199="","",VLOOKUP(D199,'G-6 Hedgerow Data'!$B$2:$AG$15,2,FALSE))</f>
        <v/>
      </c>
      <c r="G199" s="499" t="str">
        <f>IF(D199="","",VLOOKUP(D199,'G-6 Hedgerow Data'!$B$2:$AG$15,3,FALSE))</f>
        <v/>
      </c>
      <c r="H199" s="145"/>
      <c r="I199" s="499" t="str">
        <f>IFERROR(VLOOKUP(H199,'G-1 All Habitats'!$Z$2:$AA$9,2,FALSE),"")</f>
        <v/>
      </c>
      <c r="J199" s="145"/>
      <c r="K199" s="520" t="str">
        <f>IF(J199="","",IF(VLOOKUP(J199,'G-3 Multipliers'!$L$3:$N$6,2,FALSE)=0,"Spatial Data Missing ⚠",VLOOKUP(J199,'G-3 Multipliers'!$L$3:$N$6,2,FALSE)))</f>
        <v/>
      </c>
      <c r="L199" s="505" t="str">
        <f>IF(J199="","",IF(VLOOKUP(J199,'G-3 Multipliers'!$L$3:$N$6,3,FALSE)=0,"Spatial Data Missing ⚠",VLOOKUP(J199,'G-3 Multipliers'!$L$3:$N$6,3,FALSE)))</f>
        <v/>
      </c>
      <c r="M199" s="498" t="str">
        <f>IF(OR(D199="",H199=""),"",(INDEX('G-6 Hedgerow Data'!$E$3:$I$15,MATCH(D199,'G-6 Hedgerow Data'!$B$3:$B$15,0),MATCH(H199,'G-6 Hedgerow Data'!$E$2:$I$2,0))))</f>
        <v/>
      </c>
      <c r="N199" s="195"/>
      <c r="O199" s="195"/>
      <c r="P199" s="507" t="str">
        <f t="shared" si="13"/>
        <v/>
      </c>
      <c r="Q199" s="521" t="str">
        <f t="shared" si="14"/>
        <v/>
      </c>
      <c r="R199" s="522" t="str">
        <f t="shared" si="12"/>
        <v/>
      </c>
      <c r="S199" s="537" t="str">
        <f>IF(D199="","",VLOOKUP(D199,'G-6 Hedgerow Data'!$B$3:$AG$15,31,FALSE))</f>
        <v/>
      </c>
      <c r="T199" s="507" t="str">
        <f t="shared" si="15"/>
        <v/>
      </c>
      <c r="U199" s="507" t="str">
        <f t="shared" si="16"/>
        <v/>
      </c>
      <c r="V199" s="524" t="str">
        <f>IF(D199="","",VLOOKUP(S199,'G-3 Multipliers'!$P$3:$Q$6,2,FALSE))</f>
        <v/>
      </c>
      <c r="W199" s="529" t="str">
        <f t="shared" si="17"/>
        <v/>
      </c>
      <c r="X199" s="149"/>
      <c r="Y199" s="150"/>
      <c r="AG199" s="31" t="str">
        <f>IFERROR(INDEX('G-6 Hedgerow Data'!$BJ$3:$BJ$15,MATCH(D199,'G-6 Hedgerow Data'!$B$3:$B$15,0)),"")</f>
        <v/>
      </c>
    </row>
    <row r="200" spans="2:33" ht="14" x14ac:dyDescent="0.3">
      <c r="B200" s="141">
        <v>189</v>
      </c>
      <c r="C200" s="205"/>
      <c r="D200" s="195"/>
      <c r="E200" s="172"/>
      <c r="F200" s="553" t="str">
        <f>IF(D200="","",VLOOKUP(D200,'G-6 Hedgerow Data'!$B$2:$AG$15,2,FALSE))</f>
        <v/>
      </c>
      <c r="G200" s="499" t="str">
        <f>IF(D200="","",VLOOKUP(D200,'G-6 Hedgerow Data'!$B$2:$AG$15,3,FALSE))</f>
        <v/>
      </c>
      <c r="H200" s="145"/>
      <c r="I200" s="499" t="str">
        <f>IFERROR(VLOOKUP(H200,'G-1 All Habitats'!$Z$2:$AA$9,2,FALSE),"")</f>
        <v/>
      </c>
      <c r="J200" s="145"/>
      <c r="K200" s="520" t="str">
        <f>IF(J200="","",IF(VLOOKUP(J200,'G-3 Multipliers'!$L$3:$N$6,2,FALSE)=0,"Spatial Data Missing ⚠",VLOOKUP(J200,'G-3 Multipliers'!$L$3:$N$6,2,FALSE)))</f>
        <v/>
      </c>
      <c r="L200" s="505" t="str">
        <f>IF(J200="","",IF(VLOOKUP(J200,'G-3 Multipliers'!$L$3:$N$6,3,FALSE)=0,"Spatial Data Missing ⚠",VLOOKUP(J200,'G-3 Multipliers'!$L$3:$N$6,3,FALSE)))</f>
        <v/>
      </c>
      <c r="M200" s="498" t="str">
        <f>IF(OR(D200="",H200=""),"",(INDEX('G-6 Hedgerow Data'!$E$3:$I$15,MATCH(D200,'G-6 Hedgerow Data'!$B$3:$B$15,0),MATCH(H200,'G-6 Hedgerow Data'!$E$2:$I$2,0))))</f>
        <v/>
      </c>
      <c r="N200" s="195"/>
      <c r="O200" s="195"/>
      <c r="P200" s="507" t="str">
        <f t="shared" si="13"/>
        <v/>
      </c>
      <c r="Q200" s="521" t="str">
        <f t="shared" si="14"/>
        <v/>
      </c>
      <c r="R200" s="522" t="str">
        <f t="shared" si="12"/>
        <v/>
      </c>
      <c r="S200" s="537" t="str">
        <f>IF(D200="","",VLOOKUP(D200,'G-6 Hedgerow Data'!$B$3:$AG$15,31,FALSE))</f>
        <v/>
      </c>
      <c r="T200" s="507" t="str">
        <f t="shared" si="15"/>
        <v/>
      </c>
      <c r="U200" s="507" t="str">
        <f t="shared" si="16"/>
        <v/>
      </c>
      <c r="V200" s="524" t="str">
        <f>IF(D200="","",VLOOKUP(S200,'G-3 Multipliers'!$P$3:$Q$6,2,FALSE))</f>
        <v/>
      </c>
      <c r="W200" s="529" t="str">
        <f t="shared" si="17"/>
        <v/>
      </c>
      <c r="X200" s="149"/>
      <c r="Y200" s="150"/>
      <c r="AG200" s="31" t="str">
        <f>IFERROR(INDEX('G-6 Hedgerow Data'!$BJ$3:$BJ$15,MATCH(D200,'G-6 Hedgerow Data'!$B$3:$B$15,0)),"")</f>
        <v/>
      </c>
    </row>
    <row r="201" spans="2:33" ht="14" x14ac:dyDescent="0.3">
      <c r="B201" s="141">
        <v>190</v>
      </c>
      <c r="C201" s="205"/>
      <c r="D201" s="195"/>
      <c r="E201" s="172"/>
      <c r="F201" s="553" t="str">
        <f>IF(D201="","",VLOOKUP(D201,'G-6 Hedgerow Data'!$B$2:$AG$15,2,FALSE))</f>
        <v/>
      </c>
      <c r="G201" s="499" t="str">
        <f>IF(D201="","",VLOOKUP(D201,'G-6 Hedgerow Data'!$B$2:$AG$15,3,FALSE))</f>
        <v/>
      </c>
      <c r="H201" s="145"/>
      <c r="I201" s="499" t="str">
        <f>IFERROR(VLOOKUP(H201,'G-1 All Habitats'!$Z$2:$AA$9,2,FALSE),"")</f>
        <v/>
      </c>
      <c r="J201" s="145"/>
      <c r="K201" s="520" t="str">
        <f>IF(J201="","",IF(VLOOKUP(J201,'G-3 Multipliers'!$L$3:$N$6,2,FALSE)=0,"Spatial Data Missing ⚠",VLOOKUP(J201,'G-3 Multipliers'!$L$3:$N$6,2,FALSE)))</f>
        <v/>
      </c>
      <c r="L201" s="505" t="str">
        <f>IF(J201="","",IF(VLOOKUP(J201,'G-3 Multipliers'!$L$3:$N$6,3,FALSE)=0,"Spatial Data Missing ⚠",VLOOKUP(J201,'G-3 Multipliers'!$L$3:$N$6,3,FALSE)))</f>
        <v/>
      </c>
      <c r="M201" s="498" t="str">
        <f>IF(OR(D201="",H201=""),"",(INDEX('G-6 Hedgerow Data'!$E$3:$I$15,MATCH(D201,'G-6 Hedgerow Data'!$B$3:$B$15,0),MATCH(H201,'G-6 Hedgerow Data'!$E$2:$I$2,0))))</f>
        <v/>
      </c>
      <c r="N201" s="195"/>
      <c r="O201" s="195"/>
      <c r="P201" s="507" t="str">
        <f t="shared" si="13"/>
        <v/>
      </c>
      <c r="Q201" s="521" t="str">
        <f t="shared" si="14"/>
        <v/>
      </c>
      <c r="R201" s="522" t="str">
        <f t="shared" si="12"/>
        <v/>
      </c>
      <c r="S201" s="537" t="str">
        <f>IF(D201="","",VLOOKUP(D201,'G-6 Hedgerow Data'!$B$3:$AG$15,31,FALSE))</f>
        <v/>
      </c>
      <c r="T201" s="507" t="str">
        <f t="shared" si="15"/>
        <v/>
      </c>
      <c r="U201" s="507" t="str">
        <f t="shared" si="16"/>
        <v/>
      </c>
      <c r="V201" s="524" t="str">
        <f>IF(D201="","",VLOOKUP(S201,'G-3 Multipliers'!$P$3:$Q$6,2,FALSE))</f>
        <v/>
      </c>
      <c r="W201" s="529" t="str">
        <f t="shared" si="17"/>
        <v/>
      </c>
      <c r="X201" s="149"/>
      <c r="Y201" s="150"/>
      <c r="AG201" s="31" t="str">
        <f>IFERROR(INDEX('G-6 Hedgerow Data'!$BJ$3:$BJ$15,MATCH(D201,'G-6 Hedgerow Data'!$B$3:$B$15,0)),"")</f>
        <v/>
      </c>
    </row>
    <row r="202" spans="2:33" ht="14" x14ac:dyDescent="0.3">
      <c r="B202" s="141">
        <v>191</v>
      </c>
      <c r="C202" s="205"/>
      <c r="D202" s="195"/>
      <c r="E202" s="172"/>
      <c r="F202" s="553" t="str">
        <f>IF(D202="","",VLOOKUP(D202,'G-6 Hedgerow Data'!$B$2:$AG$15,2,FALSE))</f>
        <v/>
      </c>
      <c r="G202" s="499" t="str">
        <f>IF(D202="","",VLOOKUP(D202,'G-6 Hedgerow Data'!$B$2:$AG$15,3,FALSE))</f>
        <v/>
      </c>
      <c r="H202" s="145"/>
      <c r="I202" s="499" t="str">
        <f>IFERROR(VLOOKUP(H202,'G-1 All Habitats'!$Z$2:$AA$9,2,FALSE),"")</f>
        <v/>
      </c>
      <c r="J202" s="145"/>
      <c r="K202" s="520" t="str">
        <f>IF(J202="","",IF(VLOOKUP(J202,'G-3 Multipliers'!$L$3:$N$6,2,FALSE)=0,"Spatial Data Missing ⚠",VLOOKUP(J202,'G-3 Multipliers'!$L$3:$N$6,2,FALSE)))</f>
        <v/>
      </c>
      <c r="L202" s="505" t="str">
        <f>IF(J202="","",IF(VLOOKUP(J202,'G-3 Multipliers'!$L$3:$N$6,3,FALSE)=0,"Spatial Data Missing ⚠",VLOOKUP(J202,'G-3 Multipliers'!$L$3:$N$6,3,FALSE)))</f>
        <v/>
      </c>
      <c r="M202" s="498" t="str">
        <f>IF(OR(D202="",H202=""),"",(INDEX('G-6 Hedgerow Data'!$E$3:$I$15,MATCH(D202,'G-6 Hedgerow Data'!$B$3:$B$15,0),MATCH(H202,'G-6 Hedgerow Data'!$E$2:$I$2,0))))</f>
        <v/>
      </c>
      <c r="N202" s="195"/>
      <c r="O202" s="195"/>
      <c r="P202" s="507" t="str">
        <f t="shared" si="13"/>
        <v/>
      </c>
      <c r="Q202" s="521" t="str">
        <f t="shared" si="14"/>
        <v/>
      </c>
      <c r="R202" s="522" t="str">
        <f t="shared" si="12"/>
        <v/>
      </c>
      <c r="S202" s="537" t="str">
        <f>IF(D202="","",VLOOKUP(D202,'G-6 Hedgerow Data'!$B$3:$AG$15,31,FALSE))</f>
        <v/>
      </c>
      <c r="T202" s="507" t="str">
        <f t="shared" si="15"/>
        <v/>
      </c>
      <c r="U202" s="507" t="str">
        <f t="shared" si="16"/>
        <v/>
      </c>
      <c r="V202" s="524" t="str">
        <f>IF(D202="","",VLOOKUP(S202,'G-3 Multipliers'!$P$3:$Q$6,2,FALSE))</f>
        <v/>
      </c>
      <c r="W202" s="529" t="str">
        <f t="shared" si="17"/>
        <v/>
      </c>
      <c r="X202" s="149"/>
      <c r="Y202" s="150"/>
      <c r="AG202" s="31" t="str">
        <f>IFERROR(INDEX('G-6 Hedgerow Data'!$BJ$3:$BJ$15,MATCH(D202,'G-6 Hedgerow Data'!$B$3:$B$15,0)),"")</f>
        <v/>
      </c>
    </row>
    <row r="203" spans="2:33" ht="14" x14ac:dyDescent="0.3">
      <c r="B203" s="141">
        <v>192</v>
      </c>
      <c r="C203" s="205"/>
      <c r="D203" s="195"/>
      <c r="E203" s="172"/>
      <c r="F203" s="553" t="str">
        <f>IF(D203="","",VLOOKUP(D203,'G-6 Hedgerow Data'!$B$2:$AG$15,2,FALSE))</f>
        <v/>
      </c>
      <c r="G203" s="499" t="str">
        <f>IF(D203="","",VLOOKUP(D203,'G-6 Hedgerow Data'!$B$2:$AG$15,3,FALSE))</f>
        <v/>
      </c>
      <c r="H203" s="145"/>
      <c r="I203" s="499" t="str">
        <f>IFERROR(VLOOKUP(H203,'G-1 All Habitats'!$Z$2:$AA$9,2,FALSE),"")</f>
        <v/>
      </c>
      <c r="J203" s="145"/>
      <c r="K203" s="520" t="str">
        <f>IF(J203="","",IF(VLOOKUP(J203,'G-3 Multipliers'!$L$3:$N$6,2,FALSE)=0,"Spatial Data Missing ⚠",VLOOKUP(J203,'G-3 Multipliers'!$L$3:$N$6,2,FALSE)))</f>
        <v/>
      </c>
      <c r="L203" s="505" t="str">
        <f>IF(J203="","",IF(VLOOKUP(J203,'G-3 Multipliers'!$L$3:$N$6,3,FALSE)=0,"Spatial Data Missing ⚠",VLOOKUP(J203,'G-3 Multipliers'!$L$3:$N$6,3,FALSE)))</f>
        <v/>
      </c>
      <c r="M203" s="498" t="str">
        <f>IF(OR(D203="",H203=""),"",(INDEX('G-6 Hedgerow Data'!$E$3:$I$15,MATCH(D203,'G-6 Hedgerow Data'!$B$3:$B$15,0),MATCH(H203,'G-6 Hedgerow Data'!$E$2:$I$2,0))))</f>
        <v/>
      </c>
      <c r="N203" s="195"/>
      <c r="O203" s="195"/>
      <c r="P203" s="507" t="str">
        <f t="shared" si="13"/>
        <v/>
      </c>
      <c r="Q203" s="521" t="str">
        <f t="shared" si="14"/>
        <v/>
      </c>
      <c r="R203" s="522" t="str">
        <f t="shared" si="12"/>
        <v/>
      </c>
      <c r="S203" s="537" t="str">
        <f>IF(D203="","",VLOOKUP(D203,'G-6 Hedgerow Data'!$B$3:$AG$15,31,FALSE))</f>
        <v/>
      </c>
      <c r="T203" s="507" t="str">
        <f t="shared" si="15"/>
        <v/>
      </c>
      <c r="U203" s="507" t="str">
        <f t="shared" si="16"/>
        <v/>
      </c>
      <c r="V203" s="524" t="str">
        <f>IF(D203="","",VLOOKUP(S203,'G-3 Multipliers'!$P$3:$Q$6,2,FALSE))</f>
        <v/>
      </c>
      <c r="W203" s="529" t="str">
        <f t="shared" si="17"/>
        <v/>
      </c>
      <c r="X203" s="149"/>
      <c r="Y203" s="150"/>
      <c r="AG203" s="31" t="str">
        <f>IFERROR(INDEX('G-6 Hedgerow Data'!$BJ$3:$BJ$15,MATCH(D203,'G-6 Hedgerow Data'!$B$3:$B$15,0)),"")</f>
        <v/>
      </c>
    </row>
    <row r="204" spans="2:33" ht="14" x14ac:dyDescent="0.3">
      <c r="B204" s="141">
        <v>193</v>
      </c>
      <c r="C204" s="205"/>
      <c r="D204" s="195"/>
      <c r="E204" s="172"/>
      <c r="F204" s="553" t="str">
        <f>IF(D204="","",VLOOKUP(D204,'G-6 Hedgerow Data'!$B$2:$AG$15,2,FALSE))</f>
        <v/>
      </c>
      <c r="G204" s="499" t="str">
        <f>IF(D204="","",VLOOKUP(D204,'G-6 Hedgerow Data'!$B$2:$AG$15,3,FALSE))</f>
        <v/>
      </c>
      <c r="H204" s="145"/>
      <c r="I204" s="499" t="str">
        <f>IFERROR(VLOOKUP(H204,'G-1 All Habitats'!$Z$2:$AA$9,2,FALSE),"")</f>
        <v/>
      </c>
      <c r="J204" s="145"/>
      <c r="K204" s="520" t="str">
        <f>IF(J204="","",IF(VLOOKUP(J204,'G-3 Multipliers'!$L$3:$N$6,2,FALSE)=0,"Spatial Data Missing ⚠",VLOOKUP(J204,'G-3 Multipliers'!$L$3:$N$6,2,FALSE)))</f>
        <v/>
      </c>
      <c r="L204" s="505" t="str">
        <f>IF(J204="","",IF(VLOOKUP(J204,'G-3 Multipliers'!$L$3:$N$6,3,FALSE)=0,"Spatial Data Missing ⚠",VLOOKUP(J204,'G-3 Multipliers'!$L$3:$N$6,3,FALSE)))</f>
        <v/>
      </c>
      <c r="M204" s="498" t="str">
        <f>IF(OR(D204="",H204=""),"",(INDEX('G-6 Hedgerow Data'!$E$3:$I$15,MATCH(D204,'G-6 Hedgerow Data'!$B$3:$B$15,0),MATCH(H204,'G-6 Hedgerow Data'!$E$2:$I$2,0))))</f>
        <v/>
      </c>
      <c r="N204" s="195"/>
      <c r="O204" s="195"/>
      <c r="P204" s="507" t="str">
        <f t="shared" si="13"/>
        <v/>
      </c>
      <c r="Q204" s="521" t="str">
        <f t="shared" si="14"/>
        <v/>
      </c>
      <c r="R204" s="522" t="str">
        <f t="shared" ref="R204:R259" si="18">IF(M204="","",IF(LEFT(P204,5)="Error ▲","Check Data ⚠",VLOOKUP(Q204,TemporalMultipliers,3,FALSE)))</f>
        <v/>
      </c>
      <c r="S204" s="537" t="str">
        <f>IF(D204="","",VLOOKUP(D204,'G-6 Hedgerow Data'!$B$3:$AG$15,31,FALSE))</f>
        <v/>
      </c>
      <c r="T204" s="507" t="str">
        <f t="shared" si="15"/>
        <v/>
      </c>
      <c r="U204" s="507" t="str">
        <f t="shared" si="16"/>
        <v/>
      </c>
      <c r="V204" s="524" t="str">
        <f>IF(D204="","",VLOOKUP(S204,'G-3 Multipliers'!$P$3:$Q$6,2,FALSE))</f>
        <v/>
      </c>
      <c r="W204" s="529" t="str">
        <f t="shared" si="17"/>
        <v/>
      </c>
      <c r="X204" s="149"/>
      <c r="Y204" s="150"/>
      <c r="AG204" s="31" t="str">
        <f>IFERROR(INDEX('G-6 Hedgerow Data'!$BJ$3:$BJ$15,MATCH(D204,'G-6 Hedgerow Data'!$B$3:$B$15,0)),"")</f>
        <v/>
      </c>
    </row>
    <row r="205" spans="2:33" ht="14" x14ac:dyDescent="0.3">
      <c r="B205" s="141">
        <v>194</v>
      </c>
      <c r="C205" s="205"/>
      <c r="D205" s="195"/>
      <c r="E205" s="172"/>
      <c r="F205" s="553" t="str">
        <f>IF(D205="","",VLOOKUP(D205,'G-6 Hedgerow Data'!$B$2:$AG$15,2,FALSE))</f>
        <v/>
      </c>
      <c r="G205" s="499" t="str">
        <f>IF(D205="","",VLOOKUP(D205,'G-6 Hedgerow Data'!$B$2:$AG$15,3,FALSE))</f>
        <v/>
      </c>
      <c r="H205" s="145"/>
      <c r="I205" s="499" t="str">
        <f>IFERROR(VLOOKUP(H205,'G-1 All Habitats'!$Z$2:$AA$9,2,FALSE),"")</f>
        <v/>
      </c>
      <c r="J205" s="145"/>
      <c r="K205" s="520" t="str">
        <f>IF(J205="","",IF(VLOOKUP(J205,'G-3 Multipliers'!$L$3:$N$6,2,FALSE)=0,"Spatial Data Missing ⚠",VLOOKUP(J205,'G-3 Multipliers'!$L$3:$N$6,2,FALSE)))</f>
        <v/>
      </c>
      <c r="L205" s="505" t="str">
        <f>IF(J205="","",IF(VLOOKUP(J205,'G-3 Multipliers'!$L$3:$N$6,3,FALSE)=0,"Spatial Data Missing ⚠",VLOOKUP(J205,'G-3 Multipliers'!$L$3:$N$6,3,FALSE)))</f>
        <v/>
      </c>
      <c r="M205" s="498" t="str">
        <f>IF(OR(D205="",H205=""),"",(INDEX('G-6 Hedgerow Data'!$E$3:$I$15,MATCH(D205,'G-6 Hedgerow Data'!$B$3:$B$15,0),MATCH(H205,'G-6 Hedgerow Data'!$E$2:$I$2,0))))</f>
        <v/>
      </c>
      <c r="N205" s="195"/>
      <c r="O205" s="195"/>
      <c r="P205" s="507" t="str">
        <f t="shared" ref="P205:P259" si="19">IF(M205="","",IF(AND(N205&gt;0,O205&gt;0),"Error -both advance and delayed habitat creation ▲",IF(AND(OR(N205="Habitat already in target condition",M205&lt;=N205),O205=0),"Check details - Is there evidence that habitat has reached target condition? ⚠",IF(M205="","",IF(N205&gt;0,"Check details - Is there evidence habitat creation started/in place? ⚠",IF(O205&gt;0,"Check details- Delay in starting habitat in required condition? ⚠","Standard time to target condition applied"))))))</f>
        <v/>
      </c>
      <c r="Q205" s="521" t="str">
        <f t="shared" ref="Q205:Q259" si="20">IF(M205="","",IF(LEFT(P205,5)="Error ▲","Check Data ⚠",IF(OR(N205="30+",N205="Habitat already in target condition"),0,IF(O205="30+","30+ ⚠",IF(AND(M205="30+ ⚠",OR(N205="",N205=0)),"30+ ⚠",IF(AND(M205="30+ ⚠",N205&gt;0),32-N205,IF(M205+O205&gt;30,"30+ ⚠",IF(M205+O205-N205&gt;0,M205+O205-N205,IF(M205-N205&lt;0,0,M205+O205-N205)))))))))</f>
        <v/>
      </c>
      <c r="R205" s="522" t="str">
        <f t="shared" si="18"/>
        <v/>
      </c>
      <c r="S205" s="537" t="str">
        <f>IF(D205="","",VLOOKUP(D205,'G-6 Hedgerow Data'!$B$3:$AG$15,31,FALSE))</f>
        <v/>
      </c>
      <c r="T205" s="507" t="str">
        <f t="shared" ref="T205:T259" si="21">IF(D205="","",IF(Q205="Check Data ⚠","Check Data ⚠",IF(H205="","",IF($P205="Check details - Is there evidence that habitat has reached target condition? ⚠","Low Difficulty - only applicable if all habitat created before losses ⚠","Standard difficulty applied"))))</f>
        <v/>
      </c>
      <c r="U205" s="507" t="str">
        <f t="shared" ref="U205:U259" si="22">(IF(AND(T205="Standard difficulty applied",M205&gt;N205),S205,IF(AND(T205="Low Difficulty - only applicable if all habitat created before losses ⚠",Q205&lt;=0),"Low",S205)))</f>
        <v/>
      </c>
      <c r="V205" s="524" t="str">
        <f>IF(D205="","",VLOOKUP(S205,'G-3 Multipliers'!$P$3:$Q$6,2,FALSE))</f>
        <v/>
      </c>
      <c r="W205" s="529" t="str">
        <f t="shared" ref="W205:W259" si="23">IFERROR(E205*G205*I205*L205*R205*V205,"")</f>
        <v/>
      </c>
      <c r="X205" s="149"/>
      <c r="Y205" s="150"/>
      <c r="AG205" s="31" t="str">
        <f>IFERROR(INDEX('G-6 Hedgerow Data'!$BJ$3:$BJ$15,MATCH(D205,'G-6 Hedgerow Data'!$B$3:$B$15,0)),"")</f>
        <v/>
      </c>
    </row>
    <row r="206" spans="2:33" ht="14" x14ac:dyDescent="0.3">
      <c r="B206" s="141">
        <v>195</v>
      </c>
      <c r="C206" s="205"/>
      <c r="D206" s="195"/>
      <c r="E206" s="172"/>
      <c r="F206" s="553" t="str">
        <f>IF(D206="","",VLOOKUP(D206,'G-6 Hedgerow Data'!$B$2:$AG$15,2,FALSE))</f>
        <v/>
      </c>
      <c r="G206" s="499" t="str">
        <f>IF(D206="","",VLOOKUP(D206,'G-6 Hedgerow Data'!$B$2:$AG$15,3,FALSE))</f>
        <v/>
      </c>
      <c r="H206" s="145"/>
      <c r="I206" s="499" t="str">
        <f>IFERROR(VLOOKUP(H206,'G-1 All Habitats'!$Z$2:$AA$9,2,FALSE),"")</f>
        <v/>
      </c>
      <c r="J206" s="145"/>
      <c r="K206" s="520" t="str">
        <f>IF(J206="","",IF(VLOOKUP(J206,'G-3 Multipliers'!$L$3:$N$6,2,FALSE)=0,"Spatial Data Missing ⚠",VLOOKUP(J206,'G-3 Multipliers'!$L$3:$N$6,2,FALSE)))</f>
        <v/>
      </c>
      <c r="L206" s="505" t="str">
        <f>IF(J206="","",IF(VLOOKUP(J206,'G-3 Multipliers'!$L$3:$N$6,3,FALSE)=0,"Spatial Data Missing ⚠",VLOOKUP(J206,'G-3 Multipliers'!$L$3:$N$6,3,FALSE)))</f>
        <v/>
      </c>
      <c r="M206" s="498" t="str">
        <f>IF(OR(D206="",H206=""),"",(INDEX('G-6 Hedgerow Data'!$E$3:$I$15,MATCH(D206,'G-6 Hedgerow Data'!$B$3:$B$15,0),MATCH(H206,'G-6 Hedgerow Data'!$E$2:$I$2,0))))</f>
        <v/>
      </c>
      <c r="N206" s="195"/>
      <c r="O206" s="195"/>
      <c r="P206" s="507" t="str">
        <f t="shared" si="19"/>
        <v/>
      </c>
      <c r="Q206" s="521" t="str">
        <f t="shared" si="20"/>
        <v/>
      </c>
      <c r="R206" s="522" t="str">
        <f t="shared" si="18"/>
        <v/>
      </c>
      <c r="S206" s="537" t="str">
        <f>IF(D206="","",VLOOKUP(D206,'G-6 Hedgerow Data'!$B$3:$AG$15,31,FALSE))</f>
        <v/>
      </c>
      <c r="T206" s="507" t="str">
        <f t="shared" si="21"/>
        <v/>
      </c>
      <c r="U206" s="507" t="str">
        <f t="shared" si="22"/>
        <v/>
      </c>
      <c r="V206" s="524" t="str">
        <f>IF(D206="","",VLOOKUP(S206,'G-3 Multipliers'!$P$3:$Q$6,2,FALSE))</f>
        <v/>
      </c>
      <c r="W206" s="529" t="str">
        <f t="shared" si="23"/>
        <v/>
      </c>
      <c r="X206" s="149"/>
      <c r="Y206" s="150"/>
      <c r="AG206" s="31" t="str">
        <f>IFERROR(INDEX('G-6 Hedgerow Data'!$BJ$3:$BJ$15,MATCH(D206,'G-6 Hedgerow Data'!$B$3:$B$15,0)),"")</f>
        <v/>
      </c>
    </row>
    <row r="207" spans="2:33" ht="14" x14ac:dyDescent="0.3">
      <c r="B207" s="141">
        <v>196</v>
      </c>
      <c r="C207" s="205"/>
      <c r="D207" s="195"/>
      <c r="E207" s="172"/>
      <c r="F207" s="553" t="str">
        <f>IF(D207="","",VLOOKUP(D207,'G-6 Hedgerow Data'!$B$2:$AG$15,2,FALSE))</f>
        <v/>
      </c>
      <c r="G207" s="499" t="str">
        <f>IF(D207="","",VLOOKUP(D207,'G-6 Hedgerow Data'!$B$2:$AG$15,3,FALSE))</f>
        <v/>
      </c>
      <c r="H207" s="145"/>
      <c r="I207" s="499" t="str">
        <f>IFERROR(VLOOKUP(H207,'G-1 All Habitats'!$Z$2:$AA$9,2,FALSE),"")</f>
        <v/>
      </c>
      <c r="J207" s="145"/>
      <c r="K207" s="520" t="str">
        <f>IF(J207="","",IF(VLOOKUP(J207,'G-3 Multipliers'!$L$3:$N$6,2,FALSE)=0,"Spatial Data Missing ⚠",VLOOKUP(J207,'G-3 Multipliers'!$L$3:$N$6,2,FALSE)))</f>
        <v/>
      </c>
      <c r="L207" s="505" t="str">
        <f>IF(J207="","",IF(VLOOKUP(J207,'G-3 Multipliers'!$L$3:$N$6,3,FALSE)=0,"Spatial Data Missing ⚠",VLOOKUP(J207,'G-3 Multipliers'!$L$3:$N$6,3,FALSE)))</f>
        <v/>
      </c>
      <c r="M207" s="498" t="str">
        <f>IF(OR(D207="",H207=""),"",(INDEX('G-6 Hedgerow Data'!$E$3:$I$15,MATCH(D207,'G-6 Hedgerow Data'!$B$3:$B$15,0),MATCH(H207,'G-6 Hedgerow Data'!$E$2:$I$2,0))))</f>
        <v/>
      </c>
      <c r="N207" s="195"/>
      <c r="O207" s="195"/>
      <c r="P207" s="507" t="str">
        <f t="shared" si="19"/>
        <v/>
      </c>
      <c r="Q207" s="521" t="str">
        <f t="shared" si="20"/>
        <v/>
      </c>
      <c r="R207" s="522" t="str">
        <f t="shared" si="18"/>
        <v/>
      </c>
      <c r="S207" s="537" t="str">
        <f>IF(D207="","",VLOOKUP(D207,'G-6 Hedgerow Data'!$B$3:$AG$15,31,FALSE))</f>
        <v/>
      </c>
      <c r="T207" s="507" t="str">
        <f t="shared" si="21"/>
        <v/>
      </c>
      <c r="U207" s="507" t="str">
        <f t="shared" si="22"/>
        <v/>
      </c>
      <c r="V207" s="524" t="str">
        <f>IF(D207="","",VLOOKUP(S207,'G-3 Multipliers'!$P$3:$Q$6,2,FALSE))</f>
        <v/>
      </c>
      <c r="W207" s="529" t="str">
        <f t="shared" si="23"/>
        <v/>
      </c>
      <c r="X207" s="149"/>
      <c r="Y207" s="150"/>
      <c r="AG207" s="31" t="str">
        <f>IFERROR(INDEX('G-6 Hedgerow Data'!$BJ$3:$BJ$15,MATCH(D207,'G-6 Hedgerow Data'!$B$3:$B$15,0)),"")</f>
        <v/>
      </c>
    </row>
    <row r="208" spans="2:33" ht="14" x14ac:dyDescent="0.3">
      <c r="B208" s="141">
        <v>197</v>
      </c>
      <c r="C208" s="205"/>
      <c r="D208" s="195"/>
      <c r="E208" s="172"/>
      <c r="F208" s="553" t="str">
        <f>IF(D208="","",VLOOKUP(D208,'G-6 Hedgerow Data'!$B$2:$AG$15,2,FALSE))</f>
        <v/>
      </c>
      <c r="G208" s="499" t="str">
        <f>IF(D208="","",VLOOKUP(D208,'G-6 Hedgerow Data'!$B$2:$AG$15,3,FALSE))</f>
        <v/>
      </c>
      <c r="H208" s="145"/>
      <c r="I208" s="499" t="str">
        <f>IFERROR(VLOOKUP(H208,'G-1 All Habitats'!$Z$2:$AA$9,2,FALSE),"")</f>
        <v/>
      </c>
      <c r="J208" s="145"/>
      <c r="K208" s="520" t="str">
        <f>IF(J208="","",IF(VLOOKUP(J208,'G-3 Multipliers'!$L$3:$N$6,2,FALSE)=0,"Spatial Data Missing ⚠",VLOOKUP(J208,'G-3 Multipliers'!$L$3:$N$6,2,FALSE)))</f>
        <v/>
      </c>
      <c r="L208" s="505" t="str">
        <f>IF(J208="","",IF(VLOOKUP(J208,'G-3 Multipliers'!$L$3:$N$6,3,FALSE)=0,"Spatial Data Missing ⚠",VLOOKUP(J208,'G-3 Multipliers'!$L$3:$N$6,3,FALSE)))</f>
        <v/>
      </c>
      <c r="M208" s="498" t="str">
        <f>IF(OR(D208="",H208=""),"",(INDEX('G-6 Hedgerow Data'!$E$3:$I$15,MATCH(D208,'G-6 Hedgerow Data'!$B$3:$B$15,0),MATCH(H208,'G-6 Hedgerow Data'!$E$2:$I$2,0))))</f>
        <v/>
      </c>
      <c r="N208" s="195"/>
      <c r="O208" s="195"/>
      <c r="P208" s="507" t="str">
        <f t="shared" si="19"/>
        <v/>
      </c>
      <c r="Q208" s="521" t="str">
        <f t="shared" si="20"/>
        <v/>
      </c>
      <c r="R208" s="522" t="str">
        <f t="shared" si="18"/>
        <v/>
      </c>
      <c r="S208" s="537" t="str">
        <f>IF(D208="","",VLOOKUP(D208,'G-6 Hedgerow Data'!$B$3:$AG$15,31,FALSE))</f>
        <v/>
      </c>
      <c r="T208" s="507" t="str">
        <f t="shared" si="21"/>
        <v/>
      </c>
      <c r="U208" s="507" t="str">
        <f t="shared" si="22"/>
        <v/>
      </c>
      <c r="V208" s="524" t="str">
        <f>IF(D208="","",VLOOKUP(S208,'G-3 Multipliers'!$P$3:$Q$6,2,FALSE))</f>
        <v/>
      </c>
      <c r="W208" s="529" t="str">
        <f t="shared" si="23"/>
        <v/>
      </c>
      <c r="X208" s="149"/>
      <c r="Y208" s="150"/>
      <c r="AG208" s="31" t="str">
        <f>IFERROR(INDEX('G-6 Hedgerow Data'!$BJ$3:$BJ$15,MATCH(D208,'G-6 Hedgerow Data'!$B$3:$B$15,0)),"")</f>
        <v/>
      </c>
    </row>
    <row r="209" spans="2:33" ht="14" x14ac:dyDescent="0.3">
      <c r="B209" s="141">
        <v>198</v>
      </c>
      <c r="C209" s="205"/>
      <c r="D209" s="195"/>
      <c r="E209" s="172"/>
      <c r="F209" s="553" t="str">
        <f>IF(D209="","",VLOOKUP(D209,'G-6 Hedgerow Data'!$B$2:$AG$15,2,FALSE))</f>
        <v/>
      </c>
      <c r="G209" s="499" t="str">
        <f>IF(D209="","",VLOOKUP(D209,'G-6 Hedgerow Data'!$B$2:$AG$15,3,FALSE))</f>
        <v/>
      </c>
      <c r="H209" s="145"/>
      <c r="I209" s="499" t="str">
        <f>IFERROR(VLOOKUP(H209,'G-1 All Habitats'!$Z$2:$AA$9,2,FALSE),"")</f>
        <v/>
      </c>
      <c r="J209" s="145"/>
      <c r="K209" s="520" t="str">
        <f>IF(J209="","",IF(VLOOKUP(J209,'G-3 Multipliers'!$L$3:$N$6,2,FALSE)=0,"Spatial Data Missing ⚠",VLOOKUP(J209,'G-3 Multipliers'!$L$3:$N$6,2,FALSE)))</f>
        <v/>
      </c>
      <c r="L209" s="505" t="str">
        <f>IF(J209="","",IF(VLOOKUP(J209,'G-3 Multipliers'!$L$3:$N$6,3,FALSE)=0,"Spatial Data Missing ⚠",VLOOKUP(J209,'G-3 Multipliers'!$L$3:$N$6,3,FALSE)))</f>
        <v/>
      </c>
      <c r="M209" s="498" t="str">
        <f>IF(OR(D209="",H209=""),"",(INDEX('G-6 Hedgerow Data'!$E$3:$I$15,MATCH(D209,'G-6 Hedgerow Data'!$B$3:$B$15,0),MATCH(H209,'G-6 Hedgerow Data'!$E$2:$I$2,0))))</f>
        <v/>
      </c>
      <c r="N209" s="195"/>
      <c r="O209" s="195"/>
      <c r="P209" s="507" t="str">
        <f t="shared" si="19"/>
        <v/>
      </c>
      <c r="Q209" s="521" t="str">
        <f t="shared" si="20"/>
        <v/>
      </c>
      <c r="R209" s="522" t="str">
        <f t="shared" si="18"/>
        <v/>
      </c>
      <c r="S209" s="537" t="str">
        <f>IF(D209="","",VLOOKUP(D209,'G-6 Hedgerow Data'!$B$3:$AG$15,31,FALSE))</f>
        <v/>
      </c>
      <c r="T209" s="507" t="str">
        <f t="shared" si="21"/>
        <v/>
      </c>
      <c r="U209" s="507" t="str">
        <f t="shared" si="22"/>
        <v/>
      </c>
      <c r="V209" s="524" t="str">
        <f>IF(D209="","",VLOOKUP(S209,'G-3 Multipliers'!$P$3:$Q$6,2,FALSE))</f>
        <v/>
      </c>
      <c r="W209" s="529" t="str">
        <f t="shared" si="23"/>
        <v/>
      </c>
      <c r="X209" s="149"/>
      <c r="Y209" s="150"/>
      <c r="AG209" s="31" t="str">
        <f>IFERROR(INDEX('G-6 Hedgerow Data'!$BJ$3:$BJ$15,MATCH(D209,'G-6 Hedgerow Data'!$B$3:$B$15,0)),"")</f>
        <v/>
      </c>
    </row>
    <row r="210" spans="2:33" ht="14" x14ac:dyDescent="0.3">
      <c r="B210" s="141">
        <v>199</v>
      </c>
      <c r="C210" s="205"/>
      <c r="D210" s="195"/>
      <c r="E210" s="172"/>
      <c r="F210" s="553" t="str">
        <f>IF(D210="","",VLOOKUP(D210,'G-6 Hedgerow Data'!$B$2:$AG$15,2,FALSE))</f>
        <v/>
      </c>
      <c r="G210" s="499" t="str">
        <f>IF(D210="","",VLOOKUP(D210,'G-6 Hedgerow Data'!$B$2:$AG$15,3,FALSE))</f>
        <v/>
      </c>
      <c r="H210" s="145"/>
      <c r="I210" s="499" t="str">
        <f>IFERROR(VLOOKUP(H210,'G-1 All Habitats'!$Z$2:$AA$9,2,FALSE),"")</f>
        <v/>
      </c>
      <c r="J210" s="145"/>
      <c r="K210" s="520" t="str">
        <f>IF(J210="","",IF(VLOOKUP(J210,'G-3 Multipliers'!$L$3:$N$6,2,FALSE)=0,"Spatial Data Missing ⚠",VLOOKUP(J210,'G-3 Multipliers'!$L$3:$N$6,2,FALSE)))</f>
        <v/>
      </c>
      <c r="L210" s="505" t="str">
        <f>IF(J210="","",IF(VLOOKUP(J210,'G-3 Multipliers'!$L$3:$N$6,3,FALSE)=0,"Spatial Data Missing ⚠",VLOOKUP(J210,'G-3 Multipliers'!$L$3:$N$6,3,FALSE)))</f>
        <v/>
      </c>
      <c r="M210" s="498" t="str">
        <f>IF(OR(D210="",H210=""),"",(INDEX('G-6 Hedgerow Data'!$E$3:$I$15,MATCH(D210,'G-6 Hedgerow Data'!$B$3:$B$15,0),MATCH(H210,'G-6 Hedgerow Data'!$E$2:$I$2,0))))</f>
        <v/>
      </c>
      <c r="N210" s="195"/>
      <c r="O210" s="195"/>
      <c r="P210" s="507" t="str">
        <f t="shared" si="19"/>
        <v/>
      </c>
      <c r="Q210" s="521" t="str">
        <f t="shared" si="20"/>
        <v/>
      </c>
      <c r="R210" s="522" t="str">
        <f t="shared" si="18"/>
        <v/>
      </c>
      <c r="S210" s="537" t="str">
        <f>IF(D210="","",VLOOKUP(D210,'G-6 Hedgerow Data'!$B$3:$AG$15,31,FALSE))</f>
        <v/>
      </c>
      <c r="T210" s="507" t="str">
        <f t="shared" si="21"/>
        <v/>
      </c>
      <c r="U210" s="507" t="str">
        <f t="shared" si="22"/>
        <v/>
      </c>
      <c r="V210" s="524" t="str">
        <f>IF(D210="","",VLOOKUP(S210,'G-3 Multipliers'!$P$3:$Q$6,2,FALSE))</f>
        <v/>
      </c>
      <c r="W210" s="529" t="str">
        <f t="shared" si="23"/>
        <v/>
      </c>
      <c r="X210" s="149"/>
      <c r="Y210" s="150"/>
      <c r="AG210" s="31" t="str">
        <f>IFERROR(INDEX('G-6 Hedgerow Data'!$BJ$3:$BJ$15,MATCH(D210,'G-6 Hedgerow Data'!$B$3:$B$15,0)),"")</f>
        <v/>
      </c>
    </row>
    <row r="211" spans="2:33" ht="14" x14ac:dyDescent="0.3">
      <c r="B211" s="141">
        <v>200</v>
      </c>
      <c r="C211" s="205"/>
      <c r="D211" s="195"/>
      <c r="E211" s="172"/>
      <c r="F211" s="553" t="str">
        <f>IF(D211="","",VLOOKUP(D211,'G-6 Hedgerow Data'!$B$2:$AG$15,2,FALSE))</f>
        <v/>
      </c>
      <c r="G211" s="499" t="str">
        <f>IF(D211="","",VLOOKUP(D211,'G-6 Hedgerow Data'!$B$2:$AG$15,3,FALSE))</f>
        <v/>
      </c>
      <c r="H211" s="145"/>
      <c r="I211" s="499" t="str">
        <f>IFERROR(VLOOKUP(H211,'G-1 All Habitats'!$Z$2:$AA$9,2,FALSE),"")</f>
        <v/>
      </c>
      <c r="J211" s="145"/>
      <c r="K211" s="520" t="str">
        <f>IF(J211="","",IF(VLOOKUP(J211,'G-3 Multipliers'!$L$3:$N$6,2,FALSE)=0,"Spatial Data Missing ⚠",VLOOKUP(J211,'G-3 Multipliers'!$L$3:$N$6,2,FALSE)))</f>
        <v/>
      </c>
      <c r="L211" s="505" t="str">
        <f>IF(J211="","",IF(VLOOKUP(J211,'G-3 Multipliers'!$L$3:$N$6,3,FALSE)=0,"Spatial Data Missing ⚠",VLOOKUP(J211,'G-3 Multipliers'!$L$3:$N$6,3,FALSE)))</f>
        <v/>
      </c>
      <c r="M211" s="498" t="str">
        <f>IF(OR(D211="",H211=""),"",(INDEX('G-6 Hedgerow Data'!$E$3:$I$15,MATCH(D211,'G-6 Hedgerow Data'!$B$3:$B$15,0),MATCH(H211,'G-6 Hedgerow Data'!$E$2:$I$2,0))))</f>
        <v/>
      </c>
      <c r="N211" s="195"/>
      <c r="O211" s="195"/>
      <c r="P211" s="507" t="str">
        <f t="shared" si="19"/>
        <v/>
      </c>
      <c r="Q211" s="521" t="str">
        <f t="shared" si="20"/>
        <v/>
      </c>
      <c r="R211" s="522" t="str">
        <f t="shared" si="18"/>
        <v/>
      </c>
      <c r="S211" s="537" t="str">
        <f>IF(D211="","",VLOOKUP(D211,'G-6 Hedgerow Data'!$B$3:$AG$15,31,FALSE))</f>
        <v/>
      </c>
      <c r="T211" s="507" t="str">
        <f t="shared" si="21"/>
        <v/>
      </c>
      <c r="U211" s="507" t="str">
        <f t="shared" si="22"/>
        <v/>
      </c>
      <c r="V211" s="524" t="str">
        <f>IF(D211="","",VLOOKUP(S211,'G-3 Multipliers'!$P$3:$Q$6,2,FALSE))</f>
        <v/>
      </c>
      <c r="W211" s="529" t="str">
        <f t="shared" si="23"/>
        <v/>
      </c>
      <c r="X211" s="149"/>
      <c r="Y211" s="150"/>
      <c r="AG211" s="31" t="str">
        <f>IFERROR(INDEX('G-6 Hedgerow Data'!$BJ$3:$BJ$15,MATCH(D211,'G-6 Hedgerow Data'!$B$3:$B$15,0)),"")</f>
        <v/>
      </c>
    </row>
    <row r="212" spans="2:33" ht="14" x14ac:dyDescent="0.3">
      <c r="B212" s="141">
        <v>201</v>
      </c>
      <c r="C212" s="205"/>
      <c r="D212" s="195"/>
      <c r="E212" s="172"/>
      <c r="F212" s="553" t="str">
        <f>IF(D212="","",VLOOKUP(D212,'G-6 Hedgerow Data'!$B$2:$AG$15,2,FALSE))</f>
        <v/>
      </c>
      <c r="G212" s="499" t="str">
        <f>IF(D212="","",VLOOKUP(D212,'G-6 Hedgerow Data'!$B$2:$AG$15,3,FALSE))</f>
        <v/>
      </c>
      <c r="H212" s="145"/>
      <c r="I212" s="499" t="str">
        <f>IFERROR(VLOOKUP(H212,'G-1 All Habitats'!$Z$2:$AA$9,2,FALSE),"")</f>
        <v/>
      </c>
      <c r="J212" s="145"/>
      <c r="K212" s="520" t="str">
        <f>IF(J212="","",IF(VLOOKUP(J212,'G-3 Multipliers'!$L$3:$N$6,2,FALSE)=0,"Spatial Data Missing ⚠",VLOOKUP(J212,'G-3 Multipliers'!$L$3:$N$6,2,FALSE)))</f>
        <v/>
      </c>
      <c r="L212" s="505" t="str">
        <f>IF(J212="","",IF(VLOOKUP(J212,'G-3 Multipliers'!$L$3:$N$6,3,FALSE)=0,"Spatial Data Missing ⚠",VLOOKUP(J212,'G-3 Multipliers'!$L$3:$N$6,3,FALSE)))</f>
        <v/>
      </c>
      <c r="M212" s="498" t="str">
        <f>IF(OR(D212="",H212=""),"",(INDEX('G-6 Hedgerow Data'!$E$3:$I$15,MATCH(D212,'G-6 Hedgerow Data'!$B$3:$B$15,0),MATCH(H212,'G-6 Hedgerow Data'!$E$2:$I$2,0))))</f>
        <v/>
      </c>
      <c r="N212" s="195"/>
      <c r="O212" s="195"/>
      <c r="P212" s="507" t="str">
        <f t="shared" si="19"/>
        <v/>
      </c>
      <c r="Q212" s="521" t="str">
        <f t="shared" si="20"/>
        <v/>
      </c>
      <c r="R212" s="522" t="str">
        <f t="shared" si="18"/>
        <v/>
      </c>
      <c r="S212" s="537" t="str">
        <f>IF(D212="","",VLOOKUP(D212,'G-6 Hedgerow Data'!$B$3:$AG$15,31,FALSE))</f>
        <v/>
      </c>
      <c r="T212" s="507" t="str">
        <f t="shared" si="21"/>
        <v/>
      </c>
      <c r="U212" s="507" t="str">
        <f t="shared" si="22"/>
        <v/>
      </c>
      <c r="V212" s="524" t="str">
        <f>IF(D212="","",VLOOKUP(S212,'G-3 Multipliers'!$P$3:$Q$6,2,FALSE))</f>
        <v/>
      </c>
      <c r="W212" s="529" t="str">
        <f t="shared" si="23"/>
        <v/>
      </c>
      <c r="X212" s="149"/>
      <c r="Y212" s="150"/>
      <c r="AG212" s="31" t="str">
        <f>IFERROR(INDEX('G-6 Hedgerow Data'!$BJ$3:$BJ$15,MATCH(D212,'G-6 Hedgerow Data'!$B$3:$B$15,0)),"")</f>
        <v/>
      </c>
    </row>
    <row r="213" spans="2:33" ht="14" x14ac:dyDescent="0.3">
      <c r="B213" s="141">
        <v>202</v>
      </c>
      <c r="C213" s="205"/>
      <c r="D213" s="195"/>
      <c r="E213" s="172"/>
      <c r="F213" s="553" t="str">
        <f>IF(D213="","",VLOOKUP(D213,'G-6 Hedgerow Data'!$B$2:$AG$15,2,FALSE))</f>
        <v/>
      </c>
      <c r="G213" s="499" t="str">
        <f>IF(D213="","",VLOOKUP(D213,'G-6 Hedgerow Data'!$B$2:$AG$15,3,FALSE))</f>
        <v/>
      </c>
      <c r="H213" s="145"/>
      <c r="I213" s="499" t="str">
        <f>IFERROR(VLOOKUP(H213,'G-1 All Habitats'!$Z$2:$AA$9,2,FALSE),"")</f>
        <v/>
      </c>
      <c r="J213" s="145"/>
      <c r="K213" s="520" t="str">
        <f>IF(J213="","",IF(VLOOKUP(J213,'G-3 Multipliers'!$L$3:$N$6,2,FALSE)=0,"Spatial Data Missing ⚠",VLOOKUP(J213,'G-3 Multipliers'!$L$3:$N$6,2,FALSE)))</f>
        <v/>
      </c>
      <c r="L213" s="505" t="str">
        <f>IF(J213="","",IF(VLOOKUP(J213,'G-3 Multipliers'!$L$3:$N$6,3,FALSE)=0,"Spatial Data Missing ⚠",VLOOKUP(J213,'G-3 Multipliers'!$L$3:$N$6,3,FALSE)))</f>
        <v/>
      </c>
      <c r="M213" s="498" t="str">
        <f>IF(OR(D213="",H213=""),"",(INDEX('G-6 Hedgerow Data'!$E$3:$I$15,MATCH(D213,'G-6 Hedgerow Data'!$B$3:$B$15,0),MATCH(H213,'G-6 Hedgerow Data'!$E$2:$I$2,0))))</f>
        <v/>
      </c>
      <c r="N213" s="195"/>
      <c r="O213" s="195"/>
      <c r="P213" s="507" t="str">
        <f t="shared" si="19"/>
        <v/>
      </c>
      <c r="Q213" s="521" t="str">
        <f t="shared" si="20"/>
        <v/>
      </c>
      <c r="R213" s="522" t="str">
        <f t="shared" si="18"/>
        <v/>
      </c>
      <c r="S213" s="537" t="str">
        <f>IF(D213="","",VLOOKUP(D213,'G-6 Hedgerow Data'!$B$3:$AG$15,31,FALSE))</f>
        <v/>
      </c>
      <c r="T213" s="507" t="str">
        <f t="shared" si="21"/>
        <v/>
      </c>
      <c r="U213" s="507" t="str">
        <f t="shared" si="22"/>
        <v/>
      </c>
      <c r="V213" s="524" t="str">
        <f>IF(D213="","",VLOOKUP(S213,'G-3 Multipliers'!$P$3:$Q$6,2,FALSE))</f>
        <v/>
      </c>
      <c r="W213" s="529" t="str">
        <f t="shared" si="23"/>
        <v/>
      </c>
      <c r="X213" s="149"/>
      <c r="Y213" s="150"/>
      <c r="AG213" s="31" t="str">
        <f>IFERROR(INDEX('G-6 Hedgerow Data'!$BJ$3:$BJ$15,MATCH(D213,'G-6 Hedgerow Data'!$B$3:$B$15,0)),"")</f>
        <v/>
      </c>
    </row>
    <row r="214" spans="2:33" ht="14" x14ac:dyDescent="0.3">
      <c r="B214" s="141">
        <v>203</v>
      </c>
      <c r="C214" s="205"/>
      <c r="D214" s="195"/>
      <c r="E214" s="172"/>
      <c r="F214" s="553" t="str">
        <f>IF(D214="","",VLOOKUP(D214,'G-6 Hedgerow Data'!$B$2:$AG$15,2,FALSE))</f>
        <v/>
      </c>
      <c r="G214" s="499" t="str">
        <f>IF(D214="","",VLOOKUP(D214,'G-6 Hedgerow Data'!$B$2:$AG$15,3,FALSE))</f>
        <v/>
      </c>
      <c r="H214" s="145"/>
      <c r="I214" s="499" t="str">
        <f>IFERROR(VLOOKUP(H214,'G-1 All Habitats'!$Z$2:$AA$9,2,FALSE),"")</f>
        <v/>
      </c>
      <c r="J214" s="145"/>
      <c r="K214" s="520" t="str">
        <f>IF(J214="","",IF(VLOOKUP(J214,'G-3 Multipliers'!$L$3:$N$6,2,FALSE)=0,"Spatial Data Missing ⚠",VLOOKUP(J214,'G-3 Multipliers'!$L$3:$N$6,2,FALSE)))</f>
        <v/>
      </c>
      <c r="L214" s="505" t="str">
        <f>IF(J214="","",IF(VLOOKUP(J214,'G-3 Multipliers'!$L$3:$N$6,3,FALSE)=0,"Spatial Data Missing ⚠",VLOOKUP(J214,'G-3 Multipliers'!$L$3:$N$6,3,FALSE)))</f>
        <v/>
      </c>
      <c r="M214" s="498" t="str">
        <f>IF(OR(D214="",H214=""),"",(INDEX('G-6 Hedgerow Data'!$E$3:$I$15,MATCH(D214,'G-6 Hedgerow Data'!$B$3:$B$15,0),MATCH(H214,'G-6 Hedgerow Data'!$E$2:$I$2,0))))</f>
        <v/>
      </c>
      <c r="N214" s="195"/>
      <c r="O214" s="195"/>
      <c r="P214" s="507" t="str">
        <f t="shared" si="19"/>
        <v/>
      </c>
      <c r="Q214" s="521" t="str">
        <f t="shared" si="20"/>
        <v/>
      </c>
      <c r="R214" s="522" t="str">
        <f t="shared" si="18"/>
        <v/>
      </c>
      <c r="S214" s="537" t="str">
        <f>IF(D214="","",VLOOKUP(D214,'G-6 Hedgerow Data'!$B$3:$AG$15,31,FALSE))</f>
        <v/>
      </c>
      <c r="T214" s="507" t="str">
        <f t="shared" si="21"/>
        <v/>
      </c>
      <c r="U214" s="507" t="str">
        <f t="shared" si="22"/>
        <v/>
      </c>
      <c r="V214" s="524" t="str">
        <f>IF(D214="","",VLOOKUP(S214,'G-3 Multipliers'!$P$3:$Q$6,2,FALSE))</f>
        <v/>
      </c>
      <c r="W214" s="529" t="str">
        <f t="shared" si="23"/>
        <v/>
      </c>
      <c r="X214" s="149"/>
      <c r="Y214" s="150"/>
      <c r="AG214" s="31" t="str">
        <f>IFERROR(INDEX('G-6 Hedgerow Data'!$BJ$3:$BJ$15,MATCH(D214,'G-6 Hedgerow Data'!$B$3:$B$15,0)),"")</f>
        <v/>
      </c>
    </row>
    <row r="215" spans="2:33" ht="14" x14ac:dyDescent="0.3">
      <c r="B215" s="141">
        <v>204</v>
      </c>
      <c r="C215" s="205"/>
      <c r="D215" s="195"/>
      <c r="E215" s="172"/>
      <c r="F215" s="553" t="str">
        <f>IF(D215="","",VLOOKUP(D215,'G-6 Hedgerow Data'!$B$2:$AG$15,2,FALSE))</f>
        <v/>
      </c>
      <c r="G215" s="499" t="str">
        <f>IF(D215="","",VLOOKUP(D215,'G-6 Hedgerow Data'!$B$2:$AG$15,3,FALSE))</f>
        <v/>
      </c>
      <c r="H215" s="145"/>
      <c r="I215" s="499" t="str">
        <f>IFERROR(VLOOKUP(H215,'G-1 All Habitats'!$Z$2:$AA$9,2,FALSE),"")</f>
        <v/>
      </c>
      <c r="J215" s="145"/>
      <c r="K215" s="520" t="str">
        <f>IF(J215="","",IF(VLOOKUP(J215,'G-3 Multipliers'!$L$3:$N$6,2,FALSE)=0,"Spatial Data Missing ⚠",VLOOKUP(J215,'G-3 Multipliers'!$L$3:$N$6,2,FALSE)))</f>
        <v/>
      </c>
      <c r="L215" s="505" t="str">
        <f>IF(J215="","",IF(VLOOKUP(J215,'G-3 Multipliers'!$L$3:$N$6,3,FALSE)=0,"Spatial Data Missing ⚠",VLOOKUP(J215,'G-3 Multipliers'!$L$3:$N$6,3,FALSE)))</f>
        <v/>
      </c>
      <c r="M215" s="498" t="str">
        <f>IF(OR(D215="",H215=""),"",(INDEX('G-6 Hedgerow Data'!$E$3:$I$15,MATCH(D215,'G-6 Hedgerow Data'!$B$3:$B$15,0),MATCH(H215,'G-6 Hedgerow Data'!$E$2:$I$2,0))))</f>
        <v/>
      </c>
      <c r="N215" s="195"/>
      <c r="O215" s="195"/>
      <c r="P215" s="507" t="str">
        <f t="shared" si="19"/>
        <v/>
      </c>
      <c r="Q215" s="521" t="str">
        <f t="shared" si="20"/>
        <v/>
      </c>
      <c r="R215" s="522" t="str">
        <f t="shared" si="18"/>
        <v/>
      </c>
      <c r="S215" s="537" t="str">
        <f>IF(D215="","",VLOOKUP(D215,'G-6 Hedgerow Data'!$B$3:$AG$15,31,FALSE))</f>
        <v/>
      </c>
      <c r="T215" s="507" t="str">
        <f t="shared" si="21"/>
        <v/>
      </c>
      <c r="U215" s="507" t="str">
        <f t="shared" si="22"/>
        <v/>
      </c>
      <c r="V215" s="524" t="str">
        <f>IF(D215="","",VLOOKUP(S215,'G-3 Multipliers'!$P$3:$Q$6,2,FALSE))</f>
        <v/>
      </c>
      <c r="W215" s="529" t="str">
        <f t="shared" si="23"/>
        <v/>
      </c>
      <c r="X215" s="149"/>
      <c r="Y215" s="150"/>
      <c r="AG215" s="31" t="str">
        <f>IFERROR(INDEX('G-6 Hedgerow Data'!$BJ$3:$BJ$15,MATCH(D215,'G-6 Hedgerow Data'!$B$3:$B$15,0)),"")</f>
        <v/>
      </c>
    </row>
    <row r="216" spans="2:33" ht="14" x14ac:dyDescent="0.3">
      <c r="B216" s="141">
        <v>205</v>
      </c>
      <c r="C216" s="205"/>
      <c r="D216" s="195"/>
      <c r="E216" s="172"/>
      <c r="F216" s="553" t="str">
        <f>IF(D216="","",VLOOKUP(D216,'G-6 Hedgerow Data'!$B$2:$AG$15,2,FALSE))</f>
        <v/>
      </c>
      <c r="G216" s="499" t="str">
        <f>IF(D216="","",VLOOKUP(D216,'G-6 Hedgerow Data'!$B$2:$AG$15,3,FALSE))</f>
        <v/>
      </c>
      <c r="H216" s="145"/>
      <c r="I216" s="499" t="str">
        <f>IFERROR(VLOOKUP(H216,'G-1 All Habitats'!$Z$2:$AA$9,2,FALSE),"")</f>
        <v/>
      </c>
      <c r="J216" s="145"/>
      <c r="K216" s="520" t="str">
        <f>IF(J216="","",IF(VLOOKUP(J216,'G-3 Multipliers'!$L$3:$N$6,2,FALSE)=0,"Spatial Data Missing ⚠",VLOOKUP(J216,'G-3 Multipliers'!$L$3:$N$6,2,FALSE)))</f>
        <v/>
      </c>
      <c r="L216" s="505" t="str">
        <f>IF(J216="","",IF(VLOOKUP(J216,'G-3 Multipliers'!$L$3:$N$6,3,FALSE)=0,"Spatial Data Missing ⚠",VLOOKUP(J216,'G-3 Multipliers'!$L$3:$N$6,3,FALSE)))</f>
        <v/>
      </c>
      <c r="M216" s="498" t="str">
        <f>IF(OR(D216="",H216=""),"",(INDEX('G-6 Hedgerow Data'!$E$3:$I$15,MATCH(D216,'G-6 Hedgerow Data'!$B$3:$B$15,0),MATCH(H216,'G-6 Hedgerow Data'!$E$2:$I$2,0))))</f>
        <v/>
      </c>
      <c r="N216" s="195"/>
      <c r="O216" s="195"/>
      <c r="P216" s="507" t="str">
        <f t="shared" si="19"/>
        <v/>
      </c>
      <c r="Q216" s="521" t="str">
        <f t="shared" si="20"/>
        <v/>
      </c>
      <c r="R216" s="522" t="str">
        <f t="shared" si="18"/>
        <v/>
      </c>
      <c r="S216" s="537" t="str">
        <f>IF(D216="","",VLOOKUP(D216,'G-6 Hedgerow Data'!$B$3:$AG$15,31,FALSE))</f>
        <v/>
      </c>
      <c r="T216" s="507" t="str">
        <f t="shared" si="21"/>
        <v/>
      </c>
      <c r="U216" s="507" t="str">
        <f t="shared" si="22"/>
        <v/>
      </c>
      <c r="V216" s="524" t="str">
        <f>IF(D216="","",VLOOKUP(S216,'G-3 Multipliers'!$P$3:$Q$6,2,FALSE))</f>
        <v/>
      </c>
      <c r="W216" s="529" t="str">
        <f t="shared" si="23"/>
        <v/>
      </c>
      <c r="X216" s="149"/>
      <c r="Y216" s="150"/>
      <c r="AG216" s="31" t="str">
        <f>IFERROR(INDEX('G-6 Hedgerow Data'!$BJ$3:$BJ$15,MATCH(D216,'G-6 Hedgerow Data'!$B$3:$B$15,0)),"")</f>
        <v/>
      </c>
    </row>
    <row r="217" spans="2:33" ht="14" x14ac:dyDescent="0.3">
      <c r="B217" s="141">
        <v>206</v>
      </c>
      <c r="C217" s="205"/>
      <c r="D217" s="195"/>
      <c r="E217" s="172"/>
      <c r="F217" s="553" t="str">
        <f>IF(D217="","",VLOOKUP(D217,'G-6 Hedgerow Data'!$B$2:$AG$15,2,FALSE))</f>
        <v/>
      </c>
      <c r="G217" s="499" t="str">
        <f>IF(D217="","",VLOOKUP(D217,'G-6 Hedgerow Data'!$B$2:$AG$15,3,FALSE))</f>
        <v/>
      </c>
      <c r="H217" s="145"/>
      <c r="I217" s="499" t="str">
        <f>IFERROR(VLOOKUP(H217,'G-1 All Habitats'!$Z$2:$AA$9,2,FALSE),"")</f>
        <v/>
      </c>
      <c r="J217" s="145"/>
      <c r="K217" s="520" t="str">
        <f>IF(J217="","",IF(VLOOKUP(J217,'G-3 Multipliers'!$L$3:$N$6,2,FALSE)=0,"Spatial Data Missing ⚠",VLOOKUP(J217,'G-3 Multipliers'!$L$3:$N$6,2,FALSE)))</f>
        <v/>
      </c>
      <c r="L217" s="505" t="str">
        <f>IF(J217="","",IF(VLOOKUP(J217,'G-3 Multipliers'!$L$3:$N$6,3,FALSE)=0,"Spatial Data Missing ⚠",VLOOKUP(J217,'G-3 Multipliers'!$L$3:$N$6,3,FALSE)))</f>
        <v/>
      </c>
      <c r="M217" s="498" t="str">
        <f>IF(OR(D217="",H217=""),"",(INDEX('G-6 Hedgerow Data'!$E$3:$I$15,MATCH(D217,'G-6 Hedgerow Data'!$B$3:$B$15,0),MATCH(H217,'G-6 Hedgerow Data'!$E$2:$I$2,0))))</f>
        <v/>
      </c>
      <c r="N217" s="195"/>
      <c r="O217" s="195"/>
      <c r="P217" s="507" t="str">
        <f t="shared" si="19"/>
        <v/>
      </c>
      <c r="Q217" s="521" t="str">
        <f t="shared" si="20"/>
        <v/>
      </c>
      <c r="R217" s="522" t="str">
        <f t="shared" si="18"/>
        <v/>
      </c>
      <c r="S217" s="537" t="str">
        <f>IF(D217="","",VLOOKUP(D217,'G-6 Hedgerow Data'!$B$3:$AG$15,31,FALSE))</f>
        <v/>
      </c>
      <c r="T217" s="507" t="str">
        <f t="shared" si="21"/>
        <v/>
      </c>
      <c r="U217" s="507" t="str">
        <f t="shared" si="22"/>
        <v/>
      </c>
      <c r="V217" s="524" t="str">
        <f>IF(D217="","",VLOOKUP(S217,'G-3 Multipliers'!$P$3:$Q$6,2,FALSE))</f>
        <v/>
      </c>
      <c r="W217" s="529" t="str">
        <f t="shared" si="23"/>
        <v/>
      </c>
      <c r="X217" s="149"/>
      <c r="Y217" s="150"/>
      <c r="AG217" s="31" t="str">
        <f>IFERROR(INDEX('G-6 Hedgerow Data'!$BJ$3:$BJ$15,MATCH(D217,'G-6 Hedgerow Data'!$B$3:$B$15,0)),"")</f>
        <v/>
      </c>
    </row>
    <row r="218" spans="2:33" ht="14" x14ac:dyDescent="0.3">
      <c r="B218" s="141">
        <v>207</v>
      </c>
      <c r="C218" s="205"/>
      <c r="D218" s="195"/>
      <c r="E218" s="172"/>
      <c r="F218" s="553" t="str">
        <f>IF(D218="","",VLOOKUP(D218,'G-6 Hedgerow Data'!$B$2:$AG$15,2,FALSE))</f>
        <v/>
      </c>
      <c r="G218" s="499" t="str">
        <f>IF(D218="","",VLOOKUP(D218,'G-6 Hedgerow Data'!$B$2:$AG$15,3,FALSE))</f>
        <v/>
      </c>
      <c r="H218" s="145"/>
      <c r="I218" s="499" t="str">
        <f>IFERROR(VLOOKUP(H218,'G-1 All Habitats'!$Z$2:$AA$9,2,FALSE),"")</f>
        <v/>
      </c>
      <c r="J218" s="145"/>
      <c r="K218" s="520" t="str">
        <f>IF(J218="","",IF(VLOOKUP(J218,'G-3 Multipliers'!$L$3:$N$6,2,FALSE)=0,"Spatial Data Missing ⚠",VLOOKUP(J218,'G-3 Multipliers'!$L$3:$N$6,2,FALSE)))</f>
        <v/>
      </c>
      <c r="L218" s="505" t="str">
        <f>IF(J218="","",IF(VLOOKUP(J218,'G-3 Multipliers'!$L$3:$N$6,3,FALSE)=0,"Spatial Data Missing ⚠",VLOOKUP(J218,'G-3 Multipliers'!$L$3:$N$6,3,FALSE)))</f>
        <v/>
      </c>
      <c r="M218" s="498" t="str">
        <f>IF(OR(D218="",H218=""),"",(INDEX('G-6 Hedgerow Data'!$E$3:$I$15,MATCH(D218,'G-6 Hedgerow Data'!$B$3:$B$15,0),MATCH(H218,'G-6 Hedgerow Data'!$E$2:$I$2,0))))</f>
        <v/>
      </c>
      <c r="N218" s="195"/>
      <c r="O218" s="195"/>
      <c r="P218" s="507" t="str">
        <f t="shared" si="19"/>
        <v/>
      </c>
      <c r="Q218" s="521" t="str">
        <f t="shared" si="20"/>
        <v/>
      </c>
      <c r="R218" s="522" t="str">
        <f t="shared" si="18"/>
        <v/>
      </c>
      <c r="S218" s="537" t="str">
        <f>IF(D218="","",VLOOKUP(D218,'G-6 Hedgerow Data'!$B$3:$AG$15,31,FALSE))</f>
        <v/>
      </c>
      <c r="T218" s="507" t="str">
        <f t="shared" si="21"/>
        <v/>
      </c>
      <c r="U218" s="507" t="str">
        <f t="shared" si="22"/>
        <v/>
      </c>
      <c r="V218" s="524" t="str">
        <f>IF(D218="","",VLOOKUP(S218,'G-3 Multipliers'!$P$3:$Q$6,2,FALSE))</f>
        <v/>
      </c>
      <c r="W218" s="529" t="str">
        <f t="shared" si="23"/>
        <v/>
      </c>
      <c r="X218" s="149"/>
      <c r="Y218" s="150"/>
      <c r="AG218" s="31" t="str">
        <f>IFERROR(INDEX('G-6 Hedgerow Data'!$BJ$3:$BJ$15,MATCH(D218,'G-6 Hedgerow Data'!$B$3:$B$15,0)),"")</f>
        <v/>
      </c>
    </row>
    <row r="219" spans="2:33" ht="14" x14ac:dyDescent="0.3">
      <c r="B219" s="141">
        <v>208</v>
      </c>
      <c r="C219" s="205"/>
      <c r="D219" s="195"/>
      <c r="E219" s="172"/>
      <c r="F219" s="553" t="str">
        <f>IF(D219="","",VLOOKUP(D219,'G-6 Hedgerow Data'!$B$2:$AG$15,2,FALSE))</f>
        <v/>
      </c>
      <c r="G219" s="499" t="str">
        <f>IF(D219="","",VLOOKUP(D219,'G-6 Hedgerow Data'!$B$2:$AG$15,3,FALSE))</f>
        <v/>
      </c>
      <c r="H219" s="145"/>
      <c r="I219" s="499" t="str">
        <f>IFERROR(VLOOKUP(H219,'G-1 All Habitats'!$Z$2:$AA$9,2,FALSE),"")</f>
        <v/>
      </c>
      <c r="J219" s="145"/>
      <c r="K219" s="520" t="str">
        <f>IF(J219="","",IF(VLOOKUP(J219,'G-3 Multipliers'!$L$3:$N$6,2,FALSE)=0,"Spatial Data Missing ⚠",VLOOKUP(J219,'G-3 Multipliers'!$L$3:$N$6,2,FALSE)))</f>
        <v/>
      </c>
      <c r="L219" s="505" t="str">
        <f>IF(J219="","",IF(VLOOKUP(J219,'G-3 Multipliers'!$L$3:$N$6,3,FALSE)=0,"Spatial Data Missing ⚠",VLOOKUP(J219,'G-3 Multipliers'!$L$3:$N$6,3,FALSE)))</f>
        <v/>
      </c>
      <c r="M219" s="498" t="str">
        <f>IF(OR(D219="",H219=""),"",(INDEX('G-6 Hedgerow Data'!$E$3:$I$15,MATCH(D219,'G-6 Hedgerow Data'!$B$3:$B$15,0),MATCH(H219,'G-6 Hedgerow Data'!$E$2:$I$2,0))))</f>
        <v/>
      </c>
      <c r="N219" s="195"/>
      <c r="O219" s="195"/>
      <c r="P219" s="507" t="str">
        <f t="shared" si="19"/>
        <v/>
      </c>
      <c r="Q219" s="521" t="str">
        <f t="shared" si="20"/>
        <v/>
      </c>
      <c r="R219" s="522" t="str">
        <f t="shared" si="18"/>
        <v/>
      </c>
      <c r="S219" s="537" t="str">
        <f>IF(D219="","",VLOOKUP(D219,'G-6 Hedgerow Data'!$B$3:$AG$15,31,FALSE))</f>
        <v/>
      </c>
      <c r="T219" s="507" t="str">
        <f t="shared" si="21"/>
        <v/>
      </c>
      <c r="U219" s="507" t="str">
        <f t="shared" si="22"/>
        <v/>
      </c>
      <c r="V219" s="524" t="str">
        <f>IF(D219="","",VLOOKUP(S219,'G-3 Multipliers'!$P$3:$Q$6,2,FALSE))</f>
        <v/>
      </c>
      <c r="W219" s="529" t="str">
        <f t="shared" si="23"/>
        <v/>
      </c>
      <c r="X219" s="149"/>
      <c r="Y219" s="150"/>
      <c r="AG219" s="31" t="str">
        <f>IFERROR(INDEX('G-6 Hedgerow Data'!$BJ$3:$BJ$15,MATCH(D219,'G-6 Hedgerow Data'!$B$3:$B$15,0)),"")</f>
        <v/>
      </c>
    </row>
    <row r="220" spans="2:33" ht="14" x14ac:dyDescent="0.3">
      <c r="B220" s="141">
        <v>209</v>
      </c>
      <c r="C220" s="205"/>
      <c r="D220" s="195"/>
      <c r="E220" s="172"/>
      <c r="F220" s="553" t="str">
        <f>IF(D220="","",VLOOKUP(D220,'G-6 Hedgerow Data'!$B$2:$AG$15,2,FALSE))</f>
        <v/>
      </c>
      <c r="G220" s="499" t="str">
        <f>IF(D220="","",VLOOKUP(D220,'G-6 Hedgerow Data'!$B$2:$AG$15,3,FALSE))</f>
        <v/>
      </c>
      <c r="H220" s="145"/>
      <c r="I220" s="499" t="str">
        <f>IFERROR(VLOOKUP(H220,'G-1 All Habitats'!$Z$2:$AA$9,2,FALSE),"")</f>
        <v/>
      </c>
      <c r="J220" s="145"/>
      <c r="K220" s="520" t="str">
        <f>IF(J220="","",IF(VLOOKUP(J220,'G-3 Multipliers'!$L$3:$N$6,2,FALSE)=0,"Spatial Data Missing ⚠",VLOOKUP(J220,'G-3 Multipliers'!$L$3:$N$6,2,FALSE)))</f>
        <v/>
      </c>
      <c r="L220" s="505" t="str">
        <f>IF(J220="","",IF(VLOOKUP(J220,'G-3 Multipliers'!$L$3:$N$6,3,FALSE)=0,"Spatial Data Missing ⚠",VLOOKUP(J220,'G-3 Multipliers'!$L$3:$N$6,3,FALSE)))</f>
        <v/>
      </c>
      <c r="M220" s="498" t="str">
        <f>IF(OR(D220="",H220=""),"",(INDEX('G-6 Hedgerow Data'!$E$3:$I$15,MATCH(D220,'G-6 Hedgerow Data'!$B$3:$B$15,0),MATCH(H220,'G-6 Hedgerow Data'!$E$2:$I$2,0))))</f>
        <v/>
      </c>
      <c r="N220" s="195"/>
      <c r="O220" s="195"/>
      <c r="P220" s="507" t="str">
        <f t="shared" si="19"/>
        <v/>
      </c>
      <c r="Q220" s="521" t="str">
        <f t="shared" si="20"/>
        <v/>
      </c>
      <c r="R220" s="522" t="str">
        <f t="shared" si="18"/>
        <v/>
      </c>
      <c r="S220" s="537" t="str">
        <f>IF(D220="","",VLOOKUP(D220,'G-6 Hedgerow Data'!$B$3:$AG$15,31,FALSE))</f>
        <v/>
      </c>
      <c r="T220" s="507" t="str">
        <f t="shared" si="21"/>
        <v/>
      </c>
      <c r="U220" s="507" t="str">
        <f t="shared" si="22"/>
        <v/>
      </c>
      <c r="V220" s="524" t="str">
        <f>IF(D220="","",VLOOKUP(S220,'G-3 Multipliers'!$P$3:$Q$6,2,FALSE))</f>
        <v/>
      </c>
      <c r="W220" s="529" t="str">
        <f t="shared" si="23"/>
        <v/>
      </c>
      <c r="X220" s="149"/>
      <c r="Y220" s="150"/>
      <c r="AG220" s="31" t="str">
        <f>IFERROR(INDEX('G-6 Hedgerow Data'!$BJ$3:$BJ$15,MATCH(D220,'G-6 Hedgerow Data'!$B$3:$B$15,0)),"")</f>
        <v/>
      </c>
    </row>
    <row r="221" spans="2:33" ht="14" x14ac:dyDescent="0.3">
      <c r="B221" s="141">
        <v>210</v>
      </c>
      <c r="C221" s="205"/>
      <c r="D221" s="195"/>
      <c r="E221" s="172"/>
      <c r="F221" s="553" t="str">
        <f>IF(D221="","",VLOOKUP(D221,'G-6 Hedgerow Data'!$B$2:$AG$15,2,FALSE))</f>
        <v/>
      </c>
      <c r="G221" s="499" t="str">
        <f>IF(D221="","",VLOOKUP(D221,'G-6 Hedgerow Data'!$B$2:$AG$15,3,FALSE))</f>
        <v/>
      </c>
      <c r="H221" s="145"/>
      <c r="I221" s="499" t="str">
        <f>IFERROR(VLOOKUP(H221,'G-1 All Habitats'!$Z$2:$AA$9,2,FALSE),"")</f>
        <v/>
      </c>
      <c r="J221" s="145"/>
      <c r="K221" s="520" t="str">
        <f>IF(J221="","",IF(VLOOKUP(J221,'G-3 Multipliers'!$L$3:$N$6,2,FALSE)=0,"Spatial Data Missing ⚠",VLOOKUP(J221,'G-3 Multipliers'!$L$3:$N$6,2,FALSE)))</f>
        <v/>
      </c>
      <c r="L221" s="505" t="str">
        <f>IF(J221="","",IF(VLOOKUP(J221,'G-3 Multipliers'!$L$3:$N$6,3,FALSE)=0,"Spatial Data Missing ⚠",VLOOKUP(J221,'G-3 Multipliers'!$L$3:$N$6,3,FALSE)))</f>
        <v/>
      </c>
      <c r="M221" s="498" t="str">
        <f>IF(OR(D221="",H221=""),"",(INDEX('G-6 Hedgerow Data'!$E$3:$I$15,MATCH(D221,'G-6 Hedgerow Data'!$B$3:$B$15,0),MATCH(H221,'G-6 Hedgerow Data'!$E$2:$I$2,0))))</f>
        <v/>
      </c>
      <c r="N221" s="195"/>
      <c r="O221" s="195"/>
      <c r="P221" s="507" t="str">
        <f t="shared" si="19"/>
        <v/>
      </c>
      <c r="Q221" s="521" t="str">
        <f t="shared" si="20"/>
        <v/>
      </c>
      <c r="R221" s="522" t="str">
        <f t="shared" si="18"/>
        <v/>
      </c>
      <c r="S221" s="537" t="str">
        <f>IF(D221="","",VLOOKUP(D221,'G-6 Hedgerow Data'!$B$3:$AG$15,31,FALSE))</f>
        <v/>
      </c>
      <c r="T221" s="507" t="str">
        <f t="shared" si="21"/>
        <v/>
      </c>
      <c r="U221" s="507" t="str">
        <f t="shared" si="22"/>
        <v/>
      </c>
      <c r="V221" s="524" t="str">
        <f>IF(D221="","",VLOOKUP(S221,'G-3 Multipliers'!$P$3:$Q$6,2,FALSE))</f>
        <v/>
      </c>
      <c r="W221" s="529" t="str">
        <f t="shared" si="23"/>
        <v/>
      </c>
      <c r="X221" s="149"/>
      <c r="Y221" s="150"/>
      <c r="AG221" s="31" t="str">
        <f>IFERROR(INDEX('G-6 Hedgerow Data'!$BJ$3:$BJ$15,MATCH(D221,'G-6 Hedgerow Data'!$B$3:$B$15,0)),"")</f>
        <v/>
      </c>
    </row>
    <row r="222" spans="2:33" ht="14" x14ac:dyDescent="0.3">
      <c r="B222" s="141">
        <v>211</v>
      </c>
      <c r="C222" s="205"/>
      <c r="D222" s="195"/>
      <c r="E222" s="172"/>
      <c r="F222" s="553" t="str">
        <f>IF(D222="","",VLOOKUP(D222,'G-6 Hedgerow Data'!$B$2:$AG$15,2,FALSE))</f>
        <v/>
      </c>
      <c r="G222" s="499" t="str">
        <f>IF(D222="","",VLOOKUP(D222,'G-6 Hedgerow Data'!$B$2:$AG$15,3,FALSE))</f>
        <v/>
      </c>
      <c r="H222" s="145"/>
      <c r="I222" s="499" t="str">
        <f>IFERROR(VLOOKUP(H222,'G-1 All Habitats'!$Z$2:$AA$9,2,FALSE),"")</f>
        <v/>
      </c>
      <c r="J222" s="145"/>
      <c r="K222" s="520" t="str">
        <f>IF(J222="","",IF(VLOOKUP(J222,'G-3 Multipliers'!$L$3:$N$6,2,FALSE)=0,"Spatial Data Missing ⚠",VLOOKUP(J222,'G-3 Multipliers'!$L$3:$N$6,2,FALSE)))</f>
        <v/>
      </c>
      <c r="L222" s="505" t="str">
        <f>IF(J222="","",IF(VLOOKUP(J222,'G-3 Multipliers'!$L$3:$N$6,3,FALSE)=0,"Spatial Data Missing ⚠",VLOOKUP(J222,'G-3 Multipliers'!$L$3:$N$6,3,FALSE)))</f>
        <v/>
      </c>
      <c r="M222" s="498" t="str">
        <f>IF(OR(D222="",H222=""),"",(INDEX('G-6 Hedgerow Data'!$E$3:$I$15,MATCH(D222,'G-6 Hedgerow Data'!$B$3:$B$15,0),MATCH(H222,'G-6 Hedgerow Data'!$E$2:$I$2,0))))</f>
        <v/>
      </c>
      <c r="N222" s="195"/>
      <c r="O222" s="195"/>
      <c r="P222" s="507" t="str">
        <f t="shared" si="19"/>
        <v/>
      </c>
      <c r="Q222" s="521" t="str">
        <f t="shared" si="20"/>
        <v/>
      </c>
      <c r="R222" s="522" t="str">
        <f t="shared" si="18"/>
        <v/>
      </c>
      <c r="S222" s="537" t="str">
        <f>IF(D222="","",VLOOKUP(D222,'G-6 Hedgerow Data'!$B$3:$AG$15,31,FALSE))</f>
        <v/>
      </c>
      <c r="T222" s="507" t="str">
        <f t="shared" si="21"/>
        <v/>
      </c>
      <c r="U222" s="507" t="str">
        <f t="shared" si="22"/>
        <v/>
      </c>
      <c r="V222" s="524" t="str">
        <f>IF(D222="","",VLOOKUP(S222,'G-3 Multipliers'!$P$3:$Q$6,2,FALSE))</f>
        <v/>
      </c>
      <c r="W222" s="529" t="str">
        <f t="shared" si="23"/>
        <v/>
      </c>
      <c r="X222" s="149"/>
      <c r="Y222" s="150"/>
      <c r="AG222" s="31" t="str">
        <f>IFERROR(INDEX('G-6 Hedgerow Data'!$BJ$3:$BJ$15,MATCH(D222,'G-6 Hedgerow Data'!$B$3:$B$15,0)),"")</f>
        <v/>
      </c>
    </row>
    <row r="223" spans="2:33" ht="14" x14ac:dyDescent="0.3">
      <c r="B223" s="141">
        <v>212</v>
      </c>
      <c r="C223" s="205"/>
      <c r="D223" s="195"/>
      <c r="E223" s="172"/>
      <c r="F223" s="553" t="str">
        <f>IF(D223="","",VLOOKUP(D223,'G-6 Hedgerow Data'!$B$2:$AG$15,2,FALSE))</f>
        <v/>
      </c>
      <c r="G223" s="499" t="str">
        <f>IF(D223="","",VLOOKUP(D223,'G-6 Hedgerow Data'!$B$2:$AG$15,3,FALSE))</f>
        <v/>
      </c>
      <c r="H223" s="145"/>
      <c r="I223" s="499" t="str">
        <f>IFERROR(VLOOKUP(H223,'G-1 All Habitats'!$Z$2:$AA$9,2,FALSE),"")</f>
        <v/>
      </c>
      <c r="J223" s="145"/>
      <c r="K223" s="520" t="str">
        <f>IF(J223="","",IF(VLOOKUP(J223,'G-3 Multipliers'!$L$3:$N$6,2,FALSE)=0,"Spatial Data Missing ⚠",VLOOKUP(J223,'G-3 Multipliers'!$L$3:$N$6,2,FALSE)))</f>
        <v/>
      </c>
      <c r="L223" s="505" t="str">
        <f>IF(J223="","",IF(VLOOKUP(J223,'G-3 Multipliers'!$L$3:$N$6,3,FALSE)=0,"Spatial Data Missing ⚠",VLOOKUP(J223,'G-3 Multipliers'!$L$3:$N$6,3,FALSE)))</f>
        <v/>
      </c>
      <c r="M223" s="498" t="str">
        <f>IF(OR(D223="",H223=""),"",(INDEX('G-6 Hedgerow Data'!$E$3:$I$15,MATCH(D223,'G-6 Hedgerow Data'!$B$3:$B$15,0),MATCH(H223,'G-6 Hedgerow Data'!$E$2:$I$2,0))))</f>
        <v/>
      </c>
      <c r="N223" s="195"/>
      <c r="O223" s="195"/>
      <c r="P223" s="507" t="str">
        <f t="shared" si="19"/>
        <v/>
      </c>
      <c r="Q223" s="521" t="str">
        <f t="shared" si="20"/>
        <v/>
      </c>
      <c r="R223" s="522" t="str">
        <f t="shared" si="18"/>
        <v/>
      </c>
      <c r="S223" s="537" t="str">
        <f>IF(D223="","",VLOOKUP(D223,'G-6 Hedgerow Data'!$B$3:$AG$15,31,FALSE))</f>
        <v/>
      </c>
      <c r="T223" s="507" t="str">
        <f t="shared" si="21"/>
        <v/>
      </c>
      <c r="U223" s="507" t="str">
        <f t="shared" si="22"/>
        <v/>
      </c>
      <c r="V223" s="524" t="str">
        <f>IF(D223="","",VLOOKUP(S223,'G-3 Multipliers'!$P$3:$Q$6,2,FALSE))</f>
        <v/>
      </c>
      <c r="W223" s="529" t="str">
        <f t="shared" si="23"/>
        <v/>
      </c>
      <c r="X223" s="149"/>
      <c r="Y223" s="150"/>
      <c r="AG223" s="31" t="str">
        <f>IFERROR(INDEX('G-6 Hedgerow Data'!$BJ$3:$BJ$15,MATCH(D223,'G-6 Hedgerow Data'!$B$3:$B$15,0)),"")</f>
        <v/>
      </c>
    </row>
    <row r="224" spans="2:33" ht="14" x14ac:dyDescent="0.3">
      <c r="B224" s="141">
        <v>213</v>
      </c>
      <c r="C224" s="205"/>
      <c r="D224" s="195"/>
      <c r="E224" s="172"/>
      <c r="F224" s="553" t="str">
        <f>IF(D224="","",VLOOKUP(D224,'G-6 Hedgerow Data'!$B$2:$AG$15,2,FALSE))</f>
        <v/>
      </c>
      <c r="G224" s="499" t="str">
        <f>IF(D224="","",VLOOKUP(D224,'G-6 Hedgerow Data'!$B$2:$AG$15,3,FALSE))</f>
        <v/>
      </c>
      <c r="H224" s="145"/>
      <c r="I224" s="499" t="str">
        <f>IFERROR(VLOOKUP(H224,'G-1 All Habitats'!$Z$2:$AA$9,2,FALSE),"")</f>
        <v/>
      </c>
      <c r="J224" s="145"/>
      <c r="K224" s="520" t="str">
        <f>IF(J224="","",IF(VLOOKUP(J224,'G-3 Multipliers'!$L$3:$N$6,2,FALSE)=0,"Spatial Data Missing ⚠",VLOOKUP(J224,'G-3 Multipliers'!$L$3:$N$6,2,FALSE)))</f>
        <v/>
      </c>
      <c r="L224" s="505" t="str">
        <f>IF(J224="","",IF(VLOOKUP(J224,'G-3 Multipliers'!$L$3:$N$6,3,FALSE)=0,"Spatial Data Missing ⚠",VLOOKUP(J224,'G-3 Multipliers'!$L$3:$N$6,3,FALSE)))</f>
        <v/>
      </c>
      <c r="M224" s="498" t="str">
        <f>IF(OR(D224="",H224=""),"",(INDEX('G-6 Hedgerow Data'!$E$3:$I$15,MATCH(D224,'G-6 Hedgerow Data'!$B$3:$B$15,0),MATCH(H224,'G-6 Hedgerow Data'!$E$2:$I$2,0))))</f>
        <v/>
      </c>
      <c r="N224" s="195"/>
      <c r="O224" s="195"/>
      <c r="P224" s="507" t="str">
        <f t="shared" si="19"/>
        <v/>
      </c>
      <c r="Q224" s="521" t="str">
        <f t="shared" si="20"/>
        <v/>
      </c>
      <c r="R224" s="522" t="str">
        <f t="shared" si="18"/>
        <v/>
      </c>
      <c r="S224" s="537" t="str">
        <f>IF(D224="","",VLOOKUP(D224,'G-6 Hedgerow Data'!$B$3:$AG$15,31,FALSE))</f>
        <v/>
      </c>
      <c r="T224" s="507" t="str">
        <f t="shared" si="21"/>
        <v/>
      </c>
      <c r="U224" s="507" t="str">
        <f t="shared" si="22"/>
        <v/>
      </c>
      <c r="V224" s="524" t="str">
        <f>IF(D224="","",VLOOKUP(S224,'G-3 Multipliers'!$P$3:$Q$6,2,FALSE))</f>
        <v/>
      </c>
      <c r="W224" s="529" t="str">
        <f t="shared" si="23"/>
        <v/>
      </c>
      <c r="X224" s="149"/>
      <c r="Y224" s="150"/>
      <c r="AG224" s="31" t="str">
        <f>IFERROR(INDEX('G-6 Hedgerow Data'!$BJ$3:$BJ$15,MATCH(D224,'G-6 Hedgerow Data'!$B$3:$B$15,0)),"")</f>
        <v/>
      </c>
    </row>
    <row r="225" spans="2:33" ht="14" x14ac:dyDescent="0.3">
      <c r="B225" s="141">
        <v>214</v>
      </c>
      <c r="C225" s="205"/>
      <c r="D225" s="195"/>
      <c r="E225" s="172"/>
      <c r="F225" s="553" t="str">
        <f>IF(D225="","",VLOOKUP(D225,'G-6 Hedgerow Data'!$B$2:$AG$15,2,FALSE))</f>
        <v/>
      </c>
      <c r="G225" s="499" t="str">
        <f>IF(D225="","",VLOOKUP(D225,'G-6 Hedgerow Data'!$B$2:$AG$15,3,FALSE))</f>
        <v/>
      </c>
      <c r="H225" s="145"/>
      <c r="I225" s="499" t="str">
        <f>IFERROR(VLOOKUP(H225,'G-1 All Habitats'!$Z$2:$AA$9,2,FALSE),"")</f>
        <v/>
      </c>
      <c r="J225" s="145"/>
      <c r="K225" s="520" t="str">
        <f>IF(J225="","",IF(VLOOKUP(J225,'G-3 Multipliers'!$L$3:$N$6,2,FALSE)=0,"Spatial Data Missing ⚠",VLOOKUP(J225,'G-3 Multipliers'!$L$3:$N$6,2,FALSE)))</f>
        <v/>
      </c>
      <c r="L225" s="505" t="str">
        <f>IF(J225="","",IF(VLOOKUP(J225,'G-3 Multipliers'!$L$3:$N$6,3,FALSE)=0,"Spatial Data Missing ⚠",VLOOKUP(J225,'G-3 Multipliers'!$L$3:$N$6,3,FALSE)))</f>
        <v/>
      </c>
      <c r="M225" s="498" t="str">
        <f>IF(OR(D225="",H225=""),"",(INDEX('G-6 Hedgerow Data'!$E$3:$I$15,MATCH(D225,'G-6 Hedgerow Data'!$B$3:$B$15,0),MATCH(H225,'G-6 Hedgerow Data'!$E$2:$I$2,0))))</f>
        <v/>
      </c>
      <c r="N225" s="195"/>
      <c r="O225" s="195"/>
      <c r="P225" s="507" t="str">
        <f t="shared" si="19"/>
        <v/>
      </c>
      <c r="Q225" s="521" t="str">
        <f t="shared" si="20"/>
        <v/>
      </c>
      <c r="R225" s="522" t="str">
        <f t="shared" si="18"/>
        <v/>
      </c>
      <c r="S225" s="537" t="str">
        <f>IF(D225="","",VLOOKUP(D225,'G-6 Hedgerow Data'!$B$3:$AG$15,31,FALSE))</f>
        <v/>
      </c>
      <c r="T225" s="507" t="str">
        <f t="shared" si="21"/>
        <v/>
      </c>
      <c r="U225" s="507" t="str">
        <f t="shared" si="22"/>
        <v/>
      </c>
      <c r="V225" s="524" t="str">
        <f>IF(D225="","",VLOOKUP(S225,'G-3 Multipliers'!$P$3:$Q$6,2,FALSE))</f>
        <v/>
      </c>
      <c r="W225" s="529" t="str">
        <f t="shared" si="23"/>
        <v/>
      </c>
      <c r="X225" s="149"/>
      <c r="Y225" s="150"/>
      <c r="AG225" s="31" t="str">
        <f>IFERROR(INDEX('G-6 Hedgerow Data'!$BJ$3:$BJ$15,MATCH(D225,'G-6 Hedgerow Data'!$B$3:$B$15,0)),"")</f>
        <v/>
      </c>
    </row>
    <row r="226" spans="2:33" ht="14" x14ac:dyDescent="0.3">
      <c r="B226" s="141">
        <v>215</v>
      </c>
      <c r="C226" s="205"/>
      <c r="D226" s="195"/>
      <c r="E226" s="172"/>
      <c r="F226" s="553" t="str">
        <f>IF(D226="","",VLOOKUP(D226,'G-6 Hedgerow Data'!$B$2:$AG$15,2,FALSE))</f>
        <v/>
      </c>
      <c r="G226" s="499" t="str">
        <f>IF(D226="","",VLOOKUP(D226,'G-6 Hedgerow Data'!$B$2:$AG$15,3,FALSE))</f>
        <v/>
      </c>
      <c r="H226" s="145"/>
      <c r="I226" s="499" t="str">
        <f>IFERROR(VLOOKUP(H226,'G-1 All Habitats'!$Z$2:$AA$9,2,FALSE),"")</f>
        <v/>
      </c>
      <c r="J226" s="145"/>
      <c r="K226" s="520" t="str">
        <f>IF(J226="","",IF(VLOOKUP(J226,'G-3 Multipliers'!$L$3:$N$6,2,FALSE)=0,"Spatial Data Missing ⚠",VLOOKUP(J226,'G-3 Multipliers'!$L$3:$N$6,2,FALSE)))</f>
        <v/>
      </c>
      <c r="L226" s="505" t="str">
        <f>IF(J226="","",IF(VLOOKUP(J226,'G-3 Multipliers'!$L$3:$N$6,3,FALSE)=0,"Spatial Data Missing ⚠",VLOOKUP(J226,'G-3 Multipliers'!$L$3:$N$6,3,FALSE)))</f>
        <v/>
      </c>
      <c r="M226" s="498" t="str">
        <f>IF(OR(D226="",H226=""),"",(INDEX('G-6 Hedgerow Data'!$E$3:$I$15,MATCH(D226,'G-6 Hedgerow Data'!$B$3:$B$15,0),MATCH(H226,'G-6 Hedgerow Data'!$E$2:$I$2,0))))</f>
        <v/>
      </c>
      <c r="N226" s="195"/>
      <c r="O226" s="195"/>
      <c r="P226" s="507" t="str">
        <f t="shared" si="19"/>
        <v/>
      </c>
      <c r="Q226" s="521" t="str">
        <f t="shared" si="20"/>
        <v/>
      </c>
      <c r="R226" s="522" t="str">
        <f t="shared" si="18"/>
        <v/>
      </c>
      <c r="S226" s="537" t="str">
        <f>IF(D226="","",VLOOKUP(D226,'G-6 Hedgerow Data'!$B$3:$AG$15,31,FALSE))</f>
        <v/>
      </c>
      <c r="T226" s="507" t="str">
        <f t="shared" si="21"/>
        <v/>
      </c>
      <c r="U226" s="507" t="str">
        <f t="shared" si="22"/>
        <v/>
      </c>
      <c r="V226" s="524" t="str">
        <f>IF(D226="","",VLOOKUP(S226,'G-3 Multipliers'!$P$3:$Q$6,2,FALSE))</f>
        <v/>
      </c>
      <c r="W226" s="529" t="str">
        <f t="shared" si="23"/>
        <v/>
      </c>
      <c r="X226" s="149"/>
      <c r="Y226" s="150"/>
      <c r="AG226" s="31" t="str">
        <f>IFERROR(INDEX('G-6 Hedgerow Data'!$BJ$3:$BJ$15,MATCH(D226,'G-6 Hedgerow Data'!$B$3:$B$15,0)),"")</f>
        <v/>
      </c>
    </row>
    <row r="227" spans="2:33" ht="14" x14ac:dyDescent="0.3">
      <c r="B227" s="141">
        <v>216</v>
      </c>
      <c r="C227" s="205"/>
      <c r="D227" s="195"/>
      <c r="E227" s="172"/>
      <c r="F227" s="553" t="str">
        <f>IF(D227="","",VLOOKUP(D227,'G-6 Hedgerow Data'!$B$2:$AG$15,2,FALSE))</f>
        <v/>
      </c>
      <c r="G227" s="499" t="str">
        <f>IF(D227="","",VLOOKUP(D227,'G-6 Hedgerow Data'!$B$2:$AG$15,3,FALSE))</f>
        <v/>
      </c>
      <c r="H227" s="145"/>
      <c r="I227" s="499" t="str">
        <f>IFERROR(VLOOKUP(H227,'G-1 All Habitats'!$Z$2:$AA$9,2,FALSE),"")</f>
        <v/>
      </c>
      <c r="J227" s="145"/>
      <c r="K227" s="520" t="str">
        <f>IF(J227="","",IF(VLOOKUP(J227,'G-3 Multipliers'!$L$3:$N$6,2,FALSE)=0,"Spatial Data Missing ⚠",VLOOKUP(J227,'G-3 Multipliers'!$L$3:$N$6,2,FALSE)))</f>
        <v/>
      </c>
      <c r="L227" s="505" t="str">
        <f>IF(J227="","",IF(VLOOKUP(J227,'G-3 Multipliers'!$L$3:$N$6,3,FALSE)=0,"Spatial Data Missing ⚠",VLOOKUP(J227,'G-3 Multipliers'!$L$3:$N$6,3,FALSE)))</f>
        <v/>
      </c>
      <c r="M227" s="498" t="str">
        <f>IF(OR(D227="",H227=""),"",(INDEX('G-6 Hedgerow Data'!$E$3:$I$15,MATCH(D227,'G-6 Hedgerow Data'!$B$3:$B$15,0),MATCH(H227,'G-6 Hedgerow Data'!$E$2:$I$2,0))))</f>
        <v/>
      </c>
      <c r="N227" s="195"/>
      <c r="O227" s="195"/>
      <c r="P227" s="507" t="str">
        <f t="shared" si="19"/>
        <v/>
      </c>
      <c r="Q227" s="521" t="str">
        <f t="shared" si="20"/>
        <v/>
      </c>
      <c r="R227" s="522" t="str">
        <f t="shared" si="18"/>
        <v/>
      </c>
      <c r="S227" s="537" t="str">
        <f>IF(D227="","",VLOOKUP(D227,'G-6 Hedgerow Data'!$B$3:$AG$15,31,FALSE))</f>
        <v/>
      </c>
      <c r="T227" s="507" t="str">
        <f t="shared" si="21"/>
        <v/>
      </c>
      <c r="U227" s="507" t="str">
        <f t="shared" si="22"/>
        <v/>
      </c>
      <c r="V227" s="524" t="str">
        <f>IF(D227="","",VLOOKUP(S227,'G-3 Multipliers'!$P$3:$Q$6,2,FALSE))</f>
        <v/>
      </c>
      <c r="W227" s="529" t="str">
        <f t="shared" si="23"/>
        <v/>
      </c>
      <c r="X227" s="149"/>
      <c r="Y227" s="150"/>
      <c r="AG227" s="31" t="str">
        <f>IFERROR(INDEX('G-6 Hedgerow Data'!$BJ$3:$BJ$15,MATCH(D227,'G-6 Hedgerow Data'!$B$3:$B$15,0)),"")</f>
        <v/>
      </c>
    </row>
    <row r="228" spans="2:33" ht="14" x14ac:dyDescent="0.3">
      <c r="B228" s="141">
        <v>217</v>
      </c>
      <c r="C228" s="205"/>
      <c r="D228" s="195"/>
      <c r="E228" s="172"/>
      <c r="F228" s="553" t="str">
        <f>IF(D228="","",VLOOKUP(D228,'G-6 Hedgerow Data'!$B$2:$AG$15,2,FALSE))</f>
        <v/>
      </c>
      <c r="G228" s="499" t="str">
        <f>IF(D228="","",VLOOKUP(D228,'G-6 Hedgerow Data'!$B$2:$AG$15,3,FALSE))</f>
        <v/>
      </c>
      <c r="H228" s="145"/>
      <c r="I228" s="499" t="str">
        <f>IFERROR(VLOOKUP(H228,'G-1 All Habitats'!$Z$2:$AA$9,2,FALSE),"")</f>
        <v/>
      </c>
      <c r="J228" s="145"/>
      <c r="K228" s="520" t="str">
        <f>IF(J228="","",IF(VLOOKUP(J228,'G-3 Multipliers'!$L$3:$N$6,2,FALSE)=0,"Spatial Data Missing ⚠",VLOOKUP(J228,'G-3 Multipliers'!$L$3:$N$6,2,FALSE)))</f>
        <v/>
      </c>
      <c r="L228" s="505" t="str">
        <f>IF(J228="","",IF(VLOOKUP(J228,'G-3 Multipliers'!$L$3:$N$6,3,FALSE)=0,"Spatial Data Missing ⚠",VLOOKUP(J228,'G-3 Multipliers'!$L$3:$N$6,3,FALSE)))</f>
        <v/>
      </c>
      <c r="M228" s="498" t="str">
        <f>IF(OR(D228="",H228=""),"",(INDEX('G-6 Hedgerow Data'!$E$3:$I$15,MATCH(D228,'G-6 Hedgerow Data'!$B$3:$B$15,0),MATCH(H228,'G-6 Hedgerow Data'!$E$2:$I$2,0))))</f>
        <v/>
      </c>
      <c r="N228" s="195"/>
      <c r="O228" s="195"/>
      <c r="P228" s="507" t="str">
        <f t="shared" si="19"/>
        <v/>
      </c>
      <c r="Q228" s="521" t="str">
        <f t="shared" si="20"/>
        <v/>
      </c>
      <c r="R228" s="522" t="str">
        <f t="shared" si="18"/>
        <v/>
      </c>
      <c r="S228" s="537" t="str">
        <f>IF(D228="","",VLOOKUP(D228,'G-6 Hedgerow Data'!$B$3:$AG$15,31,FALSE))</f>
        <v/>
      </c>
      <c r="T228" s="507" t="str">
        <f t="shared" si="21"/>
        <v/>
      </c>
      <c r="U228" s="507" t="str">
        <f t="shared" si="22"/>
        <v/>
      </c>
      <c r="V228" s="524" t="str">
        <f>IF(D228="","",VLOOKUP(S228,'G-3 Multipliers'!$P$3:$Q$6,2,FALSE))</f>
        <v/>
      </c>
      <c r="W228" s="529" t="str">
        <f t="shared" si="23"/>
        <v/>
      </c>
      <c r="X228" s="149"/>
      <c r="Y228" s="150"/>
      <c r="AG228" s="31" t="str">
        <f>IFERROR(INDEX('G-6 Hedgerow Data'!$BJ$3:$BJ$15,MATCH(D228,'G-6 Hedgerow Data'!$B$3:$B$15,0)),"")</f>
        <v/>
      </c>
    </row>
    <row r="229" spans="2:33" ht="14" x14ac:dyDescent="0.3">
      <c r="B229" s="141">
        <v>218</v>
      </c>
      <c r="C229" s="205"/>
      <c r="D229" s="195"/>
      <c r="E229" s="172"/>
      <c r="F229" s="553" t="str">
        <f>IF(D229="","",VLOOKUP(D229,'G-6 Hedgerow Data'!$B$2:$AG$15,2,FALSE))</f>
        <v/>
      </c>
      <c r="G229" s="499" t="str">
        <f>IF(D229="","",VLOOKUP(D229,'G-6 Hedgerow Data'!$B$2:$AG$15,3,FALSE))</f>
        <v/>
      </c>
      <c r="H229" s="145"/>
      <c r="I229" s="499" t="str">
        <f>IFERROR(VLOOKUP(H229,'G-1 All Habitats'!$Z$2:$AA$9,2,FALSE),"")</f>
        <v/>
      </c>
      <c r="J229" s="145"/>
      <c r="K229" s="520" t="str">
        <f>IF(J229="","",IF(VLOOKUP(J229,'G-3 Multipliers'!$L$3:$N$6,2,FALSE)=0,"Spatial Data Missing ⚠",VLOOKUP(J229,'G-3 Multipliers'!$L$3:$N$6,2,FALSE)))</f>
        <v/>
      </c>
      <c r="L229" s="505" t="str">
        <f>IF(J229="","",IF(VLOOKUP(J229,'G-3 Multipliers'!$L$3:$N$6,3,FALSE)=0,"Spatial Data Missing ⚠",VLOOKUP(J229,'G-3 Multipliers'!$L$3:$N$6,3,FALSE)))</f>
        <v/>
      </c>
      <c r="M229" s="498" t="str">
        <f>IF(OR(D229="",H229=""),"",(INDEX('G-6 Hedgerow Data'!$E$3:$I$15,MATCH(D229,'G-6 Hedgerow Data'!$B$3:$B$15,0),MATCH(H229,'G-6 Hedgerow Data'!$E$2:$I$2,0))))</f>
        <v/>
      </c>
      <c r="N229" s="195"/>
      <c r="O229" s="195"/>
      <c r="P229" s="507" t="str">
        <f t="shared" si="19"/>
        <v/>
      </c>
      <c r="Q229" s="521" t="str">
        <f t="shared" si="20"/>
        <v/>
      </c>
      <c r="R229" s="522" t="str">
        <f t="shared" si="18"/>
        <v/>
      </c>
      <c r="S229" s="537" t="str">
        <f>IF(D229="","",VLOOKUP(D229,'G-6 Hedgerow Data'!$B$3:$AG$15,31,FALSE))</f>
        <v/>
      </c>
      <c r="T229" s="507" t="str">
        <f t="shared" si="21"/>
        <v/>
      </c>
      <c r="U229" s="507" t="str">
        <f t="shared" si="22"/>
        <v/>
      </c>
      <c r="V229" s="524" t="str">
        <f>IF(D229="","",VLOOKUP(S229,'G-3 Multipliers'!$P$3:$Q$6,2,FALSE))</f>
        <v/>
      </c>
      <c r="W229" s="529" t="str">
        <f t="shared" si="23"/>
        <v/>
      </c>
      <c r="X229" s="149"/>
      <c r="Y229" s="150"/>
      <c r="AG229" s="31" t="str">
        <f>IFERROR(INDEX('G-6 Hedgerow Data'!$BJ$3:$BJ$15,MATCH(D229,'G-6 Hedgerow Data'!$B$3:$B$15,0)),"")</f>
        <v/>
      </c>
    </row>
    <row r="230" spans="2:33" ht="14" x14ac:dyDescent="0.3">
      <c r="B230" s="141">
        <v>219</v>
      </c>
      <c r="C230" s="205"/>
      <c r="D230" s="195"/>
      <c r="E230" s="172"/>
      <c r="F230" s="553" t="str">
        <f>IF(D230="","",VLOOKUP(D230,'G-6 Hedgerow Data'!$B$2:$AG$15,2,FALSE))</f>
        <v/>
      </c>
      <c r="G230" s="499" t="str">
        <f>IF(D230="","",VLOOKUP(D230,'G-6 Hedgerow Data'!$B$2:$AG$15,3,FALSE))</f>
        <v/>
      </c>
      <c r="H230" s="145"/>
      <c r="I230" s="499" t="str">
        <f>IFERROR(VLOOKUP(H230,'G-1 All Habitats'!$Z$2:$AA$9,2,FALSE),"")</f>
        <v/>
      </c>
      <c r="J230" s="145"/>
      <c r="K230" s="520" t="str">
        <f>IF(J230="","",IF(VLOOKUP(J230,'G-3 Multipliers'!$L$3:$N$6,2,FALSE)=0,"Spatial Data Missing ⚠",VLOOKUP(J230,'G-3 Multipliers'!$L$3:$N$6,2,FALSE)))</f>
        <v/>
      </c>
      <c r="L230" s="505" t="str">
        <f>IF(J230="","",IF(VLOOKUP(J230,'G-3 Multipliers'!$L$3:$N$6,3,FALSE)=0,"Spatial Data Missing ⚠",VLOOKUP(J230,'G-3 Multipliers'!$L$3:$N$6,3,FALSE)))</f>
        <v/>
      </c>
      <c r="M230" s="498" t="str">
        <f>IF(OR(D230="",H230=""),"",(INDEX('G-6 Hedgerow Data'!$E$3:$I$15,MATCH(D230,'G-6 Hedgerow Data'!$B$3:$B$15,0),MATCH(H230,'G-6 Hedgerow Data'!$E$2:$I$2,0))))</f>
        <v/>
      </c>
      <c r="N230" s="195"/>
      <c r="O230" s="195"/>
      <c r="P230" s="507" t="str">
        <f t="shared" si="19"/>
        <v/>
      </c>
      <c r="Q230" s="521" t="str">
        <f t="shared" si="20"/>
        <v/>
      </c>
      <c r="R230" s="522" t="str">
        <f t="shared" si="18"/>
        <v/>
      </c>
      <c r="S230" s="537" t="str">
        <f>IF(D230="","",VLOOKUP(D230,'G-6 Hedgerow Data'!$B$3:$AG$15,31,FALSE))</f>
        <v/>
      </c>
      <c r="T230" s="507" t="str">
        <f t="shared" si="21"/>
        <v/>
      </c>
      <c r="U230" s="507" t="str">
        <f t="shared" si="22"/>
        <v/>
      </c>
      <c r="V230" s="524" t="str">
        <f>IF(D230="","",VLOOKUP(S230,'G-3 Multipliers'!$P$3:$Q$6,2,FALSE))</f>
        <v/>
      </c>
      <c r="W230" s="529" t="str">
        <f t="shared" si="23"/>
        <v/>
      </c>
      <c r="X230" s="149"/>
      <c r="Y230" s="150"/>
      <c r="AG230" s="31" t="str">
        <f>IFERROR(INDEX('G-6 Hedgerow Data'!$BJ$3:$BJ$15,MATCH(D230,'G-6 Hedgerow Data'!$B$3:$B$15,0)),"")</f>
        <v/>
      </c>
    </row>
    <row r="231" spans="2:33" ht="14" x14ac:dyDescent="0.3">
      <c r="B231" s="141">
        <v>220</v>
      </c>
      <c r="C231" s="205"/>
      <c r="D231" s="195"/>
      <c r="E231" s="172"/>
      <c r="F231" s="553" t="str">
        <f>IF(D231="","",VLOOKUP(D231,'G-6 Hedgerow Data'!$B$2:$AG$15,2,FALSE))</f>
        <v/>
      </c>
      <c r="G231" s="499" t="str">
        <f>IF(D231="","",VLOOKUP(D231,'G-6 Hedgerow Data'!$B$2:$AG$15,3,FALSE))</f>
        <v/>
      </c>
      <c r="H231" s="145"/>
      <c r="I231" s="499" t="str">
        <f>IFERROR(VLOOKUP(H231,'G-1 All Habitats'!$Z$2:$AA$9,2,FALSE),"")</f>
        <v/>
      </c>
      <c r="J231" s="145"/>
      <c r="K231" s="520" t="str">
        <f>IF(J231="","",IF(VLOOKUP(J231,'G-3 Multipliers'!$L$3:$N$6,2,FALSE)=0,"Spatial Data Missing ⚠",VLOOKUP(J231,'G-3 Multipliers'!$L$3:$N$6,2,FALSE)))</f>
        <v/>
      </c>
      <c r="L231" s="505" t="str">
        <f>IF(J231="","",IF(VLOOKUP(J231,'G-3 Multipliers'!$L$3:$N$6,3,FALSE)=0,"Spatial Data Missing ⚠",VLOOKUP(J231,'G-3 Multipliers'!$L$3:$N$6,3,FALSE)))</f>
        <v/>
      </c>
      <c r="M231" s="498" t="str">
        <f>IF(OR(D231="",H231=""),"",(INDEX('G-6 Hedgerow Data'!$E$3:$I$15,MATCH(D231,'G-6 Hedgerow Data'!$B$3:$B$15,0),MATCH(H231,'G-6 Hedgerow Data'!$E$2:$I$2,0))))</f>
        <v/>
      </c>
      <c r="N231" s="195"/>
      <c r="O231" s="195"/>
      <c r="P231" s="507" t="str">
        <f t="shared" si="19"/>
        <v/>
      </c>
      <c r="Q231" s="521" t="str">
        <f t="shared" si="20"/>
        <v/>
      </c>
      <c r="R231" s="522" t="str">
        <f t="shared" si="18"/>
        <v/>
      </c>
      <c r="S231" s="537" t="str">
        <f>IF(D231="","",VLOOKUP(D231,'G-6 Hedgerow Data'!$B$3:$AG$15,31,FALSE))</f>
        <v/>
      </c>
      <c r="T231" s="507" t="str">
        <f t="shared" si="21"/>
        <v/>
      </c>
      <c r="U231" s="507" t="str">
        <f t="shared" si="22"/>
        <v/>
      </c>
      <c r="V231" s="524" t="str">
        <f>IF(D231="","",VLOOKUP(S231,'G-3 Multipliers'!$P$3:$Q$6,2,FALSE))</f>
        <v/>
      </c>
      <c r="W231" s="529" t="str">
        <f t="shared" si="23"/>
        <v/>
      </c>
      <c r="X231" s="149"/>
      <c r="Y231" s="150"/>
      <c r="AG231" s="31" t="str">
        <f>IFERROR(INDEX('G-6 Hedgerow Data'!$BJ$3:$BJ$15,MATCH(D231,'G-6 Hedgerow Data'!$B$3:$B$15,0)),"")</f>
        <v/>
      </c>
    </row>
    <row r="232" spans="2:33" ht="14" x14ac:dyDescent="0.3">
      <c r="B232" s="141">
        <v>221</v>
      </c>
      <c r="C232" s="205"/>
      <c r="D232" s="195"/>
      <c r="E232" s="172"/>
      <c r="F232" s="553" t="str">
        <f>IF(D232="","",VLOOKUP(D232,'G-6 Hedgerow Data'!$B$2:$AG$15,2,FALSE))</f>
        <v/>
      </c>
      <c r="G232" s="499" t="str">
        <f>IF(D232="","",VLOOKUP(D232,'G-6 Hedgerow Data'!$B$2:$AG$15,3,FALSE))</f>
        <v/>
      </c>
      <c r="H232" s="145"/>
      <c r="I232" s="499" t="str">
        <f>IFERROR(VLOOKUP(H232,'G-1 All Habitats'!$Z$2:$AA$9,2,FALSE),"")</f>
        <v/>
      </c>
      <c r="J232" s="145"/>
      <c r="K232" s="520" t="str">
        <f>IF(J232="","",IF(VLOOKUP(J232,'G-3 Multipliers'!$L$3:$N$6,2,FALSE)=0,"Spatial Data Missing ⚠",VLOOKUP(J232,'G-3 Multipliers'!$L$3:$N$6,2,FALSE)))</f>
        <v/>
      </c>
      <c r="L232" s="505" t="str">
        <f>IF(J232="","",IF(VLOOKUP(J232,'G-3 Multipliers'!$L$3:$N$6,3,FALSE)=0,"Spatial Data Missing ⚠",VLOOKUP(J232,'G-3 Multipliers'!$L$3:$N$6,3,FALSE)))</f>
        <v/>
      </c>
      <c r="M232" s="498" t="str">
        <f>IF(OR(D232="",H232=""),"",(INDEX('G-6 Hedgerow Data'!$E$3:$I$15,MATCH(D232,'G-6 Hedgerow Data'!$B$3:$B$15,0),MATCH(H232,'G-6 Hedgerow Data'!$E$2:$I$2,0))))</f>
        <v/>
      </c>
      <c r="N232" s="195"/>
      <c r="O232" s="195"/>
      <c r="P232" s="507" t="str">
        <f t="shared" si="19"/>
        <v/>
      </c>
      <c r="Q232" s="521" t="str">
        <f t="shared" si="20"/>
        <v/>
      </c>
      <c r="R232" s="522" t="str">
        <f t="shared" si="18"/>
        <v/>
      </c>
      <c r="S232" s="537" t="str">
        <f>IF(D232="","",VLOOKUP(D232,'G-6 Hedgerow Data'!$B$3:$AG$15,31,FALSE))</f>
        <v/>
      </c>
      <c r="T232" s="507" t="str">
        <f t="shared" si="21"/>
        <v/>
      </c>
      <c r="U232" s="507" t="str">
        <f t="shared" si="22"/>
        <v/>
      </c>
      <c r="V232" s="524" t="str">
        <f>IF(D232="","",VLOOKUP(S232,'G-3 Multipliers'!$P$3:$Q$6,2,FALSE))</f>
        <v/>
      </c>
      <c r="W232" s="529" t="str">
        <f t="shared" si="23"/>
        <v/>
      </c>
      <c r="X232" s="149"/>
      <c r="Y232" s="150"/>
      <c r="AG232" s="31" t="str">
        <f>IFERROR(INDEX('G-6 Hedgerow Data'!$BJ$3:$BJ$15,MATCH(D232,'G-6 Hedgerow Data'!$B$3:$B$15,0)),"")</f>
        <v/>
      </c>
    </row>
    <row r="233" spans="2:33" ht="14" x14ac:dyDescent="0.3">
      <c r="B233" s="141">
        <v>222</v>
      </c>
      <c r="C233" s="205"/>
      <c r="D233" s="195"/>
      <c r="E233" s="172"/>
      <c r="F233" s="553" t="str">
        <f>IF(D233="","",VLOOKUP(D233,'G-6 Hedgerow Data'!$B$2:$AG$15,2,FALSE))</f>
        <v/>
      </c>
      <c r="G233" s="499" t="str">
        <f>IF(D233="","",VLOOKUP(D233,'G-6 Hedgerow Data'!$B$2:$AG$15,3,FALSE))</f>
        <v/>
      </c>
      <c r="H233" s="145"/>
      <c r="I233" s="499" t="str">
        <f>IFERROR(VLOOKUP(H233,'G-1 All Habitats'!$Z$2:$AA$9,2,FALSE),"")</f>
        <v/>
      </c>
      <c r="J233" s="145"/>
      <c r="K233" s="520" t="str">
        <f>IF(J233="","",IF(VLOOKUP(J233,'G-3 Multipliers'!$L$3:$N$6,2,FALSE)=0,"Spatial Data Missing ⚠",VLOOKUP(J233,'G-3 Multipliers'!$L$3:$N$6,2,FALSE)))</f>
        <v/>
      </c>
      <c r="L233" s="505" t="str">
        <f>IF(J233="","",IF(VLOOKUP(J233,'G-3 Multipliers'!$L$3:$N$6,3,FALSE)=0,"Spatial Data Missing ⚠",VLOOKUP(J233,'G-3 Multipliers'!$L$3:$N$6,3,FALSE)))</f>
        <v/>
      </c>
      <c r="M233" s="498" t="str">
        <f>IF(OR(D233="",H233=""),"",(INDEX('G-6 Hedgerow Data'!$E$3:$I$15,MATCH(D233,'G-6 Hedgerow Data'!$B$3:$B$15,0),MATCH(H233,'G-6 Hedgerow Data'!$E$2:$I$2,0))))</f>
        <v/>
      </c>
      <c r="N233" s="195"/>
      <c r="O233" s="195"/>
      <c r="P233" s="507" t="str">
        <f t="shared" si="19"/>
        <v/>
      </c>
      <c r="Q233" s="521" t="str">
        <f t="shared" si="20"/>
        <v/>
      </c>
      <c r="R233" s="522" t="str">
        <f t="shared" si="18"/>
        <v/>
      </c>
      <c r="S233" s="537" t="str">
        <f>IF(D233="","",VLOOKUP(D233,'G-6 Hedgerow Data'!$B$3:$AG$15,31,FALSE))</f>
        <v/>
      </c>
      <c r="T233" s="507" t="str">
        <f t="shared" si="21"/>
        <v/>
      </c>
      <c r="U233" s="507" t="str">
        <f t="shared" si="22"/>
        <v/>
      </c>
      <c r="V233" s="524" t="str">
        <f>IF(D233="","",VLOOKUP(S233,'G-3 Multipliers'!$P$3:$Q$6,2,FALSE))</f>
        <v/>
      </c>
      <c r="W233" s="529" t="str">
        <f t="shared" si="23"/>
        <v/>
      </c>
      <c r="X233" s="149"/>
      <c r="Y233" s="150"/>
      <c r="AG233" s="31" t="str">
        <f>IFERROR(INDEX('G-6 Hedgerow Data'!$BJ$3:$BJ$15,MATCH(D233,'G-6 Hedgerow Data'!$B$3:$B$15,0)),"")</f>
        <v/>
      </c>
    </row>
    <row r="234" spans="2:33" ht="14" x14ac:dyDescent="0.3">
      <c r="B234" s="141">
        <v>223</v>
      </c>
      <c r="C234" s="205"/>
      <c r="D234" s="195"/>
      <c r="E234" s="172"/>
      <c r="F234" s="553" t="str">
        <f>IF(D234="","",VLOOKUP(D234,'G-6 Hedgerow Data'!$B$2:$AG$15,2,FALSE))</f>
        <v/>
      </c>
      <c r="G234" s="499" t="str">
        <f>IF(D234="","",VLOOKUP(D234,'G-6 Hedgerow Data'!$B$2:$AG$15,3,FALSE))</f>
        <v/>
      </c>
      <c r="H234" s="145"/>
      <c r="I234" s="499" t="str">
        <f>IFERROR(VLOOKUP(H234,'G-1 All Habitats'!$Z$2:$AA$9,2,FALSE),"")</f>
        <v/>
      </c>
      <c r="J234" s="145"/>
      <c r="K234" s="520" t="str">
        <f>IF(J234="","",IF(VLOOKUP(J234,'G-3 Multipliers'!$L$3:$N$6,2,FALSE)=0,"Spatial Data Missing ⚠",VLOOKUP(J234,'G-3 Multipliers'!$L$3:$N$6,2,FALSE)))</f>
        <v/>
      </c>
      <c r="L234" s="505" t="str">
        <f>IF(J234="","",IF(VLOOKUP(J234,'G-3 Multipliers'!$L$3:$N$6,3,FALSE)=0,"Spatial Data Missing ⚠",VLOOKUP(J234,'G-3 Multipliers'!$L$3:$N$6,3,FALSE)))</f>
        <v/>
      </c>
      <c r="M234" s="498" t="str">
        <f>IF(OR(D234="",H234=""),"",(INDEX('G-6 Hedgerow Data'!$E$3:$I$15,MATCH(D234,'G-6 Hedgerow Data'!$B$3:$B$15,0),MATCH(H234,'G-6 Hedgerow Data'!$E$2:$I$2,0))))</f>
        <v/>
      </c>
      <c r="N234" s="195"/>
      <c r="O234" s="195"/>
      <c r="P234" s="507" t="str">
        <f t="shared" si="19"/>
        <v/>
      </c>
      <c r="Q234" s="521" t="str">
        <f t="shared" si="20"/>
        <v/>
      </c>
      <c r="R234" s="522" t="str">
        <f t="shared" si="18"/>
        <v/>
      </c>
      <c r="S234" s="537" t="str">
        <f>IF(D234="","",VLOOKUP(D234,'G-6 Hedgerow Data'!$B$3:$AG$15,31,FALSE))</f>
        <v/>
      </c>
      <c r="T234" s="507" t="str">
        <f t="shared" si="21"/>
        <v/>
      </c>
      <c r="U234" s="507" t="str">
        <f t="shared" si="22"/>
        <v/>
      </c>
      <c r="V234" s="524" t="str">
        <f>IF(D234="","",VLOOKUP(S234,'G-3 Multipliers'!$P$3:$Q$6,2,FALSE))</f>
        <v/>
      </c>
      <c r="W234" s="529" t="str">
        <f t="shared" si="23"/>
        <v/>
      </c>
      <c r="X234" s="149"/>
      <c r="Y234" s="150"/>
      <c r="AG234" s="31" t="str">
        <f>IFERROR(INDEX('G-6 Hedgerow Data'!$BJ$3:$BJ$15,MATCH(D234,'G-6 Hedgerow Data'!$B$3:$B$15,0)),"")</f>
        <v/>
      </c>
    </row>
    <row r="235" spans="2:33" ht="14" x14ac:dyDescent="0.3">
      <c r="B235" s="141">
        <v>224</v>
      </c>
      <c r="C235" s="205"/>
      <c r="D235" s="195"/>
      <c r="E235" s="172"/>
      <c r="F235" s="553" t="str">
        <f>IF(D235="","",VLOOKUP(D235,'G-6 Hedgerow Data'!$B$2:$AG$15,2,FALSE))</f>
        <v/>
      </c>
      <c r="G235" s="499" t="str">
        <f>IF(D235="","",VLOOKUP(D235,'G-6 Hedgerow Data'!$B$2:$AG$15,3,FALSE))</f>
        <v/>
      </c>
      <c r="H235" s="145"/>
      <c r="I235" s="499" t="str">
        <f>IFERROR(VLOOKUP(H235,'G-1 All Habitats'!$Z$2:$AA$9,2,FALSE),"")</f>
        <v/>
      </c>
      <c r="J235" s="145"/>
      <c r="K235" s="520" t="str">
        <f>IF(J235="","",IF(VLOOKUP(J235,'G-3 Multipliers'!$L$3:$N$6,2,FALSE)=0,"Spatial Data Missing ⚠",VLOOKUP(J235,'G-3 Multipliers'!$L$3:$N$6,2,FALSE)))</f>
        <v/>
      </c>
      <c r="L235" s="505" t="str">
        <f>IF(J235="","",IF(VLOOKUP(J235,'G-3 Multipliers'!$L$3:$N$6,3,FALSE)=0,"Spatial Data Missing ⚠",VLOOKUP(J235,'G-3 Multipliers'!$L$3:$N$6,3,FALSE)))</f>
        <v/>
      </c>
      <c r="M235" s="498" t="str">
        <f>IF(OR(D235="",H235=""),"",(INDEX('G-6 Hedgerow Data'!$E$3:$I$15,MATCH(D235,'G-6 Hedgerow Data'!$B$3:$B$15,0),MATCH(H235,'G-6 Hedgerow Data'!$E$2:$I$2,0))))</f>
        <v/>
      </c>
      <c r="N235" s="195"/>
      <c r="O235" s="195"/>
      <c r="P235" s="507" t="str">
        <f t="shared" si="19"/>
        <v/>
      </c>
      <c r="Q235" s="521" t="str">
        <f t="shared" si="20"/>
        <v/>
      </c>
      <c r="R235" s="522" t="str">
        <f t="shared" si="18"/>
        <v/>
      </c>
      <c r="S235" s="537" t="str">
        <f>IF(D235="","",VLOOKUP(D235,'G-6 Hedgerow Data'!$B$3:$AG$15,31,FALSE))</f>
        <v/>
      </c>
      <c r="T235" s="507" t="str">
        <f t="shared" si="21"/>
        <v/>
      </c>
      <c r="U235" s="507" t="str">
        <f t="shared" si="22"/>
        <v/>
      </c>
      <c r="V235" s="524" t="str">
        <f>IF(D235="","",VLOOKUP(S235,'G-3 Multipliers'!$P$3:$Q$6,2,FALSE))</f>
        <v/>
      </c>
      <c r="W235" s="529" t="str">
        <f t="shared" si="23"/>
        <v/>
      </c>
      <c r="X235" s="149"/>
      <c r="Y235" s="150"/>
      <c r="AG235" s="31" t="str">
        <f>IFERROR(INDEX('G-6 Hedgerow Data'!$BJ$3:$BJ$15,MATCH(D235,'G-6 Hedgerow Data'!$B$3:$B$15,0)),"")</f>
        <v/>
      </c>
    </row>
    <row r="236" spans="2:33" ht="14" x14ac:dyDescent="0.3">
      <c r="B236" s="141">
        <v>225</v>
      </c>
      <c r="C236" s="205"/>
      <c r="D236" s="195"/>
      <c r="E236" s="172"/>
      <c r="F236" s="553" t="str">
        <f>IF(D236="","",VLOOKUP(D236,'G-6 Hedgerow Data'!$B$2:$AG$15,2,FALSE))</f>
        <v/>
      </c>
      <c r="G236" s="499" t="str">
        <f>IF(D236="","",VLOOKUP(D236,'G-6 Hedgerow Data'!$B$2:$AG$15,3,FALSE))</f>
        <v/>
      </c>
      <c r="H236" s="145"/>
      <c r="I236" s="499" t="str">
        <f>IFERROR(VLOOKUP(H236,'G-1 All Habitats'!$Z$2:$AA$9,2,FALSE),"")</f>
        <v/>
      </c>
      <c r="J236" s="145"/>
      <c r="K236" s="520" t="str">
        <f>IF(J236="","",IF(VLOOKUP(J236,'G-3 Multipliers'!$L$3:$N$6,2,FALSE)=0,"Spatial Data Missing ⚠",VLOOKUP(J236,'G-3 Multipliers'!$L$3:$N$6,2,FALSE)))</f>
        <v/>
      </c>
      <c r="L236" s="505" t="str">
        <f>IF(J236="","",IF(VLOOKUP(J236,'G-3 Multipliers'!$L$3:$N$6,3,FALSE)=0,"Spatial Data Missing ⚠",VLOOKUP(J236,'G-3 Multipliers'!$L$3:$N$6,3,FALSE)))</f>
        <v/>
      </c>
      <c r="M236" s="498" t="str">
        <f>IF(OR(D236="",H236=""),"",(INDEX('G-6 Hedgerow Data'!$E$3:$I$15,MATCH(D236,'G-6 Hedgerow Data'!$B$3:$B$15,0),MATCH(H236,'G-6 Hedgerow Data'!$E$2:$I$2,0))))</f>
        <v/>
      </c>
      <c r="N236" s="195"/>
      <c r="O236" s="195"/>
      <c r="P236" s="507" t="str">
        <f t="shared" si="19"/>
        <v/>
      </c>
      <c r="Q236" s="521" t="str">
        <f t="shared" si="20"/>
        <v/>
      </c>
      <c r="R236" s="522" t="str">
        <f t="shared" si="18"/>
        <v/>
      </c>
      <c r="S236" s="537" t="str">
        <f>IF(D236="","",VLOOKUP(D236,'G-6 Hedgerow Data'!$B$3:$AG$15,31,FALSE))</f>
        <v/>
      </c>
      <c r="T236" s="507" t="str">
        <f t="shared" si="21"/>
        <v/>
      </c>
      <c r="U236" s="507" t="str">
        <f t="shared" si="22"/>
        <v/>
      </c>
      <c r="V236" s="524" t="str">
        <f>IF(D236="","",VLOOKUP(S236,'G-3 Multipliers'!$P$3:$Q$6,2,FALSE))</f>
        <v/>
      </c>
      <c r="W236" s="529" t="str">
        <f t="shared" si="23"/>
        <v/>
      </c>
      <c r="X236" s="149"/>
      <c r="Y236" s="150"/>
      <c r="AG236" s="31" t="str">
        <f>IFERROR(INDEX('G-6 Hedgerow Data'!$BJ$3:$BJ$15,MATCH(D236,'G-6 Hedgerow Data'!$B$3:$B$15,0)),"")</f>
        <v/>
      </c>
    </row>
    <row r="237" spans="2:33" ht="14" x14ac:dyDescent="0.3">
      <c r="B237" s="141">
        <v>226</v>
      </c>
      <c r="C237" s="205"/>
      <c r="D237" s="195"/>
      <c r="E237" s="172"/>
      <c r="F237" s="553" t="str">
        <f>IF(D237="","",VLOOKUP(D237,'G-6 Hedgerow Data'!$B$2:$AG$15,2,FALSE))</f>
        <v/>
      </c>
      <c r="G237" s="499" t="str">
        <f>IF(D237="","",VLOOKUP(D237,'G-6 Hedgerow Data'!$B$2:$AG$15,3,FALSE))</f>
        <v/>
      </c>
      <c r="H237" s="145"/>
      <c r="I237" s="499" t="str">
        <f>IFERROR(VLOOKUP(H237,'G-1 All Habitats'!$Z$2:$AA$9,2,FALSE),"")</f>
        <v/>
      </c>
      <c r="J237" s="145"/>
      <c r="K237" s="520" t="str">
        <f>IF(J237="","",IF(VLOOKUP(J237,'G-3 Multipliers'!$L$3:$N$6,2,FALSE)=0,"Spatial Data Missing ⚠",VLOOKUP(J237,'G-3 Multipliers'!$L$3:$N$6,2,FALSE)))</f>
        <v/>
      </c>
      <c r="L237" s="505" t="str">
        <f>IF(J237="","",IF(VLOOKUP(J237,'G-3 Multipliers'!$L$3:$N$6,3,FALSE)=0,"Spatial Data Missing ⚠",VLOOKUP(J237,'G-3 Multipliers'!$L$3:$N$6,3,FALSE)))</f>
        <v/>
      </c>
      <c r="M237" s="498" t="str">
        <f>IF(OR(D237="",H237=""),"",(INDEX('G-6 Hedgerow Data'!$E$3:$I$15,MATCH(D237,'G-6 Hedgerow Data'!$B$3:$B$15,0),MATCH(H237,'G-6 Hedgerow Data'!$E$2:$I$2,0))))</f>
        <v/>
      </c>
      <c r="N237" s="195"/>
      <c r="O237" s="195"/>
      <c r="P237" s="507" t="str">
        <f t="shared" si="19"/>
        <v/>
      </c>
      <c r="Q237" s="521" t="str">
        <f t="shared" si="20"/>
        <v/>
      </c>
      <c r="R237" s="522" t="str">
        <f t="shared" si="18"/>
        <v/>
      </c>
      <c r="S237" s="537" t="str">
        <f>IF(D237="","",VLOOKUP(D237,'G-6 Hedgerow Data'!$B$3:$AG$15,31,FALSE))</f>
        <v/>
      </c>
      <c r="T237" s="507" t="str">
        <f t="shared" si="21"/>
        <v/>
      </c>
      <c r="U237" s="507" t="str">
        <f t="shared" si="22"/>
        <v/>
      </c>
      <c r="V237" s="524" t="str">
        <f>IF(D237="","",VLOOKUP(S237,'G-3 Multipliers'!$P$3:$Q$6,2,FALSE))</f>
        <v/>
      </c>
      <c r="W237" s="529" t="str">
        <f t="shared" si="23"/>
        <v/>
      </c>
      <c r="X237" s="149"/>
      <c r="Y237" s="150"/>
      <c r="AG237" s="31" t="str">
        <f>IFERROR(INDEX('G-6 Hedgerow Data'!$BJ$3:$BJ$15,MATCH(D237,'G-6 Hedgerow Data'!$B$3:$B$15,0)),"")</f>
        <v/>
      </c>
    </row>
    <row r="238" spans="2:33" ht="14" x14ac:dyDescent="0.3">
      <c r="B238" s="141">
        <v>227</v>
      </c>
      <c r="C238" s="205"/>
      <c r="D238" s="195"/>
      <c r="E238" s="172"/>
      <c r="F238" s="553" t="str">
        <f>IF(D238="","",VLOOKUP(D238,'G-6 Hedgerow Data'!$B$2:$AG$15,2,FALSE))</f>
        <v/>
      </c>
      <c r="G238" s="499" t="str">
        <f>IF(D238="","",VLOOKUP(D238,'G-6 Hedgerow Data'!$B$2:$AG$15,3,FALSE))</f>
        <v/>
      </c>
      <c r="H238" s="145"/>
      <c r="I238" s="499" t="str">
        <f>IFERROR(VLOOKUP(H238,'G-1 All Habitats'!$Z$2:$AA$9,2,FALSE),"")</f>
        <v/>
      </c>
      <c r="J238" s="145"/>
      <c r="K238" s="520" t="str">
        <f>IF(J238="","",IF(VLOOKUP(J238,'G-3 Multipliers'!$L$3:$N$6,2,FALSE)=0,"Spatial Data Missing ⚠",VLOOKUP(J238,'G-3 Multipliers'!$L$3:$N$6,2,FALSE)))</f>
        <v/>
      </c>
      <c r="L238" s="505" t="str">
        <f>IF(J238="","",IF(VLOOKUP(J238,'G-3 Multipliers'!$L$3:$N$6,3,FALSE)=0,"Spatial Data Missing ⚠",VLOOKUP(J238,'G-3 Multipliers'!$L$3:$N$6,3,FALSE)))</f>
        <v/>
      </c>
      <c r="M238" s="498" t="str">
        <f>IF(OR(D238="",H238=""),"",(INDEX('G-6 Hedgerow Data'!$E$3:$I$15,MATCH(D238,'G-6 Hedgerow Data'!$B$3:$B$15,0),MATCH(H238,'G-6 Hedgerow Data'!$E$2:$I$2,0))))</f>
        <v/>
      </c>
      <c r="N238" s="195"/>
      <c r="O238" s="195"/>
      <c r="P238" s="507" t="str">
        <f t="shared" si="19"/>
        <v/>
      </c>
      <c r="Q238" s="521" t="str">
        <f t="shared" si="20"/>
        <v/>
      </c>
      <c r="R238" s="522" t="str">
        <f t="shared" si="18"/>
        <v/>
      </c>
      <c r="S238" s="537" t="str">
        <f>IF(D238="","",VLOOKUP(D238,'G-6 Hedgerow Data'!$B$3:$AG$15,31,FALSE))</f>
        <v/>
      </c>
      <c r="T238" s="507" t="str">
        <f t="shared" si="21"/>
        <v/>
      </c>
      <c r="U238" s="507" t="str">
        <f t="shared" si="22"/>
        <v/>
      </c>
      <c r="V238" s="524" t="str">
        <f>IF(D238="","",VLOOKUP(S238,'G-3 Multipliers'!$P$3:$Q$6,2,FALSE))</f>
        <v/>
      </c>
      <c r="W238" s="529" t="str">
        <f t="shared" si="23"/>
        <v/>
      </c>
      <c r="X238" s="149"/>
      <c r="Y238" s="150"/>
      <c r="AG238" s="31" t="str">
        <f>IFERROR(INDEX('G-6 Hedgerow Data'!$BJ$3:$BJ$15,MATCH(D238,'G-6 Hedgerow Data'!$B$3:$B$15,0)),"")</f>
        <v/>
      </c>
    </row>
    <row r="239" spans="2:33" ht="14" x14ac:dyDescent="0.3">
      <c r="B239" s="141">
        <v>228</v>
      </c>
      <c r="C239" s="205"/>
      <c r="D239" s="195"/>
      <c r="E239" s="172"/>
      <c r="F239" s="553" t="str">
        <f>IF(D239="","",VLOOKUP(D239,'G-6 Hedgerow Data'!$B$2:$AG$15,2,FALSE))</f>
        <v/>
      </c>
      <c r="G239" s="499" t="str">
        <f>IF(D239="","",VLOOKUP(D239,'G-6 Hedgerow Data'!$B$2:$AG$15,3,FALSE))</f>
        <v/>
      </c>
      <c r="H239" s="145"/>
      <c r="I239" s="499" t="str">
        <f>IFERROR(VLOOKUP(H239,'G-1 All Habitats'!$Z$2:$AA$9,2,FALSE),"")</f>
        <v/>
      </c>
      <c r="J239" s="145"/>
      <c r="K239" s="520" t="str">
        <f>IF(J239="","",IF(VLOOKUP(J239,'G-3 Multipliers'!$L$3:$N$6,2,FALSE)=0,"Spatial Data Missing ⚠",VLOOKUP(J239,'G-3 Multipliers'!$L$3:$N$6,2,FALSE)))</f>
        <v/>
      </c>
      <c r="L239" s="505" t="str">
        <f>IF(J239="","",IF(VLOOKUP(J239,'G-3 Multipliers'!$L$3:$N$6,3,FALSE)=0,"Spatial Data Missing ⚠",VLOOKUP(J239,'G-3 Multipliers'!$L$3:$N$6,3,FALSE)))</f>
        <v/>
      </c>
      <c r="M239" s="498" t="str">
        <f>IF(OR(D239="",H239=""),"",(INDEX('G-6 Hedgerow Data'!$E$3:$I$15,MATCH(D239,'G-6 Hedgerow Data'!$B$3:$B$15,0),MATCH(H239,'G-6 Hedgerow Data'!$E$2:$I$2,0))))</f>
        <v/>
      </c>
      <c r="N239" s="195"/>
      <c r="O239" s="195"/>
      <c r="P239" s="507" t="str">
        <f t="shared" si="19"/>
        <v/>
      </c>
      <c r="Q239" s="521" t="str">
        <f t="shared" si="20"/>
        <v/>
      </c>
      <c r="R239" s="522" t="str">
        <f t="shared" si="18"/>
        <v/>
      </c>
      <c r="S239" s="537" t="str">
        <f>IF(D239="","",VLOOKUP(D239,'G-6 Hedgerow Data'!$B$3:$AG$15,31,FALSE))</f>
        <v/>
      </c>
      <c r="T239" s="507" t="str">
        <f t="shared" si="21"/>
        <v/>
      </c>
      <c r="U239" s="507" t="str">
        <f t="shared" si="22"/>
        <v/>
      </c>
      <c r="V239" s="524" t="str">
        <f>IF(D239="","",VLOOKUP(S239,'G-3 Multipliers'!$P$3:$Q$6,2,FALSE))</f>
        <v/>
      </c>
      <c r="W239" s="529" t="str">
        <f t="shared" si="23"/>
        <v/>
      </c>
      <c r="X239" s="149"/>
      <c r="Y239" s="150"/>
      <c r="AG239" s="31" t="str">
        <f>IFERROR(INDEX('G-6 Hedgerow Data'!$BJ$3:$BJ$15,MATCH(D239,'G-6 Hedgerow Data'!$B$3:$B$15,0)),"")</f>
        <v/>
      </c>
    </row>
    <row r="240" spans="2:33" ht="14" x14ac:dyDescent="0.3">
      <c r="B240" s="141">
        <v>229</v>
      </c>
      <c r="C240" s="205"/>
      <c r="D240" s="195"/>
      <c r="E240" s="172"/>
      <c r="F240" s="553" t="str">
        <f>IF(D240="","",VLOOKUP(D240,'G-6 Hedgerow Data'!$B$2:$AG$15,2,FALSE))</f>
        <v/>
      </c>
      <c r="G240" s="499" t="str">
        <f>IF(D240="","",VLOOKUP(D240,'G-6 Hedgerow Data'!$B$2:$AG$15,3,FALSE))</f>
        <v/>
      </c>
      <c r="H240" s="145"/>
      <c r="I240" s="499" t="str">
        <f>IFERROR(VLOOKUP(H240,'G-1 All Habitats'!$Z$2:$AA$9,2,FALSE),"")</f>
        <v/>
      </c>
      <c r="J240" s="145"/>
      <c r="K240" s="520" t="str">
        <f>IF(J240="","",IF(VLOOKUP(J240,'G-3 Multipliers'!$L$3:$N$6,2,FALSE)=0,"Spatial Data Missing ⚠",VLOOKUP(J240,'G-3 Multipliers'!$L$3:$N$6,2,FALSE)))</f>
        <v/>
      </c>
      <c r="L240" s="505" t="str">
        <f>IF(J240="","",IF(VLOOKUP(J240,'G-3 Multipliers'!$L$3:$N$6,3,FALSE)=0,"Spatial Data Missing ⚠",VLOOKUP(J240,'G-3 Multipliers'!$L$3:$N$6,3,FALSE)))</f>
        <v/>
      </c>
      <c r="M240" s="498" t="str">
        <f>IF(OR(D240="",H240=""),"",(INDEX('G-6 Hedgerow Data'!$E$3:$I$15,MATCH(D240,'G-6 Hedgerow Data'!$B$3:$B$15,0),MATCH(H240,'G-6 Hedgerow Data'!$E$2:$I$2,0))))</f>
        <v/>
      </c>
      <c r="N240" s="195"/>
      <c r="O240" s="195"/>
      <c r="P240" s="507" t="str">
        <f t="shared" si="19"/>
        <v/>
      </c>
      <c r="Q240" s="521" t="str">
        <f t="shared" si="20"/>
        <v/>
      </c>
      <c r="R240" s="522" t="str">
        <f t="shared" si="18"/>
        <v/>
      </c>
      <c r="S240" s="537" t="str">
        <f>IF(D240="","",VLOOKUP(D240,'G-6 Hedgerow Data'!$B$3:$AG$15,31,FALSE))</f>
        <v/>
      </c>
      <c r="T240" s="507" t="str">
        <f t="shared" si="21"/>
        <v/>
      </c>
      <c r="U240" s="507" t="str">
        <f t="shared" si="22"/>
        <v/>
      </c>
      <c r="V240" s="524" t="str">
        <f>IF(D240="","",VLOOKUP(S240,'G-3 Multipliers'!$P$3:$Q$6,2,FALSE))</f>
        <v/>
      </c>
      <c r="W240" s="529" t="str">
        <f t="shared" si="23"/>
        <v/>
      </c>
      <c r="X240" s="149"/>
      <c r="Y240" s="150"/>
      <c r="AG240" s="31" t="str">
        <f>IFERROR(INDEX('G-6 Hedgerow Data'!$BJ$3:$BJ$15,MATCH(D240,'G-6 Hedgerow Data'!$B$3:$B$15,0)),"")</f>
        <v/>
      </c>
    </row>
    <row r="241" spans="2:33" ht="14" x14ac:dyDescent="0.3">
      <c r="B241" s="141">
        <v>230</v>
      </c>
      <c r="C241" s="205"/>
      <c r="D241" s="195"/>
      <c r="E241" s="172"/>
      <c r="F241" s="553" t="str">
        <f>IF(D241="","",VLOOKUP(D241,'G-6 Hedgerow Data'!$B$2:$AG$15,2,FALSE))</f>
        <v/>
      </c>
      <c r="G241" s="499" t="str">
        <f>IF(D241="","",VLOOKUP(D241,'G-6 Hedgerow Data'!$B$2:$AG$15,3,FALSE))</f>
        <v/>
      </c>
      <c r="H241" s="145"/>
      <c r="I241" s="499" t="str">
        <f>IFERROR(VLOOKUP(H241,'G-1 All Habitats'!$Z$2:$AA$9,2,FALSE),"")</f>
        <v/>
      </c>
      <c r="J241" s="145"/>
      <c r="K241" s="520" t="str">
        <f>IF(J241="","",IF(VLOOKUP(J241,'G-3 Multipliers'!$L$3:$N$6,2,FALSE)=0,"Spatial Data Missing ⚠",VLOOKUP(J241,'G-3 Multipliers'!$L$3:$N$6,2,FALSE)))</f>
        <v/>
      </c>
      <c r="L241" s="505" t="str">
        <f>IF(J241="","",IF(VLOOKUP(J241,'G-3 Multipliers'!$L$3:$N$6,3,FALSE)=0,"Spatial Data Missing ⚠",VLOOKUP(J241,'G-3 Multipliers'!$L$3:$N$6,3,FALSE)))</f>
        <v/>
      </c>
      <c r="M241" s="498" t="str">
        <f>IF(OR(D241="",H241=""),"",(INDEX('G-6 Hedgerow Data'!$E$3:$I$15,MATCH(D241,'G-6 Hedgerow Data'!$B$3:$B$15,0),MATCH(H241,'G-6 Hedgerow Data'!$E$2:$I$2,0))))</f>
        <v/>
      </c>
      <c r="N241" s="195"/>
      <c r="O241" s="195"/>
      <c r="P241" s="507" t="str">
        <f t="shared" si="19"/>
        <v/>
      </c>
      <c r="Q241" s="521" t="str">
        <f t="shared" si="20"/>
        <v/>
      </c>
      <c r="R241" s="522" t="str">
        <f t="shared" si="18"/>
        <v/>
      </c>
      <c r="S241" s="537" t="str">
        <f>IF(D241="","",VLOOKUP(D241,'G-6 Hedgerow Data'!$B$3:$AG$15,31,FALSE))</f>
        <v/>
      </c>
      <c r="T241" s="507" t="str">
        <f t="shared" si="21"/>
        <v/>
      </c>
      <c r="U241" s="507" t="str">
        <f t="shared" si="22"/>
        <v/>
      </c>
      <c r="V241" s="524" t="str">
        <f>IF(D241="","",VLOOKUP(S241,'G-3 Multipliers'!$P$3:$Q$6,2,FALSE))</f>
        <v/>
      </c>
      <c r="W241" s="529" t="str">
        <f t="shared" si="23"/>
        <v/>
      </c>
      <c r="X241" s="149"/>
      <c r="Y241" s="150"/>
      <c r="AG241" s="31" t="str">
        <f>IFERROR(INDEX('G-6 Hedgerow Data'!$BJ$3:$BJ$15,MATCH(D241,'G-6 Hedgerow Data'!$B$3:$B$15,0)),"")</f>
        <v/>
      </c>
    </row>
    <row r="242" spans="2:33" ht="14" x14ac:dyDescent="0.3">
      <c r="B242" s="141">
        <v>231</v>
      </c>
      <c r="C242" s="205"/>
      <c r="D242" s="195"/>
      <c r="E242" s="172"/>
      <c r="F242" s="553" t="str">
        <f>IF(D242="","",VLOOKUP(D242,'G-6 Hedgerow Data'!$B$2:$AG$15,2,FALSE))</f>
        <v/>
      </c>
      <c r="G242" s="499" t="str">
        <f>IF(D242="","",VLOOKUP(D242,'G-6 Hedgerow Data'!$B$2:$AG$15,3,FALSE))</f>
        <v/>
      </c>
      <c r="H242" s="145"/>
      <c r="I242" s="499" t="str">
        <f>IFERROR(VLOOKUP(H242,'G-1 All Habitats'!$Z$2:$AA$9,2,FALSE),"")</f>
        <v/>
      </c>
      <c r="J242" s="145"/>
      <c r="K242" s="520" t="str">
        <f>IF(J242="","",IF(VLOOKUP(J242,'G-3 Multipliers'!$L$3:$N$6,2,FALSE)=0,"Spatial Data Missing ⚠",VLOOKUP(J242,'G-3 Multipliers'!$L$3:$N$6,2,FALSE)))</f>
        <v/>
      </c>
      <c r="L242" s="505" t="str">
        <f>IF(J242="","",IF(VLOOKUP(J242,'G-3 Multipliers'!$L$3:$N$6,3,FALSE)=0,"Spatial Data Missing ⚠",VLOOKUP(J242,'G-3 Multipliers'!$L$3:$N$6,3,FALSE)))</f>
        <v/>
      </c>
      <c r="M242" s="498" t="str">
        <f>IF(OR(D242="",H242=""),"",(INDEX('G-6 Hedgerow Data'!$E$3:$I$15,MATCH(D242,'G-6 Hedgerow Data'!$B$3:$B$15,0),MATCH(H242,'G-6 Hedgerow Data'!$E$2:$I$2,0))))</f>
        <v/>
      </c>
      <c r="N242" s="195"/>
      <c r="O242" s="195"/>
      <c r="P242" s="507" t="str">
        <f t="shared" si="19"/>
        <v/>
      </c>
      <c r="Q242" s="521" t="str">
        <f t="shared" si="20"/>
        <v/>
      </c>
      <c r="R242" s="522" t="str">
        <f t="shared" si="18"/>
        <v/>
      </c>
      <c r="S242" s="537" t="str">
        <f>IF(D242="","",VLOOKUP(D242,'G-6 Hedgerow Data'!$B$3:$AG$15,31,FALSE))</f>
        <v/>
      </c>
      <c r="T242" s="507" t="str">
        <f t="shared" si="21"/>
        <v/>
      </c>
      <c r="U242" s="507" t="str">
        <f t="shared" si="22"/>
        <v/>
      </c>
      <c r="V242" s="524" t="str">
        <f>IF(D242="","",VLOOKUP(S242,'G-3 Multipliers'!$P$3:$Q$6,2,FALSE))</f>
        <v/>
      </c>
      <c r="W242" s="529" t="str">
        <f t="shared" si="23"/>
        <v/>
      </c>
      <c r="X242" s="149"/>
      <c r="Y242" s="150"/>
      <c r="AG242" s="31" t="str">
        <f>IFERROR(INDEX('G-6 Hedgerow Data'!$BJ$3:$BJ$15,MATCH(D242,'G-6 Hedgerow Data'!$B$3:$B$15,0)),"")</f>
        <v/>
      </c>
    </row>
    <row r="243" spans="2:33" ht="14" x14ac:dyDescent="0.3">
      <c r="B243" s="141">
        <v>232</v>
      </c>
      <c r="C243" s="205"/>
      <c r="D243" s="195"/>
      <c r="E243" s="172"/>
      <c r="F243" s="553" t="str">
        <f>IF(D243="","",VLOOKUP(D243,'G-6 Hedgerow Data'!$B$2:$AG$15,2,FALSE))</f>
        <v/>
      </c>
      <c r="G243" s="499" t="str">
        <f>IF(D243="","",VLOOKUP(D243,'G-6 Hedgerow Data'!$B$2:$AG$15,3,FALSE))</f>
        <v/>
      </c>
      <c r="H243" s="145"/>
      <c r="I243" s="499" t="str">
        <f>IFERROR(VLOOKUP(H243,'G-1 All Habitats'!$Z$2:$AA$9,2,FALSE),"")</f>
        <v/>
      </c>
      <c r="J243" s="145"/>
      <c r="K243" s="520" t="str">
        <f>IF(J243="","",IF(VLOOKUP(J243,'G-3 Multipliers'!$L$3:$N$6,2,FALSE)=0,"Spatial Data Missing ⚠",VLOOKUP(J243,'G-3 Multipliers'!$L$3:$N$6,2,FALSE)))</f>
        <v/>
      </c>
      <c r="L243" s="505" t="str">
        <f>IF(J243="","",IF(VLOOKUP(J243,'G-3 Multipliers'!$L$3:$N$6,3,FALSE)=0,"Spatial Data Missing ⚠",VLOOKUP(J243,'G-3 Multipliers'!$L$3:$N$6,3,FALSE)))</f>
        <v/>
      </c>
      <c r="M243" s="498" t="str">
        <f>IF(OR(D243="",H243=""),"",(INDEX('G-6 Hedgerow Data'!$E$3:$I$15,MATCH(D243,'G-6 Hedgerow Data'!$B$3:$B$15,0),MATCH(H243,'G-6 Hedgerow Data'!$E$2:$I$2,0))))</f>
        <v/>
      </c>
      <c r="N243" s="195"/>
      <c r="O243" s="195"/>
      <c r="P243" s="507" t="str">
        <f t="shared" si="19"/>
        <v/>
      </c>
      <c r="Q243" s="521" t="str">
        <f t="shared" si="20"/>
        <v/>
      </c>
      <c r="R243" s="522" t="str">
        <f t="shared" si="18"/>
        <v/>
      </c>
      <c r="S243" s="537" t="str">
        <f>IF(D243="","",VLOOKUP(D243,'G-6 Hedgerow Data'!$B$3:$AG$15,31,FALSE))</f>
        <v/>
      </c>
      <c r="T243" s="507" t="str">
        <f t="shared" si="21"/>
        <v/>
      </c>
      <c r="U243" s="507" t="str">
        <f t="shared" si="22"/>
        <v/>
      </c>
      <c r="V243" s="524" t="str">
        <f>IF(D243="","",VLOOKUP(S243,'G-3 Multipliers'!$P$3:$Q$6,2,FALSE))</f>
        <v/>
      </c>
      <c r="W243" s="529" t="str">
        <f t="shared" si="23"/>
        <v/>
      </c>
      <c r="X243" s="149"/>
      <c r="Y243" s="150"/>
      <c r="AG243" s="31" t="str">
        <f>IFERROR(INDEX('G-6 Hedgerow Data'!$BJ$3:$BJ$15,MATCH(D243,'G-6 Hedgerow Data'!$B$3:$B$15,0)),"")</f>
        <v/>
      </c>
    </row>
    <row r="244" spans="2:33" ht="14" x14ac:dyDescent="0.3">
      <c r="B244" s="141">
        <v>233</v>
      </c>
      <c r="C244" s="205"/>
      <c r="D244" s="195"/>
      <c r="E244" s="172"/>
      <c r="F244" s="553" t="str">
        <f>IF(D244="","",VLOOKUP(D244,'G-6 Hedgerow Data'!$B$2:$AG$15,2,FALSE))</f>
        <v/>
      </c>
      <c r="G244" s="499" t="str">
        <f>IF(D244="","",VLOOKUP(D244,'G-6 Hedgerow Data'!$B$2:$AG$15,3,FALSE))</f>
        <v/>
      </c>
      <c r="H244" s="145"/>
      <c r="I244" s="499" t="str">
        <f>IFERROR(VLOOKUP(H244,'G-1 All Habitats'!$Z$2:$AA$9,2,FALSE),"")</f>
        <v/>
      </c>
      <c r="J244" s="145"/>
      <c r="K244" s="520" t="str">
        <f>IF(J244="","",IF(VLOOKUP(J244,'G-3 Multipliers'!$L$3:$N$6,2,FALSE)=0,"Spatial Data Missing ⚠",VLOOKUP(J244,'G-3 Multipliers'!$L$3:$N$6,2,FALSE)))</f>
        <v/>
      </c>
      <c r="L244" s="505" t="str">
        <f>IF(J244="","",IF(VLOOKUP(J244,'G-3 Multipliers'!$L$3:$N$6,3,FALSE)=0,"Spatial Data Missing ⚠",VLOOKUP(J244,'G-3 Multipliers'!$L$3:$N$6,3,FALSE)))</f>
        <v/>
      </c>
      <c r="M244" s="498" t="str">
        <f>IF(OR(D244="",H244=""),"",(INDEX('G-6 Hedgerow Data'!$E$3:$I$15,MATCH(D244,'G-6 Hedgerow Data'!$B$3:$B$15,0),MATCH(H244,'G-6 Hedgerow Data'!$E$2:$I$2,0))))</f>
        <v/>
      </c>
      <c r="N244" s="195"/>
      <c r="O244" s="195"/>
      <c r="P244" s="507" t="str">
        <f t="shared" si="19"/>
        <v/>
      </c>
      <c r="Q244" s="521" t="str">
        <f t="shared" si="20"/>
        <v/>
      </c>
      <c r="R244" s="522" t="str">
        <f t="shared" si="18"/>
        <v/>
      </c>
      <c r="S244" s="537" t="str">
        <f>IF(D244="","",VLOOKUP(D244,'G-6 Hedgerow Data'!$B$3:$AG$15,31,FALSE))</f>
        <v/>
      </c>
      <c r="T244" s="507" t="str">
        <f t="shared" si="21"/>
        <v/>
      </c>
      <c r="U244" s="507" t="str">
        <f t="shared" si="22"/>
        <v/>
      </c>
      <c r="V244" s="524" t="str">
        <f>IF(D244="","",VLOOKUP(S244,'G-3 Multipliers'!$P$3:$Q$6,2,FALSE))</f>
        <v/>
      </c>
      <c r="W244" s="529" t="str">
        <f t="shared" si="23"/>
        <v/>
      </c>
      <c r="X244" s="149"/>
      <c r="Y244" s="150"/>
      <c r="AG244" s="31" t="str">
        <f>IFERROR(INDEX('G-6 Hedgerow Data'!$BJ$3:$BJ$15,MATCH(D244,'G-6 Hedgerow Data'!$B$3:$B$15,0)),"")</f>
        <v/>
      </c>
    </row>
    <row r="245" spans="2:33" ht="14" x14ac:dyDescent="0.3">
      <c r="B245" s="141">
        <v>234</v>
      </c>
      <c r="C245" s="205"/>
      <c r="D245" s="195"/>
      <c r="E245" s="172"/>
      <c r="F245" s="553" t="str">
        <f>IF(D245="","",VLOOKUP(D245,'G-6 Hedgerow Data'!$B$2:$AG$15,2,FALSE))</f>
        <v/>
      </c>
      <c r="G245" s="499" t="str">
        <f>IF(D245="","",VLOOKUP(D245,'G-6 Hedgerow Data'!$B$2:$AG$15,3,FALSE))</f>
        <v/>
      </c>
      <c r="H245" s="145"/>
      <c r="I245" s="499" t="str">
        <f>IFERROR(VLOOKUP(H245,'G-1 All Habitats'!$Z$2:$AA$9,2,FALSE),"")</f>
        <v/>
      </c>
      <c r="J245" s="145"/>
      <c r="K245" s="520" t="str">
        <f>IF(J245="","",IF(VLOOKUP(J245,'G-3 Multipliers'!$L$3:$N$6,2,FALSE)=0,"Spatial Data Missing ⚠",VLOOKUP(J245,'G-3 Multipliers'!$L$3:$N$6,2,FALSE)))</f>
        <v/>
      </c>
      <c r="L245" s="505" t="str">
        <f>IF(J245="","",IF(VLOOKUP(J245,'G-3 Multipliers'!$L$3:$N$6,3,FALSE)=0,"Spatial Data Missing ⚠",VLOOKUP(J245,'G-3 Multipliers'!$L$3:$N$6,3,FALSE)))</f>
        <v/>
      </c>
      <c r="M245" s="498" t="str">
        <f>IF(OR(D245="",H245=""),"",(INDEX('G-6 Hedgerow Data'!$E$3:$I$15,MATCH(D245,'G-6 Hedgerow Data'!$B$3:$B$15,0),MATCH(H245,'G-6 Hedgerow Data'!$E$2:$I$2,0))))</f>
        <v/>
      </c>
      <c r="N245" s="195"/>
      <c r="O245" s="195"/>
      <c r="P245" s="507" t="str">
        <f t="shared" si="19"/>
        <v/>
      </c>
      <c r="Q245" s="521" t="str">
        <f t="shared" si="20"/>
        <v/>
      </c>
      <c r="R245" s="522" t="str">
        <f t="shared" si="18"/>
        <v/>
      </c>
      <c r="S245" s="537" t="str">
        <f>IF(D245="","",VLOOKUP(D245,'G-6 Hedgerow Data'!$B$3:$AG$15,31,FALSE))</f>
        <v/>
      </c>
      <c r="T245" s="507" t="str">
        <f t="shared" si="21"/>
        <v/>
      </c>
      <c r="U245" s="507" t="str">
        <f t="shared" si="22"/>
        <v/>
      </c>
      <c r="V245" s="524" t="str">
        <f>IF(D245="","",VLOOKUP(S245,'G-3 Multipliers'!$P$3:$Q$6,2,FALSE))</f>
        <v/>
      </c>
      <c r="W245" s="529" t="str">
        <f t="shared" si="23"/>
        <v/>
      </c>
      <c r="X245" s="149"/>
      <c r="Y245" s="150"/>
      <c r="AG245" s="31" t="str">
        <f>IFERROR(INDEX('G-6 Hedgerow Data'!$BJ$3:$BJ$15,MATCH(D245,'G-6 Hedgerow Data'!$B$3:$B$15,0)),"")</f>
        <v/>
      </c>
    </row>
    <row r="246" spans="2:33" ht="14" x14ac:dyDescent="0.3">
      <c r="B246" s="141">
        <v>235</v>
      </c>
      <c r="C246" s="205"/>
      <c r="D246" s="195"/>
      <c r="E246" s="172"/>
      <c r="F246" s="553" t="str">
        <f>IF(D246="","",VLOOKUP(D246,'G-6 Hedgerow Data'!$B$2:$AG$15,2,FALSE))</f>
        <v/>
      </c>
      <c r="G246" s="499" t="str">
        <f>IF(D246="","",VLOOKUP(D246,'G-6 Hedgerow Data'!$B$2:$AG$15,3,FALSE))</f>
        <v/>
      </c>
      <c r="H246" s="145"/>
      <c r="I246" s="499" t="str">
        <f>IFERROR(VLOOKUP(H246,'G-1 All Habitats'!$Z$2:$AA$9,2,FALSE),"")</f>
        <v/>
      </c>
      <c r="J246" s="145"/>
      <c r="K246" s="520" t="str">
        <f>IF(J246="","",IF(VLOOKUP(J246,'G-3 Multipliers'!$L$3:$N$6,2,FALSE)=0,"Spatial Data Missing ⚠",VLOOKUP(J246,'G-3 Multipliers'!$L$3:$N$6,2,FALSE)))</f>
        <v/>
      </c>
      <c r="L246" s="505" t="str">
        <f>IF(J246="","",IF(VLOOKUP(J246,'G-3 Multipliers'!$L$3:$N$6,3,FALSE)=0,"Spatial Data Missing ⚠",VLOOKUP(J246,'G-3 Multipliers'!$L$3:$N$6,3,FALSE)))</f>
        <v/>
      </c>
      <c r="M246" s="498" t="str">
        <f>IF(OR(D246="",H246=""),"",(INDEX('G-6 Hedgerow Data'!$E$3:$I$15,MATCH(D246,'G-6 Hedgerow Data'!$B$3:$B$15,0),MATCH(H246,'G-6 Hedgerow Data'!$E$2:$I$2,0))))</f>
        <v/>
      </c>
      <c r="N246" s="195"/>
      <c r="O246" s="195"/>
      <c r="P246" s="507" t="str">
        <f t="shared" si="19"/>
        <v/>
      </c>
      <c r="Q246" s="521" t="str">
        <f t="shared" si="20"/>
        <v/>
      </c>
      <c r="R246" s="522" t="str">
        <f t="shared" si="18"/>
        <v/>
      </c>
      <c r="S246" s="537" t="str">
        <f>IF(D246="","",VLOOKUP(D246,'G-6 Hedgerow Data'!$B$3:$AG$15,31,FALSE))</f>
        <v/>
      </c>
      <c r="T246" s="507" t="str">
        <f t="shared" si="21"/>
        <v/>
      </c>
      <c r="U246" s="507" t="str">
        <f t="shared" si="22"/>
        <v/>
      </c>
      <c r="V246" s="524" t="str">
        <f>IF(D246="","",VLOOKUP(S246,'G-3 Multipliers'!$P$3:$Q$6,2,FALSE))</f>
        <v/>
      </c>
      <c r="W246" s="529" t="str">
        <f t="shared" si="23"/>
        <v/>
      </c>
      <c r="X246" s="149"/>
      <c r="Y246" s="150"/>
      <c r="AG246" s="31" t="str">
        <f>IFERROR(INDEX('G-6 Hedgerow Data'!$BJ$3:$BJ$15,MATCH(D246,'G-6 Hedgerow Data'!$B$3:$B$15,0)),"")</f>
        <v/>
      </c>
    </row>
    <row r="247" spans="2:33" ht="14" x14ac:dyDescent="0.3">
      <c r="B247" s="141">
        <v>236</v>
      </c>
      <c r="C247" s="205"/>
      <c r="D247" s="195"/>
      <c r="E247" s="172"/>
      <c r="F247" s="553" t="str">
        <f>IF(D247="","",VLOOKUP(D247,'G-6 Hedgerow Data'!$B$2:$AG$15,2,FALSE))</f>
        <v/>
      </c>
      <c r="G247" s="499" t="str">
        <f>IF(D247="","",VLOOKUP(D247,'G-6 Hedgerow Data'!$B$2:$AG$15,3,FALSE))</f>
        <v/>
      </c>
      <c r="H247" s="145"/>
      <c r="I247" s="499" t="str">
        <f>IFERROR(VLOOKUP(H247,'G-1 All Habitats'!$Z$2:$AA$9,2,FALSE),"")</f>
        <v/>
      </c>
      <c r="J247" s="145"/>
      <c r="K247" s="520" t="str">
        <f>IF(J247="","",IF(VLOOKUP(J247,'G-3 Multipliers'!$L$3:$N$6,2,FALSE)=0,"Spatial Data Missing ⚠",VLOOKUP(J247,'G-3 Multipliers'!$L$3:$N$6,2,FALSE)))</f>
        <v/>
      </c>
      <c r="L247" s="505" t="str">
        <f>IF(J247="","",IF(VLOOKUP(J247,'G-3 Multipliers'!$L$3:$N$6,3,FALSE)=0,"Spatial Data Missing ⚠",VLOOKUP(J247,'G-3 Multipliers'!$L$3:$N$6,3,FALSE)))</f>
        <v/>
      </c>
      <c r="M247" s="498" t="str">
        <f>IF(OR(D247="",H247=""),"",(INDEX('G-6 Hedgerow Data'!$E$3:$I$15,MATCH(D247,'G-6 Hedgerow Data'!$B$3:$B$15,0),MATCH(H247,'G-6 Hedgerow Data'!$E$2:$I$2,0))))</f>
        <v/>
      </c>
      <c r="N247" s="195"/>
      <c r="O247" s="195"/>
      <c r="P247" s="507" t="str">
        <f t="shared" si="19"/>
        <v/>
      </c>
      <c r="Q247" s="521" t="str">
        <f t="shared" si="20"/>
        <v/>
      </c>
      <c r="R247" s="522" t="str">
        <f t="shared" si="18"/>
        <v/>
      </c>
      <c r="S247" s="537" t="str">
        <f>IF(D247="","",VLOOKUP(D247,'G-6 Hedgerow Data'!$B$3:$AG$15,31,FALSE))</f>
        <v/>
      </c>
      <c r="T247" s="507" t="str">
        <f t="shared" si="21"/>
        <v/>
      </c>
      <c r="U247" s="507" t="str">
        <f t="shared" si="22"/>
        <v/>
      </c>
      <c r="V247" s="524" t="str">
        <f>IF(D247="","",VLOOKUP(S247,'G-3 Multipliers'!$P$3:$Q$6,2,FALSE))</f>
        <v/>
      </c>
      <c r="W247" s="529" t="str">
        <f t="shared" si="23"/>
        <v/>
      </c>
      <c r="X247" s="149"/>
      <c r="Y247" s="150"/>
      <c r="AG247" s="31" t="str">
        <f>IFERROR(INDEX('G-6 Hedgerow Data'!$BJ$3:$BJ$15,MATCH(D247,'G-6 Hedgerow Data'!$B$3:$B$15,0)),"")</f>
        <v/>
      </c>
    </row>
    <row r="248" spans="2:33" ht="14" x14ac:dyDescent="0.3">
      <c r="B248" s="141">
        <v>237</v>
      </c>
      <c r="C248" s="205"/>
      <c r="D248" s="195"/>
      <c r="E248" s="172"/>
      <c r="F248" s="553" t="str">
        <f>IF(D248="","",VLOOKUP(D248,'G-6 Hedgerow Data'!$B$2:$AG$15,2,FALSE))</f>
        <v/>
      </c>
      <c r="G248" s="499" t="str">
        <f>IF(D248="","",VLOOKUP(D248,'G-6 Hedgerow Data'!$B$2:$AG$15,3,FALSE))</f>
        <v/>
      </c>
      <c r="H248" s="145"/>
      <c r="I248" s="499" t="str">
        <f>IFERROR(VLOOKUP(H248,'G-1 All Habitats'!$Z$2:$AA$9,2,FALSE),"")</f>
        <v/>
      </c>
      <c r="J248" s="145"/>
      <c r="K248" s="520" t="str">
        <f>IF(J248="","",IF(VLOOKUP(J248,'G-3 Multipliers'!$L$3:$N$6,2,FALSE)=0,"Spatial Data Missing ⚠",VLOOKUP(J248,'G-3 Multipliers'!$L$3:$N$6,2,FALSE)))</f>
        <v/>
      </c>
      <c r="L248" s="505" t="str">
        <f>IF(J248="","",IF(VLOOKUP(J248,'G-3 Multipliers'!$L$3:$N$6,3,FALSE)=0,"Spatial Data Missing ⚠",VLOOKUP(J248,'G-3 Multipliers'!$L$3:$N$6,3,FALSE)))</f>
        <v/>
      </c>
      <c r="M248" s="498" t="str">
        <f>IF(OR(D248="",H248=""),"",(INDEX('G-6 Hedgerow Data'!$E$3:$I$15,MATCH(D248,'G-6 Hedgerow Data'!$B$3:$B$15,0),MATCH(H248,'G-6 Hedgerow Data'!$E$2:$I$2,0))))</f>
        <v/>
      </c>
      <c r="N248" s="195"/>
      <c r="O248" s="195"/>
      <c r="P248" s="507" t="str">
        <f t="shared" si="19"/>
        <v/>
      </c>
      <c r="Q248" s="521" t="str">
        <f t="shared" si="20"/>
        <v/>
      </c>
      <c r="R248" s="522" t="str">
        <f t="shared" si="18"/>
        <v/>
      </c>
      <c r="S248" s="537" t="str">
        <f>IF(D248="","",VLOOKUP(D248,'G-6 Hedgerow Data'!$B$3:$AG$15,31,FALSE))</f>
        <v/>
      </c>
      <c r="T248" s="507" t="str">
        <f t="shared" si="21"/>
        <v/>
      </c>
      <c r="U248" s="507" t="str">
        <f t="shared" si="22"/>
        <v/>
      </c>
      <c r="V248" s="524" t="str">
        <f>IF(D248="","",VLOOKUP(S248,'G-3 Multipliers'!$P$3:$Q$6,2,FALSE))</f>
        <v/>
      </c>
      <c r="W248" s="529" t="str">
        <f t="shared" si="23"/>
        <v/>
      </c>
      <c r="X248" s="149"/>
      <c r="Y248" s="150"/>
      <c r="AG248" s="31" t="str">
        <f>IFERROR(INDEX('G-6 Hedgerow Data'!$BJ$3:$BJ$15,MATCH(D248,'G-6 Hedgerow Data'!$B$3:$B$15,0)),"")</f>
        <v/>
      </c>
    </row>
    <row r="249" spans="2:33" ht="14" x14ac:dyDescent="0.3">
      <c r="B249" s="141">
        <v>238</v>
      </c>
      <c r="C249" s="205"/>
      <c r="D249" s="195"/>
      <c r="E249" s="172"/>
      <c r="F249" s="553" t="str">
        <f>IF(D249="","",VLOOKUP(D249,'G-6 Hedgerow Data'!$B$2:$AG$15,2,FALSE))</f>
        <v/>
      </c>
      <c r="G249" s="499" t="str">
        <f>IF(D249="","",VLOOKUP(D249,'G-6 Hedgerow Data'!$B$2:$AG$15,3,FALSE))</f>
        <v/>
      </c>
      <c r="H249" s="145"/>
      <c r="I249" s="499" t="str">
        <f>IFERROR(VLOOKUP(H249,'G-1 All Habitats'!$Z$2:$AA$9,2,FALSE),"")</f>
        <v/>
      </c>
      <c r="J249" s="145"/>
      <c r="K249" s="520" t="str">
        <f>IF(J249="","",IF(VLOOKUP(J249,'G-3 Multipliers'!$L$3:$N$6,2,FALSE)=0,"Spatial Data Missing ⚠",VLOOKUP(J249,'G-3 Multipliers'!$L$3:$N$6,2,FALSE)))</f>
        <v/>
      </c>
      <c r="L249" s="505" t="str">
        <f>IF(J249="","",IF(VLOOKUP(J249,'G-3 Multipliers'!$L$3:$N$6,3,FALSE)=0,"Spatial Data Missing ⚠",VLOOKUP(J249,'G-3 Multipliers'!$L$3:$N$6,3,FALSE)))</f>
        <v/>
      </c>
      <c r="M249" s="498" t="str">
        <f>IF(OR(D249="",H249=""),"",(INDEX('G-6 Hedgerow Data'!$E$3:$I$15,MATCH(D249,'G-6 Hedgerow Data'!$B$3:$B$15,0),MATCH(H249,'G-6 Hedgerow Data'!$E$2:$I$2,0))))</f>
        <v/>
      </c>
      <c r="N249" s="195"/>
      <c r="O249" s="195"/>
      <c r="P249" s="507" t="str">
        <f t="shared" si="19"/>
        <v/>
      </c>
      <c r="Q249" s="521" t="str">
        <f t="shared" si="20"/>
        <v/>
      </c>
      <c r="R249" s="522" t="str">
        <f t="shared" si="18"/>
        <v/>
      </c>
      <c r="S249" s="537" t="str">
        <f>IF(D249="","",VLOOKUP(D249,'G-6 Hedgerow Data'!$B$3:$AG$15,31,FALSE))</f>
        <v/>
      </c>
      <c r="T249" s="507" t="str">
        <f t="shared" si="21"/>
        <v/>
      </c>
      <c r="U249" s="507" t="str">
        <f t="shared" si="22"/>
        <v/>
      </c>
      <c r="V249" s="524" t="str">
        <f>IF(D249="","",VLOOKUP(S249,'G-3 Multipliers'!$P$3:$Q$6,2,FALSE))</f>
        <v/>
      </c>
      <c r="W249" s="529" t="str">
        <f t="shared" si="23"/>
        <v/>
      </c>
      <c r="X249" s="149"/>
      <c r="Y249" s="150"/>
      <c r="AG249" s="31" t="str">
        <f>IFERROR(INDEX('G-6 Hedgerow Data'!$BJ$3:$BJ$15,MATCH(D249,'G-6 Hedgerow Data'!$B$3:$B$15,0)),"")</f>
        <v/>
      </c>
    </row>
    <row r="250" spans="2:33" ht="14" x14ac:dyDescent="0.3">
      <c r="B250" s="141">
        <v>239</v>
      </c>
      <c r="C250" s="205"/>
      <c r="D250" s="195"/>
      <c r="E250" s="172"/>
      <c r="F250" s="553" t="str">
        <f>IF(D250="","",VLOOKUP(D250,'G-6 Hedgerow Data'!$B$2:$AG$15,2,FALSE))</f>
        <v/>
      </c>
      <c r="G250" s="499" t="str">
        <f>IF(D250="","",VLOOKUP(D250,'G-6 Hedgerow Data'!$B$2:$AG$15,3,FALSE))</f>
        <v/>
      </c>
      <c r="H250" s="145"/>
      <c r="I250" s="499" t="str">
        <f>IFERROR(VLOOKUP(H250,'G-1 All Habitats'!$Z$2:$AA$9,2,FALSE),"")</f>
        <v/>
      </c>
      <c r="J250" s="145"/>
      <c r="K250" s="520" t="str">
        <f>IF(J250="","",IF(VLOOKUP(J250,'G-3 Multipliers'!$L$3:$N$6,2,FALSE)=0,"Spatial Data Missing ⚠",VLOOKUP(J250,'G-3 Multipliers'!$L$3:$N$6,2,FALSE)))</f>
        <v/>
      </c>
      <c r="L250" s="505" t="str">
        <f>IF(J250="","",IF(VLOOKUP(J250,'G-3 Multipliers'!$L$3:$N$6,3,FALSE)=0,"Spatial Data Missing ⚠",VLOOKUP(J250,'G-3 Multipliers'!$L$3:$N$6,3,FALSE)))</f>
        <v/>
      </c>
      <c r="M250" s="498" t="str">
        <f>IF(OR(D250="",H250=""),"",(INDEX('G-6 Hedgerow Data'!$E$3:$I$15,MATCH(D250,'G-6 Hedgerow Data'!$B$3:$B$15,0),MATCH(H250,'G-6 Hedgerow Data'!$E$2:$I$2,0))))</f>
        <v/>
      </c>
      <c r="N250" s="195"/>
      <c r="O250" s="195"/>
      <c r="P250" s="507" t="str">
        <f t="shared" si="19"/>
        <v/>
      </c>
      <c r="Q250" s="521" t="str">
        <f t="shared" si="20"/>
        <v/>
      </c>
      <c r="R250" s="522" t="str">
        <f t="shared" si="18"/>
        <v/>
      </c>
      <c r="S250" s="537" t="str">
        <f>IF(D250="","",VLOOKUP(D250,'G-6 Hedgerow Data'!$B$3:$AG$15,31,FALSE))</f>
        <v/>
      </c>
      <c r="T250" s="507" t="str">
        <f t="shared" si="21"/>
        <v/>
      </c>
      <c r="U250" s="507" t="str">
        <f t="shared" si="22"/>
        <v/>
      </c>
      <c r="V250" s="524" t="str">
        <f>IF(D250="","",VLOOKUP(S250,'G-3 Multipliers'!$P$3:$Q$6,2,FALSE))</f>
        <v/>
      </c>
      <c r="W250" s="529" t="str">
        <f t="shared" si="23"/>
        <v/>
      </c>
      <c r="X250" s="149"/>
      <c r="Y250" s="150"/>
      <c r="AG250" s="31" t="str">
        <f>IFERROR(INDEX('G-6 Hedgerow Data'!$BJ$3:$BJ$15,MATCH(D250,'G-6 Hedgerow Data'!$B$3:$B$15,0)),"")</f>
        <v/>
      </c>
    </row>
    <row r="251" spans="2:33" ht="14" x14ac:dyDescent="0.3">
      <c r="B251" s="141">
        <v>240</v>
      </c>
      <c r="C251" s="205"/>
      <c r="D251" s="195"/>
      <c r="E251" s="172"/>
      <c r="F251" s="553" t="str">
        <f>IF(D251="","",VLOOKUP(D251,'G-6 Hedgerow Data'!$B$2:$AG$15,2,FALSE))</f>
        <v/>
      </c>
      <c r="G251" s="499" t="str">
        <f>IF(D251="","",VLOOKUP(D251,'G-6 Hedgerow Data'!$B$2:$AG$15,3,FALSE))</f>
        <v/>
      </c>
      <c r="H251" s="145"/>
      <c r="I251" s="499" t="str">
        <f>IFERROR(VLOOKUP(H251,'G-1 All Habitats'!$Z$2:$AA$9,2,FALSE),"")</f>
        <v/>
      </c>
      <c r="J251" s="145"/>
      <c r="K251" s="520" t="str">
        <f>IF(J251="","",IF(VLOOKUP(J251,'G-3 Multipliers'!$L$3:$N$6,2,FALSE)=0,"Spatial Data Missing ⚠",VLOOKUP(J251,'G-3 Multipliers'!$L$3:$N$6,2,FALSE)))</f>
        <v/>
      </c>
      <c r="L251" s="505" t="str">
        <f>IF(J251="","",IF(VLOOKUP(J251,'G-3 Multipliers'!$L$3:$N$6,3,FALSE)=0,"Spatial Data Missing ⚠",VLOOKUP(J251,'G-3 Multipliers'!$L$3:$N$6,3,FALSE)))</f>
        <v/>
      </c>
      <c r="M251" s="498" t="str">
        <f>IF(OR(D251="",H251=""),"",(INDEX('G-6 Hedgerow Data'!$E$3:$I$15,MATCH(D251,'G-6 Hedgerow Data'!$B$3:$B$15,0),MATCH(H251,'G-6 Hedgerow Data'!$E$2:$I$2,0))))</f>
        <v/>
      </c>
      <c r="N251" s="195"/>
      <c r="O251" s="195"/>
      <c r="P251" s="507" t="str">
        <f t="shared" si="19"/>
        <v/>
      </c>
      <c r="Q251" s="521" t="str">
        <f t="shared" si="20"/>
        <v/>
      </c>
      <c r="R251" s="522" t="str">
        <f t="shared" si="18"/>
        <v/>
      </c>
      <c r="S251" s="537" t="str">
        <f>IF(D251="","",VLOOKUP(D251,'G-6 Hedgerow Data'!$B$3:$AG$15,31,FALSE))</f>
        <v/>
      </c>
      <c r="T251" s="507" t="str">
        <f t="shared" si="21"/>
        <v/>
      </c>
      <c r="U251" s="507" t="str">
        <f t="shared" si="22"/>
        <v/>
      </c>
      <c r="V251" s="524" t="str">
        <f>IF(D251="","",VLOOKUP(S251,'G-3 Multipliers'!$P$3:$Q$6,2,FALSE))</f>
        <v/>
      </c>
      <c r="W251" s="529" t="str">
        <f t="shared" si="23"/>
        <v/>
      </c>
      <c r="X251" s="149"/>
      <c r="Y251" s="150"/>
      <c r="AG251" s="31" t="str">
        <f>IFERROR(INDEX('G-6 Hedgerow Data'!$BJ$3:$BJ$15,MATCH(D251,'G-6 Hedgerow Data'!$B$3:$B$15,0)),"")</f>
        <v/>
      </c>
    </row>
    <row r="252" spans="2:33" ht="14" x14ac:dyDescent="0.3">
      <c r="B252" s="141">
        <v>241</v>
      </c>
      <c r="C252" s="205"/>
      <c r="D252" s="195"/>
      <c r="E252" s="172"/>
      <c r="F252" s="553" t="str">
        <f>IF(D252="","",VLOOKUP(D252,'G-6 Hedgerow Data'!$B$2:$AG$15,2,FALSE))</f>
        <v/>
      </c>
      <c r="G252" s="499" t="str">
        <f>IF(D252="","",VLOOKUP(D252,'G-6 Hedgerow Data'!$B$2:$AG$15,3,FALSE))</f>
        <v/>
      </c>
      <c r="H252" s="145"/>
      <c r="I252" s="499" t="str">
        <f>IFERROR(VLOOKUP(H252,'G-1 All Habitats'!$Z$2:$AA$9,2,FALSE),"")</f>
        <v/>
      </c>
      <c r="J252" s="145"/>
      <c r="K252" s="520" t="str">
        <f>IF(J252="","",IF(VLOOKUP(J252,'G-3 Multipliers'!$L$3:$N$6,2,FALSE)=0,"Spatial Data Missing ⚠",VLOOKUP(J252,'G-3 Multipliers'!$L$3:$N$6,2,FALSE)))</f>
        <v/>
      </c>
      <c r="L252" s="505" t="str">
        <f>IF(J252="","",IF(VLOOKUP(J252,'G-3 Multipliers'!$L$3:$N$6,3,FALSE)=0,"Spatial Data Missing ⚠",VLOOKUP(J252,'G-3 Multipliers'!$L$3:$N$6,3,FALSE)))</f>
        <v/>
      </c>
      <c r="M252" s="498" t="str">
        <f>IF(OR(D252="",H252=""),"",(INDEX('G-6 Hedgerow Data'!$E$3:$I$15,MATCH(D252,'G-6 Hedgerow Data'!$B$3:$B$15,0),MATCH(H252,'G-6 Hedgerow Data'!$E$2:$I$2,0))))</f>
        <v/>
      </c>
      <c r="N252" s="195"/>
      <c r="O252" s="195"/>
      <c r="P252" s="507" t="str">
        <f t="shared" si="19"/>
        <v/>
      </c>
      <c r="Q252" s="521" t="str">
        <f t="shared" si="20"/>
        <v/>
      </c>
      <c r="R252" s="522" t="str">
        <f t="shared" si="18"/>
        <v/>
      </c>
      <c r="S252" s="537" t="str">
        <f>IF(D252="","",VLOOKUP(D252,'G-6 Hedgerow Data'!$B$3:$AG$15,31,FALSE))</f>
        <v/>
      </c>
      <c r="T252" s="507" t="str">
        <f t="shared" si="21"/>
        <v/>
      </c>
      <c r="U252" s="507" t="str">
        <f t="shared" si="22"/>
        <v/>
      </c>
      <c r="V252" s="524" t="str">
        <f>IF(D252="","",VLOOKUP(S252,'G-3 Multipliers'!$P$3:$Q$6,2,FALSE))</f>
        <v/>
      </c>
      <c r="W252" s="529" t="str">
        <f t="shared" si="23"/>
        <v/>
      </c>
      <c r="X252" s="149"/>
      <c r="Y252" s="150"/>
      <c r="AG252" s="31" t="str">
        <f>IFERROR(INDEX('G-6 Hedgerow Data'!$BJ$3:$BJ$15,MATCH(D252,'G-6 Hedgerow Data'!$B$3:$B$15,0)),"")</f>
        <v/>
      </c>
    </row>
    <row r="253" spans="2:33" ht="14" x14ac:dyDescent="0.3">
      <c r="B253" s="141">
        <v>242</v>
      </c>
      <c r="C253" s="205"/>
      <c r="D253" s="195"/>
      <c r="E253" s="172"/>
      <c r="F253" s="553" t="str">
        <f>IF(D253="","",VLOOKUP(D253,'G-6 Hedgerow Data'!$B$2:$AG$15,2,FALSE))</f>
        <v/>
      </c>
      <c r="G253" s="499" t="str">
        <f>IF(D253="","",VLOOKUP(D253,'G-6 Hedgerow Data'!$B$2:$AG$15,3,FALSE))</f>
        <v/>
      </c>
      <c r="H253" s="145"/>
      <c r="I253" s="499" t="str">
        <f>IFERROR(VLOOKUP(H253,'G-1 All Habitats'!$Z$2:$AA$9,2,FALSE),"")</f>
        <v/>
      </c>
      <c r="J253" s="145"/>
      <c r="K253" s="520" t="str">
        <f>IF(J253="","",IF(VLOOKUP(J253,'G-3 Multipliers'!$L$3:$N$6,2,FALSE)=0,"Spatial Data Missing ⚠",VLOOKUP(J253,'G-3 Multipliers'!$L$3:$N$6,2,FALSE)))</f>
        <v/>
      </c>
      <c r="L253" s="505" t="str">
        <f>IF(J253="","",IF(VLOOKUP(J253,'G-3 Multipliers'!$L$3:$N$6,3,FALSE)=0,"Spatial Data Missing ⚠",VLOOKUP(J253,'G-3 Multipliers'!$L$3:$N$6,3,FALSE)))</f>
        <v/>
      </c>
      <c r="M253" s="498" t="str">
        <f>IF(OR(D253="",H253=""),"",(INDEX('G-6 Hedgerow Data'!$E$3:$I$15,MATCH(D253,'G-6 Hedgerow Data'!$B$3:$B$15,0),MATCH(H253,'G-6 Hedgerow Data'!$E$2:$I$2,0))))</f>
        <v/>
      </c>
      <c r="N253" s="195"/>
      <c r="O253" s="195"/>
      <c r="P253" s="507" t="str">
        <f t="shared" si="19"/>
        <v/>
      </c>
      <c r="Q253" s="521" t="str">
        <f t="shared" si="20"/>
        <v/>
      </c>
      <c r="R253" s="522" t="str">
        <f t="shared" si="18"/>
        <v/>
      </c>
      <c r="S253" s="537" t="str">
        <f>IF(D253="","",VLOOKUP(D253,'G-6 Hedgerow Data'!$B$3:$AG$15,31,FALSE))</f>
        <v/>
      </c>
      <c r="T253" s="507" t="str">
        <f t="shared" si="21"/>
        <v/>
      </c>
      <c r="U253" s="507" t="str">
        <f t="shared" si="22"/>
        <v/>
      </c>
      <c r="V253" s="524" t="str">
        <f>IF(D253="","",VLOOKUP(S253,'G-3 Multipliers'!$P$3:$Q$6,2,FALSE))</f>
        <v/>
      </c>
      <c r="W253" s="529" t="str">
        <f t="shared" si="23"/>
        <v/>
      </c>
      <c r="X253" s="149"/>
      <c r="Y253" s="150"/>
      <c r="AG253" s="31" t="str">
        <f>IFERROR(INDEX('G-6 Hedgerow Data'!$BJ$3:$BJ$15,MATCH(D253,'G-6 Hedgerow Data'!$B$3:$B$15,0)),"")</f>
        <v/>
      </c>
    </row>
    <row r="254" spans="2:33" ht="14" x14ac:dyDescent="0.3">
      <c r="B254" s="141">
        <v>243</v>
      </c>
      <c r="C254" s="205"/>
      <c r="D254" s="195"/>
      <c r="E254" s="172"/>
      <c r="F254" s="553" t="str">
        <f>IF(D254="","",VLOOKUP(D254,'G-6 Hedgerow Data'!$B$2:$AG$15,2,FALSE))</f>
        <v/>
      </c>
      <c r="G254" s="499" t="str">
        <f>IF(D254="","",VLOOKUP(D254,'G-6 Hedgerow Data'!$B$2:$AG$15,3,FALSE))</f>
        <v/>
      </c>
      <c r="H254" s="145"/>
      <c r="I254" s="499" t="str">
        <f>IFERROR(VLOOKUP(H254,'G-1 All Habitats'!$Z$2:$AA$9,2,FALSE),"")</f>
        <v/>
      </c>
      <c r="J254" s="145"/>
      <c r="K254" s="520" t="str">
        <f>IF(J254="","",IF(VLOOKUP(J254,'G-3 Multipliers'!$L$3:$N$6,2,FALSE)=0,"Spatial Data Missing ⚠",VLOOKUP(J254,'G-3 Multipliers'!$L$3:$N$6,2,FALSE)))</f>
        <v/>
      </c>
      <c r="L254" s="505" t="str">
        <f>IF(J254="","",IF(VLOOKUP(J254,'G-3 Multipliers'!$L$3:$N$6,3,FALSE)=0,"Spatial Data Missing ⚠",VLOOKUP(J254,'G-3 Multipliers'!$L$3:$N$6,3,FALSE)))</f>
        <v/>
      </c>
      <c r="M254" s="498" t="str">
        <f>IF(OR(D254="",H254=""),"",(INDEX('G-6 Hedgerow Data'!$E$3:$I$15,MATCH(D254,'G-6 Hedgerow Data'!$B$3:$B$15,0),MATCH(H254,'G-6 Hedgerow Data'!$E$2:$I$2,0))))</f>
        <v/>
      </c>
      <c r="N254" s="195"/>
      <c r="O254" s="195"/>
      <c r="P254" s="507" t="str">
        <f t="shared" si="19"/>
        <v/>
      </c>
      <c r="Q254" s="521" t="str">
        <f t="shared" si="20"/>
        <v/>
      </c>
      <c r="R254" s="522" t="str">
        <f t="shared" si="18"/>
        <v/>
      </c>
      <c r="S254" s="537" t="str">
        <f>IF(D254="","",VLOOKUP(D254,'G-6 Hedgerow Data'!$B$3:$AG$15,31,FALSE))</f>
        <v/>
      </c>
      <c r="T254" s="507" t="str">
        <f t="shared" si="21"/>
        <v/>
      </c>
      <c r="U254" s="507" t="str">
        <f t="shared" si="22"/>
        <v/>
      </c>
      <c r="V254" s="524" t="str">
        <f>IF(D254="","",VLOOKUP(S254,'G-3 Multipliers'!$P$3:$Q$6,2,FALSE))</f>
        <v/>
      </c>
      <c r="W254" s="529" t="str">
        <f t="shared" si="23"/>
        <v/>
      </c>
      <c r="X254" s="149"/>
      <c r="Y254" s="150"/>
      <c r="AG254" s="31" t="str">
        <f>IFERROR(INDEX('G-6 Hedgerow Data'!$BJ$3:$BJ$15,MATCH(D254,'G-6 Hedgerow Data'!$B$3:$B$15,0)),"")</f>
        <v/>
      </c>
    </row>
    <row r="255" spans="2:33" ht="14" x14ac:dyDescent="0.3">
      <c r="B255" s="141">
        <v>244</v>
      </c>
      <c r="C255" s="205"/>
      <c r="D255" s="195"/>
      <c r="E255" s="172"/>
      <c r="F255" s="553" t="str">
        <f>IF(D255="","",VLOOKUP(D255,'G-6 Hedgerow Data'!$B$2:$AG$15,2,FALSE))</f>
        <v/>
      </c>
      <c r="G255" s="499" t="str">
        <f>IF(D255="","",VLOOKUP(D255,'G-6 Hedgerow Data'!$B$2:$AG$15,3,FALSE))</f>
        <v/>
      </c>
      <c r="H255" s="145"/>
      <c r="I255" s="499" t="str">
        <f>IFERROR(VLOOKUP(H255,'G-1 All Habitats'!$Z$2:$AA$9,2,FALSE),"")</f>
        <v/>
      </c>
      <c r="J255" s="145"/>
      <c r="K255" s="520" t="str">
        <f>IF(J255="","",IF(VLOOKUP(J255,'G-3 Multipliers'!$L$3:$N$6,2,FALSE)=0,"Spatial Data Missing ⚠",VLOOKUP(J255,'G-3 Multipliers'!$L$3:$N$6,2,FALSE)))</f>
        <v/>
      </c>
      <c r="L255" s="505" t="str">
        <f>IF(J255="","",IF(VLOOKUP(J255,'G-3 Multipliers'!$L$3:$N$6,3,FALSE)=0,"Spatial Data Missing ⚠",VLOOKUP(J255,'G-3 Multipliers'!$L$3:$N$6,3,FALSE)))</f>
        <v/>
      </c>
      <c r="M255" s="498" t="str">
        <f>IF(OR(D255="",H255=""),"",(INDEX('G-6 Hedgerow Data'!$E$3:$I$15,MATCH(D255,'G-6 Hedgerow Data'!$B$3:$B$15,0),MATCH(H255,'G-6 Hedgerow Data'!$E$2:$I$2,0))))</f>
        <v/>
      </c>
      <c r="N255" s="195"/>
      <c r="O255" s="195"/>
      <c r="P255" s="507" t="str">
        <f t="shared" si="19"/>
        <v/>
      </c>
      <c r="Q255" s="521" t="str">
        <f t="shared" si="20"/>
        <v/>
      </c>
      <c r="R255" s="522" t="str">
        <f t="shared" si="18"/>
        <v/>
      </c>
      <c r="S255" s="537" t="str">
        <f>IF(D255="","",VLOOKUP(D255,'G-6 Hedgerow Data'!$B$3:$AG$15,31,FALSE))</f>
        <v/>
      </c>
      <c r="T255" s="507" t="str">
        <f t="shared" si="21"/>
        <v/>
      </c>
      <c r="U255" s="507" t="str">
        <f t="shared" si="22"/>
        <v/>
      </c>
      <c r="V255" s="524" t="str">
        <f>IF(D255="","",VLOOKUP(S255,'G-3 Multipliers'!$P$3:$Q$6,2,FALSE))</f>
        <v/>
      </c>
      <c r="W255" s="529" t="str">
        <f t="shared" si="23"/>
        <v/>
      </c>
      <c r="X255" s="149"/>
      <c r="Y255" s="150"/>
      <c r="AG255" s="31" t="str">
        <f>IFERROR(INDEX('G-6 Hedgerow Data'!$BJ$3:$BJ$15,MATCH(D255,'G-6 Hedgerow Data'!$B$3:$B$15,0)),"")</f>
        <v/>
      </c>
    </row>
    <row r="256" spans="2:33" ht="14" x14ac:dyDescent="0.3">
      <c r="B256" s="141">
        <v>245</v>
      </c>
      <c r="C256" s="205"/>
      <c r="D256" s="195"/>
      <c r="E256" s="172"/>
      <c r="F256" s="553" t="str">
        <f>IF(D256="","",VLOOKUP(D256,'G-6 Hedgerow Data'!$B$2:$AG$15,2,FALSE))</f>
        <v/>
      </c>
      <c r="G256" s="499" t="str">
        <f>IF(D256="","",VLOOKUP(D256,'G-6 Hedgerow Data'!$B$2:$AG$15,3,FALSE))</f>
        <v/>
      </c>
      <c r="H256" s="145"/>
      <c r="I256" s="499" t="str">
        <f>IFERROR(VLOOKUP(H256,'G-1 All Habitats'!$Z$2:$AA$9,2,FALSE),"")</f>
        <v/>
      </c>
      <c r="J256" s="145"/>
      <c r="K256" s="520" t="str">
        <f>IF(J256="","",IF(VLOOKUP(J256,'G-3 Multipliers'!$L$3:$N$6,2,FALSE)=0,"Spatial Data Missing ⚠",VLOOKUP(J256,'G-3 Multipliers'!$L$3:$N$6,2,FALSE)))</f>
        <v/>
      </c>
      <c r="L256" s="505" t="str">
        <f>IF(J256="","",IF(VLOOKUP(J256,'G-3 Multipliers'!$L$3:$N$6,3,FALSE)=0,"Spatial Data Missing ⚠",VLOOKUP(J256,'G-3 Multipliers'!$L$3:$N$6,3,FALSE)))</f>
        <v/>
      </c>
      <c r="M256" s="498" t="str">
        <f>IF(OR(D256="",H256=""),"",(INDEX('G-6 Hedgerow Data'!$E$3:$I$15,MATCH(D256,'G-6 Hedgerow Data'!$B$3:$B$15,0),MATCH(H256,'G-6 Hedgerow Data'!$E$2:$I$2,0))))</f>
        <v/>
      </c>
      <c r="N256" s="195"/>
      <c r="O256" s="195"/>
      <c r="P256" s="507" t="str">
        <f t="shared" si="19"/>
        <v/>
      </c>
      <c r="Q256" s="521" t="str">
        <f t="shared" si="20"/>
        <v/>
      </c>
      <c r="R256" s="522" t="str">
        <f t="shared" si="18"/>
        <v/>
      </c>
      <c r="S256" s="537" t="str">
        <f>IF(D256="","",VLOOKUP(D256,'G-6 Hedgerow Data'!$B$3:$AG$15,31,FALSE))</f>
        <v/>
      </c>
      <c r="T256" s="507" t="str">
        <f t="shared" si="21"/>
        <v/>
      </c>
      <c r="U256" s="507" t="str">
        <f t="shared" si="22"/>
        <v/>
      </c>
      <c r="V256" s="524" t="str">
        <f>IF(D256="","",VLOOKUP(S256,'G-3 Multipliers'!$P$3:$Q$6,2,FALSE))</f>
        <v/>
      </c>
      <c r="W256" s="529" t="str">
        <f t="shared" si="23"/>
        <v/>
      </c>
      <c r="X256" s="149"/>
      <c r="Y256" s="150"/>
      <c r="AG256" s="31" t="str">
        <f>IFERROR(INDEX('G-6 Hedgerow Data'!$BJ$3:$BJ$15,MATCH(D256,'G-6 Hedgerow Data'!$B$3:$B$15,0)),"")</f>
        <v/>
      </c>
    </row>
    <row r="257" spans="2:33" ht="14" x14ac:dyDescent="0.3">
      <c r="B257" s="141">
        <v>246</v>
      </c>
      <c r="C257" s="205"/>
      <c r="D257" s="195"/>
      <c r="E257" s="172"/>
      <c r="F257" s="553" t="str">
        <f>IF(D257="","",VLOOKUP(D257,'G-6 Hedgerow Data'!$B$2:$AG$15,2,FALSE))</f>
        <v/>
      </c>
      <c r="G257" s="499" t="str">
        <f>IF(D257="","",VLOOKUP(D257,'G-6 Hedgerow Data'!$B$2:$AG$15,3,FALSE))</f>
        <v/>
      </c>
      <c r="H257" s="145"/>
      <c r="I257" s="499" t="str">
        <f>IFERROR(VLOOKUP(H257,'G-1 All Habitats'!$Z$2:$AA$9,2,FALSE),"")</f>
        <v/>
      </c>
      <c r="J257" s="145"/>
      <c r="K257" s="520" t="str">
        <f>IF(J257="","",IF(VLOOKUP(J257,'G-3 Multipliers'!$L$3:$N$6,2,FALSE)=0,"Spatial Data Missing ⚠",VLOOKUP(J257,'G-3 Multipliers'!$L$3:$N$6,2,FALSE)))</f>
        <v/>
      </c>
      <c r="L257" s="505" t="str">
        <f>IF(J257="","",IF(VLOOKUP(J257,'G-3 Multipliers'!$L$3:$N$6,3,FALSE)=0,"Spatial Data Missing ⚠",VLOOKUP(J257,'G-3 Multipliers'!$L$3:$N$6,3,FALSE)))</f>
        <v/>
      </c>
      <c r="M257" s="498" t="str">
        <f>IF(OR(D257="",H257=""),"",(INDEX('G-6 Hedgerow Data'!$E$3:$I$15,MATCH(D257,'G-6 Hedgerow Data'!$B$3:$B$15,0),MATCH(H257,'G-6 Hedgerow Data'!$E$2:$I$2,0))))</f>
        <v/>
      </c>
      <c r="N257" s="195"/>
      <c r="O257" s="195"/>
      <c r="P257" s="507" t="str">
        <f t="shared" si="19"/>
        <v/>
      </c>
      <c r="Q257" s="521" t="str">
        <f t="shared" si="20"/>
        <v/>
      </c>
      <c r="R257" s="522" t="str">
        <f t="shared" si="18"/>
        <v/>
      </c>
      <c r="S257" s="537" t="str">
        <f>IF(D257="","",VLOOKUP(D257,'G-6 Hedgerow Data'!$B$3:$AG$15,31,FALSE))</f>
        <v/>
      </c>
      <c r="T257" s="507" t="str">
        <f t="shared" si="21"/>
        <v/>
      </c>
      <c r="U257" s="507" t="str">
        <f t="shared" si="22"/>
        <v/>
      </c>
      <c r="V257" s="524" t="str">
        <f>IF(D257="","",VLOOKUP(S257,'G-3 Multipliers'!$P$3:$Q$6,2,FALSE))</f>
        <v/>
      </c>
      <c r="W257" s="529" t="str">
        <f t="shared" si="23"/>
        <v/>
      </c>
      <c r="X257" s="149"/>
      <c r="Y257" s="150"/>
      <c r="AG257" s="31" t="str">
        <f>IFERROR(INDEX('G-6 Hedgerow Data'!$BJ$3:$BJ$15,MATCH(D257,'G-6 Hedgerow Data'!$B$3:$B$15,0)),"")</f>
        <v/>
      </c>
    </row>
    <row r="258" spans="2:33" ht="14" x14ac:dyDescent="0.3">
      <c r="B258" s="141">
        <v>247</v>
      </c>
      <c r="C258" s="205"/>
      <c r="D258" s="195"/>
      <c r="E258" s="172"/>
      <c r="F258" s="553" t="str">
        <f>IF(D258="","",VLOOKUP(D258,'G-6 Hedgerow Data'!$B$2:$AG$15,2,FALSE))</f>
        <v/>
      </c>
      <c r="G258" s="499" t="str">
        <f>IF(D258="","",VLOOKUP(D258,'G-6 Hedgerow Data'!$B$2:$AG$15,3,FALSE))</f>
        <v/>
      </c>
      <c r="H258" s="145"/>
      <c r="I258" s="499" t="str">
        <f>IFERROR(VLOOKUP(H258,'G-1 All Habitats'!$Z$2:$AA$9,2,FALSE),"")</f>
        <v/>
      </c>
      <c r="J258" s="145"/>
      <c r="K258" s="520" t="str">
        <f>IF(J258="","",IF(VLOOKUP(J258,'G-3 Multipliers'!$L$3:$N$6,2,FALSE)=0,"Spatial Data Missing ⚠",VLOOKUP(J258,'G-3 Multipliers'!$L$3:$N$6,2,FALSE)))</f>
        <v/>
      </c>
      <c r="L258" s="505" t="str">
        <f>IF(J258="","",IF(VLOOKUP(J258,'G-3 Multipliers'!$L$3:$N$6,3,FALSE)=0,"Spatial Data Missing ⚠",VLOOKUP(J258,'G-3 Multipliers'!$L$3:$N$6,3,FALSE)))</f>
        <v/>
      </c>
      <c r="M258" s="498" t="str">
        <f>IF(OR(D258="",H258=""),"",(INDEX('G-6 Hedgerow Data'!$E$3:$I$15,MATCH(D258,'G-6 Hedgerow Data'!$B$3:$B$15,0),MATCH(H258,'G-6 Hedgerow Data'!$E$2:$I$2,0))))</f>
        <v/>
      </c>
      <c r="N258" s="195"/>
      <c r="O258" s="195"/>
      <c r="P258" s="507" t="str">
        <f t="shared" si="19"/>
        <v/>
      </c>
      <c r="Q258" s="521" t="str">
        <f t="shared" si="20"/>
        <v/>
      </c>
      <c r="R258" s="522" t="str">
        <f t="shared" si="18"/>
        <v/>
      </c>
      <c r="S258" s="537" t="str">
        <f>IF(D258="","",VLOOKUP(D258,'G-6 Hedgerow Data'!$B$3:$AG$15,31,FALSE))</f>
        <v/>
      </c>
      <c r="T258" s="507" t="str">
        <f t="shared" si="21"/>
        <v/>
      </c>
      <c r="U258" s="507" t="str">
        <f t="shared" si="22"/>
        <v/>
      </c>
      <c r="V258" s="524" t="str">
        <f>IF(D258="","",VLOOKUP(S258,'G-3 Multipliers'!$P$3:$Q$6,2,FALSE))</f>
        <v/>
      </c>
      <c r="W258" s="529" t="str">
        <f t="shared" si="23"/>
        <v/>
      </c>
      <c r="X258" s="149"/>
      <c r="Y258" s="150"/>
      <c r="AG258" s="31" t="str">
        <f>IFERROR(INDEX('G-6 Hedgerow Data'!$BJ$3:$BJ$15,MATCH(D258,'G-6 Hedgerow Data'!$B$3:$B$15,0)),"")</f>
        <v/>
      </c>
    </row>
    <row r="259" spans="2:33" ht="14.5" thickBot="1" x14ac:dyDescent="0.35">
      <c r="B259" s="158">
        <v>248</v>
      </c>
      <c r="C259" s="311"/>
      <c r="D259" s="206"/>
      <c r="E259" s="160"/>
      <c r="F259" s="528" t="str">
        <f>IF(D259="","",VLOOKUP(D259,'G-6 Hedgerow Data'!$B$2:$AG$15,2,FALSE))</f>
        <v/>
      </c>
      <c r="G259" s="499" t="str">
        <f>IF(D259="","",VLOOKUP(D259,'G-6 Hedgerow Data'!$B$2:$AG$15,3,FALSE))</f>
        <v/>
      </c>
      <c r="H259" s="161"/>
      <c r="I259" s="501" t="str">
        <f>IFERROR(VLOOKUP(H259,'G-1 All Habitats'!$Z$2:$AA$9,2,FALSE),"")</f>
        <v/>
      </c>
      <c r="J259" s="161"/>
      <c r="K259" s="508" t="str">
        <f>IF(J259="","",IF(VLOOKUP(J259,'G-3 Multipliers'!$L$3:$N$6,2,FALSE)=0,"Spatial Data Missing ⚠",VLOOKUP(J259,'G-3 Multipliers'!$L$3:$N$6,2,FALSE)))</f>
        <v/>
      </c>
      <c r="L259" s="509" t="str">
        <f>IF(J259="","",IF(VLOOKUP(J259,'G-3 Multipliers'!$L$3:$N$6,3,FALSE)=0,"Spatial Data Missing ⚠",VLOOKUP(J259,'G-3 Multipliers'!$L$3:$N$6,3,FALSE)))</f>
        <v/>
      </c>
      <c r="M259" s="500" t="str">
        <f>IF(OR(D259="",H259=""),"",(INDEX('G-6 Hedgerow Data'!$E$3:$I$15,MATCH(D259,'G-6 Hedgerow Data'!$B$3:$B$15,0),MATCH(H259,'G-6 Hedgerow Data'!$E$2:$I$2,0))))</f>
        <v/>
      </c>
      <c r="N259" s="195"/>
      <c r="O259" s="206"/>
      <c r="P259" s="507" t="str">
        <f t="shared" si="19"/>
        <v/>
      </c>
      <c r="Q259" s="521" t="str">
        <f t="shared" si="20"/>
        <v/>
      </c>
      <c r="R259" s="527" t="str">
        <f t="shared" si="18"/>
        <v/>
      </c>
      <c r="S259" s="500" t="str">
        <f>IF(D259="","",VLOOKUP(D259,'G-6 Hedgerow Data'!$B$3:$AG$15,31,FALSE))</f>
        <v/>
      </c>
      <c r="T259" s="507" t="str">
        <f t="shared" si="21"/>
        <v/>
      </c>
      <c r="U259" s="507" t="str">
        <f t="shared" si="22"/>
        <v/>
      </c>
      <c r="V259" s="501" t="str">
        <f>IF(D259="","",VLOOKUP(S259,'G-3 Multipliers'!$P$3:$Q$6,2,FALSE))</f>
        <v/>
      </c>
      <c r="W259" s="530" t="str">
        <f t="shared" si="23"/>
        <v/>
      </c>
      <c r="X259" s="163"/>
      <c r="Y259" s="164"/>
      <c r="AG259" s="31" t="str">
        <f>IFERROR(INDEX('G-6 Hedgerow Data'!$BJ$3:$BJ$15,MATCH(D259,'G-6 Hedgerow Data'!$B$3:$B$15,0)),"")</f>
        <v/>
      </c>
    </row>
    <row r="260" spans="2:33" ht="15.75" customHeight="1" thickBot="1" x14ac:dyDescent="0.35">
      <c r="B260" s="46"/>
      <c r="C260" s="46"/>
      <c r="D260" s="277"/>
      <c r="E260" s="503">
        <f>SUM(E12:E259)</f>
        <v>0.246</v>
      </c>
      <c r="F260" s="46"/>
      <c r="G260" s="46"/>
      <c r="H260" s="46"/>
      <c r="I260" s="46"/>
      <c r="J260" s="46"/>
      <c r="K260" s="46"/>
      <c r="L260" s="46"/>
      <c r="M260" s="46"/>
      <c r="N260" s="46"/>
      <c r="O260" s="46"/>
      <c r="P260" s="46"/>
      <c r="Q260" s="46"/>
      <c r="R260" s="46"/>
      <c r="S260" s="46"/>
      <c r="T260" s="46"/>
      <c r="U260" s="983"/>
      <c r="V260" s="984"/>
      <c r="W260" s="503">
        <f>SUM(W12:W259)</f>
        <v>0.82343944139040004</v>
      </c>
      <c r="X260" s="46"/>
      <c r="Y260" s="46"/>
    </row>
    <row r="261" spans="2:33" ht="28.9" customHeight="1" x14ac:dyDescent="0.3">
      <c r="E261" s="981"/>
      <c r="F261" s="981"/>
      <c r="G261" s="981"/>
      <c r="H261" s="981"/>
      <c r="I261" s="981"/>
      <c r="J261" s="981"/>
    </row>
    <row r="262" spans="2:33" ht="27" customHeight="1" x14ac:dyDescent="0.3"/>
    <row r="263" spans="2:33" ht="14" x14ac:dyDescent="0.3"/>
    <row r="264" spans="2:33" ht="14" x14ac:dyDescent="0.3"/>
    <row r="265" spans="2:33" ht="14" x14ac:dyDescent="0.3"/>
    <row r="266" spans="2:33" ht="14" x14ac:dyDescent="0.3"/>
    <row r="267" spans="2:33" ht="14" x14ac:dyDescent="0.3"/>
    <row r="268" spans="2:33" ht="14" x14ac:dyDescent="0.3"/>
  </sheetData>
  <sheetProtection algorithmName="SHA-512" hashValue="B4/85q9Hcg51igq2vtp6l/Ztkm1N9X/1T9F3PtU4Pg9stXU8FnbJv4JUeNo0w2/VaJTN41+7ojBJyhDbBHu3vA==" saltValue="gilfv+GP3AvHxu7d0mRAyg=="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13">
    <mergeCell ref="E261:J261"/>
    <mergeCell ref="W10:W11"/>
    <mergeCell ref="X10:Y10"/>
    <mergeCell ref="B2:D2"/>
    <mergeCell ref="B3:D4"/>
    <mergeCell ref="D10:E10"/>
    <mergeCell ref="H10:I10"/>
    <mergeCell ref="J10:L10"/>
    <mergeCell ref="S10:V10"/>
    <mergeCell ref="M10:R10"/>
    <mergeCell ref="F10:G10"/>
    <mergeCell ref="U260:V260"/>
    <mergeCell ref="M3:R5"/>
  </mergeCells>
  <conditionalFormatting sqref="W12:W259">
    <cfRule type="containsText" dxfId="125" priority="12" operator="containsText" text="Existing Value Not Required">
      <formula>NOT(ISERROR(SEARCH("Existing Value Not Required",W12)))</formula>
    </cfRule>
    <cfRule type="containsText" dxfId="124" priority="13" operator="containsText" text="Existing Value Required">
      <formula>NOT(ISERROR(SEARCH("Existing Value Required",W12)))</formula>
    </cfRule>
  </conditionalFormatting>
  <conditionalFormatting sqref="K12:K259">
    <cfRule type="containsText" dxfId="123" priority="11" operator="containsText" text="Spatial">
      <formula>NOT(ISERROR(SEARCH("Spatial",K12)))</formula>
    </cfRule>
  </conditionalFormatting>
  <conditionalFormatting sqref="L12:L259">
    <cfRule type="containsText" dxfId="122" priority="10" operator="containsText" text="Spatial">
      <formula>NOT(ISERROR(SEARCH("Spatial",L12)))</formula>
    </cfRule>
  </conditionalFormatting>
  <conditionalFormatting sqref="M6:Q7 M3">
    <cfRule type="containsText" dxfId="121" priority="9" operator="containsText" text="Note">
      <formula>NOT(ISERROR(SEARCH("Note",M3)))</formula>
    </cfRule>
  </conditionalFormatting>
  <conditionalFormatting sqref="P12:P259">
    <cfRule type="containsText" dxfId="120" priority="7" operator="containsText" text="Check">
      <formula>NOT(ISERROR(SEARCH("Check",P12)))</formula>
    </cfRule>
    <cfRule type="containsText" dxfId="119" priority="8" operator="containsText" text="Error">
      <formula>NOT(ISERROR(SEARCH("Error",P12)))</formula>
    </cfRule>
  </conditionalFormatting>
  <conditionalFormatting sqref="Q12:Q259">
    <cfRule type="containsText" dxfId="118" priority="6" operator="containsText" text="Check">
      <formula>NOT(ISERROR(SEARCH("Check",Q12)))</formula>
    </cfRule>
  </conditionalFormatting>
  <conditionalFormatting sqref="R12:R259">
    <cfRule type="containsText" dxfId="117" priority="5" operator="containsText" text="Check">
      <formula>NOT(ISERROR(SEARCH("Check",R12)))</formula>
    </cfRule>
  </conditionalFormatting>
  <conditionalFormatting sqref="T12:T259">
    <cfRule type="containsText" dxfId="116" priority="3" operator="containsText" text="No - Low Difficulty">
      <formula>NOT(ISERROR(SEARCH("No - Low Difficulty",T12)))</formula>
    </cfRule>
    <cfRule type="containsText" dxfId="115" priority="4" operator="containsText" text="Check">
      <formula>NOT(ISERROR(SEARCH("Check",T12)))</formula>
    </cfRule>
  </conditionalFormatting>
  <conditionalFormatting sqref="E261:J261">
    <cfRule type="containsText" dxfId="114" priority="2" operator="containsText" text="Check">
      <formula>NOT(ISERROR(SEARCH("Check",E261)))</formula>
    </cfRule>
  </conditionalFormatting>
  <conditionalFormatting sqref="Q12:Q259">
    <cfRule type="containsText" dxfId="113" priority="1" operator="containsText" text="30+">
      <formula>NOT(ISERROR(SEARCH("30+",Q12)))</formula>
    </cfRule>
  </conditionalFormatting>
  <dataValidations count="1">
    <dataValidation type="list" allowBlank="1" showInputMessage="1" showErrorMessage="1" sqref="H12:H259" xr:uid="{00000000-0002-0000-1200-000000000000}">
      <formula1>INDIRECT(AG12)</formula1>
    </dataValidation>
  </dataValidations>
  <pageMargins left="0.7" right="0.7" top="0.75" bottom="0.75" header="0.3" footer="0.3"/>
  <pageSetup paperSize="9" orientation="portrait" horizontalDpi="90" verticalDpi="90"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200-000001000000}">
          <x14:formula1>
            <xm:f>'G-6 Hedgerow Data'!$B$3:$B$15</xm:f>
          </x14:formula1>
          <xm:sqref>D12:D259</xm:sqref>
        </x14:dataValidation>
        <x14:dataValidation type="list" allowBlank="1" showInputMessage="1" showErrorMessage="1" xr:uid="{00000000-0002-0000-1200-000002000000}">
          <x14:formula1>
            <xm:f>'G-3 Multipliers'!$L$4:$L$6</xm:f>
          </x14:formula1>
          <xm:sqref>J12:J259</xm:sqref>
        </x14:dataValidation>
        <x14:dataValidation type="list" allowBlank="1" showInputMessage="1" showErrorMessage="1" xr:uid="{00000000-0002-0000-1200-000004000000}">
          <x14:formula1>
            <xm:f>'G-4 Temporal multipliers'!$A$41:$A$72</xm:f>
          </x14:formula1>
          <xm:sqref>N12:O259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9">
    <tabColor rgb="FF663300"/>
  </sheetPr>
  <dimension ref="A1:AT266"/>
  <sheetViews>
    <sheetView workbookViewId="0"/>
  </sheetViews>
  <sheetFormatPr defaultColWidth="0" defaultRowHeight="0" customHeight="1" zeroHeight="1" x14ac:dyDescent="0.3"/>
  <cols>
    <col min="1" max="1" width="2.81640625" style="31" customWidth="1"/>
    <col min="2" max="2" width="10" style="31" customWidth="1"/>
    <col min="3" max="3" width="53.26953125" style="31" customWidth="1"/>
    <col min="4" max="4" width="9" style="31" customWidth="1"/>
    <col min="5" max="5" width="18.7265625" style="31" customWidth="1"/>
    <col min="6" max="6" width="17.54296875" style="31" customWidth="1"/>
    <col min="7" max="7" width="18.1796875" style="31" customWidth="1"/>
    <col min="8" max="11" width="19.26953125" style="31" customWidth="1"/>
    <col min="12" max="12" width="33.453125" style="31" customWidth="1"/>
    <col min="13" max="13" width="68.7265625" style="31" customWidth="1"/>
    <col min="14" max="15" width="34.26953125" style="31" customWidth="1"/>
    <col min="16" max="16" width="10.26953125" style="31" customWidth="1"/>
    <col min="17" max="17" width="17.54296875" style="31" customWidth="1"/>
    <col min="18" max="18" width="13.1796875" style="31" customWidth="1"/>
    <col min="19" max="19" width="12.54296875" style="31" bestFit="1" customWidth="1"/>
    <col min="20" max="20" width="12.54296875" style="31" customWidth="1"/>
    <col min="21" max="21" width="41.7265625" style="31" customWidth="1"/>
    <col min="22" max="22" width="15.453125" style="31" customWidth="1"/>
    <col min="23" max="23" width="12.26953125" style="31" customWidth="1"/>
    <col min="24" max="24" width="18.81640625" style="31" customWidth="1"/>
    <col min="25" max="25" width="21.7265625" style="31" customWidth="1"/>
    <col min="26" max="26" width="22.81640625" style="31" customWidth="1"/>
    <col min="27" max="27" width="33.54296875" style="31" customWidth="1"/>
    <col min="28" max="28" width="18.81640625" style="31" customWidth="1"/>
    <col min="29" max="29" width="15.26953125" style="31" customWidth="1"/>
    <col min="30" max="30" width="15.7265625" style="31" customWidth="1"/>
    <col min="31" max="31" width="24" style="31" customWidth="1"/>
    <col min="32" max="32" width="22.1796875" style="31" customWidth="1"/>
    <col min="33" max="33" width="13.453125" style="31" customWidth="1"/>
    <col min="34" max="34" width="12.7265625" style="31" customWidth="1"/>
    <col min="35" max="36" width="34.81640625" style="31" customWidth="1"/>
    <col min="37" max="45" width="8.81640625" style="31" customWidth="1"/>
    <col min="46" max="46" width="15.7265625" style="31" hidden="1" customWidth="1"/>
    <col min="47" max="16384" width="8.81640625" style="31" hidden="1"/>
  </cols>
  <sheetData>
    <row r="1" spans="2:46" ht="15.75" customHeight="1" thickBot="1" x14ac:dyDescent="0.35"/>
    <row r="2" spans="2:46" ht="19.899999999999999" customHeight="1" thickBot="1" x14ac:dyDescent="0.35">
      <c r="B2" s="987" t="str">
        <f>IF(Start!F12="","",Start!F12)</f>
        <v>NCP Car Park, Bath Road, West Drayton, Greater London</v>
      </c>
      <c r="C2" s="988"/>
      <c r="D2" s="989"/>
      <c r="O2" s="132"/>
      <c r="X2" s="921" t="str">
        <f>IF(OR(COUNTIF($X$12:X257,"*30+*")&gt;0,COUNTIF($AB$12:AB257,"*30+*")&gt;0),"Note; Habitat selected has a time to target condition greater than 30 years. Non standard agreement may be required.","")</f>
        <v/>
      </c>
      <c r="Y2" s="921"/>
      <c r="Z2" s="921"/>
      <c r="AA2" s="921"/>
      <c r="AB2" s="921"/>
      <c r="AC2" s="921"/>
    </row>
    <row r="3" spans="2:46" ht="21" customHeight="1" x14ac:dyDescent="0.3">
      <c r="B3" s="941" t="str">
        <f ca="1">MID(CELL("filename",A1),FIND("]",CELL("filename",A1))+1,256)</f>
        <v>B-3 Site Hedge Enhancement</v>
      </c>
      <c r="C3" s="942"/>
      <c r="D3" s="943"/>
      <c r="X3" s="921"/>
      <c r="Y3" s="921"/>
      <c r="Z3" s="921"/>
      <c r="AA3" s="921"/>
      <c r="AB3" s="921"/>
      <c r="AC3" s="921"/>
    </row>
    <row r="4" spans="2:46" ht="15.75" customHeight="1" thickBot="1" x14ac:dyDescent="0.4">
      <c r="B4" s="944"/>
      <c r="C4" s="945"/>
      <c r="D4" s="946"/>
      <c r="V4" s="33"/>
      <c r="W4" s="193"/>
      <c r="X4" s="921"/>
      <c r="Y4" s="921"/>
      <c r="Z4" s="921"/>
      <c r="AA4" s="921"/>
      <c r="AB4" s="921"/>
      <c r="AC4" s="921"/>
      <c r="AD4" s="193"/>
      <c r="AE4" s="193"/>
      <c r="AF4" s="193"/>
      <c r="AG4" s="193"/>
      <c r="AH4" s="193"/>
      <c r="AI4" s="193"/>
      <c r="AJ4" s="193"/>
    </row>
    <row r="5" spans="2:46" ht="15.75" customHeight="1" x14ac:dyDescent="0.3">
      <c r="X5" s="403"/>
      <c r="Y5" s="403"/>
      <c r="Z5" s="403"/>
      <c r="AA5" s="403"/>
      <c r="AB5" s="403"/>
    </row>
    <row r="6" spans="2:46" ht="15.75" customHeight="1" x14ac:dyDescent="0.3">
      <c r="X6" s="403"/>
      <c r="Y6" s="403"/>
      <c r="Z6" s="403"/>
      <c r="AA6" s="403"/>
      <c r="AB6" s="403"/>
    </row>
    <row r="7" spans="2:46" ht="14" x14ac:dyDescent="0.3">
      <c r="B7" s="132"/>
      <c r="C7" s="132"/>
      <c r="M7" s="131"/>
    </row>
    <row r="8" spans="2:46" ht="19.899999999999999" customHeight="1" thickBot="1" x14ac:dyDescent="0.35"/>
    <row r="9" spans="2:46" ht="14.5" thickBot="1" x14ac:dyDescent="0.35">
      <c r="C9" s="131"/>
      <c r="D9" s="131"/>
      <c r="E9" s="131"/>
      <c r="F9" s="131"/>
      <c r="G9" s="131"/>
      <c r="H9" s="131"/>
      <c r="I9" s="131"/>
      <c r="J9" s="131"/>
      <c r="K9" s="131"/>
      <c r="L9" s="131"/>
      <c r="M9" s="990" t="s">
        <v>225</v>
      </c>
      <c r="N9" s="991"/>
      <c r="O9" s="991"/>
      <c r="P9" s="991"/>
      <c r="Q9" s="991"/>
      <c r="R9" s="991"/>
      <c r="S9" s="991"/>
      <c r="T9" s="991"/>
      <c r="U9" s="991"/>
      <c r="V9" s="991"/>
      <c r="W9" s="991"/>
      <c r="X9" s="991"/>
      <c r="Y9" s="991"/>
      <c r="Z9" s="991"/>
      <c r="AA9" s="991"/>
      <c r="AB9" s="991"/>
      <c r="AC9" s="991"/>
      <c r="AD9" s="991"/>
      <c r="AE9" s="991"/>
      <c r="AF9" s="991"/>
      <c r="AG9" s="992"/>
    </row>
    <row r="10" spans="2:46" ht="28.15" customHeight="1" thickBot="1" x14ac:dyDescent="0.35">
      <c r="B10" s="198"/>
      <c r="C10" s="986" t="s">
        <v>306</v>
      </c>
      <c r="D10" s="986"/>
      <c r="E10" s="986"/>
      <c r="F10" s="986"/>
      <c r="G10" s="986"/>
      <c r="H10" s="986"/>
      <c r="I10" s="986"/>
      <c r="J10" s="986"/>
      <c r="K10" s="986"/>
      <c r="L10" s="986"/>
      <c r="M10" s="939" t="s">
        <v>307</v>
      </c>
      <c r="N10" s="993" t="s">
        <v>308</v>
      </c>
      <c r="O10" s="993"/>
      <c r="P10" s="939" t="s">
        <v>294</v>
      </c>
      <c r="Q10" s="880" t="s">
        <v>189</v>
      </c>
      <c r="R10" s="878"/>
      <c r="S10" s="956" t="s">
        <v>190</v>
      </c>
      <c r="T10" s="878"/>
      <c r="U10" s="950" t="s">
        <v>191</v>
      </c>
      <c r="V10" s="950"/>
      <c r="W10" s="950"/>
      <c r="X10" s="967" t="s">
        <v>228</v>
      </c>
      <c r="Y10" s="968"/>
      <c r="Z10" s="968"/>
      <c r="AA10" s="968"/>
      <c r="AB10" s="968"/>
      <c r="AC10" s="969"/>
      <c r="AD10" s="940" t="s">
        <v>252</v>
      </c>
      <c r="AE10" s="940"/>
      <c r="AF10" s="940"/>
      <c r="AG10" s="940"/>
      <c r="AH10" s="940" t="s">
        <v>302</v>
      </c>
      <c r="AI10" s="959" t="s">
        <v>196</v>
      </c>
      <c r="AJ10" s="950"/>
    </row>
    <row r="11" spans="2:46" ht="61.5" customHeight="1" x14ac:dyDescent="0.3">
      <c r="B11" s="135" t="s">
        <v>254</v>
      </c>
      <c r="C11" s="136" t="s">
        <v>255</v>
      </c>
      <c r="D11" s="136" t="s">
        <v>294</v>
      </c>
      <c r="E11" s="136" t="s">
        <v>257</v>
      </c>
      <c r="F11" s="136" t="s">
        <v>258</v>
      </c>
      <c r="G11" s="136" t="s">
        <v>259</v>
      </c>
      <c r="H11" s="136" t="s">
        <v>260</v>
      </c>
      <c r="I11" s="136" t="s">
        <v>261</v>
      </c>
      <c r="J11" s="136" t="s">
        <v>262</v>
      </c>
      <c r="K11" s="136" t="s">
        <v>263</v>
      </c>
      <c r="L11" s="137" t="s">
        <v>309</v>
      </c>
      <c r="M11" s="940"/>
      <c r="N11" s="368" t="s">
        <v>310</v>
      </c>
      <c r="O11" s="202" t="s">
        <v>311</v>
      </c>
      <c r="P11" s="940"/>
      <c r="Q11" s="141" t="s">
        <v>189</v>
      </c>
      <c r="R11" s="359" t="s">
        <v>206</v>
      </c>
      <c r="S11" s="369" t="s">
        <v>190</v>
      </c>
      <c r="T11" s="359" t="s">
        <v>206</v>
      </c>
      <c r="U11" s="368" t="s">
        <v>191</v>
      </c>
      <c r="V11" s="201" t="s">
        <v>191</v>
      </c>
      <c r="W11" s="202" t="s">
        <v>231</v>
      </c>
      <c r="X11" s="368" t="s">
        <v>304</v>
      </c>
      <c r="Y11" s="201" t="s">
        <v>268</v>
      </c>
      <c r="Z11" s="201" t="s">
        <v>269</v>
      </c>
      <c r="AA11" s="201" t="s">
        <v>235</v>
      </c>
      <c r="AB11" s="201" t="s">
        <v>236</v>
      </c>
      <c r="AC11" s="202" t="s">
        <v>312</v>
      </c>
      <c r="AD11" s="368" t="s">
        <v>313</v>
      </c>
      <c r="AE11" s="201" t="s">
        <v>305</v>
      </c>
      <c r="AF11" s="201" t="s">
        <v>314</v>
      </c>
      <c r="AG11" s="202" t="s">
        <v>241</v>
      </c>
      <c r="AH11" s="985"/>
      <c r="AI11" s="369" t="s">
        <v>215</v>
      </c>
      <c r="AJ11" s="359" t="s">
        <v>216</v>
      </c>
      <c r="AT11" s="131" t="s">
        <v>200</v>
      </c>
    </row>
    <row r="12" spans="2:46" ht="14" x14ac:dyDescent="0.3">
      <c r="B12" s="531" t="str">
        <f>'B-1 Site Hedge Baseline'!AK10</f>
        <v/>
      </c>
      <c r="C12" s="520" t="str">
        <f>IF(B12="","",IF(ISNA(VLOOKUP($B12,'B-1 Site Hedge Baseline'!$B$1:$L$257,3,FALSE)),"",(VLOOKUP($B12,'B-1 Site Hedge Baseline'!$B$1:$L$257,3,FALSE))))</f>
        <v/>
      </c>
      <c r="D12" s="520" t="str">
        <f>IF(B12="","",IF(ISNA(VLOOKUP($B12,'B-1 Site Hedge Baseline'!$B$1:$L$257,4,FALSE)),"",(VLOOKUP($B12,'B-1 Site Hedge Baseline'!$B$1:$L$257,4,FALSE))))</f>
        <v/>
      </c>
      <c r="E12" s="520" t="str">
        <f>IF(B12="","",IF(ISNA(VLOOKUP($B12,'B-1 Site Hedge Baseline'!$B$1:$L$257,5,FALSE)),"",(VLOOKUP($B12,'B-1 Site Hedge Baseline'!$B$1:$L$257,5,FALSE))))</f>
        <v/>
      </c>
      <c r="F12" s="520" t="str">
        <f>IF(B12="","",IF(ISNA(VLOOKUP($B12,'B-1 Site Hedge Baseline'!$B$1:$L$257,6,FALSE)),"",(VLOOKUP($B12,'B-1 Site Hedge Baseline'!$B$1:$L$257,6,FALSE))))</f>
        <v/>
      </c>
      <c r="G12" s="520" t="str">
        <f>IF(B12="","",IF(ISNA(VLOOKUP($B12,'B-1 Site Hedge Baseline'!$B$1:$L$257,7,FALSE)),"",(VLOOKUP($B12,'B-1 Site Hedge Baseline'!$B$1:$L$257,7,FALSE))))</f>
        <v/>
      </c>
      <c r="H12" s="520" t="str">
        <f>IF(B12="","",IF(ISNA(VLOOKUP($B12,'B-1 Site Hedge Baseline'!$B$1:$L$257,8,FALSE)),"",(VLOOKUP($B12,'B-1 Site Hedge Baseline'!$B$1:$L$257,8,FALSE))))</f>
        <v/>
      </c>
      <c r="I12" s="520" t="str">
        <f>IF(B12="","",IF(ISNA(VLOOKUP($B12,'B-1 Site Hedge Baseline'!$B$1:$L$257,10,FALSE)),"",(VLOOKUP($B12,'B-1 Site Hedge Baseline'!$B$1:$L$257,10,FALSE))))</f>
        <v/>
      </c>
      <c r="J12" s="520" t="str">
        <f>IF(B12="","",IF(ISNA(VLOOKUP($B12,'B-1 Site Hedge Baseline'!$B$1:$L$257,11,FALSE)),"",(VLOOKUP($B12,'B-1 Site Hedge Baseline'!$B$1:$L$257,11,FALSE))))</f>
        <v/>
      </c>
      <c r="K12" s="520" t="str">
        <f>IF(B12="","",IF(ISNA(VLOOKUP($B12,'B-1 Site Hedge Baseline'!$B$1:$U$257,13,FALSE)),"",(VLOOKUP($B12,'B-1 Site Hedge Baseline'!$B$1:$U$257,13,FALSE))))</f>
        <v/>
      </c>
      <c r="L12" s="524" t="str">
        <f>IF(B12="","",IF(ISNA(VLOOKUP($B12,'B-1 Site Hedge Baseline'!$B$1:$U$257,12,FALSE)),"",(VLOOKUP($B12,'B-1 Site Hedge Baseline'!$B$1:$U$257,12,FALSE))))</f>
        <v/>
      </c>
      <c r="M12" s="415" t="str">
        <f t="shared" ref="M12:M77" si="0">IF(B12="","",C12)</f>
        <v/>
      </c>
      <c r="N12" s="498" t="str">
        <f>IFERROR(IF(B12="","",INDEX('G-6 Hedgerow Data'!$AN$3:$AZ$15,MATCH(C12,'G-6 Hedgerow Data'!$AM$3:$AM$15,0),MATCH(M12,'G-6 Hedgerow Data'!$AN$2:$AZ$2,0))),"")</f>
        <v/>
      </c>
      <c r="O12" s="499" t="str">
        <f>IFERROR(IF(B12="","",IF(AND(LEFT(C12,55)&lt;&gt;LEFT(M12,55),N12="High - High"),"Error - Not like for like ▲",IF(AND(LEFT(C12,55)&lt;&gt;LEFT(M12,55),N12="Medium - Medium"),"Error - Not like for like ▲",IF(H12&gt;T12,"Error - Can not reduce condition ▲",IF(AND(F12=R12,H12=T12),"Error - No enhancement ▲",IF(AND(C12&lt;&gt;M12,F12&lt;R12),"Lower Distinctiveness Habitat"&amp;" - "&amp;S12,G12&amp;" - "&amp;S12)))))),"")</f>
        <v/>
      </c>
      <c r="P12" s="559" t="str">
        <f>IF(B12="","",VLOOKUP(B12,'B-1 Site Hedge Baseline'!$B$10:T257,16,FALSE))</f>
        <v/>
      </c>
      <c r="Q12" s="498" t="str">
        <f>IF(M12="","",VLOOKUP(M12,'G-6 Hedgerow Data'!$B$2:$AG$15,2,FALSE))</f>
        <v/>
      </c>
      <c r="R12" s="499" t="str">
        <f>IF(M12="","",VLOOKUP(M12,'G-6 Hedgerow Data'!$B$2:$AG$15,3,FALSE))</f>
        <v/>
      </c>
      <c r="S12" s="72"/>
      <c r="T12" s="540" t="str">
        <f>IFERROR(VLOOKUP(S12,'G-1 All Habitats'!$Z$2:$AA$9,2,FALSE),"")</f>
        <v/>
      </c>
      <c r="U12" s="146"/>
      <c r="V12" s="520" t="str">
        <f>IF(U12="","",IF(VLOOKUP(U12,'G-3 Multipliers'!$L$3:$N$6,2,FALSE)=0,"Spatial Data Missing ⚠",VLOOKUP(U12,'G-3 Multipliers'!$L$3:$N$6,2,FALSE)))</f>
        <v/>
      </c>
      <c r="W12" s="524" t="str">
        <f>IF(U12="","",IF(VLOOKUP(U12,'G-3 Multipliers'!$L$3:$N$6,3,FALSE)=0,"Spatial Data Missing ⚠",VLOOKUP(U12,'G-3 Multipliers'!$L$3:$N$6,3,FALSE)))</f>
        <v/>
      </c>
      <c r="X12" s="498" t="str">
        <f>IFERROR(IF(OR(LEFT(O12,5)="Error ▲",LEFT(N12,5)="Error ▲",T12="Error ▲"),"Check Data ⚠",IF(F12&lt;R12,INDEX('G-6 Hedgerow Data'!$S$3:$AE$14,MATCH(C12,'G-6 Hedgerow Data'!$B$3:$B$14,0),MATCH(M12,'G-6 Hedgerow Data'!$S$2:$AE$2,0)),INDEX('G-6 Hedgerow Data'!$K$3:$Q$14,MATCH(M12,'G-6 Hedgerow Data'!$B$3:$B$14,0),MATCH(O12,'G-6 Hedgerow Data'!$K$2:$Q$2,0)))),"")</f>
        <v/>
      </c>
      <c r="Y12" s="195"/>
      <c r="Z12" s="195"/>
      <c r="AA12" s="507" t="str">
        <f>IF(X12="Check Data ⚠","Check Data ⚠",IF(M12="","",IF(AND(Y12&gt;0,Z12&gt;0),"Error -both advance and delayed habitat creation ▲",IF(AND(OR(Y12="Habitat already in target condition",X12&lt;=Y12),Z12=0),"Check details - Is there evidence that habitat has reached target condition? ⚠",IF(X12="","",IF(Y12&gt;0,"Check details - Is there evidence habitat creation started/in place? ⚠",IF(Z12&gt;0,"Check details- Delay in starting habitat in required condition? ⚠","Standard time to target condition applied")))))))</f>
        <v/>
      </c>
      <c r="AB12" s="521" t="str">
        <f>IF(X12="","",IF(AA12="Check Data ⚠","Check Data ⚠",IF(Y12="30+",0,IF(Z12="30+","30+ ⚠",IF(X12+Z12&gt;30,"30+ 'C-1 Site River Baseline'!",IF(LEFT(AA12,5)="Error ▲","Check Data ⚠",IF(X12+Z12-Y12&gt;0,X12+Z12-Y12,IF(X12-Y12&lt;=0,0,))))))))</f>
        <v/>
      </c>
      <c r="AC12" s="522" t="str">
        <f t="shared" ref="AC12:AC75" si="1">IF(OR(S12="",M12=""),"",IF(LEFT(AB12,5)="Error ▲","Check Data ⚠",IF(AB12="Check Data ⚠","Check Data ⚠",VLOOKUP(AB12,TemporalMultipliers,3,FALSE))))</f>
        <v/>
      </c>
      <c r="AD12" s="498" t="str">
        <f>IF(M12="","",VLOOKUP(M12,'G-6 Hedgerow Data'!$B$3:$AG$15,31,FALSE))</f>
        <v/>
      </c>
      <c r="AE12" s="507" t="str">
        <f>IF(M12="","",IF(OR(LEFT(AA12,5)="Error ▲",AA12="Check Data ⚠"),"Check Data ⚠",IF(X12="","",IF($AA12="Check details - Is there evidence that habitat has reached target condition? ⚠","Low Difficulty - only applicable if all habitat created before losses ⚠","Standard difficulty applied"))))</f>
        <v/>
      </c>
      <c r="AF12" s="507" t="str">
        <f>(IF(AND(AE12="Standard difficulty applied",X12&gt;Y12),AD12,IF(AND(AE12="Low Difficulty - only applicable if all habitat created before losses ⚠",Y12&gt;=X12),"Low",AD12)))</f>
        <v/>
      </c>
      <c r="AG12" s="499" t="str">
        <f>IFERROR(IF(O12="","",VLOOKUP(AD12,'G-3 Multipliers'!$P$3:$Q$6,2,FALSE)),"")</f>
        <v/>
      </c>
      <c r="AH12" s="513" t="str">
        <f>IFERROR(IF(OR(M12="",S12="",U12=""),"",(((((P12*R12*T12)-(P12*F12*H12))*(AG12*AC12))+(P12*F12*H12))*(W12))),"")</f>
        <v/>
      </c>
      <c r="AI12" s="419"/>
      <c r="AJ12" s="240"/>
      <c r="AT12" s="31" t="str">
        <f>IFERROR(INDEX('G-6 Hedgerow Data'!$BJ$3:$BJ$15,MATCH(M12,'G-6 Hedgerow Data'!$B$3:$B$15,0)),"")</f>
        <v/>
      </c>
    </row>
    <row r="13" spans="2:46" ht="14" x14ac:dyDescent="0.3">
      <c r="B13" s="531" t="str">
        <f>'B-1 Site Hedge Baseline'!AK11</f>
        <v/>
      </c>
      <c r="C13" s="520" t="str">
        <f>IF(B13="","",IF(ISNA(VLOOKUP($B13,'B-1 Site Hedge Baseline'!$B$1:$L$257,3,FALSE)),"",(VLOOKUP($B13,'B-1 Site Hedge Baseline'!$B$1:$L$257,3,FALSE))))</f>
        <v/>
      </c>
      <c r="D13" s="520" t="str">
        <f>IF(B13="","",IF(ISNA(VLOOKUP($B13,'B-1 Site Hedge Baseline'!$B$1:$L$257,4,FALSE)),"",(VLOOKUP($B13,'B-1 Site Hedge Baseline'!$B$1:$L$257,4,FALSE))))</f>
        <v/>
      </c>
      <c r="E13" s="520" t="str">
        <f>IF(B13="","",IF(ISNA(VLOOKUP($B13,'B-1 Site Hedge Baseline'!$B$1:$L$257,5,FALSE)),"",(VLOOKUP($B13,'B-1 Site Hedge Baseline'!$B$1:$L$257,5,FALSE))))</f>
        <v/>
      </c>
      <c r="F13" s="520" t="str">
        <f>IF(B13="","",IF(ISNA(VLOOKUP($B13,'B-1 Site Hedge Baseline'!$B$1:$L$257,6,FALSE)),"",(VLOOKUP($B13,'B-1 Site Hedge Baseline'!$B$1:$L$257,6,FALSE))))</f>
        <v/>
      </c>
      <c r="G13" s="520" t="str">
        <f>IF(B13="","",IF(ISNA(VLOOKUP($B13,'B-1 Site Hedge Baseline'!$B$1:$L$257,7,FALSE)),"",(VLOOKUP($B13,'B-1 Site Hedge Baseline'!$B$1:$L$257,7,FALSE))))</f>
        <v/>
      </c>
      <c r="H13" s="520" t="str">
        <f>IF(B13="","",IF(ISNA(VLOOKUP($B13,'B-1 Site Hedge Baseline'!$B$1:$L$257,8,FALSE)),"",(VLOOKUP($B13,'B-1 Site Hedge Baseline'!$B$1:$L$257,8,FALSE))))</f>
        <v/>
      </c>
      <c r="I13" s="520" t="str">
        <f>IF(B13="","",IF(ISNA(VLOOKUP($B13,'B-1 Site Hedge Baseline'!$B$1:$L$257,10,FALSE)),"",(VLOOKUP($B13,'B-1 Site Hedge Baseline'!$B$1:$L$257,10,FALSE))))</f>
        <v/>
      </c>
      <c r="J13" s="520" t="str">
        <f>IF(B13="","",IF(ISNA(VLOOKUP($B13,'B-1 Site Hedge Baseline'!$B$1:$L$257,11,FALSE)),"",(VLOOKUP($B13,'B-1 Site Hedge Baseline'!$B$1:$L$257,11,FALSE))))</f>
        <v/>
      </c>
      <c r="K13" s="520" t="str">
        <f>IF(B13="","",IF(ISNA(VLOOKUP($B13,'B-1 Site Hedge Baseline'!$B$1:$U$257,13,FALSE)),"",(VLOOKUP($B13,'B-1 Site Hedge Baseline'!$B$1:$U$257,13,FALSE))))</f>
        <v/>
      </c>
      <c r="L13" s="524" t="str">
        <f>IF(B13="","",IF(ISNA(VLOOKUP($B13,'B-1 Site Hedge Baseline'!$B$1:$U$257,12,FALSE)),"",(VLOOKUP($B13,'B-1 Site Hedge Baseline'!$B$1:$U$257,12,FALSE))))</f>
        <v/>
      </c>
      <c r="M13" s="415" t="str">
        <f>IF(B13="","",C13)</f>
        <v/>
      </c>
      <c r="N13" s="498" t="str">
        <f>IFERROR(IF(B13="","",INDEX('G-6 Hedgerow Data'!$AN$3:$AZ$15,MATCH(C13,'G-6 Hedgerow Data'!$AM$3:$AM$15,0),MATCH(M13,'G-6 Hedgerow Data'!$AN$2:$AZ$2,0))),"")</f>
        <v/>
      </c>
      <c r="O13" s="499" t="str">
        <f t="shared" ref="O13:O76" si="2">IFERROR(IF(B13="","",IF(AND(LEFT(C13,55)&lt;&gt;LEFT(M13,55),N13="High - High"),"Error - Not like for like ▲",IF(AND(LEFT(C13,55)&lt;&gt;LEFT(M13,55),N13="Medium - Medium"),"Error - Not like for like ▲",IF(H13&gt;T13,"Error - Can not reduce condition ▲",IF(AND(F13=R13,H13=T13),"Error - No enhancement ▲",IF(AND(C13&lt;&gt;M13,F13&lt;R13),"Lower Distinctiveness Habitat"&amp;" - "&amp;S13,G13&amp;" - "&amp;S13)))))),"")</f>
        <v/>
      </c>
      <c r="P13" s="559" t="str">
        <f>IF(B13="","",VLOOKUP(B13,'B-1 Site Hedge Baseline'!$B$10:T258,16,FALSE))</f>
        <v/>
      </c>
      <c r="Q13" s="498" t="str">
        <f>IF(M13="","",VLOOKUP(M13,'G-6 Hedgerow Data'!$B$2:$AG$15,2,FALSE))</f>
        <v/>
      </c>
      <c r="R13" s="499" t="str">
        <f>IF(M13="","",VLOOKUP(M13,'G-6 Hedgerow Data'!$B$2:$AG$15,3,FALSE))</f>
        <v/>
      </c>
      <c r="S13" s="72"/>
      <c r="T13" s="540" t="str">
        <f>IFERROR(VLOOKUP(S13,'G-1 All Habitats'!$Z$2:$AA$9,2,FALSE),"")</f>
        <v/>
      </c>
      <c r="U13" s="146"/>
      <c r="V13" s="520" t="str">
        <f>IF(U13="","",IF(VLOOKUP(U13,'G-3 Multipliers'!$L$3:$N$6,2,FALSE)=0,"Spatial Data Missing ⚠",VLOOKUP(U13,'G-3 Multipliers'!$L$3:$N$6,2,FALSE)))</f>
        <v/>
      </c>
      <c r="W13" s="524" t="str">
        <f>IF(U13="","",IF(VLOOKUP(U13,'G-3 Multipliers'!$L$3:$N$6,3,FALSE)=0,"Spatial Data Missing ⚠",VLOOKUP(U13,'G-3 Multipliers'!$L$3:$N$6,3,FALSE)))</f>
        <v/>
      </c>
      <c r="X13" s="498" t="str">
        <f>IFERROR(IF(OR(LEFT(O13,5)="Error ▲",LEFT(N13,5)="Error ▲",T13="Error ▲"),"Check Data ⚠",IF(F13&lt;R13,INDEX('G-6 Hedgerow Data'!$S$3:$AE$14,MATCH(C13,'G-6 Hedgerow Data'!$B$3:$B$14,0),MATCH(M13,'G-6 Hedgerow Data'!$S$2:$AE$2,0)),INDEX('G-6 Hedgerow Data'!$K$3:$Q$14,MATCH(M13,'G-6 Hedgerow Data'!$B$3:$B$14,0),MATCH(O13,'G-6 Hedgerow Data'!$K$2:$Q$2,0)))),"")</f>
        <v/>
      </c>
      <c r="Y13" s="195"/>
      <c r="Z13" s="195"/>
      <c r="AA13" s="507" t="str">
        <f t="shared" ref="AA13:AA76" si="3">IF(X13="Check Data ⚠","Check Data ⚠",IF(M13="","",IF(AND(Y13&gt;0,Z13&gt;0),"Error -both advance and delayed habitat creation ▲",IF(AND(OR(Y13="Habitat already in target condition",X13&lt;=Y13),Z13=0),"Check details - Is there evidence that habitat has reached target condition? ⚠",IF(X13="","",IF(Y13&gt;0,"Check details - Is there evidence habitat creation started/in place? ⚠",IF(Z13&gt;0,"Check details- Delay in starting habitat in required condition? ⚠","Standard time to target condition applied")))))))</f>
        <v/>
      </c>
      <c r="AB13" s="521" t="str">
        <f t="shared" ref="AB13:AB76" si="4">IF(X13="","",IF(AA13="Check Data ⚠","Check Data ⚠",IF(Y13="30+",0,IF(Z13="30+","30+ ⚠",IF(X13+Z13&gt;30,"30+ ⚠",IF(LEFT(AA13,5)="Error ▲","Check Data ⚠",IF(X13+Z13-Y13&gt;0,X13+Z13-Y13,IF(X13-Y13&lt;=0,0,))))))))</f>
        <v/>
      </c>
      <c r="AC13" s="522" t="str">
        <f t="shared" si="1"/>
        <v/>
      </c>
      <c r="AD13" s="537" t="str">
        <f>IF(M13="","",VLOOKUP(M13,'G-6 Hedgerow Data'!$B$3:$AG$15,31,FALSE))</f>
        <v/>
      </c>
      <c r="AE13" s="507" t="str">
        <f t="shared" ref="AE13:AE76" si="5">IF(M13="","",IF(OR(LEFT(AA13,5)="Error ▲",AA13="Check Data ⚠"),"Check Data ⚠",IF(X13="","",IF($AA13="Check details - Is there evidence that habitat has reached target condition? ⚠","Low Difficulty - only applicable if all habitat created before losses ⚠","Standard difficulty applied"))))</f>
        <v/>
      </c>
      <c r="AF13" s="507" t="str">
        <f t="shared" ref="AF13:AF76" si="6">(IF(AND(AE13="Standard difficulty applied",X13&gt;Y13),AD13,IF(AND(AE13="Low Difficulty - only applicable if all habitat created before losses ⚠",Y13&gt;=X13),"Low",AD13)))</f>
        <v/>
      </c>
      <c r="AG13" s="524" t="str">
        <f>IFERROR(IF(O13="","",VLOOKUP(AD13,'G-3 Multipliers'!$P$3:$Q$6,2,FALSE)),"")</f>
        <v/>
      </c>
      <c r="AH13" s="513" t="str">
        <f t="shared" ref="AH13:AH75" si="7">IFERROR(IF(OR(M13="",S13="",U13=""),"",(((((P13*R13*T13)-(P13*F13*H13))*(AG13*AC13))+(P13*F13*H13))*(W13))),"")</f>
        <v/>
      </c>
      <c r="AI13" s="419"/>
      <c r="AJ13" s="240"/>
      <c r="AT13" s="31" t="str">
        <f>IFERROR(INDEX('G-6 Hedgerow Data'!$BJ$3:$BJ$15,MATCH(M13,'G-6 Hedgerow Data'!$B$3:$B$15,0)),"")</f>
        <v/>
      </c>
    </row>
    <row r="14" spans="2:46" ht="14" x14ac:dyDescent="0.3">
      <c r="B14" s="531" t="str">
        <f>'B-1 Site Hedge Baseline'!AK12</f>
        <v/>
      </c>
      <c r="C14" s="520" t="str">
        <f>IF(B14="","",IF(ISNA(VLOOKUP($B14,'B-1 Site Hedge Baseline'!$B$1:$L$257,3,FALSE)),"",(VLOOKUP($B14,'B-1 Site Hedge Baseline'!$B$1:$L$257,3,FALSE))))</f>
        <v/>
      </c>
      <c r="D14" s="520" t="str">
        <f>IF(B14="","",IF(ISNA(VLOOKUP($B14,'B-1 Site Hedge Baseline'!$B$1:$L$257,4,FALSE)),"",(VLOOKUP($B14,'B-1 Site Hedge Baseline'!$B$1:$L$257,4,FALSE))))</f>
        <v/>
      </c>
      <c r="E14" s="520" t="str">
        <f>IF(B14="","",IF(ISNA(VLOOKUP($B14,'B-1 Site Hedge Baseline'!$B$1:$L$257,5,FALSE)),"",(VLOOKUP($B14,'B-1 Site Hedge Baseline'!$B$1:$L$257,5,FALSE))))</f>
        <v/>
      </c>
      <c r="F14" s="520" t="str">
        <f>IF(B14="","",IF(ISNA(VLOOKUP($B14,'B-1 Site Hedge Baseline'!$B$1:$L$257,6,FALSE)),"",(VLOOKUP($B14,'B-1 Site Hedge Baseline'!$B$1:$L$257,6,FALSE))))</f>
        <v/>
      </c>
      <c r="G14" s="520" t="str">
        <f>IF(B14="","",IF(ISNA(VLOOKUP($B14,'B-1 Site Hedge Baseline'!$B$1:$L$257,7,FALSE)),"",(VLOOKUP($B14,'B-1 Site Hedge Baseline'!$B$1:$L$257,7,FALSE))))</f>
        <v/>
      </c>
      <c r="H14" s="520" t="str">
        <f>IF(B14="","",IF(ISNA(VLOOKUP($B14,'B-1 Site Hedge Baseline'!$B$1:$L$257,8,FALSE)),"",(VLOOKUP($B14,'B-1 Site Hedge Baseline'!$B$1:$L$257,8,FALSE))))</f>
        <v/>
      </c>
      <c r="I14" s="520" t="str">
        <f>IF(B14="","",IF(ISNA(VLOOKUP($B14,'B-1 Site Hedge Baseline'!$B$1:$L$257,10,FALSE)),"",(VLOOKUP($B14,'B-1 Site Hedge Baseline'!$B$1:$L$257,10,FALSE))))</f>
        <v/>
      </c>
      <c r="J14" s="520" t="str">
        <f>IF(B14="","",IF(ISNA(VLOOKUP($B14,'B-1 Site Hedge Baseline'!$B$1:$L$257,11,FALSE)),"",(VLOOKUP($B14,'B-1 Site Hedge Baseline'!$B$1:$L$257,11,FALSE))))</f>
        <v/>
      </c>
      <c r="K14" s="520" t="str">
        <f>IF(B14="","",IF(ISNA(VLOOKUP($B14,'B-1 Site Hedge Baseline'!$B$1:$U$257,13,FALSE)),"",(VLOOKUP($B14,'B-1 Site Hedge Baseline'!$B$1:$U$257,13,FALSE))))</f>
        <v/>
      </c>
      <c r="L14" s="524" t="str">
        <f>IF(B14="","",IF(ISNA(VLOOKUP($B14,'B-1 Site Hedge Baseline'!$B$1:$U$257,12,FALSE)),"",(VLOOKUP($B14,'B-1 Site Hedge Baseline'!$B$1:$U$257,12,FALSE))))</f>
        <v/>
      </c>
      <c r="M14" s="415" t="str">
        <f t="shared" si="0"/>
        <v/>
      </c>
      <c r="N14" s="498" t="str">
        <f>IFERROR(IF(B14="","",INDEX('G-6 Hedgerow Data'!$AN$3:$AZ$15,MATCH(C14,'G-6 Hedgerow Data'!$AM$3:$AM$15,0),MATCH(M14,'G-6 Hedgerow Data'!$AN$2:$AZ$2,0))),"")</f>
        <v/>
      </c>
      <c r="O14" s="499" t="str">
        <f t="shared" si="2"/>
        <v/>
      </c>
      <c r="P14" s="559" t="str">
        <f>IF(B14="","",VLOOKUP(B14,'B-1 Site Hedge Baseline'!$B$10:T259,16,FALSE))</f>
        <v/>
      </c>
      <c r="Q14" s="498" t="str">
        <f>IF(M14="","",VLOOKUP(M14,'G-6 Hedgerow Data'!$B$2:$AG$15,2,FALSE))</f>
        <v/>
      </c>
      <c r="R14" s="499" t="str">
        <f>IF(M14="","",VLOOKUP(M14,'G-6 Hedgerow Data'!$B$2:$AG$15,3,FALSE))</f>
        <v/>
      </c>
      <c r="S14" s="72"/>
      <c r="T14" s="540" t="str">
        <f>IFERROR(VLOOKUP(S14,'G-1 All Habitats'!$Z$2:$AA$9,2,FALSE),"")</f>
        <v/>
      </c>
      <c r="U14" s="146"/>
      <c r="V14" s="520" t="str">
        <f>IF(U14="","",IF(VLOOKUP(U14,'G-3 Multipliers'!$L$3:$N$6,2,FALSE)=0,"Spatial Data Missing ⚠",VLOOKUP(U14,'G-3 Multipliers'!$L$3:$N$6,2,FALSE)))</f>
        <v/>
      </c>
      <c r="W14" s="524" t="str">
        <f>IF(U14="","",IF(VLOOKUP(U14,'G-3 Multipliers'!$L$3:$N$6,3,FALSE)=0,"Spatial Data Missing ⚠",VLOOKUP(U14,'G-3 Multipliers'!$L$3:$N$6,3,FALSE)))</f>
        <v/>
      </c>
      <c r="X14" s="498" t="str">
        <f>IFERROR(IF(OR(LEFT(O14,5)="Error ▲",LEFT(N14,5)="Error ▲",T14="Error ▲"),"Check Data ⚠",IF(F14&lt;R14,INDEX('G-6 Hedgerow Data'!$S$3:$AE$14,MATCH(C14,'G-6 Hedgerow Data'!$B$3:$B$14,0),MATCH(M14,'G-6 Hedgerow Data'!$S$2:$AE$2,0)),INDEX('G-6 Hedgerow Data'!$K$3:$Q$14,MATCH(M14,'G-6 Hedgerow Data'!$B$3:$B$14,0),MATCH(O14,'G-6 Hedgerow Data'!$K$2:$Q$2,0)))),"")</f>
        <v/>
      </c>
      <c r="Y14" s="195"/>
      <c r="Z14" s="195"/>
      <c r="AA14" s="507" t="str">
        <f t="shared" si="3"/>
        <v/>
      </c>
      <c r="AB14" s="521" t="str">
        <f t="shared" si="4"/>
        <v/>
      </c>
      <c r="AC14" s="522" t="str">
        <f t="shared" si="1"/>
        <v/>
      </c>
      <c r="AD14" s="537" t="str">
        <f>IF(M14="","",VLOOKUP(M14,'G-6 Hedgerow Data'!$B$3:$AG$15,31,FALSE))</f>
        <v/>
      </c>
      <c r="AE14" s="507" t="str">
        <f t="shared" si="5"/>
        <v/>
      </c>
      <c r="AF14" s="507" t="str">
        <f t="shared" si="6"/>
        <v/>
      </c>
      <c r="AG14" s="524" t="str">
        <f>IFERROR(IF(O14="","",VLOOKUP(AD14,'G-3 Multipliers'!$P$3:$Q$6,2,FALSE)),"")</f>
        <v/>
      </c>
      <c r="AH14" s="513" t="str">
        <f t="shared" si="7"/>
        <v/>
      </c>
      <c r="AI14" s="419"/>
      <c r="AJ14" s="240"/>
      <c r="AT14" s="31" t="str">
        <f>IFERROR(INDEX('G-6 Hedgerow Data'!$BJ$3:$BJ$15,MATCH(M14,'G-6 Hedgerow Data'!$B$3:$B$15,0)),"")</f>
        <v/>
      </c>
    </row>
    <row r="15" spans="2:46" ht="14" x14ac:dyDescent="0.3">
      <c r="B15" s="531" t="str">
        <f>'B-1 Site Hedge Baseline'!AK13</f>
        <v/>
      </c>
      <c r="C15" s="520" t="str">
        <f>IF(B15="","",IF(ISNA(VLOOKUP($B15,'B-1 Site Hedge Baseline'!$B$1:$L$257,3,FALSE)),"",(VLOOKUP($B15,'B-1 Site Hedge Baseline'!$B$1:$L$257,3,FALSE))))</f>
        <v/>
      </c>
      <c r="D15" s="520" t="str">
        <f>IF(B15="","",IF(ISNA(VLOOKUP($B15,'B-1 Site Hedge Baseline'!$B$1:$L$257,4,FALSE)),"",(VLOOKUP($B15,'B-1 Site Hedge Baseline'!$B$1:$L$257,4,FALSE))))</f>
        <v/>
      </c>
      <c r="E15" s="520" t="str">
        <f>IF(B15="","",IF(ISNA(VLOOKUP($B15,'B-1 Site Hedge Baseline'!$B$1:$L$257,5,FALSE)),"",(VLOOKUP($B15,'B-1 Site Hedge Baseline'!$B$1:$L$257,5,FALSE))))</f>
        <v/>
      </c>
      <c r="F15" s="520" t="str">
        <f>IF(B15="","",IF(ISNA(VLOOKUP($B15,'B-1 Site Hedge Baseline'!$B$1:$L$257,6,FALSE)),"",(VLOOKUP($B15,'B-1 Site Hedge Baseline'!$B$1:$L$257,6,FALSE))))</f>
        <v/>
      </c>
      <c r="G15" s="520" t="str">
        <f>IF(B15="","",IF(ISNA(VLOOKUP($B15,'B-1 Site Hedge Baseline'!$B$1:$L$257,7,FALSE)),"",(VLOOKUP($B15,'B-1 Site Hedge Baseline'!$B$1:$L$257,7,FALSE))))</f>
        <v/>
      </c>
      <c r="H15" s="520" t="str">
        <f>IF(B15="","",IF(ISNA(VLOOKUP($B15,'B-1 Site Hedge Baseline'!$B$1:$L$257,8,FALSE)),"",(VLOOKUP($B15,'B-1 Site Hedge Baseline'!$B$1:$L$257,8,FALSE))))</f>
        <v/>
      </c>
      <c r="I15" s="520" t="str">
        <f>IF(B15="","",IF(ISNA(VLOOKUP($B15,'B-1 Site Hedge Baseline'!$B$1:$L$257,10,FALSE)),"",(VLOOKUP($B15,'B-1 Site Hedge Baseline'!$B$1:$L$257,10,FALSE))))</f>
        <v/>
      </c>
      <c r="J15" s="520" t="str">
        <f>IF(B15="","",IF(ISNA(VLOOKUP($B15,'B-1 Site Hedge Baseline'!$B$1:$L$257,11,FALSE)),"",(VLOOKUP($B15,'B-1 Site Hedge Baseline'!$B$1:$L$257,11,FALSE))))</f>
        <v/>
      </c>
      <c r="K15" s="520" t="str">
        <f>IF(B15="","",IF(ISNA(VLOOKUP($B15,'B-1 Site Hedge Baseline'!$B$1:$U$257,13,FALSE)),"",(VLOOKUP($B15,'B-1 Site Hedge Baseline'!$B$1:$U$257,13,FALSE))))</f>
        <v/>
      </c>
      <c r="L15" s="524" t="str">
        <f>IF(B15="","",IF(ISNA(VLOOKUP($B15,'B-1 Site Hedge Baseline'!$B$1:$U$257,12,FALSE)),"",(VLOOKUP($B15,'B-1 Site Hedge Baseline'!$B$1:$U$257,12,FALSE))))</f>
        <v/>
      </c>
      <c r="M15" s="415" t="str">
        <f t="shared" si="0"/>
        <v/>
      </c>
      <c r="N15" s="498" t="str">
        <f>IFERROR(IF(B15="","",INDEX('G-6 Hedgerow Data'!$AN$3:$AZ$15,MATCH(C15,'G-6 Hedgerow Data'!$AM$3:$AM$15,0),MATCH(M15,'G-6 Hedgerow Data'!$AN$2:$AZ$2,0))),"")</f>
        <v/>
      </c>
      <c r="O15" s="499" t="str">
        <f t="shared" si="2"/>
        <v/>
      </c>
      <c r="P15" s="559" t="str">
        <f>IF(B15="","",VLOOKUP(B15,'B-1 Site Hedge Baseline'!$B$10:T260,16,FALSE))</f>
        <v/>
      </c>
      <c r="Q15" s="498" t="str">
        <f>IF(M15="","",VLOOKUP(M15,'G-6 Hedgerow Data'!$B$2:$AG$15,2,FALSE))</f>
        <v/>
      </c>
      <c r="R15" s="499" t="str">
        <f>IF(M15="","",VLOOKUP(M15,'G-6 Hedgerow Data'!$B$2:$AG$15,3,FALSE))</f>
        <v/>
      </c>
      <c r="S15" s="72"/>
      <c r="T15" s="540" t="str">
        <f>IFERROR(VLOOKUP(S15,'G-1 All Habitats'!$Z$2:$AA$9,2,FALSE),"")</f>
        <v/>
      </c>
      <c r="U15" s="146"/>
      <c r="V15" s="520" t="str">
        <f>IF(U15="","",IF(VLOOKUP(U15,'G-3 Multipliers'!$L$3:$N$6,2,FALSE)=0,"Spatial Data Missing ⚠",VLOOKUP(U15,'G-3 Multipliers'!$L$3:$N$6,2,FALSE)))</f>
        <v/>
      </c>
      <c r="W15" s="524" t="str">
        <f>IF(U15="","",IF(VLOOKUP(U15,'G-3 Multipliers'!$L$3:$N$6,3,FALSE)=0,"Spatial Data Missing ⚠",VLOOKUP(U15,'G-3 Multipliers'!$L$3:$N$6,3,FALSE)))</f>
        <v/>
      </c>
      <c r="X15" s="498" t="str">
        <f>IFERROR(IF(OR(LEFT(O15,5)="Error ▲",LEFT(N15,5)="Error ▲",T15="Error ▲"),"Check Data ⚠",IF(F15&lt;R15,INDEX('G-6 Hedgerow Data'!$S$3:$AE$14,MATCH(C15,'G-6 Hedgerow Data'!$B$3:$B$14,0),MATCH(M15,'G-6 Hedgerow Data'!$S$2:$AE$2,0)),INDEX('G-6 Hedgerow Data'!$K$3:$Q$14,MATCH(M15,'G-6 Hedgerow Data'!$B$3:$B$14,0),MATCH(O15,'G-6 Hedgerow Data'!$K$2:$Q$2,0)))),"")</f>
        <v/>
      </c>
      <c r="Y15" s="195"/>
      <c r="Z15" s="195"/>
      <c r="AA15" s="507" t="str">
        <f t="shared" si="3"/>
        <v/>
      </c>
      <c r="AB15" s="521" t="str">
        <f t="shared" si="4"/>
        <v/>
      </c>
      <c r="AC15" s="522" t="str">
        <f t="shared" si="1"/>
        <v/>
      </c>
      <c r="AD15" s="537" t="str">
        <f>IF(M15="","",VLOOKUP(M15,'G-6 Hedgerow Data'!$B$3:$AG$15,31,FALSE))</f>
        <v/>
      </c>
      <c r="AE15" s="507" t="str">
        <f t="shared" si="5"/>
        <v/>
      </c>
      <c r="AF15" s="507" t="str">
        <f t="shared" si="6"/>
        <v/>
      </c>
      <c r="AG15" s="524" t="str">
        <f>IFERROR(IF(O15="","",VLOOKUP(AD15,'G-3 Multipliers'!$P$3:$Q$6,2,FALSE)),"")</f>
        <v/>
      </c>
      <c r="AH15" s="513" t="str">
        <f t="shared" si="7"/>
        <v/>
      </c>
      <c r="AI15" s="419"/>
      <c r="AJ15" s="240"/>
      <c r="AT15" s="31" t="str">
        <f>IFERROR(INDEX('G-6 Hedgerow Data'!$BJ$3:$BJ$15,MATCH(M15,'G-6 Hedgerow Data'!$B$3:$B$15,0)),"")</f>
        <v/>
      </c>
    </row>
    <row r="16" spans="2:46" ht="14" x14ac:dyDescent="0.3">
      <c r="B16" s="531" t="str">
        <f>'B-1 Site Hedge Baseline'!AK14</f>
        <v/>
      </c>
      <c r="C16" s="520" t="str">
        <f>IF(B16="","",IF(ISNA(VLOOKUP($B16,'B-1 Site Hedge Baseline'!$B$1:$L$257,3,FALSE)),"",(VLOOKUP($B16,'B-1 Site Hedge Baseline'!$B$1:$L$257,3,FALSE))))</f>
        <v/>
      </c>
      <c r="D16" s="520" t="str">
        <f>IF(B16="","",IF(ISNA(VLOOKUP($B16,'B-1 Site Hedge Baseline'!$B$1:$L$257,4,FALSE)),"",(VLOOKUP($B16,'B-1 Site Hedge Baseline'!$B$1:$L$257,4,FALSE))))</f>
        <v/>
      </c>
      <c r="E16" s="520" t="str">
        <f>IF(B16="","",IF(ISNA(VLOOKUP($B16,'B-1 Site Hedge Baseline'!$B$1:$L$257,5,FALSE)),"",(VLOOKUP($B16,'B-1 Site Hedge Baseline'!$B$1:$L$257,5,FALSE))))</f>
        <v/>
      </c>
      <c r="F16" s="520" t="str">
        <f>IF(B16="","",IF(ISNA(VLOOKUP($B16,'B-1 Site Hedge Baseline'!$B$1:$L$257,6,FALSE)),"",(VLOOKUP($B16,'B-1 Site Hedge Baseline'!$B$1:$L$257,6,FALSE))))</f>
        <v/>
      </c>
      <c r="G16" s="520" t="str">
        <f>IF(B16="","",IF(ISNA(VLOOKUP($B16,'B-1 Site Hedge Baseline'!$B$1:$L$257,7,FALSE)),"",(VLOOKUP($B16,'B-1 Site Hedge Baseline'!$B$1:$L$257,7,FALSE))))</f>
        <v/>
      </c>
      <c r="H16" s="520" t="str">
        <f>IF(B16="","",IF(ISNA(VLOOKUP($B16,'B-1 Site Hedge Baseline'!$B$1:$L$257,8,FALSE)),"",(VLOOKUP($B16,'B-1 Site Hedge Baseline'!$B$1:$L$257,8,FALSE))))</f>
        <v/>
      </c>
      <c r="I16" s="520" t="str">
        <f>IF(B16="","",IF(ISNA(VLOOKUP($B16,'B-1 Site Hedge Baseline'!$B$1:$L$257,10,FALSE)),"",(VLOOKUP($B16,'B-1 Site Hedge Baseline'!$B$1:$L$257,10,FALSE))))</f>
        <v/>
      </c>
      <c r="J16" s="520" t="str">
        <f>IF(B16="","",IF(ISNA(VLOOKUP($B16,'B-1 Site Hedge Baseline'!$B$1:$L$257,11,FALSE)),"",(VLOOKUP($B16,'B-1 Site Hedge Baseline'!$B$1:$L$257,11,FALSE))))</f>
        <v/>
      </c>
      <c r="K16" s="520" t="str">
        <f>IF(B16="","",IF(ISNA(VLOOKUP($B16,'B-1 Site Hedge Baseline'!$B$1:$U$257,13,FALSE)),"",(VLOOKUP($B16,'B-1 Site Hedge Baseline'!$B$1:$U$257,13,FALSE))))</f>
        <v/>
      </c>
      <c r="L16" s="524" t="str">
        <f>IF(B16="","",IF(ISNA(VLOOKUP($B16,'B-1 Site Hedge Baseline'!$B$1:$U$257,12,FALSE)),"",(VLOOKUP($B16,'B-1 Site Hedge Baseline'!$B$1:$U$257,12,FALSE))))</f>
        <v/>
      </c>
      <c r="M16" s="415" t="str">
        <f t="shared" si="0"/>
        <v/>
      </c>
      <c r="N16" s="498" t="str">
        <f>IFERROR(IF(B16="","",INDEX('G-6 Hedgerow Data'!$AN$3:$AZ$15,MATCH(C16,'G-6 Hedgerow Data'!$AM$3:$AM$15,0),MATCH(M16,'G-6 Hedgerow Data'!$AN$2:$AZ$2,0))),"")</f>
        <v/>
      </c>
      <c r="O16" s="499" t="str">
        <f t="shared" si="2"/>
        <v/>
      </c>
      <c r="P16" s="559" t="str">
        <f>IF(B16="","",VLOOKUP(B16,'B-1 Site Hedge Baseline'!$B$10:T261,16,FALSE))</f>
        <v/>
      </c>
      <c r="Q16" s="498" t="str">
        <f>IF(M16="","",VLOOKUP(M16,'G-6 Hedgerow Data'!$B$2:$AG$15,2,FALSE))</f>
        <v/>
      </c>
      <c r="R16" s="499" t="str">
        <f>IF(M16="","",VLOOKUP(M16,'G-6 Hedgerow Data'!$B$2:$AG$15,3,FALSE))</f>
        <v/>
      </c>
      <c r="S16" s="157"/>
      <c r="T16" s="540" t="str">
        <f>IFERROR(VLOOKUP(S16,'G-1 All Habitats'!$Z$2:$AA$9,2,FALSE),"")</f>
        <v/>
      </c>
      <c r="U16" s="146"/>
      <c r="V16" s="520" t="str">
        <f>IF(U16="","",IF(VLOOKUP(U16,'G-3 Multipliers'!$L$3:$N$6,2,FALSE)=0,"Spatial Data Missing ⚠",VLOOKUP(U16,'G-3 Multipliers'!$L$3:$N$6,2,FALSE)))</f>
        <v/>
      </c>
      <c r="W16" s="524" t="str">
        <f>IF(U16="","",IF(VLOOKUP(U16,'G-3 Multipliers'!$L$3:$N$6,3,FALSE)=0,"Spatial Data Missing ⚠",VLOOKUP(U16,'G-3 Multipliers'!$L$3:$N$6,3,FALSE)))</f>
        <v/>
      </c>
      <c r="X16" s="498" t="str">
        <f>IFERROR(IF(OR(LEFT(O16,5)="Error ▲",LEFT(N16,5)="Error ▲",T16="Error ▲"),"Check Data ⚠",IF(F16&lt;R16,INDEX('G-6 Hedgerow Data'!$S$3:$AE$14,MATCH(C16,'G-6 Hedgerow Data'!$B$3:$B$14,0),MATCH(M16,'G-6 Hedgerow Data'!$S$2:$AE$2,0)),INDEX('G-6 Hedgerow Data'!$K$3:$Q$14,MATCH(M16,'G-6 Hedgerow Data'!$B$3:$B$14,0),MATCH(O16,'G-6 Hedgerow Data'!$K$2:$Q$2,0)))),"")</f>
        <v/>
      </c>
      <c r="Y16" s="195"/>
      <c r="Z16" s="195"/>
      <c r="AA16" s="507" t="str">
        <f t="shared" si="3"/>
        <v/>
      </c>
      <c r="AB16" s="521" t="str">
        <f t="shared" si="4"/>
        <v/>
      </c>
      <c r="AC16" s="522" t="str">
        <f t="shared" si="1"/>
        <v/>
      </c>
      <c r="AD16" s="537" t="str">
        <f>IF(M16="","",VLOOKUP(M16,'G-6 Hedgerow Data'!$B$3:$AG$15,31,FALSE))</f>
        <v/>
      </c>
      <c r="AE16" s="507" t="str">
        <f t="shared" si="5"/>
        <v/>
      </c>
      <c r="AF16" s="507" t="str">
        <f t="shared" si="6"/>
        <v/>
      </c>
      <c r="AG16" s="524" t="str">
        <f>IFERROR(IF(O16="","",VLOOKUP(AD16,'G-3 Multipliers'!$P$3:$Q$6,2,FALSE)),"")</f>
        <v/>
      </c>
      <c r="AH16" s="513" t="str">
        <f>IFERROR(IF(OR(M16="",S16="",U16=""),"",(((((P16*R16*T16)-(P16*F16*H16))*(AG16*AC16))+(P16*F16*H16))*(W16))),"")</f>
        <v/>
      </c>
      <c r="AI16" s="231"/>
      <c r="AJ16" s="150"/>
      <c r="AT16" s="31" t="str">
        <f>IFERROR(INDEX('G-6 Hedgerow Data'!$BJ$3:$BJ$15,MATCH(M16,'G-6 Hedgerow Data'!$B$3:$B$15,0)),"")</f>
        <v/>
      </c>
    </row>
    <row r="17" spans="2:46" ht="14" x14ac:dyDescent="0.3">
      <c r="B17" s="531" t="str">
        <f>'B-1 Site Hedge Baseline'!AK15</f>
        <v/>
      </c>
      <c r="C17" s="520" t="str">
        <f>IF(B17="","",IF(ISNA(VLOOKUP($B17,'B-1 Site Hedge Baseline'!$B$1:$L$257,3,FALSE)),"",(VLOOKUP($B17,'B-1 Site Hedge Baseline'!$B$1:$L$257,3,FALSE))))</f>
        <v/>
      </c>
      <c r="D17" s="520" t="str">
        <f>IF(B17="","",IF(ISNA(VLOOKUP($B17,'B-1 Site Hedge Baseline'!$B$1:$L$257,4,FALSE)),"",(VLOOKUP($B17,'B-1 Site Hedge Baseline'!$B$1:$L$257,4,FALSE))))</f>
        <v/>
      </c>
      <c r="E17" s="520" t="str">
        <f>IF(B17="","",IF(ISNA(VLOOKUP($B17,'B-1 Site Hedge Baseline'!$B$1:$L$257,5,FALSE)),"",(VLOOKUP($B17,'B-1 Site Hedge Baseline'!$B$1:$L$257,5,FALSE))))</f>
        <v/>
      </c>
      <c r="F17" s="520" t="str">
        <f>IF(B17="","",IF(ISNA(VLOOKUP($B17,'B-1 Site Hedge Baseline'!$B$1:$L$257,6,FALSE)),"",(VLOOKUP($B17,'B-1 Site Hedge Baseline'!$B$1:$L$257,6,FALSE))))</f>
        <v/>
      </c>
      <c r="G17" s="520" t="str">
        <f>IF(B17="","",IF(ISNA(VLOOKUP($B17,'B-1 Site Hedge Baseline'!$B$1:$L$257,7,FALSE)),"",(VLOOKUP($B17,'B-1 Site Hedge Baseline'!$B$1:$L$257,7,FALSE))))</f>
        <v/>
      </c>
      <c r="H17" s="520" t="str">
        <f>IF(B17="","",IF(ISNA(VLOOKUP($B17,'B-1 Site Hedge Baseline'!$B$1:$L$257,8,FALSE)),"",(VLOOKUP($B17,'B-1 Site Hedge Baseline'!$B$1:$L$257,8,FALSE))))</f>
        <v/>
      </c>
      <c r="I17" s="520" t="str">
        <f>IF(B17="","",IF(ISNA(VLOOKUP($B17,'B-1 Site Hedge Baseline'!$B$1:$L$257,10,FALSE)),"",(VLOOKUP($B17,'B-1 Site Hedge Baseline'!$B$1:$L$257,10,FALSE))))</f>
        <v/>
      </c>
      <c r="J17" s="520" t="str">
        <f>IF(B17="","",IF(ISNA(VLOOKUP($B17,'B-1 Site Hedge Baseline'!$B$1:$L$257,11,FALSE)),"",(VLOOKUP($B17,'B-1 Site Hedge Baseline'!$B$1:$L$257,11,FALSE))))</f>
        <v/>
      </c>
      <c r="K17" s="520" t="str">
        <f>IF(B17="","",IF(ISNA(VLOOKUP($B17,'B-1 Site Hedge Baseline'!$B$1:$U$257,13,FALSE)),"",(VLOOKUP($B17,'B-1 Site Hedge Baseline'!$B$1:$U$257,13,FALSE))))</f>
        <v/>
      </c>
      <c r="L17" s="524" t="str">
        <f>IF(B17="","",IF(ISNA(VLOOKUP($B17,'B-1 Site Hedge Baseline'!$B$1:$U$257,12,FALSE)),"",(VLOOKUP($B17,'B-1 Site Hedge Baseline'!$B$1:$U$257,12,FALSE))))</f>
        <v/>
      </c>
      <c r="M17" s="416" t="str">
        <f t="shared" si="0"/>
        <v/>
      </c>
      <c r="N17" s="498" t="str">
        <f>IFERROR(IF(B17="","",INDEX('G-6 Hedgerow Data'!$AN$3:$AZ$15,MATCH(C17,'G-6 Hedgerow Data'!$AM$3:$AM$15,0),MATCH(M17,'G-6 Hedgerow Data'!$AN$2:$AZ$2,0))),"")</f>
        <v/>
      </c>
      <c r="O17" s="499" t="str">
        <f t="shared" si="2"/>
        <v/>
      </c>
      <c r="P17" s="559" t="str">
        <f>IF(B17="","",VLOOKUP(B17,'B-1 Site Hedge Baseline'!$B$10:T262,16,FALSE))</f>
        <v/>
      </c>
      <c r="Q17" s="498" t="str">
        <f>IF(M17="","",VLOOKUP(M17,'G-6 Hedgerow Data'!$B$2:$AG$15,2,FALSE))</f>
        <v/>
      </c>
      <c r="R17" s="499" t="str">
        <f>IF(M17="","",VLOOKUP(M17,'G-6 Hedgerow Data'!$B$2:$AG$15,3,FALSE))</f>
        <v/>
      </c>
      <c r="S17" s="157"/>
      <c r="T17" s="540" t="str">
        <f>IFERROR(VLOOKUP(S17,'G-1 All Habitats'!$Z$2:$AA$9,2,FALSE),"")</f>
        <v/>
      </c>
      <c r="U17" s="154"/>
      <c r="V17" s="520" t="str">
        <f>IF(U17="","",IF(VLOOKUP(U17,'G-3 Multipliers'!$L$3:$N$6,2,FALSE)=0,"Spatial Data Missing ⚠",VLOOKUP(U17,'G-3 Multipliers'!$L$3:$N$6,2,FALSE)))</f>
        <v/>
      </c>
      <c r="W17" s="524" t="str">
        <f>IF(U17="","",IF(VLOOKUP(U17,'G-3 Multipliers'!$L$3:$N$6,3,FALSE)=0,"Spatial Data Missing ⚠",VLOOKUP(U17,'G-3 Multipliers'!$L$3:$N$6,3,FALSE)))</f>
        <v/>
      </c>
      <c r="X17" s="498" t="str">
        <f>IFERROR(IF(OR(LEFT(O17,5)="Error ▲",LEFT(N17,5)="Error ▲",T17="Error ▲"),"Check Data ⚠",IF(F17&lt;R17,INDEX('G-6 Hedgerow Data'!$S$3:$AE$14,MATCH(C17,'G-6 Hedgerow Data'!$B$3:$B$14,0),MATCH(M17,'G-6 Hedgerow Data'!$S$2:$AE$2,0)),INDEX('G-6 Hedgerow Data'!$K$3:$Q$14,MATCH(M17,'G-6 Hedgerow Data'!$B$3:$B$14,0),MATCH(O17,'G-6 Hedgerow Data'!$K$2:$Q$2,0)))),"")</f>
        <v/>
      </c>
      <c r="Y17" s="195"/>
      <c r="Z17" s="195"/>
      <c r="AA17" s="507" t="str">
        <f t="shared" si="3"/>
        <v/>
      </c>
      <c r="AB17" s="521" t="str">
        <f t="shared" si="4"/>
        <v/>
      </c>
      <c r="AC17" s="522" t="str">
        <f t="shared" si="1"/>
        <v/>
      </c>
      <c r="AD17" s="537" t="str">
        <f>IF(M17="","",VLOOKUP(M17,'G-6 Hedgerow Data'!$B$3:$AG$15,31,FALSE))</f>
        <v/>
      </c>
      <c r="AE17" s="507" t="str">
        <f t="shared" si="5"/>
        <v/>
      </c>
      <c r="AF17" s="507" t="str">
        <f t="shared" si="6"/>
        <v/>
      </c>
      <c r="AG17" s="524" t="str">
        <f>IFERROR(IF(O17="","",VLOOKUP(AD17,'G-3 Multipliers'!$P$3:$Q$6,2,FALSE)),"")</f>
        <v/>
      </c>
      <c r="AH17" s="513" t="str">
        <f t="shared" si="7"/>
        <v/>
      </c>
      <c r="AI17" s="231"/>
      <c r="AJ17" s="150"/>
      <c r="AT17" s="31" t="str">
        <f>IFERROR(INDEX('G-6 Hedgerow Data'!$BJ$3:$BJ$15,MATCH(M17,'G-6 Hedgerow Data'!$B$3:$B$15,0)),"")</f>
        <v/>
      </c>
    </row>
    <row r="18" spans="2:46" ht="14" x14ac:dyDescent="0.3">
      <c r="B18" s="531" t="str">
        <f>'B-1 Site Hedge Baseline'!AK16</f>
        <v/>
      </c>
      <c r="C18" s="520" t="str">
        <f>IF(B18="","",IF(ISNA(VLOOKUP($B18,'B-1 Site Hedge Baseline'!$B$1:$L$257,3,FALSE)),"",(VLOOKUP($B18,'B-1 Site Hedge Baseline'!$B$1:$L$257,3,FALSE))))</f>
        <v/>
      </c>
      <c r="D18" s="520" t="str">
        <f>IF(B18="","",IF(ISNA(VLOOKUP($B18,'B-1 Site Hedge Baseline'!$B$1:$L$257,4,FALSE)),"",(VLOOKUP($B18,'B-1 Site Hedge Baseline'!$B$1:$L$257,4,FALSE))))</f>
        <v/>
      </c>
      <c r="E18" s="520" t="str">
        <f>IF(B18="","",IF(ISNA(VLOOKUP($B18,'B-1 Site Hedge Baseline'!$B$1:$L$257,5,FALSE)),"",(VLOOKUP($B18,'B-1 Site Hedge Baseline'!$B$1:$L$257,5,FALSE))))</f>
        <v/>
      </c>
      <c r="F18" s="520" t="str">
        <f>IF(B18="","",IF(ISNA(VLOOKUP($B18,'B-1 Site Hedge Baseline'!$B$1:$L$257,6,FALSE)),"",(VLOOKUP($B18,'B-1 Site Hedge Baseline'!$B$1:$L$257,6,FALSE))))</f>
        <v/>
      </c>
      <c r="G18" s="520" t="str">
        <f>IF(B18="","",IF(ISNA(VLOOKUP($B18,'B-1 Site Hedge Baseline'!$B$1:$L$257,7,FALSE)),"",(VLOOKUP($B18,'B-1 Site Hedge Baseline'!$B$1:$L$257,7,FALSE))))</f>
        <v/>
      </c>
      <c r="H18" s="520" t="str">
        <f>IF(B18="","",IF(ISNA(VLOOKUP($B18,'B-1 Site Hedge Baseline'!$B$1:$L$257,8,FALSE)),"",(VLOOKUP($B18,'B-1 Site Hedge Baseline'!$B$1:$L$257,8,FALSE))))</f>
        <v/>
      </c>
      <c r="I18" s="520" t="str">
        <f>IF(B18="","",IF(ISNA(VLOOKUP($B18,'B-1 Site Hedge Baseline'!$B$1:$L$257,10,FALSE)),"",(VLOOKUP($B18,'B-1 Site Hedge Baseline'!$B$1:$L$257,10,FALSE))))</f>
        <v/>
      </c>
      <c r="J18" s="520" t="str">
        <f>IF(B18="","",IF(ISNA(VLOOKUP($B18,'B-1 Site Hedge Baseline'!$B$1:$L$257,11,FALSE)),"",(VLOOKUP($B18,'B-1 Site Hedge Baseline'!$B$1:$L$257,11,FALSE))))</f>
        <v/>
      </c>
      <c r="K18" s="520" t="str">
        <f>IF(B18="","",IF(ISNA(VLOOKUP($B18,'B-1 Site Hedge Baseline'!$B$1:$U$257,13,FALSE)),"",(VLOOKUP($B18,'B-1 Site Hedge Baseline'!$B$1:$U$257,13,FALSE))))</f>
        <v/>
      </c>
      <c r="L18" s="524" t="str">
        <f>IF(B18="","",IF(ISNA(VLOOKUP($B18,'B-1 Site Hedge Baseline'!$B$1:$U$257,12,FALSE)),"",(VLOOKUP($B18,'B-1 Site Hedge Baseline'!$B$1:$U$257,12,FALSE))))</f>
        <v/>
      </c>
      <c r="M18" s="416" t="str">
        <f t="shared" si="0"/>
        <v/>
      </c>
      <c r="N18" s="498" t="str">
        <f>IFERROR(IF(B18="","",INDEX('G-6 Hedgerow Data'!$AN$3:$AZ$15,MATCH(C18,'G-6 Hedgerow Data'!$AM$3:$AM$15,0),MATCH(M18,'G-6 Hedgerow Data'!$AN$2:$AZ$2,0))),"")</f>
        <v/>
      </c>
      <c r="O18" s="499" t="str">
        <f t="shared" si="2"/>
        <v/>
      </c>
      <c r="P18" s="559" t="str">
        <f>IF(B18="","",VLOOKUP(B18,'B-1 Site Hedge Baseline'!$B$10:T263,16,FALSE))</f>
        <v/>
      </c>
      <c r="Q18" s="498" t="str">
        <f>IF(M18="","",VLOOKUP(M18,'G-6 Hedgerow Data'!$B$2:$AG$15,2,FALSE))</f>
        <v/>
      </c>
      <c r="R18" s="499" t="str">
        <f>IF(M18="","",VLOOKUP(M18,'G-6 Hedgerow Data'!$B$2:$AG$15,3,FALSE))</f>
        <v/>
      </c>
      <c r="S18" s="157"/>
      <c r="T18" s="540" t="str">
        <f>IFERROR(VLOOKUP(S18,'G-1 All Habitats'!$Z$2:$AA$9,2,FALSE),"")</f>
        <v/>
      </c>
      <c r="U18" s="154"/>
      <c r="V18" s="520" t="str">
        <f>IF(U18="","",IF(VLOOKUP(U18,'G-3 Multipliers'!$L$3:$N$6,2,FALSE)=0,"Spatial Data Missing ⚠",VLOOKUP(U18,'G-3 Multipliers'!$L$3:$N$6,2,FALSE)))</f>
        <v/>
      </c>
      <c r="W18" s="524" t="str">
        <f>IF(U18="","",IF(VLOOKUP(U18,'G-3 Multipliers'!$L$3:$N$6,3,FALSE)=0,"Spatial Data Missing ⚠",VLOOKUP(U18,'G-3 Multipliers'!$L$3:$N$6,3,FALSE)))</f>
        <v/>
      </c>
      <c r="X18" s="498" t="str">
        <f>IFERROR(IF(OR(LEFT(O18,5)="Error ▲",LEFT(N18,5)="Error ▲",T18="Error ▲"),"Check Data ⚠",IF(F18&lt;R18,INDEX('G-6 Hedgerow Data'!$S$3:$AE$14,MATCH(C18,'G-6 Hedgerow Data'!$B$3:$B$14,0),MATCH(M18,'G-6 Hedgerow Data'!$S$2:$AE$2,0)),INDEX('G-6 Hedgerow Data'!$K$3:$Q$14,MATCH(M18,'G-6 Hedgerow Data'!$B$3:$B$14,0),MATCH(O18,'G-6 Hedgerow Data'!$K$2:$Q$2,0)))),"")</f>
        <v/>
      </c>
      <c r="Y18" s="195"/>
      <c r="Z18" s="195"/>
      <c r="AA18" s="507" t="str">
        <f t="shared" si="3"/>
        <v/>
      </c>
      <c r="AB18" s="521" t="str">
        <f t="shared" si="4"/>
        <v/>
      </c>
      <c r="AC18" s="522" t="str">
        <f t="shared" si="1"/>
        <v/>
      </c>
      <c r="AD18" s="537" t="str">
        <f>IF(M18="","",VLOOKUP(M18,'G-6 Hedgerow Data'!$B$3:$AG$15,31,FALSE))</f>
        <v/>
      </c>
      <c r="AE18" s="507" t="str">
        <f t="shared" si="5"/>
        <v/>
      </c>
      <c r="AF18" s="507" t="str">
        <f t="shared" si="6"/>
        <v/>
      </c>
      <c r="AG18" s="524" t="str">
        <f>IFERROR(IF(O18="","",VLOOKUP(AD18,'G-3 Multipliers'!$P$3:$Q$6,2,FALSE)),"")</f>
        <v/>
      </c>
      <c r="AH18" s="513" t="str">
        <f t="shared" si="7"/>
        <v/>
      </c>
      <c r="AI18" s="231"/>
      <c r="AJ18" s="150"/>
      <c r="AT18" s="31" t="str">
        <f>IFERROR(INDEX('G-6 Hedgerow Data'!$BJ$3:$BJ$15,MATCH(M18,'G-6 Hedgerow Data'!$B$3:$B$15,0)),"")</f>
        <v/>
      </c>
    </row>
    <row r="19" spans="2:46" ht="14" x14ac:dyDescent="0.3">
      <c r="B19" s="531" t="str">
        <f>'B-1 Site Hedge Baseline'!AK17</f>
        <v/>
      </c>
      <c r="C19" s="520" t="str">
        <f>IF(B19="","",IF(ISNA(VLOOKUP($B19,'B-1 Site Hedge Baseline'!$B$1:$L$257,3,FALSE)),"",(VLOOKUP($B19,'B-1 Site Hedge Baseline'!$B$1:$L$257,3,FALSE))))</f>
        <v/>
      </c>
      <c r="D19" s="520" t="str">
        <f>IF(B19="","",IF(ISNA(VLOOKUP($B19,'B-1 Site Hedge Baseline'!$B$1:$L$257,4,FALSE)),"",(VLOOKUP($B19,'B-1 Site Hedge Baseline'!$B$1:$L$257,4,FALSE))))</f>
        <v/>
      </c>
      <c r="E19" s="520" t="str">
        <f>IF(B19="","",IF(ISNA(VLOOKUP($B19,'B-1 Site Hedge Baseline'!$B$1:$L$257,5,FALSE)),"",(VLOOKUP($B19,'B-1 Site Hedge Baseline'!$B$1:$L$257,5,FALSE))))</f>
        <v/>
      </c>
      <c r="F19" s="520" t="str">
        <f>IF(B19="","",IF(ISNA(VLOOKUP($B19,'B-1 Site Hedge Baseline'!$B$1:$L$257,6,FALSE)),"",(VLOOKUP($B19,'B-1 Site Hedge Baseline'!$B$1:$L$257,6,FALSE))))</f>
        <v/>
      </c>
      <c r="G19" s="520" t="str">
        <f>IF(B19="","",IF(ISNA(VLOOKUP($B19,'B-1 Site Hedge Baseline'!$B$1:$L$257,7,FALSE)),"",(VLOOKUP($B19,'B-1 Site Hedge Baseline'!$B$1:$L$257,7,FALSE))))</f>
        <v/>
      </c>
      <c r="H19" s="520" t="str">
        <f>IF(B19="","",IF(ISNA(VLOOKUP($B19,'B-1 Site Hedge Baseline'!$B$1:$L$257,8,FALSE)),"",(VLOOKUP($B19,'B-1 Site Hedge Baseline'!$B$1:$L$257,8,FALSE))))</f>
        <v/>
      </c>
      <c r="I19" s="520" t="str">
        <f>IF(B19="","",IF(ISNA(VLOOKUP($B19,'B-1 Site Hedge Baseline'!$B$1:$L$257,10,FALSE)),"",(VLOOKUP($B19,'B-1 Site Hedge Baseline'!$B$1:$L$257,10,FALSE))))</f>
        <v/>
      </c>
      <c r="J19" s="520" t="str">
        <f>IF(B19="","",IF(ISNA(VLOOKUP($B19,'B-1 Site Hedge Baseline'!$B$1:$L$257,11,FALSE)),"",(VLOOKUP($B19,'B-1 Site Hedge Baseline'!$B$1:$L$257,11,FALSE))))</f>
        <v/>
      </c>
      <c r="K19" s="520" t="str">
        <f>IF(B19="","",IF(ISNA(VLOOKUP($B19,'B-1 Site Hedge Baseline'!$B$1:$U$257,13,FALSE)),"",(VLOOKUP($B19,'B-1 Site Hedge Baseline'!$B$1:$U$257,13,FALSE))))</f>
        <v/>
      </c>
      <c r="L19" s="524" t="str">
        <f>IF(B19="","",IF(ISNA(VLOOKUP($B19,'B-1 Site Hedge Baseline'!$B$1:$U$257,12,FALSE)),"",(VLOOKUP($B19,'B-1 Site Hedge Baseline'!$B$1:$U$257,12,FALSE))))</f>
        <v/>
      </c>
      <c r="M19" s="416" t="str">
        <f t="shared" si="0"/>
        <v/>
      </c>
      <c r="N19" s="498" t="str">
        <f>IFERROR(IF(B19="","",INDEX('G-6 Hedgerow Data'!$AN$3:$AZ$15,MATCH(C19,'G-6 Hedgerow Data'!$AM$3:$AM$15,0),MATCH(M19,'G-6 Hedgerow Data'!$AN$2:$AZ$2,0))),"")</f>
        <v/>
      </c>
      <c r="O19" s="499" t="str">
        <f t="shared" si="2"/>
        <v/>
      </c>
      <c r="P19" s="559" t="str">
        <f>IF(B19="","",VLOOKUP(B19,'B-1 Site Hedge Baseline'!$B$10:T264,16,FALSE))</f>
        <v/>
      </c>
      <c r="Q19" s="498" t="str">
        <f>IF(M19="","",VLOOKUP(M19,'G-6 Hedgerow Data'!$B$2:$AG$15,2,FALSE))</f>
        <v/>
      </c>
      <c r="R19" s="499" t="str">
        <f>IF(M19="","",VLOOKUP(M19,'G-6 Hedgerow Data'!$B$2:$AG$15,3,FALSE))</f>
        <v/>
      </c>
      <c r="S19" s="157"/>
      <c r="T19" s="540" t="str">
        <f>IFERROR(VLOOKUP(S19,'G-1 All Habitats'!$Z$2:$AA$9,2,FALSE),"")</f>
        <v/>
      </c>
      <c r="U19" s="154"/>
      <c r="V19" s="520" t="str">
        <f>IF(U19="","",IF(VLOOKUP(U19,'G-3 Multipliers'!$L$3:$N$6,2,FALSE)=0,"Spatial Data Missing ⚠",VLOOKUP(U19,'G-3 Multipliers'!$L$3:$N$6,2,FALSE)))</f>
        <v/>
      </c>
      <c r="W19" s="524" t="str">
        <f>IF(U19="","",IF(VLOOKUP(U19,'G-3 Multipliers'!$L$3:$N$6,3,FALSE)=0,"Spatial Data Missing ⚠",VLOOKUP(U19,'G-3 Multipliers'!$L$3:$N$6,3,FALSE)))</f>
        <v/>
      </c>
      <c r="X19" s="498" t="str">
        <f>IFERROR(IF(OR(LEFT(O19,5)="Error ▲",LEFT(N19,5)="Error ▲",T19="Error ▲"),"Check Data ⚠",IF(F19&lt;R19,INDEX('G-6 Hedgerow Data'!$S$3:$AE$14,MATCH(C19,'G-6 Hedgerow Data'!$B$3:$B$14,0),MATCH(M19,'G-6 Hedgerow Data'!$S$2:$AE$2,0)),INDEX('G-6 Hedgerow Data'!$K$3:$Q$14,MATCH(M19,'G-6 Hedgerow Data'!$B$3:$B$14,0),MATCH(O19,'G-6 Hedgerow Data'!$K$2:$Q$2,0)))),"")</f>
        <v/>
      </c>
      <c r="Y19" s="195"/>
      <c r="Z19" s="195"/>
      <c r="AA19" s="507" t="str">
        <f t="shared" si="3"/>
        <v/>
      </c>
      <c r="AB19" s="521" t="str">
        <f t="shared" si="4"/>
        <v/>
      </c>
      <c r="AC19" s="522" t="str">
        <f t="shared" si="1"/>
        <v/>
      </c>
      <c r="AD19" s="537" t="str">
        <f>IF(M19="","",VLOOKUP(M19,'G-6 Hedgerow Data'!$B$3:$AG$15,31,FALSE))</f>
        <v/>
      </c>
      <c r="AE19" s="507" t="str">
        <f t="shared" si="5"/>
        <v/>
      </c>
      <c r="AF19" s="507" t="str">
        <f t="shared" si="6"/>
        <v/>
      </c>
      <c r="AG19" s="524" t="str">
        <f>IFERROR(IF(O19="","",VLOOKUP(AD19,'G-3 Multipliers'!$P$3:$Q$6,2,FALSE)),"")</f>
        <v/>
      </c>
      <c r="AH19" s="513" t="str">
        <f t="shared" si="7"/>
        <v/>
      </c>
      <c r="AI19" s="231"/>
      <c r="AJ19" s="150"/>
      <c r="AT19" s="31" t="str">
        <f>IFERROR(INDEX('G-6 Hedgerow Data'!$BJ$3:$BJ$15,MATCH(M19,'G-6 Hedgerow Data'!$B$3:$B$15,0)),"")</f>
        <v/>
      </c>
    </row>
    <row r="20" spans="2:46" ht="14" x14ac:dyDescent="0.3">
      <c r="B20" s="531" t="str">
        <f>'B-1 Site Hedge Baseline'!AK18</f>
        <v/>
      </c>
      <c r="C20" s="520" t="str">
        <f>IF(B20="","",IF(ISNA(VLOOKUP($B20,'B-1 Site Hedge Baseline'!$B$1:$L$257,3,FALSE)),"",(VLOOKUP($B20,'B-1 Site Hedge Baseline'!$B$1:$L$257,3,FALSE))))</f>
        <v/>
      </c>
      <c r="D20" s="520" t="str">
        <f>IF(B20="","",IF(ISNA(VLOOKUP($B20,'B-1 Site Hedge Baseline'!$B$1:$L$257,4,FALSE)),"",(VLOOKUP($B20,'B-1 Site Hedge Baseline'!$B$1:$L$257,4,FALSE))))</f>
        <v/>
      </c>
      <c r="E20" s="520" t="str">
        <f>IF(B20="","",IF(ISNA(VLOOKUP($B20,'B-1 Site Hedge Baseline'!$B$1:$L$257,5,FALSE)),"",(VLOOKUP($B20,'B-1 Site Hedge Baseline'!$B$1:$L$257,5,FALSE))))</f>
        <v/>
      </c>
      <c r="F20" s="520" t="str">
        <f>IF(B20="","",IF(ISNA(VLOOKUP($B20,'B-1 Site Hedge Baseline'!$B$1:$L$257,6,FALSE)),"",(VLOOKUP($B20,'B-1 Site Hedge Baseline'!$B$1:$L$257,6,FALSE))))</f>
        <v/>
      </c>
      <c r="G20" s="520" t="str">
        <f>IF(B20="","",IF(ISNA(VLOOKUP($B20,'B-1 Site Hedge Baseline'!$B$1:$L$257,7,FALSE)),"",(VLOOKUP($B20,'B-1 Site Hedge Baseline'!$B$1:$L$257,7,FALSE))))</f>
        <v/>
      </c>
      <c r="H20" s="520" t="str">
        <f>IF(B20="","",IF(ISNA(VLOOKUP($B20,'B-1 Site Hedge Baseline'!$B$1:$L$257,8,FALSE)),"",(VLOOKUP($B20,'B-1 Site Hedge Baseline'!$B$1:$L$257,8,FALSE))))</f>
        <v/>
      </c>
      <c r="I20" s="520" t="str">
        <f>IF(B20="","",IF(ISNA(VLOOKUP($B20,'B-1 Site Hedge Baseline'!$B$1:$L$257,10,FALSE)),"",(VLOOKUP($B20,'B-1 Site Hedge Baseline'!$B$1:$L$257,10,FALSE))))</f>
        <v/>
      </c>
      <c r="J20" s="520" t="str">
        <f>IF(B20="","",IF(ISNA(VLOOKUP($B20,'B-1 Site Hedge Baseline'!$B$1:$L$257,11,FALSE)),"",(VLOOKUP($B20,'B-1 Site Hedge Baseline'!$B$1:$L$257,11,FALSE))))</f>
        <v/>
      </c>
      <c r="K20" s="520" t="str">
        <f>IF(B20="","",IF(ISNA(VLOOKUP($B20,'B-1 Site Hedge Baseline'!$B$1:$U$257,13,FALSE)),"",(VLOOKUP($B20,'B-1 Site Hedge Baseline'!$B$1:$U$257,13,FALSE))))</f>
        <v/>
      </c>
      <c r="L20" s="524" t="str">
        <f>IF(B20="","",IF(ISNA(VLOOKUP($B20,'B-1 Site Hedge Baseline'!$B$1:$U$257,12,FALSE)),"",(VLOOKUP($B20,'B-1 Site Hedge Baseline'!$B$1:$U$257,12,FALSE))))</f>
        <v/>
      </c>
      <c r="M20" s="416" t="str">
        <f t="shared" si="0"/>
        <v/>
      </c>
      <c r="N20" s="498" t="str">
        <f>IFERROR(IF(B20="","",INDEX('G-6 Hedgerow Data'!$AN$3:$AZ$15,MATCH(C20,'G-6 Hedgerow Data'!$AM$3:$AM$15,0),MATCH(M20,'G-6 Hedgerow Data'!$AN$2:$AZ$2,0))),"")</f>
        <v/>
      </c>
      <c r="O20" s="499" t="str">
        <f t="shared" si="2"/>
        <v/>
      </c>
      <c r="P20" s="559" t="str">
        <f>IF(B20="","",VLOOKUP(B20,'B-1 Site Hedge Baseline'!$B$10:T265,16,FALSE))</f>
        <v/>
      </c>
      <c r="Q20" s="498" t="str">
        <f>IF(M20="","",VLOOKUP(M20,'G-6 Hedgerow Data'!$B$2:$AG$15,2,FALSE))</f>
        <v/>
      </c>
      <c r="R20" s="499" t="str">
        <f>IF(M20="","",VLOOKUP(M20,'G-6 Hedgerow Data'!$B$2:$AG$15,3,FALSE))</f>
        <v/>
      </c>
      <c r="S20" s="157"/>
      <c r="T20" s="540" t="str">
        <f>IFERROR(VLOOKUP(S20,'G-1 All Habitats'!$Z$2:$AA$9,2,FALSE),"")</f>
        <v/>
      </c>
      <c r="U20" s="154"/>
      <c r="V20" s="520" t="str">
        <f>IF(U20="","",IF(VLOOKUP(U20,'G-3 Multipliers'!$L$3:$N$6,2,FALSE)=0,"Spatial Data Missing ⚠",VLOOKUP(U20,'G-3 Multipliers'!$L$3:$N$6,2,FALSE)))</f>
        <v/>
      </c>
      <c r="W20" s="524" t="str">
        <f>IF(U20="","",IF(VLOOKUP(U20,'G-3 Multipliers'!$L$3:$N$6,3,FALSE)=0,"Spatial Data Missing ⚠",VLOOKUP(U20,'G-3 Multipliers'!$L$3:$N$6,3,FALSE)))</f>
        <v/>
      </c>
      <c r="X20" s="498" t="str">
        <f>IFERROR(IF(OR(LEFT(O20,5)="Error ▲",LEFT(N20,5)="Error ▲",T20="Error ▲"),"Check Data ⚠",IF(F20&lt;R20,INDEX('G-6 Hedgerow Data'!$S$3:$AE$14,MATCH(C20,'G-6 Hedgerow Data'!$B$3:$B$14,0),MATCH(M20,'G-6 Hedgerow Data'!$S$2:$AE$2,0)),INDEX('G-6 Hedgerow Data'!$K$3:$Q$14,MATCH(M20,'G-6 Hedgerow Data'!$B$3:$B$14,0),MATCH(O20,'G-6 Hedgerow Data'!$K$2:$Q$2,0)))),"")</f>
        <v/>
      </c>
      <c r="Y20" s="195"/>
      <c r="Z20" s="195"/>
      <c r="AA20" s="507" t="str">
        <f t="shared" si="3"/>
        <v/>
      </c>
      <c r="AB20" s="521" t="str">
        <f t="shared" si="4"/>
        <v/>
      </c>
      <c r="AC20" s="522" t="str">
        <f t="shared" si="1"/>
        <v/>
      </c>
      <c r="AD20" s="537" t="str">
        <f>IF(M20="","",VLOOKUP(M20,'G-6 Hedgerow Data'!$B$3:$AG$15,31,FALSE))</f>
        <v/>
      </c>
      <c r="AE20" s="507" t="str">
        <f t="shared" si="5"/>
        <v/>
      </c>
      <c r="AF20" s="507" t="str">
        <f t="shared" si="6"/>
        <v/>
      </c>
      <c r="AG20" s="524" t="str">
        <f>IFERROR(IF(O20="","",VLOOKUP(AD20,'G-3 Multipliers'!$P$3:$Q$6,2,FALSE)),"")</f>
        <v/>
      </c>
      <c r="AH20" s="513" t="str">
        <f t="shared" si="7"/>
        <v/>
      </c>
      <c r="AI20" s="231"/>
      <c r="AJ20" s="150"/>
      <c r="AT20" s="31" t="str">
        <f>IFERROR(INDEX('G-6 Hedgerow Data'!$BJ$3:$BJ$15,MATCH(M20,'G-6 Hedgerow Data'!$B$3:$B$15,0)),"")</f>
        <v/>
      </c>
    </row>
    <row r="21" spans="2:46" ht="14" x14ac:dyDescent="0.3">
      <c r="B21" s="531" t="str">
        <f>'B-1 Site Hedge Baseline'!AK19</f>
        <v/>
      </c>
      <c r="C21" s="520" t="str">
        <f>IF(B21="","",IF(ISNA(VLOOKUP($B21,'B-1 Site Hedge Baseline'!$B$1:$L$257,3,FALSE)),"",(VLOOKUP($B21,'B-1 Site Hedge Baseline'!$B$1:$L$257,3,FALSE))))</f>
        <v/>
      </c>
      <c r="D21" s="520" t="str">
        <f>IF(B21="","",IF(ISNA(VLOOKUP($B21,'B-1 Site Hedge Baseline'!$B$1:$L$257,4,FALSE)),"",(VLOOKUP($B21,'B-1 Site Hedge Baseline'!$B$1:$L$257,4,FALSE))))</f>
        <v/>
      </c>
      <c r="E21" s="520" t="str">
        <f>IF(B21="","",IF(ISNA(VLOOKUP($B21,'B-1 Site Hedge Baseline'!$B$1:$L$257,5,FALSE)),"",(VLOOKUP($B21,'B-1 Site Hedge Baseline'!$B$1:$L$257,5,FALSE))))</f>
        <v/>
      </c>
      <c r="F21" s="520" t="str">
        <f>IF(B21="","",IF(ISNA(VLOOKUP($B21,'B-1 Site Hedge Baseline'!$B$1:$L$257,6,FALSE)),"",(VLOOKUP($B21,'B-1 Site Hedge Baseline'!$B$1:$L$257,6,FALSE))))</f>
        <v/>
      </c>
      <c r="G21" s="520" t="str">
        <f>IF(B21="","",IF(ISNA(VLOOKUP($B21,'B-1 Site Hedge Baseline'!$B$1:$L$257,7,FALSE)),"",(VLOOKUP($B21,'B-1 Site Hedge Baseline'!$B$1:$L$257,7,FALSE))))</f>
        <v/>
      </c>
      <c r="H21" s="520" t="str">
        <f>IF(B21="","",IF(ISNA(VLOOKUP($B21,'B-1 Site Hedge Baseline'!$B$1:$L$257,8,FALSE)),"",(VLOOKUP($B21,'B-1 Site Hedge Baseline'!$B$1:$L$257,8,FALSE))))</f>
        <v/>
      </c>
      <c r="I21" s="520" t="str">
        <f>IF(B21="","",IF(ISNA(VLOOKUP($B21,'B-1 Site Hedge Baseline'!$B$1:$L$257,10,FALSE)),"",(VLOOKUP($B21,'B-1 Site Hedge Baseline'!$B$1:$L$257,10,FALSE))))</f>
        <v/>
      </c>
      <c r="J21" s="520" t="str">
        <f>IF(B21="","",IF(ISNA(VLOOKUP($B21,'B-1 Site Hedge Baseline'!$B$1:$L$257,11,FALSE)),"",(VLOOKUP($B21,'B-1 Site Hedge Baseline'!$B$1:$L$257,11,FALSE))))</f>
        <v/>
      </c>
      <c r="K21" s="520" t="str">
        <f>IF(B21="","",IF(ISNA(VLOOKUP($B21,'B-1 Site Hedge Baseline'!$B$1:$U$257,13,FALSE)),"",(VLOOKUP($B21,'B-1 Site Hedge Baseline'!$B$1:$U$257,13,FALSE))))</f>
        <v/>
      </c>
      <c r="L21" s="524" t="str">
        <f>IF(B21="","",IF(ISNA(VLOOKUP($B21,'B-1 Site Hedge Baseline'!$B$1:$U$257,12,FALSE)),"",(VLOOKUP($B21,'B-1 Site Hedge Baseline'!$B$1:$U$257,12,FALSE))))</f>
        <v/>
      </c>
      <c r="M21" s="416" t="str">
        <f t="shared" si="0"/>
        <v/>
      </c>
      <c r="N21" s="498" t="str">
        <f>IFERROR(IF(B21="","",INDEX('G-6 Hedgerow Data'!$AN$3:$AZ$15,MATCH(C21,'G-6 Hedgerow Data'!$AM$3:$AM$15,0),MATCH(M21,'G-6 Hedgerow Data'!$AN$2:$AZ$2,0))),"")</f>
        <v/>
      </c>
      <c r="O21" s="499" t="str">
        <f t="shared" si="2"/>
        <v/>
      </c>
      <c r="P21" s="559" t="str">
        <f>IF(B21="","",VLOOKUP(B21,'B-1 Site Hedge Baseline'!$B$10:T266,16,FALSE))</f>
        <v/>
      </c>
      <c r="Q21" s="498" t="str">
        <f>IF(M21="","",VLOOKUP(M21,'G-6 Hedgerow Data'!$B$2:$AG$15,2,FALSE))</f>
        <v/>
      </c>
      <c r="R21" s="499" t="str">
        <f>IF(M21="","",VLOOKUP(M21,'G-6 Hedgerow Data'!$B$2:$AG$15,3,FALSE))</f>
        <v/>
      </c>
      <c r="S21" s="157"/>
      <c r="T21" s="540" t="str">
        <f>IFERROR(VLOOKUP(S21,'G-1 All Habitats'!$Z$2:$AA$9,2,FALSE),"")</f>
        <v/>
      </c>
      <c r="U21" s="154"/>
      <c r="V21" s="520" t="str">
        <f>IF(U21="","",IF(VLOOKUP(U21,'G-3 Multipliers'!$L$3:$N$6,2,FALSE)=0,"Spatial Data Missing ⚠",VLOOKUP(U21,'G-3 Multipliers'!$L$3:$N$6,2,FALSE)))</f>
        <v/>
      </c>
      <c r="W21" s="524" t="str">
        <f>IF(U21="","",IF(VLOOKUP(U21,'G-3 Multipliers'!$L$3:$N$6,3,FALSE)=0,"Spatial Data Missing ⚠",VLOOKUP(U21,'G-3 Multipliers'!$L$3:$N$6,3,FALSE)))</f>
        <v/>
      </c>
      <c r="X21" s="498" t="str">
        <f>IFERROR(IF(OR(LEFT(O21,5)="Error ▲",LEFT(N21,5)="Error ▲",T21="Error ▲"),"Check Data ⚠",IF(F21&lt;R21,INDEX('G-6 Hedgerow Data'!$S$3:$AE$14,MATCH(C21,'G-6 Hedgerow Data'!$B$3:$B$14,0),MATCH(M21,'G-6 Hedgerow Data'!$S$2:$AE$2,0)),INDEX('G-6 Hedgerow Data'!$K$3:$Q$14,MATCH(M21,'G-6 Hedgerow Data'!$B$3:$B$14,0),MATCH(O21,'G-6 Hedgerow Data'!$K$2:$Q$2,0)))),"")</f>
        <v/>
      </c>
      <c r="Y21" s="195"/>
      <c r="Z21" s="195"/>
      <c r="AA21" s="507" t="str">
        <f t="shared" si="3"/>
        <v/>
      </c>
      <c r="AB21" s="521" t="str">
        <f t="shared" si="4"/>
        <v/>
      </c>
      <c r="AC21" s="522" t="str">
        <f t="shared" si="1"/>
        <v/>
      </c>
      <c r="AD21" s="537" t="str">
        <f>IF(M21="","",VLOOKUP(M21,'G-6 Hedgerow Data'!$B$3:$AG$15,31,FALSE))</f>
        <v/>
      </c>
      <c r="AE21" s="507" t="str">
        <f t="shared" si="5"/>
        <v/>
      </c>
      <c r="AF21" s="507" t="str">
        <f t="shared" si="6"/>
        <v/>
      </c>
      <c r="AG21" s="524" t="str">
        <f>IFERROR(IF(O21="","",VLOOKUP(AD21,'G-3 Multipliers'!$P$3:$Q$6,2,FALSE)),"")</f>
        <v/>
      </c>
      <c r="AH21" s="513" t="str">
        <f t="shared" si="7"/>
        <v/>
      </c>
      <c r="AI21" s="231"/>
      <c r="AJ21" s="150"/>
      <c r="AT21" s="31" t="str">
        <f>IFERROR(INDEX('G-6 Hedgerow Data'!$BJ$3:$BJ$15,MATCH(M21,'G-6 Hedgerow Data'!$B$3:$B$15,0)),"")</f>
        <v/>
      </c>
    </row>
    <row r="22" spans="2:46" ht="14" x14ac:dyDescent="0.3">
      <c r="B22" s="531" t="str">
        <f>'B-1 Site Hedge Baseline'!AK20</f>
        <v/>
      </c>
      <c r="C22" s="520" t="str">
        <f>IF(B22="","",IF(ISNA(VLOOKUP($B22,'B-1 Site Hedge Baseline'!$B$1:$L$257,3,FALSE)),"",(VLOOKUP($B22,'B-1 Site Hedge Baseline'!$B$1:$L$257,3,FALSE))))</f>
        <v/>
      </c>
      <c r="D22" s="520" t="str">
        <f>IF(B22="","",IF(ISNA(VLOOKUP($B22,'B-1 Site Hedge Baseline'!$B$1:$L$257,4,FALSE)),"",(VLOOKUP($B22,'B-1 Site Hedge Baseline'!$B$1:$L$257,4,FALSE))))</f>
        <v/>
      </c>
      <c r="E22" s="520" t="str">
        <f>IF(B22="","",IF(ISNA(VLOOKUP($B22,'B-1 Site Hedge Baseline'!$B$1:$L$257,5,FALSE)),"",(VLOOKUP($B22,'B-1 Site Hedge Baseline'!$B$1:$L$257,5,FALSE))))</f>
        <v/>
      </c>
      <c r="F22" s="520" t="str">
        <f>IF(B22="","",IF(ISNA(VLOOKUP($B22,'B-1 Site Hedge Baseline'!$B$1:$L$257,6,FALSE)),"",(VLOOKUP($B22,'B-1 Site Hedge Baseline'!$B$1:$L$257,6,FALSE))))</f>
        <v/>
      </c>
      <c r="G22" s="520" t="str">
        <f>IF(B22="","",IF(ISNA(VLOOKUP($B22,'B-1 Site Hedge Baseline'!$B$1:$L$257,7,FALSE)),"",(VLOOKUP($B22,'B-1 Site Hedge Baseline'!$B$1:$L$257,7,FALSE))))</f>
        <v/>
      </c>
      <c r="H22" s="520" t="str">
        <f>IF(B22="","",IF(ISNA(VLOOKUP($B22,'B-1 Site Hedge Baseline'!$B$1:$L$257,8,FALSE)),"",(VLOOKUP($B22,'B-1 Site Hedge Baseline'!$B$1:$L$257,8,FALSE))))</f>
        <v/>
      </c>
      <c r="I22" s="520" t="str">
        <f>IF(B22="","",IF(ISNA(VLOOKUP($B22,'B-1 Site Hedge Baseline'!$B$1:$L$257,10,FALSE)),"",(VLOOKUP($B22,'B-1 Site Hedge Baseline'!$B$1:$L$257,10,FALSE))))</f>
        <v/>
      </c>
      <c r="J22" s="520" t="str">
        <f>IF(B22="","",IF(ISNA(VLOOKUP($B22,'B-1 Site Hedge Baseline'!$B$1:$L$257,11,FALSE)),"",(VLOOKUP($B22,'B-1 Site Hedge Baseline'!$B$1:$L$257,11,FALSE))))</f>
        <v/>
      </c>
      <c r="K22" s="520" t="str">
        <f>IF(B22="","",IF(ISNA(VLOOKUP($B22,'B-1 Site Hedge Baseline'!$B$1:$U$257,13,FALSE)),"",(VLOOKUP($B22,'B-1 Site Hedge Baseline'!$B$1:$U$257,13,FALSE))))</f>
        <v/>
      </c>
      <c r="L22" s="524" t="str">
        <f>IF(B22="","",IF(ISNA(VLOOKUP($B22,'B-1 Site Hedge Baseline'!$B$1:$U$257,12,FALSE)),"",(VLOOKUP($B22,'B-1 Site Hedge Baseline'!$B$1:$U$257,12,FALSE))))</f>
        <v/>
      </c>
      <c r="M22" s="416" t="str">
        <f t="shared" si="0"/>
        <v/>
      </c>
      <c r="N22" s="498" t="str">
        <f>IFERROR(IF(B22="","",INDEX('G-6 Hedgerow Data'!$AN$3:$AZ$15,MATCH(C22,'G-6 Hedgerow Data'!$AM$3:$AM$15,0),MATCH(M22,'G-6 Hedgerow Data'!$AN$2:$AZ$2,0))),"")</f>
        <v/>
      </c>
      <c r="O22" s="499" t="str">
        <f t="shared" si="2"/>
        <v/>
      </c>
      <c r="P22" s="559" t="str">
        <f>IF(B22="","",VLOOKUP(B22,'B-1 Site Hedge Baseline'!$B$10:T267,16,FALSE))</f>
        <v/>
      </c>
      <c r="Q22" s="498" t="str">
        <f>IF(M22="","",VLOOKUP(M22,'G-6 Hedgerow Data'!$B$2:$AG$15,2,FALSE))</f>
        <v/>
      </c>
      <c r="R22" s="499" t="str">
        <f>IF(M22="","",VLOOKUP(M22,'G-6 Hedgerow Data'!$B$2:$AG$15,3,FALSE))</f>
        <v/>
      </c>
      <c r="S22" s="157"/>
      <c r="T22" s="540" t="str">
        <f>IFERROR(VLOOKUP(S22,'G-1 All Habitats'!$Z$2:$AA$9,2,FALSE),"")</f>
        <v/>
      </c>
      <c r="U22" s="154"/>
      <c r="V22" s="520" t="str">
        <f>IF(U22="","",IF(VLOOKUP(U22,'G-3 Multipliers'!$L$3:$N$6,2,FALSE)=0,"Spatial Data Missing ⚠",VLOOKUP(U22,'G-3 Multipliers'!$L$3:$N$6,2,FALSE)))</f>
        <v/>
      </c>
      <c r="W22" s="524" t="str">
        <f>IF(U22="","",IF(VLOOKUP(U22,'G-3 Multipliers'!$L$3:$N$6,3,FALSE)=0,"Spatial Data Missing ⚠",VLOOKUP(U22,'G-3 Multipliers'!$L$3:$N$6,3,FALSE)))</f>
        <v/>
      </c>
      <c r="X22" s="498" t="str">
        <f>IFERROR(IF(OR(LEFT(O22,5)="Error ▲",LEFT(N22,5)="Error ▲",T22="Error ▲"),"Check Data ⚠",IF(F22&lt;R22,INDEX('G-6 Hedgerow Data'!$S$3:$AE$14,MATCH(C22,'G-6 Hedgerow Data'!$B$3:$B$14,0),MATCH(M22,'G-6 Hedgerow Data'!$S$2:$AE$2,0)),INDEX('G-6 Hedgerow Data'!$K$3:$Q$14,MATCH(M22,'G-6 Hedgerow Data'!$B$3:$B$14,0),MATCH(O22,'G-6 Hedgerow Data'!$K$2:$Q$2,0)))),"")</f>
        <v/>
      </c>
      <c r="Y22" s="195"/>
      <c r="Z22" s="195"/>
      <c r="AA22" s="507" t="str">
        <f t="shared" si="3"/>
        <v/>
      </c>
      <c r="AB22" s="521" t="str">
        <f t="shared" si="4"/>
        <v/>
      </c>
      <c r="AC22" s="522" t="str">
        <f t="shared" si="1"/>
        <v/>
      </c>
      <c r="AD22" s="537" t="str">
        <f>IF(M22="","",VLOOKUP(M22,'G-6 Hedgerow Data'!$B$3:$AG$15,31,FALSE))</f>
        <v/>
      </c>
      <c r="AE22" s="507" t="str">
        <f t="shared" si="5"/>
        <v/>
      </c>
      <c r="AF22" s="507" t="str">
        <f t="shared" si="6"/>
        <v/>
      </c>
      <c r="AG22" s="524" t="str">
        <f>IFERROR(IF(O22="","",VLOOKUP(AD22,'G-3 Multipliers'!$P$3:$Q$6,2,FALSE)),"")</f>
        <v/>
      </c>
      <c r="AH22" s="513" t="str">
        <f t="shared" si="7"/>
        <v/>
      </c>
      <c r="AI22" s="231"/>
      <c r="AJ22" s="150"/>
      <c r="AT22" s="31" t="str">
        <f>IFERROR(INDEX('G-6 Hedgerow Data'!$BJ$3:$BJ$15,MATCH(M22,'G-6 Hedgerow Data'!$B$3:$B$15,0)),"")</f>
        <v/>
      </c>
    </row>
    <row r="23" spans="2:46" ht="14" x14ac:dyDescent="0.3">
      <c r="B23" s="531" t="str">
        <f>'B-1 Site Hedge Baseline'!AK21</f>
        <v/>
      </c>
      <c r="C23" s="520" t="str">
        <f>IF(B23="","",IF(ISNA(VLOOKUP($B23,'B-1 Site Hedge Baseline'!$B$1:$L$257,3,FALSE)),"",(VLOOKUP($B23,'B-1 Site Hedge Baseline'!$B$1:$L$257,3,FALSE))))</f>
        <v/>
      </c>
      <c r="D23" s="520" t="str">
        <f>IF(B23="","",IF(ISNA(VLOOKUP($B23,'B-1 Site Hedge Baseline'!$B$1:$L$257,4,FALSE)),"",(VLOOKUP($B23,'B-1 Site Hedge Baseline'!$B$1:$L$257,4,FALSE))))</f>
        <v/>
      </c>
      <c r="E23" s="520" t="str">
        <f>IF(B23="","",IF(ISNA(VLOOKUP($B23,'B-1 Site Hedge Baseline'!$B$1:$L$257,5,FALSE)),"",(VLOOKUP($B23,'B-1 Site Hedge Baseline'!$B$1:$L$257,5,FALSE))))</f>
        <v/>
      </c>
      <c r="F23" s="520" t="str">
        <f>IF(B23="","",IF(ISNA(VLOOKUP($B23,'B-1 Site Hedge Baseline'!$B$1:$L$257,6,FALSE)),"",(VLOOKUP($B23,'B-1 Site Hedge Baseline'!$B$1:$L$257,6,FALSE))))</f>
        <v/>
      </c>
      <c r="G23" s="520" t="str">
        <f>IF(B23="","",IF(ISNA(VLOOKUP($B23,'B-1 Site Hedge Baseline'!$B$1:$L$257,7,FALSE)),"",(VLOOKUP($B23,'B-1 Site Hedge Baseline'!$B$1:$L$257,7,FALSE))))</f>
        <v/>
      </c>
      <c r="H23" s="520" t="str">
        <f>IF(B23="","",IF(ISNA(VLOOKUP($B23,'B-1 Site Hedge Baseline'!$B$1:$L$257,8,FALSE)),"",(VLOOKUP($B23,'B-1 Site Hedge Baseline'!$B$1:$L$257,8,FALSE))))</f>
        <v/>
      </c>
      <c r="I23" s="520" t="str">
        <f>IF(B23="","",IF(ISNA(VLOOKUP($B23,'B-1 Site Hedge Baseline'!$B$1:$L$257,10,FALSE)),"",(VLOOKUP($B23,'B-1 Site Hedge Baseline'!$B$1:$L$257,10,FALSE))))</f>
        <v/>
      </c>
      <c r="J23" s="520" t="str">
        <f>IF(B23="","",IF(ISNA(VLOOKUP($B23,'B-1 Site Hedge Baseline'!$B$1:$L$257,11,FALSE)),"",(VLOOKUP($B23,'B-1 Site Hedge Baseline'!$B$1:$L$257,11,FALSE))))</f>
        <v/>
      </c>
      <c r="K23" s="520" t="str">
        <f>IF(B23="","",IF(ISNA(VLOOKUP($B23,'B-1 Site Hedge Baseline'!$B$1:$U$257,13,FALSE)),"",(VLOOKUP($B23,'B-1 Site Hedge Baseline'!$B$1:$U$257,13,FALSE))))</f>
        <v/>
      </c>
      <c r="L23" s="524" t="str">
        <f>IF(B23="","",IF(ISNA(VLOOKUP($B23,'B-1 Site Hedge Baseline'!$B$1:$U$257,12,FALSE)),"",(VLOOKUP($B23,'B-1 Site Hedge Baseline'!$B$1:$U$257,12,FALSE))))</f>
        <v/>
      </c>
      <c r="M23" s="416" t="str">
        <f t="shared" si="0"/>
        <v/>
      </c>
      <c r="N23" s="498" t="str">
        <f>IFERROR(IF(B23="","",INDEX('G-6 Hedgerow Data'!$AN$3:$AZ$15,MATCH(C23,'G-6 Hedgerow Data'!$AM$3:$AM$15,0),MATCH(M23,'G-6 Hedgerow Data'!$AN$2:$AZ$2,0))),"")</f>
        <v/>
      </c>
      <c r="O23" s="499" t="str">
        <f t="shared" si="2"/>
        <v/>
      </c>
      <c r="P23" s="559" t="str">
        <f>IF(B23="","",VLOOKUP(B23,'B-1 Site Hedge Baseline'!$B$10:T268,16,FALSE))</f>
        <v/>
      </c>
      <c r="Q23" s="498" t="str">
        <f>IF(M23="","",VLOOKUP(M23,'G-6 Hedgerow Data'!$B$2:$AG$15,2,FALSE))</f>
        <v/>
      </c>
      <c r="R23" s="499" t="str">
        <f>IF(M23="","",VLOOKUP(M23,'G-6 Hedgerow Data'!$B$2:$AG$15,3,FALSE))</f>
        <v/>
      </c>
      <c r="S23" s="157"/>
      <c r="T23" s="540" t="str">
        <f>IFERROR(VLOOKUP(S23,'G-1 All Habitats'!$Z$2:$AA$9,2,FALSE),"")</f>
        <v/>
      </c>
      <c r="U23" s="154"/>
      <c r="V23" s="520" t="str">
        <f>IF(U23="","",IF(VLOOKUP(U23,'G-3 Multipliers'!$L$3:$N$6,2,FALSE)=0,"Spatial Data Missing ⚠",VLOOKUP(U23,'G-3 Multipliers'!$L$3:$N$6,2,FALSE)))</f>
        <v/>
      </c>
      <c r="W23" s="524" t="str">
        <f>IF(U23="","",IF(VLOOKUP(U23,'G-3 Multipliers'!$L$3:$N$6,3,FALSE)=0,"Spatial Data Missing ⚠",VLOOKUP(U23,'G-3 Multipliers'!$L$3:$N$6,3,FALSE)))</f>
        <v/>
      </c>
      <c r="X23" s="498" t="str">
        <f>IFERROR(IF(OR(LEFT(O23,5)="Error ▲",LEFT(N23,5)="Error ▲",T23="Error ▲"),"Check Data ⚠",IF(F23&lt;R23,INDEX('G-6 Hedgerow Data'!$S$3:$AE$14,MATCH(C23,'G-6 Hedgerow Data'!$B$3:$B$14,0),MATCH(M23,'G-6 Hedgerow Data'!$S$2:$AE$2,0)),INDEX('G-6 Hedgerow Data'!$K$3:$Q$14,MATCH(M23,'G-6 Hedgerow Data'!$B$3:$B$14,0),MATCH(O23,'G-6 Hedgerow Data'!$K$2:$Q$2,0)))),"")</f>
        <v/>
      </c>
      <c r="Y23" s="195"/>
      <c r="Z23" s="195"/>
      <c r="AA23" s="507" t="str">
        <f t="shared" si="3"/>
        <v/>
      </c>
      <c r="AB23" s="521" t="str">
        <f t="shared" si="4"/>
        <v/>
      </c>
      <c r="AC23" s="522" t="str">
        <f t="shared" si="1"/>
        <v/>
      </c>
      <c r="AD23" s="537" t="str">
        <f>IF(M23="","",VLOOKUP(M23,'G-6 Hedgerow Data'!$B$3:$AG$15,31,FALSE))</f>
        <v/>
      </c>
      <c r="AE23" s="507" t="str">
        <f t="shared" si="5"/>
        <v/>
      </c>
      <c r="AF23" s="507" t="str">
        <f t="shared" si="6"/>
        <v/>
      </c>
      <c r="AG23" s="524" t="str">
        <f>IFERROR(IF(O23="","",VLOOKUP(AD23,'G-3 Multipliers'!$P$3:$Q$6,2,FALSE)),"")</f>
        <v/>
      </c>
      <c r="AH23" s="513" t="str">
        <f t="shared" si="7"/>
        <v/>
      </c>
      <c r="AI23" s="231"/>
      <c r="AJ23" s="150"/>
      <c r="AT23" s="31" t="str">
        <f>IFERROR(INDEX('G-6 Hedgerow Data'!$BJ$3:$BJ$15,MATCH(M23,'G-6 Hedgerow Data'!$B$3:$B$15,0)),"")</f>
        <v/>
      </c>
    </row>
    <row r="24" spans="2:46" ht="14" x14ac:dyDescent="0.3">
      <c r="B24" s="531" t="str">
        <f>'B-1 Site Hedge Baseline'!AK22</f>
        <v/>
      </c>
      <c r="C24" s="520" t="str">
        <f>IF(B24="","",IF(ISNA(VLOOKUP($B24,'B-1 Site Hedge Baseline'!$B$1:$L$257,3,FALSE)),"",(VLOOKUP($B24,'B-1 Site Hedge Baseline'!$B$1:$L$257,3,FALSE))))</f>
        <v/>
      </c>
      <c r="D24" s="520" t="str">
        <f>IF(B24="","",IF(ISNA(VLOOKUP($B24,'B-1 Site Hedge Baseline'!$B$1:$L$257,4,FALSE)),"",(VLOOKUP($B24,'B-1 Site Hedge Baseline'!$B$1:$L$257,4,FALSE))))</f>
        <v/>
      </c>
      <c r="E24" s="520" t="str">
        <f>IF(B24="","",IF(ISNA(VLOOKUP($B24,'B-1 Site Hedge Baseline'!$B$1:$L$257,5,FALSE)),"",(VLOOKUP($B24,'B-1 Site Hedge Baseline'!$B$1:$L$257,5,FALSE))))</f>
        <v/>
      </c>
      <c r="F24" s="520" t="str">
        <f>IF(B24="","",IF(ISNA(VLOOKUP($B24,'B-1 Site Hedge Baseline'!$B$1:$L$257,6,FALSE)),"",(VLOOKUP($B24,'B-1 Site Hedge Baseline'!$B$1:$L$257,6,FALSE))))</f>
        <v/>
      </c>
      <c r="G24" s="520" t="str">
        <f>IF(B24="","",IF(ISNA(VLOOKUP($B24,'B-1 Site Hedge Baseline'!$B$1:$L$257,7,FALSE)),"",(VLOOKUP($B24,'B-1 Site Hedge Baseline'!$B$1:$L$257,7,FALSE))))</f>
        <v/>
      </c>
      <c r="H24" s="520" t="str">
        <f>IF(B24="","",IF(ISNA(VLOOKUP($B24,'B-1 Site Hedge Baseline'!$B$1:$L$257,8,FALSE)),"",(VLOOKUP($B24,'B-1 Site Hedge Baseline'!$B$1:$L$257,8,FALSE))))</f>
        <v/>
      </c>
      <c r="I24" s="520" t="str">
        <f>IF(B24="","",IF(ISNA(VLOOKUP($B24,'B-1 Site Hedge Baseline'!$B$1:$L$257,10,FALSE)),"",(VLOOKUP($B24,'B-1 Site Hedge Baseline'!$B$1:$L$257,10,FALSE))))</f>
        <v/>
      </c>
      <c r="J24" s="520" t="str">
        <f>IF(B24="","",IF(ISNA(VLOOKUP($B24,'B-1 Site Hedge Baseline'!$B$1:$L$257,11,FALSE)),"",(VLOOKUP($B24,'B-1 Site Hedge Baseline'!$B$1:$L$257,11,FALSE))))</f>
        <v/>
      </c>
      <c r="K24" s="520" t="str">
        <f>IF(B24="","",IF(ISNA(VLOOKUP($B24,'B-1 Site Hedge Baseline'!$B$1:$U$257,13,FALSE)),"",(VLOOKUP($B24,'B-1 Site Hedge Baseline'!$B$1:$U$257,13,FALSE))))</f>
        <v/>
      </c>
      <c r="L24" s="524" t="str">
        <f>IF(B24="","",IF(ISNA(VLOOKUP($B24,'B-1 Site Hedge Baseline'!$B$1:$U$257,12,FALSE)),"",(VLOOKUP($B24,'B-1 Site Hedge Baseline'!$B$1:$U$257,12,FALSE))))</f>
        <v/>
      </c>
      <c r="M24" s="416" t="str">
        <f t="shared" si="0"/>
        <v/>
      </c>
      <c r="N24" s="498" t="str">
        <f>IFERROR(IF(B24="","",INDEX('G-6 Hedgerow Data'!$AN$3:$AZ$15,MATCH(C24,'G-6 Hedgerow Data'!$AM$3:$AM$15,0),MATCH(M24,'G-6 Hedgerow Data'!$AN$2:$AZ$2,0))),"")</f>
        <v/>
      </c>
      <c r="O24" s="499" t="str">
        <f t="shared" si="2"/>
        <v/>
      </c>
      <c r="P24" s="559" t="str">
        <f>IF(B24="","",VLOOKUP(B24,'B-1 Site Hedge Baseline'!$B$10:T269,16,FALSE))</f>
        <v/>
      </c>
      <c r="Q24" s="498" t="str">
        <f>IF(M24="","",VLOOKUP(M24,'G-6 Hedgerow Data'!$B$2:$AG$15,2,FALSE))</f>
        <v/>
      </c>
      <c r="R24" s="499" t="str">
        <f>IF(M24="","",VLOOKUP(M24,'G-6 Hedgerow Data'!$B$2:$AG$15,3,FALSE))</f>
        <v/>
      </c>
      <c r="S24" s="157"/>
      <c r="T24" s="540" t="str">
        <f>IFERROR(VLOOKUP(S24,'G-1 All Habitats'!$Z$2:$AA$9,2,FALSE),"")</f>
        <v/>
      </c>
      <c r="U24" s="154"/>
      <c r="V24" s="520" t="str">
        <f>IF(U24="","",IF(VLOOKUP(U24,'G-3 Multipliers'!$L$3:$N$6,2,FALSE)=0,"Spatial Data Missing ⚠",VLOOKUP(U24,'G-3 Multipliers'!$L$3:$N$6,2,FALSE)))</f>
        <v/>
      </c>
      <c r="W24" s="524" t="str">
        <f>IF(U24="","",IF(VLOOKUP(U24,'G-3 Multipliers'!$L$3:$N$6,3,FALSE)=0,"Spatial Data Missing ⚠",VLOOKUP(U24,'G-3 Multipliers'!$L$3:$N$6,3,FALSE)))</f>
        <v/>
      </c>
      <c r="X24" s="498" t="str">
        <f>IFERROR(IF(OR(LEFT(O24,5)="Error ▲",LEFT(N24,5)="Error ▲",T24="Error ▲"),"Check Data ⚠",IF(F24&lt;R24,INDEX('G-6 Hedgerow Data'!$S$3:$AE$14,MATCH(C24,'G-6 Hedgerow Data'!$B$3:$B$14,0),MATCH(M24,'G-6 Hedgerow Data'!$S$2:$AE$2,0)),INDEX('G-6 Hedgerow Data'!$K$3:$Q$14,MATCH(M24,'G-6 Hedgerow Data'!$B$3:$B$14,0),MATCH(O24,'G-6 Hedgerow Data'!$K$2:$Q$2,0)))),"")</f>
        <v/>
      </c>
      <c r="Y24" s="195"/>
      <c r="Z24" s="195"/>
      <c r="AA24" s="507" t="str">
        <f t="shared" si="3"/>
        <v/>
      </c>
      <c r="AB24" s="521" t="str">
        <f t="shared" si="4"/>
        <v/>
      </c>
      <c r="AC24" s="522" t="str">
        <f t="shared" si="1"/>
        <v/>
      </c>
      <c r="AD24" s="537" t="str">
        <f>IF(M24="","",VLOOKUP(M24,'G-6 Hedgerow Data'!$B$3:$AG$15,31,FALSE))</f>
        <v/>
      </c>
      <c r="AE24" s="507" t="str">
        <f t="shared" si="5"/>
        <v/>
      </c>
      <c r="AF24" s="507" t="str">
        <f t="shared" si="6"/>
        <v/>
      </c>
      <c r="AG24" s="524" t="str">
        <f>IFERROR(IF(O24="","",VLOOKUP(AD24,'G-3 Multipliers'!$P$3:$Q$6,2,FALSE)),"")</f>
        <v/>
      </c>
      <c r="AH24" s="513" t="str">
        <f t="shared" si="7"/>
        <v/>
      </c>
      <c r="AI24" s="231"/>
      <c r="AJ24" s="150"/>
      <c r="AT24" s="31" t="str">
        <f>IFERROR(INDEX('G-6 Hedgerow Data'!$BJ$3:$BJ$15,MATCH(M24,'G-6 Hedgerow Data'!$B$3:$B$15,0)),"")</f>
        <v/>
      </c>
    </row>
    <row r="25" spans="2:46" ht="14" x14ac:dyDescent="0.3">
      <c r="B25" s="531" t="str">
        <f>'B-1 Site Hedge Baseline'!AK23</f>
        <v/>
      </c>
      <c r="C25" s="520" t="str">
        <f>IF(B25="","",IF(ISNA(VLOOKUP($B25,'B-1 Site Hedge Baseline'!$B$1:$L$257,3,FALSE)),"",(VLOOKUP($B25,'B-1 Site Hedge Baseline'!$B$1:$L$257,3,FALSE))))</f>
        <v/>
      </c>
      <c r="D25" s="520" t="str">
        <f>IF(B25="","",IF(ISNA(VLOOKUP($B25,'B-1 Site Hedge Baseline'!$B$1:$L$257,4,FALSE)),"",(VLOOKUP($B25,'B-1 Site Hedge Baseline'!$B$1:$L$257,4,FALSE))))</f>
        <v/>
      </c>
      <c r="E25" s="520" t="str">
        <f>IF(B25="","",IF(ISNA(VLOOKUP($B25,'B-1 Site Hedge Baseline'!$B$1:$L$257,5,FALSE)),"",(VLOOKUP($B25,'B-1 Site Hedge Baseline'!$B$1:$L$257,5,FALSE))))</f>
        <v/>
      </c>
      <c r="F25" s="520" t="str">
        <f>IF(B25="","",IF(ISNA(VLOOKUP($B25,'B-1 Site Hedge Baseline'!$B$1:$L$257,6,FALSE)),"",(VLOOKUP($B25,'B-1 Site Hedge Baseline'!$B$1:$L$257,6,FALSE))))</f>
        <v/>
      </c>
      <c r="G25" s="520" t="str">
        <f>IF(B25="","",IF(ISNA(VLOOKUP($B25,'B-1 Site Hedge Baseline'!$B$1:$L$257,7,FALSE)),"",(VLOOKUP($B25,'B-1 Site Hedge Baseline'!$B$1:$L$257,7,FALSE))))</f>
        <v/>
      </c>
      <c r="H25" s="520" t="str">
        <f>IF(B25="","",IF(ISNA(VLOOKUP($B25,'B-1 Site Hedge Baseline'!$B$1:$L$257,8,FALSE)),"",(VLOOKUP($B25,'B-1 Site Hedge Baseline'!$B$1:$L$257,8,FALSE))))</f>
        <v/>
      </c>
      <c r="I25" s="520" t="str">
        <f>IF(B25="","",IF(ISNA(VLOOKUP($B25,'B-1 Site Hedge Baseline'!$B$1:$L$257,10,FALSE)),"",(VLOOKUP($B25,'B-1 Site Hedge Baseline'!$B$1:$L$257,10,FALSE))))</f>
        <v/>
      </c>
      <c r="J25" s="520" t="str">
        <f>IF(B25="","",IF(ISNA(VLOOKUP($B25,'B-1 Site Hedge Baseline'!$B$1:$L$257,11,FALSE)),"",(VLOOKUP($B25,'B-1 Site Hedge Baseline'!$B$1:$L$257,11,FALSE))))</f>
        <v/>
      </c>
      <c r="K25" s="520" t="str">
        <f>IF(B25="","",IF(ISNA(VLOOKUP($B25,'B-1 Site Hedge Baseline'!$B$1:$U$257,13,FALSE)),"",(VLOOKUP($B25,'B-1 Site Hedge Baseline'!$B$1:$U$257,13,FALSE))))</f>
        <v/>
      </c>
      <c r="L25" s="524" t="str">
        <f>IF(B25="","",IF(ISNA(VLOOKUP($B25,'B-1 Site Hedge Baseline'!$B$1:$U$257,12,FALSE)),"",(VLOOKUP($B25,'B-1 Site Hedge Baseline'!$B$1:$U$257,12,FALSE))))</f>
        <v/>
      </c>
      <c r="M25" s="416" t="str">
        <f t="shared" si="0"/>
        <v/>
      </c>
      <c r="N25" s="498" t="str">
        <f>IFERROR(IF(B25="","",INDEX('G-6 Hedgerow Data'!$AN$3:$AZ$15,MATCH(C25,'G-6 Hedgerow Data'!$AM$3:$AM$15,0),MATCH(M25,'G-6 Hedgerow Data'!$AN$2:$AZ$2,0))),"")</f>
        <v/>
      </c>
      <c r="O25" s="499" t="str">
        <f t="shared" si="2"/>
        <v/>
      </c>
      <c r="P25" s="559" t="str">
        <f>IF(B25="","",VLOOKUP(B25,'B-1 Site Hedge Baseline'!$B$10:T270,16,FALSE))</f>
        <v/>
      </c>
      <c r="Q25" s="498" t="str">
        <f>IF(M25="","",VLOOKUP(M25,'G-6 Hedgerow Data'!$B$2:$AG$15,2,FALSE))</f>
        <v/>
      </c>
      <c r="R25" s="499" t="str">
        <f>IF(M25="","",VLOOKUP(M25,'G-6 Hedgerow Data'!$B$2:$AG$15,3,FALSE))</f>
        <v/>
      </c>
      <c r="S25" s="157"/>
      <c r="T25" s="540" t="str">
        <f>IFERROR(VLOOKUP(S25,'G-1 All Habitats'!$Z$2:$AA$9,2,FALSE),"")</f>
        <v/>
      </c>
      <c r="U25" s="154"/>
      <c r="V25" s="520" t="str">
        <f>IF(U25="","",IF(VLOOKUP(U25,'G-3 Multipliers'!$L$3:$N$6,2,FALSE)=0,"Spatial Data Missing ⚠",VLOOKUP(U25,'G-3 Multipliers'!$L$3:$N$6,2,FALSE)))</f>
        <v/>
      </c>
      <c r="W25" s="524" t="str">
        <f>IF(U25="","",IF(VLOOKUP(U25,'G-3 Multipliers'!$L$3:$N$6,3,FALSE)=0,"Spatial Data Missing ⚠",VLOOKUP(U25,'G-3 Multipliers'!$L$3:$N$6,3,FALSE)))</f>
        <v/>
      </c>
      <c r="X25" s="498" t="str">
        <f>IFERROR(IF(OR(LEFT(O25,5)="Error ▲",LEFT(N25,5)="Error ▲",T25="Error ▲"),"Check Data ⚠",IF(F25&lt;R25,INDEX('G-6 Hedgerow Data'!$S$3:$AE$14,MATCH(C25,'G-6 Hedgerow Data'!$B$3:$B$14,0),MATCH(M25,'G-6 Hedgerow Data'!$S$2:$AE$2,0)),INDEX('G-6 Hedgerow Data'!$K$3:$Q$14,MATCH(M25,'G-6 Hedgerow Data'!$B$3:$B$14,0),MATCH(O25,'G-6 Hedgerow Data'!$K$2:$Q$2,0)))),"")</f>
        <v/>
      </c>
      <c r="Y25" s="195"/>
      <c r="Z25" s="195"/>
      <c r="AA25" s="507" t="str">
        <f t="shared" si="3"/>
        <v/>
      </c>
      <c r="AB25" s="521" t="str">
        <f t="shared" si="4"/>
        <v/>
      </c>
      <c r="AC25" s="522" t="str">
        <f t="shared" si="1"/>
        <v/>
      </c>
      <c r="AD25" s="537" t="str">
        <f>IF(M25="","",VLOOKUP(M25,'G-6 Hedgerow Data'!$B$3:$AG$15,31,FALSE))</f>
        <v/>
      </c>
      <c r="AE25" s="507" t="str">
        <f t="shared" si="5"/>
        <v/>
      </c>
      <c r="AF25" s="507" t="str">
        <f t="shared" si="6"/>
        <v/>
      </c>
      <c r="AG25" s="524" t="str">
        <f>IFERROR(IF(O25="","",VLOOKUP(AD25,'G-3 Multipliers'!$P$3:$Q$6,2,FALSE)),"")</f>
        <v/>
      </c>
      <c r="AH25" s="513" t="str">
        <f t="shared" si="7"/>
        <v/>
      </c>
      <c r="AI25" s="231"/>
      <c r="AJ25" s="150"/>
      <c r="AT25" s="31" t="str">
        <f>IFERROR(INDEX('G-6 Hedgerow Data'!$BJ$3:$BJ$15,MATCH(M25,'G-6 Hedgerow Data'!$B$3:$B$15,0)),"")</f>
        <v/>
      </c>
    </row>
    <row r="26" spans="2:46" ht="14" x14ac:dyDescent="0.3">
      <c r="B26" s="531" t="str">
        <f>'B-1 Site Hedge Baseline'!AK24</f>
        <v/>
      </c>
      <c r="C26" s="520" t="str">
        <f>IF(B26="","",IF(ISNA(VLOOKUP($B26,'B-1 Site Hedge Baseline'!$B$1:$L$257,3,FALSE)),"",(VLOOKUP($B26,'B-1 Site Hedge Baseline'!$B$1:$L$257,3,FALSE))))</f>
        <v/>
      </c>
      <c r="D26" s="520" t="str">
        <f>IF(B26="","",IF(ISNA(VLOOKUP($B26,'B-1 Site Hedge Baseline'!$B$1:$L$257,4,FALSE)),"",(VLOOKUP($B26,'B-1 Site Hedge Baseline'!$B$1:$L$257,4,FALSE))))</f>
        <v/>
      </c>
      <c r="E26" s="520" t="str">
        <f>IF(B26="","",IF(ISNA(VLOOKUP($B26,'B-1 Site Hedge Baseline'!$B$1:$L$257,5,FALSE)),"",(VLOOKUP($B26,'B-1 Site Hedge Baseline'!$B$1:$L$257,5,FALSE))))</f>
        <v/>
      </c>
      <c r="F26" s="520" t="str">
        <f>IF(B26="","",IF(ISNA(VLOOKUP($B26,'B-1 Site Hedge Baseline'!$B$1:$L$257,6,FALSE)),"",(VLOOKUP($B26,'B-1 Site Hedge Baseline'!$B$1:$L$257,6,FALSE))))</f>
        <v/>
      </c>
      <c r="G26" s="520" t="str">
        <f>IF(B26="","",IF(ISNA(VLOOKUP($B26,'B-1 Site Hedge Baseline'!$B$1:$L$257,7,FALSE)),"",(VLOOKUP($B26,'B-1 Site Hedge Baseline'!$B$1:$L$257,7,FALSE))))</f>
        <v/>
      </c>
      <c r="H26" s="520" t="str">
        <f>IF(B26="","",IF(ISNA(VLOOKUP($B26,'B-1 Site Hedge Baseline'!$B$1:$L$257,8,FALSE)),"",(VLOOKUP($B26,'B-1 Site Hedge Baseline'!$B$1:$L$257,8,FALSE))))</f>
        <v/>
      </c>
      <c r="I26" s="520" t="str">
        <f>IF(B26="","",IF(ISNA(VLOOKUP($B26,'B-1 Site Hedge Baseline'!$B$1:$L$257,10,FALSE)),"",(VLOOKUP($B26,'B-1 Site Hedge Baseline'!$B$1:$L$257,10,FALSE))))</f>
        <v/>
      </c>
      <c r="J26" s="520" t="str">
        <f>IF(B26="","",IF(ISNA(VLOOKUP($B26,'B-1 Site Hedge Baseline'!$B$1:$L$257,11,FALSE)),"",(VLOOKUP($B26,'B-1 Site Hedge Baseline'!$B$1:$L$257,11,FALSE))))</f>
        <v/>
      </c>
      <c r="K26" s="520" t="str">
        <f>IF(B26="","",IF(ISNA(VLOOKUP($B26,'B-1 Site Hedge Baseline'!$B$1:$U$257,13,FALSE)),"",(VLOOKUP($B26,'B-1 Site Hedge Baseline'!$B$1:$U$257,13,FALSE))))</f>
        <v/>
      </c>
      <c r="L26" s="524" t="str">
        <f>IF(B26="","",IF(ISNA(VLOOKUP($B26,'B-1 Site Hedge Baseline'!$B$1:$U$257,12,FALSE)),"",(VLOOKUP($B26,'B-1 Site Hedge Baseline'!$B$1:$U$257,12,FALSE))))</f>
        <v/>
      </c>
      <c r="M26" s="416" t="str">
        <f t="shared" si="0"/>
        <v/>
      </c>
      <c r="N26" s="498" t="str">
        <f>IFERROR(IF(B26="","",INDEX('G-6 Hedgerow Data'!$AN$3:$AZ$15,MATCH(C26,'G-6 Hedgerow Data'!$AM$3:$AM$15,0),MATCH(M26,'G-6 Hedgerow Data'!$AN$2:$AZ$2,0))),"")</f>
        <v/>
      </c>
      <c r="O26" s="499" t="str">
        <f t="shared" si="2"/>
        <v/>
      </c>
      <c r="P26" s="559" t="str">
        <f>IF(B26="","",VLOOKUP(B26,'B-1 Site Hedge Baseline'!$B$10:T271,16,FALSE))</f>
        <v/>
      </c>
      <c r="Q26" s="498" t="str">
        <f>IF(M26="","",VLOOKUP(M26,'G-6 Hedgerow Data'!$B$2:$AG$15,2,FALSE))</f>
        <v/>
      </c>
      <c r="R26" s="499" t="str">
        <f>IF(M26="","",VLOOKUP(M26,'G-6 Hedgerow Data'!$B$2:$AG$15,3,FALSE))</f>
        <v/>
      </c>
      <c r="S26" s="157"/>
      <c r="T26" s="540" t="str">
        <f>IFERROR(VLOOKUP(S26,'G-1 All Habitats'!$Z$2:$AA$9,2,FALSE),"")</f>
        <v/>
      </c>
      <c r="U26" s="154"/>
      <c r="V26" s="520" t="str">
        <f>IF(U26="","",IF(VLOOKUP(U26,'G-3 Multipliers'!$L$3:$N$6,2,FALSE)=0,"Spatial Data Missing ⚠",VLOOKUP(U26,'G-3 Multipliers'!$L$3:$N$6,2,FALSE)))</f>
        <v/>
      </c>
      <c r="W26" s="524" t="str">
        <f>IF(U26="","",IF(VLOOKUP(U26,'G-3 Multipliers'!$L$3:$N$6,3,FALSE)=0,"Spatial Data Missing ⚠",VLOOKUP(U26,'G-3 Multipliers'!$L$3:$N$6,3,FALSE)))</f>
        <v/>
      </c>
      <c r="X26" s="498" t="str">
        <f>IFERROR(IF(OR(LEFT(O26,5)="Error ▲",LEFT(N26,5)="Error ▲",T26="Error ▲"),"Check Data ⚠",IF(F26&lt;R26,INDEX('G-6 Hedgerow Data'!$S$3:$AE$14,MATCH(C26,'G-6 Hedgerow Data'!$B$3:$B$14,0),MATCH(M26,'G-6 Hedgerow Data'!$S$2:$AE$2,0)),INDEX('G-6 Hedgerow Data'!$K$3:$Q$14,MATCH(M26,'G-6 Hedgerow Data'!$B$3:$B$14,0),MATCH(O26,'G-6 Hedgerow Data'!$K$2:$Q$2,0)))),"")</f>
        <v/>
      </c>
      <c r="Y26" s="195"/>
      <c r="Z26" s="195"/>
      <c r="AA26" s="507" t="str">
        <f t="shared" si="3"/>
        <v/>
      </c>
      <c r="AB26" s="521" t="str">
        <f t="shared" si="4"/>
        <v/>
      </c>
      <c r="AC26" s="522" t="str">
        <f t="shared" si="1"/>
        <v/>
      </c>
      <c r="AD26" s="537" t="str">
        <f>IF(M26="","",VLOOKUP(M26,'G-6 Hedgerow Data'!$B$3:$AG$15,31,FALSE))</f>
        <v/>
      </c>
      <c r="AE26" s="507" t="str">
        <f t="shared" si="5"/>
        <v/>
      </c>
      <c r="AF26" s="507" t="str">
        <f t="shared" si="6"/>
        <v/>
      </c>
      <c r="AG26" s="524" t="str">
        <f>IFERROR(IF(O26="","",VLOOKUP(AD26,'G-3 Multipliers'!$P$3:$Q$6,2,FALSE)),"")</f>
        <v/>
      </c>
      <c r="AH26" s="513" t="str">
        <f t="shared" si="7"/>
        <v/>
      </c>
      <c r="AI26" s="231"/>
      <c r="AJ26" s="150"/>
      <c r="AT26" s="31" t="str">
        <f>IFERROR(INDEX('G-6 Hedgerow Data'!$BJ$3:$BJ$15,MATCH(M26,'G-6 Hedgerow Data'!$B$3:$B$15,0)),"")</f>
        <v/>
      </c>
    </row>
    <row r="27" spans="2:46" ht="14" x14ac:dyDescent="0.3">
      <c r="B27" s="531" t="str">
        <f>'B-1 Site Hedge Baseline'!AK25</f>
        <v/>
      </c>
      <c r="C27" s="520" t="str">
        <f>IF(B27="","",IF(ISNA(VLOOKUP($B27,'B-1 Site Hedge Baseline'!$B$1:$L$257,3,FALSE)),"",(VLOOKUP($B27,'B-1 Site Hedge Baseline'!$B$1:$L$257,3,FALSE))))</f>
        <v/>
      </c>
      <c r="D27" s="520" t="str">
        <f>IF(B27="","",IF(ISNA(VLOOKUP($B27,'B-1 Site Hedge Baseline'!$B$1:$L$257,4,FALSE)),"",(VLOOKUP($B27,'B-1 Site Hedge Baseline'!$B$1:$L$257,4,FALSE))))</f>
        <v/>
      </c>
      <c r="E27" s="520" t="str">
        <f>IF(B27="","",IF(ISNA(VLOOKUP($B27,'B-1 Site Hedge Baseline'!$B$1:$L$257,5,FALSE)),"",(VLOOKUP($B27,'B-1 Site Hedge Baseline'!$B$1:$L$257,5,FALSE))))</f>
        <v/>
      </c>
      <c r="F27" s="520" t="str">
        <f>IF(B27="","",IF(ISNA(VLOOKUP($B27,'B-1 Site Hedge Baseline'!$B$1:$L$257,6,FALSE)),"",(VLOOKUP($B27,'B-1 Site Hedge Baseline'!$B$1:$L$257,6,FALSE))))</f>
        <v/>
      </c>
      <c r="G27" s="520" t="str">
        <f>IF(B27="","",IF(ISNA(VLOOKUP($B27,'B-1 Site Hedge Baseline'!$B$1:$L$257,7,FALSE)),"",(VLOOKUP($B27,'B-1 Site Hedge Baseline'!$B$1:$L$257,7,FALSE))))</f>
        <v/>
      </c>
      <c r="H27" s="520" t="str">
        <f>IF(B27="","",IF(ISNA(VLOOKUP($B27,'B-1 Site Hedge Baseline'!$B$1:$L$257,8,FALSE)),"",(VLOOKUP($B27,'B-1 Site Hedge Baseline'!$B$1:$L$257,8,FALSE))))</f>
        <v/>
      </c>
      <c r="I27" s="520" t="str">
        <f>IF(B27="","",IF(ISNA(VLOOKUP($B27,'B-1 Site Hedge Baseline'!$B$1:$L$257,10,FALSE)),"",(VLOOKUP($B27,'B-1 Site Hedge Baseline'!$B$1:$L$257,10,FALSE))))</f>
        <v/>
      </c>
      <c r="J27" s="520" t="str">
        <f>IF(B27="","",IF(ISNA(VLOOKUP($B27,'B-1 Site Hedge Baseline'!$B$1:$L$257,11,FALSE)),"",(VLOOKUP($B27,'B-1 Site Hedge Baseline'!$B$1:$L$257,11,FALSE))))</f>
        <v/>
      </c>
      <c r="K27" s="520" t="str">
        <f>IF(B27="","",IF(ISNA(VLOOKUP($B27,'B-1 Site Hedge Baseline'!$B$1:$U$257,13,FALSE)),"",(VLOOKUP($B27,'B-1 Site Hedge Baseline'!$B$1:$U$257,13,FALSE))))</f>
        <v/>
      </c>
      <c r="L27" s="524" t="str">
        <f>IF(B27="","",IF(ISNA(VLOOKUP($B27,'B-1 Site Hedge Baseline'!$B$1:$U$257,12,FALSE)),"",(VLOOKUP($B27,'B-1 Site Hedge Baseline'!$B$1:$U$257,12,FALSE))))</f>
        <v/>
      </c>
      <c r="M27" s="416" t="str">
        <f t="shared" si="0"/>
        <v/>
      </c>
      <c r="N27" s="498" t="str">
        <f>IFERROR(IF(B27="","",INDEX('G-6 Hedgerow Data'!$AN$3:$AZ$15,MATCH(C27,'G-6 Hedgerow Data'!$AM$3:$AM$15,0),MATCH(M27,'G-6 Hedgerow Data'!$AN$2:$AZ$2,0))),"")</f>
        <v/>
      </c>
      <c r="O27" s="499" t="str">
        <f t="shared" si="2"/>
        <v/>
      </c>
      <c r="P27" s="559" t="str">
        <f>IF(B27="","",VLOOKUP(B27,'B-1 Site Hedge Baseline'!$B$10:T272,16,FALSE))</f>
        <v/>
      </c>
      <c r="Q27" s="498" t="str">
        <f>IF(M27="","",VLOOKUP(M27,'G-6 Hedgerow Data'!$B$2:$AG$15,2,FALSE))</f>
        <v/>
      </c>
      <c r="R27" s="499" t="str">
        <f>IF(M27="","",VLOOKUP(M27,'G-6 Hedgerow Data'!$B$2:$AG$15,3,FALSE))</f>
        <v/>
      </c>
      <c r="S27" s="157"/>
      <c r="T27" s="540" t="str">
        <f>IFERROR(VLOOKUP(S27,'G-1 All Habitats'!$Z$2:$AA$9,2,FALSE),"")</f>
        <v/>
      </c>
      <c r="U27" s="154"/>
      <c r="V27" s="520" t="str">
        <f>IF(U27="","",IF(VLOOKUP(U27,'G-3 Multipliers'!$L$3:$N$6,2,FALSE)=0,"Spatial Data Missing ⚠",VLOOKUP(U27,'G-3 Multipliers'!$L$3:$N$6,2,FALSE)))</f>
        <v/>
      </c>
      <c r="W27" s="524" t="str">
        <f>IF(U27="","",IF(VLOOKUP(U27,'G-3 Multipliers'!$L$3:$N$6,3,FALSE)=0,"Spatial Data Missing ⚠",VLOOKUP(U27,'G-3 Multipliers'!$L$3:$N$6,3,FALSE)))</f>
        <v/>
      </c>
      <c r="X27" s="498" t="str">
        <f>IFERROR(IF(OR(LEFT(O27,5)="Error ▲",LEFT(N27,5)="Error ▲",T27="Error ▲"),"Check Data ⚠",IF(F27&lt;R27,INDEX('G-6 Hedgerow Data'!$S$3:$AE$14,MATCH(C27,'G-6 Hedgerow Data'!$B$3:$B$14,0),MATCH(M27,'G-6 Hedgerow Data'!$S$2:$AE$2,0)),INDEX('G-6 Hedgerow Data'!$K$3:$Q$14,MATCH(M27,'G-6 Hedgerow Data'!$B$3:$B$14,0),MATCH(O27,'G-6 Hedgerow Data'!$K$2:$Q$2,0)))),"")</f>
        <v/>
      </c>
      <c r="Y27" s="195"/>
      <c r="Z27" s="195"/>
      <c r="AA27" s="507" t="str">
        <f t="shared" si="3"/>
        <v/>
      </c>
      <c r="AB27" s="521" t="str">
        <f t="shared" si="4"/>
        <v/>
      </c>
      <c r="AC27" s="522" t="str">
        <f t="shared" si="1"/>
        <v/>
      </c>
      <c r="AD27" s="537" t="str">
        <f>IF(M27="","",VLOOKUP(M27,'G-6 Hedgerow Data'!$B$3:$AG$15,31,FALSE))</f>
        <v/>
      </c>
      <c r="AE27" s="507" t="str">
        <f t="shared" si="5"/>
        <v/>
      </c>
      <c r="AF27" s="507" t="str">
        <f t="shared" si="6"/>
        <v/>
      </c>
      <c r="AG27" s="524" t="str">
        <f>IFERROR(IF(O27="","",VLOOKUP(AD27,'G-3 Multipliers'!$P$3:$Q$6,2,FALSE)),"")</f>
        <v/>
      </c>
      <c r="AH27" s="513" t="str">
        <f t="shared" si="7"/>
        <v/>
      </c>
      <c r="AI27" s="231"/>
      <c r="AJ27" s="150"/>
      <c r="AT27" s="31" t="str">
        <f>IFERROR(INDEX('G-6 Hedgerow Data'!$BJ$3:$BJ$15,MATCH(M27,'G-6 Hedgerow Data'!$B$3:$B$15,0)),"")</f>
        <v/>
      </c>
    </row>
    <row r="28" spans="2:46" ht="14" x14ac:dyDescent="0.3">
      <c r="B28" s="531" t="str">
        <f>'B-1 Site Hedge Baseline'!AK26</f>
        <v/>
      </c>
      <c r="C28" s="520" t="str">
        <f>IF(B28="","",IF(ISNA(VLOOKUP($B28,'B-1 Site Hedge Baseline'!$B$1:$L$257,3,FALSE)),"",(VLOOKUP($B28,'B-1 Site Hedge Baseline'!$B$1:$L$257,3,FALSE))))</f>
        <v/>
      </c>
      <c r="D28" s="520" t="str">
        <f>IF(B28="","",IF(ISNA(VLOOKUP($B28,'B-1 Site Hedge Baseline'!$B$1:$L$257,4,FALSE)),"",(VLOOKUP($B28,'B-1 Site Hedge Baseline'!$B$1:$L$257,4,FALSE))))</f>
        <v/>
      </c>
      <c r="E28" s="520" t="str">
        <f>IF(B28="","",IF(ISNA(VLOOKUP($B28,'B-1 Site Hedge Baseline'!$B$1:$L$257,5,FALSE)),"",(VLOOKUP($B28,'B-1 Site Hedge Baseline'!$B$1:$L$257,5,FALSE))))</f>
        <v/>
      </c>
      <c r="F28" s="520" t="str">
        <f>IF(B28="","",IF(ISNA(VLOOKUP($B28,'B-1 Site Hedge Baseline'!$B$1:$L$257,6,FALSE)),"",(VLOOKUP($B28,'B-1 Site Hedge Baseline'!$B$1:$L$257,6,FALSE))))</f>
        <v/>
      </c>
      <c r="G28" s="520" t="str">
        <f>IF(B28="","",IF(ISNA(VLOOKUP($B28,'B-1 Site Hedge Baseline'!$B$1:$L$257,7,FALSE)),"",(VLOOKUP($B28,'B-1 Site Hedge Baseline'!$B$1:$L$257,7,FALSE))))</f>
        <v/>
      </c>
      <c r="H28" s="520" t="str">
        <f>IF(B28="","",IF(ISNA(VLOOKUP($B28,'B-1 Site Hedge Baseline'!$B$1:$L$257,8,FALSE)),"",(VLOOKUP($B28,'B-1 Site Hedge Baseline'!$B$1:$L$257,8,FALSE))))</f>
        <v/>
      </c>
      <c r="I28" s="520" t="str">
        <f>IF(B28="","",IF(ISNA(VLOOKUP($B28,'B-1 Site Hedge Baseline'!$B$1:$L$257,10,FALSE)),"",(VLOOKUP($B28,'B-1 Site Hedge Baseline'!$B$1:$L$257,10,FALSE))))</f>
        <v/>
      </c>
      <c r="J28" s="520" t="str">
        <f>IF(B28="","",IF(ISNA(VLOOKUP($B28,'B-1 Site Hedge Baseline'!$B$1:$L$257,11,FALSE)),"",(VLOOKUP($B28,'B-1 Site Hedge Baseline'!$B$1:$L$257,11,FALSE))))</f>
        <v/>
      </c>
      <c r="K28" s="520" t="str">
        <f>IF(B28="","",IF(ISNA(VLOOKUP($B28,'B-1 Site Hedge Baseline'!$B$1:$U$257,13,FALSE)),"",(VLOOKUP($B28,'B-1 Site Hedge Baseline'!$B$1:$U$257,13,FALSE))))</f>
        <v/>
      </c>
      <c r="L28" s="524" t="str">
        <f>IF(B28="","",IF(ISNA(VLOOKUP($B28,'B-1 Site Hedge Baseline'!$B$1:$U$257,12,FALSE)),"",(VLOOKUP($B28,'B-1 Site Hedge Baseline'!$B$1:$U$257,12,FALSE))))</f>
        <v/>
      </c>
      <c r="M28" s="416" t="str">
        <f t="shared" si="0"/>
        <v/>
      </c>
      <c r="N28" s="498" t="str">
        <f>IFERROR(IF(B28="","",INDEX('G-6 Hedgerow Data'!$AN$3:$AZ$15,MATCH(C28,'G-6 Hedgerow Data'!$AM$3:$AM$15,0),MATCH(M28,'G-6 Hedgerow Data'!$AN$2:$AZ$2,0))),"")</f>
        <v/>
      </c>
      <c r="O28" s="499" t="str">
        <f t="shared" si="2"/>
        <v/>
      </c>
      <c r="P28" s="559" t="str">
        <f>IF(B28="","",VLOOKUP(B28,'B-1 Site Hedge Baseline'!$B$10:T273,16,FALSE))</f>
        <v/>
      </c>
      <c r="Q28" s="498" t="str">
        <f>IF(M28="","",VLOOKUP(M28,'G-6 Hedgerow Data'!$B$2:$AG$15,2,FALSE))</f>
        <v/>
      </c>
      <c r="R28" s="499" t="str">
        <f>IF(M28="","",VLOOKUP(M28,'G-6 Hedgerow Data'!$B$2:$AG$15,3,FALSE))</f>
        <v/>
      </c>
      <c r="S28" s="157"/>
      <c r="T28" s="540" t="str">
        <f>IFERROR(VLOOKUP(S28,'G-1 All Habitats'!$Z$2:$AA$9,2,FALSE),"")</f>
        <v/>
      </c>
      <c r="U28" s="154"/>
      <c r="V28" s="520" t="str">
        <f>IF(U28="","",IF(VLOOKUP(U28,'G-3 Multipliers'!$L$3:$N$6,2,FALSE)=0,"Spatial Data Missing ⚠",VLOOKUP(U28,'G-3 Multipliers'!$L$3:$N$6,2,FALSE)))</f>
        <v/>
      </c>
      <c r="W28" s="524" t="str">
        <f>IF(U28="","",IF(VLOOKUP(U28,'G-3 Multipliers'!$L$3:$N$6,3,FALSE)=0,"Spatial Data Missing ⚠",VLOOKUP(U28,'G-3 Multipliers'!$L$3:$N$6,3,FALSE)))</f>
        <v/>
      </c>
      <c r="X28" s="498" t="str">
        <f>IFERROR(IF(OR(LEFT(O28,5)="Error ▲",LEFT(N28,5)="Error ▲",T28="Error ▲"),"Check Data ⚠",IF(F28&lt;R28,INDEX('G-6 Hedgerow Data'!$S$3:$AE$14,MATCH(C28,'G-6 Hedgerow Data'!$B$3:$B$14,0),MATCH(M28,'G-6 Hedgerow Data'!$S$2:$AE$2,0)),INDEX('G-6 Hedgerow Data'!$K$3:$Q$14,MATCH(M28,'G-6 Hedgerow Data'!$B$3:$B$14,0),MATCH(O28,'G-6 Hedgerow Data'!$K$2:$Q$2,0)))),"")</f>
        <v/>
      </c>
      <c r="Y28" s="195"/>
      <c r="Z28" s="195"/>
      <c r="AA28" s="507" t="str">
        <f t="shared" si="3"/>
        <v/>
      </c>
      <c r="AB28" s="521" t="str">
        <f t="shared" si="4"/>
        <v/>
      </c>
      <c r="AC28" s="522" t="str">
        <f t="shared" si="1"/>
        <v/>
      </c>
      <c r="AD28" s="537" t="str">
        <f>IF(M28="","",VLOOKUP(M28,'G-6 Hedgerow Data'!$B$3:$AG$15,31,FALSE))</f>
        <v/>
      </c>
      <c r="AE28" s="507" t="str">
        <f t="shared" si="5"/>
        <v/>
      </c>
      <c r="AF28" s="507" t="str">
        <f t="shared" si="6"/>
        <v/>
      </c>
      <c r="AG28" s="524" t="str">
        <f>IFERROR(IF(O28="","",VLOOKUP(AD28,'G-3 Multipliers'!$P$3:$Q$6,2,FALSE)),"")</f>
        <v/>
      </c>
      <c r="AH28" s="513" t="str">
        <f t="shared" si="7"/>
        <v/>
      </c>
      <c r="AI28" s="231"/>
      <c r="AJ28" s="150"/>
      <c r="AT28" s="31" t="str">
        <f>IFERROR(INDEX('G-6 Hedgerow Data'!$BJ$3:$BJ$15,MATCH(M28,'G-6 Hedgerow Data'!$B$3:$B$15,0)),"")</f>
        <v/>
      </c>
    </row>
    <row r="29" spans="2:46" ht="14" x14ac:dyDescent="0.3">
      <c r="B29" s="531" t="str">
        <f>'B-1 Site Hedge Baseline'!AK27</f>
        <v/>
      </c>
      <c r="C29" s="520" t="str">
        <f>IF(B29="","",IF(ISNA(VLOOKUP($B29,'B-1 Site Hedge Baseline'!$B$1:$L$257,3,FALSE)),"",(VLOOKUP($B29,'B-1 Site Hedge Baseline'!$B$1:$L$257,3,FALSE))))</f>
        <v/>
      </c>
      <c r="D29" s="520" t="str">
        <f>IF(B29="","",IF(ISNA(VLOOKUP($B29,'B-1 Site Hedge Baseline'!$B$1:$L$257,4,FALSE)),"",(VLOOKUP($B29,'B-1 Site Hedge Baseline'!$B$1:$L$257,4,FALSE))))</f>
        <v/>
      </c>
      <c r="E29" s="520" t="str">
        <f>IF(B29="","",IF(ISNA(VLOOKUP($B29,'B-1 Site Hedge Baseline'!$B$1:$L$257,5,FALSE)),"",(VLOOKUP($B29,'B-1 Site Hedge Baseline'!$B$1:$L$257,5,FALSE))))</f>
        <v/>
      </c>
      <c r="F29" s="520" t="str">
        <f>IF(B29="","",IF(ISNA(VLOOKUP($B29,'B-1 Site Hedge Baseline'!$B$1:$L$257,6,FALSE)),"",(VLOOKUP($B29,'B-1 Site Hedge Baseline'!$B$1:$L$257,6,FALSE))))</f>
        <v/>
      </c>
      <c r="G29" s="520" t="str">
        <f>IF(B29="","",IF(ISNA(VLOOKUP($B29,'B-1 Site Hedge Baseline'!$B$1:$L$257,7,FALSE)),"",(VLOOKUP($B29,'B-1 Site Hedge Baseline'!$B$1:$L$257,7,FALSE))))</f>
        <v/>
      </c>
      <c r="H29" s="520" t="str">
        <f>IF(B29="","",IF(ISNA(VLOOKUP($B29,'B-1 Site Hedge Baseline'!$B$1:$L$257,8,FALSE)),"",(VLOOKUP($B29,'B-1 Site Hedge Baseline'!$B$1:$L$257,8,FALSE))))</f>
        <v/>
      </c>
      <c r="I29" s="520" t="str">
        <f>IF(B29="","",IF(ISNA(VLOOKUP($B29,'B-1 Site Hedge Baseline'!$B$1:$L$257,10,FALSE)),"",(VLOOKUP($B29,'B-1 Site Hedge Baseline'!$B$1:$L$257,10,FALSE))))</f>
        <v/>
      </c>
      <c r="J29" s="520" t="str">
        <f>IF(B29="","",IF(ISNA(VLOOKUP($B29,'B-1 Site Hedge Baseline'!$B$1:$L$257,11,FALSE)),"",(VLOOKUP($B29,'B-1 Site Hedge Baseline'!$B$1:$L$257,11,FALSE))))</f>
        <v/>
      </c>
      <c r="K29" s="520" t="str">
        <f>IF(B29="","",IF(ISNA(VLOOKUP($B29,'B-1 Site Hedge Baseline'!$B$1:$U$257,13,FALSE)),"",(VLOOKUP($B29,'B-1 Site Hedge Baseline'!$B$1:$U$257,13,FALSE))))</f>
        <v/>
      </c>
      <c r="L29" s="524" t="str">
        <f>IF(B29="","",IF(ISNA(VLOOKUP($B29,'B-1 Site Hedge Baseline'!$B$1:$U$257,12,FALSE)),"",(VLOOKUP($B29,'B-1 Site Hedge Baseline'!$B$1:$U$257,12,FALSE))))</f>
        <v/>
      </c>
      <c r="M29" s="416" t="str">
        <f t="shared" si="0"/>
        <v/>
      </c>
      <c r="N29" s="498" t="str">
        <f>IFERROR(IF(B29="","",INDEX('G-6 Hedgerow Data'!$AN$3:$AZ$15,MATCH(C29,'G-6 Hedgerow Data'!$AM$3:$AM$15,0),MATCH(M29,'G-6 Hedgerow Data'!$AN$2:$AZ$2,0))),"")</f>
        <v/>
      </c>
      <c r="O29" s="499" t="str">
        <f t="shared" si="2"/>
        <v/>
      </c>
      <c r="P29" s="559" t="str">
        <f>IF(B29="","",VLOOKUP(B29,'B-1 Site Hedge Baseline'!$B$10:T274,16,FALSE))</f>
        <v/>
      </c>
      <c r="Q29" s="498" t="str">
        <f>IF(M29="","",VLOOKUP(M29,'G-6 Hedgerow Data'!$B$2:$AG$15,2,FALSE))</f>
        <v/>
      </c>
      <c r="R29" s="499" t="str">
        <f>IF(M29="","",VLOOKUP(M29,'G-6 Hedgerow Data'!$B$2:$AG$15,3,FALSE))</f>
        <v/>
      </c>
      <c r="S29" s="157"/>
      <c r="T29" s="540" t="str">
        <f>IFERROR(VLOOKUP(S29,'G-1 All Habitats'!$Z$2:$AA$9,2,FALSE),"")</f>
        <v/>
      </c>
      <c r="U29" s="154"/>
      <c r="V29" s="520" t="str">
        <f>IF(U29="","",IF(VLOOKUP(U29,'G-3 Multipliers'!$L$3:$N$6,2,FALSE)=0,"Spatial Data Missing ⚠",VLOOKUP(U29,'G-3 Multipliers'!$L$3:$N$6,2,FALSE)))</f>
        <v/>
      </c>
      <c r="W29" s="524" t="str">
        <f>IF(U29="","",IF(VLOOKUP(U29,'G-3 Multipliers'!$L$3:$N$6,3,FALSE)=0,"Spatial Data Missing ⚠",VLOOKUP(U29,'G-3 Multipliers'!$L$3:$N$6,3,FALSE)))</f>
        <v/>
      </c>
      <c r="X29" s="498" t="str">
        <f>IFERROR(IF(OR(LEFT(O29,5)="Error ▲",LEFT(N29,5)="Error ▲",T29="Error ▲"),"Check Data ⚠",IF(F29&lt;R29,INDEX('G-6 Hedgerow Data'!$S$3:$AE$14,MATCH(C29,'G-6 Hedgerow Data'!$B$3:$B$14,0),MATCH(M29,'G-6 Hedgerow Data'!$S$2:$AE$2,0)),INDEX('G-6 Hedgerow Data'!$K$3:$Q$14,MATCH(M29,'G-6 Hedgerow Data'!$B$3:$B$14,0),MATCH(O29,'G-6 Hedgerow Data'!$K$2:$Q$2,0)))),"")</f>
        <v/>
      </c>
      <c r="Y29" s="195"/>
      <c r="Z29" s="195"/>
      <c r="AA29" s="507" t="str">
        <f t="shared" si="3"/>
        <v/>
      </c>
      <c r="AB29" s="521" t="str">
        <f t="shared" si="4"/>
        <v/>
      </c>
      <c r="AC29" s="522" t="str">
        <f t="shared" si="1"/>
        <v/>
      </c>
      <c r="AD29" s="537" t="str">
        <f>IF(M29="","",VLOOKUP(M29,'G-6 Hedgerow Data'!$B$3:$AG$15,31,FALSE))</f>
        <v/>
      </c>
      <c r="AE29" s="507" t="str">
        <f t="shared" si="5"/>
        <v/>
      </c>
      <c r="AF29" s="507" t="str">
        <f t="shared" si="6"/>
        <v/>
      </c>
      <c r="AG29" s="524" t="str">
        <f>IFERROR(IF(O29="","",VLOOKUP(AD29,'G-3 Multipliers'!$P$3:$Q$6,2,FALSE)),"")</f>
        <v/>
      </c>
      <c r="AH29" s="513" t="str">
        <f t="shared" si="7"/>
        <v/>
      </c>
      <c r="AI29" s="231"/>
      <c r="AJ29" s="150"/>
      <c r="AT29" s="31" t="str">
        <f>IFERROR(INDEX('G-6 Hedgerow Data'!$BJ$3:$BJ$15,MATCH(M29,'G-6 Hedgerow Data'!$B$3:$B$15,0)),"")</f>
        <v/>
      </c>
    </row>
    <row r="30" spans="2:46" ht="14" x14ac:dyDescent="0.3">
      <c r="B30" s="531" t="str">
        <f>'B-1 Site Hedge Baseline'!AK28</f>
        <v/>
      </c>
      <c r="C30" s="520" t="str">
        <f>IF(B30="","",IF(ISNA(VLOOKUP($B30,'B-1 Site Hedge Baseline'!$B$1:$L$257,3,FALSE)),"",(VLOOKUP($B30,'B-1 Site Hedge Baseline'!$B$1:$L$257,3,FALSE))))</f>
        <v/>
      </c>
      <c r="D30" s="520" t="str">
        <f>IF(B30="","",IF(ISNA(VLOOKUP($B30,'B-1 Site Hedge Baseline'!$B$1:$L$257,4,FALSE)),"",(VLOOKUP($B30,'B-1 Site Hedge Baseline'!$B$1:$L$257,4,FALSE))))</f>
        <v/>
      </c>
      <c r="E30" s="520" t="str">
        <f>IF(B30="","",IF(ISNA(VLOOKUP($B30,'B-1 Site Hedge Baseline'!$B$1:$L$257,5,FALSE)),"",(VLOOKUP($B30,'B-1 Site Hedge Baseline'!$B$1:$L$257,5,FALSE))))</f>
        <v/>
      </c>
      <c r="F30" s="520" t="str">
        <f>IF(B30="","",IF(ISNA(VLOOKUP($B30,'B-1 Site Hedge Baseline'!$B$1:$L$257,6,FALSE)),"",(VLOOKUP($B30,'B-1 Site Hedge Baseline'!$B$1:$L$257,6,FALSE))))</f>
        <v/>
      </c>
      <c r="G30" s="520" t="str">
        <f>IF(B30="","",IF(ISNA(VLOOKUP($B30,'B-1 Site Hedge Baseline'!$B$1:$L$257,7,FALSE)),"",(VLOOKUP($B30,'B-1 Site Hedge Baseline'!$B$1:$L$257,7,FALSE))))</f>
        <v/>
      </c>
      <c r="H30" s="520" t="str">
        <f>IF(B30="","",IF(ISNA(VLOOKUP($B30,'B-1 Site Hedge Baseline'!$B$1:$L$257,8,FALSE)),"",(VLOOKUP($B30,'B-1 Site Hedge Baseline'!$B$1:$L$257,8,FALSE))))</f>
        <v/>
      </c>
      <c r="I30" s="520" t="str">
        <f>IF(B30="","",IF(ISNA(VLOOKUP($B30,'B-1 Site Hedge Baseline'!$B$1:$L$257,10,FALSE)),"",(VLOOKUP($B30,'B-1 Site Hedge Baseline'!$B$1:$L$257,10,FALSE))))</f>
        <v/>
      </c>
      <c r="J30" s="520" t="str">
        <f>IF(B30="","",IF(ISNA(VLOOKUP($B30,'B-1 Site Hedge Baseline'!$B$1:$L$257,11,FALSE)),"",(VLOOKUP($B30,'B-1 Site Hedge Baseline'!$B$1:$L$257,11,FALSE))))</f>
        <v/>
      </c>
      <c r="K30" s="520" t="str">
        <f>IF(B30="","",IF(ISNA(VLOOKUP($B30,'B-1 Site Hedge Baseline'!$B$1:$U$257,13,FALSE)),"",(VLOOKUP($B30,'B-1 Site Hedge Baseline'!$B$1:$U$257,13,FALSE))))</f>
        <v/>
      </c>
      <c r="L30" s="524" t="str">
        <f>IF(B30="","",IF(ISNA(VLOOKUP($B30,'B-1 Site Hedge Baseline'!$B$1:$U$257,12,FALSE)),"",(VLOOKUP($B30,'B-1 Site Hedge Baseline'!$B$1:$U$257,12,FALSE))))</f>
        <v/>
      </c>
      <c r="M30" s="416" t="str">
        <f t="shared" si="0"/>
        <v/>
      </c>
      <c r="N30" s="498" t="str">
        <f>IFERROR(IF(B30="","",INDEX('G-6 Hedgerow Data'!$AN$3:$AZ$15,MATCH(C30,'G-6 Hedgerow Data'!$AM$3:$AM$15,0),MATCH(M30,'G-6 Hedgerow Data'!$AN$2:$AZ$2,0))),"")</f>
        <v/>
      </c>
      <c r="O30" s="499" t="str">
        <f t="shared" si="2"/>
        <v/>
      </c>
      <c r="P30" s="559" t="str">
        <f>IF(B30="","",VLOOKUP(B30,'B-1 Site Hedge Baseline'!$B$10:T275,16,FALSE))</f>
        <v/>
      </c>
      <c r="Q30" s="498" t="str">
        <f>IF(M30="","",VLOOKUP(M30,'G-6 Hedgerow Data'!$B$2:$AG$15,2,FALSE))</f>
        <v/>
      </c>
      <c r="R30" s="499" t="str">
        <f>IF(M30="","",VLOOKUP(M30,'G-6 Hedgerow Data'!$B$2:$AG$15,3,FALSE))</f>
        <v/>
      </c>
      <c r="S30" s="157"/>
      <c r="T30" s="540" t="str">
        <f>IFERROR(VLOOKUP(S30,'G-1 All Habitats'!$Z$2:$AA$9,2,FALSE),"")</f>
        <v/>
      </c>
      <c r="U30" s="154"/>
      <c r="V30" s="520" t="str">
        <f>IF(U30="","",IF(VLOOKUP(U30,'G-3 Multipliers'!$L$3:$N$6,2,FALSE)=0,"Spatial Data Missing ⚠",VLOOKUP(U30,'G-3 Multipliers'!$L$3:$N$6,2,FALSE)))</f>
        <v/>
      </c>
      <c r="W30" s="524" t="str">
        <f>IF(U30="","",IF(VLOOKUP(U30,'G-3 Multipliers'!$L$3:$N$6,3,FALSE)=0,"Spatial Data Missing ⚠",VLOOKUP(U30,'G-3 Multipliers'!$L$3:$N$6,3,FALSE)))</f>
        <v/>
      </c>
      <c r="X30" s="498" t="str">
        <f>IFERROR(IF(OR(LEFT(O30,5)="Error ▲",LEFT(N30,5)="Error ▲",T30="Error ▲"),"Check Data ⚠",IF(F30&lt;R30,INDEX('G-6 Hedgerow Data'!$S$3:$AE$14,MATCH(C30,'G-6 Hedgerow Data'!$B$3:$B$14,0),MATCH(M30,'G-6 Hedgerow Data'!$S$2:$AE$2,0)),INDEX('G-6 Hedgerow Data'!$K$3:$Q$14,MATCH(M30,'G-6 Hedgerow Data'!$B$3:$B$14,0),MATCH(O30,'G-6 Hedgerow Data'!$K$2:$Q$2,0)))),"")</f>
        <v/>
      </c>
      <c r="Y30" s="195"/>
      <c r="Z30" s="195"/>
      <c r="AA30" s="507" t="str">
        <f t="shared" si="3"/>
        <v/>
      </c>
      <c r="AB30" s="521" t="str">
        <f t="shared" si="4"/>
        <v/>
      </c>
      <c r="AC30" s="522" t="str">
        <f t="shared" si="1"/>
        <v/>
      </c>
      <c r="AD30" s="537" t="str">
        <f>IF(M30="","",VLOOKUP(M30,'G-6 Hedgerow Data'!$B$3:$AG$15,31,FALSE))</f>
        <v/>
      </c>
      <c r="AE30" s="507" t="str">
        <f t="shared" si="5"/>
        <v/>
      </c>
      <c r="AF30" s="507" t="str">
        <f t="shared" si="6"/>
        <v/>
      </c>
      <c r="AG30" s="524" t="str">
        <f>IFERROR(IF(O30="","",VLOOKUP(AD30,'G-3 Multipliers'!$P$3:$Q$6,2,FALSE)),"")</f>
        <v/>
      </c>
      <c r="AH30" s="513" t="str">
        <f t="shared" si="7"/>
        <v/>
      </c>
      <c r="AI30" s="231"/>
      <c r="AJ30" s="150"/>
      <c r="AT30" s="31" t="str">
        <f>IFERROR(INDEX('G-6 Hedgerow Data'!$BJ$3:$BJ$15,MATCH(M30,'G-6 Hedgerow Data'!$B$3:$B$15,0)),"")</f>
        <v/>
      </c>
    </row>
    <row r="31" spans="2:46" ht="14" x14ac:dyDescent="0.3">
      <c r="B31" s="531" t="str">
        <f>'B-1 Site Hedge Baseline'!AK29</f>
        <v/>
      </c>
      <c r="C31" s="520" t="str">
        <f>IF(B31="","",IF(ISNA(VLOOKUP($B31,'B-1 Site Hedge Baseline'!$B$1:$L$257,3,FALSE)),"",(VLOOKUP($B31,'B-1 Site Hedge Baseline'!$B$1:$L$257,3,FALSE))))</f>
        <v/>
      </c>
      <c r="D31" s="520" t="str">
        <f>IF(B31="","",IF(ISNA(VLOOKUP($B31,'B-1 Site Hedge Baseline'!$B$1:$L$257,4,FALSE)),"",(VLOOKUP($B31,'B-1 Site Hedge Baseline'!$B$1:$L$257,4,FALSE))))</f>
        <v/>
      </c>
      <c r="E31" s="520" t="str">
        <f>IF(B31="","",IF(ISNA(VLOOKUP($B31,'B-1 Site Hedge Baseline'!$B$1:$L$257,5,FALSE)),"",(VLOOKUP($B31,'B-1 Site Hedge Baseline'!$B$1:$L$257,5,FALSE))))</f>
        <v/>
      </c>
      <c r="F31" s="520" t="str">
        <f>IF(B31="","",IF(ISNA(VLOOKUP($B31,'B-1 Site Hedge Baseline'!$B$1:$L$257,6,FALSE)),"",(VLOOKUP($B31,'B-1 Site Hedge Baseline'!$B$1:$L$257,6,FALSE))))</f>
        <v/>
      </c>
      <c r="G31" s="520" t="str">
        <f>IF(B31="","",IF(ISNA(VLOOKUP($B31,'B-1 Site Hedge Baseline'!$B$1:$L$257,7,FALSE)),"",(VLOOKUP($B31,'B-1 Site Hedge Baseline'!$B$1:$L$257,7,FALSE))))</f>
        <v/>
      </c>
      <c r="H31" s="520" t="str">
        <f>IF(B31="","",IF(ISNA(VLOOKUP($B31,'B-1 Site Hedge Baseline'!$B$1:$L$257,8,FALSE)),"",(VLOOKUP($B31,'B-1 Site Hedge Baseline'!$B$1:$L$257,8,FALSE))))</f>
        <v/>
      </c>
      <c r="I31" s="520" t="str">
        <f>IF(B31="","",IF(ISNA(VLOOKUP($B31,'B-1 Site Hedge Baseline'!$B$1:$L$257,10,FALSE)),"",(VLOOKUP($B31,'B-1 Site Hedge Baseline'!$B$1:$L$257,10,FALSE))))</f>
        <v/>
      </c>
      <c r="J31" s="520" t="str">
        <f>IF(B31="","",IF(ISNA(VLOOKUP($B31,'B-1 Site Hedge Baseline'!$B$1:$L$257,11,FALSE)),"",(VLOOKUP($B31,'B-1 Site Hedge Baseline'!$B$1:$L$257,11,FALSE))))</f>
        <v/>
      </c>
      <c r="K31" s="520" t="str">
        <f>IF(B31="","",IF(ISNA(VLOOKUP($B31,'B-1 Site Hedge Baseline'!$B$1:$U$257,13,FALSE)),"",(VLOOKUP($B31,'B-1 Site Hedge Baseline'!$B$1:$U$257,13,FALSE))))</f>
        <v/>
      </c>
      <c r="L31" s="524" t="str">
        <f>IF(B31="","",IF(ISNA(VLOOKUP($B31,'B-1 Site Hedge Baseline'!$B$1:$U$257,12,FALSE)),"",(VLOOKUP($B31,'B-1 Site Hedge Baseline'!$B$1:$U$257,12,FALSE))))</f>
        <v/>
      </c>
      <c r="M31" s="416" t="str">
        <f t="shared" si="0"/>
        <v/>
      </c>
      <c r="N31" s="498" t="str">
        <f>IFERROR(IF(B31="","",INDEX('G-6 Hedgerow Data'!$AN$3:$AZ$15,MATCH(C31,'G-6 Hedgerow Data'!$AM$3:$AM$15,0),MATCH(M31,'G-6 Hedgerow Data'!$AN$2:$AZ$2,0))),"")</f>
        <v/>
      </c>
      <c r="O31" s="499" t="str">
        <f t="shared" si="2"/>
        <v/>
      </c>
      <c r="P31" s="559" t="str">
        <f>IF(B31="","",VLOOKUP(B31,'B-1 Site Hedge Baseline'!$B$10:T276,16,FALSE))</f>
        <v/>
      </c>
      <c r="Q31" s="498" t="str">
        <f>IF(M31="","",VLOOKUP(M31,'G-6 Hedgerow Data'!$B$2:$AG$15,2,FALSE))</f>
        <v/>
      </c>
      <c r="R31" s="499" t="str">
        <f>IF(M31="","",VLOOKUP(M31,'G-6 Hedgerow Data'!$B$2:$AG$15,3,FALSE))</f>
        <v/>
      </c>
      <c r="S31" s="157"/>
      <c r="T31" s="540" t="str">
        <f>IFERROR(VLOOKUP(S31,'G-1 All Habitats'!$Z$2:$AA$9,2,FALSE),"")</f>
        <v/>
      </c>
      <c r="U31" s="154"/>
      <c r="V31" s="520" t="str">
        <f>IF(U31="","",IF(VLOOKUP(U31,'G-3 Multipliers'!$L$3:$N$6,2,FALSE)=0,"Spatial Data Missing ⚠",VLOOKUP(U31,'G-3 Multipliers'!$L$3:$N$6,2,FALSE)))</f>
        <v/>
      </c>
      <c r="W31" s="524" t="str">
        <f>IF(U31="","",IF(VLOOKUP(U31,'G-3 Multipliers'!$L$3:$N$6,3,FALSE)=0,"Spatial Data Missing ⚠",VLOOKUP(U31,'G-3 Multipliers'!$L$3:$N$6,3,FALSE)))</f>
        <v/>
      </c>
      <c r="X31" s="498" t="str">
        <f>IFERROR(IF(OR(LEFT(O31,5)="Error ▲",LEFT(N31,5)="Error ▲",T31="Error ▲"),"Check Data ⚠",IF(F31&lt;R31,INDEX('G-6 Hedgerow Data'!$S$3:$AE$14,MATCH(C31,'G-6 Hedgerow Data'!$B$3:$B$14,0),MATCH(M31,'G-6 Hedgerow Data'!$S$2:$AE$2,0)),INDEX('G-6 Hedgerow Data'!$K$3:$Q$14,MATCH(M31,'G-6 Hedgerow Data'!$B$3:$B$14,0),MATCH(O31,'G-6 Hedgerow Data'!$K$2:$Q$2,0)))),"")</f>
        <v/>
      </c>
      <c r="Y31" s="195"/>
      <c r="Z31" s="195"/>
      <c r="AA31" s="507" t="str">
        <f t="shared" si="3"/>
        <v/>
      </c>
      <c r="AB31" s="521" t="str">
        <f t="shared" si="4"/>
        <v/>
      </c>
      <c r="AC31" s="522" t="str">
        <f t="shared" si="1"/>
        <v/>
      </c>
      <c r="AD31" s="537" t="str">
        <f>IF(M31="","",VLOOKUP(M31,'G-6 Hedgerow Data'!$B$3:$AG$15,31,FALSE))</f>
        <v/>
      </c>
      <c r="AE31" s="507" t="str">
        <f t="shared" si="5"/>
        <v/>
      </c>
      <c r="AF31" s="507" t="str">
        <f t="shared" si="6"/>
        <v/>
      </c>
      <c r="AG31" s="524" t="str">
        <f>IFERROR(IF(O31="","",VLOOKUP(AD31,'G-3 Multipliers'!$P$3:$Q$6,2,FALSE)),"")</f>
        <v/>
      </c>
      <c r="AH31" s="513" t="str">
        <f t="shared" si="7"/>
        <v/>
      </c>
      <c r="AI31" s="231"/>
      <c r="AJ31" s="150"/>
      <c r="AT31" s="31" t="str">
        <f>IFERROR(INDEX('G-6 Hedgerow Data'!$BJ$3:$BJ$15,MATCH(M31,'G-6 Hedgerow Data'!$B$3:$B$15,0)),"")</f>
        <v/>
      </c>
    </row>
    <row r="32" spans="2:46" ht="14" x14ac:dyDescent="0.3">
      <c r="B32" s="531" t="str">
        <f>'B-1 Site Hedge Baseline'!AK30</f>
        <v/>
      </c>
      <c r="C32" s="520" t="str">
        <f>IF(B32="","",IF(ISNA(VLOOKUP($B32,'B-1 Site Hedge Baseline'!$B$1:$L$257,3,FALSE)),"",(VLOOKUP($B32,'B-1 Site Hedge Baseline'!$B$1:$L$257,3,FALSE))))</f>
        <v/>
      </c>
      <c r="D32" s="520" t="str">
        <f>IF(B32="","",IF(ISNA(VLOOKUP($B32,'B-1 Site Hedge Baseline'!$B$1:$L$257,4,FALSE)),"",(VLOOKUP($B32,'B-1 Site Hedge Baseline'!$B$1:$L$257,4,FALSE))))</f>
        <v/>
      </c>
      <c r="E32" s="520" t="str">
        <f>IF(B32="","",IF(ISNA(VLOOKUP($B32,'B-1 Site Hedge Baseline'!$B$1:$L$257,5,FALSE)),"",(VLOOKUP($B32,'B-1 Site Hedge Baseline'!$B$1:$L$257,5,FALSE))))</f>
        <v/>
      </c>
      <c r="F32" s="520" t="str">
        <f>IF(B32="","",IF(ISNA(VLOOKUP($B32,'B-1 Site Hedge Baseline'!$B$1:$L$257,6,FALSE)),"",(VLOOKUP($B32,'B-1 Site Hedge Baseline'!$B$1:$L$257,6,FALSE))))</f>
        <v/>
      </c>
      <c r="G32" s="520" t="str">
        <f>IF(B32="","",IF(ISNA(VLOOKUP($B32,'B-1 Site Hedge Baseline'!$B$1:$L$257,7,FALSE)),"",(VLOOKUP($B32,'B-1 Site Hedge Baseline'!$B$1:$L$257,7,FALSE))))</f>
        <v/>
      </c>
      <c r="H32" s="520" t="str">
        <f>IF(B32="","",IF(ISNA(VLOOKUP($B32,'B-1 Site Hedge Baseline'!$B$1:$L$257,8,FALSE)),"",(VLOOKUP($B32,'B-1 Site Hedge Baseline'!$B$1:$L$257,8,FALSE))))</f>
        <v/>
      </c>
      <c r="I32" s="520" t="str">
        <f>IF(B32="","",IF(ISNA(VLOOKUP($B32,'B-1 Site Hedge Baseline'!$B$1:$L$257,10,FALSE)),"",(VLOOKUP($B32,'B-1 Site Hedge Baseline'!$B$1:$L$257,10,FALSE))))</f>
        <v/>
      </c>
      <c r="J32" s="520" t="str">
        <f>IF(B32="","",IF(ISNA(VLOOKUP($B32,'B-1 Site Hedge Baseline'!$B$1:$L$257,11,FALSE)),"",(VLOOKUP($B32,'B-1 Site Hedge Baseline'!$B$1:$L$257,11,FALSE))))</f>
        <v/>
      </c>
      <c r="K32" s="520" t="str">
        <f>IF(B32="","",IF(ISNA(VLOOKUP($B32,'B-1 Site Hedge Baseline'!$B$1:$U$257,13,FALSE)),"",(VLOOKUP($B32,'B-1 Site Hedge Baseline'!$B$1:$U$257,13,FALSE))))</f>
        <v/>
      </c>
      <c r="L32" s="524" t="str">
        <f>IF(B32="","",IF(ISNA(VLOOKUP($B32,'B-1 Site Hedge Baseline'!$B$1:$U$257,12,FALSE)),"",(VLOOKUP($B32,'B-1 Site Hedge Baseline'!$B$1:$U$257,12,FALSE))))</f>
        <v/>
      </c>
      <c r="M32" s="416" t="str">
        <f t="shared" si="0"/>
        <v/>
      </c>
      <c r="N32" s="498" t="str">
        <f>IFERROR(IF(B32="","",INDEX('G-6 Hedgerow Data'!$AN$3:$AZ$15,MATCH(C32,'G-6 Hedgerow Data'!$AM$3:$AM$15,0),MATCH(M32,'G-6 Hedgerow Data'!$AN$2:$AZ$2,0))),"")</f>
        <v/>
      </c>
      <c r="O32" s="499" t="str">
        <f t="shared" si="2"/>
        <v/>
      </c>
      <c r="P32" s="559" t="str">
        <f>IF(B32="","",VLOOKUP(B32,'B-1 Site Hedge Baseline'!$B$10:T277,16,FALSE))</f>
        <v/>
      </c>
      <c r="Q32" s="498" t="str">
        <f>IF(M32="","",VLOOKUP(M32,'G-6 Hedgerow Data'!$B$2:$AG$15,2,FALSE))</f>
        <v/>
      </c>
      <c r="R32" s="499" t="str">
        <f>IF(M32="","",VLOOKUP(M32,'G-6 Hedgerow Data'!$B$2:$AG$15,3,FALSE))</f>
        <v/>
      </c>
      <c r="S32" s="157"/>
      <c r="T32" s="540" t="str">
        <f>IFERROR(VLOOKUP(S32,'G-1 All Habitats'!$Z$2:$AA$9,2,FALSE),"")</f>
        <v/>
      </c>
      <c r="U32" s="154"/>
      <c r="V32" s="520" t="str">
        <f>IF(U32="","",IF(VLOOKUP(U32,'G-3 Multipliers'!$L$3:$N$6,2,FALSE)=0,"Spatial Data Missing ⚠",VLOOKUP(U32,'G-3 Multipliers'!$L$3:$N$6,2,FALSE)))</f>
        <v/>
      </c>
      <c r="W32" s="524" t="str">
        <f>IF(U32="","",IF(VLOOKUP(U32,'G-3 Multipliers'!$L$3:$N$6,3,FALSE)=0,"Spatial Data Missing ⚠",VLOOKUP(U32,'G-3 Multipliers'!$L$3:$N$6,3,FALSE)))</f>
        <v/>
      </c>
      <c r="X32" s="498" t="str">
        <f>IFERROR(IF(OR(LEFT(O32,5)="Error ▲",LEFT(N32,5)="Error ▲",T32="Error ▲"),"Check Data ⚠",IF(F32&lt;R32,INDEX('G-6 Hedgerow Data'!$S$3:$AE$14,MATCH(C32,'G-6 Hedgerow Data'!$B$3:$B$14,0),MATCH(M32,'G-6 Hedgerow Data'!$S$2:$AE$2,0)),INDEX('G-6 Hedgerow Data'!$K$3:$Q$14,MATCH(M32,'G-6 Hedgerow Data'!$B$3:$B$14,0),MATCH(O32,'G-6 Hedgerow Data'!$K$2:$Q$2,0)))),"")</f>
        <v/>
      </c>
      <c r="Y32" s="195"/>
      <c r="Z32" s="195"/>
      <c r="AA32" s="507" t="str">
        <f t="shared" si="3"/>
        <v/>
      </c>
      <c r="AB32" s="521" t="str">
        <f t="shared" si="4"/>
        <v/>
      </c>
      <c r="AC32" s="522" t="str">
        <f t="shared" si="1"/>
        <v/>
      </c>
      <c r="AD32" s="537" t="str">
        <f>IF(M32="","",VLOOKUP(M32,'G-6 Hedgerow Data'!$B$3:$AG$15,31,FALSE))</f>
        <v/>
      </c>
      <c r="AE32" s="507" t="str">
        <f t="shared" si="5"/>
        <v/>
      </c>
      <c r="AF32" s="507" t="str">
        <f t="shared" si="6"/>
        <v/>
      </c>
      <c r="AG32" s="524" t="str">
        <f>IFERROR(IF(O32="","",VLOOKUP(AD32,'G-3 Multipliers'!$P$3:$Q$6,2,FALSE)),"")</f>
        <v/>
      </c>
      <c r="AH32" s="513" t="str">
        <f t="shared" si="7"/>
        <v/>
      </c>
      <c r="AI32" s="231"/>
      <c r="AJ32" s="150"/>
      <c r="AT32" s="31" t="str">
        <f>IFERROR(INDEX('G-6 Hedgerow Data'!$BJ$3:$BJ$15,MATCH(M32,'G-6 Hedgerow Data'!$B$3:$B$15,0)),"")</f>
        <v/>
      </c>
    </row>
    <row r="33" spans="2:46" ht="14" x14ac:dyDescent="0.3">
      <c r="B33" s="531" t="str">
        <f>'B-1 Site Hedge Baseline'!AK31</f>
        <v/>
      </c>
      <c r="C33" s="520" t="str">
        <f>IF(B33="","",IF(ISNA(VLOOKUP($B33,'B-1 Site Hedge Baseline'!$B$1:$L$257,3,FALSE)),"",(VLOOKUP($B33,'B-1 Site Hedge Baseline'!$B$1:$L$257,3,FALSE))))</f>
        <v/>
      </c>
      <c r="D33" s="520" t="str">
        <f>IF(B33="","",IF(ISNA(VLOOKUP($B33,'B-1 Site Hedge Baseline'!$B$1:$L$257,4,FALSE)),"",(VLOOKUP($B33,'B-1 Site Hedge Baseline'!$B$1:$L$257,4,FALSE))))</f>
        <v/>
      </c>
      <c r="E33" s="520" t="str">
        <f>IF(B33="","",IF(ISNA(VLOOKUP($B33,'B-1 Site Hedge Baseline'!$B$1:$L$257,5,FALSE)),"",(VLOOKUP($B33,'B-1 Site Hedge Baseline'!$B$1:$L$257,5,FALSE))))</f>
        <v/>
      </c>
      <c r="F33" s="520" t="str">
        <f>IF(B33="","",IF(ISNA(VLOOKUP($B33,'B-1 Site Hedge Baseline'!$B$1:$L$257,6,FALSE)),"",(VLOOKUP($B33,'B-1 Site Hedge Baseline'!$B$1:$L$257,6,FALSE))))</f>
        <v/>
      </c>
      <c r="G33" s="520" t="str">
        <f>IF(B33="","",IF(ISNA(VLOOKUP($B33,'B-1 Site Hedge Baseline'!$B$1:$L$257,7,FALSE)),"",(VLOOKUP($B33,'B-1 Site Hedge Baseline'!$B$1:$L$257,7,FALSE))))</f>
        <v/>
      </c>
      <c r="H33" s="520" t="str">
        <f>IF(B33="","",IF(ISNA(VLOOKUP($B33,'B-1 Site Hedge Baseline'!$B$1:$L$257,8,FALSE)),"",(VLOOKUP($B33,'B-1 Site Hedge Baseline'!$B$1:$L$257,8,FALSE))))</f>
        <v/>
      </c>
      <c r="I33" s="520" t="str">
        <f>IF(B33="","",IF(ISNA(VLOOKUP($B33,'B-1 Site Hedge Baseline'!$B$1:$L$257,10,FALSE)),"",(VLOOKUP($B33,'B-1 Site Hedge Baseline'!$B$1:$L$257,10,FALSE))))</f>
        <v/>
      </c>
      <c r="J33" s="520" t="str">
        <f>IF(B33="","",IF(ISNA(VLOOKUP($B33,'B-1 Site Hedge Baseline'!$B$1:$L$257,11,FALSE)),"",(VLOOKUP($B33,'B-1 Site Hedge Baseline'!$B$1:$L$257,11,FALSE))))</f>
        <v/>
      </c>
      <c r="K33" s="520" t="str">
        <f>IF(B33="","",IF(ISNA(VLOOKUP($B33,'B-1 Site Hedge Baseline'!$B$1:$U$257,13,FALSE)),"",(VLOOKUP($B33,'B-1 Site Hedge Baseline'!$B$1:$U$257,13,FALSE))))</f>
        <v/>
      </c>
      <c r="L33" s="524" t="str">
        <f>IF(B33="","",IF(ISNA(VLOOKUP($B33,'B-1 Site Hedge Baseline'!$B$1:$U$257,12,FALSE)),"",(VLOOKUP($B33,'B-1 Site Hedge Baseline'!$B$1:$U$257,12,FALSE))))</f>
        <v/>
      </c>
      <c r="M33" s="416" t="str">
        <f t="shared" si="0"/>
        <v/>
      </c>
      <c r="N33" s="498" t="str">
        <f>IFERROR(IF(B33="","",INDEX('G-6 Hedgerow Data'!$AN$3:$AZ$15,MATCH(C33,'G-6 Hedgerow Data'!$AM$3:$AM$15,0),MATCH(M33,'G-6 Hedgerow Data'!$AN$2:$AZ$2,0))),"")</f>
        <v/>
      </c>
      <c r="O33" s="499" t="str">
        <f t="shared" si="2"/>
        <v/>
      </c>
      <c r="P33" s="559" t="str">
        <f>IF(B33="","",VLOOKUP(B33,'B-1 Site Hedge Baseline'!$B$10:T278,16,FALSE))</f>
        <v/>
      </c>
      <c r="Q33" s="498" t="str">
        <f>IF(M33="","",VLOOKUP(M33,'G-6 Hedgerow Data'!$B$2:$AG$15,2,FALSE))</f>
        <v/>
      </c>
      <c r="R33" s="499" t="str">
        <f>IF(M33="","",VLOOKUP(M33,'G-6 Hedgerow Data'!$B$2:$AG$15,3,FALSE))</f>
        <v/>
      </c>
      <c r="S33" s="157"/>
      <c r="T33" s="540" t="str">
        <f>IFERROR(VLOOKUP(S33,'G-1 All Habitats'!$Z$2:$AA$9,2,FALSE),"")</f>
        <v/>
      </c>
      <c r="U33" s="154"/>
      <c r="V33" s="520" t="str">
        <f>IF(U33="","",IF(VLOOKUP(U33,'G-3 Multipliers'!$L$3:$N$6,2,FALSE)=0,"Spatial Data Missing ⚠",VLOOKUP(U33,'G-3 Multipliers'!$L$3:$N$6,2,FALSE)))</f>
        <v/>
      </c>
      <c r="W33" s="524" t="str">
        <f>IF(U33="","",IF(VLOOKUP(U33,'G-3 Multipliers'!$L$3:$N$6,3,FALSE)=0,"Spatial Data Missing ⚠",VLOOKUP(U33,'G-3 Multipliers'!$L$3:$N$6,3,FALSE)))</f>
        <v/>
      </c>
      <c r="X33" s="498" t="str">
        <f>IFERROR(IF(OR(LEFT(O33,5)="Error ▲",LEFT(N33,5)="Error ▲",T33="Error ▲"),"Check Data ⚠",IF(F33&lt;R33,INDEX('G-6 Hedgerow Data'!$S$3:$AE$14,MATCH(C33,'G-6 Hedgerow Data'!$B$3:$B$14,0),MATCH(M33,'G-6 Hedgerow Data'!$S$2:$AE$2,0)),INDEX('G-6 Hedgerow Data'!$K$3:$Q$14,MATCH(M33,'G-6 Hedgerow Data'!$B$3:$B$14,0),MATCH(O33,'G-6 Hedgerow Data'!$K$2:$Q$2,0)))),"")</f>
        <v/>
      </c>
      <c r="Y33" s="195"/>
      <c r="Z33" s="195"/>
      <c r="AA33" s="507" t="str">
        <f t="shared" si="3"/>
        <v/>
      </c>
      <c r="AB33" s="521" t="str">
        <f t="shared" si="4"/>
        <v/>
      </c>
      <c r="AC33" s="522" t="str">
        <f t="shared" si="1"/>
        <v/>
      </c>
      <c r="AD33" s="537" t="str">
        <f>IF(M33="","",VLOOKUP(M33,'G-6 Hedgerow Data'!$B$3:$AG$15,31,FALSE))</f>
        <v/>
      </c>
      <c r="AE33" s="507" t="str">
        <f t="shared" si="5"/>
        <v/>
      </c>
      <c r="AF33" s="507" t="str">
        <f t="shared" si="6"/>
        <v/>
      </c>
      <c r="AG33" s="524" t="str">
        <f>IFERROR(IF(O33="","",VLOOKUP(AD33,'G-3 Multipliers'!$P$3:$Q$6,2,FALSE)),"")</f>
        <v/>
      </c>
      <c r="AH33" s="513" t="str">
        <f t="shared" si="7"/>
        <v/>
      </c>
      <c r="AI33" s="231"/>
      <c r="AJ33" s="150"/>
      <c r="AT33" s="31" t="str">
        <f>IFERROR(INDEX('G-6 Hedgerow Data'!$BJ$3:$BJ$15,MATCH(M33,'G-6 Hedgerow Data'!$B$3:$B$15,0)),"")</f>
        <v/>
      </c>
    </row>
    <row r="34" spans="2:46" ht="14" x14ac:dyDescent="0.3">
      <c r="B34" s="531" t="str">
        <f>'B-1 Site Hedge Baseline'!AK32</f>
        <v/>
      </c>
      <c r="C34" s="520" t="str">
        <f>IF(B34="","",IF(ISNA(VLOOKUP($B34,'B-1 Site Hedge Baseline'!$B$1:$L$257,3,FALSE)),"",(VLOOKUP($B34,'B-1 Site Hedge Baseline'!$B$1:$L$257,3,FALSE))))</f>
        <v/>
      </c>
      <c r="D34" s="520" t="str">
        <f>IF(B34="","",IF(ISNA(VLOOKUP($B34,'B-1 Site Hedge Baseline'!$B$1:$L$257,4,FALSE)),"",(VLOOKUP($B34,'B-1 Site Hedge Baseline'!$B$1:$L$257,4,FALSE))))</f>
        <v/>
      </c>
      <c r="E34" s="520" t="str">
        <f>IF(B34="","",IF(ISNA(VLOOKUP($B34,'B-1 Site Hedge Baseline'!$B$1:$L$257,5,FALSE)),"",(VLOOKUP($B34,'B-1 Site Hedge Baseline'!$B$1:$L$257,5,FALSE))))</f>
        <v/>
      </c>
      <c r="F34" s="520" t="str">
        <f>IF(B34="","",IF(ISNA(VLOOKUP($B34,'B-1 Site Hedge Baseline'!$B$1:$L$257,6,FALSE)),"",(VLOOKUP($B34,'B-1 Site Hedge Baseline'!$B$1:$L$257,6,FALSE))))</f>
        <v/>
      </c>
      <c r="G34" s="520" t="str">
        <f>IF(B34="","",IF(ISNA(VLOOKUP($B34,'B-1 Site Hedge Baseline'!$B$1:$L$257,7,FALSE)),"",(VLOOKUP($B34,'B-1 Site Hedge Baseline'!$B$1:$L$257,7,FALSE))))</f>
        <v/>
      </c>
      <c r="H34" s="520" t="str">
        <f>IF(B34="","",IF(ISNA(VLOOKUP($B34,'B-1 Site Hedge Baseline'!$B$1:$L$257,8,FALSE)),"",(VLOOKUP($B34,'B-1 Site Hedge Baseline'!$B$1:$L$257,8,FALSE))))</f>
        <v/>
      </c>
      <c r="I34" s="520" t="str">
        <f>IF(B34="","",IF(ISNA(VLOOKUP($B34,'B-1 Site Hedge Baseline'!$B$1:$L$257,10,FALSE)),"",(VLOOKUP($B34,'B-1 Site Hedge Baseline'!$B$1:$L$257,10,FALSE))))</f>
        <v/>
      </c>
      <c r="J34" s="520" t="str">
        <f>IF(B34="","",IF(ISNA(VLOOKUP($B34,'B-1 Site Hedge Baseline'!$B$1:$L$257,11,FALSE)),"",(VLOOKUP($B34,'B-1 Site Hedge Baseline'!$B$1:$L$257,11,FALSE))))</f>
        <v/>
      </c>
      <c r="K34" s="520" t="str">
        <f>IF(B34="","",IF(ISNA(VLOOKUP($B34,'B-1 Site Hedge Baseline'!$B$1:$U$257,13,FALSE)),"",(VLOOKUP($B34,'B-1 Site Hedge Baseline'!$B$1:$U$257,13,FALSE))))</f>
        <v/>
      </c>
      <c r="L34" s="524" t="str">
        <f>IF(B34="","",IF(ISNA(VLOOKUP($B34,'B-1 Site Hedge Baseline'!$B$1:$U$257,12,FALSE)),"",(VLOOKUP($B34,'B-1 Site Hedge Baseline'!$B$1:$U$257,12,FALSE))))</f>
        <v/>
      </c>
      <c r="M34" s="416" t="str">
        <f t="shared" si="0"/>
        <v/>
      </c>
      <c r="N34" s="498" t="str">
        <f>IFERROR(IF(B34="","",INDEX('G-6 Hedgerow Data'!$AN$3:$AZ$15,MATCH(C34,'G-6 Hedgerow Data'!$AM$3:$AM$15,0),MATCH(M34,'G-6 Hedgerow Data'!$AN$2:$AZ$2,0))),"")</f>
        <v/>
      </c>
      <c r="O34" s="499" t="str">
        <f t="shared" si="2"/>
        <v/>
      </c>
      <c r="P34" s="559" t="str">
        <f>IF(B34="","",VLOOKUP(B34,'B-1 Site Hedge Baseline'!$B$10:T279,16,FALSE))</f>
        <v/>
      </c>
      <c r="Q34" s="498" t="str">
        <f>IF(M34="","",VLOOKUP(M34,'G-6 Hedgerow Data'!$B$2:$AG$15,2,FALSE))</f>
        <v/>
      </c>
      <c r="R34" s="499" t="str">
        <f>IF(M34="","",VLOOKUP(M34,'G-6 Hedgerow Data'!$B$2:$AG$15,3,FALSE))</f>
        <v/>
      </c>
      <c r="S34" s="157"/>
      <c r="T34" s="540" t="str">
        <f>IFERROR(VLOOKUP(S34,'G-1 All Habitats'!$Z$2:$AA$9,2,FALSE),"")</f>
        <v/>
      </c>
      <c r="U34" s="154"/>
      <c r="V34" s="520" t="str">
        <f>IF(U34="","",IF(VLOOKUP(U34,'G-3 Multipliers'!$L$3:$N$6,2,FALSE)=0,"Spatial Data Missing ⚠",VLOOKUP(U34,'G-3 Multipliers'!$L$3:$N$6,2,FALSE)))</f>
        <v/>
      </c>
      <c r="W34" s="524" t="str">
        <f>IF(U34="","",IF(VLOOKUP(U34,'G-3 Multipliers'!$L$3:$N$6,3,FALSE)=0,"Spatial Data Missing ⚠",VLOOKUP(U34,'G-3 Multipliers'!$L$3:$N$6,3,FALSE)))</f>
        <v/>
      </c>
      <c r="X34" s="498" t="str">
        <f>IFERROR(IF(OR(LEFT(O34,5)="Error ▲",LEFT(N34,5)="Error ▲",T34="Error ▲"),"Check Data ⚠",IF(F34&lt;R34,INDEX('G-6 Hedgerow Data'!$S$3:$AE$14,MATCH(C34,'G-6 Hedgerow Data'!$B$3:$B$14,0),MATCH(M34,'G-6 Hedgerow Data'!$S$2:$AE$2,0)),INDEX('G-6 Hedgerow Data'!$K$3:$Q$14,MATCH(M34,'G-6 Hedgerow Data'!$B$3:$B$14,0),MATCH(O34,'G-6 Hedgerow Data'!$K$2:$Q$2,0)))),"")</f>
        <v/>
      </c>
      <c r="Y34" s="195"/>
      <c r="Z34" s="195"/>
      <c r="AA34" s="507" t="str">
        <f t="shared" si="3"/>
        <v/>
      </c>
      <c r="AB34" s="521" t="str">
        <f t="shared" si="4"/>
        <v/>
      </c>
      <c r="AC34" s="522" t="str">
        <f t="shared" si="1"/>
        <v/>
      </c>
      <c r="AD34" s="537" t="str">
        <f>IF(M34="","",VLOOKUP(M34,'G-6 Hedgerow Data'!$B$3:$AG$15,31,FALSE))</f>
        <v/>
      </c>
      <c r="AE34" s="507" t="str">
        <f t="shared" si="5"/>
        <v/>
      </c>
      <c r="AF34" s="507" t="str">
        <f t="shared" si="6"/>
        <v/>
      </c>
      <c r="AG34" s="524" t="str">
        <f>IFERROR(IF(O34="","",VLOOKUP(AD34,'G-3 Multipliers'!$P$3:$Q$6,2,FALSE)),"")</f>
        <v/>
      </c>
      <c r="AH34" s="513" t="str">
        <f t="shared" si="7"/>
        <v/>
      </c>
      <c r="AI34" s="231"/>
      <c r="AJ34" s="150"/>
      <c r="AT34" s="31" t="str">
        <f>IFERROR(INDEX('G-6 Hedgerow Data'!$BJ$3:$BJ$15,MATCH(M34,'G-6 Hedgerow Data'!$B$3:$B$15,0)),"")</f>
        <v/>
      </c>
    </row>
    <row r="35" spans="2:46" ht="14" x14ac:dyDescent="0.3">
      <c r="B35" s="531" t="str">
        <f>'B-1 Site Hedge Baseline'!AK33</f>
        <v/>
      </c>
      <c r="C35" s="520" t="str">
        <f>IF(B35="","",IF(ISNA(VLOOKUP($B35,'B-1 Site Hedge Baseline'!$B$1:$L$257,3,FALSE)),"",(VLOOKUP($B35,'B-1 Site Hedge Baseline'!$B$1:$L$257,3,FALSE))))</f>
        <v/>
      </c>
      <c r="D35" s="520" t="str">
        <f>IF(B35="","",IF(ISNA(VLOOKUP($B35,'B-1 Site Hedge Baseline'!$B$1:$L$257,4,FALSE)),"",(VLOOKUP($B35,'B-1 Site Hedge Baseline'!$B$1:$L$257,4,FALSE))))</f>
        <v/>
      </c>
      <c r="E35" s="520" t="str">
        <f>IF(B35="","",IF(ISNA(VLOOKUP($B35,'B-1 Site Hedge Baseline'!$B$1:$L$257,5,FALSE)),"",(VLOOKUP($B35,'B-1 Site Hedge Baseline'!$B$1:$L$257,5,FALSE))))</f>
        <v/>
      </c>
      <c r="F35" s="520" t="str">
        <f>IF(B35="","",IF(ISNA(VLOOKUP($B35,'B-1 Site Hedge Baseline'!$B$1:$L$257,6,FALSE)),"",(VLOOKUP($B35,'B-1 Site Hedge Baseline'!$B$1:$L$257,6,FALSE))))</f>
        <v/>
      </c>
      <c r="G35" s="520" t="str">
        <f>IF(B35="","",IF(ISNA(VLOOKUP($B35,'B-1 Site Hedge Baseline'!$B$1:$L$257,7,FALSE)),"",(VLOOKUP($B35,'B-1 Site Hedge Baseline'!$B$1:$L$257,7,FALSE))))</f>
        <v/>
      </c>
      <c r="H35" s="520" t="str">
        <f>IF(B35="","",IF(ISNA(VLOOKUP($B35,'B-1 Site Hedge Baseline'!$B$1:$L$257,8,FALSE)),"",(VLOOKUP($B35,'B-1 Site Hedge Baseline'!$B$1:$L$257,8,FALSE))))</f>
        <v/>
      </c>
      <c r="I35" s="520" t="str">
        <f>IF(B35="","",IF(ISNA(VLOOKUP($B35,'B-1 Site Hedge Baseline'!$B$1:$L$257,10,FALSE)),"",(VLOOKUP($B35,'B-1 Site Hedge Baseline'!$B$1:$L$257,10,FALSE))))</f>
        <v/>
      </c>
      <c r="J35" s="520" t="str">
        <f>IF(B35="","",IF(ISNA(VLOOKUP($B35,'B-1 Site Hedge Baseline'!$B$1:$L$257,11,FALSE)),"",(VLOOKUP($B35,'B-1 Site Hedge Baseline'!$B$1:$L$257,11,FALSE))))</f>
        <v/>
      </c>
      <c r="K35" s="520" t="str">
        <f>IF(B35="","",IF(ISNA(VLOOKUP($B35,'B-1 Site Hedge Baseline'!$B$1:$U$257,13,FALSE)),"",(VLOOKUP($B35,'B-1 Site Hedge Baseline'!$B$1:$U$257,13,FALSE))))</f>
        <v/>
      </c>
      <c r="L35" s="524" t="str">
        <f>IF(B35="","",IF(ISNA(VLOOKUP($B35,'B-1 Site Hedge Baseline'!$B$1:$U$257,12,FALSE)),"",(VLOOKUP($B35,'B-1 Site Hedge Baseline'!$B$1:$U$257,12,FALSE))))</f>
        <v/>
      </c>
      <c r="M35" s="416" t="str">
        <f t="shared" si="0"/>
        <v/>
      </c>
      <c r="N35" s="498" t="str">
        <f>IFERROR(IF(B35="","",INDEX('G-6 Hedgerow Data'!$AN$3:$AZ$15,MATCH(C35,'G-6 Hedgerow Data'!$AM$3:$AM$15,0),MATCH(M35,'G-6 Hedgerow Data'!$AN$2:$AZ$2,0))),"")</f>
        <v/>
      </c>
      <c r="O35" s="499" t="str">
        <f t="shared" si="2"/>
        <v/>
      </c>
      <c r="P35" s="559" t="str">
        <f>IF(B35="","",VLOOKUP(B35,'B-1 Site Hedge Baseline'!$B$10:T280,16,FALSE))</f>
        <v/>
      </c>
      <c r="Q35" s="498" t="str">
        <f>IF(M35="","",VLOOKUP(M35,'G-6 Hedgerow Data'!$B$2:$AG$15,2,FALSE))</f>
        <v/>
      </c>
      <c r="R35" s="499" t="str">
        <f>IF(M35="","",VLOOKUP(M35,'G-6 Hedgerow Data'!$B$2:$AG$15,3,FALSE))</f>
        <v/>
      </c>
      <c r="S35" s="157"/>
      <c r="T35" s="540" t="str">
        <f>IFERROR(VLOOKUP(S35,'G-1 All Habitats'!$Z$2:$AA$9,2,FALSE),"")</f>
        <v/>
      </c>
      <c r="U35" s="154"/>
      <c r="V35" s="520" t="str">
        <f>IF(U35="","",IF(VLOOKUP(U35,'G-3 Multipliers'!$L$3:$N$6,2,FALSE)=0,"Spatial Data Missing ⚠",VLOOKUP(U35,'G-3 Multipliers'!$L$3:$N$6,2,FALSE)))</f>
        <v/>
      </c>
      <c r="W35" s="524" t="str">
        <f>IF(U35="","",IF(VLOOKUP(U35,'G-3 Multipliers'!$L$3:$N$6,3,FALSE)=0,"Spatial Data Missing ⚠",VLOOKUP(U35,'G-3 Multipliers'!$L$3:$N$6,3,FALSE)))</f>
        <v/>
      </c>
      <c r="X35" s="498" t="str">
        <f>IFERROR(IF(OR(LEFT(O35,5)="Error ▲",LEFT(N35,5)="Error ▲",T35="Error ▲"),"Check Data ⚠",IF(F35&lt;R35,INDEX('G-6 Hedgerow Data'!$S$3:$AE$14,MATCH(C35,'G-6 Hedgerow Data'!$B$3:$B$14,0),MATCH(M35,'G-6 Hedgerow Data'!$S$2:$AE$2,0)),INDEX('G-6 Hedgerow Data'!$K$3:$Q$14,MATCH(M35,'G-6 Hedgerow Data'!$B$3:$B$14,0),MATCH(O35,'G-6 Hedgerow Data'!$K$2:$Q$2,0)))),"")</f>
        <v/>
      </c>
      <c r="Y35" s="195"/>
      <c r="Z35" s="195"/>
      <c r="AA35" s="507" t="str">
        <f t="shared" si="3"/>
        <v/>
      </c>
      <c r="AB35" s="521" t="str">
        <f t="shared" si="4"/>
        <v/>
      </c>
      <c r="AC35" s="522" t="str">
        <f t="shared" si="1"/>
        <v/>
      </c>
      <c r="AD35" s="537" t="str">
        <f>IF(M35="","",VLOOKUP(M35,'G-6 Hedgerow Data'!$B$3:$AG$15,31,FALSE))</f>
        <v/>
      </c>
      <c r="AE35" s="507" t="str">
        <f t="shared" si="5"/>
        <v/>
      </c>
      <c r="AF35" s="507" t="str">
        <f t="shared" si="6"/>
        <v/>
      </c>
      <c r="AG35" s="524" t="str">
        <f>IFERROR(IF(O35="","",VLOOKUP(AD35,'G-3 Multipliers'!$P$3:$Q$6,2,FALSE)),"")</f>
        <v/>
      </c>
      <c r="AH35" s="513" t="str">
        <f t="shared" si="7"/>
        <v/>
      </c>
      <c r="AI35" s="231"/>
      <c r="AJ35" s="150"/>
      <c r="AT35" s="31" t="str">
        <f>IFERROR(INDEX('G-6 Hedgerow Data'!$BJ$3:$BJ$15,MATCH(M35,'G-6 Hedgerow Data'!$B$3:$B$15,0)),"")</f>
        <v/>
      </c>
    </row>
    <row r="36" spans="2:46" ht="14" x14ac:dyDescent="0.3">
      <c r="B36" s="531" t="str">
        <f>'B-1 Site Hedge Baseline'!AK34</f>
        <v/>
      </c>
      <c r="C36" s="520" t="str">
        <f>IF(B36="","",IF(ISNA(VLOOKUP($B36,'B-1 Site Hedge Baseline'!$B$1:$L$257,3,FALSE)),"",(VLOOKUP($B36,'B-1 Site Hedge Baseline'!$B$1:$L$257,3,FALSE))))</f>
        <v/>
      </c>
      <c r="D36" s="520" t="str">
        <f>IF(B36="","",IF(ISNA(VLOOKUP($B36,'B-1 Site Hedge Baseline'!$B$1:$L$257,4,FALSE)),"",(VLOOKUP($B36,'B-1 Site Hedge Baseline'!$B$1:$L$257,4,FALSE))))</f>
        <v/>
      </c>
      <c r="E36" s="520" t="str">
        <f>IF(B36="","",IF(ISNA(VLOOKUP($B36,'B-1 Site Hedge Baseline'!$B$1:$L$257,5,FALSE)),"",(VLOOKUP($B36,'B-1 Site Hedge Baseline'!$B$1:$L$257,5,FALSE))))</f>
        <v/>
      </c>
      <c r="F36" s="520" t="str">
        <f>IF(B36="","",IF(ISNA(VLOOKUP($B36,'B-1 Site Hedge Baseline'!$B$1:$L$257,6,FALSE)),"",(VLOOKUP($B36,'B-1 Site Hedge Baseline'!$B$1:$L$257,6,FALSE))))</f>
        <v/>
      </c>
      <c r="G36" s="520" t="str">
        <f>IF(B36="","",IF(ISNA(VLOOKUP($B36,'B-1 Site Hedge Baseline'!$B$1:$L$257,7,FALSE)),"",(VLOOKUP($B36,'B-1 Site Hedge Baseline'!$B$1:$L$257,7,FALSE))))</f>
        <v/>
      </c>
      <c r="H36" s="520" t="str">
        <f>IF(B36="","",IF(ISNA(VLOOKUP($B36,'B-1 Site Hedge Baseline'!$B$1:$L$257,8,FALSE)),"",(VLOOKUP($B36,'B-1 Site Hedge Baseline'!$B$1:$L$257,8,FALSE))))</f>
        <v/>
      </c>
      <c r="I36" s="520" t="str">
        <f>IF(B36="","",IF(ISNA(VLOOKUP($B36,'B-1 Site Hedge Baseline'!$B$1:$L$257,10,FALSE)),"",(VLOOKUP($B36,'B-1 Site Hedge Baseline'!$B$1:$L$257,10,FALSE))))</f>
        <v/>
      </c>
      <c r="J36" s="520" t="str">
        <f>IF(B36="","",IF(ISNA(VLOOKUP($B36,'B-1 Site Hedge Baseline'!$B$1:$L$257,11,FALSE)),"",(VLOOKUP($B36,'B-1 Site Hedge Baseline'!$B$1:$L$257,11,FALSE))))</f>
        <v/>
      </c>
      <c r="K36" s="520" t="str">
        <f>IF(B36="","",IF(ISNA(VLOOKUP($B36,'B-1 Site Hedge Baseline'!$B$1:$U$257,13,FALSE)),"",(VLOOKUP($B36,'B-1 Site Hedge Baseline'!$B$1:$U$257,13,FALSE))))</f>
        <v/>
      </c>
      <c r="L36" s="524" t="str">
        <f>IF(B36="","",IF(ISNA(VLOOKUP($B36,'B-1 Site Hedge Baseline'!$B$1:$U$257,12,FALSE)),"",(VLOOKUP($B36,'B-1 Site Hedge Baseline'!$B$1:$U$257,12,FALSE))))</f>
        <v/>
      </c>
      <c r="M36" s="416" t="str">
        <f t="shared" si="0"/>
        <v/>
      </c>
      <c r="N36" s="498" t="str">
        <f>IFERROR(IF(B36="","",INDEX('G-6 Hedgerow Data'!$AN$3:$AZ$15,MATCH(C36,'G-6 Hedgerow Data'!$AM$3:$AM$15,0),MATCH(M36,'G-6 Hedgerow Data'!$AN$2:$AZ$2,0))),"")</f>
        <v/>
      </c>
      <c r="O36" s="499" t="str">
        <f t="shared" si="2"/>
        <v/>
      </c>
      <c r="P36" s="559" t="str">
        <f>IF(B36="","",VLOOKUP(B36,'B-1 Site Hedge Baseline'!$B$10:T281,16,FALSE))</f>
        <v/>
      </c>
      <c r="Q36" s="498" t="str">
        <f>IF(M36="","",VLOOKUP(M36,'G-6 Hedgerow Data'!$B$2:$AG$15,2,FALSE))</f>
        <v/>
      </c>
      <c r="R36" s="499" t="str">
        <f>IF(M36="","",VLOOKUP(M36,'G-6 Hedgerow Data'!$B$2:$AG$15,3,FALSE))</f>
        <v/>
      </c>
      <c r="S36" s="157"/>
      <c r="T36" s="540" t="str">
        <f>IFERROR(VLOOKUP(S36,'G-1 All Habitats'!$Z$2:$AA$9,2,FALSE),"")</f>
        <v/>
      </c>
      <c r="U36" s="154"/>
      <c r="V36" s="520" t="str">
        <f>IF(U36="","",IF(VLOOKUP(U36,'G-3 Multipliers'!$L$3:$N$6,2,FALSE)=0,"Spatial Data Missing ⚠",VLOOKUP(U36,'G-3 Multipliers'!$L$3:$N$6,2,FALSE)))</f>
        <v/>
      </c>
      <c r="W36" s="524" t="str">
        <f>IF(U36="","",IF(VLOOKUP(U36,'G-3 Multipliers'!$L$3:$N$6,3,FALSE)=0,"Spatial Data Missing ⚠",VLOOKUP(U36,'G-3 Multipliers'!$L$3:$N$6,3,FALSE)))</f>
        <v/>
      </c>
      <c r="X36" s="498" t="str">
        <f>IFERROR(IF(OR(LEFT(O36,5)="Error ▲",LEFT(N36,5)="Error ▲",T36="Error ▲"),"Check Data ⚠",IF(F36&lt;R36,INDEX('G-6 Hedgerow Data'!$S$3:$AE$14,MATCH(C36,'G-6 Hedgerow Data'!$B$3:$B$14,0),MATCH(M36,'G-6 Hedgerow Data'!$S$2:$AE$2,0)),INDEX('G-6 Hedgerow Data'!$K$3:$Q$14,MATCH(M36,'G-6 Hedgerow Data'!$B$3:$B$14,0),MATCH(O36,'G-6 Hedgerow Data'!$K$2:$Q$2,0)))),"")</f>
        <v/>
      </c>
      <c r="Y36" s="195"/>
      <c r="Z36" s="195"/>
      <c r="AA36" s="507" t="str">
        <f t="shared" si="3"/>
        <v/>
      </c>
      <c r="AB36" s="521" t="str">
        <f t="shared" si="4"/>
        <v/>
      </c>
      <c r="AC36" s="522" t="str">
        <f t="shared" si="1"/>
        <v/>
      </c>
      <c r="AD36" s="537" t="str">
        <f>IF(M36="","",VLOOKUP(M36,'G-6 Hedgerow Data'!$B$3:$AG$15,31,FALSE))</f>
        <v/>
      </c>
      <c r="AE36" s="507" t="str">
        <f t="shared" si="5"/>
        <v/>
      </c>
      <c r="AF36" s="507" t="str">
        <f t="shared" si="6"/>
        <v/>
      </c>
      <c r="AG36" s="524" t="str">
        <f>IFERROR(IF(O36="","",VLOOKUP(AD36,'G-3 Multipliers'!$P$3:$Q$6,2,FALSE)),"")</f>
        <v/>
      </c>
      <c r="AH36" s="513" t="str">
        <f t="shared" si="7"/>
        <v/>
      </c>
      <c r="AI36" s="231"/>
      <c r="AJ36" s="150"/>
      <c r="AT36" s="31" t="str">
        <f>IFERROR(INDEX('G-6 Hedgerow Data'!$BJ$3:$BJ$15,MATCH(M36,'G-6 Hedgerow Data'!$B$3:$B$15,0)),"")</f>
        <v/>
      </c>
    </row>
    <row r="37" spans="2:46" ht="14" x14ac:dyDescent="0.3">
      <c r="B37" s="531" t="str">
        <f>'B-1 Site Hedge Baseline'!AK35</f>
        <v/>
      </c>
      <c r="C37" s="520" t="str">
        <f>IF(B37="","",IF(ISNA(VLOOKUP($B37,'B-1 Site Hedge Baseline'!$B$1:$L$257,3,FALSE)),"",(VLOOKUP($B37,'B-1 Site Hedge Baseline'!$B$1:$L$257,3,FALSE))))</f>
        <v/>
      </c>
      <c r="D37" s="520" t="str">
        <f>IF(B37="","",IF(ISNA(VLOOKUP($B37,'B-1 Site Hedge Baseline'!$B$1:$L$257,4,FALSE)),"",(VLOOKUP($B37,'B-1 Site Hedge Baseline'!$B$1:$L$257,4,FALSE))))</f>
        <v/>
      </c>
      <c r="E37" s="520" t="str">
        <f>IF(B37="","",IF(ISNA(VLOOKUP($B37,'B-1 Site Hedge Baseline'!$B$1:$L$257,5,FALSE)),"",(VLOOKUP($B37,'B-1 Site Hedge Baseline'!$B$1:$L$257,5,FALSE))))</f>
        <v/>
      </c>
      <c r="F37" s="520" t="str">
        <f>IF(B37="","",IF(ISNA(VLOOKUP($B37,'B-1 Site Hedge Baseline'!$B$1:$L$257,6,FALSE)),"",(VLOOKUP($B37,'B-1 Site Hedge Baseline'!$B$1:$L$257,6,FALSE))))</f>
        <v/>
      </c>
      <c r="G37" s="520" t="str">
        <f>IF(B37="","",IF(ISNA(VLOOKUP($B37,'B-1 Site Hedge Baseline'!$B$1:$L$257,7,FALSE)),"",(VLOOKUP($B37,'B-1 Site Hedge Baseline'!$B$1:$L$257,7,FALSE))))</f>
        <v/>
      </c>
      <c r="H37" s="520" t="str">
        <f>IF(B37="","",IF(ISNA(VLOOKUP($B37,'B-1 Site Hedge Baseline'!$B$1:$L$257,8,FALSE)),"",(VLOOKUP($B37,'B-1 Site Hedge Baseline'!$B$1:$L$257,8,FALSE))))</f>
        <v/>
      </c>
      <c r="I37" s="520" t="str">
        <f>IF(B37="","",IF(ISNA(VLOOKUP($B37,'B-1 Site Hedge Baseline'!$B$1:$L$257,10,FALSE)),"",(VLOOKUP($B37,'B-1 Site Hedge Baseline'!$B$1:$L$257,10,FALSE))))</f>
        <v/>
      </c>
      <c r="J37" s="520" t="str">
        <f>IF(B37="","",IF(ISNA(VLOOKUP($B37,'B-1 Site Hedge Baseline'!$B$1:$L$257,11,FALSE)),"",(VLOOKUP($B37,'B-1 Site Hedge Baseline'!$B$1:$L$257,11,FALSE))))</f>
        <v/>
      </c>
      <c r="K37" s="520" t="str">
        <f>IF(B37="","",IF(ISNA(VLOOKUP($B37,'B-1 Site Hedge Baseline'!$B$1:$U$257,13,FALSE)),"",(VLOOKUP($B37,'B-1 Site Hedge Baseline'!$B$1:$U$257,13,FALSE))))</f>
        <v/>
      </c>
      <c r="L37" s="524" t="str">
        <f>IF(B37="","",IF(ISNA(VLOOKUP($B37,'B-1 Site Hedge Baseline'!$B$1:$U$257,12,FALSE)),"",(VLOOKUP($B37,'B-1 Site Hedge Baseline'!$B$1:$U$257,12,FALSE))))</f>
        <v/>
      </c>
      <c r="M37" s="416" t="str">
        <f t="shared" si="0"/>
        <v/>
      </c>
      <c r="N37" s="498" t="str">
        <f>IFERROR(IF(B37="","",INDEX('G-6 Hedgerow Data'!$AN$3:$AZ$15,MATCH(C37,'G-6 Hedgerow Data'!$AM$3:$AM$15,0),MATCH(M37,'G-6 Hedgerow Data'!$AN$2:$AZ$2,0))),"")</f>
        <v/>
      </c>
      <c r="O37" s="499" t="str">
        <f t="shared" si="2"/>
        <v/>
      </c>
      <c r="P37" s="559" t="str">
        <f>IF(B37="","",VLOOKUP(B37,'B-1 Site Hedge Baseline'!$B$10:T282,16,FALSE))</f>
        <v/>
      </c>
      <c r="Q37" s="498" t="str">
        <f>IF(M37="","",VLOOKUP(M37,'G-6 Hedgerow Data'!$B$2:$AG$15,2,FALSE))</f>
        <v/>
      </c>
      <c r="R37" s="499" t="str">
        <f>IF(M37="","",VLOOKUP(M37,'G-6 Hedgerow Data'!$B$2:$AG$15,3,FALSE))</f>
        <v/>
      </c>
      <c r="S37" s="157"/>
      <c r="T37" s="540" t="str">
        <f>IFERROR(VLOOKUP(S37,'G-1 All Habitats'!$Z$2:$AA$9,2,FALSE),"")</f>
        <v/>
      </c>
      <c r="U37" s="154"/>
      <c r="V37" s="520" t="str">
        <f>IF(U37="","",IF(VLOOKUP(U37,'G-3 Multipliers'!$L$3:$N$6,2,FALSE)=0,"Spatial Data Missing ⚠",VLOOKUP(U37,'G-3 Multipliers'!$L$3:$N$6,2,FALSE)))</f>
        <v/>
      </c>
      <c r="W37" s="524" t="str">
        <f>IF(U37="","",IF(VLOOKUP(U37,'G-3 Multipliers'!$L$3:$N$6,3,FALSE)=0,"Spatial Data Missing ⚠",VLOOKUP(U37,'G-3 Multipliers'!$L$3:$N$6,3,FALSE)))</f>
        <v/>
      </c>
      <c r="X37" s="498" t="str">
        <f>IFERROR(IF(OR(LEFT(O37,5)="Error ▲",LEFT(N37,5)="Error ▲",T37="Error ▲"),"Check Data ⚠",IF(F37&lt;R37,INDEX('G-6 Hedgerow Data'!$S$3:$AE$14,MATCH(C37,'G-6 Hedgerow Data'!$B$3:$B$14,0),MATCH(M37,'G-6 Hedgerow Data'!$S$2:$AE$2,0)),INDEX('G-6 Hedgerow Data'!$K$3:$Q$14,MATCH(M37,'G-6 Hedgerow Data'!$B$3:$B$14,0),MATCH(O37,'G-6 Hedgerow Data'!$K$2:$Q$2,0)))),"")</f>
        <v/>
      </c>
      <c r="Y37" s="195"/>
      <c r="Z37" s="195"/>
      <c r="AA37" s="507" t="str">
        <f t="shared" si="3"/>
        <v/>
      </c>
      <c r="AB37" s="521" t="str">
        <f t="shared" si="4"/>
        <v/>
      </c>
      <c r="AC37" s="522" t="str">
        <f t="shared" si="1"/>
        <v/>
      </c>
      <c r="AD37" s="537" t="str">
        <f>IF(M37="","",VLOOKUP(M37,'G-6 Hedgerow Data'!$B$3:$AG$15,31,FALSE))</f>
        <v/>
      </c>
      <c r="AE37" s="507" t="str">
        <f t="shared" si="5"/>
        <v/>
      </c>
      <c r="AF37" s="507" t="str">
        <f t="shared" si="6"/>
        <v/>
      </c>
      <c r="AG37" s="524" t="str">
        <f>IFERROR(IF(O37="","",VLOOKUP(AD37,'G-3 Multipliers'!$P$3:$Q$6,2,FALSE)),"")</f>
        <v/>
      </c>
      <c r="AH37" s="513" t="str">
        <f t="shared" si="7"/>
        <v/>
      </c>
      <c r="AI37" s="231"/>
      <c r="AJ37" s="150"/>
      <c r="AT37" s="31" t="str">
        <f>IFERROR(INDEX('G-6 Hedgerow Data'!$BJ$3:$BJ$15,MATCH(M37,'G-6 Hedgerow Data'!$B$3:$B$15,0)),"")</f>
        <v/>
      </c>
    </row>
    <row r="38" spans="2:46" ht="14" x14ac:dyDescent="0.3">
      <c r="B38" s="531" t="str">
        <f>'B-1 Site Hedge Baseline'!AK36</f>
        <v/>
      </c>
      <c r="C38" s="520" t="str">
        <f>IF(B38="","",IF(ISNA(VLOOKUP($B38,'B-1 Site Hedge Baseline'!$B$1:$L$257,3,FALSE)),"",(VLOOKUP($B38,'B-1 Site Hedge Baseline'!$B$1:$L$257,3,FALSE))))</f>
        <v/>
      </c>
      <c r="D38" s="520" t="str">
        <f>IF(B38="","",IF(ISNA(VLOOKUP($B38,'B-1 Site Hedge Baseline'!$B$1:$L$257,4,FALSE)),"",(VLOOKUP($B38,'B-1 Site Hedge Baseline'!$B$1:$L$257,4,FALSE))))</f>
        <v/>
      </c>
      <c r="E38" s="520" t="str">
        <f>IF(B38="","",IF(ISNA(VLOOKUP($B38,'B-1 Site Hedge Baseline'!$B$1:$L$257,5,FALSE)),"",(VLOOKUP($B38,'B-1 Site Hedge Baseline'!$B$1:$L$257,5,FALSE))))</f>
        <v/>
      </c>
      <c r="F38" s="520" t="str">
        <f>IF(B38="","",IF(ISNA(VLOOKUP($B38,'B-1 Site Hedge Baseline'!$B$1:$L$257,6,FALSE)),"",(VLOOKUP($B38,'B-1 Site Hedge Baseline'!$B$1:$L$257,6,FALSE))))</f>
        <v/>
      </c>
      <c r="G38" s="520" t="str">
        <f>IF(B38="","",IF(ISNA(VLOOKUP($B38,'B-1 Site Hedge Baseline'!$B$1:$L$257,7,FALSE)),"",(VLOOKUP($B38,'B-1 Site Hedge Baseline'!$B$1:$L$257,7,FALSE))))</f>
        <v/>
      </c>
      <c r="H38" s="520" t="str">
        <f>IF(B38="","",IF(ISNA(VLOOKUP($B38,'B-1 Site Hedge Baseline'!$B$1:$L$257,8,FALSE)),"",(VLOOKUP($B38,'B-1 Site Hedge Baseline'!$B$1:$L$257,8,FALSE))))</f>
        <v/>
      </c>
      <c r="I38" s="520" t="str">
        <f>IF(B38="","",IF(ISNA(VLOOKUP($B38,'B-1 Site Hedge Baseline'!$B$1:$L$257,10,FALSE)),"",(VLOOKUP($B38,'B-1 Site Hedge Baseline'!$B$1:$L$257,10,FALSE))))</f>
        <v/>
      </c>
      <c r="J38" s="520" t="str">
        <f>IF(B38="","",IF(ISNA(VLOOKUP($B38,'B-1 Site Hedge Baseline'!$B$1:$L$257,11,FALSE)),"",(VLOOKUP($B38,'B-1 Site Hedge Baseline'!$B$1:$L$257,11,FALSE))))</f>
        <v/>
      </c>
      <c r="K38" s="520" t="str">
        <f>IF(B38="","",IF(ISNA(VLOOKUP($B38,'B-1 Site Hedge Baseline'!$B$1:$U$257,13,FALSE)),"",(VLOOKUP($B38,'B-1 Site Hedge Baseline'!$B$1:$U$257,13,FALSE))))</f>
        <v/>
      </c>
      <c r="L38" s="524" t="str">
        <f>IF(B38="","",IF(ISNA(VLOOKUP($B38,'B-1 Site Hedge Baseline'!$B$1:$U$257,12,FALSE)),"",(VLOOKUP($B38,'B-1 Site Hedge Baseline'!$B$1:$U$257,12,FALSE))))</f>
        <v/>
      </c>
      <c r="M38" s="416" t="str">
        <f t="shared" si="0"/>
        <v/>
      </c>
      <c r="N38" s="498" t="str">
        <f>IFERROR(IF(B38="","",INDEX('G-6 Hedgerow Data'!$AN$3:$AZ$15,MATCH(C38,'G-6 Hedgerow Data'!$AM$3:$AM$15,0),MATCH(M38,'G-6 Hedgerow Data'!$AN$2:$AZ$2,0))),"")</f>
        <v/>
      </c>
      <c r="O38" s="499" t="str">
        <f t="shared" si="2"/>
        <v/>
      </c>
      <c r="P38" s="559" t="str">
        <f>IF(B38="","",VLOOKUP(B38,'B-1 Site Hedge Baseline'!$B$10:T283,16,FALSE))</f>
        <v/>
      </c>
      <c r="Q38" s="498" t="str">
        <f>IF(M38="","",VLOOKUP(M38,'G-6 Hedgerow Data'!$B$2:$AG$15,2,FALSE))</f>
        <v/>
      </c>
      <c r="R38" s="499" t="str">
        <f>IF(M38="","",VLOOKUP(M38,'G-6 Hedgerow Data'!$B$2:$AG$15,3,FALSE))</f>
        <v/>
      </c>
      <c r="S38" s="157"/>
      <c r="T38" s="540" t="str">
        <f>IFERROR(VLOOKUP(S38,'G-1 All Habitats'!$Z$2:$AA$9,2,FALSE),"")</f>
        <v/>
      </c>
      <c r="U38" s="154"/>
      <c r="V38" s="520" t="str">
        <f>IF(U38="","",IF(VLOOKUP(U38,'G-3 Multipliers'!$L$3:$N$6,2,FALSE)=0,"Spatial Data Missing ⚠",VLOOKUP(U38,'G-3 Multipliers'!$L$3:$N$6,2,FALSE)))</f>
        <v/>
      </c>
      <c r="W38" s="524" t="str">
        <f>IF(U38="","",IF(VLOOKUP(U38,'G-3 Multipliers'!$L$3:$N$6,3,FALSE)=0,"Spatial Data Missing ⚠",VLOOKUP(U38,'G-3 Multipliers'!$L$3:$N$6,3,FALSE)))</f>
        <v/>
      </c>
      <c r="X38" s="498" t="str">
        <f>IFERROR(IF(OR(LEFT(O38,5)="Error ▲",LEFT(N38,5)="Error ▲",T38="Error ▲"),"Check Data ⚠",IF(F38&lt;R38,INDEX('G-6 Hedgerow Data'!$S$3:$AE$14,MATCH(C38,'G-6 Hedgerow Data'!$B$3:$B$14,0),MATCH(M38,'G-6 Hedgerow Data'!$S$2:$AE$2,0)),INDEX('G-6 Hedgerow Data'!$K$3:$Q$14,MATCH(M38,'G-6 Hedgerow Data'!$B$3:$B$14,0),MATCH(O38,'G-6 Hedgerow Data'!$K$2:$Q$2,0)))),"")</f>
        <v/>
      </c>
      <c r="Y38" s="195"/>
      <c r="Z38" s="195"/>
      <c r="AA38" s="507" t="str">
        <f t="shared" si="3"/>
        <v/>
      </c>
      <c r="AB38" s="521" t="str">
        <f t="shared" si="4"/>
        <v/>
      </c>
      <c r="AC38" s="522" t="str">
        <f t="shared" si="1"/>
        <v/>
      </c>
      <c r="AD38" s="537" t="str">
        <f>IF(M38="","",VLOOKUP(M38,'G-6 Hedgerow Data'!$B$3:$AG$15,31,FALSE))</f>
        <v/>
      </c>
      <c r="AE38" s="507" t="str">
        <f t="shared" si="5"/>
        <v/>
      </c>
      <c r="AF38" s="507" t="str">
        <f t="shared" si="6"/>
        <v/>
      </c>
      <c r="AG38" s="524" t="str">
        <f>IFERROR(IF(O38="","",VLOOKUP(AD38,'G-3 Multipliers'!$P$3:$Q$6,2,FALSE)),"")</f>
        <v/>
      </c>
      <c r="AH38" s="513" t="str">
        <f t="shared" si="7"/>
        <v/>
      </c>
      <c r="AI38" s="231"/>
      <c r="AJ38" s="150"/>
      <c r="AT38" s="31" t="str">
        <f>IFERROR(INDEX('G-6 Hedgerow Data'!$BJ$3:$BJ$15,MATCH(M38,'G-6 Hedgerow Data'!$B$3:$B$15,0)),"")</f>
        <v/>
      </c>
    </row>
    <row r="39" spans="2:46" ht="14" x14ac:dyDescent="0.3">
      <c r="B39" s="531" t="str">
        <f>'B-1 Site Hedge Baseline'!AK37</f>
        <v/>
      </c>
      <c r="C39" s="520" t="str">
        <f>IF(B39="","",IF(ISNA(VLOOKUP($B39,'B-1 Site Hedge Baseline'!$B$1:$L$257,3,FALSE)),"",(VLOOKUP($B39,'B-1 Site Hedge Baseline'!$B$1:$L$257,3,FALSE))))</f>
        <v/>
      </c>
      <c r="D39" s="520" t="str">
        <f>IF(B39="","",IF(ISNA(VLOOKUP($B39,'B-1 Site Hedge Baseline'!$B$1:$L$257,4,FALSE)),"",(VLOOKUP($B39,'B-1 Site Hedge Baseline'!$B$1:$L$257,4,FALSE))))</f>
        <v/>
      </c>
      <c r="E39" s="520" t="str">
        <f>IF(B39="","",IF(ISNA(VLOOKUP($B39,'B-1 Site Hedge Baseline'!$B$1:$L$257,5,FALSE)),"",(VLOOKUP($B39,'B-1 Site Hedge Baseline'!$B$1:$L$257,5,FALSE))))</f>
        <v/>
      </c>
      <c r="F39" s="520" t="str">
        <f>IF(B39="","",IF(ISNA(VLOOKUP($B39,'B-1 Site Hedge Baseline'!$B$1:$L$257,6,FALSE)),"",(VLOOKUP($B39,'B-1 Site Hedge Baseline'!$B$1:$L$257,6,FALSE))))</f>
        <v/>
      </c>
      <c r="G39" s="520" t="str">
        <f>IF(B39="","",IF(ISNA(VLOOKUP($B39,'B-1 Site Hedge Baseline'!$B$1:$L$257,7,FALSE)),"",(VLOOKUP($B39,'B-1 Site Hedge Baseline'!$B$1:$L$257,7,FALSE))))</f>
        <v/>
      </c>
      <c r="H39" s="520" t="str">
        <f>IF(B39="","",IF(ISNA(VLOOKUP($B39,'B-1 Site Hedge Baseline'!$B$1:$L$257,8,FALSE)),"",(VLOOKUP($B39,'B-1 Site Hedge Baseline'!$B$1:$L$257,8,FALSE))))</f>
        <v/>
      </c>
      <c r="I39" s="520" t="str">
        <f>IF(B39="","",IF(ISNA(VLOOKUP($B39,'B-1 Site Hedge Baseline'!$B$1:$L$257,10,FALSE)),"",(VLOOKUP($B39,'B-1 Site Hedge Baseline'!$B$1:$L$257,10,FALSE))))</f>
        <v/>
      </c>
      <c r="J39" s="520" t="str">
        <f>IF(B39="","",IF(ISNA(VLOOKUP($B39,'B-1 Site Hedge Baseline'!$B$1:$L$257,11,FALSE)),"",(VLOOKUP($B39,'B-1 Site Hedge Baseline'!$B$1:$L$257,11,FALSE))))</f>
        <v/>
      </c>
      <c r="K39" s="520" t="str">
        <f>IF(B39="","",IF(ISNA(VLOOKUP($B39,'B-1 Site Hedge Baseline'!$B$1:$U$257,13,FALSE)),"",(VLOOKUP($B39,'B-1 Site Hedge Baseline'!$B$1:$U$257,13,FALSE))))</f>
        <v/>
      </c>
      <c r="L39" s="524" t="str">
        <f>IF(B39="","",IF(ISNA(VLOOKUP($B39,'B-1 Site Hedge Baseline'!$B$1:$U$257,12,FALSE)),"",(VLOOKUP($B39,'B-1 Site Hedge Baseline'!$B$1:$U$257,12,FALSE))))</f>
        <v/>
      </c>
      <c r="M39" s="416" t="str">
        <f t="shared" si="0"/>
        <v/>
      </c>
      <c r="N39" s="498" t="str">
        <f>IFERROR(IF(B39="","",INDEX('G-6 Hedgerow Data'!$AN$3:$AZ$15,MATCH(C39,'G-6 Hedgerow Data'!$AM$3:$AM$15,0),MATCH(M39,'G-6 Hedgerow Data'!$AN$2:$AZ$2,0))),"")</f>
        <v/>
      </c>
      <c r="O39" s="499" t="str">
        <f t="shared" si="2"/>
        <v/>
      </c>
      <c r="P39" s="559" t="str">
        <f>IF(B39="","",VLOOKUP(B39,'B-1 Site Hedge Baseline'!$B$10:T284,16,FALSE))</f>
        <v/>
      </c>
      <c r="Q39" s="498" t="str">
        <f>IF(M39="","",VLOOKUP(M39,'G-6 Hedgerow Data'!$B$2:$AG$15,2,FALSE))</f>
        <v/>
      </c>
      <c r="R39" s="499" t="str">
        <f>IF(M39="","",VLOOKUP(M39,'G-6 Hedgerow Data'!$B$2:$AG$15,3,FALSE))</f>
        <v/>
      </c>
      <c r="S39" s="157"/>
      <c r="T39" s="540" t="str">
        <f>IFERROR(VLOOKUP(S39,'G-1 All Habitats'!$Z$2:$AA$9,2,FALSE),"")</f>
        <v/>
      </c>
      <c r="U39" s="154"/>
      <c r="V39" s="520" t="str">
        <f>IF(U39="","",IF(VLOOKUP(U39,'G-3 Multipliers'!$L$3:$N$6,2,FALSE)=0,"Spatial Data Missing ⚠",VLOOKUP(U39,'G-3 Multipliers'!$L$3:$N$6,2,FALSE)))</f>
        <v/>
      </c>
      <c r="W39" s="524" t="str">
        <f>IF(U39="","",IF(VLOOKUP(U39,'G-3 Multipliers'!$L$3:$N$6,3,FALSE)=0,"Spatial Data Missing ⚠",VLOOKUP(U39,'G-3 Multipliers'!$L$3:$N$6,3,FALSE)))</f>
        <v/>
      </c>
      <c r="X39" s="498" t="str">
        <f>IFERROR(IF(OR(LEFT(O39,5)="Error ▲",LEFT(N39,5)="Error ▲",T39="Error ▲"),"Check Data ⚠",IF(F39&lt;R39,INDEX('G-6 Hedgerow Data'!$S$3:$AE$14,MATCH(C39,'G-6 Hedgerow Data'!$B$3:$B$14,0),MATCH(M39,'G-6 Hedgerow Data'!$S$2:$AE$2,0)),INDEX('G-6 Hedgerow Data'!$K$3:$Q$14,MATCH(M39,'G-6 Hedgerow Data'!$B$3:$B$14,0),MATCH(O39,'G-6 Hedgerow Data'!$K$2:$Q$2,0)))),"")</f>
        <v/>
      </c>
      <c r="Y39" s="195"/>
      <c r="Z39" s="195"/>
      <c r="AA39" s="507" t="str">
        <f t="shared" si="3"/>
        <v/>
      </c>
      <c r="AB39" s="521" t="str">
        <f t="shared" si="4"/>
        <v/>
      </c>
      <c r="AC39" s="522" t="str">
        <f t="shared" si="1"/>
        <v/>
      </c>
      <c r="AD39" s="537" t="str">
        <f>IF(M39="","",VLOOKUP(M39,'G-6 Hedgerow Data'!$B$3:$AG$15,31,FALSE))</f>
        <v/>
      </c>
      <c r="AE39" s="507" t="str">
        <f t="shared" si="5"/>
        <v/>
      </c>
      <c r="AF39" s="507" t="str">
        <f t="shared" si="6"/>
        <v/>
      </c>
      <c r="AG39" s="524" t="str">
        <f>IFERROR(IF(O39="","",VLOOKUP(AD39,'G-3 Multipliers'!$P$3:$Q$6,2,FALSE)),"")</f>
        <v/>
      </c>
      <c r="AH39" s="513" t="str">
        <f t="shared" si="7"/>
        <v/>
      </c>
      <c r="AI39" s="231"/>
      <c r="AJ39" s="150"/>
      <c r="AT39" s="31" t="str">
        <f>IFERROR(INDEX('G-6 Hedgerow Data'!$BJ$3:$BJ$15,MATCH(M39,'G-6 Hedgerow Data'!$B$3:$B$15,0)),"")</f>
        <v/>
      </c>
    </row>
    <row r="40" spans="2:46" ht="14" x14ac:dyDescent="0.3">
      <c r="B40" s="531" t="str">
        <f>'B-1 Site Hedge Baseline'!AK38</f>
        <v/>
      </c>
      <c r="C40" s="520" t="str">
        <f>IF(B40="","",IF(ISNA(VLOOKUP($B40,'B-1 Site Hedge Baseline'!$B$1:$L$257,3,FALSE)),"",(VLOOKUP($B40,'B-1 Site Hedge Baseline'!$B$1:$L$257,3,FALSE))))</f>
        <v/>
      </c>
      <c r="D40" s="520" t="str">
        <f>IF(B40="","",IF(ISNA(VLOOKUP($B40,'B-1 Site Hedge Baseline'!$B$1:$L$257,4,FALSE)),"",(VLOOKUP($B40,'B-1 Site Hedge Baseline'!$B$1:$L$257,4,FALSE))))</f>
        <v/>
      </c>
      <c r="E40" s="520" t="str">
        <f>IF(B40="","",IF(ISNA(VLOOKUP($B40,'B-1 Site Hedge Baseline'!$B$1:$L$257,5,FALSE)),"",(VLOOKUP($B40,'B-1 Site Hedge Baseline'!$B$1:$L$257,5,FALSE))))</f>
        <v/>
      </c>
      <c r="F40" s="520" t="str">
        <f>IF(B40="","",IF(ISNA(VLOOKUP($B40,'B-1 Site Hedge Baseline'!$B$1:$L$257,6,FALSE)),"",(VLOOKUP($B40,'B-1 Site Hedge Baseline'!$B$1:$L$257,6,FALSE))))</f>
        <v/>
      </c>
      <c r="G40" s="520" t="str">
        <f>IF(B40="","",IF(ISNA(VLOOKUP($B40,'B-1 Site Hedge Baseline'!$B$1:$L$257,7,FALSE)),"",(VLOOKUP($B40,'B-1 Site Hedge Baseline'!$B$1:$L$257,7,FALSE))))</f>
        <v/>
      </c>
      <c r="H40" s="520" t="str">
        <f>IF(B40="","",IF(ISNA(VLOOKUP($B40,'B-1 Site Hedge Baseline'!$B$1:$L$257,8,FALSE)),"",(VLOOKUP($B40,'B-1 Site Hedge Baseline'!$B$1:$L$257,8,FALSE))))</f>
        <v/>
      </c>
      <c r="I40" s="520" t="str">
        <f>IF(B40="","",IF(ISNA(VLOOKUP($B40,'B-1 Site Hedge Baseline'!$B$1:$L$257,10,FALSE)),"",(VLOOKUP($B40,'B-1 Site Hedge Baseline'!$B$1:$L$257,10,FALSE))))</f>
        <v/>
      </c>
      <c r="J40" s="520" t="str">
        <f>IF(B40="","",IF(ISNA(VLOOKUP($B40,'B-1 Site Hedge Baseline'!$B$1:$L$257,11,FALSE)),"",(VLOOKUP($B40,'B-1 Site Hedge Baseline'!$B$1:$L$257,11,FALSE))))</f>
        <v/>
      </c>
      <c r="K40" s="520" t="str">
        <f>IF(B40="","",IF(ISNA(VLOOKUP($B40,'B-1 Site Hedge Baseline'!$B$1:$U$257,13,FALSE)),"",(VLOOKUP($B40,'B-1 Site Hedge Baseline'!$B$1:$U$257,13,FALSE))))</f>
        <v/>
      </c>
      <c r="L40" s="524" t="str">
        <f>IF(B40="","",IF(ISNA(VLOOKUP($B40,'B-1 Site Hedge Baseline'!$B$1:$U$257,12,FALSE)),"",(VLOOKUP($B40,'B-1 Site Hedge Baseline'!$B$1:$U$257,12,FALSE))))</f>
        <v/>
      </c>
      <c r="M40" s="416" t="str">
        <f t="shared" si="0"/>
        <v/>
      </c>
      <c r="N40" s="498" t="str">
        <f>IFERROR(IF(B40="","",INDEX('G-6 Hedgerow Data'!$AN$3:$AZ$15,MATCH(C40,'G-6 Hedgerow Data'!$AM$3:$AM$15,0),MATCH(M40,'G-6 Hedgerow Data'!$AN$2:$AZ$2,0))),"")</f>
        <v/>
      </c>
      <c r="O40" s="499" t="str">
        <f t="shared" si="2"/>
        <v/>
      </c>
      <c r="P40" s="559" t="str">
        <f>IF(B40="","",VLOOKUP(B40,'B-1 Site Hedge Baseline'!$B$10:T285,16,FALSE))</f>
        <v/>
      </c>
      <c r="Q40" s="498" t="str">
        <f>IF(M40="","",VLOOKUP(M40,'G-6 Hedgerow Data'!$B$2:$AG$15,2,FALSE))</f>
        <v/>
      </c>
      <c r="R40" s="499" t="str">
        <f>IF(M40="","",VLOOKUP(M40,'G-6 Hedgerow Data'!$B$2:$AG$15,3,FALSE))</f>
        <v/>
      </c>
      <c r="S40" s="157"/>
      <c r="T40" s="540" t="str">
        <f>IFERROR(VLOOKUP(S40,'G-1 All Habitats'!$Z$2:$AA$9,2,FALSE),"")</f>
        <v/>
      </c>
      <c r="U40" s="154"/>
      <c r="V40" s="520" t="str">
        <f>IF(U40="","",IF(VLOOKUP(U40,'G-3 Multipliers'!$L$3:$N$6,2,FALSE)=0,"Spatial Data Missing ⚠",VLOOKUP(U40,'G-3 Multipliers'!$L$3:$N$6,2,FALSE)))</f>
        <v/>
      </c>
      <c r="W40" s="524" t="str">
        <f>IF(U40="","",IF(VLOOKUP(U40,'G-3 Multipliers'!$L$3:$N$6,3,FALSE)=0,"Spatial Data Missing ⚠",VLOOKUP(U40,'G-3 Multipliers'!$L$3:$N$6,3,FALSE)))</f>
        <v/>
      </c>
      <c r="X40" s="498" t="str">
        <f>IFERROR(IF(OR(LEFT(O40,5)="Error ▲",LEFT(N40,5)="Error ▲",T40="Error ▲"),"Check Data ⚠",IF(F40&lt;R40,INDEX('G-6 Hedgerow Data'!$S$3:$AE$14,MATCH(C40,'G-6 Hedgerow Data'!$B$3:$B$14,0),MATCH(M40,'G-6 Hedgerow Data'!$S$2:$AE$2,0)),INDEX('G-6 Hedgerow Data'!$K$3:$Q$14,MATCH(M40,'G-6 Hedgerow Data'!$B$3:$B$14,0),MATCH(O40,'G-6 Hedgerow Data'!$K$2:$Q$2,0)))),"")</f>
        <v/>
      </c>
      <c r="Y40" s="195"/>
      <c r="Z40" s="195"/>
      <c r="AA40" s="507" t="str">
        <f t="shared" si="3"/>
        <v/>
      </c>
      <c r="AB40" s="521" t="str">
        <f t="shared" si="4"/>
        <v/>
      </c>
      <c r="AC40" s="522" t="str">
        <f t="shared" si="1"/>
        <v/>
      </c>
      <c r="AD40" s="537" t="str">
        <f>IF(M40="","",VLOOKUP(M40,'G-6 Hedgerow Data'!$B$3:$AG$15,31,FALSE))</f>
        <v/>
      </c>
      <c r="AE40" s="507" t="str">
        <f t="shared" si="5"/>
        <v/>
      </c>
      <c r="AF40" s="507" t="str">
        <f t="shared" si="6"/>
        <v/>
      </c>
      <c r="AG40" s="524" t="str">
        <f>IFERROR(IF(O40="","",VLOOKUP(AD40,'G-3 Multipliers'!$P$3:$Q$6,2,FALSE)),"")</f>
        <v/>
      </c>
      <c r="AH40" s="513" t="str">
        <f t="shared" si="7"/>
        <v/>
      </c>
      <c r="AI40" s="231"/>
      <c r="AJ40" s="150"/>
      <c r="AT40" s="31" t="str">
        <f>IFERROR(INDEX('G-6 Hedgerow Data'!$BJ$3:$BJ$15,MATCH(M40,'G-6 Hedgerow Data'!$B$3:$B$15,0)),"")</f>
        <v/>
      </c>
    </row>
    <row r="41" spans="2:46" ht="14" x14ac:dyDescent="0.3">
      <c r="B41" s="531" t="str">
        <f>'B-1 Site Hedge Baseline'!AK39</f>
        <v/>
      </c>
      <c r="C41" s="520" t="str">
        <f>IF(B41="","",IF(ISNA(VLOOKUP($B41,'B-1 Site Hedge Baseline'!$B$1:$L$257,3,FALSE)),"",(VLOOKUP($B41,'B-1 Site Hedge Baseline'!$B$1:$L$257,3,FALSE))))</f>
        <v/>
      </c>
      <c r="D41" s="520" t="str">
        <f>IF(B41="","",IF(ISNA(VLOOKUP($B41,'B-1 Site Hedge Baseline'!$B$1:$L$257,4,FALSE)),"",(VLOOKUP($B41,'B-1 Site Hedge Baseline'!$B$1:$L$257,4,FALSE))))</f>
        <v/>
      </c>
      <c r="E41" s="520" t="str">
        <f>IF(B41="","",IF(ISNA(VLOOKUP($B41,'B-1 Site Hedge Baseline'!$B$1:$L$257,5,FALSE)),"",(VLOOKUP($B41,'B-1 Site Hedge Baseline'!$B$1:$L$257,5,FALSE))))</f>
        <v/>
      </c>
      <c r="F41" s="520" t="str">
        <f>IF(B41="","",IF(ISNA(VLOOKUP($B41,'B-1 Site Hedge Baseline'!$B$1:$L$257,6,FALSE)),"",(VLOOKUP($B41,'B-1 Site Hedge Baseline'!$B$1:$L$257,6,FALSE))))</f>
        <v/>
      </c>
      <c r="G41" s="520" t="str">
        <f>IF(B41="","",IF(ISNA(VLOOKUP($B41,'B-1 Site Hedge Baseline'!$B$1:$L$257,7,FALSE)),"",(VLOOKUP($B41,'B-1 Site Hedge Baseline'!$B$1:$L$257,7,FALSE))))</f>
        <v/>
      </c>
      <c r="H41" s="520" t="str">
        <f>IF(B41="","",IF(ISNA(VLOOKUP($B41,'B-1 Site Hedge Baseline'!$B$1:$L$257,8,FALSE)),"",(VLOOKUP($B41,'B-1 Site Hedge Baseline'!$B$1:$L$257,8,FALSE))))</f>
        <v/>
      </c>
      <c r="I41" s="520" t="str">
        <f>IF(B41="","",IF(ISNA(VLOOKUP($B41,'B-1 Site Hedge Baseline'!$B$1:$L$257,10,FALSE)),"",(VLOOKUP($B41,'B-1 Site Hedge Baseline'!$B$1:$L$257,10,FALSE))))</f>
        <v/>
      </c>
      <c r="J41" s="520" t="str">
        <f>IF(B41="","",IF(ISNA(VLOOKUP($B41,'B-1 Site Hedge Baseline'!$B$1:$L$257,11,FALSE)),"",(VLOOKUP($B41,'B-1 Site Hedge Baseline'!$B$1:$L$257,11,FALSE))))</f>
        <v/>
      </c>
      <c r="K41" s="520" t="str">
        <f>IF(B41="","",IF(ISNA(VLOOKUP($B41,'B-1 Site Hedge Baseline'!$B$1:$U$257,13,FALSE)),"",(VLOOKUP($B41,'B-1 Site Hedge Baseline'!$B$1:$U$257,13,FALSE))))</f>
        <v/>
      </c>
      <c r="L41" s="524" t="str">
        <f>IF(B41="","",IF(ISNA(VLOOKUP($B41,'B-1 Site Hedge Baseline'!$B$1:$U$257,12,FALSE)),"",(VLOOKUP($B41,'B-1 Site Hedge Baseline'!$B$1:$U$257,12,FALSE))))</f>
        <v/>
      </c>
      <c r="M41" s="416" t="str">
        <f t="shared" si="0"/>
        <v/>
      </c>
      <c r="N41" s="498" t="str">
        <f>IFERROR(IF(B41="","",INDEX('G-6 Hedgerow Data'!$AN$3:$AZ$15,MATCH(C41,'G-6 Hedgerow Data'!$AM$3:$AM$15,0),MATCH(M41,'G-6 Hedgerow Data'!$AN$2:$AZ$2,0))),"")</f>
        <v/>
      </c>
      <c r="O41" s="499" t="str">
        <f t="shared" si="2"/>
        <v/>
      </c>
      <c r="P41" s="559" t="str">
        <f>IF(B41="","",VLOOKUP(B41,'B-1 Site Hedge Baseline'!$B$10:T286,16,FALSE))</f>
        <v/>
      </c>
      <c r="Q41" s="498" t="str">
        <f>IF(M41="","",VLOOKUP(M41,'G-6 Hedgerow Data'!$B$2:$AG$15,2,FALSE))</f>
        <v/>
      </c>
      <c r="R41" s="499" t="str">
        <f>IF(M41="","",VLOOKUP(M41,'G-6 Hedgerow Data'!$B$2:$AG$15,3,FALSE))</f>
        <v/>
      </c>
      <c r="S41" s="157"/>
      <c r="T41" s="540" t="str">
        <f>IFERROR(VLOOKUP(S41,'G-1 All Habitats'!$Z$2:$AA$9,2,FALSE),"")</f>
        <v/>
      </c>
      <c r="U41" s="154"/>
      <c r="V41" s="520" t="str">
        <f>IF(U41="","",IF(VLOOKUP(U41,'G-3 Multipliers'!$L$3:$N$6,2,FALSE)=0,"Spatial Data Missing ⚠",VLOOKUP(U41,'G-3 Multipliers'!$L$3:$N$6,2,FALSE)))</f>
        <v/>
      </c>
      <c r="W41" s="524" t="str">
        <f>IF(U41="","",IF(VLOOKUP(U41,'G-3 Multipliers'!$L$3:$N$6,3,FALSE)=0,"Spatial Data Missing ⚠",VLOOKUP(U41,'G-3 Multipliers'!$L$3:$N$6,3,FALSE)))</f>
        <v/>
      </c>
      <c r="X41" s="498" t="str">
        <f>IFERROR(IF(OR(LEFT(O41,5)="Error ▲",LEFT(N41,5)="Error ▲",T41="Error ▲"),"Check Data ⚠",IF(F41&lt;R41,INDEX('G-6 Hedgerow Data'!$S$3:$AE$14,MATCH(C41,'G-6 Hedgerow Data'!$B$3:$B$14,0),MATCH(M41,'G-6 Hedgerow Data'!$S$2:$AE$2,0)),INDEX('G-6 Hedgerow Data'!$K$3:$Q$14,MATCH(M41,'G-6 Hedgerow Data'!$B$3:$B$14,0),MATCH(O41,'G-6 Hedgerow Data'!$K$2:$Q$2,0)))),"")</f>
        <v/>
      </c>
      <c r="Y41" s="195"/>
      <c r="Z41" s="195"/>
      <c r="AA41" s="507" t="str">
        <f t="shared" si="3"/>
        <v/>
      </c>
      <c r="AB41" s="521" t="str">
        <f t="shared" si="4"/>
        <v/>
      </c>
      <c r="AC41" s="522" t="str">
        <f t="shared" si="1"/>
        <v/>
      </c>
      <c r="AD41" s="537" t="str">
        <f>IF(M41="","",VLOOKUP(M41,'G-6 Hedgerow Data'!$B$3:$AG$15,31,FALSE))</f>
        <v/>
      </c>
      <c r="AE41" s="507" t="str">
        <f t="shared" si="5"/>
        <v/>
      </c>
      <c r="AF41" s="507" t="str">
        <f t="shared" si="6"/>
        <v/>
      </c>
      <c r="AG41" s="524" t="str">
        <f>IFERROR(IF(O41="","",VLOOKUP(AD41,'G-3 Multipliers'!$P$3:$Q$6,2,FALSE)),"")</f>
        <v/>
      </c>
      <c r="AH41" s="513" t="str">
        <f t="shared" si="7"/>
        <v/>
      </c>
      <c r="AI41" s="231"/>
      <c r="AJ41" s="150"/>
      <c r="AT41" s="31" t="str">
        <f>IFERROR(INDEX('G-6 Hedgerow Data'!$BJ$3:$BJ$15,MATCH(M41,'G-6 Hedgerow Data'!$B$3:$B$15,0)),"")</f>
        <v/>
      </c>
    </row>
    <row r="42" spans="2:46" ht="14" x14ac:dyDescent="0.3">
      <c r="B42" s="531" t="str">
        <f>'B-1 Site Hedge Baseline'!AK40</f>
        <v/>
      </c>
      <c r="C42" s="520" t="str">
        <f>IF(B42="","",IF(ISNA(VLOOKUP($B42,'B-1 Site Hedge Baseline'!$B$1:$L$257,3,FALSE)),"",(VLOOKUP($B42,'B-1 Site Hedge Baseline'!$B$1:$L$257,3,FALSE))))</f>
        <v/>
      </c>
      <c r="D42" s="520" t="str">
        <f>IF(B42="","",IF(ISNA(VLOOKUP($B42,'B-1 Site Hedge Baseline'!$B$1:$L$257,4,FALSE)),"",(VLOOKUP($B42,'B-1 Site Hedge Baseline'!$B$1:$L$257,4,FALSE))))</f>
        <v/>
      </c>
      <c r="E42" s="520" t="str">
        <f>IF(B42="","",IF(ISNA(VLOOKUP($B42,'B-1 Site Hedge Baseline'!$B$1:$L$257,5,FALSE)),"",(VLOOKUP($B42,'B-1 Site Hedge Baseline'!$B$1:$L$257,5,FALSE))))</f>
        <v/>
      </c>
      <c r="F42" s="520" t="str">
        <f>IF(B42="","",IF(ISNA(VLOOKUP($B42,'B-1 Site Hedge Baseline'!$B$1:$L$257,6,FALSE)),"",(VLOOKUP($B42,'B-1 Site Hedge Baseline'!$B$1:$L$257,6,FALSE))))</f>
        <v/>
      </c>
      <c r="G42" s="520" t="str">
        <f>IF(B42="","",IF(ISNA(VLOOKUP($B42,'B-1 Site Hedge Baseline'!$B$1:$L$257,7,FALSE)),"",(VLOOKUP($B42,'B-1 Site Hedge Baseline'!$B$1:$L$257,7,FALSE))))</f>
        <v/>
      </c>
      <c r="H42" s="520" t="str">
        <f>IF(B42="","",IF(ISNA(VLOOKUP($B42,'B-1 Site Hedge Baseline'!$B$1:$L$257,8,FALSE)),"",(VLOOKUP($B42,'B-1 Site Hedge Baseline'!$B$1:$L$257,8,FALSE))))</f>
        <v/>
      </c>
      <c r="I42" s="520" t="str">
        <f>IF(B42="","",IF(ISNA(VLOOKUP($B42,'B-1 Site Hedge Baseline'!$B$1:$L$257,10,FALSE)),"",(VLOOKUP($B42,'B-1 Site Hedge Baseline'!$B$1:$L$257,10,FALSE))))</f>
        <v/>
      </c>
      <c r="J42" s="520" t="str">
        <f>IF(B42="","",IF(ISNA(VLOOKUP($B42,'B-1 Site Hedge Baseline'!$B$1:$L$257,11,FALSE)),"",(VLOOKUP($B42,'B-1 Site Hedge Baseline'!$B$1:$L$257,11,FALSE))))</f>
        <v/>
      </c>
      <c r="K42" s="520" t="str">
        <f>IF(B42="","",IF(ISNA(VLOOKUP($B42,'B-1 Site Hedge Baseline'!$B$1:$U$257,13,FALSE)),"",(VLOOKUP($B42,'B-1 Site Hedge Baseline'!$B$1:$U$257,13,FALSE))))</f>
        <v/>
      </c>
      <c r="L42" s="524" t="str">
        <f>IF(B42="","",IF(ISNA(VLOOKUP($B42,'B-1 Site Hedge Baseline'!$B$1:$U$257,12,FALSE)),"",(VLOOKUP($B42,'B-1 Site Hedge Baseline'!$B$1:$U$257,12,FALSE))))</f>
        <v/>
      </c>
      <c r="M42" s="416" t="str">
        <f t="shared" si="0"/>
        <v/>
      </c>
      <c r="N42" s="498" t="str">
        <f>IFERROR(IF(B42="","",INDEX('G-6 Hedgerow Data'!$AN$3:$AZ$15,MATCH(C42,'G-6 Hedgerow Data'!$AM$3:$AM$15,0),MATCH(M42,'G-6 Hedgerow Data'!$AN$2:$AZ$2,0))),"")</f>
        <v/>
      </c>
      <c r="O42" s="499" t="str">
        <f t="shared" si="2"/>
        <v/>
      </c>
      <c r="P42" s="559" t="str">
        <f>IF(B42="","",VLOOKUP(B42,'B-1 Site Hedge Baseline'!$B$10:T287,16,FALSE))</f>
        <v/>
      </c>
      <c r="Q42" s="498" t="str">
        <f>IF(M42="","",VLOOKUP(M42,'G-6 Hedgerow Data'!$B$2:$AG$15,2,FALSE))</f>
        <v/>
      </c>
      <c r="R42" s="499" t="str">
        <f>IF(M42="","",VLOOKUP(M42,'G-6 Hedgerow Data'!$B$2:$AG$15,3,FALSE))</f>
        <v/>
      </c>
      <c r="S42" s="157"/>
      <c r="T42" s="540" t="str">
        <f>IFERROR(VLOOKUP(S42,'G-1 All Habitats'!$Z$2:$AA$9,2,FALSE),"")</f>
        <v/>
      </c>
      <c r="U42" s="154"/>
      <c r="V42" s="520" t="str">
        <f>IF(U42="","",IF(VLOOKUP(U42,'G-3 Multipliers'!$L$3:$N$6,2,FALSE)=0,"Spatial Data Missing ⚠",VLOOKUP(U42,'G-3 Multipliers'!$L$3:$N$6,2,FALSE)))</f>
        <v/>
      </c>
      <c r="W42" s="524" t="str">
        <f>IF(U42="","",IF(VLOOKUP(U42,'G-3 Multipliers'!$L$3:$N$6,3,FALSE)=0,"Spatial Data Missing ⚠",VLOOKUP(U42,'G-3 Multipliers'!$L$3:$N$6,3,FALSE)))</f>
        <v/>
      </c>
      <c r="X42" s="498" t="str">
        <f>IFERROR(IF(OR(LEFT(O42,5)="Error ▲",LEFT(N42,5)="Error ▲",T42="Error ▲"),"Check Data ⚠",IF(F42&lt;R42,INDEX('G-6 Hedgerow Data'!$S$3:$AE$14,MATCH(C42,'G-6 Hedgerow Data'!$B$3:$B$14,0),MATCH(M42,'G-6 Hedgerow Data'!$S$2:$AE$2,0)),INDEX('G-6 Hedgerow Data'!$K$3:$Q$14,MATCH(M42,'G-6 Hedgerow Data'!$B$3:$B$14,0),MATCH(O42,'G-6 Hedgerow Data'!$K$2:$Q$2,0)))),"")</f>
        <v/>
      </c>
      <c r="Y42" s="195"/>
      <c r="Z42" s="195"/>
      <c r="AA42" s="507" t="str">
        <f t="shared" si="3"/>
        <v/>
      </c>
      <c r="AB42" s="521" t="str">
        <f t="shared" si="4"/>
        <v/>
      </c>
      <c r="AC42" s="522" t="str">
        <f t="shared" si="1"/>
        <v/>
      </c>
      <c r="AD42" s="537" t="str">
        <f>IF(M42="","",VLOOKUP(M42,'G-6 Hedgerow Data'!$B$3:$AG$15,31,FALSE))</f>
        <v/>
      </c>
      <c r="AE42" s="507" t="str">
        <f t="shared" si="5"/>
        <v/>
      </c>
      <c r="AF42" s="507" t="str">
        <f t="shared" si="6"/>
        <v/>
      </c>
      <c r="AG42" s="524" t="str">
        <f>IFERROR(IF(O42="","",VLOOKUP(AD42,'G-3 Multipliers'!$P$3:$Q$6,2,FALSE)),"")</f>
        <v/>
      </c>
      <c r="AH42" s="513" t="str">
        <f t="shared" si="7"/>
        <v/>
      </c>
      <c r="AI42" s="231"/>
      <c r="AJ42" s="150"/>
      <c r="AT42" s="31" t="str">
        <f>IFERROR(INDEX('G-6 Hedgerow Data'!$BJ$3:$BJ$15,MATCH(M42,'G-6 Hedgerow Data'!$B$3:$B$15,0)),"")</f>
        <v/>
      </c>
    </row>
    <row r="43" spans="2:46" ht="14" x14ac:dyDescent="0.3">
      <c r="B43" s="531" t="str">
        <f>'B-1 Site Hedge Baseline'!AK41</f>
        <v/>
      </c>
      <c r="C43" s="520" t="str">
        <f>IF(B43="","",IF(ISNA(VLOOKUP($B43,'B-1 Site Hedge Baseline'!$B$1:$L$257,3,FALSE)),"",(VLOOKUP($B43,'B-1 Site Hedge Baseline'!$B$1:$L$257,3,FALSE))))</f>
        <v/>
      </c>
      <c r="D43" s="520" t="str">
        <f>IF(B43="","",IF(ISNA(VLOOKUP($B43,'B-1 Site Hedge Baseline'!$B$1:$L$257,4,FALSE)),"",(VLOOKUP($B43,'B-1 Site Hedge Baseline'!$B$1:$L$257,4,FALSE))))</f>
        <v/>
      </c>
      <c r="E43" s="520" t="str">
        <f>IF(B43="","",IF(ISNA(VLOOKUP($B43,'B-1 Site Hedge Baseline'!$B$1:$L$257,5,FALSE)),"",(VLOOKUP($B43,'B-1 Site Hedge Baseline'!$B$1:$L$257,5,FALSE))))</f>
        <v/>
      </c>
      <c r="F43" s="520" t="str">
        <f>IF(B43="","",IF(ISNA(VLOOKUP($B43,'B-1 Site Hedge Baseline'!$B$1:$L$257,6,FALSE)),"",(VLOOKUP($B43,'B-1 Site Hedge Baseline'!$B$1:$L$257,6,FALSE))))</f>
        <v/>
      </c>
      <c r="G43" s="520" t="str">
        <f>IF(B43="","",IF(ISNA(VLOOKUP($B43,'B-1 Site Hedge Baseline'!$B$1:$L$257,7,FALSE)),"",(VLOOKUP($B43,'B-1 Site Hedge Baseline'!$B$1:$L$257,7,FALSE))))</f>
        <v/>
      </c>
      <c r="H43" s="520" t="str">
        <f>IF(B43="","",IF(ISNA(VLOOKUP($B43,'B-1 Site Hedge Baseline'!$B$1:$L$257,8,FALSE)),"",(VLOOKUP($B43,'B-1 Site Hedge Baseline'!$B$1:$L$257,8,FALSE))))</f>
        <v/>
      </c>
      <c r="I43" s="520" t="str">
        <f>IF(B43="","",IF(ISNA(VLOOKUP($B43,'B-1 Site Hedge Baseline'!$B$1:$L$257,10,FALSE)),"",(VLOOKUP($B43,'B-1 Site Hedge Baseline'!$B$1:$L$257,10,FALSE))))</f>
        <v/>
      </c>
      <c r="J43" s="520" t="str">
        <f>IF(B43="","",IF(ISNA(VLOOKUP($B43,'B-1 Site Hedge Baseline'!$B$1:$L$257,11,FALSE)),"",(VLOOKUP($B43,'B-1 Site Hedge Baseline'!$B$1:$L$257,11,FALSE))))</f>
        <v/>
      </c>
      <c r="K43" s="520" t="str">
        <f>IF(B43="","",IF(ISNA(VLOOKUP($B43,'B-1 Site Hedge Baseline'!$B$1:$U$257,13,FALSE)),"",(VLOOKUP($B43,'B-1 Site Hedge Baseline'!$B$1:$U$257,13,FALSE))))</f>
        <v/>
      </c>
      <c r="L43" s="524" t="str">
        <f>IF(B43="","",IF(ISNA(VLOOKUP($B43,'B-1 Site Hedge Baseline'!$B$1:$U$257,12,FALSE)),"",(VLOOKUP($B43,'B-1 Site Hedge Baseline'!$B$1:$U$257,12,FALSE))))</f>
        <v/>
      </c>
      <c r="M43" s="416" t="str">
        <f t="shared" si="0"/>
        <v/>
      </c>
      <c r="N43" s="498" t="str">
        <f>IFERROR(IF(B43="","",INDEX('G-6 Hedgerow Data'!$AN$3:$AZ$15,MATCH(C43,'G-6 Hedgerow Data'!$AM$3:$AM$15,0),MATCH(M43,'G-6 Hedgerow Data'!$AN$2:$AZ$2,0))),"")</f>
        <v/>
      </c>
      <c r="O43" s="499" t="str">
        <f t="shared" si="2"/>
        <v/>
      </c>
      <c r="P43" s="559" t="str">
        <f>IF(B43="","",VLOOKUP(B43,'B-1 Site Hedge Baseline'!$B$10:T288,16,FALSE))</f>
        <v/>
      </c>
      <c r="Q43" s="498" t="str">
        <f>IF(M43="","",VLOOKUP(M43,'G-6 Hedgerow Data'!$B$2:$AG$15,2,FALSE))</f>
        <v/>
      </c>
      <c r="R43" s="499" t="str">
        <f>IF(M43="","",VLOOKUP(M43,'G-6 Hedgerow Data'!$B$2:$AG$15,3,FALSE))</f>
        <v/>
      </c>
      <c r="S43" s="157"/>
      <c r="T43" s="540" t="str">
        <f>IFERROR(VLOOKUP(S43,'G-1 All Habitats'!$Z$2:$AA$9,2,FALSE),"")</f>
        <v/>
      </c>
      <c r="U43" s="154"/>
      <c r="V43" s="520" t="str">
        <f>IF(U43="","",IF(VLOOKUP(U43,'G-3 Multipliers'!$L$3:$N$6,2,FALSE)=0,"Spatial Data Missing ⚠",VLOOKUP(U43,'G-3 Multipliers'!$L$3:$N$6,2,FALSE)))</f>
        <v/>
      </c>
      <c r="W43" s="524" t="str">
        <f>IF(U43="","",IF(VLOOKUP(U43,'G-3 Multipliers'!$L$3:$N$6,3,FALSE)=0,"Spatial Data Missing ⚠",VLOOKUP(U43,'G-3 Multipliers'!$L$3:$N$6,3,FALSE)))</f>
        <v/>
      </c>
      <c r="X43" s="498" t="str">
        <f>IFERROR(IF(OR(LEFT(O43,5)="Error ▲",LEFT(N43,5)="Error ▲",T43="Error ▲"),"Check Data ⚠",IF(F43&lt;R43,INDEX('G-6 Hedgerow Data'!$S$3:$AE$14,MATCH(C43,'G-6 Hedgerow Data'!$B$3:$B$14,0),MATCH(M43,'G-6 Hedgerow Data'!$S$2:$AE$2,0)),INDEX('G-6 Hedgerow Data'!$K$3:$Q$14,MATCH(M43,'G-6 Hedgerow Data'!$B$3:$B$14,0),MATCH(O43,'G-6 Hedgerow Data'!$K$2:$Q$2,0)))),"")</f>
        <v/>
      </c>
      <c r="Y43" s="195"/>
      <c r="Z43" s="195"/>
      <c r="AA43" s="507" t="str">
        <f t="shared" si="3"/>
        <v/>
      </c>
      <c r="AB43" s="521" t="str">
        <f t="shared" si="4"/>
        <v/>
      </c>
      <c r="AC43" s="522" t="str">
        <f t="shared" si="1"/>
        <v/>
      </c>
      <c r="AD43" s="537" t="str">
        <f>IF(M43="","",VLOOKUP(M43,'G-6 Hedgerow Data'!$B$3:$AG$15,31,FALSE))</f>
        <v/>
      </c>
      <c r="AE43" s="507" t="str">
        <f t="shared" si="5"/>
        <v/>
      </c>
      <c r="AF43" s="507" t="str">
        <f t="shared" si="6"/>
        <v/>
      </c>
      <c r="AG43" s="524" t="str">
        <f>IFERROR(IF(O43="","",VLOOKUP(AD43,'G-3 Multipliers'!$P$3:$Q$6,2,FALSE)),"")</f>
        <v/>
      </c>
      <c r="AH43" s="513" t="str">
        <f t="shared" si="7"/>
        <v/>
      </c>
      <c r="AI43" s="231"/>
      <c r="AJ43" s="150"/>
      <c r="AT43" s="31" t="str">
        <f>IFERROR(INDEX('G-6 Hedgerow Data'!$BJ$3:$BJ$15,MATCH(M43,'G-6 Hedgerow Data'!$B$3:$B$15,0)),"")</f>
        <v/>
      </c>
    </row>
    <row r="44" spans="2:46" ht="14" x14ac:dyDescent="0.3">
      <c r="B44" s="531" t="str">
        <f>'B-1 Site Hedge Baseline'!AK42</f>
        <v/>
      </c>
      <c r="C44" s="520" t="str">
        <f>IF(B44="","",IF(ISNA(VLOOKUP($B44,'B-1 Site Hedge Baseline'!$B$1:$L$257,3,FALSE)),"",(VLOOKUP($B44,'B-1 Site Hedge Baseline'!$B$1:$L$257,3,FALSE))))</f>
        <v/>
      </c>
      <c r="D44" s="520" t="str">
        <f>IF(B44="","",IF(ISNA(VLOOKUP($B44,'B-1 Site Hedge Baseline'!$B$1:$L$257,4,FALSE)),"",(VLOOKUP($B44,'B-1 Site Hedge Baseline'!$B$1:$L$257,4,FALSE))))</f>
        <v/>
      </c>
      <c r="E44" s="520" t="str">
        <f>IF(B44="","",IF(ISNA(VLOOKUP($B44,'B-1 Site Hedge Baseline'!$B$1:$L$257,5,FALSE)),"",(VLOOKUP($B44,'B-1 Site Hedge Baseline'!$B$1:$L$257,5,FALSE))))</f>
        <v/>
      </c>
      <c r="F44" s="520" t="str">
        <f>IF(B44="","",IF(ISNA(VLOOKUP($B44,'B-1 Site Hedge Baseline'!$B$1:$L$257,6,FALSE)),"",(VLOOKUP($B44,'B-1 Site Hedge Baseline'!$B$1:$L$257,6,FALSE))))</f>
        <v/>
      </c>
      <c r="G44" s="520" t="str">
        <f>IF(B44="","",IF(ISNA(VLOOKUP($B44,'B-1 Site Hedge Baseline'!$B$1:$L$257,7,FALSE)),"",(VLOOKUP($B44,'B-1 Site Hedge Baseline'!$B$1:$L$257,7,FALSE))))</f>
        <v/>
      </c>
      <c r="H44" s="520" t="str">
        <f>IF(B44="","",IF(ISNA(VLOOKUP($B44,'B-1 Site Hedge Baseline'!$B$1:$L$257,8,FALSE)),"",(VLOOKUP($B44,'B-1 Site Hedge Baseline'!$B$1:$L$257,8,FALSE))))</f>
        <v/>
      </c>
      <c r="I44" s="520" t="str">
        <f>IF(B44="","",IF(ISNA(VLOOKUP($B44,'B-1 Site Hedge Baseline'!$B$1:$L$257,10,FALSE)),"",(VLOOKUP($B44,'B-1 Site Hedge Baseline'!$B$1:$L$257,10,FALSE))))</f>
        <v/>
      </c>
      <c r="J44" s="520" t="str">
        <f>IF(B44="","",IF(ISNA(VLOOKUP($B44,'B-1 Site Hedge Baseline'!$B$1:$L$257,11,FALSE)),"",(VLOOKUP($B44,'B-1 Site Hedge Baseline'!$B$1:$L$257,11,FALSE))))</f>
        <v/>
      </c>
      <c r="K44" s="520" t="str">
        <f>IF(B44="","",IF(ISNA(VLOOKUP($B44,'B-1 Site Hedge Baseline'!$B$1:$U$257,13,FALSE)),"",(VLOOKUP($B44,'B-1 Site Hedge Baseline'!$B$1:$U$257,13,FALSE))))</f>
        <v/>
      </c>
      <c r="L44" s="524" t="str">
        <f>IF(B44="","",IF(ISNA(VLOOKUP($B44,'B-1 Site Hedge Baseline'!$B$1:$U$257,12,FALSE)),"",(VLOOKUP($B44,'B-1 Site Hedge Baseline'!$B$1:$U$257,12,FALSE))))</f>
        <v/>
      </c>
      <c r="M44" s="416" t="str">
        <f t="shared" si="0"/>
        <v/>
      </c>
      <c r="N44" s="498" t="str">
        <f>IFERROR(IF(B44="","",INDEX('G-6 Hedgerow Data'!$AN$3:$AZ$15,MATCH(C44,'G-6 Hedgerow Data'!$AM$3:$AM$15,0),MATCH(M44,'G-6 Hedgerow Data'!$AN$2:$AZ$2,0))),"")</f>
        <v/>
      </c>
      <c r="O44" s="499" t="str">
        <f t="shared" si="2"/>
        <v/>
      </c>
      <c r="P44" s="559" t="str">
        <f>IF(B44="","",VLOOKUP(B44,'B-1 Site Hedge Baseline'!$B$10:T289,16,FALSE))</f>
        <v/>
      </c>
      <c r="Q44" s="498" t="str">
        <f>IF(M44="","",VLOOKUP(M44,'G-6 Hedgerow Data'!$B$2:$AG$15,2,FALSE))</f>
        <v/>
      </c>
      <c r="R44" s="499" t="str">
        <f>IF(M44="","",VLOOKUP(M44,'G-6 Hedgerow Data'!$B$2:$AG$15,3,FALSE))</f>
        <v/>
      </c>
      <c r="S44" s="157"/>
      <c r="T44" s="540" t="str">
        <f>IFERROR(VLOOKUP(S44,'G-1 All Habitats'!$Z$2:$AA$9,2,FALSE),"")</f>
        <v/>
      </c>
      <c r="U44" s="154"/>
      <c r="V44" s="520" t="str">
        <f>IF(U44="","",IF(VLOOKUP(U44,'G-3 Multipliers'!$L$3:$N$6,2,FALSE)=0,"Spatial Data Missing ⚠",VLOOKUP(U44,'G-3 Multipliers'!$L$3:$N$6,2,FALSE)))</f>
        <v/>
      </c>
      <c r="W44" s="524" t="str">
        <f>IF(U44="","",IF(VLOOKUP(U44,'G-3 Multipliers'!$L$3:$N$6,3,FALSE)=0,"Spatial Data Missing ⚠",VLOOKUP(U44,'G-3 Multipliers'!$L$3:$N$6,3,FALSE)))</f>
        <v/>
      </c>
      <c r="X44" s="498" t="str">
        <f>IFERROR(IF(OR(LEFT(O44,5)="Error ▲",LEFT(N44,5)="Error ▲",T44="Error ▲"),"Check Data ⚠",IF(F44&lt;R44,INDEX('G-6 Hedgerow Data'!$S$3:$AE$14,MATCH(C44,'G-6 Hedgerow Data'!$B$3:$B$14,0),MATCH(M44,'G-6 Hedgerow Data'!$S$2:$AE$2,0)),INDEX('G-6 Hedgerow Data'!$K$3:$Q$14,MATCH(M44,'G-6 Hedgerow Data'!$B$3:$B$14,0),MATCH(O44,'G-6 Hedgerow Data'!$K$2:$Q$2,0)))),"")</f>
        <v/>
      </c>
      <c r="Y44" s="195"/>
      <c r="Z44" s="195"/>
      <c r="AA44" s="507" t="str">
        <f t="shared" si="3"/>
        <v/>
      </c>
      <c r="AB44" s="521" t="str">
        <f t="shared" si="4"/>
        <v/>
      </c>
      <c r="AC44" s="522" t="str">
        <f t="shared" si="1"/>
        <v/>
      </c>
      <c r="AD44" s="537" t="str">
        <f>IF(M44="","",VLOOKUP(M44,'G-6 Hedgerow Data'!$B$3:$AG$15,31,FALSE))</f>
        <v/>
      </c>
      <c r="AE44" s="507" t="str">
        <f t="shared" si="5"/>
        <v/>
      </c>
      <c r="AF44" s="507" t="str">
        <f t="shared" si="6"/>
        <v/>
      </c>
      <c r="AG44" s="524" t="str">
        <f>IFERROR(IF(O44="","",VLOOKUP(AD44,'G-3 Multipliers'!$P$3:$Q$6,2,FALSE)),"")</f>
        <v/>
      </c>
      <c r="AH44" s="513" t="str">
        <f t="shared" si="7"/>
        <v/>
      </c>
      <c r="AI44" s="231"/>
      <c r="AJ44" s="150"/>
      <c r="AT44" s="31" t="str">
        <f>IFERROR(INDEX('G-6 Hedgerow Data'!$BJ$3:$BJ$15,MATCH(M44,'G-6 Hedgerow Data'!$B$3:$B$15,0)),"")</f>
        <v/>
      </c>
    </row>
    <row r="45" spans="2:46" ht="14" x14ac:dyDescent="0.3">
      <c r="B45" s="531" t="str">
        <f>'B-1 Site Hedge Baseline'!AK43</f>
        <v/>
      </c>
      <c r="C45" s="520" t="str">
        <f>IF(B45="","",IF(ISNA(VLOOKUP($B45,'B-1 Site Hedge Baseline'!$B$1:$L$257,3,FALSE)),"",(VLOOKUP($B45,'B-1 Site Hedge Baseline'!$B$1:$L$257,3,FALSE))))</f>
        <v/>
      </c>
      <c r="D45" s="520" t="str">
        <f>IF(B45="","",IF(ISNA(VLOOKUP($B45,'B-1 Site Hedge Baseline'!$B$1:$L$257,4,FALSE)),"",(VLOOKUP($B45,'B-1 Site Hedge Baseline'!$B$1:$L$257,4,FALSE))))</f>
        <v/>
      </c>
      <c r="E45" s="520" t="str">
        <f>IF(B45="","",IF(ISNA(VLOOKUP($B45,'B-1 Site Hedge Baseline'!$B$1:$L$257,5,FALSE)),"",(VLOOKUP($B45,'B-1 Site Hedge Baseline'!$B$1:$L$257,5,FALSE))))</f>
        <v/>
      </c>
      <c r="F45" s="520" t="str">
        <f>IF(B45="","",IF(ISNA(VLOOKUP($B45,'B-1 Site Hedge Baseline'!$B$1:$L$257,6,FALSE)),"",(VLOOKUP($B45,'B-1 Site Hedge Baseline'!$B$1:$L$257,6,FALSE))))</f>
        <v/>
      </c>
      <c r="G45" s="520" t="str">
        <f>IF(B45="","",IF(ISNA(VLOOKUP($B45,'B-1 Site Hedge Baseline'!$B$1:$L$257,7,FALSE)),"",(VLOOKUP($B45,'B-1 Site Hedge Baseline'!$B$1:$L$257,7,FALSE))))</f>
        <v/>
      </c>
      <c r="H45" s="520" t="str">
        <f>IF(B45="","",IF(ISNA(VLOOKUP($B45,'B-1 Site Hedge Baseline'!$B$1:$L$257,8,FALSE)),"",(VLOOKUP($B45,'B-1 Site Hedge Baseline'!$B$1:$L$257,8,FALSE))))</f>
        <v/>
      </c>
      <c r="I45" s="520" t="str">
        <f>IF(B45="","",IF(ISNA(VLOOKUP($B45,'B-1 Site Hedge Baseline'!$B$1:$L$257,10,FALSE)),"",(VLOOKUP($B45,'B-1 Site Hedge Baseline'!$B$1:$L$257,10,FALSE))))</f>
        <v/>
      </c>
      <c r="J45" s="520" t="str">
        <f>IF(B45="","",IF(ISNA(VLOOKUP($B45,'B-1 Site Hedge Baseline'!$B$1:$L$257,11,FALSE)),"",(VLOOKUP($B45,'B-1 Site Hedge Baseline'!$B$1:$L$257,11,FALSE))))</f>
        <v/>
      </c>
      <c r="K45" s="520" t="str">
        <f>IF(B45="","",IF(ISNA(VLOOKUP($B45,'B-1 Site Hedge Baseline'!$B$1:$U$257,13,FALSE)),"",(VLOOKUP($B45,'B-1 Site Hedge Baseline'!$B$1:$U$257,13,FALSE))))</f>
        <v/>
      </c>
      <c r="L45" s="524" t="str">
        <f>IF(B45="","",IF(ISNA(VLOOKUP($B45,'B-1 Site Hedge Baseline'!$B$1:$U$257,12,FALSE)),"",(VLOOKUP($B45,'B-1 Site Hedge Baseline'!$B$1:$U$257,12,FALSE))))</f>
        <v/>
      </c>
      <c r="M45" s="416" t="str">
        <f t="shared" si="0"/>
        <v/>
      </c>
      <c r="N45" s="498" t="str">
        <f>IFERROR(IF(B45="","",INDEX('G-6 Hedgerow Data'!$AN$3:$AZ$15,MATCH(C45,'G-6 Hedgerow Data'!$AM$3:$AM$15,0),MATCH(M45,'G-6 Hedgerow Data'!$AN$2:$AZ$2,0))),"")</f>
        <v/>
      </c>
      <c r="O45" s="499" t="str">
        <f t="shared" si="2"/>
        <v/>
      </c>
      <c r="P45" s="559" t="str">
        <f>IF(B45="","",VLOOKUP(B45,'B-1 Site Hedge Baseline'!$B$10:T290,16,FALSE))</f>
        <v/>
      </c>
      <c r="Q45" s="498" t="str">
        <f>IF(M45="","",VLOOKUP(M45,'G-6 Hedgerow Data'!$B$2:$AG$15,2,FALSE))</f>
        <v/>
      </c>
      <c r="R45" s="499" t="str">
        <f>IF(M45="","",VLOOKUP(M45,'G-6 Hedgerow Data'!$B$2:$AG$15,3,FALSE))</f>
        <v/>
      </c>
      <c r="S45" s="157"/>
      <c r="T45" s="540" t="str">
        <f>IFERROR(VLOOKUP(S45,'G-1 All Habitats'!$Z$2:$AA$9,2,FALSE),"")</f>
        <v/>
      </c>
      <c r="U45" s="154"/>
      <c r="V45" s="520" t="str">
        <f>IF(U45="","",IF(VLOOKUP(U45,'G-3 Multipliers'!$L$3:$N$6,2,FALSE)=0,"Spatial Data Missing ⚠",VLOOKUP(U45,'G-3 Multipliers'!$L$3:$N$6,2,FALSE)))</f>
        <v/>
      </c>
      <c r="W45" s="524" t="str">
        <f>IF(U45="","",IF(VLOOKUP(U45,'G-3 Multipliers'!$L$3:$N$6,3,FALSE)=0,"Spatial Data Missing ⚠",VLOOKUP(U45,'G-3 Multipliers'!$L$3:$N$6,3,FALSE)))</f>
        <v/>
      </c>
      <c r="X45" s="498" t="str">
        <f>IFERROR(IF(OR(LEFT(O45,5)="Error ▲",LEFT(N45,5)="Error ▲",T45="Error ▲"),"Check Data ⚠",IF(F45&lt;R45,INDEX('G-6 Hedgerow Data'!$S$3:$AE$14,MATCH(C45,'G-6 Hedgerow Data'!$B$3:$B$14,0),MATCH(M45,'G-6 Hedgerow Data'!$S$2:$AE$2,0)),INDEX('G-6 Hedgerow Data'!$K$3:$Q$14,MATCH(M45,'G-6 Hedgerow Data'!$B$3:$B$14,0),MATCH(O45,'G-6 Hedgerow Data'!$K$2:$Q$2,0)))),"")</f>
        <v/>
      </c>
      <c r="Y45" s="195"/>
      <c r="Z45" s="195"/>
      <c r="AA45" s="507" t="str">
        <f t="shared" si="3"/>
        <v/>
      </c>
      <c r="AB45" s="521" t="str">
        <f t="shared" si="4"/>
        <v/>
      </c>
      <c r="AC45" s="522" t="str">
        <f t="shared" si="1"/>
        <v/>
      </c>
      <c r="AD45" s="537" t="str">
        <f>IF(M45="","",VLOOKUP(M45,'G-6 Hedgerow Data'!$B$3:$AG$15,31,FALSE))</f>
        <v/>
      </c>
      <c r="AE45" s="507" t="str">
        <f t="shared" si="5"/>
        <v/>
      </c>
      <c r="AF45" s="507" t="str">
        <f t="shared" si="6"/>
        <v/>
      </c>
      <c r="AG45" s="524" t="str">
        <f>IFERROR(IF(O45="","",VLOOKUP(AD45,'G-3 Multipliers'!$P$3:$Q$6,2,FALSE)),"")</f>
        <v/>
      </c>
      <c r="AH45" s="513" t="str">
        <f t="shared" si="7"/>
        <v/>
      </c>
      <c r="AI45" s="231"/>
      <c r="AJ45" s="150"/>
      <c r="AT45" s="31" t="str">
        <f>IFERROR(INDEX('G-6 Hedgerow Data'!$BJ$3:$BJ$15,MATCH(M45,'G-6 Hedgerow Data'!$B$3:$B$15,0)),"")</f>
        <v/>
      </c>
    </row>
    <row r="46" spans="2:46" ht="14" x14ac:dyDescent="0.3">
      <c r="B46" s="531" t="str">
        <f>'B-1 Site Hedge Baseline'!AK44</f>
        <v/>
      </c>
      <c r="C46" s="520" t="str">
        <f>IF(B46="","",IF(ISNA(VLOOKUP($B46,'B-1 Site Hedge Baseline'!$B$1:$L$257,3,FALSE)),"",(VLOOKUP($B46,'B-1 Site Hedge Baseline'!$B$1:$L$257,3,FALSE))))</f>
        <v/>
      </c>
      <c r="D46" s="520" t="str">
        <f>IF(B46="","",IF(ISNA(VLOOKUP($B46,'B-1 Site Hedge Baseline'!$B$1:$L$257,4,FALSE)),"",(VLOOKUP($B46,'B-1 Site Hedge Baseline'!$B$1:$L$257,4,FALSE))))</f>
        <v/>
      </c>
      <c r="E46" s="520" t="str">
        <f>IF(B46="","",IF(ISNA(VLOOKUP($B46,'B-1 Site Hedge Baseline'!$B$1:$L$257,5,FALSE)),"",(VLOOKUP($B46,'B-1 Site Hedge Baseline'!$B$1:$L$257,5,FALSE))))</f>
        <v/>
      </c>
      <c r="F46" s="520" t="str">
        <f>IF(B46="","",IF(ISNA(VLOOKUP($B46,'B-1 Site Hedge Baseline'!$B$1:$L$257,6,FALSE)),"",(VLOOKUP($B46,'B-1 Site Hedge Baseline'!$B$1:$L$257,6,FALSE))))</f>
        <v/>
      </c>
      <c r="G46" s="520" t="str">
        <f>IF(B46="","",IF(ISNA(VLOOKUP($B46,'B-1 Site Hedge Baseline'!$B$1:$L$257,7,FALSE)),"",(VLOOKUP($B46,'B-1 Site Hedge Baseline'!$B$1:$L$257,7,FALSE))))</f>
        <v/>
      </c>
      <c r="H46" s="520" t="str">
        <f>IF(B46="","",IF(ISNA(VLOOKUP($B46,'B-1 Site Hedge Baseline'!$B$1:$L$257,8,FALSE)),"",(VLOOKUP($B46,'B-1 Site Hedge Baseline'!$B$1:$L$257,8,FALSE))))</f>
        <v/>
      </c>
      <c r="I46" s="520" t="str">
        <f>IF(B46="","",IF(ISNA(VLOOKUP($B46,'B-1 Site Hedge Baseline'!$B$1:$L$257,10,FALSE)),"",(VLOOKUP($B46,'B-1 Site Hedge Baseline'!$B$1:$L$257,10,FALSE))))</f>
        <v/>
      </c>
      <c r="J46" s="520" t="str">
        <f>IF(B46="","",IF(ISNA(VLOOKUP($B46,'B-1 Site Hedge Baseline'!$B$1:$L$257,11,FALSE)),"",(VLOOKUP($B46,'B-1 Site Hedge Baseline'!$B$1:$L$257,11,FALSE))))</f>
        <v/>
      </c>
      <c r="K46" s="520" t="str">
        <f>IF(B46="","",IF(ISNA(VLOOKUP($B46,'B-1 Site Hedge Baseline'!$B$1:$U$257,13,FALSE)),"",(VLOOKUP($B46,'B-1 Site Hedge Baseline'!$B$1:$U$257,13,FALSE))))</f>
        <v/>
      </c>
      <c r="L46" s="524" t="str">
        <f>IF(B46="","",IF(ISNA(VLOOKUP($B46,'B-1 Site Hedge Baseline'!$B$1:$U$257,12,FALSE)),"",(VLOOKUP($B46,'B-1 Site Hedge Baseline'!$B$1:$U$257,12,FALSE))))</f>
        <v/>
      </c>
      <c r="M46" s="416" t="str">
        <f t="shared" si="0"/>
        <v/>
      </c>
      <c r="N46" s="498" t="str">
        <f>IFERROR(IF(B46="","",INDEX('G-6 Hedgerow Data'!$AN$3:$AZ$15,MATCH(C46,'G-6 Hedgerow Data'!$AM$3:$AM$15,0),MATCH(M46,'G-6 Hedgerow Data'!$AN$2:$AZ$2,0))),"")</f>
        <v/>
      </c>
      <c r="O46" s="499" t="str">
        <f t="shared" si="2"/>
        <v/>
      </c>
      <c r="P46" s="559" t="str">
        <f>IF(B46="","",VLOOKUP(B46,'B-1 Site Hedge Baseline'!$B$10:T291,16,FALSE))</f>
        <v/>
      </c>
      <c r="Q46" s="498" t="str">
        <f>IF(M46="","",VLOOKUP(M46,'G-6 Hedgerow Data'!$B$2:$AG$15,2,FALSE))</f>
        <v/>
      </c>
      <c r="R46" s="499" t="str">
        <f>IF(M46="","",VLOOKUP(M46,'G-6 Hedgerow Data'!$B$2:$AG$15,3,FALSE))</f>
        <v/>
      </c>
      <c r="S46" s="157"/>
      <c r="T46" s="540" t="str">
        <f>IFERROR(VLOOKUP(S46,'G-1 All Habitats'!$Z$2:$AA$9,2,FALSE),"")</f>
        <v/>
      </c>
      <c r="U46" s="154"/>
      <c r="V46" s="520" t="str">
        <f>IF(U46="","",IF(VLOOKUP(U46,'G-3 Multipliers'!$L$3:$N$6,2,FALSE)=0,"Spatial Data Missing ⚠",VLOOKUP(U46,'G-3 Multipliers'!$L$3:$N$6,2,FALSE)))</f>
        <v/>
      </c>
      <c r="W46" s="524" t="str">
        <f>IF(U46="","",IF(VLOOKUP(U46,'G-3 Multipliers'!$L$3:$N$6,3,FALSE)=0,"Spatial Data Missing ⚠",VLOOKUP(U46,'G-3 Multipliers'!$L$3:$N$6,3,FALSE)))</f>
        <v/>
      </c>
      <c r="X46" s="498" t="str">
        <f>IFERROR(IF(OR(LEFT(O46,5)="Error ▲",LEFT(N46,5)="Error ▲",T46="Error ▲"),"Check Data ⚠",IF(F46&lt;R46,INDEX('G-6 Hedgerow Data'!$S$3:$AE$14,MATCH(C46,'G-6 Hedgerow Data'!$B$3:$B$14,0),MATCH(M46,'G-6 Hedgerow Data'!$S$2:$AE$2,0)),INDEX('G-6 Hedgerow Data'!$K$3:$Q$14,MATCH(M46,'G-6 Hedgerow Data'!$B$3:$B$14,0),MATCH(O46,'G-6 Hedgerow Data'!$K$2:$Q$2,0)))),"")</f>
        <v/>
      </c>
      <c r="Y46" s="195"/>
      <c r="Z46" s="195"/>
      <c r="AA46" s="507" t="str">
        <f t="shared" si="3"/>
        <v/>
      </c>
      <c r="AB46" s="521" t="str">
        <f t="shared" si="4"/>
        <v/>
      </c>
      <c r="AC46" s="522" t="str">
        <f t="shared" si="1"/>
        <v/>
      </c>
      <c r="AD46" s="537" t="str">
        <f>IF(M46="","",VLOOKUP(M46,'G-6 Hedgerow Data'!$B$3:$AG$15,31,FALSE))</f>
        <v/>
      </c>
      <c r="AE46" s="507" t="str">
        <f t="shared" si="5"/>
        <v/>
      </c>
      <c r="AF46" s="507" t="str">
        <f t="shared" si="6"/>
        <v/>
      </c>
      <c r="AG46" s="524" t="str">
        <f>IFERROR(IF(O46="","",VLOOKUP(AD46,'G-3 Multipliers'!$P$3:$Q$6,2,FALSE)),"")</f>
        <v/>
      </c>
      <c r="AH46" s="513" t="str">
        <f t="shared" si="7"/>
        <v/>
      </c>
      <c r="AI46" s="231"/>
      <c r="AJ46" s="150"/>
      <c r="AT46" s="31" t="str">
        <f>IFERROR(INDEX('G-6 Hedgerow Data'!$BJ$3:$BJ$15,MATCH(M46,'G-6 Hedgerow Data'!$B$3:$B$15,0)),"")</f>
        <v/>
      </c>
    </row>
    <row r="47" spans="2:46" ht="14" x14ac:dyDescent="0.3">
      <c r="B47" s="531" t="str">
        <f>'B-1 Site Hedge Baseline'!AK45</f>
        <v/>
      </c>
      <c r="C47" s="520" t="str">
        <f>IF(B47="","",IF(ISNA(VLOOKUP($B47,'B-1 Site Hedge Baseline'!$B$1:$L$257,3,FALSE)),"",(VLOOKUP($B47,'B-1 Site Hedge Baseline'!$B$1:$L$257,3,FALSE))))</f>
        <v/>
      </c>
      <c r="D47" s="520" t="str">
        <f>IF(B47="","",IF(ISNA(VLOOKUP($B47,'B-1 Site Hedge Baseline'!$B$1:$L$257,4,FALSE)),"",(VLOOKUP($B47,'B-1 Site Hedge Baseline'!$B$1:$L$257,4,FALSE))))</f>
        <v/>
      </c>
      <c r="E47" s="520" t="str">
        <f>IF(B47="","",IF(ISNA(VLOOKUP($B47,'B-1 Site Hedge Baseline'!$B$1:$L$257,5,FALSE)),"",(VLOOKUP($B47,'B-1 Site Hedge Baseline'!$B$1:$L$257,5,FALSE))))</f>
        <v/>
      </c>
      <c r="F47" s="520" t="str">
        <f>IF(B47="","",IF(ISNA(VLOOKUP($B47,'B-1 Site Hedge Baseline'!$B$1:$L$257,6,FALSE)),"",(VLOOKUP($B47,'B-1 Site Hedge Baseline'!$B$1:$L$257,6,FALSE))))</f>
        <v/>
      </c>
      <c r="G47" s="520" t="str">
        <f>IF(B47="","",IF(ISNA(VLOOKUP($B47,'B-1 Site Hedge Baseline'!$B$1:$L$257,7,FALSE)),"",(VLOOKUP($B47,'B-1 Site Hedge Baseline'!$B$1:$L$257,7,FALSE))))</f>
        <v/>
      </c>
      <c r="H47" s="520" t="str">
        <f>IF(B47="","",IF(ISNA(VLOOKUP($B47,'B-1 Site Hedge Baseline'!$B$1:$L$257,8,FALSE)),"",(VLOOKUP($B47,'B-1 Site Hedge Baseline'!$B$1:$L$257,8,FALSE))))</f>
        <v/>
      </c>
      <c r="I47" s="520" t="str">
        <f>IF(B47="","",IF(ISNA(VLOOKUP($B47,'B-1 Site Hedge Baseline'!$B$1:$L$257,10,FALSE)),"",(VLOOKUP($B47,'B-1 Site Hedge Baseline'!$B$1:$L$257,10,FALSE))))</f>
        <v/>
      </c>
      <c r="J47" s="520" t="str">
        <f>IF(B47="","",IF(ISNA(VLOOKUP($B47,'B-1 Site Hedge Baseline'!$B$1:$L$257,11,FALSE)),"",(VLOOKUP($B47,'B-1 Site Hedge Baseline'!$B$1:$L$257,11,FALSE))))</f>
        <v/>
      </c>
      <c r="K47" s="520" t="str">
        <f>IF(B47="","",IF(ISNA(VLOOKUP($B47,'B-1 Site Hedge Baseline'!$B$1:$U$257,13,FALSE)),"",(VLOOKUP($B47,'B-1 Site Hedge Baseline'!$B$1:$U$257,13,FALSE))))</f>
        <v/>
      </c>
      <c r="L47" s="524" t="str">
        <f>IF(B47="","",IF(ISNA(VLOOKUP($B47,'B-1 Site Hedge Baseline'!$B$1:$U$257,12,FALSE)),"",(VLOOKUP($B47,'B-1 Site Hedge Baseline'!$B$1:$U$257,12,FALSE))))</f>
        <v/>
      </c>
      <c r="M47" s="416" t="str">
        <f t="shared" si="0"/>
        <v/>
      </c>
      <c r="N47" s="498" t="str">
        <f>IFERROR(IF(B47="","",INDEX('G-6 Hedgerow Data'!$AN$3:$AZ$15,MATCH(C47,'G-6 Hedgerow Data'!$AM$3:$AM$15,0),MATCH(M47,'G-6 Hedgerow Data'!$AN$2:$AZ$2,0))),"")</f>
        <v/>
      </c>
      <c r="O47" s="499" t="str">
        <f t="shared" si="2"/>
        <v/>
      </c>
      <c r="P47" s="559" t="str">
        <f>IF(B47="","",VLOOKUP(B47,'B-1 Site Hedge Baseline'!$B$10:T292,16,FALSE))</f>
        <v/>
      </c>
      <c r="Q47" s="498" t="str">
        <f>IF(M47="","",VLOOKUP(M47,'G-6 Hedgerow Data'!$B$2:$AG$15,2,FALSE))</f>
        <v/>
      </c>
      <c r="R47" s="499" t="str">
        <f>IF(M47="","",VLOOKUP(M47,'G-6 Hedgerow Data'!$B$2:$AG$15,3,FALSE))</f>
        <v/>
      </c>
      <c r="S47" s="157"/>
      <c r="T47" s="540" t="str">
        <f>IFERROR(VLOOKUP(S47,'G-1 All Habitats'!$Z$2:$AA$9,2,FALSE),"")</f>
        <v/>
      </c>
      <c r="U47" s="154"/>
      <c r="V47" s="520" t="str">
        <f>IF(U47="","",IF(VLOOKUP(U47,'G-3 Multipliers'!$L$3:$N$6,2,FALSE)=0,"Spatial Data Missing ⚠",VLOOKUP(U47,'G-3 Multipliers'!$L$3:$N$6,2,FALSE)))</f>
        <v/>
      </c>
      <c r="W47" s="524" t="str">
        <f>IF(U47="","",IF(VLOOKUP(U47,'G-3 Multipliers'!$L$3:$N$6,3,FALSE)=0,"Spatial Data Missing ⚠",VLOOKUP(U47,'G-3 Multipliers'!$L$3:$N$6,3,FALSE)))</f>
        <v/>
      </c>
      <c r="X47" s="498" t="str">
        <f>IFERROR(IF(OR(LEFT(O47,5)="Error ▲",LEFT(N47,5)="Error ▲",T47="Error ▲"),"Check Data ⚠",IF(F47&lt;R47,INDEX('G-6 Hedgerow Data'!$S$3:$AE$14,MATCH(C47,'G-6 Hedgerow Data'!$B$3:$B$14,0),MATCH(M47,'G-6 Hedgerow Data'!$S$2:$AE$2,0)),INDEX('G-6 Hedgerow Data'!$K$3:$Q$14,MATCH(M47,'G-6 Hedgerow Data'!$B$3:$B$14,0),MATCH(O47,'G-6 Hedgerow Data'!$K$2:$Q$2,0)))),"")</f>
        <v/>
      </c>
      <c r="Y47" s="195"/>
      <c r="Z47" s="195"/>
      <c r="AA47" s="507" t="str">
        <f t="shared" si="3"/>
        <v/>
      </c>
      <c r="AB47" s="521" t="str">
        <f t="shared" si="4"/>
        <v/>
      </c>
      <c r="AC47" s="522" t="str">
        <f t="shared" si="1"/>
        <v/>
      </c>
      <c r="AD47" s="537" t="str">
        <f>IF(M47="","",VLOOKUP(M47,'G-6 Hedgerow Data'!$B$3:$AG$15,31,FALSE))</f>
        <v/>
      </c>
      <c r="AE47" s="507" t="str">
        <f t="shared" si="5"/>
        <v/>
      </c>
      <c r="AF47" s="507" t="str">
        <f t="shared" si="6"/>
        <v/>
      </c>
      <c r="AG47" s="524" t="str">
        <f>IFERROR(IF(O47="","",VLOOKUP(AD47,'G-3 Multipliers'!$P$3:$Q$6,2,FALSE)),"")</f>
        <v/>
      </c>
      <c r="AH47" s="513" t="str">
        <f t="shared" si="7"/>
        <v/>
      </c>
      <c r="AI47" s="231"/>
      <c r="AJ47" s="150"/>
      <c r="AT47" s="31" t="str">
        <f>IFERROR(INDEX('G-6 Hedgerow Data'!$BJ$3:$BJ$15,MATCH(M47,'G-6 Hedgerow Data'!$B$3:$B$15,0)),"")</f>
        <v/>
      </c>
    </row>
    <row r="48" spans="2:46" ht="14" x14ac:dyDescent="0.3">
      <c r="B48" s="531" t="str">
        <f>'B-1 Site Hedge Baseline'!AK46</f>
        <v/>
      </c>
      <c r="C48" s="520" t="str">
        <f>IF(B48="","",IF(ISNA(VLOOKUP($B48,'B-1 Site Hedge Baseline'!$B$1:$L$257,3,FALSE)),"",(VLOOKUP($B48,'B-1 Site Hedge Baseline'!$B$1:$L$257,3,FALSE))))</f>
        <v/>
      </c>
      <c r="D48" s="520" t="str">
        <f>IF(B48="","",IF(ISNA(VLOOKUP($B48,'B-1 Site Hedge Baseline'!$B$1:$L$257,4,FALSE)),"",(VLOOKUP($B48,'B-1 Site Hedge Baseline'!$B$1:$L$257,4,FALSE))))</f>
        <v/>
      </c>
      <c r="E48" s="520" t="str">
        <f>IF(B48="","",IF(ISNA(VLOOKUP($B48,'B-1 Site Hedge Baseline'!$B$1:$L$257,5,FALSE)),"",(VLOOKUP($B48,'B-1 Site Hedge Baseline'!$B$1:$L$257,5,FALSE))))</f>
        <v/>
      </c>
      <c r="F48" s="520" t="str">
        <f>IF(B48="","",IF(ISNA(VLOOKUP($B48,'B-1 Site Hedge Baseline'!$B$1:$L$257,6,FALSE)),"",(VLOOKUP($B48,'B-1 Site Hedge Baseline'!$B$1:$L$257,6,FALSE))))</f>
        <v/>
      </c>
      <c r="G48" s="520" t="str">
        <f>IF(B48="","",IF(ISNA(VLOOKUP($B48,'B-1 Site Hedge Baseline'!$B$1:$L$257,7,FALSE)),"",(VLOOKUP($B48,'B-1 Site Hedge Baseline'!$B$1:$L$257,7,FALSE))))</f>
        <v/>
      </c>
      <c r="H48" s="520" t="str">
        <f>IF(B48="","",IF(ISNA(VLOOKUP($B48,'B-1 Site Hedge Baseline'!$B$1:$L$257,8,FALSE)),"",(VLOOKUP($B48,'B-1 Site Hedge Baseline'!$B$1:$L$257,8,FALSE))))</f>
        <v/>
      </c>
      <c r="I48" s="520" t="str">
        <f>IF(B48="","",IF(ISNA(VLOOKUP($B48,'B-1 Site Hedge Baseline'!$B$1:$L$257,10,FALSE)),"",(VLOOKUP($B48,'B-1 Site Hedge Baseline'!$B$1:$L$257,10,FALSE))))</f>
        <v/>
      </c>
      <c r="J48" s="520" t="str">
        <f>IF(B48="","",IF(ISNA(VLOOKUP($B48,'B-1 Site Hedge Baseline'!$B$1:$L$257,11,FALSE)),"",(VLOOKUP($B48,'B-1 Site Hedge Baseline'!$B$1:$L$257,11,FALSE))))</f>
        <v/>
      </c>
      <c r="K48" s="520" t="str">
        <f>IF(B48="","",IF(ISNA(VLOOKUP($B48,'B-1 Site Hedge Baseline'!$B$1:$U$257,13,FALSE)),"",(VLOOKUP($B48,'B-1 Site Hedge Baseline'!$B$1:$U$257,13,FALSE))))</f>
        <v/>
      </c>
      <c r="L48" s="524" t="str">
        <f>IF(B48="","",IF(ISNA(VLOOKUP($B48,'B-1 Site Hedge Baseline'!$B$1:$U$257,12,FALSE)),"",(VLOOKUP($B48,'B-1 Site Hedge Baseline'!$B$1:$U$257,12,FALSE))))</f>
        <v/>
      </c>
      <c r="M48" s="416" t="str">
        <f t="shared" si="0"/>
        <v/>
      </c>
      <c r="N48" s="498" t="str">
        <f>IFERROR(IF(B48="","",INDEX('G-6 Hedgerow Data'!$AN$3:$AZ$15,MATCH(C48,'G-6 Hedgerow Data'!$AM$3:$AM$15,0),MATCH(M48,'G-6 Hedgerow Data'!$AN$2:$AZ$2,0))),"")</f>
        <v/>
      </c>
      <c r="O48" s="499" t="str">
        <f t="shared" si="2"/>
        <v/>
      </c>
      <c r="P48" s="559" t="str">
        <f>IF(B48="","",VLOOKUP(B48,'B-1 Site Hedge Baseline'!$B$10:T293,16,FALSE))</f>
        <v/>
      </c>
      <c r="Q48" s="498" t="str">
        <f>IF(M48="","",VLOOKUP(M48,'G-6 Hedgerow Data'!$B$2:$AG$15,2,FALSE))</f>
        <v/>
      </c>
      <c r="R48" s="499" t="str">
        <f>IF(M48="","",VLOOKUP(M48,'G-6 Hedgerow Data'!$B$2:$AG$15,3,FALSE))</f>
        <v/>
      </c>
      <c r="S48" s="157"/>
      <c r="T48" s="540" t="str">
        <f>IFERROR(VLOOKUP(S48,'G-1 All Habitats'!$Z$2:$AA$9,2,FALSE),"")</f>
        <v/>
      </c>
      <c r="U48" s="154"/>
      <c r="V48" s="520" t="str">
        <f>IF(U48="","",IF(VLOOKUP(U48,'G-3 Multipliers'!$L$3:$N$6,2,FALSE)=0,"Spatial Data Missing ⚠",VLOOKUP(U48,'G-3 Multipliers'!$L$3:$N$6,2,FALSE)))</f>
        <v/>
      </c>
      <c r="W48" s="524" t="str">
        <f>IF(U48="","",IF(VLOOKUP(U48,'G-3 Multipliers'!$L$3:$N$6,3,FALSE)=0,"Spatial Data Missing ⚠",VLOOKUP(U48,'G-3 Multipliers'!$L$3:$N$6,3,FALSE)))</f>
        <v/>
      </c>
      <c r="X48" s="498" t="str">
        <f>IFERROR(IF(OR(LEFT(O48,5)="Error ▲",LEFT(N48,5)="Error ▲",T48="Error ▲"),"Check Data ⚠",IF(F48&lt;R48,INDEX('G-6 Hedgerow Data'!$S$3:$AE$14,MATCH(C48,'G-6 Hedgerow Data'!$B$3:$B$14,0),MATCH(M48,'G-6 Hedgerow Data'!$S$2:$AE$2,0)),INDEX('G-6 Hedgerow Data'!$K$3:$Q$14,MATCH(M48,'G-6 Hedgerow Data'!$B$3:$B$14,0),MATCH(O48,'G-6 Hedgerow Data'!$K$2:$Q$2,0)))),"")</f>
        <v/>
      </c>
      <c r="Y48" s="195"/>
      <c r="Z48" s="195"/>
      <c r="AA48" s="507" t="str">
        <f t="shared" si="3"/>
        <v/>
      </c>
      <c r="AB48" s="521" t="str">
        <f t="shared" si="4"/>
        <v/>
      </c>
      <c r="AC48" s="522" t="str">
        <f t="shared" si="1"/>
        <v/>
      </c>
      <c r="AD48" s="537" t="str">
        <f>IF(M48="","",VLOOKUP(M48,'G-6 Hedgerow Data'!$B$3:$AG$15,31,FALSE))</f>
        <v/>
      </c>
      <c r="AE48" s="507" t="str">
        <f t="shared" si="5"/>
        <v/>
      </c>
      <c r="AF48" s="507" t="str">
        <f t="shared" si="6"/>
        <v/>
      </c>
      <c r="AG48" s="524" t="str">
        <f>IFERROR(IF(O48="","",VLOOKUP(AD48,'G-3 Multipliers'!$P$3:$Q$6,2,FALSE)),"")</f>
        <v/>
      </c>
      <c r="AH48" s="513" t="str">
        <f t="shared" si="7"/>
        <v/>
      </c>
      <c r="AI48" s="231"/>
      <c r="AJ48" s="150"/>
      <c r="AT48" s="31" t="str">
        <f>IFERROR(INDEX('G-6 Hedgerow Data'!$BJ$3:$BJ$15,MATCH(M48,'G-6 Hedgerow Data'!$B$3:$B$15,0)),"")</f>
        <v/>
      </c>
    </row>
    <row r="49" spans="2:46" ht="14" x14ac:dyDescent="0.3">
      <c r="B49" s="531" t="str">
        <f>'B-1 Site Hedge Baseline'!AK47</f>
        <v/>
      </c>
      <c r="C49" s="520" t="str">
        <f>IF(B49="","",IF(ISNA(VLOOKUP($B49,'B-1 Site Hedge Baseline'!$B$1:$L$257,3,FALSE)),"",(VLOOKUP($B49,'B-1 Site Hedge Baseline'!$B$1:$L$257,3,FALSE))))</f>
        <v/>
      </c>
      <c r="D49" s="520" t="str">
        <f>IF(B49="","",IF(ISNA(VLOOKUP($B49,'B-1 Site Hedge Baseline'!$B$1:$L$257,4,FALSE)),"",(VLOOKUP($B49,'B-1 Site Hedge Baseline'!$B$1:$L$257,4,FALSE))))</f>
        <v/>
      </c>
      <c r="E49" s="520" t="str">
        <f>IF(B49="","",IF(ISNA(VLOOKUP($B49,'B-1 Site Hedge Baseline'!$B$1:$L$257,5,FALSE)),"",(VLOOKUP($B49,'B-1 Site Hedge Baseline'!$B$1:$L$257,5,FALSE))))</f>
        <v/>
      </c>
      <c r="F49" s="520" t="str">
        <f>IF(B49="","",IF(ISNA(VLOOKUP($B49,'B-1 Site Hedge Baseline'!$B$1:$L$257,6,FALSE)),"",(VLOOKUP($B49,'B-1 Site Hedge Baseline'!$B$1:$L$257,6,FALSE))))</f>
        <v/>
      </c>
      <c r="G49" s="520" t="str">
        <f>IF(B49="","",IF(ISNA(VLOOKUP($B49,'B-1 Site Hedge Baseline'!$B$1:$L$257,7,FALSE)),"",(VLOOKUP($B49,'B-1 Site Hedge Baseline'!$B$1:$L$257,7,FALSE))))</f>
        <v/>
      </c>
      <c r="H49" s="520" t="str">
        <f>IF(B49="","",IF(ISNA(VLOOKUP($B49,'B-1 Site Hedge Baseline'!$B$1:$L$257,8,FALSE)),"",(VLOOKUP($B49,'B-1 Site Hedge Baseline'!$B$1:$L$257,8,FALSE))))</f>
        <v/>
      </c>
      <c r="I49" s="520" t="str">
        <f>IF(B49="","",IF(ISNA(VLOOKUP($B49,'B-1 Site Hedge Baseline'!$B$1:$L$257,10,FALSE)),"",(VLOOKUP($B49,'B-1 Site Hedge Baseline'!$B$1:$L$257,10,FALSE))))</f>
        <v/>
      </c>
      <c r="J49" s="520" t="str">
        <f>IF(B49="","",IF(ISNA(VLOOKUP($B49,'B-1 Site Hedge Baseline'!$B$1:$L$257,11,FALSE)),"",(VLOOKUP($B49,'B-1 Site Hedge Baseline'!$B$1:$L$257,11,FALSE))))</f>
        <v/>
      </c>
      <c r="K49" s="520" t="str">
        <f>IF(B49="","",IF(ISNA(VLOOKUP($B49,'B-1 Site Hedge Baseline'!$B$1:$U$257,13,FALSE)),"",(VLOOKUP($B49,'B-1 Site Hedge Baseline'!$B$1:$U$257,13,FALSE))))</f>
        <v/>
      </c>
      <c r="L49" s="524" t="str">
        <f>IF(B49="","",IF(ISNA(VLOOKUP($B49,'B-1 Site Hedge Baseline'!$B$1:$U$257,12,FALSE)),"",(VLOOKUP($B49,'B-1 Site Hedge Baseline'!$B$1:$U$257,12,FALSE))))</f>
        <v/>
      </c>
      <c r="M49" s="416" t="str">
        <f t="shared" si="0"/>
        <v/>
      </c>
      <c r="N49" s="498" t="str">
        <f>IFERROR(IF(B49="","",INDEX('G-6 Hedgerow Data'!$AN$3:$AZ$15,MATCH(C49,'G-6 Hedgerow Data'!$AM$3:$AM$15,0),MATCH(M49,'G-6 Hedgerow Data'!$AN$2:$AZ$2,0))),"")</f>
        <v/>
      </c>
      <c r="O49" s="499" t="str">
        <f t="shared" si="2"/>
        <v/>
      </c>
      <c r="P49" s="559" t="str">
        <f>IF(B49="","",VLOOKUP(B49,'B-1 Site Hedge Baseline'!$B$10:T294,16,FALSE))</f>
        <v/>
      </c>
      <c r="Q49" s="498" t="str">
        <f>IF(M49="","",VLOOKUP(M49,'G-6 Hedgerow Data'!$B$2:$AG$15,2,FALSE))</f>
        <v/>
      </c>
      <c r="R49" s="499" t="str">
        <f>IF(M49="","",VLOOKUP(M49,'G-6 Hedgerow Data'!$B$2:$AG$15,3,FALSE))</f>
        <v/>
      </c>
      <c r="S49" s="157"/>
      <c r="T49" s="540" t="str">
        <f>IFERROR(VLOOKUP(S49,'G-1 All Habitats'!$Z$2:$AA$9,2,FALSE),"")</f>
        <v/>
      </c>
      <c r="U49" s="154"/>
      <c r="V49" s="520" t="str">
        <f>IF(U49="","",IF(VLOOKUP(U49,'G-3 Multipliers'!$L$3:$N$6,2,FALSE)=0,"Spatial Data Missing ⚠",VLOOKUP(U49,'G-3 Multipliers'!$L$3:$N$6,2,FALSE)))</f>
        <v/>
      </c>
      <c r="W49" s="524" t="str">
        <f>IF(U49="","",IF(VLOOKUP(U49,'G-3 Multipliers'!$L$3:$N$6,3,FALSE)=0,"Spatial Data Missing ⚠",VLOOKUP(U49,'G-3 Multipliers'!$L$3:$N$6,3,FALSE)))</f>
        <v/>
      </c>
      <c r="X49" s="498" t="str">
        <f>IFERROR(IF(OR(LEFT(O49,5)="Error ▲",LEFT(N49,5)="Error ▲",T49="Error ▲"),"Check Data ⚠",IF(F49&lt;R49,INDEX('G-6 Hedgerow Data'!$S$3:$AE$14,MATCH(C49,'G-6 Hedgerow Data'!$B$3:$B$14,0),MATCH(M49,'G-6 Hedgerow Data'!$S$2:$AE$2,0)),INDEX('G-6 Hedgerow Data'!$K$3:$Q$14,MATCH(M49,'G-6 Hedgerow Data'!$B$3:$B$14,0),MATCH(O49,'G-6 Hedgerow Data'!$K$2:$Q$2,0)))),"")</f>
        <v/>
      </c>
      <c r="Y49" s="195"/>
      <c r="Z49" s="195"/>
      <c r="AA49" s="507" t="str">
        <f t="shared" si="3"/>
        <v/>
      </c>
      <c r="AB49" s="521" t="str">
        <f t="shared" si="4"/>
        <v/>
      </c>
      <c r="AC49" s="522" t="str">
        <f t="shared" si="1"/>
        <v/>
      </c>
      <c r="AD49" s="537" t="str">
        <f>IF(M49="","",VLOOKUP(M49,'G-6 Hedgerow Data'!$B$3:$AG$15,31,FALSE))</f>
        <v/>
      </c>
      <c r="AE49" s="507" t="str">
        <f t="shared" si="5"/>
        <v/>
      </c>
      <c r="AF49" s="507" t="str">
        <f t="shared" si="6"/>
        <v/>
      </c>
      <c r="AG49" s="524" t="str">
        <f>IFERROR(IF(O49="","",VLOOKUP(AD49,'G-3 Multipliers'!$P$3:$Q$6,2,FALSE)),"")</f>
        <v/>
      </c>
      <c r="AH49" s="513" t="str">
        <f t="shared" si="7"/>
        <v/>
      </c>
      <c r="AI49" s="231"/>
      <c r="AJ49" s="150"/>
      <c r="AT49" s="31" t="str">
        <f>IFERROR(INDEX('G-6 Hedgerow Data'!$BJ$3:$BJ$15,MATCH(M49,'G-6 Hedgerow Data'!$B$3:$B$15,0)),"")</f>
        <v/>
      </c>
    </row>
    <row r="50" spans="2:46" ht="14" x14ac:dyDescent="0.3">
      <c r="B50" s="531" t="str">
        <f>'B-1 Site Hedge Baseline'!AK48</f>
        <v/>
      </c>
      <c r="C50" s="520" t="str">
        <f>IF(B50="","",IF(ISNA(VLOOKUP($B50,'B-1 Site Hedge Baseline'!$B$1:$L$257,3,FALSE)),"",(VLOOKUP($B50,'B-1 Site Hedge Baseline'!$B$1:$L$257,3,FALSE))))</f>
        <v/>
      </c>
      <c r="D50" s="520" t="str">
        <f>IF(B50="","",IF(ISNA(VLOOKUP($B50,'B-1 Site Hedge Baseline'!$B$1:$L$257,4,FALSE)),"",(VLOOKUP($B50,'B-1 Site Hedge Baseline'!$B$1:$L$257,4,FALSE))))</f>
        <v/>
      </c>
      <c r="E50" s="520" t="str">
        <f>IF(B50="","",IF(ISNA(VLOOKUP($B50,'B-1 Site Hedge Baseline'!$B$1:$L$257,5,FALSE)),"",(VLOOKUP($B50,'B-1 Site Hedge Baseline'!$B$1:$L$257,5,FALSE))))</f>
        <v/>
      </c>
      <c r="F50" s="520" t="str">
        <f>IF(B50="","",IF(ISNA(VLOOKUP($B50,'B-1 Site Hedge Baseline'!$B$1:$L$257,6,FALSE)),"",(VLOOKUP($B50,'B-1 Site Hedge Baseline'!$B$1:$L$257,6,FALSE))))</f>
        <v/>
      </c>
      <c r="G50" s="520" t="str">
        <f>IF(B50="","",IF(ISNA(VLOOKUP($B50,'B-1 Site Hedge Baseline'!$B$1:$L$257,7,FALSE)),"",(VLOOKUP($B50,'B-1 Site Hedge Baseline'!$B$1:$L$257,7,FALSE))))</f>
        <v/>
      </c>
      <c r="H50" s="520" t="str">
        <f>IF(B50="","",IF(ISNA(VLOOKUP($B50,'B-1 Site Hedge Baseline'!$B$1:$L$257,8,FALSE)),"",(VLOOKUP($B50,'B-1 Site Hedge Baseline'!$B$1:$L$257,8,FALSE))))</f>
        <v/>
      </c>
      <c r="I50" s="520" t="str">
        <f>IF(B50="","",IF(ISNA(VLOOKUP($B50,'B-1 Site Hedge Baseline'!$B$1:$L$257,10,FALSE)),"",(VLOOKUP($B50,'B-1 Site Hedge Baseline'!$B$1:$L$257,10,FALSE))))</f>
        <v/>
      </c>
      <c r="J50" s="520" t="str">
        <f>IF(B50="","",IF(ISNA(VLOOKUP($B50,'B-1 Site Hedge Baseline'!$B$1:$L$257,11,FALSE)),"",(VLOOKUP($B50,'B-1 Site Hedge Baseline'!$B$1:$L$257,11,FALSE))))</f>
        <v/>
      </c>
      <c r="K50" s="520" t="str">
        <f>IF(B50="","",IF(ISNA(VLOOKUP($B50,'B-1 Site Hedge Baseline'!$B$1:$U$257,13,FALSE)),"",(VLOOKUP($B50,'B-1 Site Hedge Baseline'!$B$1:$U$257,13,FALSE))))</f>
        <v/>
      </c>
      <c r="L50" s="524" t="str">
        <f>IF(B50="","",IF(ISNA(VLOOKUP($B50,'B-1 Site Hedge Baseline'!$B$1:$U$257,12,FALSE)),"",(VLOOKUP($B50,'B-1 Site Hedge Baseline'!$B$1:$U$257,12,FALSE))))</f>
        <v/>
      </c>
      <c r="M50" s="416" t="str">
        <f t="shared" si="0"/>
        <v/>
      </c>
      <c r="N50" s="498" t="str">
        <f>IFERROR(IF(B50="","",INDEX('G-6 Hedgerow Data'!$AN$3:$AZ$15,MATCH(C50,'G-6 Hedgerow Data'!$AM$3:$AM$15,0),MATCH(M50,'G-6 Hedgerow Data'!$AN$2:$AZ$2,0))),"")</f>
        <v/>
      </c>
      <c r="O50" s="499" t="str">
        <f t="shared" si="2"/>
        <v/>
      </c>
      <c r="P50" s="559" t="str">
        <f>IF(B50="","",VLOOKUP(B50,'B-1 Site Hedge Baseline'!$B$10:T295,16,FALSE))</f>
        <v/>
      </c>
      <c r="Q50" s="498" t="str">
        <f>IF(M50="","",VLOOKUP(M50,'G-6 Hedgerow Data'!$B$2:$AG$15,2,FALSE))</f>
        <v/>
      </c>
      <c r="R50" s="499" t="str">
        <f>IF(M50="","",VLOOKUP(M50,'G-6 Hedgerow Data'!$B$2:$AG$15,3,FALSE))</f>
        <v/>
      </c>
      <c r="S50" s="157"/>
      <c r="T50" s="540" t="str">
        <f>IFERROR(VLOOKUP(S50,'G-1 All Habitats'!$Z$2:$AA$9,2,FALSE),"")</f>
        <v/>
      </c>
      <c r="U50" s="154"/>
      <c r="V50" s="520" t="str">
        <f>IF(U50="","",IF(VLOOKUP(U50,'G-3 Multipliers'!$L$3:$N$6,2,FALSE)=0,"Spatial Data Missing ⚠",VLOOKUP(U50,'G-3 Multipliers'!$L$3:$N$6,2,FALSE)))</f>
        <v/>
      </c>
      <c r="W50" s="524" t="str">
        <f>IF(U50="","",IF(VLOOKUP(U50,'G-3 Multipliers'!$L$3:$N$6,3,FALSE)=0,"Spatial Data Missing ⚠",VLOOKUP(U50,'G-3 Multipliers'!$L$3:$N$6,3,FALSE)))</f>
        <v/>
      </c>
      <c r="X50" s="498" t="str">
        <f>IFERROR(IF(OR(LEFT(O50,5)="Error ▲",LEFT(N50,5)="Error ▲",T50="Error ▲"),"Check Data ⚠",IF(F50&lt;R50,INDEX('G-6 Hedgerow Data'!$S$3:$AE$14,MATCH(C50,'G-6 Hedgerow Data'!$B$3:$B$14,0),MATCH(M50,'G-6 Hedgerow Data'!$S$2:$AE$2,0)),INDEX('G-6 Hedgerow Data'!$K$3:$Q$14,MATCH(M50,'G-6 Hedgerow Data'!$B$3:$B$14,0),MATCH(O50,'G-6 Hedgerow Data'!$K$2:$Q$2,0)))),"")</f>
        <v/>
      </c>
      <c r="Y50" s="195"/>
      <c r="Z50" s="195"/>
      <c r="AA50" s="507" t="str">
        <f t="shared" si="3"/>
        <v/>
      </c>
      <c r="AB50" s="521" t="str">
        <f t="shared" si="4"/>
        <v/>
      </c>
      <c r="AC50" s="522" t="str">
        <f t="shared" si="1"/>
        <v/>
      </c>
      <c r="AD50" s="537" t="str">
        <f>IF(M50="","",VLOOKUP(M50,'G-6 Hedgerow Data'!$B$3:$AG$15,31,FALSE))</f>
        <v/>
      </c>
      <c r="AE50" s="507" t="str">
        <f t="shared" si="5"/>
        <v/>
      </c>
      <c r="AF50" s="507" t="str">
        <f t="shared" si="6"/>
        <v/>
      </c>
      <c r="AG50" s="524" t="str">
        <f>IFERROR(IF(O50="","",VLOOKUP(AD50,'G-3 Multipliers'!$P$3:$Q$6,2,FALSE)),"")</f>
        <v/>
      </c>
      <c r="AH50" s="513" t="str">
        <f t="shared" si="7"/>
        <v/>
      </c>
      <c r="AI50" s="231"/>
      <c r="AJ50" s="150"/>
      <c r="AT50" s="31" t="str">
        <f>IFERROR(INDEX('G-6 Hedgerow Data'!$BJ$3:$BJ$15,MATCH(M50,'G-6 Hedgerow Data'!$B$3:$B$15,0)),"")</f>
        <v/>
      </c>
    </row>
    <row r="51" spans="2:46" ht="14" x14ac:dyDescent="0.3">
      <c r="B51" s="531" t="str">
        <f>'B-1 Site Hedge Baseline'!AK49</f>
        <v/>
      </c>
      <c r="C51" s="520" t="str">
        <f>IF(B51="","",IF(ISNA(VLOOKUP($B51,'B-1 Site Hedge Baseline'!$B$1:$L$257,3,FALSE)),"",(VLOOKUP($B51,'B-1 Site Hedge Baseline'!$B$1:$L$257,3,FALSE))))</f>
        <v/>
      </c>
      <c r="D51" s="520" t="str">
        <f>IF(B51="","",IF(ISNA(VLOOKUP($B51,'B-1 Site Hedge Baseline'!$B$1:$L$257,4,FALSE)),"",(VLOOKUP($B51,'B-1 Site Hedge Baseline'!$B$1:$L$257,4,FALSE))))</f>
        <v/>
      </c>
      <c r="E51" s="520" t="str">
        <f>IF(B51="","",IF(ISNA(VLOOKUP($B51,'B-1 Site Hedge Baseline'!$B$1:$L$257,5,FALSE)),"",(VLOOKUP($B51,'B-1 Site Hedge Baseline'!$B$1:$L$257,5,FALSE))))</f>
        <v/>
      </c>
      <c r="F51" s="520" t="str">
        <f>IF(B51="","",IF(ISNA(VLOOKUP($B51,'B-1 Site Hedge Baseline'!$B$1:$L$257,6,FALSE)),"",(VLOOKUP($B51,'B-1 Site Hedge Baseline'!$B$1:$L$257,6,FALSE))))</f>
        <v/>
      </c>
      <c r="G51" s="520" t="str">
        <f>IF(B51="","",IF(ISNA(VLOOKUP($B51,'B-1 Site Hedge Baseline'!$B$1:$L$257,7,FALSE)),"",(VLOOKUP($B51,'B-1 Site Hedge Baseline'!$B$1:$L$257,7,FALSE))))</f>
        <v/>
      </c>
      <c r="H51" s="520" t="str">
        <f>IF(B51="","",IF(ISNA(VLOOKUP($B51,'B-1 Site Hedge Baseline'!$B$1:$L$257,8,FALSE)),"",(VLOOKUP($B51,'B-1 Site Hedge Baseline'!$B$1:$L$257,8,FALSE))))</f>
        <v/>
      </c>
      <c r="I51" s="520" t="str">
        <f>IF(B51="","",IF(ISNA(VLOOKUP($B51,'B-1 Site Hedge Baseline'!$B$1:$L$257,10,FALSE)),"",(VLOOKUP($B51,'B-1 Site Hedge Baseline'!$B$1:$L$257,10,FALSE))))</f>
        <v/>
      </c>
      <c r="J51" s="520" t="str">
        <f>IF(B51="","",IF(ISNA(VLOOKUP($B51,'B-1 Site Hedge Baseline'!$B$1:$L$257,11,FALSE)),"",(VLOOKUP($B51,'B-1 Site Hedge Baseline'!$B$1:$L$257,11,FALSE))))</f>
        <v/>
      </c>
      <c r="K51" s="520" t="str">
        <f>IF(B51="","",IF(ISNA(VLOOKUP($B51,'B-1 Site Hedge Baseline'!$B$1:$U$257,13,FALSE)),"",(VLOOKUP($B51,'B-1 Site Hedge Baseline'!$B$1:$U$257,13,FALSE))))</f>
        <v/>
      </c>
      <c r="L51" s="524" t="str">
        <f>IF(B51="","",IF(ISNA(VLOOKUP($B51,'B-1 Site Hedge Baseline'!$B$1:$U$257,12,FALSE)),"",(VLOOKUP($B51,'B-1 Site Hedge Baseline'!$B$1:$U$257,12,FALSE))))</f>
        <v/>
      </c>
      <c r="M51" s="416" t="str">
        <f t="shared" si="0"/>
        <v/>
      </c>
      <c r="N51" s="498" t="str">
        <f>IFERROR(IF(B51="","",INDEX('G-6 Hedgerow Data'!$AN$3:$AZ$15,MATCH(C51,'G-6 Hedgerow Data'!$AM$3:$AM$15,0),MATCH(M51,'G-6 Hedgerow Data'!$AN$2:$AZ$2,0))),"")</f>
        <v/>
      </c>
      <c r="O51" s="499" t="str">
        <f t="shared" si="2"/>
        <v/>
      </c>
      <c r="P51" s="559" t="str">
        <f>IF(B51="","",VLOOKUP(B51,'B-1 Site Hedge Baseline'!$B$10:T296,16,FALSE))</f>
        <v/>
      </c>
      <c r="Q51" s="498" t="str">
        <f>IF(M51="","",VLOOKUP(M51,'G-6 Hedgerow Data'!$B$2:$AG$15,2,FALSE))</f>
        <v/>
      </c>
      <c r="R51" s="499" t="str">
        <f>IF(M51="","",VLOOKUP(M51,'G-6 Hedgerow Data'!$B$2:$AG$15,3,FALSE))</f>
        <v/>
      </c>
      <c r="S51" s="157"/>
      <c r="T51" s="540" t="str">
        <f>IFERROR(VLOOKUP(S51,'G-1 All Habitats'!$Z$2:$AA$9,2,FALSE),"")</f>
        <v/>
      </c>
      <c r="U51" s="154"/>
      <c r="V51" s="520" t="str">
        <f>IF(U51="","",IF(VLOOKUP(U51,'G-3 Multipliers'!$L$3:$N$6,2,FALSE)=0,"Spatial Data Missing ⚠",VLOOKUP(U51,'G-3 Multipliers'!$L$3:$N$6,2,FALSE)))</f>
        <v/>
      </c>
      <c r="W51" s="524" t="str">
        <f>IF(U51="","",IF(VLOOKUP(U51,'G-3 Multipliers'!$L$3:$N$6,3,FALSE)=0,"Spatial Data Missing ⚠",VLOOKUP(U51,'G-3 Multipliers'!$L$3:$N$6,3,FALSE)))</f>
        <v/>
      </c>
      <c r="X51" s="498" t="str">
        <f>IFERROR(IF(OR(LEFT(O51,5)="Error ▲",LEFT(N51,5)="Error ▲",T51="Error ▲"),"Check Data ⚠",IF(F51&lt;R51,INDEX('G-6 Hedgerow Data'!$S$3:$AE$14,MATCH(C51,'G-6 Hedgerow Data'!$B$3:$B$14,0),MATCH(M51,'G-6 Hedgerow Data'!$S$2:$AE$2,0)),INDEX('G-6 Hedgerow Data'!$K$3:$Q$14,MATCH(M51,'G-6 Hedgerow Data'!$B$3:$B$14,0),MATCH(O51,'G-6 Hedgerow Data'!$K$2:$Q$2,0)))),"")</f>
        <v/>
      </c>
      <c r="Y51" s="195"/>
      <c r="Z51" s="195"/>
      <c r="AA51" s="507" t="str">
        <f t="shared" si="3"/>
        <v/>
      </c>
      <c r="AB51" s="521" t="str">
        <f t="shared" si="4"/>
        <v/>
      </c>
      <c r="AC51" s="522" t="str">
        <f t="shared" si="1"/>
        <v/>
      </c>
      <c r="AD51" s="537" t="str">
        <f>IF(M51="","",VLOOKUP(M51,'G-6 Hedgerow Data'!$B$3:$AG$15,31,FALSE))</f>
        <v/>
      </c>
      <c r="AE51" s="507" t="str">
        <f t="shared" si="5"/>
        <v/>
      </c>
      <c r="AF51" s="507" t="str">
        <f t="shared" si="6"/>
        <v/>
      </c>
      <c r="AG51" s="524" t="str">
        <f>IFERROR(IF(O51="","",VLOOKUP(AD51,'G-3 Multipliers'!$P$3:$Q$6,2,FALSE)),"")</f>
        <v/>
      </c>
      <c r="AH51" s="513" t="str">
        <f t="shared" si="7"/>
        <v/>
      </c>
      <c r="AI51" s="231"/>
      <c r="AJ51" s="150"/>
      <c r="AT51" s="31" t="str">
        <f>IFERROR(INDEX('G-6 Hedgerow Data'!$BJ$3:$BJ$15,MATCH(M51,'G-6 Hedgerow Data'!$B$3:$B$15,0)),"")</f>
        <v/>
      </c>
    </row>
    <row r="52" spans="2:46" ht="14" x14ac:dyDescent="0.3">
      <c r="B52" s="531" t="str">
        <f>'B-1 Site Hedge Baseline'!AK50</f>
        <v/>
      </c>
      <c r="C52" s="520" t="str">
        <f>IF(B52="","",IF(ISNA(VLOOKUP($B52,'B-1 Site Hedge Baseline'!$B$1:$L$257,3,FALSE)),"",(VLOOKUP($B52,'B-1 Site Hedge Baseline'!$B$1:$L$257,3,FALSE))))</f>
        <v/>
      </c>
      <c r="D52" s="520" t="str">
        <f>IF(B52="","",IF(ISNA(VLOOKUP($B52,'B-1 Site Hedge Baseline'!$B$1:$L$257,4,FALSE)),"",(VLOOKUP($B52,'B-1 Site Hedge Baseline'!$B$1:$L$257,4,FALSE))))</f>
        <v/>
      </c>
      <c r="E52" s="520" t="str">
        <f>IF(B52="","",IF(ISNA(VLOOKUP($B52,'B-1 Site Hedge Baseline'!$B$1:$L$257,5,FALSE)),"",(VLOOKUP($B52,'B-1 Site Hedge Baseline'!$B$1:$L$257,5,FALSE))))</f>
        <v/>
      </c>
      <c r="F52" s="520" t="str">
        <f>IF(B52="","",IF(ISNA(VLOOKUP($B52,'B-1 Site Hedge Baseline'!$B$1:$L$257,6,FALSE)),"",(VLOOKUP($B52,'B-1 Site Hedge Baseline'!$B$1:$L$257,6,FALSE))))</f>
        <v/>
      </c>
      <c r="G52" s="520" t="str">
        <f>IF(B52="","",IF(ISNA(VLOOKUP($B52,'B-1 Site Hedge Baseline'!$B$1:$L$257,7,FALSE)),"",(VLOOKUP($B52,'B-1 Site Hedge Baseline'!$B$1:$L$257,7,FALSE))))</f>
        <v/>
      </c>
      <c r="H52" s="520" t="str">
        <f>IF(B52="","",IF(ISNA(VLOOKUP($B52,'B-1 Site Hedge Baseline'!$B$1:$L$257,8,FALSE)),"",(VLOOKUP($B52,'B-1 Site Hedge Baseline'!$B$1:$L$257,8,FALSE))))</f>
        <v/>
      </c>
      <c r="I52" s="520" t="str">
        <f>IF(B52="","",IF(ISNA(VLOOKUP($B52,'B-1 Site Hedge Baseline'!$B$1:$L$257,10,FALSE)),"",(VLOOKUP($B52,'B-1 Site Hedge Baseline'!$B$1:$L$257,10,FALSE))))</f>
        <v/>
      </c>
      <c r="J52" s="520" t="str">
        <f>IF(B52="","",IF(ISNA(VLOOKUP($B52,'B-1 Site Hedge Baseline'!$B$1:$L$257,11,FALSE)),"",(VLOOKUP($B52,'B-1 Site Hedge Baseline'!$B$1:$L$257,11,FALSE))))</f>
        <v/>
      </c>
      <c r="K52" s="520" t="str">
        <f>IF(B52="","",IF(ISNA(VLOOKUP($B52,'B-1 Site Hedge Baseline'!$B$1:$U$257,13,FALSE)),"",(VLOOKUP($B52,'B-1 Site Hedge Baseline'!$B$1:$U$257,13,FALSE))))</f>
        <v/>
      </c>
      <c r="L52" s="524" t="str">
        <f>IF(B52="","",IF(ISNA(VLOOKUP($B52,'B-1 Site Hedge Baseline'!$B$1:$U$257,12,FALSE)),"",(VLOOKUP($B52,'B-1 Site Hedge Baseline'!$B$1:$U$257,12,FALSE))))</f>
        <v/>
      </c>
      <c r="M52" s="416" t="str">
        <f t="shared" si="0"/>
        <v/>
      </c>
      <c r="N52" s="498" t="str">
        <f>IFERROR(IF(B52="","",INDEX('G-6 Hedgerow Data'!$AN$3:$AZ$15,MATCH(C52,'G-6 Hedgerow Data'!$AM$3:$AM$15,0),MATCH(M52,'G-6 Hedgerow Data'!$AN$2:$AZ$2,0))),"")</f>
        <v/>
      </c>
      <c r="O52" s="499" t="str">
        <f t="shared" si="2"/>
        <v/>
      </c>
      <c r="P52" s="559" t="str">
        <f>IF(B52="","",VLOOKUP(B52,'B-1 Site Hedge Baseline'!$B$10:T297,16,FALSE))</f>
        <v/>
      </c>
      <c r="Q52" s="498" t="str">
        <f>IF(M52="","",VLOOKUP(M52,'G-6 Hedgerow Data'!$B$2:$AG$15,2,FALSE))</f>
        <v/>
      </c>
      <c r="R52" s="499" t="str">
        <f>IF(M52="","",VLOOKUP(M52,'G-6 Hedgerow Data'!$B$2:$AG$15,3,FALSE))</f>
        <v/>
      </c>
      <c r="S52" s="157"/>
      <c r="T52" s="540" t="str">
        <f>IFERROR(VLOOKUP(S52,'G-1 All Habitats'!$Z$2:$AA$9,2,FALSE),"")</f>
        <v/>
      </c>
      <c r="U52" s="154"/>
      <c r="V52" s="520" t="str">
        <f>IF(U52="","",IF(VLOOKUP(U52,'G-3 Multipliers'!$L$3:$N$6,2,FALSE)=0,"Spatial Data Missing ⚠",VLOOKUP(U52,'G-3 Multipliers'!$L$3:$N$6,2,FALSE)))</f>
        <v/>
      </c>
      <c r="W52" s="524" t="str">
        <f>IF(U52="","",IF(VLOOKUP(U52,'G-3 Multipliers'!$L$3:$N$6,3,FALSE)=0,"Spatial Data Missing ⚠",VLOOKUP(U52,'G-3 Multipliers'!$L$3:$N$6,3,FALSE)))</f>
        <v/>
      </c>
      <c r="X52" s="498" t="str">
        <f>IFERROR(IF(OR(LEFT(O52,5)="Error ▲",LEFT(N52,5)="Error ▲",T52="Error ▲"),"Check Data ⚠",IF(F52&lt;R52,INDEX('G-6 Hedgerow Data'!$S$3:$AE$14,MATCH(C52,'G-6 Hedgerow Data'!$B$3:$B$14,0),MATCH(M52,'G-6 Hedgerow Data'!$S$2:$AE$2,0)),INDEX('G-6 Hedgerow Data'!$K$3:$Q$14,MATCH(M52,'G-6 Hedgerow Data'!$B$3:$B$14,0),MATCH(O52,'G-6 Hedgerow Data'!$K$2:$Q$2,0)))),"")</f>
        <v/>
      </c>
      <c r="Y52" s="195"/>
      <c r="Z52" s="195"/>
      <c r="AA52" s="507" t="str">
        <f t="shared" si="3"/>
        <v/>
      </c>
      <c r="AB52" s="521" t="str">
        <f t="shared" si="4"/>
        <v/>
      </c>
      <c r="AC52" s="522" t="str">
        <f t="shared" si="1"/>
        <v/>
      </c>
      <c r="AD52" s="537" t="str">
        <f>IF(M52="","",VLOOKUP(M52,'G-6 Hedgerow Data'!$B$3:$AG$15,31,FALSE))</f>
        <v/>
      </c>
      <c r="AE52" s="507" t="str">
        <f t="shared" si="5"/>
        <v/>
      </c>
      <c r="AF52" s="507" t="str">
        <f t="shared" si="6"/>
        <v/>
      </c>
      <c r="AG52" s="524" t="str">
        <f>IFERROR(IF(O52="","",VLOOKUP(AD52,'G-3 Multipliers'!$P$3:$Q$6,2,FALSE)),"")</f>
        <v/>
      </c>
      <c r="AH52" s="513" t="str">
        <f t="shared" si="7"/>
        <v/>
      </c>
      <c r="AI52" s="231"/>
      <c r="AJ52" s="150"/>
      <c r="AT52" s="31" t="str">
        <f>IFERROR(INDEX('G-6 Hedgerow Data'!$BJ$3:$BJ$15,MATCH(M52,'G-6 Hedgerow Data'!$B$3:$B$15,0)),"")</f>
        <v/>
      </c>
    </row>
    <row r="53" spans="2:46" ht="14" x14ac:dyDescent="0.3">
      <c r="B53" s="531" t="str">
        <f>'B-1 Site Hedge Baseline'!AK51</f>
        <v/>
      </c>
      <c r="C53" s="520" t="str">
        <f>IF(B53="","",IF(ISNA(VLOOKUP($B53,'B-1 Site Hedge Baseline'!$B$1:$L$257,3,FALSE)),"",(VLOOKUP($B53,'B-1 Site Hedge Baseline'!$B$1:$L$257,3,FALSE))))</f>
        <v/>
      </c>
      <c r="D53" s="520" t="str">
        <f>IF(B53="","",IF(ISNA(VLOOKUP($B53,'B-1 Site Hedge Baseline'!$B$1:$L$257,4,FALSE)),"",(VLOOKUP($B53,'B-1 Site Hedge Baseline'!$B$1:$L$257,4,FALSE))))</f>
        <v/>
      </c>
      <c r="E53" s="520" t="str">
        <f>IF(B53="","",IF(ISNA(VLOOKUP($B53,'B-1 Site Hedge Baseline'!$B$1:$L$257,5,FALSE)),"",(VLOOKUP($B53,'B-1 Site Hedge Baseline'!$B$1:$L$257,5,FALSE))))</f>
        <v/>
      </c>
      <c r="F53" s="520" t="str">
        <f>IF(B53="","",IF(ISNA(VLOOKUP($B53,'B-1 Site Hedge Baseline'!$B$1:$L$257,6,FALSE)),"",(VLOOKUP($B53,'B-1 Site Hedge Baseline'!$B$1:$L$257,6,FALSE))))</f>
        <v/>
      </c>
      <c r="G53" s="520" t="str">
        <f>IF(B53="","",IF(ISNA(VLOOKUP($B53,'B-1 Site Hedge Baseline'!$B$1:$L$257,7,FALSE)),"",(VLOOKUP($B53,'B-1 Site Hedge Baseline'!$B$1:$L$257,7,FALSE))))</f>
        <v/>
      </c>
      <c r="H53" s="520" t="str">
        <f>IF(B53="","",IF(ISNA(VLOOKUP($B53,'B-1 Site Hedge Baseline'!$B$1:$L$257,8,FALSE)),"",(VLOOKUP($B53,'B-1 Site Hedge Baseline'!$B$1:$L$257,8,FALSE))))</f>
        <v/>
      </c>
      <c r="I53" s="520" t="str">
        <f>IF(B53="","",IF(ISNA(VLOOKUP($B53,'B-1 Site Hedge Baseline'!$B$1:$L$257,10,FALSE)),"",(VLOOKUP($B53,'B-1 Site Hedge Baseline'!$B$1:$L$257,10,FALSE))))</f>
        <v/>
      </c>
      <c r="J53" s="520" t="str">
        <f>IF(B53="","",IF(ISNA(VLOOKUP($B53,'B-1 Site Hedge Baseline'!$B$1:$L$257,11,FALSE)),"",(VLOOKUP($B53,'B-1 Site Hedge Baseline'!$B$1:$L$257,11,FALSE))))</f>
        <v/>
      </c>
      <c r="K53" s="520" t="str">
        <f>IF(B53="","",IF(ISNA(VLOOKUP($B53,'B-1 Site Hedge Baseline'!$B$1:$U$257,13,FALSE)),"",(VLOOKUP($B53,'B-1 Site Hedge Baseline'!$B$1:$U$257,13,FALSE))))</f>
        <v/>
      </c>
      <c r="L53" s="524" t="str">
        <f>IF(B53="","",IF(ISNA(VLOOKUP($B53,'B-1 Site Hedge Baseline'!$B$1:$U$257,12,FALSE)),"",(VLOOKUP($B53,'B-1 Site Hedge Baseline'!$B$1:$U$257,12,FALSE))))</f>
        <v/>
      </c>
      <c r="M53" s="416" t="str">
        <f t="shared" si="0"/>
        <v/>
      </c>
      <c r="N53" s="498" t="str">
        <f>IFERROR(IF(B53="","",INDEX('G-6 Hedgerow Data'!$AN$3:$AZ$15,MATCH(C53,'G-6 Hedgerow Data'!$AM$3:$AM$15,0),MATCH(M53,'G-6 Hedgerow Data'!$AN$2:$AZ$2,0))),"")</f>
        <v/>
      </c>
      <c r="O53" s="499" t="str">
        <f t="shared" si="2"/>
        <v/>
      </c>
      <c r="P53" s="559" t="str">
        <f>IF(B53="","",VLOOKUP(B53,'B-1 Site Hedge Baseline'!$B$10:T298,16,FALSE))</f>
        <v/>
      </c>
      <c r="Q53" s="498" t="str">
        <f>IF(M53="","",VLOOKUP(M53,'G-6 Hedgerow Data'!$B$2:$AG$15,2,FALSE))</f>
        <v/>
      </c>
      <c r="R53" s="499" t="str">
        <f>IF(M53="","",VLOOKUP(M53,'G-6 Hedgerow Data'!$B$2:$AG$15,3,FALSE))</f>
        <v/>
      </c>
      <c r="S53" s="157"/>
      <c r="T53" s="540" t="str">
        <f>IFERROR(VLOOKUP(S53,'G-1 All Habitats'!$Z$2:$AA$9,2,FALSE),"")</f>
        <v/>
      </c>
      <c r="U53" s="154"/>
      <c r="V53" s="520" t="str">
        <f>IF(U53="","",IF(VLOOKUP(U53,'G-3 Multipliers'!$L$3:$N$6,2,FALSE)=0,"Spatial Data Missing ⚠",VLOOKUP(U53,'G-3 Multipliers'!$L$3:$N$6,2,FALSE)))</f>
        <v/>
      </c>
      <c r="W53" s="524" t="str">
        <f>IF(U53="","",IF(VLOOKUP(U53,'G-3 Multipliers'!$L$3:$N$6,3,FALSE)=0,"Spatial Data Missing ⚠",VLOOKUP(U53,'G-3 Multipliers'!$L$3:$N$6,3,FALSE)))</f>
        <v/>
      </c>
      <c r="X53" s="498" t="str">
        <f>IFERROR(IF(OR(LEFT(O53,5)="Error ▲",LEFT(N53,5)="Error ▲",T53="Error ▲"),"Check Data ⚠",IF(F53&lt;R53,INDEX('G-6 Hedgerow Data'!$S$3:$AE$14,MATCH(C53,'G-6 Hedgerow Data'!$B$3:$B$14,0),MATCH(M53,'G-6 Hedgerow Data'!$S$2:$AE$2,0)),INDEX('G-6 Hedgerow Data'!$K$3:$Q$14,MATCH(M53,'G-6 Hedgerow Data'!$B$3:$B$14,0),MATCH(O53,'G-6 Hedgerow Data'!$K$2:$Q$2,0)))),"")</f>
        <v/>
      </c>
      <c r="Y53" s="195"/>
      <c r="Z53" s="195"/>
      <c r="AA53" s="507" t="str">
        <f t="shared" si="3"/>
        <v/>
      </c>
      <c r="AB53" s="521" t="str">
        <f t="shared" si="4"/>
        <v/>
      </c>
      <c r="AC53" s="522" t="str">
        <f t="shared" si="1"/>
        <v/>
      </c>
      <c r="AD53" s="537" t="str">
        <f>IF(M53="","",VLOOKUP(M53,'G-6 Hedgerow Data'!$B$3:$AG$15,31,FALSE))</f>
        <v/>
      </c>
      <c r="AE53" s="507" t="str">
        <f t="shared" si="5"/>
        <v/>
      </c>
      <c r="AF53" s="507" t="str">
        <f t="shared" si="6"/>
        <v/>
      </c>
      <c r="AG53" s="524" t="str">
        <f>IFERROR(IF(O53="","",VLOOKUP(AD53,'G-3 Multipliers'!$P$3:$Q$6,2,FALSE)),"")</f>
        <v/>
      </c>
      <c r="AH53" s="513" t="str">
        <f t="shared" si="7"/>
        <v/>
      </c>
      <c r="AI53" s="231"/>
      <c r="AJ53" s="150"/>
      <c r="AT53" s="31" t="str">
        <f>IFERROR(INDEX('G-6 Hedgerow Data'!$BJ$3:$BJ$15,MATCH(M53,'G-6 Hedgerow Data'!$B$3:$B$15,0)),"")</f>
        <v/>
      </c>
    </row>
    <row r="54" spans="2:46" ht="14" x14ac:dyDescent="0.3">
      <c r="B54" s="531" t="str">
        <f>'B-1 Site Hedge Baseline'!AK52</f>
        <v/>
      </c>
      <c r="C54" s="520" t="str">
        <f>IF(B54="","",IF(ISNA(VLOOKUP($B54,'B-1 Site Hedge Baseline'!$B$1:$L$257,3,FALSE)),"",(VLOOKUP($B54,'B-1 Site Hedge Baseline'!$B$1:$L$257,3,FALSE))))</f>
        <v/>
      </c>
      <c r="D54" s="520" t="str">
        <f>IF(B54="","",IF(ISNA(VLOOKUP($B54,'B-1 Site Hedge Baseline'!$B$1:$L$257,4,FALSE)),"",(VLOOKUP($B54,'B-1 Site Hedge Baseline'!$B$1:$L$257,4,FALSE))))</f>
        <v/>
      </c>
      <c r="E54" s="520" t="str">
        <f>IF(B54="","",IF(ISNA(VLOOKUP($B54,'B-1 Site Hedge Baseline'!$B$1:$L$257,5,FALSE)),"",(VLOOKUP($B54,'B-1 Site Hedge Baseline'!$B$1:$L$257,5,FALSE))))</f>
        <v/>
      </c>
      <c r="F54" s="520" t="str">
        <f>IF(B54="","",IF(ISNA(VLOOKUP($B54,'B-1 Site Hedge Baseline'!$B$1:$L$257,6,FALSE)),"",(VLOOKUP($B54,'B-1 Site Hedge Baseline'!$B$1:$L$257,6,FALSE))))</f>
        <v/>
      </c>
      <c r="G54" s="520" t="str">
        <f>IF(B54="","",IF(ISNA(VLOOKUP($B54,'B-1 Site Hedge Baseline'!$B$1:$L$257,7,FALSE)),"",(VLOOKUP($B54,'B-1 Site Hedge Baseline'!$B$1:$L$257,7,FALSE))))</f>
        <v/>
      </c>
      <c r="H54" s="520" t="str">
        <f>IF(B54="","",IF(ISNA(VLOOKUP($B54,'B-1 Site Hedge Baseline'!$B$1:$L$257,8,FALSE)),"",(VLOOKUP($B54,'B-1 Site Hedge Baseline'!$B$1:$L$257,8,FALSE))))</f>
        <v/>
      </c>
      <c r="I54" s="520" t="str">
        <f>IF(B54="","",IF(ISNA(VLOOKUP($B54,'B-1 Site Hedge Baseline'!$B$1:$L$257,10,FALSE)),"",(VLOOKUP($B54,'B-1 Site Hedge Baseline'!$B$1:$L$257,10,FALSE))))</f>
        <v/>
      </c>
      <c r="J54" s="520" t="str">
        <f>IF(B54="","",IF(ISNA(VLOOKUP($B54,'B-1 Site Hedge Baseline'!$B$1:$L$257,11,FALSE)),"",(VLOOKUP($B54,'B-1 Site Hedge Baseline'!$B$1:$L$257,11,FALSE))))</f>
        <v/>
      </c>
      <c r="K54" s="520" t="str">
        <f>IF(B54="","",IF(ISNA(VLOOKUP($B54,'B-1 Site Hedge Baseline'!$B$1:$U$257,13,FALSE)),"",(VLOOKUP($B54,'B-1 Site Hedge Baseline'!$B$1:$U$257,13,FALSE))))</f>
        <v/>
      </c>
      <c r="L54" s="524" t="str">
        <f>IF(B54="","",IF(ISNA(VLOOKUP($B54,'B-1 Site Hedge Baseline'!$B$1:$U$257,12,FALSE)),"",(VLOOKUP($B54,'B-1 Site Hedge Baseline'!$B$1:$U$257,12,FALSE))))</f>
        <v/>
      </c>
      <c r="M54" s="416" t="str">
        <f t="shared" si="0"/>
        <v/>
      </c>
      <c r="N54" s="498" t="str">
        <f>IFERROR(IF(B54="","",INDEX('G-6 Hedgerow Data'!$AN$3:$AZ$15,MATCH(C54,'G-6 Hedgerow Data'!$AM$3:$AM$15,0),MATCH(M54,'G-6 Hedgerow Data'!$AN$2:$AZ$2,0))),"")</f>
        <v/>
      </c>
      <c r="O54" s="499" t="str">
        <f t="shared" si="2"/>
        <v/>
      </c>
      <c r="P54" s="559" t="str">
        <f>IF(B54="","",VLOOKUP(B54,'B-1 Site Hedge Baseline'!$B$10:T299,16,FALSE))</f>
        <v/>
      </c>
      <c r="Q54" s="498" t="str">
        <f>IF(M54="","",VLOOKUP(M54,'G-6 Hedgerow Data'!$B$2:$AG$15,2,FALSE))</f>
        <v/>
      </c>
      <c r="R54" s="499" t="str">
        <f>IF(M54="","",VLOOKUP(M54,'G-6 Hedgerow Data'!$B$2:$AG$15,3,FALSE))</f>
        <v/>
      </c>
      <c r="S54" s="157"/>
      <c r="T54" s="540" t="str">
        <f>IFERROR(VLOOKUP(S54,'G-1 All Habitats'!$Z$2:$AA$9,2,FALSE),"")</f>
        <v/>
      </c>
      <c r="U54" s="154"/>
      <c r="V54" s="520" t="str">
        <f>IF(U54="","",IF(VLOOKUP(U54,'G-3 Multipliers'!$L$3:$N$6,2,FALSE)=0,"Spatial Data Missing ⚠",VLOOKUP(U54,'G-3 Multipliers'!$L$3:$N$6,2,FALSE)))</f>
        <v/>
      </c>
      <c r="W54" s="524" t="str">
        <f>IF(U54="","",IF(VLOOKUP(U54,'G-3 Multipliers'!$L$3:$N$6,3,FALSE)=0,"Spatial Data Missing ⚠",VLOOKUP(U54,'G-3 Multipliers'!$L$3:$N$6,3,FALSE)))</f>
        <v/>
      </c>
      <c r="X54" s="498" t="str">
        <f>IFERROR(IF(OR(LEFT(O54,5)="Error ▲",LEFT(N54,5)="Error ▲",T54="Error ▲"),"Check Data ⚠",IF(F54&lt;R54,INDEX('G-6 Hedgerow Data'!$S$3:$AE$14,MATCH(C54,'G-6 Hedgerow Data'!$B$3:$B$14,0),MATCH(M54,'G-6 Hedgerow Data'!$S$2:$AE$2,0)),INDEX('G-6 Hedgerow Data'!$K$3:$Q$14,MATCH(M54,'G-6 Hedgerow Data'!$B$3:$B$14,0),MATCH(O54,'G-6 Hedgerow Data'!$K$2:$Q$2,0)))),"")</f>
        <v/>
      </c>
      <c r="Y54" s="195"/>
      <c r="Z54" s="195"/>
      <c r="AA54" s="507" t="str">
        <f t="shared" si="3"/>
        <v/>
      </c>
      <c r="AB54" s="521" t="str">
        <f t="shared" si="4"/>
        <v/>
      </c>
      <c r="AC54" s="522" t="str">
        <f t="shared" si="1"/>
        <v/>
      </c>
      <c r="AD54" s="537" t="str">
        <f>IF(M54="","",VLOOKUP(M54,'G-6 Hedgerow Data'!$B$3:$AG$15,31,FALSE))</f>
        <v/>
      </c>
      <c r="AE54" s="507" t="str">
        <f t="shared" si="5"/>
        <v/>
      </c>
      <c r="AF54" s="507" t="str">
        <f t="shared" si="6"/>
        <v/>
      </c>
      <c r="AG54" s="524" t="str">
        <f>IFERROR(IF(O54="","",VLOOKUP(AD54,'G-3 Multipliers'!$P$3:$Q$6,2,FALSE)),"")</f>
        <v/>
      </c>
      <c r="AH54" s="513" t="str">
        <f t="shared" si="7"/>
        <v/>
      </c>
      <c r="AI54" s="231"/>
      <c r="AJ54" s="150"/>
      <c r="AT54" s="31" t="str">
        <f>IFERROR(INDEX('G-6 Hedgerow Data'!$BJ$3:$BJ$15,MATCH(M54,'G-6 Hedgerow Data'!$B$3:$B$15,0)),"")</f>
        <v/>
      </c>
    </row>
    <row r="55" spans="2:46" ht="14" x14ac:dyDescent="0.3">
      <c r="B55" s="531" t="str">
        <f>'B-1 Site Hedge Baseline'!AK53</f>
        <v/>
      </c>
      <c r="C55" s="520" t="str">
        <f>IF(B55="","",IF(ISNA(VLOOKUP($B55,'B-1 Site Hedge Baseline'!$B$1:$L$257,3,FALSE)),"",(VLOOKUP($B55,'B-1 Site Hedge Baseline'!$B$1:$L$257,3,FALSE))))</f>
        <v/>
      </c>
      <c r="D55" s="520" t="str">
        <f>IF(B55="","",IF(ISNA(VLOOKUP($B55,'B-1 Site Hedge Baseline'!$B$1:$L$257,4,FALSE)),"",(VLOOKUP($B55,'B-1 Site Hedge Baseline'!$B$1:$L$257,4,FALSE))))</f>
        <v/>
      </c>
      <c r="E55" s="520" t="str">
        <f>IF(B55="","",IF(ISNA(VLOOKUP($B55,'B-1 Site Hedge Baseline'!$B$1:$L$257,5,FALSE)),"",(VLOOKUP($B55,'B-1 Site Hedge Baseline'!$B$1:$L$257,5,FALSE))))</f>
        <v/>
      </c>
      <c r="F55" s="520" t="str">
        <f>IF(B55="","",IF(ISNA(VLOOKUP($B55,'B-1 Site Hedge Baseline'!$B$1:$L$257,6,FALSE)),"",(VLOOKUP($B55,'B-1 Site Hedge Baseline'!$B$1:$L$257,6,FALSE))))</f>
        <v/>
      </c>
      <c r="G55" s="520" t="str">
        <f>IF(B55="","",IF(ISNA(VLOOKUP($B55,'B-1 Site Hedge Baseline'!$B$1:$L$257,7,FALSE)),"",(VLOOKUP($B55,'B-1 Site Hedge Baseline'!$B$1:$L$257,7,FALSE))))</f>
        <v/>
      </c>
      <c r="H55" s="520" t="str">
        <f>IF(B55="","",IF(ISNA(VLOOKUP($B55,'B-1 Site Hedge Baseline'!$B$1:$L$257,8,FALSE)),"",(VLOOKUP($B55,'B-1 Site Hedge Baseline'!$B$1:$L$257,8,FALSE))))</f>
        <v/>
      </c>
      <c r="I55" s="520" t="str">
        <f>IF(B55="","",IF(ISNA(VLOOKUP($B55,'B-1 Site Hedge Baseline'!$B$1:$L$257,10,FALSE)),"",(VLOOKUP($B55,'B-1 Site Hedge Baseline'!$B$1:$L$257,10,FALSE))))</f>
        <v/>
      </c>
      <c r="J55" s="520" t="str">
        <f>IF(B55="","",IF(ISNA(VLOOKUP($B55,'B-1 Site Hedge Baseline'!$B$1:$L$257,11,FALSE)),"",(VLOOKUP($B55,'B-1 Site Hedge Baseline'!$B$1:$L$257,11,FALSE))))</f>
        <v/>
      </c>
      <c r="K55" s="520" t="str">
        <f>IF(B55="","",IF(ISNA(VLOOKUP($B55,'B-1 Site Hedge Baseline'!$B$1:$U$257,13,FALSE)),"",(VLOOKUP($B55,'B-1 Site Hedge Baseline'!$B$1:$U$257,13,FALSE))))</f>
        <v/>
      </c>
      <c r="L55" s="524" t="str">
        <f>IF(B55="","",IF(ISNA(VLOOKUP($B55,'B-1 Site Hedge Baseline'!$B$1:$U$257,12,FALSE)),"",(VLOOKUP($B55,'B-1 Site Hedge Baseline'!$B$1:$U$257,12,FALSE))))</f>
        <v/>
      </c>
      <c r="M55" s="416" t="str">
        <f t="shared" si="0"/>
        <v/>
      </c>
      <c r="N55" s="498" t="str">
        <f>IFERROR(IF(B55="","",INDEX('G-6 Hedgerow Data'!$AN$3:$AZ$15,MATCH(C55,'G-6 Hedgerow Data'!$AM$3:$AM$15,0),MATCH(M55,'G-6 Hedgerow Data'!$AN$2:$AZ$2,0))),"")</f>
        <v/>
      </c>
      <c r="O55" s="499" t="str">
        <f t="shared" si="2"/>
        <v/>
      </c>
      <c r="P55" s="559" t="str">
        <f>IF(B55="","",VLOOKUP(B55,'B-1 Site Hedge Baseline'!$B$10:T300,16,FALSE))</f>
        <v/>
      </c>
      <c r="Q55" s="498" t="str">
        <f>IF(M55="","",VLOOKUP(M55,'G-6 Hedgerow Data'!$B$2:$AG$15,2,FALSE))</f>
        <v/>
      </c>
      <c r="R55" s="499" t="str">
        <f>IF(M55="","",VLOOKUP(M55,'G-6 Hedgerow Data'!$B$2:$AG$15,3,FALSE))</f>
        <v/>
      </c>
      <c r="S55" s="157"/>
      <c r="T55" s="540" t="str">
        <f>IFERROR(VLOOKUP(S55,'G-1 All Habitats'!$Z$2:$AA$9,2,FALSE),"")</f>
        <v/>
      </c>
      <c r="U55" s="154"/>
      <c r="V55" s="520" t="str">
        <f>IF(U55="","",IF(VLOOKUP(U55,'G-3 Multipliers'!$L$3:$N$6,2,FALSE)=0,"Spatial Data Missing ⚠",VLOOKUP(U55,'G-3 Multipliers'!$L$3:$N$6,2,FALSE)))</f>
        <v/>
      </c>
      <c r="W55" s="524" t="str">
        <f>IF(U55="","",IF(VLOOKUP(U55,'G-3 Multipliers'!$L$3:$N$6,3,FALSE)=0,"Spatial Data Missing ⚠",VLOOKUP(U55,'G-3 Multipliers'!$L$3:$N$6,3,FALSE)))</f>
        <v/>
      </c>
      <c r="X55" s="498" t="str">
        <f>IFERROR(IF(OR(LEFT(O55,5)="Error ▲",LEFT(N55,5)="Error ▲",T55="Error ▲"),"Check Data ⚠",IF(F55&lt;R55,INDEX('G-6 Hedgerow Data'!$S$3:$AE$14,MATCH(C55,'G-6 Hedgerow Data'!$B$3:$B$14,0),MATCH(M55,'G-6 Hedgerow Data'!$S$2:$AE$2,0)),INDEX('G-6 Hedgerow Data'!$K$3:$Q$14,MATCH(M55,'G-6 Hedgerow Data'!$B$3:$B$14,0),MATCH(O55,'G-6 Hedgerow Data'!$K$2:$Q$2,0)))),"")</f>
        <v/>
      </c>
      <c r="Y55" s="195"/>
      <c r="Z55" s="195"/>
      <c r="AA55" s="507" t="str">
        <f t="shared" si="3"/>
        <v/>
      </c>
      <c r="AB55" s="521" t="str">
        <f t="shared" si="4"/>
        <v/>
      </c>
      <c r="AC55" s="522" t="str">
        <f t="shared" si="1"/>
        <v/>
      </c>
      <c r="AD55" s="537" t="str">
        <f>IF(M55="","",VLOOKUP(M55,'G-6 Hedgerow Data'!$B$3:$AG$15,31,FALSE))</f>
        <v/>
      </c>
      <c r="AE55" s="507" t="str">
        <f t="shared" si="5"/>
        <v/>
      </c>
      <c r="AF55" s="507" t="str">
        <f t="shared" si="6"/>
        <v/>
      </c>
      <c r="AG55" s="524" t="str">
        <f>IFERROR(IF(O55="","",VLOOKUP(AD55,'G-3 Multipliers'!$P$3:$Q$6,2,FALSE)),"")</f>
        <v/>
      </c>
      <c r="AH55" s="513" t="str">
        <f t="shared" si="7"/>
        <v/>
      </c>
      <c r="AI55" s="231"/>
      <c r="AJ55" s="150"/>
      <c r="AT55" s="31" t="str">
        <f>IFERROR(INDEX('G-6 Hedgerow Data'!$BJ$3:$BJ$15,MATCH(M55,'G-6 Hedgerow Data'!$B$3:$B$15,0)),"")</f>
        <v/>
      </c>
    </row>
    <row r="56" spans="2:46" ht="14" x14ac:dyDescent="0.3">
      <c r="B56" s="531" t="str">
        <f>'B-1 Site Hedge Baseline'!AK54</f>
        <v/>
      </c>
      <c r="C56" s="520" t="str">
        <f>IF(B56="","",IF(ISNA(VLOOKUP($B56,'B-1 Site Hedge Baseline'!$B$1:$L$257,3,FALSE)),"",(VLOOKUP($B56,'B-1 Site Hedge Baseline'!$B$1:$L$257,3,FALSE))))</f>
        <v/>
      </c>
      <c r="D56" s="520" t="str">
        <f>IF(B56="","",IF(ISNA(VLOOKUP($B56,'B-1 Site Hedge Baseline'!$B$1:$L$257,4,FALSE)),"",(VLOOKUP($B56,'B-1 Site Hedge Baseline'!$B$1:$L$257,4,FALSE))))</f>
        <v/>
      </c>
      <c r="E56" s="520" t="str">
        <f>IF(B56="","",IF(ISNA(VLOOKUP($B56,'B-1 Site Hedge Baseline'!$B$1:$L$257,5,FALSE)),"",(VLOOKUP($B56,'B-1 Site Hedge Baseline'!$B$1:$L$257,5,FALSE))))</f>
        <v/>
      </c>
      <c r="F56" s="520" t="str">
        <f>IF(B56="","",IF(ISNA(VLOOKUP($B56,'B-1 Site Hedge Baseline'!$B$1:$L$257,6,FALSE)),"",(VLOOKUP($B56,'B-1 Site Hedge Baseline'!$B$1:$L$257,6,FALSE))))</f>
        <v/>
      </c>
      <c r="G56" s="520" t="str">
        <f>IF(B56="","",IF(ISNA(VLOOKUP($B56,'B-1 Site Hedge Baseline'!$B$1:$L$257,7,FALSE)),"",(VLOOKUP($B56,'B-1 Site Hedge Baseline'!$B$1:$L$257,7,FALSE))))</f>
        <v/>
      </c>
      <c r="H56" s="520" t="str">
        <f>IF(B56="","",IF(ISNA(VLOOKUP($B56,'B-1 Site Hedge Baseline'!$B$1:$L$257,8,FALSE)),"",(VLOOKUP($B56,'B-1 Site Hedge Baseline'!$B$1:$L$257,8,FALSE))))</f>
        <v/>
      </c>
      <c r="I56" s="520" t="str">
        <f>IF(B56="","",IF(ISNA(VLOOKUP($B56,'B-1 Site Hedge Baseline'!$B$1:$L$257,10,FALSE)),"",(VLOOKUP($B56,'B-1 Site Hedge Baseline'!$B$1:$L$257,10,FALSE))))</f>
        <v/>
      </c>
      <c r="J56" s="520" t="str">
        <f>IF(B56="","",IF(ISNA(VLOOKUP($B56,'B-1 Site Hedge Baseline'!$B$1:$L$257,11,FALSE)),"",(VLOOKUP($B56,'B-1 Site Hedge Baseline'!$B$1:$L$257,11,FALSE))))</f>
        <v/>
      </c>
      <c r="K56" s="520" t="str">
        <f>IF(B56="","",IF(ISNA(VLOOKUP($B56,'B-1 Site Hedge Baseline'!$B$1:$U$257,13,FALSE)),"",(VLOOKUP($B56,'B-1 Site Hedge Baseline'!$B$1:$U$257,13,FALSE))))</f>
        <v/>
      </c>
      <c r="L56" s="524" t="str">
        <f>IF(B56="","",IF(ISNA(VLOOKUP($B56,'B-1 Site Hedge Baseline'!$B$1:$U$257,12,FALSE)),"",(VLOOKUP($B56,'B-1 Site Hedge Baseline'!$B$1:$U$257,12,FALSE))))</f>
        <v/>
      </c>
      <c r="M56" s="416" t="str">
        <f t="shared" si="0"/>
        <v/>
      </c>
      <c r="N56" s="498" t="str">
        <f>IFERROR(IF(B56="","",INDEX('G-6 Hedgerow Data'!$AN$3:$AZ$15,MATCH(C56,'G-6 Hedgerow Data'!$AM$3:$AM$15,0),MATCH(M56,'G-6 Hedgerow Data'!$AN$2:$AZ$2,0))),"")</f>
        <v/>
      </c>
      <c r="O56" s="499" t="str">
        <f t="shared" si="2"/>
        <v/>
      </c>
      <c r="P56" s="559" t="str">
        <f>IF(B56="","",VLOOKUP(B56,'B-1 Site Hedge Baseline'!$B$10:T301,16,FALSE))</f>
        <v/>
      </c>
      <c r="Q56" s="498" t="str">
        <f>IF(M56="","",VLOOKUP(M56,'G-6 Hedgerow Data'!$B$2:$AG$15,2,FALSE))</f>
        <v/>
      </c>
      <c r="R56" s="499" t="str">
        <f>IF(M56="","",VLOOKUP(M56,'G-6 Hedgerow Data'!$B$2:$AG$15,3,FALSE))</f>
        <v/>
      </c>
      <c r="S56" s="157"/>
      <c r="T56" s="540" t="str">
        <f>IFERROR(VLOOKUP(S56,'G-1 All Habitats'!$Z$2:$AA$9,2,FALSE),"")</f>
        <v/>
      </c>
      <c r="U56" s="154"/>
      <c r="V56" s="520" t="str">
        <f>IF(U56="","",IF(VLOOKUP(U56,'G-3 Multipliers'!$L$3:$N$6,2,FALSE)=0,"Spatial Data Missing ⚠",VLOOKUP(U56,'G-3 Multipliers'!$L$3:$N$6,2,FALSE)))</f>
        <v/>
      </c>
      <c r="W56" s="524" t="str">
        <f>IF(U56="","",IF(VLOOKUP(U56,'G-3 Multipliers'!$L$3:$N$6,3,FALSE)=0,"Spatial Data Missing ⚠",VLOOKUP(U56,'G-3 Multipliers'!$L$3:$N$6,3,FALSE)))</f>
        <v/>
      </c>
      <c r="X56" s="498" t="str">
        <f>IFERROR(IF(OR(LEFT(O56,5)="Error ▲",LEFT(N56,5)="Error ▲",T56="Error ▲"),"Check Data ⚠",IF(F56&lt;R56,INDEX('G-6 Hedgerow Data'!$S$3:$AE$14,MATCH(C56,'G-6 Hedgerow Data'!$B$3:$B$14,0),MATCH(M56,'G-6 Hedgerow Data'!$S$2:$AE$2,0)),INDEX('G-6 Hedgerow Data'!$K$3:$Q$14,MATCH(M56,'G-6 Hedgerow Data'!$B$3:$B$14,0),MATCH(O56,'G-6 Hedgerow Data'!$K$2:$Q$2,0)))),"")</f>
        <v/>
      </c>
      <c r="Y56" s="195"/>
      <c r="Z56" s="195"/>
      <c r="AA56" s="507" t="str">
        <f t="shared" si="3"/>
        <v/>
      </c>
      <c r="AB56" s="521" t="str">
        <f t="shared" si="4"/>
        <v/>
      </c>
      <c r="AC56" s="522" t="str">
        <f t="shared" si="1"/>
        <v/>
      </c>
      <c r="AD56" s="537" t="str">
        <f>IF(M56="","",VLOOKUP(M56,'G-6 Hedgerow Data'!$B$3:$AG$15,31,FALSE))</f>
        <v/>
      </c>
      <c r="AE56" s="507" t="str">
        <f t="shared" si="5"/>
        <v/>
      </c>
      <c r="AF56" s="507" t="str">
        <f t="shared" si="6"/>
        <v/>
      </c>
      <c r="AG56" s="524" t="str">
        <f>IFERROR(IF(O56="","",VLOOKUP(AD56,'G-3 Multipliers'!$P$3:$Q$6,2,FALSE)),"")</f>
        <v/>
      </c>
      <c r="AH56" s="513" t="str">
        <f t="shared" si="7"/>
        <v/>
      </c>
      <c r="AI56" s="231"/>
      <c r="AJ56" s="150"/>
      <c r="AT56" s="31" t="str">
        <f>IFERROR(INDEX('G-6 Hedgerow Data'!$BJ$3:$BJ$15,MATCH(M56,'G-6 Hedgerow Data'!$B$3:$B$15,0)),"")</f>
        <v/>
      </c>
    </row>
    <row r="57" spans="2:46" ht="14" x14ac:dyDescent="0.3">
      <c r="B57" s="531" t="str">
        <f>'B-1 Site Hedge Baseline'!AK55</f>
        <v/>
      </c>
      <c r="C57" s="520" t="str">
        <f>IF(B57="","",IF(ISNA(VLOOKUP($B57,'B-1 Site Hedge Baseline'!$B$1:$L$257,3,FALSE)),"",(VLOOKUP($B57,'B-1 Site Hedge Baseline'!$B$1:$L$257,3,FALSE))))</f>
        <v/>
      </c>
      <c r="D57" s="520" t="str">
        <f>IF(B57="","",IF(ISNA(VLOOKUP($B57,'B-1 Site Hedge Baseline'!$B$1:$L$257,4,FALSE)),"",(VLOOKUP($B57,'B-1 Site Hedge Baseline'!$B$1:$L$257,4,FALSE))))</f>
        <v/>
      </c>
      <c r="E57" s="520" t="str">
        <f>IF(B57="","",IF(ISNA(VLOOKUP($B57,'B-1 Site Hedge Baseline'!$B$1:$L$257,5,FALSE)),"",(VLOOKUP($B57,'B-1 Site Hedge Baseline'!$B$1:$L$257,5,FALSE))))</f>
        <v/>
      </c>
      <c r="F57" s="520" t="str">
        <f>IF(B57="","",IF(ISNA(VLOOKUP($B57,'B-1 Site Hedge Baseline'!$B$1:$L$257,6,FALSE)),"",(VLOOKUP($B57,'B-1 Site Hedge Baseline'!$B$1:$L$257,6,FALSE))))</f>
        <v/>
      </c>
      <c r="G57" s="520" t="str">
        <f>IF(B57="","",IF(ISNA(VLOOKUP($B57,'B-1 Site Hedge Baseline'!$B$1:$L$257,7,FALSE)),"",(VLOOKUP($B57,'B-1 Site Hedge Baseline'!$B$1:$L$257,7,FALSE))))</f>
        <v/>
      </c>
      <c r="H57" s="520" t="str">
        <f>IF(B57="","",IF(ISNA(VLOOKUP($B57,'B-1 Site Hedge Baseline'!$B$1:$L$257,8,FALSE)),"",(VLOOKUP($B57,'B-1 Site Hedge Baseline'!$B$1:$L$257,8,FALSE))))</f>
        <v/>
      </c>
      <c r="I57" s="520" t="str">
        <f>IF(B57="","",IF(ISNA(VLOOKUP($B57,'B-1 Site Hedge Baseline'!$B$1:$L$257,10,FALSE)),"",(VLOOKUP($B57,'B-1 Site Hedge Baseline'!$B$1:$L$257,10,FALSE))))</f>
        <v/>
      </c>
      <c r="J57" s="520" t="str">
        <f>IF(B57="","",IF(ISNA(VLOOKUP($B57,'B-1 Site Hedge Baseline'!$B$1:$L$257,11,FALSE)),"",(VLOOKUP($B57,'B-1 Site Hedge Baseline'!$B$1:$L$257,11,FALSE))))</f>
        <v/>
      </c>
      <c r="K57" s="520" t="str">
        <f>IF(B57="","",IF(ISNA(VLOOKUP($B57,'B-1 Site Hedge Baseline'!$B$1:$U$257,13,FALSE)),"",(VLOOKUP($B57,'B-1 Site Hedge Baseline'!$B$1:$U$257,13,FALSE))))</f>
        <v/>
      </c>
      <c r="L57" s="524" t="str">
        <f>IF(B57="","",IF(ISNA(VLOOKUP($B57,'B-1 Site Hedge Baseline'!$B$1:$U$257,12,FALSE)),"",(VLOOKUP($B57,'B-1 Site Hedge Baseline'!$B$1:$U$257,12,FALSE))))</f>
        <v/>
      </c>
      <c r="M57" s="416" t="str">
        <f t="shared" si="0"/>
        <v/>
      </c>
      <c r="N57" s="498" t="str">
        <f>IFERROR(IF(B57="","",INDEX('G-6 Hedgerow Data'!$AN$3:$AZ$15,MATCH(C57,'G-6 Hedgerow Data'!$AM$3:$AM$15,0),MATCH(M57,'G-6 Hedgerow Data'!$AN$2:$AZ$2,0))),"")</f>
        <v/>
      </c>
      <c r="O57" s="499" t="str">
        <f t="shared" si="2"/>
        <v/>
      </c>
      <c r="P57" s="559" t="str">
        <f>IF(B57="","",VLOOKUP(B57,'B-1 Site Hedge Baseline'!$B$10:T302,16,FALSE))</f>
        <v/>
      </c>
      <c r="Q57" s="498" t="str">
        <f>IF(M57="","",VLOOKUP(M57,'G-6 Hedgerow Data'!$B$2:$AG$15,2,FALSE))</f>
        <v/>
      </c>
      <c r="R57" s="499" t="str">
        <f>IF(M57="","",VLOOKUP(M57,'G-6 Hedgerow Data'!$B$2:$AG$15,3,FALSE))</f>
        <v/>
      </c>
      <c r="S57" s="157"/>
      <c r="T57" s="540" t="str">
        <f>IFERROR(VLOOKUP(S57,'G-1 All Habitats'!$Z$2:$AA$9,2,FALSE),"")</f>
        <v/>
      </c>
      <c r="U57" s="154"/>
      <c r="V57" s="520" t="str">
        <f>IF(U57="","",IF(VLOOKUP(U57,'G-3 Multipliers'!$L$3:$N$6,2,FALSE)=0,"Spatial Data Missing ⚠",VLOOKUP(U57,'G-3 Multipliers'!$L$3:$N$6,2,FALSE)))</f>
        <v/>
      </c>
      <c r="W57" s="524" t="str">
        <f>IF(U57="","",IF(VLOOKUP(U57,'G-3 Multipliers'!$L$3:$N$6,3,FALSE)=0,"Spatial Data Missing ⚠",VLOOKUP(U57,'G-3 Multipliers'!$L$3:$N$6,3,FALSE)))</f>
        <v/>
      </c>
      <c r="X57" s="498" t="str">
        <f>IFERROR(IF(OR(LEFT(O57,5)="Error ▲",LEFT(N57,5)="Error ▲",T57="Error ▲"),"Check Data ⚠",IF(F57&lt;R57,INDEX('G-6 Hedgerow Data'!$S$3:$AE$14,MATCH(C57,'G-6 Hedgerow Data'!$B$3:$B$14,0),MATCH(M57,'G-6 Hedgerow Data'!$S$2:$AE$2,0)),INDEX('G-6 Hedgerow Data'!$K$3:$Q$14,MATCH(M57,'G-6 Hedgerow Data'!$B$3:$B$14,0),MATCH(O57,'G-6 Hedgerow Data'!$K$2:$Q$2,0)))),"")</f>
        <v/>
      </c>
      <c r="Y57" s="195"/>
      <c r="Z57" s="195"/>
      <c r="AA57" s="507" t="str">
        <f t="shared" si="3"/>
        <v/>
      </c>
      <c r="AB57" s="521" t="str">
        <f t="shared" si="4"/>
        <v/>
      </c>
      <c r="AC57" s="522" t="str">
        <f t="shared" si="1"/>
        <v/>
      </c>
      <c r="AD57" s="537" t="str">
        <f>IF(M57="","",VLOOKUP(M57,'G-6 Hedgerow Data'!$B$3:$AG$15,31,FALSE))</f>
        <v/>
      </c>
      <c r="AE57" s="507" t="str">
        <f t="shared" si="5"/>
        <v/>
      </c>
      <c r="AF57" s="507" t="str">
        <f t="shared" si="6"/>
        <v/>
      </c>
      <c r="AG57" s="524" t="str">
        <f>IFERROR(IF(O57="","",VLOOKUP(AD57,'G-3 Multipliers'!$P$3:$Q$6,2,FALSE)),"")</f>
        <v/>
      </c>
      <c r="AH57" s="513" t="str">
        <f t="shared" si="7"/>
        <v/>
      </c>
      <c r="AI57" s="231"/>
      <c r="AJ57" s="150"/>
      <c r="AT57" s="31" t="str">
        <f>IFERROR(INDEX('G-6 Hedgerow Data'!$BJ$3:$BJ$15,MATCH(M57,'G-6 Hedgerow Data'!$B$3:$B$15,0)),"")</f>
        <v/>
      </c>
    </row>
    <row r="58" spans="2:46" ht="14" x14ac:dyDescent="0.3">
      <c r="B58" s="531" t="str">
        <f>'B-1 Site Hedge Baseline'!AK56</f>
        <v/>
      </c>
      <c r="C58" s="520" t="str">
        <f>IF(B58="","",IF(ISNA(VLOOKUP($B58,'B-1 Site Hedge Baseline'!$B$1:$L$257,3,FALSE)),"",(VLOOKUP($B58,'B-1 Site Hedge Baseline'!$B$1:$L$257,3,FALSE))))</f>
        <v/>
      </c>
      <c r="D58" s="520" t="str">
        <f>IF(B58="","",IF(ISNA(VLOOKUP($B58,'B-1 Site Hedge Baseline'!$B$1:$L$257,4,FALSE)),"",(VLOOKUP($B58,'B-1 Site Hedge Baseline'!$B$1:$L$257,4,FALSE))))</f>
        <v/>
      </c>
      <c r="E58" s="520" t="str">
        <f>IF(B58="","",IF(ISNA(VLOOKUP($B58,'B-1 Site Hedge Baseline'!$B$1:$L$257,5,FALSE)),"",(VLOOKUP($B58,'B-1 Site Hedge Baseline'!$B$1:$L$257,5,FALSE))))</f>
        <v/>
      </c>
      <c r="F58" s="520" t="str">
        <f>IF(B58="","",IF(ISNA(VLOOKUP($B58,'B-1 Site Hedge Baseline'!$B$1:$L$257,6,FALSE)),"",(VLOOKUP($B58,'B-1 Site Hedge Baseline'!$B$1:$L$257,6,FALSE))))</f>
        <v/>
      </c>
      <c r="G58" s="520" t="str">
        <f>IF(B58="","",IF(ISNA(VLOOKUP($B58,'B-1 Site Hedge Baseline'!$B$1:$L$257,7,FALSE)),"",(VLOOKUP($B58,'B-1 Site Hedge Baseline'!$B$1:$L$257,7,FALSE))))</f>
        <v/>
      </c>
      <c r="H58" s="520" t="str">
        <f>IF(B58="","",IF(ISNA(VLOOKUP($B58,'B-1 Site Hedge Baseline'!$B$1:$L$257,8,FALSE)),"",(VLOOKUP($B58,'B-1 Site Hedge Baseline'!$B$1:$L$257,8,FALSE))))</f>
        <v/>
      </c>
      <c r="I58" s="520" t="str">
        <f>IF(B58="","",IF(ISNA(VLOOKUP($B58,'B-1 Site Hedge Baseline'!$B$1:$L$257,10,FALSE)),"",(VLOOKUP($B58,'B-1 Site Hedge Baseline'!$B$1:$L$257,10,FALSE))))</f>
        <v/>
      </c>
      <c r="J58" s="520" t="str">
        <f>IF(B58="","",IF(ISNA(VLOOKUP($B58,'B-1 Site Hedge Baseline'!$B$1:$L$257,11,FALSE)),"",(VLOOKUP($B58,'B-1 Site Hedge Baseline'!$B$1:$L$257,11,FALSE))))</f>
        <v/>
      </c>
      <c r="K58" s="520" t="str">
        <f>IF(B58="","",IF(ISNA(VLOOKUP($B58,'B-1 Site Hedge Baseline'!$B$1:$U$257,13,FALSE)),"",(VLOOKUP($B58,'B-1 Site Hedge Baseline'!$B$1:$U$257,13,FALSE))))</f>
        <v/>
      </c>
      <c r="L58" s="524" t="str">
        <f>IF(B58="","",IF(ISNA(VLOOKUP($B58,'B-1 Site Hedge Baseline'!$B$1:$U$257,12,FALSE)),"",(VLOOKUP($B58,'B-1 Site Hedge Baseline'!$B$1:$U$257,12,FALSE))))</f>
        <v/>
      </c>
      <c r="M58" s="416" t="str">
        <f t="shared" si="0"/>
        <v/>
      </c>
      <c r="N58" s="498" t="str">
        <f>IFERROR(IF(B58="","",INDEX('G-6 Hedgerow Data'!$AN$3:$AZ$15,MATCH(C58,'G-6 Hedgerow Data'!$AM$3:$AM$15,0),MATCH(M58,'G-6 Hedgerow Data'!$AN$2:$AZ$2,0))),"")</f>
        <v/>
      </c>
      <c r="O58" s="499" t="str">
        <f t="shared" si="2"/>
        <v/>
      </c>
      <c r="P58" s="559" t="str">
        <f>IF(B58="","",VLOOKUP(B58,'B-1 Site Hedge Baseline'!$B$10:T303,16,FALSE))</f>
        <v/>
      </c>
      <c r="Q58" s="498" t="str">
        <f>IF(M58="","",VLOOKUP(M58,'G-6 Hedgerow Data'!$B$2:$AG$15,2,FALSE))</f>
        <v/>
      </c>
      <c r="R58" s="499" t="str">
        <f>IF(M58="","",VLOOKUP(M58,'G-6 Hedgerow Data'!$B$2:$AG$15,3,FALSE))</f>
        <v/>
      </c>
      <c r="S58" s="157"/>
      <c r="T58" s="540" t="str">
        <f>IFERROR(VLOOKUP(S58,'G-1 All Habitats'!$Z$2:$AA$9,2,FALSE),"")</f>
        <v/>
      </c>
      <c r="U58" s="154"/>
      <c r="V58" s="520" t="str">
        <f>IF(U58="","",IF(VLOOKUP(U58,'G-3 Multipliers'!$L$3:$N$6,2,FALSE)=0,"Spatial Data Missing ⚠",VLOOKUP(U58,'G-3 Multipliers'!$L$3:$N$6,2,FALSE)))</f>
        <v/>
      </c>
      <c r="W58" s="524" t="str">
        <f>IF(U58="","",IF(VLOOKUP(U58,'G-3 Multipliers'!$L$3:$N$6,3,FALSE)=0,"Spatial Data Missing ⚠",VLOOKUP(U58,'G-3 Multipliers'!$L$3:$N$6,3,FALSE)))</f>
        <v/>
      </c>
      <c r="X58" s="498" t="str">
        <f>IFERROR(IF(OR(LEFT(O58,5)="Error ▲",LEFT(N58,5)="Error ▲",T58="Error ▲"),"Check Data ⚠",IF(F58&lt;R58,INDEX('G-6 Hedgerow Data'!$S$3:$AE$14,MATCH(C58,'G-6 Hedgerow Data'!$B$3:$B$14,0),MATCH(M58,'G-6 Hedgerow Data'!$S$2:$AE$2,0)),INDEX('G-6 Hedgerow Data'!$K$3:$Q$14,MATCH(M58,'G-6 Hedgerow Data'!$B$3:$B$14,0),MATCH(O58,'G-6 Hedgerow Data'!$K$2:$Q$2,0)))),"")</f>
        <v/>
      </c>
      <c r="Y58" s="195"/>
      <c r="Z58" s="195"/>
      <c r="AA58" s="507" t="str">
        <f t="shared" si="3"/>
        <v/>
      </c>
      <c r="AB58" s="521" t="str">
        <f t="shared" si="4"/>
        <v/>
      </c>
      <c r="AC58" s="522" t="str">
        <f t="shared" si="1"/>
        <v/>
      </c>
      <c r="AD58" s="537" t="str">
        <f>IF(M58="","",VLOOKUP(M58,'G-6 Hedgerow Data'!$B$3:$AG$15,31,FALSE))</f>
        <v/>
      </c>
      <c r="AE58" s="507" t="str">
        <f t="shared" si="5"/>
        <v/>
      </c>
      <c r="AF58" s="507" t="str">
        <f t="shared" si="6"/>
        <v/>
      </c>
      <c r="AG58" s="524" t="str">
        <f>IFERROR(IF(O58="","",VLOOKUP(AD58,'G-3 Multipliers'!$P$3:$Q$6,2,FALSE)),"")</f>
        <v/>
      </c>
      <c r="AH58" s="513" t="str">
        <f t="shared" si="7"/>
        <v/>
      </c>
      <c r="AI58" s="231"/>
      <c r="AJ58" s="150"/>
      <c r="AT58" s="31" t="str">
        <f>IFERROR(INDEX('G-6 Hedgerow Data'!$BJ$3:$BJ$15,MATCH(M58,'G-6 Hedgerow Data'!$B$3:$B$15,0)),"")</f>
        <v/>
      </c>
    </row>
    <row r="59" spans="2:46" ht="14" x14ac:dyDescent="0.3">
      <c r="B59" s="531" t="str">
        <f>'B-1 Site Hedge Baseline'!AK57</f>
        <v/>
      </c>
      <c r="C59" s="520" t="str">
        <f>IF(B59="","",IF(ISNA(VLOOKUP($B59,'B-1 Site Hedge Baseline'!$B$1:$L$257,3,FALSE)),"",(VLOOKUP($B59,'B-1 Site Hedge Baseline'!$B$1:$L$257,3,FALSE))))</f>
        <v/>
      </c>
      <c r="D59" s="520" t="str">
        <f>IF(B59="","",IF(ISNA(VLOOKUP($B59,'B-1 Site Hedge Baseline'!$B$1:$L$257,4,FALSE)),"",(VLOOKUP($B59,'B-1 Site Hedge Baseline'!$B$1:$L$257,4,FALSE))))</f>
        <v/>
      </c>
      <c r="E59" s="520" t="str">
        <f>IF(B59="","",IF(ISNA(VLOOKUP($B59,'B-1 Site Hedge Baseline'!$B$1:$L$257,5,FALSE)),"",(VLOOKUP($B59,'B-1 Site Hedge Baseline'!$B$1:$L$257,5,FALSE))))</f>
        <v/>
      </c>
      <c r="F59" s="520" t="str">
        <f>IF(B59="","",IF(ISNA(VLOOKUP($B59,'B-1 Site Hedge Baseline'!$B$1:$L$257,6,FALSE)),"",(VLOOKUP($B59,'B-1 Site Hedge Baseline'!$B$1:$L$257,6,FALSE))))</f>
        <v/>
      </c>
      <c r="G59" s="520" t="str">
        <f>IF(B59="","",IF(ISNA(VLOOKUP($B59,'B-1 Site Hedge Baseline'!$B$1:$L$257,7,FALSE)),"",(VLOOKUP($B59,'B-1 Site Hedge Baseline'!$B$1:$L$257,7,FALSE))))</f>
        <v/>
      </c>
      <c r="H59" s="520" t="str">
        <f>IF(B59="","",IF(ISNA(VLOOKUP($B59,'B-1 Site Hedge Baseline'!$B$1:$L$257,8,FALSE)),"",(VLOOKUP($B59,'B-1 Site Hedge Baseline'!$B$1:$L$257,8,FALSE))))</f>
        <v/>
      </c>
      <c r="I59" s="520" t="str">
        <f>IF(B59="","",IF(ISNA(VLOOKUP($B59,'B-1 Site Hedge Baseline'!$B$1:$L$257,10,FALSE)),"",(VLOOKUP($B59,'B-1 Site Hedge Baseline'!$B$1:$L$257,10,FALSE))))</f>
        <v/>
      </c>
      <c r="J59" s="520" t="str">
        <f>IF(B59="","",IF(ISNA(VLOOKUP($B59,'B-1 Site Hedge Baseline'!$B$1:$L$257,11,FALSE)),"",(VLOOKUP($B59,'B-1 Site Hedge Baseline'!$B$1:$L$257,11,FALSE))))</f>
        <v/>
      </c>
      <c r="K59" s="520" t="str">
        <f>IF(B59="","",IF(ISNA(VLOOKUP($B59,'B-1 Site Hedge Baseline'!$B$1:$U$257,13,FALSE)),"",(VLOOKUP($B59,'B-1 Site Hedge Baseline'!$B$1:$U$257,13,FALSE))))</f>
        <v/>
      </c>
      <c r="L59" s="524" t="str">
        <f>IF(B59="","",IF(ISNA(VLOOKUP($B59,'B-1 Site Hedge Baseline'!$B$1:$U$257,12,FALSE)),"",(VLOOKUP($B59,'B-1 Site Hedge Baseline'!$B$1:$U$257,12,FALSE))))</f>
        <v/>
      </c>
      <c r="M59" s="416" t="str">
        <f t="shared" si="0"/>
        <v/>
      </c>
      <c r="N59" s="498" t="str">
        <f>IFERROR(IF(B59="","",INDEX('G-6 Hedgerow Data'!$AN$3:$AZ$15,MATCH(C59,'G-6 Hedgerow Data'!$AM$3:$AM$15,0),MATCH(M59,'G-6 Hedgerow Data'!$AN$2:$AZ$2,0))),"")</f>
        <v/>
      </c>
      <c r="O59" s="499" t="str">
        <f t="shared" si="2"/>
        <v/>
      </c>
      <c r="P59" s="559" t="str">
        <f>IF(B59="","",VLOOKUP(B59,'B-1 Site Hedge Baseline'!$B$10:T304,16,FALSE))</f>
        <v/>
      </c>
      <c r="Q59" s="498" t="str">
        <f>IF(M59="","",VLOOKUP(M59,'G-6 Hedgerow Data'!$B$2:$AG$15,2,FALSE))</f>
        <v/>
      </c>
      <c r="R59" s="499" t="str">
        <f>IF(M59="","",VLOOKUP(M59,'G-6 Hedgerow Data'!$B$2:$AG$15,3,FALSE))</f>
        <v/>
      </c>
      <c r="S59" s="157"/>
      <c r="T59" s="540" t="str">
        <f>IFERROR(VLOOKUP(S59,'G-1 All Habitats'!$Z$2:$AA$9,2,FALSE),"")</f>
        <v/>
      </c>
      <c r="U59" s="154"/>
      <c r="V59" s="520" t="str">
        <f>IF(U59="","",IF(VLOOKUP(U59,'G-3 Multipliers'!$L$3:$N$6,2,FALSE)=0,"Spatial Data Missing ⚠",VLOOKUP(U59,'G-3 Multipliers'!$L$3:$N$6,2,FALSE)))</f>
        <v/>
      </c>
      <c r="W59" s="524" t="str">
        <f>IF(U59="","",IF(VLOOKUP(U59,'G-3 Multipliers'!$L$3:$N$6,3,FALSE)=0,"Spatial Data Missing ⚠",VLOOKUP(U59,'G-3 Multipliers'!$L$3:$N$6,3,FALSE)))</f>
        <v/>
      </c>
      <c r="X59" s="498" t="str">
        <f>IFERROR(IF(OR(LEFT(O59,5)="Error ▲",LEFT(N59,5)="Error ▲",T59="Error ▲"),"Check Data ⚠",IF(F59&lt;R59,INDEX('G-6 Hedgerow Data'!$S$3:$AE$14,MATCH(C59,'G-6 Hedgerow Data'!$B$3:$B$14,0),MATCH(M59,'G-6 Hedgerow Data'!$S$2:$AE$2,0)),INDEX('G-6 Hedgerow Data'!$K$3:$Q$14,MATCH(M59,'G-6 Hedgerow Data'!$B$3:$B$14,0),MATCH(O59,'G-6 Hedgerow Data'!$K$2:$Q$2,0)))),"")</f>
        <v/>
      </c>
      <c r="Y59" s="195"/>
      <c r="Z59" s="195"/>
      <c r="AA59" s="507" t="str">
        <f t="shared" si="3"/>
        <v/>
      </c>
      <c r="AB59" s="521" t="str">
        <f t="shared" si="4"/>
        <v/>
      </c>
      <c r="AC59" s="522" t="str">
        <f t="shared" si="1"/>
        <v/>
      </c>
      <c r="AD59" s="537" t="str">
        <f>IF(M59="","",VLOOKUP(M59,'G-6 Hedgerow Data'!$B$3:$AG$15,31,FALSE))</f>
        <v/>
      </c>
      <c r="AE59" s="507" t="str">
        <f t="shared" si="5"/>
        <v/>
      </c>
      <c r="AF59" s="507" t="str">
        <f t="shared" si="6"/>
        <v/>
      </c>
      <c r="AG59" s="524" t="str">
        <f>IFERROR(IF(O59="","",VLOOKUP(AD59,'G-3 Multipliers'!$P$3:$Q$6,2,FALSE)),"")</f>
        <v/>
      </c>
      <c r="AH59" s="513" t="str">
        <f t="shared" si="7"/>
        <v/>
      </c>
      <c r="AI59" s="231"/>
      <c r="AJ59" s="150"/>
      <c r="AT59" s="31" t="str">
        <f>IFERROR(INDEX('G-6 Hedgerow Data'!$BJ$3:$BJ$15,MATCH(M59,'G-6 Hedgerow Data'!$B$3:$B$15,0)),"")</f>
        <v/>
      </c>
    </row>
    <row r="60" spans="2:46" ht="14" x14ac:dyDescent="0.3">
      <c r="B60" s="531" t="str">
        <f>'B-1 Site Hedge Baseline'!AK58</f>
        <v/>
      </c>
      <c r="C60" s="520" t="str">
        <f>IF(B60="","",IF(ISNA(VLOOKUP($B60,'B-1 Site Hedge Baseline'!$B$1:$L$257,3,FALSE)),"",(VLOOKUP($B60,'B-1 Site Hedge Baseline'!$B$1:$L$257,3,FALSE))))</f>
        <v/>
      </c>
      <c r="D60" s="520" t="str">
        <f>IF(B60="","",IF(ISNA(VLOOKUP($B60,'B-1 Site Hedge Baseline'!$B$1:$L$257,4,FALSE)),"",(VLOOKUP($B60,'B-1 Site Hedge Baseline'!$B$1:$L$257,4,FALSE))))</f>
        <v/>
      </c>
      <c r="E60" s="520" t="str">
        <f>IF(B60="","",IF(ISNA(VLOOKUP($B60,'B-1 Site Hedge Baseline'!$B$1:$L$257,5,FALSE)),"",(VLOOKUP($B60,'B-1 Site Hedge Baseline'!$B$1:$L$257,5,FALSE))))</f>
        <v/>
      </c>
      <c r="F60" s="520" t="str">
        <f>IF(B60="","",IF(ISNA(VLOOKUP($B60,'B-1 Site Hedge Baseline'!$B$1:$L$257,6,FALSE)),"",(VLOOKUP($B60,'B-1 Site Hedge Baseline'!$B$1:$L$257,6,FALSE))))</f>
        <v/>
      </c>
      <c r="G60" s="520" t="str">
        <f>IF(B60="","",IF(ISNA(VLOOKUP($B60,'B-1 Site Hedge Baseline'!$B$1:$L$257,7,FALSE)),"",(VLOOKUP($B60,'B-1 Site Hedge Baseline'!$B$1:$L$257,7,FALSE))))</f>
        <v/>
      </c>
      <c r="H60" s="520" t="str">
        <f>IF(B60="","",IF(ISNA(VLOOKUP($B60,'B-1 Site Hedge Baseline'!$B$1:$L$257,8,FALSE)),"",(VLOOKUP($B60,'B-1 Site Hedge Baseline'!$B$1:$L$257,8,FALSE))))</f>
        <v/>
      </c>
      <c r="I60" s="520" t="str">
        <f>IF(B60="","",IF(ISNA(VLOOKUP($B60,'B-1 Site Hedge Baseline'!$B$1:$L$257,10,FALSE)),"",(VLOOKUP($B60,'B-1 Site Hedge Baseline'!$B$1:$L$257,10,FALSE))))</f>
        <v/>
      </c>
      <c r="J60" s="520" t="str">
        <f>IF(B60="","",IF(ISNA(VLOOKUP($B60,'B-1 Site Hedge Baseline'!$B$1:$L$257,11,FALSE)),"",(VLOOKUP($B60,'B-1 Site Hedge Baseline'!$B$1:$L$257,11,FALSE))))</f>
        <v/>
      </c>
      <c r="K60" s="520" t="str">
        <f>IF(B60="","",IF(ISNA(VLOOKUP($B60,'B-1 Site Hedge Baseline'!$B$1:$U$257,13,FALSE)),"",(VLOOKUP($B60,'B-1 Site Hedge Baseline'!$B$1:$U$257,13,FALSE))))</f>
        <v/>
      </c>
      <c r="L60" s="524" t="str">
        <f>IF(B60="","",IF(ISNA(VLOOKUP($B60,'B-1 Site Hedge Baseline'!$B$1:$U$257,12,FALSE)),"",(VLOOKUP($B60,'B-1 Site Hedge Baseline'!$B$1:$U$257,12,FALSE))))</f>
        <v/>
      </c>
      <c r="M60" s="416" t="str">
        <f t="shared" si="0"/>
        <v/>
      </c>
      <c r="N60" s="498" t="str">
        <f>IFERROR(IF(B60="","",INDEX('G-6 Hedgerow Data'!$AN$3:$AZ$15,MATCH(C60,'G-6 Hedgerow Data'!$AM$3:$AM$15,0),MATCH(M60,'G-6 Hedgerow Data'!$AN$2:$AZ$2,0))),"")</f>
        <v/>
      </c>
      <c r="O60" s="499" t="str">
        <f t="shared" si="2"/>
        <v/>
      </c>
      <c r="P60" s="559" t="str">
        <f>IF(B60="","",VLOOKUP(B60,'B-1 Site Hedge Baseline'!$B$10:T305,16,FALSE))</f>
        <v/>
      </c>
      <c r="Q60" s="498" t="str">
        <f>IF(M60="","",VLOOKUP(M60,'G-6 Hedgerow Data'!$B$2:$AG$15,2,FALSE))</f>
        <v/>
      </c>
      <c r="R60" s="499" t="str">
        <f>IF(M60="","",VLOOKUP(M60,'G-6 Hedgerow Data'!$B$2:$AG$15,3,FALSE))</f>
        <v/>
      </c>
      <c r="S60" s="157"/>
      <c r="T60" s="540" t="str">
        <f>IFERROR(VLOOKUP(S60,'G-1 All Habitats'!$Z$2:$AA$9,2,FALSE),"")</f>
        <v/>
      </c>
      <c r="U60" s="154"/>
      <c r="V60" s="520" t="str">
        <f>IF(U60="","",IF(VLOOKUP(U60,'G-3 Multipliers'!$L$3:$N$6,2,FALSE)=0,"Spatial Data Missing ⚠",VLOOKUP(U60,'G-3 Multipliers'!$L$3:$N$6,2,FALSE)))</f>
        <v/>
      </c>
      <c r="W60" s="524" t="str">
        <f>IF(U60="","",IF(VLOOKUP(U60,'G-3 Multipliers'!$L$3:$N$6,3,FALSE)=0,"Spatial Data Missing ⚠",VLOOKUP(U60,'G-3 Multipliers'!$L$3:$N$6,3,FALSE)))</f>
        <v/>
      </c>
      <c r="X60" s="498" t="str">
        <f>IFERROR(IF(OR(LEFT(O60,5)="Error ▲",LEFT(N60,5)="Error ▲",T60="Error ▲"),"Check Data ⚠",IF(F60&lt;R60,INDEX('G-6 Hedgerow Data'!$S$3:$AE$14,MATCH(C60,'G-6 Hedgerow Data'!$B$3:$B$14,0),MATCH(M60,'G-6 Hedgerow Data'!$S$2:$AE$2,0)),INDEX('G-6 Hedgerow Data'!$K$3:$Q$14,MATCH(M60,'G-6 Hedgerow Data'!$B$3:$B$14,0),MATCH(O60,'G-6 Hedgerow Data'!$K$2:$Q$2,0)))),"")</f>
        <v/>
      </c>
      <c r="Y60" s="195"/>
      <c r="Z60" s="195"/>
      <c r="AA60" s="507" t="str">
        <f t="shared" si="3"/>
        <v/>
      </c>
      <c r="AB60" s="521" t="str">
        <f t="shared" si="4"/>
        <v/>
      </c>
      <c r="AC60" s="522" t="str">
        <f t="shared" si="1"/>
        <v/>
      </c>
      <c r="AD60" s="537" t="str">
        <f>IF(M60="","",VLOOKUP(M60,'G-6 Hedgerow Data'!$B$3:$AG$15,31,FALSE))</f>
        <v/>
      </c>
      <c r="AE60" s="507" t="str">
        <f t="shared" si="5"/>
        <v/>
      </c>
      <c r="AF60" s="507" t="str">
        <f t="shared" si="6"/>
        <v/>
      </c>
      <c r="AG60" s="524" t="str">
        <f>IFERROR(IF(O60="","",VLOOKUP(AD60,'G-3 Multipliers'!$P$3:$Q$6,2,FALSE)),"")</f>
        <v/>
      </c>
      <c r="AH60" s="513" t="str">
        <f t="shared" si="7"/>
        <v/>
      </c>
      <c r="AI60" s="231"/>
      <c r="AJ60" s="150"/>
      <c r="AT60" s="31" t="str">
        <f>IFERROR(INDEX('G-6 Hedgerow Data'!$BJ$3:$BJ$15,MATCH(M60,'G-6 Hedgerow Data'!$B$3:$B$15,0)),"")</f>
        <v/>
      </c>
    </row>
    <row r="61" spans="2:46" ht="14" x14ac:dyDescent="0.3">
      <c r="B61" s="531" t="str">
        <f>'B-1 Site Hedge Baseline'!AK59</f>
        <v/>
      </c>
      <c r="C61" s="520" t="str">
        <f>IF(B61="","",IF(ISNA(VLOOKUP($B61,'B-1 Site Hedge Baseline'!$B$1:$L$257,3,FALSE)),"",(VLOOKUP($B61,'B-1 Site Hedge Baseline'!$B$1:$L$257,3,FALSE))))</f>
        <v/>
      </c>
      <c r="D61" s="520" t="str">
        <f>IF(B61="","",IF(ISNA(VLOOKUP($B61,'B-1 Site Hedge Baseline'!$B$1:$L$257,4,FALSE)),"",(VLOOKUP($B61,'B-1 Site Hedge Baseline'!$B$1:$L$257,4,FALSE))))</f>
        <v/>
      </c>
      <c r="E61" s="520" t="str">
        <f>IF(B61="","",IF(ISNA(VLOOKUP($B61,'B-1 Site Hedge Baseline'!$B$1:$L$257,5,FALSE)),"",(VLOOKUP($B61,'B-1 Site Hedge Baseline'!$B$1:$L$257,5,FALSE))))</f>
        <v/>
      </c>
      <c r="F61" s="520" t="str">
        <f>IF(B61="","",IF(ISNA(VLOOKUP($B61,'B-1 Site Hedge Baseline'!$B$1:$L$257,6,FALSE)),"",(VLOOKUP($B61,'B-1 Site Hedge Baseline'!$B$1:$L$257,6,FALSE))))</f>
        <v/>
      </c>
      <c r="G61" s="520" t="str">
        <f>IF(B61="","",IF(ISNA(VLOOKUP($B61,'B-1 Site Hedge Baseline'!$B$1:$L$257,7,FALSE)),"",(VLOOKUP($B61,'B-1 Site Hedge Baseline'!$B$1:$L$257,7,FALSE))))</f>
        <v/>
      </c>
      <c r="H61" s="520" t="str">
        <f>IF(B61="","",IF(ISNA(VLOOKUP($B61,'B-1 Site Hedge Baseline'!$B$1:$L$257,8,FALSE)),"",(VLOOKUP($B61,'B-1 Site Hedge Baseline'!$B$1:$L$257,8,FALSE))))</f>
        <v/>
      </c>
      <c r="I61" s="520" t="str">
        <f>IF(B61="","",IF(ISNA(VLOOKUP($B61,'B-1 Site Hedge Baseline'!$B$1:$L$257,10,FALSE)),"",(VLOOKUP($B61,'B-1 Site Hedge Baseline'!$B$1:$L$257,10,FALSE))))</f>
        <v/>
      </c>
      <c r="J61" s="520" t="str">
        <f>IF(B61="","",IF(ISNA(VLOOKUP($B61,'B-1 Site Hedge Baseline'!$B$1:$L$257,11,FALSE)),"",(VLOOKUP($B61,'B-1 Site Hedge Baseline'!$B$1:$L$257,11,FALSE))))</f>
        <v/>
      </c>
      <c r="K61" s="520" t="str">
        <f>IF(B61="","",IF(ISNA(VLOOKUP($B61,'B-1 Site Hedge Baseline'!$B$1:$U$257,13,FALSE)),"",(VLOOKUP($B61,'B-1 Site Hedge Baseline'!$B$1:$U$257,13,FALSE))))</f>
        <v/>
      </c>
      <c r="L61" s="524" t="str">
        <f>IF(B61="","",IF(ISNA(VLOOKUP($B61,'B-1 Site Hedge Baseline'!$B$1:$U$257,12,FALSE)),"",(VLOOKUP($B61,'B-1 Site Hedge Baseline'!$B$1:$U$257,12,FALSE))))</f>
        <v/>
      </c>
      <c r="M61" s="416" t="str">
        <f t="shared" si="0"/>
        <v/>
      </c>
      <c r="N61" s="498" t="str">
        <f>IFERROR(IF(B61="","",INDEX('G-6 Hedgerow Data'!$AN$3:$AZ$15,MATCH(C61,'G-6 Hedgerow Data'!$AM$3:$AM$15,0),MATCH(M61,'G-6 Hedgerow Data'!$AN$2:$AZ$2,0))),"")</f>
        <v/>
      </c>
      <c r="O61" s="499" t="str">
        <f t="shared" si="2"/>
        <v/>
      </c>
      <c r="P61" s="559" t="str">
        <f>IF(B61="","",VLOOKUP(B61,'B-1 Site Hedge Baseline'!$B$10:T306,16,FALSE))</f>
        <v/>
      </c>
      <c r="Q61" s="498" t="str">
        <f>IF(M61="","",VLOOKUP(M61,'G-6 Hedgerow Data'!$B$2:$AG$15,2,FALSE))</f>
        <v/>
      </c>
      <c r="R61" s="499" t="str">
        <f>IF(M61="","",VLOOKUP(M61,'G-6 Hedgerow Data'!$B$2:$AG$15,3,FALSE))</f>
        <v/>
      </c>
      <c r="S61" s="157"/>
      <c r="T61" s="540" t="str">
        <f>IFERROR(VLOOKUP(S61,'G-1 All Habitats'!$Z$2:$AA$9,2,FALSE),"")</f>
        <v/>
      </c>
      <c r="U61" s="154"/>
      <c r="V61" s="520" t="str">
        <f>IF(U61="","",IF(VLOOKUP(U61,'G-3 Multipliers'!$L$3:$N$6,2,FALSE)=0,"Spatial Data Missing ⚠",VLOOKUP(U61,'G-3 Multipliers'!$L$3:$N$6,2,FALSE)))</f>
        <v/>
      </c>
      <c r="W61" s="524" t="str">
        <f>IF(U61="","",IF(VLOOKUP(U61,'G-3 Multipliers'!$L$3:$N$6,3,FALSE)=0,"Spatial Data Missing ⚠",VLOOKUP(U61,'G-3 Multipliers'!$L$3:$N$6,3,FALSE)))</f>
        <v/>
      </c>
      <c r="X61" s="498" t="str">
        <f>IFERROR(IF(OR(LEFT(O61,5)="Error ▲",LEFT(N61,5)="Error ▲",T61="Error ▲"),"Check Data ⚠",IF(F61&lt;R61,INDEX('G-6 Hedgerow Data'!$S$3:$AE$14,MATCH(C61,'G-6 Hedgerow Data'!$B$3:$B$14,0),MATCH(M61,'G-6 Hedgerow Data'!$S$2:$AE$2,0)),INDEX('G-6 Hedgerow Data'!$K$3:$Q$14,MATCH(M61,'G-6 Hedgerow Data'!$B$3:$B$14,0),MATCH(O61,'G-6 Hedgerow Data'!$K$2:$Q$2,0)))),"")</f>
        <v/>
      </c>
      <c r="Y61" s="195"/>
      <c r="Z61" s="195"/>
      <c r="AA61" s="507" t="str">
        <f t="shared" si="3"/>
        <v/>
      </c>
      <c r="AB61" s="521" t="str">
        <f t="shared" si="4"/>
        <v/>
      </c>
      <c r="AC61" s="522" t="str">
        <f t="shared" si="1"/>
        <v/>
      </c>
      <c r="AD61" s="537" t="str">
        <f>IF(M61="","",VLOOKUP(M61,'G-6 Hedgerow Data'!$B$3:$AG$15,31,FALSE))</f>
        <v/>
      </c>
      <c r="AE61" s="507" t="str">
        <f t="shared" si="5"/>
        <v/>
      </c>
      <c r="AF61" s="507" t="str">
        <f t="shared" si="6"/>
        <v/>
      </c>
      <c r="AG61" s="524" t="str">
        <f>IFERROR(IF(O61="","",VLOOKUP(AD61,'G-3 Multipliers'!$P$3:$Q$6,2,FALSE)),"")</f>
        <v/>
      </c>
      <c r="AH61" s="513" t="str">
        <f t="shared" si="7"/>
        <v/>
      </c>
      <c r="AI61" s="231"/>
      <c r="AJ61" s="150"/>
      <c r="AT61" s="31" t="str">
        <f>IFERROR(INDEX('G-6 Hedgerow Data'!$BJ$3:$BJ$15,MATCH(M61,'G-6 Hedgerow Data'!$B$3:$B$15,0)),"")</f>
        <v/>
      </c>
    </row>
    <row r="62" spans="2:46" ht="14" x14ac:dyDescent="0.3">
      <c r="B62" s="531" t="str">
        <f>'B-1 Site Hedge Baseline'!AK60</f>
        <v/>
      </c>
      <c r="C62" s="520" t="str">
        <f>IF(B62="","",IF(ISNA(VLOOKUP($B62,'B-1 Site Hedge Baseline'!$B$1:$L$257,3,FALSE)),"",(VLOOKUP($B62,'B-1 Site Hedge Baseline'!$B$1:$L$257,3,FALSE))))</f>
        <v/>
      </c>
      <c r="D62" s="520" t="str">
        <f>IF(B62="","",IF(ISNA(VLOOKUP($B62,'B-1 Site Hedge Baseline'!$B$1:$L$257,4,FALSE)),"",(VLOOKUP($B62,'B-1 Site Hedge Baseline'!$B$1:$L$257,4,FALSE))))</f>
        <v/>
      </c>
      <c r="E62" s="520" t="str">
        <f>IF(B62="","",IF(ISNA(VLOOKUP($B62,'B-1 Site Hedge Baseline'!$B$1:$L$257,5,FALSE)),"",(VLOOKUP($B62,'B-1 Site Hedge Baseline'!$B$1:$L$257,5,FALSE))))</f>
        <v/>
      </c>
      <c r="F62" s="520" t="str">
        <f>IF(B62="","",IF(ISNA(VLOOKUP($B62,'B-1 Site Hedge Baseline'!$B$1:$L$257,6,FALSE)),"",(VLOOKUP($B62,'B-1 Site Hedge Baseline'!$B$1:$L$257,6,FALSE))))</f>
        <v/>
      </c>
      <c r="G62" s="520" t="str">
        <f>IF(B62="","",IF(ISNA(VLOOKUP($B62,'B-1 Site Hedge Baseline'!$B$1:$L$257,7,FALSE)),"",(VLOOKUP($B62,'B-1 Site Hedge Baseline'!$B$1:$L$257,7,FALSE))))</f>
        <v/>
      </c>
      <c r="H62" s="520" t="str">
        <f>IF(B62="","",IF(ISNA(VLOOKUP($B62,'B-1 Site Hedge Baseline'!$B$1:$L$257,8,FALSE)),"",(VLOOKUP($B62,'B-1 Site Hedge Baseline'!$B$1:$L$257,8,FALSE))))</f>
        <v/>
      </c>
      <c r="I62" s="520" t="str">
        <f>IF(B62="","",IF(ISNA(VLOOKUP($B62,'B-1 Site Hedge Baseline'!$B$1:$L$257,10,FALSE)),"",(VLOOKUP($B62,'B-1 Site Hedge Baseline'!$B$1:$L$257,10,FALSE))))</f>
        <v/>
      </c>
      <c r="J62" s="520" t="str">
        <f>IF(B62="","",IF(ISNA(VLOOKUP($B62,'B-1 Site Hedge Baseline'!$B$1:$L$257,11,FALSE)),"",(VLOOKUP($B62,'B-1 Site Hedge Baseline'!$B$1:$L$257,11,FALSE))))</f>
        <v/>
      </c>
      <c r="K62" s="520" t="str">
        <f>IF(B62="","",IF(ISNA(VLOOKUP($B62,'B-1 Site Hedge Baseline'!$B$1:$U$257,13,FALSE)),"",(VLOOKUP($B62,'B-1 Site Hedge Baseline'!$B$1:$U$257,13,FALSE))))</f>
        <v/>
      </c>
      <c r="L62" s="524" t="str">
        <f>IF(B62="","",IF(ISNA(VLOOKUP($B62,'B-1 Site Hedge Baseline'!$B$1:$U$257,12,FALSE)),"",(VLOOKUP($B62,'B-1 Site Hedge Baseline'!$B$1:$U$257,12,FALSE))))</f>
        <v/>
      </c>
      <c r="M62" s="416" t="str">
        <f t="shared" si="0"/>
        <v/>
      </c>
      <c r="N62" s="498" t="str">
        <f>IFERROR(IF(B62="","",INDEX('G-6 Hedgerow Data'!$AN$3:$AZ$15,MATCH(C62,'G-6 Hedgerow Data'!$AM$3:$AM$15,0),MATCH(M62,'G-6 Hedgerow Data'!$AN$2:$AZ$2,0))),"")</f>
        <v/>
      </c>
      <c r="O62" s="499" t="str">
        <f t="shared" si="2"/>
        <v/>
      </c>
      <c r="P62" s="559" t="str">
        <f>IF(B62="","",VLOOKUP(B62,'B-1 Site Hedge Baseline'!$B$10:T307,16,FALSE))</f>
        <v/>
      </c>
      <c r="Q62" s="498" t="str">
        <f>IF(M62="","",VLOOKUP(M62,'G-6 Hedgerow Data'!$B$2:$AG$15,2,FALSE))</f>
        <v/>
      </c>
      <c r="R62" s="499" t="str">
        <f>IF(M62="","",VLOOKUP(M62,'G-6 Hedgerow Data'!$B$2:$AG$15,3,FALSE))</f>
        <v/>
      </c>
      <c r="S62" s="157"/>
      <c r="T62" s="540" t="str">
        <f>IFERROR(VLOOKUP(S62,'G-1 All Habitats'!$Z$2:$AA$9,2,FALSE),"")</f>
        <v/>
      </c>
      <c r="U62" s="154"/>
      <c r="V62" s="520" t="str">
        <f>IF(U62="","",IF(VLOOKUP(U62,'G-3 Multipliers'!$L$3:$N$6,2,FALSE)=0,"Spatial Data Missing ⚠",VLOOKUP(U62,'G-3 Multipliers'!$L$3:$N$6,2,FALSE)))</f>
        <v/>
      </c>
      <c r="W62" s="524" t="str">
        <f>IF(U62="","",IF(VLOOKUP(U62,'G-3 Multipliers'!$L$3:$N$6,3,FALSE)=0,"Spatial Data Missing ⚠",VLOOKUP(U62,'G-3 Multipliers'!$L$3:$N$6,3,FALSE)))</f>
        <v/>
      </c>
      <c r="X62" s="498" t="str">
        <f>IFERROR(IF(OR(LEFT(O62,5)="Error ▲",LEFT(N62,5)="Error ▲",T62="Error ▲"),"Check Data ⚠",IF(F62&lt;R62,INDEX('G-6 Hedgerow Data'!$S$3:$AE$14,MATCH(C62,'G-6 Hedgerow Data'!$B$3:$B$14,0),MATCH(M62,'G-6 Hedgerow Data'!$S$2:$AE$2,0)),INDEX('G-6 Hedgerow Data'!$K$3:$Q$14,MATCH(M62,'G-6 Hedgerow Data'!$B$3:$B$14,0),MATCH(O62,'G-6 Hedgerow Data'!$K$2:$Q$2,0)))),"")</f>
        <v/>
      </c>
      <c r="Y62" s="195"/>
      <c r="Z62" s="195"/>
      <c r="AA62" s="507" t="str">
        <f t="shared" si="3"/>
        <v/>
      </c>
      <c r="AB62" s="521" t="str">
        <f t="shared" si="4"/>
        <v/>
      </c>
      <c r="AC62" s="522" t="str">
        <f t="shared" si="1"/>
        <v/>
      </c>
      <c r="AD62" s="537" t="str">
        <f>IF(M62="","",VLOOKUP(M62,'G-6 Hedgerow Data'!$B$3:$AG$15,31,FALSE))</f>
        <v/>
      </c>
      <c r="AE62" s="507" t="str">
        <f t="shared" si="5"/>
        <v/>
      </c>
      <c r="AF62" s="507" t="str">
        <f t="shared" si="6"/>
        <v/>
      </c>
      <c r="AG62" s="524" t="str">
        <f>IFERROR(IF(O62="","",VLOOKUP(AD62,'G-3 Multipliers'!$P$3:$Q$6,2,FALSE)),"")</f>
        <v/>
      </c>
      <c r="AH62" s="513" t="str">
        <f t="shared" si="7"/>
        <v/>
      </c>
      <c r="AI62" s="231"/>
      <c r="AJ62" s="150"/>
      <c r="AT62" s="31" t="str">
        <f>IFERROR(INDEX('G-6 Hedgerow Data'!$BJ$3:$BJ$15,MATCH(M62,'G-6 Hedgerow Data'!$B$3:$B$15,0)),"")</f>
        <v/>
      </c>
    </row>
    <row r="63" spans="2:46" ht="14" x14ac:dyDescent="0.3">
      <c r="B63" s="531" t="str">
        <f>'B-1 Site Hedge Baseline'!AK61</f>
        <v/>
      </c>
      <c r="C63" s="520" t="str">
        <f>IF(B63="","",IF(ISNA(VLOOKUP($B63,'B-1 Site Hedge Baseline'!$B$1:$L$257,3,FALSE)),"",(VLOOKUP($B63,'B-1 Site Hedge Baseline'!$B$1:$L$257,3,FALSE))))</f>
        <v/>
      </c>
      <c r="D63" s="520" t="str">
        <f>IF(B63="","",IF(ISNA(VLOOKUP($B63,'B-1 Site Hedge Baseline'!$B$1:$L$257,4,FALSE)),"",(VLOOKUP($B63,'B-1 Site Hedge Baseline'!$B$1:$L$257,4,FALSE))))</f>
        <v/>
      </c>
      <c r="E63" s="520" t="str">
        <f>IF(B63="","",IF(ISNA(VLOOKUP($B63,'B-1 Site Hedge Baseline'!$B$1:$L$257,5,FALSE)),"",(VLOOKUP($B63,'B-1 Site Hedge Baseline'!$B$1:$L$257,5,FALSE))))</f>
        <v/>
      </c>
      <c r="F63" s="520" t="str">
        <f>IF(B63="","",IF(ISNA(VLOOKUP($B63,'B-1 Site Hedge Baseline'!$B$1:$L$257,6,FALSE)),"",(VLOOKUP($B63,'B-1 Site Hedge Baseline'!$B$1:$L$257,6,FALSE))))</f>
        <v/>
      </c>
      <c r="G63" s="520" t="str">
        <f>IF(B63="","",IF(ISNA(VLOOKUP($B63,'B-1 Site Hedge Baseline'!$B$1:$L$257,7,FALSE)),"",(VLOOKUP($B63,'B-1 Site Hedge Baseline'!$B$1:$L$257,7,FALSE))))</f>
        <v/>
      </c>
      <c r="H63" s="520" t="str">
        <f>IF(B63="","",IF(ISNA(VLOOKUP($B63,'B-1 Site Hedge Baseline'!$B$1:$L$257,8,FALSE)),"",(VLOOKUP($B63,'B-1 Site Hedge Baseline'!$B$1:$L$257,8,FALSE))))</f>
        <v/>
      </c>
      <c r="I63" s="520" t="str">
        <f>IF(B63="","",IF(ISNA(VLOOKUP($B63,'B-1 Site Hedge Baseline'!$B$1:$L$257,10,FALSE)),"",(VLOOKUP($B63,'B-1 Site Hedge Baseline'!$B$1:$L$257,10,FALSE))))</f>
        <v/>
      </c>
      <c r="J63" s="520" t="str">
        <f>IF(B63="","",IF(ISNA(VLOOKUP($B63,'B-1 Site Hedge Baseline'!$B$1:$L$257,11,FALSE)),"",(VLOOKUP($B63,'B-1 Site Hedge Baseline'!$B$1:$L$257,11,FALSE))))</f>
        <v/>
      </c>
      <c r="K63" s="520" t="str">
        <f>IF(B63="","",IF(ISNA(VLOOKUP($B63,'B-1 Site Hedge Baseline'!$B$1:$U$257,13,FALSE)),"",(VLOOKUP($B63,'B-1 Site Hedge Baseline'!$B$1:$U$257,13,FALSE))))</f>
        <v/>
      </c>
      <c r="L63" s="524" t="str">
        <f>IF(B63="","",IF(ISNA(VLOOKUP($B63,'B-1 Site Hedge Baseline'!$B$1:$U$257,12,FALSE)),"",(VLOOKUP($B63,'B-1 Site Hedge Baseline'!$B$1:$U$257,12,FALSE))))</f>
        <v/>
      </c>
      <c r="M63" s="416" t="str">
        <f t="shared" si="0"/>
        <v/>
      </c>
      <c r="N63" s="498" t="str">
        <f>IFERROR(IF(B63="","",INDEX('G-6 Hedgerow Data'!$AN$3:$AZ$15,MATCH(C63,'G-6 Hedgerow Data'!$AM$3:$AM$15,0),MATCH(M63,'G-6 Hedgerow Data'!$AN$2:$AZ$2,0))),"")</f>
        <v/>
      </c>
      <c r="O63" s="499" t="str">
        <f t="shared" si="2"/>
        <v/>
      </c>
      <c r="P63" s="559" t="str">
        <f>IF(B63="","",VLOOKUP(B63,'B-1 Site Hedge Baseline'!$B$10:T308,16,FALSE))</f>
        <v/>
      </c>
      <c r="Q63" s="498" t="str">
        <f>IF(M63="","",VLOOKUP(M63,'G-6 Hedgerow Data'!$B$2:$AG$15,2,FALSE))</f>
        <v/>
      </c>
      <c r="R63" s="499" t="str">
        <f>IF(M63="","",VLOOKUP(M63,'G-6 Hedgerow Data'!$B$2:$AG$15,3,FALSE))</f>
        <v/>
      </c>
      <c r="S63" s="157"/>
      <c r="T63" s="540" t="str">
        <f>IFERROR(VLOOKUP(S63,'G-1 All Habitats'!$Z$2:$AA$9,2,FALSE),"")</f>
        <v/>
      </c>
      <c r="U63" s="154"/>
      <c r="V63" s="520" t="str">
        <f>IF(U63="","",IF(VLOOKUP(U63,'G-3 Multipliers'!$L$3:$N$6,2,FALSE)=0,"Spatial Data Missing ⚠",VLOOKUP(U63,'G-3 Multipliers'!$L$3:$N$6,2,FALSE)))</f>
        <v/>
      </c>
      <c r="W63" s="524" t="str">
        <f>IF(U63="","",IF(VLOOKUP(U63,'G-3 Multipliers'!$L$3:$N$6,3,FALSE)=0,"Spatial Data Missing ⚠",VLOOKUP(U63,'G-3 Multipliers'!$L$3:$N$6,3,FALSE)))</f>
        <v/>
      </c>
      <c r="X63" s="498" t="str">
        <f>IFERROR(IF(OR(LEFT(O63,5)="Error ▲",LEFT(N63,5)="Error ▲",T63="Error ▲"),"Check Data ⚠",IF(F63&lt;R63,INDEX('G-6 Hedgerow Data'!$S$3:$AE$14,MATCH(C63,'G-6 Hedgerow Data'!$B$3:$B$14,0),MATCH(M63,'G-6 Hedgerow Data'!$S$2:$AE$2,0)),INDEX('G-6 Hedgerow Data'!$K$3:$Q$14,MATCH(M63,'G-6 Hedgerow Data'!$B$3:$B$14,0),MATCH(O63,'G-6 Hedgerow Data'!$K$2:$Q$2,0)))),"")</f>
        <v/>
      </c>
      <c r="Y63" s="195"/>
      <c r="Z63" s="195"/>
      <c r="AA63" s="507" t="str">
        <f t="shared" si="3"/>
        <v/>
      </c>
      <c r="AB63" s="521" t="str">
        <f t="shared" si="4"/>
        <v/>
      </c>
      <c r="AC63" s="522" t="str">
        <f t="shared" si="1"/>
        <v/>
      </c>
      <c r="AD63" s="537" t="str">
        <f>IF(M63="","",VLOOKUP(M63,'G-6 Hedgerow Data'!$B$3:$AG$15,31,FALSE))</f>
        <v/>
      </c>
      <c r="AE63" s="507" t="str">
        <f t="shared" si="5"/>
        <v/>
      </c>
      <c r="AF63" s="507" t="str">
        <f t="shared" si="6"/>
        <v/>
      </c>
      <c r="AG63" s="524" t="str">
        <f>IFERROR(IF(O63="","",VLOOKUP(AD63,'G-3 Multipliers'!$P$3:$Q$6,2,FALSE)),"")</f>
        <v/>
      </c>
      <c r="AH63" s="513" t="str">
        <f t="shared" si="7"/>
        <v/>
      </c>
      <c r="AI63" s="231"/>
      <c r="AJ63" s="150"/>
      <c r="AT63" s="31" t="str">
        <f>IFERROR(INDEX('G-6 Hedgerow Data'!$BJ$3:$BJ$15,MATCH(M63,'G-6 Hedgerow Data'!$B$3:$B$15,0)),"")</f>
        <v/>
      </c>
    </row>
    <row r="64" spans="2:46" ht="14" x14ac:dyDescent="0.3">
      <c r="B64" s="531" t="str">
        <f>'B-1 Site Hedge Baseline'!AK62</f>
        <v/>
      </c>
      <c r="C64" s="520" t="str">
        <f>IF(B64="","",IF(ISNA(VLOOKUP($B64,'B-1 Site Hedge Baseline'!$B$1:$L$257,3,FALSE)),"",(VLOOKUP($B64,'B-1 Site Hedge Baseline'!$B$1:$L$257,3,FALSE))))</f>
        <v/>
      </c>
      <c r="D64" s="520" t="str">
        <f>IF(B64="","",IF(ISNA(VLOOKUP($B64,'B-1 Site Hedge Baseline'!$B$1:$L$257,4,FALSE)),"",(VLOOKUP($B64,'B-1 Site Hedge Baseline'!$B$1:$L$257,4,FALSE))))</f>
        <v/>
      </c>
      <c r="E64" s="520" t="str">
        <f>IF(B64="","",IF(ISNA(VLOOKUP($B64,'B-1 Site Hedge Baseline'!$B$1:$L$257,5,FALSE)),"",(VLOOKUP($B64,'B-1 Site Hedge Baseline'!$B$1:$L$257,5,FALSE))))</f>
        <v/>
      </c>
      <c r="F64" s="520" t="str">
        <f>IF(B64="","",IF(ISNA(VLOOKUP($B64,'B-1 Site Hedge Baseline'!$B$1:$L$257,6,FALSE)),"",(VLOOKUP($B64,'B-1 Site Hedge Baseline'!$B$1:$L$257,6,FALSE))))</f>
        <v/>
      </c>
      <c r="G64" s="520" t="str">
        <f>IF(B64="","",IF(ISNA(VLOOKUP($B64,'B-1 Site Hedge Baseline'!$B$1:$L$257,7,FALSE)),"",(VLOOKUP($B64,'B-1 Site Hedge Baseline'!$B$1:$L$257,7,FALSE))))</f>
        <v/>
      </c>
      <c r="H64" s="520" t="str">
        <f>IF(B64="","",IF(ISNA(VLOOKUP($B64,'B-1 Site Hedge Baseline'!$B$1:$L$257,8,FALSE)),"",(VLOOKUP($B64,'B-1 Site Hedge Baseline'!$B$1:$L$257,8,FALSE))))</f>
        <v/>
      </c>
      <c r="I64" s="520" t="str">
        <f>IF(B64="","",IF(ISNA(VLOOKUP($B64,'B-1 Site Hedge Baseline'!$B$1:$L$257,10,FALSE)),"",(VLOOKUP($B64,'B-1 Site Hedge Baseline'!$B$1:$L$257,10,FALSE))))</f>
        <v/>
      </c>
      <c r="J64" s="520" t="str">
        <f>IF(B64="","",IF(ISNA(VLOOKUP($B64,'B-1 Site Hedge Baseline'!$B$1:$L$257,11,FALSE)),"",(VLOOKUP($B64,'B-1 Site Hedge Baseline'!$B$1:$L$257,11,FALSE))))</f>
        <v/>
      </c>
      <c r="K64" s="520" t="str">
        <f>IF(B64="","",IF(ISNA(VLOOKUP($B64,'B-1 Site Hedge Baseline'!$B$1:$U$257,13,FALSE)),"",(VLOOKUP($B64,'B-1 Site Hedge Baseline'!$B$1:$U$257,13,FALSE))))</f>
        <v/>
      </c>
      <c r="L64" s="524" t="str">
        <f>IF(B64="","",IF(ISNA(VLOOKUP($B64,'B-1 Site Hedge Baseline'!$B$1:$U$257,12,FALSE)),"",(VLOOKUP($B64,'B-1 Site Hedge Baseline'!$B$1:$U$257,12,FALSE))))</f>
        <v/>
      </c>
      <c r="M64" s="416" t="str">
        <f t="shared" si="0"/>
        <v/>
      </c>
      <c r="N64" s="498" t="str">
        <f>IFERROR(IF(B64="","",INDEX('G-6 Hedgerow Data'!$AN$3:$AZ$15,MATCH(C64,'G-6 Hedgerow Data'!$AM$3:$AM$15,0),MATCH(M64,'G-6 Hedgerow Data'!$AN$2:$AZ$2,0))),"")</f>
        <v/>
      </c>
      <c r="O64" s="499" t="str">
        <f t="shared" si="2"/>
        <v/>
      </c>
      <c r="P64" s="559" t="str">
        <f>IF(B64="","",VLOOKUP(B64,'B-1 Site Hedge Baseline'!$B$10:T309,16,FALSE))</f>
        <v/>
      </c>
      <c r="Q64" s="498" t="str">
        <f>IF(M64="","",VLOOKUP(M64,'G-6 Hedgerow Data'!$B$2:$AG$15,2,FALSE))</f>
        <v/>
      </c>
      <c r="R64" s="499" t="str">
        <f>IF(M64="","",VLOOKUP(M64,'G-6 Hedgerow Data'!$B$2:$AG$15,3,FALSE))</f>
        <v/>
      </c>
      <c r="S64" s="157"/>
      <c r="T64" s="540" t="str">
        <f>IFERROR(VLOOKUP(S64,'G-1 All Habitats'!$Z$2:$AA$9,2,FALSE),"")</f>
        <v/>
      </c>
      <c r="U64" s="154"/>
      <c r="V64" s="520" t="str">
        <f>IF(U64="","",IF(VLOOKUP(U64,'G-3 Multipliers'!$L$3:$N$6,2,FALSE)=0,"Spatial Data Missing ⚠",VLOOKUP(U64,'G-3 Multipliers'!$L$3:$N$6,2,FALSE)))</f>
        <v/>
      </c>
      <c r="W64" s="524" t="str">
        <f>IF(U64="","",IF(VLOOKUP(U64,'G-3 Multipliers'!$L$3:$N$6,3,FALSE)=0,"Spatial Data Missing ⚠",VLOOKUP(U64,'G-3 Multipliers'!$L$3:$N$6,3,FALSE)))</f>
        <v/>
      </c>
      <c r="X64" s="498" t="str">
        <f>IFERROR(IF(OR(LEFT(O64,5)="Error ▲",LEFT(N64,5)="Error ▲",T64="Error ▲"),"Check Data ⚠",IF(F64&lt;R64,INDEX('G-6 Hedgerow Data'!$S$3:$AE$14,MATCH(C64,'G-6 Hedgerow Data'!$B$3:$B$14,0),MATCH(M64,'G-6 Hedgerow Data'!$S$2:$AE$2,0)),INDEX('G-6 Hedgerow Data'!$K$3:$Q$14,MATCH(M64,'G-6 Hedgerow Data'!$B$3:$B$14,0),MATCH(O64,'G-6 Hedgerow Data'!$K$2:$Q$2,0)))),"")</f>
        <v/>
      </c>
      <c r="Y64" s="195"/>
      <c r="Z64" s="195"/>
      <c r="AA64" s="507" t="str">
        <f t="shared" si="3"/>
        <v/>
      </c>
      <c r="AB64" s="521" t="str">
        <f t="shared" si="4"/>
        <v/>
      </c>
      <c r="AC64" s="522" t="str">
        <f t="shared" si="1"/>
        <v/>
      </c>
      <c r="AD64" s="537" t="str">
        <f>IF(M64="","",VLOOKUP(M64,'G-6 Hedgerow Data'!$B$3:$AG$15,31,FALSE))</f>
        <v/>
      </c>
      <c r="AE64" s="507" t="str">
        <f t="shared" si="5"/>
        <v/>
      </c>
      <c r="AF64" s="507" t="str">
        <f t="shared" si="6"/>
        <v/>
      </c>
      <c r="AG64" s="524" t="str">
        <f>IFERROR(IF(O64="","",VLOOKUP(AD64,'G-3 Multipliers'!$P$3:$Q$6,2,FALSE)),"")</f>
        <v/>
      </c>
      <c r="AH64" s="513" t="str">
        <f t="shared" si="7"/>
        <v/>
      </c>
      <c r="AI64" s="231"/>
      <c r="AJ64" s="150"/>
      <c r="AT64" s="31" t="str">
        <f>IFERROR(INDEX('G-6 Hedgerow Data'!$BJ$3:$BJ$15,MATCH(M64,'G-6 Hedgerow Data'!$B$3:$B$15,0)),"")</f>
        <v/>
      </c>
    </row>
    <row r="65" spans="2:46" ht="14" x14ac:dyDescent="0.3">
      <c r="B65" s="531" t="str">
        <f>'B-1 Site Hedge Baseline'!AK63</f>
        <v/>
      </c>
      <c r="C65" s="520" t="str">
        <f>IF(B65="","",IF(ISNA(VLOOKUP($B65,'B-1 Site Hedge Baseline'!$B$1:$L$257,3,FALSE)),"",(VLOOKUP($B65,'B-1 Site Hedge Baseline'!$B$1:$L$257,3,FALSE))))</f>
        <v/>
      </c>
      <c r="D65" s="520" t="str">
        <f>IF(B65="","",IF(ISNA(VLOOKUP($B65,'B-1 Site Hedge Baseline'!$B$1:$L$257,4,FALSE)),"",(VLOOKUP($B65,'B-1 Site Hedge Baseline'!$B$1:$L$257,4,FALSE))))</f>
        <v/>
      </c>
      <c r="E65" s="520" t="str">
        <f>IF(B65="","",IF(ISNA(VLOOKUP($B65,'B-1 Site Hedge Baseline'!$B$1:$L$257,5,FALSE)),"",(VLOOKUP($B65,'B-1 Site Hedge Baseline'!$B$1:$L$257,5,FALSE))))</f>
        <v/>
      </c>
      <c r="F65" s="520" t="str">
        <f>IF(B65="","",IF(ISNA(VLOOKUP($B65,'B-1 Site Hedge Baseline'!$B$1:$L$257,6,FALSE)),"",(VLOOKUP($B65,'B-1 Site Hedge Baseline'!$B$1:$L$257,6,FALSE))))</f>
        <v/>
      </c>
      <c r="G65" s="520" t="str">
        <f>IF(B65="","",IF(ISNA(VLOOKUP($B65,'B-1 Site Hedge Baseline'!$B$1:$L$257,7,FALSE)),"",(VLOOKUP($B65,'B-1 Site Hedge Baseline'!$B$1:$L$257,7,FALSE))))</f>
        <v/>
      </c>
      <c r="H65" s="520" t="str">
        <f>IF(B65="","",IF(ISNA(VLOOKUP($B65,'B-1 Site Hedge Baseline'!$B$1:$L$257,8,FALSE)),"",(VLOOKUP($B65,'B-1 Site Hedge Baseline'!$B$1:$L$257,8,FALSE))))</f>
        <v/>
      </c>
      <c r="I65" s="520" t="str">
        <f>IF(B65="","",IF(ISNA(VLOOKUP($B65,'B-1 Site Hedge Baseline'!$B$1:$L$257,10,FALSE)),"",(VLOOKUP($B65,'B-1 Site Hedge Baseline'!$B$1:$L$257,10,FALSE))))</f>
        <v/>
      </c>
      <c r="J65" s="520" t="str">
        <f>IF(B65="","",IF(ISNA(VLOOKUP($B65,'B-1 Site Hedge Baseline'!$B$1:$L$257,11,FALSE)),"",(VLOOKUP($B65,'B-1 Site Hedge Baseline'!$B$1:$L$257,11,FALSE))))</f>
        <v/>
      </c>
      <c r="K65" s="520" t="str">
        <f>IF(B65="","",IF(ISNA(VLOOKUP($B65,'B-1 Site Hedge Baseline'!$B$1:$U$257,13,FALSE)),"",(VLOOKUP($B65,'B-1 Site Hedge Baseline'!$B$1:$U$257,13,FALSE))))</f>
        <v/>
      </c>
      <c r="L65" s="524" t="str">
        <f>IF(B65="","",IF(ISNA(VLOOKUP($B65,'B-1 Site Hedge Baseline'!$B$1:$U$257,12,FALSE)),"",(VLOOKUP($B65,'B-1 Site Hedge Baseline'!$B$1:$U$257,12,FALSE))))</f>
        <v/>
      </c>
      <c r="M65" s="416" t="str">
        <f t="shared" si="0"/>
        <v/>
      </c>
      <c r="N65" s="498" t="str">
        <f>IFERROR(IF(B65="","",INDEX('G-6 Hedgerow Data'!$AN$3:$AZ$15,MATCH(C65,'G-6 Hedgerow Data'!$AM$3:$AM$15,0),MATCH(M65,'G-6 Hedgerow Data'!$AN$2:$AZ$2,0))),"")</f>
        <v/>
      </c>
      <c r="O65" s="499" t="str">
        <f t="shared" si="2"/>
        <v/>
      </c>
      <c r="P65" s="559" t="str">
        <f>IF(B65="","",VLOOKUP(B65,'B-1 Site Hedge Baseline'!$B$10:T310,16,FALSE))</f>
        <v/>
      </c>
      <c r="Q65" s="498" t="str">
        <f>IF(M65="","",VLOOKUP(M65,'G-6 Hedgerow Data'!$B$2:$AG$15,2,FALSE))</f>
        <v/>
      </c>
      <c r="R65" s="499" t="str">
        <f>IF(M65="","",VLOOKUP(M65,'G-6 Hedgerow Data'!$B$2:$AG$15,3,FALSE))</f>
        <v/>
      </c>
      <c r="S65" s="157"/>
      <c r="T65" s="540" t="str">
        <f>IFERROR(VLOOKUP(S65,'G-1 All Habitats'!$Z$2:$AA$9,2,FALSE),"")</f>
        <v/>
      </c>
      <c r="U65" s="154"/>
      <c r="V65" s="520" t="str">
        <f>IF(U65="","",IF(VLOOKUP(U65,'G-3 Multipliers'!$L$3:$N$6,2,FALSE)=0,"Spatial Data Missing ⚠",VLOOKUP(U65,'G-3 Multipliers'!$L$3:$N$6,2,FALSE)))</f>
        <v/>
      </c>
      <c r="W65" s="524" t="str">
        <f>IF(U65="","",IF(VLOOKUP(U65,'G-3 Multipliers'!$L$3:$N$6,3,FALSE)=0,"Spatial Data Missing ⚠",VLOOKUP(U65,'G-3 Multipliers'!$L$3:$N$6,3,FALSE)))</f>
        <v/>
      </c>
      <c r="X65" s="498" t="str">
        <f>IFERROR(IF(OR(LEFT(O65,5)="Error ▲",LEFT(N65,5)="Error ▲",T65="Error ▲"),"Check Data ⚠",IF(F65&lt;R65,INDEX('G-6 Hedgerow Data'!$S$3:$AE$14,MATCH(C65,'G-6 Hedgerow Data'!$B$3:$B$14,0),MATCH(M65,'G-6 Hedgerow Data'!$S$2:$AE$2,0)),INDEX('G-6 Hedgerow Data'!$K$3:$Q$14,MATCH(M65,'G-6 Hedgerow Data'!$B$3:$B$14,0),MATCH(O65,'G-6 Hedgerow Data'!$K$2:$Q$2,0)))),"")</f>
        <v/>
      </c>
      <c r="Y65" s="195"/>
      <c r="Z65" s="195"/>
      <c r="AA65" s="507" t="str">
        <f t="shared" si="3"/>
        <v/>
      </c>
      <c r="AB65" s="521" t="str">
        <f t="shared" si="4"/>
        <v/>
      </c>
      <c r="AC65" s="522" t="str">
        <f t="shared" si="1"/>
        <v/>
      </c>
      <c r="AD65" s="537" t="str">
        <f>IF(M65="","",VLOOKUP(M65,'G-6 Hedgerow Data'!$B$3:$AG$15,31,FALSE))</f>
        <v/>
      </c>
      <c r="AE65" s="507" t="str">
        <f t="shared" si="5"/>
        <v/>
      </c>
      <c r="AF65" s="507" t="str">
        <f t="shared" si="6"/>
        <v/>
      </c>
      <c r="AG65" s="524" t="str">
        <f>IFERROR(IF(O65="","",VLOOKUP(AD65,'G-3 Multipliers'!$P$3:$Q$6,2,FALSE)),"")</f>
        <v/>
      </c>
      <c r="AH65" s="513" t="str">
        <f t="shared" si="7"/>
        <v/>
      </c>
      <c r="AI65" s="231"/>
      <c r="AJ65" s="150"/>
      <c r="AT65" s="31" t="str">
        <f>IFERROR(INDEX('G-6 Hedgerow Data'!$BJ$3:$BJ$15,MATCH(M65,'G-6 Hedgerow Data'!$B$3:$B$15,0)),"")</f>
        <v/>
      </c>
    </row>
    <row r="66" spans="2:46" ht="14" x14ac:dyDescent="0.3">
      <c r="B66" s="531" t="str">
        <f>'B-1 Site Hedge Baseline'!AK64</f>
        <v/>
      </c>
      <c r="C66" s="520" t="str">
        <f>IF(B66="","",IF(ISNA(VLOOKUP($B66,'B-1 Site Hedge Baseline'!$B$1:$L$257,3,FALSE)),"",(VLOOKUP($B66,'B-1 Site Hedge Baseline'!$B$1:$L$257,3,FALSE))))</f>
        <v/>
      </c>
      <c r="D66" s="520" t="str">
        <f>IF(B66="","",IF(ISNA(VLOOKUP($B66,'B-1 Site Hedge Baseline'!$B$1:$L$257,4,FALSE)),"",(VLOOKUP($B66,'B-1 Site Hedge Baseline'!$B$1:$L$257,4,FALSE))))</f>
        <v/>
      </c>
      <c r="E66" s="520" t="str">
        <f>IF(B66="","",IF(ISNA(VLOOKUP($B66,'B-1 Site Hedge Baseline'!$B$1:$L$257,5,FALSE)),"",(VLOOKUP($B66,'B-1 Site Hedge Baseline'!$B$1:$L$257,5,FALSE))))</f>
        <v/>
      </c>
      <c r="F66" s="520" t="str">
        <f>IF(B66="","",IF(ISNA(VLOOKUP($B66,'B-1 Site Hedge Baseline'!$B$1:$L$257,6,FALSE)),"",(VLOOKUP($B66,'B-1 Site Hedge Baseline'!$B$1:$L$257,6,FALSE))))</f>
        <v/>
      </c>
      <c r="G66" s="520" t="str">
        <f>IF(B66="","",IF(ISNA(VLOOKUP($B66,'B-1 Site Hedge Baseline'!$B$1:$L$257,7,FALSE)),"",(VLOOKUP($B66,'B-1 Site Hedge Baseline'!$B$1:$L$257,7,FALSE))))</f>
        <v/>
      </c>
      <c r="H66" s="520" t="str">
        <f>IF(B66="","",IF(ISNA(VLOOKUP($B66,'B-1 Site Hedge Baseline'!$B$1:$L$257,8,FALSE)),"",(VLOOKUP($B66,'B-1 Site Hedge Baseline'!$B$1:$L$257,8,FALSE))))</f>
        <v/>
      </c>
      <c r="I66" s="520" t="str">
        <f>IF(B66="","",IF(ISNA(VLOOKUP($B66,'B-1 Site Hedge Baseline'!$B$1:$L$257,10,FALSE)),"",(VLOOKUP($B66,'B-1 Site Hedge Baseline'!$B$1:$L$257,10,FALSE))))</f>
        <v/>
      </c>
      <c r="J66" s="520" t="str">
        <f>IF(B66="","",IF(ISNA(VLOOKUP($B66,'B-1 Site Hedge Baseline'!$B$1:$L$257,11,FALSE)),"",(VLOOKUP($B66,'B-1 Site Hedge Baseline'!$B$1:$L$257,11,FALSE))))</f>
        <v/>
      </c>
      <c r="K66" s="520" t="str">
        <f>IF(B66="","",IF(ISNA(VLOOKUP($B66,'B-1 Site Hedge Baseline'!$B$1:$U$257,13,FALSE)),"",(VLOOKUP($B66,'B-1 Site Hedge Baseline'!$B$1:$U$257,13,FALSE))))</f>
        <v/>
      </c>
      <c r="L66" s="524" t="str">
        <f>IF(B66="","",IF(ISNA(VLOOKUP($B66,'B-1 Site Hedge Baseline'!$B$1:$U$257,12,FALSE)),"",(VLOOKUP($B66,'B-1 Site Hedge Baseline'!$B$1:$U$257,12,FALSE))))</f>
        <v/>
      </c>
      <c r="M66" s="416" t="str">
        <f t="shared" si="0"/>
        <v/>
      </c>
      <c r="N66" s="498" t="str">
        <f>IFERROR(IF(B66="","",INDEX('G-6 Hedgerow Data'!$AN$3:$AZ$15,MATCH(C66,'G-6 Hedgerow Data'!$AM$3:$AM$15,0),MATCH(M66,'G-6 Hedgerow Data'!$AN$2:$AZ$2,0))),"")</f>
        <v/>
      </c>
      <c r="O66" s="499" t="str">
        <f t="shared" si="2"/>
        <v/>
      </c>
      <c r="P66" s="559" t="str">
        <f>IF(B66="","",VLOOKUP(B66,'B-1 Site Hedge Baseline'!$B$10:T311,16,FALSE))</f>
        <v/>
      </c>
      <c r="Q66" s="498" t="str">
        <f>IF(M66="","",VLOOKUP(M66,'G-6 Hedgerow Data'!$B$2:$AG$15,2,FALSE))</f>
        <v/>
      </c>
      <c r="R66" s="499" t="str">
        <f>IF(M66="","",VLOOKUP(M66,'G-6 Hedgerow Data'!$B$2:$AG$15,3,FALSE))</f>
        <v/>
      </c>
      <c r="S66" s="157"/>
      <c r="T66" s="540" t="str">
        <f>IFERROR(VLOOKUP(S66,'G-1 All Habitats'!$Z$2:$AA$9,2,FALSE),"")</f>
        <v/>
      </c>
      <c r="U66" s="154"/>
      <c r="V66" s="520" t="str">
        <f>IF(U66="","",IF(VLOOKUP(U66,'G-3 Multipliers'!$L$3:$N$6,2,FALSE)=0,"Spatial Data Missing ⚠",VLOOKUP(U66,'G-3 Multipliers'!$L$3:$N$6,2,FALSE)))</f>
        <v/>
      </c>
      <c r="W66" s="524" t="str">
        <f>IF(U66="","",IF(VLOOKUP(U66,'G-3 Multipliers'!$L$3:$N$6,3,FALSE)=0,"Spatial Data Missing ⚠",VLOOKUP(U66,'G-3 Multipliers'!$L$3:$N$6,3,FALSE)))</f>
        <v/>
      </c>
      <c r="X66" s="498" t="str">
        <f>IFERROR(IF(OR(LEFT(O66,5)="Error ▲",LEFT(N66,5)="Error ▲",T66="Error ▲"),"Check Data ⚠",IF(F66&lt;R66,INDEX('G-6 Hedgerow Data'!$S$3:$AE$14,MATCH(C66,'G-6 Hedgerow Data'!$B$3:$B$14,0),MATCH(M66,'G-6 Hedgerow Data'!$S$2:$AE$2,0)),INDEX('G-6 Hedgerow Data'!$K$3:$Q$14,MATCH(M66,'G-6 Hedgerow Data'!$B$3:$B$14,0),MATCH(O66,'G-6 Hedgerow Data'!$K$2:$Q$2,0)))),"")</f>
        <v/>
      </c>
      <c r="Y66" s="195"/>
      <c r="Z66" s="195"/>
      <c r="AA66" s="507" t="str">
        <f t="shared" si="3"/>
        <v/>
      </c>
      <c r="AB66" s="521" t="str">
        <f t="shared" si="4"/>
        <v/>
      </c>
      <c r="AC66" s="522" t="str">
        <f t="shared" si="1"/>
        <v/>
      </c>
      <c r="AD66" s="537" t="str">
        <f>IF(M66="","",VLOOKUP(M66,'G-6 Hedgerow Data'!$B$3:$AG$15,31,FALSE))</f>
        <v/>
      </c>
      <c r="AE66" s="507" t="str">
        <f t="shared" si="5"/>
        <v/>
      </c>
      <c r="AF66" s="507" t="str">
        <f t="shared" si="6"/>
        <v/>
      </c>
      <c r="AG66" s="524" t="str">
        <f>IFERROR(IF(O66="","",VLOOKUP(AD66,'G-3 Multipliers'!$P$3:$Q$6,2,FALSE)),"")</f>
        <v/>
      </c>
      <c r="AH66" s="513" t="str">
        <f t="shared" si="7"/>
        <v/>
      </c>
      <c r="AI66" s="231"/>
      <c r="AJ66" s="150"/>
      <c r="AT66" s="31" t="str">
        <f>IFERROR(INDEX('G-6 Hedgerow Data'!$BJ$3:$BJ$15,MATCH(M66,'G-6 Hedgerow Data'!$B$3:$B$15,0)),"")</f>
        <v/>
      </c>
    </row>
    <row r="67" spans="2:46" ht="14" x14ac:dyDescent="0.3">
      <c r="B67" s="531" t="str">
        <f>'B-1 Site Hedge Baseline'!AK65</f>
        <v/>
      </c>
      <c r="C67" s="520" t="str">
        <f>IF(B67="","",IF(ISNA(VLOOKUP($B67,'B-1 Site Hedge Baseline'!$B$1:$L$257,3,FALSE)),"",(VLOOKUP($B67,'B-1 Site Hedge Baseline'!$B$1:$L$257,3,FALSE))))</f>
        <v/>
      </c>
      <c r="D67" s="520" t="str">
        <f>IF(B67="","",IF(ISNA(VLOOKUP($B67,'B-1 Site Hedge Baseline'!$B$1:$L$257,4,FALSE)),"",(VLOOKUP($B67,'B-1 Site Hedge Baseline'!$B$1:$L$257,4,FALSE))))</f>
        <v/>
      </c>
      <c r="E67" s="520" t="str">
        <f>IF(B67="","",IF(ISNA(VLOOKUP($B67,'B-1 Site Hedge Baseline'!$B$1:$L$257,5,FALSE)),"",(VLOOKUP($B67,'B-1 Site Hedge Baseline'!$B$1:$L$257,5,FALSE))))</f>
        <v/>
      </c>
      <c r="F67" s="520" t="str">
        <f>IF(B67="","",IF(ISNA(VLOOKUP($B67,'B-1 Site Hedge Baseline'!$B$1:$L$257,6,FALSE)),"",(VLOOKUP($B67,'B-1 Site Hedge Baseline'!$B$1:$L$257,6,FALSE))))</f>
        <v/>
      </c>
      <c r="G67" s="520" t="str">
        <f>IF(B67="","",IF(ISNA(VLOOKUP($B67,'B-1 Site Hedge Baseline'!$B$1:$L$257,7,FALSE)),"",(VLOOKUP($B67,'B-1 Site Hedge Baseline'!$B$1:$L$257,7,FALSE))))</f>
        <v/>
      </c>
      <c r="H67" s="520" t="str">
        <f>IF(B67="","",IF(ISNA(VLOOKUP($B67,'B-1 Site Hedge Baseline'!$B$1:$L$257,8,FALSE)),"",(VLOOKUP($B67,'B-1 Site Hedge Baseline'!$B$1:$L$257,8,FALSE))))</f>
        <v/>
      </c>
      <c r="I67" s="520" t="str">
        <f>IF(B67="","",IF(ISNA(VLOOKUP($B67,'B-1 Site Hedge Baseline'!$B$1:$L$257,10,FALSE)),"",(VLOOKUP($B67,'B-1 Site Hedge Baseline'!$B$1:$L$257,10,FALSE))))</f>
        <v/>
      </c>
      <c r="J67" s="520" t="str">
        <f>IF(B67="","",IF(ISNA(VLOOKUP($B67,'B-1 Site Hedge Baseline'!$B$1:$L$257,11,FALSE)),"",(VLOOKUP($B67,'B-1 Site Hedge Baseline'!$B$1:$L$257,11,FALSE))))</f>
        <v/>
      </c>
      <c r="K67" s="520" t="str">
        <f>IF(B67="","",IF(ISNA(VLOOKUP($B67,'B-1 Site Hedge Baseline'!$B$1:$U$257,13,FALSE)),"",(VLOOKUP($B67,'B-1 Site Hedge Baseline'!$B$1:$U$257,13,FALSE))))</f>
        <v/>
      </c>
      <c r="L67" s="524" t="str">
        <f>IF(B67="","",IF(ISNA(VLOOKUP($B67,'B-1 Site Hedge Baseline'!$B$1:$U$257,12,FALSE)),"",(VLOOKUP($B67,'B-1 Site Hedge Baseline'!$B$1:$U$257,12,FALSE))))</f>
        <v/>
      </c>
      <c r="M67" s="416" t="str">
        <f t="shared" si="0"/>
        <v/>
      </c>
      <c r="N67" s="498" t="str">
        <f>IFERROR(IF(B67="","",INDEX('G-6 Hedgerow Data'!$AN$3:$AZ$15,MATCH(C67,'G-6 Hedgerow Data'!$AM$3:$AM$15,0),MATCH(M67,'G-6 Hedgerow Data'!$AN$2:$AZ$2,0))),"")</f>
        <v/>
      </c>
      <c r="O67" s="499" t="str">
        <f t="shared" si="2"/>
        <v/>
      </c>
      <c r="P67" s="559" t="str">
        <f>IF(B67="","",VLOOKUP(B67,'B-1 Site Hedge Baseline'!$B$10:T312,16,FALSE))</f>
        <v/>
      </c>
      <c r="Q67" s="498" t="str">
        <f>IF(M67="","",VLOOKUP(M67,'G-6 Hedgerow Data'!$B$2:$AG$15,2,FALSE))</f>
        <v/>
      </c>
      <c r="R67" s="499" t="str">
        <f>IF(M67="","",VLOOKUP(M67,'G-6 Hedgerow Data'!$B$2:$AG$15,3,FALSE))</f>
        <v/>
      </c>
      <c r="S67" s="157"/>
      <c r="T67" s="540" t="str">
        <f>IFERROR(VLOOKUP(S67,'G-1 All Habitats'!$Z$2:$AA$9,2,FALSE),"")</f>
        <v/>
      </c>
      <c r="U67" s="154"/>
      <c r="V67" s="520" t="str">
        <f>IF(U67="","",IF(VLOOKUP(U67,'G-3 Multipliers'!$L$3:$N$6,2,FALSE)=0,"Spatial Data Missing ⚠",VLOOKUP(U67,'G-3 Multipliers'!$L$3:$N$6,2,FALSE)))</f>
        <v/>
      </c>
      <c r="W67" s="524" t="str">
        <f>IF(U67="","",IF(VLOOKUP(U67,'G-3 Multipliers'!$L$3:$N$6,3,FALSE)=0,"Spatial Data Missing ⚠",VLOOKUP(U67,'G-3 Multipliers'!$L$3:$N$6,3,FALSE)))</f>
        <v/>
      </c>
      <c r="X67" s="498" t="str">
        <f>IFERROR(IF(OR(LEFT(O67,5)="Error ▲",LEFT(N67,5)="Error ▲",T67="Error ▲"),"Check Data ⚠",IF(F67&lt;R67,INDEX('G-6 Hedgerow Data'!$S$3:$AE$14,MATCH(C67,'G-6 Hedgerow Data'!$B$3:$B$14,0),MATCH(M67,'G-6 Hedgerow Data'!$S$2:$AE$2,0)),INDEX('G-6 Hedgerow Data'!$K$3:$Q$14,MATCH(M67,'G-6 Hedgerow Data'!$B$3:$B$14,0),MATCH(O67,'G-6 Hedgerow Data'!$K$2:$Q$2,0)))),"")</f>
        <v/>
      </c>
      <c r="Y67" s="195"/>
      <c r="Z67" s="195"/>
      <c r="AA67" s="507" t="str">
        <f t="shared" si="3"/>
        <v/>
      </c>
      <c r="AB67" s="521" t="str">
        <f t="shared" si="4"/>
        <v/>
      </c>
      <c r="AC67" s="522" t="str">
        <f t="shared" si="1"/>
        <v/>
      </c>
      <c r="AD67" s="537" t="str">
        <f>IF(M67="","",VLOOKUP(M67,'G-6 Hedgerow Data'!$B$3:$AG$15,31,FALSE))</f>
        <v/>
      </c>
      <c r="AE67" s="507" t="str">
        <f t="shared" si="5"/>
        <v/>
      </c>
      <c r="AF67" s="507" t="str">
        <f t="shared" si="6"/>
        <v/>
      </c>
      <c r="AG67" s="524" t="str">
        <f>IFERROR(IF(O67="","",VLOOKUP(AD67,'G-3 Multipliers'!$P$3:$Q$6,2,FALSE)),"")</f>
        <v/>
      </c>
      <c r="AH67" s="513" t="str">
        <f t="shared" si="7"/>
        <v/>
      </c>
      <c r="AI67" s="231"/>
      <c r="AJ67" s="150"/>
      <c r="AT67" s="31" t="str">
        <f>IFERROR(INDEX('G-6 Hedgerow Data'!$BJ$3:$BJ$15,MATCH(M67,'G-6 Hedgerow Data'!$B$3:$B$15,0)),"")</f>
        <v/>
      </c>
    </row>
    <row r="68" spans="2:46" ht="14" x14ac:dyDescent="0.3">
      <c r="B68" s="531" t="str">
        <f>'B-1 Site Hedge Baseline'!AK66</f>
        <v/>
      </c>
      <c r="C68" s="520" t="str">
        <f>IF(B68="","",IF(ISNA(VLOOKUP($B68,'B-1 Site Hedge Baseline'!$B$1:$L$257,3,FALSE)),"",(VLOOKUP($B68,'B-1 Site Hedge Baseline'!$B$1:$L$257,3,FALSE))))</f>
        <v/>
      </c>
      <c r="D68" s="520" t="str">
        <f>IF(B68="","",IF(ISNA(VLOOKUP($B68,'B-1 Site Hedge Baseline'!$B$1:$L$257,4,FALSE)),"",(VLOOKUP($B68,'B-1 Site Hedge Baseline'!$B$1:$L$257,4,FALSE))))</f>
        <v/>
      </c>
      <c r="E68" s="520" t="str">
        <f>IF(B68="","",IF(ISNA(VLOOKUP($B68,'B-1 Site Hedge Baseline'!$B$1:$L$257,5,FALSE)),"",(VLOOKUP($B68,'B-1 Site Hedge Baseline'!$B$1:$L$257,5,FALSE))))</f>
        <v/>
      </c>
      <c r="F68" s="520" t="str">
        <f>IF(B68="","",IF(ISNA(VLOOKUP($B68,'B-1 Site Hedge Baseline'!$B$1:$L$257,6,FALSE)),"",(VLOOKUP($B68,'B-1 Site Hedge Baseline'!$B$1:$L$257,6,FALSE))))</f>
        <v/>
      </c>
      <c r="G68" s="520" t="str">
        <f>IF(B68="","",IF(ISNA(VLOOKUP($B68,'B-1 Site Hedge Baseline'!$B$1:$L$257,7,FALSE)),"",(VLOOKUP($B68,'B-1 Site Hedge Baseline'!$B$1:$L$257,7,FALSE))))</f>
        <v/>
      </c>
      <c r="H68" s="520" t="str">
        <f>IF(B68="","",IF(ISNA(VLOOKUP($B68,'B-1 Site Hedge Baseline'!$B$1:$L$257,8,FALSE)),"",(VLOOKUP($B68,'B-1 Site Hedge Baseline'!$B$1:$L$257,8,FALSE))))</f>
        <v/>
      </c>
      <c r="I68" s="520" t="str">
        <f>IF(B68="","",IF(ISNA(VLOOKUP($B68,'B-1 Site Hedge Baseline'!$B$1:$L$257,10,FALSE)),"",(VLOOKUP($B68,'B-1 Site Hedge Baseline'!$B$1:$L$257,10,FALSE))))</f>
        <v/>
      </c>
      <c r="J68" s="520" t="str">
        <f>IF(B68="","",IF(ISNA(VLOOKUP($B68,'B-1 Site Hedge Baseline'!$B$1:$L$257,11,FALSE)),"",(VLOOKUP($B68,'B-1 Site Hedge Baseline'!$B$1:$L$257,11,FALSE))))</f>
        <v/>
      </c>
      <c r="K68" s="520" t="str">
        <f>IF(B68="","",IF(ISNA(VLOOKUP($B68,'B-1 Site Hedge Baseline'!$B$1:$U$257,13,FALSE)),"",(VLOOKUP($B68,'B-1 Site Hedge Baseline'!$B$1:$U$257,13,FALSE))))</f>
        <v/>
      </c>
      <c r="L68" s="524" t="str">
        <f>IF(B68="","",IF(ISNA(VLOOKUP($B68,'B-1 Site Hedge Baseline'!$B$1:$U$257,12,FALSE)),"",(VLOOKUP($B68,'B-1 Site Hedge Baseline'!$B$1:$U$257,12,FALSE))))</f>
        <v/>
      </c>
      <c r="M68" s="416" t="str">
        <f t="shared" si="0"/>
        <v/>
      </c>
      <c r="N68" s="498" t="str">
        <f>IFERROR(IF(B68="","",INDEX('G-6 Hedgerow Data'!$AN$3:$AZ$15,MATCH(C68,'G-6 Hedgerow Data'!$AM$3:$AM$15,0),MATCH(M68,'G-6 Hedgerow Data'!$AN$2:$AZ$2,0))),"")</f>
        <v/>
      </c>
      <c r="O68" s="499" t="str">
        <f t="shared" si="2"/>
        <v/>
      </c>
      <c r="P68" s="559" t="str">
        <f>IF(B68="","",VLOOKUP(B68,'B-1 Site Hedge Baseline'!$B$10:T313,16,FALSE))</f>
        <v/>
      </c>
      <c r="Q68" s="498" t="str">
        <f>IF(M68="","",VLOOKUP(M68,'G-6 Hedgerow Data'!$B$2:$AG$15,2,FALSE))</f>
        <v/>
      </c>
      <c r="R68" s="499" t="str">
        <f>IF(M68="","",VLOOKUP(M68,'G-6 Hedgerow Data'!$B$2:$AG$15,3,FALSE))</f>
        <v/>
      </c>
      <c r="S68" s="157"/>
      <c r="T68" s="540" t="str">
        <f>IFERROR(VLOOKUP(S68,'G-1 All Habitats'!$Z$2:$AA$9,2,FALSE),"")</f>
        <v/>
      </c>
      <c r="U68" s="154"/>
      <c r="V68" s="520" t="str">
        <f>IF(U68="","",IF(VLOOKUP(U68,'G-3 Multipliers'!$L$3:$N$6,2,FALSE)=0,"Spatial Data Missing ⚠",VLOOKUP(U68,'G-3 Multipliers'!$L$3:$N$6,2,FALSE)))</f>
        <v/>
      </c>
      <c r="W68" s="524" t="str">
        <f>IF(U68="","",IF(VLOOKUP(U68,'G-3 Multipliers'!$L$3:$N$6,3,FALSE)=0,"Spatial Data Missing ⚠",VLOOKUP(U68,'G-3 Multipliers'!$L$3:$N$6,3,FALSE)))</f>
        <v/>
      </c>
      <c r="X68" s="498" t="str">
        <f>IFERROR(IF(OR(LEFT(O68,5)="Error ▲",LEFT(N68,5)="Error ▲",T68="Error ▲"),"Check Data ⚠",IF(F68&lt;R68,INDEX('G-6 Hedgerow Data'!$S$3:$AE$14,MATCH(C68,'G-6 Hedgerow Data'!$B$3:$B$14,0),MATCH(M68,'G-6 Hedgerow Data'!$S$2:$AE$2,0)),INDEX('G-6 Hedgerow Data'!$K$3:$Q$14,MATCH(M68,'G-6 Hedgerow Data'!$B$3:$B$14,0),MATCH(O68,'G-6 Hedgerow Data'!$K$2:$Q$2,0)))),"")</f>
        <v/>
      </c>
      <c r="Y68" s="195"/>
      <c r="Z68" s="195"/>
      <c r="AA68" s="507" t="str">
        <f t="shared" si="3"/>
        <v/>
      </c>
      <c r="AB68" s="521" t="str">
        <f t="shared" si="4"/>
        <v/>
      </c>
      <c r="AC68" s="522" t="str">
        <f t="shared" si="1"/>
        <v/>
      </c>
      <c r="AD68" s="537" t="str">
        <f>IF(M68="","",VLOOKUP(M68,'G-6 Hedgerow Data'!$B$3:$AG$15,31,FALSE))</f>
        <v/>
      </c>
      <c r="AE68" s="507" t="str">
        <f t="shared" si="5"/>
        <v/>
      </c>
      <c r="AF68" s="507" t="str">
        <f t="shared" si="6"/>
        <v/>
      </c>
      <c r="AG68" s="524" t="str">
        <f>IFERROR(IF(O68="","",VLOOKUP(AD68,'G-3 Multipliers'!$P$3:$Q$6,2,FALSE)),"")</f>
        <v/>
      </c>
      <c r="AH68" s="513" t="str">
        <f t="shared" si="7"/>
        <v/>
      </c>
      <c r="AI68" s="231"/>
      <c r="AJ68" s="150"/>
      <c r="AT68" s="31" t="str">
        <f>IFERROR(INDEX('G-6 Hedgerow Data'!$BJ$3:$BJ$15,MATCH(M68,'G-6 Hedgerow Data'!$B$3:$B$15,0)),"")</f>
        <v/>
      </c>
    </row>
    <row r="69" spans="2:46" ht="14" x14ac:dyDescent="0.3">
      <c r="B69" s="531" t="str">
        <f>'B-1 Site Hedge Baseline'!AK67</f>
        <v/>
      </c>
      <c r="C69" s="520" t="str">
        <f>IF(B69="","",IF(ISNA(VLOOKUP($B69,'B-1 Site Hedge Baseline'!$B$1:$L$257,3,FALSE)),"",(VLOOKUP($B69,'B-1 Site Hedge Baseline'!$B$1:$L$257,3,FALSE))))</f>
        <v/>
      </c>
      <c r="D69" s="520" t="str">
        <f>IF(B69="","",IF(ISNA(VLOOKUP($B69,'B-1 Site Hedge Baseline'!$B$1:$L$257,4,FALSE)),"",(VLOOKUP($B69,'B-1 Site Hedge Baseline'!$B$1:$L$257,4,FALSE))))</f>
        <v/>
      </c>
      <c r="E69" s="520" t="str">
        <f>IF(B69="","",IF(ISNA(VLOOKUP($B69,'B-1 Site Hedge Baseline'!$B$1:$L$257,5,FALSE)),"",(VLOOKUP($B69,'B-1 Site Hedge Baseline'!$B$1:$L$257,5,FALSE))))</f>
        <v/>
      </c>
      <c r="F69" s="520" t="str">
        <f>IF(B69="","",IF(ISNA(VLOOKUP($B69,'B-1 Site Hedge Baseline'!$B$1:$L$257,6,FALSE)),"",(VLOOKUP($B69,'B-1 Site Hedge Baseline'!$B$1:$L$257,6,FALSE))))</f>
        <v/>
      </c>
      <c r="G69" s="520" t="str">
        <f>IF(B69="","",IF(ISNA(VLOOKUP($B69,'B-1 Site Hedge Baseline'!$B$1:$L$257,7,FALSE)),"",(VLOOKUP($B69,'B-1 Site Hedge Baseline'!$B$1:$L$257,7,FALSE))))</f>
        <v/>
      </c>
      <c r="H69" s="520" t="str">
        <f>IF(B69="","",IF(ISNA(VLOOKUP($B69,'B-1 Site Hedge Baseline'!$B$1:$L$257,8,FALSE)),"",(VLOOKUP($B69,'B-1 Site Hedge Baseline'!$B$1:$L$257,8,FALSE))))</f>
        <v/>
      </c>
      <c r="I69" s="520" t="str">
        <f>IF(B69="","",IF(ISNA(VLOOKUP($B69,'B-1 Site Hedge Baseline'!$B$1:$L$257,10,FALSE)),"",(VLOOKUP($B69,'B-1 Site Hedge Baseline'!$B$1:$L$257,10,FALSE))))</f>
        <v/>
      </c>
      <c r="J69" s="520" t="str">
        <f>IF(B69="","",IF(ISNA(VLOOKUP($B69,'B-1 Site Hedge Baseline'!$B$1:$L$257,11,FALSE)),"",(VLOOKUP($B69,'B-1 Site Hedge Baseline'!$B$1:$L$257,11,FALSE))))</f>
        <v/>
      </c>
      <c r="K69" s="520" t="str">
        <f>IF(B69="","",IF(ISNA(VLOOKUP($B69,'B-1 Site Hedge Baseline'!$B$1:$U$257,13,FALSE)),"",(VLOOKUP($B69,'B-1 Site Hedge Baseline'!$B$1:$U$257,13,FALSE))))</f>
        <v/>
      </c>
      <c r="L69" s="524" t="str">
        <f>IF(B69="","",IF(ISNA(VLOOKUP($B69,'B-1 Site Hedge Baseline'!$B$1:$U$257,12,FALSE)),"",(VLOOKUP($B69,'B-1 Site Hedge Baseline'!$B$1:$U$257,12,FALSE))))</f>
        <v/>
      </c>
      <c r="M69" s="416" t="str">
        <f t="shared" si="0"/>
        <v/>
      </c>
      <c r="N69" s="498" t="str">
        <f>IFERROR(IF(B69="","",INDEX('G-6 Hedgerow Data'!$AN$3:$AZ$15,MATCH(C69,'G-6 Hedgerow Data'!$AM$3:$AM$15,0),MATCH(M69,'G-6 Hedgerow Data'!$AN$2:$AZ$2,0))),"")</f>
        <v/>
      </c>
      <c r="O69" s="499" t="str">
        <f t="shared" si="2"/>
        <v/>
      </c>
      <c r="P69" s="559" t="str">
        <f>IF(B69="","",VLOOKUP(B69,'B-1 Site Hedge Baseline'!$B$10:T314,16,FALSE))</f>
        <v/>
      </c>
      <c r="Q69" s="498" t="str">
        <f>IF(M69="","",VLOOKUP(M69,'G-6 Hedgerow Data'!$B$2:$AG$15,2,FALSE))</f>
        <v/>
      </c>
      <c r="R69" s="499" t="str">
        <f>IF(M69="","",VLOOKUP(M69,'G-6 Hedgerow Data'!$B$2:$AG$15,3,FALSE))</f>
        <v/>
      </c>
      <c r="S69" s="157"/>
      <c r="T69" s="540" t="str">
        <f>IFERROR(VLOOKUP(S69,'G-1 All Habitats'!$Z$2:$AA$9,2,FALSE),"")</f>
        <v/>
      </c>
      <c r="U69" s="154"/>
      <c r="V69" s="520" t="str">
        <f>IF(U69="","",IF(VLOOKUP(U69,'G-3 Multipliers'!$L$3:$N$6,2,FALSE)=0,"Spatial Data Missing ⚠",VLOOKUP(U69,'G-3 Multipliers'!$L$3:$N$6,2,FALSE)))</f>
        <v/>
      </c>
      <c r="W69" s="524" t="str">
        <f>IF(U69="","",IF(VLOOKUP(U69,'G-3 Multipliers'!$L$3:$N$6,3,FALSE)=0,"Spatial Data Missing ⚠",VLOOKUP(U69,'G-3 Multipliers'!$L$3:$N$6,3,FALSE)))</f>
        <v/>
      </c>
      <c r="X69" s="498" t="str">
        <f>IFERROR(IF(OR(LEFT(O69,5)="Error ▲",LEFT(N69,5)="Error ▲",T69="Error ▲"),"Check Data ⚠",IF(F69&lt;R69,INDEX('G-6 Hedgerow Data'!$S$3:$AE$14,MATCH(C69,'G-6 Hedgerow Data'!$B$3:$B$14,0),MATCH(M69,'G-6 Hedgerow Data'!$S$2:$AE$2,0)),INDEX('G-6 Hedgerow Data'!$K$3:$Q$14,MATCH(M69,'G-6 Hedgerow Data'!$B$3:$B$14,0),MATCH(O69,'G-6 Hedgerow Data'!$K$2:$Q$2,0)))),"")</f>
        <v/>
      </c>
      <c r="Y69" s="195"/>
      <c r="Z69" s="195"/>
      <c r="AA69" s="507" t="str">
        <f t="shared" si="3"/>
        <v/>
      </c>
      <c r="AB69" s="521" t="str">
        <f t="shared" si="4"/>
        <v/>
      </c>
      <c r="AC69" s="522" t="str">
        <f t="shared" si="1"/>
        <v/>
      </c>
      <c r="AD69" s="537" t="str">
        <f>IF(M69="","",VLOOKUP(M69,'G-6 Hedgerow Data'!$B$3:$AG$15,31,FALSE))</f>
        <v/>
      </c>
      <c r="AE69" s="507" t="str">
        <f t="shared" si="5"/>
        <v/>
      </c>
      <c r="AF69" s="507" t="str">
        <f t="shared" si="6"/>
        <v/>
      </c>
      <c r="AG69" s="524" t="str">
        <f>IFERROR(IF(O69="","",VLOOKUP(AD69,'G-3 Multipliers'!$P$3:$Q$6,2,FALSE)),"")</f>
        <v/>
      </c>
      <c r="AH69" s="513" t="str">
        <f t="shared" si="7"/>
        <v/>
      </c>
      <c r="AI69" s="231"/>
      <c r="AJ69" s="150"/>
      <c r="AT69" s="31" t="str">
        <f>IFERROR(INDEX('G-6 Hedgerow Data'!$BJ$3:$BJ$15,MATCH(M69,'G-6 Hedgerow Data'!$B$3:$B$15,0)),"")</f>
        <v/>
      </c>
    </row>
    <row r="70" spans="2:46" ht="14" x14ac:dyDescent="0.3">
      <c r="B70" s="531" t="str">
        <f>'B-1 Site Hedge Baseline'!AK68</f>
        <v/>
      </c>
      <c r="C70" s="520" t="str">
        <f>IF(B70="","",IF(ISNA(VLOOKUP($B70,'B-1 Site Hedge Baseline'!$B$1:$L$257,3,FALSE)),"",(VLOOKUP($B70,'B-1 Site Hedge Baseline'!$B$1:$L$257,3,FALSE))))</f>
        <v/>
      </c>
      <c r="D70" s="520" t="str">
        <f>IF(B70="","",IF(ISNA(VLOOKUP($B70,'B-1 Site Hedge Baseline'!$B$1:$L$257,4,FALSE)),"",(VLOOKUP($B70,'B-1 Site Hedge Baseline'!$B$1:$L$257,4,FALSE))))</f>
        <v/>
      </c>
      <c r="E70" s="520" t="str">
        <f>IF(B70="","",IF(ISNA(VLOOKUP($B70,'B-1 Site Hedge Baseline'!$B$1:$L$257,5,FALSE)),"",(VLOOKUP($B70,'B-1 Site Hedge Baseline'!$B$1:$L$257,5,FALSE))))</f>
        <v/>
      </c>
      <c r="F70" s="520" t="str">
        <f>IF(B70="","",IF(ISNA(VLOOKUP($B70,'B-1 Site Hedge Baseline'!$B$1:$L$257,6,FALSE)),"",(VLOOKUP($B70,'B-1 Site Hedge Baseline'!$B$1:$L$257,6,FALSE))))</f>
        <v/>
      </c>
      <c r="G70" s="520" t="str">
        <f>IF(B70="","",IF(ISNA(VLOOKUP($B70,'B-1 Site Hedge Baseline'!$B$1:$L$257,7,FALSE)),"",(VLOOKUP($B70,'B-1 Site Hedge Baseline'!$B$1:$L$257,7,FALSE))))</f>
        <v/>
      </c>
      <c r="H70" s="520" t="str">
        <f>IF(B70="","",IF(ISNA(VLOOKUP($B70,'B-1 Site Hedge Baseline'!$B$1:$L$257,8,FALSE)),"",(VLOOKUP($B70,'B-1 Site Hedge Baseline'!$B$1:$L$257,8,FALSE))))</f>
        <v/>
      </c>
      <c r="I70" s="520" t="str">
        <f>IF(B70="","",IF(ISNA(VLOOKUP($B70,'B-1 Site Hedge Baseline'!$B$1:$L$257,10,FALSE)),"",(VLOOKUP($B70,'B-1 Site Hedge Baseline'!$B$1:$L$257,10,FALSE))))</f>
        <v/>
      </c>
      <c r="J70" s="520" t="str">
        <f>IF(B70="","",IF(ISNA(VLOOKUP($B70,'B-1 Site Hedge Baseline'!$B$1:$L$257,11,FALSE)),"",(VLOOKUP($B70,'B-1 Site Hedge Baseline'!$B$1:$L$257,11,FALSE))))</f>
        <v/>
      </c>
      <c r="K70" s="520" t="str">
        <f>IF(B70="","",IF(ISNA(VLOOKUP($B70,'B-1 Site Hedge Baseline'!$B$1:$U$257,13,FALSE)),"",(VLOOKUP($B70,'B-1 Site Hedge Baseline'!$B$1:$U$257,13,FALSE))))</f>
        <v/>
      </c>
      <c r="L70" s="524" t="str">
        <f>IF(B70="","",IF(ISNA(VLOOKUP($B70,'B-1 Site Hedge Baseline'!$B$1:$U$257,12,FALSE)),"",(VLOOKUP($B70,'B-1 Site Hedge Baseline'!$B$1:$U$257,12,FALSE))))</f>
        <v/>
      </c>
      <c r="M70" s="416" t="str">
        <f t="shared" si="0"/>
        <v/>
      </c>
      <c r="N70" s="498" t="str">
        <f>IFERROR(IF(B70="","",INDEX('G-6 Hedgerow Data'!$AN$3:$AZ$15,MATCH(C70,'G-6 Hedgerow Data'!$AM$3:$AM$15,0),MATCH(M70,'G-6 Hedgerow Data'!$AN$2:$AZ$2,0))),"")</f>
        <v/>
      </c>
      <c r="O70" s="499" t="str">
        <f t="shared" si="2"/>
        <v/>
      </c>
      <c r="P70" s="559" t="str">
        <f>IF(B70="","",VLOOKUP(B70,'B-1 Site Hedge Baseline'!$B$10:T315,16,FALSE))</f>
        <v/>
      </c>
      <c r="Q70" s="498" t="str">
        <f>IF(M70="","",VLOOKUP(M70,'G-6 Hedgerow Data'!$B$2:$AG$15,2,FALSE))</f>
        <v/>
      </c>
      <c r="R70" s="499" t="str">
        <f>IF(M70="","",VLOOKUP(M70,'G-6 Hedgerow Data'!$B$2:$AG$15,3,FALSE))</f>
        <v/>
      </c>
      <c r="S70" s="157"/>
      <c r="T70" s="540" t="str">
        <f>IFERROR(VLOOKUP(S70,'G-1 All Habitats'!$Z$2:$AA$9,2,FALSE),"")</f>
        <v/>
      </c>
      <c r="U70" s="154"/>
      <c r="V70" s="520" t="str">
        <f>IF(U70="","",IF(VLOOKUP(U70,'G-3 Multipliers'!$L$3:$N$6,2,FALSE)=0,"Spatial Data Missing ⚠",VLOOKUP(U70,'G-3 Multipliers'!$L$3:$N$6,2,FALSE)))</f>
        <v/>
      </c>
      <c r="W70" s="524" t="str">
        <f>IF(U70="","",IF(VLOOKUP(U70,'G-3 Multipliers'!$L$3:$N$6,3,FALSE)=0,"Spatial Data Missing ⚠",VLOOKUP(U70,'G-3 Multipliers'!$L$3:$N$6,3,FALSE)))</f>
        <v/>
      </c>
      <c r="X70" s="498" t="str">
        <f>IFERROR(IF(OR(LEFT(O70,5)="Error ▲",LEFT(N70,5)="Error ▲",T70="Error ▲"),"Check Data ⚠",IF(F70&lt;R70,INDEX('G-6 Hedgerow Data'!$S$3:$AE$14,MATCH(C70,'G-6 Hedgerow Data'!$B$3:$B$14,0),MATCH(M70,'G-6 Hedgerow Data'!$S$2:$AE$2,0)),INDEX('G-6 Hedgerow Data'!$K$3:$Q$14,MATCH(M70,'G-6 Hedgerow Data'!$B$3:$B$14,0),MATCH(O70,'G-6 Hedgerow Data'!$K$2:$Q$2,0)))),"")</f>
        <v/>
      </c>
      <c r="Y70" s="195"/>
      <c r="Z70" s="195"/>
      <c r="AA70" s="507" t="str">
        <f t="shared" si="3"/>
        <v/>
      </c>
      <c r="AB70" s="521" t="str">
        <f t="shared" si="4"/>
        <v/>
      </c>
      <c r="AC70" s="522" t="str">
        <f t="shared" si="1"/>
        <v/>
      </c>
      <c r="AD70" s="537" t="str">
        <f>IF(M70="","",VLOOKUP(M70,'G-6 Hedgerow Data'!$B$3:$AG$15,31,FALSE))</f>
        <v/>
      </c>
      <c r="AE70" s="507" t="str">
        <f t="shared" si="5"/>
        <v/>
      </c>
      <c r="AF70" s="507" t="str">
        <f t="shared" si="6"/>
        <v/>
      </c>
      <c r="AG70" s="524" t="str">
        <f>IFERROR(IF(O70="","",VLOOKUP(AD70,'G-3 Multipliers'!$P$3:$Q$6,2,FALSE)),"")</f>
        <v/>
      </c>
      <c r="AH70" s="513" t="str">
        <f t="shared" si="7"/>
        <v/>
      </c>
      <c r="AI70" s="231"/>
      <c r="AJ70" s="150"/>
      <c r="AT70" s="31" t="str">
        <f>IFERROR(INDEX('G-6 Hedgerow Data'!$BJ$3:$BJ$15,MATCH(M70,'G-6 Hedgerow Data'!$B$3:$B$15,0)),"")</f>
        <v/>
      </c>
    </row>
    <row r="71" spans="2:46" ht="14" x14ac:dyDescent="0.3">
      <c r="B71" s="531" t="str">
        <f>'B-1 Site Hedge Baseline'!AK69</f>
        <v/>
      </c>
      <c r="C71" s="520" t="str">
        <f>IF(B71="","",IF(ISNA(VLOOKUP($B71,'B-1 Site Hedge Baseline'!$B$1:$L$257,3,FALSE)),"",(VLOOKUP($B71,'B-1 Site Hedge Baseline'!$B$1:$L$257,3,FALSE))))</f>
        <v/>
      </c>
      <c r="D71" s="520" t="str">
        <f>IF(B71="","",IF(ISNA(VLOOKUP($B71,'B-1 Site Hedge Baseline'!$B$1:$L$257,4,FALSE)),"",(VLOOKUP($B71,'B-1 Site Hedge Baseline'!$B$1:$L$257,4,FALSE))))</f>
        <v/>
      </c>
      <c r="E71" s="520" t="str">
        <f>IF(B71="","",IF(ISNA(VLOOKUP($B71,'B-1 Site Hedge Baseline'!$B$1:$L$257,5,FALSE)),"",(VLOOKUP($B71,'B-1 Site Hedge Baseline'!$B$1:$L$257,5,FALSE))))</f>
        <v/>
      </c>
      <c r="F71" s="520" t="str">
        <f>IF(B71="","",IF(ISNA(VLOOKUP($B71,'B-1 Site Hedge Baseline'!$B$1:$L$257,6,FALSE)),"",(VLOOKUP($B71,'B-1 Site Hedge Baseline'!$B$1:$L$257,6,FALSE))))</f>
        <v/>
      </c>
      <c r="G71" s="520" t="str">
        <f>IF(B71="","",IF(ISNA(VLOOKUP($B71,'B-1 Site Hedge Baseline'!$B$1:$L$257,7,FALSE)),"",(VLOOKUP($B71,'B-1 Site Hedge Baseline'!$B$1:$L$257,7,FALSE))))</f>
        <v/>
      </c>
      <c r="H71" s="520" t="str">
        <f>IF(B71="","",IF(ISNA(VLOOKUP($B71,'B-1 Site Hedge Baseline'!$B$1:$L$257,8,FALSE)),"",(VLOOKUP($B71,'B-1 Site Hedge Baseline'!$B$1:$L$257,8,FALSE))))</f>
        <v/>
      </c>
      <c r="I71" s="520" t="str">
        <f>IF(B71="","",IF(ISNA(VLOOKUP($B71,'B-1 Site Hedge Baseline'!$B$1:$L$257,10,FALSE)),"",(VLOOKUP($B71,'B-1 Site Hedge Baseline'!$B$1:$L$257,10,FALSE))))</f>
        <v/>
      </c>
      <c r="J71" s="520" t="str">
        <f>IF(B71="","",IF(ISNA(VLOOKUP($B71,'B-1 Site Hedge Baseline'!$B$1:$L$257,11,FALSE)),"",(VLOOKUP($B71,'B-1 Site Hedge Baseline'!$B$1:$L$257,11,FALSE))))</f>
        <v/>
      </c>
      <c r="K71" s="520" t="str">
        <f>IF(B71="","",IF(ISNA(VLOOKUP($B71,'B-1 Site Hedge Baseline'!$B$1:$U$257,13,FALSE)),"",(VLOOKUP($B71,'B-1 Site Hedge Baseline'!$B$1:$U$257,13,FALSE))))</f>
        <v/>
      </c>
      <c r="L71" s="524" t="str">
        <f>IF(B71="","",IF(ISNA(VLOOKUP($B71,'B-1 Site Hedge Baseline'!$B$1:$U$257,12,FALSE)),"",(VLOOKUP($B71,'B-1 Site Hedge Baseline'!$B$1:$U$257,12,FALSE))))</f>
        <v/>
      </c>
      <c r="M71" s="416" t="str">
        <f t="shared" si="0"/>
        <v/>
      </c>
      <c r="N71" s="498" t="str">
        <f>IFERROR(IF(B71="","",INDEX('G-6 Hedgerow Data'!$AN$3:$AZ$15,MATCH(C71,'G-6 Hedgerow Data'!$AM$3:$AM$15,0),MATCH(M71,'G-6 Hedgerow Data'!$AN$2:$AZ$2,0))),"")</f>
        <v/>
      </c>
      <c r="O71" s="499" t="str">
        <f t="shared" si="2"/>
        <v/>
      </c>
      <c r="P71" s="559" t="str">
        <f>IF(B71="","",VLOOKUP(B71,'B-1 Site Hedge Baseline'!$B$10:T316,16,FALSE))</f>
        <v/>
      </c>
      <c r="Q71" s="498" t="str">
        <f>IF(M71="","",VLOOKUP(M71,'G-6 Hedgerow Data'!$B$2:$AG$15,2,FALSE))</f>
        <v/>
      </c>
      <c r="R71" s="499" t="str">
        <f>IF(M71="","",VLOOKUP(M71,'G-6 Hedgerow Data'!$B$2:$AG$15,3,FALSE))</f>
        <v/>
      </c>
      <c r="S71" s="157"/>
      <c r="T71" s="540" t="str">
        <f>IFERROR(VLOOKUP(S71,'G-1 All Habitats'!$Z$2:$AA$9,2,FALSE),"")</f>
        <v/>
      </c>
      <c r="U71" s="154"/>
      <c r="V71" s="520" t="str">
        <f>IF(U71="","",IF(VLOOKUP(U71,'G-3 Multipliers'!$L$3:$N$6,2,FALSE)=0,"Spatial Data Missing ⚠",VLOOKUP(U71,'G-3 Multipliers'!$L$3:$N$6,2,FALSE)))</f>
        <v/>
      </c>
      <c r="W71" s="524" t="str">
        <f>IF(U71="","",IF(VLOOKUP(U71,'G-3 Multipliers'!$L$3:$N$6,3,FALSE)=0,"Spatial Data Missing ⚠",VLOOKUP(U71,'G-3 Multipliers'!$L$3:$N$6,3,FALSE)))</f>
        <v/>
      </c>
      <c r="X71" s="498" t="str">
        <f>IFERROR(IF(OR(LEFT(O71,5)="Error ▲",LEFT(N71,5)="Error ▲",T71="Error ▲"),"Check Data ⚠",IF(F71&lt;R71,INDEX('G-6 Hedgerow Data'!$S$3:$AE$14,MATCH(C71,'G-6 Hedgerow Data'!$B$3:$B$14,0),MATCH(M71,'G-6 Hedgerow Data'!$S$2:$AE$2,0)),INDEX('G-6 Hedgerow Data'!$K$3:$Q$14,MATCH(M71,'G-6 Hedgerow Data'!$B$3:$B$14,0),MATCH(O71,'G-6 Hedgerow Data'!$K$2:$Q$2,0)))),"")</f>
        <v/>
      </c>
      <c r="Y71" s="195"/>
      <c r="Z71" s="195"/>
      <c r="AA71" s="507" t="str">
        <f t="shared" si="3"/>
        <v/>
      </c>
      <c r="AB71" s="521" t="str">
        <f t="shared" si="4"/>
        <v/>
      </c>
      <c r="AC71" s="522" t="str">
        <f t="shared" si="1"/>
        <v/>
      </c>
      <c r="AD71" s="537" t="str">
        <f>IF(M71="","",VLOOKUP(M71,'G-6 Hedgerow Data'!$B$3:$AG$15,31,FALSE))</f>
        <v/>
      </c>
      <c r="AE71" s="507" t="str">
        <f t="shared" si="5"/>
        <v/>
      </c>
      <c r="AF71" s="507" t="str">
        <f t="shared" si="6"/>
        <v/>
      </c>
      <c r="AG71" s="524" t="str">
        <f>IFERROR(IF(O71="","",VLOOKUP(AD71,'G-3 Multipliers'!$P$3:$Q$6,2,FALSE)),"")</f>
        <v/>
      </c>
      <c r="AH71" s="513" t="str">
        <f t="shared" si="7"/>
        <v/>
      </c>
      <c r="AI71" s="231"/>
      <c r="AJ71" s="150"/>
      <c r="AT71" s="31" t="str">
        <f>IFERROR(INDEX('G-6 Hedgerow Data'!$BJ$3:$BJ$15,MATCH(M71,'G-6 Hedgerow Data'!$B$3:$B$15,0)),"")</f>
        <v/>
      </c>
    </row>
    <row r="72" spans="2:46" ht="14" x14ac:dyDescent="0.3">
      <c r="B72" s="531" t="str">
        <f>'B-1 Site Hedge Baseline'!AK70</f>
        <v/>
      </c>
      <c r="C72" s="520" t="str">
        <f>IF(B72="","",IF(ISNA(VLOOKUP($B72,'B-1 Site Hedge Baseline'!$B$1:$L$257,3,FALSE)),"",(VLOOKUP($B72,'B-1 Site Hedge Baseline'!$B$1:$L$257,3,FALSE))))</f>
        <v/>
      </c>
      <c r="D72" s="520" t="str">
        <f>IF(B72="","",IF(ISNA(VLOOKUP($B72,'B-1 Site Hedge Baseline'!$B$1:$L$257,4,FALSE)),"",(VLOOKUP($B72,'B-1 Site Hedge Baseline'!$B$1:$L$257,4,FALSE))))</f>
        <v/>
      </c>
      <c r="E72" s="520" t="str">
        <f>IF(B72="","",IF(ISNA(VLOOKUP($B72,'B-1 Site Hedge Baseline'!$B$1:$L$257,5,FALSE)),"",(VLOOKUP($B72,'B-1 Site Hedge Baseline'!$B$1:$L$257,5,FALSE))))</f>
        <v/>
      </c>
      <c r="F72" s="520" t="str">
        <f>IF(B72="","",IF(ISNA(VLOOKUP($B72,'B-1 Site Hedge Baseline'!$B$1:$L$257,6,FALSE)),"",(VLOOKUP($B72,'B-1 Site Hedge Baseline'!$B$1:$L$257,6,FALSE))))</f>
        <v/>
      </c>
      <c r="G72" s="520" t="str">
        <f>IF(B72="","",IF(ISNA(VLOOKUP($B72,'B-1 Site Hedge Baseline'!$B$1:$L$257,7,FALSE)),"",(VLOOKUP($B72,'B-1 Site Hedge Baseline'!$B$1:$L$257,7,FALSE))))</f>
        <v/>
      </c>
      <c r="H72" s="520" t="str">
        <f>IF(B72="","",IF(ISNA(VLOOKUP($B72,'B-1 Site Hedge Baseline'!$B$1:$L$257,8,FALSE)),"",(VLOOKUP($B72,'B-1 Site Hedge Baseline'!$B$1:$L$257,8,FALSE))))</f>
        <v/>
      </c>
      <c r="I72" s="520" t="str">
        <f>IF(B72="","",IF(ISNA(VLOOKUP($B72,'B-1 Site Hedge Baseline'!$B$1:$L$257,10,FALSE)),"",(VLOOKUP($B72,'B-1 Site Hedge Baseline'!$B$1:$L$257,10,FALSE))))</f>
        <v/>
      </c>
      <c r="J72" s="520" t="str">
        <f>IF(B72="","",IF(ISNA(VLOOKUP($B72,'B-1 Site Hedge Baseline'!$B$1:$L$257,11,FALSE)),"",(VLOOKUP($B72,'B-1 Site Hedge Baseline'!$B$1:$L$257,11,FALSE))))</f>
        <v/>
      </c>
      <c r="K72" s="520" t="str">
        <f>IF(B72="","",IF(ISNA(VLOOKUP($B72,'B-1 Site Hedge Baseline'!$B$1:$U$257,13,FALSE)),"",(VLOOKUP($B72,'B-1 Site Hedge Baseline'!$B$1:$U$257,13,FALSE))))</f>
        <v/>
      </c>
      <c r="L72" s="524" t="str">
        <f>IF(B72="","",IF(ISNA(VLOOKUP($B72,'B-1 Site Hedge Baseline'!$B$1:$U$257,12,FALSE)),"",(VLOOKUP($B72,'B-1 Site Hedge Baseline'!$B$1:$U$257,12,FALSE))))</f>
        <v/>
      </c>
      <c r="M72" s="416" t="str">
        <f t="shared" si="0"/>
        <v/>
      </c>
      <c r="N72" s="498" t="str">
        <f>IFERROR(IF(B72="","",INDEX('G-6 Hedgerow Data'!$AN$3:$AZ$15,MATCH(C72,'G-6 Hedgerow Data'!$AM$3:$AM$15,0),MATCH(M72,'G-6 Hedgerow Data'!$AN$2:$AZ$2,0))),"")</f>
        <v/>
      </c>
      <c r="O72" s="499" t="str">
        <f t="shared" si="2"/>
        <v/>
      </c>
      <c r="P72" s="559" t="str">
        <f>IF(B72="","",VLOOKUP(B72,'B-1 Site Hedge Baseline'!$B$10:T317,16,FALSE))</f>
        <v/>
      </c>
      <c r="Q72" s="498" t="str">
        <f>IF(M72="","",VLOOKUP(M72,'G-6 Hedgerow Data'!$B$2:$AG$15,2,FALSE))</f>
        <v/>
      </c>
      <c r="R72" s="499" t="str">
        <f>IF(M72="","",VLOOKUP(M72,'G-6 Hedgerow Data'!$B$2:$AG$15,3,FALSE))</f>
        <v/>
      </c>
      <c r="S72" s="157"/>
      <c r="T72" s="540" t="str">
        <f>IFERROR(VLOOKUP(S72,'G-1 All Habitats'!$Z$2:$AA$9,2,FALSE),"")</f>
        <v/>
      </c>
      <c r="U72" s="154"/>
      <c r="V72" s="520" t="str">
        <f>IF(U72="","",IF(VLOOKUP(U72,'G-3 Multipliers'!$L$3:$N$6,2,FALSE)=0,"Spatial Data Missing ⚠",VLOOKUP(U72,'G-3 Multipliers'!$L$3:$N$6,2,FALSE)))</f>
        <v/>
      </c>
      <c r="W72" s="524" t="str">
        <f>IF(U72="","",IF(VLOOKUP(U72,'G-3 Multipliers'!$L$3:$N$6,3,FALSE)=0,"Spatial Data Missing ⚠",VLOOKUP(U72,'G-3 Multipliers'!$L$3:$N$6,3,FALSE)))</f>
        <v/>
      </c>
      <c r="X72" s="498" t="str">
        <f>IFERROR(IF(OR(LEFT(O72,5)="Error ▲",LEFT(N72,5)="Error ▲",T72="Error ▲"),"Check Data ⚠",IF(F72&lt;R72,INDEX('G-6 Hedgerow Data'!$S$3:$AE$14,MATCH(C72,'G-6 Hedgerow Data'!$B$3:$B$14,0),MATCH(M72,'G-6 Hedgerow Data'!$S$2:$AE$2,0)),INDEX('G-6 Hedgerow Data'!$K$3:$Q$14,MATCH(M72,'G-6 Hedgerow Data'!$B$3:$B$14,0),MATCH(O72,'G-6 Hedgerow Data'!$K$2:$Q$2,0)))),"")</f>
        <v/>
      </c>
      <c r="Y72" s="195"/>
      <c r="Z72" s="195"/>
      <c r="AA72" s="507" t="str">
        <f t="shared" si="3"/>
        <v/>
      </c>
      <c r="AB72" s="521" t="str">
        <f t="shared" si="4"/>
        <v/>
      </c>
      <c r="AC72" s="522" t="str">
        <f t="shared" si="1"/>
        <v/>
      </c>
      <c r="AD72" s="537" t="str">
        <f>IF(M72="","",VLOOKUP(M72,'G-6 Hedgerow Data'!$B$3:$AG$15,31,FALSE))</f>
        <v/>
      </c>
      <c r="AE72" s="507" t="str">
        <f t="shared" si="5"/>
        <v/>
      </c>
      <c r="AF72" s="507" t="str">
        <f t="shared" si="6"/>
        <v/>
      </c>
      <c r="AG72" s="524" t="str">
        <f>IFERROR(IF(O72="","",VLOOKUP(AD72,'G-3 Multipliers'!$P$3:$Q$6,2,FALSE)),"")</f>
        <v/>
      </c>
      <c r="AH72" s="513" t="str">
        <f t="shared" si="7"/>
        <v/>
      </c>
      <c r="AI72" s="231"/>
      <c r="AJ72" s="150"/>
      <c r="AT72" s="31" t="str">
        <f>IFERROR(INDEX('G-6 Hedgerow Data'!$BJ$3:$BJ$15,MATCH(M72,'G-6 Hedgerow Data'!$B$3:$B$15,0)),"")</f>
        <v/>
      </c>
    </row>
    <row r="73" spans="2:46" ht="14" x14ac:dyDescent="0.3">
      <c r="B73" s="531" t="str">
        <f>'B-1 Site Hedge Baseline'!AK71</f>
        <v/>
      </c>
      <c r="C73" s="520" t="str">
        <f>IF(B73="","",IF(ISNA(VLOOKUP($B73,'B-1 Site Hedge Baseline'!$B$1:$L$257,3,FALSE)),"",(VLOOKUP($B73,'B-1 Site Hedge Baseline'!$B$1:$L$257,3,FALSE))))</f>
        <v/>
      </c>
      <c r="D73" s="520" t="str">
        <f>IF(B73="","",IF(ISNA(VLOOKUP($B73,'B-1 Site Hedge Baseline'!$B$1:$L$257,4,FALSE)),"",(VLOOKUP($B73,'B-1 Site Hedge Baseline'!$B$1:$L$257,4,FALSE))))</f>
        <v/>
      </c>
      <c r="E73" s="520" t="str">
        <f>IF(B73="","",IF(ISNA(VLOOKUP($B73,'B-1 Site Hedge Baseline'!$B$1:$L$257,5,FALSE)),"",(VLOOKUP($B73,'B-1 Site Hedge Baseline'!$B$1:$L$257,5,FALSE))))</f>
        <v/>
      </c>
      <c r="F73" s="520" t="str">
        <f>IF(B73="","",IF(ISNA(VLOOKUP($B73,'B-1 Site Hedge Baseline'!$B$1:$L$257,6,FALSE)),"",(VLOOKUP($B73,'B-1 Site Hedge Baseline'!$B$1:$L$257,6,FALSE))))</f>
        <v/>
      </c>
      <c r="G73" s="520" t="str">
        <f>IF(B73="","",IF(ISNA(VLOOKUP($B73,'B-1 Site Hedge Baseline'!$B$1:$L$257,7,FALSE)),"",(VLOOKUP($B73,'B-1 Site Hedge Baseline'!$B$1:$L$257,7,FALSE))))</f>
        <v/>
      </c>
      <c r="H73" s="520" t="str">
        <f>IF(B73="","",IF(ISNA(VLOOKUP($B73,'B-1 Site Hedge Baseline'!$B$1:$L$257,8,FALSE)),"",(VLOOKUP($B73,'B-1 Site Hedge Baseline'!$B$1:$L$257,8,FALSE))))</f>
        <v/>
      </c>
      <c r="I73" s="520" t="str">
        <f>IF(B73="","",IF(ISNA(VLOOKUP($B73,'B-1 Site Hedge Baseline'!$B$1:$L$257,10,FALSE)),"",(VLOOKUP($B73,'B-1 Site Hedge Baseline'!$B$1:$L$257,10,FALSE))))</f>
        <v/>
      </c>
      <c r="J73" s="520" t="str">
        <f>IF(B73="","",IF(ISNA(VLOOKUP($B73,'B-1 Site Hedge Baseline'!$B$1:$L$257,11,FALSE)),"",(VLOOKUP($B73,'B-1 Site Hedge Baseline'!$B$1:$L$257,11,FALSE))))</f>
        <v/>
      </c>
      <c r="K73" s="520" t="str">
        <f>IF(B73="","",IF(ISNA(VLOOKUP($B73,'B-1 Site Hedge Baseline'!$B$1:$U$257,13,FALSE)),"",(VLOOKUP($B73,'B-1 Site Hedge Baseline'!$B$1:$U$257,13,FALSE))))</f>
        <v/>
      </c>
      <c r="L73" s="524" t="str">
        <f>IF(B73="","",IF(ISNA(VLOOKUP($B73,'B-1 Site Hedge Baseline'!$B$1:$U$257,12,FALSE)),"",(VLOOKUP($B73,'B-1 Site Hedge Baseline'!$B$1:$U$257,12,FALSE))))</f>
        <v/>
      </c>
      <c r="M73" s="416" t="str">
        <f t="shared" si="0"/>
        <v/>
      </c>
      <c r="N73" s="498" t="str">
        <f>IFERROR(IF(B73="","",INDEX('G-6 Hedgerow Data'!$AN$3:$AZ$15,MATCH(C73,'G-6 Hedgerow Data'!$AM$3:$AM$15,0),MATCH(M73,'G-6 Hedgerow Data'!$AN$2:$AZ$2,0))),"")</f>
        <v/>
      </c>
      <c r="O73" s="499" t="str">
        <f t="shared" si="2"/>
        <v/>
      </c>
      <c r="P73" s="559" t="str">
        <f>IF(B73="","",VLOOKUP(B73,'B-1 Site Hedge Baseline'!$B$10:T318,16,FALSE))</f>
        <v/>
      </c>
      <c r="Q73" s="498" t="str">
        <f>IF(M73="","",VLOOKUP(M73,'G-6 Hedgerow Data'!$B$2:$AG$15,2,FALSE))</f>
        <v/>
      </c>
      <c r="R73" s="499" t="str">
        <f>IF(M73="","",VLOOKUP(M73,'G-6 Hedgerow Data'!$B$2:$AG$15,3,FALSE))</f>
        <v/>
      </c>
      <c r="S73" s="157"/>
      <c r="T73" s="540" t="str">
        <f>IFERROR(VLOOKUP(S73,'G-1 All Habitats'!$Z$2:$AA$9,2,FALSE),"")</f>
        <v/>
      </c>
      <c r="U73" s="154"/>
      <c r="V73" s="520" t="str">
        <f>IF(U73="","",IF(VLOOKUP(U73,'G-3 Multipliers'!$L$3:$N$6,2,FALSE)=0,"Spatial Data Missing ⚠",VLOOKUP(U73,'G-3 Multipliers'!$L$3:$N$6,2,FALSE)))</f>
        <v/>
      </c>
      <c r="W73" s="524" t="str">
        <f>IF(U73="","",IF(VLOOKUP(U73,'G-3 Multipliers'!$L$3:$N$6,3,FALSE)=0,"Spatial Data Missing ⚠",VLOOKUP(U73,'G-3 Multipliers'!$L$3:$N$6,3,FALSE)))</f>
        <v/>
      </c>
      <c r="X73" s="498" t="str">
        <f>IFERROR(IF(OR(LEFT(O73,5)="Error ▲",LEFT(N73,5)="Error ▲",T73="Error ▲"),"Check Data ⚠",IF(F73&lt;R73,INDEX('G-6 Hedgerow Data'!$S$3:$AE$14,MATCH(C73,'G-6 Hedgerow Data'!$B$3:$B$14,0),MATCH(M73,'G-6 Hedgerow Data'!$S$2:$AE$2,0)),INDEX('G-6 Hedgerow Data'!$K$3:$Q$14,MATCH(M73,'G-6 Hedgerow Data'!$B$3:$B$14,0),MATCH(O73,'G-6 Hedgerow Data'!$K$2:$Q$2,0)))),"")</f>
        <v/>
      </c>
      <c r="Y73" s="195"/>
      <c r="Z73" s="195"/>
      <c r="AA73" s="507" t="str">
        <f t="shared" si="3"/>
        <v/>
      </c>
      <c r="AB73" s="521" t="str">
        <f t="shared" si="4"/>
        <v/>
      </c>
      <c r="AC73" s="522" t="str">
        <f t="shared" si="1"/>
        <v/>
      </c>
      <c r="AD73" s="537" t="str">
        <f>IF(M73="","",VLOOKUP(M73,'G-6 Hedgerow Data'!$B$3:$AG$15,31,FALSE))</f>
        <v/>
      </c>
      <c r="AE73" s="507" t="str">
        <f t="shared" si="5"/>
        <v/>
      </c>
      <c r="AF73" s="507" t="str">
        <f t="shared" si="6"/>
        <v/>
      </c>
      <c r="AG73" s="524" t="str">
        <f>IFERROR(IF(O73="","",VLOOKUP(AD73,'G-3 Multipliers'!$P$3:$Q$6,2,FALSE)),"")</f>
        <v/>
      </c>
      <c r="AH73" s="513" t="str">
        <f t="shared" si="7"/>
        <v/>
      </c>
      <c r="AI73" s="231"/>
      <c r="AJ73" s="150"/>
      <c r="AT73" s="31" t="str">
        <f>IFERROR(INDEX('G-6 Hedgerow Data'!$BJ$3:$BJ$15,MATCH(M73,'G-6 Hedgerow Data'!$B$3:$B$15,0)),"")</f>
        <v/>
      </c>
    </row>
    <row r="74" spans="2:46" ht="14" x14ac:dyDescent="0.3">
      <c r="B74" s="531" t="str">
        <f>'B-1 Site Hedge Baseline'!AK72</f>
        <v/>
      </c>
      <c r="C74" s="520" t="str">
        <f>IF(B74="","",IF(ISNA(VLOOKUP($B74,'B-1 Site Hedge Baseline'!$B$1:$L$257,3,FALSE)),"",(VLOOKUP($B74,'B-1 Site Hedge Baseline'!$B$1:$L$257,3,FALSE))))</f>
        <v/>
      </c>
      <c r="D74" s="520" t="str">
        <f>IF(B74="","",IF(ISNA(VLOOKUP($B74,'B-1 Site Hedge Baseline'!$B$1:$L$257,4,FALSE)),"",(VLOOKUP($B74,'B-1 Site Hedge Baseline'!$B$1:$L$257,4,FALSE))))</f>
        <v/>
      </c>
      <c r="E74" s="520" t="str">
        <f>IF(B74="","",IF(ISNA(VLOOKUP($B74,'B-1 Site Hedge Baseline'!$B$1:$L$257,5,FALSE)),"",(VLOOKUP($B74,'B-1 Site Hedge Baseline'!$B$1:$L$257,5,FALSE))))</f>
        <v/>
      </c>
      <c r="F74" s="520" t="str">
        <f>IF(B74="","",IF(ISNA(VLOOKUP($B74,'B-1 Site Hedge Baseline'!$B$1:$L$257,6,FALSE)),"",(VLOOKUP($B74,'B-1 Site Hedge Baseline'!$B$1:$L$257,6,FALSE))))</f>
        <v/>
      </c>
      <c r="G74" s="520" t="str">
        <f>IF(B74="","",IF(ISNA(VLOOKUP($B74,'B-1 Site Hedge Baseline'!$B$1:$L$257,7,FALSE)),"",(VLOOKUP($B74,'B-1 Site Hedge Baseline'!$B$1:$L$257,7,FALSE))))</f>
        <v/>
      </c>
      <c r="H74" s="520" t="str">
        <f>IF(B74="","",IF(ISNA(VLOOKUP($B74,'B-1 Site Hedge Baseline'!$B$1:$L$257,8,FALSE)),"",(VLOOKUP($B74,'B-1 Site Hedge Baseline'!$B$1:$L$257,8,FALSE))))</f>
        <v/>
      </c>
      <c r="I74" s="520" t="str">
        <f>IF(B74="","",IF(ISNA(VLOOKUP($B74,'B-1 Site Hedge Baseline'!$B$1:$L$257,10,FALSE)),"",(VLOOKUP($B74,'B-1 Site Hedge Baseline'!$B$1:$L$257,10,FALSE))))</f>
        <v/>
      </c>
      <c r="J74" s="520" t="str">
        <f>IF(B74="","",IF(ISNA(VLOOKUP($B74,'B-1 Site Hedge Baseline'!$B$1:$L$257,11,FALSE)),"",(VLOOKUP($B74,'B-1 Site Hedge Baseline'!$B$1:$L$257,11,FALSE))))</f>
        <v/>
      </c>
      <c r="K74" s="520" t="str">
        <f>IF(B74="","",IF(ISNA(VLOOKUP($B74,'B-1 Site Hedge Baseline'!$B$1:$U$257,13,FALSE)),"",(VLOOKUP($B74,'B-1 Site Hedge Baseline'!$B$1:$U$257,13,FALSE))))</f>
        <v/>
      </c>
      <c r="L74" s="524" t="str">
        <f>IF(B74="","",IF(ISNA(VLOOKUP($B74,'B-1 Site Hedge Baseline'!$B$1:$U$257,12,FALSE)),"",(VLOOKUP($B74,'B-1 Site Hedge Baseline'!$B$1:$U$257,12,FALSE))))</f>
        <v/>
      </c>
      <c r="M74" s="416" t="str">
        <f t="shared" si="0"/>
        <v/>
      </c>
      <c r="N74" s="498" t="str">
        <f>IFERROR(IF(B74="","",INDEX('G-6 Hedgerow Data'!$AN$3:$AZ$15,MATCH(C74,'G-6 Hedgerow Data'!$AM$3:$AM$15,0),MATCH(M74,'G-6 Hedgerow Data'!$AN$2:$AZ$2,0))),"")</f>
        <v/>
      </c>
      <c r="O74" s="499" t="str">
        <f t="shared" si="2"/>
        <v/>
      </c>
      <c r="P74" s="559" t="str">
        <f>IF(B74="","",VLOOKUP(B74,'B-1 Site Hedge Baseline'!$B$10:T319,16,FALSE))</f>
        <v/>
      </c>
      <c r="Q74" s="498" t="str">
        <f>IF(M74="","",VLOOKUP(M74,'G-6 Hedgerow Data'!$B$2:$AG$15,2,FALSE))</f>
        <v/>
      </c>
      <c r="R74" s="499" t="str">
        <f>IF(M74="","",VLOOKUP(M74,'G-6 Hedgerow Data'!$B$2:$AG$15,3,FALSE))</f>
        <v/>
      </c>
      <c r="S74" s="157"/>
      <c r="T74" s="540" t="str">
        <f>IFERROR(VLOOKUP(S74,'G-1 All Habitats'!$Z$2:$AA$9,2,FALSE),"")</f>
        <v/>
      </c>
      <c r="U74" s="154"/>
      <c r="V74" s="520" t="str">
        <f>IF(U74="","",IF(VLOOKUP(U74,'G-3 Multipliers'!$L$3:$N$6,2,FALSE)=0,"Spatial Data Missing ⚠",VLOOKUP(U74,'G-3 Multipliers'!$L$3:$N$6,2,FALSE)))</f>
        <v/>
      </c>
      <c r="W74" s="524" t="str">
        <f>IF(U74="","",IF(VLOOKUP(U74,'G-3 Multipliers'!$L$3:$N$6,3,FALSE)=0,"Spatial Data Missing ⚠",VLOOKUP(U74,'G-3 Multipliers'!$L$3:$N$6,3,FALSE)))</f>
        <v/>
      </c>
      <c r="X74" s="498" t="str">
        <f>IFERROR(IF(OR(LEFT(O74,5)="Error ▲",LEFT(N74,5)="Error ▲",T74="Error ▲"),"Check Data ⚠",IF(F74&lt;R74,INDEX('G-6 Hedgerow Data'!$S$3:$AE$14,MATCH(C74,'G-6 Hedgerow Data'!$B$3:$B$14,0),MATCH(M74,'G-6 Hedgerow Data'!$S$2:$AE$2,0)),INDEX('G-6 Hedgerow Data'!$K$3:$Q$14,MATCH(M74,'G-6 Hedgerow Data'!$B$3:$B$14,0),MATCH(O74,'G-6 Hedgerow Data'!$K$2:$Q$2,0)))),"")</f>
        <v/>
      </c>
      <c r="Y74" s="195"/>
      <c r="Z74" s="195"/>
      <c r="AA74" s="507" t="str">
        <f t="shared" si="3"/>
        <v/>
      </c>
      <c r="AB74" s="521" t="str">
        <f t="shared" si="4"/>
        <v/>
      </c>
      <c r="AC74" s="522" t="str">
        <f t="shared" si="1"/>
        <v/>
      </c>
      <c r="AD74" s="537" t="str">
        <f>IF(M74="","",VLOOKUP(M74,'G-6 Hedgerow Data'!$B$3:$AG$15,31,FALSE))</f>
        <v/>
      </c>
      <c r="AE74" s="507" t="str">
        <f t="shared" si="5"/>
        <v/>
      </c>
      <c r="AF74" s="507" t="str">
        <f t="shared" si="6"/>
        <v/>
      </c>
      <c r="AG74" s="524" t="str">
        <f>IFERROR(IF(O74="","",VLOOKUP(AD74,'G-3 Multipliers'!$P$3:$Q$6,2,FALSE)),"")</f>
        <v/>
      </c>
      <c r="AH74" s="513" t="str">
        <f t="shared" si="7"/>
        <v/>
      </c>
      <c r="AI74" s="231"/>
      <c r="AJ74" s="150"/>
      <c r="AT74" s="31" t="str">
        <f>IFERROR(INDEX('G-6 Hedgerow Data'!$BJ$3:$BJ$15,MATCH(M74,'G-6 Hedgerow Data'!$B$3:$B$15,0)),"")</f>
        <v/>
      </c>
    </row>
    <row r="75" spans="2:46" ht="14" x14ac:dyDescent="0.3">
      <c r="B75" s="531" t="str">
        <f>'B-1 Site Hedge Baseline'!AK73</f>
        <v/>
      </c>
      <c r="C75" s="520" t="str">
        <f>IF(B75="","",IF(ISNA(VLOOKUP($B75,'B-1 Site Hedge Baseline'!$B$1:$L$257,3,FALSE)),"",(VLOOKUP($B75,'B-1 Site Hedge Baseline'!$B$1:$L$257,3,FALSE))))</f>
        <v/>
      </c>
      <c r="D75" s="520" t="str">
        <f>IF(B75="","",IF(ISNA(VLOOKUP($B75,'B-1 Site Hedge Baseline'!$B$1:$L$257,4,FALSE)),"",(VLOOKUP($B75,'B-1 Site Hedge Baseline'!$B$1:$L$257,4,FALSE))))</f>
        <v/>
      </c>
      <c r="E75" s="520" t="str">
        <f>IF(B75="","",IF(ISNA(VLOOKUP($B75,'B-1 Site Hedge Baseline'!$B$1:$L$257,5,FALSE)),"",(VLOOKUP($B75,'B-1 Site Hedge Baseline'!$B$1:$L$257,5,FALSE))))</f>
        <v/>
      </c>
      <c r="F75" s="520" t="str">
        <f>IF(B75="","",IF(ISNA(VLOOKUP($B75,'B-1 Site Hedge Baseline'!$B$1:$L$257,6,FALSE)),"",(VLOOKUP($B75,'B-1 Site Hedge Baseline'!$B$1:$L$257,6,FALSE))))</f>
        <v/>
      </c>
      <c r="G75" s="520" t="str">
        <f>IF(B75="","",IF(ISNA(VLOOKUP($B75,'B-1 Site Hedge Baseline'!$B$1:$L$257,7,FALSE)),"",(VLOOKUP($B75,'B-1 Site Hedge Baseline'!$B$1:$L$257,7,FALSE))))</f>
        <v/>
      </c>
      <c r="H75" s="520" t="str">
        <f>IF(B75="","",IF(ISNA(VLOOKUP($B75,'B-1 Site Hedge Baseline'!$B$1:$L$257,8,FALSE)),"",(VLOOKUP($B75,'B-1 Site Hedge Baseline'!$B$1:$L$257,8,FALSE))))</f>
        <v/>
      </c>
      <c r="I75" s="520" t="str">
        <f>IF(B75="","",IF(ISNA(VLOOKUP($B75,'B-1 Site Hedge Baseline'!$B$1:$L$257,10,FALSE)),"",(VLOOKUP($B75,'B-1 Site Hedge Baseline'!$B$1:$L$257,10,FALSE))))</f>
        <v/>
      </c>
      <c r="J75" s="520" t="str">
        <f>IF(B75="","",IF(ISNA(VLOOKUP($B75,'B-1 Site Hedge Baseline'!$B$1:$L$257,11,FALSE)),"",(VLOOKUP($B75,'B-1 Site Hedge Baseline'!$B$1:$L$257,11,FALSE))))</f>
        <v/>
      </c>
      <c r="K75" s="520" t="str">
        <f>IF(B75="","",IF(ISNA(VLOOKUP($B75,'B-1 Site Hedge Baseline'!$B$1:$U$257,13,FALSE)),"",(VLOOKUP($B75,'B-1 Site Hedge Baseline'!$B$1:$U$257,13,FALSE))))</f>
        <v/>
      </c>
      <c r="L75" s="524" t="str">
        <f>IF(B75="","",IF(ISNA(VLOOKUP($B75,'B-1 Site Hedge Baseline'!$B$1:$U$257,12,FALSE)),"",(VLOOKUP($B75,'B-1 Site Hedge Baseline'!$B$1:$U$257,12,FALSE))))</f>
        <v/>
      </c>
      <c r="M75" s="416" t="str">
        <f t="shared" si="0"/>
        <v/>
      </c>
      <c r="N75" s="498" t="str">
        <f>IFERROR(IF(B75="","",INDEX('G-6 Hedgerow Data'!$AN$3:$AZ$15,MATCH(C75,'G-6 Hedgerow Data'!$AM$3:$AM$15,0),MATCH(M75,'G-6 Hedgerow Data'!$AN$2:$AZ$2,0))),"")</f>
        <v/>
      </c>
      <c r="O75" s="499" t="str">
        <f t="shared" si="2"/>
        <v/>
      </c>
      <c r="P75" s="559" t="str">
        <f>IF(B75="","",VLOOKUP(B75,'B-1 Site Hedge Baseline'!$B$10:T320,16,FALSE))</f>
        <v/>
      </c>
      <c r="Q75" s="498" t="str">
        <f>IF(M75="","",VLOOKUP(M75,'G-6 Hedgerow Data'!$B$2:$AG$15,2,FALSE))</f>
        <v/>
      </c>
      <c r="R75" s="499" t="str">
        <f>IF(M75="","",VLOOKUP(M75,'G-6 Hedgerow Data'!$B$2:$AG$15,3,FALSE))</f>
        <v/>
      </c>
      <c r="S75" s="157"/>
      <c r="T75" s="540" t="str">
        <f>IFERROR(VLOOKUP(S75,'G-1 All Habitats'!$Z$2:$AA$9,2,FALSE),"")</f>
        <v/>
      </c>
      <c r="U75" s="154"/>
      <c r="V75" s="520" t="str">
        <f>IF(U75="","",IF(VLOOKUP(U75,'G-3 Multipliers'!$L$3:$N$6,2,FALSE)=0,"Spatial Data Missing ⚠",VLOOKUP(U75,'G-3 Multipliers'!$L$3:$N$6,2,FALSE)))</f>
        <v/>
      </c>
      <c r="W75" s="524" t="str">
        <f>IF(U75="","",IF(VLOOKUP(U75,'G-3 Multipliers'!$L$3:$N$6,3,FALSE)=0,"Spatial Data Missing ⚠",VLOOKUP(U75,'G-3 Multipliers'!$L$3:$N$6,3,FALSE)))</f>
        <v/>
      </c>
      <c r="X75" s="498" t="str">
        <f>IFERROR(IF(OR(LEFT(O75,5)="Error ▲",LEFT(N75,5)="Error ▲",T75="Error ▲"),"Check Data ⚠",IF(F75&lt;R75,INDEX('G-6 Hedgerow Data'!$S$3:$AE$14,MATCH(C75,'G-6 Hedgerow Data'!$B$3:$B$14,0),MATCH(M75,'G-6 Hedgerow Data'!$S$2:$AE$2,0)),INDEX('G-6 Hedgerow Data'!$K$3:$Q$14,MATCH(M75,'G-6 Hedgerow Data'!$B$3:$B$14,0),MATCH(O75,'G-6 Hedgerow Data'!$K$2:$Q$2,0)))),"")</f>
        <v/>
      </c>
      <c r="Y75" s="195"/>
      <c r="Z75" s="195"/>
      <c r="AA75" s="507" t="str">
        <f t="shared" si="3"/>
        <v/>
      </c>
      <c r="AB75" s="521" t="str">
        <f t="shared" si="4"/>
        <v/>
      </c>
      <c r="AC75" s="522" t="str">
        <f t="shared" si="1"/>
        <v/>
      </c>
      <c r="AD75" s="537" t="str">
        <f>IF(M75="","",VLOOKUP(M75,'G-6 Hedgerow Data'!$B$3:$AG$15,31,FALSE))</f>
        <v/>
      </c>
      <c r="AE75" s="507" t="str">
        <f t="shared" si="5"/>
        <v/>
      </c>
      <c r="AF75" s="507" t="str">
        <f t="shared" si="6"/>
        <v/>
      </c>
      <c r="AG75" s="524" t="str">
        <f>IFERROR(IF(O75="","",VLOOKUP(AD75,'G-3 Multipliers'!$P$3:$Q$6,2,FALSE)),"")</f>
        <v/>
      </c>
      <c r="AH75" s="513" t="str">
        <f t="shared" si="7"/>
        <v/>
      </c>
      <c r="AI75" s="231"/>
      <c r="AJ75" s="150"/>
      <c r="AT75" s="31" t="str">
        <f>IFERROR(INDEX('G-6 Hedgerow Data'!$BJ$3:$BJ$15,MATCH(M75,'G-6 Hedgerow Data'!$B$3:$B$15,0)),"")</f>
        <v/>
      </c>
    </row>
    <row r="76" spans="2:46" ht="14" x14ac:dyDescent="0.3">
      <c r="B76" s="531" t="str">
        <f>'B-1 Site Hedge Baseline'!AK74</f>
        <v/>
      </c>
      <c r="C76" s="520" t="str">
        <f>IF(B76="","",IF(ISNA(VLOOKUP($B76,'B-1 Site Hedge Baseline'!$B$1:$L$257,3,FALSE)),"",(VLOOKUP($B76,'B-1 Site Hedge Baseline'!$B$1:$L$257,3,FALSE))))</f>
        <v/>
      </c>
      <c r="D76" s="520" t="str">
        <f>IF(B76="","",IF(ISNA(VLOOKUP($B76,'B-1 Site Hedge Baseline'!$B$1:$L$257,4,FALSE)),"",(VLOOKUP($B76,'B-1 Site Hedge Baseline'!$B$1:$L$257,4,FALSE))))</f>
        <v/>
      </c>
      <c r="E76" s="520" t="str">
        <f>IF(B76="","",IF(ISNA(VLOOKUP($B76,'B-1 Site Hedge Baseline'!$B$1:$L$257,5,FALSE)),"",(VLOOKUP($B76,'B-1 Site Hedge Baseline'!$B$1:$L$257,5,FALSE))))</f>
        <v/>
      </c>
      <c r="F76" s="520" t="str">
        <f>IF(B76="","",IF(ISNA(VLOOKUP($B76,'B-1 Site Hedge Baseline'!$B$1:$L$257,6,FALSE)),"",(VLOOKUP($B76,'B-1 Site Hedge Baseline'!$B$1:$L$257,6,FALSE))))</f>
        <v/>
      </c>
      <c r="G76" s="520" t="str">
        <f>IF(B76="","",IF(ISNA(VLOOKUP($B76,'B-1 Site Hedge Baseline'!$B$1:$L$257,7,FALSE)),"",(VLOOKUP($B76,'B-1 Site Hedge Baseline'!$B$1:$L$257,7,FALSE))))</f>
        <v/>
      </c>
      <c r="H76" s="520" t="str">
        <f>IF(B76="","",IF(ISNA(VLOOKUP($B76,'B-1 Site Hedge Baseline'!$B$1:$L$257,8,FALSE)),"",(VLOOKUP($B76,'B-1 Site Hedge Baseline'!$B$1:$L$257,8,FALSE))))</f>
        <v/>
      </c>
      <c r="I76" s="520" t="str">
        <f>IF(B76="","",IF(ISNA(VLOOKUP($B76,'B-1 Site Hedge Baseline'!$B$1:$L$257,10,FALSE)),"",(VLOOKUP($B76,'B-1 Site Hedge Baseline'!$B$1:$L$257,10,FALSE))))</f>
        <v/>
      </c>
      <c r="J76" s="520" t="str">
        <f>IF(B76="","",IF(ISNA(VLOOKUP($B76,'B-1 Site Hedge Baseline'!$B$1:$L$257,11,FALSE)),"",(VLOOKUP($B76,'B-1 Site Hedge Baseline'!$B$1:$L$257,11,FALSE))))</f>
        <v/>
      </c>
      <c r="K76" s="520" t="str">
        <f>IF(B76="","",IF(ISNA(VLOOKUP($B76,'B-1 Site Hedge Baseline'!$B$1:$U$257,13,FALSE)),"",(VLOOKUP($B76,'B-1 Site Hedge Baseline'!$B$1:$U$257,13,FALSE))))</f>
        <v/>
      </c>
      <c r="L76" s="524" t="str">
        <f>IF(B76="","",IF(ISNA(VLOOKUP($B76,'B-1 Site Hedge Baseline'!$B$1:$U$257,12,FALSE)),"",(VLOOKUP($B76,'B-1 Site Hedge Baseline'!$B$1:$U$257,12,FALSE))))</f>
        <v/>
      </c>
      <c r="M76" s="416" t="str">
        <f t="shared" si="0"/>
        <v/>
      </c>
      <c r="N76" s="498" t="str">
        <f>IFERROR(IF(B76="","",INDEX('G-6 Hedgerow Data'!$AN$3:$AZ$15,MATCH(C76,'G-6 Hedgerow Data'!$AM$3:$AM$15,0),MATCH(M76,'G-6 Hedgerow Data'!$AN$2:$AZ$2,0))),"")</f>
        <v/>
      </c>
      <c r="O76" s="499" t="str">
        <f t="shared" si="2"/>
        <v/>
      </c>
      <c r="P76" s="559" t="str">
        <f>IF(B76="","",VLOOKUP(B76,'B-1 Site Hedge Baseline'!$B$10:T321,16,FALSE))</f>
        <v/>
      </c>
      <c r="Q76" s="498" t="str">
        <f>IF(M76="","",VLOOKUP(M76,'G-6 Hedgerow Data'!$B$2:$AG$15,2,FALSE))</f>
        <v/>
      </c>
      <c r="R76" s="499" t="str">
        <f>IF(M76="","",VLOOKUP(M76,'G-6 Hedgerow Data'!$B$2:$AG$15,3,FALSE))</f>
        <v/>
      </c>
      <c r="S76" s="157"/>
      <c r="T76" s="540" t="str">
        <f>IFERROR(VLOOKUP(S76,'G-1 All Habitats'!$Z$2:$AA$9,2,FALSE),"")</f>
        <v/>
      </c>
      <c r="U76" s="154"/>
      <c r="V76" s="520" t="str">
        <f>IF(U76="","",IF(VLOOKUP(U76,'G-3 Multipliers'!$L$3:$N$6,2,FALSE)=0,"Spatial Data Missing ⚠",VLOOKUP(U76,'G-3 Multipliers'!$L$3:$N$6,2,FALSE)))</f>
        <v/>
      </c>
      <c r="W76" s="524" t="str">
        <f>IF(U76="","",IF(VLOOKUP(U76,'G-3 Multipliers'!$L$3:$N$6,3,FALSE)=0,"Spatial Data Missing ⚠",VLOOKUP(U76,'G-3 Multipliers'!$L$3:$N$6,3,FALSE)))</f>
        <v/>
      </c>
      <c r="X76" s="498" t="str">
        <f>IFERROR(IF(OR(LEFT(O76,5)="Error ▲",LEFT(N76,5)="Error ▲",T76="Error ▲"),"Check Data ⚠",IF(F76&lt;R76,INDEX('G-6 Hedgerow Data'!$S$3:$AE$14,MATCH(C76,'G-6 Hedgerow Data'!$B$3:$B$14,0),MATCH(M76,'G-6 Hedgerow Data'!$S$2:$AE$2,0)),INDEX('G-6 Hedgerow Data'!$K$3:$Q$14,MATCH(M76,'G-6 Hedgerow Data'!$B$3:$B$14,0),MATCH(O76,'G-6 Hedgerow Data'!$K$2:$Q$2,0)))),"")</f>
        <v/>
      </c>
      <c r="Y76" s="195"/>
      <c r="Z76" s="195"/>
      <c r="AA76" s="507" t="str">
        <f t="shared" si="3"/>
        <v/>
      </c>
      <c r="AB76" s="521" t="str">
        <f t="shared" si="4"/>
        <v/>
      </c>
      <c r="AC76" s="522" t="str">
        <f t="shared" ref="AC76:AC139" si="8">IF(OR(S76="",M76=""),"",IF(LEFT(AB76,5)="Error ▲","Check Data ⚠",IF(AB76="Check Data ⚠","Check Data ⚠",VLOOKUP(AB76,TemporalMultipliers,3,FALSE))))</f>
        <v/>
      </c>
      <c r="AD76" s="537" t="str">
        <f>IF(M76="","",VLOOKUP(M76,'G-6 Hedgerow Data'!$B$3:$AG$15,31,FALSE))</f>
        <v/>
      </c>
      <c r="AE76" s="507" t="str">
        <f t="shared" si="5"/>
        <v/>
      </c>
      <c r="AF76" s="507" t="str">
        <f t="shared" si="6"/>
        <v/>
      </c>
      <c r="AG76" s="524" t="str">
        <f>IFERROR(IF(O76="","",VLOOKUP(AD76,'G-3 Multipliers'!$P$3:$Q$6,2,FALSE)),"")</f>
        <v/>
      </c>
      <c r="AH76" s="513" t="str">
        <f t="shared" ref="AH76:AH139" si="9">IFERROR(IF(OR(M76="",S76="",U76=""),"",(((((P76*R76*T76)-(P76*F76*H76))*(AG76*AC76))+(P76*F76*H76))*(W76))),"")</f>
        <v/>
      </c>
      <c r="AI76" s="231"/>
      <c r="AJ76" s="150"/>
      <c r="AT76" s="31" t="str">
        <f>IFERROR(INDEX('G-6 Hedgerow Data'!$BJ$3:$BJ$15,MATCH(M76,'G-6 Hedgerow Data'!$B$3:$B$15,0)),"")</f>
        <v/>
      </c>
    </row>
    <row r="77" spans="2:46" ht="14" x14ac:dyDescent="0.3">
      <c r="B77" s="531" t="str">
        <f>'B-1 Site Hedge Baseline'!AK75</f>
        <v/>
      </c>
      <c r="C77" s="520" t="str">
        <f>IF(B77="","",IF(ISNA(VLOOKUP($B77,'B-1 Site Hedge Baseline'!$B$1:$L$257,3,FALSE)),"",(VLOOKUP($B77,'B-1 Site Hedge Baseline'!$B$1:$L$257,3,FALSE))))</f>
        <v/>
      </c>
      <c r="D77" s="520" t="str">
        <f>IF(B77="","",IF(ISNA(VLOOKUP($B77,'B-1 Site Hedge Baseline'!$B$1:$L$257,4,FALSE)),"",(VLOOKUP($B77,'B-1 Site Hedge Baseline'!$B$1:$L$257,4,FALSE))))</f>
        <v/>
      </c>
      <c r="E77" s="520" t="str">
        <f>IF(B77="","",IF(ISNA(VLOOKUP($B77,'B-1 Site Hedge Baseline'!$B$1:$L$257,5,FALSE)),"",(VLOOKUP($B77,'B-1 Site Hedge Baseline'!$B$1:$L$257,5,FALSE))))</f>
        <v/>
      </c>
      <c r="F77" s="520" t="str">
        <f>IF(B77="","",IF(ISNA(VLOOKUP($B77,'B-1 Site Hedge Baseline'!$B$1:$L$257,6,FALSE)),"",(VLOOKUP($B77,'B-1 Site Hedge Baseline'!$B$1:$L$257,6,FALSE))))</f>
        <v/>
      </c>
      <c r="G77" s="520" t="str">
        <f>IF(B77="","",IF(ISNA(VLOOKUP($B77,'B-1 Site Hedge Baseline'!$B$1:$L$257,7,FALSE)),"",(VLOOKUP($B77,'B-1 Site Hedge Baseline'!$B$1:$L$257,7,FALSE))))</f>
        <v/>
      </c>
      <c r="H77" s="520" t="str">
        <f>IF(B77="","",IF(ISNA(VLOOKUP($B77,'B-1 Site Hedge Baseline'!$B$1:$L$257,8,FALSE)),"",(VLOOKUP($B77,'B-1 Site Hedge Baseline'!$B$1:$L$257,8,FALSE))))</f>
        <v/>
      </c>
      <c r="I77" s="520" t="str">
        <f>IF(B77="","",IF(ISNA(VLOOKUP($B77,'B-1 Site Hedge Baseline'!$B$1:$L$257,10,FALSE)),"",(VLOOKUP($B77,'B-1 Site Hedge Baseline'!$B$1:$L$257,10,FALSE))))</f>
        <v/>
      </c>
      <c r="J77" s="520" t="str">
        <f>IF(B77="","",IF(ISNA(VLOOKUP($B77,'B-1 Site Hedge Baseline'!$B$1:$L$257,11,FALSE)),"",(VLOOKUP($B77,'B-1 Site Hedge Baseline'!$B$1:$L$257,11,FALSE))))</f>
        <v/>
      </c>
      <c r="K77" s="520" t="str">
        <f>IF(B77="","",IF(ISNA(VLOOKUP($B77,'B-1 Site Hedge Baseline'!$B$1:$U$257,13,FALSE)),"",(VLOOKUP($B77,'B-1 Site Hedge Baseline'!$B$1:$U$257,13,FALSE))))</f>
        <v/>
      </c>
      <c r="L77" s="524" t="str">
        <f>IF(B77="","",IF(ISNA(VLOOKUP($B77,'B-1 Site Hedge Baseline'!$B$1:$U$257,12,FALSE)),"",(VLOOKUP($B77,'B-1 Site Hedge Baseline'!$B$1:$U$257,12,FALSE))))</f>
        <v/>
      </c>
      <c r="M77" s="416" t="str">
        <f t="shared" si="0"/>
        <v/>
      </c>
      <c r="N77" s="498" t="str">
        <f>IFERROR(IF(B77="","",INDEX('G-6 Hedgerow Data'!$AN$3:$AZ$15,MATCH(C77,'G-6 Hedgerow Data'!$AM$3:$AM$15,0),MATCH(M77,'G-6 Hedgerow Data'!$AN$2:$AZ$2,0))),"")</f>
        <v/>
      </c>
      <c r="O77" s="499" t="str">
        <f t="shared" ref="O77:O140" si="10">IFERROR(IF(B77="","",IF(AND(LEFT(C77,55)&lt;&gt;LEFT(M77,55),N77="High - High"),"Error - Not like for like ▲",IF(AND(LEFT(C77,55)&lt;&gt;LEFT(M77,55),N77="Medium - Medium"),"Error - Not like for like ▲",IF(H77&gt;T77,"Error - Can not reduce condition ▲",IF(AND(F77=R77,H77=T77),"Error - No enhancement ▲",IF(AND(C77&lt;&gt;M77,F77&lt;R77),"Lower Distinctiveness Habitat"&amp;" - "&amp;S77,G77&amp;" - "&amp;S77)))))),"")</f>
        <v/>
      </c>
      <c r="P77" s="559" t="str">
        <f>IF(B77="","",VLOOKUP(B77,'B-1 Site Hedge Baseline'!$B$10:T322,16,FALSE))</f>
        <v/>
      </c>
      <c r="Q77" s="498" t="str">
        <f>IF(M77="","",VLOOKUP(M77,'G-6 Hedgerow Data'!$B$2:$AG$15,2,FALSE))</f>
        <v/>
      </c>
      <c r="R77" s="499" t="str">
        <f>IF(M77="","",VLOOKUP(M77,'G-6 Hedgerow Data'!$B$2:$AG$15,3,FALSE))</f>
        <v/>
      </c>
      <c r="S77" s="157"/>
      <c r="T77" s="540" t="str">
        <f>IFERROR(VLOOKUP(S77,'G-1 All Habitats'!$Z$2:$AA$9,2,FALSE),"")</f>
        <v/>
      </c>
      <c r="U77" s="154"/>
      <c r="V77" s="520" t="str">
        <f>IF(U77="","",IF(VLOOKUP(U77,'G-3 Multipliers'!$L$3:$N$6,2,FALSE)=0,"Spatial Data Missing ⚠",VLOOKUP(U77,'G-3 Multipliers'!$L$3:$N$6,2,FALSE)))</f>
        <v/>
      </c>
      <c r="W77" s="524" t="str">
        <f>IF(U77="","",IF(VLOOKUP(U77,'G-3 Multipliers'!$L$3:$N$6,3,FALSE)=0,"Spatial Data Missing ⚠",VLOOKUP(U77,'G-3 Multipliers'!$L$3:$N$6,3,FALSE)))</f>
        <v/>
      </c>
      <c r="X77" s="498" t="str">
        <f>IFERROR(IF(OR(LEFT(O77,5)="Error ▲",LEFT(N77,5)="Error ▲",T77="Error ▲"),"Check Data ⚠",IF(F77&lt;R77,INDEX('G-6 Hedgerow Data'!$S$3:$AE$14,MATCH(C77,'G-6 Hedgerow Data'!$B$3:$B$14,0),MATCH(M77,'G-6 Hedgerow Data'!$S$2:$AE$2,0)),INDEX('G-6 Hedgerow Data'!$K$3:$Q$14,MATCH(M77,'G-6 Hedgerow Data'!$B$3:$B$14,0),MATCH(O77,'G-6 Hedgerow Data'!$K$2:$Q$2,0)))),"")</f>
        <v/>
      </c>
      <c r="Y77" s="195"/>
      <c r="Z77" s="195"/>
      <c r="AA77" s="507" t="str">
        <f t="shared" ref="AA77:AA140" si="11">IF(X77="Check Data ⚠","Check Data ⚠",IF(M77="","",IF(AND(Y77&gt;0,Z77&gt;0),"Error -both advance and delayed habitat creation ▲",IF(AND(OR(Y77="Habitat already in target condition",X77&lt;=Y77),Z77=0),"Check details - Is there evidence that habitat has reached target condition? ⚠",IF(X77="","",IF(Y77&gt;0,"Check details - Is there evidence habitat creation started/in place? ⚠",IF(Z77&gt;0,"Check details- Delay in starting habitat in required condition? ⚠","Standard time to target condition applied")))))))</f>
        <v/>
      </c>
      <c r="AB77" s="521" t="str">
        <f t="shared" ref="AB77:AB140" si="12">IF(X77="","",IF(AA77="Check Data ⚠","Check Data ⚠",IF(Y77="30+",0,IF(Z77="30+","30+ ⚠",IF(X77+Z77&gt;30,"30+ ⚠",IF(LEFT(AA77,5)="Error ▲","Check Data ⚠",IF(X77+Z77-Y77&gt;0,X77+Z77-Y77,IF(X77-Y77&lt;=0,0,))))))))</f>
        <v/>
      </c>
      <c r="AC77" s="522" t="str">
        <f t="shared" si="8"/>
        <v/>
      </c>
      <c r="AD77" s="537" t="str">
        <f>IF(M77="","",VLOOKUP(M77,'G-6 Hedgerow Data'!$B$3:$AG$15,31,FALSE))</f>
        <v/>
      </c>
      <c r="AE77" s="507" t="str">
        <f t="shared" ref="AE77:AE140" si="13">IF(M77="","",IF(OR(LEFT(AA77,5)="Error ▲",AA77="Check Data ⚠"),"Check Data ⚠",IF(X77="","",IF($AA77="Check details - Is there evidence that habitat has reached target condition? ⚠","Low Difficulty - only applicable if all habitat created before losses ⚠","Standard difficulty applied"))))</f>
        <v/>
      </c>
      <c r="AF77" s="507" t="str">
        <f t="shared" ref="AF77:AF140" si="14">(IF(AND(AE77="Standard difficulty applied",X77&gt;Y77),AD77,IF(AND(AE77="Low Difficulty - only applicable if all habitat created before losses ⚠",Y77&gt;=X77),"Low",AD77)))</f>
        <v/>
      </c>
      <c r="AG77" s="524" t="str">
        <f>IFERROR(IF(O77="","",VLOOKUP(AD77,'G-3 Multipliers'!$P$3:$Q$6,2,FALSE)),"")</f>
        <v/>
      </c>
      <c r="AH77" s="513" t="str">
        <f t="shared" si="9"/>
        <v/>
      </c>
      <c r="AI77" s="231"/>
      <c r="AJ77" s="150"/>
      <c r="AT77" s="31" t="str">
        <f>IFERROR(INDEX('G-6 Hedgerow Data'!$BJ$3:$BJ$15,MATCH(M77,'G-6 Hedgerow Data'!$B$3:$B$15,0)),"")</f>
        <v/>
      </c>
    </row>
    <row r="78" spans="2:46" ht="14" x14ac:dyDescent="0.3">
      <c r="B78" s="531" t="str">
        <f>'B-1 Site Hedge Baseline'!AK76</f>
        <v/>
      </c>
      <c r="C78" s="520" t="str">
        <f>IF(B78="","",IF(ISNA(VLOOKUP($B78,'B-1 Site Hedge Baseline'!$B$1:$L$257,3,FALSE)),"",(VLOOKUP($B78,'B-1 Site Hedge Baseline'!$B$1:$L$257,3,FALSE))))</f>
        <v/>
      </c>
      <c r="D78" s="520" t="str">
        <f>IF(B78="","",IF(ISNA(VLOOKUP($B78,'B-1 Site Hedge Baseline'!$B$1:$L$257,4,FALSE)),"",(VLOOKUP($B78,'B-1 Site Hedge Baseline'!$B$1:$L$257,4,FALSE))))</f>
        <v/>
      </c>
      <c r="E78" s="520" t="str">
        <f>IF(B78="","",IF(ISNA(VLOOKUP($B78,'B-1 Site Hedge Baseline'!$B$1:$L$257,5,FALSE)),"",(VLOOKUP($B78,'B-1 Site Hedge Baseline'!$B$1:$L$257,5,FALSE))))</f>
        <v/>
      </c>
      <c r="F78" s="520" t="str">
        <f>IF(B78="","",IF(ISNA(VLOOKUP($B78,'B-1 Site Hedge Baseline'!$B$1:$L$257,6,FALSE)),"",(VLOOKUP($B78,'B-1 Site Hedge Baseline'!$B$1:$L$257,6,FALSE))))</f>
        <v/>
      </c>
      <c r="G78" s="520" t="str">
        <f>IF(B78="","",IF(ISNA(VLOOKUP($B78,'B-1 Site Hedge Baseline'!$B$1:$L$257,7,FALSE)),"",(VLOOKUP($B78,'B-1 Site Hedge Baseline'!$B$1:$L$257,7,FALSE))))</f>
        <v/>
      </c>
      <c r="H78" s="520" t="str">
        <f>IF(B78="","",IF(ISNA(VLOOKUP($B78,'B-1 Site Hedge Baseline'!$B$1:$L$257,8,FALSE)),"",(VLOOKUP($B78,'B-1 Site Hedge Baseline'!$B$1:$L$257,8,FALSE))))</f>
        <v/>
      </c>
      <c r="I78" s="520" t="str">
        <f>IF(B78="","",IF(ISNA(VLOOKUP($B78,'B-1 Site Hedge Baseline'!$B$1:$L$257,10,FALSE)),"",(VLOOKUP($B78,'B-1 Site Hedge Baseline'!$B$1:$L$257,10,FALSE))))</f>
        <v/>
      </c>
      <c r="J78" s="520" t="str">
        <f>IF(B78="","",IF(ISNA(VLOOKUP($B78,'B-1 Site Hedge Baseline'!$B$1:$L$257,11,FALSE)),"",(VLOOKUP($B78,'B-1 Site Hedge Baseline'!$B$1:$L$257,11,FALSE))))</f>
        <v/>
      </c>
      <c r="K78" s="520" t="str">
        <f>IF(B78="","",IF(ISNA(VLOOKUP($B78,'B-1 Site Hedge Baseline'!$B$1:$U$257,13,FALSE)),"",(VLOOKUP($B78,'B-1 Site Hedge Baseline'!$B$1:$U$257,13,FALSE))))</f>
        <v/>
      </c>
      <c r="L78" s="524" t="str">
        <f>IF(B78="","",IF(ISNA(VLOOKUP($B78,'B-1 Site Hedge Baseline'!$B$1:$U$257,12,FALSE)),"",(VLOOKUP($B78,'B-1 Site Hedge Baseline'!$B$1:$U$257,12,FALSE))))</f>
        <v/>
      </c>
      <c r="M78" s="416" t="str">
        <f t="shared" ref="M78:M141" si="15">IF(B78="","",C78)</f>
        <v/>
      </c>
      <c r="N78" s="498" t="str">
        <f>IFERROR(IF(B78="","",INDEX('G-6 Hedgerow Data'!$AN$3:$AZ$15,MATCH(C78,'G-6 Hedgerow Data'!$AM$3:$AM$15,0),MATCH(M78,'G-6 Hedgerow Data'!$AN$2:$AZ$2,0))),"")</f>
        <v/>
      </c>
      <c r="O78" s="499" t="str">
        <f t="shared" si="10"/>
        <v/>
      </c>
      <c r="P78" s="559" t="str">
        <f>IF(B78="","",VLOOKUP(B78,'B-1 Site Hedge Baseline'!$B$10:T323,16,FALSE))</f>
        <v/>
      </c>
      <c r="Q78" s="498" t="str">
        <f>IF(M78="","",VLOOKUP(M78,'G-6 Hedgerow Data'!$B$2:$AG$15,2,FALSE))</f>
        <v/>
      </c>
      <c r="R78" s="499" t="str">
        <f>IF(M78="","",VLOOKUP(M78,'G-6 Hedgerow Data'!$B$2:$AG$15,3,FALSE))</f>
        <v/>
      </c>
      <c r="S78" s="157"/>
      <c r="T78" s="540" t="str">
        <f>IFERROR(VLOOKUP(S78,'G-1 All Habitats'!$Z$2:$AA$9,2,FALSE),"")</f>
        <v/>
      </c>
      <c r="U78" s="154"/>
      <c r="V78" s="520" t="str">
        <f>IF(U78="","",IF(VLOOKUP(U78,'G-3 Multipliers'!$L$3:$N$6,2,FALSE)=0,"Spatial Data Missing ⚠",VLOOKUP(U78,'G-3 Multipliers'!$L$3:$N$6,2,FALSE)))</f>
        <v/>
      </c>
      <c r="W78" s="524" t="str">
        <f>IF(U78="","",IF(VLOOKUP(U78,'G-3 Multipliers'!$L$3:$N$6,3,FALSE)=0,"Spatial Data Missing ⚠",VLOOKUP(U78,'G-3 Multipliers'!$L$3:$N$6,3,FALSE)))</f>
        <v/>
      </c>
      <c r="X78" s="498" t="str">
        <f>IFERROR(IF(OR(LEFT(O78,5)="Error ▲",LEFT(N78,5)="Error ▲",T78="Error ▲"),"Check Data ⚠",IF(F78&lt;R78,INDEX('G-6 Hedgerow Data'!$S$3:$AE$14,MATCH(C78,'G-6 Hedgerow Data'!$B$3:$B$14,0),MATCH(M78,'G-6 Hedgerow Data'!$S$2:$AE$2,0)),INDEX('G-6 Hedgerow Data'!$K$3:$Q$14,MATCH(M78,'G-6 Hedgerow Data'!$B$3:$B$14,0),MATCH(O78,'G-6 Hedgerow Data'!$K$2:$Q$2,0)))),"")</f>
        <v/>
      </c>
      <c r="Y78" s="195"/>
      <c r="Z78" s="195"/>
      <c r="AA78" s="507" t="str">
        <f t="shared" si="11"/>
        <v/>
      </c>
      <c r="AB78" s="521" t="str">
        <f t="shared" si="12"/>
        <v/>
      </c>
      <c r="AC78" s="522" t="str">
        <f t="shared" si="8"/>
        <v/>
      </c>
      <c r="AD78" s="537" t="str">
        <f>IF(M78="","",VLOOKUP(M78,'G-6 Hedgerow Data'!$B$3:$AG$15,31,FALSE))</f>
        <v/>
      </c>
      <c r="AE78" s="507" t="str">
        <f t="shared" si="13"/>
        <v/>
      </c>
      <c r="AF78" s="507" t="str">
        <f t="shared" si="14"/>
        <v/>
      </c>
      <c r="AG78" s="524" t="str">
        <f>IFERROR(IF(O78="","",VLOOKUP(AD78,'G-3 Multipliers'!$P$3:$Q$6,2,FALSE)),"")</f>
        <v/>
      </c>
      <c r="AH78" s="513" t="str">
        <f t="shared" si="9"/>
        <v/>
      </c>
      <c r="AI78" s="231"/>
      <c r="AJ78" s="150"/>
      <c r="AT78" s="31" t="str">
        <f>IFERROR(INDEX('G-6 Hedgerow Data'!$BJ$3:$BJ$15,MATCH(M78,'G-6 Hedgerow Data'!$B$3:$B$15,0)),"")</f>
        <v/>
      </c>
    </row>
    <row r="79" spans="2:46" ht="14" x14ac:dyDescent="0.3">
      <c r="B79" s="531" t="str">
        <f>'B-1 Site Hedge Baseline'!AK77</f>
        <v/>
      </c>
      <c r="C79" s="520" t="str">
        <f>IF(B79="","",IF(ISNA(VLOOKUP($B79,'B-1 Site Hedge Baseline'!$B$1:$L$257,3,FALSE)),"",(VLOOKUP($B79,'B-1 Site Hedge Baseline'!$B$1:$L$257,3,FALSE))))</f>
        <v/>
      </c>
      <c r="D79" s="520" t="str">
        <f>IF(B79="","",IF(ISNA(VLOOKUP($B79,'B-1 Site Hedge Baseline'!$B$1:$L$257,4,FALSE)),"",(VLOOKUP($B79,'B-1 Site Hedge Baseline'!$B$1:$L$257,4,FALSE))))</f>
        <v/>
      </c>
      <c r="E79" s="520" t="str">
        <f>IF(B79="","",IF(ISNA(VLOOKUP($B79,'B-1 Site Hedge Baseline'!$B$1:$L$257,5,FALSE)),"",(VLOOKUP($B79,'B-1 Site Hedge Baseline'!$B$1:$L$257,5,FALSE))))</f>
        <v/>
      </c>
      <c r="F79" s="520" t="str">
        <f>IF(B79="","",IF(ISNA(VLOOKUP($B79,'B-1 Site Hedge Baseline'!$B$1:$L$257,6,FALSE)),"",(VLOOKUP($B79,'B-1 Site Hedge Baseline'!$B$1:$L$257,6,FALSE))))</f>
        <v/>
      </c>
      <c r="G79" s="520" t="str">
        <f>IF(B79="","",IF(ISNA(VLOOKUP($B79,'B-1 Site Hedge Baseline'!$B$1:$L$257,7,FALSE)),"",(VLOOKUP($B79,'B-1 Site Hedge Baseline'!$B$1:$L$257,7,FALSE))))</f>
        <v/>
      </c>
      <c r="H79" s="520" t="str">
        <f>IF(B79="","",IF(ISNA(VLOOKUP($B79,'B-1 Site Hedge Baseline'!$B$1:$L$257,8,FALSE)),"",(VLOOKUP($B79,'B-1 Site Hedge Baseline'!$B$1:$L$257,8,FALSE))))</f>
        <v/>
      </c>
      <c r="I79" s="520" t="str">
        <f>IF(B79="","",IF(ISNA(VLOOKUP($B79,'B-1 Site Hedge Baseline'!$B$1:$L$257,10,FALSE)),"",(VLOOKUP($B79,'B-1 Site Hedge Baseline'!$B$1:$L$257,10,FALSE))))</f>
        <v/>
      </c>
      <c r="J79" s="520" t="str">
        <f>IF(B79="","",IF(ISNA(VLOOKUP($B79,'B-1 Site Hedge Baseline'!$B$1:$L$257,11,FALSE)),"",(VLOOKUP($B79,'B-1 Site Hedge Baseline'!$B$1:$L$257,11,FALSE))))</f>
        <v/>
      </c>
      <c r="K79" s="520" t="str">
        <f>IF(B79="","",IF(ISNA(VLOOKUP($B79,'B-1 Site Hedge Baseline'!$B$1:$U$257,13,FALSE)),"",(VLOOKUP($B79,'B-1 Site Hedge Baseline'!$B$1:$U$257,13,FALSE))))</f>
        <v/>
      </c>
      <c r="L79" s="524" t="str">
        <f>IF(B79="","",IF(ISNA(VLOOKUP($B79,'B-1 Site Hedge Baseline'!$B$1:$U$257,12,FALSE)),"",(VLOOKUP($B79,'B-1 Site Hedge Baseline'!$B$1:$U$257,12,FALSE))))</f>
        <v/>
      </c>
      <c r="M79" s="416" t="str">
        <f t="shared" si="15"/>
        <v/>
      </c>
      <c r="N79" s="498" t="str">
        <f>IFERROR(IF(B79="","",INDEX('G-6 Hedgerow Data'!$AN$3:$AZ$15,MATCH(C79,'G-6 Hedgerow Data'!$AM$3:$AM$15,0),MATCH(M79,'G-6 Hedgerow Data'!$AN$2:$AZ$2,0))),"")</f>
        <v/>
      </c>
      <c r="O79" s="499" t="str">
        <f t="shared" si="10"/>
        <v/>
      </c>
      <c r="P79" s="559" t="str">
        <f>IF(B79="","",VLOOKUP(B79,'B-1 Site Hedge Baseline'!$B$10:T324,16,FALSE))</f>
        <v/>
      </c>
      <c r="Q79" s="498" t="str">
        <f>IF(M79="","",VLOOKUP(M79,'G-6 Hedgerow Data'!$B$2:$AG$15,2,FALSE))</f>
        <v/>
      </c>
      <c r="R79" s="499" t="str">
        <f>IF(M79="","",VLOOKUP(M79,'G-6 Hedgerow Data'!$B$2:$AG$15,3,FALSE))</f>
        <v/>
      </c>
      <c r="S79" s="157"/>
      <c r="T79" s="540" t="str">
        <f>IFERROR(VLOOKUP(S79,'G-1 All Habitats'!$Z$2:$AA$9,2,FALSE),"")</f>
        <v/>
      </c>
      <c r="U79" s="154"/>
      <c r="V79" s="520" t="str">
        <f>IF(U79="","",IF(VLOOKUP(U79,'G-3 Multipliers'!$L$3:$N$6,2,FALSE)=0,"Spatial Data Missing ⚠",VLOOKUP(U79,'G-3 Multipliers'!$L$3:$N$6,2,FALSE)))</f>
        <v/>
      </c>
      <c r="W79" s="524" t="str">
        <f>IF(U79="","",IF(VLOOKUP(U79,'G-3 Multipliers'!$L$3:$N$6,3,FALSE)=0,"Spatial Data Missing ⚠",VLOOKUP(U79,'G-3 Multipliers'!$L$3:$N$6,3,FALSE)))</f>
        <v/>
      </c>
      <c r="X79" s="498" t="str">
        <f>IFERROR(IF(OR(LEFT(O79,5)="Error ▲",LEFT(N79,5)="Error ▲",T79="Error ▲"),"Check Data ⚠",IF(F79&lt;R79,INDEX('G-6 Hedgerow Data'!$S$3:$AE$14,MATCH(C79,'G-6 Hedgerow Data'!$B$3:$B$14,0),MATCH(M79,'G-6 Hedgerow Data'!$S$2:$AE$2,0)),INDEX('G-6 Hedgerow Data'!$K$3:$Q$14,MATCH(M79,'G-6 Hedgerow Data'!$B$3:$B$14,0),MATCH(O79,'G-6 Hedgerow Data'!$K$2:$Q$2,0)))),"")</f>
        <v/>
      </c>
      <c r="Y79" s="195"/>
      <c r="Z79" s="195"/>
      <c r="AA79" s="507" t="str">
        <f t="shared" si="11"/>
        <v/>
      </c>
      <c r="AB79" s="521" t="str">
        <f t="shared" si="12"/>
        <v/>
      </c>
      <c r="AC79" s="522" t="str">
        <f t="shared" si="8"/>
        <v/>
      </c>
      <c r="AD79" s="537" t="str">
        <f>IF(M79="","",VLOOKUP(M79,'G-6 Hedgerow Data'!$B$3:$AG$15,31,FALSE))</f>
        <v/>
      </c>
      <c r="AE79" s="507" t="str">
        <f t="shared" si="13"/>
        <v/>
      </c>
      <c r="AF79" s="507" t="str">
        <f t="shared" si="14"/>
        <v/>
      </c>
      <c r="AG79" s="524" t="str">
        <f>IFERROR(IF(O79="","",VLOOKUP(AD79,'G-3 Multipliers'!$P$3:$Q$6,2,FALSE)),"")</f>
        <v/>
      </c>
      <c r="AH79" s="513" t="str">
        <f t="shared" si="9"/>
        <v/>
      </c>
      <c r="AI79" s="231"/>
      <c r="AJ79" s="150"/>
      <c r="AT79" s="31" t="str">
        <f>IFERROR(INDEX('G-6 Hedgerow Data'!$BJ$3:$BJ$15,MATCH(M79,'G-6 Hedgerow Data'!$B$3:$B$15,0)),"")</f>
        <v/>
      </c>
    </row>
    <row r="80" spans="2:46" ht="14" x14ac:dyDescent="0.3">
      <c r="B80" s="531" t="str">
        <f>'B-1 Site Hedge Baseline'!AK78</f>
        <v/>
      </c>
      <c r="C80" s="520" t="str">
        <f>IF(B80="","",IF(ISNA(VLOOKUP($B80,'B-1 Site Hedge Baseline'!$B$1:$L$257,3,FALSE)),"",(VLOOKUP($B80,'B-1 Site Hedge Baseline'!$B$1:$L$257,3,FALSE))))</f>
        <v/>
      </c>
      <c r="D80" s="520" t="str">
        <f>IF(B80="","",IF(ISNA(VLOOKUP($B80,'B-1 Site Hedge Baseline'!$B$1:$L$257,4,FALSE)),"",(VLOOKUP($B80,'B-1 Site Hedge Baseline'!$B$1:$L$257,4,FALSE))))</f>
        <v/>
      </c>
      <c r="E80" s="520" t="str">
        <f>IF(B80="","",IF(ISNA(VLOOKUP($B80,'B-1 Site Hedge Baseline'!$B$1:$L$257,5,FALSE)),"",(VLOOKUP($B80,'B-1 Site Hedge Baseline'!$B$1:$L$257,5,FALSE))))</f>
        <v/>
      </c>
      <c r="F80" s="520" t="str">
        <f>IF(B80="","",IF(ISNA(VLOOKUP($B80,'B-1 Site Hedge Baseline'!$B$1:$L$257,6,FALSE)),"",(VLOOKUP($B80,'B-1 Site Hedge Baseline'!$B$1:$L$257,6,FALSE))))</f>
        <v/>
      </c>
      <c r="G80" s="520" t="str">
        <f>IF(B80="","",IF(ISNA(VLOOKUP($B80,'B-1 Site Hedge Baseline'!$B$1:$L$257,7,FALSE)),"",(VLOOKUP($B80,'B-1 Site Hedge Baseline'!$B$1:$L$257,7,FALSE))))</f>
        <v/>
      </c>
      <c r="H80" s="520" t="str">
        <f>IF(B80="","",IF(ISNA(VLOOKUP($B80,'B-1 Site Hedge Baseline'!$B$1:$L$257,8,FALSE)),"",(VLOOKUP($B80,'B-1 Site Hedge Baseline'!$B$1:$L$257,8,FALSE))))</f>
        <v/>
      </c>
      <c r="I80" s="520" t="str">
        <f>IF(B80="","",IF(ISNA(VLOOKUP($B80,'B-1 Site Hedge Baseline'!$B$1:$L$257,10,FALSE)),"",(VLOOKUP($B80,'B-1 Site Hedge Baseline'!$B$1:$L$257,10,FALSE))))</f>
        <v/>
      </c>
      <c r="J80" s="520" t="str">
        <f>IF(B80="","",IF(ISNA(VLOOKUP($B80,'B-1 Site Hedge Baseline'!$B$1:$L$257,11,FALSE)),"",(VLOOKUP($B80,'B-1 Site Hedge Baseline'!$B$1:$L$257,11,FALSE))))</f>
        <v/>
      </c>
      <c r="K80" s="520" t="str">
        <f>IF(B80="","",IF(ISNA(VLOOKUP($B80,'B-1 Site Hedge Baseline'!$B$1:$U$257,13,FALSE)),"",(VLOOKUP($B80,'B-1 Site Hedge Baseline'!$B$1:$U$257,13,FALSE))))</f>
        <v/>
      </c>
      <c r="L80" s="524" t="str">
        <f>IF(B80="","",IF(ISNA(VLOOKUP($B80,'B-1 Site Hedge Baseline'!$B$1:$U$257,12,FALSE)),"",(VLOOKUP($B80,'B-1 Site Hedge Baseline'!$B$1:$U$257,12,FALSE))))</f>
        <v/>
      </c>
      <c r="M80" s="416" t="str">
        <f t="shared" si="15"/>
        <v/>
      </c>
      <c r="N80" s="498" t="str">
        <f>IFERROR(IF(B80="","",INDEX('G-6 Hedgerow Data'!$AN$3:$AZ$15,MATCH(C80,'G-6 Hedgerow Data'!$AM$3:$AM$15,0),MATCH(M80,'G-6 Hedgerow Data'!$AN$2:$AZ$2,0))),"")</f>
        <v/>
      </c>
      <c r="O80" s="499" t="str">
        <f t="shared" si="10"/>
        <v/>
      </c>
      <c r="P80" s="559" t="str">
        <f>IF(B80="","",VLOOKUP(B80,'B-1 Site Hedge Baseline'!$B$10:T325,16,FALSE))</f>
        <v/>
      </c>
      <c r="Q80" s="498" t="str">
        <f>IF(M80="","",VLOOKUP(M80,'G-6 Hedgerow Data'!$B$2:$AG$15,2,FALSE))</f>
        <v/>
      </c>
      <c r="R80" s="499" t="str">
        <f>IF(M80="","",VLOOKUP(M80,'G-6 Hedgerow Data'!$B$2:$AG$15,3,FALSE))</f>
        <v/>
      </c>
      <c r="S80" s="157"/>
      <c r="T80" s="540" t="str">
        <f>IFERROR(VLOOKUP(S80,'G-1 All Habitats'!$Z$2:$AA$9,2,FALSE),"")</f>
        <v/>
      </c>
      <c r="U80" s="154"/>
      <c r="V80" s="520" t="str">
        <f>IF(U80="","",IF(VLOOKUP(U80,'G-3 Multipliers'!$L$3:$N$6,2,FALSE)=0,"Spatial Data Missing ⚠",VLOOKUP(U80,'G-3 Multipliers'!$L$3:$N$6,2,FALSE)))</f>
        <v/>
      </c>
      <c r="W80" s="524" t="str">
        <f>IF(U80="","",IF(VLOOKUP(U80,'G-3 Multipliers'!$L$3:$N$6,3,FALSE)=0,"Spatial Data Missing ⚠",VLOOKUP(U80,'G-3 Multipliers'!$L$3:$N$6,3,FALSE)))</f>
        <v/>
      </c>
      <c r="X80" s="498" t="str">
        <f>IFERROR(IF(OR(LEFT(O80,5)="Error ▲",LEFT(N80,5)="Error ▲",T80="Error ▲"),"Check Data ⚠",IF(F80&lt;R80,INDEX('G-6 Hedgerow Data'!$S$3:$AE$14,MATCH(C80,'G-6 Hedgerow Data'!$B$3:$B$14,0),MATCH(M80,'G-6 Hedgerow Data'!$S$2:$AE$2,0)),INDEX('G-6 Hedgerow Data'!$K$3:$Q$14,MATCH(M80,'G-6 Hedgerow Data'!$B$3:$B$14,0),MATCH(O80,'G-6 Hedgerow Data'!$K$2:$Q$2,0)))),"")</f>
        <v/>
      </c>
      <c r="Y80" s="195"/>
      <c r="Z80" s="195"/>
      <c r="AA80" s="507" t="str">
        <f t="shared" si="11"/>
        <v/>
      </c>
      <c r="AB80" s="521" t="str">
        <f t="shared" si="12"/>
        <v/>
      </c>
      <c r="AC80" s="522" t="str">
        <f t="shared" si="8"/>
        <v/>
      </c>
      <c r="AD80" s="537" t="str">
        <f>IF(M80="","",VLOOKUP(M80,'G-6 Hedgerow Data'!$B$3:$AG$15,31,FALSE))</f>
        <v/>
      </c>
      <c r="AE80" s="507" t="str">
        <f t="shared" si="13"/>
        <v/>
      </c>
      <c r="AF80" s="507" t="str">
        <f t="shared" si="14"/>
        <v/>
      </c>
      <c r="AG80" s="524" t="str">
        <f>IFERROR(IF(O80="","",VLOOKUP(AD80,'G-3 Multipliers'!$P$3:$Q$6,2,FALSE)),"")</f>
        <v/>
      </c>
      <c r="AH80" s="513" t="str">
        <f t="shared" si="9"/>
        <v/>
      </c>
      <c r="AI80" s="231"/>
      <c r="AJ80" s="150"/>
      <c r="AT80" s="31" t="str">
        <f>IFERROR(INDEX('G-6 Hedgerow Data'!$BJ$3:$BJ$15,MATCH(M80,'G-6 Hedgerow Data'!$B$3:$B$15,0)),"")</f>
        <v/>
      </c>
    </row>
    <row r="81" spans="2:46" ht="14" x14ac:dyDescent="0.3">
      <c r="B81" s="531" t="str">
        <f>'B-1 Site Hedge Baseline'!AK79</f>
        <v/>
      </c>
      <c r="C81" s="520" t="str">
        <f>IF(B81="","",IF(ISNA(VLOOKUP($B81,'B-1 Site Hedge Baseline'!$B$1:$L$257,3,FALSE)),"",(VLOOKUP($B81,'B-1 Site Hedge Baseline'!$B$1:$L$257,3,FALSE))))</f>
        <v/>
      </c>
      <c r="D81" s="520" t="str">
        <f>IF(B81="","",IF(ISNA(VLOOKUP($B81,'B-1 Site Hedge Baseline'!$B$1:$L$257,4,FALSE)),"",(VLOOKUP($B81,'B-1 Site Hedge Baseline'!$B$1:$L$257,4,FALSE))))</f>
        <v/>
      </c>
      <c r="E81" s="520" t="str">
        <f>IF(B81="","",IF(ISNA(VLOOKUP($B81,'B-1 Site Hedge Baseline'!$B$1:$L$257,5,FALSE)),"",(VLOOKUP($B81,'B-1 Site Hedge Baseline'!$B$1:$L$257,5,FALSE))))</f>
        <v/>
      </c>
      <c r="F81" s="520" t="str">
        <f>IF(B81="","",IF(ISNA(VLOOKUP($B81,'B-1 Site Hedge Baseline'!$B$1:$L$257,6,FALSE)),"",(VLOOKUP($B81,'B-1 Site Hedge Baseline'!$B$1:$L$257,6,FALSE))))</f>
        <v/>
      </c>
      <c r="G81" s="520" t="str">
        <f>IF(B81="","",IF(ISNA(VLOOKUP($B81,'B-1 Site Hedge Baseline'!$B$1:$L$257,7,FALSE)),"",(VLOOKUP($B81,'B-1 Site Hedge Baseline'!$B$1:$L$257,7,FALSE))))</f>
        <v/>
      </c>
      <c r="H81" s="520" t="str">
        <f>IF(B81="","",IF(ISNA(VLOOKUP($B81,'B-1 Site Hedge Baseline'!$B$1:$L$257,8,FALSE)),"",(VLOOKUP($B81,'B-1 Site Hedge Baseline'!$B$1:$L$257,8,FALSE))))</f>
        <v/>
      </c>
      <c r="I81" s="520" t="str">
        <f>IF(B81="","",IF(ISNA(VLOOKUP($B81,'B-1 Site Hedge Baseline'!$B$1:$L$257,10,FALSE)),"",(VLOOKUP($B81,'B-1 Site Hedge Baseline'!$B$1:$L$257,10,FALSE))))</f>
        <v/>
      </c>
      <c r="J81" s="520" t="str">
        <f>IF(B81="","",IF(ISNA(VLOOKUP($B81,'B-1 Site Hedge Baseline'!$B$1:$L$257,11,FALSE)),"",(VLOOKUP($B81,'B-1 Site Hedge Baseline'!$B$1:$L$257,11,FALSE))))</f>
        <v/>
      </c>
      <c r="K81" s="520" t="str">
        <f>IF(B81="","",IF(ISNA(VLOOKUP($B81,'B-1 Site Hedge Baseline'!$B$1:$U$257,13,FALSE)),"",(VLOOKUP($B81,'B-1 Site Hedge Baseline'!$B$1:$U$257,13,FALSE))))</f>
        <v/>
      </c>
      <c r="L81" s="524" t="str">
        <f>IF(B81="","",IF(ISNA(VLOOKUP($B81,'B-1 Site Hedge Baseline'!$B$1:$U$257,12,FALSE)),"",(VLOOKUP($B81,'B-1 Site Hedge Baseline'!$B$1:$U$257,12,FALSE))))</f>
        <v/>
      </c>
      <c r="M81" s="416" t="str">
        <f t="shared" si="15"/>
        <v/>
      </c>
      <c r="N81" s="498" t="str">
        <f>IFERROR(IF(B81="","",INDEX('G-6 Hedgerow Data'!$AN$3:$AZ$15,MATCH(C81,'G-6 Hedgerow Data'!$AM$3:$AM$15,0),MATCH(M81,'G-6 Hedgerow Data'!$AN$2:$AZ$2,0))),"")</f>
        <v/>
      </c>
      <c r="O81" s="499" t="str">
        <f t="shared" si="10"/>
        <v/>
      </c>
      <c r="P81" s="559" t="str">
        <f>IF(B81="","",VLOOKUP(B81,'B-1 Site Hedge Baseline'!$B$10:T326,16,FALSE))</f>
        <v/>
      </c>
      <c r="Q81" s="498" t="str">
        <f>IF(M81="","",VLOOKUP(M81,'G-6 Hedgerow Data'!$B$2:$AG$15,2,FALSE))</f>
        <v/>
      </c>
      <c r="R81" s="499" t="str">
        <f>IF(M81="","",VLOOKUP(M81,'G-6 Hedgerow Data'!$B$2:$AG$15,3,FALSE))</f>
        <v/>
      </c>
      <c r="S81" s="157"/>
      <c r="T81" s="540" t="str">
        <f>IFERROR(VLOOKUP(S81,'G-1 All Habitats'!$Z$2:$AA$9,2,FALSE),"")</f>
        <v/>
      </c>
      <c r="U81" s="154"/>
      <c r="V81" s="520" t="str">
        <f>IF(U81="","",IF(VLOOKUP(U81,'G-3 Multipliers'!$L$3:$N$6,2,FALSE)=0,"Spatial Data Missing ⚠",VLOOKUP(U81,'G-3 Multipliers'!$L$3:$N$6,2,FALSE)))</f>
        <v/>
      </c>
      <c r="W81" s="524" t="str">
        <f>IF(U81="","",IF(VLOOKUP(U81,'G-3 Multipliers'!$L$3:$N$6,3,FALSE)=0,"Spatial Data Missing ⚠",VLOOKUP(U81,'G-3 Multipliers'!$L$3:$N$6,3,FALSE)))</f>
        <v/>
      </c>
      <c r="X81" s="498" t="str">
        <f>IFERROR(IF(OR(LEFT(O81,5)="Error ▲",LEFT(N81,5)="Error ▲",T81="Error ▲"),"Check Data ⚠",IF(F81&lt;R81,INDEX('G-6 Hedgerow Data'!$S$3:$AE$14,MATCH(C81,'G-6 Hedgerow Data'!$B$3:$B$14,0),MATCH(M81,'G-6 Hedgerow Data'!$S$2:$AE$2,0)),INDEX('G-6 Hedgerow Data'!$K$3:$Q$14,MATCH(M81,'G-6 Hedgerow Data'!$B$3:$B$14,0),MATCH(O81,'G-6 Hedgerow Data'!$K$2:$Q$2,0)))),"")</f>
        <v/>
      </c>
      <c r="Y81" s="195"/>
      <c r="Z81" s="195"/>
      <c r="AA81" s="507" t="str">
        <f t="shared" si="11"/>
        <v/>
      </c>
      <c r="AB81" s="521" t="str">
        <f t="shared" si="12"/>
        <v/>
      </c>
      <c r="AC81" s="522" t="str">
        <f t="shared" si="8"/>
        <v/>
      </c>
      <c r="AD81" s="537" t="str">
        <f>IF(M81="","",VLOOKUP(M81,'G-6 Hedgerow Data'!$B$3:$AG$15,31,FALSE))</f>
        <v/>
      </c>
      <c r="AE81" s="507" t="str">
        <f t="shared" si="13"/>
        <v/>
      </c>
      <c r="AF81" s="507" t="str">
        <f t="shared" si="14"/>
        <v/>
      </c>
      <c r="AG81" s="524" t="str">
        <f>IFERROR(IF(O81="","",VLOOKUP(AD81,'G-3 Multipliers'!$P$3:$Q$6,2,FALSE)),"")</f>
        <v/>
      </c>
      <c r="AH81" s="513" t="str">
        <f t="shared" si="9"/>
        <v/>
      </c>
      <c r="AI81" s="231"/>
      <c r="AJ81" s="150"/>
      <c r="AT81" s="31" t="str">
        <f>IFERROR(INDEX('G-6 Hedgerow Data'!$BJ$3:$BJ$15,MATCH(M81,'G-6 Hedgerow Data'!$B$3:$B$15,0)),"")</f>
        <v/>
      </c>
    </row>
    <row r="82" spans="2:46" ht="14" x14ac:dyDescent="0.3">
      <c r="B82" s="531" t="str">
        <f>'B-1 Site Hedge Baseline'!AK80</f>
        <v/>
      </c>
      <c r="C82" s="520" t="str">
        <f>IF(B82="","",IF(ISNA(VLOOKUP($B82,'B-1 Site Hedge Baseline'!$B$1:$L$257,3,FALSE)),"",(VLOOKUP($B82,'B-1 Site Hedge Baseline'!$B$1:$L$257,3,FALSE))))</f>
        <v/>
      </c>
      <c r="D82" s="520" t="str">
        <f>IF(B82="","",IF(ISNA(VLOOKUP($B82,'B-1 Site Hedge Baseline'!$B$1:$L$257,4,FALSE)),"",(VLOOKUP($B82,'B-1 Site Hedge Baseline'!$B$1:$L$257,4,FALSE))))</f>
        <v/>
      </c>
      <c r="E82" s="520" t="str">
        <f>IF(B82="","",IF(ISNA(VLOOKUP($B82,'B-1 Site Hedge Baseline'!$B$1:$L$257,5,FALSE)),"",(VLOOKUP($B82,'B-1 Site Hedge Baseline'!$B$1:$L$257,5,FALSE))))</f>
        <v/>
      </c>
      <c r="F82" s="520" t="str">
        <f>IF(B82="","",IF(ISNA(VLOOKUP($B82,'B-1 Site Hedge Baseline'!$B$1:$L$257,6,FALSE)),"",(VLOOKUP($B82,'B-1 Site Hedge Baseline'!$B$1:$L$257,6,FALSE))))</f>
        <v/>
      </c>
      <c r="G82" s="520" t="str">
        <f>IF(B82="","",IF(ISNA(VLOOKUP($B82,'B-1 Site Hedge Baseline'!$B$1:$L$257,7,FALSE)),"",(VLOOKUP($B82,'B-1 Site Hedge Baseline'!$B$1:$L$257,7,FALSE))))</f>
        <v/>
      </c>
      <c r="H82" s="520" t="str">
        <f>IF(B82="","",IF(ISNA(VLOOKUP($B82,'B-1 Site Hedge Baseline'!$B$1:$L$257,8,FALSE)),"",(VLOOKUP($B82,'B-1 Site Hedge Baseline'!$B$1:$L$257,8,FALSE))))</f>
        <v/>
      </c>
      <c r="I82" s="520" t="str">
        <f>IF(B82="","",IF(ISNA(VLOOKUP($B82,'B-1 Site Hedge Baseline'!$B$1:$L$257,10,FALSE)),"",(VLOOKUP($B82,'B-1 Site Hedge Baseline'!$B$1:$L$257,10,FALSE))))</f>
        <v/>
      </c>
      <c r="J82" s="520" t="str">
        <f>IF(B82="","",IF(ISNA(VLOOKUP($B82,'B-1 Site Hedge Baseline'!$B$1:$L$257,11,FALSE)),"",(VLOOKUP($B82,'B-1 Site Hedge Baseline'!$B$1:$L$257,11,FALSE))))</f>
        <v/>
      </c>
      <c r="K82" s="520" t="str">
        <f>IF(B82="","",IF(ISNA(VLOOKUP($B82,'B-1 Site Hedge Baseline'!$B$1:$U$257,13,FALSE)),"",(VLOOKUP($B82,'B-1 Site Hedge Baseline'!$B$1:$U$257,13,FALSE))))</f>
        <v/>
      </c>
      <c r="L82" s="524" t="str">
        <f>IF(B82="","",IF(ISNA(VLOOKUP($B82,'B-1 Site Hedge Baseline'!$B$1:$U$257,12,FALSE)),"",(VLOOKUP($B82,'B-1 Site Hedge Baseline'!$B$1:$U$257,12,FALSE))))</f>
        <v/>
      </c>
      <c r="M82" s="416" t="str">
        <f t="shared" si="15"/>
        <v/>
      </c>
      <c r="N82" s="498" t="str">
        <f>IFERROR(IF(B82="","",INDEX('G-6 Hedgerow Data'!$AN$3:$AZ$15,MATCH(C82,'G-6 Hedgerow Data'!$AM$3:$AM$15,0),MATCH(M82,'G-6 Hedgerow Data'!$AN$2:$AZ$2,0))),"")</f>
        <v/>
      </c>
      <c r="O82" s="499" t="str">
        <f t="shared" si="10"/>
        <v/>
      </c>
      <c r="P82" s="559" t="str">
        <f>IF(B82="","",VLOOKUP(B82,'B-1 Site Hedge Baseline'!$B$10:T327,16,FALSE))</f>
        <v/>
      </c>
      <c r="Q82" s="498" t="str">
        <f>IF(M82="","",VLOOKUP(M82,'G-6 Hedgerow Data'!$B$2:$AG$15,2,FALSE))</f>
        <v/>
      </c>
      <c r="R82" s="499" t="str">
        <f>IF(M82="","",VLOOKUP(M82,'G-6 Hedgerow Data'!$B$2:$AG$15,3,FALSE))</f>
        <v/>
      </c>
      <c r="S82" s="157"/>
      <c r="T82" s="540" t="str">
        <f>IFERROR(VLOOKUP(S82,'G-1 All Habitats'!$Z$2:$AA$9,2,FALSE),"")</f>
        <v/>
      </c>
      <c r="U82" s="154"/>
      <c r="V82" s="520" t="str">
        <f>IF(U82="","",IF(VLOOKUP(U82,'G-3 Multipliers'!$L$3:$N$6,2,FALSE)=0,"Spatial Data Missing ⚠",VLOOKUP(U82,'G-3 Multipliers'!$L$3:$N$6,2,FALSE)))</f>
        <v/>
      </c>
      <c r="W82" s="524" t="str">
        <f>IF(U82="","",IF(VLOOKUP(U82,'G-3 Multipliers'!$L$3:$N$6,3,FALSE)=0,"Spatial Data Missing ⚠",VLOOKUP(U82,'G-3 Multipliers'!$L$3:$N$6,3,FALSE)))</f>
        <v/>
      </c>
      <c r="X82" s="498" t="str">
        <f>IFERROR(IF(OR(LEFT(O82,5)="Error ▲",LEFT(N82,5)="Error ▲",T82="Error ▲"),"Check Data ⚠",IF(F82&lt;R82,INDEX('G-6 Hedgerow Data'!$S$3:$AE$14,MATCH(C82,'G-6 Hedgerow Data'!$B$3:$B$14,0),MATCH(M82,'G-6 Hedgerow Data'!$S$2:$AE$2,0)),INDEX('G-6 Hedgerow Data'!$K$3:$Q$14,MATCH(M82,'G-6 Hedgerow Data'!$B$3:$B$14,0),MATCH(O82,'G-6 Hedgerow Data'!$K$2:$Q$2,0)))),"")</f>
        <v/>
      </c>
      <c r="Y82" s="195"/>
      <c r="Z82" s="195"/>
      <c r="AA82" s="507" t="str">
        <f t="shared" si="11"/>
        <v/>
      </c>
      <c r="AB82" s="521" t="str">
        <f t="shared" si="12"/>
        <v/>
      </c>
      <c r="AC82" s="522" t="str">
        <f t="shared" si="8"/>
        <v/>
      </c>
      <c r="AD82" s="537" t="str">
        <f>IF(M82="","",VLOOKUP(M82,'G-6 Hedgerow Data'!$B$3:$AG$15,31,FALSE))</f>
        <v/>
      </c>
      <c r="AE82" s="507" t="str">
        <f t="shared" si="13"/>
        <v/>
      </c>
      <c r="AF82" s="507" t="str">
        <f t="shared" si="14"/>
        <v/>
      </c>
      <c r="AG82" s="524" t="str">
        <f>IFERROR(IF(O82="","",VLOOKUP(AD82,'G-3 Multipliers'!$P$3:$Q$6,2,FALSE)),"")</f>
        <v/>
      </c>
      <c r="AH82" s="513" t="str">
        <f t="shared" si="9"/>
        <v/>
      </c>
      <c r="AI82" s="231"/>
      <c r="AJ82" s="150"/>
      <c r="AT82" s="31" t="str">
        <f>IFERROR(INDEX('G-6 Hedgerow Data'!$BJ$3:$BJ$15,MATCH(M82,'G-6 Hedgerow Data'!$B$3:$B$15,0)),"")</f>
        <v/>
      </c>
    </row>
    <row r="83" spans="2:46" ht="14" x14ac:dyDescent="0.3">
      <c r="B83" s="531" t="str">
        <f>'B-1 Site Hedge Baseline'!AK81</f>
        <v/>
      </c>
      <c r="C83" s="520" t="str">
        <f>IF(B83="","",IF(ISNA(VLOOKUP($B83,'B-1 Site Hedge Baseline'!$B$1:$L$257,3,FALSE)),"",(VLOOKUP($B83,'B-1 Site Hedge Baseline'!$B$1:$L$257,3,FALSE))))</f>
        <v/>
      </c>
      <c r="D83" s="520" t="str">
        <f>IF(B83="","",IF(ISNA(VLOOKUP($B83,'B-1 Site Hedge Baseline'!$B$1:$L$257,4,FALSE)),"",(VLOOKUP($B83,'B-1 Site Hedge Baseline'!$B$1:$L$257,4,FALSE))))</f>
        <v/>
      </c>
      <c r="E83" s="520" t="str">
        <f>IF(B83="","",IF(ISNA(VLOOKUP($B83,'B-1 Site Hedge Baseline'!$B$1:$L$257,5,FALSE)),"",(VLOOKUP($B83,'B-1 Site Hedge Baseline'!$B$1:$L$257,5,FALSE))))</f>
        <v/>
      </c>
      <c r="F83" s="520" t="str">
        <f>IF(B83="","",IF(ISNA(VLOOKUP($B83,'B-1 Site Hedge Baseline'!$B$1:$L$257,6,FALSE)),"",(VLOOKUP($B83,'B-1 Site Hedge Baseline'!$B$1:$L$257,6,FALSE))))</f>
        <v/>
      </c>
      <c r="G83" s="520" t="str">
        <f>IF(B83="","",IF(ISNA(VLOOKUP($B83,'B-1 Site Hedge Baseline'!$B$1:$L$257,7,FALSE)),"",(VLOOKUP($B83,'B-1 Site Hedge Baseline'!$B$1:$L$257,7,FALSE))))</f>
        <v/>
      </c>
      <c r="H83" s="520" t="str">
        <f>IF(B83="","",IF(ISNA(VLOOKUP($B83,'B-1 Site Hedge Baseline'!$B$1:$L$257,8,FALSE)),"",(VLOOKUP($B83,'B-1 Site Hedge Baseline'!$B$1:$L$257,8,FALSE))))</f>
        <v/>
      </c>
      <c r="I83" s="520" t="str">
        <f>IF(B83="","",IF(ISNA(VLOOKUP($B83,'B-1 Site Hedge Baseline'!$B$1:$L$257,10,FALSE)),"",(VLOOKUP($B83,'B-1 Site Hedge Baseline'!$B$1:$L$257,10,FALSE))))</f>
        <v/>
      </c>
      <c r="J83" s="520" t="str">
        <f>IF(B83="","",IF(ISNA(VLOOKUP($B83,'B-1 Site Hedge Baseline'!$B$1:$L$257,11,FALSE)),"",(VLOOKUP($B83,'B-1 Site Hedge Baseline'!$B$1:$L$257,11,FALSE))))</f>
        <v/>
      </c>
      <c r="K83" s="520" t="str">
        <f>IF(B83="","",IF(ISNA(VLOOKUP($B83,'B-1 Site Hedge Baseline'!$B$1:$U$257,13,FALSE)),"",(VLOOKUP($B83,'B-1 Site Hedge Baseline'!$B$1:$U$257,13,FALSE))))</f>
        <v/>
      </c>
      <c r="L83" s="524" t="str">
        <f>IF(B83="","",IF(ISNA(VLOOKUP($B83,'B-1 Site Hedge Baseline'!$B$1:$U$257,12,FALSE)),"",(VLOOKUP($B83,'B-1 Site Hedge Baseline'!$B$1:$U$257,12,FALSE))))</f>
        <v/>
      </c>
      <c r="M83" s="416" t="str">
        <f t="shared" si="15"/>
        <v/>
      </c>
      <c r="N83" s="498" t="str">
        <f>IFERROR(IF(B83="","",INDEX('G-6 Hedgerow Data'!$AN$3:$AZ$15,MATCH(C83,'G-6 Hedgerow Data'!$AM$3:$AM$15,0),MATCH(M83,'G-6 Hedgerow Data'!$AN$2:$AZ$2,0))),"")</f>
        <v/>
      </c>
      <c r="O83" s="499" t="str">
        <f t="shared" si="10"/>
        <v/>
      </c>
      <c r="P83" s="559" t="str">
        <f>IF(B83="","",VLOOKUP(B83,'B-1 Site Hedge Baseline'!$B$10:T328,16,FALSE))</f>
        <v/>
      </c>
      <c r="Q83" s="498" t="str">
        <f>IF(M83="","",VLOOKUP(M83,'G-6 Hedgerow Data'!$B$2:$AG$15,2,FALSE))</f>
        <v/>
      </c>
      <c r="R83" s="499" t="str">
        <f>IF(M83="","",VLOOKUP(M83,'G-6 Hedgerow Data'!$B$2:$AG$15,3,FALSE))</f>
        <v/>
      </c>
      <c r="S83" s="157"/>
      <c r="T83" s="540" t="str">
        <f>IFERROR(VLOOKUP(S83,'G-1 All Habitats'!$Z$2:$AA$9,2,FALSE),"")</f>
        <v/>
      </c>
      <c r="U83" s="154"/>
      <c r="V83" s="520" t="str">
        <f>IF(U83="","",IF(VLOOKUP(U83,'G-3 Multipliers'!$L$3:$N$6,2,FALSE)=0,"Spatial Data Missing ⚠",VLOOKUP(U83,'G-3 Multipliers'!$L$3:$N$6,2,FALSE)))</f>
        <v/>
      </c>
      <c r="W83" s="524" t="str">
        <f>IF(U83="","",IF(VLOOKUP(U83,'G-3 Multipliers'!$L$3:$N$6,3,FALSE)=0,"Spatial Data Missing ⚠",VLOOKUP(U83,'G-3 Multipliers'!$L$3:$N$6,3,FALSE)))</f>
        <v/>
      </c>
      <c r="X83" s="498" t="str">
        <f>IFERROR(IF(OR(LEFT(O83,5)="Error ▲",LEFT(N83,5)="Error ▲",T83="Error ▲"),"Check Data ⚠",IF(F83&lt;R83,INDEX('G-6 Hedgerow Data'!$S$3:$AE$14,MATCH(C83,'G-6 Hedgerow Data'!$B$3:$B$14,0),MATCH(M83,'G-6 Hedgerow Data'!$S$2:$AE$2,0)),INDEX('G-6 Hedgerow Data'!$K$3:$Q$14,MATCH(M83,'G-6 Hedgerow Data'!$B$3:$B$14,0),MATCH(O83,'G-6 Hedgerow Data'!$K$2:$Q$2,0)))),"")</f>
        <v/>
      </c>
      <c r="Y83" s="195"/>
      <c r="Z83" s="195"/>
      <c r="AA83" s="507" t="str">
        <f t="shared" si="11"/>
        <v/>
      </c>
      <c r="AB83" s="521" t="str">
        <f t="shared" si="12"/>
        <v/>
      </c>
      <c r="AC83" s="522" t="str">
        <f t="shared" si="8"/>
        <v/>
      </c>
      <c r="AD83" s="537" t="str">
        <f>IF(M83="","",VLOOKUP(M83,'G-6 Hedgerow Data'!$B$3:$AG$15,31,FALSE))</f>
        <v/>
      </c>
      <c r="AE83" s="507" t="str">
        <f t="shared" si="13"/>
        <v/>
      </c>
      <c r="AF83" s="507" t="str">
        <f t="shared" si="14"/>
        <v/>
      </c>
      <c r="AG83" s="524" t="str">
        <f>IFERROR(IF(O83="","",VLOOKUP(AD83,'G-3 Multipliers'!$P$3:$Q$6,2,FALSE)),"")</f>
        <v/>
      </c>
      <c r="AH83" s="513" t="str">
        <f t="shared" si="9"/>
        <v/>
      </c>
      <c r="AI83" s="231"/>
      <c r="AJ83" s="150"/>
      <c r="AT83" s="31" t="str">
        <f>IFERROR(INDEX('G-6 Hedgerow Data'!$BJ$3:$BJ$15,MATCH(M83,'G-6 Hedgerow Data'!$B$3:$B$15,0)),"")</f>
        <v/>
      </c>
    </row>
    <row r="84" spans="2:46" ht="14" x14ac:dyDescent="0.3">
      <c r="B84" s="531" t="str">
        <f>'B-1 Site Hedge Baseline'!AK82</f>
        <v/>
      </c>
      <c r="C84" s="520" t="str">
        <f>IF(B84="","",IF(ISNA(VLOOKUP($B84,'B-1 Site Hedge Baseline'!$B$1:$L$257,3,FALSE)),"",(VLOOKUP($B84,'B-1 Site Hedge Baseline'!$B$1:$L$257,3,FALSE))))</f>
        <v/>
      </c>
      <c r="D84" s="520" t="str">
        <f>IF(B84="","",IF(ISNA(VLOOKUP($B84,'B-1 Site Hedge Baseline'!$B$1:$L$257,4,FALSE)),"",(VLOOKUP($B84,'B-1 Site Hedge Baseline'!$B$1:$L$257,4,FALSE))))</f>
        <v/>
      </c>
      <c r="E84" s="520" t="str">
        <f>IF(B84="","",IF(ISNA(VLOOKUP($B84,'B-1 Site Hedge Baseline'!$B$1:$L$257,5,FALSE)),"",(VLOOKUP($B84,'B-1 Site Hedge Baseline'!$B$1:$L$257,5,FALSE))))</f>
        <v/>
      </c>
      <c r="F84" s="520" t="str">
        <f>IF(B84="","",IF(ISNA(VLOOKUP($B84,'B-1 Site Hedge Baseline'!$B$1:$L$257,6,FALSE)),"",(VLOOKUP($B84,'B-1 Site Hedge Baseline'!$B$1:$L$257,6,FALSE))))</f>
        <v/>
      </c>
      <c r="G84" s="520" t="str">
        <f>IF(B84="","",IF(ISNA(VLOOKUP($B84,'B-1 Site Hedge Baseline'!$B$1:$L$257,7,FALSE)),"",(VLOOKUP($B84,'B-1 Site Hedge Baseline'!$B$1:$L$257,7,FALSE))))</f>
        <v/>
      </c>
      <c r="H84" s="520" t="str">
        <f>IF(B84="","",IF(ISNA(VLOOKUP($B84,'B-1 Site Hedge Baseline'!$B$1:$L$257,8,FALSE)),"",(VLOOKUP($B84,'B-1 Site Hedge Baseline'!$B$1:$L$257,8,FALSE))))</f>
        <v/>
      </c>
      <c r="I84" s="520" t="str">
        <f>IF(B84="","",IF(ISNA(VLOOKUP($B84,'B-1 Site Hedge Baseline'!$B$1:$L$257,10,FALSE)),"",(VLOOKUP($B84,'B-1 Site Hedge Baseline'!$B$1:$L$257,10,FALSE))))</f>
        <v/>
      </c>
      <c r="J84" s="520" t="str">
        <f>IF(B84="","",IF(ISNA(VLOOKUP($B84,'B-1 Site Hedge Baseline'!$B$1:$L$257,11,FALSE)),"",(VLOOKUP($B84,'B-1 Site Hedge Baseline'!$B$1:$L$257,11,FALSE))))</f>
        <v/>
      </c>
      <c r="K84" s="520" t="str">
        <f>IF(B84="","",IF(ISNA(VLOOKUP($B84,'B-1 Site Hedge Baseline'!$B$1:$U$257,13,FALSE)),"",(VLOOKUP($B84,'B-1 Site Hedge Baseline'!$B$1:$U$257,13,FALSE))))</f>
        <v/>
      </c>
      <c r="L84" s="524" t="str">
        <f>IF(B84="","",IF(ISNA(VLOOKUP($B84,'B-1 Site Hedge Baseline'!$B$1:$U$257,12,FALSE)),"",(VLOOKUP($B84,'B-1 Site Hedge Baseline'!$B$1:$U$257,12,FALSE))))</f>
        <v/>
      </c>
      <c r="M84" s="416" t="str">
        <f t="shared" si="15"/>
        <v/>
      </c>
      <c r="N84" s="498" t="str">
        <f>IFERROR(IF(B84="","",INDEX('G-6 Hedgerow Data'!$AN$3:$AZ$15,MATCH(C84,'G-6 Hedgerow Data'!$AM$3:$AM$15,0),MATCH(M84,'G-6 Hedgerow Data'!$AN$2:$AZ$2,0))),"")</f>
        <v/>
      </c>
      <c r="O84" s="499" t="str">
        <f t="shared" si="10"/>
        <v/>
      </c>
      <c r="P84" s="559" t="str">
        <f>IF(B84="","",VLOOKUP(B84,'B-1 Site Hedge Baseline'!$B$10:T329,16,FALSE))</f>
        <v/>
      </c>
      <c r="Q84" s="498" t="str">
        <f>IF(M84="","",VLOOKUP(M84,'G-6 Hedgerow Data'!$B$2:$AG$15,2,FALSE))</f>
        <v/>
      </c>
      <c r="R84" s="499" t="str">
        <f>IF(M84="","",VLOOKUP(M84,'G-6 Hedgerow Data'!$B$2:$AG$15,3,FALSE))</f>
        <v/>
      </c>
      <c r="S84" s="157"/>
      <c r="T84" s="540" t="str">
        <f>IFERROR(VLOOKUP(S84,'G-1 All Habitats'!$Z$2:$AA$9,2,FALSE),"")</f>
        <v/>
      </c>
      <c r="U84" s="154"/>
      <c r="V84" s="520" t="str">
        <f>IF(U84="","",IF(VLOOKUP(U84,'G-3 Multipliers'!$L$3:$N$6,2,FALSE)=0,"Spatial Data Missing ⚠",VLOOKUP(U84,'G-3 Multipliers'!$L$3:$N$6,2,FALSE)))</f>
        <v/>
      </c>
      <c r="W84" s="524" t="str">
        <f>IF(U84="","",IF(VLOOKUP(U84,'G-3 Multipliers'!$L$3:$N$6,3,FALSE)=0,"Spatial Data Missing ⚠",VLOOKUP(U84,'G-3 Multipliers'!$L$3:$N$6,3,FALSE)))</f>
        <v/>
      </c>
      <c r="X84" s="498" t="str">
        <f>IFERROR(IF(OR(LEFT(O84,5)="Error ▲",LEFT(N84,5)="Error ▲",T84="Error ▲"),"Check Data ⚠",IF(F84&lt;R84,INDEX('G-6 Hedgerow Data'!$S$3:$AE$14,MATCH(C84,'G-6 Hedgerow Data'!$B$3:$B$14,0),MATCH(M84,'G-6 Hedgerow Data'!$S$2:$AE$2,0)),INDEX('G-6 Hedgerow Data'!$K$3:$Q$14,MATCH(M84,'G-6 Hedgerow Data'!$B$3:$B$14,0),MATCH(O84,'G-6 Hedgerow Data'!$K$2:$Q$2,0)))),"")</f>
        <v/>
      </c>
      <c r="Y84" s="195"/>
      <c r="Z84" s="195"/>
      <c r="AA84" s="507" t="str">
        <f t="shared" si="11"/>
        <v/>
      </c>
      <c r="AB84" s="521" t="str">
        <f t="shared" si="12"/>
        <v/>
      </c>
      <c r="AC84" s="522" t="str">
        <f t="shared" si="8"/>
        <v/>
      </c>
      <c r="AD84" s="537" t="str">
        <f>IF(M84="","",VLOOKUP(M84,'G-6 Hedgerow Data'!$B$3:$AG$15,31,FALSE))</f>
        <v/>
      </c>
      <c r="AE84" s="507" t="str">
        <f t="shared" si="13"/>
        <v/>
      </c>
      <c r="AF84" s="507" t="str">
        <f t="shared" si="14"/>
        <v/>
      </c>
      <c r="AG84" s="524" t="str">
        <f>IFERROR(IF(O84="","",VLOOKUP(AD84,'G-3 Multipliers'!$P$3:$Q$6,2,FALSE)),"")</f>
        <v/>
      </c>
      <c r="AH84" s="513" t="str">
        <f t="shared" si="9"/>
        <v/>
      </c>
      <c r="AI84" s="231"/>
      <c r="AJ84" s="150"/>
      <c r="AT84" s="31" t="str">
        <f>IFERROR(INDEX('G-6 Hedgerow Data'!$BJ$3:$BJ$15,MATCH(M84,'G-6 Hedgerow Data'!$B$3:$B$15,0)),"")</f>
        <v/>
      </c>
    </row>
    <row r="85" spans="2:46" ht="14" x14ac:dyDescent="0.3">
      <c r="B85" s="531" t="str">
        <f>'B-1 Site Hedge Baseline'!AK83</f>
        <v/>
      </c>
      <c r="C85" s="520" t="str">
        <f>IF(B85="","",IF(ISNA(VLOOKUP($B85,'B-1 Site Hedge Baseline'!$B$1:$L$257,3,FALSE)),"",(VLOOKUP($B85,'B-1 Site Hedge Baseline'!$B$1:$L$257,3,FALSE))))</f>
        <v/>
      </c>
      <c r="D85" s="520" t="str">
        <f>IF(B85="","",IF(ISNA(VLOOKUP($B85,'B-1 Site Hedge Baseline'!$B$1:$L$257,4,FALSE)),"",(VLOOKUP($B85,'B-1 Site Hedge Baseline'!$B$1:$L$257,4,FALSE))))</f>
        <v/>
      </c>
      <c r="E85" s="520" t="str">
        <f>IF(B85="","",IF(ISNA(VLOOKUP($B85,'B-1 Site Hedge Baseline'!$B$1:$L$257,5,FALSE)),"",(VLOOKUP($B85,'B-1 Site Hedge Baseline'!$B$1:$L$257,5,FALSE))))</f>
        <v/>
      </c>
      <c r="F85" s="520" t="str">
        <f>IF(B85="","",IF(ISNA(VLOOKUP($B85,'B-1 Site Hedge Baseline'!$B$1:$L$257,6,FALSE)),"",(VLOOKUP($B85,'B-1 Site Hedge Baseline'!$B$1:$L$257,6,FALSE))))</f>
        <v/>
      </c>
      <c r="G85" s="520" t="str">
        <f>IF(B85="","",IF(ISNA(VLOOKUP($B85,'B-1 Site Hedge Baseline'!$B$1:$L$257,7,FALSE)),"",(VLOOKUP($B85,'B-1 Site Hedge Baseline'!$B$1:$L$257,7,FALSE))))</f>
        <v/>
      </c>
      <c r="H85" s="520" t="str">
        <f>IF(B85="","",IF(ISNA(VLOOKUP($B85,'B-1 Site Hedge Baseline'!$B$1:$L$257,8,FALSE)),"",(VLOOKUP($B85,'B-1 Site Hedge Baseline'!$B$1:$L$257,8,FALSE))))</f>
        <v/>
      </c>
      <c r="I85" s="520" t="str">
        <f>IF(B85="","",IF(ISNA(VLOOKUP($B85,'B-1 Site Hedge Baseline'!$B$1:$L$257,10,FALSE)),"",(VLOOKUP($B85,'B-1 Site Hedge Baseline'!$B$1:$L$257,10,FALSE))))</f>
        <v/>
      </c>
      <c r="J85" s="520" t="str">
        <f>IF(B85="","",IF(ISNA(VLOOKUP($B85,'B-1 Site Hedge Baseline'!$B$1:$L$257,11,FALSE)),"",(VLOOKUP($B85,'B-1 Site Hedge Baseline'!$B$1:$L$257,11,FALSE))))</f>
        <v/>
      </c>
      <c r="K85" s="520" t="str">
        <f>IF(B85="","",IF(ISNA(VLOOKUP($B85,'B-1 Site Hedge Baseline'!$B$1:$U$257,13,FALSE)),"",(VLOOKUP($B85,'B-1 Site Hedge Baseline'!$B$1:$U$257,13,FALSE))))</f>
        <v/>
      </c>
      <c r="L85" s="524" t="str">
        <f>IF(B85="","",IF(ISNA(VLOOKUP($B85,'B-1 Site Hedge Baseline'!$B$1:$U$257,12,FALSE)),"",(VLOOKUP($B85,'B-1 Site Hedge Baseline'!$B$1:$U$257,12,FALSE))))</f>
        <v/>
      </c>
      <c r="M85" s="416" t="str">
        <f t="shared" si="15"/>
        <v/>
      </c>
      <c r="N85" s="498" t="str">
        <f>IFERROR(IF(B85="","",INDEX('G-6 Hedgerow Data'!$AN$3:$AZ$15,MATCH(C85,'G-6 Hedgerow Data'!$AM$3:$AM$15,0),MATCH(M85,'G-6 Hedgerow Data'!$AN$2:$AZ$2,0))),"")</f>
        <v/>
      </c>
      <c r="O85" s="499" t="str">
        <f t="shared" si="10"/>
        <v/>
      </c>
      <c r="P85" s="559" t="str">
        <f>IF(B85="","",VLOOKUP(B85,'B-1 Site Hedge Baseline'!$B$10:T330,16,FALSE))</f>
        <v/>
      </c>
      <c r="Q85" s="498" t="str">
        <f>IF(M85="","",VLOOKUP(M85,'G-6 Hedgerow Data'!$B$2:$AG$15,2,FALSE))</f>
        <v/>
      </c>
      <c r="R85" s="499" t="str">
        <f>IF(M85="","",VLOOKUP(M85,'G-6 Hedgerow Data'!$B$2:$AG$15,3,FALSE))</f>
        <v/>
      </c>
      <c r="S85" s="157"/>
      <c r="T85" s="540" t="str">
        <f>IFERROR(VLOOKUP(S85,'G-1 All Habitats'!$Z$2:$AA$9,2,FALSE),"")</f>
        <v/>
      </c>
      <c r="U85" s="154"/>
      <c r="V85" s="520" t="str">
        <f>IF(U85="","",IF(VLOOKUP(U85,'G-3 Multipliers'!$L$3:$N$6,2,FALSE)=0,"Spatial Data Missing ⚠",VLOOKUP(U85,'G-3 Multipliers'!$L$3:$N$6,2,FALSE)))</f>
        <v/>
      </c>
      <c r="W85" s="524" t="str">
        <f>IF(U85="","",IF(VLOOKUP(U85,'G-3 Multipliers'!$L$3:$N$6,3,FALSE)=0,"Spatial Data Missing ⚠",VLOOKUP(U85,'G-3 Multipliers'!$L$3:$N$6,3,FALSE)))</f>
        <v/>
      </c>
      <c r="X85" s="498" t="str">
        <f>IFERROR(IF(OR(LEFT(O85,5)="Error ▲",LEFT(N85,5)="Error ▲",T85="Error ▲"),"Check Data ⚠",IF(F85&lt;R85,INDEX('G-6 Hedgerow Data'!$S$3:$AE$14,MATCH(C85,'G-6 Hedgerow Data'!$B$3:$B$14,0),MATCH(M85,'G-6 Hedgerow Data'!$S$2:$AE$2,0)),INDEX('G-6 Hedgerow Data'!$K$3:$Q$14,MATCH(M85,'G-6 Hedgerow Data'!$B$3:$B$14,0),MATCH(O85,'G-6 Hedgerow Data'!$K$2:$Q$2,0)))),"")</f>
        <v/>
      </c>
      <c r="Y85" s="195"/>
      <c r="Z85" s="195"/>
      <c r="AA85" s="507" t="str">
        <f t="shared" si="11"/>
        <v/>
      </c>
      <c r="AB85" s="521" t="str">
        <f t="shared" si="12"/>
        <v/>
      </c>
      <c r="AC85" s="522" t="str">
        <f t="shared" si="8"/>
        <v/>
      </c>
      <c r="AD85" s="537" t="str">
        <f>IF(M85="","",VLOOKUP(M85,'G-6 Hedgerow Data'!$B$3:$AG$15,31,FALSE))</f>
        <v/>
      </c>
      <c r="AE85" s="507" t="str">
        <f t="shared" si="13"/>
        <v/>
      </c>
      <c r="AF85" s="507" t="str">
        <f t="shared" si="14"/>
        <v/>
      </c>
      <c r="AG85" s="524" t="str">
        <f>IFERROR(IF(O85="","",VLOOKUP(AD85,'G-3 Multipliers'!$P$3:$Q$6,2,FALSE)),"")</f>
        <v/>
      </c>
      <c r="AH85" s="513" t="str">
        <f t="shared" si="9"/>
        <v/>
      </c>
      <c r="AI85" s="231"/>
      <c r="AJ85" s="150"/>
      <c r="AT85" s="31" t="str">
        <f>IFERROR(INDEX('G-6 Hedgerow Data'!$BJ$3:$BJ$15,MATCH(M85,'G-6 Hedgerow Data'!$B$3:$B$15,0)),"")</f>
        <v/>
      </c>
    </row>
    <row r="86" spans="2:46" ht="14" x14ac:dyDescent="0.3">
      <c r="B86" s="531" t="str">
        <f>'B-1 Site Hedge Baseline'!AK84</f>
        <v/>
      </c>
      <c r="C86" s="520" t="str">
        <f>IF(B86="","",IF(ISNA(VLOOKUP($B86,'B-1 Site Hedge Baseline'!$B$1:$L$257,3,FALSE)),"",(VLOOKUP($B86,'B-1 Site Hedge Baseline'!$B$1:$L$257,3,FALSE))))</f>
        <v/>
      </c>
      <c r="D86" s="520" t="str">
        <f>IF(B86="","",IF(ISNA(VLOOKUP($B86,'B-1 Site Hedge Baseline'!$B$1:$L$257,4,FALSE)),"",(VLOOKUP($B86,'B-1 Site Hedge Baseline'!$B$1:$L$257,4,FALSE))))</f>
        <v/>
      </c>
      <c r="E86" s="520" t="str">
        <f>IF(B86="","",IF(ISNA(VLOOKUP($B86,'B-1 Site Hedge Baseline'!$B$1:$L$257,5,FALSE)),"",(VLOOKUP($B86,'B-1 Site Hedge Baseline'!$B$1:$L$257,5,FALSE))))</f>
        <v/>
      </c>
      <c r="F86" s="520" t="str">
        <f>IF(B86="","",IF(ISNA(VLOOKUP($B86,'B-1 Site Hedge Baseline'!$B$1:$L$257,6,FALSE)),"",(VLOOKUP($B86,'B-1 Site Hedge Baseline'!$B$1:$L$257,6,FALSE))))</f>
        <v/>
      </c>
      <c r="G86" s="520" t="str">
        <f>IF(B86="","",IF(ISNA(VLOOKUP($B86,'B-1 Site Hedge Baseline'!$B$1:$L$257,7,FALSE)),"",(VLOOKUP($B86,'B-1 Site Hedge Baseline'!$B$1:$L$257,7,FALSE))))</f>
        <v/>
      </c>
      <c r="H86" s="520" t="str">
        <f>IF(B86="","",IF(ISNA(VLOOKUP($B86,'B-1 Site Hedge Baseline'!$B$1:$L$257,8,FALSE)),"",(VLOOKUP($B86,'B-1 Site Hedge Baseline'!$B$1:$L$257,8,FALSE))))</f>
        <v/>
      </c>
      <c r="I86" s="520" t="str">
        <f>IF(B86="","",IF(ISNA(VLOOKUP($B86,'B-1 Site Hedge Baseline'!$B$1:$L$257,10,FALSE)),"",(VLOOKUP($B86,'B-1 Site Hedge Baseline'!$B$1:$L$257,10,FALSE))))</f>
        <v/>
      </c>
      <c r="J86" s="520" t="str">
        <f>IF(B86="","",IF(ISNA(VLOOKUP($B86,'B-1 Site Hedge Baseline'!$B$1:$L$257,11,FALSE)),"",(VLOOKUP($B86,'B-1 Site Hedge Baseline'!$B$1:$L$257,11,FALSE))))</f>
        <v/>
      </c>
      <c r="K86" s="520" t="str">
        <f>IF(B86="","",IF(ISNA(VLOOKUP($B86,'B-1 Site Hedge Baseline'!$B$1:$U$257,13,FALSE)),"",(VLOOKUP($B86,'B-1 Site Hedge Baseline'!$B$1:$U$257,13,FALSE))))</f>
        <v/>
      </c>
      <c r="L86" s="524" t="str">
        <f>IF(B86="","",IF(ISNA(VLOOKUP($B86,'B-1 Site Hedge Baseline'!$B$1:$U$257,12,FALSE)),"",(VLOOKUP($B86,'B-1 Site Hedge Baseline'!$B$1:$U$257,12,FALSE))))</f>
        <v/>
      </c>
      <c r="M86" s="416" t="str">
        <f t="shared" si="15"/>
        <v/>
      </c>
      <c r="N86" s="498" t="str">
        <f>IFERROR(IF(B86="","",INDEX('G-6 Hedgerow Data'!$AN$3:$AZ$15,MATCH(C86,'G-6 Hedgerow Data'!$AM$3:$AM$15,0),MATCH(M86,'G-6 Hedgerow Data'!$AN$2:$AZ$2,0))),"")</f>
        <v/>
      </c>
      <c r="O86" s="499" t="str">
        <f t="shared" si="10"/>
        <v/>
      </c>
      <c r="P86" s="559" t="str">
        <f>IF(B86="","",VLOOKUP(B86,'B-1 Site Hedge Baseline'!$B$10:T331,16,FALSE))</f>
        <v/>
      </c>
      <c r="Q86" s="498" t="str">
        <f>IF(M86="","",VLOOKUP(M86,'G-6 Hedgerow Data'!$B$2:$AG$15,2,FALSE))</f>
        <v/>
      </c>
      <c r="R86" s="499" t="str">
        <f>IF(M86="","",VLOOKUP(M86,'G-6 Hedgerow Data'!$B$2:$AG$15,3,FALSE))</f>
        <v/>
      </c>
      <c r="S86" s="157"/>
      <c r="T86" s="540" t="str">
        <f>IFERROR(VLOOKUP(S86,'G-1 All Habitats'!$Z$2:$AA$9,2,FALSE),"")</f>
        <v/>
      </c>
      <c r="U86" s="154"/>
      <c r="V86" s="520" t="str">
        <f>IF(U86="","",IF(VLOOKUP(U86,'G-3 Multipliers'!$L$3:$N$6,2,FALSE)=0,"Spatial Data Missing ⚠",VLOOKUP(U86,'G-3 Multipliers'!$L$3:$N$6,2,FALSE)))</f>
        <v/>
      </c>
      <c r="W86" s="524" t="str">
        <f>IF(U86="","",IF(VLOOKUP(U86,'G-3 Multipliers'!$L$3:$N$6,3,FALSE)=0,"Spatial Data Missing ⚠",VLOOKUP(U86,'G-3 Multipliers'!$L$3:$N$6,3,FALSE)))</f>
        <v/>
      </c>
      <c r="X86" s="498" t="str">
        <f>IFERROR(IF(OR(LEFT(O86,5)="Error ▲",LEFT(N86,5)="Error ▲",T86="Error ▲"),"Check Data ⚠",IF(F86&lt;R86,INDEX('G-6 Hedgerow Data'!$S$3:$AE$14,MATCH(C86,'G-6 Hedgerow Data'!$B$3:$B$14,0),MATCH(M86,'G-6 Hedgerow Data'!$S$2:$AE$2,0)),INDEX('G-6 Hedgerow Data'!$K$3:$Q$14,MATCH(M86,'G-6 Hedgerow Data'!$B$3:$B$14,0),MATCH(O86,'G-6 Hedgerow Data'!$K$2:$Q$2,0)))),"")</f>
        <v/>
      </c>
      <c r="Y86" s="195"/>
      <c r="Z86" s="195"/>
      <c r="AA86" s="507" t="str">
        <f t="shared" si="11"/>
        <v/>
      </c>
      <c r="AB86" s="521" t="str">
        <f t="shared" si="12"/>
        <v/>
      </c>
      <c r="AC86" s="522" t="str">
        <f t="shared" si="8"/>
        <v/>
      </c>
      <c r="AD86" s="537" t="str">
        <f>IF(M86="","",VLOOKUP(M86,'G-6 Hedgerow Data'!$B$3:$AG$15,31,FALSE))</f>
        <v/>
      </c>
      <c r="AE86" s="507" t="str">
        <f t="shared" si="13"/>
        <v/>
      </c>
      <c r="AF86" s="507" t="str">
        <f t="shared" si="14"/>
        <v/>
      </c>
      <c r="AG86" s="524" t="str">
        <f>IFERROR(IF(O86="","",VLOOKUP(AD86,'G-3 Multipliers'!$P$3:$Q$6,2,FALSE)),"")</f>
        <v/>
      </c>
      <c r="AH86" s="513" t="str">
        <f t="shared" si="9"/>
        <v/>
      </c>
      <c r="AI86" s="231"/>
      <c r="AJ86" s="150"/>
      <c r="AT86" s="31" t="str">
        <f>IFERROR(INDEX('G-6 Hedgerow Data'!$BJ$3:$BJ$15,MATCH(M86,'G-6 Hedgerow Data'!$B$3:$B$15,0)),"")</f>
        <v/>
      </c>
    </row>
    <row r="87" spans="2:46" ht="14" x14ac:dyDescent="0.3">
      <c r="B87" s="531" t="str">
        <f>'B-1 Site Hedge Baseline'!AK85</f>
        <v/>
      </c>
      <c r="C87" s="520" t="str">
        <f>IF(B87="","",IF(ISNA(VLOOKUP($B87,'B-1 Site Hedge Baseline'!$B$1:$L$257,3,FALSE)),"",(VLOOKUP($B87,'B-1 Site Hedge Baseline'!$B$1:$L$257,3,FALSE))))</f>
        <v/>
      </c>
      <c r="D87" s="520" t="str">
        <f>IF(B87="","",IF(ISNA(VLOOKUP($B87,'B-1 Site Hedge Baseline'!$B$1:$L$257,4,FALSE)),"",(VLOOKUP($B87,'B-1 Site Hedge Baseline'!$B$1:$L$257,4,FALSE))))</f>
        <v/>
      </c>
      <c r="E87" s="520" t="str">
        <f>IF(B87="","",IF(ISNA(VLOOKUP($B87,'B-1 Site Hedge Baseline'!$B$1:$L$257,5,FALSE)),"",(VLOOKUP($B87,'B-1 Site Hedge Baseline'!$B$1:$L$257,5,FALSE))))</f>
        <v/>
      </c>
      <c r="F87" s="520" t="str">
        <f>IF(B87="","",IF(ISNA(VLOOKUP($B87,'B-1 Site Hedge Baseline'!$B$1:$L$257,6,FALSE)),"",(VLOOKUP($B87,'B-1 Site Hedge Baseline'!$B$1:$L$257,6,FALSE))))</f>
        <v/>
      </c>
      <c r="G87" s="520" t="str">
        <f>IF(B87="","",IF(ISNA(VLOOKUP($B87,'B-1 Site Hedge Baseline'!$B$1:$L$257,7,FALSE)),"",(VLOOKUP($B87,'B-1 Site Hedge Baseline'!$B$1:$L$257,7,FALSE))))</f>
        <v/>
      </c>
      <c r="H87" s="520" t="str">
        <f>IF(B87="","",IF(ISNA(VLOOKUP($B87,'B-1 Site Hedge Baseline'!$B$1:$L$257,8,FALSE)),"",(VLOOKUP($B87,'B-1 Site Hedge Baseline'!$B$1:$L$257,8,FALSE))))</f>
        <v/>
      </c>
      <c r="I87" s="520" t="str">
        <f>IF(B87="","",IF(ISNA(VLOOKUP($B87,'B-1 Site Hedge Baseline'!$B$1:$L$257,10,FALSE)),"",(VLOOKUP($B87,'B-1 Site Hedge Baseline'!$B$1:$L$257,10,FALSE))))</f>
        <v/>
      </c>
      <c r="J87" s="520" t="str">
        <f>IF(B87="","",IF(ISNA(VLOOKUP($B87,'B-1 Site Hedge Baseline'!$B$1:$L$257,11,FALSE)),"",(VLOOKUP($B87,'B-1 Site Hedge Baseline'!$B$1:$L$257,11,FALSE))))</f>
        <v/>
      </c>
      <c r="K87" s="520" t="str">
        <f>IF(B87="","",IF(ISNA(VLOOKUP($B87,'B-1 Site Hedge Baseline'!$B$1:$U$257,13,FALSE)),"",(VLOOKUP($B87,'B-1 Site Hedge Baseline'!$B$1:$U$257,13,FALSE))))</f>
        <v/>
      </c>
      <c r="L87" s="524" t="str">
        <f>IF(B87="","",IF(ISNA(VLOOKUP($B87,'B-1 Site Hedge Baseline'!$B$1:$U$257,12,FALSE)),"",(VLOOKUP($B87,'B-1 Site Hedge Baseline'!$B$1:$U$257,12,FALSE))))</f>
        <v/>
      </c>
      <c r="M87" s="416" t="str">
        <f t="shared" si="15"/>
        <v/>
      </c>
      <c r="N87" s="498" t="str">
        <f>IFERROR(IF(B87="","",INDEX('G-6 Hedgerow Data'!$AN$3:$AZ$15,MATCH(C87,'G-6 Hedgerow Data'!$AM$3:$AM$15,0),MATCH(M87,'G-6 Hedgerow Data'!$AN$2:$AZ$2,0))),"")</f>
        <v/>
      </c>
      <c r="O87" s="499" t="str">
        <f t="shared" si="10"/>
        <v/>
      </c>
      <c r="P87" s="559" t="str">
        <f>IF(B87="","",VLOOKUP(B87,'B-1 Site Hedge Baseline'!$B$10:T332,16,FALSE))</f>
        <v/>
      </c>
      <c r="Q87" s="498" t="str">
        <f>IF(M87="","",VLOOKUP(M87,'G-6 Hedgerow Data'!$B$2:$AG$15,2,FALSE))</f>
        <v/>
      </c>
      <c r="R87" s="499" t="str">
        <f>IF(M87="","",VLOOKUP(M87,'G-6 Hedgerow Data'!$B$2:$AG$15,3,FALSE))</f>
        <v/>
      </c>
      <c r="S87" s="157"/>
      <c r="T87" s="540" t="str">
        <f>IFERROR(VLOOKUP(S87,'G-1 All Habitats'!$Z$2:$AA$9,2,FALSE),"")</f>
        <v/>
      </c>
      <c r="U87" s="154"/>
      <c r="V87" s="520" t="str">
        <f>IF(U87="","",IF(VLOOKUP(U87,'G-3 Multipliers'!$L$3:$N$6,2,FALSE)=0,"Spatial Data Missing ⚠",VLOOKUP(U87,'G-3 Multipliers'!$L$3:$N$6,2,FALSE)))</f>
        <v/>
      </c>
      <c r="W87" s="524" t="str">
        <f>IF(U87="","",IF(VLOOKUP(U87,'G-3 Multipliers'!$L$3:$N$6,3,FALSE)=0,"Spatial Data Missing ⚠",VLOOKUP(U87,'G-3 Multipliers'!$L$3:$N$6,3,FALSE)))</f>
        <v/>
      </c>
      <c r="X87" s="498" t="str">
        <f>IFERROR(IF(OR(LEFT(O87,5)="Error ▲",LEFT(N87,5)="Error ▲",T87="Error ▲"),"Check Data ⚠",IF(F87&lt;R87,INDEX('G-6 Hedgerow Data'!$S$3:$AE$14,MATCH(C87,'G-6 Hedgerow Data'!$B$3:$B$14,0),MATCH(M87,'G-6 Hedgerow Data'!$S$2:$AE$2,0)),INDEX('G-6 Hedgerow Data'!$K$3:$Q$14,MATCH(M87,'G-6 Hedgerow Data'!$B$3:$B$14,0),MATCH(O87,'G-6 Hedgerow Data'!$K$2:$Q$2,0)))),"")</f>
        <v/>
      </c>
      <c r="Y87" s="195"/>
      <c r="Z87" s="195"/>
      <c r="AA87" s="507" t="str">
        <f t="shared" si="11"/>
        <v/>
      </c>
      <c r="AB87" s="521" t="str">
        <f t="shared" si="12"/>
        <v/>
      </c>
      <c r="AC87" s="522" t="str">
        <f t="shared" si="8"/>
        <v/>
      </c>
      <c r="AD87" s="537" t="str">
        <f>IF(M87="","",VLOOKUP(M87,'G-6 Hedgerow Data'!$B$3:$AG$15,31,FALSE))</f>
        <v/>
      </c>
      <c r="AE87" s="507" t="str">
        <f t="shared" si="13"/>
        <v/>
      </c>
      <c r="AF87" s="507" t="str">
        <f t="shared" si="14"/>
        <v/>
      </c>
      <c r="AG87" s="524" t="str">
        <f>IFERROR(IF(O87="","",VLOOKUP(AD87,'G-3 Multipliers'!$P$3:$Q$6,2,FALSE)),"")</f>
        <v/>
      </c>
      <c r="AH87" s="513" t="str">
        <f t="shared" si="9"/>
        <v/>
      </c>
      <c r="AI87" s="231"/>
      <c r="AJ87" s="150"/>
      <c r="AT87" s="31" t="str">
        <f>IFERROR(INDEX('G-6 Hedgerow Data'!$BJ$3:$BJ$15,MATCH(M87,'G-6 Hedgerow Data'!$B$3:$B$15,0)),"")</f>
        <v/>
      </c>
    </row>
    <row r="88" spans="2:46" ht="14" x14ac:dyDescent="0.3">
      <c r="B88" s="531" t="str">
        <f>'B-1 Site Hedge Baseline'!AK86</f>
        <v/>
      </c>
      <c r="C88" s="520" t="str">
        <f>IF(B88="","",IF(ISNA(VLOOKUP($B88,'B-1 Site Hedge Baseline'!$B$1:$L$257,3,FALSE)),"",(VLOOKUP($B88,'B-1 Site Hedge Baseline'!$B$1:$L$257,3,FALSE))))</f>
        <v/>
      </c>
      <c r="D88" s="520" t="str">
        <f>IF(B88="","",IF(ISNA(VLOOKUP($B88,'B-1 Site Hedge Baseline'!$B$1:$L$257,4,FALSE)),"",(VLOOKUP($B88,'B-1 Site Hedge Baseline'!$B$1:$L$257,4,FALSE))))</f>
        <v/>
      </c>
      <c r="E88" s="520" t="str">
        <f>IF(B88="","",IF(ISNA(VLOOKUP($B88,'B-1 Site Hedge Baseline'!$B$1:$L$257,5,FALSE)),"",(VLOOKUP($B88,'B-1 Site Hedge Baseline'!$B$1:$L$257,5,FALSE))))</f>
        <v/>
      </c>
      <c r="F88" s="520" t="str">
        <f>IF(B88="","",IF(ISNA(VLOOKUP($B88,'B-1 Site Hedge Baseline'!$B$1:$L$257,6,FALSE)),"",(VLOOKUP($B88,'B-1 Site Hedge Baseline'!$B$1:$L$257,6,FALSE))))</f>
        <v/>
      </c>
      <c r="G88" s="520" t="str">
        <f>IF(B88="","",IF(ISNA(VLOOKUP($B88,'B-1 Site Hedge Baseline'!$B$1:$L$257,7,FALSE)),"",(VLOOKUP($B88,'B-1 Site Hedge Baseline'!$B$1:$L$257,7,FALSE))))</f>
        <v/>
      </c>
      <c r="H88" s="520" t="str">
        <f>IF(B88="","",IF(ISNA(VLOOKUP($B88,'B-1 Site Hedge Baseline'!$B$1:$L$257,8,FALSE)),"",(VLOOKUP($B88,'B-1 Site Hedge Baseline'!$B$1:$L$257,8,FALSE))))</f>
        <v/>
      </c>
      <c r="I88" s="520" t="str">
        <f>IF(B88="","",IF(ISNA(VLOOKUP($B88,'B-1 Site Hedge Baseline'!$B$1:$L$257,10,FALSE)),"",(VLOOKUP($B88,'B-1 Site Hedge Baseline'!$B$1:$L$257,10,FALSE))))</f>
        <v/>
      </c>
      <c r="J88" s="520" t="str">
        <f>IF(B88="","",IF(ISNA(VLOOKUP($B88,'B-1 Site Hedge Baseline'!$B$1:$L$257,11,FALSE)),"",(VLOOKUP($B88,'B-1 Site Hedge Baseline'!$B$1:$L$257,11,FALSE))))</f>
        <v/>
      </c>
      <c r="K88" s="520" t="str">
        <f>IF(B88="","",IF(ISNA(VLOOKUP($B88,'B-1 Site Hedge Baseline'!$B$1:$U$257,13,FALSE)),"",(VLOOKUP($B88,'B-1 Site Hedge Baseline'!$B$1:$U$257,13,FALSE))))</f>
        <v/>
      </c>
      <c r="L88" s="524" t="str">
        <f>IF(B88="","",IF(ISNA(VLOOKUP($B88,'B-1 Site Hedge Baseline'!$B$1:$U$257,12,FALSE)),"",(VLOOKUP($B88,'B-1 Site Hedge Baseline'!$B$1:$U$257,12,FALSE))))</f>
        <v/>
      </c>
      <c r="M88" s="416" t="str">
        <f t="shared" si="15"/>
        <v/>
      </c>
      <c r="N88" s="498" t="str">
        <f>IFERROR(IF(B88="","",INDEX('G-6 Hedgerow Data'!$AN$3:$AZ$15,MATCH(C88,'G-6 Hedgerow Data'!$AM$3:$AM$15,0),MATCH(M88,'G-6 Hedgerow Data'!$AN$2:$AZ$2,0))),"")</f>
        <v/>
      </c>
      <c r="O88" s="499" t="str">
        <f t="shared" si="10"/>
        <v/>
      </c>
      <c r="P88" s="559" t="str">
        <f>IF(B88="","",VLOOKUP(B88,'B-1 Site Hedge Baseline'!$B$10:T333,16,FALSE))</f>
        <v/>
      </c>
      <c r="Q88" s="498" t="str">
        <f>IF(M88="","",VLOOKUP(M88,'G-6 Hedgerow Data'!$B$2:$AG$15,2,FALSE))</f>
        <v/>
      </c>
      <c r="R88" s="499" t="str">
        <f>IF(M88="","",VLOOKUP(M88,'G-6 Hedgerow Data'!$B$2:$AG$15,3,FALSE))</f>
        <v/>
      </c>
      <c r="S88" s="157"/>
      <c r="T88" s="540" t="str">
        <f>IFERROR(VLOOKUP(S88,'G-1 All Habitats'!$Z$2:$AA$9,2,FALSE),"")</f>
        <v/>
      </c>
      <c r="U88" s="154"/>
      <c r="V88" s="520" t="str">
        <f>IF(U88="","",IF(VLOOKUP(U88,'G-3 Multipliers'!$L$3:$N$6,2,FALSE)=0,"Spatial Data Missing ⚠",VLOOKUP(U88,'G-3 Multipliers'!$L$3:$N$6,2,FALSE)))</f>
        <v/>
      </c>
      <c r="W88" s="524" t="str">
        <f>IF(U88="","",IF(VLOOKUP(U88,'G-3 Multipliers'!$L$3:$N$6,3,FALSE)=0,"Spatial Data Missing ⚠",VLOOKUP(U88,'G-3 Multipliers'!$L$3:$N$6,3,FALSE)))</f>
        <v/>
      </c>
      <c r="X88" s="498" t="str">
        <f>IFERROR(IF(OR(LEFT(O88,5)="Error ▲",LEFT(N88,5)="Error ▲",T88="Error ▲"),"Check Data ⚠",IF(F88&lt;R88,INDEX('G-6 Hedgerow Data'!$S$3:$AE$14,MATCH(C88,'G-6 Hedgerow Data'!$B$3:$B$14,0),MATCH(M88,'G-6 Hedgerow Data'!$S$2:$AE$2,0)),INDEX('G-6 Hedgerow Data'!$K$3:$Q$14,MATCH(M88,'G-6 Hedgerow Data'!$B$3:$B$14,0),MATCH(O88,'G-6 Hedgerow Data'!$K$2:$Q$2,0)))),"")</f>
        <v/>
      </c>
      <c r="Y88" s="195"/>
      <c r="Z88" s="195"/>
      <c r="AA88" s="507" t="str">
        <f t="shared" si="11"/>
        <v/>
      </c>
      <c r="AB88" s="521" t="str">
        <f t="shared" si="12"/>
        <v/>
      </c>
      <c r="AC88" s="522" t="str">
        <f t="shared" si="8"/>
        <v/>
      </c>
      <c r="AD88" s="537" t="str">
        <f>IF(M88="","",VLOOKUP(M88,'G-6 Hedgerow Data'!$B$3:$AG$15,31,FALSE))</f>
        <v/>
      </c>
      <c r="AE88" s="507" t="str">
        <f t="shared" si="13"/>
        <v/>
      </c>
      <c r="AF88" s="507" t="str">
        <f t="shared" si="14"/>
        <v/>
      </c>
      <c r="AG88" s="524" t="str">
        <f>IFERROR(IF(O88="","",VLOOKUP(AD88,'G-3 Multipliers'!$P$3:$Q$6,2,FALSE)),"")</f>
        <v/>
      </c>
      <c r="AH88" s="513" t="str">
        <f t="shared" si="9"/>
        <v/>
      </c>
      <c r="AI88" s="231"/>
      <c r="AJ88" s="150"/>
      <c r="AT88" s="31" t="str">
        <f>IFERROR(INDEX('G-6 Hedgerow Data'!$BJ$3:$BJ$15,MATCH(M88,'G-6 Hedgerow Data'!$B$3:$B$15,0)),"")</f>
        <v/>
      </c>
    </row>
    <row r="89" spans="2:46" ht="14" x14ac:dyDescent="0.3">
      <c r="B89" s="531" t="str">
        <f>'B-1 Site Hedge Baseline'!AK87</f>
        <v/>
      </c>
      <c r="C89" s="520" t="str">
        <f>IF(B89="","",IF(ISNA(VLOOKUP($B89,'B-1 Site Hedge Baseline'!$B$1:$L$257,3,FALSE)),"",(VLOOKUP($B89,'B-1 Site Hedge Baseline'!$B$1:$L$257,3,FALSE))))</f>
        <v/>
      </c>
      <c r="D89" s="520" t="str">
        <f>IF(B89="","",IF(ISNA(VLOOKUP($B89,'B-1 Site Hedge Baseline'!$B$1:$L$257,4,FALSE)),"",(VLOOKUP($B89,'B-1 Site Hedge Baseline'!$B$1:$L$257,4,FALSE))))</f>
        <v/>
      </c>
      <c r="E89" s="520" t="str">
        <f>IF(B89="","",IF(ISNA(VLOOKUP($B89,'B-1 Site Hedge Baseline'!$B$1:$L$257,5,FALSE)),"",(VLOOKUP($B89,'B-1 Site Hedge Baseline'!$B$1:$L$257,5,FALSE))))</f>
        <v/>
      </c>
      <c r="F89" s="520" t="str">
        <f>IF(B89="","",IF(ISNA(VLOOKUP($B89,'B-1 Site Hedge Baseline'!$B$1:$L$257,6,FALSE)),"",(VLOOKUP($B89,'B-1 Site Hedge Baseline'!$B$1:$L$257,6,FALSE))))</f>
        <v/>
      </c>
      <c r="G89" s="520" t="str">
        <f>IF(B89="","",IF(ISNA(VLOOKUP($B89,'B-1 Site Hedge Baseline'!$B$1:$L$257,7,FALSE)),"",(VLOOKUP($B89,'B-1 Site Hedge Baseline'!$B$1:$L$257,7,FALSE))))</f>
        <v/>
      </c>
      <c r="H89" s="520" t="str">
        <f>IF(B89="","",IF(ISNA(VLOOKUP($B89,'B-1 Site Hedge Baseline'!$B$1:$L$257,8,FALSE)),"",(VLOOKUP($B89,'B-1 Site Hedge Baseline'!$B$1:$L$257,8,FALSE))))</f>
        <v/>
      </c>
      <c r="I89" s="520" t="str">
        <f>IF(B89="","",IF(ISNA(VLOOKUP($B89,'B-1 Site Hedge Baseline'!$B$1:$L$257,10,FALSE)),"",(VLOOKUP($B89,'B-1 Site Hedge Baseline'!$B$1:$L$257,10,FALSE))))</f>
        <v/>
      </c>
      <c r="J89" s="520" t="str">
        <f>IF(B89="","",IF(ISNA(VLOOKUP($B89,'B-1 Site Hedge Baseline'!$B$1:$L$257,11,FALSE)),"",(VLOOKUP($B89,'B-1 Site Hedge Baseline'!$B$1:$L$257,11,FALSE))))</f>
        <v/>
      </c>
      <c r="K89" s="520" t="str">
        <f>IF(B89="","",IF(ISNA(VLOOKUP($B89,'B-1 Site Hedge Baseline'!$B$1:$U$257,13,FALSE)),"",(VLOOKUP($B89,'B-1 Site Hedge Baseline'!$B$1:$U$257,13,FALSE))))</f>
        <v/>
      </c>
      <c r="L89" s="524" t="str">
        <f>IF(B89="","",IF(ISNA(VLOOKUP($B89,'B-1 Site Hedge Baseline'!$B$1:$U$257,12,FALSE)),"",(VLOOKUP($B89,'B-1 Site Hedge Baseline'!$B$1:$U$257,12,FALSE))))</f>
        <v/>
      </c>
      <c r="M89" s="416" t="str">
        <f t="shared" si="15"/>
        <v/>
      </c>
      <c r="N89" s="498" t="str">
        <f>IFERROR(IF(B89="","",INDEX('G-6 Hedgerow Data'!$AN$3:$AZ$15,MATCH(C89,'G-6 Hedgerow Data'!$AM$3:$AM$15,0),MATCH(M89,'G-6 Hedgerow Data'!$AN$2:$AZ$2,0))),"")</f>
        <v/>
      </c>
      <c r="O89" s="499" t="str">
        <f t="shared" si="10"/>
        <v/>
      </c>
      <c r="P89" s="559" t="str">
        <f>IF(B89="","",VLOOKUP(B89,'B-1 Site Hedge Baseline'!$B$10:T334,16,FALSE))</f>
        <v/>
      </c>
      <c r="Q89" s="498" t="str">
        <f>IF(M89="","",VLOOKUP(M89,'G-6 Hedgerow Data'!$B$2:$AG$15,2,FALSE))</f>
        <v/>
      </c>
      <c r="R89" s="499" t="str">
        <f>IF(M89="","",VLOOKUP(M89,'G-6 Hedgerow Data'!$B$2:$AG$15,3,FALSE))</f>
        <v/>
      </c>
      <c r="S89" s="157"/>
      <c r="T89" s="540" t="str">
        <f>IFERROR(VLOOKUP(S89,'G-1 All Habitats'!$Z$2:$AA$9,2,FALSE),"")</f>
        <v/>
      </c>
      <c r="U89" s="154"/>
      <c r="V89" s="520" t="str">
        <f>IF(U89="","",IF(VLOOKUP(U89,'G-3 Multipliers'!$L$3:$N$6,2,FALSE)=0,"Spatial Data Missing ⚠",VLOOKUP(U89,'G-3 Multipliers'!$L$3:$N$6,2,FALSE)))</f>
        <v/>
      </c>
      <c r="W89" s="524" t="str">
        <f>IF(U89="","",IF(VLOOKUP(U89,'G-3 Multipliers'!$L$3:$N$6,3,FALSE)=0,"Spatial Data Missing ⚠",VLOOKUP(U89,'G-3 Multipliers'!$L$3:$N$6,3,FALSE)))</f>
        <v/>
      </c>
      <c r="X89" s="498" t="str">
        <f>IFERROR(IF(OR(LEFT(O89,5)="Error ▲",LEFT(N89,5)="Error ▲",T89="Error ▲"),"Check Data ⚠",IF(F89&lt;R89,INDEX('G-6 Hedgerow Data'!$S$3:$AE$14,MATCH(C89,'G-6 Hedgerow Data'!$B$3:$B$14,0),MATCH(M89,'G-6 Hedgerow Data'!$S$2:$AE$2,0)),INDEX('G-6 Hedgerow Data'!$K$3:$Q$14,MATCH(M89,'G-6 Hedgerow Data'!$B$3:$B$14,0),MATCH(O89,'G-6 Hedgerow Data'!$K$2:$Q$2,0)))),"")</f>
        <v/>
      </c>
      <c r="Y89" s="195"/>
      <c r="Z89" s="195"/>
      <c r="AA89" s="507" t="str">
        <f t="shared" si="11"/>
        <v/>
      </c>
      <c r="AB89" s="521" t="str">
        <f t="shared" si="12"/>
        <v/>
      </c>
      <c r="AC89" s="522" t="str">
        <f t="shared" si="8"/>
        <v/>
      </c>
      <c r="AD89" s="537" t="str">
        <f>IF(M89="","",VLOOKUP(M89,'G-6 Hedgerow Data'!$B$3:$AG$15,31,FALSE))</f>
        <v/>
      </c>
      <c r="AE89" s="507" t="str">
        <f t="shared" si="13"/>
        <v/>
      </c>
      <c r="AF89" s="507" t="str">
        <f t="shared" si="14"/>
        <v/>
      </c>
      <c r="AG89" s="524" t="str">
        <f>IFERROR(IF(O89="","",VLOOKUP(AD89,'G-3 Multipliers'!$P$3:$Q$6,2,FALSE)),"")</f>
        <v/>
      </c>
      <c r="AH89" s="513" t="str">
        <f t="shared" si="9"/>
        <v/>
      </c>
      <c r="AI89" s="231"/>
      <c r="AJ89" s="150"/>
      <c r="AT89" s="31" t="str">
        <f>IFERROR(INDEX('G-6 Hedgerow Data'!$BJ$3:$BJ$15,MATCH(M89,'G-6 Hedgerow Data'!$B$3:$B$15,0)),"")</f>
        <v/>
      </c>
    </row>
    <row r="90" spans="2:46" ht="14" x14ac:dyDescent="0.3">
      <c r="B90" s="531" t="str">
        <f>'B-1 Site Hedge Baseline'!AK88</f>
        <v/>
      </c>
      <c r="C90" s="520" t="str">
        <f>IF(B90="","",IF(ISNA(VLOOKUP($B90,'B-1 Site Hedge Baseline'!$B$1:$L$257,3,FALSE)),"",(VLOOKUP($B90,'B-1 Site Hedge Baseline'!$B$1:$L$257,3,FALSE))))</f>
        <v/>
      </c>
      <c r="D90" s="520" t="str">
        <f>IF(B90="","",IF(ISNA(VLOOKUP($B90,'B-1 Site Hedge Baseline'!$B$1:$L$257,4,FALSE)),"",(VLOOKUP($B90,'B-1 Site Hedge Baseline'!$B$1:$L$257,4,FALSE))))</f>
        <v/>
      </c>
      <c r="E90" s="520" t="str">
        <f>IF(B90="","",IF(ISNA(VLOOKUP($B90,'B-1 Site Hedge Baseline'!$B$1:$L$257,5,FALSE)),"",(VLOOKUP($B90,'B-1 Site Hedge Baseline'!$B$1:$L$257,5,FALSE))))</f>
        <v/>
      </c>
      <c r="F90" s="520" t="str">
        <f>IF(B90="","",IF(ISNA(VLOOKUP($B90,'B-1 Site Hedge Baseline'!$B$1:$L$257,6,FALSE)),"",(VLOOKUP($B90,'B-1 Site Hedge Baseline'!$B$1:$L$257,6,FALSE))))</f>
        <v/>
      </c>
      <c r="G90" s="520" t="str">
        <f>IF(B90="","",IF(ISNA(VLOOKUP($B90,'B-1 Site Hedge Baseline'!$B$1:$L$257,7,FALSE)),"",(VLOOKUP($B90,'B-1 Site Hedge Baseline'!$B$1:$L$257,7,FALSE))))</f>
        <v/>
      </c>
      <c r="H90" s="520" t="str">
        <f>IF(B90="","",IF(ISNA(VLOOKUP($B90,'B-1 Site Hedge Baseline'!$B$1:$L$257,8,FALSE)),"",(VLOOKUP($B90,'B-1 Site Hedge Baseline'!$B$1:$L$257,8,FALSE))))</f>
        <v/>
      </c>
      <c r="I90" s="520" t="str">
        <f>IF(B90="","",IF(ISNA(VLOOKUP($B90,'B-1 Site Hedge Baseline'!$B$1:$L$257,10,FALSE)),"",(VLOOKUP($B90,'B-1 Site Hedge Baseline'!$B$1:$L$257,10,FALSE))))</f>
        <v/>
      </c>
      <c r="J90" s="520" t="str">
        <f>IF(B90="","",IF(ISNA(VLOOKUP($B90,'B-1 Site Hedge Baseline'!$B$1:$L$257,11,FALSE)),"",(VLOOKUP($B90,'B-1 Site Hedge Baseline'!$B$1:$L$257,11,FALSE))))</f>
        <v/>
      </c>
      <c r="K90" s="520" t="str">
        <f>IF(B90="","",IF(ISNA(VLOOKUP($B90,'B-1 Site Hedge Baseline'!$B$1:$U$257,13,FALSE)),"",(VLOOKUP($B90,'B-1 Site Hedge Baseline'!$B$1:$U$257,13,FALSE))))</f>
        <v/>
      </c>
      <c r="L90" s="524" t="str">
        <f>IF(B90="","",IF(ISNA(VLOOKUP($B90,'B-1 Site Hedge Baseline'!$B$1:$U$257,12,FALSE)),"",(VLOOKUP($B90,'B-1 Site Hedge Baseline'!$B$1:$U$257,12,FALSE))))</f>
        <v/>
      </c>
      <c r="M90" s="416" t="str">
        <f t="shared" si="15"/>
        <v/>
      </c>
      <c r="N90" s="498" t="str">
        <f>IFERROR(IF(B90="","",INDEX('G-6 Hedgerow Data'!$AN$3:$AZ$15,MATCH(C90,'G-6 Hedgerow Data'!$AM$3:$AM$15,0),MATCH(M90,'G-6 Hedgerow Data'!$AN$2:$AZ$2,0))),"")</f>
        <v/>
      </c>
      <c r="O90" s="499" t="str">
        <f t="shared" si="10"/>
        <v/>
      </c>
      <c r="P90" s="559" t="str">
        <f>IF(B90="","",VLOOKUP(B90,'B-1 Site Hedge Baseline'!$B$10:T335,16,FALSE))</f>
        <v/>
      </c>
      <c r="Q90" s="498" t="str">
        <f>IF(M90="","",VLOOKUP(M90,'G-6 Hedgerow Data'!$B$2:$AG$15,2,FALSE))</f>
        <v/>
      </c>
      <c r="R90" s="499" t="str">
        <f>IF(M90="","",VLOOKUP(M90,'G-6 Hedgerow Data'!$B$2:$AG$15,3,FALSE))</f>
        <v/>
      </c>
      <c r="S90" s="157"/>
      <c r="T90" s="540" t="str">
        <f>IFERROR(VLOOKUP(S90,'G-1 All Habitats'!$Z$2:$AA$9,2,FALSE),"")</f>
        <v/>
      </c>
      <c r="U90" s="154"/>
      <c r="V90" s="520" t="str">
        <f>IF(U90="","",IF(VLOOKUP(U90,'G-3 Multipliers'!$L$3:$N$6,2,FALSE)=0,"Spatial Data Missing ⚠",VLOOKUP(U90,'G-3 Multipliers'!$L$3:$N$6,2,FALSE)))</f>
        <v/>
      </c>
      <c r="W90" s="524" t="str">
        <f>IF(U90="","",IF(VLOOKUP(U90,'G-3 Multipliers'!$L$3:$N$6,3,FALSE)=0,"Spatial Data Missing ⚠",VLOOKUP(U90,'G-3 Multipliers'!$L$3:$N$6,3,FALSE)))</f>
        <v/>
      </c>
      <c r="X90" s="498" t="str">
        <f>IFERROR(IF(OR(LEFT(O90,5)="Error ▲",LEFT(N90,5)="Error ▲",T90="Error ▲"),"Check Data ⚠",IF(F90&lt;R90,INDEX('G-6 Hedgerow Data'!$S$3:$AE$14,MATCH(C90,'G-6 Hedgerow Data'!$B$3:$B$14,0),MATCH(M90,'G-6 Hedgerow Data'!$S$2:$AE$2,0)),INDEX('G-6 Hedgerow Data'!$K$3:$Q$14,MATCH(M90,'G-6 Hedgerow Data'!$B$3:$B$14,0),MATCH(O90,'G-6 Hedgerow Data'!$K$2:$Q$2,0)))),"")</f>
        <v/>
      </c>
      <c r="Y90" s="195"/>
      <c r="Z90" s="195"/>
      <c r="AA90" s="507" t="str">
        <f t="shared" si="11"/>
        <v/>
      </c>
      <c r="AB90" s="521" t="str">
        <f t="shared" si="12"/>
        <v/>
      </c>
      <c r="AC90" s="522" t="str">
        <f t="shared" si="8"/>
        <v/>
      </c>
      <c r="AD90" s="537" t="str">
        <f>IF(M90="","",VLOOKUP(M90,'G-6 Hedgerow Data'!$B$3:$AG$15,31,FALSE))</f>
        <v/>
      </c>
      <c r="AE90" s="507" t="str">
        <f t="shared" si="13"/>
        <v/>
      </c>
      <c r="AF90" s="507" t="str">
        <f t="shared" si="14"/>
        <v/>
      </c>
      <c r="AG90" s="524" t="str">
        <f>IFERROR(IF(O90="","",VLOOKUP(AD90,'G-3 Multipliers'!$P$3:$Q$6,2,FALSE)),"")</f>
        <v/>
      </c>
      <c r="AH90" s="513" t="str">
        <f t="shared" si="9"/>
        <v/>
      </c>
      <c r="AI90" s="231"/>
      <c r="AJ90" s="150"/>
      <c r="AT90" s="31" t="str">
        <f>IFERROR(INDEX('G-6 Hedgerow Data'!$BJ$3:$BJ$15,MATCH(M90,'G-6 Hedgerow Data'!$B$3:$B$15,0)),"")</f>
        <v/>
      </c>
    </row>
    <row r="91" spans="2:46" ht="14" x14ac:dyDescent="0.3">
      <c r="B91" s="531" t="str">
        <f>'B-1 Site Hedge Baseline'!AK89</f>
        <v/>
      </c>
      <c r="C91" s="520" t="str">
        <f>IF(B91="","",IF(ISNA(VLOOKUP($B91,'B-1 Site Hedge Baseline'!$B$1:$L$257,3,FALSE)),"",(VLOOKUP($B91,'B-1 Site Hedge Baseline'!$B$1:$L$257,3,FALSE))))</f>
        <v/>
      </c>
      <c r="D91" s="520" t="str">
        <f>IF(B91="","",IF(ISNA(VLOOKUP($B91,'B-1 Site Hedge Baseline'!$B$1:$L$257,4,FALSE)),"",(VLOOKUP($B91,'B-1 Site Hedge Baseline'!$B$1:$L$257,4,FALSE))))</f>
        <v/>
      </c>
      <c r="E91" s="520" t="str">
        <f>IF(B91="","",IF(ISNA(VLOOKUP($B91,'B-1 Site Hedge Baseline'!$B$1:$L$257,5,FALSE)),"",(VLOOKUP($B91,'B-1 Site Hedge Baseline'!$B$1:$L$257,5,FALSE))))</f>
        <v/>
      </c>
      <c r="F91" s="520" t="str">
        <f>IF(B91="","",IF(ISNA(VLOOKUP($B91,'B-1 Site Hedge Baseline'!$B$1:$L$257,6,FALSE)),"",(VLOOKUP($B91,'B-1 Site Hedge Baseline'!$B$1:$L$257,6,FALSE))))</f>
        <v/>
      </c>
      <c r="G91" s="520" t="str">
        <f>IF(B91="","",IF(ISNA(VLOOKUP($B91,'B-1 Site Hedge Baseline'!$B$1:$L$257,7,FALSE)),"",(VLOOKUP($B91,'B-1 Site Hedge Baseline'!$B$1:$L$257,7,FALSE))))</f>
        <v/>
      </c>
      <c r="H91" s="520" t="str">
        <f>IF(B91="","",IF(ISNA(VLOOKUP($B91,'B-1 Site Hedge Baseline'!$B$1:$L$257,8,FALSE)),"",(VLOOKUP($B91,'B-1 Site Hedge Baseline'!$B$1:$L$257,8,FALSE))))</f>
        <v/>
      </c>
      <c r="I91" s="520" t="str">
        <f>IF(B91="","",IF(ISNA(VLOOKUP($B91,'B-1 Site Hedge Baseline'!$B$1:$L$257,10,FALSE)),"",(VLOOKUP($B91,'B-1 Site Hedge Baseline'!$B$1:$L$257,10,FALSE))))</f>
        <v/>
      </c>
      <c r="J91" s="520" t="str">
        <f>IF(B91="","",IF(ISNA(VLOOKUP($B91,'B-1 Site Hedge Baseline'!$B$1:$L$257,11,FALSE)),"",(VLOOKUP($B91,'B-1 Site Hedge Baseline'!$B$1:$L$257,11,FALSE))))</f>
        <v/>
      </c>
      <c r="K91" s="520" t="str">
        <f>IF(B91="","",IF(ISNA(VLOOKUP($B91,'B-1 Site Hedge Baseline'!$B$1:$U$257,13,FALSE)),"",(VLOOKUP($B91,'B-1 Site Hedge Baseline'!$B$1:$U$257,13,FALSE))))</f>
        <v/>
      </c>
      <c r="L91" s="524" t="str">
        <f>IF(B91="","",IF(ISNA(VLOOKUP($B91,'B-1 Site Hedge Baseline'!$B$1:$U$257,12,FALSE)),"",(VLOOKUP($B91,'B-1 Site Hedge Baseline'!$B$1:$U$257,12,FALSE))))</f>
        <v/>
      </c>
      <c r="M91" s="416" t="str">
        <f t="shared" si="15"/>
        <v/>
      </c>
      <c r="N91" s="498" t="str">
        <f>IFERROR(IF(B91="","",INDEX('G-6 Hedgerow Data'!$AN$3:$AZ$15,MATCH(C91,'G-6 Hedgerow Data'!$AM$3:$AM$15,0),MATCH(M91,'G-6 Hedgerow Data'!$AN$2:$AZ$2,0))),"")</f>
        <v/>
      </c>
      <c r="O91" s="499" t="str">
        <f t="shared" si="10"/>
        <v/>
      </c>
      <c r="P91" s="559" t="str">
        <f>IF(B91="","",VLOOKUP(B91,'B-1 Site Hedge Baseline'!$B$10:T336,16,FALSE))</f>
        <v/>
      </c>
      <c r="Q91" s="498" t="str">
        <f>IF(M91="","",VLOOKUP(M91,'G-6 Hedgerow Data'!$B$2:$AG$15,2,FALSE))</f>
        <v/>
      </c>
      <c r="R91" s="499" t="str">
        <f>IF(M91="","",VLOOKUP(M91,'G-6 Hedgerow Data'!$B$2:$AG$15,3,FALSE))</f>
        <v/>
      </c>
      <c r="S91" s="157"/>
      <c r="T91" s="540" t="str">
        <f>IFERROR(VLOOKUP(S91,'G-1 All Habitats'!$Z$2:$AA$9,2,FALSE),"")</f>
        <v/>
      </c>
      <c r="U91" s="154"/>
      <c r="V91" s="520" t="str">
        <f>IF(U91="","",IF(VLOOKUP(U91,'G-3 Multipliers'!$L$3:$N$6,2,FALSE)=0,"Spatial Data Missing ⚠",VLOOKUP(U91,'G-3 Multipliers'!$L$3:$N$6,2,FALSE)))</f>
        <v/>
      </c>
      <c r="W91" s="524" t="str">
        <f>IF(U91="","",IF(VLOOKUP(U91,'G-3 Multipliers'!$L$3:$N$6,3,FALSE)=0,"Spatial Data Missing ⚠",VLOOKUP(U91,'G-3 Multipliers'!$L$3:$N$6,3,FALSE)))</f>
        <v/>
      </c>
      <c r="X91" s="498" t="str">
        <f>IFERROR(IF(OR(LEFT(O91,5)="Error ▲",LEFT(N91,5)="Error ▲",T91="Error ▲"),"Check Data ⚠",IF(F91&lt;R91,INDEX('G-6 Hedgerow Data'!$S$3:$AE$14,MATCH(C91,'G-6 Hedgerow Data'!$B$3:$B$14,0),MATCH(M91,'G-6 Hedgerow Data'!$S$2:$AE$2,0)),INDEX('G-6 Hedgerow Data'!$K$3:$Q$14,MATCH(M91,'G-6 Hedgerow Data'!$B$3:$B$14,0),MATCH(O91,'G-6 Hedgerow Data'!$K$2:$Q$2,0)))),"")</f>
        <v/>
      </c>
      <c r="Y91" s="195"/>
      <c r="Z91" s="195"/>
      <c r="AA91" s="507" t="str">
        <f t="shared" si="11"/>
        <v/>
      </c>
      <c r="AB91" s="521" t="str">
        <f t="shared" si="12"/>
        <v/>
      </c>
      <c r="AC91" s="522" t="str">
        <f t="shared" si="8"/>
        <v/>
      </c>
      <c r="AD91" s="537" t="str">
        <f>IF(M91="","",VLOOKUP(M91,'G-6 Hedgerow Data'!$B$3:$AG$15,31,FALSE))</f>
        <v/>
      </c>
      <c r="AE91" s="507" t="str">
        <f t="shared" si="13"/>
        <v/>
      </c>
      <c r="AF91" s="507" t="str">
        <f t="shared" si="14"/>
        <v/>
      </c>
      <c r="AG91" s="524" t="str">
        <f>IFERROR(IF(O91="","",VLOOKUP(AD91,'G-3 Multipliers'!$P$3:$Q$6,2,FALSE)),"")</f>
        <v/>
      </c>
      <c r="AH91" s="513" t="str">
        <f t="shared" si="9"/>
        <v/>
      </c>
      <c r="AI91" s="231"/>
      <c r="AJ91" s="150"/>
      <c r="AT91" s="31" t="str">
        <f>IFERROR(INDEX('G-6 Hedgerow Data'!$BJ$3:$BJ$15,MATCH(M91,'G-6 Hedgerow Data'!$B$3:$B$15,0)),"")</f>
        <v/>
      </c>
    </row>
    <row r="92" spans="2:46" ht="14" x14ac:dyDescent="0.3">
      <c r="B92" s="531" t="str">
        <f>'B-1 Site Hedge Baseline'!AK90</f>
        <v/>
      </c>
      <c r="C92" s="520" t="str">
        <f>IF(B92="","",IF(ISNA(VLOOKUP($B92,'B-1 Site Hedge Baseline'!$B$1:$L$257,3,FALSE)),"",(VLOOKUP($B92,'B-1 Site Hedge Baseline'!$B$1:$L$257,3,FALSE))))</f>
        <v/>
      </c>
      <c r="D92" s="520" t="str">
        <f>IF(B92="","",IF(ISNA(VLOOKUP($B92,'B-1 Site Hedge Baseline'!$B$1:$L$257,4,FALSE)),"",(VLOOKUP($B92,'B-1 Site Hedge Baseline'!$B$1:$L$257,4,FALSE))))</f>
        <v/>
      </c>
      <c r="E92" s="520" t="str">
        <f>IF(B92="","",IF(ISNA(VLOOKUP($B92,'B-1 Site Hedge Baseline'!$B$1:$L$257,5,FALSE)),"",(VLOOKUP($B92,'B-1 Site Hedge Baseline'!$B$1:$L$257,5,FALSE))))</f>
        <v/>
      </c>
      <c r="F92" s="520" t="str">
        <f>IF(B92="","",IF(ISNA(VLOOKUP($B92,'B-1 Site Hedge Baseline'!$B$1:$L$257,6,FALSE)),"",(VLOOKUP($B92,'B-1 Site Hedge Baseline'!$B$1:$L$257,6,FALSE))))</f>
        <v/>
      </c>
      <c r="G92" s="520" t="str">
        <f>IF(B92="","",IF(ISNA(VLOOKUP($B92,'B-1 Site Hedge Baseline'!$B$1:$L$257,7,FALSE)),"",(VLOOKUP($B92,'B-1 Site Hedge Baseline'!$B$1:$L$257,7,FALSE))))</f>
        <v/>
      </c>
      <c r="H92" s="520" t="str">
        <f>IF(B92="","",IF(ISNA(VLOOKUP($B92,'B-1 Site Hedge Baseline'!$B$1:$L$257,8,FALSE)),"",(VLOOKUP($B92,'B-1 Site Hedge Baseline'!$B$1:$L$257,8,FALSE))))</f>
        <v/>
      </c>
      <c r="I92" s="520" t="str">
        <f>IF(B92="","",IF(ISNA(VLOOKUP($B92,'B-1 Site Hedge Baseline'!$B$1:$L$257,10,FALSE)),"",(VLOOKUP($B92,'B-1 Site Hedge Baseline'!$B$1:$L$257,10,FALSE))))</f>
        <v/>
      </c>
      <c r="J92" s="520" t="str">
        <f>IF(B92="","",IF(ISNA(VLOOKUP($B92,'B-1 Site Hedge Baseline'!$B$1:$L$257,11,FALSE)),"",(VLOOKUP($B92,'B-1 Site Hedge Baseline'!$B$1:$L$257,11,FALSE))))</f>
        <v/>
      </c>
      <c r="K92" s="520" t="str">
        <f>IF(B92="","",IF(ISNA(VLOOKUP($B92,'B-1 Site Hedge Baseline'!$B$1:$U$257,13,FALSE)),"",(VLOOKUP($B92,'B-1 Site Hedge Baseline'!$B$1:$U$257,13,FALSE))))</f>
        <v/>
      </c>
      <c r="L92" s="524" t="str">
        <f>IF(B92="","",IF(ISNA(VLOOKUP($B92,'B-1 Site Hedge Baseline'!$B$1:$U$257,12,FALSE)),"",(VLOOKUP($B92,'B-1 Site Hedge Baseline'!$B$1:$U$257,12,FALSE))))</f>
        <v/>
      </c>
      <c r="M92" s="416" t="str">
        <f t="shared" si="15"/>
        <v/>
      </c>
      <c r="N92" s="498" t="str">
        <f>IFERROR(IF(B92="","",INDEX('G-6 Hedgerow Data'!$AN$3:$AZ$15,MATCH(C92,'G-6 Hedgerow Data'!$AM$3:$AM$15,0),MATCH(M92,'G-6 Hedgerow Data'!$AN$2:$AZ$2,0))),"")</f>
        <v/>
      </c>
      <c r="O92" s="499" t="str">
        <f t="shared" si="10"/>
        <v/>
      </c>
      <c r="P92" s="559" t="str">
        <f>IF(B92="","",VLOOKUP(B92,'B-1 Site Hedge Baseline'!$B$10:T337,16,FALSE))</f>
        <v/>
      </c>
      <c r="Q92" s="498" t="str">
        <f>IF(M92="","",VLOOKUP(M92,'G-6 Hedgerow Data'!$B$2:$AG$15,2,FALSE))</f>
        <v/>
      </c>
      <c r="R92" s="499" t="str">
        <f>IF(M92="","",VLOOKUP(M92,'G-6 Hedgerow Data'!$B$2:$AG$15,3,FALSE))</f>
        <v/>
      </c>
      <c r="S92" s="157"/>
      <c r="T92" s="540" t="str">
        <f>IFERROR(VLOOKUP(S92,'G-1 All Habitats'!$Z$2:$AA$9,2,FALSE),"")</f>
        <v/>
      </c>
      <c r="U92" s="154"/>
      <c r="V92" s="520" t="str">
        <f>IF(U92="","",IF(VLOOKUP(U92,'G-3 Multipliers'!$L$3:$N$6,2,FALSE)=0,"Spatial Data Missing ⚠",VLOOKUP(U92,'G-3 Multipliers'!$L$3:$N$6,2,FALSE)))</f>
        <v/>
      </c>
      <c r="W92" s="524" t="str">
        <f>IF(U92="","",IF(VLOOKUP(U92,'G-3 Multipliers'!$L$3:$N$6,3,FALSE)=0,"Spatial Data Missing ⚠",VLOOKUP(U92,'G-3 Multipliers'!$L$3:$N$6,3,FALSE)))</f>
        <v/>
      </c>
      <c r="X92" s="498" t="str">
        <f>IFERROR(IF(OR(LEFT(O92,5)="Error ▲",LEFT(N92,5)="Error ▲",T92="Error ▲"),"Check Data ⚠",IF(F92&lt;R92,INDEX('G-6 Hedgerow Data'!$S$3:$AE$14,MATCH(C92,'G-6 Hedgerow Data'!$B$3:$B$14,0),MATCH(M92,'G-6 Hedgerow Data'!$S$2:$AE$2,0)),INDEX('G-6 Hedgerow Data'!$K$3:$Q$14,MATCH(M92,'G-6 Hedgerow Data'!$B$3:$B$14,0),MATCH(O92,'G-6 Hedgerow Data'!$K$2:$Q$2,0)))),"")</f>
        <v/>
      </c>
      <c r="Y92" s="195"/>
      <c r="Z92" s="195"/>
      <c r="AA92" s="507" t="str">
        <f t="shared" si="11"/>
        <v/>
      </c>
      <c r="AB92" s="521" t="str">
        <f t="shared" si="12"/>
        <v/>
      </c>
      <c r="AC92" s="522" t="str">
        <f t="shared" si="8"/>
        <v/>
      </c>
      <c r="AD92" s="537" t="str">
        <f>IF(M92="","",VLOOKUP(M92,'G-6 Hedgerow Data'!$B$3:$AG$15,31,FALSE))</f>
        <v/>
      </c>
      <c r="AE92" s="507" t="str">
        <f t="shared" si="13"/>
        <v/>
      </c>
      <c r="AF92" s="507" t="str">
        <f t="shared" si="14"/>
        <v/>
      </c>
      <c r="AG92" s="524" t="str">
        <f>IFERROR(IF(O92="","",VLOOKUP(AD92,'G-3 Multipliers'!$P$3:$Q$6,2,FALSE)),"")</f>
        <v/>
      </c>
      <c r="AH92" s="513" t="str">
        <f t="shared" si="9"/>
        <v/>
      </c>
      <c r="AI92" s="231"/>
      <c r="AJ92" s="150"/>
      <c r="AT92" s="31" t="str">
        <f>IFERROR(INDEX('G-6 Hedgerow Data'!$BJ$3:$BJ$15,MATCH(M92,'G-6 Hedgerow Data'!$B$3:$B$15,0)),"")</f>
        <v/>
      </c>
    </row>
    <row r="93" spans="2:46" ht="14" x14ac:dyDescent="0.3">
      <c r="B93" s="531" t="str">
        <f>'B-1 Site Hedge Baseline'!AK91</f>
        <v/>
      </c>
      <c r="C93" s="520" t="str">
        <f>IF(B93="","",IF(ISNA(VLOOKUP($B93,'B-1 Site Hedge Baseline'!$B$1:$L$257,3,FALSE)),"",(VLOOKUP($B93,'B-1 Site Hedge Baseline'!$B$1:$L$257,3,FALSE))))</f>
        <v/>
      </c>
      <c r="D93" s="520" t="str">
        <f>IF(B93="","",IF(ISNA(VLOOKUP($B93,'B-1 Site Hedge Baseline'!$B$1:$L$257,4,FALSE)),"",(VLOOKUP($B93,'B-1 Site Hedge Baseline'!$B$1:$L$257,4,FALSE))))</f>
        <v/>
      </c>
      <c r="E93" s="520" t="str">
        <f>IF(B93="","",IF(ISNA(VLOOKUP($B93,'B-1 Site Hedge Baseline'!$B$1:$L$257,5,FALSE)),"",(VLOOKUP($B93,'B-1 Site Hedge Baseline'!$B$1:$L$257,5,FALSE))))</f>
        <v/>
      </c>
      <c r="F93" s="520" t="str">
        <f>IF(B93="","",IF(ISNA(VLOOKUP($B93,'B-1 Site Hedge Baseline'!$B$1:$L$257,6,FALSE)),"",(VLOOKUP($B93,'B-1 Site Hedge Baseline'!$B$1:$L$257,6,FALSE))))</f>
        <v/>
      </c>
      <c r="G93" s="520" t="str">
        <f>IF(B93="","",IF(ISNA(VLOOKUP($B93,'B-1 Site Hedge Baseline'!$B$1:$L$257,7,FALSE)),"",(VLOOKUP($B93,'B-1 Site Hedge Baseline'!$B$1:$L$257,7,FALSE))))</f>
        <v/>
      </c>
      <c r="H93" s="520" t="str">
        <f>IF(B93="","",IF(ISNA(VLOOKUP($B93,'B-1 Site Hedge Baseline'!$B$1:$L$257,8,FALSE)),"",(VLOOKUP($B93,'B-1 Site Hedge Baseline'!$B$1:$L$257,8,FALSE))))</f>
        <v/>
      </c>
      <c r="I93" s="520" t="str">
        <f>IF(B93="","",IF(ISNA(VLOOKUP($B93,'B-1 Site Hedge Baseline'!$B$1:$L$257,10,FALSE)),"",(VLOOKUP($B93,'B-1 Site Hedge Baseline'!$B$1:$L$257,10,FALSE))))</f>
        <v/>
      </c>
      <c r="J93" s="520" t="str">
        <f>IF(B93="","",IF(ISNA(VLOOKUP($B93,'B-1 Site Hedge Baseline'!$B$1:$L$257,11,FALSE)),"",(VLOOKUP($B93,'B-1 Site Hedge Baseline'!$B$1:$L$257,11,FALSE))))</f>
        <v/>
      </c>
      <c r="K93" s="520" t="str">
        <f>IF(B93="","",IF(ISNA(VLOOKUP($B93,'B-1 Site Hedge Baseline'!$B$1:$U$257,13,FALSE)),"",(VLOOKUP($B93,'B-1 Site Hedge Baseline'!$B$1:$U$257,13,FALSE))))</f>
        <v/>
      </c>
      <c r="L93" s="524" t="str">
        <f>IF(B93="","",IF(ISNA(VLOOKUP($B93,'B-1 Site Hedge Baseline'!$B$1:$U$257,12,FALSE)),"",(VLOOKUP($B93,'B-1 Site Hedge Baseline'!$B$1:$U$257,12,FALSE))))</f>
        <v/>
      </c>
      <c r="M93" s="416" t="str">
        <f t="shared" si="15"/>
        <v/>
      </c>
      <c r="N93" s="498" t="str">
        <f>IFERROR(IF(B93="","",INDEX('G-6 Hedgerow Data'!$AN$3:$AZ$15,MATCH(C93,'G-6 Hedgerow Data'!$AM$3:$AM$15,0),MATCH(M93,'G-6 Hedgerow Data'!$AN$2:$AZ$2,0))),"")</f>
        <v/>
      </c>
      <c r="O93" s="499" t="str">
        <f t="shared" si="10"/>
        <v/>
      </c>
      <c r="P93" s="559" t="str">
        <f>IF(B93="","",VLOOKUP(B93,'B-1 Site Hedge Baseline'!$B$10:T338,16,FALSE))</f>
        <v/>
      </c>
      <c r="Q93" s="498" t="str">
        <f>IF(M93="","",VLOOKUP(M93,'G-6 Hedgerow Data'!$B$2:$AG$15,2,FALSE))</f>
        <v/>
      </c>
      <c r="R93" s="499" t="str">
        <f>IF(M93="","",VLOOKUP(M93,'G-6 Hedgerow Data'!$B$2:$AG$15,3,FALSE))</f>
        <v/>
      </c>
      <c r="S93" s="157"/>
      <c r="T93" s="540" t="str">
        <f>IFERROR(VLOOKUP(S93,'G-1 All Habitats'!$Z$2:$AA$9,2,FALSE),"")</f>
        <v/>
      </c>
      <c r="U93" s="154"/>
      <c r="V93" s="520" t="str">
        <f>IF(U93="","",IF(VLOOKUP(U93,'G-3 Multipliers'!$L$3:$N$6,2,FALSE)=0,"Spatial Data Missing ⚠",VLOOKUP(U93,'G-3 Multipliers'!$L$3:$N$6,2,FALSE)))</f>
        <v/>
      </c>
      <c r="W93" s="524" t="str">
        <f>IF(U93="","",IF(VLOOKUP(U93,'G-3 Multipliers'!$L$3:$N$6,3,FALSE)=0,"Spatial Data Missing ⚠",VLOOKUP(U93,'G-3 Multipliers'!$L$3:$N$6,3,FALSE)))</f>
        <v/>
      </c>
      <c r="X93" s="498" t="str">
        <f>IFERROR(IF(OR(LEFT(O93,5)="Error ▲",LEFT(N93,5)="Error ▲",T93="Error ▲"),"Check Data ⚠",IF(F93&lt;R93,INDEX('G-6 Hedgerow Data'!$S$3:$AE$14,MATCH(C93,'G-6 Hedgerow Data'!$B$3:$B$14,0),MATCH(M93,'G-6 Hedgerow Data'!$S$2:$AE$2,0)),INDEX('G-6 Hedgerow Data'!$K$3:$Q$14,MATCH(M93,'G-6 Hedgerow Data'!$B$3:$B$14,0),MATCH(O93,'G-6 Hedgerow Data'!$K$2:$Q$2,0)))),"")</f>
        <v/>
      </c>
      <c r="Y93" s="195"/>
      <c r="Z93" s="195"/>
      <c r="AA93" s="507" t="str">
        <f t="shared" si="11"/>
        <v/>
      </c>
      <c r="AB93" s="521" t="str">
        <f t="shared" si="12"/>
        <v/>
      </c>
      <c r="AC93" s="522" t="str">
        <f t="shared" si="8"/>
        <v/>
      </c>
      <c r="AD93" s="537" t="str">
        <f>IF(M93="","",VLOOKUP(M93,'G-6 Hedgerow Data'!$B$3:$AG$15,31,FALSE))</f>
        <v/>
      </c>
      <c r="AE93" s="507" t="str">
        <f t="shared" si="13"/>
        <v/>
      </c>
      <c r="AF93" s="507" t="str">
        <f t="shared" si="14"/>
        <v/>
      </c>
      <c r="AG93" s="524" t="str">
        <f>IFERROR(IF(O93="","",VLOOKUP(AD93,'G-3 Multipliers'!$P$3:$Q$6,2,FALSE)),"")</f>
        <v/>
      </c>
      <c r="AH93" s="513" t="str">
        <f t="shared" si="9"/>
        <v/>
      </c>
      <c r="AI93" s="231"/>
      <c r="AJ93" s="150"/>
      <c r="AT93" s="31" t="str">
        <f>IFERROR(INDEX('G-6 Hedgerow Data'!$BJ$3:$BJ$15,MATCH(M93,'G-6 Hedgerow Data'!$B$3:$B$15,0)),"")</f>
        <v/>
      </c>
    </row>
    <row r="94" spans="2:46" ht="14" x14ac:dyDescent="0.3">
      <c r="B94" s="531" t="str">
        <f>'B-1 Site Hedge Baseline'!AK92</f>
        <v/>
      </c>
      <c r="C94" s="520" t="str">
        <f>IF(B94="","",IF(ISNA(VLOOKUP($B94,'B-1 Site Hedge Baseline'!$B$1:$L$257,3,FALSE)),"",(VLOOKUP($B94,'B-1 Site Hedge Baseline'!$B$1:$L$257,3,FALSE))))</f>
        <v/>
      </c>
      <c r="D94" s="520" t="str">
        <f>IF(B94="","",IF(ISNA(VLOOKUP($B94,'B-1 Site Hedge Baseline'!$B$1:$L$257,4,FALSE)),"",(VLOOKUP($B94,'B-1 Site Hedge Baseline'!$B$1:$L$257,4,FALSE))))</f>
        <v/>
      </c>
      <c r="E94" s="520" t="str">
        <f>IF(B94="","",IF(ISNA(VLOOKUP($B94,'B-1 Site Hedge Baseline'!$B$1:$L$257,5,FALSE)),"",(VLOOKUP($B94,'B-1 Site Hedge Baseline'!$B$1:$L$257,5,FALSE))))</f>
        <v/>
      </c>
      <c r="F94" s="520" t="str">
        <f>IF(B94="","",IF(ISNA(VLOOKUP($B94,'B-1 Site Hedge Baseline'!$B$1:$L$257,6,FALSE)),"",(VLOOKUP($B94,'B-1 Site Hedge Baseline'!$B$1:$L$257,6,FALSE))))</f>
        <v/>
      </c>
      <c r="G94" s="520" t="str">
        <f>IF(B94="","",IF(ISNA(VLOOKUP($B94,'B-1 Site Hedge Baseline'!$B$1:$L$257,7,FALSE)),"",(VLOOKUP($B94,'B-1 Site Hedge Baseline'!$B$1:$L$257,7,FALSE))))</f>
        <v/>
      </c>
      <c r="H94" s="520" t="str">
        <f>IF(B94="","",IF(ISNA(VLOOKUP($B94,'B-1 Site Hedge Baseline'!$B$1:$L$257,8,FALSE)),"",(VLOOKUP($B94,'B-1 Site Hedge Baseline'!$B$1:$L$257,8,FALSE))))</f>
        <v/>
      </c>
      <c r="I94" s="520" t="str">
        <f>IF(B94="","",IF(ISNA(VLOOKUP($B94,'B-1 Site Hedge Baseline'!$B$1:$L$257,10,FALSE)),"",(VLOOKUP($B94,'B-1 Site Hedge Baseline'!$B$1:$L$257,10,FALSE))))</f>
        <v/>
      </c>
      <c r="J94" s="520" t="str">
        <f>IF(B94="","",IF(ISNA(VLOOKUP($B94,'B-1 Site Hedge Baseline'!$B$1:$L$257,11,FALSE)),"",(VLOOKUP($B94,'B-1 Site Hedge Baseline'!$B$1:$L$257,11,FALSE))))</f>
        <v/>
      </c>
      <c r="K94" s="520" t="str">
        <f>IF(B94="","",IF(ISNA(VLOOKUP($B94,'B-1 Site Hedge Baseline'!$B$1:$U$257,13,FALSE)),"",(VLOOKUP($B94,'B-1 Site Hedge Baseline'!$B$1:$U$257,13,FALSE))))</f>
        <v/>
      </c>
      <c r="L94" s="524" t="str">
        <f>IF(B94="","",IF(ISNA(VLOOKUP($B94,'B-1 Site Hedge Baseline'!$B$1:$U$257,12,FALSE)),"",(VLOOKUP($B94,'B-1 Site Hedge Baseline'!$B$1:$U$257,12,FALSE))))</f>
        <v/>
      </c>
      <c r="M94" s="416" t="str">
        <f t="shared" si="15"/>
        <v/>
      </c>
      <c r="N94" s="498" t="str">
        <f>IFERROR(IF(B94="","",INDEX('G-6 Hedgerow Data'!$AN$3:$AZ$15,MATCH(C94,'G-6 Hedgerow Data'!$AM$3:$AM$15,0),MATCH(M94,'G-6 Hedgerow Data'!$AN$2:$AZ$2,0))),"")</f>
        <v/>
      </c>
      <c r="O94" s="499" t="str">
        <f t="shared" si="10"/>
        <v/>
      </c>
      <c r="P94" s="559" t="str">
        <f>IF(B94="","",VLOOKUP(B94,'B-1 Site Hedge Baseline'!$B$10:T339,16,FALSE))</f>
        <v/>
      </c>
      <c r="Q94" s="498" t="str">
        <f>IF(M94="","",VLOOKUP(M94,'G-6 Hedgerow Data'!$B$2:$AG$15,2,FALSE))</f>
        <v/>
      </c>
      <c r="R94" s="499" t="str">
        <f>IF(M94="","",VLOOKUP(M94,'G-6 Hedgerow Data'!$B$2:$AG$15,3,FALSE))</f>
        <v/>
      </c>
      <c r="S94" s="157"/>
      <c r="T94" s="540" t="str">
        <f>IFERROR(VLOOKUP(S94,'G-1 All Habitats'!$Z$2:$AA$9,2,FALSE),"")</f>
        <v/>
      </c>
      <c r="U94" s="154"/>
      <c r="V94" s="520" t="str">
        <f>IF(U94="","",IF(VLOOKUP(U94,'G-3 Multipliers'!$L$3:$N$6,2,FALSE)=0,"Spatial Data Missing ⚠",VLOOKUP(U94,'G-3 Multipliers'!$L$3:$N$6,2,FALSE)))</f>
        <v/>
      </c>
      <c r="W94" s="524" t="str">
        <f>IF(U94="","",IF(VLOOKUP(U94,'G-3 Multipliers'!$L$3:$N$6,3,FALSE)=0,"Spatial Data Missing ⚠",VLOOKUP(U94,'G-3 Multipliers'!$L$3:$N$6,3,FALSE)))</f>
        <v/>
      </c>
      <c r="X94" s="498" t="str">
        <f>IFERROR(IF(OR(LEFT(O94,5)="Error ▲",LEFT(N94,5)="Error ▲",T94="Error ▲"),"Check Data ⚠",IF(F94&lt;R94,INDEX('G-6 Hedgerow Data'!$S$3:$AE$14,MATCH(C94,'G-6 Hedgerow Data'!$B$3:$B$14,0),MATCH(M94,'G-6 Hedgerow Data'!$S$2:$AE$2,0)),INDEX('G-6 Hedgerow Data'!$K$3:$Q$14,MATCH(M94,'G-6 Hedgerow Data'!$B$3:$B$14,0),MATCH(O94,'G-6 Hedgerow Data'!$K$2:$Q$2,0)))),"")</f>
        <v/>
      </c>
      <c r="Y94" s="195"/>
      <c r="Z94" s="195"/>
      <c r="AA94" s="507" t="str">
        <f t="shared" si="11"/>
        <v/>
      </c>
      <c r="AB94" s="521" t="str">
        <f t="shared" si="12"/>
        <v/>
      </c>
      <c r="AC94" s="522" t="str">
        <f t="shared" si="8"/>
        <v/>
      </c>
      <c r="AD94" s="537" t="str">
        <f>IF(M94="","",VLOOKUP(M94,'G-6 Hedgerow Data'!$B$3:$AG$15,31,FALSE))</f>
        <v/>
      </c>
      <c r="AE94" s="507" t="str">
        <f t="shared" si="13"/>
        <v/>
      </c>
      <c r="AF94" s="507" t="str">
        <f t="shared" si="14"/>
        <v/>
      </c>
      <c r="AG94" s="524" t="str">
        <f>IFERROR(IF(O94="","",VLOOKUP(AD94,'G-3 Multipliers'!$P$3:$Q$6,2,FALSE)),"")</f>
        <v/>
      </c>
      <c r="AH94" s="513" t="str">
        <f t="shared" si="9"/>
        <v/>
      </c>
      <c r="AI94" s="231"/>
      <c r="AJ94" s="150"/>
      <c r="AT94" s="31" t="str">
        <f>IFERROR(INDEX('G-6 Hedgerow Data'!$BJ$3:$BJ$15,MATCH(M94,'G-6 Hedgerow Data'!$B$3:$B$15,0)),"")</f>
        <v/>
      </c>
    </row>
    <row r="95" spans="2:46" ht="14" x14ac:dyDescent="0.3">
      <c r="B95" s="531" t="str">
        <f>'B-1 Site Hedge Baseline'!AK93</f>
        <v/>
      </c>
      <c r="C95" s="520" t="str">
        <f>IF(B95="","",IF(ISNA(VLOOKUP($B95,'B-1 Site Hedge Baseline'!$B$1:$L$257,3,FALSE)),"",(VLOOKUP($B95,'B-1 Site Hedge Baseline'!$B$1:$L$257,3,FALSE))))</f>
        <v/>
      </c>
      <c r="D95" s="520" t="str">
        <f>IF(B95="","",IF(ISNA(VLOOKUP($B95,'B-1 Site Hedge Baseline'!$B$1:$L$257,4,FALSE)),"",(VLOOKUP($B95,'B-1 Site Hedge Baseline'!$B$1:$L$257,4,FALSE))))</f>
        <v/>
      </c>
      <c r="E95" s="520" t="str">
        <f>IF(B95="","",IF(ISNA(VLOOKUP($B95,'B-1 Site Hedge Baseline'!$B$1:$L$257,5,FALSE)),"",(VLOOKUP($B95,'B-1 Site Hedge Baseline'!$B$1:$L$257,5,FALSE))))</f>
        <v/>
      </c>
      <c r="F95" s="520" t="str">
        <f>IF(B95="","",IF(ISNA(VLOOKUP($B95,'B-1 Site Hedge Baseline'!$B$1:$L$257,6,FALSE)),"",(VLOOKUP($B95,'B-1 Site Hedge Baseline'!$B$1:$L$257,6,FALSE))))</f>
        <v/>
      </c>
      <c r="G95" s="520" t="str">
        <f>IF(B95="","",IF(ISNA(VLOOKUP($B95,'B-1 Site Hedge Baseline'!$B$1:$L$257,7,FALSE)),"",(VLOOKUP($B95,'B-1 Site Hedge Baseline'!$B$1:$L$257,7,FALSE))))</f>
        <v/>
      </c>
      <c r="H95" s="520" t="str">
        <f>IF(B95="","",IF(ISNA(VLOOKUP($B95,'B-1 Site Hedge Baseline'!$B$1:$L$257,8,FALSE)),"",(VLOOKUP($B95,'B-1 Site Hedge Baseline'!$B$1:$L$257,8,FALSE))))</f>
        <v/>
      </c>
      <c r="I95" s="520" t="str">
        <f>IF(B95="","",IF(ISNA(VLOOKUP($B95,'B-1 Site Hedge Baseline'!$B$1:$L$257,10,FALSE)),"",(VLOOKUP($B95,'B-1 Site Hedge Baseline'!$B$1:$L$257,10,FALSE))))</f>
        <v/>
      </c>
      <c r="J95" s="520" t="str">
        <f>IF(B95="","",IF(ISNA(VLOOKUP($B95,'B-1 Site Hedge Baseline'!$B$1:$L$257,11,FALSE)),"",(VLOOKUP($B95,'B-1 Site Hedge Baseline'!$B$1:$L$257,11,FALSE))))</f>
        <v/>
      </c>
      <c r="K95" s="520" t="str">
        <f>IF(B95="","",IF(ISNA(VLOOKUP($B95,'B-1 Site Hedge Baseline'!$B$1:$U$257,13,FALSE)),"",(VLOOKUP($B95,'B-1 Site Hedge Baseline'!$B$1:$U$257,13,FALSE))))</f>
        <v/>
      </c>
      <c r="L95" s="524" t="str">
        <f>IF(B95="","",IF(ISNA(VLOOKUP($B95,'B-1 Site Hedge Baseline'!$B$1:$U$257,12,FALSE)),"",(VLOOKUP($B95,'B-1 Site Hedge Baseline'!$B$1:$U$257,12,FALSE))))</f>
        <v/>
      </c>
      <c r="M95" s="416" t="str">
        <f t="shared" si="15"/>
        <v/>
      </c>
      <c r="N95" s="498" t="str">
        <f>IFERROR(IF(B95="","",INDEX('G-6 Hedgerow Data'!$AN$3:$AZ$15,MATCH(C95,'G-6 Hedgerow Data'!$AM$3:$AM$15,0),MATCH(M95,'G-6 Hedgerow Data'!$AN$2:$AZ$2,0))),"")</f>
        <v/>
      </c>
      <c r="O95" s="499" t="str">
        <f t="shared" si="10"/>
        <v/>
      </c>
      <c r="P95" s="559" t="str">
        <f>IF(B95="","",VLOOKUP(B95,'B-1 Site Hedge Baseline'!$B$10:T340,16,FALSE))</f>
        <v/>
      </c>
      <c r="Q95" s="498" t="str">
        <f>IF(M95="","",VLOOKUP(M95,'G-6 Hedgerow Data'!$B$2:$AG$15,2,FALSE))</f>
        <v/>
      </c>
      <c r="R95" s="499" t="str">
        <f>IF(M95="","",VLOOKUP(M95,'G-6 Hedgerow Data'!$B$2:$AG$15,3,FALSE))</f>
        <v/>
      </c>
      <c r="S95" s="157"/>
      <c r="T95" s="540" t="str">
        <f>IFERROR(VLOOKUP(S95,'G-1 All Habitats'!$Z$2:$AA$9,2,FALSE),"")</f>
        <v/>
      </c>
      <c r="U95" s="154"/>
      <c r="V95" s="520" t="str">
        <f>IF(U95="","",IF(VLOOKUP(U95,'G-3 Multipliers'!$L$3:$N$6,2,FALSE)=0,"Spatial Data Missing ⚠",VLOOKUP(U95,'G-3 Multipliers'!$L$3:$N$6,2,FALSE)))</f>
        <v/>
      </c>
      <c r="W95" s="524" t="str">
        <f>IF(U95="","",IF(VLOOKUP(U95,'G-3 Multipliers'!$L$3:$N$6,3,FALSE)=0,"Spatial Data Missing ⚠",VLOOKUP(U95,'G-3 Multipliers'!$L$3:$N$6,3,FALSE)))</f>
        <v/>
      </c>
      <c r="X95" s="498" t="str">
        <f>IFERROR(IF(OR(LEFT(O95,5)="Error ▲",LEFT(N95,5)="Error ▲",T95="Error ▲"),"Check Data ⚠",IF(F95&lt;R95,INDEX('G-6 Hedgerow Data'!$S$3:$AE$14,MATCH(C95,'G-6 Hedgerow Data'!$B$3:$B$14,0),MATCH(M95,'G-6 Hedgerow Data'!$S$2:$AE$2,0)),INDEX('G-6 Hedgerow Data'!$K$3:$Q$14,MATCH(M95,'G-6 Hedgerow Data'!$B$3:$B$14,0),MATCH(O95,'G-6 Hedgerow Data'!$K$2:$Q$2,0)))),"")</f>
        <v/>
      </c>
      <c r="Y95" s="195"/>
      <c r="Z95" s="195"/>
      <c r="AA95" s="507" t="str">
        <f t="shared" si="11"/>
        <v/>
      </c>
      <c r="AB95" s="521" t="str">
        <f t="shared" si="12"/>
        <v/>
      </c>
      <c r="AC95" s="522" t="str">
        <f t="shared" si="8"/>
        <v/>
      </c>
      <c r="AD95" s="537" t="str">
        <f>IF(M95="","",VLOOKUP(M95,'G-6 Hedgerow Data'!$B$3:$AG$15,31,FALSE))</f>
        <v/>
      </c>
      <c r="AE95" s="507" t="str">
        <f t="shared" si="13"/>
        <v/>
      </c>
      <c r="AF95" s="507" t="str">
        <f t="shared" si="14"/>
        <v/>
      </c>
      <c r="AG95" s="524" t="str">
        <f>IFERROR(IF(O95="","",VLOOKUP(AD95,'G-3 Multipliers'!$P$3:$Q$6,2,FALSE)),"")</f>
        <v/>
      </c>
      <c r="AH95" s="513" t="str">
        <f t="shared" si="9"/>
        <v/>
      </c>
      <c r="AI95" s="231"/>
      <c r="AJ95" s="150"/>
      <c r="AT95" s="31" t="str">
        <f>IFERROR(INDEX('G-6 Hedgerow Data'!$BJ$3:$BJ$15,MATCH(M95,'G-6 Hedgerow Data'!$B$3:$B$15,0)),"")</f>
        <v/>
      </c>
    </row>
    <row r="96" spans="2:46" ht="14" x14ac:dyDescent="0.3">
      <c r="B96" s="531" t="str">
        <f>'B-1 Site Hedge Baseline'!AK94</f>
        <v/>
      </c>
      <c r="C96" s="520" t="str">
        <f>IF(B96="","",IF(ISNA(VLOOKUP($B96,'B-1 Site Hedge Baseline'!$B$1:$L$257,3,FALSE)),"",(VLOOKUP($B96,'B-1 Site Hedge Baseline'!$B$1:$L$257,3,FALSE))))</f>
        <v/>
      </c>
      <c r="D96" s="520" t="str">
        <f>IF(B96="","",IF(ISNA(VLOOKUP($B96,'B-1 Site Hedge Baseline'!$B$1:$L$257,4,FALSE)),"",(VLOOKUP($B96,'B-1 Site Hedge Baseline'!$B$1:$L$257,4,FALSE))))</f>
        <v/>
      </c>
      <c r="E96" s="520" t="str">
        <f>IF(B96="","",IF(ISNA(VLOOKUP($B96,'B-1 Site Hedge Baseline'!$B$1:$L$257,5,FALSE)),"",(VLOOKUP($B96,'B-1 Site Hedge Baseline'!$B$1:$L$257,5,FALSE))))</f>
        <v/>
      </c>
      <c r="F96" s="520" t="str">
        <f>IF(B96="","",IF(ISNA(VLOOKUP($B96,'B-1 Site Hedge Baseline'!$B$1:$L$257,6,FALSE)),"",(VLOOKUP($B96,'B-1 Site Hedge Baseline'!$B$1:$L$257,6,FALSE))))</f>
        <v/>
      </c>
      <c r="G96" s="520" t="str">
        <f>IF(B96="","",IF(ISNA(VLOOKUP($B96,'B-1 Site Hedge Baseline'!$B$1:$L$257,7,FALSE)),"",(VLOOKUP($B96,'B-1 Site Hedge Baseline'!$B$1:$L$257,7,FALSE))))</f>
        <v/>
      </c>
      <c r="H96" s="520" t="str">
        <f>IF(B96="","",IF(ISNA(VLOOKUP($B96,'B-1 Site Hedge Baseline'!$B$1:$L$257,8,FALSE)),"",(VLOOKUP($B96,'B-1 Site Hedge Baseline'!$B$1:$L$257,8,FALSE))))</f>
        <v/>
      </c>
      <c r="I96" s="520" t="str">
        <f>IF(B96="","",IF(ISNA(VLOOKUP($B96,'B-1 Site Hedge Baseline'!$B$1:$L$257,10,FALSE)),"",(VLOOKUP($B96,'B-1 Site Hedge Baseline'!$B$1:$L$257,10,FALSE))))</f>
        <v/>
      </c>
      <c r="J96" s="520" t="str">
        <f>IF(B96="","",IF(ISNA(VLOOKUP($B96,'B-1 Site Hedge Baseline'!$B$1:$L$257,11,FALSE)),"",(VLOOKUP($B96,'B-1 Site Hedge Baseline'!$B$1:$L$257,11,FALSE))))</f>
        <v/>
      </c>
      <c r="K96" s="520" t="str">
        <f>IF(B96="","",IF(ISNA(VLOOKUP($B96,'B-1 Site Hedge Baseline'!$B$1:$U$257,13,FALSE)),"",(VLOOKUP($B96,'B-1 Site Hedge Baseline'!$B$1:$U$257,13,FALSE))))</f>
        <v/>
      </c>
      <c r="L96" s="524" t="str">
        <f>IF(B96="","",IF(ISNA(VLOOKUP($B96,'B-1 Site Hedge Baseline'!$B$1:$U$257,12,FALSE)),"",(VLOOKUP($B96,'B-1 Site Hedge Baseline'!$B$1:$U$257,12,FALSE))))</f>
        <v/>
      </c>
      <c r="M96" s="416" t="str">
        <f t="shared" si="15"/>
        <v/>
      </c>
      <c r="N96" s="498" t="str">
        <f>IFERROR(IF(B96="","",INDEX('G-6 Hedgerow Data'!$AN$3:$AZ$15,MATCH(C96,'G-6 Hedgerow Data'!$AM$3:$AM$15,0),MATCH(M96,'G-6 Hedgerow Data'!$AN$2:$AZ$2,0))),"")</f>
        <v/>
      </c>
      <c r="O96" s="499" t="str">
        <f t="shared" si="10"/>
        <v/>
      </c>
      <c r="P96" s="559" t="str">
        <f>IF(B96="","",VLOOKUP(B96,'B-1 Site Hedge Baseline'!$B$10:T341,16,FALSE))</f>
        <v/>
      </c>
      <c r="Q96" s="498" t="str">
        <f>IF(M96="","",VLOOKUP(M96,'G-6 Hedgerow Data'!$B$2:$AG$15,2,FALSE))</f>
        <v/>
      </c>
      <c r="R96" s="499" t="str">
        <f>IF(M96="","",VLOOKUP(M96,'G-6 Hedgerow Data'!$B$2:$AG$15,3,FALSE))</f>
        <v/>
      </c>
      <c r="S96" s="157"/>
      <c r="T96" s="540" t="str">
        <f>IFERROR(VLOOKUP(S96,'G-1 All Habitats'!$Z$2:$AA$9,2,FALSE),"")</f>
        <v/>
      </c>
      <c r="U96" s="154"/>
      <c r="V96" s="520" t="str">
        <f>IF(U96="","",IF(VLOOKUP(U96,'G-3 Multipliers'!$L$3:$N$6,2,FALSE)=0,"Spatial Data Missing ⚠",VLOOKUP(U96,'G-3 Multipliers'!$L$3:$N$6,2,FALSE)))</f>
        <v/>
      </c>
      <c r="W96" s="524" t="str">
        <f>IF(U96="","",IF(VLOOKUP(U96,'G-3 Multipliers'!$L$3:$N$6,3,FALSE)=0,"Spatial Data Missing ⚠",VLOOKUP(U96,'G-3 Multipliers'!$L$3:$N$6,3,FALSE)))</f>
        <v/>
      </c>
      <c r="X96" s="498" t="str">
        <f>IFERROR(IF(OR(LEFT(O96,5)="Error ▲",LEFT(N96,5)="Error ▲",T96="Error ▲"),"Check Data ⚠",IF(F96&lt;R96,INDEX('G-6 Hedgerow Data'!$S$3:$AE$14,MATCH(C96,'G-6 Hedgerow Data'!$B$3:$B$14,0),MATCH(M96,'G-6 Hedgerow Data'!$S$2:$AE$2,0)),INDEX('G-6 Hedgerow Data'!$K$3:$Q$14,MATCH(M96,'G-6 Hedgerow Data'!$B$3:$B$14,0),MATCH(O96,'G-6 Hedgerow Data'!$K$2:$Q$2,0)))),"")</f>
        <v/>
      </c>
      <c r="Y96" s="195"/>
      <c r="Z96" s="195"/>
      <c r="AA96" s="507" t="str">
        <f t="shared" si="11"/>
        <v/>
      </c>
      <c r="AB96" s="521" t="str">
        <f t="shared" si="12"/>
        <v/>
      </c>
      <c r="AC96" s="522" t="str">
        <f t="shared" si="8"/>
        <v/>
      </c>
      <c r="AD96" s="537" t="str">
        <f>IF(M96="","",VLOOKUP(M96,'G-6 Hedgerow Data'!$B$3:$AG$15,31,FALSE))</f>
        <v/>
      </c>
      <c r="AE96" s="507" t="str">
        <f t="shared" si="13"/>
        <v/>
      </c>
      <c r="AF96" s="507" t="str">
        <f t="shared" si="14"/>
        <v/>
      </c>
      <c r="AG96" s="524" t="str">
        <f>IFERROR(IF(O96="","",VLOOKUP(AD96,'G-3 Multipliers'!$P$3:$Q$6,2,FALSE)),"")</f>
        <v/>
      </c>
      <c r="AH96" s="513" t="str">
        <f t="shared" si="9"/>
        <v/>
      </c>
      <c r="AI96" s="231"/>
      <c r="AJ96" s="150"/>
      <c r="AT96" s="31" t="str">
        <f>IFERROR(INDEX('G-6 Hedgerow Data'!$BJ$3:$BJ$15,MATCH(M96,'G-6 Hedgerow Data'!$B$3:$B$15,0)),"")</f>
        <v/>
      </c>
    </row>
    <row r="97" spans="2:46" ht="14" x14ac:dyDescent="0.3">
      <c r="B97" s="531" t="str">
        <f>'B-1 Site Hedge Baseline'!AK95</f>
        <v/>
      </c>
      <c r="C97" s="520" t="str">
        <f>IF(B97="","",IF(ISNA(VLOOKUP($B97,'B-1 Site Hedge Baseline'!$B$1:$L$257,3,FALSE)),"",(VLOOKUP($B97,'B-1 Site Hedge Baseline'!$B$1:$L$257,3,FALSE))))</f>
        <v/>
      </c>
      <c r="D97" s="520" t="str">
        <f>IF(B97="","",IF(ISNA(VLOOKUP($B97,'B-1 Site Hedge Baseline'!$B$1:$L$257,4,FALSE)),"",(VLOOKUP($B97,'B-1 Site Hedge Baseline'!$B$1:$L$257,4,FALSE))))</f>
        <v/>
      </c>
      <c r="E97" s="520" t="str">
        <f>IF(B97="","",IF(ISNA(VLOOKUP($B97,'B-1 Site Hedge Baseline'!$B$1:$L$257,5,FALSE)),"",(VLOOKUP($B97,'B-1 Site Hedge Baseline'!$B$1:$L$257,5,FALSE))))</f>
        <v/>
      </c>
      <c r="F97" s="520" t="str">
        <f>IF(B97="","",IF(ISNA(VLOOKUP($B97,'B-1 Site Hedge Baseline'!$B$1:$L$257,6,FALSE)),"",(VLOOKUP($B97,'B-1 Site Hedge Baseline'!$B$1:$L$257,6,FALSE))))</f>
        <v/>
      </c>
      <c r="G97" s="520" t="str">
        <f>IF(B97="","",IF(ISNA(VLOOKUP($B97,'B-1 Site Hedge Baseline'!$B$1:$L$257,7,FALSE)),"",(VLOOKUP($B97,'B-1 Site Hedge Baseline'!$B$1:$L$257,7,FALSE))))</f>
        <v/>
      </c>
      <c r="H97" s="520" t="str">
        <f>IF(B97="","",IF(ISNA(VLOOKUP($B97,'B-1 Site Hedge Baseline'!$B$1:$L$257,8,FALSE)),"",(VLOOKUP($B97,'B-1 Site Hedge Baseline'!$B$1:$L$257,8,FALSE))))</f>
        <v/>
      </c>
      <c r="I97" s="520" t="str">
        <f>IF(B97="","",IF(ISNA(VLOOKUP($B97,'B-1 Site Hedge Baseline'!$B$1:$L$257,10,FALSE)),"",(VLOOKUP($B97,'B-1 Site Hedge Baseline'!$B$1:$L$257,10,FALSE))))</f>
        <v/>
      </c>
      <c r="J97" s="520" t="str">
        <f>IF(B97="","",IF(ISNA(VLOOKUP($B97,'B-1 Site Hedge Baseline'!$B$1:$L$257,11,FALSE)),"",(VLOOKUP($B97,'B-1 Site Hedge Baseline'!$B$1:$L$257,11,FALSE))))</f>
        <v/>
      </c>
      <c r="K97" s="520" t="str">
        <f>IF(B97="","",IF(ISNA(VLOOKUP($B97,'B-1 Site Hedge Baseline'!$B$1:$U$257,13,FALSE)),"",(VLOOKUP($B97,'B-1 Site Hedge Baseline'!$B$1:$U$257,13,FALSE))))</f>
        <v/>
      </c>
      <c r="L97" s="524" t="str">
        <f>IF(B97="","",IF(ISNA(VLOOKUP($B97,'B-1 Site Hedge Baseline'!$B$1:$U$257,12,FALSE)),"",(VLOOKUP($B97,'B-1 Site Hedge Baseline'!$B$1:$U$257,12,FALSE))))</f>
        <v/>
      </c>
      <c r="M97" s="416" t="str">
        <f t="shared" si="15"/>
        <v/>
      </c>
      <c r="N97" s="498" t="str">
        <f>IFERROR(IF(B97="","",INDEX('G-6 Hedgerow Data'!$AN$3:$AZ$15,MATCH(C97,'G-6 Hedgerow Data'!$AM$3:$AM$15,0),MATCH(M97,'G-6 Hedgerow Data'!$AN$2:$AZ$2,0))),"")</f>
        <v/>
      </c>
      <c r="O97" s="499" t="str">
        <f t="shared" si="10"/>
        <v/>
      </c>
      <c r="P97" s="559" t="str">
        <f>IF(B97="","",VLOOKUP(B97,'B-1 Site Hedge Baseline'!$B$10:T342,16,FALSE))</f>
        <v/>
      </c>
      <c r="Q97" s="498" t="str">
        <f>IF(M97="","",VLOOKUP(M97,'G-6 Hedgerow Data'!$B$2:$AG$15,2,FALSE))</f>
        <v/>
      </c>
      <c r="R97" s="499" t="str">
        <f>IF(M97="","",VLOOKUP(M97,'G-6 Hedgerow Data'!$B$2:$AG$15,3,FALSE))</f>
        <v/>
      </c>
      <c r="S97" s="157"/>
      <c r="T97" s="540" t="str">
        <f>IFERROR(VLOOKUP(S97,'G-1 All Habitats'!$Z$2:$AA$9,2,FALSE),"")</f>
        <v/>
      </c>
      <c r="U97" s="154"/>
      <c r="V97" s="520" t="str">
        <f>IF(U97="","",IF(VLOOKUP(U97,'G-3 Multipliers'!$L$3:$N$6,2,FALSE)=0,"Spatial Data Missing ⚠",VLOOKUP(U97,'G-3 Multipliers'!$L$3:$N$6,2,FALSE)))</f>
        <v/>
      </c>
      <c r="W97" s="524" t="str">
        <f>IF(U97="","",IF(VLOOKUP(U97,'G-3 Multipliers'!$L$3:$N$6,3,FALSE)=0,"Spatial Data Missing ⚠",VLOOKUP(U97,'G-3 Multipliers'!$L$3:$N$6,3,FALSE)))</f>
        <v/>
      </c>
      <c r="X97" s="498" t="str">
        <f>IFERROR(IF(OR(LEFT(O97,5)="Error ▲",LEFT(N97,5)="Error ▲",T97="Error ▲"),"Check Data ⚠",IF(F97&lt;R97,INDEX('G-6 Hedgerow Data'!$S$3:$AE$14,MATCH(C97,'G-6 Hedgerow Data'!$B$3:$B$14,0),MATCH(M97,'G-6 Hedgerow Data'!$S$2:$AE$2,0)),INDEX('G-6 Hedgerow Data'!$K$3:$Q$14,MATCH(M97,'G-6 Hedgerow Data'!$B$3:$B$14,0),MATCH(O97,'G-6 Hedgerow Data'!$K$2:$Q$2,0)))),"")</f>
        <v/>
      </c>
      <c r="Y97" s="195"/>
      <c r="Z97" s="195"/>
      <c r="AA97" s="507" t="str">
        <f t="shared" si="11"/>
        <v/>
      </c>
      <c r="AB97" s="521" t="str">
        <f t="shared" si="12"/>
        <v/>
      </c>
      <c r="AC97" s="522" t="str">
        <f t="shared" si="8"/>
        <v/>
      </c>
      <c r="AD97" s="537" t="str">
        <f>IF(M97="","",VLOOKUP(M97,'G-6 Hedgerow Data'!$B$3:$AG$15,31,FALSE))</f>
        <v/>
      </c>
      <c r="AE97" s="507" t="str">
        <f t="shared" si="13"/>
        <v/>
      </c>
      <c r="AF97" s="507" t="str">
        <f t="shared" si="14"/>
        <v/>
      </c>
      <c r="AG97" s="524" t="str">
        <f>IFERROR(IF(O97="","",VLOOKUP(AD97,'G-3 Multipliers'!$P$3:$Q$6,2,FALSE)),"")</f>
        <v/>
      </c>
      <c r="AH97" s="513" t="str">
        <f t="shared" si="9"/>
        <v/>
      </c>
      <c r="AI97" s="231"/>
      <c r="AJ97" s="150"/>
      <c r="AT97" s="31" t="str">
        <f>IFERROR(INDEX('G-6 Hedgerow Data'!$BJ$3:$BJ$15,MATCH(M97,'G-6 Hedgerow Data'!$B$3:$B$15,0)),"")</f>
        <v/>
      </c>
    </row>
    <row r="98" spans="2:46" ht="14" x14ac:dyDescent="0.3">
      <c r="B98" s="531" t="str">
        <f>'B-1 Site Hedge Baseline'!AK96</f>
        <v/>
      </c>
      <c r="C98" s="520" t="str">
        <f>IF(B98="","",IF(ISNA(VLOOKUP($B98,'B-1 Site Hedge Baseline'!$B$1:$L$257,3,FALSE)),"",(VLOOKUP($B98,'B-1 Site Hedge Baseline'!$B$1:$L$257,3,FALSE))))</f>
        <v/>
      </c>
      <c r="D98" s="520" t="str">
        <f>IF(B98="","",IF(ISNA(VLOOKUP($B98,'B-1 Site Hedge Baseline'!$B$1:$L$257,4,FALSE)),"",(VLOOKUP($B98,'B-1 Site Hedge Baseline'!$B$1:$L$257,4,FALSE))))</f>
        <v/>
      </c>
      <c r="E98" s="520" t="str">
        <f>IF(B98="","",IF(ISNA(VLOOKUP($B98,'B-1 Site Hedge Baseline'!$B$1:$L$257,5,FALSE)),"",(VLOOKUP($B98,'B-1 Site Hedge Baseline'!$B$1:$L$257,5,FALSE))))</f>
        <v/>
      </c>
      <c r="F98" s="520" t="str">
        <f>IF(B98="","",IF(ISNA(VLOOKUP($B98,'B-1 Site Hedge Baseline'!$B$1:$L$257,6,FALSE)),"",(VLOOKUP($B98,'B-1 Site Hedge Baseline'!$B$1:$L$257,6,FALSE))))</f>
        <v/>
      </c>
      <c r="G98" s="520" t="str">
        <f>IF(B98="","",IF(ISNA(VLOOKUP($B98,'B-1 Site Hedge Baseline'!$B$1:$L$257,7,FALSE)),"",(VLOOKUP($B98,'B-1 Site Hedge Baseline'!$B$1:$L$257,7,FALSE))))</f>
        <v/>
      </c>
      <c r="H98" s="520" t="str">
        <f>IF(B98="","",IF(ISNA(VLOOKUP($B98,'B-1 Site Hedge Baseline'!$B$1:$L$257,8,FALSE)),"",(VLOOKUP($B98,'B-1 Site Hedge Baseline'!$B$1:$L$257,8,FALSE))))</f>
        <v/>
      </c>
      <c r="I98" s="520" t="str">
        <f>IF(B98="","",IF(ISNA(VLOOKUP($B98,'B-1 Site Hedge Baseline'!$B$1:$L$257,10,FALSE)),"",(VLOOKUP($B98,'B-1 Site Hedge Baseline'!$B$1:$L$257,10,FALSE))))</f>
        <v/>
      </c>
      <c r="J98" s="520" t="str">
        <f>IF(B98="","",IF(ISNA(VLOOKUP($B98,'B-1 Site Hedge Baseline'!$B$1:$L$257,11,FALSE)),"",(VLOOKUP($B98,'B-1 Site Hedge Baseline'!$B$1:$L$257,11,FALSE))))</f>
        <v/>
      </c>
      <c r="K98" s="520" t="str">
        <f>IF(B98="","",IF(ISNA(VLOOKUP($B98,'B-1 Site Hedge Baseline'!$B$1:$U$257,13,FALSE)),"",(VLOOKUP($B98,'B-1 Site Hedge Baseline'!$B$1:$U$257,13,FALSE))))</f>
        <v/>
      </c>
      <c r="L98" s="524" t="str">
        <f>IF(B98="","",IF(ISNA(VLOOKUP($B98,'B-1 Site Hedge Baseline'!$B$1:$U$257,12,FALSE)),"",(VLOOKUP($B98,'B-1 Site Hedge Baseline'!$B$1:$U$257,12,FALSE))))</f>
        <v/>
      </c>
      <c r="M98" s="416" t="str">
        <f t="shared" si="15"/>
        <v/>
      </c>
      <c r="N98" s="498" t="str">
        <f>IFERROR(IF(B98="","",INDEX('G-6 Hedgerow Data'!$AN$3:$AZ$15,MATCH(C98,'G-6 Hedgerow Data'!$AM$3:$AM$15,0),MATCH(M98,'G-6 Hedgerow Data'!$AN$2:$AZ$2,0))),"")</f>
        <v/>
      </c>
      <c r="O98" s="499" t="str">
        <f t="shared" si="10"/>
        <v/>
      </c>
      <c r="P98" s="559" t="str">
        <f>IF(B98="","",VLOOKUP(B98,'B-1 Site Hedge Baseline'!$B$10:T343,16,FALSE))</f>
        <v/>
      </c>
      <c r="Q98" s="498" t="str">
        <f>IF(M98="","",VLOOKUP(M98,'G-6 Hedgerow Data'!$B$2:$AG$15,2,FALSE))</f>
        <v/>
      </c>
      <c r="R98" s="499" t="str">
        <f>IF(M98="","",VLOOKUP(M98,'G-6 Hedgerow Data'!$B$2:$AG$15,3,FALSE))</f>
        <v/>
      </c>
      <c r="S98" s="157"/>
      <c r="T98" s="540" t="str">
        <f>IFERROR(VLOOKUP(S98,'G-1 All Habitats'!$Z$2:$AA$9,2,FALSE),"")</f>
        <v/>
      </c>
      <c r="U98" s="154"/>
      <c r="V98" s="520" t="str">
        <f>IF(U98="","",IF(VLOOKUP(U98,'G-3 Multipliers'!$L$3:$N$6,2,FALSE)=0,"Spatial Data Missing ⚠",VLOOKUP(U98,'G-3 Multipliers'!$L$3:$N$6,2,FALSE)))</f>
        <v/>
      </c>
      <c r="W98" s="524" t="str">
        <f>IF(U98="","",IF(VLOOKUP(U98,'G-3 Multipliers'!$L$3:$N$6,3,FALSE)=0,"Spatial Data Missing ⚠",VLOOKUP(U98,'G-3 Multipliers'!$L$3:$N$6,3,FALSE)))</f>
        <v/>
      </c>
      <c r="X98" s="498" t="str">
        <f>IFERROR(IF(OR(LEFT(O98,5)="Error ▲",LEFT(N98,5)="Error ▲",T98="Error ▲"),"Check Data ⚠",IF(F98&lt;R98,INDEX('G-6 Hedgerow Data'!$S$3:$AE$14,MATCH(C98,'G-6 Hedgerow Data'!$B$3:$B$14,0),MATCH(M98,'G-6 Hedgerow Data'!$S$2:$AE$2,0)),INDEX('G-6 Hedgerow Data'!$K$3:$Q$14,MATCH(M98,'G-6 Hedgerow Data'!$B$3:$B$14,0),MATCH(O98,'G-6 Hedgerow Data'!$K$2:$Q$2,0)))),"")</f>
        <v/>
      </c>
      <c r="Y98" s="195"/>
      <c r="Z98" s="195"/>
      <c r="AA98" s="507" t="str">
        <f t="shared" si="11"/>
        <v/>
      </c>
      <c r="AB98" s="521" t="str">
        <f t="shared" si="12"/>
        <v/>
      </c>
      <c r="AC98" s="522" t="str">
        <f t="shared" si="8"/>
        <v/>
      </c>
      <c r="AD98" s="537" t="str">
        <f>IF(M98="","",VLOOKUP(M98,'G-6 Hedgerow Data'!$B$3:$AG$15,31,FALSE))</f>
        <v/>
      </c>
      <c r="AE98" s="507" t="str">
        <f t="shared" si="13"/>
        <v/>
      </c>
      <c r="AF98" s="507" t="str">
        <f t="shared" si="14"/>
        <v/>
      </c>
      <c r="AG98" s="524" t="str">
        <f>IFERROR(IF(O98="","",VLOOKUP(AD98,'G-3 Multipliers'!$P$3:$Q$6,2,FALSE)),"")</f>
        <v/>
      </c>
      <c r="AH98" s="513" t="str">
        <f t="shared" si="9"/>
        <v/>
      </c>
      <c r="AI98" s="231"/>
      <c r="AJ98" s="150"/>
      <c r="AT98" s="31" t="str">
        <f>IFERROR(INDEX('G-6 Hedgerow Data'!$BJ$3:$BJ$15,MATCH(M98,'G-6 Hedgerow Data'!$B$3:$B$15,0)),"")</f>
        <v/>
      </c>
    </row>
    <row r="99" spans="2:46" ht="14" x14ac:dyDescent="0.3">
      <c r="B99" s="531" t="str">
        <f>'B-1 Site Hedge Baseline'!AK97</f>
        <v/>
      </c>
      <c r="C99" s="520" t="str">
        <f>IF(B99="","",IF(ISNA(VLOOKUP($B99,'B-1 Site Hedge Baseline'!$B$1:$L$257,3,FALSE)),"",(VLOOKUP($B99,'B-1 Site Hedge Baseline'!$B$1:$L$257,3,FALSE))))</f>
        <v/>
      </c>
      <c r="D99" s="520" t="str">
        <f>IF(B99="","",IF(ISNA(VLOOKUP($B99,'B-1 Site Hedge Baseline'!$B$1:$L$257,4,FALSE)),"",(VLOOKUP($B99,'B-1 Site Hedge Baseline'!$B$1:$L$257,4,FALSE))))</f>
        <v/>
      </c>
      <c r="E99" s="520" t="str">
        <f>IF(B99="","",IF(ISNA(VLOOKUP($B99,'B-1 Site Hedge Baseline'!$B$1:$L$257,5,FALSE)),"",(VLOOKUP($B99,'B-1 Site Hedge Baseline'!$B$1:$L$257,5,FALSE))))</f>
        <v/>
      </c>
      <c r="F99" s="520" t="str">
        <f>IF(B99="","",IF(ISNA(VLOOKUP($B99,'B-1 Site Hedge Baseline'!$B$1:$L$257,6,FALSE)),"",(VLOOKUP($B99,'B-1 Site Hedge Baseline'!$B$1:$L$257,6,FALSE))))</f>
        <v/>
      </c>
      <c r="G99" s="520" t="str">
        <f>IF(B99="","",IF(ISNA(VLOOKUP($B99,'B-1 Site Hedge Baseline'!$B$1:$L$257,7,FALSE)),"",(VLOOKUP($B99,'B-1 Site Hedge Baseline'!$B$1:$L$257,7,FALSE))))</f>
        <v/>
      </c>
      <c r="H99" s="520" t="str">
        <f>IF(B99="","",IF(ISNA(VLOOKUP($B99,'B-1 Site Hedge Baseline'!$B$1:$L$257,8,FALSE)),"",(VLOOKUP($B99,'B-1 Site Hedge Baseline'!$B$1:$L$257,8,FALSE))))</f>
        <v/>
      </c>
      <c r="I99" s="520" t="str">
        <f>IF(B99="","",IF(ISNA(VLOOKUP($B99,'B-1 Site Hedge Baseline'!$B$1:$L$257,10,FALSE)),"",(VLOOKUP($B99,'B-1 Site Hedge Baseline'!$B$1:$L$257,10,FALSE))))</f>
        <v/>
      </c>
      <c r="J99" s="520" t="str">
        <f>IF(B99="","",IF(ISNA(VLOOKUP($B99,'B-1 Site Hedge Baseline'!$B$1:$L$257,11,FALSE)),"",(VLOOKUP($B99,'B-1 Site Hedge Baseline'!$B$1:$L$257,11,FALSE))))</f>
        <v/>
      </c>
      <c r="K99" s="520" t="str">
        <f>IF(B99="","",IF(ISNA(VLOOKUP($B99,'B-1 Site Hedge Baseline'!$B$1:$U$257,13,FALSE)),"",(VLOOKUP($B99,'B-1 Site Hedge Baseline'!$B$1:$U$257,13,FALSE))))</f>
        <v/>
      </c>
      <c r="L99" s="524" t="str">
        <f>IF(B99="","",IF(ISNA(VLOOKUP($B99,'B-1 Site Hedge Baseline'!$B$1:$U$257,12,FALSE)),"",(VLOOKUP($B99,'B-1 Site Hedge Baseline'!$B$1:$U$257,12,FALSE))))</f>
        <v/>
      </c>
      <c r="M99" s="416" t="str">
        <f t="shared" si="15"/>
        <v/>
      </c>
      <c r="N99" s="498" t="str">
        <f>IFERROR(IF(B99="","",INDEX('G-6 Hedgerow Data'!$AN$3:$AZ$15,MATCH(C99,'G-6 Hedgerow Data'!$AM$3:$AM$15,0),MATCH(M99,'G-6 Hedgerow Data'!$AN$2:$AZ$2,0))),"")</f>
        <v/>
      </c>
      <c r="O99" s="499" t="str">
        <f t="shared" si="10"/>
        <v/>
      </c>
      <c r="P99" s="559" t="str">
        <f>IF(B99="","",VLOOKUP(B99,'B-1 Site Hedge Baseline'!$B$10:T344,16,FALSE))</f>
        <v/>
      </c>
      <c r="Q99" s="498" t="str">
        <f>IF(M99="","",VLOOKUP(M99,'G-6 Hedgerow Data'!$B$2:$AG$15,2,FALSE))</f>
        <v/>
      </c>
      <c r="R99" s="499" t="str">
        <f>IF(M99="","",VLOOKUP(M99,'G-6 Hedgerow Data'!$B$2:$AG$15,3,FALSE))</f>
        <v/>
      </c>
      <c r="S99" s="157"/>
      <c r="T99" s="540" t="str">
        <f>IFERROR(VLOOKUP(S99,'G-1 All Habitats'!$Z$2:$AA$9,2,FALSE),"")</f>
        <v/>
      </c>
      <c r="U99" s="154"/>
      <c r="V99" s="520" t="str">
        <f>IF(U99="","",IF(VLOOKUP(U99,'G-3 Multipliers'!$L$3:$N$6,2,FALSE)=0,"Spatial Data Missing ⚠",VLOOKUP(U99,'G-3 Multipliers'!$L$3:$N$6,2,FALSE)))</f>
        <v/>
      </c>
      <c r="W99" s="524" t="str">
        <f>IF(U99="","",IF(VLOOKUP(U99,'G-3 Multipliers'!$L$3:$N$6,3,FALSE)=0,"Spatial Data Missing ⚠",VLOOKUP(U99,'G-3 Multipliers'!$L$3:$N$6,3,FALSE)))</f>
        <v/>
      </c>
      <c r="X99" s="498" t="str">
        <f>IFERROR(IF(OR(LEFT(O99,5)="Error ▲",LEFT(N99,5)="Error ▲",T99="Error ▲"),"Check Data ⚠",IF(F99&lt;R99,INDEX('G-6 Hedgerow Data'!$S$3:$AE$14,MATCH(C99,'G-6 Hedgerow Data'!$B$3:$B$14,0),MATCH(M99,'G-6 Hedgerow Data'!$S$2:$AE$2,0)),INDEX('G-6 Hedgerow Data'!$K$3:$Q$14,MATCH(M99,'G-6 Hedgerow Data'!$B$3:$B$14,0),MATCH(O99,'G-6 Hedgerow Data'!$K$2:$Q$2,0)))),"")</f>
        <v/>
      </c>
      <c r="Y99" s="195"/>
      <c r="Z99" s="195"/>
      <c r="AA99" s="507" t="str">
        <f t="shared" si="11"/>
        <v/>
      </c>
      <c r="AB99" s="521" t="str">
        <f t="shared" si="12"/>
        <v/>
      </c>
      <c r="AC99" s="522" t="str">
        <f t="shared" si="8"/>
        <v/>
      </c>
      <c r="AD99" s="537" t="str">
        <f>IF(M99="","",VLOOKUP(M99,'G-6 Hedgerow Data'!$B$3:$AG$15,31,FALSE))</f>
        <v/>
      </c>
      <c r="AE99" s="507" t="str">
        <f t="shared" si="13"/>
        <v/>
      </c>
      <c r="AF99" s="507" t="str">
        <f t="shared" si="14"/>
        <v/>
      </c>
      <c r="AG99" s="524" t="str">
        <f>IFERROR(IF(O99="","",VLOOKUP(AD99,'G-3 Multipliers'!$P$3:$Q$6,2,FALSE)),"")</f>
        <v/>
      </c>
      <c r="AH99" s="513" t="str">
        <f t="shared" si="9"/>
        <v/>
      </c>
      <c r="AI99" s="231"/>
      <c r="AJ99" s="150"/>
      <c r="AT99" s="31" t="str">
        <f>IFERROR(INDEX('G-6 Hedgerow Data'!$BJ$3:$BJ$15,MATCH(M99,'G-6 Hedgerow Data'!$B$3:$B$15,0)),"")</f>
        <v/>
      </c>
    </row>
    <row r="100" spans="2:46" ht="14" x14ac:dyDescent="0.3">
      <c r="B100" s="531" t="str">
        <f>'B-1 Site Hedge Baseline'!AK98</f>
        <v/>
      </c>
      <c r="C100" s="520" t="str">
        <f>IF(B100="","",IF(ISNA(VLOOKUP($B100,'B-1 Site Hedge Baseline'!$B$1:$L$257,3,FALSE)),"",(VLOOKUP($B100,'B-1 Site Hedge Baseline'!$B$1:$L$257,3,FALSE))))</f>
        <v/>
      </c>
      <c r="D100" s="520" t="str">
        <f>IF(B100="","",IF(ISNA(VLOOKUP($B100,'B-1 Site Hedge Baseline'!$B$1:$L$257,4,FALSE)),"",(VLOOKUP($B100,'B-1 Site Hedge Baseline'!$B$1:$L$257,4,FALSE))))</f>
        <v/>
      </c>
      <c r="E100" s="520" t="str">
        <f>IF(B100="","",IF(ISNA(VLOOKUP($B100,'B-1 Site Hedge Baseline'!$B$1:$L$257,5,FALSE)),"",(VLOOKUP($B100,'B-1 Site Hedge Baseline'!$B$1:$L$257,5,FALSE))))</f>
        <v/>
      </c>
      <c r="F100" s="520" t="str">
        <f>IF(B100="","",IF(ISNA(VLOOKUP($B100,'B-1 Site Hedge Baseline'!$B$1:$L$257,6,FALSE)),"",(VLOOKUP($B100,'B-1 Site Hedge Baseline'!$B$1:$L$257,6,FALSE))))</f>
        <v/>
      </c>
      <c r="G100" s="520" t="str">
        <f>IF(B100="","",IF(ISNA(VLOOKUP($B100,'B-1 Site Hedge Baseline'!$B$1:$L$257,7,FALSE)),"",(VLOOKUP($B100,'B-1 Site Hedge Baseline'!$B$1:$L$257,7,FALSE))))</f>
        <v/>
      </c>
      <c r="H100" s="520" t="str">
        <f>IF(B100="","",IF(ISNA(VLOOKUP($B100,'B-1 Site Hedge Baseline'!$B$1:$L$257,8,FALSE)),"",(VLOOKUP($B100,'B-1 Site Hedge Baseline'!$B$1:$L$257,8,FALSE))))</f>
        <v/>
      </c>
      <c r="I100" s="520" t="str">
        <f>IF(B100="","",IF(ISNA(VLOOKUP($B100,'B-1 Site Hedge Baseline'!$B$1:$L$257,10,FALSE)),"",(VLOOKUP($B100,'B-1 Site Hedge Baseline'!$B$1:$L$257,10,FALSE))))</f>
        <v/>
      </c>
      <c r="J100" s="520" t="str">
        <f>IF(B100="","",IF(ISNA(VLOOKUP($B100,'B-1 Site Hedge Baseline'!$B$1:$L$257,11,FALSE)),"",(VLOOKUP($B100,'B-1 Site Hedge Baseline'!$B$1:$L$257,11,FALSE))))</f>
        <v/>
      </c>
      <c r="K100" s="520" t="str">
        <f>IF(B100="","",IF(ISNA(VLOOKUP($B100,'B-1 Site Hedge Baseline'!$B$1:$U$257,13,FALSE)),"",(VLOOKUP($B100,'B-1 Site Hedge Baseline'!$B$1:$U$257,13,FALSE))))</f>
        <v/>
      </c>
      <c r="L100" s="524" t="str">
        <f>IF(B100="","",IF(ISNA(VLOOKUP($B100,'B-1 Site Hedge Baseline'!$B$1:$U$257,12,FALSE)),"",(VLOOKUP($B100,'B-1 Site Hedge Baseline'!$B$1:$U$257,12,FALSE))))</f>
        <v/>
      </c>
      <c r="M100" s="416" t="str">
        <f t="shared" si="15"/>
        <v/>
      </c>
      <c r="N100" s="498" t="str">
        <f>IFERROR(IF(B100="","",INDEX('G-6 Hedgerow Data'!$AN$3:$AZ$15,MATCH(C100,'G-6 Hedgerow Data'!$AM$3:$AM$15,0),MATCH(M100,'G-6 Hedgerow Data'!$AN$2:$AZ$2,0))),"")</f>
        <v/>
      </c>
      <c r="O100" s="499" t="str">
        <f t="shared" si="10"/>
        <v/>
      </c>
      <c r="P100" s="559" t="str">
        <f>IF(B100="","",VLOOKUP(B100,'B-1 Site Hedge Baseline'!$B$10:T345,16,FALSE))</f>
        <v/>
      </c>
      <c r="Q100" s="498" t="str">
        <f>IF(M100="","",VLOOKUP(M100,'G-6 Hedgerow Data'!$B$2:$AG$15,2,FALSE))</f>
        <v/>
      </c>
      <c r="R100" s="499" t="str">
        <f>IF(M100="","",VLOOKUP(M100,'G-6 Hedgerow Data'!$B$2:$AG$15,3,FALSE))</f>
        <v/>
      </c>
      <c r="S100" s="157"/>
      <c r="T100" s="540" t="str">
        <f>IFERROR(VLOOKUP(S100,'G-1 All Habitats'!$Z$2:$AA$9,2,FALSE),"")</f>
        <v/>
      </c>
      <c r="U100" s="154"/>
      <c r="V100" s="520" t="str">
        <f>IF(U100="","",IF(VLOOKUP(U100,'G-3 Multipliers'!$L$3:$N$6,2,FALSE)=0,"Spatial Data Missing ⚠",VLOOKUP(U100,'G-3 Multipliers'!$L$3:$N$6,2,FALSE)))</f>
        <v/>
      </c>
      <c r="W100" s="524" t="str">
        <f>IF(U100="","",IF(VLOOKUP(U100,'G-3 Multipliers'!$L$3:$N$6,3,FALSE)=0,"Spatial Data Missing ⚠",VLOOKUP(U100,'G-3 Multipliers'!$L$3:$N$6,3,FALSE)))</f>
        <v/>
      </c>
      <c r="X100" s="498" t="str">
        <f>IFERROR(IF(OR(LEFT(O100,5)="Error ▲",LEFT(N100,5)="Error ▲",T100="Error ▲"),"Check Data ⚠",IF(F100&lt;R100,INDEX('G-6 Hedgerow Data'!$S$3:$AE$14,MATCH(C100,'G-6 Hedgerow Data'!$B$3:$B$14,0),MATCH(M100,'G-6 Hedgerow Data'!$S$2:$AE$2,0)),INDEX('G-6 Hedgerow Data'!$K$3:$Q$14,MATCH(M100,'G-6 Hedgerow Data'!$B$3:$B$14,0),MATCH(O100,'G-6 Hedgerow Data'!$K$2:$Q$2,0)))),"")</f>
        <v/>
      </c>
      <c r="Y100" s="195"/>
      <c r="Z100" s="195"/>
      <c r="AA100" s="507" t="str">
        <f t="shared" si="11"/>
        <v/>
      </c>
      <c r="AB100" s="521" t="str">
        <f t="shared" si="12"/>
        <v/>
      </c>
      <c r="AC100" s="522" t="str">
        <f t="shared" si="8"/>
        <v/>
      </c>
      <c r="AD100" s="537" t="str">
        <f>IF(M100="","",VLOOKUP(M100,'G-6 Hedgerow Data'!$B$3:$AG$15,31,FALSE))</f>
        <v/>
      </c>
      <c r="AE100" s="507" t="str">
        <f t="shared" si="13"/>
        <v/>
      </c>
      <c r="AF100" s="507" t="str">
        <f t="shared" si="14"/>
        <v/>
      </c>
      <c r="AG100" s="524" t="str">
        <f>IFERROR(IF(O100="","",VLOOKUP(AD100,'G-3 Multipliers'!$P$3:$Q$6,2,FALSE)),"")</f>
        <v/>
      </c>
      <c r="AH100" s="513" t="str">
        <f t="shared" si="9"/>
        <v/>
      </c>
      <c r="AI100" s="231"/>
      <c r="AJ100" s="150"/>
      <c r="AT100" s="31" t="str">
        <f>IFERROR(INDEX('G-6 Hedgerow Data'!$BJ$3:$BJ$15,MATCH(M100,'G-6 Hedgerow Data'!$B$3:$B$15,0)),"")</f>
        <v/>
      </c>
    </row>
    <row r="101" spans="2:46" ht="14" x14ac:dyDescent="0.3">
      <c r="B101" s="531" t="str">
        <f>'B-1 Site Hedge Baseline'!AK99</f>
        <v/>
      </c>
      <c r="C101" s="520" t="str">
        <f>IF(B101="","",IF(ISNA(VLOOKUP($B101,'B-1 Site Hedge Baseline'!$B$1:$L$257,3,FALSE)),"",(VLOOKUP($B101,'B-1 Site Hedge Baseline'!$B$1:$L$257,3,FALSE))))</f>
        <v/>
      </c>
      <c r="D101" s="520" t="str">
        <f>IF(B101="","",IF(ISNA(VLOOKUP($B101,'B-1 Site Hedge Baseline'!$B$1:$L$257,4,FALSE)),"",(VLOOKUP($B101,'B-1 Site Hedge Baseline'!$B$1:$L$257,4,FALSE))))</f>
        <v/>
      </c>
      <c r="E101" s="520" t="str">
        <f>IF(B101="","",IF(ISNA(VLOOKUP($B101,'B-1 Site Hedge Baseline'!$B$1:$L$257,5,FALSE)),"",(VLOOKUP($B101,'B-1 Site Hedge Baseline'!$B$1:$L$257,5,FALSE))))</f>
        <v/>
      </c>
      <c r="F101" s="520" t="str">
        <f>IF(B101="","",IF(ISNA(VLOOKUP($B101,'B-1 Site Hedge Baseline'!$B$1:$L$257,6,FALSE)),"",(VLOOKUP($B101,'B-1 Site Hedge Baseline'!$B$1:$L$257,6,FALSE))))</f>
        <v/>
      </c>
      <c r="G101" s="520" t="str">
        <f>IF(B101="","",IF(ISNA(VLOOKUP($B101,'B-1 Site Hedge Baseline'!$B$1:$L$257,7,FALSE)),"",(VLOOKUP($B101,'B-1 Site Hedge Baseline'!$B$1:$L$257,7,FALSE))))</f>
        <v/>
      </c>
      <c r="H101" s="520" t="str">
        <f>IF(B101="","",IF(ISNA(VLOOKUP($B101,'B-1 Site Hedge Baseline'!$B$1:$L$257,8,FALSE)),"",(VLOOKUP($B101,'B-1 Site Hedge Baseline'!$B$1:$L$257,8,FALSE))))</f>
        <v/>
      </c>
      <c r="I101" s="520" t="str">
        <f>IF(B101="","",IF(ISNA(VLOOKUP($B101,'B-1 Site Hedge Baseline'!$B$1:$L$257,10,FALSE)),"",(VLOOKUP($B101,'B-1 Site Hedge Baseline'!$B$1:$L$257,10,FALSE))))</f>
        <v/>
      </c>
      <c r="J101" s="520" t="str">
        <f>IF(B101="","",IF(ISNA(VLOOKUP($B101,'B-1 Site Hedge Baseline'!$B$1:$L$257,11,FALSE)),"",(VLOOKUP($B101,'B-1 Site Hedge Baseline'!$B$1:$L$257,11,FALSE))))</f>
        <v/>
      </c>
      <c r="K101" s="520" t="str">
        <f>IF(B101="","",IF(ISNA(VLOOKUP($B101,'B-1 Site Hedge Baseline'!$B$1:$U$257,13,FALSE)),"",(VLOOKUP($B101,'B-1 Site Hedge Baseline'!$B$1:$U$257,13,FALSE))))</f>
        <v/>
      </c>
      <c r="L101" s="524" t="str">
        <f>IF(B101="","",IF(ISNA(VLOOKUP($B101,'B-1 Site Hedge Baseline'!$B$1:$U$257,12,FALSE)),"",(VLOOKUP($B101,'B-1 Site Hedge Baseline'!$B$1:$U$257,12,FALSE))))</f>
        <v/>
      </c>
      <c r="M101" s="416" t="str">
        <f t="shared" si="15"/>
        <v/>
      </c>
      <c r="N101" s="498" t="str">
        <f>IFERROR(IF(B101="","",INDEX('G-6 Hedgerow Data'!$AN$3:$AZ$15,MATCH(C101,'G-6 Hedgerow Data'!$AM$3:$AM$15,0),MATCH(M101,'G-6 Hedgerow Data'!$AN$2:$AZ$2,0))),"")</f>
        <v/>
      </c>
      <c r="O101" s="499" t="str">
        <f t="shared" si="10"/>
        <v/>
      </c>
      <c r="P101" s="559" t="str">
        <f>IF(B101="","",VLOOKUP(B101,'B-1 Site Hedge Baseline'!$B$10:T346,16,FALSE))</f>
        <v/>
      </c>
      <c r="Q101" s="498" t="str">
        <f>IF(M101="","",VLOOKUP(M101,'G-6 Hedgerow Data'!$B$2:$AG$15,2,FALSE))</f>
        <v/>
      </c>
      <c r="R101" s="499" t="str">
        <f>IF(M101="","",VLOOKUP(M101,'G-6 Hedgerow Data'!$B$2:$AG$15,3,FALSE))</f>
        <v/>
      </c>
      <c r="S101" s="157"/>
      <c r="T101" s="540" t="str">
        <f>IFERROR(VLOOKUP(S101,'G-1 All Habitats'!$Z$2:$AA$9,2,FALSE),"")</f>
        <v/>
      </c>
      <c r="U101" s="154"/>
      <c r="V101" s="520" t="str">
        <f>IF(U101="","",IF(VLOOKUP(U101,'G-3 Multipliers'!$L$3:$N$6,2,FALSE)=0,"Spatial Data Missing ⚠",VLOOKUP(U101,'G-3 Multipliers'!$L$3:$N$6,2,FALSE)))</f>
        <v/>
      </c>
      <c r="W101" s="524" t="str">
        <f>IF(U101="","",IF(VLOOKUP(U101,'G-3 Multipliers'!$L$3:$N$6,3,FALSE)=0,"Spatial Data Missing ⚠",VLOOKUP(U101,'G-3 Multipliers'!$L$3:$N$6,3,FALSE)))</f>
        <v/>
      </c>
      <c r="X101" s="498" t="str">
        <f>IFERROR(IF(OR(LEFT(O101,5)="Error ▲",LEFT(N101,5)="Error ▲",T101="Error ▲"),"Check Data ⚠",IF(F101&lt;R101,INDEX('G-6 Hedgerow Data'!$S$3:$AE$14,MATCH(C101,'G-6 Hedgerow Data'!$B$3:$B$14,0),MATCH(M101,'G-6 Hedgerow Data'!$S$2:$AE$2,0)),INDEX('G-6 Hedgerow Data'!$K$3:$Q$14,MATCH(M101,'G-6 Hedgerow Data'!$B$3:$B$14,0),MATCH(O101,'G-6 Hedgerow Data'!$K$2:$Q$2,0)))),"")</f>
        <v/>
      </c>
      <c r="Y101" s="195"/>
      <c r="Z101" s="195"/>
      <c r="AA101" s="507" t="str">
        <f t="shared" si="11"/>
        <v/>
      </c>
      <c r="AB101" s="521" t="str">
        <f t="shared" si="12"/>
        <v/>
      </c>
      <c r="AC101" s="522" t="str">
        <f t="shared" si="8"/>
        <v/>
      </c>
      <c r="AD101" s="537" t="str">
        <f>IF(M101="","",VLOOKUP(M101,'G-6 Hedgerow Data'!$B$3:$AG$15,31,FALSE))</f>
        <v/>
      </c>
      <c r="AE101" s="507" t="str">
        <f t="shared" si="13"/>
        <v/>
      </c>
      <c r="AF101" s="507" t="str">
        <f t="shared" si="14"/>
        <v/>
      </c>
      <c r="AG101" s="524" t="str">
        <f>IFERROR(IF(O101="","",VLOOKUP(AD101,'G-3 Multipliers'!$P$3:$Q$6,2,FALSE)),"")</f>
        <v/>
      </c>
      <c r="AH101" s="513" t="str">
        <f t="shared" si="9"/>
        <v/>
      </c>
      <c r="AI101" s="231"/>
      <c r="AJ101" s="150"/>
      <c r="AT101" s="31" t="str">
        <f>IFERROR(INDEX('G-6 Hedgerow Data'!$BJ$3:$BJ$15,MATCH(M101,'G-6 Hedgerow Data'!$B$3:$B$15,0)),"")</f>
        <v/>
      </c>
    </row>
    <row r="102" spans="2:46" ht="14" x14ac:dyDescent="0.3">
      <c r="B102" s="531" t="str">
        <f>'B-1 Site Hedge Baseline'!AK100</f>
        <v/>
      </c>
      <c r="C102" s="520" t="str">
        <f>IF(B102="","",IF(ISNA(VLOOKUP($B102,'B-1 Site Hedge Baseline'!$B$1:$L$257,3,FALSE)),"",(VLOOKUP($B102,'B-1 Site Hedge Baseline'!$B$1:$L$257,3,FALSE))))</f>
        <v/>
      </c>
      <c r="D102" s="520" t="str">
        <f>IF(B102="","",IF(ISNA(VLOOKUP($B102,'B-1 Site Hedge Baseline'!$B$1:$L$257,4,FALSE)),"",(VLOOKUP($B102,'B-1 Site Hedge Baseline'!$B$1:$L$257,4,FALSE))))</f>
        <v/>
      </c>
      <c r="E102" s="520" t="str">
        <f>IF(B102="","",IF(ISNA(VLOOKUP($B102,'B-1 Site Hedge Baseline'!$B$1:$L$257,5,FALSE)),"",(VLOOKUP($B102,'B-1 Site Hedge Baseline'!$B$1:$L$257,5,FALSE))))</f>
        <v/>
      </c>
      <c r="F102" s="520" t="str">
        <f>IF(B102="","",IF(ISNA(VLOOKUP($B102,'B-1 Site Hedge Baseline'!$B$1:$L$257,6,FALSE)),"",(VLOOKUP($B102,'B-1 Site Hedge Baseline'!$B$1:$L$257,6,FALSE))))</f>
        <v/>
      </c>
      <c r="G102" s="520" t="str">
        <f>IF(B102="","",IF(ISNA(VLOOKUP($B102,'B-1 Site Hedge Baseline'!$B$1:$L$257,7,FALSE)),"",(VLOOKUP($B102,'B-1 Site Hedge Baseline'!$B$1:$L$257,7,FALSE))))</f>
        <v/>
      </c>
      <c r="H102" s="520" t="str">
        <f>IF(B102="","",IF(ISNA(VLOOKUP($B102,'B-1 Site Hedge Baseline'!$B$1:$L$257,8,FALSE)),"",(VLOOKUP($B102,'B-1 Site Hedge Baseline'!$B$1:$L$257,8,FALSE))))</f>
        <v/>
      </c>
      <c r="I102" s="520" t="str">
        <f>IF(B102="","",IF(ISNA(VLOOKUP($B102,'B-1 Site Hedge Baseline'!$B$1:$L$257,10,FALSE)),"",(VLOOKUP($B102,'B-1 Site Hedge Baseline'!$B$1:$L$257,10,FALSE))))</f>
        <v/>
      </c>
      <c r="J102" s="520" t="str">
        <f>IF(B102="","",IF(ISNA(VLOOKUP($B102,'B-1 Site Hedge Baseline'!$B$1:$L$257,11,FALSE)),"",(VLOOKUP($B102,'B-1 Site Hedge Baseline'!$B$1:$L$257,11,FALSE))))</f>
        <v/>
      </c>
      <c r="K102" s="520" t="str">
        <f>IF(B102="","",IF(ISNA(VLOOKUP($B102,'B-1 Site Hedge Baseline'!$B$1:$U$257,13,FALSE)),"",(VLOOKUP($B102,'B-1 Site Hedge Baseline'!$B$1:$U$257,13,FALSE))))</f>
        <v/>
      </c>
      <c r="L102" s="524" t="str">
        <f>IF(B102="","",IF(ISNA(VLOOKUP($B102,'B-1 Site Hedge Baseline'!$B$1:$U$257,12,FALSE)),"",(VLOOKUP($B102,'B-1 Site Hedge Baseline'!$B$1:$U$257,12,FALSE))))</f>
        <v/>
      </c>
      <c r="M102" s="416" t="str">
        <f t="shared" si="15"/>
        <v/>
      </c>
      <c r="N102" s="498" t="str">
        <f>IFERROR(IF(B102="","",INDEX('G-6 Hedgerow Data'!$AN$3:$AZ$15,MATCH(C102,'G-6 Hedgerow Data'!$AM$3:$AM$15,0),MATCH(M102,'G-6 Hedgerow Data'!$AN$2:$AZ$2,0))),"")</f>
        <v/>
      </c>
      <c r="O102" s="499" t="str">
        <f t="shared" si="10"/>
        <v/>
      </c>
      <c r="P102" s="559" t="str">
        <f>IF(B102="","",VLOOKUP(B102,'B-1 Site Hedge Baseline'!$B$10:T347,16,FALSE))</f>
        <v/>
      </c>
      <c r="Q102" s="498" t="str">
        <f>IF(M102="","",VLOOKUP(M102,'G-6 Hedgerow Data'!$B$2:$AG$15,2,FALSE))</f>
        <v/>
      </c>
      <c r="R102" s="499" t="str">
        <f>IF(M102="","",VLOOKUP(M102,'G-6 Hedgerow Data'!$B$2:$AG$15,3,FALSE))</f>
        <v/>
      </c>
      <c r="S102" s="157"/>
      <c r="T102" s="540" t="str">
        <f>IFERROR(VLOOKUP(S102,'G-1 All Habitats'!$Z$2:$AA$9,2,FALSE),"")</f>
        <v/>
      </c>
      <c r="U102" s="154"/>
      <c r="V102" s="520" t="str">
        <f>IF(U102="","",IF(VLOOKUP(U102,'G-3 Multipliers'!$L$3:$N$6,2,FALSE)=0,"Spatial Data Missing ⚠",VLOOKUP(U102,'G-3 Multipliers'!$L$3:$N$6,2,FALSE)))</f>
        <v/>
      </c>
      <c r="W102" s="524" t="str">
        <f>IF(U102="","",IF(VLOOKUP(U102,'G-3 Multipliers'!$L$3:$N$6,3,FALSE)=0,"Spatial Data Missing ⚠",VLOOKUP(U102,'G-3 Multipliers'!$L$3:$N$6,3,FALSE)))</f>
        <v/>
      </c>
      <c r="X102" s="498" t="str">
        <f>IFERROR(IF(OR(LEFT(O102,5)="Error ▲",LEFT(N102,5)="Error ▲",T102="Error ▲"),"Check Data ⚠",IF(F102&lt;R102,INDEX('G-6 Hedgerow Data'!$S$3:$AE$14,MATCH(C102,'G-6 Hedgerow Data'!$B$3:$B$14,0),MATCH(M102,'G-6 Hedgerow Data'!$S$2:$AE$2,0)),INDEX('G-6 Hedgerow Data'!$K$3:$Q$14,MATCH(M102,'G-6 Hedgerow Data'!$B$3:$B$14,0),MATCH(O102,'G-6 Hedgerow Data'!$K$2:$Q$2,0)))),"")</f>
        <v/>
      </c>
      <c r="Y102" s="195"/>
      <c r="Z102" s="195"/>
      <c r="AA102" s="507" t="str">
        <f t="shared" si="11"/>
        <v/>
      </c>
      <c r="AB102" s="521" t="str">
        <f t="shared" si="12"/>
        <v/>
      </c>
      <c r="AC102" s="522" t="str">
        <f t="shared" si="8"/>
        <v/>
      </c>
      <c r="AD102" s="537" t="str">
        <f>IF(M102="","",VLOOKUP(M102,'G-6 Hedgerow Data'!$B$3:$AG$15,31,FALSE))</f>
        <v/>
      </c>
      <c r="AE102" s="507" t="str">
        <f t="shared" si="13"/>
        <v/>
      </c>
      <c r="AF102" s="507" t="str">
        <f t="shared" si="14"/>
        <v/>
      </c>
      <c r="AG102" s="524" t="str">
        <f>IFERROR(IF(O102="","",VLOOKUP(AD102,'G-3 Multipliers'!$P$3:$Q$6,2,FALSE)),"")</f>
        <v/>
      </c>
      <c r="AH102" s="513" t="str">
        <f t="shared" si="9"/>
        <v/>
      </c>
      <c r="AI102" s="231"/>
      <c r="AJ102" s="150"/>
      <c r="AT102" s="31" t="str">
        <f>IFERROR(INDEX('G-6 Hedgerow Data'!$BJ$3:$BJ$15,MATCH(M102,'G-6 Hedgerow Data'!$B$3:$B$15,0)),"")</f>
        <v/>
      </c>
    </row>
    <row r="103" spans="2:46" ht="14" x14ac:dyDescent="0.3">
      <c r="B103" s="531" t="str">
        <f>'B-1 Site Hedge Baseline'!AK101</f>
        <v/>
      </c>
      <c r="C103" s="520" t="str">
        <f>IF(B103="","",IF(ISNA(VLOOKUP($B103,'B-1 Site Hedge Baseline'!$B$1:$L$257,3,FALSE)),"",(VLOOKUP($B103,'B-1 Site Hedge Baseline'!$B$1:$L$257,3,FALSE))))</f>
        <v/>
      </c>
      <c r="D103" s="520" t="str">
        <f>IF(B103="","",IF(ISNA(VLOOKUP($B103,'B-1 Site Hedge Baseline'!$B$1:$L$257,4,FALSE)),"",(VLOOKUP($B103,'B-1 Site Hedge Baseline'!$B$1:$L$257,4,FALSE))))</f>
        <v/>
      </c>
      <c r="E103" s="520" t="str">
        <f>IF(B103="","",IF(ISNA(VLOOKUP($B103,'B-1 Site Hedge Baseline'!$B$1:$L$257,5,FALSE)),"",(VLOOKUP($B103,'B-1 Site Hedge Baseline'!$B$1:$L$257,5,FALSE))))</f>
        <v/>
      </c>
      <c r="F103" s="520" t="str">
        <f>IF(B103="","",IF(ISNA(VLOOKUP($B103,'B-1 Site Hedge Baseline'!$B$1:$L$257,6,FALSE)),"",(VLOOKUP($B103,'B-1 Site Hedge Baseline'!$B$1:$L$257,6,FALSE))))</f>
        <v/>
      </c>
      <c r="G103" s="520" t="str">
        <f>IF(B103="","",IF(ISNA(VLOOKUP($B103,'B-1 Site Hedge Baseline'!$B$1:$L$257,7,FALSE)),"",(VLOOKUP($B103,'B-1 Site Hedge Baseline'!$B$1:$L$257,7,FALSE))))</f>
        <v/>
      </c>
      <c r="H103" s="520" t="str">
        <f>IF(B103="","",IF(ISNA(VLOOKUP($B103,'B-1 Site Hedge Baseline'!$B$1:$L$257,8,FALSE)),"",(VLOOKUP($B103,'B-1 Site Hedge Baseline'!$B$1:$L$257,8,FALSE))))</f>
        <v/>
      </c>
      <c r="I103" s="520" t="str">
        <f>IF(B103="","",IF(ISNA(VLOOKUP($B103,'B-1 Site Hedge Baseline'!$B$1:$L$257,10,FALSE)),"",(VLOOKUP($B103,'B-1 Site Hedge Baseline'!$B$1:$L$257,10,FALSE))))</f>
        <v/>
      </c>
      <c r="J103" s="520" t="str">
        <f>IF(B103="","",IF(ISNA(VLOOKUP($B103,'B-1 Site Hedge Baseline'!$B$1:$L$257,11,FALSE)),"",(VLOOKUP($B103,'B-1 Site Hedge Baseline'!$B$1:$L$257,11,FALSE))))</f>
        <v/>
      </c>
      <c r="K103" s="520" t="str">
        <f>IF(B103="","",IF(ISNA(VLOOKUP($B103,'B-1 Site Hedge Baseline'!$B$1:$U$257,13,FALSE)),"",(VLOOKUP($B103,'B-1 Site Hedge Baseline'!$B$1:$U$257,13,FALSE))))</f>
        <v/>
      </c>
      <c r="L103" s="524" t="str">
        <f>IF(B103="","",IF(ISNA(VLOOKUP($B103,'B-1 Site Hedge Baseline'!$B$1:$U$257,12,FALSE)),"",(VLOOKUP($B103,'B-1 Site Hedge Baseline'!$B$1:$U$257,12,FALSE))))</f>
        <v/>
      </c>
      <c r="M103" s="416" t="str">
        <f t="shared" si="15"/>
        <v/>
      </c>
      <c r="N103" s="498" t="str">
        <f>IFERROR(IF(B103="","",INDEX('G-6 Hedgerow Data'!$AN$3:$AZ$15,MATCH(C103,'G-6 Hedgerow Data'!$AM$3:$AM$15,0),MATCH(M103,'G-6 Hedgerow Data'!$AN$2:$AZ$2,0))),"")</f>
        <v/>
      </c>
      <c r="O103" s="499" t="str">
        <f t="shared" si="10"/>
        <v/>
      </c>
      <c r="P103" s="559" t="str">
        <f>IF(B103="","",VLOOKUP(B103,'B-1 Site Hedge Baseline'!$B$10:T348,16,FALSE))</f>
        <v/>
      </c>
      <c r="Q103" s="498" t="str">
        <f>IF(M103="","",VLOOKUP(M103,'G-6 Hedgerow Data'!$B$2:$AG$15,2,FALSE))</f>
        <v/>
      </c>
      <c r="R103" s="499" t="str">
        <f>IF(M103="","",VLOOKUP(M103,'G-6 Hedgerow Data'!$B$2:$AG$15,3,FALSE))</f>
        <v/>
      </c>
      <c r="S103" s="157"/>
      <c r="T103" s="540" t="str">
        <f>IFERROR(VLOOKUP(S103,'G-1 All Habitats'!$Z$2:$AA$9,2,FALSE),"")</f>
        <v/>
      </c>
      <c r="U103" s="154"/>
      <c r="V103" s="520" t="str">
        <f>IF(U103="","",IF(VLOOKUP(U103,'G-3 Multipliers'!$L$3:$N$6,2,FALSE)=0,"Spatial Data Missing ⚠",VLOOKUP(U103,'G-3 Multipliers'!$L$3:$N$6,2,FALSE)))</f>
        <v/>
      </c>
      <c r="W103" s="524" t="str">
        <f>IF(U103="","",IF(VLOOKUP(U103,'G-3 Multipliers'!$L$3:$N$6,3,FALSE)=0,"Spatial Data Missing ⚠",VLOOKUP(U103,'G-3 Multipliers'!$L$3:$N$6,3,FALSE)))</f>
        <v/>
      </c>
      <c r="X103" s="498" t="str">
        <f>IFERROR(IF(OR(LEFT(O103,5)="Error ▲",LEFT(N103,5)="Error ▲",T103="Error ▲"),"Check Data ⚠",IF(F103&lt;R103,INDEX('G-6 Hedgerow Data'!$S$3:$AE$14,MATCH(C103,'G-6 Hedgerow Data'!$B$3:$B$14,0),MATCH(M103,'G-6 Hedgerow Data'!$S$2:$AE$2,0)),INDEX('G-6 Hedgerow Data'!$K$3:$Q$14,MATCH(M103,'G-6 Hedgerow Data'!$B$3:$B$14,0),MATCH(O103,'G-6 Hedgerow Data'!$K$2:$Q$2,0)))),"")</f>
        <v/>
      </c>
      <c r="Y103" s="195"/>
      <c r="Z103" s="195"/>
      <c r="AA103" s="507" t="str">
        <f t="shared" si="11"/>
        <v/>
      </c>
      <c r="AB103" s="521" t="str">
        <f t="shared" si="12"/>
        <v/>
      </c>
      <c r="AC103" s="522" t="str">
        <f t="shared" si="8"/>
        <v/>
      </c>
      <c r="AD103" s="537" t="str">
        <f>IF(M103="","",VLOOKUP(M103,'G-6 Hedgerow Data'!$B$3:$AG$15,31,FALSE))</f>
        <v/>
      </c>
      <c r="AE103" s="507" t="str">
        <f t="shared" si="13"/>
        <v/>
      </c>
      <c r="AF103" s="507" t="str">
        <f t="shared" si="14"/>
        <v/>
      </c>
      <c r="AG103" s="524" t="str">
        <f>IFERROR(IF(O103="","",VLOOKUP(AD103,'G-3 Multipliers'!$P$3:$Q$6,2,FALSE)),"")</f>
        <v/>
      </c>
      <c r="AH103" s="513" t="str">
        <f t="shared" si="9"/>
        <v/>
      </c>
      <c r="AI103" s="231"/>
      <c r="AJ103" s="150"/>
      <c r="AT103" s="31" t="str">
        <f>IFERROR(INDEX('G-6 Hedgerow Data'!$BJ$3:$BJ$15,MATCH(M103,'G-6 Hedgerow Data'!$B$3:$B$15,0)),"")</f>
        <v/>
      </c>
    </row>
    <row r="104" spans="2:46" ht="14" x14ac:dyDescent="0.3">
      <c r="B104" s="531" t="str">
        <f>'B-1 Site Hedge Baseline'!AK102</f>
        <v/>
      </c>
      <c r="C104" s="520" t="str">
        <f>IF(B104="","",IF(ISNA(VLOOKUP($B104,'B-1 Site Hedge Baseline'!$B$1:$L$257,3,FALSE)),"",(VLOOKUP($B104,'B-1 Site Hedge Baseline'!$B$1:$L$257,3,FALSE))))</f>
        <v/>
      </c>
      <c r="D104" s="520" t="str">
        <f>IF(B104="","",IF(ISNA(VLOOKUP($B104,'B-1 Site Hedge Baseline'!$B$1:$L$257,4,FALSE)),"",(VLOOKUP($B104,'B-1 Site Hedge Baseline'!$B$1:$L$257,4,FALSE))))</f>
        <v/>
      </c>
      <c r="E104" s="520" t="str">
        <f>IF(B104="","",IF(ISNA(VLOOKUP($B104,'B-1 Site Hedge Baseline'!$B$1:$L$257,5,FALSE)),"",(VLOOKUP($B104,'B-1 Site Hedge Baseline'!$B$1:$L$257,5,FALSE))))</f>
        <v/>
      </c>
      <c r="F104" s="520" t="str">
        <f>IF(B104="","",IF(ISNA(VLOOKUP($B104,'B-1 Site Hedge Baseline'!$B$1:$L$257,6,FALSE)),"",(VLOOKUP($B104,'B-1 Site Hedge Baseline'!$B$1:$L$257,6,FALSE))))</f>
        <v/>
      </c>
      <c r="G104" s="520" t="str">
        <f>IF(B104="","",IF(ISNA(VLOOKUP($B104,'B-1 Site Hedge Baseline'!$B$1:$L$257,7,FALSE)),"",(VLOOKUP($B104,'B-1 Site Hedge Baseline'!$B$1:$L$257,7,FALSE))))</f>
        <v/>
      </c>
      <c r="H104" s="520" t="str">
        <f>IF(B104="","",IF(ISNA(VLOOKUP($B104,'B-1 Site Hedge Baseline'!$B$1:$L$257,8,FALSE)),"",(VLOOKUP($B104,'B-1 Site Hedge Baseline'!$B$1:$L$257,8,FALSE))))</f>
        <v/>
      </c>
      <c r="I104" s="520" t="str">
        <f>IF(B104="","",IF(ISNA(VLOOKUP($B104,'B-1 Site Hedge Baseline'!$B$1:$L$257,10,FALSE)),"",(VLOOKUP($B104,'B-1 Site Hedge Baseline'!$B$1:$L$257,10,FALSE))))</f>
        <v/>
      </c>
      <c r="J104" s="520" t="str">
        <f>IF(B104="","",IF(ISNA(VLOOKUP($B104,'B-1 Site Hedge Baseline'!$B$1:$L$257,11,FALSE)),"",(VLOOKUP($B104,'B-1 Site Hedge Baseline'!$B$1:$L$257,11,FALSE))))</f>
        <v/>
      </c>
      <c r="K104" s="520" t="str">
        <f>IF(B104="","",IF(ISNA(VLOOKUP($B104,'B-1 Site Hedge Baseline'!$B$1:$U$257,13,FALSE)),"",(VLOOKUP($B104,'B-1 Site Hedge Baseline'!$B$1:$U$257,13,FALSE))))</f>
        <v/>
      </c>
      <c r="L104" s="524" t="str">
        <f>IF(B104="","",IF(ISNA(VLOOKUP($B104,'B-1 Site Hedge Baseline'!$B$1:$U$257,12,FALSE)),"",(VLOOKUP($B104,'B-1 Site Hedge Baseline'!$B$1:$U$257,12,FALSE))))</f>
        <v/>
      </c>
      <c r="M104" s="416" t="str">
        <f t="shared" si="15"/>
        <v/>
      </c>
      <c r="N104" s="498" t="str">
        <f>IFERROR(IF(B104="","",INDEX('G-6 Hedgerow Data'!$AN$3:$AZ$15,MATCH(C104,'G-6 Hedgerow Data'!$AM$3:$AM$15,0),MATCH(M104,'G-6 Hedgerow Data'!$AN$2:$AZ$2,0))),"")</f>
        <v/>
      </c>
      <c r="O104" s="499" t="str">
        <f t="shared" si="10"/>
        <v/>
      </c>
      <c r="P104" s="559" t="str">
        <f>IF(B104="","",VLOOKUP(B104,'B-1 Site Hedge Baseline'!$B$10:T349,16,FALSE))</f>
        <v/>
      </c>
      <c r="Q104" s="498" t="str">
        <f>IF(M104="","",VLOOKUP(M104,'G-6 Hedgerow Data'!$B$2:$AG$15,2,FALSE))</f>
        <v/>
      </c>
      <c r="R104" s="499" t="str">
        <f>IF(M104="","",VLOOKUP(M104,'G-6 Hedgerow Data'!$B$2:$AG$15,3,FALSE))</f>
        <v/>
      </c>
      <c r="S104" s="157"/>
      <c r="T104" s="540" t="str">
        <f>IFERROR(VLOOKUP(S104,'G-1 All Habitats'!$Z$2:$AA$9,2,FALSE),"")</f>
        <v/>
      </c>
      <c r="U104" s="154"/>
      <c r="V104" s="520" t="str">
        <f>IF(U104="","",IF(VLOOKUP(U104,'G-3 Multipliers'!$L$3:$N$6,2,FALSE)=0,"Spatial Data Missing ⚠",VLOOKUP(U104,'G-3 Multipliers'!$L$3:$N$6,2,FALSE)))</f>
        <v/>
      </c>
      <c r="W104" s="524" t="str">
        <f>IF(U104="","",IF(VLOOKUP(U104,'G-3 Multipliers'!$L$3:$N$6,3,FALSE)=0,"Spatial Data Missing ⚠",VLOOKUP(U104,'G-3 Multipliers'!$L$3:$N$6,3,FALSE)))</f>
        <v/>
      </c>
      <c r="X104" s="498" t="str">
        <f>IFERROR(IF(OR(LEFT(O104,5)="Error ▲",LEFT(N104,5)="Error ▲",T104="Error ▲"),"Check Data ⚠",IF(F104&lt;R104,INDEX('G-6 Hedgerow Data'!$S$3:$AE$14,MATCH(C104,'G-6 Hedgerow Data'!$B$3:$B$14,0),MATCH(M104,'G-6 Hedgerow Data'!$S$2:$AE$2,0)),INDEX('G-6 Hedgerow Data'!$K$3:$Q$14,MATCH(M104,'G-6 Hedgerow Data'!$B$3:$B$14,0),MATCH(O104,'G-6 Hedgerow Data'!$K$2:$Q$2,0)))),"")</f>
        <v/>
      </c>
      <c r="Y104" s="195"/>
      <c r="Z104" s="195"/>
      <c r="AA104" s="507" t="str">
        <f t="shared" si="11"/>
        <v/>
      </c>
      <c r="AB104" s="521" t="str">
        <f t="shared" si="12"/>
        <v/>
      </c>
      <c r="AC104" s="522" t="str">
        <f t="shared" si="8"/>
        <v/>
      </c>
      <c r="AD104" s="537" t="str">
        <f>IF(M104="","",VLOOKUP(M104,'G-6 Hedgerow Data'!$B$3:$AG$15,31,FALSE))</f>
        <v/>
      </c>
      <c r="AE104" s="507" t="str">
        <f t="shared" si="13"/>
        <v/>
      </c>
      <c r="AF104" s="507" t="str">
        <f t="shared" si="14"/>
        <v/>
      </c>
      <c r="AG104" s="524" t="str">
        <f>IFERROR(IF(O104="","",VLOOKUP(AD104,'G-3 Multipliers'!$P$3:$Q$6,2,FALSE)),"")</f>
        <v/>
      </c>
      <c r="AH104" s="513" t="str">
        <f t="shared" si="9"/>
        <v/>
      </c>
      <c r="AI104" s="231"/>
      <c r="AJ104" s="150"/>
      <c r="AT104" s="31" t="str">
        <f>IFERROR(INDEX('G-6 Hedgerow Data'!$BJ$3:$BJ$15,MATCH(M104,'G-6 Hedgerow Data'!$B$3:$B$15,0)),"")</f>
        <v/>
      </c>
    </row>
    <row r="105" spans="2:46" ht="14" x14ac:dyDescent="0.3">
      <c r="B105" s="531" t="str">
        <f>'B-1 Site Hedge Baseline'!AK103</f>
        <v/>
      </c>
      <c r="C105" s="520" t="str">
        <f>IF(B105="","",IF(ISNA(VLOOKUP($B105,'B-1 Site Hedge Baseline'!$B$1:$L$257,3,FALSE)),"",(VLOOKUP($B105,'B-1 Site Hedge Baseline'!$B$1:$L$257,3,FALSE))))</f>
        <v/>
      </c>
      <c r="D105" s="520" t="str">
        <f>IF(B105="","",IF(ISNA(VLOOKUP($B105,'B-1 Site Hedge Baseline'!$B$1:$L$257,4,FALSE)),"",(VLOOKUP($B105,'B-1 Site Hedge Baseline'!$B$1:$L$257,4,FALSE))))</f>
        <v/>
      </c>
      <c r="E105" s="520" t="str">
        <f>IF(B105="","",IF(ISNA(VLOOKUP($B105,'B-1 Site Hedge Baseline'!$B$1:$L$257,5,FALSE)),"",(VLOOKUP($B105,'B-1 Site Hedge Baseline'!$B$1:$L$257,5,FALSE))))</f>
        <v/>
      </c>
      <c r="F105" s="520" t="str">
        <f>IF(B105="","",IF(ISNA(VLOOKUP($B105,'B-1 Site Hedge Baseline'!$B$1:$L$257,6,FALSE)),"",(VLOOKUP($B105,'B-1 Site Hedge Baseline'!$B$1:$L$257,6,FALSE))))</f>
        <v/>
      </c>
      <c r="G105" s="520" t="str">
        <f>IF(B105="","",IF(ISNA(VLOOKUP($B105,'B-1 Site Hedge Baseline'!$B$1:$L$257,7,FALSE)),"",(VLOOKUP($B105,'B-1 Site Hedge Baseline'!$B$1:$L$257,7,FALSE))))</f>
        <v/>
      </c>
      <c r="H105" s="520" t="str">
        <f>IF(B105="","",IF(ISNA(VLOOKUP($B105,'B-1 Site Hedge Baseline'!$B$1:$L$257,8,FALSE)),"",(VLOOKUP($B105,'B-1 Site Hedge Baseline'!$B$1:$L$257,8,FALSE))))</f>
        <v/>
      </c>
      <c r="I105" s="520" t="str">
        <f>IF(B105="","",IF(ISNA(VLOOKUP($B105,'B-1 Site Hedge Baseline'!$B$1:$L$257,10,FALSE)),"",(VLOOKUP($B105,'B-1 Site Hedge Baseline'!$B$1:$L$257,10,FALSE))))</f>
        <v/>
      </c>
      <c r="J105" s="520" t="str">
        <f>IF(B105="","",IF(ISNA(VLOOKUP($B105,'B-1 Site Hedge Baseline'!$B$1:$L$257,11,FALSE)),"",(VLOOKUP($B105,'B-1 Site Hedge Baseline'!$B$1:$L$257,11,FALSE))))</f>
        <v/>
      </c>
      <c r="K105" s="520" t="str">
        <f>IF(B105="","",IF(ISNA(VLOOKUP($B105,'B-1 Site Hedge Baseline'!$B$1:$U$257,13,FALSE)),"",(VLOOKUP($B105,'B-1 Site Hedge Baseline'!$B$1:$U$257,13,FALSE))))</f>
        <v/>
      </c>
      <c r="L105" s="524" t="str">
        <f>IF(B105="","",IF(ISNA(VLOOKUP($B105,'B-1 Site Hedge Baseline'!$B$1:$U$257,12,FALSE)),"",(VLOOKUP($B105,'B-1 Site Hedge Baseline'!$B$1:$U$257,12,FALSE))))</f>
        <v/>
      </c>
      <c r="M105" s="416" t="str">
        <f t="shared" si="15"/>
        <v/>
      </c>
      <c r="N105" s="498" t="str">
        <f>IFERROR(IF(B105="","",INDEX('G-6 Hedgerow Data'!$AN$3:$AZ$15,MATCH(C105,'G-6 Hedgerow Data'!$AM$3:$AM$15,0),MATCH(M105,'G-6 Hedgerow Data'!$AN$2:$AZ$2,0))),"")</f>
        <v/>
      </c>
      <c r="O105" s="499" t="str">
        <f t="shared" si="10"/>
        <v/>
      </c>
      <c r="P105" s="559" t="str">
        <f>IF(B105="","",VLOOKUP(B105,'B-1 Site Hedge Baseline'!$B$10:T350,16,FALSE))</f>
        <v/>
      </c>
      <c r="Q105" s="498" t="str">
        <f>IF(M105="","",VLOOKUP(M105,'G-6 Hedgerow Data'!$B$2:$AG$15,2,FALSE))</f>
        <v/>
      </c>
      <c r="R105" s="499" t="str">
        <f>IF(M105="","",VLOOKUP(M105,'G-6 Hedgerow Data'!$B$2:$AG$15,3,FALSE))</f>
        <v/>
      </c>
      <c r="S105" s="157"/>
      <c r="T105" s="540" t="str">
        <f>IFERROR(VLOOKUP(S105,'G-1 All Habitats'!$Z$2:$AA$9,2,FALSE),"")</f>
        <v/>
      </c>
      <c r="U105" s="154"/>
      <c r="V105" s="520" t="str">
        <f>IF(U105="","",IF(VLOOKUP(U105,'G-3 Multipliers'!$L$3:$N$6,2,FALSE)=0,"Spatial Data Missing ⚠",VLOOKUP(U105,'G-3 Multipliers'!$L$3:$N$6,2,FALSE)))</f>
        <v/>
      </c>
      <c r="W105" s="524" t="str">
        <f>IF(U105="","",IF(VLOOKUP(U105,'G-3 Multipliers'!$L$3:$N$6,3,FALSE)=0,"Spatial Data Missing ⚠",VLOOKUP(U105,'G-3 Multipliers'!$L$3:$N$6,3,FALSE)))</f>
        <v/>
      </c>
      <c r="X105" s="498" t="str">
        <f>IFERROR(IF(OR(LEFT(O105,5)="Error ▲",LEFT(N105,5)="Error ▲",T105="Error ▲"),"Check Data ⚠",IF(F105&lt;R105,INDEX('G-6 Hedgerow Data'!$S$3:$AE$14,MATCH(C105,'G-6 Hedgerow Data'!$B$3:$B$14,0),MATCH(M105,'G-6 Hedgerow Data'!$S$2:$AE$2,0)),INDEX('G-6 Hedgerow Data'!$K$3:$Q$14,MATCH(M105,'G-6 Hedgerow Data'!$B$3:$B$14,0),MATCH(O105,'G-6 Hedgerow Data'!$K$2:$Q$2,0)))),"")</f>
        <v/>
      </c>
      <c r="Y105" s="195"/>
      <c r="Z105" s="195"/>
      <c r="AA105" s="507" t="str">
        <f t="shared" si="11"/>
        <v/>
      </c>
      <c r="AB105" s="521" t="str">
        <f t="shared" si="12"/>
        <v/>
      </c>
      <c r="AC105" s="522" t="str">
        <f t="shared" si="8"/>
        <v/>
      </c>
      <c r="AD105" s="537" t="str">
        <f>IF(M105="","",VLOOKUP(M105,'G-6 Hedgerow Data'!$B$3:$AG$15,31,FALSE))</f>
        <v/>
      </c>
      <c r="AE105" s="507" t="str">
        <f t="shared" si="13"/>
        <v/>
      </c>
      <c r="AF105" s="507" t="str">
        <f t="shared" si="14"/>
        <v/>
      </c>
      <c r="AG105" s="524" t="str">
        <f>IFERROR(IF(O105="","",VLOOKUP(AD105,'G-3 Multipliers'!$P$3:$Q$6,2,FALSE)),"")</f>
        <v/>
      </c>
      <c r="AH105" s="513" t="str">
        <f t="shared" si="9"/>
        <v/>
      </c>
      <c r="AI105" s="231"/>
      <c r="AJ105" s="150"/>
      <c r="AT105" s="31" t="str">
        <f>IFERROR(INDEX('G-6 Hedgerow Data'!$BJ$3:$BJ$15,MATCH(M105,'G-6 Hedgerow Data'!$B$3:$B$15,0)),"")</f>
        <v/>
      </c>
    </row>
    <row r="106" spans="2:46" ht="14" x14ac:dyDescent="0.3">
      <c r="B106" s="531" t="str">
        <f>'B-1 Site Hedge Baseline'!AK104</f>
        <v/>
      </c>
      <c r="C106" s="520" t="str">
        <f>IF(B106="","",IF(ISNA(VLOOKUP($B106,'B-1 Site Hedge Baseline'!$B$1:$L$257,3,FALSE)),"",(VLOOKUP($B106,'B-1 Site Hedge Baseline'!$B$1:$L$257,3,FALSE))))</f>
        <v/>
      </c>
      <c r="D106" s="520" t="str">
        <f>IF(B106="","",IF(ISNA(VLOOKUP($B106,'B-1 Site Hedge Baseline'!$B$1:$L$257,4,FALSE)),"",(VLOOKUP($B106,'B-1 Site Hedge Baseline'!$B$1:$L$257,4,FALSE))))</f>
        <v/>
      </c>
      <c r="E106" s="520" t="str">
        <f>IF(B106="","",IF(ISNA(VLOOKUP($B106,'B-1 Site Hedge Baseline'!$B$1:$L$257,5,FALSE)),"",(VLOOKUP($B106,'B-1 Site Hedge Baseline'!$B$1:$L$257,5,FALSE))))</f>
        <v/>
      </c>
      <c r="F106" s="520" t="str">
        <f>IF(B106="","",IF(ISNA(VLOOKUP($B106,'B-1 Site Hedge Baseline'!$B$1:$L$257,6,FALSE)),"",(VLOOKUP($B106,'B-1 Site Hedge Baseline'!$B$1:$L$257,6,FALSE))))</f>
        <v/>
      </c>
      <c r="G106" s="520" t="str">
        <f>IF(B106="","",IF(ISNA(VLOOKUP($B106,'B-1 Site Hedge Baseline'!$B$1:$L$257,7,FALSE)),"",(VLOOKUP($B106,'B-1 Site Hedge Baseline'!$B$1:$L$257,7,FALSE))))</f>
        <v/>
      </c>
      <c r="H106" s="520" t="str">
        <f>IF(B106="","",IF(ISNA(VLOOKUP($B106,'B-1 Site Hedge Baseline'!$B$1:$L$257,8,FALSE)),"",(VLOOKUP($B106,'B-1 Site Hedge Baseline'!$B$1:$L$257,8,FALSE))))</f>
        <v/>
      </c>
      <c r="I106" s="520" t="str">
        <f>IF(B106="","",IF(ISNA(VLOOKUP($B106,'B-1 Site Hedge Baseline'!$B$1:$L$257,10,FALSE)),"",(VLOOKUP($B106,'B-1 Site Hedge Baseline'!$B$1:$L$257,10,FALSE))))</f>
        <v/>
      </c>
      <c r="J106" s="520" t="str">
        <f>IF(B106="","",IF(ISNA(VLOOKUP($B106,'B-1 Site Hedge Baseline'!$B$1:$L$257,11,FALSE)),"",(VLOOKUP($B106,'B-1 Site Hedge Baseline'!$B$1:$L$257,11,FALSE))))</f>
        <v/>
      </c>
      <c r="K106" s="520" t="str">
        <f>IF(B106="","",IF(ISNA(VLOOKUP($B106,'B-1 Site Hedge Baseline'!$B$1:$U$257,13,FALSE)),"",(VLOOKUP($B106,'B-1 Site Hedge Baseline'!$B$1:$U$257,13,FALSE))))</f>
        <v/>
      </c>
      <c r="L106" s="524" t="str">
        <f>IF(B106="","",IF(ISNA(VLOOKUP($B106,'B-1 Site Hedge Baseline'!$B$1:$U$257,12,FALSE)),"",(VLOOKUP($B106,'B-1 Site Hedge Baseline'!$B$1:$U$257,12,FALSE))))</f>
        <v/>
      </c>
      <c r="M106" s="416" t="str">
        <f t="shared" si="15"/>
        <v/>
      </c>
      <c r="N106" s="498" t="str">
        <f>IFERROR(IF(B106="","",INDEX('G-6 Hedgerow Data'!$AN$3:$AZ$15,MATCH(C106,'G-6 Hedgerow Data'!$AM$3:$AM$15,0),MATCH(M106,'G-6 Hedgerow Data'!$AN$2:$AZ$2,0))),"")</f>
        <v/>
      </c>
      <c r="O106" s="499" t="str">
        <f t="shared" si="10"/>
        <v/>
      </c>
      <c r="P106" s="559" t="str">
        <f>IF(B106="","",VLOOKUP(B106,'B-1 Site Hedge Baseline'!$B$10:T351,16,FALSE))</f>
        <v/>
      </c>
      <c r="Q106" s="498" t="str">
        <f>IF(M106="","",VLOOKUP(M106,'G-6 Hedgerow Data'!$B$2:$AG$15,2,FALSE))</f>
        <v/>
      </c>
      <c r="R106" s="499" t="str">
        <f>IF(M106="","",VLOOKUP(M106,'G-6 Hedgerow Data'!$B$2:$AG$15,3,FALSE))</f>
        <v/>
      </c>
      <c r="S106" s="157"/>
      <c r="T106" s="540" t="str">
        <f>IFERROR(VLOOKUP(S106,'G-1 All Habitats'!$Z$2:$AA$9,2,FALSE),"")</f>
        <v/>
      </c>
      <c r="U106" s="154"/>
      <c r="V106" s="520" t="str">
        <f>IF(U106="","",IF(VLOOKUP(U106,'G-3 Multipliers'!$L$3:$N$6,2,FALSE)=0,"Spatial Data Missing ⚠",VLOOKUP(U106,'G-3 Multipliers'!$L$3:$N$6,2,FALSE)))</f>
        <v/>
      </c>
      <c r="W106" s="524" t="str">
        <f>IF(U106="","",IF(VLOOKUP(U106,'G-3 Multipliers'!$L$3:$N$6,3,FALSE)=0,"Spatial Data Missing ⚠",VLOOKUP(U106,'G-3 Multipliers'!$L$3:$N$6,3,FALSE)))</f>
        <v/>
      </c>
      <c r="X106" s="498" t="str">
        <f>IFERROR(IF(OR(LEFT(O106,5)="Error ▲",LEFT(N106,5)="Error ▲",T106="Error ▲"),"Check Data ⚠",IF(F106&lt;R106,INDEX('G-6 Hedgerow Data'!$S$3:$AE$14,MATCH(C106,'G-6 Hedgerow Data'!$B$3:$B$14,0),MATCH(M106,'G-6 Hedgerow Data'!$S$2:$AE$2,0)),INDEX('G-6 Hedgerow Data'!$K$3:$Q$14,MATCH(M106,'G-6 Hedgerow Data'!$B$3:$B$14,0),MATCH(O106,'G-6 Hedgerow Data'!$K$2:$Q$2,0)))),"")</f>
        <v/>
      </c>
      <c r="Y106" s="195"/>
      <c r="Z106" s="195"/>
      <c r="AA106" s="507" t="str">
        <f t="shared" si="11"/>
        <v/>
      </c>
      <c r="AB106" s="521" t="str">
        <f t="shared" si="12"/>
        <v/>
      </c>
      <c r="AC106" s="522" t="str">
        <f t="shared" si="8"/>
        <v/>
      </c>
      <c r="AD106" s="537" t="str">
        <f>IF(M106="","",VLOOKUP(M106,'G-6 Hedgerow Data'!$B$3:$AG$15,31,FALSE))</f>
        <v/>
      </c>
      <c r="AE106" s="507" t="str">
        <f t="shared" si="13"/>
        <v/>
      </c>
      <c r="AF106" s="507" t="str">
        <f t="shared" si="14"/>
        <v/>
      </c>
      <c r="AG106" s="524" t="str">
        <f>IFERROR(IF(O106="","",VLOOKUP(AD106,'G-3 Multipliers'!$P$3:$Q$6,2,FALSE)),"")</f>
        <v/>
      </c>
      <c r="AH106" s="513" t="str">
        <f t="shared" si="9"/>
        <v/>
      </c>
      <c r="AI106" s="231"/>
      <c r="AJ106" s="150"/>
      <c r="AT106" s="31" t="str">
        <f>IFERROR(INDEX('G-6 Hedgerow Data'!$BJ$3:$BJ$15,MATCH(M106,'G-6 Hedgerow Data'!$B$3:$B$15,0)),"")</f>
        <v/>
      </c>
    </row>
    <row r="107" spans="2:46" ht="14" x14ac:dyDescent="0.3">
      <c r="B107" s="531" t="str">
        <f>'B-1 Site Hedge Baseline'!AK105</f>
        <v/>
      </c>
      <c r="C107" s="520" t="str">
        <f>IF(B107="","",IF(ISNA(VLOOKUP($B107,'B-1 Site Hedge Baseline'!$B$1:$L$257,3,FALSE)),"",(VLOOKUP($B107,'B-1 Site Hedge Baseline'!$B$1:$L$257,3,FALSE))))</f>
        <v/>
      </c>
      <c r="D107" s="520" t="str">
        <f>IF(B107="","",IF(ISNA(VLOOKUP($B107,'B-1 Site Hedge Baseline'!$B$1:$L$257,4,FALSE)),"",(VLOOKUP($B107,'B-1 Site Hedge Baseline'!$B$1:$L$257,4,FALSE))))</f>
        <v/>
      </c>
      <c r="E107" s="520" t="str">
        <f>IF(B107="","",IF(ISNA(VLOOKUP($B107,'B-1 Site Hedge Baseline'!$B$1:$L$257,5,FALSE)),"",(VLOOKUP($B107,'B-1 Site Hedge Baseline'!$B$1:$L$257,5,FALSE))))</f>
        <v/>
      </c>
      <c r="F107" s="520" t="str">
        <f>IF(B107="","",IF(ISNA(VLOOKUP($B107,'B-1 Site Hedge Baseline'!$B$1:$L$257,6,FALSE)),"",(VLOOKUP($B107,'B-1 Site Hedge Baseline'!$B$1:$L$257,6,FALSE))))</f>
        <v/>
      </c>
      <c r="G107" s="520" t="str">
        <f>IF(B107="","",IF(ISNA(VLOOKUP($B107,'B-1 Site Hedge Baseline'!$B$1:$L$257,7,FALSE)),"",(VLOOKUP($B107,'B-1 Site Hedge Baseline'!$B$1:$L$257,7,FALSE))))</f>
        <v/>
      </c>
      <c r="H107" s="520" t="str">
        <f>IF(B107="","",IF(ISNA(VLOOKUP($B107,'B-1 Site Hedge Baseline'!$B$1:$L$257,8,FALSE)),"",(VLOOKUP($B107,'B-1 Site Hedge Baseline'!$B$1:$L$257,8,FALSE))))</f>
        <v/>
      </c>
      <c r="I107" s="520" t="str">
        <f>IF(B107="","",IF(ISNA(VLOOKUP($B107,'B-1 Site Hedge Baseline'!$B$1:$L$257,10,FALSE)),"",(VLOOKUP($B107,'B-1 Site Hedge Baseline'!$B$1:$L$257,10,FALSE))))</f>
        <v/>
      </c>
      <c r="J107" s="520" t="str">
        <f>IF(B107="","",IF(ISNA(VLOOKUP($B107,'B-1 Site Hedge Baseline'!$B$1:$L$257,11,FALSE)),"",(VLOOKUP($B107,'B-1 Site Hedge Baseline'!$B$1:$L$257,11,FALSE))))</f>
        <v/>
      </c>
      <c r="K107" s="520" t="str">
        <f>IF(B107="","",IF(ISNA(VLOOKUP($B107,'B-1 Site Hedge Baseline'!$B$1:$U$257,13,FALSE)),"",(VLOOKUP($B107,'B-1 Site Hedge Baseline'!$B$1:$U$257,13,FALSE))))</f>
        <v/>
      </c>
      <c r="L107" s="524" t="str">
        <f>IF(B107="","",IF(ISNA(VLOOKUP($B107,'B-1 Site Hedge Baseline'!$B$1:$U$257,12,FALSE)),"",(VLOOKUP($B107,'B-1 Site Hedge Baseline'!$B$1:$U$257,12,FALSE))))</f>
        <v/>
      </c>
      <c r="M107" s="416" t="str">
        <f t="shared" si="15"/>
        <v/>
      </c>
      <c r="N107" s="498" t="str">
        <f>IFERROR(IF(B107="","",INDEX('G-6 Hedgerow Data'!$AN$3:$AZ$15,MATCH(C107,'G-6 Hedgerow Data'!$AM$3:$AM$15,0),MATCH(M107,'G-6 Hedgerow Data'!$AN$2:$AZ$2,0))),"")</f>
        <v/>
      </c>
      <c r="O107" s="499" t="str">
        <f t="shared" si="10"/>
        <v/>
      </c>
      <c r="P107" s="559" t="str">
        <f>IF(B107="","",VLOOKUP(B107,'B-1 Site Hedge Baseline'!$B$10:T352,16,FALSE))</f>
        <v/>
      </c>
      <c r="Q107" s="498" t="str">
        <f>IF(M107="","",VLOOKUP(M107,'G-6 Hedgerow Data'!$B$2:$AG$15,2,FALSE))</f>
        <v/>
      </c>
      <c r="R107" s="499" t="str">
        <f>IF(M107="","",VLOOKUP(M107,'G-6 Hedgerow Data'!$B$2:$AG$15,3,FALSE))</f>
        <v/>
      </c>
      <c r="S107" s="157"/>
      <c r="T107" s="540" t="str">
        <f>IFERROR(VLOOKUP(S107,'G-1 All Habitats'!$Z$2:$AA$9,2,FALSE),"")</f>
        <v/>
      </c>
      <c r="U107" s="154"/>
      <c r="V107" s="520" t="str">
        <f>IF(U107="","",IF(VLOOKUP(U107,'G-3 Multipliers'!$L$3:$N$6,2,FALSE)=0,"Spatial Data Missing ⚠",VLOOKUP(U107,'G-3 Multipliers'!$L$3:$N$6,2,FALSE)))</f>
        <v/>
      </c>
      <c r="W107" s="524" t="str">
        <f>IF(U107="","",IF(VLOOKUP(U107,'G-3 Multipliers'!$L$3:$N$6,3,FALSE)=0,"Spatial Data Missing ⚠",VLOOKUP(U107,'G-3 Multipliers'!$L$3:$N$6,3,FALSE)))</f>
        <v/>
      </c>
      <c r="X107" s="498" t="str">
        <f>IFERROR(IF(OR(LEFT(O107,5)="Error ▲",LEFT(N107,5)="Error ▲",T107="Error ▲"),"Check Data ⚠",IF(F107&lt;R107,INDEX('G-6 Hedgerow Data'!$S$3:$AE$14,MATCH(C107,'G-6 Hedgerow Data'!$B$3:$B$14,0),MATCH(M107,'G-6 Hedgerow Data'!$S$2:$AE$2,0)),INDEX('G-6 Hedgerow Data'!$K$3:$Q$14,MATCH(M107,'G-6 Hedgerow Data'!$B$3:$B$14,0),MATCH(O107,'G-6 Hedgerow Data'!$K$2:$Q$2,0)))),"")</f>
        <v/>
      </c>
      <c r="Y107" s="195"/>
      <c r="Z107" s="195"/>
      <c r="AA107" s="507" t="str">
        <f t="shared" si="11"/>
        <v/>
      </c>
      <c r="AB107" s="521" t="str">
        <f t="shared" si="12"/>
        <v/>
      </c>
      <c r="AC107" s="522" t="str">
        <f t="shared" si="8"/>
        <v/>
      </c>
      <c r="AD107" s="537" t="str">
        <f>IF(M107="","",VLOOKUP(M107,'G-6 Hedgerow Data'!$B$3:$AG$15,31,FALSE))</f>
        <v/>
      </c>
      <c r="AE107" s="507" t="str">
        <f t="shared" si="13"/>
        <v/>
      </c>
      <c r="AF107" s="507" t="str">
        <f t="shared" si="14"/>
        <v/>
      </c>
      <c r="AG107" s="524" t="str">
        <f>IFERROR(IF(O107="","",VLOOKUP(AD107,'G-3 Multipliers'!$P$3:$Q$6,2,FALSE)),"")</f>
        <v/>
      </c>
      <c r="AH107" s="513" t="str">
        <f t="shared" si="9"/>
        <v/>
      </c>
      <c r="AI107" s="231"/>
      <c r="AJ107" s="150"/>
      <c r="AT107" s="31" t="str">
        <f>IFERROR(INDEX('G-6 Hedgerow Data'!$BJ$3:$BJ$15,MATCH(M107,'G-6 Hedgerow Data'!$B$3:$B$15,0)),"")</f>
        <v/>
      </c>
    </row>
    <row r="108" spans="2:46" ht="14" x14ac:dyDescent="0.3">
      <c r="B108" s="531" t="str">
        <f>'B-1 Site Hedge Baseline'!AK106</f>
        <v/>
      </c>
      <c r="C108" s="520" t="str">
        <f>IF(B108="","",IF(ISNA(VLOOKUP($B108,'B-1 Site Hedge Baseline'!$B$1:$L$257,3,FALSE)),"",(VLOOKUP($B108,'B-1 Site Hedge Baseline'!$B$1:$L$257,3,FALSE))))</f>
        <v/>
      </c>
      <c r="D108" s="520" t="str">
        <f>IF(B108="","",IF(ISNA(VLOOKUP($B108,'B-1 Site Hedge Baseline'!$B$1:$L$257,4,FALSE)),"",(VLOOKUP($B108,'B-1 Site Hedge Baseline'!$B$1:$L$257,4,FALSE))))</f>
        <v/>
      </c>
      <c r="E108" s="520" t="str">
        <f>IF(B108="","",IF(ISNA(VLOOKUP($B108,'B-1 Site Hedge Baseline'!$B$1:$L$257,5,FALSE)),"",(VLOOKUP($B108,'B-1 Site Hedge Baseline'!$B$1:$L$257,5,FALSE))))</f>
        <v/>
      </c>
      <c r="F108" s="520" t="str">
        <f>IF(B108="","",IF(ISNA(VLOOKUP($B108,'B-1 Site Hedge Baseline'!$B$1:$L$257,6,FALSE)),"",(VLOOKUP($B108,'B-1 Site Hedge Baseline'!$B$1:$L$257,6,FALSE))))</f>
        <v/>
      </c>
      <c r="G108" s="520" t="str">
        <f>IF(B108="","",IF(ISNA(VLOOKUP($B108,'B-1 Site Hedge Baseline'!$B$1:$L$257,7,FALSE)),"",(VLOOKUP($B108,'B-1 Site Hedge Baseline'!$B$1:$L$257,7,FALSE))))</f>
        <v/>
      </c>
      <c r="H108" s="520" t="str">
        <f>IF(B108="","",IF(ISNA(VLOOKUP($B108,'B-1 Site Hedge Baseline'!$B$1:$L$257,8,FALSE)),"",(VLOOKUP($B108,'B-1 Site Hedge Baseline'!$B$1:$L$257,8,FALSE))))</f>
        <v/>
      </c>
      <c r="I108" s="520" t="str">
        <f>IF(B108="","",IF(ISNA(VLOOKUP($B108,'B-1 Site Hedge Baseline'!$B$1:$L$257,10,FALSE)),"",(VLOOKUP($B108,'B-1 Site Hedge Baseline'!$B$1:$L$257,10,FALSE))))</f>
        <v/>
      </c>
      <c r="J108" s="520" t="str">
        <f>IF(B108="","",IF(ISNA(VLOOKUP($B108,'B-1 Site Hedge Baseline'!$B$1:$L$257,11,FALSE)),"",(VLOOKUP($B108,'B-1 Site Hedge Baseline'!$B$1:$L$257,11,FALSE))))</f>
        <v/>
      </c>
      <c r="K108" s="520" t="str">
        <f>IF(B108="","",IF(ISNA(VLOOKUP($B108,'B-1 Site Hedge Baseline'!$B$1:$U$257,13,FALSE)),"",(VLOOKUP($B108,'B-1 Site Hedge Baseline'!$B$1:$U$257,13,FALSE))))</f>
        <v/>
      </c>
      <c r="L108" s="524" t="str">
        <f>IF(B108="","",IF(ISNA(VLOOKUP($B108,'B-1 Site Hedge Baseline'!$B$1:$U$257,12,FALSE)),"",(VLOOKUP($B108,'B-1 Site Hedge Baseline'!$B$1:$U$257,12,FALSE))))</f>
        <v/>
      </c>
      <c r="M108" s="416" t="str">
        <f t="shared" si="15"/>
        <v/>
      </c>
      <c r="N108" s="498" t="str">
        <f>IFERROR(IF(B108="","",INDEX('G-6 Hedgerow Data'!$AN$3:$AZ$15,MATCH(C108,'G-6 Hedgerow Data'!$AM$3:$AM$15,0),MATCH(M108,'G-6 Hedgerow Data'!$AN$2:$AZ$2,0))),"")</f>
        <v/>
      </c>
      <c r="O108" s="499" t="str">
        <f t="shared" si="10"/>
        <v/>
      </c>
      <c r="P108" s="559" t="str">
        <f>IF(B108="","",VLOOKUP(B108,'B-1 Site Hedge Baseline'!$B$10:T353,16,FALSE))</f>
        <v/>
      </c>
      <c r="Q108" s="498" t="str">
        <f>IF(M108="","",VLOOKUP(M108,'G-6 Hedgerow Data'!$B$2:$AG$15,2,FALSE))</f>
        <v/>
      </c>
      <c r="R108" s="499" t="str">
        <f>IF(M108="","",VLOOKUP(M108,'G-6 Hedgerow Data'!$B$2:$AG$15,3,FALSE))</f>
        <v/>
      </c>
      <c r="S108" s="157"/>
      <c r="T108" s="540" t="str">
        <f>IFERROR(VLOOKUP(S108,'G-1 All Habitats'!$Z$2:$AA$9,2,FALSE),"")</f>
        <v/>
      </c>
      <c r="U108" s="154"/>
      <c r="V108" s="520" t="str">
        <f>IF(U108="","",IF(VLOOKUP(U108,'G-3 Multipliers'!$L$3:$N$6,2,FALSE)=0,"Spatial Data Missing ⚠",VLOOKUP(U108,'G-3 Multipliers'!$L$3:$N$6,2,FALSE)))</f>
        <v/>
      </c>
      <c r="W108" s="524" t="str">
        <f>IF(U108="","",IF(VLOOKUP(U108,'G-3 Multipliers'!$L$3:$N$6,3,FALSE)=0,"Spatial Data Missing ⚠",VLOOKUP(U108,'G-3 Multipliers'!$L$3:$N$6,3,FALSE)))</f>
        <v/>
      </c>
      <c r="X108" s="498" t="str">
        <f>IFERROR(IF(OR(LEFT(O108,5)="Error ▲",LEFT(N108,5)="Error ▲",T108="Error ▲"),"Check Data ⚠",IF(F108&lt;R108,INDEX('G-6 Hedgerow Data'!$S$3:$AE$14,MATCH(C108,'G-6 Hedgerow Data'!$B$3:$B$14,0),MATCH(M108,'G-6 Hedgerow Data'!$S$2:$AE$2,0)),INDEX('G-6 Hedgerow Data'!$K$3:$Q$14,MATCH(M108,'G-6 Hedgerow Data'!$B$3:$B$14,0),MATCH(O108,'G-6 Hedgerow Data'!$K$2:$Q$2,0)))),"")</f>
        <v/>
      </c>
      <c r="Y108" s="195"/>
      <c r="Z108" s="195"/>
      <c r="AA108" s="507" t="str">
        <f t="shared" si="11"/>
        <v/>
      </c>
      <c r="AB108" s="521" t="str">
        <f t="shared" si="12"/>
        <v/>
      </c>
      <c r="AC108" s="522" t="str">
        <f t="shared" si="8"/>
        <v/>
      </c>
      <c r="AD108" s="537" t="str">
        <f>IF(M108="","",VLOOKUP(M108,'G-6 Hedgerow Data'!$B$3:$AG$15,31,FALSE))</f>
        <v/>
      </c>
      <c r="AE108" s="507" t="str">
        <f t="shared" si="13"/>
        <v/>
      </c>
      <c r="AF108" s="507" t="str">
        <f t="shared" si="14"/>
        <v/>
      </c>
      <c r="AG108" s="524" t="str">
        <f>IFERROR(IF(O108="","",VLOOKUP(AD108,'G-3 Multipliers'!$P$3:$Q$6,2,FALSE)),"")</f>
        <v/>
      </c>
      <c r="AH108" s="513" t="str">
        <f t="shared" si="9"/>
        <v/>
      </c>
      <c r="AI108" s="231"/>
      <c r="AJ108" s="150"/>
      <c r="AT108" s="31" t="str">
        <f>IFERROR(INDEX('G-6 Hedgerow Data'!$BJ$3:$BJ$15,MATCH(M108,'G-6 Hedgerow Data'!$B$3:$B$15,0)),"")</f>
        <v/>
      </c>
    </row>
    <row r="109" spans="2:46" ht="14" x14ac:dyDescent="0.3">
      <c r="B109" s="531" t="str">
        <f>'B-1 Site Hedge Baseline'!AK107</f>
        <v/>
      </c>
      <c r="C109" s="520" t="str">
        <f>IF(B109="","",IF(ISNA(VLOOKUP($B109,'B-1 Site Hedge Baseline'!$B$1:$L$257,3,FALSE)),"",(VLOOKUP($B109,'B-1 Site Hedge Baseline'!$B$1:$L$257,3,FALSE))))</f>
        <v/>
      </c>
      <c r="D109" s="520" t="str">
        <f>IF(B109="","",IF(ISNA(VLOOKUP($B109,'B-1 Site Hedge Baseline'!$B$1:$L$257,4,FALSE)),"",(VLOOKUP($B109,'B-1 Site Hedge Baseline'!$B$1:$L$257,4,FALSE))))</f>
        <v/>
      </c>
      <c r="E109" s="520" t="str">
        <f>IF(B109="","",IF(ISNA(VLOOKUP($B109,'B-1 Site Hedge Baseline'!$B$1:$L$257,5,FALSE)),"",(VLOOKUP($B109,'B-1 Site Hedge Baseline'!$B$1:$L$257,5,FALSE))))</f>
        <v/>
      </c>
      <c r="F109" s="520" t="str">
        <f>IF(B109="","",IF(ISNA(VLOOKUP($B109,'B-1 Site Hedge Baseline'!$B$1:$L$257,6,FALSE)),"",(VLOOKUP($B109,'B-1 Site Hedge Baseline'!$B$1:$L$257,6,FALSE))))</f>
        <v/>
      </c>
      <c r="G109" s="520" t="str">
        <f>IF(B109="","",IF(ISNA(VLOOKUP($B109,'B-1 Site Hedge Baseline'!$B$1:$L$257,7,FALSE)),"",(VLOOKUP($B109,'B-1 Site Hedge Baseline'!$B$1:$L$257,7,FALSE))))</f>
        <v/>
      </c>
      <c r="H109" s="520" t="str">
        <f>IF(B109="","",IF(ISNA(VLOOKUP($B109,'B-1 Site Hedge Baseline'!$B$1:$L$257,8,FALSE)),"",(VLOOKUP($B109,'B-1 Site Hedge Baseline'!$B$1:$L$257,8,FALSE))))</f>
        <v/>
      </c>
      <c r="I109" s="520" t="str">
        <f>IF(B109="","",IF(ISNA(VLOOKUP($B109,'B-1 Site Hedge Baseline'!$B$1:$L$257,10,FALSE)),"",(VLOOKUP($B109,'B-1 Site Hedge Baseline'!$B$1:$L$257,10,FALSE))))</f>
        <v/>
      </c>
      <c r="J109" s="520" t="str">
        <f>IF(B109="","",IF(ISNA(VLOOKUP($B109,'B-1 Site Hedge Baseline'!$B$1:$L$257,11,FALSE)),"",(VLOOKUP($B109,'B-1 Site Hedge Baseline'!$B$1:$L$257,11,FALSE))))</f>
        <v/>
      </c>
      <c r="K109" s="520" t="str">
        <f>IF(B109="","",IF(ISNA(VLOOKUP($B109,'B-1 Site Hedge Baseline'!$B$1:$U$257,13,FALSE)),"",(VLOOKUP($B109,'B-1 Site Hedge Baseline'!$B$1:$U$257,13,FALSE))))</f>
        <v/>
      </c>
      <c r="L109" s="524" t="str">
        <f>IF(B109="","",IF(ISNA(VLOOKUP($B109,'B-1 Site Hedge Baseline'!$B$1:$U$257,12,FALSE)),"",(VLOOKUP($B109,'B-1 Site Hedge Baseline'!$B$1:$U$257,12,FALSE))))</f>
        <v/>
      </c>
      <c r="M109" s="416" t="str">
        <f t="shared" si="15"/>
        <v/>
      </c>
      <c r="N109" s="498" t="str">
        <f>IFERROR(IF(B109="","",INDEX('G-6 Hedgerow Data'!$AN$3:$AZ$15,MATCH(C109,'G-6 Hedgerow Data'!$AM$3:$AM$15,0),MATCH(M109,'G-6 Hedgerow Data'!$AN$2:$AZ$2,0))),"")</f>
        <v/>
      </c>
      <c r="O109" s="499" t="str">
        <f t="shared" si="10"/>
        <v/>
      </c>
      <c r="P109" s="559" t="str">
        <f>IF(B109="","",VLOOKUP(B109,'B-1 Site Hedge Baseline'!$B$10:T354,16,FALSE))</f>
        <v/>
      </c>
      <c r="Q109" s="498" t="str">
        <f>IF(M109="","",VLOOKUP(M109,'G-6 Hedgerow Data'!$B$2:$AG$15,2,FALSE))</f>
        <v/>
      </c>
      <c r="R109" s="499" t="str">
        <f>IF(M109="","",VLOOKUP(M109,'G-6 Hedgerow Data'!$B$2:$AG$15,3,FALSE))</f>
        <v/>
      </c>
      <c r="S109" s="157"/>
      <c r="T109" s="540" t="str">
        <f>IFERROR(VLOOKUP(S109,'G-1 All Habitats'!$Z$2:$AA$9,2,FALSE),"")</f>
        <v/>
      </c>
      <c r="U109" s="154"/>
      <c r="V109" s="520" t="str">
        <f>IF(U109="","",IF(VLOOKUP(U109,'G-3 Multipliers'!$L$3:$N$6,2,FALSE)=0,"Spatial Data Missing ⚠",VLOOKUP(U109,'G-3 Multipliers'!$L$3:$N$6,2,FALSE)))</f>
        <v/>
      </c>
      <c r="W109" s="524" t="str">
        <f>IF(U109="","",IF(VLOOKUP(U109,'G-3 Multipliers'!$L$3:$N$6,3,FALSE)=0,"Spatial Data Missing ⚠",VLOOKUP(U109,'G-3 Multipliers'!$L$3:$N$6,3,FALSE)))</f>
        <v/>
      </c>
      <c r="X109" s="498" t="str">
        <f>IFERROR(IF(OR(LEFT(O109,5)="Error ▲",LEFT(N109,5)="Error ▲",T109="Error ▲"),"Check Data ⚠",IF(F109&lt;R109,INDEX('G-6 Hedgerow Data'!$S$3:$AE$14,MATCH(C109,'G-6 Hedgerow Data'!$B$3:$B$14,0),MATCH(M109,'G-6 Hedgerow Data'!$S$2:$AE$2,0)),INDEX('G-6 Hedgerow Data'!$K$3:$Q$14,MATCH(M109,'G-6 Hedgerow Data'!$B$3:$B$14,0),MATCH(O109,'G-6 Hedgerow Data'!$K$2:$Q$2,0)))),"")</f>
        <v/>
      </c>
      <c r="Y109" s="195"/>
      <c r="Z109" s="195"/>
      <c r="AA109" s="507" t="str">
        <f t="shared" si="11"/>
        <v/>
      </c>
      <c r="AB109" s="521" t="str">
        <f t="shared" si="12"/>
        <v/>
      </c>
      <c r="AC109" s="522" t="str">
        <f t="shared" si="8"/>
        <v/>
      </c>
      <c r="AD109" s="537" t="str">
        <f>IF(M109="","",VLOOKUP(M109,'G-6 Hedgerow Data'!$B$3:$AG$15,31,FALSE))</f>
        <v/>
      </c>
      <c r="AE109" s="507" t="str">
        <f t="shared" si="13"/>
        <v/>
      </c>
      <c r="AF109" s="507" t="str">
        <f t="shared" si="14"/>
        <v/>
      </c>
      <c r="AG109" s="524" t="str">
        <f>IFERROR(IF(O109="","",VLOOKUP(AD109,'G-3 Multipliers'!$P$3:$Q$6,2,FALSE)),"")</f>
        <v/>
      </c>
      <c r="AH109" s="513" t="str">
        <f t="shared" si="9"/>
        <v/>
      </c>
      <c r="AI109" s="231"/>
      <c r="AJ109" s="150"/>
      <c r="AT109" s="31" t="str">
        <f>IFERROR(INDEX('G-6 Hedgerow Data'!$BJ$3:$BJ$15,MATCH(M109,'G-6 Hedgerow Data'!$B$3:$B$15,0)),"")</f>
        <v/>
      </c>
    </row>
    <row r="110" spans="2:46" ht="14" x14ac:dyDescent="0.3">
      <c r="B110" s="531" t="str">
        <f>'B-1 Site Hedge Baseline'!AK108</f>
        <v/>
      </c>
      <c r="C110" s="520" t="str">
        <f>IF(B110="","",IF(ISNA(VLOOKUP($B110,'B-1 Site Hedge Baseline'!$B$1:$L$257,3,FALSE)),"",(VLOOKUP($B110,'B-1 Site Hedge Baseline'!$B$1:$L$257,3,FALSE))))</f>
        <v/>
      </c>
      <c r="D110" s="520" t="str">
        <f>IF(B110="","",IF(ISNA(VLOOKUP($B110,'B-1 Site Hedge Baseline'!$B$1:$L$257,4,FALSE)),"",(VLOOKUP($B110,'B-1 Site Hedge Baseline'!$B$1:$L$257,4,FALSE))))</f>
        <v/>
      </c>
      <c r="E110" s="520" t="str">
        <f>IF(B110="","",IF(ISNA(VLOOKUP($B110,'B-1 Site Hedge Baseline'!$B$1:$L$257,5,FALSE)),"",(VLOOKUP($B110,'B-1 Site Hedge Baseline'!$B$1:$L$257,5,FALSE))))</f>
        <v/>
      </c>
      <c r="F110" s="520" t="str">
        <f>IF(B110="","",IF(ISNA(VLOOKUP($B110,'B-1 Site Hedge Baseline'!$B$1:$L$257,6,FALSE)),"",(VLOOKUP($B110,'B-1 Site Hedge Baseline'!$B$1:$L$257,6,FALSE))))</f>
        <v/>
      </c>
      <c r="G110" s="520" t="str">
        <f>IF(B110="","",IF(ISNA(VLOOKUP($B110,'B-1 Site Hedge Baseline'!$B$1:$L$257,7,FALSE)),"",(VLOOKUP($B110,'B-1 Site Hedge Baseline'!$B$1:$L$257,7,FALSE))))</f>
        <v/>
      </c>
      <c r="H110" s="520" t="str">
        <f>IF(B110="","",IF(ISNA(VLOOKUP($B110,'B-1 Site Hedge Baseline'!$B$1:$L$257,8,FALSE)),"",(VLOOKUP($B110,'B-1 Site Hedge Baseline'!$B$1:$L$257,8,FALSE))))</f>
        <v/>
      </c>
      <c r="I110" s="520" t="str">
        <f>IF(B110="","",IF(ISNA(VLOOKUP($B110,'B-1 Site Hedge Baseline'!$B$1:$L$257,10,FALSE)),"",(VLOOKUP($B110,'B-1 Site Hedge Baseline'!$B$1:$L$257,10,FALSE))))</f>
        <v/>
      </c>
      <c r="J110" s="520" t="str">
        <f>IF(B110="","",IF(ISNA(VLOOKUP($B110,'B-1 Site Hedge Baseline'!$B$1:$L$257,11,FALSE)),"",(VLOOKUP($B110,'B-1 Site Hedge Baseline'!$B$1:$L$257,11,FALSE))))</f>
        <v/>
      </c>
      <c r="K110" s="520" t="str">
        <f>IF(B110="","",IF(ISNA(VLOOKUP($B110,'B-1 Site Hedge Baseline'!$B$1:$U$257,13,FALSE)),"",(VLOOKUP($B110,'B-1 Site Hedge Baseline'!$B$1:$U$257,13,FALSE))))</f>
        <v/>
      </c>
      <c r="L110" s="524" t="str">
        <f>IF(B110="","",IF(ISNA(VLOOKUP($B110,'B-1 Site Hedge Baseline'!$B$1:$U$257,12,FALSE)),"",(VLOOKUP($B110,'B-1 Site Hedge Baseline'!$B$1:$U$257,12,FALSE))))</f>
        <v/>
      </c>
      <c r="M110" s="416" t="str">
        <f t="shared" si="15"/>
        <v/>
      </c>
      <c r="N110" s="498" t="str">
        <f>IFERROR(IF(B110="","",INDEX('G-6 Hedgerow Data'!$AN$3:$AZ$15,MATCH(C110,'G-6 Hedgerow Data'!$AM$3:$AM$15,0),MATCH(M110,'G-6 Hedgerow Data'!$AN$2:$AZ$2,0))),"")</f>
        <v/>
      </c>
      <c r="O110" s="499" t="str">
        <f t="shared" si="10"/>
        <v/>
      </c>
      <c r="P110" s="559" t="str">
        <f>IF(B110="","",VLOOKUP(B110,'B-1 Site Hedge Baseline'!$B$10:T355,16,FALSE))</f>
        <v/>
      </c>
      <c r="Q110" s="498" t="str">
        <f>IF(M110="","",VLOOKUP(M110,'G-6 Hedgerow Data'!$B$2:$AG$15,2,FALSE))</f>
        <v/>
      </c>
      <c r="R110" s="499" t="str">
        <f>IF(M110="","",VLOOKUP(M110,'G-6 Hedgerow Data'!$B$2:$AG$15,3,FALSE))</f>
        <v/>
      </c>
      <c r="S110" s="157"/>
      <c r="T110" s="540" t="str">
        <f>IFERROR(VLOOKUP(S110,'G-1 All Habitats'!$Z$2:$AA$9,2,FALSE),"")</f>
        <v/>
      </c>
      <c r="U110" s="154"/>
      <c r="V110" s="520" t="str">
        <f>IF(U110="","",IF(VLOOKUP(U110,'G-3 Multipliers'!$L$3:$N$6,2,FALSE)=0,"Spatial Data Missing ⚠",VLOOKUP(U110,'G-3 Multipliers'!$L$3:$N$6,2,FALSE)))</f>
        <v/>
      </c>
      <c r="W110" s="524" t="str">
        <f>IF(U110="","",IF(VLOOKUP(U110,'G-3 Multipliers'!$L$3:$N$6,3,FALSE)=0,"Spatial Data Missing ⚠",VLOOKUP(U110,'G-3 Multipliers'!$L$3:$N$6,3,FALSE)))</f>
        <v/>
      </c>
      <c r="X110" s="498" t="str">
        <f>IFERROR(IF(OR(LEFT(O110,5)="Error ▲",LEFT(N110,5)="Error ▲",T110="Error ▲"),"Check Data ⚠",IF(F110&lt;R110,INDEX('G-6 Hedgerow Data'!$S$3:$AE$14,MATCH(C110,'G-6 Hedgerow Data'!$B$3:$B$14,0),MATCH(M110,'G-6 Hedgerow Data'!$S$2:$AE$2,0)),INDEX('G-6 Hedgerow Data'!$K$3:$Q$14,MATCH(M110,'G-6 Hedgerow Data'!$B$3:$B$14,0),MATCH(O110,'G-6 Hedgerow Data'!$K$2:$Q$2,0)))),"")</f>
        <v/>
      </c>
      <c r="Y110" s="195"/>
      <c r="Z110" s="195"/>
      <c r="AA110" s="507" t="str">
        <f t="shared" si="11"/>
        <v/>
      </c>
      <c r="AB110" s="521" t="str">
        <f t="shared" si="12"/>
        <v/>
      </c>
      <c r="AC110" s="522" t="str">
        <f t="shared" si="8"/>
        <v/>
      </c>
      <c r="AD110" s="537" t="str">
        <f>IF(M110="","",VLOOKUP(M110,'G-6 Hedgerow Data'!$B$3:$AG$15,31,FALSE))</f>
        <v/>
      </c>
      <c r="AE110" s="507" t="str">
        <f t="shared" si="13"/>
        <v/>
      </c>
      <c r="AF110" s="507" t="str">
        <f t="shared" si="14"/>
        <v/>
      </c>
      <c r="AG110" s="524" t="str">
        <f>IFERROR(IF(O110="","",VLOOKUP(AD110,'G-3 Multipliers'!$P$3:$Q$6,2,FALSE)),"")</f>
        <v/>
      </c>
      <c r="AH110" s="513" t="str">
        <f t="shared" si="9"/>
        <v/>
      </c>
      <c r="AI110" s="231"/>
      <c r="AJ110" s="150"/>
      <c r="AT110" s="31" t="str">
        <f>IFERROR(INDEX('G-6 Hedgerow Data'!$BJ$3:$BJ$15,MATCH(M110,'G-6 Hedgerow Data'!$B$3:$B$15,0)),"")</f>
        <v/>
      </c>
    </row>
    <row r="111" spans="2:46" ht="14" x14ac:dyDescent="0.3">
      <c r="B111" s="531" t="str">
        <f>'B-1 Site Hedge Baseline'!AK109</f>
        <v/>
      </c>
      <c r="C111" s="520" t="str">
        <f>IF(B111="","",IF(ISNA(VLOOKUP($B111,'B-1 Site Hedge Baseline'!$B$1:$L$257,3,FALSE)),"",(VLOOKUP($B111,'B-1 Site Hedge Baseline'!$B$1:$L$257,3,FALSE))))</f>
        <v/>
      </c>
      <c r="D111" s="520" t="str">
        <f>IF(B111="","",IF(ISNA(VLOOKUP($B111,'B-1 Site Hedge Baseline'!$B$1:$L$257,4,FALSE)),"",(VLOOKUP($B111,'B-1 Site Hedge Baseline'!$B$1:$L$257,4,FALSE))))</f>
        <v/>
      </c>
      <c r="E111" s="520" t="str">
        <f>IF(B111="","",IF(ISNA(VLOOKUP($B111,'B-1 Site Hedge Baseline'!$B$1:$L$257,5,FALSE)),"",(VLOOKUP($B111,'B-1 Site Hedge Baseline'!$B$1:$L$257,5,FALSE))))</f>
        <v/>
      </c>
      <c r="F111" s="520" t="str">
        <f>IF(B111="","",IF(ISNA(VLOOKUP($B111,'B-1 Site Hedge Baseline'!$B$1:$L$257,6,FALSE)),"",(VLOOKUP($B111,'B-1 Site Hedge Baseline'!$B$1:$L$257,6,FALSE))))</f>
        <v/>
      </c>
      <c r="G111" s="520" t="str">
        <f>IF(B111="","",IF(ISNA(VLOOKUP($B111,'B-1 Site Hedge Baseline'!$B$1:$L$257,7,FALSE)),"",(VLOOKUP($B111,'B-1 Site Hedge Baseline'!$B$1:$L$257,7,FALSE))))</f>
        <v/>
      </c>
      <c r="H111" s="520" t="str">
        <f>IF(B111="","",IF(ISNA(VLOOKUP($B111,'B-1 Site Hedge Baseline'!$B$1:$L$257,8,FALSE)),"",(VLOOKUP($B111,'B-1 Site Hedge Baseline'!$B$1:$L$257,8,FALSE))))</f>
        <v/>
      </c>
      <c r="I111" s="520" t="str">
        <f>IF(B111="","",IF(ISNA(VLOOKUP($B111,'B-1 Site Hedge Baseline'!$B$1:$L$257,10,FALSE)),"",(VLOOKUP($B111,'B-1 Site Hedge Baseline'!$B$1:$L$257,10,FALSE))))</f>
        <v/>
      </c>
      <c r="J111" s="520" t="str">
        <f>IF(B111="","",IF(ISNA(VLOOKUP($B111,'B-1 Site Hedge Baseline'!$B$1:$L$257,11,FALSE)),"",(VLOOKUP($B111,'B-1 Site Hedge Baseline'!$B$1:$L$257,11,FALSE))))</f>
        <v/>
      </c>
      <c r="K111" s="520" t="str">
        <f>IF(B111="","",IF(ISNA(VLOOKUP($B111,'B-1 Site Hedge Baseline'!$B$1:$U$257,13,FALSE)),"",(VLOOKUP($B111,'B-1 Site Hedge Baseline'!$B$1:$U$257,13,FALSE))))</f>
        <v/>
      </c>
      <c r="L111" s="524" t="str">
        <f>IF(B111="","",IF(ISNA(VLOOKUP($B111,'B-1 Site Hedge Baseline'!$B$1:$U$257,12,FALSE)),"",(VLOOKUP($B111,'B-1 Site Hedge Baseline'!$B$1:$U$257,12,FALSE))))</f>
        <v/>
      </c>
      <c r="M111" s="416" t="str">
        <f t="shared" si="15"/>
        <v/>
      </c>
      <c r="N111" s="498" t="str">
        <f>IFERROR(IF(B111="","",INDEX('G-6 Hedgerow Data'!$AN$3:$AZ$15,MATCH(C111,'G-6 Hedgerow Data'!$AM$3:$AM$15,0),MATCH(M111,'G-6 Hedgerow Data'!$AN$2:$AZ$2,0))),"")</f>
        <v/>
      </c>
      <c r="O111" s="499" t="str">
        <f t="shared" si="10"/>
        <v/>
      </c>
      <c r="P111" s="559" t="str">
        <f>IF(B111="","",VLOOKUP(B111,'B-1 Site Hedge Baseline'!$B$10:T356,16,FALSE))</f>
        <v/>
      </c>
      <c r="Q111" s="498" t="str">
        <f>IF(M111="","",VLOOKUP(M111,'G-6 Hedgerow Data'!$B$2:$AG$15,2,FALSE))</f>
        <v/>
      </c>
      <c r="R111" s="499" t="str">
        <f>IF(M111="","",VLOOKUP(M111,'G-6 Hedgerow Data'!$B$2:$AG$15,3,FALSE))</f>
        <v/>
      </c>
      <c r="S111" s="157"/>
      <c r="T111" s="540" t="str">
        <f>IFERROR(VLOOKUP(S111,'G-1 All Habitats'!$Z$2:$AA$9,2,FALSE),"")</f>
        <v/>
      </c>
      <c r="U111" s="154"/>
      <c r="V111" s="520" t="str">
        <f>IF(U111="","",IF(VLOOKUP(U111,'G-3 Multipliers'!$L$3:$N$6,2,FALSE)=0,"Spatial Data Missing ⚠",VLOOKUP(U111,'G-3 Multipliers'!$L$3:$N$6,2,FALSE)))</f>
        <v/>
      </c>
      <c r="W111" s="524" t="str">
        <f>IF(U111="","",IF(VLOOKUP(U111,'G-3 Multipliers'!$L$3:$N$6,3,FALSE)=0,"Spatial Data Missing ⚠",VLOOKUP(U111,'G-3 Multipliers'!$L$3:$N$6,3,FALSE)))</f>
        <v/>
      </c>
      <c r="X111" s="498" t="str">
        <f>IFERROR(IF(OR(LEFT(O111,5)="Error ▲",LEFT(N111,5)="Error ▲",T111="Error ▲"),"Check Data ⚠",IF(F111&lt;R111,INDEX('G-6 Hedgerow Data'!$S$3:$AE$14,MATCH(C111,'G-6 Hedgerow Data'!$B$3:$B$14,0),MATCH(M111,'G-6 Hedgerow Data'!$S$2:$AE$2,0)),INDEX('G-6 Hedgerow Data'!$K$3:$Q$14,MATCH(M111,'G-6 Hedgerow Data'!$B$3:$B$14,0),MATCH(O111,'G-6 Hedgerow Data'!$K$2:$Q$2,0)))),"")</f>
        <v/>
      </c>
      <c r="Y111" s="195"/>
      <c r="Z111" s="195"/>
      <c r="AA111" s="507" t="str">
        <f t="shared" si="11"/>
        <v/>
      </c>
      <c r="AB111" s="521" t="str">
        <f t="shared" si="12"/>
        <v/>
      </c>
      <c r="AC111" s="522" t="str">
        <f t="shared" si="8"/>
        <v/>
      </c>
      <c r="AD111" s="537" t="str">
        <f>IF(M111="","",VLOOKUP(M111,'G-6 Hedgerow Data'!$B$3:$AG$15,31,FALSE))</f>
        <v/>
      </c>
      <c r="AE111" s="507" t="str">
        <f t="shared" si="13"/>
        <v/>
      </c>
      <c r="AF111" s="507" t="str">
        <f t="shared" si="14"/>
        <v/>
      </c>
      <c r="AG111" s="524" t="str">
        <f>IFERROR(IF(O111="","",VLOOKUP(AD111,'G-3 Multipliers'!$P$3:$Q$6,2,FALSE)),"")</f>
        <v/>
      </c>
      <c r="AH111" s="513" t="str">
        <f t="shared" si="9"/>
        <v/>
      </c>
      <c r="AI111" s="231"/>
      <c r="AJ111" s="150"/>
      <c r="AT111" s="31" t="str">
        <f>IFERROR(INDEX('G-6 Hedgerow Data'!$BJ$3:$BJ$15,MATCH(M111,'G-6 Hedgerow Data'!$B$3:$B$15,0)),"")</f>
        <v/>
      </c>
    </row>
    <row r="112" spans="2:46" ht="14" x14ac:dyDescent="0.3">
      <c r="B112" s="531" t="str">
        <f>'B-1 Site Hedge Baseline'!AK110</f>
        <v/>
      </c>
      <c r="C112" s="520" t="str">
        <f>IF(B112="","",IF(ISNA(VLOOKUP($B112,'B-1 Site Hedge Baseline'!$B$1:$L$257,3,FALSE)),"",(VLOOKUP($B112,'B-1 Site Hedge Baseline'!$B$1:$L$257,3,FALSE))))</f>
        <v/>
      </c>
      <c r="D112" s="520" t="str">
        <f>IF(B112="","",IF(ISNA(VLOOKUP($B112,'B-1 Site Hedge Baseline'!$B$1:$L$257,4,FALSE)),"",(VLOOKUP($B112,'B-1 Site Hedge Baseline'!$B$1:$L$257,4,FALSE))))</f>
        <v/>
      </c>
      <c r="E112" s="520" t="str">
        <f>IF(B112="","",IF(ISNA(VLOOKUP($B112,'B-1 Site Hedge Baseline'!$B$1:$L$257,5,FALSE)),"",(VLOOKUP($B112,'B-1 Site Hedge Baseline'!$B$1:$L$257,5,FALSE))))</f>
        <v/>
      </c>
      <c r="F112" s="520" t="str">
        <f>IF(B112="","",IF(ISNA(VLOOKUP($B112,'B-1 Site Hedge Baseline'!$B$1:$L$257,6,FALSE)),"",(VLOOKUP($B112,'B-1 Site Hedge Baseline'!$B$1:$L$257,6,FALSE))))</f>
        <v/>
      </c>
      <c r="G112" s="520" t="str">
        <f>IF(B112="","",IF(ISNA(VLOOKUP($B112,'B-1 Site Hedge Baseline'!$B$1:$L$257,7,FALSE)),"",(VLOOKUP($B112,'B-1 Site Hedge Baseline'!$B$1:$L$257,7,FALSE))))</f>
        <v/>
      </c>
      <c r="H112" s="520" t="str">
        <f>IF(B112="","",IF(ISNA(VLOOKUP($B112,'B-1 Site Hedge Baseline'!$B$1:$L$257,8,FALSE)),"",(VLOOKUP($B112,'B-1 Site Hedge Baseline'!$B$1:$L$257,8,FALSE))))</f>
        <v/>
      </c>
      <c r="I112" s="520" t="str">
        <f>IF(B112="","",IF(ISNA(VLOOKUP($B112,'B-1 Site Hedge Baseline'!$B$1:$L$257,10,FALSE)),"",(VLOOKUP($B112,'B-1 Site Hedge Baseline'!$B$1:$L$257,10,FALSE))))</f>
        <v/>
      </c>
      <c r="J112" s="520" t="str">
        <f>IF(B112="","",IF(ISNA(VLOOKUP($B112,'B-1 Site Hedge Baseline'!$B$1:$L$257,11,FALSE)),"",(VLOOKUP($B112,'B-1 Site Hedge Baseline'!$B$1:$L$257,11,FALSE))))</f>
        <v/>
      </c>
      <c r="K112" s="520" t="str">
        <f>IF(B112="","",IF(ISNA(VLOOKUP($B112,'B-1 Site Hedge Baseline'!$B$1:$U$257,13,FALSE)),"",(VLOOKUP($B112,'B-1 Site Hedge Baseline'!$B$1:$U$257,13,FALSE))))</f>
        <v/>
      </c>
      <c r="L112" s="524" t="str">
        <f>IF(B112="","",IF(ISNA(VLOOKUP($B112,'B-1 Site Hedge Baseline'!$B$1:$U$257,12,FALSE)),"",(VLOOKUP($B112,'B-1 Site Hedge Baseline'!$B$1:$U$257,12,FALSE))))</f>
        <v/>
      </c>
      <c r="M112" s="416" t="str">
        <f t="shared" si="15"/>
        <v/>
      </c>
      <c r="N112" s="498" t="str">
        <f>IFERROR(IF(B112="","",INDEX('G-6 Hedgerow Data'!$AN$3:$AZ$15,MATCH(C112,'G-6 Hedgerow Data'!$AM$3:$AM$15,0),MATCH(M112,'G-6 Hedgerow Data'!$AN$2:$AZ$2,0))),"")</f>
        <v/>
      </c>
      <c r="O112" s="499" t="str">
        <f t="shared" si="10"/>
        <v/>
      </c>
      <c r="P112" s="559" t="str">
        <f>IF(B112="","",VLOOKUP(B112,'B-1 Site Hedge Baseline'!$B$10:T357,16,FALSE))</f>
        <v/>
      </c>
      <c r="Q112" s="498" t="str">
        <f>IF(M112="","",VLOOKUP(M112,'G-6 Hedgerow Data'!$B$2:$AG$15,2,FALSE))</f>
        <v/>
      </c>
      <c r="R112" s="499" t="str">
        <f>IF(M112="","",VLOOKUP(M112,'G-6 Hedgerow Data'!$B$2:$AG$15,3,FALSE))</f>
        <v/>
      </c>
      <c r="S112" s="157"/>
      <c r="T112" s="540" t="str">
        <f>IFERROR(VLOOKUP(S112,'G-1 All Habitats'!$Z$2:$AA$9,2,FALSE),"")</f>
        <v/>
      </c>
      <c r="U112" s="154"/>
      <c r="V112" s="520" t="str">
        <f>IF(U112="","",IF(VLOOKUP(U112,'G-3 Multipliers'!$L$3:$N$6,2,FALSE)=0,"Spatial Data Missing ⚠",VLOOKUP(U112,'G-3 Multipliers'!$L$3:$N$6,2,FALSE)))</f>
        <v/>
      </c>
      <c r="W112" s="524" t="str">
        <f>IF(U112="","",IF(VLOOKUP(U112,'G-3 Multipliers'!$L$3:$N$6,3,FALSE)=0,"Spatial Data Missing ⚠",VLOOKUP(U112,'G-3 Multipliers'!$L$3:$N$6,3,FALSE)))</f>
        <v/>
      </c>
      <c r="X112" s="498" t="str">
        <f>IFERROR(IF(OR(LEFT(O112,5)="Error ▲",LEFT(N112,5)="Error ▲",T112="Error ▲"),"Check Data ⚠",IF(F112&lt;R112,INDEX('G-6 Hedgerow Data'!$S$3:$AE$14,MATCH(C112,'G-6 Hedgerow Data'!$B$3:$B$14,0),MATCH(M112,'G-6 Hedgerow Data'!$S$2:$AE$2,0)),INDEX('G-6 Hedgerow Data'!$K$3:$Q$14,MATCH(M112,'G-6 Hedgerow Data'!$B$3:$B$14,0),MATCH(O112,'G-6 Hedgerow Data'!$K$2:$Q$2,0)))),"")</f>
        <v/>
      </c>
      <c r="Y112" s="195"/>
      <c r="Z112" s="195"/>
      <c r="AA112" s="507" t="str">
        <f t="shared" si="11"/>
        <v/>
      </c>
      <c r="AB112" s="521" t="str">
        <f t="shared" si="12"/>
        <v/>
      </c>
      <c r="AC112" s="522" t="str">
        <f t="shared" si="8"/>
        <v/>
      </c>
      <c r="AD112" s="537" t="str">
        <f>IF(M112="","",VLOOKUP(M112,'G-6 Hedgerow Data'!$B$3:$AG$15,31,FALSE))</f>
        <v/>
      </c>
      <c r="AE112" s="507" t="str">
        <f t="shared" si="13"/>
        <v/>
      </c>
      <c r="AF112" s="507" t="str">
        <f t="shared" si="14"/>
        <v/>
      </c>
      <c r="AG112" s="524" t="str">
        <f>IFERROR(IF(O112="","",VLOOKUP(AD112,'G-3 Multipliers'!$P$3:$Q$6,2,FALSE)),"")</f>
        <v/>
      </c>
      <c r="AH112" s="513" t="str">
        <f t="shared" si="9"/>
        <v/>
      </c>
      <c r="AI112" s="231"/>
      <c r="AJ112" s="150"/>
      <c r="AT112" s="31" t="str">
        <f>IFERROR(INDEX('G-6 Hedgerow Data'!$BJ$3:$BJ$15,MATCH(M112,'G-6 Hedgerow Data'!$B$3:$B$15,0)),"")</f>
        <v/>
      </c>
    </row>
    <row r="113" spans="2:46" ht="14" x14ac:dyDescent="0.3">
      <c r="B113" s="531" t="str">
        <f>'B-1 Site Hedge Baseline'!AK111</f>
        <v/>
      </c>
      <c r="C113" s="520" t="str">
        <f>IF(B113="","",IF(ISNA(VLOOKUP($B113,'B-1 Site Hedge Baseline'!$B$1:$L$257,3,FALSE)),"",(VLOOKUP($B113,'B-1 Site Hedge Baseline'!$B$1:$L$257,3,FALSE))))</f>
        <v/>
      </c>
      <c r="D113" s="520" t="str">
        <f>IF(B113="","",IF(ISNA(VLOOKUP($B113,'B-1 Site Hedge Baseline'!$B$1:$L$257,4,FALSE)),"",(VLOOKUP($B113,'B-1 Site Hedge Baseline'!$B$1:$L$257,4,FALSE))))</f>
        <v/>
      </c>
      <c r="E113" s="520" t="str">
        <f>IF(B113="","",IF(ISNA(VLOOKUP($B113,'B-1 Site Hedge Baseline'!$B$1:$L$257,5,FALSE)),"",(VLOOKUP($B113,'B-1 Site Hedge Baseline'!$B$1:$L$257,5,FALSE))))</f>
        <v/>
      </c>
      <c r="F113" s="520" t="str">
        <f>IF(B113="","",IF(ISNA(VLOOKUP($B113,'B-1 Site Hedge Baseline'!$B$1:$L$257,6,FALSE)),"",(VLOOKUP($B113,'B-1 Site Hedge Baseline'!$B$1:$L$257,6,FALSE))))</f>
        <v/>
      </c>
      <c r="G113" s="520" t="str">
        <f>IF(B113="","",IF(ISNA(VLOOKUP($B113,'B-1 Site Hedge Baseline'!$B$1:$L$257,7,FALSE)),"",(VLOOKUP($B113,'B-1 Site Hedge Baseline'!$B$1:$L$257,7,FALSE))))</f>
        <v/>
      </c>
      <c r="H113" s="520" t="str">
        <f>IF(B113="","",IF(ISNA(VLOOKUP($B113,'B-1 Site Hedge Baseline'!$B$1:$L$257,8,FALSE)),"",(VLOOKUP($B113,'B-1 Site Hedge Baseline'!$B$1:$L$257,8,FALSE))))</f>
        <v/>
      </c>
      <c r="I113" s="520" t="str">
        <f>IF(B113="","",IF(ISNA(VLOOKUP($B113,'B-1 Site Hedge Baseline'!$B$1:$L$257,10,FALSE)),"",(VLOOKUP($B113,'B-1 Site Hedge Baseline'!$B$1:$L$257,10,FALSE))))</f>
        <v/>
      </c>
      <c r="J113" s="520" t="str">
        <f>IF(B113="","",IF(ISNA(VLOOKUP($B113,'B-1 Site Hedge Baseline'!$B$1:$L$257,11,FALSE)),"",(VLOOKUP($B113,'B-1 Site Hedge Baseline'!$B$1:$L$257,11,FALSE))))</f>
        <v/>
      </c>
      <c r="K113" s="520" t="str">
        <f>IF(B113="","",IF(ISNA(VLOOKUP($B113,'B-1 Site Hedge Baseline'!$B$1:$U$257,13,FALSE)),"",(VLOOKUP($B113,'B-1 Site Hedge Baseline'!$B$1:$U$257,13,FALSE))))</f>
        <v/>
      </c>
      <c r="L113" s="524" t="str">
        <f>IF(B113="","",IF(ISNA(VLOOKUP($B113,'B-1 Site Hedge Baseline'!$B$1:$U$257,12,FALSE)),"",(VLOOKUP($B113,'B-1 Site Hedge Baseline'!$B$1:$U$257,12,FALSE))))</f>
        <v/>
      </c>
      <c r="M113" s="416" t="str">
        <f t="shared" si="15"/>
        <v/>
      </c>
      <c r="N113" s="498" t="str">
        <f>IFERROR(IF(B113="","",INDEX('G-6 Hedgerow Data'!$AN$3:$AZ$15,MATCH(C113,'G-6 Hedgerow Data'!$AM$3:$AM$15,0),MATCH(M113,'G-6 Hedgerow Data'!$AN$2:$AZ$2,0))),"")</f>
        <v/>
      </c>
      <c r="O113" s="499" t="str">
        <f t="shared" si="10"/>
        <v/>
      </c>
      <c r="P113" s="559" t="str">
        <f>IF(B113="","",VLOOKUP(B113,'B-1 Site Hedge Baseline'!$B$10:T358,16,FALSE))</f>
        <v/>
      </c>
      <c r="Q113" s="498" t="str">
        <f>IF(M113="","",VLOOKUP(M113,'G-6 Hedgerow Data'!$B$2:$AG$15,2,FALSE))</f>
        <v/>
      </c>
      <c r="R113" s="499" t="str">
        <f>IF(M113="","",VLOOKUP(M113,'G-6 Hedgerow Data'!$B$2:$AG$15,3,FALSE))</f>
        <v/>
      </c>
      <c r="S113" s="157"/>
      <c r="T113" s="540" t="str">
        <f>IFERROR(VLOOKUP(S113,'G-1 All Habitats'!$Z$2:$AA$9,2,FALSE),"")</f>
        <v/>
      </c>
      <c r="U113" s="154"/>
      <c r="V113" s="520" t="str">
        <f>IF(U113="","",IF(VLOOKUP(U113,'G-3 Multipliers'!$L$3:$N$6,2,FALSE)=0,"Spatial Data Missing ⚠",VLOOKUP(U113,'G-3 Multipliers'!$L$3:$N$6,2,FALSE)))</f>
        <v/>
      </c>
      <c r="W113" s="524" t="str">
        <f>IF(U113="","",IF(VLOOKUP(U113,'G-3 Multipliers'!$L$3:$N$6,3,FALSE)=0,"Spatial Data Missing ⚠",VLOOKUP(U113,'G-3 Multipliers'!$L$3:$N$6,3,FALSE)))</f>
        <v/>
      </c>
      <c r="X113" s="498" t="str">
        <f>IFERROR(IF(OR(LEFT(O113,5)="Error ▲",LEFT(N113,5)="Error ▲",T113="Error ▲"),"Check Data ⚠",IF(F113&lt;R113,INDEX('G-6 Hedgerow Data'!$S$3:$AE$14,MATCH(C113,'G-6 Hedgerow Data'!$B$3:$B$14,0),MATCH(M113,'G-6 Hedgerow Data'!$S$2:$AE$2,0)),INDEX('G-6 Hedgerow Data'!$K$3:$Q$14,MATCH(M113,'G-6 Hedgerow Data'!$B$3:$B$14,0),MATCH(O113,'G-6 Hedgerow Data'!$K$2:$Q$2,0)))),"")</f>
        <v/>
      </c>
      <c r="Y113" s="195"/>
      <c r="Z113" s="195"/>
      <c r="AA113" s="507" t="str">
        <f t="shared" si="11"/>
        <v/>
      </c>
      <c r="AB113" s="521" t="str">
        <f t="shared" si="12"/>
        <v/>
      </c>
      <c r="AC113" s="522" t="str">
        <f t="shared" si="8"/>
        <v/>
      </c>
      <c r="AD113" s="537" t="str">
        <f>IF(M113="","",VLOOKUP(M113,'G-6 Hedgerow Data'!$B$3:$AG$15,31,FALSE))</f>
        <v/>
      </c>
      <c r="AE113" s="507" t="str">
        <f t="shared" si="13"/>
        <v/>
      </c>
      <c r="AF113" s="507" t="str">
        <f t="shared" si="14"/>
        <v/>
      </c>
      <c r="AG113" s="524" t="str">
        <f>IFERROR(IF(O113="","",VLOOKUP(AD113,'G-3 Multipliers'!$P$3:$Q$6,2,FALSE)),"")</f>
        <v/>
      </c>
      <c r="AH113" s="513" t="str">
        <f t="shared" si="9"/>
        <v/>
      </c>
      <c r="AI113" s="231"/>
      <c r="AJ113" s="150"/>
      <c r="AT113" s="31" t="str">
        <f>IFERROR(INDEX('G-6 Hedgerow Data'!$BJ$3:$BJ$15,MATCH(M113,'G-6 Hedgerow Data'!$B$3:$B$15,0)),"")</f>
        <v/>
      </c>
    </row>
    <row r="114" spans="2:46" ht="14" x14ac:dyDescent="0.3">
      <c r="B114" s="531" t="str">
        <f>'B-1 Site Hedge Baseline'!AK112</f>
        <v/>
      </c>
      <c r="C114" s="520" t="str">
        <f>IF(B114="","",IF(ISNA(VLOOKUP($B114,'B-1 Site Hedge Baseline'!$B$1:$L$257,3,FALSE)),"",(VLOOKUP($B114,'B-1 Site Hedge Baseline'!$B$1:$L$257,3,FALSE))))</f>
        <v/>
      </c>
      <c r="D114" s="520" t="str">
        <f>IF(B114="","",IF(ISNA(VLOOKUP($B114,'B-1 Site Hedge Baseline'!$B$1:$L$257,4,FALSE)),"",(VLOOKUP($B114,'B-1 Site Hedge Baseline'!$B$1:$L$257,4,FALSE))))</f>
        <v/>
      </c>
      <c r="E114" s="520" t="str">
        <f>IF(B114="","",IF(ISNA(VLOOKUP($B114,'B-1 Site Hedge Baseline'!$B$1:$L$257,5,FALSE)),"",(VLOOKUP($B114,'B-1 Site Hedge Baseline'!$B$1:$L$257,5,FALSE))))</f>
        <v/>
      </c>
      <c r="F114" s="520" t="str">
        <f>IF(B114="","",IF(ISNA(VLOOKUP($B114,'B-1 Site Hedge Baseline'!$B$1:$L$257,6,FALSE)),"",(VLOOKUP($B114,'B-1 Site Hedge Baseline'!$B$1:$L$257,6,FALSE))))</f>
        <v/>
      </c>
      <c r="G114" s="520" t="str">
        <f>IF(B114="","",IF(ISNA(VLOOKUP($B114,'B-1 Site Hedge Baseline'!$B$1:$L$257,7,FALSE)),"",(VLOOKUP($B114,'B-1 Site Hedge Baseline'!$B$1:$L$257,7,FALSE))))</f>
        <v/>
      </c>
      <c r="H114" s="520" t="str">
        <f>IF(B114="","",IF(ISNA(VLOOKUP($B114,'B-1 Site Hedge Baseline'!$B$1:$L$257,8,FALSE)),"",(VLOOKUP($B114,'B-1 Site Hedge Baseline'!$B$1:$L$257,8,FALSE))))</f>
        <v/>
      </c>
      <c r="I114" s="520" t="str">
        <f>IF(B114="","",IF(ISNA(VLOOKUP($B114,'B-1 Site Hedge Baseline'!$B$1:$L$257,10,FALSE)),"",(VLOOKUP($B114,'B-1 Site Hedge Baseline'!$B$1:$L$257,10,FALSE))))</f>
        <v/>
      </c>
      <c r="J114" s="520" t="str">
        <f>IF(B114="","",IF(ISNA(VLOOKUP($B114,'B-1 Site Hedge Baseline'!$B$1:$L$257,11,FALSE)),"",(VLOOKUP($B114,'B-1 Site Hedge Baseline'!$B$1:$L$257,11,FALSE))))</f>
        <v/>
      </c>
      <c r="K114" s="520" t="str">
        <f>IF(B114="","",IF(ISNA(VLOOKUP($B114,'B-1 Site Hedge Baseline'!$B$1:$U$257,13,FALSE)),"",(VLOOKUP($B114,'B-1 Site Hedge Baseline'!$B$1:$U$257,13,FALSE))))</f>
        <v/>
      </c>
      <c r="L114" s="524" t="str">
        <f>IF(B114="","",IF(ISNA(VLOOKUP($B114,'B-1 Site Hedge Baseline'!$B$1:$U$257,12,FALSE)),"",(VLOOKUP($B114,'B-1 Site Hedge Baseline'!$B$1:$U$257,12,FALSE))))</f>
        <v/>
      </c>
      <c r="M114" s="416" t="str">
        <f t="shared" si="15"/>
        <v/>
      </c>
      <c r="N114" s="498" t="str">
        <f>IFERROR(IF(B114="","",INDEX('G-6 Hedgerow Data'!$AN$3:$AZ$15,MATCH(C114,'G-6 Hedgerow Data'!$AM$3:$AM$15,0),MATCH(M114,'G-6 Hedgerow Data'!$AN$2:$AZ$2,0))),"")</f>
        <v/>
      </c>
      <c r="O114" s="499" t="str">
        <f t="shared" si="10"/>
        <v/>
      </c>
      <c r="P114" s="559" t="str">
        <f>IF(B114="","",VLOOKUP(B114,'B-1 Site Hedge Baseline'!$B$10:T359,16,FALSE))</f>
        <v/>
      </c>
      <c r="Q114" s="498" t="str">
        <f>IF(M114="","",VLOOKUP(M114,'G-6 Hedgerow Data'!$B$2:$AG$15,2,FALSE))</f>
        <v/>
      </c>
      <c r="R114" s="499" t="str">
        <f>IF(M114="","",VLOOKUP(M114,'G-6 Hedgerow Data'!$B$2:$AG$15,3,FALSE))</f>
        <v/>
      </c>
      <c r="S114" s="157"/>
      <c r="T114" s="540" t="str">
        <f>IFERROR(VLOOKUP(S114,'G-1 All Habitats'!$Z$2:$AA$9,2,FALSE),"")</f>
        <v/>
      </c>
      <c r="U114" s="154"/>
      <c r="V114" s="520" t="str">
        <f>IF(U114="","",IF(VLOOKUP(U114,'G-3 Multipliers'!$L$3:$N$6,2,FALSE)=0,"Spatial Data Missing ⚠",VLOOKUP(U114,'G-3 Multipliers'!$L$3:$N$6,2,FALSE)))</f>
        <v/>
      </c>
      <c r="W114" s="524" t="str">
        <f>IF(U114="","",IF(VLOOKUP(U114,'G-3 Multipliers'!$L$3:$N$6,3,FALSE)=0,"Spatial Data Missing ⚠",VLOOKUP(U114,'G-3 Multipliers'!$L$3:$N$6,3,FALSE)))</f>
        <v/>
      </c>
      <c r="X114" s="498" t="str">
        <f>IFERROR(IF(OR(LEFT(O114,5)="Error ▲",LEFT(N114,5)="Error ▲",T114="Error ▲"),"Check Data ⚠",IF(F114&lt;R114,INDEX('G-6 Hedgerow Data'!$S$3:$AE$14,MATCH(C114,'G-6 Hedgerow Data'!$B$3:$B$14,0),MATCH(M114,'G-6 Hedgerow Data'!$S$2:$AE$2,0)),INDEX('G-6 Hedgerow Data'!$K$3:$Q$14,MATCH(M114,'G-6 Hedgerow Data'!$B$3:$B$14,0),MATCH(O114,'G-6 Hedgerow Data'!$K$2:$Q$2,0)))),"")</f>
        <v/>
      </c>
      <c r="Y114" s="195"/>
      <c r="Z114" s="195"/>
      <c r="AA114" s="507" t="str">
        <f t="shared" si="11"/>
        <v/>
      </c>
      <c r="AB114" s="521" t="str">
        <f t="shared" si="12"/>
        <v/>
      </c>
      <c r="AC114" s="522" t="str">
        <f t="shared" si="8"/>
        <v/>
      </c>
      <c r="AD114" s="537" t="str">
        <f>IF(M114="","",VLOOKUP(M114,'G-6 Hedgerow Data'!$B$3:$AG$15,31,FALSE))</f>
        <v/>
      </c>
      <c r="AE114" s="507" t="str">
        <f t="shared" si="13"/>
        <v/>
      </c>
      <c r="AF114" s="507" t="str">
        <f t="shared" si="14"/>
        <v/>
      </c>
      <c r="AG114" s="524" t="str">
        <f>IFERROR(IF(O114="","",VLOOKUP(AD114,'G-3 Multipliers'!$P$3:$Q$6,2,FALSE)),"")</f>
        <v/>
      </c>
      <c r="AH114" s="513" t="str">
        <f t="shared" si="9"/>
        <v/>
      </c>
      <c r="AI114" s="231"/>
      <c r="AJ114" s="150"/>
      <c r="AT114" s="31" t="str">
        <f>IFERROR(INDEX('G-6 Hedgerow Data'!$BJ$3:$BJ$15,MATCH(M114,'G-6 Hedgerow Data'!$B$3:$B$15,0)),"")</f>
        <v/>
      </c>
    </row>
    <row r="115" spans="2:46" ht="14" x14ac:dyDescent="0.3">
      <c r="B115" s="531" t="str">
        <f>'B-1 Site Hedge Baseline'!AK113</f>
        <v/>
      </c>
      <c r="C115" s="520" t="str">
        <f>IF(B115="","",IF(ISNA(VLOOKUP($B115,'B-1 Site Hedge Baseline'!$B$1:$L$257,3,FALSE)),"",(VLOOKUP($B115,'B-1 Site Hedge Baseline'!$B$1:$L$257,3,FALSE))))</f>
        <v/>
      </c>
      <c r="D115" s="520" t="str">
        <f>IF(B115="","",IF(ISNA(VLOOKUP($B115,'B-1 Site Hedge Baseline'!$B$1:$L$257,4,FALSE)),"",(VLOOKUP($B115,'B-1 Site Hedge Baseline'!$B$1:$L$257,4,FALSE))))</f>
        <v/>
      </c>
      <c r="E115" s="520" t="str">
        <f>IF(B115="","",IF(ISNA(VLOOKUP($B115,'B-1 Site Hedge Baseline'!$B$1:$L$257,5,FALSE)),"",(VLOOKUP($B115,'B-1 Site Hedge Baseline'!$B$1:$L$257,5,FALSE))))</f>
        <v/>
      </c>
      <c r="F115" s="520" t="str">
        <f>IF(B115="","",IF(ISNA(VLOOKUP($B115,'B-1 Site Hedge Baseline'!$B$1:$L$257,6,FALSE)),"",(VLOOKUP($B115,'B-1 Site Hedge Baseline'!$B$1:$L$257,6,FALSE))))</f>
        <v/>
      </c>
      <c r="G115" s="520" t="str">
        <f>IF(B115="","",IF(ISNA(VLOOKUP($B115,'B-1 Site Hedge Baseline'!$B$1:$L$257,7,FALSE)),"",(VLOOKUP($B115,'B-1 Site Hedge Baseline'!$B$1:$L$257,7,FALSE))))</f>
        <v/>
      </c>
      <c r="H115" s="520" t="str">
        <f>IF(B115="","",IF(ISNA(VLOOKUP($B115,'B-1 Site Hedge Baseline'!$B$1:$L$257,8,FALSE)),"",(VLOOKUP($B115,'B-1 Site Hedge Baseline'!$B$1:$L$257,8,FALSE))))</f>
        <v/>
      </c>
      <c r="I115" s="520" t="str">
        <f>IF(B115="","",IF(ISNA(VLOOKUP($B115,'B-1 Site Hedge Baseline'!$B$1:$L$257,10,FALSE)),"",(VLOOKUP($B115,'B-1 Site Hedge Baseline'!$B$1:$L$257,10,FALSE))))</f>
        <v/>
      </c>
      <c r="J115" s="520" t="str">
        <f>IF(B115="","",IF(ISNA(VLOOKUP($B115,'B-1 Site Hedge Baseline'!$B$1:$L$257,11,FALSE)),"",(VLOOKUP($B115,'B-1 Site Hedge Baseline'!$B$1:$L$257,11,FALSE))))</f>
        <v/>
      </c>
      <c r="K115" s="520" t="str">
        <f>IF(B115="","",IF(ISNA(VLOOKUP($B115,'B-1 Site Hedge Baseline'!$B$1:$U$257,13,FALSE)),"",(VLOOKUP($B115,'B-1 Site Hedge Baseline'!$B$1:$U$257,13,FALSE))))</f>
        <v/>
      </c>
      <c r="L115" s="524" t="str">
        <f>IF(B115="","",IF(ISNA(VLOOKUP($B115,'B-1 Site Hedge Baseline'!$B$1:$U$257,12,FALSE)),"",(VLOOKUP($B115,'B-1 Site Hedge Baseline'!$B$1:$U$257,12,FALSE))))</f>
        <v/>
      </c>
      <c r="M115" s="416" t="str">
        <f t="shared" si="15"/>
        <v/>
      </c>
      <c r="N115" s="498" t="str">
        <f>IFERROR(IF(B115="","",INDEX('G-6 Hedgerow Data'!$AN$3:$AZ$15,MATCH(C115,'G-6 Hedgerow Data'!$AM$3:$AM$15,0),MATCH(M115,'G-6 Hedgerow Data'!$AN$2:$AZ$2,0))),"")</f>
        <v/>
      </c>
      <c r="O115" s="499" t="str">
        <f t="shared" si="10"/>
        <v/>
      </c>
      <c r="P115" s="559" t="str">
        <f>IF(B115="","",VLOOKUP(B115,'B-1 Site Hedge Baseline'!$B$10:T360,16,FALSE))</f>
        <v/>
      </c>
      <c r="Q115" s="498" t="str">
        <f>IF(M115="","",VLOOKUP(M115,'G-6 Hedgerow Data'!$B$2:$AG$15,2,FALSE))</f>
        <v/>
      </c>
      <c r="R115" s="499" t="str">
        <f>IF(M115="","",VLOOKUP(M115,'G-6 Hedgerow Data'!$B$2:$AG$15,3,FALSE))</f>
        <v/>
      </c>
      <c r="S115" s="157"/>
      <c r="T115" s="540" t="str">
        <f>IFERROR(VLOOKUP(S115,'G-1 All Habitats'!$Z$2:$AA$9,2,FALSE),"")</f>
        <v/>
      </c>
      <c r="U115" s="154"/>
      <c r="V115" s="520" t="str">
        <f>IF(U115="","",IF(VLOOKUP(U115,'G-3 Multipliers'!$L$3:$N$6,2,FALSE)=0,"Spatial Data Missing ⚠",VLOOKUP(U115,'G-3 Multipliers'!$L$3:$N$6,2,FALSE)))</f>
        <v/>
      </c>
      <c r="W115" s="524" t="str">
        <f>IF(U115="","",IF(VLOOKUP(U115,'G-3 Multipliers'!$L$3:$N$6,3,FALSE)=0,"Spatial Data Missing ⚠",VLOOKUP(U115,'G-3 Multipliers'!$L$3:$N$6,3,FALSE)))</f>
        <v/>
      </c>
      <c r="X115" s="498" t="str">
        <f>IFERROR(IF(OR(LEFT(O115,5)="Error ▲",LEFT(N115,5)="Error ▲",T115="Error ▲"),"Check Data ⚠",IF(F115&lt;R115,INDEX('G-6 Hedgerow Data'!$S$3:$AE$14,MATCH(C115,'G-6 Hedgerow Data'!$B$3:$B$14,0),MATCH(M115,'G-6 Hedgerow Data'!$S$2:$AE$2,0)),INDEX('G-6 Hedgerow Data'!$K$3:$Q$14,MATCH(M115,'G-6 Hedgerow Data'!$B$3:$B$14,0),MATCH(O115,'G-6 Hedgerow Data'!$K$2:$Q$2,0)))),"")</f>
        <v/>
      </c>
      <c r="Y115" s="195"/>
      <c r="Z115" s="195"/>
      <c r="AA115" s="507" t="str">
        <f t="shared" si="11"/>
        <v/>
      </c>
      <c r="AB115" s="521" t="str">
        <f t="shared" si="12"/>
        <v/>
      </c>
      <c r="AC115" s="522" t="str">
        <f t="shared" si="8"/>
        <v/>
      </c>
      <c r="AD115" s="537" t="str">
        <f>IF(M115="","",VLOOKUP(M115,'G-6 Hedgerow Data'!$B$3:$AG$15,31,FALSE))</f>
        <v/>
      </c>
      <c r="AE115" s="507" t="str">
        <f t="shared" si="13"/>
        <v/>
      </c>
      <c r="AF115" s="507" t="str">
        <f t="shared" si="14"/>
        <v/>
      </c>
      <c r="AG115" s="524" t="str">
        <f>IFERROR(IF(O115="","",VLOOKUP(AD115,'G-3 Multipliers'!$P$3:$Q$6,2,FALSE)),"")</f>
        <v/>
      </c>
      <c r="AH115" s="513" t="str">
        <f t="shared" si="9"/>
        <v/>
      </c>
      <c r="AI115" s="231"/>
      <c r="AJ115" s="150"/>
      <c r="AT115" s="31" t="str">
        <f>IFERROR(INDEX('G-6 Hedgerow Data'!$BJ$3:$BJ$15,MATCH(M115,'G-6 Hedgerow Data'!$B$3:$B$15,0)),"")</f>
        <v/>
      </c>
    </row>
    <row r="116" spans="2:46" ht="14" x14ac:dyDescent="0.3">
      <c r="B116" s="531" t="str">
        <f>'B-1 Site Hedge Baseline'!AK114</f>
        <v/>
      </c>
      <c r="C116" s="520" t="str">
        <f>IF(B116="","",IF(ISNA(VLOOKUP($B116,'B-1 Site Hedge Baseline'!$B$1:$L$257,3,FALSE)),"",(VLOOKUP($B116,'B-1 Site Hedge Baseline'!$B$1:$L$257,3,FALSE))))</f>
        <v/>
      </c>
      <c r="D116" s="520" t="str">
        <f>IF(B116="","",IF(ISNA(VLOOKUP($B116,'B-1 Site Hedge Baseline'!$B$1:$L$257,4,FALSE)),"",(VLOOKUP($B116,'B-1 Site Hedge Baseline'!$B$1:$L$257,4,FALSE))))</f>
        <v/>
      </c>
      <c r="E116" s="520" t="str">
        <f>IF(B116="","",IF(ISNA(VLOOKUP($B116,'B-1 Site Hedge Baseline'!$B$1:$L$257,5,FALSE)),"",(VLOOKUP($B116,'B-1 Site Hedge Baseline'!$B$1:$L$257,5,FALSE))))</f>
        <v/>
      </c>
      <c r="F116" s="520" t="str">
        <f>IF(B116="","",IF(ISNA(VLOOKUP($B116,'B-1 Site Hedge Baseline'!$B$1:$L$257,6,FALSE)),"",(VLOOKUP($B116,'B-1 Site Hedge Baseline'!$B$1:$L$257,6,FALSE))))</f>
        <v/>
      </c>
      <c r="G116" s="520" t="str">
        <f>IF(B116="","",IF(ISNA(VLOOKUP($B116,'B-1 Site Hedge Baseline'!$B$1:$L$257,7,FALSE)),"",(VLOOKUP($B116,'B-1 Site Hedge Baseline'!$B$1:$L$257,7,FALSE))))</f>
        <v/>
      </c>
      <c r="H116" s="520" t="str">
        <f>IF(B116="","",IF(ISNA(VLOOKUP($B116,'B-1 Site Hedge Baseline'!$B$1:$L$257,8,FALSE)),"",(VLOOKUP($B116,'B-1 Site Hedge Baseline'!$B$1:$L$257,8,FALSE))))</f>
        <v/>
      </c>
      <c r="I116" s="520" t="str">
        <f>IF(B116="","",IF(ISNA(VLOOKUP($B116,'B-1 Site Hedge Baseline'!$B$1:$L$257,10,FALSE)),"",(VLOOKUP($B116,'B-1 Site Hedge Baseline'!$B$1:$L$257,10,FALSE))))</f>
        <v/>
      </c>
      <c r="J116" s="520" t="str">
        <f>IF(B116="","",IF(ISNA(VLOOKUP($B116,'B-1 Site Hedge Baseline'!$B$1:$L$257,11,FALSE)),"",(VLOOKUP($B116,'B-1 Site Hedge Baseline'!$B$1:$L$257,11,FALSE))))</f>
        <v/>
      </c>
      <c r="K116" s="520" t="str">
        <f>IF(B116="","",IF(ISNA(VLOOKUP($B116,'B-1 Site Hedge Baseline'!$B$1:$U$257,13,FALSE)),"",(VLOOKUP($B116,'B-1 Site Hedge Baseline'!$B$1:$U$257,13,FALSE))))</f>
        <v/>
      </c>
      <c r="L116" s="524" t="str">
        <f>IF(B116="","",IF(ISNA(VLOOKUP($B116,'B-1 Site Hedge Baseline'!$B$1:$U$257,12,FALSE)),"",(VLOOKUP($B116,'B-1 Site Hedge Baseline'!$B$1:$U$257,12,FALSE))))</f>
        <v/>
      </c>
      <c r="M116" s="416" t="str">
        <f t="shared" si="15"/>
        <v/>
      </c>
      <c r="N116" s="498" t="str">
        <f>IFERROR(IF(B116="","",INDEX('G-6 Hedgerow Data'!$AN$3:$AZ$15,MATCH(C116,'G-6 Hedgerow Data'!$AM$3:$AM$15,0),MATCH(M116,'G-6 Hedgerow Data'!$AN$2:$AZ$2,0))),"")</f>
        <v/>
      </c>
      <c r="O116" s="499" t="str">
        <f t="shared" si="10"/>
        <v/>
      </c>
      <c r="P116" s="559" t="str">
        <f>IF(B116="","",VLOOKUP(B116,'B-1 Site Hedge Baseline'!$B$10:T361,16,FALSE))</f>
        <v/>
      </c>
      <c r="Q116" s="498" t="str">
        <f>IF(M116="","",VLOOKUP(M116,'G-6 Hedgerow Data'!$B$2:$AG$15,2,FALSE))</f>
        <v/>
      </c>
      <c r="R116" s="499" t="str">
        <f>IF(M116="","",VLOOKUP(M116,'G-6 Hedgerow Data'!$B$2:$AG$15,3,FALSE))</f>
        <v/>
      </c>
      <c r="S116" s="157"/>
      <c r="T116" s="540" t="str">
        <f>IFERROR(VLOOKUP(S116,'G-1 All Habitats'!$Z$2:$AA$9,2,FALSE),"")</f>
        <v/>
      </c>
      <c r="U116" s="154"/>
      <c r="V116" s="520" t="str">
        <f>IF(U116="","",IF(VLOOKUP(U116,'G-3 Multipliers'!$L$3:$N$6,2,FALSE)=0,"Spatial Data Missing ⚠",VLOOKUP(U116,'G-3 Multipliers'!$L$3:$N$6,2,FALSE)))</f>
        <v/>
      </c>
      <c r="W116" s="524" t="str">
        <f>IF(U116="","",IF(VLOOKUP(U116,'G-3 Multipliers'!$L$3:$N$6,3,FALSE)=0,"Spatial Data Missing ⚠",VLOOKUP(U116,'G-3 Multipliers'!$L$3:$N$6,3,FALSE)))</f>
        <v/>
      </c>
      <c r="X116" s="498" t="str">
        <f>IFERROR(IF(OR(LEFT(O116,5)="Error ▲",LEFT(N116,5)="Error ▲",T116="Error ▲"),"Check Data ⚠",IF(F116&lt;R116,INDEX('G-6 Hedgerow Data'!$S$3:$AE$14,MATCH(C116,'G-6 Hedgerow Data'!$B$3:$B$14,0),MATCH(M116,'G-6 Hedgerow Data'!$S$2:$AE$2,0)),INDEX('G-6 Hedgerow Data'!$K$3:$Q$14,MATCH(M116,'G-6 Hedgerow Data'!$B$3:$B$14,0),MATCH(O116,'G-6 Hedgerow Data'!$K$2:$Q$2,0)))),"")</f>
        <v/>
      </c>
      <c r="Y116" s="195"/>
      <c r="Z116" s="195"/>
      <c r="AA116" s="507" t="str">
        <f t="shared" si="11"/>
        <v/>
      </c>
      <c r="AB116" s="521" t="str">
        <f t="shared" si="12"/>
        <v/>
      </c>
      <c r="AC116" s="522" t="str">
        <f t="shared" si="8"/>
        <v/>
      </c>
      <c r="AD116" s="537" t="str">
        <f>IF(M116="","",VLOOKUP(M116,'G-6 Hedgerow Data'!$B$3:$AG$15,31,FALSE))</f>
        <v/>
      </c>
      <c r="AE116" s="507" t="str">
        <f t="shared" si="13"/>
        <v/>
      </c>
      <c r="AF116" s="507" t="str">
        <f t="shared" si="14"/>
        <v/>
      </c>
      <c r="AG116" s="524" t="str">
        <f>IFERROR(IF(O116="","",VLOOKUP(AD116,'G-3 Multipliers'!$P$3:$Q$6,2,FALSE)),"")</f>
        <v/>
      </c>
      <c r="AH116" s="513" t="str">
        <f t="shared" si="9"/>
        <v/>
      </c>
      <c r="AI116" s="231"/>
      <c r="AJ116" s="150"/>
      <c r="AT116" s="31" t="str">
        <f>IFERROR(INDEX('G-6 Hedgerow Data'!$BJ$3:$BJ$15,MATCH(M116,'G-6 Hedgerow Data'!$B$3:$B$15,0)),"")</f>
        <v/>
      </c>
    </row>
    <row r="117" spans="2:46" ht="14" x14ac:dyDescent="0.3">
      <c r="B117" s="531" t="str">
        <f>'B-1 Site Hedge Baseline'!AK115</f>
        <v/>
      </c>
      <c r="C117" s="520" t="str">
        <f>IF(B117="","",IF(ISNA(VLOOKUP($B117,'B-1 Site Hedge Baseline'!$B$1:$L$257,3,FALSE)),"",(VLOOKUP($B117,'B-1 Site Hedge Baseline'!$B$1:$L$257,3,FALSE))))</f>
        <v/>
      </c>
      <c r="D117" s="520" t="str">
        <f>IF(B117="","",IF(ISNA(VLOOKUP($B117,'B-1 Site Hedge Baseline'!$B$1:$L$257,4,FALSE)),"",(VLOOKUP($B117,'B-1 Site Hedge Baseline'!$B$1:$L$257,4,FALSE))))</f>
        <v/>
      </c>
      <c r="E117" s="520" t="str">
        <f>IF(B117="","",IF(ISNA(VLOOKUP($B117,'B-1 Site Hedge Baseline'!$B$1:$L$257,5,FALSE)),"",(VLOOKUP($B117,'B-1 Site Hedge Baseline'!$B$1:$L$257,5,FALSE))))</f>
        <v/>
      </c>
      <c r="F117" s="520" t="str">
        <f>IF(B117="","",IF(ISNA(VLOOKUP($B117,'B-1 Site Hedge Baseline'!$B$1:$L$257,6,FALSE)),"",(VLOOKUP($B117,'B-1 Site Hedge Baseline'!$B$1:$L$257,6,FALSE))))</f>
        <v/>
      </c>
      <c r="G117" s="520" t="str">
        <f>IF(B117="","",IF(ISNA(VLOOKUP($B117,'B-1 Site Hedge Baseline'!$B$1:$L$257,7,FALSE)),"",(VLOOKUP($B117,'B-1 Site Hedge Baseline'!$B$1:$L$257,7,FALSE))))</f>
        <v/>
      </c>
      <c r="H117" s="520" t="str">
        <f>IF(B117="","",IF(ISNA(VLOOKUP($B117,'B-1 Site Hedge Baseline'!$B$1:$L$257,8,FALSE)),"",(VLOOKUP($B117,'B-1 Site Hedge Baseline'!$B$1:$L$257,8,FALSE))))</f>
        <v/>
      </c>
      <c r="I117" s="520" t="str">
        <f>IF(B117="","",IF(ISNA(VLOOKUP($B117,'B-1 Site Hedge Baseline'!$B$1:$L$257,10,FALSE)),"",(VLOOKUP($B117,'B-1 Site Hedge Baseline'!$B$1:$L$257,10,FALSE))))</f>
        <v/>
      </c>
      <c r="J117" s="520" t="str">
        <f>IF(B117="","",IF(ISNA(VLOOKUP($B117,'B-1 Site Hedge Baseline'!$B$1:$L$257,11,FALSE)),"",(VLOOKUP($B117,'B-1 Site Hedge Baseline'!$B$1:$L$257,11,FALSE))))</f>
        <v/>
      </c>
      <c r="K117" s="520" t="str">
        <f>IF(B117="","",IF(ISNA(VLOOKUP($B117,'B-1 Site Hedge Baseline'!$B$1:$U$257,13,FALSE)),"",(VLOOKUP($B117,'B-1 Site Hedge Baseline'!$B$1:$U$257,13,FALSE))))</f>
        <v/>
      </c>
      <c r="L117" s="524" t="str">
        <f>IF(B117="","",IF(ISNA(VLOOKUP($B117,'B-1 Site Hedge Baseline'!$B$1:$U$257,12,FALSE)),"",(VLOOKUP($B117,'B-1 Site Hedge Baseline'!$B$1:$U$257,12,FALSE))))</f>
        <v/>
      </c>
      <c r="M117" s="416" t="str">
        <f t="shared" si="15"/>
        <v/>
      </c>
      <c r="N117" s="498" t="str">
        <f>IFERROR(IF(B117="","",INDEX('G-6 Hedgerow Data'!$AN$3:$AZ$15,MATCH(C117,'G-6 Hedgerow Data'!$AM$3:$AM$15,0),MATCH(M117,'G-6 Hedgerow Data'!$AN$2:$AZ$2,0))),"")</f>
        <v/>
      </c>
      <c r="O117" s="499" t="str">
        <f t="shared" si="10"/>
        <v/>
      </c>
      <c r="P117" s="559" t="str">
        <f>IF(B117="","",VLOOKUP(B117,'B-1 Site Hedge Baseline'!$B$10:T362,16,FALSE))</f>
        <v/>
      </c>
      <c r="Q117" s="498" t="str">
        <f>IF(M117="","",VLOOKUP(M117,'G-6 Hedgerow Data'!$B$2:$AG$15,2,FALSE))</f>
        <v/>
      </c>
      <c r="R117" s="499" t="str">
        <f>IF(M117="","",VLOOKUP(M117,'G-6 Hedgerow Data'!$B$2:$AG$15,3,FALSE))</f>
        <v/>
      </c>
      <c r="S117" s="157"/>
      <c r="T117" s="540" t="str">
        <f>IFERROR(VLOOKUP(S117,'G-1 All Habitats'!$Z$2:$AA$9,2,FALSE),"")</f>
        <v/>
      </c>
      <c r="U117" s="154"/>
      <c r="V117" s="520" t="str">
        <f>IF(U117="","",IF(VLOOKUP(U117,'G-3 Multipliers'!$L$3:$N$6,2,FALSE)=0,"Spatial Data Missing ⚠",VLOOKUP(U117,'G-3 Multipliers'!$L$3:$N$6,2,FALSE)))</f>
        <v/>
      </c>
      <c r="W117" s="524" t="str">
        <f>IF(U117="","",IF(VLOOKUP(U117,'G-3 Multipliers'!$L$3:$N$6,3,FALSE)=0,"Spatial Data Missing ⚠",VLOOKUP(U117,'G-3 Multipliers'!$L$3:$N$6,3,FALSE)))</f>
        <v/>
      </c>
      <c r="X117" s="498" t="str">
        <f>IFERROR(IF(OR(LEFT(O117,5)="Error ▲",LEFT(N117,5)="Error ▲",T117="Error ▲"),"Check Data ⚠",IF(F117&lt;R117,INDEX('G-6 Hedgerow Data'!$S$3:$AE$14,MATCH(C117,'G-6 Hedgerow Data'!$B$3:$B$14,0),MATCH(M117,'G-6 Hedgerow Data'!$S$2:$AE$2,0)),INDEX('G-6 Hedgerow Data'!$K$3:$Q$14,MATCH(M117,'G-6 Hedgerow Data'!$B$3:$B$14,0),MATCH(O117,'G-6 Hedgerow Data'!$K$2:$Q$2,0)))),"")</f>
        <v/>
      </c>
      <c r="Y117" s="195"/>
      <c r="Z117" s="195"/>
      <c r="AA117" s="507" t="str">
        <f t="shared" si="11"/>
        <v/>
      </c>
      <c r="AB117" s="521" t="str">
        <f t="shared" si="12"/>
        <v/>
      </c>
      <c r="AC117" s="522" t="str">
        <f t="shared" si="8"/>
        <v/>
      </c>
      <c r="AD117" s="537" t="str">
        <f>IF(M117="","",VLOOKUP(M117,'G-6 Hedgerow Data'!$B$3:$AG$15,31,FALSE))</f>
        <v/>
      </c>
      <c r="AE117" s="507" t="str">
        <f t="shared" si="13"/>
        <v/>
      </c>
      <c r="AF117" s="507" t="str">
        <f t="shared" si="14"/>
        <v/>
      </c>
      <c r="AG117" s="524" t="str">
        <f>IFERROR(IF(O117="","",VLOOKUP(AD117,'G-3 Multipliers'!$P$3:$Q$6,2,FALSE)),"")</f>
        <v/>
      </c>
      <c r="AH117" s="513" t="str">
        <f t="shared" si="9"/>
        <v/>
      </c>
      <c r="AI117" s="231"/>
      <c r="AJ117" s="150"/>
      <c r="AT117" s="31" t="str">
        <f>IFERROR(INDEX('G-6 Hedgerow Data'!$BJ$3:$BJ$15,MATCH(M117,'G-6 Hedgerow Data'!$B$3:$B$15,0)),"")</f>
        <v/>
      </c>
    </row>
    <row r="118" spans="2:46" ht="14" x14ac:dyDescent="0.3">
      <c r="B118" s="531" t="str">
        <f>'B-1 Site Hedge Baseline'!AK116</f>
        <v/>
      </c>
      <c r="C118" s="520" t="str">
        <f>IF(B118="","",IF(ISNA(VLOOKUP($B118,'B-1 Site Hedge Baseline'!$B$1:$L$257,3,FALSE)),"",(VLOOKUP($B118,'B-1 Site Hedge Baseline'!$B$1:$L$257,3,FALSE))))</f>
        <v/>
      </c>
      <c r="D118" s="520" t="str">
        <f>IF(B118="","",IF(ISNA(VLOOKUP($B118,'B-1 Site Hedge Baseline'!$B$1:$L$257,4,FALSE)),"",(VLOOKUP($B118,'B-1 Site Hedge Baseline'!$B$1:$L$257,4,FALSE))))</f>
        <v/>
      </c>
      <c r="E118" s="520" t="str">
        <f>IF(B118="","",IF(ISNA(VLOOKUP($B118,'B-1 Site Hedge Baseline'!$B$1:$L$257,5,FALSE)),"",(VLOOKUP($B118,'B-1 Site Hedge Baseline'!$B$1:$L$257,5,FALSE))))</f>
        <v/>
      </c>
      <c r="F118" s="520" t="str">
        <f>IF(B118="","",IF(ISNA(VLOOKUP($B118,'B-1 Site Hedge Baseline'!$B$1:$L$257,6,FALSE)),"",(VLOOKUP($B118,'B-1 Site Hedge Baseline'!$B$1:$L$257,6,FALSE))))</f>
        <v/>
      </c>
      <c r="G118" s="520" t="str">
        <f>IF(B118="","",IF(ISNA(VLOOKUP($B118,'B-1 Site Hedge Baseline'!$B$1:$L$257,7,FALSE)),"",(VLOOKUP($B118,'B-1 Site Hedge Baseline'!$B$1:$L$257,7,FALSE))))</f>
        <v/>
      </c>
      <c r="H118" s="520" t="str">
        <f>IF(B118="","",IF(ISNA(VLOOKUP($B118,'B-1 Site Hedge Baseline'!$B$1:$L$257,8,FALSE)),"",(VLOOKUP($B118,'B-1 Site Hedge Baseline'!$B$1:$L$257,8,FALSE))))</f>
        <v/>
      </c>
      <c r="I118" s="520" t="str">
        <f>IF(B118="","",IF(ISNA(VLOOKUP($B118,'B-1 Site Hedge Baseline'!$B$1:$L$257,10,FALSE)),"",(VLOOKUP($B118,'B-1 Site Hedge Baseline'!$B$1:$L$257,10,FALSE))))</f>
        <v/>
      </c>
      <c r="J118" s="520" t="str">
        <f>IF(B118="","",IF(ISNA(VLOOKUP($B118,'B-1 Site Hedge Baseline'!$B$1:$L$257,11,FALSE)),"",(VLOOKUP($B118,'B-1 Site Hedge Baseline'!$B$1:$L$257,11,FALSE))))</f>
        <v/>
      </c>
      <c r="K118" s="520" t="str">
        <f>IF(B118="","",IF(ISNA(VLOOKUP($B118,'B-1 Site Hedge Baseline'!$B$1:$U$257,13,FALSE)),"",(VLOOKUP($B118,'B-1 Site Hedge Baseline'!$B$1:$U$257,13,FALSE))))</f>
        <v/>
      </c>
      <c r="L118" s="524" t="str">
        <f>IF(B118="","",IF(ISNA(VLOOKUP($B118,'B-1 Site Hedge Baseline'!$B$1:$U$257,12,FALSE)),"",(VLOOKUP($B118,'B-1 Site Hedge Baseline'!$B$1:$U$257,12,FALSE))))</f>
        <v/>
      </c>
      <c r="M118" s="416" t="str">
        <f t="shared" si="15"/>
        <v/>
      </c>
      <c r="N118" s="498" t="str">
        <f>IFERROR(IF(B118="","",INDEX('G-6 Hedgerow Data'!$AN$3:$AZ$15,MATCH(C118,'G-6 Hedgerow Data'!$AM$3:$AM$15,0),MATCH(M118,'G-6 Hedgerow Data'!$AN$2:$AZ$2,0))),"")</f>
        <v/>
      </c>
      <c r="O118" s="499" t="str">
        <f t="shared" si="10"/>
        <v/>
      </c>
      <c r="P118" s="559" t="str">
        <f>IF(B118="","",VLOOKUP(B118,'B-1 Site Hedge Baseline'!$B$10:T363,16,FALSE))</f>
        <v/>
      </c>
      <c r="Q118" s="498" t="str">
        <f>IF(M118="","",VLOOKUP(M118,'G-6 Hedgerow Data'!$B$2:$AG$15,2,FALSE))</f>
        <v/>
      </c>
      <c r="R118" s="499" t="str">
        <f>IF(M118="","",VLOOKUP(M118,'G-6 Hedgerow Data'!$B$2:$AG$15,3,FALSE))</f>
        <v/>
      </c>
      <c r="S118" s="157"/>
      <c r="T118" s="540" t="str">
        <f>IFERROR(VLOOKUP(S118,'G-1 All Habitats'!$Z$2:$AA$9,2,FALSE),"")</f>
        <v/>
      </c>
      <c r="U118" s="154"/>
      <c r="V118" s="520" t="str">
        <f>IF(U118="","",IF(VLOOKUP(U118,'G-3 Multipliers'!$L$3:$N$6,2,FALSE)=0,"Spatial Data Missing ⚠",VLOOKUP(U118,'G-3 Multipliers'!$L$3:$N$6,2,FALSE)))</f>
        <v/>
      </c>
      <c r="W118" s="524" t="str">
        <f>IF(U118="","",IF(VLOOKUP(U118,'G-3 Multipliers'!$L$3:$N$6,3,FALSE)=0,"Spatial Data Missing ⚠",VLOOKUP(U118,'G-3 Multipliers'!$L$3:$N$6,3,FALSE)))</f>
        <v/>
      </c>
      <c r="X118" s="498" t="str">
        <f>IFERROR(IF(OR(LEFT(O118,5)="Error ▲",LEFT(N118,5)="Error ▲",T118="Error ▲"),"Check Data ⚠",IF(F118&lt;R118,INDEX('G-6 Hedgerow Data'!$S$3:$AE$14,MATCH(C118,'G-6 Hedgerow Data'!$B$3:$B$14,0),MATCH(M118,'G-6 Hedgerow Data'!$S$2:$AE$2,0)),INDEX('G-6 Hedgerow Data'!$K$3:$Q$14,MATCH(M118,'G-6 Hedgerow Data'!$B$3:$B$14,0),MATCH(O118,'G-6 Hedgerow Data'!$K$2:$Q$2,0)))),"")</f>
        <v/>
      </c>
      <c r="Y118" s="195"/>
      <c r="Z118" s="195"/>
      <c r="AA118" s="507" t="str">
        <f t="shared" si="11"/>
        <v/>
      </c>
      <c r="AB118" s="521" t="str">
        <f t="shared" si="12"/>
        <v/>
      </c>
      <c r="AC118" s="522" t="str">
        <f t="shared" si="8"/>
        <v/>
      </c>
      <c r="AD118" s="537" t="str">
        <f>IF(M118="","",VLOOKUP(M118,'G-6 Hedgerow Data'!$B$3:$AG$15,31,FALSE))</f>
        <v/>
      </c>
      <c r="AE118" s="507" t="str">
        <f t="shared" si="13"/>
        <v/>
      </c>
      <c r="AF118" s="507" t="str">
        <f t="shared" si="14"/>
        <v/>
      </c>
      <c r="AG118" s="524" t="str">
        <f>IFERROR(IF(O118="","",VLOOKUP(AD118,'G-3 Multipliers'!$P$3:$Q$6,2,FALSE)),"")</f>
        <v/>
      </c>
      <c r="AH118" s="513" t="str">
        <f t="shared" si="9"/>
        <v/>
      </c>
      <c r="AI118" s="231"/>
      <c r="AJ118" s="150"/>
      <c r="AT118" s="31" t="str">
        <f>IFERROR(INDEX('G-6 Hedgerow Data'!$BJ$3:$BJ$15,MATCH(M118,'G-6 Hedgerow Data'!$B$3:$B$15,0)),"")</f>
        <v/>
      </c>
    </row>
    <row r="119" spans="2:46" ht="14" x14ac:dyDescent="0.3">
      <c r="B119" s="531" t="str">
        <f>'B-1 Site Hedge Baseline'!AK117</f>
        <v/>
      </c>
      <c r="C119" s="520" t="str">
        <f>IF(B119="","",IF(ISNA(VLOOKUP($B119,'B-1 Site Hedge Baseline'!$B$1:$L$257,3,FALSE)),"",(VLOOKUP($B119,'B-1 Site Hedge Baseline'!$B$1:$L$257,3,FALSE))))</f>
        <v/>
      </c>
      <c r="D119" s="520" t="str">
        <f>IF(B119="","",IF(ISNA(VLOOKUP($B119,'B-1 Site Hedge Baseline'!$B$1:$L$257,4,FALSE)),"",(VLOOKUP($B119,'B-1 Site Hedge Baseline'!$B$1:$L$257,4,FALSE))))</f>
        <v/>
      </c>
      <c r="E119" s="520" t="str">
        <f>IF(B119="","",IF(ISNA(VLOOKUP($B119,'B-1 Site Hedge Baseline'!$B$1:$L$257,5,FALSE)),"",(VLOOKUP($B119,'B-1 Site Hedge Baseline'!$B$1:$L$257,5,FALSE))))</f>
        <v/>
      </c>
      <c r="F119" s="520" t="str">
        <f>IF(B119="","",IF(ISNA(VLOOKUP($B119,'B-1 Site Hedge Baseline'!$B$1:$L$257,6,FALSE)),"",(VLOOKUP($B119,'B-1 Site Hedge Baseline'!$B$1:$L$257,6,FALSE))))</f>
        <v/>
      </c>
      <c r="G119" s="520" t="str">
        <f>IF(B119="","",IF(ISNA(VLOOKUP($B119,'B-1 Site Hedge Baseline'!$B$1:$L$257,7,FALSE)),"",(VLOOKUP($B119,'B-1 Site Hedge Baseline'!$B$1:$L$257,7,FALSE))))</f>
        <v/>
      </c>
      <c r="H119" s="520" t="str">
        <f>IF(B119="","",IF(ISNA(VLOOKUP($B119,'B-1 Site Hedge Baseline'!$B$1:$L$257,8,FALSE)),"",(VLOOKUP($B119,'B-1 Site Hedge Baseline'!$B$1:$L$257,8,FALSE))))</f>
        <v/>
      </c>
      <c r="I119" s="520" t="str">
        <f>IF(B119="","",IF(ISNA(VLOOKUP($B119,'B-1 Site Hedge Baseline'!$B$1:$L$257,10,FALSE)),"",(VLOOKUP($B119,'B-1 Site Hedge Baseline'!$B$1:$L$257,10,FALSE))))</f>
        <v/>
      </c>
      <c r="J119" s="520" t="str">
        <f>IF(B119="","",IF(ISNA(VLOOKUP($B119,'B-1 Site Hedge Baseline'!$B$1:$L$257,11,FALSE)),"",(VLOOKUP($B119,'B-1 Site Hedge Baseline'!$B$1:$L$257,11,FALSE))))</f>
        <v/>
      </c>
      <c r="K119" s="520" t="str">
        <f>IF(B119="","",IF(ISNA(VLOOKUP($B119,'B-1 Site Hedge Baseline'!$B$1:$U$257,13,FALSE)),"",(VLOOKUP($B119,'B-1 Site Hedge Baseline'!$B$1:$U$257,13,FALSE))))</f>
        <v/>
      </c>
      <c r="L119" s="524" t="str">
        <f>IF(B119="","",IF(ISNA(VLOOKUP($B119,'B-1 Site Hedge Baseline'!$B$1:$U$257,12,FALSE)),"",(VLOOKUP($B119,'B-1 Site Hedge Baseline'!$B$1:$U$257,12,FALSE))))</f>
        <v/>
      </c>
      <c r="M119" s="416" t="str">
        <f t="shared" si="15"/>
        <v/>
      </c>
      <c r="N119" s="498" t="str">
        <f>IFERROR(IF(B119="","",INDEX('G-6 Hedgerow Data'!$AN$3:$AZ$15,MATCH(C119,'G-6 Hedgerow Data'!$AM$3:$AM$15,0),MATCH(M119,'G-6 Hedgerow Data'!$AN$2:$AZ$2,0))),"")</f>
        <v/>
      </c>
      <c r="O119" s="499" t="str">
        <f t="shared" si="10"/>
        <v/>
      </c>
      <c r="P119" s="559" t="str">
        <f>IF(B119="","",VLOOKUP(B119,'B-1 Site Hedge Baseline'!$B$10:T364,16,FALSE))</f>
        <v/>
      </c>
      <c r="Q119" s="498" t="str">
        <f>IF(M119="","",VLOOKUP(M119,'G-6 Hedgerow Data'!$B$2:$AG$15,2,FALSE))</f>
        <v/>
      </c>
      <c r="R119" s="499" t="str">
        <f>IF(M119="","",VLOOKUP(M119,'G-6 Hedgerow Data'!$B$2:$AG$15,3,FALSE))</f>
        <v/>
      </c>
      <c r="S119" s="157"/>
      <c r="T119" s="540" t="str">
        <f>IFERROR(VLOOKUP(S119,'G-1 All Habitats'!$Z$2:$AA$9,2,FALSE),"")</f>
        <v/>
      </c>
      <c r="U119" s="154"/>
      <c r="V119" s="520" t="str">
        <f>IF(U119="","",IF(VLOOKUP(U119,'G-3 Multipliers'!$L$3:$N$6,2,FALSE)=0,"Spatial Data Missing ⚠",VLOOKUP(U119,'G-3 Multipliers'!$L$3:$N$6,2,FALSE)))</f>
        <v/>
      </c>
      <c r="W119" s="524" t="str">
        <f>IF(U119="","",IF(VLOOKUP(U119,'G-3 Multipliers'!$L$3:$N$6,3,FALSE)=0,"Spatial Data Missing ⚠",VLOOKUP(U119,'G-3 Multipliers'!$L$3:$N$6,3,FALSE)))</f>
        <v/>
      </c>
      <c r="X119" s="498" t="str">
        <f>IFERROR(IF(OR(LEFT(O119,5)="Error ▲",LEFT(N119,5)="Error ▲",T119="Error ▲"),"Check Data ⚠",IF(F119&lt;R119,INDEX('G-6 Hedgerow Data'!$S$3:$AE$14,MATCH(C119,'G-6 Hedgerow Data'!$B$3:$B$14,0),MATCH(M119,'G-6 Hedgerow Data'!$S$2:$AE$2,0)),INDEX('G-6 Hedgerow Data'!$K$3:$Q$14,MATCH(M119,'G-6 Hedgerow Data'!$B$3:$B$14,0),MATCH(O119,'G-6 Hedgerow Data'!$K$2:$Q$2,0)))),"")</f>
        <v/>
      </c>
      <c r="Y119" s="195"/>
      <c r="Z119" s="195"/>
      <c r="AA119" s="507" t="str">
        <f t="shared" si="11"/>
        <v/>
      </c>
      <c r="AB119" s="521" t="str">
        <f t="shared" si="12"/>
        <v/>
      </c>
      <c r="AC119" s="522" t="str">
        <f t="shared" si="8"/>
        <v/>
      </c>
      <c r="AD119" s="537" t="str">
        <f>IF(M119="","",VLOOKUP(M119,'G-6 Hedgerow Data'!$B$3:$AG$15,31,FALSE))</f>
        <v/>
      </c>
      <c r="AE119" s="507" t="str">
        <f t="shared" si="13"/>
        <v/>
      </c>
      <c r="AF119" s="507" t="str">
        <f t="shared" si="14"/>
        <v/>
      </c>
      <c r="AG119" s="524" t="str">
        <f>IFERROR(IF(O119="","",VLOOKUP(AD119,'G-3 Multipliers'!$P$3:$Q$6,2,FALSE)),"")</f>
        <v/>
      </c>
      <c r="AH119" s="513" t="str">
        <f t="shared" si="9"/>
        <v/>
      </c>
      <c r="AI119" s="231"/>
      <c r="AJ119" s="150"/>
      <c r="AT119" s="31" t="str">
        <f>IFERROR(INDEX('G-6 Hedgerow Data'!$BJ$3:$BJ$15,MATCH(M119,'G-6 Hedgerow Data'!$B$3:$B$15,0)),"")</f>
        <v/>
      </c>
    </row>
    <row r="120" spans="2:46" ht="14" x14ac:dyDescent="0.3">
      <c r="B120" s="531" t="str">
        <f>'B-1 Site Hedge Baseline'!AK118</f>
        <v/>
      </c>
      <c r="C120" s="520" t="str">
        <f>IF(B120="","",IF(ISNA(VLOOKUP($B120,'B-1 Site Hedge Baseline'!$B$1:$L$257,3,FALSE)),"",(VLOOKUP($B120,'B-1 Site Hedge Baseline'!$B$1:$L$257,3,FALSE))))</f>
        <v/>
      </c>
      <c r="D120" s="520" t="str">
        <f>IF(B120="","",IF(ISNA(VLOOKUP($B120,'B-1 Site Hedge Baseline'!$B$1:$L$257,4,FALSE)),"",(VLOOKUP($B120,'B-1 Site Hedge Baseline'!$B$1:$L$257,4,FALSE))))</f>
        <v/>
      </c>
      <c r="E120" s="520" t="str">
        <f>IF(B120="","",IF(ISNA(VLOOKUP($B120,'B-1 Site Hedge Baseline'!$B$1:$L$257,5,FALSE)),"",(VLOOKUP($B120,'B-1 Site Hedge Baseline'!$B$1:$L$257,5,FALSE))))</f>
        <v/>
      </c>
      <c r="F120" s="520" t="str">
        <f>IF(B120="","",IF(ISNA(VLOOKUP($B120,'B-1 Site Hedge Baseline'!$B$1:$L$257,6,FALSE)),"",(VLOOKUP($B120,'B-1 Site Hedge Baseline'!$B$1:$L$257,6,FALSE))))</f>
        <v/>
      </c>
      <c r="G120" s="520" t="str">
        <f>IF(B120="","",IF(ISNA(VLOOKUP($B120,'B-1 Site Hedge Baseline'!$B$1:$L$257,7,FALSE)),"",(VLOOKUP($B120,'B-1 Site Hedge Baseline'!$B$1:$L$257,7,FALSE))))</f>
        <v/>
      </c>
      <c r="H120" s="520" t="str">
        <f>IF(B120="","",IF(ISNA(VLOOKUP($B120,'B-1 Site Hedge Baseline'!$B$1:$L$257,8,FALSE)),"",(VLOOKUP($B120,'B-1 Site Hedge Baseline'!$B$1:$L$257,8,FALSE))))</f>
        <v/>
      </c>
      <c r="I120" s="520" t="str">
        <f>IF(B120="","",IF(ISNA(VLOOKUP($B120,'B-1 Site Hedge Baseline'!$B$1:$L$257,10,FALSE)),"",(VLOOKUP($B120,'B-1 Site Hedge Baseline'!$B$1:$L$257,10,FALSE))))</f>
        <v/>
      </c>
      <c r="J120" s="520" t="str">
        <f>IF(B120="","",IF(ISNA(VLOOKUP($B120,'B-1 Site Hedge Baseline'!$B$1:$L$257,11,FALSE)),"",(VLOOKUP($B120,'B-1 Site Hedge Baseline'!$B$1:$L$257,11,FALSE))))</f>
        <v/>
      </c>
      <c r="K120" s="520" t="str">
        <f>IF(B120="","",IF(ISNA(VLOOKUP($B120,'B-1 Site Hedge Baseline'!$B$1:$U$257,13,FALSE)),"",(VLOOKUP($B120,'B-1 Site Hedge Baseline'!$B$1:$U$257,13,FALSE))))</f>
        <v/>
      </c>
      <c r="L120" s="524" t="str">
        <f>IF(B120="","",IF(ISNA(VLOOKUP($B120,'B-1 Site Hedge Baseline'!$B$1:$U$257,12,FALSE)),"",(VLOOKUP($B120,'B-1 Site Hedge Baseline'!$B$1:$U$257,12,FALSE))))</f>
        <v/>
      </c>
      <c r="M120" s="416" t="str">
        <f t="shared" si="15"/>
        <v/>
      </c>
      <c r="N120" s="498" t="str">
        <f>IFERROR(IF(B120="","",INDEX('G-6 Hedgerow Data'!$AN$3:$AZ$15,MATCH(C120,'G-6 Hedgerow Data'!$AM$3:$AM$15,0),MATCH(M120,'G-6 Hedgerow Data'!$AN$2:$AZ$2,0))),"")</f>
        <v/>
      </c>
      <c r="O120" s="499" t="str">
        <f t="shared" si="10"/>
        <v/>
      </c>
      <c r="P120" s="559" t="str">
        <f>IF(B120="","",VLOOKUP(B120,'B-1 Site Hedge Baseline'!$B$10:T365,16,FALSE))</f>
        <v/>
      </c>
      <c r="Q120" s="498" t="str">
        <f>IF(M120="","",VLOOKUP(M120,'G-6 Hedgerow Data'!$B$2:$AG$15,2,FALSE))</f>
        <v/>
      </c>
      <c r="R120" s="499" t="str">
        <f>IF(M120="","",VLOOKUP(M120,'G-6 Hedgerow Data'!$B$2:$AG$15,3,FALSE))</f>
        <v/>
      </c>
      <c r="S120" s="157"/>
      <c r="T120" s="540" t="str">
        <f>IFERROR(VLOOKUP(S120,'G-1 All Habitats'!$Z$2:$AA$9,2,FALSE),"")</f>
        <v/>
      </c>
      <c r="U120" s="154"/>
      <c r="V120" s="520" t="str">
        <f>IF(U120="","",IF(VLOOKUP(U120,'G-3 Multipliers'!$L$3:$N$6,2,FALSE)=0,"Spatial Data Missing ⚠",VLOOKUP(U120,'G-3 Multipliers'!$L$3:$N$6,2,FALSE)))</f>
        <v/>
      </c>
      <c r="W120" s="524" t="str">
        <f>IF(U120="","",IF(VLOOKUP(U120,'G-3 Multipliers'!$L$3:$N$6,3,FALSE)=0,"Spatial Data Missing ⚠",VLOOKUP(U120,'G-3 Multipliers'!$L$3:$N$6,3,FALSE)))</f>
        <v/>
      </c>
      <c r="X120" s="498" t="str">
        <f>IFERROR(IF(OR(LEFT(O120,5)="Error ▲",LEFT(N120,5)="Error ▲",T120="Error ▲"),"Check Data ⚠",IF(F120&lt;R120,INDEX('G-6 Hedgerow Data'!$S$3:$AE$14,MATCH(C120,'G-6 Hedgerow Data'!$B$3:$B$14,0),MATCH(M120,'G-6 Hedgerow Data'!$S$2:$AE$2,0)),INDEX('G-6 Hedgerow Data'!$K$3:$Q$14,MATCH(M120,'G-6 Hedgerow Data'!$B$3:$B$14,0),MATCH(O120,'G-6 Hedgerow Data'!$K$2:$Q$2,0)))),"")</f>
        <v/>
      </c>
      <c r="Y120" s="195"/>
      <c r="Z120" s="195"/>
      <c r="AA120" s="507" t="str">
        <f t="shared" si="11"/>
        <v/>
      </c>
      <c r="AB120" s="521" t="str">
        <f t="shared" si="12"/>
        <v/>
      </c>
      <c r="AC120" s="522" t="str">
        <f t="shared" si="8"/>
        <v/>
      </c>
      <c r="AD120" s="537" t="str">
        <f>IF(M120="","",VLOOKUP(M120,'G-6 Hedgerow Data'!$B$3:$AG$15,31,FALSE))</f>
        <v/>
      </c>
      <c r="AE120" s="507" t="str">
        <f t="shared" si="13"/>
        <v/>
      </c>
      <c r="AF120" s="507" t="str">
        <f t="shared" si="14"/>
        <v/>
      </c>
      <c r="AG120" s="524" t="str">
        <f>IFERROR(IF(O120="","",VLOOKUP(AD120,'G-3 Multipliers'!$P$3:$Q$6,2,FALSE)),"")</f>
        <v/>
      </c>
      <c r="AH120" s="513" t="str">
        <f t="shared" si="9"/>
        <v/>
      </c>
      <c r="AI120" s="231"/>
      <c r="AJ120" s="150"/>
      <c r="AT120" s="31" t="str">
        <f>IFERROR(INDEX('G-6 Hedgerow Data'!$BJ$3:$BJ$15,MATCH(M120,'G-6 Hedgerow Data'!$B$3:$B$15,0)),"")</f>
        <v/>
      </c>
    </row>
    <row r="121" spans="2:46" ht="14" x14ac:dyDescent="0.3">
      <c r="B121" s="531" t="str">
        <f>'B-1 Site Hedge Baseline'!AK119</f>
        <v/>
      </c>
      <c r="C121" s="520" t="str">
        <f>IF(B121="","",IF(ISNA(VLOOKUP($B121,'B-1 Site Hedge Baseline'!$B$1:$L$257,3,FALSE)),"",(VLOOKUP($B121,'B-1 Site Hedge Baseline'!$B$1:$L$257,3,FALSE))))</f>
        <v/>
      </c>
      <c r="D121" s="520" t="str">
        <f>IF(B121="","",IF(ISNA(VLOOKUP($B121,'B-1 Site Hedge Baseline'!$B$1:$L$257,4,FALSE)),"",(VLOOKUP($B121,'B-1 Site Hedge Baseline'!$B$1:$L$257,4,FALSE))))</f>
        <v/>
      </c>
      <c r="E121" s="520" t="str">
        <f>IF(B121="","",IF(ISNA(VLOOKUP($B121,'B-1 Site Hedge Baseline'!$B$1:$L$257,5,FALSE)),"",(VLOOKUP($B121,'B-1 Site Hedge Baseline'!$B$1:$L$257,5,FALSE))))</f>
        <v/>
      </c>
      <c r="F121" s="520" t="str">
        <f>IF(B121="","",IF(ISNA(VLOOKUP($B121,'B-1 Site Hedge Baseline'!$B$1:$L$257,6,FALSE)),"",(VLOOKUP($B121,'B-1 Site Hedge Baseline'!$B$1:$L$257,6,FALSE))))</f>
        <v/>
      </c>
      <c r="G121" s="520" t="str">
        <f>IF(B121="","",IF(ISNA(VLOOKUP($B121,'B-1 Site Hedge Baseline'!$B$1:$L$257,7,FALSE)),"",(VLOOKUP($B121,'B-1 Site Hedge Baseline'!$B$1:$L$257,7,FALSE))))</f>
        <v/>
      </c>
      <c r="H121" s="520" t="str">
        <f>IF(B121="","",IF(ISNA(VLOOKUP($B121,'B-1 Site Hedge Baseline'!$B$1:$L$257,8,FALSE)),"",(VLOOKUP($B121,'B-1 Site Hedge Baseline'!$B$1:$L$257,8,FALSE))))</f>
        <v/>
      </c>
      <c r="I121" s="520" t="str">
        <f>IF(B121="","",IF(ISNA(VLOOKUP($B121,'B-1 Site Hedge Baseline'!$B$1:$L$257,10,FALSE)),"",(VLOOKUP($B121,'B-1 Site Hedge Baseline'!$B$1:$L$257,10,FALSE))))</f>
        <v/>
      </c>
      <c r="J121" s="520" t="str">
        <f>IF(B121="","",IF(ISNA(VLOOKUP($B121,'B-1 Site Hedge Baseline'!$B$1:$L$257,11,FALSE)),"",(VLOOKUP($B121,'B-1 Site Hedge Baseline'!$B$1:$L$257,11,FALSE))))</f>
        <v/>
      </c>
      <c r="K121" s="520" t="str">
        <f>IF(B121="","",IF(ISNA(VLOOKUP($B121,'B-1 Site Hedge Baseline'!$B$1:$U$257,13,FALSE)),"",(VLOOKUP($B121,'B-1 Site Hedge Baseline'!$B$1:$U$257,13,FALSE))))</f>
        <v/>
      </c>
      <c r="L121" s="524" t="str">
        <f>IF(B121="","",IF(ISNA(VLOOKUP($B121,'B-1 Site Hedge Baseline'!$B$1:$U$257,12,FALSE)),"",(VLOOKUP($B121,'B-1 Site Hedge Baseline'!$B$1:$U$257,12,FALSE))))</f>
        <v/>
      </c>
      <c r="M121" s="416" t="str">
        <f t="shared" si="15"/>
        <v/>
      </c>
      <c r="N121" s="498" t="str">
        <f>IFERROR(IF(B121="","",INDEX('G-6 Hedgerow Data'!$AN$3:$AZ$15,MATCH(C121,'G-6 Hedgerow Data'!$AM$3:$AM$15,0),MATCH(M121,'G-6 Hedgerow Data'!$AN$2:$AZ$2,0))),"")</f>
        <v/>
      </c>
      <c r="O121" s="499" t="str">
        <f t="shared" si="10"/>
        <v/>
      </c>
      <c r="P121" s="559" t="str">
        <f>IF(B121="","",VLOOKUP(B121,'B-1 Site Hedge Baseline'!$B$10:T366,16,FALSE))</f>
        <v/>
      </c>
      <c r="Q121" s="498" t="str">
        <f>IF(M121="","",VLOOKUP(M121,'G-6 Hedgerow Data'!$B$2:$AG$15,2,FALSE))</f>
        <v/>
      </c>
      <c r="R121" s="499" t="str">
        <f>IF(M121="","",VLOOKUP(M121,'G-6 Hedgerow Data'!$B$2:$AG$15,3,FALSE))</f>
        <v/>
      </c>
      <c r="S121" s="157"/>
      <c r="T121" s="540" t="str">
        <f>IFERROR(VLOOKUP(S121,'G-1 All Habitats'!$Z$2:$AA$9,2,FALSE),"")</f>
        <v/>
      </c>
      <c r="U121" s="154"/>
      <c r="V121" s="520" t="str">
        <f>IF(U121="","",IF(VLOOKUP(U121,'G-3 Multipliers'!$L$3:$N$6,2,FALSE)=0,"Spatial Data Missing ⚠",VLOOKUP(U121,'G-3 Multipliers'!$L$3:$N$6,2,FALSE)))</f>
        <v/>
      </c>
      <c r="W121" s="524" t="str">
        <f>IF(U121="","",IF(VLOOKUP(U121,'G-3 Multipliers'!$L$3:$N$6,3,FALSE)=0,"Spatial Data Missing ⚠",VLOOKUP(U121,'G-3 Multipliers'!$L$3:$N$6,3,FALSE)))</f>
        <v/>
      </c>
      <c r="X121" s="498" t="str">
        <f>IFERROR(IF(OR(LEFT(O121,5)="Error ▲",LEFT(N121,5)="Error ▲",T121="Error ▲"),"Check Data ⚠",IF(F121&lt;R121,INDEX('G-6 Hedgerow Data'!$S$3:$AE$14,MATCH(C121,'G-6 Hedgerow Data'!$B$3:$B$14,0),MATCH(M121,'G-6 Hedgerow Data'!$S$2:$AE$2,0)),INDEX('G-6 Hedgerow Data'!$K$3:$Q$14,MATCH(M121,'G-6 Hedgerow Data'!$B$3:$B$14,0),MATCH(O121,'G-6 Hedgerow Data'!$K$2:$Q$2,0)))),"")</f>
        <v/>
      </c>
      <c r="Y121" s="195"/>
      <c r="Z121" s="195"/>
      <c r="AA121" s="507" t="str">
        <f t="shared" si="11"/>
        <v/>
      </c>
      <c r="AB121" s="521" t="str">
        <f t="shared" si="12"/>
        <v/>
      </c>
      <c r="AC121" s="522" t="str">
        <f t="shared" si="8"/>
        <v/>
      </c>
      <c r="AD121" s="537" t="str">
        <f>IF(M121="","",VLOOKUP(M121,'G-6 Hedgerow Data'!$B$3:$AG$15,31,FALSE))</f>
        <v/>
      </c>
      <c r="AE121" s="507" t="str">
        <f t="shared" si="13"/>
        <v/>
      </c>
      <c r="AF121" s="507" t="str">
        <f t="shared" si="14"/>
        <v/>
      </c>
      <c r="AG121" s="524" t="str">
        <f>IFERROR(IF(O121="","",VLOOKUP(AD121,'G-3 Multipliers'!$P$3:$Q$6,2,FALSE)),"")</f>
        <v/>
      </c>
      <c r="AH121" s="513" t="str">
        <f t="shared" si="9"/>
        <v/>
      </c>
      <c r="AI121" s="231"/>
      <c r="AJ121" s="150"/>
      <c r="AT121" s="31" t="str">
        <f>IFERROR(INDEX('G-6 Hedgerow Data'!$BJ$3:$BJ$15,MATCH(M121,'G-6 Hedgerow Data'!$B$3:$B$15,0)),"")</f>
        <v/>
      </c>
    </row>
    <row r="122" spans="2:46" ht="14" x14ac:dyDescent="0.3">
      <c r="B122" s="531" t="str">
        <f>'B-1 Site Hedge Baseline'!AK120</f>
        <v/>
      </c>
      <c r="C122" s="520" t="str">
        <f>IF(B122="","",IF(ISNA(VLOOKUP($B122,'B-1 Site Hedge Baseline'!$B$1:$L$257,3,FALSE)),"",(VLOOKUP($B122,'B-1 Site Hedge Baseline'!$B$1:$L$257,3,FALSE))))</f>
        <v/>
      </c>
      <c r="D122" s="520" t="str">
        <f>IF(B122="","",IF(ISNA(VLOOKUP($B122,'B-1 Site Hedge Baseline'!$B$1:$L$257,4,FALSE)),"",(VLOOKUP($B122,'B-1 Site Hedge Baseline'!$B$1:$L$257,4,FALSE))))</f>
        <v/>
      </c>
      <c r="E122" s="520" t="str">
        <f>IF(B122="","",IF(ISNA(VLOOKUP($B122,'B-1 Site Hedge Baseline'!$B$1:$L$257,5,FALSE)),"",(VLOOKUP($B122,'B-1 Site Hedge Baseline'!$B$1:$L$257,5,FALSE))))</f>
        <v/>
      </c>
      <c r="F122" s="520" t="str">
        <f>IF(B122="","",IF(ISNA(VLOOKUP($B122,'B-1 Site Hedge Baseline'!$B$1:$L$257,6,FALSE)),"",(VLOOKUP($B122,'B-1 Site Hedge Baseline'!$B$1:$L$257,6,FALSE))))</f>
        <v/>
      </c>
      <c r="G122" s="520" t="str">
        <f>IF(B122="","",IF(ISNA(VLOOKUP($B122,'B-1 Site Hedge Baseline'!$B$1:$L$257,7,FALSE)),"",(VLOOKUP($B122,'B-1 Site Hedge Baseline'!$B$1:$L$257,7,FALSE))))</f>
        <v/>
      </c>
      <c r="H122" s="520" t="str">
        <f>IF(B122="","",IF(ISNA(VLOOKUP($B122,'B-1 Site Hedge Baseline'!$B$1:$L$257,8,FALSE)),"",(VLOOKUP($B122,'B-1 Site Hedge Baseline'!$B$1:$L$257,8,FALSE))))</f>
        <v/>
      </c>
      <c r="I122" s="520" t="str">
        <f>IF(B122="","",IF(ISNA(VLOOKUP($B122,'B-1 Site Hedge Baseline'!$B$1:$L$257,10,FALSE)),"",(VLOOKUP($B122,'B-1 Site Hedge Baseline'!$B$1:$L$257,10,FALSE))))</f>
        <v/>
      </c>
      <c r="J122" s="520" t="str">
        <f>IF(B122="","",IF(ISNA(VLOOKUP($B122,'B-1 Site Hedge Baseline'!$B$1:$L$257,11,FALSE)),"",(VLOOKUP($B122,'B-1 Site Hedge Baseline'!$B$1:$L$257,11,FALSE))))</f>
        <v/>
      </c>
      <c r="K122" s="520" t="str">
        <f>IF(B122="","",IF(ISNA(VLOOKUP($B122,'B-1 Site Hedge Baseline'!$B$1:$U$257,13,FALSE)),"",(VLOOKUP($B122,'B-1 Site Hedge Baseline'!$B$1:$U$257,13,FALSE))))</f>
        <v/>
      </c>
      <c r="L122" s="524" t="str">
        <f>IF(B122="","",IF(ISNA(VLOOKUP($B122,'B-1 Site Hedge Baseline'!$B$1:$U$257,12,FALSE)),"",(VLOOKUP($B122,'B-1 Site Hedge Baseline'!$B$1:$U$257,12,FALSE))))</f>
        <v/>
      </c>
      <c r="M122" s="416" t="str">
        <f t="shared" si="15"/>
        <v/>
      </c>
      <c r="N122" s="498" t="str">
        <f>IFERROR(IF(B122="","",INDEX('G-6 Hedgerow Data'!$AN$3:$AZ$15,MATCH(C122,'G-6 Hedgerow Data'!$AM$3:$AM$15,0),MATCH(M122,'G-6 Hedgerow Data'!$AN$2:$AZ$2,0))),"")</f>
        <v/>
      </c>
      <c r="O122" s="499" t="str">
        <f t="shared" si="10"/>
        <v/>
      </c>
      <c r="P122" s="559" t="str">
        <f>IF(B122="","",VLOOKUP(B122,'B-1 Site Hedge Baseline'!$B$10:T367,16,FALSE))</f>
        <v/>
      </c>
      <c r="Q122" s="498" t="str">
        <f>IF(M122="","",VLOOKUP(M122,'G-6 Hedgerow Data'!$B$2:$AG$15,2,FALSE))</f>
        <v/>
      </c>
      <c r="R122" s="499" t="str">
        <f>IF(M122="","",VLOOKUP(M122,'G-6 Hedgerow Data'!$B$2:$AG$15,3,FALSE))</f>
        <v/>
      </c>
      <c r="S122" s="157"/>
      <c r="T122" s="540" t="str">
        <f>IFERROR(VLOOKUP(S122,'G-1 All Habitats'!$Z$2:$AA$9,2,FALSE),"")</f>
        <v/>
      </c>
      <c r="U122" s="154"/>
      <c r="V122" s="520" t="str">
        <f>IF(U122="","",IF(VLOOKUP(U122,'G-3 Multipliers'!$L$3:$N$6,2,FALSE)=0,"Spatial Data Missing ⚠",VLOOKUP(U122,'G-3 Multipliers'!$L$3:$N$6,2,FALSE)))</f>
        <v/>
      </c>
      <c r="W122" s="524" t="str">
        <f>IF(U122="","",IF(VLOOKUP(U122,'G-3 Multipliers'!$L$3:$N$6,3,FALSE)=0,"Spatial Data Missing ⚠",VLOOKUP(U122,'G-3 Multipliers'!$L$3:$N$6,3,FALSE)))</f>
        <v/>
      </c>
      <c r="X122" s="498" t="str">
        <f>IFERROR(IF(OR(LEFT(O122,5)="Error ▲",LEFT(N122,5)="Error ▲",T122="Error ▲"),"Check Data ⚠",IF(F122&lt;R122,INDEX('G-6 Hedgerow Data'!$S$3:$AE$14,MATCH(C122,'G-6 Hedgerow Data'!$B$3:$B$14,0),MATCH(M122,'G-6 Hedgerow Data'!$S$2:$AE$2,0)),INDEX('G-6 Hedgerow Data'!$K$3:$Q$14,MATCH(M122,'G-6 Hedgerow Data'!$B$3:$B$14,0),MATCH(O122,'G-6 Hedgerow Data'!$K$2:$Q$2,0)))),"")</f>
        <v/>
      </c>
      <c r="Y122" s="195"/>
      <c r="Z122" s="195"/>
      <c r="AA122" s="507" t="str">
        <f t="shared" si="11"/>
        <v/>
      </c>
      <c r="AB122" s="521" t="str">
        <f t="shared" si="12"/>
        <v/>
      </c>
      <c r="AC122" s="522" t="str">
        <f t="shared" si="8"/>
        <v/>
      </c>
      <c r="AD122" s="537" t="str">
        <f>IF(M122="","",VLOOKUP(M122,'G-6 Hedgerow Data'!$B$3:$AG$15,31,FALSE))</f>
        <v/>
      </c>
      <c r="AE122" s="507" t="str">
        <f t="shared" si="13"/>
        <v/>
      </c>
      <c r="AF122" s="507" t="str">
        <f t="shared" si="14"/>
        <v/>
      </c>
      <c r="AG122" s="524" t="str">
        <f>IFERROR(IF(O122="","",VLOOKUP(AD122,'G-3 Multipliers'!$P$3:$Q$6,2,FALSE)),"")</f>
        <v/>
      </c>
      <c r="AH122" s="513" t="str">
        <f t="shared" si="9"/>
        <v/>
      </c>
      <c r="AI122" s="231"/>
      <c r="AJ122" s="150"/>
      <c r="AT122" s="31" t="str">
        <f>IFERROR(INDEX('G-6 Hedgerow Data'!$BJ$3:$BJ$15,MATCH(M122,'G-6 Hedgerow Data'!$B$3:$B$15,0)),"")</f>
        <v/>
      </c>
    </row>
    <row r="123" spans="2:46" ht="14" x14ac:dyDescent="0.3">
      <c r="B123" s="531" t="str">
        <f>'B-1 Site Hedge Baseline'!AK121</f>
        <v/>
      </c>
      <c r="C123" s="520" t="str">
        <f>IF(B123="","",IF(ISNA(VLOOKUP($B123,'B-1 Site Hedge Baseline'!$B$1:$L$257,3,FALSE)),"",(VLOOKUP($B123,'B-1 Site Hedge Baseline'!$B$1:$L$257,3,FALSE))))</f>
        <v/>
      </c>
      <c r="D123" s="520" t="str">
        <f>IF(B123="","",IF(ISNA(VLOOKUP($B123,'B-1 Site Hedge Baseline'!$B$1:$L$257,4,FALSE)),"",(VLOOKUP($B123,'B-1 Site Hedge Baseline'!$B$1:$L$257,4,FALSE))))</f>
        <v/>
      </c>
      <c r="E123" s="520" t="str">
        <f>IF(B123="","",IF(ISNA(VLOOKUP($B123,'B-1 Site Hedge Baseline'!$B$1:$L$257,5,FALSE)),"",(VLOOKUP($B123,'B-1 Site Hedge Baseline'!$B$1:$L$257,5,FALSE))))</f>
        <v/>
      </c>
      <c r="F123" s="520" t="str">
        <f>IF(B123="","",IF(ISNA(VLOOKUP($B123,'B-1 Site Hedge Baseline'!$B$1:$L$257,6,FALSE)),"",(VLOOKUP($B123,'B-1 Site Hedge Baseline'!$B$1:$L$257,6,FALSE))))</f>
        <v/>
      </c>
      <c r="G123" s="520" t="str">
        <f>IF(B123="","",IF(ISNA(VLOOKUP($B123,'B-1 Site Hedge Baseline'!$B$1:$L$257,7,FALSE)),"",(VLOOKUP($B123,'B-1 Site Hedge Baseline'!$B$1:$L$257,7,FALSE))))</f>
        <v/>
      </c>
      <c r="H123" s="520" t="str">
        <f>IF(B123="","",IF(ISNA(VLOOKUP($B123,'B-1 Site Hedge Baseline'!$B$1:$L$257,8,FALSE)),"",(VLOOKUP($B123,'B-1 Site Hedge Baseline'!$B$1:$L$257,8,FALSE))))</f>
        <v/>
      </c>
      <c r="I123" s="520" t="str">
        <f>IF(B123="","",IF(ISNA(VLOOKUP($B123,'B-1 Site Hedge Baseline'!$B$1:$L$257,10,FALSE)),"",(VLOOKUP($B123,'B-1 Site Hedge Baseline'!$B$1:$L$257,10,FALSE))))</f>
        <v/>
      </c>
      <c r="J123" s="520" t="str">
        <f>IF(B123="","",IF(ISNA(VLOOKUP($B123,'B-1 Site Hedge Baseline'!$B$1:$L$257,11,FALSE)),"",(VLOOKUP($B123,'B-1 Site Hedge Baseline'!$B$1:$L$257,11,FALSE))))</f>
        <v/>
      </c>
      <c r="K123" s="520" t="str">
        <f>IF(B123="","",IF(ISNA(VLOOKUP($B123,'B-1 Site Hedge Baseline'!$B$1:$U$257,13,FALSE)),"",(VLOOKUP($B123,'B-1 Site Hedge Baseline'!$B$1:$U$257,13,FALSE))))</f>
        <v/>
      </c>
      <c r="L123" s="524" t="str">
        <f>IF(B123="","",IF(ISNA(VLOOKUP($B123,'B-1 Site Hedge Baseline'!$B$1:$U$257,12,FALSE)),"",(VLOOKUP($B123,'B-1 Site Hedge Baseline'!$B$1:$U$257,12,FALSE))))</f>
        <v/>
      </c>
      <c r="M123" s="416" t="str">
        <f t="shared" si="15"/>
        <v/>
      </c>
      <c r="N123" s="498" t="str">
        <f>IFERROR(IF(B123="","",INDEX('G-6 Hedgerow Data'!$AN$3:$AZ$15,MATCH(C123,'G-6 Hedgerow Data'!$AM$3:$AM$15,0),MATCH(M123,'G-6 Hedgerow Data'!$AN$2:$AZ$2,0))),"")</f>
        <v/>
      </c>
      <c r="O123" s="499" t="str">
        <f t="shared" si="10"/>
        <v/>
      </c>
      <c r="P123" s="559" t="str">
        <f>IF(B123="","",VLOOKUP(B123,'B-1 Site Hedge Baseline'!$B$10:T368,16,FALSE))</f>
        <v/>
      </c>
      <c r="Q123" s="498" t="str">
        <f>IF(M123="","",VLOOKUP(M123,'G-6 Hedgerow Data'!$B$2:$AG$15,2,FALSE))</f>
        <v/>
      </c>
      <c r="R123" s="499" t="str">
        <f>IF(M123="","",VLOOKUP(M123,'G-6 Hedgerow Data'!$B$2:$AG$15,3,FALSE))</f>
        <v/>
      </c>
      <c r="S123" s="157"/>
      <c r="T123" s="540" t="str">
        <f>IFERROR(VLOOKUP(S123,'G-1 All Habitats'!$Z$2:$AA$9,2,FALSE),"")</f>
        <v/>
      </c>
      <c r="U123" s="154"/>
      <c r="V123" s="520" t="str">
        <f>IF(U123="","",IF(VLOOKUP(U123,'G-3 Multipliers'!$L$3:$N$6,2,FALSE)=0,"Spatial Data Missing ⚠",VLOOKUP(U123,'G-3 Multipliers'!$L$3:$N$6,2,FALSE)))</f>
        <v/>
      </c>
      <c r="W123" s="524" t="str">
        <f>IF(U123="","",IF(VLOOKUP(U123,'G-3 Multipliers'!$L$3:$N$6,3,FALSE)=0,"Spatial Data Missing ⚠",VLOOKUP(U123,'G-3 Multipliers'!$L$3:$N$6,3,FALSE)))</f>
        <v/>
      </c>
      <c r="X123" s="498" t="str">
        <f>IFERROR(IF(OR(LEFT(O123,5)="Error ▲",LEFT(N123,5)="Error ▲",T123="Error ▲"),"Check Data ⚠",IF(F123&lt;R123,INDEX('G-6 Hedgerow Data'!$S$3:$AE$14,MATCH(C123,'G-6 Hedgerow Data'!$B$3:$B$14,0),MATCH(M123,'G-6 Hedgerow Data'!$S$2:$AE$2,0)),INDEX('G-6 Hedgerow Data'!$K$3:$Q$14,MATCH(M123,'G-6 Hedgerow Data'!$B$3:$B$14,0),MATCH(O123,'G-6 Hedgerow Data'!$K$2:$Q$2,0)))),"")</f>
        <v/>
      </c>
      <c r="Y123" s="195"/>
      <c r="Z123" s="195"/>
      <c r="AA123" s="507" t="str">
        <f t="shared" si="11"/>
        <v/>
      </c>
      <c r="AB123" s="521" t="str">
        <f t="shared" si="12"/>
        <v/>
      </c>
      <c r="AC123" s="522" t="str">
        <f t="shared" si="8"/>
        <v/>
      </c>
      <c r="AD123" s="537" t="str">
        <f>IF(M123="","",VLOOKUP(M123,'G-6 Hedgerow Data'!$B$3:$AG$15,31,FALSE))</f>
        <v/>
      </c>
      <c r="AE123" s="507" t="str">
        <f t="shared" si="13"/>
        <v/>
      </c>
      <c r="AF123" s="507" t="str">
        <f t="shared" si="14"/>
        <v/>
      </c>
      <c r="AG123" s="524" t="str">
        <f>IFERROR(IF(O123="","",VLOOKUP(AD123,'G-3 Multipliers'!$P$3:$Q$6,2,FALSE)),"")</f>
        <v/>
      </c>
      <c r="AH123" s="513" t="str">
        <f t="shared" si="9"/>
        <v/>
      </c>
      <c r="AI123" s="231"/>
      <c r="AJ123" s="150"/>
      <c r="AT123" s="31" t="str">
        <f>IFERROR(INDEX('G-6 Hedgerow Data'!$BJ$3:$BJ$15,MATCH(M123,'G-6 Hedgerow Data'!$B$3:$B$15,0)),"")</f>
        <v/>
      </c>
    </row>
    <row r="124" spans="2:46" ht="14" x14ac:dyDescent="0.3">
      <c r="B124" s="531" t="str">
        <f>'B-1 Site Hedge Baseline'!AK122</f>
        <v/>
      </c>
      <c r="C124" s="520" t="str">
        <f>IF(B124="","",IF(ISNA(VLOOKUP($B124,'B-1 Site Hedge Baseline'!$B$1:$L$257,3,FALSE)),"",(VLOOKUP($B124,'B-1 Site Hedge Baseline'!$B$1:$L$257,3,FALSE))))</f>
        <v/>
      </c>
      <c r="D124" s="520" t="str">
        <f>IF(B124="","",IF(ISNA(VLOOKUP($B124,'B-1 Site Hedge Baseline'!$B$1:$L$257,4,FALSE)),"",(VLOOKUP($B124,'B-1 Site Hedge Baseline'!$B$1:$L$257,4,FALSE))))</f>
        <v/>
      </c>
      <c r="E124" s="520" t="str">
        <f>IF(B124="","",IF(ISNA(VLOOKUP($B124,'B-1 Site Hedge Baseline'!$B$1:$L$257,5,FALSE)),"",(VLOOKUP($B124,'B-1 Site Hedge Baseline'!$B$1:$L$257,5,FALSE))))</f>
        <v/>
      </c>
      <c r="F124" s="520" t="str">
        <f>IF(B124="","",IF(ISNA(VLOOKUP($B124,'B-1 Site Hedge Baseline'!$B$1:$L$257,6,FALSE)),"",(VLOOKUP($B124,'B-1 Site Hedge Baseline'!$B$1:$L$257,6,FALSE))))</f>
        <v/>
      </c>
      <c r="G124" s="520" t="str">
        <f>IF(B124="","",IF(ISNA(VLOOKUP($B124,'B-1 Site Hedge Baseline'!$B$1:$L$257,7,FALSE)),"",(VLOOKUP($B124,'B-1 Site Hedge Baseline'!$B$1:$L$257,7,FALSE))))</f>
        <v/>
      </c>
      <c r="H124" s="520" t="str">
        <f>IF(B124="","",IF(ISNA(VLOOKUP($B124,'B-1 Site Hedge Baseline'!$B$1:$L$257,8,FALSE)),"",(VLOOKUP($B124,'B-1 Site Hedge Baseline'!$B$1:$L$257,8,FALSE))))</f>
        <v/>
      </c>
      <c r="I124" s="520" t="str">
        <f>IF(B124="","",IF(ISNA(VLOOKUP($B124,'B-1 Site Hedge Baseline'!$B$1:$L$257,10,FALSE)),"",(VLOOKUP($B124,'B-1 Site Hedge Baseline'!$B$1:$L$257,10,FALSE))))</f>
        <v/>
      </c>
      <c r="J124" s="520" t="str">
        <f>IF(B124="","",IF(ISNA(VLOOKUP($B124,'B-1 Site Hedge Baseline'!$B$1:$L$257,11,FALSE)),"",(VLOOKUP($B124,'B-1 Site Hedge Baseline'!$B$1:$L$257,11,FALSE))))</f>
        <v/>
      </c>
      <c r="K124" s="520" t="str">
        <f>IF(B124="","",IF(ISNA(VLOOKUP($B124,'B-1 Site Hedge Baseline'!$B$1:$U$257,13,FALSE)),"",(VLOOKUP($B124,'B-1 Site Hedge Baseline'!$B$1:$U$257,13,FALSE))))</f>
        <v/>
      </c>
      <c r="L124" s="524" t="str">
        <f>IF(B124="","",IF(ISNA(VLOOKUP($B124,'B-1 Site Hedge Baseline'!$B$1:$U$257,12,FALSE)),"",(VLOOKUP($B124,'B-1 Site Hedge Baseline'!$B$1:$U$257,12,FALSE))))</f>
        <v/>
      </c>
      <c r="M124" s="416" t="str">
        <f t="shared" si="15"/>
        <v/>
      </c>
      <c r="N124" s="498" t="str">
        <f>IFERROR(IF(B124="","",INDEX('G-6 Hedgerow Data'!$AN$3:$AZ$15,MATCH(C124,'G-6 Hedgerow Data'!$AM$3:$AM$15,0),MATCH(M124,'G-6 Hedgerow Data'!$AN$2:$AZ$2,0))),"")</f>
        <v/>
      </c>
      <c r="O124" s="499" t="str">
        <f t="shared" si="10"/>
        <v/>
      </c>
      <c r="P124" s="559" t="str">
        <f>IF(B124="","",VLOOKUP(B124,'B-1 Site Hedge Baseline'!$B$10:T369,16,FALSE))</f>
        <v/>
      </c>
      <c r="Q124" s="498" t="str">
        <f>IF(M124="","",VLOOKUP(M124,'G-6 Hedgerow Data'!$B$2:$AG$15,2,FALSE))</f>
        <v/>
      </c>
      <c r="R124" s="499" t="str">
        <f>IF(M124="","",VLOOKUP(M124,'G-6 Hedgerow Data'!$B$2:$AG$15,3,FALSE))</f>
        <v/>
      </c>
      <c r="S124" s="157"/>
      <c r="T124" s="540" t="str">
        <f>IFERROR(VLOOKUP(S124,'G-1 All Habitats'!$Z$2:$AA$9,2,FALSE),"")</f>
        <v/>
      </c>
      <c r="U124" s="154"/>
      <c r="V124" s="520" t="str">
        <f>IF(U124="","",IF(VLOOKUP(U124,'G-3 Multipliers'!$L$3:$N$6,2,FALSE)=0,"Spatial Data Missing ⚠",VLOOKUP(U124,'G-3 Multipliers'!$L$3:$N$6,2,FALSE)))</f>
        <v/>
      </c>
      <c r="W124" s="524" t="str">
        <f>IF(U124="","",IF(VLOOKUP(U124,'G-3 Multipliers'!$L$3:$N$6,3,FALSE)=0,"Spatial Data Missing ⚠",VLOOKUP(U124,'G-3 Multipliers'!$L$3:$N$6,3,FALSE)))</f>
        <v/>
      </c>
      <c r="X124" s="498" t="str">
        <f>IFERROR(IF(OR(LEFT(O124,5)="Error ▲",LEFT(N124,5)="Error ▲",T124="Error ▲"),"Check Data ⚠",IF(F124&lt;R124,INDEX('G-6 Hedgerow Data'!$S$3:$AE$14,MATCH(C124,'G-6 Hedgerow Data'!$B$3:$B$14,0),MATCH(M124,'G-6 Hedgerow Data'!$S$2:$AE$2,0)),INDEX('G-6 Hedgerow Data'!$K$3:$Q$14,MATCH(M124,'G-6 Hedgerow Data'!$B$3:$B$14,0),MATCH(O124,'G-6 Hedgerow Data'!$K$2:$Q$2,0)))),"")</f>
        <v/>
      </c>
      <c r="Y124" s="195"/>
      <c r="Z124" s="195"/>
      <c r="AA124" s="507" t="str">
        <f t="shared" si="11"/>
        <v/>
      </c>
      <c r="AB124" s="521" t="str">
        <f t="shared" si="12"/>
        <v/>
      </c>
      <c r="AC124" s="522" t="str">
        <f t="shared" si="8"/>
        <v/>
      </c>
      <c r="AD124" s="537" t="str">
        <f>IF(M124="","",VLOOKUP(M124,'G-6 Hedgerow Data'!$B$3:$AG$15,31,FALSE))</f>
        <v/>
      </c>
      <c r="AE124" s="507" t="str">
        <f t="shared" si="13"/>
        <v/>
      </c>
      <c r="AF124" s="507" t="str">
        <f t="shared" si="14"/>
        <v/>
      </c>
      <c r="AG124" s="524" t="str">
        <f>IFERROR(IF(O124="","",VLOOKUP(AD124,'G-3 Multipliers'!$P$3:$Q$6,2,FALSE)),"")</f>
        <v/>
      </c>
      <c r="AH124" s="513" t="str">
        <f t="shared" si="9"/>
        <v/>
      </c>
      <c r="AI124" s="231"/>
      <c r="AJ124" s="150"/>
      <c r="AT124" s="31" t="str">
        <f>IFERROR(INDEX('G-6 Hedgerow Data'!$BJ$3:$BJ$15,MATCH(M124,'G-6 Hedgerow Data'!$B$3:$B$15,0)),"")</f>
        <v/>
      </c>
    </row>
    <row r="125" spans="2:46" ht="14" x14ac:dyDescent="0.3">
      <c r="B125" s="531" t="str">
        <f>'B-1 Site Hedge Baseline'!AK123</f>
        <v/>
      </c>
      <c r="C125" s="520" t="str">
        <f>IF(B125="","",IF(ISNA(VLOOKUP($B125,'B-1 Site Hedge Baseline'!$B$1:$L$257,3,FALSE)),"",(VLOOKUP($B125,'B-1 Site Hedge Baseline'!$B$1:$L$257,3,FALSE))))</f>
        <v/>
      </c>
      <c r="D125" s="520" t="str">
        <f>IF(B125="","",IF(ISNA(VLOOKUP($B125,'B-1 Site Hedge Baseline'!$B$1:$L$257,4,FALSE)),"",(VLOOKUP($B125,'B-1 Site Hedge Baseline'!$B$1:$L$257,4,FALSE))))</f>
        <v/>
      </c>
      <c r="E125" s="520" t="str">
        <f>IF(B125="","",IF(ISNA(VLOOKUP($B125,'B-1 Site Hedge Baseline'!$B$1:$L$257,5,FALSE)),"",(VLOOKUP($B125,'B-1 Site Hedge Baseline'!$B$1:$L$257,5,FALSE))))</f>
        <v/>
      </c>
      <c r="F125" s="520" t="str">
        <f>IF(B125="","",IF(ISNA(VLOOKUP($B125,'B-1 Site Hedge Baseline'!$B$1:$L$257,6,FALSE)),"",(VLOOKUP($B125,'B-1 Site Hedge Baseline'!$B$1:$L$257,6,FALSE))))</f>
        <v/>
      </c>
      <c r="G125" s="520" t="str">
        <f>IF(B125="","",IF(ISNA(VLOOKUP($B125,'B-1 Site Hedge Baseline'!$B$1:$L$257,7,FALSE)),"",(VLOOKUP($B125,'B-1 Site Hedge Baseline'!$B$1:$L$257,7,FALSE))))</f>
        <v/>
      </c>
      <c r="H125" s="520" t="str">
        <f>IF(B125="","",IF(ISNA(VLOOKUP($B125,'B-1 Site Hedge Baseline'!$B$1:$L$257,8,FALSE)),"",(VLOOKUP($B125,'B-1 Site Hedge Baseline'!$B$1:$L$257,8,FALSE))))</f>
        <v/>
      </c>
      <c r="I125" s="520" t="str">
        <f>IF(B125="","",IF(ISNA(VLOOKUP($B125,'B-1 Site Hedge Baseline'!$B$1:$L$257,10,FALSE)),"",(VLOOKUP($B125,'B-1 Site Hedge Baseline'!$B$1:$L$257,10,FALSE))))</f>
        <v/>
      </c>
      <c r="J125" s="520" t="str">
        <f>IF(B125="","",IF(ISNA(VLOOKUP($B125,'B-1 Site Hedge Baseline'!$B$1:$L$257,11,FALSE)),"",(VLOOKUP($B125,'B-1 Site Hedge Baseline'!$B$1:$L$257,11,FALSE))))</f>
        <v/>
      </c>
      <c r="K125" s="520" t="str">
        <f>IF(B125="","",IF(ISNA(VLOOKUP($B125,'B-1 Site Hedge Baseline'!$B$1:$U$257,13,FALSE)),"",(VLOOKUP($B125,'B-1 Site Hedge Baseline'!$B$1:$U$257,13,FALSE))))</f>
        <v/>
      </c>
      <c r="L125" s="524" t="str">
        <f>IF(B125="","",IF(ISNA(VLOOKUP($B125,'B-1 Site Hedge Baseline'!$B$1:$U$257,12,FALSE)),"",(VLOOKUP($B125,'B-1 Site Hedge Baseline'!$B$1:$U$257,12,FALSE))))</f>
        <v/>
      </c>
      <c r="M125" s="416" t="str">
        <f t="shared" si="15"/>
        <v/>
      </c>
      <c r="N125" s="498" t="str">
        <f>IFERROR(IF(B125="","",INDEX('G-6 Hedgerow Data'!$AN$3:$AZ$15,MATCH(C125,'G-6 Hedgerow Data'!$AM$3:$AM$15,0),MATCH(M125,'G-6 Hedgerow Data'!$AN$2:$AZ$2,0))),"")</f>
        <v/>
      </c>
      <c r="O125" s="499" t="str">
        <f t="shared" si="10"/>
        <v/>
      </c>
      <c r="P125" s="559" t="str">
        <f>IF(B125="","",VLOOKUP(B125,'B-1 Site Hedge Baseline'!$B$10:T370,16,FALSE))</f>
        <v/>
      </c>
      <c r="Q125" s="498" t="str">
        <f>IF(M125="","",VLOOKUP(M125,'G-6 Hedgerow Data'!$B$2:$AG$15,2,FALSE))</f>
        <v/>
      </c>
      <c r="R125" s="499" t="str">
        <f>IF(M125="","",VLOOKUP(M125,'G-6 Hedgerow Data'!$B$2:$AG$15,3,FALSE))</f>
        <v/>
      </c>
      <c r="S125" s="157"/>
      <c r="T125" s="540" t="str">
        <f>IFERROR(VLOOKUP(S125,'G-1 All Habitats'!$Z$2:$AA$9,2,FALSE),"")</f>
        <v/>
      </c>
      <c r="U125" s="154"/>
      <c r="V125" s="520" t="str">
        <f>IF(U125="","",IF(VLOOKUP(U125,'G-3 Multipliers'!$L$3:$N$6,2,FALSE)=0,"Spatial Data Missing ⚠",VLOOKUP(U125,'G-3 Multipliers'!$L$3:$N$6,2,FALSE)))</f>
        <v/>
      </c>
      <c r="W125" s="524" t="str">
        <f>IF(U125="","",IF(VLOOKUP(U125,'G-3 Multipliers'!$L$3:$N$6,3,FALSE)=0,"Spatial Data Missing ⚠",VLOOKUP(U125,'G-3 Multipliers'!$L$3:$N$6,3,FALSE)))</f>
        <v/>
      </c>
      <c r="X125" s="498" t="str">
        <f>IFERROR(IF(OR(LEFT(O125,5)="Error ▲",LEFT(N125,5)="Error ▲",T125="Error ▲"),"Check Data ⚠",IF(F125&lt;R125,INDEX('G-6 Hedgerow Data'!$S$3:$AE$14,MATCH(C125,'G-6 Hedgerow Data'!$B$3:$B$14,0),MATCH(M125,'G-6 Hedgerow Data'!$S$2:$AE$2,0)),INDEX('G-6 Hedgerow Data'!$K$3:$Q$14,MATCH(M125,'G-6 Hedgerow Data'!$B$3:$B$14,0),MATCH(O125,'G-6 Hedgerow Data'!$K$2:$Q$2,0)))),"")</f>
        <v/>
      </c>
      <c r="Y125" s="195"/>
      <c r="Z125" s="195"/>
      <c r="AA125" s="507" t="str">
        <f t="shared" si="11"/>
        <v/>
      </c>
      <c r="AB125" s="521" t="str">
        <f t="shared" si="12"/>
        <v/>
      </c>
      <c r="AC125" s="522" t="str">
        <f t="shared" si="8"/>
        <v/>
      </c>
      <c r="AD125" s="537" t="str">
        <f>IF(M125="","",VLOOKUP(M125,'G-6 Hedgerow Data'!$B$3:$AG$15,31,FALSE))</f>
        <v/>
      </c>
      <c r="AE125" s="507" t="str">
        <f t="shared" si="13"/>
        <v/>
      </c>
      <c r="AF125" s="507" t="str">
        <f t="shared" si="14"/>
        <v/>
      </c>
      <c r="AG125" s="524" t="str">
        <f>IFERROR(IF(O125="","",VLOOKUP(AD125,'G-3 Multipliers'!$P$3:$Q$6,2,FALSE)),"")</f>
        <v/>
      </c>
      <c r="AH125" s="513" t="str">
        <f t="shared" si="9"/>
        <v/>
      </c>
      <c r="AI125" s="231"/>
      <c r="AJ125" s="150"/>
      <c r="AT125" s="31" t="str">
        <f>IFERROR(INDEX('G-6 Hedgerow Data'!$BJ$3:$BJ$15,MATCH(M125,'G-6 Hedgerow Data'!$B$3:$B$15,0)),"")</f>
        <v/>
      </c>
    </row>
    <row r="126" spans="2:46" ht="14" x14ac:dyDescent="0.3">
      <c r="B126" s="531" t="str">
        <f>'B-1 Site Hedge Baseline'!AK124</f>
        <v/>
      </c>
      <c r="C126" s="520" t="str">
        <f>IF(B126="","",IF(ISNA(VLOOKUP($B126,'B-1 Site Hedge Baseline'!$B$1:$L$257,3,FALSE)),"",(VLOOKUP($B126,'B-1 Site Hedge Baseline'!$B$1:$L$257,3,FALSE))))</f>
        <v/>
      </c>
      <c r="D126" s="520" t="str">
        <f>IF(B126="","",IF(ISNA(VLOOKUP($B126,'B-1 Site Hedge Baseline'!$B$1:$L$257,4,FALSE)),"",(VLOOKUP($B126,'B-1 Site Hedge Baseline'!$B$1:$L$257,4,FALSE))))</f>
        <v/>
      </c>
      <c r="E126" s="520" t="str">
        <f>IF(B126="","",IF(ISNA(VLOOKUP($B126,'B-1 Site Hedge Baseline'!$B$1:$L$257,5,FALSE)),"",(VLOOKUP($B126,'B-1 Site Hedge Baseline'!$B$1:$L$257,5,FALSE))))</f>
        <v/>
      </c>
      <c r="F126" s="520" t="str">
        <f>IF(B126="","",IF(ISNA(VLOOKUP($B126,'B-1 Site Hedge Baseline'!$B$1:$L$257,6,FALSE)),"",(VLOOKUP($B126,'B-1 Site Hedge Baseline'!$B$1:$L$257,6,FALSE))))</f>
        <v/>
      </c>
      <c r="G126" s="520" t="str">
        <f>IF(B126="","",IF(ISNA(VLOOKUP($B126,'B-1 Site Hedge Baseline'!$B$1:$L$257,7,FALSE)),"",(VLOOKUP($B126,'B-1 Site Hedge Baseline'!$B$1:$L$257,7,FALSE))))</f>
        <v/>
      </c>
      <c r="H126" s="520" t="str">
        <f>IF(B126="","",IF(ISNA(VLOOKUP($B126,'B-1 Site Hedge Baseline'!$B$1:$L$257,8,FALSE)),"",(VLOOKUP($B126,'B-1 Site Hedge Baseline'!$B$1:$L$257,8,FALSE))))</f>
        <v/>
      </c>
      <c r="I126" s="520" t="str">
        <f>IF(B126="","",IF(ISNA(VLOOKUP($B126,'B-1 Site Hedge Baseline'!$B$1:$L$257,10,FALSE)),"",(VLOOKUP($B126,'B-1 Site Hedge Baseline'!$B$1:$L$257,10,FALSE))))</f>
        <v/>
      </c>
      <c r="J126" s="520" t="str">
        <f>IF(B126="","",IF(ISNA(VLOOKUP($B126,'B-1 Site Hedge Baseline'!$B$1:$L$257,11,FALSE)),"",(VLOOKUP($B126,'B-1 Site Hedge Baseline'!$B$1:$L$257,11,FALSE))))</f>
        <v/>
      </c>
      <c r="K126" s="520" t="str">
        <f>IF(B126="","",IF(ISNA(VLOOKUP($B126,'B-1 Site Hedge Baseline'!$B$1:$U$257,13,FALSE)),"",(VLOOKUP($B126,'B-1 Site Hedge Baseline'!$B$1:$U$257,13,FALSE))))</f>
        <v/>
      </c>
      <c r="L126" s="524" t="str">
        <f>IF(B126="","",IF(ISNA(VLOOKUP($B126,'B-1 Site Hedge Baseline'!$B$1:$U$257,12,FALSE)),"",(VLOOKUP($B126,'B-1 Site Hedge Baseline'!$B$1:$U$257,12,FALSE))))</f>
        <v/>
      </c>
      <c r="M126" s="416" t="str">
        <f t="shared" si="15"/>
        <v/>
      </c>
      <c r="N126" s="498" t="str">
        <f>IFERROR(IF(B126="","",INDEX('G-6 Hedgerow Data'!$AN$3:$AZ$15,MATCH(C126,'G-6 Hedgerow Data'!$AM$3:$AM$15,0),MATCH(M126,'G-6 Hedgerow Data'!$AN$2:$AZ$2,0))),"")</f>
        <v/>
      </c>
      <c r="O126" s="499" t="str">
        <f t="shared" si="10"/>
        <v/>
      </c>
      <c r="P126" s="559" t="str">
        <f>IF(B126="","",VLOOKUP(B126,'B-1 Site Hedge Baseline'!$B$10:T371,16,FALSE))</f>
        <v/>
      </c>
      <c r="Q126" s="498" t="str">
        <f>IF(M126="","",VLOOKUP(M126,'G-6 Hedgerow Data'!$B$2:$AG$15,2,FALSE))</f>
        <v/>
      </c>
      <c r="R126" s="499" t="str">
        <f>IF(M126="","",VLOOKUP(M126,'G-6 Hedgerow Data'!$B$2:$AG$15,3,FALSE))</f>
        <v/>
      </c>
      <c r="S126" s="157"/>
      <c r="T126" s="540" t="str">
        <f>IFERROR(VLOOKUP(S126,'G-1 All Habitats'!$Z$2:$AA$9,2,FALSE),"")</f>
        <v/>
      </c>
      <c r="U126" s="154"/>
      <c r="V126" s="520" t="str">
        <f>IF(U126="","",IF(VLOOKUP(U126,'G-3 Multipliers'!$L$3:$N$6,2,FALSE)=0,"Spatial Data Missing ⚠",VLOOKUP(U126,'G-3 Multipliers'!$L$3:$N$6,2,FALSE)))</f>
        <v/>
      </c>
      <c r="W126" s="524" t="str">
        <f>IF(U126="","",IF(VLOOKUP(U126,'G-3 Multipliers'!$L$3:$N$6,3,FALSE)=0,"Spatial Data Missing ⚠",VLOOKUP(U126,'G-3 Multipliers'!$L$3:$N$6,3,FALSE)))</f>
        <v/>
      </c>
      <c r="X126" s="498" t="str">
        <f>IFERROR(IF(OR(LEFT(O126,5)="Error ▲",LEFT(N126,5)="Error ▲",T126="Error ▲"),"Check Data ⚠",IF(F126&lt;R126,INDEX('G-6 Hedgerow Data'!$S$3:$AE$14,MATCH(C126,'G-6 Hedgerow Data'!$B$3:$B$14,0),MATCH(M126,'G-6 Hedgerow Data'!$S$2:$AE$2,0)),INDEX('G-6 Hedgerow Data'!$K$3:$Q$14,MATCH(M126,'G-6 Hedgerow Data'!$B$3:$B$14,0),MATCH(O126,'G-6 Hedgerow Data'!$K$2:$Q$2,0)))),"")</f>
        <v/>
      </c>
      <c r="Y126" s="195"/>
      <c r="Z126" s="195"/>
      <c r="AA126" s="507" t="str">
        <f t="shared" si="11"/>
        <v/>
      </c>
      <c r="AB126" s="521" t="str">
        <f t="shared" si="12"/>
        <v/>
      </c>
      <c r="AC126" s="522" t="str">
        <f t="shared" si="8"/>
        <v/>
      </c>
      <c r="AD126" s="537" t="str">
        <f>IF(M126="","",VLOOKUP(M126,'G-6 Hedgerow Data'!$B$3:$AG$15,31,FALSE))</f>
        <v/>
      </c>
      <c r="AE126" s="507" t="str">
        <f t="shared" si="13"/>
        <v/>
      </c>
      <c r="AF126" s="507" t="str">
        <f t="shared" si="14"/>
        <v/>
      </c>
      <c r="AG126" s="524" t="str">
        <f>IFERROR(IF(O126="","",VLOOKUP(AD126,'G-3 Multipliers'!$P$3:$Q$6,2,FALSE)),"")</f>
        <v/>
      </c>
      <c r="AH126" s="513" t="str">
        <f t="shared" si="9"/>
        <v/>
      </c>
      <c r="AI126" s="231"/>
      <c r="AJ126" s="150"/>
      <c r="AT126" s="31" t="str">
        <f>IFERROR(INDEX('G-6 Hedgerow Data'!$BJ$3:$BJ$15,MATCH(M126,'G-6 Hedgerow Data'!$B$3:$B$15,0)),"")</f>
        <v/>
      </c>
    </row>
    <row r="127" spans="2:46" ht="14" x14ac:dyDescent="0.3">
      <c r="B127" s="531" t="str">
        <f>'B-1 Site Hedge Baseline'!AK125</f>
        <v/>
      </c>
      <c r="C127" s="520" t="str">
        <f>IF(B127="","",IF(ISNA(VLOOKUP($B127,'B-1 Site Hedge Baseline'!$B$1:$L$257,3,FALSE)),"",(VLOOKUP($B127,'B-1 Site Hedge Baseline'!$B$1:$L$257,3,FALSE))))</f>
        <v/>
      </c>
      <c r="D127" s="520" t="str">
        <f>IF(B127="","",IF(ISNA(VLOOKUP($B127,'B-1 Site Hedge Baseline'!$B$1:$L$257,4,FALSE)),"",(VLOOKUP($B127,'B-1 Site Hedge Baseline'!$B$1:$L$257,4,FALSE))))</f>
        <v/>
      </c>
      <c r="E127" s="520" t="str">
        <f>IF(B127="","",IF(ISNA(VLOOKUP($B127,'B-1 Site Hedge Baseline'!$B$1:$L$257,5,FALSE)),"",(VLOOKUP($B127,'B-1 Site Hedge Baseline'!$B$1:$L$257,5,FALSE))))</f>
        <v/>
      </c>
      <c r="F127" s="520" t="str">
        <f>IF(B127="","",IF(ISNA(VLOOKUP($B127,'B-1 Site Hedge Baseline'!$B$1:$L$257,6,FALSE)),"",(VLOOKUP($B127,'B-1 Site Hedge Baseline'!$B$1:$L$257,6,FALSE))))</f>
        <v/>
      </c>
      <c r="G127" s="520" t="str">
        <f>IF(B127="","",IF(ISNA(VLOOKUP($B127,'B-1 Site Hedge Baseline'!$B$1:$L$257,7,FALSE)),"",(VLOOKUP($B127,'B-1 Site Hedge Baseline'!$B$1:$L$257,7,FALSE))))</f>
        <v/>
      </c>
      <c r="H127" s="520" t="str">
        <f>IF(B127="","",IF(ISNA(VLOOKUP($B127,'B-1 Site Hedge Baseline'!$B$1:$L$257,8,FALSE)),"",(VLOOKUP($B127,'B-1 Site Hedge Baseline'!$B$1:$L$257,8,FALSE))))</f>
        <v/>
      </c>
      <c r="I127" s="520" t="str">
        <f>IF(B127="","",IF(ISNA(VLOOKUP($B127,'B-1 Site Hedge Baseline'!$B$1:$L$257,10,FALSE)),"",(VLOOKUP($B127,'B-1 Site Hedge Baseline'!$B$1:$L$257,10,FALSE))))</f>
        <v/>
      </c>
      <c r="J127" s="520" t="str">
        <f>IF(B127="","",IF(ISNA(VLOOKUP($B127,'B-1 Site Hedge Baseline'!$B$1:$L$257,11,FALSE)),"",(VLOOKUP($B127,'B-1 Site Hedge Baseline'!$B$1:$L$257,11,FALSE))))</f>
        <v/>
      </c>
      <c r="K127" s="520" t="str">
        <f>IF(B127="","",IF(ISNA(VLOOKUP($B127,'B-1 Site Hedge Baseline'!$B$1:$U$257,13,FALSE)),"",(VLOOKUP($B127,'B-1 Site Hedge Baseline'!$B$1:$U$257,13,FALSE))))</f>
        <v/>
      </c>
      <c r="L127" s="524" t="str">
        <f>IF(B127="","",IF(ISNA(VLOOKUP($B127,'B-1 Site Hedge Baseline'!$B$1:$U$257,12,FALSE)),"",(VLOOKUP($B127,'B-1 Site Hedge Baseline'!$B$1:$U$257,12,FALSE))))</f>
        <v/>
      </c>
      <c r="M127" s="416" t="str">
        <f t="shared" si="15"/>
        <v/>
      </c>
      <c r="N127" s="498" t="str">
        <f>IFERROR(IF(B127="","",INDEX('G-6 Hedgerow Data'!$AN$3:$AZ$15,MATCH(C127,'G-6 Hedgerow Data'!$AM$3:$AM$15,0),MATCH(M127,'G-6 Hedgerow Data'!$AN$2:$AZ$2,0))),"")</f>
        <v/>
      </c>
      <c r="O127" s="499" t="str">
        <f t="shared" si="10"/>
        <v/>
      </c>
      <c r="P127" s="559" t="str">
        <f>IF(B127="","",VLOOKUP(B127,'B-1 Site Hedge Baseline'!$B$10:T372,16,FALSE))</f>
        <v/>
      </c>
      <c r="Q127" s="498" t="str">
        <f>IF(M127="","",VLOOKUP(M127,'G-6 Hedgerow Data'!$B$2:$AG$15,2,FALSE))</f>
        <v/>
      </c>
      <c r="R127" s="499" t="str">
        <f>IF(M127="","",VLOOKUP(M127,'G-6 Hedgerow Data'!$B$2:$AG$15,3,FALSE))</f>
        <v/>
      </c>
      <c r="S127" s="157"/>
      <c r="T127" s="540" t="str">
        <f>IFERROR(VLOOKUP(S127,'G-1 All Habitats'!$Z$2:$AA$9,2,FALSE),"")</f>
        <v/>
      </c>
      <c r="U127" s="154"/>
      <c r="V127" s="520" t="str">
        <f>IF(U127="","",IF(VLOOKUP(U127,'G-3 Multipliers'!$L$3:$N$6,2,FALSE)=0,"Spatial Data Missing ⚠",VLOOKUP(U127,'G-3 Multipliers'!$L$3:$N$6,2,FALSE)))</f>
        <v/>
      </c>
      <c r="W127" s="524" t="str">
        <f>IF(U127="","",IF(VLOOKUP(U127,'G-3 Multipliers'!$L$3:$N$6,3,FALSE)=0,"Spatial Data Missing ⚠",VLOOKUP(U127,'G-3 Multipliers'!$L$3:$N$6,3,FALSE)))</f>
        <v/>
      </c>
      <c r="X127" s="498" t="str">
        <f>IFERROR(IF(OR(LEFT(O127,5)="Error ▲",LEFT(N127,5)="Error ▲",T127="Error ▲"),"Check Data ⚠",IF(F127&lt;R127,INDEX('G-6 Hedgerow Data'!$S$3:$AE$14,MATCH(C127,'G-6 Hedgerow Data'!$B$3:$B$14,0),MATCH(M127,'G-6 Hedgerow Data'!$S$2:$AE$2,0)),INDEX('G-6 Hedgerow Data'!$K$3:$Q$14,MATCH(M127,'G-6 Hedgerow Data'!$B$3:$B$14,0),MATCH(O127,'G-6 Hedgerow Data'!$K$2:$Q$2,0)))),"")</f>
        <v/>
      </c>
      <c r="Y127" s="195"/>
      <c r="Z127" s="195"/>
      <c r="AA127" s="507" t="str">
        <f t="shared" si="11"/>
        <v/>
      </c>
      <c r="AB127" s="521" t="str">
        <f t="shared" si="12"/>
        <v/>
      </c>
      <c r="AC127" s="522" t="str">
        <f t="shared" si="8"/>
        <v/>
      </c>
      <c r="AD127" s="537" t="str">
        <f>IF(M127="","",VLOOKUP(M127,'G-6 Hedgerow Data'!$B$3:$AG$15,31,FALSE))</f>
        <v/>
      </c>
      <c r="AE127" s="507" t="str">
        <f t="shared" si="13"/>
        <v/>
      </c>
      <c r="AF127" s="507" t="str">
        <f t="shared" si="14"/>
        <v/>
      </c>
      <c r="AG127" s="524" t="str">
        <f>IFERROR(IF(O127="","",VLOOKUP(AD127,'G-3 Multipliers'!$P$3:$Q$6,2,FALSE)),"")</f>
        <v/>
      </c>
      <c r="AH127" s="513" t="str">
        <f t="shared" si="9"/>
        <v/>
      </c>
      <c r="AI127" s="231"/>
      <c r="AJ127" s="150"/>
      <c r="AT127" s="31" t="str">
        <f>IFERROR(INDEX('G-6 Hedgerow Data'!$BJ$3:$BJ$15,MATCH(M127,'G-6 Hedgerow Data'!$B$3:$B$15,0)),"")</f>
        <v/>
      </c>
    </row>
    <row r="128" spans="2:46" ht="14" x14ac:dyDescent="0.3">
      <c r="B128" s="531" t="str">
        <f>'B-1 Site Hedge Baseline'!AK126</f>
        <v/>
      </c>
      <c r="C128" s="520" t="str">
        <f>IF(B128="","",IF(ISNA(VLOOKUP($B128,'B-1 Site Hedge Baseline'!$B$1:$L$257,3,FALSE)),"",(VLOOKUP($B128,'B-1 Site Hedge Baseline'!$B$1:$L$257,3,FALSE))))</f>
        <v/>
      </c>
      <c r="D128" s="520" t="str">
        <f>IF(B128="","",IF(ISNA(VLOOKUP($B128,'B-1 Site Hedge Baseline'!$B$1:$L$257,4,FALSE)),"",(VLOOKUP($B128,'B-1 Site Hedge Baseline'!$B$1:$L$257,4,FALSE))))</f>
        <v/>
      </c>
      <c r="E128" s="520" t="str">
        <f>IF(B128="","",IF(ISNA(VLOOKUP($B128,'B-1 Site Hedge Baseline'!$B$1:$L$257,5,FALSE)),"",(VLOOKUP($B128,'B-1 Site Hedge Baseline'!$B$1:$L$257,5,FALSE))))</f>
        <v/>
      </c>
      <c r="F128" s="520" t="str">
        <f>IF(B128="","",IF(ISNA(VLOOKUP($B128,'B-1 Site Hedge Baseline'!$B$1:$L$257,6,FALSE)),"",(VLOOKUP($B128,'B-1 Site Hedge Baseline'!$B$1:$L$257,6,FALSE))))</f>
        <v/>
      </c>
      <c r="G128" s="520" t="str">
        <f>IF(B128="","",IF(ISNA(VLOOKUP($B128,'B-1 Site Hedge Baseline'!$B$1:$L$257,7,FALSE)),"",(VLOOKUP($B128,'B-1 Site Hedge Baseline'!$B$1:$L$257,7,FALSE))))</f>
        <v/>
      </c>
      <c r="H128" s="520" t="str">
        <f>IF(B128="","",IF(ISNA(VLOOKUP($B128,'B-1 Site Hedge Baseline'!$B$1:$L$257,8,FALSE)),"",(VLOOKUP($B128,'B-1 Site Hedge Baseline'!$B$1:$L$257,8,FALSE))))</f>
        <v/>
      </c>
      <c r="I128" s="520" t="str">
        <f>IF(B128="","",IF(ISNA(VLOOKUP($B128,'B-1 Site Hedge Baseline'!$B$1:$L$257,10,FALSE)),"",(VLOOKUP($B128,'B-1 Site Hedge Baseline'!$B$1:$L$257,10,FALSE))))</f>
        <v/>
      </c>
      <c r="J128" s="520" t="str">
        <f>IF(B128="","",IF(ISNA(VLOOKUP($B128,'B-1 Site Hedge Baseline'!$B$1:$L$257,11,FALSE)),"",(VLOOKUP($B128,'B-1 Site Hedge Baseline'!$B$1:$L$257,11,FALSE))))</f>
        <v/>
      </c>
      <c r="K128" s="520" t="str">
        <f>IF(B128="","",IF(ISNA(VLOOKUP($B128,'B-1 Site Hedge Baseline'!$B$1:$U$257,13,FALSE)),"",(VLOOKUP($B128,'B-1 Site Hedge Baseline'!$B$1:$U$257,13,FALSE))))</f>
        <v/>
      </c>
      <c r="L128" s="524" t="str">
        <f>IF(B128="","",IF(ISNA(VLOOKUP($B128,'B-1 Site Hedge Baseline'!$B$1:$U$257,12,FALSE)),"",(VLOOKUP($B128,'B-1 Site Hedge Baseline'!$B$1:$U$257,12,FALSE))))</f>
        <v/>
      </c>
      <c r="M128" s="416" t="str">
        <f t="shared" si="15"/>
        <v/>
      </c>
      <c r="N128" s="498" t="str">
        <f>IFERROR(IF(B128="","",INDEX('G-6 Hedgerow Data'!$AN$3:$AZ$15,MATCH(C128,'G-6 Hedgerow Data'!$AM$3:$AM$15,0),MATCH(M128,'G-6 Hedgerow Data'!$AN$2:$AZ$2,0))),"")</f>
        <v/>
      </c>
      <c r="O128" s="499" t="str">
        <f t="shared" si="10"/>
        <v/>
      </c>
      <c r="P128" s="559" t="str">
        <f>IF(B128="","",VLOOKUP(B128,'B-1 Site Hedge Baseline'!$B$10:T373,16,FALSE))</f>
        <v/>
      </c>
      <c r="Q128" s="498" t="str">
        <f>IF(M128="","",VLOOKUP(M128,'G-6 Hedgerow Data'!$B$2:$AG$15,2,FALSE))</f>
        <v/>
      </c>
      <c r="R128" s="499" t="str">
        <f>IF(M128="","",VLOOKUP(M128,'G-6 Hedgerow Data'!$B$2:$AG$15,3,FALSE))</f>
        <v/>
      </c>
      <c r="S128" s="157"/>
      <c r="T128" s="540" t="str">
        <f>IFERROR(VLOOKUP(S128,'G-1 All Habitats'!$Z$2:$AA$9,2,FALSE),"")</f>
        <v/>
      </c>
      <c r="U128" s="154"/>
      <c r="V128" s="520" t="str">
        <f>IF(U128="","",IF(VLOOKUP(U128,'G-3 Multipliers'!$L$3:$N$6,2,FALSE)=0,"Spatial Data Missing ⚠",VLOOKUP(U128,'G-3 Multipliers'!$L$3:$N$6,2,FALSE)))</f>
        <v/>
      </c>
      <c r="W128" s="524" t="str">
        <f>IF(U128="","",IF(VLOOKUP(U128,'G-3 Multipliers'!$L$3:$N$6,3,FALSE)=0,"Spatial Data Missing ⚠",VLOOKUP(U128,'G-3 Multipliers'!$L$3:$N$6,3,FALSE)))</f>
        <v/>
      </c>
      <c r="X128" s="498" t="str">
        <f>IFERROR(IF(OR(LEFT(O128,5)="Error ▲",LEFT(N128,5)="Error ▲",T128="Error ▲"),"Check Data ⚠",IF(F128&lt;R128,INDEX('G-6 Hedgerow Data'!$S$3:$AE$14,MATCH(C128,'G-6 Hedgerow Data'!$B$3:$B$14,0),MATCH(M128,'G-6 Hedgerow Data'!$S$2:$AE$2,0)),INDEX('G-6 Hedgerow Data'!$K$3:$Q$14,MATCH(M128,'G-6 Hedgerow Data'!$B$3:$B$14,0),MATCH(O128,'G-6 Hedgerow Data'!$K$2:$Q$2,0)))),"")</f>
        <v/>
      </c>
      <c r="Y128" s="195"/>
      <c r="Z128" s="195"/>
      <c r="AA128" s="507" t="str">
        <f t="shared" si="11"/>
        <v/>
      </c>
      <c r="AB128" s="521" t="str">
        <f t="shared" si="12"/>
        <v/>
      </c>
      <c r="AC128" s="522" t="str">
        <f t="shared" si="8"/>
        <v/>
      </c>
      <c r="AD128" s="537" t="str">
        <f>IF(M128="","",VLOOKUP(M128,'G-6 Hedgerow Data'!$B$3:$AG$15,31,FALSE))</f>
        <v/>
      </c>
      <c r="AE128" s="507" t="str">
        <f t="shared" si="13"/>
        <v/>
      </c>
      <c r="AF128" s="507" t="str">
        <f t="shared" si="14"/>
        <v/>
      </c>
      <c r="AG128" s="524" t="str">
        <f>IFERROR(IF(O128="","",VLOOKUP(AD128,'G-3 Multipliers'!$P$3:$Q$6,2,FALSE)),"")</f>
        <v/>
      </c>
      <c r="AH128" s="513" t="str">
        <f t="shared" si="9"/>
        <v/>
      </c>
      <c r="AI128" s="231"/>
      <c r="AJ128" s="150"/>
      <c r="AT128" s="31" t="str">
        <f>IFERROR(INDEX('G-6 Hedgerow Data'!$BJ$3:$BJ$15,MATCH(M128,'G-6 Hedgerow Data'!$B$3:$B$15,0)),"")</f>
        <v/>
      </c>
    </row>
    <row r="129" spans="2:46" ht="14" x14ac:dyDescent="0.3">
      <c r="B129" s="531" t="str">
        <f>'B-1 Site Hedge Baseline'!AK127</f>
        <v/>
      </c>
      <c r="C129" s="520" t="str">
        <f>IF(B129="","",IF(ISNA(VLOOKUP($B129,'B-1 Site Hedge Baseline'!$B$1:$L$257,3,FALSE)),"",(VLOOKUP($B129,'B-1 Site Hedge Baseline'!$B$1:$L$257,3,FALSE))))</f>
        <v/>
      </c>
      <c r="D129" s="520" t="str">
        <f>IF(B129="","",IF(ISNA(VLOOKUP($B129,'B-1 Site Hedge Baseline'!$B$1:$L$257,4,FALSE)),"",(VLOOKUP($B129,'B-1 Site Hedge Baseline'!$B$1:$L$257,4,FALSE))))</f>
        <v/>
      </c>
      <c r="E129" s="520" t="str">
        <f>IF(B129="","",IF(ISNA(VLOOKUP($B129,'B-1 Site Hedge Baseline'!$B$1:$L$257,5,FALSE)),"",(VLOOKUP($B129,'B-1 Site Hedge Baseline'!$B$1:$L$257,5,FALSE))))</f>
        <v/>
      </c>
      <c r="F129" s="520" t="str">
        <f>IF(B129="","",IF(ISNA(VLOOKUP($B129,'B-1 Site Hedge Baseline'!$B$1:$L$257,6,FALSE)),"",(VLOOKUP($B129,'B-1 Site Hedge Baseline'!$B$1:$L$257,6,FALSE))))</f>
        <v/>
      </c>
      <c r="G129" s="520" t="str">
        <f>IF(B129="","",IF(ISNA(VLOOKUP($B129,'B-1 Site Hedge Baseline'!$B$1:$L$257,7,FALSE)),"",(VLOOKUP($B129,'B-1 Site Hedge Baseline'!$B$1:$L$257,7,FALSE))))</f>
        <v/>
      </c>
      <c r="H129" s="520" t="str">
        <f>IF(B129="","",IF(ISNA(VLOOKUP($B129,'B-1 Site Hedge Baseline'!$B$1:$L$257,8,FALSE)),"",(VLOOKUP($B129,'B-1 Site Hedge Baseline'!$B$1:$L$257,8,FALSE))))</f>
        <v/>
      </c>
      <c r="I129" s="520" t="str">
        <f>IF(B129="","",IF(ISNA(VLOOKUP($B129,'B-1 Site Hedge Baseline'!$B$1:$L$257,10,FALSE)),"",(VLOOKUP($B129,'B-1 Site Hedge Baseline'!$B$1:$L$257,10,FALSE))))</f>
        <v/>
      </c>
      <c r="J129" s="520" t="str">
        <f>IF(B129="","",IF(ISNA(VLOOKUP($B129,'B-1 Site Hedge Baseline'!$B$1:$L$257,11,FALSE)),"",(VLOOKUP($B129,'B-1 Site Hedge Baseline'!$B$1:$L$257,11,FALSE))))</f>
        <v/>
      </c>
      <c r="K129" s="520" t="str">
        <f>IF(B129="","",IF(ISNA(VLOOKUP($B129,'B-1 Site Hedge Baseline'!$B$1:$U$257,13,FALSE)),"",(VLOOKUP($B129,'B-1 Site Hedge Baseline'!$B$1:$U$257,13,FALSE))))</f>
        <v/>
      </c>
      <c r="L129" s="524" t="str">
        <f>IF(B129="","",IF(ISNA(VLOOKUP($B129,'B-1 Site Hedge Baseline'!$B$1:$U$257,12,FALSE)),"",(VLOOKUP($B129,'B-1 Site Hedge Baseline'!$B$1:$U$257,12,FALSE))))</f>
        <v/>
      </c>
      <c r="M129" s="416" t="str">
        <f t="shared" si="15"/>
        <v/>
      </c>
      <c r="N129" s="498" t="str">
        <f>IFERROR(IF(B129="","",INDEX('G-6 Hedgerow Data'!$AN$3:$AZ$15,MATCH(C129,'G-6 Hedgerow Data'!$AM$3:$AM$15,0),MATCH(M129,'G-6 Hedgerow Data'!$AN$2:$AZ$2,0))),"")</f>
        <v/>
      </c>
      <c r="O129" s="499" t="str">
        <f t="shared" si="10"/>
        <v/>
      </c>
      <c r="P129" s="559" t="str">
        <f>IF(B129="","",VLOOKUP(B129,'B-1 Site Hedge Baseline'!$B$10:T374,16,FALSE))</f>
        <v/>
      </c>
      <c r="Q129" s="498" t="str">
        <f>IF(M129="","",VLOOKUP(M129,'G-6 Hedgerow Data'!$B$2:$AG$15,2,FALSE))</f>
        <v/>
      </c>
      <c r="R129" s="499" t="str">
        <f>IF(M129="","",VLOOKUP(M129,'G-6 Hedgerow Data'!$B$2:$AG$15,3,FALSE))</f>
        <v/>
      </c>
      <c r="S129" s="157"/>
      <c r="T129" s="540" t="str">
        <f>IFERROR(VLOOKUP(S129,'G-1 All Habitats'!$Z$2:$AA$9,2,FALSE),"")</f>
        <v/>
      </c>
      <c r="U129" s="154"/>
      <c r="V129" s="520" t="str">
        <f>IF(U129="","",IF(VLOOKUP(U129,'G-3 Multipliers'!$L$3:$N$6,2,FALSE)=0,"Spatial Data Missing ⚠",VLOOKUP(U129,'G-3 Multipliers'!$L$3:$N$6,2,FALSE)))</f>
        <v/>
      </c>
      <c r="W129" s="524" t="str">
        <f>IF(U129="","",IF(VLOOKUP(U129,'G-3 Multipliers'!$L$3:$N$6,3,FALSE)=0,"Spatial Data Missing ⚠",VLOOKUP(U129,'G-3 Multipliers'!$L$3:$N$6,3,FALSE)))</f>
        <v/>
      </c>
      <c r="X129" s="498" t="str">
        <f>IFERROR(IF(OR(LEFT(O129,5)="Error ▲",LEFT(N129,5)="Error ▲",T129="Error ▲"),"Check Data ⚠",IF(F129&lt;R129,INDEX('G-6 Hedgerow Data'!$S$3:$AE$14,MATCH(C129,'G-6 Hedgerow Data'!$B$3:$B$14,0),MATCH(M129,'G-6 Hedgerow Data'!$S$2:$AE$2,0)),INDEX('G-6 Hedgerow Data'!$K$3:$Q$14,MATCH(M129,'G-6 Hedgerow Data'!$B$3:$B$14,0),MATCH(O129,'G-6 Hedgerow Data'!$K$2:$Q$2,0)))),"")</f>
        <v/>
      </c>
      <c r="Y129" s="195"/>
      <c r="Z129" s="195"/>
      <c r="AA129" s="507" t="str">
        <f t="shared" si="11"/>
        <v/>
      </c>
      <c r="AB129" s="521" t="str">
        <f t="shared" si="12"/>
        <v/>
      </c>
      <c r="AC129" s="522" t="str">
        <f t="shared" si="8"/>
        <v/>
      </c>
      <c r="AD129" s="537" t="str">
        <f>IF(M129="","",VLOOKUP(M129,'G-6 Hedgerow Data'!$B$3:$AG$15,31,FALSE))</f>
        <v/>
      </c>
      <c r="AE129" s="507" t="str">
        <f t="shared" si="13"/>
        <v/>
      </c>
      <c r="AF129" s="507" t="str">
        <f t="shared" si="14"/>
        <v/>
      </c>
      <c r="AG129" s="524" t="str">
        <f>IFERROR(IF(O129="","",VLOOKUP(AD129,'G-3 Multipliers'!$P$3:$Q$6,2,FALSE)),"")</f>
        <v/>
      </c>
      <c r="AH129" s="513" t="str">
        <f t="shared" si="9"/>
        <v/>
      </c>
      <c r="AI129" s="231"/>
      <c r="AJ129" s="150"/>
      <c r="AT129" s="31" t="str">
        <f>IFERROR(INDEX('G-6 Hedgerow Data'!$BJ$3:$BJ$15,MATCH(M129,'G-6 Hedgerow Data'!$B$3:$B$15,0)),"")</f>
        <v/>
      </c>
    </row>
    <row r="130" spans="2:46" ht="14" x14ac:dyDescent="0.3">
      <c r="B130" s="531" t="str">
        <f>'B-1 Site Hedge Baseline'!AK128</f>
        <v/>
      </c>
      <c r="C130" s="520" t="str">
        <f>IF(B130="","",IF(ISNA(VLOOKUP($B130,'B-1 Site Hedge Baseline'!$B$1:$L$257,3,FALSE)),"",(VLOOKUP($B130,'B-1 Site Hedge Baseline'!$B$1:$L$257,3,FALSE))))</f>
        <v/>
      </c>
      <c r="D130" s="520" t="str">
        <f>IF(B130="","",IF(ISNA(VLOOKUP($B130,'B-1 Site Hedge Baseline'!$B$1:$L$257,4,FALSE)),"",(VLOOKUP($B130,'B-1 Site Hedge Baseline'!$B$1:$L$257,4,FALSE))))</f>
        <v/>
      </c>
      <c r="E130" s="520" t="str">
        <f>IF(B130="","",IF(ISNA(VLOOKUP($B130,'B-1 Site Hedge Baseline'!$B$1:$L$257,5,FALSE)),"",(VLOOKUP($B130,'B-1 Site Hedge Baseline'!$B$1:$L$257,5,FALSE))))</f>
        <v/>
      </c>
      <c r="F130" s="520" t="str">
        <f>IF(B130="","",IF(ISNA(VLOOKUP($B130,'B-1 Site Hedge Baseline'!$B$1:$L$257,6,FALSE)),"",(VLOOKUP($B130,'B-1 Site Hedge Baseline'!$B$1:$L$257,6,FALSE))))</f>
        <v/>
      </c>
      <c r="G130" s="520" t="str">
        <f>IF(B130="","",IF(ISNA(VLOOKUP($B130,'B-1 Site Hedge Baseline'!$B$1:$L$257,7,FALSE)),"",(VLOOKUP($B130,'B-1 Site Hedge Baseline'!$B$1:$L$257,7,FALSE))))</f>
        <v/>
      </c>
      <c r="H130" s="520" t="str">
        <f>IF(B130="","",IF(ISNA(VLOOKUP($B130,'B-1 Site Hedge Baseline'!$B$1:$L$257,8,FALSE)),"",(VLOOKUP($B130,'B-1 Site Hedge Baseline'!$B$1:$L$257,8,FALSE))))</f>
        <v/>
      </c>
      <c r="I130" s="520" t="str">
        <f>IF(B130="","",IF(ISNA(VLOOKUP($B130,'B-1 Site Hedge Baseline'!$B$1:$L$257,10,FALSE)),"",(VLOOKUP($B130,'B-1 Site Hedge Baseline'!$B$1:$L$257,10,FALSE))))</f>
        <v/>
      </c>
      <c r="J130" s="520" t="str">
        <f>IF(B130="","",IF(ISNA(VLOOKUP($B130,'B-1 Site Hedge Baseline'!$B$1:$L$257,11,FALSE)),"",(VLOOKUP($B130,'B-1 Site Hedge Baseline'!$B$1:$L$257,11,FALSE))))</f>
        <v/>
      </c>
      <c r="K130" s="520" t="str">
        <f>IF(B130="","",IF(ISNA(VLOOKUP($B130,'B-1 Site Hedge Baseline'!$B$1:$U$257,13,FALSE)),"",(VLOOKUP($B130,'B-1 Site Hedge Baseline'!$B$1:$U$257,13,FALSE))))</f>
        <v/>
      </c>
      <c r="L130" s="524" t="str">
        <f>IF(B130="","",IF(ISNA(VLOOKUP($B130,'B-1 Site Hedge Baseline'!$B$1:$U$257,12,FALSE)),"",(VLOOKUP($B130,'B-1 Site Hedge Baseline'!$B$1:$U$257,12,FALSE))))</f>
        <v/>
      </c>
      <c r="M130" s="416" t="str">
        <f t="shared" si="15"/>
        <v/>
      </c>
      <c r="N130" s="498" t="str">
        <f>IFERROR(IF(B130="","",INDEX('G-6 Hedgerow Data'!$AN$3:$AZ$15,MATCH(C130,'G-6 Hedgerow Data'!$AM$3:$AM$15,0),MATCH(M130,'G-6 Hedgerow Data'!$AN$2:$AZ$2,0))),"")</f>
        <v/>
      </c>
      <c r="O130" s="499" t="str">
        <f t="shared" si="10"/>
        <v/>
      </c>
      <c r="P130" s="559" t="str">
        <f>IF(B130="","",VLOOKUP(B130,'B-1 Site Hedge Baseline'!$B$10:T375,16,FALSE))</f>
        <v/>
      </c>
      <c r="Q130" s="498" t="str">
        <f>IF(M130="","",VLOOKUP(M130,'G-6 Hedgerow Data'!$B$2:$AG$15,2,FALSE))</f>
        <v/>
      </c>
      <c r="R130" s="499" t="str">
        <f>IF(M130="","",VLOOKUP(M130,'G-6 Hedgerow Data'!$B$2:$AG$15,3,FALSE))</f>
        <v/>
      </c>
      <c r="S130" s="157"/>
      <c r="T130" s="540" t="str">
        <f>IFERROR(VLOOKUP(S130,'G-1 All Habitats'!$Z$2:$AA$9,2,FALSE),"")</f>
        <v/>
      </c>
      <c r="U130" s="154"/>
      <c r="V130" s="520" t="str">
        <f>IF(U130="","",IF(VLOOKUP(U130,'G-3 Multipliers'!$L$3:$N$6,2,FALSE)=0,"Spatial Data Missing ⚠",VLOOKUP(U130,'G-3 Multipliers'!$L$3:$N$6,2,FALSE)))</f>
        <v/>
      </c>
      <c r="W130" s="524" t="str">
        <f>IF(U130="","",IF(VLOOKUP(U130,'G-3 Multipliers'!$L$3:$N$6,3,FALSE)=0,"Spatial Data Missing ⚠",VLOOKUP(U130,'G-3 Multipliers'!$L$3:$N$6,3,FALSE)))</f>
        <v/>
      </c>
      <c r="X130" s="498" t="str">
        <f>IFERROR(IF(OR(LEFT(O130,5)="Error ▲",LEFT(N130,5)="Error ▲",T130="Error ▲"),"Check Data ⚠",IF(F130&lt;R130,INDEX('G-6 Hedgerow Data'!$S$3:$AE$14,MATCH(C130,'G-6 Hedgerow Data'!$B$3:$B$14,0),MATCH(M130,'G-6 Hedgerow Data'!$S$2:$AE$2,0)),INDEX('G-6 Hedgerow Data'!$K$3:$Q$14,MATCH(M130,'G-6 Hedgerow Data'!$B$3:$B$14,0),MATCH(O130,'G-6 Hedgerow Data'!$K$2:$Q$2,0)))),"")</f>
        <v/>
      </c>
      <c r="Y130" s="195"/>
      <c r="Z130" s="195"/>
      <c r="AA130" s="507" t="str">
        <f t="shared" si="11"/>
        <v/>
      </c>
      <c r="AB130" s="521" t="str">
        <f t="shared" si="12"/>
        <v/>
      </c>
      <c r="AC130" s="522" t="str">
        <f t="shared" si="8"/>
        <v/>
      </c>
      <c r="AD130" s="537" t="str">
        <f>IF(M130="","",VLOOKUP(M130,'G-6 Hedgerow Data'!$B$3:$AG$15,31,FALSE))</f>
        <v/>
      </c>
      <c r="AE130" s="507" t="str">
        <f t="shared" si="13"/>
        <v/>
      </c>
      <c r="AF130" s="507" t="str">
        <f t="shared" si="14"/>
        <v/>
      </c>
      <c r="AG130" s="524" t="str">
        <f>IFERROR(IF(O130="","",VLOOKUP(AD130,'G-3 Multipliers'!$P$3:$Q$6,2,FALSE)),"")</f>
        <v/>
      </c>
      <c r="AH130" s="513" t="str">
        <f t="shared" si="9"/>
        <v/>
      </c>
      <c r="AI130" s="231"/>
      <c r="AJ130" s="150"/>
      <c r="AT130" s="31" t="str">
        <f>IFERROR(INDEX('G-6 Hedgerow Data'!$BJ$3:$BJ$15,MATCH(M130,'G-6 Hedgerow Data'!$B$3:$B$15,0)),"")</f>
        <v/>
      </c>
    </row>
    <row r="131" spans="2:46" ht="14" x14ac:dyDescent="0.3">
      <c r="B131" s="531" t="str">
        <f>'B-1 Site Hedge Baseline'!AK129</f>
        <v/>
      </c>
      <c r="C131" s="520" t="str">
        <f>IF(B131="","",IF(ISNA(VLOOKUP($B131,'B-1 Site Hedge Baseline'!$B$1:$L$257,3,FALSE)),"",(VLOOKUP($B131,'B-1 Site Hedge Baseline'!$B$1:$L$257,3,FALSE))))</f>
        <v/>
      </c>
      <c r="D131" s="520" t="str">
        <f>IF(B131="","",IF(ISNA(VLOOKUP($B131,'B-1 Site Hedge Baseline'!$B$1:$L$257,4,FALSE)),"",(VLOOKUP($B131,'B-1 Site Hedge Baseline'!$B$1:$L$257,4,FALSE))))</f>
        <v/>
      </c>
      <c r="E131" s="520" t="str">
        <f>IF(B131="","",IF(ISNA(VLOOKUP($B131,'B-1 Site Hedge Baseline'!$B$1:$L$257,5,FALSE)),"",(VLOOKUP($B131,'B-1 Site Hedge Baseline'!$B$1:$L$257,5,FALSE))))</f>
        <v/>
      </c>
      <c r="F131" s="520" t="str">
        <f>IF(B131="","",IF(ISNA(VLOOKUP($B131,'B-1 Site Hedge Baseline'!$B$1:$L$257,6,FALSE)),"",(VLOOKUP($B131,'B-1 Site Hedge Baseline'!$B$1:$L$257,6,FALSE))))</f>
        <v/>
      </c>
      <c r="G131" s="520" t="str">
        <f>IF(B131="","",IF(ISNA(VLOOKUP($B131,'B-1 Site Hedge Baseline'!$B$1:$L$257,7,FALSE)),"",(VLOOKUP($B131,'B-1 Site Hedge Baseline'!$B$1:$L$257,7,FALSE))))</f>
        <v/>
      </c>
      <c r="H131" s="520" t="str">
        <f>IF(B131="","",IF(ISNA(VLOOKUP($B131,'B-1 Site Hedge Baseline'!$B$1:$L$257,8,FALSE)),"",(VLOOKUP($B131,'B-1 Site Hedge Baseline'!$B$1:$L$257,8,FALSE))))</f>
        <v/>
      </c>
      <c r="I131" s="520" t="str">
        <f>IF(B131="","",IF(ISNA(VLOOKUP($B131,'B-1 Site Hedge Baseline'!$B$1:$L$257,10,FALSE)),"",(VLOOKUP($B131,'B-1 Site Hedge Baseline'!$B$1:$L$257,10,FALSE))))</f>
        <v/>
      </c>
      <c r="J131" s="520" t="str">
        <f>IF(B131="","",IF(ISNA(VLOOKUP($B131,'B-1 Site Hedge Baseline'!$B$1:$L$257,11,FALSE)),"",(VLOOKUP($B131,'B-1 Site Hedge Baseline'!$B$1:$L$257,11,FALSE))))</f>
        <v/>
      </c>
      <c r="K131" s="520" t="str">
        <f>IF(B131="","",IF(ISNA(VLOOKUP($B131,'B-1 Site Hedge Baseline'!$B$1:$U$257,13,FALSE)),"",(VLOOKUP($B131,'B-1 Site Hedge Baseline'!$B$1:$U$257,13,FALSE))))</f>
        <v/>
      </c>
      <c r="L131" s="524" t="str">
        <f>IF(B131="","",IF(ISNA(VLOOKUP($B131,'B-1 Site Hedge Baseline'!$B$1:$U$257,12,FALSE)),"",(VLOOKUP($B131,'B-1 Site Hedge Baseline'!$B$1:$U$257,12,FALSE))))</f>
        <v/>
      </c>
      <c r="M131" s="416" t="str">
        <f t="shared" si="15"/>
        <v/>
      </c>
      <c r="N131" s="498" t="str">
        <f>IFERROR(IF(B131="","",INDEX('G-6 Hedgerow Data'!$AN$3:$AZ$15,MATCH(C131,'G-6 Hedgerow Data'!$AM$3:$AM$15,0),MATCH(M131,'G-6 Hedgerow Data'!$AN$2:$AZ$2,0))),"")</f>
        <v/>
      </c>
      <c r="O131" s="499" t="str">
        <f t="shared" si="10"/>
        <v/>
      </c>
      <c r="P131" s="559" t="str">
        <f>IF(B131="","",VLOOKUP(B131,'B-1 Site Hedge Baseline'!$B$10:T376,16,FALSE))</f>
        <v/>
      </c>
      <c r="Q131" s="498" t="str">
        <f>IF(M131="","",VLOOKUP(M131,'G-6 Hedgerow Data'!$B$2:$AG$15,2,FALSE))</f>
        <v/>
      </c>
      <c r="R131" s="499" t="str">
        <f>IF(M131="","",VLOOKUP(M131,'G-6 Hedgerow Data'!$B$2:$AG$15,3,FALSE))</f>
        <v/>
      </c>
      <c r="S131" s="157"/>
      <c r="T131" s="540" t="str">
        <f>IFERROR(VLOOKUP(S131,'G-1 All Habitats'!$Z$2:$AA$9,2,FALSE),"")</f>
        <v/>
      </c>
      <c r="U131" s="154"/>
      <c r="V131" s="520" t="str">
        <f>IF(U131="","",IF(VLOOKUP(U131,'G-3 Multipliers'!$L$3:$N$6,2,FALSE)=0,"Spatial Data Missing ⚠",VLOOKUP(U131,'G-3 Multipliers'!$L$3:$N$6,2,FALSE)))</f>
        <v/>
      </c>
      <c r="W131" s="524" t="str">
        <f>IF(U131="","",IF(VLOOKUP(U131,'G-3 Multipliers'!$L$3:$N$6,3,FALSE)=0,"Spatial Data Missing ⚠",VLOOKUP(U131,'G-3 Multipliers'!$L$3:$N$6,3,FALSE)))</f>
        <v/>
      </c>
      <c r="X131" s="498" t="str">
        <f>IFERROR(IF(OR(LEFT(O131,5)="Error ▲",LEFT(N131,5)="Error ▲",T131="Error ▲"),"Check Data ⚠",IF(F131&lt;R131,INDEX('G-6 Hedgerow Data'!$S$3:$AE$14,MATCH(C131,'G-6 Hedgerow Data'!$B$3:$B$14,0),MATCH(M131,'G-6 Hedgerow Data'!$S$2:$AE$2,0)),INDEX('G-6 Hedgerow Data'!$K$3:$Q$14,MATCH(M131,'G-6 Hedgerow Data'!$B$3:$B$14,0),MATCH(O131,'G-6 Hedgerow Data'!$K$2:$Q$2,0)))),"")</f>
        <v/>
      </c>
      <c r="Y131" s="195"/>
      <c r="Z131" s="195"/>
      <c r="AA131" s="507" t="str">
        <f t="shared" si="11"/>
        <v/>
      </c>
      <c r="AB131" s="521" t="str">
        <f t="shared" si="12"/>
        <v/>
      </c>
      <c r="AC131" s="522" t="str">
        <f t="shared" si="8"/>
        <v/>
      </c>
      <c r="AD131" s="537" t="str">
        <f>IF(M131="","",VLOOKUP(M131,'G-6 Hedgerow Data'!$B$3:$AG$15,31,FALSE))</f>
        <v/>
      </c>
      <c r="AE131" s="507" t="str">
        <f t="shared" si="13"/>
        <v/>
      </c>
      <c r="AF131" s="507" t="str">
        <f t="shared" si="14"/>
        <v/>
      </c>
      <c r="AG131" s="524" t="str">
        <f>IFERROR(IF(O131="","",VLOOKUP(AD131,'G-3 Multipliers'!$P$3:$Q$6,2,FALSE)),"")</f>
        <v/>
      </c>
      <c r="AH131" s="513" t="str">
        <f t="shared" si="9"/>
        <v/>
      </c>
      <c r="AI131" s="231"/>
      <c r="AJ131" s="150"/>
      <c r="AT131" s="31" t="str">
        <f>IFERROR(INDEX('G-6 Hedgerow Data'!$BJ$3:$BJ$15,MATCH(M131,'G-6 Hedgerow Data'!$B$3:$B$15,0)),"")</f>
        <v/>
      </c>
    </row>
    <row r="132" spans="2:46" ht="14" x14ac:dyDescent="0.3">
      <c r="B132" s="531" t="str">
        <f>'B-1 Site Hedge Baseline'!AK130</f>
        <v/>
      </c>
      <c r="C132" s="520" t="str">
        <f>IF(B132="","",IF(ISNA(VLOOKUP($B132,'B-1 Site Hedge Baseline'!$B$1:$L$257,3,FALSE)),"",(VLOOKUP($B132,'B-1 Site Hedge Baseline'!$B$1:$L$257,3,FALSE))))</f>
        <v/>
      </c>
      <c r="D132" s="520" t="str">
        <f>IF(B132="","",IF(ISNA(VLOOKUP($B132,'B-1 Site Hedge Baseline'!$B$1:$L$257,4,FALSE)),"",(VLOOKUP($B132,'B-1 Site Hedge Baseline'!$B$1:$L$257,4,FALSE))))</f>
        <v/>
      </c>
      <c r="E132" s="520" t="str">
        <f>IF(B132="","",IF(ISNA(VLOOKUP($B132,'B-1 Site Hedge Baseline'!$B$1:$L$257,5,FALSE)),"",(VLOOKUP($B132,'B-1 Site Hedge Baseline'!$B$1:$L$257,5,FALSE))))</f>
        <v/>
      </c>
      <c r="F132" s="520" t="str">
        <f>IF(B132="","",IF(ISNA(VLOOKUP($B132,'B-1 Site Hedge Baseline'!$B$1:$L$257,6,FALSE)),"",(VLOOKUP($B132,'B-1 Site Hedge Baseline'!$B$1:$L$257,6,FALSE))))</f>
        <v/>
      </c>
      <c r="G132" s="520" t="str">
        <f>IF(B132="","",IF(ISNA(VLOOKUP($B132,'B-1 Site Hedge Baseline'!$B$1:$L$257,7,FALSE)),"",(VLOOKUP($B132,'B-1 Site Hedge Baseline'!$B$1:$L$257,7,FALSE))))</f>
        <v/>
      </c>
      <c r="H132" s="520" t="str">
        <f>IF(B132="","",IF(ISNA(VLOOKUP($B132,'B-1 Site Hedge Baseline'!$B$1:$L$257,8,FALSE)),"",(VLOOKUP($B132,'B-1 Site Hedge Baseline'!$B$1:$L$257,8,FALSE))))</f>
        <v/>
      </c>
      <c r="I132" s="520" t="str">
        <f>IF(B132="","",IF(ISNA(VLOOKUP($B132,'B-1 Site Hedge Baseline'!$B$1:$L$257,10,FALSE)),"",(VLOOKUP($B132,'B-1 Site Hedge Baseline'!$B$1:$L$257,10,FALSE))))</f>
        <v/>
      </c>
      <c r="J132" s="520" t="str">
        <f>IF(B132="","",IF(ISNA(VLOOKUP($B132,'B-1 Site Hedge Baseline'!$B$1:$L$257,11,FALSE)),"",(VLOOKUP($B132,'B-1 Site Hedge Baseline'!$B$1:$L$257,11,FALSE))))</f>
        <v/>
      </c>
      <c r="K132" s="520" t="str">
        <f>IF(B132="","",IF(ISNA(VLOOKUP($B132,'B-1 Site Hedge Baseline'!$B$1:$U$257,13,FALSE)),"",(VLOOKUP($B132,'B-1 Site Hedge Baseline'!$B$1:$U$257,13,FALSE))))</f>
        <v/>
      </c>
      <c r="L132" s="524" t="str">
        <f>IF(B132="","",IF(ISNA(VLOOKUP($B132,'B-1 Site Hedge Baseline'!$B$1:$U$257,12,FALSE)),"",(VLOOKUP($B132,'B-1 Site Hedge Baseline'!$B$1:$U$257,12,FALSE))))</f>
        <v/>
      </c>
      <c r="M132" s="416" t="str">
        <f t="shared" si="15"/>
        <v/>
      </c>
      <c r="N132" s="498" t="str">
        <f>IFERROR(IF(B132="","",INDEX('G-6 Hedgerow Data'!$AN$3:$AZ$15,MATCH(C132,'G-6 Hedgerow Data'!$AM$3:$AM$15,0),MATCH(M132,'G-6 Hedgerow Data'!$AN$2:$AZ$2,0))),"")</f>
        <v/>
      </c>
      <c r="O132" s="499" t="str">
        <f t="shared" si="10"/>
        <v/>
      </c>
      <c r="P132" s="559" t="str">
        <f>IF(B132="","",VLOOKUP(B132,'B-1 Site Hedge Baseline'!$B$10:T377,16,FALSE))</f>
        <v/>
      </c>
      <c r="Q132" s="498" t="str">
        <f>IF(M132="","",VLOOKUP(M132,'G-6 Hedgerow Data'!$B$2:$AG$15,2,FALSE))</f>
        <v/>
      </c>
      <c r="R132" s="499" t="str">
        <f>IF(M132="","",VLOOKUP(M132,'G-6 Hedgerow Data'!$B$2:$AG$15,3,FALSE))</f>
        <v/>
      </c>
      <c r="S132" s="157"/>
      <c r="T132" s="540" t="str">
        <f>IFERROR(VLOOKUP(S132,'G-1 All Habitats'!$Z$2:$AA$9,2,FALSE),"")</f>
        <v/>
      </c>
      <c r="U132" s="154"/>
      <c r="V132" s="520" t="str">
        <f>IF(U132="","",IF(VLOOKUP(U132,'G-3 Multipliers'!$L$3:$N$6,2,FALSE)=0,"Spatial Data Missing ⚠",VLOOKUP(U132,'G-3 Multipliers'!$L$3:$N$6,2,FALSE)))</f>
        <v/>
      </c>
      <c r="W132" s="524" t="str">
        <f>IF(U132="","",IF(VLOOKUP(U132,'G-3 Multipliers'!$L$3:$N$6,3,FALSE)=0,"Spatial Data Missing ⚠",VLOOKUP(U132,'G-3 Multipliers'!$L$3:$N$6,3,FALSE)))</f>
        <v/>
      </c>
      <c r="X132" s="498" t="str">
        <f>IFERROR(IF(OR(LEFT(O132,5)="Error ▲",LEFT(N132,5)="Error ▲",T132="Error ▲"),"Check Data ⚠",IF(F132&lt;R132,INDEX('G-6 Hedgerow Data'!$S$3:$AE$14,MATCH(C132,'G-6 Hedgerow Data'!$B$3:$B$14,0),MATCH(M132,'G-6 Hedgerow Data'!$S$2:$AE$2,0)),INDEX('G-6 Hedgerow Data'!$K$3:$Q$14,MATCH(M132,'G-6 Hedgerow Data'!$B$3:$B$14,0),MATCH(O132,'G-6 Hedgerow Data'!$K$2:$Q$2,0)))),"")</f>
        <v/>
      </c>
      <c r="Y132" s="195"/>
      <c r="Z132" s="195"/>
      <c r="AA132" s="507" t="str">
        <f t="shared" si="11"/>
        <v/>
      </c>
      <c r="AB132" s="521" t="str">
        <f t="shared" si="12"/>
        <v/>
      </c>
      <c r="AC132" s="522" t="str">
        <f t="shared" si="8"/>
        <v/>
      </c>
      <c r="AD132" s="537" t="str">
        <f>IF(M132="","",VLOOKUP(M132,'G-6 Hedgerow Data'!$B$3:$AG$15,31,FALSE))</f>
        <v/>
      </c>
      <c r="AE132" s="507" t="str">
        <f t="shared" si="13"/>
        <v/>
      </c>
      <c r="AF132" s="507" t="str">
        <f t="shared" si="14"/>
        <v/>
      </c>
      <c r="AG132" s="524" t="str">
        <f>IFERROR(IF(O132="","",VLOOKUP(AD132,'G-3 Multipliers'!$P$3:$Q$6,2,FALSE)),"")</f>
        <v/>
      </c>
      <c r="AH132" s="513" t="str">
        <f t="shared" si="9"/>
        <v/>
      </c>
      <c r="AI132" s="231"/>
      <c r="AJ132" s="150"/>
      <c r="AT132" s="31" t="str">
        <f>IFERROR(INDEX('G-6 Hedgerow Data'!$BJ$3:$BJ$15,MATCH(M132,'G-6 Hedgerow Data'!$B$3:$B$15,0)),"")</f>
        <v/>
      </c>
    </row>
    <row r="133" spans="2:46" ht="14" x14ac:dyDescent="0.3">
      <c r="B133" s="531" t="str">
        <f>'B-1 Site Hedge Baseline'!AK131</f>
        <v/>
      </c>
      <c r="C133" s="520" t="str">
        <f>IF(B133="","",IF(ISNA(VLOOKUP($B133,'B-1 Site Hedge Baseline'!$B$1:$L$257,3,FALSE)),"",(VLOOKUP($B133,'B-1 Site Hedge Baseline'!$B$1:$L$257,3,FALSE))))</f>
        <v/>
      </c>
      <c r="D133" s="520" t="str">
        <f>IF(B133="","",IF(ISNA(VLOOKUP($B133,'B-1 Site Hedge Baseline'!$B$1:$L$257,4,FALSE)),"",(VLOOKUP($B133,'B-1 Site Hedge Baseline'!$B$1:$L$257,4,FALSE))))</f>
        <v/>
      </c>
      <c r="E133" s="520" t="str">
        <f>IF(B133="","",IF(ISNA(VLOOKUP($B133,'B-1 Site Hedge Baseline'!$B$1:$L$257,5,FALSE)),"",(VLOOKUP($B133,'B-1 Site Hedge Baseline'!$B$1:$L$257,5,FALSE))))</f>
        <v/>
      </c>
      <c r="F133" s="520" t="str">
        <f>IF(B133="","",IF(ISNA(VLOOKUP($B133,'B-1 Site Hedge Baseline'!$B$1:$L$257,6,FALSE)),"",(VLOOKUP($B133,'B-1 Site Hedge Baseline'!$B$1:$L$257,6,FALSE))))</f>
        <v/>
      </c>
      <c r="G133" s="520" t="str">
        <f>IF(B133="","",IF(ISNA(VLOOKUP($B133,'B-1 Site Hedge Baseline'!$B$1:$L$257,7,FALSE)),"",(VLOOKUP($B133,'B-1 Site Hedge Baseline'!$B$1:$L$257,7,FALSE))))</f>
        <v/>
      </c>
      <c r="H133" s="520" t="str">
        <f>IF(B133="","",IF(ISNA(VLOOKUP($B133,'B-1 Site Hedge Baseline'!$B$1:$L$257,8,FALSE)),"",(VLOOKUP($B133,'B-1 Site Hedge Baseline'!$B$1:$L$257,8,FALSE))))</f>
        <v/>
      </c>
      <c r="I133" s="520" t="str">
        <f>IF(B133="","",IF(ISNA(VLOOKUP($B133,'B-1 Site Hedge Baseline'!$B$1:$L$257,10,FALSE)),"",(VLOOKUP($B133,'B-1 Site Hedge Baseline'!$B$1:$L$257,10,FALSE))))</f>
        <v/>
      </c>
      <c r="J133" s="520" t="str">
        <f>IF(B133="","",IF(ISNA(VLOOKUP($B133,'B-1 Site Hedge Baseline'!$B$1:$L$257,11,FALSE)),"",(VLOOKUP($B133,'B-1 Site Hedge Baseline'!$B$1:$L$257,11,FALSE))))</f>
        <v/>
      </c>
      <c r="K133" s="520" t="str">
        <f>IF(B133="","",IF(ISNA(VLOOKUP($B133,'B-1 Site Hedge Baseline'!$B$1:$U$257,13,FALSE)),"",(VLOOKUP($B133,'B-1 Site Hedge Baseline'!$B$1:$U$257,13,FALSE))))</f>
        <v/>
      </c>
      <c r="L133" s="524" t="str">
        <f>IF(B133="","",IF(ISNA(VLOOKUP($B133,'B-1 Site Hedge Baseline'!$B$1:$U$257,12,FALSE)),"",(VLOOKUP($B133,'B-1 Site Hedge Baseline'!$B$1:$U$257,12,FALSE))))</f>
        <v/>
      </c>
      <c r="M133" s="416" t="str">
        <f t="shared" si="15"/>
        <v/>
      </c>
      <c r="N133" s="498" t="str">
        <f>IFERROR(IF(B133="","",INDEX('G-6 Hedgerow Data'!$AN$3:$AZ$15,MATCH(C133,'G-6 Hedgerow Data'!$AM$3:$AM$15,0),MATCH(M133,'G-6 Hedgerow Data'!$AN$2:$AZ$2,0))),"")</f>
        <v/>
      </c>
      <c r="O133" s="499" t="str">
        <f t="shared" si="10"/>
        <v/>
      </c>
      <c r="P133" s="559" t="str">
        <f>IF(B133="","",VLOOKUP(B133,'B-1 Site Hedge Baseline'!$B$10:T378,16,FALSE))</f>
        <v/>
      </c>
      <c r="Q133" s="498" t="str">
        <f>IF(M133="","",VLOOKUP(M133,'G-6 Hedgerow Data'!$B$2:$AG$15,2,FALSE))</f>
        <v/>
      </c>
      <c r="R133" s="499" t="str">
        <f>IF(M133="","",VLOOKUP(M133,'G-6 Hedgerow Data'!$B$2:$AG$15,3,FALSE))</f>
        <v/>
      </c>
      <c r="S133" s="157"/>
      <c r="T133" s="540" t="str">
        <f>IFERROR(VLOOKUP(S133,'G-1 All Habitats'!$Z$2:$AA$9,2,FALSE),"")</f>
        <v/>
      </c>
      <c r="U133" s="154"/>
      <c r="V133" s="520" t="str">
        <f>IF(U133="","",IF(VLOOKUP(U133,'G-3 Multipliers'!$L$3:$N$6,2,FALSE)=0,"Spatial Data Missing ⚠",VLOOKUP(U133,'G-3 Multipliers'!$L$3:$N$6,2,FALSE)))</f>
        <v/>
      </c>
      <c r="W133" s="524" t="str">
        <f>IF(U133="","",IF(VLOOKUP(U133,'G-3 Multipliers'!$L$3:$N$6,3,FALSE)=0,"Spatial Data Missing ⚠",VLOOKUP(U133,'G-3 Multipliers'!$L$3:$N$6,3,FALSE)))</f>
        <v/>
      </c>
      <c r="X133" s="498" t="str">
        <f>IFERROR(IF(OR(LEFT(O133,5)="Error ▲",LEFT(N133,5)="Error ▲",T133="Error ▲"),"Check Data ⚠",IF(F133&lt;R133,INDEX('G-6 Hedgerow Data'!$S$3:$AE$14,MATCH(C133,'G-6 Hedgerow Data'!$B$3:$B$14,0),MATCH(M133,'G-6 Hedgerow Data'!$S$2:$AE$2,0)),INDEX('G-6 Hedgerow Data'!$K$3:$Q$14,MATCH(M133,'G-6 Hedgerow Data'!$B$3:$B$14,0),MATCH(O133,'G-6 Hedgerow Data'!$K$2:$Q$2,0)))),"")</f>
        <v/>
      </c>
      <c r="Y133" s="195"/>
      <c r="Z133" s="195"/>
      <c r="AA133" s="507" t="str">
        <f t="shared" si="11"/>
        <v/>
      </c>
      <c r="AB133" s="521" t="str">
        <f t="shared" si="12"/>
        <v/>
      </c>
      <c r="AC133" s="522" t="str">
        <f t="shared" si="8"/>
        <v/>
      </c>
      <c r="AD133" s="537" t="str">
        <f>IF(M133="","",VLOOKUP(M133,'G-6 Hedgerow Data'!$B$3:$AG$15,31,FALSE))</f>
        <v/>
      </c>
      <c r="AE133" s="507" t="str">
        <f t="shared" si="13"/>
        <v/>
      </c>
      <c r="AF133" s="507" t="str">
        <f t="shared" si="14"/>
        <v/>
      </c>
      <c r="AG133" s="524" t="str">
        <f>IFERROR(IF(O133="","",VLOOKUP(AD133,'G-3 Multipliers'!$P$3:$Q$6,2,FALSE)),"")</f>
        <v/>
      </c>
      <c r="AH133" s="513" t="str">
        <f t="shared" si="9"/>
        <v/>
      </c>
      <c r="AI133" s="231"/>
      <c r="AJ133" s="150"/>
      <c r="AT133" s="31" t="str">
        <f>IFERROR(INDEX('G-6 Hedgerow Data'!$BJ$3:$BJ$15,MATCH(M133,'G-6 Hedgerow Data'!$B$3:$B$15,0)),"")</f>
        <v/>
      </c>
    </row>
    <row r="134" spans="2:46" ht="14" x14ac:dyDescent="0.3">
      <c r="B134" s="531" t="str">
        <f>'B-1 Site Hedge Baseline'!AK132</f>
        <v/>
      </c>
      <c r="C134" s="520" t="str">
        <f>IF(B134="","",IF(ISNA(VLOOKUP($B134,'B-1 Site Hedge Baseline'!$B$1:$L$257,3,FALSE)),"",(VLOOKUP($B134,'B-1 Site Hedge Baseline'!$B$1:$L$257,3,FALSE))))</f>
        <v/>
      </c>
      <c r="D134" s="520" t="str">
        <f>IF(B134="","",IF(ISNA(VLOOKUP($B134,'B-1 Site Hedge Baseline'!$B$1:$L$257,4,FALSE)),"",(VLOOKUP($B134,'B-1 Site Hedge Baseline'!$B$1:$L$257,4,FALSE))))</f>
        <v/>
      </c>
      <c r="E134" s="520" t="str">
        <f>IF(B134="","",IF(ISNA(VLOOKUP($B134,'B-1 Site Hedge Baseline'!$B$1:$L$257,5,FALSE)),"",(VLOOKUP($B134,'B-1 Site Hedge Baseline'!$B$1:$L$257,5,FALSE))))</f>
        <v/>
      </c>
      <c r="F134" s="520" t="str">
        <f>IF(B134="","",IF(ISNA(VLOOKUP($B134,'B-1 Site Hedge Baseline'!$B$1:$L$257,6,FALSE)),"",(VLOOKUP($B134,'B-1 Site Hedge Baseline'!$B$1:$L$257,6,FALSE))))</f>
        <v/>
      </c>
      <c r="G134" s="520" t="str">
        <f>IF(B134="","",IF(ISNA(VLOOKUP($B134,'B-1 Site Hedge Baseline'!$B$1:$L$257,7,FALSE)),"",(VLOOKUP($B134,'B-1 Site Hedge Baseline'!$B$1:$L$257,7,FALSE))))</f>
        <v/>
      </c>
      <c r="H134" s="520" t="str">
        <f>IF(B134="","",IF(ISNA(VLOOKUP($B134,'B-1 Site Hedge Baseline'!$B$1:$L$257,8,FALSE)),"",(VLOOKUP($B134,'B-1 Site Hedge Baseline'!$B$1:$L$257,8,FALSE))))</f>
        <v/>
      </c>
      <c r="I134" s="520" t="str">
        <f>IF(B134="","",IF(ISNA(VLOOKUP($B134,'B-1 Site Hedge Baseline'!$B$1:$L$257,10,FALSE)),"",(VLOOKUP($B134,'B-1 Site Hedge Baseline'!$B$1:$L$257,10,FALSE))))</f>
        <v/>
      </c>
      <c r="J134" s="520" t="str">
        <f>IF(B134="","",IF(ISNA(VLOOKUP($B134,'B-1 Site Hedge Baseline'!$B$1:$L$257,11,FALSE)),"",(VLOOKUP($B134,'B-1 Site Hedge Baseline'!$B$1:$L$257,11,FALSE))))</f>
        <v/>
      </c>
      <c r="K134" s="520" t="str">
        <f>IF(B134="","",IF(ISNA(VLOOKUP($B134,'B-1 Site Hedge Baseline'!$B$1:$U$257,13,FALSE)),"",(VLOOKUP($B134,'B-1 Site Hedge Baseline'!$B$1:$U$257,13,FALSE))))</f>
        <v/>
      </c>
      <c r="L134" s="524" t="str">
        <f>IF(B134="","",IF(ISNA(VLOOKUP($B134,'B-1 Site Hedge Baseline'!$B$1:$U$257,12,FALSE)),"",(VLOOKUP($B134,'B-1 Site Hedge Baseline'!$B$1:$U$257,12,FALSE))))</f>
        <v/>
      </c>
      <c r="M134" s="416" t="str">
        <f t="shared" si="15"/>
        <v/>
      </c>
      <c r="N134" s="498" t="str">
        <f>IFERROR(IF(B134="","",INDEX('G-6 Hedgerow Data'!$AN$3:$AZ$15,MATCH(C134,'G-6 Hedgerow Data'!$AM$3:$AM$15,0),MATCH(M134,'G-6 Hedgerow Data'!$AN$2:$AZ$2,0))),"")</f>
        <v/>
      </c>
      <c r="O134" s="499" t="str">
        <f t="shared" si="10"/>
        <v/>
      </c>
      <c r="P134" s="559" t="str">
        <f>IF(B134="","",VLOOKUP(B134,'B-1 Site Hedge Baseline'!$B$10:T379,16,FALSE))</f>
        <v/>
      </c>
      <c r="Q134" s="498" t="str">
        <f>IF(M134="","",VLOOKUP(M134,'G-6 Hedgerow Data'!$B$2:$AG$15,2,FALSE))</f>
        <v/>
      </c>
      <c r="R134" s="499" t="str">
        <f>IF(M134="","",VLOOKUP(M134,'G-6 Hedgerow Data'!$B$2:$AG$15,3,FALSE))</f>
        <v/>
      </c>
      <c r="S134" s="157"/>
      <c r="T134" s="540" t="str">
        <f>IFERROR(VLOOKUP(S134,'G-1 All Habitats'!$Z$2:$AA$9,2,FALSE),"")</f>
        <v/>
      </c>
      <c r="U134" s="154"/>
      <c r="V134" s="520" t="str">
        <f>IF(U134="","",IF(VLOOKUP(U134,'G-3 Multipliers'!$L$3:$N$6,2,FALSE)=0,"Spatial Data Missing ⚠",VLOOKUP(U134,'G-3 Multipliers'!$L$3:$N$6,2,FALSE)))</f>
        <v/>
      </c>
      <c r="W134" s="524" t="str">
        <f>IF(U134="","",IF(VLOOKUP(U134,'G-3 Multipliers'!$L$3:$N$6,3,FALSE)=0,"Spatial Data Missing ⚠",VLOOKUP(U134,'G-3 Multipliers'!$L$3:$N$6,3,FALSE)))</f>
        <v/>
      </c>
      <c r="X134" s="498" t="str">
        <f>IFERROR(IF(OR(LEFT(O134,5)="Error ▲",LEFT(N134,5)="Error ▲",T134="Error ▲"),"Check Data ⚠",IF(F134&lt;R134,INDEX('G-6 Hedgerow Data'!$S$3:$AE$14,MATCH(C134,'G-6 Hedgerow Data'!$B$3:$B$14,0),MATCH(M134,'G-6 Hedgerow Data'!$S$2:$AE$2,0)),INDEX('G-6 Hedgerow Data'!$K$3:$Q$14,MATCH(M134,'G-6 Hedgerow Data'!$B$3:$B$14,0),MATCH(O134,'G-6 Hedgerow Data'!$K$2:$Q$2,0)))),"")</f>
        <v/>
      </c>
      <c r="Y134" s="195"/>
      <c r="Z134" s="195"/>
      <c r="AA134" s="507" t="str">
        <f t="shared" si="11"/>
        <v/>
      </c>
      <c r="AB134" s="521" t="str">
        <f t="shared" si="12"/>
        <v/>
      </c>
      <c r="AC134" s="522" t="str">
        <f t="shared" si="8"/>
        <v/>
      </c>
      <c r="AD134" s="537" t="str">
        <f>IF(M134="","",VLOOKUP(M134,'G-6 Hedgerow Data'!$B$3:$AG$15,31,FALSE))</f>
        <v/>
      </c>
      <c r="AE134" s="507" t="str">
        <f t="shared" si="13"/>
        <v/>
      </c>
      <c r="AF134" s="507" t="str">
        <f t="shared" si="14"/>
        <v/>
      </c>
      <c r="AG134" s="524" t="str">
        <f>IFERROR(IF(O134="","",VLOOKUP(AD134,'G-3 Multipliers'!$P$3:$Q$6,2,FALSE)),"")</f>
        <v/>
      </c>
      <c r="AH134" s="513" t="str">
        <f t="shared" si="9"/>
        <v/>
      </c>
      <c r="AI134" s="231"/>
      <c r="AJ134" s="150"/>
      <c r="AT134" s="31" t="str">
        <f>IFERROR(INDEX('G-6 Hedgerow Data'!$BJ$3:$BJ$15,MATCH(M134,'G-6 Hedgerow Data'!$B$3:$B$15,0)),"")</f>
        <v/>
      </c>
    </row>
    <row r="135" spans="2:46" ht="14" x14ac:dyDescent="0.3">
      <c r="B135" s="531" t="str">
        <f>'B-1 Site Hedge Baseline'!AK133</f>
        <v/>
      </c>
      <c r="C135" s="520" t="str">
        <f>IF(B135="","",IF(ISNA(VLOOKUP($B135,'B-1 Site Hedge Baseline'!$B$1:$L$257,3,FALSE)),"",(VLOOKUP($B135,'B-1 Site Hedge Baseline'!$B$1:$L$257,3,FALSE))))</f>
        <v/>
      </c>
      <c r="D135" s="520" t="str">
        <f>IF(B135="","",IF(ISNA(VLOOKUP($B135,'B-1 Site Hedge Baseline'!$B$1:$L$257,4,FALSE)),"",(VLOOKUP($B135,'B-1 Site Hedge Baseline'!$B$1:$L$257,4,FALSE))))</f>
        <v/>
      </c>
      <c r="E135" s="520" t="str">
        <f>IF(B135="","",IF(ISNA(VLOOKUP($B135,'B-1 Site Hedge Baseline'!$B$1:$L$257,5,FALSE)),"",(VLOOKUP($B135,'B-1 Site Hedge Baseline'!$B$1:$L$257,5,FALSE))))</f>
        <v/>
      </c>
      <c r="F135" s="520" t="str">
        <f>IF(B135="","",IF(ISNA(VLOOKUP($B135,'B-1 Site Hedge Baseline'!$B$1:$L$257,6,FALSE)),"",(VLOOKUP($B135,'B-1 Site Hedge Baseline'!$B$1:$L$257,6,FALSE))))</f>
        <v/>
      </c>
      <c r="G135" s="520" t="str">
        <f>IF(B135="","",IF(ISNA(VLOOKUP($B135,'B-1 Site Hedge Baseline'!$B$1:$L$257,7,FALSE)),"",(VLOOKUP($B135,'B-1 Site Hedge Baseline'!$B$1:$L$257,7,FALSE))))</f>
        <v/>
      </c>
      <c r="H135" s="520" t="str">
        <f>IF(B135="","",IF(ISNA(VLOOKUP($B135,'B-1 Site Hedge Baseline'!$B$1:$L$257,8,FALSE)),"",(VLOOKUP($B135,'B-1 Site Hedge Baseline'!$B$1:$L$257,8,FALSE))))</f>
        <v/>
      </c>
      <c r="I135" s="520" t="str">
        <f>IF(B135="","",IF(ISNA(VLOOKUP($B135,'B-1 Site Hedge Baseline'!$B$1:$L$257,10,FALSE)),"",(VLOOKUP($B135,'B-1 Site Hedge Baseline'!$B$1:$L$257,10,FALSE))))</f>
        <v/>
      </c>
      <c r="J135" s="520" t="str">
        <f>IF(B135="","",IF(ISNA(VLOOKUP($B135,'B-1 Site Hedge Baseline'!$B$1:$L$257,11,FALSE)),"",(VLOOKUP($B135,'B-1 Site Hedge Baseline'!$B$1:$L$257,11,FALSE))))</f>
        <v/>
      </c>
      <c r="K135" s="520" t="str">
        <f>IF(B135="","",IF(ISNA(VLOOKUP($B135,'B-1 Site Hedge Baseline'!$B$1:$U$257,13,FALSE)),"",(VLOOKUP($B135,'B-1 Site Hedge Baseline'!$B$1:$U$257,13,FALSE))))</f>
        <v/>
      </c>
      <c r="L135" s="524" t="str">
        <f>IF(B135="","",IF(ISNA(VLOOKUP($B135,'B-1 Site Hedge Baseline'!$B$1:$U$257,12,FALSE)),"",(VLOOKUP($B135,'B-1 Site Hedge Baseline'!$B$1:$U$257,12,FALSE))))</f>
        <v/>
      </c>
      <c r="M135" s="416" t="str">
        <f t="shared" si="15"/>
        <v/>
      </c>
      <c r="N135" s="498" t="str">
        <f>IFERROR(IF(B135="","",INDEX('G-6 Hedgerow Data'!$AN$3:$AZ$15,MATCH(C135,'G-6 Hedgerow Data'!$AM$3:$AM$15,0),MATCH(M135,'G-6 Hedgerow Data'!$AN$2:$AZ$2,0))),"")</f>
        <v/>
      </c>
      <c r="O135" s="499" t="str">
        <f t="shared" si="10"/>
        <v/>
      </c>
      <c r="P135" s="559" t="str">
        <f>IF(B135="","",VLOOKUP(B135,'B-1 Site Hedge Baseline'!$B$10:T380,16,FALSE))</f>
        <v/>
      </c>
      <c r="Q135" s="498" t="str">
        <f>IF(M135="","",VLOOKUP(M135,'G-6 Hedgerow Data'!$B$2:$AG$15,2,FALSE))</f>
        <v/>
      </c>
      <c r="R135" s="499" t="str">
        <f>IF(M135="","",VLOOKUP(M135,'G-6 Hedgerow Data'!$B$2:$AG$15,3,FALSE))</f>
        <v/>
      </c>
      <c r="S135" s="157"/>
      <c r="T135" s="540" t="str">
        <f>IFERROR(VLOOKUP(S135,'G-1 All Habitats'!$Z$2:$AA$9,2,FALSE),"")</f>
        <v/>
      </c>
      <c r="U135" s="154"/>
      <c r="V135" s="520" t="str">
        <f>IF(U135="","",IF(VLOOKUP(U135,'G-3 Multipliers'!$L$3:$N$6,2,FALSE)=0,"Spatial Data Missing ⚠",VLOOKUP(U135,'G-3 Multipliers'!$L$3:$N$6,2,FALSE)))</f>
        <v/>
      </c>
      <c r="W135" s="524" t="str">
        <f>IF(U135="","",IF(VLOOKUP(U135,'G-3 Multipliers'!$L$3:$N$6,3,FALSE)=0,"Spatial Data Missing ⚠",VLOOKUP(U135,'G-3 Multipliers'!$L$3:$N$6,3,FALSE)))</f>
        <v/>
      </c>
      <c r="X135" s="498" t="str">
        <f>IFERROR(IF(OR(LEFT(O135,5)="Error ▲",LEFT(N135,5)="Error ▲",T135="Error ▲"),"Check Data ⚠",IF(F135&lt;R135,INDEX('G-6 Hedgerow Data'!$S$3:$AE$14,MATCH(C135,'G-6 Hedgerow Data'!$B$3:$B$14,0),MATCH(M135,'G-6 Hedgerow Data'!$S$2:$AE$2,0)),INDEX('G-6 Hedgerow Data'!$K$3:$Q$14,MATCH(M135,'G-6 Hedgerow Data'!$B$3:$B$14,0),MATCH(O135,'G-6 Hedgerow Data'!$K$2:$Q$2,0)))),"")</f>
        <v/>
      </c>
      <c r="Y135" s="195"/>
      <c r="Z135" s="195"/>
      <c r="AA135" s="507" t="str">
        <f t="shared" si="11"/>
        <v/>
      </c>
      <c r="AB135" s="521" t="str">
        <f t="shared" si="12"/>
        <v/>
      </c>
      <c r="AC135" s="522" t="str">
        <f t="shared" si="8"/>
        <v/>
      </c>
      <c r="AD135" s="537" t="str">
        <f>IF(M135="","",VLOOKUP(M135,'G-6 Hedgerow Data'!$B$3:$AG$15,31,FALSE))</f>
        <v/>
      </c>
      <c r="AE135" s="507" t="str">
        <f t="shared" si="13"/>
        <v/>
      </c>
      <c r="AF135" s="507" t="str">
        <f t="shared" si="14"/>
        <v/>
      </c>
      <c r="AG135" s="524" t="str">
        <f>IFERROR(IF(O135="","",VLOOKUP(AD135,'G-3 Multipliers'!$P$3:$Q$6,2,FALSE)),"")</f>
        <v/>
      </c>
      <c r="AH135" s="513" t="str">
        <f t="shared" si="9"/>
        <v/>
      </c>
      <c r="AI135" s="231"/>
      <c r="AJ135" s="150"/>
      <c r="AT135" s="31" t="str">
        <f>IFERROR(INDEX('G-6 Hedgerow Data'!$BJ$3:$BJ$15,MATCH(M135,'G-6 Hedgerow Data'!$B$3:$B$15,0)),"")</f>
        <v/>
      </c>
    </row>
    <row r="136" spans="2:46" ht="14" x14ac:dyDescent="0.3">
      <c r="B136" s="531" t="str">
        <f>'B-1 Site Hedge Baseline'!AK134</f>
        <v/>
      </c>
      <c r="C136" s="520" t="str">
        <f>IF(B136="","",IF(ISNA(VLOOKUP($B136,'B-1 Site Hedge Baseline'!$B$1:$L$257,3,FALSE)),"",(VLOOKUP($B136,'B-1 Site Hedge Baseline'!$B$1:$L$257,3,FALSE))))</f>
        <v/>
      </c>
      <c r="D136" s="520" t="str">
        <f>IF(B136="","",IF(ISNA(VLOOKUP($B136,'B-1 Site Hedge Baseline'!$B$1:$L$257,4,FALSE)),"",(VLOOKUP($B136,'B-1 Site Hedge Baseline'!$B$1:$L$257,4,FALSE))))</f>
        <v/>
      </c>
      <c r="E136" s="520" t="str">
        <f>IF(B136="","",IF(ISNA(VLOOKUP($B136,'B-1 Site Hedge Baseline'!$B$1:$L$257,5,FALSE)),"",(VLOOKUP($B136,'B-1 Site Hedge Baseline'!$B$1:$L$257,5,FALSE))))</f>
        <v/>
      </c>
      <c r="F136" s="520" t="str">
        <f>IF(B136="","",IF(ISNA(VLOOKUP($B136,'B-1 Site Hedge Baseline'!$B$1:$L$257,6,FALSE)),"",(VLOOKUP($B136,'B-1 Site Hedge Baseline'!$B$1:$L$257,6,FALSE))))</f>
        <v/>
      </c>
      <c r="G136" s="520" t="str">
        <f>IF(B136="","",IF(ISNA(VLOOKUP($B136,'B-1 Site Hedge Baseline'!$B$1:$L$257,7,FALSE)),"",(VLOOKUP($B136,'B-1 Site Hedge Baseline'!$B$1:$L$257,7,FALSE))))</f>
        <v/>
      </c>
      <c r="H136" s="520" t="str">
        <f>IF(B136="","",IF(ISNA(VLOOKUP($B136,'B-1 Site Hedge Baseline'!$B$1:$L$257,8,FALSE)),"",(VLOOKUP($B136,'B-1 Site Hedge Baseline'!$B$1:$L$257,8,FALSE))))</f>
        <v/>
      </c>
      <c r="I136" s="520" t="str">
        <f>IF(B136="","",IF(ISNA(VLOOKUP($B136,'B-1 Site Hedge Baseline'!$B$1:$L$257,10,FALSE)),"",(VLOOKUP($B136,'B-1 Site Hedge Baseline'!$B$1:$L$257,10,FALSE))))</f>
        <v/>
      </c>
      <c r="J136" s="520" t="str">
        <f>IF(B136="","",IF(ISNA(VLOOKUP($B136,'B-1 Site Hedge Baseline'!$B$1:$L$257,11,FALSE)),"",(VLOOKUP($B136,'B-1 Site Hedge Baseline'!$B$1:$L$257,11,FALSE))))</f>
        <v/>
      </c>
      <c r="K136" s="520" t="str">
        <f>IF(B136="","",IF(ISNA(VLOOKUP($B136,'B-1 Site Hedge Baseline'!$B$1:$U$257,13,FALSE)),"",(VLOOKUP($B136,'B-1 Site Hedge Baseline'!$B$1:$U$257,13,FALSE))))</f>
        <v/>
      </c>
      <c r="L136" s="524" t="str">
        <f>IF(B136="","",IF(ISNA(VLOOKUP($B136,'B-1 Site Hedge Baseline'!$B$1:$U$257,12,FALSE)),"",(VLOOKUP($B136,'B-1 Site Hedge Baseline'!$B$1:$U$257,12,FALSE))))</f>
        <v/>
      </c>
      <c r="M136" s="416" t="str">
        <f t="shared" si="15"/>
        <v/>
      </c>
      <c r="N136" s="498" t="str">
        <f>IFERROR(IF(B136="","",INDEX('G-6 Hedgerow Data'!$AN$3:$AZ$15,MATCH(C136,'G-6 Hedgerow Data'!$AM$3:$AM$15,0),MATCH(M136,'G-6 Hedgerow Data'!$AN$2:$AZ$2,0))),"")</f>
        <v/>
      </c>
      <c r="O136" s="499" t="str">
        <f t="shared" si="10"/>
        <v/>
      </c>
      <c r="P136" s="559" t="str">
        <f>IF(B136="","",VLOOKUP(B136,'B-1 Site Hedge Baseline'!$B$10:T381,16,FALSE))</f>
        <v/>
      </c>
      <c r="Q136" s="498" t="str">
        <f>IF(M136="","",VLOOKUP(M136,'G-6 Hedgerow Data'!$B$2:$AG$15,2,FALSE))</f>
        <v/>
      </c>
      <c r="R136" s="499" t="str">
        <f>IF(M136="","",VLOOKUP(M136,'G-6 Hedgerow Data'!$B$2:$AG$15,3,FALSE))</f>
        <v/>
      </c>
      <c r="S136" s="157"/>
      <c r="T136" s="540" t="str">
        <f>IFERROR(VLOOKUP(S136,'G-1 All Habitats'!$Z$2:$AA$9,2,FALSE),"")</f>
        <v/>
      </c>
      <c r="U136" s="154"/>
      <c r="V136" s="520" t="str">
        <f>IF(U136="","",IF(VLOOKUP(U136,'G-3 Multipliers'!$L$3:$N$6,2,FALSE)=0,"Spatial Data Missing ⚠",VLOOKUP(U136,'G-3 Multipliers'!$L$3:$N$6,2,FALSE)))</f>
        <v/>
      </c>
      <c r="W136" s="524" t="str">
        <f>IF(U136="","",IF(VLOOKUP(U136,'G-3 Multipliers'!$L$3:$N$6,3,FALSE)=0,"Spatial Data Missing ⚠",VLOOKUP(U136,'G-3 Multipliers'!$L$3:$N$6,3,FALSE)))</f>
        <v/>
      </c>
      <c r="X136" s="498" t="str">
        <f>IFERROR(IF(OR(LEFT(O136,5)="Error ▲",LEFT(N136,5)="Error ▲",T136="Error ▲"),"Check Data ⚠",IF(F136&lt;R136,INDEX('G-6 Hedgerow Data'!$S$3:$AE$14,MATCH(C136,'G-6 Hedgerow Data'!$B$3:$B$14,0),MATCH(M136,'G-6 Hedgerow Data'!$S$2:$AE$2,0)),INDEX('G-6 Hedgerow Data'!$K$3:$Q$14,MATCH(M136,'G-6 Hedgerow Data'!$B$3:$B$14,0),MATCH(O136,'G-6 Hedgerow Data'!$K$2:$Q$2,0)))),"")</f>
        <v/>
      </c>
      <c r="Y136" s="195"/>
      <c r="Z136" s="195"/>
      <c r="AA136" s="507" t="str">
        <f t="shared" si="11"/>
        <v/>
      </c>
      <c r="AB136" s="521" t="str">
        <f t="shared" si="12"/>
        <v/>
      </c>
      <c r="AC136" s="522" t="str">
        <f t="shared" si="8"/>
        <v/>
      </c>
      <c r="AD136" s="537" t="str">
        <f>IF(M136="","",VLOOKUP(M136,'G-6 Hedgerow Data'!$B$3:$AG$15,31,FALSE))</f>
        <v/>
      </c>
      <c r="AE136" s="507" t="str">
        <f t="shared" si="13"/>
        <v/>
      </c>
      <c r="AF136" s="507" t="str">
        <f t="shared" si="14"/>
        <v/>
      </c>
      <c r="AG136" s="524" t="str">
        <f>IFERROR(IF(O136="","",VLOOKUP(AD136,'G-3 Multipliers'!$P$3:$Q$6,2,FALSE)),"")</f>
        <v/>
      </c>
      <c r="AH136" s="513" t="str">
        <f t="shared" si="9"/>
        <v/>
      </c>
      <c r="AI136" s="231"/>
      <c r="AJ136" s="150"/>
      <c r="AT136" s="31" t="str">
        <f>IFERROR(INDEX('G-6 Hedgerow Data'!$BJ$3:$BJ$15,MATCH(M136,'G-6 Hedgerow Data'!$B$3:$B$15,0)),"")</f>
        <v/>
      </c>
    </row>
    <row r="137" spans="2:46" ht="14" x14ac:dyDescent="0.3">
      <c r="B137" s="531" t="str">
        <f>'B-1 Site Hedge Baseline'!AK135</f>
        <v/>
      </c>
      <c r="C137" s="520" t="str">
        <f>IF(B137="","",IF(ISNA(VLOOKUP($B137,'B-1 Site Hedge Baseline'!$B$1:$L$257,3,FALSE)),"",(VLOOKUP($B137,'B-1 Site Hedge Baseline'!$B$1:$L$257,3,FALSE))))</f>
        <v/>
      </c>
      <c r="D137" s="520" t="str">
        <f>IF(B137="","",IF(ISNA(VLOOKUP($B137,'B-1 Site Hedge Baseline'!$B$1:$L$257,4,FALSE)),"",(VLOOKUP($B137,'B-1 Site Hedge Baseline'!$B$1:$L$257,4,FALSE))))</f>
        <v/>
      </c>
      <c r="E137" s="520" t="str">
        <f>IF(B137="","",IF(ISNA(VLOOKUP($B137,'B-1 Site Hedge Baseline'!$B$1:$L$257,5,FALSE)),"",(VLOOKUP($B137,'B-1 Site Hedge Baseline'!$B$1:$L$257,5,FALSE))))</f>
        <v/>
      </c>
      <c r="F137" s="520" t="str">
        <f>IF(B137="","",IF(ISNA(VLOOKUP($B137,'B-1 Site Hedge Baseline'!$B$1:$L$257,6,FALSE)),"",(VLOOKUP($B137,'B-1 Site Hedge Baseline'!$B$1:$L$257,6,FALSE))))</f>
        <v/>
      </c>
      <c r="G137" s="520" t="str">
        <f>IF(B137="","",IF(ISNA(VLOOKUP($B137,'B-1 Site Hedge Baseline'!$B$1:$L$257,7,FALSE)),"",(VLOOKUP($B137,'B-1 Site Hedge Baseline'!$B$1:$L$257,7,FALSE))))</f>
        <v/>
      </c>
      <c r="H137" s="520" t="str">
        <f>IF(B137="","",IF(ISNA(VLOOKUP($B137,'B-1 Site Hedge Baseline'!$B$1:$L$257,8,FALSE)),"",(VLOOKUP($B137,'B-1 Site Hedge Baseline'!$B$1:$L$257,8,FALSE))))</f>
        <v/>
      </c>
      <c r="I137" s="520" t="str">
        <f>IF(B137="","",IF(ISNA(VLOOKUP($B137,'B-1 Site Hedge Baseline'!$B$1:$L$257,10,FALSE)),"",(VLOOKUP($B137,'B-1 Site Hedge Baseline'!$B$1:$L$257,10,FALSE))))</f>
        <v/>
      </c>
      <c r="J137" s="520" t="str">
        <f>IF(B137="","",IF(ISNA(VLOOKUP($B137,'B-1 Site Hedge Baseline'!$B$1:$L$257,11,FALSE)),"",(VLOOKUP($B137,'B-1 Site Hedge Baseline'!$B$1:$L$257,11,FALSE))))</f>
        <v/>
      </c>
      <c r="K137" s="520" t="str">
        <f>IF(B137="","",IF(ISNA(VLOOKUP($B137,'B-1 Site Hedge Baseline'!$B$1:$U$257,13,FALSE)),"",(VLOOKUP($B137,'B-1 Site Hedge Baseline'!$B$1:$U$257,13,FALSE))))</f>
        <v/>
      </c>
      <c r="L137" s="524" t="str">
        <f>IF(B137="","",IF(ISNA(VLOOKUP($B137,'B-1 Site Hedge Baseline'!$B$1:$U$257,12,FALSE)),"",(VLOOKUP($B137,'B-1 Site Hedge Baseline'!$B$1:$U$257,12,FALSE))))</f>
        <v/>
      </c>
      <c r="M137" s="416" t="str">
        <f t="shared" si="15"/>
        <v/>
      </c>
      <c r="N137" s="498" t="str">
        <f>IFERROR(IF(B137="","",INDEX('G-6 Hedgerow Data'!$AN$3:$AZ$15,MATCH(C137,'G-6 Hedgerow Data'!$AM$3:$AM$15,0),MATCH(M137,'G-6 Hedgerow Data'!$AN$2:$AZ$2,0))),"")</f>
        <v/>
      </c>
      <c r="O137" s="499" t="str">
        <f t="shared" si="10"/>
        <v/>
      </c>
      <c r="P137" s="559" t="str">
        <f>IF(B137="","",VLOOKUP(B137,'B-1 Site Hedge Baseline'!$B$10:T382,16,FALSE))</f>
        <v/>
      </c>
      <c r="Q137" s="498" t="str">
        <f>IF(M137="","",VLOOKUP(M137,'G-6 Hedgerow Data'!$B$2:$AG$15,2,FALSE))</f>
        <v/>
      </c>
      <c r="R137" s="499" t="str">
        <f>IF(M137="","",VLOOKUP(M137,'G-6 Hedgerow Data'!$B$2:$AG$15,3,FALSE))</f>
        <v/>
      </c>
      <c r="S137" s="157"/>
      <c r="T137" s="540" t="str">
        <f>IFERROR(VLOOKUP(S137,'G-1 All Habitats'!$Z$2:$AA$9,2,FALSE),"")</f>
        <v/>
      </c>
      <c r="U137" s="154"/>
      <c r="V137" s="520" t="str">
        <f>IF(U137="","",IF(VLOOKUP(U137,'G-3 Multipliers'!$L$3:$N$6,2,FALSE)=0,"Spatial Data Missing ⚠",VLOOKUP(U137,'G-3 Multipliers'!$L$3:$N$6,2,FALSE)))</f>
        <v/>
      </c>
      <c r="W137" s="524" t="str">
        <f>IF(U137="","",IF(VLOOKUP(U137,'G-3 Multipliers'!$L$3:$N$6,3,FALSE)=0,"Spatial Data Missing ⚠",VLOOKUP(U137,'G-3 Multipliers'!$L$3:$N$6,3,FALSE)))</f>
        <v/>
      </c>
      <c r="X137" s="498" t="str">
        <f>IFERROR(IF(OR(LEFT(O137,5)="Error ▲",LEFT(N137,5)="Error ▲",T137="Error ▲"),"Check Data ⚠",IF(F137&lt;R137,INDEX('G-6 Hedgerow Data'!$S$3:$AE$14,MATCH(C137,'G-6 Hedgerow Data'!$B$3:$B$14,0),MATCH(M137,'G-6 Hedgerow Data'!$S$2:$AE$2,0)),INDEX('G-6 Hedgerow Data'!$K$3:$Q$14,MATCH(M137,'G-6 Hedgerow Data'!$B$3:$B$14,0),MATCH(O137,'G-6 Hedgerow Data'!$K$2:$Q$2,0)))),"")</f>
        <v/>
      </c>
      <c r="Y137" s="195"/>
      <c r="Z137" s="195"/>
      <c r="AA137" s="507" t="str">
        <f t="shared" si="11"/>
        <v/>
      </c>
      <c r="AB137" s="521" t="str">
        <f t="shared" si="12"/>
        <v/>
      </c>
      <c r="AC137" s="522" t="str">
        <f t="shared" si="8"/>
        <v/>
      </c>
      <c r="AD137" s="537" t="str">
        <f>IF(M137="","",VLOOKUP(M137,'G-6 Hedgerow Data'!$B$3:$AG$15,31,FALSE))</f>
        <v/>
      </c>
      <c r="AE137" s="507" t="str">
        <f t="shared" si="13"/>
        <v/>
      </c>
      <c r="AF137" s="507" t="str">
        <f t="shared" si="14"/>
        <v/>
      </c>
      <c r="AG137" s="524" t="str">
        <f>IFERROR(IF(O137="","",VLOOKUP(AD137,'G-3 Multipliers'!$P$3:$Q$6,2,FALSE)),"")</f>
        <v/>
      </c>
      <c r="AH137" s="513" t="str">
        <f t="shared" si="9"/>
        <v/>
      </c>
      <c r="AI137" s="231"/>
      <c r="AJ137" s="150"/>
      <c r="AT137" s="31" t="str">
        <f>IFERROR(INDEX('G-6 Hedgerow Data'!$BJ$3:$BJ$15,MATCH(M137,'G-6 Hedgerow Data'!$B$3:$B$15,0)),"")</f>
        <v/>
      </c>
    </row>
    <row r="138" spans="2:46" ht="14" x14ac:dyDescent="0.3">
      <c r="B138" s="531" t="str">
        <f>'B-1 Site Hedge Baseline'!AK136</f>
        <v/>
      </c>
      <c r="C138" s="520" t="str">
        <f>IF(B138="","",IF(ISNA(VLOOKUP($B138,'B-1 Site Hedge Baseline'!$B$1:$L$257,3,FALSE)),"",(VLOOKUP($B138,'B-1 Site Hedge Baseline'!$B$1:$L$257,3,FALSE))))</f>
        <v/>
      </c>
      <c r="D138" s="520" t="str">
        <f>IF(B138="","",IF(ISNA(VLOOKUP($B138,'B-1 Site Hedge Baseline'!$B$1:$L$257,4,FALSE)),"",(VLOOKUP($B138,'B-1 Site Hedge Baseline'!$B$1:$L$257,4,FALSE))))</f>
        <v/>
      </c>
      <c r="E138" s="520" t="str">
        <f>IF(B138="","",IF(ISNA(VLOOKUP($B138,'B-1 Site Hedge Baseline'!$B$1:$L$257,5,FALSE)),"",(VLOOKUP($B138,'B-1 Site Hedge Baseline'!$B$1:$L$257,5,FALSE))))</f>
        <v/>
      </c>
      <c r="F138" s="520" t="str">
        <f>IF(B138="","",IF(ISNA(VLOOKUP($B138,'B-1 Site Hedge Baseline'!$B$1:$L$257,6,FALSE)),"",(VLOOKUP($B138,'B-1 Site Hedge Baseline'!$B$1:$L$257,6,FALSE))))</f>
        <v/>
      </c>
      <c r="G138" s="520" t="str">
        <f>IF(B138="","",IF(ISNA(VLOOKUP($B138,'B-1 Site Hedge Baseline'!$B$1:$L$257,7,FALSE)),"",(VLOOKUP($B138,'B-1 Site Hedge Baseline'!$B$1:$L$257,7,FALSE))))</f>
        <v/>
      </c>
      <c r="H138" s="520" t="str">
        <f>IF(B138="","",IF(ISNA(VLOOKUP($B138,'B-1 Site Hedge Baseline'!$B$1:$L$257,8,FALSE)),"",(VLOOKUP($B138,'B-1 Site Hedge Baseline'!$B$1:$L$257,8,FALSE))))</f>
        <v/>
      </c>
      <c r="I138" s="520" t="str">
        <f>IF(B138="","",IF(ISNA(VLOOKUP($B138,'B-1 Site Hedge Baseline'!$B$1:$L$257,10,FALSE)),"",(VLOOKUP($B138,'B-1 Site Hedge Baseline'!$B$1:$L$257,10,FALSE))))</f>
        <v/>
      </c>
      <c r="J138" s="520" t="str">
        <f>IF(B138="","",IF(ISNA(VLOOKUP($B138,'B-1 Site Hedge Baseline'!$B$1:$L$257,11,FALSE)),"",(VLOOKUP($B138,'B-1 Site Hedge Baseline'!$B$1:$L$257,11,FALSE))))</f>
        <v/>
      </c>
      <c r="K138" s="520" t="str">
        <f>IF(B138="","",IF(ISNA(VLOOKUP($B138,'B-1 Site Hedge Baseline'!$B$1:$U$257,13,FALSE)),"",(VLOOKUP($B138,'B-1 Site Hedge Baseline'!$B$1:$U$257,13,FALSE))))</f>
        <v/>
      </c>
      <c r="L138" s="524" t="str">
        <f>IF(B138="","",IF(ISNA(VLOOKUP($B138,'B-1 Site Hedge Baseline'!$B$1:$U$257,12,FALSE)),"",(VLOOKUP($B138,'B-1 Site Hedge Baseline'!$B$1:$U$257,12,FALSE))))</f>
        <v/>
      </c>
      <c r="M138" s="416" t="str">
        <f t="shared" si="15"/>
        <v/>
      </c>
      <c r="N138" s="498" t="str">
        <f>IFERROR(IF(B138="","",INDEX('G-6 Hedgerow Data'!$AN$3:$AZ$15,MATCH(C138,'G-6 Hedgerow Data'!$AM$3:$AM$15,0),MATCH(M138,'G-6 Hedgerow Data'!$AN$2:$AZ$2,0))),"")</f>
        <v/>
      </c>
      <c r="O138" s="499" t="str">
        <f t="shared" si="10"/>
        <v/>
      </c>
      <c r="P138" s="559" t="str">
        <f>IF(B138="","",VLOOKUP(B138,'B-1 Site Hedge Baseline'!$B$10:T383,16,FALSE))</f>
        <v/>
      </c>
      <c r="Q138" s="498" t="str">
        <f>IF(M138="","",VLOOKUP(M138,'G-6 Hedgerow Data'!$B$2:$AG$15,2,FALSE))</f>
        <v/>
      </c>
      <c r="R138" s="499" t="str">
        <f>IF(M138="","",VLOOKUP(M138,'G-6 Hedgerow Data'!$B$2:$AG$15,3,FALSE))</f>
        <v/>
      </c>
      <c r="S138" s="157"/>
      <c r="T138" s="540" t="str">
        <f>IFERROR(VLOOKUP(S138,'G-1 All Habitats'!$Z$2:$AA$9,2,FALSE),"")</f>
        <v/>
      </c>
      <c r="U138" s="154"/>
      <c r="V138" s="520" t="str">
        <f>IF(U138="","",IF(VLOOKUP(U138,'G-3 Multipliers'!$L$3:$N$6,2,FALSE)=0,"Spatial Data Missing ⚠",VLOOKUP(U138,'G-3 Multipliers'!$L$3:$N$6,2,FALSE)))</f>
        <v/>
      </c>
      <c r="W138" s="524" t="str">
        <f>IF(U138="","",IF(VLOOKUP(U138,'G-3 Multipliers'!$L$3:$N$6,3,FALSE)=0,"Spatial Data Missing ⚠",VLOOKUP(U138,'G-3 Multipliers'!$L$3:$N$6,3,FALSE)))</f>
        <v/>
      </c>
      <c r="X138" s="498" t="str">
        <f>IFERROR(IF(OR(LEFT(O138,5)="Error ▲",LEFT(N138,5)="Error ▲",T138="Error ▲"),"Check Data ⚠",IF(F138&lt;R138,INDEX('G-6 Hedgerow Data'!$S$3:$AE$14,MATCH(C138,'G-6 Hedgerow Data'!$B$3:$B$14,0),MATCH(M138,'G-6 Hedgerow Data'!$S$2:$AE$2,0)),INDEX('G-6 Hedgerow Data'!$K$3:$Q$14,MATCH(M138,'G-6 Hedgerow Data'!$B$3:$B$14,0),MATCH(O138,'G-6 Hedgerow Data'!$K$2:$Q$2,0)))),"")</f>
        <v/>
      </c>
      <c r="Y138" s="195"/>
      <c r="Z138" s="195"/>
      <c r="AA138" s="507" t="str">
        <f t="shared" si="11"/>
        <v/>
      </c>
      <c r="AB138" s="521" t="str">
        <f t="shared" si="12"/>
        <v/>
      </c>
      <c r="AC138" s="522" t="str">
        <f t="shared" si="8"/>
        <v/>
      </c>
      <c r="AD138" s="537" t="str">
        <f>IF(M138="","",VLOOKUP(M138,'G-6 Hedgerow Data'!$B$3:$AG$15,31,FALSE))</f>
        <v/>
      </c>
      <c r="AE138" s="507" t="str">
        <f t="shared" si="13"/>
        <v/>
      </c>
      <c r="AF138" s="507" t="str">
        <f t="shared" si="14"/>
        <v/>
      </c>
      <c r="AG138" s="524" t="str">
        <f>IFERROR(IF(O138="","",VLOOKUP(AD138,'G-3 Multipliers'!$P$3:$Q$6,2,FALSE)),"")</f>
        <v/>
      </c>
      <c r="AH138" s="513" t="str">
        <f t="shared" si="9"/>
        <v/>
      </c>
      <c r="AI138" s="231"/>
      <c r="AJ138" s="150"/>
      <c r="AT138" s="31" t="str">
        <f>IFERROR(INDEX('G-6 Hedgerow Data'!$BJ$3:$BJ$15,MATCH(M138,'G-6 Hedgerow Data'!$B$3:$B$15,0)),"")</f>
        <v/>
      </c>
    </row>
    <row r="139" spans="2:46" ht="14" x14ac:dyDescent="0.3">
      <c r="B139" s="531" t="str">
        <f>'B-1 Site Hedge Baseline'!AK137</f>
        <v/>
      </c>
      <c r="C139" s="520" t="str">
        <f>IF(B139="","",IF(ISNA(VLOOKUP($B139,'B-1 Site Hedge Baseline'!$B$1:$L$257,3,FALSE)),"",(VLOOKUP($B139,'B-1 Site Hedge Baseline'!$B$1:$L$257,3,FALSE))))</f>
        <v/>
      </c>
      <c r="D139" s="520" t="str">
        <f>IF(B139="","",IF(ISNA(VLOOKUP($B139,'B-1 Site Hedge Baseline'!$B$1:$L$257,4,FALSE)),"",(VLOOKUP($B139,'B-1 Site Hedge Baseline'!$B$1:$L$257,4,FALSE))))</f>
        <v/>
      </c>
      <c r="E139" s="520" t="str">
        <f>IF(B139="","",IF(ISNA(VLOOKUP($B139,'B-1 Site Hedge Baseline'!$B$1:$L$257,5,FALSE)),"",(VLOOKUP($B139,'B-1 Site Hedge Baseline'!$B$1:$L$257,5,FALSE))))</f>
        <v/>
      </c>
      <c r="F139" s="520" t="str">
        <f>IF(B139="","",IF(ISNA(VLOOKUP($B139,'B-1 Site Hedge Baseline'!$B$1:$L$257,6,FALSE)),"",(VLOOKUP($B139,'B-1 Site Hedge Baseline'!$B$1:$L$257,6,FALSE))))</f>
        <v/>
      </c>
      <c r="G139" s="520" t="str">
        <f>IF(B139="","",IF(ISNA(VLOOKUP($B139,'B-1 Site Hedge Baseline'!$B$1:$L$257,7,FALSE)),"",(VLOOKUP($B139,'B-1 Site Hedge Baseline'!$B$1:$L$257,7,FALSE))))</f>
        <v/>
      </c>
      <c r="H139" s="520" t="str">
        <f>IF(B139="","",IF(ISNA(VLOOKUP($B139,'B-1 Site Hedge Baseline'!$B$1:$L$257,8,FALSE)),"",(VLOOKUP($B139,'B-1 Site Hedge Baseline'!$B$1:$L$257,8,FALSE))))</f>
        <v/>
      </c>
      <c r="I139" s="520" t="str">
        <f>IF(B139="","",IF(ISNA(VLOOKUP($B139,'B-1 Site Hedge Baseline'!$B$1:$L$257,10,FALSE)),"",(VLOOKUP($B139,'B-1 Site Hedge Baseline'!$B$1:$L$257,10,FALSE))))</f>
        <v/>
      </c>
      <c r="J139" s="520" t="str">
        <f>IF(B139="","",IF(ISNA(VLOOKUP($B139,'B-1 Site Hedge Baseline'!$B$1:$L$257,11,FALSE)),"",(VLOOKUP($B139,'B-1 Site Hedge Baseline'!$B$1:$L$257,11,FALSE))))</f>
        <v/>
      </c>
      <c r="K139" s="520" t="str">
        <f>IF(B139="","",IF(ISNA(VLOOKUP($B139,'B-1 Site Hedge Baseline'!$B$1:$U$257,13,FALSE)),"",(VLOOKUP($B139,'B-1 Site Hedge Baseline'!$B$1:$U$257,13,FALSE))))</f>
        <v/>
      </c>
      <c r="L139" s="524" t="str">
        <f>IF(B139="","",IF(ISNA(VLOOKUP($B139,'B-1 Site Hedge Baseline'!$B$1:$U$257,12,FALSE)),"",(VLOOKUP($B139,'B-1 Site Hedge Baseline'!$B$1:$U$257,12,FALSE))))</f>
        <v/>
      </c>
      <c r="M139" s="416" t="str">
        <f t="shared" si="15"/>
        <v/>
      </c>
      <c r="N139" s="498" t="str">
        <f>IFERROR(IF(B139="","",INDEX('G-6 Hedgerow Data'!$AN$3:$AZ$15,MATCH(C139,'G-6 Hedgerow Data'!$AM$3:$AM$15,0),MATCH(M139,'G-6 Hedgerow Data'!$AN$2:$AZ$2,0))),"")</f>
        <v/>
      </c>
      <c r="O139" s="499" t="str">
        <f t="shared" si="10"/>
        <v/>
      </c>
      <c r="P139" s="559" t="str">
        <f>IF(B139="","",VLOOKUP(B139,'B-1 Site Hedge Baseline'!$B$10:T384,16,FALSE))</f>
        <v/>
      </c>
      <c r="Q139" s="498" t="str">
        <f>IF(M139="","",VLOOKUP(M139,'G-6 Hedgerow Data'!$B$2:$AG$15,2,FALSE))</f>
        <v/>
      </c>
      <c r="R139" s="499" t="str">
        <f>IF(M139="","",VLOOKUP(M139,'G-6 Hedgerow Data'!$B$2:$AG$15,3,FALSE))</f>
        <v/>
      </c>
      <c r="S139" s="157"/>
      <c r="T139" s="540" t="str">
        <f>IFERROR(VLOOKUP(S139,'G-1 All Habitats'!$Z$2:$AA$9,2,FALSE),"")</f>
        <v/>
      </c>
      <c r="U139" s="154"/>
      <c r="V139" s="520" t="str">
        <f>IF(U139="","",IF(VLOOKUP(U139,'G-3 Multipliers'!$L$3:$N$6,2,FALSE)=0,"Spatial Data Missing ⚠",VLOOKUP(U139,'G-3 Multipliers'!$L$3:$N$6,2,FALSE)))</f>
        <v/>
      </c>
      <c r="W139" s="524" t="str">
        <f>IF(U139="","",IF(VLOOKUP(U139,'G-3 Multipliers'!$L$3:$N$6,3,FALSE)=0,"Spatial Data Missing ⚠",VLOOKUP(U139,'G-3 Multipliers'!$L$3:$N$6,3,FALSE)))</f>
        <v/>
      </c>
      <c r="X139" s="498" t="str">
        <f>IFERROR(IF(OR(LEFT(O139,5)="Error ▲",LEFT(N139,5)="Error ▲",T139="Error ▲"),"Check Data ⚠",IF(F139&lt;R139,INDEX('G-6 Hedgerow Data'!$S$3:$AE$14,MATCH(C139,'G-6 Hedgerow Data'!$B$3:$B$14,0),MATCH(M139,'G-6 Hedgerow Data'!$S$2:$AE$2,0)),INDEX('G-6 Hedgerow Data'!$K$3:$Q$14,MATCH(M139,'G-6 Hedgerow Data'!$B$3:$B$14,0),MATCH(O139,'G-6 Hedgerow Data'!$K$2:$Q$2,0)))),"")</f>
        <v/>
      </c>
      <c r="Y139" s="195"/>
      <c r="Z139" s="195"/>
      <c r="AA139" s="507" t="str">
        <f t="shared" si="11"/>
        <v/>
      </c>
      <c r="AB139" s="521" t="str">
        <f t="shared" si="12"/>
        <v/>
      </c>
      <c r="AC139" s="522" t="str">
        <f t="shared" si="8"/>
        <v/>
      </c>
      <c r="AD139" s="537" t="str">
        <f>IF(M139="","",VLOOKUP(M139,'G-6 Hedgerow Data'!$B$3:$AG$15,31,FALSE))</f>
        <v/>
      </c>
      <c r="AE139" s="507" t="str">
        <f t="shared" si="13"/>
        <v/>
      </c>
      <c r="AF139" s="507" t="str">
        <f t="shared" si="14"/>
        <v/>
      </c>
      <c r="AG139" s="524" t="str">
        <f>IFERROR(IF(O139="","",VLOOKUP(AD139,'G-3 Multipliers'!$P$3:$Q$6,2,FALSE)),"")</f>
        <v/>
      </c>
      <c r="AH139" s="513" t="str">
        <f t="shared" si="9"/>
        <v/>
      </c>
      <c r="AI139" s="231"/>
      <c r="AJ139" s="150"/>
      <c r="AT139" s="31" t="str">
        <f>IFERROR(INDEX('G-6 Hedgerow Data'!$BJ$3:$BJ$15,MATCH(M139,'G-6 Hedgerow Data'!$B$3:$B$15,0)),"")</f>
        <v/>
      </c>
    </row>
    <row r="140" spans="2:46" ht="14" x14ac:dyDescent="0.3">
      <c r="B140" s="531" t="str">
        <f>'B-1 Site Hedge Baseline'!AK138</f>
        <v/>
      </c>
      <c r="C140" s="520" t="str">
        <f>IF(B140="","",IF(ISNA(VLOOKUP($B140,'B-1 Site Hedge Baseline'!$B$1:$L$257,3,FALSE)),"",(VLOOKUP($B140,'B-1 Site Hedge Baseline'!$B$1:$L$257,3,FALSE))))</f>
        <v/>
      </c>
      <c r="D140" s="520" t="str">
        <f>IF(B140="","",IF(ISNA(VLOOKUP($B140,'B-1 Site Hedge Baseline'!$B$1:$L$257,4,FALSE)),"",(VLOOKUP($B140,'B-1 Site Hedge Baseline'!$B$1:$L$257,4,FALSE))))</f>
        <v/>
      </c>
      <c r="E140" s="520" t="str">
        <f>IF(B140="","",IF(ISNA(VLOOKUP($B140,'B-1 Site Hedge Baseline'!$B$1:$L$257,5,FALSE)),"",(VLOOKUP($B140,'B-1 Site Hedge Baseline'!$B$1:$L$257,5,FALSE))))</f>
        <v/>
      </c>
      <c r="F140" s="520" t="str">
        <f>IF(B140="","",IF(ISNA(VLOOKUP($B140,'B-1 Site Hedge Baseline'!$B$1:$L$257,6,FALSE)),"",(VLOOKUP($B140,'B-1 Site Hedge Baseline'!$B$1:$L$257,6,FALSE))))</f>
        <v/>
      </c>
      <c r="G140" s="520" t="str">
        <f>IF(B140="","",IF(ISNA(VLOOKUP($B140,'B-1 Site Hedge Baseline'!$B$1:$L$257,7,FALSE)),"",(VLOOKUP($B140,'B-1 Site Hedge Baseline'!$B$1:$L$257,7,FALSE))))</f>
        <v/>
      </c>
      <c r="H140" s="520" t="str">
        <f>IF(B140="","",IF(ISNA(VLOOKUP($B140,'B-1 Site Hedge Baseline'!$B$1:$L$257,8,FALSE)),"",(VLOOKUP($B140,'B-1 Site Hedge Baseline'!$B$1:$L$257,8,FALSE))))</f>
        <v/>
      </c>
      <c r="I140" s="520" t="str">
        <f>IF(B140="","",IF(ISNA(VLOOKUP($B140,'B-1 Site Hedge Baseline'!$B$1:$L$257,10,FALSE)),"",(VLOOKUP($B140,'B-1 Site Hedge Baseline'!$B$1:$L$257,10,FALSE))))</f>
        <v/>
      </c>
      <c r="J140" s="520" t="str">
        <f>IF(B140="","",IF(ISNA(VLOOKUP($B140,'B-1 Site Hedge Baseline'!$B$1:$L$257,11,FALSE)),"",(VLOOKUP($B140,'B-1 Site Hedge Baseline'!$B$1:$L$257,11,FALSE))))</f>
        <v/>
      </c>
      <c r="K140" s="520" t="str">
        <f>IF(B140="","",IF(ISNA(VLOOKUP($B140,'B-1 Site Hedge Baseline'!$B$1:$U$257,13,FALSE)),"",(VLOOKUP($B140,'B-1 Site Hedge Baseline'!$B$1:$U$257,13,FALSE))))</f>
        <v/>
      </c>
      <c r="L140" s="524" t="str">
        <f>IF(B140="","",IF(ISNA(VLOOKUP($B140,'B-1 Site Hedge Baseline'!$B$1:$U$257,12,FALSE)),"",(VLOOKUP($B140,'B-1 Site Hedge Baseline'!$B$1:$U$257,12,FALSE))))</f>
        <v/>
      </c>
      <c r="M140" s="416" t="str">
        <f t="shared" si="15"/>
        <v/>
      </c>
      <c r="N140" s="498" t="str">
        <f>IFERROR(IF(B140="","",INDEX('G-6 Hedgerow Data'!$AN$3:$AZ$15,MATCH(C140,'G-6 Hedgerow Data'!$AM$3:$AM$15,0),MATCH(M140,'G-6 Hedgerow Data'!$AN$2:$AZ$2,0))),"")</f>
        <v/>
      </c>
      <c r="O140" s="499" t="str">
        <f t="shared" si="10"/>
        <v/>
      </c>
      <c r="P140" s="559" t="str">
        <f>IF(B140="","",VLOOKUP(B140,'B-1 Site Hedge Baseline'!$B$10:T385,16,FALSE))</f>
        <v/>
      </c>
      <c r="Q140" s="498" t="str">
        <f>IF(M140="","",VLOOKUP(M140,'G-6 Hedgerow Data'!$B$2:$AG$15,2,FALSE))</f>
        <v/>
      </c>
      <c r="R140" s="499" t="str">
        <f>IF(M140="","",VLOOKUP(M140,'G-6 Hedgerow Data'!$B$2:$AG$15,3,FALSE))</f>
        <v/>
      </c>
      <c r="S140" s="157"/>
      <c r="T140" s="540" t="str">
        <f>IFERROR(VLOOKUP(S140,'G-1 All Habitats'!$Z$2:$AA$9,2,FALSE),"")</f>
        <v/>
      </c>
      <c r="U140" s="154"/>
      <c r="V140" s="520" t="str">
        <f>IF(U140="","",IF(VLOOKUP(U140,'G-3 Multipliers'!$L$3:$N$6,2,FALSE)=0,"Spatial Data Missing ⚠",VLOOKUP(U140,'G-3 Multipliers'!$L$3:$N$6,2,FALSE)))</f>
        <v/>
      </c>
      <c r="W140" s="524" t="str">
        <f>IF(U140="","",IF(VLOOKUP(U140,'G-3 Multipliers'!$L$3:$N$6,3,FALSE)=0,"Spatial Data Missing ⚠",VLOOKUP(U140,'G-3 Multipliers'!$L$3:$N$6,3,FALSE)))</f>
        <v/>
      </c>
      <c r="X140" s="498" t="str">
        <f>IFERROR(IF(OR(LEFT(O140,5)="Error ▲",LEFT(N140,5)="Error ▲",T140="Error ▲"),"Check Data ⚠",IF(F140&lt;R140,INDEX('G-6 Hedgerow Data'!$S$3:$AE$14,MATCH(C140,'G-6 Hedgerow Data'!$B$3:$B$14,0),MATCH(M140,'G-6 Hedgerow Data'!$S$2:$AE$2,0)),INDEX('G-6 Hedgerow Data'!$K$3:$Q$14,MATCH(M140,'G-6 Hedgerow Data'!$B$3:$B$14,0),MATCH(O140,'G-6 Hedgerow Data'!$K$2:$Q$2,0)))),"")</f>
        <v/>
      </c>
      <c r="Y140" s="195"/>
      <c r="Z140" s="195"/>
      <c r="AA140" s="507" t="str">
        <f t="shared" si="11"/>
        <v/>
      </c>
      <c r="AB140" s="521" t="str">
        <f t="shared" si="12"/>
        <v/>
      </c>
      <c r="AC140" s="522" t="str">
        <f t="shared" ref="AC140:AC203" si="16">IF(OR(S140="",M140=""),"",IF(LEFT(AB140,5)="Error ▲","Check Data ⚠",IF(AB140="Check Data ⚠","Check Data ⚠",VLOOKUP(AB140,TemporalMultipliers,3,FALSE))))</f>
        <v/>
      </c>
      <c r="AD140" s="537" t="str">
        <f>IF(M140="","",VLOOKUP(M140,'G-6 Hedgerow Data'!$B$3:$AG$15,31,FALSE))</f>
        <v/>
      </c>
      <c r="AE140" s="507" t="str">
        <f t="shared" si="13"/>
        <v/>
      </c>
      <c r="AF140" s="507" t="str">
        <f t="shared" si="14"/>
        <v/>
      </c>
      <c r="AG140" s="524" t="str">
        <f>IFERROR(IF(O140="","",VLOOKUP(AD140,'G-3 Multipliers'!$P$3:$Q$6,2,FALSE)),"")</f>
        <v/>
      </c>
      <c r="AH140" s="513" t="str">
        <f t="shared" ref="AH140:AH203" si="17">IFERROR(IF(OR(M140="",S140="",U140=""),"",(((((P140*R140*T140)-(P140*F140*H140))*(AG140*AC140))+(P140*F140*H140))*(W140))),"")</f>
        <v/>
      </c>
      <c r="AI140" s="231"/>
      <c r="AJ140" s="150"/>
      <c r="AT140" s="31" t="str">
        <f>IFERROR(INDEX('G-6 Hedgerow Data'!$BJ$3:$BJ$15,MATCH(M140,'G-6 Hedgerow Data'!$B$3:$B$15,0)),"")</f>
        <v/>
      </c>
    </row>
    <row r="141" spans="2:46" ht="14" x14ac:dyDescent="0.3">
      <c r="B141" s="531" t="str">
        <f>'B-1 Site Hedge Baseline'!AK139</f>
        <v/>
      </c>
      <c r="C141" s="520" t="str">
        <f>IF(B141="","",IF(ISNA(VLOOKUP($B141,'B-1 Site Hedge Baseline'!$B$1:$L$257,3,FALSE)),"",(VLOOKUP($B141,'B-1 Site Hedge Baseline'!$B$1:$L$257,3,FALSE))))</f>
        <v/>
      </c>
      <c r="D141" s="520" t="str">
        <f>IF(B141="","",IF(ISNA(VLOOKUP($B141,'B-1 Site Hedge Baseline'!$B$1:$L$257,4,FALSE)),"",(VLOOKUP($B141,'B-1 Site Hedge Baseline'!$B$1:$L$257,4,FALSE))))</f>
        <v/>
      </c>
      <c r="E141" s="520" t="str">
        <f>IF(B141="","",IF(ISNA(VLOOKUP($B141,'B-1 Site Hedge Baseline'!$B$1:$L$257,5,FALSE)),"",(VLOOKUP($B141,'B-1 Site Hedge Baseline'!$B$1:$L$257,5,FALSE))))</f>
        <v/>
      </c>
      <c r="F141" s="520" t="str">
        <f>IF(B141="","",IF(ISNA(VLOOKUP($B141,'B-1 Site Hedge Baseline'!$B$1:$L$257,6,FALSE)),"",(VLOOKUP($B141,'B-1 Site Hedge Baseline'!$B$1:$L$257,6,FALSE))))</f>
        <v/>
      </c>
      <c r="G141" s="520" t="str">
        <f>IF(B141="","",IF(ISNA(VLOOKUP($B141,'B-1 Site Hedge Baseline'!$B$1:$L$257,7,FALSE)),"",(VLOOKUP($B141,'B-1 Site Hedge Baseline'!$B$1:$L$257,7,FALSE))))</f>
        <v/>
      </c>
      <c r="H141" s="520" t="str">
        <f>IF(B141="","",IF(ISNA(VLOOKUP($B141,'B-1 Site Hedge Baseline'!$B$1:$L$257,8,FALSE)),"",(VLOOKUP($B141,'B-1 Site Hedge Baseline'!$B$1:$L$257,8,FALSE))))</f>
        <v/>
      </c>
      <c r="I141" s="520" t="str">
        <f>IF(B141="","",IF(ISNA(VLOOKUP($B141,'B-1 Site Hedge Baseline'!$B$1:$L$257,10,FALSE)),"",(VLOOKUP($B141,'B-1 Site Hedge Baseline'!$B$1:$L$257,10,FALSE))))</f>
        <v/>
      </c>
      <c r="J141" s="520" t="str">
        <f>IF(B141="","",IF(ISNA(VLOOKUP($B141,'B-1 Site Hedge Baseline'!$B$1:$L$257,11,FALSE)),"",(VLOOKUP($B141,'B-1 Site Hedge Baseline'!$B$1:$L$257,11,FALSE))))</f>
        <v/>
      </c>
      <c r="K141" s="520" t="str">
        <f>IF(B141="","",IF(ISNA(VLOOKUP($B141,'B-1 Site Hedge Baseline'!$B$1:$U$257,13,FALSE)),"",(VLOOKUP($B141,'B-1 Site Hedge Baseline'!$B$1:$U$257,13,FALSE))))</f>
        <v/>
      </c>
      <c r="L141" s="524" t="str">
        <f>IF(B141="","",IF(ISNA(VLOOKUP($B141,'B-1 Site Hedge Baseline'!$B$1:$U$257,12,FALSE)),"",(VLOOKUP($B141,'B-1 Site Hedge Baseline'!$B$1:$U$257,12,FALSE))))</f>
        <v/>
      </c>
      <c r="M141" s="416" t="str">
        <f t="shared" si="15"/>
        <v/>
      </c>
      <c r="N141" s="498" t="str">
        <f>IFERROR(IF(B141="","",INDEX('G-6 Hedgerow Data'!$AN$3:$AZ$15,MATCH(C141,'G-6 Hedgerow Data'!$AM$3:$AM$15,0),MATCH(M141,'G-6 Hedgerow Data'!$AN$2:$AZ$2,0))),"")</f>
        <v/>
      </c>
      <c r="O141" s="499" t="str">
        <f t="shared" ref="O141:O204" si="18">IFERROR(IF(B141="","",IF(AND(LEFT(C141,55)&lt;&gt;LEFT(M141,55),N141="High - High"),"Error - Not like for like ▲",IF(AND(LEFT(C141,55)&lt;&gt;LEFT(M141,55),N141="Medium - Medium"),"Error - Not like for like ▲",IF(H141&gt;T141,"Error - Can not reduce condition ▲",IF(AND(F141=R141,H141=T141),"Error - No enhancement ▲",IF(AND(C141&lt;&gt;M141,F141&lt;R141),"Lower Distinctiveness Habitat"&amp;" - "&amp;S141,G141&amp;" - "&amp;S141)))))),"")</f>
        <v/>
      </c>
      <c r="P141" s="559" t="str">
        <f>IF(B141="","",VLOOKUP(B141,'B-1 Site Hedge Baseline'!$B$10:T386,16,FALSE))</f>
        <v/>
      </c>
      <c r="Q141" s="498" t="str">
        <f>IF(M141="","",VLOOKUP(M141,'G-6 Hedgerow Data'!$B$2:$AG$15,2,FALSE))</f>
        <v/>
      </c>
      <c r="R141" s="499" t="str">
        <f>IF(M141="","",VLOOKUP(M141,'G-6 Hedgerow Data'!$B$2:$AG$15,3,FALSE))</f>
        <v/>
      </c>
      <c r="S141" s="157"/>
      <c r="T141" s="540" t="str">
        <f>IFERROR(VLOOKUP(S141,'G-1 All Habitats'!$Z$2:$AA$9,2,FALSE),"")</f>
        <v/>
      </c>
      <c r="U141" s="154"/>
      <c r="V141" s="520" t="str">
        <f>IF(U141="","",IF(VLOOKUP(U141,'G-3 Multipliers'!$L$3:$N$6,2,FALSE)=0,"Spatial Data Missing ⚠",VLOOKUP(U141,'G-3 Multipliers'!$L$3:$N$6,2,FALSE)))</f>
        <v/>
      </c>
      <c r="W141" s="524" t="str">
        <f>IF(U141="","",IF(VLOOKUP(U141,'G-3 Multipliers'!$L$3:$N$6,3,FALSE)=0,"Spatial Data Missing ⚠",VLOOKUP(U141,'G-3 Multipliers'!$L$3:$N$6,3,FALSE)))</f>
        <v/>
      </c>
      <c r="X141" s="498" t="str">
        <f>IFERROR(IF(OR(LEFT(O141,5)="Error ▲",LEFT(N141,5)="Error ▲",T141="Error ▲"),"Check Data ⚠",IF(F141&lt;R141,INDEX('G-6 Hedgerow Data'!$S$3:$AE$14,MATCH(C141,'G-6 Hedgerow Data'!$B$3:$B$14,0),MATCH(M141,'G-6 Hedgerow Data'!$S$2:$AE$2,0)),INDEX('G-6 Hedgerow Data'!$K$3:$Q$14,MATCH(M141,'G-6 Hedgerow Data'!$B$3:$B$14,0),MATCH(O141,'G-6 Hedgerow Data'!$K$2:$Q$2,0)))),"")</f>
        <v/>
      </c>
      <c r="Y141" s="195"/>
      <c r="Z141" s="195"/>
      <c r="AA141" s="507" t="str">
        <f t="shared" ref="AA141:AA204" si="19">IF(X141="Check Data ⚠","Check Data ⚠",IF(M141="","",IF(AND(Y141&gt;0,Z141&gt;0),"Error -both advance and delayed habitat creation ▲",IF(AND(OR(Y141="Habitat already in target condition",X141&lt;=Y141),Z141=0),"Check details - Is there evidence that habitat has reached target condition? ⚠",IF(X141="","",IF(Y141&gt;0,"Check details - Is there evidence habitat creation started/in place? ⚠",IF(Z141&gt;0,"Check details- Delay in starting habitat in required condition? ⚠","Standard time to target condition applied")))))))</f>
        <v/>
      </c>
      <c r="AB141" s="521" t="str">
        <f t="shared" ref="AB141:AB204" si="20">IF(X141="","",IF(AA141="Check Data ⚠","Check Data ⚠",IF(Y141="30+",0,IF(Z141="30+","30+ ⚠",IF(X141+Z141&gt;30,"30+ ⚠",IF(LEFT(AA141,5)="Error ▲","Check Data ⚠",IF(X141+Z141-Y141&gt;0,X141+Z141-Y141,IF(X141-Y141&lt;=0,0,))))))))</f>
        <v/>
      </c>
      <c r="AC141" s="522" t="str">
        <f t="shared" si="16"/>
        <v/>
      </c>
      <c r="AD141" s="537" t="str">
        <f>IF(M141="","",VLOOKUP(M141,'G-6 Hedgerow Data'!$B$3:$AG$15,31,FALSE))</f>
        <v/>
      </c>
      <c r="AE141" s="507" t="str">
        <f t="shared" ref="AE141:AE204" si="21">IF(M141="","",IF(OR(LEFT(AA141,5)="Error ▲",AA141="Check Data ⚠"),"Check Data ⚠",IF(X141="","",IF($AA141="Check details - Is there evidence that habitat has reached target condition? ⚠","Low Difficulty - only applicable if all habitat created before losses ⚠","Standard difficulty applied"))))</f>
        <v/>
      </c>
      <c r="AF141" s="507" t="str">
        <f t="shared" ref="AF141:AF204" si="22">(IF(AND(AE141="Standard difficulty applied",X141&gt;Y141),AD141,IF(AND(AE141="Low Difficulty - only applicable if all habitat created before losses ⚠",Y141&gt;=X141),"Low",AD141)))</f>
        <v/>
      </c>
      <c r="AG141" s="524" t="str">
        <f>IFERROR(IF(O141="","",VLOOKUP(AD141,'G-3 Multipliers'!$P$3:$Q$6,2,FALSE)),"")</f>
        <v/>
      </c>
      <c r="AH141" s="513" t="str">
        <f t="shared" si="17"/>
        <v/>
      </c>
      <c r="AI141" s="231"/>
      <c r="AJ141" s="150"/>
      <c r="AT141" s="31" t="str">
        <f>IFERROR(INDEX('G-6 Hedgerow Data'!$BJ$3:$BJ$15,MATCH(M141,'G-6 Hedgerow Data'!$B$3:$B$15,0)),"")</f>
        <v/>
      </c>
    </row>
    <row r="142" spans="2:46" ht="14" x14ac:dyDescent="0.3">
      <c r="B142" s="531" t="str">
        <f>'B-1 Site Hedge Baseline'!AK140</f>
        <v/>
      </c>
      <c r="C142" s="520" t="str">
        <f>IF(B142="","",IF(ISNA(VLOOKUP($B142,'B-1 Site Hedge Baseline'!$B$1:$L$257,3,FALSE)),"",(VLOOKUP($B142,'B-1 Site Hedge Baseline'!$B$1:$L$257,3,FALSE))))</f>
        <v/>
      </c>
      <c r="D142" s="520" t="str">
        <f>IF(B142="","",IF(ISNA(VLOOKUP($B142,'B-1 Site Hedge Baseline'!$B$1:$L$257,4,FALSE)),"",(VLOOKUP($B142,'B-1 Site Hedge Baseline'!$B$1:$L$257,4,FALSE))))</f>
        <v/>
      </c>
      <c r="E142" s="520" t="str">
        <f>IF(B142="","",IF(ISNA(VLOOKUP($B142,'B-1 Site Hedge Baseline'!$B$1:$L$257,5,FALSE)),"",(VLOOKUP($B142,'B-1 Site Hedge Baseline'!$B$1:$L$257,5,FALSE))))</f>
        <v/>
      </c>
      <c r="F142" s="520" t="str">
        <f>IF(B142="","",IF(ISNA(VLOOKUP($B142,'B-1 Site Hedge Baseline'!$B$1:$L$257,6,FALSE)),"",(VLOOKUP($B142,'B-1 Site Hedge Baseline'!$B$1:$L$257,6,FALSE))))</f>
        <v/>
      </c>
      <c r="G142" s="520" t="str">
        <f>IF(B142="","",IF(ISNA(VLOOKUP($B142,'B-1 Site Hedge Baseline'!$B$1:$L$257,7,FALSE)),"",(VLOOKUP($B142,'B-1 Site Hedge Baseline'!$B$1:$L$257,7,FALSE))))</f>
        <v/>
      </c>
      <c r="H142" s="520" t="str">
        <f>IF(B142="","",IF(ISNA(VLOOKUP($B142,'B-1 Site Hedge Baseline'!$B$1:$L$257,8,FALSE)),"",(VLOOKUP($B142,'B-1 Site Hedge Baseline'!$B$1:$L$257,8,FALSE))))</f>
        <v/>
      </c>
      <c r="I142" s="520" t="str">
        <f>IF(B142="","",IF(ISNA(VLOOKUP($B142,'B-1 Site Hedge Baseline'!$B$1:$L$257,10,FALSE)),"",(VLOOKUP($B142,'B-1 Site Hedge Baseline'!$B$1:$L$257,10,FALSE))))</f>
        <v/>
      </c>
      <c r="J142" s="520" t="str">
        <f>IF(B142="","",IF(ISNA(VLOOKUP($B142,'B-1 Site Hedge Baseline'!$B$1:$L$257,11,FALSE)),"",(VLOOKUP($B142,'B-1 Site Hedge Baseline'!$B$1:$L$257,11,FALSE))))</f>
        <v/>
      </c>
      <c r="K142" s="520" t="str">
        <f>IF(B142="","",IF(ISNA(VLOOKUP($B142,'B-1 Site Hedge Baseline'!$B$1:$U$257,13,FALSE)),"",(VLOOKUP($B142,'B-1 Site Hedge Baseline'!$B$1:$U$257,13,FALSE))))</f>
        <v/>
      </c>
      <c r="L142" s="524" t="str">
        <f>IF(B142="","",IF(ISNA(VLOOKUP($B142,'B-1 Site Hedge Baseline'!$B$1:$U$257,12,FALSE)),"",(VLOOKUP($B142,'B-1 Site Hedge Baseline'!$B$1:$U$257,12,FALSE))))</f>
        <v/>
      </c>
      <c r="M142" s="416" t="str">
        <f t="shared" ref="M142:M205" si="23">IF(B142="","",C142)</f>
        <v/>
      </c>
      <c r="N142" s="498" t="str">
        <f>IFERROR(IF(B142="","",INDEX('G-6 Hedgerow Data'!$AN$3:$AZ$15,MATCH(C142,'G-6 Hedgerow Data'!$AM$3:$AM$15,0),MATCH(M142,'G-6 Hedgerow Data'!$AN$2:$AZ$2,0))),"")</f>
        <v/>
      </c>
      <c r="O142" s="499" t="str">
        <f t="shared" si="18"/>
        <v/>
      </c>
      <c r="P142" s="559" t="str">
        <f>IF(B142="","",VLOOKUP(B142,'B-1 Site Hedge Baseline'!$B$10:T387,16,FALSE))</f>
        <v/>
      </c>
      <c r="Q142" s="498" t="str">
        <f>IF(M142="","",VLOOKUP(M142,'G-6 Hedgerow Data'!$B$2:$AG$15,2,FALSE))</f>
        <v/>
      </c>
      <c r="R142" s="499" t="str">
        <f>IF(M142="","",VLOOKUP(M142,'G-6 Hedgerow Data'!$B$2:$AG$15,3,FALSE))</f>
        <v/>
      </c>
      <c r="S142" s="157"/>
      <c r="T142" s="540" t="str">
        <f>IFERROR(VLOOKUP(S142,'G-1 All Habitats'!$Z$2:$AA$9,2,FALSE),"")</f>
        <v/>
      </c>
      <c r="U142" s="154"/>
      <c r="V142" s="520" t="str">
        <f>IF(U142="","",IF(VLOOKUP(U142,'G-3 Multipliers'!$L$3:$N$6,2,FALSE)=0,"Spatial Data Missing ⚠",VLOOKUP(U142,'G-3 Multipliers'!$L$3:$N$6,2,FALSE)))</f>
        <v/>
      </c>
      <c r="W142" s="524" t="str">
        <f>IF(U142="","",IF(VLOOKUP(U142,'G-3 Multipliers'!$L$3:$N$6,3,FALSE)=0,"Spatial Data Missing ⚠",VLOOKUP(U142,'G-3 Multipliers'!$L$3:$N$6,3,FALSE)))</f>
        <v/>
      </c>
      <c r="X142" s="498" t="str">
        <f>IFERROR(IF(OR(LEFT(O142,5)="Error ▲",LEFT(N142,5)="Error ▲",T142="Error ▲"),"Check Data ⚠",IF(F142&lt;R142,INDEX('G-6 Hedgerow Data'!$S$3:$AE$14,MATCH(C142,'G-6 Hedgerow Data'!$B$3:$B$14,0),MATCH(M142,'G-6 Hedgerow Data'!$S$2:$AE$2,0)),INDEX('G-6 Hedgerow Data'!$K$3:$Q$14,MATCH(M142,'G-6 Hedgerow Data'!$B$3:$B$14,0),MATCH(O142,'G-6 Hedgerow Data'!$K$2:$Q$2,0)))),"")</f>
        <v/>
      </c>
      <c r="Y142" s="195"/>
      <c r="Z142" s="195"/>
      <c r="AA142" s="507" t="str">
        <f t="shared" si="19"/>
        <v/>
      </c>
      <c r="AB142" s="521" t="str">
        <f t="shared" si="20"/>
        <v/>
      </c>
      <c r="AC142" s="522" t="str">
        <f t="shared" si="16"/>
        <v/>
      </c>
      <c r="AD142" s="537" t="str">
        <f>IF(M142="","",VLOOKUP(M142,'G-6 Hedgerow Data'!$B$3:$AG$15,31,FALSE))</f>
        <v/>
      </c>
      <c r="AE142" s="507" t="str">
        <f t="shared" si="21"/>
        <v/>
      </c>
      <c r="AF142" s="507" t="str">
        <f t="shared" si="22"/>
        <v/>
      </c>
      <c r="AG142" s="524" t="str">
        <f>IFERROR(IF(O142="","",VLOOKUP(AD142,'G-3 Multipliers'!$P$3:$Q$6,2,FALSE)),"")</f>
        <v/>
      </c>
      <c r="AH142" s="513" t="str">
        <f t="shared" si="17"/>
        <v/>
      </c>
      <c r="AI142" s="231"/>
      <c r="AJ142" s="150"/>
      <c r="AT142" s="31" t="str">
        <f>IFERROR(INDEX('G-6 Hedgerow Data'!$BJ$3:$BJ$15,MATCH(M142,'G-6 Hedgerow Data'!$B$3:$B$15,0)),"")</f>
        <v/>
      </c>
    </row>
    <row r="143" spans="2:46" ht="14" x14ac:dyDescent="0.3">
      <c r="B143" s="531" t="str">
        <f>'B-1 Site Hedge Baseline'!AK141</f>
        <v/>
      </c>
      <c r="C143" s="520" t="str">
        <f>IF(B143="","",IF(ISNA(VLOOKUP($B143,'B-1 Site Hedge Baseline'!$B$1:$L$257,3,FALSE)),"",(VLOOKUP($B143,'B-1 Site Hedge Baseline'!$B$1:$L$257,3,FALSE))))</f>
        <v/>
      </c>
      <c r="D143" s="520" t="str">
        <f>IF(B143="","",IF(ISNA(VLOOKUP($B143,'B-1 Site Hedge Baseline'!$B$1:$L$257,4,FALSE)),"",(VLOOKUP($B143,'B-1 Site Hedge Baseline'!$B$1:$L$257,4,FALSE))))</f>
        <v/>
      </c>
      <c r="E143" s="520" t="str">
        <f>IF(B143="","",IF(ISNA(VLOOKUP($B143,'B-1 Site Hedge Baseline'!$B$1:$L$257,5,FALSE)),"",(VLOOKUP($B143,'B-1 Site Hedge Baseline'!$B$1:$L$257,5,FALSE))))</f>
        <v/>
      </c>
      <c r="F143" s="520" t="str">
        <f>IF(B143="","",IF(ISNA(VLOOKUP($B143,'B-1 Site Hedge Baseline'!$B$1:$L$257,6,FALSE)),"",(VLOOKUP($B143,'B-1 Site Hedge Baseline'!$B$1:$L$257,6,FALSE))))</f>
        <v/>
      </c>
      <c r="G143" s="520" t="str">
        <f>IF(B143="","",IF(ISNA(VLOOKUP($B143,'B-1 Site Hedge Baseline'!$B$1:$L$257,7,FALSE)),"",(VLOOKUP($B143,'B-1 Site Hedge Baseline'!$B$1:$L$257,7,FALSE))))</f>
        <v/>
      </c>
      <c r="H143" s="520" t="str">
        <f>IF(B143="","",IF(ISNA(VLOOKUP($B143,'B-1 Site Hedge Baseline'!$B$1:$L$257,8,FALSE)),"",(VLOOKUP($B143,'B-1 Site Hedge Baseline'!$B$1:$L$257,8,FALSE))))</f>
        <v/>
      </c>
      <c r="I143" s="520" t="str">
        <f>IF(B143="","",IF(ISNA(VLOOKUP($B143,'B-1 Site Hedge Baseline'!$B$1:$L$257,10,FALSE)),"",(VLOOKUP($B143,'B-1 Site Hedge Baseline'!$B$1:$L$257,10,FALSE))))</f>
        <v/>
      </c>
      <c r="J143" s="520" t="str">
        <f>IF(B143="","",IF(ISNA(VLOOKUP($B143,'B-1 Site Hedge Baseline'!$B$1:$L$257,11,FALSE)),"",(VLOOKUP($B143,'B-1 Site Hedge Baseline'!$B$1:$L$257,11,FALSE))))</f>
        <v/>
      </c>
      <c r="K143" s="520" t="str">
        <f>IF(B143="","",IF(ISNA(VLOOKUP($B143,'B-1 Site Hedge Baseline'!$B$1:$U$257,13,FALSE)),"",(VLOOKUP($B143,'B-1 Site Hedge Baseline'!$B$1:$U$257,13,FALSE))))</f>
        <v/>
      </c>
      <c r="L143" s="524" t="str">
        <f>IF(B143="","",IF(ISNA(VLOOKUP($B143,'B-1 Site Hedge Baseline'!$B$1:$U$257,12,FALSE)),"",(VLOOKUP($B143,'B-1 Site Hedge Baseline'!$B$1:$U$257,12,FALSE))))</f>
        <v/>
      </c>
      <c r="M143" s="416" t="str">
        <f t="shared" si="23"/>
        <v/>
      </c>
      <c r="N143" s="498" t="str">
        <f>IFERROR(IF(B143="","",INDEX('G-6 Hedgerow Data'!$AN$3:$AZ$15,MATCH(C143,'G-6 Hedgerow Data'!$AM$3:$AM$15,0),MATCH(M143,'G-6 Hedgerow Data'!$AN$2:$AZ$2,0))),"")</f>
        <v/>
      </c>
      <c r="O143" s="499" t="str">
        <f t="shared" si="18"/>
        <v/>
      </c>
      <c r="P143" s="559" t="str">
        <f>IF(B143="","",VLOOKUP(B143,'B-1 Site Hedge Baseline'!$B$10:T388,16,FALSE))</f>
        <v/>
      </c>
      <c r="Q143" s="498" t="str">
        <f>IF(M143="","",VLOOKUP(M143,'G-6 Hedgerow Data'!$B$2:$AG$15,2,FALSE))</f>
        <v/>
      </c>
      <c r="R143" s="499" t="str">
        <f>IF(M143="","",VLOOKUP(M143,'G-6 Hedgerow Data'!$B$2:$AG$15,3,FALSE))</f>
        <v/>
      </c>
      <c r="S143" s="157"/>
      <c r="T143" s="540" t="str">
        <f>IFERROR(VLOOKUP(S143,'G-1 All Habitats'!$Z$2:$AA$9,2,FALSE),"")</f>
        <v/>
      </c>
      <c r="U143" s="154"/>
      <c r="V143" s="520" t="str">
        <f>IF(U143="","",IF(VLOOKUP(U143,'G-3 Multipliers'!$L$3:$N$6,2,FALSE)=0,"Spatial Data Missing ⚠",VLOOKUP(U143,'G-3 Multipliers'!$L$3:$N$6,2,FALSE)))</f>
        <v/>
      </c>
      <c r="W143" s="524" t="str">
        <f>IF(U143="","",IF(VLOOKUP(U143,'G-3 Multipliers'!$L$3:$N$6,3,FALSE)=0,"Spatial Data Missing ⚠",VLOOKUP(U143,'G-3 Multipliers'!$L$3:$N$6,3,FALSE)))</f>
        <v/>
      </c>
      <c r="X143" s="498" t="str">
        <f>IFERROR(IF(OR(LEFT(O143,5)="Error ▲",LEFT(N143,5)="Error ▲",T143="Error ▲"),"Check Data ⚠",IF(F143&lt;R143,INDEX('G-6 Hedgerow Data'!$S$3:$AE$14,MATCH(C143,'G-6 Hedgerow Data'!$B$3:$B$14,0),MATCH(M143,'G-6 Hedgerow Data'!$S$2:$AE$2,0)),INDEX('G-6 Hedgerow Data'!$K$3:$Q$14,MATCH(M143,'G-6 Hedgerow Data'!$B$3:$B$14,0),MATCH(O143,'G-6 Hedgerow Data'!$K$2:$Q$2,0)))),"")</f>
        <v/>
      </c>
      <c r="Y143" s="195"/>
      <c r="Z143" s="195"/>
      <c r="AA143" s="507" t="str">
        <f t="shared" si="19"/>
        <v/>
      </c>
      <c r="AB143" s="521" t="str">
        <f t="shared" si="20"/>
        <v/>
      </c>
      <c r="AC143" s="522" t="str">
        <f t="shared" si="16"/>
        <v/>
      </c>
      <c r="AD143" s="537" t="str">
        <f>IF(M143="","",VLOOKUP(M143,'G-6 Hedgerow Data'!$B$3:$AG$15,31,FALSE))</f>
        <v/>
      </c>
      <c r="AE143" s="507" t="str">
        <f t="shared" si="21"/>
        <v/>
      </c>
      <c r="AF143" s="507" t="str">
        <f t="shared" si="22"/>
        <v/>
      </c>
      <c r="AG143" s="524" t="str">
        <f>IFERROR(IF(O143="","",VLOOKUP(AD143,'G-3 Multipliers'!$P$3:$Q$6,2,FALSE)),"")</f>
        <v/>
      </c>
      <c r="AH143" s="513" t="str">
        <f t="shared" si="17"/>
        <v/>
      </c>
      <c r="AI143" s="231"/>
      <c r="AJ143" s="150"/>
      <c r="AT143" s="31" t="str">
        <f>IFERROR(INDEX('G-6 Hedgerow Data'!$BJ$3:$BJ$15,MATCH(M143,'G-6 Hedgerow Data'!$B$3:$B$15,0)),"")</f>
        <v/>
      </c>
    </row>
    <row r="144" spans="2:46" ht="14" x14ac:dyDescent="0.3">
      <c r="B144" s="531" t="str">
        <f>'B-1 Site Hedge Baseline'!AK142</f>
        <v/>
      </c>
      <c r="C144" s="520" t="str">
        <f>IF(B144="","",IF(ISNA(VLOOKUP($B144,'B-1 Site Hedge Baseline'!$B$1:$L$257,3,FALSE)),"",(VLOOKUP($B144,'B-1 Site Hedge Baseline'!$B$1:$L$257,3,FALSE))))</f>
        <v/>
      </c>
      <c r="D144" s="520" t="str">
        <f>IF(B144="","",IF(ISNA(VLOOKUP($B144,'B-1 Site Hedge Baseline'!$B$1:$L$257,4,FALSE)),"",(VLOOKUP($B144,'B-1 Site Hedge Baseline'!$B$1:$L$257,4,FALSE))))</f>
        <v/>
      </c>
      <c r="E144" s="520" t="str">
        <f>IF(B144="","",IF(ISNA(VLOOKUP($B144,'B-1 Site Hedge Baseline'!$B$1:$L$257,5,FALSE)),"",(VLOOKUP($B144,'B-1 Site Hedge Baseline'!$B$1:$L$257,5,FALSE))))</f>
        <v/>
      </c>
      <c r="F144" s="520" t="str">
        <f>IF(B144="","",IF(ISNA(VLOOKUP($B144,'B-1 Site Hedge Baseline'!$B$1:$L$257,6,FALSE)),"",(VLOOKUP($B144,'B-1 Site Hedge Baseline'!$B$1:$L$257,6,FALSE))))</f>
        <v/>
      </c>
      <c r="G144" s="520" t="str">
        <f>IF(B144="","",IF(ISNA(VLOOKUP($B144,'B-1 Site Hedge Baseline'!$B$1:$L$257,7,FALSE)),"",(VLOOKUP($B144,'B-1 Site Hedge Baseline'!$B$1:$L$257,7,FALSE))))</f>
        <v/>
      </c>
      <c r="H144" s="520" t="str">
        <f>IF(B144="","",IF(ISNA(VLOOKUP($B144,'B-1 Site Hedge Baseline'!$B$1:$L$257,8,FALSE)),"",(VLOOKUP($B144,'B-1 Site Hedge Baseline'!$B$1:$L$257,8,FALSE))))</f>
        <v/>
      </c>
      <c r="I144" s="520" t="str">
        <f>IF(B144="","",IF(ISNA(VLOOKUP($B144,'B-1 Site Hedge Baseline'!$B$1:$L$257,10,FALSE)),"",(VLOOKUP($B144,'B-1 Site Hedge Baseline'!$B$1:$L$257,10,FALSE))))</f>
        <v/>
      </c>
      <c r="J144" s="520" t="str">
        <f>IF(B144="","",IF(ISNA(VLOOKUP($B144,'B-1 Site Hedge Baseline'!$B$1:$L$257,11,FALSE)),"",(VLOOKUP($B144,'B-1 Site Hedge Baseline'!$B$1:$L$257,11,FALSE))))</f>
        <v/>
      </c>
      <c r="K144" s="520" t="str">
        <f>IF(B144="","",IF(ISNA(VLOOKUP($B144,'B-1 Site Hedge Baseline'!$B$1:$U$257,13,FALSE)),"",(VLOOKUP($B144,'B-1 Site Hedge Baseline'!$B$1:$U$257,13,FALSE))))</f>
        <v/>
      </c>
      <c r="L144" s="524" t="str">
        <f>IF(B144="","",IF(ISNA(VLOOKUP($B144,'B-1 Site Hedge Baseline'!$B$1:$U$257,12,FALSE)),"",(VLOOKUP($B144,'B-1 Site Hedge Baseline'!$B$1:$U$257,12,FALSE))))</f>
        <v/>
      </c>
      <c r="M144" s="416" t="str">
        <f t="shared" si="23"/>
        <v/>
      </c>
      <c r="N144" s="498" t="str">
        <f>IFERROR(IF(B144="","",INDEX('G-6 Hedgerow Data'!$AN$3:$AZ$15,MATCH(C144,'G-6 Hedgerow Data'!$AM$3:$AM$15,0),MATCH(M144,'G-6 Hedgerow Data'!$AN$2:$AZ$2,0))),"")</f>
        <v/>
      </c>
      <c r="O144" s="499" t="str">
        <f t="shared" si="18"/>
        <v/>
      </c>
      <c r="P144" s="559" t="str">
        <f>IF(B144="","",VLOOKUP(B144,'B-1 Site Hedge Baseline'!$B$10:T389,16,FALSE))</f>
        <v/>
      </c>
      <c r="Q144" s="498" t="str">
        <f>IF(M144="","",VLOOKUP(M144,'G-6 Hedgerow Data'!$B$2:$AG$15,2,FALSE))</f>
        <v/>
      </c>
      <c r="R144" s="499" t="str">
        <f>IF(M144="","",VLOOKUP(M144,'G-6 Hedgerow Data'!$B$2:$AG$15,3,FALSE))</f>
        <v/>
      </c>
      <c r="S144" s="157"/>
      <c r="T144" s="540" t="str">
        <f>IFERROR(VLOOKUP(S144,'G-1 All Habitats'!$Z$2:$AA$9,2,FALSE),"")</f>
        <v/>
      </c>
      <c r="U144" s="154"/>
      <c r="V144" s="520" t="str">
        <f>IF(U144="","",IF(VLOOKUP(U144,'G-3 Multipliers'!$L$3:$N$6,2,FALSE)=0,"Spatial Data Missing ⚠",VLOOKUP(U144,'G-3 Multipliers'!$L$3:$N$6,2,FALSE)))</f>
        <v/>
      </c>
      <c r="W144" s="524" t="str">
        <f>IF(U144="","",IF(VLOOKUP(U144,'G-3 Multipliers'!$L$3:$N$6,3,FALSE)=0,"Spatial Data Missing ⚠",VLOOKUP(U144,'G-3 Multipliers'!$L$3:$N$6,3,FALSE)))</f>
        <v/>
      </c>
      <c r="X144" s="498" t="str">
        <f>IFERROR(IF(OR(LEFT(O144,5)="Error ▲",LEFT(N144,5)="Error ▲",T144="Error ▲"),"Check Data ⚠",IF(F144&lt;R144,INDEX('G-6 Hedgerow Data'!$S$3:$AE$14,MATCH(C144,'G-6 Hedgerow Data'!$B$3:$B$14,0),MATCH(M144,'G-6 Hedgerow Data'!$S$2:$AE$2,0)),INDEX('G-6 Hedgerow Data'!$K$3:$Q$14,MATCH(M144,'G-6 Hedgerow Data'!$B$3:$B$14,0),MATCH(O144,'G-6 Hedgerow Data'!$K$2:$Q$2,0)))),"")</f>
        <v/>
      </c>
      <c r="Y144" s="195"/>
      <c r="Z144" s="195"/>
      <c r="AA144" s="507" t="str">
        <f t="shared" si="19"/>
        <v/>
      </c>
      <c r="AB144" s="521" t="str">
        <f t="shared" si="20"/>
        <v/>
      </c>
      <c r="AC144" s="522" t="str">
        <f t="shared" si="16"/>
        <v/>
      </c>
      <c r="AD144" s="537" t="str">
        <f>IF(M144="","",VLOOKUP(M144,'G-6 Hedgerow Data'!$B$3:$AG$15,31,FALSE))</f>
        <v/>
      </c>
      <c r="AE144" s="507" t="str">
        <f t="shared" si="21"/>
        <v/>
      </c>
      <c r="AF144" s="507" t="str">
        <f t="shared" si="22"/>
        <v/>
      </c>
      <c r="AG144" s="524" t="str">
        <f>IFERROR(IF(O144="","",VLOOKUP(AD144,'G-3 Multipliers'!$P$3:$Q$6,2,FALSE)),"")</f>
        <v/>
      </c>
      <c r="AH144" s="513" t="str">
        <f t="shared" si="17"/>
        <v/>
      </c>
      <c r="AI144" s="231"/>
      <c r="AJ144" s="150"/>
      <c r="AT144" s="31" t="str">
        <f>IFERROR(INDEX('G-6 Hedgerow Data'!$BJ$3:$BJ$15,MATCH(M144,'G-6 Hedgerow Data'!$B$3:$B$15,0)),"")</f>
        <v/>
      </c>
    </row>
    <row r="145" spans="2:46" ht="14" x14ac:dyDescent="0.3">
      <c r="B145" s="531" t="str">
        <f>'B-1 Site Hedge Baseline'!AK143</f>
        <v/>
      </c>
      <c r="C145" s="520" t="str">
        <f>IF(B145="","",IF(ISNA(VLOOKUP($B145,'B-1 Site Hedge Baseline'!$B$1:$L$257,3,FALSE)),"",(VLOOKUP($B145,'B-1 Site Hedge Baseline'!$B$1:$L$257,3,FALSE))))</f>
        <v/>
      </c>
      <c r="D145" s="520" t="str">
        <f>IF(B145="","",IF(ISNA(VLOOKUP($B145,'B-1 Site Hedge Baseline'!$B$1:$L$257,4,FALSE)),"",(VLOOKUP($B145,'B-1 Site Hedge Baseline'!$B$1:$L$257,4,FALSE))))</f>
        <v/>
      </c>
      <c r="E145" s="520" t="str">
        <f>IF(B145="","",IF(ISNA(VLOOKUP($B145,'B-1 Site Hedge Baseline'!$B$1:$L$257,5,FALSE)),"",(VLOOKUP($B145,'B-1 Site Hedge Baseline'!$B$1:$L$257,5,FALSE))))</f>
        <v/>
      </c>
      <c r="F145" s="520" t="str">
        <f>IF(B145="","",IF(ISNA(VLOOKUP($B145,'B-1 Site Hedge Baseline'!$B$1:$L$257,6,FALSE)),"",(VLOOKUP($B145,'B-1 Site Hedge Baseline'!$B$1:$L$257,6,FALSE))))</f>
        <v/>
      </c>
      <c r="G145" s="520" t="str">
        <f>IF(B145="","",IF(ISNA(VLOOKUP($B145,'B-1 Site Hedge Baseline'!$B$1:$L$257,7,FALSE)),"",(VLOOKUP($B145,'B-1 Site Hedge Baseline'!$B$1:$L$257,7,FALSE))))</f>
        <v/>
      </c>
      <c r="H145" s="520" t="str">
        <f>IF(B145="","",IF(ISNA(VLOOKUP($B145,'B-1 Site Hedge Baseline'!$B$1:$L$257,8,FALSE)),"",(VLOOKUP($B145,'B-1 Site Hedge Baseline'!$B$1:$L$257,8,FALSE))))</f>
        <v/>
      </c>
      <c r="I145" s="520" t="str">
        <f>IF(B145="","",IF(ISNA(VLOOKUP($B145,'B-1 Site Hedge Baseline'!$B$1:$L$257,10,FALSE)),"",(VLOOKUP($B145,'B-1 Site Hedge Baseline'!$B$1:$L$257,10,FALSE))))</f>
        <v/>
      </c>
      <c r="J145" s="520" t="str">
        <f>IF(B145="","",IF(ISNA(VLOOKUP($B145,'B-1 Site Hedge Baseline'!$B$1:$L$257,11,FALSE)),"",(VLOOKUP($B145,'B-1 Site Hedge Baseline'!$B$1:$L$257,11,FALSE))))</f>
        <v/>
      </c>
      <c r="K145" s="520" t="str">
        <f>IF(B145="","",IF(ISNA(VLOOKUP($B145,'B-1 Site Hedge Baseline'!$B$1:$U$257,13,FALSE)),"",(VLOOKUP($B145,'B-1 Site Hedge Baseline'!$B$1:$U$257,13,FALSE))))</f>
        <v/>
      </c>
      <c r="L145" s="524" t="str">
        <f>IF(B145="","",IF(ISNA(VLOOKUP($B145,'B-1 Site Hedge Baseline'!$B$1:$U$257,12,FALSE)),"",(VLOOKUP($B145,'B-1 Site Hedge Baseline'!$B$1:$U$257,12,FALSE))))</f>
        <v/>
      </c>
      <c r="M145" s="416" t="str">
        <f t="shared" si="23"/>
        <v/>
      </c>
      <c r="N145" s="498" t="str">
        <f>IFERROR(IF(B145="","",INDEX('G-6 Hedgerow Data'!$AN$3:$AZ$15,MATCH(C145,'G-6 Hedgerow Data'!$AM$3:$AM$15,0),MATCH(M145,'G-6 Hedgerow Data'!$AN$2:$AZ$2,0))),"")</f>
        <v/>
      </c>
      <c r="O145" s="499" t="str">
        <f t="shared" si="18"/>
        <v/>
      </c>
      <c r="P145" s="559" t="str">
        <f>IF(B145="","",VLOOKUP(B145,'B-1 Site Hedge Baseline'!$B$10:T390,16,FALSE))</f>
        <v/>
      </c>
      <c r="Q145" s="498" t="str">
        <f>IF(M145="","",VLOOKUP(M145,'G-6 Hedgerow Data'!$B$2:$AG$15,2,FALSE))</f>
        <v/>
      </c>
      <c r="R145" s="499" t="str">
        <f>IF(M145="","",VLOOKUP(M145,'G-6 Hedgerow Data'!$B$2:$AG$15,3,FALSE))</f>
        <v/>
      </c>
      <c r="S145" s="157"/>
      <c r="T145" s="540" t="str">
        <f>IFERROR(VLOOKUP(S145,'G-1 All Habitats'!$Z$2:$AA$9,2,FALSE),"")</f>
        <v/>
      </c>
      <c r="U145" s="154"/>
      <c r="V145" s="520" t="str">
        <f>IF(U145="","",IF(VLOOKUP(U145,'G-3 Multipliers'!$L$3:$N$6,2,FALSE)=0,"Spatial Data Missing ⚠",VLOOKUP(U145,'G-3 Multipliers'!$L$3:$N$6,2,FALSE)))</f>
        <v/>
      </c>
      <c r="W145" s="524" t="str">
        <f>IF(U145="","",IF(VLOOKUP(U145,'G-3 Multipliers'!$L$3:$N$6,3,FALSE)=0,"Spatial Data Missing ⚠",VLOOKUP(U145,'G-3 Multipliers'!$L$3:$N$6,3,FALSE)))</f>
        <v/>
      </c>
      <c r="X145" s="498" t="str">
        <f>IFERROR(IF(OR(LEFT(O145,5)="Error ▲",LEFT(N145,5)="Error ▲",T145="Error ▲"),"Check Data ⚠",IF(F145&lt;R145,INDEX('G-6 Hedgerow Data'!$S$3:$AE$14,MATCH(C145,'G-6 Hedgerow Data'!$B$3:$B$14,0),MATCH(M145,'G-6 Hedgerow Data'!$S$2:$AE$2,0)),INDEX('G-6 Hedgerow Data'!$K$3:$Q$14,MATCH(M145,'G-6 Hedgerow Data'!$B$3:$B$14,0),MATCH(O145,'G-6 Hedgerow Data'!$K$2:$Q$2,0)))),"")</f>
        <v/>
      </c>
      <c r="Y145" s="195"/>
      <c r="Z145" s="195"/>
      <c r="AA145" s="507" t="str">
        <f t="shared" si="19"/>
        <v/>
      </c>
      <c r="AB145" s="521" t="str">
        <f t="shared" si="20"/>
        <v/>
      </c>
      <c r="AC145" s="522" t="str">
        <f t="shared" si="16"/>
        <v/>
      </c>
      <c r="AD145" s="537" t="str">
        <f>IF(M145="","",VLOOKUP(M145,'G-6 Hedgerow Data'!$B$3:$AG$15,31,FALSE))</f>
        <v/>
      </c>
      <c r="AE145" s="507" t="str">
        <f t="shared" si="21"/>
        <v/>
      </c>
      <c r="AF145" s="507" t="str">
        <f t="shared" si="22"/>
        <v/>
      </c>
      <c r="AG145" s="524" t="str">
        <f>IFERROR(IF(O145="","",VLOOKUP(AD145,'G-3 Multipliers'!$P$3:$Q$6,2,FALSE)),"")</f>
        <v/>
      </c>
      <c r="AH145" s="513" t="str">
        <f t="shared" si="17"/>
        <v/>
      </c>
      <c r="AI145" s="231"/>
      <c r="AJ145" s="150"/>
      <c r="AT145" s="31" t="str">
        <f>IFERROR(INDEX('G-6 Hedgerow Data'!$BJ$3:$BJ$15,MATCH(M145,'G-6 Hedgerow Data'!$B$3:$B$15,0)),"")</f>
        <v/>
      </c>
    </row>
    <row r="146" spans="2:46" ht="14" x14ac:dyDescent="0.3">
      <c r="B146" s="531" t="str">
        <f>'B-1 Site Hedge Baseline'!AK144</f>
        <v/>
      </c>
      <c r="C146" s="520" t="str">
        <f>IF(B146="","",IF(ISNA(VLOOKUP($B146,'B-1 Site Hedge Baseline'!$B$1:$L$257,3,FALSE)),"",(VLOOKUP($B146,'B-1 Site Hedge Baseline'!$B$1:$L$257,3,FALSE))))</f>
        <v/>
      </c>
      <c r="D146" s="520" t="str">
        <f>IF(B146="","",IF(ISNA(VLOOKUP($B146,'B-1 Site Hedge Baseline'!$B$1:$L$257,4,FALSE)),"",(VLOOKUP($B146,'B-1 Site Hedge Baseline'!$B$1:$L$257,4,FALSE))))</f>
        <v/>
      </c>
      <c r="E146" s="520" t="str">
        <f>IF(B146="","",IF(ISNA(VLOOKUP($B146,'B-1 Site Hedge Baseline'!$B$1:$L$257,5,FALSE)),"",(VLOOKUP($B146,'B-1 Site Hedge Baseline'!$B$1:$L$257,5,FALSE))))</f>
        <v/>
      </c>
      <c r="F146" s="520" t="str">
        <f>IF(B146="","",IF(ISNA(VLOOKUP($B146,'B-1 Site Hedge Baseline'!$B$1:$L$257,6,FALSE)),"",(VLOOKUP($B146,'B-1 Site Hedge Baseline'!$B$1:$L$257,6,FALSE))))</f>
        <v/>
      </c>
      <c r="G146" s="520" t="str">
        <f>IF(B146="","",IF(ISNA(VLOOKUP($B146,'B-1 Site Hedge Baseline'!$B$1:$L$257,7,FALSE)),"",(VLOOKUP($B146,'B-1 Site Hedge Baseline'!$B$1:$L$257,7,FALSE))))</f>
        <v/>
      </c>
      <c r="H146" s="520" t="str">
        <f>IF(B146="","",IF(ISNA(VLOOKUP($B146,'B-1 Site Hedge Baseline'!$B$1:$L$257,8,FALSE)),"",(VLOOKUP($B146,'B-1 Site Hedge Baseline'!$B$1:$L$257,8,FALSE))))</f>
        <v/>
      </c>
      <c r="I146" s="520" t="str">
        <f>IF(B146="","",IF(ISNA(VLOOKUP($B146,'B-1 Site Hedge Baseline'!$B$1:$L$257,10,FALSE)),"",(VLOOKUP($B146,'B-1 Site Hedge Baseline'!$B$1:$L$257,10,FALSE))))</f>
        <v/>
      </c>
      <c r="J146" s="520" t="str">
        <f>IF(B146="","",IF(ISNA(VLOOKUP($B146,'B-1 Site Hedge Baseline'!$B$1:$L$257,11,FALSE)),"",(VLOOKUP($B146,'B-1 Site Hedge Baseline'!$B$1:$L$257,11,FALSE))))</f>
        <v/>
      </c>
      <c r="K146" s="520" t="str">
        <f>IF(B146="","",IF(ISNA(VLOOKUP($B146,'B-1 Site Hedge Baseline'!$B$1:$U$257,13,FALSE)),"",(VLOOKUP($B146,'B-1 Site Hedge Baseline'!$B$1:$U$257,13,FALSE))))</f>
        <v/>
      </c>
      <c r="L146" s="524" t="str">
        <f>IF(B146="","",IF(ISNA(VLOOKUP($B146,'B-1 Site Hedge Baseline'!$B$1:$U$257,12,FALSE)),"",(VLOOKUP($B146,'B-1 Site Hedge Baseline'!$B$1:$U$257,12,FALSE))))</f>
        <v/>
      </c>
      <c r="M146" s="416" t="str">
        <f t="shared" si="23"/>
        <v/>
      </c>
      <c r="N146" s="498" t="str">
        <f>IFERROR(IF(B146="","",INDEX('G-6 Hedgerow Data'!$AN$3:$AZ$15,MATCH(C146,'G-6 Hedgerow Data'!$AM$3:$AM$15,0),MATCH(M146,'G-6 Hedgerow Data'!$AN$2:$AZ$2,0))),"")</f>
        <v/>
      </c>
      <c r="O146" s="499" t="str">
        <f t="shared" si="18"/>
        <v/>
      </c>
      <c r="P146" s="559" t="str">
        <f>IF(B146="","",VLOOKUP(B146,'B-1 Site Hedge Baseline'!$B$10:T391,16,FALSE))</f>
        <v/>
      </c>
      <c r="Q146" s="498" t="str">
        <f>IF(M146="","",VLOOKUP(M146,'G-6 Hedgerow Data'!$B$2:$AG$15,2,FALSE))</f>
        <v/>
      </c>
      <c r="R146" s="499" t="str">
        <f>IF(M146="","",VLOOKUP(M146,'G-6 Hedgerow Data'!$B$2:$AG$15,3,FALSE))</f>
        <v/>
      </c>
      <c r="S146" s="157"/>
      <c r="T146" s="540" t="str">
        <f>IFERROR(VLOOKUP(S146,'G-1 All Habitats'!$Z$2:$AA$9,2,FALSE),"")</f>
        <v/>
      </c>
      <c r="U146" s="154"/>
      <c r="V146" s="520" t="str">
        <f>IF(U146="","",IF(VLOOKUP(U146,'G-3 Multipliers'!$L$3:$N$6,2,FALSE)=0,"Spatial Data Missing ⚠",VLOOKUP(U146,'G-3 Multipliers'!$L$3:$N$6,2,FALSE)))</f>
        <v/>
      </c>
      <c r="W146" s="524" t="str">
        <f>IF(U146="","",IF(VLOOKUP(U146,'G-3 Multipliers'!$L$3:$N$6,3,FALSE)=0,"Spatial Data Missing ⚠",VLOOKUP(U146,'G-3 Multipliers'!$L$3:$N$6,3,FALSE)))</f>
        <v/>
      </c>
      <c r="X146" s="498" t="str">
        <f>IFERROR(IF(OR(LEFT(O146,5)="Error ▲",LEFT(N146,5)="Error ▲",T146="Error ▲"),"Check Data ⚠",IF(F146&lt;R146,INDEX('G-6 Hedgerow Data'!$S$3:$AE$14,MATCH(C146,'G-6 Hedgerow Data'!$B$3:$B$14,0),MATCH(M146,'G-6 Hedgerow Data'!$S$2:$AE$2,0)),INDEX('G-6 Hedgerow Data'!$K$3:$Q$14,MATCH(M146,'G-6 Hedgerow Data'!$B$3:$B$14,0),MATCH(O146,'G-6 Hedgerow Data'!$K$2:$Q$2,0)))),"")</f>
        <v/>
      </c>
      <c r="Y146" s="195"/>
      <c r="Z146" s="195"/>
      <c r="AA146" s="507" t="str">
        <f t="shared" si="19"/>
        <v/>
      </c>
      <c r="AB146" s="521" t="str">
        <f t="shared" si="20"/>
        <v/>
      </c>
      <c r="AC146" s="522" t="str">
        <f t="shared" si="16"/>
        <v/>
      </c>
      <c r="AD146" s="537" t="str">
        <f>IF(M146="","",VLOOKUP(M146,'G-6 Hedgerow Data'!$B$3:$AG$15,31,FALSE))</f>
        <v/>
      </c>
      <c r="AE146" s="507" t="str">
        <f t="shared" si="21"/>
        <v/>
      </c>
      <c r="AF146" s="507" t="str">
        <f t="shared" si="22"/>
        <v/>
      </c>
      <c r="AG146" s="524" t="str">
        <f>IFERROR(IF(O146="","",VLOOKUP(AD146,'G-3 Multipliers'!$P$3:$Q$6,2,FALSE)),"")</f>
        <v/>
      </c>
      <c r="AH146" s="513" t="str">
        <f t="shared" si="17"/>
        <v/>
      </c>
      <c r="AI146" s="231"/>
      <c r="AJ146" s="150"/>
      <c r="AT146" s="31" t="str">
        <f>IFERROR(INDEX('G-6 Hedgerow Data'!$BJ$3:$BJ$15,MATCH(M146,'G-6 Hedgerow Data'!$B$3:$B$15,0)),"")</f>
        <v/>
      </c>
    </row>
    <row r="147" spans="2:46" ht="14" x14ac:dyDescent="0.3">
      <c r="B147" s="531" t="str">
        <f>'B-1 Site Hedge Baseline'!AK145</f>
        <v/>
      </c>
      <c r="C147" s="520" t="str">
        <f>IF(B147="","",IF(ISNA(VLOOKUP($B147,'B-1 Site Hedge Baseline'!$B$1:$L$257,3,FALSE)),"",(VLOOKUP($B147,'B-1 Site Hedge Baseline'!$B$1:$L$257,3,FALSE))))</f>
        <v/>
      </c>
      <c r="D147" s="520" t="str">
        <f>IF(B147="","",IF(ISNA(VLOOKUP($B147,'B-1 Site Hedge Baseline'!$B$1:$L$257,4,FALSE)),"",(VLOOKUP($B147,'B-1 Site Hedge Baseline'!$B$1:$L$257,4,FALSE))))</f>
        <v/>
      </c>
      <c r="E147" s="520" t="str">
        <f>IF(B147="","",IF(ISNA(VLOOKUP($B147,'B-1 Site Hedge Baseline'!$B$1:$L$257,5,FALSE)),"",(VLOOKUP($B147,'B-1 Site Hedge Baseline'!$B$1:$L$257,5,FALSE))))</f>
        <v/>
      </c>
      <c r="F147" s="520" t="str">
        <f>IF(B147="","",IF(ISNA(VLOOKUP($B147,'B-1 Site Hedge Baseline'!$B$1:$L$257,6,FALSE)),"",(VLOOKUP($B147,'B-1 Site Hedge Baseline'!$B$1:$L$257,6,FALSE))))</f>
        <v/>
      </c>
      <c r="G147" s="520" t="str">
        <f>IF(B147="","",IF(ISNA(VLOOKUP($B147,'B-1 Site Hedge Baseline'!$B$1:$L$257,7,FALSE)),"",(VLOOKUP($B147,'B-1 Site Hedge Baseline'!$B$1:$L$257,7,FALSE))))</f>
        <v/>
      </c>
      <c r="H147" s="520" t="str">
        <f>IF(B147="","",IF(ISNA(VLOOKUP($B147,'B-1 Site Hedge Baseline'!$B$1:$L$257,8,FALSE)),"",(VLOOKUP($B147,'B-1 Site Hedge Baseline'!$B$1:$L$257,8,FALSE))))</f>
        <v/>
      </c>
      <c r="I147" s="520" t="str">
        <f>IF(B147="","",IF(ISNA(VLOOKUP($B147,'B-1 Site Hedge Baseline'!$B$1:$L$257,10,FALSE)),"",(VLOOKUP($B147,'B-1 Site Hedge Baseline'!$B$1:$L$257,10,FALSE))))</f>
        <v/>
      </c>
      <c r="J147" s="520" t="str">
        <f>IF(B147="","",IF(ISNA(VLOOKUP($B147,'B-1 Site Hedge Baseline'!$B$1:$L$257,11,FALSE)),"",(VLOOKUP($B147,'B-1 Site Hedge Baseline'!$B$1:$L$257,11,FALSE))))</f>
        <v/>
      </c>
      <c r="K147" s="520" t="str">
        <f>IF(B147="","",IF(ISNA(VLOOKUP($B147,'B-1 Site Hedge Baseline'!$B$1:$U$257,13,FALSE)),"",(VLOOKUP($B147,'B-1 Site Hedge Baseline'!$B$1:$U$257,13,FALSE))))</f>
        <v/>
      </c>
      <c r="L147" s="524" t="str">
        <f>IF(B147="","",IF(ISNA(VLOOKUP($B147,'B-1 Site Hedge Baseline'!$B$1:$U$257,12,FALSE)),"",(VLOOKUP($B147,'B-1 Site Hedge Baseline'!$B$1:$U$257,12,FALSE))))</f>
        <v/>
      </c>
      <c r="M147" s="416" t="str">
        <f t="shared" si="23"/>
        <v/>
      </c>
      <c r="N147" s="498" t="str">
        <f>IFERROR(IF(B147="","",INDEX('G-6 Hedgerow Data'!$AN$3:$AZ$15,MATCH(C147,'G-6 Hedgerow Data'!$AM$3:$AM$15,0),MATCH(M147,'G-6 Hedgerow Data'!$AN$2:$AZ$2,0))),"")</f>
        <v/>
      </c>
      <c r="O147" s="499" t="str">
        <f t="shared" si="18"/>
        <v/>
      </c>
      <c r="P147" s="559" t="str">
        <f>IF(B147="","",VLOOKUP(B147,'B-1 Site Hedge Baseline'!$B$10:T392,16,FALSE))</f>
        <v/>
      </c>
      <c r="Q147" s="498" t="str">
        <f>IF(M147="","",VLOOKUP(M147,'G-6 Hedgerow Data'!$B$2:$AG$15,2,FALSE))</f>
        <v/>
      </c>
      <c r="R147" s="499" t="str">
        <f>IF(M147="","",VLOOKUP(M147,'G-6 Hedgerow Data'!$B$2:$AG$15,3,FALSE))</f>
        <v/>
      </c>
      <c r="S147" s="157"/>
      <c r="T147" s="540" t="str">
        <f>IFERROR(VLOOKUP(S147,'G-1 All Habitats'!$Z$2:$AA$9,2,FALSE),"")</f>
        <v/>
      </c>
      <c r="U147" s="154"/>
      <c r="V147" s="520" t="str">
        <f>IF(U147="","",IF(VLOOKUP(U147,'G-3 Multipliers'!$L$3:$N$6,2,FALSE)=0,"Spatial Data Missing ⚠",VLOOKUP(U147,'G-3 Multipliers'!$L$3:$N$6,2,FALSE)))</f>
        <v/>
      </c>
      <c r="W147" s="524" t="str">
        <f>IF(U147="","",IF(VLOOKUP(U147,'G-3 Multipliers'!$L$3:$N$6,3,FALSE)=0,"Spatial Data Missing ⚠",VLOOKUP(U147,'G-3 Multipliers'!$L$3:$N$6,3,FALSE)))</f>
        <v/>
      </c>
      <c r="X147" s="498" t="str">
        <f>IFERROR(IF(OR(LEFT(O147,5)="Error ▲",LEFT(N147,5)="Error ▲",T147="Error ▲"),"Check Data ⚠",IF(F147&lt;R147,INDEX('G-6 Hedgerow Data'!$S$3:$AE$14,MATCH(C147,'G-6 Hedgerow Data'!$B$3:$B$14,0),MATCH(M147,'G-6 Hedgerow Data'!$S$2:$AE$2,0)),INDEX('G-6 Hedgerow Data'!$K$3:$Q$14,MATCH(M147,'G-6 Hedgerow Data'!$B$3:$B$14,0),MATCH(O147,'G-6 Hedgerow Data'!$K$2:$Q$2,0)))),"")</f>
        <v/>
      </c>
      <c r="Y147" s="195"/>
      <c r="Z147" s="195"/>
      <c r="AA147" s="507" t="str">
        <f t="shared" si="19"/>
        <v/>
      </c>
      <c r="AB147" s="521" t="str">
        <f t="shared" si="20"/>
        <v/>
      </c>
      <c r="AC147" s="522" t="str">
        <f t="shared" si="16"/>
        <v/>
      </c>
      <c r="AD147" s="537" t="str">
        <f>IF(M147="","",VLOOKUP(M147,'G-6 Hedgerow Data'!$B$3:$AG$15,31,FALSE))</f>
        <v/>
      </c>
      <c r="AE147" s="507" t="str">
        <f t="shared" si="21"/>
        <v/>
      </c>
      <c r="AF147" s="507" t="str">
        <f t="shared" si="22"/>
        <v/>
      </c>
      <c r="AG147" s="524" t="str">
        <f>IFERROR(IF(O147="","",VLOOKUP(AD147,'G-3 Multipliers'!$P$3:$Q$6,2,FALSE)),"")</f>
        <v/>
      </c>
      <c r="AH147" s="513" t="str">
        <f t="shared" si="17"/>
        <v/>
      </c>
      <c r="AI147" s="231"/>
      <c r="AJ147" s="150"/>
      <c r="AT147" s="31" t="str">
        <f>IFERROR(INDEX('G-6 Hedgerow Data'!$BJ$3:$BJ$15,MATCH(M147,'G-6 Hedgerow Data'!$B$3:$B$15,0)),"")</f>
        <v/>
      </c>
    </row>
    <row r="148" spans="2:46" ht="14" x14ac:dyDescent="0.3">
      <c r="B148" s="531" t="str">
        <f>'B-1 Site Hedge Baseline'!AK146</f>
        <v/>
      </c>
      <c r="C148" s="520" t="str">
        <f>IF(B148="","",IF(ISNA(VLOOKUP($B148,'B-1 Site Hedge Baseline'!$B$1:$L$257,3,FALSE)),"",(VLOOKUP($B148,'B-1 Site Hedge Baseline'!$B$1:$L$257,3,FALSE))))</f>
        <v/>
      </c>
      <c r="D148" s="520" t="str">
        <f>IF(B148="","",IF(ISNA(VLOOKUP($B148,'B-1 Site Hedge Baseline'!$B$1:$L$257,4,FALSE)),"",(VLOOKUP($B148,'B-1 Site Hedge Baseline'!$B$1:$L$257,4,FALSE))))</f>
        <v/>
      </c>
      <c r="E148" s="520" t="str">
        <f>IF(B148="","",IF(ISNA(VLOOKUP($B148,'B-1 Site Hedge Baseline'!$B$1:$L$257,5,FALSE)),"",(VLOOKUP($B148,'B-1 Site Hedge Baseline'!$B$1:$L$257,5,FALSE))))</f>
        <v/>
      </c>
      <c r="F148" s="520" t="str">
        <f>IF(B148="","",IF(ISNA(VLOOKUP($B148,'B-1 Site Hedge Baseline'!$B$1:$L$257,6,FALSE)),"",(VLOOKUP($B148,'B-1 Site Hedge Baseline'!$B$1:$L$257,6,FALSE))))</f>
        <v/>
      </c>
      <c r="G148" s="520" t="str">
        <f>IF(B148="","",IF(ISNA(VLOOKUP($B148,'B-1 Site Hedge Baseline'!$B$1:$L$257,7,FALSE)),"",(VLOOKUP($B148,'B-1 Site Hedge Baseline'!$B$1:$L$257,7,FALSE))))</f>
        <v/>
      </c>
      <c r="H148" s="520" t="str">
        <f>IF(B148="","",IF(ISNA(VLOOKUP($B148,'B-1 Site Hedge Baseline'!$B$1:$L$257,8,FALSE)),"",(VLOOKUP($B148,'B-1 Site Hedge Baseline'!$B$1:$L$257,8,FALSE))))</f>
        <v/>
      </c>
      <c r="I148" s="520" t="str">
        <f>IF(B148="","",IF(ISNA(VLOOKUP($B148,'B-1 Site Hedge Baseline'!$B$1:$L$257,10,FALSE)),"",(VLOOKUP($B148,'B-1 Site Hedge Baseline'!$B$1:$L$257,10,FALSE))))</f>
        <v/>
      </c>
      <c r="J148" s="520" t="str">
        <f>IF(B148="","",IF(ISNA(VLOOKUP($B148,'B-1 Site Hedge Baseline'!$B$1:$L$257,11,FALSE)),"",(VLOOKUP($B148,'B-1 Site Hedge Baseline'!$B$1:$L$257,11,FALSE))))</f>
        <v/>
      </c>
      <c r="K148" s="520" t="str">
        <f>IF(B148="","",IF(ISNA(VLOOKUP($B148,'B-1 Site Hedge Baseline'!$B$1:$U$257,13,FALSE)),"",(VLOOKUP($B148,'B-1 Site Hedge Baseline'!$B$1:$U$257,13,FALSE))))</f>
        <v/>
      </c>
      <c r="L148" s="524" t="str">
        <f>IF(B148="","",IF(ISNA(VLOOKUP($B148,'B-1 Site Hedge Baseline'!$B$1:$U$257,12,FALSE)),"",(VLOOKUP($B148,'B-1 Site Hedge Baseline'!$B$1:$U$257,12,FALSE))))</f>
        <v/>
      </c>
      <c r="M148" s="416" t="str">
        <f t="shared" si="23"/>
        <v/>
      </c>
      <c r="N148" s="498" t="str">
        <f>IFERROR(IF(B148="","",INDEX('G-6 Hedgerow Data'!$AN$3:$AZ$15,MATCH(C148,'G-6 Hedgerow Data'!$AM$3:$AM$15,0),MATCH(M148,'G-6 Hedgerow Data'!$AN$2:$AZ$2,0))),"")</f>
        <v/>
      </c>
      <c r="O148" s="499" t="str">
        <f t="shared" si="18"/>
        <v/>
      </c>
      <c r="P148" s="559" t="str">
        <f>IF(B148="","",VLOOKUP(B148,'B-1 Site Hedge Baseline'!$B$10:T393,16,FALSE))</f>
        <v/>
      </c>
      <c r="Q148" s="498" t="str">
        <f>IF(M148="","",VLOOKUP(M148,'G-6 Hedgerow Data'!$B$2:$AG$15,2,FALSE))</f>
        <v/>
      </c>
      <c r="R148" s="499" t="str">
        <f>IF(M148="","",VLOOKUP(M148,'G-6 Hedgerow Data'!$B$2:$AG$15,3,FALSE))</f>
        <v/>
      </c>
      <c r="S148" s="157"/>
      <c r="T148" s="540" t="str">
        <f>IFERROR(VLOOKUP(S148,'G-1 All Habitats'!$Z$2:$AA$9,2,FALSE),"")</f>
        <v/>
      </c>
      <c r="U148" s="154"/>
      <c r="V148" s="520" t="str">
        <f>IF(U148="","",IF(VLOOKUP(U148,'G-3 Multipliers'!$L$3:$N$6,2,FALSE)=0,"Spatial Data Missing ⚠",VLOOKUP(U148,'G-3 Multipliers'!$L$3:$N$6,2,FALSE)))</f>
        <v/>
      </c>
      <c r="W148" s="524" t="str">
        <f>IF(U148="","",IF(VLOOKUP(U148,'G-3 Multipliers'!$L$3:$N$6,3,FALSE)=0,"Spatial Data Missing ⚠",VLOOKUP(U148,'G-3 Multipliers'!$L$3:$N$6,3,FALSE)))</f>
        <v/>
      </c>
      <c r="X148" s="498" t="str">
        <f>IFERROR(IF(OR(LEFT(O148,5)="Error ▲",LEFT(N148,5)="Error ▲",T148="Error ▲"),"Check Data ⚠",IF(F148&lt;R148,INDEX('G-6 Hedgerow Data'!$S$3:$AE$14,MATCH(C148,'G-6 Hedgerow Data'!$B$3:$B$14,0),MATCH(M148,'G-6 Hedgerow Data'!$S$2:$AE$2,0)),INDEX('G-6 Hedgerow Data'!$K$3:$Q$14,MATCH(M148,'G-6 Hedgerow Data'!$B$3:$B$14,0),MATCH(O148,'G-6 Hedgerow Data'!$K$2:$Q$2,0)))),"")</f>
        <v/>
      </c>
      <c r="Y148" s="195"/>
      <c r="Z148" s="195"/>
      <c r="AA148" s="507" t="str">
        <f t="shared" si="19"/>
        <v/>
      </c>
      <c r="AB148" s="521" t="str">
        <f t="shared" si="20"/>
        <v/>
      </c>
      <c r="AC148" s="522" t="str">
        <f t="shared" si="16"/>
        <v/>
      </c>
      <c r="AD148" s="537" t="str">
        <f>IF(M148="","",VLOOKUP(M148,'G-6 Hedgerow Data'!$B$3:$AG$15,31,FALSE))</f>
        <v/>
      </c>
      <c r="AE148" s="507" t="str">
        <f t="shared" si="21"/>
        <v/>
      </c>
      <c r="AF148" s="507" t="str">
        <f t="shared" si="22"/>
        <v/>
      </c>
      <c r="AG148" s="524" t="str">
        <f>IFERROR(IF(O148="","",VLOOKUP(AD148,'G-3 Multipliers'!$P$3:$Q$6,2,FALSE)),"")</f>
        <v/>
      </c>
      <c r="AH148" s="513" t="str">
        <f t="shared" si="17"/>
        <v/>
      </c>
      <c r="AI148" s="231"/>
      <c r="AJ148" s="150"/>
      <c r="AT148" s="31" t="str">
        <f>IFERROR(INDEX('G-6 Hedgerow Data'!$BJ$3:$BJ$15,MATCH(M148,'G-6 Hedgerow Data'!$B$3:$B$15,0)),"")</f>
        <v/>
      </c>
    </row>
    <row r="149" spans="2:46" ht="14" x14ac:dyDescent="0.3">
      <c r="B149" s="531" t="str">
        <f>'B-1 Site Hedge Baseline'!AK147</f>
        <v/>
      </c>
      <c r="C149" s="520" t="str">
        <f>IF(B149="","",IF(ISNA(VLOOKUP($B149,'B-1 Site Hedge Baseline'!$B$1:$L$257,3,FALSE)),"",(VLOOKUP($B149,'B-1 Site Hedge Baseline'!$B$1:$L$257,3,FALSE))))</f>
        <v/>
      </c>
      <c r="D149" s="520" t="str">
        <f>IF(B149="","",IF(ISNA(VLOOKUP($B149,'B-1 Site Hedge Baseline'!$B$1:$L$257,4,FALSE)),"",(VLOOKUP($B149,'B-1 Site Hedge Baseline'!$B$1:$L$257,4,FALSE))))</f>
        <v/>
      </c>
      <c r="E149" s="520" t="str">
        <f>IF(B149="","",IF(ISNA(VLOOKUP($B149,'B-1 Site Hedge Baseline'!$B$1:$L$257,5,FALSE)),"",(VLOOKUP($B149,'B-1 Site Hedge Baseline'!$B$1:$L$257,5,FALSE))))</f>
        <v/>
      </c>
      <c r="F149" s="520" t="str">
        <f>IF(B149="","",IF(ISNA(VLOOKUP($B149,'B-1 Site Hedge Baseline'!$B$1:$L$257,6,FALSE)),"",(VLOOKUP($B149,'B-1 Site Hedge Baseline'!$B$1:$L$257,6,FALSE))))</f>
        <v/>
      </c>
      <c r="G149" s="520" t="str">
        <f>IF(B149="","",IF(ISNA(VLOOKUP($B149,'B-1 Site Hedge Baseline'!$B$1:$L$257,7,FALSE)),"",(VLOOKUP($B149,'B-1 Site Hedge Baseline'!$B$1:$L$257,7,FALSE))))</f>
        <v/>
      </c>
      <c r="H149" s="520" t="str">
        <f>IF(B149="","",IF(ISNA(VLOOKUP($B149,'B-1 Site Hedge Baseline'!$B$1:$L$257,8,FALSE)),"",(VLOOKUP($B149,'B-1 Site Hedge Baseline'!$B$1:$L$257,8,FALSE))))</f>
        <v/>
      </c>
      <c r="I149" s="520" t="str">
        <f>IF(B149="","",IF(ISNA(VLOOKUP($B149,'B-1 Site Hedge Baseline'!$B$1:$L$257,10,FALSE)),"",(VLOOKUP($B149,'B-1 Site Hedge Baseline'!$B$1:$L$257,10,FALSE))))</f>
        <v/>
      </c>
      <c r="J149" s="520" t="str">
        <f>IF(B149="","",IF(ISNA(VLOOKUP($B149,'B-1 Site Hedge Baseline'!$B$1:$L$257,11,FALSE)),"",(VLOOKUP($B149,'B-1 Site Hedge Baseline'!$B$1:$L$257,11,FALSE))))</f>
        <v/>
      </c>
      <c r="K149" s="520" t="str">
        <f>IF(B149="","",IF(ISNA(VLOOKUP($B149,'B-1 Site Hedge Baseline'!$B$1:$U$257,13,FALSE)),"",(VLOOKUP($B149,'B-1 Site Hedge Baseline'!$B$1:$U$257,13,FALSE))))</f>
        <v/>
      </c>
      <c r="L149" s="524" t="str">
        <f>IF(B149="","",IF(ISNA(VLOOKUP($B149,'B-1 Site Hedge Baseline'!$B$1:$U$257,12,FALSE)),"",(VLOOKUP($B149,'B-1 Site Hedge Baseline'!$B$1:$U$257,12,FALSE))))</f>
        <v/>
      </c>
      <c r="M149" s="416" t="str">
        <f t="shared" si="23"/>
        <v/>
      </c>
      <c r="N149" s="498" t="str">
        <f>IFERROR(IF(B149="","",INDEX('G-6 Hedgerow Data'!$AN$3:$AZ$15,MATCH(C149,'G-6 Hedgerow Data'!$AM$3:$AM$15,0),MATCH(M149,'G-6 Hedgerow Data'!$AN$2:$AZ$2,0))),"")</f>
        <v/>
      </c>
      <c r="O149" s="499" t="str">
        <f t="shared" si="18"/>
        <v/>
      </c>
      <c r="P149" s="559" t="str">
        <f>IF(B149="","",VLOOKUP(B149,'B-1 Site Hedge Baseline'!$B$10:T394,16,FALSE))</f>
        <v/>
      </c>
      <c r="Q149" s="498" t="str">
        <f>IF(M149="","",VLOOKUP(M149,'G-6 Hedgerow Data'!$B$2:$AG$15,2,FALSE))</f>
        <v/>
      </c>
      <c r="R149" s="499" t="str">
        <f>IF(M149="","",VLOOKUP(M149,'G-6 Hedgerow Data'!$B$2:$AG$15,3,FALSE))</f>
        <v/>
      </c>
      <c r="S149" s="157"/>
      <c r="T149" s="540" t="str">
        <f>IFERROR(VLOOKUP(S149,'G-1 All Habitats'!$Z$2:$AA$9,2,FALSE),"")</f>
        <v/>
      </c>
      <c r="U149" s="154"/>
      <c r="V149" s="520" t="str">
        <f>IF(U149="","",IF(VLOOKUP(U149,'G-3 Multipliers'!$L$3:$N$6,2,FALSE)=0,"Spatial Data Missing ⚠",VLOOKUP(U149,'G-3 Multipliers'!$L$3:$N$6,2,FALSE)))</f>
        <v/>
      </c>
      <c r="W149" s="524" t="str">
        <f>IF(U149="","",IF(VLOOKUP(U149,'G-3 Multipliers'!$L$3:$N$6,3,FALSE)=0,"Spatial Data Missing ⚠",VLOOKUP(U149,'G-3 Multipliers'!$L$3:$N$6,3,FALSE)))</f>
        <v/>
      </c>
      <c r="X149" s="498" t="str">
        <f>IFERROR(IF(OR(LEFT(O149,5)="Error ▲",LEFT(N149,5)="Error ▲",T149="Error ▲"),"Check Data ⚠",IF(F149&lt;R149,INDEX('G-6 Hedgerow Data'!$S$3:$AE$14,MATCH(C149,'G-6 Hedgerow Data'!$B$3:$B$14,0),MATCH(M149,'G-6 Hedgerow Data'!$S$2:$AE$2,0)),INDEX('G-6 Hedgerow Data'!$K$3:$Q$14,MATCH(M149,'G-6 Hedgerow Data'!$B$3:$B$14,0),MATCH(O149,'G-6 Hedgerow Data'!$K$2:$Q$2,0)))),"")</f>
        <v/>
      </c>
      <c r="Y149" s="195"/>
      <c r="Z149" s="195"/>
      <c r="AA149" s="507" t="str">
        <f t="shared" si="19"/>
        <v/>
      </c>
      <c r="AB149" s="521" t="str">
        <f t="shared" si="20"/>
        <v/>
      </c>
      <c r="AC149" s="522" t="str">
        <f t="shared" si="16"/>
        <v/>
      </c>
      <c r="AD149" s="537" t="str">
        <f>IF(M149="","",VLOOKUP(M149,'G-6 Hedgerow Data'!$B$3:$AG$15,31,FALSE))</f>
        <v/>
      </c>
      <c r="AE149" s="507" t="str">
        <f t="shared" si="21"/>
        <v/>
      </c>
      <c r="AF149" s="507" t="str">
        <f t="shared" si="22"/>
        <v/>
      </c>
      <c r="AG149" s="524" t="str">
        <f>IFERROR(IF(O149="","",VLOOKUP(AD149,'G-3 Multipliers'!$P$3:$Q$6,2,FALSE)),"")</f>
        <v/>
      </c>
      <c r="AH149" s="513" t="str">
        <f t="shared" si="17"/>
        <v/>
      </c>
      <c r="AI149" s="231"/>
      <c r="AJ149" s="150"/>
      <c r="AT149" s="31" t="str">
        <f>IFERROR(INDEX('G-6 Hedgerow Data'!$BJ$3:$BJ$15,MATCH(M149,'G-6 Hedgerow Data'!$B$3:$B$15,0)),"")</f>
        <v/>
      </c>
    </row>
    <row r="150" spans="2:46" ht="14" x14ac:dyDescent="0.3">
      <c r="B150" s="531" t="str">
        <f>'B-1 Site Hedge Baseline'!AK148</f>
        <v/>
      </c>
      <c r="C150" s="520" t="str">
        <f>IF(B150="","",IF(ISNA(VLOOKUP($B150,'B-1 Site Hedge Baseline'!$B$1:$L$257,3,FALSE)),"",(VLOOKUP($B150,'B-1 Site Hedge Baseline'!$B$1:$L$257,3,FALSE))))</f>
        <v/>
      </c>
      <c r="D150" s="520" t="str">
        <f>IF(B150="","",IF(ISNA(VLOOKUP($B150,'B-1 Site Hedge Baseline'!$B$1:$L$257,4,FALSE)),"",(VLOOKUP($B150,'B-1 Site Hedge Baseline'!$B$1:$L$257,4,FALSE))))</f>
        <v/>
      </c>
      <c r="E150" s="520" t="str">
        <f>IF(B150="","",IF(ISNA(VLOOKUP($B150,'B-1 Site Hedge Baseline'!$B$1:$L$257,5,FALSE)),"",(VLOOKUP($B150,'B-1 Site Hedge Baseline'!$B$1:$L$257,5,FALSE))))</f>
        <v/>
      </c>
      <c r="F150" s="520" t="str">
        <f>IF(B150="","",IF(ISNA(VLOOKUP($B150,'B-1 Site Hedge Baseline'!$B$1:$L$257,6,FALSE)),"",(VLOOKUP($B150,'B-1 Site Hedge Baseline'!$B$1:$L$257,6,FALSE))))</f>
        <v/>
      </c>
      <c r="G150" s="520" t="str">
        <f>IF(B150="","",IF(ISNA(VLOOKUP($B150,'B-1 Site Hedge Baseline'!$B$1:$L$257,7,FALSE)),"",(VLOOKUP($B150,'B-1 Site Hedge Baseline'!$B$1:$L$257,7,FALSE))))</f>
        <v/>
      </c>
      <c r="H150" s="520" t="str">
        <f>IF(B150="","",IF(ISNA(VLOOKUP($B150,'B-1 Site Hedge Baseline'!$B$1:$L$257,8,FALSE)),"",(VLOOKUP($B150,'B-1 Site Hedge Baseline'!$B$1:$L$257,8,FALSE))))</f>
        <v/>
      </c>
      <c r="I150" s="520" t="str">
        <f>IF(B150="","",IF(ISNA(VLOOKUP($B150,'B-1 Site Hedge Baseline'!$B$1:$L$257,10,FALSE)),"",(VLOOKUP($B150,'B-1 Site Hedge Baseline'!$B$1:$L$257,10,FALSE))))</f>
        <v/>
      </c>
      <c r="J150" s="520" t="str">
        <f>IF(B150="","",IF(ISNA(VLOOKUP($B150,'B-1 Site Hedge Baseline'!$B$1:$L$257,11,FALSE)),"",(VLOOKUP($B150,'B-1 Site Hedge Baseline'!$B$1:$L$257,11,FALSE))))</f>
        <v/>
      </c>
      <c r="K150" s="520" t="str">
        <f>IF(B150="","",IF(ISNA(VLOOKUP($B150,'B-1 Site Hedge Baseline'!$B$1:$U$257,13,FALSE)),"",(VLOOKUP($B150,'B-1 Site Hedge Baseline'!$B$1:$U$257,13,FALSE))))</f>
        <v/>
      </c>
      <c r="L150" s="524" t="str">
        <f>IF(B150="","",IF(ISNA(VLOOKUP($B150,'B-1 Site Hedge Baseline'!$B$1:$U$257,12,FALSE)),"",(VLOOKUP($B150,'B-1 Site Hedge Baseline'!$B$1:$U$257,12,FALSE))))</f>
        <v/>
      </c>
      <c r="M150" s="416" t="str">
        <f t="shared" si="23"/>
        <v/>
      </c>
      <c r="N150" s="498" t="str">
        <f>IFERROR(IF(B150="","",INDEX('G-6 Hedgerow Data'!$AN$3:$AZ$15,MATCH(C150,'G-6 Hedgerow Data'!$AM$3:$AM$15,0),MATCH(M150,'G-6 Hedgerow Data'!$AN$2:$AZ$2,0))),"")</f>
        <v/>
      </c>
      <c r="O150" s="499" t="str">
        <f t="shared" si="18"/>
        <v/>
      </c>
      <c r="P150" s="559" t="str">
        <f>IF(B150="","",VLOOKUP(B150,'B-1 Site Hedge Baseline'!$B$10:T395,16,FALSE))</f>
        <v/>
      </c>
      <c r="Q150" s="498" t="str">
        <f>IF(M150="","",VLOOKUP(M150,'G-6 Hedgerow Data'!$B$2:$AG$15,2,FALSE))</f>
        <v/>
      </c>
      <c r="R150" s="499" t="str">
        <f>IF(M150="","",VLOOKUP(M150,'G-6 Hedgerow Data'!$B$2:$AG$15,3,FALSE))</f>
        <v/>
      </c>
      <c r="S150" s="157"/>
      <c r="T150" s="540" t="str">
        <f>IFERROR(VLOOKUP(S150,'G-1 All Habitats'!$Z$2:$AA$9,2,FALSE),"")</f>
        <v/>
      </c>
      <c r="U150" s="154"/>
      <c r="V150" s="520" t="str">
        <f>IF(U150="","",IF(VLOOKUP(U150,'G-3 Multipliers'!$L$3:$N$6,2,FALSE)=0,"Spatial Data Missing ⚠",VLOOKUP(U150,'G-3 Multipliers'!$L$3:$N$6,2,FALSE)))</f>
        <v/>
      </c>
      <c r="W150" s="524" t="str">
        <f>IF(U150="","",IF(VLOOKUP(U150,'G-3 Multipliers'!$L$3:$N$6,3,FALSE)=0,"Spatial Data Missing ⚠",VLOOKUP(U150,'G-3 Multipliers'!$L$3:$N$6,3,FALSE)))</f>
        <v/>
      </c>
      <c r="X150" s="498" t="str">
        <f>IFERROR(IF(OR(LEFT(O150,5)="Error ▲",LEFT(N150,5)="Error ▲",T150="Error ▲"),"Check Data ⚠",IF(F150&lt;R150,INDEX('G-6 Hedgerow Data'!$S$3:$AE$14,MATCH(C150,'G-6 Hedgerow Data'!$B$3:$B$14,0),MATCH(M150,'G-6 Hedgerow Data'!$S$2:$AE$2,0)),INDEX('G-6 Hedgerow Data'!$K$3:$Q$14,MATCH(M150,'G-6 Hedgerow Data'!$B$3:$B$14,0),MATCH(O150,'G-6 Hedgerow Data'!$K$2:$Q$2,0)))),"")</f>
        <v/>
      </c>
      <c r="Y150" s="195"/>
      <c r="Z150" s="195"/>
      <c r="AA150" s="507" t="str">
        <f t="shared" si="19"/>
        <v/>
      </c>
      <c r="AB150" s="521" t="str">
        <f t="shared" si="20"/>
        <v/>
      </c>
      <c r="AC150" s="522" t="str">
        <f t="shared" si="16"/>
        <v/>
      </c>
      <c r="AD150" s="537" t="str">
        <f>IF(M150="","",VLOOKUP(M150,'G-6 Hedgerow Data'!$B$3:$AG$15,31,FALSE))</f>
        <v/>
      </c>
      <c r="AE150" s="507" t="str">
        <f t="shared" si="21"/>
        <v/>
      </c>
      <c r="AF150" s="507" t="str">
        <f t="shared" si="22"/>
        <v/>
      </c>
      <c r="AG150" s="524" t="str">
        <f>IFERROR(IF(O150="","",VLOOKUP(AD150,'G-3 Multipliers'!$P$3:$Q$6,2,FALSE)),"")</f>
        <v/>
      </c>
      <c r="AH150" s="513" t="str">
        <f t="shared" si="17"/>
        <v/>
      </c>
      <c r="AI150" s="231"/>
      <c r="AJ150" s="150"/>
      <c r="AT150" s="31" t="str">
        <f>IFERROR(INDEX('G-6 Hedgerow Data'!$BJ$3:$BJ$15,MATCH(M150,'G-6 Hedgerow Data'!$B$3:$B$15,0)),"")</f>
        <v/>
      </c>
    </row>
    <row r="151" spans="2:46" ht="14" x14ac:dyDescent="0.3">
      <c r="B151" s="531" t="str">
        <f>'B-1 Site Hedge Baseline'!AK149</f>
        <v/>
      </c>
      <c r="C151" s="520" t="str">
        <f>IF(B151="","",IF(ISNA(VLOOKUP($B151,'B-1 Site Hedge Baseline'!$B$1:$L$257,3,FALSE)),"",(VLOOKUP($B151,'B-1 Site Hedge Baseline'!$B$1:$L$257,3,FALSE))))</f>
        <v/>
      </c>
      <c r="D151" s="520" t="str">
        <f>IF(B151="","",IF(ISNA(VLOOKUP($B151,'B-1 Site Hedge Baseline'!$B$1:$L$257,4,FALSE)),"",(VLOOKUP($B151,'B-1 Site Hedge Baseline'!$B$1:$L$257,4,FALSE))))</f>
        <v/>
      </c>
      <c r="E151" s="520" t="str">
        <f>IF(B151="","",IF(ISNA(VLOOKUP($B151,'B-1 Site Hedge Baseline'!$B$1:$L$257,5,FALSE)),"",(VLOOKUP($B151,'B-1 Site Hedge Baseline'!$B$1:$L$257,5,FALSE))))</f>
        <v/>
      </c>
      <c r="F151" s="520" t="str">
        <f>IF(B151="","",IF(ISNA(VLOOKUP($B151,'B-1 Site Hedge Baseline'!$B$1:$L$257,6,FALSE)),"",(VLOOKUP($B151,'B-1 Site Hedge Baseline'!$B$1:$L$257,6,FALSE))))</f>
        <v/>
      </c>
      <c r="G151" s="520" t="str">
        <f>IF(B151="","",IF(ISNA(VLOOKUP($B151,'B-1 Site Hedge Baseline'!$B$1:$L$257,7,FALSE)),"",(VLOOKUP($B151,'B-1 Site Hedge Baseline'!$B$1:$L$257,7,FALSE))))</f>
        <v/>
      </c>
      <c r="H151" s="520" t="str">
        <f>IF(B151="","",IF(ISNA(VLOOKUP($B151,'B-1 Site Hedge Baseline'!$B$1:$L$257,8,FALSE)),"",(VLOOKUP($B151,'B-1 Site Hedge Baseline'!$B$1:$L$257,8,FALSE))))</f>
        <v/>
      </c>
      <c r="I151" s="520" t="str">
        <f>IF(B151="","",IF(ISNA(VLOOKUP($B151,'B-1 Site Hedge Baseline'!$B$1:$L$257,10,FALSE)),"",(VLOOKUP($B151,'B-1 Site Hedge Baseline'!$B$1:$L$257,10,FALSE))))</f>
        <v/>
      </c>
      <c r="J151" s="520" t="str">
        <f>IF(B151="","",IF(ISNA(VLOOKUP($B151,'B-1 Site Hedge Baseline'!$B$1:$L$257,11,FALSE)),"",(VLOOKUP($B151,'B-1 Site Hedge Baseline'!$B$1:$L$257,11,FALSE))))</f>
        <v/>
      </c>
      <c r="K151" s="520" t="str">
        <f>IF(B151="","",IF(ISNA(VLOOKUP($B151,'B-1 Site Hedge Baseline'!$B$1:$U$257,13,FALSE)),"",(VLOOKUP($B151,'B-1 Site Hedge Baseline'!$B$1:$U$257,13,FALSE))))</f>
        <v/>
      </c>
      <c r="L151" s="524" t="str">
        <f>IF(B151="","",IF(ISNA(VLOOKUP($B151,'B-1 Site Hedge Baseline'!$B$1:$U$257,12,FALSE)),"",(VLOOKUP($B151,'B-1 Site Hedge Baseline'!$B$1:$U$257,12,FALSE))))</f>
        <v/>
      </c>
      <c r="M151" s="416" t="str">
        <f t="shared" si="23"/>
        <v/>
      </c>
      <c r="N151" s="498" t="str">
        <f>IFERROR(IF(B151="","",INDEX('G-6 Hedgerow Data'!$AN$3:$AZ$15,MATCH(C151,'G-6 Hedgerow Data'!$AM$3:$AM$15,0),MATCH(M151,'G-6 Hedgerow Data'!$AN$2:$AZ$2,0))),"")</f>
        <v/>
      </c>
      <c r="O151" s="499" t="str">
        <f t="shared" si="18"/>
        <v/>
      </c>
      <c r="P151" s="559" t="str">
        <f>IF(B151="","",VLOOKUP(B151,'B-1 Site Hedge Baseline'!$B$10:T396,16,FALSE))</f>
        <v/>
      </c>
      <c r="Q151" s="498" t="str">
        <f>IF(M151="","",VLOOKUP(M151,'G-6 Hedgerow Data'!$B$2:$AG$15,2,FALSE))</f>
        <v/>
      </c>
      <c r="R151" s="499" t="str">
        <f>IF(M151="","",VLOOKUP(M151,'G-6 Hedgerow Data'!$B$2:$AG$15,3,FALSE))</f>
        <v/>
      </c>
      <c r="S151" s="157"/>
      <c r="T151" s="540" t="str">
        <f>IFERROR(VLOOKUP(S151,'G-1 All Habitats'!$Z$2:$AA$9,2,FALSE),"")</f>
        <v/>
      </c>
      <c r="U151" s="154"/>
      <c r="V151" s="520" t="str">
        <f>IF(U151="","",IF(VLOOKUP(U151,'G-3 Multipliers'!$L$3:$N$6,2,FALSE)=0,"Spatial Data Missing ⚠",VLOOKUP(U151,'G-3 Multipliers'!$L$3:$N$6,2,FALSE)))</f>
        <v/>
      </c>
      <c r="W151" s="524" t="str">
        <f>IF(U151="","",IF(VLOOKUP(U151,'G-3 Multipliers'!$L$3:$N$6,3,FALSE)=0,"Spatial Data Missing ⚠",VLOOKUP(U151,'G-3 Multipliers'!$L$3:$N$6,3,FALSE)))</f>
        <v/>
      </c>
      <c r="X151" s="498" t="str">
        <f>IFERROR(IF(OR(LEFT(O151,5)="Error ▲",LEFT(N151,5)="Error ▲",T151="Error ▲"),"Check Data ⚠",IF(F151&lt;R151,INDEX('G-6 Hedgerow Data'!$S$3:$AE$14,MATCH(C151,'G-6 Hedgerow Data'!$B$3:$B$14,0),MATCH(M151,'G-6 Hedgerow Data'!$S$2:$AE$2,0)),INDEX('G-6 Hedgerow Data'!$K$3:$Q$14,MATCH(M151,'G-6 Hedgerow Data'!$B$3:$B$14,0),MATCH(O151,'G-6 Hedgerow Data'!$K$2:$Q$2,0)))),"")</f>
        <v/>
      </c>
      <c r="Y151" s="195"/>
      <c r="Z151" s="195"/>
      <c r="AA151" s="507" t="str">
        <f t="shared" si="19"/>
        <v/>
      </c>
      <c r="AB151" s="521" t="str">
        <f t="shared" si="20"/>
        <v/>
      </c>
      <c r="AC151" s="522" t="str">
        <f t="shared" si="16"/>
        <v/>
      </c>
      <c r="AD151" s="537" t="str">
        <f>IF(M151="","",VLOOKUP(M151,'G-6 Hedgerow Data'!$B$3:$AG$15,31,FALSE))</f>
        <v/>
      </c>
      <c r="AE151" s="507" t="str">
        <f t="shared" si="21"/>
        <v/>
      </c>
      <c r="AF151" s="507" t="str">
        <f t="shared" si="22"/>
        <v/>
      </c>
      <c r="AG151" s="524" t="str">
        <f>IFERROR(IF(O151="","",VLOOKUP(AD151,'G-3 Multipliers'!$P$3:$Q$6,2,FALSE)),"")</f>
        <v/>
      </c>
      <c r="AH151" s="513" t="str">
        <f t="shared" si="17"/>
        <v/>
      </c>
      <c r="AI151" s="231"/>
      <c r="AJ151" s="150"/>
      <c r="AT151" s="31" t="str">
        <f>IFERROR(INDEX('G-6 Hedgerow Data'!$BJ$3:$BJ$15,MATCH(M151,'G-6 Hedgerow Data'!$B$3:$B$15,0)),"")</f>
        <v/>
      </c>
    </row>
    <row r="152" spans="2:46" ht="14" x14ac:dyDescent="0.3">
      <c r="B152" s="531" t="str">
        <f>'B-1 Site Hedge Baseline'!AK150</f>
        <v/>
      </c>
      <c r="C152" s="520" t="str">
        <f>IF(B152="","",IF(ISNA(VLOOKUP($B152,'B-1 Site Hedge Baseline'!$B$1:$L$257,3,FALSE)),"",(VLOOKUP($B152,'B-1 Site Hedge Baseline'!$B$1:$L$257,3,FALSE))))</f>
        <v/>
      </c>
      <c r="D152" s="520" t="str">
        <f>IF(B152="","",IF(ISNA(VLOOKUP($B152,'B-1 Site Hedge Baseline'!$B$1:$L$257,4,FALSE)),"",(VLOOKUP($B152,'B-1 Site Hedge Baseline'!$B$1:$L$257,4,FALSE))))</f>
        <v/>
      </c>
      <c r="E152" s="520" t="str">
        <f>IF(B152="","",IF(ISNA(VLOOKUP($B152,'B-1 Site Hedge Baseline'!$B$1:$L$257,5,FALSE)),"",(VLOOKUP($B152,'B-1 Site Hedge Baseline'!$B$1:$L$257,5,FALSE))))</f>
        <v/>
      </c>
      <c r="F152" s="520" t="str">
        <f>IF(B152="","",IF(ISNA(VLOOKUP($B152,'B-1 Site Hedge Baseline'!$B$1:$L$257,6,FALSE)),"",(VLOOKUP($B152,'B-1 Site Hedge Baseline'!$B$1:$L$257,6,FALSE))))</f>
        <v/>
      </c>
      <c r="G152" s="520" t="str">
        <f>IF(B152="","",IF(ISNA(VLOOKUP($B152,'B-1 Site Hedge Baseline'!$B$1:$L$257,7,FALSE)),"",(VLOOKUP($B152,'B-1 Site Hedge Baseline'!$B$1:$L$257,7,FALSE))))</f>
        <v/>
      </c>
      <c r="H152" s="520" t="str">
        <f>IF(B152="","",IF(ISNA(VLOOKUP($B152,'B-1 Site Hedge Baseline'!$B$1:$L$257,8,FALSE)),"",(VLOOKUP($B152,'B-1 Site Hedge Baseline'!$B$1:$L$257,8,FALSE))))</f>
        <v/>
      </c>
      <c r="I152" s="520" t="str">
        <f>IF(B152="","",IF(ISNA(VLOOKUP($B152,'B-1 Site Hedge Baseline'!$B$1:$L$257,10,FALSE)),"",(VLOOKUP($B152,'B-1 Site Hedge Baseline'!$B$1:$L$257,10,FALSE))))</f>
        <v/>
      </c>
      <c r="J152" s="520" t="str">
        <f>IF(B152="","",IF(ISNA(VLOOKUP($B152,'B-1 Site Hedge Baseline'!$B$1:$L$257,11,FALSE)),"",(VLOOKUP($B152,'B-1 Site Hedge Baseline'!$B$1:$L$257,11,FALSE))))</f>
        <v/>
      </c>
      <c r="K152" s="520" t="str">
        <f>IF(B152="","",IF(ISNA(VLOOKUP($B152,'B-1 Site Hedge Baseline'!$B$1:$U$257,13,FALSE)),"",(VLOOKUP($B152,'B-1 Site Hedge Baseline'!$B$1:$U$257,13,FALSE))))</f>
        <v/>
      </c>
      <c r="L152" s="524" t="str">
        <f>IF(B152="","",IF(ISNA(VLOOKUP($B152,'B-1 Site Hedge Baseline'!$B$1:$U$257,12,FALSE)),"",(VLOOKUP($B152,'B-1 Site Hedge Baseline'!$B$1:$U$257,12,FALSE))))</f>
        <v/>
      </c>
      <c r="M152" s="416" t="str">
        <f t="shared" si="23"/>
        <v/>
      </c>
      <c r="N152" s="498" t="str">
        <f>IFERROR(IF(B152="","",INDEX('G-6 Hedgerow Data'!$AN$3:$AZ$15,MATCH(C152,'G-6 Hedgerow Data'!$AM$3:$AM$15,0),MATCH(M152,'G-6 Hedgerow Data'!$AN$2:$AZ$2,0))),"")</f>
        <v/>
      </c>
      <c r="O152" s="499" t="str">
        <f t="shared" si="18"/>
        <v/>
      </c>
      <c r="P152" s="559" t="str">
        <f>IF(B152="","",VLOOKUP(B152,'B-1 Site Hedge Baseline'!$B$10:T397,16,FALSE))</f>
        <v/>
      </c>
      <c r="Q152" s="498" t="str">
        <f>IF(M152="","",VLOOKUP(M152,'G-6 Hedgerow Data'!$B$2:$AG$15,2,FALSE))</f>
        <v/>
      </c>
      <c r="R152" s="499" t="str">
        <f>IF(M152="","",VLOOKUP(M152,'G-6 Hedgerow Data'!$B$2:$AG$15,3,FALSE))</f>
        <v/>
      </c>
      <c r="S152" s="157"/>
      <c r="T152" s="540" t="str">
        <f>IFERROR(VLOOKUP(S152,'G-1 All Habitats'!$Z$2:$AA$9,2,FALSE),"")</f>
        <v/>
      </c>
      <c r="U152" s="154"/>
      <c r="V152" s="520" t="str">
        <f>IF(U152="","",IF(VLOOKUP(U152,'G-3 Multipliers'!$L$3:$N$6,2,FALSE)=0,"Spatial Data Missing ⚠",VLOOKUP(U152,'G-3 Multipliers'!$L$3:$N$6,2,FALSE)))</f>
        <v/>
      </c>
      <c r="W152" s="524" t="str">
        <f>IF(U152="","",IF(VLOOKUP(U152,'G-3 Multipliers'!$L$3:$N$6,3,FALSE)=0,"Spatial Data Missing ⚠",VLOOKUP(U152,'G-3 Multipliers'!$L$3:$N$6,3,FALSE)))</f>
        <v/>
      </c>
      <c r="X152" s="498" t="str">
        <f>IFERROR(IF(OR(LEFT(O152,5)="Error ▲",LEFT(N152,5)="Error ▲",T152="Error ▲"),"Check Data ⚠",IF(F152&lt;R152,INDEX('G-6 Hedgerow Data'!$S$3:$AE$14,MATCH(C152,'G-6 Hedgerow Data'!$B$3:$B$14,0),MATCH(M152,'G-6 Hedgerow Data'!$S$2:$AE$2,0)),INDEX('G-6 Hedgerow Data'!$K$3:$Q$14,MATCH(M152,'G-6 Hedgerow Data'!$B$3:$B$14,0),MATCH(O152,'G-6 Hedgerow Data'!$K$2:$Q$2,0)))),"")</f>
        <v/>
      </c>
      <c r="Y152" s="195"/>
      <c r="Z152" s="195"/>
      <c r="AA152" s="507" t="str">
        <f t="shared" si="19"/>
        <v/>
      </c>
      <c r="AB152" s="521" t="str">
        <f t="shared" si="20"/>
        <v/>
      </c>
      <c r="AC152" s="522" t="str">
        <f t="shared" si="16"/>
        <v/>
      </c>
      <c r="AD152" s="537" t="str">
        <f>IF(M152="","",VLOOKUP(M152,'G-6 Hedgerow Data'!$B$3:$AG$15,31,FALSE))</f>
        <v/>
      </c>
      <c r="AE152" s="507" t="str">
        <f t="shared" si="21"/>
        <v/>
      </c>
      <c r="AF152" s="507" t="str">
        <f t="shared" si="22"/>
        <v/>
      </c>
      <c r="AG152" s="524" t="str">
        <f>IFERROR(IF(O152="","",VLOOKUP(AD152,'G-3 Multipliers'!$P$3:$Q$6,2,FALSE)),"")</f>
        <v/>
      </c>
      <c r="AH152" s="513" t="str">
        <f t="shared" si="17"/>
        <v/>
      </c>
      <c r="AI152" s="231"/>
      <c r="AJ152" s="150"/>
      <c r="AT152" s="31" t="str">
        <f>IFERROR(INDEX('G-6 Hedgerow Data'!$BJ$3:$BJ$15,MATCH(M152,'G-6 Hedgerow Data'!$B$3:$B$15,0)),"")</f>
        <v/>
      </c>
    </row>
    <row r="153" spans="2:46" ht="14" x14ac:dyDescent="0.3">
      <c r="B153" s="531" t="str">
        <f>'B-1 Site Hedge Baseline'!AK151</f>
        <v/>
      </c>
      <c r="C153" s="520" t="str">
        <f>IF(B153="","",IF(ISNA(VLOOKUP($B153,'B-1 Site Hedge Baseline'!$B$1:$L$257,3,FALSE)),"",(VLOOKUP($B153,'B-1 Site Hedge Baseline'!$B$1:$L$257,3,FALSE))))</f>
        <v/>
      </c>
      <c r="D153" s="520" t="str">
        <f>IF(B153="","",IF(ISNA(VLOOKUP($B153,'B-1 Site Hedge Baseline'!$B$1:$L$257,4,FALSE)),"",(VLOOKUP($B153,'B-1 Site Hedge Baseline'!$B$1:$L$257,4,FALSE))))</f>
        <v/>
      </c>
      <c r="E153" s="520" t="str">
        <f>IF(B153="","",IF(ISNA(VLOOKUP($B153,'B-1 Site Hedge Baseline'!$B$1:$L$257,5,FALSE)),"",(VLOOKUP($B153,'B-1 Site Hedge Baseline'!$B$1:$L$257,5,FALSE))))</f>
        <v/>
      </c>
      <c r="F153" s="520" t="str">
        <f>IF(B153="","",IF(ISNA(VLOOKUP($B153,'B-1 Site Hedge Baseline'!$B$1:$L$257,6,FALSE)),"",(VLOOKUP($B153,'B-1 Site Hedge Baseline'!$B$1:$L$257,6,FALSE))))</f>
        <v/>
      </c>
      <c r="G153" s="520" t="str">
        <f>IF(B153="","",IF(ISNA(VLOOKUP($B153,'B-1 Site Hedge Baseline'!$B$1:$L$257,7,FALSE)),"",(VLOOKUP($B153,'B-1 Site Hedge Baseline'!$B$1:$L$257,7,FALSE))))</f>
        <v/>
      </c>
      <c r="H153" s="520" t="str">
        <f>IF(B153="","",IF(ISNA(VLOOKUP($B153,'B-1 Site Hedge Baseline'!$B$1:$L$257,8,FALSE)),"",(VLOOKUP($B153,'B-1 Site Hedge Baseline'!$B$1:$L$257,8,FALSE))))</f>
        <v/>
      </c>
      <c r="I153" s="520" t="str">
        <f>IF(B153="","",IF(ISNA(VLOOKUP($B153,'B-1 Site Hedge Baseline'!$B$1:$L$257,10,FALSE)),"",(VLOOKUP($B153,'B-1 Site Hedge Baseline'!$B$1:$L$257,10,FALSE))))</f>
        <v/>
      </c>
      <c r="J153" s="520" t="str">
        <f>IF(B153="","",IF(ISNA(VLOOKUP($B153,'B-1 Site Hedge Baseline'!$B$1:$L$257,11,FALSE)),"",(VLOOKUP($B153,'B-1 Site Hedge Baseline'!$B$1:$L$257,11,FALSE))))</f>
        <v/>
      </c>
      <c r="K153" s="520" t="str">
        <f>IF(B153="","",IF(ISNA(VLOOKUP($B153,'B-1 Site Hedge Baseline'!$B$1:$U$257,13,FALSE)),"",(VLOOKUP($B153,'B-1 Site Hedge Baseline'!$B$1:$U$257,13,FALSE))))</f>
        <v/>
      </c>
      <c r="L153" s="524" t="str">
        <f>IF(B153="","",IF(ISNA(VLOOKUP($B153,'B-1 Site Hedge Baseline'!$B$1:$U$257,12,FALSE)),"",(VLOOKUP($B153,'B-1 Site Hedge Baseline'!$B$1:$U$257,12,FALSE))))</f>
        <v/>
      </c>
      <c r="M153" s="416" t="str">
        <f t="shared" si="23"/>
        <v/>
      </c>
      <c r="N153" s="498" t="str">
        <f>IFERROR(IF(B153="","",INDEX('G-6 Hedgerow Data'!$AN$3:$AZ$15,MATCH(C153,'G-6 Hedgerow Data'!$AM$3:$AM$15,0),MATCH(M153,'G-6 Hedgerow Data'!$AN$2:$AZ$2,0))),"")</f>
        <v/>
      </c>
      <c r="O153" s="499" t="str">
        <f t="shared" si="18"/>
        <v/>
      </c>
      <c r="P153" s="559" t="str">
        <f>IF(B153="","",VLOOKUP(B153,'B-1 Site Hedge Baseline'!$B$10:T398,16,FALSE))</f>
        <v/>
      </c>
      <c r="Q153" s="498" t="str">
        <f>IF(M153="","",VLOOKUP(M153,'G-6 Hedgerow Data'!$B$2:$AG$15,2,FALSE))</f>
        <v/>
      </c>
      <c r="R153" s="499" t="str">
        <f>IF(M153="","",VLOOKUP(M153,'G-6 Hedgerow Data'!$B$2:$AG$15,3,FALSE))</f>
        <v/>
      </c>
      <c r="S153" s="157"/>
      <c r="T153" s="540" t="str">
        <f>IFERROR(VLOOKUP(S153,'G-1 All Habitats'!$Z$2:$AA$9,2,FALSE),"")</f>
        <v/>
      </c>
      <c r="U153" s="154"/>
      <c r="V153" s="520" t="str">
        <f>IF(U153="","",IF(VLOOKUP(U153,'G-3 Multipliers'!$L$3:$N$6,2,FALSE)=0,"Spatial Data Missing ⚠",VLOOKUP(U153,'G-3 Multipliers'!$L$3:$N$6,2,FALSE)))</f>
        <v/>
      </c>
      <c r="W153" s="524" t="str">
        <f>IF(U153="","",IF(VLOOKUP(U153,'G-3 Multipliers'!$L$3:$N$6,3,FALSE)=0,"Spatial Data Missing ⚠",VLOOKUP(U153,'G-3 Multipliers'!$L$3:$N$6,3,FALSE)))</f>
        <v/>
      </c>
      <c r="X153" s="498" t="str">
        <f>IFERROR(IF(OR(LEFT(O153,5)="Error ▲",LEFT(N153,5)="Error ▲",T153="Error ▲"),"Check Data ⚠",IF(F153&lt;R153,INDEX('G-6 Hedgerow Data'!$S$3:$AE$14,MATCH(C153,'G-6 Hedgerow Data'!$B$3:$B$14,0),MATCH(M153,'G-6 Hedgerow Data'!$S$2:$AE$2,0)),INDEX('G-6 Hedgerow Data'!$K$3:$Q$14,MATCH(M153,'G-6 Hedgerow Data'!$B$3:$B$14,0),MATCH(O153,'G-6 Hedgerow Data'!$K$2:$Q$2,0)))),"")</f>
        <v/>
      </c>
      <c r="Y153" s="195"/>
      <c r="Z153" s="195"/>
      <c r="AA153" s="507" t="str">
        <f t="shared" si="19"/>
        <v/>
      </c>
      <c r="AB153" s="521" t="str">
        <f t="shared" si="20"/>
        <v/>
      </c>
      <c r="AC153" s="522" t="str">
        <f t="shared" si="16"/>
        <v/>
      </c>
      <c r="AD153" s="537" t="str">
        <f>IF(M153="","",VLOOKUP(M153,'G-6 Hedgerow Data'!$B$3:$AG$15,31,FALSE))</f>
        <v/>
      </c>
      <c r="AE153" s="507" t="str">
        <f t="shared" si="21"/>
        <v/>
      </c>
      <c r="AF153" s="507" t="str">
        <f t="shared" si="22"/>
        <v/>
      </c>
      <c r="AG153" s="524" t="str">
        <f>IFERROR(IF(O153="","",VLOOKUP(AD153,'G-3 Multipliers'!$P$3:$Q$6,2,FALSE)),"")</f>
        <v/>
      </c>
      <c r="AH153" s="513" t="str">
        <f t="shared" si="17"/>
        <v/>
      </c>
      <c r="AI153" s="231"/>
      <c r="AJ153" s="150"/>
      <c r="AT153" s="31" t="str">
        <f>IFERROR(INDEX('G-6 Hedgerow Data'!$BJ$3:$BJ$15,MATCH(M153,'G-6 Hedgerow Data'!$B$3:$B$15,0)),"")</f>
        <v/>
      </c>
    </row>
    <row r="154" spans="2:46" ht="14" x14ac:dyDescent="0.3">
      <c r="B154" s="531" t="str">
        <f>'B-1 Site Hedge Baseline'!AK152</f>
        <v/>
      </c>
      <c r="C154" s="520" t="str">
        <f>IF(B154="","",IF(ISNA(VLOOKUP($B154,'B-1 Site Hedge Baseline'!$B$1:$L$257,3,FALSE)),"",(VLOOKUP($B154,'B-1 Site Hedge Baseline'!$B$1:$L$257,3,FALSE))))</f>
        <v/>
      </c>
      <c r="D154" s="520" t="str">
        <f>IF(B154="","",IF(ISNA(VLOOKUP($B154,'B-1 Site Hedge Baseline'!$B$1:$L$257,4,FALSE)),"",(VLOOKUP($B154,'B-1 Site Hedge Baseline'!$B$1:$L$257,4,FALSE))))</f>
        <v/>
      </c>
      <c r="E154" s="520" t="str">
        <f>IF(B154="","",IF(ISNA(VLOOKUP($B154,'B-1 Site Hedge Baseline'!$B$1:$L$257,5,FALSE)),"",(VLOOKUP($B154,'B-1 Site Hedge Baseline'!$B$1:$L$257,5,FALSE))))</f>
        <v/>
      </c>
      <c r="F154" s="520" t="str">
        <f>IF(B154="","",IF(ISNA(VLOOKUP($B154,'B-1 Site Hedge Baseline'!$B$1:$L$257,6,FALSE)),"",(VLOOKUP($B154,'B-1 Site Hedge Baseline'!$B$1:$L$257,6,FALSE))))</f>
        <v/>
      </c>
      <c r="G154" s="520" t="str">
        <f>IF(B154="","",IF(ISNA(VLOOKUP($B154,'B-1 Site Hedge Baseline'!$B$1:$L$257,7,FALSE)),"",(VLOOKUP($B154,'B-1 Site Hedge Baseline'!$B$1:$L$257,7,FALSE))))</f>
        <v/>
      </c>
      <c r="H154" s="520" t="str">
        <f>IF(B154="","",IF(ISNA(VLOOKUP($B154,'B-1 Site Hedge Baseline'!$B$1:$L$257,8,FALSE)),"",(VLOOKUP($B154,'B-1 Site Hedge Baseline'!$B$1:$L$257,8,FALSE))))</f>
        <v/>
      </c>
      <c r="I154" s="520" t="str">
        <f>IF(B154="","",IF(ISNA(VLOOKUP($B154,'B-1 Site Hedge Baseline'!$B$1:$L$257,10,FALSE)),"",(VLOOKUP($B154,'B-1 Site Hedge Baseline'!$B$1:$L$257,10,FALSE))))</f>
        <v/>
      </c>
      <c r="J154" s="520" t="str">
        <f>IF(B154="","",IF(ISNA(VLOOKUP($B154,'B-1 Site Hedge Baseline'!$B$1:$L$257,11,FALSE)),"",(VLOOKUP($B154,'B-1 Site Hedge Baseline'!$B$1:$L$257,11,FALSE))))</f>
        <v/>
      </c>
      <c r="K154" s="520" t="str">
        <f>IF(B154="","",IF(ISNA(VLOOKUP($B154,'B-1 Site Hedge Baseline'!$B$1:$U$257,13,FALSE)),"",(VLOOKUP($B154,'B-1 Site Hedge Baseline'!$B$1:$U$257,13,FALSE))))</f>
        <v/>
      </c>
      <c r="L154" s="524" t="str">
        <f>IF(B154="","",IF(ISNA(VLOOKUP($B154,'B-1 Site Hedge Baseline'!$B$1:$U$257,12,FALSE)),"",(VLOOKUP($B154,'B-1 Site Hedge Baseline'!$B$1:$U$257,12,FALSE))))</f>
        <v/>
      </c>
      <c r="M154" s="416" t="str">
        <f t="shared" si="23"/>
        <v/>
      </c>
      <c r="N154" s="498" t="str">
        <f>IFERROR(IF(B154="","",INDEX('G-6 Hedgerow Data'!$AN$3:$AZ$15,MATCH(C154,'G-6 Hedgerow Data'!$AM$3:$AM$15,0),MATCH(M154,'G-6 Hedgerow Data'!$AN$2:$AZ$2,0))),"")</f>
        <v/>
      </c>
      <c r="O154" s="499" t="str">
        <f t="shared" si="18"/>
        <v/>
      </c>
      <c r="P154" s="559" t="str">
        <f>IF(B154="","",VLOOKUP(B154,'B-1 Site Hedge Baseline'!$B$10:T399,16,FALSE))</f>
        <v/>
      </c>
      <c r="Q154" s="498" t="str">
        <f>IF(M154="","",VLOOKUP(M154,'G-6 Hedgerow Data'!$B$2:$AG$15,2,FALSE))</f>
        <v/>
      </c>
      <c r="R154" s="499" t="str">
        <f>IF(M154="","",VLOOKUP(M154,'G-6 Hedgerow Data'!$B$2:$AG$15,3,FALSE))</f>
        <v/>
      </c>
      <c r="S154" s="157"/>
      <c r="T154" s="540" t="str">
        <f>IFERROR(VLOOKUP(S154,'G-1 All Habitats'!$Z$2:$AA$9,2,FALSE),"")</f>
        <v/>
      </c>
      <c r="U154" s="154"/>
      <c r="V154" s="520" t="str">
        <f>IF(U154="","",IF(VLOOKUP(U154,'G-3 Multipliers'!$L$3:$N$6,2,FALSE)=0,"Spatial Data Missing ⚠",VLOOKUP(U154,'G-3 Multipliers'!$L$3:$N$6,2,FALSE)))</f>
        <v/>
      </c>
      <c r="W154" s="524" t="str">
        <f>IF(U154="","",IF(VLOOKUP(U154,'G-3 Multipliers'!$L$3:$N$6,3,FALSE)=0,"Spatial Data Missing ⚠",VLOOKUP(U154,'G-3 Multipliers'!$L$3:$N$6,3,FALSE)))</f>
        <v/>
      </c>
      <c r="X154" s="498" t="str">
        <f>IFERROR(IF(OR(LEFT(O154,5)="Error ▲",LEFT(N154,5)="Error ▲",T154="Error ▲"),"Check Data ⚠",IF(F154&lt;R154,INDEX('G-6 Hedgerow Data'!$S$3:$AE$14,MATCH(C154,'G-6 Hedgerow Data'!$B$3:$B$14,0),MATCH(M154,'G-6 Hedgerow Data'!$S$2:$AE$2,0)),INDEX('G-6 Hedgerow Data'!$K$3:$Q$14,MATCH(M154,'G-6 Hedgerow Data'!$B$3:$B$14,0),MATCH(O154,'G-6 Hedgerow Data'!$K$2:$Q$2,0)))),"")</f>
        <v/>
      </c>
      <c r="Y154" s="195"/>
      <c r="Z154" s="195"/>
      <c r="AA154" s="507" t="str">
        <f t="shared" si="19"/>
        <v/>
      </c>
      <c r="AB154" s="521" t="str">
        <f t="shared" si="20"/>
        <v/>
      </c>
      <c r="AC154" s="522" t="str">
        <f t="shared" si="16"/>
        <v/>
      </c>
      <c r="AD154" s="537" t="str">
        <f>IF(M154="","",VLOOKUP(M154,'G-6 Hedgerow Data'!$B$3:$AG$15,31,FALSE))</f>
        <v/>
      </c>
      <c r="AE154" s="507" t="str">
        <f t="shared" si="21"/>
        <v/>
      </c>
      <c r="AF154" s="507" t="str">
        <f t="shared" si="22"/>
        <v/>
      </c>
      <c r="AG154" s="524" t="str">
        <f>IFERROR(IF(O154="","",VLOOKUP(AD154,'G-3 Multipliers'!$P$3:$Q$6,2,FALSE)),"")</f>
        <v/>
      </c>
      <c r="AH154" s="513" t="str">
        <f t="shared" si="17"/>
        <v/>
      </c>
      <c r="AI154" s="231"/>
      <c r="AJ154" s="150"/>
      <c r="AT154" s="31" t="str">
        <f>IFERROR(INDEX('G-6 Hedgerow Data'!$BJ$3:$BJ$15,MATCH(M154,'G-6 Hedgerow Data'!$B$3:$B$15,0)),"")</f>
        <v/>
      </c>
    </row>
    <row r="155" spans="2:46" ht="14" x14ac:dyDescent="0.3">
      <c r="B155" s="531" t="str">
        <f>'B-1 Site Hedge Baseline'!AK153</f>
        <v/>
      </c>
      <c r="C155" s="520" t="str">
        <f>IF(B155="","",IF(ISNA(VLOOKUP($B155,'B-1 Site Hedge Baseline'!$B$1:$L$257,3,FALSE)),"",(VLOOKUP($B155,'B-1 Site Hedge Baseline'!$B$1:$L$257,3,FALSE))))</f>
        <v/>
      </c>
      <c r="D155" s="520" t="str">
        <f>IF(B155="","",IF(ISNA(VLOOKUP($B155,'B-1 Site Hedge Baseline'!$B$1:$L$257,4,FALSE)),"",(VLOOKUP($B155,'B-1 Site Hedge Baseline'!$B$1:$L$257,4,FALSE))))</f>
        <v/>
      </c>
      <c r="E155" s="520" t="str">
        <f>IF(B155="","",IF(ISNA(VLOOKUP($B155,'B-1 Site Hedge Baseline'!$B$1:$L$257,5,FALSE)),"",(VLOOKUP($B155,'B-1 Site Hedge Baseline'!$B$1:$L$257,5,FALSE))))</f>
        <v/>
      </c>
      <c r="F155" s="520" t="str">
        <f>IF(B155="","",IF(ISNA(VLOOKUP($B155,'B-1 Site Hedge Baseline'!$B$1:$L$257,6,FALSE)),"",(VLOOKUP($B155,'B-1 Site Hedge Baseline'!$B$1:$L$257,6,FALSE))))</f>
        <v/>
      </c>
      <c r="G155" s="520" t="str">
        <f>IF(B155="","",IF(ISNA(VLOOKUP($B155,'B-1 Site Hedge Baseline'!$B$1:$L$257,7,FALSE)),"",(VLOOKUP($B155,'B-1 Site Hedge Baseline'!$B$1:$L$257,7,FALSE))))</f>
        <v/>
      </c>
      <c r="H155" s="520" t="str">
        <f>IF(B155="","",IF(ISNA(VLOOKUP($B155,'B-1 Site Hedge Baseline'!$B$1:$L$257,8,FALSE)),"",(VLOOKUP($B155,'B-1 Site Hedge Baseline'!$B$1:$L$257,8,FALSE))))</f>
        <v/>
      </c>
      <c r="I155" s="520" t="str">
        <f>IF(B155="","",IF(ISNA(VLOOKUP($B155,'B-1 Site Hedge Baseline'!$B$1:$L$257,10,FALSE)),"",(VLOOKUP($B155,'B-1 Site Hedge Baseline'!$B$1:$L$257,10,FALSE))))</f>
        <v/>
      </c>
      <c r="J155" s="520" t="str">
        <f>IF(B155="","",IF(ISNA(VLOOKUP($B155,'B-1 Site Hedge Baseline'!$B$1:$L$257,11,FALSE)),"",(VLOOKUP($B155,'B-1 Site Hedge Baseline'!$B$1:$L$257,11,FALSE))))</f>
        <v/>
      </c>
      <c r="K155" s="520" t="str">
        <f>IF(B155="","",IF(ISNA(VLOOKUP($B155,'B-1 Site Hedge Baseline'!$B$1:$U$257,13,FALSE)),"",(VLOOKUP($B155,'B-1 Site Hedge Baseline'!$B$1:$U$257,13,FALSE))))</f>
        <v/>
      </c>
      <c r="L155" s="524" t="str">
        <f>IF(B155="","",IF(ISNA(VLOOKUP($B155,'B-1 Site Hedge Baseline'!$B$1:$U$257,12,FALSE)),"",(VLOOKUP($B155,'B-1 Site Hedge Baseline'!$B$1:$U$257,12,FALSE))))</f>
        <v/>
      </c>
      <c r="M155" s="416" t="str">
        <f t="shared" si="23"/>
        <v/>
      </c>
      <c r="N155" s="498" t="str">
        <f>IFERROR(IF(B155="","",INDEX('G-6 Hedgerow Data'!$AN$3:$AZ$15,MATCH(C155,'G-6 Hedgerow Data'!$AM$3:$AM$15,0),MATCH(M155,'G-6 Hedgerow Data'!$AN$2:$AZ$2,0))),"")</f>
        <v/>
      </c>
      <c r="O155" s="499" t="str">
        <f t="shared" si="18"/>
        <v/>
      </c>
      <c r="P155" s="559" t="str">
        <f>IF(B155="","",VLOOKUP(B155,'B-1 Site Hedge Baseline'!$B$10:T400,16,FALSE))</f>
        <v/>
      </c>
      <c r="Q155" s="498" t="str">
        <f>IF(M155="","",VLOOKUP(M155,'G-6 Hedgerow Data'!$B$2:$AG$15,2,FALSE))</f>
        <v/>
      </c>
      <c r="R155" s="499" t="str">
        <f>IF(M155="","",VLOOKUP(M155,'G-6 Hedgerow Data'!$B$2:$AG$15,3,FALSE))</f>
        <v/>
      </c>
      <c r="S155" s="157"/>
      <c r="T155" s="540" t="str">
        <f>IFERROR(VLOOKUP(S155,'G-1 All Habitats'!$Z$2:$AA$9,2,FALSE),"")</f>
        <v/>
      </c>
      <c r="U155" s="154"/>
      <c r="V155" s="520" t="str">
        <f>IF(U155="","",IF(VLOOKUP(U155,'G-3 Multipliers'!$L$3:$N$6,2,FALSE)=0,"Spatial Data Missing ⚠",VLOOKUP(U155,'G-3 Multipliers'!$L$3:$N$6,2,FALSE)))</f>
        <v/>
      </c>
      <c r="W155" s="524" t="str">
        <f>IF(U155="","",IF(VLOOKUP(U155,'G-3 Multipliers'!$L$3:$N$6,3,FALSE)=0,"Spatial Data Missing ⚠",VLOOKUP(U155,'G-3 Multipliers'!$L$3:$N$6,3,FALSE)))</f>
        <v/>
      </c>
      <c r="X155" s="498" t="str">
        <f>IFERROR(IF(OR(LEFT(O155,5)="Error ▲",LEFT(N155,5)="Error ▲",T155="Error ▲"),"Check Data ⚠",IF(F155&lt;R155,INDEX('G-6 Hedgerow Data'!$S$3:$AE$14,MATCH(C155,'G-6 Hedgerow Data'!$B$3:$B$14,0),MATCH(M155,'G-6 Hedgerow Data'!$S$2:$AE$2,0)),INDEX('G-6 Hedgerow Data'!$K$3:$Q$14,MATCH(M155,'G-6 Hedgerow Data'!$B$3:$B$14,0),MATCH(O155,'G-6 Hedgerow Data'!$K$2:$Q$2,0)))),"")</f>
        <v/>
      </c>
      <c r="Y155" s="195"/>
      <c r="Z155" s="195"/>
      <c r="AA155" s="507" t="str">
        <f t="shared" si="19"/>
        <v/>
      </c>
      <c r="AB155" s="521" t="str">
        <f t="shared" si="20"/>
        <v/>
      </c>
      <c r="AC155" s="522" t="str">
        <f t="shared" si="16"/>
        <v/>
      </c>
      <c r="AD155" s="537" t="str">
        <f>IF(M155="","",VLOOKUP(M155,'G-6 Hedgerow Data'!$B$3:$AG$15,31,FALSE))</f>
        <v/>
      </c>
      <c r="AE155" s="507" t="str">
        <f t="shared" si="21"/>
        <v/>
      </c>
      <c r="AF155" s="507" t="str">
        <f t="shared" si="22"/>
        <v/>
      </c>
      <c r="AG155" s="524" t="str">
        <f>IFERROR(IF(O155="","",VLOOKUP(AD155,'G-3 Multipliers'!$P$3:$Q$6,2,FALSE)),"")</f>
        <v/>
      </c>
      <c r="AH155" s="513" t="str">
        <f t="shared" si="17"/>
        <v/>
      </c>
      <c r="AI155" s="231"/>
      <c r="AJ155" s="150"/>
      <c r="AT155" s="31" t="str">
        <f>IFERROR(INDEX('G-6 Hedgerow Data'!$BJ$3:$BJ$15,MATCH(M155,'G-6 Hedgerow Data'!$B$3:$B$15,0)),"")</f>
        <v/>
      </c>
    </row>
    <row r="156" spans="2:46" ht="14" x14ac:dyDescent="0.3">
      <c r="B156" s="531" t="str">
        <f>'B-1 Site Hedge Baseline'!AK154</f>
        <v/>
      </c>
      <c r="C156" s="520" t="str">
        <f>IF(B156="","",IF(ISNA(VLOOKUP($B156,'B-1 Site Hedge Baseline'!$B$1:$L$257,3,FALSE)),"",(VLOOKUP($B156,'B-1 Site Hedge Baseline'!$B$1:$L$257,3,FALSE))))</f>
        <v/>
      </c>
      <c r="D156" s="520" t="str">
        <f>IF(B156="","",IF(ISNA(VLOOKUP($B156,'B-1 Site Hedge Baseline'!$B$1:$L$257,4,FALSE)),"",(VLOOKUP($B156,'B-1 Site Hedge Baseline'!$B$1:$L$257,4,FALSE))))</f>
        <v/>
      </c>
      <c r="E156" s="520" t="str">
        <f>IF(B156="","",IF(ISNA(VLOOKUP($B156,'B-1 Site Hedge Baseline'!$B$1:$L$257,5,FALSE)),"",(VLOOKUP($B156,'B-1 Site Hedge Baseline'!$B$1:$L$257,5,FALSE))))</f>
        <v/>
      </c>
      <c r="F156" s="520" t="str">
        <f>IF(B156="","",IF(ISNA(VLOOKUP($B156,'B-1 Site Hedge Baseline'!$B$1:$L$257,6,FALSE)),"",(VLOOKUP($B156,'B-1 Site Hedge Baseline'!$B$1:$L$257,6,FALSE))))</f>
        <v/>
      </c>
      <c r="G156" s="520" t="str">
        <f>IF(B156="","",IF(ISNA(VLOOKUP($B156,'B-1 Site Hedge Baseline'!$B$1:$L$257,7,FALSE)),"",(VLOOKUP($B156,'B-1 Site Hedge Baseline'!$B$1:$L$257,7,FALSE))))</f>
        <v/>
      </c>
      <c r="H156" s="520" t="str">
        <f>IF(B156="","",IF(ISNA(VLOOKUP($B156,'B-1 Site Hedge Baseline'!$B$1:$L$257,8,FALSE)),"",(VLOOKUP($B156,'B-1 Site Hedge Baseline'!$B$1:$L$257,8,FALSE))))</f>
        <v/>
      </c>
      <c r="I156" s="520" t="str">
        <f>IF(B156="","",IF(ISNA(VLOOKUP($B156,'B-1 Site Hedge Baseline'!$B$1:$L$257,10,FALSE)),"",(VLOOKUP($B156,'B-1 Site Hedge Baseline'!$B$1:$L$257,10,FALSE))))</f>
        <v/>
      </c>
      <c r="J156" s="520" t="str">
        <f>IF(B156="","",IF(ISNA(VLOOKUP($B156,'B-1 Site Hedge Baseline'!$B$1:$L$257,11,FALSE)),"",(VLOOKUP($B156,'B-1 Site Hedge Baseline'!$B$1:$L$257,11,FALSE))))</f>
        <v/>
      </c>
      <c r="K156" s="520" t="str">
        <f>IF(B156="","",IF(ISNA(VLOOKUP($B156,'B-1 Site Hedge Baseline'!$B$1:$U$257,13,FALSE)),"",(VLOOKUP($B156,'B-1 Site Hedge Baseline'!$B$1:$U$257,13,FALSE))))</f>
        <v/>
      </c>
      <c r="L156" s="524" t="str">
        <f>IF(B156="","",IF(ISNA(VLOOKUP($B156,'B-1 Site Hedge Baseline'!$B$1:$U$257,12,FALSE)),"",(VLOOKUP($B156,'B-1 Site Hedge Baseline'!$B$1:$U$257,12,FALSE))))</f>
        <v/>
      </c>
      <c r="M156" s="416" t="str">
        <f t="shared" si="23"/>
        <v/>
      </c>
      <c r="N156" s="498" t="str">
        <f>IFERROR(IF(B156="","",INDEX('G-6 Hedgerow Data'!$AN$3:$AZ$15,MATCH(C156,'G-6 Hedgerow Data'!$AM$3:$AM$15,0),MATCH(M156,'G-6 Hedgerow Data'!$AN$2:$AZ$2,0))),"")</f>
        <v/>
      </c>
      <c r="O156" s="499" t="str">
        <f t="shared" si="18"/>
        <v/>
      </c>
      <c r="P156" s="559" t="str">
        <f>IF(B156="","",VLOOKUP(B156,'B-1 Site Hedge Baseline'!$B$10:T401,16,FALSE))</f>
        <v/>
      </c>
      <c r="Q156" s="498" t="str">
        <f>IF(M156="","",VLOOKUP(M156,'G-6 Hedgerow Data'!$B$2:$AG$15,2,FALSE))</f>
        <v/>
      </c>
      <c r="R156" s="499" t="str">
        <f>IF(M156="","",VLOOKUP(M156,'G-6 Hedgerow Data'!$B$2:$AG$15,3,FALSE))</f>
        <v/>
      </c>
      <c r="S156" s="157"/>
      <c r="T156" s="540" t="str">
        <f>IFERROR(VLOOKUP(S156,'G-1 All Habitats'!$Z$2:$AA$9,2,FALSE),"")</f>
        <v/>
      </c>
      <c r="U156" s="154"/>
      <c r="V156" s="520" t="str">
        <f>IF(U156="","",IF(VLOOKUP(U156,'G-3 Multipliers'!$L$3:$N$6,2,FALSE)=0,"Spatial Data Missing ⚠",VLOOKUP(U156,'G-3 Multipliers'!$L$3:$N$6,2,FALSE)))</f>
        <v/>
      </c>
      <c r="W156" s="524" t="str">
        <f>IF(U156="","",IF(VLOOKUP(U156,'G-3 Multipliers'!$L$3:$N$6,3,FALSE)=0,"Spatial Data Missing ⚠",VLOOKUP(U156,'G-3 Multipliers'!$L$3:$N$6,3,FALSE)))</f>
        <v/>
      </c>
      <c r="X156" s="498" t="str">
        <f>IFERROR(IF(OR(LEFT(O156,5)="Error ▲",LEFT(N156,5)="Error ▲",T156="Error ▲"),"Check Data ⚠",IF(F156&lt;R156,INDEX('G-6 Hedgerow Data'!$S$3:$AE$14,MATCH(C156,'G-6 Hedgerow Data'!$B$3:$B$14,0),MATCH(M156,'G-6 Hedgerow Data'!$S$2:$AE$2,0)),INDEX('G-6 Hedgerow Data'!$K$3:$Q$14,MATCH(M156,'G-6 Hedgerow Data'!$B$3:$B$14,0),MATCH(O156,'G-6 Hedgerow Data'!$K$2:$Q$2,0)))),"")</f>
        <v/>
      </c>
      <c r="Y156" s="195"/>
      <c r="Z156" s="195"/>
      <c r="AA156" s="507" t="str">
        <f t="shared" si="19"/>
        <v/>
      </c>
      <c r="AB156" s="521" t="str">
        <f t="shared" si="20"/>
        <v/>
      </c>
      <c r="AC156" s="522" t="str">
        <f t="shared" si="16"/>
        <v/>
      </c>
      <c r="AD156" s="537" t="str">
        <f>IF(M156="","",VLOOKUP(M156,'G-6 Hedgerow Data'!$B$3:$AG$15,31,FALSE))</f>
        <v/>
      </c>
      <c r="AE156" s="507" t="str">
        <f t="shared" si="21"/>
        <v/>
      </c>
      <c r="AF156" s="507" t="str">
        <f t="shared" si="22"/>
        <v/>
      </c>
      <c r="AG156" s="524" t="str">
        <f>IFERROR(IF(O156="","",VLOOKUP(AD156,'G-3 Multipliers'!$P$3:$Q$6,2,FALSE)),"")</f>
        <v/>
      </c>
      <c r="AH156" s="513" t="str">
        <f t="shared" si="17"/>
        <v/>
      </c>
      <c r="AI156" s="231"/>
      <c r="AJ156" s="150"/>
      <c r="AT156" s="31" t="str">
        <f>IFERROR(INDEX('G-6 Hedgerow Data'!$BJ$3:$BJ$15,MATCH(M156,'G-6 Hedgerow Data'!$B$3:$B$15,0)),"")</f>
        <v/>
      </c>
    </row>
    <row r="157" spans="2:46" ht="14" x14ac:dyDescent="0.3">
      <c r="B157" s="531" t="str">
        <f>'B-1 Site Hedge Baseline'!AK155</f>
        <v/>
      </c>
      <c r="C157" s="520" t="str">
        <f>IF(B157="","",IF(ISNA(VLOOKUP($B157,'B-1 Site Hedge Baseline'!$B$1:$L$257,3,FALSE)),"",(VLOOKUP($B157,'B-1 Site Hedge Baseline'!$B$1:$L$257,3,FALSE))))</f>
        <v/>
      </c>
      <c r="D157" s="520" t="str">
        <f>IF(B157="","",IF(ISNA(VLOOKUP($B157,'B-1 Site Hedge Baseline'!$B$1:$L$257,4,FALSE)),"",(VLOOKUP($B157,'B-1 Site Hedge Baseline'!$B$1:$L$257,4,FALSE))))</f>
        <v/>
      </c>
      <c r="E157" s="520" t="str">
        <f>IF(B157="","",IF(ISNA(VLOOKUP($B157,'B-1 Site Hedge Baseline'!$B$1:$L$257,5,FALSE)),"",(VLOOKUP($B157,'B-1 Site Hedge Baseline'!$B$1:$L$257,5,FALSE))))</f>
        <v/>
      </c>
      <c r="F157" s="520" t="str">
        <f>IF(B157="","",IF(ISNA(VLOOKUP($B157,'B-1 Site Hedge Baseline'!$B$1:$L$257,6,FALSE)),"",(VLOOKUP($B157,'B-1 Site Hedge Baseline'!$B$1:$L$257,6,FALSE))))</f>
        <v/>
      </c>
      <c r="G157" s="520" t="str">
        <f>IF(B157="","",IF(ISNA(VLOOKUP($B157,'B-1 Site Hedge Baseline'!$B$1:$L$257,7,FALSE)),"",(VLOOKUP($B157,'B-1 Site Hedge Baseline'!$B$1:$L$257,7,FALSE))))</f>
        <v/>
      </c>
      <c r="H157" s="520" t="str">
        <f>IF(B157="","",IF(ISNA(VLOOKUP($B157,'B-1 Site Hedge Baseline'!$B$1:$L$257,8,FALSE)),"",(VLOOKUP($B157,'B-1 Site Hedge Baseline'!$B$1:$L$257,8,FALSE))))</f>
        <v/>
      </c>
      <c r="I157" s="520" t="str">
        <f>IF(B157="","",IF(ISNA(VLOOKUP($B157,'B-1 Site Hedge Baseline'!$B$1:$L$257,10,FALSE)),"",(VLOOKUP($B157,'B-1 Site Hedge Baseline'!$B$1:$L$257,10,FALSE))))</f>
        <v/>
      </c>
      <c r="J157" s="520" t="str">
        <f>IF(B157="","",IF(ISNA(VLOOKUP($B157,'B-1 Site Hedge Baseline'!$B$1:$L$257,11,FALSE)),"",(VLOOKUP($B157,'B-1 Site Hedge Baseline'!$B$1:$L$257,11,FALSE))))</f>
        <v/>
      </c>
      <c r="K157" s="520" t="str">
        <f>IF(B157="","",IF(ISNA(VLOOKUP($B157,'B-1 Site Hedge Baseline'!$B$1:$U$257,13,FALSE)),"",(VLOOKUP($B157,'B-1 Site Hedge Baseline'!$B$1:$U$257,13,FALSE))))</f>
        <v/>
      </c>
      <c r="L157" s="524" t="str">
        <f>IF(B157="","",IF(ISNA(VLOOKUP($B157,'B-1 Site Hedge Baseline'!$B$1:$U$257,12,FALSE)),"",(VLOOKUP($B157,'B-1 Site Hedge Baseline'!$B$1:$U$257,12,FALSE))))</f>
        <v/>
      </c>
      <c r="M157" s="416" t="str">
        <f t="shared" si="23"/>
        <v/>
      </c>
      <c r="N157" s="498" t="str">
        <f>IFERROR(IF(B157="","",INDEX('G-6 Hedgerow Data'!$AN$3:$AZ$15,MATCH(C157,'G-6 Hedgerow Data'!$AM$3:$AM$15,0),MATCH(M157,'G-6 Hedgerow Data'!$AN$2:$AZ$2,0))),"")</f>
        <v/>
      </c>
      <c r="O157" s="499" t="str">
        <f t="shared" si="18"/>
        <v/>
      </c>
      <c r="P157" s="559" t="str">
        <f>IF(B157="","",VLOOKUP(B157,'B-1 Site Hedge Baseline'!$B$10:T402,16,FALSE))</f>
        <v/>
      </c>
      <c r="Q157" s="498" t="str">
        <f>IF(M157="","",VLOOKUP(M157,'G-6 Hedgerow Data'!$B$2:$AG$15,2,FALSE))</f>
        <v/>
      </c>
      <c r="R157" s="499" t="str">
        <f>IF(M157="","",VLOOKUP(M157,'G-6 Hedgerow Data'!$B$2:$AG$15,3,FALSE))</f>
        <v/>
      </c>
      <c r="S157" s="157"/>
      <c r="T157" s="540" t="str">
        <f>IFERROR(VLOOKUP(S157,'G-1 All Habitats'!$Z$2:$AA$9,2,FALSE),"")</f>
        <v/>
      </c>
      <c r="U157" s="154"/>
      <c r="V157" s="520" t="str">
        <f>IF(U157="","",IF(VLOOKUP(U157,'G-3 Multipliers'!$L$3:$N$6,2,FALSE)=0,"Spatial Data Missing ⚠",VLOOKUP(U157,'G-3 Multipliers'!$L$3:$N$6,2,FALSE)))</f>
        <v/>
      </c>
      <c r="W157" s="524" t="str">
        <f>IF(U157="","",IF(VLOOKUP(U157,'G-3 Multipliers'!$L$3:$N$6,3,FALSE)=0,"Spatial Data Missing ⚠",VLOOKUP(U157,'G-3 Multipliers'!$L$3:$N$6,3,FALSE)))</f>
        <v/>
      </c>
      <c r="X157" s="498" t="str">
        <f>IFERROR(IF(OR(LEFT(O157,5)="Error ▲",LEFT(N157,5)="Error ▲",T157="Error ▲"),"Check Data ⚠",IF(F157&lt;R157,INDEX('G-6 Hedgerow Data'!$S$3:$AE$14,MATCH(C157,'G-6 Hedgerow Data'!$B$3:$B$14,0),MATCH(M157,'G-6 Hedgerow Data'!$S$2:$AE$2,0)),INDEX('G-6 Hedgerow Data'!$K$3:$Q$14,MATCH(M157,'G-6 Hedgerow Data'!$B$3:$B$14,0),MATCH(O157,'G-6 Hedgerow Data'!$K$2:$Q$2,0)))),"")</f>
        <v/>
      </c>
      <c r="Y157" s="195"/>
      <c r="Z157" s="195"/>
      <c r="AA157" s="507" t="str">
        <f t="shared" si="19"/>
        <v/>
      </c>
      <c r="AB157" s="521" t="str">
        <f t="shared" si="20"/>
        <v/>
      </c>
      <c r="AC157" s="522" t="str">
        <f t="shared" si="16"/>
        <v/>
      </c>
      <c r="AD157" s="537" t="str">
        <f>IF(M157="","",VLOOKUP(M157,'G-6 Hedgerow Data'!$B$3:$AG$15,31,FALSE))</f>
        <v/>
      </c>
      <c r="AE157" s="507" t="str">
        <f t="shared" si="21"/>
        <v/>
      </c>
      <c r="AF157" s="507" t="str">
        <f t="shared" si="22"/>
        <v/>
      </c>
      <c r="AG157" s="524" t="str">
        <f>IFERROR(IF(O157="","",VLOOKUP(AD157,'G-3 Multipliers'!$P$3:$Q$6,2,FALSE)),"")</f>
        <v/>
      </c>
      <c r="AH157" s="513" t="str">
        <f t="shared" si="17"/>
        <v/>
      </c>
      <c r="AI157" s="231"/>
      <c r="AJ157" s="150"/>
      <c r="AT157" s="31" t="str">
        <f>IFERROR(INDEX('G-6 Hedgerow Data'!$BJ$3:$BJ$15,MATCH(M157,'G-6 Hedgerow Data'!$B$3:$B$15,0)),"")</f>
        <v/>
      </c>
    </row>
    <row r="158" spans="2:46" ht="14" x14ac:dyDescent="0.3">
      <c r="B158" s="531" t="str">
        <f>'B-1 Site Hedge Baseline'!AK156</f>
        <v/>
      </c>
      <c r="C158" s="520" t="str">
        <f>IF(B158="","",IF(ISNA(VLOOKUP($B158,'B-1 Site Hedge Baseline'!$B$1:$L$257,3,FALSE)),"",(VLOOKUP($B158,'B-1 Site Hedge Baseline'!$B$1:$L$257,3,FALSE))))</f>
        <v/>
      </c>
      <c r="D158" s="520" t="str">
        <f>IF(B158="","",IF(ISNA(VLOOKUP($B158,'B-1 Site Hedge Baseline'!$B$1:$L$257,4,FALSE)),"",(VLOOKUP($B158,'B-1 Site Hedge Baseline'!$B$1:$L$257,4,FALSE))))</f>
        <v/>
      </c>
      <c r="E158" s="520" t="str">
        <f>IF(B158="","",IF(ISNA(VLOOKUP($B158,'B-1 Site Hedge Baseline'!$B$1:$L$257,5,FALSE)),"",(VLOOKUP($B158,'B-1 Site Hedge Baseline'!$B$1:$L$257,5,FALSE))))</f>
        <v/>
      </c>
      <c r="F158" s="520" t="str">
        <f>IF(B158="","",IF(ISNA(VLOOKUP($B158,'B-1 Site Hedge Baseline'!$B$1:$L$257,6,FALSE)),"",(VLOOKUP($B158,'B-1 Site Hedge Baseline'!$B$1:$L$257,6,FALSE))))</f>
        <v/>
      </c>
      <c r="G158" s="520" t="str">
        <f>IF(B158="","",IF(ISNA(VLOOKUP($B158,'B-1 Site Hedge Baseline'!$B$1:$L$257,7,FALSE)),"",(VLOOKUP($B158,'B-1 Site Hedge Baseline'!$B$1:$L$257,7,FALSE))))</f>
        <v/>
      </c>
      <c r="H158" s="520" t="str">
        <f>IF(B158="","",IF(ISNA(VLOOKUP($B158,'B-1 Site Hedge Baseline'!$B$1:$L$257,8,FALSE)),"",(VLOOKUP($B158,'B-1 Site Hedge Baseline'!$B$1:$L$257,8,FALSE))))</f>
        <v/>
      </c>
      <c r="I158" s="520" t="str">
        <f>IF(B158="","",IF(ISNA(VLOOKUP($B158,'B-1 Site Hedge Baseline'!$B$1:$L$257,10,FALSE)),"",(VLOOKUP($B158,'B-1 Site Hedge Baseline'!$B$1:$L$257,10,FALSE))))</f>
        <v/>
      </c>
      <c r="J158" s="520" t="str">
        <f>IF(B158="","",IF(ISNA(VLOOKUP($B158,'B-1 Site Hedge Baseline'!$B$1:$L$257,11,FALSE)),"",(VLOOKUP($B158,'B-1 Site Hedge Baseline'!$B$1:$L$257,11,FALSE))))</f>
        <v/>
      </c>
      <c r="K158" s="520" t="str">
        <f>IF(B158="","",IF(ISNA(VLOOKUP($B158,'B-1 Site Hedge Baseline'!$B$1:$U$257,13,FALSE)),"",(VLOOKUP($B158,'B-1 Site Hedge Baseline'!$B$1:$U$257,13,FALSE))))</f>
        <v/>
      </c>
      <c r="L158" s="524" t="str">
        <f>IF(B158="","",IF(ISNA(VLOOKUP($B158,'B-1 Site Hedge Baseline'!$B$1:$U$257,12,FALSE)),"",(VLOOKUP($B158,'B-1 Site Hedge Baseline'!$B$1:$U$257,12,FALSE))))</f>
        <v/>
      </c>
      <c r="M158" s="416" t="str">
        <f t="shared" si="23"/>
        <v/>
      </c>
      <c r="N158" s="498" t="str">
        <f>IFERROR(IF(B158="","",INDEX('G-6 Hedgerow Data'!$AN$3:$AZ$15,MATCH(C158,'G-6 Hedgerow Data'!$AM$3:$AM$15,0),MATCH(M158,'G-6 Hedgerow Data'!$AN$2:$AZ$2,0))),"")</f>
        <v/>
      </c>
      <c r="O158" s="499" t="str">
        <f t="shared" si="18"/>
        <v/>
      </c>
      <c r="P158" s="559" t="str">
        <f>IF(B158="","",VLOOKUP(B158,'B-1 Site Hedge Baseline'!$B$10:T403,16,FALSE))</f>
        <v/>
      </c>
      <c r="Q158" s="498" t="str">
        <f>IF(M158="","",VLOOKUP(M158,'G-6 Hedgerow Data'!$B$2:$AG$15,2,FALSE))</f>
        <v/>
      </c>
      <c r="R158" s="499" t="str">
        <f>IF(M158="","",VLOOKUP(M158,'G-6 Hedgerow Data'!$B$2:$AG$15,3,FALSE))</f>
        <v/>
      </c>
      <c r="S158" s="157"/>
      <c r="T158" s="540" t="str">
        <f>IFERROR(VLOOKUP(S158,'G-1 All Habitats'!$Z$2:$AA$9,2,FALSE),"")</f>
        <v/>
      </c>
      <c r="U158" s="154"/>
      <c r="V158" s="520" t="str">
        <f>IF(U158="","",IF(VLOOKUP(U158,'G-3 Multipliers'!$L$3:$N$6,2,FALSE)=0,"Spatial Data Missing ⚠",VLOOKUP(U158,'G-3 Multipliers'!$L$3:$N$6,2,FALSE)))</f>
        <v/>
      </c>
      <c r="W158" s="524" t="str">
        <f>IF(U158="","",IF(VLOOKUP(U158,'G-3 Multipliers'!$L$3:$N$6,3,FALSE)=0,"Spatial Data Missing ⚠",VLOOKUP(U158,'G-3 Multipliers'!$L$3:$N$6,3,FALSE)))</f>
        <v/>
      </c>
      <c r="X158" s="498" t="str">
        <f>IFERROR(IF(OR(LEFT(O158,5)="Error ▲",LEFT(N158,5)="Error ▲",T158="Error ▲"),"Check Data ⚠",IF(F158&lt;R158,INDEX('G-6 Hedgerow Data'!$S$3:$AE$14,MATCH(C158,'G-6 Hedgerow Data'!$B$3:$B$14,0),MATCH(M158,'G-6 Hedgerow Data'!$S$2:$AE$2,0)),INDEX('G-6 Hedgerow Data'!$K$3:$Q$14,MATCH(M158,'G-6 Hedgerow Data'!$B$3:$B$14,0),MATCH(O158,'G-6 Hedgerow Data'!$K$2:$Q$2,0)))),"")</f>
        <v/>
      </c>
      <c r="Y158" s="195"/>
      <c r="Z158" s="195"/>
      <c r="AA158" s="507" t="str">
        <f t="shared" si="19"/>
        <v/>
      </c>
      <c r="AB158" s="521" t="str">
        <f t="shared" si="20"/>
        <v/>
      </c>
      <c r="AC158" s="522" t="str">
        <f t="shared" si="16"/>
        <v/>
      </c>
      <c r="AD158" s="537" t="str">
        <f>IF(M158="","",VLOOKUP(M158,'G-6 Hedgerow Data'!$B$3:$AG$15,31,FALSE))</f>
        <v/>
      </c>
      <c r="AE158" s="507" t="str">
        <f t="shared" si="21"/>
        <v/>
      </c>
      <c r="AF158" s="507" t="str">
        <f t="shared" si="22"/>
        <v/>
      </c>
      <c r="AG158" s="524" t="str">
        <f>IFERROR(IF(O158="","",VLOOKUP(AD158,'G-3 Multipliers'!$P$3:$Q$6,2,FALSE)),"")</f>
        <v/>
      </c>
      <c r="AH158" s="513" t="str">
        <f t="shared" si="17"/>
        <v/>
      </c>
      <c r="AI158" s="231"/>
      <c r="AJ158" s="150"/>
      <c r="AT158" s="31" t="str">
        <f>IFERROR(INDEX('G-6 Hedgerow Data'!$BJ$3:$BJ$15,MATCH(M158,'G-6 Hedgerow Data'!$B$3:$B$15,0)),"")</f>
        <v/>
      </c>
    </row>
    <row r="159" spans="2:46" ht="14" x14ac:dyDescent="0.3">
      <c r="B159" s="531" t="str">
        <f>'B-1 Site Hedge Baseline'!AK157</f>
        <v/>
      </c>
      <c r="C159" s="520" t="str">
        <f>IF(B159="","",IF(ISNA(VLOOKUP($B159,'B-1 Site Hedge Baseline'!$B$1:$L$257,3,FALSE)),"",(VLOOKUP($B159,'B-1 Site Hedge Baseline'!$B$1:$L$257,3,FALSE))))</f>
        <v/>
      </c>
      <c r="D159" s="520" t="str">
        <f>IF(B159="","",IF(ISNA(VLOOKUP($B159,'B-1 Site Hedge Baseline'!$B$1:$L$257,4,FALSE)),"",(VLOOKUP($B159,'B-1 Site Hedge Baseline'!$B$1:$L$257,4,FALSE))))</f>
        <v/>
      </c>
      <c r="E159" s="520" t="str">
        <f>IF(B159="","",IF(ISNA(VLOOKUP($B159,'B-1 Site Hedge Baseline'!$B$1:$L$257,5,FALSE)),"",(VLOOKUP($B159,'B-1 Site Hedge Baseline'!$B$1:$L$257,5,FALSE))))</f>
        <v/>
      </c>
      <c r="F159" s="520" t="str">
        <f>IF(B159="","",IF(ISNA(VLOOKUP($B159,'B-1 Site Hedge Baseline'!$B$1:$L$257,6,FALSE)),"",(VLOOKUP($B159,'B-1 Site Hedge Baseline'!$B$1:$L$257,6,FALSE))))</f>
        <v/>
      </c>
      <c r="G159" s="520" t="str">
        <f>IF(B159="","",IF(ISNA(VLOOKUP($B159,'B-1 Site Hedge Baseline'!$B$1:$L$257,7,FALSE)),"",(VLOOKUP($B159,'B-1 Site Hedge Baseline'!$B$1:$L$257,7,FALSE))))</f>
        <v/>
      </c>
      <c r="H159" s="520" t="str">
        <f>IF(B159="","",IF(ISNA(VLOOKUP($B159,'B-1 Site Hedge Baseline'!$B$1:$L$257,8,FALSE)),"",(VLOOKUP($B159,'B-1 Site Hedge Baseline'!$B$1:$L$257,8,FALSE))))</f>
        <v/>
      </c>
      <c r="I159" s="520" t="str">
        <f>IF(B159="","",IF(ISNA(VLOOKUP($B159,'B-1 Site Hedge Baseline'!$B$1:$L$257,10,FALSE)),"",(VLOOKUP($B159,'B-1 Site Hedge Baseline'!$B$1:$L$257,10,FALSE))))</f>
        <v/>
      </c>
      <c r="J159" s="520" t="str">
        <f>IF(B159="","",IF(ISNA(VLOOKUP($B159,'B-1 Site Hedge Baseline'!$B$1:$L$257,11,FALSE)),"",(VLOOKUP($B159,'B-1 Site Hedge Baseline'!$B$1:$L$257,11,FALSE))))</f>
        <v/>
      </c>
      <c r="K159" s="520" t="str">
        <f>IF(B159="","",IF(ISNA(VLOOKUP($B159,'B-1 Site Hedge Baseline'!$B$1:$U$257,13,FALSE)),"",(VLOOKUP($B159,'B-1 Site Hedge Baseline'!$B$1:$U$257,13,FALSE))))</f>
        <v/>
      </c>
      <c r="L159" s="524" t="str">
        <f>IF(B159="","",IF(ISNA(VLOOKUP($B159,'B-1 Site Hedge Baseline'!$B$1:$U$257,12,FALSE)),"",(VLOOKUP($B159,'B-1 Site Hedge Baseline'!$B$1:$U$257,12,FALSE))))</f>
        <v/>
      </c>
      <c r="M159" s="416" t="str">
        <f t="shared" si="23"/>
        <v/>
      </c>
      <c r="N159" s="498" t="str">
        <f>IFERROR(IF(B159="","",INDEX('G-6 Hedgerow Data'!$AN$3:$AZ$15,MATCH(C159,'G-6 Hedgerow Data'!$AM$3:$AM$15,0),MATCH(M159,'G-6 Hedgerow Data'!$AN$2:$AZ$2,0))),"")</f>
        <v/>
      </c>
      <c r="O159" s="499" t="str">
        <f t="shared" si="18"/>
        <v/>
      </c>
      <c r="P159" s="559" t="str">
        <f>IF(B159="","",VLOOKUP(B159,'B-1 Site Hedge Baseline'!$B$10:T404,16,FALSE))</f>
        <v/>
      </c>
      <c r="Q159" s="498" t="str">
        <f>IF(M159="","",VLOOKUP(M159,'G-6 Hedgerow Data'!$B$2:$AG$15,2,FALSE))</f>
        <v/>
      </c>
      <c r="R159" s="499" t="str">
        <f>IF(M159="","",VLOOKUP(M159,'G-6 Hedgerow Data'!$B$2:$AG$15,3,FALSE))</f>
        <v/>
      </c>
      <c r="S159" s="157"/>
      <c r="T159" s="540" t="str">
        <f>IFERROR(VLOOKUP(S159,'G-1 All Habitats'!$Z$2:$AA$9,2,FALSE),"")</f>
        <v/>
      </c>
      <c r="U159" s="154"/>
      <c r="V159" s="520" t="str">
        <f>IF(U159="","",IF(VLOOKUP(U159,'G-3 Multipliers'!$L$3:$N$6,2,FALSE)=0,"Spatial Data Missing ⚠",VLOOKUP(U159,'G-3 Multipliers'!$L$3:$N$6,2,FALSE)))</f>
        <v/>
      </c>
      <c r="W159" s="524" t="str">
        <f>IF(U159="","",IF(VLOOKUP(U159,'G-3 Multipliers'!$L$3:$N$6,3,FALSE)=0,"Spatial Data Missing ⚠",VLOOKUP(U159,'G-3 Multipliers'!$L$3:$N$6,3,FALSE)))</f>
        <v/>
      </c>
      <c r="X159" s="498" t="str">
        <f>IFERROR(IF(OR(LEFT(O159,5)="Error ▲",LEFT(N159,5)="Error ▲",T159="Error ▲"),"Check Data ⚠",IF(F159&lt;R159,INDEX('G-6 Hedgerow Data'!$S$3:$AE$14,MATCH(C159,'G-6 Hedgerow Data'!$B$3:$B$14,0),MATCH(M159,'G-6 Hedgerow Data'!$S$2:$AE$2,0)),INDEX('G-6 Hedgerow Data'!$K$3:$Q$14,MATCH(M159,'G-6 Hedgerow Data'!$B$3:$B$14,0),MATCH(O159,'G-6 Hedgerow Data'!$K$2:$Q$2,0)))),"")</f>
        <v/>
      </c>
      <c r="Y159" s="195"/>
      <c r="Z159" s="195"/>
      <c r="AA159" s="507" t="str">
        <f t="shared" si="19"/>
        <v/>
      </c>
      <c r="AB159" s="521" t="str">
        <f t="shared" si="20"/>
        <v/>
      </c>
      <c r="AC159" s="522" t="str">
        <f t="shared" si="16"/>
        <v/>
      </c>
      <c r="AD159" s="537" t="str">
        <f>IF(M159="","",VLOOKUP(M159,'G-6 Hedgerow Data'!$B$3:$AG$15,31,FALSE))</f>
        <v/>
      </c>
      <c r="AE159" s="507" t="str">
        <f t="shared" si="21"/>
        <v/>
      </c>
      <c r="AF159" s="507" t="str">
        <f t="shared" si="22"/>
        <v/>
      </c>
      <c r="AG159" s="524" t="str">
        <f>IFERROR(IF(O159="","",VLOOKUP(AD159,'G-3 Multipliers'!$P$3:$Q$6,2,FALSE)),"")</f>
        <v/>
      </c>
      <c r="AH159" s="513" t="str">
        <f t="shared" si="17"/>
        <v/>
      </c>
      <c r="AI159" s="231"/>
      <c r="AJ159" s="150"/>
      <c r="AT159" s="31" t="str">
        <f>IFERROR(INDEX('G-6 Hedgerow Data'!$BJ$3:$BJ$15,MATCH(M159,'G-6 Hedgerow Data'!$B$3:$B$15,0)),"")</f>
        <v/>
      </c>
    </row>
    <row r="160" spans="2:46" ht="14" x14ac:dyDescent="0.3">
      <c r="B160" s="531" t="str">
        <f>'B-1 Site Hedge Baseline'!AK158</f>
        <v/>
      </c>
      <c r="C160" s="520" t="str">
        <f>IF(B160="","",IF(ISNA(VLOOKUP($B160,'B-1 Site Hedge Baseline'!$B$1:$L$257,3,FALSE)),"",(VLOOKUP($B160,'B-1 Site Hedge Baseline'!$B$1:$L$257,3,FALSE))))</f>
        <v/>
      </c>
      <c r="D160" s="520" t="str">
        <f>IF(B160="","",IF(ISNA(VLOOKUP($B160,'B-1 Site Hedge Baseline'!$B$1:$L$257,4,FALSE)),"",(VLOOKUP($B160,'B-1 Site Hedge Baseline'!$B$1:$L$257,4,FALSE))))</f>
        <v/>
      </c>
      <c r="E160" s="520" t="str">
        <f>IF(B160="","",IF(ISNA(VLOOKUP($B160,'B-1 Site Hedge Baseline'!$B$1:$L$257,5,FALSE)),"",(VLOOKUP($B160,'B-1 Site Hedge Baseline'!$B$1:$L$257,5,FALSE))))</f>
        <v/>
      </c>
      <c r="F160" s="520" t="str">
        <f>IF(B160="","",IF(ISNA(VLOOKUP($B160,'B-1 Site Hedge Baseline'!$B$1:$L$257,6,FALSE)),"",(VLOOKUP($B160,'B-1 Site Hedge Baseline'!$B$1:$L$257,6,FALSE))))</f>
        <v/>
      </c>
      <c r="G160" s="520" t="str">
        <f>IF(B160="","",IF(ISNA(VLOOKUP($B160,'B-1 Site Hedge Baseline'!$B$1:$L$257,7,FALSE)),"",(VLOOKUP($B160,'B-1 Site Hedge Baseline'!$B$1:$L$257,7,FALSE))))</f>
        <v/>
      </c>
      <c r="H160" s="520" t="str">
        <f>IF(B160="","",IF(ISNA(VLOOKUP($B160,'B-1 Site Hedge Baseline'!$B$1:$L$257,8,FALSE)),"",(VLOOKUP($B160,'B-1 Site Hedge Baseline'!$B$1:$L$257,8,FALSE))))</f>
        <v/>
      </c>
      <c r="I160" s="520" t="str">
        <f>IF(B160="","",IF(ISNA(VLOOKUP($B160,'B-1 Site Hedge Baseline'!$B$1:$L$257,10,FALSE)),"",(VLOOKUP($B160,'B-1 Site Hedge Baseline'!$B$1:$L$257,10,FALSE))))</f>
        <v/>
      </c>
      <c r="J160" s="520" t="str">
        <f>IF(B160="","",IF(ISNA(VLOOKUP($B160,'B-1 Site Hedge Baseline'!$B$1:$L$257,11,FALSE)),"",(VLOOKUP($B160,'B-1 Site Hedge Baseline'!$B$1:$L$257,11,FALSE))))</f>
        <v/>
      </c>
      <c r="K160" s="520" t="str">
        <f>IF(B160="","",IF(ISNA(VLOOKUP($B160,'B-1 Site Hedge Baseline'!$B$1:$U$257,13,FALSE)),"",(VLOOKUP($B160,'B-1 Site Hedge Baseline'!$B$1:$U$257,13,FALSE))))</f>
        <v/>
      </c>
      <c r="L160" s="524" t="str">
        <f>IF(B160="","",IF(ISNA(VLOOKUP($B160,'B-1 Site Hedge Baseline'!$B$1:$U$257,12,FALSE)),"",(VLOOKUP($B160,'B-1 Site Hedge Baseline'!$B$1:$U$257,12,FALSE))))</f>
        <v/>
      </c>
      <c r="M160" s="416" t="str">
        <f t="shared" si="23"/>
        <v/>
      </c>
      <c r="N160" s="498" t="str">
        <f>IFERROR(IF(B160="","",INDEX('G-6 Hedgerow Data'!$AN$3:$AZ$15,MATCH(C160,'G-6 Hedgerow Data'!$AM$3:$AM$15,0),MATCH(M160,'G-6 Hedgerow Data'!$AN$2:$AZ$2,0))),"")</f>
        <v/>
      </c>
      <c r="O160" s="499" t="str">
        <f t="shared" si="18"/>
        <v/>
      </c>
      <c r="P160" s="559" t="str">
        <f>IF(B160="","",VLOOKUP(B160,'B-1 Site Hedge Baseline'!$B$10:T405,16,FALSE))</f>
        <v/>
      </c>
      <c r="Q160" s="498" t="str">
        <f>IF(M160="","",VLOOKUP(M160,'G-6 Hedgerow Data'!$B$2:$AG$15,2,FALSE))</f>
        <v/>
      </c>
      <c r="R160" s="499" t="str">
        <f>IF(M160="","",VLOOKUP(M160,'G-6 Hedgerow Data'!$B$2:$AG$15,3,FALSE))</f>
        <v/>
      </c>
      <c r="S160" s="157"/>
      <c r="T160" s="540" t="str">
        <f>IFERROR(VLOOKUP(S160,'G-1 All Habitats'!$Z$2:$AA$9,2,FALSE),"")</f>
        <v/>
      </c>
      <c r="U160" s="154"/>
      <c r="V160" s="520" t="str">
        <f>IF(U160="","",IF(VLOOKUP(U160,'G-3 Multipliers'!$L$3:$N$6,2,FALSE)=0,"Spatial Data Missing ⚠",VLOOKUP(U160,'G-3 Multipliers'!$L$3:$N$6,2,FALSE)))</f>
        <v/>
      </c>
      <c r="W160" s="524" t="str">
        <f>IF(U160="","",IF(VLOOKUP(U160,'G-3 Multipliers'!$L$3:$N$6,3,FALSE)=0,"Spatial Data Missing ⚠",VLOOKUP(U160,'G-3 Multipliers'!$L$3:$N$6,3,FALSE)))</f>
        <v/>
      </c>
      <c r="X160" s="498" t="str">
        <f>IFERROR(IF(OR(LEFT(O160,5)="Error ▲",LEFT(N160,5)="Error ▲",T160="Error ▲"),"Check Data ⚠",IF(F160&lt;R160,INDEX('G-6 Hedgerow Data'!$S$3:$AE$14,MATCH(C160,'G-6 Hedgerow Data'!$B$3:$B$14,0),MATCH(M160,'G-6 Hedgerow Data'!$S$2:$AE$2,0)),INDEX('G-6 Hedgerow Data'!$K$3:$Q$14,MATCH(M160,'G-6 Hedgerow Data'!$B$3:$B$14,0),MATCH(O160,'G-6 Hedgerow Data'!$K$2:$Q$2,0)))),"")</f>
        <v/>
      </c>
      <c r="Y160" s="195"/>
      <c r="Z160" s="195"/>
      <c r="AA160" s="507" t="str">
        <f t="shared" si="19"/>
        <v/>
      </c>
      <c r="AB160" s="521" t="str">
        <f t="shared" si="20"/>
        <v/>
      </c>
      <c r="AC160" s="522" t="str">
        <f t="shared" si="16"/>
        <v/>
      </c>
      <c r="AD160" s="537" t="str">
        <f>IF(M160="","",VLOOKUP(M160,'G-6 Hedgerow Data'!$B$3:$AG$15,31,FALSE))</f>
        <v/>
      </c>
      <c r="AE160" s="507" t="str">
        <f t="shared" si="21"/>
        <v/>
      </c>
      <c r="AF160" s="507" t="str">
        <f t="shared" si="22"/>
        <v/>
      </c>
      <c r="AG160" s="524" t="str">
        <f>IFERROR(IF(O160="","",VLOOKUP(AD160,'G-3 Multipliers'!$P$3:$Q$6,2,FALSE)),"")</f>
        <v/>
      </c>
      <c r="AH160" s="513" t="str">
        <f t="shared" si="17"/>
        <v/>
      </c>
      <c r="AI160" s="231"/>
      <c r="AJ160" s="150"/>
      <c r="AT160" s="31" t="str">
        <f>IFERROR(INDEX('G-6 Hedgerow Data'!$BJ$3:$BJ$15,MATCH(M160,'G-6 Hedgerow Data'!$B$3:$B$15,0)),"")</f>
        <v/>
      </c>
    </row>
    <row r="161" spans="2:46" ht="14" x14ac:dyDescent="0.3">
      <c r="B161" s="531" t="str">
        <f>'B-1 Site Hedge Baseline'!AK159</f>
        <v/>
      </c>
      <c r="C161" s="520" t="str">
        <f>IF(B161="","",IF(ISNA(VLOOKUP($B161,'B-1 Site Hedge Baseline'!$B$1:$L$257,3,FALSE)),"",(VLOOKUP($B161,'B-1 Site Hedge Baseline'!$B$1:$L$257,3,FALSE))))</f>
        <v/>
      </c>
      <c r="D161" s="520" t="str">
        <f>IF(B161="","",IF(ISNA(VLOOKUP($B161,'B-1 Site Hedge Baseline'!$B$1:$L$257,4,FALSE)),"",(VLOOKUP($B161,'B-1 Site Hedge Baseline'!$B$1:$L$257,4,FALSE))))</f>
        <v/>
      </c>
      <c r="E161" s="520" t="str">
        <f>IF(B161="","",IF(ISNA(VLOOKUP($B161,'B-1 Site Hedge Baseline'!$B$1:$L$257,5,FALSE)),"",(VLOOKUP($B161,'B-1 Site Hedge Baseline'!$B$1:$L$257,5,FALSE))))</f>
        <v/>
      </c>
      <c r="F161" s="520" t="str">
        <f>IF(B161="","",IF(ISNA(VLOOKUP($B161,'B-1 Site Hedge Baseline'!$B$1:$L$257,6,FALSE)),"",(VLOOKUP($B161,'B-1 Site Hedge Baseline'!$B$1:$L$257,6,FALSE))))</f>
        <v/>
      </c>
      <c r="G161" s="520" t="str">
        <f>IF(B161="","",IF(ISNA(VLOOKUP($B161,'B-1 Site Hedge Baseline'!$B$1:$L$257,7,FALSE)),"",(VLOOKUP($B161,'B-1 Site Hedge Baseline'!$B$1:$L$257,7,FALSE))))</f>
        <v/>
      </c>
      <c r="H161" s="520" t="str">
        <f>IF(B161="","",IF(ISNA(VLOOKUP($B161,'B-1 Site Hedge Baseline'!$B$1:$L$257,8,FALSE)),"",(VLOOKUP($B161,'B-1 Site Hedge Baseline'!$B$1:$L$257,8,FALSE))))</f>
        <v/>
      </c>
      <c r="I161" s="520" t="str">
        <f>IF(B161="","",IF(ISNA(VLOOKUP($B161,'B-1 Site Hedge Baseline'!$B$1:$L$257,10,FALSE)),"",(VLOOKUP($B161,'B-1 Site Hedge Baseline'!$B$1:$L$257,10,FALSE))))</f>
        <v/>
      </c>
      <c r="J161" s="520" t="str">
        <f>IF(B161="","",IF(ISNA(VLOOKUP($B161,'B-1 Site Hedge Baseline'!$B$1:$L$257,11,FALSE)),"",(VLOOKUP($B161,'B-1 Site Hedge Baseline'!$B$1:$L$257,11,FALSE))))</f>
        <v/>
      </c>
      <c r="K161" s="520" t="str">
        <f>IF(B161="","",IF(ISNA(VLOOKUP($B161,'B-1 Site Hedge Baseline'!$B$1:$U$257,13,FALSE)),"",(VLOOKUP($B161,'B-1 Site Hedge Baseline'!$B$1:$U$257,13,FALSE))))</f>
        <v/>
      </c>
      <c r="L161" s="524" t="str">
        <f>IF(B161="","",IF(ISNA(VLOOKUP($B161,'B-1 Site Hedge Baseline'!$B$1:$U$257,12,FALSE)),"",(VLOOKUP($B161,'B-1 Site Hedge Baseline'!$B$1:$U$257,12,FALSE))))</f>
        <v/>
      </c>
      <c r="M161" s="416" t="str">
        <f t="shared" si="23"/>
        <v/>
      </c>
      <c r="N161" s="498" t="str">
        <f>IFERROR(IF(B161="","",INDEX('G-6 Hedgerow Data'!$AN$3:$AZ$15,MATCH(C161,'G-6 Hedgerow Data'!$AM$3:$AM$15,0),MATCH(M161,'G-6 Hedgerow Data'!$AN$2:$AZ$2,0))),"")</f>
        <v/>
      </c>
      <c r="O161" s="499" t="str">
        <f t="shared" si="18"/>
        <v/>
      </c>
      <c r="P161" s="559" t="str">
        <f>IF(B161="","",VLOOKUP(B161,'B-1 Site Hedge Baseline'!$B$10:T406,16,FALSE))</f>
        <v/>
      </c>
      <c r="Q161" s="498" t="str">
        <f>IF(M161="","",VLOOKUP(M161,'G-6 Hedgerow Data'!$B$2:$AG$15,2,FALSE))</f>
        <v/>
      </c>
      <c r="R161" s="499" t="str">
        <f>IF(M161="","",VLOOKUP(M161,'G-6 Hedgerow Data'!$B$2:$AG$15,3,FALSE))</f>
        <v/>
      </c>
      <c r="S161" s="157"/>
      <c r="T161" s="540" t="str">
        <f>IFERROR(VLOOKUP(S161,'G-1 All Habitats'!$Z$2:$AA$9,2,FALSE),"")</f>
        <v/>
      </c>
      <c r="U161" s="154"/>
      <c r="V161" s="520" t="str">
        <f>IF(U161="","",IF(VLOOKUP(U161,'G-3 Multipliers'!$L$3:$N$6,2,FALSE)=0,"Spatial Data Missing ⚠",VLOOKUP(U161,'G-3 Multipliers'!$L$3:$N$6,2,FALSE)))</f>
        <v/>
      </c>
      <c r="W161" s="524" t="str">
        <f>IF(U161="","",IF(VLOOKUP(U161,'G-3 Multipliers'!$L$3:$N$6,3,FALSE)=0,"Spatial Data Missing ⚠",VLOOKUP(U161,'G-3 Multipliers'!$L$3:$N$6,3,FALSE)))</f>
        <v/>
      </c>
      <c r="X161" s="498" t="str">
        <f>IFERROR(IF(OR(LEFT(O161,5)="Error ▲",LEFT(N161,5)="Error ▲",T161="Error ▲"),"Check Data ⚠",IF(F161&lt;R161,INDEX('G-6 Hedgerow Data'!$S$3:$AE$14,MATCH(C161,'G-6 Hedgerow Data'!$B$3:$B$14,0),MATCH(M161,'G-6 Hedgerow Data'!$S$2:$AE$2,0)),INDEX('G-6 Hedgerow Data'!$K$3:$Q$14,MATCH(M161,'G-6 Hedgerow Data'!$B$3:$B$14,0),MATCH(O161,'G-6 Hedgerow Data'!$K$2:$Q$2,0)))),"")</f>
        <v/>
      </c>
      <c r="Y161" s="195"/>
      <c r="Z161" s="195"/>
      <c r="AA161" s="507" t="str">
        <f t="shared" si="19"/>
        <v/>
      </c>
      <c r="AB161" s="521" t="str">
        <f t="shared" si="20"/>
        <v/>
      </c>
      <c r="AC161" s="522" t="str">
        <f t="shared" si="16"/>
        <v/>
      </c>
      <c r="AD161" s="537" t="str">
        <f>IF(M161="","",VLOOKUP(M161,'G-6 Hedgerow Data'!$B$3:$AG$15,31,FALSE))</f>
        <v/>
      </c>
      <c r="AE161" s="507" t="str">
        <f t="shared" si="21"/>
        <v/>
      </c>
      <c r="AF161" s="507" t="str">
        <f t="shared" si="22"/>
        <v/>
      </c>
      <c r="AG161" s="524" t="str">
        <f>IFERROR(IF(O161="","",VLOOKUP(AD161,'G-3 Multipliers'!$P$3:$Q$6,2,FALSE)),"")</f>
        <v/>
      </c>
      <c r="AH161" s="513" t="str">
        <f t="shared" si="17"/>
        <v/>
      </c>
      <c r="AI161" s="231"/>
      <c r="AJ161" s="150"/>
      <c r="AT161" s="31" t="str">
        <f>IFERROR(INDEX('G-6 Hedgerow Data'!$BJ$3:$BJ$15,MATCH(M161,'G-6 Hedgerow Data'!$B$3:$B$15,0)),"")</f>
        <v/>
      </c>
    </row>
    <row r="162" spans="2:46" ht="14" x14ac:dyDescent="0.3">
      <c r="B162" s="531" t="str">
        <f>'B-1 Site Hedge Baseline'!AK160</f>
        <v/>
      </c>
      <c r="C162" s="520" t="str">
        <f>IF(B162="","",IF(ISNA(VLOOKUP($B162,'B-1 Site Hedge Baseline'!$B$1:$L$257,3,FALSE)),"",(VLOOKUP($B162,'B-1 Site Hedge Baseline'!$B$1:$L$257,3,FALSE))))</f>
        <v/>
      </c>
      <c r="D162" s="520" t="str">
        <f>IF(B162="","",IF(ISNA(VLOOKUP($B162,'B-1 Site Hedge Baseline'!$B$1:$L$257,4,FALSE)),"",(VLOOKUP($B162,'B-1 Site Hedge Baseline'!$B$1:$L$257,4,FALSE))))</f>
        <v/>
      </c>
      <c r="E162" s="520" t="str">
        <f>IF(B162="","",IF(ISNA(VLOOKUP($B162,'B-1 Site Hedge Baseline'!$B$1:$L$257,5,FALSE)),"",(VLOOKUP($B162,'B-1 Site Hedge Baseline'!$B$1:$L$257,5,FALSE))))</f>
        <v/>
      </c>
      <c r="F162" s="520" t="str">
        <f>IF(B162="","",IF(ISNA(VLOOKUP($B162,'B-1 Site Hedge Baseline'!$B$1:$L$257,6,FALSE)),"",(VLOOKUP($B162,'B-1 Site Hedge Baseline'!$B$1:$L$257,6,FALSE))))</f>
        <v/>
      </c>
      <c r="G162" s="520" t="str">
        <f>IF(B162="","",IF(ISNA(VLOOKUP($B162,'B-1 Site Hedge Baseline'!$B$1:$L$257,7,FALSE)),"",(VLOOKUP($B162,'B-1 Site Hedge Baseline'!$B$1:$L$257,7,FALSE))))</f>
        <v/>
      </c>
      <c r="H162" s="520" t="str">
        <f>IF(B162="","",IF(ISNA(VLOOKUP($B162,'B-1 Site Hedge Baseline'!$B$1:$L$257,8,FALSE)),"",(VLOOKUP($B162,'B-1 Site Hedge Baseline'!$B$1:$L$257,8,FALSE))))</f>
        <v/>
      </c>
      <c r="I162" s="520" t="str">
        <f>IF(B162="","",IF(ISNA(VLOOKUP($B162,'B-1 Site Hedge Baseline'!$B$1:$L$257,10,FALSE)),"",(VLOOKUP($B162,'B-1 Site Hedge Baseline'!$B$1:$L$257,10,FALSE))))</f>
        <v/>
      </c>
      <c r="J162" s="520" t="str">
        <f>IF(B162="","",IF(ISNA(VLOOKUP($B162,'B-1 Site Hedge Baseline'!$B$1:$L$257,11,FALSE)),"",(VLOOKUP($B162,'B-1 Site Hedge Baseline'!$B$1:$L$257,11,FALSE))))</f>
        <v/>
      </c>
      <c r="K162" s="520" t="str">
        <f>IF(B162="","",IF(ISNA(VLOOKUP($B162,'B-1 Site Hedge Baseline'!$B$1:$U$257,13,FALSE)),"",(VLOOKUP($B162,'B-1 Site Hedge Baseline'!$B$1:$U$257,13,FALSE))))</f>
        <v/>
      </c>
      <c r="L162" s="524" t="str">
        <f>IF(B162="","",IF(ISNA(VLOOKUP($B162,'B-1 Site Hedge Baseline'!$B$1:$U$257,12,FALSE)),"",(VLOOKUP($B162,'B-1 Site Hedge Baseline'!$B$1:$U$257,12,FALSE))))</f>
        <v/>
      </c>
      <c r="M162" s="416" t="str">
        <f t="shared" si="23"/>
        <v/>
      </c>
      <c r="N162" s="498" t="str">
        <f>IFERROR(IF(B162="","",INDEX('G-6 Hedgerow Data'!$AN$3:$AZ$15,MATCH(C162,'G-6 Hedgerow Data'!$AM$3:$AM$15,0),MATCH(M162,'G-6 Hedgerow Data'!$AN$2:$AZ$2,0))),"")</f>
        <v/>
      </c>
      <c r="O162" s="499" t="str">
        <f t="shared" si="18"/>
        <v/>
      </c>
      <c r="P162" s="559" t="str">
        <f>IF(B162="","",VLOOKUP(B162,'B-1 Site Hedge Baseline'!$B$10:T407,16,FALSE))</f>
        <v/>
      </c>
      <c r="Q162" s="498" t="str">
        <f>IF(M162="","",VLOOKUP(M162,'G-6 Hedgerow Data'!$B$2:$AG$15,2,FALSE))</f>
        <v/>
      </c>
      <c r="R162" s="499" t="str">
        <f>IF(M162="","",VLOOKUP(M162,'G-6 Hedgerow Data'!$B$2:$AG$15,3,FALSE))</f>
        <v/>
      </c>
      <c r="S162" s="157"/>
      <c r="T162" s="540" t="str">
        <f>IFERROR(VLOOKUP(S162,'G-1 All Habitats'!$Z$2:$AA$9,2,FALSE),"")</f>
        <v/>
      </c>
      <c r="U162" s="154"/>
      <c r="V162" s="520" t="str">
        <f>IF(U162="","",IF(VLOOKUP(U162,'G-3 Multipliers'!$L$3:$N$6,2,FALSE)=0,"Spatial Data Missing ⚠",VLOOKUP(U162,'G-3 Multipliers'!$L$3:$N$6,2,FALSE)))</f>
        <v/>
      </c>
      <c r="W162" s="524" t="str">
        <f>IF(U162="","",IF(VLOOKUP(U162,'G-3 Multipliers'!$L$3:$N$6,3,FALSE)=0,"Spatial Data Missing ⚠",VLOOKUP(U162,'G-3 Multipliers'!$L$3:$N$6,3,FALSE)))</f>
        <v/>
      </c>
      <c r="X162" s="498" t="str">
        <f>IFERROR(IF(OR(LEFT(O162,5)="Error ▲",LEFT(N162,5)="Error ▲",T162="Error ▲"),"Check Data ⚠",IF(F162&lt;R162,INDEX('G-6 Hedgerow Data'!$S$3:$AE$14,MATCH(C162,'G-6 Hedgerow Data'!$B$3:$B$14,0),MATCH(M162,'G-6 Hedgerow Data'!$S$2:$AE$2,0)),INDEX('G-6 Hedgerow Data'!$K$3:$Q$14,MATCH(M162,'G-6 Hedgerow Data'!$B$3:$B$14,0),MATCH(O162,'G-6 Hedgerow Data'!$K$2:$Q$2,0)))),"")</f>
        <v/>
      </c>
      <c r="Y162" s="195"/>
      <c r="Z162" s="195"/>
      <c r="AA162" s="507" t="str">
        <f t="shared" si="19"/>
        <v/>
      </c>
      <c r="AB162" s="521" t="str">
        <f t="shared" si="20"/>
        <v/>
      </c>
      <c r="AC162" s="522" t="str">
        <f t="shared" si="16"/>
        <v/>
      </c>
      <c r="AD162" s="537" t="str">
        <f>IF(M162="","",VLOOKUP(M162,'G-6 Hedgerow Data'!$B$3:$AG$15,31,FALSE))</f>
        <v/>
      </c>
      <c r="AE162" s="507" t="str">
        <f t="shared" si="21"/>
        <v/>
      </c>
      <c r="AF162" s="507" t="str">
        <f t="shared" si="22"/>
        <v/>
      </c>
      <c r="AG162" s="524" t="str">
        <f>IFERROR(IF(O162="","",VLOOKUP(AD162,'G-3 Multipliers'!$P$3:$Q$6,2,FALSE)),"")</f>
        <v/>
      </c>
      <c r="AH162" s="513" t="str">
        <f t="shared" si="17"/>
        <v/>
      </c>
      <c r="AI162" s="231"/>
      <c r="AJ162" s="150"/>
      <c r="AT162" s="31" t="str">
        <f>IFERROR(INDEX('G-6 Hedgerow Data'!$BJ$3:$BJ$15,MATCH(M162,'G-6 Hedgerow Data'!$B$3:$B$15,0)),"")</f>
        <v/>
      </c>
    </row>
    <row r="163" spans="2:46" ht="14" x14ac:dyDescent="0.3">
      <c r="B163" s="531" t="str">
        <f>'B-1 Site Hedge Baseline'!AK161</f>
        <v/>
      </c>
      <c r="C163" s="520" t="str">
        <f>IF(B163="","",IF(ISNA(VLOOKUP($B163,'B-1 Site Hedge Baseline'!$B$1:$L$257,3,FALSE)),"",(VLOOKUP($B163,'B-1 Site Hedge Baseline'!$B$1:$L$257,3,FALSE))))</f>
        <v/>
      </c>
      <c r="D163" s="520" t="str">
        <f>IF(B163="","",IF(ISNA(VLOOKUP($B163,'B-1 Site Hedge Baseline'!$B$1:$L$257,4,FALSE)),"",(VLOOKUP($B163,'B-1 Site Hedge Baseline'!$B$1:$L$257,4,FALSE))))</f>
        <v/>
      </c>
      <c r="E163" s="520" t="str">
        <f>IF(B163="","",IF(ISNA(VLOOKUP($B163,'B-1 Site Hedge Baseline'!$B$1:$L$257,5,FALSE)),"",(VLOOKUP($B163,'B-1 Site Hedge Baseline'!$B$1:$L$257,5,FALSE))))</f>
        <v/>
      </c>
      <c r="F163" s="520" t="str">
        <f>IF(B163="","",IF(ISNA(VLOOKUP($B163,'B-1 Site Hedge Baseline'!$B$1:$L$257,6,FALSE)),"",(VLOOKUP($B163,'B-1 Site Hedge Baseline'!$B$1:$L$257,6,FALSE))))</f>
        <v/>
      </c>
      <c r="G163" s="520" t="str">
        <f>IF(B163="","",IF(ISNA(VLOOKUP($B163,'B-1 Site Hedge Baseline'!$B$1:$L$257,7,FALSE)),"",(VLOOKUP($B163,'B-1 Site Hedge Baseline'!$B$1:$L$257,7,FALSE))))</f>
        <v/>
      </c>
      <c r="H163" s="520" t="str">
        <f>IF(B163="","",IF(ISNA(VLOOKUP($B163,'B-1 Site Hedge Baseline'!$B$1:$L$257,8,FALSE)),"",(VLOOKUP($B163,'B-1 Site Hedge Baseline'!$B$1:$L$257,8,FALSE))))</f>
        <v/>
      </c>
      <c r="I163" s="520" t="str">
        <f>IF(B163="","",IF(ISNA(VLOOKUP($B163,'B-1 Site Hedge Baseline'!$B$1:$L$257,10,FALSE)),"",(VLOOKUP($B163,'B-1 Site Hedge Baseline'!$B$1:$L$257,10,FALSE))))</f>
        <v/>
      </c>
      <c r="J163" s="520" t="str">
        <f>IF(B163="","",IF(ISNA(VLOOKUP($B163,'B-1 Site Hedge Baseline'!$B$1:$L$257,11,FALSE)),"",(VLOOKUP($B163,'B-1 Site Hedge Baseline'!$B$1:$L$257,11,FALSE))))</f>
        <v/>
      </c>
      <c r="K163" s="520" t="str">
        <f>IF(B163="","",IF(ISNA(VLOOKUP($B163,'B-1 Site Hedge Baseline'!$B$1:$U$257,13,FALSE)),"",(VLOOKUP($B163,'B-1 Site Hedge Baseline'!$B$1:$U$257,13,FALSE))))</f>
        <v/>
      </c>
      <c r="L163" s="524" t="str">
        <f>IF(B163="","",IF(ISNA(VLOOKUP($B163,'B-1 Site Hedge Baseline'!$B$1:$U$257,12,FALSE)),"",(VLOOKUP($B163,'B-1 Site Hedge Baseline'!$B$1:$U$257,12,FALSE))))</f>
        <v/>
      </c>
      <c r="M163" s="416" t="str">
        <f t="shared" si="23"/>
        <v/>
      </c>
      <c r="N163" s="498" t="str">
        <f>IFERROR(IF(B163="","",INDEX('G-6 Hedgerow Data'!$AN$3:$AZ$15,MATCH(C163,'G-6 Hedgerow Data'!$AM$3:$AM$15,0),MATCH(M163,'G-6 Hedgerow Data'!$AN$2:$AZ$2,0))),"")</f>
        <v/>
      </c>
      <c r="O163" s="499" t="str">
        <f t="shared" si="18"/>
        <v/>
      </c>
      <c r="P163" s="559" t="str">
        <f>IF(B163="","",VLOOKUP(B163,'B-1 Site Hedge Baseline'!$B$10:T408,16,FALSE))</f>
        <v/>
      </c>
      <c r="Q163" s="498" t="str">
        <f>IF(M163="","",VLOOKUP(M163,'G-6 Hedgerow Data'!$B$2:$AG$15,2,FALSE))</f>
        <v/>
      </c>
      <c r="R163" s="499" t="str">
        <f>IF(M163="","",VLOOKUP(M163,'G-6 Hedgerow Data'!$B$2:$AG$15,3,FALSE))</f>
        <v/>
      </c>
      <c r="S163" s="157"/>
      <c r="T163" s="540" t="str">
        <f>IFERROR(VLOOKUP(S163,'G-1 All Habitats'!$Z$2:$AA$9,2,FALSE),"")</f>
        <v/>
      </c>
      <c r="U163" s="154"/>
      <c r="V163" s="520" t="str">
        <f>IF(U163="","",IF(VLOOKUP(U163,'G-3 Multipliers'!$L$3:$N$6,2,FALSE)=0,"Spatial Data Missing ⚠",VLOOKUP(U163,'G-3 Multipliers'!$L$3:$N$6,2,FALSE)))</f>
        <v/>
      </c>
      <c r="W163" s="524" t="str">
        <f>IF(U163="","",IF(VLOOKUP(U163,'G-3 Multipliers'!$L$3:$N$6,3,FALSE)=0,"Spatial Data Missing ⚠",VLOOKUP(U163,'G-3 Multipliers'!$L$3:$N$6,3,FALSE)))</f>
        <v/>
      </c>
      <c r="X163" s="498" t="str">
        <f>IFERROR(IF(OR(LEFT(O163,5)="Error ▲",LEFT(N163,5)="Error ▲",T163="Error ▲"),"Check Data ⚠",IF(F163&lt;R163,INDEX('G-6 Hedgerow Data'!$S$3:$AE$14,MATCH(C163,'G-6 Hedgerow Data'!$B$3:$B$14,0),MATCH(M163,'G-6 Hedgerow Data'!$S$2:$AE$2,0)),INDEX('G-6 Hedgerow Data'!$K$3:$Q$14,MATCH(M163,'G-6 Hedgerow Data'!$B$3:$B$14,0),MATCH(O163,'G-6 Hedgerow Data'!$K$2:$Q$2,0)))),"")</f>
        <v/>
      </c>
      <c r="Y163" s="195"/>
      <c r="Z163" s="195"/>
      <c r="AA163" s="507" t="str">
        <f t="shared" si="19"/>
        <v/>
      </c>
      <c r="AB163" s="521" t="str">
        <f t="shared" si="20"/>
        <v/>
      </c>
      <c r="AC163" s="522" t="str">
        <f t="shared" si="16"/>
        <v/>
      </c>
      <c r="AD163" s="537" t="str">
        <f>IF(M163="","",VLOOKUP(M163,'G-6 Hedgerow Data'!$B$3:$AG$15,31,FALSE))</f>
        <v/>
      </c>
      <c r="AE163" s="507" t="str">
        <f t="shared" si="21"/>
        <v/>
      </c>
      <c r="AF163" s="507" t="str">
        <f t="shared" si="22"/>
        <v/>
      </c>
      <c r="AG163" s="524" t="str">
        <f>IFERROR(IF(O163="","",VLOOKUP(AD163,'G-3 Multipliers'!$P$3:$Q$6,2,FALSE)),"")</f>
        <v/>
      </c>
      <c r="AH163" s="513" t="str">
        <f t="shared" si="17"/>
        <v/>
      </c>
      <c r="AI163" s="231"/>
      <c r="AJ163" s="150"/>
      <c r="AT163" s="31" t="str">
        <f>IFERROR(INDEX('G-6 Hedgerow Data'!$BJ$3:$BJ$15,MATCH(M163,'G-6 Hedgerow Data'!$B$3:$B$15,0)),"")</f>
        <v/>
      </c>
    </row>
    <row r="164" spans="2:46" ht="14" x14ac:dyDescent="0.3">
      <c r="B164" s="531" t="str">
        <f>'B-1 Site Hedge Baseline'!AK162</f>
        <v/>
      </c>
      <c r="C164" s="520" t="str">
        <f>IF(B164="","",IF(ISNA(VLOOKUP($B164,'B-1 Site Hedge Baseline'!$B$1:$L$257,3,FALSE)),"",(VLOOKUP($B164,'B-1 Site Hedge Baseline'!$B$1:$L$257,3,FALSE))))</f>
        <v/>
      </c>
      <c r="D164" s="520" t="str">
        <f>IF(B164="","",IF(ISNA(VLOOKUP($B164,'B-1 Site Hedge Baseline'!$B$1:$L$257,4,FALSE)),"",(VLOOKUP($B164,'B-1 Site Hedge Baseline'!$B$1:$L$257,4,FALSE))))</f>
        <v/>
      </c>
      <c r="E164" s="520" t="str">
        <f>IF(B164="","",IF(ISNA(VLOOKUP($B164,'B-1 Site Hedge Baseline'!$B$1:$L$257,5,FALSE)),"",(VLOOKUP($B164,'B-1 Site Hedge Baseline'!$B$1:$L$257,5,FALSE))))</f>
        <v/>
      </c>
      <c r="F164" s="520" t="str">
        <f>IF(B164="","",IF(ISNA(VLOOKUP($B164,'B-1 Site Hedge Baseline'!$B$1:$L$257,6,FALSE)),"",(VLOOKUP($B164,'B-1 Site Hedge Baseline'!$B$1:$L$257,6,FALSE))))</f>
        <v/>
      </c>
      <c r="G164" s="520" t="str">
        <f>IF(B164="","",IF(ISNA(VLOOKUP($B164,'B-1 Site Hedge Baseline'!$B$1:$L$257,7,FALSE)),"",(VLOOKUP($B164,'B-1 Site Hedge Baseline'!$B$1:$L$257,7,FALSE))))</f>
        <v/>
      </c>
      <c r="H164" s="520" t="str">
        <f>IF(B164="","",IF(ISNA(VLOOKUP($B164,'B-1 Site Hedge Baseline'!$B$1:$L$257,8,FALSE)),"",(VLOOKUP($B164,'B-1 Site Hedge Baseline'!$B$1:$L$257,8,FALSE))))</f>
        <v/>
      </c>
      <c r="I164" s="520" t="str">
        <f>IF(B164="","",IF(ISNA(VLOOKUP($B164,'B-1 Site Hedge Baseline'!$B$1:$L$257,10,FALSE)),"",(VLOOKUP($B164,'B-1 Site Hedge Baseline'!$B$1:$L$257,10,FALSE))))</f>
        <v/>
      </c>
      <c r="J164" s="520" t="str">
        <f>IF(B164="","",IF(ISNA(VLOOKUP($B164,'B-1 Site Hedge Baseline'!$B$1:$L$257,11,FALSE)),"",(VLOOKUP($B164,'B-1 Site Hedge Baseline'!$B$1:$L$257,11,FALSE))))</f>
        <v/>
      </c>
      <c r="K164" s="520" t="str">
        <f>IF(B164="","",IF(ISNA(VLOOKUP($B164,'B-1 Site Hedge Baseline'!$B$1:$U$257,13,FALSE)),"",(VLOOKUP($B164,'B-1 Site Hedge Baseline'!$B$1:$U$257,13,FALSE))))</f>
        <v/>
      </c>
      <c r="L164" s="524" t="str">
        <f>IF(B164="","",IF(ISNA(VLOOKUP($B164,'B-1 Site Hedge Baseline'!$B$1:$U$257,12,FALSE)),"",(VLOOKUP($B164,'B-1 Site Hedge Baseline'!$B$1:$U$257,12,FALSE))))</f>
        <v/>
      </c>
      <c r="M164" s="416" t="str">
        <f t="shared" si="23"/>
        <v/>
      </c>
      <c r="N164" s="498" t="str">
        <f>IFERROR(IF(B164="","",INDEX('G-6 Hedgerow Data'!$AN$3:$AZ$15,MATCH(C164,'G-6 Hedgerow Data'!$AM$3:$AM$15,0),MATCH(M164,'G-6 Hedgerow Data'!$AN$2:$AZ$2,0))),"")</f>
        <v/>
      </c>
      <c r="O164" s="499" t="str">
        <f t="shared" si="18"/>
        <v/>
      </c>
      <c r="P164" s="559" t="str">
        <f>IF(B164="","",VLOOKUP(B164,'B-1 Site Hedge Baseline'!$B$10:T409,16,FALSE))</f>
        <v/>
      </c>
      <c r="Q164" s="498" t="str">
        <f>IF(M164="","",VLOOKUP(M164,'G-6 Hedgerow Data'!$B$2:$AG$15,2,FALSE))</f>
        <v/>
      </c>
      <c r="R164" s="499" t="str">
        <f>IF(M164="","",VLOOKUP(M164,'G-6 Hedgerow Data'!$B$2:$AG$15,3,FALSE))</f>
        <v/>
      </c>
      <c r="S164" s="157"/>
      <c r="T164" s="540" t="str">
        <f>IFERROR(VLOOKUP(S164,'G-1 All Habitats'!$Z$2:$AA$9,2,FALSE),"")</f>
        <v/>
      </c>
      <c r="U164" s="154"/>
      <c r="V164" s="520" t="str">
        <f>IF(U164="","",IF(VLOOKUP(U164,'G-3 Multipliers'!$L$3:$N$6,2,FALSE)=0,"Spatial Data Missing ⚠",VLOOKUP(U164,'G-3 Multipliers'!$L$3:$N$6,2,FALSE)))</f>
        <v/>
      </c>
      <c r="W164" s="524" t="str">
        <f>IF(U164="","",IF(VLOOKUP(U164,'G-3 Multipliers'!$L$3:$N$6,3,FALSE)=0,"Spatial Data Missing ⚠",VLOOKUP(U164,'G-3 Multipliers'!$L$3:$N$6,3,FALSE)))</f>
        <v/>
      </c>
      <c r="X164" s="498" t="str">
        <f>IFERROR(IF(OR(LEFT(O164,5)="Error ▲",LEFT(N164,5)="Error ▲",T164="Error ▲"),"Check Data ⚠",IF(F164&lt;R164,INDEX('G-6 Hedgerow Data'!$S$3:$AE$14,MATCH(C164,'G-6 Hedgerow Data'!$B$3:$B$14,0),MATCH(M164,'G-6 Hedgerow Data'!$S$2:$AE$2,0)),INDEX('G-6 Hedgerow Data'!$K$3:$Q$14,MATCH(M164,'G-6 Hedgerow Data'!$B$3:$B$14,0),MATCH(O164,'G-6 Hedgerow Data'!$K$2:$Q$2,0)))),"")</f>
        <v/>
      </c>
      <c r="Y164" s="195"/>
      <c r="Z164" s="195"/>
      <c r="AA164" s="507" t="str">
        <f t="shared" si="19"/>
        <v/>
      </c>
      <c r="AB164" s="521" t="str">
        <f t="shared" si="20"/>
        <v/>
      </c>
      <c r="AC164" s="522" t="str">
        <f t="shared" si="16"/>
        <v/>
      </c>
      <c r="AD164" s="537" t="str">
        <f>IF(M164="","",VLOOKUP(M164,'G-6 Hedgerow Data'!$B$3:$AG$15,31,FALSE))</f>
        <v/>
      </c>
      <c r="AE164" s="507" t="str">
        <f t="shared" si="21"/>
        <v/>
      </c>
      <c r="AF164" s="507" t="str">
        <f t="shared" si="22"/>
        <v/>
      </c>
      <c r="AG164" s="524" t="str">
        <f>IFERROR(IF(O164="","",VLOOKUP(AD164,'G-3 Multipliers'!$P$3:$Q$6,2,FALSE)),"")</f>
        <v/>
      </c>
      <c r="AH164" s="513" t="str">
        <f t="shared" si="17"/>
        <v/>
      </c>
      <c r="AI164" s="231"/>
      <c r="AJ164" s="150"/>
      <c r="AT164" s="31" t="str">
        <f>IFERROR(INDEX('G-6 Hedgerow Data'!$BJ$3:$BJ$15,MATCH(M164,'G-6 Hedgerow Data'!$B$3:$B$15,0)),"")</f>
        <v/>
      </c>
    </row>
    <row r="165" spans="2:46" ht="14" x14ac:dyDescent="0.3">
      <c r="B165" s="531" t="str">
        <f>'B-1 Site Hedge Baseline'!AK163</f>
        <v/>
      </c>
      <c r="C165" s="520" t="str">
        <f>IF(B165="","",IF(ISNA(VLOOKUP($B165,'B-1 Site Hedge Baseline'!$B$1:$L$257,3,FALSE)),"",(VLOOKUP($B165,'B-1 Site Hedge Baseline'!$B$1:$L$257,3,FALSE))))</f>
        <v/>
      </c>
      <c r="D165" s="520" t="str">
        <f>IF(B165="","",IF(ISNA(VLOOKUP($B165,'B-1 Site Hedge Baseline'!$B$1:$L$257,4,FALSE)),"",(VLOOKUP($B165,'B-1 Site Hedge Baseline'!$B$1:$L$257,4,FALSE))))</f>
        <v/>
      </c>
      <c r="E165" s="520" t="str">
        <f>IF(B165="","",IF(ISNA(VLOOKUP($B165,'B-1 Site Hedge Baseline'!$B$1:$L$257,5,FALSE)),"",(VLOOKUP($B165,'B-1 Site Hedge Baseline'!$B$1:$L$257,5,FALSE))))</f>
        <v/>
      </c>
      <c r="F165" s="520" t="str">
        <f>IF(B165="","",IF(ISNA(VLOOKUP($B165,'B-1 Site Hedge Baseline'!$B$1:$L$257,6,FALSE)),"",(VLOOKUP($B165,'B-1 Site Hedge Baseline'!$B$1:$L$257,6,FALSE))))</f>
        <v/>
      </c>
      <c r="G165" s="520" t="str">
        <f>IF(B165="","",IF(ISNA(VLOOKUP($B165,'B-1 Site Hedge Baseline'!$B$1:$L$257,7,FALSE)),"",(VLOOKUP($B165,'B-1 Site Hedge Baseline'!$B$1:$L$257,7,FALSE))))</f>
        <v/>
      </c>
      <c r="H165" s="520" t="str">
        <f>IF(B165="","",IF(ISNA(VLOOKUP($B165,'B-1 Site Hedge Baseline'!$B$1:$L$257,8,FALSE)),"",(VLOOKUP($B165,'B-1 Site Hedge Baseline'!$B$1:$L$257,8,FALSE))))</f>
        <v/>
      </c>
      <c r="I165" s="520" t="str">
        <f>IF(B165="","",IF(ISNA(VLOOKUP($B165,'B-1 Site Hedge Baseline'!$B$1:$L$257,10,FALSE)),"",(VLOOKUP($B165,'B-1 Site Hedge Baseline'!$B$1:$L$257,10,FALSE))))</f>
        <v/>
      </c>
      <c r="J165" s="520" t="str">
        <f>IF(B165="","",IF(ISNA(VLOOKUP($B165,'B-1 Site Hedge Baseline'!$B$1:$L$257,11,FALSE)),"",(VLOOKUP($B165,'B-1 Site Hedge Baseline'!$B$1:$L$257,11,FALSE))))</f>
        <v/>
      </c>
      <c r="K165" s="520" t="str">
        <f>IF(B165="","",IF(ISNA(VLOOKUP($B165,'B-1 Site Hedge Baseline'!$B$1:$U$257,13,FALSE)),"",(VLOOKUP($B165,'B-1 Site Hedge Baseline'!$B$1:$U$257,13,FALSE))))</f>
        <v/>
      </c>
      <c r="L165" s="524" t="str">
        <f>IF(B165="","",IF(ISNA(VLOOKUP($B165,'B-1 Site Hedge Baseline'!$B$1:$U$257,12,FALSE)),"",(VLOOKUP($B165,'B-1 Site Hedge Baseline'!$B$1:$U$257,12,FALSE))))</f>
        <v/>
      </c>
      <c r="M165" s="416" t="str">
        <f t="shared" si="23"/>
        <v/>
      </c>
      <c r="N165" s="498" t="str">
        <f>IFERROR(IF(B165="","",INDEX('G-6 Hedgerow Data'!$AN$3:$AZ$15,MATCH(C165,'G-6 Hedgerow Data'!$AM$3:$AM$15,0),MATCH(M165,'G-6 Hedgerow Data'!$AN$2:$AZ$2,0))),"")</f>
        <v/>
      </c>
      <c r="O165" s="499" t="str">
        <f t="shared" si="18"/>
        <v/>
      </c>
      <c r="P165" s="559" t="str">
        <f>IF(B165="","",VLOOKUP(B165,'B-1 Site Hedge Baseline'!$B$10:T410,16,FALSE))</f>
        <v/>
      </c>
      <c r="Q165" s="498" t="str">
        <f>IF(M165="","",VLOOKUP(M165,'G-6 Hedgerow Data'!$B$2:$AG$15,2,FALSE))</f>
        <v/>
      </c>
      <c r="R165" s="499" t="str">
        <f>IF(M165="","",VLOOKUP(M165,'G-6 Hedgerow Data'!$B$2:$AG$15,3,FALSE))</f>
        <v/>
      </c>
      <c r="S165" s="157"/>
      <c r="T165" s="540" t="str">
        <f>IFERROR(VLOOKUP(S165,'G-1 All Habitats'!$Z$2:$AA$9,2,FALSE),"")</f>
        <v/>
      </c>
      <c r="U165" s="154"/>
      <c r="V165" s="520" t="str">
        <f>IF(U165="","",IF(VLOOKUP(U165,'G-3 Multipliers'!$L$3:$N$6,2,FALSE)=0,"Spatial Data Missing ⚠",VLOOKUP(U165,'G-3 Multipliers'!$L$3:$N$6,2,FALSE)))</f>
        <v/>
      </c>
      <c r="W165" s="524" t="str">
        <f>IF(U165="","",IF(VLOOKUP(U165,'G-3 Multipliers'!$L$3:$N$6,3,FALSE)=0,"Spatial Data Missing ⚠",VLOOKUP(U165,'G-3 Multipliers'!$L$3:$N$6,3,FALSE)))</f>
        <v/>
      </c>
      <c r="X165" s="498" t="str">
        <f>IFERROR(IF(OR(LEFT(O165,5)="Error ▲",LEFT(N165,5)="Error ▲",T165="Error ▲"),"Check Data ⚠",IF(F165&lt;R165,INDEX('G-6 Hedgerow Data'!$S$3:$AE$14,MATCH(C165,'G-6 Hedgerow Data'!$B$3:$B$14,0),MATCH(M165,'G-6 Hedgerow Data'!$S$2:$AE$2,0)),INDEX('G-6 Hedgerow Data'!$K$3:$Q$14,MATCH(M165,'G-6 Hedgerow Data'!$B$3:$B$14,0),MATCH(O165,'G-6 Hedgerow Data'!$K$2:$Q$2,0)))),"")</f>
        <v/>
      </c>
      <c r="Y165" s="195"/>
      <c r="Z165" s="195"/>
      <c r="AA165" s="507" t="str">
        <f t="shared" si="19"/>
        <v/>
      </c>
      <c r="AB165" s="521" t="str">
        <f t="shared" si="20"/>
        <v/>
      </c>
      <c r="AC165" s="522" t="str">
        <f t="shared" si="16"/>
        <v/>
      </c>
      <c r="AD165" s="537" t="str">
        <f>IF(M165="","",VLOOKUP(M165,'G-6 Hedgerow Data'!$B$3:$AG$15,31,FALSE))</f>
        <v/>
      </c>
      <c r="AE165" s="507" t="str">
        <f t="shared" si="21"/>
        <v/>
      </c>
      <c r="AF165" s="507" t="str">
        <f t="shared" si="22"/>
        <v/>
      </c>
      <c r="AG165" s="524" t="str">
        <f>IFERROR(IF(O165="","",VLOOKUP(AD165,'G-3 Multipliers'!$P$3:$Q$6,2,FALSE)),"")</f>
        <v/>
      </c>
      <c r="AH165" s="513" t="str">
        <f t="shared" si="17"/>
        <v/>
      </c>
      <c r="AI165" s="231"/>
      <c r="AJ165" s="150"/>
      <c r="AT165" s="31" t="str">
        <f>IFERROR(INDEX('G-6 Hedgerow Data'!$BJ$3:$BJ$15,MATCH(M165,'G-6 Hedgerow Data'!$B$3:$B$15,0)),"")</f>
        <v/>
      </c>
    </row>
    <row r="166" spans="2:46" ht="14" x14ac:dyDescent="0.3">
      <c r="B166" s="531" t="str">
        <f>'B-1 Site Hedge Baseline'!AK164</f>
        <v/>
      </c>
      <c r="C166" s="520" t="str">
        <f>IF(B166="","",IF(ISNA(VLOOKUP($B166,'B-1 Site Hedge Baseline'!$B$1:$L$257,3,FALSE)),"",(VLOOKUP($B166,'B-1 Site Hedge Baseline'!$B$1:$L$257,3,FALSE))))</f>
        <v/>
      </c>
      <c r="D166" s="520" t="str">
        <f>IF(B166="","",IF(ISNA(VLOOKUP($B166,'B-1 Site Hedge Baseline'!$B$1:$L$257,4,FALSE)),"",(VLOOKUP($B166,'B-1 Site Hedge Baseline'!$B$1:$L$257,4,FALSE))))</f>
        <v/>
      </c>
      <c r="E166" s="520" t="str">
        <f>IF(B166="","",IF(ISNA(VLOOKUP($B166,'B-1 Site Hedge Baseline'!$B$1:$L$257,5,FALSE)),"",(VLOOKUP($B166,'B-1 Site Hedge Baseline'!$B$1:$L$257,5,FALSE))))</f>
        <v/>
      </c>
      <c r="F166" s="520" t="str">
        <f>IF(B166="","",IF(ISNA(VLOOKUP($B166,'B-1 Site Hedge Baseline'!$B$1:$L$257,6,FALSE)),"",(VLOOKUP($B166,'B-1 Site Hedge Baseline'!$B$1:$L$257,6,FALSE))))</f>
        <v/>
      </c>
      <c r="G166" s="520" t="str">
        <f>IF(B166="","",IF(ISNA(VLOOKUP($B166,'B-1 Site Hedge Baseline'!$B$1:$L$257,7,FALSE)),"",(VLOOKUP($B166,'B-1 Site Hedge Baseline'!$B$1:$L$257,7,FALSE))))</f>
        <v/>
      </c>
      <c r="H166" s="520" t="str">
        <f>IF(B166="","",IF(ISNA(VLOOKUP($B166,'B-1 Site Hedge Baseline'!$B$1:$L$257,8,FALSE)),"",(VLOOKUP($B166,'B-1 Site Hedge Baseline'!$B$1:$L$257,8,FALSE))))</f>
        <v/>
      </c>
      <c r="I166" s="520" t="str">
        <f>IF(B166="","",IF(ISNA(VLOOKUP($B166,'B-1 Site Hedge Baseline'!$B$1:$L$257,10,FALSE)),"",(VLOOKUP($B166,'B-1 Site Hedge Baseline'!$B$1:$L$257,10,FALSE))))</f>
        <v/>
      </c>
      <c r="J166" s="520" t="str">
        <f>IF(B166="","",IF(ISNA(VLOOKUP($B166,'B-1 Site Hedge Baseline'!$B$1:$L$257,11,FALSE)),"",(VLOOKUP($B166,'B-1 Site Hedge Baseline'!$B$1:$L$257,11,FALSE))))</f>
        <v/>
      </c>
      <c r="K166" s="520" t="str">
        <f>IF(B166="","",IF(ISNA(VLOOKUP($B166,'B-1 Site Hedge Baseline'!$B$1:$U$257,13,FALSE)),"",(VLOOKUP($B166,'B-1 Site Hedge Baseline'!$B$1:$U$257,13,FALSE))))</f>
        <v/>
      </c>
      <c r="L166" s="524" t="str">
        <f>IF(B166="","",IF(ISNA(VLOOKUP($B166,'B-1 Site Hedge Baseline'!$B$1:$U$257,12,FALSE)),"",(VLOOKUP($B166,'B-1 Site Hedge Baseline'!$B$1:$U$257,12,FALSE))))</f>
        <v/>
      </c>
      <c r="M166" s="416" t="str">
        <f t="shared" si="23"/>
        <v/>
      </c>
      <c r="N166" s="498" t="str">
        <f>IFERROR(IF(B166="","",INDEX('G-6 Hedgerow Data'!$AN$3:$AZ$15,MATCH(C166,'G-6 Hedgerow Data'!$AM$3:$AM$15,0),MATCH(M166,'G-6 Hedgerow Data'!$AN$2:$AZ$2,0))),"")</f>
        <v/>
      </c>
      <c r="O166" s="499" t="str">
        <f t="shared" si="18"/>
        <v/>
      </c>
      <c r="P166" s="559" t="str">
        <f>IF(B166="","",VLOOKUP(B166,'B-1 Site Hedge Baseline'!$B$10:T411,16,FALSE))</f>
        <v/>
      </c>
      <c r="Q166" s="498" t="str">
        <f>IF(M166="","",VLOOKUP(M166,'G-6 Hedgerow Data'!$B$2:$AG$15,2,FALSE))</f>
        <v/>
      </c>
      <c r="R166" s="499" t="str">
        <f>IF(M166="","",VLOOKUP(M166,'G-6 Hedgerow Data'!$B$2:$AG$15,3,FALSE))</f>
        <v/>
      </c>
      <c r="S166" s="157"/>
      <c r="T166" s="540" t="str">
        <f>IFERROR(VLOOKUP(S166,'G-1 All Habitats'!$Z$2:$AA$9,2,FALSE),"")</f>
        <v/>
      </c>
      <c r="U166" s="154"/>
      <c r="V166" s="520" t="str">
        <f>IF(U166="","",IF(VLOOKUP(U166,'G-3 Multipliers'!$L$3:$N$6,2,FALSE)=0,"Spatial Data Missing ⚠",VLOOKUP(U166,'G-3 Multipliers'!$L$3:$N$6,2,FALSE)))</f>
        <v/>
      </c>
      <c r="W166" s="524" t="str">
        <f>IF(U166="","",IF(VLOOKUP(U166,'G-3 Multipliers'!$L$3:$N$6,3,FALSE)=0,"Spatial Data Missing ⚠",VLOOKUP(U166,'G-3 Multipliers'!$L$3:$N$6,3,FALSE)))</f>
        <v/>
      </c>
      <c r="X166" s="498" t="str">
        <f>IFERROR(IF(OR(LEFT(O166,5)="Error ▲",LEFT(N166,5)="Error ▲",T166="Error ▲"),"Check Data ⚠",IF(F166&lt;R166,INDEX('G-6 Hedgerow Data'!$S$3:$AE$14,MATCH(C166,'G-6 Hedgerow Data'!$B$3:$B$14,0),MATCH(M166,'G-6 Hedgerow Data'!$S$2:$AE$2,0)),INDEX('G-6 Hedgerow Data'!$K$3:$Q$14,MATCH(M166,'G-6 Hedgerow Data'!$B$3:$B$14,0),MATCH(O166,'G-6 Hedgerow Data'!$K$2:$Q$2,0)))),"")</f>
        <v/>
      </c>
      <c r="Y166" s="195"/>
      <c r="Z166" s="195"/>
      <c r="AA166" s="507" t="str">
        <f t="shared" si="19"/>
        <v/>
      </c>
      <c r="AB166" s="521" t="str">
        <f t="shared" si="20"/>
        <v/>
      </c>
      <c r="AC166" s="522" t="str">
        <f t="shared" si="16"/>
        <v/>
      </c>
      <c r="AD166" s="537" t="str">
        <f>IF(M166="","",VLOOKUP(M166,'G-6 Hedgerow Data'!$B$3:$AG$15,31,FALSE))</f>
        <v/>
      </c>
      <c r="AE166" s="507" t="str">
        <f t="shared" si="21"/>
        <v/>
      </c>
      <c r="AF166" s="507" t="str">
        <f t="shared" si="22"/>
        <v/>
      </c>
      <c r="AG166" s="524" t="str">
        <f>IFERROR(IF(O166="","",VLOOKUP(AD166,'G-3 Multipliers'!$P$3:$Q$6,2,FALSE)),"")</f>
        <v/>
      </c>
      <c r="AH166" s="513" t="str">
        <f t="shared" si="17"/>
        <v/>
      </c>
      <c r="AI166" s="231"/>
      <c r="AJ166" s="150"/>
      <c r="AT166" s="31" t="str">
        <f>IFERROR(INDEX('G-6 Hedgerow Data'!$BJ$3:$BJ$15,MATCH(M166,'G-6 Hedgerow Data'!$B$3:$B$15,0)),"")</f>
        <v/>
      </c>
    </row>
    <row r="167" spans="2:46" ht="14" x14ac:dyDescent="0.3">
      <c r="B167" s="531" t="str">
        <f>'B-1 Site Hedge Baseline'!AK165</f>
        <v/>
      </c>
      <c r="C167" s="520" t="str">
        <f>IF(B167="","",IF(ISNA(VLOOKUP($B167,'B-1 Site Hedge Baseline'!$B$1:$L$257,3,FALSE)),"",(VLOOKUP($B167,'B-1 Site Hedge Baseline'!$B$1:$L$257,3,FALSE))))</f>
        <v/>
      </c>
      <c r="D167" s="520" t="str">
        <f>IF(B167="","",IF(ISNA(VLOOKUP($B167,'B-1 Site Hedge Baseline'!$B$1:$L$257,4,FALSE)),"",(VLOOKUP($B167,'B-1 Site Hedge Baseline'!$B$1:$L$257,4,FALSE))))</f>
        <v/>
      </c>
      <c r="E167" s="520" t="str">
        <f>IF(B167="","",IF(ISNA(VLOOKUP($B167,'B-1 Site Hedge Baseline'!$B$1:$L$257,5,FALSE)),"",(VLOOKUP($B167,'B-1 Site Hedge Baseline'!$B$1:$L$257,5,FALSE))))</f>
        <v/>
      </c>
      <c r="F167" s="520" t="str">
        <f>IF(B167="","",IF(ISNA(VLOOKUP($B167,'B-1 Site Hedge Baseline'!$B$1:$L$257,6,FALSE)),"",(VLOOKUP($B167,'B-1 Site Hedge Baseline'!$B$1:$L$257,6,FALSE))))</f>
        <v/>
      </c>
      <c r="G167" s="520" t="str">
        <f>IF(B167="","",IF(ISNA(VLOOKUP($B167,'B-1 Site Hedge Baseline'!$B$1:$L$257,7,FALSE)),"",(VLOOKUP($B167,'B-1 Site Hedge Baseline'!$B$1:$L$257,7,FALSE))))</f>
        <v/>
      </c>
      <c r="H167" s="520" t="str">
        <f>IF(B167="","",IF(ISNA(VLOOKUP($B167,'B-1 Site Hedge Baseline'!$B$1:$L$257,8,FALSE)),"",(VLOOKUP($B167,'B-1 Site Hedge Baseline'!$B$1:$L$257,8,FALSE))))</f>
        <v/>
      </c>
      <c r="I167" s="520" t="str">
        <f>IF(B167="","",IF(ISNA(VLOOKUP($B167,'B-1 Site Hedge Baseline'!$B$1:$L$257,10,FALSE)),"",(VLOOKUP($B167,'B-1 Site Hedge Baseline'!$B$1:$L$257,10,FALSE))))</f>
        <v/>
      </c>
      <c r="J167" s="520" t="str">
        <f>IF(B167="","",IF(ISNA(VLOOKUP($B167,'B-1 Site Hedge Baseline'!$B$1:$L$257,11,FALSE)),"",(VLOOKUP($B167,'B-1 Site Hedge Baseline'!$B$1:$L$257,11,FALSE))))</f>
        <v/>
      </c>
      <c r="K167" s="520" t="str">
        <f>IF(B167="","",IF(ISNA(VLOOKUP($B167,'B-1 Site Hedge Baseline'!$B$1:$U$257,13,FALSE)),"",(VLOOKUP($B167,'B-1 Site Hedge Baseline'!$B$1:$U$257,13,FALSE))))</f>
        <v/>
      </c>
      <c r="L167" s="524" t="str">
        <f>IF(B167="","",IF(ISNA(VLOOKUP($B167,'B-1 Site Hedge Baseline'!$B$1:$U$257,12,FALSE)),"",(VLOOKUP($B167,'B-1 Site Hedge Baseline'!$B$1:$U$257,12,FALSE))))</f>
        <v/>
      </c>
      <c r="M167" s="416" t="str">
        <f t="shared" si="23"/>
        <v/>
      </c>
      <c r="N167" s="498" t="str">
        <f>IFERROR(IF(B167="","",INDEX('G-6 Hedgerow Data'!$AN$3:$AZ$15,MATCH(C167,'G-6 Hedgerow Data'!$AM$3:$AM$15,0),MATCH(M167,'G-6 Hedgerow Data'!$AN$2:$AZ$2,0))),"")</f>
        <v/>
      </c>
      <c r="O167" s="499" t="str">
        <f t="shared" si="18"/>
        <v/>
      </c>
      <c r="P167" s="559" t="str">
        <f>IF(B167="","",VLOOKUP(B167,'B-1 Site Hedge Baseline'!$B$10:T412,16,FALSE))</f>
        <v/>
      </c>
      <c r="Q167" s="498" t="str">
        <f>IF(M167="","",VLOOKUP(M167,'G-6 Hedgerow Data'!$B$2:$AG$15,2,FALSE))</f>
        <v/>
      </c>
      <c r="R167" s="499" t="str">
        <f>IF(M167="","",VLOOKUP(M167,'G-6 Hedgerow Data'!$B$2:$AG$15,3,FALSE))</f>
        <v/>
      </c>
      <c r="S167" s="157"/>
      <c r="T167" s="540" t="str">
        <f>IFERROR(VLOOKUP(S167,'G-1 All Habitats'!$Z$2:$AA$9,2,FALSE),"")</f>
        <v/>
      </c>
      <c r="U167" s="154"/>
      <c r="V167" s="520" t="str">
        <f>IF(U167="","",IF(VLOOKUP(U167,'G-3 Multipliers'!$L$3:$N$6,2,FALSE)=0,"Spatial Data Missing ⚠",VLOOKUP(U167,'G-3 Multipliers'!$L$3:$N$6,2,FALSE)))</f>
        <v/>
      </c>
      <c r="W167" s="524" t="str">
        <f>IF(U167="","",IF(VLOOKUP(U167,'G-3 Multipliers'!$L$3:$N$6,3,FALSE)=0,"Spatial Data Missing ⚠",VLOOKUP(U167,'G-3 Multipliers'!$L$3:$N$6,3,FALSE)))</f>
        <v/>
      </c>
      <c r="X167" s="498" t="str">
        <f>IFERROR(IF(OR(LEFT(O167,5)="Error ▲",LEFT(N167,5)="Error ▲",T167="Error ▲"),"Check Data ⚠",IF(F167&lt;R167,INDEX('G-6 Hedgerow Data'!$S$3:$AE$14,MATCH(C167,'G-6 Hedgerow Data'!$B$3:$B$14,0),MATCH(M167,'G-6 Hedgerow Data'!$S$2:$AE$2,0)),INDEX('G-6 Hedgerow Data'!$K$3:$Q$14,MATCH(M167,'G-6 Hedgerow Data'!$B$3:$B$14,0),MATCH(O167,'G-6 Hedgerow Data'!$K$2:$Q$2,0)))),"")</f>
        <v/>
      </c>
      <c r="Y167" s="195"/>
      <c r="Z167" s="195"/>
      <c r="AA167" s="507" t="str">
        <f t="shared" si="19"/>
        <v/>
      </c>
      <c r="AB167" s="521" t="str">
        <f t="shared" si="20"/>
        <v/>
      </c>
      <c r="AC167" s="522" t="str">
        <f t="shared" si="16"/>
        <v/>
      </c>
      <c r="AD167" s="537" t="str">
        <f>IF(M167="","",VLOOKUP(M167,'G-6 Hedgerow Data'!$B$3:$AG$15,31,FALSE))</f>
        <v/>
      </c>
      <c r="AE167" s="507" t="str">
        <f t="shared" si="21"/>
        <v/>
      </c>
      <c r="AF167" s="507" t="str">
        <f t="shared" si="22"/>
        <v/>
      </c>
      <c r="AG167" s="524" t="str">
        <f>IFERROR(IF(O167="","",VLOOKUP(AD167,'G-3 Multipliers'!$P$3:$Q$6,2,FALSE)),"")</f>
        <v/>
      </c>
      <c r="AH167" s="513" t="str">
        <f t="shared" si="17"/>
        <v/>
      </c>
      <c r="AI167" s="231"/>
      <c r="AJ167" s="150"/>
      <c r="AT167" s="31" t="str">
        <f>IFERROR(INDEX('G-6 Hedgerow Data'!$BJ$3:$BJ$15,MATCH(M167,'G-6 Hedgerow Data'!$B$3:$B$15,0)),"")</f>
        <v/>
      </c>
    </row>
    <row r="168" spans="2:46" ht="14" x14ac:dyDescent="0.3">
      <c r="B168" s="531" t="str">
        <f>'B-1 Site Hedge Baseline'!AK166</f>
        <v/>
      </c>
      <c r="C168" s="520" t="str">
        <f>IF(B168="","",IF(ISNA(VLOOKUP($B168,'B-1 Site Hedge Baseline'!$B$1:$L$257,3,FALSE)),"",(VLOOKUP($B168,'B-1 Site Hedge Baseline'!$B$1:$L$257,3,FALSE))))</f>
        <v/>
      </c>
      <c r="D168" s="520" t="str">
        <f>IF(B168="","",IF(ISNA(VLOOKUP($B168,'B-1 Site Hedge Baseline'!$B$1:$L$257,4,FALSE)),"",(VLOOKUP($B168,'B-1 Site Hedge Baseline'!$B$1:$L$257,4,FALSE))))</f>
        <v/>
      </c>
      <c r="E168" s="520" t="str">
        <f>IF(B168="","",IF(ISNA(VLOOKUP($B168,'B-1 Site Hedge Baseline'!$B$1:$L$257,5,FALSE)),"",(VLOOKUP($B168,'B-1 Site Hedge Baseline'!$B$1:$L$257,5,FALSE))))</f>
        <v/>
      </c>
      <c r="F168" s="520" t="str">
        <f>IF(B168="","",IF(ISNA(VLOOKUP($B168,'B-1 Site Hedge Baseline'!$B$1:$L$257,6,FALSE)),"",(VLOOKUP($B168,'B-1 Site Hedge Baseline'!$B$1:$L$257,6,FALSE))))</f>
        <v/>
      </c>
      <c r="G168" s="520" t="str">
        <f>IF(B168="","",IF(ISNA(VLOOKUP($B168,'B-1 Site Hedge Baseline'!$B$1:$L$257,7,FALSE)),"",(VLOOKUP($B168,'B-1 Site Hedge Baseline'!$B$1:$L$257,7,FALSE))))</f>
        <v/>
      </c>
      <c r="H168" s="520" t="str">
        <f>IF(B168="","",IF(ISNA(VLOOKUP($B168,'B-1 Site Hedge Baseline'!$B$1:$L$257,8,FALSE)),"",(VLOOKUP($B168,'B-1 Site Hedge Baseline'!$B$1:$L$257,8,FALSE))))</f>
        <v/>
      </c>
      <c r="I168" s="520" t="str">
        <f>IF(B168="","",IF(ISNA(VLOOKUP($B168,'B-1 Site Hedge Baseline'!$B$1:$L$257,10,FALSE)),"",(VLOOKUP($B168,'B-1 Site Hedge Baseline'!$B$1:$L$257,10,FALSE))))</f>
        <v/>
      </c>
      <c r="J168" s="520" t="str">
        <f>IF(B168="","",IF(ISNA(VLOOKUP($B168,'B-1 Site Hedge Baseline'!$B$1:$L$257,11,FALSE)),"",(VLOOKUP($B168,'B-1 Site Hedge Baseline'!$B$1:$L$257,11,FALSE))))</f>
        <v/>
      </c>
      <c r="K168" s="520" t="str">
        <f>IF(B168="","",IF(ISNA(VLOOKUP($B168,'B-1 Site Hedge Baseline'!$B$1:$U$257,13,FALSE)),"",(VLOOKUP($B168,'B-1 Site Hedge Baseline'!$B$1:$U$257,13,FALSE))))</f>
        <v/>
      </c>
      <c r="L168" s="524" t="str">
        <f>IF(B168="","",IF(ISNA(VLOOKUP($B168,'B-1 Site Hedge Baseline'!$B$1:$U$257,12,FALSE)),"",(VLOOKUP($B168,'B-1 Site Hedge Baseline'!$B$1:$U$257,12,FALSE))))</f>
        <v/>
      </c>
      <c r="M168" s="416" t="str">
        <f t="shared" si="23"/>
        <v/>
      </c>
      <c r="N168" s="498" t="str">
        <f>IFERROR(IF(B168="","",INDEX('G-6 Hedgerow Data'!$AN$3:$AZ$15,MATCH(C168,'G-6 Hedgerow Data'!$AM$3:$AM$15,0),MATCH(M168,'G-6 Hedgerow Data'!$AN$2:$AZ$2,0))),"")</f>
        <v/>
      </c>
      <c r="O168" s="499" t="str">
        <f t="shared" si="18"/>
        <v/>
      </c>
      <c r="P168" s="559" t="str">
        <f>IF(B168="","",VLOOKUP(B168,'B-1 Site Hedge Baseline'!$B$10:T413,16,FALSE))</f>
        <v/>
      </c>
      <c r="Q168" s="498" t="str">
        <f>IF(M168="","",VLOOKUP(M168,'G-6 Hedgerow Data'!$B$2:$AG$15,2,FALSE))</f>
        <v/>
      </c>
      <c r="R168" s="499" t="str">
        <f>IF(M168="","",VLOOKUP(M168,'G-6 Hedgerow Data'!$B$2:$AG$15,3,FALSE))</f>
        <v/>
      </c>
      <c r="S168" s="157"/>
      <c r="T168" s="540" t="str">
        <f>IFERROR(VLOOKUP(S168,'G-1 All Habitats'!$Z$2:$AA$9,2,FALSE),"")</f>
        <v/>
      </c>
      <c r="U168" s="154"/>
      <c r="V168" s="520" t="str">
        <f>IF(U168="","",IF(VLOOKUP(U168,'G-3 Multipliers'!$L$3:$N$6,2,FALSE)=0,"Spatial Data Missing ⚠",VLOOKUP(U168,'G-3 Multipliers'!$L$3:$N$6,2,FALSE)))</f>
        <v/>
      </c>
      <c r="W168" s="524" t="str">
        <f>IF(U168="","",IF(VLOOKUP(U168,'G-3 Multipliers'!$L$3:$N$6,3,FALSE)=0,"Spatial Data Missing ⚠",VLOOKUP(U168,'G-3 Multipliers'!$L$3:$N$6,3,FALSE)))</f>
        <v/>
      </c>
      <c r="X168" s="498" t="str">
        <f>IFERROR(IF(OR(LEFT(O168,5)="Error ▲",LEFT(N168,5)="Error ▲",T168="Error ▲"),"Check Data ⚠",IF(F168&lt;R168,INDEX('G-6 Hedgerow Data'!$S$3:$AE$14,MATCH(C168,'G-6 Hedgerow Data'!$B$3:$B$14,0),MATCH(M168,'G-6 Hedgerow Data'!$S$2:$AE$2,0)),INDEX('G-6 Hedgerow Data'!$K$3:$Q$14,MATCH(M168,'G-6 Hedgerow Data'!$B$3:$B$14,0),MATCH(O168,'G-6 Hedgerow Data'!$K$2:$Q$2,0)))),"")</f>
        <v/>
      </c>
      <c r="Y168" s="195"/>
      <c r="Z168" s="195"/>
      <c r="AA168" s="507" t="str">
        <f t="shared" si="19"/>
        <v/>
      </c>
      <c r="AB168" s="521" t="str">
        <f t="shared" si="20"/>
        <v/>
      </c>
      <c r="AC168" s="522" t="str">
        <f t="shared" si="16"/>
        <v/>
      </c>
      <c r="AD168" s="537" t="str">
        <f>IF(M168="","",VLOOKUP(M168,'G-6 Hedgerow Data'!$B$3:$AG$15,31,FALSE))</f>
        <v/>
      </c>
      <c r="AE168" s="507" t="str">
        <f t="shared" si="21"/>
        <v/>
      </c>
      <c r="AF168" s="507" t="str">
        <f t="shared" si="22"/>
        <v/>
      </c>
      <c r="AG168" s="524" t="str">
        <f>IFERROR(IF(O168="","",VLOOKUP(AD168,'G-3 Multipliers'!$P$3:$Q$6,2,FALSE)),"")</f>
        <v/>
      </c>
      <c r="AH168" s="513" t="str">
        <f t="shared" si="17"/>
        <v/>
      </c>
      <c r="AI168" s="231"/>
      <c r="AJ168" s="150"/>
      <c r="AT168" s="31" t="str">
        <f>IFERROR(INDEX('G-6 Hedgerow Data'!$BJ$3:$BJ$15,MATCH(M168,'G-6 Hedgerow Data'!$B$3:$B$15,0)),"")</f>
        <v/>
      </c>
    </row>
    <row r="169" spans="2:46" ht="14" x14ac:dyDescent="0.3">
      <c r="B169" s="531" t="str">
        <f>'B-1 Site Hedge Baseline'!AK167</f>
        <v/>
      </c>
      <c r="C169" s="520" t="str">
        <f>IF(B169="","",IF(ISNA(VLOOKUP($B169,'B-1 Site Hedge Baseline'!$B$1:$L$257,3,FALSE)),"",(VLOOKUP($B169,'B-1 Site Hedge Baseline'!$B$1:$L$257,3,FALSE))))</f>
        <v/>
      </c>
      <c r="D169" s="520" t="str">
        <f>IF(B169="","",IF(ISNA(VLOOKUP($B169,'B-1 Site Hedge Baseline'!$B$1:$L$257,4,FALSE)),"",(VLOOKUP($B169,'B-1 Site Hedge Baseline'!$B$1:$L$257,4,FALSE))))</f>
        <v/>
      </c>
      <c r="E169" s="520" t="str">
        <f>IF(B169="","",IF(ISNA(VLOOKUP($B169,'B-1 Site Hedge Baseline'!$B$1:$L$257,5,FALSE)),"",(VLOOKUP($B169,'B-1 Site Hedge Baseline'!$B$1:$L$257,5,FALSE))))</f>
        <v/>
      </c>
      <c r="F169" s="520" t="str">
        <f>IF(B169="","",IF(ISNA(VLOOKUP($B169,'B-1 Site Hedge Baseline'!$B$1:$L$257,6,FALSE)),"",(VLOOKUP($B169,'B-1 Site Hedge Baseline'!$B$1:$L$257,6,FALSE))))</f>
        <v/>
      </c>
      <c r="G169" s="520" t="str">
        <f>IF(B169="","",IF(ISNA(VLOOKUP($B169,'B-1 Site Hedge Baseline'!$B$1:$L$257,7,FALSE)),"",(VLOOKUP($B169,'B-1 Site Hedge Baseline'!$B$1:$L$257,7,FALSE))))</f>
        <v/>
      </c>
      <c r="H169" s="520" t="str">
        <f>IF(B169="","",IF(ISNA(VLOOKUP($B169,'B-1 Site Hedge Baseline'!$B$1:$L$257,8,FALSE)),"",(VLOOKUP($B169,'B-1 Site Hedge Baseline'!$B$1:$L$257,8,FALSE))))</f>
        <v/>
      </c>
      <c r="I169" s="520" t="str">
        <f>IF(B169="","",IF(ISNA(VLOOKUP($B169,'B-1 Site Hedge Baseline'!$B$1:$L$257,10,FALSE)),"",(VLOOKUP($B169,'B-1 Site Hedge Baseline'!$B$1:$L$257,10,FALSE))))</f>
        <v/>
      </c>
      <c r="J169" s="520" t="str">
        <f>IF(B169="","",IF(ISNA(VLOOKUP($B169,'B-1 Site Hedge Baseline'!$B$1:$L$257,11,FALSE)),"",(VLOOKUP($B169,'B-1 Site Hedge Baseline'!$B$1:$L$257,11,FALSE))))</f>
        <v/>
      </c>
      <c r="K169" s="520" t="str">
        <f>IF(B169="","",IF(ISNA(VLOOKUP($B169,'B-1 Site Hedge Baseline'!$B$1:$U$257,13,FALSE)),"",(VLOOKUP($B169,'B-1 Site Hedge Baseline'!$B$1:$U$257,13,FALSE))))</f>
        <v/>
      </c>
      <c r="L169" s="524" t="str">
        <f>IF(B169="","",IF(ISNA(VLOOKUP($B169,'B-1 Site Hedge Baseline'!$B$1:$U$257,12,FALSE)),"",(VLOOKUP($B169,'B-1 Site Hedge Baseline'!$B$1:$U$257,12,FALSE))))</f>
        <v/>
      </c>
      <c r="M169" s="416" t="str">
        <f t="shared" si="23"/>
        <v/>
      </c>
      <c r="N169" s="498" t="str">
        <f>IFERROR(IF(B169="","",INDEX('G-6 Hedgerow Data'!$AN$3:$AZ$15,MATCH(C169,'G-6 Hedgerow Data'!$AM$3:$AM$15,0),MATCH(M169,'G-6 Hedgerow Data'!$AN$2:$AZ$2,0))),"")</f>
        <v/>
      </c>
      <c r="O169" s="499" t="str">
        <f t="shared" si="18"/>
        <v/>
      </c>
      <c r="P169" s="559" t="str">
        <f>IF(B169="","",VLOOKUP(B169,'B-1 Site Hedge Baseline'!$B$10:T414,16,FALSE))</f>
        <v/>
      </c>
      <c r="Q169" s="498" t="str">
        <f>IF(M169="","",VLOOKUP(M169,'G-6 Hedgerow Data'!$B$2:$AG$15,2,FALSE))</f>
        <v/>
      </c>
      <c r="R169" s="499" t="str">
        <f>IF(M169="","",VLOOKUP(M169,'G-6 Hedgerow Data'!$B$2:$AG$15,3,FALSE))</f>
        <v/>
      </c>
      <c r="S169" s="157"/>
      <c r="T169" s="540" t="str">
        <f>IFERROR(VLOOKUP(S169,'G-1 All Habitats'!$Z$2:$AA$9,2,FALSE),"")</f>
        <v/>
      </c>
      <c r="U169" s="154"/>
      <c r="V169" s="520" t="str">
        <f>IF(U169="","",IF(VLOOKUP(U169,'G-3 Multipliers'!$L$3:$N$6,2,FALSE)=0,"Spatial Data Missing ⚠",VLOOKUP(U169,'G-3 Multipliers'!$L$3:$N$6,2,FALSE)))</f>
        <v/>
      </c>
      <c r="W169" s="524" t="str">
        <f>IF(U169="","",IF(VLOOKUP(U169,'G-3 Multipliers'!$L$3:$N$6,3,FALSE)=0,"Spatial Data Missing ⚠",VLOOKUP(U169,'G-3 Multipliers'!$L$3:$N$6,3,FALSE)))</f>
        <v/>
      </c>
      <c r="X169" s="498" t="str">
        <f>IFERROR(IF(OR(LEFT(O169,5)="Error ▲",LEFT(N169,5)="Error ▲",T169="Error ▲"),"Check Data ⚠",IF(F169&lt;R169,INDEX('G-6 Hedgerow Data'!$S$3:$AE$14,MATCH(C169,'G-6 Hedgerow Data'!$B$3:$B$14,0),MATCH(M169,'G-6 Hedgerow Data'!$S$2:$AE$2,0)),INDEX('G-6 Hedgerow Data'!$K$3:$Q$14,MATCH(M169,'G-6 Hedgerow Data'!$B$3:$B$14,0),MATCH(O169,'G-6 Hedgerow Data'!$K$2:$Q$2,0)))),"")</f>
        <v/>
      </c>
      <c r="Y169" s="195"/>
      <c r="Z169" s="195"/>
      <c r="AA169" s="507" t="str">
        <f t="shared" si="19"/>
        <v/>
      </c>
      <c r="AB169" s="521" t="str">
        <f t="shared" si="20"/>
        <v/>
      </c>
      <c r="AC169" s="522" t="str">
        <f t="shared" si="16"/>
        <v/>
      </c>
      <c r="AD169" s="537" t="str">
        <f>IF(M169="","",VLOOKUP(M169,'G-6 Hedgerow Data'!$B$3:$AG$15,31,FALSE))</f>
        <v/>
      </c>
      <c r="AE169" s="507" t="str">
        <f t="shared" si="21"/>
        <v/>
      </c>
      <c r="AF169" s="507" t="str">
        <f t="shared" si="22"/>
        <v/>
      </c>
      <c r="AG169" s="524" t="str">
        <f>IFERROR(IF(O169="","",VLOOKUP(AD169,'G-3 Multipliers'!$P$3:$Q$6,2,FALSE)),"")</f>
        <v/>
      </c>
      <c r="AH169" s="513" t="str">
        <f t="shared" si="17"/>
        <v/>
      </c>
      <c r="AI169" s="231"/>
      <c r="AJ169" s="150"/>
      <c r="AT169" s="31" t="str">
        <f>IFERROR(INDEX('G-6 Hedgerow Data'!$BJ$3:$BJ$15,MATCH(M169,'G-6 Hedgerow Data'!$B$3:$B$15,0)),"")</f>
        <v/>
      </c>
    </row>
    <row r="170" spans="2:46" ht="14" x14ac:dyDescent="0.3">
      <c r="B170" s="531" t="str">
        <f>'B-1 Site Hedge Baseline'!AK168</f>
        <v/>
      </c>
      <c r="C170" s="520" t="str">
        <f>IF(B170="","",IF(ISNA(VLOOKUP($B170,'B-1 Site Hedge Baseline'!$B$1:$L$257,3,FALSE)),"",(VLOOKUP($B170,'B-1 Site Hedge Baseline'!$B$1:$L$257,3,FALSE))))</f>
        <v/>
      </c>
      <c r="D170" s="520" t="str">
        <f>IF(B170="","",IF(ISNA(VLOOKUP($B170,'B-1 Site Hedge Baseline'!$B$1:$L$257,4,FALSE)),"",(VLOOKUP($B170,'B-1 Site Hedge Baseline'!$B$1:$L$257,4,FALSE))))</f>
        <v/>
      </c>
      <c r="E170" s="520" t="str">
        <f>IF(B170="","",IF(ISNA(VLOOKUP($B170,'B-1 Site Hedge Baseline'!$B$1:$L$257,5,FALSE)),"",(VLOOKUP($B170,'B-1 Site Hedge Baseline'!$B$1:$L$257,5,FALSE))))</f>
        <v/>
      </c>
      <c r="F170" s="520" t="str">
        <f>IF(B170="","",IF(ISNA(VLOOKUP($B170,'B-1 Site Hedge Baseline'!$B$1:$L$257,6,FALSE)),"",(VLOOKUP($B170,'B-1 Site Hedge Baseline'!$B$1:$L$257,6,FALSE))))</f>
        <v/>
      </c>
      <c r="G170" s="520" t="str">
        <f>IF(B170="","",IF(ISNA(VLOOKUP($B170,'B-1 Site Hedge Baseline'!$B$1:$L$257,7,FALSE)),"",(VLOOKUP($B170,'B-1 Site Hedge Baseline'!$B$1:$L$257,7,FALSE))))</f>
        <v/>
      </c>
      <c r="H170" s="520" t="str">
        <f>IF(B170="","",IF(ISNA(VLOOKUP($B170,'B-1 Site Hedge Baseline'!$B$1:$L$257,8,FALSE)),"",(VLOOKUP($B170,'B-1 Site Hedge Baseline'!$B$1:$L$257,8,FALSE))))</f>
        <v/>
      </c>
      <c r="I170" s="520" t="str">
        <f>IF(B170="","",IF(ISNA(VLOOKUP($B170,'B-1 Site Hedge Baseline'!$B$1:$L$257,10,FALSE)),"",(VLOOKUP($B170,'B-1 Site Hedge Baseline'!$B$1:$L$257,10,FALSE))))</f>
        <v/>
      </c>
      <c r="J170" s="520" t="str">
        <f>IF(B170="","",IF(ISNA(VLOOKUP($B170,'B-1 Site Hedge Baseline'!$B$1:$L$257,11,FALSE)),"",(VLOOKUP($B170,'B-1 Site Hedge Baseline'!$B$1:$L$257,11,FALSE))))</f>
        <v/>
      </c>
      <c r="K170" s="520" t="str">
        <f>IF(B170="","",IF(ISNA(VLOOKUP($B170,'B-1 Site Hedge Baseline'!$B$1:$U$257,13,FALSE)),"",(VLOOKUP($B170,'B-1 Site Hedge Baseline'!$B$1:$U$257,13,FALSE))))</f>
        <v/>
      </c>
      <c r="L170" s="524" t="str">
        <f>IF(B170="","",IF(ISNA(VLOOKUP($B170,'B-1 Site Hedge Baseline'!$B$1:$U$257,12,FALSE)),"",(VLOOKUP($B170,'B-1 Site Hedge Baseline'!$B$1:$U$257,12,FALSE))))</f>
        <v/>
      </c>
      <c r="M170" s="416" t="str">
        <f t="shared" si="23"/>
        <v/>
      </c>
      <c r="N170" s="498" t="str">
        <f>IFERROR(IF(B170="","",INDEX('G-6 Hedgerow Data'!$AN$3:$AZ$15,MATCH(C170,'G-6 Hedgerow Data'!$AM$3:$AM$15,0),MATCH(M170,'G-6 Hedgerow Data'!$AN$2:$AZ$2,0))),"")</f>
        <v/>
      </c>
      <c r="O170" s="499" t="str">
        <f t="shared" si="18"/>
        <v/>
      </c>
      <c r="P170" s="559" t="str">
        <f>IF(B170="","",VLOOKUP(B170,'B-1 Site Hedge Baseline'!$B$10:T415,16,FALSE))</f>
        <v/>
      </c>
      <c r="Q170" s="498" t="str">
        <f>IF(M170="","",VLOOKUP(M170,'G-6 Hedgerow Data'!$B$2:$AG$15,2,FALSE))</f>
        <v/>
      </c>
      <c r="R170" s="499" t="str">
        <f>IF(M170="","",VLOOKUP(M170,'G-6 Hedgerow Data'!$B$2:$AG$15,3,FALSE))</f>
        <v/>
      </c>
      <c r="S170" s="157"/>
      <c r="T170" s="540" t="str">
        <f>IFERROR(VLOOKUP(S170,'G-1 All Habitats'!$Z$2:$AA$9,2,FALSE),"")</f>
        <v/>
      </c>
      <c r="U170" s="154"/>
      <c r="V170" s="520" t="str">
        <f>IF(U170="","",IF(VLOOKUP(U170,'G-3 Multipliers'!$L$3:$N$6,2,FALSE)=0,"Spatial Data Missing ⚠",VLOOKUP(U170,'G-3 Multipliers'!$L$3:$N$6,2,FALSE)))</f>
        <v/>
      </c>
      <c r="W170" s="524" t="str">
        <f>IF(U170="","",IF(VLOOKUP(U170,'G-3 Multipliers'!$L$3:$N$6,3,FALSE)=0,"Spatial Data Missing ⚠",VLOOKUP(U170,'G-3 Multipliers'!$L$3:$N$6,3,FALSE)))</f>
        <v/>
      </c>
      <c r="X170" s="498" t="str">
        <f>IFERROR(IF(OR(LEFT(O170,5)="Error ▲",LEFT(N170,5)="Error ▲",T170="Error ▲"),"Check Data ⚠",IF(F170&lt;R170,INDEX('G-6 Hedgerow Data'!$S$3:$AE$14,MATCH(C170,'G-6 Hedgerow Data'!$B$3:$B$14,0),MATCH(M170,'G-6 Hedgerow Data'!$S$2:$AE$2,0)),INDEX('G-6 Hedgerow Data'!$K$3:$Q$14,MATCH(M170,'G-6 Hedgerow Data'!$B$3:$B$14,0),MATCH(O170,'G-6 Hedgerow Data'!$K$2:$Q$2,0)))),"")</f>
        <v/>
      </c>
      <c r="Y170" s="195"/>
      <c r="Z170" s="195"/>
      <c r="AA170" s="507" t="str">
        <f t="shared" si="19"/>
        <v/>
      </c>
      <c r="AB170" s="521" t="str">
        <f t="shared" si="20"/>
        <v/>
      </c>
      <c r="AC170" s="522" t="str">
        <f t="shared" si="16"/>
        <v/>
      </c>
      <c r="AD170" s="537" t="str">
        <f>IF(M170="","",VLOOKUP(M170,'G-6 Hedgerow Data'!$B$3:$AG$15,31,FALSE))</f>
        <v/>
      </c>
      <c r="AE170" s="507" t="str">
        <f t="shared" si="21"/>
        <v/>
      </c>
      <c r="AF170" s="507" t="str">
        <f t="shared" si="22"/>
        <v/>
      </c>
      <c r="AG170" s="524" t="str">
        <f>IFERROR(IF(O170="","",VLOOKUP(AD170,'G-3 Multipliers'!$P$3:$Q$6,2,FALSE)),"")</f>
        <v/>
      </c>
      <c r="AH170" s="513" t="str">
        <f t="shared" si="17"/>
        <v/>
      </c>
      <c r="AI170" s="231"/>
      <c r="AJ170" s="150"/>
      <c r="AT170" s="31" t="str">
        <f>IFERROR(INDEX('G-6 Hedgerow Data'!$BJ$3:$BJ$15,MATCH(M170,'G-6 Hedgerow Data'!$B$3:$B$15,0)),"")</f>
        <v/>
      </c>
    </row>
    <row r="171" spans="2:46" ht="14" x14ac:dyDescent="0.3">
      <c r="B171" s="531" t="str">
        <f>'B-1 Site Hedge Baseline'!AK169</f>
        <v/>
      </c>
      <c r="C171" s="520" t="str">
        <f>IF(B171="","",IF(ISNA(VLOOKUP($B171,'B-1 Site Hedge Baseline'!$B$1:$L$257,3,FALSE)),"",(VLOOKUP($B171,'B-1 Site Hedge Baseline'!$B$1:$L$257,3,FALSE))))</f>
        <v/>
      </c>
      <c r="D171" s="520" t="str">
        <f>IF(B171="","",IF(ISNA(VLOOKUP($B171,'B-1 Site Hedge Baseline'!$B$1:$L$257,4,FALSE)),"",(VLOOKUP($B171,'B-1 Site Hedge Baseline'!$B$1:$L$257,4,FALSE))))</f>
        <v/>
      </c>
      <c r="E171" s="520" t="str">
        <f>IF(B171="","",IF(ISNA(VLOOKUP($B171,'B-1 Site Hedge Baseline'!$B$1:$L$257,5,FALSE)),"",(VLOOKUP($B171,'B-1 Site Hedge Baseline'!$B$1:$L$257,5,FALSE))))</f>
        <v/>
      </c>
      <c r="F171" s="520" t="str">
        <f>IF(B171="","",IF(ISNA(VLOOKUP($B171,'B-1 Site Hedge Baseline'!$B$1:$L$257,6,FALSE)),"",(VLOOKUP($B171,'B-1 Site Hedge Baseline'!$B$1:$L$257,6,FALSE))))</f>
        <v/>
      </c>
      <c r="G171" s="520" t="str">
        <f>IF(B171="","",IF(ISNA(VLOOKUP($B171,'B-1 Site Hedge Baseline'!$B$1:$L$257,7,FALSE)),"",(VLOOKUP($B171,'B-1 Site Hedge Baseline'!$B$1:$L$257,7,FALSE))))</f>
        <v/>
      </c>
      <c r="H171" s="520" t="str">
        <f>IF(B171="","",IF(ISNA(VLOOKUP($B171,'B-1 Site Hedge Baseline'!$B$1:$L$257,8,FALSE)),"",(VLOOKUP($B171,'B-1 Site Hedge Baseline'!$B$1:$L$257,8,FALSE))))</f>
        <v/>
      </c>
      <c r="I171" s="520" t="str">
        <f>IF(B171="","",IF(ISNA(VLOOKUP($B171,'B-1 Site Hedge Baseline'!$B$1:$L$257,10,FALSE)),"",(VLOOKUP($B171,'B-1 Site Hedge Baseline'!$B$1:$L$257,10,FALSE))))</f>
        <v/>
      </c>
      <c r="J171" s="520" t="str">
        <f>IF(B171="","",IF(ISNA(VLOOKUP($B171,'B-1 Site Hedge Baseline'!$B$1:$L$257,11,FALSE)),"",(VLOOKUP($B171,'B-1 Site Hedge Baseline'!$B$1:$L$257,11,FALSE))))</f>
        <v/>
      </c>
      <c r="K171" s="520" t="str">
        <f>IF(B171="","",IF(ISNA(VLOOKUP($B171,'B-1 Site Hedge Baseline'!$B$1:$U$257,13,FALSE)),"",(VLOOKUP($B171,'B-1 Site Hedge Baseline'!$B$1:$U$257,13,FALSE))))</f>
        <v/>
      </c>
      <c r="L171" s="524" t="str">
        <f>IF(B171="","",IF(ISNA(VLOOKUP($B171,'B-1 Site Hedge Baseline'!$B$1:$U$257,12,FALSE)),"",(VLOOKUP($B171,'B-1 Site Hedge Baseline'!$B$1:$U$257,12,FALSE))))</f>
        <v/>
      </c>
      <c r="M171" s="416" t="str">
        <f t="shared" si="23"/>
        <v/>
      </c>
      <c r="N171" s="498" t="str">
        <f>IFERROR(IF(B171="","",INDEX('G-6 Hedgerow Data'!$AN$3:$AZ$15,MATCH(C171,'G-6 Hedgerow Data'!$AM$3:$AM$15,0),MATCH(M171,'G-6 Hedgerow Data'!$AN$2:$AZ$2,0))),"")</f>
        <v/>
      </c>
      <c r="O171" s="499" t="str">
        <f t="shared" si="18"/>
        <v/>
      </c>
      <c r="P171" s="559" t="str">
        <f>IF(B171="","",VLOOKUP(B171,'B-1 Site Hedge Baseline'!$B$10:T416,16,FALSE))</f>
        <v/>
      </c>
      <c r="Q171" s="498" t="str">
        <f>IF(M171="","",VLOOKUP(M171,'G-6 Hedgerow Data'!$B$2:$AG$15,2,FALSE))</f>
        <v/>
      </c>
      <c r="R171" s="499" t="str">
        <f>IF(M171="","",VLOOKUP(M171,'G-6 Hedgerow Data'!$B$2:$AG$15,3,FALSE))</f>
        <v/>
      </c>
      <c r="S171" s="157"/>
      <c r="T171" s="540" t="str">
        <f>IFERROR(VLOOKUP(S171,'G-1 All Habitats'!$Z$2:$AA$9,2,FALSE),"")</f>
        <v/>
      </c>
      <c r="U171" s="154"/>
      <c r="V171" s="520" t="str">
        <f>IF(U171="","",IF(VLOOKUP(U171,'G-3 Multipliers'!$L$3:$N$6,2,FALSE)=0,"Spatial Data Missing ⚠",VLOOKUP(U171,'G-3 Multipliers'!$L$3:$N$6,2,FALSE)))</f>
        <v/>
      </c>
      <c r="W171" s="524" t="str">
        <f>IF(U171="","",IF(VLOOKUP(U171,'G-3 Multipliers'!$L$3:$N$6,3,FALSE)=0,"Spatial Data Missing ⚠",VLOOKUP(U171,'G-3 Multipliers'!$L$3:$N$6,3,FALSE)))</f>
        <v/>
      </c>
      <c r="X171" s="498" t="str">
        <f>IFERROR(IF(OR(LEFT(O171,5)="Error ▲",LEFT(N171,5)="Error ▲",T171="Error ▲"),"Check Data ⚠",IF(F171&lt;R171,INDEX('G-6 Hedgerow Data'!$S$3:$AE$14,MATCH(C171,'G-6 Hedgerow Data'!$B$3:$B$14,0),MATCH(M171,'G-6 Hedgerow Data'!$S$2:$AE$2,0)),INDEX('G-6 Hedgerow Data'!$K$3:$Q$14,MATCH(M171,'G-6 Hedgerow Data'!$B$3:$B$14,0),MATCH(O171,'G-6 Hedgerow Data'!$K$2:$Q$2,0)))),"")</f>
        <v/>
      </c>
      <c r="Y171" s="195"/>
      <c r="Z171" s="195"/>
      <c r="AA171" s="507" t="str">
        <f t="shared" si="19"/>
        <v/>
      </c>
      <c r="AB171" s="521" t="str">
        <f t="shared" si="20"/>
        <v/>
      </c>
      <c r="AC171" s="522" t="str">
        <f t="shared" si="16"/>
        <v/>
      </c>
      <c r="AD171" s="537" t="str">
        <f>IF(M171="","",VLOOKUP(M171,'G-6 Hedgerow Data'!$B$3:$AG$15,31,FALSE))</f>
        <v/>
      </c>
      <c r="AE171" s="507" t="str">
        <f t="shared" si="21"/>
        <v/>
      </c>
      <c r="AF171" s="507" t="str">
        <f t="shared" si="22"/>
        <v/>
      </c>
      <c r="AG171" s="524" t="str">
        <f>IFERROR(IF(O171="","",VLOOKUP(AD171,'G-3 Multipliers'!$P$3:$Q$6,2,FALSE)),"")</f>
        <v/>
      </c>
      <c r="AH171" s="513" t="str">
        <f t="shared" si="17"/>
        <v/>
      </c>
      <c r="AI171" s="231"/>
      <c r="AJ171" s="150"/>
      <c r="AT171" s="31" t="str">
        <f>IFERROR(INDEX('G-6 Hedgerow Data'!$BJ$3:$BJ$15,MATCH(M171,'G-6 Hedgerow Data'!$B$3:$B$15,0)),"")</f>
        <v/>
      </c>
    </row>
    <row r="172" spans="2:46" ht="14" x14ac:dyDescent="0.3">
      <c r="B172" s="531" t="str">
        <f>'B-1 Site Hedge Baseline'!AK170</f>
        <v/>
      </c>
      <c r="C172" s="520" t="str">
        <f>IF(B172="","",IF(ISNA(VLOOKUP($B172,'B-1 Site Hedge Baseline'!$B$1:$L$257,3,FALSE)),"",(VLOOKUP($B172,'B-1 Site Hedge Baseline'!$B$1:$L$257,3,FALSE))))</f>
        <v/>
      </c>
      <c r="D172" s="520" t="str">
        <f>IF(B172="","",IF(ISNA(VLOOKUP($B172,'B-1 Site Hedge Baseline'!$B$1:$L$257,4,FALSE)),"",(VLOOKUP($B172,'B-1 Site Hedge Baseline'!$B$1:$L$257,4,FALSE))))</f>
        <v/>
      </c>
      <c r="E172" s="520" t="str">
        <f>IF(B172="","",IF(ISNA(VLOOKUP($B172,'B-1 Site Hedge Baseline'!$B$1:$L$257,5,FALSE)),"",(VLOOKUP($B172,'B-1 Site Hedge Baseline'!$B$1:$L$257,5,FALSE))))</f>
        <v/>
      </c>
      <c r="F172" s="520" t="str">
        <f>IF(B172="","",IF(ISNA(VLOOKUP($B172,'B-1 Site Hedge Baseline'!$B$1:$L$257,6,FALSE)),"",(VLOOKUP($B172,'B-1 Site Hedge Baseline'!$B$1:$L$257,6,FALSE))))</f>
        <v/>
      </c>
      <c r="G172" s="520" t="str">
        <f>IF(B172="","",IF(ISNA(VLOOKUP($B172,'B-1 Site Hedge Baseline'!$B$1:$L$257,7,FALSE)),"",(VLOOKUP($B172,'B-1 Site Hedge Baseline'!$B$1:$L$257,7,FALSE))))</f>
        <v/>
      </c>
      <c r="H172" s="520" t="str">
        <f>IF(B172="","",IF(ISNA(VLOOKUP($B172,'B-1 Site Hedge Baseline'!$B$1:$L$257,8,FALSE)),"",(VLOOKUP($B172,'B-1 Site Hedge Baseline'!$B$1:$L$257,8,FALSE))))</f>
        <v/>
      </c>
      <c r="I172" s="520" t="str">
        <f>IF(B172="","",IF(ISNA(VLOOKUP($B172,'B-1 Site Hedge Baseline'!$B$1:$L$257,10,FALSE)),"",(VLOOKUP($B172,'B-1 Site Hedge Baseline'!$B$1:$L$257,10,FALSE))))</f>
        <v/>
      </c>
      <c r="J172" s="520" t="str">
        <f>IF(B172="","",IF(ISNA(VLOOKUP($B172,'B-1 Site Hedge Baseline'!$B$1:$L$257,11,FALSE)),"",(VLOOKUP($B172,'B-1 Site Hedge Baseline'!$B$1:$L$257,11,FALSE))))</f>
        <v/>
      </c>
      <c r="K172" s="520" t="str">
        <f>IF(B172="","",IF(ISNA(VLOOKUP($B172,'B-1 Site Hedge Baseline'!$B$1:$U$257,13,FALSE)),"",(VLOOKUP($B172,'B-1 Site Hedge Baseline'!$B$1:$U$257,13,FALSE))))</f>
        <v/>
      </c>
      <c r="L172" s="524" t="str">
        <f>IF(B172="","",IF(ISNA(VLOOKUP($B172,'B-1 Site Hedge Baseline'!$B$1:$U$257,12,FALSE)),"",(VLOOKUP($B172,'B-1 Site Hedge Baseline'!$B$1:$U$257,12,FALSE))))</f>
        <v/>
      </c>
      <c r="M172" s="416" t="str">
        <f t="shared" si="23"/>
        <v/>
      </c>
      <c r="N172" s="498" t="str">
        <f>IFERROR(IF(B172="","",INDEX('G-6 Hedgerow Data'!$AN$3:$AZ$15,MATCH(C172,'G-6 Hedgerow Data'!$AM$3:$AM$15,0),MATCH(M172,'G-6 Hedgerow Data'!$AN$2:$AZ$2,0))),"")</f>
        <v/>
      </c>
      <c r="O172" s="499" t="str">
        <f t="shared" si="18"/>
        <v/>
      </c>
      <c r="P172" s="559" t="str">
        <f>IF(B172="","",VLOOKUP(B172,'B-1 Site Hedge Baseline'!$B$10:T417,16,FALSE))</f>
        <v/>
      </c>
      <c r="Q172" s="498" t="str">
        <f>IF(M172="","",VLOOKUP(M172,'G-6 Hedgerow Data'!$B$2:$AG$15,2,FALSE))</f>
        <v/>
      </c>
      <c r="R172" s="499" t="str">
        <f>IF(M172="","",VLOOKUP(M172,'G-6 Hedgerow Data'!$B$2:$AG$15,3,FALSE))</f>
        <v/>
      </c>
      <c r="S172" s="157"/>
      <c r="T172" s="540" t="str">
        <f>IFERROR(VLOOKUP(S172,'G-1 All Habitats'!$Z$2:$AA$9,2,FALSE),"")</f>
        <v/>
      </c>
      <c r="U172" s="154"/>
      <c r="V172" s="520" t="str">
        <f>IF(U172="","",IF(VLOOKUP(U172,'G-3 Multipliers'!$L$3:$N$6,2,FALSE)=0,"Spatial Data Missing ⚠",VLOOKUP(U172,'G-3 Multipliers'!$L$3:$N$6,2,FALSE)))</f>
        <v/>
      </c>
      <c r="W172" s="524" t="str">
        <f>IF(U172="","",IF(VLOOKUP(U172,'G-3 Multipliers'!$L$3:$N$6,3,FALSE)=0,"Spatial Data Missing ⚠",VLOOKUP(U172,'G-3 Multipliers'!$L$3:$N$6,3,FALSE)))</f>
        <v/>
      </c>
      <c r="X172" s="498" t="str">
        <f>IFERROR(IF(OR(LEFT(O172,5)="Error ▲",LEFT(N172,5)="Error ▲",T172="Error ▲"),"Check Data ⚠",IF(F172&lt;R172,INDEX('G-6 Hedgerow Data'!$S$3:$AE$14,MATCH(C172,'G-6 Hedgerow Data'!$B$3:$B$14,0),MATCH(M172,'G-6 Hedgerow Data'!$S$2:$AE$2,0)),INDEX('G-6 Hedgerow Data'!$K$3:$Q$14,MATCH(M172,'G-6 Hedgerow Data'!$B$3:$B$14,0),MATCH(O172,'G-6 Hedgerow Data'!$K$2:$Q$2,0)))),"")</f>
        <v/>
      </c>
      <c r="Y172" s="195"/>
      <c r="Z172" s="195"/>
      <c r="AA172" s="507" t="str">
        <f t="shared" si="19"/>
        <v/>
      </c>
      <c r="AB172" s="521" t="str">
        <f t="shared" si="20"/>
        <v/>
      </c>
      <c r="AC172" s="522" t="str">
        <f t="shared" si="16"/>
        <v/>
      </c>
      <c r="AD172" s="537" t="str">
        <f>IF(M172="","",VLOOKUP(M172,'G-6 Hedgerow Data'!$B$3:$AG$15,31,FALSE))</f>
        <v/>
      </c>
      <c r="AE172" s="507" t="str">
        <f t="shared" si="21"/>
        <v/>
      </c>
      <c r="AF172" s="507" t="str">
        <f t="shared" si="22"/>
        <v/>
      </c>
      <c r="AG172" s="524" t="str">
        <f>IFERROR(IF(O172="","",VLOOKUP(AD172,'G-3 Multipliers'!$P$3:$Q$6,2,FALSE)),"")</f>
        <v/>
      </c>
      <c r="AH172" s="513" t="str">
        <f t="shared" si="17"/>
        <v/>
      </c>
      <c r="AI172" s="231"/>
      <c r="AJ172" s="150"/>
      <c r="AT172" s="31" t="str">
        <f>IFERROR(INDEX('G-6 Hedgerow Data'!$BJ$3:$BJ$15,MATCH(M172,'G-6 Hedgerow Data'!$B$3:$B$15,0)),"")</f>
        <v/>
      </c>
    </row>
    <row r="173" spans="2:46" ht="14" x14ac:dyDescent="0.3">
      <c r="B173" s="531" t="str">
        <f>'B-1 Site Hedge Baseline'!AK171</f>
        <v/>
      </c>
      <c r="C173" s="520" t="str">
        <f>IF(B173="","",IF(ISNA(VLOOKUP($B173,'B-1 Site Hedge Baseline'!$B$1:$L$257,3,FALSE)),"",(VLOOKUP($B173,'B-1 Site Hedge Baseline'!$B$1:$L$257,3,FALSE))))</f>
        <v/>
      </c>
      <c r="D173" s="520" t="str">
        <f>IF(B173="","",IF(ISNA(VLOOKUP($B173,'B-1 Site Hedge Baseline'!$B$1:$L$257,4,FALSE)),"",(VLOOKUP($B173,'B-1 Site Hedge Baseline'!$B$1:$L$257,4,FALSE))))</f>
        <v/>
      </c>
      <c r="E173" s="520" t="str">
        <f>IF(B173="","",IF(ISNA(VLOOKUP($B173,'B-1 Site Hedge Baseline'!$B$1:$L$257,5,FALSE)),"",(VLOOKUP($B173,'B-1 Site Hedge Baseline'!$B$1:$L$257,5,FALSE))))</f>
        <v/>
      </c>
      <c r="F173" s="520" t="str">
        <f>IF(B173="","",IF(ISNA(VLOOKUP($B173,'B-1 Site Hedge Baseline'!$B$1:$L$257,6,FALSE)),"",(VLOOKUP($B173,'B-1 Site Hedge Baseline'!$B$1:$L$257,6,FALSE))))</f>
        <v/>
      </c>
      <c r="G173" s="520" t="str">
        <f>IF(B173="","",IF(ISNA(VLOOKUP($B173,'B-1 Site Hedge Baseline'!$B$1:$L$257,7,FALSE)),"",(VLOOKUP($B173,'B-1 Site Hedge Baseline'!$B$1:$L$257,7,FALSE))))</f>
        <v/>
      </c>
      <c r="H173" s="520" t="str">
        <f>IF(B173="","",IF(ISNA(VLOOKUP($B173,'B-1 Site Hedge Baseline'!$B$1:$L$257,8,FALSE)),"",(VLOOKUP($B173,'B-1 Site Hedge Baseline'!$B$1:$L$257,8,FALSE))))</f>
        <v/>
      </c>
      <c r="I173" s="520" t="str">
        <f>IF(B173="","",IF(ISNA(VLOOKUP($B173,'B-1 Site Hedge Baseline'!$B$1:$L$257,10,FALSE)),"",(VLOOKUP($B173,'B-1 Site Hedge Baseline'!$B$1:$L$257,10,FALSE))))</f>
        <v/>
      </c>
      <c r="J173" s="520" t="str">
        <f>IF(B173="","",IF(ISNA(VLOOKUP($B173,'B-1 Site Hedge Baseline'!$B$1:$L$257,11,FALSE)),"",(VLOOKUP($B173,'B-1 Site Hedge Baseline'!$B$1:$L$257,11,FALSE))))</f>
        <v/>
      </c>
      <c r="K173" s="520" t="str">
        <f>IF(B173="","",IF(ISNA(VLOOKUP($B173,'B-1 Site Hedge Baseline'!$B$1:$U$257,13,FALSE)),"",(VLOOKUP($B173,'B-1 Site Hedge Baseline'!$B$1:$U$257,13,FALSE))))</f>
        <v/>
      </c>
      <c r="L173" s="524" t="str">
        <f>IF(B173="","",IF(ISNA(VLOOKUP($B173,'B-1 Site Hedge Baseline'!$B$1:$U$257,12,FALSE)),"",(VLOOKUP($B173,'B-1 Site Hedge Baseline'!$B$1:$U$257,12,FALSE))))</f>
        <v/>
      </c>
      <c r="M173" s="416" t="str">
        <f t="shared" si="23"/>
        <v/>
      </c>
      <c r="N173" s="498" t="str">
        <f>IFERROR(IF(B173="","",INDEX('G-6 Hedgerow Data'!$AN$3:$AZ$15,MATCH(C173,'G-6 Hedgerow Data'!$AM$3:$AM$15,0),MATCH(M173,'G-6 Hedgerow Data'!$AN$2:$AZ$2,0))),"")</f>
        <v/>
      </c>
      <c r="O173" s="499" t="str">
        <f t="shared" si="18"/>
        <v/>
      </c>
      <c r="P173" s="559" t="str">
        <f>IF(B173="","",VLOOKUP(B173,'B-1 Site Hedge Baseline'!$B$10:T418,16,FALSE))</f>
        <v/>
      </c>
      <c r="Q173" s="498" t="str">
        <f>IF(M173="","",VLOOKUP(M173,'G-6 Hedgerow Data'!$B$2:$AG$15,2,FALSE))</f>
        <v/>
      </c>
      <c r="R173" s="499" t="str">
        <f>IF(M173="","",VLOOKUP(M173,'G-6 Hedgerow Data'!$B$2:$AG$15,3,FALSE))</f>
        <v/>
      </c>
      <c r="S173" s="157"/>
      <c r="T173" s="540" t="str">
        <f>IFERROR(VLOOKUP(S173,'G-1 All Habitats'!$Z$2:$AA$9,2,FALSE),"")</f>
        <v/>
      </c>
      <c r="U173" s="154"/>
      <c r="V173" s="520" t="str">
        <f>IF(U173="","",IF(VLOOKUP(U173,'G-3 Multipliers'!$L$3:$N$6,2,FALSE)=0,"Spatial Data Missing ⚠",VLOOKUP(U173,'G-3 Multipliers'!$L$3:$N$6,2,FALSE)))</f>
        <v/>
      </c>
      <c r="W173" s="524" t="str">
        <f>IF(U173="","",IF(VLOOKUP(U173,'G-3 Multipliers'!$L$3:$N$6,3,FALSE)=0,"Spatial Data Missing ⚠",VLOOKUP(U173,'G-3 Multipliers'!$L$3:$N$6,3,FALSE)))</f>
        <v/>
      </c>
      <c r="X173" s="498" t="str">
        <f>IFERROR(IF(OR(LEFT(O173,5)="Error ▲",LEFT(N173,5)="Error ▲",T173="Error ▲"),"Check Data ⚠",IF(F173&lt;R173,INDEX('G-6 Hedgerow Data'!$S$3:$AE$14,MATCH(C173,'G-6 Hedgerow Data'!$B$3:$B$14,0),MATCH(M173,'G-6 Hedgerow Data'!$S$2:$AE$2,0)),INDEX('G-6 Hedgerow Data'!$K$3:$Q$14,MATCH(M173,'G-6 Hedgerow Data'!$B$3:$B$14,0),MATCH(O173,'G-6 Hedgerow Data'!$K$2:$Q$2,0)))),"")</f>
        <v/>
      </c>
      <c r="Y173" s="195"/>
      <c r="Z173" s="195"/>
      <c r="AA173" s="507" t="str">
        <f t="shared" si="19"/>
        <v/>
      </c>
      <c r="AB173" s="521" t="str">
        <f t="shared" si="20"/>
        <v/>
      </c>
      <c r="AC173" s="522" t="str">
        <f t="shared" si="16"/>
        <v/>
      </c>
      <c r="AD173" s="537" t="str">
        <f>IF(M173="","",VLOOKUP(M173,'G-6 Hedgerow Data'!$B$3:$AG$15,31,FALSE))</f>
        <v/>
      </c>
      <c r="AE173" s="507" t="str">
        <f t="shared" si="21"/>
        <v/>
      </c>
      <c r="AF173" s="507" t="str">
        <f t="shared" si="22"/>
        <v/>
      </c>
      <c r="AG173" s="524" t="str">
        <f>IFERROR(IF(O173="","",VLOOKUP(AD173,'G-3 Multipliers'!$P$3:$Q$6,2,FALSE)),"")</f>
        <v/>
      </c>
      <c r="AH173" s="513" t="str">
        <f t="shared" si="17"/>
        <v/>
      </c>
      <c r="AI173" s="231"/>
      <c r="AJ173" s="150"/>
      <c r="AT173" s="31" t="str">
        <f>IFERROR(INDEX('G-6 Hedgerow Data'!$BJ$3:$BJ$15,MATCH(M173,'G-6 Hedgerow Data'!$B$3:$B$15,0)),"")</f>
        <v/>
      </c>
    </row>
    <row r="174" spans="2:46" ht="14" x14ac:dyDescent="0.3">
      <c r="B174" s="531" t="str">
        <f>'B-1 Site Hedge Baseline'!AK172</f>
        <v/>
      </c>
      <c r="C174" s="520" t="str">
        <f>IF(B174="","",IF(ISNA(VLOOKUP($B174,'B-1 Site Hedge Baseline'!$B$1:$L$257,3,FALSE)),"",(VLOOKUP($B174,'B-1 Site Hedge Baseline'!$B$1:$L$257,3,FALSE))))</f>
        <v/>
      </c>
      <c r="D174" s="520" t="str">
        <f>IF(B174="","",IF(ISNA(VLOOKUP($B174,'B-1 Site Hedge Baseline'!$B$1:$L$257,4,FALSE)),"",(VLOOKUP($B174,'B-1 Site Hedge Baseline'!$B$1:$L$257,4,FALSE))))</f>
        <v/>
      </c>
      <c r="E174" s="520" t="str">
        <f>IF(B174="","",IF(ISNA(VLOOKUP($B174,'B-1 Site Hedge Baseline'!$B$1:$L$257,5,FALSE)),"",(VLOOKUP($B174,'B-1 Site Hedge Baseline'!$B$1:$L$257,5,FALSE))))</f>
        <v/>
      </c>
      <c r="F174" s="520" t="str">
        <f>IF(B174="","",IF(ISNA(VLOOKUP($B174,'B-1 Site Hedge Baseline'!$B$1:$L$257,6,FALSE)),"",(VLOOKUP($B174,'B-1 Site Hedge Baseline'!$B$1:$L$257,6,FALSE))))</f>
        <v/>
      </c>
      <c r="G174" s="520" t="str">
        <f>IF(B174="","",IF(ISNA(VLOOKUP($B174,'B-1 Site Hedge Baseline'!$B$1:$L$257,7,FALSE)),"",(VLOOKUP($B174,'B-1 Site Hedge Baseline'!$B$1:$L$257,7,FALSE))))</f>
        <v/>
      </c>
      <c r="H174" s="520" t="str">
        <f>IF(B174="","",IF(ISNA(VLOOKUP($B174,'B-1 Site Hedge Baseline'!$B$1:$L$257,8,FALSE)),"",(VLOOKUP($B174,'B-1 Site Hedge Baseline'!$B$1:$L$257,8,FALSE))))</f>
        <v/>
      </c>
      <c r="I174" s="520" t="str">
        <f>IF(B174="","",IF(ISNA(VLOOKUP($B174,'B-1 Site Hedge Baseline'!$B$1:$L$257,10,FALSE)),"",(VLOOKUP($B174,'B-1 Site Hedge Baseline'!$B$1:$L$257,10,FALSE))))</f>
        <v/>
      </c>
      <c r="J174" s="520" t="str">
        <f>IF(B174="","",IF(ISNA(VLOOKUP($B174,'B-1 Site Hedge Baseline'!$B$1:$L$257,11,FALSE)),"",(VLOOKUP($B174,'B-1 Site Hedge Baseline'!$B$1:$L$257,11,FALSE))))</f>
        <v/>
      </c>
      <c r="K174" s="520" t="str">
        <f>IF(B174="","",IF(ISNA(VLOOKUP($B174,'B-1 Site Hedge Baseline'!$B$1:$U$257,13,FALSE)),"",(VLOOKUP($B174,'B-1 Site Hedge Baseline'!$B$1:$U$257,13,FALSE))))</f>
        <v/>
      </c>
      <c r="L174" s="524" t="str">
        <f>IF(B174="","",IF(ISNA(VLOOKUP($B174,'B-1 Site Hedge Baseline'!$B$1:$U$257,12,FALSE)),"",(VLOOKUP($B174,'B-1 Site Hedge Baseline'!$B$1:$U$257,12,FALSE))))</f>
        <v/>
      </c>
      <c r="M174" s="416" t="str">
        <f t="shared" si="23"/>
        <v/>
      </c>
      <c r="N174" s="498" t="str">
        <f>IFERROR(IF(B174="","",INDEX('G-6 Hedgerow Data'!$AN$3:$AZ$15,MATCH(C174,'G-6 Hedgerow Data'!$AM$3:$AM$15,0),MATCH(M174,'G-6 Hedgerow Data'!$AN$2:$AZ$2,0))),"")</f>
        <v/>
      </c>
      <c r="O174" s="499" t="str">
        <f t="shared" si="18"/>
        <v/>
      </c>
      <c r="P174" s="559" t="str">
        <f>IF(B174="","",VLOOKUP(B174,'B-1 Site Hedge Baseline'!$B$10:T419,16,FALSE))</f>
        <v/>
      </c>
      <c r="Q174" s="498" t="str">
        <f>IF(M174="","",VLOOKUP(M174,'G-6 Hedgerow Data'!$B$2:$AG$15,2,FALSE))</f>
        <v/>
      </c>
      <c r="R174" s="499" t="str">
        <f>IF(M174="","",VLOOKUP(M174,'G-6 Hedgerow Data'!$B$2:$AG$15,3,FALSE))</f>
        <v/>
      </c>
      <c r="S174" s="157"/>
      <c r="T174" s="540" t="str">
        <f>IFERROR(VLOOKUP(S174,'G-1 All Habitats'!$Z$2:$AA$9,2,FALSE),"")</f>
        <v/>
      </c>
      <c r="U174" s="154"/>
      <c r="V174" s="520" t="str">
        <f>IF(U174="","",IF(VLOOKUP(U174,'G-3 Multipliers'!$L$3:$N$6,2,FALSE)=0,"Spatial Data Missing ⚠",VLOOKUP(U174,'G-3 Multipliers'!$L$3:$N$6,2,FALSE)))</f>
        <v/>
      </c>
      <c r="W174" s="524" t="str">
        <f>IF(U174="","",IF(VLOOKUP(U174,'G-3 Multipliers'!$L$3:$N$6,3,FALSE)=0,"Spatial Data Missing ⚠",VLOOKUP(U174,'G-3 Multipliers'!$L$3:$N$6,3,FALSE)))</f>
        <v/>
      </c>
      <c r="X174" s="498" t="str">
        <f>IFERROR(IF(OR(LEFT(O174,5)="Error ▲",LEFT(N174,5)="Error ▲",T174="Error ▲"),"Check Data ⚠",IF(F174&lt;R174,INDEX('G-6 Hedgerow Data'!$S$3:$AE$14,MATCH(C174,'G-6 Hedgerow Data'!$B$3:$B$14,0),MATCH(M174,'G-6 Hedgerow Data'!$S$2:$AE$2,0)),INDEX('G-6 Hedgerow Data'!$K$3:$Q$14,MATCH(M174,'G-6 Hedgerow Data'!$B$3:$B$14,0),MATCH(O174,'G-6 Hedgerow Data'!$K$2:$Q$2,0)))),"")</f>
        <v/>
      </c>
      <c r="Y174" s="195"/>
      <c r="Z174" s="195"/>
      <c r="AA174" s="507" t="str">
        <f t="shared" si="19"/>
        <v/>
      </c>
      <c r="AB174" s="521" t="str">
        <f t="shared" si="20"/>
        <v/>
      </c>
      <c r="AC174" s="522" t="str">
        <f t="shared" si="16"/>
        <v/>
      </c>
      <c r="AD174" s="537" t="str">
        <f>IF(M174="","",VLOOKUP(M174,'G-6 Hedgerow Data'!$B$3:$AG$15,31,FALSE))</f>
        <v/>
      </c>
      <c r="AE174" s="507" t="str">
        <f t="shared" si="21"/>
        <v/>
      </c>
      <c r="AF174" s="507" t="str">
        <f t="shared" si="22"/>
        <v/>
      </c>
      <c r="AG174" s="524" t="str">
        <f>IFERROR(IF(O174="","",VLOOKUP(AD174,'G-3 Multipliers'!$P$3:$Q$6,2,FALSE)),"")</f>
        <v/>
      </c>
      <c r="AH174" s="513" t="str">
        <f t="shared" si="17"/>
        <v/>
      </c>
      <c r="AI174" s="231"/>
      <c r="AJ174" s="150"/>
      <c r="AT174" s="31" t="str">
        <f>IFERROR(INDEX('G-6 Hedgerow Data'!$BJ$3:$BJ$15,MATCH(M174,'G-6 Hedgerow Data'!$B$3:$B$15,0)),"")</f>
        <v/>
      </c>
    </row>
    <row r="175" spans="2:46" ht="14" x14ac:dyDescent="0.3">
      <c r="B175" s="531" t="str">
        <f>'B-1 Site Hedge Baseline'!AK173</f>
        <v/>
      </c>
      <c r="C175" s="520" t="str">
        <f>IF(B175="","",IF(ISNA(VLOOKUP($B175,'B-1 Site Hedge Baseline'!$B$1:$L$257,3,FALSE)),"",(VLOOKUP($B175,'B-1 Site Hedge Baseline'!$B$1:$L$257,3,FALSE))))</f>
        <v/>
      </c>
      <c r="D175" s="520" t="str">
        <f>IF(B175="","",IF(ISNA(VLOOKUP($B175,'B-1 Site Hedge Baseline'!$B$1:$L$257,4,FALSE)),"",(VLOOKUP($B175,'B-1 Site Hedge Baseline'!$B$1:$L$257,4,FALSE))))</f>
        <v/>
      </c>
      <c r="E175" s="520" t="str">
        <f>IF(B175="","",IF(ISNA(VLOOKUP($B175,'B-1 Site Hedge Baseline'!$B$1:$L$257,5,FALSE)),"",(VLOOKUP($B175,'B-1 Site Hedge Baseline'!$B$1:$L$257,5,FALSE))))</f>
        <v/>
      </c>
      <c r="F175" s="520" t="str">
        <f>IF(B175="","",IF(ISNA(VLOOKUP($B175,'B-1 Site Hedge Baseline'!$B$1:$L$257,6,FALSE)),"",(VLOOKUP($B175,'B-1 Site Hedge Baseline'!$B$1:$L$257,6,FALSE))))</f>
        <v/>
      </c>
      <c r="G175" s="520" t="str">
        <f>IF(B175="","",IF(ISNA(VLOOKUP($B175,'B-1 Site Hedge Baseline'!$B$1:$L$257,7,FALSE)),"",(VLOOKUP($B175,'B-1 Site Hedge Baseline'!$B$1:$L$257,7,FALSE))))</f>
        <v/>
      </c>
      <c r="H175" s="520" t="str">
        <f>IF(B175="","",IF(ISNA(VLOOKUP($B175,'B-1 Site Hedge Baseline'!$B$1:$L$257,8,FALSE)),"",(VLOOKUP($B175,'B-1 Site Hedge Baseline'!$B$1:$L$257,8,FALSE))))</f>
        <v/>
      </c>
      <c r="I175" s="520" t="str">
        <f>IF(B175="","",IF(ISNA(VLOOKUP($B175,'B-1 Site Hedge Baseline'!$B$1:$L$257,10,FALSE)),"",(VLOOKUP($B175,'B-1 Site Hedge Baseline'!$B$1:$L$257,10,FALSE))))</f>
        <v/>
      </c>
      <c r="J175" s="520" t="str">
        <f>IF(B175="","",IF(ISNA(VLOOKUP($B175,'B-1 Site Hedge Baseline'!$B$1:$L$257,11,FALSE)),"",(VLOOKUP($B175,'B-1 Site Hedge Baseline'!$B$1:$L$257,11,FALSE))))</f>
        <v/>
      </c>
      <c r="K175" s="520" t="str">
        <f>IF(B175="","",IF(ISNA(VLOOKUP($B175,'B-1 Site Hedge Baseline'!$B$1:$U$257,13,FALSE)),"",(VLOOKUP($B175,'B-1 Site Hedge Baseline'!$B$1:$U$257,13,FALSE))))</f>
        <v/>
      </c>
      <c r="L175" s="524" t="str">
        <f>IF(B175="","",IF(ISNA(VLOOKUP($B175,'B-1 Site Hedge Baseline'!$B$1:$U$257,12,FALSE)),"",(VLOOKUP($B175,'B-1 Site Hedge Baseline'!$B$1:$U$257,12,FALSE))))</f>
        <v/>
      </c>
      <c r="M175" s="416" t="str">
        <f t="shared" si="23"/>
        <v/>
      </c>
      <c r="N175" s="498" t="str">
        <f>IFERROR(IF(B175="","",INDEX('G-6 Hedgerow Data'!$AN$3:$AZ$15,MATCH(C175,'G-6 Hedgerow Data'!$AM$3:$AM$15,0),MATCH(M175,'G-6 Hedgerow Data'!$AN$2:$AZ$2,0))),"")</f>
        <v/>
      </c>
      <c r="O175" s="499" t="str">
        <f t="shared" si="18"/>
        <v/>
      </c>
      <c r="P175" s="559" t="str">
        <f>IF(B175="","",VLOOKUP(B175,'B-1 Site Hedge Baseline'!$B$10:T420,16,FALSE))</f>
        <v/>
      </c>
      <c r="Q175" s="498" t="str">
        <f>IF(M175="","",VLOOKUP(M175,'G-6 Hedgerow Data'!$B$2:$AG$15,2,FALSE))</f>
        <v/>
      </c>
      <c r="R175" s="499" t="str">
        <f>IF(M175="","",VLOOKUP(M175,'G-6 Hedgerow Data'!$B$2:$AG$15,3,FALSE))</f>
        <v/>
      </c>
      <c r="S175" s="157"/>
      <c r="T175" s="540" t="str">
        <f>IFERROR(VLOOKUP(S175,'G-1 All Habitats'!$Z$2:$AA$9,2,FALSE),"")</f>
        <v/>
      </c>
      <c r="U175" s="154"/>
      <c r="V175" s="520" t="str">
        <f>IF(U175="","",IF(VLOOKUP(U175,'G-3 Multipliers'!$L$3:$N$6,2,FALSE)=0,"Spatial Data Missing ⚠",VLOOKUP(U175,'G-3 Multipliers'!$L$3:$N$6,2,FALSE)))</f>
        <v/>
      </c>
      <c r="W175" s="524" t="str">
        <f>IF(U175="","",IF(VLOOKUP(U175,'G-3 Multipliers'!$L$3:$N$6,3,FALSE)=0,"Spatial Data Missing ⚠",VLOOKUP(U175,'G-3 Multipliers'!$L$3:$N$6,3,FALSE)))</f>
        <v/>
      </c>
      <c r="X175" s="498" t="str">
        <f>IFERROR(IF(OR(LEFT(O175,5)="Error ▲",LEFT(N175,5)="Error ▲",T175="Error ▲"),"Check Data ⚠",IF(F175&lt;R175,INDEX('G-6 Hedgerow Data'!$S$3:$AE$14,MATCH(C175,'G-6 Hedgerow Data'!$B$3:$B$14,0),MATCH(M175,'G-6 Hedgerow Data'!$S$2:$AE$2,0)),INDEX('G-6 Hedgerow Data'!$K$3:$Q$14,MATCH(M175,'G-6 Hedgerow Data'!$B$3:$B$14,0),MATCH(O175,'G-6 Hedgerow Data'!$K$2:$Q$2,0)))),"")</f>
        <v/>
      </c>
      <c r="Y175" s="195"/>
      <c r="Z175" s="195"/>
      <c r="AA175" s="507" t="str">
        <f t="shared" si="19"/>
        <v/>
      </c>
      <c r="AB175" s="521" t="str">
        <f t="shared" si="20"/>
        <v/>
      </c>
      <c r="AC175" s="522" t="str">
        <f t="shared" si="16"/>
        <v/>
      </c>
      <c r="AD175" s="537" t="str">
        <f>IF(M175="","",VLOOKUP(M175,'G-6 Hedgerow Data'!$B$3:$AG$15,31,FALSE))</f>
        <v/>
      </c>
      <c r="AE175" s="507" t="str">
        <f t="shared" si="21"/>
        <v/>
      </c>
      <c r="AF175" s="507" t="str">
        <f t="shared" si="22"/>
        <v/>
      </c>
      <c r="AG175" s="524" t="str">
        <f>IFERROR(IF(O175="","",VLOOKUP(AD175,'G-3 Multipliers'!$P$3:$Q$6,2,FALSE)),"")</f>
        <v/>
      </c>
      <c r="AH175" s="513" t="str">
        <f t="shared" si="17"/>
        <v/>
      </c>
      <c r="AI175" s="231"/>
      <c r="AJ175" s="150"/>
      <c r="AT175" s="31" t="str">
        <f>IFERROR(INDEX('G-6 Hedgerow Data'!$BJ$3:$BJ$15,MATCH(M175,'G-6 Hedgerow Data'!$B$3:$B$15,0)),"")</f>
        <v/>
      </c>
    </row>
    <row r="176" spans="2:46" ht="14" x14ac:dyDescent="0.3">
      <c r="B176" s="531" t="str">
        <f>'B-1 Site Hedge Baseline'!AK174</f>
        <v/>
      </c>
      <c r="C176" s="520" t="str">
        <f>IF(B176="","",IF(ISNA(VLOOKUP($B176,'B-1 Site Hedge Baseline'!$B$1:$L$257,3,FALSE)),"",(VLOOKUP($B176,'B-1 Site Hedge Baseline'!$B$1:$L$257,3,FALSE))))</f>
        <v/>
      </c>
      <c r="D176" s="520" t="str">
        <f>IF(B176="","",IF(ISNA(VLOOKUP($B176,'B-1 Site Hedge Baseline'!$B$1:$L$257,4,FALSE)),"",(VLOOKUP($B176,'B-1 Site Hedge Baseline'!$B$1:$L$257,4,FALSE))))</f>
        <v/>
      </c>
      <c r="E176" s="520" t="str">
        <f>IF(B176="","",IF(ISNA(VLOOKUP($B176,'B-1 Site Hedge Baseline'!$B$1:$L$257,5,FALSE)),"",(VLOOKUP($B176,'B-1 Site Hedge Baseline'!$B$1:$L$257,5,FALSE))))</f>
        <v/>
      </c>
      <c r="F176" s="520" t="str">
        <f>IF(B176="","",IF(ISNA(VLOOKUP($B176,'B-1 Site Hedge Baseline'!$B$1:$L$257,6,FALSE)),"",(VLOOKUP($B176,'B-1 Site Hedge Baseline'!$B$1:$L$257,6,FALSE))))</f>
        <v/>
      </c>
      <c r="G176" s="520" t="str">
        <f>IF(B176="","",IF(ISNA(VLOOKUP($B176,'B-1 Site Hedge Baseline'!$B$1:$L$257,7,FALSE)),"",(VLOOKUP($B176,'B-1 Site Hedge Baseline'!$B$1:$L$257,7,FALSE))))</f>
        <v/>
      </c>
      <c r="H176" s="520" t="str">
        <f>IF(B176="","",IF(ISNA(VLOOKUP($B176,'B-1 Site Hedge Baseline'!$B$1:$L$257,8,FALSE)),"",(VLOOKUP($B176,'B-1 Site Hedge Baseline'!$B$1:$L$257,8,FALSE))))</f>
        <v/>
      </c>
      <c r="I176" s="520" t="str">
        <f>IF(B176="","",IF(ISNA(VLOOKUP($B176,'B-1 Site Hedge Baseline'!$B$1:$L$257,10,FALSE)),"",(VLOOKUP($B176,'B-1 Site Hedge Baseline'!$B$1:$L$257,10,FALSE))))</f>
        <v/>
      </c>
      <c r="J176" s="520" t="str">
        <f>IF(B176="","",IF(ISNA(VLOOKUP($B176,'B-1 Site Hedge Baseline'!$B$1:$L$257,11,FALSE)),"",(VLOOKUP($B176,'B-1 Site Hedge Baseline'!$B$1:$L$257,11,FALSE))))</f>
        <v/>
      </c>
      <c r="K176" s="520" t="str">
        <f>IF(B176="","",IF(ISNA(VLOOKUP($B176,'B-1 Site Hedge Baseline'!$B$1:$U$257,13,FALSE)),"",(VLOOKUP($B176,'B-1 Site Hedge Baseline'!$B$1:$U$257,13,FALSE))))</f>
        <v/>
      </c>
      <c r="L176" s="524" t="str">
        <f>IF(B176="","",IF(ISNA(VLOOKUP($B176,'B-1 Site Hedge Baseline'!$B$1:$U$257,12,FALSE)),"",(VLOOKUP($B176,'B-1 Site Hedge Baseline'!$B$1:$U$257,12,FALSE))))</f>
        <v/>
      </c>
      <c r="M176" s="416" t="str">
        <f t="shared" si="23"/>
        <v/>
      </c>
      <c r="N176" s="498" t="str">
        <f>IFERROR(IF(B176="","",INDEX('G-6 Hedgerow Data'!$AN$3:$AZ$15,MATCH(C176,'G-6 Hedgerow Data'!$AM$3:$AM$15,0),MATCH(M176,'G-6 Hedgerow Data'!$AN$2:$AZ$2,0))),"")</f>
        <v/>
      </c>
      <c r="O176" s="499" t="str">
        <f t="shared" si="18"/>
        <v/>
      </c>
      <c r="P176" s="559" t="str">
        <f>IF(B176="","",VLOOKUP(B176,'B-1 Site Hedge Baseline'!$B$10:T421,16,FALSE))</f>
        <v/>
      </c>
      <c r="Q176" s="498" t="str">
        <f>IF(M176="","",VLOOKUP(M176,'G-6 Hedgerow Data'!$B$2:$AG$15,2,FALSE))</f>
        <v/>
      </c>
      <c r="R176" s="499" t="str">
        <f>IF(M176="","",VLOOKUP(M176,'G-6 Hedgerow Data'!$B$2:$AG$15,3,FALSE))</f>
        <v/>
      </c>
      <c r="S176" s="157"/>
      <c r="T176" s="540" t="str">
        <f>IFERROR(VLOOKUP(S176,'G-1 All Habitats'!$Z$2:$AA$9,2,FALSE),"")</f>
        <v/>
      </c>
      <c r="U176" s="154"/>
      <c r="V176" s="520" t="str">
        <f>IF(U176="","",IF(VLOOKUP(U176,'G-3 Multipliers'!$L$3:$N$6,2,FALSE)=0,"Spatial Data Missing ⚠",VLOOKUP(U176,'G-3 Multipliers'!$L$3:$N$6,2,FALSE)))</f>
        <v/>
      </c>
      <c r="W176" s="524" t="str">
        <f>IF(U176="","",IF(VLOOKUP(U176,'G-3 Multipliers'!$L$3:$N$6,3,FALSE)=0,"Spatial Data Missing ⚠",VLOOKUP(U176,'G-3 Multipliers'!$L$3:$N$6,3,FALSE)))</f>
        <v/>
      </c>
      <c r="X176" s="498" t="str">
        <f>IFERROR(IF(OR(LEFT(O176,5)="Error ▲",LEFT(N176,5)="Error ▲",T176="Error ▲"),"Check Data ⚠",IF(F176&lt;R176,INDEX('G-6 Hedgerow Data'!$S$3:$AE$14,MATCH(C176,'G-6 Hedgerow Data'!$B$3:$B$14,0),MATCH(M176,'G-6 Hedgerow Data'!$S$2:$AE$2,0)),INDEX('G-6 Hedgerow Data'!$K$3:$Q$14,MATCH(M176,'G-6 Hedgerow Data'!$B$3:$B$14,0),MATCH(O176,'G-6 Hedgerow Data'!$K$2:$Q$2,0)))),"")</f>
        <v/>
      </c>
      <c r="Y176" s="195"/>
      <c r="Z176" s="195"/>
      <c r="AA176" s="507" t="str">
        <f t="shared" si="19"/>
        <v/>
      </c>
      <c r="AB176" s="521" t="str">
        <f t="shared" si="20"/>
        <v/>
      </c>
      <c r="AC176" s="522" t="str">
        <f t="shared" si="16"/>
        <v/>
      </c>
      <c r="AD176" s="537" t="str">
        <f>IF(M176="","",VLOOKUP(M176,'G-6 Hedgerow Data'!$B$3:$AG$15,31,FALSE))</f>
        <v/>
      </c>
      <c r="AE176" s="507" t="str">
        <f t="shared" si="21"/>
        <v/>
      </c>
      <c r="AF176" s="507" t="str">
        <f t="shared" si="22"/>
        <v/>
      </c>
      <c r="AG176" s="524" t="str">
        <f>IFERROR(IF(O176="","",VLOOKUP(AD176,'G-3 Multipliers'!$P$3:$Q$6,2,FALSE)),"")</f>
        <v/>
      </c>
      <c r="AH176" s="513" t="str">
        <f t="shared" si="17"/>
        <v/>
      </c>
      <c r="AI176" s="231"/>
      <c r="AJ176" s="150"/>
      <c r="AT176" s="31" t="str">
        <f>IFERROR(INDEX('G-6 Hedgerow Data'!$BJ$3:$BJ$15,MATCH(M176,'G-6 Hedgerow Data'!$B$3:$B$15,0)),"")</f>
        <v/>
      </c>
    </row>
    <row r="177" spans="2:46" ht="14" x14ac:dyDescent="0.3">
      <c r="B177" s="531" t="str">
        <f>'B-1 Site Hedge Baseline'!AK175</f>
        <v/>
      </c>
      <c r="C177" s="520" t="str">
        <f>IF(B177="","",IF(ISNA(VLOOKUP($B177,'B-1 Site Hedge Baseline'!$B$1:$L$257,3,FALSE)),"",(VLOOKUP($B177,'B-1 Site Hedge Baseline'!$B$1:$L$257,3,FALSE))))</f>
        <v/>
      </c>
      <c r="D177" s="520" t="str">
        <f>IF(B177="","",IF(ISNA(VLOOKUP($B177,'B-1 Site Hedge Baseline'!$B$1:$L$257,4,FALSE)),"",(VLOOKUP($B177,'B-1 Site Hedge Baseline'!$B$1:$L$257,4,FALSE))))</f>
        <v/>
      </c>
      <c r="E177" s="520" t="str">
        <f>IF(B177="","",IF(ISNA(VLOOKUP($B177,'B-1 Site Hedge Baseline'!$B$1:$L$257,5,FALSE)),"",(VLOOKUP($B177,'B-1 Site Hedge Baseline'!$B$1:$L$257,5,FALSE))))</f>
        <v/>
      </c>
      <c r="F177" s="520" t="str">
        <f>IF(B177="","",IF(ISNA(VLOOKUP($B177,'B-1 Site Hedge Baseline'!$B$1:$L$257,6,FALSE)),"",(VLOOKUP($B177,'B-1 Site Hedge Baseline'!$B$1:$L$257,6,FALSE))))</f>
        <v/>
      </c>
      <c r="G177" s="520" t="str">
        <f>IF(B177="","",IF(ISNA(VLOOKUP($B177,'B-1 Site Hedge Baseline'!$B$1:$L$257,7,FALSE)),"",(VLOOKUP($B177,'B-1 Site Hedge Baseline'!$B$1:$L$257,7,FALSE))))</f>
        <v/>
      </c>
      <c r="H177" s="520" t="str">
        <f>IF(B177="","",IF(ISNA(VLOOKUP($B177,'B-1 Site Hedge Baseline'!$B$1:$L$257,8,FALSE)),"",(VLOOKUP($B177,'B-1 Site Hedge Baseline'!$B$1:$L$257,8,FALSE))))</f>
        <v/>
      </c>
      <c r="I177" s="520" t="str">
        <f>IF(B177="","",IF(ISNA(VLOOKUP($B177,'B-1 Site Hedge Baseline'!$B$1:$L$257,10,FALSE)),"",(VLOOKUP($B177,'B-1 Site Hedge Baseline'!$B$1:$L$257,10,FALSE))))</f>
        <v/>
      </c>
      <c r="J177" s="520" t="str">
        <f>IF(B177="","",IF(ISNA(VLOOKUP($B177,'B-1 Site Hedge Baseline'!$B$1:$L$257,11,FALSE)),"",(VLOOKUP($B177,'B-1 Site Hedge Baseline'!$B$1:$L$257,11,FALSE))))</f>
        <v/>
      </c>
      <c r="K177" s="520" t="str">
        <f>IF(B177="","",IF(ISNA(VLOOKUP($B177,'B-1 Site Hedge Baseline'!$B$1:$U$257,13,FALSE)),"",(VLOOKUP($B177,'B-1 Site Hedge Baseline'!$B$1:$U$257,13,FALSE))))</f>
        <v/>
      </c>
      <c r="L177" s="524" t="str">
        <f>IF(B177="","",IF(ISNA(VLOOKUP($B177,'B-1 Site Hedge Baseline'!$B$1:$U$257,12,FALSE)),"",(VLOOKUP($B177,'B-1 Site Hedge Baseline'!$B$1:$U$257,12,FALSE))))</f>
        <v/>
      </c>
      <c r="M177" s="416" t="str">
        <f t="shared" si="23"/>
        <v/>
      </c>
      <c r="N177" s="498" t="str">
        <f>IFERROR(IF(B177="","",INDEX('G-6 Hedgerow Data'!$AN$3:$AZ$15,MATCH(C177,'G-6 Hedgerow Data'!$AM$3:$AM$15,0),MATCH(M177,'G-6 Hedgerow Data'!$AN$2:$AZ$2,0))),"")</f>
        <v/>
      </c>
      <c r="O177" s="499" t="str">
        <f t="shared" si="18"/>
        <v/>
      </c>
      <c r="P177" s="559" t="str">
        <f>IF(B177="","",VLOOKUP(B177,'B-1 Site Hedge Baseline'!$B$10:T422,16,FALSE))</f>
        <v/>
      </c>
      <c r="Q177" s="498" t="str">
        <f>IF(M177="","",VLOOKUP(M177,'G-6 Hedgerow Data'!$B$2:$AG$15,2,FALSE))</f>
        <v/>
      </c>
      <c r="R177" s="499" t="str">
        <f>IF(M177="","",VLOOKUP(M177,'G-6 Hedgerow Data'!$B$2:$AG$15,3,FALSE))</f>
        <v/>
      </c>
      <c r="S177" s="157"/>
      <c r="T177" s="540" t="str">
        <f>IFERROR(VLOOKUP(S177,'G-1 All Habitats'!$Z$2:$AA$9,2,FALSE),"")</f>
        <v/>
      </c>
      <c r="U177" s="154"/>
      <c r="V177" s="520" t="str">
        <f>IF(U177="","",IF(VLOOKUP(U177,'G-3 Multipliers'!$L$3:$N$6,2,FALSE)=0,"Spatial Data Missing ⚠",VLOOKUP(U177,'G-3 Multipliers'!$L$3:$N$6,2,FALSE)))</f>
        <v/>
      </c>
      <c r="W177" s="524" t="str">
        <f>IF(U177="","",IF(VLOOKUP(U177,'G-3 Multipliers'!$L$3:$N$6,3,FALSE)=0,"Spatial Data Missing ⚠",VLOOKUP(U177,'G-3 Multipliers'!$L$3:$N$6,3,FALSE)))</f>
        <v/>
      </c>
      <c r="X177" s="498" t="str">
        <f>IFERROR(IF(OR(LEFT(O177,5)="Error ▲",LEFT(N177,5)="Error ▲",T177="Error ▲"),"Check Data ⚠",IF(F177&lt;R177,INDEX('G-6 Hedgerow Data'!$S$3:$AE$14,MATCH(C177,'G-6 Hedgerow Data'!$B$3:$B$14,0),MATCH(M177,'G-6 Hedgerow Data'!$S$2:$AE$2,0)),INDEX('G-6 Hedgerow Data'!$K$3:$Q$14,MATCH(M177,'G-6 Hedgerow Data'!$B$3:$B$14,0),MATCH(O177,'G-6 Hedgerow Data'!$K$2:$Q$2,0)))),"")</f>
        <v/>
      </c>
      <c r="Y177" s="195"/>
      <c r="Z177" s="195"/>
      <c r="AA177" s="507" t="str">
        <f t="shared" si="19"/>
        <v/>
      </c>
      <c r="AB177" s="521" t="str">
        <f t="shared" si="20"/>
        <v/>
      </c>
      <c r="AC177" s="522" t="str">
        <f t="shared" si="16"/>
        <v/>
      </c>
      <c r="AD177" s="537" t="str">
        <f>IF(M177="","",VLOOKUP(M177,'G-6 Hedgerow Data'!$B$3:$AG$15,31,FALSE))</f>
        <v/>
      </c>
      <c r="AE177" s="507" t="str">
        <f t="shared" si="21"/>
        <v/>
      </c>
      <c r="AF177" s="507" t="str">
        <f t="shared" si="22"/>
        <v/>
      </c>
      <c r="AG177" s="524" t="str">
        <f>IFERROR(IF(O177="","",VLOOKUP(AD177,'G-3 Multipliers'!$P$3:$Q$6,2,FALSE)),"")</f>
        <v/>
      </c>
      <c r="AH177" s="513" t="str">
        <f t="shared" si="17"/>
        <v/>
      </c>
      <c r="AI177" s="231"/>
      <c r="AJ177" s="150"/>
      <c r="AT177" s="31" t="str">
        <f>IFERROR(INDEX('G-6 Hedgerow Data'!$BJ$3:$BJ$15,MATCH(M177,'G-6 Hedgerow Data'!$B$3:$B$15,0)),"")</f>
        <v/>
      </c>
    </row>
    <row r="178" spans="2:46" ht="14" x14ac:dyDescent="0.3">
      <c r="B178" s="531" t="str">
        <f>'B-1 Site Hedge Baseline'!AK176</f>
        <v/>
      </c>
      <c r="C178" s="520" t="str">
        <f>IF(B178="","",IF(ISNA(VLOOKUP($B178,'B-1 Site Hedge Baseline'!$B$1:$L$257,3,FALSE)),"",(VLOOKUP($B178,'B-1 Site Hedge Baseline'!$B$1:$L$257,3,FALSE))))</f>
        <v/>
      </c>
      <c r="D178" s="520" t="str">
        <f>IF(B178="","",IF(ISNA(VLOOKUP($B178,'B-1 Site Hedge Baseline'!$B$1:$L$257,4,FALSE)),"",(VLOOKUP($B178,'B-1 Site Hedge Baseline'!$B$1:$L$257,4,FALSE))))</f>
        <v/>
      </c>
      <c r="E178" s="520" t="str">
        <f>IF(B178="","",IF(ISNA(VLOOKUP($B178,'B-1 Site Hedge Baseline'!$B$1:$L$257,5,FALSE)),"",(VLOOKUP($B178,'B-1 Site Hedge Baseline'!$B$1:$L$257,5,FALSE))))</f>
        <v/>
      </c>
      <c r="F178" s="520" t="str">
        <f>IF(B178="","",IF(ISNA(VLOOKUP($B178,'B-1 Site Hedge Baseline'!$B$1:$L$257,6,FALSE)),"",(VLOOKUP($B178,'B-1 Site Hedge Baseline'!$B$1:$L$257,6,FALSE))))</f>
        <v/>
      </c>
      <c r="G178" s="520" t="str">
        <f>IF(B178="","",IF(ISNA(VLOOKUP($B178,'B-1 Site Hedge Baseline'!$B$1:$L$257,7,FALSE)),"",(VLOOKUP($B178,'B-1 Site Hedge Baseline'!$B$1:$L$257,7,FALSE))))</f>
        <v/>
      </c>
      <c r="H178" s="520" t="str">
        <f>IF(B178="","",IF(ISNA(VLOOKUP($B178,'B-1 Site Hedge Baseline'!$B$1:$L$257,8,FALSE)),"",(VLOOKUP($B178,'B-1 Site Hedge Baseline'!$B$1:$L$257,8,FALSE))))</f>
        <v/>
      </c>
      <c r="I178" s="520" t="str">
        <f>IF(B178="","",IF(ISNA(VLOOKUP($B178,'B-1 Site Hedge Baseline'!$B$1:$L$257,10,FALSE)),"",(VLOOKUP($B178,'B-1 Site Hedge Baseline'!$B$1:$L$257,10,FALSE))))</f>
        <v/>
      </c>
      <c r="J178" s="520" t="str">
        <f>IF(B178="","",IF(ISNA(VLOOKUP($B178,'B-1 Site Hedge Baseline'!$B$1:$L$257,11,FALSE)),"",(VLOOKUP($B178,'B-1 Site Hedge Baseline'!$B$1:$L$257,11,FALSE))))</f>
        <v/>
      </c>
      <c r="K178" s="520" t="str">
        <f>IF(B178="","",IF(ISNA(VLOOKUP($B178,'B-1 Site Hedge Baseline'!$B$1:$U$257,13,FALSE)),"",(VLOOKUP($B178,'B-1 Site Hedge Baseline'!$B$1:$U$257,13,FALSE))))</f>
        <v/>
      </c>
      <c r="L178" s="524" t="str">
        <f>IF(B178="","",IF(ISNA(VLOOKUP($B178,'B-1 Site Hedge Baseline'!$B$1:$U$257,12,FALSE)),"",(VLOOKUP($B178,'B-1 Site Hedge Baseline'!$B$1:$U$257,12,FALSE))))</f>
        <v/>
      </c>
      <c r="M178" s="416" t="str">
        <f t="shared" si="23"/>
        <v/>
      </c>
      <c r="N178" s="498" t="str">
        <f>IFERROR(IF(B178="","",INDEX('G-6 Hedgerow Data'!$AN$3:$AZ$15,MATCH(C178,'G-6 Hedgerow Data'!$AM$3:$AM$15,0),MATCH(M178,'G-6 Hedgerow Data'!$AN$2:$AZ$2,0))),"")</f>
        <v/>
      </c>
      <c r="O178" s="499" t="str">
        <f t="shared" si="18"/>
        <v/>
      </c>
      <c r="P178" s="559" t="str">
        <f>IF(B178="","",VLOOKUP(B178,'B-1 Site Hedge Baseline'!$B$10:T423,16,FALSE))</f>
        <v/>
      </c>
      <c r="Q178" s="498" t="str">
        <f>IF(M178="","",VLOOKUP(M178,'G-6 Hedgerow Data'!$B$2:$AG$15,2,FALSE))</f>
        <v/>
      </c>
      <c r="R178" s="499" t="str">
        <f>IF(M178="","",VLOOKUP(M178,'G-6 Hedgerow Data'!$B$2:$AG$15,3,FALSE))</f>
        <v/>
      </c>
      <c r="S178" s="157"/>
      <c r="T178" s="540" t="str">
        <f>IFERROR(VLOOKUP(S178,'G-1 All Habitats'!$Z$2:$AA$9,2,FALSE),"")</f>
        <v/>
      </c>
      <c r="U178" s="154"/>
      <c r="V178" s="520" t="str">
        <f>IF(U178="","",IF(VLOOKUP(U178,'G-3 Multipliers'!$L$3:$N$6,2,FALSE)=0,"Spatial Data Missing ⚠",VLOOKUP(U178,'G-3 Multipliers'!$L$3:$N$6,2,FALSE)))</f>
        <v/>
      </c>
      <c r="W178" s="524" t="str">
        <f>IF(U178="","",IF(VLOOKUP(U178,'G-3 Multipliers'!$L$3:$N$6,3,FALSE)=0,"Spatial Data Missing ⚠",VLOOKUP(U178,'G-3 Multipliers'!$L$3:$N$6,3,FALSE)))</f>
        <v/>
      </c>
      <c r="X178" s="498" t="str">
        <f>IFERROR(IF(OR(LEFT(O178,5)="Error ▲",LEFT(N178,5)="Error ▲",T178="Error ▲"),"Check Data ⚠",IF(F178&lt;R178,INDEX('G-6 Hedgerow Data'!$S$3:$AE$14,MATCH(C178,'G-6 Hedgerow Data'!$B$3:$B$14,0),MATCH(M178,'G-6 Hedgerow Data'!$S$2:$AE$2,0)),INDEX('G-6 Hedgerow Data'!$K$3:$Q$14,MATCH(M178,'G-6 Hedgerow Data'!$B$3:$B$14,0),MATCH(O178,'G-6 Hedgerow Data'!$K$2:$Q$2,0)))),"")</f>
        <v/>
      </c>
      <c r="Y178" s="195"/>
      <c r="Z178" s="195"/>
      <c r="AA178" s="507" t="str">
        <f t="shared" si="19"/>
        <v/>
      </c>
      <c r="AB178" s="521" t="str">
        <f t="shared" si="20"/>
        <v/>
      </c>
      <c r="AC178" s="522" t="str">
        <f t="shared" si="16"/>
        <v/>
      </c>
      <c r="AD178" s="537" t="str">
        <f>IF(M178="","",VLOOKUP(M178,'G-6 Hedgerow Data'!$B$3:$AG$15,31,FALSE))</f>
        <v/>
      </c>
      <c r="AE178" s="507" t="str">
        <f t="shared" si="21"/>
        <v/>
      </c>
      <c r="AF178" s="507" t="str">
        <f t="shared" si="22"/>
        <v/>
      </c>
      <c r="AG178" s="524" t="str">
        <f>IFERROR(IF(O178="","",VLOOKUP(AD178,'G-3 Multipliers'!$P$3:$Q$6,2,FALSE)),"")</f>
        <v/>
      </c>
      <c r="AH178" s="513" t="str">
        <f t="shared" si="17"/>
        <v/>
      </c>
      <c r="AI178" s="231"/>
      <c r="AJ178" s="150"/>
      <c r="AT178" s="31" t="str">
        <f>IFERROR(INDEX('G-6 Hedgerow Data'!$BJ$3:$BJ$15,MATCH(M178,'G-6 Hedgerow Data'!$B$3:$B$15,0)),"")</f>
        <v/>
      </c>
    </row>
    <row r="179" spans="2:46" ht="14" x14ac:dyDescent="0.3">
      <c r="B179" s="531" t="str">
        <f>'B-1 Site Hedge Baseline'!AK177</f>
        <v/>
      </c>
      <c r="C179" s="520" t="str">
        <f>IF(B179="","",IF(ISNA(VLOOKUP($B179,'B-1 Site Hedge Baseline'!$B$1:$L$257,3,FALSE)),"",(VLOOKUP($B179,'B-1 Site Hedge Baseline'!$B$1:$L$257,3,FALSE))))</f>
        <v/>
      </c>
      <c r="D179" s="520" t="str">
        <f>IF(B179="","",IF(ISNA(VLOOKUP($B179,'B-1 Site Hedge Baseline'!$B$1:$L$257,4,FALSE)),"",(VLOOKUP($B179,'B-1 Site Hedge Baseline'!$B$1:$L$257,4,FALSE))))</f>
        <v/>
      </c>
      <c r="E179" s="520" t="str">
        <f>IF(B179="","",IF(ISNA(VLOOKUP($B179,'B-1 Site Hedge Baseline'!$B$1:$L$257,5,FALSE)),"",(VLOOKUP($B179,'B-1 Site Hedge Baseline'!$B$1:$L$257,5,FALSE))))</f>
        <v/>
      </c>
      <c r="F179" s="520" t="str">
        <f>IF(B179="","",IF(ISNA(VLOOKUP($B179,'B-1 Site Hedge Baseline'!$B$1:$L$257,6,FALSE)),"",(VLOOKUP($B179,'B-1 Site Hedge Baseline'!$B$1:$L$257,6,FALSE))))</f>
        <v/>
      </c>
      <c r="G179" s="520" t="str">
        <f>IF(B179="","",IF(ISNA(VLOOKUP($B179,'B-1 Site Hedge Baseline'!$B$1:$L$257,7,FALSE)),"",(VLOOKUP($B179,'B-1 Site Hedge Baseline'!$B$1:$L$257,7,FALSE))))</f>
        <v/>
      </c>
      <c r="H179" s="520" t="str">
        <f>IF(B179="","",IF(ISNA(VLOOKUP($B179,'B-1 Site Hedge Baseline'!$B$1:$L$257,8,FALSE)),"",(VLOOKUP($B179,'B-1 Site Hedge Baseline'!$B$1:$L$257,8,FALSE))))</f>
        <v/>
      </c>
      <c r="I179" s="520" t="str">
        <f>IF(B179="","",IF(ISNA(VLOOKUP($B179,'B-1 Site Hedge Baseline'!$B$1:$L$257,10,FALSE)),"",(VLOOKUP($B179,'B-1 Site Hedge Baseline'!$B$1:$L$257,10,FALSE))))</f>
        <v/>
      </c>
      <c r="J179" s="520" t="str">
        <f>IF(B179="","",IF(ISNA(VLOOKUP($B179,'B-1 Site Hedge Baseline'!$B$1:$L$257,11,FALSE)),"",(VLOOKUP($B179,'B-1 Site Hedge Baseline'!$B$1:$L$257,11,FALSE))))</f>
        <v/>
      </c>
      <c r="K179" s="520" t="str">
        <f>IF(B179="","",IF(ISNA(VLOOKUP($B179,'B-1 Site Hedge Baseline'!$B$1:$U$257,13,FALSE)),"",(VLOOKUP($B179,'B-1 Site Hedge Baseline'!$B$1:$U$257,13,FALSE))))</f>
        <v/>
      </c>
      <c r="L179" s="524" t="str">
        <f>IF(B179="","",IF(ISNA(VLOOKUP($B179,'B-1 Site Hedge Baseline'!$B$1:$U$257,12,FALSE)),"",(VLOOKUP($B179,'B-1 Site Hedge Baseline'!$B$1:$U$257,12,FALSE))))</f>
        <v/>
      </c>
      <c r="M179" s="416" t="str">
        <f t="shared" si="23"/>
        <v/>
      </c>
      <c r="N179" s="498" t="str">
        <f>IFERROR(IF(B179="","",INDEX('G-6 Hedgerow Data'!$AN$3:$AZ$15,MATCH(C179,'G-6 Hedgerow Data'!$AM$3:$AM$15,0),MATCH(M179,'G-6 Hedgerow Data'!$AN$2:$AZ$2,0))),"")</f>
        <v/>
      </c>
      <c r="O179" s="499" t="str">
        <f t="shared" si="18"/>
        <v/>
      </c>
      <c r="P179" s="559" t="str">
        <f>IF(B179="","",VLOOKUP(B179,'B-1 Site Hedge Baseline'!$B$10:T424,16,FALSE))</f>
        <v/>
      </c>
      <c r="Q179" s="498" t="str">
        <f>IF(M179="","",VLOOKUP(M179,'G-6 Hedgerow Data'!$B$2:$AG$15,2,FALSE))</f>
        <v/>
      </c>
      <c r="R179" s="499" t="str">
        <f>IF(M179="","",VLOOKUP(M179,'G-6 Hedgerow Data'!$B$2:$AG$15,3,FALSE))</f>
        <v/>
      </c>
      <c r="S179" s="157"/>
      <c r="T179" s="540" t="str">
        <f>IFERROR(VLOOKUP(S179,'G-1 All Habitats'!$Z$2:$AA$9,2,FALSE),"")</f>
        <v/>
      </c>
      <c r="U179" s="154"/>
      <c r="V179" s="520" t="str">
        <f>IF(U179="","",IF(VLOOKUP(U179,'G-3 Multipliers'!$L$3:$N$6,2,FALSE)=0,"Spatial Data Missing ⚠",VLOOKUP(U179,'G-3 Multipliers'!$L$3:$N$6,2,FALSE)))</f>
        <v/>
      </c>
      <c r="W179" s="524" t="str">
        <f>IF(U179="","",IF(VLOOKUP(U179,'G-3 Multipliers'!$L$3:$N$6,3,FALSE)=0,"Spatial Data Missing ⚠",VLOOKUP(U179,'G-3 Multipliers'!$L$3:$N$6,3,FALSE)))</f>
        <v/>
      </c>
      <c r="X179" s="498" t="str">
        <f>IFERROR(IF(OR(LEFT(O179,5)="Error ▲",LEFT(N179,5)="Error ▲",T179="Error ▲"),"Check Data ⚠",IF(F179&lt;R179,INDEX('G-6 Hedgerow Data'!$S$3:$AE$14,MATCH(C179,'G-6 Hedgerow Data'!$B$3:$B$14,0),MATCH(M179,'G-6 Hedgerow Data'!$S$2:$AE$2,0)),INDEX('G-6 Hedgerow Data'!$K$3:$Q$14,MATCH(M179,'G-6 Hedgerow Data'!$B$3:$B$14,0),MATCH(O179,'G-6 Hedgerow Data'!$K$2:$Q$2,0)))),"")</f>
        <v/>
      </c>
      <c r="Y179" s="195"/>
      <c r="Z179" s="195"/>
      <c r="AA179" s="507" t="str">
        <f t="shared" si="19"/>
        <v/>
      </c>
      <c r="AB179" s="521" t="str">
        <f t="shared" si="20"/>
        <v/>
      </c>
      <c r="AC179" s="522" t="str">
        <f t="shared" si="16"/>
        <v/>
      </c>
      <c r="AD179" s="537" t="str">
        <f>IF(M179="","",VLOOKUP(M179,'G-6 Hedgerow Data'!$B$3:$AG$15,31,FALSE))</f>
        <v/>
      </c>
      <c r="AE179" s="507" t="str">
        <f t="shared" si="21"/>
        <v/>
      </c>
      <c r="AF179" s="507" t="str">
        <f t="shared" si="22"/>
        <v/>
      </c>
      <c r="AG179" s="524" t="str">
        <f>IFERROR(IF(O179="","",VLOOKUP(AD179,'G-3 Multipliers'!$P$3:$Q$6,2,FALSE)),"")</f>
        <v/>
      </c>
      <c r="AH179" s="513" t="str">
        <f t="shared" si="17"/>
        <v/>
      </c>
      <c r="AI179" s="231"/>
      <c r="AJ179" s="150"/>
      <c r="AT179" s="31" t="str">
        <f>IFERROR(INDEX('G-6 Hedgerow Data'!$BJ$3:$BJ$15,MATCH(M179,'G-6 Hedgerow Data'!$B$3:$B$15,0)),"")</f>
        <v/>
      </c>
    </row>
    <row r="180" spans="2:46" ht="14" x14ac:dyDescent="0.3">
      <c r="B180" s="531" t="str">
        <f>'B-1 Site Hedge Baseline'!AK178</f>
        <v/>
      </c>
      <c r="C180" s="520" t="str">
        <f>IF(B180="","",IF(ISNA(VLOOKUP($B180,'B-1 Site Hedge Baseline'!$B$1:$L$257,3,FALSE)),"",(VLOOKUP($B180,'B-1 Site Hedge Baseline'!$B$1:$L$257,3,FALSE))))</f>
        <v/>
      </c>
      <c r="D180" s="520" t="str">
        <f>IF(B180="","",IF(ISNA(VLOOKUP($B180,'B-1 Site Hedge Baseline'!$B$1:$L$257,4,FALSE)),"",(VLOOKUP($B180,'B-1 Site Hedge Baseline'!$B$1:$L$257,4,FALSE))))</f>
        <v/>
      </c>
      <c r="E180" s="520" t="str">
        <f>IF(B180="","",IF(ISNA(VLOOKUP($B180,'B-1 Site Hedge Baseline'!$B$1:$L$257,5,FALSE)),"",(VLOOKUP($B180,'B-1 Site Hedge Baseline'!$B$1:$L$257,5,FALSE))))</f>
        <v/>
      </c>
      <c r="F180" s="520" t="str">
        <f>IF(B180="","",IF(ISNA(VLOOKUP($B180,'B-1 Site Hedge Baseline'!$B$1:$L$257,6,FALSE)),"",(VLOOKUP($B180,'B-1 Site Hedge Baseline'!$B$1:$L$257,6,FALSE))))</f>
        <v/>
      </c>
      <c r="G180" s="520" t="str">
        <f>IF(B180="","",IF(ISNA(VLOOKUP($B180,'B-1 Site Hedge Baseline'!$B$1:$L$257,7,FALSE)),"",(VLOOKUP($B180,'B-1 Site Hedge Baseline'!$B$1:$L$257,7,FALSE))))</f>
        <v/>
      </c>
      <c r="H180" s="520" t="str">
        <f>IF(B180="","",IF(ISNA(VLOOKUP($B180,'B-1 Site Hedge Baseline'!$B$1:$L$257,8,FALSE)),"",(VLOOKUP($B180,'B-1 Site Hedge Baseline'!$B$1:$L$257,8,FALSE))))</f>
        <v/>
      </c>
      <c r="I180" s="520" t="str">
        <f>IF(B180="","",IF(ISNA(VLOOKUP($B180,'B-1 Site Hedge Baseline'!$B$1:$L$257,10,FALSE)),"",(VLOOKUP($B180,'B-1 Site Hedge Baseline'!$B$1:$L$257,10,FALSE))))</f>
        <v/>
      </c>
      <c r="J180" s="520" t="str">
        <f>IF(B180="","",IF(ISNA(VLOOKUP($B180,'B-1 Site Hedge Baseline'!$B$1:$L$257,11,FALSE)),"",(VLOOKUP($B180,'B-1 Site Hedge Baseline'!$B$1:$L$257,11,FALSE))))</f>
        <v/>
      </c>
      <c r="K180" s="520" t="str">
        <f>IF(B180="","",IF(ISNA(VLOOKUP($B180,'B-1 Site Hedge Baseline'!$B$1:$U$257,13,FALSE)),"",(VLOOKUP($B180,'B-1 Site Hedge Baseline'!$B$1:$U$257,13,FALSE))))</f>
        <v/>
      </c>
      <c r="L180" s="524" t="str">
        <f>IF(B180="","",IF(ISNA(VLOOKUP($B180,'B-1 Site Hedge Baseline'!$B$1:$U$257,12,FALSE)),"",(VLOOKUP($B180,'B-1 Site Hedge Baseline'!$B$1:$U$257,12,FALSE))))</f>
        <v/>
      </c>
      <c r="M180" s="416" t="str">
        <f t="shared" si="23"/>
        <v/>
      </c>
      <c r="N180" s="498" t="str">
        <f>IFERROR(IF(B180="","",INDEX('G-6 Hedgerow Data'!$AN$3:$AZ$15,MATCH(C180,'G-6 Hedgerow Data'!$AM$3:$AM$15,0),MATCH(M180,'G-6 Hedgerow Data'!$AN$2:$AZ$2,0))),"")</f>
        <v/>
      </c>
      <c r="O180" s="499" t="str">
        <f t="shared" si="18"/>
        <v/>
      </c>
      <c r="P180" s="559" t="str">
        <f>IF(B180="","",VLOOKUP(B180,'B-1 Site Hedge Baseline'!$B$10:T425,16,FALSE))</f>
        <v/>
      </c>
      <c r="Q180" s="498" t="str">
        <f>IF(M180="","",VLOOKUP(M180,'G-6 Hedgerow Data'!$B$2:$AG$15,2,FALSE))</f>
        <v/>
      </c>
      <c r="R180" s="499" t="str">
        <f>IF(M180="","",VLOOKUP(M180,'G-6 Hedgerow Data'!$B$2:$AG$15,3,FALSE))</f>
        <v/>
      </c>
      <c r="S180" s="157"/>
      <c r="T180" s="540" t="str">
        <f>IFERROR(VLOOKUP(S180,'G-1 All Habitats'!$Z$2:$AA$9,2,FALSE),"")</f>
        <v/>
      </c>
      <c r="U180" s="154"/>
      <c r="V180" s="520" t="str">
        <f>IF(U180="","",IF(VLOOKUP(U180,'G-3 Multipliers'!$L$3:$N$6,2,FALSE)=0,"Spatial Data Missing ⚠",VLOOKUP(U180,'G-3 Multipliers'!$L$3:$N$6,2,FALSE)))</f>
        <v/>
      </c>
      <c r="W180" s="524" t="str">
        <f>IF(U180="","",IF(VLOOKUP(U180,'G-3 Multipliers'!$L$3:$N$6,3,FALSE)=0,"Spatial Data Missing ⚠",VLOOKUP(U180,'G-3 Multipliers'!$L$3:$N$6,3,FALSE)))</f>
        <v/>
      </c>
      <c r="X180" s="498" t="str">
        <f>IFERROR(IF(OR(LEFT(O180,5)="Error ▲",LEFT(N180,5)="Error ▲",T180="Error ▲"),"Check Data ⚠",IF(F180&lt;R180,INDEX('G-6 Hedgerow Data'!$S$3:$AE$14,MATCH(C180,'G-6 Hedgerow Data'!$B$3:$B$14,0),MATCH(M180,'G-6 Hedgerow Data'!$S$2:$AE$2,0)),INDEX('G-6 Hedgerow Data'!$K$3:$Q$14,MATCH(M180,'G-6 Hedgerow Data'!$B$3:$B$14,0),MATCH(O180,'G-6 Hedgerow Data'!$K$2:$Q$2,0)))),"")</f>
        <v/>
      </c>
      <c r="Y180" s="195"/>
      <c r="Z180" s="195"/>
      <c r="AA180" s="507" t="str">
        <f t="shared" si="19"/>
        <v/>
      </c>
      <c r="AB180" s="521" t="str">
        <f t="shared" si="20"/>
        <v/>
      </c>
      <c r="AC180" s="522" t="str">
        <f t="shared" si="16"/>
        <v/>
      </c>
      <c r="AD180" s="537" t="str">
        <f>IF(M180="","",VLOOKUP(M180,'G-6 Hedgerow Data'!$B$3:$AG$15,31,FALSE))</f>
        <v/>
      </c>
      <c r="AE180" s="507" t="str">
        <f t="shared" si="21"/>
        <v/>
      </c>
      <c r="AF180" s="507" t="str">
        <f t="shared" si="22"/>
        <v/>
      </c>
      <c r="AG180" s="524" t="str">
        <f>IFERROR(IF(O180="","",VLOOKUP(AD180,'G-3 Multipliers'!$P$3:$Q$6,2,FALSE)),"")</f>
        <v/>
      </c>
      <c r="AH180" s="513" t="str">
        <f t="shared" si="17"/>
        <v/>
      </c>
      <c r="AI180" s="231"/>
      <c r="AJ180" s="150"/>
      <c r="AT180" s="31" t="str">
        <f>IFERROR(INDEX('G-6 Hedgerow Data'!$BJ$3:$BJ$15,MATCH(M180,'G-6 Hedgerow Data'!$B$3:$B$15,0)),"")</f>
        <v/>
      </c>
    </row>
    <row r="181" spans="2:46" ht="14" x14ac:dyDescent="0.3">
      <c r="B181" s="531" t="str">
        <f>'B-1 Site Hedge Baseline'!AK179</f>
        <v/>
      </c>
      <c r="C181" s="520" t="str">
        <f>IF(B181="","",IF(ISNA(VLOOKUP($B181,'B-1 Site Hedge Baseline'!$B$1:$L$257,3,FALSE)),"",(VLOOKUP($B181,'B-1 Site Hedge Baseline'!$B$1:$L$257,3,FALSE))))</f>
        <v/>
      </c>
      <c r="D181" s="520" t="str">
        <f>IF(B181="","",IF(ISNA(VLOOKUP($B181,'B-1 Site Hedge Baseline'!$B$1:$L$257,4,FALSE)),"",(VLOOKUP($B181,'B-1 Site Hedge Baseline'!$B$1:$L$257,4,FALSE))))</f>
        <v/>
      </c>
      <c r="E181" s="520" t="str">
        <f>IF(B181="","",IF(ISNA(VLOOKUP($B181,'B-1 Site Hedge Baseline'!$B$1:$L$257,5,FALSE)),"",(VLOOKUP($B181,'B-1 Site Hedge Baseline'!$B$1:$L$257,5,FALSE))))</f>
        <v/>
      </c>
      <c r="F181" s="520" t="str">
        <f>IF(B181="","",IF(ISNA(VLOOKUP($B181,'B-1 Site Hedge Baseline'!$B$1:$L$257,6,FALSE)),"",(VLOOKUP($B181,'B-1 Site Hedge Baseline'!$B$1:$L$257,6,FALSE))))</f>
        <v/>
      </c>
      <c r="G181" s="520" t="str">
        <f>IF(B181="","",IF(ISNA(VLOOKUP($B181,'B-1 Site Hedge Baseline'!$B$1:$L$257,7,FALSE)),"",(VLOOKUP($B181,'B-1 Site Hedge Baseline'!$B$1:$L$257,7,FALSE))))</f>
        <v/>
      </c>
      <c r="H181" s="520" t="str">
        <f>IF(B181="","",IF(ISNA(VLOOKUP($B181,'B-1 Site Hedge Baseline'!$B$1:$L$257,8,FALSE)),"",(VLOOKUP($B181,'B-1 Site Hedge Baseline'!$B$1:$L$257,8,FALSE))))</f>
        <v/>
      </c>
      <c r="I181" s="520" t="str">
        <f>IF(B181="","",IF(ISNA(VLOOKUP($B181,'B-1 Site Hedge Baseline'!$B$1:$L$257,10,FALSE)),"",(VLOOKUP($B181,'B-1 Site Hedge Baseline'!$B$1:$L$257,10,FALSE))))</f>
        <v/>
      </c>
      <c r="J181" s="520" t="str">
        <f>IF(B181="","",IF(ISNA(VLOOKUP($B181,'B-1 Site Hedge Baseline'!$B$1:$L$257,11,FALSE)),"",(VLOOKUP($B181,'B-1 Site Hedge Baseline'!$B$1:$L$257,11,FALSE))))</f>
        <v/>
      </c>
      <c r="K181" s="520" t="str">
        <f>IF(B181="","",IF(ISNA(VLOOKUP($B181,'B-1 Site Hedge Baseline'!$B$1:$U$257,13,FALSE)),"",(VLOOKUP($B181,'B-1 Site Hedge Baseline'!$B$1:$U$257,13,FALSE))))</f>
        <v/>
      </c>
      <c r="L181" s="524" t="str">
        <f>IF(B181="","",IF(ISNA(VLOOKUP($B181,'B-1 Site Hedge Baseline'!$B$1:$U$257,12,FALSE)),"",(VLOOKUP($B181,'B-1 Site Hedge Baseline'!$B$1:$U$257,12,FALSE))))</f>
        <v/>
      </c>
      <c r="M181" s="416" t="str">
        <f t="shared" si="23"/>
        <v/>
      </c>
      <c r="N181" s="498" t="str">
        <f>IFERROR(IF(B181="","",INDEX('G-6 Hedgerow Data'!$AN$3:$AZ$15,MATCH(C181,'G-6 Hedgerow Data'!$AM$3:$AM$15,0),MATCH(M181,'G-6 Hedgerow Data'!$AN$2:$AZ$2,0))),"")</f>
        <v/>
      </c>
      <c r="O181" s="499" t="str">
        <f t="shared" si="18"/>
        <v/>
      </c>
      <c r="P181" s="559" t="str">
        <f>IF(B181="","",VLOOKUP(B181,'B-1 Site Hedge Baseline'!$B$10:T426,16,FALSE))</f>
        <v/>
      </c>
      <c r="Q181" s="498" t="str">
        <f>IF(M181="","",VLOOKUP(M181,'G-6 Hedgerow Data'!$B$2:$AG$15,2,FALSE))</f>
        <v/>
      </c>
      <c r="R181" s="499" t="str">
        <f>IF(M181="","",VLOOKUP(M181,'G-6 Hedgerow Data'!$B$2:$AG$15,3,FALSE))</f>
        <v/>
      </c>
      <c r="S181" s="157"/>
      <c r="T181" s="540" t="str">
        <f>IFERROR(VLOOKUP(S181,'G-1 All Habitats'!$Z$2:$AA$9,2,FALSE),"")</f>
        <v/>
      </c>
      <c r="U181" s="154"/>
      <c r="V181" s="520" t="str">
        <f>IF(U181="","",IF(VLOOKUP(U181,'G-3 Multipliers'!$L$3:$N$6,2,FALSE)=0,"Spatial Data Missing ⚠",VLOOKUP(U181,'G-3 Multipliers'!$L$3:$N$6,2,FALSE)))</f>
        <v/>
      </c>
      <c r="W181" s="524" t="str">
        <f>IF(U181="","",IF(VLOOKUP(U181,'G-3 Multipliers'!$L$3:$N$6,3,FALSE)=0,"Spatial Data Missing ⚠",VLOOKUP(U181,'G-3 Multipliers'!$L$3:$N$6,3,FALSE)))</f>
        <v/>
      </c>
      <c r="X181" s="498" t="str">
        <f>IFERROR(IF(OR(LEFT(O181,5)="Error ▲",LEFT(N181,5)="Error ▲",T181="Error ▲"),"Check Data ⚠",IF(F181&lt;R181,INDEX('G-6 Hedgerow Data'!$S$3:$AE$14,MATCH(C181,'G-6 Hedgerow Data'!$B$3:$B$14,0),MATCH(M181,'G-6 Hedgerow Data'!$S$2:$AE$2,0)),INDEX('G-6 Hedgerow Data'!$K$3:$Q$14,MATCH(M181,'G-6 Hedgerow Data'!$B$3:$B$14,0),MATCH(O181,'G-6 Hedgerow Data'!$K$2:$Q$2,0)))),"")</f>
        <v/>
      </c>
      <c r="Y181" s="195"/>
      <c r="Z181" s="195"/>
      <c r="AA181" s="507" t="str">
        <f t="shared" si="19"/>
        <v/>
      </c>
      <c r="AB181" s="521" t="str">
        <f t="shared" si="20"/>
        <v/>
      </c>
      <c r="AC181" s="522" t="str">
        <f t="shared" si="16"/>
        <v/>
      </c>
      <c r="AD181" s="537" t="str">
        <f>IF(M181="","",VLOOKUP(M181,'G-6 Hedgerow Data'!$B$3:$AG$15,31,FALSE))</f>
        <v/>
      </c>
      <c r="AE181" s="507" t="str">
        <f t="shared" si="21"/>
        <v/>
      </c>
      <c r="AF181" s="507" t="str">
        <f t="shared" si="22"/>
        <v/>
      </c>
      <c r="AG181" s="524" t="str">
        <f>IFERROR(IF(O181="","",VLOOKUP(AD181,'G-3 Multipliers'!$P$3:$Q$6,2,FALSE)),"")</f>
        <v/>
      </c>
      <c r="AH181" s="513" t="str">
        <f t="shared" si="17"/>
        <v/>
      </c>
      <c r="AI181" s="231"/>
      <c r="AJ181" s="150"/>
      <c r="AT181" s="31" t="str">
        <f>IFERROR(INDEX('G-6 Hedgerow Data'!$BJ$3:$BJ$15,MATCH(M181,'G-6 Hedgerow Data'!$B$3:$B$15,0)),"")</f>
        <v/>
      </c>
    </row>
    <row r="182" spans="2:46" ht="14" x14ac:dyDescent="0.3">
      <c r="B182" s="531" t="str">
        <f>'B-1 Site Hedge Baseline'!AK180</f>
        <v/>
      </c>
      <c r="C182" s="520" t="str">
        <f>IF(B182="","",IF(ISNA(VLOOKUP($B182,'B-1 Site Hedge Baseline'!$B$1:$L$257,3,FALSE)),"",(VLOOKUP($B182,'B-1 Site Hedge Baseline'!$B$1:$L$257,3,FALSE))))</f>
        <v/>
      </c>
      <c r="D182" s="520" t="str">
        <f>IF(B182="","",IF(ISNA(VLOOKUP($B182,'B-1 Site Hedge Baseline'!$B$1:$L$257,4,FALSE)),"",(VLOOKUP($B182,'B-1 Site Hedge Baseline'!$B$1:$L$257,4,FALSE))))</f>
        <v/>
      </c>
      <c r="E182" s="520" t="str">
        <f>IF(B182="","",IF(ISNA(VLOOKUP($B182,'B-1 Site Hedge Baseline'!$B$1:$L$257,5,FALSE)),"",(VLOOKUP($B182,'B-1 Site Hedge Baseline'!$B$1:$L$257,5,FALSE))))</f>
        <v/>
      </c>
      <c r="F182" s="520" t="str">
        <f>IF(B182="","",IF(ISNA(VLOOKUP($B182,'B-1 Site Hedge Baseline'!$B$1:$L$257,6,FALSE)),"",(VLOOKUP($B182,'B-1 Site Hedge Baseline'!$B$1:$L$257,6,FALSE))))</f>
        <v/>
      </c>
      <c r="G182" s="520" t="str">
        <f>IF(B182="","",IF(ISNA(VLOOKUP($B182,'B-1 Site Hedge Baseline'!$B$1:$L$257,7,FALSE)),"",(VLOOKUP($B182,'B-1 Site Hedge Baseline'!$B$1:$L$257,7,FALSE))))</f>
        <v/>
      </c>
      <c r="H182" s="520" t="str">
        <f>IF(B182="","",IF(ISNA(VLOOKUP($B182,'B-1 Site Hedge Baseline'!$B$1:$L$257,8,FALSE)),"",(VLOOKUP($B182,'B-1 Site Hedge Baseline'!$B$1:$L$257,8,FALSE))))</f>
        <v/>
      </c>
      <c r="I182" s="520" t="str">
        <f>IF(B182="","",IF(ISNA(VLOOKUP($B182,'B-1 Site Hedge Baseline'!$B$1:$L$257,10,FALSE)),"",(VLOOKUP($B182,'B-1 Site Hedge Baseline'!$B$1:$L$257,10,FALSE))))</f>
        <v/>
      </c>
      <c r="J182" s="520" t="str">
        <f>IF(B182="","",IF(ISNA(VLOOKUP($B182,'B-1 Site Hedge Baseline'!$B$1:$L$257,11,FALSE)),"",(VLOOKUP($B182,'B-1 Site Hedge Baseline'!$B$1:$L$257,11,FALSE))))</f>
        <v/>
      </c>
      <c r="K182" s="520" t="str">
        <f>IF(B182="","",IF(ISNA(VLOOKUP($B182,'B-1 Site Hedge Baseline'!$B$1:$U$257,13,FALSE)),"",(VLOOKUP($B182,'B-1 Site Hedge Baseline'!$B$1:$U$257,13,FALSE))))</f>
        <v/>
      </c>
      <c r="L182" s="524" t="str">
        <f>IF(B182="","",IF(ISNA(VLOOKUP($B182,'B-1 Site Hedge Baseline'!$B$1:$U$257,12,FALSE)),"",(VLOOKUP($B182,'B-1 Site Hedge Baseline'!$B$1:$U$257,12,FALSE))))</f>
        <v/>
      </c>
      <c r="M182" s="416" t="str">
        <f t="shared" si="23"/>
        <v/>
      </c>
      <c r="N182" s="498" t="str">
        <f>IFERROR(IF(B182="","",INDEX('G-6 Hedgerow Data'!$AN$3:$AZ$15,MATCH(C182,'G-6 Hedgerow Data'!$AM$3:$AM$15,0),MATCH(M182,'G-6 Hedgerow Data'!$AN$2:$AZ$2,0))),"")</f>
        <v/>
      </c>
      <c r="O182" s="499" t="str">
        <f t="shared" si="18"/>
        <v/>
      </c>
      <c r="P182" s="559" t="str">
        <f>IF(B182="","",VLOOKUP(B182,'B-1 Site Hedge Baseline'!$B$10:T427,16,FALSE))</f>
        <v/>
      </c>
      <c r="Q182" s="498" t="str">
        <f>IF(M182="","",VLOOKUP(M182,'G-6 Hedgerow Data'!$B$2:$AG$15,2,FALSE))</f>
        <v/>
      </c>
      <c r="R182" s="499" t="str">
        <f>IF(M182="","",VLOOKUP(M182,'G-6 Hedgerow Data'!$B$2:$AG$15,3,FALSE))</f>
        <v/>
      </c>
      <c r="S182" s="157"/>
      <c r="T182" s="540" t="str">
        <f>IFERROR(VLOOKUP(S182,'G-1 All Habitats'!$Z$2:$AA$9,2,FALSE),"")</f>
        <v/>
      </c>
      <c r="U182" s="154"/>
      <c r="V182" s="520" t="str">
        <f>IF(U182="","",IF(VLOOKUP(U182,'G-3 Multipliers'!$L$3:$N$6,2,FALSE)=0,"Spatial Data Missing ⚠",VLOOKUP(U182,'G-3 Multipliers'!$L$3:$N$6,2,FALSE)))</f>
        <v/>
      </c>
      <c r="W182" s="524" t="str">
        <f>IF(U182="","",IF(VLOOKUP(U182,'G-3 Multipliers'!$L$3:$N$6,3,FALSE)=0,"Spatial Data Missing ⚠",VLOOKUP(U182,'G-3 Multipliers'!$L$3:$N$6,3,FALSE)))</f>
        <v/>
      </c>
      <c r="X182" s="498" t="str">
        <f>IFERROR(IF(OR(LEFT(O182,5)="Error ▲",LEFT(N182,5)="Error ▲",T182="Error ▲"),"Check Data ⚠",IF(F182&lt;R182,INDEX('G-6 Hedgerow Data'!$S$3:$AE$14,MATCH(C182,'G-6 Hedgerow Data'!$B$3:$B$14,0),MATCH(M182,'G-6 Hedgerow Data'!$S$2:$AE$2,0)),INDEX('G-6 Hedgerow Data'!$K$3:$Q$14,MATCH(M182,'G-6 Hedgerow Data'!$B$3:$B$14,0),MATCH(O182,'G-6 Hedgerow Data'!$K$2:$Q$2,0)))),"")</f>
        <v/>
      </c>
      <c r="Y182" s="195"/>
      <c r="Z182" s="195"/>
      <c r="AA182" s="507" t="str">
        <f t="shared" si="19"/>
        <v/>
      </c>
      <c r="AB182" s="521" t="str">
        <f t="shared" si="20"/>
        <v/>
      </c>
      <c r="AC182" s="522" t="str">
        <f t="shared" si="16"/>
        <v/>
      </c>
      <c r="AD182" s="537" t="str">
        <f>IF(M182="","",VLOOKUP(M182,'G-6 Hedgerow Data'!$B$3:$AG$15,31,FALSE))</f>
        <v/>
      </c>
      <c r="AE182" s="507" t="str">
        <f t="shared" si="21"/>
        <v/>
      </c>
      <c r="AF182" s="507" t="str">
        <f t="shared" si="22"/>
        <v/>
      </c>
      <c r="AG182" s="524" t="str">
        <f>IFERROR(IF(O182="","",VLOOKUP(AD182,'G-3 Multipliers'!$P$3:$Q$6,2,FALSE)),"")</f>
        <v/>
      </c>
      <c r="AH182" s="513" t="str">
        <f t="shared" si="17"/>
        <v/>
      </c>
      <c r="AI182" s="231"/>
      <c r="AJ182" s="150"/>
      <c r="AT182" s="31" t="str">
        <f>IFERROR(INDEX('G-6 Hedgerow Data'!$BJ$3:$BJ$15,MATCH(M182,'G-6 Hedgerow Data'!$B$3:$B$15,0)),"")</f>
        <v/>
      </c>
    </row>
    <row r="183" spans="2:46" ht="14" x14ac:dyDescent="0.3">
      <c r="B183" s="531" t="str">
        <f>'B-1 Site Hedge Baseline'!AK181</f>
        <v/>
      </c>
      <c r="C183" s="520" t="str">
        <f>IF(B183="","",IF(ISNA(VLOOKUP($B183,'B-1 Site Hedge Baseline'!$B$1:$L$257,3,FALSE)),"",(VLOOKUP($B183,'B-1 Site Hedge Baseline'!$B$1:$L$257,3,FALSE))))</f>
        <v/>
      </c>
      <c r="D183" s="520" t="str">
        <f>IF(B183="","",IF(ISNA(VLOOKUP($B183,'B-1 Site Hedge Baseline'!$B$1:$L$257,4,FALSE)),"",(VLOOKUP($B183,'B-1 Site Hedge Baseline'!$B$1:$L$257,4,FALSE))))</f>
        <v/>
      </c>
      <c r="E183" s="520" t="str">
        <f>IF(B183="","",IF(ISNA(VLOOKUP($B183,'B-1 Site Hedge Baseline'!$B$1:$L$257,5,FALSE)),"",(VLOOKUP($B183,'B-1 Site Hedge Baseline'!$B$1:$L$257,5,FALSE))))</f>
        <v/>
      </c>
      <c r="F183" s="520" t="str">
        <f>IF(B183="","",IF(ISNA(VLOOKUP($B183,'B-1 Site Hedge Baseline'!$B$1:$L$257,6,FALSE)),"",(VLOOKUP($B183,'B-1 Site Hedge Baseline'!$B$1:$L$257,6,FALSE))))</f>
        <v/>
      </c>
      <c r="G183" s="520" t="str">
        <f>IF(B183="","",IF(ISNA(VLOOKUP($B183,'B-1 Site Hedge Baseline'!$B$1:$L$257,7,FALSE)),"",(VLOOKUP($B183,'B-1 Site Hedge Baseline'!$B$1:$L$257,7,FALSE))))</f>
        <v/>
      </c>
      <c r="H183" s="520" t="str">
        <f>IF(B183="","",IF(ISNA(VLOOKUP($B183,'B-1 Site Hedge Baseline'!$B$1:$L$257,8,FALSE)),"",(VLOOKUP($B183,'B-1 Site Hedge Baseline'!$B$1:$L$257,8,FALSE))))</f>
        <v/>
      </c>
      <c r="I183" s="520" t="str">
        <f>IF(B183="","",IF(ISNA(VLOOKUP($B183,'B-1 Site Hedge Baseline'!$B$1:$L$257,10,FALSE)),"",(VLOOKUP($B183,'B-1 Site Hedge Baseline'!$B$1:$L$257,10,FALSE))))</f>
        <v/>
      </c>
      <c r="J183" s="520" t="str">
        <f>IF(B183="","",IF(ISNA(VLOOKUP($B183,'B-1 Site Hedge Baseline'!$B$1:$L$257,11,FALSE)),"",(VLOOKUP($B183,'B-1 Site Hedge Baseline'!$B$1:$L$257,11,FALSE))))</f>
        <v/>
      </c>
      <c r="K183" s="520" t="str">
        <f>IF(B183="","",IF(ISNA(VLOOKUP($B183,'B-1 Site Hedge Baseline'!$B$1:$U$257,13,FALSE)),"",(VLOOKUP($B183,'B-1 Site Hedge Baseline'!$B$1:$U$257,13,FALSE))))</f>
        <v/>
      </c>
      <c r="L183" s="524" t="str">
        <f>IF(B183="","",IF(ISNA(VLOOKUP($B183,'B-1 Site Hedge Baseline'!$B$1:$U$257,12,FALSE)),"",(VLOOKUP($B183,'B-1 Site Hedge Baseline'!$B$1:$U$257,12,FALSE))))</f>
        <v/>
      </c>
      <c r="M183" s="416" t="str">
        <f t="shared" si="23"/>
        <v/>
      </c>
      <c r="N183" s="498" t="str">
        <f>IFERROR(IF(B183="","",INDEX('G-6 Hedgerow Data'!$AN$3:$AZ$15,MATCH(C183,'G-6 Hedgerow Data'!$AM$3:$AM$15,0),MATCH(M183,'G-6 Hedgerow Data'!$AN$2:$AZ$2,0))),"")</f>
        <v/>
      </c>
      <c r="O183" s="499" t="str">
        <f t="shared" si="18"/>
        <v/>
      </c>
      <c r="P183" s="559" t="str">
        <f>IF(B183="","",VLOOKUP(B183,'B-1 Site Hedge Baseline'!$B$10:T428,16,FALSE))</f>
        <v/>
      </c>
      <c r="Q183" s="498" t="str">
        <f>IF(M183="","",VLOOKUP(M183,'G-6 Hedgerow Data'!$B$2:$AG$15,2,FALSE))</f>
        <v/>
      </c>
      <c r="R183" s="499" t="str">
        <f>IF(M183="","",VLOOKUP(M183,'G-6 Hedgerow Data'!$B$2:$AG$15,3,FALSE))</f>
        <v/>
      </c>
      <c r="S183" s="157"/>
      <c r="T183" s="540" t="str">
        <f>IFERROR(VLOOKUP(S183,'G-1 All Habitats'!$Z$2:$AA$9,2,FALSE),"")</f>
        <v/>
      </c>
      <c r="U183" s="154"/>
      <c r="V183" s="520" t="str">
        <f>IF(U183="","",IF(VLOOKUP(U183,'G-3 Multipliers'!$L$3:$N$6,2,FALSE)=0,"Spatial Data Missing ⚠",VLOOKUP(U183,'G-3 Multipliers'!$L$3:$N$6,2,FALSE)))</f>
        <v/>
      </c>
      <c r="W183" s="524" t="str">
        <f>IF(U183="","",IF(VLOOKUP(U183,'G-3 Multipliers'!$L$3:$N$6,3,FALSE)=0,"Spatial Data Missing ⚠",VLOOKUP(U183,'G-3 Multipliers'!$L$3:$N$6,3,FALSE)))</f>
        <v/>
      </c>
      <c r="X183" s="498" t="str">
        <f>IFERROR(IF(OR(LEFT(O183,5)="Error ▲",LEFT(N183,5)="Error ▲",T183="Error ▲"),"Check Data ⚠",IF(F183&lt;R183,INDEX('G-6 Hedgerow Data'!$S$3:$AE$14,MATCH(C183,'G-6 Hedgerow Data'!$B$3:$B$14,0),MATCH(M183,'G-6 Hedgerow Data'!$S$2:$AE$2,0)),INDEX('G-6 Hedgerow Data'!$K$3:$Q$14,MATCH(M183,'G-6 Hedgerow Data'!$B$3:$B$14,0),MATCH(O183,'G-6 Hedgerow Data'!$K$2:$Q$2,0)))),"")</f>
        <v/>
      </c>
      <c r="Y183" s="195"/>
      <c r="Z183" s="195"/>
      <c r="AA183" s="507" t="str">
        <f t="shared" si="19"/>
        <v/>
      </c>
      <c r="AB183" s="521" t="str">
        <f t="shared" si="20"/>
        <v/>
      </c>
      <c r="AC183" s="522" t="str">
        <f t="shared" si="16"/>
        <v/>
      </c>
      <c r="AD183" s="537" t="str">
        <f>IF(M183="","",VLOOKUP(M183,'G-6 Hedgerow Data'!$B$3:$AG$15,31,FALSE))</f>
        <v/>
      </c>
      <c r="AE183" s="507" t="str">
        <f t="shared" si="21"/>
        <v/>
      </c>
      <c r="AF183" s="507" t="str">
        <f t="shared" si="22"/>
        <v/>
      </c>
      <c r="AG183" s="524" t="str">
        <f>IFERROR(IF(O183="","",VLOOKUP(AD183,'G-3 Multipliers'!$P$3:$Q$6,2,FALSE)),"")</f>
        <v/>
      </c>
      <c r="AH183" s="513" t="str">
        <f t="shared" si="17"/>
        <v/>
      </c>
      <c r="AI183" s="231"/>
      <c r="AJ183" s="150"/>
      <c r="AT183" s="31" t="str">
        <f>IFERROR(INDEX('G-6 Hedgerow Data'!$BJ$3:$BJ$15,MATCH(M183,'G-6 Hedgerow Data'!$B$3:$B$15,0)),"")</f>
        <v/>
      </c>
    </row>
    <row r="184" spans="2:46" ht="14" x14ac:dyDescent="0.3">
      <c r="B184" s="531" t="str">
        <f>'B-1 Site Hedge Baseline'!AK182</f>
        <v/>
      </c>
      <c r="C184" s="520" t="str">
        <f>IF(B184="","",IF(ISNA(VLOOKUP($B184,'B-1 Site Hedge Baseline'!$B$1:$L$257,3,FALSE)),"",(VLOOKUP($B184,'B-1 Site Hedge Baseline'!$B$1:$L$257,3,FALSE))))</f>
        <v/>
      </c>
      <c r="D184" s="520" t="str">
        <f>IF(B184="","",IF(ISNA(VLOOKUP($B184,'B-1 Site Hedge Baseline'!$B$1:$L$257,4,FALSE)),"",(VLOOKUP($B184,'B-1 Site Hedge Baseline'!$B$1:$L$257,4,FALSE))))</f>
        <v/>
      </c>
      <c r="E184" s="520" t="str">
        <f>IF(B184="","",IF(ISNA(VLOOKUP($B184,'B-1 Site Hedge Baseline'!$B$1:$L$257,5,FALSE)),"",(VLOOKUP($B184,'B-1 Site Hedge Baseline'!$B$1:$L$257,5,FALSE))))</f>
        <v/>
      </c>
      <c r="F184" s="520" t="str">
        <f>IF(B184="","",IF(ISNA(VLOOKUP($B184,'B-1 Site Hedge Baseline'!$B$1:$L$257,6,FALSE)),"",(VLOOKUP($B184,'B-1 Site Hedge Baseline'!$B$1:$L$257,6,FALSE))))</f>
        <v/>
      </c>
      <c r="G184" s="520" t="str">
        <f>IF(B184="","",IF(ISNA(VLOOKUP($B184,'B-1 Site Hedge Baseline'!$B$1:$L$257,7,FALSE)),"",(VLOOKUP($B184,'B-1 Site Hedge Baseline'!$B$1:$L$257,7,FALSE))))</f>
        <v/>
      </c>
      <c r="H184" s="520" t="str">
        <f>IF(B184="","",IF(ISNA(VLOOKUP($B184,'B-1 Site Hedge Baseline'!$B$1:$L$257,8,FALSE)),"",(VLOOKUP($B184,'B-1 Site Hedge Baseline'!$B$1:$L$257,8,FALSE))))</f>
        <v/>
      </c>
      <c r="I184" s="520" t="str">
        <f>IF(B184="","",IF(ISNA(VLOOKUP($B184,'B-1 Site Hedge Baseline'!$B$1:$L$257,10,FALSE)),"",(VLOOKUP($B184,'B-1 Site Hedge Baseline'!$B$1:$L$257,10,FALSE))))</f>
        <v/>
      </c>
      <c r="J184" s="520" t="str">
        <f>IF(B184="","",IF(ISNA(VLOOKUP($B184,'B-1 Site Hedge Baseline'!$B$1:$L$257,11,FALSE)),"",(VLOOKUP($B184,'B-1 Site Hedge Baseline'!$B$1:$L$257,11,FALSE))))</f>
        <v/>
      </c>
      <c r="K184" s="520" t="str">
        <f>IF(B184="","",IF(ISNA(VLOOKUP($B184,'B-1 Site Hedge Baseline'!$B$1:$U$257,13,FALSE)),"",(VLOOKUP($B184,'B-1 Site Hedge Baseline'!$B$1:$U$257,13,FALSE))))</f>
        <v/>
      </c>
      <c r="L184" s="524" t="str">
        <f>IF(B184="","",IF(ISNA(VLOOKUP($B184,'B-1 Site Hedge Baseline'!$B$1:$U$257,12,FALSE)),"",(VLOOKUP($B184,'B-1 Site Hedge Baseline'!$B$1:$U$257,12,FALSE))))</f>
        <v/>
      </c>
      <c r="M184" s="416" t="str">
        <f t="shared" si="23"/>
        <v/>
      </c>
      <c r="N184" s="498" t="str">
        <f>IFERROR(IF(B184="","",INDEX('G-6 Hedgerow Data'!$AN$3:$AZ$15,MATCH(C184,'G-6 Hedgerow Data'!$AM$3:$AM$15,0),MATCH(M184,'G-6 Hedgerow Data'!$AN$2:$AZ$2,0))),"")</f>
        <v/>
      </c>
      <c r="O184" s="499" t="str">
        <f t="shared" si="18"/>
        <v/>
      </c>
      <c r="P184" s="559" t="str">
        <f>IF(B184="","",VLOOKUP(B184,'B-1 Site Hedge Baseline'!$B$10:T429,16,FALSE))</f>
        <v/>
      </c>
      <c r="Q184" s="498" t="str">
        <f>IF(M184="","",VLOOKUP(M184,'G-6 Hedgerow Data'!$B$2:$AG$15,2,FALSE))</f>
        <v/>
      </c>
      <c r="R184" s="499" t="str">
        <f>IF(M184="","",VLOOKUP(M184,'G-6 Hedgerow Data'!$B$2:$AG$15,3,FALSE))</f>
        <v/>
      </c>
      <c r="S184" s="157"/>
      <c r="T184" s="540" t="str">
        <f>IFERROR(VLOOKUP(S184,'G-1 All Habitats'!$Z$2:$AA$9,2,FALSE),"")</f>
        <v/>
      </c>
      <c r="U184" s="154"/>
      <c r="V184" s="520" t="str">
        <f>IF(U184="","",IF(VLOOKUP(U184,'G-3 Multipliers'!$L$3:$N$6,2,FALSE)=0,"Spatial Data Missing ⚠",VLOOKUP(U184,'G-3 Multipliers'!$L$3:$N$6,2,FALSE)))</f>
        <v/>
      </c>
      <c r="W184" s="524" t="str">
        <f>IF(U184="","",IF(VLOOKUP(U184,'G-3 Multipliers'!$L$3:$N$6,3,FALSE)=0,"Spatial Data Missing ⚠",VLOOKUP(U184,'G-3 Multipliers'!$L$3:$N$6,3,FALSE)))</f>
        <v/>
      </c>
      <c r="X184" s="498" t="str">
        <f>IFERROR(IF(OR(LEFT(O184,5)="Error ▲",LEFT(N184,5)="Error ▲",T184="Error ▲"),"Check Data ⚠",IF(F184&lt;R184,INDEX('G-6 Hedgerow Data'!$S$3:$AE$14,MATCH(C184,'G-6 Hedgerow Data'!$B$3:$B$14,0),MATCH(M184,'G-6 Hedgerow Data'!$S$2:$AE$2,0)),INDEX('G-6 Hedgerow Data'!$K$3:$Q$14,MATCH(M184,'G-6 Hedgerow Data'!$B$3:$B$14,0),MATCH(O184,'G-6 Hedgerow Data'!$K$2:$Q$2,0)))),"")</f>
        <v/>
      </c>
      <c r="Y184" s="195"/>
      <c r="Z184" s="195"/>
      <c r="AA184" s="507" t="str">
        <f t="shared" si="19"/>
        <v/>
      </c>
      <c r="AB184" s="521" t="str">
        <f t="shared" si="20"/>
        <v/>
      </c>
      <c r="AC184" s="522" t="str">
        <f t="shared" si="16"/>
        <v/>
      </c>
      <c r="AD184" s="537" t="str">
        <f>IF(M184="","",VLOOKUP(M184,'G-6 Hedgerow Data'!$B$3:$AG$15,31,FALSE))</f>
        <v/>
      </c>
      <c r="AE184" s="507" t="str">
        <f t="shared" si="21"/>
        <v/>
      </c>
      <c r="AF184" s="507" t="str">
        <f t="shared" si="22"/>
        <v/>
      </c>
      <c r="AG184" s="524" t="str">
        <f>IFERROR(IF(O184="","",VLOOKUP(AD184,'G-3 Multipliers'!$P$3:$Q$6,2,FALSE)),"")</f>
        <v/>
      </c>
      <c r="AH184" s="513" t="str">
        <f t="shared" si="17"/>
        <v/>
      </c>
      <c r="AI184" s="231"/>
      <c r="AJ184" s="150"/>
      <c r="AT184" s="31" t="str">
        <f>IFERROR(INDEX('G-6 Hedgerow Data'!$BJ$3:$BJ$15,MATCH(M184,'G-6 Hedgerow Data'!$B$3:$B$15,0)),"")</f>
        <v/>
      </c>
    </row>
    <row r="185" spans="2:46" ht="14" x14ac:dyDescent="0.3">
      <c r="B185" s="531" t="str">
        <f>'B-1 Site Hedge Baseline'!AK183</f>
        <v/>
      </c>
      <c r="C185" s="520" t="str">
        <f>IF(B185="","",IF(ISNA(VLOOKUP($B185,'B-1 Site Hedge Baseline'!$B$1:$L$257,3,FALSE)),"",(VLOOKUP($B185,'B-1 Site Hedge Baseline'!$B$1:$L$257,3,FALSE))))</f>
        <v/>
      </c>
      <c r="D185" s="520" t="str">
        <f>IF(B185="","",IF(ISNA(VLOOKUP($B185,'B-1 Site Hedge Baseline'!$B$1:$L$257,4,FALSE)),"",(VLOOKUP($B185,'B-1 Site Hedge Baseline'!$B$1:$L$257,4,FALSE))))</f>
        <v/>
      </c>
      <c r="E185" s="520" t="str">
        <f>IF(B185="","",IF(ISNA(VLOOKUP($B185,'B-1 Site Hedge Baseline'!$B$1:$L$257,5,FALSE)),"",(VLOOKUP($B185,'B-1 Site Hedge Baseline'!$B$1:$L$257,5,FALSE))))</f>
        <v/>
      </c>
      <c r="F185" s="520" t="str">
        <f>IF(B185="","",IF(ISNA(VLOOKUP($B185,'B-1 Site Hedge Baseline'!$B$1:$L$257,6,FALSE)),"",(VLOOKUP($B185,'B-1 Site Hedge Baseline'!$B$1:$L$257,6,FALSE))))</f>
        <v/>
      </c>
      <c r="G185" s="520" t="str">
        <f>IF(B185="","",IF(ISNA(VLOOKUP($B185,'B-1 Site Hedge Baseline'!$B$1:$L$257,7,FALSE)),"",(VLOOKUP($B185,'B-1 Site Hedge Baseline'!$B$1:$L$257,7,FALSE))))</f>
        <v/>
      </c>
      <c r="H185" s="520" t="str">
        <f>IF(B185="","",IF(ISNA(VLOOKUP($B185,'B-1 Site Hedge Baseline'!$B$1:$L$257,8,FALSE)),"",(VLOOKUP($B185,'B-1 Site Hedge Baseline'!$B$1:$L$257,8,FALSE))))</f>
        <v/>
      </c>
      <c r="I185" s="520" t="str">
        <f>IF(B185="","",IF(ISNA(VLOOKUP($B185,'B-1 Site Hedge Baseline'!$B$1:$L$257,10,FALSE)),"",(VLOOKUP($B185,'B-1 Site Hedge Baseline'!$B$1:$L$257,10,FALSE))))</f>
        <v/>
      </c>
      <c r="J185" s="520" t="str">
        <f>IF(B185="","",IF(ISNA(VLOOKUP($B185,'B-1 Site Hedge Baseline'!$B$1:$L$257,11,FALSE)),"",(VLOOKUP($B185,'B-1 Site Hedge Baseline'!$B$1:$L$257,11,FALSE))))</f>
        <v/>
      </c>
      <c r="K185" s="520" t="str">
        <f>IF(B185="","",IF(ISNA(VLOOKUP($B185,'B-1 Site Hedge Baseline'!$B$1:$U$257,13,FALSE)),"",(VLOOKUP($B185,'B-1 Site Hedge Baseline'!$B$1:$U$257,13,FALSE))))</f>
        <v/>
      </c>
      <c r="L185" s="524" t="str">
        <f>IF(B185="","",IF(ISNA(VLOOKUP($B185,'B-1 Site Hedge Baseline'!$B$1:$U$257,12,FALSE)),"",(VLOOKUP($B185,'B-1 Site Hedge Baseline'!$B$1:$U$257,12,FALSE))))</f>
        <v/>
      </c>
      <c r="M185" s="416" t="str">
        <f t="shared" si="23"/>
        <v/>
      </c>
      <c r="N185" s="498" t="str">
        <f>IFERROR(IF(B185="","",INDEX('G-6 Hedgerow Data'!$AN$3:$AZ$15,MATCH(C185,'G-6 Hedgerow Data'!$AM$3:$AM$15,0),MATCH(M185,'G-6 Hedgerow Data'!$AN$2:$AZ$2,0))),"")</f>
        <v/>
      </c>
      <c r="O185" s="499" t="str">
        <f t="shared" si="18"/>
        <v/>
      </c>
      <c r="P185" s="559" t="str">
        <f>IF(B185="","",VLOOKUP(B185,'B-1 Site Hedge Baseline'!$B$10:T430,16,FALSE))</f>
        <v/>
      </c>
      <c r="Q185" s="498" t="str">
        <f>IF(M185="","",VLOOKUP(M185,'G-6 Hedgerow Data'!$B$2:$AG$15,2,FALSE))</f>
        <v/>
      </c>
      <c r="R185" s="499" t="str">
        <f>IF(M185="","",VLOOKUP(M185,'G-6 Hedgerow Data'!$B$2:$AG$15,3,FALSE))</f>
        <v/>
      </c>
      <c r="S185" s="157"/>
      <c r="T185" s="540" t="str">
        <f>IFERROR(VLOOKUP(S185,'G-1 All Habitats'!$Z$2:$AA$9,2,FALSE),"")</f>
        <v/>
      </c>
      <c r="U185" s="154"/>
      <c r="V185" s="520" t="str">
        <f>IF(U185="","",IF(VLOOKUP(U185,'G-3 Multipliers'!$L$3:$N$6,2,FALSE)=0,"Spatial Data Missing ⚠",VLOOKUP(U185,'G-3 Multipliers'!$L$3:$N$6,2,FALSE)))</f>
        <v/>
      </c>
      <c r="W185" s="524" t="str">
        <f>IF(U185="","",IF(VLOOKUP(U185,'G-3 Multipliers'!$L$3:$N$6,3,FALSE)=0,"Spatial Data Missing ⚠",VLOOKUP(U185,'G-3 Multipliers'!$L$3:$N$6,3,FALSE)))</f>
        <v/>
      </c>
      <c r="X185" s="498" t="str">
        <f>IFERROR(IF(OR(LEFT(O185,5)="Error ▲",LEFT(N185,5)="Error ▲",T185="Error ▲"),"Check Data ⚠",IF(F185&lt;R185,INDEX('G-6 Hedgerow Data'!$S$3:$AE$14,MATCH(C185,'G-6 Hedgerow Data'!$B$3:$B$14,0),MATCH(M185,'G-6 Hedgerow Data'!$S$2:$AE$2,0)),INDEX('G-6 Hedgerow Data'!$K$3:$Q$14,MATCH(M185,'G-6 Hedgerow Data'!$B$3:$B$14,0),MATCH(O185,'G-6 Hedgerow Data'!$K$2:$Q$2,0)))),"")</f>
        <v/>
      </c>
      <c r="Y185" s="195"/>
      <c r="Z185" s="195"/>
      <c r="AA185" s="507" t="str">
        <f t="shared" si="19"/>
        <v/>
      </c>
      <c r="AB185" s="521" t="str">
        <f t="shared" si="20"/>
        <v/>
      </c>
      <c r="AC185" s="522" t="str">
        <f t="shared" si="16"/>
        <v/>
      </c>
      <c r="AD185" s="537" t="str">
        <f>IF(M185="","",VLOOKUP(M185,'G-6 Hedgerow Data'!$B$3:$AG$15,31,FALSE))</f>
        <v/>
      </c>
      <c r="AE185" s="507" t="str">
        <f t="shared" si="21"/>
        <v/>
      </c>
      <c r="AF185" s="507" t="str">
        <f t="shared" si="22"/>
        <v/>
      </c>
      <c r="AG185" s="524" t="str">
        <f>IFERROR(IF(O185="","",VLOOKUP(AD185,'G-3 Multipliers'!$P$3:$Q$6,2,FALSE)),"")</f>
        <v/>
      </c>
      <c r="AH185" s="513" t="str">
        <f t="shared" si="17"/>
        <v/>
      </c>
      <c r="AI185" s="231"/>
      <c r="AJ185" s="150"/>
      <c r="AT185" s="31" t="str">
        <f>IFERROR(INDEX('G-6 Hedgerow Data'!$BJ$3:$BJ$15,MATCH(M185,'G-6 Hedgerow Data'!$B$3:$B$15,0)),"")</f>
        <v/>
      </c>
    </row>
    <row r="186" spans="2:46" ht="14" x14ac:dyDescent="0.3">
      <c r="B186" s="531" t="str">
        <f>'B-1 Site Hedge Baseline'!AK184</f>
        <v/>
      </c>
      <c r="C186" s="520" t="str">
        <f>IF(B186="","",IF(ISNA(VLOOKUP($B186,'B-1 Site Hedge Baseline'!$B$1:$L$257,3,FALSE)),"",(VLOOKUP($B186,'B-1 Site Hedge Baseline'!$B$1:$L$257,3,FALSE))))</f>
        <v/>
      </c>
      <c r="D186" s="520" t="str">
        <f>IF(B186="","",IF(ISNA(VLOOKUP($B186,'B-1 Site Hedge Baseline'!$B$1:$L$257,4,FALSE)),"",(VLOOKUP($B186,'B-1 Site Hedge Baseline'!$B$1:$L$257,4,FALSE))))</f>
        <v/>
      </c>
      <c r="E186" s="520" t="str">
        <f>IF(B186="","",IF(ISNA(VLOOKUP($B186,'B-1 Site Hedge Baseline'!$B$1:$L$257,5,FALSE)),"",(VLOOKUP($B186,'B-1 Site Hedge Baseline'!$B$1:$L$257,5,FALSE))))</f>
        <v/>
      </c>
      <c r="F186" s="520" t="str">
        <f>IF(B186="","",IF(ISNA(VLOOKUP($B186,'B-1 Site Hedge Baseline'!$B$1:$L$257,6,FALSE)),"",(VLOOKUP($B186,'B-1 Site Hedge Baseline'!$B$1:$L$257,6,FALSE))))</f>
        <v/>
      </c>
      <c r="G186" s="520" t="str">
        <f>IF(B186="","",IF(ISNA(VLOOKUP($B186,'B-1 Site Hedge Baseline'!$B$1:$L$257,7,FALSE)),"",(VLOOKUP($B186,'B-1 Site Hedge Baseline'!$B$1:$L$257,7,FALSE))))</f>
        <v/>
      </c>
      <c r="H186" s="520" t="str">
        <f>IF(B186="","",IF(ISNA(VLOOKUP($B186,'B-1 Site Hedge Baseline'!$B$1:$L$257,8,FALSE)),"",(VLOOKUP($B186,'B-1 Site Hedge Baseline'!$B$1:$L$257,8,FALSE))))</f>
        <v/>
      </c>
      <c r="I186" s="520" t="str">
        <f>IF(B186="","",IF(ISNA(VLOOKUP($B186,'B-1 Site Hedge Baseline'!$B$1:$L$257,10,FALSE)),"",(VLOOKUP($B186,'B-1 Site Hedge Baseline'!$B$1:$L$257,10,FALSE))))</f>
        <v/>
      </c>
      <c r="J186" s="520" t="str">
        <f>IF(B186="","",IF(ISNA(VLOOKUP($B186,'B-1 Site Hedge Baseline'!$B$1:$L$257,11,FALSE)),"",(VLOOKUP($B186,'B-1 Site Hedge Baseline'!$B$1:$L$257,11,FALSE))))</f>
        <v/>
      </c>
      <c r="K186" s="520" t="str">
        <f>IF(B186="","",IF(ISNA(VLOOKUP($B186,'B-1 Site Hedge Baseline'!$B$1:$U$257,13,FALSE)),"",(VLOOKUP($B186,'B-1 Site Hedge Baseline'!$B$1:$U$257,13,FALSE))))</f>
        <v/>
      </c>
      <c r="L186" s="524" t="str">
        <f>IF(B186="","",IF(ISNA(VLOOKUP($B186,'B-1 Site Hedge Baseline'!$B$1:$U$257,12,FALSE)),"",(VLOOKUP($B186,'B-1 Site Hedge Baseline'!$B$1:$U$257,12,FALSE))))</f>
        <v/>
      </c>
      <c r="M186" s="416" t="str">
        <f t="shared" si="23"/>
        <v/>
      </c>
      <c r="N186" s="498" t="str">
        <f>IFERROR(IF(B186="","",INDEX('G-6 Hedgerow Data'!$AN$3:$AZ$15,MATCH(C186,'G-6 Hedgerow Data'!$AM$3:$AM$15,0),MATCH(M186,'G-6 Hedgerow Data'!$AN$2:$AZ$2,0))),"")</f>
        <v/>
      </c>
      <c r="O186" s="499" t="str">
        <f t="shared" si="18"/>
        <v/>
      </c>
      <c r="P186" s="559" t="str">
        <f>IF(B186="","",VLOOKUP(B186,'B-1 Site Hedge Baseline'!$B$10:T431,16,FALSE))</f>
        <v/>
      </c>
      <c r="Q186" s="498" t="str">
        <f>IF(M186="","",VLOOKUP(M186,'G-6 Hedgerow Data'!$B$2:$AG$15,2,FALSE))</f>
        <v/>
      </c>
      <c r="R186" s="499" t="str">
        <f>IF(M186="","",VLOOKUP(M186,'G-6 Hedgerow Data'!$B$2:$AG$15,3,FALSE))</f>
        <v/>
      </c>
      <c r="S186" s="157"/>
      <c r="T186" s="540" t="str">
        <f>IFERROR(VLOOKUP(S186,'G-1 All Habitats'!$Z$2:$AA$9,2,FALSE),"")</f>
        <v/>
      </c>
      <c r="U186" s="154"/>
      <c r="V186" s="520" t="str">
        <f>IF(U186="","",IF(VLOOKUP(U186,'G-3 Multipliers'!$L$3:$N$6,2,FALSE)=0,"Spatial Data Missing ⚠",VLOOKUP(U186,'G-3 Multipliers'!$L$3:$N$6,2,FALSE)))</f>
        <v/>
      </c>
      <c r="W186" s="524" t="str">
        <f>IF(U186="","",IF(VLOOKUP(U186,'G-3 Multipliers'!$L$3:$N$6,3,FALSE)=0,"Spatial Data Missing ⚠",VLOOKUP(U186,'G-3 Multipliers'!$L$3:$N$6,3,FALSE)))</f>
        <v/>
      </c>
      <c r="X186" s="498" t="str">
        <f>IFERROR(IF(OR(LEFT(O186,5)="Error ▲",LEFT(N186,5)="Error ▲",T186="Error ▲"),"Check Data ⚠",IF(F186&lt;R186,INDEX('G-6 Hedgerow Data'!$S$3:$AE$14,MATCH(C186,'G-6 Hedgerow Data'!$B$3:$B$14,0),MATCH(M186,'G-6 Hedgerow Data'!$S$2:$AE$2,0)),INDEX('G-6 Hedgerow Data'!$K$3:$Q$14,MATCH(M186,'G-6 Hedgerow Data'!$B$3:$B$14,0),MATCH(O186,'G-6 Hedgerow Data'!$K$2:$Q$2,0)))),"")</f>
        <v/>
      </c>
      <c r="Y186" s="195"/>
      <c r="Z186" s="195"/>
      <c r="AA186" s="507" t="str">
        <f t="shared" si="19"/>
        <v/>
      </c>
      <c r="AB186" s="521" t="str">
        <f t="shared" si="20"/>
        <v/>
      </c>
      <c r="AC186" s="522" t="str">
        <f t="shared" si="16"/>
        <v/>
      </c>
      <c r="AD186" s="537" t="str">
        <f>IF(M186="","",VLOOKUP(M186,'G-6 Hedgerow Data'!$B$3:$AG$15,31,FALSE))</f>
        <v/>
      </c>
      <c r="AE186" s="507" t="str">
        <f t="shared" si="21"/>
        <v/>
      </c>
      <c r="AF186" s="507" t="str">
        <f t="shared" si="22"/>
        <v/>
      </c>
      <c r="AG186" s="524" t="str">
        <f>IFERROR(IF(O186="","",VLOOKUP(AD186,'G-3 Multipliers'!$P$3:$Q$6,2,FALSE)),"")</f>
        <v/>
      </c>
      <c r="AH186" s="513" t="str">
        <f t="shared" si="17"/>
        <v/>
      </c>
      <c r="AI186" s="231"/>
      <c r="AJ186" s="150"/>
      <c r="AT186" s="31" t="str">
        <f>IFERROR(INDEX('G-6 Hedgerow Data'!$BJ$3:$BJ$15,MATCH(M186,'G-6 Hedgerow Data'!$B$3:$B$15,0)),"")</f>
        <v/>
      </c>
    </row>
    <row r="187" spans="2:46" ht="14" x14ac:dyDescent="0.3">
      <c r="B187" s="531" t="str">
        <f>'B-1 Site Hedge Baseline'!AK185</f>
        <v/>
      </c>
      <c r="C187" s="520" t="str">
        <f>IF(B187="","",IF(ISNA(VLOOKUP($B187,'B-1 Site Hedge Baseline'!$B$1:$L$257,3,FALSE)),"",(VLOOKUP($B187,'B-1 Site Hedge Baseline'!$B$1:$L$257,3,FALSE))))</f>
        <v/>
      </c>
      <c r="D187" s="520" t="str">
        <f>IF(B187="","",IF(ISNA(VLOOKUP($B187,'B-1 Site Hedge Baseline'!$B$1:$L$257,4,FALSE)),"",(VLOOKUP($B187,'B-1 Site Hedge Baseline'!$B$1:$L$257,4,FALSE))))</f>
        <v/>
      </c>
      <c r="E187" s="520" t="str">
        <f>IF(B187="","",IF(ISNA(VLOOKUP($B187,'B-1 Site Hedge Baseline'!$B$1:$L$257,5,FALSE)),"",(VLOOKUP($B187,'B-1 Site Hedge Baseline'!$B$1:$L$257,5,FALSE))))</f>
        <v/>
      </c>
      <c r="F187" s="520" t="str">
        <f>IF(B187="","",IF(ISNA(VLOOKUP($B187,'B-1 Site Hedge Baseline'!$B$1:$L$257,6,FALSE)),"",(VLOOKUP($B187,'B-1 Site Hedge Baseline'!$B$1:$L$257,6,FALSE))))</f>
        <v/>
      </c>
      <c r="G187" s="520" t="str">
        <f>IF(B187="","",IF(ISNA(VLOOKUP($B187,'B-1 Site Hedge Baseline'!$B$1:$L$257,7,FALSE)),"",(VLOOKUP($B187,'B-1 Site Hedge Baseline'!$B$1:$L$257,7,FALSE))))</f>
        <v/>
      </c>
      <c r="H187" s="520" t="str">
        <f>IF(B187="","",IF(ISNA(VLOOKUP($B187,'B-1 Site Hedge Baseline'!$B$1:$L$257,8,FALSE)),"",(VLOOKUP($B187,'B-1 Site Hedge Baseline'!$B$1:$L$257,8,FALSE))))</f>
        <v/>
      </c>
      <c r="I187" s="520" t="str">
        <f>IF(B187="","",IF(ISNA(VLOOKUP($B187,'B-1 Site Hedge Baseline'!$B$1:$L$257,10,FALSE)),"",(VLOOKUP($B187,'B-1 Site Hedge Baseline'!$B$1:$L$257,10,FALSE))))</f>
        <v/>
      </c>
      <c r="J187" s="520" t="str">
        <f>IF(B187="","",IF(ISNA(VLOOKUP($B187,'B-1 Site Hedge Baseline'!$B$1:$L$257,11,FALSE)),"",(VLOOKUP($B187,'B-1 Site Hedge Baseline'!$B$1:$L$257,11,FALSE))))</f>
        <v/>
      </c>
      <c r="K187" s="520" t="str">
        <f>IF(B187="","",IF(ISNA(VLOOKUP($B187,'B-1 Site Hedge Baseline'!$B$1:$U$257,13,FALSE)),"",(VLOOKUP($B187,'B-1 Site Hedge Baseline'!$B$1:$U$257,13,FALSE))))</f>
        <v/>
      </c>
      <c r="L187" s="524" t="str">
        <f>IF(B187="","",IF(ISNA(VLOOKUP($B187,'B-1 Site Hedge Baseline'!$B$1:$U$257,12,FALSE)),"",(VLOOKUP($B187,'B-1 Site Hedge Baseline'!$B$1:$U$257,12,FALSE))))</f>
        <v/>
      </c>
      <c r="M187" s="416" t="str">
        <f t="shared" si="23"/>
        <v/>
      </c>
      <c r="N187" s="498" t="str">
        <f>IFERROR(IF(B187="","",INDEX('G-6 Hedgerow Data'!$AN$3:$AZ$15,MATCH(C187,'G-6 Hedgerow Data'!$AM$3:$AM$15,0),MATCH(M187,'G-6 Hedgerow Data'!$AN$2:$AZ$2,0))),"")</f>
        <v/>
      </c>
      <c r="O187" s="499" t="str">
        <f t="shared" si="18"/>
        <v/>
      </c>
      <c r="P187" s="559" t="str">
        <f>IF(B187="","",VLOOKUP(B187,'B-1 Site Hedge Baseline'!$B$10:T432,16,FALSE))</f>
        <v/>
      </c>
      <c r="Q187" s="498" t="str">
        <f>IF(M187="","",VLOOKUP(M187,'G-6 Hedgerow Data'!$B$2:$AG$15,2,FALSE))</f>
        <v/>
      </c>
      <c r="R187" s="499" t="str">
        <f>IF(M187="","",VLOOKUP(M187,'G-6 Hedgerow Data'!$B$2:$AG$15,3,FALSE))</f>
        <v/>
      </c>
      <c r="S187" s="157"/>
      <c r="T187" s="540" t="str">
        <f>IFERROR(VLOOKUP(S187,'G-1 All Habitats'!$Z$2:$AA$9,2,FALSE),"")</f>
        <v/>
      </c>
      <c r="U187" s="154"/>
      <c r="V187" s="520" t="str">
        <f>IF(U187="","",IF(VLOOKUP(U187,'G-3 Multipliers'!$L$3:$N$6,2,FALSE)=0,"Spatial Data Missing ⚠",VLOOKUP(U187,'G-3 Multipliers'!$L$3:$N$6,2,FALSE)))</f>
        <v/>
      </c>
      <c r="W187" s="524" t="str">
        <f>IF(U187="","",IF(VLOOKUP(U187,'G-3 Multipliers'!$L$3:$N$6,3,FALSE)=0,"Spatial Data Missing ⚠",VLOOKUP(U187,'G-3 Multipliers'!$L$3:$N$6,3,FALSE)))</f>
        <v/>
      </c>
      <c r="X187" s="498" t="str">
        <f>IFERROR(IF(OR(LEFT(O187,5)="Error ▲",LEFT(N187,5)="Error ▲",T187="Error ▲"),"Check Data ⚠",IF(F187&lt;R187,INDEX('G-6 Hedgerow Data'!$S$3:$AE$14,MATCH(C187,'G-6 Hedgerow Data'!$B$3:$B$14,0),MATCH(M187,'G-6 Hedgerow Data'!$S$2:$AE$2,0)),INDEX('G-6 Hedgerow Data'!$K$3:$Q$14,MATCH(M187,'G-6 Hedgerow Data'!$B$3:$B$14,0),MATCH(O187,'G-6 Hedgerow Data'!$K$2:$Q$2,0)))),"")</f>
        <v/>
      </c>
      <c r="Y187" s="195"/>
      <c r="Z187" s="195"/>
      <c r="AA187" s="507" t="str">
        <f t="shared" si="19"/>
        <v/>
      </c>
      <c r="AB187" s="521" t="str">
        <f t="shared" si="20"/>
        <v/>
      </c>
      <c r="AC187" s="522" t="str">
        <f t="shared" si="16"/>
        <v/>
      </c>
      <c r="AD187" s="537" t="str">
        <f>IF(M187="","",VLOOKUP(M187,'G-6 Hedgerow Data'!$B$3:$AG$15,31,FALSE))</f>
        <v/>
      </c>
      <c r="AE187" s="507" t="str">
        <f t="shared" si="21"/>
        <v/>
      </c>
      <c r="AF187" s="507" t="str">
        <f t="shared" si="22"/>
        <v/>
      </c>
      <c r="AG187" s="524" t="str">
        <f>IFERROR(IF(O187="","",VLOOKUP(AD187,'G-3 Multipliers'!$P$3:$Q$6,2,FALSE)),"")</f>
        <v/>
      </c>
      <c r="AH187" s="513" t="str">
        <f t="shared" si="17"/>
        <v/>
      </c>
      <c r="AI187" s="231"/>
      <c r="AJ187" s="150"/>
      <c r="AT187" s="31" t="str">
        <f>IFERROR(INDEX('G-6 Hedgerow Data'!$BJ$3:$BJ$15,MATCH(M187,'G-6 Hedgerow Data'!$B$3:$B$15,0)),"")</f>
        <v/>
      </c>
    </row>
    <row r="188" spans="2:46" ht="14" x14ac:dyDescent="0.3">
      <c r="B188" s="531" t="str">
        <f>'B-1 Site Hedge Baseline'!AK186</f>
        <v/>
      </c>
      <c r="C188" s="520" t="str">
        <f>IF(B188="","",IF(ISNA(VLOOKUP($B188,'B-1 Site Hedge Baseline'!$B$1:$L$257,3,FALSE)),"",(VLOOKUP($B188,'B-1 Site Hedge Baseline'!$B$1:$L$257,3,FALSE))))</f>
        <v/>
      </c>
      <c r="D188" s="520" t="str">
        <f>IF(B188="","",IF(ISNA(VLOOKUP($B188,'B-1 Site Hedge Baseline'!$B$1:$L$257,4,FALSE)),"",(VLOOKUP($B188,'B-1 Site Hedge Baseline'!$B$1:$L$257,4,FALSE))))</f>
        <v/>
      </c>
      <c r="E188" s="520" t="str">
        <f>IF(B188="","",IF(ISNA(VLOOKUP($B188,'B-1 Site Hedge Baseline'!$B$1:$L$257,5,FALSE)),"",(VLOOKUP($B188,'B-1 Site Hedge Baseline'!$B$1:$L$257,5,FALSE))))</f>
        <v/>
      </c>
      <c r="F188" s="520" t="str">
        <f>IF(B188="","",IF(ISNA(VLOOKUP($B188,'B-1 Site Hedge Baseline'!$B$1:$L$257,6,FALSE)),"",(VLOOKUP($B188,'B-1 Site Hedge Baseline'!$B$1:$L$257,6,FALSE))))</f>
        <v/>
      </c>
      <c r="G188" s="520" t="str">
        <f>IF(B188="","",IF(ISNA(VLOOKUP($B188,'B-1 Site Hedge Baseline'!$B$1:$L$257,7,FALSE)),"",(VLOOKUP($B188,'B-1 Site Hedge Baseline'!$B$1:$L$257,7,FALSE))))</f>
        <v/>
      </c>
      <c r="H188" s="520" t="str">
        <f>IF(B188="","",IF(ISNA(VLOOKUP($B188,'B-1 Site Hedge Baseline'!$B$1:$L$257,8,FALSE)),"",(VLOOKUP($B188,'B-1 Site Hedge Baseline'!$B$1:$L$257,8,FALSE))))</f>
        <v/>
      </c>
      <c r="I188" s="520" t="str">
        <f>IF(B188="","",IF(ISNA(VLOOKUP($B188,'B-1 Site Hedge Baseline'!$B$1:$L$257,10,FALSE)),"",(VLOOKUP($B188,'B-1 Site Hedge Baseline'!$B$1:$L$257,10,FALSE))))</f>
        <v/>
      </c>
      <c r="J188" s="520" t="str">
        <f>IF(B188="","",IF(ISNA(VLOOKUP($B188,'B-1 Site Hedge Baseline'!$B$1:$L$257,11,FALSE)),"",(VLOOKUP($B188,'B-1 Site Hedge Baseline'!$B$1:$L$257,11,FALSE))))</f>
        <v/>
      </c>
      <c r="K188" s="520" t="str">
        <f>IF(B188="","",IF(ISNA(VLOOKUP($B188,'B-1 Site Hedge Baseline'!$B$1:$U$257,13,FALSE)),"",(VLOOKUP($B188,'B-1 Site Hedge Baseline'!$B$1:$U$257,13,FALSE))))</f>
        <v/>
      </c>
      <c r="L188" s="524" t="str">
        <f>IF(B188="","",IF(ISNA(VLOOKUP($B188,'B-1 Site Hedge Baseline'!$B$1:$U$257,12,FALSE)),"",(VLOOKUP($B188,'B-1 Site Hedge Baseline'!$B$1:$U$257,12,FALSE))))</f>
        <v/>
      </c>
      <c r="M188" s="416" t="str">
        <f t="shared" si="23"/>
        <v/>
      </c>
      <c r="N188" s="498" t="str">
        <f>IFERROR(IF(B188="","",INDEX('G-6 Hedgerow Data'!$AN$3:$AZ$15,MATCH(C188,'G-6 Hedgerow Data'!$AM$3:$AM$15,0),MATCH(M188,'G-6 Hedgerow Data'!$AN$2:$AZ$2,0))),"")</f>
        <v/>
      </c>
      <c r="O188" s="499" t="str">
        <f t="shared" si="18"/>
        <v/>
      </c>
      <c r="P188" s="559" t="str">
        <f>IF(B188="","",VLOOKUP(B188,'B-1 Site Hedge Baseline'!$B$10:T433,16,FALSE))</f>
        <v/>
      </c>
      <c r="Q188" s="498" t="str">
        <f>IF(M188="","",VLOOKUP(M188,'G-6 Hedgerow Data'!$B$2:$AG$15,2,FALSE))</f>
        <v/>
      </c>
      <c r="R188" s="499" t="str">
        <f>IF(M188="","",VLOOKUP(M188,'G-6 Hedgerow Data'!$B$2:$AG$15,3,FALSE))</f>
        <v/>
      </c>
      <c r="S188" s="157"/>
      <c r="T188" s="540" t="str">
        <f>IFERROR(VLOOKUP(S188,'G-1 All Habitats'!$Z$2:$AA$9,2,FALSE),"")</f>
        <v/>
      </c>
      <c r="U188" s="154"/>
      <c r="V188" s="520" t="str">
        <f>IF(U188="","",IF(VLOOKUP(U188,'G-3 Multipliers'!$L$3:$N$6,2,FALSE)=0,"Spatial Data Missing ⚠",VLOOKUP(U188,'G-3 Multipliers'!$L$3:$N$6,2,FALSE)))</f>
        <v/>
      </c>
      <c r="W188" s="524" t="str">
        <f>IF(U188="","",IF(VLOOKUP(U188,'G-3 Multipliers'!$L$3:$N$6,3,FALSE)=0,"Spatial Data Missing ⚠",VLOOKUP(U188,'G-3 Multipliers'!$L$3:$N$6,3,FALSE)))</f>
        <v/>
      </c>
      <c r="X188" s="498" t="str">
        <f>IFERROR(IF(OR(LEFT(O188,5)="Error ▲",LEFT(N188,5)="Error ▲",T188="Error ▲"),"Check Data ⚠",IF(F188&lt;R188,INDEX('G-6 Hedgerow Data'!$S$3:$AE$14,MATCH(C188,'G-6 Hedgerow Data'!$B$3:$B$14,0),MATCH(M188,'G-6 Hedgerow Data'!$S$2:$AE$2,0)),INDEX('G-6 Hedgerow Data'!$K$3:$Q$14,MATCH(M188,'G-6 Hedgerow Data'!$B$3:$B$14,0),MATCH(O188,'G-6 Hedgerow Data'!$K$2:$Q$2,0)))),"")</f>
        <v/>
      </c>
      <c r="Y188" s="195"/>
      <c r="Z188" s="195"/>
      <c r="AA188" s="507" t="str">
        <f t="shared" si="19"/>
        <v/>
      </c>
      <c r="AB188" s="521" t="str">
        <f t="shared" si="20"/>
        <v/>
      </c>
      <c r="AC188" s="522" t="str">
        <f t="shared" si="16"/>
        <v/>
      </c>
      <c r="AD188" s="537" t="str">
        <f>IF(M188="","",VLOOKUP(M188,'G-6 Hedgerow Data'!$B$3:$AG$15,31,FALSE))</f>
        <v/>
      </c>
      <c r="AE188" s="507" t="str">
        <f t="shared" si="21"/>
        <v/>
      </c>
      <c r="AF188" s="507" t="str">
        <f t="shared" si="22"/>
        <v/>
      </c>
      <c r="AG188" s="524" t="str">
        <f>IFERROR(IF(O188="","",VLOOKUP(AD188,'G-3 Multipliers'!$P$3:$Q$6,2,FALSE)),"")</f>
        <v/>
      </c>
      <c r="AH188" s="513" t="str">
        <f t="shared" si="17"/>
        <v/>
      </c>
      <c r="AI188" s="231"/>
      <c r="AJ188" s="150"/>
      <c r="AT188" s="31" t="str">
        <f>IFERROR(INDEX('G-6 Hedgerow Data'!$BJ$3:$BJ$15,MATCH(M188,'G-6 Hedgerow Data'!$B$3:$B$15,0)),"")</f>
        <v/>
      </c>
    </row>
    <row r="189" spans="2:46" ht="14" x14ac:dyDescent="0.3">
      <c r="B189" s="531" t="str">
        <f>'B-1 Site Hedge Baseline'!AK187</f>
        <v/>
      </c>
      <c r="C189" s="520" t="str">
        <f>IF(B189="","",IF(ISNA(VLOOKUP($B189,'B-1 Site Hedge Baseline'!$B$1:$L$257,3,FALSE)),"",(VLOOKUP($B189,'B-1 Site Hedge Baseline'!$B$1:$L$257,3,FALSE))))</f>
        <v/>
      </c>
      <c r="D189" s="520" t="str">
        <f>IF(B189="","",IF(ISNA(VLOOKUP($B189,'B-1 Site Hedge Baseline'!$B$1:$L$257,4,FALSE)),"",(VLOOKUP($B189,'B-1 Site Hedge Baseline'!$B$1:$L$257,4,FALSE))))</f>
        <v/>
      </c>
      <c r="E189" s="520" t="str">
        <f>IF(B189="","",IF(ISNA(VLOOKUP($B189,'B-1 Site Hedge Baseline'!$B$1:$L$257,5,FALSE)),"",(VLOOKUP($B189,'B-1 Site Hedge Baseline'!$B$1:$L$257,5,FALSE))))</f>
        <v/>
      </c>
      <c r="F189" s="520" t="str">
        <f>IF(B189="","",IF(ISNA(VLOOKUP($B189,'B-1 Site Hedge Baseline'!$B$1:$L$257,6,FALSE)),"",(VLOOKUP($B189,'B-1 Site Hedge Baseline'!$B$1:$L$257,6,FALSE))))</f>
        <v/>
      </c>
      <c r="G189" s="520" t="str">
        <f>IF(B189="","",IF(ISNA(VLOOKUP($B189,'B-1 Site Hedge Baseline'!$B$1:$L$257,7,FALSE)),"",(VLOOKUP($B189,'B-1 Site Hedge Baseline'!$B$1:$L$257,7,FALSE))))</f>
        <v/>
      </c>
      <c r="H189" s="520" t="str">
        <f>IF(B189="","",IF(ISNA(VLOOKUP($B189,'B-1 Site Hedge Baseline'!$B$1:$L$257,8,FALSE)),"",(VLOOKUP($B189,'B-1 Site Hedge Baseline'!$B$1:$L$257,8,FALSE))))</f>
        <v/>
      </c>
      <c r="I189" s="520" t="str">
        <f>IF(B189="","",IF(ISNA(VLOOKUP($B189,'B-1 Site Hedge Baseline'!$B$1:$L$257,10,FALSE)),"",(VLOOKUP($B189,'B-1 Site Hedge Baseline'!$B$1:$L$257,10,FALSE))))</f>
        <v/>
      </c>
      <c r="J189" s="520" t="str">
        <f>IF(B189="","",IF(ISNA(VLOOKUP($B189,'B-1 Site Hedge Baseline'!$B$1:$L$257,11,FALSE)),"",(VLOOKUP($B189,'B-1 Site Hedge Baseline'!$B$1:$L$257,11,FALSE))))</f>
        <v/>
      </c>
      <c r="K189" s="520" t="str">
        <f>IF(B189="","",IF(ISNA(VLOOKUP($B189,'B-1 Site Hedge Baseline'!$B$1:$U$257,13,FALSE)),"",(VLOOKUP($B189,'B-1 Site Hedge Baseline'!$B$1:$U$257,13,FALSE))))</f>
        <v/>
      </c>
      <c r="L189" s="524" t="str">
        <f>IF(B189="","",IF(ISNA(VLOOKUP($B189,'B-1 Site Hedge Baseline'!$B$1:$U$257,12,FALSE)),"",(VLOOKUP($B189,'B-1 Site Hedge Baseline'!$B$1:$U$257,12,FALSE))))</f>
        <v/>
      </c>
      <c r="M189" s="416" t="str">
        <f t="shared" si="23"/>
        <v/>
      </c>
      <c r="N189" s="498" t="str">
        <f>IFERROR(IF(B189="","",INDEX('G-6 Hedgerow Data'!$AN$3:$AZ$15,MATCH(C189,'G-6 Hedgerow Data'!$AM$3:$AM$15,0),MATCH(M189,'G-6 Hedgerow Data'!$AN$2:$AZ$2,0))),"")</f>
        <v/>
      </c>
      <c r="O189" s="499" t="str">
        <f t="shared" si="18"/>
        <v/>
      </c>
      <c r="P189" s="559" t="str">
        <f>IF(B189="","",VLOOKUP(B189,'B-1 Site Hedge Baseline'!$B$10:T434,16,FALSE))</f>
        <v/>
      </c>
      <c r="Q189" s="498" t="str">
        <f>IF(M189="","",VLOOKUP(M189,'G-6 Hedgerow Data'!$B$2:$AG$15,2,FALSE))</f>
        <v/>
      </c>
      <c r="R189" s="499" t="str">
        <f>IF(M189="","",VLOOKUP(M189,'G-6 Hedgerow Data'!$B$2:$AG$15,3,FALSE))</f>
        <v/>
      </c>
      <c r="S189" s="157"/>
      <c r="T189" s="540" t="str">
        <f>IFERROR(VLOOKUP(S189,'G-1 All Habitats'!$Z$2:$AA$9,2,FALSE),"")</f>
        <v/>
      </c>
      <c r="U189" s="154"/>
      <c r="V189" s="520" t="str">
        <f>IF(U189="","",IF(VLOOKUP(U189,'G-3 Multipliers'!$L$3:$N$6,2,FALSE)=0,"Spatial Data Missing ⚠",VLOOKUP(U189,'G-3 Multipliers'!$L$3:$N$6,2,FALSE)))</f>
        <v/>
      </c>
      <c r="W189" s="524" t="str">
        <f>IF(U189="","",IF(VLOOKUP(U189,'G-3 Multipliers'!$L$3:$N$6,3,FALSE)=0,"Spatial Data Missing ⚠",VLOOKUP(U189,'G-3 Multipliers'!$L$3:$N$6,3,FALSE)))</f>
        <v/>
      </c>
      <c r="X189" s="498" t="str">
        <f>IFERROR(IF(OR(LEFT(O189,5)="Error ▲",LEFT(N189,5)="Error ▲",T189="Error ▲"),"Check Data ⚠",IF(F189&lt;R189,INDEX('G-6 Hedgerow Data'!$S$3:$AE$14,MATCH(C189,'G-6 Hedgerow Data'!$B$3:$B$14,0),MATCH(M189,'G-6 Hedgerow Data'!$S$2:$AE$2,0)),INDEX('G-6 Hedgerow Data'!$K$3:$Q$14,MATCH(M189,'G-6 Hedgerow Data'!$B$3:$B$14,0),MATCH(O189,'G-6 Hedgerow Data'!$K$2:$Q$2,0)))),"")</f>
        <v/>
      </c>
      <c r="Y189" s="195"/>
      <c r="Z189" s="195"/>
      <c r="AA189" s="507" t="str">
        <f t="shared" si="19"/>
        <v/>
      </c>
      <c r="AB189" s="521" t="str">
        <f t="shared" si="20"/>
        <v/>
      </c>
      <c r="AC189" s="522" t="str">
        <f t="shared" si="16"/>
        <v/>
      </c>
      <c r="AD189" s="537" t="str">
        <f>IF(M189="","",VLOOKUP(M189,'G-6 Hedgerow Data'!$B$3:$AG$15,31,FALSE))</f>
        <v/>
      </c>
      <c r="AE189" s="507" t="str">
        <f t="shared" si="21"/>
        <v/>
      </c>
      <c r="AF189" s="507" t="str">
        <f t="shared" si="22"/>
        <v/>
      </c>
      <c r="AG189" s="524" t="str">
        <f>IFERROR(IF(O189="","",VLOOKUP(AD189,'G-3 Multipliers'!$P$3:$Q$6,2,FALSE)),"")</f>
        <v/>
      </c>
      <c r="AH189" s="513" t="str">
        <f t="shared" si="17"/>
        <v/>
      </c>
      <c r="AI189" s="231"/>
      <c r="AJ189" s="150"/>
      <c r="AT189" s="31" t="str">
        <f>IFERROR(INDEX('G-6 Hedgerow Data'!$BJ$3:$BJ$15,MATCH(M189,'G-6 Hedgerow Data'!$B$3:$B$15,0)),"")</f>
        <v/>
      </c>
    </row>
    <row r="190" spans="2:46" ht="14" x14ac:dyDescent="0.3">
      <c r="B190" s="531" t="str">
        <f>'B-1 Site Hedge Baseline'!AK188</f>
        <v/>
      </c>
      <c r="C190" s="520" t="str">
        <f>IF(B190="","",IF(ISNA(VLOOKUP($B190,'B-1 Site Hedge Baseline'!$B$1:$L$257,3,FALSE)),"",(VLOOKUP($B190,'B-1 Site Hedge Baseline'!$B$1:$L$257,3,FALSE))))</f>
        <v/>
      </c>
      <c r="D190" s="520" t="str">
        <f>IF(B190="","",IF(ISNA(VLOOKUP($B190,'B-1 Site Hedge Baseline'!$B$1:$L$257,4,FALSE)),"",(VLOOKUP($B190,'B-1 Site Hedge Baseline'!$B$1:$L$257,4,FALSE))))</f>
        <v/>
      </c>
      <c r="E190" s="520" t="str">
        <f>IF(B190="","",IF(ISNA(VLOOKUP($B190,'B-1 Site Hedge Baseline'!$B$1:$L$257,5,FALSE)),"",(VLOOKUP($B190,'B-1 Site Hedge Baseline'!$B$1:$L$257,5,FALSE))))</f>
        <v/>
      </c>
      <c r="F190" s="520" t="str">
        <f>IF(B190="","",IF(ISNA(VLOOKUP($B190,'B-1 Site Hedge Baseline'!$B$1:$L$257,6,FALSE)),"",(VLOOKUP($B190,'B-1 Site Hedge Baseline'!$B$1:$L$257,6,FALSE))))</f>
        <v/>
      </c>
      <c r="G190" s="520" t="str">
        <f>IF(B190="","",IF(ISNA(VLOOKUP($B190,'B-1 Site Hedge Baseline'!$B$1:$L$257,7,FALSE)),"",(VLOOKUP($B190,'B-1 Site Hedge Baseline'!$B$1:$L$257,7,FALSE))))</f>
        <v/>
      </c>
      <c r="H190" s="520" t="str">
        <f>IF(B190="","",IF(ISNA(VLOOKUP($B190,'B-1 Site Hedge Baseline'!$B$1:$L$257,8,FALSE)),"",(VLOOKUP($B190,'B-1 Site Hedge Baseline'!$B$1:$L$257,8,FALSE))))</f>
        <v/>
      </c>
      <c r="I190" s="520" t="str">
        <f>IF(B190="","",IF(ISNA(VLOOKUP($B190,'B-1 Site Hedge Baseline'!$B$1:$L$257,10,FALSE)),"",(VLOOKUP($B190,'B-1 Site Hedge Baseline'!$B$1:$L$257,10,FALSE))))</f>
        <v/>
      </c>
      <c r="J190" s="520" t="str">
        <f>IF(B190="","",IF(ISNA(VLOOKUP($B190,'B-1 Site Hedge Baseline'!$B$1:$L$257,11,FALSE)),"",(VLOOKUP($B190,'B-1 Site Hedge Baseline'!$B$1:$L$257,11,FALSE))))</f>
        <v/>
      </c>
      <c r="K190" s="520" t="str">
        <f>IF(B190="","",IF(ISNA(VLOOKUP($B190,'B-1 Site Hedge Baseline'!$B$1:$U$257,13,FALSE)),"",(VLOOKUP($B190,'B-1 Site Hedge Baseline'!$B$1:$U$257,13,FALSE))))</f>
        <v/>
      </c>
      <c r="L190" s="524" t="str">
        <f>IF(B190="","",IF(ISNA(VLOOKUP($B190,'B-1 Site Hedge Baseline'!$B$1:$U$257,12,FALSE)),"",(VLOOKUP($B190,'B-1 Site Hedge Baseline'!$B$1:$U$257,12,FALSE))))</f>
        <v/>
      </c>
      <c r="M190" s="416" t="str">
        <f t="shared" si="23"/>
        <v/>
      </c>
      <c r="N190" s="498" t="str">
        <f>IFERROR(IF(B190="","",INDEX('G-6 Hedgerow Data'!$AN$3:$AZ$15,MATCH(C190,'G-6 Hedgerow Data'!$AM$3:$AM$15,0),MATCH(M190,'G-6 Hedgerow Data'!$AN$2:$AZ$2,0))),"")</f>
        <v/>
      </c>
      <c r="O190" s="499" t="str">
        <f t="shared" si="18"/>
        <v/>
      </c>
      <c r="P190" s="559" t="str">
        <f>IF(B190="","",VLOOKUP(B190,'B-1 Site Hedge Baseline'!$B$10:T435,16,FALSE))</f>
        <v/>
      </c>
      <c r="Q190" s="498" t="str">
        <f>IF(M190="","",VLOOKUP(M190,'G-6 Hedgerow Data'!$B$2:$AG$15,2,FALSE))</f>
        <v/>
      </c>
      <c r="R190" s="499" t="str">
        <f>IF(M190="","",VLOOKUP(M190,'G-6 Hedgerow Data'!$B$2:$AG$15,3,FALSE))</f>
        <v/>
      </c>
      <c r="S190" s="157"/>
      <c r="T190" s="540" t="str">
        <f>IFERROR(VLOOKUP(S190,'G-1 All Habitats'!$Z$2:$AA$9,2,FALSE),"")</f>
        <v/>
      </c>
      <c r="U190" s="154"/>
      <c r="V190" s="520" t="str">
        <f>IF(U190="","",IF(VLOOKUP(U190,'G-3 Multipliers'!$L$3:$N$6,2,FALSE)=0,"Spatial Data Missing ⚠",VLOOKUP(U190,'G-3 Multipliers'!$L$3:$N$6,2,FALSE)))</f>
        <v/>
      </c>
      <c r="W190" s="524" t="str">
        <f>IF(U190="","",IF(VLOOKUP(U190,'G-3 Multipliers'!$L$3:$N$6,3,FALSE)=0,"Spatial Data Missing ⚠",VLOOKUP(U190,'G-3 Multipliers'!$L$3:$N$6,3,FALSE)))</f>
        <v/>
      </c>
      <c r="X190" s="498" t="str">
        <f>IFERROR(IF(OR(LEFT(O190,5)="Error ▲",LEFT(N190,5)="Error ▲",T190="Error ▲"),"Check Data ⚠",IF(F190&lt;R190,INDEX('G-6 Hedgerow Data'!$S$3:$AE$14,MATCH(C190,'G-6 Hedgerow Data'!$B$3:$B$14,0),MATCH(M190,'G-6 Hedgerow Data'!$S$2:$AE$2,0)),INDEX('G-6 Hedgerow Data'!$K$3:$Q$14,MATCH(M190,'G-6 Hedgerow Data'!$B$3:$B$14,0),MATCH(O190,'G-6 Hedgerow Data'!$K$2:$Q$2,0)))),"")</f>
        <v/>
      </c>
      <c r="Y190" s="195"/>
      <c r="Z190" s="195"/>
      <c r="AA190" s="507" t="str">
        <f t="shared" si="19"/>
        <v/>
      </c>
      <c r="AB190" s="521" t="str">
        <f t="shared" si="20"/>
        <v/>
      </c>
      <c r="AC190" s="522" t="str">
        <f t="shared" si="16"/>
        <v/>
      </c>
      <c r="AD190" s="537" t="str">
        <f>IF(M190="","",VLOOKUP(M190,'G-6 Hedgerow Data'!$B$3:$AG$15,31,FALSE))</f>
        <v/>
      </c>
      <c r="AE190" s="507" t="str">
        <f t="shared" si="21"/>
        <v/>
      </c>
      <c r="AF190" s="507" t="str">
        <f t="shared" si="22"/>
        <v/>
      </c>
      <c r="AG190" s="524" t="str">
        <f>IFERROR(IF(O190="","",VLOOKUP(AD190,'G-3 Multipliers'!$P$3:$Q$6,2,FALSE)),"")</f>
        <v/>
      </c>
      <c r="AH190" s="513" t="str">
        <f t="shared" si="17"/>
        <v/>
      </c>
      <c r="AI190" s="231"/>
      <c r="AJ190" s="150"/>
      <c r="AT190" s="31" t="str">
        <f>IFERROR(INDEX('G-6 Hedgerow Data'!$BJ$3:$BJ$15,MATCH(M190,'G-6 Hedgerow Data'!$B$3:$B$15,0)),"")</f>
        <v/>
      </c>
    </row>
    <row r="191" spans="2:46" ht="14" x14ac:dyDescent="0.3">
      <c r="B191" s="531" t="str">
        <f>'B-1 Site Hedge Baseline'!AK189</f>
        <v/>
      </c>
      <c r="C191" s="520" t="str">
        <f>IF(B191="","",IF(ISNA(VLOOKUP($B191,'B-1 Site Hedge Baseline'!$B$1:$L$257,3,FALSE)),"",(VLOOKUP($B191,'B-1 Site Hedge Baseline'!$B$1:$L$257,3,FALSE))))</f>
        <v/>
      </c>
      <c r="D191" s="520" t="str">
        <f>IF(B191="","",IF(ISNA(VLOOKUP($B191,'B-1 Site Hedge Baseline'!$B$1:$L$257,4,FALSE)),"",(VLOOKUP($B191,'B-1 Site Hedge Baseline'!$B$1:$L$257,4,FALSE))))</f>
        <v/>
      </c>
      <c r="E191" s="520" t="str">
        <f>IF(B191="","",IF(ISNA(VLOOKUP($B191,'B-1 Site Hedge Baseline'!$B$1:$L$257,5,FALSE)),"",(VLOOKUP($B191,'B-1 Site Hedge Baseline'!$B$1:$L$257,5,FALSE))))</f>
        <v/>
      </c>
      <c r="F191" s="520" t="str">
        <f>IF(B191="","",IF(ISNA(VLOOKUP($B191,'B-1 Site Hedge Baseline'!$B$1:$L$257,6,FALSE)),"",(VLOOKUP($B191,'B-1 Site Hedge Baseline'!$B$1:$L$257,6,FALSE))))</f>
        <v/>
      </c>
      <c r="G191" s="520" t="str">
        <f>IF(B191="","",IF(ISNA(VLOOKUP($B191,'B-1 Site Hedge Baseline'!$B$1:$L$257,7,FALSE)),"",(VLOOKUP($B191,'B-1 Site Hedge Baseline'!$B$1:$L$257,7,FALSE))))</f>
        <v/>
      </c>
      <c r="H191" s="520" t="str">
        <f>IF(B191="","",IF(ISNA(VLOOKUP($B191,'B-1 Site Hedge Baseline'!$B$1:$L$257,8,FALSE)),"",(VLOOKUP($B191,'B-1 Site Hedge Baseline'!$B$1:$L$257,8,FALSE))))</f>
        <v/>
      </c>
      <c r="I191" s="520" t="str">
        <f>IF(B191="","",IF(ISNA(VLOOKUP($B191,'B-1 Site Hedge Baseline'!$B$1:$L$257,10,FALSE)),"",(VLOOKUP($B191,'B-1 Site Hedge Baseline'!$B$1:$L$257,10,FALSE))))</f>
        <v/>
      </c>
      <c r="J191" s="520" t="str">
        <f>IF(B191="","",IF(ISNA(VLOOKUP($B191,'B-1 Site Hedge Baseline'!$B$1:$L$257,11,FALSE)),"",(VLOOKUP($B191,'B-1 Site Hedge Baseline'!$B$1:$L$257,11,FALSE))))</f>
        <v/>
      </c>
      <c r="K191" s="520" t="str">
        <f>IF(B191="","",IF(ISNA(VLOOKUP($B191,'B-1 Site Hedge Baseline'!$B$1:$U$257,13,FALSE)),"",(VLOOKUP($B191,'B-1 Site Hedge Baseline'!$B$1:$U$257,13,FALSE))))</f>
        <v/>
      </c>
      <c r="L191" s="524" t="str">
        <f>IF(B191="","",IF(ISNA(VLOOKUP($B191,'B-1 Site Hedge Baseline'!$B$1:$U$257,12,FALSE)),"",(VLOOKUP($B191,'B-1 Site Hedge Baseline'!$B$1:$U$257,12,FALSE))))</f>
        <v/>
      </c>
      <c r="M191" s="416" t="str">
        <f t="shared" si="23"/>
        <v/>
      </c>
      <c r="N191" s="498" t="str">
        <f>IFERROR(IF(B191="","",INDEX('G-6 Hedgerow Data'!$AN$3:$AZ$15,MATCH(C191,'G-6 Hedgerow Data'!$AM$3:$AM$15,0),MATCH(M191,'G-6 Hedgerow Data'!$AN$2:$AZ$2,0))),"")</f>
        <v/>
      </c>
      <c r="O191" s="499" t="str">
        <f t="shared" si="18"/>
        <v/>
      </c>
      <c r="P191" s="559" t="str">
        <f>IF(B191="","",VLOOKUP(B191,'B-1 Site Hedge Baseline'!$B$10:T436,16,FALSE))</f>
        <v/>
      </c>
      <c r="Q191" s="498" t="str">
        <f>IF(M191="","",VLOOKUP(M191,'G-6 Hedgerow Data'!$B$2:$AG$15,2,FALSE))</f>
        <v/>
      </c>
      <c r="R191" s="499" t="str">
        <f>IF(M191="","",VLOOKUP(M191,'G-6 Hedgerow Data'!$B$2:$AG$15,3,FALSE))</f>
        <v/>
      </c>
      <c r="S191" s="157"/>
      <c r="T191" s="540" t="str">
        <f>IFERROR(VLOOKUP(S191,'G-1 All Habitats'!$Z$2:$AA$9,2,FALSE),"")</f>
        <v/>
      </c>
      <c r="U191" s="154"/>
      <c r="V191" s="520" t="str">
        <f>IF(U191="","",IF(VLOOKUP(U191,'G-3 Multipliers'!$L$3:$N$6,2,FALSE)=0,"Spatial Data Missing ⚠",VLOOKUP(U191,'G-3 Multipliers'!$L$3:$N$6,2,FALSE)))</f>
        <v/>
      </c>
      <c r="W191" s="524" t="str">
        <f>IF(U191="","",IF(VLOOKUP(U191,'G-3 Multipliers'!$L$3:$N$6,3,FALSE)=0,"Spatial Data Missing ⚠",VLOOKUP(U191,'G-3 Multipliers'!$L$3:$N$6,3,FALSE)))</f>
        <v/>
      </c>
      <c r="X191" s="498" t="str">
        <f>IFERROR(IF(OR(LEFT(O191,5)="Error ▲",LEFT(N191,5)="Error ▲",T191="Error ▲"),"Check Data ⚠",IF(F191&lt;R191,INDEX('G-6 Hedgerow Data'!$S$3:$AE$14,MATCH(C191,'G-6 Hedgerow Data'!$B$3:$B$14,0),MATCH(M191,'G-6 Hedgerow Data'!$S$2:$AE$2,0)),INDEX('G-6 Hedgerow Data'!$K$3:$Q$14,MATCH(M191,'G-6 Hedgerow Data'!$B$3:$B$14,0),MATCH(O191,'G-6 Hedgerow Data'!$K$2:$Q$2,0)))),"")</f>
        <v/>
      </c>
      <c r="Y191" s="195"/>
      <c r="Z191" s="195"/>
      <c r="AA191" s="507" t="str">
        <f t="shared" si="19"/>
        <v/>
      </c>
      <c r="AB191" s="521" t="str">
        <f t="shared" si="20"/>
        <v/>
      </c>
      <c r="AC191" s="522" t="str">
        <f t="shared" si="16"/>
        <v/>
      </c>
      <c r="AD191" s="537" t="str">
        <f>IF(M191="","",VLOOKUP(M191,'G-6 Hedgerow Data'!$B$3:$AG$15,31,FALSE))</f>
        <v/>
      </c>
      <c r="AE191" s="507" t="str">
        <f t="shared" si="21"/>
        <v/>
      </c>
      <c r="AF191" s="507" t="str">
        <f t="shared" si="22"/>
        <v/>
      </c>
      <c r="AG191" s="524" t="str">
        <f>IFERROR(IF(O191="","",VLOOKUP(AD191,'G-3 Multipliers'!$P$3:$Q$6,2,FALSE)),"")</f>
        <v/>
      </c>
      <c r="AH191" s="513" t="str">
        <f t="shared" si="17"/>
        <v/>
      </c>
      <c r="AI191" s="231"/>
      <c r="AJ191" s="150"/>
      <c r="AT191" s="31" t="str">
        <f>IFERROR(INDEX('G-6 Hedgerow Data'!$BJ$3:$BJ$15,MATCH(M191,'G-6 Hedgerow Data'!$B$3:$B$15,0)),"")</f>
        <v/>
      </c>
    </row>
    <row r="192" spans="2:46" ht="14" x14ac:dyDescent="0.3">
      <c r="B192" s="531" t="str">
        <f>'B-1 Site Hedge Baseline'!AK190</f>
        <v/>
      </c>
      <c r="C192" s="520" t="str">
        <f>IF(B192="","",IF(ISNA(VLOOKUP($B192,'B-1 Site Hedge Baseline'!$B$1:$L$257,3,FALSE)),"",(VLOOKUP($B192,'B-1 Site Hedge Baseline'!$B$1:$L$257,3,FALSE))))</f>
        <v/>
      </c>
      <c r="D192" s="520" t="str">
        <f>IF(B192="","",IF(ISNA(VLOOKUP($B192,'B-1 Site Hedge Baseline'!$B$1:$L$257,4,FALSE)),"",(VLOOKUP($B192,'B-1 Site Hedge Baseline'!$B$1:$L$257,4,FALSE))))</f>
        <v/>
      </c>
      <c r="E192" s="520" t="str">
        <f>IF(B192="","",IF(ISNA(VLOOKUP($B192,'B-1 Site Hedge Baseline'!$B$1:$L$257,5,FALSE)),"",(VLOOKUP($B192,'B-1 Site Hedge Baseline'!$B$1:$L$257,5,FALSE))))</f>
        <v/>
      </c>
      <c r="F192" s="520" t="str">
        <f>IF(B192="","",IF(ISNA(VLOOKUP($B192,'B-1 Site Hedge Baseline'!$B$1:$L$257,6,FALSE)),"",(VLOOKUP($B192,'B-1 Site Hedge Baseline'!$B$1:$L$257,6,FALSE))))</f>
        <v/>
      </c>
      <c r="G192" s="520" t="str">
        <f>IF(B192="","",IF(ISNA(VLOOKUP($B192,'B-1 Site Hedge Baseline'!$B$1:$L$257,7,FALSE)),"",(VLOOKUP($B192,'B-1 Site Hedge Baseline'!$B$1:$L$257,7,FALSE))))</f>
        <v/>
      </c>
      <c r="H192" s="520" t="str">
        <f>IF(B192="","",IF(ISNA(VLOOKUP($B192,'B-1 Site Hedge Baseline'!$B$1:$L$257,8,FALSE)),"",(VLOOKUP($B192,'B-1 Site Hedge Baseline'!$B$1:$L$257,8,FALSE))))</f>
        <v/>
      </c>
      <c r="I192" s="520" t="str">
        <f>IF(B192="","",IF(ISNA(VLOOKUP($B192,'B-1 Site Hedge Baseline'!$B$1:$L$257,10,FALSE)),"",(VLOOKUP($B192,'B-1 Site Hedge Baseline'!$B$1:$L$257,10,FALSE))))</f>
        <v/>
      </c>
      <c r="J192" s="520" t="str">
        <f>IF(B192="","",IF(ISNA(VLOOKUP($B192,'B-1 Site Hedge Baseline'!$B$1:$L$257,11,FALSE)),"",(VLOOKUP($B192,'B-1 Site Hedge Baseline'!$B$1:$L$257,11,FALSE))))</f>
        <v/>
      </c>
      <c r="K192" s="520" t="str">
        <f>IF(B192="","",IF(ISNA(VLOOKUP($B192,'B-1 Site Hedge Baseline'!$B$1:$U$257,13,FALSE)),"",(VLOOKUP($B192,'B-1 Site Hedge Baseline'!$B$1:$U$257,13,FALSE))))</f>
        <v/>
      </c>
      <c r="L192" s="524" t="str">
        <f>IF(B192="","",IF(ISNA(VLOOKUP($B192,'B-1 Site Hedge Baseline'!$B$1:$U$257,12,FALSE)),"",(VLOOKUP($B192,'B-1 Site Hedge Baseline'!$B$1:$U$257,12,FALSE))))</f>
        <v/>
      </c>
      <c r="M192" s="416" t="str">
        <f t="shared" si="23"/>
        <v/>
      </c>
      <c r="N192" s="498" t="str">
        <f>IFERROR(IF(B192="","",INDEX('G-6 Hedgerow Data'!$AN$3:$AZ$15,MATCH(C192,'G-6 Hedgerow Data'!$AM$3:$AM$15,0),MATCH(M192,'G-6 Hedgerow Data'!$AN$2:$AZ$2,0))),"")</f>
        <v/>
      </c>
      <c r="O192" s="499" t="str">
        <f t="shared" si="18"/>
        <v/>
      </c>
      <c r="P192" s="559" t="str">
        <f>IF(B192="","",VLOOKUP(B192,'B-1 Site Hedge Baseline'!$B$10:T437,16,FALSE))</f>
        <v/>
      </c>
      <c r="Q192" s="498" t="str">
        <f>IF(M192="","",VLOOKUP(M192,'G-6 Hedgerow Data'!$B$2:$AG$15,2,FALSE))</f>
        <v/>
      </c>
      <c r="R192" s="499" t="str">
        <f>IF(M192="","",VLOOKUP(M192,'G-6 Hedgerow Data'!$B$2:$AG$15,3,FALSE))</f>
        <v/>
      </c>
      <c r="S192" s="157"/>
      <c r="T192" s="540" t="str">
        <f>IFERROR(VLOOKUP(S192,'G-1 All Habitats'!$Z$2:$AA$9,2,FALSE),"")</f>
        <v/>
      </c>
      <c r="U192" s="154"/>
      <c r="V192" s="520" t="str">
        <f>IF(U192="","",IF(VLOOKUP(U192,'G-3 Multipliers'!$L$3:$N$6,2,FALSE)=0,"Spatial Data Missing ⚠",VLOOKUP(U192,'G-3 Multipliers'!$L$3:$N$6,2,FALSE)))</f>
        <v/>
      </c>
      <c r="W192" s="524" t="str">
        <f>IF(U192="","",IF(VLOOKUP(U192,'G-3 Multipliers'!$L$3:$N$6,3,FALSE)=0,"Spatial Data Missing ⚠",VLOOKUP(U192,'G-3 Multipliers'!$L$3:$N$6,3,FALSE)))</f>
        <v/>
      </c>
      <c r="X192" s="498" t="str">
        <f>IFERROR(IF(OR(LEFT(O192,5)="Error ▲",LEFT(N192,5)="Error ▲",T192="Error ▲"),"Check Data ⚠",IF(F192&lt;R192,INDEX('G-6 Hedgerow Data'!$S$3:$AE$14,MATCH(C192,'G-6 Hedgerow Data'!$B$3:$B$14,0),MATCH(M192,'G-6 Hedgerow Data'!$S$2:$AE$2,0)),INDEX('G-6 Hedgerow Data'!$K$3:$Q$14,MATCH(M192,'G-6 Hedgerow Data'!$B$3:$B$14,0),MATCH(O192,'G-6 Hedgerow Data'!$K$2:$Q$2,0)))),"")</f>
        <v/>
      </c>
      <c r="Y192" s="195"/>
      <c r="Z192" s="195"/>
      <c r="AA192" s="507" t="str">
        <f t="shared" si="19"/>
        <v/>
      </c>
      <c r="AB192" s="521" t="str">
        <f t="shared" si="20"/>
        <v/>
      </c>
      <c r="AC192" s="522" t="str">
        <f t="shared" si="16"/>
        <v/>
      </c>
      <c r="AD192" s="537" t="str">
        <f>IF(M192="","",VLOOKUP(M192,'G-6 Hedgerow Data'!$B$3:$AG$15,31,FALSE))</f>
        <v/>
      </c>
      <c r="AE192" s="507" t="str">
        <f t="shared" si="21"/>
        <v/>
      </c>
      <c r="AF192" s="507" t="str">
        <f t="shared" si="22"/>
        <v/>
      </c>
      <c r="AG192" s="524" t="str">
        <f>IFERROR(IF(O192="","",VLOOKUP(AD192,'G-3 Multipliers'!$P$3:$Q$6,2,FALSE)),"")</f>
        <v/>
      </c>
      <c r="AH192" s="513" t="str">
        <f t="shared" si="17"/>
        <v/>
      </c>
      <c r="AI192" s="231"/>
      <c r="AJ192" s="150"/>
      <c r="AT192" s="31" t="str">
        <f>IFERROR(INDEX('G-6 Hedgerow Data'!$BJ$3:$BJ$15,MATCH(M192,'G-6 Hedgerow Data'!$B$3:$B$15,0)),"")</f>
        <v/>
      </c>
    </row>
    <row r="193" spans="2:46" ht="14" x14ac:dyDescent="0.3">
      <c r="B193" s="531" t="str">
        <f>'B-1 Site Hedge Baseline'!AK191</f>
        <v/>
      </c>
      <c r="C193" s="520" t="str">
        <f>IF(B193="","",IF(ISNA(VLOOKUP($B193,'B-1 Site Hedge Baseline'!$B$1:$L$257,3,FALSE)),"",(VLOOKUP($B193,'B-1 Site Hedge Baseline'!$B$1:$L$257,3,FALSE))))</f>
        <v/>
      </c>
      <c r="D193" s="520" t="str">
        <f>IF(B193="","",IF(ISNA(VLOOKUP($B193,'B-1 Site Hedge Baseline'!$B$1:$L$257,4,FALSE)),"",(VLOOKUP($B193,'B-1 Site Hedge Baseline'!$B$1:$L$257,4,FALSE))))</f>
        <v/>
      </c>
      <c r="E193" s="520" t="str">
        <f>IF(B193="","",IF(ISNA(VLOOKUP($B193,'B-1 Site Hedge Baseline'!$B$1:$L$257,5,FALSE)),"",(VLOOKUP($B193,'B-1 Site Hedge Baseline'!$B$1:$L$257,5,FALSE))))</f>
        <v/>
      </c>
      <c r="F193" s="520" t="str">
        <f>IF(B193="","",IF(ISNA(VLOOKUP($B193,'B-1 Site Hedge Baseline'!$B$1:$L$257,6,FALSE)),"",(VLOOKUP($B193,'B-1 Site Hedge Baseline'!$B$1:$L$257,6,FALSE))))</f>
        <v/>
      </c>
      <c r="G193" s="520" t="str">
        <f>IF(B193="","",IF(ISNA(VLOOKUP($B193,'B-1 Site Hedge Baseline'!$B$1:$L$257,7,FALSE)),"",(VLOOKUP($B193,'B-1 Site Hedge Baseline'!$B$1:$L$257,7,FALSE))))</f>
        <v/>
      </c>
      <c r="H193" s="520" t="str">
        <f>IF(B193="","",IF(ISNA(VLOOKUP($B193,'B-1 Site Hedge Baseline'!$B$1:$L$257,8,FALSE)),"",(VLOOKUP($B193,'B-1 Site Hedge Baseline'!$B$1:$L$257,8,FALSE))))</f>
        <v/>
      </c>
      <c r="I193" s="520" t="str">
        <f>IF(B193="","",IF(ISNA(VLOOKUP($B193,'B-1 Site Hedge Baseline'!$B$1:$L$257,10,FALSE)),"",(VLOOKUP($B193,'B-1 Site Hedge Baseline'!$B$1:$L$257,10,FALSE))))</f>
        <v/>
      </c>
      <c r="J193" s="520" t="str">
        <f>IF(B193="","",IF(ISNA(VLOOKUP($B193,'B-1 Site Hedge Baseline'!$B$1:$L$257,11,FALSE)),"",(VLOOKUP($B193,'B-1 Site Hedge Baseline'!$B$1:$L$257,11,FALSE))))</f>
        <v/>
      </c>
      <c r="K193" s="520" t="str">
        <f>IF(B193="","",IF(ISNA(VLOOKUP($B193,'B-1 Site Hedge Baseline'!$B$1:$U$257,13,FALSE)),"",(VLOOKUP($B193,'B-1 Site Hedge Baseline'!$B$1:$U$257,13,FALSE))))</f>
        <v/>
      </c>
      <c r="L193" s="524" t="str">
        <f>IF(B193="","",IF(ISNA(VLOOKUP($B193,'B-1 Site Hedge Baseline'!$B$1:$U$257,12,FALSE)),"",(VLOOKUP($B193,'B-1 Site Hedge Baseline'!$B$1:$U$257,12,FALSE))))</f>
        <v/>
      </c>
      <c r="M193" s="416" t="str">
        <f t="shared" si="23"/>
        <v/>
      </c>
      <c r="N193" s="498" t="str">
        <f>IFERROR(IF(B193="","",INDEX('G-6 Hedgerow Data'!$AN$3:$AZ$15,MATCH(C193,'G-6 Hedgerow Data'!$AM$3:$AM$15,0),MATCH(M193,'G-6 Hedgerow Data'!$AN$2:$AZ$2,0))),"")</f>
        <v/>
      </c>
      <c r="O193" s="499" t="str">
        <f t="shared" si="18"/>
        <v/>
      </c>
      <c r="P193" s="559" t="str">
        <f>IF(B193="","",VLOOKUP(B193,'B-1 Site Hedge Baseline'!$B$10:T438,16,FALSE))</f>
        <v/>
      </c>
      <c r="Q193" s="498" t="str">
        <f>IF(M193="","",VLOOKUP(M193,'G-6 Hedgerow Data'!$B$2:$AG$15,2,FALSE))</f>
        <v/>
      </c>
      <c r="R193" s="499" t="str">
        <f>IF(M193="","",VLOOKUP(M193,'G-6 Hedgerow Data'!$B$2:$AG$15,3,FALSE))</f>
        <v/>
      </c>
      <c r="S193" s="157"/>
      <c r="T193" s="540" t="str">
        <f>IFERROR(VLOOKUP(S193,'G-1 All Habitats'!$Z$2:$AA$9,2,FALSE),"")</f>
        <v/>
      </c>
      <c r="U193" s="154"/>
      <c r="V193" s="520" t="str">
        <f>IF(U193="","",IF(VLOOKUP(U193,'G-3 Multipliers'!$L$3:$N$6,2,FALSE)=0,"Spatial Data Missing ⚠",VLOOKUP(U193,'G-3 Multipliers'!$L$3:$N$6,2,FALSE)))</f>
        <v/>
      </c>
      <c r="W193" s="524" t="str">
        <f>IF(U193="","",IF(VLOOKUP(U193,'G-3 Multipliers'!$L$3:$N$6,3,FALSE)=0,"Spatial Data Missing ⚠",VLOOKUP(U193,'G-3 Multipliers'!$L$3:$N$6,3,FALSE)))</f>
        <v/>
      </c>
      <c r="X193" s="498" t="str">
        <f>IFERROR(IF(OR(LEFT(O193,5)="Error ▲",LEFT(N193,5)="Error ▲",T193="Error ▲"),"Check Data ⚠",IF(F193&lt;R193,INDEX('G-6 Hedgerow Data'!$S$3:$AE$14,MATCH(C193,'G-6 Hedgerow Data'!$B$3:$B$14,0),MATCH(M193,'G-6 Hedgerow Data'!$S$2:$AE$2,0)),INDEX('G-6 Hedgerow Data'!$K$3:$Q$14,MATCH(M193,'G-6 Hedgerow Data'!$B$3:$B$14,0),MATCH(O193,'G-6 Hedgerow Data'!$K$2:$Q$2,0)))),"")</f>
        <v/>
      </c>
      <c r="Y193" s="195"/>
      <c r="Z193" s="195"/>
      <c r="AA193" s="507" t="str">
        <f t="shared" si="19"/>
        <v/>
      </c>
      <c r="AB193" s="521" t="str">
        <f t="shared" si="20"/>
        <v/>
      </c>
      <c r="AC193" s="522" t="str">
        <f t="shared" si="16"/>
        <v/>
      </c>
      <c r="AD193" s="537" t="str">
        <f>IF(M193="","",VLOOKUP(M193,'G-6 Hedgerow Data'!$B$3:$AG$15,31,FALSE))</f>
        <v/>
      </c>
      <c r="AE193" s="507" t="str">
        <f t="shared" si="21"/>
        <v/>
      </c>
      <c r="AF193" s="507" t="str">
        <f t="shared" si="22"/>
        <v/>
      </c>
      <c r="AG193" s="524" t="str">
        <f>IFERROR(IF(O193="","",VLOOKUP(AD193,'G-3 Multipliers'!$P$3:$Q$6,2,FALSE)),"")</f>
        <v/>
      </c>
      <c r="AH193" s="513" t="str">
        <f t="shared" si="17"/>
        <v/>
      </c>
      <c r="AI193" s="231"/>
      <c r="AJ193" s="150"/>
      <c r="AT193" s="31" t="str">
        <f>IFERROR(INDEX('G-6 Hedgerow Data'!$BJ$3:$BJ$15,MATCH(M193,'G-6 Hedgerow Data'!$B$3:$B$15,0)),"")</f>
        <v/>
      </c>
    </row>
    <row r="194" spans="2:46" ht="14" x14ac:dyDescent="0.3">
      <c r="B194" s="531" t="str">
        <f>'B-1 Site Hedge Baseline'!AK192</f>
        <v/>
      </c>
      <c r="C194" s="520" t="str">
        <f>IF(B194="","",IF(ISNA(VLOOKUP($B194,'B-1 Site Hedge Baseline'!$B$1:$L$257,3,FALSE)),"",(VLOOKUP($B194,'B-1 Site Hedge Baseline'!$B$1:$L$257,3,FALSE))))</f>
        <v/>
      </c>
      <c r="D194" s="520" t="str">
        <f>IF(B194="","",IF(ISNA(VLOOKUP($B194,'B-1 Site Hedge Baseline'!$B$1:$L$257,4,FALSE)),"",(VLOOKUP($B194,'B-1 Site Hedge Baseline'!$B$1:$L$257,4,FALSE))))</f>
        <v/>
      </c>
      <c r="E194" s="520" t="str">
        <f>IF(B194="","",IF(ISNA(VLOOKUP($B194,'B-1 Site Hedge Baseline'!$B$1:$L$257,5,FALSE)),"",(VLOOKUP($B194,'B-1 Site Hedge Baseline'!$B$1:$L$257,5,FALSE))))</f>
        <v/>
      </c>
      <c r="F194" s="520" t="str">
        <f>IF(B194="","",IF(ISNA(VLOOKUP($B194,'B-1 Site Hedge Baseline'!$B$1:$L$257,6,FALSE)),"",(VLOOKUP($B194,'B-1 Site Hedge Baseline'!$B$1:$L$257,6,FALSE))))</f>
        <v/>
      </c>
      <c r="G194" s="520" t="str">
        <f>IF(B194="","",IF(ISNA(VLOOKUP($B194,'B-1 Site Hedge Baseline'!$B$1:$L$257,7,FALSE)),"",(VLOOKUP($B194,'B-1 Site Hedge Baseline'!$B$1:$L$257,7,FALSE))))</f>
        <v/>
      </c>
      <c r="H194" s="520" t="str">
        <f>IF(B194="","",IF(ISNA(VLOOKUP($B194,'B-1 Site Hedge Baseline'!$B$1:$L$257,8,FALSE)),"",(VLOOKUP($B194,'B-1 Site Hedge Baseline'!$B$1:$L$257,8,FALSE))))</f>
        <v/>
      </c>
      <c r="I194" s="520" t="str">
        <f>IF(B194="","",IF(ISNA(VLOOKUP($B194,'B-1 Site Hedge Baseline'!$B$1:$L$257,10,FALSE)),"",(VLOOKUP($B194,'B-1 Site Hedge Baseline'!$B$1:$L$257,10,FALSE))))</f>
        <v/>
      </c>
      <c r="J194" s="520" t="str">
        <f>IF(B194="","",IF(ISNA(VLOOKUP($B194,'B-1 Site Hedge Baseline'!$B$1:$L$257,11,FALSE)),"",(VLOOKUP($B194,'B-1 Site Hedge Baseline'!$B$1:$L$257,11,FALSE))))</f>
        <v/>
      </c>
      <c r="K194" s="520" t="str">
        <f>IF(B194="","",IF(ISNA(VLOOKUP($B194,'B-1 Site Hedge Baseline'!$B$1:$U$257,13,FALSE)),"",(VLOOKUP($B194,'B-1 Site Hedge Baseline'!$B$1:$U$257,13,FALSE))))</f>
        <v/>
      </c>
      <c r="L194" s="524" t="str">
        <f>IF(B194="","",IF(ISNA(VLOOKUP($B194,'B-1 Site Hedge Baseline'!$B$1:$U$257,12,FALSE)),"",(VLOOKUP($B194,'B-1 Site Hedge Baseline'!$B$1:$U$257,12,FALSE))))</f>
        <v/>
      </c>
      <c r="M194" s="416" t="str">
        <f t="shared" si="23"/>
        <v/>
      </c>
      <c r="N194" s="498" t="str">
        <f>IFERROR(IF(B194="","",INDEX('G-6 Hedgerow Data'!$AN$3:$AZ$15,MATCH(C194,'G-6 Hedgerow Data'!$AM$3:$AM$15,0),MATCH(M194,'G-6 Hedgerow Data'!$AN$2:$AZ$2,0))),"")</f>
        <v/>
      </c>
      <c r="O194" s="499" t="str">
        <f t="shared" si="18"/>
        <v/>
      </c>
      <c r="P194" s="559" t="str">
        <f>IF(B194="","",VLOOKUP(B194,'B-1 Site Hedge Baseline'!$B$10:T439,16,FALSE))</f>
        <v/>
      </c>
      <c r="Q194" s="498" t="str">
        <f>IF(M194="","",VLOOKUP(M194,'G-6 Hedgerow Data'!$B$2:$AG$15,2,FALSE))</f>
        <v/>
      </c>
      <c r="R194" s="499" t="str">
        <f>IF(M194="","",VLOOKUP(M194,'G-6 Hedgerow Data'!$B$2:$AG$15,3,FALSE))</f>
        <v/>
      </c>
      <c r="S194" s="157"/>
      <c r="T194" s="540" t="str">
        <f>IFERROR(VLOOKUP(S194,'G-1 All Habitats'!$Z$2:$AA$9,2,FALSE),"")</f>
        <v/>
      </c>
      <c r="U194" s="154"/>
      <c r="V194" s="520" t="str">
        <f>IF(U194="","",IF(VLOOKUP(U194,'G-3 Multipliers'!$L$3:$N$6,2,FALSE)=0,"Spatial Data Missing ⚠",VLOOKUP(U194,'G-3 Multipliers'!$L$3:$N$6,2,FALSE)))</f>
        <v/>
      </c>
      <c r="W194" s="524" t="str">
        <f>IF(U194="","",IF(VLOOKUP(U194,'G-3 Multipliers'!$L$3:$N$6,3,FALSE)=0,"Spatial Data Missing ⚠",VLOOKUP(U194,'G-3 Multipliers'!$L$3:$N$6,3,FALSE)))</f>
        <v/>
      </c>
      <c r="X194" s="498" t="str">
        <f>IFERROR(IF(OR(LEFT(O194,5)="Error ▲",LEFT(N194,5)="Error ▲",T194="Error ▲"),"Check Data ⚠",IF(F194&lt;R194,INDEX('G-6 Hedgerow Data'!$S$3:$AE$14,MATCH(C194,'G-6 Hedgerow Data'!$B$3:$B$14,0),MATCH(M194,'G-6 Hedgerow Data'!$S$2:$AE$2,0)),INDEX('G-6 Hedgerow Data'!$K$3:$Q$14,MATCH(M194,'G-6 Hedgerow Data'!$B$3:$B$14,0),MATCH(O194,'G-6 Hedgerow Data'!$K$2:$Q$2,0)))),"")</f>
        <v/>
      </c>
      <c r="Y194" s="195"/>
      <c r="Z194" s="195"/>
      <c r="AA194" s="507" t="str">
        <f t="shared" si="19"/>
        <v/>
      </c>
      <c r="AB194" s="521" t="str">
        <f t="shared" si="20"/>
        <v/>
      </c>
      <c r="AC194" s="522" t="str">
        <f t="shared" si="16"/>
        <v/>
      </c>
      <c r="AD194" s="537" t="str">
        <f>IF(M194="","",VLOOKUP(M194,'G-6 Hedgerow Data'!$B$3:$AG$15,31,FALSE))</f>
        <v/>
      </c>
      <c r="AE194" s="507" t="str">
        <f t="shared" si="21"/>
        <v/>
      </c>
      <c r="AF194" s="507" t="str">
        <f t="shared" si="22"/>
        <v/>
      </c>
      <c r="AG194" s="524" t="str">
        <f>IFERROR(IF(O194="","",VLOOKUP(AD194,'G-3 Multipliers'!$P$3:$Q$6,2,FALSE)),"")</f>
        <v/>
      </c>
      <c r="AH194" s="513" t="str">
        <f t="shared" si="17"/>
        <v/>
      </c>
      <c r="AI194" s="231"/>
      <c r="AJ194" s="150"/>
      <c r="AT194" s="31" t="str">
        <f>IFERROR(INDEX('G-6 Hedgerow Data'!$BJ$3:$BJ$15,MATCH(M194,'G-6 Hedgerow Data'!$B$3:$B$15,0)),"")</f>
        <v/>
      </c>
    </row>
    <row r="195" spans="2:46" ht="14" x14ac:dyDescent="0.3">
      <c r="B195" s="531" t="str">
        <f>'B-1 Site Hedge Baseline'!AK193</f>
        <v/>
      </c>
      <c r="C195" s="520" t="str">
        <f>IF(B195="","",IF(ISNA(VLOOKUP($B195,'B-1 Site Hedge Baseline'!$B$1:$L$257,3,FALSE)),"",(VLOOKUP($B195,'B-1 Site Hedge Baseline'!$B$1:$L$257,3,FALSE))))</f>
        <v/>
      </c>
      <c r="D195" s="520" t="str">
        <f>IF(B195="","",IF(ISNA(VLOOKUP($B195,'B-1 Site Hedge Baseline'!$B$1:$L$257,4,FALSE)),"",(VLOOKUP($B195,'B-1 Site Hedge Baseline'!$B$1:$L$257,4,FALSE))))</f>
        <v/>
      </c>
      <c r="E195" s="520" t="str">
        <f>IF(B195="","",IF(ISNA(VLOOKUP($B195,'B-1 Site Hedge Baseline'!$B$1:$L$257,5,FALSE)),"",(VLOOKUP($B195,'B-1 Site Hedge Baseline'!$B$1:$L$257,5,FALSE))))</f>
        <v/>
      </c>
      <c r="F195" s="520" t="str">
        <f>IF(B195="","",IF(ISNA(VLOOKUP($B195,'B-1 Site Hedge Baseline'!$B$1:$L$257,6,FALSE)),"",(VLOOKUP($B195,'B-1 Site Hedge Baseline'!$B$1:$L$257,6,FALSE))))</f>
        <v/>
      </c>
      <c r="G195" s="520" t="str">
        <f>IF(B195="","",IF(ISNA(VLOOKUP($B195,'B-1 Site Hedge Baseline'!$B$1:$L$257,7,FALSE)),"",(VLOOKUP($B195,'B-1 Site Hedge Baseline'!$B$1:$L$257,7,FALSE))))</f>
        <v/>
      </c>
      <c r="H195" s="520" t="str">
        <f>IF(B195="","",IF(ISNA(VLOOKUP($B195,'B-1 Site Hedge Baseline'!$B$1:$L$257,8,FALSE)),"",(VLOOKUP($B195,'B-1 Site Hedge Baseline'!$B$1:$L$257,8,FALSE))))</f>
        <v/>
      </c>
      <c r="I195" s="520" t="str">
        <f>IF(B195="","",IF(ISNA(VLOOKUP($B195,'B-1 Site Hedge Baseline'!$B$1:$L$257,10,FALSE)),"",(VLOOKUP($B195,'B-1 Site Hedge Baseline'!$B$1:$L$257,10,FALSE))))</f>
        <v/>
      </c>
      <c r="J195" s="520" t="str">
        <f>IF(B195="","",IF(ISNA(VLOOKUP($B195,'B-1 Site Hedge Baseline'!$B$1:$L$257,11,FALSE)),"",(VLOOKUP($B195,'B-1 Site Hedge Baseline'!$B$1:$L$257,11,FALSE))))</f>
        <v/>
      </c>
      <c r="K195" s="520" t="str">
        <f>IF(B195="","",IF(ISNA(VLOOKUP($B195,'B-1 Site Hedge Baseline'!$B$1:$U$257,13,FALSE)),"",(VLOOKUP($B195,'B-1 Site Hedge Baseline'!$B$1:$U$257,13,FALSE))))</f>
        <v/>
      </c>
      <c r="L195" s="524" t="str">
        <f>IF(B195="","",IF(ISNA(VLOOKUP($B195,'B-1 Site Hedge Baseline'!$B$1:$U$257,12,FALSE)),"",(VLOOKUP($B195,'B-1 Site Hedge Baseline'!$B$1:$U$257,12,FALSE))))</f>
        <v/>
      </c>
      <c r="M195" s="416" t="str">
        <f t="shared" si="23"/>
        <v/>
      </c>
      <c r="N195" s="498" t="str">
        <f>IFERROR(IF(B195="","",INDEX('G-6 Hedgerow Data'!$AN$3:$AZ$15,MATCH(C195,'G-6 Hedgerow Data'!$AM$3:$AM$15,0),MATCH(M195,'G-6 Hedgerow Data'!$AN$2:$AZ$2,0))),"")</f>
        <v/>
      </c>
      <c r="O195" s="499" t="str">
        <f t="shared" si="18"/>
        <v/>
      </c>
      <c r="P195" s="559" t="str">
        <f>IF(B195="","",VLOOKUP(B195,'B-1 Site Hedge Baseline'!$B$10:T440,16,FALSE))</f>
        <v/>
      </c>
      <c r="Q195" s="498" t="str">
        <f>IF(M195="","",VLOOKUP(M195,'G-6 Hedgerow Data'!$B$2:$AG$15,2,FALSE))</f>
        <v/>
      </c>
      <c r="R195" s="499" t="str">
        <f>IF(M195="","",VLOOKUP(M195,'G-6 Hedgerow Data'!$B$2:$AG$15,3,FALSE))</f>
        <v/>
      </c>
      <c r="S195" s="157"/>
      <c r="T195" s="540" t="str">
        <f>IFERROR(VLOOKUP(S195,'G-1 All Habitats'!$Z$2:$AA$9,2,FALSE),"")</f>
        <v/>
      </c>
      <c r="U195" s="154"/>
      <c r="V195" s="520" t="str">
        <f>IF(U195="","",IF(VLOOKUP(U195,'G-3 Multipliers'!$L$3:$N$6,2,FALSE)=0,"Spatial Data Missing ⚠",VLOOKUP(U195,'G-3 Multipliers'!$L$3:$N$6,2,FALSE)))</f>
        <v/>
      </c>
      <c r="W195" s="524" t="str">
        <f>IF(U195="","",IF(VLOOKUP(U195,'G-3 Multipliers'!$L$3:$N$6,3,FALSE)=0,"Spatial Data Missing ⚠",VLOOKUP(U195,'G-3 Multipliers'!$L$3:$N$6,3,FALSE)))</f>
        <v/>
      </c>
      <c r="X195" s="498" t="str">
        <f>IFERROR(IF(OR(LEFT(O195,5)="Error ▲",LEFT(N195,5)="Error ▲",T195="Error ▲"),"Check Data ⚠",IF(F195&lt;R195,INDEX('G-6 Hedgerow Data'!$S$3:$AE$14,MATCH(C195,'G-6 Hedgerow Data'!$B$3:$B$14,0),MATCH(M195,'G-6 Hedgerow Data'!$S$2:$AE$2,0)),INDEX('G-6 Hedgerow Data'!$K$3:$Q$14,MATCH(M195,'G-6 Hedgerow Data'!$B$3:$B$14,0),MATCH(O195,'G-6 Hedgerow Data'!$K$2:$Q$2,0)))),"")</f>
        <v/>
      </c>
      <c r="Y195" s="195"/>
      <c r="Z195" s="195"/>
      <c r="AA195" s="507" t="str">
        <f t="shared" si="19"/>
        <v/>
      </c>
      <c r="AB195" s="521" t="str">
        <f t="shared" si="20"/>
        <v/>
      </c>
      <c r="AC195" s="522" t="str">
        <f t="shared" si="16"/>
        <v/>
      </c>
      <c r="AD195" s="537" t="str">
        <f>IF(M195="","",VLOOKUP(M195,'G-6 Hedgerow Data'!$B$3:$AG$15,31,FALSE))</f>
        <v/>
      </c>
      <c r="AE195" s="507" t="str">
        <f t="shared" si="21"/>
        <v/>
      </c>
      <c r="AF195" s="507" t="str">
        <f t="shared" si="22"/>
        <v/>
      </c>
      <c r="AG195" s="524" t="str">
        <f>IFERROR(IF(O195="","",VLOOKUP(AD195,'G-3 Multipliers'!$P$3:$Q$6,2,FALSE)),"")</f>
        <v/>
      </c>
      <c r="AH195" s="513" t="str">
        <f t="shared" si="17"/>
        <v/>
      </c>
      <c r="AI195" s="231"/>
      <c r="AJ195" s="150"/>
      <c r="AT195" s="31" t="str">
        <f>IFERROR(INDEX('G-6 Hedgerow Data'!$BJ$3:$BJ$15,MATCH(M195,'G-6 Hedgerow Data'!$B$3:$B$15,0)),"")</f>
        <v/>
      </c>
    </row>
    <row r="196" spans="2:46" ht="14" x14ac:dyDescent="0.3">
      <c r="B196" s="531" t="str">
        <f>'B-1 Site Hedge Baseline'!AK194</f>
        <v/>
      </c>
      <c r="C196" s="520" t="str">
        <f>IF(B196="","",IF(ISNA(VLOOKUP($B196,'B-1 Site Hedge Baseline'!$B$1:$L$257,3,FALSE)),"",(VLOOKUP($B196,'B-1 Site Hedge Baseline'!$B$1:$L$257,3,FALSE))))</f>
        <v/>
      </c>
      <c r="D196" s="520" t="str">
        <f>IF(B196="","",IF(ISNA(VLOOKUP($B196,'B-1 Site Hedge Baseline'!$B$1:$L$257,4,FALSE)),"",(VLOOKUP($B196,'B-1 Site Hedge Baseline'!$B$1:$L$257,4,FALSE))))</f>
        <v/>
      </c>
      <c r="E196" s="520" t="str">
        <f>IF(B196="","",IF(ISNA(VLOOKUP($B196,'B-1 Site Hedge Baseline'!$B$1:$L$257,5,FALSE)),"",(VLOOKUP($B196,'B-1 Site Hedge Baseline'!$B$1:$L$257,5,FALSE))))</f>
        <v/>
      </c>
      <c r="F196" s="520" t="str">
        <f>IF(B196="","",IF(ISNA(VLOOKUP($B196,'B-1 Site Hedge Baseline'!$B$1:$L$257,6,FALSE)),"",(VLOOKUP($B196,'B-1 Site Hedge Baseline'!$B$1:$L$257,6,FALSE))))</f>
        <v/>
      </c>
      <c r="G196" s="520" t="str">
        <f>IF(B196="","",IF(ISNA(VLOOKUP($B196,'B-1 Site Hedge Baseline'!$B$1:$L$257,7,FALSE)),"",(VLOOKUP($B196,'B-1 Site Hedge Baseline'!$B$1:$L$257,7,FALSE))))</f>
        <v/>
      </c>
      <c r="H196" s="520" t="str">
        <f>IF(B196="","",IF(ISNA(VLOOKUP($B196,'B-1 Site Hedge Baseline'!$B$1:$L$257,8,FALSE)),"",(VLOOKUP($B196,'B-1 Site Hedge Baseline'!$B$1:$L$257,8,FALSE))))</f>
        <v/>
      </c>
      <c r="I196" s="520" t="str">
        <f>IF(B196="","",IF(ISNA(VLOOKUP($B196,'B-1 Site Hedge Baseline'!$B$1:$L$257,10,FALSE)),"",(VLOOKUP($B196,'B-1 Site Hedge Baseline'!$B$1:$L$257,10,FALSE))))</f>
        <v/>
      </c>
      <c r="J196" s="520" t="str">
        <f>IF(B196="","",IF(ISNA(VLOOKUP($B196,'B-1 Site Hedge Baseline'!$B$1:$L$257,11,FALSE)),"",(VLOOKUP($B196,'B-1 Site Hedge Baseline'!$B$1:$L$257,11,FALSE))))</f>
        <v/>
      </c>
      <c r="K196" s="520" t="str">
        <f>IF(B196="","",IF(ISNA(VLOOKUP($B196,'B-1 Site Hedge Baseline'!$B$1:$U$257,13,FALSE)),"",(VLOOKUP($B196,'B-1 Site Hedge Baseline'!$B$1:$U$257,13,FALSE))))</f>
        <v/>
      </c>
      <c r="L196" s="524" t="str">
        <f>IF(B196="","",IF(ISNA(VLOOKUP($B196,'B-1 Site Hedge Baseline'!$B$1:$U$257,12,FALSE)),"",(VLOOKUP($B196,'B-1 Site Hedge Baseline'!$B$1:$U$257,12,FALSE))))</f>
        <v/>
      </c>
      <c r="M196" s="416" t="str">
        <f t="shared" si="23"/>
        <v/>
      </c>
      <c r="N196" s="498" t="str">
        <f>IFERROR(IF(B196="","",INDEX('G-6 Hedgerow Data'!$AN$3:$AZ$15,MATCH(C196,'G-6 Hedgerow Data'!$AM$3:$AM$15,0),MATCH(M196,'G-6 Hedgerow Data'!$AN$2:$AZ$2,0))),"")</f>
        <v/>
      </c>
      <c r="O196" s="499" t="str">
        <f t="shared" si="18"/>
        <v/>
      </c>
      <c r="P196" s="559" t="str">
        <f>IF(B196="","",VLOOKUP(B196,'B-1 Site Hedge Baseline'!$B$10:T441,16,FALSE))</f>
        <v/>
      </c>
      <c r="Q196" s="498" t="str">
        <f>IF(M196="","",VLOOKUP(M196,'G-6 Hedgerow Data'!$B$2:$AG$15,2,FALSE))</f>
        <v/>
      </c>
      <c r="R196" s="499" t="str">
        <f>IF(M196="","",VLOOKUP(M196,'G-6 Hedgerow Data'!$B$2:$AG$15,3,FALSE))</f>
        <v/>
      </c>
      <c r="S196" s="157"/>
      <c r="T196" s="540" t="str">
        <f>IFERROR(VLOOKUP(S196,'G-1 All Habitats'!$Z$2:$AA$9,2,FALSE),"")</f>
        <v/>
      </c>
      <c r="U196" s="154"/>
      <c r="V196" s="520" t="str">
        <f>IF(U196="","",IF(VLOOKUP(U196,'G-3 Multipliers'!$L$3:$N$6,2,FALSE)=0,"Spatial Data Missing ⚠",VLOOKUP(U196,'G-3 Multipliers'!$L$3:$N$6,2,FALSE)))</f>
        <v/>
      </c>
      <c r="W196" s="524" t="str">
        <f>IF(U196="","",IF(VLOOKUP(U196,'G-3 Multipliers'!$L$3:$N$6,3,FALSE)=0,"Spatial Data Missing ⚠",VLOOKUP(U196,'G-3 Multipliers'!$L$3:$N$6,3,FALSE)))</f>
        <v/>
      </c>
      <c r="X196" s="498" t="str">
        <f>IFERROR(IF(OR(LEFT(O196,5)="Error ▲",LEFT(N196,5)="Error ▲",T196="Error ▲"),"Check Data ⚠",IF(F196&lt;R196,INDEX('G-6 Hedgerow Data'!$S$3:$AE$14,MATCH(C196,'G-6 Hedgerow Data'!$B$3:$B$14,0),MATCH(M196,'G-6 Hedgerow Data'!$S$2:$AE$2,0)),INDEX('G-6 Hedgerow Data'!$K$3:$Q$14,MATCH(M196,'G-6 Hedgerow Data'!$B$3:$B$14,0),MATCH(O196,'G-6 Hedgerow Data'!$K$2:$Q$2,0)))),"")</f>
        <v/>
      </c>
      <c r="Y196" s="195"/>
      <c r="Z196" s="195"/>
      <c r="AA196" s="507" t="str">
        <f t="shared" si="19"/>
        <v/>
      </c>
      <c r="AB196" s="521" t="str">
        <f t="shared" si="20"/>
        <v/>
      </c>
      <c r="AC196" s="522" t="str">
        <f t="shared" si="16"/>
        <v/>
      </c>
      <c r="AD196" s="537" t="str">
        <f>IF(M196="","",VLOOKUP(M196,'G-6 Hedgerow Data'!$B$3:$AG$15,31,FALSE))</f>
        <v/>
      </c>
      <c r="AE196" s="507" t="str">
        <f t="shared" si="21"/>
        <v/>
      </c>
      <c r="AF196" s="507" t="str">
        <f t="shared" si="22"/>
        <v/>
      </c>
      <c r="AG196" s="524" t="str">
        <f>IFERROR(IF(O196="","",VLOOKUP(AD196,'G-3 Multipliers'!$P$3:$Q$6,2,FALSE)),"")</f>
        <v/>
      </c>
      <c r="AH196" s="513" t="str">
        <f t="shared" si="17"/>
        <v/>
      </c>
      <c r="AI196" s="231"/>
      <c r="AJ196" s="150"/>
      <c r="AT196" s="31" t="str">
        <f>IFERROR(INDEX('G-6 Hedgerow Data'!$BJ$3:$BJ$15,MATCH(M196,'G-6 Hedgerow Data'!$B$3:$B$15,0)),"")</f>
        <v/>
      </c>
    </row>
    <row r="197" spans="2:46" ht="14" x14ac:dyDescent="0.3">
      <c r="B197" s="531" t="str">
        <f>'B-1 Site Hedge Baseline'!AK195</f>
        <v/>
      </c>
      <c r="C197" s="520" t="str">
        <f>IF(B197="","",IF(ISNA(VLOOKUP($B197,'B-1 Site Hedge Baseline'!$B$1:$L$257,3,FALSE)),"",(VLOOKUP($B197,'B-1 Site Hedge Baseline'!$B$1:$L$257,3,FALSE))))</f>
        <v/>
      </c>
      <c r="D197" s="520" t="str">
        <f>IF(B197="","",IF(ISNA(VLOOKUP($B197,'B-1 Site Hedge Baseline'!$B$1:$L$257,4,FALSE)),"",(VLOOKUP($B197,'B-1 Site Hedge Baseline'!$B$1:$L$257,4,FALSE))))</f>
        <v/>
      </c>
      <c r="E197" s="520" t="str">
        <f>IF(B197="","",IF(ISNA(VLOOKUP($B197,'B-1 Site Hedge Baseline'!$B$1:$L$257,5,FALSE)),"",(VLOOKUP($B197,'B-1 Site Hedge Baseline'!$B$1:$L$257,5,FALSE))))</f>
        <v/>
      </c>
      <c r="F197" s="520" t="str">
        <f>IF(B197="","",IF(ISNA(VLOOKUP($B197,'B-1 Site Hedge Baseline'!$B$1:$L$257,6,FALSE)),"",(VLOOKUP($B197,'B-1 Site Hedge Baseline'!$B$1:$L$257,6,FALSE))))</f>
        <v/>
      </c>
      <c r="G197" s="520" t="str">
        <f>IF(B197="","",IF(ISNA(VLOOKUP($B197,'B-1 Site Hedge Baseline'!$B$1:$L$257,7,FALSE)),"",(VLOOKUP($B197,'B-1 Site Hedge Baseline'!$B$1:$L$257,7,FALSE))))</f>
        <v/>
      </c>
      <c r="H197" s="520" t="str">
        <f>IF(B197="","",IF(ISNA(VLOOKUP($B197,'B-1 Site Hedge Baseline'!$B$1:$L$257,8,FALSE)),"",(VLOOKUP($B197,'B-1 Site Hedge Baseline'!$B$1:$L$257,8,FALSE))))</f>
        <v/>
      </c>
      <c r="I197" s="520" t="str">
        <f>IF(B197="","",IF(ISNA(VLOOKUP($B197,'B-1 Site Hedge Baseline'!$B$1:$L$257,10,FALSE)),"",(VLOOKUP($B197,'B-1 Site Hedge Baseline'!$B$1:$L$257,10,FALSE))))</f>
        <v/>
      </c>
      <c r="J197" s="520" t="str">
        <f>IF(B197="","",IF(ISNA(VLOOKUP($B197,'B-1 Site Hedge Baseline'!$B$1:$L$257,11,FALSE)),"",(VLOOKUP($B197,'B-1 Site Hedge Baseline'!$B$1:$L$257,11,FALSE))))</f>
        <v/>
      </c>
      <c r="K197" s="520" t="str">
        <f>IF(B197="","",IF(ISNA(VLOOKUP($B197,'B-1 Site Hedge Baseline'!$B$1:$U$257,13,FALSE)),"",(VLOOKUP($B197,'B-1 Site Hedge Baseline'!$B$1:$U$257,13,FALSE))))</f>
        <v/>
      </c>
      <c r="L197" s="524" t="str">
        <f>IF(B197="","",IF(ISNA(VLOOKUP($B197,'B-1 Site Hedge Baseline'!$B$1:$U$257,12,FALSE)),"",(VLOOKUP($B197,'B-1 Site Hedge Baseline'!$B$1:$U$257,12,FALSE))))</f>
        <v/>
      </c>
      <c r="M197" s="416" t="str">
        <f t="shared" si="23"/>
        <v/>
      </c>
      <c r="N197" s="498" t="str">
        <f>IFERROR(IF(B197="","",INDEX('G-6 Hedgerow Data'!$AN$3:$AZ$15,MATCH(C197,'G-6 Hedgerow Data'!$AM$3:$AM$15,0),MATCH(M197,'G-6 Hedgerow Data'!$AN$2:$AZ$2,0))),"")</f>
        <v/>
      </c>
      <c r="O197" s="499" t="str">
        <f t="shared" si="18"/>
        <v/>
      </c>
      <c r="P197" s="559" t="str">
        <f>IF(B197="","",VLOOKUP(B197,'B-1 Site Hedge Baseline'!$B$10:T442,16,FALSE))</f>
        <v/>
      </c>
      <c r="Q197" s="498" t="str">
        <f>IF(M197="","",VLOOKUP(M197,'G-6 Hedgerow Data'!$B$2:$AG$15,2,FALSE))</f>
        <v/>
      </c>
      <c r="R197" s="499" t="str">
        <f>IF(M197="","",VLOOKUP(M197,'G-6 Hedgerow Data'!$B$2:$AG$15,3,FALSE))</f>
        <v/>
      </c>
      <c r="S197" s="157"/>
      <c r="T197" s="540" t="str">
        <f>IFERROR(VLOOKUP(S197,'G-1 All Habitats'!$Z$2:$AA$9,2,FALSE),"")</f>
        <v/>
      </c>
      <c r="U197" s="154"/>
      <c r="V197" s="520" t="str">
        <f>IF(U197="","",IF(VLOOKUP(U197,'G-3 Multipliers'!$L$3:$N$6,2,FALSE)=0,"Spatial Data Missing ⚠",VLOOKUP(U197,'G-3 Multipliers'!$L$3:$N$6,2,FALSE)))</f>
        <v/>
      </c>
      <c r="W197" s="524" t="str">
        <f>IF(U197="","",IF(VLOOKUP(U197,'G-3 Multipliers'!$L$3:$N$6,3,FALSE)=0,"Spatial Data Missing ⚠",VLOOKUP(U197,'G-3 Multipliers'!$L$3:$N$6,3,FALSE)))</f>
        <v/>
      </c>
      <c r="X197" s="498" t="str">
        <f>IFERROR(IF(OR(LEFT(O197,5)="Error ▲",LEFT(N197,5)="Error ▲",T197="Error ▲"),"Check Data ⚠",IF(F197&lt;R197,INDEX('G-6 Hedgerow Data'!$S$3:$AE$14,MATCH(C197,'G-6 Hedgerow Data'!$B$3:$B$14,0),MATCH(M197,'G-6 Hedgerow Data'!$S$2:$AE$2,0)),INDEX('G-6 Hedgerow Data'!$K$3:$Q$14,MATCH(M197,'G-6 Hedgerow Data'!$B$3:$B$14,0),MATCH(O197,'G-6 Hedgerow Data'!$K$2:$Q$2,0)))),"")</f>
        <v/>
      </c>
      <c r="Y197" s="195"/>
      <c r="Z197" s="195"/>
      <c r="AA197" s="507" t="str">
        <f t="shared" si="19"/>
        <v/>
      </c>
      <c r="AB197" s="521" t="str">
        <f t="shared" si="20"/>
        <v/>
      </c>
      <c r="AC197" s="522" t="str">
        <f t="shared" si="16"/>
        <v/>
      </c>
      <c r="AD197" s="537" t="str">
        <f>IF(M197="","",VLOOKUP(M197,'G-6 Hedgerow Data'!$B$3:$AG$15,31,FALSE))</f>
        <v/>
      </c>
      <c r="AE197" s="507" t="str">
        <f t="shared" si="21"/>
        <v/>
      </c>
      <c r="AF197" s="507" t="str">
        <f t="shared" si="22"/>
        <v/>
      </c>
      <c r="AG197" s="524" t="str">
        <f>IFERROR(IF(O197="","",VLOOKUP(AD197,'G-3 Multipliers'!$P$3:$Q$6,2,FALSE)),"")</f>
        <v/>
      </c>
      <c r="AH197" s="513" t="str">
        <f t="shared" si="17"/>
        <v/>
      </c>
      <c r="AI197" s="231"/>
      <c r="AJ197" s="150"/>
      <c r="AT197" s="31" t="str">
        <f>IFERROR(INDEX('G-6 Hedgerow Data'!$BJ$3:$BJ$15,MATCH(M197,'G-6 Hedgerow Data'!$B$3:$B$15,0)),"")</f>
        <v/>
      </c>
    </row>
    <row r="198" spans="2:46" ht="14" x14ac:dyDescent="0.3">
      <c r="B198" s="531" t="str">
        <f>'B-1 Site Hedge Baseline'!AK196</f>
        <v/>
      </c>
      <c r="C198" s="520" t="str">
        <f>IF(B198="","",IF(ISNA(VLOOKUP($B198,'B-1 Site Hedge Baseline'!$B$1:$L$257,3,FALSE)),"",(VLOOKUP($B198,'B-1 Site Hedge Baseline'!$B$1:$L$257,3,FALSE))))</f>
        <v/>
      </c>
      <c r="D198" s="520" t="str">
        <f>IF(B198="","",IF(ISNA(VLOOKUP($B198,'B-1 Site Hedge Baseline'!$B$1:$L$257,4,FALSE)),"",(VLOOKUP($B198,'B-1 Site Hedge Baseline'!$B$1:$L$257,4,FALSE))))</f>
        <v/>
      </c>
      <c r="E198" s="520" t="str">
        <f>IF(B198="","",IF(ISNA(VLOOKUP($B198,'B-1 Site Hedge Baseline'!$B$1:$L$257,5,FALSE)),"",(VLOOKUP($B198,'B-1 Site Hedge Baseline'!$B$1:$L$257,5,FALSE))))</f>
        <v/>
      </c>
      <c r="F198" s="520" t="str">
        <f>IF(B198="","",IF(ISNA(VLOOKUP($B198,'B-1 Site Hedge Baseline'!$B$1:$L$257,6,FALSE)),"",(VLOOKUP($B198,'B-1 Site Hedge Baseline'!$B$1:$L$257,6,FALSE))))</f>
        <v/>
      </c>
      <c r="G198" s="520" t="str">
        <f>IF(B198="","",IF(ISNA(VLOOKUP($B198,'B-1 Site Hedge Baseline'!$B$1:$L$257,7,FALSE)),"",(VLOOKUP($B198,'B-1 Site Hedge Baseline'!$B$1:$L$257,7,FALSE))))</f>
        <v/>
      </c>
      <c r="H198" s="520" t="str">
        <f>IF(B198="","",IF(ISNA(VLOOKUP($B198,'B-1 Site Hedge Baseline'!$B$1:$L$257,8,FALSE)),"",(VLOOKUP($B198,'B-1 Site Hedge Baseline'!$B$1:$L$257,8,FALSE))))</f>
        <v/>
      </c>
      <c r="I198" s="520" t="str">
        <f>IF(B198="","",IF(ISNA(VLOOKUP($B198,'B-1 Site Hedge Baseline'!$B$1:$L$257,10,FALSE)),"",(VLOOKUP($B198,'B-1 Site Hedge Baseline'!$B$1:$L$257,10,FALSE))))</f>
        <v/>
      </c>
      <c r="J198" s="520" t="str">
        <f>IF(B198="","",IF(ISNA(VLOOKUP($B198,'B-1 Site Hedge Baseline'!$B$1:$L$257,11,FALSE)),"",(VLOOKUP($B198,'B-1 Site Hedge Baseline'!$B$1:$L$257,11,FALSE))))</f>
        <v/>
      </c>
      <c r="K198" s="520" t="str">
        <f>IF(B198="","",IF(ISNA(VLOOKUP($B198,'B-1 Site Hedge Baseline'!$B$1:$U$257,13,FALSE)),"",(VLOOKUP($B198,'B-1 Site Hedge Baseline'!$B$1:$U$257,13,FALSE))))</f>
        <v/>
      </c>
      <c r="L198" s="524" t="str">
        <f>IF(B198="","",IF(ISNA(VLOOKUP($B198,'B-1 Site Hedge Baseline'!$B$1:$U$257,12,FALSE)),"",(VLOOKUP($B198,'B-1 Site Hedge Baseline'!$B$1:$U$257,12,FALSE))))</f>
        <v/>
      </c>
      <c r="M198" s="416" t="str">
        <f t="shared" si="23"/>
        <v/>
      </c>
      <c r="N198" s="498" t="str">
        <f>IFERROR(IF(B198="","",INDEX('G-6 Hedgerow Data'!$AN$3:$AZ$15,MATCH(C198,'G-6 Hedgerow Data'!$AM$3:$AM$15,0),MATCH(M198,'G-6 Hedgerow Data'!$AN$2:$AZ$2,0))),"")</f>
        <v/>
      </c>
      <c r="O198" s="499" t="str">
        <f t="shared" si="18"/>
        <v/>
      </c>
      <c r="P198" s="559" t="str">
        <f>IF(B198="","",VLOOKUP(B198,'B-1 Site Hedge Baseline'!$B$10:T443,16,FALSE))</f>
        <v/>
      </c>
      <c r="Q198" s="498" t="str">
        <f>IF(M198="","",VLOOKUP(M198,'G-6 Hedgerow Data'!$B$2:$AG$15,2,FALSE))</f>
        <v/>
      </c>
      <c r="R198" s="499" t="str">
        <f>IF(M198="","",VLOOKUP(M198,'G-6 Hedgerow Data'!$B$2:$AG$15,3,FALSE))</f>
        <v/>
      </c>
      <c r="S198" s="157"/>
      <c r="T198" s="540" t="str">
        <f>IFERROR(VLOOKUP(S198,'G-1 All Habitats'!$Z$2:$AA$9,2,FALSE),"")</f>
        <v/>
      </c>
      <c r="U198" s="154"/>
      <c r="V198" s="520" t="str">
        <f>IF(U198="","",IF(VLOOKUP(U198,'G-3 Multipliers'!$L$3:$N$6,2,FALSE)=0,"Spatial Data Missing ⚠",VLOOKUP(U198,'G-3 Multipliers'!$L$3:$N$6,2,FALSE)))</f>
        <v/>
      </c>
      <c r="W198" s="524" t="str">
        <f>IF(U198="","",IF(VLOOKUP(U198,'G-3 Multipliers'!$L$3:$N$6,3,FALSE)=0,"Spatial Data Missing ⚠",VLOOKUP(U198,'G-3 Multipliers'!$L$3:$N$6,3,FALSE)))</f>
        <v/>
      </c>
      <c r="X198" s="498" t="str">
        <f>IFERROR(IF(OR(LEFT(O198,5)="Error ▲",LEFT(N198,5)="Error ▲",T198="Error ▲"),"Check Data ⚠",IF(F198&lt;R198,INDEX('G-6 Hedgerow Data'!$S$3:$AE$14,MATCH(C198,'G-6 Hedgerow Data'!$B$3:$B$14,0),MATCH(M198,'G-6 Hedgerow Data'!$S$2:$AE$2,0)),INDEX('G-6 Hedgerow Data'!$K$3:$Q$14,MATCH(M198,'G-6 Hedgerow Data'!$B$3:$B$14,0),MATCH(O198,'G-6 Hedgerow Data'!$K$2:$Q$2,0)))),"")</f>
        <v/>
      </c>
      <c r="Y198" s="195"/>
      <c r="Z198" s="195"/>
      <c r="AA198" s="507" t="str">
        <f t="shared" si="19"/>
        <v/>
      </c>
      <c r="AB198" s="521" t="str">
        <f t="shared" si="20"/>
        <v/>
      </c>
      <c r="AC198" s="522" t="str">
        <f t="shared" si="16"/>
        <v/>
      </c>
      <c r="AD198" s="537" t="str">
        <f>IF(M198="","",VLOOKUP(M198,'G-6 Hedgerow Data'!$B$3:$AG$15,31,FALSE))</f>
        <v/>
      </c>
      <c r="AE198" s="507" t="str">
        <f t="shared" si="21"/>
        <v/>
      </c>
      <c r="AF198" s="507" t="str">
        <f t="shared" si="22"/>
        <v/>
      </c>
      <c r="AG198" s="524" t="str">
        <f>IFERROR(IF(O198="","",VLOOKUP(AD198,'G-3 Multipliers'!$P$3:$Q$6,2,FALSE)),"")</f>
        <v/>
      </c>
      <c r="AH198" s="513" t="str">
        <f t="shared" si="17"/>
        <v/>
      </c>
      <c r="AI198" s="231"/>
      <c r="AJ198" s="150"/>
      <c r="AT198" s="31" t="str">
        <f>IFERROR(INDEX('G-6 Hedgerow Data'!$BJ$3:$BJ$15,MATCH(M198,'G-6 Hedgerow Data'!$B$3:$B$15,0)),"")</f>
        <v/>
      </c>
    </row>
    <row r="199" spans="2:46" ht="14" x14ac:dyDescent="0.3">
      <c r="B199" s="531" t="str">
        <f>'B-1 Site Hedge Baseline'!AK197</f>
        <v/>
      </c>
      <c r="C199" s="520" t="str">
        <f>IF(B199="","",IF(ISNA(VLOOKUP($B199,'B-1 Site Hedge Baseline'!$B$1:$L$257,3,FALSE)),"",(VLOOKUP($B199,'B-1 Site Hedge Baseline'!$B$1:$L$257,3,FALSE))))</f>
        <v/>
      </c>
      <c r="D199" s="520" t="str">
        <f>IF(B199="","",IF(ISNA(VLOOKUP($B199,'B-1 Site Hedge Baseline'!$B$1:$L$257,4,FALSE)),"",(VLOOKUP($B199,'B-1 Site Hedge Baseline'!$B$1:$L$257,4,FALSE))))</f>
        <v/>
      </c>
      <c r="E199" s="520" t="str">
        <f>IF(B199="","",IF(ISNA(VLOOKUP($B199,'B-1 Site Hedge Baseline'!$B$1:$L$257,5,FALSE)),"",(VLOOKUP($B199,'B-1 Site Hedge Baseline'!$B$1:$L$257,5,FALSE))))</f>
        <v/>
      </c>
      <c r="F199" s="520" t="str">
        <f>IF(B199="","",IF(ISNA(VLOOKUP($B199,'B-1 Site Hedge Baseline'!$B$1:$L$257,6,FALSE)),"",(VLOOKUP($B199,'B-1 Site Hedge Baseline'!$B$1:$L$257,6,FALSE))))</f>
        <v/>
      </c>
      <c r="G199" s="520" t="str">
        <f>IF(B199="","",IF(ISNA(VLOOKUP($B199,'B-1 Site Hedge Baseline'!$B$1:$L$257,7,FALSE)),"",(VLOOKUP($B199,'B-1 Site Hedge Baseline'!$B$1:$L$257,7,FALSE))))</f>
        <v/>
      </c>
      <c r="H199" s="520" t="str">
        <f>IF(B199="","",IF(ISNA(VLOOKUP($B199,'B-1 Site Hedge Baseline'!$B$1:$L$257,8,FALSE)),"",(VLOOKUP($B199,'B-1 Site Hedge Baseline'!$B$1:$L$257,8,FALSE))))</f>
        <v/>
      </c>
      <c r="I199" s="520" t="str">
        <f>IF(B199="","",IF(ISNA(VLOOKUP($B199,'B-1 Site Hedge Baseline'!$B$1:$L$257,10,FALSE)),"",(VLOOKUP($B199,'B-1 Site Hedge Baseline'!$B$1:$L$257,10,FALSE))))</f>
        <v/>
      </c>
      <c r="J199" s="520" t="str">
        <f>IF(B199="","",IF(ISNA(VLOOKUP($B199,'B-1 Site Hedge Baseline'!$B$1:$L$257,11,FALSE)),"",(VLOOKUP($B199,'B-1 Site Hedge Baseline'!$B$1:$L$257,11,FALSE))))</f>
        <v/>
      </c>
      <c r="K199" s="520" t="str">
        <f>IF(B199="","",IF(ISNA(VLOOKUP($B199,'B-1 Site Hedge Baseline'!$B$1:$U$257,13,FALSE)),"",(VLOOKUP($B199,'B-1 Site Hedge Baseline'!$B$1:$U$257,13,FALSE))))</f>
        <v/>
      </c>
      <c r="L199" s="524" t="str">
        <f>IF(B199="","",IF(ISNA(VLOOKUP($B199,'B-1 Site Hedge Baseline'!$B$1:$U$257,12,FALSE)),"",(VLOOKUP($B199,'B-1 Site Hedge Baseline'!$B$1:$U$257,12,FALSE))))</f>
        <v/>
      </c>
      <c r="M199" s="416" t="str">
        <f t="shared" si="23"/>
        <v/>
      </c>
      <c r="N199" s="498" t="str">
        <f>IFERROR(IF(B199="","",INDEX('G-6 Hedgerow Data'!$AN$3:$AZ$15,MATCH(C199,'G-6 Hedgerow Data'!$AM$3:$AM$15,0),MATCH(M199,'G-6 Hedgerow Data'!$AN$2:$AZ$2,0))),"")</f>
        <v/>
      </c>
      <c r="O199" s="499" t="str">
        <f t="shared" si="18"/>
        <v/>
      </c>
      <c r="P199" s="559" t="str">
        <f>IF(B199="","",VLOOKUP(B199,'B-1 Site Hedge Baseline'!$B$10:T444,16,FALSE))</f>
        <v/>
      </c>
      <c r="Q199" s="498" t="str">
        <f>IF(M199="","",VLOOKUP(M199,'G-6 Hedgerow Data'!$B$2:$AG$15,2,FALSE))</f>
        <v/>
      </c>
      <c r="R199" s="499" t="str">
        <f>IF(M199="","",VLOOKUP(M199,'G-6 Hedgerow Data'!$B$2:$AG$15,3,FALSE))</f>
        <v/>
      </c>
      <c r="S199" s="157"/>
      <c r="T199" s="540" t="str">
        <f>IFERROR(VLOOKUP(S199,'G-1 All Habitats'!$Z$2:$AA$9,2,FALSE),"")</f>
        <v/>
      </c>
      <c r="U199" s="154"/>
      <c r="V199" s="520" t="str">
        <f>IF(U199="","",IF(VLOOKUP(U199,'G-3 Multipliers'!$L$3:$N$6,2,FALSE)=0,"Spatial Data Missing ⚠",VLOOKUP(U199,'G-3 Multipliers'!$L$3:$N$6,2,FALSE)))</f>
        <v/>
      </c>
      <c r="W199" s="524" t="str">
        <f>IF(U199="","",IF(VLOOKUP(U199,'G-3 Multipliers'!$L$3:$N$6,3,FALSE)=0,"Spatial Data Missing ⚠",VLOOKUP(U199,'G-3 Multipliers'!$L$3:$N$6,3,FALSE)))</f>
        <v/>
      </c>
      <c r="X199" s="498" t="str">
        <f>IFERROR(IF(OR(LEFT(O199,5)="Error ▲",LEFT(N199,5)="Error ▲",T199="Error ▲"),"Check Data ⚠",IF(F199&lt;R199,INDEX('G-6 Hedgerow Data'!$S$3:$AE$14,MATCH(C199,'G-6 Hedgerow Data'!$B$3:$B$14,0),MATCH(M199,'G-6 Hedgerow Data'!$S$2:$AE$2,0)),INDEX('G-6 Hedgerow Data'!$K$3:$Q$14,MATCH(M199,'G-6 Hedgerow Data'!$B$3:$B$14,0),MATCH(O199,'G-6 Hedgerow Data'!$K$2:$Q$2,0)))),"")</f>
        <v/>
      </c>
      <c r="Y199" s="195"/>
      <c r="Z199" s="195"/>
      <c r="AA199" s="507" t="str">
        <f t="shared" si="19"/>
        <v/>
      </c>
      <c r="AB199" s="521" t="str">
        <f t="shared" si="20"/>
        <v/>
      </c>
      <c r="AC199" s="522" t="str">
        <f t="shared" si="16"/>
        <v/>
      </c>
      <c r="AD199" s="537" t="str">
        <f>IF(M199="","",VLOOKUP(M199,'G-6 Hedgerow Data'!$B$3:$AG$15,31,FALSE))</f>
        <v/>
      </c>
      <c r="AE199" s="507" t="str">
        <f t="shared" si="21"/>
        <v/>
      </c>
      <c r="AF199" s="507" t="str">
        <f t="shared" si="22"/>
        <v/>
      </c>
      <c r="AG199" s="524" t="str">
        <f>IFERROR(IF(O199="","",VLOOKUP(AD199,'G-3 Multipliers'!$P$3:$Q$6,2,FALSE)),"")</f>
        <v/>
      </c>
      <c r="AH199" s="513" t="str">
        <f t="shared" si="17"/>
        <v/>
      </c>
      <c r="AI199" s="231"/>
      <c r="AJ199" s="150"/>
      <c r="AT199" s="31" t="str">
        <f>IFERROR(INDEX('G-6 Hedgerow Data'!$BJ$3:$BJ$15,MATCH(M199,'G-6 Hedgerow Data'!$B$3:$B$15,0)),"")</f>
        <v/>
      </c>
    </row>
    <row r="200" spans="2:46" ht="14" x14ac:dyDescent="0.3">
      <c r="B200" s="531" t="str">
        <f>'B-1 Site Hedge Baseline'!AK198</f>
        <v/>
      </c>
      <c r="C200" s="520" t="str">
        <f>IF(B200="","",IF(ISNA(VLOOKUP($B200,'B-1 Site Hedge Baseline'!$B$1:$L$257,3,FALSE)),"",(VLOOKUP($B200,'B-1 Site Hedge Baseline'!$B$1:$L$257,3,FALSE))))</f>
        <v/>
      </c>
      <c r="D200" s="520" t="str">
        <f>IF(B200="","",IF(ISNA(VLOOKUP($B200,'B-1 Site Hedge Baseline'!$B$1:$L$257,4,FALSE)),"",(VLOOKUP($B200,'B-1 Site Hedge Baseline'!$B$1:$L$257,4,FALSE))))</f>
        <v/>
      </c>
      <c r="E200" s="520" t="str">
        <f>IF(B200="","",IF(ISNA(VLOOKUP($B200,'B-1 Site Hedge Baseline'!$B$1:$L$257,5,FALSE)),"",(VLOOKUP($B200,'B-1 Site Hedge Baseline'!$B$1:$L$257,5,FALSE))))</f>
        <v/>
      </c>
      <c r="F200" s="520" t="str">
        <f>IF(B200="","",IF(ISNA(VLOOKUP($B200,'B-1 Site Hedge Baseline'!$B$1:$L$257,6,FALSE)),"",(VLOOKUP($B200,'B-1 Site Hedge Baseline'!$B$1:$L$257,6,FALSE))))</f>
        <v/>
      </c>
      <c r="G200" s="520" t="str">
        <f>IF(B200="","",IF(ISNA(VLOOKUP($B200,'B-1 Site Hedge Baseline'!$B$1:$L$257,7,FALSE)),"",(VLOOKUP($B200,'B-1 Site Hedge Baseline'!$B$1:$L$257,7,FALSE))))</f>
        <v/>
      </c>
      <c r="H200" s="520" t="str">
        <f>IF(B200="","",IF(ISNA(VLOOKUP($B200,'B-1 Site Hedge Baseline'!$B$1:$L$257,8,FALSE)),"",(VLOOKUP($B200,'B-1 Site Hedge Baseline'!$B$1:$L$257,8,FALSE))))</f>
        <v/>
      </c>
      <c r="I200" s="520" t="str">
        <f>IF(B200="","",IF(ISNA(VLOOKUP($B200,'B-1 Site Hedge Baseline'!$B$1:$L$257,10,FALSE)),"",(VLOOKUP($B200,'B-1 Site Hedge Baseline'!$B$1:$L$257,10,FALSE))))</f>
        <v/>
      </c>
      <c r="J200" s="520" t="str">
        <f>IF(B200="","",IF(ISNA(VLOOKUP($B200,'B-1 Site Hedge Baseline'!$B$1:$L$257,11,FALSE)),"",(VLOOKUP($B200,'B-1 Site Hedge Baseline'!$B$1:$L$257,11,FALSE))))</f>
        <v/>
      </c>
      <c r="K200" s="520" t="str">
        <f>IF(B200="","",IF(ISNA(VLOOKUP($B200,'B-1 Site Hedge Baseline'!$B$1:$U$257,13,FALSE)),"",(VLOOKUP($B200,'B-1 Site Hedge Baseline'!$B$1:$U$257,13,FALSE))))</f>
        <v/>
      </c>
      <c r="L200" s="524" t="str">
        <f>IF(B200="","",IF(ISNA(VLOOKUP($B200,'B-1 Site Hedge Baseline'!$B$1:$U$257,12,FALSE)),"",(VLOOKUP($B200,'B-1 Site Hedge Baseline'!$B$1:$U$257,12,FALSE))))</f>
        <v/>
      </c>
      <c r="M200" s="416" t="str">
        <f t="shared" si="23"/>
        <v/>
      </c>
      <c r="N200" s="498" t="str">
        <f>IFERROR(IF(B200="","",INDEX('G-6 Hedgerow Data'!$AN$3:$AZ$15,MATCH(C200,'G-6 Hedgerow Data'!$AM$3:$AM$15,0),MATCH(M200,'G-6 Hedgerow Data'!$AN$2:$AZ$2,0))),"")</f>
        <v/>
      </c>
      <c r="O200" s="499" t="str">
        <f t="shared" si="18"/>
        <v/>
      </c>
      <c r="P200" s="559" t="str">
        <f>IF(B200="","",VLOOKUP(B200,'B-1 Site Hedge Baseline'!$B$10:T445,16,FALSE))</f>
        <v/>
      </c>
      <c r="Q200" s="498" t="str">
        <f>IF(M200="","",VLOOKUP(M200,'G-6 Hedgerow Data'!$B$2:$AG$15,2,FALSE))</f>
        <v/>
      </c>
      <c r="R200" s="499" t="str">
        <f>IF(M200="","",VLOOKUP(M200,'G-6 Hedgerow Data'!$B$2:$AG$15,3,FALSE))</f>
        <v/>
      </c>
      <c r="S200" s="157"/>
      <c r="T200" s="540" t="str">
        <f>IFERROR(VLOOKUP(S200,'G-1 All Habitats'!$Z$2:$AA$9,2,FALSE),"")</f>
        <v/>
      </c>
      <c r="U200" s="154"/>
      <c r="V200" s="520" t="str">
        <f>IF(U200="","",IF(VLOOKUP(U200,'G-3 Multipliers'!$L$3:$N$6,2,FALSE)=0,"Spatial Data Missing ⚠",VLOOKUP(U200,'G-3 Multipliers'!$L$3:$N$6,2,FALSE)))</f>
        <v/>
      </c>
      <c r="W200" s="524" t="str">
        <f>IF(U200="","",IF(VLOOKUP(U200,'G-3 Multipliers'!$L$3:$N$6,3,FALSE)=0,"Spatial Data Missing ⚠",VLOOKUP(U200,'G-3 Multipliers'!$L$3:$N$6,3,FALSE)))</f>
        <v/>
      </c>
      <c r="X200" s="498" t="str">
        <f>IFERROR(IF(OR(LEFT(O200,5)="Error ▲",LEFT(N200,5)="Error ▲",T200="Error ▲"),"Check Data ⚠",IF(F200&lt;R200,INDEX('G-6 Hedgerow Data'!$S$3:$AE$14,MATCH(C200,'G-6 Hedgerow Data'!$B$3:$B$14,0),MATCH(M200,'G-6 Hedgerow Data'!$S$2:$AE$2,0)),INDEX('G-6 Hedgerow Data'!$K$3:$Q$14,MATCH(M200,'G-6 Hedgerow Data'!$B$3:$B$14,0),MATCH(O200,'G-6 Hedgerow Data'!$K$2:$Q$2,0)))),"")</f>
        <v/>
      </c>
      <c r="Y200" s="195"/>
      <c r="Z200" s="195"/>
      <c r="AA200" s="507" t="str">
        <f t="shared" si="19"/>
        <v/>
      </c>
      <c r="AB200" s="521" t="str">
        <f t="shared" si="20"/>
        <v/>
      </c>
      <c r="AC200" s="522" t="str">
        <f t="shared" si="16"/>
        <v/>
      </c>
      <c r="AD200" s="537" t="str">
        <f>IF(M200="","",VLOOKUP(M200,'G-6 Hedgerow Data'!$B$3:$AG$15,31,FALSE))</f>
        <v/>
      </c>
      <c r="AE200" s="507" t="str">
        <f t="shared" si="21"/>
        <v/>
      </c>
      <c r="AF200" s="507" t="str">
        <f t="shared" si="22"/>
        <v/>
      </c>
      <c r="AG200" s="524" t="str">
        <f>IFERROR(IF(O200="","",VLOOKUP(AD200,'G-3 Multipliers'!$P$3:$Q$6,2,FALSE)),"")</f>
        <v/>
      </c>
      <c r="AH200" s="513" t="str">
        <f t="shared" si="17"/>
        <v/>
      </c>
      <c r="AI200" s="231"/>
      <c r="AJ200" s="150"/>
      <c r="AT200" s="31" t="str">
        <f>IFERROR(INDEX('G-6 Hedgerow Data'!$BJ$3:$BJ$15,MATCH(M200,'G-6 Hedgerow Data'!$B$3:$B$15,0)),"")</f>
        <v/>
      </c>
    </row>
    <row r="201" spans="2:46" ht="14" x14ac:dyDescent="0.3">
      <c r="B201" s="531" t="str">
        <f>'B-1 Site Hedge Baseline'!AK199</f>
        <v/>
      </c>
      <c r="C201" s="520" t="str">
        <f>IF(B201="","",IF(ISNA(VLOOKUP($B201,'B-1 Site Hedge Baseline'!$B$1:$L$257,3,FALSE)),"",(VLOOKUP($B201,'B-1 Site Hedge Baseline'!$B$1:$L$257,3,FALSE))))</f>
        <v/>
      </c>
      <c r="D201" s="520" t="str">
        <f>IF(B201="","",IF(ISNA(VLOOKUP($B201,'B-1 Site Hedge Baseline'!$B$1:$L$257,4,FALSE)),"",(VLOOKUP($B201,'B-1 Site Hedge Baseline'!$B$1:$L$257,4,FALSE))))</f>
        <v/>
      </c>
      <c r="E201" s="520" t="str">
        <f>IF(B201="","",IF(ISNA(VLOOKUP($B201,'B-1 Site Hedge Baseline'!$B$1:$L$257,5,FALSE)),"",(VLOOKUP($B201,'B-1 Site Hedge Baseline'!$B$1:$L$257,5,FALSE))))</f>
        <v/>
      </c>
      <c r="F201" s="520" t="str">
        <f>IF(B201="","",IF(ISNA(VLOOKUP($B201,'B-1 Site Hedge Baseline'!$B$1:$L$257,6,FALSE)),"",(VLOOKUP($B201,'B-1 Site Hedge Baseline'!$B$1:$L$257,6,FALSE))))</f>
        <v/>
      </c>
      <c r="G201" s="520" t="str">
        <f>IF(B201="","",IF(ISNA(VLOOKUP($B201,'B-1 Site Hedge Baseline'!$B$1:$L$257,7,FALSE)),"",(VLOOKUP($B201,'B-1 Site Hedge Baseline'!$B$1:$L$257,7,FALSE))))</f>
        <v/>
      </c>
      <c r="H201" s="520" t="str">
        <f>IF(B201="","",IF(ISNA(VLOOKUP($B201,'B-1 Site Hedge Baseline'!$B$1:$L$257,8,FALSE)),"",(VLOOKUP($B201,'B-1 Site Hedge Baseline'!$B$1:$L$257,8,FALSE))))</f>
        <v/>
      </c>
      <c r="I201" s="520" t="str">
        <f>IF(B201="","",IF(ISNA(VLOOKUP($B201,'B-1 Site Hedge Baseline'!$B$1:$L$257,10,FALSE)),"",(VLOOKUP($B201,'B-1 Site Hedge Baseline'!$B$1:$L$257,10,FALSE))))</f>
        <v/>
      </c>
      <c r="J201" s="520" t="str">
        <f>IF(B201="","",IF(ISNA(VLOOKUP($B201,'B-1 Site Hedge Baseline'!$B$1:$L$257,11,FALSE)),"",(VLOOKUP($B201,'B-1 Site Hedge Baseline'!$B$1:$L$257,11,FALSE))))</f>
        <v/>
      </c>
      <c r="K201" s="520" t="str">
        <f>IF(B201="","",IF(ISNA(VLOOKUP($B201,'B-1 Site Hedge Baseline'!$B$1:$U$257,13,FALSE)),"",(VLOOKUP($B201,'B-1 Site Hedge Baseline'!$B$1:$U$257,13,FALSE))))</f>
        <v/>
      </c>
      <c r="L201" s="524" t="str">
        <f>IF(B201="","",IF(ISNA(VLOOKUP($B201,'B-1 Site Hedge Baseline'!$B$1:$U$257,12,FALSE)),"",(VLOOKUP($B201,'B-1 Site Hedge Baseline'!$B$1:$U$257,12,FALSE))))</f>
        <v/>
      </c>
      <c r="M201" s="416" t="str">
        <f t="shared" si="23"/>
        <v/>
      </c>
      <c r="N201" s="498" t="str">
        <f>IFERROR(IF(B201="","",INDEX('G-6 Hedgerow Data'!$AN$3:$AZ$15,MATCH(C201,'G-6 Hedgerow Data'!$AM$3:$AM$15,0),MATCH(M201,'G-6 Hedgerow Data'!$AN$2:$AZ$2,0))),"")</f>
        <v/>
      </c>
      <c r="O201" s="499" t="str">
        <f t="shared" si="18"/>
        <v/>
      </c>
      <c r="P201" s="559" t="str">
        <f>IF(B201="","",VLOOKUP(B201,'B-1 Site Hedge Baseline'!$B$10:T446,16,FALSE))</f>
        <v/>
      </c>
      <c r="Q201" s="498" t="str">
        <f>IF(M201="","",VLOOKUP(M201,'G-6 Hedgerow Data'!$B$2:$AG$15,2,FALSE))</f>
        <v/>
      </c>
      <c r="R201" s="499" t="str">
        <f>IF(M201="","",VLOOKUP(M201,'G-6 Hedgerow Data'!$B$2:$AG$15,3,FALSE))</f>
        <v/>
      </c>
      <c r="S201" s="157"/>
      <c r="T201" s="540" t="str">
        <f>IFERROR(VLOOKUP(S201,'G-1 All Habitats'!$Z$2:$AA$9,2,FALSE),"")</f>
        <v/>
      </c>
      <c r="U201" s="154"/>
      <c r="V201" s="520" t="str">
        <f>IF(U201="","",IF(VLOOKUP(U201,'G-3 Multipliers'!$L$3:$N$6,2,FALSE)=0,"Spatial Data Missing ⚠",VLOOKUP(U201,'G-3 Multipliers'!$L$3:$N$6,2,FALSE)))</f>
        <v/>
      </c>
      <c r="W201" s="524" t="str">
        <f>IF(U201="","",IF(VLOOKUP(U201,'G-3 Multipliers'!$L$3:$N$6,3,FALSE)=0,"Spatial Data Missing ⚠",VLOOKUP(U201,'G-3 Multipliers'!$L$3:$N$6,3,FALSE)))</f>
        <v/>
      </c>
      <c r="X201" s="498" t="str">
        <f>IFERROR(IF(OR(LEFT(O201,5)="Error ▲",LEFT(N201,5)="Error ▲",T201="Error ▲"),"Check Data ⚠",IF(F201&lt;R201,INDEX('G-6 Hedgerow Data'!$S$3:$AE$14,MATCH(C201,'G-6 Hedgerow Data'!$B$3:$B$14,0),MATCH(M201,'G-6 Hedgerow Data'!$S$2:$AE$2,0)),INDEX('G-6 Hedgerow Data'!$K$3:$Q$14,MATCH(M201,'G-6 Hedgerow Data'!$B$3:$B$14,0),MATCH(O201,'G-6 Hedgerow Data'!$K$2:$Q$2,0)))),"")</f>
        <v/>
      </c>
      <c r="Y201" s="195"/>
      <c r="Z201" s="195"/>
      <c r="AA201" s="507" t="str">
        <f t="shared" si="19"/>
        <v/>
      </c>
      <c r="AB201" s="521" t="str">
        <f t="shared" si="20"/>
        <v/>
      </c>
      <c r="AC201" s="522" t="str">
        <f t="shared" si="16"/>
        <v/>
      </c>
      <c r="AD201" s="537" t="str">
        <f>IF(M201="","",VLOOKUP(M201,'G-6 Hedgerow Data'!$B$3:$AG$15,31,FALSE))</f>
        <v/>
      </c>
      <c r="AE201" s="507" t="str">
        <f t="shared" si="21"/>
        <v/>
      </c>
      <c r="AF201" s="507" t="str">
        <f t="shared" si="22"/>
        <v/>
      </c>
      <c r="AG201" s="524" t="str">
        <f>IFERROR(IF(O201="","",VLOOKUP(AD201,'G-3 Multipliers'!$P$3:$Q$6,2,FALSE)),"")</f>
        <v/>
      </c>
      <c r="AH201" s="513" t="str">
        <f t="shared" si="17"/>
        <v/>
      </c>
      <c r="AI201" s="231"/>
      <c r="AJ201" s="150"/>
      <c r="AT201" s="31" t="str">
        <f>IFERROR(INDEX('G-6 Hedgerow Data'!$BJ$3:$BJ$15,MATCH(M201,'G-6 Hedgerow Data'!$B$3:$B$15,0)),"")</f>
        <v/>
      </c>
    </row>
    <row r="202" spans="2:46" ht="14" x14ac:dyDescent="0.3">
      <c r="B202" s="531" t="str">
        <f>'B-1 Site Hedge Baseline'!AK200</f>
        <v/>
      </c>
      <c r="C202" s="520" t="str">
        <f>IF(B202="","",IF(ISNA(VLOOKUP($B202,'B-1 Site Hedge Baseline'!$B$1:$L$257,3,FALSE)),"",(VLOOKUP($B202,'B-1 Site Hedge Baseline'!$B$1:$L$257,3,FALSE))))</f>
        <v/>
      </c>
      <c r="D202" s="520" t="str">
        <f>IF(B202="","",IF(ISNA(VLOOKUP($B202,'B-1 Site Hedge Baseline'!$B$1:$L$257,4,FALSE)),"",(VLOOKUP($B202,'B-1 Site Hedge Baseline'!$B$1:$L$257,4,FALSE))))</f>
        <v/>
      </c>
      <c r="E202" s="520" t="str">
        <f>IF(B202="","",IF(ISNA(VLOOKUP($B202,'B-1 Site Hedge Baseline'!$B$1:$L$257,5,FALSE)),"",(VLOOKUP($B202,'B-1 Site Hedge Baseline'!$B$1:$L$257,5,FALSE))))</f>
        <v/>
      </c>
      <c r="F202" s="520" t="str">
        <f>IF(B202="","",IF(ISNA(VLOOKUP($B202,'B-1 Site Hedge Baseline'!$B$1:$L$257,6,FALSE)),"",(VLOOKUP($B202,'B-1 Site Hedge Baseline'!$B$1:$L$257,6,FALSE))))</f>
        <v/>
      </c>
      <c r="G202" s="520" t="str">
        <f>IF(B202="","",IF(ISNA(VLOOKUP($B202,'B-1 Site Hedge Baseline'!$B$1:$L$257,7,FALSE)),"",(VLOOKUP($B202,'B-1 Site Hedge Baseline'!$B$1:$L$257,7,FALSE))))</f>
        <v/>
      </c>
      <c r="H202" s="520" t="str">
        <f>IF(B202="","",IF(ISNA(VLOOKUP($B202,'B-1 Site Hedge Baseline'!$B$1:$L$257,8,FALSE)),"",(VLOOKUP($B202,'B-1 Site Hedge Baseline'!$B$1:$L$257,8,FALSE))))</f>
        <v/>
      </c>
      <c r="I202" s="520" t="str">
        <f>IF(B202="","",IF(ISNA(VLOOKUP($B202,'B-1 Site Hedge Baseline'!$B$1:$L$257,10,FALSE)),"",(VLOOKUP($B202,'B-1 Site Hedge Baseline'!$B$1:$L$257,10,FALSE))))</f>
        <v/>
      </c>
      <c r="J202" s="520" t="str">
        <f>IF(B202="","",IF(ISNA(VLOOKUP($B202,'B-1 Site Hedge Baseline'!$B$1:$L$257,11,FALSE)),"",(VLOOKUP($B202,'B-1 Site Hedge Baseline'!$B$1:$L$257,11,FALSE))))</f>
        <v/>
      </c>
      <c r="K202" s="520" t="str">
        <f>IF(B202="","",IF(ISNA(VLOOKUP($B202,'B-1 Site Hedge Baseline'!$B$1:$U$257,13,FALSE)),"",(VLOOKUP($B202,'B-1 Site Hedge Baseline'!$B$1:$U$257,13,FALSE))))</f>
        <v/>
      </c>
      <c r="L202" s="524" t="str">
        <f>IF(B202="","",IF(ISNA(VLOOKUP($B202,'B-1 Site Hedge Baseline'!$B$1:$U$257,12,FALSE)),"",(VLOOKUP($B202,'B-1 Site Hedge Baseline'!$B$1:$U$257,12,FALSE))))</f>
        <v/>
      </c>
      <c r="M202" s="416" t="str">
        <f t="shared" si="23"/>
        <v/>
      </c>
      <c r="N202" s="498" t="str">
        <f>IFERROR(IF(B202="","",INDEX('G-6 Hedgerow Data'!$AN$3:$AZ$15,MATCH(C202,'G-6 Hedgerow Data'!$AM$3:$AM$15,0),MATCH(M202,'G-6 Hedgerow Data'!$AN$2:$AZ$2,0))),"")</f>
        <v/>
      </c>
      <c r="O202" s="499" t="str">
        <f t="shared" si="18"/>
        <v/>
      </c>
      <c r="P202" s="559" t="str">
        <f>IF(B202="","",VLOOKUP(B202,'B-1 Site Hedge Baseline'!$B$10:T447,16,FALSE))</f>
        <v/>
      </c>
      <c r="Q202" s="498" t="str">
        <f>IF(M202="","",VLOOKUP(M202,'G-6 Hedgerow Data'!$B$2:$AG$15,2,FALSE))</f>
        <v/>
      </c>
      <c r="R202" s="499" t="str">
        <f>IF(M202="","",VLOOKUP(M202,'G-6 Hedgerow Data'!$B$2:$AG$15,3,FALSE))</f>
        <v/>
      </c>
      <c r="S202" s="157"/>
      <c r="T202" s="540" t="str">
        <f>IFERROR(VLOOKUP(S202,'G-1 All Habitats'!$Z$2:$AA$9,2,FALSE),"")</f>
        <v/>
      </c>
      <c r="U202" s="154"/>
      <c r="V202" s="520" t="str">
        <f>IF(U202="","",IF(VLOOKUP(U202,'G-3 Multipliers'!$L$3:$N$6,2,FALSE)=0,"Spatial Data Missing ⚠",VLOOKUP(U202,'G-3 Multipliers'!$L$3:$N$6,2,FALSE)))</f>
        <v/>
      </c>
      <c r="W202" s="524" t="str">
        <f>IF(U202="","",IF(VLOOKUP(U202,'G-3 Multipliers'!$L$3:$N$6,3,FALSE)=0,"Spatial Data Missing ⚠",VLOOKUP(U202,'G-3 Multipliers'!$L$3:$N$6,3,FALSE)))</f>
        <v/>
      </c>
      <c r="X202" s="498" t="str">
        <f>IFERROR(IF(OR(LEFT(O202,5)="Error ▲",LEFT(N202,5)="Error ▲",T202="Error ▲"),"Check Data ⚠",IF(F202&lt;R202,INDEX('G-6 Hedgerow Data'!$S$3:$AE$14,MATCH(C202,'G-6 Hedgerow Data'!$B$3:$B$14,0),MATCH(M202,'G-6 Hedgerow Data'!$S$2:$AE$2,0)),INDEX('G-6 Hedgerow Data'!$K$3:$Q$14,MATCH(M202,'G-6 Hedgerow Data'!$B$3:$B$14,0),MATCH(O202,'G-6 Hedgerow Data'!$K$2:$Q$2,0)))),"")</f>
        <v/>
      </c>
      <c r="Y202" s="195"/>
      <c r="Z202" s="195"/>
      <c r="AA202" s="507" t="str">
        <f t="shared" si="19"/>
        <v/>
      </c>
      <c r="AB202" s="521" t="str">
        <f t="shared" si="20"/>
        <v/>
      </c>
      <c r="AC202" s="522" t="str">
        <f t="shared" si="16"/>
        <v/>
      </c>
      <c r="AD202" s="537" t="str">
        <f>IF(M202="","",VLOOKUP(M202,'G-6 Hedgerow Data'!$B$3:$AG$15,31,FALSE))</f>
        <v/>
      </c>
      <c r="AE202" s="507" t="str">
        <f t="shared" si="21"/>
        <v/>
      </c>
      <c r="AF202" s="507" t="str">
        <f t="shared" si="22"/>
        <v/>
      </c>
      <c r="AG202" s="524" t="str">
        <f>IFERROR(IF(O202="","",VLOOKUP(AD202,'G-3 Multipliers'!$P$3:$Q$6,2,FALSE)),"")</f>
        <v/>
      </c>
      <c r="AH202" s="513" t="str">
        <f t="shared" si="17"/>
        <v/>
      </c>
      <c r="AI202" s="231"/>
      <c r="AJ202" s="150"/>
      <c r="AT202" s="31" t="str">
        <f>IFERROR(INDEX('G-6 Hedgerow Data'!$BJ$3:$BJ$15,MATCH(M202,'G-6 Hedgerow Data'!$B$3:$B$15,0)),"")</f>
        <v/>
      </c>
    </row>
    <row r="203" spans="2:46" ht="14" x14ac:dyDescent="0.3">
      <c r="B203" s="531" t="str">
        <f>'B-1 Site Hedge Baseline'!AK201</f>
        <v/>
      </c>
      <c r="C203" s="520" t="str">
        <f>IF(B203="","",IF(ISNA(VLOOKUP($B203,'B-1 Site Hedge Baseline'!$B$1:$L$257,3,FALSE)),"",(VLOOKUP($B203,'B-1 Site Hedge Baseline'!$B$1:$L$257,3,FALSE))))</f>
        <v/>
      </c>
      <c r="D203" s="520" t="str">
        <f>IF(B203="","",IF(ISNA(VLOOKUP($B203,'B-1 Site Hedge Baseline'!$B$1:$L$257,4,FALSE)),"",(VLOOKUP($B203,'B-1 Site Hedge Baseline'!$B$1:$L$257,4,FALSE))))</f>
        <v/>
      </c>
      <c r="E203" s="520" t="str">
        <f>IF(B203="","",IF(ISNA(VLOOKUP($B203,'B-1 Site Hedge Baseline'!$B$1:$L$257,5,FALSE)),"",(VLOOKUP($B203,'B-1 Site Hedge Baseline'!$B$1:$L$257,5,FALSE))))</f>
        <v/>
      </c>
      <c r="F203" s="520" t="str">
        <f>IF(B203="","",IF(ISNA(VLOOKUP($B203,'B-1 Site Hedge Baseline'!$B$1:$L$257,6,FALSE)),"",(VLOOKUP($B203,'B-1 Site Hedge Baseline'!$B$1:$L$257,6,FALSE))))</f>
        <v/>
      </c>
      <c r="G203" s="520" t="str">
        <f>IF(B203="","",IF(ISNA(VLOOKUP($B203,'B-1 Site Hedge Baseline'!$B$1:$L$257,7,FALSE)),"",(VLOOKUP($B203,'B-1 Site Hedge Baseline'!$B$1:$L$257,7,FALSE))))</f>
        <v/>
      </c>
      <c r="H203" s="520" t="str">
        <f>IF(B203="","",IF(ISNA(VLOOKUP($B203,'B-1 Site Hedge Baseline'!$B$1:$L$257,8,FALSE)),"",(VLOOKUP($B203,'B-1 Site Hedge Baseline'!$B$1:$L$257,8,FALSE))))</f>
        <v/>
      </c>
      <c r="I203" s="520" t="str">
        <f>IF(B203="","",IF(ISNA(VLOOKUP($B203,'B-1 Site Hedge Baseline'!$B$1:$L$257,10,FALSE)),"",(VLOOKUP($B203,'B-1 Site Hedge Baseline'!$B$1:$L$257,10,FALSE))))</f>
        <v/>
      </c>
      <c r="J203" s="520" t="str">
        <f>IF(B203="","",IF(ISNA(VLOOKUP($B203,'B-1 Site Hedge Baseline'!$B$1:$L$257,11,FALSE)),"",(VLOOKUP($B203,'B-1 Site Hedge Baseline'!$B$1:$L$257,11,FALSE))))</f>
        <v/>
      </c>
      <c r="K203" s="520" t="str">
        <f>IF(B203="","",IF(ISNA(VLOOKUP($B203,'B-1 Site Hedge Baseline'!$B$1:$U$257,13,FALSE)),"",(VLOOKUP($B203,'B-1 Site Hedge Baseline'!$B$1:$U$257,13,FALSE))))</f>
        <v/>
      </c>
      <c r="L203" s="524" t="str">
        <f>IF(B203="","",IF(ISNA(VLOOKUP($B203,'B-1 Site Hedge Baseline'!$B$1:$U$257,12,FALSE)),"",(VLOOKUP($B203,'B-1 Site Hedge Baseline'!$B$1:$U$257,12,FALSE))))</f>
        <v/>
      </c>
      <c r="M203" s="416" t="str">
        <f t="shared" si="23"/>
        <v/>
      </c>
      <c r="N203" s="498" t="str">
        <f>IFERROR(IF(B203="","",INDEX('G-6 Hedgerow Data'!$AN$3:$AZ$15,MATCH(C203,'G-6 Hedgerow Data'!$AM$3:$AM$15,0),MATCH(M203,'G-6 Hedgerow Data'!$AN$2:$AZ$2,0))),"")</f>
        <v/>
      </c>
      <c r="O203" s="499" t="str">
        <f t="shared" si="18"/>
        <v/>
      </c>
      <c r="P203" s="559" t="str">
        <f>IF(B203="","",VLOOKUP(B203,'B-1 Site Hedge Baseline'!$B$10:T448,16,FALSE))</f>
        <v/>
      </c>
      <c r="Q203" s="498" t="str">
        <f>IF(M203="","",VLOOKUP(M203,'G-6 Hedgerow Data'!$B$2:$AG$15,2,FALSE))</f>
        <v/>
      </c>
      <c r="R203" s="499" t="str">
        <f>IF(M203="","",VLOOKUP(M203,'G-6 Hedgerow Data'!$B$2:$AG$15,3,FALSE))</f>
        <v/>
      </c>
      <c r="S203" s="157"/>
      <c r="T203" s="540" t="str">
        <f>IFERROR(VLOOKUP(S203,'G-1 All Habitats'!$Z$2:$AA$9,2,FALSE),"")</f>
        <v/>
      </c>
      <c r="U203" s="154"/>
      <c r="V203" s="520" t="str">
        <f>IF(U203="","",IF(VLOOKUP(U203,'G-3 Multipliers'!$L$3:$N$6,2,FALSE)=0,"Spatial Data Missing ⚠",VLOOKUP(U203,'G-3 Multipliers'!$L$3:$N$6,2,FALSE)))</f>
        <v/>
      </c>
      <c r="W203" s="524" t="str">
        <f>IF(U203="","",IF(VLOOKUP(U203,'G-3 Multipliers'!$L$3:$N$6,3,FALSE)=0,"Spatial Data Missing ⚠",VLOOKUP(U203,'G-3 Multipliers'!$L$3:$N$6,3,FALSE)))</f>
        <v/>
      </c>
      <c r="X203" s="498" t="str">
        <f>IFERROR(IF(OR(LEFT(O203,5)="Error ▲",LEFT(N203,5)="Error ▲",T203="Error ▲"),"Check Data ⚠",IF(F203&lt;R203,INDEX('G-6 Hedgerow Data'!$S$3:$AE$14,MATCH(C203,'G-6 Hedgerow Data'!$B$3:$B$14,0),MATCH(M203,'G-6 Hedgerow Data'!$S$2:$AE$2,0)),INDEX('G-6 Hedgerow Data'!$K$3:$Q$14,MATCH(M203,'G-6 Hedgerow Data'!$B$3:$B$14,0),MATCH(O203,'G-6 Hedgerow Data'!$K$2:$Q$2,0)))),"")</f>
        <v/>
      </c>
      <c r="Y203" s="195"/>
      <c r="Z203" s="195"/>
      <c r="AA203" s="507" t="str">
        <f t="shared" si="19"/>
        <v/>
      </c>
      <c r="AB203" s="521" t="str">
        <f t="shared" si="20"/>
        <v/>
      </c>
      <c r="AC203" s="522" t="str">
        <f t="shared" si="16"/>
        <v/>
      </c>
      <c r="AD203" s="537" t="str">
        <f>IF(M203="","",VLOOKUP(M203,'G-6 Hedgerow Data'!$B$3:$AG$15,31,FALSE))</f>
        <v/>
      </c>
      <c r="AE203" s="507" t="str">
        <f t="shared" si="21"/>
        <v/>
      </c>
      <c r="AF203" s="507" t="str">
        <f t="shared" si="22"/>
        <v/>
      </c>
      <c r="AG203" s="524" t="str">
        <f>IFERROR(IF(O203="","",VLOOKUP(AD203,'G-3 Multipliers'!$P$3:$Q$6,2,FALSE)),"")</f>
        <v/>
      </c>
      <c r="AH203" s="513" t="str">
        <f t="shared" si="17"/>
        <v/>
      </c>
      <c r="AI203" s="231"/>
      <c r="AJ203" s="150"/>
      <c r="AT203" s="31" t="str">
        <f>IFERROR(INDEX('G-6 Hedgerow Data'!$BJ$3:$BJ$15,MATCH(M203,'G-6 Hedgerow Data'!$B$3:$B$15,0)),"")</f>
        <v/>
      </c>
    </row>
    <row r="204" spans="2:46" ht="14" x14ac:dyDescent="0.3">
      <c r="B204" s="531" t="str">
        <f>'B-1 Site Hedge Baseline'!AK202</f>
        <v/>
      </c>
      <c r="C204" s="520" t="str">
        <f>IF(B204="","",IF(ISNA(VLOOKUP($B204,'B-1 Site Hedge Baseline'!$B$1:$L$257,3,FALSE)),"",(VLOOKUP($B204,'B-1 Site Hedge Baseline'!$B$1:$L$257,3,FALSE))))</f>
        <v/>
      </c>
      <c r="D204" s="520" t="str">
        <f>IF(B204="","",IF(ISNA(VLOOKUP($B204,'B-1 Site Hedge Baseline'!$B$1:$L$257,4,FALSE)),"",(VLOOKUP($B204,'B-1 Site Hedge Baseline'!$B$1:$L$257,4,FALSE))))</f>
        <v/>
      </c>
      <c r="E204" s="520" t="str">
        <f>IF(B204="","",IF(ISNA(VLOOKUP($B204,'B-1 Site Hedge Baseline'!$B$1:$L$257,5,FALSE)),"",(VLOOKUP($B204,'B-1 Site Hedge Baseline'!$B$1:$L$257,5,FALSE))))</f>
        <v/>
      </c>
      <c r="F204" s="520" t="str">
        <f>IF(B204="","",IF(ISNA(VLOOKUP($B204,'B-1 Site Hedge Baseline'!$B$1:$L$257,6,FALSE)),"",(VLOOKUP($B204,'B-1 Site Hedge Baseline'!$B$1:$L$257,6,FALSE))))</f>
        <v/>
      </c>
      <c r="G204" s="520" t="str">
        <f>IF(B204="","",IF(ISNA(VLOOKUP($B204,'B-1 Site Hedge Baseline'!$B$1:$L$257,7,FALSE)),"",(VLOOKUP($B204,'B-1 Site Hedge Baseline'!$B$1:$L$257,7,FALSE))))</f>
        <v/>
      </c>
      <c r="H204" s="520" t="str">
        <f>IF(B204="","",IF(ISNA(VLOOKUP($B204,'B-1 Site Hedge Baseline'!$B$1:$L$257,8,FALSE)),"",(VLOOKUP($B204,'B-1 Site Hedge Baseline'!$B$1:$L$257,8,FALSE))))</f>
        <v/>
      </c>
      <c r="I204" s="520" t="str">
        <f>IF(B204="","",IF(ISNA(VLOOKUP($B204,'B-1 Site Hedge Baseline'!$B$1:$L$257,10,FALSE)),"",(VLOOKUP($B204,'B-1 Site Hedge Baseline'!$B$1:$L$257,10,FALSE))))</f>
        <v/>
      </c>
      <c r="J204" s="520" t="str">
        <f>IF(B204="","",IF(ISNA(VLOOKUP($B204,'B-1 Site Hedge Baseline'!$B$1:$L$257,11,FALSE)),"",(VLOOKUP($B204,'B-1 Site Hedge Baseline'!$B$1:$L$257,11,FALSE))))</f>
        <v/>
      </c>
      <c r="K204" s="520" t="str">
        <f>IF(B204="","",IF(ISNA(VLOOKUP($B204,'B-1 Site Hedge Baseline'!$B$1:$U$257,13,FALSE)),"",(VLOOKUP($B204,'B-1 Site Hedge Baseline'!$B$1:$U$257,13,FALSE))))</f>
        <v/>
      </c>
      <c r="L204" s="524" t="str">
        <f>IF(B204="","",IF(ISNA(VLOOKUP($B204,'B-1 Site Hedge Baseline'!$B$1:$U$257,12,FALSE)),"",(VLOOKUP($B204,'B-1 Site Hedge Baseline'!$B$1:$U$257,12,FALSE))))</f>
        <v/>
      </c>
      <c r="M204" s="416" t="str">
        <f t="shared" si="23"/>
        <v/>
      </c>
      <c r="N204" s="498" t="str">
        <f>IFERROR(IF(B204="","",INDEX('G-6 Hedgerow Data'!$AN$3:$AZ$15,MATCH(C204,'G-6 Hedgerow Data'!$AM$3:$AM$15,0),MATCH(M204,'G-6 Hedgerow Data'!$AN$2:$AZ$2,0))),"")</f>
        <v/>
      </c>
      <c r="O204" s="499" t="str">
        <f t="shared" si="18"/>
        <v/>
      </c>
      <c r="P204" s="559" t="str">
        <f>IF(B204="","",VLOOKUP(B204,'B-1 Site Hedge Baseline'!$B$10:T449,16,FALSE))</f>
        <v/>
      </c>
      <c r="Q204" s="498" t="str">
        <f>IF(M204="","",VLOOKUP(M204,'G-6 Hedgerow Data'!$B$2:$AG$15,2,FALSE))</f>
        <v/>
      </c>
      <c r="R204" s="499" t="str">
        <f>IF(M204="","",VLOOKUP(M204,'G-6 Hedgerow Data'!$B$2:$AG$15,3,FALSE))</f>
        <v/>
      </c>
      <c r="S204" s="157"/>
      <c r="T204" s="540" t="str">
        <f>IFERROR(VLOOKUP(S204,'G-1 All Habitats'!$Z$2:$AA$9,2,FALSE),"")</f>
        <v/>
      </c>
      <c r="U204" s="154"/>
      <c r="V204" s="520" t="str">
        <f>IF(U204="","",IF(VLOOKUP(U204,'G-3 Multipliers'!$L$3:$N$6,2,FALSE)=0,"Spatial Data Missing ⚠",VLOOKUP(U204,'G-3 Multipliers'!$L$3:$N$6,2,FALSE)))</f>
        <v/>
      </c>
      <c r="W204" s="524" t="str">
        <f>IF(U204="","",IF(VLOOKUP(U204,'G-3 Multipliers'!$L$3:$N$6,3,FALSE)=0,"Spatial Data Missing ⚠",VLOOKUP(U204,'G-3 Multipliers'!$L$3:$N$6,3,FALSE)))</f>
        <v/>
      </c>
      <c r="X204" s="498" t="str">
        <f>IFERROR(IF(OR(LEFT(O204,5)="Error ▲",LEFT(N204,5)="Error ▲",T204="Error ▲"),"Check Data ⚠",IF(F204&lt;R204,INDEX('G-6 Hedgerow Data'!$S$3:$AE$14,MATCH(C204,'G-6 Hedgerow Data'!$B$3:$B$14,0),MATCH(M204,'G-6 Hedgerow Data'!$S$2:$AE$2,0)),INDEX('G-6 Hedgerow Data'!$K$3:$Q$14,MATCH(M204,'G-6 Hedgerow Data'!$B$3:$B$14,0),MATCH(O204,'G-6 Hedgerow Data'!$K$2:$Q$2,0)))),"")</f>
        <v/>
      </c>
      <c r="Y204" s="195"/>
      <c r="Z204" s="195"/>
      <c r="AA204" s="507" t="str">
        <f t="shared" si="19"/>
        <v/>
      </c>
      <c r="AB204" s="521" t="str">
        <f t="shared" si="20"/>
        <v/>
      </c>
      <c r="AC204" s="522" t="str">
        <f t="shared" ref="AC204:AC257" si="24">IF(OR(S204="",M204=""),"",IF(LEFT(AB204,5)="Error ▲","Check Data ⚠",IF(AB204="Check Data ⚠","Check Data ⚠",VLOOKUP(AB204,TemporalMultipliers,3,FALSE))))</f>
        <v/>
      </c>
      <c r="AD204" s="537" t="str">
        <f>IF(M204="","",VLOOKUP(M204,'G-6 Hedgerow Data'!$B$3:$AG$15,31,FALSE))</f>
        <v/>
      </c>
      <c r="AE204" s="507" t="str">
        <f t="shared" si="21"/>
        <v/>
      </c>
      <c r="AF204" s="507" t="str">
        <f t="shared" si="22"/>
        <v/>
      </c>
      <c r="AG204" s="524" t="str">
        <f>IFERROR(IF(O204="","",VLOOKUP(AD204,'G-3 Multipliers'!$P$3:$Q$6,2,FALSE)),"")</f>
        <v/>
      </c>
      <c r="AH204" s="513" t="str">
        <f t="shared" ref="AH204:AH257" si="25">IFERROR(IF(OR(M204="",S204="",U204=""),"",(((((P204*R204*T204)-(P204*F204*H204))*(AG204*AC204))+(P204*F204*H204))*(W204))),"")</f>
        <v/>
      </c>
      <c r="AI204" s="231"/>
      <c r="AJ204" s="150"/>
      <c r="AT204" s="31" t="str">
        <f>IFERROR(INDEX('G-6 Hedgerow Data'!$BJ$3:$BJ$15,MATCH(M204,'G-6 Hedgerow Data'!$B$3:$B$15,0)),"")</f>
        <v/>
      </c>
    </row>
    <row r="205" spans="2:46" ht="14" x14ac:dyDescent="0.3">
      <c r="B205" s="531" t="str">
        <f>'B-1 Site Hedge Baseline'!AK203</f>
        <v/>
      </c>
      <c r="C205" s="520" t="str">
        <f>IF(B205="","",IF(ISNA(VLOOKUP($B205,'B-1 Site Hedge Baseline'!$B$1:$L$257,3,FALSE)),"",(VLOOKUP($B205,'B-1 Site Hedge Baseline'!$B$1:$L$257,3,FALSE))))</f>
        <v/>
      </c>
      <c r="D205" s="520" t="str">
        <f>IF(B205="","",IF(ISNA(VLOOKUP($B205,'B-1 Site Hedge Baseline'!$B$1:$L$257,4,FALSE)),"",(VLOOKUP($B205,'B-1 Site Hedge Baseline'!$B$1:$L$257,4,FALSE))))</f>
        <v/>
      </c>
      <c r="E205" s="520" t="str">
        <f>IF(B205="","",IF(ISNA(VLOOKUP($B205,'B-1 Site Hedge Baseline'!$B$1:$L$257,5,FALSE)),"",(VLOOKUP($B205,'B-1 Site Hedge Baseline'!$B$1:$L$257,5,FALSE))))</f>
        <v/>
      </c>
      <c r="F205" s="520" t="str">
        <f>IF(B205="","",IF(ISNA(VLOOKUP($B205,'B-1 Site Hedge Baseline'!$B$1:$L$257,6,FALSE)),"",(VLOOKUP($B205,'B-1 Site Hedge Baseline'!$B$1:$L$257,6,FALSE))))</f>
        <v/>
      </c>
      <c r="G205" s="520" t="str">
        <f>IF(B205="","",IF(ISNA(VLOOKUP($B205,'B-1 Site Hedge Baseline'!$B$1:$L$257,7,FALSE)),"",(VLOOKUP($B205,'B-1 Site Hedge Baseline'!$B$1:$L$257,7,FALSE))))</f>
        <v/>
      </c>
      <c r="H205" s="520" t="str">
        <f>IF(B205="","",IF(ISNA(VLOOKUP($B205,'B-1 Site Hedge Baseline'!$B$1:$L$257,8,FALSE)),"",(VLOOKUP($B205,'B-1 Site Hedge Baseline'!$B$1:$L$257,8,FALSE))))</f>
        <v/>
      </c>
      <c r="I205" s="520" t="str">
        <f>IF(B205="","",IF(ISNA(VLOOKUP($B205,'B-1 Site Hedge Baseline'!$B$1:$L$257,10,FALSE)),"",(VLOOKUP($B205,'B-1 Site Hedge Baseline'!$B$1:$L$257,10,FALSE))))</f>
        <v/>
      </c>
      <c r="J205" s="520" t="str">
        <f>IF(B205="","",IF(ISNA(VLOOKUP($B205,'B-1 Site Hedge Baseline'!$B$1:$L$257,11,FALSE)),"",(VLOOKUP($B205,'B-1 Site Hedge Baseline'!$B$1:$L$257,11,FALSE))))</f>
        <v/>
      </c>
      <c r="K205" s="520" t="str">
        <f>IF(B205="","",IF(ISNA(VLOOKUP($B205,'B-1 Site Hedge Baseline'!$B$1:$U$257,13,FALSE)),"",(VLOOKUP($B205,'B-1 Site Hedge Baseline'!$B$1:$U$257,13,FALSE))))</f>
        <v/>
      </c>
      <c r="L205" s="524" t="str">
        <f>IF(B205="","",IF(ISNA(VLOOKUP($B205,'B-1 Site Hedge Baseline'!$B$1:$U$257,12,FALSE)),"",(VLOOKUP($B205,'B-1 Site Hedge Baseline'!$B$1:$U$257,12,FALSE))))</f>
        <v/>
      </c>
      <c r="M205" s="416" t="str">
        <f t="shared" si="23"/>
        <v/>
      </c>
      <c r="N205" s="498" t="str">
        <f>IFERROR(IF(B205="","",INDEX('G-6 Hedgerow Data'!$AN$3:$AZ$15,MATCH(C205,'G-6 Hedgerow Data'!$AM$3:$AM$15,0),MATCH(M205,'G-6 Hedgerow Data'!$AN$2:$AZ$2,0))),"")</f>
        <v/>
      </c>
      <c r="O205" s="499" t="str">
        <f t="shared" ref="O205:O256" si="26">IFERROR(IF(B205="","",IF(AND(LEFT(C205,55)&lt;&gt;LEFT(M205,55),N205="High - High"),"Error - Not like for like ▲",IF(AND(LEFT(C205,55)&lt;&gt;LEFT(M205,55),N205="Medium - Medium"),"Error - Not like for like ▲",IF(H205&gt;T205,"Error - Can not reduce condition ▲",IF(AND(F205=R205,H205=T205),"Error - No enhancement ▲",IF(AND(C205&lt;&gt;M205,F205&lt;R205),"Lower Distinctiveness Habitat"&amp;" - "&amp;S205,G205&amp;" - "&amp;S205)))))),"")</f>
        <v/>
      </c>
      <c r="P205" s="559" t="str">
        <f>IF(B205="","",VLOOKUP(B205,'B-1 Site Hedge Baseline'!$B$10:T450,16,FALSE))</f>
        <v/>
      </c>
      <c r="Q205" s="498" t="str">
        <f>IF(M205="","",VLOOKUP(M205,'G-6 Hedgerow Data'!$B$2:$AG$15,2,FALSE))</f>
        <v/>
      </c>
      <c r="R205" s="499" t="str">
        <f>IF(M205="","",VLOOKUP(M205,'G-6 Hedgerow Data'!$B$2:$AG$15,3,FALSE))</f>
        <v/>
      </c>
      <c r="S205" s="157"/>
      <c r="T205" s="540" t="str">
        <f>IFERROR(VLOOKUP(S205,'G-1 All Habitats'!$Z$2:$AA$9,2,FALSE),"")</f>
        <v/>
      </c>
      <c r="U205" s="154"/>
      <c r="V205" s="520" t="str">
        <f>IF(U205="","",IF(VLOOKUP(U205,'G-3 Multipliers'!$L$3:$N$6,2,FALSE)=0,"Spatial Data Missing ⚠",VLOOKUP(U205,'G-3 Multipliers'!$L$3:$N$6,2,FALSE)))</f>
        <v/>
      </c>
      <c r="W205" s="524" t="str">
        <f>IF(U205="","",IF(VLOOKUP(U205,'G-3 Multipliers'!$L$3:$N$6,3,FALSE)=0,"Spatial Data Missing ⚠",VLOOKUP(U205,'G-3 Multipliers'!$L$3:$N$6,3,FALSE)))</f>
        <v/>
      </c>
      <c r="X205" s="498" t="str">
        <f>IFERROR(IF(OR(LEFT(O205,5)="Error ▲",LEFT(N205,5)="Error ▲",T205="Error ▲"),"Check Data ⚠",IF(F205&lt;R205,INDEX('G-6 Hedgerow Data'!$S$3:$AE$14,MATCH(C205,'G-6 Hedgerow Data'!$B$3:$B$14,0),MATCH(M205,'G-6 Hedgerow Data'!$S$2:$AE$2,0)),INDEX('G-6 Hedgerow Data'!$K$3:$Q$14,MATCH(M205,'G-6 Hedgerow Data'!$B$3:$B$14,0),MATCH(O205,'G-6 Hedgerow Data'!$K$2:$Q$2,0)))),"")</f>
        <v/>
      </c>
      <c r="Y205" s="195"/>
      <c r="Z205" s="195"/>
      <c r="AA205" s="507" t="str">
        <f t="shared" ref="AA205:AA257" si="27">IF(X205="Check Data ⚠","Check Data ⚠",IF(M205="","",IF(AND(Y205&gt;0,Z205&gt;0),"Error -both advance and delayed habitat creation ▲",IF(AND(OR(Y205="Habitat already in target condition",X205&lt;=Y205),Z205=0),"Check details - Is there evidence that habitat has reached target condition? ⚠",IF(X205="","",IF(Y205&gt;0,"Check details - Is there evidence habitat creation started/in place? ⚠",IF(Z205&gt;0,"Check details- Delay in starting habitat in required condition? ⚠","Standard time to target condition applied")))))))</f>
        <v/>
      </c>
      <c r="AB205" s="521" t="str">
        <f t="shared" ref="AB205:AB256" si="28">IF(X205="","",IF(AA205="Check Data ⚠","Check Data ⚠",IF(Y205="30+",0,IF(Z205="30+","30+ ⚠",IF(X205+Z205&gt;30,"30+ ⚠",IF(LEFT(AA205,5)="Error ▲","Check Data ⚠",IF(X205+Z205-Y205&gt;0,X205+Z205-Y205,IF(X205-Y205&lt;=0,0,))))))))</f>
        <v/>
      </c>
      <c r="AC205" s="522" t="str">
        <f t="shared" si="24"/>
        <v/>
      </c>
      <c r="AD205" s="537" t="str">
        <f>IF(M205="","",VLOOKUP(M205,'G-6 Hedgerow Data'!$B$3:$AG$15,31,FALSE))</f>
        <v/>
      </c>
      <c r="AE205" s="507" t="str">
        <f t="shared" ref="AE205:AE257" si="29">IF(M205="","",IF(OR(LEFT(AA205,5)="Error ▲",AA205="Check Data ⚠"),"Check Data ⚠",IF(X205="","",IF($AA205="Check details - Is there evidence that habitat has reached target condition? ⚠","Low Difficulty - only applicable if all habitat created before losses ⚠","Standard difficulty applied"))))</f>
        <v/>
      </c>
      <c r="AF205" s="507" t="str">
        <f t="shared" ref="AF205:AF257" si="30">(IF(AND(AE205="Standard difficulty applied",X205&gt;Y205),AD205,IF(AND(AE205="Low Difficulty - only applicable if all habitat created before losses ⚠",Y205&gt;=X205),"Low",AD205)))</f>
        <v/>
      </c>
      <c r="AG205" s="524" t="str">
        <f>IFERROR(IF(O205="","",VLOOKUP(AD205,'G-3 Multipliers'!$P$3:$Q$6,2,FALSE)),"")</f>
        <v/>
      </c>
      <c r="AH205" s="513" t="str">
        <f t="shared" si="25"/>
        <v/>
      </c>
      <c r="AI205" s="231"/>
      <c r="AJ205" s="150"/>
      <c r="AT205" s="31" t="str">
        <f>IFERROR(INDEX('G-6 Hedgerow Data'!$BJ$3:$BJ$15,MATCH(M205,'G-6 Hedgerow Data'!$B$3:$B$15,0)),"")</f>
        <v/>
      </c>
    </row>
    <row r="206" spans="2:46" ht="14" x14ac:dyDescent="0.3">
      <c r="B206" s="531" t="str">
        <f>'B-1 Site Hedge Baseline'!AK204</f>
        <v/>
      </c>
      <c r="C206" s="520" t="str">
        <f>IF(B206="","",IF(ISNA(VLOOKUP($B206,'B-1 Site Hedge Baseline'!$B$1:$L$257,3,FALSE)),"",(VLOOKUP($B206,'B-1 Site Hedge Baseline'!$B$1:$L$257,3,FALSE))))</f>
        <v/>
      </c>
      <c r="D206" s="520" t="str">
        <f>IF(B206="","",IF(ISNA(VLOOKUP($B206,'B-1 Site Hedge Baseline'!$B$1:$L$257,4,FALSE)),"",(VLOOKUP($B206,'B-1 Site Hedge Baseline'!$B$1:$L$257,4,FALSE))))</f>
        <v/>
      </c>
      <c r="E206" s="520" t="str">
        <f>IF(B206="","",IF(ISNA(VLOOKUP($B206,'B-1 Site Hedge Baseline'!$B$1:$L$257,5,FALSE)),"",(VLOOKUP($B206,'B-1 Site Hedge Baseline'!$B$1:$L$257,5,FALSE))))</f>
        <v/>
      </c>
      <c r="F206" s="520" t="str">
        <f>IF(B206="","",IF(ISNA(VLOOKUP($B206,'B-1 Site Hedge Baseline'!$B$1:$L$257,6,FALSE)),"",(VLOOKUP($B206,'B-1 Site Hedge Baseline'!$B$1:$L$257,6,FALSE))))</f>
        <v/>
      </c>
      <c r="G206" s="520" t="str">
        <f>IF(B206="","",IF(ISNA(VLOOKUP($B206,'B-1 Site Hedge Baseline'!$B$1:$L$257,7,FALSE)),"",(VLOOKUP($B206,'B-1 Site Hedge Baseline'!$B$1:$L$257,7,FALSE))))</f>
        <v/>
      </c>
      <c r="H206" s="520" t="str">
        <f>IF(B206="","",IF(ISNA(VLOOKUP($B206,'B-1 Site Hedge Baseline'!$B$1:$L$257,8,FALSE)),"",(VLOOKUP($B206,'B-1 Site Hedge Baseline'!$B$1:$L$257,8,FALSE))))</f>
        <v/>
      </c>
      <c r="I206" s="520" t="str">
        <f>IF(B206="","",IF(ISNA(VLOOKUP($B206,'B-1 Site Hedge Baseline'!$B$1:$L$257,10,FALSE)),"",(VLOOKUP($B206,'B-1 Site Hedge Baseline'!$B$1:$L$257,10,FALSE))))</f>
        <v/>
      </c>
      <c r="J206" s="520" t="str">
        <f>IF(B206="","",IF(ISNA(VLOOKUP($B206,'B-1 Site Hedge Baseline'!$B$1:$L$257,11,FALSE)),"",(VLOOKUP($B206,'B-1 Site Hedge Baseline'!$B$1:$L$257,11,FALSE))))</f>
        <v/>
      </c>
      <c r="K206" s="520" t="str">
        <f>IF(B206="","",IF(ISNA(VLOOKUP($B206,'B-1 Site Hedge Baseline'!$B$1:$U$257,13,FALSE)),"",(VLOOKUP($B206,'B-1 Site Hedge Baseline'!$B$1:$U$257,13,FALSE))))</f>
        <v/>
      </c>
      <c r="L206" s="524" t="str">
        <f>IF(B206="","",IF(ISNA(VLOOKUP($B206,'B-1 Site Hedge Baseline'!$B$1:$U$257,12,FALSE)),"",(VLOOKUP($B206,'B-1 Site Hedge Baseline'!$B$1:$U$257,12,FALSE))))</f>
        <v/>
      </c>
      <c r="M206" s="416" t="str">
        <f t="shared" ref="M206:M257" si="31">IF(B206="","",C206)</f>
        <v/>
      </c>
      <c r="N206" s="498" t="str">
        <f>IFERROR(IF(B206="","",INDEX('G-6 Hedgerow Data'!$AN$3:$AZ$15,MATCH(C206,'G-6 Hedgerow Data'!$AM$3:$AM$15,0),MATCH(M206,'G-6 Hedgerow Data'!$AN$2:$AZ$2,0))),"")</f>
        <v/>
      </c>
      <c r="O206" s="499" t="str">
        <f t="shared" si="26"/>
        <v/>
      </c>
      <c r="P206" s="559" t="str">
        <f>IF(B206="","",VLOOKUP(B206,'B-1 Site Hedge Baseline'!$B$10:T451,16,FALSE))</f>
        <v/>
      </c>
      <c r="Q206" s="498" t="str">
        <f>IF(M206="","",VLOOKUP(M206,'G-6 Hedgerow Data'!$B$2:$AG$15,2,FALSE))</f>
        <v/>
      </c>
      <c r="R206" s="499" t="str">
        <f>IF(M206="","",VLOOKUP(M206,'G-6 Hedgerow Data'!$B$2:$AG$15,3,FALSE))</f>
        <v/>
      </c>
      <c r="S206" s="157"/>
      <c r="T206" s="540" t="str">
        <f>IFERROR(VLOOKUP(S206,'G-1 All Habitats'!$Z$2:$AA$9,2,FALSE),"")</f>
        <v/>
      </c>
      <c r="U206" s="154"/>
      <c r="V206" s="520" t="str">
        <f>IF(U206="","",IF(VLOOKUP(U206,'G-3 Multipliers'!$L$3:$N$6,2,FALSE)=0,"Spatial Data Missing ⚠",VLOOKUP(U206,'G-3 Multipliers'!$L$3:$N$6,2,FALSE)))</f>
        <v/>
      </c>
      <c r="W206" s="524" t="str">
        <f>IF(U206="","",IF(VLOOKUP(U206,'G-3 Multipliers'!$L$3:$N$6,3,FALSE)=0,"Spatial Data Missing ⚠",VLOOKUP(U206,'G-3 Multipliers'!$L$3:$N$6,3,FALSE)))</f>
        <v/>
      </c>
      <c r="X206" s="498" t="str">
        <f>IFERROR(IF(OR(LEFT(O206,5)="Error ▲",LEFT(N206,5)="Error ▲",T206="Error ▲"),"Check Data ⚠",IF(F206&lt;R206,INDEX('G-6 Hedgerow Data'!$S$3:$AE$14,MATCH(C206,'G-6 Hedgerow Data'!$B$3:$B$14,0),MATCH(M206,'G-6 Hedgerow Data'!$S$2:$AE$2,0)),INDEX('G-6 Hedgerow Data'!$K$3:$Q$14,MATCH(M206,'G-6 Hedgerow Data'!$B$3:$B$14,0),MATCH(O206,'G-6 Hedgerow Data'!$K$2:$Q$2,0)))),"")</f>
        <v/>
      </c>
      <c r="Y206" s="195"/>
      <c r="Z206" s="195"/>
      <c r="AA206" s="507" t="str">
        <f t="shared" si="27"/>
        <v/>
      </c>
      <c r="AB206" s="521" t="str">
        <f t="shared" si="28"/>
        <v/>
      </c>
      <c r="AC206" s="522" t="str">
        <f t="shared" si="24"/>
        <v/>
      </c>
      <c r="AD206" s="537" t="str">
        <f>IF(M206="","",VLOOKUP(M206,'G-6 Hedgerow Data'!$B$3:$AG$15,31,FALSE))</f>
        <v/>
      </c>
      <c r="AE206" s="507" t="str">
        <f t="shared" si="29"/>
        <v/>
      </c>
      <c r="AF206" s="507" t="str">
        <f t="shared" si="30"/>
        <v/>
      </c>
      <c r="AG206" s="524" t="str">
        <f>IFERROR(IF(O206="","",VLOOKUP(AD206,'G-3 Multipliers'!$P$3:$Q$6,2,FALSE)),"")</f>
        <v/>
      </c>
      <c r="AH206" s="513" t="str">
        <f t="shared" si="25"/>
        <v/>
      </c>
      <c r="AI206" s="231"/>
      <c r="AJ206" s="150"/>
      <c r="AT206" s="31" t="str">
        <f>IFERROR(INDEX('G-6 Hedgerow Data'!$BJ$3:$BJ$15,MATCH(M206,'G-6 Hedgerow Data'!$B$3:$B$15,0)),"")</f>
        <v/>
      </c>
    </row>
    <row r="207" spans="2:46" ht="14" x14ac:dyDescent="0.3">
      <c r="B207" s="531" t="str">
        <f>'B-1 Site Hedge Baseline'!AK205</f>
        <v/>
      </c>
      <c r="C207" s="520" t="str">
        <f>IF(B207="","",IF(ISNA(VLOOKUP($B207,'B-1 Site Hedge Baseline'!$B$1:$L$257,3,FALSE)),"",(VLOOKUP($B207,'B-1 Site Hedge Baseline'!$B$1:$L$257,3,FALSE))))</f>
        <v/>
      </c>
      <c r="D207" s="520" t="str">
        <f>IF(B207="","",IF(ISNA(VLOOKUP($B207,'B-1 Site Hedge Baseline'!$B$1:$L$257,4,FALSE)),"",(VLOOKUP($B207,'B-1 Site Hedge Baseline'!$B$1:$L$257,4,FALSE))))</f>
        <v/>
      </c>
      <c r="E207" s="520" t="str">
        <f>IF(B207="","",IF(ISNA(VLOOKUP($B207,'B-1 Site Hedge Baseline'!$B$1:$L$257,5,FALSE)),"",(VLOOKUP($B207,'B-1 Site Hedge Baseline'!$B$1:$L$257,5,FALSE))))</f>
        <v/>
      </c>
      <c r="F207" s="520" t="str">
        <f>IF(B207="","",IF(ISNA(VLOOKUP($B207,'B-1 Site Hedge Baseline'!$B$1:$L$257,6,FALSE)),"",(VLOOKUP($B207,'B-1 Site Hedge Baseline'!$B$1:$L$257,6,FALSE))))</f>
        <v/>
      </c>
      <c r="G207" s="520" t="str">
        <f>IF(B207="","",IF(ISNA(VLOOKUP($B207,'B-1 Site Hedge Baseline'!$B$1:$L$257,7,FALSE)),"",(VLOOKUP($B207,'B-1 Site Hedge Baseline'!$B$1:$L$257,7,FALSE))))</f>
        <v/>
      </c>
      <c r="H207" s="520" t="str">
        <f>IF(B207="","",IF(ISNA(VLOOKUP($B207,'B-1 Site Hedge Baseline'!$B$1:$L$257,8,FALSE)),"",(VLOOKUP($B207,'B-1 Site Hedge Baseline'!$B$1:$L$257,8,FALSE))))</f>
        <v/>
      </c>
      <c r="I207" s="520" t="str">
        <f>IF(B207="","",IF(ISNA(VLOOKUP($B207,'B-1 Site Hedge Baseline'!$B$1:$L$257,10,FALSE)),"",(VLOOKUP($B207,'B-1 Site Hedge Baseline'!$B$1:$L$257,10,FALSE))))</f>
        <v/>
      </c>
      <c r="J207" s="520" t="str">
        <f>IF(B207="","",IF(ISNA(VLOOKUP($B207,'B-1 Site Hedge Baseline'!$B$1:$L$257,11,FALSE)),"",(VLOOKUP($B207,'B-1 Site Hedge Baseline'!$B$1:$L$257,11,FALSE))))</f>
        <v/>
      </c>
      <c r="K207" s="520" t="str">
        <f>IF(B207="","",IF(ISNA(VLOOKUP($B207,'B-1 Site Hedge Baseline'!$B$1:$U$257,13,FALSE)),"",(VLOOKUP($B207,'B-1 Site Hedge Baseline'!$B$1:$U$257,13,FALSE))))</f>
        <v/>
      </c>
      <c r="L207" s="524" t="str">
        <f>IF(B207="","",IF(ISNA(VLOOKUP($B207,'B-1 Site Hedge Baseline'!$B$1:$U$257,12,FALSE)),"",(VLOOKUP($B207,'B-1 Site Hedge Baseline'!$B$1:$U$257,12,FALSE))))</f>
        <v/>
      </c>
      <c r="M207" s="416" t="str">
        <f t="shared" si="31"/>
        <v/>
      </c>
      <c r="N207" s="498" t="str">
        <f>IFERROR(IF(B207="","",INDEX('G-6 Hedgerow Data'!$AN$3:$AZ$15,MATCH(C207,'G-6 Hedgerow Data'!$AM$3:$AM$15,0),MATCH(M207,'G-6 Hedgerow Data'!$AN$2:$AZ$2,0))),"")</f>
        <v/>
      </c>
      <c r="O207" s="499" t="str">
        <f t="shared" si="26"/>
        <v/>
      </c>
      <c r="P207" s="559" t="str">
        <f>IF(B207="","",VLOOKUP(B207,'B-1 Site Hedge Baseline'!$B$10:T452,16,FALSE))</f>
        <v/>
      </c>
      <c r="Q207" s="498" t="str">
        <f>IF(M207="","",VLOOKUP(M207,'G-6 Hedgerow Data'!$B$2:$AG$15,2,FALSE))</f>
        <v/>
      </c>
      <c r="R207" s="499" t="str">
        <f>IF(M207="","",VLOOKUP(M207,'G-6 Hedgerow Data'!$B$2:$AG$15,3,FALSE))</f>
        <v/>
      </c>
      <c r="S207" s="157"/>
      <c r="T207" s="540" t="str">
        <f>IFERROR(VLOOKUP(S207,'G-1 All Habitats'!$Z$2:$AA$9,2,FALSE),"")</f>
        <v/>
      </c>
      <c r="U207" s="154"/>
      <c r="V207" s="520" t="str">
        <f>IF(U207="","",IF(VLOOKUP(U207,'G-3 Multipliers'!$L$3:$N$6,2,FALSE)=0,"Spatial Data Missing ⚠",VLOOKUP(U207,'G-3 Multipliers'!$L$3:$N$6,2,FALSE)))</f>
        <v/>
      </c>
      <c r="W207" s="524" t="str">
        <f>IF(U207="","",IF(VLOOKUP(U207,'G-3 Multipliers'!$L$3:$N$6,3,FALSE)=0,"Spatial Data Missing ⚠",VLOOKUP(U207,'G-3 Multipliers'!$L$3:$N$6,3,FALSE)))</f>
        <v/>
      </c>
      <c r="X207" s="498" t="str">
        <f>IFERROR(IF(OR(LEFT(O207,5)="Error ▲",LEFT(N207,5)="Error ▲",T207="Error ▲"),"Check Data ⚠",IF(F207&lt;R207,INDEX('G-6 Hedgerow Data'!$S$3:$AE$14,MATCH(C207,'G-6 Hedgerow Data'!$B$3:$B$14,0),MATCH(M207,'G-6 Hedgerow Data'!$S$2:$AE$2,0)),INDEX('G-6 Hedgerow Data'!$K$3:$Q$14,MATCH(M207,'G-6 Hedgerow Data'!$B$3:$B$14,0),MATCH(O207,'G-6 Hedgerow Data'!$K$2:$Q$2,0)))),"")</f>
        <v/>
      </c>
      <c r="Y207" s="195"/>
      <c r="Z207" s="195"/>
      <c r="AA207" s="507" t="str">
        <f t="shared" si="27"/>
        <v/>
      </c>
      <c r="AB207" s="521" t="str">
        <f t="shared" si="28"/>
        <v/>
      </c>
      <c r="AC207" s="522" t="str">
        <f t="shared" si="24"/>
        <v/>
      </c>
      <c r="AD207" s="537" t="str">
        <f>IF(M207="","",VLOOKUP(M207,'G-6 Hedgerow Data'!$B$3:$AG$15,31,FALSE))</f>
        <v/>
      </c>
      <c r="AE207" s="507" t="str">
        <f t="shared" si="29"/>
        <v/>
      </c>
      <c r="AF207" s="507" t="str">
        <f t="shared" si="30"/>
        <v/>
      </c>
      <c r="AG207" s="524" t="str">
        <f>IFERROR(IF(O207="","",VLOOKUP(AD207,'G-3 Multipliers'!$P$3:$Q$6,2,FALSE)),"")</f>
        <v/>
      </c>
      <c r="AH207" s="513" t="str">
        <f t="shared" si="25"/>
        <v/>
      </c>
      <c r="AI207" s="231"/>
      <c r="AJ207" s="150"/>
      <c r="AT207" s="31" t="str">
        <f>IFERROR(INDEX('G-6 Hedgerow Data'!$BJ$3:$BJ$15,MATCH(M207,'G-6 Hedgerow Data'!$B$3:$B$15,0)),"")</f>
        <v/>
      </c>
    </row>
    <row r="208" spans="2:46" ht="14" x14ac:dyDescent="0.3">
      <c r="B208" s="531" t="str">
        <f>'B-1 Site Hedge Baseline'!AK206</f>
        <v/>
      </c>
      <c r="C208" s="520" t="str">
        <f>IF(B208="","",IF(ISNA(VLOOKUP($B208,'B-1 Site Hedge Baseline'!$B$1:$L$257,3,FALSE)),"",(VLOOKUP($B208,'B-1 Site Hedge Baseline'!$B$1:$L$257,3,FALSE))))</f>
        <v/>
      </c>
      <c r="D208" s="520" t="str">
        <f>IF(B208="","",IF(ISNA(VLOOKUP($B208,'B-1 Site Hedge Baseline'!$B$1:$L$257,4,FALSE)),"",(VLOOKUP($B208,'B-1 Site Hedge Baseline'!$B$1:$L$257,4,FALSE))))</f>
        <v/>
      </c>
      <c r="E208" s="520" t="str">
        <f>IF(B208="","",IF(ISNA(VLOOKUP($B208,'B-1 Site Hedge Baseline'!$B$1:$L$257,5,FALSE)),"",(VLOOKUP($B208,'B-1 Site Hedge Baseline'!$B$1:$L$257,5,FALSE))))</f>
        <v/>
      </c>
      <c r="F208" s="520" t="str">
        <f>IF(B208="","",IF(ISNA(VLOOKUP($B208,'B-1 Site Hedge Baseline'!$B$1:$L$257,6,FALSE)),"",(VLOOKUP($B208,'B-1 Site Hedge Baseline'!$B$1:$L$257,6,FALSE))))</f>
        <v/>
      </c>
      <c r="G208" s="520" t="str">
        <f>IF(B208="","",IF(ISNA(VLOOKUP($B208,'B-1 Site Hedge Baseline'!$B$1:$L$257,7,FALSE)),"",(VLOOKUP($B208,'B-1 Site Hedge Baseline'!$B$1:$L$257,7,FALSE))))</f>
        <v/>
      </c>
      <c r="H208" s="520" t="str">
        <f>IF(B208="","",IF(ISNA(VLOOKUP($B208,'B-1 Site Hedge Baseline'!$B$1:$L$257,8,FALSE)),"",(VLOOKUP($B208,'B-1 Site Hedge Baseline'!$B$1:$L$257,8,FALSE))))</f>
        <v/>
      </c>
      <c r="I208" s="520" t="str">
        <f>IF(B208="","",IF(ISNA(VLOOKUP($B208,'B-1 Site Hedge Baseline'!$B$1:$L$257,10,FALSE)),"",(VLOOKUP($B208,'B-1 Site Hedge Baseline'!$B$1:$L$257,10,FALSE))))</f>
        <v/>
      </c>
      <c r="J208" s="520" t="str">
        <f>IF(B208="","",IF(ISNA(VLOOKUP($B208,'B-1 Site Hedge Baseline'!$B$1:$L$257,11,FALSE)),"",(VLOOKUP($B208,'B-1 Site Hedge Baseline'!$B$1:$L$257,11,FALSE))))</f>
        <v/>
      </c>
      <c r="K208" s="520" t="str">
        <f>IF(B208="","",IF(ISNA(VLOOKUP($B208,'B-1 Site Hedge Baseline'!$B$1:$U$257,13,FALSE)),"",(VLOOKUP($B208,'B-1 Site Hedge Baseline'!$B$1:$U$257,13,FALSE))))</f>
        <v/>
      </c>
      <c r="L208" s="524" t="str">
        <f>IF(B208="","",IF(ISNA(VLOOKUP($B208,'B-1 Site Hedge Baseline'!$B$1:$U$257,12,FALSE)),"",(VLOOKUP($B208,'B-1 Site Hedge Baseline'!$B$1:$U$257,12,FALSE))))</f>
        <v/>
      </c>
      <c r="M208" s="416" t="str">
        <f t="shared" si="31"/>
        <v/>
      </c>
      <c r="N208" s="498" t="str">
        <f>IFERROR(IF(B208="","",INDEX('G-6 Hedgerow Data'!$AN$3:$AZ$15,MATCH(C208,'G-6 Hedgerow Data'!$AM$3:$AM$15,0),MATCH(M208,'G-6 Hedgerow Data'!$AN$2:$AZ$2,0))),"")</f>
        <v/>
      </c>
      <c r="O208" s="499" t="str">
        <f t="shared" si="26"/>
        <v/>
      </c>
      <c r="P208" s="559" t="str">
        <f>IF(B208="","",VLOOKUP(B208,'B-1 Site Hedge Baseline'!$B$10:T453,16,FALSE))</f>
        <v/>
      </c>
      <c r="Q208" s="498" t="str">
        <f>IF(M208="","",VLOOKUP(M208,'G-6 Hedgerow Data'!$B$2:$AG$15,2,FALSE))</f>
        <v/>
      </c>
      <c r="R208" s="499" t="str">
        <f>IF(M208="","",VLOOKUP(M208,'G-6 Hedgerow Data'!$B$2:$AG$15,3,FALSE))</f>
        <v/>
      </c>
      <c r="S208" s="157"/>
      <c r="T208" s="540" t="str">
        <f>IFERROR(VLOOKUP(S208,'G-1 All Habitats'!$Z$2:$AA$9,2,FALSE),"")</f>
        <v/>
      </c>
      <c r="U208" s="154"/>
      <c r="V208" s="520" t="str">
        <f>IF(U208="","",IF(VLOOKUP(U208,'G-3 Multipliers'!$L$3:$N$6,2,FALSE)=0,"Spatial Data Missing ⚠",VLOOKUP(U208,'G-3 Multipliers'!$L$3:$N$6,2,FALSE)))</f>
        <v/>
      </c>
      <c r="W208" s="524" t="str">
        <f>IF(U208="","",IF(VLOOKUP(U208,'G-3 Multipliers'!$L$3:$N$6,3,FALSE)=0,"Spatial Data Missing ⚠",VLOOKUP(U208,'G-3 Multipliers'!$L$3:$N$6,3,FALSE)))</f>
        <v/>
      </c>
      <c r="X208" s="498" t="str">
        <f>IFERROR(IF(OR(LEFT(O208,5)="Error ▲",LEFT(N208,5)="Error ▲",T208="Error ▲"),"Check Data ⚠",IF(F208&lt;R208,INDEX('G-6 Hedgerow Data'!$S$3:$AE$14,MATCH(C208,'G-6 Hedgerow Data'!$B$3:$B$14,0),MATCH(M208,'G-6 Hedgerow Data'!$S$2:$AE$2,0)),INDEX('G-6 Hedgerow Data'!$K$3:$Q$14,MATCH(M208,'G-6 Hedgerow Data'!$B$3:$B$14,0),MATCH(O208,'G-6 Hedgerow Data'!$K$2:$Q$2,0)))),"")</f>
        <v/>
      </c>
      <c r="Y208" s="195"/>
      <c r="Z208" s="195"/>
      <c r="AA208" s="507" t="str">
        <f t="shared" si="27"/>
        <v/>
      </c>
      <c r="AB208" s="521" t="str">
        <f t="shared" si="28"/>
        <v/>
      </c>
      <c r="AC208" s="522" t="str">
        <f t="shared" si="24"/>
        <v/>
      </c>
      <c r="AD208" s="537" t="str">
        <f>IF(M208="","",VLOOKUP(M208,'G-6 Hedgerow Data'!$B$3:$AG$15,31,FALSE))</f>
        <v/>
      </c>
      <c r="AE208" s="507" t="str">
        <f t="shared" si="29"/>
        <v/>
      </c>
      <c r="AF208" s="507" t="str">
        <f t="shared" si="30"/>
        <v/>
      </c>
      <c r="AG208" s="524" t="str">
        <f>IFERROR(IF(O208="","",VLOOKUP(AD208,'G-3 Multipliers'!$P$3:$Q$6,2,FALSE)),"")</f>
        <v/>
      </c>
      <c r="AH208" s="513" t="str">
        <f t="shared" si="25"/>
        <v/>
      </c>
      <c r="AI208" s="231"/>
      <c r="AJ208" s="150"/>
      <c r="AT208" s="31" t="str">
        <f>IFERROR(INDEX('G-6 Hedgerow Data'!$BJ$3:$BJ$15,MATCH(M208,'G-6 Hedgerow Data'!$B$3:$B$15,0)),"")</f>
        <v/>
      </c>
    </row>
    <row r="209" spans="2:46" ht="14" x14ac:dyDescent="0.3">
      <c r="B209" s="531" t="str">
        <f>'B-1 Site Hedge Baseline'!AK207</f>
        <v/>
      </c>
      <c r="C209" s="520" t="str">
        <f>IF(B209="","",IF(ISNA(VLOOKUP($B209,'B-1 Site Hedge Baseline'!$B$1:$L$257,3,FALSE)),"",(VLOOKUP($B209,'B-1 Site Hedge Baseline'!$B$1:$L$257,3,FALSE))))</f>
        <v/>
      </c>
      <c r="D209" s="520" t="str">
        <f>IF(B209="","",IF(ISNA(VLOOKUP($B209,'B-1 Site Hedge Baseline'!$B$1:$L$257,4,FALSE)),"",(VLOOKUP($B209,'B-1 Site Hedge Baseline'!$B$1:$L$257,4,FALSE))))</f>
        <v/>
      </c>
      <c r="E209" s="520" t="str">
        <f>IF(B209="","",IF(ISNA(VLOOKUP($B209,'B-1 Site Hedge Baseline'!$B$1:$L$257,5,FALSE)),"",(VLOOKUP($B209,'B-1 Site Hedge Baseline'!$B$1:$L$257,5,FALSE))))</f>
        <v/>
      </c>
      <c r="F209" s="520" t="str">
        <f>IF(B209="","",IF(ISNA(VLOOKUP($B209,'B-1 Site Hedge Baseline'!$B$1:$L$257,6,FALSE)),"",(VLOOKUP($B209,'B-1 Site Hedge Baseline'!$B$1:$L$257,6,FALSE))))</f>
        <v/>
      </c>
      <c r="G209" s="520" t="str">
        <f>IF(B209="","",IF(ISNA(VLOOKUP($B209,'B-1 Site Hedge Baseline'!$B$1:$L$257,7,FALSE)),"",(VLOOKUP($B209,'B-1 Site Hedge Baseline'!$B$1:$L$257,7,FALSE))))</f>
        <v/>
      </c>
      <c r="H209" s="520" t="str">
        <f>IF(B209="","",IF(ISNA(VLOOKUP($B209,'B-1 Site Hedge Baseline'!$B$1:$L$257,8,FALSE)),"",(VLOOKUP($B209,'B-1 Site Hedge Baseline'!$B$1:$L$257,8,FALSE))))</f>
        <v/>
      </c>
      <c r="I209" s="520" t="str">
        <f>IF(B209="","",IF(ISNA(VLOOKUP($B209,'B-1 Site Hedge Baseline'!$B$1:$L$257,10,FALSE)),"",(VLOOKUP($B209,'B-1 Site Hedge Baseline'!$B$1:$L$257,10,FALSE))))</f>
        <v/>
      </c>
      <c r="J209" s="520" t="str">
        <f>IF(B209="","",IF(ISNA(VLOOKUP($B209,'B-1 Site Hedge Baseline'!$B$1:$L$257,11,FALSE)),"",(VLOOKUP($B209,'B-1 Site Hedge Baseline'!$B$1:$L$257,11,FALSE))))</f>
        <v/>
      </c>
      <c r="K209" s="520" t="str">
        <f>IF(B209="","",IF(ISNA(VLOOKUP($B209,'B-1 Site Hedge Baseline'!$B$1:$U$257,13,FALSE)),"",(VLOOKUP($B209,'B-1 Site Hedge Baseline'!$B$1:$U$257,13,FALSE))))</f>
        <v/>
      </c>
      <c r="L209" s="524" t="str">
        <f>IF(B209="","",IF(ISNA(VLOOKUP($B209,'B-1 Site Hedge Baseline'!$B$1:$U$257,12,FALSE)),"",(VLOOKUP($B209,'B-1 Site Hedge Baseline'!$B$1:$U$257,12,FALSE))))</f>
        <v/>
      </c>
      <c r="M209" s="416" t="str">
        <f t="shared" si="31"/>
        <v/>
      </c>
      <c r="N209" s="498" t="str">
        <f>IFERROR(IF(B209="","",INDEX('G-6 Hedgerow Data'!$AN$3:$AZ$15,MATCH(C209,'G-6 Hedgerow Data'!$AM$3:$AM$15,0),MATCH(M209,'G-6 Hedgerow Data'!$AN$2:$AZ$2,0))),"")</f>
        <v/>
      </c>
      <c r="O209" s="499" t="str">
        <f t="shared" si="26"/>
        <v/>
      </c>
      <c r="P209" s="559" t="str">
        <f>IF(B209="","",VLOOKUP(B209,'B-1 Site Hedge Baseline'!$B$10:T454,16,FALSE))</f>
        <v/>
      </c>
      <c r="Q209" s="498" t="str">
        <f>IF(M209="","",VLOOKUP(M209,'G-6 Hedgerow Data'!$B$2:$AG$15,2,FALSE))</f>
        <v/>
      </c>
      <c r="R209" s="499" t="str">
        <f>IF(M209="","",VLOOKUP(M209,'G-6 Hedgerow Data'!$B$2:$AG$15,3,FALSE))</f>
        <v/>
      </c>
      <c r="S209" s="157"/>
      <c r="T209" s="540" t="str">
        <f>IFERROR(VLOOKUP(S209,'G-1 All Habitats'!$Z$2:$AA$9,2,FALSE),"")</f>
        <v/>
      </c>
      <c r="U209" s="154"/>
      <c r="V209" s="520" t="str">
        <f>IF(U209="","",IF(VLOOKUP(U209,'G-3 Multipliers'!$L$3:$N$6,2,FALSE)=0,"Spatial Data Missing ⚠",VLOOKUP(U209,'G-3 Multipliers'!$L$3:$N$6,2,FALSE)))</f>
        <v/>
      </c>
      <c r="W209" s="524" t="str">
        <f>IF(U209="","",IF(VLOOKUP(U209,'G-3 Multipliers'!$L$3:$N$6,3,FALSE)=0,"Spatial Data Missing ⚠",VLOOKUP(U209,'G-3 Multipliers'!$L$3:$N$6,3,FALSE)))</f>
        <v/>
      </c>
      <c r="X209" s="498" t="str">
        <f>IFERROR(IF(OR(LEFT(O209,5)="Error ▲",LEFT(N209,5)="Error ▲",T209="Error ▲"),"Check Data ⚠",IF(F209&lt;R209,INDEX('G-6 Hedgerow Data'!$S$3:$AE$14,MATCH(C209,'G-6 Hedgerow Data'!$B$3:$B$14,0),MATCH(M209,'G-6 Hedgerow Data'!$S$2:$AE$2,0)),INDEX('G-6 Hedgerow Data'!$K$3:$Q$14,MATCH(M209,'G-6 Hedgerow Data'!$B$3:$B$14,0),MATCH(O209,'G-6 Hedgerow Data'!$K$2:$Q$2,0)))),"")</f>
        <v/>
      </c>
      <c r="Y209" s="195"/>
      <c r="Z209" s="195"/>
      <c r="AA209" s="507" t="str">
        <f t="shared" si="27"/>
        <v/>
      </c>
      <c r="AB209" s="521" t="str">
        <f t="shared" si="28"/>
        <v/>
      </c>
      <c r="AC209" s="522" t="str">
        <f t="shared" si="24"/>
        <v/>
      </c>
      <c r="AD209" s="537" t="str">
        <f>IF(M209="","",VLOOKUP(M209,'G-6 Hedgerow Data'!$B$3:$AG$15,31,FALSE))</f>
        <v/>
      </c>
      <c r="AE209" s="507" t="str">
        <f t="shared" si="29"/>
        <v/>
      </c>
      <c r="AF209" s="507" t="str">
        <f t="shared" si="30"/>
        <v/>
      </c>
      <c r="AG209" s="524" t="str">
        <f>IFERROR(IF(O209="","",VLOOKUP(AD209,'G-3 Multipliers'!$P$3:$Q$6,2,FALSE)),"")</f>
        <v/>
      </c>
      <c r="AH209" s="513" t="str">
        <f t="shared" si="25"/>
        <v/>
      </c>
      <c r="AI209" s="231"/>
      <c r="AJ209" s="150"/>
      <c r="AT209" s="31" t="str">
        <f>IFERROR(INDEX('G-6 Hedgerow Data'!$BJ$3:$BJ$15,MATCH(M209,'G-6 Hedgerow Data'!$B$3:$B$15,0)),"")</f>
        <v/>
      </c>
    </row>
    <row r="210" spans="2:46" ht="14" x14ac:dyDescent="0.3">
      <c r="B210" s="531" t="str">
        <f>'B-1 Site Hedge Baseline'!AK208</f>
        <v/>
      </c>
      <c r="C210" s="520" t="str">
        <f>IF(B210="","",IF(ISNA(VLOOKUP($B210,'B-1 Site Hedge Baseline'!$B$1:$L$257,3,FALSE)),"",(VLOOKUP($B210,'B-1 Site Hedge Baseline'!$B$1:$L$257,3,FALSE))))</f>
        <v/>
      </c>
      <c r="D210" s="520" t="str">
        <f>IF(B210="","",IF(ISNA(VLOOKUP($B210,'B-1 Site Hedge Baseline'!$B$1:$L$257,4,FALSE)),"",(VLOOKUP($B210,'B-1 Site Hedge Baseline'!$B$1:$L$257,4,FALSE))))</f>
        <v/>
      </c>
      <c r="E210" s="520" t="str">
        <f>IF(B210="","",IF(ISNA(VLOOKUP($B210,'B-1 Site Hedge Baseline'!$B$1:$L$257,5,FALSE)),"",(VLOOKUP($B210,'B-1 Site Hedge Baseline'!$B$1:$L$257,5,FALSE))))</f>
        <v/>
      </c>
      <c r="F210" s="520" t="str">
        <f>IF(B210="","",IF(ISNA(VLOOKUP($B210,'B-1 Site Hedge Baseline'!$B$1:$L$257,6,FALSE)),"",(VLOOKUP($B210,'B-1 Site Hedge Baseline'!$B$1:$L$257,6,FALSE))))</f>
        <v/>
      </c>
      <c r="G210" s="520" t="str">
        <f>IF(B210="","",IF(ISNA(VLOOKUP($B210,'B-1 Site Hedge Baseline'!$B$1:$L$257,7,FALSE)),"",(VLOOKUP($B210,'B-1 Site Hedge Baseline'!$B$1:$L$257,7,FALSE))))</f>
        <v/>
      </c>
      <c r="H210" s="520" t="str">
        <f>IF(B210="","",IF(ISNA(VLOOKUP($B210,'B-1 Site Hedge Baseline'!$B$1:$L$257,8,FALSE)),"",(VLOOKUP($B210,'B-1 Site Hedge Baseline'!$B$1:$L$257,8,FALSE))))</f>
        <v/>
      </c>
      <c r="I210" s="520" t="str">
        <f>IF(B210="","",IF(ISNA(VLOOKUP($B210,'B-1 Site Hedge Baseline'!$B$1:$L$257,10,FALSE)),"",(VLOOKUP($B210,'B-1 Site Hedge Baseline'!$B$1:$L$257,10,FALSE))))</f>
        <v/>
      </c>
      <c r="J210" s="520" t="str">
        <f>IF(B210="","",IF(ISNA(VLOOKUP($B210,'B-1 Site Hedge Baseline'!$B$1:$L$257,11,FALSE)),"",(VLOOKUP($B210,'B-1 Site Hedge Baseline'!$B$1:$L$257,11,FALSE))))</f>
        <v/>
      </c>
      <c r="K210" s="520" t="str">
        <f>IF(B210="","",IF(ISNA(VLOOKUP($B210,'B-1 Site Hedge Baseline'!$B$1:$U$257,13,FALSE)),"",(VLOOKUP($B210,'B-1 Site Hedge Baseline'!$B$1:$U$257,13,FALSE))))</f>
        <v/>
      </c>
      <c r="L210" s="524" t="str">
        <f>IF(B210="","",IF(ISNA(VLOOKUP($B210,'B-1 Site Hedge Baseline'!$B$1:$U$257,12,FALSE)),"",(VLOOKUP($B210,'B-1 Site Hedge Baseline'!$B$1:$U$257,12,FALSE))))</f>
        <v/>
      </c>
      <c r="M210" s="416" t="str">
        <f t="shared" si="31"/>
        <v/>
      </c>
      <c r="N210" s="498" t="str">
        <f>IFERROR(IF(B210="","",INDEX('G-6 Hedgerow Data'!$AN$3:$AZ$15,MATCH(C210,'G-6 Hedgerow Data'!$AM$3:$AM$15,0),MATCH(M210,'G-6 Hedgerow Data'!$AN$2:$AZ$2,0))),"")</f>
        <v/>
      </c>
      <c r="O210" s="499" t="str">
        <f t="shared" si="26"/>
        <v/>
      </c>
      <c r="P210" s="559" t="str">
        <f>IF(B210="","",VLOOKUP(B210,'B-1 Site Hedge Baseline'!$B$10:T455,16,FALSE))</f>
        <v/>
      </c>
      <c r="Q210" s="498" t="str">
        <f>IF(M210="","",VLOOKUP(M210,'G-6 Hedgerow Data'!$B$2:$AG$15,2,FALSE))</f>
        <v/>
      </c>
      <c r="R210" s="499" t="str">
        <f>IF(M210="","",VLOOKUP(M210,'G-6 Hedgerow Data'!$B$2:$AG$15,3,FALSE))</f>
        <v/>
      </c>
      <c r="S210" s="157"/>
      <c r="T210" s="540" t="str">
        <f>IFERROR(VLOOKUP(S210,'G-1 All Habitats'!$Z$2:$AA$9,2,FALSE),"")</f>
        <v/>
      </c>
      <c r="U210" s="154"/>
      <c r="V210" s="520" t="str">
        <f>IF(U210="","",IF(VLOOKUP(U210,'G-3 Multipliers'!$L$3:$N$6,2,FALSE)=0,"Spatial Data Missing ⚠",VLOOKUP(U210,'G-3 Multipliers'!$L$3:$N$6,2,FALSE)))</f>
        <v/>
      </c>
      <c r="W210" s="524" t="str">
        <f>IF(U210="","",IF(VLOOKUP(U210,'G-3 Multipliers'!$L$3:$N$6,3,FALSE)=0,"Spatial Data Missing ⚠",VLOOKUP(U210,'G-3 Multipliers'!$L$3:$N$6,3,FALSE)))</f>
        <v/>
      </c>
      <c r="X210" s="498" t="str">
        <f>IFERROR(IF(OR(LEFT(O210,5)="Error ▲",LEFT(N210,5)="Error ▲",T210="Error ▲"),"Check Data ⚠",IF(F210&lt;R210,INDEX('G-6 Hedgerow Data'!$S$3:$AE$14,MATCH(C210,'G-6 Hedgerow Data'!$B$3:$B$14,0),MATCH(M210,'G-6 Hedgerow Data'!$S$2:$AE$2,0)),INDEX('G-6 Hedgerow Data'!$K$3:$Q$14,MATCH(M210,'G-6 Hedgerow Data'!$B$3:$B$14,0),MATCH(O210,'G-6 Hedgerow Data'!$K$2:$Q$2,0)))),"")</f>
        <v/>
      </c>
      <c r="Y210" s="195"/>
      <c r="Z210" s="195"/>
      <c r="AA210" s="507" t="str">
        <f t="shared" si="27"/>
        <v/>
      </c>
      <c r="AB210" s="521" t="str">
        <f t="shared" si="28"/>
        <v/>
      </c>
      <c r="AC210" s="522" t="str">
        <f t="shared" si="24"/>
        <v/>
      </c>
      <c r="AD210" s="537" t="str">
        <f>IF(M210="","",VLOOKUP(M210,'G-6 Hedgerow Data'!$B$3:$AG$15,31,FALSE))</f>
        <v/>
      </c>
      <c r="AE210" s="507" t="str">
        <f t="shared" si="29"/>
        <v/>
      </c>
      <c r="AF210" s="507" t="str">
        <f t="shared" si="30"/>
        <v/>
      </c>
      <c r="AG210" s="524" t="str">
        <f>IFERROR(IF(O210="","",VLOOKUP(AD210,'G-3 Multipliers'!$P$3:$Q$6,2,FALSE)),"")</f>
        <v/>
      </c>
      <c r="AH210" s="513" t="str">
        <f t="shared" si="25"/>
        <v/>
      </c>
      <c r="AI210" s="231"/>
      <c r="AJ210" s="150"/>
      <c r="AT210" s="31" t="str">
        <f>IFERROR(INDEX('G-6 Hedgerow Data'!$BJ$3:$BJ$15,MATCH(M210,'G-6 Hedgerow Data'!$B$3:$B$15,0)),"")</f>
        <v/>
      </c>
    </row>
    <row r="211" spans="2:46" ht="14" x14ac:dyDescent="0.3">
      <c r="B211" s="531" t="str">
        <f>'B-1 Site Hedge Baseline'!AK209</f>
        <v/>
      </c>
      <c r="C211" s="520" t="str">
        <f>IF(B211="","",IF(ISNA(VLOOKUP($B211,'B-1 Site Hedge Baseline'!$B$1:$L$257,3,FALSE)),"",(VLOOKUP($B211,'B-1 Site Hedge Baseline'!$B$1:$L$257,3,FALSE))))</f>
        <v/>
      </c>
      <c r="D211" s="520" t="str">
        <f>IF(B211="","",IF(ISNA(VLOOKUP($B211,'B-1 Site Hedge Baseline'!$B$1:$L$257,4,FALSE)),"",(VLOOKUP($B211,'B-1 Site Hedge Baseline'!$B$1:$L$257,4,FALSE))))</f>
        <v/>
      </c>
      <c r="E211" s="520" t="str">
        <f>IF(B211="","",IF(ISNA(VLOOKUP($B211,'B-1 Site Hedge Baseline'!$B$1:$L$257,5,FALSE)),"",(VLOOKUP($B211,'B-1 Site Hedge Baseline'!$B$1:$L$257,5,FALSE))))</f>
        <v/>
      </c>
      <c r="F211" s="520" t="str">
        <f>IF(B211="","",IF(ISNA(VLOOKUP($B211,'B-1 Site Hedge Baseline'!$B$1:$L$257,6,FALSE)),"",(VLOOKUP($B211,'B-1 Site Hedge Baseline'!$B$1:$L$257,6,FALSE))))</f>
        <v/>
      </c>
      <c r="G211" s="520" t="str">
        <f>IF(B211="","",IF(ISNA(VLOOKUP($B211,'B-1 Site Hedge Baseline'!$B$1:$L$257,7,FALSE)),"",(VLOOKUP($B211,'B-1 Site Hedge Baseline'!$B$1:$L$257,7,FALSE))))</f>
        <v/>
      </c>
      <c r="H211" s="520" t="str">
        <f>IF(B211="","",IF(ISNA(VLOOKUP($B211,'B-1 Site Hedge Baseline'!$B$1:$L$257,8,FALSE)),"",(VLOOKUP($B211,'B-1 Site Hedge Baseline'!$B$1:$L$257,8,FALSE))))</f>
        <v/>
      </c>
      <c r="I211" s="520" t="str">
        <f>IF(B211="","",IF(ISNA(VLOOKUP($B211,'B-1 Site Hedge Baseline'!$B$1:$L$257,10,FALSE)),"",(VLOOKUP($B211,'B-1 Site Hedge Baseline'!$B$1:$L$257,10,FALSE))))</f>
        <v/>
      </c>
      <c r="J211" s="520" t="str">
        <f>IF(B211="","",IF(ISNA(VLOOKUP($B211,'B-1 Site Hedge Baseline'!$B$1:$L$257,11,FALSE)),"",(VLOOKUP($B211,'B-1 Site Hedge Baseline'!$B$1:$L$257,11,FALSE))))</f>
        <v/>
      </c>
      <c r="K211" s="520" t="str">
        <f>IF(B211="","",IF(ISNA(VLOOKUP($B211,'B-1 Site Hedge Baseline'!$B$1:$U$257,13,FALSE)),"",(VLOOKUP($B211,'B-1 Site Hedge Baseline'!$B$1:$U$257,13,FALSE))))</f>
        <v/>
      </c>
      <c r="L211" s="524" t="str">
        <f>IF(B211="","",IF(ISNA(VLOOKUP($B211,'B-1 Site Hedge Baseline'!$B$1:$U$257,12,FALSE)),"",(VLOOKUP($B211,'B-1 Site Hedge Baseline'!$B$1:$U$257,12,FALSE))))</f>
        <v/>
      </c>
      <c r="M211" s="416" t="str">
        <f t="shared" si="31"/>
        <v/>
      </c>
      <c r="N211" s="498" t="str">
        <f>IFERROR(IF(B211="","",INDEX('G-6 Hedgerow Data'!$AN$3:$AZ$15,MATCH(C211,'G-6 Hedgerow Data'!$AM$3:$AM$15,0),MATCH(M211,'G-6 Hedgerow Data'!$AN$2:$AZ$2,0))),"")</f>
        <v/>
      </c>
      <c r="O211" s="499" t="str">
        <f t="shared" si="26"/>
        <v/>
      </c>
      <c r="P211" s="559" t="str">
        <f>IF(B211="","",VLOOKUP(B211,'B-1 Site Hedge Baseline'!$B$10:T456,16,FALSE))</f>
        <v/>
      </c>
      <c r="Q211" s="498" t="str">
        <f>IF(M211="","",VLOOKUP(M211,'G-6 Hedgerow Data'!$B$2:$AG$15,2,FALSE))</f>
        <v/>
      </c>
      <c r="R211" s="499" t="str">
        <f>IF(M211="","",VLOOKUP(M211,'G-6 Hedgerow Data'!$B$2:$AG$15,3,FALSE))</f>
        <v/>
      </c>
      <c r="S211" s="157"/>
      <c r="T211" s="540" t="str">
        <f>IFERROR(VLOOKUP(S211,'G-1 All Habitats'!$Z$2:$AA$9,2,FALSE),"")</f>
        <v/>
      </c>
      <c r="U211" s="154"/>
      <c r="V211" s="520" t="str">
        <f>IF(U211="","",IF(VLOOKUP(U211,'G-3 Multipliers'!$L$3:$N$6,2,FALSE)=0,"Spatial Data Missing ⚠",VLOOKUP(U211,'G-3 Multipliers'!$L$3:$N$6,2,FALSE)))</f>
        <v/>
      </c>
      <c r="W211" s="524" t="str">
        <f>IF(U211="","",IF(VLOOKUP(U211,'G-3 Multipliers'!$L$3:$N$6,3,FALSE)=0,"Spatial Data Missing ⚠",VLOOKUP(U211,'G-3 Multipliers'!$L$3:$N$6,3,FALSE)))</f>
        <v/>
      </c>
      <c r="X211" s="498" t="str">
        <f>IFERROR(IF(OR(LEFT(O211,5)="Error ▲",LEFT(N211,5)="Error ▲",T211="Error ▲"),"Check Data ⚠",IF(F211&lt;R211,INDEX('G-6 Hedgerow Data'!$S$3:$AE$14,MATCH(C211,'G-6 Hedgerow Data'!$B$3:$B$14,0),MATCH(M211,'G-6 Hedgerow Data'!$S$2:$AE$2,0)),INDEX('G-6 Hedgerow Data'!$K$3:$Q$14,MATCH(M211,'G-6 Hedgerow Data'!$B$3:$B$14,0),MATCH(O211,'G-6 Hedgerow Data'!$K$2:$Q$2,0)))),"")</f>
        <v/>
      </c>
      <c r="Y211" s="195"/>
      <c r="Z211" s="195"/>
      <c r="AA211" s="507" t="str">
        <f t="shared" si="27"/>
        <v/>
      </c>
      <c r="AB211" s="521" t="str">
        <f t="shared" si="28"/>
        <v/>
      </c>
      <c r="AC211" s="522" t="str">
        <f t="shared" si="24"/>
        <v/>
      </c>
      <c r="AD211" s="537" t="str">
        <f>IF(M211="","",VLOOKUP(M211,'G-6 Hedgerow Data'!$B$3:$AG$15,31,FALSE))</f>
        <v/>
      </c>
      <c r="AE211" s="507" t="str">
        <f t="shared" si="29"/>
        <v/>
      </c>
      <c r="AF211" s="507" t="str">
        <f t="shared" si="30"/>
        <v/>
      </c>
      <c r="AG211" s="524" t="str">
        <f>IFERROR(IF(O211="","",VLOOKUP(AD211,'G-3 Multipliers'!$P$3:$Q$6,2,FALSE)),"")</f>
        <v/>
      </c>
      <c r="AH211" s="513" t="str">
        <f t="shared" si="25"/>
        <v/>
      </c>
      <c r="AI211" s="231"/>
      <c r="AJ211" s="150"/>
      <c r="AT211" s="31" t="str">
        <f>IFERROR(INDEX('G-6 Hedgerow Data'!$BJ$3:$BJ$15,MATCH(M211,'G-6 Hedgerow Data'!$B$3:$B$15,0)),"")</f>
        <v/>
      </c>
    </row>
    <row r="212" spans="2:46" ht="14" x14ac:dyDescent="0.3">
      <c r="B212" s="531" t="str">
        <f>'B-1 Site Hedge Baseline'!AK210</f>
        <v/>
      </c>
      <c r="C212" s="520" t="str">
        <f>IF(B212="","",IF(ISNA(VLOOKUP($B212,'B-1 Site Hedge Baseline'!$B$1:$L$257,3,FALSE)),"",(VLOOKUP($B212,'B-1 Site Hedge Baseline'!$B$1:$L$257,3,FALSE))))</f>
        <v/>
      </c>
      <c r="D212" s="520" t="str">
        <f>IF(B212="","",IF(ISNA(VLOOKUP($B212,'B-1 Site Hedge Baseline'!$B$1:$L$257,4,FALSE)),"",(VLOOKUP($B212,'B-1 Site Hedge Baseline'!$B$1:$L$257,4,FALSE))))</f>
        <v/>
      </c>
      <c r="E212" s="520" t="str">
        <f>IF(B212="","",IF(ISNA(VLOOKUP($B212,'B-1 Site Hedge Baseline'!$B$1:$L$257,5,FALSE)),"",(VLOOKUP($B212,'B-1 Site Hedge Baseline'!$B$1:$L$257,5,FALSE))))</f>
        <v/>
      </c>
      <c r="F212" s="520" t="str">
        <f>IF(B212="","",IF(ISNA(VLOOKUP($B212,'B-1 Site Hedge Baseline'!$B$1:$L$257,6,FALSE)),"",(VLOOKUP($B212,'B-1 Site Hedge Baseline'!$B$1:$L$257,6,FALSE))))</f>
        <v/>
      </c>
      <c r="G212" s="520" t="str">
        <f>IF(B212="","",IF(ISNA(VLOOKUP($B212,'B-1 Site Hedge Baseline'!$B$1:$L$257,7,FALSE)),"",(VLOOKUP($B212,'B-1 Site Hedge Baseline'!$B$1:$L$257,7,FALSE))))</f>
        <v/>
      </c>
      <c r="H212" s="520" t="str">
        <f>IF(B212="","",IF(ISNA(VLOOKUP($B212,'B-1 Site Hedge Baseline'!$B$1:$L$257,8,FALSE)),"",(VLOOKUP($B212,'B-1 Site Hedge Baseline'!$B$1:$L$257,8,FALSE))))</f>
        <v/>
      </c>
      <c r="I212" s="520" t="str">
        <f>IF(B212="","",IF(ISNA(VLOOKUP($B212,'B-1 Site Hedge Baseline'!$B$1:$L$257,10,FALSE)),"",(VLOOKUP($B212,'B-1 Site Hedge Baseline'!$B$1:$L$257,10,FALSE))))</f>
        <v/>
      </c>
      <c r="J212" s="520" t="str">
        <f>IF(B212="","",IF(ISNA(VLOOKUP($B212,'B-1 Site Hedge Baseline'!$B$1:$L$257,11,FALSE)),"",(VLOOKUP($B212,'B-1 Site Hedge Baseline'!$B$1:$L$257,11,FALSE))))</f>
        <v/>
      </c>
      <c r="K212" s="520" t="str">
        <f>IF(B212="","",IF(ISNA(VLOOKUP($B212,'B-1 Site Hedge Baseline'!$B$1:$U$257,13,FALSE)),"",(VLOOKUP($B212,'B-1 Site Hedge Baseline'!$B$1:$U$257,13,FALSE))))</f>
        <v/>
      </c>
      <c r="L212" s="524" t="str">
        <f>IF(B212="","",IF(ISNA(VLOOKUP($B212,'B-1 Site Hedge Baseline'!$B$1:$U$257,12,FALSE)),"",(VLOOKUP($B212,'B-1 Site Hedge Baseline'!$B$1:$U$257,12,FALSE))))</f>
        <v/>
      </c>
      <c r="M212" s="416" t="str">
        <f t="shared" si="31"/>
        <v/>
      </c>
      <c r="N212" s="498" t="str">
        <f>IFERROR(IF(B212="","",INDEX('G-6 Hedgerow Data'!$AN$3:$AZ$15,MATCH(C212,'G-6 Hedgerow Data'!$AM$3:$AM$15,0),MATCH(M212,'G-6 Hedgerow Data'!$AN$2:$AZ$2,0))),"")</f>
        <v/>
      </c>
      <c r="O212" s="499" t="str">
        <f t="shared" si="26"/>
        <v/>
      </c>
      <c r="P212" s="559" t="str">
        <f>IF(B212="","",VLOOKUP(B212,'B-1 Site Hedge Baseline'!$B$10:T457,16,FALSE))</f>
        <v/>
      </c>
      <c r="Q212" s="498" t="str">
        <f>IF(M212="","",VLOOKUP(M212,'G-6 Hedgerow Data'!$B$2:$AG$15,2,FALSE))</f>
        <v/>
      </c>
      <c r="R212" s="499" t="str">
        <f>IF(M212="","",VLOOKUP(M212,'G-6 Hedgerow Data'!$B$2:$AG$15,3,FALSE))</f>
        <v/>
      </c>
      <c r="S212" s="157"/>
      <c r="T212" s="540" t="str">
        <f>IFERROR(VLOOKUP(S212,'G-1 All Habitats'!$Z$2:$AA$9,2,FALSE),"")</f>
        <v/>
      </c>
      <c r="U212" s="154"/>
      <c r="V212" s="520" t="str">
        <f>IF(U212="","",IF(VLOOKUP(U212,'G-3 Multipliers'!$L$3:$N$6,2,FALSE)=0,"Spatial Data Missing ⚠",VLOOKUP(U212,'G-3 Multipliers'!$L$3:$N$6,2,FALSE)))</f>
        <v/>
      </c>
      <c r="W212" s="524" t="str">
        <f>IF(U212="","",IF(VLOOKUP(U212,'G-3 Multipliers'!$L$3:$N$6,3,FALSE)=0,"Spatial Data Missing ⚠",VLOOKUP(U212,'G-3 Multipliers'!$L$3:$N$6,3,FALSE)))</f>
        <v/>
      </c>
      <c r="X212" s="498" t="str">
        <f>IFERROR(IF(OR(LEFT(O212,5)="Error ▲",LEFT(N212,5)="Error ▲",T212="Error ▲"),"Check Data ⚠",IF(F212&lt;R212,INDEX('G-6 Hedgerow Data'!$S$3:$AE$14,MATCH(C212,'G-6 Hedgerow Data'!$B$3:$B$14,0),MATCH(M212,'G-6 Hedgerow Data'!$S$2:$AE$2,0)),INDEX('G-6 Hedgerow Data'!$K$3:$Q$14,MATCH(M212,'G-6 Hedgerow Data'!$B$3:$B$14,0),MATCH(O212,'G-6 Hedgerow Data'!$K$2:$Q$2,0)))),"")</f>
        <v/>
      </c>
      <c r="Y212" s="195"/>
      <c r="Z212" s="195"/>
      <c r="AA212" s="507" t="str">
        <f t="shared" si="27"/>
        <v/>
      </c>
      <c r="AB212" s="521" t="str">
        <f t="shared" si="28"/>
        <v/>
      </c>
      <c r="AC212" s="522" t="str">
        <f t="shared" si="24"/>
        <v/>
      </c>
      <c r="AD212" s="537" t="str">
        <f>IF(M212="","",VLOOKUP(M212,'G-6 Hedgerow Data'!$B$3:$AG$15,31,FALSE))</f>
        <v/>
      </c>
      <c r="AE212" s="507" t="str">
        <f t="shared" si="29"/>
        <v/>
      </c>
      <c r="AF212" s="507" t="str">
        <f t="shared" si="30"/>
        <v/>
      </c>
      <c r="AG212" s="524" t="str">
        <f>IFERROR(IF(O212="","",VLOOKUP(AD212,'G-3 Multipliers'!$P$3:$Q$6,2,FALSE)),"")</f>
        <v/>
      </c>
      <c r="AH212" s="513" t="str">
        <f t="shared" si="25"/>
        <v/>
      </c>
      <c r="AI212" s="231"/>
      <c r="AJ212" s="150"/>
      <c r="AT212" s="31" t="str">
        <f>IFERROR(INDEX('G-6 Hedgerow Data'!$BJ$3:$BJ$15,MATCH(M212,'G-6 Hedgerow Data'!$B$3:$B$15,0)),"")</f>
        <v/>
      </c>
    </row>
    <row r="213" spans="2:46" ht="14" x14ac:dyDescent="0.3">
      <c r="B213" s="531" t="str">
        <f>'B-1 Site Hedge Baseline'!AK211</f>
        <v/>
      </c>
      <c r="C213" s="520" t="str">
        <f>IF(B213="","",IF(ISNA(VLOOKUP($B213,'B-1 Site Hedge Baseline'!$B$1:$L$257,3,FALSE)),"",(VLOOKUP($B213,'B-1 Site Hedge Baseline'!$B$1:$L$257,3,FALSE))))</f>
        <v/>
      </c>
      <c r="D213" s="520" t="str">
        <f>IF(B213="","",IF(ISNA(VLOOKUP($B213,'B-1 Site Hedge Baseline'!$B$1:$L$257,4,FALSE)),"",(VLOOKUP($B213,'B-1 Site Hedge Baseline'!$B$1:$L$257,4,FALSE))))</f>
        <v/>
      </c>
      <c r="E213" s="520" t="str">
        <f>IF(B213="","",IF(ISNA(VLOOKUP($B213,'B-1 Site Hedge Baseline'!$B$1:$L$257,5,FALSE)),"",(VLOOKUP($B213,'B-1 Site Hedge Baseline'!$B$1:$L$257,5,FALSE))))</f>
        <v/>
      </c>
      <c r="F213" s="520" t="str">
        <f>IF(B213="","",IF(ISNA(VLOOKUP($B213,'B-1 Site Hedge Baseline'!$B$1:$L$257,6,FALSE)),"",(VLOOKUP($B213,'B-1 Site Hedge Baseline'!$B$1:$L$257,6,FALSE))))</f>
        <v/>
      </c>
      <c r="G213" s="520" t="str">
        <f>IF(B213="","",IF(ISNA(VLOOKUP($B213,'B-1 Site Hedge Baseline'!$B$1:$L$257,7,FALSE)),"",(VLOOKUP($B213,'B-1 Site Hedge Baseline'!$B$1:$L$257,7,FALSE))))</f>
        <v/>
      </c>
      <c r="H213" s="520" t="str">
        <f>IF(B213="","",IF(ISNA(VLOOKUP($B213,'B-1 Site Hedge Baseline'!$B$1:$L$257,8,FALSE)),"",(VLOOKUP($B213,'B-1 Site Hedge Baseline'!$B$1:$L$257,8,FALSE))))</f>
        <v/>
      </c>
      <c r="I213" s="520" t="str">
        <f>IF(B213="","",IF(ISNA(VLOOKUP($B213,'B-1 Site Hedge Baseline'!$B$1:$L$257,10,FALSE)),"",(VLOOKUP($B213,'B-1 Site Hedge Baseline'!$B$1:$L$257,10,FALSE))))</f>
        <v/>
      </c>
      <c r="J213" s="520" t="str">
        <f>IF(B213="","",IF(ISNA(VLOOKUP($B213,'B-1 Site Hedge Baseline'!$B$1:$L$257,11,FALSE)),"",(VLOOKUP($B213,'B-1 Site Hedge Baseline'!$B$1:$L$257,11,FALSE))))</f>
        <v/>
      </c>
      <c r="K213" s="520" t="str">
        <f>IF(B213="","",IF(ISNA(VLOOKUP($B213,'B-1 Site Hedge Baseline'!$B$1:$U$257,13,FALSE)),"",(VLOOKUP($B213,'B-1 Site Hedge Baseline'!$B$1:$U$257,13,FALSE))))</f>
        <v/>
      </c>
      <c r="L213" s="524" t="str">
        <f>IF(B213="","",IF(ISNA(VLOOKUP($B213,'B-1 Site Hedge Baseline'!$B$1:$U$257,12,FALSE)),"",(VLOOKUP($B213,'B-1 Site Hedge Baseline'!$B$1:$U$257,12,FALSE))))</f>
        <v/>
      </c>
      <c r="M213" s="416" t="str">
        <f t="shared" si="31"/>
        <v/>
      </c>
      <c r="N213" s="498" t="str">
        <f>IFERROR(IF(B213="","",INDEX('G-6 Hedgerow Data'!$AN$3:$AZ$15,MATCH(C213,'G-6 Hedgerow Data'!$AM$3:$AM$15,0),MATCH(M213,'G-6 Hedgerow Data'!$AN$2:$AZ$2,0))),"")</f>
        <v/>
      </c>
      <c r="O213" s="499" t="str">
        <f t="shared" si="26"/>
        <v/>
      </c>
      <c r="P213" s="559" t="str">
        <f>IF(B213="","",VLOOKUP(B213,'B-1 Site Hedge Baseline'!$B$10:T458,16,FALSE))</f>
        <v/>
      </c>
      <c r="Q213" s="498" t="str">
        <f>IF(M213="","",VLOOKUP(M213,'G-6 Hedgerow Data'!$B$2:$AG$15,2,FALSE))</f>
        <v/>
      </c>
      <c r="R213" s="499" t="str">
        <f>IF(M213="","",VLOOKUP(M213,'G-6 Hedgerow Data'!$B$2:$AG$15,3,FALSE))</f>
        <v/>
      </c>
      <c r="S213" s="157"/>
      <c r="T213" s="540" t="str">
        <f>IFERROR(VLOOKUP(S213,'G-1 All Habitats'!$Z$2:$AA$9,2,FALSE),"")</f>
        <v/>
      </c>
      <c r="U213" s="154"/>
      <c r="V213" s="520" t="str">
        <f>IF(U213="","",IF(VLOOKUP(U213,'G-3 Multipliers'!$L$3:$N$6,2,FALSE)=0,"Spatial Data Missing ⚠",VLOOKUP(U213,'G-3 Multipliers'!$L$3:$N$6,2,FALSE)))</f>
        <v/>
      </c>
      <c r="W213" s="524" t="str">
        <f>IF(U213="","",IF(VLOOKUP(U213,'G-3 Multipliers'!$L$3:$N$6,3,FALSE)=0,"Spatial Data Missing ⚠",VLOOKUP(U213,'G-3 Multipliers'!$L$3:$N$6,3,FALSE)))</f>
        <v/>
      </c>
      <c r="X213" s="498" t="str">
        <f>IFERROR(IF(OR(LEFT(O213,5)="Error ▲",LEFT(N213,5)="Error ▲",T213="Error ▲"),"Check Data ⚠",IF(F213&lt;R213,INDEX('G-6 Hedgerow Data'!$S$3:$AE$14,MATCH(C213,'G-6 Hedgerow Data'!$B$3:$B$14,0),MATCH(M213,'G-6 Hedgerow Data'!$S$2:$AE$2,0)),INDEX('G-6 Hedgerow Data'!$K$3:$Q$14,MATCH(M213,'G-6 Hedgerow Data'!$B$3:$B$14,0),MATCH(O213,'G-6 Hedgerow Data'!$K$2:$Q$2,0)))),"")</f>
        <v/>
      </c>
      <c r="Y213" s="195"/>
      <c r="Z213" s="195"/>
      <c r="AA213" s="507" t="str">
        <f t="shared" si="27"/>
        <v/>
      </c>
      <c r="AB213" s="521" t="str">
        <f t="shared" si="28"/>
        <v/>
      </c>
      <c r="AC213" s="522" t="str">
        <f t="shared" si="24"/>
        <v/>
      </c>
      <c r="AD213" s="537" t="str">
        <f>IF(M213="","",VLOOKUP(M213,'G-6 Hedgerow Data'!$B$3:$AG$15,31,FALSE))</f>
        <v/>
      </c>
      <c r="AE213" s="507" t="str">
        <f t="shared" si="29"/>
        <v/>
      </c>
      <c r="AF213" s="507" t="str">
        <f t="shared" si="30"/>
        <v/>
      </c>
      <c r="AG213" s="524" t="str">
        <f>IFERROR(IF(O213="","",VLOOKUP(AD213,'G-3 Multipliers'!$P$3:$Q$6,2,FALSE)),"")</f>
        <v/>
      </c>
      <c r="AH213" s="513" t="str">
        <f t="shared" si="25"/>
        <v/>
      </c>
      <c r="AI213" s="231"/>
      <c r="AJ213" s="150"/>
      <c r="AT213" s="31" t="str">
        <f>IFERROR(INDEX('G-6 Hedgerow Data'!$BJ$3:$BJ$15,MATCH(M213,'G-6 Hedgerow Data'!$B$3:$B$15,0)),"")</f>
        <v/>
      </c>
    </row>
    <row r="214" spans="2:46" ht="14" x14ac:dyDescent="0.3">
      <c r="B214" s="531" t="str">
        <f>'B-1 Site Hedge Baseline'!AK212</f>
        <v/>
      </c>
      <c r="C214" s="520" t="str">
        <f>IF(B214="","",IF(ISNA(VLOOKUP($B214,'B-1 Site Hedge Baseline'!$B$1:$L$257,3,FALSE)),"",(VLOOKUP($B214,'B-1 Site Hedge Baseline'!$B$1:$L$257,3,FALSE))))</f>
        <v/>
      </c>
      <c r="D214" s="520" t="str">
        <f>IF(B214="","",IF(ISNA(VLOOKUP($B214,'B-1 Site Hedge Baseline'!$B$1:$L$257,4,FALSE)),"",(VLOOKUP($B214,'B-1 Site Hedge Baseline'!$B$1:$L$257,4,FALSE))))</f>
        <v/>
      </c>
      <c r="E214" s="520" t="str">
        <f>IF(B214="","",IF(ISNA(VLOOKUP($B214,'B-1 Site Hedge Baseline'!$B$1:$L$257,5,FALSE)),"",(VLOOKUP($B214,'B-1 Site Hedge Baseline'!$B$1:$L$257,5,FALSE))))</f>
        <v/>
      </c>
      <c r="F214" s="520" t="str">
        <f>IF(B214="","",IF(ISNA(VLOOKUP($B214,'B-1 Site Hedge Baseline'!$B$1:$L$257,6,FALSE)),"",(VLOOKUP($B214,'B-1 Site Hedge Baseline'!$B$1:$L$257,6,FALSE))))</f>
        <v/>
      </c>
      <c r="G214" s="520" t="str">
        <f>IF(B214="","",IF(ISNA(VLOOKUP($B214,'B-1 Site Hedge Baseline'!$B$1:$L$257,7,FALSE)),"",(VLOOKUP($B214,'B-1 Site Hedge Baseline'!$B$1:$L$257,7,FALSE))))</f>
        <v/>
      </c>
      <c r="H214" s="520" t="str">
        <f>IF(B214="","",IF(ISNA(VLOOKUP($B214,'B-1 Site Hedge Baseline'!$B$1:$L$257,8,FALSE)),"",(VLOOKUP($B214,'B-1 Site Hedge Baseline'!$B$1:$L$257,8,FALSE))))</f>
        <v/>
      </c>
      <c r="I214" s="520" t="str">
        <f>IF(B214="","",IF(ISNA(VLOOKUP($B214,'B-1 Site Hedge Baseline'!$B$1:$L$257,10,FALSE)),"",(VLOOKUP($B214,'B-1 Site Hedge Baseline'!$B$1:$L$257,10,FALSE))))</f>
        <v/>
      </c>
      <c r="J214" s="520" t="str">
        <f>IF(B214="","",IF(ISNA(VLOOKUP($B214,'B-1 Site Hedge Baseline'!$B$1:$L$257,11,FALSE)),"",(VLOOKUP($B214,'B-1 Site Hedge Baseline'!$B$1:$L$257,11,FALSE))))</f>
        <v/>
      </c>
      <c r="K214" s="520" t="str">
        <f>IF(B214="","",IF(ISNA(VLOOKUP($B214,'B-1 Site Hedge Baseline'!$B$1:$U$257,13,FALSE)),"",(VLOOKUP($B214,'B-1 Site Hedge Baseline'!$B$1:$U$257,13,FALSE))))</f>
        <v/>
      </c>
      <c r="L214" s="524" t="str">
        <f>IF(B214="","",IF(ISNA(VLOOKUP($B214,'B-1 Site Hedge Baseline'!$B$1:$U$257,12,FALSE)),"",(VLOOKUP($B214,'B-1 Site Hedge Baseline'!$B$1:$U$257,12,FALSE))))</f>
        <v/>
      </c>
      <c r="M214" s="416" t="str">
        <f t="shared" si="31"/>
        <v/>
      </c>
      <c r="N214" s="498" t="str">
        <f>IFERROR(IF(B214="","",INDEX('G-6 Hedgerow Data'!$AN$3:$AZ$15,MATCH(C214,'G-6 Hedgerow Data'!$AM$3:$AM$15,0),MATCH(M214,'G-6 Hedgerow Data'!$AN$2:$AZ$2,0))),"")</f>
        <v/>
      </c>
      <c r="O214" s="499" t="str">
        <f t="shared" si="26"/>
        <v/>
      </c>
      <c r="P214" s="559" t="str">
        <f>IF(B214="","",VLOOKUP(B214,'B-1 Site Hedge Baseline'!$B$10:T459,16,FALSE))</f>
        <v/>
      </c>
      <c r="Q214" s="498" t="str">
        <f>IF(M214="","",VLOOKUP(M214,'G-6 Hedgerow Data'!$B$2:$AG$15,2,FALSE))</f>
        <v/>
      </c>
      <c r="R214" s="499" t="str">
        <f>IF(M214="","",VLOOKUP(M214,'G-6 Hedgerow Data'!$B$2:$AG$15,3,FALSE))</f>
        <v/>
      </c>
      <c r="S214" s="157"/>
      <c r="T214" s="540" t="str">
        <f>IFERROR(VLOOKUP(S214,'G-1 All Habitats'!$Z$2:$AA$9,2,FALSE),"")</f>
        <v/>
      </c>
      <c r="U214" s="154"/>
      <c r="V214" s="520" t="str">
        <f>IF(U214="","",IF(VLOOKUP(U214,'G-3 Multipliers'!$L$3:$N$6,2,FALSE)=0,"Spatial Data Missing ⚠",VLOOKUP(U214,'G-3 Multipliers'!$L$3:$N$6,2,FALSE)))</f>
        <v/>
      </c>
      <c r="W214" s="524" t="str">
        <f>IF(U214="","",IF(VLOOKUP(U214,'G-3 Multipliers'!$L$3:$N$6,3,FALSE)=0,"Spatial Data Missing ⚠",VLOOKUP(U214,'G-3 Multipliers'!$L$3:$N$6,3,FALSE)))</f>
        <v/>
      </c>
      <c r="X214" s="498" t="str">
        <f>IFERROR(IF(OR(LEFT(O214,5)="Error ▲",LEFT(N214,5)="Error ▲",T214="Error ▲"),"Check Data ⚠",IF(F214&lt;R214,INDEX('G-6 Hedgerow Data'!$S$3:$AE$14,MATCH(C214,'G-6 Hedgerow Data'!$B$3:$B$14,0),MATCH(M214,'G-6 Hedgerow Data'!$S$2:$AE$2,0)),INDEX('G-6 Hedgerow Data'!$K$3:$Q$14,MATCH(M214,'G-6 Hedgerow Data'!$B$3:$B$14,0),MATCH(O214,'G-6 Hedgerow Data'!$K$2:$Q$2,0)))),"")</f>
        <v/>
      </c>
      <c r="Y214" s="195"/>
      <c r="Z214" s="195"/>
      <c r="AA214" s="507" t="str">
        <f t="shared" si="27"/>
        <v/>
      </c>
      <c r="AB214" s="521" t="str">
        <f t="shared" si="28"/>
        <v/>
      </c>
      <c r="AC214" s="522" t="str">
        <f t="shared" si="24"/>
        <v/>
      </c>
      <c r="AD214" s="537" t="str">
        <f>IF(M214="","",VLOOKUP(M214,'G-6 Hedgerow Data'!$B$3:$AG$15,31,FALSE))</f>
        <v/>
      </c>
      <c r="AE214" s="507" t="str">
        <f t="shared" si="29"/>
        <v/>
      </c>
      <c r="AF214" s="507" t="str">
        <f t="shared" si="30"/>
        <v/>
      </c>
      <c r="AG214" s="524" t="str">
        <f>IFERROR(IF(O214="","",VLOOKUP(AD214,'G-3 Multipliers'!$P$3:$Q$6,2,FALSE)),"")</f>
        <v/>
      </c>
      <c r="AH214" s="513" t="str">
        <f t="shared" si="25"/>
        <v/>
      </c>
      <c r="AI214" s="231"/>
      <c r="AJ214" s="150"/>
      <c r="AT214" s="31" t="str">
        <f>IFERROR(INDEX('G-6 Hedgerow Data'!$BJ$3:$BJ$15,MATCH(M214,'G-6 Hedgerow Data'!$B$3:$B$15,0)),"")</f>
        <v/>
      </c>
    </row>
    <row r="215" spans="2:46" ht="14" x14ac:dyDescent="0.3">
      <c r="B215" s="531" t="str">
        <f>'B-1 Site Hedge Baseline'!AK213</f>
        <v/>
      </c>
      <c r="C215" s="520" t="str">
        <f>IF(B215="","",IF(ISNA(VLOOKUP($B215,'B-1 Site Hedge Baseline'!$B$1:$L$257,3,FALSE)),"",(VLOOKUP($B215,'B-1 Site Hedge Baseline'!$B$1:$L$257,3,FALSE))))</f>
        <v/>
      </c>
      <c r="D215" s="520" t="str">
        <f>IF(B215="","",IF(ISNA(VLOOKUP($B215,'B-1 Site Hedge Baseline'!$B$1:$L$257,4,FALSE)),"",(VLOOKUP($B215,'B-1 Site Hedge Baseline'!$B$1:$L$257,4,FALSE))))</f>
        <v/>
      </c>
      <c r="E215" s="520" t="str">
        <f>IF(B215="","",IF(ISNA(VLOOKUP($B215,'B-1 Site Hedge Baseline'!$B$1:$L$257,5,FALSE)),"",(VLOOKUP($B215,'B-1 Site Hedge Baseline'!$B$1:$L$257,5,FALSE))))</f>
        <v/>
      </c>
      <c r="F215" s="520" t="str">
        <f>IF(B215="","",IF(ISNA(VLOOKUP($B215,'B-1 Site Hedge Baseline'!$B$1:$L$257,6,FALSE)),"",(VLOOKUP($B215,'B-1 Site Hedge Baseline'!$B$1:$L$257,6,FALSE))))</f>
        <v/>
      </c>
      <c r="G215" s="520" t="str">
        <f>IF(B215="","",IF(ISNA(VLOOKUP($B215,'B-1 Site Hedge Baseline'!$B$1:$L$257,7,FALSE)),"",(VLOOKUP($B215,'B-1 Site Hedge Baseline'!$B$1:$L$257,7,FALSE))))</f>
        <v/>
      </c>
      <c r="H215" s="520" t="str">
        <f>IF(B215="","",IF(ISNA(VLOOKUP($B215,'B-1 Site Hedge Baseline'!$B$1:$L$257,8,FALSE)),"",(VLOOKUP($B215,'B-1 Site Hedge Baseline'!$B$1:$L$257,8,FALSE))))</f>
        <v/>
      </c>
      <c r="I215" s="520" t="str">
        <f>IF(B215="","",IF(ISNA(VLOOKUP($B215,'B-1 Site Hedge Baseline'!$B$1:$L$257,10,FALSE)),"",(VLOOKUP($B215,'B-1 Site Hedge Baseline'!$B$1:$L$257,10,FALSE))))</f>
        <v/>
      </c>
      <c r="J215" s="520" t="str">
        <f>IF(B215="","",IF(ISNA(VLOOKUP($B215,'B-1 Site Hedge Baseline'!$B$1:$L$257,11,FALSE)),"",(VLOOKUP($B215,'B-1 Site Hedge Baseline'!$B$1:$L$257,11,FALSE))))</f>
        <v/>
      </c>
      <c r="K215" s="520" t="str">
        <f>IF(B215="","",IF(ISNA(VLOOKUP($B215,'B-1 Site Hedge Baseline'!$B$1:$U$257,13,FALSE)),"",(VLOOKUP($B215,'B-1 Site Hedge Baseline'!$B$1:$U$257,13,FALSE))))</f>
        <v/>
      </c>
      <c r="L215" s="524" t="str">
        <f>IF(B215="","",IF(ISNA(VLOOKUP($B215,'B-1 Site Hedge Baseline'!$B$1:$U$257,12,FALSE)),"",(VLOOKUP($B215,'B-1 Site Hedge Baseline'!$B$1:$U$257,12,FALSE))))</f>
        <v/>
      </c>
      <c r="M215" s="416" t="str">
        <f t="shared" si="31"/>
        <v/>
      </c>
      <c r="N215" s="498" t="str">
        <f>IFERROR(IF(B215="","",INDEX('G-6 Hedgerow Data'!$AN$3:$AZ$15,MATCH(C215,'G-6 Hedgerow Data'!$AM$3:$AM$15,0),MATCH(M215,'G-6 Hedgerow Data'!$AN$2:$AZ$2,0))),"")</f>
        <v/>
      </c>
      <c r="O215" s="499" t="str">
        <f t="shared" si="26"/>
        <v/>
      </c>
      <c r="P215" s="559" t="str">
        <f>IF(B215="","",VLOOKUP(B215,'B-1 Site Hedge Baseline'!$B$10:T460,16,FALSE))</f>
        <v/>
      </c>
      <c r="Q215" s="498" t="str">
        <f>IF(M215="","",VLOOKUP(M215,'G-6 Hedgerow Data'!$B$2:$AG$15,2,FALSE))</f>
        <v/>
      </c>
      <c r="R215" s="499" t="str">
        <f>IF(M215="","",VLOOKUP(M215,'G-6 Hedgerow Data'!$B$2:$AG$15,3,FALSE))</f>
        <v/>
      </c>
      <c r="S215" s="157"/>
      <c r="T215" s="540" t="str">
        <f>IFERROR(VLOOKUP(S215,'G-1 All Habitats'!$Z$2:$AA$9,2,FALSE),"")</f>
        <v/>
      </c>
      <c r="U215" s="154"/>
      <c r="V215" s="520" t="str">
        <f>IF(U215="","",IF(VLOOKUP(U215,'G-3 Multipliers'!$L$3:$N$6,2,FALSE)=0,"Spatial Data Missing ⚠",VLOOKUP(U215,'G-3 Multipliers'!$L$3:$N$6,2,FALSE)))</f>
        <v/>
      </c>
      <c r="W215" s="524" t="str">
        <f>IF(U215="","",IF(VLOOKUP(U215,'G-3 Multipliers'!$L$3:$N$6,3,FALSE)=0,"Spatial Data Missing ⚠",VLOOKUP(U215,'G-3 Multipliers'!$L$3:$N$6,3,FALSE)))</f>
        <v/>
      </c>
      <c r="X215" s="498" t="str">
        <f>IFERROR(IF(OR(LEFT(O215,5)="Error ▲",LEFT(N215,5)="Error ▲",T215="Error ▲"),"Check Data ⚠",IF(F215&lt;R215,INDEX('G-6 Hedgerow Data'!$S$3:$AE$14,MATCH(C215,'G-6 Hedgerow Data'!$B$3:$B$14,0),MATCH(M215,'G-6 Hedgerow Data'!$S$2:$AE$2,0)),INDEX('G-6 Hedgerow Data'!$K$3:$Q$14,MATCH(M215,'G-6 Hedgerow Data'!$B$3:$B$14,0),MATCH(O215,'G-6 Hedgerow Data'!$K$2:$Q$2,0)))),"")</f>
        <v/>
      </c>
      <c r="Y215" s="195"/>
      <c r="Z215" s="195"/>
      <c r="AA215" s="507" t="str">
        <f t="shared" si="27"/>
        <v/>
      </c>
      <c r="AB215" s="521" t="str">
        <f t="shared" si="28"/>
        <v/>
      </c>
      <c r="AC215" s="522" t="str">
        <f t="shared" si="24"/>
        <v/>
      </c>
      <c r="AD215" s="537" t="str">
        <f>IF(M215="","",VLOOKUP(M215,'G-6 Hedgerow Data'!$B$3:$AG$15,31,FALSE))</f>
        <v/>
      </c>
      <c r="AE215" s="507" t="str">
        <f t="shared" si="29"/>
        <v/>
      </c>
      <c r="AF215" s="507" t="str">
        <f t="shared" si="30"/>
        <v/>
      </c>
      <c r="AG215" s="524" t="str">
        <f>IFERROR(IF(O215="","",VLOOKUP(AD215,'G-3 Multipliers'!$P$3:$Q$6,2,FALSE)),"")</f>
        <v/>
      </c>
      <c r="AH215" s="513" t="str">
        <f t="shared" si="25"/>
        <v/>
      </c>
      <c r="AI215" s="231"/>
      <c r="AJ215" s="150"/>
      <c r="AT215" s="31" t="str">
        <f>IFERROR(INDEX('G-6 Hedgerow Data'!$BJ$3:$BJ$15,MATCH(M215,'G-6 Hedgerow Data'!$B$3:$B$15,0)),"")</f>
        <v/>
      </c>
    </row>
    <row r="216" spans="2:46" ht="14" x14ac:dyDescent="0.3">
      <c r="B216" s="531" t="str">
        <f>'B-1 Site Hedge Baseline'!AK214</f>
        <v/>
      </c>
      <c r="C216" s="520" t="str">
        <f>IF(B216="","",IF(ISNA(VLOOKUP($B216,'B-1 Site Hedge Baseline'!$B$1:$L$257,3,FALSE)),"",(VLOOKUP($B216,'B-1 Site Hedge Baseline'!$B$1:$L$257,3,FALSE))))</f>
        <v/>
      </c>
      <c r="D216" s="520" t="str">
        <f>IF(B216="","",IF(ISNA(VLOOKUP($B216,'B-1 Site Hedge Baseline'!$B$1:$L$257,4,FALSE)),"",(VLOOKUP($B216,'B-1 Site Hedge Baseline'!$B$1:$L$257,4,FALSE))))</f>
        <v/>
      </c>
      <c r="E216" s="520" t="str">
        <f>IF(B216="","",IF(ISNA(VLOOKUP($B216,'B-1 Site Hedge Baseline'!$B$1:$L$257,5,FALSE)),"",(VLOOKUP($B216,'B-1 Site Hedge Baseline'!$B$1:$L$257,5,FALSE))))</f>
        <v/>
      </c>
      <c r="F216" s="520" t="str">
        <f>IF(B216="","",IF(ISNA(VLOOKUP($B216,'B-1 Site Hedge Baseline'!$B$1:$L$257,6,FALSE)),"",(VLOOKUP($B216,'B-1 Site Hedge Baseline'!$B$1:$L$257,6,FALSE))))</f>
        <v/>
      </c>
      <c r="G216" s="520" t="str">
        <f>IF(B216="","",IF(ISNA(VLOOKUP($B216,'B-1 Site Hedge Baseline'!$B$1:$L$257,7,FALSE)),"",(VLOOKUP($B216,'B-1 Site Hedge Baseline'!$B$1:$L$257,7,FALSE))))</f>
        <v/>
      </c>
      <c r="H216" s="520" t="str">
        <f>IF(B216="","",IF(ISNA(VLOOKUP($B216,'B-1 Site Hedge Baseline'!$B$1:$L$257,8,FALSE)),"",(VLOOKUP($B216,'B-1 Site Hedge Baseline'!$B$1:$L$257,8,FALSE))))</f>
        <v/>
      </c>
      <c r="I216" s="520" t="str">
        <f>IF(B216="","",IF(ISNA(VLOOKUP($B216,'B-1 Site Hedge Baseline'!$B$1:$L$257,10,FALSE)),"",(VLOOKUP($B216,'B-1 Site Hedge Baseline'!$B$1:$L$257,10,FALSE))))</f>
        <v/>
      </c>
      <c r="J216" s="520" t="str">
        <f>IF(B216="","",IF(ISNA(VLOOKUP($B216,'B-1 Site Hedge Baseline'!$B$1:$L$257,11,FALSE)),"",(VLOOKUP($B216,'B-1 Site Hedge Baseline'!$B$1:$L$257,11,FALSE))))</f>
        <v/>
      </c>
      <c r="K216" s="520" t="str">
        <f>IF(B216="","",IF(ISNA(VLOOKUP($B216,'B-1 Site Hedge Baseline'!$B$1:$U$257,13,FALSE)),"",(VLOOKUP($B216,'B-1 Site Hedge Baseline'!$B$1:$U$257,13,FALSE))))</f>
        <v/>
      </c>
      <c r="L216" s="524" t="str">
        <f>IF(B216="","",IF(ISNA(VLOOKUP($B216,'B-1 Site Hedge Baseline'!$B$1:$U$257,12,FALSE)),"",(VLOOKUP($B216,'B-1 Site Hedge Baseline'!$B$1:$U$257,12,FALSE))))</f>
        <v/>
      </c>
      <c r="M216" s="416" t="str">
        <f t="shared" si="31"/>
        <v/>
      </c>
      <c r="N216" s="498" t="str">
        <f>IFERROR(IF(B216="","",INDEX('G-6 Hedgerow Data'!$AN$3:$AZ$15,MATCH(C216,'G-6 Hedgerow Data'!$AM$3:$AM$15,0),MATCH(M216,'G-6 Hedgerow Data'!$AN$2:$AZ$2,0))),"")</f>
        <v/>
      </c>
      <c r="O216" s="499" t="str">
        <f t="shared" si="26"/>
        <v/>
      </c>
      <c r="P216" s="559" t="str">
        <f>IF(B216="","",VLOOKUP(B216,'B-1 Site Hedge Baseline'!$B$10:T461,16,FALSE))</f>
        <v/>
      </c>
      <c r="Q216" s="498" t="str">
        <f>IF(M216="","",VLOOKUP(M216,'G-6 Hedgerow Data'!$B$2:$AG$15,2,FALSE))</f>
        <v/>
      </c>
      <c r="R216" s="499" t="str">
        <f>IF(M216="","",VLOOKUP(M216,'G-6 Hedgerow Data'!$B$2:$AG$15,3,FALSE))</f>
        <v/>
      </c>
      <c r="S216" s="157"/>
      <c r="T216" s="540" t="str">
        <f>IFERROR(VLOOKUP(S216,'G-1 All Habitats'!$Z$2:$AA$9,2,FALSE),"")</f>
        <v/>
      </c>
      <c r="U216" s="154"/>
      <c r="V216" s="520" t="str">
        <f>IF(U216="","",IF(VLOOKUP(U216,'G-3 Multipliers'!$L$3:$N$6,2,FALSE)=0,"Spatial Data Missing ⚠",VLOOKUP(U216,'G-3 Multipliers'!$L$3:$N$6,2,FALSE)))</f>
        <v/>
      </c>
      <c r="W216" s="524" t="str">
        <f>IF(U216="","",IF(VLOOKUP(U216,'G-3 Multipliers'!$L$3:$N$6,3,FALSE)=0,"Spatial Data Missing ⚠",VLOOKUP(U216,'G-3 Multipliers'!$L$3:$N$6,3,FALSE)))</f>
        <v/>
      </c>
      <c r="X216" s="498" t="str">
        <f>IFERROR(IF(OR(LEFT(O216,5)="Error ▲",LEFT(N216,5)="Error ▲",T216="Error ▲"),"Check Data ⚠",IF(F216&lt;R216,INDEX('G-6 Hedgerow Data'!$S$3:$AE$14,MATCH(C216,'G-6 Hedgerow Data'!$B$3:$B$14,0),MATCH(M216,'G-6 Hedgerow Data'!$S$2:$AE$2,0)),INDEX('G-6 Hedgerow Data'!$K$3:$Q$14,MATCH(M216,'G-6 Hedgerow Data'!$B$3:$B$14,0),MATCH(O216,'G-6 Hedgerow Data'!$K$2:$Q$2,0)))),"")</f>
        <v/>
      </c>
      <c r="Y216" s="195"/>
      <c r="Z216" s="195"/>
      <c r="AA216" s="507" t="str">
        <f t="shared" si="27"/>
        <v/>
      </c>
      <c r="AB216" s="521" t="str">
        <f t="shared" si="28"/>
        <v/>
      </c>
      <c r="AC216" s="522" t="str">
        <f t="shared" si="24"/>
        <v/>
      </c>
      <c r="AD216" s="537" t="str">
        <f>IF(M216="","",VLOOKUP(M216,'G-6 Hedgerow Data'!$B$3:$AG$15,31,FALSE))</f>
        <v/>
      </c>
      <c r="AE216" s="507" t="str">
        <f t="shared" si="29"/>
        <v/>
      </c>
      <c r="AF216" s="507" t="str">
        <f t="shared" si="30"/>
        <v/>
      </c>
      <c r="AG216" s="524" t="str">
        <f>IFERROR(IF(O216="","",VLOOKUP(AD216,'G-3 Multipliers'!$P$3:$Q$6,2,FALSE)),"")</f>
        <v/>
      </c>
      <c r="AH216" s="513" t="str">
        <f t="shared" si="25"/>
        <v/>
      </c>
      <c r="AI216" s="231"/>
      <c r="AJ216" s="150"/>
      <c r="AT216" s="31" t="str">
        <f>IFERROR(INDEX('G-6 Hedgerow Data'!$BJ$3:$BJ$15,MATCH(M216,'G-6 Hedgerow Data'!$B$3:$B$15,0)),"")</f>
        <v/>
      </c>
    </row>
    <row r="217" spans="2:46" ht="14" x14ac:dyDescent="0.3">
      <c r="B217" s="531" t="str">
        <f>'B-1 Site Hedge Baseline'!AK215</f>
        <v/>
      </c>
      <c r="C217" s="520" t="str">
        <f>IF(B217="","",IF(ISNA(VLOOKUP($B217,'B-1 Site Hedge Baseline'!$B$1:$L$257,3,FALSE)),"",(VLOOKUP($B217,'B-1 Site Hedge Baseline'!$B$1:$L$257,3,FALSE))))</f>
        <v/>
      </c>
      <c r="D217" s="520" t="str">
        <f>IF(B217="","",IF(ISNA(VLOOKUP($B217,'B-1 Site Hedge Baseline'!$B$1:$L$257,4,FALSE)),"",(VLOOKUP($B217,'B-1 Site Hedge Baseline'!$B$1:$L$257,4,FALSE))))</f>
        <v/>
      </c>
      <c r="E217" s="520" t="str">
        <f>IF(B217="","",IF(ISNA(VLOOKUP($B217,'B-1 Site Hedge Baseline'!$B$1:$L$257,5,FALSE)),"",(VLOOKUP($B217,'B-1 Site Hedge Baseline'!$B$1:$L$257,5,FALSE))))</f>
        <v/>
      </c>
      <c r="F217" s="520" t="str">
        <f>IF(B217="","",IF(ISNA(VLOOKUP($B217,'B-1 Site Hedge Baseline'!$B$1:$L$257,6,FALSE)),"",(VLOOKUP($B217,'B-1 Site Hedge Baseline'!$B$1:$L$257,6,FALSE))))</f>
        <v/>
      </c>
      <c r="G217" s="520" t="str">
        <f>IF(B217="","",IF(ISNA(VLOOKUP($B217,'B-1 Site Hedge Baseline'!$B$1:$L$257,7,FALSE)),"",(VLOOKUP($B217,'B-1 Site Hedge Baseline'!$B$1:$L$257,7,FALSE))))</f>
        <v/>
      </c>
      <c r="H217" s="520" t="str">
        <f>IF(B217="","",IF(ISNA(VLOOKUP($B217,'B-1 Site Hedge Baseline'!$B$1:$L$257,8,FALSE)),"",(VLOOKUP($B217,'B-1 Site Hedge Baseline'!$B$1:$L$257,8,FALSE))))</f>
        <v/>
      </c>
      <c r="I217" s="520" t="str">
        <f>IF(B217="","",IF(ISNA(VLOOKUP($B217,'B-1 Site Hedge Baseline'!$B$1:$L$257,10,FALSE)),"",(VLOOKUP($B217,'B-1 Site Hedge Baseline'!$B$1:$L$257,10,FALSE))))</f>
        <v/>
      </c>
      <c r="J217" s="520" t="str">
        <f>IF(B217="","",IF(ISNA(VLOOKUP($B217,'B-1 Site Hedge Baseline'!$B$1:$L$257,11,FALSE)),"",(VLOOKUP($B217,'B-1 Site Hedge Baseline'!$B$1:$L$257,11,FALSE))))</f>
        <v/>
      </c>
      <c r="K217" s="520" t="str">
        <f>IF(B217="","",IF(ISNA(VLOOKUP($B217,'B-1 Site Hedge Baseline'!$B$1:$U$257,13,FALSE)),"",(VLOOKUP($B217,'B-1 Site Hedge Baseline'!$B$1:$U$257,13,FALSE))))</f>
        <v/>
      </c>
      <c r="L217" s="524" t="str">
        <f>IF(B217="","",IF(ISNA(VLOOKUP($B217,'B-1 Site Hedge Baseline'!$B$1:$U$257,12,FALSE)),"",(VLOOKUP($B217,'B-1 Site Hedge Baseline'!$B$1:$U$257,12,FALSE))))</f>
        <v/>
      </c>
      <c r="M217" s="416" t="str">
        <f t="shared" si="31"/>
        <v/>
      </c>
      <c r="N217" s="498" t="str">
        <f>IFERROR(IF(B217="","",INDEX('G-6 Hedgerow Data'!$AN$3:$AZ$15,MATCH(C217,'G-6 Hedgerow Data'!$AM$3:$AM$15,0),MATCH(M217,'G-6 Hedgerow Data'!$AN$2:$AZ$2,0))),"")</f>
        <v/>
      </c>
      <c r="O217" s="499" t="str">
        <f t="shared" si="26"/>
        <v/>
      </c>
      <c r="P217" s="559" t="str">
        <f>IF(B217="","",VLOOKUP(B217,'B-1 Site Hedge Baseline'!$B$10:T462,16,FALSE))</f>
        <v/>
      </c>
      <c r="Q217" s="498" t="str">
        <f>IF(M217="","",VLOOKUP(M217,'G-6 Hedgerow Data'!$B$2:$AG$15,2,FALSE))</f>
        <v/>
      </c>
      <c r="R217" s="499" t="str">
        <f>IF(M217="","",VLOOKUP(M217,'G-6 Hedgerow Data'!$B$2:$AG$15,3,FALSE))</f>
        <v/>
      </c>
      <c r="S217" s="157"/>
      <c r="T217" s="540" t="str">
        <f>IFERROR(VLOOKUP(S217,'G-1 All Habitats'!$Z$2:$AA$9,2,FALSE),"")</f>
        <v/>
      </c>
      <c r="U217" s="154"/>
      <c r="V217" s="520" t="str">
        <f>IF(U217="","",IF(VLOOKUP(U217,'G-3 Multipliers'!$L$3:$N$6,2,FALSE)=0,"Spatial Data Missing ⚠",VLOOKUP(U217,'G-3 Multipliers'!$L$3:$N$6,2,FALSE)))</f>
        <v/>
      </c>
      <c r="W217" s="524" t="str">
        <f>IF(U217="","",IF(VLOOKUP(U217,'G-3 Multipliers'!$L$3:$N$6,3,FALSE)=0,"Spatial Data Missing ⚠",VLOOKUP(U217,'G-3 Multipliers'!$L$3:$N$6,3,FALSE)))</f>
        <v/>
      </c>
      <c r="X217" s="498" t="str">
        <f>IFERROR(IF(OR(LEFT(O217,5)="Error ▲",LEFT(N217,5)="Error ▲",T217="Error ▲"),"Check Data ⚠",IF(F217&lt;R217,INDEX('G-6 Hedgerow Data'!$S$3:$AE$14,MATCH(C217,'G-6 Hedgerow Data'!$B$3:$B$14,0),MATCH(M217,'G-6 Hedgerow Data'!$S$2:$AE$2,0)),INDEX('G-6 Hedgerow Data'!$K$3:$Q$14,MATCH(M217,'G-6 Hedgerow Data'!$B$3:$B$14,0),MATCH(O217,'G-6 Hedgerow Data'!$K$2:$Q$2,0)))),"")</f>
        <v/>
      </c>
      <c r="Y217" s="195"/>
      <c r="Z217" s="195"/>
      <c r="AA217" s="507" t="str">
        <f t="shared" si="27"/>
        <v/>
      </c>
      <c r="AB217" s="521" t="str">
        <f t="shared" si="28"/>
        <v/>
      </c>
      <c r="AC217" s="522" t="str">
        <f t="shared" si="24"/>
        <v/>
      </c>
      <c r="AD217" s="537" t="str">
        <f>IF(M217="","",VLOOKUP(M217,'G-6 Hedgerow Data'!$B$3:$AG$15,31,FALSE))</f>
        <v/>
      </c>
      <c r="AE217" s="507" t="str">
        <f t="shared" si="29"/>
        <v/>
      </c>
      <c r="AF217" s="507" t="str">
        <f t="shared" si="30"/>
        <v/>
      </c>
      <c r="AG217" s="524" t="str">
        <f>IFERROR(IF(O217="","",VLOOKUP(AD217,'G-3 Multipliers'!$P$3:$Q$6,2,FALSE)),"")</f>
        <v/>
      </c>
      <c r="AH217" s="513" t="str">
        <f t="shared" si="25"/>
        <v/>
      </c>
      <c r="AI217" s="231"/>
      <c r="AJ217" s="150"/>
      <c r="AT217" s="31" t="str">
        <f>IFERROR(INDEX('G-6 Hedgerow Data'!$BJ$3:$BJ$15,MATCH(M217,'G-6 Hedgerow Data'!$B$3:$B$15,0)),"")</f>
        <v/>
      </c>
    </row>
    <row r="218" spans="2:46" ht="14" x14ac:dyDescent="0.3">
      <c r="B218" s="531" t="str">
        <f>'B-1 Site Hedge Baseline'!AK216</f>
        <v/>
      </c>
      <c r="C218" s="520" t="str">
        <f>IF(B218="","",IF(ISNA(VLOOKUP($B218,'B-1 Site Hedge Baseline'!$B$1:$L$257,3,FALSE)),"",(VLOOKUP($B218,'B-1 Site Hedge Baseline'!$B$1:$L$257,3,FALSE))))</f>
        <v/>
      </c>
      <c r="D218" s="520" t="str">
        <f>IF(B218="","",IF(ISNA(VLOOKUP($B218,'B-1 Site Hedge Baseline'!$B$1:$L$257,4,FALSE)),"",(VLOOKUP($B218,'B-1 Site Hedge Baseline'!$B$1:$L$257,4,FALSE))))</f>
        <v/>
      </c>
      <c r="E218" s="520" t="str">
        <f>IF(B218="","",IF(ISNA(VLOOKUP($B218,'B-1 Site Hedge Baseline'!$B$1:$L$257,5,FALSE)),"",(VLOOKUP($B218,'B-1 Site Hedge Baseline'!$B$1:$L$257,5,FALSE))))</f>
        <v/>
      </c>
      <c r="F218" s="520" t="str">
        <f>IF(B218="","",IF(ISNA(VLOOKUP($B218,'B-1 Site Hedge Baseline'!$B$1:$L$257,6,FALSE)),"",(VLOOKUP($B218,'B-1 Site Hedge Baseline'!$B$1:$L$257,6,FALSE))))</f>
        <v/>
      </c>
      <c r="G218" s="520" t="str">
        <f>IF(B218="","",IF(ISNA(VLOOKUP($B218,'B-1 Site Hedge Baseline'!$B$1:$L$257,7,FALSE)),"",(VLOOKUP($B218,'B-1 Site Hedge Baseline'!$B$1:$L$257,7,FALSE))))</f>
        <v/>
      </c>
      <c r="H218" s="520" t="str">
        <f>IF(B218="","",IF(ISNA(VLOOKUP($B218,'B-1 Site Hedge Baseline'!$B$1:$L$257,8,FALSE)),"",(VLOOKUP($B218,'B-1 Site Hedge Baseline'!$B$1:$L$257,8,FALSE))))</f>
        <v/>
      </c>
      <c r="I218" s="520" t="str">
        <f>IF(B218="","",IF(ISNA(VLOOKUP($B218,'B-1 Site Hedge Baseline'!$B$1:$L$257,10,FALSE)),"",(VLOOKUP($B218,'B-1 Site Hedge Baseline'!$B$1:$L$257,10,FALSE))))</f>
        <v/>
      </c>
      <c r="J218" s="520" t="str">
        <f>IF(B218="","",IF(ISNA(VLOOKUP($B218,'B-1 Site Hedge Baseline'!$B$1:$L$257,11,FALSE)),"",(VLOOKUP($B218,'B-1 Site Hedge Baseline'!$B$1:$L$257,11,FALSE))))</f>
        <v/>
      </c>
      <c r="K218" s="520" t="str">
        <f>IF(B218="","",IF(ISNA(VLOOKUP($B218,'B-1 Site Hedge Baseline'!$B$1:$U$257,13,FALSE)),"",(VLOOKUP($B218,'B-1 Site Hedge Baseline'!$B$1:$U$257,13,FALSE))))</f>
        <v/>
      </c>
      <c r="L218" s="524" t="str">
        <f>IF(B218="","",IF(ISNA(VLOOKUP($B218,'B-1 Site Hedge Baseline'!$B$1:$U$257,12,FALSE)),"",(VLOOKUP($B218,'B-1 Site Hedge Baseline'!$B$1:$U$257,12,FALSE))))</f>
        <v/>
      </c>
      <c r="M218" s="416" t="str">
        <f t="shared" si="31"/>
        <v/>
      </c>
      <c r="N218" s="498" t="str">
        <f>IFERROR(IF(B218="","",INDEX('G-6 Hedgerow Data'!$AN$3:$AZ$15,MATCH(C218,'G-6 Hedgerow Data'!$AM$3:$AM$15,0),MATCH(M218,'G-6 Hedgerow Data'!$AN$2:$AZ$2,0))),"")</f>
        <v/>
      </c>
      <c r="O218" s="499" t="str">
        <f t="shared" si="26"/>
        <v/>
      </c>
      <c r="P218" s="559" t="str">
        <f>IF(B218="","",VLOOKUP(B218,'B-1 Site Hedge Baseline'!$B$10:T463,16,FALSE))</f>
        <v/>
      </c>
      <c r="Q218" s="498" t="str">
        <f>IF(M218="","",VLOOKUP(M218,'G-6 Hedgerow Data'!$B$2:$AG$15,2,FALSE))</f>
        <v/>
      </c>
      <c r="R218" s="499" t="str">
        <f>IF(M218="","",VLOOKUP(M218,'G-6 Hedgerow Data'!$B$2:$AG$15,3,FALSE))</f>
        <v/>
      </c>
      <c r="S218" s="157"/>
      <c r="T218" s="540" t="str">
        <f>IFERROR(VLOOKUP(S218,'G-1 All Habitats'!$Z$2:$AA$9,2,FALSE),"")</f>
        <v/>
      </c>
      <c r="U218" s="154"/>
      <c r="V218" s="520" t="str">
        <f>IF(U218="","",IF(VLOOKUP(U218,'G-3 Multipliers'!$L$3:$N$6,2,FALSE)=0,"Spatial Data Missing ⚠",VLOOKUP(U218,'G-3 Multipliers'!$L$3:$N$6,2,FALSE)))</f>
        <v/>
      </c>
      <c r="W218" s="524" t="str">
        <f>IF(U218="","",IF(VLOOKUP(U218,'G-3 Multipliers'!$L$3:$N$6,3,FALSE)=0,"Spatial Data Missing ⚠",VLOOKUP(U218,'G-3 Multipliers'!$L$3:$N$6,3,FALSE)))</f>
        <v/>
      </c>
      <c r="X218" s="498" t="str">
        <f>IFERROR(IF(OR(LEFT(O218,5)="Error ▲",LEFT(N218,5)="Error ▲",T218="Error ▲"),"Check Data ⚠",IF(F218&lt;R218,INDEX('G-6 Hedgerow Data'!$S$3:$AE$14,MATCH(C218,'G-6 Hedgerow Data'!$B$3:$B$14,0),MATCH(M218,'G-6 Hedgerow Data'!$S$2:$AE$2,0)),INDEX('G-6 Hedgerow Data'!$K$3:$Q$14,MATCH(M218,'G-6 Hedgerow Data'!$B$3:$B$14,0),MATCH(O218,'G-6 Hedgerow Data'!$K$2:$Q$2,0)))),"")</f>
        <v/>
      </c>
      <c r="Y218" s="195"/>
      <c r="Z218" s="195"/>
      <c r="AA218" s="507" t="str">
        <f t="shared" si="27"/>
        <v/>
      </c>
      <c r="AB218" s="521" t="str">
        <f t="shared" si="28"/>
        <v/>
      </c>
      <c r="AC218" s="522" t="str">
        <f t="shared" si="24"/>
        <v/>
      </c>
      <c r="AD218" s="537" t="str">
        <f>IF(M218="","",VLOOKUP(M218,'G-6 Hedgerow Data'!$B$3:$AG$15,31,FALSE))</f>
        <v/>
      </c>
      <c r="AE218" s="507" t="str">
        <f t="shared" si="29"/>
        <v/>
      </c>
      <c r="AF218" s="507" t="str">
        <f t="shared" si="30"/>
        <v/>
      </c>
      <c r="AG218" s="524" t="str">
        <f>IFERROR(IF(O218="","",VLOOKUP(AD218,'G-3 Multipliers'!$P$3:$Q$6,2,FALSE)),"")</f>
        <v/>
      </c>
      <c r="AH218" s="513" t="str">
        <f t="shared" si="25"/>
        <v/>
      </c>
      <c r="AI218" s="231"/>
      <c r="AJ218" s="150"/>
      <c r="AT218" s="31" t="str">
        <f>IFERROR(INDEX('G-6 Hedgerow Data'!$BJ$3:$BJ$15,MATCH(M218,'G-6 Hedgerow Data'!$B$3:$B$15,0)),"")</f>
        <v/>
      </c>
    </row>
    <row r="219" spans="2:46" ht="14" x14ac:dyDescent="0.3">
      <c r="B219" s="531" t="str">
        <f>'B-1 Site Hedge Baseline'!AK217</f>
        <v/>
      </c>
      <c r="C219" s="520" t="str">
        <f>IF(B219="","",IF(ISNA(VLOOKUP($B219,'B-1 Site Hedge Baseline'!$B$1:$L$257,3,FALSE)),"",(VLOOKUP($B219,'B-1 Site Hedge Baseline'!$B$1:$L$257,3,FALSE))))</f>
        <v/>
      </c>
      <c r="D219" s="520" t="str">
        <f>IF(B219="","",IF(ISNA(VLOOKUP($B219,'B-1 Site Hedge Baseline'!$B$1:$L$257,4,FALSE)),"",(VLOOKUP($B219,'B-1 Site Hedge Baseline'!$B$1:$L$257,4,FALSE))))</f>
        <v/>
      </c>
      <c r="E219" s="520" t="str">
        <f>IF(B219="","",IF(ISNA(VLOOKUP($B219,'B-1 Site Hedge Baseline'!$B$1:$L$257,5,FALSE)),"",(VLOOKUP($B219,'B-1 Site Hedge Baseline'!$B$1:$L$257,5,FALSE))))</f>
        <v/>
      </c>
      <c r="F219" s="520" t="str">
        <f>IF(B219="","",IF(ISNA(VLOOKUP($B219,'B-1 Site Hedge Baseline'!$B$1:$L$257,6,FALSE)),"",(VLOOKUP($B219,'B-1 Site Hedge Baseline'!$B$1:$L$257,6,FALSE))))</f>
        <v/>
      </c>
      <c r="G219" s="520" t="str">
        <f>IF(B219="","",IF(ISNA(VLOOKUP($B219,'B-1 Site Hedge Baseline'!$B$1:$L$257,7,FALSE)),"",(VLOOKUP($B219,'B-1 Site Hedge Baseline'!$B$1:$L$257,7,FALSE))))</f>
        <v/>
      </c>
      <c r="H219" s="520" t="str">
        <f>IF(B219="","",IF(ISNA(VLOOKUP($B219,'B-1 Site Hedge Baseline'!$B$1:$L$257,8,FALSE)),"",(VLOOKUP($B219,'B-1 Site Hedge Baseline'!$B$1:$L$257,8,FALSE))))</f>
        <v/>
      </c>
      <c r="I219" s="520" t="str">
        <f>IF(B219="","",IF(ISNA(VLOOKUP($B219,'B-1 Site Hedge Baseline'!$B$1:$L$257,10,FALSE)),"",(VLOOKUP($B219,'B-1 Site Hedge Baseline'!$B$1:$L$257,10,FALSE))))</f>
        <v/>
      </c>
      <c r="J219" s="520" t="str">
        <f>IF(B219="","",IF(ISNA(VLOOKUP($B219,'B-1 Site Hedge Baseline'!$B$1:$L$257,11,FALSE)),"",(VLOOKUP($B219,'B-1 Site Hedge Baseline'!$B$1:$L$257,11,FALSE))))</f>
        <v/>
      </c>
      <c r="K219" s="520" t="str">
        <f>IF(B219="","",IF(ISNA(VLOOKUP($B219,'B-1 Site Hedge Baseline'!$B$1:$U$257,13,FALSE)),"",(VLOOKUP($B219,'B-1 Site Hedge Baseline'!$B$1:$U$257,13,FALSE))))</f>
        <v/>
      </c>
      <c r="L219" s="524" t="str">
        <f>IF(B219="","",IF(ISNA(VLOOKUP($B219,'B-1 Site Hedge Baseline'!$B$1:$U$257,12,FALSE)),"",(VLOOKUP($B219,'B-1 Site Hedge Baseline'!$B$1:$U$257,12,FALSE))))</f>
        <v/>
      </c>
      <c r="M219" s="416" t="str">
        <f t="shared" si="31"/>
        <v/>
      </c>
      <c r="N219" s="498" t="str">
        <f>IFERROR(IF(B219="","",INDEX('G-6 Hedgerow Data'!$AN$3:$AZ$15,MATCH(C219,'G-6 Hedgerow Data'!$AM$3:$AM$15,0),MATCH(M219,'G-6 Hedgerow Data'!$AN$2:$AZ$2,0))),"")</f>
        <v/>
      </c>
      <c r="O219" s="499" t="str">
        <f t="shared" si="26"/>
        <v/>
      </c>
      <c r="P219" s="559" t="str">
        <f>IF(B219="","",VLOOKUP(B219,'B-1 Site Hedge Baseline'!$B$10:T464,16,FALSE))</f>
        <v/>
      </c>
      <c r="Q219" s="498" t="str">
        <f>IF(M219="","",VLOOKUP(M219,'G-6 Hedgerow Data'!$B$2:$AG$15,2,FALSE))</f>
        <v/>
      </c>
      <c r="R219" s="499" t="str">
        <f>IF(M219="","",VLOOKUP(M219,'G-6 Hedgerow Data'!$B$2:$AG$15,3,FALSE))</f>
        <v/>
      </c>
      <c r="S219" s="157"/>
      <c r="T219" s="540" t="str">
        <f>IFERROR(VLOOKUP(S219,'G-1 All Habitats'!$Z$2:$AA$9,2,FALSE),"")</f>
        <v/>
      </c>
      <c r="U219" s="154"/>
      <c r="V219" s="520" t="str">
        <f>IF(U219="","",IF(VLOOKUP(U219,'G-3 Multipliers'!$L$3:$N$6,2,FALSE)=0,"Spatial Data Missing ⚠",VLOOKUP(U219,'G-3 Multipliers'!$L$3:$N$6,2,FALSE)))</f>
        <v/>
      </c>
      <c r="W219" s="524" t="str">
        <f>IF(U219="","",IF(VLOOKUP(U219,'G-3 Multipliers'!$L$3:$N$6,3,FALSE)=0,"Spatial Data Missing ⚠",VLOOKUP(U219,'G-3 Multipliers'!$L$3:$N$6,3,FALSE)))</f>
        <v/>
      </c>
      <c r="X219" s="498" t="str">
        <f>IFERROR(IF(OR(LEFT(O219,5)="Error ▲",LEFT(N219,5)="Error ▲",T219="Error ▲"),"Check Data ⚠",IF(F219&lt;R219,INDEX('G-6 Hedgerow Data'!$S$3:$AE$14,MATCH(C219,'G-6 Hedgerow Data'!$B$3:$B$14,0),MATCH(M219,'G-6 Hedgerow Data'!$S$2:$AE$2,0)),INDEX('G-6 Hedgerow Data'!$K$3:$Q$14,MATCH(M219,'G-6 Hedgerow Data'!$B$3:$B$14,0),MATCH(O219,'G-6 Hedgerow Data'!$K$2:$Q$2,0)))),"")</f>
        <v/>
      </c>
      <c r="Y219" s="195"/>
      <c r="Z219" s="195"/>
      <c r="AA219" s="507" t="str">
        <f t="shared" si="27"/>
        <v/>
      </c>
      <c r="AB219" s="521" t="str">
        <f t="shared" si="28"/>
        <v/>
      </c>
      <c r="AC219" s="522" t="str">
        <f t="shared" si="24"/>
        <v/>
      </c>
      <c r="AD219" s="537" t="str">
        <f>IF(M219="","",VLOOKUP(M219,'G-6 Hedgerow Data'!$B$3:$AG$15,31,FALSE))</f>
        <v/>
      </c>
      <c r="AE219" s="507" t="str">
        <f t="shared" si="29"/>
        <v/>
      </c>
      <c r="AF219" s="507" t="str">
        <f t="shared" si="30"/>
        <v/>
      </c>
      <c r="AG219" s="524" t="str">
        <f>IFERROR(IF(O219="","",VLOOKUP(AD219,'G-3 Multipliers'!$P$3:$Q$6,2,FALSE)),"")</f>
        <v/>
      </c>
      <c r="AH219" s="513" t="str">
        <f t="shared" si="25"/>
        <v/>
      </c>
      <c r="AI219" s="231"/>
      <c r="AJ219" s="150"/>
      <c r="AT219" s="31" t="str">
        <f>IFERROR(INDEX('G-6 Hedgerow Data'!$BJ$3:$BJ$15,MATCH(M219,'G-6 Hedgerow Data'!$B$3:$B$15,0)),"")</f>
        <v/>
      </c>
    </row>
    <row r="220" spans="2:46" ht="14" x14ac:dyDescent="0.3">
      <c r="B220" s="531" t="str">
        <f>'B-1 Site Hedge Baseline'!AK218</f>
        <v/>
      </c>
      <c r="C220" s="520" t="str">
        <f>IF(B220="","",IF(ISNA(VLOOKUP($B220,'B-1 Site Hedge Baseline'!$B$1:$L$257,3,FALSE)),"",(VLOOKUP($B220,'B-1 Site Hedge Baseline'!$B$1:$L$257,3,FALSE))))</f>
        <v/>
      </c>
      <c r="D220" s="520" t="str">
        <f>IF(B220="","",IF(ISNA(VLOOKUP($B220,'B-1 Site Hedge Baseline'!$B$1:$L$257,4,FALSE)),"",(VLOOKUP($B220,'B-1 Site Hedge Baseline'!$B$1:$L$257,4,FALSE))))</f>
        <v/>
      </c>
      <c r="E220" s="520" t="str">
        <f>IF(B220="","",IF(ISNA(VLOOKUP($B220,'B-1 Site Hedge Baseline'!$B$1:$L$257,5,FALSE)),"",(VLOOKUP($B220,'B-1 Site Hedge Baseline'!$B$1:$L$257,5,FALSE))))</f>
        <v/>
      </c>
      <c r="F220" s="520" t="str">
        <f>IF(B220="","",IF(ISNA(VLOOKUP($B220,'B-1 Site Hedge Baseline'!$B$1:$L$257,6,FALSE)),"",(VLOOKUP($B220,'B-1 Site Hedge Baseline'!$B$1:$L$257,6,FALSE))))</f>
        <v/>
      </c>
      <c r="G220" s="520" t="str">
        <f>IF(B220="","",IF(ISNA(VLOOKUP($B220,'B-1 Site Hedge Baseline'!$B$1:$L$257,7,FALSE)),"",(VLOOKUP($B220,'B-1 Site Hedge Baseline'!$B$1:$L$257,7,FALSE))))</f>
        <v/>
      </c>
      <c r="H220" s="520" t="str">
        <f>IF(B220="","",IF(ISNA(VLOOKUP($B220,'B-1 Site Hedge Baseline'!$B$1:$L$257,8,FALSE)),"",(VLOOKUP($B220,'B-1 Site Hedge Baseline'!$B$1:$L$257,8,FALSE))))</f>
        <v/>
      </c>
      <c r="I220" s="520" t="str">
        <f>IF(B220="","",IF(ISNA(VLOOKUP($B220,'B-1 Site Hedge Baseline'!$B$1:$L$257,10,FALSE)),"",(VLOOKUP($B220,'B-1 Site Hedge Baseline'!$B$1:$L$257,10,FALSE))))</f>
        <v/>
      </c>
      <c r="J220" s="520" t="str">
        <f>IF(B220="","",IF(ISNA(VLOOKUP($B220,'B-1 Site Hedge Baseline'!$B$1:$L$257,11,FALSE)),"",(VLOOKUP($B220,'B-1 Site Hedge Baseline'!$B$1:$L$257,11,FALSE))))</f>
        <v/>
      </c>
      <c r="K220" s="520" t="str">
        <f>IF(B220="","",IF(ISNA(VLOOKUP($B220,'B-1 Site Hedge Baseline'!$B$1:$U$257,13,FALSE)),"",(VLOOKUP($B220,'B-1 Site Hedge Baseline'!$B$1:$U$257,13,FALSE))))</f>
        <v/>
      </c>
      <c r="L220" s="524" t="str">
        <f>IF(B220="","",IF(ISNA(VLOOKUP($B220,'B-1 Site Hedge Baseline'!$B$1:$U$257,12,FALSE)),"",(VLOOKUP($B220,'B-1 Site Hedge Baseline'!$B$1:$U$257,12,FALSE))))</f>
        <v/>
      </c>
      <c r="M220" s="416" t="str">
        <f t="shared" si="31"/>
        <v/>
      </c>
      <c r="N220" s="498" t="str">
        <f>IFERROR(IF(B220="","",INDEX('G-6 Hedgerow Data'!$AN$3:$AZ$15,MATCH(C220,'G-6 Hedgerow Data'!$AM$3:$AM$15,0),MATCH(M220,'G-6 Hedgerow Data'!$AN$2:$AZ$2,0))),"")</f>
        <v/>
      </c>
      <c r="O220" s="499" t="str">
        <f t="shared" si="26"/>
        <v/>
      </c>
      <c r="P220" s="559" t="str">
        <f>IF(B220="","",VLOOKUP(B220,'B-1 Site Hedge Baseline'!$B$10:T465,16,FALSE))</f>
        <v/>
      </c>
      <c r="Q220" s="498" t="str">
        <f>IF(M220="","",VLOOKUP(M220,'G-6 Hedgerow Data'!$B$2:$AG$15,2,FALSE))</f>
        <v/>
      </c>
      <c r="R220" s="499" t="str">
        <f>IF(M220="","",VLOOKUP(M220,'G-6 Hedgerow Data'!$B$2:$AG$15,3,FALSE))</f>
        <v/>
      </c>
      <c r="S220" s="157"/>
      <c r="T220" s="540" t="str">
        <f>IFERROR(VLOOKUP(S220,'G-1 All Habitats'!$Z$2:$AA$9,2,FALSE),"")</f>
        <v/>
      </c>
      <c r="U220" s="154"/>
      <c r="V220" s="520" t="str">
        <f>IF(U220="","",IF(VLOOKUP(U220,'G-3 Multipliers'!$L$3:$N$6,2,FALSE)=0,"Spatial Data Missing ⚠",VLOOKUP(U220,'G-3 Multipliers'!$L$3:$N$6,2,FALSE)))</f>
        <v/>
      </c>
      <c r="W220" s="524" t="str">
        <f>IF(U220="","",IF(VLOOKUP(U220,'G-3 Multipliers'!$L$3:$N$6,3,FALSE)=0,"Spatial Data Missing ⚠",VLOOKUP(U220,'G-3 Multipliers'!$L$3:$N$6,3,FALSE)))</f>
        <v/>
      </c>
      <c r="X220" s="498" t="str">
        <f>IFERROR(IF(OR(LEFT(O220,5)="Error ▲",LEFT(N220,5)="Error ▲",T220="Error ▲"),"Check Data ⚠",IF(F220&lt;R220,INDEX('G-6 Hedgerow Data'!$S$3:$AE$14,MATCH(C220,'G-6 Hedgerow Data'!$B$3:$B$14,0),MATCH(M220,'G-6 Hedgerow Data'!$S$2:$AE$2,0)),INDEX('G-6 Hedgerow Data'!$K$3:$Q$14,MATCH(M220,'G-6 Hedgerow Data'!$B$3:$B$14,0),MATCH(O220,'G-6 Hedgerow Data'!$K$2:$Q$2,0)))),"")</f>
        <v/>
      </c>
      <c r="Y220" s="195"/>
      <c r="Z220" s="195"/>
      <c r="AA220" s="507" t="str">
        <f t="shared" si="27"/>
        <v/>
      </c>
      <c r="AB220" s="521" t="str">
        <f t="shared" si="28"/>
        <v/>
      </c>
      <c r="AC220" s="522" t="str">
        <f t="shared" si="24"/>
        <v/>
      </c>
      <c r="AD220" s="537" t="str">
        <f>IF(M220="","",VLOOKUP(M220,'G-6 Hedgerow Data'!$B$3:$AG$15,31,FALSE))</f>
        <v/>
      </c>
      <c r="AE220" s="507" t="str">
        <f t="shared" si="29"/>
        <v/>
      </c>
      <c r="AF220" s="507" t="str">
        <f t="shared" si="30"/>
        <v/>
      </c>
      <c r="AG220" s="524" t="str">
        <f>IFERROR(IF(O220="","",VLOOKUP(AD220,'G-3 Multipliers'!$P$3:$Q$6,2,FALSE)),"")</f>
        <v/>
      </c>
      <c r="AH220" s="513" t="str">
        <f t="shared" si="25"/>
        <v/>
      </c>
      <c r="AI220" s="231"/>
      <c r="AJ220" s="150"/>
      <c r="AT220" s="31" t="str">
        <f>IFERROR(INDEX('G-6 Hedgerow Data'!$BJ$3:$BJ$15,MATCH(M220,'G-6 Hedgerow Data'!$B$3:$B$15,0)),"")</f>
        <v/>
      </c>
    </row>
    <row r="221" spans="2:46" ht="14" x14ac:dyDescent="0.3">
      <c r="B221" s="531" t="str">
        <f>'B-1 Site Hedge Baseline'!AK219</f>
        <v/>
      </c>
      <c r="C221" s="520" t="str">
        <f>IF(B221="","",IF(ISNA(VLOOKUP($B221,'B-1 Site Hedge Baseline'!$B$1:$L$257,3,FALSE)),"",(VLOOKUP($B221,'B-1 Site Hedge Baseline'!$B$1:$L$257,3,FALSE))))</f>
        <v/>
      </c>
      <c r="D221" s="520" t="str">
        <f>IF(B221="","",IF(ISNA(VLOOKUP($B221,'B-1 Site Hedge Baseline'!$B$1:$L$257,4,FALSE)),"",(VLOOKUP($B221,'B-1 Site Hedge Baseline'!$B$1:$L$257,4,FALSE))))</f>
        <v/>
      </c>
      <c r="E221" s="520" t="str">
        <f>IF(B221="","",IF(ISNA(VLOOKUP($B221,'B-1 Site Hedge Baseline'!$B$1:$L$257,5,FALSE)),"",(VLOOKUP($B221,'B-1 Site Hedge Baseline'!$B$1:$L$257,5,FALSE))))</f>
        <v/>
      </c>
      <c r="F221" s="520" t="str">
        <f>IF(B221="","",IF(ISNA(VLOOKUP($B221,'B-1 Site Hedge Baseline'!$B$1:$L$257,6,FALSE)),"",(VLOOKUP($B221,'B-1 Site Hedge Baseline'!$B$1:$L$257,6,FALSE))))</f>
        <v/>
      </c>
      <c r="G221" s="520" t="str">
        <f>IF(B221="","",IF(ISNA(VLOOKUP($B221,'B-1 Site Hedge Baseline'!$B$1:$L$257,7,FALSE)),"",(VLOOKUP($B221,'B-1 Site Hedge Baseline'!$B$1:$L$257,7,FALSE))))</f>
        <v/>
      </c>
      <c r="H221" s="520" t="str">
        <f>IF(B221="","",IF(ISNA(VLOOKUP($B221,'B-1 Site Hedge Baseline'!$B$1:$L$257,8,FALSE)),"",(VLOOKUP($B221,'B-1 Site Hedge Baseline'!$B$1:$L$257,8,FALSE))))</f>
        <v/>
      </c>
      <c r="I221" s="520" t="str">
        <f>IF(B221="","",IF(ISNA(VLOOKUP($B221,'B-1 Site Hedge Baseline'!$B$1:$L$257,10,FALSE)),"",(VLOOKUP($B221,'B-1 Site Hedge Baseline'!$B$1:$L$257,10,FALSE))))</f>
        <v/>
      </c>
      <c r="J221" s="520" t="str">
        <f>IF(B221="","",IF(ISNA(VLOOKUP($B221,'B-1 Site Hedge Baseline'!$B$1:$L$257,11,FALSE)),"",(VLOOKUP($B221,'B-1 Site Hedge Baseline'!$B$1:$L$257,11,FALSE))))</f>
        <v/>
      </c>
      <c r="K221" s="520" t="str">
        <f>IF(B221="","",IF(ISNA(VLOOKUP($B221,'B-1 Site Hedge Baseline'!$B$1:$U$257,13,FALSE)),"",(VLOOKUP($B221,'B-1 Site Hedge Baseline'!$B$1:$U$257,13,FALSE))))</f>
        <v/>
      </c>
      <c r="L221" s="524" t="str">
        <f>IF(B221="","",IF(ISNA(VLOOKUP($B221,'B-1 Site Hedge Baseline'!$B$1:$U$257,12,FALSE)),"",(VLOOKUP($B221,'B-1 Site Hedge Baseline'!$B$1:$U$257,12,FALSE))))</f>
        <v/>
      </c>
      <c r="M221" s="416" t="str">
        <f t="shared" si="31"/>
        <v/>
      </c>
      <c r="N221" s="498" t="str">
        <f>IFERROR(IF(B221="","",INDEX('G-6 Hedgerow Data'!$AN$3:$AZ$15,MATCH(C221,'G-6 Hedgerow Data'!$AM$3:$AM$15,0),MATCH(M221,'G-6 Hedgerow Data'!$AN$2:$AZ$2,0))),"")</f>
        <v/>
      </c>
      <c r="O221" s="499" t="str">
        <f t="shared" si="26"/>
        <v/>
      </c>
      <c r="P221" s="559" t="str">
        <f>IF(B221="","",VLOOKUP(B221,'B-1 Site Hedge Baseline'!$B$10:T466,16,FALSE))</f>
        <v/>
      </c>
      <c r="Q221" s="498" t="str">
        <f>IF(M221="","",VLOOKUP(M221,'G-6 Hedgerow Data'!$B$2:$AG$15,2,FALSE))</f>
        <v/>
      </c>
      <c r="R221" s="499" t="str">
        <f>IF(M221="","",VLOOKUP(M221,'G-6 Hedgerow Data'!$B$2:$AG$15,3,FALSE))</f>
        <v/>
      </c>
      <c r="S221" s="157"/>
      <c r="T221" s="540" t="str">
        <f>IFERROR(VLOOKUP(S221,'G-1 All Habitats'!$Z$2:$AA$9,2,FALSE),"")</f>
        <v/>
      </c>
      <c r="U221" s="154"/>
      <c r="V221" s="520" t="str">
        <f>IF(U221="","",IF(VLOOKUP(U221,'G-3 Multipliers'!$L$3:$N$6,2,FALSE)=0,"Spatial Data Missing ⚠",VLOOKUP(U221,'G-3 Multipliers'!$L$3:$N$6,2,FALSE)))</f>
        <v/>
      </c>
      <c r="W221" s="524" t="str">
        <f>IF(U221="","",IF(VLOOKUP(U221,'G-3 Multipliers'!$L$3:$N$6,3,FALSE)=0,"Spatial Data Missing ⚠",VLOOKUP(U221,'G-3 Multipliers'!$L$3:$N$6,3,FALSE)))</f>
        <v/>
      </c>
      <c r="X221" s="498" t="str">
        <f>IFERROR(IF(OR(LEFT(O221,5)="Error ▲",LEFT(N221,5)="Error ▲",T221="Error ▲"),"Check Data ⚠",IF(F221&lt;R221,INDEX('G-6 Hedgerow Data'!$S$3:$AE$14,MATCH(C221,'G-6 Hedgerow Data'!$B$3:$B$14,0),MATCH(M221,'G-6 Hedgerow Data'!$S$2:$AE$2,0)),INDEX('G-6 Hedgerow Data'!$K$3:$Q$14,MATCH(M221,'G-6 Hedgerow Data'!$B$3:$B$14,0),MATCH(O221,'G-6 Hedgerow Data'!$K$2:$Q$2,0)))),"")</f>
        <v/>
      </c>
      <c r="Y221" s="195"/>
      <c r="Z221" s="195"/>
      <c r="AA221" s="507" t="str">
        <f t="shared" si="27"/>
        <v/>
      </c>
      <c r="AB221" s="521" t="str">
        <f t="shared" si="28"/>
        <v/>
      </c>
      <c r="AC221" s="522" t="str">
        <f t="shared" si="24"/>
        <v/>
      </c>
      <c r="AD221" s="537" t="str">
        <f>IF(M221="","",VLOOKUP(M221,'G-6 Hedgerow Data'!$B$3:$AG$15,31,FALSE))</f>
        <v/>
      </c>
      <c r="AE221" s="507" t="str">
        <f t="shared" si="29"/>
        <v/>
      </c>
      <c r="AF221" s="507" t="str">
        <f t="shared" si="30"/>
        <v/>
      </c>
      <c r="AG221" s="524" t="str">
        <f>IFERROR(IF(O221="","",VLOOKUP(AD221,'G-3 Multipliers'!$P$3:$Q$6,2,FALSE)),"")</f>
        <v/>
      </c>
      <c r="AH221" s="513" t="str">
        <f t="shared" si="25"/>
        <v/>
      </c>
      <c r="AI221" s="231"/>
      <c r="AJ221" s="150"/>
      <c r="AT221" s="31" t="str">
        <f>IFERROR(INDEX('G-6 Hedgerow Data'!$BJ$3:$BJ$15,MATCH(M221,'G-6 Hedgerow Data'!$B$3:$B$15,0)),"")</f>
        <v/>
      </c>
    </row>
    <row r="222" spans="2:46" ht="14" x14ac:dyDescent="0.3">
      <c r="B222" s="531" t="str">
        <f>'B-1 Site Hedge Baseline'!AK220</f>
        <v/>
      </c>
      <c r="C222" s="520" t="str">
        <f>IF(B222="","",IF(ISNA(VLOOKUP($B222,'B-1 Site Hedge Baseline'!$B$1:$L$257,3,FALSE)),"",(VLOOKUP($B222,'B-1 Site Hedge Baseline'!$B$1:$L$257,3,FALSE))))</f>
        <v/>
      </c>
      <c r="D222" s="520" t="str">
        <f>IF(B222="","",IF(ISNA(VLOOKUP($B222,'B-1 Site Hedge Baseline'!$B$1:$L$257,4,FALSE)),"",(VLOOKUP($B222,'B-1 Site Hedge Baseline'!$B$1:$L$257,4,FALSE))))</f>
        <v/>
      </c>
      <c r="E222" s="520" t="str">
        <f>IF(B222="","",IF(ISNA(VLOOKUP($B222,'B-1 Site Hedge Baseline'!$B$1:$L$257,5,FALSE)),"",(VLOOKUP($B222,'B-1 Site Hedge Baseline'!$B$1:$L$257,5,FALSE))))</f>
        <v/>
      </c>
      <c r="F222" s="520" t="str">
        <f>IF(B222="","",IF(ISNA(VLOOKUP($B222,'B-1 Site Hedge Baseline'!$B$1:$L$257,6,FALSE)),"",(VLOOKUP($B222,'B-1 Site Hedge Baseline'!$B$1:$L$257,6,FALSE))))</f>
        <v/>
      </c>
      <c r="G222" s="520" t="str">
        <f>IF(B222="","",IF(ISNA(VLOOKUP($B222,'B-1 Site Hedge Baseline'!$B$1:$L$257,7,FALSE)),"",(VLOOKUP($B222,'B-1 Site Hedge Baseline'!$B$1:$L$257,7,FALSE))))</f>
        <v/>
      </c>
      <c r="H222" s="520" t="str">
        <f>IF(B222="","",IF(ISNA(VLOOKUP($B222,'B-1 Site Hedge Baseline'!$B$1:$L$257,8,FALSE)),"",(VLOOKUP($B222,'B-1 Site Hedge Baseline'!$B$1:$L$257,8,FALSE))))</f>
        <v/>
      </c>
      <c r="I222" s="520" t="str">
        <f>IF(B222="","",IF(ISNA(VLOOKUP($B222,'B-1 Site Hedge Baseline'!$B$1:$L$257,10,FALSE)),"",(VLOOKUP($B222,'B-1 Site Hedge Baseline'!$B$1:$L$257,10,FALSE))))</f>
        <v/>
      </c>
      <c r="J222" s="520" t="str">
        <f>IF(B222="","",IF(ISNA(VLOOKUP($B222,'B-1 Site Hedge Baseline'!$B$1:$L$257,11,FALSE)),"",(VLOOKUP($B222,'B-1 Site Hedge Baseline'!$B$1:$L$257,11,FALSE))))</f>
        <v/>
      </c>
      <c r="K222" s="520" t="str">
        <f>IF(B222="","",IF(ISNA(VLOOKUP($B222,'B-1 Site Hedge Baseline'!$B$1:$U$257,13,FALSE)),"",(VLOOKUP($B222,'B-1 Site Hedge Baseline'!$B$1:$U$257,13,FALSE))))</f>
        <v/>
      </c>
      <c r="L222" s="524" t="str">
        <f>IF(B222="","",IF(ISNA(VLOOKUP($B222,'B-1 Site Hedge Baseline'!$B$1:$U$257,12,FALSE)),"",(VLOOKUP($B222,'B-1 Site Hedge Baseline'!$B$1:$U$257,12,FALSE))))</f>
        <v/>
      </c>
      <c r="M222" s="416" t="str">
        <f t="shared" si="31"/>
        <v/>
      </c>
      <c r="N222" s="498" t="str">
        <f>IFERROR(IF(B222="","",INDEX('G-6 Hedgerow Data'!$AN$3:$AZ$15,MATCH(C222,'G-6 Hedgerow Data'!$AM$3:$AM$15,0),MATCH(M222,'G-6 Hedgerow Data'!$AN$2:$AZ$2,0))),"")</f>
        <v/>
      </c>
      <c r="O222" s="499" t="str">
        <f t="shared" si="26"/>
        <v/>
      </c>
      <c r="P222" s="559" t="str">
        <f>IF(B222="","",VLOOKUP(B222,'B-1 Site Hedge Baseline'!$B$10:T467,16,FALSE))</f>
        <v/>
      </c>
      <c r="Q222" s="498" t="str">
        <f>IF(M222="","",VLOOKUP(M222,'G-6 Hedgerow Data'!$B$2:$AG$15,2,FALSE))</f>
        <v/>
      </c>
      <c r="R222" s="499" t="str">
        <f>IF(M222="","",VLOOKUP(M222,'G-6 Hedgerow Data'!$B$2:$AG$15,3,FALSE))</f>
        <v/>
      </c>
      <c r="S222" s="157"/>
      <c r="T222" s="540" t="str">
        <f>IFERROR(VLOOKUP(S222,'G-1 All Habitats'!$Z$2:$AA$9,2,FALSE),"")</f>
        <v/>
      </c>
      <c r="U222" s="154"/>
      <c r="V222" s="520" t="str">
        <f>IF(U222="","",IF(VLOOKUP(U222,'G-3 Multipliers'!$L$3:$N$6,2,FALSE)=0,"Spatial Data Missing ⚠",VLOOKUP(U222,'G-3 Multipliers'!$L$3:$N$6,2,FALSE)))</f>
        <v/>
      </c>
      <c r="W222" s="524" t="str">
        <f>IF(U222="","",IF(VLOOKUP(U222,'G-3 Multipliers'!$L$3:$N$6,3,FALSE)=0,"Spatial Data Missing ⚠",VLOOKUP(U222,'G-3 Multipliers'!$L$3:$N$6,3,FALSE)))</f>
        <v/>
      </c>
      <c r="X222" s="498" t="str">
        <f>IFERROR(IF(OR(LEFT(O222,5)="Error ▲",LEFT(N222,5)="Error ▲",T222="Error ▲"),"Check Data ⚠",IF(F222&lt;R222,INDEX('G-6 Hedgerow Data'!$S$3:$AE$14,MATCH(C222,'G-6 Hedgerow Data'!$B$3:$B$14,0),MATCH(M222,'G-6 Hedgerow Data'!$S$2:$AE$2,0)),INDEX('G-6 Hedgerow Data'!$K$3:$Q$14,MATCH(M222,'G-6 Hedgerow Data'!$B$3:$B$14,0),MATCH(O222,'G-6 Hedgerow Data'!$K$2:$Q$2,0)))),"")</f>
        <v/>
      </c>
      <c r="Y222" s="195"/>
      <c r="Z222" s="195"/>
      <c r="AA222" s="507" t="str">
        <f t="shared" si="27"/>
        <v/>
      </c>
      <c r="AB222" s="521" t="str">
        <f t="shared" si="28"/>
        <v/>
      </c>
      <c r="AC222" s="522" t="str">
        <f t="shared" si="24"/>
        <v/>
      </c>
      <c r="AD222" s="537" t="str">
        <f>IF(M222="","",VLOOKUP(M222,'G-6 Hedgerow Data'!$B$3:$AG$15,31,FALSE))</f>
        <v/>
      </c>
      <c r="AE222" s="507" t="str">
        <f t="shared" si="29"/>
        <v/>
      </c>
      <c r="AF222" s="507" t="str">
        <f t="shared" si="30"/>
        <v/>
      </c>
      <c r="AG222" s="524" t="str">
        <f>IFERROR(IF(O222="","",VLOOKUP(AD222,'G-3 Multipliers'!$P$3:$Q$6,2,FALSE)),"")</f>
        <v/>
      </c>
      <c r="AH222" s="513" t="str">
        <f t="shared" si="25"/>
        <v/>
      </c>
      <c r="AI222" s="231"/>
      <c r="AJ222" s="150"/>
      <c r="AT222" s="31" t="str">
        <f>IFERROR(INDEX('G-6 Hedgerow Data'!$BJ$3:$BJ$15,MATCH(M222,'G-6 Hedgerow Data'!$B$3:$B$15,0)),"")</f>
        <v/>
      </c>
    </row>
    <row r="223" spans="2:46" ht="14" x14ac:dyDescent="0.3">
      <c r="B223" s="531" t="str">
        <f>'B-1 Site Hedge Baseline'!AK221</f>
        <v/>
      </c>
      <c r="C223" s="520" t="str">
        <f>IF(B223="","",IF(ISNA(VLOOKUP($B223,'B-1 Site Hedge Baseline'!$B$1:$L$257,3,FALSE)),"",(VLOOKUP($B223,'B-1 Site Hedge Baseline'!$B$1:$L$257,3,FALSE))))</f>
        <v/>
      </c>
      <c r="D223" s="520" t="str">
        <f>IF(B223="","",IF(ISNA(VLOOKUP($B223,'B-1 Site Hedge Baseline'!$B$1:$L$257,4,FALSE)),"",(VLOOKUP($B223,'B-1 Site Hedge Baseline'!$B$1:$L$257,4,FALSE))))</f>
        <v/>
      </c>
      <c r="E223" s="520" t="str">
        <f>IF(B223="","",IF(ISNA(VLOOKUP($B223,'B-1 Site Hedge Baseline'!$B$1:$L$257,5,FALSE)),"",(VLOOKUP($B223,'B-1 Site Hedge Baseline'!$B$1:$L$257,5,FALSE))))</f>
        <v/>
      </c>
      <c r="F223" s="520" t="str">
        <f>IF(B223="","",IF(ISNA(VLOOKUP($B223,'B-1 Site Hedge Baseline'!$B$1:$L$257,6,FALSE)),"",(VLOOKUP($B223,'B-1 Site Hedge Baseline'!$B$1:$L$257,6,FALSE))))</f>
        <v/>
      </c>
      <c r="G223" s="520" t="str">
        <f>IF(B223="","",IF(ISNA(VLOOKUP($B223,'B-1 Site Hedge Baseline'!$B$1:$L$257,7,FALSE)),"",(VLOOKUP($B223,'B-1 Site Hedge Baseline'!$B$1:$L$257,7,FALSE))))</f>
        <v/>
      </c>
      <c r="H223" s="520" t="str">
        <f>IF(B223="","",IF(ISNA(VLOOKUP($B223,'B-1 Site Hedge Baseline'!$B$1:$L$257,8,FALSE)),"",(VLOOKUP($B223,'B-1 Site Hedge Baseline'!$B$1:$L$257,8,FALSE))))</f>
        <v/>
      </c>
      <c r="I223" s="520" t="str">
        <f>IF(B223="","",IF(ISNA(VLOOKUP($B223,'B-1 Site Hedge Baseline'!$B$1:$L$257,10,FALSE)),"",(VLOOKUP($B223,'B-1 Site Hedge Baseline'!$B$1:$L$257,10,FALSE))))</f>
        <v/>
      </c>
      <c r="J223" s="520" t="str">
        <f>IF(B223="","",IF(ISNA(VLOOKUP($B223,'B-1 Site Hedge Baseline'!$B$1:$L$257,11,FALSE)),"",(VLOOKUP($B223,'B-1 Site Hedge Baseline'!$B$1:$L$257,11,FALSE))))</f>
        <v/>
      </c>
      <c r="K223" s="520" t="str">
        <f>IF(B223="","",IF(ISNA(VLOOKUP($B223,'B-1 Site Hedge Baseline'!$B$1:$U$257,13,FALSE)),"",(VLOOKUP($B223,'B-1 Site Hedge Baseline'!$B$1:$U$257,13,FALSE))))</f>
        <v/>
      </c>
      <c r="L223" s="524" t="str">
        <f>IF(B223="","",IF(ISNA(VLOOKUP($B223,'B-1 Site Hedge Baseline'!$B$1:$U$257,12,FALSE)),"",(VLOOKUP($B223,'B-1 Site Hedge Baseline'!$B$1:$U$257,12,FALSE))))</f>
        <v/>
      </c>
      <c r="M223" s="416" t="str">
        <f t="shared" si="31"/>
        <v/>
      </c>
      <c r="N223" s="498" t="str">
        <f>IFERROR(IF(B223="","",INDEX('G-6 Hedgerow Data'!$AN$3:$AZ$15,MATCH(C223,'G-6 Hedgerow Data'!$AM$3:$AM$15,0),MATCH(M223,'G-6 Hedgerow Data'!$AN$2:$AZ$2,0))),"")</f>
        <v/>
      </c>
      <c r="O223" s="499" t="str">
        <f t="shared" si="26"/>
        <v/>
      </c>
      <c r="P223" s="559" t="str">
        <f>IF(B223="","",VLOOKUP(B223,'B-1 Site Hedge Baseline'!$B$10:T468,16,FALSE))</f>
        <v/>
      </c>
      <c r="Q223" s="498" t="str">
        <f>IF(M223="","",VLOOKUP(M223,'G-6 Hedgerow Data'!$B$2:$AG$15,2,FALSE))</f>
        <v/>
      </c>
      <c r="R223" s="499" t="str">
        <f>IF(M223="","",VLOOKUP(M223,'G-6 Hedgerow Data'!$B$2:$AG$15,3,FALSE))</f>
        <v/>
      </c>
      <c r="S223" s="157"/>
      <c r="T223" s="540" t="str">
        <f>IFERROR(VLOOKUP(S223,'G-1 All Habitats'!$Z$2:$AA$9,2,FALSE),"")</f>
        <v/>
      </c>
      <c r="U223" s="154"/>
      <c r="V223" s="520" t="str">
        <f>IF(U223="","",IF(VLOOKUP(U223,'G-3 Multipliers'!$L$3:$N$6,2,FALSE)=0,"Spatial Data Missing ⚠",VLOOKUP(U223,'G-3 Multipliers'!$L$3:$N$6,2,FALSE)))</f>
        <v/>
      </c>
      <c r="W223" s="524" t="str">
        <f>IF(U223="","",IF(VLOOKUP(U223,'G-3 Multipliers'!$L$3:$N$6,3,FALSE)=0,"Spatial Data Missing ⚠",VLOOKUP(U223,'G-3 Multipliers'!$L$3:$N$6,3,FALSE)))</f>
        <v/>
      </c>
      <c r="X223" s="498" t="str">
        <f>IFERROR(IF(OR(LEFT(O223,5)="Error ▲",LEFT(N223,5)="Error ▲",T223="Error ▲"),"Check Data ⚠",IF(F223&lt;R223,INDEX('G-6 Hedgerow Data'!$S$3:$AE$14,MATCH(C223,'G-6 Hedgerow Data'!$B$3:$B$14,0),MATCH(M223,'G-6 Hedgerow Data'!$S$2:$AE$2,0)),INDEX('G-6 Hedgerow Data'!$K$3:$Q$14,MATCH(M223,'G-6 Hedgerow Data'!$B$3:$B$14,0),MATCH(O223,'G-6 Hedgerow Data'!$K$2:$Q$2,0)))),"")</f>
        <v/>
      </c>
      <c r="Y223" s="195"/>
      <c r="Z223" s="195"/>
      <c r="AA223" s="507" t="str">
        <f t="shared" si="27"/>
        <v/>
      </c>
      <c r="AB223" s="521" t="str">
        <f t="shared" si="28"/>
        <v/>
      </c>
      <c r="AC223" s="522" t="str">
        <f t="shared" si="24"/>
        <v/>
      </c>
      <c r="AD223" s="537" t="str">
        <f>IF(M223="","",VLOOKUP(M223,'G-6 Hedgerow Data'!$B$3:$AG$15,31,FALSE))</f>
        <v/>
      </c>
      <c r="AE223" s="507" t="str">
        <f t="shared" si="29"/>
        <v/>
      </c>
      <c r="AF223" s="507" t="str">
        <f t="shared" si="30"/>
        <v/>
      </c>
      <c r="AG223" s="524" t="str">
        <f>IFERROR(IF(O223="","",VLOOKUP(AD223,'G-3 Multipliers'!$P$3:$Q$6,2,FALSE)),"")</f>
        <v/>
      </c>
      <c r="AH223" s="513" t="str">
        <f t="shared" si="25"/>
        <v/>
      </c>
      <c r="AI223" s="231"/>
      <c r="AJ223" s="150"/>
      <c r="AT223" s="31" t="str">
        <f>IFERROR(INDEX('G-6 Hedgerow Data'!$BJ$3:$BJ$15,MATCH(M223,'G-6 Hedgerow Data'!$B$3:$B$15,0)),"")</f>
        <v/>
      </c>
    </row>
    <row r="224" spans="2:46" ht="14" x14ac:dyDescent="0.3">
      <c r="B224" s="531" t="str">
        <f>'B-1 Site Hedge Baseline'!AK222</f>
        <v/>
      </c>
      <c r="C224" s="520" t="str">
        <f>IF(B224="","",IF(ISNA(VLOOKUP($B224,'B-1 Site Hedge Baseline'!$B$1:$L$257,3,FALSE)),"",(VLOOKUP($B224,'B-1 Site Hedge Baseline'!$B$1:$L$257,3,FALSE))))</f>
        <v/>
      </c>
      <c r="D224" s="520" t="str">
        <f>IF(B224="","",IF(ISNA(VLOOKUP($B224,'B-1 Site Hedge Baseline'!$B$1:$L$257,4,FALSE)),"",(VLOOKUP($B224,'B-1 Site Hedge Baseline'!$B$1:$L$257,4,FALSE))))</f>
        <v/>
      </c>
      <c r="E224" s="520" t="str">
        <f>IF(B224="","",IF(ISNA(VLOOKUP($B224,'B-1 Site Hedge Baseline'!$B$1:$L$257,5,FALSE)),"",(VLOOKUP($B224,'B-1 Site Hedge Baseline'!$B$1:$L$257,5,FALSE))))</f>
        <v/>
      </c>
      <c r="F224" s="520" t="str">
        <f>IF(B224="","",IF(ISNA(VLOOKUP($B224,'B-1 Site Hedge Baseline'!$B$1:$L$257,6,FALSE)),"",(VLOOKUP($B224,'B-1 Site Hedge Baseline'!$B$1:$L$257,6,FALSE))))</f>
        <v/>
      </c>
      <c r="G224" s="520" t="str">
        <f>IF(B224="","",IF(ISNA(VLOOKUP($B224,'B-1 Site Hedge Baseline'!$B$1:$L$257,7,FALSE)),"",(VLOOKUP($B224,'B-1 Site Hedge Baseline'!$B$1:$L$257,7,FALSE))))</f>
        <v/>
      </c>
      <c r="H224" s="520" t="str">
        <f>IF(B224="","",IF(ISNA(VLOOKUP($B224,'B-1 Site Hedge Baseline'!$B$1:$L$257,8,FALSE)),"",(VLOOKUP($B224,'B-1 Site Hedge Baseline'!$B$1:$L$257,8,FALSE))))</f>
        <v/>
      </c>
      <c r="I224" s="520" t="str">
        <f>IF(B224="","",IF(ISNA(VLOOKUP($B224,'B-1 Site Hedge Baseline'!$B$1:$L$257,10,FALSE)),"",(VLOOKUP($B224,'B-1 Site Hedge Baseline'!$B$1:$L$257,10,FALSE))))</f>
        <v/>
      </c>
      <c r="J224" s="520" t="str">
        <f>IF(B224="","",IF(ISNA(VLOOKUP($B224,'B-1 Site Hedge Baseline'!$B$1:$L$257,11,FALSE)),"",(VLOOKUP($B224,'B-1 Site Hedge Baseline'!$B$1:$L$257,11,FALSE))))</f>
        <v/>
      </c>
      <c r="K224" s="520" t="str">
        <f>IF(B224="","",IF(ISNA(VLOOKUP($B224,'B-1 Site Hedge Baseline'!$B$1:$U$257,13,FALSE)),"",(VLOOKUP($B224,'B-1 Site Hedge Baseline'!$B$1:$U$257,13,FALSE))))</f>
        <v/>
      </c>
      <c r="L224" s="524" t="str">
        <f>IF(B224="","",IF(ISNA(VLOOKUP($B224,'B-1 Site Hedge Baseline'!$B$1:$U$257,12,FALSE)),"",(VLOOKUP($B224,'B-1 Site Hedge Baseline'!$B$1:$U$257,12,FALSE))))</f>
        <v/>
      </c>
      <c r="M224" s="416" t="str">
        <f t="shared" si="31"/>
        <v/>
      </c>
      <c r="N224" s="498" t="str">
        <f>IFERROR(IF(B224="","",INDEX('G-6 Hedgerow Data'!$AN$3:$AZ$15,MATCH(C224,'G-6 Hedgerow Data'!$AM$3:$AM$15,0),MATCH(M224,'G-6 Hedgerow Data'!$AN$2:$AZ$2,0))),"")</f>
        <v/>
      </c>
      <c r="O224" s="499" t="str">
        <f t="shared" si="26"/>
        <v/>
      </c>
      <c r="P224" s="559" t="str">
        <f>IF(B224="","",VLOOKUP(B224,'B-1 Site Hedge Baseline'!$B$10:T469,16,FALSE))</f>
        <v/>
      </c>
      <c r="Q224" s="498" t="str">
        <f>IF(M224="","",VLOOKUP(M224,'G-6 Hedgerow Data'!$B$2:$AG$15,2,FALSE))</f>
        <v/>
      </c>
      <c r="R224" s="499" t="str">
        <f>IF(M224="","",VLOOKUP(M224,'G-6 Hedgerow Data'!$B$2:$AG$15,3,FALSE))</f>
        <v/>
      </c>
      <c r="S224" s="157"/>
      <c r="T224" s="540" t="str">
        <f>IFERROR(VLOOKUP(S224,'G-1 All Habitats'!$Z$2:$AA$9,2,FALSE),"")</f>
        <v/>
      </c>
      <c r="U224" s="154"/>
      <c r="V224" s="520" t="str">
        <f>IF(U224="","",IF(VLOOKUP(U224,'G-3 Multipliers'!$L$3:$N$6,2,FALSE)=0,"Spatial Data Missing ⚠",VLOOKUP(U224,'G-3 Multipliers'!$L$3:$N$6,2,FALSE)))</f>
        <v/>
      </c>
      <c r="W224" s="524" t="str">
        <f>IF(U224="","",IF(VLOOKUP(U224,'G-3 Multipliers'!$L$3:$N$6,3,FALSE)=0,"Spatial Data Missing ⚠",VLOOKUP(U224,'G-3 Multipliers'!$L$3:$N$6,3,FALSE)))</f>
        <v/>
      </c>
      <c r="X224" s="498" t="str">
        <f>IFERROR(IF(OR(LEFT(O224,5)="Error ▲",LEFT(N224,5)="Error ▲",T224="Error ▲"),"Check Data ⚠",IF(F224&lt;R224,INDEX('G-6 Hedgerow Data'!$S$3:$AE$14,MATCH(C224,'G-6 Hedgerow Data'!$B$3:$B$14,0),MATCH(M224,'G-6 Hedgerow Data'!$S$2:$AE$2,0)),INDEX('G-6 Hedgerow Data'!$K$3:$Q$14,MATCH(M224,'G-6 Hedgerow Data'!$B$3:$B$14,0),MATCH(O224,'G-6 Hedgerow Data'!$K$2:$Q$2,0)))),"")</f>
        <v/>
      </c>
      <c r="Y224" s="195"/>
      <c r="Z224" s="195"/>
      <c r="AA224" s="507" t="str">
        <f t="shared" si="27"/>
        <v/>
      </c>
      <c r="AB224" s="521" t="str">
        <f t="shared" si="28"/>
        <v/>
      </c>
      <c r="AC224" s="522" t="str">
        <f t="shared" si="24"/>
        <v/>
      </c>
      <c r="AD224" s="537" t="str">
        <f>IF(M224="","",VLOOKUP(M224,'G-6 Hedgerow Data'!$B$3:$AG$15,31,FALSE))</f>
        <v/>
      </c>
      <c r="AE224" s="507" t="str">
        <f t="shared" si="29"/>
        <v/>
      </c>
      <c r="AF224" s="507" t="str">
        <f t="shared" si="30"/>
        <v/>
      </c>
      <c r="AG224" s="524" t="str">
        <f>IFERROR(IF(O224="","",VLOOKUP(AD224,'G-3 Multipliers'!$P$3:$Q$6,2,FALSE)),"")</f>
        <v/>
      </c>
      <c r="AH224" s="513" t="str">
        <f t="shared" si="25"/>
        <v/>
      </c>
      <c r="AI224" s="231"/>
      <c r="AJ224" s="150"/>
      <c r="AT224" s="31" t="str">
        <f>IFERROR(INDEX('G-6 Hedgerow Data'!$BJ$3:$BJ$15,MATCH(M224,'G-6 Hedgerow Data'!$B$3:$B$15,0)),"")</f>
        <v/>
      </c>
    </row>
    <row r="225" spans="2:46" ht="14" x14ac:dyDescent="0.3">
      <c r="B225" s="531" t="str">
        <f>'B-1 Site Hedge Baseline'!AK223</f>
        <v/>
      </c>
      <c r="C225" s="520" t="str">
        <f>IF(B225="","",IF(ISNA(VLOOKUP($B225,'B-1 Site Hedge Baseline'!$B$1:$L$257,3,FALSE)),"",(VLOOKUP($B225,'B-1 Site Hedge Baseline'!$B$1:$L$257,3,FALSE))))</f>
        <v/>
      </c>
      <c r="D225" s="520" t="str">
        <f>IF(B225="","",IF(ISNA(VLOOKUP($B225,'B-1 Site Hedge Baseline'!$B$1:$L$257,4,FALSE)),"",(VLOOKUP($B225,'B-1 Site Hedge Baseline'!$B$1:$L$257,4,FALSE))))</f>
        <v/>
      </c>
      <c r="E225" s="520" t="str">
        <f>IF(B225="","",IF(ISNA(VLOOKUP($B225,'B-1 Site Hedge Baseline'!$B$1:$L$257,5,FALSE)),"",(VLOOKUP($B225,'B-1 Site Hedge Baseline'!$B$1:$L$257,5,FALSE))))</f>
        <v/>
      </c>
      <c r="F225" s="520" t="str">
        <f>IF(B225="","",IF(ISNA(VLOOKUP($B225,'B-1 Site Hedge Baseline'!$B$1:$L$257,6,FALSE)),"",(VLOOKUP($B225,'B-1 Site Hedge Baseline'!$B$1:$L$257,6,FALSE))))</f>
        <v/>
      </c>
      <c r="G225" s="520" t="str">
        <f>IF(B225="","",IF(ISNA(VLOOKUP($B225,'B-1 Site Hedge Baseline'!$B$1:$L$257,7,FALSE)),"",(VLOOKUP($B225,'B-1 Site Hedge Baseline'!$B$1:$L$257,7,FALSE))))</f>
        <v/>
      </c>
      <c r="H225" s="520" t="str">
        <f>IF(B225="","",IF(ISNA(VLOOKUP($B225,'B-1 Site Hedge Baseline'!$B$1:$L$257,8,FALSE)),"",(VLOOKUP($B225,'B-1 Site Hedge Baseline'!$B$1:$L$257,8,FALSE))))</f>
        <v/>
      </c>
      <c r="I225" s="520" t="str">
        <f>IF(B225="","",IF(ISNA(VLOOKUP($B225,'B-1 Site Hedge Baseline'!$B$1:$L$257,10,FALSE)),"",(VLOOKUP($B225,'B-1 Site Hedge Baseline'!$B$1:$L$257,10,FALSE))))</f>
        <v/>
      </c>
      <c r="J225" s="520" t="str">
        <f>IF(B225="","",IF(ISNA(VLOOKUP($B225,'B-1 Site Hedge Baseline'!$B$1:$L$257,11,FALSE)),"",(VLOOKUP($B225,'B-1 Site Hedge Baseline'!$B$1:$L$257,11,FALSE))))</f>
        <v/>
      </c>
      <c r="K225" s="520" t="str">
        <f>IF(B225="","",IF(ISNA(VLOOKUP($B225,'B-1 Site Hedge Baseline'!$B$1:$U$257,13,FALSE)),"",(VLOOKUP($B225,'B-1 Site Hedge Baseline'!$B$1:$U$257,13,FALSE))))</f>
        <v/>
      </c>
      <c r="L225" s="524" t="str">
        <f>IF(B225="","",IF(ISNA(VLOOKUP($B225,'B-1 Site Hedge Baseline'!$B$1:$U$257,12,FALSE)),"",(VLOOKUP($B225,'B-1 Site Hedge Baseline'!$B$1:$U$257,12,FALSE))))</f>
        <v/>
      </c>
      <c r="M225" s="416" t="str">
        <f t="shared" si="31"/>
        <v/>
      </c>
      <c r="N225" s="498" t="str">
        <f>IFERROR(IF(B225="","",INDEX('G-6 Hedgerow Data'!$AN$3:$AZ$15,MATCH(C225,'G-6 Hedgerow Data'!$AM$3:$AM$15,0),MATCH(M225,'G-6 Hedgerow Data'!$AN$2:$AZ$2,0))),"")</f>
        <v/>
      </c>
      <c r="O225" s="499" t="str">
        <f t="shared" si="26"/>
        <v/>
      </c>
      <c r="P225" s="559" t="str">
        <f>IF(B225="","",VLOOKUP(B225,'B-1 Site Hedge Baseline'!$B$10:T470,16,FALSE))</f>
        <v/>
      </c>
      <c r="Q225" s="498" t="str">
        <f>IF(M225="","",VLOOKUP(M225,'G-6 Hedgerow Data'!$B$2:$AG$15,2,FALSE))</f>
        <v/>
      </c>
      <c r="R225" s="499" t="str">
        <f>IF(M225="","",VLOOKUP(M225,'G-6 Hedgerow Data'!$B$2:$AG$15,3,FALSE))</f>
        <v/>
      </c>
      <c r="S225" s="157"/>
      <c r="T225" s="540" t="str">
        <f>IFERROR(VLOOKUP(S225,'G-1 All Habitats'!$Z$2:$AA$9,2,FALSE),"")</f>
        <v/>
      </c>
      <c r="U225" s="154"/>
      <c r="V225" s="520" t="str">
        <f>IF(U225="","",IF(VLOOKUP(U225,'G-3 Multipliers'!$L$3:$N$6,2,FALSE)=0,"Spatial Data Missing ⚠",VLOOKUP(U225,'G-3 Multipliers'!$L$3:$N$6,2,FALSE)))</f>
        <v/>
      </c>
      <c r="W225" s="524" t="str">
        <f>IF(U225="","",IF(VLOOKUP(U225,'G-3 Multipliers'!$L$3:$N$6,3,FALSE)=0,"Spatial Data Missing ⚠",VLOOKUP(U225,'G-3 Multipliers'!$L$3:$N$6,3,FALSE)))</f>
        <v/>
      </c>
      <c r="X225" s="498" t="str">
        <f>IFERROR(IF(OR(LEFT(O225,5)="Error ▲",LEFT(N225,5)="Error ▲",T225="Error ▲"),"Check Data ⚠",IF(F225&lt;R225,INDEX('G-6 Hedgerow Data'!$S$3:$AE$14,MATCH(C225,'G-6 Hedgerow Data'!$B$3:$B$14,0),MATCH(M225,'G-6 Hedgerow Data'!$S$2:$AE$2,0)),INDEX('G-6 Hedgerow Data'!$K$3:$Q$14,MATCH(M225,'G-6 Hedgerow Data'!$B$3:$B$14,0),MATCH(O225,'G-6 Hedgerow Data'!$K$2:$Q$2,0)))),"")</f>
        <v/>
      </c>
      <c r="Y225" s="195"/>
      <c r="Z225" s="195"/>
      <c r="AA225" s="507" t="str">
        <f t="shared" si="27"/>
        <v/>
      </c>
      <c r="AB225" s="521" t="str">
        <f t="shared" si="28"/>
        <v/>
      </c>
      <c r="AC225" s="522" t="str">
        <f t="shared" si="24"/>
        <v/>
      </c>
      <c r="AD225" s="537" t="str">
        <f>IF(M225="","",VLOOKUP(M225,'G-6 Hedgerow Data'!$B$3:$AG$15,31,FALSE))</f>
        <v/>
      </c>
      <c r="AE225" s="507" t="str">
        <f t="shared" si="29"/>
        <v/>
      </c>
      <c r="AF225" s="507" t="str">
        <f t="shared" si="30"/>
        <v/>
      </c>
      <c r="AG225" s="524" t="str">
        <f>IFERROR(IF(O225="","",VLOOKUP(AD225,'G-3 Multipliers'!$P$3:$Q$6,2,FALSE)),"")</f>
        <v/>
      </c>
      <c r="AH225" s="513" t="str">
        <f t="shared" si="25"/>
        <v/>
      </c>
      <c r="AI225" s="231"/>
      <c r="AJ225" s="150"/>
      <c r="AT225" s="31" t="str">
        <f>IFERROR(INDEX('G-6 Hedgerow Data'!$BJ$3:$BJ$15,MATCH(M225,'G-6 Hedgerow Data'!$B$3:$B$15,0)),"")</f>
        <v/>
      </c>
    </row>
    <row r="226" spans="2:46" ht="14" x14ac:dyDescent="0.3">
      <c r="B226" s="531" t="str">
        <f>'B-1 Site Hedge Baseline'!AK224</f>
        <v/>
      </c>
      <c r="C226" s="520" t="str">
        <f>IF(B226="","",IF(ISNA(VLOOKUP($B226,'B-1 Site Hedge Baseline'!$B$1:$L$257,3,FALSE)),"",(VLOOKUP($B226,'B-1 Site Hedge Baseline'!$B$1:$L$257,3,FALSE))))</f>
        <v/>
      </c>
      <c r="D226" s="520" t="str">
        <f>IF(B226="","",IF(ISNA(VLOOKUP($B226,'B-1 Site Hedge Baseline'!$B$1:$L$257,4,FALSE)),"",(VLOOKUP($B226,'B-1 Site Hedge Baseline'!$B$1:$L$257,4,FALSE))))</f>
        <v/>
      </c>
      <c r="E226" s="520" t="str">
        <f>IF(B226="","",IF(ISNA(VLOOKUP($B226,'B-1 Site Hedge Baseline'!$B$1:$L$257,5,FALSE)),"",(VLOOKUP($B226,'B-1 Site Hedge Baseline'!$B$1:$L$257,5,FALSE))))</f>
        <v/>
      </c>
      <c r="F226" s="520" t="str">
        <f>IF(B226="","",IF(ISNA(VLOOKUP($B226,'B-1 Site Hedge Baseline'!$B$1:$L$257,6,FALSE)),"",(VLOOKUP($B226,'B-1 Site Hedge Baseline'!$B$1:$L$257,6,FALSE))))</f>
        <v/>
      </c>
      <c r="G226" s="520" t="str">
        <f>IF(B226="","",IF(ISNA(VLOOKUP($B226,'B-1 Site Hedge Baseline'!$B$1:$L$257,7,FALSE)),"",(VLOOKUP($B226,'B-1 Site Hedge Baseline'!$B$1:$L$257,7,FALSE))))</f>
        <v/>
      </c>
      <c r="H226" s="520" t="str">
        <f>IF(B226="","",IF(ISNA(VLOOKUP($B226,'B-1 Site Hedge Baseline'!$B$1:$L$257,8,FALSE)),"",(VLOOKUP($B226,'B-1 Site Hedge Baseline'!$B$1:$L$257,8,FALSE))))</f>
        <v/>
      </c>
      <c r="I226" s="520" t="str">
        <f>IF(B226="","",IF(ISNA(VLOOKUP($B226,'B-1 Site Hedge Baseline'!$B$1:$L$257,10,FALSE)),"",(VLOOKUP($B226,'B-1 Site Hedge Baseline'!$B$1:$L$257,10,FALSE))))</f>
        <v/>
      </c>
      <c r="J226" s="520" t="str">
        <f>IF(B226="","",IF(ISNA(VLOOKUP($B226,'B-1 Site Hedge Baseline'!$B$1:$L$257,11,FALSE)),"",(VLOOKUP($B226,'B-1 Site Hedge Baseline'!$B$1:$L$257,11,FALSE))))</f>
        <v/>
      </c>
      <c r="K226" s="520" t="str">
        <f>IF(B226="","",IF(ISNA(VLOOKUP($B226,'B-1 Site Hedge Baseline'!$B$1:$U$257,13,FALSE)),"",(VLOOKUP($B226,'B-1 Site Hedge Baseline'!$B$1:$U$257,13,FALSE))))</f>
        <v/>
      </c>
      <c r="L226" s="524" t="str">
        <f>IF(B226="","",IF(ISNA(VLOOKUP($B226,'B-1 Site Hedge Baseline'!$B$1:$U$257,12,FALSE)),"",(VLOOKUP($B226,'B-1 Site Hedge Baseline'!$B$1:$U$257,12,FALSE))))</f>
        <v/>
      </c>
      <c r="M226" s="416" t="str">
        <f t="shared" si="31"/>
        <v/>
      </c>
      <c r="N226" s="498" t="str">
        <f>IFERROR(IF(B226="","",INDEX('G-6 Hedgerow Data'!$AN$3:$AZ$15,MATCH(C226,'G-6 Hedgerow Data'!$AM$3:$AM$15,0),MATCH(M226,'G-6 Hedgerow Data'!$AN$2:$AZ$2,0))),"")</f>
        <v/>
      </c>
      <c r="O226" s="499" t="str">
        <f t="shared" si="26"/>
        <v/>
      </c>
      <c r="P226" s="559" t="str">
        <f>IF(B226="","",VLOOKUP(B226,'B-1 Site Hedge Baseline'!$B$10:T471,16,FALSE))</f>
        <v/>
      </c>
      <c r="Q226" s="498" t="str">
        <f>IF(M226="","",VLOOKUP(M226,'G-6 Hedgerow Data'!$B$2:$AG$15,2,FALSE))</f>
        <v/>
      </c>
      <c r="R226" s="499" t="str">
        <f>IF(M226="","",VLOOKUP(M226,'G-6 Hedgerow Data'!$B$2:$AG$15,3,FALSE))</f>
        <v/>
      </c>
      <c r="S226" s="157"/>
      <c r="T226" s="540" t="str">
        <f>IFERROR(VLOOKUP(S226,'G-1 All Habitats'!$Z$2:$AA$9,2,FALSE),"")</f>
        <v/>
      </c>
      <c r="U226" s="154"/>
      <c r="V226" s="520" t="str">
        <f>IF(U226="","",IF(VLOOKUP(U226,'G-3 Multipliers'!$L$3:$N$6,2,FALSE)=0,"Spatial Data Missing ⚠",VLOOKUP(U226,'G-3 Multipliers'!$L$3:$N$6,2,FALSE)))</f>
        <v/>
      </c>
      <c r="W226" s="524" t="str">
        <f>IF(U226="","",IF(VLOOKUP(U226,'G-3 Multipliers'!$L$3:$N$6,3,FALSE)=0,"Spatial Data Missing ⚠",VLOOKUP(U226,'G-3 Multipliers'!$L$3:$N$6,3,FALSE)))</f>
        <v/>
      </c>
      <c r="X226" s="498" t="str">
        <f>IFERROR(IF(OR(LEFT(O226,5)="Error ▲",LEFT(N226,5)="Error ▲",T226="Error ▲"),"Check Data ⚠",IF(F226&lt;R226,INDEX('G-6 Hedgerow Data'!$S$3:$AE$14,MATCH(C226,'G-6 Hedgerow Data'!$B$3:$B$14,0),MATCH(M226,'G-6 Hedgerow Data'!$S$2:$AE$2,0)),INDEX('G-6 Hedgerow Data'!$K$3:$Q$14,MATCH(M226,'G-6 Hedgerow Data'!$B$3:$B$14,0),MATCH(O226,'G-6 Hedgerow Data'!$K$2:$Q$2,0)))),"")</f>
        <v/>
      </c>
      <c r="Y226" s="195"/>
      <c r="Z226" s="195"/>
      <c r="AA226" s="507" t="str">
        <f t="shared" si="27"/>
        <v/>
      </c>
      <c r="AB226" s="521" t="str">
        <f t="shared" si="28"/>
        <v/>
      </c>
      <c r="AC226" s="522" t="str">
        <f t="shared" si="24"/>
        <v/>
      </c>
      <c r="AD226" s="537" t="str">
        <f>IF(M226="","",VLOOKUP(M226,'G-6 Hedgerow Data'!$B$3:$AG$15,31,FALSE))</f>
        <v/>
      </c>
      <c r="AE226" s="507" t="str">
        <f t="shared" si="29"/>
        <v/>
      </c>
      <c r="AF226" s="507" t="str">
        <f t="shared" si="30"/>
        <v/>
      </c>
      <c r="AG226" s="524" t="str">
        <f>IFERROR(IF(O226="","",VLOOKUP(AD226,'G-3 Multipliers'!$P$3:$Q$6,2,FALSE)),"")</f>
        <v/>
      </c>
      <c r="AH226" s="513" t="str">
        <f t="shared" si="25"/>
        <v/>
      </c>
      <c r="AI226" s="231"/>
      <c r="AJ226" s="150"/>
      <c r="AT226" s="31" t="str">
        <f>IFERROR(INDEX('G-6 Hedgerow Data'!$BJ$3:$BJ$15,MATCH(M226,'G-6 Hedgerow Data'!$B$3:$B$15,0)),"")</f>
        <v/>
      </c>
    </row>
    <row r="227" spans="2:46" ht="14" x14ac:dyDescent="0.3">
      <c r="B227" s="531" t="str">
        <f>'B-1 Site Hedge Baseline'!AK225</f>
        <v/>
      </c>
      <c r="C227" s="520" t="str">
        <f>IF(B227="","",IF(ISNA(VLOOKUP($B227,'B-1 Site Hedge Baseline'!$B$1:$L$257,3,FALSE)),"",(VLOOKUP($B227,'B-1 Site Hedge Baseline'!$B$1:$L$257,3,FALSE))))</f>
        <v/>
      </c>
      <c r="D227" s="520" t="str">
        <f>IF(B227="","",IF(ISNA(VLOOKUP($B227,'B-1 Site Hedge Baseline'!$B$1:$L$257,4,FALSE)),"",(VLOOKUP($B227,'B-1 Site Hedge Baseline'!$B$1:$L$257,4,FALSE))))</f>
        <v/>
      </c>
      <c r="E227" s="520" t="str">
        <f>IF(B227="","",IF(ISNA(VLOOKUP($B227,'B-1 Site Hedge Baseline'!$B$1:$L$257,5,FALSE)),"",(VLOOKUP($B227,'B-1 Site Hedge Baseline'!$B$1:$L$257,5,FALSE))))</f>
        <v/>
      </c>
      <c r="F227" s="520" t="str">
        <f>IF(B227="","",IF(ISNA(VLOOKUP($B227,'B-1 Site Hedge Baseline'!$B$1:$L$257,6,FALSE)),"",(VLOOKUP($B227,'B-1 Site Hedge Baseline'!$B$1:$L$257,6,FALSE))))</f>
        <v/>
      </c>
      <c r="G227" s="520" t="str">
        <f>IF(B227="","",IF(ISNA(VLOOKUP($B227,'B-1 Site Hedge Baseline'!$B$1:$L$257,7,FALSE)),"",(VLOOKUP($B227,'B-1 Site Hedge Baseline'!$B$1:$L$257,7,FALSE))))</f>
        <v/>
      </c>
      <c r="H227" s="520" t="str">
        <f>IF(B227="","",IF(ISNA(VLOOKUP($B227,'B-1 Site Hedge Baseline'!$B$1:$L$257,8,FALSE)),"",(VLOOKUP($B227,'B-1 Site Hedge Baseline'!$B$1:$L$257,8,FALSE))))</f>
        <v/>
      </c>
      <c r="I227" s="520" t="str">
        <f>IF(B227="","",IF(ISNA(VLOOKUP($B227,'B-1 Site Hedge Baseline'!$B$1:$L$257,10,FALSE)),"",(VLOOKUP($B227,'B-1 Site Hedge Baseline'!$B$1:$L$257,10,FALSE))))</f>
        <v/>
      </c>
      <c r="J227" s="520" t="str">
        <f>IF(B227="","",IF(ISNA(VLOOKUP($B227,'B-1 Site Hedge Baseline'!$B$1:$L$257,11,FALSE)),"",(VLOOKUP($B227,'B-1 Site Hedge Baseline'!$B$1:$L$257,11,FALSE))))</f>
        <v/>
      </c>
      <c r="K227" s="520" t="str">
        <f>IF(B227="","",IF(ISNA(VLOOKUP($B227,'B-1 Site Hedge Baseline'!$B$1:$U$257,13,FALSE)),"",(VLOOKUP($B227,'B-1 Site Hedge Baseline'!$B$1:$U$257,13,FALSE))))</f>
        <v/>
      </c>
      <c r="L227" s="524" t="str">
        <f>IF(B227="","",IF(ISNA(VLOOKUP($B227,'B-1 Site Hedge Baseline'!$B$1:$U$257,12,FALSE)),"",(VLOOKUP($B227,'B-1 Site Hedge Baseline'!$B$1:$U$257,12,FALSE))))</f>
        <v/>
      </c>
      <c r="M227" s="416" t="str">
        <f t="shared" si="31"/>
        <v/>
      </c>
      <c r="N227" s="498" t="str">
        <f>IFERROR(IF(B227="","",INDEX('G-6 Hedgerow Data'!$AN$3:$AZ$15,MATCH(C227,'G-6 Hedgerow Data'!$AM$3:$AM$15,0),MATCH(M227,'G-6 Hedgerow Data'!$AN$2:$AZ$2,0))),"")</f>
        <v/>
      </c>
      <c r="O227" s="499" t="str">
        <f t="shared" si="26"/>
        <v/>
      </c>
      <c r="P227" s="559" t="str">
        <f>IF(B227="","",VLOOKUP(B227,'B-1 Site Hedge Baseline'!$B$10:T472,16,FALSE))</f>
        <v/>
      </c>
      <c r="Q227" s="498" t="str">
        <f>IF(M227="","",VLOOKUP(M227,'G-6 Hedgerow Data'!$B$2:$AG$15,2,FALSE))</f>
        <v/>
      </c>
      <c r="R227" s="499" t="str">
        <f>IF(M227="","",VLOOKUP(M227,'G-6 Hedgerow Data'!$B$2:$AG$15,3,FALSE))</f>
        <v/>
      </c>
      <c r="S227" s="157"/>
      <c r="T227" s="540" t="str">
        <f>IFERROR(VLOOKUP(S227,'G-1 All Habitats'!$Z$2:$AA$9,2,FALSE),"")</f>
        <v/>
      </c>
      <c r="U227" s="154"/>
      <c r="V227" s="520" t="str">
        <f>IF(U227="","",IF(VLOOKUP(U227,'G-3 Multipliers'!$L$3:$N$6,2,FALSE)=0,"Spatial Data Missing ⚠",VLOOKUP(U227,'G-3 Multipliers'!$L$3:$N$6,2,FALSE)))</f>
        <v/>
      </c>
      <c r="W227" s="524" t="str">
        <f>IF(U227="","",IF(VLOOKUP(U227,'G-3 Multipliers'!$L$3:$N$6,3,FALSE)=0,"Spatial Data Missing ⚠",VLOOKUP(U227,'G-3 Multipliers'!$L$3:$N$6,3,FALSE)))</f>
        <v/>
      </c>
      <c r="X227" s="498" t="str">
        <f>IFERROR(IF(OR(LEFT(O227,5)="Error ▲",LEFT(N227,5)="Error ▲",T227="Error ▲"),"Check Data ⚠",IF(F227&lt;R227,INDEX('G-6 Hedgerow Data'!$S$3:$AE$14,MATCH(C227,'G-6 Hedgerow Data'!$B$3:$B$14,0),MATCH(M227,'G-6 Hedgerow Data'!$S$2:$AE$2,0)),INDEX('G-6 Hedgerow Data'!$K$3:$Q$14,MATCH(M227,'G-6 Hedgerow Data'!$B$3:$B$14,0),MATCH(O227,'G-6 Hedgerow Data'!$K$2:$Q$2,0)))),"")</f>
        <v/>
      </c>
      <c r="Y227" s="195"/>
      <c r="Z227" s="195"/>
      <c r="AA227" s="507" t="str">
        <f t="shared" si="27"/>
        <v/>
      </c>
      <c r="AB227" s="521" t="str">
        <f t="shared" si="28"/>
        <v/>
      </c>
      <c r="AC227" s="522" t="str">
        <f t="shared" si="24"/>
        <v/>
      </c>
      <c r="AD227" s="537" t="str">
        <f>IF(M227="","",VLOOKUP(M227,'G-6 Hedgerow Data'!$B$3:$AG$15,31,FALSE))</f>
        <v/>
      </c>
      <c r="AE227" s="507" t="str">
        <f t="shared" si="29"/>
        <v/>
      </c>
      <c r="AF227" s="507" t="str">
        <f t="shared" si="30"/>
        <v/>
      </c>
      <c r="AG227" s="524" t="str">
        <f>IFERROR(IF(O227="","",VLOOKUP(AD227,'G-3 Multipliers'!$P$3:$Q$6,2,FALSE)),"")</f>
        <v/>
      </c>
      <c r="AH227" s="513" t="str">
        <f t="shared" si="25"/>
        <v/>
      </c>
      <c r="AI227" s="231"/>
      <c r="AJ227" s="150"/>
      <c r="AT227" s="31" t="str">
        <f>IFERROR(INDEX('G-6 Hedgerow Data'!$BJ$3:$BJ$15,MATCH(M227,'G-6 Hedgerow Data'!$B$3:$B$15,0)),"")</f>
        <v/>
      </c>
    </row>
    <row r="228" spans="2:46" ht="14" x14ac:dyDescent="0.3">
      <c r="B228" s="531" t="str">
        <f>'B-1 Site Hedge Baseline'!AK226</f>
        <v/>
      </c>
      <c r="C228" s="520" t="str">
        <f>IF(B228="","",IF(ISNA(VLOOKUP($B228,'B-1 Site Hedge Baseline'!$B$1:$L$257,3,FALSE)),"",(VLOOKUP($B228,'B-1 Site Hedge Baseline'!$B$1:$L$257,3,FALSE))))</f>
        <v/>
      </c>
      <c r="D228" s="520" t="str">
        <f>IF(B228="","",IF(ISNA(VLOOKUP($B228,'B-1 Site Hedge Baseline'!$B$1:$L$257,4,FALSE)),"",(VLOOKUP($B228,'B-1 Site Hedge Baseline'!$B$1:$L$257,4,FALSE))))</f>
        <v/>
      </c>
      <c r="E228" s="520" t="str">
        <f>IF(B228="","",IF(ISNA(VLOOKUP($B228,'B-1 Site Hedge Baseline'!$B$1:$L$257,5,FALSE)),"",(VLOOKUP($B228,'B-1 Site Hedge Baseline'!$B$1:$L$257,5,FALSE))))</f>
        <v/>
      </c>
      <c r="F228" s="520" t="str">
        <f>IF(B228="","",IF(ISNA(VLOOKUP($B228,'B-1 Site Hedge Baseline'!$B$1:$L$257,6,FALSE)),"",(VLOOKUP($B228,'B-1 Site Hedge Baseline'!$B$1:$L$257,6,FALSE))))</f>
        <v/>
      </c>
      <c r="G228" s="520" t="str">
        <f>IF(B228="","",IF(ISNA(VLOOKUP($B228,'B-1 Site Hedge Baseline'!$B$1:$L$257,7,FALSE)),"",(VLOOKUP($B228,'B-1 Site Hedge Baseline'!$B$1:$L$257,7,FALSE))))</f>
        <v/>
      </c>
      <c r="H228" s="520" t="str">
        <f>IF(B228="","",IF(ISNA(VLOOKUP($B228,'B-1 Site Hedge Baseline'!$B$1:$L$257,8,FALSE)),"",(VLOOKUP($B228,'B-1 Site Hedge Baseline'!$B$1:$L$257,8,FALSE))))</f>
        <v/>
      </c>
      <c r="I228" s="520" t="str">
        <f>IF(B228="","",IF(ISNA(VLOOKUP($B228,'B-1 Site Hedge Baseline'!$B$1:$L$257,10,FALSE)),"",(VLOOKUP($B228,'B-1 Site Hedge Baseline'!$B$1:$L$257,10,FALSE))))</f>
        <v/>
      </c>
      <c r="J228" s="520" t="str">
        <f>IF(B228="","",IF(ISNA(VLOOKUP($B228,'B-1 Site Hedge Baseline'!$B$1:$L$257,11,FALSE)),"",(VLOOKUP($B228,'B-1 Site Hedge Baseline'!$B$1:$L$257,11,FALSE))))</f>
        <v/>
      </c>
      <c r="K228" s="520" t="str">
        <f>IF(B228="","",IF(ISNA(VLOOKUP($B228,'B-1 Site Hedge Baseline'!$B$1:$U$257,13,FALSE)),"",(VLOOKUP($B228,'B-1 Site Hedge Baseline'!$B$1:$U$257,13,FALSE))))</f>
        <v/>
      </c>
      <c r="L228" s="524" t="str">
        <f>IF(B228="","",IF(ISNA(VLOOKUP($B228,'B-1 Site Hedge Baseline'!$B$1:$U$257,12,FALSE)),"",(VLOOKUP($B228,'B-1 Site Hedge Baseline'!$B$1:$U$257,12,FALSE))))</f>
        <v/>
      </c>
      <c r="M228" s="416" t="str">
        <f t="shared" si="31"/>
        <v/>
      </c>
      <c r="N228" s="498" t="str">
        <f>IFERROR(IF(B228="","",INDEX('G-6 Hedgerow Data'!$AN$3:$AZ$15,MATCH(C228,'G-6 Hedgerow Data'!$AM$3:$AM$15,0),MATCH(M228,'G-6 Hedgerow Data'!$AN$2:$AZ$2,0))),"")</f>
        <v/>
      </c>
      <c r="O228" s="499" t="str">
        <f t="shared" si="26"/>
        <v/>
      </c>
      <c r="P228" s="559" t="str">
        <f>IF(B228="","",VLOOKUP(B228,'B-1 Site Hedge Baseline'!$B$10:T473,16,FALSE))</f>
        <v/>
      </c>
      <c r="Q228" s="498" t="str">
        <f>IF(M228="","",VLOOKUP(M228,'G-6 Hedgerow Data'!$B$2:$AG$15,2,FALSE))</f>
        <v/>
      </c>
      <c r="R228" s="499" t="str">
        <f>IF(M228="","",VLOOKUP(M228,'G-6 Hedgerow Data'!$B$2:$AG$15,3,FALSE))</f>
        <v/>
      </c>
      <c r="S228" s="157"/>
      <c r="T228" s="540" t="str">
        <f>IFERROR(VLOOKUP(S228,'G-1 All Habitats'!$Z$2:$AA$9,2,FALSE),"")</f>
        <v/>
      </c>
      <c r="U228" s="154"/>
      <c r="V228" s="520" t="str">
        <f>IF(U228="","",IF(VLOOKUP(U228,'G-3 Multipliers'!$L$3:$N$6,2,FALSE)=0,"Spatial Data Missing ⚠",VLOOKUP(U228,'G-3 Multipliers'!$L$3:$N$6,2,FALSE)))</f>
        <v/>
      </c>
      <c r="W228" s="524" t="str">
        <f>IF(U228="","",IF(VLOOKUP(U228,'G-3 Multipliers'!$L$3:$N$6,3,FALSE)=0,"Spatial Data Missing ⚠",VLOOKUP(U228,'G-3 Multipliers'!$L$3:$N$6,3,FALSE)))</f>
        <v/>
      </c>
      <c r="X228" s="498" t="str">
        <f>IFERROR(IF(OR(LEFT(O228,5)="Error ▲",LEFT(N228,5)="Error ▲",T228="Error ▲"),"Check Data ⚠",IF(F228&lt;R228,INDEX('G-6 Hedgerow Data'!$S$3:$AE$14,MATCH(C228,'G-6 Hedgerow Data'!$B$3:$B$14,0),MATCH(M228,'G-6 Hedgerow Data'!$S$2:$AE$2,0)),INDEX('G-6 Hedgerow Data'!$K$3:$Q$14,MATCH(M228,'G-6 Hedgerow Data'!$B$3:$B$14,0),MATCH(O228,'G-6 Hedgerow Data'!$K$2:$Q$2,0)))),"")</f>
        <v/>
      </c>
      <c r="Y228" s="195"/>
      <c r="Z228" s="195"/>
      <c r="AA228" s="507" t="str">
        <f t="shared" si="27"/>
        <v/>
      </c>
      <c r="AB228" s="521" t="str">
        <f t="shared" si="28"/>
        <v/>
      </c>
      <c r="AC228" s="522" t="str">
        <f t="shared" si="24"/>
        <v/>
      </c>
      <c r="AD228" s="537" t="str">
        <f>IF(M228="","",VLOOKUP(M228,'G-6 Hedgerow Data'!$B$3:$AG$15,31,FALSE))</f>
        <v/>
      </c>
      <c r="AE228" s="507" t="str">
        <f t="shared" si="29"/>
        <v/>
      </c>
      <c r="AF228" s="507" t="str">
        <f t="shared" si="30"/>
        <v/>
      </c>
      <c r="AG228" s="524" t="str">
        <f>IFERROR(IF(O228="","",VLOOKUP(AD228,'G-3 Multipliers'!$P$3:$Q$6,2,FALSE)),"")</f>
        <v/>
      </c>
      <c r="AH228" s="513" t="str">
        <f t="shared" si="25"/>
        <v/>
      </c>
      <c r="AI228" s="231"/>
      <c r="AJ228" s="150"/>
      <c r="AT228" s="31" t="str">
        <f>IFERROR(INDEX('G-6 Hedgerow Data'!$BJ$3:$BJ$15,MATCH(M228,'G-6 Hedgerow Data'!$B$3:$B$15,0)),"")</f>
        <v/>
      </c>
    </row>
    <row r="229" spans="2:46" ht="14" x14ac:dyDescent="0.3">
      <c r="B229" s="531" t="str">
        <f>'B-1 Site Hedge Baseline'!AK227</f>
        <v/>
      </c>
      <c r="C229" s="520" t="str">
        <f>IF(B229="","",IF(ISNA(VLOOKUP($B229,'B-1 Site Hedge Baseline'!$B$1:$L$257,3,FALSE)),"",(VLOOKUP($B229,'B-1 Site Hedge Baseline'!$B$1:$L$257,3,FALSE))))</f>
        <v/>
      </c>
      <c r="D229" s="520" t="str">
        <f>IF(B229="","",IF(ISNA(VLOOKUP($B229,'B-1 Site Hedge Baseline'!$B$1:$L$257,4,FALSE)),"",(VLOOKUP($B229,'B-1 Site Hedge Baseline'!$B$1:$L$257,4,FALSE))))</f>
        <v/>
      </c>
      <c r="E229" s="520" t="str">
        <f>IF(B229="","",IF(ISNA(VLOOKUP($B229,'B-1 Site Hedge Baseline'!$B$1:$L$257,5,FALSE)),"",(VLOOKUP($B229,'B-1 Site Hedge Baseline'!$B$1:$L$257,5,FALSE))))</f>
        <v/>
      </c>
      <c r="F229" s="520" t="str">
        <f>IF(B229="","",IF(ISNA(VLOOKUP($B229,'B-1 Site Hedge Baseline'!$B$1:$L$257,6,FALSE)),"",(VLOOKUP($B229,'B-1 Site Hedge Baseline'!$B$1:$L$257,6,FALSE))))</f>
        <v/>
      </c>
      <c r="G229" s="520" t="str">
        <f>IF(B229="","",IF(ISNA(VLOOKUP($B229,'B-1 Site Hedge Baseline'!$B$1:$L$257,7,FALSE)),"",(VLOOKUP($B229,'B-1 Site Hedge Baseline'!$B$1:$L$257,7,FALSE))))</f>
        <v/>
      </c>
      <c r="H229" s="520" t="str">
        <f>IF(B229="","",IF(ISNA(VLOOKUP($B229,'B-1 Site Hedge Baseline'!$B$1:$L$257,8,FALSE)),"",(VLOOKUP($B229,'B-1 Site Hedge Baseline'!$B$1:$L$257,8,FALSE))))</f>
        <v/>
      </c>
      <c r="I229" s="520" t="str">
        <f>IF(B229="","",IF(ISNA(VLOOKUP($B229,'B-1 Site Hedge Baseline'!$B$1:$L$257,10,FALSE)),"",(VLOOKUP($B229,'B-1 Site Hedge Baseline'!$B$1:$L$257,10,FALSE))))</f>
        <v/>
      </c>
      <c r="J229" s="520" t="str">
        <f>IF(B229="","",IF(ISNA(VLOOKUP($B229,'B-1 Site Hedge Baseline'!$B$1:$L$257,11,FALSE)),"",(VLOOKUP($B229,'B-1 Site Hedge Baseline'!$B$1:$L$257,11,FALSE))))</f>
        <v/>
      </c>
      <c r="K229" s="520" t="str">
        <f>IF(B229="","",IF(ISNA(VLOOKUP($B229,'B-1 Site Hedge Baseline'!$B$1:$U$257,13,FALSE)),"",(VLOOKUP($B229,'B-1 Site Hedge Baseline'!$B$1:$U$257,13,FALSE))))</f>
        <v/>
      </c>
      <c r="L229" s="524" t="str">
        <f>IF(B229="","",IF(ISNA(VLOOKUP($B229,'B-1 Site Hedge Baseline'!$B$1:$U$257,12,FALSE)),"",(VLOOKUP($B229,'B-1 Site Hedge Baseline'!$B$1:$U$257,12,FALSE))))</f>
        <v/>
      </c>
      <c r="M229" s="416" t="str">
        <f t="shared" si="31"/>
        <v/>
      </c>
      <c r="N229" s="498" t="str">
        <f>IFERROR(IF(B229="","",INDEX('G-6 Hedgerow Data'!$AN$3:$AZ$15,MATCH(C229,'G-6 Hedgerow Data'!$AM$3:$AM$15,0),MATCH(M229,'G-6 Hedgerow Data'!$AN$2:$AZ$2,0))),"")</f>
        <v/>
      </c>
      <c r="O229" s="499" t="str">
        <f t="shared" si="26"/>
        <v/>
      </c>
      <c r="P229" s="559" t="str">
        <f>IF(B229="","",VLOOKUP(B229,'B-1 Site Hedge Baseline'!$B$10:T474,16,FALSE))</f>
        <v/>
      </c>
      <c r="Q229" s="498" t="str">
        <f>IF(M229="","",VLOOKUP(M229,'G-6 Hedgerow Data'!$B$2:$AG$15,2,FALSE))</f>
        <v/>
      </c>
      <c r="R229" s="499" t="str">
        <f>IF(M229="","",VLOOKUP(M229,'G-6 Hedgerow Data'!$B$2:$AG$15,3,FALSE))</f>
        <v/>
      </c>
      <c r="S229" s="157"/>
      <c r="T229" s="540" t="str">
        <f>IFERROR(VLOOKUP(S229,'G-1 All Habitats'!$Z$2:$AA$9,2,FALSE),"")</f>
        <v/>
      </c>
      <c r="U229" s="154"/>
      <c r="V229" s="520" t="str">
        <f>IF(U229="","",IF(VLOOKUP(U229,'G-3 Multipliers'!$L$3:$N$6,2,FALSE)=0,"Spatial Data Missing ⚠",VLOOKUP(U229,'G-3 Multipliers'!$L$3:$N$6,2,FALSE)))</f>
        <v/>
      </c>
      <c r="W229" s="524" t="str">
        <f>IF(U229="","",IF(VLOOKUP(U229,'G-3 Multipliers'!$L$3:$N$6,3,FALSE)=0,"Spatial Data Missing ⚠",VLOOKUP(U229,'G-3 Multipliers'!$L$3:$N$6,3,FALSE)))</f>
        <v/>
      </c>
      <c r="X229" s="498" t="str">
        <f>IFERROR(IF(OR(LEFT(O229,5)="Error ▲",LEFT(N229,5)="Error ▲",T229="Error ▲"),"Check Data ⚠",IF(F229&lt;R229,INDEX('G-6 Hedgerow Data'!$S$3:$AE$14,MATCH(C229,'G-6 Hedgerow Data'!$B$3:$B$14,0),MATCH(M229,'G-6 Hedgerow Data'!$S$2:$AE$2,0)),INDEX('G-6 Hedgerow Data'!$K$3:$Q$14,MATCH(M229,'G-6 Hedgerow Data'!$B$3:$B$14,0),MATCH(O229,'G-6 Hedgerow Data'!$K$2:$Q$2,0)))),"")</f>
        <v/>
      </c>
      <c r="Y229" s="195"/>
      <c r="Z229" s="195"/>
      <c r="AA229" s="507" t="str">
        <f t="shared" si="27"/>
        <v/>
      </c>
      <c r="AB229" s="521" t="str">
        <f t="shared" si="28"/>
        <v/>
      </c>
      <c r="AC229" s="522" t="str">
        <f t="shared" si="24"/>
        <v/>
      </c>
      <c r="AD229" s="537" t="str">
        <f>IF(M229="","",VLOOKUP(M229,'G-6 Hedgerow Data'!$B$3:$AG$15,31,FALSE))</f>
        <v/>
      </c>
      <c r="AE229" s="507" t="str">
        <f t="shared" si="29"/>
        <v/>
      </c>
      <c r="AF229" s="507" t="str">
        <f t="shared" si="30"/>
        <v/>
      </c>
      <c r="AG229" s="524" t="str">
        <f>IFERROR(IF(O229="","",VLOOKUP(AD229,'G-3 Multipliers'!$P$3:$Q$6,2,FALSE)),"")</f>
        <v/>
      </c>
      <c r="AH229" s="513" t="str">
        <f t="shared" si="25"/>
        <v/>
      </c>
      <c r="AI229" s="231"/>
      <c r="AJ229" s="150"/>
      <c r="AT229" s="31" t="str">
        <f>IFERROR(INDEX('G-6 Hedgerow Data'!$BJ$3:$BJ$15,MATCH(M229,'G-6 Hedgerow Data'!$B$3:$B$15,0)),"")</f>
        <v/>
      </c>
    </row>
    <row r="230" spans="2:46" ht="14" x14ac:dyDescent="0.3">
      <c r="B230" s="531" t="str">
        <f>'B-1 Site Hedge Baseline'!AK228</f>
        <v/>
      </c>
      <c r="C230" s="520" t="str">
        <f>IF(B230="","",IF(ISNA(VLOOKUP($B230,'B-1 Site Hedge Baseline'!$B$1:$L$257,3,FALSE)),"",(VLOOKUP($B230,'B-1 Site Hedge Baseline'!$B$1:$L$257,3,FALSE))))</f>
        <v/>
      </c>
      <c r="D230" s="520" t="str">
        <f>IF(B230="","",IF(ISNA(VLOOKUP($B230,'B-1 Site Hedge Baseline'!$B$1:$L$257,4,FALSE)),"",(VLOOKUP($B230,'B-1 Site Hedge Baseline'!$B$1:$L$257,4,FALSE))))</f>
        <v/>
      </c>
      <c r="E230" s="520" t="str">
        <f>IF(B230="","",IF(ISNA(VLOOKUP($B230,'B-1 Site Hedge Baseline'!$B$1:$L$257,5,FALSE)),"",(VLOOKUP($B230,'B-1 Site Hedge Baseline'!$B$1:$L$257,5,FALSE))))</f>
        <v/>
      </c>
      <c r="F230" s="520" t="str">
        <f>IF(B230="","",IF(ISNA(VLOOKUP($B230,'B-1 Site Hedge Baseline'!$B$1:$L$257,6,FALSE)),"",(VLOOKUP($B230,'B-1 Site Hedge Baseline'!$B$1:$L$257,6,FALSE))))</f>
        <v/>
      </c>
      <c r="G230" s="520" t="str">
        <f>IF(B230="","",IF(ISNA(VLOOKUP($B230,'B-1 Site Hedge Baseline'!$B$1:$L$257,7,FALSE)),"",(VLOOKUP($B230,'B-1 Site Hedge Baseline'!$B$1:$L$257,7,FALSE))))</f>
        <v/>
      </c>
      <c r="H230" s="520" t="str">
        <f>IF(B230="","",IF(ISNA(VLOOKUP($B230,'B-1 Site Hedge Baseline'!$B$1:$L$257,8,FALSE)),"",(VLOOKUP($B230,'B-1 Site Hedge Baseline'!$B$1:$L$257,8,FALSE))))</f>
        <v/>
      </c>
      <c r="I230" s="520" t="str">
        <f>IF(B230="","",IF(ISNA(VLOOKUP($B230,'B-1 Site Hedge Baseline'!$B$1:$L$257,10,FALSE)),"",(VLOOKUP($B230,'B-1 Site Hedge Baseline'!$B$1:$L$257,10,FALSE))))</f>
        <v/>
      </c>
      <c r="J230" s="520" t="str">
        <f>IF(B230="","",IF(ISNA(VLOOKUP($B230,'B-1 Site Hedge Baseline'!$B$1:$L$257,11,FALSE)),"",(VLOOKUP($B230,'B-1 Site Hedge Baseline'!$B$1:$L$257,11,FALSE))))</f>
        <v/>
      </c>
      <c r="K230" s="520" t="str">
        <f>IF(B230="","",IF(ISNA(VLOOKUP($B230,'B-1 Site Hedge Baseline'!$B$1:$U$257,13,FALSE)),"",(VLOOKUP($B230,'B-1 Site Hedge Baseline'!$B$1:$U$257,13,FALSE))))</f>
        <v/>
      </c>
      <c r="L230" s="524" t="str">
        <f>IF(B230="","",IF(ISNA(VLOOKUP($B230,'B-1 Site Hedge Baseline'!$B$1:$U$257,12,FALSE)),"",(VLOOKUP($B230,'B-1 Site Hedge Baseline'!$B$1:$U$257,12,FALSE))))</f>
        <v/>
      </c>
      <c r="M230" s="416" t="str">
        <f t="shared" si="31"/>
        <v/>
      </c>
      <c r="N230" s="498" t="str">
        <f>IFERROR(IF(B230="","",INDEX('G-6 Hedgerow Data'!$AN$3:$AZ$15,MATCH(C230,'G-6 Hedgerow Data'!$AM$3:$AM$15,0),MATCH(M230,'G-6 Hedgerow Data'!$AN$2:$AZ$2,0))),"")</f>
        <v/>
      </c>
      <c r="O230" s="499" t="str">
        <f t="shared" si="26"/>
        <v/>
      </c>
      <c r="P230" s="559" t="str">
        <f>IF(B230="","",VLOOKUP(B230,'B-1 Site Hedge Baseline'!$B$10:T475,16,FALSE))</f>
        <v/>
      </c>
      <c r="Q230" s="498" t="str">
        <f>IF(M230="","",VLOOKUP(M230,'G-6 Hedgerow Data'!$B$2:$AG$15,2,FALSE))</f>
        <v/>
      </c>
      <c r="R230" s="499" t="str">
        <f>IF(M230="","",VLOOKUP(M230,'G-6 Hedgerow Data'!$B$2:$AG$15,3,FALSE))</f>
        <v/>
      </c>
      <c r="S230" s="157"/>
      <c r="T230" s="540" t="str">
        <f>IFERROR(VLOOKUP(S230,'G-1 All Habitats'!$Z$2:$AA$9,2,FALSE),"")</f>
        <v/>
      </c>
      <c r="U230" s="154"/>
      <c r="V230" s="520" t="str">
        <f>IF(U230="","",IF(VLOOKUP(U230,'G-3 Multipliers'!$L$3:$N$6,2,FALSE)=0,"Spatial Data Missing ⚠",VLOOKUP(U230,'G-3 Multipliers'!$L$3:$N$6,2,FALSE)))</f>
        <v/>
      </c>
      <c r="W230" s="524" t="str">
        <f>IF(U230="","",IF(VLOOKUP(U230,'G-3 Multipliers'!$L$3:$N$6,3,FALSE)=0,"Spatial Data Missing ⚠",VLOOKUP(U230,'G-3 Multipliers'!$L$3:$N$6,3,FALSE)))</f>
        <v/>
      </c>
      <c r="X230" s="498" t="str">
        <f>IFERROR(IF(OR(LEFT(O230,5)="Error ▲",LEFT(N230,5)="Error ▲",T230="Error ▲"),"Check Data ⚠",IF(F230&lt;R230,INDEX('G-6 Hedgerow Data'!$S$3:$AE$14,MATCH(C230,'G-6 Hedgerow Data'!$B$3:$B$14,0),MATCH(M230,'G-6 Hedgerow Data'!$S$2:$AE$2,0)),INDEX('G-6 Hedgerow Data'!$K$3:$Q$14,MATCH(M230,'G-6 Hedgerow Data'!$B$3:$B$14,0),MATCH(O230,'G-6 Hedgerow Data'!$K$2:$Q$2,0)))),"")</f>
        <v/>
      </c>
      <c r="Y230" s="195"/>
      <c r="Z230" s="195"/>
      <c r="AA230" s="507" t="str">
        <f t="shared" si="27"/>
        <v/>
      </c>
      <c r="AB230" s="521" t="str">
        <f t="shared" si="28"/>
        <v/>
      </c>
      <c r="AC230" s="522" t="str">
        <f t="shared" si="24"/>
        <v/>
      </c>
      <c r="AD230" s="537" t="str">
        <f>IF(M230="","",VLOOKUP(M230,'G-6 Hedgerow Data'!$B$3:$AG$15,31,FALSE))</f>
        <v/>
      </c>
      <c r="AE230" s="507" t="str">
        <f t="shared" si="29"/>
        <v/>
      </c>
      <c r="AF230" s="507" t="str">
        <f t="shared" si="30"/>
        <v/>
      </c>
      <c r="AG230" s="524" t="str">
        <f>IFERROR(IF(O230="","",VLOOKUP(AD230,'G-3 Multipliers'!$P$3:$Q$6,2,FALSE)),"")</f>
        <v/>
      </c>
      <c r="AH230" s="513" t="str">
        <f t="shared" si="25"/>
        <v/>
      </c>
      <c r="AI230" s="231"/>
      <c r="AJ230" s="150"/>
      <c r="AT230" s="31" t="str">
        <f>IFERROR(INDEX('G-6 Hedgerow Data'!$BJ$3:$BJ$15,MATCH(M230,'G-6 Hedgerow Data'!$B$3:$B$15,0)),"")</f>
        <v/>
      </c>
    </row>
    <row r="231" spans="2:46" ht="14" x14ac:dyDescent="0.3">
      <c r="B231" s="531" t="str">
        <f>'B-1 Site Hedge Baseline'!AK229</f>
        <v/>
      </c>
      <c r="C231" s="520" t="str">
        <f>IF(B231="","",IF(ISNA(VLOOKUP($B231,'B-1 Site Hedge Baseline'!$B$1:$L$257,3,FALSE)),"",(VLOOKUP($B231,'B-1 Site Hedge Baseline'!$B$1:$L$257,3,FALSE))))</f>
        <v/>
      </c>
      <c r="D231" s="520" t="str">
        <f>IF(B231="","",IF(ISNA(VLOOKUP($B231,'B-1 Site Hedge Baseline'!$B$1:$L$257,4,FALSE)),"",(VLOOKUP($B231,'B-1 Site Hedge Baseline'!$B$1:$L$257,4,FALSE))))</f>
        <v/>
      </c>
      <c r="E231" s="520" t="str">
        <f>IF(B231="","",IF(ISNA(VLOOKUP($B231,'B-1 Site Hedge Baseline'!$B$1:$L$257,5,FALSE)),"",(VLOOKUP($B231,'B-1 Site Hedge Baseline'!$B$1:$L$257,5,FALSE))))</f>
        <v/>
      </c>
      <c r="F231" s="520" t="str">
        <f>IF(B231="","",IF(ISNA(VLOOKUP($B231,'B-1 Site Hedge Baseline'!$B$1:$L$257,6,FALSE)),"",(VLOOKUP($B231,'B-1 Site Hedge Baseline'!$B$1:$L$257,6,FALSE))))</f>
        <v/>
      </c>
      <c r="G231" s="520" t="str">
        <f>IF(B231="","",IF(ISNA(VLOOKUP($B231,'B-1 Site Hedge Baseline'!$B$1:$L$257,7,FALSE)),"",(VLOOKUP($B231,'B-1 Site Hedge Baseline'!$B$1:$L$257,7,FALSE))))</f>
        <v/>
      </c>
      <c r="H231" s="520" t="str">
        <f>IF(B231="","",IF(ISNA(VLOOKUP($B231,'B-1 Site Hedge Baseline'!$B$1:$L$257,8,FALSE)),"",(VLOOKUP($B231,'B-1 Site Hedge Baseline'!$B$1:$L$257,8,FALSE))))</f>
        <v/>
      </c>
      <c r="I231" s="520" t="str">
        <f>IF(B231="","",IF(ISNA(VLOOKUP($B231,'B-1 Site Hedge Baseline'!$B$1:$L$257,10,FALSE)),"",(VLOOKUP($B231,'B-1 Site Hedge Baseline'!$B$1:$L$257,10,FALSE))))</f>
        <v/>
      </c>
      <c r="J231" s="520" t="str">
        <f>IF(B231="","",IF(ISNA(VLOOKUP($B231,'B-1 Site Hedge Baseline'!$B$1:$L$257,11,FALSE)),"",(VLOOKUP($B231,'B-1 Site Hedge Baseline'!$B$1:$L$257,11,FALSE))))</f>
        <v/>
      </c>
      <c r="K231" s="520" t="str">
        <f>IF(B231="","",IF(ISNA(VLOOKUP($B231,'B-1 Site Hedge Baseline'!$B$1:$U$257,13,FALSE)),"",(VLOOKUP($B231,'B-1 Site Hedge Baseline'!$B$1:$U$257,13,FALSE))))</f>
        <v/>
      </c>
      <c r="L231" s="524" t="str">
        <f>IF(B231="","",IF(ISNA(VLOOKUP($B231,'B-1 Site Hedge Baseline'!$B$1:$U$257,12,FALSE)),"",(VLOOKUP($B231,'B-1 Site Hedge Baseline'!$B$1:$U$257,12,FALSE))))</f>
        <v/>
      </c>
      <c r="M231" s="416" t="str">
        <f t="shared" si="31"/>
        <v/>
      </c>
      <c r="N231" s="498" t="str">
        <f>IFERROR(IF(B231="","",INDEX('G-6 Hedgerow Data'!$AN$3:$AZ$15,MATCH(C231,'G-6 Hedgerow Data'!$AM$3:$AM$15,0),MATCH(M231,'G-6 Hedgerow Data'!$AN$2:$AZ$2,0))),"")</f>
        <v/>
      </c>
      <c r="O231" s="499" t="str">
        <f t="shared" si="26"/>
        <v/>
      </c>
      <c r="P231" s="559" t="str">
        <f>IF(B231="","",VLOOKUP(B231,'B-1 Site Hedge Baseline'!$B$10:T476,16,FALSE))</f>
        <v/>
      </c>
      <c r="Q231" s="498" t="str">
        <f>IF(M231="","",VLOOKUP(M231,'G-6 Hedgerow Data'!$B$2:$AG$15,2,FALSE))</f>
        <v/>
      </c>
      <c r="R231" s="499" t="str">
        <f>IF(M231="","",VLOOKUP(M231,'G-6 Hedgerow Data'!$B$2:$AG$15,3,FALSE))</f>
        <v/>
      </c>
      <c r="S231" s="157"/>
      <c r="T231" s="540" t="str">
        <f>IFERROR(VLOOKUP(S231,'G-1 All Habitats'!$Z$2:$AA$9,2,FALSE),"")</f>
        <v/>
      </c>
      <c r="U231" s="154"/>
      <c r="V231" s="520" t="str">
        <f>IF(U231="","",IF(VLOOKUP(U231,'G-3 Multipliers'!$L$3:$N$6,2,FALSE)=0,"Spatial Data Missing ⚠",VLOOKUP(U231,'G-3 Multipliers'!$L$3:$N$6,2,FALSE)))</f>
        <v/>
      </c>
      <c r="W231" s="524" t="str">
        <f>IF(U231="","",IF(VLOOKUP(U231,'G-3 Multipliers'!$L$3:$N$6,3,FALSE)=0,"Spatial Data Missing ⚠",VLOOKUP(U231,'G-3 Multipliers'!$L$3:$N$6,3,FALSE)))</f>
        <v/>
      </c>
      <c r="X231" s="498" t="str">
        <f>IFERROR(IF(OR(LEFT(O231,5)="Error ▲",LEFT(N231,5)="Error ▲",T231="Error ▲"),"Check Data ⚠",IF(F231&lt;R231,INDEX('G-6 Hedgerow Data'!$S$3:$AE$14,MATCH(C231,'G-6 Hedgerow Data'!$B$3:$B$14,0),MATCH(M231,'G-6 Hedgerow Data'!$S$2:$AE$2,0)),INDEX('G-6 Hedgerow Data'!$K$3:$Q$14,MATCH(M231,'G-6 Hedgerow Data'!$B$3:$B$14,0),MATCH(O231,'G-6 Hedgerow Data'!$K$2:$Q$2,0)))),"")</f>
        <v/>
      </c>
      <c r="Y231" s="195"/>
      <c r="Z231" s="195"/>
      <c r="AA231" s="507" t="str">
        <f t="shared" si="27"/>
        <v/>
      </c>
      <c r="AB231" s="521" t="str">
        <f t="shared" si="28"/>
        <v/>
      </c>
      <c r="AC231" s="522" t="str">
        <f t="shared" si="24"/>
        <v/>
      </c>
      <c r="AD231" s="537" t="str">
        <f>IF(M231="","",VLOOKUP(M231,'G-6 Hedgerow Data'!$B$3:$AG$15,31,FALSE))</f>
        <v/>
      </c>
      <c r="AE231" s="507" t="str">
        <f t="shared" si="29"/>
        <v/>
      </c>
      <c r="AF231" s="507" t="str">
        <f t="shared" si="30"/>
        <v/>
      </c>
      <c r="AG231" s="524" t="str">
        <f>IFERROR(IF(O231="","",VLOOKUP(AD231,'G-3 Multipliers'!$P$3:$Q$6,2,FALSE)),"")</f>
        <v/>
      </c>
      <c r="AH231" s="513" t="str">
        <f t="shared" si="25"/>
        <v/>
      </c>
      <c r="AI231" s="231"/>
      <c r="AJ231" s="150"/>
      <c r="AT231" s="31" t="str">
        <f>IFERROR(INDEX('G-6 Hedgerow Data'!$BJ$3:$BJ$15,MATCH(M231,'G-6 Hedgerow Data'!$B$3:$B$15,0)),"")</f>
        <v/>
      </c>
    </row>
    <row r="232" spans="2:46" ht="14" x14ac:dyDescent="0.3">
      <c r="B232" s="531" t="str">
        <f>'B-1 Site Hedge Baseline'!AK230</f>
        <v/>
      </c>
      <c r="C232" s="520" t="str">
        <f>IF(B232="","",IF(ISNA(VLOOKUP($B232,'B-1 Site Hedge Baseline'!$B$1:$L$257,3,FALSE)),"",(VLOOKUP($B232,'B-1 Site Hedge Baseline'!$B$1:$L$257,3,FALSE))))</f>
        <v/>
      </c>
      <c r="D232" s="520" t="str">
        <f>IF(B232="","",IF(ISNA(VLOOKUP($B232,'B-1 Site Hedge Baseline'!$B$1:$L$257,4,FALSE)),"",(VLOOKUP($B232,'B-1 Site Hedge Baseline'!$B$1:$L$257,4,FALSE))))</f>
        <v/>
      </c>
      <c r="E232" s="520" t="str">
        <f>IF(B232="","",IF(ISNA(VLOOKUP($B232,'B-1 Site Hedge Baseline'!$B$1:$L$257,5,FALSE)),"",(VLOOKUP($B232,'B-1 Site Hedge Baseline'!$B$1:$L$257,5,FALSE))))</f>
        <v/>
      </c>
      <c r="F232" s="520" t="str">
        <f>IF(B232="","",IF(ISNA(VLOOKUP($B232,'B-1 Site Hedge Baseline'!$B$1:$L$257,6,FALSE)),"",(VLOOKUP($B232,'B-1 Site Hedge Baseline'!$B$1:$L$257,6,FALSE))))</f>
        <v/>
      </c>
      <c r="G232" s="520" t="str">
        <f>IF(B232="","",IF(ISNA(VLOOKUP($B232,'B-1 Site Hedge Baseline'!$B$1:$L$257,7,FALSE)),"",(VLOOKUP($B232,'B-1 Site Hedge Baseline'!$B$1:$L$257,7,FALSE))))</f>
        <v/>
      </c>
      <c r="H232" s="520" t="str">
        <f>IF(B232="","",IF(ISNA(VLOOKUP($B232,'B-1 Site Hedge Baseline'!$B$1:$L$257,8,FALSE)),"",(VLOOKUP($B232,'B-1 Site Hedge Baseline'!$B$1:$L$257,8,FALSE))))</f>
        <v/>
      </c>
      <c r="I232" s="520" t="str">
        <f>IF(B232="","",IF(ISNA(VLOOKUP($B232,'B-1 Site Hedge Baseline'!$B$1:$L$257,10,FALSE)),"",(VLOOKUP($B232,'B-1 Site Hedge Baseline'!$B$1:$L$257,10,FALSE))))</f>
        <v/>
      </c>
      <c r="J232" s="520" t="str">
        <f>IF(B232="","",IF(ISNA(VLOOKUP($B232,'B-1 Site Hedge Baseline'!$B$1:$L$257,11,FALSE)),"",(VLOOKUP($B232,'B-1 Site Hedge Baseline'!$B$1:$L$257,11,FALSE))))</f>
        <v/>
      </c>
      <c r="K232" s="520" t="str">
        <f>IF(B232="","",IF(ISNA(VLOOKUP($B232,'B-1 Site Hedge Baseline'!$B$1:$U$257,13,FALSE)),"",(VLOOKUP($B232,'B-1 Site Hedge Baseline'!$B$1:$U$257,13,FALSE))))</f>
        <v/>
      </c>
      <c r="L232" s="524" t="str">
        <f>IF(B232="","",IF(ISNA(VLOOKUP($B232,'B-1 Site Hedge Baseline'!$B$1:$U$257,12,FALSE)),"",(VLOOKUP($B232,'B-1 Site Hedge Baseline'!$B$1:$U$257,12,FALSE))))</f>
        <v/>
      </c>
      <c r="M232" s="416" t="str">
        <f t="shared" si="31"/>
        <v/>
      </c>
      <c r="N232" s="498" t="str">
        <f>IFERROR(IF(B232="","",INDEX('G-6 Hedgerow Data'!$AN$3:$AZ$15,MATCH(C232,'G-6 Hedgerow Data'!$AM$3:$AM$15,0),MATCH(M232,'G-6 Hedgerow Data'!$AN$2:$AZ$2,0))),"")</f>
        <v/>
      </c>
      <c r="O232" s="499" t="str">
        <f t="shared" si="26"/>
        <v/>
      </c>
      <c r="P232" s="559" t="str">
        <f>IF(B232="","",VLOOKUP(B232,'B-1 Site Hedge Baseline'!$B$10:T477,16,FALSE))</f>
        <v/>
      </c>
      <c r="Q232" s="498" t="str">
        <f>IF(M232="","",VLOOKUP(M232,'G-6 Hedgerow Data'!$B$2:$AG$15,2,FALSE))</f>
        <v/>
      </c>
      <c r="R232" s="499" t="str">
        <f>IF(M232="","",VLOOKUP(M232,'G-6 Hedgerow Data'!$B$2:$AG$15,3,FALSE))</f>
        <v/>
      </c>
      <c r="S232" s="157"/>
      <c r="T232" s="540" t="str">
        <f>IFERROR(VLOOKUP(S232,'G-1 All Habitats'!$Z$2:$AA$9,2,FALSE),"")</f>
        <v/>
      </c>
      <c r="U232" s="154"/>
      <c r="V232" s="520" t="str">
        <f>IF(U232="","",IF(VLOOKUP(U232,'G-3 Multipliers'!$L$3:$N$6,2,FALSE)=0,"Spatial Data Missing ⚠",VLOOKUP(U232,'G-3 Multipliers'!$L$3:$N$6,2,FALSE)))</f>
        <v/>
      </c>
      <c r="W232" s="524" t="str">
        <f>IF(U232="","",IF(VLOOKUP(U232,'G-3 Multipliers'!$L$3:$N$6,3,FALSE)=0,"Spatial Data Missing ⚠",VLOOKUP(U232,'G-3 Multipliers'!$L$3:$N$6,3,FALSE)))</f>
        <v/>
      </c>
      <c r="X232" s="498" t="str">
        <f>IFERROR(IF(OR(LEFT(O232,5)="Error ▲",LEFT(N232,5)="Error ▲",T232="Error ▲"),"Check Data ⚠",IF(F232&lt;R232,INDEX('G-6 Hedgerow Data'!$S$3:$AE$14,MATCH(C232,'G-6 Hedgerow Data'!$B$3:$B$14,0),MATCH(M232,'G-6 Hedgerow Data'!$S$2:$AE$2,0)),INDEX('G-6 Hedgerow Data'!$K$3:$Q$14,MATCH(M232,'G-6 Hedgerow Data'!$B$3:$B$14,0),MATCH(O232,'G-6 Hedgerow Data'!$K$2:$Q$2,0)))),"")</f>
        <v/>
      </c>
      <c r="Y232" s="195"/>
      <c r="Z232" s="195"/>
      <c r="AA232" s="507" t="str">
        <f t="shared" si="27"/>
        <v/>
      </c>
      <c r="AB232" s="521" t="str">
        <f t="shared" si="28"/>
        <v/>
      </c>
      <c r="AC232" s="522" t="str">
        <f t="shared" si="24"/>
        <v/>
      </c>
      <c r="AD232" s="537" t="str">
        <f>IF(M232="","",VLOOKUP(M232,'G-6 Hedgerow Data'!$B$3:$AG$15,31,FALSE))</f>
        <v/>
      </c>
      <c r="AE232" s="507" t="str">
        <f t="shared" si="29"/>
        <v/>
      </c>
      <c r="AF232" s="507" t="str">
        <f t="shared" si="30"/>
        <v/>
      </c>
      <c r="AG232" s="524" t="str">
        <f>IFERROR(IF(O232="","",VLOOKUP(AD232,'G-3 Multipliers'!$P$3:$Q$6,2,FALSE)),"")</f>
        <v/>
      </c>
      <c r="AH232" s="513" t="str">
        <f t="shared" si="25"/>
        <v/>
      </c>
      <c r="AI232" s="231"/>
      <c r="AJ232" s="150"/>
      <c r="AT232" s="31" t="str">
        <f>IFERROR(INDEX('G-6 Hedgerow Data'!$BJ$3:$BJ$15,MATCH(M232,'G-6 Hedgerow Data'!$B$3:$B$15,0)),"")</f>
        <v/>
      </c>
    </row>
    <row r="233" spans="2:46" ht="14" x14ac:dyDescent="0.3">
      <c r="B233" s="531" t="str">
        <f>'B-1 Site Hedge Baseline'!AK231</f>
        <v/>
      </c>
      <c r="C233" s="520" t="str">
        <f>IF(B233="","",IF(ISNA(VLOOKUP($B233,'B-1 Site Hedge Baseline'!$B$1:$L$257,3,FALSE)),"",(VLOOKUP($B233,'B-1 Site Hedge Baseline'!$B$1:$L$257,3,FALSE))))</f>
        <v/>
      </c>
      <c r="D233" s="520" t="str">
        <f>IF(B233="","",IF(ISNA(VLOOKUP($B233,'B-1 Site Hedge Baseline'!$B$1:$L$257,4,FALSE)),"",(VLOOKUP($B233,'B-1 Site Hedge Baseline'!$B$1:$L$257,4,FALSE))))</f>
        <v/>
      </c>
      <c r="E233" s="520" t="str">
        <f>IF(B233="","",IF(ISNA(VLOOKUP($B233,'B-1 Site Hedge Baseline'!$B$1:$L$257,5,FALSE)),"",(VLOOKUP($B233,'B-1 Site Hedge Baseline'!$B$1:$L$257,5,FALSE))))</f>
        <v/>
      </c>
      <c r="F233" s="520" t="str">
        <f>IF(B233="","",IF(ISNA(VLOOKUP($B233,'B-1 Site Hedge Baseline'!$B$1:$L$257,6,FALSE)),"",(VLOOKUP($B233,'B-1 Site Hedge Baseline'!$B$1:$L$257,6,FALSE))))</f>
        <v/>
      </c>
      <c r="G233" s="520" t="str">
        <f>IF(B233="","",IF(ISNA(VLOOKUP($B233,'B-1 Site Hedge Baseline'!$B$1:$L$257,7,FALSE)),"",(VLOOKUP($B233,'B-1 Site Hedge Baseline'!$B$1:$L$257,7,FALSE))))</f>
        <v/>
      </c>
      <c r="H233" s="520" t="str">
        <f>IF(B233="","",IF(ISNA(VLOOKUP($B233,'B-1 Site Hedge Baseline'!$B$1:$L$257,8,FALSE)),"",(VLOOKUP($B233,'B-1 Site Hedge Baseline'!$B$1:$L$257,8,FALSE))))</f>
        <v/>
      </c>
      <c r="I233" s="520" t="str">
        <f>IF(B233="","",IF(ISNA(VLOOKUP($B233,'B-1 Site Hedge Baseline'!$B$1:$L$257,10,FALSE)),"",(VLOOKUP($B233,'B-1 Site Hedge Baseline'!$B$1:$L$257,10,FALSE))))</f>
        <v/>
      </c>
      <c r="J233" s="520" t="str">
        <f>IF(B233="","",IF(ISNA(VLOOKUP($B233,'B-1 Site Hedge Baseline'!$B$1:$L$257,11,FALSE)),"",(VLOOKUP($B233,'B-1 Site Hedge Baseline'!$B$1:$L$257,11,FALSE))))</f>
        <v/>
      </c>
      <c r="K233" s="520" t="str">
        <f>IF(B233="","",IF(ISNA(VLOOKUP($B233,'B-1 Site Hedge Baseline'!$B$1:$U$257,13,FALSE)),"",(VLOOKUP($B233,'B-1 Site Hedge Baseline'!$B$1:$U$257,13,FALSE))))</f>
        <v/>
      </c>
      <c r="L233" s="524" t="str">
        <f>IF(B233="","",IF(ISNA(VLOOKUP($B233,'B-1 Site Hedge Baseline'!$B$1:$U$257,12,FALSE)),"",(VLOOKUP($B233,'B-1 Site Hedge Baseline'!$B$1:$U$257,12,FALSE))))</f>
        <v/>
      </c>
      <c r="M233" s="416" t="str">
        <f t="shared" si="31"/>
        <v/>
      </c>
      <c r="N233" s="498" t="str">
        <f>IFERROR(IF(B233="","",INDEX('G-6 Hedgerow Data'!$AN$3:$AZ$15,MATCH(C233,'G-6 Hedgerow Data'!$AM$3:$AM$15,0),MATCH(M233,'G-6 Hedgerow Data'!$AN$2:$AZ$2,0))),"")</f>
        <v/>
      </c>
      <c r="O233" s="499" t="str">
        <f t="shared" si="26"/>
        <v/>
      </c>
      <c r="P233" s="559" t="str">
        <f>IF(B233="","",VLOOKUP(B233,'B-1 Site Hedge Baseline'!$B$10:T478,16,FALSE))</f>
        <v/>
      </c>
      <c r="Q233" s="498" t="str">
        <f>IF(M233="","",VLOOKUP(M233,'G-6 Hedgerow Data'!$B$2:$AG$15,2,FALSE))</f>
        <v/>
      </c>
      <c r="R233" s="499" t="str">
        <f>IF(M233="","",VLOOKUP(M233,'G-6 Hedgerow Data'!$B$2:$AG$15,3,FALSE))</f>
        <v/>
      </c>
      <c r="S233" s="157"/>
      <c r="T233" s="540" t="str">
        <f>IFERROR(VLOOKUP(S233,'G-1 All Habitats'!$Z$2:$AA$9,2,FALSE),"")</f>
        <v/>
      </c>
      <c r="U233" s="154"/>
      <c r="V233" s="520" t="str">
        <f>IF(U233="","",IF(VLOOKUP(U233,'G-3 Multipliers'!$L$3:$N$6,2,FALSE)=0,"Spatial Data Missing ⚠",VLOOKUP(U233,'G-3 Multipliers'!$L$3:$N$6,2,FALSE)))</f>
        <v/>
      </c>
      <c r="W233" s="524" t="str">
        <f>IF(U233="","",IF(VLOOKUP(U233,'G-3 Multipliers'!$L$3:$N$6,3,FALSE)=0,"Spatial Data Missing ⚠",VLOOKUP(U233,'G-3 Multipliers'!$L$3:$N$6,3,FALSE)))</f>
        <v/>
      </c>
      <c r="X233" s="498" t="str">
        <f>IFERROR(IF(OR(LEFT(O233,5)="Error ▲",LEFT(N233,5)="Error ▲",T233="Error ▲"),"Check Data ⚠",IF(F233&lt;R233,INDEX('G-6 Hedgerow Data'!$S$3:$AE$14,MATCH(C233,'G-6 Hedgerow Data'!$B$3:$B$14,0),MATCH(M233,'G-6 Hedgerow Data'!$S$2:$AE$2,0)),INDEX('G-6 Hedgerow Data'!$K$3:$Q$14,MATCH(M233,'G-6 Hedgerow Data'!$B$3:$B$14,0),MATCH(O233,'G-6 Hedgerow Data'!$K$2:$Q$2,0)))),"")</f>
        <v/>
      </c>
      <c r="Y233" s="195"/>
      <c r="Z233" s="195"/>
      <c r="AA233" s="507" t="str">
        <f t="shared" si="27"/>
        <v/>
      </c>
      <c r="AB233" s="521" t="str">
        <f t="shared" si="28"/>
        <v/>
      </c>
      <c r="AC233" s="522" t="str">
        <f t="shared" si="24"/>
        <v/>
      </c>
      <c r="AD233" s="537" t="str">
        <f>IF(M233="","",VLOOKUP(M233,'G-6 Hedgerow Data'!$B$3:$AG$15,31,FALSE))</f>
        <v/>
      </c>
      <c r="AE233" s="507" t="str">
        <f t="shared" si="29"/>
        <v/>
      </c>
      <c r="AF233" s="507" t="str">
        <f t="shared" si="30"/>
        <v/>
      </c>
      <c r="AG233" s="524" t="str">
        <f>IFERROR(IF(O233="","",VLOOKUP(AD233,'G-3 Multipliers'!$P$3:$Q$6,2,FALSE)),"")</f>
        <v/>
      </c>
      <c r="AH233" s="513" t="str">
        <f t="shared" si="25"/>
        <v/>
      </c>
      <c r="AI233" s="231"/>
      <c r="AJ233" s="150"/>
      <c r="AT233" s="31" t="str">
        <f>IFERROR(INDEX('G-6 Hedgerow Data'!$BJ$3:$BJ$15,MATCH(M233,'G-6 Hedgerow Data'!$B$3:$B$15,0)),"")</f>
        <v/>
      </c>
    </row>
    <row r="234" spans="2:46" ht="14" x14ac:dyDescent="0.3">
      <c r="B234" s="531" t="str">
        <f>'B-1 Site Hedge Baseline'!AK232</f>
        <v/>
      </c>
      <c r="C234" s="520" t="str">
        <f>IF(B234="","",IF(ISNA(VLOOKUP($B234,'B-1 Site Hedge Baseline'!$B$1:$L$257,3,FALSE)),"",(VLOOKUP($B234,'B-1 Site Hedge Baseline'!$B$1:$L$257,3,FALSE))))</f>
        <v/>
      </c>
      <c r="D234" s="520" t="str">
        <f>IF(B234="","",IF(ISNA(VLOOKUP($B234,'B-1 Site Hedge Baseline'!$B$1:$L$257,4,FALSE)),"",(VLOOKUP($B234,'B-1 Site Hedge Baseline'!$B$1:$L$257,4,FALSE))))</f>
        <v/>
      </c>
      <c r="E234" s="520" t="str">
        <f>IF(B234="","",IF(ISNA(VLOOKUP($B234,'B-1 Site Hedge Baseline'!$B$1:$L$257,5,FALSE)),"",(VLOOKUP($B234,'B-1 Site Hedge Baseline'!$B$1:$L$257,5,FALSE))))</f>
        <v/>
      </c>
      <c r="F234" s="520" t="str">
        <f>IF(B234="","",IF(ISNA(VLOOKUP($B234,'B-1 Site Hedge Baseline'!$B$1:$L$257,6,FALSE)),"",(VLOOKUP($B234,'B-1 Site Hedge Baseline'!$B$1:$L$257,6,FALSE))))</f>
        <v/>
      </c>
      <c r="G234" s="520" t="str">
        <f>IF(B234="","",IF(ISNA(VLOOKUP($B234,'B-1 Site Hedge Baseline'!$B$1:$L$257,7,FALSE)),"",(VLOOKUP($B234,'B-1 Site Hedge Baseline'!$B$1:$L$257,7,FALSE))))</f>
        <v/>
      </c>
      <c r="H234" s="520" t="str">
        <f>IF(B234="","",IF(ISNA(VLOOKUP($B234,'B-1 Site Hedge Baseline'!$B$1:$L$257,8,FALSE)),"",(VLOOKUP($B234,'B-1 Site Hedge Baseline'!$B$1:$L$257,8,FALSE))))</f>
        <v/>
      </c>
      <c r="I234" s="520" t="str">
        <f>IF(B234="","",IF(ISNA(VLOOKUP($B234,'B-1 Site Hedge Baseline'!$B$1:$L$257,10,FALSE)),"",(VLOOKUP($B234,'B-1 Site Hedge Baseline'!$B$1:$L$257,10,FALSE))))</f>
        <v/>
      </c>
      <c r="J234" s="520" t="str">
        <f>IF(B234="","",IF(ISNA(VLOOKUP($B234,'B-1 Site Hedge Baseline'!$B$1:$L$257,11,FALSE)),"",(VLOOKUP($B234,'B-1 Site Hedge Baseline'!$B$1:$L$257,11,FALSE))))</f>
        <v/>
      </c>
      <c r="K234" s="520" t="str">
        <f>IF(B234="","",IF(ISNA(VLOOKUP($B234,'B-1 Site Hedge Baseline'!$B$1:$U$257,13,FALSE)),"",(VLOOKUP($B234,'B-1 Site Hedge Baseline'!$B$1:$U$257,13,FALSE))))</f>
        <v/>
      </c>
      <c r="L234" s="524" t="str">
        <f>IF(B234="","",IF(ISNA(VLOOKUP($B234,'B-1 Site Hedge Baseline'!$B$1:$U$257,12,FALSE)),"",(VLOOKUP($B234,'B-1 Site Hedge Baseline'!$B$1:$U$257,12,FALSE))))</f>
        <v/>
      </c>
      <c r="M234" s="416" t="str">
        <f t="shared" si="31"/>
        <v/>
      </c>
      <c r="N234" s="498" t="str">
        <f>IFERROR(IF(B234="","",INDEX('G-6 Hedgerow Data'!$AN$3:$AZ$15,MATCH(C234,'G-6 Hedgerow Data'!$AM$3:$AM$15,0),MATCH(M234,'G-6 Hedgerow Data'!$AN$2:$AZ$2,0))),"")</f>
        <v/>
      </c>
      <c r="O234" s="499" t="str">
        <f t="shared" si="26"/>
        <v/>
      </c>
      <c r="P234" s="559" t="str">
        <f>IF(B234="","",VLOOKUP(B234,'B-1 Site Hedge Baseline'!$B$10:T479,16,FALSE))</f>
        <v/>
      </c>
      <c r="Q234" s="498" t="str">
        <f>IF(M234="","",VLOOKUP(M234,'G-6 Hedgerow Data'!$B$2:$AG$15,2,FALSE))</f>
        <v/>
      </c>
      <c r="R234" s="499" t="str">
        <f>IF(M234="","",VLOOKUP(M234,'G-6 Hedgerow Data'!$B$2:$AG$15,3,FALSE))</f>
        <v/>
      </c>
      <c r="S234" s="157"/>
      <c r="T234" s="540" t="str">
        <f>IFERROR(VLOOKUP(S234,'G-1 All Habitats'!$Z$2:$AA$9,2,FALSE),"")</f>
        <v/>
      </c>
      <c r="U234" s="154"/>
      <c r="V234" s="520" t="str">
        <f>IF(U234="","",IF(VLOOKUP(U234,'G-3 Multipliers'!$L$3:$N$6,2,FALSE)=0,"Spatial Data Missing ⚠",VLOOKUP(U234,'G-3 Multipliers'!$L$3:$N$6,2,FALSE)))</f>
        <v/>
      </c>
      <c r="W234" s="524" t="str">
        <f>IF(U234="","",IF(VLOOKUP(U234,'G-3 Multipliers'!$L$3:$N$6,3,FALSE)=0,"Spatial Data Missing ⚠",VLOOKUP(U234,'G-3 Multipliers'!$L$3:$N$6,3,FALSE)))</f>
        <v/>
      </c>
      <c r="X234" s="498" t="str">
        <f>IFERROR(IF(OR(LEFT(O234,5)="Error ▲",LEFT(N234,5)="Error ▲",T234="Error ▲"),"Check Data ⚠",IF(F234&lt;R234,INDEX('G-6 Hedgerow Data'!$S$3:$AE$14,MATCH(C234,'G-6 Hedgerow Data'!$B$3:$B$14,0),MATCH(M234,'G-6 Hedgerow Data'!$S$2:$AE$2,0)),INDEX('G-6 Hedgerow Data'!$K$3:$Q$14,MATCH(M234,'G-6 Hedgerow Data'!$B$3:$B$14,0),MATCH(O234,'G-6 Hedgerow Data'!$K$2:$Q$2,0)))),"")</f>
        <v/>
      </c>
      <c r="Y234" s="195"/>
      <c r="Z234" s="195"/>
      <c r="AA234" s="507" t="str">
        <f t="shared" si="27"/>
        <v/>
      </c>
      <c r="AB234" s="521" t="str">
        <f t="shared" si="28"/>
        <v/>
      </c>
      <c r="AC234" s="522" t="str">
        <f t="shared" si="24"/>
        <v/>
      </c>
      <c r="AD234" s="537" t="str">
        <f>IF(M234="","",VLOOKUP(M234,'G-6 Hedgerow Data'!$B$3:$AG$15,31,FALSE))</f>
        <v/>
      </c>
      <c r="AE234" s="507" t="str">
        <f t="shared" si="29"/>
        <v/>
      </c>
      <c r="AF234" s="507" t="str">
        <f t="shared" si="30"/>
        <v/>
      </c>
      <c r="AG234" s="524" t="str">
        <f>IFERROR(IF(O234="","",VLOOKUP(AD234,'G-3 Multipliers'!$P$3:$Q$6,2,FALSE)),"")</f>
        <v/>
      </c>
      <c r="AH234" s="513" t="str">
        <f t="shared" si="25"/>
        <v/>
      </c>
      <c r="AI234" s="231"/>
      <c r="AJ234" s="150"/>
      <c r="AT234" s="31" t="str">
        <f>IFERROR(INDEX('G-6 Hedgerow Data'!$BJ$3:$BJ$15,MATCH(M234,'G-6 Hedgerow Data'!$B$3:$B$15,0)),"")</f>
        <v/>
      </c>
    </row>
    <row r="235" spans="2:46" ht="14" x14ac:dyDescent="0.3">
      <c r="B235" s="531" t="str">
        <f>'B-1 Site Hedge Baseline'!AK233</f>
        <v/>
      </c>
      <c r="C235" s="520" t="str">
        <f>IF(B235="","",IF(ISNA(VLOOKUP($B235,'B-1 Site Hedge Baseline'!$B$1:$L$257,3,FALSE)),"",(VLOOKUP($B235,'B-1 Site Hedge Baseline'!$B$1:$L$257,3,FALSE))))</f>
        <v/>
      </c>
      <c r="D235" s="520" t="str">
        <f>IF(B235="","",IF(ISNA(VLOOKUP($B235,'B-1 Site Hedge Baseline'!$B$1:$L$257,4,FALSE)),"",(VLOOKUP($B235,'B-1 Site Hedge Baseline'!$B$1:$L$257,4,FALSE))))</f>
        <v/>
      </c>
      <c r="E235" s="520" t="str">
        <f>IF(B235="","",IF(ISNA(VLOOKUP($B235,'B-1 Site Hedge Baseline'!$B$1:$L$257,5,FALSE)),"",(VLOOKUP($B235,'B-1 Site Hedge Baseline'!$B$1:$L$257,5,FALSE))))</f>
        <v/>
      </c>
      <c r="F235" s="520" t="str">
        <f>IF(B235="","",IF(ISNA(VLOOKUP($B235,'B-1 Site Hedge Baseline'!$B$1:$L$257,6,FALSE)),"",(VLOOKUP($B235,'B-1 Site Hedge Baseline'!$B$1:$L$257,6,FALSE))))</f>
        <v/>
      </c>
      <c r="G235" s="520" t="str">
        <f>IF(B235="","",IF(ISNA(VLOOKUP($B235,'B-1 Site Hedge Baseline'!$B$1:$L$257,7,FALSE)),"",(VLOOKUP($B235,'B-1 Site Hedge Baseline'!$B$1:$L$257,7,FALSE))))</f>
        <v/>
      </c>
      <c r="H235" s="520" t="str">
        <f>IF(B235="","",IF(ISNA(VLOOKUP($B235,'B-1 Site Hedge Baseline'!$B$1:$L$257,8,FALSE)),"",(VLOOKUP($B235,'B-1 Site Hedge Baseline'!$B$1:$L$257,8,FALSE))))</f>
        <v/>
      </c>
      <c r="I235" s="520" t="str">
        <f>IF(B235="","",IF(ISNA(VLOOKUP($B235,'B-1 Site Hedge Baseline'!$B$1:$L$257,10,FALSE)),"",(VLOOKUP($B235,'B-1 Site Hedge Baseline'!$B$1:$L$257,10,FALSE))))</f>
        <v/>
      </c>
      <c r="J235" s="520" t="str">
        <f>IF(B235="","",IF(ISNA(VLOOKUP($B235,'B-1 Site Hedge Baseline'!$B$1:$L$257,11,FALSE)),"",(VLOOKUP($B235,'B-1 Site Hedge Baseline'!$B$1:$L$257,11,FALSE))))</f>
        <v/>
      </c>
      <c r="K235" s="520" t="str">
        <f>IF(B235="","",IF(ISNA(VLOOKUP($B235,'B-1 Site Hedge Baseline'!$B$1:$U$257,13,FALSE)),"",(VLOOKUP($B235,'B-1 Site Hedge Baseline'!$B$1:$U$257,13,FALSE))))</f>
        <v/>
      </c>
      <c r="L235" s="524" t="str">
        <f>IF(B235="","",IF(ISNA(VLOOKUP($B235,'B-1 Site Hedge Baseline'!$B$1:$U$257,12,FALSE)),"",(VLOOKUP($B235,'B-1 Site Hedge Baseline'!$B$1:$U$257,12,FALSE))))</f>
        <v/>
      </c>
      <c r="M235" s="416" t="str">
        <f t="shared" si="31"/>
        <v/>
      </c>
      <c r="N235" s="498" t="str">
        <f>IFERROR(IF(B235="","",INDEX('G-6 Hedgerow Data'!$AN$3:$AZ$15,MATCH(C235,'G-6 Hedgerow Data'!$AM$3:$AM$15,0),MATCH(M235,'G-6 Hedgerow Data'!$AN$2:$AZ$2,0))),"")</f>
        <v/>
      </c>
      <c r="O235" s="499" t="str">
        <f t="shared" si="26"/>
        <v/>
      </c>
      <c r="P235" s="559" t="str">
        <f>IF(B235="","",VLOOKUP(B235,'B-1 Site Hedge Baseline'!$B$10:T480,16,FALSE))</f>
        <v/>
      </c>
      <c r="Q235" s="498" t="str">
        <f>IF(M235="","",VLOOKUP(M235,'G-6 Hedgerow Data'!$B$2:$AG$15,2,FALSE))</f>
        <v/>
      </c>
      <c r="R235" s="499" t="str">
        <f>IF(M235="","",VLOOKUP(M235,'G-6 Hedgerow Data'!$B$2:$AG$15,3,FALSE))</f>
        <v/>
      </c>
      <c r="S235" s="157"/>
      <c r="T235" s="540" t="str">
        <f>IFERROR(VLOOKUP(S235,'G-1 All Habitats'!$Z$2:$AA$9,2,FALSE),"")</f>
        <v/>
      </c>
      <c r="U235" s="154"/>
      <c r="V235" s="520" t="str">
        <f>IF(U235="","",IF(VLOOKUP(U235,'G-3 Multipliers'!$L$3:$N$6,2,FALSE)=0,"Spatial Data Missing ⚠",VLOOKUP(U235,'G-3 Multipliers'!$L$3:$N$6,2,FALSE)))</f>
        <v/>
      </c>
      <c r="W235" s="524" t="str">
        <f>IF(U235="","",IF(VLOOKUP(U235,'G-3 Multipliers'!$L$3:$N$6,3,FALSE)=0,"Spatial Data Missing ⚠",VLOOKUP(U235,'G-3 Multipliers'!$L$3:$N$6,3,FALSE)))</f>
        <v/>
      </c>
      <c r="X235" s="498" t="str">
        <f>IFERROR(IF(OR(LEFT(O235,5)="Error ▲",LEFT(N235,5)="Error ▲",T235="Error ▲"),"Check Data ⚠",IF(F235&lt;R235,INDEX('G-6 Hedgerow Data'!$S$3:$AE$14,MATCH(C235,'G-6 Hedgerow Data'!$B$3:$B$14,0),MATCH(M235,'G-6 Hedgerow Data'!$S$2:$AE$2,0)),INDEX('G-6 Hedgerow Data'!$K$3:$Q$14,MATCH(M235,'G-6 Hedgerow Data'!$B$3:$B$14,0),MATCH(O235,'G-6 Hedgerow Data'!$K$2:$Q$2,0)))),"")</f>
        <v/>
      </c>
      <c r="Y235" s="195"/>
      <c r="Z235" s="195"/>
      <c r="AA235" s="507" t="str">
        <f t="shared" si="27"/>
        <v/>
      </c>
      <c r="AB235" s="521" t="str">
        <f t="shared" si="28"/>
        <v/>
      </c>
      <c r="AC235" s="522" t="str">
        <f t="shared" si="24"/>
        <v/>
      </c>
      <c r="AD235" s="537" t="str">
        <f>IF(M235="","",VLOOKUP(M235,'G-6 Hedgerow Data'!$B$3:$AG$15,31,FALSE))</f>
        <v/>
      </c>
      <c r="AE235" s="507" t="str">
        <f t="shared" si="29"/>
        <v/>
      </c>
      <c r="AF235" s="507" t="str">
        <f t="shared" si="30"/>
        <v/>
      </c>
      <c r="AG235" s="524" t="str">
        <f>IFERROR(IF(O235="","",VLOOKUP(AD235,'G-3 Multipliers'!$P$3:$Q$6,2,FALSE)),"")</f>
        <v/>
      </c>
      <c r="AH235" s="513" t="str">
        <f t="shared" si="25"/>
        <v/>
      </c>
      <c r="AI235" s="231"/>
      <c r="AJ235" s="150"/>
      <c r="AT235" s="31" t="str">
        <f>IFERROR(INDEX('G-6 Hedgerow Data'!$BJ$3:$BJ$15,MATCH(M235,'G-6 Hedgerow Data'!$B$3:$B$15,0)),"")</f>
        <v/>
      </c>
    </row>
    <row r="236" spans="2:46" ht="14" x14ac:dyDescent="0.3">
      <c r="B236" s="531" t="str">
        <f>'B-1 Site Hedge Baseline'!AK234</f>
        <v/>
      </c>
      <c r="C236" s="520" t="str">
        <f>IF(B236="","",IF(ISNA(VLOOKUP($B236,'B-1 Site Hedge Baseline'!$B$1:$L$257,3,FALSE)),"",(VLOOKUP($B236,'B-1 Site Hedge Baseline'!$B$1:$L$257,3,FALSE))))</f>
        <v/>
      </c>
      <c r="D236" s="520" t="str">
        <f>IF(B236="","",IF(ISNA(VLOOKUP($B236,'B-1 Site Hedge Baseline'!$B$1:$L$257,4,FALSE)),"",(VLOOKUP($B236,'B-1 Site Hedge Baseline'!$B$1:$L$257,4,FALSE))))</f>
        <v/>
      </c>
      <c r="E236" s="520" t="str">
        <f>IF(B236="","",IF(ISNA(VLOOKUP($B236,'B-1 Site Hedge Baseline'!$B$1:$L$257,5,FALSE)),"",(VLOOKUP($B236,'B-1 Site Hedge Baseline'!$B$1:$L$257,5,FALSE))))</f>
        <v/>
      </c>
      <c r="F236" s="520" t="str">
        <f>IF(B236="","",IF(ISNA(VLOOKUP($B236,'B-1 Site Hedge Baseline'!$B$1:$L$257,6,FALSE)),"",(VLOOKUP($B236,'B-1 Site Hedge Baseline'!$B$1:$L$257,6,FALSE))))</f>
        <v/>
      </c>
      <c r="G236" s="520" t="str">
        <f>IF(B236="","",IF(ISNA(VLOOKUP($B236,'B-1 Site Hedge Baseline'!$B$1:$L$257,7,FALSE)),"",(VLOOKUP($B236,'B-1 Site Hedge Baseline'!$B$1:$L$257,7,FALSE))))</f>
        <v/>
      </c>
      <c r="H236" s="520" t="str">
        <f>IF(B236="","",IF(ISNA(VLOOKUP($B236,'B-1 Site Hedge Baseline'!$B$1:$L$257,8,FALSE)),"",(VLOOKUP($B236,'B-1 Site Hedge Baseline'!$B$1:$L$257,8,FALSE))))</f>
        <v/>
      </c>
      <c r="I236" s="520" t="str">
        <f>IF(B236="","",IF(ISNA(VLOOKUP($B236,'B-1 Site Hedge Baseline'!$B$1:$L$257,10,FALSE)),"",(VLOOKUP($B236,'B-1 Site Hedge Baseline'!$B$1:$L$257,10,FALSE))))</f>
        <v/>
      </c>
      <c r="J236" s="520" t="str">
        <f>IF(B236="","",IF(ISNA(VLOOKUP($B236,'B-1 Site Hedge Baseline'!$B$1:$L$257,11,FALSE)),"",(VLOOKUP($B236,'B-1 Site Hedge Baseline'!$B$1:$L$257,11,FALSE))))</f>
        <v/>
      </c>
      <c r="K236" s="520" t="str">
        <f>IF(B236="","",IF(ISNA(VLOOKUP($B236,'B-1 Site Hedge Baseline'!$B$1:$U$257,13,FALSE)),"",(VLOOKUP($B236,'B-1 Site Hedge Baseline'!$B$1:$U$257,13,FALSE))))</f>
        <v/>
      </c>
      <c r="L236" s="524" t="str">
        <f>IF(B236="","",IF(ISNA(VLOOKUP($B236,'B-1 Site Hedge Baseline'!$B$1:$U$257,12,FALSE)),"",(VLOOKUP($B236,'B-1 Site Hedge Baseline'!$B$1:$U$257,12,FALSE))))</f>
        <v/>
      </c>
      <c r="M236" s="416" t="str">
        <f t="shared" si="31"/>
        <v/>
      </c>
      <c r="N236" s="498" t="str">
        <f>IFERROR(IF(B236="","",INDEX('G-6 Hedgerow Data'!$AN$3:$AZ$15,MATCH(C236,'G-6 Hedgerow Data'!$AM$3:$AM$15,0),MATCH(M236,'G-6 Hedgerow Data'!$AN$2:$AZ$2,0))),"")</f>
        <v/>
      </c>
      <c r="O236" s="499" t="str">
        <f t="shared" si="26"/>
        <v/>
      </c>
      <c r="P236" s="559" t="str">
        <f>IF(B236="","",VLOOKUP(B236,'B-1 Site Hedge Baseline'!$B$10:T481,16,FALSE))</f>
        <v/>
      </c>
      <c r="Q236" s="498" t="str">
        <f>IF(M236="","",VLOOKUP(M236,'G-6 Hedgerow Data'!$B$2:$AG$15,2,FALSE))</f>
        <v/>
      </c>
      <c r="R236" s="499" t="str">
        <f>IF(M236="","",VLOOKUP(M236,'G-6 Hedgerow Data'!$B$2:$AG$15,3,FALSE))</f>
        <v/>
      </c>
      <c r="S236" s="157"/>
      <c r="T236" s="540" t="str">
        <f>IFERROR(VLOOKUP(S236,'G-1 All Habitats'!$Z$2:$AA$9,2,FALSE),"")</f>
        <v/>
      </c>
      <c r="U236" s="154"/>
      <c r="V236" s="520" t="str">
        <f>IF(U236="","",IF(VLOOKUP(U236,'G-3 Multipliers'!$L$3:$N$6,2,FALSE)=0,"Spatial Data Missing ⚠",VLOOKUP(U236,'G-3 Multipliers'!$L$3:$N$6,2,FALSE)))</f>
        <v/>
      </c>
      <c r="W236" s="524" t="str">
        <f>IF(U236="","",IF(VLOOKUP(U236,'G-3 Multipliers'!$L$3:$N$6,3,FALSE)=0,"Spatial Data Missing ⚠",VLOOKUP(U236,'G-3 Multipliers'!$L$3:$N$6,3,FALSE)))</f>
        <v/>
      </c>
      <c r="X236" s="498" t="str">
        <f>IFERROR(IF(OR(LEFT(O236,5)="Error ▲",LEFT(N236,5)="Error ▲",T236="Error ▲"),"Check Data ⚠",IF(F236&lt;R236,INDEX('G-6 Hedgerow Data'!$S$3:$AE$14,MATCH(C236,'G-6 Hedgerow Data'!$B$3:$B$14,0),MATCH(M236,'G-6 Hedgerow Data'!$S$2:$AE$2,0)),INDEX('G-6 Hedgerow Data'!$K$3:$Q$14,MATCH(M236,'G-6 Hedgerow Data'!$B$3:$B$14,0),MATCH(O236,'G-6 Hedgerow Data'!$K$2:$Q$2,0)))),"")</f>
        <v/>
      </c>
      <c r="Y236" s="195"/>
      <c r="Z236" s="195"/>
      <c r="AA236" s="507" t="str">
        <f t="shared" si="27"/>
        <v/>
      </c>
      <c r="AB236" s="521" t="str">
        <f t="shared" si="28"/>
        <v/>
      </c>
      <c r="AC236" s="522" t="str">
        <f t="shared" si="24"/>
        <v/>
      </c>
      <c r="AD236" s="537" t="str">
        <f>IF(M236="","",VLOOKUP(M236,'G-6 Hedgerow Data'!$B$3:$AG$15,31,FALSE))</f>
        <v/>
      </c>
      <c r="AE236" s="507" t="str">
        <f t="shared" si="29"/>
        <v/>
      </c>
      <c r="AF236" s="507" t="str">
        <f t="shared" si="30"/>
        <v/>
      </c>
      <c r="AG236" s="524" t="str">
        <f>IFERROR(IF(O236="","",VLOOKUP(AD236,'G-3 Multipliers'!$P$3:$Q$6,2,FALSE)),"")</f>
        <v/>
      </c>
      <c r="AH236" s="513" t="str">
        <f t="shared" si="25"/>
        <v/>
      </c>
      <c r="AI236" s="231"/>
      <c r="AJ236" s="150"/>
      <c r="AT236" s="31" t="str">
        <f>IFERROR(INDEX('G-6 Hedgerow Data'!$BJ$3:$BJ$15,MATCH(M236,'G-6 Hedgerow Data'!$B$3:$B$15,0)),"")</f>
        <v/>
      </c>
    </row>
    <row r="237" spans="2:46" ht="14" x14ac:dyDescent="0.3">
      <c r="B237" s="531" t="str">
        <f>'B-1 Site Hedge Baseline'!AK235</f>
        <v/>
      </c>
      <c r="C237" s="520" t="str">
        <f>IF(B237="","",IF(ISNA(VLOOKUP($B237,'B-1 Site Hedge Baseline'!$B$1:$L$257,3,FALSE)),"",(VLOOKUP($B237,'B-1 Site Hedge Baseline'!$B$1:$L$257,3,FALSE))))</f>
        <v/>
      </c>
      <c r="D237" s="520" t="str">
        <f>IF(B237="","",IF(ISNA(VLOOKUP($B237,'B-1 Site Hedge Baseline'!$B$1:$L$257,4,FALSE)),"",(VLOOKUP($B237,'B-1 Site Hedge Baseline'!$B$1:$L$257,4,FALSE))))</f>
        <v/>
      </c>
      <c r="E237" s="520" t="str">
        <f>IF(B237="","",IF(ISNA(VLOOKUP($B237,'B-1 Site Hedge Baseline'!$B$1:$L$257,5,FALSE)),"",(VLOOKUP($B237,'B-1 Site Hedge Baseline'!$B$1:$L$257,5,FALSE))))</f>
        <v/>
      </c>
      <c r="F237" s="520" t="str">
        <f>IF(B237="","",IF(ISNA(VLOOKUP($B237,'B-1 Site Hedge Baseline'!$B$1:$L$257,6,FALSE)),"",(VLOOKUP($B237,'B-1 Site Hedge Baseline'!$B$1:$L$257,6,FALSE))))</f>
        <v/>
      </c>
      <c r="G237" s="520" t="str">
        <f>IF(B237="","",IF(ISNA(VLOOKUP($B237,'B-1 Site Hedge Baseline'!$B$1:$L$257,7,FALSE)),"",(VLOOKUP($B237,'B-1 Site Hedge Baseline'!$B$1:$L$257,7,FALSE))))</f>
        <v/>
      </c>
      <c r="H237" s="520" t="str">
        <f>IF(B237="","",IF(ISNA(VLOOKUP($B237,'B-1 Site Hedge Baseline'!$B$1:$L$257,8,FALSE)),"",(VLOOKUP($B237,'B-1 Site Hedge Baseline'!$B$1:$L$257,8,FALSE))))</f>
        <v/>
      </c>
      <c r="I237" s="520" t="str">
        <f>IF(B237="","",IF(ISNA(VLOOKUP($B237,'B-1 Site Hedge Baseline'!$B$1:$L$257,10,FALSE)),"",(VLOOKUP($B237,'B-1 Site Hedge Baseline'!$B$1:$L$257,10,FALSE))))</f>
        <v/>
      </c>
      <c r="J237" s="520" t="str">
        <f>IF(B237="","",IF(ISNA(VLOOKUP($B237,'B-1 Site Hedge Baseline'!$B$1:$L$257,11,FALSE)),"",(VLOOKUP($B237,'B-1 Site Hedge Baseline'!$B$1:$L$257,11,FALSE))))</f>
        <v/>
      </c>
      <c r="K237" s="520" t="str">
        <f>IF(B237="","",IF(ISNA(VLOOKUP($B237,'B-1 Site Hedge Baseline'!$B$1:$U$257,13,FALSE)),"",(VLOOKUP($B237,'B-1 Site Hedge Baseline'!$B$1:$U$257,13,FALSE))))</f>
        <v/>
      </c>
      <c r="L237" s="524" t="str">
        <f>IF(B237="","",IF(ISNA(VLOOKUP($B237,'B-1 Site Hedge Baseline'!$B$1:$U$257,12,FALSE)),"",(VLOOKUP($B237,'B-1 Site Hedge Baseline'!$B$1:$U$257,12,FALSE))))</f>
        <v/>
      </c>
      <c r="M237" s="416" t="str">
        <f t="shared" si="31"/>
        <v/>
      </c>
      <c r="N237" s="498" t="str">
        <f>IFERROR(IF(B237="","",INDEX('G-6 Hedgerow Data'!$AN$3:$AZ$15,MATCH(C237,'G-6 Hedgerow Data'!$AM$3:$AM$15,0),MATCH(M237,'G-6 Hedgerow Data'!$AN$2:$AZ$2,0))),"")</f>
        <v/>
      </c>
      <c r="O237" s="499" t="str">
        <f t="shared" si="26"/>
        <v/>
      </c>
      <c r="P237" s="559" t="str">
        <f>IF(B237="","",VLOOKUP(B237,'B-1 Site Hedge Baseline'!$B$10:T482,16,FALSE))</f>
        <v/>
      </c>
      <c r="Q237" s="498" t="str">
        <f>IF(M237="","",VLOOKUP(M237,'G-6 Hedgerow Data'!$B$2:$AG$15,2,FALSE))</f>
        <v/>
      </c>
      <c r="R237" s="499" t="str">
        <f>IF(M237="","",VLOOKUP(M237,'G-6 Hedgerow Data'!$B$2:$AG$15,3,FALSE))</f>
        <v/>
      </c>
      <c r="S237" s="157"/>
      <c r="T237" s="540" t="str">
        <f>IFERROR(VLOOKUP(S237,'G-1 All Habitats'!$Z$2:$AA$9,2,FALSE),"")</f>
        <v/>
      </c>
      <c r="U237" s="154"/>
      <c r="V237" s="520" t="str">
        <f>IF(U237="","",IF(VLOOKUP(U237,'G-3 Multipliers'!$L$3:$N$6,2,FALSE)=0,"Spatial Data Missing ⚠",VLOOKUP(U237,'G-3 Multipliers'!$L$3:$N$6,2,FALSE)))</f>
        <v/>
      </c>
      <c r="W237" s="524" t="str">
        <f>IF(U237="","",IF(VLOOKUP(U237,'G-3 Multipliers'!$L$3:$N$6,3,FALSE)=0,"Spatial Data Missing ⚠",VLOOKUP(U237,'G-3 Multipliers'!$L$3:$N$6,3,FALSE)))</f>
        <v/>
      </c>
      <c r="X237" s="498" t="str">
        <f>IFERROR(IF(OR(LEFT(O237,5)="Error ▲",LEFT(N237,5)="Error ▲",T237="Error ▲"),"Check Data ⚠",IF(F237&lt;R237,INDEX('G-6 Hedgerow Data'!$S$3:$AE$14,MATCH(C237,'G-6 Hedgerow Data'!$B$3:$B$14,0),MATCH(M237,'G-6 Hedgerow Data'!$S$2:$AE$2,0)),INDEX('G-6 Hedgerow Data'!$K$3:$Q$14,MATCH(M237,'G-6 Hedgerow Data'!$B$3:$B$14,0),MATCH(O237,'G-6 Hedgerow Data'!$K$2:$Q$2,0)))),"")</f>
        <v/>
      </c>
      <c r="Y237" s="195"/>
      <c r="Z237" s="195"/>
      <c r="AA237" s="507" t="str">
        <f t="shared" si="27"/>
        <v/>
      </c>
      <c r="AB237" s="521" t="str">
        <f t="shared" si="28"/>
        <v/>
      </c>
      <c r="AC237" s="522" t="str">
        <f t="shared" si="24"/>
        <v/>
      </c>
      <c r="AD237" s="537" t="str">
        <f>IF(M237="","",VLOOKUP(M237,'G-6 Hedgerow Data'!$B$3:$AG$15,31,FALSE))</f>
        <v/>
      </c>
      <c r="AE237" s="507" t="str">
        <f t="shared" si="29"/>
        <v/>
      </c>
      <c r="AF237" s="507" t="str">
        <f t="shared" si="30"/>
        <v/>
      </c>
      <c r="AG237" s="524" t="str">
        <f>IFERROR(IF(O237="","",VLOOKUP(AD237,'G-3 Multipliers'!$P$3:$Q$6,2,FALSE)),"")</f>
        <v/>
      </c>
      <c r="AH237" s="513" t="str">
        <f t="shared" si="25"/>
        <v/>
      </c>
      <c r="AI237" s="231"/>
      <c r="AJ237" s="150"/>
      <c r="AT237" s="31" t="str">
        <f>IFERROR(INDEX('G-6 Hedgerow Data'!$BJ$3:$BJ$15,MATCH(M237,'G-6 Hedgerow Data'!$B$3:$B$15,0)),"")</f>
        <v/>
      </c>
    </row>
    <row r="238" spans="2:46" ht="14" x14ac:dyDescent="0.3">
      <c r="B238" s="531" t="str">
        <f>'B-1 Site Hedge Baseline'!AK236</f>
        <v/>
      </c>
      <c r="C238" s="520" t="str">
        <f>IF(B238="","",IF(ISNA(VLOOKUP($B238,'B-1 Site Hedge Baseline'!$B$1:$L$257,3,FALSE)),"",(VLOOKUP($B238,'B-1 Site Hedge Baseline'!$B$1:$L$257,3,FALSE))))</f>
        <v/>
      </c>
      <c r="D238" s="520" t="str">
        <f>IF(B238="","",IF(ISNA(VLOOKUP($B238,'B-1 Site Hedge Baseline'!$B$1:$L$257,4,FALSE)),"",(VLOOKUP($B238,'B-1 Site Hedge Baseline'!$B$1:$L$257,4,FALSE))))</f>
        <v/>
      </c>
      <c r="E238" s="520" t="str">
        <f>IF(B238="","",IF(ISNA(VLOOKUP($B238,'B-1 Site Hedge Baseline'!$B$1:$L$257,5,FALSE)),"",(VLOOKUP($B238,'B-1 Site Hedge Baseline'!$B$1:$L$257,5,FALSE))))</f>
        <v/>
      </c>
      <c r="F238" s="520" t="str">
        <f>IF(B238="","",IF(ISNA(VLOOKUP($B238,'B-1 Site Hedge Baseline'!$B$1:$L$257,6,FALSE)),"",(VLOOKUP($B238,'B-1 Site Hedge Baseline'!$B$1:$L$257,6,FALSE))))</f>
        <v/>
      </c>
      <c r="G238" s="520" t="str">
        <f>IF(B238="","",IF(ISNA(VLOOKUP($B238,'B-1 Site Hedge Baseline'!$B$1:$L$257,7,FALSE)),"",(VLOOKUP($B238,'B-1 Site Hedge Baseline'!$B$1:$L$257,7,FALSE))))</f>
        <v/>
      </c>
      <c r="H238" s="520" t="str">
        <f>IF(B238="","",IF(ISNA(VLOOKUP($B238,'B-1 Site Hedge Baseline'!$B$1:$L$257,8,FALSE)),"",(VLOOKUP($B238,'B-1 Site Hedge Baseline'!$B$1:$L$257,8,FALSE))))</f>
        <v/>
      </c>
      <c r="I238" s="520" t="str">
        <f>IF(B238="","",IF(ISNA(VLOOKUP($B238,'B-1 Site Hedge Baseline'!$B$1:$L$257,10,FALSE)),"",(VLOOKUP($B238,'B-1 Site Hedge Baseline'!$B$1:$L$257,10,FALSE))))</f>
        <v/>
      </c>
      <c r="J238" s="520" t="str">
        <f>IF(B238="","",IF(ISNA(VLOOKUP($B238,'B-1 Site Hedge Baseline'!$B$1:$L$257,11,FALSE)),"",(VLOOKUP($B238,'B-1 Site Hedge Baseline'!$B$1:$L$257,11,FALSE))))</f>
        <v/>
      </c>
      <c r="K238" s="520" t="str">
        <f>IF(B238="","",IF(ISNA(VLOOKUP($B238,'B-1 Site Hedge Baseline'!$B$1:$U$257,13,FALSE)),"",(VLOOKUP($B238,'B-1 Site Hedge Baseline'!$B$1:$U$257,13,FALSE))))</f>
        <v/>
      </c>
      <c r="L238" s="524" t="str">
        <f>IF(B238="","",IF(ISNA(VLOOKUP($B238,'B-1 Site Hedge Baseline'!$B$1:$U$257,12,FALSE)),"",(VLOOKUP($B238,'B-1 Site Hedge Baseline'!$B$1:$U$257,12,FALSE))))</f>
        <v/>
      </c>
      <c r="M238" s="416" t="str">
        <f t="shared" si="31"/>
        <v/>
      </c>
      <c r="N238" s="498" t="str">
        <f>IFERROR(IF(B238="","",INDEX('G-6 Hedgerow Data'!$AN$3:$AZ$15,MATCH(C238,'G-6 Hedgerow Data'!$AM$3:$AM$15,0),MATCH(M238,'G-6 Hedgerow Data'!$AN$2:$AZ$2,0))),"")</f>
        <v/>
      </c>
      <c r="O238" s="499" t="str">
        <f t="shared" si="26"/>
        <v/>
      </c>
      <c r="P238" s="559" t="str">
        <f>IF(B238="","",VLOOKUP(B238,'B-1 Site Hedge Baseline'!$B$10:T483,16,FALSE))</f>
        <v/>
      </c>
      <c r="Q238" s="498" t="str">
        <f>IF(M238="","",VLOOKUP(M238,'G-6 Hedgerow Data'!$B$2:$AG$15,2,FALSE))</f>
        <v/>
      </c>
      <c r="R238" s="499" t="str">
        <f>IF(M238="","",VLOOKUP(M238,'G-6 Hedgerow Data'!$B$2:$AG$15,3,FALSE))</f>
        <v/>
      </c>
      <c r="S238" s="157"/>
      <c r="T238" s="540" t="str">
        <f>IFERROR(VLOOKUP(S238,'G-1 All Habitats'!$Z$2:$AA$9,2,FALSE),"")</f>
        <v/>
      </c>
      <c r="U238" s="154"/>
      <c r="V238" s="520" t="str">
        <f>IF(U238="","",IF(VLOOKUP(U238,'G-3 Multipliers'!$L$3:$N$6,2,FALSE)=0,"Spatial Data Missing ⚠",VLOOKUP(U238,'G-3 Multipliers'!$L$3:$N$6,2,FALSE)))</f>
        <v/>
      </c>
      <c r="W238" s="524" t="str">
        <f>IF(U238="","",IF(VLOOKUP(U238,'G-3 Multipliers'!$L$3:$N$6,3,FALSE)=0,"Spatial Data Missing ⚠",VLOOKUP(U238,'G-3 Multipliers'!$L$3:$N$6,3,FALSE)))</f>
        <v/>
      </c>
      <c r="X238" s="498" t="str">
        <f>IFERROR(IF(OR(LEFT(O238,5)="Error ▲",LEFT(N238,5)="Error ▲",T238="Error ▲"),"Check Data ⚠",IF(F238&lt;R238,INDEX('G-6 Hedgerow Data'!$S$3:$AE$14,MATCH(C238,'G-6 Hedgerow Data'!$B$3:$B$14,0),MATCH(M238,'G-6 Hedgerow Data'!$S$2:$AE$2,0)),INDEX('G-6 Hedgerow Data'!$K$3:$Q$14,MATCH(M238,'G-6 Hedgerow Data'!$B$3:$B$14,0),MATCH(O238,'G-6 Hedgerow Data'!$K$2:$Q$2,0)))),"")</f>
        <v/>
      </c>
      <c r="Y238" s="195"/>
      <c r="Z238" s="195"/>
      <c r="AA238" s="507" t="str">
        <f t="shared" si="27"/>
        <v/>
      </c>
      <c r="AB238" s="521" t="str">
        <f t="shared" si="28"/>
        <v/>
      </c>
      <c r="AC238" s="522" t="str">
        <f t="shared" si="24"/>
        <v/>
      </c>
      <c r="AD238" s="537" t="str">
        <f>IF(M238="","",VLOOKUP(M238,'G-6 Hedgerow Data'!$B$3:$AG$15,31,FALSE))</f>
        <v/>
      </c>
      <c r="AE238" s="507" t="str">
        <f t="shared" si="29"/>
        <v/>
      </c>
      <c r="AF238" s="507" t="str">
        <f t="shared" si="30"/>
        <v/>
      </c>
      <c r="AG238" s="524" t="str">
        <f>IFERROR(IF(O238="","",VLOOKUP(AD238,'G-3 Multipliers'!$P$3:$Q$6,2,FALSE)),"")</f>
        <v/>
      </c>
      <c r="AH238" s="513" t="str">
        <f t="shared" si="25"/>
        <v/>
      </c>
      <c r="AI238" s="231"/>
      <c r="AJ238" s="150"/>
      <c r="AT238" s="31" t="str">
        <f>IFERROR(INDEX('G-6 Hedgerow Data'!$BJ$3:$BJ$15,MATCH(M238,'G-6 Hedgerow Data'!$B$3:$B$15,0)),"")</f>
        <v/>
      </c>
    </row>
    <row r="239" spans="2:46" ht="14" x14ac:dyDescent="0.3">
      <c r="B239" s="531" t="str">
        <f>'B-1 Site Hedge Baseline'!AK237</f>
        <v/>
      </c>
      <c r="C239" s="520" t="str">
        <f>IF(B239="","",IF(ISNA(VLOOKUP($B239,'B-1 Site Hedge Baseline'!$B$1:$L$257,3,FALSE)),"",(VLOOKUP($B239,'B-1 Site Hedge Baseline'!$B$1:$L$257,3,FALSE))))</f>
        <v/>
      </c>
      <c r="D239" s="520" t="str">
        <f>IF(B239="","",IF(ISNA(VLOOKUP($B239,'B-1 Site Hedge Baseline'!$B$1:$L$257,4,FALSE)),"",(VLOOKUP($B239,'B-1 Site Hedge Baseline'!$B$1:$L$257,4,FALSE))))</f>
        <v/>
      </c>
      <c r="E239" s="520" t="str">
        <f>IF(B239="","",IF(ISNA(VLOOKUP($B239,'B-1 Site Hedge Baseline'!$B$1:$L$257,5,FALSE)),"",(VLOOKUP($B239,'B-1 Site Hedge Baseline'!$B$1:$L$257,5,FALSE))))</f>
        <v/>
      </c>
      <c r="F239" s="520" t="str">
        <f>IF(B239="","",IF(ISNA(VLOOKUP($B239,'B-1 Site Hedge Baseline'!$B$1:$L$257,6,FALSE)),"",(VLOOKUP($B239,'B-1 Site Hedge Baseline'!$B$1:$L$257,6,FALSE))))</f>
        <v/>
      </c>
      <c r="G239" s="520" t="str">
        <f>IF(B239="","",IF(ISNA(VLOOKUP($B239,'B-1 Site Hedge Baseline'!$B$1:$L$257,7,FALSE)),"",(VLOOKUP($B239,'B-1 Site Hedge Baseline'!$B$1:$L$257,7,FALSE))))</f>
        <v/>
      </c>
      <c r="H239" s="520" t="str">
        <f>IF(B239="","",IF(ISNA(VLOOKUP($B239,'B-1 Site Hedge Baseline'!$B$1:$L$257,8,FALSE)),"",(VLOOKUP($B239,'B-1 Site Hedge Baseline'!$B$1:$L$257,8,FALSE))))</f>
        <v/>
      </c>
      <c r="I239" s="520" t="str">
        <f>IF(B239="","",IF(ISNA(VLOOKUP($B239,'B-1 Site Hedge Baseline'!$B$1:$L$257,10,FALSE)),"",(VLOOKUP($B239,'B-1 Site Hedge Baseline'!$B$1:$L$257,10,FALSE))))</f>
        <v/>
      </c>
      <c r="J239" s="520" t="str">
        <f>IF(B239="","",IF(ISNA(VLOOKUP($B239,'B-1 Site Hedge Baseline'!$B$1:$L$257,11,FALSE)),"",(VLOOKUP($B239,'B-1 Site Hedge Baseline'!$B$1:$L$257,11,FALSE))))</f>
        <v/>
      </c>
      <c r="K239" s="520" t="str">
        <f>IF(B239="","",IF(ISNA(VLOOKUP($B239,'B-1 Site Hedge Baseline'!$B$1:$U$257,13,FALSE)),"",(VLOOKUP($B239,'B-1 Site Hedge Baseline'!$B$1:$U$257,13,FALSE))))</f>
        <v/>
      </c>
      <c r="L239" s="524" t="str">
        <f>IF(B239="","",IF(ISNA(VLOOKUP($B239,'B-1 Site Hedge Baseline'!$B$1:$U$257,12,FALSE)),"",(VLOOKUP($B239,'B-1 Site Hedge Baseline'!$B$1:$U$257,12,FALSE))))</f>
        <v/>
      </c>
      <c r="M239" s="416" t="str">
        <f t="shared" si="31"/>
        <v/>
      </c>
      <c r="N239" s="498" t="str">
        <f>IFERROR(IF(B239="","",INDEX('G-6 Hedgerow Data'!$AN$3:$AZ$15,MATCH(C239,'G-6 Hedgerow Data'!$AM$3:$AM$15,0),MATCH(M239,'G-6 Hedgerow Data'!$AN$2:$AZ$2,0))),"")</f>
        <v/>
      </c>
      <c r="O239" s="499" t="str">
        <f t="shared" si="26"/>
        <v/>
      </c>
      <c r="P239" s="559" t="str">
        <f>IF(B239="","",VLOOKUP(B239,'B-1 Site Hedge Baseline'!$B$10:T484,16,FALSE))</f>
        <v/>
      </c>
      <c r="Q239" s="498" t="str">
        <f>IF(M239="","",VLOOKUP(M239,'G-6 Hedgerow Data'!$B$2:$AG$15,2,FALSE))</f>
        <v/>
      </c>
      <c r="R239" s="499" t="str">
        <f>IF(M239="","",VLOOKUP(M239,'G-6 Hedgerow Data'!$B$2:$AG$15,3,FALSE))</f>
        <v/>
      </c>
      <c r="S239" s="157"/>
      <c r="T239" s="540" t="str">
        <f>IFERROR(VLOOKUP(S239,'G-1 All Habitats'!$Z$2:$AA$9,2,FALSE),"")</f>
        <v/>
      </c>
      <c r="U239" s="154"/>
      <c r="V239" s="520" t="str">
        <f>IF(U239="","",IF(VLOOKUP(U239,'G-3 Multipliers'!$L$3:$N$6,2,FALSE)=0,"Spatial Data Missing ⚠",VLOOKUP(U239,'G-3 Multipliers'!$L$3:$N$6,2,FALSE)))</f>
        <v/>
      </c>
      <c r="W239" s="524" t="str">
        <f>IF(U239="","",IF(VLOOKUP(U239,'G-3 Multipliers'!$L$3:$N$6,3,FALSE)=0,"Spatial Data Missing ⚠",VLOOKUP(U239,'G-3 Multipliers'!$L$3:$N$6,3,FALSE)))</f>
        <v/>
      </c>
      <c r="X239" s="498" t="str">
        <f>IFERROR(IF(OR(LEFT(O239,5)="Error ▲",LEFT(N239,5)="Error ▲",T239="Error ▲"),"Check Data ⚠",IF(F239&lt;R239,INDEX('G-6 Hedgerow Data'!$S$3:$AE$14,MATCH(C239,'G-6 Hedgerow Data'!$B$3:$B$14,0),MATCH(M239,'G-6 Hedgerow Data'!$S$2:$AE$2,0)),INDEX('G-6 Hedgerow Data'!$K$3:$Q$14,MATCH(M239,'G-6 Hedgerow Data'!$B$3:$B$14,0),MATCH(O239,'G-6 Hedgerow Data'!$K$2:$Q$2,0)))),"")</f>
        <v/>
      </c>
      <c r="Y239" s="195"/>
      <c r="Z239" s="195"/>
      <c r="AA239" s="507" t="str">
        <f t="shared" si="27"/>
        <v/>
      </c>
      <c r="AB239" s="521" t="str">
        <f t="shared" si="28"/>
        <v/>
      </c>
      <c r="AC239" s="522" t="str">
        <f t="shared" si="24"/>
        <v/>
      </c>
      <c r="AD239" s="537" t="str">
        <f>IF(M239="","",VLOOKUP(M239,'G-6 Hedgerow Data'!$B$3:$AG$15,31,FALSE))</f>
        <v/>
      </c>
      <c r="AE239" s="507" t="str">
        <f t="shared" si="29"/>
        <v/>
      </c>
      <c r="AF239" s="507" t="str">
        <f t="shared" si="30"/>
        <v/>
      </c>
      <c r="AG239" s="524" t="str">
        <f>IFERROR(IF(O239="","",VLOOKUP(AD239,'G-3 Multipliers'!$P$3:$Q$6,2,FALSE)),"")</f>
        <v/>
      </c>
      <c r="AH239" s="513" t="str">
        <f t="shared" si="25"/>
        <v/>
      </c>
      <c r="AI239" s="231"/>
      <c r="AJ239" s="150"/>
      <c r="AT239" s="31" t="str">
        <f>IFERROR(INDEX('G-6 Hedgerow Data'!$BJ$3:$BJ$15,MATCH(M239,'G-6 Hedgerow Data'!$B$3:$B$15,0)),"")</f>
        <v/>
      </c>
    </row>
    <row r="240" spans="2:46" ht="14" x14ac:dyDescent="0.3">
      <c r="B240" s="531" t="str">
        <f>'B-1 Site Hedge Baseline'!AK238</f>
        <v/>
      </c>
      <c r="C240" s="520" t="str">
        <f>IF(B240="","",IF(ISNA(VLOOKUP($B240,'B-1 Site Hedge Baseline'!$B$1:$L$257,3,FALSE)),"",(VLOOKUP($B240,'B-1 Site Hedge Baseline'!$B$1:$L$257,3,FALSE))))</f>
        <v/>
      </c>
      <c r="D240" s="520" t="str">
        <f>IF(B240="","",IF(ISNA(VLOOKUP($B240,'B-1 Site Hedge Baseline'!$B$1:$L$257,4,FALSE)),"",(VLOOKUP($B240,'B-1 Site Hedge Baseline'!$B$1:$L$257,4,FALSE))))</f>
        <v/>
      </c>
      <c r="E240" s="520" t="str">
        <f>IF(B240="","",IF(ISNA(VLOOKUP($B240,'B-1 Site Hedge Baseline'!$B$1:$L$257,5,FALSE)),"",(VLOOKUP($B240,'B-1 Site Hedge Baseline'!$B$1:$L$257,5,FALSE))))</f>
        <v/>
      </c>
      <c r="F240" s="520" t="str">
        <f>IF(B240="","",IF(ISNA(VLOOKUP($B240,'B-1 Site Hedge Baseline'!$B$1:$L$257,6,FALSE)),"",(VLOOKUP($B240,'B-1 Site Hedge Baseline'!$B$1:$L$257,6,FALSE))))</f>
        <v/>
      </c>
      <c r="G240" s="520" t="str">
        <f>IF(B240="","",IF(ISNA(VLOOKUP($B240,'B-1 Site Hedge Baseline'!$B$1:$L$257,7,FALSE)),"",(VLOOKUP($B240,'B-1 Site Hedge Baseline'!$B$1:$L$257,7,FALSE))))</f>
        <v/>
      </c>
      <c r="H240" s="520" t="str">
        <f>IF(B240="","",IF(ISNA(VLOOKUP($B240,'B-1 Site Hedge Baseline'!$B$1:$L$257,8,FALSE)),"",(VLOOKUP($B240,'B-1 Site Hedge Baseline'!$B$1:$L$257,8,FALSE))))</f>
        <v/>
      </c>
      <c r="I240" s="520" t="str">
        <f>IF(B240="","",IF(ISNA(VLOOKUP($B240,'B-1 Site Hedge Baseline'!$B$1:$L$257,10,FALSE)),"",(VLOOKUP($B240,'B-1 Site Hedge Baseline'!$B$1:$L$257,10,FALSE))))</f>
        <v/>
      </c>
      <c r="J240" s="520" t="str">
        <f>IF(B240="","",IF(ISNA(VLOOKUP($B240,'B-1 Site Hedge Baseline'!$B$1:$L$257,11,FALSE)),"",(VLOOKUP($B240,'B-1 Site Hedge Baseline'!$B$1:$L$257,11,FALSE))))</f>
        <v/>
      </c>
      <c r="K240" s="520" t="str">
        <f>IF(B240="","",IF(ISNA(VLOOKUP($B240,'B-1 Site Hedge Baseline'!$B$1:$U$257,13,FALSE)),"",(VLOOKUP($B240,'B-1 Site Hedge Baseline'!$B$1:$U$257,13,FALSE))))</f>
        <v/>
      </c>
      <c r="L240" s="524" t="str">
        <f>IF(B240="","",IF(ISNA(VLOOKUP($B240,'B-1 Site Hedge Baseline'!$B$1:$U$257,12,FALSE)),"",(VLOOKUP($B240,'B-1 Site Hedge Baseline'!$B$1:$U$257,12,FALSE))))</f>
        <v/>
      </c>
      <c r="M240" s="416" t="str">
        <f t="shared" si="31"/>
        <v/>
      </c>
      <c r="N240" s="498" t="str">
        <f>IFERROR(IF(B240="","",INDEX('G-6 Hedgerow Data'!$AN$3:$AZ$15,MATCH(C240,'G-6 Hedgerow Data'!$AM$3:$AM$15,0),MATCH(M240,'G-6 Hedgerow Data'!$AN$2:$AZ$2,0))),"")</f>
        <v/>
      </c>
      <c r="O240" s="499" t="str">
        <f t="shared" si="26"/>
        <v/>
      </c>
      <c r="P240" s="559" t="str">
        <f>IF(B240="","",VLOOKUP(B240,'B-1 Site Hedge Baseline'!$B$10:T485,16,FALSE))</f>
        <v/>
      </c>
      <c r="Q240" s="498" t="str">
        <f>IF(M240="","",VLOOKUP(M240,'G-6 Hedgerow Data'!$B$2:$AG$15,2,FALSE))</f>
        <v/>
      </c>
      <c r="R240" s="499" t="str">
        <f>IF(M240="","",VLOOKUP(M240,'G-6 Hedgerow Data'!$B$2:$AG$15,3,FALSE))</f>
        <v/>
      </c>
      <c r="S240" s="157"/>
      <c r="T240" s="540" t="str">
        <f>IFERROR(VLOOKUP(S240,'G-1 All Habitats'!$Z$2:$AA$9,2,FALSE),"")</f>
        <v/>
      </c>
      <c r="U240" s="154"/>
      <c r="V240" s="520" t="str">
        <f>IF(U240="","",IF(VLOOKUP(U240,'G-3 Multipliers'!$L$3:$N$6,2,FALSE)=0,"Spatial Data Missing ⚠",VLOOKUP(U240,'G-3 Multipliers'!$L$3:$N$6,2,FALSE)))</f>
        <v/>
      </c>
      <c r="W240" s="524" t="str">
        <f>IF(U240="","",IF(VLOOKUP(U240,'G-3 Multipliers'!$L$3:$N$6,3,FALSE)=0,"Spatial Data Missing ⚠",VLOOKUP(U240,'G-3 Multipliers'!$L$3:$N$6,3,FALSE)))</f>
        <v/>
      </c>
      <c r="X240" s="498" t="str">
        <f>IFERROR(IF(OR(LEFT(O240,5)="Error ▲",LEFT(N240,5)="Error ▲",T240="Error ▲"),"Check Data ⚠",IF(F240&lt;R240,INDEX('G-6 Hedgerow Data'!$S$3:$AE$14,MATCH(C240,'G-6 Hedgerow Data'!$B$3:$B$14,0),MATCH(M240,'G-6 Hedgerow Data'!$S$2:$AE$2,0)),INDEX('G-6 Hedgerow Data'!$K$3:$Q$14,MATCH(M240,'G-6 Hedgerow Data'!$B$3:$B$14,0),MATCH(O240,'G-6 Hedgerow Data'!$K$2:$Q$2,0)))),"")</f>
        <v/>
      </c>
      <c r="Y240" s="195"/>
      <c r="Z240" s="195"/>
      <c r="AA240" s="507" t="str">
        <f t="shared" si="27"/>
        <v/>
      </c>
      <c r="AB240" s="521" t="str">
        <f t="shared" si="28"/>
        <v/>
      </c>
      <c r="AC240" s="522" t="str">
        <f t="shared" si="24"/>
        <v/>
      </c>
      <c r="AD240" s="537" t="str">
        <f>IF(M240="","",VLOOKUP(M240,'G-6 Hedgerow Data'!$B$3:$AG$15,31,FALSE))</f>
        <v/>
      </c>
      <c r="AE240" s="507" t="str">
        <f t="shared" si="29"/>
        <v/>
      </c>
      <c r="AF240" s="507" t="str">
        <f t="shared" si="30"/>
        <v/>
      </c>
      <c r="AG240" s="524" t="str">
        <f>IFERROR(IF(O240="","",VLOOKUP(AD240,'G-3 Multipliers'!$P$3:$Q$6,2,FALSE)),"")</f>
        <v/>
      </c>
      <c r="AH240" s="513" t="str">
        <f t="shared" si="25"/>
        <v/>
      </c>
      <c r="AI240" s="231"/>
      <c r="AJ240" s="150"/>
      <c r="AT240" s="31" t="str">
        <f>IFERROR(INDEX('G-6 Hedgerow Data'!$BJ$3:$BJ$15,MATCH(M240,'G-6 Hedgerow Data'!$B$3:$B$15,0)),"")</f>
        <v/>
      </c>
    </row>
    <row r="241" spans="2:46" ht="14" x14ac:dyDescent="0.3">
      <c r="B241" s="531" t="str">
        <f>'B-1 Site Hedge Baseline'!AK239</f>
        <v/>
      </c>
      <c r="C241" s="520" t="str">
        <f>IF(B241="","",IF(ISNA(VLOOKUP($B241,'B-1 Site Hedge Baseline'!$B$1:$L$257,3,FALSE)),"",(VLOOKUP($B241,'B-1 Site Hedge Baseline'!$B$1:$L$257,3,FALSE))))</f>
        <v/>
      </c>
      <c r="D241" s="520" t="str">
        <f>IF(B241="","",IF(ISNA(VLOOKUP($B241,'B-1 Site Hedge Baseline'!$B$1:$L$257,4,FALSE)),"",(VLOOKUP($B241,'B-1 Site Hedge Baseline'!$B$1:$L$257,4,FALSE))))</f>
        <v/>
      </c>
      <c r="E241" s="520" t="str">
        <f>IF(B241="","",IF(ISNA(VLOOKUP($B241,'B-1 Site Hedge Baseline'!$B$1:$L$257,5,FALSE)),"",(VLOOKUP($B241,'B-1 Site Hedge Baseline'!$B$1:$L$257,5,FALSE))))</f>
        <v/>
      </c>
      <c r="F241" s="520" t="str">
        <f>IF(B241="","",IF(ISNA(VLOOKUP($B241,'B-1 Site Hedge Baseline'!$B$1:$L$257,6,FALSE)),"",(VLOOKUP($B241,'B-1 Site Hedge Baseline'!$B$1:$L$257,6,FALSE))))</f>
        <v/>
      </c>
      <c r="G241" s="520" t="str">
        <f>IF(B241="","",IF(ISNA(VLOOKUP($B241,'B-1 Site Hedge Baseline'!$B$1:$L$257,7,FALSE)),"",(VLOOKUP($B241,'B-1 Site Hedge Baseline'!$B$1:$L$257,7,FALSE))))</f>
        <v/>
      </c>
      <c r="H241" s="520" t="str">
        <f>IF(B241="","",IF(ISNA(VLOOKUP($B241,'B-1 Site Hedge Baseline'!$B$1:$L$257,8,FALSE)),"",(VLOOKUP($B241,'B-1 Site Hedge Baseline'!$B$1:$L$257,8,FALSE))))</f>
        <v/>
      </c>
      <c r="I241" s="520" t="str">
        <f>IF(B241="","",IF(ISNA(VLOOKUP($B241,'B-1 Site Hedge Baseline'!$B$1:$L$257,10,FALSE)),"",(VLOOKUP($B241,'B-1 Site Hedge Baseline'!$B$1:$L$257,10,FALSE))))</f>
        <v/>
      </c>
      <c r="J241" s="520" t="str">
        <f>IF(B241="","",IF(ISNA(VLOOKUP($B241,'B-1 Site Hedge Baseline'!$B$1:$L$257,11,FALSE)),"",(VLOOKUP($B241,'B-1 Site Hedge Baseline'!$B$1:$L$257,11,FALSE))))</f>
        <v/>
      </c>
      <c r="K241" s="520" t="str">
        <f>IF(B241="","",IF(ISNA(VLOOKUP($B241,'B-1 Site Hedge Baseline'!$B$1:$U$257,13,FALSE)),"",(VLOOKUP($B241,'B-1 Site Hedge Baseline'!$B$1:$U$257,13,FALSE))))</f>
        <v/>
      </c>
      <c r="L241" s="524" t="str">
        <f>IF(B241="","",IF(ISNA(VLOOKUP($B241,'B-1 Site Hedge Baseline'!$B$1:$U$257,12,FALSE)),"",(VLOOKUP($B241,'B-1 Site Hedge Baseline'!$B$1:$U$257,12,FALSE))))</f>
        <v/>
      </c>
      <c r="M241" s="416" t="str">
        <f t="shared" si="31"/>
        <v/>
      </c>
      <c r="N241" s="498" t="str">
        <f>IFERROR(IF(B241="","",INDEX('G-6 Hedgerow Data'!$AN$3:$AZ$15,MATCH(C241,'G-6 Hedgerow Data'!$AM$3:$AM$15,0),MATCH(M241,'G-6 Hedgerow Data'!$AN$2:$AZ$2,0))),"")</f>
        <v/>
      </c>
      <c r="O241" s="499" t="str">
        <f t="shared" si="26"/>
        <v/>
      </c>
      <c r="P241" s="559" t="str">
        <f>IF(B241="","",VLOOKUP(B241,'B-1 Site Hedge Baseline'!$B$10:T486,16,FALSE))</f>
        <v/>
      </c>
      <c r="Q241" s="498" t="str">
        <f>IF(M241="","",VLOOKUP(M241,'G-6 Hedgerow Data'!$B$2:$AG$15,2,FALSE))</f>
        <v/>
      </c>
      <c r="R241" s="499" t="str">
        <f>IF(M241="","",VLOOKUP(M241,'G-6 Hedgerow Data'!$B$2:$AG$15,3,FALSE))</f>
        <v/>
      </c>
      <c r="S241" s="157"/>
      <c r="T241" s="540" t="str">
        <f>IFERROR(VLOOKUP(S241,'G-1 All Habitats'!$Z$2:$AA$9,2,FALSE),"")</f>
        <v/>
      </c>
      <c r="U241" s="154"/>
      <c r="V241" s="520" t="str">
        <f>IF(U241="","",IF(VLOOKUP(U241,'G-3 Multipliers'!$L$3:$N$6,2,FALSE)=0,"Spatial Data Missing ⚠",VLOOKUP(U241,'G-3 Multipliers'!$L$3:$N$6,2,FALSE)))</f>
        <v/>
      </c>
      <c r="W241" s="524" t="str">
        <f>IF(U241="","",IF(VLOOKUP(U241,'G-3 Multipliers'!$L$3:$N$6,3,FALSE)=0,"Spatial Data Missing ⚠",VLOOKUP(U241,'G-3 Multipliers'!$L$3:$N$6,3,FALSE)))</f>
        <v/>
      </c>
      <c r="X241" s="498" t="str">
        <f>IFERROR(IF(OR(LEFT(O241,5)="Error ▲",LEFT(N241,5)="Error ▲",T241="Error ▲"),"Check Data ⚠",IF(F241&lt;R241,INDEX('G-6 Hedgerow Data'!$S$3:$AE$14,MATCH(C241,'G-6 Hedgerow Data'!$B$3:$B$14,0),MATCH(M241,'G-6 Hedgerow Data'!$S$2:$AE$2,0)),INDEX('G-6 Hedgerow Data'!$K$3:$Q$14,MATCH(M241,'G-6 Hedgerow Data'!$B$3:$B$14,0),MATCH(O241,'G-6 Hedgerow Data'!$K$2:$Q$2,0)))),"")</f>
        <v/>
      </c>
      <c r="Y241" s="195"/>
      <c r="Z241" s="195"/>
      <c r="AA241" s="507" t="str">
        <f t="shared" si="27"/>
        <v/>
      </c>
      <c r="AB241" s="521" t="str">
        <f t="shared" si="28"/>
        <v/>
      </c>
      <c r="AC241" s="522" t="str">
        <f t="shared" si="24"/>
        <v/>
      </c>
      <c r="AD241" s="537" t="str">
        <f>IF(M241="","",VLOOKUP(M241,'G-6 Hedgerow Data'!$B$3:$AG$15,31,FALSE))</f>
        <v/>
      </c>
      <c r="AE241" s="507" t="str">
        <f t="shared" si="29"/>
        <v/>
      </c>
      <c r="AF241" s="507" t="str">
        <f t="shared" si="30"/>
        <v/>
      </c>
      <c r="AG241" s="524" t="str">
        <f>IFERROR(IF(O241="","",VLOOKUP(AD241,'G-3 Multipliers'!$P$3:$Q$6,2,FALSE)),"")</f>
        <v/>
      </c>
      <c r="AH241" s="513" t="str">
        <f t="shared" si="25"/>
        <v/>
      </c>
      <c r="AI241" s="231"/>
      <c r="AJ241" s="150"/>
      <c r="AT241" s="31" t="str">
        <f>IFERROR(INDEX('G-6 Hedgerow Data'!$BJ$3:$BJ$15,MATCH(M241,'G-6 Hedgerow Data'!$B$3:$B$15,0)),"")</f>
        <v/>
      </c>
    </row>
    <row r="242" spans="2:46" ht="14" x14ac:dyDescent="0.3">
      <c r="B242" s="531" t="str">
        <f>'B-1 Site Hedge Baseline'!AK240</f>
        <v/>
      </c>
      <c r="C242" s="520" t="str">
        <f>IF(B242="","",IF(ISNA(VLOOKUP($B242,'B-1 Site Hedge Baseline'!$B$1:$L$257,3,FALSE)),"",(VLOOKUP($B242,'B-1 Site Hedge Baseline'!$B$1:$L$257,3,FALSE))))</f>
        <v/>
      </c>
      <c r="D242" s="520" t="str">
        <f>IF(B242="","",IF(ISNA(VLOOKUP($B242,'B-1 Site Hedge Baseline'!$B$1:$L$257,4,FALSE)),"",(VLOOKUP($B242,'B-1 Site Hedge Baseline'!$B$1:$L$257,4,FALSE))))</f>
        <v/>
      </c>
      <c r="E242" s="520" t="str">
        <f>IF(B242="","",IF(ISNA(VLOOKUP($B242,'B-1 Site Hedge Baseline'!$B$1:$L$257,5,FALSE)),"",(VLOOKUP($B242,'B-1 Site Hedge Baseline'!$B$1:$L$257,5,FALSE))))</f>
        <v/>
      </c>
      <c r="F242" s="520" t="str">
        <f>IF(B242="","",IF(ISNA(VLOOKUP($B242,'B-1 Site Hedge Baseline'!$B$1:$L$257,6,FALSE)),"",(VLOOKUP($B242,'B-1 Site Hedge Baseline'!$B$1:$L$257,6,FALSE))))</f>
        <v/>
      </c>
      <c r="G242" s="520" t="str">
        <f>IF(B242="","",IF(ISNA(VLOOKUP($B242,'B-1 Site Hedge Baseline'!$B$1:$L$257,7,FALSE)),"",(VLOOKUP($B242,'B-1 Site Hedge Baseline'!$B$1:$L$257,7,FALSE))))</f>
        <v/>
      </c>
      <c r="H242" s="520" t="str">
        <f>IF(B242="","",IF(ISNA(VLOOKUP($B242,'B-1 Site Hedge Baseline'!$B$1:$L$257,8,FALSE)),"",(VLOOKUP($B242,'B-1 Site Hedge Baseline'!$B$1:$L$257,8,FALSE))))</f>
        <v/>
      </c>
      <c r="I242" s="520" t="str">
        <f>IF(B242="","",IF(ISNA(VLOOKUP($B242,'B-1 Site Hedge Baseline'!$B$1:$L$257,10,FALSE)),"",(VLOOKUP($B242,'B-1 Site Hedge Baseline'!$B$1:$L$257,10,FALSE))))</f>
        <v/>
      </c>
      <c r="J242" s="520" t="str">
        <f>IF(B242="","",IF(ISNA(VLOOKUP($B242,'B-1 Site Hedge Baseline'!$B$1:$L$257,11,FALSE)),"",(VLOOKUP($B242,'B-1 Site Hedge Baseline'!$B$1:$L$257,11,FALSE))))</f>
        <v/>
      </c>
      <c r="K242" s="520" t="str">
        <f>IF(B242="","",IF(ISNA(VLOOKUP($B242,'B-1 Site Hedge Baseline'!$B$1:$U$257,13,FALSE)),"",(VLOOKUP($B242,'B-1 Site Hedge Baseline'!$B$1:$U$257,13,FALSE))))</f>
        <v/>
      </c>
      <c r="L242" s="524" t="str">
        <f>IF(B242="","",IF(ISNA(VLOOKUP($B242,'B-1 Site Hedge Baseline'!$B$1:$U$257,12,FALSE)),"",(VLOOKUP($B242,'B-1 Site Hedge Baseline'!$B$1:$U$257,12,FALSE))))</f>
        <v/>
      </c>
      <c r="M242" s="416" t="str">
        <f t="shared" si="31"/>
        <v/>
      </c>
      <c r="N242" s="498" t="str">
        <f>IFERROR(IF(B242="","",INDEX('G-6 Hedgerow Data'!$AN$3:$AZ$15,MATCH(C242,'G-6 Hedgerow Data'!$AM$3:$AM$15,0),MATCH(M242,'G-6 Hedgerow Data'!$AN$2:$AZ$2,0))),"")</f>
        <v/>
      </c>
      <c r="O242" s="499" t="str">
        <f t="shared" si="26"/>
        <v/>
      </c>
      <c r="P242" s="559" t="str">
        <f>IF(B242="","",VLOOKUP(B242,'B-1 Site Hedge Baseline'!$B$10:T487,16,FALSE))</f>
        <v/>
      </c>
      <c r="Q242" s="498" t="str">
        <f>IF(M242="","",VLOOKUP(M242,'G-6 Hedgerow Data'!$B$2:$AG$15,2,FALSE))</f>
        <v/>
      </c>
      <c r="R242" s="499" t="str">
        <f>IF(M242="","",VLOOKUP(M242,'G-6 Hedgerow Data'!$B$2:$AG$15,3,FALSE))</f>
        <v/>
      </c>
      <c r="S242" s="157"/>
      <c r="T242" s="540" t="str">
        <f>IFERROR(VLOOKUP(S242,'G-1 All Habitats'!$Z$2:$AA$9,2,FALSE),"")</f>
        <v/>
      </c>
      <c r="U242" s="154"/>
      <c r="V242" s="520" t="str">
        <f>IF(U242="","",IF(VLOOKUP(U242,'G-3 Multipliers'!$L$3:$N$6,2,FALSE)=0,"Spatial Data Missing ⚠",VLOOKUP(U242,'G-3 Multipliers'!$L$3:$N$6,2,FALSE)))</f>
        <v/>
      </c>
      <c r="W242" s="524" t="str">
        <f>IF(U242="","",IF(VLOOKUP(U242,'G-3 Multipliers'!$L$3:$N$6,3,FALSE)=0,"Spatial Data Missing ⚠",VLOOKUP(U242,'G-3 Multipliers'!$L$3:$N$6,3,FALSE)))</f>
        <v/>
      </c>
      <c r="X242" s="498" t="str">
        <f>IFERROR(IF(OR(LEFT(O242,5)="Error ▲",LEFT(N242,5)="Error ▲",T242="Error ▲"),"Check Data ⚠",IF(F242&lt;R242,INDEX('G-6 Hedgerow Data'!$S$3:$AE$14,MATCH(C242,'G-6 Hedgerow Data'!$B$3:$B$14,0),MATCH(M242,'G-6 Hedgerow Data'!$S$2:$AE$2,0)),INDEX('G-6 Hedgerow Data'!$K$3:$Q$14,MATCH(M242,'G-6 Hedgerow Data'!$B$3:$B$14,0),MATCH(O242,'G-6 Hedgerow Data'!$K$2:$Q$2,0)))),"")</f>
        <v/>
      </c>
      <c r="Y242" s="195"/>
      <c r="Z242" s="195"/>
      <c r="AA242" s="507" t="str">
        <f t="shared" si="27"/>
        <v/>
      </c>
      <c r="AB242" s="521" t="str">
        <f t="shared" si="28"/>
        <v/>
      </c>
      <c r="AC242" s="522" t="str">
        <f t="shared" si="24"/>
        <v/>
      </c>
      <c r="AD242" s="537" t="str">
        <f>IF(M242="","",VLOOKUP(M242,'G-6 Hedgerow Data'!$B$3:$AG$15,31,FALSE))</f>
        <v/>
      </c>
      <c r="AE242" s="507" t="str">
        <f t="shared" si="29"/>
        <v/>
      </c>
      <c r="AF242" s="507" t="str">
        <f t="shared" si="30"/>
        <v/>
      </c>
      <c r="AG242" s="524" t="str">
        <f>IFERROR(IF(O242="","",VLOOKUP(AD242,'G-3 Multipliers'!$P$3:$Q$6,2,FALSE)),"")</f>
        <v/>
      </c>
      <c r="AH242" s="513" t="str">
        <f t="shared" si="25"/>
        <v/>
      </c>
      <c r="AI242" s="231"/>
      <c r="AJ242" s="150"/>
      <c r="AT242" s="31" t="str">
        <f>IFERROR(INDEX('G-6 Hedgerow Data'!$BJ$3:$BJ$15,MATCH(M242,'G-6 Hedgerow Data'!$B$3:$B$15,0)),"")</f>
        <v/>
      </c>
    </row>
    <row r="243" spans="2:46" ht="14" x14ac:dyDescent="0.3">
      <c r="B243" s="531" t="str">
        <f>'B-1 Site Hedge Baseline'!AK241</f>
        <v/>
      </c>
      <c r="C243" s="520" t="str">
        <f>IF(B243="","",IF(ISNA(VLOOKUP($B243,'B-1 Site Hedge Baseline'!$B$1:$L$257,3,FALSE)),"",(VLOOKUP($B243,'B-1 Site Hedge Baseline'!$B$1:$L$257,3,FALSE))))</f>
        <v/>
      </c>
      <c r="D243" s="520" t="str">
        <f>IF(B243="","",IF(ISNA(VLOOKUP($B243,'B-1 Site Hedge Baseline'!$B$1:$L$257,4,FALSE)),"",(VLOOKUP($B243,'B-1 Site Hedge Baseline'!$B$1:$L$257,4,FALSE))))</f>
        <v/>
      </c>
      <c r="E243" s="520" t="str">
        <f>IF(B243="","",IF(ISNA(VLOOKUP($B243,'B-1 Site Hedge Baseline'!$B$1:$L$257,5,FALSE)),"",(VLOOKUP($B243,'B-1 Site Hedge Baseline'!$B$1:$L$257,5,FALSE))))</f>
        <v/>
      </c>
      <c r="F243" s="520" t="str">
        <f>IF(B243="","",IF(ISNA(VLOOKUP($B243,'B-1 Site Hedge Baseline'!$B$1:$L$257,6,FALSE)),"",(VLOOKUP($B243,'B-1 Site Hedge Baseline'!$B$1:$L$257,6,FALSE))))</f>
        <v/>
      </c>
      <c r="G243" s="520" t="str">
        <f>IF(B243="","",IF(ISNA(VLOOKUP($B243,'B-1 Site Hedge Baseline'!$B$1:$L$257,7,FALSE)),"",(VLOOKUP($B243,'B-1 Site Hedge Baseline'!$B$1:$L$257,7,FALSE))))</f>
        <v/>
      </c>
      <c r="H243" s="520" t="str">
        <f>IF(B243="","",IF(ISNA(VLOOKUP($B243,'B-1 Site Hedge Baseline'!$B$1:$L$257,8,FALSE)),"",(VLOOKUP($B243,'B-1 Site Hedge Baseline'!$B$1:$L$257,8,FALSE))))</f>
        <v/>
      </c>
      <c r="I243" s="520" t="str">
        <f>IF(B243="","",IF(ISNA(VLOOKUP($B243,'B-1 Site Hedge Baseline'!$B$1:$L$257,10,FALSE)),"",(VLOOKUP($B243,'B-1 Site Hedge Baseline'!$B$1:$L$257,10,FALSE))))</f>
        <v/>
      </c>
      <c r="J243" s="520" t="str">
        <f>IF(B243="","",IF(ISNA(VLOOKUP($B243,'B-1 Site Hedge Baseline'!$B$1:$L$257,11,FALSE)),"",(VLOOKUP($B243,'B-1 Site Hedge Baseline'!$B$1:$L$257,11,FALSE))))</f>
        <v/>
      </c>
      <c r="K243" s="520" t="str">
        <f>IF(B243="","",IF(ISNA(VLOOKUP($B243,'B-1 Site Hedge Baseline'!$B$1:$U$257,13,FALSE)),"",(VLOOKUP($B243,'B-1 Site Hedge Baseline'!$B$1:$U$257,13,FALSE))))</f>
        <v/>
      </c>
      <c r="L243" s="524" t="str">
        <f>IF(B243="","",IF(ISNA(VLOOKUP($B243,'B-1 Site Hedge Baseline'!$B$1:$U$257,12,FALSE)),"",(VLOOKUP($B243,'B-1 Site Hedge Baseline'!$B$1:$U$257,12,FALSE))))</f>
        <v/>
      </c>
      <c r="M243" s="416" t="str">
        <f t="shared" si="31"/>
        <v/>
      </c>
      <c r="N243" s="498" t="str">
        <f>IFERROR(IF(B243="","",INDEX('G-6 Hedgerow Data'!$AN$3:$AZ$15,MATCH(C243,'G-6 Hedgerow Data'!$AM$3:$AM$15,0),MATCH(M243,'G-6 Hedgerow Data'!$AN$2:$AZ$2,0))),"")</f>
        <v/>
      </c>
      <c r="O243" s="499" t="str">
        <f t="shared" si="26"/>
        <v/>
      </c>
      <c r="P243" s="559" t="str">
        <f>IF(B243="","",VLOOKUP(B243,'B-1 Site Hedge Baseline'!$B$10:T488,16,FALSE))</f>
        <v/>
      </c>
      <c r="Q243" s="498" t="str">
        <f>IF(M243="","",VLOOKUP(M243,'G-6 Hedgerow Data'!$B$2:$AG$15,2,FALSE))</f>
        <v/>
      </c>
      <c r="R243" s="499" t="str">
        <f>IF(M243="","",VLOOKUP(M243,'G-6 Hedgerow Data'!$B$2:$AG$15,3,FALSE))</f>
        <v/>
      </c>
      <c r="S243" s="157"/>
      <c r="T243" s="540" t="str">
        <f>IFERROR(VLOOKUP(S243,'G-1 All Habitats'!$Z$2:$AA$9,2,FALSE),"")</f>
        <v/>
      </c>
      <c r="U243" s="154"/>
      <c r="V243" s="520" t="str">
        <f>IF(U243="","",IF(VLOOKUP(U243,'G-3 Multipliers'!$L$3:$N$6,2,FALSE)=0,"Spatial Data Missing ⚠",VLOOKUP(U243,'G-3 Multipliers'!$L$3:$N$6,2,FALSE)))</f>
        <v/>
      </c>
      <c r="W243" s="524" t="str">
        <f>IF(U243="","",IF(VLOOKUP(U243,'G-3 Multipliers'!$L$3:$N$6,3,FALSE)=0,"Spatial Data Missing ⚠",VLOOKUP(U243,'G-3 Multipliers'!$L$3:$N$6,3,FALSE)))</f>
        <v/>
      </c>
      <c r="X243" s="498" t="str">
        <f>IFERROR(IF(OR(LEFT(O243,5)="Error ▲",LEFT(N243,5)="Error ▲",T243="Error ▲"),"Check Data ⚠",IF(F243&lt;R243,INDEX('G-6 Hedgerow Data'!$S$3:$AE$14,MATCH(C243,'G-6 Hedgerow Data'!$B$3:$B$14,0),MATCH(M243,'G-6 Hedgerow Data'!$S$2:$AE$2,0)),INDEX('G-6 Hedgerow Data'!$K$3:$Q$14,MATCH(M243,'G-6 Hedgerow Data'!$B$3:$B$14,0),MATCH(O243,'G-6 Hedgerow Data'!$K$2:$Q$2,0)))),"")</f>
        <v/>
      </c>
      <c r="Y243" s="195"/>
      <c r="Z243" s="195"/>
      <c r="AA243" s="507" t="str">
        <f t="shared" si="27"/>
        <v/>
      </c>
      <c r="AB243" s="521" t="str">
        <f t="shared" si="28"/>
        <v/>
      </c>
      <c r="AC243" s="522" t="str">
        <f t="shared" si="24"/>
        <v/>
      </c>
      <c r="AD243" s="537" t="str">
        <f>IF(M243="","",VLOOKUP(M243,'G-6 Hedgerow Data'!$B$3:$AG$15,31,FALSE))</f>
        <v/>
      </c>
      <c r="AE243" s="507" t="str">
        <f t="shared" si="29"/>
        <v/>
      </c>
      <c r="AF243" s="507" t="str">
        <f t="shared" si="30"/>
        <v/>
      </c>
      <c r="AG243" s="524" t="str">
        <f>IFERROR(IF(O243="","",VLOOKUP(AD243,'G-3 Multipliers'!$P$3:$Q$6,2,FALSE)),"")</f>
        <v/>
      </c>
      <c r="AH243" s="513" t="str">
        <f t="shared" si="25"/>
        <v/>
      </c>
      <c r="AI243" s="231"/>
      <c r="AJ243" s="150"/>
      <c r="AT243" s="31" t="str">
        <f>IFERROR(INDEX('G-6 Hedgerow Data'!$BJ$3:$BJ$15,MATCH(M243,'G-6 Hedgerow Data'!$B$3:$B$15,0)),"")</f>
        <v/>
      </c>
    </row>
    <row r="244" spans="2:46" ht="14" x14ac:dyDescent="0.3">
      <c r="B244" s="531" t="str">
        <f>'B-1 Site Hedge Baseline'!AK242</f>
        <v/>
      </c>
      <c r="C244" s="520" t="str">
        <f>IF(B244="","",IF(ISNA(VLOOKUP($B244,'B-1 Site Hedge Baseline'!$B$1:$L$257,3,FALSE)),"",(VLOOKUP($B244,'B-1 Site Hedge Baseline'!$B$1:$L$257,3,FALSE))))</f>
        <v/>
      </c>
      <c r="D244" s="520" t="str">
        <f>IF(B244="","",IF(ISNA(VLOOKUP($B244,'B-1 Site Hedge Baseline'!$B$1:$L$257,4,FALSE)),"",(VLOOKUP($B244,'B-1 Site Hedge Baseline'!$B$1:$L$257,4,FALSE))))</f>
        <v/>
      </c>
      <c r="E244" s="520" t="str">
        <f>IF(B244="","",IF(ISNA(VLOOKUP($B244,'B-1 Site Hedge Baseline'!$B$1:$L$257,5,FALSE)),"",(VLOOKUP($B244,'B-1 Site Hedge Baseline'!$B$1:$L$257,5,FALSE))))</f>
        <v/>
      </c>
      <c r="F244" s="520" t="str">
        <f>IF(B244="","",IF(ISNA(VLOOKUP($B244,'B-1 Site Hedge Baseline'!$B$1:$L$257,6,FALSE)),"",(VLOOKUP($B244,'B-1 Site Hedge Baseline'!$B$1:$L$257,6,FALSE))))</f>
        <v/>
      </c>
      <c r="G244" s="520" t="str">
        <f>IF(B244="","",IF(ISNA(VLOOKUP($B244,'B-1 Site Hedge Baseline'!$B$1:$L$257,7,FALSE)),"",(VLOOKUP($B244,'B-1 Site Hedge Baseline'!$B$1:$L$257,7,FALSE))))</f>
        <v/>
      </c>
      <c r="H244" s="520" t="str">
        <f>IF(B244="","",IF(ISNA(VLOOKUP($B244,'B-1 Site Hedge Baseline'!$B$1:$L$257,8,FALSE)),"",(VLOOKUP($B244,'B-1 Site Hedge Baseline'!$B$1:$L$257,8,FALSE))))</f>
        <v/>
      </c>
      <c r="I244" s="520" t="str">
        <f>IF(B244="","",IF(ISNA(VLOOKUP($B244,'B-1 Site Hedge Baseline'!$B$1:$L$257,10,FALSE)),"",(VLOOKUP($B244,'B-1 Site Hedge Baseline'!$B$1:$L$257,10,FALSE))))</f>
        <v/>
      </c>
      <c r="J244" s="520" t="str">
        <f>IF(B244="","",IF(ISNA(VLOOKUP($B244,'B-1 Site Hedge Baseline'!$B$1:$L$257,11,FALSE)),"",(VLOOKUP($B244,'B-1 Site Hedge Baseline'!$B$1:$L$257,11,FALSE))))</f>
        <v/>
      </c>
      <c r="K244" s="520" t="str">
        <f>IF(B244="","",IF(ISNA(VLOOKUP($B244,'B-1 Site Hedge Baseline'!$B$1:$U$257,13,FALSE)),"",(VLOOKUP($B244,'B-1 Site Hedge Baseline'!$B$1:$U$257,13,FALSE))))</f>
        <v/>
      </c>
      <c r="L244" s="524" t="str">
        <f>IF(B244="","",IF(ISNA(VLOOKUP($B244,'B-1 Site Hedge Baseline'!$B$1:$U$257,12,FALSE)),"",(VLOOKUP($B244,'B-1 Site Hedge Baseline'!$B$1:$U$257,12,FALSE))))</f>
        <v/>
      </c>
      <c r="M244" s="416" t="str">
        <f t="shared" si="31"/>
        <v/>
      </c>
      <c r="N244" s="498" t="str">
        <f>IFERROR(IF(B244="","",INDEX('G-6 Hedgerow Data'!$AN$3:$AZ$15,MATCH(C244,'G-6 Hedgerow Data'!$AM$3:$AM$15,0),MATCH(M244,'G-6 Hedgerow Data'!$AN$2:$AZ$2,0))),"")</f>
        <v/>
      </c>
      <c r="O244" s="499" t="str">
        <f t="shared" si="26"/>
        <v/>
      </c>
      <c r="P244" s="559" t="str">
        <f>IF(B244="","",VLOOKUP(B244,'B-1 Site Hedge Baseline'!$B$10:T489,16,FALSE))</f>
        <v/>
      </c>
      <c r="Q244" s="498" t="str">
        <f>IF(M244="","",VLOOKUP(M244,'G-6 Hedgerow Data'!$B$2:$AG$15,2,FALSE))</f>
        <v/>
      </c>
      <c r="R244" s="499" t="str">
        <f>IF(M244="","",VLOOKUP(M244,'G-6 Hedgerow Data'!$B$2:$AG$15,3,FALSE))</f>
        <v/>
      </c>
      <c r="S244" s="157"/>
      <c r="T244" s="540" t="str">
        <f>IFERROR(VLOOKUP(S244,'G-1 All Habitats'!$Z$2:$AA$9,2,FALSE),"")</f>
        <v/>
      </c>
      <c r="U244" s="154"/>
      <c r="V244" s="520" t="str">
        <f>IF(U244="","",IF(VLOOKUP(U244,'G-3 Multipliers'!$L$3:$N$6,2,FALSE)=0,"Spatial Data Missing ⚠",VLOOKUP(U244,'G-3 Multipliers'!$L$3:$N$6,2,FALSE)))</f>
        <v/>
      </c>
      <c r="W244" s="524" t="str">
        <f>IF(U244="","",IF(VLOOKUP(U244,'G-3 Multipliers'!$L$3:$N$6,3,FALSE)=0,"Spatial Data Missing ⚠",VLOOKUP(U244,'G-3 Multipliers'!$L$3:$N$6,3,FALSE)))</f>
        <v/>
      </c>
      <c r="X244" s="498" t="str">
        <f>IFERROR(IF(OR(LEFT(O244,5)="Error ▲",LEFT(N244,5)="Error ▲",T244="Error ▲"),"Check Data ⚠",IF(F244&lt;R244,INDEX('G-6 Hedgerow Data'!$S$3:$AE$14,MATCH(C244,'G-6 Hedgerow Data'!$B$3:$B$14,0),MATCH(M244,'G-6 Hedgerow Data'!$S$2:$AE$2,0)),INDEX('G-6 Hedgerow Data'!$K$3:$Q$14,MATCH(M244,'G-6 Hedgerow Data'!$B$3:$B$14,0),MATCH(O244,'G-6 Hedgerow Data'!$K$2:$Q$2,0)))),"")</f>
        <v/>
      </c>
      <c r="Y244" s="195"/>
      <c r="Z244" s="195"/>
      <c r="AA244" s="507" t="str">
        <f t="shared" si="27"/>
        <v/>
      </c>
      <c r="AB244" s="521" t="str">
        <f t="shared" si="28"/>
        <v/>
      </c>
      <c r="AC244" s="522" t="str">
        <f t="shared" si="24"/>
        <v/>
      </c>
      <c r="AD244" s="537" t="str">
        <f>IF(M244="","",VLOOKUP(M244,'G-6 Hedgerow Data'!$B$3:$AG$15,31,FALSE))</f>
        <v/>
      </c>
      <c r="AE244" s="507" t="str">
        <f t="shared" si="29"/>
        <v/>
      </c>
      <c r="AF244" s="507" t="str">
        <f t="shared" si="30"/>
        <v/>
      </c>
      <c r="AG244" s="524" t="str">
        <f>IFERROR(IF(O244="","",VLOOKUP(AD244,'G-3 Multipliers'!$P$3:$Q$6,2,FALSE)),"")</f>
        <v/>
      </c>
      <c r="AH244" s="513" t="str">
        <f t="shared" si="25"/>
        <v/>
      </c>
      <c r="AI244" s="231"/>
      <c r="AJ244" s="150"/>
      <c r="AT244" s="31" t="str">
        <f>IFERROR(INDEX('G-6 Hedgerow Data'!$BJ$3:$BJ$15,MATCH(M244,'G-6 Hedgerow Data'!$B$3:$B$15,0)),"")</f>
        <v/>
      </c>
    </row>
    <row r="245" spans="2:46" ht="14" x14ac:dyDescent="0.3">
      <c r="B245" s="531" t="str">
        <f>'B-1 Site Hedge Baseline'!AK243</f>
        <v/>
      </c>
      <c r="C245" s="520" t="str">
        <f>IF(B245="","",IF(ISNA(VLOOKUP($B245,'B-1 Site Hedge Baseline'!$B$1:$L$257,3,FALSE)),"",(VLOOKUP($B245,'B-1 Site Hedge Baseline'!$B$1:$L$257,3,FALSE))))</f>
        <v/>
      </c>
      <c r="D245" s="520" t="str">
        <f>IF(B245="","",IF(ISNA(VLOOKUP($B245,'B-1 Site Hedge Baseline'!$B$1:$L$257,4,FALSE)),"",(VLOOKUP($B245,'B-1 Site Hedge Baseline'!$B$1:$L$257,4,FALSE))))</f>
        <v/>
      </c>
      <c r="E245" s="520" t="str">
        <f>IF(B245="","",IF(ISNA(VLOOKUP($B245,'B-1 Site Hedge Baseline'!$B$1:$L$257,5,FALSE)),"",(VLOOKUP($B245,'B-1 Site Hedge Baseline'!$B$1:$L$257,5,FALSE))))</f>
        <v/>
      </c>
      <c r="F245" s="520" t="str">
        <f>IF(B245="","",IF(ISNA(VLOOKUP($B245,'B-1 Site Hedge Baseline'!$B$1:$L$257,6,FALSE)),"",(VLOOKUP($B245,'B-1 Site Hedge Baseline'!$B$1:$L$257,6,FALSE))))</f>
        <v/>
      </c>
      <c r="G245" s="520" t="str">
        <f>IF(B245="","",IF(ISNA(VLOOKUP($B245,'B-1 Site Hedge Baseline'!$B$1:$L$257,7,FALSE)),"",(VLOOKUP($B245,'B-1 Site Hedge Baseline'!$B$1:$L$257,7,FALSE))))</f>
        <v/>
      </c>
      <c r="H245" s="520" t="str">
        <f>IF(B245="","",IF(ISNA(VLOOKUP($B245,'B-1 Site Hedge Baseline'!$B$1:$L$257,8,FALSE)),"",(VLOOKUP($B245,'B-1 Site Hedge Baseline'!$B$1:$L$257,8,FALSE))))</f>
        <v/>
      </c>
      <c r="I245" s="520" t="str">
        <f>IF(B245="","",IF(ISNA(VLOOKUP($B245,'B-1 Site Hedge Baseline'!$B$1:$L$257,10,FALSE)),"",(VLOOKUP($B245,'B-1 Site Hedge Baseline'!$B$1:$L$257,10,FALSE))))</f>
        <v/>
      </c>
      <c r="J245" s="520" t="str">
        <f>IF(B245="","",IF(ISNA(VLOOKUP($B245,'B-1 Site Hedge Baseline'!$B$1:$L$257,11,FALSE)),"",(VLOOKUP($B245,'B-1 Site Hedge Baseline'!$B$1:$L$257,11,FALSE))))</f>
        <v/>
      </c>
      <c r="K245" s="520" t="str">
        <f>IF(B245="","",IF(ISNA(VLOOKUP($B245,'B-1 Site Hedge Baseline'!$B$1:$U$257,13,FALSE)),"",(VLOOKUP($B245,'B-1 Site Hedge Baseline'!$B$1:$U$257,13,FALSE))))</f>
        <v/>
      </c>
      <c r="L245" s="524" t="str">
        <f>IF(B245="","",IF(ISNA(VLOOKUP($B245,'B-1 Site Hedge Baseline'!$B$1:$U$257,12,FALSE)),"",(VLOOKUP($B245,'B-1 Site Hedge Baseline'!$B$1:$U$257,12,FALSE))))</f>
        <v/>
      </c>
      <c r="M245" s="416" t="str">
        <f t="shared" si="31"/>
        <v/>
      </c>
      <c r="N245" s="498" t="str">
        <f>IFERROR(IF(B245="","",INDEX('G-6 Hedgerow Data'!$AN$3:$AZ$15,MATCH(C245,'G-6 Hedgerow Data'!$AM$3:$AM$15,0),MATCH(M245,'G-6 Hedgerow Data'!$AN$2:$AZ$2,0))),"")</f>
        <v/>
      </c>
      <c r="O245" s="499" t="str">
        <f t="shared" si="26"/>
        <v/>
      </c>
      <c r="P245" s="559" t="str">
        <f>IF(B245="","",VLOOKUP(B245,'B-1 Site Hedge Baseline'!$B$10:T490,16,FALSE))</f>
        <v/>
      </c>
      <c r="Q245" s="498" t="str">
        <f>IF(M245="","",VLOOKUP(M245,'G-6 Hedgerow Data'!$B$2:$AG$15,2,FALSE))</f>
        <v/>
      </c>
      <c r="R245" s="499" t="str">
        <f>IF(M245="","",VLOOKUP(M245,'G-6 Hedgerow Data'!$B$2:$AG$15,3,FALSE))</f>
        <v/>
      </c>
      <c r="S245" s="157"/>
      <c r="T245" s="540" t="str">
        <f>IFERROR(VLOOKUP(S245,'G-1 All Habitats'!$Z$2:$AA$9,2,FALSE),"")</f>
        <v/>
      </c>
      <c r="U245" s="154"/>
      <c r="V245" s="520" t="str">
        <f>IF(U245="","",IF(VLOOKUP(U245,'G-3 Multipliers'!$L$3:$N$6,2,FALSE)=0,"Spatial Data Missing ⚠",VLOOKUP(U245,'G-3 Multipliers'!$L$3:$N$6,2,FALSE)))</f>
        <v/>
      </c>
      <c r="W245" s="524" t="str">
        <f>IF(U245="","",IF(VLOOKUP(U245,'G-3 Multipliers'!$L$3:$N$6,3,FALSE)=0,"Spatial Data Missing ⚠",VLOOKUP(U245,'G-3 Multipliers'!$L$3:$N$6,3,FALSE)))</f>
        <v/>
      </c>
      <c r="X245" s="498" t="str">
        <f>IFERROR(IF(OR(LEFT(O245,5)="Error ▲",LEFT(N245,5)="Error ▲",T245="Error ▲"),"Check Data ⚠",IF(F245&lt;R245,INDEX('G-6 Hedgerow Data'!$S$3:$AE$14,MATCH(C245,'G-6 Hedgerow Data'!$B$3:$B$14,0),MATCH(M245,'G-6 Hedgerow Data'!$S$2:$AE$2,0)),INDEX('G-6 Hedgerow Data'!$K$3:$Q$14,MATCH(M245,'G-6 Hedgerow Data'!$B$3:$B$14,0),MATCH(O245,'G-6 Hedgerow Data'!$K$2:$Q$2,0)))),"")</f>
        <v/>
      </c>
      <c r="Y245" s="195"/>
      <c r="Z245" s="195"/>
      <c r="AA245" s="507" t="str">
        <f t="shared" si="27"/>
        <v/>
      </c>
      <c r="AB245" s="521" t="str">
        <f t="shared" si="28"/>
        <v/>
      </c>
      <c r="AC245" s="522" t="str">
        <f t="shared" si="24"/>
        <v/>
      </c>
      <c r="AD245" s="537" t="str">
        <f>IF(M245="","",VLOOKUP(M245,'G-6 Hedgerow Data'!$B$3:$AG$15,31,FALSE))</f>
        <v/>
      </c>
      <c r="AE245" s="507" t="str">
        <f t="shared" si="29"/>
        <v/>
      </c>
      <c r="AF245" s="507" t="str">
        <f t="shared" si="30"/>
        <v/>
      </c>
      <c r="AG245" s="524" t="str">
        <f>IFERROR(IF(O245="","",VLOOKUP(AD245,'G-3 Multipliers'!$P$3:$Q$6,2,FALSE)),"")</f>
        <v/>
      </c>
      <c r="AH245" s="513" t="str">
        <f t="shared" si="25"/>
        <v/>
      </c>
      <c r="AI245" s="231"/>
      <c r="AJ245" s="150"/>
      <c r="AT245" s="31" t="str">
        <f>IFERROR(INDEX('G-6 Hedgerow Data'!$BJ$3:$BJ$15,MATCH(M245,'G-6 Hedgerow Data'!$B$3:$B$15,0)),"")</f>
        <v/>
      </c>
    </row>
    <row r="246" spans="2:46" ht="14" x14ac:dyDescent="0.3">
      <c r="B246" s="531" t="str">
        <f>'B-1 Site Hedge Baseline'!AK244</f>
        <v/>
      </c>
      <c r="C246" s="520" t="str">
        <f>IF(B246="","",IF(ISNA(VLOOKUP($B246,'B-1 Site Hedge Baseline'!$B$1:$L$257,3,FALSE)),"",(VLOOKUP($B246,'B-1 Site Hedge Baseline'!$B$1:$L$257,3,FALSE))))</f>
        <v/>
      </c>
      <c r="D246" s="520" t="str">
        <f>IF(B246="","",IF(ISNA(VLOOKUP($B246,'B-1 Site Hedge Baseline'!$B$1:$L$257,4,FALSE)),"",(VLOOKUP($B246,'B-1 Site Hedge Baseline'!$B$1:$L$257,4,FALSE))))</f>
        <v/>
      </c>
      <c r="E246" s="520" t="str">
        <f>IF(B246="","",IF(ISNA(VLOOKUP($B246,'B-1 Site Hedge Baseline'!$B$1:$L$257,5,FALSE)),"",(VLOOKUP($B246,'B-1 Site Hedge Baseline'!$B$1:$L$257,5,FALSE))))</f>
        <v/>
      </c>
      <c r="F246" s="520" t="str">
        <f>IF(B246="","",IF(ISNA(VLOOKUP($B246,'B-1 Site Hedge Baseline'!$B$1:$L$257,6,FALSE)),"",(VLOOKUP($B246,'B-1 Site Hedge Baseline'!$B$1:$L$257,6,FALSE))))</f>
        <v/>
      </c>
      <c r="G246" s="520" t="str">
        <f>IF(B246="","",IF(ISNA(VLOOKUP($B246,'B-1 Site Hedge Baseline'!$B$1:$L$257,7,FALSE)),"",(VLOOKUP($B246,'B-1 Site Hedge Baseline'!$B$1:$L$257,7,FALSE))))</f>
        <v/>
      </c>
      <c r="H246" s="520" t="str">
        <f>IF(B246="","",IF(ISNA(VLOOKUP($B246,'B-1 Site Hedge Baseline'!$B$1:$L$257,8,FALSE)),"",(VLOOKUP($B246,'B-1 Site Hedge Baseline'!$B$1:$L$257,8,FALSE))))</f>
        <v/>
      </c>
      <c r="I246" s="520" t="str">
        <f>IF(B246="","",IF(ISNA(VLOOKUP($B246,'B-1 Site Hedge Baseline'!$B$1:$L$257,10,FALSE)),"",(VLOOKUP($B246,'B-1 Site Hedge Baseline'!$B$1:$L$257,10,FALSE))))</f>
        <v/>
      </c>
      <c r="J246" s="520" t="str">
        <f>IF(B246="","",IF(ISNA(VLOOKUP($B246,'B-1 Site Hedge Baseline'!$B$1:$L$257,11,FALSE)),"",(VLOOKUP($B246,'B-1 Site Hedge Baseline'!$B$1:$L$257,11,FALSE))))</f>
        <v/>
      </c>
      <c r="K246" s="520" t="str">
        <f>IF(B246="","",IF(ISNA(VLOOKUP($B246,'B-1 Site Hedge Baseline'!$B$1:$U$257,13,FALSE)),"",(VLOOKUP($B246,'B-1 Site Hedge Baseline'!$B$1:$U$257,13,FALSE))))</f>
        <v/>
      </c>
      <c r="L246" s="524" t="str">
        <f>IF(B246="","",IF(ISNA(VLOOKUP($B246,'B-1 Site Hedge Baseline'!$B$1:$U$257,12,FALSE)),"",(VLOOKUP($B246,'B-1 Site Hedge Baseline'!$B$1:$U$257,12,FALSE))))</f>
        <v/>
      </c>
      <c r="M246" s="416" t="str">
        <f t="shared" si="31"/>
        <v/>
      </c>
      <c r="N246" s="498" t="str">
        <f>IFERROR(IF(B246="","",INDEX('G-6 Hedgerow Data'!$AN$3:$AZ$15,MATCH(C246,'G-6 Hedgerow Data'!$AM$3:$AM$15,0),MATCH(M246,'G-6 Hedgerow Data'!$AN$2:$AZ$2,0))),"")</f>
        <v/>
      </c>
      <c r="O246" s="499" t="str">
        <f t="shared" si="26"/>
        <v/>
      </c>
      <c r="P246" s="559" t="str">
        <f>IF(B246="","",VLOOKUP(B246,'B-1 Site Hedge Baseline'!$B$10:T491,16,FALSE))</f>
        <v/>
      </c>
      <c r="Q246" s="498" t="str">
        <f>IF(M246="","",VLOOKUP(M246,'G-6 Hedgerow Data'!$B$2:$AG$15,2,FALSE))</f>
        <v/>
      </c>
      <c r="R246" s="499" t="str">
        <f>IF(M246="","",VLOOKUP(M246,'G-6 Hedgerow Data'!$B$2:$AG$15,3,FALSE))</f>
        <v/>
      </c>
      <c r="S246" s="157"/>
      <c r="T246" s="540" t="str">
        <f>IFERROR(VLOOKUP(S246,'G-1 All Habitats'!$Z$2:$AA$9,2,FALSE),"")</f>
        <v/>
      </c>
      <c r="U246" s="154"/>
      <c r="V246" s="520" t="str">
        <f>IF(U246="","",IF(VLOOKUP(U246,'G-3 Multipliers'!$L$3:$N$6,2,FALSE)=0,"Spatial Data Missing ⚠",VLOOKUP(U246,'G-3 Multipliers'!$L$3:$N$6,2,FALSE)))</f>
        <v/>
      </c>
      <c r="W246" s="524" t="str">
        <f>IF(U246="","",IF(VLOOKUP(U246,'G-3 Multipliers'!$L$3:$N$6,3,FALSE)=0,"Spatial Data Missing ⚠",VLOOKUP(U246,'G-3 Multipliers'!$L$3:$N$6,3,FALSE)))</f>
        <v/>
      </c>
      <c r="X246" s="498" t="str">
        <f>IFERROR(IF(OR(LEFT(O246,5)="Error ▲",LEFT(N246,5)="Error ▲",T246="Error ▲"),"Check Data ⚠",IF(F246&lt;R246,INDEX('G-6 Hedgerow Data'!$S$3:$AE$14,MATCH(C246,'G-6 Hedgerow Data'!$B$3:$B$14,0),MATCH(M246,'G-6 Hedgerow Data'!$S$2:$AE$2,0)),INDEX('G-6 Hedgerow Data'!$K$3:$Q$14,MATCH(M246,'G-6 Hedgerow Data'!$B$3:$B$14,0),MATCH(O246,'G-6 Hedgerow Data'!$K$2:$Q$2,0)))),"")</f>
        <v/>
      </c>
      <c r="Y246" s="195"/>
      <c r="Z246" s="195"/>
      <c r="AA246" s="507" t="str">
        <f t="shared" si="27"/>
        <v/>
      </c>
      <c r="AB246" s="521" t="str">
        <f t="shared" si="28"/>
        <v/>
      </c>
      <c r="AC246" s="522" t="str">
        <f t="shared" si="24"/>
        <v/>
      </c>
      <c r="AD246" s="537" t="str">
        <f>IF(M246="","",VLOOKUP(M246,'G-6 Hedgerow Data'!$B$3:$AG$15,31,FALSE))</f>
        <v/>
      </c>
      <c r="AE246" s="507" t="str">
        <f t="shared" si="29"/>
        <v/>
      </c>
      <c r="AF246" s="507" t="str">
        <f t="shared" si="30"/>
        <v/>
      </c>
      <c r="AG246" s="524" t="str">
        <f>IFERROR(IF(O246="","",VLOOKUP(AD246,'G-3 Multipliers'!$P$3:$Q$6,2,FALSE)),"")</f>
        <v/>
      </c>
      <c r="AH246" s="513" t="str">
        <f t="shared" si="25"/>
        <v/>
      </c>
      <c r="AI246" s="231"/>
      <c r="AJ246" s="150"/>
      <c r="AT246" s="31" t="str">
        <f>IFERROR(INDEX('G-6 Hedgerow Data'!$BJ$3:$BJ$15,MATCH(M246,'G-6 Hedgerow Data'!$B$3:$B$15,0)),"")</f>
        <v/>
      </c>
    </row>
    <row r="247" spans="2:46" ht="14" x14ac:dyDescent="0.3">
      <c r="B247" s="531" t="str">
        <f>'B-1 Site Hedge Baseline'!AK245</f>
        <v/>
      </c>
      <c r="C247" s="520" t="str">
        <f>IF(B247="","",IF(ISNA(VLOOKUP($B247,'B-1 Site Hedge Baseline'!$B$1:$L$257,3,FALSE)),"",(VLOOKUP($B247,'B-1 Site Hedge Baseline'!$B$1:$L$257,3,FALSE))))</f>
        <v/>
      </c>
      <c r="D247" s="520" t="str">
        <f>IF(B247="","",IF(ISNA(VLOOKUP($B247,'B-1 Site Hedge Baseline'!$B$1:$L$257,4,FALSE)),"",(VLOOKUP($B247,'B-1 Site Hedge Baseline'!$B$1:$L$257,4,FALSE))))</f>
        <v/>
      </c>
      <c r="E247" s="520" t="str">
        <f>IF(B247="","",IF(ISNA(VLOOKUP($B247,'B-1 Site Hedge Baseline'!$B$1:$L$257,5,FALSE)),"",(VLOOKUP($B247,'B-1 Site Hedge Baseline'!$B$1:$L$257,5,FALSE))))</f>
        <v/>
      </c>
      <c r="F247" s="520" t="str">
        <f>IF(B247="","",IF(ISNA(VLOOKUP($B247,'B-1 Site Hedge Baseline'!$B$1:$L$257,6,FALSE)),"",(VLOOKUP($B247,'B-1 Site Hedge Baseline'!$B$1:$L$257,6,FALSE))))</f>
        <v/>
      </c>
      <c r="G247" s="520" t="str">
        <f>IF(B247="","",IF(ISNA(VLOOKUP($B247,'B-1 Site Hedge Baseline'!$B$1:$L$257,7,FALSE)),"",(VLOOKUP($B247,'B-1 Site Hedge Baseline'!$B$1:$L$257,7,FALSE))))</f>
        <v/>
      </c>
      <c r="H247" s="520" t="str">
        <f>IF(B247="","",IF(ISNA(VLOOKUP($B247,'B-1 Site Hedge Baseline'!$B$1:$L$257,8,FALSE)),"",(VLOOKUP($B247,'B-1 Site Hedge Baseline'!$B$1:$L$257,8,FALSE))))</f>
        <v/>
      </c>
      <c r="I247" s="520" t="str">
        <f>IF(B247="","",IF(ISNA(VLOOKUP($B247,'B-1 Site Hedge Baseline'!$B$1:$L$257,10,FALSE)),"",(VLOOKUP($B247,'B-1 Site Hedge Baseline'!$B$1:$L$257,10,FALSE))))</f>
        <v/>
      </c>
      <c r="J247" s="520" t="str">
        <f>IF(B247="","",IF(ISNA(VLOOKUP($B247,'B-1 Site Hedge Baseline'!$B$1:$L$257,11,FALSE)),"",(VLOOKUP($B247,'B-1 Site Hedge Baseline'!$B$1:$L$257,11,FALSE))))</f>
        <v/>
      </c>
      <c r="K247" s="520" t="str">
        <f>IF(B247="","",IF(ISNA(VLOOKUP($B247,'B-1 Site Hedge Baseline'!$B$1:$U$257,13,FALSE)),"",(VLOOKUP($B247,'B-1 Site Hedge Baseline'!$B$1:$U$257,13,FALSE))))</f>
        <v/>
      </c>
      <c r="L247" s="524" t="str">
        <f>IF(B247="","",IF(ISNA(VLOOKUP($B247,'B-1 Site Hedge Baseline'!$B$1:$U$257,12,FALSE)),"",(VLOOKUP($B247,'B-1 Site Hedge Baseline'!$B$1:$U$257,12,FALSE))))</f>
        <v/>
      </c>
      <c r="M247" s="416" t="str">
        <f t="shared" si="31"/>
        <v/>
      </c>
      <c r="N247" s="498" t="str">
        <f>IFERROR(IF(B247="","",INDEX('G-6 Hedgerow Data'!$AN$3:$AZ$15,MATCH(C247,'G-6 Hedgerow Data'!$AM$3:$AM$15,0),MATCH(M247,'G-6 Hedgerow Data'!$AN$2:$AZ$2,0))),"")</f>
        <v/>
      </c>
      <c r="O247" s="499" t="str">
        <f t="shared" si="26"/>
        <v/>
      </c>
      <c r="P247" s="559" t="str">
        <f>IF(B247="","",VLOOKUP(B247,'B-1 Site Hedge Baseline'!$B$10:T492,16,FALSE))</f>
        <v/>
      </c>
      <c r="Q247" s="498" t="str">
        <f>IF(M247="","",VLOOKUP(M247,'G-6 Hedgerow Data'!$B$2:$AG$15,2,FALSE))</f>
        <v/>
      </c>
      <c r="R247" s="499" t="str">
        <f>IF(M247="","",VLOOKUP(M247,'G-6 Hedgerow Data'!$B$2:$AG$15,3,FALSE))</f>
        <v/>
      </c>
      <c r="S247" s="157"/>
      <c r="T247" s="540" t="str">
        <f>IFERROR(VLOOKUP(S247,'G-1 All Habitats'!$Z$2:$AA$9,2,FALSE),"")</f>
        <v/>
      </c>
      <c r="U247" s="154"/>
      <c r="V247" s="520" t="str">
        <f>IF(U247="","",IF(VLOOKUP(U247,'G-3 Multipliers'!$L$3:$N$6,2,FALSE)=0,"Spatial Data Missing ⚠",VLOOKUP(U247,'G-3 Multipliers'!$L$3:$N$6,2,FALSE)))</f>
        <v/>
      </c>
      <c r="W247" s="524" t="str">
        <f>IF(U247="","",IF(VLOOKUP(U247,'G-3 Multipliers'!$L$3:$N$6,3,FALSE)=0,"Spatial Data Missing ⚠",VLOOKUP(U247,'G-3 Multipliers'!$L$3:$N$6,3,FALSE)))</f>
        <v/>
      </c>
      <c r="X247" s="498" t="str">
        <f>IFERROR(IF(OR(LEFT(O247,5)="Error ▲",LEFT(N247,5)="Error ▲",T247="Error ▲"),"Check Data ⚠",IF(F247&lt;R247,INDEX('G-6 Hedgerow Data'!$S$3:$AE$14,MATCH(C247,'G-6 Hedgerow Data'!$B$3:$B$14,0),MATCH(M247,'G-6 Hedgerow Data'!$S$2:$AE$2,0)),INDEX('G-6 Hedgerow Data'!$K$3:$Q$14,MATCH(M247,'G-6 Hedgerow Data'!$B$3:$B$14,0),MATCH(O247,'G-6 Hedgerow Data'!$K$2:$Q$2,0)))),"")</f>
        <v/>
      </c>
      <c r="Y247" s="195"/>
      <c r="Z247" s="195"/>
      <c r="AA247" s="507" t="str">
        <f t="shared" si="27"/>
        <v/>
      </c>
      <c r="AB247" s="521" t="str">
        <f t="shared" si="28"/>
        <v/>
      </c>
      <c r="AC247" s="522" t="str">
        <f t="shared" si="24"/>
        <v/>
      </c>
      <c r="AD247" s="537" t="str">
        <f>IF(M247="","",VLOOKUP(M247,'G-6 Hedgerow Data'!$B$3:$AG$15,31,FALSE))</f>
        <v/>
      </c>
      <c r="AE247" s="507" t="str">
        <f t="shared" si="29"/>
        <v/>
      </c>
      <c r="AF247" s="507" t="str">
        <f t="shared" si="30"/>
        <v/>
      </c>
      <c r="AG247" s="524" t="str">
        <f>IFERROR(IF(O247="","",VLOOKUP(AD247,'G-3 Multipliers'!$P$3:$Q$6,2,FALSE)),"")</f>
        <v/>
      </c>
      <c r="AH247" s="513" t="str">
        <f t="shared" si="25"/>
        <v/>
      </c>
      <c r="AI247" s="231"/>
      <c r="AJ247" s="150"/>
      <c r="AT247" s="31" t="str">
        <f>IFERROR(INDEX('G-6 Hedgerow Data'!$BJ$3:$BJ$15,MATCH(M247,'G-6 Hedgerow Data'!$B$3:$B$15,0)),"")</f>
        <v/>
      </c>
    </row>
    <row r="248" spans="2:46" ht="14" x14ac:dyDescent="0.3">
      <c r="B248" s="531" t="str">
        <f>'B-1 Site Hedge Baseline'!AK246</f>
        <v/>
      </c>
      <c r="C248" s="520" t="str">
        <f>IF(B248="","",IF(ISNA(VLOOKUP($B248,'B-1 Site Hedge Baseline'!$B$1:$L$257,3,FALSE)),"",(VLOOKUP($B248,'B-1 Site Hedge Baseline'!$B$1:$L$257,3,FALSE))))</f>
        <v/>
      </c>
      <c r="D248" s="520" t="str">
        <f>IF(B248="","",IF(ISNA(VLOOKUP($B248,'B-1 Site Hedge Baseline'!$B$1:$L$257,4,FALSE)),"",(VLOOKUP($B248,'B-1 Site Hedge Baseline'!$B$1:$L$257,4,FALSE))))</f>
        <v/>
      </c>
      <c r="E248" s="520" t="str">
        <f>IF(B248="","",IF(ISNA(VLOOKUP($B248,'B-1 Site Hedge Baseline'!$B$1:$L$257,5,FALSE)),"",(VLOOKUP($B248,'B-1 Site Hedge Baseline'!$B$1:$L$257,5,FALSE))))</f>
        <v/>
      </c>
      <c r="F248" s="520" t="str">
        <f>IF(B248="","",IF(ISNA(VLOOKUP($B248,'B-1 Site Hedge Baseline'!$B$1:$L$257,6,FALSE)),"",(VLOOKUP($B248,'B-1 Site Hedge Baseline'!$B$1:$L$257,6,FALSE))))</f>
        <v/>
      </c>
      <c r="G248" s="520" t="str">
        <f>IF(B248="","",IF(ISNA(VLOOKUP($B248,'B-1 Site Hedge Baseline'!$B$1:$L$257,7,FALSE)),"",(VLOOKUP($B248,'B-1 Site Hedge Baseline'!$B$1:$L$257,7,FALSE))))</f>
        <v/>
      </c>
      <c r="H248" s="520" t="str">
        <f>IF(B248="","",IF(ISNA(VLOOKUP($B248,'B-1 Site Hedge Baseline'!$B$1:$L$257,8,FALSE)),"",(VLOOKUP($B248,'B-1 Site Hedge Baseline'!$B$1:$L$257,8,FALSE))))</f>
        <v/>
      </c>
      <c r="I248" s="520" t="str">
        <f>IF(B248="","",IF(ISNA(VLOOKUP($B248,'B-1 Site Hedge Baseline'!$B$1:$L$257,10,FALSE)),"",(VLOOKUP($B248,'B-1 Site Hedge Baseline'!$B$1:$L$257,10,FALSE))))</f>
        <v/>
      </c>
      <c r="J248" s="520" t="str">
        <f>IF(B248="","",IF(ISNA(VLOOKUP($B248,'B-1 Site Hedge Baseline'!$B$1:$L$257,11,FALSE)),"",(VLOOKUP($B248,'B-1 Site Hedge Baseline'!$B$1:$L$257,11,FALSE))))</f>
        <v/>
      </c>
      <c r="K248" s="520" t="str">
        <f>IF(B248="","",IF(ISNA(VLOOKUP($B248,'B-1 Site Hedge Baseline'!$B$1:$U$257,13,FALSE)),"",(VLOOKUP($B248,'B-1 Site Hedge Baseline'!$B$1:$U$257,13,FALSE))))</f>
        <v/>
      </c>
      <c r="L248" s="524" t="str">
        <f>IF(B248="","",IF(ISNA(VLOOKUP($B248,'B-1 Site Hedge Baseline'!$B$1:$U$257,12,FALSE)),"",(VLOOKUP($B248,'B-1 Site Hedge Baseline'!$B$1:$U$257,12,FALSE))))</f>
        <v/>
      </c>
      <c r="M248" s="416" t="str">
        <f t="shared" si="31"/>
        <v/>
      </c>
      <c r="N248" s="498" t="str">
        <f>IFERROR(IF(B248="","",INDEX('G-6 Hedgerow Data'!$AN$3:$AZ$15,MATCH(C248,'G-6 Hedgerow Data'!$AM$3:$AM$15,0),MATCH(M248,'G-6 Hedgerow Data'!$AN$2:$AZ$2,0))),"")</f>
        <v/>
      </c>
      <c r="O248" s="499" t="str">
        <f t="shared" si="26"/>
        <v/>
      </c>
      <c r="P248" s="559" t="str">
        <f>IF(B248="","",VLOOKUP(B248,'B-1 Site Hedge Baseline'!$B$10:T493,16,FALSE))</f>
        <v/>
      </c>
      <c r="Q248" s="498" t="str">
        <f>IF(M248="","",VLOOKUP(M248,'G-6 Hedgerow Data'!$B$2:$AG$15,2,FALSE))</f>
        <v/>
      </c>
      <c r="R248" s="499" t="str">
        <f>IF(M248="","",VLOOKUP(M248,'G-6 Hedgerow Data'!$B$2:$AG$15,3,FALSE))</f>
        <v/>
      </c>
      <c r="S248" s="157"/>
      <c r="T248" s="540" t="str">
        <f>IFERROR(VLOOKUP(S248,'G-1 All Habitats'!$Z$2:$AA$9,2,FALSE),"")</f>
        <v/>
      </c>
      <c r="U248" s="154"/>
      <c r="V248" s="520" t="str">
        <f>IF(U248="","",IF(VLOOKUP(U248,'G-3 Multipliers'!$L$3:$N$6,2,FALSE)=0,"Spatial Data Missing ⚠",VLOOKUP(U248,'G-3 Multipliers'!$L$3:$N$6,2,FALSE)))</f>
        <v/>
      </c>
      <c r="W248" s="524" t="str">
        <f>IF(U248="","",IF(VLOOKUP(U248,'G-3 Multipliers'!$L$3:$N$6,3,FALSE)=0,"Spatial Data Missing ⚠",VLOOKUP(U248,'G-3 Multipliers'!$L$3:$N$6,3,FALSE)))</f>
        <v/>
      </c>
      <c r="X248" s="498" t="str">
        <f>IFERROR(IF(OR(LEFT(O248,5)="Error ▲",LEFT(N248,5)="Error ▲",T248="Error ▲"),"Check Data ⚠",IF(F248&lt;R248,INDEX('G-6 Hedgerow Data'!$S$3:$AE$14,MATCH(C248,'G-6 Hedgerow Data'!$B$3:$B$14,0),MATCH(M248,'G-6 Hedgerow Data'!$S$2:$AE$2,0)),INDEX('G-6 Hedgerow Data'!$K$3:$Q$14,MATCH(M248,'G-6 Hedgerow Data'!$B$3:$B$14,0),MATCH(O248,'G-6 Hedgerow Data'!$K$2:$Q$2,0)))),"")</f>
        <v/>
      </c>
      <c r="Y248" s="195"/>
      <c r="Z248" s="195"/>
      <c r="AA248" s="507" t="str">
        <f t="shared" si="27"/>
        <v/>
      </c>
      <c r="AB248" s="521" t="str">
        <f t="shared" si="28"/>
        <v/>
      </c>
      <c r="AC248" s="522" t="str">
        <f t="shared" si="24"/>
        <v/>
      </c>
      <c r="AD248" s="537" t="str">
        <f>IF(M248="","",VLOOKUP(M248,'G-6 Hedgerow Data'!$B$3:$AG$15,31,FALSE))</f>
        <v/>
      </c>
      <c r="AE248" s="507" t="str">
        <f t="shared" si="29"/>
        <v/>
      </c>
      <c r="AF248" s="507" t="str">
        <f t="shared" si="30"/>
        <v/>
      </c>
      <c r="AG248" s="524" t="str">
        <f>IFERROR(IF(O248="","",VLOOKUP(AD248,'G-3 Multipliers'!$P$3:$Q$6,2,FALSE)),"")</f>
        <v/>
      </c>
      <c r="AH248" s="513" t="str">
        <f t="shared" si="25"/>
        <v/>
      </c>
      <c r="AI248" s="231"/>
      <c r="AJ248" s="150"/>
      <c r="AT248" s="31" t="str">
        <f>IFERROR(INDEX('G-6 Hedgerow Data'!$BJ$3:$BJ$15,MATCH(M248,'G-6 Hedgerow Data'!$B$3:$B$15,0)),"")</f>
        <v/>
      </c>
    </row>
    <row r="249" spans="2:46" ht="14" x14ac:dyDescent="0.3">
      <c r="B249" s="531" t="str">
        <f>'B-1 Site Hedge Baseline'!AK247</f>
        <v/>
      </c>
      <c r="C249" s="520" t="str">
        <f>IF(B249="","",IF(ISNA(VLOOKUP($B249,'B-1 Site Hedge Baseline'!$B$1:$L$257,3,FALSE)),"",(VLOOKUP($B249,'B-1 Site Hedge Baseline'!$B$1:$L$257,3,FALSE))))</f>
        <v/>
      </c>
      <c r="D249" s="520" t="str">
        <f>IF(B249="","",IF(ISNA(VLOOKUP($B249,'B-1 Site Hedge Baseline'!$B$1:$L$257,4,FALSE)),"",(VLOOKUP($B249,'B-1 Site Hedge Baseline'!$B$1:$L$257,4,FALSE))))</f>
        <v/>
      </c>
      <c r="E249" s="520" t="str">
        <f>IF(B249="","",IF(ISNA(VLOOKUP($B249,'B-1 Site Hedge Baseline'!$B$1:$L$257,5,FALSE)),"",(VLOOKUP($B249,'B-1 Site Hedge Baseline'!$B$1:$L$257,5,FALSE))))</f>
        <v/>
      </c>
      <c r="F249" s="520" t="str">
        <f>IF(B249="","",IF(ISNA(VLOOKUP($B249,'B-1 Site Hedge Baseline'!$B$1:$L$257,6,FALSE)),"",(VLOOKUP($B249,'B-1 Site Hedge Baseline'!$B$1:$L$257,6,FALSE))))</f>
        <v/>
      </c>
      <c r="G249" s="520" t="str">
        <f>IF(B249="","",IF(ISNA(VLOOKUP($B249,'B-1 Site Hedge Baseline'!$B$1:$L$257,7,FALSE)),"",(VLOOKUP($B249,'B-1 Site Hedge Baseline'!$B$1:$L$257,7,FALSE))))</f>
        <v/>
      </c>
      <c r="H249" s="520" t="str">
        <f>IF(B249="","",IF(ISNA(VLOOKUP($B249,'B-1 Site Hedge Baseline'!$B$1:$L$257,8,FALSE)),"",(VLOOKUP($B249,'B-1 Site Hedge Baseline'!$B$1:$L$257,8,FALSE))))</f>
        <v/>
      </c>
      <c r="I249" s="520" t="str">
        <f>IF(B249="","",IF(ISNA(VLOOKUP($B249,'B-1 Site Hedge Baseline'!$B$1:$L$257,10,FALSE)),"",(VLOOKUP($B249,'B-1 Site Hedge Baseline'!$B$1:$L$257,10,FALSE))))</f>
        <v/>
      </c>
      <c r="J249" s="520" t="str">
        <f>IF(B249="","",IF(ISNA(VLOOKUP($B249,'B-1 Site Hedge Baseline'!$B$1:$L$257,11,FALSE)),"",(VLOOKUP($B249,'B-1 Site Hedge Baseline'!$B$1:$L$257,11,FALSE))))</f>
        <v/>
      </c>
      <c r="K249" s="520" t="str">
        <f>IF(B249="","",IF(ISNA(VLOOKUP($B249,'B-1 Site Hedge Baseline'!$B$1:$U$257,13,FALSE)),"",(VLOOKUP($B249,'B-1 Site Hedge Baseline'!$B$1:$U$257,13,FALSE))))</f>
        <v/>
      </c>
      <c r="L249" s="524" t="str">
        <f>IF(B249="","",IF(ISNA(VLOOKUP($B249,'B-1 Site Hedge Baseline'!$B$1:$U$257,12,FALSE)),"",(VLOOKUP($B249,'B-1 Site Hedge Baseline'!$B$1:$U$257,12,FALSE))))</f>
        <v/>
      </c>
      <c r="M249" s="416" t="str">
        <f t="shared" si="31"/>
        <v/>
      </c>
      <c r="N249" s="498" t="str">
        <f>IFERROR(IF(B249="","",INDEX('G-6 Hedgerow Data'!$AN$3:$AZ$15,MATCH(C249,'G-6 Hedgerow Data'!$AM$3:$AM$15,0),MATCH(M249,'G-6 Hedgerow Data'!$AN$2:$AZ$2,0))),"")</f>
        <v/>
      </c>
      <c r="O249" s="499" t="str">
        <f t="shared" si="26"/>
        <v/>
      </c>
      <c r="P249" s="559" t="str">
        <f>IF(B249="","",VLOOKUP(B249,'B-1 Site Hedge Baseline'!$B$10:T494,16,FALSE))</f>
        <v/>
      </c>
      <c r="Q249" s="498" t="str">
        <f>IF(M249="","",VLOOKUP(M249,'G-6 Hedgerow Data'!$B$2:$AG$15,2,FALSE))</f>
        <v/>
      </c>
      <c r="R249" s="499" t="str">
        <f>IF(M249="","",VLOOKUP(M249,'G-6 Hedgerow Data'!$B$2:$AG$15,3,FALSE))</f>
        <v/>
      </c>
      <c r="S249" s="157"/>
      <c r="T249" s="540" t="str">
        <f>IFERROR(VLOOKUP(S249,'G-1 All Habitats'!$Z$2:$AA$9,2,FALSE),"")</f>
        <v/>
      </c>
      <c r="U249" s="154"/>
      <c r="V249" s="520" t="str">
        <f>IF(U249="","",IF(VLOOKUP(U249,'G-3 Multipliers'!$L$3:$N$6,2,FALSE)=0,"Spatial Data Missing ⚠",VLOOKUP(U249,'G-3 Multipliers'!$L$3:$N$6,2,FALSE)))</f>
        <v/>
      </c>
      <c r="W249" s="524" t="str">
        <f>IF(U249="","",IF(VLOOKUP(U249,'G-3 Multipliers'!$L$3:$N$6,3,FALSE)=0,"Spatial Data Missing ⚠",VLOOKUP(U249,'G-3 Multipliers'!$L$3:$N$6,3,FALSE)))</f>
        <v/>
      </c>
      <c r="X249" s="498" t="str">
        <f>IFERROR(IF(OR(LEFT(O249,5)="Error ▲",LEFT(N249,5)="Error ▲",T249="Error ▲"),"Check Data ⚠",IF(F249&lt;R249,INDEX('G-6 Hedgerow Data'!$S$3:$AE$14,MATCH(C249,'G-6 Hedgerow Data'!$B$3:$B$14,0),MATCH(M249,'G-6 Hedgerow Data'!$S$2:$AE$2,0)),INDEX('G-6 Hedgerow Data'!$K$3:$Q$14,MATCH(M249,'G-6 Hedgerow Data'!$B$3:$B$14,0),MATCH(O249,'G-6 Hedgerow Data'!$K$2:$Q$2,0)))),"")</f>
        <v/>
      </c>
      <c r="Y249" s="195"/>
      <c r="Z249" s="195"/>
      <c r="AA249" s="507" t="str">
        <f t="shared" si="27"/>
        <v/>
      </c>
      <c r="AB249" s="521" t="str">
        <f t="shared" si="28"/>
        <v/>
      </c>
      <c r="AC249" s="522" t="str">
        <f t="shared" si="24"/>
        <v/>
      </c>
      <c r="AD249" s="537" t="str">
        <f>IF(M249="","",VLOOKUP(M249,'G-6 Hedgerow Data'!$B$3:$AG$15,31,FALSE))</f>
        <v/>
      </c>
      <c r="AE249" s="507" t="str">
        <f t="shared" si="29"/>
        <v/>
      </c>
      <c r="AF249" s="507" t="str">
        <f t="shared" si="30"/>
        <v/>
      </c>
      <c r="AG249" s="524" t="str">
        <f>IFERROR(IF(O249="","",VLOOKUP(AD249,'G-3 Multipliers'!$P$3:$Q$6,2,FALSE)),"")</f>
        <v/>
      </c>
      <c r="AH249" s="513" t="str">
        <f t="shared" si="25"/>
        <v/>
      </c>
      <c r="AI249" s="231"/>
      <c r="AJ249" s="150"/>
      <c r="AT249" s="31" t="str">
        <f>IFERROR(INDEX('G-6 Hedgerow Data'!$BJ$3:$BJ$15,MATCH(M249,'G-6 Hedgerow Data'!$B$3:$B$15,0)),"")</f>
        <v/>
      </c>
    </row>
    <row r="250" spans="2:46" ht="14" x14ac:dyDescent="0.3">
      <c r="B250" s="531" t="str">
        <f>'B-1 Site Hedge Baseline'!AK248</f>
        <v/>
      </c>
      <c r="C250" s="520" t="str">
        <f>IF(B250="","",IF(ISNA(VLOOKUP($B250,'B-1 Site Hedge Baseline'!$B$1:$L$257,3,FALSE)),"",(VLOOKUP($B250,'B-1 Site Hedge Baseline'!$B$1:$L$257,3,FALSE))))</f>
        <v/>
      </c>
      <c r="D250" s="520" t="str">
        <f>IF(B250="","",IF(ISNA(VLOOKUP($B250,'B-1 Site Hedge Baseline'!$B$1:$L$257,4,FALSE)),"",(VLOOKUP($B250,'B-1 Site Hedge Baseline'!$B$1:$L$257,4,FALSE))))</f>
        <v/>
      </c>
      <c r="E250" s="520" t="str">
        <f>IF(B250="","",IF(ISNA(VLOOKUP($B250,'B-1 Site Hedge Baseline'!$B$1:$L$257,5,FALSE)),"",(VLOOKUP($B250,'B-1 Site Hedge Baseline'!$B$1:$L$257,5,FALSE))))</f>
        <v/>
      </c>
      <c r="F250" s="520" t="str">
        <f>IF(B250="","",IF(ISNA(VLOOKUP($B250,'B-1 Site Hedge Baseline'!$B$1:$L$257,6,FALSE)),"",(VLOOKUP($B250,'B-1 Site Hedge Baseline'!$B$1:$L$257,6,FALSE))))</f>
        <v/>
      </c>
      <c r="G250" s="520" t="str">
        <f>IF(B250="","",IF(ISNA(VLOOKUP($B250,'B-1 Site Hedge Baseline'!$B$1:$L$257,7,FALSE)),"",(VLOOKUP($B250,'B-1 Site Hedge Baseline'!$B$1:$L$257,7,FALSE))))</f>
        <v/>
      </c>
      <c r="H250" s="520" t="str">
        <f>IF(B250="","",IF(ISNA(VLOOKUP($B250,'B-1 Site Hedge Baseline'!$B$1:$L$257,8,FALSE)),"",(VLOOKUP($B250,'B-1 Site Hedge Baseline'!$B$1:$L$257,8,FALSE))))</f>
        <v/>
      </c>
      <c r="I250" s="520" t="str">
        <f>IF(B250="","",IF(ISNA(VLOOKUP($B250,'B-1 Site Hedge Baseline'!$B$1:$L$257,10,FALSE)),"",(VLOOKUP($B250,'B-1 Site Hedge Baseline'!$B$1:$L$257,10,FALSE))))</f>
        <v/>
      </c>
      <c r="J250" s="520" t="str">
        <f>IF(B250="","",IF(ISNA(VLOOKUP($B250,'B-1 Site Hedge Baseline'!$B$1:$L$257,11,FALSE)),"",(VLOOKUP($B250,'B-1 Site Hedge Baseline'!$B$1:$L$257,11,FALSE))))</f>
        <v/>
      </c>
      <c r="K250" s="520" t="str">
        <f>IF(B250="","",IF(ISNA(VLOOKUP($B250,'B-1 Site Hedge Baseline'!$B$1:$U$257,13,FALSE)),"",(VLOOKUP($B250,'B-1 Site Hedge Baseline'!$B$1:$U$257,13,FALSE))))</f>
        <v/>
      </c>
      <c r="L250" s="524" t="str">
        <f>IF(B250="","",IF(ISNA(VLOOKUP($B250,'B-1 Site Hedge Baseline'!$B$1:$U$257,12,FALSE)),"",(VLOOKUP($B250,'B-1 Site Hedge Baseline'!$B$1:$U$257,12,FALSE))))</f>
        <v/>
      </c>
      <c r="M250" s="416" t="str">
        <f t="shared" si="31"/>
        <v/>
      </c>
      <c r="N250" s="498" t="str">
        <f>IFERROR(IF(B250="","",INDEX('G-6 Hedgerow Data'!$AN$3:$AZ$15,MATCH(C250,'G-6 Hedgerow Data'!$AM$3:$AM$15,0),MATCH(M250,'G-6 Hedgerow Data'!$AN$2:$AZ$2,0))),"")</f>
        <v/>
      </c>
      <c r="O250" s="499" t="str">
        <f t="shared" si="26"/>
        <v/>
      </c>
      <c r="P250" s="559" t="str">
        <f>IF(B250="","",VLOOKUP(B250,'B-1 Site Hedge Baseline'!$B$10:T495,16,FALSE))</f>
        <v/>
      </c>
      <c r="Q250" s="498" t="str">
        <f>IF(M250="","",VLOOKUP(M250,'G-6 Hedgerow Data'!$B$2:$AG$15,2,FALSE))</f>
        <v/>
      </c>
      <c r="R250" s="499" t="str">
        <f>IF(M250="","",VLOOKUP(M250,'G-6 Hedgerow Data'!$B$2:$AG$15,3,FALSE))</f>
        <v/>
      </c>
      <c r="S250" s="157"/>
      <c r="T250" s="540" t="str">
        <f>IFERROR(VLOOKUP(S250,'G-1 All Habitats'!$Z$2:$AA$9,2,FALSE),"")</f>
        <v/>
      </c>
      <c r="U250" s="154"/>
      <c r="V250" s="520" t="str">
        <f>IF(U250="","",IF(VLOOKUP(U250,'G-3 Multipliers'!$L$3:$N$6,2,FALSE)=0,"Spatial Data Missing ⚠",VLOOKUP(U250,'G-3 Multipliers'!$L$3:$N$6,2,FALSE)))</f>
        <v/>
      </c>
      <c r="W250" s="524" t="str">
        <f>IF(U250="","",IF(VLOOKUP(U250,'G-3 Multipliers'!$L$3:$N$6,3,FALSE)=0,"Spatial Data Missing ⚠",VLOOKUP(U250,'G-3 Multipliers'!$L$3:$N$6,3,FALSE)))</f>
        <v/>
      </c>
      <c r="X250" s="498" t="str">
        <f>IFERROR(IF(OR(LEFT(O250,5)="Error ▲",LEFT(N250,5)="Error ▲",T250="Error ▲"),"Check Data ⚠",IF(F250&lt;R250,INDEX('G-6 Hedgerow Data'!$S$3:$AE$14,MATCH(C250,'G-6 Hedgerow Data'!$B$3:$B$14,0),MATCH(M250,'G-6 Hedgerow Data'!$S$2:$AE$2,0)),INDEX('G-6 Hedgerow Data'!$K$3:$Q$14,MATCH(M250,'G-6 Hedgerow Data'!$B$3:$B$14,0),MATCH(O250,'G-6 Hedgerow Data'!$K$2:$Q$2,0)))),"")</f>
        <v/>
      </c>
      <c r="Y250" s="195"/>
      <c r="Z250" s="195"/>
      <c r="AA250" s="507" t="str">
        <f t="shared" si="27"/>
        <v/>
      </c>
      <c r="AB250" s="521" t="str">
        <f t="shared" si="28"/>
        <v/>
      </c>
      <c r="AC250" s="522" t="str">
        <f t="shared" si="24"/>
        <v/>
      </c>
      <c r="AD250" s="537" t="str">
        <f>IF(M250="","",VLOOKUP(M250,'G-6 Hedgerow Data'!$B$3:$AG$15,31,FALSE))</f>
        <v/>
      </c>
      <c r="AE250" s="507" t="str">
        <f t="shared" si="29"/>
        <v/>
      </c>
      <c r="AF250" s="507" t="str">
        <f t="shared" si="30"/>
        <v/>
      </c>
      <c r="AG250" s="524" t="str">
        <f>IFERROR(IF(O250="","",VLOOKUP(AD250,'G-3 Multipliers'!$P$3:$Q$6,2,FALSE)),"")</f>
        <v/>
      </c>
      <c r="AH250" s="513" t="str">
        <f t="shared" si="25"/>
        <v/>
      </c>
      <c r="AI250" s="231"/>
      <c r="AJ250" s="150"/>
      <c r="AT250" s="31" t="str">
        <f>IFERROR(INDEX('G-6 Hedgerow Data'!$BJ$3:$BJ$15,MATCH(M250,'G-6 Hedgerow Data'!$B$3:$B$15,0)),"")</f>
        <v/>
      </c>
    </row>
    <row r="251" spans="2:46" ht="14" x14ac:dyDescent="0.3">
      <c r="B251" s="531" t="str">
        <f>'B-1 Site Hedge Baseline'!AK249</f>
        <v/>
      </c>
      <c r="C251" s="520" t="str">
        <f>IF(B251="","",IF(ISNA(VLOOKUP($B251,'B-1 Site Hedge Baseline'!$B$1:$L$257,3,FALSE)),"",(VLOOKUP($B251,'B-1 Site Hedge Baseline'!$B$1:$L$257,3,FALSE))))</f>
        <v/>
      </c>
      <c r="D251" s="520" t="str">
        <f>IF(B251="","",IF(ISNA(VLOOKUP($B251,'B-1 Site Hedge Baseline'!$B$1:$L$257,4,FALSE)),"",(VLOOKUP($B251,'B-1 Site Hedge Baseline'!$B$1:$L$257,4,FALSE))))</f>
        <v/>
      </c>
      <c r="E251" s="520" t="str">
        <f>IF(B251="","",IF(ISNA(VLOOKUP($B251,'B-1 Site Hedge Baseline'!$B$1:$L$257,5,FALSE)),"",(VLOOKUP($B251,'B-1 Site Hedge Baseline'!$B$1:$L$257,5,FALSE))))</f>
        <v/>
      </c>
      <c r="F251" s="520" t="str">
        <f>IF(B251="","",IF(ISNA(VLOOKUP($B251,'B-1 Site Hedge Baseline'!$B$1:$L$257,6,FALSE)),"",(VLOOKUP($B251,'B-1 Site Hedge Baseline'!$B$1:$L$257,6,FALSE))))</f>
        <v/>
      </c>
      <c r="G251" s="520" t="str">
        <f>IF(B251="","",IF(ISNA(VLOOKUP($B251,'B-1 Site Hedge Baseline'!$B$1:$L$257,7,FALSE)),"",(VLOOKUP($B251,'B-1 Site Hedge Baseline'!$B$1:$L$257,7,FALSE))))</f>
        <v/>
      </c>
      <c r="H251" s="520" t="str">
        <f>IF(B251="","",IF(ISNA(VLOOKUP($B251,'B-1 Site Hedge Baseline'!$B$1:$L$257,8,FALSE)),"",(VLOOKUP($B251,'B-1 Site Hedge Baseline'!$B$1:$L$257,8,FALSE))))</f>
        <v/>
      </c>
      <c r="I251" s="520" t="str">
        <f>IF(B251="","",IF(ISNA(VLOOKUP($B251,'B-1 Site Hedge Baseline'!$B$1:$L$257,10,FALSE)),"",(VLOOKUP($B251,'B-1 Site Hedge Baseline'!$B$1:$L$257,10,FALSE))))</f>
        <v/>
      </c>
      <c r="J251" s="520" t="str">
        <f>IF(B251="","",IF(ISNA(VLOOKUP($B251,'B-1 Site Hedge Baseline'!$B$1:$L$257,11,FALSE)),"",(VLOOKUP($B251,'B-1 Site Hedge Baseline'!$B$1:$L$257,11,FALSE))))</f>
        <v/>
      </c>
      <c r="K251" s="520" t="str">
        <f>IF(B251="","",IF(ISNA(VLOOKUP($B251,'B-1 Site Hedge Baseline'!$B$1:$U$257,13,FALSE)),"",(VLOOKUP($B251,'B-1 Site Hedge Baseline'!$B$1:$U$257,13,FALSE))))</f>
        <v/>
      </c>
      <c r="L251" s="524" t="str">
        <f>IF(B251="","",IF(ISNA(VLOOKUP($B251,'B-1 Site Hedge Baseline'!$B$1:$U$257,12,FALSE)),"",(VLOOKUP($B251,'B-1 Site Hedge Baseline'!$B$1:$U$257,12,FALSE))))</f>
        <v/>
      </c>
      <c r="M251" s="416" t="str">
        <f t="shared" si="31"/>
        <v/>
      </c>
      <c r="N251" s="498" t="str">
        <f>IFERROR(IF(B251="","",INDEX('G-6 Hedgerow Data'!$AN$3:$AZ$15,MATCH(C251,'G-6 Hedgerow Data'!$AM$3:$AM$15,0),MATCH(M251,'G-6 Hedgerow Data'!$AN$2:$AZ$2,0))),"")</f>
        <v/>
      </c>
      <c r="O251" s="499" t="str">
        <f t="shared" si="26"/>
        <v/>
      </c>
      <c r="P251" s="559" t="str">
        <f>IF(B251="","",VLOOKUP(B251,'B-1 Site Hedge Baseline'!$B$10:T496,16,FALSE))</f>
        <v/>
      </c>
      <c r="Q251" s="498" t="str">
        <f>IF(M251="","",VLOOKUP(M251,'G-6 Hedgerow Data'!$B$2:$AG$15,2,FALSE))</f>
        <v/>
      </c>
      <c r="R251" s="499" t="str">
        <f>IF(M251="","",VLOOKUP(M251,'G-6 Hedgerow Data'!$B$2:$AG$15,3,FALSE))</f>
        <v/>
      </c>
      <c r="S251" s="157"/>
      <c r="T251" s="540" t="str">
        <f>IFERROR(VLOOKUP(S251,'G-1 All Habitats'!$Z$2:$AA$9,2,FALSE),"")</f>
        <v/>
      </c>
      <c r="U251" s="154"/>
      <c r="V251" s="520" t="str">
        <f>IF(U251="","",IF(VLOOKUP(U251,'G-3 Multipliers'!$L$3:$N$6,2,FALSE)=0,"Spatial Data Missing ⚠",VLOOKUP(U251,'G-3 Multipliers'!$L$3:$N$6,2,FALSE)))</f>
        <v/>
      </c>
      <c r="W251" s="524" t="str">
        <f>IF(U251="","",IF(VLOOKUP(U251,'G-3 Multipliers'!$L$3:$N$6,3,FALSE)=0,"Spatial Data Missing ⚠",VLOOKUP(U251,'G-3 Multipliers'!$L$3:$N$6,3,FALSE)))</f>
        <v/>
      </c>
      <c r="X251" s="498" t="str">
        <f>IFERROR(IF(OR(LEFT(O251,5)="Error ▲",LEFT(N251,5)="Error ▲",T251="Error ▲"),"Check Data ⚠",IF(F251&lt;R251,INDEX('G-6 Hedgerow Data'!$S$3:$AE$14,MATCH(C251,'G-6 Hedgerow Data'!$B$3:$B$14,0),MATCH(M251,'G-6 Hedgerow Data'!$S$2:$AE$2,0)),INDEX('G-6 Hedgerow Data'!$K$3:$Q$14,MATCH(M251,'G-6 Hedgerow Data'!$B$3:$B$14,0),MATCH(O251,'G-6 Hedgerow Data'!$K$2:$Q$2,0)))),"")</f>
        <v/>
      </c>
      <c r="Y251" s="195"/>
      <c r="Z251" s="195"/>
      <c r="AA251" s="507" t="str">
        <f t="shared" si="27"/>
        <v/>
      </c>
      <c r="AB251" s="521" t="str">
        <f t="shared" si="28"/>
        <v/>
      </c>
      <c r="AC251" s="522" t="str">
        <f t="shared" si="24"/>
        <v/>
      </c>
      <c r="AD251" s="537" t="str">
        <f>IF(M251="","",VLOOKUP(M251,'G-6 Hedgerow Data'!$B$3:$AG$15,31,FALSE))</f>
        <v/>
      </c>
      <c r="AE251" s="507" t="str">
        <f t="shared" si="29"/>
        <v/>
      </c>
      <c r="AF251" s="507" t="str">
        <f t="shared" si="30"/>
        <v/>
      </c>
      <c r="AG251" s="524" t="str">
        <f>IFERROR(IF(O251="","",VLOOKUP(AD251,'G-3 Multipliers'!$P$3:$Q$6,2,FALSE)),"")</f>
        <v/>
      </c>
      <c r="AH251" s="513" t="str">
        <f t="shared" si="25"/>
        <v/>
      </c>
      <c r="AI251" s="231"/>
      <c r="AJ251" s="150"/>
      <c r="AT251" s="31" t="str">
        <f>IFERROR(INDEX('G-6 Hedgerow Data'!$BJ$3:$BJ$15,MATCH(M251,'G-6 Hedgerow Data'!$B$3:$B$15,0)),"")</f>
        <v/>
      </c>
    </row>
    <row r="252" spans="2:46" ht="14" x14ac:dyDescent="0.3">
      <c r="B252" s="531" t="str">
        <f>'B-1 Site Hedge Baseline'!AK250</f>
        <v/>
      </c>
      <c r="C252" s="520" t="str">
        <f>IF(B252="","",IF(ISNA(VLOOKUP($B252,'B-1 Site Hedge Baseline'!$B$1:$L$257,3,FALSE)),"",(VLOOKUP($B252,'B-1 Site Hedge Baseline'!$B$1:$L$257,3,FALSE))))</f>
        <v/>
      </c>
      <c r="D252" s="520" t="str">
        <f>IF(B252="","",IF(ISNA(VLOOKUP($B252,'B-1 Site Hedge Baseline'!$B$1:$L$257,4,FALSE)),"",(VLOOKUP($B252,'B-1 Site Hedge Baseline'!$B$1:$L$257,4,FALSE))))</f>
        <v/>
      </c>
      <c r="E252" s="520" t="str">
        <f>IF(B252="","",IF(ISNA(VLOOKUP($B252,'B-1 Site Hedge Baseline'!$B$1:$L$257,5,FALSE)),"",(VLOOKUP($B252,'B-1 Site Hedge Baseline'!$B$1:$L$257,5,FALSE))))</f>
        <v/>
      </c>
      <c r="F252" s="520" t="str">
        <f>IF(B252="","",IF(ISNA(VLOOKUP($B252,'B-1 Site Hedge Baseline'!$B$1:$L$257,6,FALSE)),"",(VLOOKUP($B252,'B-1 Site Hedge Baseline'!$B$1:$L$257,6,FALSE))))</f>
        <v/>
      </c>
      <c r="G252" s="520" t="str">
        <f>IF(B252="","",IF(ISNA(VLOOKUP($B252,'B-1 Site Hedge Baseline'!$B$1:$L$257,7,FALSE)),"",(VLOOKUP($B252,'B-1 Site Hedge Baseline'!$B$1:$L$257,7,FALSE))))</f>
        <v/>
      </c>
      <c r="H252" s="520" t="str">
        <f>IF(B252="","",IF(ISNA(VLOOKUP($B252,'B-1 Site Hedge Baseline'!$B$1:$L$257,8,FALSE)),"",(VLOOKUP($B252,'B-1 Site Hedge Baseline'!$B$1:$L$257,8,FALSE))))</f>
        <v/>
      </c>
      <c r="I252" s="520" t="str">
        <f>IF(B252="","",IF(ISNA(VLOOKUP($B252,'B-1 Site Hedge Baseline'!$B$1:$L$257,10,FALSE)),"",(VLOOKUP($B252,'B-1 Site Hedge Baseline'!$B$1:$L$257,10,FALSE))))</f>
        <v/>
      </c>
      <c r="J252" s="520" t="str">
        <f>IF(B252="","",IF(ISNA(VLOOKUP($B252,'B-1 Site Hedge Baseline'!$B$1:$L$257,11,FALSE)),"",(VLOOKUP($B252,'B-1 Site Hedge Baseline'!$B$1:$L$257,11,FALSE))))</f>
        <v/>
      </c>
      <c r="K252" s="520" t="str">
        <f>IF(B252="","",IF(ISNA(VLOOKUP($B252,'B-1 Site Hedge Baseline'!$B$1:$U$257,13,FALSE)),"",(VLOOKUP($B252,'B-1 Site Hedge Baseline'!$B$1:$U$257,13,FALSE))))</f>
        <v/>
      </c>
      <c r="L252" s="524" t="str">
        <f>IF(B252="","",IF(ISNA(VLOOKUP($B252,'B-1 Site Hedge Baseline'!$B$1:$U$257,12,FALSE)),"",(VLOOKUP($B252,'B-1 Site Hedge Baseline'!$B$1:$U$257,12,FALSE))))</f>
        <v/>
      </c>
      <c r="M252" s="416" t="str">
        <f t="shared" si="31"/>
        <v/>
      </c>
      <c r="N252" s="498" t="str">
        <f>IFERROR(IF(B252="","",INDEX('G-6 Hedgerow Data'!$AN$3:$AZ$15,MATCH(C252,'G-6 Hedgerow Data'!$AM$3:$AM$15,0),MATCH(M252,'G-6 Hedgerow Data'!$AN$2:$AZ$2,0))),"")</f>
        <v/>
      </c>
      <c r="O252" s="499" t="str">
        <f t="shared" si="26"/>
        <v/>
      </c>
      <c r="P252" s="559" t="str">
        <f>IF(B252="","",VLOOKUP(B252,'B-1 Site Hedge Baseline'!$B$10:T497,16,FALSE))</f>
        <v/>
      </c>
      <c r="Q252" s="498" t="str">
        <f>IF(M252="","",VLOOKUP(M252,'G-6 Hedgerow Data'!$B$2:$AG$15,2,FALSE))</f>
        <v/>
      </c>
      <c r="R252" s="499" t="str">
        <f>IF(M252="","",VLOOKUP(M252,'G-6 Hedgerow Data'!$B$2:$AG$15,3,FALSE))</f>
        <v/>
      </c>
      <c r="S252" s="157"/>
      <c r="T252" s="540" t="str">
        <f>IFERROR(VLOOKUP(S252,'G-1 All Habitats'!$Z$2:$AA$9,2,FALSE),"")</f>
        <v/>
      </c>
      <c r="U252" s="154"/>
      <c r="V252" s="520" t="str">
        <f>IF(U252="","",IF(VLOOKUP(U252,'G-3 Multipliers'!$L$3:$N$6,2,FALSE)=0,"Spatial Data Missing ⚠",VLOOKUP(U252,'G-3 Multipliers'!$L$3:$N$6,2,FALSE)))</f>
        <v/>
      </c>
      <c r="W252" s="524" t="str">
        <f>IF(U252="","",IF(VLOOKUP(U252,'G-3 Multipliers'!$L$3:$N$6,3,FALSE)=0,"Spatial Data Missing ⚠",VLOOKUP(U252,'G-3 Multipliers'!$L$3:$N$6,3,FALSE)))</f>
        <v/>
      </c>
      <c r="X252" s="498" t="str">
        <f>IFERROR(IF(OR(LEFT(O252,5)="Error ▲",LEFT(N252,5)="Error ▲",T252="Error ▲"),"Check Data ⚠",IF(F252&lt;R252,INDEX('G-6 Hedgerow Data'!$S$3:$AE$14,MATCH(C252,'G-6 Hedgerow Data'!$B$3:$B$14,0),MATCH(M252,'G-6 Hedgerow Data'!$S$2:$AE$2,0)),INDEX('G-6 Hedgerow Data'!$K$3:$Q$14,MATCH(M252,'G-6 Hedgerow Data'!$B$3:$B$14,0),MATCH(O252,'G-6 Hedgerow Data'!$K$2:$Q$2,0)))),"")</f>
        <v/>
      </c>
      <c r="Y252" s="195"/>
      <c r="Z252" s="195"/>
      <c r="AA252" s="507" t="str">
        <f t="shared" si="27"/>
        <v/>
      </c>
      <c r="AB252" s="521" t="str">
        <f t="shared" si="28"/>
        <v/>
      </c>
      <c r="AC252" s="522" t="str">
        <f t="shared" si="24"/>
        <v/>
      </c>
      <c r="AD252" s="537" t="str">
        <f>IF(M252="","",VLOOKUP(M252,'G-6 Hedgerow Data'!$B$3:$AG$15,31,FALSE))</f>
        <v/>
      </c>
      <c r="AE252" s="507" t="str">
        <f t="shared" si="29"/>
        <v/>
      </c>
      <c r="AF252" s="507" t="str">
        <f t="shared" si="30"/>
        <v/>
      </c>
      <c r="AG252" s="524" t="str">
        <f>IFERROR(IF(O252="","",VLOOKUP(AD252,'G-3 Multipliers'!$P$3:$Q$6,2,FALSE)),"")</f>
        <v/>
      </c>
      <c r="AH252" s="513" t="str">
        <f t="shared" si="25"/>
        <v/>
      </c>
      <c r="AI252" s="231"/>
      <c r="AJ252" s="150"/>
      <c r="AT252" s="31" t="str">
        <f>IFERROR(INDEX('G-6 Hedgerow Data'!$BJ$3:$BJ$15,MATCH(M252,'G-6 Hedgerow Data'!$B$3:$B$15,0)),"")</f>
        <v/>
      </c>
    </row>
    <row r="253" spans="2:46" ht="14" x14ac:dyDescent="0.3">
      <c r="B253" s="531" t="str">
        <f>'B-1 Site Hedge Baseline'!AK251</f>
        <v/>
      </c>
      <c r="C253" s="520" t="str">
        <f>IF(B253="","",IF(ISNA(VLOOKUP($B253,'B-1 Site Hedge Baseline'!$B$1:$L$257,3,FALSE)),"",(VLOOKUP($B253,'B-1 Site Hedge Baseline'!$B$1:$L$257,3,FALSE))))</f>
        <v/>
      </c>
      <c r="D253" s="520" t="str">
        <f>IF(B253="","",IF(ISNA(VLOOKUP($B253,'B-1 Site Hedge Baseline'!$B$1:$L$257,4,FALSE)),"",(VLOOKUP($B253,'B-1 Site Hedge Baseline'!$B$1:$L$257,4,FALSE))))</f>
        <v/>
      </c>
      <c r="E253" s="520" t="str">
        <f>IF(B253="","",IF(ISNA(VLOOKUP($B253,'B-1 Site Hedge Baseline'!$B$1:$L$257,5,FALSE)),"",(VLOOKUP($B253,'B-1 Site Hedge Baseline'!$B$1:$L$257,5,FALSE))))</f>
        <v/>
      </c>
      <c r="F253" s="520" t="str">
        <f>IF(B253="","",IF(ISNA(VLOOKUP($B253,'B-1 Site Hedge Baseline'!$B$1:$L$257,6,FALSE)),"",(VLOOKUP($B253,'B-1 Site Hedge Baseline'!$B$1:$L$257,6,FALSE))))</f>
        <v/>
      </c>
      <c r="G253" s="520" t="str">
        <f>IF(B253="","",IF(ISNA(VLOOKUP($B253,'B-1 Site Hedge Baseline'!$B$1:$L$257,7,FALSE)),"",(VLOOKUP($B253,'B-1 Site Hedge Baseline'!$B$1:$L$257,7,FALSE))))</f>
        <v/>
      </c>
      <c r="H253" s="520" t="str">
        <f>IF(B253="","",IF(ISNA(VLOOKUP($B253,'B-1 Site Hedge Baseline'!$B$1:$L$257,8,FALSE)),"",(VLOOKUP($B253,'B-1 Site Hedge Baseline'!$B$1:$L$257,8,FALSE))))</f>
        <v/>
      </c>
      <c r="I253" s="520" t="str">
        <f>IF(B253="","",IF(ISNA(VLOOKUP($B253,'B-1 Site Hedge Baseline'!$B$1:$L$257,10,FALSE)),"",(VLOOKUP($B253,'B-1 Site Hedge Baseline'!$B$1:$L$257,10,FALSE))))</f>
        <v/>
      </c>
      <c r="J253" s="520" t="str">
        <f>IF(B253="","",IF(ISNA(VLOOKUP($B253,'B-1 Site Hedge Baseline'!$B$1:$L$257,11,FALSE)),"",(VLOOKUP($B253,'B-1 Site Hedge Baseline'!$B$1:$L$257,11,FALSE))))</f>
        <v/>
      </c>
      <c r="K253" s="520" t="str">
        <f>IF(B253="","",IF(ISNA(VLOOKUP($B253,'B-1 Site Hedge Baseline'!$B$1:$U$257,13,FALSE)),"",(VLOOKUP($B253,'B-1 Site Hedge Baseline'!$B$1:$U$257,13,FALSE))))</f>
        <v/>
      </c>
      <c r="L253" s="524" t="str">
        <f>IF(B253="","",IF(ISNA(VLOOKUP($B253,'B-1 Site Hedge Baseline'!$B$1:$U$257,12,FALSE)),"",(VLOOKUP($B253,'B-1 Site Hedge Baseline'!$B$1:$U$257,12,FALSE))))</f>
        <v/>
      </c>
      <c r="M253" s="416" t="str">
        <f t="shared" si="31"/>
        <v/>
      </c>
      <c r="N253" s="498" t="str">
        <f>IFERROR(IF(B253="","",INDEX('G-6 Hedgerow Data'!$AN$3:$AZ$15,MATCH(C253,'G-6 Hedgerow Data'!$AM$3:$AM$15,0),MATCH(M253,'G-6 Hedgerow Data'!$AN$2:$AZ$2,0))),"")</f>
        <v/>
      </c>
      <c r="O253" s="499" t="str">
        <f t="shared" si="26"/>
        <v/>
      </c>
      <c r="P253" s="559" t="str">
        <f>IF(B253="","",VLOOKUP(B253,'B-1 Site Hedge Baseline'!$B$10:T498,16,FALSE))</f>
        <v/>
      </c>
      <c r="Q253" s="498" t="str">
        <f>IF(M253="","",VLOOKUP(M253,'G-6 Hedgerow Data'!$B$2:$AG$15,2,FALSE))</f>
        <v/>
      </c>
      <c r="R253" s="499" t="str">
        <f>IF(M253="","",VLOOKUP(M253,'G-6 Hedgerow Data'!$B$2:$AG$15,3,FALSE))</f>
        <v/>
      </c>
      <c r="S253" s="157"/>
      <c r="T253" s="540" t="str">
        <f>IFERROR(VLOOKUP(S253,'G-1 All Habitats'!$Z$2:$AA$9,2,FALSE),"")</f>
        <v/>
      </c>
      <c r="U253" s="154"/>
      <c r="V253" s="520" t="str">
        <f>IF(U253="","",IF(VLOOKUP(U253,'G-3 Multipliers'!$L$3:$N$6,2,FALSE)=0,"Spatial Data Missing ⚠",VLOOKUP(U253,'G-3 Multipliers'!$L$3:$N$6,2,FALSE)))</f>
        <v/>
      </c>
      <c r="W253" s="524" t="str">
        <f>IF(U253="","",IF(VLOOKUP(U253,'G-3 Multipliers'!$L$3:$N$6,3,FALSE)=0,"Spatial Data Missing ⚠",VLOOKUP(U253,'G-3 Multipliers'!$L$3:$N$6,3,FALSE)))</f>
        <v/>
      </c>
      <c r="X253" s="498" t="str">
        <f>IFERROR(IF(OR(LEFT(O253,5)="Error ▲",LEFT(N253,5)="Error ▲",T253="Error ▲"),"Check Data ⚠",IF(F253&lt;R253,INDEX('G-6 Hedgerow Data'!$S$3:$AE$14,MATCH(C253,'G-6 Hedgerow Data'!$B$3:$B$14,0),MATCH(M253,'G-6 Hedgerow Data'!$S$2:$AE$2,0)),INDEX('G-6 Hedgerow Data'!$K$3:$Q$14,MATCH(M253,'G-6 Hedgerow Data'!$B$3:$B$14,0),MATCH(O253,'G-6 Hedgerow Data'!$K$2:$Q$2,0)))),"")</f>
        <v/>
      </c>
      <c r="Y253" s="195"/>
      <c r="Z253" s="195"/>
      <c r="AA253" s="507" t="str">
        <f t="shared" si="27"/>
        <v/>
      </c>
      <c r="AB253" s="521" t="str">
        <f t="shared" si="28"/>
        <v/>
      </c>
      <c r="AC253" s="522" t="str">
        <f t="shared" si="24"/>
        <v/>
      </c>
      <c r="AD253" s="537" t="str">
        <f>IF(M253="","",VLOOKUP(M253,'G-6 Hedgerow Data'!$B$3:$AG$15,31,FALSE))</f>
        <v/>
      </c>
      <c r="AE253" s="507" t="str">
        <f t="shared" si="29"/>
        <v/>
      </c>
      <c r="AF253" s="507" t="str">
        <f t="shared" si="30"/>
        <v/>
      </c>
      <c r="AG253" s="524" t="str">
        <f>IFERROR(IF(O253="","",VLOOKUP(AD253,'G-3 Multipliers'!$P$3:$Q$6,2,FALSE)),"")</f>
        <v/>
      </c>
      <c r="AH253" s="513" t="str">
        <f t="shared" si="25"/>
        <v/>
      </c>
      <c r="AI253" s="231"/>
      <c r="AJ253" s="150"/>
      <c r="AT253" s="31" t="str">
        <f>IFERROR(INDEX('G-6 Hedgerow Data'!$BJ$3:$BJ$15,MATCH(M253,'G-6 Hedgerow Data'!$B$3:$B$15,0)),"")</f>
        <v/>
      </c>
    </row>
    <row r="254" spans="2:46" ht="14" x14ac:dyDescent="0.3">
      <c r="B254" s="531" t="str">
        <f>'B-1 Site Hedge Baseline'!AK252</f>
        <v/>
      </c>
      <c r="C254" s="520" t="str">
        <f>IF(B254="","",IF(ISNA(VLOOKUP($B254,'B-1 Site Hedge Baseline'!$B$1:$L$257,3,FALSE)),"",(VLOOKUP($B254,'B-1 Site Hedge Baseline'!$B$1:$L$257,3,FALSE))))</f>
        <v/>
      </c>
      <c r="D254" s="520" t="str">
        <f>IF(B254="","",IF(ISNA(VLOOKUP($B254,'B-1 Site Hedge Baseline'!$B$1:$L$257,4,FALSE)),"",(VLOOKUP($B254,'B-1 Site Hedge Baseline'!$B$1:$L$257,4,FALSE))))</f>
        <v/>
      </c>
      <c r="E254" s="520" t="str">
        <f>IF(B254="","",IF(ISNA(VLOOKUP($B254,'B-1 Site Hedge Baseline'!$B$1:$L$257,5,FALSE)),"",(VLOOKUP($B254,'B-1 Site Hedge Baseline'!$B$1:$L$257,5,FALSE))))</f>
        <v/>
      </c>
      <c r="F254" s="520" t="str">
        <f>IF(B254="","",IF(ISNA(VLOOKUP($B254,'B-1 Site Hedge Baseline'!$B$1:$L$257,6,FALSE)),"",(VLOOKUP($B254,'B-1 Site Hedge Baseline'!$B$1:$L$257,6,FALSE))))</f>
        <v/>
      </c>
      <c r="G254" s="520" t="str">
        <f>IF(B254="","",IF(ISNA(VLOOKUP($B254,'B-1 Site Hedge Baseline'!$B$1:$L$257,7,FALSE)),"",(VLOOKUP($B254,'B-1 Site Hedge Baseline'!$B$1:$L$257,7,FALSE))))</f>
        <v/>
      </c>
      <c r="H254" s="520" t="str">
        <f>IF(B254="","",IF(ISNA(VLOOKUP($B254,'B-1 Site Hedge Baseline'!$B$1:$L$257,8,FALSE)),"",(VLOOKUP($B254,'B-1 Site Hedge Baseline'!$B$1:$L$257,8,FALSE))))</f>
        <v/>
      </c>
      <c r="I254" s="520" t="str">
        <f>IF(B254="","",IF(ISNA(VLOOKUP($B254,'B-1 Site Hedge Baseline'!$B$1:$L$257,10,FALSE)),"",(VLOOKUP($B254,'B-1 Site Hedge Baseline'!$B$1:$L$257,10,FALSE))))</f>
        <v/>
      </c>
      <c r="J254" s="520" t="str">
        <f>IF(B254="","",IF(ISNA(VLOOKUP($B254,'B-1 Site Hedge Baseline'!$B$1:$L$257,11,FALSE)),"",(VLOOKUP($B254,'B-1 Site Hedge Baseline'!$B$1:$L$257,11,FALSE))))</f>
        <v/>
      </c>
      <c r="K254" s="520" t="str">
        <f>IF(B254="","",IF(ISNA(VLOOKUP($B254,'B-1 Site Hedge Baseline'!$B$1:$U$257,13,FALSE)),"",(VLOOKUP($B254,'B-1 Site Hedge Baseline'!$B$1:$U$257,13,FALSE))))</f>
        <v/>
      </c>
      <c r="L254" s="524" t="str">
        <f>IF(B254="","",IF(ISNA(VLOOKUP($B254,'B-1 Site Hedge Baseline'!$B$1:$U$257,12,FALSE)),"",(VLOOKUP($B254,'B-1 Site Hedge Baseline'!$B$1:$U$257,12,FALSE))))</f>
        <v/>
      </c>
      <c r="M254" s="416" t="str">
        <f t="shared" si="31"/>
        <v/>
      </c>
      <c r="N254" s="498" t="str">
        <f>IFERROR(IF(B254="","",INDEX('G-6 Hedgerow Data'!$AN$3:$AZ$15,MATCH(C254,'G-6 Hedgerow Data'!$AM$3:$AM$15,0),MATCH(M254,'G-6 Hedgerow Data'!$AN$2:$AZ$2,0))),"")</f>
        <v/>
      </c>
      <c r="O254" s="499" t="str">
        <f t="shared" si="26"/>
        <v/>
      </c>
      <c r="P254" s="559" t="str">
        <f>IF(B254="","",VLOOKUP(B254,'B-1 Site Hedge Baseline'!$B$10:T499,16,FALSE))</f>
        <v/>
      </c>
      <c r="Q254" s="498" t="str">
        <f>IF(M254="","",VLOOKUP(M254,'G-6 Hedgerow Data'!$B$2:$AG$15,2,FALSE))</f>
        <v/>
      </c>
      <c r="R254" s="499" t="str">
        <f>IF(M254="","",VLOOKUP(M254,'G-6 Hedgerow Data'!$B$2:$AG$15,3,FALSE))</f>
        <v/>
      </c>
      <c r="S254" s="157"/>
      <c r="T254" s="540" t="str">
        <f>IFERROR(VLOOKUP(S254,'G-1 All Habitats'!$Z$2:$AA$9,2,FALSE),"")</f>
        <v/>
      </c>
      <c r="U254" s="154"/>
      <c r="V254" s="520" t="str">
        <f>IF(U254="","",IF(VLOOKUP(U254,'G-3 Multipliers'!$L$3:$N$6,2,FALSE)=0,"Spatial Data Missing ⚠",VLOOKUP(U254,'G-3 Multipliers'!$L$3:$N$6,2,FALSE)))</f>
        <v/>
      </c>
      <c r="W254" s="524" t="str">
        <f>IF(U254="","",IF(VLOOKUP(U254,'G-3 Multipliers'!$L$3:$N$6,3,FALSE)=0,"Spatial Data Missing ⚠",VLOOKUP(U254,'G-3 Multipliers'!$L$3:$N$6,3,FALSE)))</f>
        <v/>
      </c>
      <c r="X254" s="498" t="str">
        <f>IFERROR(IF(OR(LEFT(O254,5)="Error ▲",LEFT(N254,5)="Error ▲",T254="Error ▲"),"Check Data ⚠",IF(F254&lt;R254,INDEX('G-6 Hedgerow Data'!$S$3:$AE$14,MATCH(C254,'G-6 Hedgerow Data'!$B$3:$B$14,0),MATCH(M254,'G-6 Hedgerow Data'!$S$2:$AE$2,0)),INDEX('G-6 Hedgerow Data'!$K$3:$Q$14,MATCH(M254,'G-6 Hedgerow Data'!$B$3:$B$14,0),MATCH(O254,'G-6 Hedgerow Data'!$K$2:$Q$2,0)))),"")</f>
        <v/>
      </c>
      <c r="Y254" s="195"/>
      <c r="Z254" s="195"/>
      <c r="AA254" s="507" t="str">
        <f t="shared" si="27"/>
        <v/>
      </c>
      <c r="AB254" s="521" t="str">
        <f t="shared" si="28"/>
        <v/>
      </c>
      <c r="AC254" s="522" t="str">
        <f t="shared" si="24"/>
        <v/>
      </c>
      <c r="AD254" s="537" t="str">
        <f>IF(M254="","",VLOOKUP(M254,'G-6 Hedgerow Data'!$B$3:$AG$15,31,FALSE))</f>
        <v/>
      </c>
      <c r="AE254" s="507" t="str">
        <f t="shared" si="29"/>
        <v/>
      </c>
      <c r="AF254" s="507" t="str">
        <f t="shared" si="30"/>
        <v/>
      </c>
      <c r="AG254" s="524" t="str">
        <f>IFERROR(IF(O254="","",VLOOKUP(AD254,'G-3 Multipliers'!$P$3:$Q$6,2,FALSE)),"")</f>
        <v/>
      </c>
      <c r="AH254" s="513" t="str">
        <f t="shared" si="25"/>
        <v/>
      </c>
      <c r="AI254" s="231"/>
      <c r="AJ254" s="150"/>
      <c r="AT254" s="31" t="str">
        <f>IFERROR(INDEX('G-6 Hedgerow Data'!$BJ$3:$BJ$15,MATCH(M254,'G-6 Hedgerow Data'!$B$3:$B$15,0)),"")</f>
        <v/>
      </c>
    </row>
    <row r="255" spans="2:46" ht="14" x14ac:dyDescent="0.3">
      <c r="B255" s="531" t="str">
        <f>'B-1 Site Hedge Baseline'!AK253</f>
        <v/>
      </c>
      <c r="C255" s="520" t="str">
        <f>IF(B255="","",IF(ISNA(VLOOKUP($B255,'B-1 Site Hedge Baseline'!$B$1:$L$257,3,FALSE)),"",(VLOOKUP($B255,'B-1 Site Hedge Baseline'!$B$1:$L$257,3,FALSE))))</f>
        <v/>
      </c>
      <c r="D255" s="520" t="str">
        <f>IF(B255="","",IF(ISNA(VLOOKUP($B255,'B-1 Site Hedge Baseline'!$B$1:$L$257,4,FALSE)),"",(VLOOKUP($B255,'B-1 Site Hedge Baseline'!$B$1:$L$257,4,FALSE))))</f>
        <v/>
      </c>
      <c r="E255" s="520" t="str">
        <f>IF(B255="","",IF(ISNA(VLOOKUP($B255,'B-1 Site Hedge Baseline'!$B$1:$L$257,5,FALSE)),"",(VLOOKUP($B255,'B-1 Site Hedge Baseline'!$B$1:$L$257,5,FALSE))))</f>
        <v/>
      </c>
      <c r="F255" s="520" t="str">
        <f>IF(B255="","",IF(ISNA(VLOOKUP($B255,'B-1 Site Hedge Baseline'!$B$1:$L$257,6,FALSE)),"",(VLOOKUP($B255,'B-1 Site Hedge Baseline'!$B$1:$L$257,6,FALSE))))</f>
        <v/>
      </c>
      <c r="G255" s="520" t="str">
        <f>IF(B255="","",IF(ISNA(VLOOKUP($B255,'B-1 Site Hedge Baseline'!$B$1:$L$257,7,FALSE)),"",(VLOOKUP($B255,'B-1 Site Hedge Baseline'!$B$1:$L$257,7,FALSE))))</f>
        <v/>
      </c>
      <c r="H255" s="520" t="str">
        <f>IF(B255="","",IF(ISNA(VLOOKUP($B255,'B-1 Site Hedge Baseline'!$B$1:$L$257,8,FALSE)),"",(VLOOKUP($B255,'B-1 Site Hedge Baseline'!$B$1:$L$257,8,FALSE))))</f>
        <v/>
      </c>
      <c r="I255" s="520" t="str">
        <f>IF(B255="","",IF(ISNA(VLOOKUP($B255,'B-1 Site Hedge Baseline'!$B$1:$L$257,10,FALSE)),"",(VLOOKUP($B255,'B-1 Site Hedge Baseline'!$B$1:$L$257,10,FALSE))))</f>
        <v/>
      </c>
      <c r="J255" s="520" t="str">
        <f>IF(B255="","",IF(ISNA(VLOOKUP($B255,'B-1 Site Hedge Baseline'!$B$1:$L$257,11,FALSE)),"",(VLOOKUP($B255,'B-1 Site Hedge Baseline'!$B$1:$L$257,11,FALSE))))</f>
        <v/>
      </c>
      <c r="K255" s="520" t="str">
        <f>IF(B255="","",IF(ISNA(VLOOKUP($B255,'B-1 Site Hedge Baseline'!$B$1:$U$257,13,FALSE)),"",(VLOOKUP($B255,'B-1 Site Hedge Baseline'!$B$1:$U$257,13,FALSE))))</f>
        <v/>
      </c>
      <c r="L255" s="524" t="str">
        <f>IF(B255="","",IF(ISNA(VLOOKUP($B255,'B-1 Site Hedge Baseline'!$B$1:$U$257,12,FALSE)),"",(VLOOKUP($B255,'B-1 Site Hedge Baseline'!$B$1:$U$257,12,FALSE))))</f>
        <v/>
      </c>
      <c r="M255" s="416" t="str">
        <f t="shared" si="31"/>
        <v/>
      </c>
      <c r="N255" s="498" t="str">
        <f>IFERROR(IF(B255="","",INDEX('G-6 Hedgerow Data'!$AN$3:$AZ$15,MATCH(C255,'G-6 Hedgerow Data'!$AM$3:$AM$15,0),MATCH(M255,'G-6 Hedgerow Data'!$AN$2:$AZ$2,0))),"")</f>
        <v/>
      </c>
      <c r="O255" s="499" t="str">
        <f t="shared" si="26"/>
        <v/>
      </c>
      <c r="P255" s="559" t="str">
        <f>IF(B255="","",VLOOKUP(B255,'B-1 Site Hedge Baseline'!$B$10:T500,16,FALSE))</f>
        <v/>
      </c>
      <c r="Q255" s="498" t="str">
        <f>IF(M255="","",VLOOKUP(M255,'G-6 Hedgerow Data'!$B$2:$AG$15,2,FALSE))</f>
        <v/>
      </c>
      <c r="R255" s="499" t="str">
        <f>IF(M255="","",VLOOKUP(M255,'G-6 Hedgerow Data'!$B$2:$AG$15,3,FALSE))</f>
        <v/>
      </c>
      <c r="S255" s="157"/>
      <c r="T255" s="540" t="str">
        <f>IFERROR(VLOOKUP(S255,'G-1 All Habitats'!$Z$2:$AA$9,2,FALSE),"")</f>
        <v/>
      </c>
      <c r="U255" s="154"/>
      <c r="V255" s="520" t="str">
        <f>IF(U255="","",IF(VLOOKUP(U255,'G-3 Multipliers'!$L$3:$N$6,2,FALSE)=0,"Spatial Data Missing ⚠",VLOOKUP(U255,'G-3 Multipliers'!$L$3:$N$6,2,FALSE)))</f>
        <v/>
      </c>
      <c r="W255" s="524" t="str">
        <f>IF(U255="","",IF(VLOOKUP(U255,'G-3 Multipliers'!$L$3:$N$6,3,FALSE)=0,"Spatial Data Missing ⚠",VLOOKUP(U255,'G-3 Multipliers'!$L$3:$N$6,3,FALSE)))</f>
        <v/>
      </c>
      <c r="X255" s="498" t="str">
        <f>IFERROR(IF(OR(LEFT(O255,5)="Error ▲",LEFT(N255,5)="Error ▲",T255="Error ▲"),"Check Data ⚠",IF(F255&lt;R255,INDEX('G-6 Hedgerow Data'!$S$3:$AE$14,MATCH(C255,'G-6 Hedgerow Data'!$B$3:$B$14,0),MATCH(M255,'G-6 Hedgerow Data'!$S$2:$AE$2,0)),INDEX('G-6 Hedgerow Data'!$K$3:$Q$14,MATCH(M255,'G-6 Hedgerow Data'!$B$3:$B$14,0),MATCH(O255,'G-6 Hedgerow Data'!$K$2:$Q$2,0)))),"")</f>
        <v/>
      </c>
      <c r="Y255" s="195"/>
      <c r="Z255" s="195"/>
      <c r="AA255" s="507" t="str">
        <f t="shared" si="27"/>
        <v/>
      </c>
      <c r="AB255" s="521" t="str">
        <f t="shared" si="28"/>
        <v/>
      </c>
      <c r="AC255" s="522" t="str">
        <f t="shared" si="24"/>
        <v/>
      </c>
      <c r="AD255" s="537" t="str">
        <f>IF(M255="","",VLOOKUP(M255,'G-6 Hedgerow Data'!$B$3:$AG$15,31,FALSE))</f>
        <v/>
      </c>
      <c r="AE255" s="507" t="str">
        <f t="shared" si="29"/>
        <v/>
      </c>
      <c r="AF255" s="507" t="str">
        <f t="shared" si="30"/>
        <v/>
      </c>
      <c r="AG255" s="524" t="str">
        <f>IFERROR(IF(O255="","",VLOOKUP(AD255,'G-3 Multipliers'!$P$3:$Q$6,2,FALSE)),"")</f>
        <v/>
      </c>
      <c r="AH255" s="513" t="str">
        <f t="shared" si="25"/>
        <v/>
      </c>
      <c r="AI255" s="231"/>
      <c r="AJ255" s="150"/>
      <c r="AT255" s="31" t="str">
        <f>IFERROR(INDEX('G-6 Hedgerow Data'!$BJ$3:$BJ$15,MATCH(M255,'G-6 Hedgerow Data'!$B$3:$B$15,0)),"")</f>
        <v/>
      </c>
    </row>
    <row r="256" spans="2:46" ht="14" x14ac:dyDescent="0.3">
      <c r="B256" s="531" t="str">
        <f>'B-1 Site Hedge Baseline'!AK254</f>
        <v/>
      </c>
      <c r="C256" s="520" t="str">
        <f>IF(B256="","",IF(ISNA(VLOOKUP($B256,'B-1 Site Hedge Baseline'!$B$1:$L$257,3,FALSE)),"",(VLOOKUP($B256,'B-1 Site Hedge Baseline'!$B$1:$L$257,3,FALSE))))</f>
        <v/>
      </c>
      <c r="D256" s="520" t="str">
        <f>IF(B256="","",IF(ISNA(VLOOKUP($B256,'B-1 Site Hedge Baseline'!$B$1:$L$257,4,FALSE)),"",(VLOOKUP($B256,'B-1 Site Hedge Baseline'!$B$1:$L$257,4,FALSE))))</f>
        <v/>
      </c>
      <c r="E256" s="520" t="str">
        <f>IF(B256="","",IF(ISNA(VLOOKUP($B256,'B-1 Site Hedge Baseline'!$B$1:$L$257,5,FALSE)),"",(VLOOKUP($B256,'B-1 Site Hedge Baseline'!$B$1:$L$257,5,FALSE))))</f>
        <v/>
      </c>
      <c r="F256" s="520" t="str">
        <f>IF(B256="","",IF(ISNA(VLOOKUP($B256,'B-1 Site Hedge Baseline'!$B$1:$L$257,6,FALSE)),"",(VLOOKUP($B256,'B-1 Site Hedge Baseline'!$B$1:$L$257,6,FALSE))))</f>
        <v/>
      </c>
      <c r="G256" s="520" t="str">
        <f>IF(B256="","",IF(ISNA(VLOOKUP($B256,'B-1 Site Hedge Baseline'!$B$1:$L$257,7,FALSE)),"",(VLOOKUP($B256,'B-1 Site Hedge Baseline'!$B$1:$L$257,7,FALSE))))</f>
        <v/>
      </c>
      <c r="H256" s="520" t="str">
        <f>IF(B256="","",IF(ISNA(VLOOKUP($B256,'B-1 Site Hedge Baseline'!$B$1:$L$257,8,FALSE)),"",(VLOOKUP($B256,'B-1 Site Hedge Baseline'!$B$1:$L$257,8,FALSE))))</f>
        <v/>
      </c>
      <c r="I256" s="520" t="str">
        <f>IF(B256="","",IF(ISNA(VLOOKUP($B256,'B-1 Site Hedge Baseline'!$B$1:$L$257,10,FALSE)),"",(VLOOKUP($B256,'B-1 Site Hedge Baseline'!$B$1:$L$257,10,FALSE))))</f>
        <v/>
      </c>
      <c r="J256" s="520" t="str">
        <f>IF(B256="","",IF(ISNA(VLOOKUP($B256,'B-1 Site Hedge Baseline'!$B$1:$L$257,11,FALSE)),"",(VLOOKUP($B256,'B-1 Site Hedge Baseline'!$B$1:$L$257,11,FALSE))))</f>
        <v/>
      </c>
      <c r="K256" s="520" t="str">
        <f>IF(B256="","",IF(ISNA(VLOOKUP($B256,'B-1 Site Hedge Baseline'!$B$1:$U$257,13,FALSE)),"",(VLOOKUP($B256,'B-1 Site Hedge Baseline'!$B$1:$U$257,13,FALSE))))</f>
        <v/>
      </c>
      <c r="L256" s="524" t="str">
        <f>IF(B256="","",IF(ISNA(VLOOKUP($B256,'B-1 Site Hedge Baseline'!$B$1:$U$257,12,FALSE)),"",(VLOOKUP($B256,'B-1 Site Hedge Baseline'!$B$1:$U$257,12,FALSE))))</f>
        <v/>
      </c>
      <c r="M256" s="416" t="str">
        <f t="shared" si="31"/>
        <v/>
      </c>
      <c r="N256" s="498" t="str">
        <f>IFERROR(IF(B256="","",INDEX('G-6 Hedgerow Data'!$AN$3:$AZ$15,MATCH(C256,'G-6 Hedgerow Data'!$AM$3:$AM$15,0),MATCH(M256,'G-6 Hedgerow Data'!$AN$2:$AZ$2,0))),"")</f>
        <v/>
      </c>
      <c r="O256" s="499" t="str">
        <f t="shared" si="26"/>
        <v/>
      </c>
      <c r="P256" s="559" t="str">
        <f>IF(B256="","",VLOOKUP(B256,'B-1 Site Hedge Baseline'!$B$10:T501,16,FALSE))</f>
        <v/>
      </c>
      <c r="Q256" s="498" t="str">
        <f>IF(M256="","",VLOOKUP(M256,'G-6 Hedgerow Data'!$B$2:$AG$15,2,FALSE))</f>
        <v/>
      </c>
      <c r="R256" s="499" t="str">
        <f>IF(M256="","",VLOOKUP(M256,'G-6 Hedgerow Data'!$B$2:$AG$15,3,FALSE))</f>
        <v/>
      </c>
      <c r="S256" s="157"/>
      <c r="T256" s="540" t="str">
        <f>IFERROR(VLOOKUP(S256,'G-1 All Habitats'!$Z$2:$AA$9,2,FALSE),"")</f>
        <v/>
      </c>
      <c r="U256" s="154"/>
      <c r="V256" s="520" t="str">
        <f>IF(U256="","",IF(VLOOKUP(U256,'G-3 Multipliers'!$L$3:$N$6,2,FALSE)=0,"Spatial Data Missing ⚠",VLOOKUP(U256,'G-3 Multipliers'!$L$3:$N$6,2,FALSE)))</f>
        <v/>
      </c>
      <c r="W256" s="524" t="str">
        <f>IF(U256="","",IF(VLOOKUP(U256,'G-3 Multipliers'!$L$3:$N$6,3,FALSE)=0,"Spatial Data Missing ⚠",VLOOKUP(U256,'G-3 Multipliers'!$L$3:$N$6,3,FALSE)))</f>
        <v/>
      </c>
      <c r="X256" s="498" t="str">
        <f>IFERROR(IF(OR(LEFT(O256,5)="Error ▲",LEFT(N256,5)="Error ▲",T256="Error ▲"),"Check Data ⚠",IF(F256&lt;R256,INDEX('G-6 Hedgerow Data'!$S$3:$AE$14,MATCH(C256,'G-6 Hedgerow Data'!$B$3:$B$14,0),MATCH(M256,'G-6 Hedgerow Data'!$S$2:$AE$2,0)),INDEX('G-6 Hedgerow Data'!$K$3:$Q$14,MATCH(M256,'G-6 Hedgerow Data'!$B$3:$B$14,0),MATCH(O256,'G-6 Hedgerow Data'!$K$2:$Q$2,0)))),"")</f>
        <v/>
      </c>
      <c r="Y256" s="195"/>
      <c r="Z256" s="195"/>
      <c r="AA256" s="507" t="str">
        <f t="shared" si="27"/>
        <v/>
      </c>
      <c r="AB256" s="521" t="str">
        <f t="shared" si="28"/>
        <v/>
      </c>
      <c r="AC256" s="522" t="str">
        <f t="shared" si="24"/>
        <v/>
      </c>
      <c r="AD256" s="537" t="str">
        <f>IF(M256="","",VLOOKUP(M256,'G-6 Hedgerow Data'!$B$3:$AG$15,31,FALSE))</f>
        <v/>
      </c>
      <c r="AE256" s="507" t="str">
        <f t="shared" si="29"/>
        <v/>
      </c>
      <c r="AF256" s="507" t="str">
        <f t="shared" si="30"/>
        <v/>
      </c>
      <c r="AG256" s="524" t="str">
        <f>IFERROR(IF(O256="","",VLOOKUP(AD256,'G-3 Multipliers'!$P$3:$Q$6,2,FALSE)),"")</f>
        <v/>
      </c>
      <c r="AH256" s="513" t="str">
        <f t="shared" si="25"/>
        <v/>
      </c>
      <c r="AI256" s="231"/>
      <c r="AJ256" s="150"/>
      <c r="AT256" s="31" t="str">
        <f>IFERROR(INDEX('G-6 Hedgerow Data'!$BJ$3:$BJ$15,MATCH(M256,'G-6 Hedgerow Data'!$B$3:$B$15,0)),"")</f>
        <v/>
      </c>
    </row>
    <row r="257" spans="2:46" ht="14.5" thickBot="1" x14ac:dyDescent="0.35">
      <c r="B257" s="558" t="str">
        <f>'B-1 Site Hedge Baseline'!AK255</f>
        <v/>
      </c>
      <c r="C257" s="508" t="str">
        <f>IF(B257="","",IF(ISNA(VLOOKUP($B257,'B-1 Site Hedge Baseline'!$B$1:$L$257,3,FALSE)),"",(VLOOKUP($B257,'B-1 Site Hedge Baseline'!$B$1:$L$257,3,FALSE))))</f>
        <v/>
      </c>
      <c r="D257" s="508" t="str">
        <f>IF(B257="","",IF(ISNA(VLOOKUP($B257,'B-1 Site Hedge Baseline'!$B$1:$L$257,4,FALSE)),"",(VLOOKUP($B257,'B-1 Site Hedge Baseline'!$B$1:$L$257,4,FALSE))))</f>
        <v/>
      </c>
      <c r="E257" s="508" t="str">
        <f>IF(B257="","",IF(ISNA(VLOOKUP($B257,'B-1 Site Hedge Baseline'!$B$1:$L$257,5,FALSE)),"",(VLOOKUP($B257,'B-1 Site Hedge Baseline'!$B$1:$L$257,5,FALSE))))</f>
        <v/>
      </c>
      <c r="F257" s="508" t="str">
        <f>IF(B257="","",IF(ISNA(VLOOKUP($B257,'B-1 Site Hedge Baseline'!$B$1:$L$257,6,FALSE)),"",(VLOOKUP($B257,'B-1 Site Hedge Baseline'!$B$1:$L$257,6,FALSE))))</f>
        <v/>
      </c>
      <c r="G257" s="508" t="str">
        <f>IF(B257="","",IF(ISNA(VLOOKUP($B257,'B-1 Site Hedge Baseline'!$B$1:$L$257,7,FALSE)),"",(VLOOKUP($B257,'B-1 Site Hedge Baseline'!$B$1:$L$257,7,FALSE))))</f>
        <v/>
      </c>
      <c r="H257" s="508" t="str">
        <f>IF(B257="","",IF(ISNA(VLOOKUP($B257,'B-1 Site Hedge Baseline'!$B$1:$L$257,8,FALSE)),"",(VLOOKUP($B257,'B-1 Site Hedge Baseline'!$B$1:$L$257,8,FALSE))))</f>
        <v/>
      </c>
      <c r="I257" s="508" t="str">
        <f>IF(B257="","",IF(ISNA(VLOOKUP($B257,'B-1 Site Hedge Baseline'!$B$1:$L$257,10,FALSE)),"",(VLOOKUP($B257,'B-1 Site Hedge Baseline'!$B$1:$L$257,10,FALSE))))</f>
        <v/>
      </c>
      <c r="J257" s="508" t="str">
        <f>IF(B257="","",IF(ISNA(VLOOKUP($B257,'B-1 Site Hedge Baseline'!$B$1:$L$257,11,FALSE)),"",(VLOOKUP($B257,'B-1 Site Hedge Baseline'!$B$1:$L$257,11,FALSE))))</f>
        <v/>
      </c>
      <c r="K257" s="508" t="str">
        <f>IF(B257="","",IF(ISNA(VLOOKUP($B257,'B-1 Site Hedge Baseline'!$B$1:$U$257,13,FALSE)),"",(VLOOKUP($B257,'B-1 Site Hedge Baseline'!$B$1:$U$257,13,FALSE))))</f>
        <v/>
      </c>
      <c r="L257" s="501" t="str">
        <f>IF(B257="","",IF(ISNA(VLOOKUP($B257,'B-1 Site Hedge Baseline'!$B$1:$U$257,12,FALSE)),"",(VLOOKUP($B257,'B-1 Site Hedge Baseline'!$B$1:$U$257,12,FALSE))))</f>
        <v/>
      </c>
      <c r="M257" s="417" t="str">
        <f t="shared" si="31"/>
        <v/>
      </c>
      <c r="N257" s="500" t="str">
        <f>IFERROR(IF(B257="","",INDEX('G-6 Hedgerow Data'!$AN$3:$AZ$15,MATCH(C257,'G-6 Hedgerow Data'!$AM$3:$AM$15,0),MATCH(M257,'G-6 Hedgerow Data'!$AN$2:$AZ$2,0))),"")</f>
        <v/>
      </c>
      <c r="O257" s="501" t="str">
        <f>IFERROR(IF(B257="","",IF(AND(LEFT(C257,55)&lt;&gt;LEFT(M257,55),N257="High - High"),"Error - Not like for like ▲",IF(AND(LEFT(C257,55)&lt;&gt;LEFT(M257,55),N257="Medium - Medium"),"Error - Not like for like ▲",IF(H257&gt;T257,"Error - Can not reduce condition ▲",IF(AND(F257=R257,H257=T257),"Error - No enhancement ▲",IF(AND(C257&lt;&gt;M257,F257&lt;R257),"Lower Distinctiveness Habitat"&amp;" - "&amp;S257,G257&amp;" - "&amp;S257)))))),"")</f>
        <v/>
      </c>
      <c r="P257" s="560" t="str">
        <f>IF(B257="","",VLOOKUP(B257,'B-1 Site Hedge Baseline'!$B$10:T502,16,FALSE))</f>
        <v/>
      </c>
      <c r="Q257" s="500" t="str">
        <f>IF(M257="","",VLOOKUP(M257,'G-6 Hedgerow Data'!$B$2:$AG$15,2,FALSE))</f>
        <v/>
      </c>
      <c r="R257" s="499" t="str">
        <f>IF(M257="","",VLOOKUP(M257,'G-6 Hedgerow Data'!$B$2:$AG$15,3,FALSE))</f>
        <v/>
      </c>
      <c r="S257" s="270"/>
      <c r="T257" s="501" t="str">
        <f>IFERROR(VLOOKUP(S257,'G-1 All Habitats'!$Z$2:$AA$9,2,FALSE),"")</f>
        <v/>
      </c>
      <c r="U257" s="161"/>
      <c r="V257" s="508" t="str">
        <f>IF(U257="","",IF(VLOOKUP(U257,'G-3 Multipliers'!$L$3:$N$6,2,FALSE)=0,"Spatial Data Missing ⚠",VLOOKUP(U257,'G-3 Multipliers'!$L$3:$N$6,2,FALSE)))</f>
        <v/>
      </c>
      <c r="W257" s="501" t="str">
        <f>IF(U257="","",IF(VLOOKUP(U257,'G-3 Multipliers'!$L$3:$N$6,3,FALSE)=0,"Spatial Data Missing ⚠",VLOOKUP(U257,'G-3 Multipliers'!$L$3:$N$6,3,FALSE)))</f>
        <v/>
      </c>
      <c r="X257" s="500" t="str">
        <f>IFERROR(IF(OR(LEFT(O257,5)="Error ▲",LEFT(N257,5)="Error ▲",T257="Error ▲"),"Check Data ⚠",IF(F257&lt;R257,INDEX('G-6 Hedgerow Data'!$S$3:$AE$14,MATCH(C257,'G-6 Hedgerow Data'!$B$3:$B$14,0),MATCH(M257,'G-6 Hedgerow Data'!$S$2:$AE$2,0)),INDEX('G-6 Hedgerow Data'!$K$3:$Q$14,MATCH(M257,'G-6 Hedgerow Data'!$B$3:$B$14,0),MATCH(O257,'G-6 Hedgerow Data'!$K$2:$Q$2,0)))),"")</f>
        <v/>
      </c>
      <c r="Y257" s="195"/>
      <c r="Z257" s="206"/>
      <c r="AA257" s="507" t="str">
        <f t="shared" si="27"/>
        <v/>
      </c>
      <c r="AB257" s="521" t="str">
        <f>IF(X257="","",IF(AA257="Check Data ⚠","Check Data ⚠",IF(Y257="30+",0,IF(Z257="30+","30+ ⚠",IF(X257+Z257&gt;30,"30+ ⚠",IF(LEFT(AA257,5)="Error ▲","Check Data ⚠",IF(X257+Z257-Y257&gt;0,X257+Z257-Y257,IF(X257-Y257&lt;=0,0,))))))))</f>
        <v/>
      </c>
      <c r="AC257" s="522" t="str">
        <f t="shared" si="24"/>
        <v/>
      </c>
      <c r="AD257" s="500" t="str">
        <f>IF(M257="","",VLOOKUP(M257,'G-6 Hedgerow Data'!$B$3:$AG$15,31,FALSE))</f>
        <v/>
      </c>
      <c r="AE257" s="507" t="str">
        <f t="shared" si="29"/>
        <v/>
      </c>
      <c r="AF257" s="507" t="str">
        <f t="shared" si="30"/>
        <v/>
      </c>
      <c r="AG257" s="501" t="str">
        <f>IFERROR(IF(O257="","",VLOOKUP(AD257,'G-3 Multipliers'!$P$3:$Q$6,2,FALSE)),"")</f>
        <v/>
      </c>
      <c r="AH257" s="480" t="str">
        <f t="shared" si="25"/>
        <v/>
      </c>
      <c r="AI257" s="163"/>
      <c r="AJ257" s="164"/>
      <c r="AT257" s="31" t="str">
        <f>IFERROR(INDEX('G-6 Hedgerow Data'!$BJ$3:$BJ$15,MATCH(M257,'G-6 Hedgerow Data'!$B$3:$B$15,0)),"")</f>
        <v/>
      </c>
    </row>
    <row r="258" spans="2:46" ht="14.5" thickBot="1" x14ac:dyDescent="0.35">
      <c r="B258" s="46"/>
      <c r="C258" s="46"/>
      <c r="D258" s="46"/>
      <c r="E258" s="46"/>
      <c r="F258" s="46"/>
      <c r="G258" s="46"/>
      <c r="H258" s="46"/>
      <c r="I258" s="46"/>
      <c r="J258" s="46"/>
      <c r="K258" s="46"/>
      <c r="L258" s="46"/>
      <c r="M258" s="46"/>
      <c r="N258" s="46"/>
      <c r="O258" s="428"/>
      <c r="P258" s="503">
        <f>SUM(P12:P257)</f>
        <v>0</v>
      </c>
      <c r="Q258" s="46"/>
      <c r="R258" s="46"/>
      <c r="S258" s="46"/>
      <c r="T258" s="46"/>
      <c r="U258" s="46"/>
      <c r="V258" s="46"/>
      <c r="W258" s="46"/>
      <c r="X258" s="46"/>
      <c r="Y258" s="46"/>
      <c r="Z258" s="46"/>
      <c r="AA258" s="46"/>
      <c r="AB258" s="46"/>
      <c r="AC258" s="46"/>
      <c r="AD258" s="46"/>
      <c r="AE258" s="46"/>
      <c r="AF258" s="427"/>
      <c r="AG258" s="427"/>
      <c r="AH258" s="503">
        <f>SUM(AH12:AH257)</f>
        <v>0</v>
      </c>
      <c r="AI258" s="46"/>
      <c r="AJ258" s="46"/>
    </row>
    <row r="259" spans="2:46" ht="14" x14ac:dyDescent="0.3"/>
    <row r="260" spans="2:46" ht="14" x14ac:dyDescent="0.3"/>
    <row r="261" spans="2:46" ht="14" x14ac:dyDescent="0.3"/>
    <row r="262" spans="2:46" ht="14" x14ac:dyDescent="0.3"/>
    <row r="263" spans="2:46" ht="14" x14ac:dyDescent="0.3"/>
    <row r="264" spans="2:46" ht="14" x14ac:dyDescent="0.3"/>
    <row r="265" spans="2:46" ht="14" x14ac:dyDescent="0.3"/>
    <row r="266" spans="2:46" ht="14" x14ac:dyDescent="0.3"/>
  </sheetData>
  <sheetProtection algorithmName="SHA-512" hashValue="AYrZXoRdiFCu2IXQX/Nsn48O9HFbR2wnrpkjRozV4HId6Yk49625q5Dweklhuy8+m3PRse/+P+K44IqVRSbhmg==" saltValue="6bGlhOQSQyyQKYFHeAHMLA==" spinCount="100000" sheet="1" objects="1" scenarios="1"/>
  <dataConsolidate/>
  <customSheetViews>
    <customSheetView guid="{8BDA793C-C9C5-4FC6-A0A5-F1109F6D4F22}" state="hidden">
      <pane ySplit="11" topLeftCell="A12" activePane="bottomLeft" state="frozen"/>
      <selection pane="bottomLeft" activeCell="D14" sqref="D14"/>
    </customSheetView>
  </customSheetViews>
  <mergeCells count="15">
    <mergeCell ref="AH10:AH11"/>
    <mergeCell ref="AI10:AJ10"/>
    <mergeCell ref="C10:L10"/>
    <mergeCell ref="U10:W10"/>
    <mergeCell ref="B2:D2"/>
    <mergeCell ref="B3:D4"/>
    <mergeCell ref="M9:AG9"/>
    <mergeCell ref="X10:AC10"/>
    <mergeCell ref="AD10:AG10"/>
    <mergeCell ref="N10:O10"/>
    <mergeCell ref="P10:P11"/>
    <mergeCell ref="M10:M11"/>
    <mergeCell ref="Q10:R10"/>
    <mergeCell ref="S10:T10"/>
    <mergeCell ref="X2:AC4"/>
  </mergeCells>
  <conditionalFormatting sqref="AH258">
    <cfRule type="containsText" dxfId="112" priority="24" operator="containsText" text="Existing Value Not Required">
      <formula>NOT(ISERROR(SEARCH("Existing Value Not Required",AH258)))</formula>
    </cfRule>
    <cfRule type="containsText" dxfId="111" priority="25" operator="containsText" text="Existing Value Required">
      <formula>NOT(ISERROR(SEARCH("Existing Value Required",AH258)))</formula>
    </cfRule>
  </conditionalFormatting>
  <conditionalFormatting sqref="AH12:AH257">
    <cfRule type="containsText" dxfId="110" priority="20" operator="containsText" text="Existing Value Not Required">
      <formula>NOT(ISERROR(SEARCH("Existing Value Not Required",AH12)))</formula>
    </cfRule>
    <cfRule type="containsText" dxfId="109" priority="21" operator="containsText" text="Existing Value Required">
      <formula>NOT(ISERROR(SEARCH("Existing Value Required",AH12)))</formula>
    </cfRule>
  </conditionalFormatting>
  <conditionalFormatting sqref="L12:L257">
    <cfRule type="cellIs" dxfId="108" priority="17" operator="equal">
      <formula>"Same distinctiveness band or better"</formula>
    </cfRule>
    <cfRule type="cellIs" dxfId="107" priority="18" operator="equal">
      <formula>"Like for like or better"</formula>
    </cfRule>
    <cfRule type="cellIs" dxfId="106" priority="19" operator="equal">
      <formula>"Like for Like"</formula>
    </cfRule>
  </conditionalFormatting>
  <conditionalFormatting sqref="N12:N257">
    <cfRule type="beginsWith" dxfId="105" priority="16" operator="beginsWith" text="Error">
      <formula>LEFT(N12,LEN("Error"))="Error"</formula>
    </cfRule>
  </conditionalFormatting>
  <conditionalFormatting sqref="O12:O257">
    <cfRule type="beginsWith" dxfId="104" priority="15" operator="beginsWith" text="Error">
      <formula>LEFT(O12,LEN("Error"))="Error"</formula>
    </cfRule>
  </conditionalFormatting>
  <conditionalFormatting sqref="V12:V257">
    <cfRule type="containsText" dxfId="103" priority="14" operator="containsText" text="Spatial">
      <formula>NOT(ISERROR(SEARCH("Spatial",V12)))</formula>
    </cfRule>
  </conditionalFormatting>
  <conditionalFormatting sqref="W12:W257">
    <cfRule type="containsText" dxfId="102" priority="13" operator="containsText" text="Spatial">
      <formula>NOT(ISERROR(SEARCH("Spatial",W12)))</formula>
    </cfRule>
  </conditionalFormatting>
  <conditionalFormatting sqref="X12:X257">
    <cfRule type="containsText" dxfId="101" priority="11" operator="containsText" text="Error">
      <formula>NOT(ISERROR(SEARCH("Error",X12)))</formula>
    </cfRule>
    <cfRule type="containsText" dxfId="100" priority="12" operator="containsText" text="Check">
      <formula>NOT(ISERROR(SEARCH("Check",X12)))</formula>
    </cfRule>
  </conditionalFormatting>
  <conditionalFormatting sqref="AA12:AA257">
    <cfRule type="containsText" dxfId="99" priority="9" operator="containsText" text="Error">
      <formula>NOT(ISERROR(SEARCH("Error",AA12)))</formula>
    </cfRule>
    <cfRule type="containsText" dxfId="98" priority="10" operator="containsText" text="Check">
      <formula>NOT(ISERROR(SEARCH("Check",AA12)))</formula>
    </cfRule>
  </conditionalFormatting>
  <conditionalFormatting sqref="AB12:AB257">
    <cfRule type="cellIs" dxfId="97" priority="1" operator="equal">
      <formula>"30+ ⚠"</formula>
    </cfRule>
    <cfRule type="containsText" dxfId="96" priority="7" operator="containsText" text="Error">
      <formula>NOT(ISERROR(SEARCH("Error",AB12)))</formula>
    </cfRule>
    <cfRule type="containsText" dxfId="95" priority="8" operator="containsText" text="Check">
      <formula>NOT(ISERROR(SEARCH("Check",AB12)))</formula>
    </cfRule>
  </conditionalFormatting>
  <conditionalFormatting sqref="AC12:AC257">
    <cfRule type="containsText" dxfId="94" priority="5" operator="containsText" text="Error">
      <formula>NOT(ISERROR(SEARCH("Error",AC12)))</formula>
    </cfRule>
    <cfRule type="containsText" dxfId="93" priority="6" operator="containsText" text="Check">
      <formula>NOT(ISERROR(SEARCH("Check",AC12)))</formula>
    </cfRule>
  </conditionalFormatting>
  <conditionalFormatting sqref="AE12:AE257">
    <cfRule type="beginsWith" dxfId="92" priority="3" operator="beginsWith" text="No - Low Difficulty">
      <formula>LEFT(AE12,LEN("No - Low Difficulty"))="No - Low Difficulty"</formula>
    </cfRule>
    <cfRule type="containsText" dxfId="91" priority="4" operator="containsText" text="Check">
      <formula>NOT(ISERROR(SEARCH("Check",AE12)))</formula>
    </cfRule>
  </conditionalFormatting>
  <conditionalFormatting sqref="X5:AB6 X2">
    <cfRule type="containsText" dxfId="90" priority="2" operator="containsText" text="Note">
      <formula>NOT(ISERROR(SEARCH("Note",X2)))</formula>
    </cfRule>
  </conditionalFormatting>
  <dataValidations count="1">
    <dataValidation type="list" allowBlank="1" showInputMessage="1" showErrorMessage="1" sqref="S12:S257" xr:uid="{00000000-0002-0000-1400-000000000000}">
      <formula1>INDIRECT(AT12)</formula1>
    </dataValidation>
  </dataValidations>
  <pageMargins left="0.7" right="0.7" top="0.75" bottom="0.75" header="0.3" footer="0.3"/>
  <pageSetup paperSize="9" orientation="portrait" horizontalDpi="90" verticalDpi="90"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400-000001000000}">
          <x14:formula1>
            <xm:f>'G-6 Hedgerow Data'!$B$3:$B$15</xm:f>
          </x14:formula1>
          <xm:sqref>M12:M257</xm:sqref>
        </x14:dataValidation>
        <x14:dataValidation type="list" allowBlank="1" showInputMessage="1" showErrorMessage="1" xr:uid="{00000000-0002-0000-1400-000002000000}">
          <x14:formula1>
            <xm:f>'G-3 Multipliers'!$L$4:$L$6</xm:f>
          </x14:formula1>
          <xm:sqref>U12:U257</xm:sqref>
        </x14:dataValidation>
        <x14:dataValidation type="list" allowBlank="1" showInputMessage="1" showErrorMessage="1" xr:uid="{00000000-0002-0000-1400-000003000000}">
          <x14:formula1>
            <xm:f>'G-4 Temporal multipliers'!$A$41:$A$72</xm:f>
          </x14:formula1>
          <xm:sqref>Y12:Z257</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0">
    <tabColor rgb="FF663300"/>
  </sheetPr>
  <dimension ref="A1:AK272"/>
  <sheetViews>
    <sheetView workbookViewId="0"/>
  </sheetViews>
  <sheetFormatPr defaultColWidth="0" defaultRowHeight="0" customHeight="1" zeroHeight="1" x14ac:dyDescent="0.3"/>
  <cols>
    <col min="1" max="1" width="5" style="31" customWidth="1"/>
    <col min="2" max="2" width="11.453125" style="31" customWidth="1"/>
    <col min="3" max="3" width="9.54296875" style="31" bestFit="1" customWidth="1"/>
    <col min="4" max="4" width="53.7265625" style="31" bestFit="1" customWidth="1"/>
    <col min="5" max="5" width="8.81640625" style="31" customWidth="1"/>
    <col min="6" max="6" width="17.54296875" style="31" customWidth="1"/>
    <col min="7" max="7" width="8.453125" style="31" customWidth="1"/>
    <col min="8" max="8" width="11.7265625" style="31" bestFit="1" customWidth="1"/>
    <col min="9" max="9" width="8.7265625" style="31" customWidth="1"/>
    <col min="10" max="10" width="41.7265625" style="31" customWidth="1"/>
    <col min="11" max="11" width="14.54296875" style="31" customWidth="1"/>
    <col min="12" max="12" width="11.81640625" style="31" customWidth="1"/>
    <col min="13" max="13" width="21.1796875" style="31" bestFit="1" customWidth="1"/>
    <col min="14" max="14" width="13.1796875" style="31" customWidth="1"/>
    <col min="15" max="15" width="3.7265625" style="31" customWidth="1"/>
    <col min="16" max="16" width="10.26953125" style="31" bestFit="1" customWidth="1"/>
    <col min="17" max="17" width="11.7265625" style="31" customWidth="1"/>
    <col min="18" max="18" width="10.54296875" style="31" customWidth="1"/>
    <col min="19" max="19" width="11.7265625" style="31" customWidth="1"/>
    <col min="20" max="20" width="13.54296875" style="31" customWidth="1"/>
    <col min="21" max="21" width="8.26953125" style="31" customWidth="1"/>
    <col min="22" max="22" width="23.1796875" style="31" bestFit="1" customWidth="1"/>
    <col min="23" max="23" width="23.453125" style="31" bestFit="1" customWidth="1"/>
    <col min="24" max="27" width="8.81640625" style="31" customWidth="1"/>
    <col min="28" max="28" width="19.54296875" style="31" hidden="1" customWidth="1"/>
    <col min="29" max="30" width="8.81640625" style="31" hidden="1"/>
    <col min="31" max="31" width="9.26953125" style="31" hidden="1" customWidth="1"/>
    <col min="32" max="32" width="10.453125" style="31" hidden="1" customWidth="1"/>
    <col min="33" max="33" width="8.81640625" style="31" hidden="1"/>
    <col min="34" max="34" width="12.453125" style="31" hidden="1" customWidth="1"/>
    <col min="35" max="35" width="8.81640625" style="31" hidden="1"/>
    <col min="36" max="36" width="9.26953125" style="31" hidden="1" customWidth="1"/>
    <col min="37" max="37" width="10.453125" style="31" hidden="1" customWidth="1"/>
    <col min="38" max="16384" width="8.81640625" style="31" hidden="1"/>
  </cols>
  <sheetData>
    <row r="1" spans="2:37" ht="15.75" customHeight="1" thickBot="1" x14ac:dyDescent="0.35"/>
    <row r="2" spans="2:37" ht="15.75" customHeight="1" thickBot="1" x14ac:dyDescent="0.35">
      <c r="B2" s="744" t="str">
        <f>IF(Start!$F$12="","",Start!$F$12)</f>
        <v>NCP Car Park, Bath Road, West Drayton, Greater London</v>
      </c>
      <c r="C2" s="745"/>
      <c r="D2" s="746"/>
    </row>
    <row r="3" spans="2:37" ht="15.75" customHeight="1" x14ac:dyDescent="0.3">
      <c r="B3" s="975" t="str">
        <f ca="1">MID(CELL("filename",A1),FIND("]",CELL("filename",A1))+1,256)</f>
        <v>E-1 Off Site Hedge Baseline</v>
      </c>
      <c r="C3" s="976"/>
      <c r="D3" s="977"/>
    </row>
    <row r="4" spans="2:37" ht="15.75" customHeight="1" thickBot="1" x14ac:dyDescent="0.35">
      <c r="B4" s="978"/>
      <c r="C4" s="979"/>
      <c r="D4" s="980"/>
    </row>
    <row r="5" spans="2:37" ht="37.9" customHeight="1" x14ac:dyDescent="0.3"/>
    <row r="6" spans="2:37" ht="28.9" customHeight="1" x14ac:dyDescent="0.3"/>
    <row r="7" spans="2:37" ht="15.75" customHeight="1" thickBot="1" x14ac:dyDescent="0.35">
      <c r="B7" s="132"/>
      <c r="C7" s="132"/>
      <c r="D7" s="131"/>
    </row>
    <row r="8" spans="2:37" s="42" customFormat="1" ht="28.5" thickBot="1" x14ac:dyDescent="0.35">
      <c r="B8" s="40"/>
      <c r="C8" s="967" t="s">
        <v>315</v>
      </c>
      <c r="D8" s="968"/>
      <c r="E8" s="969"/>
      <c r="F8" s="967" t="s">
        <v>272</v>
      </c>
      <c r="G8" s="969"/>
      <c r="H8" s="967" t="s">
        <v>273</v>
      </c>
      <c r="I8" s="969"/>
      <c r="J8" s="967" t="s">
        <v>191</v>
      </c>
      <c r="K8" s="968"/>
      <c r="L8" s="969"/>
      <c r="M8" s="970" t="s">
        <v>309</v>
      </c>
      <c r="N8" s="167" t="s">
        <v>193</v>
      </c>
      <c r="O8" s="138"/>
      <c r="P8" s="994" t="s">
        <v>194</v>
      </c>
      <c r="Q8" s="996"/>
      <c r="R8" s="996"/>
      <c r="S8" s="996"/>
      <c r="T8" s="996"/>
      <c r="U8" s="995"/>
      <c r="V8" s="994" t="s">
        <v>196</v>
      </c>
      <c r="W8" s="995"/>
    </row>
    <row r="9" spans="2:37" ht="42.5" thickBot="1" x14ac:dyDescent="0.35">
      <c r="B9" s="135" t="s">
        <v>254</v>
      </c>
      <c r="C9" s="201" t="s">
        <v>293</v>
      </c>
      <c r="D9" s="201" t="s">
        <v>99</v>
      </c>
      <c r="E9" s="202" t="s">
        <v>294</v>
      </c>
      <c r="F9" s="368" t="s">
        <v>189</v>
      </c>
      <c r="G9" s="202" t="s">
        <v>206</v>
      </c>
      <c r="H9" s="368" t="s">
        <v>190</v>
      </c>
      <c r="I9" s="202" t="s">
        <v>206</v>
      </c>
      <c r="J9" s="368" t="s">
        <v>191</v>
      </c>
      <c r="K9" s="201" t="s">
        <v>191</v>
      </c>
      <c r="L9" s="202" t="s">
        <v>231</v>
      </c>
      <c r="M9" s="997"/>
      <c r="N9" s="207" t="s">
        <v>295</v>
      </c>
      <c r="O9" s="138"/>
      <c r="P9" s="406" t="s">
        <v>296</v>
      </c>
      <c r="Q9" s="407" t="s">
        <v>297</v>
      </c>
      <c r="R9" s="408" t="s">
        <v>298</v>
      </c>
      <c r="S9" s="408" t="s">
        <v>299</v>
      </c>
      <c r="T9" s="408" t="s">
        <v>300</v>
      </c>
      <c r="U9" s="409" t="s">
        <v>214</v>
      </c>
      <c r="V9" s="406" t="s">
        <v>215</v>
      </c>
      <c r="W9" s="409" t="s">
        <v>216</v>
      </c>
      <c r="AB9" s="131" t="s">
        <v>200</v>
      </c>
      <c r="AE9" s="156" t="s">
        <v>219</v>
      </c>
      <c r="AF9" s="156" t="s">
        <v>220</v>
      </c>
      <c r="AH9" s="156" t="s">
        <v>222</v>
      </c>
      <c r="AJ9" s="156" t="s">
        <v>219</v>
      </c>
      <c r="AK9" s="156" t="s">
        <v>220</v>
      </c>
    </row>
    <row r="10" spans="2:37" ht="14" x14ac:dyDescent="0.3">
      <c r="B10" s="141">
        <v>1</v>
      </c>
      <c r="C10" s="203"/>
      <c r="D10" s="203"/>
      <c r="E10" s="153"/>
      <c r="F10" s="498" t="str">
        <f>IF(D10="","",VLOOKUP(D10,'G-6 Hedgerow Data'!$B$2:$AG$15,2,FALSE))</f>
        <v/>
      </c>
      <c r="G10" s="499" t="str">
        <f>IF(D10="","",VLOOKUP(D10,'G-6 Hedgerow Data'!$B$2:$AG$15,3,FALSE))</f>
        <v/>
      </c>
      <c r="H10" s="71"/>
      <c r="I10" s="499" t="str">
        <f>IFERROR(IF(AND(F10="V.Low",OR(H10="Good",H10="Moderate")),"Error ▲",VLOOKUP(H10,'G-1 All Habitats'!$Z$2:$AA$9,2,FALSE)),"")</f>
        <v/>
      </c>
      <c r="J10" s="154"/>
      <c r="K10" s="520" t="str">
        <f>IF(J10="","",IF(VLOOKUP(J10,'G-3 Multipliers'!$L$3:$N$6,2,FALSE)=0,"Spatial Data Missing ⚠",VLOOKUP(J10,'G-3 Multipliers'!$L$3:$N$6,2,FALSE)))</f>
        <v/>
      </c>
      <c r="L10" s="524" t="str">
        <f>IF(J10="","",IF(VLOOKUP(J10,'G-3 Multipliers'!$L$3:$N$6,3,FALSE)=0,"Spatial Data Missing ⚠",VLOOKUP(J10,'G-3 Multipliers'!$L$3:$N$6,3,FALSE)))</f>
        <v/>
      </c>
      <c r="M10" s="506" t="str">
        <f>IF(D10="","",VLOOKUP(D10,'G-6 Hedgerow Data'!$B$1:$AH$15,33,FALSE))</f>
        <v/>
      </c>
      <c r="N10" s="513" t="str">
        <f>IFERROR(E10*G10*I10*L10,"")</f>
        <v/>
      </c>
      <c r="O10" s="40"/>
      <c r="P10" s="71"/>
      <c r="Q10" s="72"/>
      <c r="R10" s="507" t="str">
        <f>IFERROR(P10*G10*I10*L10,"")</f>
        <v/>
      </c>
      <c r="S10" s="507" t="str">
        <f>IFERROR(Q10*G10*I10*L10,"")</f>
        <v/>
      </c>
      <c r="T10" s="511" t="str">
        <f>IF(D10="","",IF(E10&lt;P10+Q10,"Error in Lengths ▲",E10-P10-Q10))</f>
        <v/>
      </c>
      <c r="U10" s="515" t="str">
        <f>IF(OR(E10="",N10=""),"",IF(E10&lt;P10+Q10,"Error in Lengths",N10-R10-S10))</f>
        <v/>
      </c>
      <c r="V10" s="149"/>
      <c r="W10" s="150"/>
      <c r="AB10" s="31" t="str">
        <f>IFERROR(INDEX('G-6 Hedgerow Data'!$BJ$3:$BJ$15,MATCH(D10,'G-6 Hedgerow Data'!$B$3:$B$15,0)),"")</f>
        <v/>
      </c>
      <c r="AE10" s="156" t="str">
        <f t="shared" ref="AE10:AE73" si="0">IF(D10="","",IF(P10&gt;0,TRUE,FALSE))</f>
        <v/>
      </c>
      <c r="AF10" s="156" t="str">
        <f t="shared" ref="AF10:AF73" si="1">IF(D10="","",IF(Q10&gt;0,TRUE,FALSE))</f>
        <v/>
      </c>
      <c r="AH10" s="156">
        <v>1</v>
      </c>
      <c r="AJ10" s="156" t="str">
        <f t="array" ref="AJ10">IFERROR(INDEX($AH$10:$AH$258, MATCH(0, IF(TRUE=$AE$10:$AE$258, COUNTIF($AJ9:$AJ$9, $AH$10:$AH$258), ""), 0)),"")</f>
        <v/>
      </c>
      <c r="AK10" s="156" t="str">
        <f t="array" ref="AK10">IFERROR(INDEX($AH$10:$AH$258, MATCH(0, IF(TRUE=$AF$10:$AF$258, COUNTIF($AK9:$AK$9, $AH$10:$AH$258), ""), 0)),"")</f>
        <v/>
      </c>
    </row>
    <row r="11" spans="2:37" ht="14" x14ac:dyDescent="0.3">
      <c r="B11" s="141">
        <v>2</v>
      </c>
      <c r="C11" s="203"/>
      <c r="D11" s="203"/>
      <c r="E11" s="153"/>
      <c r="F11" s="498" t="str">
        <f>IF(D11="","",VLOOKUP(D11,'G-6 Hedgerow Data'!$B$2:$AG$15,2,FALSE))</f>
        <v/>
      </c>
      <c r="G11" s="499" t="str">
        <f>IF(D11="","",VLOOKUP(D11,'G-6 Hedgerow Data'!$B$2:$AG$15,3,FALSE))</f>
        <v/>
      </c>
      <c r="H11" s="71"/>
      <c r="I11" s="499" t="str">
        <f>IFERROR(IF(AND(F11="V.Low",OR(H11="Good",H11="Moderate")),"Error ▲",VLOOKUP(H11,'G-1 All Habitats'!$Z$2:$AA$9,2,FALSE)),"")</f>
        <v/>
      </c>
      <c r="J11" s="154"/>
      <c r="K11" s="520" t="str">
        <f>IF(J11="","",IF(VLOOKUP(J11,'G-3 Multipliers'!$L$3:$N$6,2,FALSE)=0,"Spatial Data Missing ⚠",VLOOKUP(J11,'G-3 Multipliers'!$L$3:$N$6,2,FALSE)))</f>
        <v/>
      </c>
      <c r="L11" s="524" t="str">
        <f>IF(J11="","",IF(VLOOKUP(J11,'G-3 Multipliers'!$L$3:$N$6,3,FALSE)=0,"Spatial Data Missing ⚠",VLOOKUP(J11,'G-3 Multipliers'!$L$3:$N$6,3,FALSE)))</f>
        <v/>
      </c>
      <c r="M11" s="506" t="str">
        <f>IF(D11="","",VLOOKUP(D11,'G-6 Hedgerow Data'!$B$1:$AH$15,33,FALSE))</f>
        <v/>
      </c>
      <c r="N11" s="513" t="str">
        <f t="shared" ref="N11:N74" si="2">IFERROR(E11*G11*I11*L11,"")</f>
        <v/>
      </c>
      <c r="O11" s="40"/>
      <c r="P11" s="71"/>
      <c r="Q11" s="72"/>
      <c r="R11" s="507" t="str">
        <f t="shared" ref="R11:R74" si="3">IFERROR(P11*G11*I11*L11,"")</f>
        <v/>
      </c>
      <c r="S11" s="507" t="str">
        <f t="shared" ref="S11:S74" si="4">IFERROR(Q11*G11*I11*L11,"")</f>
        <v/>
      </c>
      <c r="T11" s="511" t="str">
        <f t="shared" ref="T11:T74" si="5">IF(D11="","",IF(E11&lt;P11+Q11,"Error in Lengths ▲",E11-P11-Q11))</f>
        <v/>
      </c>
      <c r="U11" s="515" t="str">
        <f t="shared" ref="U11:U74" si="6">IF(OR(E11="",N11=""),"",IF(E11&lt;P11+Q11,"Error in Lengths",N11-R11-S11))</f>
        <v/>
      </c>
      <c r="V11" s="151"/>
      <c r="W11" s="152"/>
      <c r="AB11" s="31" t="str">
        <f>IFERROR(INDEX('G-6 Hedgerow Data'!$BJ$3:$BJ$15,MATCH(D11,'G-6 Hedgerow Data'!$B$3:$B$15,0)),"")</f>
        <v/>
      </c>
      <c r="AE11" s="156" t="str">
        <f t="shared" si="0"/>
        <v/>
      </c>
      <c r="AF11" s="156" t="str">
        <f t="shared" si="1"/>
        <v/>
      </c>
      <c r="AH11" s="156">
        <v>2</v>
      </c>
      <c r="AJ11" s="156" t="str">
        <f t="array" ref="AJ11">IFERROR(INDEX($AH$10:$AH$258, MATCH(0, IF(TRUE=$AE$10:$AE$258, COUNTIF($AJ$9:$AJ10, $AH$10:$AH$258), ""), 0)),"")</f>
        <v/>
      </c>
      <c r="AK11" s="156" t="str">
        <f t="array" ref="AK11">IFERROR(INDEX($AH$10:$AH$258, MATCH(0, IF(TRUE=$AF$10:$AF$258, COUNTIF($AK$9:$AK10, $AH$10:$AH$258), ""), 0)),"")</f>
        <v/>
      </c>
    </row>
    <row r="12" spans="2:37" ht="14" x14ac:dyDescent="0.3">
      <c r="B12" s="141">
        <v>3</v>
      </c>
      <c r="C12" s="203"/>
      <c r="D12" s="203"/>
      <c r="E12" s="153"/>
      <c r="F12" s="498" t="str">
        <f>IF(D12="","",VLOOKUP(D12,'G-6 Hedgerow Data'!$B$2:$AG$15,2,FALSE))</f>
        <v/>
      </c>
      <c r="G12" s="499" t="str">
        <f>IF(D12="","",VLOOKUP(D12,'G-6 Hedgerow Data'!$B$2:$AG$15,3,FALSE))</f>
        <v/>
      </c>
      <c r="H12" s="71"/>
      <c r="I12" s="499" t="str">
        <f>IFERROR(IF(AND(F12="V.Low",OR(H12="Good",H12="Moderate")),"Error ▲",VLOOKUP(H12,'G-1 All Habitats'!$Z$2:$AA$9,2,FALSE)),"")</f>
        <v/>
      </c>
      <c r="J12" s="154"/>
      <c r="K12" s="520" t="str">
        <f>IF(J12="","",IF(VLOOKUP(J12,'G-3 Multipliers'!$L$3:$N$6,2,FALSE)=0,"Spatial Data Missing ⚠",VLOOKUP(J12,'G-3 Multipliers'!$L$3:$N$6,2,FALSE)))</f>
        <v/>
      </c>
      <c r="L12" s="524" t="str">
        <f>IF(J12="","",IF(VLOOKUP(J12,'G-3 Multipliers'!$L$3:$N$6,3,FALSE)=0,"Spatial Data Missing ⚠",VLOOKUP(J12,'G-3 Multipliers'!$L$3:$N$6,3,FALSE)))</f>
        <v/>
      </c>
      <c r="M12" s="506" t="str">
        <f>IF(D12="","",VLOOKUP(D12,'G-6 Hedgerow Data'!$B$1:$AH$15,33,FALSE))</f>
        <v/>
      </c>
      <c r="N12" s="513" t="str">
        <f t="shared" si="2"/>
        <v/>
      </c>
      <c r="O12" s="40"/>
      <c r="P12" s="71"/>
      <c r="Q12" s="72"/>
      <c r="R12" s="507" t="str">
        <f t="shared" si="3"/>
        <v/>
      </c>
      <c r="S12" s="507" t="str">
        <f t="shared" si="4"/>
        <v/>
      </c>
      <c r="T12" s="511" t="str">
        <f t="shared" si="5"/>
        <v/>
      </c>
      <c r="U12" s="515" t="str">
        <f t="shared" si="6"/>
        <v/>
      </c>
      <c r="V12" s="151"/>
      <c r="W12" s="152"/>
      <c r="AB12" s="31" t="str">
        <f>IFERROR(INDEX('G-6 Hedgerow Data'!$BJ$3:$BJ$15,MATCH(D12,'G-6 Hedgerow Data'!$B$3:$B$15,0)),"")</f>
        <v/>
      </c>
      <c r="AE12" s="156" t="str">
        <f t="shared" si="0"/>
        <v/>
      </c>
      <c r="AF12" s="156" t="str">
        <f t="shared" si="1"/>
        <v/>
      </c>
      <c r="AH12" s="156">
        <v>3</v>
      </c>
      <c r="AJ12" s="156" t="str">
        <f t="array" ref="AJ12">IFERROR(INDEX($AH$10:$AH$258, MATCH(0, IF(TRUE=$AE$10:$AE$258, COUNTIF($AJ$9:$AJ11, $AH$10:$AH$258), ""), 0)),"")</f>
        <v/>
      </c>
      <c r="AK12" s="156" t="str">
        <f t="array" ref="AK12">IFERROR(INDEX($AH$10:$AH$258, MATCH(0, IF(TRUE=$AF$10:$AF$258, COUNTIF($AK$9:$AK11, $AH$10:$AH$258), ""), 0)),"")</f>
        <v/>
      </c>
    </row>
    <row r="13" spans="2:37" ht="14" x14ac:dyDescent="0.3">
      <c r="B13" s="141">
        <v>4</v>
      </c>
      <c r="C13" s="203"/>
      <c r="D13" s="203"/>
      <c r="E13" s="153"/>
      <c r="F13" s="498" t="str">
        <f>IF(D13="","",VLOOKUP(D13,'G-6 Hedgerow Data'!$B$2:$AG$15,2,FALSE))</f>
        <v/>
      </c>
      <c r="G13" s="499" t="str">
        <f>IF(D13="","",VLOOKUP(D13,'G-6 Hedgerow Data'!$B$2:$AG$15,3,FALSE))</f>
        <v/>
      </c>
      <c r="H13" s="71"/>
      <c r="I13" s="499" t="str">
        <f>IFERROR(IF(AND(F13="V.Low",OR(H13="Good",H13="Moderate")),"Error ▲",VLOOKUP(H13,'G-1 All Habitats'!$Z$2:$AA$9,2,FALSE)),"")</f>
        <v/>
      </c>
      <c r="J13" s="154"/>
      <c r="K13" s="520" t="str">
        <f>IF(J13="","",IF(VLOOKUP(J13,'G-3 Multipliers'!$L$3:$N$6,2,FALSE)=0,"Spatial Data Missing ⚠",VLOOKUP(J13,'G-3 Multipliers'!$L$3:$N$6,2,FALSE)))</f>
        <v/>
      </c>
      <c r="L13" s="524" t="str">
        <f>IF(J13="","",IF(VLOOKUP(J13,'G-3 Multipliers'!$L$3:$N$6,3,FALSE)=0,"Spatial Data Missing ⚠",VLOOKUP(J13,'G-3 Multipliers'!$L$3:$N$6,3,FALSE)))</f>
        <v/>
      </c>
      <c r="M13" s="506" t="str">
        <f>IF(D13="","",VLOOKUP(D13,'G-6 Hedgerow Data'!$B$1:$AH$15,33,FALSE))</f>
        <v/>
      </c>
      <c r="N13" s="513" t="str">
        <f t="shared" si="2"/>
        <v/>
      </c>
      <c r="O13" s="40"/>
      <c r="P13" s="71"/>
      <c r="Q13" s="72"/>
      <c r="R13" s="507" t="str">
        <f t="shared" si="3"/>
        <v/>
      </c>
      <c r="S13" s="507" t="str">
        <f t="shared" si="4"/>
        <v/>
      </c>
      <c r="T13" s="511" t="str">
        <f t="shared" si="5"/>
        <v/>
      </c>
      <c r="U13" s="515" t="str">
        <f t="shared" si="6"/>
        <v/>
      </c>
      <c r="V13" s="151"/>
      <c r="W13" s="152"/>
      <c r="AB13" s="31" t="str">
        <f>IFERROR(INDEX('G-6 Hedgerow Data'!$BJ$3:$BJ$15,MATCH(D13,'G-6 Hedgerow Data'!$B$3:$B$15,0)),"")</f>
        <v/>
      </c>
      <c r="AE13" s="156" t="str">
        <f t="shared" si="0"/>
        <v/>
      </c>
      <c r="AF13" s="156" t="str">
        <f t="shared" si="1"/>
        <v/>
      </c>
      <c r="AH13" s="156">
        <v>4</v>
      </c>
      <c r="AJ13" s="156" t="str">
        <f t="array" ref="AJ13">IFERROR(INDEX($AH$10:$AH$258, MATCH(0, IF(TRUE=$AE$10:$AE$258, COUNTIF($AJ$9:$AJ12, $AH$10:$AH$258), ""), 0)),"")</f>
        <v/>
      </c>
      <c r="AK13" s="156" t="str">
        <f t="array" ref="AK13">IFERROR(INDEX($AH$10:$AH$258, MATCH(0, IF(TRUE=$AF$10:$AF$258, COUNTIF($AK$9:$AK12, $AH$10:$AH$258), ""), 0)),"")</f>
        <v/>
      </c>
    </row>
    <row r="14" spans="2:37" ht="14" x14ac:dyDescent="0.3">
      <c r="B14" s="141">
        <v>5</v>
      </c>
      <c r="C14" s="203"/>
      <c r="D14" s="203"/>
      <c r="E14" s="153"/>
      <c r="F14" s="498" t="str">
        <f>IF(D14="","",VLOOKUP(D14,'G-6 Hedgerow Data'!$B$2:$AG$15,2,FALSE))</f>
        <v/>
      </c>
      <c r="G14" s="499" t="str">
        <f>IF(D14="","",VLOOKUP(D14,'G-6 Hedgerow Data'!$B$2:$AG$15,3,FALSE))</f>
        <v/>
      </c>
      <c r="H14" s="145"/>
      <c r="I14" s="499" t="str">
        <f>IFERROR(IF(AND(F14="V.Low",OR(H14="Good",H14="Moderate")),"Error ▲",VLOOKUP(H14,'G-1 All Habitats'!$Z$2:$AA$9,2,FALSE)),"")</f>
        <v/>
      </c>
      <c r="J14" s="154"/>
      <c r="K14" s="520" t="str">
        <f>IF(J14="","",IF(VLOOKUP(J14,'G-3 Multipliers'!$L$3:$N$6,2,FALSE)=0,"Spatial Data Missing ⚠",VLOOKUP(J14,'G-3 Multipliers'!$L$3:$N$6,2,FALSE)))</f>
        <v/>
      </c>
      <c r="L14" s="524" t="str">
        <f>IF(J14="","",IF(VLOOKUP(J14,'G-3 Multipliers'!$L$3:$N$6,3,FALSE)=0,"Spatial Data Missing ⚠",VLOOKUP(J14,'G-3 Multipliers'!$L$3:$N$6,3,FALSE)))</f>
        <v/>
      </c>
      <c r="M14" s="506" t="str">
        <f>IF(D14="","",VLOOKUP(D14,'G-6 Hedgerow Data'!$B$1:$AH$15,33,FALSE))</f>
        <v/>
      </c>
      <c r="N14" s="513" t="str">
        <f t="shared" si="2"/>
        <v/>
      </c>
      <c r="O14" s="40"/>
      <c r="P14" s="71"/>
      <c r="Q14" s="72"/>
      <c r="R14" s="507" t="str">
        <f t="shared" si="3"/>
        <v/>
      </c>
      <c r="S14" s="507" t="str">
        <f t="shared" si="4"/>
        <v/>
      </c>
      <c r="T14" s="511" t="str">
        <f t="shared" si="5"/>
        <v/>
      </c>
      <c r="U14" s="515" t="str">
        <f t="shared" si="6"/>
        <v/>
      </c>
      <c r="V14" s="151"/>
      <c r="W14" s="152"/>
      <c r="AB14" s="31" t="str">
        <f>IFERROR(INDEX('G-6 Hedgerow Data'!$BJ$3:$BJ$15,MATCH(D14,'G-6 Hedgerow Data'!$B$3:$B$15,0)),"")</f>
        <v/>
      </c>
      <c r="AE14" s="156" t="str">
        <f t="shared" si="0"/>
        <v/>
      </c>
      <c r="AF14" s="156" t="str">
        <f t="shared" si="1"/>
        <v/>
      </c>
      <c r="AH14" s="156">
        <v>5</v>
      </c>
      <c r="AJ14" s="156" t="str">
        <f t="array" ref="AJ14">IFERROR(INDEX($AH$10:$AH$258, MATCH(0, IF(TRUE=$AE$10:$AE$258, COUNTIF($AJ$9:$AJ13, $AH$10:$AH$258), ""), 0)),"")</f>
        <v/>
      </c>
      <c r="AK14" s="156" t="str">
        <f t="array" ref="AK14">IFERROR(INDEX($AH$10:$AH$258, MATCH(0, IF(TRUE=$AF$10:$AF$258, COUNTIF($AK$9:$AK13, $AH$10:$AH$258), ""), 0)),"")</f>
        <v/>
      </c>
    </row>
    <row r="15" spans="2:37" ht="14" x14ac:dyDescent="0.3">
      <c r="B15" s="141">
        <v>6</v>
      </c>
      <c r="C15" s="203"/>
      <c r="D15" s="203"/>
      <c r="E15" s="153"/>
      <c r="F15" s="498" t="str">
        <f>IF(D15="","",VLOOKUP(D15,'G-6 Hedgerow Data'!$B$2:$AG$15,2,FALSE))</f>
        <v/>
      </c>
      <c r="G15" s="499" t="str">
        <f>IF(D15="","",VLOOKUP(D15,'G-6 Hedgerow Data'!$B$2:$AG$15,3,FALSE))</f>
        <v/>
      </c>
      <c r="H15" s="145"/>
      <c r="I15" s="499" t="str">
        <f>IFERROR(IF(AND(F15="V.Low",OR(H15="Good",H15="Moderate")),"Error ▲",VLOOKUP(H15,'G-1 All Habitats'!$Z$2:$AA$9,2,FALSE)),"")</f>
        <v/>
      </c>
      <c r="J15" s="154"/>
      <c r="K15" s="520" t="str">
        <f>IF(J15="","",IF(VLOOKUP(J15,'G-3 Multipliers'!$L$3:$N$6,2,FALSE)=0,"Spatial Data Missing ⚠",VLOOKUP(J15,'G-3 Multipliers'!$L$3:$N$6,2,FALSE)))</f>
        <v/>
      </c>
      <c r="L15" s="524" t="str">
        <f>IF(J15="","",IF(VLOOKUP(J15,'G-3 Multipliers'!$L$3:$N$6,3,FALSE)=0,"Spatial Data Missing ⚠",VLOOKUP(J15,'G-3 Multipliers'!$L$3:$N$6,3,FALSE)))</f>
        <v/>
      </c>
      <c r="M15" s="506" t="str">
        <f>IF(D15="","",VLOOKUP(D15,'G-6 Hedgerow Data'!$B$1:$AH$15,33,FALSE))</f>
        <v/>
      </c>
      <c r="N15" s="513" t="str">
        <f t="shared" si="2"/>
        <v/>
      </c>
      <c r="O15" s="40"/>
      <c r="P15" s="145"/>
      <c r="Q15" s="72"/>
      <c r="R15" s="507" t="str">
        <f t="shared" si="3"/>
        <v/>
      </c>
      <c r="S15" s="507" t="str">
        <f t="shared" si="4"/>
        <v/>
      </c>
      <c r="T15" s="511" t="str">
        <f t="shared" si="5"/>
        <v/>
      </c>
      <c r="U15" s="515" t="str">
        <f t="shared" si="6"/>
        <v/>
      </c>
      <c r="V15" s="151"/>
      <c r="W15" s="152"/>
      <c r="AB15" s="31" t="str">
        <f>IFERROR(INDEX('G-6 Hedgerow Data'!$BJ$3:$BJ$15,MATCH(D15,'G-6 Hedgerow Data'!$B$3:$B$15,0)),"")</f>
        <v/>
      </c>
      <c r="AE15" s="156" t="str">
        <f t="shared" si="0"/>
        <v/>
      </c>
      <c r="AF15" s="156" t="str">
        <f t="shared" si="1"/>
        <v/>
      </c>
      <c r="AH15" s="156">
        <v>6</v>
      </c>
      <c r="AJ15" s="156" t="str">
        <f t="array" ref="AJ15">IFERROR(INDEX($AH$10:$AH$258, MATCH(0, IF(TRUE=$AE$10:$AE$258, COUNTIF($AJ$9:$AJ14, $AH$10:$AH$258), ""), 0)),"")</f>
        <v/>
      </c>
      <c r="AK15" s="156" t="str">
        <f t="array" ref="AK15">IFERROR(INDEX($AH$10:$AH$258, MATCH(0, IF(TRUE=$AF$10:$AF$258, COUNTIF($AK$9:$AK14, $AH$10:$AH$258), ""), 0)),"")</f>
        <v/>
      </c>
    </row>
    <row r="16" spans="2:37" ht="14" x14ac:dyDescent="0.3">
      <c r="B16" s="141">
        <v>7</v>
      </c>
      <c r="C16" s="203"/>
      <c r="D16" s="203"/>
      <c r="E16" s="153"/>
      <c r="F16" s="498" t="str">
        <f>IF(D16="","",VLOOKUP(D16,'G-6 Hedgerow Data'!$B$2:$AG$15,2,FALSE))</f>
        <v/>
      </c>
      <c r="G16" s="499" t="str">
        <f>IF(D16="","",VLOOKUP(D16,'G-6 Hedgerow Data'!$B$2:$AG$15,3,FALSE))</f>
        <v/>
      </c>
      <c r="H16" s="145"/>
      <c r="I16" s="499" t="str">
        <f>IFERROR(IF(AND(F16="V.Low",OR(H16="Good",H16="Moderate")),"Error ▲",VLOOKUP(H16,'G-1 All Habitats'!$Z$2:$AA$9,2,FALSE)),"")</f>
        <v/>
      </c>
      <c r="J16" s="154"/>
      <c r="K16" s="520" t="str">
        <f>IF(J16="","",IF(VLOOKUP(J16,'G-3 Multipliers'!$L$3:$N$6,2,FALSE)=0,"Spatial Data Missing ⚠",VLOOKUP(J16,'G-3 Multipliers'!$L$3:$N$6,2,FALSE)))</f>
        <v/>
      </c>
      <c r="L16" s="524" t="str">
        <f>IF(J16="","",IF(VLOOKUP(J16,'G-3 Multipliers'!$L$3:$N$6,3,FALSE)=0,"Spatial Data Missing ⚠",VLOOKUP(J16,'G-3 Multipliers'!$L$3:$N$6,3,FALSE)))</f>
        <v/>
      </c>
      <c r="M16" s="506" t="str">
        <f>IF(D16="","",VLOOKUP(D16,'G-6 Hedgerow Data'!$B$1:$AH$15,33,FALSE))</f>
        <v/>
      </c>
      <c r="N16" s="513" t="str">
        <f t="shared" si="2"/>
        <v/>
      </c>
      <c r="O16" s="40"/>
      <c r="P16" s="145"/>
      <c r="Q16" s="72"/>
      <c r="R16" s="507" t="str">
        <f t="shared" si="3"/>
        <v/>
      </c>
      <c r="S16" s="507" t="str">
        <f t="shared" si="4"/>
        <v/>
      </c>
      <c r="T16" s="511" t="str">
        <f t="shared" si="5"/>
        <v/>
      </c>
      <c r="U16" s="515" t="str">
        <f t="shared" si="6"/>
        <v/>
      </c>
      <c r="V16" s="151"/>
      <c r="W16" s="152"/>
      <c r="AB16" s="31" t="str">
        <f>IFERROR(INDEX('G-6 Hedgerow Data'!$BJ$3:$BJ$15,MATCH(D16,'G-6 Hedgerow Data'!$B$3:$B$15,0)),"")</f>
        <v/>
      </c>
      <c r="AE16" s="156" t="str">
        <f t="shared" si="0"/>
        <v/>
      </c>
      <c r="AF16" s="156" t="str">
        <f t="shared" si="1"/>
        <v/>
      </c>
      <c r="AH16" s="156">
        <v>7</v>
      </c>
      <c r="AJ16" s="156" t="str">
        <f t="array" ref="AJ16">IFERROR(INDEX($AH$10:$AH$258, MATCH(0, IF(TRUE=$AE$10:$AE$258, COUNTIF($AJ$9:$AJ15, $AH$10:$AH$258), ""), 0)),"")</f>
        <v/>
      </c>
      <c r="AK16" s="156" t="str">
        <f t="array" ref="AK16">IFERROR(INDEX($AH$10:$AH$258, MATCH(0, IF(TRUE=$AF$10:$AF$258, COUNTIF($AK$9:$AK15, $AH$10:$AH$258), ""), 0)),"")</f>
        <v/>
      </c>
    </row>
    <row r="17" spans="2:37" ht="14" x14ac:dyDescent="0.3">
      <c r="B17" s="141">
        <v>8</v>
      </c>
      <c r="C17" s="203"/>
      <c r="D17" s="203"/>
      <c r="E17" s="153"/>
      <c r="F17" s="498" t="str">
        <f>IF(D17="","",VLOOKUP(D17,'G-6 Hedgerow Data'!$B$2:$AG$15,2,FALSE))</f>
        <v/>
      </c>
      <c r="G17" s="499" t="str">
        <f>IF(D17="","",VLOOKUP(D17,'G-6 Hedgerow Data'!$B$2:$AG$15,3,FALSE))</f>
        <v/>
      </c>
      <c r="H17" s="145"/>
      <c r="I17" s="499" t="str">
        <f>IFERROR(IF(AND(F17="V.Low",OR(H17="Good",H17="Moderate")),"Error ▲",VLOOKUP(H17,'G-1 All Habitats'!$Z$2:$AA$9,2,FALSE)),"")</f>
        <v/>
      </c>
      <c r="J17" s="154"/>
      <c r="K17" s="520" t="str">
        <f>IF(J17="","",IF(VLOOKUP(J17,'G-3 Multipliers'!$L$3:$N$6,2,FALSE)=0,"Spatial Data Missing ⚠",VLOOKUP(J17,'G-3 Multipliers'!$L$3:$N$6,2,FALSE)))</f>
        <v/>
      </c>
      <c r="L17" s="524" t="str">
        <f>IF(J17="","",IF(VLOOKUP(J17,'G-3 Multipliers'!$L$3:$N$6,3,FALSE)=0,"Spatial Data Missing ⚠",VLOOKUP(J17,'G-3 Multipliers'!$L$3:$N$6,3,FALSE)))</f>
        <v/>
      </c>
      <c r="M17" s="506" t="str">
        <f>IF(D17="","",VLOOKUP(D17,'G-6 Hedgerow Data'!$B$1:$AH$15,33,FALSE))</f>
        <v/>
      </c>
      <c r="N17" s="513" t="str">
        <f t="shared" si="2"/>
        <v/>
      </c>
      <c r="O17" s="40"/>
      <c r="P17" s="145"/>
      <c r="Q17" s="72"/>
      <c r="R17" s="507" t="str">
        <f t="shared" si="3"/>
        <v/>
      </c>
      <c r="S17" s="507" t="str">
        <f t="shared" si="4"/>
        <v/>
      </c>
      <c r="T17" s="511" t="str">
        <f t="shared" si="5"/>
        <v/>
      </c>
      <c r="U17" s="515" t="str">
        <f t="shared" si="6"/>
        <v/>
      </c>
      <c r="V17" s="151"/>
      <c r="W17" s="152"/>
      <c r="AB17" s="31" t="str">
        <f>IFERROR(INDEX('G-6 Hedgerow Data'!$BJ$3:$BJ$15,MATCH(D17,'G-6 Hedgerow Data'!$B$3:$B$15,0)),"")</f>
        <v/>
      </c>
      <c r="AE17" s="156" t="str">
        <f t="shared" si="0"/>
        <v/>
      </c>
      <c r="AF17" s="156" t="str">
        <f t="shared" si="1"/>
        <v/>
      </c>
      <c r="AH17" s="156">
        <v>8</v>
      </c>
      <c r="AJ17" s="156" t="str">
        <f t="array" ref="AJ17">IFERROR(INDEX($AH$10:$AH$258, MATCH(0, IF(TRUE=$AE$10:$AE$258, COUNTIF($AJ$9:$AJ16, $AH$10:$AH$258), ""), 0)),"")</f>
        <v/>
      </c>
      <c r="AK17" s="156" t="str">
        <f t="array" ref="AK17">IFERROR(INDEX($AH$10:$AH$258, MATCH(0, IF(TRUE=$AF$10:$AF$258, COUNTIF($AK$9:$AK16, $AH$10:$AH$258), ""), 0)),"")</f>
        <v/>
      </c>
    </row>
    <row r="18" spans="2:37" ht="14" x14ac:dyDescent="0.3">
      <c r="B18" s="141">
        <v>9</v>
      </c>
      <c r="C18" s="203"/>
      <c r="D18" s="203"/>
      <c r="E18" s="153"/>
      <c r="F18" s="498" t="str">
        <f>IF(D18="","",VLOOKUP(D18,'G-6 Hedgerow Data'!$B$2:$AG$15,2,FALSE))</f>
        <v/>
      </c>
      <c r="G18" s="499" t="str">
        <f>IF(D18="","",VLOOKUP(D18,'G-6 Hedgerow Data'!$B$2:$AG$15,3,FALSE))</f>
        <v/>
      </c>
      <c r="H18" s="145"/>
      <c r="I18" s="499" t="str">
        <f>IFERROR(IF(AND(F18="V.Low",OR(H18="Good",H18="Moderate")),"Error ▲",VLOOKUP(H18,'G-1 All Habitats'!$Z$2:$AA$9,2,FALSE)),"")</f>
        <v/>
      </c>
      <c r="J18" s="154"/>
      <c r="K18" s="520" t="str">
        <f>IF(J18="","",IF(VLOOKUP(J18,'G-3 Multipliers'!$L$3:$N$6,2,FALSE)=0,"Spatial Data Missing ⚠",VLOOKUP(J18,'G-3 Multipliers'!$L$3:$N$6,2,FALSE)))</f>
        <v/>
      </c>
      <c r="L18" s="524" t="str">
        <f>IF(J18="","",IF(VLOOKUP(J18,'G-3 Multipliers'!$L$3:$N$6,3,FALSE)=0,"Spatial Data Missing ⚠",VLOOKUP(J18,'G-3 Multipliers'!$L$3:$N$6,3,FALSE)))</f>
        <v/>
      </c>
      <c r="M18" s="506" t="str">
        <f>IF(D18="","",VLOOKUP(D18,'G-6 Hedgerow Data'!$B$1:$AH$15,33,FALSE))</f>
        <v/>
      </c>
      <c r="N18" s="513" t="str">
        <f t="shared" si="2"/>
        <v/>
      </c>
      <c r="O18" s="40"/>
      <c r="P18" s="145"/>
      <c r="Q18" s="72"/>
      <c r="R18" s="507" t="str">
        <f t="shared" si="3"/>
        <v/>
      </c>
      <c r="S18" s="507" t="str">
        <f t="shared" si="4"/>
        <v/>
      </c>
      <c r="T18" s="511" t="str">
        <f t="shared" si="5"/>
        <v/>
      </c>
      <c r="U18" s="515" t="str">
        <f t="shared" si="6"/>
        <v/>
      </c>
      <c r="V18" s="151"/>
      <c r="W18" s="152"/>
      <c r="AB18" s="31" t="str">
        <f>IFERROR(INDEX('G-6 Hedgerow Data'!$BJ$3:$BJ$15,MATCH(D18,'G-6 Hedgerow Data'!$B$3:$B$15,0)),"")</f>
        <v/>
      </c>
      <c r="AE18" s="156" t="str">
        <f t="shared" si="0"/>
        <v/>
      </c>
      <c r="AF18" s="156" t="str">
        <f t="shared" si="1"/>
        <v/>
      </c>
      <c r="AH18" s="156">
        <v>9</v>
      </c>
      <c r="AJ18" s="156" t="str">
        <f t="array" ref="AJ18">IFERROR(INDEX($AH$10:$AH$258, MATCH(0, IF(TRUE=$AE$10:$AE$258, COUNTIF($AJ$9:$AJ17, $AH$10:$AH$258), ""), 0)),"")</f>
        <v/>
      </c>
      <c r="AK18" s="156" t="str">
        <f t="array" ref="AK18">IFERROR(INDEX($AH$10:$AH$258, MATCH(0, IF(TRUE=$AF$10:$AF$258, COUNTIF($AK$9:$AK17, $AH$10:$AH$258), ""), 0)),"")</f>
        <v/>
      </c>
    </row>
    <row r="19" spans="2:37" ht="14" x14ac:dyDescent="0.3">
      <c r="B19" s="141">
        <v>10</v>
      </c>
      <c r="C19" s="203"/>
      <c r="D19" s="203"/>
      <c r="E19" s="153"/>
      <c r="F19" s="498" t="str">
        <f>IF(D19="","",VLOOKUP(D19,'G-6 Hedgerow Data'!$B$2:$AG$15,2,FALSE))</f>
        <v/>
      </c>
      <c r="G19" s="499" t="str">
        <f>IF(D19="","",VLOOKUP(D19,'G-6 Hedgerow Data'!$B$2:$AG$15,3,FALSE))</f>
        <v/>
      </c>
      <c r="H19" s="145"/>
      <c r="I19" s="499" t="str">
        <f>IFERROR(IF(AND(F19="V.Low",OR(H19="Good",H19="Moderate")),"Error ▲",VLOOKUP(H19,'G-1 All Habitats'!$Z$2:$AA$9,2,FALSE)),"")</f>
        <v/>
      </c>
      <c r="J19" s="154"/>
      <c r="K19" s="520" t="str">
        <f>IF(J19="","",IF(VLOOKUP(J19,'G-3 Multipliers'!$L$3:$N$6,2,FALSE)=0,"Spatial Data Missing ⚠",VLOOKUP(J19,'G-3 Multipliers'!$L$3:$N$6,2,FALSE)))</f>
        <v/>
      </c>
      <c r="L19" s="524" t="str">
        <f>IF(J19="","",IF(VLOOKUP(J19,'G-3 Multipliers'!$L$3:$N$6,3,FALSE)=0,"Spatial Data Missing ⚠",VLOOKUP(J19,'G-3 Multipliers'!$L$3:$N$6,3,FALSE)))</f>
        <v/>
      </c>
      <c r="M19" s="506" t="str">
        <f>IF(D19="","",VLOOKUP(D19,'G-6 Hedgerow Data'!$B$1:$AH$15,33,FALSE))</f>
        <v/>
      </c>
      <c r="N19" s="513" t="str">
        <f t="shared" si="2"/>
        <v/>
      </c>
      <c r="O19" s="40"/>
      <c r="P19" s="145"/>
      <c r="Q19" s="72"/>
      <c r="R19" s="507" t="str">
        <f t="shared" si="3"/>
        <v/>
      </c>
      <c r="S19" s="507" t="str">
        <f t="shared" si="4"/>
        <v/>
      </c>
      <c r="T19" s="511" t="str">
        <f t="shared" si="5"/>
        <v/>
      </c>
      <c r="U19" s="515" t="str">
        <f t="shared" si="6"/>
        <v/>
      </c>
      <c r="V19" s="151"/>
      <c r="W19" s="152"/>
      <c r="AB19" s="31" t="str">
        <f>IFERROR(INDEX('G-6 Hedgerow Data'!$BJ$3:$BJ$15,MATCH(D19,'G-6 Hedgerow Data'!$B$3:$B$15,0)),"")</f>
        <v/>
      </c>
      <c r="AE19" s="156" t="str">
        <f t="shared" si="0"/>
        <v/>
      </c>
      <c r="AF19" s="156" t="str">
        <f t="shared" si="1"/>
        <v/>
      </c>
      <c r="AH19" s="156">
        <v>10</v>
      </c>
      <c r="AJ19" s="156" t="str">
        <f t="array" ref="AJ19">IFERROR(INDEX($AH$10:$AH$258, MATCH(0, IF(TRUE=$AE$10:$AE$258, COUNTIF($AJ$9:$AJ18, $AH$10:$AH$258), ""), 0)),"")</f>
        <v/>
      </c>
      <c r="AK19" s="156" t="str">
        <f t="array" ref="AK19">IFERROR(INDEX($AH$10:$AH$258, MATCH(0, IF(TRUE=$AF$10:$AF$258, COUNTIF($AK$9:$AK18, $AH$10:$AH$258), ""), 0)),"")</f>
        <v/>
      </c>
    </row>
    <row r="20" spans="2:37" ht="14" x14ac:dyDescent="0.3">
      <c r="B20" s="141">
        <v>11</v>
      </c>
      <c r="C20" s="203"/>
      <c r="D20" s="203"/>
      <c r="E20" s="153"/>
      <c r="F20" s="498" t="str">
        <f>IF(D20="","",VLOOKUP(D20,'G-6 Hedgerow Data'!$B$2:$AG$15,2,FALSE))</f>
        <v/>
      </c>
      <c r="G20" s="499" t="str">
        <f>IF(D20="","",VLOOKUP(D20,'G-6 Hedgerow Data'!$B$2:$AG$15,3,FALSE))</f>
        <v/>
      </c>
      <c r="H20" s="145"/>
      <c r="I20" s="499" t="str">
        <f>IFERROR(IF(AND(F20="V.Low",OR(H20="Good",H20="Moderate")),"Error ▲",VLOOKUP(H20,'G-1 All Habitats'!$Z$2:$AA$9,2,FALSE)),"")</f>
        <v/>
      </c>
      <c r="J20" s="154"/>
      <c r="K20" s="520" t="str">
        <f>IF(J20="","",IF(VLOOKUP(J20,'G-3 Multipliers'!$L$3:$N$6,2,FALSE)=0,"Spatial Data Missing ⚠",VLOOKUP(J20,'G-3 Multipliers'!$L$3:$N$6,2,FALSE)))</f>
        <v/>
      </c>
      <c r="L20" s="524" t="str">
        <f>IF(J20="","",IF(VLOOKUP(J20,'G-3 Multipliers'!$L$3:$N$6,3,FALSE)=0,"Spatial Data Missing ⚠",VLOOKUP(J20,'G-3 Multipliers'!$L$3:$N$6,3,FALSE)))</f>
        <v/>
      </c>
      <c r="M20" s="506" t="str">
        <f>IF(D20="","",VLOOKUP(D20,'G-6 Hedgerow Data'!$B$1:$AH$15,33,FALSE))</f>
        <v/>
      </c>
      <c r="N20" s="513" t="str">
        <f t="shared" si="2"/>
        <v/>
      </c>
      <c r="O20" s="40"/>
      <c r="P20" s="145"/>
      <c r="Q20" s="72"/>
      <c r="R20" s="507" t="str">
        <f t="shared" si="3"/>
        <v/>
      </c>
      <c r="S20" s="507" t="str">
        <f t="shared" si="4"/>
        <v/>
      </c>
      <c r="T20" s="511" t="str">
        <f t="shared" si="5"/>
        <v/>
      </c>
      <c r="U20" s="515" t="str">
        <f t="shared" si="6"/>
        <v/>
      </c>
      <c r="V20" s="151"/>
      <c r="W20" s="152"/>
      <c r="AB20" s="31" t="str">
        <f>IFERROR(INDEX('G-6 Hedgerow Data'!$BJ$3:$BJ$15,MATCH(D20,'G-6 Hedgerow Data'!$B$3:$B$15,0)),"")</f>
        <v/>
      </c>
      <c r="AE20" s="156" t="str">
        <f t="shared" si="0"/>
        <v/>
      </c>
      <c r="AF20" s="156" t="str">
        <f t="shared" si="1"/>
        <v/>
      </c>
      <c r="AH20" s="156">
        <v>11</v>
      </c>
      <c r="AJ20" s="156" t="str">
        <f t="array" ref="AJ20">IFERROR(INDEX($AH$10:$AH$258, MATCH(0, IF(TRUE=$AE$10:$AE$258, COUNTIF($AJ$9:$AJ19, $AH$10:$AH$258), ""), 0)),"")</f>
        <v/>
      </c>
      <c r="AK20" s="156" t="str">
        <f t="array" ref="AK20">IFERROR(INDEX($AH$10:$AH$258, MATCH(0, IF(TRUE=$AF$10:$AF$258, COUNTIF($AK$9:$AK19, $AH$10:$AH$258), ""), 0)),"")</f>
        <v/>
      </c>
    </row>
    <row r="21" spans="2:37" ht="14" x14ac:dyDescent="0.3">
      <c r="B21" s="141">
        <v>12</v>
      </c>
      <c r="C21" s="203"/>
      <c r="D21" s="203"/>
      <c r="E21" s="153"/>
      <c r="F21" s="498" t="str">
        <f>IF(D21="","",VLOOKUP(D21,'G-6 Hedgerow Data'!$B$2:$AG$15,2,FALSE))</f>
        <v/>
      </c>
      <c r="G21" s="499" t="str">
        <f>IF(D21="","",VLOOKUP(D21,'G-6 Hedgerow Data'!$B$2:$AG$15,3,FALSE))</f>
        <v/>
      </c>
      <c r="H21" s="145"/>
      <c r="I21" s="499" t="str">
        <f>IFERROR(IF(AND(F21="V.Low",OR(H21="Good",H21="Moderate")),"Error ▲",VLOOKUP(H21,'G-1 All Habitats'!$Z$2:$AA$9,2,FALSE)),"")</f>
        <v/>
      </c>
      <c r="J21" s="154"/>
      <c r="K21" s="520" t="str">
        <f>IF(J21="","",IF(VLOOKUP(J21,'G-3 Multipliers'!$L$3:$N$6,2,FALSE)=0,"Spatial Data Missing ⚠",VLOOKUP(J21,'G-3 Multipliers'!$L$3:$N$6,2,FALSE)))</f>
        <v/>
      </c>
      <c r="L21" s="524" t="str">
        <f>IF(J21="","",IF(VLOOKUP(J21,'G-3 Multipliers'!$L$3:$N$6,3,FALSE)=0,"Spatial Data Missing ⚠",VLOOKUP(J21,'G-3 Multipliers'!$L$3:$N$6,3,FALSE)))</f>
        <v/>
      </c>
      <c r="M21" s="506" t="str">
        <f>IF(D21="","",VLOOKUP(D21,'G-6 Hedgerow Data'!$B$1:$AH$15,33,FALSE))</f>
        <v/>
      </c>
      <c r="N21" s="513" t="str">
        <f t="shared" si="2"/>
        <v/>
      </c>
      <c r="O21" s="40"/>
      <c r="P21" s="145"/>
      <c r="Q21" s="72"/>
      <c r="R21" s="507" t="str">
        <f t="shared" si="3"/>
        <v/>
      </c>
      <c r="S21" s="507" t="str">
        <f t="shared" si="4"/>
        <v/>
      </c>
      <c r="T21" s="511" t="str">
        <f t="shared" si="5"/>
        <v/>
      </c>
      <c r="U21" s="515" t="str">
        <f t="shared" si="6"/>
        <v/>
      </c>
      <c r="V21" s="151"/>
      <c r="W21" s="152"/>
      <c r="AB21" s="31" t="str">
        <f>IFERROR(INDEX('G-6 Hedgerow Data'!$BJ$3:$BJ$15,MATCH(D21,'G-6 Hedgerow Data'!$B$3:$B$15,0)),"")</f>
        <v/>
      </c>
      <c r="AE21" s="156" t="str">
        <f t="shared" si="0"/>
        <v/>
      </c>
      <c r="AF21" s="156" t="str">
        <f t="shared" si="1"/>
        <v/>
      </c>
      <c r="AH21" s="156">
        <v>12</v>
      </c>
      <c r="AJ21" s="156" t="str">
        <f t="array" ref="AJ21">IFERROR(INDEX($AH$10:$AH$258, MATCH(0, IF(TRUE=$AE$10:$AE$258, COUNTIF($AJ$9:$AJ20, $AH$10:$AH$258), ""), 0)),"")</f>
        <v/>
      </c>
      <c r="AK21" s="156" t="str">
        <f t="array" ref="AK21">IFERROR(INDEX($AH$10:$AH$258, MATCH(0, IF(TRUE=$AF$10:$AF$258, COUNTIF($AK$9:$AK20, $AH$10:$AH$258), ""), 0)),"")</f>
        <v/>
      </c>
    </row>
    <row r="22" spans="2:37" ht="14" x14ac:dyDescent="0.3">
      <c r="B22" s="141">
        <v>13</v>
      </c>
      <c r="C22" s="203"/>
      <c r="D22" s="203"/>
      <c r="E22" s="153"/>
      <c r="F22" s="498" t="str">
        <f>IF(D22="","",VLOOKUP(D22,'G-6 Hedgerow Data'!$B$2:$AG$15,2,FALSE))</f>
        <v/>
      </c>
      <c r="G22" s="499" t="str">
        <f>IF(D22="","",VLOOKUP(D22,'G-6 Hedgerow Data'!$B$2:$AG$15,3,FALSE))</f>
        <v/>
      </c>
      <c r="H22" s="145"/>
      <c r="I22" s="499" t="str">
        <f>IFERROR(IF(AND(F22="V.Low",OR(H22="Good",H22="Moderate")),"Error ▲",VLOOKUP(H22,'G-1 All Habitats'!$Z$2:$AA$9,2,FALSE)),"")</f>
        <v/>
      </c>
      <c r="J22" s="154"/>
      <c r="K22" s="520" t="str">
        <f>IF(J22="","",IF(VLOOKUP(J22,'G-3 Multipliers'!$L$3:$N$6,2,FALSE)=0,"Spatial Data Missing ⚠",VLOOKUP(J22,'G-3 Multipliers'!$L$3:$N$6,2,FALSE)))</f>
        <v/>
      </c>
      <c r="L22" s="524" t="str">
        <f>IF(J22="","",IF(VLOOKUP(J22,'G-3 Multipliers'!$L$3:$N$6,3,FALSE)=0,"Spatial Data Missing ⚠",VLOOKUP(J22,'G-3 Multipliers'!$L$3:$N$6,3,FALSE)))</f>
        <v/>
      </c>
      <c r="M22" s="506" t="str">
        <f>IF(D22="","",VLOOKUP(D22,'G-6 Hedgerow Data'!$B$1:$AH$15,33,FALSE))</f>
        <v/>
      </c>
      <c r="N22" s="513" t="str">
        <f t="shared" si="2"/>
        <v/>
      </c>
      <c r="O22" s="40"/>
      <c r="P22" s="145"/>
      <c r="Q22" s="157"/>
      <c r="R22" s="507" t="str">
        <f t="shared" si="3"/>
        <v/>
      </c>
      <c r="S22" s="507" t="str">
        <f t="shared" si="4"/>
        <v/>
      </c>
      <c r="T22" s="511" t="str">
        <f t="shared" si="5"/>
        <v/>
      </c>
      <c r="U22" s="515" t="str">
        <f t="shared" si="6"/>
        <v/>
      </c>
      <c r="V22" s="151"/>
      <c r="W22" s="152"/>
      <c r="AB22" s="31" t="str">
        <f>IFERROR(INDEX('G-6 Hedgerow Data'!$BJ$3:$BJ$15,MATCH(D22,'G-6 Hedgerow Data'!$B$3:$B$15,0)),"")</f>
        <v/>
      </c>
      <c r="AE22" s="156" t="str">
        <f t="shared" si="0"/>
        <v/>
      </c>
      <c r="AF22" s="156" t="str">
        <f t="shared" si="1"/>
        <v/>
      </c>
      <c r="AH22" s="156">
        <v>13</v>
      </c>
      <c r="AJ22" s="156" t="str">
        <f t="array" ref="AJ22">IFERROR(INDEX($AH$10:$AH$258, MATCH(0, IF(TRUE=$AE$10:$AE$258, COUNTIF($AJ$9:$AJ21, $AH$10:$AH$258), ""), 0)),"")</f>
        <v/>
      </c>
      <c r="AK22" s="156" t="str">
        <f t="array" ref="AK22">IFERROR(INDEX($AH$10:$AH$258, MATCH(0, IF(TRUE=$AF$10:$AF$258, COUNTIF($AK$9:$AK21, $AH$10:$AH$258), ""), 0)),"")</f>
        <v/>
      </c>
    </row>
    <row r="23" spans="2:37" ht="14" x14ac:dyDescent="0.3">
      <c r="B23" s="141">
        <v>14</v>
      </c>
      <c r="C23" s="203"/>
      <c r="D23" s="203"/>
      <c r="E23" s="153"/>
      <c r="F23" s="498" t="str">
        <f>IF(D23="","",VLOOKUP(D23,'G-6 Hedgerow Data'!$B$2:$AG$15,2,FALSE))</f>
        <v/>
      </c>
      <c r="G23" s="499" t="str">
        <f>IF(D23="","",VLOOKUP(D23,'G-6 Hedgerow Data'!$B$2:$AG$15,3,FALSE))</f>
        <v/>
      </c>
      <c r="H23" s="145"/>
      <c r="I23" s="499" t="str">
        <f>IFERROR(IF(AND(F23="V.Low",OR(H23="Good",H23="Moderate")),"Error ▲",VLOOKUP(H23,'G-1 All Habitats'!$Z$2:$AA$9,2,FALSE)),"")</f>
        <v/>
      </c>
      <c r="J23" s="154"/>
      <c r="K23" s="520" t="str">
        <f>IF(J23="","",IF(VLOOKUP(J23,'G-3 Multipliers'!$L$3:$N$6,2,FALSE)=0,"Spatial Data Missing ⚠",VLOOKUP(J23,'G-3 Multipliers'!$L$3:$N$6,2,FALSE)))</f>
        <v/>
      </c>
      <c r="L23" s="524" t="str">
        <f>IF(J23="","",IF(VLOOKUP(J23,'G-3 Multipliers'!$L$3:$N$6,3,FALSE)=0,"Spatial Data Missing ⚠",VLOOKUP(J23,'G-3 Multipliers'!$L$3:$N$6,3,FALSE)))</f>
        <v/>
      </c>
      <c r="M23" s="506" t="str">
        <f>IF(D23="","",VLOOKUP(D23,'G-6 Hedgerow Data'!$B$1:$AH$15,33,FALSE))</f>
        <v/>
      </c>
      <c r="N23" s="513" t="str">
        <f t="shared" si="2"/>
        <v/>
      </c>
      <c r="O23" s="40"/>
      <c r="P23" s="145"/>
      <c r="Q23" s="157"/>
      <c r="R23" s="507" t="str">
        <f t="shared" si="3"/>
        <v/>
      </c>
      <c r="S23" s="507" t="str">
        <f t="shared" si="4"/>
        <v/>
      </c>
      <c r="T23" s="511" t="str">
        <f t="shared" si="5"/>
        <v/>
      </c>
      <c r="U23" s="515" t="str">
        <f t="shared" si="6"/>
        <v/>
      </c>
      <c r="V23" s="151"/>
      <c r="W23" s="152"/>
      <c r="AB23" s="31" t="str">
        <f>IFERROR(INDEX('G-6 Hedgerow Data'!$BJ$3:$BJ$15,MATCH(D23,'G-6 Hedgerow Data'!$B$3:$B$15,0)),"")</f>
        <v/>
      </c>
      <c r="AE23" s="156" t="str">
        <f t="shared" si="0"/>
        <v/>
      </c>
      <c r="AF23" s="156" t="str">
        <f t="shared" si="1"/>
        <v/>
      </c>
      <c r="AH23" s="156">
        <v>14</v>
      </c>
      <c r="AJ23" s="156" t="str">
        <f t="array" ref="AJ23">IFERROR(INDEX($AH$10:$AH$258, MATCH(0, IF(TRUE=$AE$10:$AE$258, COUNTIF($AJ$9:$AJ22, $AH$10:$AH$258), ""), 0)),"")</f>
        <v/>
      </c>
      <c r="AK23" s="156" t="str">
        <f t="array" ref="AK23">IFERROR(INDEX($AH$10:$AH$258, MATCH(0, IF(TRUE=$AF$10:$AF$258, COUNTIF($AK$9:$AK22, $AH$10:$AH$258), ""), 0)),"")</f>
        <v/>
      </c>
    </row>
    <row r="24" spans="2:37" ht="14" x14ac:dyDescent="0.3">
      <c r="B24" s="141">
        <v>15</v>
      </c>
      <c r="C24" s="203"/>
      <c r="D24" s="203"/>
      <c r="E24" s="153"/>
      <c r="F24" s="498" t="str">
        <f>IF(D24="","",VLOOKUP(D24,'G-6 Hedgerow Data'!$B$2:$AG$15,2,FALSE))</f>
        <v/>
      </c>
      <c r="G24" s="499" t="str">
        <f>IF(D24="","",VLOOKUP(D24,'G-6 Hedgerow Data'!$B$2:$AG$15,3,FALSE))</f>
        <v/>
      </c>
      <c r="H24" s="145"/>
      <c r="I24" s="499" t="str">
        <f>IFERROR(IF(AND(F24="V.Low",OR(H24="Good",H24="Moderate")),"Error ▲",VLOOKUP(H24,'G-1 All Habitats'!$Z$2:$AA$9,2,FALSE)),"")</f>
        <v/>
      </c>
      <c r="J24" s="154"/>
      <c r="K24" s="520" t="str">
        <f>IF(J24="","",IF(VLOOKUP(J24,'G-3 Multipliers'!$L$3:$N$6,2,FALSE)=0,"Spatial Data Missing ⚠",VLOOKUP(J24,'G-3 Multipliers'!$L$3:$N$6,2,FALSE)))</f>
        <v/>
      </c>
      <c r="L24" s="524" t="str">
        <f>IF(J24="","",IF(VLOOKUP(J24,'G-3 Multipliers'!$L$3:$N$6,3,FALSE)=0,"Spatial Data Missing ⚠",VLOOKUP(J24,'G-3 Multipliers'!$L$3:$N$6,3,FALSE)))</f>
        <v/>
      </c>
      <c r="M24" s="506" t="str">
        <f>IF(D24="","",VLOOKUP(D24,'G-6 Hedgerow Data'!$B$1:$AH$15,33,FALSE))</f>
        <v/>
      </c>
      <c r="N24" s="513" t="str">
        <f t="shared" si="2"/>
        <v/>
      </c>
      <c r="O24" s="40"/>
      <c r="P24" s="145"/>
      <c r="Q24" s="157"/>
      <c r="R24" s="507" t="str">
        <f t="shared" si="3"/>
        <v/>
      </c>
      <c r="S24" s="507" t="str">
        <f t="shared" si="4"/>
        <v/>
      </c>
      <c r="T24" s="511" t="str">
        <f t="shared" si="5"/>
        <v/>
      </c>
      <c r="U24" s="515" t="str">
        <f t="shared" si="6"/>
        <v/>
      </c>
      <c r="V24" s="151"/>
      <c r="W24" s="152"/>
      <c r="AB24" s="31" t="str">
        <f>IFERROR(INDEX('G-6 Hedgerow Data'!$BJ$3:$BJ$15,MATCH(D24,'G-6 Hedgerow Data'!$B$3:$B$15,0)),"")</f>
        <v/>
      </c>
      <c r="AE24" s="156" t="str">
        <f t="shared" si="0"/>
        <v/>
      </c>
      <c r="AF24" s="156" t="str">
        <f t="shared" si="1"/>
        <v/>
      </c>
      <c r="AH24" s="156">
        <v>15</v>
      </c>
      <c r="AJ24" s="156" t="str">
        <f t="array" ref="AJ24">IFERROR(INDEX($AH$10:$AH$258, MATCH(0, IF(TRUE=$AE$10:$AE$258, COUNTIF($AJ$9:$AJ23, $AH$10:$AH$258), ""), 0)),"")</f>
        <v/>
      </c>
      <c r="AK24" s="156" t="str">
        <f t="array" ref="AK24">IFERROR(INDEX($AH$10:$AH$258, MATCH(0, IF(TRUE=$AF$10:$AF$258, COUNTIF($AK$9:$AK23, $AH$10:$AH$258), ""), 0)),"")</f>
        <v/>
      </c>
    </row>
    <row r="25" spans="2:37" ht="14" x14ac:dyDescent="0.3">
      <c r="B25" s="141">
        <v>16</v>
      </c>
      <c r="C25" s="203"/>
      <c r="D25" s="203"/>
      <c r="E25" s="153"/>
      <c r="F25" s="498" t="str">
        <f>IF(D25="","",VLOOKUP(D25,'G-6 Hedgerow Data'!$B$2:$AG$15,2,FALSE))</f>
        <v/>
      </c>
      <c r="G25" s="499" t="str">
        <f>IF(D25="","",VLOOKUP(D25,'G-6 Hedgerow Data'!$B$2:$AG$15,3,FALSE))</f>
        <v/>
      </c>
      <c r="H25" s="145"/>
      <c r="I25" s="499" t="str">
        <f>IFERROR(IF(AND(F25="V.Low",OR(H25="Good",H25="Moderate")),"Error ▲",VLOOKUP(H25,'G-1 All Habitats'!$Z$2:$AA$9,2,FALSE)),"")</f>
        <v/>
      </c>
      <c r="J25" s="154"/>
      <c r="K25" s="520" t="str">
        <f>IF(J25="","",IF(VLOOKUP(J25,'G-3 Multipliers'!$L$3:$N$6,2,FALSE)=0,"Spatial Data Missing ⚠",VLOOKUP(J25,'G-3 Multipliers'!$L$3:$N$6,2,FALSE)))</f>
        <v/>
      </c>
      <c r="L25" s="524" t="str">
        <f>IF(J25="","",IF(VLOOKUP(J25,'G-3 Multipliers'!$L$3:$N$6,3,FALSE)=0,"Spatial Data Missing ⚠",VLOOKUP(J25,'G-3 Multipliers'!$L$3:$N$6,3,FALSE)))</f>
        <v/>
      </c>
      <c r="M25" s="506" t="str">
        <f>IF(D25="","",VLOOKUP(D25,'G-6 Hedgerow Data'!$B$1:$AH$15,33,FALSE))</f>
        <v/>
      </c>
      <c r="N25" s="513" t="str">
        <f t="shared" si="2"/>
        <v/>
      </c>
      <c r="O25" s="40"/>
      <c r="P25" s="145"/>
      <c r="Q25" s="157"/>
      <c r="R25" s="507" t="str">
        <f t="shared" si="3"/>
        <v/>
      </c>
      <c r="S25" s="507" t="str">
        <f t="shared" si="4"/>
        <v/>
      </c>
      <c r="T25" s="511" t="str">
        <f t="shared" si="5"/>
        <v/>
      </c>
      <c r="U25" s="515" t="str">
        <f t="shared" si="6"/>
        <v/>
      </c>
      <c r="V25" s="151"/>
      <c r="W25" s="152"/>
      <c r="AB25" s="31" t="str">
        <f>IFERROR(INDEX('G-6 Hedgerow Data'!$BJ$3:$BJ$15,MATCH(D25,'G-6 Hedgerow Data'!$B$3:$B$15,0)),"")</f>
        <v/>
      </c>
      <c r="AE25" s="156" t="str">
        <f t="shared" si="0"/>
        <v/>
      </c>
      <c r="AF25" s="156" t="str">
        <f t="shared" si="1"/>
        <v/>
      </c>
      <c r="AH25" s="156">
        <v>16</v>
      </c>
      <c r="AJ25" s="156" t="str">
        <f t="array" ref="AJ25">IFERROR(INDEX($AH$10:$AH$258, MATCH(0, IF(TRUE=$AE$10:$AE$258, COUNTIF($AJ$9:$AJ24, $AH$10:$AH$258), ""), 0)),"")</f>
        <v/>
      </c>
      <c r="AK25" s="156" t="str">
        <f t="array" ref="AK25">IFERROR(INDEX($AH$10:$AH$258, MATCH(0, IF(TRUE=$AF$10:$AF$258, COUNTIF($AK$9:$AK24, $AH$10:$AH$258), ""), 0)),"")</f>
        <v/>
      </c>
    </row>
    <row r="26" spans="2:37" ht="14" x14ac:dyDescent="0.3">
      <c r="B26" s="141">
        <v>17</v>
      </c>
      <c r="C26" s="203"/>
      <c r="D26" s="203"/>
      <c r="E26" s="153"/>
      <c r="F26" s="498" t="str">
        <f>IF(D26="","",VLOOKUP(D26,'G-6 Hedgerow Data'!$B$2:$AG$15,2,FALSE))</f>
        <v/>
      </c>
      <c r="G26" s="499" t="str">
        <f>IF(D26="","",VLOOKUP(D26,'G-6 Hedgerow Data'!$B$2:$AG$15,3,FALSE))</f>
        <v/>
      </c>
      <c r="H26" s="145"/>
      <c r="I26" s="499" t="str">
        <f>IFERROR(IF(AND(F26="V.Low",OR(H26="Good",H26="Moderate")),"Error ▲",VLOOKUP(H26,'G-1 All Habitats'!$Z$2:$AA$9,2,FALSE)),"")</f>
        <v/>
      </c>
      <c r="J26" s="154"/>
      <c r="K26" s="520" t="str">
        <f>IF(J26="","",IF(VLOOKUP(J26,'G-3 Multipliers'!$L$3:$N$6,2,FALSE)=0,"Spatial Data Missing ⚠",VLOOKUP(J26,'G-3 Multipliers'!$L$3:$N$6,2,FALSE)))</f>
        <v/>
      </c>
      <c r="L26" s="524" t="str">
        <f>IF(J26="","",IF(VLOOKUP(J26,'G-3 Multipliers'!$L$3:$N$6,3,FALSE)=0,"Spatial Data Missing ⚠",VLOOKUP(J26,'G-3 Multipliers'!$L$3:$N$6,3,FALSE)))</f>
        <v/>
      </c>
      <c r="M26" s="506" t="str">
        <f>IF(D26="","",VLOOKUP(D26,'G-6 Hedgerow Data'!$B$1:$AH$15,33,FALSE))</f>
        <v/>
      </c>
      <c r="N26" s="513" t="str">
        <f t="shared" si="2"/>
        <v/>
      </c>
      <c r="O26" s="40"/>
      <c r="P26" s="145"/>
      <c r="Q26" s="157"/>
      <c r="R26" s="507" t="str">
        <f t="shared" si="3"/>
        <v/>
      </c>
      <c r="S26" s="507" t="str">
        <f t="shared" si="4"/>
        <v/>
      </c>
      <c r="T26" s="511" t="str">
        <f t="shared" si="5"/>
        <v/>
      </c>
      <c r="U26" s="515" t="str">
        <f t="shared" si="6"/>
        <v/>
      </c>
      <c r="V26" s="151"/>
      <c r="W26" s="152"/>
      <c r="AB26" s="31" t="str">
        <f>IFERROR(INDEX('G-6 Hedgerow Data'!$BJ$3:$BJ$15,MATCH(D26,'G-6 Hedgerow Data'!$B$3:$B$15,0)),"")</f>
        <v/>
      </c>
      <c r="AE26" s="156" t="str">
        <f t="shared" si="0"/>
        <v/>
      </c>
      <c r="AF26" s="156" t="str">
        <f t="shared" si="1"/>
        <v/>
      </c>
      <c r="AH26" s="156">
        <v>17</v>
      </c>
      <c r="AJ26" s="156" t="str">
        <f t="array" ref="AJ26">IFERROR(INDEX($AH$10:$AH$258, MATCH(0, IF(TRUE=$AE$10:$AE$258, COUNTIF($AJ$9:$AJ25, $AH$10:$AH$258), ""), 0)),"")</f>
        <v/>
      </c>
      <c r="AK26" s="156" t="str">
        <f t="array" ref="AK26">IFERROR(INDEX($AH$10:$AH$258, MATCH(0, IF(TRUE=$AF$10:$AF$258, COUNTIF($AK$9:$AK25, $AH$10:$AH$258), ""), 0)),"")</f>
        <v/>
      </c>
    </row>
    <row r="27" spans="2:37" ht="14" x14ac:dyDescent="0.3">
      <c r="B27" s="141">
        <v>18</v>
      </c>
      <c r="C27" s="203"/>
      <c r="D27" s="203"/>
      <c r="E27" s="153"/>
      <c r="F27" s="498" t="str">
        <f>IF(D27="","",VLOOKUP(D27,'G-6 Hedgerow Data'!$B$2:$AG$15,2,FALSE))</f>
        <v/>
      </c>
      <c r="G27" s="499" t="str">
        <f>IF(D27="","",VLOOKUP(D27,'G-6 Hedgerow Data'!$B$2:$AG$15,3,FALSE))</f>
        <v/>
      </c>
      <c r="H27" s="145"/>
      <c r="I27" s="499" t="str">
        <f>IFERROR(IF(AND(F27="V.Low",OR(H27="Good",H27="Moderate")),"Error ▲",VLOOKUP(H27,'G-1 All Habitats'!$Z$2:$AA$9,2,FALSE)),"")</f>
        <v/>
      </c>
      <c r="J27" s="154"/>
      <c r="K27" s="520" t="str">
        <f>IF(J27="","",IF(VLOOKUP(J27,'G-3 Multipliers'!$L$3:$N$6,2,FALSE)=0,"Spatial Data Missing ⚠",VLOOKUP(J27,'G-3 Multipliers'!$L$3:$N$6,2,FALSE)))</f>
        <v/>
      </c>
      <c r="L27" s="524" t="str">
        <f>IF(J27="","",IF(VLOOKUP(J27,'G-3 Multipliers'!$L$3:$N$6,3,FALSE)=0,"Spatial Data Missing ⚠",VLOOKUP(J27,'G-3 Multipliers'!$L$3:$N$6,3,FALSE)))</f>
        <v/>
      </c>
      <c r="M27" s="506" t="str">
        <f>IF(D27="","",VLOOKUP(D27,'G-6 Hedgerow Data'!$B$1:$AH$15,33,FALSE))</f>
        <v/>
      </c>
      <c r="N27" s="513" t="str">
        <f t="shared" si="2"/>
        <v/>
      </c>
      <c r="O27" s="40"/>
      <c r="P27" s="145"/>
      <c r="Q27" s="157"/>
      <c r="R27" s="507" t="str">
        <f t="shared" si="3"/>
        <v/>
      </c>
      <c r="S27" s="507" t="str">
        <f t="shared" si="4"/>
        <v/>
      </c>
      <c r="T27" s="511" t="str">
        <f t="shared" si="5"/>
        <v/>
      </c>
      <c r="U27" s="515" t="str">
        <f t="shared" si="6"/>
        <v/>
      </c>
      <c r="V27" s="151"/>
      <c r="W27" s="152"/>
      <c r="AB27" s="31" t="str">
        <f>IFERROR(INDEX('G-6 Hedgerow Data'!$BJ$3:$BJ$15,MATCH(D27,'G-6 Hedgerow Data'!$B$3:$B$15,0)),"")</f>
        <v/>
      </c>
      <c r="AE27" s="156" t="str">
        <f t="shared" si="0"/>
        <v/>
      </c>
      <c r="AF27" s="156" t="str">
        <f t="shared" si="1"/>
        <v/>
      </c>
      <c r="AH27" s="156">
        <v>18</v>
      </c>
      <c r="AJ27" s="156" t="str">
        <f t="array" ref="AJ27">IFERROR(INDEX($AH$10:$AH$258, MATCH(0, IF(TRUE=$AE$10:$AE$258, COUNTIF($AJ$9:$AJ26, $AH$10:$AH$258), ""), 0)),"")</f>
        <v/>
      </c>
      <c r="AK27" s="156" t="str">
        <f t="array" ref="AK27">IFERROR(INDEX($AH$10:$AH$258, MATCH(0, IF(TRUE=$AF$10:$AF$258, COUNTIF($AK$9:$AK26, $AH$10:$AH$258), ""), 0)),"")</f>
        <v/>
      </c>
    </row>
    <row r="28" spans="2:37" ht="14" x14ac:dyDescent="0.3">
      <c r="B28" s="141">
        <v>19</v>
      </c>
      <c r="C28" s="203"/>
      <c r="D28" s="203"/>
      <c r="E28" s="153"/>
      <c r="F28" s="498" t="str">
        <f>IF(D28="","",VLOOKUP(D28,'G-6 Hedgerow Data'!$B$2:$AG$15,2,FALSE))</f>
        <v/>
      </c>
      <c r="G28" s="499" t="str">
        <f>IF(D28="","",VLOOKUP(D28,'G-6 Hedgerow Data'!$B$2:$AG$15,3,FALSE))</f>
        <v/>
      </c>
      <c r="H28" s="145"/>
      <c r="I28" s="499" t="str">
        <f>IFERROR(IF(AND(F28="V.Low",OR(H28="Good",H28="Moderate")),"Error ▲",VLOOKUP(H28,'G-1 All Habitats'!$Z$2:$AA$9,2,FALSE)),"")</f>
        <v/>
      </c>
      <c r="J28" s="154"/>
      <c r="K28" s="520" t="str">
        <f>IF(J28="","",IF(VLOOKUP(J28,'G-3 Multipliers'!$L$3:$N$6,2,FALSE)=0,"Spatial Data Missing ⚠",VLOOKUP(J28,'G-3 Multipliers'!$L$3:$N$6,2,FALSE)))</f>
        <v/>
      </c>
      <c r="L28" s="524" t="str">
        <f>IF(J28="","",IF(VLOOKUP(J28,'G-3 Multipliers'!$L$3:$N$6,3,FALSE)=0,"Spatial Data Missing ⚠",VLOOKUP(J28,'G-3 Multipliers'!$L$3:$N$6,3,FALSE)))</f>
        <v/>
      </c>
      <c r="M28" s="506" t="str">
        <f>IF(D28="","",VLOOKUP(D28,'G-6 Hedgerow Data'!$B$1:$AH$15,33,FALSE))</f>
        <v/>
      </c>
      <c r="N28" s="513" t="str">
        <f t="shared" si="2"/>
        <v/>
      </c>
      <c r="O28" s="40"/>
      <c r="P28" s="145"/>
      <c r="Q28" s="157"/>
      <c r="R28" s="507" t="str">
        <f t="shared" si="3"/>
        <v/>
      </c>
      <c r="S28" s="507" t="str">
        <f t="shared" si="4"/>
        <v/>
      </c>
      <c r="T28" s="511" t="str">
        <f t="shared" si="5"/>
        <v/>
      </c>
      <c r="U28" s="515" t="str">
        <f t="shared" si="6"/>
        <v/>
      </c>
      <c r="V28" s="151"/>
      <c r="W28" s="152"/>
      <c r="AB28" s="31" t="str">
        <f>IFERROR(INDEX('G-6 Hedgerow Data'!$BJ$3:$BJ$15,MATCH(D28,'G-6 Hedgerow Data'!$B$3:$B$15,0)),"")</f>
        <v/>
      </c>
      <c r="AE28" s="156" t="str">
        <f t="shared" si="0"/>
        <v/>
      </c>
      <c r="AF28" s="156" t="str">
        <f t="shared" si="1"/>
        <v/>
      </c>
      <c r="AH28" s="156">
        <v>19</v>
      </c>
      <c r="AJ28" s="156" t="str">
        <f t="array" ref="AJ28">IFERROR(INDEX($AH$10:$AH$258, MATCH(0, IF(TRUE=$AE$10:$AE$258, COUNTIF($AJ$9:$AJ27, $AH$10:$AH$258), ""), 0)),"")</f>
        <v/>
      </c>
      <c r="AK28" s="156" t="str">
        <f t="array" ref="AK28">IFERROR(INDEX($AH$10:$AH$258, MATCH(0, IF(TRUE=$AF$10:$AF$258, COUNTIF($AK$9:$AK27, $AH$10:$AH$258), ""), 0)),"")</f>
        <v/>
      </c>
    </row>
    <row r="29" spans="2:37" ht="14" x14ac:dyDescent="0.3">
      <c r="B29" s="141">
        <v>20</v>
      </c>
      <c r="C29" s="203"/>
      <c r="D29" s="203"/>
      <c r="E29" s="153"/>
      <c r="F29" s="498" t="str">
        <f>IF(D29="","",VLOOKUP(D29,'G-6 Hedgerow Data'!$B$2:$AG$15,2,FALSE))</f>
        <v/>
      </c>
      <c r="G29" s="499" t="str">
        <f>IF(D29="","",VLOOKUP(D29,'G-6 Hedgerow Data'!$B$2:$AG$15,3,FALSE))</f>
        <v/>
      </c>
      <c r="H29" s="145"/>
      <c r="I29" s="499" t="str">
        <f>IFERROR(IF(AND(F29="V.Low",OR(H29="Good",H29="Moderate")),"Error ▲",VLOOKUP(H29,'G-1 All Habitats'!$Z$2:$AA$9,2,FALSE)),"")</f>
        <v/>
      </c>
      <c r="J29" s="154"/>
      <c r="K29" s="520" t="str">
        <f>IF(J29="","",IF(VLOOKUP(J29,'G-3 Multipliers'!$L$3:$N$6,2,FALSE)=0,"Spatial Data Missing ⚠",VLOOKUP(J29,'G-3 Multipliers'!$L$3:$N$6,2,FALSE)))</f>
        <v/>
      </c>
      <c r="L29" s="524" t="str">
        <f>IF(J29="","",IF(VLOOKUP(J29,'G-3 Multipliers'!$L$3:$N$6,3,FALSE)=0,"Spatial Data Missing ⚠",VLOOKUP(J29,'G-3 Multipliers'!$L$3:$N$6,3,FALSE)))</f>
        <v/>
      </c>
      <c r="M29" s="506" t="str">
        <f>IF(D29="","",VLOOKUP(D29,'G-6 Hedgerow Data'!$B$1:$AH$15,33,FALSE))</f>
        <v/>
      </c>
      <c r="N29" s="513" t="str">
        <f t="shared" si="2"/>
        <v/>
      </c>
      <c r="O29" s="40"/>
      <c r="P29" s="145"/>
      <c r="Q29" s="157"/>
      <c r="R29" s="507" t="str">
        <f t="shared" si="3"/>
        <v/>
      </c>
      <c r="S29" s="507" t="str">
        <f t="shared" si="4"/>
        <v/>
      </c>
      <c r="T29" s="511" t="str">
        <f t="shared" si="5"/>
        <v/>
      </c>
      <c r="U29" s="515" t="str">
        <f t="shared" si="6"/>
        <v/>
      </c>
      <c r="V29" s="151"/>
      <c r="W29" s="152"/>
      <c r="AB29" s="31" t="str">
        <f>IFERROR(INDEX('G-6 Hedgerow Data'!$BJ$3:$BJ$15,MATCH(D29,'G-6 Hedgerow Data'!$B$3:$B$15,0)),"")</f>
        <v/>
      </c>
      <c r="AE29" s="156" t="str">
        <f t="shared" si="0"/>
        <v/>
      </c>
      <c r="AF29" s="156" t="str">
        <f t="shared" si="1"/>
        <v/>
      </c>
      <c r="AH29" s="156">
        <v>20</v>
      </c>
      <c r="AJ29" s="156" t="str">
        <f t="array" ref="AJ29">IFERROR(INDEX($AH$10:$AH$258, MATCH(0, IF(TRUE=$AE$10:$AE$258, COUNTIF($AJ$9:$AJ28, $AH$10:$AH$258), ""), 0)),"")</f>
        <v/>
      </c>
      <c r="AK29" s="156" t="str">
        <f t="array" ref="AK29">IFERROR(INDEX($AH$10:$AH$258, MATCH(0, IF(TRUE=$AF$10:$AF$258, COUNTIF($AK$9:$AK28, $AH$10:$AH$258), ""), 0)),"")</f>
        <v/>
      </c>
    </row>
    <row r="30" spans="2:37" ht="14" x14ac:dyDescent="0.3">
      <c r="B30" s="141">
        <v>21</v>
      </c>
      <c r="C30" s="203"/>
      <c r="D30" s="203"/>
      <c r="E30" s="153"/>
      <c r="F30" s="498" t="str">
        <f>IF(D30="","",VLOOKUP(D30,'G-6 Hedgerow Data'!$B$2:$AG$15,2,FALSE))</f>
        <v/>
      </c>
      <c r="G30" s="499" t="str">
        <f>IF(D30="","",VLOOKUP(D30,'G-6 Hedgerow Data'!$B$2:$AG$15,3,FALSE))</f>
        <v/>
      </c>
      <c r="H30" s="145"/>
      <c r="I30" s="499" t="str">
        <f>IFERROR(IF(AND(F30="V.Low",OR(H30="Good",H30="Moderate")),"Error ▲",VLOOKUP(H30,'G-1 All Habitats'!$Z$2:$AA$9,2,FALSE)),"")</f>
        <v/>
      </c>
      <c r="J30" s="154"/>
      <c r="K30" s="520" t="str">
        <f>IF(J30="","",IF(VLOOKUP(J30,'G-3 Multipliers'!$L$3:$N$6,2,FALSE)=0,"Spatial Data Missing ⚠",VLOOKUP(J30,'G-3 Multipliers'!$L$3:$N$6,2,FALSE)))</f>
        <v/>
      </c>
      <c r="L30" s="524" t="str">
        <f>IF(J30="","",IF(VLOOKUP(J30,'G-3 Multipliers'!$L$3:$N$6,3,FALSE)=0,"Spatial Data Missing ⚠",VLOOKUP(J30,'G-3 Multipliers'!$L$3:$N$6,3,FALSE)))</f>
        <v/>
      </c>
      <c r="M30" s="506" t="str">
        <f>IF(D30="","",VLOOKUP(D30,'G-6 Hedgerow Data'!$B$1:$AH$15,33,FALSE))</f>
        <v/>
      </c>
      <c r="N30" s="513" t="str">
        <f t="shared" si="2"/>
        <v/>
      </c>
      <c r="O30" s="40"/>
      <c r="P30" s="145"/>
      <c r="Q30" s="157"/>
      <c r="R30" s="507" t="str">
        <f t="shared" si="3"/>
        <v/>
      </c>
      <c r="S30" s="507" t="str">
        <f t="shared" si="4"/>
        <v/>
      </c>
      <c r="T30" s="511" t="str">
        <f t="shared" si="5"/>
        <v/>
      </c>
      <c r="U30" s="515" t="str">
        <f t="shared" si="6"/>
        <v/>
      </c>
      <c r="V30" s="151"/>
      <c r="W30" s="152"/>
      <c r="AB30" s="31" t="str">
        <f>IFERROR(INDEX('G-6 Hedgerow Data'!$BJ$3:$BJ$15,MATCH(D30,'G-6 Hedgerow Data'!$B$3:$B$15,0)),"")</f>
        <v/>
      </c>
      <c r="AE30" s="156" t="str">
        <f t="shared" si="0"/>
        <v/>
      </c>
      <c r="AF30" s="156" t="str">
        <f t="shared" si="1"/>
        <v/>
      </c>
      <c r="AH30" s="156">
        <v>21</v>
      </c>
      <c r="AJ30" s="156" t="str">
        <f t="array" ref="AJ30">IFERROR(INDEX($AH$10:$AH$258, MATCH(0, IF(TRUE=$AE$10:$AE$258, COUNTIF($AJ$9:$AJ29, $AH$10:$AH$258), ""), 0)),"")</f>
        <v/>
      </c>
      <c r="AK30" s="156" t="str">
        <f t="array" ref="AK30">IFERROR(INDEX($AH$10:$AH$258, MATCH(0, IF(TRUE=$AF$10:$AF$258, COUNTIF($AK$9:$AK29, $AH$10:$AH$258), ""), 0)),"")</f>
        <v/>
      </c>
    </row>
    <row r="31" spans="2:37" ht="14" x14ac:dyDescent="0.3">
      <c r="B31" s="141">
        <v>22</v>
      </c>
      <c r="C31" s="203"/>
      <c r="D31" s="203"/>
      <c r="E31" s="153"/>
      <c r="F31" s="498" t="str">
        <f>IF(D31="","",VLOOKUP(D31,'G-6 Hedgerow Data'!$B$2:$AG$15,2,FALSE))</f>
        <v/>
      </c>
      <c r="G31" s="499" t="str">
        <f>IF(D31="","",VLOOKUP(D31,'G-6 Hedgerow Data'!$B$2:$AG$15,3,FALSE))</f>
        <v/>
      </c>
      <c r="H31" s="145"/>
      <c r="I31" s="499" t="str">
        <f>IFERROR(IF(AND(F31="V.Low",OR(H31="Good",H31="Moderate")),"Error ▲",VLOOKUP(H31,'G-1 All Habitats'!$Z$2:$AA$9,2,FALSE)),"")</f>
        <v/>
      </c>
      <c r="J31" s="154"/>
      <c r="K31" s="520" t="str">
        <f>IF(J31="","",IF(VLOOKUP(J31,'G-3 Multipliers'!$L$3:$N$6,2,FALSE)=0,"Spatial Data Missing ⚠",VLOOKUP(J31,'G-3 Multipliers'!$L$3:$N$6,2,FALSE)))</f>
        <v/>
      </c>
      <c r="L31" s="524" t="str">
        <f>IF(J31="","",IF(VLOOKUP(J31,'G-3 Multipliers'!$L$3:$N$6,3,FALSE)=0,"Spatial Data Missing ⚠",VLOOKUP(J31,'G-3 Multipliers'!$L$3:$N$6,3,FALSE)))</f>
        <v/>
      </c>
      <c r="M31" s="506" t="str">
        <f>IF(D31="","",VLOOKUP(D31,'G-6 Hedgerow Data'!$B$1:$AH$15,33,FALSE))</f>
        <v/>
      </c>
      <c r="N31" s="513" t="str">
        <f t="shared" si="2"/>
        <v/>
      </c>
      <c r="O31" s="40"/>
      <c r="P31" s="145"/>
      <c r="Q31" s="157"/>
      <c r="R31" s="507" t="str">
        <f t="shared" si="3"/>
        <v/>
      </c>
      <c r="S31" s="507" t="str">
        <f t="shared" si="4"/>
        <v/>
      </c>
      <c r="T31" s="511" t="str">
        <f t="shared" si="5"/>
        <v/>
      </c>
      <c r="U31" s="515" t="str">
        <f t="shared" si="6"/>
        <v/>
      </c>
      <c r="V31" s="151"/>
      <c r="W31" s="152"/>
      <c r="AB31" s="31" t="str">
        <f>IFERROR(INDEX('G-6 Hedgerow Data'!$BJ$3:$BJ$15,MATCH(D31,'G-6 Hedgerow Data'!$B$3:$B$15,0)),"")</f>
        <v/>
      </c>
      <c r="AE31" s="156" t="str">
        <f t="shared" si="0"/>
        <v/>
      </c>
      <c r="AF31" s="156" t="str">
        <f t="shared" si="1"/>
        <v/>
      </c>
      <c r="AH31" s="156">
        <v>22</v>
      </c>
      <c r="AJ31" s="156" t="str">
        <f t="array" ref="AJ31">IFERROR(INDEX($AH$10:$AH$258, MATCH(0, IF(TRUE=$AE$10:$AE$258, COUNTIF($AJ$9:$AJ30, $AH$10:$AH$258), ""), 0)),"")</f>
        <v/>
      </c>
      <c r="AK31" s="156" t="str">
        <f t="array" ref="AK31">IFERROR(INDEX($AH$10:$AH$258, MATCH(0, IF(TRUE=$AF$10:$AF$258, COUNTIF($AK$9:$AK30, $AH$10:$AH$258), ""), 0)),"")</f>
        <v/>
      </c>
    </row>
    <row r="32" spans="2:37" ht="14" x14ac:dyDescent="0.3">
      <c r="B32" s="141">
        <v>23</v>
      </c>
      <c r="C32" s="203"/>
      <c r="D32" s="203"/>
      <c r="E32" s="153"/>
      <c r="F32" s="498" t="str">
        <f>IF(D32="","",VLOOKUP(D32,'G-6 Hedgerow Data'!$B$2:$AG$15,2,FALSE))</f>
        <v/>
      </c>
      <c r="G32" s="499" t="str">
        <f>IF(D32="","",VLOOKUP(D32,'G-6 Hedgerow Data'!$B$2:$AG$15,3,FALSE))</f>
        <v/>
      </c>
      <c r="H32" s="145"/>
      <c r="I32" s="499" t="str">
        <f>IFERROR(IF(AND(F32="V.Low",OR(H32="Good",H32="Moderate")),"Error ▲",VLOOKUP(H32,'G-1 All Habitats'!$Z$2:$AA$9,2,FALSE)),"")</f>
        <v/>
      </c>
      <c r="J32" s="154"/>
      <c r="K32" s="520" t="str">
        <f>IF(J32="","",IF(VLOOKUP(J32,'G-3 Multipliers'!$L$3:$N$6,2,FALSE)=0,"Spatial Data Missing ⚠",VLOOKUP(J32,'G-3 Multipliers'!$L$3:$N$6,2,FALSE)))</f>
        <v/>
      </c>
      <c r="L32" s="524" t="str">
        <f>IF(J32="","",IF(VLOOKUP(J32,'G-3 Multipliers'!$L$3:$N$6,3,FALSE)=0,"Spatial Data Missing ⚠",VLOOKUP(J32,'G-3 Multipliers'!$L$3:$N$6,3,FALSE)))</f>
        <v/>
      </c>
      <c r="M32" s="506" t="str">
        <f>IF(D32="","",VLOOKUP(D32,'G-6 Hedgerow Data'!$B$1:$AH$15,33,FALSE))</f>
        <v/>
      </c>
      <c r="N32" s="513" t="str">
        <f t="shared" si="2"/>
        <v/>
      </c>
      <c r="O32" s="40"/>
      <c r="P32" s="145"/>
      <c r="Q32" s="157"/>
      <c r="R32" s="507" t="str">
        <f t="shared" si="3"/>
        <v/>
      </c>
      <c r="S32" s="507" t="str">
        <f t="shared" si="4"/>
        <v/>
      </c>
      <c r="T32" s="511" t="str">
        <f t="shared" si="5"/>
        <v/>
      </c>
      <c r="U32" s="515" t="str">
        <f t="shared" si="6"/>
        <v/>
      </c>
      <c r="V32" s="151"/>
      <c r="W32" s="152"/>
      <c r="AB32" s="31" t="str">
        <f>IFERROR(INDEX('G-6 Hedgerow Data'!$BJ$3:$BJ$15,MATCH(D32,'G-6 Hedgerow Data'!$B$3:$B$15,0)),"")</f>
        <v/>
      </c>
      <c r="AE32" s="156" t="str">
        <f t="shared" si="0"/>
        <v/>
      </c>
      <c r="AF32" s="156" t="str">
        <f t="shared" si="1"/>
        <v/>
      </c>
      <c r="AH32" s="156">
        <v>23</v>
      </c>
      <c r="AJ32" s="156" t="str">
        <f t="array" ref="AJ32">IFERROR(INDEX($AH$10:$AH$258, MATCH(0, IF(TRUE=$AE$10:$AE$258, COUNTIF($AJ$9:$AJ31, $AH$10:$AH$258), ""), 0)),"")</f>
        <v/>
      </c>
      <c r="AK32" s="156" t="str">
        <f t="array" ref="AK32">IFERROR(INDEX($AH$10:$AH$258, MATCH(0, IF(TRUE=$AF$10:$AF$258, COUNTIF($AK$9:$AK31, $AH$10:$AH$258), ""), 0)),"")</f>
        <v/>
      </c>
    </row>
    <row r="33" spans="2:37" ht="14" x14ac:dyDescent="0.3">
      <c r="B33" s="141">
        <v>24</v>
      </c>
      <c r="C33" s="203"/>
      <c r="D33" s="203"/>
      <c r="E33" s="153"/>
      <c r="F33" s="498" t="str">
        <f>IF(D33="","",VLOOKUP(D33,'G-6 Hedgerow Data'!$B$2:$AG$15,2,FALSE))</f>
        <v/>
      </c>
      <c r="G33" s="499" t="str">
        <f>IF(D33="","",VLOOKUP(D33,'G-6 Hedgerow Data'!$B$2:$AG$15,3,FALSE))</f>
        <v/>
      </c>
      <c r="H33" s="145"/>
      <c r="I33" s="499" t="str">
        <f>IFERROR(IF(AND(F33="V.Low",OR(H33="Good",H33="Moderate")),"Error ▲",VLOOKUP(H33,'G-1 All Habitats'!$Z$2:$AA$9,2,FALSE)),"")</f>
        <v/>
      </c>
      <c r="J33" s="154"/>
      <c r="K33" s="520" t="str">
        <f>IF(J33="","",IF(VLOOKUP(J33,'G-3 Multipliers'!$L$3:$N$6,2,FALSE)=0,"Spatial Data Missing ⚠",VLOOKUP(J33,'G-3 Multipliers'!$L$3:$N$6,2,FALSE)))</f>
        <v/>
      </c>
      <c r="L33" s="524" t="str">
        <f>IF(J33="","",IF(VLOOKUP(J33,'G-3 Multipliers'!$L$3:$N$6,3,FALSE)=0,"Spatial Data Missing ⚠",VLOOKUP(J33,'G-3 Multipliers'!$L$3:$N$6,3,FALSE)))</f>
        <v/>
      </c>
      <c r="M33" s="506" t="str">
        <f>IF(D33="","",VLOOKUP(D33,'G-6 Hedgerow Data'!$B$1:$AH$15,33,FALSE))</f>
        <v/>
      </c>
      <c r="N33" s="513" t="str">
        <f t="shared" si="2"/>
        <v/>
      </c>
      <c r="O33" s="40"/>
      <c r="P33" s="145"/>
      <c r="Q33" s="157"/>
      <c r="R33" s="507" t="str">
        <f t="shared" si="3"/>
        <v/>
      </c>
      <c r="S33" s="507" t="str">
        <f t="shared" si="4"/>
        <v/>
      </c>
      <c r="T33" s="511" t="str">
        <f t="shared" si="5"/>
        <v/>
      </c>
      <c r="U33" s="515" t="str">
        <f t="shared" si="6"/>
        <v/>
      </c>
      <c r="V33" s="151"/>
      <c r="W33" s="152"/>
      <c r="AB33" s="31" t="str">
        <f>IFERROR(INDEX('G-6 Hedgerow Data'!$BJ$3:$BJ$15,MATCH(D33,'G-6 Hedgerow Data'!$B$3:$B$15,0)),"")</f>
        <v/>
      </c>
      <c r="AE33" s="156" t="str">
        <f t="shared" si="0"/>
        <v/>
      </c>
      <c r="AF33" s="156" t="str">
        <f t="shared" si="1"/>
        <v/>
      </c>
      <c r="AH33" s="156">
        <v>24</v>
      </c>
      <c r="AJ33" s="156" t="str">
        <f t="array" ref="AJ33">IFERROR(INDEX($AH$10:$AH$258, MATCH(0, IF(TRUE=$AE$10:$AE$258, COUNTIF($AJ$9:$AJ32, $AH$10:$AH$258), ""), 0)),"")</f>
        <v/>
      </c>
      <c r="AK33" s="156" t="str">
        <f t="array" ref="AK33">IFERROR(INDEX($AH$10:$AH$258, MATCH(0, IF(TRUE=$AF$10:$AF$258, COUNTIF($AK$9:$AK32, $AH$10:$AH$258), ""), 0)),"")</f>
        <v/>
      </c>
    </row>
    <row r="34" spans="2:37" ht="14" x14ac:dyDescent="0.3">
      <c r="B34" s="141">
        <v>25</v>
      </c>
      <c r="C34" s="203"/>
      <c r="D34" s="203"/>
      <c r="E34" s="153"/>
      <c r="F34" s="498" t="str">
        <f>IF(D34="","",VLOOKUP(D34,'G-6 Hedgerow Data'!$B$2:$AG$15,2,FALSE))</f>
        <v/>
      </c>
      <c r="G34" s="499" t="str">
        <f>IF(D34="","",VLOOKUP(D34,'G-6 Hedgerow Data'!$B$2:$AG$15,3,FALSE))</f>
        <v/>
      </c>
      <c r="H34" s="145"/>
      <c r="I34" s="499" t="str">
        <f>IFERROR(IF(AND(F34="V.Low",OR(H34="Good",H34="Moderate")),"Error ▲",VLOOKUP(H34,'G-1 All Habitats'!$Z$2:$AA$9,2,FALSE)),"")</f>
        <v/>
      </c>
      <c r="J34" s="154"/>
      <c r="K34" s="520" t="str">
        <f>IF(J34="","",IF(VLOOKUP(J34,'G-3 Multipliers'!$L$3:$N$6,2,FALSE)=0,"Spatial Data Missing ⚠",VLOOKUP(J34,'G-3 Multipliers'!$L$3:$N$6,2,FALSE)))</f>
        <v/>
      </c>
      <c r="L34" s="524" t="str">
        <f>IF(J34="","",IF(VLOOKUP(J34,'G-3 Multipliers'!$L$3:$N$6,3,FALSE)=0,"Spatial Data Missing ⚠",VLOOKUP(J34,'G-3 Multipliers'!$L$3:$N$6,3,FALSE)))</f>
        <v/>
      </c>
      <c r="M34" s="506" t="str">
        <f>IF(D34="","",VLOOKUP(D34,'G-6 Hedgerow Data'!$B$1:$AH$15,33,FALSE))</f>
        <v/>
      </c>
      <c r="N34" s="513" t="str">
        <f t="shared" si="2"/>
        <v/>
      </c>
      <c r="O34" s="40"/>
      <c r="P34" s="145"/>
      <c r="Q34" s="157"/>
      <c r="R34" s="507" t="str">
        <f t="shared" si="3"/>
        <v/>
      </c>
      <c r="S34" s="507" t="str">
        <f t="shared" si="4"/>
        <v/>
      </c>
      <c r="T34" s="511" t="str">
        <f t="shared" si="5"/>
        <v/>
      </c>
      <c r="U34" s="515" t="str">
        <f t="shared" si="6"/>
        <v/>
      </c>
      <c r="V34" s="151"/>
      <c r="W34" s="152"/>
      <c r="AB34" s="31" t="str">
        <f>IFERROR(INDEX('G-6 Hedgerow Data'!$BJ$3:$BJ$15,MATCH(D34,'G-6 Hedgerow Data'!$B$3:$B$15,0)),"")</f>
        <v/>
      </c>
      <c r="AE34" s="156" t="str">
        <f t="shared" si="0"/>
        <v/>
      </c>
      <c r="AF34" s="156" t="str">
        <f t="shared" si="1"/>
        <v/>
      </c>
      <c r="AH34" s="156">
        <v>25</v>
      </c>
      <c r="AJ34" s="156" t="str">
        <f t="array" ref="AJ34">IFERROR(INDEX($AH$10:$AH$258, MATCH(0, IF(TRUE=$AE$10:$AE$258, COUNTIF($AJ$9:$AJ33, $AH$10:$AH$258), ""), 0)),"")</f>
        <v/>
      </c>
      <c r="AK34" s="156" t="str">
        <f t="array" ref="AK34">IFERROR(INDEX($AH$10:$AH$258, MATCH(0, IF(TRUE=$AF$10:$AF$258, COUNTIF($AK$9:$AK33, $AH$10:$AH$258), ""), 0)),"")</f>
        <v/>
      </c>
    </row>
    <row r="35" spans="2:37" ht="14" x14ac:dyDescent="0.3">
      <c r="B35" s="141">
        <v>26</v>
      </c>
      <c r="C35" s="203"/>
      <c r="D35" s="203"/>
      <c r="E35" s="153"/>
      <c r="F35" s="498" t="str">
        <f>IF(D35="","",VLOOKUP(D35,'G-6 Hedgerow Data'!$B$2:$AG$15,2,FALSE))</f>
        <v/>
      </c>
      <c r="G35" s="499" t="str">
        <f>IF(D35="","",VLOOKUP(D35,'G-6 Hedgerow Data'!$B$2:$AG$15,3,FALSE))</f>
        <v/>
      </c>
      <c r="H35" s="145"/>
      <c r="I35" s="499" t="str">
        <f>IFERROR(IF(AND(F35="V.Low",OR(H35="Good",H35="Moderate")),"Error ▲",VLOOKUP(H35,'G-1 All Habitats'!$Z$2:$AA$9,2,FALSE)),"")</f>
        <v/>
      </c>
      <c r="J35" s="154"/>
      <c r="K35" s="520" t="str">
        <f>IF(J35="","",IF(VLOOKUP(J35,'G-3 Multipliers'!$L$3:$N$6,2,FALSE)=0,"Spatial Data Missing ⚠",VLOOKUP(J35,'G-3 Multipliers'!$L$3:$N$6,2,FALSE)))</f>
        <v/>
      </c>
      <c r="L35" s="524" t="str">
        <f>IF(J35="","",IF(VLOOKUP(J35,'G-3 Multipliers'!$L$3:$N$6,3,FALSE)=0,"Spatial Data Missing ⚠",VLOOKUP(J35,'G-3 Multipliers'!$L$3:$N$6,3,FALSE)))</f>
        <v/>
      </c>
      <c r="M35" s="506" t="str">
        <f>IF(D35="","",VLOOKUP(D35,'G-6 Hedgerow Data'!$B$1:$AH$15,33,FALSE))</f>
        <v/>
      </c>
      <c r="N35" s="513" t="str">
        <f t="shared" si="2"/>
        <v/>
      </c>
      <c r="O35" s="40"/>
      <c r="P35" s="145"/>
      <c r="Q35" s="157"/>
      <c r="R35" s="507" t="str">
        <f t="shared" si="3"/>
        <v/>
      </c>
      <c r="S35" s="507" t="str">
        <f t="shared" si="4"/>
        <v/>
      </c>
      <c r="T35" s="511" t="str">
        <f t="shared" si="5"/>
        <v/>
      </c>
      <c r="U35" s="515" t="str">
        <f t="shared" si="6"/>
        <v/>
      </c>
      <c r="V35" s="151"/>
      <c r="W35" s="152"/>
      <c r="AB35" s="31" t="str">
        <f>IFERROR(INDEX('G-6 Hedgerow Data'!$BJ$3:$BJ$15,MATCH(D35,'G-6 Hedgerow Data'!$B$3:$B$15,0)),"")</f>
        <v/>
      </c>
      <c r="AE35" s="156" t="str">
        <f t="shared" si="0"/>
        <v/>
      </c>
      <c r="AF35" s="156" t="str">
        <f t="shared" si="1"/>
        <v/>
      </c>
      <c r="AH35" s="156">
        <v>26</v>
      </c>
      <c r="AJ35" s="156" t="str">
        <f t="array" ref="AJ35">IFERROR(INDEX($AH$10:$AH$258, MATCH(0, IF(TRUE=$AE$10:$AE$258, COUNTIF($AJ$9:$AJ34, $AH$10:$AH$258), ""), 0)),"")</f>
        <v/>
      </c>
      <c r="AK35" s="156" t="str">
        <f t="array" ref="AK35">IFERROR(INDEX($AH$10:$AH$258, MATCH(0, IF(TRUE=$AF$10:$AF$258, COUNTIF($AK$9:$AK34, $AH$10:$AH$258), ""), 0)),"")</f>
        <v/>
      </c>
    </row>
    <row r="36" spans="2:37" ht="14" x14ac:dyDescent="0.3">
      <c r="B36" s="141">
        <v>27</v>
      </c>
      <c r="C36" s="203"/>
      <c r="D36" s="203"/>
      <c r="E36" s="153"/>
      <c r="F36" s="498" t="str">
        <f>IF(D36="","",VLOOKUP(D36,'G-6 Hedgerow Data'!$B$2:$AG$15,2,FALSE))</f>
        <v/>
      </c>
      <c r="G36" s="499" t="str">
        <f>IF(D36="","",VLOOKUP(D36,'G-6 Hedgerow Data'!$B$2:$AG$15,3,FALSE))</f>
        <v/>
      </c>
      <c r="H36" s="145"/>
      <c r="I36" s="499" t="str">
        <f>IFERROR(IF(AND(F36="V.Low",OR(H36="Good",H36="Moderate")),"Error ▲",VLOOKUP(H36,'G-1 All Habitats'!$Z$2:$AA$9,2,FALSE)),"")</f>
        <v/>
      </c>
      <c r="J36" s="154"/>
      <c r="K36" s="520" t="str">
        <f>IF(J36="","",IF(VLOOKUP(J36,'G-3 Multipliers'!$L$3:$N$6,2,FALSE)=0,"Spatial Data Missing ⚠",VLOOKUP(J36,'G-3 Multipliers'!$L$3:$N$6,2,FALSE)))</f>
        <v/>
      </c>
      <c r="L36" s="524" t="str">
        <f>IF(J36="","",IF(VLOOKUP(J36,'G-3 Multipliers'!$L$3:$N$6,3,FALSE)=0,"Spatial Data Missing ⚠",VLOOKUP(J36,'G-3 Multipliers'!$L$3:$N$6,3,FALSE)))</f>
        <v/>
      </c>
      <c r="M36" s="506" t="str">
        <f>IF(D36="","",VLOOKUP(D36,'G-6 Hedgerow Data'!$B$1:$AH$15,33,FALSE))</f>
        <v/>
      </c>
      <c r="N36" s="513" t="str">
        <f t="shared" si="2"/>
        <v/>
      </c>
      <c r="O36" s="40"/>
      <c r="P36" s="145"/>
      <c r="Q36" s="157"/>
      <c r="R36" s="507" t="str">
        <f t="shared" si="3"/>
        <v/>
      </c>
      <c r="S36" s="507" t="str">
        <f t="shared" si="4"/>
        <v/>
      </c>
      <c r="T36" s="511" t="str">
        <f t="shared" si="5"/>
        <v/>
      </c>
      <c r="U36" s="515" t="str">
        <f t="shared" si="6"/>
        <v/>
      </c>
      <c r="V36" s="151"/>
      <c r="W36" s="152"/>
      <c r="AB36" s="31" t="str">
        <f>IFERROR(INDEX('G-6 Hedgerow Data'!$BJ$3:$BJ$15,MATCH(D36,'G-6 Hedgerow Data'!$B$3:$B$15,0)),"")</f>
        <v/>
      </c>
      <c r="AE36" s="156" t="str">
        <f t="shared" si="0"/>
        <v/>
      </c>
      <c r="AF36" s="156" t="str">
        <f t="shared" si="1"/>
        <v/>
      </c>
      <c r="AH36" s="156">
        <v>27</v>
      </c>
      <c r="AJ36" s="156" t="str">
        <f t="array" ref="AJ36">IFERROR(INDEX($AH$10:$AH$258, MATCH(0, IF(TRUE=$AE$10:$AE$258, COUNTIF($AJ$9:$AJ35, $AH$10:$AH$258), ""), 0)),"")</f>
        <v/>
      </c>
      <c r="AK36" s="156" t="str">
        <f t="array" ref="AK36">IFERROR(INDEX($AH$10:$AH$258, MATCH(0, IF(TRUE=$AF$10:$AF$258, COUNTIF($AK$9:$AK35, $AH$10:$AH$258), ""), 0)),"")</f>
        <v/>
      </c>
    </row>
    <row r="37" spans="2:37" ht="14" x14ac:dyDescent="0.3">
      <c r="B37" s="141">
        <v>28</v>
      </c>
      <c r="C37" s="203"/>
      <c r="D37" s="203"/>
      <c r="E37" s="153"/>
      <c r="F37" s="498" t="str">
        <f>IF(D37="","",VLOOKUP(D37,'G-6 Hedgerow Data'!$B$2:$AG$15,2,FALSE))</f>
        <v/>
      </c>
      <c r="G37" s="499" t="str">
        <f>IF(D37="","",VLOOKUP(D37,'G-6 Hedgerow Data'!$B$2:$AG$15,3,FALSE))</f>
        <v/>
      </c>
      <c r="H37" s="145"/>
      <c r="I37" s="499" t="str">
        <f>IFERROR(IF(AND(F37="V.Low",OR(H37="Good",H37="Moderate")),"Error ▲",VLOOKUP(H37,'G-1 All Habitats'!$Z$2:$AA$9,2,FALSE)),"")</f>
        <v/>
      </c>
      <c r="J37" s="154"/>
      <c r="K37" s="520" t="str">
        <f>IF(J37="","",IF(VLOOKUP(J37,'G-3 Multipliers'!$L$3:$N$6,2,FALSE)=0,"Spatial Data Missing ⚠",VLOOKUP(J37,'G-3 Multipliers'!$L$3:$N$6,2,FALSE)))</f>
        <v/>
      </c>
      <c r="L37" s="524" t="str">
        <f>IF(J37="","",IF(VLOOKUP(J37,'G-3 Multipliers'!$L$3:$N$6,3,FALSE)=0,"Spatial Data Missing ⚠",VLOOKUP(J37,'G-3 Multipliers'!$L$3:$N$6,3,FALSE)))</f>
        <v/>
      </c>
      <c r="M37" s="506" t="str">
        <f>IF(D37="","",VLOOKUP(D37,'G-6 Hedgerow Data'!$B$1:$AH$15,33,FALSE))</f>
        <v/>
      </c>
      <c r="N37" s="513" t="str">
        <f t="shared" si="2"/>
        <v/>
      </c>
      <c r="O37" s="40"/>
      <c r="P37" s="145"/>
      <c r="Q37" s="157"/>
      <c r="R37" s="507" t="str">
        <f t="shared" si="3"/>
        <v/>
      </c>
      <c r="S37" s="507" t="str">
        <f t="shared" si="4"/>
        <v/>
      </c>
      <c r="T37" s="511" t="str">
        <f t="shared" si="5"/>
        <v/>
      </c>
      <c r="U37" s="515" t="str">
        <f t="shared" si="6"/>
        <v/>
      </c>
      <c r="V37" s="151"/>
      <c r="W37" s="152"/>
      <c r="AB37" s="31" t="str">
        <f>IFERROR(INDEX('G-6 Hedgerow Data'!$BJ$3:$BJ$15,MATCH(D37,'G-6 Hedgerow Data'!$B$3:$B$15,0)),"")</f>
        <v/>
      </c>
      <c r="AE37" s="156" t="str">
        <f t="shared" si="0"/>
        <v/>
      </c>
      <c r="AF37" s="156" t="str">
        <f t="shared" si="1"/>
        <v/>
      </c>
      <c r="AH37" s="156">
        <v>28</v>
      </c>
      <c r="AJ37" s="156" t="str">
        <f t="array" ref="AJ37">IFERROR(INDEX($AH$10:$AH$258, MATCH(0, IF(TRUE=$AE$10:$AE$258, COUNTIF($AJ$9:$AJ36, $AH$10:$AH$258), ""), 0)),"")</f>
        <v/>
      </c>
      <c r="AK37" s="156" t="str">
        <f t="array" ref="AK37">IFERROR(INDEX($AH$10:$AH$258, MATCH(0, IF(TRUE=$AF$10:$AF$258, COUNTIF($AK$9:$AK36, $AH$10:$AH$258), ""), 0)),"")</f>
        <v/>
      </c>
    </row>
    <row r="38" spans="2:37" ht="14" x14ac:dyDescent="0.3">
      <c r="B38" s="141">
        <v>29</v>
      </c>
      <c r="C38" s="203"/>
      <c r="D38" s="203"/>
      <c r="E38" s="153"/>
      <c r="F38" s="498" t="str">
        <f>IF(D38="","",VLOOKUP(D38,'G-6 Hedgerow Data'!$B$2:$AG$15,2,FALSE))</f>
        <v/>
      </c>
      <c r="G38" s="499" t="str">
        <f>IF(D38="","",VLOOKUP(D38,'G-6 Hedgerow Data'!$B$2:$AG$15,3,FALSE))</f>
        <v/>
      </c>
      <c r="H38" s="145"/>
      <c r="I38" s="499" t="str">
        <f>IFERROR(IF(AND(F38="V.Low",OR(H38="Good",H38="Moderate")),"Error ▲",VLOOKUP(H38,'G-1 All Habitats'!$Z$2:$AA$9,2,FALSE)),"")</f>
        <v/>
      </c>
      <c r="J38" s="154"/>
      <c r="K38" s="520" t="str">
        <f>IF(J38="","",IF(VLOOKUP(J38,'G-3 Multipliers'!$L$3:$N$6,2,FALSE)=0,"Spatial Data Missing ⚠",VLOOKUP(J38,'G-3 Multipliers'!$L$3:$N$6,2,FALSE)))</f>
        <v/>
      </c>
      <c r="L38" s="524" t="str">
        <f>IF(J38="","",IF(VLOOKUP(J38,'G-3 Multipliers'!$L$3:$N$6,3,FALSE)=0,"Spatial Data Missing ⚠",VLOOKUP(J38,'G-3 Multipliers'!$L$3:$N$6,3,FALSE)))</f>
        <v/>
      </c>
      <c r="M38" s="506" t="str">
        <f>IF(D38="","",VLOOKUP(D38,'G-6 Hedgerow Data'!$B$1:$AH$15,33,FALSE))</f>
        <v/>
      </c>
      <c r="N38" s="513" t="str">
        <f t="shared" si="2"/>
        <v/>
      </c>
      <c r="O38" s="40"/>
      <c r="P38" s="145"/>
      <c r="Q38" s="157"/>
      <c r="R38" s="507" t="str">
        <f t="shared" si="3"/>
        <v/>
      </c>
      <c r="S38" s="507" t="str">
        <f t="shared" si="4"/>
        <v/>
      </c>
      <c r="T38" s="511" t="str">
        <f t="shared" si="5"/>
        <v/>
      </c>
      <c r="U38" s="515" t="str">
        <f t="shared" si="6"/>
        <v/>
      </c>
      <c r="V38" s="151"/>
      <c r="W38" s="152"/>
      <c r="AB38" s="31" t="str">
        <f>IFERROR(INDEX('G-6 Hedgerow Data'!$BJ$3:$BJ$15,MATCH(D38,'G-6 Hedgerow Data'!$B$3:$B$15,0)),"")</f>
        <v/>
      </c>
      <c r="AE38" s="156" t="str">
        <f t="shared" si="0"/>
        <v/>
      </c>
      <c r="AF38" s="156" t="str">
        <f t="shared" si="1"/>
        <v/>
      </c>
      <c r="AH38" s="156">
        <v>29</v>
      </c>
      <c r="AJ38" s="156" t="str">
        <f t="array" ref="AJ38">IFERROR(INDEX($AH$10:$AH$258, MATCH(0, IF(TRUE=$AE$10:$AE$258, COUNTIF($AJ$9:$AJ37, $AH$10:$AH$258), ""), 0)),"")</f>
        <v/>
      </c>
      <c r="AK38" s="156" t="str">
        <f t="array" ref="AK38">IFERROR(INDEX($AH$10:$AH$258, MATCH(0, IF(TRUE=$AF$10:$AF$258, COUNTIF($AK$9:$AK37, $AH$10:$AH$258), ""), 0)),"")</f>
        <v/>
      </c>
    </row>
    <row r="39" spans="2:37" ht="14" x14ac:dyDescent="0.3">
      <c r="B39" s="141">
        <v>30</v>
      </c>
      <c r="C39" s="203"/>
      <c r="D39" s="203"/>
      <c r="E39" s="153"/>
      <c r="F39" s="498" t="str">
        <f>IF(D39="","",VLOOKUP(D39,'G-6 Hedgerow Data'!$B$2:$AG$15,2,FALSE))</f>
        <v/>
      </c>
      <c r="G39" s="499" t="str">
        <f>IF(D39="","",VLOOKUP(D39,'G-6 Hedgerow Data'!$B$2:$AG$15,3,FALSE))</f>
        <v/>
      </c>
      <c r="H39" s="145"/>
      <c r="I39" s="499" t="str">
        <f>IFERROR(IF(AND(F39="V.Low",OR(H39="Good",H39="Moderate")),"Error ▲",VLOOKUP(H39,'G-1 All Habitats'!$Z$2:$AA$9,2,FALSE)),"")</f>
        <v/>
      </c>
      <c r="J39" s="154"/>
      <c r="K39" s="520" t="str">
        <f>IF(J39="","",IF(VLOOKUP(J39,'G-3 Multipliers'!$L$3:$N$6,2,FALSE)=0,"Spatial Data Missing ⚠",VLOOKUP(J39,'G-3 Multipliers'!$L$3:$N$6,2,FALSE)))</f>
        <v/>
      </c>
      <c r="L39" s="524" t="str">
        <f>IF(J39="","",IF(VLOOKUP(J39,'G-3 Multipliers'!$L$3:$N$6,3,FALSE)=0,"Spatial Data Missing ⚠",VLOOKUP(J39,'G-3 Multipliers'!$L$3:$N$6,3,FALSE)))</f>
        <v/>
      </c>
      <c r="M39" s="506" t="str">
        <f>IF(D39="","",VLOOKUP(D39,'G-6 Hedgerow Data'!$B$1:$AH$15,33,FALSE))</f>
        <v/>
      </c>
      <c r="N39" s="513" t="str">
        <f t="shared" si="2"/>
        <v/>
      </c>
      <c r="O39" s="40"/>
      <c r="P39" s="145"/>
      <c r="Q39" s="157"/>
      <c r="R39" s="507" t="str">
        <f t="shared" si="3"/>
        <v/>
      </c>
      <c r="S39" s="507" t="str">
        <f t="shared" si="4"/>
        <v/>
      </c>
      <c r="T39" s="511" t="str">
        <f t="shared" si="5"/>
        <v/>
      </c>
      <c r="U39" s="515" t="str">
        <f t="shared" si="6"/>
        <v/>
      </c>
      <c r="V39" s="151"/>
      <c r="W39" s="152"/>
      <c r="AB39" s="31" t="str">
        <f>IFERROR(INDEX('G-6 Hedgerow Data'!$BJ$3:$BJ$15,MATCH(D39,'G-6 Hedgerow Data'!$B$3:$B$15,0)),"")</f>
        <v/>
      </c>
      <c r="AE39" s="156" t="str">
        <f t="shared" si="0"/>
        <v/>
      </c>
      <c r="AF39" s="156" t="str">
        <f t="shared" si="1"/>
        <v/>
      </c>
      <c r="AH39" s="156">
        <v>30</v>
      </c>
      <c r="AJ39" s="156" t="str">
        <f t="array" ref="AJ39">IFERROR(INDEX($AH$10:$AH$258, MATCH(0, IF(TRUE=$AE$10:$AE$258, COUNTIF($AJ$9:$AJ38, $AH$10:$AH$258), ""), 0)),"")</f>
        <v/>
      </c>
      <c r="AK39" s="156" t="str">
        <f t="array" ref="AK39">IFERROR(INDEX($AH$10:$AH$258, MATCH(0, IF(TRUE=$AF$10:$AF$258, COUNTIF($AK$9:$AK38, $AH$10:$AH$258), ""), 0)),"")</f>
        <v/>
      </c>
    </row>
    <row r="40" spans="2:37" ht="14" x14ac:dyDescent="0.3">
      <c r="B40" s="141">
        <v>31</v>
      </c>
      <c r="C40" s="203"/>
      <c r="D40" s="203"/>
      <c r="E40" s="153"/>
      <c r="F40" s="498" t="str">
        <f>IF(D40="","",VLOOKUP(D40,'G-6 Hedgerow Data'!$B$2:$AG$15,2,FALSE))</f>
        <v/>
      </c>
      <c r="G40" s="499" t="str">
        <f>IF(D40="","",VLOOKUP(D40,'G-6 Hedgerow Data'!$B$2:$AG$15,3,FALSE))</f>
        <v/>
      </c>
      <c r="H40" s="145"/>
      <c r="I40" s="499" t="str">
        <f>IFERROR(IF(AND(F40="V.Low",OR(H40="Good",H40="Moderate")),"Error ▲",VLOOKUP(H40,'G-1 All Habitats'!$Z$2:$AA$9,2,FALSE)),"")</f>
        <v/>
      </c>
      <c r="J40" s="154"/>
      <c r="K40" s="520" t="str">
        <f>IF(J40="","",IF(VLOOKUP(J40,'G-3 Multipliers'!$L$3:$N$6,2,FALSE)=0,"Spatial Data Missing ⚠",VLOOKUP(J40,'G-3 Multipliers'!$L$3:$N$6,2,FALSE)))</f>
        <v/>
      </c>
      <c r="L40" s="524" t="str">
        <f>IF(J40="","",IF(VLOOKUP(J40,'G-3 Multipliers'!$L$3:$N$6,3,FALSE)=0,"Spatial Data Missing ⚠",VLOOKUP(J40,'G-3 Multipliers'!$L$3:$N$6,3,FALSE)))</f>
        <v/>
      </c>
      <c r="M40" s="506" t="str">
        <f>IF(D40="","",VLOOKUP(D40,'G-6 Hedgerow Data'!$B$1:$AH$15,33,FALSE))</f>
        <v/>
      </c>
      <c r="N40" s="513" t="str">
        <f t="shared" si="2"/>
        <v/>
      </c>
      <c r="O40" s="40"/>
      <c r="P40" s="145"/>
      <c r="Q40" s="157"/>
      <c r="R40" s="507" t="str">
        <f t="shared" si="3"/>
        <v/>
      </c>
      <c r="S40" s="507" t="str">
        <f t="shared" si="4"/>
        <v/>
      </c>
      <c r="T40" s="511" t="str">
        <f t="shared" si="5"/>
        <v/>
      </c>
      <c r="U40" s="515" t="str">
        <f t="shared" si="6"/>
        <v/>
      </c>
      <c r="V40" s="151"/>
      <c r="W40" s="152"/>
      <c r="AB40" s="31" t="str">
        <f>IFERROR(INDEX('G-6 Hedgerow Data'!$BJ$3:$BJ$15,MATCH(D40,'G-6 Hedgerow Data'!$B$3:$B$15,0)),"")</f>
        <v/>
      </c>
      <c r="AE40" s="156" t="str">
        <f t="shared" si="0"/>
        <v/>
      </c>
      <c r="AF40" s="156" t="str">
        <f t="shared" si="1"/>
        <v/>
      </c>
      <c r="AH40" s="156">
        <v>31</v>
      </c>
      <c r="AJ40" s="156" t="str">
        <f t="array" ref="AJ40">IFERROR(INDEX($AH$10:$AH$258, MATCH(0, IF(TRUE=$AE$10:$AE$258, COUNTIF($AJ$9:$AJ39, $AH$10:$AH$258), ""), 0)),"")</f>
        <v/>
      </c>
      <c r="AK40" s="156" t="str">
        <f t="array" ref="AK40">IFERROR(INDEX($AH$10:$AH$258, MATCH(0, IF(TRUE=$AF$10:$AF$258, COUNTIF($AK$9:$AK39, $AH$10:$AH$258), ""), 0)),"")</f>
        <v/>
      </c>
    </row>
    <row r="41" spans="2:37" ht="14" x14ac:dyDescent="0.3">
      <c r="B41" s="141">
        <v>32</v>
      </c>
      <c r="C41" s="203"/>
      <c r="D41" s="203"/>
      <c r="E41" s="153"/>
      <c r="F41" s="498" t="str">
        <f>IF(D41="","",VLOOKUP(D41,'G-6 Hedgerow Data'!$B$2:$AG$15,2,FALSE))</f>
        <v/>
      </c>
      <c r="G41" s="499" t="str">
        <f>IF(D41="","",VLOOKUP(D41,'G-6 Hedgerow Data'!$B$2:$AG$15,3,FALSE))</f>
        <v/>
      </c>
      <c r="H41" s="145"/>
      <c r="I41" s="499" t="str">
        <f>IFERROR(IF(AND(F41="V.Low",OR(H41="Good",H41="Moderate")),"Error ▲",VLOOKUP(H41,'G-1 All Habitats'!$Z$2:$AA$9,2,FALSE)),"")</f>
        <v/>
      </c>
      <c r="J41" s="154"/>
      <c r="K41" s="520" t="str">
        <f>IF(J41="","",IF(VLOOKUP(J41,'G-3 Multipliers'!$L$3:$N$6,2,FALSE)=0,"Spatial Data Missing ⚠",VLOOKUP(J41,'G-3 Multipliers'!$L$3:$N$6,2,FALSE)))</f>
        <v/>
      </c>
      <c r="L41" s="524" t="str">
        <f>IF(J41="","",IF(VLOOKUP(J41,'G-3 Multipliers'!$L$3:$N$6,3,FALSE)=0,"Spatial Data Missing ⚠",VLOOKUP(J41,'G-3 Multipliers'!$L$3:$N$6,3,FALSE)))</f>
        <v/>
      </c>
      <c r="M41" s="506" t="str">
        <f>IF(D41="","",VLOOKUP(D41,'G-6 Hedgerow Data'!$B$1:$AH$15,33,FALSE))</f>
        <v/>
      </c>
      <c r="N41" s="513" t="str">
        <f t="shared" si="2"/>
        <v/>
      </c>
      <c r="O41" s="40"/>
      <c r="P41" s="145"/>
      <c r="Q41" s="157"/>
      <c r="R41" s="507" t="str">
        <f t="shared" si="3"/>
        <v/>
      </c>
      <c r="S41" s="507" t="str">
        <f t="shared" si="4"/>
        <v/>
      </c>
      <c r="T41" s="511" t="str">
        <f t="shared" si="5"/>
        <v/>
      </c>
      <c r="U41" s="515" t="str">
        <f t="shared" si="6"/>
        <v/>
      </c>
      <c r="V41" s="151"/>
      <c r="W41" s="152"/>
      <c r="AB41" s="31" t="str">
        <f>IFERROR(INDEX('G-6 Hedgerow Data'!$BJ$3:$BJ$15,MATCH(D41,'G-6 Hedgerow Data'!$B$3:$B$15,0)),"")</f>
        <v/>
      </c>
      <c r="AE41" s="156" t="str">
        <f t="shared" si="0"/>
        <v/>
      </c>
      <c r="AF41" s="156" t="str">
        <f t="shared" si="1"/>
        <v/>
      </c>
      <c r="AH41" s="156">
        <v>32</v>
      </c>
      <c r="AJ41" s="156" t="str">
        <f t="array" ref="AJ41">IFERROR(INDEX($AH$10:$AH$258, MATCH(0, IF(TRUE=$AE$10:$AE$258, COUNTIF($AJ$9:$AJ40, $AH$10:$AH$258), ""), 0)),"")</f>
        <v/>
      </c>
      <c r="AK41" s="156" t="str">
        <f t="array" ref="AK41">IFERROR(INDEX($AH$10:$AH$258, MATCH(0, IF(TRUE=$AF$10:$AF$258, COUNTIF($AK$9:$AK40, $AH$10:$AH$258), ""), 0)),"")</f>
        <v/>
      </c>
    </row>
    <row r="42" spans="2:37" ht="14" x14ac:dyDescent="0.3">
      <c r="B42" s="141">
        <v>33</v>
      </c>
      <c r="C42" s="203"/>
      <c r="D42" s="203"/>
      <c r="E42" s="153"/>
      <c r="F42" s="498" t="str">
        <f>IF(D42="","",VLOOKUP(D42,'G-6 Hedgerow Data'!$B$2:$AG$15,2,FALSE))</f>
        <v/>
      </c>
      <c r="G42" s="499" t="str">
        <f>IF(D42="","",VLOOKUP(D42,'G-6 Hedgerow Data'!$B$2:$AG$15,3,FALSE))</f>
        <v/>
      </c>
      <c r="H42" s="145"/>
      <c r="I42" s="499" t="str">
        <f>IFERROR(IF(AND(F42="V.Low",OR(H42="Good",H42="Moderate")),"Error ▲",VLOOKUP(H42,'G-1 All Habitats'!$Z$2:$AA$9,2,FALSE)),"")</f>
        <v/>
      </c>
      <c r="J42" s="154"/>
      <c r="K42" s="520" t="str">
        <f>IF(J42="","",IF(VLOOKUP(J42,'G-3 Multipliers'!$L$3:$N$6,2,FALSE)=0,"Spatial Data Missing ⚠",VLOOKUP(J42,'G-3 Multipliers'!$L$3:$N$6,2,FALSE)))</f>
        <v/>
      </c>
      <c r="L42" s="524" t="str">
        <f>IF(J42="","",IF(VLOOKUP(J42,'G-3 Multipliers'!$L$3:$N$6,3,FALSE)=0,"Spatial Data Missing ⚠",VLOOKUP(J42,'G-3 Multipliers'!$L$3:$N$6,3,FALSE)))</f>
        <v/>
      </c>
      <c r="M42" s="506" t="str">
        <f>IF(D42="","",VLOOKUP(D42,'G-6 Hedgerow Data'!$B$1:$AH$15,33,FALSE))</f>
        <v/>
      </c>
      <c r="N42" s="513" t="str">
        <f t="shared" si="2"/>
        <v/>
      </c>
      <c r="O42" s="40"/>
      <c r="P42" s="145"/>
      <c r="Q42" s="157"/>
      <c r="R42" s="507" t="str">
        <f t="shared" si="3"/>
        <v/>
      </c>
      <c r="S42" s="507" t="str">
        <f t="shared" si="4"/>
        <v/>
      </c>
      <c r="T42" s="511" t="str">
        <f t="shared" si="5"/>
        <v/>
      </c>
      <c r="U42" s="515" t="str">
        <f t="shared" si="6"/>
        <v/>
      </c>
      <c r="V42" s="151"/>
      <c r="W42" s="152"/>
      <c r="AB42" s="31" t="str">
        <f>IFERROR(INDEX('G-6 Hedgerow Data'!$BJ$3:$BJ$15,MATCH(D42,'G-6 Hedgerow Data'!$B$3:$B$15,0)),"")</f>
        <v/>
      </c>
      <c r="AE42" s="156" t="str">
        <f t="shared" si="0"/>
        <v/>
      </c>
      <c r="AF42" s="156" t="str">
        <f t="shared" si="1"/>
        <v/>
      </c>
      <c r="AH42" s="156">
        <v>33</v>
      </c>
      <c r="AJ42" s="156" t="str">
        <f t="array" ref="AJ42">IFERROR(INDEX($AH$10:$AH$258, MATCH(0, IF(TRUE=$AE$10:$AE$258, COUNTIF($AJ$9:$AJ41, $AH$10:$AH$258), ""), 0)),"")</f>
        <v/>
      </c>
      <c r="AK42" s="156" t="str">
        <f t="array" ref="AK42">IFERROR(INDEX($AH$10:$AH$258, MATCH(0, IF(TRUE=$AF$10:$AF$258, COUNTIF($AK$9:$AK41, $AH$10:$AH$258), ""), 0)),"")</f>
        <v/>
      </c>
    </row>
    <row r="43" spans="2:37" ht="14" x14ac:dyDescent="0.3">
      <c r="B43" s="141">
        <v>34</v>
      </c>
      <c r="C43" s="203"/>
      <c r="D43" s="203"/>
      <c r="E43" s="153"/>
      <c r="F43" s="498" t="str">
        <f>IF(D43="","",VLOOKUP(D43,'G-6 Hedgerow Data'!$B$2:$AG$15,2,FALSE))</f>
        <v/>
      </c>
      <c r="G43" s="499" t="str">
        <f>IF(D43="","",VLOOKUP(D43,'G-6 Hedgerow Data'!$B$2:$AG$15,3,FALSE))</f>
        <v/>
      </c>
      <c r="H43" s="145"/>
      <c r="I43" s="499" t="str">
        <f>IFERROR(IF(AND(F43="V.Low",OR(H43="Good",H43="Moderate")),"Error ▲",VLOOKUP(H43,'G-1 All Habitats'!$Z$2:$AA$9,2,FALSE)),"")</f>
        <v/>
      </c>
      <c r="J43" s="154"/>
      <c r="K43" s="520" t="str">
        <f>IF(J43="","",IF(VLOOKUP(J43,'G-3 Multipliers'!$L$3:$N$6,2,FALSE)=0,"Spatial Data Missing ⚠",VLOOKUP(J43,'G-3 Multipliers'!$L$3:$N$6,2,FALSE)))</f>
        <v/>
      </c>
      <c r="L43" s="524" t="str">
        <f>IF(J43="","",IF(VLOOKUP(J43,'G-3 Multipliers'!$L$3:$N$6,3,FALSE)=0,"Spatial Data Missing ⚠",VLOOKUP(J43,'G-3 Multipliers'!$L$3:$N$6,3,FALSE)))</f>
        <v/>
      </c>
      <c r="M43" s="506" t="str">
        <f>IF(D43="","",VLOOKUP(D43,'G-6 Hedgerow Data'!$B$1:$AH$15,33,FALSE))</f>
        <v/>
      </c>
      <c r="N43" s="513" t="str">
        <f t="shared" si="2"/>
        <v/>
      </c>
      <c r="O43" s="40"/>
      <c r="P43" s="145"/>
      <c r="Q43" s="157"/>
      <c r="R43" s="507" t="str">
        <f t="shared" si="3"/>
        <v/>
      </c>
      <c r="S43" s="507" t="str">
        <f t="shared" si="4"/>
        <v/>
      </c>
      <c r="T43" s="511" t="str">
        <f t="shared" si="5"/>
        <v/>
      </c>
      <c r="U43" s="515" t="str">
        <f t="shared" si="6"/>
        <v/>
      </c>
      <c r="V43" s="151"/>
      <c r="W43" s="152"/>
      <c r="AB43" s="31" t="str">
        <f>IFERROR(INDEX('G-6 Hedgerow Data'!$BJ$3:$BJ$15,MATCH(D43,'G-6 Hedgerow Data'!$B$3:$B$15,0)),"")</f>
        <v/>
      </c>
      <c r="AE43" s="156" t="str">
        <f t="shared" si="0"/>
        <v/>
      </c>
      <c r="AF43" s="156" t="str">
        <f t="shared" si="1"/>
        <v/>
      </c>
      <c r="AH43" s="156">
        <v>34</v>
      </c>
      <c r="AJ43" s="156" t="str">
        <f t="array" ref="AJ43">IFERROR(INDEX($AH$10:$AH$258, MATCH(0, IF(TRUE=$AE$10:$AE$258, COUNTIF($AJ$9:$AJ42, $AH$10:$AH$258), ""), 0)),"")</f>
        <v/>
      </c>
      <c r="AK43" s="156" t="str">
        <f t="array" ref="AK43">IFERROR(INDEX($AH$10:$AH$258, MATCH(0, IF(TRUE=$AF$10:$AF$258, COUNTIF($AK$9:$AK42, $AH$10:$AH$258), ""), 0)),"")</f>
        <v/>
      </c>
    </row>
    <row r="44" spans="2:37" ht="14" x14ac:dyDescent="0.3">
      <c r="B44" s="141">
        <v>35</v>
      </c>
      <c r="C44" s="203"/>
      <c r="D44" s="203"/>
      <c r="E44" s="153"/>
      <c r="F44" s="498" t="str">
        <f>IF(D44="","",VLOOKUP(D44,'G-6 Hedgerow Data'!$B$2:$AG$15,2,FALSE))</f>
        <v/>
      </c>
      <c r="G44" s="499" t="str">
        <f>IF(D44="","",VLOOKUP(D44,'G-6 Hedgerow Data'!$B$2:$AG$15,3,FALSE))</f>
        <v/>
      </c>
      <c r="H44" s="145"/>
      <c r="I44" s="499" t="str">
        <f>IFERROR(IF(AND(F44="V.Low",OR(H44="Good",H44="Moderate")),"Error ▲",VLOOKUP(H44,'G-1 All Habitats'!$Z$2:$AA$9,2,FALSE)),"")</f>
        <v/>
      </c>
      <c r="J44" s="154"/>
      <c r="K44" s="520" t="str">
        <f>IF(J44="","",IF(VLOOKUP(J44,'G-3 Multipliers'!$L$3:$N$6,2,FALSE)=0,"Spatial Data Missing ⚠",VLOOKUP(J44,'G-3 Multipliers'!$L$3:$N$6,2,FALSE)))</f>
        <v/>
      </c>
      <c r="L44" s="524" t="str">
        <f>IF(J44="","",IF(VLOOKUP(J44,'G-3 Multipliers'!$L$3:$N$6,3,FALSE)=0,"Spatial Data Missing ⚠",VLOOKUP(J44,'G-3 Multipliers'!$L$3:$N$6,3,FALSE)))</f>
        <v/>
      </c>
      <c r="M44" s="506" t="str">
        <f>IF(D44="","",VLOOKUP(D44,'G-6 Hedgerow Data'!$B$1:$AH$15,33,FALSE))</f>
        <v/>
      </c>
      <c r="N44" s="513" t="str">
        <f t="shared" si="2"/>
        <v/>
      </c>
      <c r="O44" s="40"/>
      <c r="P44" s="145"/>
      <c r="Q44" s="157"/>
      <c r="R44" s="507" t="str">
        <f t="shared" si="3"/>
        <v/>
      </c>
      <c r="S44" s="507" t="str">
        <f t="shared" si="4"/>
        <v/>
      </c>
      <c r="T44" s="511" t="str">
        <f t="shared" si="5"/>
        <v/>
      </c>
      <c r="U44" s="515" t="str">
        <f t="shared" si="6"/>
        <v/>
      </c>
      <c r="V44" s="151"/>
      <c r="W44" s="152"/>
      <c r="AB44" s="31" t="str">
        <f>IFERROR(INDEX('G-6 Hedgerow Data'!$BJ$3:$BJ$15,MATCH(D44,'G-6 Hedgerow Data'!$B$3:$B$15,0)),"")</f>
        <v/>
      </c>
      <c r="AE44" s="156" t="str">
        <f t="shared" si="0"/>
        <v/>
      </c>
      <c r="AF44" s="156" t="str">
        <f t="shared" si="1"/>
        <v/>
      </c>
      <c r="AH44" s="156">
        <v>35</v>
      </c>
      <c r="AJ44" s="156" t="str">
        <f t="array" ref="AJ44">IFERROR(INDEX($AH$10:$AH$258, MATCH(0, IF(TRUE=$AE$10:$AE$258, COUNTIF($AJ$9:$AJ43, $AH$10:$AH$258), ""), 0)),"")</f>
        <v/>
      </c>
      <c r="AK44" s="156" t="str">
        <f t="array" ref="AK44">IFERROR(INDEX($AH$10:$AH$258, MATCH(0, IF(TRUE=$AF$10:$AF$258, COUNTIF($AK$9:$AK43, $AH$10:$AH$258), ""), 0)),"")</f>
        <v/>
      </c>
    </row>
    <row r="45" spans="2:37" ht="14" x14ac:dyDescent="0.3">
      <c r="B45" s="141">
        <v>36</v>
      </c>
      <c r="C45" s="203"/>
      <c r="D45" s="203"/>
      <c r="E45" s="153"/>
      <c r="F45" s="498" t="str">
        <f>IF(D45="","",VLOOKUP(D45,'G-6 Hedgerow Data'!$B$2:$AG$15,2,FALSE))</f>
        <v/>
      </c>
      <c r="G45" s="499" t="str">
        <f>IF(D45="","",VLOOKUP(D45,'G-6 Hedgerow Data'!$B$2:$AG$15,3,FALSE))</f>
        <v/>
      </c>
      <c r="H45" s="145"/>
      <c r="I45" s="499" t="str">
        <f>IFERROR(IF(AND(F45="V.Low",OR(H45="Good",H45="Moderate")),"Error ▲",VLOOKUP(H45,'G-1 All Habitats'!$Z$2:$AA$9,2,FALSE)),"")</f>
        <v/>
      </c>
      <c r="J45" s="154"/>
      <c r="K45" s="520" t="str">
        <f>IF(J45="","",IF(VLOOKUP(J45,'G-3 Multipliers'!$L$3:$N$6,2,FALSE)=0,"Spatial Data Missing ⚠",VLOOKUP(J45,'G-3 Multipliers'!$L$3:$N$6,2,FALSE)))</f>
        <v/>
      </c>
      <c r="L45" s="524" t="str">
        <f>IF(J45="","",IF(VLOOKUP(J45,'G-3 Multipliers'!$L$3:$N$6,3,FALSE)=0,"Spatial Data Missing ⚠",VLOOKUP(J45,'G-3 Multipliers'!$L$3:$N$6,3,FALSE)))</f>
        <v/>
      </c>
      <c r="M45" s="506" t="str">
        <f>IF(D45="","",VLOOKUP(D45,'G-6 Hedgerow Data'!$B$1:$AH$15,33,FALSE))</f>
        <v/>
      </c>
      <c r="N45" s="513" t="str">
        <f t="shared" si="2"/>
        <v/>
      </c>
      <c r="O45" s="40"/>
      <c r="P45" s="145"/>
      <c r="Q45" s="157"/>
      <c r="R45" s="507" t="str">
        <f t="shared" si="3"/>
        <v/>
      </c>
      <c r="S45" s="507" t="str">
        <f t="shared" si="4"/>
        <v/>
      </c>
      <c r="T45" s="511" t="str">
        <f t="shared" si="5"/>
        <v/>
      </c>
      <c r="U45" s="515" t="str">
        <f t="shared" si="6"/>
        <v/>
      </c>
      <c r="V45" s="151"/>
      <c r="W45" s="152"/>
      <c r="AB45" s="31" t="str">
        <f>IFERROR(INDEX('G-6 Hedgerow Data'!$BJ$3:$BJ$15,MATCH(D45,'G-6 Hedgerow Data'!$B$3:$B$15,0)),"")</f>
        <v/>
      </c>
      <c r="AE45" s="156" t="str">
        <f t="shared" si="0"/>
        <v/>
      </c>
      <c r="AF45" s="156" t="str">
        <f t="shared" si="1"/>
        <v/>
      </c>
      <c r="AH45" s="156">
        <v>36</v>
      </c>
      <c r="AJ45" s="156" t="str">
        <f t="array" ref="AJ45">IFERROR(INDEX($AH$10:$AH$258, MATCH(0, IF(TRUE=$AE$10:$AE$258, COUNTIF($AJ$9:$AJ44, $AH$10:$AH$258), ""), 0)),"")</f>
        <v/>
      </c>
      <c r="AK45" s="156" t="str">
        <f t="array" ref="AK45">IFERROR(INDEX($AH$10:$AH$258, MATCH(0, IF(TRUE=$AF$10:$AF$258, COUNTIF($AK$9:$AK44, $AH$10:$AH$258), ""), 0)),"")</f>
        <v/>
      </c>
    </row>
    <row r="46" spans="2:37" ht="14" x14ac:dyDescent="0.3">
      <c r="B46" s="141">
        <v>37</v>
      </c>
      <c r="C46" s="203"/>
      <c r="D46" s="203"/>
      <c r="E46" s="153"/>
      <c r="F46" s="498" t="str">
        <f>IF(D46="","",VLOOKUP(D46,'G-6 Hedgerow Data'!$B$2:$AG$15,2,FALSE))</f>
        <v/>
      </c>
      <c r="G46" s="499" t="str">
        <f>IF(D46="","",VLOOKUP(D46,'G-6 Hedgerow Data'!$B$2:$AG$15,3,FALSE))</f>
        <v/>
      </c>
      <c r="H46" s="145"/>
      <c r="I46" s="499" t="str">
        <f>IFERROR(IF(AND(F46="V.Low",OR(H46="Good",H46="Moderate")),"Error ▲",VLOOKUP(H46,'G-1 All Habitats'!$Z$2:$AA$9,2,FALSE)),"")</f>
        <v/>
      </c>
      <c r="J46" s="154"/>
      <c r="K46" s="520" t="str">
        <f>IF(J46="","",IF(VLOOKUP(J46,'G-3 Multipliers'!$L$3:$N$6,2,FALSE)=0,"Spatial Data Missing ⚠",VLOOKUP(J46,'G-3 Multipliers'!$L$3:$N$6,2,FALSE)))</f>
        <v/>
      </c>
      <c r="L46" s="524" t="str">
        <f>IF(J46="","",IF(VLOOKUP(J46,'G-3 Multipliers'!$L$3:$N$6,3,FALSE)=0,"Spatial Data Missing ⚠",VLOOKUP(J46,'G-3 Multipliers'!$L$3:$N$6,3,FALSE)))</f>
        <v/>
      </c>
      <c r="M46" s="506" t="str">
        <f>IF(D46="","",VLOOKUP(D46,'G-6 Hedgerow Data'!$B$1:$AH$15,33,FALSE))</f>
        <v/>
      </c>
      <c r="N46" s="513" t="str">
        <f t="shared" si="2"/>
        <v/>
      </c>
      <c r="O46" s="40"/>
      <c r="P46" s="145"/>
      <c r="Q46" s="157"/>
      <c r="R46" s="507" t="str">
        <f t="shared" si="3"/>
        <v/>
      </c>
      <c r="S46" s="507" t="str">
        <f t="shared" si="4"/>
        <v/>
      </c>
      <c r="T46" s="511" t="str">
        <f t="shared" si="5"/>
        <v/>
      </c>
      <c r="U46" s="515" t="str">
        <f t="shared" si="6"/>
        <v/>
      </c>
      <c r="V46" s="151"/>
      <c r="W46" s="152"/>
      <c r="AB46" s="31" t="str">
        <f>IFERROR(INDEX('G-6 Hedgerow Data'!$BJ$3:$BJ$15,MATCH(D46,'G-6 Hedgerow Data'!$B$3:$B$15,0)),"")</f>
        <v/>
      </c>
      <c r="AE46" s="156" t="str">
        <f t="shared" si="0"/>
        <v/>
      </c>
      <c r="AF46" s="156" t="str">
        <f t="shared" si="1"/>
        <v/>
      </c>
      <c r="AH46" s="156">
        <v>37</v>
      </c>
      <c r="AJ46" s="156" t="str">
        <f t="array" ref="AJ46">IFERROR(INDEX($AH$10:$AH$258, MATCH(0, IF(TRUE=$AE$10:$AE$258, COUNTIF($AJ$9:$AJ45, $AH$10:$AH$258), ""), 0)),"")</f>
        <v/>
      </c>
      <c r="AK46" s="156" t="str">
        <f t="array" ref="AK46">IFERROR(INDEX($AH$10:$AH$258, MATCH(0, IF(TRUE=$AF$10:$AF$258, COUNTIF($AK$9:$AK45, $AH$10:$AH$258), ""), 0)),"")</f>
        <v/>
      </c>
    </row>
    <row r="47" spans="2:37" ht="14" x14ac:dyDescent="0.3">
      <c r="B47" s="141">
        <v>38</v>
      </c>
      <c r="C47" s="203"/>
      <c r="D47" s="203"/>
      <c r="E47" s="153"/>
      <c r="F47" s="498" t="str">
        <f>IF(D47="","",VLOOKUP(D47,'G-6 Hedgerow Data'!$B$2:$AG$15,2,FALSE))</f>
        <v/>
      </c>
      <c r="G47" s="499" t="str">
        <f>IF(D47="","",VLOOKUP(D47,'G-6 Hedgerow Data'!$B$2:$AG$15,3,FALSE))</f>
        <v/>
      </c>
      <c r="H47" s="145"/>
      <c r="I47" s="499" t="str">
        <f>IFERROR(IF(AND(F47="V.Low",OR(H47="Good",H47="Moderate")),"Error ▲",VLOOKUP(H47,'G-1 All Habitats'!$Z$2:$AA$9,2,FALSE)),"")</f>
        <v/>
      </c>
      <c r="J47" s="154"/>
      <c r="K47" s="520" t="str">
        <f>IF(J47="","",IF(VLOOKUP(J47,'G-3 Multipliers'!$L$3:$N$6,2,FALSE)=0,"Spatial Data Missing ⚠",VLOOKUP(J47,'G-3 Multipliers'!$L$3:$N$6,2,FALSE)))</f>
        <v/>
      </c>
      <c r="L47" s="524" t="str">
        <f>IF(J47="","",IF(VLOOKUP(J47,'G-3 Multipliers'!$L$3:$N$6,3,FALSE)=0,"Spatial Data Missing ⚠",VLOOKUP(J47,'G-3 Multipliers'!$L$3:$N$6,3,FALSE)))</f>
        <v/>
      </c>
      <c r="M47" s="506" t="str">
        <f>IF(D47="","",VLOOKUP(D47,'G-6 Hedgerow Data'!$B$1:$AH$15,33,FALSE))</f>
        <v/>
      </c>
      <c r="N47" s="513" t="str">
        <f t="shared" si="2"/>
        <v/>
      </c>
      <c r="O47" s="40"/>
      <c r="P47" s="145"/>
      <c r="Q47" s="157"/>
      <c r="R47" s="507" t="str">
        <f t="shared" si="3"/>
        <v/>
      </c>
      <c r="S47" s="507" t="str">
        <f t="shared" si="4"/>
        <v/>
      </c>
      <c r="T47" s="511" t="str">
        <f t="shared" si="5"/>
        <v/>
      </c>
      <c r="U47" s="515" t="str">
        <f t="shared" si="6"/>
        <v/>
      </c>
      <c r="V47" s="151"/>
      <c r="W47" s="152"/>
      <c r="AB47" s="31" t="str">
        <f>IFERROR(INDEX('G-6 Hedgerow Data'!$BJ$3:$BJ$15,MATCH(D47,'G-6 Hedgerow Data'!$B$3:$B$15,0)),"")</f>
        <v/>
      </c>
      <c r="AE47" s="156" t="str">
        <f t="shared" si="0"/>
        <v/>
      </c>
      <c r="AF47" s="156" t="str">
        <f t="shared" si="1"/>
        <v/>
      </c>
      <c r="AH47" s="156">
        <v>38</v>
      </c>
      <c r="AJ47" s="156" t="str">
        <f t="array" ref="AJ47">IFERROR(INDEX($AH$10:$AH$258, MATCH(0, IF(TRUE=$AE$10:$AE$258, COUNTIF($AJ$9:$AJ46, $AH$10:$AH$258), ""), 0)),"")</f>
        <v/>
      </c>
      <c r="AK47" s="156" t="str">
        <f t="array" ref="AK47">IFERROR(INDEX($AH$10:$AH$258, MATCH(0, IF(TRUE=$AF$10:$AF$258, COUNTIF($AK$9:$AK46, $AH$10:$AH$258), ""), 0)),"")</f>
        <v/>
      </c>
    </row>
    <row r="48" spans="2:37" ht="14" x14ac:dyDescent="0.3">
      <c r="B48" s="141">
        <v>39</v>
      </c>
      <c r="C48" s="203"/>
      <c r="D48" s="203"/>
      <c r="E48" s="153"/>
      <c r="F48" s="498" t="str">
        <f>IF(D48="","",VLOOKUP(D48,'G-6 Hedgerow Data'!$B$2:$AG$15,2,FALSE))</f>
        <v/>
      </c>
      <c r="G48" s="499" t="str">
        <f>IF(D48="","",VLOOKUP(D48,'G-6 Hedgerow Data'!$B$2:$AG$15,3,FALSE))</f>
        <v/>
      </c>
      <c r="H48" s="145"/>
      <c r="I48" s="499" t="str">
        <f>IFERROR(IF(AND(F48="V.Low",OR(H48="Good",H48="Moderate")),"Error ▲",VLOOKUP(H48,'G-1 All Habitats'!$Z$2:$AA$9,2,FALSE)),"")</f>
        <v/>
      </c>
      <c r="J48" s="154"/>
      <c r="K48" s="520" t="str">
        <f>IF(J48="","",IF(VLOOKUP(J48,'G-3 Multipliers'!$L$3:$N$6,2,FALSE)=0,"Spatial Data Missing ⚠",VLOOKUP(J48,'G-3 Multipliers'!$L$3:$N$6,2,FALSE)))</f>
        <v/>
      </c>
      <c r="L48" s="524" t="str">
        <f>IF(J48="","",IF(VLOOKUP(J48,'G-3 Multipliers'!$L$3:$N$6,3,FALSE)=0,"Spatial Data Missing ⚠",VLOOKUP(J48,'G-3 Multipliers'!$L$3:$N$6,3,FALSE)))</f>
        <v/>
      </c>
      <c r="M48" s="506" t="str">
        <f>IF(D48="","",VLOOKUP(D48,'G-6 Hedgerow Data'!$B$1:$AH$15,33,FALSE))</f>
        <v/>
      </c>
      <c r="N48" s="513" t="str">
        <f t="shared" si="2"/>
        <v/>
      </c>
      <c r="O48" s="40"/>
      <c r="P48" s="145"/>
      <c r="Q48" s="157"/>
      <c r="R48" s="507" t="str">
        <f t="shared" si="3"/>
        <v/>
      </c>
      <c r="S48" s="507" t="str">
        <f t="shared" si="4"/>
        <v/>
      </c>
      <c r="T48" s="511" t="str">
        <f t="shared" si="5"/>
        <v/>
      </c>
      <c r="U48" s="515" t="str">
        <f t="shared" si="6"/>
        <v/>
      </c>
      <c r="V48" s="151"/>
      <c r="W48" s="152"/>
      <c r="AB48" s="31" t="str">
        <f>IFERROR(INDEX('G-6 Hedgerow Data'!$BJ$3:$BJ$15,MATCH(D48,'G-6 Hedgerow Data'!$B$3:$B$15,0)),"")</f>
        <v/>
      </c>
      <c r="AE48" s="156" t="str">
        <f t="shared" si="0"/>
        <v/>
      </c>
      <c r="AF48" s="156" t="str">
        <f t="shared" si="1"/>
        <v/>
      </c>
      <c r="AH48" s="156">
        <v>39</v>
      </c>
      <c r="AJ48" s="156" t="str">
        <f t="array" ref="AJ48">IFERROR(INDEX($AH$10:$AH$258, MATCH(0, IF(TRUE=$AE$10:$AE$258, COUNTIF($AJ$9:$AJ47, $AH$10:$AH$258), ""), 0)),"")</f>
        <v/>
      </c>
      <c r="AK48" s="156" t="str">
        <f t="array" ref="AK48">IFERROR(INDEX($AH$10:$AH$258, MATCH(0, IF(TRUE=$AF$10:$AF$258, COUNTIF($AK$9:$AK47, $AH$10:$AH$258), ""), 0)),"")</f>
        <v/>
      </c>
    </row>
    <row r="49" spans="2:37" ht="14" x14ac:dyDescent="0.3">
      <c r="B49" s="141">
        <v>40</v>
      </c>
      <c r="C49" s="203"/>
      <c r="D49" s="203"/>
      <c r="E49" s="153"/>
      <c r="F49" s="498" t="str">
        <f>IF(D49="","",VLOOKUP(D49,'G-6 Hedgerow Data'!$B$2:$AG$15,2,FALSE))</f>
        <v/>
      </c>
      <c r="G49" s="499" t="str">
        <f>IF(D49="","",VLOOKUP(D49,'G-6 Hedgerow Data'!$B$2:$AG$15,3,FALSE))</f>
        <v/>
      </c>
      <c r="H49" s="145"/>
      <c r="I49" s="499" t="str">
        <f>IFERROR(IF(AND(F49="V.Low",OR(H49="Good",H49="Moderate")),"Error ▲",VLOOKUP(H49,'G-1 All Habitats'!$Z$2:$AA$9,2,FALSE)),"")</f>
        <v/>
      </c>
      <c r="J49" s="154"/>
      <c r="K49" s="520" t="str">
        <f>IF(J49="","",IF(VLOOKUP(J49,'G-3 Multipliers'!$L$3:$N$6,2,FALSE)=0,"Spatial Data Missing ⚠",VLOOKUP(J49,'G-3 Multipliers'!$L$3:$N$6,2,FALSE)))</f>
        <v/>
      </c>
      <c r="L49" s="524" t="str">
        <f>IF(J49="","",IF(VLOOKUP(J49,'G-3 Multipliers'!$L$3:$N$6,3,FALSE)=0,"Spatial Data Missing ⚠",VLOOKUP(J49,'G-3 Multipliers'!$L$3:$N$6,3,FALSE)))</f>
        <v/>
      </c>
      <c r="M49" s="506" t="str">
        <f>IF(D49="","",VLOOKUP(D49,'G-6 Hedgerow Data'!$B$1:$AH$15,33,FALSE))</f>
        <v/>
      </c>
      <c r="N49" s="513" t="str">
        <f t="shared" si="2"/>
        <v/>
      </c>
      <c r="O49" s="40"/>
      <c r="P49" s="145"/>
      <c r="Q49" s="157"/>
      <c r="R49" s="507" t="str">
        <f t="shared" si="3"/>
        <v/>
      </c>
      <c r="S49" s="507" t="str">
        <f t="shared" si="4"/>
        <v/>
      </c>
      <c r="T49" s="511" t="str">
        <f t="shared" si="5"/>
        <v/>
      </c>
      <c r="U49" s="515" t="str">
        <f t="shared" si="6"/>
        <v/>
      </c>
      <c r="V49" s="151"/>
      <c r="W49" s="152"/>
      <c r="AB49" s="31" t="str">
        <f>IFERROR(INDEX('G-6 Hedgerow Data'!$BJ$3:$BJ$15,MATCH(D49,'G-6 Hedgerow Data'!$B$3:$B$15,0)),"")</f>
        <v/>
      </c>
      <c r="AE49" s="156" t="str">
        <f t="shared" si="0"/>
        <v/>
      </c>
      <c r="AF49" s="156" t="str">
        <f t="shared" si="1"/>
        <v/>
      </c>
      <c r="AH49" s="156">
        <v>40</v>
      </c>
      <c r="AJ49" s="156" t="str">
        <f t="array" ref="AJ49">IFERROR(INDEX($AH$10:$AH$258, MATCH(0, IF(TRUE=$AE$10:$AE$258, COUNTIF($AJ$9:$AJ48, $AH$10:$AH$258), ""), 0)),"")</f>
        <v/>
      </c>
      <c r="AK49" s="156" t="str">
        <f t="array" ref="AK49">IFERROR(INDEX($AH$10:$AH$258, MATCH(0, IF(TRUE=$AF$10:$AF$258, COUNTIF($AK$9:$AK48, $AH$10:$AH$258), ""), 0)),"")</f>
        <v/>
      </c>
    </row>
    <row r="50" spans="2:37" ht="14" x14ac:dyDescent="0.3">
      <c r="B50" s="141">
        <v>41</v>
      </c>
      <c r="C50" s="203"/>
      <c r="D50" s="203"/>
      <c r="E50" s="153"/>
      <c r="F50" s="498" t="str">
        <f>IF(D50="","",VLOOKUP(D50,'G-6 Hedgerow Data'!$B$2:$AG$15,2,FALSE))</f>
        <v/>
      </c>
      <c r="G50" s="499" t="str">
        <f>IF(D50="","",VLOOKUP(D50,'G-6 Hedgerow Data'!$B$2:$AG$15,3,FALSE))</f>
        <v/>
      </c>
      <c r="H50" s="145"/>
      <c r="I50" s="499" t="str">
        <f>IFERROR(IF(AND(F50="V.Low",OR(H50="Good",H50="Moderate")),"Error ▲",VLOOKUP(H50,'G-1 All Habitats'!$Z$2:$AA$9,2,FALSE)),"")</f>
        <v/>
      </c>
      <c r="J50" s="154"/>
      <c r="K50" s="520" t="str">
        <f>IF(J50="","",IF(VLOOKUP(J50,'G-3 Multipliers'!$L$3:$N$6,2,FALSE)=0,"Spatial Data Missing ⚠",VLOOKUP(J50,'G-3 Multipliers'!$L$3:$N$6,2,FALSE)))</f>
        <v/>
      </c>
      <c r="L50" s="524" t="str">
        <f>IF(J50="","",IF(VLOOKUP(J50,'G-3 Multipliers'!$L$3:$N$6,3,FALSE)=0,"Spatial Data Missing ⚠",VLOOKUP(J50,'G-3 Multipliers'!$L$3:$N$6,3,FALSE)))</f>
        <v/>
      </c>
      <c r="M50" s="506" t="str">
        <f>IF(D50="","",VLOOKUP(D50,'G-6 Hedgerow Data'!$B$1:$AH$15,33,FALSE))</f>
        <v/>
      </c>
      <c r="N50" s="513" t="str">
        <f t="shared" si="2"/>
        <v/>
      </c>
      <c r="O50" s="40"/>
      <c r="P50" s="145"/>
      <c r="Q50" s="157"/>
      <c r="R50" s="507" t="str">
        <f t="shared" si="3"/>
        <v/>
      </c>
      <c r="S50" s="507" t="str">
        <f t="shared" si="4"/>
        <v/>
      </c>
      <c r="T50" s="511" t="str">
        <f t="shared" si="5"/>
        <v/>
      </c>
      <c r="U50" s="515" t="str">
        <f t="shared" si="6"/>
        <v/>
      </c>
      <c r="V50" s="151"/>
      <c r="W50" s="152"/>
      <c r="AB50" s="31" t="str">
        <f>IFERROR(INDEX('G-6 Hedgerow Data'!$BJ$3:$BJ$15,MATCH(D50,'G-6 Hedgerow Data'!$B$3:$B$15,0)),"")</f>
        <v/>
      </c>
      <c r="AE50" s="156" t="str">
        <f t="shared" si="0"/>
        <v/>
      </c>
      <c r="AF50" s="156" t="str">
        <f t="shared" si="1"/>
        <v/>
      </c>
      <c r="AH50" s="156">
        <v>41</v>
      </c>
      <c r="AJ50" s="156" t="str">
        <f t="array" ref="AJ50">IFERROR(INDEX($AH$10:$AH$258, MATCH(0, IF(TRUE=$AE$10:$AE$258, COUNTIF($AJ$9:$AJ49, $AH$10:$AH$258), ""), 0)),"")</f>
        <v/>
      </c>
      <c r="AK50" s="156" t="str">
        <f t="array" ref="AK50">IFERROR(INDEX($AH$10:$AH$258, MATCH(0, IF(TRUE=$AF$10:$AF$258, COUNTIF($AK$9:$AK49, $AH$10:$AH$258), ""), 0)),"")</f>
        <v/>
      </c>
    </row>
    <row r="51" spans="2:37" ht="14" x14ac:dyDescent="0.3">
      <c r="B51" s="141">
        <v>42</v>
      </c>
      <c r="C51" s="203"/>
      <c r="D51" s="203"/>
      <c r="E51" s="153"/>
      <c r="F51" s="498" t="str">
        <f>IF(D51="","",VLOOKUP(D51,'G-6 Hedgerow Data'!$B$2:$AG$15,2,FALSE))</f>
        <v/>
      </c>
      <c r="G51" s="499" t="str">
        <f>IF(D51="","",VLOOKUP(D51,'G-6 Hedgerow Data'!$B$2:$AG$15,3,FALSE))</f>
        <v/>
      </c>
      <c r="H51" s="145"/>
      <c r="I51" s="499" t="str">
        <f>IFERROR(IF(AND(F51="V.Low",OR(H51="Good",H51="Moderate")),"Error ▲",VLOOKUP(H51,'G-1 All Habitats'!$Z$2:$AA$9,2,FALSE)),"")</f>
        <v/>
      </c>
      <c r="J51" s="154"/>
      <c r="K51" s="520" t="str">
        <f>IF(J51="","",IF(VLOOKUP(J51,'G-3 Multipliers'!$L$3:$N$6,2,FALSE)=0,"Spatial Data Missing ⚠",VLOOKUP(J51,'G-3 Multipliers'!$L$3:$N$6,2,FALSE)))</f>
        <v/>
      </c>
      <c r="L51" s="524" t="str">
        <f>IF(J51="","",IF(VLOOKUP(J51,'G-3 Multipliers'!$L$3:$N$6,3,FALSE)=0,"Spatial Data Missing ⚠",VLOOKUP(J51,'G-3 Multipliers'!$L$3:$N$6,3,FALSE)))</f>
        <v/>
      </c>
      <c r="M51" s="506" t="str">
        <f>IF(D51="","",VLOOKUP(D51,'G-6 Hedgerow Data'!$B$1:$AH$15,33,FALSE))</f>
        <v/>
      </c>
      <c r="N51" s="513" t="str">
        <f t="shared" si="2"/>
        <v/>
      </c>
      <c r="O51" s="40"/>
      <c r="P51" s="145"/>
      <c r="Q51" s="157"/>
      <c r="R51" s="507" t="str">
        <f t="shared" si="3"/>
        <v/>
      </c>
      <c r="S51" s="507" t="str">
        <f t="shared" si="4"/>
        <v/>
      </c>
      <c r="T51" s="511" t="str">
        <f t="shared" si="5"/>
        <v/>
      </c>
      <c r="U51" s="515" t="str">
        <f t="shared" si="6"/>
        <v/>
      </c>
      <c r="V51" s="151"/>
      <c r="W51" s="152"/>
      <c r="AB51" s="31" t="str">
        <f>IFERROR(INDEX('G-6 Hedgerow Data'!$BJ$3:$BJ$15,MATCH(D51,'G-6 Hedgerow Data'!$B$3:$B$15,0)),"")</f>
        <v/>
      </c>
      <c r="AE51" s="156" t="str">
        <f t="shared" si="0"/>
        <v/>
      </c>
      <c r="AF51" s="156" t="str">
        <f t="shared" si="1"/>
        <v/>
      </c>
      <c r="AH51" s="156">
        <v>42</v>
      </c>
      <c r="AJ51" s="156" t="str">
        <f t="array" ref="AJ51">IFERROR(INDEX($AH$10:$AH$258, MATCH(0, IF(TRUE=$AE$10:$AE$258, COUNTIF($AJ$9:$AJ50, $AH$10:$AH$258), ""), 0)),"")</f>
        <v/>
      </c>
      <c r="AK51" s="156" t="str">
        <f t="array" ref="AK51">IFERROR(INDEX($AH$10:$AH$258, MATCH(0, IF(TRUE=$AF$10:$AF$258, COUNTIF($AK$9:$AK50, $AH$10:$AH$258), ""), 0)),"")</f>
        <v/>
      </c>
    </row>
    <row r="52" spans="2:37" ht="14" x14ac:dyDescent="0.3">
      <c r="B52" s="141">
        <v>43</v>
      </c>
      <c r="C52" s="203"/>
      <c r="D52" s="203"/>
      <c r="E52" s="153"/>
      <c r="F52" s="498" t="str">
        <f>IF(D52="","",VLOOKUP(D52,'G-6 Hedgerow Data'!$B$2:$AG$15,2,FALSE))</f>
        <v/>
      </c>
      <c r="G52" s="499" t="str">
        <f>IF(D52="","",VLOOKUP(D52,'G-6 Hedgerow Data'!$B$2:$AG$15,3,FALSE))</f>
        <v/>
      </c>
      <c r="H52" s="145"/>
      <c r="I52" s="499" t="str">
        <f>IFERROR(IF(AND(F52="V.Low",OR(H52="Good",H52="Moderate")),"Error ▲",VLOOKUP(H52,'G-1 All Habitats'!$Z$2:$AA$9,2,FALSE)),"")</f>
        <v/>
      </c>
      <c r="J52" s="154"/>
      <c r="K52" s="520" t="str">
        <f>IF(J52="","",IF(VLOOKUP(J52,'G-3 Multipliers'!$L$3:$N$6,2,FALSE)=0,"Spatial Data Missing ⚠",VLOOKUP(J52,'G-3 Multipliers'!$L$3:$N$6,2,FALSE)))</f>
        <v/>
      </c>
      <c r="L52" s="524" t="str">
        <f>IF(J52="","",IF(VLOOKUP(J52,'G-3 Multipliers'!$L$3:$N$6,3,FALSE)=0,"Spatial Data Missing ⚠",VLOOKUP(J52,'G-3 Multipliers'!$L$3:$N$6,3,FALSE)))</f>
        <v/>
      </c>
      <c r="M52" s="506" t="str">
        <f>IF(D52="","",VLOOKUP(D52,'G-6 Hedgerow Data'!$B$1:$AH$15,33,FALSE))</f>
        <v/>
      </c>
      <c r="N52" s="513" t="str">
        <f t="shared" si="2"/>
        <v/>
      </c>
      <c r="O52" s="40"/>
      <c r="P52" s="145"/>
      <c r="Q52" s="157"/>
      <c r="R52" s="507" t="str">
        <f t="shared" si="3"/>
        <v/>
      </c>
      <c r="S52" s="507" t="str">
        <f t="shared" si="4"/>
        <v/>
      </c>
      <c r="T52" s="511" t="str">
        <f t="shared" si="5"/>
        <v/>
      </c>
      <c r="U52" s="515" t="str">
        <f t="shared" si="6"/>
        <v/>
      </c>
      <c r="V52" s="151"/>
      <c r="W52" s="152"/>
      <c r="AB52" s="31" t="str">
        <f>IFERROR(INDEX('G-6 Hedgerow Data'!$BJ$3:$BJ$15,MATCH(D52,'G-6 Hedgerow Data'!$B$3:$B$15,0)),"")</f>
        <v/>
      </c>
      <c r="AE52" s="156" t="str">
        <f t="shared" si="0"/>
        <v/>
      </c>
      <c r="AF52" s="156" t="str">
        <f t="shared" si="1"/>
        <v/>
      </c>
      <c r="AH52" s="156">
        <v>43</v>
      </c>
      <c r="AJ52" s="156" t="str">
        <f t="array" ref="AJ52">IFERROR(INDEX($AH$10:$AH$258, MATCH(0, IF(TRUE=$AE$10:$AE$258, COUNTIF($AJ$9:$AJ51, $AH$10:$AH$258), ""), 0)),"")</f>
        <v/>
      </c>
      <c r="AK52" s="156" t="str">
        <f t="array" ref="AK52">IFERROR(INDEX($AH$10:$AH$258, MATCH(0, IF(TRUE=$AF$10:$AF$258, COUNTIF($AK$9:$AK51, $AH$10:$AH$258), ""), 0)),"")</f>
        <v/>
      </c>
    </row>
    <row r="53" spans="2:37" ht="14" x14ac:dyDescent="0.3">
      <c r="B53" s="141">
        <v>44</v>
      </c>
      <c r="C53" s="203"/>
      <c r="D53" s="203"/>
      <c r="E53" s="153"/>
      <c r="F53" s="498" t="str">
        <f>IF(D53="","",VLOOKUP(D53,'G-6 Hedgerow Data'!$B$2:$AG$15,2,FALSE))</f>
        <v/>
      </c>
      <c r="G53" s="499" t="str">
        <f>IF(D53="","",VLOOKUP(D53,'G-6 Hedgerow Data'!$B$2:$AG$15,3,FALSE))</f>
        <v/>
      </c>
      <c r="H53" s="145"/>
      <c r="I53" s="499" t="str">
        <f>IFERROR(IF(AND(F53="V.Low",OR(H53="Good",H53="Moderate")),"Error ▲",VLOOKUP(H53,'G-1 All Habitats'!$Z$2:$AA$9,2,FALSE)),"")</f>
        <v/>
      </c>
      <c r="J53" s="154"/>
      <c r="K53" s="520" t="str">
        <f>IF(J53="","",IF(VLOOKUP(J53,'G-3 Multipliers'!$L$3:$N$6,2,FALSE)=0,"Spatial Data Missing ⚠",VLOOKUP(J53,'G-3 Multipliers'!$L$3:$N$6,2,FALSE)))</f>
        <v/>
      </c>
      <c r="L53" s="524" t="str">
        <f>IF(J53="","",IF(VLOOKUP(J53,'G-3 Multipliers'!$L$3:$N$6,3,FALSE)=0,"Spatial Data Missing ⚠",VLOOKUP(J53,'G-3 Multipliers'!$L$3:$N$6,3,FALSE)))</f>
        <v/>
      </c>
      <c r="M53" s="506" t="str">
        <f>IF(D53="","",VLOOKUP(D53,'G-6 Hedgerow Data'!$B$1:$AH$15,33,FALSE))</f>
        <v/>
      </c>
      <c r="N53" s="513" t="str">
        <f t="shared" si="2"/>
        <v/>
      </c>
      <c r="O53" s="40"/>
      <c r="P53" s="145"/>
      <c r="Q53" s="157"/>
      <c r="R53" s="507" t="str">
        <f t="shared" si="3"/>
        <v/>
      </c>
      <c r="S53" s="507" t="str">
        <f t="shared" si="4"/>
        <v/>
      </c>
      <c r="T53" s="511" t="str">
        <f t="shared" si="5"/>
        <v/>
      </c>
      <c r="U53" s="515" t="str">
        <f t="shared" si="6"/>
        <v/>
      </c>
      <c r="V53" s="151"/>
      <c r="W53" s="152"/>
      <c r="AB53" s="31" t="str">
        <f>IFERROR(INDEX('G-6 Hedgerow Data'!$BJ$3:$BJ$15,MATCH(D53,'G-6 Hedgerow Data'!$B$3:$B$15,0)),"")</f>
        <v/>
      </c>
      <c r="AE53" s="156" t="str">
        <f t="shared" si="0"/>
        <v/>
      </c>
      <c r="AF53" s="156" t="str">
        <f t="shared" si="1"/>
        <v/>
      </c>
      <c r="AH53" s="156">
        <v>44</v>
      </c>
      <c r="AJ53" s="156" t="str">
        <f t="array" ref="AJ53">IFERROR(INDEX($AH$10:$AH$258, MATCH(0, IF(TRUE=$AE$10:$AE$258, COUNTIF($AJ$9:$AJ52, $AH$10:$AH$258), ""), 0)),"")</f>
        <v/>
      </c>
      <c r="AK53" s="156" t="str">
        <f t="array" ref="AK53">IFERROR(INDEX($AH$10:$AH$258, MATCH(0, IF(TRUE=$AF$10:$AF$258, COUNTIF($AK$9:$AK52, $AH$10:$AH$258), ""), 0)),"")</f>
        <v/>
      </c>
    </row>
    <row r="54" spans="2:37" ht="14" x14ac:dyDescent="0.3">
      <c r="B54" s="141">
        <v>45</v>
      </c>
      <c r="C54" s="203"/>
      <c r="D54" s="203"/>
      <c r="E54" s="153"/>
      <c r="F54" s="498" t="str">
        <f>IF(D54="","",VLOOKUP(D54,'G-6 Hedgerow Data'!$B$2:$AG$15,2,FALSE))</f>
        <v/>
      </c>
      <c r="G54" s="499" t="str">
        <f>IF(D54="","",VLOOKUP(D54,'G-6 Hedgerow Data'!$B$2:$AG$15,3,FALSE))</f>
        <v/>
      </c>
      <c r="H54" s="145"/>
      <c r="I54" s="499" t="str">
        <f>IFERROR(IF(AND(F54="V.Low",OR(H54="Good",H54="Moderate")),"Error ▲",VLOOKUP(H54,'G-1 All Habitats'!$Z$2:$AA$9,2,FALSE)),"")</f>
        <v/>
      </c>
      <c r="J54" s="154"/>
      <c r="K54" s="520" t="str">
        <f>IF(J54="","",IF(VLOOKUP(J54,'G-3 Multipliers'!$L$3:$N$6,2,FALSE)=0,"Spatial Data Missing ⚠",VLOOKUP(J54,'G-3 Multipliers'!$L$3:$N$6,2,FALSE)))</f>
        <v/>
      </c>
      <c r="L54" s="524" t="str">
        <f>IF(J54="","",IF(VLOOKUP(J54,'G-3 Multipliers'!$L$3:$N$6,3,FALSE)=0,"Spatial Data Missing ⚠",VLOOKUP(J54,'G-3 Multipliers'!$L$3:$N$6,3,FALSE)))</f>
        <v/>
      </c>
      <c r="M54" s="506" t="str">
        <f>IF(D54="","",VLOOKUP(D54,'G-6 Hedgerow Data'!$B$1:$AH$15,33,FALSE))</f>
        <v/>
      </c>
      <c r="N54" s="513" t="str">
        <f t="shared" si="2"/>
        <v/>
      </c>
      <c r="O54" s="40"/>
      <c r="P54" s="145"/>
      <c r="Q54" s="157"/>
      <c r="R54" s="507" t="str">
        <f t="shared" si="3"/>
        <v/>
      </c>
      <c r="S54" s="507" t="str">
        <f t="shared" si="4"/>
        <v/>
      </c>
      <c r="T54" s="511" t="str">
        <f t="shared" si="5"/>
        <v/>
      </c>
      <c r="U54" s="515" t="str">
        <f t="shared" si="6"/>
        <v/>
      </c>
      <c r="V54" s="151"/>
      <c r="W54" s="152"/>
      <c r="AB54" s="31" t="str">
        <f>IFERROR(INDEX('G-6 Hedgerow Data'!$BJ$3:$BJ$15,MATCH(D54,'G-6 Hedgerow Data'!$B$3:$B$15,0)),"")</f>
        <v/>
      </c>
      <c r="AE54" s="156" t="str">
        <f t="shared" si="0"/>
        <v/>
      </c>
      <c r="AF54" s="156" t="str">
        <f t="shared" si="1"/>
        <v/>
      </c>
      <c r="AH54" s="156">
        <v>45</v>
      </c>
      <c r="AJ54" s="156" t="str">
        <f t="array" ref="AJ54">IFERROR(INDEX($AH$10:$AH$258, MATCH(0, IF(TRUE=$AE$10:$AE$258, COUNTIF($AJ$9:$AJ53, $AH$10:$AH$258), ""), 0)),"")</f>
        <v/>
      </c>
      <c r="AK54" s="156" t="str">
        <f t="array" ref="AK54">IFERROR(INDEX($AH$10:$AH$258, MATCH(0, IF(TRUE=$AF$10:$AF$258, COUNTIF($AK$9:$AK53, $AH$10:$AH$258), ""), 0)),"")</f>
        <v/>
      </c>
    </row>
    <row r="55" spans="2:37" ht="14" x14ac:dyDescent="0.3">
      <c r="B55" s="141">
        <v>46</v>
      </c>
      <c r="C55" s="203"/>
      <c r="D55" s="203"/>
      <c r="E55" s="153"/>
      <c r="F55" s="498" t="str">
        <f>IF(D55="","",VLOOKUP(D55,'G-6 Hedgerow Data'!$B$2:$AG$15,2,FALSE))</f>
        <v/>
      </c>
      <c r="G55" s="499" t="str">
        <f>IF(D55="","",VLOOKUP(D55,'G-6 Hedgerow Data'!$B$2:$AG$15,3,FALSE))</f>
        <v/>
      </c>
      <c r="H55" s="145"/>
      <c r="I55" s="499" t="str">
        <f>IFERROR(IF(AND(F55="V.Low",OR(H55="Good",H55="Moderate")),"Error ▲",VLOOKUP(H55,'G-1 All Habitats'!$Z$2:$AA$9,2,FALSE)),"")</f>
        <v/>
      </c>
      <c r="J55" s="154"/>
      <c r="K55" s="520" t="str">
        <f>IF(J55="","",IF(VLOOKUP(J55,'G-3 Multipliers'!$L$3:$N$6,2,FALSE)=0,"Spatial Data Missing ⚠",VLOOKUP(J55,'G-3 Multipliers'!$L$3:$N$6,2,FALSE)))</f>
        <v/>
      </c>
      <c r="L55" s="524" t="str">
        <f>IF(J55="","",IF(VLOOKUP(J55,'G-3 Multipliers'!$L$3:$N$6,3,FALSE)=0,"Spatial Data Missing ⚠",VLOOKUP(J55,'G-3 Multipliers'!$L$3:$N$6,3,FALSE)))</f>
        <v/>
      </c>
      <c r="M55" s="506" t="str">
        <f>IF(D55="","",VLOOKUP(D55,'G-6 Hedgerow Data'!$B$1:$AH$15,33,FALSE))</f>
        <v/>
      </c>
      <c r="N55" s="513" t="str">
        <f t="shared" si="2"/>
        <v/>
      </c>
      <c r="O55" s="40"/>
      <c r="P55" s="145"/>
      <c r="Q55" s="157"/>
      <c r="R55" s="507" t="str">
        <f t="shared" si="3"/>
        <v/>
      </c>
      <c r="S55" s="507" t="str">
        <f t="shared" si="4"/>
        <v/>
      </c>
      <c r="T55" s="511" t="str">
        <f t="shared" si="5"/>
        <v/>
      </c>
      <c r="U55" s="515" t="str">
        <f t="shared" si="6"/>
        <v/>
      </c>
      <c r="V55" s="151"/>
      <c r="W55" s="152"/>
      <c r="AB55" s="31" t="str">
        <f>IFERROR(INDEX('G-6 Hedgerow Data'!$BJ$3:$BJ$15,MATCH(D55,'G-6 Hedgerow Data'!$B$3:$B$15,0)),"")</f>
        <v/>
      </c>
      <c r="AE55" s="156" t="str">
        <f t="shared" si="0"/>
        <v/>
      </c>
      <c r="AF55" s="156" t="str">
        <f t="shared" si="1"/>
        <v/>
      </c>
      <c r="AH55" s="156">
        <v>46</v>
      </c>
      <c r="AJ55" s="156" t="str">
        <f t="array" ref="AJ55">IFERROR(INDEX($AH$10:$AH$258, MATCH(0, IF(TRUE=$AE$10:$AE$258, COUNTIF($AJ$9:$AJ54, $AH$10:$AH$258), ""), 0)),"")</f>
        <v/>
      </c>
      <c r="AK55" s="156" t="str">
        <f t="array" ref="AK55">IFERROR(INDEX($AH$10:$AH$258, MATCH(0, IF(TRUE=$AF$10:$AF$258, COUNTIF($AK$9:$AK54, $AH$10:$AH$258), ""), 0)),"")</f>
        <v/>
      </c>
    </row>
    <row r="56" spans="2:37" ht="14" x14ac:dyDescent="0.3">
      <c r="B56" s="141">
        <v>47</v>
      </c>
      <c r="C56" s="203"/>
      <c r="D56" s="203"/>
      <c r="E56" s="153"/>
      <c r="F56" s="498" t="str">
        <f>IF(D56="","",VLOOKUP(D56,'G-6 Hedgerow Data'!$B$2:$AG$15,2,FALSE))</f>
        <v/>
      </c>
      <c r="G56" s="499" t="str">
        <f>IF(D56="","",VLOOKUP(D56,'G-6 Hedgerow Data'!$B$2:$AG$15,3,FALSE))</f>
        <v/>
      </c>
      <c r="H56" s="145"/>
      <c r="I56" s="499" t="str">
        <f>IFERROR(IF(AND(F56="V.Low",OR(H56="Good",H56="Moderate")),"Error ▲",VLOOKUP(H56,'G-1 All Habitats'!$Z$2:$AA$9,2,FALSE)),"")</f>
        <v/>
      </c>
      <c r="J56" s="154"/>
      <c r="K56" s="520" t="str">
        <f>IF(J56="","",IF(VLOOKUP(J56,'G-3 Multipliers'!$L$3:$N$6,2,FALSE)=0,"Spatial Data Missing ⚠",VLOOKUP(J56,'G-3 Multipliers'!$L$3:$N$6,2,FALSE)))</f>
        <v/>
      </c>
      <c r="L56" s="524" t="str">
        <f>IF(J56="","",IF(VLOOKUP(J56,'G-3 Multipliers'!$L$3:$N$6,3,FALSE)=0,"Spatial Data Missing ⚠",VLOOKUP(J56,'G-3 Multipliers'!$L$3:$N$6,3,FALSE)))</f>
        <v/>
      </c>
      <c r="M56" s="506" t="str">
        <f>IF(D56="","",VLOOKUP(D56,'G-6 Hedgerow Data'!$B$1:$AH$15,33,FALSE))</f>
        <v/>
      </c>
      <c r="N56" s="513" t="str">
        <f t="shared" si="2"/>
        <v/>
      </c>
      <c r="O56" s="40"/>
      <c r="P56" s="145"/>
      <c r="Q56" s="157"/>
      <c r="R56" s="507" t="str">
        <f t="shared" si="3"/>
        <v/>
      </c>
      <c r="S56" s="507" t="str">
        <f t="shared" si="4"/>
        <v/>
      </c>
      <c r="T56" s="511" t="str">
        <f t="shared" si="5"/>
        <v/>
      </c>
      <c r="U56" s="515" t="str">
        <f t="shared" si="6"/>
        <v/>
      </c>
      <c r="V56" s="151"/>
      <c r="W56" s="152"/>
      <c r="AB56" s="31" t="str">
        <f>IFERROR(INDEX('G-6 Hedgerow Data'!$BJ$3:$BJ$15,MATCH(D56,'G-6 Hedgerow Data'!$B$3:$B$15,0)),"")</f>
        <v/>
      </c>
      <c r="AE56" s="156" t="str">
        <f t="shared" si="0"/>
        <v/>
      </c>
      <c r="AF56" s="156" t="str">
        <f t="shared" si="1"/>
        <v/>
      </c>
      <c r="AH56" s="156">
        <v>47</v>
      </c>
      <c r="AJ56" s="156" t="str">
        <f t="array" ref="AJ56">IFERROR(INDEX($AH$10:$AH$258, MATCH(0, IF(TRUE=$AE$10:$AE$258, COUNTIF($AJ$9:$AJ55, $AH$10:$AH$258), ""), 0)),"")</f>
        <v/>
      </c>
      <c r="AK56" s="156" t="str">
        <f t="array" ref="AK56">IFERROR(INDEX($AH$10:$AH$258, MATCH(0, IF(TRUE=$AF$10:$AF$258, COUNTIF($AK$9:$AK55, $AH$10:$AH$258), ""), 0)),"")</f>
        <v/>
      </c>
    </row>
    <row r="57" spans="2:37" ht="14" x14ac:dyDescent="0.3">
      <c r="B57" s="141">
        <v>48</v>
      </c>
      <c r="C57" s="203"/>
      <c r="D57" s="203"/>
      <c r="E57" s="153"/>
      <c r="F57" s="498" t="str">
        <f>IF(D57="","",VLOOKUP(D57,'G-6 Hedgerow Data'!$B$2:$AG$15,2,FALSE))</f>
        <v/>
      </c>
      <c r="G57" s="499" t="str">
        <f>IF(D57="","",VLOOKUP(D57,'G-6 Hedgerow Data'!$B$2:$AG$15,3,FALSE))</f>
        <v/>
      </c>
      <c r="H57" s="145"/>
      <c r="I57" s="499" t="str">
        <f>IFERROR(IF(AND(F57="V.Low",OR(H57="Good",H57="Moderate")),"Error ▲",VLOOKUP(H57,'G-1 All Habitats'!$Z$2:$AA$9,2,FALSE)),"")</f>
        <v/>
      </c>
      <c r="J57" s="154"/>
      <c r="K57" s="520" t="str">
        <f>IF(J57="","",IF(VLOOKUP(J57,'G-3 Multipliers'!$L$3:$N$6,2,FALSE)=0,"Spatial Data Missing ⚠",VLOOKUP(J57,'G-3 Multipliers'!$L$3:$N$6,2,FALSE)))</f>
        <v/>
      </c>
      <c r="L57" s="524" t="str">
        <f>IF(J57="","",IF(VLOOKUP(J57,'G-3 Multipliers'!$L$3:$N$6,3,FALSE)=0,"Spatial Data Missing ⚠",VLOOKUP(J57,'G-3 Multipliers'!$L$3:$N$6,3,FALSE)))</f>
        <v/>
      </c>
      <c r="M57" s="506" t="str">
        <f>IF(D57="","",VLOOKUP(D57,'G-6 Hedgerow Data'!$B$1:$AH$15,33,FALSE))</f>
        <v/>
      </c>
      <c r="N57" s="513" t="str">
        <f t="shared" si="2"/>
        <v/>
      </c>
      <c r="O57" s="40"/>
      <c r="P57" s="145"/>
      <c r="Q57" s="157"/>
      <c r="R57" s="507" t="str">
        <f t="shared" si="3"/>
        <v/>
      </c>
      <c r="S57" s="507" t="str">
        <f t="shared" si="4"/>
        <v/>
      </c>
      <c r="T57" s="511" t="str">
        <f t="shared" si="5"/>
        <v/>
      </c>
      <c r="U57" s="515" t="str">
        <f t="shared" si="6"/>
        <v/>
      </c>
      <c r="V57" s="151"/>
      <c r="W57" s="152"/>
      <c r="AB57" s="31" t="str">
        <f>IFERROR(INDEX('G-6 Hedgerow Data'!$BJ$3:$BJ$15,MATCH(D57,'G-6 Hedgerow Data'!$B$3:$B$15,0)),"")</f>
        <v/>
      </c>
      <c r="AE57" s="156" t="str">
        <f t="shared" si="0"/>
        <v/>
      </c>
      <c r="AF57" s="156" t="str">
        <f t="shared" si="1"/>
        <v/>
      </c>
      <c r="AH57" s="156">
        <v>48</v>
      </c>
      <c r="AJ57" s="156" t="str">
        <f t="array" ref="AJ57">IFERROR(INDEX($AH$10:$AH$258, MATCH(0, IF(TRUE=$AE$10:$AE$258, COUNTIF($AJ$9:$AJ56, $AH$10:$AH$258), ""), 0)),"")</f>
        <v/>
      </c>
      <c r="AK57" s="156" t="str">
        <f t="array" ref="AK57">IFERROR(INDEX($AH$10:$AH$258, MATCH(0, IF(TRUE=$AF$10:$AF$258, COUNTIF($AK$9:$AK56, $AH$10:$AH$258), ""), 0)),"")</f>
        <v/>
      </c>
    </row>
    <row r="58" spans="2:37" ht="14" x14ac:dyDescent="0.3">
      <c r="B58" s="141">
        <v>49</v>
      </c>
      <c r="C58" s="203"/>
      <c r="D58" s="203"/>
      <c r="E58" s="153"/>
      <c r="F58" s="498" t="str">
        <f>IF(D58="","",VLOOKUP(D58,'G-6 Hedgerow Data'!$B$2:$AG$15,2,FALSE))</f>
        <v/>
      </c>
      <c r="G58" s="499" t="str">
        <f>IF(D58="","",VLOOKUP(D58,'G-6 Hedgerow Data'!$B$2:$AG$15,3,FALSE))</f>
        <v/>
      </c>
      <c r="H58" s="145"/>
      <c r="I58" s="499" t="str">
        <f>IFERROR(IF(AND(F58="V.Low",OR(H58="Good",H58="Moderate")),"Error ▲",VLOOKUP(H58,'G-1 All Habitats'!$Z$2:$AA$9,2,FALSE)),"")</f>
        <v/>
      </c>
      <c r="J58" s="154"/>
      <c r="K58" s="520" t="str">
        <f>IF(J58="","",IF(VLOOKUP(J58,'G-3 Multipliers'!$L$3:$N$6,2,FALSE)=0,"Spatial Data Missing ⚠",VLOOKUP(J58,'G-3 Multipliers'!$L$3:$N$6,2,FALSE)))</f>
        <v/>
      </c>
      <c r="L58" s="524" t="str">
        <f>IF(J58="","",IF(VLOOKUP(J58,'G-3 Multipliers'!$L$3:$N$6,3,FALSE)=0,"Spatial Data Missing ⚠",VLOOKUP(J58,'G-3 Multipliers'!$L$3:$N$6,3,FALSE)))</f>
        <v/>
      </c>
      <c r="M58" s="506" t="str">
        <f>IF(D58="","",VLOOKUP(D58,'G-6 Hedgerow Data'!$B$1:$AH$15,33,FALSE))</f>
        <v/>
      </c>
      <c r="N58" s="513" t="str">
        <f t="shared" si="2"/>
        <v/>
      </c>
      <c r="O58" s="40"/>
      <c r="P58" s="145"/>
      <c r="Q58" s="157"/>
      <c r="R58" s="507" t="str">
        <f t="shared" si="3"/>
        <v/>
      </c>
      <c r="S58" s="507" t="str">
        <f t="shared" si="4"/>
        <v/>
      </c>
      <c r="T58" s="511" t="str">
        <f t="shared" si="5"/>
        <v/>
      </c>
      <c r="U58" s="515" t="str">
        <f t="shared" si="6"/>
        <v/>
      </c>
      <c r="V58" s="151"/>
      <c r="W58" s="152"/>
      <c r="AB58" s="31" t="str">
        <f>IFERROR(INDEX('G-6 Hedgerow Data'!$BJ$3:$BJ$15,MATCH(D58,'G-6 Hedgerow Data'!$B$3:$B$15,0)),"")</f>
        <v/>
      </c>
      <c r="AE58" s="156" t="str">
        <f t="shared" si="0"/>
        <v/>
      </c>
      <c r="AF58" s="156" t="str">
        <f t="shared" si="1"/>
        <v/>
      </c>
      <c r="AH58" s="156">
        <v>49</v>
      </c>
      <c r="AJ58" s="156" t="str">
        <f t="array" ref="AJ58">IFERROR(INDEX($AH$10:$AH$258, MATCH(0, IF(TRUE=$AE$10:$AE$258, COUNTIF($AJ$9:$AJ57, $AH$10:$AH$258), ""), 0)),"")</f>
        <v/>
      </c>
      <c r="AK58" s="156" t="str">
        <f t="array" ref="AK58">IFERROR(INDEX($AH$10:$AH$258, MATCH(0, IF(TRUE=$AF$10:$AF$258, COUNTIF($AK$9:$AK57, $AH$10:$AH$258), ""), 0)),"")</f>
        <v/>
      </c>
    </row>
    <row r="59" spans="2:37" ht="14" x14ac:dyDescent="0.3">
      <c r="B59" s="141">
        <v>50</v>
      </c>
      <c r="C59" s="203"/>
      <c r="D59" s="203"/>
      <c r="E59" s="153"/>
      <c r="F59" s="498" t="str">
        <f>IF(D59="","",VLOOKUP(D59,'G-6 Hedgerow Data'!$B$2:$AG$15,2,FALSE))</f>
        <v/>
      </c>
      <c r="G59" s="499" t="str">
        <f>IF(D59="","",VLOOKUP(D59,'G-6 Hedgerow Data'!$B$2:$AG$15,3,FALSE))</f>
        <v/>
      </c>
      <c r="H59" s="145"/>
      <c r="I59" s="499" t="str">
        <f>IFERROR(IF(AND(F59="V.Low",OR(H59="Good",H59="Moderate")),"Error ▲",VLOOKUP(H59,'G-1 All Habitats'!$Z$2:$AA$9,2,FALSE)),"")</f>
        <v/>
      </c>
      <c r="J59" s="154"/>
      <c r="K59" s="520" t="str">
        <f>IF(J59="","",IF(VLOOKUP(J59,'G-3 Multipliers'!$L$3:$N$6,2,FALSE)=0,"Spatial Data Missing ⚠",VLOOKUP(J59,'G-3 Multipliers'!$L$3:$N$6,2,FALSE)))</f>
        <v/>
      </c>
      <c r="L59" s="524" t="str">
        <f>IF(J59="","",IF(VLOOKUP(J59,'G-3 Multipliers'!$L$3:$N$6,3,FALSE)=0,"Spatial Data Missing ⚠",VLOOKUP(J59,'G-3 Multipliers'!$L$3:$N$6,3,FALSE)))</f>
        <v/>
      </c>
      <c r="M59" s="506" t="str">
        <f>IF(D59="","",VLOOKUP(D59,'G-6 Hedgerow Data'!$B$1:$AH$15,33,FALSE))</f>
        <v/>
      </c>
      <c r="N59" s="513" t="str">
        <f t="shared" si="2"/>
        <v/>
      </c>
      <c r="O59" s="40"/>
      <c r="P59" s="145"/>
      <c r="Q59" s="157"/>
      <c r="R59" s="507" t="str">
        <f t="shared" si="3"/>
        <v/>
      </c>
      <c r="S59" s="507" t="str">
        <f t="shared" si="4"/>
        <v/>
      </c>
      <c r="T59" s="511" t="str">
        <f t="shared" si="5"/>
        <v/>
      </c>
      <c r="U59" s="515" t="str">
        <f t="shared" si="6"/>
        <v/>
      </c>
      <c r="V59" s="151"/>
      <c r="W59" s="152"/>
      <c r="AB59" s="31" t="str">
        <f>IFERROR(INDEX('G-6 Hedgerow Data'!$BJ$3:$BJ$15,MATCH(D59,'G-6 Hedgerow Data'!$B$3:$B$15,0)),"")</f>
        <v/>
      </c>
      <c r="AE59" s="156" t="str">
        <f t="shared" si="0"/>
        <v/>
      </c>
      <c r="AF59" s="156" t="str">
        <f t="shared" si="1"/>
        <v/>
      </c>
      <c r="AH59" s="156">
        <v>50</v>
      </c>
      <c r="AJ59" s="156" t="str">
        <f t="array" ref="AJ59">IFERROR(INDEX($AH$10:$AH$258, MATCH(0, IF(TRUE=$AE$10:$AE$258, COUNTIF($AJ$9:$AJ58, $AH$10:$AH$258), ""), 0)),"")</f>
        <v/>
      </c>
      <c r="AK59" s="156" t="str">
        <f t="array" ref="AK59">IFERROR(INDEX($AH$10:$AH$258, MATCH(0, IF(TRUE=$AF$10:$AF$258, COUNTIF($AK$9:$AK58, $AH$10:$AH$258), ""), 0)),"")</f>
        <v/>
      </c>
    </row>
    <row r="60" spans="2:37" ht="14" x14ac:dyDescent="0.3">
      <c r="B60" s="141">
        <v>51</v>
      </c>
      <c r="C60" s="203"/>
      <c r="D60" s="203"/>
      <c r="E60" s="153"/>
      <c r="F60" s="498" t="str">
        <f>IF(D60="","",VLOOKUP(D60,'G-6 Hedgerow Data'!$B$2:$AG$15,2,FALSE))</f>
        <v/>
      </c>
      <c r="G60" s="499" t="str">
        <f>IF(D60="","",VLOOKUP(D60,'G-6 Hedgerow Data'!$B$2:$AG$15,3,FALSE))</f>
        <v/>
      </c>
      <c r="H60" s="145"/>
      <c r="I60" s="499" t="str">
        <f>IFERROR(IF(AND(F60="V.Low",OR(H60="Good",H60="Moderate")),"Error ▲",VLOOKUP(H60,'G-1 All Habitats'!$Z$2:$AA$9,2,FALSE)),"")</f>
        <v/>
      </c>
      <c r="J60" s="154"/>
      <c r="K60" s="520" t="str">
        <f>IF(J60="","",IF(VLOOKUP(J60,'G-3 Multipliers'!$L$3:$N$6,2,FALSE)=0,"Spatial Data Missing ⚠",VLOOKUP(J60,'G-3 Multipliers'!$L$3:$N$6,2,FALSE)))</f>
        <v/>
      </c>
      <c r="L60" s="524" t="str">
        <f>IF(J60="","",IF(VLOOKUP(J60,'G-3 Multipliers'!$L$3:$N$6,3,FALSE)=0,"Spatial Data Missing ⚠",VLOOKUP(J60,'G-3 Multipliers'!$L$3:$N$6,3,FALSE)))</f>
        <v/>
      </c>
      <c r="M60" s="506" t="str">
        <f>IF(D60="","",VLOOKUP(D60,'G-6 Hedgerow Data'!$B$1:$AH$15,33,FALSE))</f>
        <v/>
      </c>
      <c r="N60" s="513" t="str">
        <f t="shared" si="2"/>
        <v/>
      </c>
      <c r="O60" s="40"/>
      <c r="P60" s="145"/>
      <c r="Q60" s="157"/>
      <c r="R60" s="507" t="str">
        <f t="shared" si="3"/>
        <v/>
      </c>
      <c r="S60" s="507" t="str">
        <f t="shared" si="4"/>
        <v/>
      </c>
      <c r="T60" s="511" t="str">
        <f t="shared" si="5"/>
        <v/>
      </c>
      <c r="U60" s="515" t="str">
        <f t="shared" si="6"/>
        <v/>
      </c>
      <c r="V60" s="151"/>
      <c r="W60" s="152"/>
      <c r="AB60" s="31" t="str">
        <f>IFERROR(INDEX('G-6 Hedgerow Data'!$BJ$3:$BJ$15,MATCH(D60,'G-6 Hedgerow Data'!$B$3:$B$15,0)),"")</f>
        <v/>
      </c>
      <c r="AE60" s="156" t="str">
        <f t="shared" si="0"/>
        <v/>
      </c>
      <c r="AF60" s="156" t="str">
        <f t="shared" si="1"/>
        <v/>
      </c>
      <c r="AH60" s="156">
        <v>51</v>
      </c>
      <c r="AJ60" s="156" t="str">
        <f t="array" ref="AJ60">IFERROR(INDEX($AH$10:$AH$258, MATCH(0, IF(TRUE=$AE$10:$AE$258, COUNTIF($AJ$9:$AJ59, $AH$10:$AH$258), ""), 0)),"")</f>
        <v/>
      </c>
      <c r="AK60" s="156" t="str">
        <f t="array" ref="AK60">IFERROR(INDEX($AH$10:$AH$258, MATCH(0, IF(TRUE=$AF$10:$AF$258, COUNTIF($AK$9:$AK59, $AH$10:$AH$258), ""), 0)),"")</f>
        <v/>
      </c>
    </row>
    <row r="61" spans="2:37" ht="14" x14ac:dyDescent="0.3">
      <c r="B61" s="141">
        <v>52</v>
      </c>
      <c r="C61" s="203"/>
      <c r="D61" s="203"/>
      <c r="E61" s="153"/>
      <c r="F61" s="498" t="str">
        <f>IF(D61="","",VLOOKUP(D61,'G-6 Hedgerow Data'!$B$2:$AG$15,2,FALSE))</f>
        <v/>
      </c>
      <c r="G61" s="499" t="str">
        <f>IF(D61="","",VLOOKUP(D61,'G-6 Hedgerow Data'!$B$2:$AG$15,3,FALSE))</f>
        <v/>
      </c>
      <c r="H61" s="145"/>
      <c r="I61" s="499" t="str">
        <f>IFERROR(IF(AND(F61="V.Low",OR(H61="Good",H61="Moderate")),"Error ▲",VLOOKUP(H61,'G-1 All Habitats'!$Z$2:$AA$9,2,FALSE)),"")</f>
        <v/>
      </c>
      <c r="J61" s="154"/>
      <c r="K61" s="520" t="str">
        <f>IF(J61="","",IF(VLOOKUP(J61,'G-3 Multipliers'!$L$3:$N$6,2,FALSE)=0,"Spatial Data Missing ⚠",VLOOKUP(J61,'G-3 Multipliers'!$L$3:$N$6,2,FALSE)))</f>
        <v/>
      </c>
      <c r="L61" s="524" t="str">
        <f>IF(J61="","",IF(VLOOKUP(J61,'G-3 Multipliers'!$L$3:$N$6,3,FALSE)=0,"Spatial Data Missing ⚠",VLOOKUP(J61,'G-3 Multipliers'!$L$3:$N$6,3,FALSE)))</f>
        <v/>
      </c>
      <c r="M61" s="506" t="str">
        <f>IF(D61="","",VLOOKUP(D61,'G-6 Hedgerow Data'!$B$1:$AH$15,33,FALSE))</f>
        <v/>
      </c>
      <c r="N61" s="513" t="str">
        <f t="shared" si="2"/>
        <v/>
      </c>
      <c r="O61" s="40"/>
      <c r="P61" s="145"/>
      <c r="Q61" s="157"/>
      <c r="R61" s="507" t="str">
        <f t="shared" si="3"/>
        <v/>
      </c>
      <c r="S61" s="507" t="str">
        <f t="shared" si="4"/>
        <v/>
      </c>
      <c r="T61" s="511" t="str">
        <f t="shared" si="5"/>
        <v/>
      </c>
      <c r="U61" s="515" t="str">
        <f t="shared" si="6"/>
        <v/>
      </c>
      <c r="V61" s="151"/>
      <c r="W61" s="152"/>
      <c r="AB61" s="31" t="str">
        <f>IFERROR(INDEX('G-6 Hedgerow Data'!$BJ$3:$BJ$15,MATCH(D61,'G-6 Hedgerow Data'!$B$3:$B$15,0)),"")</f>
        <v/>
      </c>
      <c r="AE61" s="156" t="str">
        <f t="shared" si="0"/>
        <v/>
      </c>
      <c r="AF61" s="156" t="str">
        <f t="shared" si="1"/>
        <v/>
      </c>
      <c r="AH61" s="156">
        <v>52</v>
      </c>
      <c r="AJ61" s="156" t="str">
        <f t="array" ref="AJ61">IFERROR(INDEX($AH$10:$AH$258, MATCH(0, IF(TRUE=$AE$10:$AE$258, COUNTIF($AJ$9:$AJ60, $AH$10:$AH$258), ""), 0)),"")</f>
        <v/>
      </c>
      <c r="AK61" s="156" t="str">
        <f t="array" ref="AK61">IFERROR(INDEX($AH$10:$AH$258, MATCH(0, IF(TRUE=$AF$10:$AF$258, COUNTIF($AK$9:$AK60, $AH$10:$AH$258), ""), 0)),"")</f>
        <v/>
      </c>
    </row>
    <row r="62" spans="2:37" ht="14" x14ac:dyDescent="0.3">
      <c r="B62" s="141">
        <v>53</v>
      </c>
      <c r="C62" s="203"/>
      <c r="D62" s="203"/>
      <c r="E62" s="153"/>
      <c r="F62" s="498" t="str">
        <f>IF(D62="","",VLOOKUP(D62,'G-6 Hedgerow Data'!$B$2:$AG$15,2,FALSE))</f>
        <v/>
      </c>
      <c r="G62" s="499" t="str">
        <f>IF(D62="","",VLOOKUP(D62,'G-6 Hedgerow Data'!$B$2:$AG$15,3,FALSE))</f>
        <v/>
      </c>
      <c r="H62" s="145"/>
      <c r="I62" s="499" t="str">
        <f>IFERROR(IF(AND(F62="V.Low",OR(H62="Good",H62="Moderate")),"Error ▲",VLOOKUP(H62,'G-1 All Habitats'!$Z$2:$AA$9,2,FALSE)),"")</f>
        <v/>
      </c>
      <c r="J62" s="154"/>
      <c r="K62" s="520" t="str">
        <f>IF(J62="","",IF(VLOOKUP(J62,'G-3 Multipliers'!$L$3:$N$6,2,FALSE)=0,"Spatial Data Missing ⚠",VLOOKUP(J62,'G-3 Multipliers'!$L$3:$N$6,2,FALSE)))</f>
        <v/>
      </c>
      <c r="L62" s="524" t="str">
        <f>IF(J62="","",IF(VLOOKUP(J62,'G-3 Multipliers'!$L$3:$N$6,3,FALSE)=0,"Spatial Data Missing ⚠",VLOOKUP(J62,'G-3 Multipliers'!$L$3:$N$6,3,FALSE)))</f>
        <v/>
      </c>
      <c r="M62" s="506" t="str">
        <f>IF(D62="","",VLOOKUP(D62,'G-6 Hedgerow Data'!$B$1:$AH$15,33,FALSE))</f>
        <v/>
      </c>
      <c r="N62" s="513" t="str">
        <f t="shared" si="2"/>
        <v/>
      </c>
      <c r="O62" s="40"/>
      <c r="P62" s="145"/>
      <c r="Q62" s="157"/>
      <c r="R62" s="507" t="str">
        <f t="shared" si="3"/>
        <v/>
      </c>
      <c r="S62" s="507" t="str">
        <f t="shared" si="4"/>
        <v/>
      </c>
      <c r="T62" s="511" t="str">
        <f t="shared" si="5"/>
        <v/>
      </c>
      <c r="U62" s="515" t="str">
        <f t="shared" si="6"/>
        <v/>
      </c>
      <c r="V62" s="151"/>
      <c r="W62" s="152"/>
      <c r="AB62" s="31" t="str">
        <f>IFERROR(INDEX('G-6 Hedgerow Data'!$BJ$3:$BJ$15,MATCH(D62,'G-6 Hedgerow Data'!$B$3:$B$15,0)),"")</f>
        <v/>
      </c>
      <c r="AE62" s="156" t="str">
        <f t="shared" si="0"/>
        <v/>
      </c>
      <c r="AF62" s="156" t="str">
        <f t="shared" si="1"/>
        <v/>
      </c>
      <c r="AH62" s="156">
        <v>53</v>
      </c>
      <c r="AJ62" s="156" t="str">
        <f t="array" ref="AJ62">IFERROR(INDEX($AH$10:$AH$258, MATCH(0, IF(TRUE=$AE$10:$AE$258, COUNTIF($AJ$9:$AJ61, $AH$10:$AH$258), ""), 0)),"")</f>
        <v/>
      </c>
      <c r="AK62" s="156" t="str">
        <f t="array" ref="AK62">IFERROR(INDEX($AH$10:$AH$258, MATCH(0, IF(TRUE=$AF$10:$AF$258, COUNTIF($AK$9:$AK61, $AH$10:$AH$258), ""), 0)),"")</f>
        <v/>
      </c>
    </row>
    <row r="63" spans="2:37" ht="14" x14ac:dyDescent="0.3">
      <c r="B63" s="141">
        <v>54</v>
      </c>
      <c r="C63" s="203"/>
      <c r="D63" s="203"/>
      <c r="E63" s="153"/>
      <c r="F63" s="498" t="str">
        <f>IF(D63="","",VLOOKUP(D63,'G-6 Hedgerow Data'!$B$2:$AG$15,2,FALSE))</f>
        <v/>
      </c>
      <c r="G63" s="499" t="str">
        <f>IF(D63="","",VLOOKUP(D63,'G-6 Hedgerow Data'!$B$2:$AG$15,3,FALSE))</f>
        <v/>
      </c>
      <c r="H63" s="145"/>
      <c r="I63" s="499" t="str">
        <f>IFERROR(IF(AND(F63="V.Low",OR(H63="Good",H63="Moderate")),"Error ▲",VLOOKUP(H63,'G-1 All Habitats'!$Z$2:$AA$9,2,FALSE)),"")</f>
        <v/>
      </c>
      <c r="J63" s="154"/>
      <c r="K63" s="520" t="str">
        <f>IF(J63="","",IF(VLOOKUP(J63,'G-3 Multipliers'!$L$3:$N$6,2,FALSE)=0,"Spatial Data Missing ⚠",VLOOKUP(J63,'G-3 Multipliers'!$L$3:$N$6,2,FALSE)))</f>
        <v/>
      </c>
      <c r="L63" s="524" t="str">
        <f>IF(J63="","",IF(VLOOKUP(J63,'G-3 Multipliers'!$L$3:$N$6,3,FALSE)=0,"Spatial Data Missing ⚠",VLOOKUP(J63,'G-3 Multipliers'!$L$3:$N$6,3,FALSE)))</f>
        <v/>
      </c>
      <c r="M63" s="506" t="str">
        <f>IF(D63="","",VLOOKUP(D63,'G-6 Hedgerow Data'!$B$1:$AH$15,33,FALSE))</f>
        <v/>
      </c>
      <c r="N63" s="513" t="str">
        <f t="shared" si="2"/>
        <v/>
      </c>
      <c r="O63" s="40"/>
      <c r="P63" s="145"/>
      <c r="Q63" s="157"/>
      <c r="R63" s="507" t="str">
        <f t="shared" si="3"/>
        <v/>
      </c>
      <c r="S63" s="507" t="str">
        <f t="shared" si="4"/>
        <v/>
      </c>
      <c r="T63" s="511" t="str">
        <f t="shared" si="5"/>
        <v/>
      </c>
      <c r="U63" s="515" t="str">
        <f t="shared" si="6"/>
        <v/>
      </c>
      <c r="V63" s="151"/>
      <c r="W63" s="152"/>
      <c r="AB63" s="31" t="str">
        <f>IFERROR(INDEX('G-6 Hedgerow Data'!$BJ$3:$BJ$15,MATCH(D63,'G-6 Hedgerow Data'!$B$3:$B$15,0)),"")</f>
        <v/>
      </c>
      <c r="AE63" s="156" t="str">
        <f t="shared" si="0"/>
        <v/>
      </c>
      <c r="AF63" s="156" t="str">
        <f t="shared" si="1"/>
        <v/>
      </c>
      <c r="AH63" s="156">
        <v>54</v>
      </c>
      <c r="AJ63" s="156" t="str">
        <f t="array" ref="AJ63">IFERROR(INDEX($AH$10:$AH$258, MATCH(0, IF(TRUE=$AE$10:$AE$258, COUNTIF($AJ$9:$AJ62, $AH$10:$AH$258), ""), 0)),"")</f>
        <v/>
      </c>
      <c r="AK63" s="156" t="str">
        <f t="array" ref="AK63">IFERROR(INDEX($AH$10:$AH$258, MATCH(0, IF(TRUE=$AF$10:$AF$258, COUNTIF($AK$9:$AK62, $AH$10:$AH$258), ""), 0)),"")</f>
        <v/>
      </c>
    </row>
    <row r="64" spans="2:37" ht="14" x14ac:dyDescent="0.3">
      <c r="B64" s="141">
        <v>55</v>
      </c>
      <c r="C64" s="203"/>
      <c r="D64" s="203"/>
      <c r="E64" s="153"/>
      <c r="F64" s="498" t="str">
        <f>IF(D64="","",VLOOKUP(D64,'G-6 Hedgerow Data'!$B$2:$AG$15,2,FALSE))</f>
        <v/>
      </c>
      <c r="G64" s="499" t="str">
        <f>IF(D64="","",VLOOKUP(D64,'G-6 Hedgerow Data'!$B$2:$AG$15,3,FALSE))</f>
        <v/>
      </c>
      <c r="H64" s="145"/>
      <c r="I64" s="499" t="str">
        <f>IFERROR(IF(AND(F64="V.Low",OR(H64="Good",H64="Moderate")),"Error ▲",VLOOKUP(H64,'G-1 All Habitats'!$Z$2:$AA$9,2,FALSE)),"")</f>
        <v/>
      </c>
      <c r="J64" s="154"/>
      <c r="K64" s="520" t="str">
        <f>IF(J64="","",IF(VLOOKUP(J64,'G-3 Multipliers'!$L$3:$N$6,2,FALSE)=0,"Spatial Data Missing ⚠",VLOOKUP(J64,'G-3 Multipliers'!$L$3:$N$6,2,FALSE)))</f>
        <v/>
      </c>
      <c r="L64" s="524" t="str">
        <f>IF(J64="","",IF(VLOOKUP(J64,'G-3 Multipliers'!$L$3:$N$6,3,FALSE)=0,"Spatial Data Missing ⚠",VLOOKUP(J64,'G-3 Multipliers'!$L$3:$N$6,3,FALSE)))</f>
        <v/>
      </c>
      <c r="M64" s="506" t="str">
        <f>IF(D64="","",VLOOKUP(D64,'G-6 Hedgerow Data'!$B$1:$AH$15,33,FALSE))</f>
        <v/>
      </c>
      <c r="N64" s="513" t="str">
        <f t="shared" si="2"/>
        <v/>
      </c>
      <c r="O64" s="40"/>
      <c r="P64" s="145"/>
      <c r="Q64" s="157"/>
      <c r="R64" s="507" t="str">
        <f t="shared" si="3"/>
        <v/>
      </c>
      <c r="S64" s="507" t="str">
        <f t="shared" si="4"/>
        <v/>
      </c>
      <c r="T64" s="511" t="str">
        <f t="shared" si="5"/>
        <v/>
      </c>
      <c r="U64" s="515" t="str">
        <f t="shared" si="6"/>
        <v/>
      </c>
      <c r="V64" s="151"/>
      <c r="W64" s="152"/>
      <c r="AB64" s="31" t="str">
        <f>IFERROR(INDEX('G-6 Hedgerow Data'!$BJ$3:$BJ$15,MATCH(D64,'G-6 Hedgerow Data'!$B$3:$B$15,0)),"")</f>
        <v/>
      </c>
      <c r="AE64" s="156" t="str">
        <f t="shared" si="0"/>
        <v/>
      </c>
      <c r="AF64" s="156" t="str">
        <f t="shared" si="1"/>
        <v/>
      </c>
      <c r="AH64" s="156">
        <v>55</v>
      </c>
      <c r="AJ64" s="156" t="str">
        <f t="array" ref="AJ64">IFERROR(INDEX($AH$10:$AH$258, MATCH(0, IF(TRUE=$AE$10:$AE$258, COUNTIF($AJ$9:$AJ63, $AH$10:$AH$258), ""), 0)),"")</f>
        <v/>
      </c>
      <c r="AK64" s="156" t="str">
        <f t="array" ref="AK64">IFERROR(INDEX($AH$10:$AH$258, MATCH(0, IF(TRUE=$AF$10:$AF$258, COUNTIF($AK$9:$AK63, $AH$10:$AH$258), ""), 0)),"")</f>
        <v/>
      </c>
    </row>
    <row r="65" spans="2:37" ht="14" x14ac:dyDescent="0.3">
      <c r="B65" s="141">
        <v>56</v>
      </c>
      <c r="C65" s="203"/>
      <c r="D65" s="203"/>
      <c r="E65" s="153"/>
      <c r="F65" s="498" t="str">
        <f>IF(D65="","",VLOOKUP(D65,'G-6 Hedgerow Data'!$B$2:$AG$15,2,FALSE))</f>
        <v/>
      </c>
      <c r="G65" s="499" t="str">
        <f>IF(D65="","",VLOOKUP(D65,'G-6 Hedgerow Data'!$B$2:$AG$15,3,FALSE))</f>
        <v/>
      </c>
      <c r="H65" s="145"/>
      <c r="I65" s="499" t="str">
        <f>IFERROR(IF(AND(F65="V.Low",OR(H65="Good",H65="Moderate")),"Error ▲",VLOOKUP(H65,'G-1 All Habitats'!$Z$2:$AA$9,2,FALSE)),"")</f>
        <v/>
      </c>
      <c r="J65" s="154"/>
      <c r="K65" s="520" t="str">
        <f>IF(J65="","",IF(VLOOKUP(J65,'G-3 Multipliers'!$L$3:$N$6,2,FALSE)=0,"Spatial Data Missing ⚠",VLOOKUP(J65,'G-3 Multipliers'!$L$3:$N$6,2,FALSE)))</f>
        <v/>
      </c>
      <c r="L65" s="524" t="str">
        <f>IF(J65="","",IF(VLOOKUP(J65,'G-3 Multipliers'!$L$3:$N$6,3,FALSE)=0,"Spatial Data Missing ⚠",VLOOKUP(J65,'G-3 Multipliers'!$L$3:$N$6,3,FALSE)))</f>
        <v/>
      </c>
      <c r="M65" s="506" t="str">
        <f>IF(D65="","",VLOOKUP(D65,'G-6 Hedgerow Data'!$B$1:$AH$15,33,FALSE))</f>
        <v/>
      </c>
      <c r="N65" s="513" t="str">
        <f t="shared" si="2"/>
        <v/>
      </c>
      <c r="O65" s="40"/>
      <c r="P65" s="145"/>
      <c r="Q65" s="157"/>
      <c r="R65" s="507" t="str">
        <f t="shared" si="3"/>
        <v/>
      </c>
      <c r="S65" s="507" t="str">
        <f t="shared" si="4"/>
        <v/>
      </c>
      <c r="T65" s="511" t="str">
        <f t="shared" si="5"/>
        <v/>
      </c>
      <c r="U65" s="515" t="str">
        <f t="shared" si="6"/>
        <v/>
      </c>
      <c r="V65" s="151"/>
      <c r="W65" s="152"/>
      <c r="AB65" s="31" t="str">
        <f>IFERROR(INDEX('G-6 Hedgerow Data'!$BJ$3:$BJ$15,MATCH(D65,'G-6 Hedgerow Data'!$B$3:$B$15,0)),"")</f>
        <v/>
      </c>
      <c r="AE65" s="156" t="str">
        <f t="shared" si="0"/>
        <v/>
      </c>
      <c r="AF65" s="156" t="str">
        <f t="shared" si="1"/>
        <v/>
      </c>
      <c r="AH65" s="156">
        <v>56</v>
      </c>
      <c r="AJ65" s="156" t="str">
        <f t="array" ref="AJ65">IFERROR(INDEX($AH$10:$AH$258, MATCH(0, IF(TRUE=$AE$10:$AE$258, COUNTIF($AJ$9:$AJ64, $AH$10:$AH$258), ""), 0)),"")</f>
        <v/>
      </c>
      <c r="AK65" s="156" t="str">
        <f t="array" ref="AK65">IFERROR(INDEX($AH$10:$AH$258, MATCH(0, IF(TRUE=$AF$10:$AF$258, COUNTIF($AK$9:$AK64, $AH$10:$AH$258), ""), 0)),"")</f>
        <v/>
      </c>
    </row>
    <row r="66" spans="2:37" ht="14" x14ac:dyDescent="0.3">
      <c r="B66" s="141">
        <v>57</v>
      </c>
      <c r="C66" s="203"/>
      <c r="D66" s="203"/>
      <c r="E66" s="153"/>
      <c r="F66" s="498" t="str">
        <f>IF(D66="","",VLOOKUP(D66,'G-6 Hedgerow Data'!$B$2:$AG$15,2,FALSE))</f>
        <v/>
      </c>
      <c r="G66" s="499" t="str">
        <f>IF(D66="","",VLOOKUP(D66,'G-6 Hedgerow Data'!$B$2:$AG$15,3,FALSE))</f>
        <v/>
      </c>
      <c r="H66" s="145"/>
      <c r="I66" s="499" t="str">
        <f>IFERROR(IF(AND(F66="V.Low",OR(H66="Good",H66="Moderate")),"Error ▲",VLOOKUP(H66,'G-1 All Habitats'!$Z$2:$AA$9,2,FALSE)),"")</f>
        <v/>
      </c>
      <c r="J66" s="154"/>
      <c r="K66" s="520" t="str">
        <f>IF(J66="","",IF(VLOOKUP(J66,'G-3 Multipliers'!$L$3:$N$6,2,FALSE)=0,"Spatial Data Missing ⚠",VLOOKUP(J66,'G-3 Multipliers'!$L$3:$N$6,2,FALSE)))</f>
        <v/>
      </c>
      <c r="L66" s="524" t="str">
        <f>IF(J66="","",IF(VLOOKUP(J66,'G-3 Multipliers'!$L$3:$N$6,3,FALSE)=0,"Spatial Data Missing ⚠",VLOOKUP(J66,'G-3 Multipliers'!$L$3:$N$6,3,FALSE)))</f>
        <v/>
      </c>
      <c r="M66" s="506" t="str">
        <f>IF(D66="","",VLOOKUP(D66,'G-6 Hedgerow Data'!$B$1:$AH$15,33,FALSE))</f>
        <v/>
      </c>
      <c r="N66" s="513" t="str">
        <f t="shared" si="2"/>
        <v/>
      </c>
      <c r="O66" s="40"/>
      <c r="P66" s="145"/>
      <c r="Q66" s="157"/>
      <c r="R66" s="507" t="str">
        <f t="shared" si="3"/>
        <v/>
      </c>
      <c r="S66" s="507" t="str">
        <f t="shared" si="4"/>
        <v/>
      </c>
      <c r="T66" s="511" t="str">
        <f t="shared" si="5"/>
        <v/>
      </c>
      <c r="U66" s="515" t="str">
        <f t="shared" si="6"/>
        <v/>
      </c>
      <c r="V66" s="151"/>
      <c r="W66" s="152"/>
      <c r="AB66" s="31" t="str">
        <f>IFERROR(INDEX('G-6 Hedgerow Data'!$BJ$3:$BJ$15,MATCH(D66,'G-6 Hedgerow Data'!$B$3:$B$15,0)),"")</f>
        <v/>
      </c>
      <c r="AE66" s="156" t="str">
        <f t="shared" si="0"/>
        <v/>
      </c>
      <c r="AF66" s="156" t="str">
        <f t="shared" si="1"/>
        <v/>
      </c>
      <c r="AH66" s="156">
        <v>57</v>
      </c>
      <c r="AJ66" s="156" t="str">
        <f t="array" ref="AJ66">IFERROR(INDEX($AH$10:$AH$258, MATCH(0, IF(TRUE=$AE$10:$AE$258, COUNTIF($AJ$9:$AJ65, $AH$10:$AH$258), ""), 0)),"")</f>
        <v/>
      </c>
      <c r="AK66" s="156" t="str">
        <f t="array" ref="AK66">IFERROR(INDEX($AH$10:$AH$258, MATCH(0, IF(TRUE=$AF$10:$AF$258, COUNTIF($AK$9:$AK65, $AH$10:$AH$258), ""), 0)),"")</f>
        <v/>
      </c>
    </row>
    <row r="67" spans="2:37" ht="14" x14ac:dyDescent="0.3">
      <c r="B67" s="141">
        <v>58</v>
      </c>
      <c r="C67" s="203"/>
      <c r="D67" s="203"/>
      <c r="E67" s="153"/>
      <c r="F67" s="498" t="str">
        <f>IF(D67="","",VLOOKUP(D67,'G-6 Hedgerow Data'!$B$2:$AG$15,2,FALSE))</f>
        <v/>
      </c>
      <c r="G67" s="499" t="str">
        <f>IF(D67="","",VLOOKUP(D67,'G-6 Hedgerow Data'!$B$2:$AG$15,3,FALSE))</f>
        <v/>
      </c>
      <c r="H67" s="145"/>
      <c r="I67" s="499" t="str">
        <f>IFERROR(IF(AND(F67="V.Low",OR(H67="Good",H67="Moderate")),"Error ▲",VLOOKUP(H67,'G-1 All Habitats'!$Z$2:$AA$9,2,FALSE)),"")</f>
        <v/>
      </c>
      <c r="J67" s="154"/>
      <c r="K67" s="520" t="str">
        <f>IF(J67="","",IF(VLOOKUP(J67,'G-3 Multipliers'!$L$3:$N$6,2,FALSE)=0,"Spatial Data Missing ⚠",VLOOKUP(J67,'G-3 Multipliers'!$L$3:$N$6,2,FALSE)))</f>
        <v/>
      </c>
      <c r="L67" s="524" t="str">
        <f>IF(J67="","",IF(VLOOKUP(J67,'G-3 Multipliers'!$L$3:$N$6,3,FALSE)=0,"Spatial Data Missing ⚠",VLOOKUP(J67,'G-3 Multipliers'!$L$3:$N$6,3,FALSE)))</f>
        <v/>
      </c>
      <c r="M67" s="506" t="str">
        <f>IF(D67="","",VLOOKUP(D67,'G-6 Hedgerow Data'!$B$1:$AH$15,33,FALSE))</f>
        <v/>
      </c>
      <c r="N67" s="513" t="str">
        <f t="shared" si="2"/>
        <v/>
      </c>
      <c r="O67" s="40"/>
      <c r="P67" s="145"/>
      <c r="Q67" s="157"/>
      <c r="R67" s="507" t="str">
        <f t="shared" si="3"/>
        <v/>
      </c>
      <c r="S67" s="507" t="str">
        <f t="shared" si="4"/>
        <v/>
      </c>
      <c r="T67" s="511" t="str">
        <f t="shared" si="5"/>
        <v/>
      </c>
      <c r="U67" s="515" t="str">
        <f t="shared" si="6"/>
        <v/>
      </c>
      <c r="V67" s="151"/>
      <c r="W67" s="152"/>
      <c r="AB67" s="31" t="str">
        <f>IFERROR(INDEX('G-6 Hedgerow Data'!$BJ$3:$BJ$15,MATCH(D67,'G-6 Hedgerow Data'!$B$3:$B$15,0)),"")</f>
        <v/>
      </c>
      <c r="AE67" s="156" t="str">
        <f t="shared" si="0"/>
        <v/>
      </c>
      <c r="AF67" s="156" t="str">
        <f t="shared" si="1"/>
        <v/>
      </c>
      <c r="AH67" s="156">
        <v>58</v>
      </c>
      <c r="AJ67" s="156" t="str">
        <f t="array" ref="AJ67">IFERROR(INDEX($AH$10:$AH$258, MATCH(0, IF(TRUE=$AE$10:$AE$258, COUNTIF($AJ$9:$AJ66, $AH$10:$AH$258), ""), 0)),"")</f>
        <v/>
      </c>
      <c r="AK67" s="156" t="str">
        <f t="array" ref="AK67">IFERROR(INDEX($AH$10:$AH$258, MATCH(0, IF(TRUE=$AF$10:$AF$258, COUNTIF($AK$9:$AK66, $AH$10:$AH$258), ""), 0)),"")</f>
        <v/>
      </c>
    </row>
    <row r="68" spans="2:37" ht="14" x14ac:dyDescent="0.3">
      <c r="B68" s="141">
        <v>59</v>
      </c>
      <c r="C68" s="203"/>
      <c r="D68" s="203"/>
      <c r="E68" s="153"/>
      <c r="F68" s="498" t="str">
        <f>IF(D68="","",VLOOKUP(D68,'G-6 Hedgerow Data'!$B$2:$AG$15,2,FALSE))</f>
        <v/>
      </c>
      <c r="G68" s="499" t="str">
        <f>IF(D68="","",VLOOKUP(D68,'G-6 Hedgerow Data'!$B$2:$AG$15,3,FALSE))</f>
        <v/>
      </c>
      <c r="H68" s="145"/>
      <c r="I68" s="499" t="str">
        <f>IFERROR(IF(AND(F68="V.Low",OR(H68="Good",H68="Moderate")),"Error ▲",VLOOKUP(H68,'G-1 All Habitats'!$Z$2:$AA$9,2,FALSE)),"")</f>
        <v/>
      </c>
      <c r="J68" s="154"/>
      <c r="K68" s="520" t="str">
        <f>IF(J68="","",IF(VLOOKUP(J68,'G-3 Multipliers'!$L$3:$N$6,2,FALSE)=0,"Spatial Data Missing ⚠",VLOOKUP(J68,'G-3 Multipliers'!$L$3:$N$6,2,FALSE)))</f>
        <v/>
      </c>
      <c r="L68" s="524" t="str">
        <f>IF(J68="","",IF(VLOOKUP(J68,'G-3 Multipliers'!$L$3:$N$6,3,FALSE)=0,"Spatial Data Missing ⚠",VLOOKUP(J68,'G-3 Multipliers'!$L$3:$N$6,3,FALSE)))</f>
        <v/>
      </c>
      <c r="M68" s="506" t="str">
        <f>IF(D68="","",VLOOKUP(D68,'G-6 Hedgerow Data'!$B$1:$AH$15,33,FALSE))</f>
        <v/>
      </c>
      <c r="N68" s="513" t="str">
        <f t="shared" si="2"/>
        <v/>
      </c>
      <c r="O68" s="40"/>
      <c r="P68" s="145"/>
      <c r="Q68" s="157"/>
      <c r="R68" s="507" t="str">
        <f t="shared" si="3"/>
        <v/>
      </c>
      <c r="S68" s="507" t="str">
        <f t="shared" si="4"/>
        <v/>
      </c>
      <c r="T68" s="511" t="str">
        <f t="shared" si="5"/>
        <v/>
      </c>
      <c r="U68" s="515" t="str">
        <f t="shared" si="6"/>
        <v/>
      </c>
      <c r="V68" s="151"/>
      <c r="W68" s="152"/>
      <c r="AB68" s="31" t="str">
        <f>IFERROR(INDEX('G-6 Hedgerow Data'!$BJ$3:$BJ$15,MATCH(D68,'G-6 Hedgerow Data'!$B$3:$B$15,0)),"")</f>
        <v/>
      </c>
      <c r="AE68" s="156" t="str">
        <f t="shared" si="0"/>
        <v/>
      </c>
      <c r="AF68" s="156" t="str">
        <f t="shared" si="1"/>
        <v/>
      </c>
      <c r="AH68" s="156">
        <v>59</v>
      </c>
      <c r="AJ68" s="156" t="str">
        <f t="array" ref="AJ68">IFERROR(INDEX($AH$10:$AH$258, MATCH(0, IF(TRUE=$AE$10:$AE$258, COUNTIF($AJ$9:$AJ67, $AH$10:$AH$258), ""), 0)),"")</f>
        <v/>
      </c>
      <c r="AK68" s="156" t="str">
        <f t="array" ref="AK68">IFERROR(INDEX($AH$10:$AH$258, MATCH(0, IF(TRUE=$AF$10:$AF$258, COUNTIF($AK$9:$AK67, $AH$10:$AH$258), ""), 0)),"")</f>
        <v/>
      </c>
    </row>
    <row r="69" spans="2:37" ht="14" x14ac:dyDescent="0.3">
      <c r="B69" s="141">
        <v>60</v>
      </c>
      <c r="C69" s="203"/>
      <c r="D69" s="203"/>
      <c r="E69" s="153"/>
      <c r="F69" s="498" t="str">
        <f>IF(D69="","",VLOOKUP(D69,'G-6 Hedgerow Data'!$B$2:$AG$15,2,FALSE))</f>
        <v/>
      </c>
      <c r="G69" s="499" t="str">
        <f>IF(D69="","",VLOOKUP(D69,'G-6 Hedgerow Data'!$B$2:$AG$15,3,FALSE))</f>
        <v/>
      </c>
      <c r="H69" s="145"/>
      <c r="I69" s="499" t="str">
        <f>IFERROR(IF(AND(F69="V.Low",OR(H69="Good",H69="Moderate")),"Error ▲",VLOOKUP(H69,'G-1 All Habitats'!$Z$2:$AA$9,2,FALSE)),"")</f>
        <v/>
      </c>
      <c r="J69" s="154"/>
      <c r="K69" s="520" t="str">
        <f>IF(J69="","",IF(VLOOKUP(J69,'G-3 Multipliers'!$L$3:$N$6,2,FALSE)=0,"Spatial Data Missing ⚠",VLOOKUP(J69,'G-3 Multipliers'!$L$3:$N$6,2,FALSE)))</f>
        <v/>
      </c>
      <c r="L69" s="524" t="str">
        <f>IF(J69="","",IF(VLOOKUP(J69,'G-3 Multipliers'!$L$3:$N$6,3,FALSE)=0,"Spatial Data Missing ⚠",VLOOKUP(J69,'G-3 Multipliers'!$L$3:$N$6,3,FALSE)))</f>
        <v/>
      </c>
      <c r="M69" s="506" t="str">
        <f>IF(D69="","",VLOOKUP(D69,'G-6 Hedgerow Data'!$B$1:$AH$15,33,FALSE))</f>
        <v/>
      </c>
      <c r="N69" s="513" t="str">
        <f t="shared" si="2"/>
        <v/>
      </c>
      <c r="O69" s="40"/>
      <c r="P69" s="145"/>
      <c r="Q69" s="157"/>
      <c r="R69" s="507" t="str">
        <f t="shared" si="3"/>
        <v/>
      </c>
      <c r="S69" s="507" t="str">
        <f t="shared" si="4"/>
        <v/>
      </c>
      <c r="T69" s="511" t="str">
        <f t="shared" si="5"/>
        <v/>
      </c>
      <c r="U69" s="515" t="str">
        <f t="shared" si="6"/>
        <v/>
      </c>
      <c r="V69" s="151"/>
      <c r="W69" s="152"/>
      <c r="AB69" s="31" t="str">
        <f>IFERROR(INDEX('G-6 Hedgerow Data'!$BJ$3:$BJ$15,MATCH(D69,'G-6 Hedgerow Data'!$B$3:$B$15,0)),"")</f>
        <v/>
      </c>
      <c r="AE69" s="156" t="str">
        <f t="shared" si="0"/>
        <v/>
      </c>
      <c r="AF69" s="156" t="str">
        <f t="shared" si="1"/>
        <v/>
      </c>
      <c r="AH69" s="156">
        <v>60</v>
      </c>
      <c r="AJ69" s="156" t="str">
        <f t="array" ref="AJ69">IFERROR(INDEX($AH$10:$AH$258, MATCH(0, IF(TRUE=$AE$10:$AE$258, COUNTIF($AJ$9:$AJ68, $AH$10:$AH$258), ""), 0)),"")</f>
        <v/>
      </c>
      <c r="AK69" s="156" t="str">
        <f t="array" ref="AK69">IFERROR(INDEX($AH$10:$AH$258, MATCH(0, IF(TRUE=$AF$10:$AF$258, COUNTIF($AK$9:$AK68, $AH$10:$AH$258), ""), 0)),"")</f>
        <v/>
      </c>
    </row>
    <row r="70" spans="2:37" ht="14" x14ac:dyDescent="0.3">
      <c r="B70" s="141">
        <v>61</v>
      </c>
      <c r="C70" s="203"/>
      <c r="D70" s="203"/>
      <c r="E70" s="153"/>
      <c r="F70" s="498" t="str">
        <f>IF(D70="","",VLOOKUP(D70,'G-6 Hedgerow Data'!$B$2:$AG$15,2,FALSE))</f>
        <v/>
      </c>
      <c r="G70" s="499" t="str">
        <f>IF(D70="","",VLOOKUP(D70,'G-6 Hedgerow Data'!$B$2:$AG$15,3,FALSE))</f>
        <v/>
      </c>
      <c r="H70" s="145"/>
      <c r="I70" s="499" t="str">
        <f>IFERROR(IF(AND(F70="V.Low",OR(H70="Good",H70="Moderate")),"Error ▲",VLOOKUP(H70,'G-1 All Habitats'!$Z$2:$AA$9,2,FALSE)),"")</f>
        <v/>
      </c>
      <c r="J70" s="154"/>
      <c r="K70" s="520" t="str">
        <f>IF(J70="","",IF(VLOOKUP(J70,'G-3 Multipliers'!$L$3:$N$6,2,FALSE)=0,"Spatial Data Missing ⚠",VLOOKUP(J70,'G-3 Multipliers'!$L$3:$N$6,2,FALSE)))</f>
        <v/>
      </c>
      <c r="L70" s="524" t="str">
        <f>IF(J70="","",IF(VLOOKUP(J70,'G-3 Multipliers'!$L$3:$N$6,3,FALSE)=0,"Spatial Data Missing ⚠",VLOOKUP(J70,'G-3 Multipliers'!$L$3:$N$6,3,FALSE)))</f>
        <v/>
      </c>
      <c r="M70" s="506" t="str">
        <f>IF(D70="","",VLOOKUP(D70,'G-6 Hedgerow Data'!$B$1:$AH$15,33,FALSE))</f>
        <v/>
      </c>
      <c r="N70" s="513" t="str">
        <f t="shared" si="2"/>
        <v/>
      </c>
      <c r="O70" s="40"/>
      <c r="P70" s="145"/>
      <c r="Q70" s="157"/>
      <c r="R70" s="507" t="str">
        <f t="shared" si="3"/>
        <v/>
      </c>
      <c r="S70" s="507" t="str">
        <f t="shared" si="4"/>
        <v/>
      </c>
      <c r="T70" s="511" t="str">
        <f t="shared" si="5"/>
        <v/>
      </c>
      <c r="U70" s="515" t="str">
        <f t="shared" si="6"/>
        <v/>
      </c>
      <c r="V70" s="151"/>
      <c r="W70" s="152"/>
      <c r="AB70" s="31" t="str">
        <f>IFERROR(INDEX('G-6 Hedgerow Data'!$BJ$3:$BJ$15,MATCH(D70,'G-6 Hedgerow Data'!$B$3:$B$15,0)),"")</f>
        <v/>
      </c>
      <c r="AE70" s="156" t="str">
        <f t="shared" si="0"/>
        <v/>
      </c>
      <c r="AF70" s="156" t="str">
        <f t="shared" si="1"/>
        <v/>
      </c>
      <c r="AH70" s="156">
        <v>61</v>
      </c>
      <c r="AJ70" s="156" t="str">
        <f t="array" ref="AJ70">IFERROR(INDEX($AH$10:$AH$258, MATCH(0, IF(TRUE=$AE$10:$AE$258, COUNTIF($AJ$9:$AJ69, $AH$10:$AH$258), ""), 0)),"")</f>
        <v/>
      </c>
      <c r="AK70" s="156" t="str">
        <f t="array" ref="AK70">IFERROR(INDEX($AH$10:$AH$258, MATCH(0, IF(TRUE=$AF$10:$AF$258, COUNTIF($AK$9:$AK69, $AH$10:$AH$258), ""), 0)),"")</f>
        <v/>
      </c>
    </row>
    <row r="71" spans="2:37" ht="14" x14ac:dyDescent="0.3">
      <c r="B71" s="141">
        <v>62</v>
      </c>
      <c r="C71" s="203"/>
      <c r="D71" s="203"/>
      <c r="E71" s="153"/>
      <c r="F71" s="498" t="str">
        <f>IF(D71="","",VLOOKUP(D71,'G-6 Hedgerow Data'!$B$2:$AG$15,2,FALSE))</f>
        <v/>
      </c>
      <c r="G71" s="499" t="str">
        <f>IF(D71="","",VLOOKUP(D71,'G-6 Hedgerow Data'!$B$2:$AG$15,3,FALSE))</f>
        <v/>
      </c>
      <c r="H71" s="145"/>
      <c r="I71" s="499" t="str">
        <f>IFERROR(IF(AND(F71="V.Low",OR(H71="Good",H71="Moderate")),"Error ▲",VLOOKUP(H71,'G-1 All Habitats'!$Z$2:$AA$9,2,FALSE)),"")</f>
        <v/>
      </c>
      <c r="J71" s="154"/>
      <c r="K71" s="520" t="str">
        <f>IF(J71="","",IF(VLOOKUP(J71,'G-3 Multipliers'!$L$3:$N$6,2,FALSE)=0,"Spatial Data Missing ⚠",VLOOKUP(J71,'G-3 Multipliers'!$L$3:$N$6,2,FALSE)))</f>
        <v/>
      </c>
      <c r="L71" s="524" t="str">
        <f>IF(J71="","",IF(VLOOKUP(J71,'G-3 Multipliers'!$L$3:$N$6,3,FALSE)=0,"Spatial Data Missing ⚠",VLOOKUP(J71,'G-3 Multipliers'!$L$3:$N$6,3,FALSE)))</f>
        <v/>
      </c>
      <c r="M71" s="506" t="str">
        <f>IF(D71="","",VLOOKUP(D71,'G-6 Hedgerow Data'!$B$1:$AH$15,33,FALSE))</f>
        <v/>
      </c>
      <c r="N71" s="513" t="str">
        <f t="shared" si="2"/>
        <v/>
      </c>
      <c r="O71" s="40"/>
      <c r="P71" s="145"/>
      <c r="Q71" s="157"/>
      <c r="R71" s="507" t="str">
        <f t="shared" si="3"/>
        <v/>
      </c>
      <c r="S71" s="507" t="str">
        <f t="shared" si="4"/>
        <v/>
      </c>
      <c r="T71" s="511" t="str">
        <f t="shared" si="5"/>
        <v/>
      </c>
      <c r="U71" s="515" t="str">
        <f t="shared" si="6"/>
        <v/>
      </c>
      <c r="V71" s="151"/>
      <c r="W71" s="152"/>
      <c r="AB71" s="31" t="str">
        <f>IFERROR(INDEX('G-6 Hedgerow Data'!$BJ$3:$BJ$15,MATCH(D71,'G-6 Hedgerow Data'!$B$3:$B$15,0)),"")</f>
        <v/>
      </c>
      <c r="AE71" s="156" t="str">
        <f t="shared" si="0"/>
        <v/>
      </c>
      <c r="AF71" s="156" t="str">
        <f t="shared" si="1"/>
        <v/>
      </c>
      <c r="AH71" s="156">
        <v>62</v>
      </c>
      <c r="AJ71" s="156" t="str">
        <f t="array" ref="AJ71">IFERROR(INDEX($AH$10:$AH$258, MATCH(0, IF(TRUE=$AE$10:$AE$258, COUNTIF($AJ$9:$AJ70, $AH$10:$AH$258), ""), 0)),"")</f>
        <v/>
      </c>
      <c r="AK71" s="156" t="str">
        <f t="array" ref="AK71">IFERROR(INDEX($AH$10:$AH$258, MATCH(0, IF(TRUE=$AF$10:$AF$258, COUNTIF($AK$9:$AK70, $AH$10:$AH$258), ""), 0)),"")</f>
        <v/>
      </c>
    </row>
    <row r="72" spans="2:37" ht="14" x14ac:dyDescent="0.3">
      <c r="B72" s="141">
        <v>63</v>
      </c>
      <c r="C72" s="203"/>
      <c r="D72" s="203"/>
      <c r="E72" s="153"/>
      <c r="F72" s="498" t="str">
        <f>IF(D72="","",VLOOKUP(D72,'G-6 Hedgerow Data'!$B$2:$AG$15,2,FALSE))</f>
        <v/>
      </c>
      <c r="G72" s="499" t="str">
        <f>IF(D72="","",VLOOKUP(D72,'G-6 Hedgerow Data'!$B$2:$AG$15,3,FALSE))</f>
        <v/>
      </c>
      <c r="H72" s="145"/>
      <c r="I72" s="499" t="str">
        <f>IFERROR(IF(AND(F72="V.Low",OR(H72="Good",H72="Moderate")),"Error ▲",VLOOKUP(H72,'G-1 All Habitats'!$Z$2:$AA$9,2,FALSE)),"")</f>
        <v/>
      </c>
      <c r="J72" s="154"/>
      <c r="K72" s="520" t="str">
        <f>IF(J72="","",IF(VLOOKUP(J72,'G-3 Multipliers'!$L$3:$N$6,2,FALSE)=0,"Spatial Data Missing ⚠",VLOOKUP(J72,'G-3 Multipliers'!$L$3:$N$6,2,FALSE)))</f>
        <v/>
      </c>
      <c r="L72" s="524" t="str">
        <f>IF(J72="","",IF(VLOOKUP(J72,'G-3 Multipliers'!$L$3:$N$6,3,FALSE)=0,"Spatial Data Missing ⚠",VLOOKUP(J72,'G-3 Multipliers'!$L$3:$N$6,3,FALSE)))</f>
        <v/>
      </c>
      <c r="M72" s="506" t="str">
        <f>IF(D72="","",VLOOKUP(D72,'G-6 Hedgerow Data'!$B$1:$AH$15,33,FALSE))</f>
        <v/>
      </c>
      <c r="N72" s="513" t="str">
        <f t="shared" si="2"/>
        <v/>
      </c>
      <c r="O72" s="40"/>
      <c r="P72" s="145"/>
      <c r="Q72" s="157"/>
      <c r="R72" s="507" t="str">
        <f t="shared" si="3"/>
        <v/>
      </c>
      <c r="S72" s="507" t="str">
        <f t="shared" si="4"/>
        <v/>
      </c>
      <c r="T72" s="511" t="str">
        <f t="shared" si="5"/>
        <v/>
      </c>
      <c r="U72" s="515" t="str">
        <f t="shared" si="6"/>
        <v/>
      </c>
      <c r="V72" s="151"/>
      <c r="W72" s="152"/>
      <c r="AB72" s="31" t="str">
        <f>IFERROR(INDEX('G-6 Hedgerow Data'!$BJ$3:$BJ$15,MATCH(D72,'G-6 Hedgerow Data'!$B$3:$B$15,0)),"")</f>
        <v/>
      </c>
      <c r="AE72" s="156" t="str">
        <f t="shared" si="0"/>
        <v/>
      </c>
      <c r="AF72" s="156" t="str">
        <f t="shared" si="1"/>
        <v/>
      </c>
      <c r="AH72" s="156">
        <v>63</v>
      </c>
      <c r="AJ72" s="156" t="str">
        <f t="array" ref="AJ72">IFERROR(INDEX($AH$10:$AH$258, MATCH(0, IF(TRUE=$AE$10:$AE$258, COUNTIF($AJ$9:$AJ71, $AH$10:$AH$258), ""), 0)),"")</f>
        <v/>
      </c>
      <c r="AK72" s="156" t="str">
        <f t="array" ref="AK72">IFERROR(INDEX($AH$10:$AH$258, MATCH(0, IF(TRUE=$AF$10:$AF$258, COUNTIF($AK$9:$AK71, $AH$10:$AH$258), ""), 0)),"")</f>
        <v/>
      </c>
    </row>
    <row r="73" spans="2:37" ht="14" x14ac:dyDescent="0.3">
      <c r="B73" s="141">
        <v>64</v>
      </c>
      <c r="C73" s="203"/>
      <c r="D73" s="203"/>
      <c r="E73" s="153"/>
      <c r="F73" s="498" t="str">
        <f>IF(D73="","",VLOOKUP(D73,'G-6 Hedgerow Data'!$B$2:$AG$15,2,FALSE))</f>
        <v/>
      </c>
      <c r="G73" s="499" t="str">
        <f>IF(D73="","",VLOOKUP(D73,'G-6 Hedgerow Data'!$B$2:$AG$15,3,FALSE))</f>
        <v/>
      </c>
      <c r="H73" s="145"/>
      <c r="I73" s="499" t="str">
        <f>IFERROR(IF(AND(F73="V.Low",OR(H73="Good",H73="Moderate")),"Error ▲",VLOOKUP(H73,'G-1 All Habitats'!$Z$2:$AA$9,2,FALSE)),"")</f>
        <v/>
      </c>
      <c r="J73" s="154"/>
      <c r="K73" s="520" t="str">
        <f>IF(J73="","",IF(VLOOKUP(J73,'G-3 Multipliers'!$L$3:$N$6,2,FALSE)=0,"Spatial Data Missing ⚠",VLOOKUP(J73,'G-3 Multipliers'!$L$3:$N$6,2,FALSE)))</f>
        <v/>
      </c>
      <c r="L73" s="524" t="str">
        <f>IF(J73="","",IF(VLOOKUP(J73,'G-3 Multipliers'!$L$3:$N$6,3,FALSE)=0,"Spatial Data Missing ⚠",VLOOKUP(J73,'G-3 Multipliers'!$L$3:$N$6,3,FALSE)))</f>
        <v/>
      </c>
      <c r="M73" s="506" t="str">
        <f>IF(D73="","",VLOOKUP(D73,'G-6 Hedgerow Data'!$B$1:$AH$15,33,FALSE))</f>
        <v/>
      </c>
      <c r="N73" s="513" t="str">
        <f t="shared" si="2"/>
        <v/>
      </c>
      <c r="O73" s="40"/>
      <c r="P73" s="145"/>
      <c r="Q73" s="157"/>
      <c r="R73" s="507" t="str">
        <f t="shared" si="3"/>
        <v/>
      </c>
      <c r="S73" s="507" t="str">
        <f t="shared" si="4"/>
        <v/>
      </c>
      <c r="T73" s="511" t="str">
        <f t="shared" si="5"/>
        <v/>
      </c>
      <c r="U73" s="515" t="str">
        <f t="shared" si="6"/>
        <v/>
      </c>
      <c r="V73" s="151"/>
      <c r="W73" s="152"/>
      <c r="AB73" s="31" t="str">
        <f>IFERROR(INDEX('G-6 Hedgerow Data'!$BJ$3:$BJ$15,MATCH(D73,'G-6 Hedgerow Data'!$B$3:$B$15,0)),"")</f>
        <v/>
      </c>
      <c r="AE73" s="156" t="str">
        <f t="shared" si="0"/>
        <v/>
      </c>
      <c r="AF73" s="156" t="str">
        <f t="shared" si="1"/>
        <v/>
      </c>
      <c r="AH73" s="156">
        <v>64</v>
      </c>
      <c r="AJ73" s="156" t="str">
        <f t="array" ref="AJ73">IFERROR(INDEX($AH$10:$AH$258, MATCH(0, IF(TRUE=$AE$10:$AE$258, COUNTIF($AJ$9:$AJ72, $AH$10:$AH$258), ""), 0)),"")</f>
        <v/>
      </c>
      <c r="AK73" s="156" t="str">
        <f t="array" ref="AK73">IFERROR(INDEX($AH$10:$AH$258, MATCH(0, IF(TRUE=$AF$10:$AF$258, COUNTIF($AK$9:$AK72, $AH$10:$AH$258), ""), 0)),"")</f>
        <v/>
      </c>
    </row>
    <row r="74" spans="2:37" ht="14" x14ac:dyDescent="0.3">
      <c r="B74" s="141">
        <v>65</v>
      </c>
      <c r="C74" s="203"/>
      <c r="D74" s="203"/>
      <c r="E74" s="153"/>
      <c r="F74" s="498" t="str">
        <f>IF(D74="","",VLOOKUP(D74,'G-6 Hedgerow Data'!$B$2:$AG$15,2,FALSE))</f>
        <v/>
      </c>
      <c r="G74" s="499" t="str">
        <f>IF(D74="","",VLOOKUP(D74,'G-6 Hedgerow Data'!$B$2:$AG$15,3,FALSE))</f>
        <v/>
      </c>
      <c r="H74" s="145"/>
      <c r="I74" s="499" t="str">
        <f>IFERROR(IF(AND(F74="V.Low",OR(H74="Good",H74="Moderate")),"Error ▲",VLOOKUP(H74,'G-1 All Habitats'!$Z$2:$AA$9,2,FALSE)),"")</f>
        <v/>
      </c>
      <c r="J74" s="154"/>
      <c r="K74" s="520" t="str">
        <f>IF(J74="","",IF(VLOOKUP(J74,'G-3 Multipliers'!$L$3:$N$6,2,FALSE)=0,"Spatial Data Missing ⚠",VLOOKUP(J74,'G-3 Multipliers'!$L$3:$N$6,2,FALSE)))</f>
        <v/>
      </c>
      <c r="L74" s="524" t="str">
        <f>IF(J74="","",IF(VLOOKUP(J74,'G-3 Multipliers'!$L$3:$N$6,3,FALSE)=0,"Spatial Data Missing ⚠",VLOOKUP(J74,'G-3 Multipliers'!$L$3:$N$6,3,FALSE)))</f>
        <v/>
      </c>
      <c r="M74" s="506" t="str">
        <f>IF(D74="","",VLOOKUP(D74,'G-6 Hedgerow Data'!$B$1:$AH$15,33,FALSE))</f>
        <v/>
      </c>
      <c r="N74" s="513" t="str">
        <f t="shared" si="2"/>
        <v/>
      </c>
      <c r="O74" s="40"/>
      <c r="P74" s="145"/>
      <c r="Q74" s="157"/>
      <c r="R74" s="507" t="str">
        <f t="shared" si="3"/>
        <v/>
      </c>
      <c r="S74" s="507" t="str">
        <f t="shared" si="4"/>
        <v/>
      </c>
      <c r="T74" s="511" t="str">
        <f t="shared" si="5"/>
        <v/>
      </c>
      <c r="U74" s="515" t="str">
        <f t="shared" si="6"/>
        <v/>
      </c>
      <c r="V74" s="151"/>
      <c r="W74" s="152"/>
      <c r="AB74" s="31" t="str">
        <f>IFERROR(INDEX('G-6 Hedgerow Data'!$BJ$3:$BJ$15,MATCH(D74,'G-6 Hedgerow Data'!$B$3:$B$15,0)),"")</f>
        <v/>
      </c>
      <c r="AE74" s="156" t="str">
        <f t="shared" ref="AE74:AE137" si="7">IF(D74="","",IF(P74&gt;0,TRUE,FALSE))</f>
        <v/>
      </c>
      <c r="AF74" s="156" t="str">
        <f t="shared" ref="AF74:AF137" si="8">IF(D74="","",IF(Q74&gt;0,TRUE,FALSE))</f>
        <v/>
      </c>
      <c r="AH74" s="156">
        <v>65</v>
      </c>
      <c r="AJ74" s="156" t="str">
        <f t="array" ref="AJ74">IFERROR(INDEX($AH$10:$AH$258, MATCH(0, IF(TRUE=$AE$10:$AE$258, COUNTIF($AJ$9:$AJ73, $AH$10:$AH$258), ""), 0)),"")</f>
        <v/>
      </c>
      <c r="AK74" s="156" t="str">
        <f t="array" ref="AK74">IFERROR(INDEX($AH$10:$AH$258, MATCH(0, IF(TRUE=$AF$10:$AF$258, COUNTIF($AK$9:$AK73, $AH$10:$AH$258), ""), 0)),"")</f>
        <v/>
      </c>
    </row>
    <row r="75" spans="2:37" ht="14" x14ac:dyDescent="0.3">
      <c r="B75" s="141">
        <v>66</v>
      </c>
      <c r="C75" s="203"/>
      <c r="D75" s="203"/>
      <c r="E75" s="153"/>
      <c r="F75" s="498" t="str">
        <f>IF(D75="","",VLOOKUP(D75,'G-6 Hedgerow Data'!$B$2:$AG$15,2,FALSE))</f>
        <v/>
      </c>
      <c r="G75" s="499" t="str">
        <f>IF(D75="","",VLOOKUP(D75,'G-6 Hedgerow Data'!$B$2:$AG$15,3,FALSE))</f>
        <v/>
      </c>
      <c r="H75" s="145"/>
      <c r="I75" s="499" t="str">
        <f>IFERROR(IF(AND(F75="V.Low",OR(H75="Good",H75="Moderate")),"Error ▲",VLOOKUP(H75,'G-1 All Habitats'!$Z$2:$AA$9,2,FALSE)),"")</f>
        <v/>
      </c>
      <c r="J75" s="154"/>
      <c r="K75" s="520" t="str">
        <f>IF(J75="","",IF(VLOOKUP(J75,'G-3 Multipliers'!$L$3:$N$6,2,FALSE)=0,"Spatial Data Missing ⚠",VLOOKUP(J75,'G-3 Multipliers'!$L$3:$N$6,2,FALSE)))</f>
        <v/>
      </c>
      <c r="L75" s="524" t="str">
        <f>IF(J75="","",IF(VLOOKUP(J75,'G-3 Multipliers'!$L$3:$N$6,3,FALSE)=0,"Spatial Data Missing ⚠",VLOOKUP(J75,'G-3 Multipliers'!$L$3:$N$6,3,FALSE)))</f>
        <v/>
      </c>
      <c r="M75" s="506" t="str">
        <f>IF(D75="","",VLOOKUP(D75,'G-6 Hedgerow Data'!$B$1:$AH$15,33,FALSE))</f>
        <v/>
      </c>
      <c r="N75" s="513" t="str">
        <f t="shared" ref="N75:N138" si="9">IFERROR(E75*G75*I75*L75,"")</f>
        <v/>
      </c>
      <c r="O75" s="40"/>
      <c r="P75" s="145"/>
      <c r="Q75" s="157"/>
      <c r="R75" s="507" t="str">
        <f t="shared" ref="R75:R138" si="10">IFERROR(P75*G75*I75*L75,"")</f>
        <v/>
      </c>
      <c r="S75" s="507" t="str">
        <f t="shared" ref="S75:S138" si="11">IFERROR(Q75*G75*I75*L75,"")</f>
        <v/>
      </c>
      <c r="T75" s="511" t="str">
        <f t="shared" ref="T75:T138" si="12">IF(D75="","",IF(E75&lt;P75+Q75,"Error in Lengths ▲",E75-P75-Q75))</f>
        <v/>
      </c>
      <c r="U75" s="515" t="str">
        <f t="shared" ref="U75:U138" si="13">IF(OR(E75="",N75=""),"",IF(E75&lt;P75+Q75,"Error in Lengths",N75-R75-S75))</f>
        <v/>
      </c>
      <c r="V75" s="151"/>
      <c r="W75" s="152"/>
      <c r="AB75" s="31" t="str">
        <f>IFERROR(INDEX('G-6 Hedgerow Data'!$BJ$3:$BJ$15,MATCH(D75,'G-6 Hedgerow Data'!$B$3:$B$15,0)),"")</f>
        <v/>
      </c>
      <c r="AE75" s="156" t="str">
        <f t="shared" si="7"/>
        <v/>
      </c>
      <c r="AF75" s="156" t="str">
        <f t="shared" si="8"/>
        <v/>
      </c>
      <c r="AH75" s="156">
        <v>66</v>
      </c>
      <c r="AJ75" s="156" t="str">
        <f t="array" ref="AJ75">IFERROR(INDEX($AH$10:$AH$258, MATCH(0, IF(TRUE=$AE$10:$AE$258, COUNTIF($AJ$9:$AJ74, $AH$10:$AH$258), ""), 0)),"")</f>
        <v/>
      </c>
      <c r="AK75" s="156" t="str">
        <f t="array" ref="AK75">IFERROR(INDEX($AH$10:$AH$258, MATCH(0, IF(TRUE=$AF$10:$AF$258, COUNTIF($AK$9:$AK74, $AH$10:$AH$258), ""), 0)),"")</f>
        <v/>
      </c>
    </row>
    <row r="76" spans="2:37" ht="14" x14ac:dyDescent="0.3">
      <c r="B76" s="141">
        <v>67</v>
      </c>
      <c r="C76" s="203"/>
      <c r="D76" s="203"/>
      <c r="E76" s="153"/>
      <c r="F76" s="498" t="str">
        <f>IF(D76="","",VLOOKUP(D76,'G-6 Hedgerow Data'!$B$2:$AG$15,2,FALSE))</f>
        <v/>
      </c>
      <c r="G76" s="499" t="str">
        <f>IF(D76="","",VLOOKUP(D76,'G-6 Hedgerow Data'!$B$2:$AG$15,3,FALSE))</f>
        <v/>
      </c>
      <c r="H76" s="145"/>
      <c r="I76" s="499" t="str">
        <f>IFERROR(IF(AND(F76="V.Low",OR(H76="Good",H76="Moderate")),"Error ▲",VLOOKUP(H76,'G-1 All Habitats'!$Z$2:$AA$9,2,FALSE)),"")</f>
        <v/>
      </c>
      <c r="J76" s="154"/>
      <c r="K76" s="520" t="str">
        <f>IF(J76="","",IF(VLOOKUP(J76,'G-3 Multipliers'!$L$3:$N$6,2,FALSE)=0,"Spatial Data Missing ⚠",VLOOKUP(J76,'G-3 Multipliers'!$L$3:$N$6,2,FALSE)))</f>
        <v/>
      </c>
      <c r="L76" s="524" t="str">
        <f>IF(J76="","",IF(VLOOKUP(J76,'G-3 Multipliers'!$L$3:$N$6,3,FALSE)=0,"Spatial Data Missing ⚠",VLOOKUP(J76,'G-3 Multipliers'!$L$3:$N$6,3,FALSE)))</f>
        <v/>
      </c>
      <c r="M76" s="506" t="str">
        <f>IF(D76="","",VLOOKUP(D76,'G-6 Hedgerow Data'!$B$1:$AH$15,33,FALSE))</f>
        <v/>
      </c>
      <c r="N76" s="513" t="str">
        <f t="shared" si="9"/>
        <v/>
      </c>
      <c r="O76" s="40"/>
      <c r="P76" s="145"/>
      <c r="Q76" s="157"/>
      <c r="R76" s="507" t="str">
        <f t="shared" si="10"/>
        <v/>
      </c>
      <c r="S76" s="507" t="str">
        <f t="shared" si="11"/>
        <v/>
      </c>
      <c r="T76" s="511" t="str">
        <f t="shared" si="12"/>
        <v/>
      </c>
      <c r="U76" s="515" t="str">
        <f t="shared" si="13"/>
        <v/>
      </c>
      <c r="V76" s="151"/>
      <c r="W76" s="152"/>
      <c r="AB76" s="31" t="str">
        <f>IFERROR(INDEX('G-6 Hedgerow Data'!$BJ$3:$BJ$15,MATCH(D76,'G-6 Hedgerow Data'!$B$3:$B$15,0)),"")</f>
        <v/>
      </c>
      <c r="AE76" s="156" t="str">
        <f t="shared" si="7"/>
        <v/>
      </c>
      <c r="AF76" s="156" t="str">
        <f t="shared" si="8"/>
        <v/>
      </c>
      <c r="AH76" s="156">
        <v>67</v>
      </c>
      <c r="AJ76" s="156" t="str">
        <f t="array" ref="AJ76">IFERROR(INDEX($AH$10:$AH$258, MATCH(0, IF(TRUE=$AE$10:$AE$258, COUNTIF($AJ$9:$AJ75, $AH$10:$AH$258), ""), 0)),"")</f>
        <v/>
      </c>
      <c r="AK76" s="156" t="str">
        <f t="array" ref="AK76">IFERROR(INDEX($AH$10:$AH$258, MATCH(0, IF(TRUE=$AF$10:$AF$258, COUNTIF($AK$9:$AK75, $AH$10:$AH$258), ""), 0)),"")</f>
        <v/>
      </c>
    </row>
    <row r="77" spans="2:37" ht="14" x14ac:dyDescent="0.3">
      <c r="B77" s="141">
        <v>68</v>
      </c>
      <c r="C77" s="203"/>
      <c r="D77" s="203"/>
      <c r="E77" s="153"/>
      <c r="F77" s="498" t="str">
        <f>IF(D77="","",VLOOKUP(D77,'G-6 Hedgerow Data'!$B$2:$AG$15,2,FALSE))</f>
        <v/>
      </c>
      <c r="G77" s="499" t="str">
        <f>IF(D77="","",VLOOKUP(D77,'G-6 Hedgerow Data'!$B$2:$AG$15,3,FALSE))</f>
        <v/>
      </c>
      <c r="H77" s="145"/>
      <c r="I77" s="499" t="str">
        <f>IFERROR(IF(AND(F77="V.Low",OR(H77="Good",H77="Moderate")),"Error ▲",VLOOKUP(H77,'G-1 All Habitats'!$Z$2:$AA$9,2,FALSE)),"")</f>
        <v/>
      </c>
      <c r="J77" s="154"/>
      <c r="K77" s="520" t="str">
        <f>IF(J77="","",IF(VLOOKUP(J77,'G-3 Multipliers'!$L$3:$N$6,2,FALSE)=0,"Spatial Data Missing ⚠",VLOOKUP(J77,'G-3 Multipliers'!$L$3:$N$6,2,FALSE)))</f>
        <v/>
      </c>
      <c r="L77" s="524" t="str">
        <f>IF(J77="","",IF(VLOOKUP(J77,'G-3 Multipliers'!$L$3:$N$6,3,FALSE)=0,"Spatial Data Missing ⚠",VLOOKUP(J77,'G-3 Multipliers'!$L$3:$N$6,3,FALSE)))</f>
        <v/>
      </c>
      <c r="M77" s="506" t="str">
        <f>IF(D77="","",VLOOKUP(D77,'G-6 Hedgerow Data'!$B$1:$AH$15,33,FALSE))</f>
        <v/>
      </c>
      <c r="N77" s="513" t="str">
        <f t="shared" si="9"/>
        <v/>
      </c>
      <c r="O77" s="40"/>
      <c r="P77" s="145"/>
      <c r="Q77" s="157"/>
      <c r="R77" s="507" t="str">
        <f t="shared" si="10"/>
        <v/>
      </c>
      <c r="S77" s="507" t="str">
        <f t="shared" si="11"/>
        <v/>
      </c>
      <c r="T77" s="511" t="str">
        <f t="shared" si="12"/>
        <v/>
      </c>
      <c r="U77" s="515" t="str">
        <f t="shared" si="13"/>
        <v/>
      </c>
      <c r="V77" s="151"/>
      <c r="W77" s="152"/>
      <c r="AB77" s="31" t="str">
        <f>IFERROR(INDEX('G-6 Hedgerow Data'!$BJ$3:$BJ$15,MATCH(D77,'G-6 Hedgerow Data'!$B$3:$B$15,0)),"")</f>
        <v/>
      </c>
      <c r="AE77" s="156" t="str">
        <f t="shared" si="7"/>
        <v/>
      </c>
      <c r="AF77" s="156" t="str">
        <f t="shared" si="8"/>
        <v/>
      </c>
      <c r="AH77" s="156">
        <v>68</v>
      </c>
      <c r="AJ77" s="156" t="str">
        <f t="array" ref="AJ77">IFERROR(INDEX($AH$10:$AH$258, MATCH(0, IF(TRUE=$AE$10:$AE$258, COUNTIF($AJ$9:$AJ76, $AH$10:$AH$258), ""), 0)),"")</f>
        <v/>
      </c>
      <c r="AK77" s="156" t="str">
        <f t="array" ref="AK77">IFERROR(INDEX($AH$10:$AH$258, MATCH(0, IF(TRUE=$AF$10:$AF$258, COUNTIF($AK$9:$AK76, $AH$10:$AH$258), ""), 0)),"")</f>
        <v/>
      </c>
    </row>
    <row r="78" spans="2:37" ht="14" x14ac:dyDescent="0.3">
      <c r="B78" s="141">
        <v>69</v>
      </c>
      <c r="C78" s="203"/>
      <c r="D78" s="203"/>
      <c r="E78" s="153"/>
      <c r="F78" s="498" t="str">
        <f>IF(D78="","",VLOOKUP(D78,'G-6 Hedgerow Data'!$B$2:$AG$15,2,FALSE))</f>
        <v/>
      </c>
      <c r="G78" s="499" t="str">
        <f>IF(D78="","",VLOOKUP(D78,'G-6 Hedgerow Data'!$B$2:$AG$15,3,FALSE))</f>
        <v/>
      </c>
      <c r="H78" s="145"/>
      <c r="I78" s="499" t="str">
        <f>IFERROR(IF(AND(F78="V.Low",OR(H78="Good",H78="Moderate")),"Error ▲",VLOOKUP(H78,'G-1 All Habitats'!$Z$2:$AA$9,2,FALSE)),"")</f>
        <v/>
      </c>
      <c r="J78" s="154"/>
      <c r="K78" s="520" t="str">
        <f>IF(J78="","",IF(VLOOKUP(J78,'G-3 Multipliers'!$L$3:$N$6,2,FALSE)=0,"Spatial Data Missing ⚠",VLOOKUP(J78,'G-3 Multipliers'!$L$3:$N$6,2,FALSE)))</f>
        <v/>
      </c>
      <c r="L78" s="524" t="str">
        <f>IF(J78="","",IF(VLOOKUP(J78,'G-3 Multipliers'!$L$3:$N$6,3,FALSE)=0,"Spatial Data Missing ⚠",VLOOKUP(J78,'G-3 Multipliers'!$L$3:$N$6,3,FALSE)))</f>
        <v/>
      </c>
      <c r="M78" s="506" t="str">
        <f>IF(D78="","",VLOOKUP(D78,'G-6 Hedgerow Data'!$B$1:$AH$15,33,FALSE))</f>
        <v/>
      </c>
      <c r="N78" s="513" t="str">
        <f t="shared" si="9"/>
        <v/>
      </c>
      <c r="O78" s="40"/>
      <c r="P78" s="145"/>
      <c r="Q78" s="157"/>
      <c r="R78" s="507" t="str">
        <f t="shared" si="10"/>
        <v/>
      </c>
      <c r="S78" s="507" t="str">
        <f t="shared" si="11"/>
        <v/>
      </c>
      <c r="T78" s="511" t="str">
        <f t="shared" si="12"/>
        <v/>
      </c>
      <c r="U78" s="515" t="str">
        <f t="shared" si="13"/>
        <v/>
      </c>
      <c r="V78" s="151"/>
      <c r="W78" s="152"/>
      <c r="AB78" s="31" t="str">
        <f>IFERROR(INDEX('G-6 Hedgerow Data'!$BJ$3:$BJ$15,MATCH(D78,'G-6 Hedgerow Data'!$B$3:$B$15,0)),"")</f>
        <v/>
      </c>
      <c r="AE78" s="156" t="str">
        <f t="shared" si="7"/>
        <v/>
      </c>
      <c r="AF78" s="156" t="str">
        <f t="shared" si="8"/>
        <v/>
      </c>
      <c r="AH78" s="156">
        <v>69</v>
      </c>
      <c r="AJ78" s="156" t="str">
        <f t="array" ref="AJ78">IFERROR(INDEX($AH$10:$AH$258, MATCH(0, IF(TRUE=$AE$10:$AE$258, COUNTIF($AJ$9:$AJ77, $AH$10:$AH$258), ""), 0)),"")</f>
        <v/>
      </c>
      <c r="AK78" s="156" t="str">
        <f t="array" ref="AK78">IFERROR(INDEX($AH$10:$AH$258, MATCH(0, IF(TRUE=$AF$10:$AF$258, COUNTIF($AK$9:$AK77, $AH$10:$AH$258), ""), 0)),"")</f>
        <v/>
      </c>
    </row>
    <row r="79" spans="2:37" ht="14" x14ac:dyDescent="0.3">
      <c r="B79" s="141">
        <v>70</v>
      </c>
      <c r="C79" s="203"/>
      <c r="D79" s="203"/>
      <c r="E79" s="153"/>
      <c r="F79" s="498" t="str">
        <f>IF(D79="","",VLOOKUP(D79,'G-6 Hedgerow Data'!$B$2:$AG$15,2,FALSE))</f>
        <v/>
      </c>
      <c r="G79" s="499" t="str">
        <f>IF(D79="","",VLOOKUP(D79,'G-6 Hedgerow Data'!$B$2:$AG$15,3,FALSE))</f>
        <v/>
      </c>
      <c r="H79" s="145"/>
      <c r="I79" s="499" t="str">
        <f>IFERROR(IF(AND(F79="V.Low",OR(H79="Good",H79="Moderate")),"Error ▲",VLOOKUP(H79,'G-1 All Habitats'!$Z$2:$AA$9,2,FALSE)),"")</f>
        <v/>
      </c>
      <c r="J79" s="154"/>
      <c r="K79" s="520" t="str">
        <f>IF(J79="","",IF(VLOOKUP(J79,'G-3 Multipliers'!$L$3:$N$6,2,FALSE)=0,"Spatial Data Missing ⚠",VLOOKUP(J79,'G-3 Multipliers'!$L$3:$N$6,2,FALSE)))</f>
        <v/>
      </c>
      <c r="L79" s="524" t="str">
        <f>IF(J79="","",IF(VLOOKUP(J79,'G-3 Multipliers'!$L$3:$N$6,3,FALSE)=0,"Spatial Data Missing ⚠",VLOOKUP(J79,'G-3 Multipliers'!$L$3:$N$6,3,FALSE)))</f>
        <v/>
      </c>
      <c r="M79" s="506" t="str">
        <f>IF(D79="","",VLOOKUP(D79,'G-6 Hedgerow Data'!$B$1:$AH$15,33,FALSE))</f>
        <v/>
      </c>
      <c r="N79" s="513" t="str">
        <f t="shared" si="9"/>
        <v/>
      </c>
      <c r="O79" s="40"/>
      <c r="P79" s="145"/>
      <c r="Q79" s="157"/>
      <c r="R79" s="507" t="str">
        <f t="shared" si="10"/>
        <v/>
      </c>
      <c r="S79" s="507" t="str">
        <f t="shared" si="11"/>
        <v/>
      </c>
      <c r="T79" s="511" t="str">
        <f t="shared" si="12"/>
        <v/>
      </c>
      <c r="U79" s="515" t="str">
        <f t="shared" si="13"/>
        <v/>
      </c>
      <c r="V79" s="151"/>
      <c r="W79" s="152"/>
      <c r="AB79" s="31" t="str">
        <f>IFERROR(INDEX('G-6 Hedgerow Data'!$BJ$3:$BJ$15,MATCH(D79,'G-6 Hedgerow Data'!$B$3:$B$15,0)),"")</f>
        <v/>
      </c>
      <c r="AE79" s="156" t="str">
        <f t="shared" si="7"/>
        <v/>
      </c>
      <c r="AF79" s="156" t="str">
        <f t="shared" si="8"/>
        <v/>
      </c>
      <c r="AH79" s="156">
        <v>70</v>
      </c>
      <c r="AJ79" s="156" t="str">
        <f t="array" ref="AJ79">IFERROR(INDEX($AH$10:$AH$258, MATCH(0, IF(TRUE=$AE$10:$AE$258, COUNTIF($AJ$9:$AJ78, $AH$10:$AH$258), ""), 0)),"")</f>
        <v/>
      </c>
      <c r="AK79" s="156" t="str">
        <f t="array" ref="AK79">IFERROR(INDEX($AH$10:$AH$258, MATCH(0, IF(TRUE=$AF$10:$AF$258, COUNTIF($AK$9:$AK78, $AH$10:$AH$258), ""), 0)),"")</f>
        <v/>
      </c>
    </row>
    <row r="80" spans="2:37" ht="14" x14ac:dyDescent="0.3">
      <c r="B80" s="141">
        <v>71</v>
      </c>
      <c r="C80" s="203"/>
      <c r="D80" s="203"/>
      <c r="E80" s="153"/>
      <c r="F80" s="498" t="str">
        <f>IF(D80="","",VLOOKUP(D80,'G-6 Hedgerow Data'!$B$2:$AG$15,2,FALSE))</f>
        <v/>
      </c>
      <c r="G80" s="499" t="str">
        <f>IF(D80="","",VLOOKUP(D80,'G-6 Hedgerow Data'!$B$2:$AG$15,3,FALSE))</f>
        <v/>
      </c>
      <c r="H80" s="145"/>
      <c r="I80" s="499" t="str">
        <f>IFERROR(IF(AND(F80="V.Low",OR(H80="Good",H80="Moderate")),"Error ▲",VLOOKUP(H80,'G-1 All Habitats'!$Z$2:$AA$9,2,FALSE)),"")</f>
        <v/>
      </c>
      <c r="J80" s="154"/>
      <c r="K80" s="520" t="str">
        <f>IF(J80="","",IF(VLOOKUP(J80,'G-3 Multipliers'!$L$3:$N$6,2,FALSE)=0,"Spatial Data Missing ⚠",VLOOKUP(J80,'G-3 Multipliers'!$L$3:$N$6,2,FALSE)))</f>
        <v/>
      </c>
      <c r="L80" s="524" t="str">
        <f>IF(J80="","",IF(VLOOKUP(J80,'G-3 Multipliers'!$L$3:$N$6,3,FALSE)=0,"Spatial Data Missing ⚠",VLOOKUP(J80,'G-3 Multipliers'!$L$3:$N$6,3,FALSE)))</f>
        <v/>
      </c>
      <c r="M80" s="506" t="str">
        <f>IF(D80="","",VLOOKUP(D80,'G-6 Hedgerow Data'!$B$1:$AH$15,33,FALSE))</f>
        <v/>
      </c>
      <c r="N80" s="513" t="str">
        <f t="shared" si="9"/>
        <v/>
      </c>
      <c r="O80" s="40"/>
      <c r="P80" s="145"/>
      <c r="Q80" s="157"/>
      <c r="R80" s="507" t="str">
        <f t="shared" si="10"/>
        <v/>
      </c>
      <c r="S80" s="507" t="str">
        <f t="shared" si="11"/>
        <v/>
      </c>
      <c r="T80" s="511" t="str">
        <f t="shared" si="12"/>
        <v/>
      </c>
      <c r="U80" s="515" t="str">
        <f t="shared" si="13"/>
        <v/>
      </c>
      <c r="V80" s="151"/>
      <c r="W80" s="152"/>
      <c r="AB80" s="31" t="str">
        <f>IFERROR(INDEX('G-6 Hedgerow Data'!$BJ$3:$BJ$15,MATCH(D80,'G-6 Hedgerow Data'!$B$3:$B$15,0)),"")</f>
        <v/>
      </c>
      <c r="AE80" s="156" t="str">
        <f t="shared" si="7"/>
        <v/>
      </c>
      <c r="AF80" s="156" t="str">
        <f t="shared" si="8"/>
        <v/>
      </c>
      <c r="AH80" s="156">
        <v>71</v>
      </c>
      <c r="AJ80" s="156" t="str">
        <f t="array" ref="AJ80">IFERROR(INDEX($AH$10:$AH$258, MATCH(0, IF(TRUE=$AE$10:$AE$258, COUNTIF($AJ$9:$AJ79, $AH$10:$AH$258), ""), 0)),"")</f>
        <v/>
      </c>
      <c r="AK80" s="156" t="str">
        <f t="array" ref="AK80">IFERROR(INDEX($AH$10:$AH$258, MATCH(0, IF(TRUE=$AF$10:$AF$258, COUNTIF($AK$9:$AK79, $AH$10:$AH$258), ""), 0)),"")</f>
        <v/>
      </c>
    </row>
    <row r="81" spans="2:37" ht="14" x14ac:dyDescent="0.3">
      <c r="B81" s="141">
        <v>72</v>
      </c>
      <c r="C81" s="203"/>
      <c r="D81" s="203"/>
      <c r="E81" s="153"/>
      <c r="F81" s="498" t="str">
        <f>IF(D81="","",VLOOKUP(D81,'G-6 Hedgerow Data'!$B$2:$AG$15,2,FALSE))</f>
        <v/>
      </c>
      <c r="G81" s="499" t="str">
        <f>IF(D81="","",VLOOKUP(D81,'G-6 Hedgerow Data'!$B$2:$AG$15,3,FALSE))</f>
        <v/>
      </c>
      <c r="H81" s="145"/>
      <c r="I81" s="499" t="str">
        <f>IFERROR(IF(AND(F81="V.Low",OR(H81="Good",H81="Moderate")),"Error ▲",VLOOKUP(H81,'G-1 All Habitats'!$Z$2:$AA$9,2,FALSE)),"")</f>
        <v/>
      </c>
      <c r="J81" s="154"/>
      <c r="K81" s="520" t="str">
        <f>IF(J81="","",IF(VLOOKUP(J81,'G-3 Multipliers'!$L$3:$N$6,2,FALSE)=0,"Spatial Data Missing ⚠",VLOOKUP(J81,'G-3 Multipliers'!$L$3:$N$6,2,FALSE)))</f>
        <v/>
      </c>
      <c r="L81" s="524" t="str">
        <f>IF(J81="","",IF(VLOOKUP(J81,'G-3 Multipliers'!$L$3:$N$6,3,FALSE)=0,"Spatial Data Missing ⚠",VLOOKUP(J81,'G-3 Multipliers'!$L$3:$N$6,3,FALSE)))</f>
        <v/>
      </c>
      <c r="M81" s="506" t="str">
        <f>IF(D81="","",VLOOKUP(D81,'G-6 Hedgerow Data'!$B$1:$AH$15,33,FALSE))</f>
        <v/>
      </c>
      <c r="N81" s="513" t="str">
        <f t="shared" si="9"/>
        <v/>
      </c>
      <c r="O81" s="40"/>
      <c r="P81" s="145"/>
      <c r="Q81" s="157"/>
      <c r="R81" s="507" t="str">
        <f t="shared" si="10"/>
        <v/>
      </c>
      <c r="S81" s="507" t="str">
        <f t="shared" si="11"/>
        <v/>
      </c>
      <c r="T81" s="511" t="str">
        <f t="shared" si="12"/>
        <v/>
      </c>
      <c r="U81" s="515" t="str">
        <f t="shared" si="13"/>
        <v/>
      </c>
      <c r="V81" s="151"/>
      <c r="W81" s="152"/>
      <c r="AB81" s="31" t="str">
        <f>IFERROR(INDEX('G-6 Hedgerow Data'!$BJ$3:$BJ$15,MATCH(D81,'G-6 Hedgerow Data'!$B$3:$B$15,0)),"")</f>
        <v/>
      </c>
      <c r="AE81" s="156" t="str">
        <f t="shared" si="7"/>
        <v/>
      </c>
      <c r="AF81" s="156" t="str">
        <f t="shared" si="8"/>
        <v/>
      </c>
      <c r="AH81" s="156">
        <v>72</v>
      </c>
      <c r="AJ81" s="156" t="str">
        <f t="array" ref="AJ81">IFERROR(INDEX($AH$10:$AH$258, MATCH(0, IF(TRUE=$AE$10:$AE$258, COUNTIF($AJ$9:$AJ80, $AH$10:$AH$258), ""), 0)),"")</f>
        <v/>
      </c>
      <c r="AK81" s="156" t="str">
        <f t="array" ref="AK81">IFERROR(INDEX($AH$10:$AH$258, MATCH(0, IF(TRUE=$AF$10:$AF$258, COUNTIF($AK$9:$AK80, $AH$10:$AH$258), ""), 0)),"")</f>
        <v/>
      </c>
    </row>
    <row r="82" spans="2:37" ht="14" x14ac:dyDescent="0.3">
      <c r="B82" s="141">
        <v>73</v>
      </c>
      <c r="C82" s="203"/>
      <c r="D82" s="203"/>
      <c r="E82" s="153"/>
      <c r="F82" s="498" t="str">
        <f>IF(D82="","",VLOOKUP(D82,'G-6 Hedgerow Data'!$B$2:$AG$15,2,FALSE))</f>
        <v/>
      </c>
      <c r="G82" s="499" t="str">
        <f>IF(D82="","",VLOOKUP(D82,'G-6 Hedgerow Data'!$B$2:$AG$15,3,FALSE))</f>
        <v/>
      </c>
      <c r="H82" s="145"/>
      <c r="I82" s="499" t="str">
        <f>IFERROR(IF(AND(F82="V.Low",OR(H82="Good",H82="Moderate")),"Error ▲",VLOOKUP(H82,'G-1 All Habitats'!$Z$2:$AA$9,2,FALSE)),"")</f>
        <v/>
      </c>
      <c r="J82" s="154"/>
      <c r="K82" s="520" t="str">
        <f>IF(J82="","",IF(VLOOKUP(J82,'G-3 Multipliers'!$L$3:$N$6,2,FALSE)=0,"Spatial Data Missing ⚠",VLOOKUP(J82,'G-3 Multipliers'!$L$3:$N$6,2,FALSE)))</f>
        <v/>
      </c>
      <c r="L82" s="524" t="str">
        <f>IF(J82="","",IF(VLOOKUP(J82,'G-3 Multipliers'!$L$3:$N$6,3,FALSE)=0,"Spatial Data Missing ⚠",VLOOKUP(J82,'G-3 Multipliers'!$L$3:$N$6,3,FALSE)))</f>
        <v/>
      </c>
      <c r="M82" s="506" t="str">
        <f>IF(D82="","",VLOOKUP(D82,'G-6 Hedgerow Data'!$B$1:$AH$15,33,FALSE))</f>
        <v/>
      </c>
      <c r="N82" s="513" t="str">
        <f t="shared" si="9"/>
        <v/>
      </c>
      <c r="O82" s="40"/>
      <c r="P82" s="145"/>
      <c r="Q82" s="157"/>
      <c r="R82" s="507" t="str">
        <f t="shared" si="10"/>
        <v/>
      </c>
      <c r="S82" s="507" t="str">
        <f t="shared" si="11"/>
        <v/>
      </c>
      <c r="T82" s="511" t="str">
        <f t="shared" si="12"/>
        <v/>
      </c>
      <c r="U82" s="515" t="str">
        <f t="shared" si="13"/>
        <v/>
      </c>
      <c r="V82" s="151"/>
      <c r="W82" s="152"/>
      <c r="AB82" s="31" t="str">
        <f>IFERROR(INDEX('G-6 Hedgerow Data'!$BJ$3:$BJ$15,MATCH(D82,'G-6 Hedgerow Data'!$B$3:$B$15,0)),"")</f>
        <v/>
      </c>
      <c r="AE82" s="156" t="str">
        <f t="shared" si="7"/>
        <v/>
      </c>
      <c r="AF82" s="156" t="str">
        <f t="shared" si="8"/>
        <v/>
      </c>
      <c r="AH82" s="156">
        <v>73</v>
      </c>
      <c r="AJ82" s="156" t="str">
        <f t="array" ref="AJ82">IFERROR(INDEX($AH$10:$AH$258, MATCH(0, IF(TRUE=$AE$10:$AE$258, COUNTIF($AJ$9:$AJ81, $AH$10:$AH$258), ""), 0)),"")</f>
        <v/>
      </c>
      <c r="AK82" s="156" t="str">
        <f t="array" ref="AK82">IFERROR(INDEX($AH$10:$AH$258, MATCH(0, IF(TRUE=$AF$10:$AF$258, COUNTIF($AK$9:$AK81, $AH$10:$AH$258), ""), 0)),"")</f>
        <v/>
      </c>
    </row>
    <row r="83" spans="2:37" ht="14" x14ac:dyDescent="0.3">
      <c r="B83" s="141">
        <v>74</v>
      </c>
      <c r="C83" s="203"/>
      <c r="D83" s="203"/>
      <c r="E83" s="153"/>
      <c r="F83" s="498" t="str">
        <f>IF(D83="","",VLOOKUP(D83,'G-6 Hedgerow Data'!$B$2:$AG$15,2,FALSE))</f>
        <v/>
      </c>
      <c r="G83" s="499" t="str">
        <f>IF(D83="","",VLOOKUP(D83,'G-6 Hedgerow Data'!$B$2:$AG$15,3,FALSE))</f>
        <v/>
      </c>
      <c r="H83" s="145"/>
      <c r="I83" s="499" t="str">
        <f>IFERROR(IF(AND(F83="V.Low",OR(H83="Good",H83="Moderate")),"Error ▲",VLOOKUP(H83,'G-1 All Habitats'!$Z$2:$AA$9,2,FALSE)),"")</f>
        <v/>
      </c>
      <c r="J83" s="154"/>
      <c r="K83" s="520" t="str">
        <f>IF(J83="","",IF(VLOOKUP(J83,'G-3 Multipliers'!$L$3:$N$6,2,FALSE)=0,"Spatial Data Missing ⚠",VLOOKUP(J83,'G-3 Multipliers'!$L$3:$N$6,2,FALSE)))</f>
        <v/>
      </c>
      <c r="L83" s="524" t="str">
        <f>IF(J83="","",IF(VLOOKUP(J83,'G-3 Multipliers'!$L$3:$N$6,3,FALSE)=0,"Spatial Data Missing ⚠",VLOOKUP(J83,'G-3 Multipliers'!$L$3:$N$6,3,FALSE)))</f>
        <v/>
      </c>
      <c r="M83" s="506" t="str">
        <f>IF(D83="","",VLOOKUP(D83,'G-6 Hedgerow Data'!$B$1:$AH$15,33,FALSE))</f>
        <v/>
      </c>
      <c r="N83" s="513" t="str">
        <f t="shared" si="9"/>
        <v/>
      </c>
      <c r="O83" s="40"/>
      <c r="P83" s="145"/>
      <c r="Q83" s="157"/>
      <c r="R83" s="507" t="str">
        <f t="shared" si="10"/>
        <v/>
      </c>
      <c r="S83" s="507" t="str">
        <f t="shared" si="11"/>
        <v/>
      </c>
      <c r="T83" s="511" t="str">
        <f t="shared" si="12"/>
        <v/>
      </c>
      <c r="U83" s="515" t="str">
        <f t="shared" si="13"/>
        <v/>
      </c>
      <c r="V83" s="151"/>
      <c r="W83" s="152"/>
      <c r="AB83" s="31" t="str">
        <f>IFERROR(INDEX('G-6 Hedgerow Data'!$BJ$3:$BJ$15,MATCH(D83,'G-6 Hedgerow Data'!$B$3:$B$15,0)),"")</f>
        <v/>
      </c>
      <c r="AE83" s="156" t="str">
        <f t="shared" si="7"/>
        <v/>
      </c>
      <c r="AF83" s="156" t="str">
        <f t="shared" si="8"/>
        <v/>
      </c>
      <c r="AH83" s="156">
        <v>74</v>
      </c>
      <c r="AJ83" s="156" t="str">
        <f t="array" ref="AJ83">IFERROR(INDEX($AH$10:$AH$258, MATCH(0, IF(TRUE=$AE$10:$AE$258, COUNTIF($AJ$9:$AJ82, $AH$10:$AH$258), ""), 0)),"")</f>
        <v/>
      </c>
      <c r="AK83" s="156" t="str">
        <f t="array" ref="AK83">IFERROR(INDEX($AH$10:$AH$258, MATCH(0, IF(TRUE=$AF$10:$AF$258, COUNTIF($AK$9:$AK82, $AH$10:$AH$258), ""), 0)),"")</f>
        <v/>
      </c>
    </row>
    <row r="84" spans="2:37" ht="14" x14ac:dyDescent="0.3">
      <c r="B84" s="141">
        <v>75</v>
      </c>
      <c r="C84" s="203"/>
      <c r="D84" s="203"/>
      <c r="E84" s="153"/>
      <c r="F84" s="498" t="str">
        <f>IF(D84="","",VLOOKUP(D84,'G-6 Hedgerow Data'!$B$2:$AG$15,2,FALSE))</f>
        <v/>
      </c>
      <c r="G84" s="499" t="str">
        <f>IF(D84="","",VLOOKUP(D84,'G-6 Hedgerow Data'!$B$2:$AG$15,3,FALSE))</f>
        <v/>
      </c>
      <c r="H84" s="145"/>
      <c r="I84" s="499" t="str">
        <f>IFERROR(IF(AND(F84="V.Low",OR(H84="Good",H84="Moderate")),"Error ▲",VLOOKUP(H84,'G-1 All Habitats'!$Z$2:$AA$9,2,FALSE)),"")</f>
        <v/>
      </c>
      <c r="J84" s="154"/>
      <c r="K84" s="520" t="str">
        <f>IF(J84="","",IF(VLOOKUP(J84,'G-3 Multipliers'!$L$3:$N$6,2,FALSE)=0,"Spatial Data Missing ⚠",VLOOKUP(J84,'G-3 Multipliers'!$L$3:$N$6,2,FALSE)))</f>
        <v/>
      </c>
      <c r="L84" s="524" t="str">
        <f>IF(J84="","",IF(VLOOKUP(J84,'G-3 Multipliers'!$L$3:$N$6,3,FALSE)=0,"Spatial Data Missing ⚠",VLOOKUP(J84,'G-3 Multipliers'!$L$3:$N$6,3,FALSE)))</f>
        <v/>
      </c>
      <c r="M84" s="506" t="str">
        <f>IF(D84="","",VLOOKUP(D84,'G-6 Hedgerow Data'!$B$1:$AH$15,33,FALSE))</f>
        <v/>
      </c>
      <c r="N84" s="513" t="str">
        <f t="shared" si="9"/>
        <v/>
      </c>
      <c r="O84" s="40"/>
      <c r="P84" s="145"/>
      <c r="Q84" s="157"/>
      <c r="R84" s="507" t="str">
        <f t="shared" si="10"/>
        <v/>
      </c>
      <c r="S84" s="507" t="str">
        <f t="shared" si="11"/>
        <v/>
      </c>
      <c r="T84" s="511" t="str">
        <f t="shared" si="12"/>
        <v/>
      </c>
      <c r="U84" s="515" t="str">
        <f t="shared" si="13"/>
        <v/>
      </c>
      <c r="V84" s="151"/>
      <c r="W84" s="152"/>
      <c r="AB84" s="31" t="str">
        <f>IFERROR(INDEX('G-6 Hedgerow Data'!$BJ$3:$BJ$15,MATCH(D84,'G-6 Hedgerow Data'!$B$3:$B$15,0)),"")</f>
        <v/>
      </c>
      <c r="AE84" s="156" t="str">
        <f t="shared" si="7"/>
        <v/>
      </c>
      <c r="AF84" s="156" t="str">
        <f t="shared" si="8"/>
        <v/>
      </c>
      <c r="AH84" s="156">
        <v>75</v>
      </c>
      <c r="AJ84" s="156" t="str">
        <f t="array" ref="AJ84">IFERROR(INDEX($AH$10:$AH$258, MATCH(0, IF(TRUE=$AE$10:$AE$258, COUNTIF($AJ$9:$AJ83, $AH$10:$AH$258), ""), 0)),"")</f>
        <v/>
      </c>
      <c r="AK84" s="156" t="str">
        <f t="array" ref="AK84">IFERROR(INDEX($AH$10:$AH$258, MATCH(0, IF(TRUE=$AF$10:$AF$258, COUNTIF($AK$9:$AK83, $AH$10:$AH$258), ""), 0)),"")</f>
        <v/>
      </c>
    </row>
    <row r="85" spans="2:37" ht="14" x14ac:dyDescent="0.3">
      <c r="B85" s="141">
        <v>76</v>
      </c>
      <c r="C85" s="203"/>
      <c r="D85" s="203"/>
      <c r="E85" s="153"/>
      <c r="F85" s="498" t="str">
        <f>IF(D85="","",VLOOKUP(D85,'G-6 Hedgerow Data'!$B$2:$AG$15,2,FALSE))</f>
        <v/>
      </c>
      <c r="G85" s="499" t="str">
        <f>IF(D85="","",VLOOKUP(D85,'G-6 Hedgerow Data'!$B$2:$AG$15,3,FALSE))</f>
        <v/>
      </c>
      <c r="H85" s="145"/>
      <c r="I85" s="499" t="str">
        <f>IFERROR(IF(AND(F85="V.Low",OR(H85="Good",H85="Moderate")),"Error ▲",VLOOKUP(H85,'G-1 All Habitats'!$Z$2:$AA$9,2,FALSE)),"")</f>
        <v/>
      </c>
      <c r="J85" s="154"/>
      <c r="K85" s="520" t="str">
        <f>IF(J85="","",IF(VLOOKUP(J85,'G-3 Multipliers'!$L$3:$N$6,2,FALSE)=0,"Spatial Data Missing ⚠",VLOOKUP(J85,'G-3 Multipliers'!$L$3:$N$6,2,FALSE)))</f>
        <v/>
      </c>
      <c r="L85" s="524" t="str">
        <f>IF(J85="","",IF(VLOOKUP(J85,'G-3 Multipliers'!$L$3:$N$6,3,FALSE)=0,"Spatial Data Missing ⚠",VLOOKUP(J85,'G-3 Multipliers'!$L$3:$N$6,3,FALSE)))</f>
        <v/>
      </c>
      <c r="M85" s="506" t="str">
        <f>IF(D85="","",VLOOKUP(D85,'G-6 Hedgerow Data'!$B$1:$AH$15,33,FALSE))</f>
        <v/>
      </c>
      <c r="N85" s="513" t="str">
        <f t="shared" si="9"/>
        <v/>
      </c>
      <c r="O85" s="40"/>
      <c r="P85" s="145"/>
      <c r="Q85" s="157"/>
      <c r="R85" s="507" t="str">
        <f t="shared" si="10"/>
        <v/>
      </c>
      <c r="S85" s="507" t="str">
        <f t="shared" si="11"/>
        <v/>
      </c>
      <c r="T85" s="511" t="str">
        <f t="shared" si="12"/>
        <v/>
      </c>
      <c r="U85" s="515" t="str">
        <f t="shared" si="13"/>
        <v/>
      </c>
      <c r="V85" s="151"/>
      <c r="W85" s="152"/>
      <c r="AB85" s="31" t="str">
        <f>IFERROR(INDEX('G-6 Hedgerow Data'!$BJ$3:$BJ$15,MATCH(D85,'G-6 Hedgerow Data'!$B$3:$B$15,0)),"")</f>
        <v/>
      </c>
      <c r="AE85" s="156" t="str">
        <f t="shared" si="7"/>
        <v/>
      </c>
      <c r="AF85" s="156" t="str">
        <f t="shared" si="8"/>
        <v/>
      </c>
      <c r="AH85" s="156">
        <v>76</v>
      </c>
      <c r="AJ85" s="156" t="str">
        <f t="array" ref="AJ85">IFERROR(INDEX($AH$10:$AH$258, MATCH(0, IF(TRUE=$AE$10:$AE$258, COUNTIF($AJ$9:$AJ84, $AH$10:$AH$258), ""), 0)),"")</f>
        <v/>
      </c>
      <c r="AK85" s="156" t="str">
        <f t="array" ref="AK85">IFERROR(INDEX($AH$10:$AH$258, MATCH(0, IF(TRUE=$AF$10:$AF$258, COUNTIF($AK$9:$AK84, $AH$10:$AH$258), ""), 0)),"")</f>
        <v/>
      </c>
    </row>
    <row r="86" spans="2:37" ht="14" x14ac:dyDescent="0.3">
      <c r="B86" s="141">
        <v>77</v>
      </c>
      <c r="C86" s="203"/>
      <c r="D86" s="203"/>
      <c r="E86" s="153"/>
      <c r="F86" s="498" t="str">
        <f>IF(D86="","",VLOOKUP(D86,'G-6 Hedgerow Data'!$B$2:$AG$15,2,FALSE))</f>
        <v/>
      </c>
      <c r="G86" s="499" t="str">
        <f>IF(D86="","",VLOOKUP(D86,'G-6 Hedgerow Data'!$B$2:$AG$15,3,FALSE))</f>
        <v/>
      </c>
      <c r="H86" s="145"/>
      <c r="I86" s="499" t="str">
        <f>IFERROR(IF(AND(F86="V.Low",OR(H86="Good",H86="Moderate")),"Error ▲",VLOOKUP(H86,'G-1 All Habitats'!$Z$2:$AA$9,2,FALSE)),"")</f>
        <v/>
      </c>
      <c r="J86" s="154"/>
      <c r="K86" s="520" t="str">
        <f>IF(J86="","",IF(VLOOKUP(J86,'G-3 Multipliers'!$L$3:$N$6,2,FALSE)=0,"Spatial Data Missing ⚠",VLOOKUP(J86,'G-3 Multipliers'!$L$3:$N$6,2,FALSE)))</f>
        <v/>
      </c>
      <c r="L86" s="524" t="str">
        <f>IF(J86="","",IF(VLOOKUP(J86,'G-3 Multipliers'!$L$3:$N$6,3,FALSE)=0,"Spatial Data Missing ⚠",VLOOKUP(J86,'G-3 Multipliers'!$L$3:$N$6,3,FALSE)))</f>
        <v/>
      </c>
      <c r="M86" s="506" t="str">
        <f>IF(D86="","",VLOOKUP(D86,'G-6 Hedgerow Data'!$B$1:$AH$15,33,FALSE))</f>
        <v/>
      </c>
      <c r="N86" s="513" t="str">
        <f t="shared" si="9"/>
        <v/>
      </c>
      <c r="O86" s="40"/>
      <c r="P86" s="145"/>
      <c r="Q86" s="157"/>
      <c r="R86" s="507" t="str">
        <f t="shared" si="10"/>
        <v/>
      </c>
      <c r="S86" s="507" t="str">
        <f t="shared" si="11"/>
        <v/>
      </c>
      <c r="T86" s="511" t="str">
        <f t="shared" si="12"/>
        <v/>
      </c>
      <c r="U86" s="515" t="str">
        <f t="shared" si="13"/>
        <v/>
      </c>
      <c r="V86" s="151"/>
      <c r="W86" s="152"/>
      <c r="AB86" s="31" t="str">
        <f>IFERROR(INDEX('G-6 Hedgerow Data'!$BJ$3:$BJ$15,MATCH(D86,'G-6 Hedgerow Data'!$B$3:$B$15,0)),"")</f>
        <v/>
      </c>
      <c r="AE86" s="156" t="str">
        <f t="shared" si="7"/>
        <v/>
      </c>
      <c r="AF86" s="156" t="str">
        <f t="shared" si="8"/>
        <v/>
      </c>
      <c r="AH86" s="156">
        <v>77</v>
      </c>
      <c r="AJ86" s="156" t="str">
        <f t="array" ref="AJ86">IFERROR(INDEX($AH$10:$AH$258, MATCH(0, IF(TRUE=$AE$10:$AE$258, COUNTIF($AJ$9:$AJ85, $AH$10:$AH$258), ""), 0)),"")</f>
        <v/>
      </c>
      <c r="AK86" s="156" t="str">
        <f t="array" ref="AK86">IFERROR(INDEX($AH$10:$AH$258, MATCH(0, IF(TRUE=$AF$10:$AF$258, COUNTIF($AK$9:$AK85, $AH$10:$AH$258), ""), 0)),"")</f>
        <v/>
      </c>
    </row>
    <row r="87" spans="2:37" ht="14" x14ac:dyDescent="0.3">
      <c r="B87" s="141">
        <v>78</v>
      </c>
      <c r="C87" s="203"/>
      <c r="D87" s="203"/>
      <c r="E87" s="153"/>
      <c r="F87" s="498" t="str">
        <f>IF(D87="","",VLOOKUP(D87,'G-6 Hedgerow Data'!$B$2:$AG$15,2,FALSE))</f>
        <v/>
      </c>
      <c r="G87" s="499" t="str">
        <f>IF(D87="","",VLOOKUP(D87,'G-6 Hedgerow Data'!$B$2:$AG$15,3,FALSE))</f>
        <v/>
      </c>
      <c r="H87" s="145"/>
      <c r="I87" s="499" t="str">
        <f>IFERROR(IF(AND(F87="V.Low",OR(H87="Good",H87="Moderate")),"Error ▲",VLOOKUP(H87,'G-1 All Habitats'!$Z$2:$AA$9,2,FALSE)),"")</f>
        <v/>
      </c>
      <c r="J87" s="154"/>
      <c r="K87" s="520" t="str">
        <f>IF(J87="","",IF(VLOOKUP(J87,'G-3 Multipliers'!$L$3:$N$6,2,FALSE)=0,"Spatial Data Missing ⚠",VLOOKUP(J87,'G-3 Multipliers'!$L$3:$N$6,2,FALSE)))</f>
        <v/>
      </c>
      <c r="L87" s="524" t="str">
        <f>IF(J87="","",IF(VLOOKUP(J87,'G-3 Multipliers'!$L$3:$N$6,3,FALSE)=0,"Spatial Data Missing ⚠",VLOOKUP(J87,'G-3 Multipliers'!$L$3:$N$6,3,FALSE)))</f>
        <v/>
      </c>
      <c r="M87" s="506" t="str">
        <f>IF(D87="","",VLOOKUP(D87,'G-6 Hedgerow Data'!$B$1:$AH$15,33,FALSE))</f>
        <v/>
      </c>
      <c r="N87" s="513" t="str">
        <f t="shared" si="9"/>
        <v/>
      </c>
      <c r="O87" s="40"/>
      <c r="P87" s="145"/>
      <c r="Q87" s="157"/>
      <c r="R87" s="507" t="str">
        <f t="shared" si="10"/>
        <v/>
      </c>
      <c r="S87" s="507" t="str">
        <f t="shared" si="11"/>
        <v/>
      </c>
      <c r="T87" s="511" t="str">
        <f t="shared" si="12"/>
        <v/>
      </c>
      <c r="U87" s="515" t="str">
        <f t="shared" si="13"/>
        <v/>
      </c>
      <c r="V87" s="151"/>
      <c r="W87" s="152"/>
      <c r="AB87" s="31" t="str">
        <f>IFERROR(INDEX('G-6 Hedgerow Data'!$BJ$3:$BJ$15,MATCH(D87,'G-6 Hedgerow Data'!$B$3:$B$15,0)),"")</f>
        <v/>
      </c>
      <c r="AE87" s="156" t="str">
        <f t="shared" si="7"/>
        <v/>
      </c>
      <c r="AF87" s="156" t="str">
        <f t="shared" si="8"/>
        <v/>
      </c>
      <c r="AH87" s="156">
        <v>78</v>
      </c>
      <c r="AJ87" s="156" t="str">
        <f t="array" ref="AJ87">IFERROR(INDEX($AH$10:$AH$258, MATCH(0, IF(TRUE=$AE$10:$AE$258, COUNTIF($AJ$9:$AJ86, $AH$10:$AH$258), ""), 0)),"")</f>
        <v/>
      </c>
      <c r="AK87" s="156" t="str">
        <f t="array" ref="AK87">IFERROR(INDEX($AH$10:$AH$258, MATCH(0, IF(TRUE=$AF$10:$AF$258, COUNTIF($AK$9:$AK86, $AH$10:$AH$258), ""), 0)),"")</f>
        <v/>
      </c>
    </row>
    <row r="88" spans="2:37" ht="14" x14ac:dyDescent="0.3">
      <c r="B88" s="141">
        <v>79</v>
      </c>
      <c r="C88" s="203"/>
      <c r="D88" s="203"/>
      <c r="E88" s="153"/>
      <c r="F88" s="498" t="str">
        <f>IF(D88="","",VLOOKUP(D88,'G-6 Hedgerow Data'!$B$2:$AG$15,2,FALSE))</f>
        <v/>
      </c>
      <c r="G88" s="499" t="str">
        <f>IF(D88="","",VLOOKUP(D88,'G-6 Hedgerow Data'!$B$2:$AG$15,3,FALSE))</f>
        <v/>
      </c>
      <c r="H88" s="145"/>
      <c r="I88" s="499" t="str">
        <f>IFERROR(IF(AND(F88="V.Low",OR(H88="Good",H88="Moderate")),"Error ▲",VLOOKUP(H88,'G-1 All Habitats'!$Z$2:$AA$9,2,FALSE)),"")</f>
        <v/>
      </c>
      <c r="J88" s="154"/>
      <c r="K88" s="520" t="str">
        <f>IF(J88="","",IF(VLOOKUP(J88,'G-3 Multipliers'!$L$3:$N$6,2,FALSE)=0,"Spatial Data Missing ⚠",VLOOKUP(J88,'G-3 Multipliers'!$L$3:$N$6,2,FALSE)))</f>
        <v/>
      </c>
      <c r="L88" s="524" t="str">
        <f>IF(J88="","",IF(VLOOKUP(J88,'G-3 Multipliers'!$L$3:$N$6,3,FALSE)=0,"Spatial Data Missing ⚠",VLOOKUP(J88,'G-3 Multipliers'!$L$3:$N$6,3,FALSE)))</f>
        <v/>
      </c>
      <c r="M88" s="506" t="str">
        <f>IF(D88="","",VLOOKUP(D88,'G-6 Hedgerow Data'!$B$1:$AH$15,33,FALSE))</f>
        <v/>
      </c>
      <c r="N88" s="513" t="str">
        <f t="shared" si="9"/>
        <v/>
      </c>
      <c r="O88" s="40"/>
      <c r="P88" s="145"/>
      <c r="Q88" s="157"/>
      <c r="R88" s="507" t="str">
        <f t="shared" si="10"/>
        <v/>
      </c>
      <c r="S88" s="507" t="str">
        <f t="shared" si="11"/>
        <v/>
      </c>
      <c r="T88" s="511" t="str">
        <f t="shared" si="12"/>
        <v/>
      </c>
      <c r="U88" s="515" t="str">
        <f t="shared" si="13"/>
        <v/>
      </c>
      <c r="V88" s="151"/>
      <c r="W88" s="152"/>
      <c r="AB88" s="31" t="str">
        <f>IFERROR(INDEX('G-6 Hedgerow Data'!$BJ$3:$BJ$15,MATCH(D88,'G-6 Hedgerow Data'!$B$3:$B$15,0)),"")</f>
        <v/>
      </c>
      <c r="AE88" s="156" t="str">
        <f t="shared" si="7"/>
        <v/>
      </c>
      <c r="AF88" s="156" t="str">
        <f t="shared" si="8"/>
        <v/>
      </c>
      <c r="AH88" s="156">
        <v>79</v>
      </c>
      <c r="AJ88" s="156" t="str">
        <f t="array" ref="AJ88">IFERROR(INDEX($AH$10:$AH$258, MATCH(0, IF(TRUE=$AE$10:$AE$258, COUNTIF($AJ$9:$AJ87, $AH$10:$AH$258), ""), 0)),"")</f>
        <v/>
      </c>
      <c r="AK88" s="156" t="str">
        <f t="array" ref="AK88">IFERROR(INDEX($AH$10:$AH$258, MATCH(0, IF(TRUE=$AF$10:$AF$258, COUNTIF($AK$9:$AK87, $AH$10:$AH$258), ""), 0)),"")</f>
        <v/>
      </c>
    </row>
    <row r="89" spans="2:37" ht="14" x14ac:dyDescent="0.3">
      <c r="B89" s="141">
        <v>80</v>
      </c>
      <c r="C89" s="203"/>
      <c r="D89" s="203"/>
      <c r="E89" s="153"/>
      <c r="F89" s="498" t="str">
        <f>IF(D89="","",VLOOKUP(D89,'G-6 Hedgerow Data'!$B$2:$AG$15,2,FALSE))</f>
        <v/>
      </c>
      <c r="G89" s="499" t="str">
        <f>IF(D89="","",VLOOKUP(D89,'G-6 Hedgerow Data'!$B$2:$AG$15,3,FALSE))</f>
        <v/>
      </c>
      <c r="H89" s="145"/>
      <c r="I89" s="499" t="str">
        <f>IFERROR(IF(AND(F89="V.Low",OR(H89="Good",H89="Moderate")),"Error ▲",VLOOKUP(H89,'G-1 All Habitats'!$Z$2:$AA$9,2,FALSE)),"")</f>
        <v/>
      </c>
      <c r="J89" s="154"/>
      <c r="K89" s="520" t="str">
        <f>IF(J89="","",IF(VLOOKUP(J89,'G-3 Multipliers'!$L$3:$N$6,2,FALSE)=0,"Spatial Data Missing ⚠",VLOOKUP(J89,'G-3 Multipliers'!$L$3:$N$6,2,FALSE)))</f>
        <v/>
      </c>
      <c r="L89" s="524" t="str">
        <f>IF(J89="","",IF(VLOOKUP(J89,'G-3 Multipliers'!$L$3:$N$6,3,FALSE)=0,"Spatial Data Missing ⚠",VLOOKUP(J89,'G-3 Multipliers'!$L$3:$N$6,3,FALSE)))</f>
        <v/>
      </c>
      <c r="M89" s="506" t="str">
        <f>IF(D89="","",VLOOKUP(D89,'G-6 Hedgerow Data'!$B$1:$AH$15,33,FALSE))</f>
        <v/>
      </c>
      <c r="N89" s="513" t="str">
        <f t="shared" si="9"/>
        <v/>
      </c>
      <c r="O89" s="40"/>
      <c r="P89" s="145"/>
      <c r="Q89" s="157"/>
      <c r="R89" s="507" t="str">
        <f t="shared" si="10"/>
        <v/>
      </c>
      <c r="S89" s="507" t="str">
        <f t="shared" si="11"/>
        <v/>
      </c>
      <c r="T89" s="511" t="str">
        <f t="shared" si="12"/>
        <v/>
      </c>
      <c r="U89" s="515" t="str">
        <f t="shared" si="13"/>
        <v/>
      </c>
      <c r="V89" s="151"/>
      <c r="W89" s="152"/>
      <c r="AB89" s="31" t="str">
        <f>IFERROR(INDEX('G-6 Hedgerow Data'!$BJ$3:$BJ$15,MATCH(D89,'G-6 Hedgerow Data'!$B$3:$B$15,0)),"")</f>
        <v/>
      </c>
      <c r="AE89" s="156" t="str">
        <f t="shared" si="7"/>
        <v/>
      </c>
      <c r="AF89" s="156" t="str">
        <f t="shared" si="8"/>
        <v/>
      </c>
      <c r="AH89" s="156">
        <v>80</v>
      </c>
      <c r="AJ89" s="156" t="str">
        <f t="array" ref="AJ89">IFERROR(INDEX($AH$10:$AH$258, MATCH(0, IF(TRUE=$AE$10:$AE$258, COUNTIF($AJ$9:$AJ88, $AH$10:$AH$258), ""), 0)),"")</f>
        <v/>
      </c>
      <c r="AK89" s="156" t="str">
        <f t="array" ref="AK89">IFERROR(INDEX($AH$10:$AH$258, MATCH(0, IF(TRUE=$AF$10:$AF$258, COUNTIF($AK$9:$AK88, $AH$10:$AH$258), ""), 0)),"")</f>
        <v/>
      </c>
    </row>
    <row r="90" spans="2:37" ht="14" x14ac:dyDescent="0.3">
      <c r="B90" s="141">
        <v>81</v>
      </c>
      <c r="C90" s="203"/>
      <c r="D90" s="203"/>
      <c r="E90" s="153"/>
      <c r="F90" s="498" t="str">
        <f>IF(D90="","",VLOOKUP(D90,'G-6 Hedgerow Data'!$B$2:$AG$15,2,FALSE))</f>
        <v/>
      </c>
      <c r="G90" s="499" t="str">
        <f>IF(D90="","",VLOOKUP(D90,'G-6 Hedgerow Data'!$B$2:$AG$15,3,FALSE))</f>
        <v/>
      </c>
      <c r="H90" s="145"/>
      <c r="I90" s="499" t="str">
        <f>IFERROR(IF(AND(F90="V.Low",OR(H90="Good",H90="Moderate")),"Error ▲",VLOOKUP(H90,'G-1 All Habitats'!$Z$2:$AA$9,2,FALSE)),"")</f>
        <v/>
      </c>
      <c r="J90" s="154"/>
      <c r="K90" s="520" t="str">
        <f>IF(J90="","",IF(VLOOKUP(J90,'G-3 Multipliers'!$L$3:$N$6,2,FALSE)=0,"Spatial Data Missing ⚠",VLOOKUP(J90,'G-3 Multipliers'!$L$3:$N$6,2,FALSE)))</f>
        <v/>
      </c>
      <c r="L90" s="524" t="str">
        <f>IF(J90="","",IF(VLOOKUP(J90,'G-3 Multipliers'!$L$3:$N$6,3,FALSE)=0,"Spatial Data Missing ⚠",VLOOKUP(J90,'G-3 Multipliers'!$L$3:$N$6,3,FALSE)))</f>
        <v/>
      </c>
      <c r="M90" s="506" t="str">
        <f>IF(D90="","",VLOOKUP(D90,'G-6 Hedgerow Data'!$B$1:$AH$15,33,FALSE))</f>
        <v/>
      </c>
      <c r="N90" s="513" t="str">
        <f t="shared" si="9"/>
        <v/>
      </c>
      <c r="O90" s="40"/>
      <c r="P90" s="145"/>
      <c r="Q90" s="157"/>
      <c r="R90" s="507" t="str">
        <f t="shared" si="10"/>
        <v/>
      </c>
      <c r="S90" s="507" t="str">
        <f t="shared" si="11"/>
        <v/>
      </c>
      <c r="T90" s="511" t="str">
        <f t="shared" si="12"/>
        <v/>
      </c>
      <c r="U90" s="515" t="str">
        <f t="shared" si="13"/>
        <v/>
      </c>
      <c r="V90" s="151"/>
      <c r="W90" s="152"/>
      <c r="AB90" s="31" t="str">
        <f>IFERROR(INDEX('G-6 Hedgerow Data'!$BJ$3:$BJ$15,MATCH(D90,'G-6 Hedgerow Data'!$B$3:$B$15,0)),"")</f>
        <v/>
      </c>
      <c r="AE90" s="156" t="str">
        <f t="shared" si="7"/>
        <v/>
      </c>
      <c r="AF90" s="156" t="str">
        <f t="shared" si="8"/>
        <v/>
      </c>
      <c r="AH90" s="156">
        <v>81</v>
      </c>
      <c r="AJ90" s="156" t="str">
        <f t="array" ref="AJ90">IFERROR(INDEX($AH$10:$AH$258, MATCH(0, IF(TRUE=$AE$10:$AE$258, COUNTIF($AJ$9:$AJ89, $AH$10:$AH$258), ""), 0)),"")</f>
        <v/>
      </c>
      <c r="AK90" s="156" t="str">
        <f t="array" ref="AK90">IFERROR(INDEX($AH$10:$AH$258, MATCH(0, IF(TRUE=$AF$10:$AF$258, COUNTIF($AK$9:$AK89, $AH$10:$AH$258), ""), 0)),"")</f>
        <v/>
      </c>
    </row>
    <row r="91" spans="2:37" ht="14" x14ac:dyDescent="0.3">
      <c r="B91" s="141">
        <v>82</v>
      </c>
      <c r="C91" s="203"/>
      <c r="D91" s="203"/>
      <c r="E91" s="153"/>
      <c r="F91" s="498" t="str">
        <f>IF(D91="","",VLOOKUP(D91,'G-6 Hedgerow Data'!$B$2:$AG$15,2,FALSE))</f>
        <v/>
      </c>
      <c r="G91" s="499" t="str">
        <f>IF(D91="","",VLOOKUP(D91,'G-6 Hedgerow Data'!$B$2:$AG$15,3,FALSE))</f>
        <v/>
      </c>
      <c r="H91" s="145"/>
      <c r="I91" s="499" t="str">
        <f>IFERROR(IF(AND(F91="V.Low",OR(H91="Good",H91="Moderate")),"Error ▲",VLOOKUP(H91,'G-1 All Habitats'!$Z$2:$AA$9,2,FALSE)),"")</f>
        <v/>
      </c>
      <c r="J91" s="154"/>
      <c r="K91" s="520" t="str">
        <f>IF(J91="","",IF(VLOOKUP(J91,'G-3 Multipliers'!$L$3:$N$6,2,FALSE)=0,"Spatial Data Missing ⚠",VLOOKUP(J91,'G-3 Multipliers'!$L$3:$N$6,2,FALSE)))</f>
        <v/>
      </c>
      <c r="L91" s="524" t="str">
        <f>IF(J91="","",IF(VLOOKUP(J91,'G-3 Multipliers'!$L$3:$N$6,3,FALSE)=0,"Spatial Data Missing ⚠",VLOOKUP(J91,'G-3 Multipliers'!$L$3:$N$6,3,FALSE)))</f>
        <v/>
      </c>
      <c r="M91" s="506" t="str">
        <f>IF(D91="","",VLOOKUP(D91,'G-6 Hedgerow Data'!$B$1:$AH$15,33,FALSE))</f>
        <v/>
      </c>
      <c r="N91" s="513" t="str">
        <f t="shared" si="9"/>
        <v/>
      </c>
      <c r="O91" s="40"/>
      <c r="P91" s="145"/>
      <c r="Q91" s="157"/>
      <c r="R91" s="507" t="str">
        <f t="shared" si="10"/>
        <v/>
      </c>
      <c r="S91" s="507" t="str">
        <f t="shared" si="11"/>
        <v/>
      </c>
      <c r="T91" s="511" t="str">
        <f t="shared" si="12"/>
        <v/>
      </c>
      <c r="U91" s="515" t="str">
        <f t="shared" si="13"/>
        <v/>
      </c>
      <c r="V91" s="151"/>
      <c r="W91" s="152"/>
      <c r="AB91" s="31" t="str">
        <f>IFERROR(INDEX('G-6 Hedgerow Data'!$BJ$3:$BJ$15,MATCH(D91,'G-6 Hedgerow Data'!$B$3:$B$15,0)),"")</f>
        <v/>
      </c>
      <c r="AE91" s="156" t="str">
        <f t="shared" si="7"/>
        <v/>
      </c>
      <c r="AF91" s="156" t="str">
        <f t="shared" si="8"/>
        <v/>
      </c>
      <c r="AH91" s="156">
        <v>82</v>
      </c>
      <c r="AJ91" s="156" t="str">
        <f t="array" ref="AJ91">IFERROR(INDEX($AH$10:$AH$258, MATCH(0, IF(TRUE=$AE$10:$AE$258, COUNTIF($AJ$9:$AJ90, $AH$10:$AH$258), ""), 0)),"")</f>
        <v/>
      </c>
      <c r="AK91" s="156" t="str">
        <f t="array" ref="AK91">IFERROR(INDEX($AH$10:$AH$258, MATCH(0, IF(TRUE=$AF$10:$AF$258, COUNTIF($AK$9:$AK90, $AH$10:$AH$258), ""), 0)),"")</f>
        <v/>
      </c>
    </row>
    <row r="92" spans="2:37" ht="14" x14ac:dyDescent="0.3">
      <c r="B92" s="141">
        <v>83</v>
      </c>
      <c r="C92" s="203"/>
      <c r="D92" s="203"/>
      <c r="E92" s="153"/>
      <c r="F92" s="498" t="str">
        <f>IF(D92="","",VLOOKUP(D92,'G-6 Hedgerow Data'!$B$2:$AG$15,2,FALSE))</f>
        <v/>
      </c>
      <c r="G92" s="499" t="str">
        <f>IF(D92="","",VLOOKUP(D92,'G-6 Hedgerow Data'!$B$2:$AG$15,3,FALSE))</f>
        <v/>
      </c>
      <c r="H92" s="145"/>
      <c r="I92" s="499" t="str">
        <f>IFERROR(IF(AND(F92="V.Low",OR(H92="Good",H92="Moderate")),"Error ▲",VLOOKUP(H92,'G-1 All Habitats'!$Z$2:$AA$9,2,FALSE)),"")</f>
        <v/>
      </c>
      <c r="J92" s="154"/>
      <c r="K92" s="520" t="str">
        <f>IF(J92="","",IF(VLOOKUP(J92,'G-3 Multipliers'!$L$3:$N$6,2,FALSE)=0,"Spatial Data Missing ⚠",VLOOKUP(J92,'G-3 Multipliers'!$L$3:$N$6,2,FALSE)))</f>
        <v/>
      </c>
      <c r="L92" s="524" t="str">
        <f>IF(J92="","",IF(VLOOKUP(J92,'G-3 Multipliers'!$L$3:$N$6,3,FALSE)=0,"Spatial Data Missing ⚠",VLOOKUP(J92,'G-3 Multipliers'!$L$3:$N$6,3,FALSE)))</f>
        <v/>
      </c>
      <c r="M92" s="506" t="str">
        <f>IF(D92="","",VLOOKUP(D92,'G-6 Hedgerow Data'!$B$1:$AH$15,33,FALSE))</f>
        <v/>
      </c>
      <c r="N92" s="513" t="str">
        <f t="shared" si="9"/>
        <v/>
      </c>
      <c r="O92" s="40"/>
      <c r="P92" s="145"/>
      <c r="Q92" s="157"/>
      <c r="R92" s="507" t="str">
        <f t="shared" si="10"/>
        <v/>
      </c>
      <c r="S92" s="507" t="str">
        <f t="shared" si="11"/>
        <v/>
      </c>
      <c r="T92" s="511" t="str">
        <f t="shared" si="12"/>
        <v/>
      </c>
      <c r="U92" s="515" t="str">
        <f t="shared" si="13"/>
        <v/>
      </c>
      <c r="V92" s="151"/>
      <c r="W92" s="152"/>
      <c r="AB92" s="31" t="str">
        <f>IFERROR(INDEX('G-6 Hedgerow Data'!$BJ$3:$BJ$15,MATCH(D92,'G-6 Hedgerow Data'!$B$3:$B$15,0)),"")</f>
        <v/>
      </c>
      <c r="AE92" s="156" t="str">
        <f t="shared" si="7"/>
        <v/>
      </c>
      <c r="AF92" s="156" t="str">
        <f t="shared" si="8"/>
        <v/>
      </c>
      <c r="AH92" s="156">
        <v>83</v>
      </c>
      <c r="AJ92" s="156" t="str">
        <f t="array" ref="AJ92">IFERROR(INDEX($AH$10:$AH$258, MATCH(0, IF(TRUE=$AE$10:$AE$258, COUNTIF($AJ$9:$AJ91, $AH$10:$AH$258), ""), 0)),"")</f>
        <v/>
      </c>
      <c r="AK92" s="156" t="str">
        <f t="array" ref="AK92">IFERROR(INDEX($AH$10:$AH$258, MATCH(0, IF(TRUE=$AF$10:$AF$258, COUNTIF($AK$9:$AK91, $AH$10:$AH$258), ""), 0)),"")</f>
        <v/>
      </c>
    </row>
    <row r="93" spans="2:37" ht="14" x14ac:dyDescent="0.3">
      <c r="B93" s="141">
        <v>84</v>
      </c>
      <c r="C93" s="203"/>
      <c r="D93" s="203"/>
      <c r="E93" s="153"/>
      <c r="F93" s="498" t="str">
        <f>IF(D93="","",VLOOKUP(D93,'G-6 Hedgerow Data'!$B$2:$AG$15,2,FALSE))</f>
        <v/>
      </c>
      <c r="G93" s="499" t="str">
        <f>IF(D93="","",VLOOKUP(D93,'G-6 Hedgerow Data'!$B$2:$AG$15,3,FALSE))</f>
        <v/>
      </c>
      <c r="H93" s="145"/>
      <c r="I93" s="499" t="str">
        <f>IFERROR(IF(AND(F93="V.Low",OR(H93="Good",H93="Moderate")),"Error ▲",VLOOKUP(H93,'G-1 All Habitats'!$Z$2:$AA$9,2,FALSE)),"")</f>
        <v/>
      </c>
      <c r="J93" s="154"/>
      <c r="K93" s="520" t="str">
        <f>IF(J93="","",IF(VLOOKUP(J93,'G-3 Multipliers'!$L$3:$N$6,2,FALSE)=0,"Spatial Data Missing ⚠",VLOOKUP(J93,'G-3 Multipliers'!$L$3:$N$6,2,FALSE)))</f>
        <v/>
      </c>
      <c r="L93" s="524" t="str">
        <f>IF(J93="","",IF(VLOOKUP(J93,'G-3 Multipliers'!$L$3:$N$6,3,FALSE)=0,"Spatial Data Missing ⚠",VLOOKUP(J93,'G-3 Multipliers'!$L$3:$N$6,3,FALSE)))</f>
        <v/>
      </c>
      <c r="M93" s="506" t="str">
        <f>IF(D93="","",VLOOKUP(D93,'G-6 Hedgerow Data'!$B$1:$AH$15,33,FALSE))</f>
        <v/>
      </c>
      <c r="N93" s="513" t="str">
        <f t="shared" si="9"/>
        <v/>
      </c>
      <c r="O93" s="40"/>
      <c r="P93" s="145"/>
      <c r="Q93" s="157"/>
      <c r="R93" s="507" t="str">
        <f t="shared" si="10"/>
        <v/>
      </c>
      <c r="S93" s="507" t="str">
        <f t="shared" si="11"/>
        <v/>
      </c>
      <c r="T93" s="511" t="str">
        <f t="shared" si="12"/>
        <v/>
      </c>
      <c r="U93" s="515" t="str">
        <f t="shared" si="13"/>
        <v/>
      </c>
      <c r="V93" s="151"/>
      <c r="W93" s="152"/>
      <c r="AB93" s="31" t="str">
        <f>IFERROR(INDEX('G-6 Hedgerow Data'!$BJ$3:$BJ$15,MATCH(D93,'G-6 Hedgerow Data'!$B$3:$B$15,0)),"")</f>
        <v/>
      </c>
      <c r="AE93" s="156" t="str">
        <f t="shared" si="7"/>
        <v/>
      </c>
      <c r="AF93" s="156" t="str">
        <f t="shared" si="8"/>
        <v/>
      </c>
      <c r="AH93" s="156">
        <v>84</v>
      </c>
      <c r="AJ93" s="156" t="str">
        <f t="array" ref="AJ93">IFERROR(INDEX($AH$10:$AH$258, MATCH(0, IF(TRUE=$AE$10:$AE$258, COUNTIF($AJ$9:$AJ92, $AH$10:$AH$258), ""), 0)),"")</f>
        <v/>
      </c>
      <c r="AK93" s="156" t="str">
        <f t="array" ref="AK93">IFERROR(INDEX($AH$10:$AH$258, MATCH(0, IF(TRUE=$AF$10:$AF$258, COUNTIF($AK$9:$AK92, $AH$10:$AH$258), ""), 0)),"")</f>
        <v/>
      </c>
    </row>
    <row r="94" spans="2:37" ht="14" x14ac:dyDescent="0.3">
      <c r="B94" s="141">
        <v>85</v>
      </c>
      <c r="C94" s="203"/>
      <c r="D94" s="203"/>
      <c r="E94" s="153"/>
      <c r="F94" s="498" t="str">
        <f>IF(D94="","",VLOOKUP(D94,'G-6 Hedgerow Data'!$B$2:$AG$15,2,FALSE))</f>
        <v/>
      </c>
      <c r="G94" s="499" t="str">
        <f>IF(D94="","",VLOOKUP(D94,'G-6 Hedgerow Data'!$B$2:$AG$15,3,FALSE))</f>
        <v/>
      </c>
      <c r="H94" s="145"/>
      <c r="I94" s="499" t="str">
        <f>IFERROR(IF(AND(F94="V.Low",OR(H94="Good",H94="Moderate")),"Error ▲",VLOOKUP(H94,'G-1 All Habitats'!$Z$2:$AA$9,2,FALSE)),"")</f>
        <v/>
      </c>
      <c r="J94" s="154"/>
      <c r="K94" s="520" t="str">
        <f>IF(J94="","",IF(VLOOKUP(J94,'G-3 Multipliers'!$L$3:$N$6,2,FALSE)=0,"Spatial Data Missing ⚠",VLOOKUP(J94,'G-3 Multipliers'!$L$3:$N$6,2,FALSE)))</f>
        <v/>
      </c>
      <c r="L94" s="524" t="str">
        <f>IF(J94="","",IF(VLOOKUP(J94,'G-3 Multipliers'!$L$3:$N$6,3,FALSE)=0,"Spatial Data Missing ⚠",VLOOKUP(J94,'G-3 Multipliers'!$L$3:$N$6,3,FALSE)))</f>
        <v/>
      </c>
      <c r="M94" s="506" t="str">
        <f>IF(D94="","",VLOOKUP(D94,'G-6 Hedgerow Data'!$B$1:$AH$15,33,FALSE))</f>
        <v/>
      </c>
      <c r="N94" s="513" t="str">
        <f t="shared" si="9"/>
        <v/>
      </c>
      <c r="O94" s="40"/>
      <c r="P94" s="145"/>
      <c r="Q94" s="157"/>
      <c r="R94" s="507" t="str">
        <f t="shared" si="10"/>
        <v/>
      </c>
      <c r="S94" s="507" t="str">
        <f t="shared" si="11"/>
        <v/>
      </c>
      <c r="T94" s="511" t="str">
        <f t="shared" si="12"/>
        <v/>
      </c>
      <c r="U94" s="515" t="str">
        <f t="shared" si="13"/>
        <v/>
      </c>
      <c r="V94" s="151"/>
      <c r="W94" s="152"/>
      <c r="AB94" s="31" t="str">
        <f>IFERROR(INDEX('G-6 Hedgerow Data'!$BJ$3:$BJ$15,MATCH(D94,'G-6 Hedgerow Data'!$B$3:$B$15,0)),"")</f>
        <v/>
      </c>
      <c r="AE94" s="156" t="str">
        <f t="shared" si="7"/>
        <v/>
      </c>
      <c r="AF94" s="156" t="str">
        <f t="shared" si="8"/>
        <v/>
      </c>
      <c r="AH94" s="156">
        <v>85</v>
      </c>
      <c r="AJ94" s="156" t="str">
        <f t="array" ref="AJ94">IFERROR(INDEX($AH$10:$AH$258, MATCH(0, IF(TRUE=$AE$10:$AE$258, COUNTIF($AJ$9:$AJ93, $AH$10:$AH$258), ""), 0)),"")</f>
        <v/>
      </c>
      <c r="AK94" s="156" t="str">
        <f t="array" ref="AK94">IFERROR(INDEX($AH$10:$AH$258, MATCH(0, IF(TRUE=$AF$10:$AF$258, COUNTIF($AK$9:$AK93, $AH$10:$AH$258), ""), 0)),"")</f>
        <v/>
      </c>
    </row>
    <row r="95" spans="2:37" ht="14" x14ac:dyDescent="0.3">
      <c r="B95" s="141">
        <v>86</v>
      </c>
      <c r="C95" s="203"/>
      <c r="D95" s="203"/>
      <c r="E95" s="153"/>
      <c r="F95" s="498" t="str">
        <f>IF(D95="","",VLOOKUP(D95,'G-6 Hedgerow Data'!$B$2:$AG$15,2,FALSE))</f>
        <v/>
      </c>
      <c r="G95" s="499" t="str">
        <f>IF(D95="","",VLOOKUP(D95,'G-6 Hedgerow Data'!$B$2:$AG$15,3,FALSE))</f>
        <v/>
      </c>
      <c r="H95" s="145"/>
      <c r="I95" s="499" t="str">
        <f>IFERROR(IF(AND(F95="V.Low",OR(H95="Good",H95="Moderate")),"Error ▲",VLOOKUP(H95,'G-1 All Habitats'!$Z$2:$AA$9,2,FALSE)),"")</f>
        <v/>
      </c>
      <c r="J95" s="154"/>
      <c r="K95" s="520" t="str">
        <f>IF(J95="","",IF(VLOOKUP(J95,'G-3 Multipliers'!$L$3:$N$6,2,FALSE)=0,"Spatial Data Missing ⚠",VLOOKUP(J95,'G-3 Multipliers'!$L$3:$N$6,2,FALSE)))</f>
        <v/>
      </c>
      <c r="L95" s="524" t="str">
        <f>IF(J95="","",IF(VLOOKUP(J95,'G-3 Multipliers'!$L$3:$N$6,3,FALSE)=0,"Spatial Data Missing ⚠",VLOOKUP(J95,'G-3 Multipliers'!$L$3:$N$6,3,FALSE)))</f>
        <v/>
      </c>
      <c r="M95" s="506" t="str">
        <f>IF(D95="","",VLOOKUP(D95,'G-6 Hedgerow Data'!$B$1:$AH$15,33,FALSE))</f>
        <v/>
      </c>
      <c r="N95" s="513" t="str">
        <f t="shared" si="9"/>
        <v/>
      </c>
      <c r="O95" s="40"/>
      <c r="P95" s="145"/>
      <c r="Q95" s="157"/>
      <c r="R95" s="507" t="str">
        <f t="shared" si="10"/>
        <v/>
      </c>
      <c r="S95" s="507" t="str">
        <f t="shared" si="11"/>
        <v/>
      </c>
      <c r="T95" s="511" t="str">
        <f t="shared" si="12"/>
        <v/>
      </c>
      <c r="U95" s="515" t="str">
        <f t="shared" si="13"/>
        <v/>
      </c>
      <c r="V95" s="151"/>
      <c r="W95" s="152"/>
      <c r="AB95" s="31" t="str">
        <f>IFERROR(INDEX('G-6 Hedgerow Data'!$BJ$3:$BJ$15,MATCH(D95,'G-6 Hedgerow Data'!$B$3:$B$15,0)),"")</f>
        <v/>
      </c>
      <c r="AE95" s="156" t="str">
        <f t="shared" si="7"/>
        <v/>
      </c>
      <c r="AF95" s="156" t="str">
        <f t="shared" si="8"/>
        <v/>
      </c>
      <c r="AH95" s="156">
        <v>86</v>
      </c>
      <c r="AJ95" s="156" t="str">
        <f t="array" ref="AJ95">IFERROR(INDEX($AH$10:$AH$258, MATCH(0, IF(TRUE=$AE$10:$AE$258, COUNTIF($AJ$9:$AJ94, $AH$10:$AH$258), ""), 0)),"")</f>
        <v/>
      </c>
      <c r="AK95" s="156" t="str">
        <f t="array" ref="AK95">IFERROR(INDEX($AH$10:$AH$258, MATCH(0, IF(TRUE=$AF$10:$AF$258, COUNTIF($AK$9:$AK94, $AH$10:$AH$258), ""), 0)),"")</f>
        <v/>
      </c>
    </row>
    <row r="96" spans="2:37" ht="14" x14ac:dyDescent="0.3">
      <c r="B96" s="141">
        <v>87</v>
      </c>
      <c r="C96" s="203"/>
      <c r="D96" s="203"/>
      <c r="E96" s="153"/>
      <c r="F96" s="498" t="str">
        <f>IF(D96="","",VLOOKUP(D96,'G-6 Hedgerow Data'!$B$2:$AG$15,2,FALSE))</f>
        <v/>
      </c>
      <c r="G96" s="499" t="str">
        <f>IF(D96="","",VLOOKUP(D96,'G-6 Hedgerow Data'!$B$2:$AG$15,3,FALSE))</f>
        <v/>
      </c>
      <c r="H96" s="145"/>
      <c r="I96" s="499" t="str">
        <f>IFERROR(IF(AND(F96="V.Low",OR(H96="Good",H96="Moderate")),"Error ▲",VLOOKUP(H96,'G-1 All Habitats'!$Z$2:$AA$9,2,FALSE)),"")</f>
        <v/>
      </c>
      <c r="J96" s="154"/>
      <c r="K96" s="520" t="str">
        <f>IF(J96="","",IF(VLOOKUP(J96,'G-3 Multipliers'!$L$3:$N$6,2,FALSE)=0,"Spatial Data Missing ⚠",VLOOKUP(J96,'G-3 Multipliers'!$L$3:$N$6,2,FALSE)))</f>
        <v/>
      </c>
      <c r="L96" s="524" t="str">
        <f>IF(J96="","",IF(VLOOKUP(J96,'G-3 Multipliers'!$L$3:$N$6,3,FALSE)=0,"Spatial Data Missing ⚠",VLOOKUP(J96,'G-3 Multipliers'!$L$3:$N$6,3,FALSE)))</f>
        <v/>
      </c>
      <c r="M96" s="506" t="str">
        <f>IF(D96="","",VLOOKUP(D96,'G-6 Hedgerow Data'!$B$1:$AH$15,33,FALSE))</f>
        <v/>
      </c>
      <c r="N96" s="513" t="str">
        <f t="shared" si="9"/>
        <v/>
      </c>
      <c r="O96" s="40"/>
      <c r="P96" s="145"/>
      <c r="Q96" s="157"/>
      <c r="R96" s="507" t="str">
        <f t="shared" si="10"/>
        <v/>
      </c>
      <c r="S96" s="507" t="str">
        <f t="shared" si="11"/>
        <v/>
      </c>
      <c r="T96" s="511" t="str">
        <f t="shared" si="12"/>
        <v/>
      </c>
      <c r="U96" s="515" t="str">
        <f t="shared" si="13"/>
        <v/>
      </c>
      <c r="V96" s="151"/>
      <c r="W96" s="152"/>
      <c r="AB96" s="31" t="str">
        <f>IFERROR(INDEX('G-6 Hedgerow Data'!$BJ$3:$BJ$15,MATCH(D96,'G-6 Hedgerow Data'!$B$3:$B$15,0)),"")</f>
        <v/>
      </c>
      <c r="AE96" s="156" t="str">
        <f t="shared" si="7"/>
        <v/>
      </c>
      <c r="AF96" s="156" t="str">
        <f t="shared" si="8"/>
        <v/>
      </c>
      <c r="AH96" s="156">
        <v>87</v>
      </c>
      <c r="AJ96" s="156" t="str">
        <f t="array" ref="AJ96">IFERROR(INDEX($AH$10:$AH$258, MATCH(0, IF(TRUE=$AE$10:$AE$258, COUNTIF($AJ$9:$AJ95, $AH$10:$AH$258), ""), 0)),"")</f>
        <v/>
      </c>
      <c r="AK96" s="156" t="str">
        <f t="array" ref="AK96">IFERROR(INDEX($AH$10:$AH$258, MATCH(0, IF(TRUE=$AF$10:$AF$258, COUNTIF($AK$9:$AK95, $AH$10:$AH$258), ""), 0)),"")</f>
        <v/>
      </c>
    </row>
    <row r="97" spans="2:37" ht="14" x14ac:dyDescent="0.3">
      <c r="B97" s="141">
        <v>88</v>
      </c>
      <c r="C97" s="203"/>
      <c r="D97" s="203"/>
      <c r="E97" s="153"/>
      <c r="F97" s="498" t="str">
        <f>IF(D97="","",VLOOKUP(D97,'G-6 Hedgerow Data'!$B$2:$AG$15,2,FALSE))</f>
        <v/>
      </c>
      <c r="G97" s="499" t="str">
        <f>IF(D97="","",VLOOKUP(D97,'G-6 Hedgerow Data'!$B$2:$AG$15,3,FALSE))</f>
        <v/>
      </c>
      <c r="H97" s="145"/>
      <c r="I97" s="499" t="str">
        <f>IFERROR(IF(AND(F97="V.Low",OR(H97="Good",H97="Moderate")),"Error ▲",VLOOKUP(H97,'G-1 All Habitats'!$Z$2:$AA$9,2,FALSE)),"")</f>
        <v/>
      </c>
      <c r="J97" s="154"/>
      <c r="K97" s="520" t="str">
        <f>IF(J97="","",IF(VLOOKUP(J97,'G-3 Multipliers'!$L$3:$N$6,2,FALSE)=0,"Spatial Data Missing ⚠",VLOOKUP(J97,'G-3 Multipliers'!$L$3:$N$6,2,FALSE)))</f>
        <v/>
      </c>
      <c r="L97" s="524" t="str">
        <f>IF(J97="","",IF(VLOOKUP(J97,'G-3 Multipliers'!$L$3:$N$6,3,FALSE)=0,"Spatial Data Missing ⚠",VLOOKUP(J97,'G-3 Multipliers'!$L$3:$N$6,3,FALSE)))</f>
        <v/>
      </c>
      <c r="M97" s="506" t="str">
        <f>IF(D97="","",VLOOKUP(D97,'G-6 Hedgerow Data'!$B$1:$AH$15,33,FALSE))</f>
        <v/>
      </c>
      <c r="N97" s="513" t="str">
        <f t="shared" si="9"/>
        <v/>
      </c>
      <c r="O97" s="40"/>
      <c r="P97" s="145"/>
      <c r="Q97" s="157"/>
      <c r="R97" s="507" t="str">
        <f t="shared" si="10"/>
        <v/>
      </c>
      <c r="S97" s="507" t="str">
        <f t="shared" si="11"/>
        <v/>
      </c>
      <c r="T97" s="511" t="str">
        <f t="shared" si="12"/>
        <v/>
      </c>
      <c r="U97" s="515" t="str">
        <f t="shared" si="13"/>
        <v/>
      </c>
      <c r="V97" s="151"/>
      <c r="W97" s="152"/>
      <c r="AB97" s="31" t="str">
        <f>IFERROR(INDEX('G-6 Hedgerow Data'!$BJ$3:$BJ$15,MATCH(D97,'G-6 Hedgerow Data'!$B$3:$B$15,0)),"")</f>
        <v/>
      </c>
      <c r="AE97" s="156" t="str">
        <f t="shared" si="7"/>
        <v/>
      </c>
      <c r="AF97" s="156" t="str">
        <f t="shared" si="8"/>
        <v/>
      </c>
      <c r="AH97" s="156">
        <v>88</v>
      </c>
      <c r="AJ97" s="156" t="str">
        <f t="array" ref="AJ97">IFERROR(INDEX($AH$10:$AH$258, MATCH(0, IF(TRUE=$AE$10:$AE$258, COUNTIF($AJ$9:$AJ96, $AH$10:$AH$258), ""), 0)),"")</f>
        <v/>
      </c>
      <c r="AK97" s="156" t="str">
        <f t="array" ref="AK97">IFERROR(INDEX($AH$10:$AH$258, MATCH(0, IF(TRUE=$AF$10:$AF$258, COUNTIF($AK$9:$AK96, $AH$10:$AH$258), ""), 0)),"")</f>
        <v/>
      </c>
    </row>
    <row r="98" spans="2:37" ht="14" x14ac:dyDescent="0.3">
      <c r="B98" s="141">
        <v>89</v>
      </c>
      <c r="C98" s="203"/>
      <c r="D98" s="203"/>
      <c r="E98" s="153"/>
      <c r="F98" s="498" t="str">
        <f>IF(D98="","",VLOOKUP(D98,'G-6 Hedgerow Data'!$B$2:$AG$15,2,FALSE))</f>
        <v/>
      </c>
      <c r="G98" s="499" t="str">
        <f>IF(D98="","",VLOOKUP(D98,'G-6 Hedgerow Data'!$B$2:$AG$15,3,FALSE))</f>
        <v/>
      </c>
      <c r="H98" s="145"/>
      <c r="I98" s="499" t="str">
        <f>IFERROR(IF(AND(F98="V.Low",OR(H98="Good",H98="Moderate")),"Error ▲",VLOOKUP(H98,'G-1 All Habitats'!$Z$2:$AA$9,2,FALSE)),"")</f>
        <v/>
      </c>
      <c r="J98" s="154"/>
      <c r="K98" s="520" t="str">
        <f>IF(J98="","",IF(VLOOKUP(J98,'G-3 Multipliers'!$L$3:$N$6,2,FALSE)=0,"Spatial Data Missing ⚠",VLOOKUP(J98,'G-3 Multipliers'!$L$3:$N$6,2,FALSE)))</f>
        <v/>
      </c>
      <c r="L98" s="524" t="str">
        <f>IF(J98="","",IF(VLOOKUP(J98,'G-3 Multipliers'!$L$3:$N$6,3,FALSE)=0,"Spatial Data Missing ⚠",VLOOKUP(J98,'G-3 Multipliers'!$L$3:$N$6,3,FALSE)))</f>
        <v/>
      </c>
      <c r="M98" s="506" t="str">
        <f>IF(D98="","",VLOOKUP(D98,'G-6 Hedgerow Data'!$B$1:$AH$15,33,FALSE))</f>
        <v/>
      </c>
      <c r="N98" s="513" t="str">
        <f t="shared" si="9"/>
        <v/>
      </c>
      <c r="O98" s="40"/>
      <c r="P98" s="145"/>
      <c r="Q98" s="157"/>
      <c r="R98" s="507" t="str">
        <f t="shared" si="10"/>
        <v/>
      </c>
      <c r="S98" s="507" t="str">
        <f t="shared" si="11"/>
        <v/>
      </c>
      <c r="T98" s="511" t="str">
        <f t="shared" si="12"/>
        <v/>
      </c>
      <c r="U98" s="515" t="str">
        <f t="shared" si="13"/>
        <v/>
      </c>
      <c r="V98" s="151"/>
      <c r="W98" s="152"/>
      <c r="AB98" s="31" t="str">
        <f>IFERROR(INDEX('G-6 Hedgerow Data'!$BJ$3:$BJ$15,MATCH(D98,'G-6 Hedgerow Data'!$B$3:$B$15,0)),"")</f>
        <v/>
      </c>
      <c r="AE98" s="156" t="str">
        <f t="shared" si="7"/>
        <v/>
      </c>
      <c r="AF98" s="156" t="str">
        <f t="shared" si="8"/>
        <v/>
      </c>
      <c r="AH98" s="156">
        <v>89</v>
      </c>
      <c r="AJ98" s="156" t="str">
        <f t="array" ref="AJ98">IFERROR(INDEX($AH$10:$AH$258, MATCH(0, IF(TRUE=$AE$10:$AE$258, COUNTIF($AJ$9:$AJ97, $AH$10:$AH$258), ""), 0)),"")</f>
        <v/>
      </c>
      <c r="AK98" s="156" t="str">
        <f t="array" ref="AK98">IFERROR(INDEX($AH$10:$AH$258, MATCH(0, IF(TRUE=$AF$10:$AF$258, COUNTIF($AK$9:$AK97, $AH$10:$AH$258), ""), 0)),"")</f>
        <v/>
      </c>
    </row>
    <row r="99" spans="2:37" ht="14" x14ac:dyDescent="0.3">
      <c r="B99" s="141">
        <v>90</v>
      </c>
      <c r="C99" s="203"/>
      <c r="D99" s="203"/>
      <c r="E99" s="153"/>
      <c r="F99" s="498" t="str">
        <f>IF(D99="","",VLOOKUP(D99,'G-6 Hedgerow Data'!$B$2:$AG$15,2,FALSE))</f>
        <v/>
      </c>
      <c r="G99" s="499" t="str">
        <f>IF(D99="","",VLOOKUP(D99,'G-6 Hedgerow Data'!$B$2:$AG$15,3,FALSE))</f>
        <v/>
      </c>
      <c r="H99" s="145"/>
      <c r="I99" s="499" t="str">
        <f>IFERROR(IF(AND(F99="V.Low",OR(H99="Good",H99="Moderate")),"Error ▲",VLOOKUP(H99,'G-1 All Habitats'!$Z$2:$AA$9,2,FALSE)),"")</f>
        <v/>
      </c>
      <c r="J99" s="154"/>
      <c r="K99" s="520" t="str">
        <f>IF(J99="","",IF(VLOOKUP(J99,'G-3 Multipliers'!$L$3:$N$6,2,FALSE)=0,"Spatial Data Missing ⚠",VLOOKUP(J99,'G-3 Multipliers'!$L$3:$N$6,2,FALSE)))</f>
        <v/>
      </c>
      <c r="L99" s="524" t="str">
        <f>IF(J99="","",IF(VLOOKUP(J99,'G-3 Multipliers'!$L$3:$N$6,3,FALSE)=0,"Spatial Data Missing ⚠",VLOOKUP(J99,'G-3 Multipliers'!$L$3:$N$6,3,FALSE)))</f>
        <v/>
      </c>
      <c r="M99" s="506" t="str">
        <f>IF(D99="","",VLOOKUP(D99,'G-6 Hedgerow Data'!$B$1:$AH$15,33,FALSE))</f>
        <v/>
      </c>
      <c r="N99" s="513" t="str">
        <f t="shared" si="9"/>
        <v/>
      </c>
      <c r="O99" s="40"/>
      <c r="P99" s="145"/>
      <c r="Q99" s="157"/>
      <c r="R99" s="507" t="str">
        <f t="shared" si="10"/>
        <v/>
      </c>
      <c r="S99" s="507" t="str">
        <f t="shared" si="11"/>
        <v/>
      </c>
      <c r="T99" s="511" t="str">
        <f t="shared" si="12"/>
        <v/>
      </c>
      <c r="U99" s="515" t="str">
        <f t="shared" si="13"/>
        <v/>
      </c>
      <c r="V99" s="151"/>
      <c r="W99" s="152"/>
      <c r="AB99" s="31" t="str">
        <f>IFERROR(INDEX('G-6 Hedgerow Data'!$BJ$3:$BJ$15,MATCH(D99,'G-6 Hedgerow Data'!$B$3:$B$15,0)),"")</f>
        <v/>
      </c>
      <c r="AE99" s="156" t="str">
        <f t="shared" si="7"/>
        <v/>
      </c>
      <c r="AF99" s="156" t="str">
        <f t="shared" si="8"/>
        <v/>
      </c>
      <c r="AH99" s="156">
        <v>90</v>
      </c>
      <c r="AJ99" s="156" t="str">
        <f t="array" ref="AJ99">IFERROR(INDEX($AH$10:$AH$258, MATCH(0, IF(TRUE=$AE$10:$AE$258, COUNTIF($AJ$9:$AJ98, $AH$10:$AH$258), ""), 0)),"")</f>
        <v/>
      </c>
      <c r="AK99" s="156" t="str">
        <f t="array" ref="AK99">IFERROR(INDEX($AH$10:$AH$258, MATCH(0, IF(TRUE=$AF$10:$AF$258, COUNTIF($AK$9:$AK98, $AH$10:$AH$258), ""), 0)),"")</f>
        <v/>
      </c>
    </row>
    <row r="100" spans="2:37" ht="14" x14ac:dyDescent="0.3">
      <c r="B100" s="141">
        <v>91</v>
      </c>
      <c r="C100" s="203"/>
      <c r="D100" s="203"/>
      <c r="E100" s="153"/>
      <c r="F100" s="498" t="str">
        <f>IF(D100="","",VLOOKUP(D100,'G-6 Hedgerow Data'!$B$2:$AG$15,2,FALSE))</f>
        <v/>
      </c>
      <c r="G100" s="499" t="str">
        <f>IF(D100="","",VLOOKUP(D100,'G-6 Hedgerow Data'!$B$2:$AG$15,3,FALSE))</f>
        <v/>
      </c>
      <c r="H100" s="145"/>
      <c r="I100" s="499" t="str">
        <f>IFERROR(IF(AND(F100="V.Low",OR(H100="Good",H100="Moderate")),"Error ▲",VLOOKUP(H100,'G-1 All Habitats'!$Z$2:$AA$9,2,FALSE)),"")</f>
        <v/>
      </c>
      <c r="J100" s="154"/>
      <c r="K100" s="520" t="str">
        <f>IF(J100="","",IF(VLOOKUP(J100,'G-3 Multipliers'!$L$3:$N$6,2,FALSE)=0,"Spatial Data Missing ⚠",VLOOKUP(J100,'G-3 Multipliers'!$L$3:$N$6,2,FALSE)))</f>
        <v/>
      </c>
      <c r="L100" s="524" t="str">
        <f>IF(J100="","",IF(VLOOKUP(J100,'G-3 Multipliers'!$L$3:$N$6,3,FALSE)=0,"Spatial Data Missing ⚠",VLOOKUP(J100,'G-3 Multipliers'!$L$3:$N$6,3,FALSE)))</f>
        <v/>
      </c>
      <c r="M100" s="506" t="str">
        <f>IF(D100="","",VLOOKUP(D100,'G-6 Hedgerow Data'!$B$1:$AH$15,33,FALSE))</f>
        <v/>
      </c>
      <c r="N100" s="513" t="str">
        <f t="shared" si="9"/>
        <v/>
      </c>
      <c r="O100" s="40"/>
      <c r="P100" s="145"/>
      <c r="Q100" s="157"/>
      <c r="R100" s="507" t="str">
        <f t="shared" si="10"/>
        <v/>
      </c>
      <c r="S100" s="507" t="str">
        <f t="shared" si="11"/>
        <v/>
      </c>
      <c r="T100" s="511" t="str">
        <f t="shared" si="12"/>
        <v/>
      </c>
      <c r="U100" s="515" t="str">
        <f t="shared" si="13"/>
        <v/>
      </c>
      <c r="V100" s="151"/>
      <c r="W100" s="152"/>
      <c r="AB100" s="31" t="str">
        <f>IFERROR(INDEX('G-6 Hedgerow Data'!$BJ$3:$BJ$15,MATCH(D100,'G-6 Hedgerow Data'!$B$3:$B$15,0)),"")</f>
        <v/>
      </c>
      <c r="AE100" s="156" t="str">
        <f t="shared" si="7"/>
        <v/>
      </c>
      <c r="AF100" s="156" t="str">
        <f t="shared" si="8"/>
        <v/>
      </c>
      <c r="AH100" s="156">
        <v>91</v>
      </c>
      <c r="AJ100" s="156" t="str">
        <f t="array" ref="AJ100">IFERROR(INDEX($AH$10:$AH$258, MATCH(0, IF(TRUE=$AE$10:$AE$258, COUNTIF($AJ$9:$AJ99, $AH$10:$AH$258), ""), 0)),"")</f>
        <v/>
      </c>
      <c r="AK100" s="156" t="str">
        <f t="array" ref="AK100">IFERROR(INDEX($AH$10:$AH$258, MATCH(0, IF(TRUE=$AF$10:$AF$258, COUNTIF($AK$9:$AK99, $AH$10:$AH$258), ""), 0)),"")</f>
        <v/>
      </c>
    </row>
    <row r="101" spans="2:37" ht="14" x14ac:dyDescent="0.3">
      <c r="B101" s="141">
        <v>92</v>
      </c>
      <c r="C101" s="203"/>
      <c r="D101" s="203"/>
      <c r="E101" s="153"/>
      <c r="F101" s="498" t="str">
        <f>IF(D101="","",VLOOKUP(D101,'G-6 Hedgerow Data'!$B$2:$AG$15,2,FALSE))</f>
        <v/>
      </c>
      <c r="G101" s="499" t="str">
        <f>IF(D101="","",VLOOKUP(D101,'G-6 Hedgerow Data'!$B$2:$AG$15,3,FALSE))</f>
        <v/>
      </c>
      <c r="H101" s="145"/>
      <c r="I101" s="499" t="str">
        <f>IFERROR(IF(AND(F101="V.Low",OR(H101="Good",H101="Moderate")),"Error ▲",VLOOKUP(H101,'G-1 All Habitats'!$Z$2:$AA$9,2,FALSE)),"")</f>
        <v/>
      </c>
      <c r="J101" s="154"/>
      <c r="K101" s="520" t="str">
        <f>IF(J101="","",IF(VLOOKUP(J101,'G-3 Multipliers'!$L$3:$N$6,2,FALSE)=0,"Spatial Data Missing ⚠",VLOOKUP(J101,'G-3 Multipliers'!$L$3:$N$6,2,FALSE)))</f>
        <v/>
      </c>
      <c r="L101" s="524" t="str">
        <f>IF(J101="","",IF(VLOOKUP(J101,'G-3 Multipliers'!$L$3:$N$6,3,FALSE)=0,"Spatial Data Missing ⚠",VLOOKUP(J101,'G-3 Multipliers'!$L$3:$N$6,3,FALSE)))</f>
        <v/>
      </c>
      <c r="M101" s="506" t="str">
        <f>IF(D101="","",VLOOKUP(D101,'G-6 Hedgerow Data'!$B$1:$AH$15,33,FALSE))</f>
        <v/>
      </c>
      <c r="N101" s="513" t="str">
        <f t="shared" si="9"/>
        <v/>
      </c>
      <c r="O101" s="40"/>
      <c r="P101" s="145"/>
      <c r="Q101" s="157"/>
      <c r="R101" s="507" t="str">
        <f t="shared" si="10"/>
        <v/>
      </c>
      <c r="S101" s="507" t="str">
        <f t="shared" si="11"/>
        <v/>
      </c>
      <c r="T101" s="511" t="str">
        <f t="shared" si="12"/>
        <v/>
      </c>
      <c r="U101" s="515" t="str">
        <f t="shared" si="13"/>
        <v/>
      </c>
      <c r="V101" s="151"/>
      <c r="W101" s="152"/>
      <c r="AB101" s="31" t="str">
        <f>IFERROR(INDEX('G-6 Hedgerow Data'!$BJ$3:$BJ$15,MATCH(D101,'G-6 Hedgerow Data'!$B$3:$B$15,0)),"")</f>
        <v/>
      </c>
      <c r="AE101" s="156" t="str">
        <f t="shared" si="7"/>
        <v/>
      </c>
      <c r="AF101" s="156" t="str">
        <f t="shared" si="8"/>
        <v/>
      </c>
      <c r="AH101" s="156">
        <v>92</v>
      </c>
      <c r="AJ101" s="156" t="str">
        <f t="array" ref="AJ101">IFERROR(INDEX($AH$10:$AH$258, MATCH(0, IF(TRUE=$AE$10:$AE$258, COUNTIF($AJ$9:$AJ100, $AH$10:$AH$258), ""), 0)),"")</f>
        <v/>
      </c>
      <c r="AK101" s="156" t="str">
        <f t="array" ref="AK101">IFERROR(INDEX($AH$10:$AH$258, MATCH(0, IF(TRUE=$AF$10:$AF$258, COUNTIF($AK$9:$AK100, $AH$10:$AH$258), ""), 0)),"")</f>
        <v/>
      </c>
    </row>
    <row r="102" spans="2:37" ht="14" x14ac:dyDescent="0.3">
      <c r="B102" s="141">
        <v>93</v>
      </c>
      <c r="C102" s="203"/>
      <c r="D102" s="203"/>
      <c r="E102" s="153"/>
      <c r="F102" s="498" t="str">
        <f>IF(D102="","",VLOOKUP(D102,'G-6 Hedgerow Data'!$B$2:$AG$15,2,FALSE))</f>
        <v/>
      </c>
      <c r="G102" s="499" t="str">
        <f>IF(D102="","",VLOOKUP(D102,'G-6 Hedgerow Data'!$B$2:$AG$15,3,FALSE))</f>
        <v/>
      </c>
      <c r="H102" s="145"/>
      <c r="I102" s="499" t="str">
        <f>IFERROR(IF(AND(F102="V.Low",OR(H102="Good",H102="Moderate")),"Error ▲",VLOOKUP(H102,'G-1 All Habitats'!$Z$2:$AA$9,2,FALSE)),"")</f>
        <v/>
      </c>
      <c r="J102" s="154"/>
      <c r="K102" s="520" t="str">
        <f>IF(J102="","",IF(VLOOKUP(J102,'G-3 Multipliers'!$L$3:$N$6,2,FALSE)=0,"Spatial Data Missing ⚠",VLOOKUP(J102,'G-3 Multipliers'!$L$3:$N$6,2,FALSE)))</f>
        <v/>
      </c>
      <c r="L102" s="524" t="str">
        <f>IF(J102="","",IF(VLOOKUP(J102,'G-3 Multipliers'!$L$3:$N$6,3,FALSE)=0,"Spatial Data Missing ⚠",VLOOKUP(J102,'G-3 Multipliers'!$L$3:$N$6,3,FALSE)))</f>
        <v/>
      </c>
      <c r="M102" s="506" t="str">
        <f>IF(D102="","",VLOOKUP(D102,'G-6 Hedgerow Data'!$B$1:$AH$15,33,FALSE))</f>
        <v/>
      </c>
      <c r="N102" s="513" t="str">
        <f t="shared" si="9"/>
        <v/>
      </c>
      <c r="O102" s="40"/>
      <c r="P102" s="145"/>
      <c r="Q102" s="157"/>
      <c r="R102" s="507" t="str">
        <f t="shared" si="10"/>
        <v/>
      </c>
      <c r="S102" s="507" t="str">
        <f t="shared" si="11"/>
        <v/>
      </c>
      <c r="T102" s="511" t="str">
        <f t="shared" si="12"/>
        <v/>
      </c>
      <c r="U102" s="515" t="str">
        <f t="shared" si="13"/>
        <v/>
      </c>
      <c r="V102" s="151"/>
      <c r="W102" s="152"/>
      <c r="AB102" s="31" t="str">
        <f>IFERROR(INDEX('G-6 Hedgerow Data'!$BJ$3:$BJ$15,MATCH(D102,'G-6 Hedgerow Data'!$B$3:$B$15,0)),"")</f>
        <v/>
      </c>
      <c r="AE102" s="156" t="str">
        <f t="shared" si="7"/>
        <v/>
      </c>
      <c r="AF102" s="156" t="str">
        <f t="shared" si="8"/>
        <v/>
      </c>
      <c r="AH102" s="156">
        <v>93</v>
      </c>
      <c r="AJ102" s="156" t="str">
        <f t="array" ref="AJ102">IFERROR(INDEX($AH$10:$AH$258, MATCH(0, IF(TRUE=$AE$10:$AE$258, COUNTIF($AJ$9:$AJ101, $AH$10:$AH$258), ""), 0)),"")</f>
        <v/>
      </c>
      <c r="AK102" s="156" t="str">
        <f t="array" ref="AK102">IFERROR(INDEX($AH$10:$AH$258, MATCH(0, IF(TRUE=$AF$10:$AF$258, COUNTIF($AK$9:$AK101, $AH$10:$AH$258), ""), 0)),"")</f>
        <v/>
      </c>
    </row>
    <row r="103" spans="2:37" ht="14" x14ac:dyDescent="0.3">
      <c r="B103" s="141">
        <v>94</v>
      </c>
      <c r="C103" s="203"/>
      <c r="D103" s="203"/>
      <c r="E103" s="153"/>
      <c r="F103" s="498" t="str">
        <f>IF(D103="","",VLOOKUP(D103,'G-6 Hedgerow Data'!$B$2:$AG$15,2,FALSE))</f>
        <v/>
      </c>
      <c r="G103" s="499" t="str">
        <f>IF(D103="","",VLOOKUP(D103,'G-6 Hedgerow Data'!$B$2:$AG$15,3,FALSE))</f>
        <v/>
      </c>
      <c r="H103" s="145"/>
      <c r="I103" s="499" t="str">
        <f>IFERROR(IF(AND(F103="V.Low",OR(H103="Good",H103="Moderate")),"Error ▲",VLOOKUP(H103,'G-1 All Habitats'!$Z$2:$AA$9,2,FALSE)),"")</f>
        <v/>
      </c>
      <c r="J103" s="154"/>
      <c r="K103" s="520" t="str">
        <f>IF(J103="","",IF(VLOOKUP(J103,'G-3 Multipliers'!$L$3:$N$6,2,FALSE)=0,"Spatial Data Missing ⚠",VLOOKUP(J103,'G-3 Multipliers'!$L$3:$N$6,2,FALSE)))</f>
        <v/>
      </c>
      <c r="L103" s="524" t="str">
        <f>IF(J103="","",IF(VLOOKUP(J103,'G-3 Multipliers'!$L$3:$N$6,3,FALSE)=0,"Spatial Data Missing ⚠",VLOOKUP(J103,'G-3 Multipliers'!$L$3:$N$6,3,FALSE)))</f>
        <v/>
      </c>
      <c r="M103" s="506" t="str">
        <f>IF(D103="","",VLOOKUP(D103,'G-6 Hedgerow Data'!$B$1:$AH$15,33,FALSE))</f>
        <v/>
      </c>
      <c r="N103" s="513" t="str">
        <f t="shared" si="9"/>
        <v/>
      </c>
      <c r="O103" s="40"/>
      <c r="P103" s="145"/>
      <c r="Q103" s="157"/>
      <c r="R103" s="507" t="str">
        <f t="shared" si="10"/>
        <v/>
      </c>
      <c r="S103" s="507" t="str">
        <f t="shared" si="11"/>
        <v/>
      </c>
      <c r="T103" s="511" t="str">
        <f t="shared" si="12"/>
        <v/>
      </c>
      <c r="U103" s="515" t="str">
        <f t="shared" si="13"/>
        <v/>
      </c>
      <c r="V103" s="151"/>
      <c r="W103" s="152"/>
      <c r="AB103" s="31" t="str">
        <f>IFERROR(INDEX('G-6 Hedgerow Data'!$BJ$3:$BJ$15,MATCH(D103,'G-6 Hedgerow Data'!$B$3:$B$15,0)),"")</f>
        <v/>
      </c>
      <c r="AE103" s="156" t="str">
        <f t="shared" si="7"/>
        <v/>
      </c>
      <c r="AF103" s="156" t="str">
        <f t="shared" si="8"/>
        <v/>
      </c>
      <c r="AH103" s="156">
        <v>94</v>
      </c>
      <c r="AJ103" s="156" t="str">
        <f t="array" ref="AJ103">IFERROR(INDEX($AH$10:$AH$258, MATCH(0, IF(TRUE=$AE$10:$AE$258, COUNTIF($AJ$9:$AJ102, $AH$10:$AH$258), ""), 0)),"")</f>
        <v/>
      </c>
      <c r="AK103" s="156" t="str">
        <f t="array" ref="AK103">IFERROR(INDEX($AH$10:$AH$258, MATCH(0, IF(TRUE=$AF$10:$AF$258, COUNTIF($AK$9:$AK102, $AH$10:$AH$258), ""), 0)),"")</f>
        <v/>
      </c>
    </row>
    <row r="104" spans="2:37" ht="14" x14ac:dyDescent="0.3">
      <c r="B104" s="141">
        <v>95</v>
      </c>
      <c r="C104" s="203"/>
      <c r="D104" s="203"/>
      <c r="E104" s="153"/>
      <c r="F104" s="498" t="str">
        <f>IF(D104="","",VLOOKUP(D104,'G-6 Hedgerow Data'!$B$2:$AG$15,2,FALSE))</f>
        <v/>
      </c>
      <c r="G104" s="499" t="str">
        <f>IF(D104="","",VLOOKUP(D104,'G-6 Hedgerow Data'!$B$2:$AG$15,3,FALSE))</f>
        <v/>
      </c>
      <c r="H104" s="145"/>
      <c r="I104" s="499" t="str">
        <f>IFERROR(IF(AND(F104="V.Low",OR(H104="Good",H104="Moderate")),"Error ▲",VLOOKUP(H104,'G-1 All Habitats'!$Z$2:$AA$9,2,FALSE)),"")</f>
        <v/>
      </c>
      <c r="J104" s="154"/>
      <c r="K104" s="520" t="str">
        <f>IF(J104="","",IF(VLOOKUP(J104,'G-3 Multipliers'!$L$3:$N$6,2,FALSE)=0,"Spatial Data Missing ⚠",VLOOKUP(J104,'G-3 Multipliers'!$L$3:$N$6,2,FALSE)))</f>
        <v/>
      </c>
      <c r="L104" s="524" t="str">
        <f>IF(J104="","",IF(VLOOKUP(J104,'G-3 Multipliers'!$L$3:$N$6,3,FALSE)=0,"Spatial Data Missing ⚠",VLOOKUP(J104,'G-3 Multipliers'!$L$3:$N$6,3,FALSE)))</f>
        <v/>
      </c>
      <c r="M104" s="506" t="str">
        <f>IF(D104="","",VLOOKUP(D104,'G-6 Hedgerow Data'!$B$1:$AH$15,33,FALSE))</f>
        <v/>
      </c>
      <c r="N104" s="513" t="str">
        <f t="shared" si="9"/>
        <v/>
      </c>
      <c r="O104" s="40"/>
      <c r="P104" s="145"/>
      <c r="Q104" s="157"/>
      <c r="R104" s="507" t="str">
        <f t="shared" si="10"/>
        <v/>
      </c>
      <c r="S104" s="507" t="str">
        <f t="shared" si="11"/>
        <v/>
      </c>
      <c r="T104" s="511" t="str">
        <f t="shared" si="12"/>
        <v/>
      </c>
      <c r="U104" s="515" t="str">
        <f t="shared" si="13"/>
        <v/>
      </c>
      <c r="V104" s="151"/>
      <c r="W104" s="152"/>
      <c r="AB104" s="31" t="str">
        <f>IFERROR(INDEX('G-6 Hedgerow Data'!$BJ$3:$BJ$15,MATCH(D104,'G-6 Hedgerow Data'!$B$3:$B$15,0)),"")</f>
        <v/>
      </c>
      <c r="AE104" s="156" t="str">
        <f t="shared" si="7"/>
        <v/>
      </c>
      <c r="AF104" s="156" t="str">
        <f t="shared" si="8"/>
        <v/>
      </c>
      <c r="AH104" s="156">
        <v>95</v>
      </c>
      <c r="AJ104" s="156" t="str">
        <f t="array" ref="AJ104">IFERROR(INDEX($AH$10:$AH$258, MATCH(0, IF(TRUE=$AE$10:$AE$258, COUNTIF($AJ$9:$AJ103, $AH$10:$AH$258), ""), 0)),"")</f>
        <v/>
      </c>
      <c r="AK104" s="156" t="str">
        <f t="array" ref="AK104">IFERROR(INDEX($AH$10:$AH$258, MATCH(0, IF(TRUE=$AF$10:$AF$258, COUNTIF($AK$9:$AK103, $AH$10:$AH$258), ""), 0)),"")</f>
        <v/>
      </c>
    </row>
    <row r="105" spans="2:37" ht="14" x14ac:dyDescent="0.3">
      <c r="B105" s="141">
        <v>96</v>
      </c>
      <c r="C105" s="203"/>
      <c r="D105" s="203"/>
      <c r="E105" s="153"/>
      <c r="F105" s="498" t="str">
        <f>IF(D105="","",VLOOKUP(D105,'G-6 Hedgerow Data'!$B$2:$AG$15,2,FALSE))</f>
        <v/>
      </c>
      <c r="G105" s="499" t="str">
        <f>IF(D105="","",VLOOKUP(D105,'G-6 Hedgerow Data'!$B$2:$AG$15,3,FALSE))</f>
        <v/>
      </c>
      <c r="H105" s="145"/>
      <c r="I105" s="499" t="str">
        <f>IFERROR(IF(AND(F105="V.Low",OR(H105="Good",H105="Moderate")),"Error ▲",VLOOKUP(H105,'G-1 All Habitats'!$Z$2:$AA$9,2,FALSE)),"")</f>
        <v/>
      </c>
      <c r="J105" s="154"/>
      <c r="K105" s="520" t="str">
        <f>IF(J105="","",IF(VLOOKUP(J105,'G-3 Multipliers'!$L$3:$N$6,2,FALSE)=0,"Spatial Data Missing ⚠",VLOOKUP(J105,'G-3 Multipliers'!$L$3:$N$6,2,FALSE)))</f>
        <v/>
      </c>
      <c r="L105" s="524" t="str">
        <f>IF(J105="","",IF(VLOOKUP(J105,'G-3 Multipliers'!$L$3:$N$6,3,FALSE)=0,"Spatial Data Missing ⚠",VLOOKUP(J105,'G-3 Multipliers'!$L$3:$N$6,3,FALSE)))</f>
        <v/>
      </c>
      <c r="M105" s="506" t="str">
        <f>IF(D105="","",VLOOKUP(D105,'G-6 Hedgerow Data'!$B$1:$AH$15,33,FALSE))</f>
        <v/>
      </c>
      <c r="N105" s="513" t="str">
        <f t="shared" si="9"/>
        <v/>
      </c>
      <c r="O105" s="40"/>
      <c r="P105" s="145"/>
      <c r="Q105" s="157"/>
      <c r="R105" s="507" t="str">
        <f t="shared" si="10"/>
        <v/>
      </c>
      <c r="S105" s="507" t="str">
        <f t="shared" si="11"/>
        <v/>
      </c>
      <c r="T105" s="511" t="str">
        <f t="shared" si="12"/>
        <v/>
      </c>
      <c r="U105" s="515" t="str">
        <f t="shared" si="13"/>
        <v/>
      </c>
      <c r="V105" s="151"/>
      <c r="W105" s="152"/>
      <c r="AB105" s="31" t="str">
        <f>IFERROR(INDEX('G-6 Hedgerow Data'!$BJ$3:$BJ$15,MATCH(D105,'G-6 Hedgerow Data'!$B$3:$B$15,0)),"")</f>
        <v/>
      </c>
      <c r="AE105" s="156" t="str">
        <f t="shared" si="7"/>
        <v/>
      </c>
      <c r="AF105" s="156" t="str">
        <f t="shared" si="8"/>
        <v/>
      </c>
      <c r="AH105" s="156">
        <v>96</v>
      </c>
      <c r="AJ105" s="156" t="str">
        <f t="array" ref="AJ105">IFERROR(INDEX($AH$10:$AH$258, MATCH(0, IF(TRUE=$AE$10:$AE$258, COUNTIF($AJ$9:$AJ104, $AH$10:$AH$258), ""), 0)),"")</f>
        <v/>
      </c>
      <c r="AK105" s="156" t="str">
        <f t="array" ref="AK105">IFERROR(INDEX($AH$10:$AH$258, MATCH(0, IF(TRUE=$AF$10:$AF$258, COUNTIF($AK$9:$AK104, $AH$10:$AH$258), ""), 0)),"")</f>
        <v/>
      </c>
    </row>
    <row r="106" spans="2:37" ht="14" x14ac:dyDescent="0.3">
      <c r="B106" s="141">
        <v>97</v>
      </c>
      <c r="C106" s="203"/>
      <c r="D106" s="203"/>
      <c r="E106" s="153"/>
      <c r="F106" s="498" t="str">
        <f>IF(D106="","",VLOOKUP(D106,'G-6 Hedgerow Data'!$B$2:$AG$15,2,FALSE))</f>
        <v/>
      </c>
      <c r="G106" s="499" t="str">
        <f>IF(D106="","",VLOOKUP(D106,'G-6 Hedgerow Data'!$B$2:$AG$15,3,FALSE))</f>
        <v/>
      </c>
      <c r="H106" s="145"/>
      <c r="I106" s="499" t="str">
        <f>IFERROR(IF(AND(F106="V.Low",OR(H106="Good",H106="Moderate")),"Error ▲",VLOOKUP(H106,'G-1 All Habitats'!$Z$2:$AA$9,2,FALSE)),"")</f>
        <v/>
      </c>
      <c r="J106" s="154"/>
      <c r="K106" s="520" t="str">
        <f>IF(J106="","",IF(VLOOKUP(J106,'G-3 Multipliers'!$L$3:$N$6,2,FALSE)=0,"Spatial Data Missing ⚠",VLOOKUP(J106,'G-3 Multipliers'!$L$3:$N$6,2,FALSE)))</f>
        <v/>
      </c>
      <c r="L106" s="524" t="str">
        <f>IF(J106="","",IF(VLOOKUP(J106,'G-3 Multipliers'!$L$3:$N$6,3,FALSE)=0,"Spatial Data Missing ⚠",VLOOKUP(J106,'G-3 Multipliers'!$L$3:$N$6,3,FALSE)))</f>
        <v/>
      </c>
      <c r="M106" s="506" t="str">
        <f>IF(D106="","",VLOOKUP(D106,'G-6 Hedgerow Data'!$B$1:$AH$15,33,FALSE))</f>
        <v/>
      </c>
      <c r="N106" s="513" t="str">
        <f t="shared" si="9"/>
        <v/>
      </c>
      <c r="O106" s="40"/>
      <c r="P106" s="145"/>
      <c r="Q106" s="157"/>
      <c r="R106" s="507" t="str">
        <f t="shared" si="10"/>
        <v/>
      </c>
      <c r="S106" s="507" t="str">
        <f t="shared" si="11"/>
        <v/>
      </c>
      <c r="T106" s="511" t="str">
        <f t="shared" si="12"/>
        <v/>
      </c>
      <c r="U106" s="515" t="str">
        <f t="shared" si="13"/>
        <v/>
      </c>
      <c r="V106" s="151"/>
      <c r="W106" s="152"/>
      <c r="AB106" s="31" t="str">
        <f>IFERROR(INDEX('G-6 Hedgerow Data'!$BJ$3:$BJ$15,MATCH(D106,'G-6 Hedgerow Data'!$B$3:$B$15,0)),"")</f>
        <v/>
      </c>
      <c r="AE106" s="156" t="str">
        <f t="shared" si="7"/>
        <v/>
      </c>
      <c r="AF106" s="156" t="str">
        <f t="shared" si="8"/>
        <v/>
      </c>
      <c r="AH106" s="156">
        <v>97</v>
      </c>
      <c r="AJ106" s="156" t="str">
        <f t="array" ref="AJ106">IFERROR(INDEX($AH$10:$AH$258, MATCH(0, IF(TRUE=$AE$10:$AE$258, COUNTIF($AJ$9:$AJ105, $AH$10:$AH$258), ""), 0)),"")</f>
        <v/>
      </c>
      <c r="AK106" s="156" t="str">
        <f t="array" ref="AK106">IFERROR(INDEX($AH$10:$AH$258, MATCH(0, IF(TRUE=$AF$10:$AF$258, COUNTIF($AK$9:$AK105, $AH$10:$AH$258), ""), 0)),"")</f>
        <v/>
      </c>
    </row>
    <row r="107" spans="2:37" ht="14" x14ac:dyDescent="0.3">
      <c r="B107" s="141">
        <v>98</v>
      </c>
      <c r="C107" s="203"/>
      <c r="D107" s="203"/>
      <c r="E107" s="153"/>
      <c r="F107" s="498" t="str">
        <f>IF(D107="","",VLOOKUP(D107,'G-6 Hedgerow Data'!$B$2:$AG$15,2,FALSE))</f>
        <v/>
      </c>
      <c r="G107" s="499" t="str">
        <f>IF(D107="","",VLOOKUP(D107,'G-6 Hedgerow Data'!$B$2:$AG$15,3,FALSE))</f>
        <v/>
      </c>
      <c r="H107" s="145"/>
      <c r="I107" s="499" t="str">
        <f>IFERROR(IF(AND(F107="V.Low",OR(H107="Good",H107="Moderate")),"Error ▲",VLOOKUP(H107,'G-1 All Habitats'!$Z$2:$AA$9,2,FALSE)),"")</f>
        <v/>
      </c>
      <c r="J107" s="154"/>
      <c r="K107" s="520" t="str">
        <f>IF(J107="","",IF(VLOOKUP(J107,'G-3 Multipliers'!$L$3:$N$6,2,FALSE)=0,"Spatial Data Missing ⚠",VLOOKUP(J107,'G-3 Multipliers'!$L$3:$N$6,2,FALSE)))</f>
        <v/>
      </c>
      <c r="L107" s="524" t="str">
        <f>IF(J107="","",IF(VLOOKUP(J107,'G-3 Multipliers'!$L$3:$N$6,3,FALSE)=0,"Spatial Data Missing ⚠",VLOOKUP(J107,'G-3 Multipliers'!$L$3:$N$6,3,FALSE)))</f>
        <v/>
      </c>
      <c r="M107" s="506" t="str">
        <f>IF(D107="","",VLOOKUP(D107,'G-6 Hedgerow Data'!$B$1:$AH$15,33,FALSE))</f>
        <v/>
      </c>
      <c r="N107" s="513" t="str">
        <f t="shared" si="9"/>
        <v/>
      </c>
      <c r="O107" s="40"/>
      <c r="P107" s="145"/>
      <c r="Q107" s="157"/>
      <c r="R107" s="507" t="str">
        <f t="shared" si="10"/>
        <v/>
      </c>
      <c r="S107" s="507" t="str">
        <f t="shared" si="11"/>
        <v/>
      </c>
      <c r="T107" s="511" t="str">
        <f t="shared" si="12"/>
        <v/>
      </c>
      <c r="U107" s="515" t="str">
        <f t="shared" si="13"/>
        <v/>
      </c>
      <c r="V107" s="151"/>
      <c r="W107" s="152"/>
      <c r="AB107" s="31" t="str">
        <f>IFERROR(INDEX('G-6 Hedgerow Data'!$BJ$3:$BJ$15,MATCH(D107,'G-6 Hedgerow Data'!$B$3:$B$15,0)),"")</f>
        <v/>
      </c>
      <c r="AE107" s="156" t="str">
        <f t="shared" si="7"/>
        <v/>
      </c>
      <c r="AF107" s="156" t="str">
        <f t="shared" si="8"/>
        <v/>
      </c>
      <c r="AH107" s="156">
        <v>98</v>
      </c>
      <c r="AJ107" s="156" t="str">
        <f t="array" ref="AJ107">IFERROR(INDEX($AH$10:$AH$258, MATCH(0, IF(TRUE=$AE$10:$AE$258, COUNTIF($AJ$9:$AJ106, $AH$10:$AH$258), ""), 0)),"")</f>
        <v/>
      </c>
      <c r="AK107" s="156" t="str">
        <f t="array" ref="AK107">IFERROR(INDEX($AH$10:$AH$258, MATCH(0, IF(TRUE=$AF$10:$AF$258, COUNTIF($AK$9:$AK106, $AH$10:$AH$258), ""), 0)),"")</f>
        <v/>
      </c>
    </row>
    <row r="108" spans="2:37" ht="14" x14ac:dyDescent="0.3">
      <c r="B108" s="141">
        <v>99</v>
      </c>
      <c r="C108" s="203"/>
      <c r="D108" s="203"/>
      <c r="E108" s="153"/>
      <c r="F108" s="498" t="str">
        <f>IF(D108="","",VLOOKUP(D108,'G-6 Hedgerow Data'!$B$2:$AG$15,2,FALSE))</f>
        <v/>
      </c>
      <c r="G108" s="499" t="str">
        <f>IF(D108="","",VLOOKUP(D108,'G-6 Hedgerow Data'!$B$2:$AG$15,3,FALSE))</f>
        <v/>
      </c>
      <c r="H108" s="145"/>
      <c r="I108" s="499" t="str">
        <f>IFERROR(IF(AND(F108="V.Low",OR(H108="Good",H108="Moderate")),"Error ▲",VLOOKUP(H108,'G-1 All Habitats'!$Z$2:$AA$9,2,FALSE)),"")</f>
        <v/>
      </c>
      <c r="J108" s="154"/>
      <c r="K108" s="520" t="str">
        <f>IF(J108="","",IF(VLOOKUP(J108,'G-3 Multipliers'!$L$3:$N$6,2,FALSE)=0,"Spatial Data Missing ⚠",VLOOKUP(J108,'G-3 Multipliers'!$L$3:$N$6,2,FALSE)))</f>
        <v/>
      </c>
      <c r="L108" s="524" t="str">
        <f>IF(J108="","",IF(VLOOKUP(J108,'G-3 Multipliers'!$L$3:$N$6,3,FALSE)=0,"Spatial Data Missing ⚠",VLOOKUP(J108,'G-3 Multipliers'!$L$3:$N$6,3,FALSE)))</f>
        <v/>
      </c>
      <c r="M108" s="506" t="str">
        <f>IF(D108="","",VLOOKUP(D108,'G-6 Hedgerow Data'!$B$1:$AH$15,33,FALSE))</f>
        <v/>
      </c>
      <c r="N108" s="513" t="str">
        <f t="shared" si="9"/>
        <v/>
      </c>
      <c r="O108" s="40"/>
      <c r="P108" s="145"/>
      <c r="Q108" s="157"/>
      <c r="R108" s="507" t="str">
        <f t="shared" si="10"/>
        <v/>
      </c>
      <c r="S108" s="507" t="str">
        <f t="shared" si="11"/>
        <v/>
      </c>
      <c r="T108" s="511" t="str">
        <f t="shared" si="12"/>
        <v/>
      </c>
      <c r="U108" s="515" t="str">
        <f t="shared" si="13"/>
        <v/>
      </c>
      <c r="V108" s="151"/>
      <c r="W108" s="152"/>
      <c r="AB108" s="31" t="str">
        <f>IFERROR(INDEX('G-6 Hedgerow Data'!$BJ$3:$BJ$15,MATCH(D108,'G-6 Hedgerow Data'!$B$3:$B$15,0)),"")</f>
        <v/>
      </c>
      <c r="AE108" s="156" t="str">
        <f t="shared" si="7"/>
        <v/>
      </c>
      <c r="AF108" s="156" t="str">
        <f t="shared" si="8"/>
        <v/>
      </c>
      <c r="AH108" s="156">
        <v>99</v>
      </c>
      <c r="AJ108" s="156" t="str">
        <f t="array" ref="AJ108">IFERROR(INDEX($AH$10:$AH$258, MATCH(0, IF(TRUE=$AE$10:$AE$258, COUNTIF($AJ$9:$AJ107, $AH$10:$AH$258), ""), 0)),"")</f>
        <v/>
      </c>
      <c r="AK108" s="156" t="str">
        <f t="array" ref="AK108">IFERROR(INDEX($AH$10:$AH$258, MATCH(0, IF(TRUE=$AF$10:$AF$258, COUNTIF($AK$9:$AK107, $AH$10:$AH$258), ""), 0)),"")</f>
        <v/>
      </c>
    </row>
    <row r="109" spans="2:37" ht="14" x14ac:dyDescent="0.3">
      <c r="B109" s="141">
        <v>100</v>
      </c>
      <c r="C109" s="203"/>
      <c r="D109" s="203"/>
      <c r="E109" s="153"/>
      <c r="F109" s="498" t="str">
        <f>IF(D109="","",VLOOKUP(D109,'G-6 Hedgerow Data'!$B$2:$AG$15,2,FALSE))</f>
        <v/>
      </c>
      <c r="G109" s="499" t="str">
        <f>IF(D109="","",VLOOKUP(D109,'G-6 Hedgerow Data'!$B$2:$AG$15,3,FALSE))</f>
        <v/>
      </c>
      <c r="H109" s="145"/>
      <c r="I109" s="499" t="str">
        <f>IFERROR(IF(AND(F109="V.Low",OR(H109="Good",H109="Moderate")),"Error ▲",VLOOKUP(H109,'G-1 All Habitats'!$Z$2:$AA$9,2,FALSE)),"")</f>
        <v/>
      </c>
      <c r="J109" s="154"/>
      <c r="K109" s="520" t="str">
        <f>IF(J109="","",IF(VLOOKUP(J109,'G-3 Multipliers'!$L$3:$N$6,2,FALSE)=0,"Spatial Data Missing ⚠",VLOOKUP(J109,'G-3 Multipliers'!$L$3:$N$6,2,FALSE)))</f>
        <v/>
      </c>
      <c r="L109" s="524" t="str">
        <f>IF(J109="","",IF(VLOOKUP(J109,'G-3 Multipliers'!$L$3:$N$6,3,FALSE)=0,"Spatial Data Missing ⚠",VLOOKUP(J109,'G-3 Multipliers'!$L$3:$N$6,3,FALSE)))</f>
        <v/>
      </c>
      <c r="M109" s="506" t="str">
        <f>IF(D109="","",VLOOKUP(D109,'G-6 Hedgerow Data'!$B$1:$AH$15,33,FALSE))</f>
        <v/>
      </c>
      <c r="N109" s="513" t="str">
        <f t="shared" si="9"/>
        <v/>
      </c>
      <c r="O109" s="40"/>
      <c r="P109" s="145"/>
      <c r="Q109" s="157"/>
      <c r="R109" s="507" t="str">
        <f t="shared" si="10"/>
        <v/>
      </c>
      <c r="S109" s="507" t="str">
        <f t="shared" si="11"/>
        <v/>
      </c>
      <c r="T109" s="511" t="str">
        <f t="shared" si="12"/>
        <v/>
      </c>
      <c r="U109" s="515" t="str">
        <f t="shared" si="13"/>
        <v/>
      </c>
      <c r="V109" s="151"/>
      <c r="W109" s="152"/>
      <c r="AB109" s="31" t="str">
        <f>IFERROR(INDEX('G-6 Hedgerow Data'!$BJ$3:$BJ$15,MATCH(D109,'G-6 Hedgerow Data'!$B$3:$B$15,0)),"")</f>
        <v/>
      </c>
      <c r="AE109" s="156" t="str">
        <f t="shared" si="7"/>
        <v/>
      </c>
      <c r="AF109" s="156" t="str">
        <f t="shared" si="8"/>
        <v/>
      </c>
      <c r="AH109" s="156">
        <v>100</v>
      </c>
      <c r="AJ109" s="156" t="str">
        <f t="array" ref="AJ109">IFERROR(INDEX($AH$10:$AH$258, MATCH(0, IF(TRUE=$AE$10:$AE$258, COUNTIF($AJ$9:$AJ108, $AH$10:$AH$258), ""), 0)),"")</f>
        <v/>
      </c>
      <c r="AK109" s="156" t="str">
        <f t="array" ref="AK109">IFERROR(INDEX($AH$10:$AH$258, MATCH(0, IF(TRUE=$AF$10:$AF$258, COUNTIF($AK$9:$AK108, $AH$10:$AH$258), ""), 0)),"")</f>
        <v/>
      </c>
    </row>
    <row r="110" spans="2:37" ht="14" x14ac:dyDescent="0.3">
      <c r="B110" s="141">
        <v>101</v>
      </c>
      <c r="C110" s="203"/>
      <c r="D110" s="203"/>
      <c r="E110" s="153"/>
      <c r="F110" s="498" t="str">
        <f>IF(D110="","",VLOOKUP(D110,'G-6 Hedgerow Data'!$B$2:$AG$15,2,FALSE))</f>
        <v/>
      </c>
      <c r="G110" s="499" t="str">
        <f>IF(D110="","",VLOOKUP(D110,'G-6 Hedgerow Data'!$B$2:$AG$15,3,FALSE))</f>
        <v/>
      </c>
      <c r="H110" s="145"/>
      <c r="I110" s="499" t="str">
        <f>IFERROR(IF(AND(F110="V.Low",OR(H110="Good",H110="Moderate")),"Error ▲",VLOOKUP(H110,'G-1 All Habitats'!$Z$2:$AA$9,2,FALSE)),"")</f>
        <v/>
      </c>
      <c r="J110" s="154"/>
      <c r="K110" s="520" t="str">
        <f>IF(J110="","",IF(VLOOKUP(J110,'G-3 Multipliers'!$L$3:$N$6,2,FALSE)=0,"Spatial Data Missing ⚠",VLOOKUP(J110,'G-3 Multipliers'!$L$3:$N$6,2,FALSE)))</f>
        <v/>
      </c>
      <c r="L110" s="524" t="str">
        <f>IF(J110="","",IF(VLOOKUP(J110,'G-3 Multipliers'!$L$3:$N$6,3,FALSE)=0,"Spatial Data Missing ⚠",VLOOKUP(J110,'G-3 Multipliers'!$L$3:$N$6,3,FALSE)))</f>
        <v/>
      </c>
      <c r="M110" s="506" t="str">
        <f>IF(D110="","",VLOOKUP(D110,'G-6 Hedgerow Data'!$B$1:$AH$15,33,FALSE))</f>
        <v/>
      </c>
      <c r="N110" s="513" t="str">
        <f t="shared" si="9"/>
        <v/>
      </c>
      <c r="O110" s="40"/>
      <c r="P110" s="145"/>
      <c r="Q110" s="157"/>
      <c r="R110" s="507" t="str">
        <f t="shared" si="10"/>
        <v/>
      </c>
      <c r="S110" s="507" t="str">
        <f t="shared" si="11"/>
        <v/>
      </c>
      <c r="T110" s="511" t="str">
        <f t="shared" si="12"/>
        <v/>
      </c>
      <c r="U110" s="515" t="str">
        <f t="shared" si="13"/>
        <v/>
      </c>
      <c r="V110" s="151"/>
      <c r="W110" s="152"/>
      <c r="AB110" s="31" t="str">
        <f>IFERROR(INDEX('G-6 Hedgerow Data'!$BJ$3:$BJ$15,MATCH(D110,'G-6 Hedgerow Data'!$B$3:$B$15,0)),"")</f>
        <v/>
      </c>
      <c r="AE110" s="156" t="str">
        <f t="shared" si="7"/>
        <v/>
      </c>
      <c r="AF110" s="156" t="str">
        <f t="shared" si="8"/>
        <v/>
      </c>
      <c r="AH110" s="156">
        <v>101</v>
      </c>
      <c r="AJ110" s="156" t="str">
        <f t="array" ref="AJ110">IFERROR(INDEX($AH$10:$AH$258, MATCH(0, IF(TRUE=$AE$10:$AE$258, COUNTIF($AJ$9:$AJ109, $AH$10:$AH$258), ""), 0)),"")</f>
        <v/>
      </c>
      <c r="AK110" s="156" t="str">
        <f t="array" ref="AK110">IFERROR(INDEX($AH$10:$AH$258, MATCH(0, IF(TRUE=$AF$10:$AF$258, COUNTIF($AK$9:$AK109, $AH$10:$AH$258), ""), 0)),"")</f>
        <v/>
      </c>
    </row>
    <row r="111" spans="2:37" ht="14" x14ac:dyDescent="0.3">
      <c r="B111" s="141">
        <v>102</v>
      </c>
      <c r="C111" s="203"/>
      <c r="D111" s="203"/>
      <c r="E111" s="153"/>
      <c r="F111" s="498" t="str">
        <f>IF(D111="","",VLOOKUP(D111,'G-6 Hedgerow Data'!$B$2:$AG$15,2,FALSE))</f>
        <v/>
      </c>
      <c r="G111" s="499" t="str">
        <f>IF(D111="","",VLOOKUP(D111,'G-6 Hedgerow Data'!$B$2:$AG$15,3,FALSE))</f>
        <v/>
      </c>
      <c r="H111" s="145"/>
      <c r="I111" s="499" t="str">
        <f>IFERROR(IF(AND(F111="V.Low",OR(H111="Good",H111="Moderate")),"Error ▲",VLOOKUP(H111,'G-1 All Habitats'!$Z$2:$AA$9,2,FALSE)),"")</f>
        <v/>
      </c>
      <c r="J111" s="154"/>
      <c r="K111" s="520" t="str">
        <f>IF(J111="","",IF(VLOOKUP(J111,'G-3 Multipliers'!$L$3:$N$6,2,FALSE)=0,"Spatial Data Missing ⚠",VLOOKUP(J111,'G-3 Multipliers'!$L$3:$N$6,2,FALSE)))</f>
        <v/>
      </c>
      <c r="L111" s="524" t="str">
        <f>IF(J111="","",IF(VLOOKUP(J111,'G-3 Multipliers'!$L$3:$N$6,3,FALSE)=0,"Spatial Data Missing ⚠",VLOOKUP(J111,'G-3 Multipliers'!$L$3:$N$6,3,FALSE)))</f>
        <v/>
      </c>
      <c r="M111" s="506" t="str">
        <f>IF(D111="","",VLOOKUP(D111,'G-6 Hedgerow Data'!$B$1:$AH$15,33,FALSE))</f>
        <v/>
      </c>
      <c r="N111" s="513" t="str">
        <f t="shared" si="9"/>
        <v/>
      </c>
      <c r="O111" s="40"/>
      <c r="P111" s="145"/>
      <c r="Q111" s="157"/>
      <c r="R111" s="507" t="str">
        <f t="shared" si="10"/>
        <v/>
      </c>
      <c r="S111" s="507" t="str">
        <f t="shared" si="11"/>
        <v/>
      </c>
      <c r="T111" s="511" t="str">
        <f t="shared" si="12"/>
        <v/>
      </c>
      <c r="U111" s="515" t="str">
        <f t="shared" si="13"/>
        <v/>
      </c>
      <c r="V111" s="151"/>
      <c r="W111" s="152"/>
      <c r="AB111" s="31" t="str">
        <f>IFERROR(INDEX('G-6 Hedgerow Data'!$BJ$3:$BJ$15,MATCH(D111,'G-6 Hedgerow Data'!$B$3:$B$15,0)),"")</f>
        <v/>
      </c>
      <c r="AE111" s="156" t="str">
        <f t="shared" si="7"/>
        <v/>
      </c>
      <c r="AF111" s="156" t="str">
        <f t="shared" si="8"/>
        <v/>
      </c>
      <c r="AH111" s="156">
        <v>102</v>
      </c>
      <c r="AJ111" s="156" t="str">
        <f t="array" ref="AJ111">IFERROR(INDEX($AH$10:$AH$258, MATCH(0, IF(TRUE=$AE$10:$AE$258, COUNTIF($AJ$9:$AJ110, $AH$10:$AH$258), ""), 0)),"")</f>
        <v/>
      </c>
      <c r="AK111" s="156" t="str">
        <f t="array" ref="AK111">IFERROR(INDEX($AH$10:$AH$258, MATCH(0, IF(TRUE=$AF$10:$AF$258, COUNTIF($AK$9:$AK110, $AH$10:$AH$258), ""), 0)),"")</f>
        <v/>
      </c>
    </row>
    <row r="112" spans="2:37" ht="14" x14ac:dyDescent="0.3">
      <c r="B112" s="141">
        <v>103</v>
      </c>
      <c r="C112" s="203"/>
      <c r="D112" s="203"/>
      <c r="E112" s="153"/>
      <c r="F112" s="498" t="str">
        <f>IF(D112="","",VLOOKUP(D112,'G-6 Hedgerow Data'!$B$2:$AG$15,2,FALSE))</f>
        <v/>
      </c>
      <c r="G112" s="499" t="str">
        <f>IF(D112="","",VLOOKUP(D112,'G-6 Hedgerow Data'!$B$2:$AG$15,3,FALSE))</f>
        <v/>
      </c>
      <c r="H112" s="145"/>
      <c r="I112" s="499" t="str">
        <f>IFERROR(IF(AND(F112="V.Low",OR(H112="Good",H112="Moderate")),"Error ▲",VLOOKUP(H112,'G-1 All Habitats'!$Z$2:$AA$9,2,FALSE)),"")</f>
        <v/>
      </c>
      <c r="J112" s="154"/>
      <c r="K112" s="520" t="str">
        <f>IF(J112="","",IF(VLOOKUP(J112,'G-3 Multipliers'!$L$3:$N$6,2,FALSE)=0,"Spatial Data Missing ⚠",VLOOKUP(J112,'G-3 Multipliers'!$L$3:$N$6,2,FALSE)))</f>
        <v/>
      </c>
      <c r="L112" s="524" t="str">
        <f>IF(J112="","",IF(VLOOKUP(J112,'G-3 Multipliers'!$L$3:$N$6,3,FALSE)=0,"Spatial Data Missing ⚠",VLOOKUP(J112,'G-3 Multipliers'!$L$3:$N$6,3,FALSE)))</f>
        <v/>
      </c>
      <c r="M112" s="506" t="str">
        <f>IF(D112="","",VLOOKUP(D112,'G-6 Hedgerow Data'!$B$1:$AH$15,33,FALSE))</f>
        <v/>
      </c>
      <c r="N112" s="513" t="str">
        <f t="shared" si="9"/>
        <v/>
      </c>
      <c r="O112" s="40"/>
      <c r="P112" s="145"/>
      <c r="Q112" s="157"/>
      <c r="R112" s="507" t="str">
        <f t="shared" si="10"/>
        <v/>
      </c>
      <c r="S112" s="507" t="str">
        <f t="shared" si="11"/>
        <v/>
      </c>
      <c r="T112" s="511" t="str">
        <f t="shared" si="12"/>
        <v/>
      </c>
      <c r="U112" s="515" t="str">
        <f t="shared" si="13"/>
        <v/>
      </c>
      <c r="V112" s="151"/>
      <c r="W112" s="152"/>
      <c r="AB112" s="31" t="str">
        <f>IFERROR(INDEX('G-6 Hedgerow Data'!$BJ$3:$BJ$15,MATCH(D112,'G-6 Hedgerow Data'!$B$3:$B$15,0)),"")</f>
        <v/>
      </c>
      <c r="AE112" s="156" t="str">
        <f t="shared" si="7"/>
        <v/>
      </c>
      <c r="AF112" s="156" t="str">
        <f t="shared" si="8"/>
        <v/>
      </c>
      <c r="AH112" s="156">
        <v>103</v>
      </c>
      <c r="AJ112" s="156" t="str">
        <f t="array" ref="AJ112">IFERROR(INDEX($AH$10:$AH$258, MATCH(0, IF(TRUE=$AE$10:$AE$258, COUNTIF($AJ$9:$AJ111, $AH$10:$AH$258), ""), 0)),"")</f>
        <v/>
      </c>
      <c r="AK112" s="156" t="str">
        <f t="array" ref="AK112">IFERROR(INDEX($AH$10:$AH$258, MATCH(0, IF(TRUE=$AF$10:$AF$258, COUNTIF($AK$9:$AK111, $AH$10:$AH$258), ""), 0)),"")</f>
        <v/>
      </c>
    </row>
    <row r="113" spans="2:37" ht="14" x14ac:dyDescent="0.3">
      <c r="B113" s="141">
        <v>104</v>
      </c>
      <c r="C113" s="203"/>
      <c r="D113" s="203"/>
      <c r="E113" s="153"/>
      <c r="F113" s="498" t="str">
        <f>IF(D113="","",VLOOKUP(D113,'G-6 Hedgerow Data'!$B$2:$AG$15,2,FALSE))</f>
        <v/>
      </c>
      <c r="G113" s="499" t="str">
        <f>IF(D113="","",VLOOKUP(D113,'G-6 Hedgerow Data'!$B$2:$AG$15,3,FALSE))</f>
        <v/>
      </c>
      <c r="H113" s="145"/>
      <c r="I113" s="499" t="str">
        <f>IFERROR(IF(AND(F113="V.Low",OR(H113="Good",H113="Moderate")),"Error ▲",VLOOKUP(H113,'G-1 All Habitats'!$Z$2:$AA$9,2,FALSE)),"")</f>
        <v/>
      </c>
      <c r="J113" s="154"/>
      <c r="K113" s="520" t="str">
        <f>IF(J113="","",IF(VLOOKUP(J113,'G-3 Multipliers'!$L$3:$N$6,2,FALSE)=0,"Spatial Data Missing ⚠",VLOOKUP(J113,'G-3 Multipliers'!$L$3:$N$6,2,FALSE)))</f>
        <v/>
      </c>
      <c r="L113" s="524" t="str">
        <f>IF(J113="","",IF(VLOOKUP(J113,'G-3 Multipliers'!$L$3:$N$6,3,FALSE)=0,"Spatial Data Missing ⚠",VLOOKUP(J113,'G-3 Multipliers'!$L$3:$N$6,3,FALSE)))</f>
        <v/>
      </c>
      <c r="M113" s="506" t="str">
        <f>IF(D113="","",VLOOKUP(D113,'G-6 Hedgerow Data'!$B$1:$AH$15,33,FALSE))</f>
        <v/>
      </c>
      <c r="N113" s="513" t="str">
        <f t="shared" si="9"/>
        <v/>
      </c>
      <c r="O113" s="40"/>
      <c r="P113" s="145"/>
      <c r="Q113" s="157"/>
      <c r="R113" s="507" t="str">
        <f t="shared" si="10"/>
        <v/>
      </c>
      <c r="S113" s="507" t="str">
        <f t="shared" si="11"/>
        <v/>
      </c>
      <c r="T113" s="511" t="str">
        <f t="shared" si="12"/>
        <v/>
      </c>
      <c r="U113" s="515" t="str">
        <f t="shared" si="13"/>
        <v/>
      </c>
      <c r="V113" s="151"/>
      <c r="W113" s="152"/>
      <c r="AB113" s="31" t="str">
        <f>IFERROR(INDEX('G-6 Hedgerow Data'!$BJ$3:$BJ$15,MATCH(D113,'G-6 Hedgerow Data'!$B$3:$B$15,0)),"")</f>
        <v/>
      </c>
      <c r="AE113" s="156" t="str">
        <f t="shared" si="7"/>
        <v/>
      </c>
      <c r="AF113" s="156" t="str">
        <f t="shared" si="8"/>
        <v/>
      </c>
      <c r="AH113" s="156">
        <v>104</v>
      </c>
      <c r="AJ113" s="156" t="str">
        <f t="array" ref="AJ113">IFERROR(INDEX($AH$10:$AH$258, MATCH(0, IF(TRUE=$AE$10:$AE$258, COUNTIF($AJ$9:$AJ112, $AH$10:$AH$258), ""), 0)),"")</f>
        <v/>
      </c>
      <c r="AK113" s="156" t="str">
        <f t="array" ref="AK113">IFERROR(INDEX($AH$10:$AH$258, MATCH(0, IF(TRUE=$AF$10:$AF$258, COUNTIF($AK$9:$AK112, $AH$10:$AH$258), ""), 0)),"")</f>
        <v/>
      </c>
    </row>
    <row r="114" spans="2:37" ht="14" x14ac:dyDescent="0.3">
      <c r="B114" s="141">
        <v>105</v>
      </c>
      <c r="C114" s="203"/>
      <c r="D114" s="203"/>
      <c r="E114" s="153"/>
      <c r="F114" s="498" t="str">
        <f>IF(D114="","",VLOOKUP(D114,'G-6 Hedgerow Data'!$B$2:$AG$15,2,FALSE))</f>
        <v/>
      </c>
      <c r="G114" s="499" t="str">
        <f>IF(D114="","",VLOOKUP(D114,'G-6 Hedgerow Data'!$B$2:$AG$15,3,FALSE))</f>
        <v/>
      </c>
      <c r="H114" s="145"/>
      <c r="I114" s="499" t="str">
        <f>IFERROR(IF(AND(F114="V.Low",OR(H114="Good",H114="Moderate")),"Error ▲",VLOOKUP(H114,'G-1 All Habitats'!$Z$2:$AA$9,2,FALSE)),"")</f>
        <v/>
      </c>
      <c r="J114" s="154"/>
      <c r="K114" s="520" t="str">
        <f>IF(J114="","",IF(VLOOKUP(J114,'G-3 Multipliers'!$L$3:$N$6,2,FALSE)=0,"Spatial Data Missing ⚠",VLOOKUP(J114,'G-3 Multipliers'!$L$3:$N$6,2,FALSE)))</f>
        <v/>
      </c>
      <c r="L114" s="524" t="str">
        <f>IF(J114="","",IF(VLOOKUP(J114,'G-3 Multipliers'!$L$3:$N$6,3,FALSE)=0,"Spatial Data Missing ⚠",VLOOKUP(J114,'G-3 Multipliers'!$L$3:$N$6,3,FALSE)))</f>
        <v/>
      </c>
      <c r="M114" s="506" t="str">
        <f>IF(D114="","",VLOOKUP(D114,'G-6 Hedgerow Data'!$B$1:$AH$15,33,FALSE))</f>
        <v/>
      </c>
      <c r="N114" s="513" t="str">
        <f t="shared" si="9"/>
        <v/>
      </c>
      <c r="O114" s="40"/>
      <c r="P114" s="145"/>
      <c r="Q114" s="157"/>
      <c r="R114" s="507" t="str">
        <f t="shared" si="10"/>
        <v/>
      </c>
      <c r="S114" s="507" t="str">
        <f t="shared" si="11"/>
        <v/>
      </c>
      <c r="T114" s="511" t="str">
        <f t="shared" si="12"/>
        <v/>
      </c>
      <c r="U114" s="515" t="str">
        <f t="shared" si="13"/>
        <v/>
      </c>
      <c r="V114" s="151"/>
      <c r="W114" s="152"/>
      <c r="AB114" s="31" t="str">
        <f>IFERROR(INDEX('G-6 Hedgerow Data'!$BJ$3:$BJ$15,MATCH(D114,'G-6 Hedgerow Data'!$B$3:$B$15,0)),"")</f>
        <v/>
      </c>
      <c r="AE114" s="156" t="str">
        <f t="shared" si="7"/>
        <v/>
      </c>
      <c r="AF114" s="156" t="str">
        <f t="shared" si="8"/>
        <v/>
      </c>
      <c r="AH114" s="156">
        <v>105</v>
      </c>
      <c r="AJ114" s="156" t="str">
        <f t="array" ref="AJ114">IFERROR(INDEX($AH$10:$AH$258, MATCH(0, IF(TRUE=$AE$10:$AE$258, COUNTIF($AJ$9:$AJ113, $AH$10:$AH$258), ""), 0)),"")</f>
        <v/>
      </c>
      <c r="AK114" s="156" t="str">
        <f t="array" ref="AK114">IFERROR(INDEX($AH$10:$AH$258, MATCH(0, IF(TRUE=$AF$10:$AF$258, COUNTIF($AK$9:$AK113, $AH$10:$AH$258), ""), 0)),"")</f>
        <v/>
      </c>
    </row>
    <row r="115" spans="2:37" ht="14" x14ac:dyDescent="0.3">
      <c r="B115" s="141">
        <v>106</v>
      </c>
      <c r="C115" s="203"/>
      <c r="D115" s="203"/>
      <c r="E115" s="153"/>
      <c r="F115" s="498" t="str">
        <f>IF(D115="","",VLOOKUP(D115,'G-6 Hedgerow Data'!$B$2:$AG$15,2,FALSE))</f>
        <v/>
      </c>
      <c r="G115" s="499" t="str">
        <f>IF(D115="","",VLOOKUP(D115,'G-6 Hedgerow Data'!$B$2:$AG$15,3,FALSE))</f>
        <v/>
      </c>
      <c r="H115" s="145"/>
      <c r="I115" s="499" t="str">
        <f>IFERROR(IF(AND(F115="V.Low",OR(H115="Good",H115="Moderate")),"Error ▲",VLOOKUP(H115,'G-1 All Habitats'!$Z$2:$AA$9,2,FALSE)),"")</f>
        <v/>
      </c>
      <c r="J115" s="154"/>
      <c r="K115" s="520" t="str">
        <f>IF(J115="","",IF(VLOOKUP(J115,'G-3 Multipliers'!$L$3:$N$6,2,FALSE)=0,"Spatial Data Missing ⚠",VLOOKUP(J115,'G-3 Multipliers'!$L$3:$N$6,2,FALSE)))</f>
        <v/>
      </c>
      <c r="L115" s="524" t="str">
        <f>IF(J115="","",IF(VLOOKUP(J115,'G-3 Multipliers'!$L$3:$N$6,3,FALSE)=0,"Spatial Data Missing ⚠",VLOOKUP(J115,'G-3 Multipliers'!$L$3:$N$6,3,FALSE)))</f>
        <v/>
      </c>
      <c r="M115" s="506" t="str">
        <f>IF(D115="","",VLOOKUP(D115,'G-6 Hedgerow Data'!$B$1:$AH$15,33,FALSE))</f>
        <v/>
      </c>
      <c r="N115" s="513" t="str">
        <f t="shared" si="9"/>
        <v/>
      </c>
      <c r="O115" s="40"/>
      <c r="P115" s="145"/>
      <c r="Q115" s="157"/>
      <c r="R115" s="507" t="str">
        <f t="shared" si="10"/>
        <v/>
      </c>
      <c r="S115" s="507" t="str">
        <f t="shared" si="11"/>
        <v/>
      </c>
      <c r="T115" s="511" t="str">
        <f t="shared" si="12"/>
        <v/>
      </c>
      <c r="U115" s="515" t="str">
        <f t="shared" si="13"/>
        <v/>
      </c>
      <c r="V115" s="151"/>
      <c r="W115" s="152"/>
      <c r="AB115" s="31" t="str">
        <f>IFERROR(INDEX('G-6 Hedgerow Data'!$BJ$3:$BJ$15,MATCH(D115,'G-6 Hedgerow Data'!$B$3:$B$15,0)),"")</f>
        <v/>
      </c>
      <c r="AE115" s="156" t="str">
        <f t="shared" si="7"/>
        <v/>
      </c>
      <c r="AF115" s="156" t="str">
        <f t="shared" si="8"/>
        <v/>
      </c>
      <c r="AH115" s="156">
        <v>106</v>
      </c>
      <c r="AJ115" s="156" t="str">
        <f t="array" ref="AJ115">IFERROR(INDEX($AH$10:$AH$258, MATCH(0, IF(TRUE=$AE$10:$AE$258, COUNTIF($AJ$9:$AJ114, $AH$10:$AH$258), ""), 0)),"")</f>
        <v/>
      </c>
      <c r="AK115" s="156" t="str">
        <f t="array" ref="AK115">IFERROR(INDEX($AH$10:$AH$258, MATCH(0, IF(TRUE=$AF$10:$AF$258, COUNTIF($AK$9:$AK114, $AH$10:$AH$258), ""), 0)),"")</f>
        <v/>
      </c>
    </row>
    <row r="116" spans="2:37" ht="14" x14ac:dyDescent="0.3">
      <c r="B116" s="141">
        <v>107</v>
      </c>
      <c r="C116" s="203"/>
      <c r="D116" s="203"/>
      <c r="E116" s="153"/>
      <c r="F116" s="498" t="str">
        <f>IF(D116="","",VLOOKUP(D116,'G-6 Hedgerow Data'!$B$2:$AG$15,2,FALSE))</f>
        <v/>
      </c>
      <c r="G116" s="499" t="str">
        <f>IF(D116="","",VLOOKUP(D116,'G-6 Hedgerow Data'!$B$2:$AG$15,3,FALSE))</f>
        <v/>
      </c>
      <c r="H116" s="145"/>
      <c r="I116" s="499" t="str">
        <f>IFERROR(IF(AND(F116="V.Low",OR(H116="Good",H116="Moderate")),"Error ▲",VLOOKUP(H116,'G-1 All Habitats'!$Z$2:$AA$9,2,FALSE)),"")</f>
        <v/>
      </c>
      <c r="J116" s="154"/>
      <c r="K116" s="520" t="str">
        <f>IF(J116="","",IF(VLOOKUP(J116,'G-3 Multipliers'!$L$3:$N$6,2,FALSE)=0,"Spatial Data Missing ⚠",VLOOKUP(J116,'G-3 Multipliers'!$L$3:$N$6,2,FALSE)))</f>
        <v/>
      </c>
      <c r="L116" s="524" t="str">
        <f>IF(J116="","",IF(VLOOKUP(J116,'G-3 Multipliers'!$L$3:$N$6,3,FALSE)=0,"Spatial Data Missing ⚠",VLOOKUP(J116,'G-3 Multipliers'!$L$3:$N$6,3,FALSE)))</f>
        <v/>
      </c>
      <c r="M116" s="506" t="str">
        <f>IF(D116="","",VLOOKUP(D116,'G-6 Hedgerow Data'!$B$1:$AH$15,33,FALSE))</f>
        <v/>
      </c>
      <c r="N116" s="513" t="str">
        <f t="shared" si="9"/>
        <v/>
      </c>
      <c r="O116" s="40"/>
      <c r="P116" s="145"/>
      <c r="Q116" s="157"/>
      <c r="R116" s="507" t="str">
        <f t="shared" si="10"/>
        <v/>
      </c>
      <c r="S116" s="507" t="str">
        <f t="shared" si="11"/>
        <v/>
      </c>
      <c r="T116" s="511" t="str">
        <f t="shared" si="12"/>
        <v/>
      </c>
      <c r="U116" s="515" t="str">
        <f t="shared" si="13"/>
        <v/>
      </c>
      <c r="V116" s="151"/>
      <c r="W116" s="152"/>
      <c r="AB116" s="31" t="str">
        <f>IFERROR(INDEX('G-6 Hedgerow Data'!$BJ$3:$BJ$15,MATCH(D116,'G-6 Hedgerow Data'!$B$3:$B$15,0)),"")</f>
        <v/>
      </c>
      <c r="AE116" s="156" t="str">
        <f t="shared" si="7"/>
        <v/>
      </c>
      <c r="AF116" s="156" t="str">
        <f t="shared" si="8"/>
        <v/>
      </c>
      <c r="AH116" s="156">
        <v>107</v>
      </c>
      <c r="AJ116" s="156" t="str">
        <f t="array" ref="AJ116">IFERROR(INDEX($AH$10:$AH$258, MATCH(0, IF(TRUE=$AE$10:$AE$258, COUNTIF($AJ$9:$AJ115, $AH$10:$AH$258), ""), 0)),"")</f>
        <v/>
      </c>
      <c r="AK116" s="156" t="str">
        <f t="array" ref="AK116">IFERROR(INDEX($AH$10:$AH$258, MATCH(0, IF(TRUE=$AF$10:$AF$258, COUNTIF($AK$9:$AK115, $AH$10:$AH$258), ""), 0)),"")</f>
        <v/>
      </c>
    </row>
    <row r="117" spans="2:37" ht="14" x14ac:dyDescent="0.3">
      <c r="B117" s="141">
        <v>108</v>
      </c>
      <c r="C117" s="203"/>
      <c r="D117" s="203"/>
      <c r="E117" s="153"/>
      <c r="F117" s="498" t="str">
        <f>IF(D117="","",VLOOKUP(D117,'G-6 Hedgerow Data'!$B$2:$AG$15,2,FALSE))</f>
        <v/>
      </c>
      <c r="G117" s="499" t="str">
        <f>IF(D117="","",VLOOKUP(D117,'G-6 Hedgerow Data'!$B$2:$AG$15,3,FALSE))</f>
        <v/>
      </c>
      <c r="H117" s="145"/>
      <c r="I117" s="499" t="str">
        <f>IFERROR(IF(AND(F117="V.Low",OR(H117="Good",H117="Moderate")),"Error ▲",VLOOKUP(H117,'G-1 All Habitats'!$Z$2:$AA$9,2,FALSE)),"")</f>
        <v/>
      </c>
      <c r="J117" s="154"/>
      <c r="K117" s="520" t="str">
        <f>IF(J117="","",IF(VLOOKUP(J117,'G-3 Multipliers'!$L$3:$N$6,2,FALSE)=0,"Spatial Data Missing ⚠",VLOOKUP(J117,'G-3 Multipliers'!$L$3:$N$6,2,FALSE)))</f>
        <v/>
      </c>
      <c r="L117" s="524" t="str">
        <f>IF(J117="","",IF(VLOOKUP(J117,'G-3 Multipliers'!$L$3:$N$6,3,FALSE)=0,"Spatial Data Missing ⚠",VLOOKUP(J117,'G-3 Multipliers'!$L$3:$N$6,3,FALSE)))</f>
        <v/>
      </c>
      <c r="M117" s="506" t="str">
        <f>IF(D117="","",VLOOKUP(D117,'G-6 Hedgerow Data'!$B$1:$AH$15,33,FALSE))</f>
        <v/>
      </c>
      <c r="N117" s="513" t="str">
        <f t="shared" si="9"/>
        <v/>
      </c>
      <c r="O117" s="40"/>
      <c r="P117" s="145"/>
      <c r="Q117" s="157"/>
      <c r="R117" s="507" t="str">
        <f t="shared" si="10"/>
        <v/>
      </c>
      <c r="S117" s="507" t="str">
        <f t="shared" si="11"/>
        <v/>
      </c>
      <c r="T117" s="511" t="str">
        <f t="shared" si="12"/>
        <v/>
      </c>
      <c r="U117" s="515" t="str">
        <f t="shared" si="13"/>
        <v/>
      </c>
      <c r="V117" s="151"/>
      <c r="W117" s="152"/>
      <c r="AB117" s="31" t="str">
        <f>IFERROR(INDEX('G-6 Hedgerow Data'!$BJ$3:$BJ$15,MATCH(D117,'G-6 Hedgerow Data'!$B$3:$B$15,0)),"")</f>
        <v/>
      </c>
      <c r="AE117" s="156" t="str">
        <f t="shared" si="7"/>
        <v/>
      </c>
      <c r="AF117" s="156" t="str">
        <f t="shared" si="8"/>
        <v/>
      </c>
      <c r="AH117" s="156">
        <v>108</v>
      </c>
      <c r="AJ117" s="156" t="str">
        <f t="array" ref="AJ117">IFERROR(INDEX($AH$10:$AH$258, MATCH(0, IF(TRUE=$AE$10:$AE$258, COUNTIF($AJ$9:$AJ116, $AH$10:$AH$258), ""), 0)),"")</f>
        <v/>
      </c>
      <c r="AK117" s="156" t="str">
        <f t="array" ref="AK117">IFERROR(INDEX($AH$10:$AH$258, MATCH(0, IF(TRUE=$AF$10:$AF$258, COUNTIF($AK$9:$AK116, $AH$10:$AH$258), ""), 0)),"")</f>
        <v/>
      </c>
    </row>
    <row r="118" spans="2:37" ht="14" x14ac:dyDescent="0.3">
      <c r="B118" s="141">
        <v>109</v>
      </c>
      <c r="C118" s="203"/>
      <c r="D118" s="203"/>
      <c r="E118" s="153"/>
      <c r="F118" s="498" t="str">
        <f>IF(D118="","",VLOOKUP(D118,'G-6 Hedgerow Data'!$B$2:$AG$15,2,FALSE))</f>
        <v/>
      </c>
      <c r="G118" s="499" t="str">
        <f>IF(D118="","",VLOOKUP(D118,'G-6 Hedgerow Data'!$B$2:$AG$15,3,FALSE))</f>
        <v/>
      </c>
      <c r="H118" s="145"/>
      <c r="I118" s="499" t="str">
        <f>IFERROR(IF(AND(F118="V.Low",OR(H118="Good",H118="Moderate")),"Error ▲",VLOOKUP(H118,'G-1 All Habitats'!$Z$2:$AA$9,2,FALSE)),"")</f>
        <v/>
      </c>
      <c r="J118" s="154"/>
      <c r="K118" s="520" t="str">
        <f>IF(J118="","",IF(VLOOKUP(J118,'G-3 Multipliers'!$L$3:$N$6,2,FALSE)=0,"Spatial Data Missing ⚠",VLOOKUP(J118,'G-3 Multipliers'!$L$3:$N$6,2,FALSE)))</f>
        <v/>
      </c>
      <c r="L118" s="524" t="str">
        <f>IF(J118="","",IF(VLOOKUP(J118,'G-3 Multipliers'!$L$3:$N$6,3,FALSE)=0,"Spatial Data Missing ⚠",VLOOKUP(J118,'G-3 Multipliers'!$L$3:$N$6,3,FALSE)))</f>
        <v/>
      </c>
      <c r="M118" s="506" t="str">
        <f>IF(D118="","",VLOOKUP(D118,'G-6 Hedgerow Data'!$B$1:$AH$15,33,FALSE))</f>
        <v/>
      </c>
      <c r="N118" s="513" t="str">
        <f t="shared" si="9"/>
        <v/>
      </c>
      <c r="O118" s="40"/>
      <c r="P118" s="145"/>
      <c r="Q118" s="157"/>
      <c r="R118" s="507" t="str">
        <f t="shared" si="10"/>
        <v/>
      </c>
      <c r="S118" s="507" t="str">
        <f t="shared" si="11"/>
        <v/>
      </c>
      <c r="T118" s="511" t="str">
        <f t="shared" si="12"/>
        <v/>
      </c>
      <c r="U118" s="515" t="str">
        <f t="shared" si="13"/>
        <v/>
      </c>
      <c r="V118" s="151"/>
      <c r="W118" s="152"/>
      <c r="AB118" s="31" t="str">
        <f>IFERROR(INDEX('G-6 Hedgerow Data'!$BJ$3:$BJ$15,MATCH(D118,'G-6 Hedgerow Data'!$B$3:$B$15,0)),"")</f>
        <v/>
      </c>
      <c r="AE118" s="156" t="str">
        <f t="shared" si="7"/>
        <v/>
      </c>
      <c r="AF118" s="156" t="str">
        <f t="shared" si="8"/>
        <v/>
      </c>
      <c r="AH118" s="156">
        <v>109</v>
      </c>
      <c r="AJ118" s="156" t="str">
        <f t="array" ref="AJ118">IFERROR(INDEX($AH$10:$AH$258, MATCH(0, IF(TRUE=$AE$10:$AE$258, COUNTIF($AJ$9:$AJ117, $AH$10:$AH$258), ""), 0)),"")</f>
        <v/>
      </c>
      <c r="AK118" s="156" t="str">
        <f t="array" ref="AK118">IFERROR(INDEX($AH$10:$AH$258, MATCH(0, IF(TRUE=$AF$10:$AF$258, COUNTIF($AK$9:$AK117, $AH$10:$AH$258), ""), 0)),"")</f>
        <v/>
      </c>
    </row>
    <row r="119" spans="2:37" ht="14" x14ac:dyDescent="0.3">
      <c r="B119" s="141">
        <v>110</v>
      </c>
      <c r="C119" s="203"/>
      <c r="D119" s="203"/>
      <c r="E119" s="153"/>
      <c r="F119" s="498" t="str">
        <f>IF(D119="","",VLOOKUP(D119,'G-6 Hedgerow Data'!$B$2:$AG$15,2,FALSE))</f>
        <v/>
      </c>
      <c r="G119" s="499" t="str">
        <f>IF(D119="","",VLOOKUP(D119,'G-6 Hedgerow Data'!$B$2:$AG$15,3,FALSE))</f>
        <v/>
      </c>
      <c r="H119" s="145"/>
      <c r="I119" s="499" t="str">
        <f>IFERROR(IF(AND(F119="V.Low",OR(H119="Good",H119="Moderate")),"Error ▲",VLOOKUP(H119,'G-1 All Habitats'!$Z$2:$AA$9,2,FALSE)),"")</f>
        <v/>
      </c>
      <c r="J119" s="154"/>
      <c r="K119" s="520" t="str">
        <f>IF(J119="","",IF(VLOOKUP(J119,'G-3 Multipliers'!$L$3:$N$6,2,FALSE)=0,"Spatial Data Missing ⚠",VLOOKUP(J119,'G-3 Multipliers'!$L$3:$N$6,2,FALSE)))</f>
        <v/>
      </c>
      <c r="L119" s="524" t="str">
        <f>IF(J119="","",IF(VLOOKUP(J119,'G-3 Multipliers'!$L$3:$N$6,3,FALSE)=0,"Spatial Data Missing ⚠",VLOOKUP(J119,'G-3 Multipliers'!$L$3:$N$6,3,FALSE)))</f>
        <v/>
      </c>
      <c r="M119" s="506" t="str">
        <f>IF(D119="","",VLOOKUP(D119,'G-6 Hedgerow Data'!$B$1:$AH$15,33,FALSE))</f>
        <v/>
      </c>
      <c r="N119" s="513" t="str">
        <f t="shared" si="9"/>
        <v/>
      </c>
      <c r="O119" s="40"/>
      <c r="P119" s="145"/>
      <c r="Q119" s="157"/>
      <c r="R119" s="507" t="str">
        <f t="shared" si="10"/>
        <v/>
      </c>
      <c r="S119" s="507" t="str">
        <f t="shared" si="11"/>
        <v/>
      </c>
      <c r="T119" s="511" t="str">
        <f t="shared" si="12"/>
        <v/>
      </c>
      <c r="U119" s="515" t="str">
        <f t="shared" si="13"/>
        <v/>
      </c>
      <c r="V119" s="151"/>
      <c r="W119" s="152"/>
      <c r="AB119" s="31" t="str">
        <f>IFERROR(INDEX('G-6 Hedgerow Data'!$BJ$3:$BJ$15,MATCH(D119,'G-6 Hedgerow Data'!$B$3:$B$15,0)),"")</f>
        <v/>
      </c>
      <c r="AE119" s="156" t="str">
        <f t="shared" si="7"/>
        <v/>
      </c>
      <c r="AF119" s="156" t="str">
        <f t="shared" si="8"/>
        <v/>
      </c>
      <c r="AH119" s="156">
        <v>110</v>
      </c>
      <c r="AJ119" s="156" t="str">
        <f t="array" ref="AJ119">IFERROR(INDEX($AH$10:$AH$258, MATCH(0, IF(TRUE=$AE$10:$AE$258, COUNTIF($AJ$9:$AJ118, $AH$10:$AH$258), ""), 0)),"")</f>
        <v/>
      </c>
      <c r="AK119" s="156" t="str">
        <f t="array" ref="AK119">IFERROR(INDEX($AH$10:$AH$258, MATCH(0, IF(TRUE=$AF$10:$AF$258, COUNTIF($AK$9:$AK118, $AH$10:$AH$258), ""), 0)),"")</f>
        <v/>
      </c>
    </row>
    <row r="120" spans="2:37" ht="14" x14ac:dyDescent="0.3">
      <c r="B120" s="141">
        <v>111</v>
      </c>
      <c r="C120" s="203"/>
      <c r="D120" s="203"/>
      <c r="E120" s="153"/>
      <c r="F120" s="498" t="str">
        <f>IF(D120="","",VLOOKUP(D120,'G-6 Hedgerow Data'!$B$2:$AG$15,2,FALSE))</f>
        <v/>
      </c>
      <c r="G120" s="499" t="str">
        <f>IF(D120="","",VLOOKUP(D120,'G-6 Hedgerow Data'!$B$2:$AG$15,3,FALSE))</f>
        <v/>
      </c>
      <c r="H120" s="145"/>
      <c r="I120" s="499" t="str">
        <f>IFERROR(IF(AND(F120="V.Low",OR(H120="Good",H120="Moderate")),"Error ▲",VLOOKUP(H120,'G-1 All Habitats'!$Z$2:$AA$9,2,FALSE)),"")</f>
        <v/>
      </c>
      <c r="J120" s="154"/>
      <c r="K120" s="520" t="str">
        <f>IF(J120="","",IF(VLOOKUP(J120,'G-3 Multipliers'!$L$3:$N$6,2,FALSE)=0,"Spatial Data Missing ⚠",VLOOKUP(J120,'G-3 Multipliers'!$L$3:$N$6,2,FALSE)))</f>
        <v/>
      </c>
      <c r="L120" s="524" t="str">
        <f>IF(J120="","",IF(VLOOKUP(J120,'G-3 Multipliers'!$L$3:$N$6,3,FALSE)=0,"Spatial Data Missing ⚠",VLOOKUP(J120,'G-3 Multipliers'!$L$3:$N$6,3,FALSE)))</f>
        <v/>
      </c>
      <c r="M120" s="506" t="str">
        <f>IF(D120="","",VLOOKUP(D120,'G-6 Hedgerow Data'!$B$1:$AH$15,33,FALSE))</f>
        <v/>
      </c>
      <c r="N120" s="513" t="str">
        <f t="shared" si="9"/>
        <v/>
      </c>
      <c r="O120" s="40"/>
      <c r="P120" s="145"/>
      <c r="Q120" s="157"/>
      <c r="R120" s="507" t="str">
        <f t="shared" si="10"/>
        <v/>
      </c>
      <c r="S120" s="507" t="str">
        <f t="shared" si="11"/>
        <v/>
      </c>
      <c r="T120" s="511" t="str">
        <f t="shared" si="12"/>
        <v/>
      </c>
      <c r="U120" s="515" t="str">
        <f t="shared" si="13"/>
        <v/>
      </c>
      <c r="V120" s="151"/>
      <c r="W120" s="152"/>
      <c r="AB120" s="31" t="str">
        <f>IFERROR(INDEX('G-6 Hedgerow Data'!$BJ$3:$BJ$15,MATCH(D120,'G-6 Hedgerow Data'!$B$3:$B$15,0)),"")</f>
        <v/>
      </c>
      <c r="AE120" s="156" t="str">
        <f t="shared" si="7"/>
        <v/>
      </c>
      <c r="AF120" s="156" t="str">
        <f t="shared" si="8"/>
        <v/>
      </c>
      <c r="AH120" s="156">
        <v>111</v>
      </c>
      <c r="AJ120" s="156" t="str">
        <f t="array" ref="AJ120">IFERROR(INDEX($AH$10:$AH$258, MATCH(0, IF(TRUE=$AE$10:$AE$258, COUNTIF($AJ$9:$AJ119, $AH$10:$AH$258), ""), 0)),"")</f>
        <v/>
      </c>
      <c r="AK120" s="156" t="str">
        <f t="array" ref="AK120">IFERROR(INDEX($AH$10:$AH$258, MATCH(0, IF(TRUE=$AF$10:$AF$258, COUNTIF($AK$9:$AK119, $AH$10:$AH$258), ""), 0)),"")</f>
        <v/>
      </c>
    </row>
    <row r="121" spans="2:37" ht="14" x14ac:dyDescent="0.3">
      <c r="B121" s="141">
        <v>112</v>
      </c>
      <c r="C121" s="203"/>
      <c r="D121" s="203"/>
      <c r="E121" s="153"/>
      <c r="F121" s="498" t="str">
        <f>IF(D121="","",VLOOKUP(D121,'G-6 Hedgerow Data'!$B$2:$AG$15,2,FALSE))</f>
        <v/>
      </c>
      <c r="G121" s="499" t="str">
        <f>IF(D121="","",VLOOKUP(D121,'G-6 Hedgerow Data'!$B$2:$AG$15,3,FALSE))</f>
        <v/>
      </c>
      <c r="H121" s="145"/>
      <c r="I121" s="499" t="str">
        <f>IFERROR(IF(AND(F121="V.Low",OR(H121="Good",H121="Moderate")),"Error ▲",VLOOKUP(H121,'G-1 All Habitats'!$Z$2:$AA$9,2,FALSE)),"")</f>
        <v/>
      </c>
      <c r="J121" s="154"/>
      <c r="K121" s="520" t="str">
        <f>IF(J121="","",IF(VLOOKUP(J121,'G-3 Multipliers'!$L$3:$N$6,2,FALSE)=0,"Spatial Data Missing ⚠",VLOOKUP(J121,'G-3 Multipliers'!$L$3:$N$6,2,FALSE)))</f>
        <v/>
      </c>
      <c r="L121" s="524" t="str">
        <f>IF(J121="","",IF(VLOOKUP(J121,'G-3 Multipliers'!$L$3:$N$6,3,FALSE)=0,"Spatial Data Missing ⚠",VLOOKUP(J121,'G-3 Multipliers'!$L$3:$N$6,3,FALSE)))</f>
        <v/>
      </c>
      <c r="M121" s="506" t="str">
        <f>IF(D121="","",VLOOKUP(D121,'G-6 Hedgerow Data'!$B$1:$AH$15,33,FALSE))</f>
        <v/>
      </c>
      <c r="N121" s="513" t="str">
        <f t="shared" si="9"/>
        <v/>
      </c>
      <c r="O121" s="40"/>
      <c r="P121" s="145"/>
      <c r="Q121" s="157"/>
      <c r="R121" s="507" t="str">
        <f t="shared" si="10"/>
        <v/>
      </c>
      <c r="S121" s="507" t="str">
        <f t="shared" si="11"/>
        <v/>
      </c>
      <c r="T121" s="511" t="str">
        <f t="shared" si="12"/>
        <v/>
      </c>
      <c r="U121" s="515" t="str">
        <f t="shared" si="13"/>
        <v/>
      </c>
      <c r="V121" s="151"/>
      <c r="W121" s="152"/>
      <c r="AB121" s="31" t="str">
        <f>IFERROR(INDEX('G-6 Hedgerow Data'!$BJ$3:$BJ$15,MATCH(D121,'G-6 Hedgerow Data'!$B$3:$B$15,0)),"")</f>
        <v/>
      </c>
      <c r="AE121" s="156" t="str">
        <f t="shared" si="7"/>
        <v/>
      </c>
      <c r="AF121" s="156" t="str">
        <f t="shared" si="8"/>
        <v/>
      </c>
      <c r="AH121" s="156">
        <v>112</v>
      </c>
      <c r="AJ121" s="156" t="str">
        <f t="array" ref="AJ121">IFERROR(INDEX($AH$10:$AH$258, MATCH(0, IF(TRUE=$AE$10:$AE$258, COUNTIF($AJ$9:$AJ120, $AH$10:$AH$258), ""), 0)),"")</f>
        <v/>
      </c>
      <c r="AK121" s="156" t="str">
        <f t="array" ref="AK121">IFERROR(INDEX($AH$10:$AH$258, MATCH(0, IF(TRUE=$AF$10:$AF$258, COUNTIF($AK$9:$AK120, $AH$10:$AH$258), ""), 0)),"")</f>
        <v/>
      </c>
    </row>
    <row r="122" spans="2:37" ht="14" x14ac:dyDescent="0.3">
      <c r="B122" s="141">
        <v>113</v>
      </c>
      <c r="C122" s="203"/>
      <c r="D122" s="203"/>
      <c r="E122" s="153"/>
      <c r="F122" s="498" t="str">
        <f>IF(D122="","",VLOOKUP(D122,'G-6 Hedgerow Data'!$B$2:$AG$15,2,FALSE))</f>
        <v/>
      </c>
      <c r="G122" s="499" t="str">
        <f>IF(D122="","",VLOOKUP(D122,'G-6 Hedgerow Data'!$B$2:$AG$15,3,FALSE))</f>
        <v/>
      </c>
      <c r="H122" s="145"/>
      <c r="I122" s="499" t="str">
        <f>IFERROR(IF(AND(F122="V.Low",OR(H122="Good",H122="Moderate")),"Error ▲",VLOOKUP(H122,'G-1 All Habitats'!$Z$2:$AA$9,2,FALSE)),"")</f>
        <v/>
      </c>
      <c r="J122" s="154"/>
      <c r="K122" s="520" t="str">
        <f>IF(J122="","",IF(VLOOKUP(J122,'G-3 Multipliers'!$L$3:$N$6,2,FALSE)=0,"Spatial Data Missing ⚠",VLOOKUP(J122,'G-3 Multipliers'!$L$3:$N$6,2,FALSE)))</f>
        <v/>
      </c>
      <c r="L122" s="524" t="str">
        <f>IF(J122="","",IF(VLOOKUP(J122,'G-3 Multipliers'!$L$3:$N$6,3,FALSE)=0,"Spatial Data Missing ⚠",VLOOKUP(J122,'G-3 Multipliers'!$L$3:$N$6,3,FALSE)))</f>
        <v/>
      </c>
      <c r="M122" s="506" t="str">
        <f>IF(D122="","",VLOOKUP(D122,'G-6 Hedgerow Data'!$B$1:$AH$15,33,FALSE))</f>
        <v/>
      </c>
      <c r="N122" s="513" t="str">
        <f t="shared" si="9"/>
        <v/>
      </c>
      <c r="O122" s="40"/>
      <c r="P122" s="145"/>
      <c r="Q122" s="157"/>
      <c r="R122" s="507" t="str">
        <f t="shared" si="10"/>
        <v/>
      </c>
      <c r="S122" s="507" t="str">
        <f t="shared" si="11"/>
        <v/>
      </c>
      <c r="T122" s="511" t="str">
        <f t="shared" si="12"/>
        <v/>
      </c>
      <c r="U122" s="515" t="str">
        <f t="shared" si="13"/>
        <v/>
      </c>
      <c r="V122" s="151"/>
      <c r="W122" s="152"/>
      <c r="AB122" s="31" t="str">
        <f>IFERROR(INDEX('G-6 Hedgerow Data'!$BJ$3:$BJ$15,MATCH(D122,'G-6 Hedgerow Data'!$B$3:$B$15,0)),"")</f>
        <v/>
      </c>
      <c r="AE122" s="156" t="str">
        <f t="shared" si="7"/>
        <v/>
      </c>
      <c r="AF122" s="156" t="str">
        <f t="shared" si="8"/>
        <v/>
      </c>
      <c r="AH122" s="156">
        <v>113</v>
      </c>
      <c r="AJ122" s="156" t="str">
        <f t="array" ref="AJ122">IFERROR(INDEX($AH$10:$AH$258, MATCH(0, IF(TRUE=$AE$10:$AE$258, COUNTIF($AJ$9:$AJ121, $AH$10:$AH$258), ""), 0)),"")</f>
        <v/>
      </c>
      <c r="AK122" s="156" t="str">
        <f t="array" ref="AK122">IFERROR(INDEX($AH$10:$AH$258, MATCH(0, IF(TRUE=$AF$10:$AF$258, COUNTIF($AK$9:$AK121, $AH$10:$AH$258), ""), 0)),"")</f>
        <v/>
      </c>
    </row>
    <row r="123" spans="2:37" ht="14" x14ac:dyDescent="0.3">
      <c r="B123" s="141">
        <v>114</v>
      </c>
      <c r="C123" s="203"/>
      <c r="D123" s="203"/>
      <c r="E123" s="153"/>
      <c r="F123" s="498" t="str">
        <f>IF(D123="","",VLOOKUP(D123,'G-6 Hedgerow Data'!$B$2:$AG$15,2,FALSE))</f>
        <v/>
      </c>
      <c r="G123" s="499" t="str">
        <f>IF(D123="","",VLOOKUP(D123,'G-6 Hedgerow Data'!$B$2:$AG$15,3,FALSE))</f>
        <v/>
      </c>
      <c r="H123" s="145"/>
      <c r="I123" s="499" t="str">
        <f>IFERROR(IF(AND(F123="V.Low",OR(H123="Good",H123="Moderate")),"Error ▲",VLOOKUP(H123,'G-1 All Habitats'!$Z$2:$AA$9,2,FALSE)),"")</f>
        <v/>
      </c>
      <c r="J123" s="154"/>
      <c r="K123" s="520" t="str">
        <f>IF(J123="","",IF(VLOOKUP(J123,'G-3 Multipliers'!$L$3:$N$6,2,FALSE)=0,"Spatial Data Missing ⚠",VLOOKUP(J123,'G-3 Multipliers'!$L$3:$N$6,2,FALSE)))</f>
        <v/>
      </c>
      <c r="L123" s="524" t="str">
        <f>IF(J123="","",IF(VLOOKUP(J123,'G-3 Multipliers'!$L$3:$N$6,3,FALSE)=0,"Spatial Data Missing ⚠",VLOOKUP(J123,'G-3 Multipliers'!$L$3:$N$6,3,FALSE)))</f>
        <v/>
      </c>
      <c r="M123" s="506" t="str">
        <f>IF(D123="","",VLOOKUP(D123,'G-6 Hedgerow Data'!$B$1:$AH$15,33,FALSE))</f>
        <v/>
      </c>
      <c r="N123" s="513" t="str">
        <f t="shared" si="9"/>
        <v/>
      </c>
      <c r="O123" s="40"/>
      <c r="P123" s="145"/>
      <c r="Q123" s="157"/>
      <c r="R123" s="507" t="str">
        <f t="shared" si="10"/>
        <v/>
      </c>
      <c r="S123" s="507" t="str">
        <f t="shared" si="11"/>
        <v/>
      </c>
      <c r="T123" s="511" t="str">
        <f t="shared" si="12"/>
        <v/>
      </c>
      <c r="U123" s="515" t="str">
        <f t="shared" si="13"/>
        <v/>
      </c>
      <c r="V123" s="151"/>
      <c r="W123" s="152"/>
      <c r="AB123" s="31" t="str">
        <f>IFERROR(INDEX('G-6 Hedgerow Data'!$BJ$3:$BJ$15,MATCH(D123,'G-6 Hedgerow Data'!$B$3:$B$15,0)),"")</f>
        <v/>
      </c>
      <c r="AE123" s="156" t="str">
        <f t="shared" si="7"/>
        <v/>
      </c>
      <c r="AF123" s="156" t="str">
        <f t="shared" si="8"/>
        <v/>
      </c>
      <c r="AH123" s="156">
        <v>114</v>
      </c>
      <c r="AJ123" s="156" t="str">
        <f t="array" ref="AJ123">IFERROR(INDEX($AH$10:$AH$258, MATCH(0, IF(TRUE=$AE$10:$AE$258, COUNTIF($AJ$9:$AJ122, $AH$10:$AH$258), ""), 0)),"")</f>
        <v/>
      </c>
      <c r="AK123" s="156" t="str">
        <f t="array" ref="AK123">IFERROR(INDEX($AH$10:$AH$258, MATCH(0, IF(TRUE=$AF$10:$AF$258, COUNTIF($AK$9:$AK122, $AH$10:$AH$258), ""), 0)),"")</f>
        <v/>
      </c>
    </row>
    <row r="124" spans="2:37" ht="14" x14ac:dyDescent="0.3">
      <c r="B124" s="141">
        <v>115</v>
      </c>
      <c r="C124" s="203"/>
      <c r="D124" s="203"/>
      <c r="E124" s="153"/>
      <c r="F124" s="498" t="str">
        <f>IF(D124="","",VLOOKUP(D124,'G-6 Hedgerow Data'!$B$2:$AG$15,2,FALSE))</f>
        <v/>
      </c>
      <c r="G124" s="499" t="str">
        <f>IF(D124="","",VLOOKUP(D124,'G-6 Hedgerow Data'!$B$2:$AG$15,3,FALSE))</f>
        <v/>
      </c>
      <c r="H124" s="145"/>
      <c r="I124" s="499" t="str">
        <f>IFERROR(IF(AND(F124="V.Low",OR(H124="Good",H124="Moderate")),"Error ▲",VLOOKUP(H124,'G-1 All Habitats'!$Z$2:$AA$9,2,FALSE)),"")</f>
        <v/>
      </c>
      <c r="J124" s="154"/>
      <c r="K124" s="520" t="str">
        <f>IF(J124="","",IF(VLOOKUP(J124,'G-3 Multipliers'!$L$3:$N$6,2,FALSE)=0,"Spatial Data Missing ⚠",VLOOKUP(J124,'G-3 Multipliers'!$L$3:$N$6,2,FALSE)))</f>
        <v/>
      </c>
      <c r="L124" s="524" t="str">
        <f>IF(J124="","",IF(VLOOKUP(J124,'G-3 Multipliers'!$L$3:$N$6,3,FALSE)=0,"Spatial Data Missing ⚠",VLOOKUP(J124,'G-3 Multipliers'!$L$3:$N$6,3,FALSE)))</f>
        <v/>
      </c>
      <c r="M124" s="506" t="str">
        <f>IF(D124="","",VLOOKUP(D124,'G-6 Hedgerow Data'!$B$1:$AH$15,33,FALSE))</f>
        <v/>
      </c>
      <c r="N124" s="513" t="str">
        <f t="shared" si="9"/>
        <v/>
      </c>
      <c r="O124" s="40"/>
      <c r="P124" s="145"/>
      <c r="Q124" s="157"/>
      <c r="R124" s="507" t="str">
        <f t="shared" si="10"/>
        <v/>
      </c>
      <c r="S124" s="507" t="str">
        <f t="shared" si="11"/>
        <v/>
      </c>
      <c r="T124" s="511" t="str">
        <f t="shared" si="12"/>
        <v/>
      </c>
      <c r="U124" s="515" t="str">
        <f t="shared" si="13"/>
        <v/>
      </c>
      <c r="V124" s="151"/>
      <c r="W124" s="152"/>
      <c r="AB124" s="31" t="str">
        <f>IFERROR(INDEX('G-6 Hedgerow Data'!$BJ$3:$BJ$15,MATCH(D124,'G-6 Hedgerow Data'!$B$3:$B$15,0)),"")</f>
        <v/>
      </c>
      <c r="AE124" s="156" t="str">
        <f t="shared" si="7"/>
        <v/>
      </c>
      <c r="AF124" s="156" t="str">
        <f t="shared" si="8"/>
        <v/>
      </c>
      <c r="AH124" s="156">
        <v>115</v>
      </c>
      <c r="AJ124" s="156" t="str">
        <f t="array" ref="AJ124">IFERROR(INDEX($AH$10:$AH$258, MATCH(0, IF(TRUE=$AE$10:$AE$258, COUNTIF($AJ$9:$AJ123, $AH$10:$AH$258), ""), 0)),"")</f>
        <v/>
      </c>
      <c r="AK124" s="156" t="str">
        <f t="array" ref="AK124">IFERROR(INDEX($AH$10:$AH$258, MATCH(0, IF(TRUE=$AF$10:$AF$258, COUNTIF($AK$9:$AK123, $AH$10:$AH$258), ""), 0)),"")</f>
        <v/>
      </c>
    </row>
    <row r="125" spans="2:37" ht="14" x14ac:dyDescent="0.3">
      <c r="B125" s="141">
        <v>116</v>
      </c>
      <c r="C125" s="203"/>
      <c r="D125" s="203"/>
      <c r="E125" s="153"/>
      <c r="F125" s="498" t="str">
        <f>IF(D125="","",VLOOKUP(D125,'G-6 Hedgerow Data'!$B$2:$AG$15,2,FALSE))</f>
        <v/>
      </c>
      <c r="G125" s="499" t="str">
        <f>IF(D125="","",VLOOKUP(D125,'G-6 Hedgerow Data'!$B$2:$AG$15,3,FALSE))</f>
        <v/>
      </c>
      <c r="H125" s="145"/>
      <c r="I125" s="499" t="str">
        <f>IFERROR(IF(AND(F125="V.Low",OR(H125="Good",H125="Moderate")),"Error ▲",VLOOKUP(H125,'G-1 All Habitats'!$Z$2:$AA$9,2,FALSE)),"")</f>
        <v/>
      </c>
      <c r="J125" s="154"/>
      <c r="K125" s="520" t="str">
        <f>IF(J125="","",IF(VLOOKUP(J125,'G-3 Multipliers'!$L$3:$N$6,2,FALSE)=0,"Spatial Data Missing ⚠",VLOOKUP(J125,'G-3 Multipliers'!$L$3:$N$6,2,FALSE)))</f>
        <v/>
      </c>
      <c r="L125" s="524" t="str">
        <f>IF(J125="","",IF(VLOOKUP(J125,'G-3 Multipliers'!$L$3:$N$6,3,FALSE)=0,"Spatial Data Missing ⚠",VLOOKUP(J125,'G-3 Multipliers'!$L$3:$N$6,3,FALSE)))</f>
        <v/>
      </c>
      <c r="M125" s="506" t="str">
        <f>IF(D125="","",VLOOKUP(D125,'G-6 Hedgerow Data'!$B$1:$AH$15,33,FALSE))</f>
        <v/>
      </c>
      <c r="N125" s="513" t="str">
        <f t="shared" si="9"/>
        <v/>
      </c>
      <c r="O125" s="40"/>
      <c r="P125" s="145"/>
      <c r="Q125" s="157"/>
      <c r="R125" s="507" t="str">
        <f t="shared" si="10"/>
        <v/>
      </c>
      <c r="S125" s="507" t="str">
        <f t="shared" si="11"/>
        <v/>
      </c>
      <c r="T125" s="511" t="str">
        <f t="shared" si="12"/>
        <v/>
      </c>
      <c r="U125" s="515" t="str">
        <f t="shared" si="13"/>
        <v/>
      </c>
      <c r="V125" s="151"/>
      <c r="W125" s="152"/>
      <c r="AB125" s="31" t="str">
        <f>IFERROR(INDEX('G-6 Hedgerow Data'!$BJ$3:$BJ$15,MATCH(D125,'G-6 Hedgerow Data'!$B$3:$B$15,0)),"")</f>
        <v/>
      </c>
      <c r="AE125" s="156" t="str">
        <f t="shared" si="7"/>
        <v/>
      </c>
      <c r="AF125" s="156" t="str">
        <f t="shared" si="8"/>
        <v/>
      </c>
      <c r="AH125" s="156">
        <v>116</v>
      </c>
      <c r="AJ125" s="156" t="str">
        <f t="array" ref="AJ125">IFERROR(INDEX($AH$10:$AH$258, MATCH(0, IF(TRUE=$AE$10:$AE$258, COUNTIF($AJ$9:$AJ124, $AH$10:$AH$258), ""), 0)),"")</f>
        <v/>
      </c>
      <c r="AK125" s="156" t="str">
        <f t="array" ref="AK125">IFERROR(INDEX($AH$10:$AH$258, MATCH(0, IF(TRUE=$AF$10:$AF$258, COUNTIF($AK$9:$AK124, $AH$10:$AH$258), ""), 0)),"")</f>
        <v/>
      </c>
    </row>
    <row r="126" spans="2:37" ht="14" x14ac:dyDescent="0.3">
      <c r="B126" s="141">
        <v>117</v>
      </c>
      <c r="C126" s="203"/>
      <c r="D126" s="203"/>
      <c r="E126" s="153"/>
      <c r="F126" s="498" t="str">
        <f>IF(D126="","",VLOOKUP(D126,'G-6 Hedgerow Data'!$B$2:$AG$15,2,FALSE))</f>
        <v/>
      </c>
      <c r="G126" s="499" t="str">
        <f>IF(D126="","",VLOOKUP(D126,'G-6 Hedgerow Data'!$B$2:$AG$15,3,FALSE))</f>
        <v/>
      </c>
      <c r="H126" s="145"/>
      <c r="I126" s="499" t="str">
        <f>IFERROR(IF(AND(F126="V.Low",OR(H126="Good",H126="Moderate")),"Error ▲",VLOOKUP(H126,'G-1 All Habitats'!$Z$2:$AA$9,2,FALSE)),"")</f>
        <v/>
      </c>
      <c r="J126" s="154"/>
      <c r="K126" s="520" t="str">
        <f>IF(J126="","",IF(VLOOKUP(J126,'G-3 Multipliers'!$L$3:$N$6,2,FALSE)=0,"Spatial Data Missing ⚠",VLOOKUP(J126,'G-3 Multipliers'!$L$3:$N$6,2,FALSE)))</f>
        <v/>
      </c>
      <c r="L126" s="524" t="str">
        <f>IF(J126="","",IF(VLOOKUP(J126,'G-3 Multipliers'!$L$3:$N$6,3,FALSE)=0,"Spatial Data Missing ⚠",VLOOKUP(J126,'G-3 Multipliers'!$L$3:$N$6,3,FALSE)))</f>
        <v/>
      </c>
      <c r="M126" s="506" t="str">
        <f>IF(D126="","",VLOOKUP(D126,'G-6 Hedgerow Data'!$B$1:$AH$15,33,FALSE))</f>
        <v/>
      </c>
      <c r="N126" s="513" t="str">
        <f t="shared" si="9"/>
        <v/>
      </c>
      <c r="O126" s="40"/>
      <c r="P126" s="145"/>
      <c r="Q126" s="157"/>
      <c r="R126" s="507" t="str">
        <f t="shared" si="10"/>
        <v/>
      </c>
      <c r="S126" s="507" t="str">
        <f t="shared" si="11"/>
        <v/>
      </c>
      <c r="T126" s="511" t="str">
        <f t="shared" si="12"/>
        <v/>
      </c>
      <c r="U126" s="515" t="str">
        <f t="shared" si="13"/>
        <v/>
      </c>
      <c r="V126" s="151"/>
      <c r="W126" s="152"/>
      <c r="AB126" s="31" t="str">
        <f>IFERROR(INDEX('G-6 Hedgerow Data'!$BJ$3:$BJ$15,MATCH(D126,'G-6 Hedgerow Data'!$B$3:$B$15,0)),"")</f>
        <v/>
      </c>
      <c r="AE126" s="156" t="str">
        <f t="shared" si="7"/>
        <v/>
      </c>
      <c r="AF126" s="156" t="str">
        <f t="shared" si="8"/>
        <v/>
      </c>
      <c r="AH126" s="156">
        <v>117</v>
      </c>
      <c r="AJ126" s="156" t="str">
        <f t="array" ref="AJ126">IFERROR(INDEX($AH$10:$AH$258, MATCH(0, IF(TRUE=$AE$10:$AE$258, COUNTIF($AJ$9:$AJ125, $AH$10:$AH$258), ""), 0)),"")</f>
        <v/>
      </c>
      <c r="AK126" s="156" t="str">
        <f t="array" ref="AK126">IFERROR(INDEX($AH$10:$AH$258, MATCH(0, IF(TRUE=$AF$10:$AF$258, COUNTIF($AK$9:$AK125, $AH$10:$AH$258), ""), 0)),"")</f>
        <v/>
      </c>
    </row>
    <row r="127" spans="2:37" ht="14" x14ac:dyDescent="0.3">
      <c r="B127" s="141">
        <v>118</v>
      </c>
      <c r="C127" s="203"/>
      <c r="D127" s="203"/>
      <c r="E127" s="153"/>
      <c r="F127" s="498" t="str">
        <f>IF(D127="","",VLOOKUP(D127,'G-6 Hedgerow Data'!$B$2:$AG$15,2,FALSE))</f>
        <v/>
      </c>
      <c r="G127" s="499" t="str">
        <f>IF(D127="","",VLOOKUP(D127,'G-6 Hedgerow Data'!$B$2:$AG$15,3,FALSE))</f>
        <v/>
      </c>
      <c r="H127" s="145"/>
      <c r="I127" s="499" t="str">
        <f>IFERROR(IF(AND(F127="V.Low",OR(H127="Good",H127="Moderate")),"Error ▲",VLOOKUP(H127,'G-1 All Habitats'!$Z$2:$AA$9,2,FALSE)),"")</f>
        <v/>
      </c>
      <c r="J127" s="154"/>
      <c r="K127" s="520" t="str">
        <f>IF(J127="","",IF(VLOOKUP(J127,'G-3 Multipliers'!$L$3:$N$6,2,FALSE)=0,"Spatial Data Missing ⚠",VLOOKUP(J127,'G-3 Multipliers'!$L$3:$N$6,2,FALSE)))</f>
        <v/>
      </c>
      <c r="L127" s="524" t="str">
        <f>IF(J127="","",IF(VLOOKUP(J127,'G-3 Multipliers'!$L$3:$N$6,3,FALSE)=0,"Spatial Data Missing ⚠",VLOOKUP(J127,'G-3 Multipliers'!$L$3:$N$6,3,FALSE)))</f>
        <v/>
      </c>
      <c r="M127" s="506" t="str">
        <f>IF(D127="","",VLOOKUP(D127,'G-6 Hedgerow Data'!$B$1:$AH$15,33,FALSE))</f>
        <v/>
      </c>
      <c r="N127" s="513" t="str">
        <f t="shared" si="9"/>
        <v/>
      </c>
      <c r="O127" s="40"/>
      <c r="P127" s="145"/>
      <c r="Q127" s="157"/>
      <c r="R127" s="507" t="str">
        <f t="shared" si="10"/>
        <v/>
      </c>
      <c r="S127" s="507" t="str">
        <f t="shared" si="11"/>
        <v/>
      </c>
      <c r="T127" s="511" t="str">
        <f t="shared" si="12"/>
        <v/>
      </c>
      <c r="U127" s="515" t="str">
        <f t="shared" si="13"/>
        <v/>
      </c>
      <c r="V127" s="151"/>
      <c r="W127" s="152"/>
      <c r="AB127" s="31" t="str">
        <f>IFERROR(INDEX('G-6 Hedgerow Data'!$BJ$3:$BJ$15,MATCH(D127,'G-6 Hedgerow Data'!$B$3:$B$15,0)),"")</f>
        <v/>
      </c>
      <c r="AE127" s="156" t="str">
        <f t="shared" si="7"/>
        <v/>
      </c>
      <c r="AF127" s="156" t="str">
        <f t="shared" si="8"/>
        <v/>
      </c>
      <c r="AH127" s="156">
        <v>118</v>
      </c>
      <c r="AJ127" s="156" t="str">
        <f t="array" ref="AJ127">IFERROR(INDEX($AH$10:$AH$258, MATCH(0, IF(TRUE=$AE$10:$AE$258, COUNTIF($AJ$9:$AJ126, $AH$10:$AH$258), ""), 0)),"")</f>
        <v/>
      </c>
      <c r="AK127" s="156" t="str">
        <f t="array" ref="AK127">IFERROR(INDEX($AH$10:$AH$258, MATCH(0, IF(TRUE=$AF$10:$AF$258, COUNTIF($AK$9:$AK126, $AH$10:$AH$258), ""), 0)),"")</f>
        <v/>
      </c>
    </row>
    <row r="128" spans="2:37" ht="14" x14ac:dyDescent="0.3">
      <c r="B128" s="141">
        <v>119</v>
      </c>
      <c r="C128" s="203"/>
      <c r="D128" s="203"/>
      <c r="E128" s="153"/>
      <c r="F128" s="498" t="str">
        <f>IF(D128="","",VLOOKUP(D128,'G-6 Hedgerow Data'!$B$2:$AG$15,2,FALSE))</f>
        <v/>
      </c>
      <c r="G128" s="499" t="str">
        <f>IF(D128="","",VLOOKUP(D128,'G-6 Hedgerow Data'!$B$2:$AG$15,3,FALSE))</f>
        <v/>
      </c>
      <c r="H128" s="145"/>
      <c r="I128" s="499" t="str">
        <f>IFERROR(IF(AND(F128="V.Low",OR(H128="Good",H128="Moderate")),"Error ▲",VLOOKUP(H128,'G-1 All Habitats'!$Z$2:$AA$9,2,FALSE)),"")</f>
        <v/>
      </c>
      <c r="J128" s="154"/>
      <c r="K128" s="520" t="str">
        <f>IF(J128="","",IF(VLOOKUP(J128,'G-3 Multipliers'!$L$3:$N$6,2,FALSE)=0,"Spatial Data Missing ⚠",VLOOKUP(J128,'G-3 Multipliers'!$L$3:$N$6,2,FALSE)))</f>
        <v/>
      </c>
      <c r="L128" s="524" t="str">
        <f>IF(J128="","",IF(VLOOKUP(J128,'G-3 Multipliers'!$L$3:$N$6,3,FALSE)=0,"Spatial Data Missing ⚠",VLOOKUP(J128,'G-3 Multipliers'!$L$3:$N$6,3,FALSE)))</f>
        <v/>
      </c>
      <c r="M128" s="506" t="str">
        <f>IF(D128="","",VLOOKUP(D128,'G-6 Hedgerow Data'!$B$1:$AH$15,33,FALSE))</f>
        <v/>
      </c>
      <c r="N128" s="513" t="str">
        <f t="shared" si="9"/>
        <v/>
      </c>
      <c r="O128" s="40"/>
      <c r="P128" s="145"/>
      <c r="Q128" s="157"/>
      <c r="R128" s="507" t="str">
        <f t="shared" si="10"/>
        <v/>
      </c>
      <c r="S128" s="507" t="str">
        <f t="shared" si="11"/>
        <v/>
      </c>
      <c r="T128" s="511" t="str">
        <f t="shared" si="12"/>
        <v/>
      </c>
      <c r="U128" s="515" t="str">
        <f t="shared" si="13"/>
        <v/>
      </c>
      <c r="V128" s="151"/>
      <c r="W128" s="152"/>
      <c r="AB128" s="31" t="str">
        <f>IFERROR(INDEX('G-6 Hedgerow Data'!$BJ$3:$BJ$15,MATCH(D128,'G-6 Hedgerow Data'!$B$3:$B$15,0)),"")</f>
        <v/>
      </c>
      <c r="AE128" s="156" t="str">
        <f t="shared" si="7"/>
        <v/>
      </c>
      <c r="AF128" s="156" t="str">
        <f t="shared" si="8"/>
        <v/>
      </c>
      <c r="AH128" s="156">
        <v>119</v>
      </c>
      <c r="AJ128" s="156" t="str">
        <f t="array" ref="AJ128">IFERROR(INDEX($AH$10:$AH$258, MATCH(0, IF(TRUE=$AE$10:$AE$258, COUNTIF($AJ$9:$AJ127, $AH$10:$AH$258), ""), 0)),"")</f>
        <v/>
      </c>
      <c r="AK128" s="156" t="str">
        <f t="array" ref="AK128">IFERROR(INDEX($AH$10:$AH$258, MATCH(0, IF(TRUE=$AF$10:$AF$258, COUNTIF($AK$9:$AK127, $AH$10:$AH$258), ""), 0)),"")</f>
        <v/>
      </c>
    </row>
    <row r="129" spans="2:37" ht="14" x14ac:dyDescent="0.3">
      <c r="B129" s="141">
        <v>120</v>
      </c>
      <c r="C129" s="203"/>
      <c r="D129" s="203"/>
      <c r="E129" s="153"/>
      <c r="F129" s="498" t="str">
        <f>IF(D129="","",VLOOKUP(D129,'G-6 Hedgerow Data'!$B$2:$AG$15,2,FALSE))</f>
        <v/>
      </c>
      <c r="G129" s="499" t="str">
        <f>IF(D129="","",VLOOKUP(D129,'G-6 Hedgerow Data'!$B$2:$AG$15,3,FALSE))</f>
        <v/>
      </c>
      <c r="H129" s="145"/>
      <c r="I129" s="499" t="str">
        <f>IFERROR(IF(AND(F129="V.Low",OR(H129="Good",H129="Moderate")),"Error ▲",VLOOKUP(H129,'G-1 All Habitats'!$Z$2:$AA$9,2,FALSE)),"")</f>
        <v/>
      </c>
      <c r="J129" s="154"/>
      <c r="K129" s="520" t="str">
        <f>IF(J129="","",IF(VLOOKUP(J129,'G-3 Multipliers'!$L$3:$N$6,2,FALSE)=0,"Spatial Data Missing ⚠",VLOOKUP(J129,'G-3 Multipliers'!$L$3:$N$6,2,FALSE)))</f>
        <v/>
      </c>
      <c r="L129" s="524" t="str">
        <f>IF(J129="","",IF(VLOOKUP(J129,'G-3 Multipliers'!$L$3:$N$6,3,FALSE)=0,"Spatial Data Missing ⚠",VLOOKUP(J129,'G-3 Multipliers'!$L$3:$N$6,3,FALSE)))</f>
        <v/>
      </c>
      <c r="M129" s="506" t="str">
        <f>IF(D129="","",VLOOKUP(D129,'G-6 Hedgerow Data'!$B$1:$AH$15,33,FALSE))</f>
        <v/>
      </c>
      <c r="N129" s="513" t="str">
        <f t="shared" si="9"/>
        <v/>
      </c>
      <c r="O129" s="40"/>
      <c r="P129" s="145"/>
      <c r="Q129" s="157"/>
      <c r="R129" s="507" t="str">
        <f t="shared" si="10"/>
        <v/>
      </c>
      <c r="S129" s="507" t="str">
        <f t="shared" si="11"/>
        <v/>
      </c>
      <c r="T129" s="511" t="str">
        <f t="shared" si="12"/>
        <v/>
      </c>
      <c r="U129" s="515" t="str">
        <f t="shared" si="13"/>
        <v/>
      </c>
      <c r="V129" s="151"/>
      <c r="W129" s="152"/>
      <c r="AB129" s="31" t="str">
        <f>IFERROR(INDEX('G-6 Hedgerow Data'!$BJ$3:$BJ$15,MATCH(D129,'G-6 Hedgerow Data'!$B$3:$B$15,0)),"")</f>
        <v/>
      </c>
      <c r="AE129" s="156" t="str">
        <f t="shared" si="7"/>
        <v/>
      </c>
      <c r="AF129" s="156" t="str">
        <f t="shared" si="8"/>
        <v/>
      </c>
      <c r="AH129" s="156">
        <v>120</v>
      </c>
      <c r="AJ129" s="156" t="str">
        <f t="array" ref="AJ129">IFERROR(INDEX($AH$10:$AH$258, MATCH(0, IF(TRUE=$AE$10:$AE$258, COUNTIF($AJ$9:$AJ128, $AH$10:$AH$258), ""), 0)),"")</f>
        <v/>
      </c>
      <c r="AK129" s="156" t="str">
        <f t="array" ref="AK129">IFERROR(INDEX($AH$10:$AH$258, MATCH(0, IF(TRUE=$AF$10:$AF$258, COUNTIF($AK$9:$AK128, $AH$10:$AH$258), ""), 0)),"")</f>
        <v/>
      </c>
    </row>
    <row r="130" spans="2:37" ht="14" x14ac:dyDescent="0.3">
      <c r="B130" s="141">
        <v>121</v>
      </c>
      <c r="C130" s="203"/>
      <c r="D130" s="203"/>
      <c r="E130" s="153"/>
      <c r="F130" s="498" t="str">
        <f>IF(D130="","",VLOOKUP(D130,'G-6 Hedgerow Data'!$B$2:$AG$15,2,FALSE))</f>
        <v/>
      </c>
      <c r="G130" s="499" t="str">
        <f>IF(D130="","",VLOOKUP(D130,'G-6 Hedgerow Data'!$B$2:$AG$15,3,FALSE))</f>
        <v/>
      </c>
      <c r="H130" s="145"/>
      <c r="I130" s="499" t="str">
        <f>IFERROR(IF(AND(F130="V.Low",OR(H130="Good",H130="Moderate")),"Error ▲",VLOOKUP(H130,'G-1 All Habitats'!$Z$2:$AA$9,2,FALSE)),"")</f>
        <v/>
      </c>
      <c r="J130" s="154"/>
      <c r="K130" s="520" t="str">
        <f>IF(J130="","",IF(VLOOKUP(J130,'G-3 Multipliers'!$L$3:$N$6,2,FALSE)=0,"Spatial Data Missing ⚠",VLOOKUP(J130,'G-3 Multipliers'!$L$3:$N$6,2,FALSE)))</f>
        <v/>
      </c>
      <c r="L130" s="524" t="str">
        <f>IF(J130="","",IF(VLOOKUP(J130,'G-3 Multipliers'!$L$3:$N$6,3,FALSE)=0,"Spatial Data Missing ⚠",VLOOKUP(J130,'G-3 Multipliers'!$L$3:$N$6,3,FALSE)))</f>
        <v/>
      </c>
      <c r="M130" s="506" t="str">
        <f>IF(D130="","",VLOOKUP(D130,'G-6 Hedgerow Data'!$B$1:$AH$15,33,FALSE))</f>
        <v/>
      </c>
      <c r="N130" s="513" t="str">
        <f t="shared" si="9"/>
        <v/>
      </c>
      <c r="O130" s="40"/>
      <c r="P130" s="145"/>
      <c r="Q130" s="157"/>
      <c r="R130" s="507" t="str">
        <f t="shared" si="10"/>
        <v/>
      </c>
      <c r="S130" s="507" t="str">
        <f t="shared" si="11"/>
        <v/>
      </c>
      <c r="T130" s="511" t="str">
        <f t="shared" si="12"/>
        <v/>
      </c>
      <c r="U130" s="515" t="str">
        <f t="shared" si="13"/>
        <v/>
      </c>
      <c r="V130" s="151"/>
      <c r="W130" s="152"/>
      <c r="AB130" s="31" t="str">
        <f>IFERROR(INDEX('G-6 Hedgerow Data'!$BJ$3:$BJ$15,MATCH(D130,'G-6 Hedgerow Data'!$B$3:$B$15,0)),"")</f>
        <v/>
      </c>
      <c r="AE130" s="156" t="str">
        <f t="shared" si="7"/>
        <v/>
      </c>
      <c r="AF130" s="156" t="str">
        <f t="shared" si="8"/>
        <v/>
      </c>
      <c r="AH130" s="156">
        <v>121</v>
      </c>
      <c r="AJ130" s="156" t="str">
        <f t="array" ref="AJ130">IFERROR(INDEX($AH$10:$AH$258, MATCH(0, IF(TRUE=$AE$10:$AE$258, COUNTIF($AJ$9:$AJ129, $AH$10:$AH$258), ""), 0)),"")</f>
        <v/>
      </c>
      <c r="AK130" s="156" t="str">
        <f t="array" ref="AK130">IFERROR(INDEX($AH$10:$AH$258, MATCH(0, IF(TRUE=$AF$10:$AF$258, COUNTIF($AK$9:$AK129, $AH$10:$AH$258), ""), 0)),"")</f>
        <v/>
      </c>
    </row>
    <row r="131" spans="2:37" ht="14" x14ac:dyDescent="0.3">
      <c r="B131" s="141">
        <v>122</v>
      </c>
      <c r="C131" s="203"/>
      <c r="D131" s="203"/>
      <c r="E131" s="153"/>
      <c r="F131" s="498" t="str">
        <f>IF(D131="","",VLOOKUP(D131,'G-6 Hedgerow Data'!$B$2:$AG$15,2,FALSE))</f>
        <v/>
      </c>
      <c r="G131" s="499" t="str">
        <f>IF(D131="","",VLOOKUP(D131,'G-6 Hedgerow Data'!$B$2:$AG$15,3,FALSE))</f>
        <v/>
      </c>
      <c r="H131" s="145"/>
      <c r="I131" s="499" t="str">
        <f>IFERROR(IF(AND(F131="V.Low",OR(H131="Good",H131="Moderate")),"Error ▲",VLOOKUP(H131,'G-1 All Habitats'!$Z$2:$AA$9,2,FALSE)),"")</f>
        <v/>
      </c>
      <c r="J131" s="154"/>
      <c r="K131" s="520" t="str">
        <f>IF(J131="","",IF(VLOOKUP(J131,'G-3 Multipliers'!$L$3:$N$6,2,FALSE)=0,"Spatial Data Missing ⚠",VLOOKUP(J131,'G-3 Multipliers'!$L$3:$N$6,2,FALSE)))</f>
        <v/>
      </c>
      <c r="L131" s="524" t="str">
        <f>IF(J131="","",IF(VLOOKUP(J131,'G-3 Multipliers'!$L$3:$N$6,3,FALSE)=0,"Spatial Data Missing ⚠",VLOOKUP(J131,'G-3 Multipliers'!$L$3:$N$6,3,FALSE)))</f>
        <v/>
      </c>
      <c r="M131" s="506" t="str">
        <f>IF(D131="","",VLOOKUP(D131,'G-6 Hedgerow Data'!$B$1:$AH$15,33,FALSE))</f>
        <v/>
      </c>
      <c r="N131" s="513" t="str">
        <f t="shared" si="9"/>
        <v/>
      </c>
      <c r="O131" s="40"/>
      <c r="P131" s="145"/>
      <c r="Q131" s="157"/>
      <c r="R131" s="507" t="str">
        <f t="shared" si="10"/>
        <v/>
      </c>
      <c r="S131" s="507" t="str">
        <f t="shared" si="11"/>
        <v/>
      </c>
      <c r="T131" s="511" t="str">
        <f t="shared" si="12"/>
        <v/>
      </c>
      <c r="U131" s="515" t="str">
        <f t="shared" si="13"/>
        <v/>
      </c>
      <c r="V131" s="151"/>
      <c r="W131" s="152"/>
      <c r="AB131" s="31" t="str">
        <f>IFERROR(INDEX('G-6 Hedgerow Data'!$BJ$3:$BJ$15,MATCH(D131,'G-6 Hedgerow Data'!$B$3:$B$15,0)),"")</f>
        <v/>
      </c>
      <c r="AE131" s="156" t="str">
        <f t="shared" si="7"/>
        <v/>
      </c>
      <c r="AF131" s="156" t="str">
        <f t="shared" si="8"/>
        <v/>
      </c>
      <c r="AH131" s="156">
        <v>122</v>
      </c>
      <c r="AJ131" s="156" t="str">
        <f t="array" ref="AJ131">IFERROR(INDEX($AH$10:$AH$258, MATCH(0, IF(TRUE=$AE$10:$AE$258, COUNTIF($AJ$9:$AJ130, $AH$10:$AH$258), ""), 0)),"")</f>
        <v/>
      </c>
      <c r="AK131" s="156" t="str">
        <f t="array" ref="AK131">IFERROR(INDEX($AH$10:$AH$258, MATCH(0, IF(TRUE=$AF$10:$AF$258, COUNTIF($AK$9:$AK130, $AH$10:$AH$258), ""), 0)),"")</f>
        <v/>
      </c>
    </row>
    <row r="132" spans="2:37" ht="14" x14ac:dyDescent="0.3">
      <c r="B132" s="141">
        <v>123</v>
      </c>
      <c r="C132" s="203"/>
      <c r="D132" s="203"/>
      <c r="E132" s="153"/>
      <c r="F132" s="498" t="str">
        <f>IF(D132="","",VLOOKUP(D132,'G-6 Hedgerow Data'!$B$2:$AG$15,2,FALSE))</f>
        <v/>
      </c>
      <c r="G132" s="499" t="str">
        <f>IF(D132="","",VLOOKUP(D132,'G-6 Hedgerow Data'!$B$2:$AG$15,3,FALSE))</f>
        <v/>
      </c>
      <c r="H132" s="145"/>
      <c r="I132" s="499" t="str">
        <f>IFERROR(IF(AND(F132="V.Low",OR(H132="Good",H132="Moderate")),"Error ▲",VLOOKUP(H132,'G-1 All Habitats'!$Z$2:$AA$9,2,FALSE)),"")</f>
        <v/>
      </c>
      <c r="J132" s="154"/>
      <c r="K132" s="520" t="str">
        <f>IF(J132="","",IF(VLOOKUP(J132,'G-3 Multipliers'!$L$3:$N$6,2,FALSE)=0,"Spatial Data Missing ⚠",VLOOKUP(J132,'G-3 Multipliers'!$L$3:$N$6,2,FALSE)))</f>
        <v/>
      </c>
      <c r="L132" s="524" t="str">
        <f>IF(J132="","",IF(VLOOKUP(J132,'G-3 Multipliers'!$L$3:$N$6,3,FALSE)=0,"Spatial Data Missing ⚠",VLOOKUP(J132,'G-3 Multipliers'!$L$3:$N$6,3,FALSE)))</f>
        <v/>
      </c>
      <c r="M132" s="506" t="str">
        <f>IF(D132="","",VLOOKUP(D132,'G-6 Hedgerow Data'!$B$1:$AH$15,33,FALSE))</f>
        <v/>
      </c>
      <c r="N132" s="513" t="str">
        <f t="shared" si="9"/>
        <v/>
      </c>
      <c r="O132" s="40"/>
      <c r="P132" s="145"/>
      <c r="Q132" s="157"/>
      <c r="R132" s="507" t="str">
        <f t="shared" si="10"/>
        <v/>
      </c>
      <c r="S132" s="507" t="str">
        <f t="shared" si="11"/>
        <v/>
      </c>
      <c r="T132" s="511" t="str">
        <f t="shared" si="12"/>
        <v/>
      </c>
      <c r="U132" s="515" t="str">
        <f t="shared" si="13"/>
        <v/>
      </c>
      <c r="V132" s="151"/>
      <c r="W132" s="152"/>
      <c r="AB132" s="31" t="str">
        <f>IFERROR(INDEX('G-6 Hedgerow Data'!$BJ$3:$BJ$15,MATCH(D132,'G-6 Hedgerow Data'!$B$3:$B$15,0)),"")</f>
        <v/>
      </c>
      <c r="AE132" s="156" t="str">
        <f t="shared" si="7"/>
        <v/>
      </c>
      <c r="AF132" s="156" t="str">
        <f t="shared" si="8"/>
        <v/>
      </c>
      <c r="AH132" s="156">
        <v>123</v>
      </c>
      <c r="AJ132" s="156" t="str">
        <f t="array" ref="AJ132">IFERROR(INDEX($AH$10:$AH$258, MATCH(0, IF(TRUE=$AE$10:$AE$258, COUNTIF($AJ$9:$AJ131, $AH$10:$AH$258), ""), 0)),"")</f>
        <v/>
      </c>
      <c r="AK132" s="156" t="str">
        <f t="array" ref="AK132">IFERROR(INDEX($AH$10:$AH$258, MATCH(0, IF(TRUE=$AF$10:$AF$258, COUNTIF($AK$9:$AK131, $AH$10:$AH$258), ""), 0)),"")</f>
        <v/>
      </c>
    </row>
    <row r="133" spans="2:37" ht="14" x14ac:dyDescent="0.3">
      <c r="B133" s="141">
        <v>124</v>
      </c>
      <c r="C133" s="203"/>
      <c r="D133" s="203"/>
      <c r="E133" s="153"/>
      <c r="F133" s="498" t="str">
        <f>IF(D133="","",VLOOKUP(D133,'G-6 Hedgerow Data'!$B$2:$AG$15,2,FALSE))</f>
        <v/>
      </c>
      <c r="G133" s="499" t="str">
        <f>IF(D133="","",VLOOKUP(D133,'G-6 Hedgerow Data'!$B$2:$AG$15,3,FALSE))</f>
        <v/>
      </c>
      <c r="H133" s="145"/>
      <c r="I133" s="499" t="str">
        <f>IFERROR(IF(AND(F133="V.Low",OR(H133="Good",H133="Moderate")),"Error ▲",VLOOKUP(H133,'G-1 All Habitats'!$Z$2:$AA$9,2,FALSE)),"")</f>
        <v/>
      </c>
      <c r="J133" s="154"/>
      <c r="K133" s="520" t="str">
        <f>IF(J133="","",IF(VLOOKUP(J133,'G-3 Multipliers'!$L$3:$N$6,2,FALSE)=0,"Spatial Data Missing ⚠",VLOOKUP(J133,'G-3 Multipliers'!$L$3:$N$6,2,FALSE)))</f>
        <v/>
      </c>
      <c r="L133" s="524" t="str">
        <f>IF(J133="","",IF(VLOOKUP(J133,'G-3 Multipliers'!$L$3:$N$6,3,FALSE)=0,"Spatial Data Missing ⚠",VLOOKUP(J133,'G-3 Multipliers'!$L$3:$N$6,3,FALSE)))</f>
        <v/>
      </c>
      <c r="M133" s="506" t="str">
        <f>IF(D133="","",VLOOKUP(D133,'G-6 Hedgerow Data'!$B$1:$AH$15,33,FALSE))</f>
        <v/>
      </c>
      <c r="N133" s="513" t="str">
        <f t="shared" si="9"/>
        <v/>
      </c>
      <c r="O133" s="40"/>
      <c r="P133" s="145"/>
      <c r="Q133" s="157"/>
      <c r="R133" s="507" t="str">
        <f t="shared" si="10"/>
        <v/>
      </c>
      <c r="S133" s="507" t="str">
        <f t="shared" si="11"/>
        <v/>
      </c>
      <c r="T133" s="511" t="str">
        <f t="shared" si="12"/>
        <v/>
      </c>
      <c r="U133" s="515" t="str">
        <f t="shared" si="13"/>
        <v/>
      </c>
      <c r="V133" s="151"/>
      <c r="W133" s="152"/>
      <c r="AB133" s="31" t="str">
        <f>IFERROR(INDEX('G-6 Hedgerow Data'!$BJ$3:$BJ$15,MATCH(D133,'G-6 Hedgerow Data'!$B$3:$B$15,0)),"")</f>
        <v/>
      </c>
      <c r="AE133" s="156" t="str">
        <f t="shared" si="7"/>
        <v/>
      </c>
      <c r="AF133" s="156" t="str">
        <f t="shared" si="8"/>
        <v/>
      </c>
      <c r="AH133" s="156">
        <v>124</v>
      </c>
      <c r="AJ133" s="156" t="str">
        <f t="array" ref="AJ133">IFERROR(INDEX($AH$10:$AH$258, MATCH(0, IF(TRUE=$AE$10:$AE$258, COUNTIF($AJ$9:$AJ132, $AH$10:$AH$258), ""), 0)),"")</f>
        <v/>
      </c>
      <c r="AK133" s="156" t="str">
        <f t="array" ref="AK133">IFERROR(INDEX($AH$10:$AH$258, MATCH(0, IF(TRUE=$AF$10:$AF$258, COUNTIF($AK$9:$AK132, $AH$10:$AH$258), ""), 0)),"")</f>
        <v/>
      </c>
    </row>
    <row r="134" spans="2:37" ht="14" x14ac:dyDescent="0.3">
      <c r="B134" s="141">
        <v>125</v>
      </c>
      <c r="C134" s="203"/>
      <c r="D134" s="203"/>
      <c r="E134" s="153"/>
      <c r="F134" s="498" t="str">
        <f>IF(D134="","",VLOOKUP(D134,'G-6 Hedgerow Data'!$B$2:$AG$15,2,FALSE))</f>
        <v/>
      </c>
      <c r="G134" s="499" t="str">
        <f>IF(D134="","",VLOOKUP(D134,'G-6 Hedgerow Data'!$B$2:$AG$15,3,FALSE))</f>
        <v/>
      </c>
      <c r="H134" s="145"/>
      <c r="I134" s="499" t="str">
        <f>IFERROR(IF(AND(F134="V.Low",OR(H134="Good",H134="Moderate")),"Error ▲",VLOOKUP(H134,'G-1 All Habitats'!$Z$2:$AA$9,2,FALSE)),"")</f>
        <v/>
      </c>
      <c r="J134" s="154"/>
      <c r="K134" s="520" t="str">
        <f>IF(J134="","",IF(VLOOKUP(J134,'G-3 Multipliers'!$L$3:$N$6,2,FALSE)=0,"Spatial Data Missing ⚠",VLOOKUP(J134,'G-3 Multipliers'!$L$3:$N$6,2,FALSE)))</f>
        <v/>
      </c>
      <c r="L134" s="524" t="str">
        <f>IF(J134="","",IF(VLOOKUP(J134,'G-3 Multipliers'!$L$3:$N$6,3,FALSE)=0,"Spatial Data Missing ⚠",VLOOKUP(J134,'G-3 Multipliers'!$L$3:$N$6,3,FALSE)))</f>
        <v/>
      </c>
      <c r="M134" s="506" t="str">
        <f>IF(D134="","",VLOOKUP(D134,'G-6 Hedgerow Data'!$B$1:$AH$15,33,FALSE))</f>
        <v/>
      </c>
      <c r="N134" s="513" t="str">
        <f t="shared" si="9"/>
        <v/>
      </c>
      <c r="O134" s="40"/>
      <c r="P134" s="145"/>
      <c r="Q134" s="157"/>
      <c r="R134" s="507" t="str">
        <f t="shared" si="10"/>
        <v/>
      </c>
      <c r="S134" s="507" t="str">
        <f t="shared" si="11"/>
        <v/>
      </c>
      <c r="T134" s="511" t="str">
        <f t="shared" si="12"/>
        <v/>
      </c>
      <c r="U134" s="515" t="str">
        <f t="shared" si="13"/>
        <v/>
      </c>
      <c r="V134" s="151"/>
      <c r="W134" s="152"/>
      <c r="AB134" s="31" t="str">
        <f>IFERROR(INDEX('G-6 Hedgerow Data'!$BJ$3:$BJ$15,MATCH(D134,'G-6 Hedgerow Data'!$B$3:$B$15,0)),"")</f>
        <v/>
      </c>
      <c r="AE134" s="156" t="str">
        <f t="shared" si="7"/>
        <v/>
      </c>
      <c r="AF134" s="156" t="str">
        <f t="shared" si="8"/>
        <v/>
      </c>
      <c r="AH134" s="156">
        <v>125</v>
      </c>
      <c r="AJ134" s="156" t="str">
        <f t="array" ref="AJ134">IFERROR(INDEX($AH$10:$AH$258, MATCH(0, IF(TRUE=$AE$10:$AE$258, COUNTIF($AJ$9:$AJ133, $AH$10:$AH$258), ""), 0)),"")</f>
        <v/>
      </c>
      <c r="AK134" s="156" t="str">
        <f t="array" ref="AK134">IFERROR(INDEX($AH$10:$AH$258, MATCH(0, IF(TRUE=$AF$10:$AF$258, COUNTIF($AK$9:$AK133, $AH$10:$AH$258), ""), 0)),"")</f>
        <v/>
      </c>
    </row>
    <row r="135" spans="2:37" ht="14" x14ac:dyDescent="0.3">
      <c r="B135" s="141">
        <v>126</v>
      </c>
      <c r="C135" s="203"/>
      <c r="D135" s="203"/>
      <c r="E135" s="153"/>
      <c r="F135" s="498" t="str">
        <f>IF(D135="","",VLOOKUP(D135,'G-6 Hedgerow Data'!$B$2:$AG$15,2,FALSE))</f>
        <v/>
      </c>
      <c r="G135" s="499" t="str">
        <f>IF(D135="","",VLOOKUP(D135,'G-6 Hedgerow Data'!$B$2:$AG$15,3,FALSE))</f>
        <v/>
      </c>
      <c r="H135" s="145"/>
      <c r="I135" s="499" t="str">
        <f>IFERROR(IF(AND(F135="V.Low",OR(H135="Good",H135="Moderate")),"Error ▲",VLOOKUP(H135,'G-1 All Habitats'!$Z$2:$AA$9,2,FALSE)),"")</f>
        <v/>
      </c>
      <c r="J135" s="154"/>
      <c r="K135" s="520" t="str">
        <f>IF(J135="","",IF(VLOOKUP(J135,'G-3 Multipliers'!$L$3:$N$6,2,FALSE)=0,"Spatial Data Missing ⚠",VLOOKUP(J135,'G-3 Multipliers'!$L$3:$N$6,2,FALSE)))</f>
        <v/>
      </c>
      <c r="L135" s="524" t="str">
        <f>IF(J135="","",IF(VLOOKUP(J135,'G-3 Multipliers'!$L$3:$N$6,3,FALSE)=0,"Spatial Data Missing ⚠",VLOOKUP(J135,'G-3 Multipliers'!$L$3:$N$6,3,FALSE)))</f>
        <v/>
      </c>
      <c r="M135" s="506" t="str">
        <f>IF(D135="","",VLOOKUP(D135,'G-6 Hedgerow Data'!$B$1:$AH$15,33,FALSE))</f>
        <v/>
      </c>
      <c r="N135" s="513" t="str">
        <f t="shared" si="9"/>
        <v/>
      </c>
      <c r="O135" s="40"/>
      <c r="P135" s="145"/>
      <c r="Q135" s="157"/>
      <c r="R135" s="507" t="str">
        <f t="shared" si="10"/>
        <v/>
      </c>
      <c r="S135" s="507" t="str">
        <f t="shared" si="11"/>
        <v/>
      </c>
      <c r="T135" s="511" t="str">
        <f t="shared" si="12"/>
        <v/>
      </c>
      <c r="U135" s="515" t="str">
        <f t="shared" si="13"/>
        <v/>
      </c>
      <c r="V135" s="151"/>
      <c r="W135" s="152"/>
      <c r="AB135" s="31" t="str">
        <f>IFERROR(INDEX('G-6 Hedgerow Data'!$BJ$3:$BJ$15,MATCH(D135,'G-6 Hedgerow Data'!$B$3:$B$15,0)),"")</f>
        <v/>
      </c>
      <c r="AE135" s="156" t="str">
        <f t="shared" si="7"/>
        <v/>
      </c>
      <c r="AF135" s="156" t="str">
        <f t="shared" si="8"/>
        <v/>
      </c>
      <c r="AH135" s="156">
        <v>126</v>
      </c>
      <c r="AJ135" s="156" t="str">
        <f t="array" ref="AJ135">IFERROR(INDEX($AH$10:$AH$258, MATCH(0, IF(TRUE=$AE$10:$AE$258, COUNTIF($AJ$9:$AJ134, $AH$10:$AH$258), ""), 0)),"")</f>
        <v/>
      </c>
      <c r="AK135" s="156" t="str">
        <f t="array" ref="AK135">IFERROR(INDEX($AH$10:$AH$258, MATCH(0, IF(TRUE=$AF$10:$AF$258, COUNTIF($AK$9:$AK134, $AH$10:$AH$258), ""), 0)),"")</f>
        <v/>
      </c>
    </row>
    <row r="136" spans="2:37" ht="14" x14ac:dyDescent="0.3">
      <c r="B136" s="141">
        <v>127</v>
      </c>
      <c r="C136" s="203"/>
      <c r="D136" s="203"/>
      <c r="E136" s="153"/>
      <c r="F136" s="498" t="str">
        <f>IF(D136="","",VLOOKUP(D136,'G-6 Hedgerow Data'!$B$2:$AG$15,2,FALSE))</f>
        <v/>
      </c>
      <c r="G136" s="499" t="str">
        <f>IF(D136="","",VLOOKUP(D136,'G-6 Hedgerow Data'!$B$2:$AG$15,3,FALSE))</f>
        <v/>
      </c>
      <c r="H136" s="145"/>
      <c r="I136" s="499" t="str">
        <f>IFERROR(IF(AND(F136="V.Low",OR(H136="Good",H136="Moderate")),"Error ▲",VLOOKUP(H136,'G-1 All Habitats'!$Z$2:$AA$9,2,FALSE)),"")</f>
        <v/>
      </c>
      <c r="J136" s="154"/>
      <c r="K136" s="520" t="str">
        <f>IF(J136="","",IF(VLOOKUP(J136,'G-3 Multipliers'!$L$3:$N$6,2,FALSE)=0,"Spatial Data Missing ⚠",VLOOKUP(J136,'G-3 Multipliers'!$L$3:$N$6,2,FALSE)))</f>
        <v/>
      </c>
      <c r="L136" s="524" t="str">
        <f>IF(J136="","",IF(VLOOKUP(J136,'G-3 Multipliers'!$L$3:$N$6,3,FALSE)=0,"Spatial Data Missing ⚠",VLOOKUP(J136,'G-3 Multipliers'!$L$3:$N$6,3,FALSE)))</f>
        <v/>
      </c>
      <c r="M136" s="506" t="str">
        <f>IF(D136="","",VLOOKUP(D136,'G-6 Hedgerow Data'!$B$1:$AH$15,33,FALSE))</f>
        <v/>
      </c>
      <c r="N136" s="513" t="str">
        <f t="shared" si="9"/>
        <v/>
      </c>
      <c r="O136" s="40"/>
      <c r="P136" s="145"/>
      <c r="Q136" s="157"/>
      <c r="R136" s="507" t="str">
        <f t="shared" si="10"/>
        <v/>
      </c>
      <c r="S136" s="507" t="str">
        <f t="shared" si="11"/>
        <v/>
      </c>
      <c r="T136" s="511" t="str">
        <f t="shared" si="12"/>
        <v/>
      </c>
      <c r="U136" s="515" t="str">
        <f t="shared" si="13"/>
        <v/>
      </c>
      <c r="V136" s="151"/>
      <c r="W136" s="152"/>
      <c r="AB136" s="31" t="str">
        <f>IFERROR(INDEX('G-6 Hedgerow Data'!$BJ$3:$BJ$15,MATCH(D136,'G-6 Hedgerow Data'!$B$3:$B$15,0)),"")</f>
        <v/>
      </c>
      <c r="AE136" s="156" t="str">
        <f t="shared" si="7"/>
        <v/>
      </c>
      <c r="AF136" s="156" t="str">
        <f t="shared" si="8"/>
        <v/>
      </c>
      <c r="AH136" s="156">
        <v>127</v>
      </c>
      <c r="AJ136" s="156" t="str">
        <f t="array" ref="AJ136">IFERROR(INDEX($AH$10:$AH$258, MATCH(0, IF(TRUE=$AE$10:$AE$258, COUNTIF($AJ$9:$AJ135, $AH$10:$AH$258), ""), 0)),"")</f>
        <v/>
      </c>
      <c r="AK136" s="156" t="str">
        <f t="array" ref="AK136">IFERROR(INDEX($AH$10:$AH$258, MATCH(0, IF(TRUE=$AF$10:$AF$258, COUNTIF($AK$9:$AK135, $AH$10:$AH$258), ""), 0)),"")</f>
        <v/>
      </c>
    </row>
    <row r="137" spans="2:37" ht="14" x14ac:dyDescent="0.3">
      <c r="B137" s="141">
        <v>128</v>
      </c>
      <c r="C137" s="203"/>
      <c r="D137" s="203"/>
      <c r="E137" s="153"/>
      <c r="F137" s="498" t="str">
        <f>IF(D137="","",VLOOKUP(D137,'G-6 Hedgerow Data'!$B$2:$AG$15,2,FALSE))</f>
        <v/>
      </c>
      <c r="G137" s="499" t="str">
        <f>IF(D137="","",VLOOKUP(D137,'G-6 Hedgerow Data'!$B$2:$AG$15,3,FALSE))</f>
        <v/>
      </c>
      <c r="H137" s="145"/>
      <c r="I137" s="499" t="str">
        <f>IFERROR(IF(AND(F137="V.Low",OR(H137="Good",H137="Moderate")),"Error ▲",VLOOKUP(H137,'G-1 All Habitats'!$Z$2:$AA$9,2,FALSE)),"")</f>
        <v/>
      </c>
      <c r="J137" s="154"/>
      <c r="K137" s="520" t="str">
        <f>IF(J137="","",IF(VLOOKUP(J137,'G-3 Multipliers'!$L$3:$N$6,2,FALSE)=0,"Spatial Data Missing ⚠",VLOOKUP(J137,'G-3 Multipliers'!$L$3:$N$6,2,FALSE)))</f>
        <v/>
      </c>
      <c r="L137" s="524" t="str">
        <f>IF(J137="","",IF(VLOOKUP(J137,'G-3 Multipliers'!$L$3:$N$6,3,FALSE)=0,"Spatial Data Missing ⚠",VLOOKUP(J137,'G-3 Multipliers'!$L$3:$N$6,3,FALSE)))</f>
        <v/>
      </c>
      <c r="M137" s="506" t="str">
        <f>IF(D137="","",VLOOKUP(D137,'G-6 Hedgerow Data'!$B$1:$AH$15,33,FALSE))</f>
        <v/>
      </c>
      <c r="N137" s="513" t="str">
        <f t="shared" si="9"/>
        <v/>
      </c>
      <c r="O137" s="40"/>
      <c r="P137" s="145"/>
      <c r="Q137" s="157"/>
      <c r="R137" s="507" t="str">
        <f t="shared" si="10"/>
        <v/>
      </c>
      <c r="S137" s="507" t="str">
        <f t="shared" si="11"/>
        <v/>
      </c>
      <c r="T137" s="511" t="str">
        <f t="shared" si="12"/>
        <v/>
      </c>
      <c r="U137" s="515" t="str">
        <f t="shared" si="13"/>
        <v/>
      </c>
      <c r="V137" s="151"/>
      <c r="W137" s="152"/>
      <c r="AB137" s="31" t="str">
        <f>IFERROR(INDEX('G-6 Hedgerow Data'!$BJ$3:$BJ$15,MATCH(D137,'G-6 Hedgerow Data'!$B$3:$B$15,0)),"")</f>
        <v/>
      </c>
      <c r="AE137" s="156" t="str">
        <f t="shared" si="7"/>
        <v/>
      </c>
      <c r="AF137" s="156" t="str">
        <f t="shared" si="8"/>
        <v/>
      </c>
      <c r="AH137" s="156">
        <v>128</v>
      </c>
      <c r="AJ137" s="156" t="str">
        <f t="array" ref="AJ137">IFERROR(INDEX($AH$10:$AH$258, MATCH(0, IF(TRUE=$AE$10:$AE$258, COUNTIF($AJ$9:$AJ136, $AH$10:$AH$258), ""), 0)),"")</f>
        <v/>
      </c>
      <c r="AK137" s="156" t="str">
        <f t="array" ref="AK137">IFERROR(INDEX($AH$10:$AH$258, MATCH(0, IF(TRUE=$AF$10:$AF$258, COUNTIF($AK$9:$AK136, $AH$10:$AH$258), ""), 0)),"")</f>
        <v/>
      </c>
    </row>
    <row r="138" spans="2:37" ht="14" x14ac:dyDescent="0.3">
      <c r="B138" s="141">
        <v>129</v>
      </c>
      <c r="C138" s="203"/>
      <c r="D138" s="203"/>
      <c r="E138" s="153"/>
      <c r="F138" s="498" t="str">
        <f>IF(D138="","",VLOOKUP(D138,'G-6 Hedgerow Data'!$B$2:$AG$15,2,FALSE))</f>
        <v/>
      </c>
      <c r="G138" s="499" t="str">
        <f>IF(D138="","",VLOOKUP(D138,'G-6 Hedgerow Data'!$B$2:$AG$15,3,FALSE))</f>
        <v/>
      </c>
      <c r="H138" s="145"/>
      <c r="I138" s="499" t="str">
        <f>IFERROR(IF(AND(F138="V.Low",OR(H138="Good",H138="Moderate")),"Error ▲",VLOOKUP(H138,'G-1 All Habitats'!$Z$2:$AA$9,2,FALSE)),"")</f>
        <v/>
      </c>
      <c r="J138" s="154"/>
      <c r="K138" s="520" t="str">
        <f>IF(J138="","",IF(VLOOKUP(J138,'G-3 Multipliers'!$L$3:$N$6,2,FALSE)=0,"Spatial Data Missing ⚠",VLOOKUP(J138,'G-3 Multipliers'!$L$3:$N$6,2,FALSE)))</f>
        <v/>
      </c>
      <c r="L138" s="524" t="str">
        <f>IF(J138="","",IF(VLOOKUP(J138,'G-3 Multipliers'!$L$3:$N$6,3,FALSE)=0,"Spatial Data Missing ⚠",VLOOKUP(J138,'G-3 Multipliers'!$L$3:$N$6,3,FALSE)))</f>
        <v/>
      </c>
      <c r="M138" s="506" t="str">
        <f>IF(D138="","",VLOOKUP(D138,'G-6 Hedgerow Data'!$B$1:$AH$15,33,FALSE))</f>
        <v/>
      </c>
      <c r="N138" s="513" t="str">
        <f t="shared" si="9"/>
        <v/>
      </c>
      <c r="O138" s="40"/>
      <c r="P138" s="145"/>
      <c r="Q138" s="157"/>
      <c r="R138" s="507" t="str">
        <f t="shared" si="10"/>
        <v/>
      </c>
      <c r="S138" s="507" t="str">
        <f t="shared" si="11"/>
        <v/>
      </c>
      <c r="T138" s="511" t="str">
        <f t="shared" si="12"/>
        <v/>
      </c>
      <c r="U138" s="515" t="str">
        <f t="shared" si="13"/>
        <v/>
      </c>
      <c r="V138" s="151"/>
      <c r="W138" s="152"/>
      <c r="AB138" s="31" t="str">
        <f>IFERROR(INDEX('G-6 Hedgerow Data'!$BJ$3:$BJ$15,MATCH(D138,'G-6 Hedgerow Data'!$B$3:$B$15,0)),"")</f>
        <v/>
      </c>
      <c r="AE138" s="156" t="str">
        <f t="shared" ref="AE138:AE201" si="14">IF(D138="","",IF(P138&gt;0,TRUE,FALSE))</f>
        <v/>
      </c>
      <c r="AF138" s="156" t="str">
        <f t="shared" ref="AF138:AF201" si="15">IF(D138="","",IF(Q138&gt;0,TRUE,FALSE))</f>
        <v/>
      </c>
      <c r="AH138" s="156">
        <v>129</v>
      </c>
      <c r="AJ138" s="156" t="str">
        <f t="array" ref="AJ138">IFERROR(INDEX($AH$10:$AH$258, MATCH(0, IF(TRUE=$AE$10:$AE$258, COUNTIF($AJ$9:$AJ137, $AH$10:$AH$258), ""), 0)),"")</f>
        <v/>
      </c>
      <c r="AK138" s="156" t="str">
        <f t="array" ref="AK138">IFERROR(INDEX($AH$10:$AH$258, MATCH(0, IF(TRUE=$AF$10:$AF$258, COUNTIF($AK$9:$AK137, $AH$10:$AH$258), ""), 0)),"")</f>
        <v/>
      </c>
    </row>
    <row r="139" spans="2:37" ht="14" x14ac:dyDescent="0.3">
      <c r="B139" s="141">
        <v>130</v>
      </c>
      <c r="C139" s="203"/>
      <c r="D139" s="203"/>
      <c r="E139" s="153"/>
      <c r="F139" s="498" t="str">
        <f>IF(D139="","",VLOOKUP(D139,'G-6 Hedgerow Data'!$B$2:$AG$15,2,FALSE))</f>
        <v/>
      </c>
      <c r="G139" s="499" t="str">
        <f>IF(D139="","",VLOOKUP(D139,'G-6 Hedgerow Data'!$B$2:$AG$15,3,FALSE))</f>
        <v/>
      </c>
      <c r="H139" s="145"/>
      <c r="I139" s="499" t="str">
        <f>IFERROR(IF(AND(F139="V.Low",OR(H139="Good",H139="Moderate")),"Error ▲",VLOOKUP(H139,'G-1 All Habitats'!$Z$2:$AA$9,2,FALSE)),"")</f>
        <v/>
      </c>
      <c r="J139" s="154"/>
      <c r="K139" s="520" t="str">
        <f>IF(J139="","",IF(VLOOKUP(J139,'G-3 Multipliers'!$L$3:$N$6,2,FALSE)=0,"Spatial Data Missing ⚠",VLOOKUP(J139,'G-3 Multipliers'!$L$3:$N$6,2,FALSE)))</f>
        <v/>
      </c>
      <c r="L139" s="524" t="str">
        <f>IF(J139="","",IF(VLOOKUP(J139,'G-3 Multipliers'!$L$3:$N$6,3,FALSE)=0,"Spatial Data Missing ⚠",VLOOKUP(J139,'G-3 Multipliers'!$L$3:$N$6,3,FALSE)))</f>
        <v/>
      </c>
      <c r="M139" s="506" t="str">
        <f>IF(D139="","",VLOOKUP(D139,'G-6 Hedgerow Data'!$B$1:$AH$15,33,FALSE))</f>
        <v/>
      </c>
      <c r="N139" s="513" t="str">
        <f t="shared" ref="N139:N202" si="16">IFERROR(E139*G139*I139*L139,"")</f>
        <v/>
      </c>
      <c r="O139" s="40"/>
      <c r="P139" s="145"/>
      <c r="Q139" s="157"/>
      <c r="R139" s="507" t="str">
        <f t="shared" ref="R139:R202" si="17">IFERROR(P139*G139*I139*L139,"")</f>
        <v/>
      </c>
      <c r="S139" s="507" t="str">
        <f t="shared" ref="S139:S202" si="18">IFERROR(Q139*G139*I139*L139,"")</f>
        <v/>
      </c>
      <c r="T139" s="511" t="str">
        <f t="shared" ref="T139:T202" si="19">IF(D139="","",IF(E139&lt;P139+Q139,"Error in Lengths ▲",E139-P139-Q139))</f>
        <v/>
      </c>
      <c r="U139" s="515" t="str">
        <f t="shared" ref="U139:U202" si="20">IF(OR(E139="",N139=""),"",IF(E139&lt;P139+Q139,"Error in Lengths",N139-R139-S139))</f>
        <v/>
      </c>
      <c r="V139" s="151"/>
      <c r="W139" s="152"/>
      <c r="AB139" s="31" t="str">
        <f>IFERROR(INDEX('G-6 Hedgerow Data'!$BJ$3:$BJ$15,MATCH(D139,'G-6 Hedgerow Data'!$B$3:$B$15,0)),"")</f>
        <v/>
      </c>
      <c r="AE139" s="156" t="str">
        <f t="shared" si="14"/>
        <v/>
      </c>
      <c r="AF139" s="156" t="str">
        <f t="shared" si="15"/>
        <v/>
      </c>
      <c r="AH139" s="156">
        <v>130</v>
      </c>
      <c r="AJ139" s="156" t="str">
        <f t="array" ref="AJ139">IFERROR(INDEX($AH$10:$AH$258, MATCH(0, IF(TRUE=$AE$10:$AE$258, COUNTIF($AJ$9:$AJ138, $AH$10:$AH$258), ""), 0)),"")</f>
        <v/>
      </c>
      <c r="AK139" s="156" t="str">
        <f t="array" ref="AK139">IFERROR(INDEX($AH$10:$AH$258, MATCH(0, IF(TRUE=$AF$10:$AF$258, COUNTIF($AK$9:$AK138, $AH$10:$AH$258), ""), 0)),"")</f>
        <v/>
      </c>
    </row>
    <row r="140" spans="2:37" ht="14" x14ac:dyDescent="0.3">
      <c r="B140" s="141">
        <v>131</v>
      </c>
      <c r="C140" s="203"/>
      <c r="D140" s="203"/>
      <c r="E140" s="153"/>
      <c r="F140" s="498" t="str">
        <f>IF(D140="","",VLOOKUP(D140,'G-6 Hedgerow Data'!$B$2:$AG$15,2,FALSE))</f>
        <v/>
      </c>
      <c r="G140" s="499" t="str">
        <f>IF(D140="","",VLOOKUP(D140,'G-6 Hedgerow Data'!$B$2:$AG$15,3,FALSE))</f>
        <v/>
      </c>
      <c r="H140" s="145"/>
      <c r="I140" s="499" t="str">
        <f>IFERROR(IF(AND(F140="V.Low",OR(H140="Good",H140="Moderate")),"Error ▲",VLOOKUP(H140,'G-1 All Habitats'!$Z$2:$AA$9,2,FALSE)),"")</f>
        <v/>
      </c>
      <c r="J140" s="154"/>
      <c r="K140" s="520" t="str">
        <f>IF(J140="","",IF(VLOOKUP(J140,'G-3 Multipliers'!$L$3:$N$6,2,FALSE)=0,"Spatial Data Missing ⚠",VLOOKUP(J140,'G-3 Multipliers'!$L$3:$N$6,2,FALSE)))</f>
        <v/>
      </c>
      <c r="L140" s="524" t="str">
        <f>IF(J140="","",IF(VLOOKUP(J140,'G-3 Multipliers'!$L$3:$N$6,3,FALSE)=0,"Spatial Data Missing ⚠",VLOOKUP(J140,'G-3 Multipliers'!$L$3:$N$6,3,FALSE)))</f>
        <v/>
      </c>
      <c r="M140" s="506" t="str">
        <f>IF(D140="","",VLOOKUP(D140,'G-6 Hedgerow Data'!$B$1:$AH$15,33,FALSE))</f>
        <v/>
      </c>
      <c r="N140" s="513" t="str">
        <f t="shared" si="16"/>
        <v/>
      </c>
      <c r="O140" s="40"/>
      <c r="P140" s="145"/>
      <c r="Q140" s="157"/>
      <c r="R140" s="507" t="str">
        <f t="shared" si="17"/>
        <v/>
      </c>
      <c r="S140" s="507" t="str">
        <f t="shared" si="18"/>
        <v/>
      </c>
      <c r="T140" s="511" t="str">
        <f t="shared" si="19"/>
        <v/>
      </c>
      <c r="U140" s="515" t="str">
        <f t="shared" si="20"/>
        <v/>
      </c>
      <c r="V140" s="151"/>
      <c r="W140" s="152"/>
      <c r="AB140" s="31" t="str">
        <f>IFERROR(INDEX('G-6 Hedgerow Data'!$BJ$3:$BJ$15,MATCH(D140,'G-6 Hedgerow Data'!$B$3:$B$15,0)),"")</f>
        <v/>
      </c>
      <c r="AE140" s="156" t="str">
        <f t="shared" si="14"/>
        <v/>
      </c>
      <c r="AF140" s="156" t="str">
        <f t="shared" si="15"/>
        <v/>
      </c>
      <c r="AH140" s="156">
        <v>131</v>
      </c>
      <c r="AJ140" s="156" t="str">
        <f t="array" ref="AJ140">IFERROR(INDEX($AH$10:$AH$258, MATCH(0, IF(TRUE=$AE$10:$AE$258, COUNTIF($AJ$9:$AJ139, $AH$10:$AH$258), ""), 0)),"")</f>
        <v/>
      </c>
      <c r="AK140" s="156" t="str">
        <f t="array" ref="AK140">IFERROR(INDEX($AH$10:$AH$258, MATCH(0, IF(TRUE=$AF$10:$AF$258, COUNTIF($AK$9:$AK139, $AH$10:$AH$258), ""), 0)),"")</f>
        <v/>
      </c>
    </row>
    <row r="141" spans="2:37" ht="14" x14ac:dyDescent="0.3">
      <c r="B141" s="141">
        <v>132</v>
      </c>
      <c r="C141" s="203"/>
      <c r="D141" s="203"/>
      <c r="E141" s="153"/>
      <c r="F141" s="498" t="str">
        <f>IF(D141="","",VLOOKUP(D141,'G-6 Hedgerow Data'!$B$2:$AG$15,2,FALSE))</f>
        <v/>
      </c>
      <c r="G141" s="499" t="str">
        <f>IF(D141="","",VLOOKUP(D141,'G-6 Hedgerow Data'!$B$2:$AG$15,3,FALSE))</f>
        <v/>
      </c>
      <c r="H141" s="145"/>
      <c r="I141" s="499" t="str">
        <f>IFERROR(IF(AND(F141="V.Low",OR(H141="Good",H141="Moderate")),"Error ▲",VLOOKUP(H141,'G-1 All Habitats'!$Z$2:$AA$9,2,FALSE)),"")</f>
        <v/>
      </c>
      <c r="J141" s="154"/>
      <c r="K141" s="520" t="str">
        <f>IF(J141="","",IF(VLOOKUP(J141,'G-3 Multipliers'!$L$3:$N$6,2,FALSE)=0,"Spatial Data Missing ⚠",VLOOKUP(J141,'G-3 Multipliers'!$L$3:$N$6,2,FALSE)))</f>
        <v/>
      </c>
      <c r="L141" s="524" t="str">
        <f>IF(J141="","",IF(VLOOKUP(J141,'G-3 Multipliers'!$L$3:$N$6,3,FALSE)=0,"Spatial Data Missing ⚠",VLOOKUP(J141,'G-3 Multipliers'!$L$3:$N$6,3,FALSE)))</f>
        <v/>
      </c>
      <c r="M141" s="506" t="str">
        <f>IF(D141="","",VLOOKUP(D141,'G-6 Hedgerow Data'!$B$1:$AH$15,33,FALSE))</f>
        <v/>
      </c>
      <c r="N141" s="513" t="str">
        <f t="shared" si="16"/>
        <v/>
      </c>
      <c r="O141" s="40"/>
      <c r="P141" s="145"/>
      <c r="Q141" s="157"/>
      <c r="R141" s="507" t="str">
        <f t="shared" si="17"/>
        <v/>
      </c>
      <c r="S141" s="507" t="str">
        <f t="shared" si="18"/>
        <v/>
      </c>
      <c r="T141" s="511" t="str">
        <f t="shared" si="19"/>
        <v/>
      </c>
      <c r="U141" s="515" t="str">
        <f t="shared" si="20"/>
        <v/>
      </c>
      <c r="V141" s="151"/>
      <c r="W141" s="152"/>
      <c r="AB141" s="31" t="str">
        <f>IFERROR(INDEX('G-6 Hedgerow Data'!$BJ$3:$BJ$15,MATCH(D141,'G-6 Hedgerow Data'!$B$3:$B$15,0)),"")</f>
        <v/>
      </c>
      <c r="AE141" s="156" t="str">
        <f t="shared" si="14"/>
        <v/>
      </c>
      <c r="AF141" s="156" t="str">
        <f t="shared" si="15"/>
        <v/>
      </c>
      <c r="AH141" s="156">
        <v>132</v>
      </c>
      <c r="AJ141" s="156" t="str">
        <f t="array" ref="AJ141">IFERROR(INDEX($AH$10:$AH$258, MATCH(0, IF(TRUE=$AE$10:$AE$258, COUNTIF($AJ$9:$AJ140, $AH$10:$AH$258), ""), 0)),"")</f>
        <v/>
      </c>
      <c r="AK141" s="156" t="str">
        <f t="array" ref="AK141">IFERROR(INDEX($AH$10:$AH$258, MATCH(0, IF(TRUE=$AF$10:$AF$258, COUNTIF($AK$9:$AK140, $AH$10:$AH$258), ""), 0)),"")</f>
        <v/>
      </c>
    </row>
    <row r="142" spans="2:37" ht="14" x14ac:dyDescent="0.3">
      <c r="B142" s="141">
        <v>133</v>
      </c>
      <c r="C142" s="203"/>
      <c r="D142" s="203"/>
      <c r="E142" s="153"/>
      <c r="F142" s="498" t="str">
        <f>IF(D142="","",VLOOKUP(D142,'G-6 Hedgerow Data'!$B$2:$AG$15,2,FALSE))</f>
        <v/>
      </c>
      <c r="G142" s="499" t="str">
        <f>IF(D142="","",VLOOKUP(D142,'G-6 Hedgerow Data'!$B$2:$AG$15,3,FALSE))</f>
        <v/>
      </c>
      <c r="H142" s="145"/>
      <c r="I142" s="499" t="str">
        <f>IFERROR(IF(AND(F142="V.Low",OR(H142="Good",H142="Moderate")),"Error ▲",VLOOKUP(H142,'G-1 All Habitats'!$Z$2:$AA$9,2,FALSE)),"")</f>
        <v/>
      </c>
      <c r="J142" s="154"/>
      <c r="K142" s="520" t="str">
        <f>IF(J142="","",IF(VLOOKUP(J142,'G-3 Multipliers'!$L$3:$N$6,2,FALSE)=0,"Spatial Data Missing ⚠",VLOOKUP(J142,'G-3 Multipliers'!$L$3:$N$6,2,FALSE)))</f>
        <v/>
      </c>
      <c r="L142" s="524" t="str">
        <f>IF(J142="","",IF(VLOOKUP(J142,'G-3 Multipliers'!$L$3:$N$6,3,FALSE)=0,"Spatial Data Missing ⚠",VLOOKUP(J142,'G-3 Multipliers'!$L$3:$N$6,3,FALSE)))</f>
        <v/>
      </c>
      <c r="M142" s="506" t="str">
        <f>IF(D142="","",VLOOKUP(D142,'G-6 Hedgerow Data'!$B$1:$AH$15,33,FALSE))</f>
        <v/>
      </c>
      <c r="N142" s="513" t="str">
        <f t="shared" si="16"/>
        <v/>
      </c>
      <c r="O142" s="40"/>
      <c r="P142" s="145"/>
      <c r="Q142" s="157"/>
      <c r="R142" s="507" t="str">
        <f t="shared" si="17"/>
        <v/>
      </c>
      <c r="S142" s="507" t="str">
        <f t="shared" si="18"/>
        <v/>
      </c>
      <c r="T142" s="511" t="str">
        <f t="shared" si="19"/>
        <v/>
      </c>
      <c r="U142" s="515" t="str">
        <f t="shared" si="20"/>
        <v/>
      </c>
      <c r="V142" s="151"/>
      <c r="W142" s="152"/>
      <c r="AB142" s="31" t="str">
        <f>IFERROR(INDEX('G-6 Hedgerow Data'!$BJ$3:$BJ$15,MATCH(D142,'G-6 Hedgerow Data'!$B$3:$B$15,0)),"")</f>
        <v/>
      </c>
      <c r="AE142" s="156" t="str">
        <f t="shared" si="14"/>
        <v/>
      </c>
      <c r="AF142" s="156" t="str">
        <f t="shared" si="15"/>
        <v/>
      </c>
      <c r="AH142" s="156">
        <v>133</v>
      </c>
      <c r="AJ142" s="156" t="str">
        <f t="array" ref="AJ142">IFERROR(INDEX($AH$10:$AH$258, MATCH(0, IF(TRUE=$AE$10:$AE$258, COUNTIF($AJ$9:$AJ141, $AH$10:$AH$258), ""), 0)),"")</f>
        <v/>
      </c>
      <c r="AK142" s="156" t="str">
        <f t="array" ref="AK142">IFERROR(INDEX($AH$10:$AH$258, MATCH(0, IF(TRUE=$AF$10:$AF$258, COUNTIF($AK$9:$AK141, $AH$10:$AH$258), ""), 0)),"")</f>
        <v/>
      </c>
    </row>
    <row r="143" spans="2:37" ht="14" x14ac:dyDescent="0.3">
      <c r="B143" s="141">
        <v>134</v>
      </c>
      <c r="C143" s="203"/>
      <c r="D143" s="203"/>
      <c r="E143" s="153"/>
      <c r="F143" s="498" t="str">
        <f>IF(D143="","",VLOOKUP(D143,'G-6 Hedgerow Data'!$B$2:$AG$15,2,FALSE))</f>
        <v/>
      </c>
      <c r="G143" s="499" t="str">
        <f>IF(D143="","",VLOOKUP(D143,'G-6 Hedgerow Data'!$B$2:$AG$15,3,FALSE))</f>
        <v/>
      </c>
      <c r="H143" s="145"/>
      <c r="I143" s="499" t="str">
        <f>IFERROR(IF(AND(F143="V.Low",OR(H143="Good",H143="Moderate")),"Error ▲",VLOOKUP(H143,'G-1 All Habitats'!$Z$2:$AA$9,2,FALSE)),"")</f>
        <v/>
      </c>
      <c r="J143" s="154"/>
      <c r="K143" s="520" t="str">
        <f>IF(J143="","",IF(VLOOKUP(J143,'G-3 Multipliers'!$L$3:$N$6,2,FALSE)=0,"Spatial Data Missing ⚠",VLOOKUP(J143,'G-3 Multipliers'!$L$3:$N$6,2,FALSE)))</f>
        <v/>
      </c>
      <c r="L143" s="524" t="str">
        <f>IF(J143="","",IF(VLOOKUP(J143,'G-3 Multipliers'!$L$3:$N$6,3,FALSE)=0,"Spatial Data Missing ⚠",VLOOKUP(J143,'G-3 Multipliers'!$L$3:$N$6,3,FALSE)))</f>
        <v/>
      </c>
      <c r="M143" s="506" t="str">
        <f>IF(D143="","",VLOOKUP(D143,'G-6 Hedgerow Data'!$B$1:$AH$15,33,FALSE))</f>
        <v/>
      </c>
      <c r="N143" s="513" t="str">
        <f t="shared" si="16"/>
        <v/>
      </c>
      <c r="O143" s="40"/>
      <c r="P143" s="145"/>
      <c r="Q143" s="157"/>
      <c r="R143" s="507" t="str">
        <f t="shared" si="17"/>
        <v/>
      </c>
      <c r="S143" s="507" t="str">
        <f t="shared" si="18"/>
        <v/>
      </c>
      <c r="T143" s="511" t="str">
        <f t="shared" si="19"/>
        <v/>
      </c>
      <c r="U143" s="515" t="str">
        <f t="shared" si="20"/>
        <v/>
      </c>
      <c r="V143" s="151"/>
      <c r="W143" s="152"/>
      <c r="AB143" s="31" t="str">
        <f>IFERROR(INDEX('G-6 Hedgerow Data'!$BJ$3:$BJ$15,MATCH(D143,'G-6 Hedgerow Data'!$B$3:$B$15,0)),"")</f>
        <v/>
      </c>
      <c r="AE143" s="156" t="str">
        <f t="shared" si="14"/>
        <v/>
      </c>
      <c r="AF143" s="156" t="str">
        <f t="shared" si="15"/>
        <v/>
      </c>
      <c r="AH143" s="156">
        <v>134</v>
      </c>
      <c r="AJ143" s="156" t="str">
        <f t="array" ref="AJ143">IFERROR(INDEX($AH$10:$AH$258, MATCH(0, IF(TRUE=$AE$10:$AE$258, COUNTIF($AJ$9:$AJ142, $AH$10:$AH$258), ""), 0)),"")</f>
        <v/>
      </c>
      <c r="AK143" s="156" t="str">
        <f t="array" ref="AK143">IFERROR(INDEX($AH$10:$AH$258, MATCH(0, IF(TRUE=$AF$10:$AF$258, COUNTIF($AK$9:$AK142, $AH$10:$AH$258), ""), 0)),"")</f>
        <v/>
      </c>
    </row>
    <row r="144" spans="2:37" ht="14" x14ac:dyDescent="0.3">
      <c r="B144" s="141">
        <v>135</v>
      </c>
      <c r="C144" s="203"/>
      <c r="D144" s="203"/>
      <c r="E144" s="153"/>
      <c r="F144" s="498" t="str">
        <f>IF(D144="","",VLOOKUP(D144,'G-6 Hedgerow Data'!$B$2:$AG$15,2,FALSE))</f>
        <v/>
      </c>
      <c r="G144" s="499" t="str">
        <f>IF(D144="","",VLOOKUP(D144,'G-6 Hedgerow Data'!$B$2:$AG$15,3,FALSE))</f>
        <v/>
      </c>
      <c r="H144" s="145"/>
      <c r="I144" s="499" t="str">
        <f>IFERROR(IF(AND(F144="V.Low",OR(H144="Good",H144="Moderate")),"Error ▲",VLOOKUP(H144,'G-1 All Habitats'!$Z$2:$AA$9,2,FALSE)),"")</f>
        <v/>
      </c>
      <c r="J144" s="154"/>
      <c r="K144" s="520" t="str">
        <f>IF(J144="","",IF(VLOOKUP(J144,'G-3 Multipliers'!$L$3:$N$6,2,FALSE)=0,"Spatial Data Missing ⚠",VLOOKUP(J144,'G-3 Multipliers'!$L$3:$N$6,2,FALSE)))</f>
        <v/>
      </c>
      <c r="L144" s="524" t="str">
        <f>IF(J144="","",IF(VLOOKUP(J144,'G-3 Multipliers'!$L$3:$N$6,3,FALSE)=0,"Spatial Data Missing ⚠",VLOOKUP(J144,'G-3 Multipliers'!$L$3:$N$6,3,FALSE)))</f>
        <v/>
      </c>
      <c r="M144" s="506" t="str">
        <f>IF(D144="","",VLOOKUP(D144,'G-6 Hedgerow Data'!$B$1:$AH$15,33,FALSE))</f>
        <v/>
      </c>
      <c r="N144" s="513" t="str">
        <f t="shared" si="16"/>
        <v/>
      </c>
      <c r="O144" s="40"/>
      <c r="P144" s="145"/>
      <c r="Q144" s="157"/>
      <c r="R144" s="507" t="str">
        <f t="shared" si="17"/>
        <v/>
      </c>
      <c r="S144" s="507" t="str">
        <f t="shared" si="18"/>
        <v/>
      </c>
      <c r="T144" s="511" t="str">
        <f t="shared" si="19"/>
        <v/>
      </c>
      <c r="U144" s="515" t="str">
        <f t="shared" si="20"/>
        <v/>
      </c>
      <c r="V144" s="151"/>
      <c r="W144" s="152"/>
      <c r="AB144" s="31" t="str">
        <f>IFERROR(INDEX('G-6 Hedgerow Data'!$BJ$3:$BJ$15,MATCH(D144,'G-6 Hedgerow Data'!$B$3:$B$15,0)),"")</f>
        <v/>
      </c>
      <c r="AE144" s="156" t="str">
        <f t="shared" si="14"/>
        <v/>
      </c>
      <c r="AF144" s="156" t="str">
        <f t="shared" si="15"/>
        <v/>
      </c>
      <c r="AH144" s="156">
        <v>135</v>
      </c>
      <c r="AJ144" s="156" t="str">
        <f t="array" ref="AJ144">IFERROR(INDEX($AH$10:$AH$258, MATCH(0, IF(TRUE=$AE$10:$AE$258, COUNTIF($AJ$9:$AJ143, $AH$10:$AH$258), ""), 0)),"")</f>
        <v/>
      </c>
      <c r="AK144" s="156" t="str">
        <f t="array" ref="AK144">IFERROR(INDEX($AH$10:$AH$258, MATCH(0, IF(TRUE=$AF$10:$AF$258, COUNTIF($AK$9:$AK143, $AH$10:$AH$258), ""), 0)),"")</f>
        <v/>
      </c>
    </row>
    <row r="145" spans="2:37" ht="14" x14ac:dyDescent="0.3">
      <c r="B145" s="141">
        <v>136</v>
      </c>
      <c r="C145" s="203"/>
      <c r="D145" s="203"/>
      <c r="E145" s="153"/>
      <c r="F145" s="498" t="str">
        <f>IF(D145="","",VLOOKUP(D145,'G-6 Hedgerow Data'!$B$2:$AG$15,2,FALSE))</f>
        <v/>
      </c>
      <c r="G145" s="499" t="str">
        <f>IF(D145="","",VLOOKUP(D145,'G-6 Hedgerow Data'!$B$2:$AG$15,3,FALSE))</f>
        <v/>
      </c>
      <c r="H145" s="145"/>
      <c r="I145" s="499" t="str">
        <f>IFERROR(IF(AND(F145="V.Low",OR(H145="Good",H145="Moderate")),"Error ▲",VLOOKUP(H145,'G-1 All Habitats'!$Z$2:$AA$9,2,FALSE)),"")</f>
        <v/>
      </c>
      <c r="J145" s="154"/>
      <c r="K145" s="520" t="str">
        <f>IF(J145="","",IF(VLOOKUP(J145,'G-3 Multipliers'!$L$3:$N$6,2,FALSE)=0,"Spatial Data Missing ⚠",VLOOKUP(J145,'G-3 Multipliers'!$L$3:$N$6,2,FALSE)))</f>
        <v/>
      </c>
      <c r="L145" s="524" t="str">
        <f>IF(J145="","",IF(VLOOKUP(J145,'G-3 Multipliers'!$L$3:$N$6,3,FALSE)=0,"Spatial Data Missing ⚠",VLOOKUP(J145,'G-3 Multipliers'!$L$3:$N$6,3,FALSE)))</f>
        <v/>
      </c>
      <c r="M145" s="506" t="str">
        <f>IF(D145="","",VLOOKUP(D145,'G-6 Hedgerow Data'!$B$1:$AH$15,33,FALSE))</f>
        <v/>
      </c>
      <c r="N145" s="513" t="str">
        <f t="shared" si="16"/>
        <v/>
      </c>
      <c r="O145" s="40"/>
      <c r="P145" s="145"/>
      <c r="Q145" s="157"/>
      <c r="R145" s="507" t="str">
        <f t="shared" si="17"/>
        <v/>
      </c>
      <c r="S145" s="507" t="str">
        <f t="shared" si="18"/>
        <v/>
      </c>
      <c r="T145" s="511" t="str">
        <f t="shared" si="19"/>
        <v/>
      </c>
      <c r="U145" s="515" t="str">
        <f t="shared" si="20"/>
        <v/>
      </c>
      <c r="V145" s="151"/>
      <c r="W145" s="152"/>
      <c r="AB145" s="31" t="str">
        <f>IFERROR(INDEX('G-6 Hedgerow Data'!$BJ$3:$BJ$15,MATCH(D145,'G-6 Hedgerow Data'!$B$3:$B$15,0)),"")</f>
        <v/>
      </c>
      <c r="AE145" s="156" t="str">
        <f t="shared" si="14"/>
        <v/>
      </c>
      <c r="AF145" s="156" t="str">
        <f t="shared" si="15"/>
        <v/>
      </c>
      <c r="AH145" s="156">
        <v>136</v>
      </c>
      <c r="AJ145" s="156" t="str">
        <f t="array" ref="AJ145">IFERROR(INDEX($AH$10:$AH$258, MATCH(0, IF(TRUE=$AE$10:$AE$258, COUNTIF($AJ$9:$AJ144, $AH$10:$AH$258), ""), 0)),"")</f>
        <v/>
      </c>
      <c r="AK145" s="156" t="str">
        <f t="array" ref="AK145">IFERROR(INDEX($AH$10:$AH$258, MATCH(0, IF(TRUE=$AF$10:$AF$258, COUNTIF($AK$9:$AK144, $AH$10:$AH$258), ""), 0)),"")</f>
        <v/>
      </c>
    </row>
    <row r="146" spans="2:37" ht="14" x14ac:dyDescent="0.3">
      <c r="B146" s="141">
        <v>137</v>
      </c>
      <c r="C146" s="203"/>
      <c r="D146" s="203"/>
      <c r="E146" s="153"/>
      <c r="F146" s="498" t="str">
        <f>IF(D146="","",VLOOKUP(D146,'G-6 Hedgerow Data'!$B$2:$AG$15,2,FALSE))</f>
        <v/>
      </c>
      <c r="G146" s="499" t="str">
        <f>IF(D146="","",VLOOKUP(D146,'G-6 Hedgerow Data'!$B$2:$AG$15,3,FALSE))</f>
        <v/>
      </c>
      <c r="H146" s="145"/>
      <c r="I146" s="499" t="str">
        <f>IFERROR(IF(AND(F146="V.Low",OR(H146="Good",H146="Moderate")),"Error ▲",VLOOKUP(H146,'G-1 All Habitats'!$Z$2:$AA$9,2,FALSE)),"")</f>
        <v/>
      </c>
      <c r="J146" s="154"/>
      <c r="K146" s="520" t="str">
        <f>IF(J146="","",IF(VLOOKUP(J146,'G-3 Multipliers'!$L$3:$N$6,2,FALSE)=0,"Spatial Data Missing ⚠",VLOOKUP(J146,'G-3 Multipliers'!$L$3:$N$6,2,FALSE)))</f>
        <v/>
      </c>
      <c r="L146" s="524" t="str">
        <f>IF(J146="","",IF(VLOOKUP(J146,'G-3 Multipliers'!$L$3:$N$6,3,FALSE)=0,"Spatial Data Missing ⚠",VLOOKUP(J146,'G-3 Multipliers'!$L$3:$N$6,3,FALSE)))</f>
        <v/>
      </c>
      <c r="M146" s="506" t="str">
        <f>IF(D146="","",VLOOKUP(D146,'G-6 Hedgerow Data'!$B$1:$AH$15,33,FALSE))</f>
        <v/>
      </c>
      <c r="N146" s="513" t="str">
        <f t="shared" si="16"/>
        <v/>
      </c>
      <c r="O146" s="40"/>
      <c r="P146" s="145"/>
      <c r="Q146" s="157"/>
      <c r="R146" s="507" t="str">
        <f t="shared" si="17"/>
        <v/>
      </c>
      <c r="S146" s="507" t="str">
        <f t="shared" si="18"/>
        <v/>
      </c>
      <c r="T146" s="511" t="str">
        <f t="shared" si="19"/>
        <v/>
      </c>
      <c r="U146" s="515" t="str">
        <f t="shared" si="20"/>
        <v/>
      </c>
      <c r="V146" s="151"/>
      <c r="W146" s="152"/>
      <c r="AB146" s="31" t="str">
        <f>IFERROR(INDEX('G-6 Hedgerow Data'!$BJ$3:$BJ$15,MATCH(D146,'G-6 Hedgerow Data'!$B$3:$B$15,0)),"")</f>
        <v/>
      </c>
      <c r="AE146" s="156" t="str">
        <f t="shared" si="14"/>
        <v/>
      </c>
      <c r="AF146" s="156" t="str">
        <f t="shared" si="15"/>
        <v/>
      </c>
      <c r="AH146" s="156">
        <v>137</v>
      </c>
      <c r="AJ146" s="156" t="str">
        <f t="array" ref="AJ146">IFERROR(INDEX($AH$10:$AH$258, MATCH(0, IF(TRUE=$AE$10:$AE$258, COUNTIF($AJ$9:$AJ145, $AH$10:$AH$258), ""), 0)),"")</f>
        <v/>
      </c>
      <c r="AK146" s="156" t="str">
        <f t="array" ref="AK146">IFERROR(INDEX($AH$10:$AH$258, MATCH(0, IF(TRUE=$AF$10:$AF$258, COUNTIF($AK$9:$AK145, $AH$10:$AH$258), ""), 0)),"")</f>
        <v/>
      </c>
    </row>
    <row r="147" spans="2:37" ht="14" x14ac:dyDescent="0.3">
      <c r="B147" s="141">
        <v>138</v>
      </c>
      <c r="C147" s="203"/>
      <c r="D147" s="203"/>
      <c r="E147" s="153"/>
      <c r="F147" s="498" t="str">
        <f>IF(D147="","",VLOOKUP(D147,'G-6 Hedgerow Data'!$B$2:$AG$15,2,FALSE))</f>
        <v/>
      </c>
      <c r="G147" s="499" t="str">
        <f>IF(D147="","",VLOOKUP(D147,'G-6 Hedgerow Data'!$B$2:$AG$15,3,FALSE))</f>
        <v/>
      </c>
      <c r="H147" s="145"/>
      <c r="I147" s="499" t="str">
        <f>IFERROR(IF(AND(F147="V.Low",OR(H147="Good",H147="Moderate")),"Error ▲",VLOOKUP(H147,'G-1 All Habitats'!$Z$2:$AA$9,2,FALSE)),"")</f>
        <v/>
      </c>
      <c r="J147" s="154"/>
      <c r="K147" s="520" t="str">
        <f>IF(J147="","",IF(VLOOKUP(J147,'G-3 Multipliers'!$L$3:$N$6,2,FALSE)=0,"Spatial Data Missing ⚠",VLOOKUP(J147,'G-3 Multipliers'!$L$3:$N$6,2,FALSE)))</f>
        <v/>
      </c>
      <c r="L147" s="524" t="str">
        <f>IF(J147="","",IF(VLOOKUP(J147,'G-3 Multipliers'!$L$3:$N$6,3,FALSE)=0,"Spatial Data Missing ⚠",VLOOKUP(J147,'G-3 Multipliers'!$L$3:$N$6,3,FALSE)))</f>
        <v/>
      </c>
      <c r="M147" s="506" t="str">
        <f>IF(D147="","",VLOOKUP(D147,'G-6 Hedgerow Data'!$B$1:$AH$15,33,FALSE))</f>
        <v/>
      </c>
      <c r="N147" s="513" t="str">
        <f t="shared" si="16"/>
        <v/>
      </c>
      <c r="O147" s="40"/>
      <c r="P147" s="145"/>
      <c r="Q147" s="157"/>
      <c r="R147" s="507" t="str">
        <f t="shared" si="17"/>
        <v/>
      </c>
      <c r="S147" s="507" t="str">
        <f t="shared" si="18"/>
        <v/>
      </c>
      <c r="T147" s="511" t="str">
        <f t="shared" si="19"/>
        <v/>
      </c>
      <c r="U147" s="515" t="str">
        <f t="shared" si="20"/>
        <v/>
      </c>
      <c r="V147" s="151"/>
      <c r="W147" s="152"/>
      <c r="AB147" s="31" t="str">
        <f>IFERROR(INDEX('G-6 Hedgerow Data'!$BJ$3:$BJ$15,MATCH(D147,'G-6 Hedgerow Data'!$B$3:$B$15,0)),"")</f>
        <v/>
      </c>
      <c r="AE147" s="156" t="str">
        <f t="shared" si="14"/>
        <v/>
      </c>
      <c r="AF147" s="156" t="str">
        <f t="shared" si="15"/>
        <v/>
      </c>
      <c r="AH147" s="156">
        <v>138</v>
      </c>
      <c r="AJ147" s="156" t="str">
        <f t="array" ref="AJ147">IFERROR(INDEX($AH$10:$AH$258, MATCH(0, IF(TRUE=$AE$10:$AE$258, COUNTIF($AJ$9:$AJ146, $AH$10:$AH$258), ""), 0)),"")</f>
        <v/>
      </c>
      <c r="AK147" s="156" t="str">
        <f t="array" ref="AK147">IFERROR(INDEX($AH$10:$AH$258, MATCH(0, IF(TRUE=$AF$10:$AF$258, COUNTIF($AK$9:$AK146, $AH$10:$AH$258), ""), 0)),"")</f>
        <v/>
      </c>
    </row>
    <row r="148" spans="2:37" ht="14" x14ac:dyDescent="0.3">
      <c r="B148" s="141">
        <v>139</v>
      </c>
      <c r="C148" s="203"/>
      <c r="D148" s="203"/>
      <c r="E148" s="153"/>
      <c r="F148" s="498" t="str">
        <f>IF(D148="","",VLOOKUP(D148,'G-6 Hedgerow Data'!$B$2:$AG$15,2,FALSE))</f>
        <v/>
      </c>
      <c r="G148" s="499" t="str">
        <f>IF(D148="","",VLOOKUP(D148,'G-6 Hedgerow Data'!$B$2:$AG$15,3,FALSE))</f>
        <v/>
      </c>
      <c r="H148" s="145"/>
      <c r="I148" s="499" t="str">
        <f>IFERROR(IF(AND(F148="V.Low",OR(H148="Good",H148="Moderate")),"Error ▲",VLOOKUP(H148,'G-1 All Habitats'!$Z$2:$AA$9,2,FALSE)),"")</f>
        <v/>
      </c>
      <c r="J148" s="154"/>
      <c r="K148" s="520" t="str">
        <f>IF(J148="","",IF(VLOOKUP(J148,'G-3 Multipliers'!$L$3:$N$6,2,FALSE)=0,"Spatial Data Missing ⚠",VLOOKUP(J148,'G-3 Multipliers'!$L$3:$N$6,2,FALSE)))</f>
        <v/>
      </c>
      <c r="L148" s="524" t="str">
        <f>IF(J148="","",IF(VLOOKUP(J148,'G-3 Multipliers'!$L$3:$N$6,3,FALSE)=0,"Spatial Data Missing ⚠",VLOOKUP(J148,'G-3 Multipliers'!$L$3:$N$6,3,FALSE)))</f>
        <v/>
      </c>
      <c r="M148" s="506" t="str">
        <f>IF(D148="","",VLOOKUP(D148,'G-6 Hedgerow Data'!$B$1:$AH$15,33,FALSE))</f>
        <v/>
      </c>
      <c r="N148" s="513" t="str">
        <f t="shared" si="16"/>
        <v/>
      </c>
      <c r="O148" s="40"/>
      <c r="P148" s="145"/>
      <c r="Q148" s="157"/>
      <c r="R148" s="507" t="str">
        <f t="shared" si="17"/>
        <v/>
      </c>
      <c r="S148" s="507" t="str">
        <f t="shared" si="18"/>
        <v/>
      </c>
      <c r="T148" s="511" t="str">
        <f t="shared" si="19"/>
        <v/>
      </c>
      <c r="U148" s="515" t="str">
        <f t="shared" si="20"/>
        <v/>
      </c>
      <c r="V148" s="151"/>
      <c r="W148" s="152"/>
      <c r="AB148" s="31" t="str">
        <f>IFERROR(INDEX('G-6 Hedgerow Data'!$BJ$3:$BJ$15,MATCH(D148,'G-6 Hedgerow Data'!$B$3:$B$15,0)),"")</f>
        <v/>
      </c>
      <c r="AE148" s="156" t="str">
        <f t="shared" si="14"/>
        <v/>
      </c>
      <c r="AF148" s="156" t="str">
        <f t="shared" si="15"/>
        <v/>
      </c>
      <c r="AH148" s="156">
        <v>139</v>
      </c>
      <c r="AJ148" s="156" t="str">
        <f t="array" ref="AJ148">IFERROR(INDEX($AH$10:$AH$258, MATCH(0, IF(TRUE=$AE$10:$AE$258, COUNTIF($AJ$9:$AJ147, $AH$10:$AH$258), ""), 0)),"")</f>
        <v/>
      </c>
      <c r="AK148" s="156" t="str">
        <f t="array" ref="AK148">IFERROR(INDEX($AH$10:$AH$258, MATCH(0, IF(TRUE=$AF$10:$AF$258, COUNTIF($AK$9:$AK147, $AH$10:$AH$258), ""), 0)),"")</f>
        <v/>
      </c>
    </row>
    <row r="149" spans="2:37" ht="14" x14ac:dyDescent="0.3">
      <c r="B149" s="141">
        <v>140</v>
      </c>
      <c r="C149" s="203"/>
      <c r="D149" s="203"/>
      <c r="E149" s="153"/>
      <c r="F149" s="498" t="str">
        <f>IF(D149="","",VLOOKUP(D149,'G-6 Hedgerow Data'!$B$2:$AG$15,2,FALSE))</f>
        <v/>
      </c>
      <c r="G149" s="499" t="str">
        <f>IF(D149="","",VLOOKUP(D149,'G-6 Hedgerow Data'!$B$2:$AG$15,3,FALSE))</f>
        <v/>
      </c>
      <c r="H149" s="145"/>
      <c r="I149" s="499" t="str">
        <f>IFERROR(IF(AND(F149="V.Low",OR(H149="Good",H149="Moderate")),"Error ▲",VLOOKUP(H149,'G-1 All Habitats'!$Z$2:$AA$9,2,FALSE)),"")</f>
        <v/>
      </c>
      <c r="J149" s="154"/>
      <c r="K149" s="520" t="str">
        <f>IF(J149="","",IF(VLOOKUP(J149,'G-3 Multipliers'!$L$3:$N$6,2,FALSE)=0,"Spatial Data Missing ⚠",VLOOKUP(J149,'G-3 Multipliers'!$L$3:$N$6,2,FALSE)))</f>
        <v/>
      </c>
      <c r="L149" s="524" t="str">
        <f>IF(J149="","",IF(VLOOKUP(J149,'G-3 Multipliers'!$L$3:$N$6,3,FALSE)=0,"Spatial Data Missing ⚠",VLOOKUP(J149,'G-3 Multipliers'!$L$3:$N$6,3,FALSE)))</f>
        <v/>
      </c>
      <c r="M149" s="506" t="str">
        <f>IF(D149="","",VLOOKUP(D149,'G-6 Hedgerow Data'!$B$1:$AH$15,33,FALSE))</f>
        <v/>
      </c>
      <c r="N149" s="513" t="str">
        <f t="shared" si="16"/>
        <v/>
      </c>
      <c r="O149" s="40"/>
      <c r="P149" s="145"/>
      <c r="Q149" s="157"/>
      <c r="R149" s="507" t="str">
        <f t="shared" si="17"/>
        <v/>
      </c>
      <c r="S149" s="507" t="str">
        <f t="shared" si="18"/>
        <v/>
      </c>
      <c r="T149" s="511" t="str">
        <f t="shared" si="19"/>
        <v/>
      </c>
      <c r="U149" s="515" t="str">
        <f t="shared" si="20"/>
        <v/>
      </c>
      <c r="V149" s="151"/>
      <c r="W149" s="152"/>
      <c r="AB149" s="31" t="str">
        <f>IFERROR(INDEX('G-6 Hedgerow Data'!$BJ$3:$BJ$15,MATCH(D149,'G-6 Hedgerow Data'!$B$3:$B$15,0)),"")</f>
        <v/>
      </c>
      <c r="AE149" s="156" t="str">
        <f t="shared" si="14"/>
        <v/>
      </c>
      <c r="AF149" s="156" t="str">
        <f t="shared" si="15"/>
        <v/>
      </c>
      <c r="AH149" s="156">
        <v>140</v>
      </c>
      <c r="AJ149" s="156" t="str">
        <f t="array" ref="AJ149">IFERROR(INDEX($AH$10:$AH$258, MATCH(0, IF(TRUE=$AE$10:$AE$258, COUNTIF($AJ$9:$AJ148, $AH$10:$AH$258), ""), 0)),"")</f>
        <v/>
      </c>
      <c r="AK149" s="156" t="str">
        <f t="array" ref="AK149">IFERROR(INDEX($AH$10:$AH$258, MATCH(0, IF(TRUE=$AF$10:$AF$258, COUNTIF($AK$9:$AK148, $AH$10:$AH$258), ""), 0)),"")</f>
        <v/>
      </c>
    </row>
    <row r="150" spans="2:37" ht="14" x14ac:dyDescent="0.3">
      <c r="B150" s="141">
        <v>141</v>
      </c>
      <c r="C150" s="203"/>
      <c r="D150" s="203"/>
      <c r="E150" s="153"/>
      <c r="F150" s="498" t="str">
        <f>IF(D150="","",VLOOKUP(D150,'G-6 Hedgerow Data'!$B$2:$AG$15,2,FALSE))</f>
        <v/>
      </c>
      <c r="G150" s="499" t="str">
        <f>IF(D150="","",VLOOKUP(D150,'G-6 Hedgerow Data'!$B$2:$AG$15,3,FALSE))</f>
        <v/>
      </c>
      <c r="H150" s="145"/>
      <c r="I150" s="499" t="str">
        <f>IFERROR(IF(AND(F150="V.Low",OR(H150="Good",H150="Moderate")),"Error ▲",VLOOKUP(H150,'G-1 All Habitats'!$Z$2:$AA$9,2,FALSE)),"")</f>
        <v/>
      </c>
      <c r="J150" s="154"/>
      <c r="K150" s="520" t="str">
        <f>IF(J150="","",IF(VLOOKUP(J150,'G-3 Multipliers'!$L$3:$N$6,2,FALSE)=0,"Spatial Data Missing ⚠",VLOOKUP(J150,'G-3 Multipliers'!$L$3:$N$6,2,FALSE)))</f>
        <v/>
      </c>
      <c r="L150" s="524" t="str">
        <f>IF(J150="","",IF(VLOOKUP(J150,'G-3 Multipliers'!$L$3:$N$6,3,FALSE)=0,"Spatial Data Missing ⚠",VLOOKUP(J150,'G-3 Multipliers'!$L$3:$N$6,3,FALSE)))</f>
        <v/>
      </c>
      <c r="M150" s="506" t="str">
        <f>IF(D150="","",VLOOKUP(D150,'G-6 Hedgerow Data'!$B$1:$AH$15,33,FALSE))</f>
        <v/>
      </c>
      <c r="N150" s="513" t="str">
        <f t="shared" si="16"/>
        <v/>
      </c>
      <c r="O150" s="40"/>
      <c r="P150" s="145"/>
      <c r="Q150" s="157"/>
      <c r="R150" s="507" t="str">
        <f t="shared" si="17"/>
        <v/>
      </c>
      <c r="S150" s="507" t="str">
        <f t="shared" si="18"/>
        <v/>
      </c>
      <c r="T150" s="511" t="str">
        <f t="shared" si="19"/>
        <v/>
      </c>
      <c r="U150" s="515" t="str">
        <f t="shared" si="20"/>
        <v/>
      </c>
      <c r="V150" s="151"/>
      <c r="W150" s="152"/>
      <c r="AB150" s="31" t="str">
        <f>IFERROR(INDEX('G-6 Hedgerow Data'!$BJ$3:$BJ$15,MATCH(D150,'G-6 Hedgerow Data'!$B$3:$B$15,0)),"")</f>
        <v/>
      </c>
      <c r="AE150" s="156" t="str">
        <f t="shared" si="14"/>
        <v/>
      </c>
      <c r="AF150" s="156" t="str">
        <f t="shared" si="15"/>
        <v/>
      </c>
      <c r="AH150" s="156">
        <v>141</v>
      </c>
      <c r="AJ150" s="156" t="str">
        <f t="array" ref="AJ150">IFERROR(INDEX($AH$10:$AH$258, MATCH(0, IF(TRUE=$AE$10:$AE$258, COUNTIF($AJ$9:$AJ149, $AH$10:$AH$258), ""), 0)),"")</f>
        <v/>
      </c>
      <c r="AK150" s="156" t="str">
        <f t="array" ref="AK150">IFERROR(INDEX($AH$10:$AH$258, MATCH(0, IF(TRUE=$AF$10:$AF$258, COUNTIF($AK$9:$AK149, $AH$10:$AH$258), ""), 0)),"")</f>
        <v/>
      </c>
    </row>
    <row r="151" spans="2:37" ht="14" x14ac:dyDescent="0.3">
      <c r="B151" s="141">
        <v>142</v>
      </c>
      <c r="C151" s="203"/>
      <c r="D151" s="203"/>
      <c r="E151" s="153"/>
      <c r="F151" s="498" t="str">
        <f>IF(D151="","",VLOOKUP(D151,'G-6 Hedgerow Data'!$B$2:$AG$15,2,FALSE))</f>
        <v/>
      </c>
      <c r="G151" s="499" t="str">
        <f>IF(D151="","",VLOOKUP(D151,'G-6 Hedgerow Data'!$B$2:$AG$15,3,FALSE))</f>
        <v/>
      </c>
      <c r="H151" s="145"/>
      <c r="I151" s="499" t="str">
        <f>IFERROR(IF(AND(F151="V.Low",OR(H151="Good",H151="Moderate")),"Error ▲",VLOOKUP(H151,'G-1 All Habitats'!$Z$2:$AA$9,2,FALSE)),"")</f>
        <v/>
      </c>
      <c r="J151" s="154"/>
      <c r="K151" s="520" t="str">
        <f>IF(J151="","",IF(VLOOKUP(J151,'G-3 Multipliers'!$L$3:$N$6,2,FALSE)=0,"Spatial Data Missing ⚠",VLOOKUP(J151,'G-3 Multipliers'!$L$3:$N$6,2,FALSE)))</f>
        <v/>
      </c>
      <c r="L151" s="524" t="str">
        <f>IF(J151="","",IF(VLOOKUP(J151,'G-3 Multipliers'!$L$3:$N$6,3,FALSE)=0,"Spatial Data Missing ⚠",VLOOKUP(J151,'G-3 Multipliers'!$L$3:$N$6,3,FALSE)))</f>
        <v/>
      </c>
      <c r="M151" s="506" t="str">
        <f>IF(D151="","",VLOOKUP(D151,'G-6 Hedgerow Data'!$B$1:$AH$15,33,FALSE))</f>
        <v/>
      </c>
      <c r="N151" s="513" t="str">
        <f t="shared" si="16"/>
        <v/>
      </c>
      <c r="O151" s="40"/>
      <c r="P151" s="145"/>
      <c r="Q151" s="157"/>
      <c r="R151" s="507" t="str">
        <f t="shared" si="17"/>
        <v/>
      </c>
      <c r="S151" s="507" t="str">
        <f t="shared" si="18"/>
        <v/>
      </c>
      <c r="T151" s="511" t="str">
        <f t="shared" si="19"/>
        <v/>
      </c>
      <c r="U151" s="515" t="str">
        <f t="shared" si="20"/>
        <v/>
      </c>
      <c r="V151" s="151"/>
      <c r="W151" s="152"/>
      <c r="AB151" s="31" t="str">
        <f>IFERROR(INDEX('G-6 Hedgerow Data'!$BJ$3:$BJ$15,MATCH(D151,'G-6 Hedgerow Data'!$B$3:$B$15,0)),"")</f>
        <v/>
      </c>
      <c r="AE151" s="156" t="str">
        <f t="shared" si="14"/>
        <v/>
      </c>
      <c r="AF151" s="156" t="str">
        <f t="shared" si="15"/>
        <v/>
      </c>
      <c r="AH151" s="156">
        <v>142</v>
      </c>
      <c r="AJ151" s="156" t="str">
        <f t="array" ref="AJ151">IFERROR(INDEX($AH$10:$AH$258, MATCH(0, IF(TRUE=$AE$10:$AE$258, COUNTIF($AJ$9:$AJ150, $AH$10:$AH$258), ""), 0)),"")</f>
        <v/>
      </c>
      <c r="AK151" s="156" t="str">
        <f t="array" ref="AK151">IFERROR(INDEX($AH$10:$AH$258, MATCH(0, IF(TRUE=$AF$10:$AF$258, COUNTIF($AK$9:$AK150, $AH$10:$AH$258), ""), 0)),"")</f>
        <v/>
      </c>
    </row>
    <row r="152" spans="2:37" ht="14" x14ac:dyDescent="0.3">
      <c r="B152" s="141">
        <v>143</v>
      </c>
      <c r="C152" s="203"/>
      <c r="D152" s="203"/>
      <c r="E152" s="153"/>
      <c r="F152" s="498" t="str">
        <f>IF(D152="","",VLOOKUP(D152,'G-6 Hedgerow Data'!$B$2:$AG$15,2,FALSE))</f>
        <v/>
      </c>
      <c r="G152" s="499" t="str">
        <f>IF(D152="","",VLOOKUP(D152,'G-6 Hedgerow Data'!$B$2:$AG$15,3,FALSE))</f>
        <v/>
      </c>
      <c r="H152" s="145"/>
      <c r="I152" s="499" t="str">
        <f>IFERROR(IF(AND(F152="V.Low",OR(H152="Good",H152="Moderate")),"Error ▲",VLOOKUP(H152,'G-1 All Habitats'!$Z$2:$AA$9,2,FALSE)),"")</f>
        <v/>
      </c>
      <c r="J152" s="154"/>
      <c r="K152" s="520" t="str">
        <f>IF(J152="","",IF(VLOOKUP(J152,'G-3 Multipliers'!$L$3:$N$6,2,FALSE)=0,"Spatial Data Missing ⚠",VLOOKUP(J152,'G-3 Multipliers'!$L$3:$N$6,2,FALSE)))</f>
        <v/>
      </c>
      <c r="L152" s="524" t="str">
        <f>IF(J152="","",IF(VLOOKUP(J152,'G-3 Multipliers'!$L$3:$N$6,3,FALSE)=0,"Spatial Data Missing ⚠",VLOOKUP(J152,'G-3 Multipliers'!$L$3:$N$6,3,FALSE)))</f>
        <v/>
      </c>
      <c r="M152" s="506" t="str">
        <f>IF(D152="","",VLOOKUP(D152,'G-6 Hedgerow Data'!$B$1:$AH$15,33,FALSE))</f>
        <v/>
      </c>
      <c r="N152" s="513" t="str">
        <f t="shared" si="16"/>
        <v/>
      </c>
      <c r="O152" s="40"/>
      <c r="P152" s="145"/>
      <c r="Q152" s="157"/>
      <c r="R152" s="507" t="str">
        <f t="shared" si="17"/>
        <v/>
      </c>
      <c r="S152" s="507" t="str">
        <f t="shared" si="18"/>
        <v/>
      </c>
      <c r="T152" s="511" t="str">
        <f t="shared" si="19"/>
        <v/>
      </c>
      <c r="U152" s="515" t="str">
        <f t="shared" si="20"/>
        <v/>
      </c>
      <c r="V152" s="151"/>
      <c r="W152" s="152"/>
      <c r="AB152" s="31" t="str">
        <f>IFERROR(INDEX('G-6 Hedgerow Data'!$BJ$3:$BJ$15,MATCH(D152,'G-6 Hedgerow Data'!$B$3:$B$15,0)),"")</f>
        <v/>
      </c>
      <c r="AE152" s="156" t="str">
        <f t="shared" si="14"/>
        <v/>
      </c>
      <c r="AF152" s="156" t="str">
        <f t="shared" si="15"/>
        <v/>
      </c>
      <c r="AH152" s="156">
        <v>143</v>
      </c>
      <c r="AJ152" s="156" t="str">
        <f t="array" ref="AJ152">IFERROR(INDEX($AH$10:$AH$258, MATCH(0, IF(TRUE=$AE$10:$AE$258, COUNTIF($AJ$9:$AJ151, $AH$10:$AH$258), ""), 0)),"")</f>
        <v/>
      </c>
      <c r="AK152" s="156" t="str">
        <f t="array" ref="AK152">IFERROR(INDEX($AH$10:$AH$258, MATCH(0, IF(TRUE=$AF$10:$AF$258, COUNTIF($AK$9:$AK151, $AH$10:$AH$258), ""), 0)),"")</f>
        <v/>
      </c>
    </row>
    <row r="153" spans="2:37" ht="14" x14ac:dyDescent="0.3">
      <c r="B153" s="141">
        <v>144</v>
      </c>
      <c r="C153" s="203"/>
      <c r="D153" s="203"/>
      <c r="E153" s="153"/>
      <c r="F153" s="498" t="str">
        <f>IF(D153="","",VLOOKUP(D153,'G-6 Hedgerow Data'!$B$2:$AG$15,2,FALSE))</f>
        <v/>
      </c>
      <c r="G153" s="499" t="str">
        <f>IF(D153="","",VLOOKUP(D153,'G-6 Hedgerow Data'!$B$2:$AG$15,3,FALSE))</f>
        <v/>
      </c>
      <c r="H153" s="145"/>
      <c r="I153" s="499" t="str">
        <f>IFERROR(IF(AND(F153="V.Low",OR(H153="Good",H153="Moderate")),"Error ▲",VLOOKUP(H153,'G-1 All Habitats'!$Z$2:$AA$9,2,FALSE)),"")</f>
        <v/>
      </c>
      <c r="J153" s="154"/>
      <c r="K153" s="520" t="str">
        <f>IF(J153="","",IF(VLOOKUP(J153,'G-3 Multipliers'!$L$3:$N$6,2,FALSE)=0,"Spatial Data Missing ⚠",VLOOKUP(J153,'G-3 Multipliers'!$L$3:$N$6,2,FALSE)))</f>
        <v/>
      </c>
      <c r="L153" s="524" t="str">
        <f>IF(J153="","",IF(VLOOKUP(J153,'G-3 Multipliers'!$L$3:$N$6,3,FALSE)=0,"Spatial Data Missing ⚠",VLOOKUP(J153,'G-3 Multipliers'!$L$3:$N$6,3,FALSE)))</f>
        <v/>
      </c>
      <c r="M153" s="506" t="str">
        <f>IF(D153="","",VLOOKUP(D153,'G-6 Hedgerow Data'!$B$1:$AH$15,33,FALSE))</f>
        <v/>
      </c>
      <c r="N153" s="513" t="str">
        <f t="shared" si="16"/>
        <v/>
      </c>
      <c r="O153" s="40"/>
      <c r="P153" s="145"/>
      <c r="Q153" s="157"/>
      <c r="R153" s="507" t="str">
        <f t="shared" si="17"/>
        <v/>
      </c>
      <c r="S153" s="507" t="str">
        <f t="shared" si="18"/>
        <v/>
      </c>
      <c r="T153" s="511" t="str">
        <f t="shared" si="19"/>
        <v/>
      </c>
      <c r="U153" s="515" t="str">
        <f t="shared" si="20"/>
        <v/>
      </c>
      <c r="V153" s="151"/>
      <c r="W153" s="152"/>
      <c r="AB153" s="31" t="str">
        <f>IFERROR(INDEX('G-6 Hedgerow Data'!$BJ$3:$BJ$15,MATCH(D153,'G-6 Hedgerow Data'!$B$3:$B$15,0)),"")</f>
        <v/>
      </c>
      <c r="AE153" s="156" t="str">
        <f t="shared" si="14"/>
        <v/>
      </c>
      <c r="AF153" s="156" t="str">
        <f t="shared" si="15"/>
        <v/>
      </c>
      <c r="AH153" s="156">
        <v>144</v>
      </c>
      <c r="AJ153" s="156" t="str">
        <f t="array" ref="AJ153">IFERROR(INDEX($AH$10:$AH$258, MATCH(0, IF(TRUE=$AE$10:$AE$258, COUNTIF($AJ$9:$AJ152, $AH$10:$AH$258), ""), 0)),"")</f>
        <v/>
      </c>
      <c r="AK153" s="156" t="str">
        <f t="array" ref="AK153">IFERROR(INDEX($AH$10:$AH$258, MATCH(0, IF(TRUE=$AF$10:$AF$258, COUNTIF($AK$9:$AK152, $AH$10:$AH$258), ""), 0)),"")</f>
        <v/>
      </c>
    </row>
    <row r="154" spans="2:37" ht="14" x14ac:dyDescent="0.3">
      <c r="B154" s="141">
        <v>145</v>
      </c>
      <c r="C154" s="203"/>
      <c r="D154" s="203"/>
      <c r="E154" s="153"/>
      <c r="F154" s="498" t="str">
        <f>IF(D154="","",VLOOKUP(D154,'G-6 Hedgerow Data'!$B$2:$AG$15,2,FALSE))</f>
        <v/>
      </c>
      <c r="G154" s="499" t="str">
        <f>IF(D154="","",VLOOKUP(D154,'G-6 Hedgerow Data'!$B$2:$AG$15,3,FALSE))</f>
        <v/>
      </c>
      <c r="H154" s="145"/>
      <c r="I154" s="499" t="str">
        <f>IFERROR(IF(AND(F154="V.Low",OR(H154="Good",H154="Moderate")),"Error ▲",VLOOKUP(H154,'G-1 All Habitats'!$Z$2:$AA$9,2,FALSE)),"")</f>
        <v/>
      </c>
      <c r="J154" s="154"/>
      <c r="K154" s="520" t="str">
        <f>IF(J154="","",IF(VLOOKUP(J154,'G-3 Multipliers'!$L$3:$N$6,2,FALSE)=0,"Spatial Data Missing ⚠",VLOOKUP(J154,'G-3 Multipliers'!$L$3:$N$6,2,FALSE)))</f>
        <v/>
      </c>
      <c r="L154" s="524" t="str">
        <f>IF(J154="","",IF(VLOOKUP(J154,'G-3 Multipliers'!$L$3:$N$6,3,FALSE)=0,"Spatial Data Missing ⚠",VLOOKUP(J154,'G-3 Multipliers'!$L$3:$N$6,3,FALSE)))</f>
        <v/>
      </c>
      <c r="M154" s="506" t="str">
        <f>IF(D154="","",VLOOKUP(D154,'G-6 Hedgerow Data'!$B$1:$AH$15,33,FALSE))</f>
        <v/>
      </c>
      <c r="N154" s="513" t="str">
        <f t="shared" si="16"/>
        <v/>
      </c>
      <c r="O154" s="40"/>
      <c r="P154" s="145"/>
      <c r="Q154" s="157"/>
      <c r="R154" s="507" t="str">
        <f t="shared" si="17"/>
        <v/>
      </c>
      <c r="S154" s="507" t="str">
        <f t="shared" si="18"/>
        <v/>
      </c>
      <c r="T154" s="511" t="str">
        <f t="shared" si="19"/>
        <v/>
      </c>
      <c r="U154" s="515" t="str">
        <f t="shared" si="20"/>
        <v/>
      </c>
      <c r="V154" s="151"/>
      <c r="W154" s="152"/>
      <c r="AB154" s="31" t="str">
        <f>IFERROR(INDEX('G-6 Hedgerow Data'!$BJ$3:$BJ$15,MATCH(D154,'G-6 Hedgerow Data'!$B$3:$B$15,0)),"")</f>
        <v/>
      </c>
      <c r="AE154" s="156" t="str">
        <f t="shared" si="14"/>
        <v/>
      </c>
      <c r="AF154" s="156" t="str">
        <f t="shared" si="15"/>
        <v/>
      </c>
      <c r="AH154" s="156">
        <v>145</v>
      </c>
      <c r="AJ154" s="156" t="str">
        <f t="array" ref="AJ154">IFERROR(INDEX($AH$10:$AH$258, MATCH(0, IF(TRUE=$AE$10:$AE$258, COUNTIF($AJ$9:$AJ153, $AH$10:$AH$258), ""), 0)),"")</f>
        <v/>
      </c>
      <c r="AK154" s="156" t="str">
        <f t="array" ref="AK154">IFERROR(INDEX($AH$10:$AH$258, MATCH(0, IF(TRUE=$AF$10:$AF$258, COUNTIF($AK$9:$AK153, $AH$10:$AH$258), ""), 0)),"")</f>
        <v/>
      </c>
    </row>
    <row r="155" spans="2:37" ht="14" x14ac:dyDescent="0.3">
      <c r="B155" s="141">
        <v>146</v>
      </c>
      <c r="C155" s="203"/>
      <c r="D155" s="203"/>
      <c r="E155" s="153"/>
      <c r="F155" s="498" t="str">
        <f>IF(D155="","",VLOOKUP(D155,'G-6 Hedgerow Data'!$B$2:$AG$15,2,FALSE))</f>
        <v/>
      </c>
      <c r="G155" s="499" t="str">
        <f>IF(D155="","",VLOOKUP(D155,'G-6 Hedgerow Data'!$B$2:$AG$15,3,FALSE))</f>
        <v/>
      </c>
      <c r="H155" s="145"/>
      <c r="I155" s="499" t="str">
        <f>IFERROR(IF(AND(F155="V.Low",OR(H155="Good",H155="Moderate")),"Error ▲",VLOOKUP(H155,'G-1 All Habitats'!$Z$2:$AA$9,2,FALSE)),"")</f>
        <v/>
      </c>
      <c r="J155" s="154"/>
      <c r="K155" s="520" t="str">
        <f>IF(J155="","",IF(VLOOKUP(J155,'G-3 Multipliers'!$L$3:$N$6,2,FALSE)=0,"Spatial Data Missing ⚠",VLOOKUP(J155,'G-3 Multipliers'!$L$3:$N$6,2,FALSE)))</f>
        <v/>
      </c>
      <c r="L155" s="524" t="str">
        <f>IF(J155="","",IF(VLOOKUP(J155,'G-3 Multipliers'!$L$3:$N$6,3,FALSE)=0,"Spatial Data Missing ⚠",VLOOKUP(J155,'G-3 Multipliers'!$L$3:$N$6,3,FALSE)))</f>
        <v/>
      </c>
      <c r="M155" s="506" t="str">
        <f>IF(D155="","",VLOOKUP(D155,'G-6 Hedgerow Data'!$B$1:$AH$15,33,FALSE))</f>
        <v/>
      </c>
      <c r="N155" s="513" t="str">
        <f t="shared" si="16"/>
        <v/>
      </c>
      <c r="O155" s="40"/>
      <c r="P155" s="145"/>
      <c r="Q155" s="157"/>
      <c r="R155" s="507" t="str">
        <f t="shared" si="17"/>
        <v/>
      </c>
      <c r="S155" s="507" t="str">
        <f t="shared" si="18"/>
        <v/>
      </c>
      <c r="T155" s="511" t="str">
        <f t="shared" si="19"/>
        <v/>
      </c>
      <c r="U155" s="515" t="str">
        <f t="shared" si="20"/>
        <v/>
      </c>
      <c r="V155" s="151"/>
      <c r="W155" s="152"/>
      <c r="AB155" s="31" t="str">
        <f>IFERROR(INDEX('G-6 Hedgerow Data'!$BJ$3:$BJ$15,MATCH(D155,'G-6 Hedgerow Data'!$B$3:$B$15,0)),"")</f>
        <v/>
      </c>
      <c r="AE155" s="156" t="str">
        <f t="shared" si="14"/>
        <v/>
      </c>
      <c r="AF155" s="156" t="str">
        <f t="shared" si="15"/>
        <v/>
      </c>
      <c r="AH155" s="156">
        <v>146</v>
      </c>
      <c r="AJ155" s="156" t="str">
        <f t="array" ref="AJ155">IFERROR(INDEX($AH$10:$AH$258, MATCH(0, IF(TRUE=$AE$10:$AE$258, COUNTIF($AJ$9:$AJ154, $AH$10:$AH$258), ""), 0)),"")</f>
        <v/>
      </c>
      <c r="AK155" s="156" t="str">
        <f t="array" ref="AK155">IFERROR(INDEX($AH$10:$AH$258, MATCH(0, IF(TRUE=$AF$10:$AF$258, COUNTIF($AK$9:$AK154, $AH$10:$AH$258), ""), 0)),"")</f>
        <v/>
      </c>
    </row>
    <row r="156" spans="2:37" ht="14" x14ac:dyDescent="0.3">
      <c r="B156" s="141">
        <v>147</v>
      </c>
      <c r="C156" s="203"/>
      <c r="D156" s="203"/>
      <c r="E156" s="153"/>
      <c r="F156" s="498" t="str">
        <f>IF(D156="","",VLOOKUP(D156,'G-6 Hedgerow Data'!$B$2:$AG$15,2,FALSE))</f>
        <v/>
      </c>
      <c r="G156" s="499" t="str">
        <f>IF(D156="","",VLOOKUP(D156,'G-6 Hedgerow Data'!$B$2:$AG$15,3,FALSE))</f>
        <v/>
      </c>
      <c r="H156" s="145"/>
      <c r="I156" s="499" t="str">
        <f>IFERROR(IF(AND(F156="V.Low",OR(H156="Good",H156="Moderate")),"Error ▲",VLOOKUP(H156,'G-1 All Habitats'!$Z$2:$AA$9,2,FALSE)),"")</f>
        <v/>
      </c>
      <c r="J156" s="154"/>
      <c r="K156" s="520" t="str">
        <f>IF(J156="","",IF(VLOOKUP(J156,'G-3 Multipliers'!$L$3:$N$6,2,FALSE)=0,"Spatial Data Missing ⚠",VLOOKUP(J156,'G-3 Multipliers'!$L$3:$N$6,2,FALSE)))</f>
        <v/>
      </c>
      <c r="L156" s="524" t="str">
        <f>IF(J156="","",IF(VLOOKUP(J156,'G-3 Multipliers'!$L$3:$N$6,3,FALSE)=0,"Spatial Data Missing ⚠",VLOOKUP(J156,'G-3 Multipliers'!$L$3:$N$6,3,FALSE)))</f>
        <v/>
      </c>
      <c r="M156" s="506" t="str">
        <f>IF(D156="","",VLOOKUP(D156,'G-6 Hedgerow Data'!$B$1:$AH$15,33,FALSE))</f>
        <v/>
      </c>
      <c r="N156" s="513" t="str">
        <f t="shared" si="16"/>
        <v/>
      </c>
      <c r="O156" s="40"/>
      <c r="P156" s="145"/>
      <c r="Q156" s="157"/>
      <c r="R156" s="507" t="str">
        <f t="shared" si="17"/>
        <v/>
      </c>
      <c r="S156" s="507" t="str">
        <f t="shared" si="18"/>
        <v/>
      </c>
      <c r="T156" s="511" t="str">
        <f t="shared" si="19"/>
        <v/>
      </c>
      <c r="U156" s="515" t="str">
        <f t="shared" si="20"/>
        <v/>
      </c>
      <c r="V156" s="151"/>
      <c r="W156" s="152"/>
      <c r="AB156" s="31" t="str">
        <f>IFERROR(INDEX('G-6 Hedgerow Data'!$BJ$3:$BJ$15,MATCH(D156,'G-6 Hedgerow Data'!$B$3:$B$15,0)),"")</f>
        <v/>
      </c>
      <c r="AE156" s="156" t="str">
        <f t="shared" si="14"/>
        <v/>
      </c>
      <c r="AF156" s="156" t="str">
        <f t="shared" si="15"/>
        <v/>
      </c>
      <c r="AH156" s="156">
        <v>147</v>
      </c>
      <c r="AJ156" s="156" t="str">
        <f t="array" ref="AJ156">IFERROR(INDEX($AH$10:$AH$258, MATCH(0, IF(TRUE=$AE$10:$AE$258, COUNTIF($AJ$9:$AJ155, $AH$10:$AH$258), ""), 0)),"")</f>
        <v/>
      </c>
      <c r="AK156" s="156" t="str">
        <f t="array" ref="AK156">IFERROR(INDEX($AH$10:$AH$258, MATCH(0, IF(TRUE=$AF$10:$AF$258, COUNTIF($AK$9:$AK155, $AH$10:$AH$258), ""), 0)),"")</f>
        <v/>
      </c>
    </row>
    <row r="157" spans="2:37" ht="14" x14ac:dyDescent="0.3">
      <c r="B157" s="141">
        <v>148</v>
      </c>
      <c r="C157" s="203"/>
      <c r="D157" s="203"/>
      <c r="E157" s="153"/>
      <c r="F157" s="498" t="str">
        <f>IF(D157="","",VLOOKUP(D157,'G-6 Hedgerow Data'!$B$2:$AG$15,2,FALSE))</f>
        <v/>
      </c>
      <c r="G157" s="499" t="str">
        <f>IF(D157="","",VLOOKUP(D157,'G-6 Hedgerow Data'!$B$2:$AG$15,3,FALSE))</f>
        <v/>
      </c>
      <c r="H157" s="145"/>
      <c r="I157" s="499" t="str">
        <f>IFERROR(IF(AND(F157="V.Low",OR(H157="Good",H157="Moderate")),"Error ▲",VLOOKUP(H157,'G-1 All Habitats'!$Z$2:$AA$9,2,FALSE)),"")</f>
        <v/>
      </c>
      <c r="J157" s="154"/>
      <c r="K157" s="520" t="str">
        <f>IF(J157="","",IF(VLOOKUP(J157,'G-3 Multipliers'!$L$3:$N$6,2,FALSE)=0,"Spatial Data Missing ⚠",VLOOKUP(J157,'G-3 Multipliers'!$L$3:$N$6,2,FALSE)))</f>
        <v/>
      </c>
      <c r="L157" s="524" t="str">
        <f>IF(J157="","",IF(VLOOKUP(J157,'G-3 Multipliers'!$L$3:$N$6,3,FALSE)=0,"Spatial Data Missing ⚠",VLOOKUP(J157,'G-3 Multipliers'!$L$3:$N$6,3,FALSE)))</f>
        <v/>
      </c>
      <c r="M157" s="506" t="str">
        <f>IF(D157="","",VLOOKUP(D157,'G-6 Hedgerow Data'!$B$1:$AH$15,33,FALSE))</f>
        <v/>
      </c>
      <c r="N157" s="513" t="str">
        <f t="shared" si="16"/>
        <v/>
      </c>
      <c r="O157" s="40"/>
      <c r="P157" s="145"/>
      <c r="Q157" s="157"/>
      <c r="R157" s="507" t="str">
        <f t="shared" si="17"/>
        <v/>
      </c>
      <c r="S157" s="507" t="str">
        <f t="shared" si="18"/>
        <v/>
      </c>
      <c r="T157" s="511" t="str">
        <f t="shared" si="19"/>
        <v/>
      </c>
      <c r="U157" s="515" t="str">
        <f t="shared" si="20"/>
        <v/>
      </c>
      <c r="V157" s="151"/>
      <c r="W157" s="152"/>
      <c r="AB157" s="31" t="str">
        <f>IFERROR(INDEX('G-6 Hedgerow Data'!$BJ$3:$BJ$15,MATCH(D157,'G-6 Hedgerow Data'!$B$3:$B$15,0)),"")</f>
        <v/>
      </c>
      <c r="AE157" s="156" t="str">
        <f t="shared" si="14"/>
        <v/>
      </c>
      <c r="AF157" s="156" t="str">
        <f t="shared" si="15"/>
        <v/>
      </c>
      <c r="AH157" s="156">
        <v>148</v>
      </c>
      <c r="AJ157" s="156" t="str">
        <f t="array" ref="AJ157">IFERROR(INDEX($AH$10:$AH$258, MATCH(0, IF(TRUE=$AE$10:$AE$258, COUNTIF($AJ$9:$AJ156, $AH$10:$AH$258), ""), 0)),"")</f>
        <v/>
      </c>
      <c r="AK157" s="156" t="str">
        <f t="array" ref="AK157">IFERROR(INDEX($AH$10:$AH$258, MATCH(0, IF(TRUE=$AF$10:$AF$258, COUNTIF($AK$9:$AK156, $AH$10:$AH$258), ""), 0)),"")</f>
        <v/>
      </c>
    </row>
    <row r="158" spans="2:37" ht="14" x14ac:dyDescent="0.3">
      <c r="B158" s="141">
        <v>149</v>
      </c>
      <c r="C158" s="203"/>
      <c r="D158" s="203"/>
      <c r="E158" s="153"/>
      <c r="F158" s="498" t="str">
        <f>IF(D158="","",VLOOKUP(D158,'G-6 Hedgerow Data'!$B$2:$AG$15,2,FALSE))</f>
        <v/>
      </c>
      <c r="G158" s="499" t="str">
        <f>IF(D158="","",VLOOKUP(D158,'G-6 Hedgerow Data'!$B$2:$AG$15,3,FALSE))</f>
        <v/>
      </c>
      <c r="H158" s="145"/>
      <c r="I158" s="499" t="str">
        <f>IFERROR(IF(AND(F158="V.Low",OR(H158="Good",H158="Moderate")),"Error ▲",VLOOKUP(H158,'G-1 All Habitats'!$Z$2:$AA$9,2,FALSE)),"")</f>
        <v/>
      </c>
      <c r="J158" s="154"/>
      <c r="K158" s="520" t="str">
        <f>IF(J158="","",IF(VLOOKUP(J158,'G-3 Multipliers'!$L$3:$N$6,2,FALSE)=0,"Spatial Data Missing ⚠",VLOOKUP(J158,'G-3 Multipliers'!$L$3:$N$6,2,FALSE)))</f>
        <v/>
      </c>
      <c r="L158" s="524" t="str">
        <f>IF(J158="","",IF(VLOOKUP(J158,'G-3 Multipliers'!$L$3:$N$6,3,FALSE)=0,"Spatial Data Missing ⚠",VLOOKUP(J158,'G-3 Multipliers'!$L$3:$N$6,3,FALSE)))</f>
        <v/>
      </c>
      <c r="M158" s="506" t="str">
        <f>IF(D158="","",VLOOKUP(D158,'G-6 Hedgerow Data'!$B$1:$AH$15,33,FALSE))</f>
        <v/>
      </c>
      <c r="N158" s="513" t="str">
        <f t="shared" si="16"/>
        <v/>
      </c>
      <c r="O158" s="40"/>
      <c r="P158" s="145"/>
      <c r="Q158" s="157"/>
      <c r="R158" s="507" t="str">
        <f t="shared" si="17"/>
        <v/>
      </c>
      <c r="S158" s="507" t="str">
        <f t="shared" si="18"/>
        <v/>
      </c>
      <c r="T158" s="511" t="str">
        <f t="shared" si="19"/>
        <v/>
      </c>
      <c r="U158" s="515" t="str">
        <f t="shared" si="20"/>
        <v/>
      </c>
      <c r="V158" s="151"/>
      <c r="W158" s="152"/>
      <c r="AB158" s="31" t="str">
        <f>IFERROR(INDEX('G-6 Hedgerow Data'!$BJ$3:$BJ$15,MATCH(D158,'G-6 Hedgerow Data'!$B$3:$B$15,0)),"")</f>
        <v/>
      </c>
      <c r="AE158" s="156" t="str">
        <f t="shared" si="14"/>
        <v/>
      </c>
      <c r="AF158" s="156" t="str">
        <f t="shared" si="15"/>
        <v/>
      </c>
      <c r="AH158" s="156">
        <v>149</v>
      </c>
      <c r="AJ158" s="156" t="str">
        <f t="array" ref="AJ158">IFERROR(INDEX($AH$10:$AH$258, MATCH(0, IF(TRUE=$AE$10:$AE$258, COUNTIF($AJ$9:$AJ157, $AH$10:$AH$258), ""), 0)),"")</f>
        <v/>
      </c>
      <c r="AK158" s="156" t="str">
        <f t="array" ref="AK158">IFERROR(INDEX($AH$10:$AH$258, MATCH(0, IF(TRUE=$AF$10:$AF$258, COUNTIF($AK$9:$AK157, $AH$10:$AH$258), ""), 0)),"")</f>
        <v/>
      </c>
    </row>
    <row r="159" spans="2:37" ht="14" x14ac:dyDescent="0.3">
      <c r="B159" s="141">
        <v>150</v>
      </c>
      <c r="C159" s="203"/>
      <c r="D159" s="203"/>
      <c r="E159" s="153"/>
      <c r="F159" s="498" t="str">
        <f>IF(D159="","",VLOOKUP(D159,'G-6 Hedgerow Data'!$B$2:$AG$15,2,FALSE))</f>
        <v/>
      </c>
      <c r="G159" s="499" t="str">
        <f>IF(D159="","",VLOOKUP(D159,'G-6 Hedgerow Data'!$B$2:$AG$15,3,FALSE))</f>
        <v/>
      </c>
      <c r="H159" s="145"/>
      <c r="I159" s="499" t="str">
        <f>IFERROR(IF(AND(F159="V.Low",OR(H159="Good",H159="Moderate")),"Error ▲",VLOOKUP(H159,'G-1 All Habitats'!$Z$2:$AA$9,2,FALSE)),"")</f>
        <v/>
      </c>
      <c r="J159" s="154"/>
      <c r="K159" s="520" t="str">
        <f>IF(J159="","",IF(VLOOKUP(J159,'G-3 Multipliers'!$L$3:$N$6,2,FALSE)=0,"Spatial Data Missing ⚠",VLOOKUP(J159,'G-3 Multipliers'!$L$3:$N$6,2,FALSE)))</f>
        <v/>
      </c>
      <c r="L159" s="524" t="str">
        <f>IF(J159="","",IF(VLOOKUP(J159,'G-3 Multipliers'!$L$3:$N$6,3,FALSE)=0,"Spatial Data Missing ⚠",VLOOKUP(J159,'G-3 Multipliers'!$L$3:$N$6,3,FALSE)))</f>
        <v/>
      </c>
      <c r="M159" s="506" t="str">
        <f>IF(D159="","",VLOOKUP(D159,'G-6 Hedgerow Data'!$B$1:$AH$15,33,FALSE))</f>
        <v/>
      </c>
      <c r="N159" s="513" t="str">
        <f t="shared" si="16"/>
        <v/>
      </c>
      <c r="O159" s="40"/>
      <c r="P159" s="145"/>
      <c r="Q159" s="157"/>
      <c r="R159" s="507" t="str">
        <f t="shared" si="17"/>
        <v/>
      </c>
      <c r="S159" s="507" t="str">
        <f t="shared" si="18"/>
        <v/>
      </c>
      <c r="T159" s="511" t="str">
        <f t="shared" si="19"/>
        <v/>
      </c>
      <c r="U159" s="515" t="str">
        <f t="shared" si="20"/>
        <v/>
      </c>
      <c r="V159" s="151"/>
      <c r="W159" s="152"/>
      <c r="AB159" s="31" t="str">
        <f>IFERROR(INDEX('G-6 Hedgerow Data'!$BJ$3:$BJ$15,MATCH(D159,'G-6 Hedgerow Data'!$B$3:$B$15,0)),"")</f>
        <v/>
      </c>
      <c r="AE159" s="156" t="str">
        <f t="shared" si="14"/>
        <v/>
      </c>
      <c r="AF159" s="156" t="str">
        <f t="shared" si="15"/>
        <v/>
      </c>
      <c r="AH159" s="156">
        <v>150</v>
      </c>
      <c r="AJ159" s="156" t="str">
        <f t="array" ref="AJ159">IFERROR(INDEX($AH$10:$AH$258, MATCH(0, IF(TRUE=$AE$10:$AE$258, COUNTIF($AJ$9:$AJ158, $AH$10:$AH$258), ""), 0)),"")</f>
        <v/>
      </c>
      <c r="AK159" s="156" t="str">
        <f t="array" ref="AK159">IFERROR(INDEX($AH$10:$AH$258, MATCH(0, IF(TRUE=$AF$10:$AF$258, COUNTIF($AK$9:$AK158, $AH$10:$AH$258), ""), 0)),"")</f>
        <v/>
      </c>
    </row>
    <row r="160" spans="2:37" ht="14" x14ac:dyDescent="0.3">
      <c r="B160" s="141">
        <v>151</v>
      </c>
      <c r="C160" s="203"/>
      <c r="D160" s="203"/>
      <c r="E160" s="153"/>
      <c r="F160" s="498" t="str">
        <f>IF(D160="","",VLOOKUP(D160,'G-6 Hedgerow Data'!$B$2:$AG$15,2,FALSE))</f>
        <v/>
      </c>
      <c r="G160" s="499" t="str">
        <f>IF(D160="","",VLOOKUP(D160,'G-6 Hedgerow Data'!$B$2:$AG$15,3,FALSE))</f>
        <v/>
      </c>
      <c r="H160" s="145"/>
      <c r="I160" s="499" t="str">
        <f>IFERROR(IF(AND(F160="V.Low",OR(H160="Good",H160="Moderate")),"Error ▲",VLOOKUP(H160,'G-1 All Habitats'!$Z$2:$AA$9,2,FALSE)),"")</f>
        <v/>
      </c>
      <c r="J160" s="154"/>
      <c r="K160" s="520" t="str">
        <f>IF(J160="","",IF(VLOOKUP(J160,'G-3 Multipliers'!$L$3:$N$6,2,FALSE)=0,"Spatial Data Missing ⚠",VLOOKUP(J160,'G-3 Multipliers'!$L$3:$N$6,2,FALSE)))</f>
        <v/>
      </c>
      <c r="L160" s="524" t="str">
        <f>IF(J160="","",IF(VLOOKUP(J160,'G-3 Multipliers'!$L$3:$N$6,3,FALSE)=0,"Spatial Data Missing ⚠",VLOOKUP(J160,'G-3 Multipliers'!$L$3:$N$6,3,FALSE)))</f>
        <v/>
      </c>
      <c r="M160" s="506" t="str">
        <f>IF(D160="","",VLOOKUP(D160,'G-6 Hedgerow Data'!$B$1:$AH$15,33,FALSE))</f>
        <v/>
      </c>
      <c r="N160" s="513" t="str">
        <f t="shared" si="16"/>
        <v/>
      </c>
      <c r="O160" s="40"/>
      <c r="P160" s="145"/>
      <c r="Q160" s="157"/>
      <c r="R160" s="507" t="str">
        <f t="shared" si="17"/>
        <v/>
      </c>
      <c r="S160" s="507" t="str">
        <f t="shared" si="18"/>
        <v/>
      </c>
      <c r="T160" s="511" t="str">
        <f t="shared" si="19"/>
        <v/>
      </c>
      <c r="U160" s="515" t="str">
        <f t="shared" si="20"/>
        <v/>
      </c>
      <c r="V160" s="151"/>
      <c r="W160" s="152"/>
      <c r="AB160" s="31" t="str">
        <f>IFERROR(INDEX('G-6 Hedgerow Data'!$BJ$3:$BJ$15,MATCH(D160,'G-6 Hedgerow Data'!$B$3:$B$15,0)),"")</f>
        <v/>
      </c>
      <c r="AE160" s="156" t="str">
        <f t="shared" si="14"/>
        <v/>
      </c>
      <c r="AF160" s="156" t="str">
        <f t="shared" si="15"/>
        <v/>
      </c>
      <c r="AH160" s="156">
        <v>151</v>
      </c>
      <c r="AJ160" s="156" t="str">
        <f t="array" ref="AJ160">IFERROR(INDEX($AH$10:$AH$258, MATCH(0, IF(TRUE=$AE$10:$AE$258, COUNTIF($AJ$9:$AJ159, $AH$10:$AH$258), ""), 0)),"")</f>
        <v/>
      </c>
      <c r="AK160" s="156" t="str">
        <f t="array" ref="AK160">IFERROR(INDEX($AH$10:$AH$258, MATCH(0, IF(TRUE=$AF$10:$AF$258, COUNTIF($AK$9:$AK159, $AH$10:$AH$258), ""), 0)),"")</f>
        <v/>
      </c>
    </row>
    <row r="161" spans="2:37" ht="14" x14ac:dyDescent="0.3">
      <c r="B161" s="141">
        <v>152</v>
      </c>
      <c r="C161" s="203"/>
      <c r="D161" s="203"/>
      <c r="E161" s="153"/>
      <c r="F161" s="498" t="str">
        <f>IF(D161="","",VLOOKUP(D161,'G-6 Hedgerow Data'!$B$2:$AG$15,2,FALSE))</f>
        <v/>
      </c>
      <c r="G161" s="499" t="str">
        <f>IF(D161="","",VLOOKUP(D161,'G-6 Hedgerow Data'!$B$2:$AG$15,3,FALSE))</f>
        <v/>
      </c>
      <c r="H161" s="145"/>
      <c r="I161" s="499" t="str">
        <f>IFERROR(IF(AND(F161="V.Low",OR(H161="Good",H161="Moderate")),"Error ▲",VLOOKUP(H161,'G-1 All Habitats'!$Z$2:$AA$9,2,FALSE)),"")</f>
        <v/>
      </c>
      <c r="J161" s="154"/>
      <c r="K161" s="520" t="str">
        <f>IF(J161="","",IF(VLOOKUP(J161,'G-3 Multipliers'!$L$3:$N$6,2,FALSE)=0,"Spatial Data Missing ⚠",VLOOKUP(J161,'G-3 Multipliers'!$L$3:$N$6,2,FALSE)))</f>
        <v/>
      </c>
      <c r="L161" s="524" t="str">
        <f>IF(J161="","",IF(VLOOKUP(J161,'G-3 Multipliers'!$L$3:$N$6,3,FALSE)=0,"Spatial Data Missing ⚠",VLOOKUP(J161,'G-3 Multipliers'!$L$3:$N$6,3,FALSE)))</f>
        <v/>
      </c>
      <c r="M161" s="506" t="str">
        <f>IF(D161="","",VLOOKUP(D161,'G-6 Hedgerow Data'!$B$1:$AH$15,33,FALSE))</f>
        <v/>
      </c>
      <c r="N161" s="513" t="str">
        <f t="shared" si="16"/>
        <v/>
      </c>
      <c r="O161" s="40"/>
      <c r="P161" s="145"/>
      <c r="Q161" s="157"/>
      <c r="R161" s="507" t="str">
        <f t="shared" si="17"/>
        <v/>
      </c>
      <c r="S161" s="507" t="str">
        <f t="shared" si="18"/>
        <v/>
      </c>
      <c r="T161" s="511" t="str">
        <f t="shared" si="19"/>
        <v/>
      </c>
      <c r="U161" s="515" t="str">
        <f t="shared" si="20"/>
        <v/>
      </c>
      <c r="V161" s="151"/>
      <c r="W161" s="152"/>
      <c r="AB161" s="31" t="str">
        <f>IFERROR(INDEX('G-6 Hedgerow Data'!$BJ$3:$BJ$15,MATCH(D161,'G-6 Hedgerow Data'!$B$3:$B$15,0)),"")</f>
        <v/>
      </c>
      <c r="AE161" s="156" t="str">
        <f t="shared" si="14"/>
        <v/>
      </c>
      <c r="AF161" s="156" t="str">
        <f t="shared" si="15"/>
        <v/>
      </c>
      <c r="AH161" s="156">
        <v>152</v>
      </c>
      <c r="AJ161" s="156" t="str">
        <f t="array" ref="AJ161">IFERROR(INDEX($AH$10:$AH$258, MATCH(0, IF(TRUE=$AE$10:$AE$258, COUNTIF($AJ$9:$AJ160, $AH$10:$AH$258), ""), 0)),"")</f>
        <v/>
      </c>
      <c r="AK161" s="156" t="str">
        <f t="array" ref="AK161">IFERROR(INDEX($AH$10:$AH$258, MATCH(0, IF(TRUE=$AF$10:$AF$258, COUNTIF($AK$9:$AK160, $AH$10:$AH$258), ""), 0)),"")</f>
        <v/>
      </c>
    </row>
    <row r="162" spans="2:37" ht="14" x14ac:dyDescent="0.3">
      <c r="B162" s="141">
        <v>153</v>
      </c>
      <c r="C162" s="203"/>
      <c r="D162" s="203"/>
      <c r="E162" s="153"/>
      <c r="F162" s="498" t="str">
        <f>IF(D162="","",VLOOKUP(D162,'G-6 Hedgerow Data'!$B$2:$AG$15,2,FALSE))</f>
        <v/>
      </c>
      <c r="G162" s="499" t="str">
        <f>IF(D162="","",VLOOKUP(D162,'G-6 Hedgerow Data'!$B$2:$AG$15,3,FALSE))</f>
        <v/>
      </c>
      <c r="H162" s="145"/>
      <c r="I162" s="499" t="str">
        <f>IFERROR(IF(AND(F162="V.Low",OR(H162="Good",H162="Moderate")),"Error ▲",VLOOKUP(H162,'G-1 All Habitats'!$Z$2:$AA$9,2,FALSE)),"")</f>
        <v/>
      </c>
      <c r="J162" s="154"/>
      <c r="K162" s="520" t="str">
        <f>IF(J162="","",IF(VLOOKUP(J162,'G-3 Multipliers'!$L$3:$N$6,2,FALSE)=0,"Spatial Data Missing ⚠",VLOOKUP(J162,'G-3 Multipliers'!$L$3:$N$6,2,FALSE)))</f>
        <v/>
      </c>
      <c r="L162" s="524" t="str">
        <f>IF(J162="","",IF(VLOOKUP(J162,'G-3 Multipliers'!$L$3:$N$6,3,FALSE)=0,"Spatial Data Missing ⚠",VLOOKUP(J162,'G-3 Multipliers'!$L$3:$N$6,3,FALSE)))</f>
        <v/>
      </c>
      <c r="M162" s="506" t="str">
        <f>IF(D162="","",VLOOKUP(D162,'G-6 Hedgerow Data'!$B$1:$AH$15,33,FALSE))</f>
        <v/>
      </c>
      <c r="N162" s="513" t="str">
        <f t="shared" si="16"/>
        <v/>
      </c>
      <c r="O162" s="40"/>
      <c r="P162" s="145"/>
      <c r="Q162" s="157"/>
      <c r="R162" s="507" t="str">
        <f t="shared" si="17"/>
        <v/>
      </c>
      <c r="S162" s="507" t="str">
        <f t="shared" si="18"/>
        <v/>
      </c>
      <c r="T162" s="511" t="str">
        <f t="shared" si="19"/>
        <v/>
      </c>
      <c r="U162" s="515" t="str">
        <f t="shared" si="20"/>
        <v/>
      </c>
      <c r="V162" s="151"/>
      <c r="W162" s="152"/>
      <c r="AB162" s="31" t="str">
        <f>IFERROR(INDEX('G-6 Hedgerow Data'!$BJ$3:$BJ$15,MATCH(D162,'G-6 Hedgerow Data'!$B$3:$B$15,0)),"")</f>
        <v/>
      </c>
      <c r="AE162" s="156" t="str">
        <f t="shared" si="14"/>
        <v/>
      </c>
      <c r="AF162" s="156" t="str">
        <f t="shared" si="15"/>
        <v/>
      </c>
      <c r="AH162" s="156">
        <v>153</v>
      </c>
      <c r="AJ162" s="156" t="str">
        <f t="array" ref="AJ162">IFERROR(INDEX($AH$10:$AH$258, MATCH(0, IF(TRUE=$AE$10:$AE$258, COUNTIF($AJ$9:$AJ161, $AH$10:$AH$258), ""), 0)),"")</f>
        <v/>
      </c>
      <c r="AK162" s="156" t="str">
        <f t="array" ref="AK162">IFERROR(INDEX($AH$10:$AH$258, MATCH(0, IF(TRUE=$AF$10:$AF$258, COUNTIF($AK$9:$AK161, $AH$10:$AH$258), ""), 0)),"")</f>
        <v/>
      </c>
    </row>
    <row r="163" spans="2:37" ht="14" x14ac:dyDescent="0.3">
      <c r="B163" s="141">
        <v>154</v>
      </c>
      <c r="C163" s="203"/>
      <c r="D163" s="203"/>
      <c r="E163" s="153"/>
      <c r="F163" s="498" t="str">
        <f>IF(D163="","",VLOOKUP(D163,'G-6 Hedgerow Data'!$B$2:$AG$15,2,FALSE))</f>
        <v/>
      </c>
      <c r="G163" s="499" t="str">
        <f>IF(D163="","",VLOOKUP(D163,'G-6 Hedgerow Data'!$B$2:$AG$15,3,FALSE))</f>
        <v/>
      </c>
      <c r="H163" s="145"/>
      <c r="I163" s="499" t="str">
        <f>IFERROR(IF(AND(F163="V.Low",OR(H163="Good",H163="Moderate")),"Error ▲",VLOOKUP(H163,'G-1 All Habitats'!$Z$2:$AA$9,2,FALSE)),"")</f>
        <v/>
      </c>
      <c r="J163" s="154"/>
      <c r="K163" s="520" t="str">
        <f>IF(J163="","",IF(VLOOKUP(J163,'G-3 Multipliers'!$L$3:$N$6,2,FALSE)=0,"Spatial Data Missing ⚠",VLOOKUP(J163,'G-3 Multipliers'!$L$3:$N$6,2,FALSE)))</f>
        <v/>
      </c>
      <c r="L163" s="524" t="str">
        <f>IF(J163="","",IF(VLOOKUP(J163,'G-3 Multipliers'!$L$3:$N$6,3,FALSE)=0,"Spatial Data Missing ⚠",VLOOKUP(J163,'G-3 Multipliers'!$L$3:$N$6,3,FALSE)))</f>
        <v/>
      </c>
      <c r="M163" s="506" t="str">
        <f>IF(D163="","",VLOOKUP(D163,'G-6 Hedgerow Data'!$B$1:$AH$15,33,FALSE))</f>
        <v/>
      </c>
      <c r="N163" s="513" t="str">
        <f t="shared" si="16"/>
        <v/>
      </c>
      <c r="O163" s="40"/>
      <c r="P163" s="145"/>
      <c r="Q163" s="157"/>
      <c r="R163" s="507" t="str">
        <f t="shared" si="17"/>
        <v/>
      </c>
      <c r="S163" s="507" t="str">
        <f t="shared" si="18"/>
        <v/>
      </c>
      <c r="T163" s="511" t="str">
        <f t="shared" si="19"/>
        <v/>
      </c>
      <c r="U163" s="515" t="str">
        <f t="shared" si="20"/>
        <v/>
      </c>
      <c r="V163" s="151"/>
      <c r="W163" s="152"/>
      <c r="AB163" s="31" t="str">
        <f>IFERROR(INDEX('G-6 Hedgerow Data'!$BJ$3:$BJ$15,MATCH(D163,'G-6 Hedgerow Data'!$B$3:$B$15,0)),"")</f>
        <v/>
      </c>
      <c r="AE163" s="156" t="str">
        <f t="shared" si="14"/>
        <v/>
      </c>
      <c r="AF163" s="156" t="str">
        <f t="shared" si="15"/>
        <v/>
      </c>
      <c r="AH163" s="156">
        <v>154</v>
      </c>
      <c r="AJ163" s="156" t="str">
        <f t="array" ref="AJ163">IFERROR(INDEX($AH$10:$AH$258, MATCH(0, IF(TRUE=$AE$10:$AE$258, COUNTIF($AJ$9:$AJ162, $AH$10:$AH$258), ""), 0)),"")</f>
        <v/>
      </c>
      <c r="AK163" s="156" t="str">
        <f t="array" ref="AK163">IFERROR(INDEX($AH$10:$AH$258, MATCH(0, IF(TRUE=$AF$10:$AF$258, COUNTIF($AK$9:$AK162, $AH$10:$AH$258), ""), 0)),"")</f>
        <v/>
      </c>
    </row>
    <row r="164" spans="2:37" ht="14" x14ac:dyDescent="0.3">
      <c r="B164" s="141">
        <v>155</v>
      </c>
      <c r="C164" s="203"/>
      <c r="D164" s="203"/>
      <c r="E164" s="153"/>
      <c r="F164" s="498" t="str">
        <f>IF(D164="","",VLOOKUP(D164,'G-6 Hedgerow Data'!$B$2:$AG$15,2,FALSE))</f>
        <v/>
      </c>
      <c r="G164" s="499" t="str">
        <f>IF(D164="","",VLOOKUP(D164,'G-6 Hedgerow Data'!$B$2:$AG$15,3,FALSE))</f>
        <v/>
      </c>
      <c r="H164" s="145"/>
      <c r="I164" s="499" t="str">
        <f>IFERROR(IF(AND(F164="V.Low",OR(H164="Good",H164="Moderate")),"Error ▲",VLOOKUP(H164,'G-1 All Habitats'!$Z$2:$AA$9,2,FALSE)),"")</f>
        <v/>
      </c>
      <c r="J164" s="154"/>
      <c r="K164" s="520" t="str">
        <f>IF(J164="","",IF(VLOOKUP(J164,'G-3 Multipliers'!$L$3:$N$6,2,FALSE)=0,"Spatial Data Missing ⚠",VLOOKUP(J164,'G-3 Multipliers'!$L$3:$N$6,2,FALSE)))</f>
        <v/>
      </c>
      <c r="L164" s="524" t="str">
        <f>IF(J164="","",IF(VLOOKUP(J164,'G-3 Multipliers'!$L$3:$N$6,3,FALSE)=0,"Spatial Data Missing ⚠",VLOOKUP(J164,'G-3 Multipliers'!$L$3:$N$6,3,FALSE)))</f>
        <v/>
      </c>
      <c r="M164" s="506" t="str">
        <f>IF(D164="","",VLOOKUP(D164,'G-6 Hedgerow Data'!$B$1:$AH$15,33,FALSE))</f>
        <v/>
      </c>
      <c r="N164" s="513" t="str">
        <f t="shared" si="16"/>
        <v/>
      </c>
      <c r="O164" s="40"/>
      <c r="P164" s="145"/>
      <c r="Q164" s="157"/>
      <c r="R164" s="507" t="str">
        <f t="shared" si="17"/>
        <v/>
      </c>
      <c r="S164" s="507" t="str">
        <f t="shared" si="18"/>
        <v/>
      </c>
      <c r="T164" s="511" t="str">
        <f t="shared" si="19"/>
        <v/>
      </c>
      <c r="U164" s="515" t="str">
        <f t="shared" si="20"/>
        <v/>
      </c>
      <c r="V164" s="151"/>
      <c r="W164" s="152"/>
      <c r="AB164" s="31" t="str">
        <f>IFERROR(INDEX('G-6 Hedgerow Data'!$BJ$3:$BJ$15,MATCH(D164,'G-6 Hedgerow Data'!$B$3:$B$15,0)),"")</f>
        <v/>
      </c>
      <c r="AE164" s="156" t="str">
        <f t="shared" si="14"/>
        <v/>
      </c>
      <c r="AF164" s="156" t="str">
        <f t="shared" si="15"/>
        <v/>
      </c>
      <c r="AH164" s="156">
        <v>155</v>
      </c>
      <c r="AJ164" s="156" t="str">
        <f t="array" ref="AJ164">IFERROR(INDEX($AH$10:$AH$258, MATCH(0, IF(TRUE=$AE$10:$AE$258, COUNTIF($AJ$9:$AJ163, $AH$10:$AH$258), ""), 0)),"")</f>
        <v/>
      </c>
      <c r="AK164" s="156" t="str">
        <f t="array" ref="AK164">IFERROR(INDEX($AH$10:$AH$258, MATCH(0, IF(TRUE=$AF$10:$AF$258, COUNTIF($AK$9:$AK163, $AH$10:$AH$258), ""), 0)),"")</f>
        <v/>
      </c>
    </row>
    <row r="165" spans="2:37" ht="14" x14ac:dyDescent="0.3">
      <c r="B165" s="141">
        <v>156</v>
      </c>
      <c r="C165" s="203"/>
      <c r="D165" s="203"/>
      <c r="E165" s="153"/>
      <c r="F165" s="498" t="str">
        <f>IF(D165="","",VLOOKUP(D165,'G-6 Hedgerow Data'!$B$2:$AG$15,2,FALSE))</f>
        <v/>
      </c>
      <c r="G165" s="499" t="str">
        <f>IF(D165="","",VLOOKUP(D165,'G-6 Hedgerow Data'!$B$2:$AG$15,3,FALSE))</f>
        <v/>
      </c>
      <c r="H165" s="145"/>
      <c r="I165" s="499" t="str">
        <f>IFERROR(IF(AND(F165="V.Low",OR(H165="Good",H165="Moderate")),"Error ▲",VLOOKUP(H165,'G-1 All Habitats'!$Z$2:$AA$9,2,FALSE)),"")</f>
        <v/>
      </c>
      <c r="J165" s="154"/>
      <c r="K165" s="520" t="str">
        <f>IF(J165="","",IF(VLOOKUP(J165,'G-3 Multipliers'!$L$3:$N$6,2,FALSE)=0,"Spatial Data Missing ⚠",VLOOKUP(J165,'G-3 Multipliers'!$L$3:$N$6,2,FALSE)))</f>
        <v/>
      </c>
      <c r="L165" s="524" t="str">
        <f>IF(J165="","",IF(VLOOKUP(J165,'G-3 Multipliers'!$L$3:$N$6,3,FALSE)=0,"Spatial Data Missing ⚠",VLOOKUP(J165,'G-3 Multipliers'!$L$3:$N$6,3,FALSE)))</f>
        <v/>
      </c>
      <c r="M165" s="506" t="str">
        <f>IF(D165="","",VLOOKUP(D165,'G-6 Hedgerow Data'!$B$1:$AH$15,33,FALSE))</f>
        <v/>
      </c>
      <c r="N165" s="513" t="str">
        <f t="shared" si="16"/>
        <v/>
      </c>
      <c r="O165" s="40"/>
      <c r="P165" s="145"/>
      <c r="Q165" s="157"/>
      <c r="R165" s="507" t="str">
        <f t="shared" si="17"/>
        <v/>
      </c>
      <c r="S165" s="507" t="str">
        <f t="shared" si="18"/>
        <v/>
      </c>
      <c r="T165" s="511" t="str">
        <f t="shared" si="19"/>
        <v/>
      </c>
      <c r="U165" s="515" t="str">
        <f t="shared" si="20"/>
        <v/>
      </c>
      <c r="V165" s="151"/>
      <c r="W165" s="152"/>
      <c r="AB165" s="31" t="str">
        <f>IFERROR(INDEX('G-6 Hedgerow Data'!$BJ$3:$BJ$15,MATCH(D165,'G-6 Hedgerow Data'!$B$3:$B$15,0)),"")</f>
        <v/>
      </c>
      <c r="AE165" s="156" t="str">
        <f t="shared" si="14"/>
        <v/>
      </c>
      <c r="AF165" s="156" t="str">
        <f t="shared" si="15"/>
        <v/>
      </c>
      <c r="AH165" s="156">
        <v>156</v>
      </c>
      <c r="AJ165" s="156" t="str">
        <f t="array" ref="AJ165">IFERROR(INDEX($AH$10:$AH$258, MATCH(0, IF(TRUE=$AE$10:$AE$258, COUNTIF($AJ$9:$AJ164, $AH$10:$AH$258), ""), 0)),"")</f>
        <v/>
      </c>
      <c r="AK165" s="156" t="str">
        <f t="array" ref="AK165">IFERROR(INDEX($AH$10:$AH$258, MATCH(0, IF(TRUE=$AF$10:$AF$258, COUNTIF($AK$9:$AK164, $AH$10:$AH$258), ""), 0)),"")</f>
        <v/>
      </c>
    </row>
    <row r="166" spans="2:37" ht="14" x14ac:dyDescent="0.3">
      <c r="B166" s="141">
        <v>157</v>
      </c>
      <c r="C166" s="203"/>
      <c r="D166" s="203"/>
      <c r="E166" s="153"/>
      <c r="F166" s="498" t="str">
        <f>IF(D166="","",VLOOKUP(D166,'G-6 Hedgerow Data'!$B$2:$AG$15,2,FALSE))</f>
        <v/>
      </c>
      <c r="G166" s="499" t="str">
        <f>IF(D166="","",VLOOKUP(D166,'G-6 Hedgerow Data'!$B$2:$AG$15,3,FALSE))</f>
        <v/>
      </c>
      <c r="H166" s="145"/>
      <c r="I166" s="499" t="str">
        <f>IFERROR(IF(AND(F166="V.Low",OR(H166="Good",H166="Moderate")),"Error ▲",VLOOKUP(H166,'G-1 All Habitats'!$Z$2:$AA$9,2,FALSE)),"")</f>
        <v/>
      </c>
      <c r="J166" s="154"/>
      <c r="K166" s="520" t="str">
        <f>IF(J166="","",IF(VLOOKUP(J166,'G-3 Multipliers'!$L$3:$N$6,2,FALSE)=0,"Spatial Data Missing ⚠",VLOOKUP(J166,'G-3 Multipliers'!$L$3:$N$6,2,FALSE)))</f>
        <v/>
      </c>
      <c r="L166" s="524" t="str">
        <f>IF(J166="","",IF(VLOOKUP(J166,'G-3 Multipliers'!$L$3:$N$6,3,FALSE)=0,"Spatial Data Missing ⚠",VLOOKUP(J166,'G-3 Multipliers'!$L$3:$N$6,3,FALSE)))</f>
        <v/>
      </c>
      <c r="M166" s="506" t="str">
        <f>IF(D166="","",VLOOKUP(D166,'G-6 Hedgerow Data'!$B$1:$AH$15,33,FALSE))</f>
        <v/>
      </c>
      <c r="N166" s="513" t="str">
        <f t="shared" si="16"/>
        <v/>
      </c>
      <c r="O166" s="40"/>
      <c r="P166" s="145"/>
      <c r="Q166" s="157"/>
      <c r="R166" s="507" t="str">
        <f t="shared" si="17"/>
        <v/>
      </c>
      <c r="S166" s="507" t="str">
        <f t="shared" si="18"/>
        <v/>
      </c>
      <c r="T166" s="511" t="str">
        <f t="shared" si="19"/>
        <v/>
      </c>
      <c r="U166" s="515" t="str">
        <f t="shared" si="20"/>
        <v/>
      </c>
      <c r="V166" s="151"/>
      <c r="W166" s="152"/>
      <c r="AB166" s="31" t="str">
        <f>IFERROR(INDEX('G-6 Hedgerow Data'!$BJ$3:$BJ$15,MATCH(D166,'G-6 Hedgerow Data'!$B$3:$B$15,0)),"")</f>
        <v/>
      </c>
      <c r="AE166" s="156" t="str">
        <f t="shared" si="14"/>
        <v/>
      </c>
      <c r="AF166" s="156" t="str">
        <f t="shared" si="15"/>
        <v/>
      </c>
      <c r="AH166" s="156">
        <v>157</v>
      </c>
      <c r="AJ166" s="156" t="str">
        <f t="array" ref="AJ166">IFERROR(INDEX($AH$10:$AH$258, MATCH(0, IF(TRUE=$AE$10:$AE$258, COUNTIF($AJ$9:$AJ165, $AH$10:$AH$258), ""), 0)),"")</f>
        <v/>
      </c>
      <c r="AK166" s="156" t="str">
        <f t="array" ref="AK166">IFERROR(INDEX($AH$10:$AH$258, MATCH(0, IF(TRUE=$AF$10:$AF$258, COUNTIF($AK$9:$AK165, $AH$10:$AH$258), ""), 0)),"")</f>
        <v/>
      </c>
    </row>
    <row r="167" spans="2:37" ht="14" x14ac:dyDescent="0.3">
      <c r="B167" s="141">
        <v>158</v>
      </c>
      <c r="C167" s="203"/>
      <c r="D167" s="203"/>
      <c r="E167" s="153"/>
      <c r="F167" s="498" t="str">
        <f>IF(D167="","",VLOOKUP(D167,'G-6 Hedgerow Data'!$B$2:$AG$15,2,FALSE))</f>
        <v/>
      </c>
      <c r="G167" s="499" t="str">
        <f>IF(D167="","",VLOOKUP(D167,'G-6 Hedgerow Data'!$B$2:$AG$15,3,FALSE))</f>
        <v/>
      </c>
      <c r="H167" s="145"/>
      <c r="I167" s="499" t="str">
        <f>IFERROR(IF(AND(F167="V.Low",OR(H167="Good",H167="Moderate")),"Error ▲",VLOOKUP(H167,'G-1 All Habitats'!$Z$2:$AA$9,2,FALSE)),"")</f>
        <v/>
      </c>
      <c r="J167" s="154"/>
      <c r="K167" s="520" t="str">
        <f>IF(J167="","",IF(VLOOKUP(J167,'G-3 Multipliers'!$L$3:$N$6,2,FALSE)=0,"Spatial Data Missing ⚠",VLOOKUP(J167,'G-3 Multipliers'!$L$3:$N$6,2,FALSE)))</f>
        <v/>
      </c>
      <c r="L167" s="524" t="str">
        <f>IF(J167="","",IF(VLOOKUP(J167,'G-3 Multipliers'!$L$3:$N$6,3,FALSE)=0,"Spatial Data Missing ⚠",VLOOKUP(J167,'G-3 Multipliers'!$L$3:$N$6,3,FALSE)))</f>
        <v/>
      </c>
      <c r="M167" s="506" t="str">
        <f>IF(D167="","",VLOOKUP(D167,'G-6 Hedgerow Data'!$B$1:$AH$15,33,FALSE))</f>
        <v/>
      </c>
      <c r="N167" s="513" t="str">
        <f t="shared" si="16"/>
        <v/>
      </c>
      <c r="O167" s="40"/>
      <c r="P167" s="145"/>
      <c r="Q167" s="157"/>
      <c r="R167" s="507" t="str">
        <f t="shared" si="17"/>
        <v/>
      </c>
      <c r="S167" s="507" t="str">
        <f t="shared" si="18"/>
        <v/>
      </c>
      <c r="T167" s="511" t="str">
        <f t="shared" si="19"/>
        <v/>
      </c>
      <c r="U167" s="515" t="str">
        <f t="shared" si="20"/>
        <v/>
      </c>
      <c r="V167" s="151"/>
      <c r="W167" s="152"/>
      <c r="AB167" s="31" t="str">
        <f>IFERROR(INDEX('G-6 Hedgerow Data'!$BJ$3:$BJ$15,MATCH(D167,'G-6 Hedgerow Data'!$B$3:$B$15,0)),"")</f>
        <v/>
      </c>
      <c r="AE167" s="156" t="str">
        <f t="shared" si="14"/>
        <v/>
      </c>
      <c r="AF167" s="156" t="str">
        <f t="shared" si="15"/>
        <v/>
      </c>
      <c r="AH167" s="156">
        <v>158</v>
      </c>
      <c r="AJ167" s="156" t="str">
        <f t="array" ref="AJ167">IFERROR(INDEX($AH$10:$AH$258, MATCH(0, IF(TRUE=$AE$10:$AE$258, COUNTIF($AJ$9:$AJ166, $AH$10:$AH$258), ""), 0)),"")</f>
        <v/>
      </c>
      <c r="AK167" s="156" t="str">
        <f t="array" ref="AK167">IFERROR(INDEX($AH$10:$AH$258, MATCH(0, IF(TRUE=$AF$10:$AF$258, COUNTIF($AK$9:$AK166, $AH$10:$AH$258), ""), 0)),"")</f>
        <v/>
      </c>
    </row>
    <row r="168" spans="2:37" ht="14" x14ac:dyDescent="0.3">
      <c r="B168" s="141">
        <v>159</v>
      </c>
      <c r="C168" s="203"/>
      <c r="D168" s="203"/>
      <c r="E168" s="153"/>
      <c r="F168" s="498" t="str">
        <f>IF(D168="","",VLOOKUP(D168,'G-6 Hedgerow Data'!$B$2:$AG$15,2,FALSE))</f>
        <v/>
      </c>
      <c r="G168" s="499" t="str">
        <f>IF(D168="","",VLOOKUP(D168,'G-6 Hedgerow Data'!$B$2:$AG$15,3,FALSE))</f>
        <v/>
      </c>
      <c r="H168" s="145"/>
      <c r="I168" s="499" t="str">
        <f>IFERROR(IF(AND(F168="V.Low",OR(H168="Good",H168="Moderate")),"Error ▲",VLOOKUP(H168,'G-1 All Habitats'!$Z$2:$AA$9,2,FALSE)),"")</f>
        <v/>
      </c>
      <c r="J168" s="154"/>
      <c r="K168" s="520" t="str">
        <f>IF(J168="","",IF(VLOOKUP(J168,'G-3 Multipliers'!$L$3:$N$6,2,FALSE)=0,"Spatial Data Missing ⚠",VLOOKUP(J168,'G-3 Multipliers'!$L$3:$N$6,2,FALSE)))</f>
        <v/>
      </c>
      <c r="L168" s="524" t="str">
        <f>IF(J168="","",IF(VLOOKUP(J168,'G-3 Multipliers'!$L$3:$N$6,3,FALSE)=0,"Spatial Data Missing ⚠",VLOOKUP(J168,'G-3 Multipliers'!$L$3:$N$6,3,FALSE)))</f>
        <v/>
      </c>
      <c r="M168" s="506" t="str">
        <f>IF(D168="","",VLOOKUP(D168,'G-6 Hedgerow Data'!$B$1:$AH$15,33,FALSE))</f>
        <v/>
      </c>
      <c r="N168" s="513" t="str">
        <f t="shared" si="16"/>
        <v/>
      </c>
      <c r="O168" s="40"/>
      <c r="P168" s="145"/>
      <c r="Q168" s="157"/>
      <c r="R168" s="507" t="str">
        <f t="shared" si="17"/>
        <v/>
      </c>
      <c r="S168" s="507" t="str">
        <f t="shared" si="18"/>
        <v/>
      </c>
      <c r="T168" s="511" t="str">
        <f t="shared" si="19"/>
        <v/>
      </c>
      <c r="U168" s="515" t="str">
        <f t="shared" si="20"/>
        <v/>
      </c>
      <c r="V168" s="151"/>
      <c r="W168" s="152"/>
      <c r="AB168" s="31" t="str">
        <f>IFERROR(INDEX('G-6 Hedgerow Data'!$BJ$3:$BJ$15,MATCH(D168,'G-6 Hedgerow Data'!$B$3:$B$15,0)),"")</f>
        <v/>
      </c>
      <c r="AE168" s="156" t="str">
        <f t="shared" si="14"/>
        <v/>
      </c>
      <c r="AF168" s="156" t="str">
        <f t="shared" si="15"/>
        <v/>
      </c>
      <c r="AH168" s="156">
        <v>159</v>
      </c>
      <c r="AJ168" s="156" t="str">
        <f t="array" ref="AJ168">IFERROR(INDEX($AH$10:$AH$258, MATCH(0, IF(TRUE=$AE$10:$AE$258, COUNTIF($AJ$9:$AJ167, $AH$10:$AH$258), ""), 0)),"")</f>
        <v/>
      </c>
      <c r="AK168" s="156" t="str">
        <f t="array" ref="AK168">IFERROR(INDEX($AH$10:$AH$258, MATCH(0, IF(TRUE=$AF$10:$AF$258, COUNTIF($AK$9:$AK167, $AH$10:$AH$258), ""), 0)),"")</f>
        <v/>
      </c>
    </row>
    <row r="169" spans="2:37" ht="14" x14ac:dyDescent="0.3">
      <c r="B169" s="141">
        <v>160</v>
      </c>
      <c r="C169" s="203"/>
      <c r="D169" s="203"/>
      <c r="E169" s="153"/>
      <c r="F169" s="498" t="str">
        <f>IF(D169="","",VLOOKUP(D169,'G-6 Hedgerow Data'!$B$2:$AG$15,2,FALSE))</f>
        <v/>
      </c>
      <c r="G169" s="499" t="str">
        <f>IF(D169="","",VLOOKUP(D169,'G-6 Hedgerow Data'!$B$2:$AG$15,3,FALSE))</f>
        <v/>
      </c>
      <c r="H169" s="145"/>
      <c r="I169" s="499" t="str">
        <f>IFERROR(IF(AND(F169="V.Low",OR(H169="Good",H169="Moderate")),"Error ▲",VLOOKUP(H169,'G-1 All Habitats'!$Z$2:$AA$9,2,FALSE)),"")</f>
        <v/>
      </c>
      <c r="J169" s="154"/>
      <c r="K169" s="520" t="str">
        <f>IF(J169="","",IF(VLOOKUP(J169,'G-3 Multipliers'!$L$3:$N$6,2,FALSE)=0,"Spatial Data Missing ⚠",VLOOKUP(J169,'G-3 Multipliers'!$L$3:$N$6,2,FALSE)))</f>
        <v/>
      </c>
      <c r="L169" s="524" t="str">
        <f>IF(J169="","",IF(VLOOKUP(J169,'G-3 Multipliers'!$L$3:$N$6,3,FALSE)=0,"Spatial Data Missing ⚠",VLOOKUP(J169,'G-3 Multipliers'!$L$3:$N$6,3,FALSE)))</f>
        <v/>
      </c>
      <c r="M169" s="506" t="str">
        <f>IF(D169="","",VLOOKUP(D169,'G-6 Hedgerow Data'!$B$1:$AH$15,33,FALSE))</f>
        <v/>
      </c>
      <c r="N169" s="513" t="str">
        <f t="shared" si="16"/>
        <v/>
      </c>
      <c r="O169" s="40"/>
      <c r="P169" s="145"/>
      <c r="Q169" s="157"/>
      <c r="R169" s="507" t="str">
        <f t="shared" si="17"/>
        <v/>
      </c>
      <c r="S169" s="507" t="str">
        <f t="shared" si="18"/>
        <v/>
      </c>
      <c r="T169" s="511" t="str">
        <f t="shared" si="19"/>
        <v/>
      </c>
      <c r="U169" s="515" t="str">
        <f t="shared" si="20"/>
        <v/>
      </c>
      <c r="V169" s="151"/>
      <c r="W169" s="152"/>
      <c r="AB169" s="31" t="str">
        <f>IFERROR(INDEX('G-6 Hedgerow Data'!$BJ$3:$BJ$15,MATCH(D169,'G-6 Hedgerow Data'!$B$3:$B$15,0)),"")</f>
        <v/>
      </c>
      <c r="AE169" s="156" t="str">
        <f t="shared" si="14"/>
        <v/>
      </c>
      <c r="AF169" s="156" t="str">
        <f t="shared" si="15"/>
        <v/>
      </c>
      <c r="AH169" s="156">
        <v>160</v>
      </c>
      <c r="AJ169" s="156" t="str">
        <f t="array" ref="AJ169">IFERROR(INDEX($AH$10:$AH$258, MATCH(0, IF(TRUE=$AE$10:$AE$258, COUNTIF($AJ$9:$AJ168, $AH$10:$AH$258), ""), 0)),"")</f>
        <v/>
      </c>
      <c r="AK169" s="156" t="str">
        <f t="array" ref="AK169">IFERROR(INDEX($AH$10:$AH$258, MATCH(0, IF(TRUE=$AF$10:$AF$258, COUNTIF($AK$9:$AK168, $AH$10:$AH$258), ""), 0)),"")</f>
        <v/>
      </c>
    </row>
    <row r="170" spans="2:37" ht="14" x14ac:dyDescent="0.3">
      <c r="B170" s="141">
        <v>161</v>
      </c>
      <c r="C170" s="203"/>
      <c r="D170" s="203"/>
      <c r="E170" s="153"/>
      <c r="F170" s="498" t="str">
        <f>IF(D170="","",VLOOKUP(D170,'G-6 Hedgerow Data'!$B$2:$AG$15,2,FALSE))</f>
        <v/>
      </c>
      <c r="G170" s="499" t="str">
        <f>IF(D170="","",VLOOKUP(D170,'G-6 Hedgerow Data'!$B$2:$AG$15,3,FALSE))</f>
        <v/>
      </c>
      <c r="H170" s="145"/>
      <c r="I170" s="499" t="str">
        <f>IFERROR(IF(AND(F170="V.Low",OR(H170="Good",H170="Moderate")),"Error ▲",VLOOKUP(H170,'G-1 All Habitats'!$Z$2:$AA$9,2,FALSE)),"")</f>
        <v/>
      </c>
      <c r="J170" s="154"/>
      <c r="K170" s="520" t="str">
        <f>IF(J170="","",IF(VLOOKUP(J170,'G-3 Multipliers'!$L$3:$N$6,2,FALSE)=0,"Spatial Data Missing ⚠",VLOOKUP(J170,'G-3 Multipliers'!$L$3:$N$6,2,FALSE)))</f>
        <v/>
      </c>
      <c r="L170" s="524" t="str">
        <f>IF(J170="","",IF(VLOOKUP(J170,'G-3 Multipliers'!$L$3:$N$6,3,FALSE)=0,"Spatial Data Missing ⚠",VLOOKUP(J170,'G-3 Multipliers'!$L$3:$N$6,3,FALSE)))</f>
        <v/>
      </c>
      <c r="M170" s="506" t="str">
        <f>IF(D170="","",VLOOKUP(D170,'G-6 Hedgerow Data'!$B$1:$AH$15,33,FALSE))</f>
        <v/>
      </c>
      <c r="N170" s="513" t="str">
        <f t="shared" si="16"/>
        <v/>
      </c>
      <c r="O170" s="40"/>
      <c r="P170" s="145"/>
      <c r="Q170" s="157"/>
      <c r="R170" s="507" t="str">
        <f t="shared" si="17"/>
        <v/>
      </c>
      <c r="S170" s="507" t="str">
        <f t="shared" si="18"/>
        <v/>
      </c>
      <c r="T170" s="511" t="str">
        <f t="shared" si="19"/>
        <v/>
      </c>
      <c r="U170" s="515" t="str">
        <f t="shared" si="20"/>
        <v/>
      </c>
      <c r="V170" s="151"/>
      <c r="W170" s="152"/>
      <c r="AB170" s="31" t="str">
        <f>IFERROR(INDEX('G-6 Hedgerow Data'!$BJ$3:$BJ$15,MATCH(D170,'G-6 Hedgerow Data'!$B$3:$B$15,0)),"")</f>
        <v/>
      </c>
      <c r="AE170" s="156" t="str">
        <f t="shared" si="14"/>
        <v/>
      </c>
      <c r="AF170" s="156" t="str">
        <f t="shared" si="15"/>
        <v/>
      </c>
      <c r="AH170" s="156">
        <v>161</v>
      </c>
      <c r="AJ170" s="156" t="str">
        <f t="array" ref="AJ170">IFERROR(INDEX($AH$10:$AH$258, MATCH(0, IF(TRUE=$AE$10:$AE$258, COUNTIF($AJ$9:$AJ169, $AH$10:$AH$258), ""), 0)),"")</f>
        <v/>
      </c>
      <c r="AK170" s="156" t="str">
        <f t="array" ref="AK170">IFERROR(INDEX($AH$10:$AH$258, MATCH(0, IF(TRUE=$AF$10:$AF$258, COUNTIF($AK$9:$AK169, $AH$10:$AH$258), ""), 0)),"")</f>
        <v/>
      </c>
    </row>
    <row r="171" spans="2:37" ht="14" x14ac:dyDescent="0.3">
      <c r="B171" s="141">
        <v>162</v>
      </c>
      <c r="C171" s="203"/>
      <c r="D171" s="203"/>
      <c r="E171" s="153"/>
      <c r="F171" s="498" t="str">
        <f>IF(D171="","",VLOOKUP(D171,'G-6 Hedgerow Data'!$B$2:$AG$15,2,FALSE))</f>
        <v/>
      </c>
      <c r="G171" s="499" t="str">
        <f>IF(D171="","",VLOOKUP(D171,'G-6 Hedgerow Data'!$B$2:$AG$15,3,FALSE))</f>
        <v/>
      </c>
      <c r="H171" s="145"/>
      <c r="I171" s="499" t="str">
        <f>IFERROR(IF(AND(F171="V.Low",OR(H171="Good",H171="Moderate")),"Error ▲",VLOOKUP(H171,'G-1 All Habitats'!$Z$2:$AA$9,2,FALSE)),"")</f>
        <v/>
      </c>
      <c r="J171" s="154"/>
      <c r="K171" s="520" t="str">
        <f>IF(J171="","",IF(VLOOKUP(J171,'G-3 Multipliers'!$L$3:$N$6,2,FALSE)=0,"Spatial Data Missing ⚠",VLOOKUP(J171,'G-3 Multipliers'!$L$3:$N$6,2,FALSE)))</f>
        <v/>
      </c>
      <c r="L171" s="524" t="str">
        <f>IF(J171="","",IF(VLOOKUP(J171,'G-3 Multipliers'!$L$3:$N$6,3,FALSE)=0,"Spatial Data Missing ⚠",VLOOKUP(J171,'G-3 Multipliers'!$L$3:$N$6,3,FALSE)))</f>
        <v/>
      </c>
      <c r="M171" s="506" t="str">
        <f>IF(D171="","",VLOOKUP(D171,'G-6 Hedgerow Data'!$B$1:$AH$15,33,FALSE))</f>
        <v/>
      </c>
      <c r="N171" s="513" t="str">
        <f t="shared" si="16"/>
        <v/>
      </c>
      <c r="O171" s="40"/>
      <c r="P171" s="145"/>
      <c r="Q171" s="157"/>
      <c r="R171" s="507" t="str">
        <f t="shared" si="17"/>
        <v/>
      </c>
      <c r="S171" s="507" t="str">
        <f t="shared" si="18"/>
        <v/>
      </c>
      <c r="T171" s="511" t="str">
        <f t="shared" si="19"/>
        <v/>
      </c>
      <c r="U171" s="515" t="str">
        <f t="shared" si="20"/>
        <v/>
      </c>
      <c r="V171" s="151"/>
      <c r="W171" s="152"/>
      <c r="AB171" s="31" t="str">
        <f>IFERROR(INDEX('G-6 Hedgerow Data'!$BJ$3:$BJ$15,MATCH(D171,'G-6 Hedgerow Data'!$B$3:$B$15,0)),"")</f>
        <v/>
      </c>
      <c r="AE171" s="156" t="str">
        <f t="shared" si="14"/>
        <v/>
      </c>
      <c r="AF171" s="156" t="str">
        <f t="shared" si="15"/>
        <v/>
      </c>
      <c r="AH171" s="156">
        <v>162</v>
      </c>
      <c r="AJ171" s="156" t="str">
        <f t="array" ref="AJ171">IFERROR(INDEX($AH$10:$AH$258, MATCH(0, IF(TRUE=$AE$10:$AE$258, COUNTIF($AJ$9:$AJ170, $AH$10:$AH$258), ""), 0)),"")</f>
        <v/>
      </c>
      <c r="AK171" s="156" t="str">
        <f t="array" ref="AK171">IFERROR(INDEX($AH$10:$AH$258, MATCH(0, IF(TRUE=$AF$10:$AF$258, COUNTIF($AK$9:$AK170, $AH$10:$AH$258), ""), 0)),"")</f>
        <v/>
      </c>
    </row>
    <row r="172" spans="2:37" ht="14" x14ac:dyDescent="0.3">
      <c r="B172" s="141">
        <v>163</v>
      </c>
      <c r="C172" s="203"/>
      <c r="D172" s="203"/>
      <c r="E172" s="153"/>
      <c r="F172" s="498" t="str">
        <f>IF(D172="","",VLOOKUP(D172,'G-6 Hedgerow Data'!$B$2:$AG$15,2,FALSE))</f>
        <v/>
      </c>
      <c r="G172" s="499" t="str">
        <f>IF(D172="","",VLOOKUP(D172,'G-6 Hedgerow Data'!$B$2:$AG$15,3,FALSE))</f>
        <v/>
      </c>
      <c r="H172" s="145"/>
      <c r="I172" s="499" t="str">
        <f>IFERROR(IF(AND(F172="V.Low",OR(H172="Good",H172="Moderate")),"Error ▲",VLOOKUP(H172,'G-1 All Habitats'!$Z$2:$AA$9,2,FALSE)),"")</f>
        <v/>
      </c>
      <c r="J172" s="154"/>
      <c r="K172" s="520" t="str">
        <f>IF(J172="","",IF(VLOOKUP(J172,'G-3 Multipliers'!$L$3:$N$6,2,FALSE)=0,"Spatial Data Missing ⚠",VLOOKUP(J172,'G-3 Multipliers'!$L$3:$N$6,2,FALSE)))</f>
        <v/>
      </c>
      <c r="L172" s="524" t="str">
        <f>IF(J172="","",IF(VLOOKUP(J172,'G-3 Multipliers'!$L$3:$N$6,3,FALSE)=0,"Spatial Data Missing ⚠",VLOOKUP(J172,'G-3 Multipliers'!$L$3:$N$6,3,FALSE)))</f>
        <v/>
      </c>
      <c r="M172" s="506" t="str">
        <f>IF(D172="","",VLOOKUP(D172,'G-6 Hedgerow Data'!$B$1:$AH$15,33,FALSE))</f>
        <v/>
      </c>
      <c r="N172" s="513" t="str">
        <f t="shared" si="16"/>
        <v/>
      </c>
      <c r="O172" s="40"/>
      <c r="P172" s="145"/>
      <c r="Q172" s="157"/>
      <c r="R172" s="507" t="str">
        <f t="shared" si="17"/>
        <v/>
      </c>
      <c r="S172" s="507" t="str">
        <f t="shared" si="18"/>
        <v/>
      </c>
      <c r="T172" s="511" t="str">
        <f t="shared" si="19"/>
        <v/>
      </c>
      <c r="U172" s="515" t="str">
        <f t="shared" si="20"/>
        <v/>
      </c>
      <c r="V172" s="151"/>
      <c r="W172" s="152"/>
      <c r="AB172" s="31" t="str">
        <f>IFERROR(INDEX('G-6 Hedgerow Data'!$BJ$3:$BJ$15,MATCH(D172,'G-6 Hedgerow Data'!$B$3:$B$15,0)),"")</f>
        <v/>
      </c>
      <c r="AE172" s="156" t="str">
        <f t="shared" si="14"/>
        <v/>
      </c>
      <c r="AF172" s="156" t="str">
        <f t="shared" si="15"/>
        <v/>
      </c>
      <c r="AH172" s="156">
        <v>163</v>
      </c>
      <c r="AJ172" s="156" t="str">
        <f t="array" ref="AJ172">IFERROR(INDEX($AH$10:$AH$258, MATCH(0, IF(TRUE=$AE$10:$AE$258, COUNTIF($AJ$9:$AJ171, $AH$10:$AH$258), ""), 0)),"")</f>
        <v/>
      </c>
      <c r="AK172" s="156" t="str">
        <f t="array" ref="AK172">IFERROR(INDEX($AH$10:$AH$258, MATCH(0, IF(TRUE=$AF$10:$AF$258, COUNTIF($AK$9:$AK171, $AH$10:$AH$258), ""), 0)),"")</f>
        <v/>
      </c>
    </row>
    <row r="173" spans="2:37" ht="14" x14ac:dyDescent="0.3">
      <c r="B173" s="141">
        <v>164</v>
      </c>
      <c r="C173" s="203"/>
      <c r="D173" s="203"/>
      <c r="E173" s="153"/>
      <c r="F173" s="498" t="str">
        <f>IF(D173="","",VLOOKUP(D173,'G-6 Hedgerow Data'!$B$2:$AG$15,2,FALSE))</f>
        <v/>
      </c>
      <c r="G173" s="499" t="str">
        <f>IF(D173="","",VLOOKUP(D173,'G-6 Hedgerow Data'!$B$2:$AG$15,3,FALSE))</f>
        <v/>
      </c>
      <c r="H173" s="145"/>
      <c r="I173" s="499" t="str">
        <f>IFERROR(IF(AND(F173="V.Low",OR(H173="Good",H173="Moderate")),"Error ▲",VLOOKUP(H173,'G-1 All Habitats'!$Z$2:$AA$9,2,FALSE)),"")</f>
        <v/>
      </c>
      <c r="J173" s="154"/>
      <c r="K173" s="520" t="str">
        <f>IF(J173="","",IF(VLOOKUP(J173,'G-3 Multipliers'!$L$3:$N$6,2,FALSE)=0,"Spatial Data Missing ⚠",VLOOKUP(J173,'G-3 Multipliers'!$L$3:$N$6,2,FALSE)))</f>
        <v/>
      </c>
      <c r="L173" s="524" t="str">
        <f>IF(J173="","",IF(VLOOKUP(J173,'G-3 Multipliers'!$L$3:$N$6,3,FALSE)=0,"Spatial Data Missing ⚠",VLOOKUP(J173,'G-3 Multipliers'!$L$3:$N$6,3,FALSE)))</f>
        <v/>
      </c>
      <c r="M173" s="506" t="str">
        <f>IF(D173="","",VLOOKUP(D173,'G-6 Hedgerow Data'!$B$1:$AH$15,33,FALSE))</f>
        <v/>
      </c>
      <c r="N173" s="513" t="str">
        <f t="shared" si="16"/>
        <v/>
      </c>
      <c r="O173" s="40"/>
      <c r="P173" s="145"/>
      <c r="Q173" s="157"/>
      <c r="R173" s="507" t="str">
        <f t="shared" si="17"/>
        <v/>
      </c>
      <c r="S173" s="507" t="str">
        <f t="shared" si="18"/>
        <v/>
      </c>
      <c r="T173" s="511" t="str">
        <f t="shared" si="19"/>
        <v/>
      </c>
      <c r="U173" s="515" t="str">
        <f t="shared" si="20"/>
        <v/>
      </c>
      <c r="V173" s="151"/>
      <c r="W173" s="152"/>
      <c r="AB173" s="31" t="str">
        <f>IFERROR(INDEX('G-6 Hedgerow Data'!$BJ$3:$BJ$15,MATCH(D173,'G-6 Hedgerow Data'!$B$3:$B$15,0)),"")</f>
        <v/>
      </c>
      <c r="AE173" s="156" t="str">
        <f t="shared" si="14"/>
        <v/>
      </c>
      <c r="AF173" s="156" t="str">
        <f t="shared" si="15"/>
        <v/>
      </c>
      <c r="AH173" s="156">
        <v>164</v>
      </c>
      <c r="AJ173" s="156" t="str">
        <f t="array" ref="AJ173">IFERROR(INDEX($AH$10:$AH$258, MATCH(0, IF(TRUE=$AE$10:$AE$258, COUNTIF($AJ$9:$AJ172, $AH$10:$AH$258), ""), 0)),"")</f>
        <v/>
      </c>
      <c r="AK173" s="156" t="str">
        <f t="array" ref="AK173">IFERROR(INDEX($AH$10:$AH$258, MATCH(0, IF(TRUE=$AF$10:$AF$258, COUNTIF($AK$9:$AK172, $AH$10:$AH$258), ""), 0)),"")</f>
        <v/>
      </c>
    </row>
    <row r="174" spans="2:37" ht="14" x14ac:dyDescent="0.3">
      <c r="B174" s="141">
        <v>165</v>
      </c>
      <c r="C174" s="203"/>
      <c r="D174" s="203"/>
      <c r="E174" s="153"/>
      <c r="F174" s="498" t="str">
        <f>IF(D174="","",VLOOKUP(D174,'G-6 Hedgerow Data'!$B$2:$AG$15,2,FALSE))</f>
        <v/>
      </c>
      <c r="G174" s="499" t="str">
        <f>IF(D174="","",VLOOKUP(D174,'G-6 Hedgerow Data'!$B$2:$AG$15,3,FALSE))</f>
        <v/>
      </c>
      <c r="H174" s="145"/>
      <c r="I174" s="499" t="str">
        <f>IFERROR(IF(AND(F174="V.Low",OR(H174="Good",H174="Moderate")),"Error ▲",VLOOKUP(H174,'G-1 All Habitats'!$Z$2:$AA$9,2,FALSE)),"")</f>
        <v/>
      </c>
      <c r="J174" s="154"/>
      <c r="K174" s="520" t="str">
        <f>IF(J174="","",IF(VLOOKUP(J174,'G-3 Multipliers'!$L$3:$N$6,2,FALSE)=0,"Spatial Data Missing ⚠",VLOOKUP(J174,'G-3 Multipliers'!$L$3:$N$6,2,FALSE)))</f>
        <v/>
      </c>
      <c r="L174" s="524" t="str">
        <f>IF(J174="","",IF(VLOOKUP(J174,'G-3 Multipliers'!$L$3:$N$6,3,FALSE)=0,"Spatial Data Missing ⚠",VLOOKUP(J174,'G-3 Multipliers'!$L$3:$N$6,3,FALSE)))</f>
        <v/>
      </c>
      <c r="M174" s="506" t="str">
        <f>IF(D174="","",VLOOKUP(D174,'G-6 Hedgerow Data'!$B$1:$AH$15,33,FALSE))</f>
        <v/>
      </c>
      <c r="N174" s="513" t="str">
        <f t="shared" si="16"/>
        <v/>
      </c>
      <c r="O174" s="40"/>
      <c r="P174" s="145"/>
      <c r="Q174" s="157"/>
      <c r="R174" s="507" t="str">
        <f t="shared" si="17"/>
        <v/>
      </c>
      <c r="S174" s="507" t="str">
        <f t="shared" si="18"/>
        <v/>
      </c>
      <c r="T174" s="511" t="str">
        <f t="shared" si="19"/>
        <v/>
      </c>
      <c r="U174" s="515" t="str">
        <f t="shared" si="20"/>
        <v/>
      </c>
      <c r="V174" s="151"/>
      <c r="W174" s="152"/>
      <c r="AB174" s="31" t="str">
        <f>IFERROR(INDEX('G-6 Hedgerow Data'!$BJ$3:$BJ$15,MATCH(D174,'G-6 Hedgerow Data'!$B$3:$B$15,0)),"")</f>
        <v/>
      </c>
      <c r="AE174" s="156" t="str">
        <f t="shared" si="14"/>
        <v/>
      </c>
      <c r="AF174" s="156" t="str">
        <f t="shared" si="15"/>
        <v/>
      </c>
      <c r="AH174" s="156">
        <v>165</v>
      </c>
      <c r="AJ174" s="156" t="str">
        <f t="array" ref="AJ174">IFERROR(INDEX($AH$10:$AH$258, MATCH(0, IF(TRUE=$AE$10:$AE$258, COUNTIF($AJ$9:$AJ173, $AH$10:$AH$258), ""), 0)),"")</f>
        <v/>
      </c>
      <c r="AK174" s="156" t="str">
        <f t="array" ref="AK174">IFERROR(INDEX($AH$10:$AH$258, MATCH(0, IF(TRUE=$AF$10:$AF$258, COUNTIF($AK$9:$AK173, $AH$10:$AH$258), ""), 0)),"")</f>
        <v/>
      </c>
    </row>
    <row r="175" spans="2:37" ht="14" x14ac:dyDescent="0.3">
      <c r="B175" s="141">
        <v>166</v>
      </c>
      <c r="C175" s="203"/>
      <c r="D175" s="203"/>
      <c r="E175" s="153"/>
      <c r="F175" s="498" t="str">
        <f>IF(D175="","",VLOOKUP(D175,'G-6 Hedgerow Data'!$B$2:$AG$15,2,FALSE))</f>
        <v/>
      </c>
      <c r="G175" s="499" t="str">
        <f>IF(D175="","",VLOOKUP(D175,'G-6 Hedgerow Data'!$B$2:$AG$15,3,FALSE))</f>
        <v/>
      </c>
      <c r="H175" s="145"/>
      <c r="I175" s="499" t="str">
        <f>IFERROR(IF(AND(F175="V.Low",OR(H175="Good",H175="Moderate")),"Error ▲",VLOOKUP(H175,'G-1 All Habitats'!$Z$2:$AA$9,2,FALSE)),"")</f>
        <v/>
      </c>
      <c r="J175" s="154"/>
      <c r="K175" s="520" t="str">
        <f>IF(J175="","",IF(VLOOKUP(J175,'G-3 Multipliers'!$L$3:$N$6,2,FALSE)=0,"Spatial Data Missing ⚠",VLOOKUP(J175,'G-3 Multipliers'!$L$3:$N$6,2,FALSE)))</f>
        <v/>
      </c>
      <c r="L175" s="524" t="str">
        <f>IF(J175="","",IF(VLOOKUP(J175,'G-3 Multipliers'!$L$3:$N$6,3,FALSE)=0,"Spatial Data Missing ⚠",VLOOKUP(J175,'G-3 Multipliers'!$L$3:$N$6,3,FALSE)))</f>
        <v/>
      </c>
      <c r="M175" s="506" t="str">
        <f>IF(D175="","",VLOOKUP(D175,'G-6 Hedgerow Data'!$B$1:$AH$15,33,FALSE))</f>
        <v/>
      </c>
      <c r="N175" s="513" t="str">
        <f t="shared" si="16"/>
        <v/>
      </c>
      <c r="O175" s="40"/>
      <c r="P175" s="145"/>
      <c r="Q175" s="157"/>
      <c r="R175" s="507" t="str">
        <f t="shared" si="17"/>
        <v/>
      </c>
      <c r="S175" s="507" t="str">
        <f t="shared" si="18"/>
        <v/>
      </c>
      <c r="T175" s="511" t="str">
        <f t="shared" si="19"/>
        <v/>
      </c>
      <c r="U175" s="515" t="str">
        <f t="shared" si="20"/>
        <v/>
      </c>
      <c r="V175" s="151"/>
      <c r="W175" s="152"/>
      <c r="AB175" s="31" t="str">
        <f>IFERROR(INDEX('G-6 Hedgerow Data'!$BJ$3:$BJ$15,MATCH(D175,'G-6 Hedgerow Data'!$B$3:$B$15,0)),"")</f>
        <v/>
      </c>
      <c r="AE175" s="156" t="str">
        <f t="shared" si="14"/>
        <v/>
      </c>
      <c r="AF175" s="156" t="str">
        <f t="shared" si="15"/>
        <v/>
      </c>
      <c r="AH175" s="156">
        <v>166</v>
      </c>
      <c r="AJ175" s="156" t="str">
        <f t="array" ref="AJ175">IFERROR(INDEX($AH$10:$AH$258, MATCH(0, IF(TRUE=$AE$10:$AE$258, COUNTIF($AJ$9:$AJ174, $AH$10:$AH$258), ""), 0)),"")</f>
        <v/>
      </c>
      <c r="AK175" s="156" t="str">
        <f t="array" ref="AK175">IFERROR(INDEX($AH$10:$AH$258, MATCH(0, IF(TRUE=$AF$10:$AF$258, COUNTIF($AK$9:$AK174, $AH$10:$AH$258), ""), 0)),"")</f>
        <v/>
      </c>
    </row>
    <row r="176" spans="2:37" ht="14" x14ac:dyDescent="0.3">
      <c r="B176" s="141">
        <v>167</v>
      </c>
      <c r="C176" s="203"/>
      <c r="D176" s="203"/>
      <c r="E176" s="153"/>
      <c r="F176" s="498" t="str">
        <f>IF(D176="","",VLOOKUP(D176,'G-6 Hedgerow Data'!$B$2:$AG$15,2,FALSE))</f>
        <v/>
      </c>
      <c r="G176" s="499" t="str">
        <f>IF(D176="","",VLOOKUP(D176,'G-6 Hedgerow Data'!$B$2:$AG$15,3,FALSE))</f>
        <v/>
      </c>
      <c r="H176" s="145"/>
      <c r="I176" s="499" t="str">
        <f>IFERROR(IF(AND(F176="V.Low",OR(H176="Good",H176="Moderate")),"Error ▲",VLOOKUP(H176,'G-1 All Habitats'!$Z$2:$AA$9,2,FALSE)),"")</f>
        <v/>
      </c>
      <c r="J176" s="154"/>
      <c r="K176" s="520" t="str">
        <f>IF(J176="","",IF(VLOOKUP(J176,'G-3 Multipliers'!$L$3:$N$6,2,FALSE)=0,"Spatial Data Missing ⚠",VLOOKUP(J176,'G-3 Multipliers'!$L$3:$N$6,2,FALSE)))</f>
        <v/>
      </c>
      <c r="L176" s="524" t="str">
        <f>IF(J176="","",IF(VLOOKUP(J176,'G-3 Multipliers'!$L$3:$N$6,3,FALSE)=0,"Spatial Data Missing ⚠",VLOOKUP(J176,'G-3 Multipliers'!$L$3:$N$6,3,FALSE)))</f>
        <v/>
      </c>
      <c r="M176" s="506" t="str">
        <f>IF(D176="","",VLOOKUP(D176,'G-6 Hedgerow Data'!$B$1:$AH$15,33,FALSE))</f>
        <v/>
      </c>
      <c r="N176" s="513" t="str">
        <f t="shared" si="16"/>
        <v/>
      </c>
      <c r="O176" s="40"/>
      <c r="P176" s="145"/>
      <c r="Q176" s="157"/>
      <c r="R176" s="507" t="str">
        <f t="shared" si="17"/>
        <v/>
      </c>
      <c r="S176" s="507" t="str">
        <f t="shared" si="18"/>
        <v/>
      </c>
      <c r="T176" s="511" t="str">
        <f t="shared" si="19"/>
        <v/>
      </c>
      <c r="U176" s="515" t="str">
        <f t="shared" si="20"/>
        <v/>
      </c>
      <c r="V176" s="151"/>
      <c r="W176" s="152"/>
      <c r="AB176" s="31" t="str">
        <f>IFERROR(INDEX('G-6 Hedgerow Data'!$BJ$3:$BJ$15,MATCH(D176,'G-6 Hedgerow Data'!$B$3:$B$15,0)),"")</f>
        <v/>
      </c>
      <c r="AE176" s="156" t="str">
        <f t="shared" si="14"/>
        <v/>
      </c>
      <c r="AF176" s="156" t="str">
        <f t="shared" si="15"/>
        <v/>
      </c>
      <c r="AH176" s="156">
        <v>167</v>
      </c>
      <c r="AJ176" s="156" t="str">
        <f t="array" ref="AJ176">IFERROR(INDEX($AH$10:$AH$258, MATCH(0, IF(TRUE=$AE$10:$AE$258, COUNTIF($AJ$9:$AJ175, $AH$10:$AH$258), ""), 0)),"")</f>
        <v/>
      </c>
      <c r="AK176" s="156" t="str">
        <f t="array" ref="AK176">IFERROR(INDEX($AH$10:$AH$258, MATCH(0, IF(TRUE=$AF$10:$AF$258, COUNTIF($AK$9:$AK175, $AH$10:$AH$258), ""), 0)),"")</f>
        <v/>
      </c>
    </row>
    <row r="177" spans="2:37" ht="14" x14ac:dyDescent="0.3">
      <c r="B177" s="141">
        <v>168</v>
      </c>
      <c r="C177" s="203"/>
      <c r="D177" s="203"/>
      <c r="E177" s="153"/>
      <c r="F177" s="498" t="str">
        <f>IF(D177="","",VLOOKUP(D177,'G-6 Hedgerow Data'!$B$2:$AG$15,2,FALSE))</f>
        <v/>
      </c>
      <c r="G177" s="499" t="str">
        <f>IF(D177="","",VLOOKUP(D177,'G-6 Hedgerow Data'!$B$2:$AG$15,3,FALSE))</f>
        <v/>
      </c>
      <c r="H177" s="145"/>
      <c r="I177" s="499" t="str">
        <f>IFERROR(IF(AND(F177="V.Low",OR(H177="Good",H177="Moderate")),"Error ▲",VLOOKUP(H177,'G-1 All Habitats'!$Z$2:$AA$9,2,FALSE)),"")</f>
        <v/>
      </c>
      <c r="J177" s="154"/>
      <c r="K177" s="520" t="str">
        <f>IF(J177="","",IF(VLOOKUP(J177,'G-3 Multipliers'!$L$3:$N$6,2,FALSE)=0,"Spatial Data Missing ⚠",VLOOKUP(J177,'G-3 Multipliers'!$L$3:$N$6,2,FALSE)))</f>
        <v/>
      </c>
      <c r="L177" s="524" t="str">
        <f>IF(J177="","",IF(VLOOKUP(J177,'G-3 Multipliers'!$L$3:$N$6,3,FALSE)=0,"Spatial Data Missing ⚠",VLOOKUP(J177,'G-3 Multipliers'!$L$3:$N$6,3,FALSE)))</f>
        <v/>
      </c>
      <c r="M177" s="506" t="str">
        <f>IF(D177="","",VLOOKUP(D177,'G-6 Hedgerow Data'!$B$1:$AH$15,33,FALSE))</f>
        <v/>
      </c>
      <c r="N177" s="513" t="str">
        <f t="shared" si="16"/>
        <v/>
      </c>
      <c r="O177" s="40"/>
      <c r="P177" s="145"/>
      <c r="Q177" s="157"/>
      <c r="R177" s="507" t="str">
        <f t="shared" si="17"/>
        <v/>
      </c>
      <c r="S177" s="507" t="str">
        <f t="shared" si="18"/>
        <v/>
      </c>
      <c r="T177" s="511" t="str">
        <f t="shared" si="19"/>
        <v/>
      </c>
      <c r="U177" s="515" t="str">
        <f t="shared" si="20"/>
        <v/>
      </c>
      <c r="V177" s="151"/>
      <c r="W177" s="152"/>
      <c r="AB177" s="31" t="str">
        <f>IFERROR(INDEX('G-6 Hedgerow Data'!$BJ$3:$BJ$15,MATCH(D177,'G-6 Hedgerow Data'!$B$3:$B$15,0)),"")</f>
        <v/>
      </c>
      <c r="AE177" s="156" t="str">
        <f t="shared" si="14"/>
        <v/>
      </c>
      <c r="AF177" s="156" t="str">
        <f t="shared" si="15"/>
        <v/>
      </c>
      <c r="AH177" s="156">
        <v>168</v>
      </c>
      <c r="AJ177" s="156" t="str">
        <f t="array" ref="AJ177">IFERROR(INDEX($AH$10:$AH$258, MATCH(0, IF(TRUE=$AE$10:$AE$258, COUNTIF($AJ$9:$AJ176, $AH$10:$AH$258), ""), 0)),"")</f>
        <v/>
      </c>
      <c r="AK177" s="156" t="str">
        <f t="array" ref="AK177">IFERROR(INDEX($AH$10:$AH$258, MATCH(0, IF(TRUE=$AF$10:$AF$258, COUNTIF($AK$9:$AK176, $AH$10:$AH$258), ""), 0)),"")</f>
        <v/>
      </c>
    </row>
    <row r="178" spans="2:37" ht="14" x14ac:dyDescent="0.3">
      <c r="B178" s="141">
        <v>169</v>
      </c>
      <c r="C178" s="203"/>
      <c r="D178" s="203"/>
      <c r="E178" s="153"/>
      <c r="F178" s="498" t="str">
        <f>IF(D178="","",VLOOKUP(D178,'G-6 Hedgerow Data'!$B$2:$AG$15,2,FALSE))</f>
        <v/>
      </c>
      <c r="G178" s="499" t="str">
        <f>IF(D178="","",VLOOKUP(D178,'G-6 Hedgerow Data'!$B$2:$AG$15,3,FALSE))</f>
        <v/>
      </c>
      <c r="H178" s="145"/>
      <c r="I178" s="499" t="str">
        <f>IFERROR(IF(AND(F178="V.Low",OR(H178="Good",H178="Moderate")),"Error ▲",VLOOKUP(H178,'G-1 All Habitats'!$Z$2:$AA$9,2,FALSE)),"")</f>
        <v/>
      </c>
      <c r="J178" s="154"/>
      <c r="K178" s="520" t="str">
        <f>IF(J178="","",IF(VLOOKUP(J178,'G-3 Multipliers'!$L$3:$N$6,2,FALSE)=0,"Spatial Data Missing ⚠",VLOOKUP(J178,'G-3 Multipliers'!$L$3:$N$6,2,FALSE)))</f>
        <v/>
      </c>
      <c r="L178" s="524" t="str">
        <f>IF(J178="","",IF(VLOOKUP(J178,'G-3 Multipliers'!$L$3:$N$6,3,FALSE)=0,"Spatial Data Missing ⚠",VLOOKUP(J178,'G-3 Multipliers'!$L$3:$N$6,3,FALSE)))</f>
        <v/>
      </c>
      <c r="M178" s="506" t="str">
        <f>IF(D178="","",VLOOKUP(D178,'G-6 Hedgerow Data'!$B$1:$AH$15,33,FALSE))</f>
        <v/>
      </c>
      <c r="N178" s="513" t="str">
        <f t="shared" si="16"/>
        <v/>
      </c>
      <c r="O178" s="40"/>
      <c r="P178" s="145"/>
      <c r="Q178" s="157"/>
      <c r="R178" s="507" t="str">
        <f t="shared" si="17"/>
        <v/>
      </c>
      <c r="S178" s="507" t="str">
        <f t="shared" si="18"/>
        <v/>
      </c>
      <c r="T178" s="511" t="str">
        <f t="shared" si="19"/>
        <v/>
      </c>
      <c r="U178" s="515" t="str">
        <f t="shared" si="20"/>
        <v/>
      </c>
      <c r="V178" s="151"/>
      <c r="W178" s="152"/>
      <c r="AB178" s="31" t="str">
        <f>IFERROR(INDEX('G-6 Hedgerow Data'!$BJ$3:$BJ$15,MATCH(D178,'G-6 Hedgerow Data'!$B$3:$B$15,0)),"")</f>
        <v/>
      </c>
      <c r="AE178" s="156" t="str">
        <f t="shared" si="14"/>
        <v/>
      </c>
      <c r="AF178" s="156" t="str">
        <f t="shared" si="15"/>
        <v/>
      </c>
      <c r="AH178" s="156">
        <v>169</v>
      </c>
      <c r="AJ178" s="156" t="str">
        <f t="array" ref="AJ178">IFERROR(INDEX($AH$10:$AH$258, MATCH(0, IF(TRUE=$AE$10:$AE$258, COUNTIF($AJ$9:$AJ177, $AH$10:$AH$258), ""), 0)),"")</f>
        <v/>
      </c>
      <c r="AK178" s="156" t="str">
        <f t="array" ref="AK178">IFERROR(INDEX($AH$10:$AH$258, MATCH(0, IF(TRUE=$AF$10:$AF$258, COUNTIF($AK$9:$AK177, $AH$10:$AH$258), ""), 0)),"")</f>
        <v/>
      </c>
    </row>
    <row r="179" spans="2:37" ht="14" x14ac:dyDescent="0.3">
      <c r="B179" s="141">
        <v>170</v>
      </c>
      <c r="C179" s="203"/>
      <c r="D179" s="203"/>
      <c r="E179" s="153"/>
      <c r="F179" s="498" t="str">
        <f>IF(D179="","",VLOOKUP(D179,'G-6 Hedgerow Data'!$B$2:$AG$15,2,FALSE))</f>
        <v/>
      </c>
      <c r="G179" s="499" t="str">
        <f>IF(D179="","",VLOOKUP(D179,'G-6 Hedgerow Data'!$B$2:$AG$15,3,FALSE))</f>
        <v/>
      </c>
      <c r="H179" s="145"/>
      <c r="I179" s="499" t="str">
        <f>IFERROR(IF(AND(F179="V.Low",OR(H179="Good",H179="Moderate")),"Error ▲",VLOOKUP(H179,'G-1 All Habitats'!$Z$2:$AA$9,2,FALSE)),"")</f>
        <v/>
      </c>
      <c r="J179" s="154"/>
      <c r="K179" s="520" t="str">
        <f>IF(J179="","",IF(VLOOKUP(J179,'G-3 Multipliers'!$L$3:$N$6,2,FALSE)=0,"Spatial Data Missing ⚠",VLOOKUP(J179,'G-3 Multipliers'!$L$3:$N$6,2,FALSE)))</f>
        <v/>
      </c>
      <c r="L179" s="524" t="str">
        <f>IF(J179="","",IF(VLOOKUP(J179,'G-3 Multipliers'!$L$3:$N$6,3,FALSE)=0,"Spatial Data Missing ⚠",VLOOKUP(J179,'G-3 Multipliers'!$L$3:$N$6,3,FALSE)))</f>
        <v/>
      </c>
      <c r="M179" s="506" t="str">
        <f>IF(D179="","",VLOOKUP(D179,'G-6 Hedgerow Data'!$B$1:$AH$15,33,FALSE))</f>
        <v/>
      </c>
      <c r="N179" s="513" t="str">
        <f t="shared" si="16"/>
        <v/>
      </c>
      <c r="O179" s="40"/>
      <c r="P179" s="145"/>
      <c r="Q179" s="157"/>
      <c r="R179" s="507" t="str">
        <f t="shared" si="17"/>
        <v/>
      </c>
      <c r="S179" s="507" t="str">
        <f t="shared" si="18"/>
        <v/>
      </c>
      <c r="T179" s="511" t="str">
        <f t="shared" si="19"/>
        <v/>
      </c>
      <c r="U179" s="515" t="str">
        <f t="shared" si="20"/>
        <v/>
      </c>
      <c r="V179" s="151"/>
      <c r="W179" s="152"/>
      <c r="AB179" s="31" t="str">
        <f>IFERROR(INDEX('G-6 Hedgerow Data'!$BJ$3:$BJ$15,MATCH(D179,'G-6 Hedgerow Data'!$B$3:$B$15,0)),"")</f>
        <v/>
      </c>
      <c r="AE179" s="156" t="str">
        <f t="shared" si="14"/>
        <v/>
      </c>
      <c r="AF179" s="156" t="str">
        <f t="shared" si="15"/>
        <v/>
      </c>
      <c r="AH179" s="156">
        <v>170</v>
      </c>
      <c r="AJ179" s="156" t="str">
        <f t="array" ref="AJ179">IFERROR(INDEX($AH$10:$AH$258, MATCH(0, IF(TRUE=$AE$10:$AE$258, COUNTIF($AJ$9:$AJ178, $AH$10:$AH$258), ""), 0)),"")</f>
        <v/>
      </c>
      <c r="AK179" s="156" t="str">
        <f t="array" ref="AK179">IFERROR(INDEX($AH$10:$AH$258, MATCH(0, IF(TRUE=$AF$10:$AF$258, COUNTIF($AK$9:$AK178, $AH$10:$AH$258), ""), 0)),"")</f>
        <v/>
      </c>
    </row>
    <row r="180" spans="2:37" ht="14" x14ac:dyDescent="0.3">
      <c r="B180" s="141">
        <v>171</v>
      </c>
      <c r="C180" s="203"/>
      <c r="D180" s="203"/>
      <c r="E180" s="153"/>
      <c r="F180" s="498" t="str">
        <f>IF(D180="","",VLOOKUP(D180,'G-6 Hedgerow Data'!$B$2:$AG$15,2,FALSE))</f>
        <v/>
      </c>
      <c r="G180" s="499" t="str">
        <f>IF(D180="","",VLOOKUP(D180,'G-6 Hedgerow Data'!$B$2:$AG$15,3,FALSE))</f>
        <v/>
      </c>
      <c r="H180" s="145"/>
      <c r="I180" s="499" t="str">
        <f>IFERROR(IF(AND(F180="V.Low",OR(H180="Good",H180="Moderate")),"Error ▲",VLOOKUP(H180,'G-1 All Habitats'!$Z$2:$AA$9,2,FALSE)),"")</f>
        <v/>
      </c>
      <c r="J180" s="154"/>
      <c r="K180" s="520" t="str">
        <f>IF(J180="","",IF(VLOOKUP(J180,'G-3 Multipliers'!$L$3:$N$6,2,FALSE)=0,"Spatial Data Missing ⚠",VLOOKUP(J180,'G-3 Multipliers'!$L$3:$N$6,2,FALSE)))</f>
        <v/>
      </c>
      <c r="L180" s="524" t="str">
        <f>IF(J180="","",IF(VLOOKUP(J180,'G-3 Multipliers'!$L$3:$N$6,3,FALSE)=0,"Spatial Data Missing ⚠",VLOOKUP(J180,'G-3 Multipliers'!$L$3:$N$6,3,FALSE)))</f>
        <v/>
      </c>
      <c r="M180" s="506" t="str">
        <f>IF(D180="","",VLOOKUP(D180,'G-6 Hedgerow Data'!$B$1:$AH$15,33,FALSE))</f>
        <v/>
      </c>
      <c r="N180" s="513" t="str">
        <f t="shared" si="16"/>
        <v/>
      </c>
      <c r="O180" s="40"/>
      <c r="P180" s="145"/>
      <c r="Q180" s="157"/>
      <c r="R180" s="507" t="str">
        <f t="shared" si="17"/>
        <v/>
      </c>
      <c r="S180" s="507" t="str">
        <f t="shared" si="18"/>
        <v/>
      </c>
      <c r="T180" s="511" t="str">
        <f t="shared" si="19"/>
        <v/>
      </c>
      <c r="U180" s="515" t="str">
        <f t="shared" si="20"/>
        <v/>
      </c>
      <c r="V180" s="151"/>
      <c r="W180" s="152"/>
      <c r="AB180" s="31" t="str">
        <f>IFERROR(INDEX('G-6 Hedgerow Data'!$BJ$3:$BJ$15,MATCH(D180,'G-6 Hedgerow Data'!$B$3:$B$15,0)),"")</f>
        <v/>
      </c>
      <c r="AE180" s="156" t="str">
        <f t="shared" si="14"/>
        <v/>
      </c>
      <c r="AF180" s="156" t="str">
        <f t="shared" si="15"/>
        <v/>
      </c>
      <c r="AH180" s="156">
        <v>171</v>
      </c>
      <c r="AJ180" s="156" t="str">
        <f t="array" ref="AJ180">IFERROR(INDEX($AH$10:$AH$258, MATCH(0, IF(TRUE=$AE$10:$AE$258, COUNTIF($AJ$9:$AJ179, $AH$10:$AH$258), ""), 0)),"")</f>
        <v/>
      </c>
      <c r="AK180" s="156" t="str">
        <f t="array" ref="AK180">IFERROR(INDEX($AH$10:$AH$258, MATCH(0, IF(TRUE=$AF$10:$AF$258, COUNTIF($AK$9:$AK179, $AH$10:$AH$258), ""), 0)),"")</f>
        <v/>
      </c>
    </row>
    <row r="181" spans="2:37" ht="14" x14ac:dyDescent="0.3">
      <c r="B181" s="141">
        <v>172</v>
      </c>
      <c r="C181" s="203"/>
      <c r="D181" s="203"/>
      <c r="E181" s="153"/>
      <c r="F181" s="498" t="str">
        <f>IF(D181="","",VLOOKUP(D181,'G-6 Hedgerow Data'!$B$2:$AG$15,2,FALSE))</f>
        <v/>
      </c>
      <c r="G181" s="499" t="str">
        <f>IF(D181="","",VLOOKUP(D181,'G-6 Hedgerow Data'!$B$2:$AG$15,3,FALSE))</f>
        <v/>
      </c>
      <c r="H181" s="145"/>
      <c r="I181" s="499" t="str">
        <f>IFERROR(IF(AND(F181="V.Low",OR(H181="Good",H181="Moderate")),"Error ▲",VLOOKUP(H181,'G-1 All Habitats'!$Z$2:$AA$9,2,FALSE)),"")</f>
        <v/>
      </c>
      <c r="J181" s="154"/>
      <c r="K181" s="520" t="str">
        <f>IF(J181="","",IF(VLOOKUP(J181,'G-3 Multipliers'!$L$3:$N$6,2,FALSE)=0,"Spatial Data Missing ⚠",VLOOKUP(J181,'G-3 Multipliers'!$L$3:$N$6,2,FALSE)))</f>
        <v/>
      </c>
      <c r="L181" s="524" t="str">
        <f>IF(J181="","",IF(VLOOKUP(J181,'G-3 Multipliers'!$L$3:$N$6,3,FALSE)=0,"Spatial Data Missing ⚠",VLOOKUP(J181,'G-3 Multipliers'!$L$3:$N$6,3,FALSE)))</f>
        <v/>
      </c>
      <c r="M181" s="506" t="str">
        <f>IF(D181="","",VLOOKUP(D181,'G-6 Hedgerow Data'!$B$1:$AH$15,33,FALSE))</f>
        <v/>
      </c>
      <c r="N181" s="513" t="str">
        <f t="shared" si="16"/>
        <v/>
      </c>
      <c r="O181" s="40"/>
      <c r="P181" s="145"/>
      <c r="Q181" s="157"/>
      <c r="R181" s="507" t="str">
        <f t="shared" si="17"/>
        <v/>
      </c>
      <c r="S181" s="507" t="str">
        <f t="shared" si="18"/>
        <v/>
      </c>
      <c r="T181" s="511" t="str">
        <f t="shared" si="19"/>
        <v/>
      </c>
      <c r="U181" s="515" t="str">
        <f t="shared" si="20"/>
        <v/>
      </c>
      <c r="V181" s="151"/>
      <c r="W181" s="152"/>
      <c r="AB181" s="31" t="str">
        <f>IFERROR(INDEX('G-6 Hedgerow Data'!$BJ$3:$BJ$15,MATCH(D181,'G-6 Hedgerow Data'!$B$3:$B$15,0)),"")</f>
        <v/>
      </c>
      <c r="AE181" s="156" t="str">
        <f t="shared" si="14"/>
        <v/>
      </c>
      <c r="AF181" s="156" t="str">
        <f t="shared" si="15"/>
        <v/>
      </c>
      <c r="AH181" s="156">
        <v>172</v>
      </c>
      <c r="AJ181" s="156" t="str">
        <f t="array" ref="AJ181">IFERROR(INDEX($AH$10:$AH$258, MATCH(0, IF(TRUE=$AE$10:$AE$258, COUNTIF($AJ$9:$AJ180, $AH$10:$AH$258), ""), 0)),"")</f>
        <v/>
      </c>
      <c r="AK181" s="156" t="str">
        <f t="array" ref="AK181">IFERROR(INDEX($AH$10:$AH$258, MATCH(0, IF(TRUE=$AF$10:$AF$258, COUNTIF($AK$9:$AK180, $AH$10:$AH$258), ""), 0)),"")</f>
        <v/>
      </c>
    </row>
    <row r="182" spans="2:37" ht="14" x14ac:dyDescent="0.3">
      <c r="B182" s="141">
        <v>173</v>
      </c>
      <c r="C182" s="203"/>
      <c r="D182" s="203"/>
      <c r="E182" s="153"/>
      <c r="F182" s="498" t="str">
        <f>IF(D182="","",VLOOKUP(D182,'G-6 Hedgerow Data'!$B$2:$AG$15,2,FALSE))</f>
        <v/>
      </c>
      <c r="G182" s="499" t="str">
        <f>IF(D182="","",VLOOKUP(D182,'G-6 Hedgerow Data'!$B$2:$AG$15,3,FALSE))</f>
        <v/>
      </c>
      <c r="H182" s="145"/>
      <c r="I182" s="499" t="str">
        <f>IFERROR(IF(AND(F182="V.Low",OR(H182="Good",H182="Moderate")),"Error ▲",VLOOKUP(H182,'G-1 All Habitats'!$Z$2:$AA$9,2,FALSE)),"")</f>
        <v/>
      </c>
      <c r="J182" s="154"/>
      <c r="K182" s="520" t="str">
        <f>IF(J182="","",IF(VLOOKUP(J182,'G-3 Multipliers'!$L$3:$N$6,2,FALSE)=0,"Spatial Data Missing ⚠",VLOOKUP(J182,'G-3 Multipliers'!$L$3:$N$6,2,FALSE)))</f>
        <v/>
      </c>
      <c r="L182" s="524" t="str">
        <f>IF(J182="","",IF(VLOOKUP(J182,'G-3 Multipliers'!$L$3:$N$6,3,FALSE)=0,"Spatial Data Missing ⚠",VLOOKUP(J182,'G-3 Multipliers'!$L$3:$N$6,3,FALSE)))</f>
        <v/>
      </c>
      <c r="M182" s="506" t="str">
        <f>IF(D182="","",VLOOKUP(D182,'G-6 Hedgerow Data'!$B$1:$AH$15,33,FALSE))</f>
        <v/>
      </c>
      <c r="N182" s="513" t="str">
        <f t="shared" si="16"/>
        <v/>
      </c>
      <c r="O182" s="40"/>
      <c r="P182" s="145"/>
      <c r="Q182" s="157"/>
      <c r="R182" s="507" t="str">
        <f t="shared" si="17"/>
        <v/>
      </c>
      <c r="S182" s="507" t="str">
        <f t="shared" si="18"/>
        <v/>
      </c>
      <c r="T182" s="511" t="str">
        <f t="shared" si="19"/>
        <v/>
      </c>
      <c r="U182" s="515" t="str">
        <f t="shared" si="20"/>
        <v/>
      </c>
      <c r="V182" s="151"/>
      <c r="W182" s="152"/>
      <c r="AB182" s="31" t="str">
        <f>IFERROR(INDEX('G-6 Hedgerow Data'!$BJ$3:$BJ$15,MATCH(D182,'G-6 Hedgerow Data'!$B$3:$B$15,0)),"")</f>
        <v/>
      </c>
      <c r="AE182" s="156" t="str">
        <f t="shared" si="14"/>
        <v/>
      </c>
      <c r="AF182" s="156" t="str">
        <f t="shared" si="15"/>
        <v/>
      </c>
      <c r="AH182" s="156">
        <v>173</v>
      </c>
      <c r="AJ182" s="156" t="str">
        <f t="array" ref="AJ182">IFERROR(INDEX($AH$10:$AH$258, MATCH(0, IF(TRUE=$AE$10:$AE$258, COUNTIF($AJ$9:$AJ181, $AH$10:$AH$258), ""), 0)),"")</f>
        <v/>
      </c>
      <c r="AK182" s="156" t="str">
        <f t="array" ref="AK182">IFERROR(INDEX($AH$10:$AH$258, MATCH(0, IF(TRUE=$AF$10:$AF$258, COUNTIF($AK$9:$AK181, $AH$10:$AH$258), ""), 0)),"")</f>
        <v/>
      </c>
    </row>
    <row r="183" spans="2:37" ht="14" x14ac:dyDescent="0.3">
      <c r="B183" s="141">
        <v>174</v>
      </c>
      <c r="C183" s="203"/>
      <c r="D183" s="203"/>
      <c r="E183" s="153"/>
      <c r="F183" s="498" t="str">
        <f>IF(D183="","",VLOOKUP(D183,'G-6 Hedgerow Data'!$B$2:$AG$15,2,FALSE))</f>
        <v/>
      </c>
      <c r="G183" s="499" t="str">
        <f>IF(D183="","",VLOOKUP(D183,'G-6 Hedgerow Data'!$B$2:$AG$15,3,FALSE))</f>
        <v/>
      </c>
      <c r="H183" s="145"/>
      <c r="I183" s="499" t="str">
        <f>IFERROR(IF(AND(F183="V.Low",OR(H183="Good",H183="Moderate")),"Error ▲",VLOOKUP(H183,'G-1 All Habitats'!$Z$2:$AA$9,2,FALSE)),"")</f>
        <v/>
      </c>
      <c r="J183" s="154"/>
      <c r="K183" s="520" t="str">
        <f>IF(J183="","",IF(VLOOKUP(J183,'G-3 Multipliers'!$L$3:$N$6,2,FALSE)=0,"Spatial Data Missing ⚠",VLOOKUP(J183,'G-3 Multipliers'!$L$3:$N$6,2,FALSE)))</f>
        <v/>
      </c>
      <c r="L183" s="524" t="str">
        <f>IF(J183="","",IF(VLOOKUP(J183,'G-3 Multipliers'!$L$3:$N$6,3,FALSE)=0,"Spatial Data Missing ⚠",VLOOKUP(J183,'G-3 Multipliers'!$L$3:$N$6,3,FALSE)))</f>
        <v/>
      </c>
      <c r="M183" s="506" t="str">
        <f>IF(D183="","",VLOOKUP(D183,'G-6 Hedgerow Data'!$B$1:$AH$15,33,FALSE))</f>
        <v/>
      </c>
      <c r="N183" s="513" t="str">
        <f t="shared" si="16"/>
        <v/>
      </c>
      <c r="O183" s="40"/>
      <c r="P183" s="145"/>
      <c r="Q183" s="157"/>
      <c r="R183" s="507" t="str">
        <f t="shared" si="17"/>
        <v/>
      </c>
      <c r="S183" s="507" t="str">
        <f t="shared" si="18"/>
        <v/>
      </c>
      <c r="T183" s="511" t="str">
        <f t="shared" si="19"/>
        <v/>
      </c>
      <c r="U183" s="515" t="str">
        <f t="shared" si="20"/>
        <v/>
      </c>
      <c r="V183" s="151"/>
      <c r="W183" s="152"/>
      <c r="AB183" s="31" t="str">
        <f>IFERROR(INDEX('G-6 Hedgerow Data'!$BJ$3:$BJ$15,MATCH(D183,'G-6 Hedgerow Data'!$B$3:$B$15,0)),"")</f>
        <v/>
      </c>
      <c r="AE183" s="156" t="str">
        <f t="shared" si="14"/>
        <v/>
      </c>
      <c r="AF183" s="156" t="str">
        <f t="shared" si="15"/>
        <v/>
      </c>
      <c r="AH183" s="156">
        <v>174</v>
      </c>
      <c r="AJ183" s="156" t="str">
        <f t="array" ref="AJ183">IFERROR(INDEX($AH$10:$AH$258, MATCH(0, IF(TRUE=$AE$10:$AE$258, COUNTIF($AJ$9:$AJ182, $AH$10:$AH$258), ""), 0)),"")</f>
        <v/>
      </c>
      <c r="AK183" s="156" t="str">
        <f t="array" ref="AK183">IFERROR(INDEX($AH$10:$AH$258, MATCH(0, IF(TRUE=$AF$10:$AF$258, COUNTIF($AK$9:$AK182, $AH$10:$AH$258), ""), 0)),"")</f>
        <v/>
      </c>
    </row>
    <row r="184" spans="2:37" ht="14" x14ac:dyDescent="0.3">
      <c r="B184" s="141">
        <v>175</v>
      </c>
      <c r="C184" s="203"/>
      <c r="D184" s="203"/>
      <c r="E184" s="153"/>
      <c r="F184" s="498" t="str">
        <f>IF(D184="","",VLOOKUP(D184,'G-6 Hedgerow Data'!$B$2:$AG$15,2,FALSE))</f>
        <v/>
      </c>
      <c r="G184" s="499" t="str">
        <f>IF(D184="","",VLOOKUP(D184,'G-6 Hedgerow Data'!$B$2:$AG$15,3,FALSE))</f>
        <v/>
      </c>
      <c r="H184" s="145"/>
      <c r="I184" s="499" t="str">
        <f>IFERROR(IF(AND(F184="V.Low",OR(H184="Good",H184="Moderate")),"Error ▲",VLOOKUP(H184,'G-1 All Habitats'!$Z$2:$AA$9,2,FALSE)),"")</f>
        <v/>
      </c>
      <c r="J184" s="154"/>
      <c r="K184" s="520" t="str">
        <f>IF(J184="","",IF(VLOOKUP(J184,'G-3 Multipliers'!$L$3:$N$6,2,FALSE)=0,"Spatial Data Missing ⚠",VLOOKUP(J184,'G-3 Multipliers'!$L$3:$N$6,2,FALSE)))</f>
        <v/>
      </c>
      <c r="L184" s="524" t="str">
        <f>IF(J184="","",IF(VLOOKUP(J184,'G-3 Multipliers'!$L$3:$N$6,3,FALSE)=0,"Spatial Data Missing ⚠",VLOOKUP(J184,'G-3 Multipliers'!$L$3:$N$6,3,FALSE)))</f>
        <v/>
      </c>
      <c r="M184" s="506" t="str">
        <f>IF(D184="","",VLOOKUP(D184,'G-6 Hedgerow Data'!$B$1:$AH$15,33,FALSE))</f>
        <v/>
      </c>
      <c r="N184" s="513" t="str">
        <f t="shared" si="16"/>
        <v/>
      </c>
      <c r="O184" s="40"/>
      <c r="P184" s="145"/>
      <c r="Q184" s="157"/>
      <c r="R184" s="507" t="str">
        <f t="shared" si="17"/>
        <v/>
      </c>
      <c r="S184" s="507" t="str">
        <f t="shared" si="18"/>
        <v/>
      </c>
      <c r="T184" s="511" t="str">
        <f t="shared" si="19"/>
        <v/>
      </c>
      <c r="U184" s="515" t="str">
        <f t="shared" si="20"/>
        <v/>
      </c>
      <c r="V184" s="151"/>
      <c r="W184" s="152"/>
      <c r="AB184" s="31" t="str">
        <f>IFERROR(INDEX('G-6 Hedgerow Data'!$BJ$3:$BJ$15,MATCH(D184,'G-6 Hedgerow Data'!$B$3:$B$15,0)),"")</f>
        <v/>
      </c>
      <c r="AE184" s="156" t="str">
        <f t="shared" si="14"/>
        <v/>
      </c>
      <c r="AF184" s="156" t="str">
        <f t="shared" si="15"/>
        <v/>
      </c>
      <c r="AH184" s="156">
        <v>175</v>
      </c>
      <c r="AJ184" s="156" t="str">
        <f t="array" ref="AJ184">IFERROR(INDEX($AH$10:$AH$258, MATCH(0, IF(TRUE=$AE$10:$AE$258, COUNTIF($AJ$9:$AJ183, $AH$10:$AH$258), ""), 0)),"")</f>
        <v/>
      </c>
      <c r="AK184" s="156" t="str">
        <f t="array" ref="AK184">IFERROR(INDEX($AH$10:$AH$258, MATCH(0, IF(TRUE=$AF$10:$AF$258, COUNTIF($AK$9:$AK183, $AH$10:$AH$258), ""), 0)),"")</f>
        <v/>
      </c>
    </row>
    <row r="185" spans="2:37" ht="14" x14ac:dyDescent="0.3">
      <c r="B185" s="141">
        <v>176</v>
      </c>
      <c r="C185" s="203"/>
      <c r="D185" s="203"/>
      <c r="E185" s="153"/>
      <c r="F185" s="498" t="str">
        <f>IF(D185="","",VLOOKUP(D185,'G-6 Hedgerow Data'!$B$2:$AG$15,2,FALSE))</f>
        <v/>
      </c>
      <c r="G185" s="499" t="str">
        <f>IF(D185="","",VLOOKUP(D185,'G-6 Hedgerow Data'!$B$2:$AG$15,3,FALSE))</f>
        <v/>
      </c>
      <c r="H185" s="145"/>
      <c r="I185" s="499" t="str">
        <f>IFERROR(IF(AND(F185="V.Low",OR(H185="Good",H185="Moderate")),"Error ▲",VLOOKUP(H185,'G-1 All Habitats'!$Z$2:$AA$9,2,FALSE)),"")</f>
        <v/>
      </c>
      <c r="J185" s="154"/>
      <c r="K185" s="520" t="str">
        <f>IF(J185="","",IF(VLOOKUP(J185,'G-3 Multipliers'!$L$3:$N$6,2,FALSE)=0,"Spatial Data Missing ⚠",VLOOKUP(J185,'G-3 Multipliers'!$L$3:$N$6,2,FALSE)))</f>
        <v/>
      </c>
      <c r="L185" s="524" t="str">
        <f>IF(J185="","",IF(VLOOKUP(J185,'G-3 Multipliers'!$L$3:$N$6,3,FALSE)=0,"Spatial Data Missing ⚠",VLOOKUP(J185,'G-3 Multipliers'!$L$3:$N$6,3,FALSE)))</f>
        <v/>
      </c>
      <c r="M185" s="506" t="str">
        <f>IF(D185="","",VLOOKUP(D185,'G-6 Hedgerow Data'!$B$1:$AH$15,33,FALSE))</f>
        <v/>
      </c>
      <c r="N185" s="513" t="str">
        <f t="shared" si="16"/>
        <v/>
      </c>
      <c r="O185" s="40"/>
      <c r="P185" s="145"/>
      <c r="Q185" s="157"/>
      <c r="R185" s="507" t="str">
        <f t="shared" si="17"/>
        <v/>
      </c>
      <c r="S185" s="507" t="str">
        <f t="shared" si="18"/>
        <v/>
      </c>
      <c r="T185" s="511" t="str">
        <f t="shared" si="19"/>
        <v/>
      </c>
      <c r="U185" s="515" t="str">
        <f t="shared" si="20"/>
        <v/>
      </c>
      <c r="V185" s="151"/>
      <c r="W185" s="152"/>
      <c r="AB185" s="31" t="str">
        <f>IFERROR(INDEX('G-6 Hedgerow Data'!$BJ$3:$BJ$15,MATCH(D185,'G-6 Hedgerow Data'!$B$3:$B$15,0)),"")</f>
        <v/>
      </c>
      <c r="AE185" s="156" t="str">
        <f t="shared" si="14"/>
        <v/>
      </c>
      <c r="AF185" s="156" t="str">
        <f t="shared" si="15"/>
        <v/>
      </c>
      <c r="AH185" s="156">
        <v>176</v>
      </c>
      <c r="AJ185" s="156" t="str">
        <f t="array" ref="AJ185">IFERROR(INDEX($AH$10:$AH$258, MATCH(0, IF(TRUE=$AE$10:$AE$258, COUNTIF($AJ$9:$AJ184, $AH$10:$AH$258), ""), 0)),"")</f>
        <v/>
      </c>
      <c r="AK185" s="156" t="str">
        <f t="array" ref="AK185">IFERROR(INDEX($AH$10:$AH$258, MATCH(0, IF(TRUE=$AF$10:$AF$258, COUNTIF($AK$9:$AK184, $AH$10:$AH$258), ""), 0)),"")</f>
        <v/>
      </c>
    </row>
    <row r="186" spans="2:37" ht="14" x14ac:dyDescent="0.3">
      <c r="B186" s="141">
        <v>177</v>
      </c>
      <c r="C186" s="203"/>
      <c r="D186" s="203"/>
      <c r="E186" s="153"/>
      <c r="F186" s="498" t="str">
        <f>IF(D186="","",VLOOKUP(D186,'G-6 Hedgerow Data'!$B$2:$AG$15,2,FALSE))</f>
        <v/>
      </c>
      <c r="G186" s="499" t="str">
        <f>IF(D186="","",VLOOKUP(D186,'G-6 Hedgerow Data'!$B$2:$AG$15,3,FALSE))</f>
        <v/>
      </c>
      <c r="H186" s="145"/>
      <c r="I186" s="499" t="str">
        <f>IFERROR(IF(AND(F186="V.Low",OR(H186="Good",H186="Moderate")),"Error ▲",VLOOKUP(H186,'G-1 All Habitats'!$Z$2:$AA$9,2,FALSE)),"")</f>
        <v/>
      </c>
      <c r="J186" s="154"/>
      <c r="K186" s="520" t="str">
        <f>IF(J186="","",IF(VLOOKUP(J186,'G-3 Multipliers'!$L$3:$N$6,2,FALSE)=0,"Spatial Data Missing ⚠",VLOOKUP(J186,'G-3 Multipliers'!$L$3:$N$6,2,FALSE)))</f>
        <v/>
      </c>
      <c r="L186" s="524" t="str">
        <f>IF(J186="","",IF(VLOOKUP(J186,'G-3 Multipliers'!$L$3:$N$6,3,FALSE)=0,"Spatial Data Missing ⚠",VLOOKUP(J186,'G-3 Multipliers'!$L$3:$N$6,3,FALSE)))</f>
        <v/>
      </c>
      <c r="M186" s="506" t="str">
        <f>IF(D186="","",VLOOKUP(D186,'G-6 Hedgerow Data'!$B$1:$AH$15,33,FALSE))</f>
        <v/>
      </c>
      <c r="N186" s="513" t="str">
        <f t="shared" si="16"/>
        <v/>
      </c>
      <c r="O186" s="40"/>
      <c r="P186" s="145"/>
      <c r="Q186" s="157"/>
      <c r="R186" s="507" t="str">
        <f t="shared" si="17"/>
        <v/>
      </c>
      <c r="S186" s="507" t="str">
        <f t="shared" si="18"/>
        <v/>
      </c>
      <c r="T186" s="511" t="str">
        <f t="shared" si="19"/>
        <v/>
      </c>
      <c r="U186" s="515" t="str">
        <f t="shared" si="20"/>
        <v/>
      </c>
      <c r="V186" s="151"/>
      <c r="W186" s="152"/>
      <c r="AB186" s="31" t="str">
        <f>IFERROR(INDEX('G-6 Hedgerow Data'!$BJ$3:$BJ$15,MATCH(D186,'G-6 Hedgerow Data'!$B$3:$B$15,0)),"")</f>
        <v/>
      </c>
      <c r="AE186" s="156" t="str">
        <f t="shared" si="14"/>
        <v/>
      </c>
      <c r="AF186" s="156" t="str">
        <f t="shared" si="15"/>
        <v/>
      </c>
      <c r="AH186" s="156">
        <v>177</v>
      </c>
      <c r="AJ186" s="156" t="str">
        <f t="array" ref="AJ186">IFERROR(INDEX($AH$10:$AH$258, MATCH(0, IF(TRUE=$AE$10:$AE$258, COUNTIF($AJ$9:$AJ185, $AH$10:$AH$258), ""), 0)),"")</f>
        <v/>
      </c>
      <c r="AK186" s="156" t="str">
        <f t="array" ref="AK186">IFERROR(INDEX($AH$10:$AH$258, MATCH(0, IF(TRUE=$AF$10:$AF$258, COUNTIF($AK$9:$AK185, $AH$10:$AH$258), ""), 0)),"")</f>
        <v/>
      </c>
    </row>
    <row r="187" spans="2:37" ht="14" x14ac:dyDescent="0.3">
      <c r="B187" s="141">
        <v>178</v>
      </c>
      <c r="C187" s="203"/>
      <c r="D187" s="203"/>
      <c r="E187" s="153"/>
      <c r="F187" s="498" t="str">
        <f>IF(D187="","",VLOOKUP(D187,'G-6 Hedgerow Data'!$B$2:$AG$15,2,FALSE))</f>
        <v/>
      </c>
      <c r="G187" s="499" t="str">
        <f>IF(D187="","",VLOOKUP(D187,'G-6 Hedgerow Data'!$B$2:$AG$15,3,FALSE))</f>
        <v/>
      </c>
      <c r="H187" s="145"/>
      <c r="I187" s="499" t="str">
        <f>IFERROR(IF(AND(F187="V.Low",OR(H187="Good",H187="Moderate")),"Error ▲",VLOOKUP(H187,'G-1 All Habitats'!$Z$2:$AA$9,2,FALSE)),"")</f>
        <v/>
      </c>
      <c r="J187" s="154"/>
      <c r="K187" s="520" t="str">
        <f>IF(J187="","",IF(VLOOKUP(J187,'G-3 Multipliers'!$L$3:$N$6,2,FALSE)=0,"Spatial Data Missing ⚠",VLOOKUP(J187,'G-3 Multipliers'!$L$3:$N$6,2,FALSE)))</f>
        <v/>
      </c>
      <c r="L187" s="524" t="str">
        <f>IF(J187="","",IF(VLOOKUP(J187,'G-3 Multipliers'!$L$3:$N$6,3,FALSE)=0,"Spatial Data Missing ⚠",VLOOKUP(J187,'G-3 Multipliers'!$L$3:$N$6,3,FALSE)))</f>
        <v/>
      </c>
      <c r="M187" s="506" t="str">
        <f>IF(D187="","",VLOOKUP(D187,'G-6 Hedgerow Data'!$B$1:$AH$15,33,FALSE))</f>
        <v/>
      </c>
      <c r="N187" s="513" t="str">
        <f t="shared" si="16"/>
        <v/>
      </c>
      <c r="O187" s="40"/>
      <c r="P187" s="145"/>
      <c r="Q187" s="157"/>
      <c r="R187" s="507" t="str">
        <f t="shared" si="17"/>
        <v/>
      </c>
      <c r="S187" s="507" t="str">
        <f t="shared" si="18"/>
        <v/>
      </c>
      <c r="T187" s="511" t="str">
        <f t="shared" si="19"/>
        <v/>
      </c>
      <c r="U187" s="515" t="str">
        <f t="shared" si="20"/>
        <v/>
      </c>
      <c r="V187" s="151"/>
      <c r="W187" s="152"/>
      <c r="AB187" s="31" t="str">
        <f>IFERROR(INDEX('G-6 Hedgerow Data'!$BJ$3:$BJ$15,MATCH(D187,'G-6 Hedgerow Data'!$B$3:$B$15,0)),"")</f>
        <v/>
      </c>
      <c r="AE187" s="156" t="str">
        <f t="shared" si="14"/>
        <v/>
      </c>
      <c r="AF187" s="156" t="str">
        <f t="shared" si="15"/>
        <v/>
      </c>
      <c r="AH187" s="156">
        <v>178</v>
      </c>
      <c r="AJ187" s="156" t="str">
        <f t="array" ref="AJ187">IFERROR(INDEX($AH$10:$AH$258, MATCH(0, IF(TRUE=$AE$10:$AE$258, COUNTIF($AJ$9:$AJ186, $AH$10:$AH$258), ""), 0)),"")</f>
        <v/>
      </c>
      <c r="AK187" s="156" t="str">
        <f t="array" ref="AK187">IFERROR(INDEX($AH$10:$AH$258, MATCH(0, IF(TRUE=$AF$10:$AF$258, COUNTIF($AK$9:$AK186, $AH$10:$AH$258), ""), 0)),"")</f>
        <v/>
      </c>
    </row>
    <row r="188" spans="2:37" ht="14" x14ac:dyDescent="0.3">
      <c r="B188" s="141">
        <v>179</v>
      </c>
      <c r="C188" s="203"/>
      <c r="D188" s="203"/>
      <c r="E188" s="153"/>
      <c r="F188" s="498" t="str">
        <f>IF(D188="","",VLOOKUP(D188,'G-6 Hedgerow Data'!$B$2:$AG$15,2,FALSE))</f>
        <v/>
      </c>
      <c r="G188" s="499" t="str">
        <f>IF(D188="","",VLOOKUP(D188,'G-6 Hedgerow Data'!$B$2:$AG$15,3,FALSE))</f>
        <v/>
      </c>
      <c r="H188" s="145"/>
      <c r="I188" s="499" t="str">
        <f>IFERROR(IF(AND(F188="V.Low",OR(H188="Good",H188="Moderate")),"Error ▲",VLOOKUP(H188,'G-1 All Habitats'!$Z$2:$AA$9,2,FALSE)),"")</f>
        <v/>
      </c>
      <c r="J188" s="154"/>
      <c r="K188" s="520" t="str">
        <f>IF(J188="","",IF(VLOOKUP(J188,'G-3 Multipliers'!$L$3:$N$6,2,FALSE)=0,"Spatial Data Missing ⚠",VLOOKUP(J188,'G-3 Multipliers'!$L$3:$N$6,2,FALSE)))</f>
        <v/>
      </c>
      <c r="L188" s="524" t="str">
        <f>IF(J188="","",IF(VLOOKUP(J188,'G-3 Multipliers'!$L$3:$N$6,3,FALSE)=0,"Spatial Data Missing ⚠",VLOOKUP(J188,'G-3 Multipliers'!$L$3:$N$6,3,FALSE)))</f>
        <v/>
      </c>
      <c r="M188" s="506" t="str">
        <f>IF(D188="","",VLOOKUP(D188,'G-6 Hedgerow Data'!$B$1:$AH$15,33,FALSE))</f>
        <v/>
      </c>
      <c r="N188" s="513" t="str">
        <f t="shared" si="16"/>
        <v/>
      </c>
      <c r="O188" s="40"/>
      <c r="P188" s="145"/>
      <c r="Q188" s="157"/>
      <c r="R188" s="507" t="str">
        <f t="shared" si="17"/>
        <v/>
      </c>
      <c r="S188" s="507" t="str">
        <f t="shared" si="18"/>
        <v/>
      </c>
      <c r="T188" s="511" t="str">
        <f t="shared" si="19"/>
        <v/>
      </c>
      <c r="U188" s="515" t="str">
        <f t="shared" si="20"/>
        <v/>
      </c>
      <c r="V188" s="151"/>
      <c r="W188" s="152"/>
      <c r="AB188" s="31" t="str">
        <f>IFERROR(INDEX('G-6 Hedgerow Data'!$BJ$3:$BJ$15,MATCH(D188,'G-6 Hedgerow Data'!$B$3:$B$15,0)),"")</f>
        <v/>
      </c>
      <c r="AE188" s="156" t="str">
        <f t="shared" si="14"/>
        <v/>
      </c>
      <c r="AF188" s="156" t="str">
        <f t="shared" si="15"/>
        <v/>
      </c>
      <c r="AH188" s="156">
        <v>179</v>
      </c>
      <c r="AJ188" s="156" t="str">
        <f t="array" ref="AJ188">IFERROR(INDEX($AH$10:$AH$258, MATCH(0, IF(TRUE=$AE$10:$AE$258, COUNTIF($AJ$9:$AJ187, $AH$10:$AH$258), ""), 0)),"")</f>
        <v/>
      </c>
      <c r="AK188" s="156" t="str">
        <f t="array" ref="AK188">IFERROR(INDEX($AH$10:$AH$258, MATCH(0, IF(TRUE=$AF$10:$AF$258, COUNTIF($AK$9:$AK187, $AH$10:$AH$258), ""), 0)),"")</f>
        <v/>
      </c>
    </row>
    <row r="189" spans="2:37" ht="14" x14ac:dyDescent="0.3">
      <c r="B189" s="141">
        <v>180</v>
      </c>
      <c r="C189" s="203"/>
      <c r="D189" s="203"/>
      <c r="E189" s="153"/>
      <c r="F189" s="498" t="str">
        <f>IF(D189="","",VLOOKUP(D189,'G-6 Hedgerow Data'!$B$2:$AG$15,2,FALSE))</f>
        <v/>
      </c>
      <c r="G189" s="499" t="str">
        <f>IF(D189="","",VLOOKUP(D189,'G-6 Hedgerow Data'!$B$2:$AG$15,3,FALSE))</f>
        <v/>
      </c>
      <c r="H189" s="145"/>
      <c r="I189" s="499" t="str">
        <f>IFERROR(IF(AND(F189="V.Low",OR(H189="Good",H189="Moderate")),"Error ▲",VLOOKUP(H189,'G-1 All Habitats'!$Z$2:$AA$9,2,FALSE)),"")</f>
        <v/>
      </c>
      <c r="J189" s="154"/>
      <c r="K189" s="520" t="str">
        <f>IF(J189="","",IF(VLOOKUP(J189,'G-3 Multipliers'!$L$3:$N$6,2,FALSE)=0,"Spatial Data Missing ⚠",VLOOKUP(J189,'G-3 Multipliers'!$L$3:$N$6,2,FALSE)))</f>
        <v/>
      </c>
      <c r="L189" s="524" t="str">
        <f>IF(J189="","",IF(VLOOKUP(J189,'G-3 Multipliers'!$L$3:$N$6,3,FALSE)=0,"Spatial Data Missing ⚠",VLOOKUP(J189,'G-3 Multipliers'!$L$3:$N$6,3,FALSE)))</f>
        <v/>
      </c>
      <c r="M189" s="506" t="str">
        <f>IF(D189="","",VLOOKUP(D189,'G-6 Hedgerow Data'!$B$1:$AH$15,33,FALSE))</f>
        <v/>
      </c>
      <c r="N189" s="513" t="str">
        <f t="shared" si="16"/>
        <v/>
      </c>
      <c r="O189" s="40"/>
      <c r="P189" s="145"/>
      <c r="Q189" s="157"/>
      <c r="R189" s="507" t="str">
        <f t="shared" si="17"/>
        <v/>
      </c>
      <c r="S189" s="507" t="str">
        <f t="shared" si="18"/>
        <v/>
      </c>
      <c r="T189" s="511" t="str">
        <f t="shared" si="19"/>
        <v/>
      </c>
      <c r="U189" s="515" t="str">
        <f t="shared" si="20"/>
        <v/>
      </c>
      <c r="V189" s="151"/>
      <c r="W189" s="152"/>
      <c r="AB189" s="31" t="str">
        <f>IFERROR(INDEX('G-6 Hedgerow Data'!$BJ$3:$BJ$15,MATCH(D189,'G-6 Hedgerow Data'!$B$3:$B$15,0)),"")</f>
        <v/>
      </c>
      <c r="AE189" s="156" t="str">
        <f t="shared" si="14"/>
        <v/>
      </c>
      <c r="AF189" s="156" t="str">
        <f t="shared" si="15"/>
        <v/>
      </c>
      <c r="AH189" s="156">
        <v>180</v>
      </c>
      <c r="AJ189" s="156" t="str">
        <f t="array" ref="AJ189">IFERROR(INDEX($AH$10:$AH$258, MATCH(0, IF(TRUE=$AE$10:$AE$258, COUNTIF($AJ$9:$AJ188, $AH$10:$AH$258), ""), 0)),"")</f>
        <v/>
      </c>
      <c r="AK189" s="156" t="str">
        <f t="array" ref="AK189">IFERROR(INDEX($AH$10:$AH$258, MATCH(0, IF(TRUE=$AF$10:$AF$258, COUNTIF($AK$9:$AK188, $AH$10:$AH$258), ""), 0)),"")</f>
        <v/>
      </c>
    </row>
    <row r="190" spans="2:37" ht="14" x14ac:dyDescent="0.3">
      <c r="B190" s="141">
        <v>181</v>
      </c>
      <c r="C190" s="203"/>
      <c r="D190" s="203"/>
      <c r="E190" s="153"/>
      <c r="F190" s="498" t="str">
        <f>IF(D190="","",VLOOKUP(D190,'G-6 Hedgerow Data'!$B$2:$AG$15,2,FALSE))</f>
        <v/>
      </c>
      <c r="G190" s="499" t="str">
        <f>IF(D190="","",VLOOKUP(D190,'G-6 Hedgerow Data'!$B$2:$AG$15,3,FALSE))</f>
        <v/>
      </c>
      <c r="H190" s="145"/>
      <c r="I190" s="499" t="str">
        <f>IFERROR(IF(AND(F190="V.Low",OR(H190="Good",H190="Moderate")),"Error ▲",VLOOKUP(H190,'G-1 All Habitats'!$Z$2:$AA$9,2,FALSE)),"")</f>
        <v/>
      </c>
      <c r="J190" s="154"/>
      <c r="K190" s="520" t="str">
        <f>IF(J190="","",IF(VLOOKUP(J190,'G-3 Multipliers'!$L$3:$N$6,2,FALSE)=0,"Spatial Data Missing ⚠",VLOOKUP(J190,'G-3 Multipliers'!$L$3:$N$6,2,FALSE)))</f>
        <v/>
      </c>
      <c r="L190" s="524" t="str">
        <f>IF(J190="","",IF(VLOOKUP(J190,'G-3 Multipliers'!$L$3:$N$6,3,FALSE)=0,"Spatial Data Missing ⚠",VLOOKUP(J190,'G-3 Multipliers'!$L$3:$N$6,3,FALSE)))</f>
        <v/>
      </c>
      <c r="M190" s="506" t="str">
        <f>IF(D190="","",VLOOKUP(D190,'G-6 Hedgerow Data'!$B$1:$AH$15,33,FALSE))</f>
        <v/>
      </c>
      <c r="N190" s="513" t="str">
        <f t="shared" si="16"/>
        <v/>
      </c>
      <c r="O190" s="40"/>
      <c r="P190" s="145"/>
      <c r="Q190" s="157"/>
      <c r="R190" s="507" t="str">
        <f t="shared" si="17"/>
        <v/>
      </c>
      <c r="S190" s="507" t="str">
        <f t="shared" si="18"/>
        <v/>
      </c>
      <c r="T190" s="511" t="str">
        <f t="shared" si="19"/>
        <v/>
      </c>
      <c r="U190" s="515" t="str">
        <f t="shared" si="20"/>
        <v/>
      </c>
      <c r="V190" s="151"/>
      <c r="W190" s="152"/>
      <c r="AB190" s="31" t="str">
        <f>IFERROR(INDEX('G-6 Hedgerow Data'!$BJ$3:$BJ$15,MATCH(D190,'G-6 Hedgerow Data'!$B$3:$B$15,0)),"")</f>
        <v/>
      </c>
      <c r="AE190" s="156" t="str">
        <f t="shared" si="14"/>
        <v/>
      </c>
      <c r="AF190" s="156" t="str">
        <f t="shared" si="15"/>
        <v/>
      </c>
      <c r="AH190" s="156">
        <v>181</v>
      </c>
      <c r="AJ190" s="156" t="str">
        <f t="array" ref="AJ190">IFERROR(INDEX($AH$10:$AH$258, MATCH(0, IF(TRUE=$AE$10:$AE$258, COUNTIF($AJ$9:$AJ189, $AH$10:$AH$258), ""), 0)),"")</f>
        <v/>
      </c>
      <c r="AK190" s="156" t="str">
        <f t="array" ref="AK190">IFERROR(INDEX($AH$10:$AH$258, MATCH(0, IF(TRUE=$AF$10:$AF$258, COUNTIF($AK$9:$AK189, $AH$10:$AH$258), ""), 0)),"")</f>
        <v/>
      </c>
    </row>
    <row r="191" spans="2:37" ht="14" x14ac:dyDescent="0.3">
      <c r="B191" s="141">
        <v>182</v>
      </c>
      <c r="C191" s="203"/>
      <c r="D191" s="203"/>
      <c r="E191" s="153"/>
      <c r="F191" s="498" t="str">
        <f>IF(D191="","",VLOOKUP(D191,'G-6 Hedgerow Data'!$B$2:$AG$15,2,FALSE))</f>
        <v/>
      </c>
      <c r="G191" s="499" t="str">
        <f>IF(D191="","",VLOOKUP(D191,'G-6 Hedgerow Data'!$B$2:$AG$15,3,FALSE))</f>
        <v/>
      </c>
      <c r="H191" s="145"/>
      <c r="I191" s="499" t="str">
        <f>IFERROR(IF(AND(F191="V.Low",OR(H191="Good",H191="Moderate")),"Error ▲",VLOOKUP(H191,'G-1 All Habitats'!$Z$2:$AA$9,2,FALSE)),"")</f>
        <v/>
      </c>
      <c r="J191" s="154"/>
      <c r="K191" s="520" t="str">
        <f>IF(J191="","",IF(VLOOKUP(J191,'G-3 Multipliers'!$L$3:$N$6,2,FALSE)=0,"Spatial Data Missing ⚠",VLOOKUP(J191,'G-3 Multipliers'!$L$3:$N$6,2,FALSE)))</f>
        <v/>
      </c>
      <c r="L191" s="524" t="str">
        <f>IF(J191="","",IF(VLOOKUP(J191,'G-3 Multipliers'!$L$3:$N$6,3,FALSE)=0,"Spatial Data Missing ⚠",VLOOKUP(J191,'G-3 Multipliers'!$L$3:$N$6,3,FALSE)))</f>
        <v/>
      </c>
      <c r="M191" s="506" t="str">
        <f>IF(D191="","",VLOOKUP(D191,'G-6 Hedgerow Data'!$B$1:$AH$15,33,FALSE))</f>
        <v/>
      </c>
      <c r="N191" s="513" t="str">
        <f t="shared" si="16"/>
        <v/>
      </c>
      <c r="O191" s="40"/>
      <c r="P191" s="145"/>
      <c r="Q191" s="157"/>
      <c r="R191" s="507" t="str">
        <f t="shared" si="17"/>
        <v/>
      </c>
      <c r="S191" s="507" t="str">
        <f t="shared" si="18"/>
        <v/>
      </c>
      <c r="T191" s="511" t="str">
        <f t="shared" si="19"/>
        <v/>
      </c>
      <c r="U191" s="515" t="str">
        <f t="shared" si="20"/>
        <v/>
      </c>
      <c r="V191" s="151"/>
      <c r="W191" s="152"/>
      <c r="AB191" s="31" t="str">
        <f>IFERROR(INDEX('G-6 Hedgerow Data'!$BJ$3:$BJ$15,MATCH(D191,'G-6 Hedgerow Data'!$B$3:$B$15,0)),"")</f>
        <v/>
      </c>
      <c r="AE191" s="156" t="str">
        <f t="shared" si="14"/>
        <v/>
      </c>
      <c r="AF191" s="156" t="str">
        <f t="shared" si="15"/>
        <v/>
      </c>
      <c r="AH191" s="156">
        <v>182</v>
      </c>
      <c r="AJ191" s="156" t="str">
        <f t="array" ref="AJ191">IFERROR(INDEX($AH$10:$AH$258, MATCH(0, IF(TRUE=$AE$10:$AE$258, COUNTIF($AJ$9:$AJ190, $AH$10:$AH$258), ""), 0)),"")</f>
        <v/>
      </c>
      <c r="AK191" s="156" t="str">
        <f t="array" ref="AK191">IFERROR(INDEX($AH$10:$AH$258, MATCH(0, IF(TRUE=$AF$10:$AF$258, COUNTIF($AK$9:$AK190, $AH$10:$AH$258), ""), 0)),"")</f>
        <v/>
      </c>
    </row>
    <row r="192" spans="2:37" ht="14" x14ac:dyDescent="0.3">
      <c r="B192" s="141">
        <v>183</v>
      </c>
      <c r="C192" s="203"/>
      <c r="D192" s="203"/>
      <c r="E192" s="153"/>
      <c r="F192" s="498" t="str">
        <f>IF(D192="","",VLOOKUP(D192,'G-6 Hedgerow Data'!$B$2:$AG$15,2,FALSE))</f>
        <v/>
      </c>
      <c r="G192" s="499" t="str">
        <f>IF(D192="","",VLOOKUP(D192,'G-6 Hedgerow Data'!$B$2:$AG$15,3,FALSE))</f>
        <v/>
      </c>
      <c r="H192" s="145"/>
      <c r="I192" s="499" t="str">
        <f>IFERROR(IF(AND(F192="V.Low",OR(H192="Good",H192="Moderate")),"Error ▲",VLOOKUP(H192,'G-1 All Habitats'!$Z$2:$AA$9,2,FALSE)),"")</f>
        <v/>
      </c>
      <c r="J192" s="154"/>
      <c r="K192" s="520" t="str">
        <f>IF(J192="","",IF(VLOOKUP(J192,'G-3 Multipliers'!$L$3:$N$6,2,FALSE)=0,"Spatial Data Missing ⚠",VLOOKUP(J192,'G-3 Multipliers'!$L$3:$N$6,2,FALSE)))</f>
        <v/>
      </c>
      <c r="L192" s="524" t="str">
        <f>IF(J192="","",IF(VLOOKUP(J192,'G-3 Multipliers'!$L$3:$N$6,3,FALSE)=0,"Spatial Data Missing ⚠",VLOOKUP(J192,'G-3 Multipliers'!$L$3:$N$6,3,FALSE)))</f>
        <v/>
      </c>
      <c r="M192" s="506" t="str">
        <f>IF(D192="","",VLOOKUP(D192,'G-6 Hedgerow Data'!$B$1:$AH$15,33,FALSE))</f>
        <v/>
      </c>
      <c r="N192" s="513" t="str">
        <f t="shared" si="16"/>
        <v/>
      </c>
      <c r="O192" s="40"/>
      <c r="P192" s="145"/>
      <c r="Q192" s="157"/>
      <c r="R192" s="507" t="str">
        <f t="shared" si="17"/>
        <v/>
      </c>
      <c r="S192" s="507" t="str">
        <f t="shared" si="18"/>
        <v/>
      </c>
      <c r="T192" s="511" t="str">
        <f t="shared" si="19"/>
        <v/>
      </c>
      <c r="U192" s="515" t="str">
        <f t="shared" si="20"/>
        <v/>
      </c>
      <c r="V192" s="151"/>
      <c r="W192" s="152"/>
      <c r="AB192" s="31" t="str">
        <f>IFERROR(INDEX('G-6 Hedgerow Data'!$BJ$3:$BJ$15,MATCH(D192,'G-6 Hedgerow Data'!$B$3:$B$15,0)),"")</f>
        <v/>
      </c>
      <c r="AE192" s="156" t="str">
        <f t="shared" si="14"/>
        <v/>
      </c>
      <c r="AF192" s="156" t="str">
        <f t="shared" si="15"/>
        <v/>
      </c>
      <c r="AH192" s="156">
        <v>183</v>
      </c>
      <c r="AJ192" s="156" t="str">
        <f t="array" ref="AJ192">IFERROR(INDEX($AH$10:$AH$258, MATCH(0, IF(TRUE=$AE$10:$AE$258, COUNTIF($AJ$9:$AJ191, $AH$10:$AH$258), ""), 0)),"")</f>
        <v/>
      </c>
      <c r="AK192" s="156" t="str">
        <f t="array" ref="AK192">IFERROR(INDEX($AH$10:$AH$258, MATCH(0, IF(TRUE=$AF$10:$AF$258, COUNTIF($AK$9:$AK191, $AH$10:$AH$258), ""), 0)),"")</f>
        <v/>
      </c>
    </row>
    <row r="193" spans="2:37" ht="14" x14ac:dyDescent="0.3">
      <c r="B193" s="141">
        <v>184</v>
      </c>
      <c r="C193" s="203"/>
      <c r="D193" s="203"/>
      <c r="E193" s="153"/>
      <c r="F193" s="498" t="str">
        <f>IF(D193="","",VLOOKUP(D193,'G-6 Hedgerow Data'!$B$2:$AG$15,2,FALSE))</f>
        <v/>
      </c>
      <c r="G193" s="499" t="str">
        <f>IF(D193="","",VLOOKUP(D193,'G-6 Hedgerow Data'!$B$2:$AG$15,3,FALSE))</f>
        <v/>
      </c>
      <c r="H193" s="145"/>
      <c r="I193" s="499" t="str">
        <f>IFERROR(IF(AND(F193="V.Low",OR(H193="Good",H193="Moderate")),"Error ▲",VLOOKUP(H193,'G-1 All Habitats'!$Z$2:$AA$9,2,FALSE)),"")</f>
        <v/>
      </c>
      <c r="J193" s="154"/>
      <c r="K193" s="520" t="str">
        <f>IF(J193="","",IF(VLOOKUP(J193,'G-3 Multipliers'!$L$3:$N$6,2,FALSE)=0,"Spatial Data Missing ⚠",VLOOKUP(J193,'G-3 Multipliers'!$L$3:$N$6,2,FALSE)))</f>
        <v/>
      </c>
      <c r="L193" s="524" t="str">
        <f>IF(J193="","",IF(VLOOKUP(J193,'G-3 Multipliers'!$L$3:$N$6,3,FALSE)=0,"Spatial Data Missing ⚠",VLOOKUP(J193,'G-3 Multipliers'!$L$3:$N$6,3,FALSE)))</f>
        <v/>
      </c>
      <c r="M193" s="506" t="str">
        <f>IF(D193="","",VLOOKUP(D193,'G-6 Hedgerow Data'!$B$1:$AH$15,33,FALSE))</f>
        <v/>
      </c>
      <c r="N193" s="513" t="str">
        <f t="shared" si="16"/>
        <v/>
      </c>
      <c r="O193" s="40"/>
      <c r="P193" s="145"/>
      <c r="Q193" s="157"/>
      <c r="R193" s="507" t="str">
        <f t="shared" si="17"/>
        <v/>
      </c>
      <c r="S193" s="507" t="str">
        <f t="shared" si="18"/>
        <v/>
      </c>
      <c r="T193" s="511" t="str">
        <f t="shared" si="19"/>
        <v/>
      </c>
      <c r="U193" s="515" t="str">
        <f t="shared" si="20"/>
        <v/>
      </c>
      <c r="V193" s="151"/>
      <c r="W193" s="152"/>
      <c r="AB193" s="31" t="str">
        <f>IFERROR(INDEX('G-6 Hedgerow Data'!$BJ$3:$BJ$15,MATCH(D193,'G-6 Hedgerow Data'!$B$3:$B$15,0)),"")</f>
        <v/>
      </c>
      <c r="AE193" s="156" t="str">
        <f t="shared" si="14"/>
        <v/>
      </c>
      <c r="AF193" s="156" t="str">
        <f t="shared" si="15"/>
        <v/>
      </c>
      <c r="AH193" s="156">
        <v>184</v>
      </c>
      <c r="AJ193" s="156" t="str">
        <f t="array" ref="AJ193">IFERROR(INDEX($AH$10:$AH$258, MATCH(0, IF(TRUE=$AE$10:$AE$258, COUNTIF($AJ$9:$AJ192, $AH$10:$AH$258), ""), 0)),"")</f>
        <v/>
      </c>
      <c r="AK193" s="156" t="str">
        <f t="array" ref="AK193">IFERROR(INDEX($AH$10:$AH$258, MATCH(0, IF(TRUE=$AF$10:$AF$258, COUNTIF($AK$9:$AK192, $AH$10:$AH$258), ""), 0)),"")</f>
        <v/>
      </c>
    </row>
    <row r="194" spans="2:37" ht="14" x14ac:dyDescent="0.3">
      <c r="B194" s="141">
        <v>185</v>
      </c>
      <c r="C194" s="203"/>
      <c r="D194" s="203"/>
      <c r="E194" s="153"/>
      <c r="F194" s="498" t="str">
        <f>IF(D194="","",VLOOKUP(D194,'G-6 Hedgerow Data'!$B$2:$AG$15,2,FALSE))</f>
        <v/>
      </c>
      <c r="G194" s="499" t="str">
        <f>IF(D194="","",VLOOKUP(D194,'G-6 Hedgerow Data'!$B$2:$AG$15,3,FALSE))</f>
        <v/>
      </c>
      <c r="H194" s="145"/>
      <c r="I194" s="499" t="str">
        <f>IFERROR(IF(AND(F194="V.Low",OR(H194="Good",H194="Moderate")),"Error ▲",VLOOKUP(H194,'G-1 All Habitats'!$Z$2:$AA$9,2,FALSE)),"")</f>
        <v/>
      </c>
      <c r="J194" s="154"/>
      <c r="K194" s="520" t="str">
        <f>IF(J194="","",IF(VLOOKUP(J194,'G-3 Multipliers'!$L$3:$N$6,2,FALSE)=0,"Spatial Data Missing ⚠",VLOOKUP(J194,'G-3 Multipliers'!$L$3:$N$6,2,FALSE)))</f>
        <v/>
      </c>
      <c r="L194" s="524" t="str">
        <f>IF(J194="","",IF(VLOOKUP(J194,'G-3 Multipliers'!$L$3:$N$6,3,FALSE)=0,"Spatial Data Missing ⚠",VLOOKUP(J194,'G-3 Multipliers'!$L$3:$N$6,3,FALSE)))</f>
        <v/>
      </c>
      <c r="M194" s="506" t="str">
        <f>IF(D194="","",VLOOKUP(D194,'G-6 Hedgerow Data'!$B$1:$AH$15,33,FALSE))</f>
        <v/>
      </c>
      <c r="N194" s="513" t="str">
        <f t="shared" si="16"/>
        <v/>
      </c>
      <c r="O194" s="40"/>
      <c r="P194" s="145"/>
      <c r="Q194" s="157"/>
      <c r="R194" s="507" t="str">
        <f t="shared" si="17"/>
        <v/>
      </c>
      <c r="S194" s="507" t="str">
        <f t="shared" si="18"/>
        <v/>
      </c>
      <c r="T194" s="511" t="str">
        <f t="shared" si="19"/>
        <v/>
      </c>
      <c r="U194" s="515" t="str">
        <f t="shared" si="20"/>
        <v/>
      </c>
      <c r="V194" s="151"/>
      <c r="W194" s="152"/>
      <c r="AB194" s="31" t="str">
        <f>IFERROR(INDEX('G-6 Hedgerow Data'!$BJ$3:$BJ$15,MATCH(D194,'G-6 Hedgerow Data'!$B$3:$B$15,0)),"")</f>
        <v/>
      </c>
      <c r="AE194" s="156" t="str">
        <f t="shared" si="14"/>
        <v/>
      </c>
      <c r="AF194" s="156" t="str">
        <f t="shared" si="15"/>
        <v/>
      </c>
      <c r="AH194" s="156">
        <v>185</v>
      </c>
      <c r="AJ194" s="156" t="str">
        <f t="array" ref="AJ194">IFERROR(INDEX($AH$10:$AH$258, MATCH(0, IF(TRUE=$AE$10:$AE$258, COUNTIF($AJ$9:$AJ193, $AH$10:$AH$258), ""), 0)),"")</f>
        <v/>
      </c>
      <c r="AK194" s="156" t="str">
        <f t="array" ref="AK194">IFERROR(INDEX($AH$10:$AH$258, MATCH(0, IF(TRUE=$AF$10:$AF$258, COUNTIF($AK$9:$AK193, $AH$10:$AH$258), ""), 0)),"")</f>
        <v/>
      </c>
    </row>
    <row r="195" spans="2:37" ht="14" x14ac:dyDescent="0.3">
      <c r="B195" s="141">
        <v>186</v>
      </c>
      <c r="C195" s="203"/>
      <c r="D195" s="203"/>
      <c r="E195" s="153"/>
      <c r="F195" s="498" t="str">
        <f>IF(D195="","",VLOOKUP(D195,'G-6 Hedgerow Data'!$B$2:$AG$15,2,FALSE))</f>
        <v/>
      </c>
      <c r="G195" s="499" t="str">
        <f>IF(D195="","",VLOOKUP(D195,'G-6 Hedgerow Data'!$B$2:$AG$15,3,FALSE))</f>
        <v/>
      </c>
      <c r="H195" s="145"/>
      <c r="I195" s="499" t="str">
        <f>IFERROR(IF(AND(F195="V.Low",OR(H195="Good",H195="Moderate")),"Error ▲",VLOOKUP(H195,'G-1 All Habitats'!$Z$2:$AA$9,2,FALSE)),"")</f>
        <v/>
      </c>
      <c r="J195" s="154"/>
      <c r="K195" s="520" t="str">
        <f>IF(J195="","",IF(VLOOKUP(J195,'G-3 Multipliers'!$L$3:$N$6,2,FALSE)=0,"Spatial Data Missing ⚠",VLOOKUP(J195,'G-3 Multipliers'!$L$3:$N$6,2,FALSE)))</f>
        <v/>
      </c>
      <c r="L195" s="524" t="str">
        <f>IF(J195="","",IF(VLOOKUP(J195,'G-3 Multipliers'!$L$3:$N$6,3,FALSE)=0,"Spatial Data Missing ⚠",VLOOKUP(J195,'G-3 Multipliers'!$L$3:$N$6,3,FALSE)))</f>
        <v/>
      </c>
      <c r="M195" s="506" t="str">
        <f>IF(D195="","",VLOOKUP(D195,'G-6 Hedgerow Data'!$B$1:$AH$15,33,FALSE))</f>
        <v/>
      </c>
      <c r="N195" s="513" t="str">
        <f t="shared" si="16"/>
        <v/>
      </c>
      <c r="O195" s="40"/>
      <c r="P195" s="145"/>
      <c r="Q195" s="157"/>
      <c r="R195" s="507" t="str">
        <f t="shared" si="17"/>
        <v/>
      </c>
      <c r="S195" s="507" t="str">
        <f t="shared" si="18"/>
        <v/>
      </c>
      <c r="T195" s="511" t="str">
        <f t="shared" si="19"/>
        <v/>
      </c>
      <c r="U195" s="515" t="str">
        <f t="shared" si="20"/>
        <v/>
      </c>
      <c r="V195" s="151"/>
      <c r="W195" s="152"/>
      <c r="AB195" s="31" t="str">
        <f>IFERROR(INDEX('G-6 Hedgerow Data'!$BJ$3:$BJ$15,MATCH(D195,'G-6 Hedgerow Data'!$B$3:$B$15,0)),"")</f>
        <v/>
      </c>
      <c r="AE195" s="156" t="str">
        <f t="shared" si="14"/>
        <v/>
      </c>
      <c r="AF195" s="156" t="str">
        <f t="shared" si="15"/>
        <v/>
      </c>
      <c r="AH195" s="156">
        <v>186</v>
      </c>
      <c r="AJ195" s="156" t="str">
        <f t="array" ref="AJ195">IFERROR(INDEX($AH$10:$AH$258, MATCH(0, IF(TRUE=$AE$10:$AE$258, COUNTIF($AJ$9:$AJ194, $AH$10:$AH$258), ""), 0)),"")</f>
        <v/>
      </c>
      <c r="AK195" s="156" t="str">
        <f t="array" ref="AK195">IFERROR(INDEX($AH$10:$AH$258, MATCH(0, IF(TRUE=$AF$10:$AF$258, COUNTIF($AK$9:$AK194, $AH$10:$AH$258), ""), 0)),"")</f>
        <v/>
      </c>
    </row>
    <row r="196" spans="2:37" ht="14" x14ac:dyDescent="0.3">
      <c r="B196" s="141">
        <v>187</v>
      </c>
      <c r="C196" s="203"/>
      <c r="D196" s="203"/>
      <c r="E196" s="153"/>
      <c r="F196" s="498" t="str">
        <f>IF(D196="","",VLOOKUP(D196,'G-6 Hedgerow Data'!$B$2:$AG$15,2,FALSE))</f>
        <v/>
      </c>
      <c r="G196" s="499" t="str">
        <f>IF(D196="","",VLOOKUP(D196,'G-6 Hedgerow Data'!$B$2:$AG$15,3,FALSE))</f>
        <v/>
      </c>
      <c r="H196" s="145"/>
      <c r="I196" s="499" t="str">
        <f>IFERROR(IF(AND(F196="V.Low",OR(H196="Good",H196="Moderate")),"Error ▲",VLOOKUP(H196,'G-1 All Habitats'!$Z$2:$AA$9,2,FALSE)),"")</f>
        <v/>
      </c>
      <c r="J196" s="154"/>
      <c r="K196" s="520" t="str">
        <f>IF(J196="","",IF(VLOOKUP(J196,'G-3 Multipliers'!$L$3:$N$6,2,FALSE)=0,"Spatial Data Missing ⚠",VLOOKUP(J196,'G-3 Multipliers'!$L$3:$N$6,2,FALSE)))</f>
        <v/>
      </c>
      <c r="L196" s="524" t="str">
        <f>IF(J196="","",IF(VLOOKUP(J196,'G-3 Multipliers'!$L$3:$N$6,3,FALSE)=0,"Spatial Data Missing ⚠",VLOOKUP(J196,'G-3 Multipliers'!$L$3:$N$6,3,FALSE)))</f>
        <v/>
      </c>
      <c r="M196" s="506" t="str">
        <f>IF(D196="","",VLOOKUP(D196,'G-6 Hedgerow Data'!$B$1:$AH$15,33,FALSE))</f>
        <v/>
      </c>
      <c r="N196" s="513" t="str">
        <f t="shared" si="16"/>
        <v/>
      </c>
      <c r="O196" s="40"/>
      <c r="P196" s="145"/>
      <c r="Q196" s="157"/>
      <c r="R196" s="507" t="str">
        <f t="shared" si="17"/>
        <v/>
      </c>
      <c r="S196" s="507" t="str">
        <f t="shared" si="18"/>
        <v/>
      </c>
      <c r="T196" s="511" t="str">
        <f t="shared" si="19"/>
        <v/>
      </c>
      <c r="U196" s="515" t="str">
        <f t="shared" si="20"/>
        <v/>
      </c>
      <c r="V196" s="151"/>
      <c r="W196" s="152"/>
      <c r="AB196" s="31" t="str">
        <f>IFERROR(INDEX('G-6 Hedgerow Data'!$BJ$3:$BJ$15,MATCH(D196,'G-6 Hedgerow Data'!$B$3:$B$15,0)),"")</f>
        <v/>
      </c>
      <c r="AE196" s="156" t="str">
        <f t="shared" si="14"/>
        <v/>
      </c>
      <c r="AF196" s="156" t="str">
        <f t="shared" si="15"/>
        <v/>
      </c>
      <c r="AH196" s="156">
        <v>187</v>
      </c>
      <c r="AJ196" s="156" t="str">
        <f t="array" ref="AJ196">IFERROR(INDEX($AH$10:$AH$258, MATCH(0, IF(TRUE=$AE$10:$AE$258, COUNTIF($AJ$9:$AJ195, $AH$10:$AH$258), ""), 0)),"")</f>
        <v/>
      </c>
      <c r="AK196" s="156" t="str">
        <f t="array" ref="AK196">IFERROR(INDEX($AH$10:$AH$258, MATCH(0, IF(TRUE=$AF$10:$AF$258, COUNTIF($AK$9:$AK195, $AH$10:$AH$258), ""), 0)),"")</f>
        <v/>
      </c>
    </row>
    <row r="197" spans="2:37" ht="14" x14ac:dyDescent="0.3">
      <c r="B197" s="141">
        <v>188</v>
      </c>
      <c r="C197" s="203"/>
      <c r="D197" s="203"/>
      <c r="E197" s="153"/>
      <c r="F197" s="498" t="str">
        <f>IF(D197="","",VLOOKUP(D197,'G-6 Hedgerow Data'!$B$2:$AG$15,2,FALSE))</f>
        <v/>
      </c>
      <c r="G197" s="499" t="str">
        <f>IF(D197="","",VLOOKUP(D197,'G-6 Hedgerow Data'!$B$2:$AG$15,3,FALSE))</f>
        <v/>
      </c>
      <c r="H197" s="145"/>
      <c r="I197" s="499" t="str">
        <f>IFERROR(IF(AND(F197="V.Low",OR(H197="Good",H197="Moderate")),"Error ▲",VLOOKUP(H197,'G-1 All Habitats'!$Z$2:$AA$9,2,FALSE)),"")</f>
        <v/>
      </c>
      <c r="J197" s="154"/>
      <c r="K197" s="520" t="str">
        <f>IF(J197="","",IF(VLOOKUP(J197,'G-3 Multipliers'!$L$3:$N$6,2,FALSE)=0,"Spatial Data Missing ⚠",VLOOKUP(J197,'G-3 Multipliers'!$L$3:$N$6,2,FALSE)))</f>
        <v/>
      </c>
      <c r="L197" s="524" t="str">
        <f>IF(J197="","",IF(VLOOKUP(J197,'G-3 Multipliers'!$L$3:$N$6,3,FALSE)=0,"Spatial Data Missing ⚠",VLOOKUP(J197,'G-3 Multipliers'!$L$3:$N$6,3,FALSE)))</f>
        <v/>
      </c>
      <c r="M197" s="506" t="str">
        <f>IF(D197="","",VLOOKUP(D197,'G-6 Hedgerow Data'!$B$1:$AH$15,33,FALSE))</f>
        <v/>
      </c>
      <c r="N197" s="513" t="str">
        <f t="shared" si="16"/>
        <v/>
      </c>
      <c r="O197" s="40"/>
      <c r="P197" s="145"/>
      <c r="Q197" s="157"/>
      <c r="R197" s="507" t="str">
        <f t="shared" si="17"/>
        <v/>
      </c>
      <c r="S197" s="507" t="str">
        <f t="shared" si="18"/>
        <v/>
      </c>
      <c r="T197" s="511" t="str">
        <f t="shared" si="19"/>
        <v/>
      </c>
      <c r="U197" s="515" t="str">
        <f t="shared" si="20"/>
        <v/>
      </c>
      <c r="V197" s="151"/>
      <c r="W197" s="152"/>
      <c r="AB197" s="31" t="str">
        <f>IFERROR(INDEX('G-6 Hedgerow Data'!$BJ$3:$BJ$15,MATCH(D197,'G-6 Hedgerow Data'!$B$3:$B$15,0)),"")</f>
        <v/>
      </c>
      <c r="AE197" s="156" t="str">
        <f t="shared" si="14"/>
        <v/>
      </c>
      <c r="AF197" s="156" t="str">
        <f t="shared" si="15"/>
        <v/>
      </c>
      <c r="AH197" s="156">
        <v>188</v>
      </c>
      <c r="AJ197" s="156" t="str">
        <f t="array" ref="AJ197">IFERROR(INDEX($AH$10:$AH$258, MATCH(0, IF(TRUE=$AE$10:$AE$258, COUNTIF($AJ$9:$AJ196, $AH$10:$AH$258), ""), 0)),"")</f>
        <v/>
      </c>
      <c r="AK197" s="156" t="str">
        <f t="array" ref="AK197">IFERROR(INDEX($AH$10:$AH$258, MATCH(0, IF(TRUE=$AF$10:$AF$258, COUNTIF($AK$9:$AK196, $AH$10:$AH$258), ""), 0)),"")</f>
        <v/>
      </c>
    </row>
    <row r="198" spans="2:37" ht="14" x14ac:dyDescent="0.3">
      <c r="B198" s="141">
        <v>189</v>
      </c>
      <c r="C198" s="203"/>
      <c r="D198" s="203"/>
      <c r="E198" s="153"/>
      <c r="F198" s="498" t="str">
        <f>IF(D198="","",VLOOKUP(D198,'G-6 Hedgerow Data'!$B$2:$AG$15,2,FALSE))</f>
        <v/>
      </c>
      <c r="G198" s="499" t="str">
        <f>IF(D198="","",VLOOKUP(D198,'G-6 Hedgerow Data'!$B$2:$AG$15,3,FALSE))</f>
        <v/>
      </c>
      <c r="H198" s="145"/>
      <c r="I198" s="499" t="str">
        <f>IFERROR(IF(AND(F198="V.Low",OR(H198="Good",H198="Moderate")),"Error ▲",VLOOKUP(H198,'G-1 All Habitats'!$Z$2:$AA$9,2,FALSE)),"")</f>
        <v/>
      </c>
      <c r="J198" s="154"/>
      <c r="K198" s="520" t="str">
        <f>IF(J198="","",IF(VLOOKUP(J198,'G-3 Multipliers'!$L$3:$N$6,2,FALSE)=0,"Spatial Data Missing ⚠",VLOOKUP(J198,'G-3 Multipliers'!$L$3:$N$6,2,FALSE)))</f>
        <v/>
      </c>
      <c r="L198" s="524" t="str">
        <f>IF(J198="","",IF(VLOOKUP(J198,'G-3 Multipliers'!$L$3:$N$6,3,FALSE)=0,"Spatial Data Missing ⚠",VLOOKUP(J198,'G-3 Multipliers'!$L$3:$N$6,3,FALSE)))</f>
        <v/>
      </c>
      <c r="M198" s="506" t="str">
        <f>IF(D198="","",VLOOKUP(D198,'G-6 Hedgerow Data'!$B$1:$AH$15,33,FALSE))</f>
        <v/>
      </c>
      <c r="N198" s="513" t="str">
        <f t="shared" si="16"/>
        <v/>
      </c>
      <c r="O198" s="40"/>
      <c r="P198" s="145"/>
      <c r="Q198" s="157"/>
      <c r="R198" s="507" t="str">
        <f t="shared" si="17"/>
        <v/>
      </c>
      <c r="S198" s="507" t="str">
        <f t="shared" si="18"/>
        <v/>
      </c>
      <c r="T198" s="511" t="str">
        <f t="shared" si="19"/>
        <v/>
      </c>
      <c r="U198" s="515" t="str">
        <f t="shared" si="20"/>
        <v/>
      </c>
      <c r="V198" s="151"/>
      <c r="W198" s="152"/>
      <c r="AB198" s="31" t="str">
        <f>IFERROR(INDEX('G-6 Hedgerow Data'!$BJ$3:$BJ$15,MATCH(D198,'G-6 Hedgerow Data'!$B$3:$B$15,0)),"")</f>
        <v/>
      </c>
      <c r="AE198" s="156" t="str">
        <f t="shared" si="14"/>
        <v/>
      </c>
      <c r="AF198" s="156" t="str">
        <f t="shared" si="15"/>
        <v/>
      </c>
      <c r="AH198" s="156">
        <v>189</v>
      </c>
      <c r="AJ198" s="156" t="str">
        <f t="array" ref="AJ198">IFERROR(INDEX($AH$10:$AH$258, MATCH(0, IF(TRUE=$AE$10:$AE$258, COUNTIF($AJ$9:$AJ197, $AH$10:$AH$258), ""), 0)),"")</f>
        <v/>
      </c>
      <c r="AK198" s="156" t="str">
        <f t="array" ref="AK198">IFERROR(INDEX($AH$10:$AH$258, MATCH(0, IF(TRUE=$AF$10:$AF$258, COUNTIF($AK$9:$AK197, $AH$10:$AH$258), ""), 0)),"")</f>
        <v/>
      </c>
    </row>
    <row r="199" spans="2:37" ht="14" x14ac:dyDescent="0.3">
      <c r="B199" s="141">
        <v>190</v>
      </c>
      <c r="C199" s="203"/>
      <c r="D199" s="203"/>
      <c r="E199" s="153"/>
      <c r="F199" s="498" t="str">
        <f>IF(D199="","",VLOOKUP(D199,'G-6 Hedgerow Data'!$B$2:$AG$15,2,FALSE))</f>
        <v/>
      </c>
      <c r="G199" s="499" t="str">
        <f>IF(D199="","",VLOOKUP(D199,'G-6 Hedgerow Data'!$B$2:$AG$15,3,FALSE))</f>
        <v/>
      </c>
      <c r="H199" s="145"/>
      <c r="I199" s="499" t="str">
        <f>IFERROR(IF(AND(F199="V.Low",OR(H199="Good",H199="Moderate")),"Error ▲",VLOOKUP(H199,'G-1 All Habitats'!$Z$2:$AA$9,2,FALSE)),"")</f>
        <v/>
      </c>
      <c r="J199" s="154"/>
      <c r="K199" s="520" t="str">
        <f>IF(J199="","",IF(VLOOKUP(J199,'G-3 Multipliers'!$L$3:$N$6,2,FALSE)=0,"Spatial Data Missing ⚠",VLOOKUP(J199,'G-3 Multipliers'!$L$3:$N$6,2,FALSE)))</f>
        <v/>
      </c>
      <c r="L199" s="524" t="str">
        <f>IF(J199="","",IF(VLOOKUP(J199,'G-3 Multipliers'!$L$3:$N$6,3,FALSE)=0,"Spatial Data Missing ⚠",VLOOKUP(J199,'G-3 Multipliers'!$L$3:$N$6,3,FALSE)))</f>
        <v/>
      </c>
      <c r="M199" s="506" t="str">
        <f>IF(D199="","",VLOOKUP(D199,'G-6 Hedgerow Data'!$B$1:$AH$15,33,FALSE))</f>
        <v/>
      </c>
      <c r="N199" s="513" t="str">
        <f t="shared" si="16"/>
        <v/>
      </c>
      <c r="O199" s="40"/>
      <c r="P199" s="145"/>
      <c r="Q199" s="157"/>
      <c r="R199" s="507" t="str">
        <f t="shared" si="17"/>
        <v/>
      </c>
      <c r="S199" s="507" t="str">
        <f t="shared" si="18"/>
        <v/>
      </c>
      <c r="T199" s="511" t="str">
        <f t="shared" si="19"/>
        <v/>
      </c>
      <c r="U199" s="515" t="str">
        <f t="shared" si="20"/>
        <v/>
      </c>
      <c r="V199" s="151"/>
      <c r="W199" s="152"/>
      <c r="AB199" s="31" t="str">
        <f>IFERROR(INDEX('G-6 Hedgerow Data'!$BJ$3:$BJ$15,MATCH(D199,'G-6 Hedgerow Data'!$B$3:$B$15,0)),"")</f>
        <v/>
      </c>
      <c r="AE199" s="156" t="str">
        <f t="shared" si="14"/>
        <v/>
      </c>
      <c r="AF199" s="156" t="str">
        <f t="shared" si="15"/>
        <v/>
      </c>
      <c r="AH199" s="156">
        <v>190</v>
      </c>
      <c r="AJ199" s="156" t="str">
        <f t="array" ref="AJ199">IFERROR(INDEX($AH$10:$AH$258, MATCH(0, IF(TRUE=$AE$10:$AE$258, COUNTIF($AJ$9:$AJ198, $AH$10:$AH$258), ""), 0)),"")</f>
        <v/>
      </c>
      <c r="AK199" s="156" t="str">
        <f t="array" ref="AK199">IFERROR(INDEX($AH$10:$AH$258, MATCH(0, IF(TRUE=$AF$10:$AF$258, COUNTIF($AK$9:$AK198, $AH$10:$AH$258), ""), 0)),"")</f>
        <v/>
      </c>
    </row>
    <row r="200" spans="2:37" ht="14" x14ac:dyDescent="0.3">
      <c r="B200" s="141">
        <v>191</v>
      </c>
      <c r="C200" s="203"/>
      <c r="D200" s="203"/>
      <c r="E200" s="153"/>
      <c r="F200" s="498" t="str">
        <f>IF(D200="","",VLOOKUP(D200,'G-6 Hedgerow Data'!$B$2:$AG$15,2,FALSE))</f>
        <v/>
      </c>
      <c r="G200" s="499" t="str">
        <f>IF(D200="","",VLOOKUP(D200,'G-6 Hedgerow Data'!$B$2:$AG$15,3,FALSE))</f>
        <v/>
      </c>
      <c r="H200" s="145"/>
      <c r="I200" s="499" t="str">
        <f>IFERROR(IF(AND(F200="V.Low",OR(H200="Good",H200="Moderate")),"Error ▲",VLOOKUP(H200,'G-1 All Habitats'!$Z$2:$AA$9,2,FALSE)),"")</f>
        <v/>
      </c>
      <c r="J200" s="154"/>
      <c r="K200" s="520" t="str">
        <f>IF(J200="","",IF(VLOOKUP(J200,'G-3 Multipliers'!$L$3:$N$6,2,FALSE)=0,"Spatial Data Missing ⚠",VLOOKUP(J200,'G-3 Multipliers'!$L$3:$N$6,2,FALSE)))</f>
        <v/>
      </c>
      <c r="L200" s="524" t="str">
        <f>IF(J200="","",IF(VLOOKUP(J200,'G-3 Multipliers'!$L$3:$N$6,3,FALSE)=0,"Spatial Data Missing ⚠",VLOOKUP(J200,'G-3 Multipliers'!$L$3:$N$6,3,FALSE)))</f>
        <v/>
      </c>
      <c r="M200" s="506" t="str">
        <f>IF(D200="","",VLOOKUP(D200,'G-6 Hedgerow Data'!$B$1:$AH$15,33,FALSE))</f>
        <v/>
      </c>
      <c r="N200" s="513" t="str">
        <f t="shared" si="16"/>
        <v/>
      </c>
      <c r="O200" s="40"/>
      <c r="P200" s="145"/>
      <c r="Q200" s="157"/>
      <c r="R200" s="507" t="str">
        <f t="shared" si="17"/>
        <v/>
      </c>
      <c r="S200" s="507" t="str">
        <f t="shared" si="18"/>
        <v/>
      </c>
      <c r="T200" s="511" t="str">
        <f t="shared" si="19"/>
        <v/>
      </c>
      <c r="U200" s="515" t="str">
        <f t="shared" si="20"/>
        <v/>
      </c>
      <c r="V200" s="151"/>
      <c r="W200" s="152"/>
      <c r="AB200" s="31" t="str">
        <f>IFERROR(INDEX('G-6 Hedgerow Data'!$BJ$3:$BJ$15,MATCH(D200,'G-6 Hedgerow Data'!$B$3:$B$15,0)),"")</f>
        <v/>
      </c>
      <c r="AE200" s="156" t="str">
        <f t="shared" si="14"/>
        <v/>
      </c>
      <c r="AF200" s="156" t="str">
        <f t="shared" si="15"/>
        <v/>
      </c>
      <c r="AH200" s="156">
        <v>191</v>
      </c>
      <c r="AJ200" s="156" t="str">
        <f t="array" ref="AJ200">IFERROR(INDEX($AH$10:$AH$258, MATCH(0, IF(TRUE=$AE$10:$AE$258, COUNTIF($AJ$9:$AJ199, $AH$10:$AH$258), ""), 0)),"")</f>
        <v/>
      </c>
      <c r="AK200" s="156" t="str">
        <f t="array" ref="AK200">IFERROR(INDEX($AH$10:$AH$258, MATCH(0, IF(TRUE=$AF$10:$AF$258, COUNTIF($AK$9:$AK199, $AH$10:$AH$258), ""), 0)),"")</f>
        <v/>
      </c>
    </row>
    <row r="201" spans="2:37" ht="14" x14ac:dyDescent="0.3">
      <c r="B201" s="141">
        <v>192</v>
      </c>
      <c r="C201" s="203"/>
      <c r="D201" s="203"/>
      <c r="E201" s="153"/>
      <c r="F201" s="498" t="str">
        <f>IF(D201="","",VLOOKUP(D201,'G-6 Hedgerow Data'!$B$2:$AG$15,2,FALSE))</f>
        <v/>
      </c>
      <c r="G201" s="499" t="str">
        <f>IF(D201="","",VLOOKUP(D201,'G-6 Hedgerow Data'!$B$2:$AG$15,3,FALSE))</f>
        <v/>
      </c>
      <c r="H201" s="145"/>
      <c r="I201" s="499" t="str">
        <f>IFERROR(IF(AND(F201="V.Low",OR(H201="Good",H201="Moderate")),"Error ▲",VLOOKUP(H201,'G-1 All Habitats'!$Z$2:$AA$9,2,FALSE)),"")</f>
        <v/>
      </c>
      <c r="J201" s="154"/>
      <c r="K201" s="520" t="str">
        <f>IF(J201="","",IF(VLOOKUP(J201,'G-3 Multipliers'!$L$3:$N$6,2,FALSE)=0,"Spatial Data Missing ⚠",VLOOKUP(J201,'G-3 Multipliers'!$L$3:$N$6,2,FALSE)))</f>
        <v/>
      </c>
      <c r="L201" s="524" t="str">
        <f>IF(J201="","",IF(VLOOKUP(J201,'G-3 Multipliers'!$L$3:$N$6,3,FALSE)=0,"Spatial Data Missing ⚠",VLOOKUP(J201,'G-3 Multipliers'!$L$3:$N$6,3,FALSE)))</f>
        <v/>
      </c>
      <c r="M201" s="506" t="str">
        <f>IF(D201="","",VLOOKUP(D201,'G-6 Hedgerow Data'!$B$1:$AH$15,33,FALSE))</f>
        <v/>
      </c>
      <c r="N201" s="513" t="str">
        <f t="shared" si="16"/>
        <v/>
      </c>
      <c r="O201" s="40"/>
      <c r="P201" s="145"/>
      <c r="Q201" s="157"/>
      <c r="R201" s="507" t="str">
        <f t="shared" si="17"/>
        <v/>
      </c>
      <c r="S201" s="507" t="str">
        <f t="shared" si="18"/>
        <v/>
      </c>
      <c r="T201" s="511" t="str">
        <f t="shared" si="19"/>
        <v/>
      </c>
      <c r="U201" s="515" t="str">
        <f t="shared" si="20"/>
        <v/>
      </c>
      <c r="V201" s="151"/>
      <c r="W201" s="152"/>
      <c r="AB201" s="31" t="str">
        <f>IFERROR(INDEX('G-6 Hedgerow Data'!$BJ$3:$BJ$15,MATCH(D201,'G-6 Hedgerow Data'!$B$3:$B$15,0)),"")</f>
        <v/>
      </c>
      <c r="AE201" s="156" t="str">
        <f t="shared" si="14"/>
        <v/>
      </c>
      <c r="AF201" s="156" t="str">
        <f t="shared" si="15"/>
        <v/>
      </c>
      <c r="AH201" s="156">
        <v>192</v>
      </c>
      <c r="AJ201" s="156" t="str">
        <f t="array" ref="AJ201">IFERROR(INDEX($AH$10:$AH$258, MATCH(0, IF(TRUE=$AE$10:$AE$258, COUNTIF($AJ$9:$AJ200, $AH$10:$AH$258), ""), 0)),"")</f>
        <v/>
      </c>
      <c r="AK201" s="156" t="str">
        <f t="array" ref="AK201">IFERROR(INDEX($AH$10:$AH$258, MATCH(0, IF(TRUE=$AF$10:$AF$258, COUNTIF($AK$9:$AK200, $AH$10:$AH$258), ""), 0)),"")</f>
        <v/>
      </c>
    </row>
    <row r="202" spans="2:37" ht="14" x14ac:dyDescent="0.3">
      <c r="B202" s="141">
        <v>193</v>
      </c>
      <c r="C202" s="203"/>
      <c r="D202" s="203"/>
      <c r="E202" s="153"/>
      <c r="F202" s="498" t="str">
        <f>IF(D202="","",VLOOKUP(D202,'G-6 Hedgerow Data'!$B$2:$AG$15,2,FALSE))</f>
        <v/>
      </c>
      <c r="G202" s="499" t="str">
        <f>IF(D202="","",VLOOKUP(D202,'G-6 Hedgerow Data'!$B$2:$AG$15,3,FALSE))</f>
        <v/>
      </c>
      <c r="H202" s="145"/>
      <c r="I202" s="499" t="str">
        <f>IFERROR(IF(AND(F202="V.Low",OR(H202="Good",H202="Moderate")),"Error ▲",VLOOKUP(H202,'G-1 All Habitats'!$Z$2:$AA$9,2,FALSE)),"")</f>
        <v/>
      </c>
      <c r="J202" s="154"/>
      <c r="K202" s="520" t="str">
        <f>IF(J202="","",IF(VLOOKUP(J202,'G-3 Multipliers'!$L$3:$N$6,2,FALSE)=0,"Spatial Data Missing ⚠",VLOOKUP(J202,'G-3 Multipliers'!$L$3:$N$6,2,FALSE)))</f>
        <v/>
      </c>
      <c r="L202" s="524" t="str">
        <f>IF(J202="","",IF(VLOOKUP(J202,'G-3 Multipliers'!$L$3:$N$6,3,FALSE)=0,"Spatial Data Missing ⚠",VLOOKUP(J202,'G-3 Multipliers'!$L$3:$N$6,3,FALSE)))</f>
        <v/>
      </c>
      <c r="M202" s="506" t="str">
        <f>IF(D202="","",VLOOKUP(D202,'G-6 Hedgerow Data'!$B$1:$AH$15,33,FALSE))</f>
        <v/>
      </c>
      <c r="N202" s="513" t="str">
        <f t="shared" si="16"/>
        <v/>
      </c>
      <c r="O202" s="40"/>
      <c r="P202" s="145"/>
      <c r="Q202" s="157"/>
      <c r="R202" s="507" t="str">
        <f t="shared" si="17"/>
        <v/>
      </c>
      <c r="S202" s="507" t="str">
        <f t="shared" si="18"/>
        <v/>
      </c>
      <c r="T202" s="511" t="str">
        <f t="shared" si="19"/>
        <v/>
      </c>
      <c r="U202" s="515" t="str">
        <f t="shared" si="20"/>
        <v/>
      </c>
      <c r="V202" s="151"/>
      <c r="W202" s="152"/>
      <c r="AB202" s="31" t="str">
        <f>IFERROR(INDEX('G-6 Hedgerow Data'!$BJ$3:$BJ$15,MATCH(D202,'G-6 Hedgerow Data'!$B$3:$B$15,0)),"")</f>
        <v/>
      </c>
      <c r="AE202" s="156" t="str">
        <f t="shared" ref="AE202:AE257" si="21">IF(D202="","",IF(P202&gt;0,TRUE,FALSE))</f>
        <v/>
      </c>
      <c r="AF202" s="156" t="str">
        <f t="shared" ref="AF202:AF257" si="22">IF(D202="","",IF(Q202&gt;0,TRUE,FALSE))</f>
        <v/>
      </c>
      <c r="AH202" s="156">
        <v>193</v>
      </c>
      <c r="AJ202" s="156" t="str">
        <f t="array" ref="AJ202">IFERROR(INDEX($AH$10:$AH$258, MATCH(0, IF(TRUE=$AE$10:$AE$258, COUNTIF($AJ$9:$AJ201, $AH$10:$AH$258), ""), 0)),"")</f>
        <v/>
      </c>
      <c r="AK202" s="156" t="str">
        <f t="array" ref="AK202">IFERROR(INDEX($AH$10:$AH$258, MATCH(0, IF(TRUE=$AF$10:$AF$258, COUNTIF($AK$9:$AK201, $AH$10:$AH$258), ""), 0)),"")</f>
        <v/>
      </c>
    </row>
    <row r="203" spans="2:37" ht="14" x14ac:dyDescent="0.3">
      <c r="B203" s="141">
        <v>194</v>
      </c>
      <c r="C203" s="203"/>
      <c r="D203" s="203"/>
      <c r="E203" s="153"/>
      <c r="F203" s="498" t="str">
        <f>IF(D203="","",VLOOKUP(D203,'G-6 Hedgerow Data'!$B$2:$AG$15,2,FALSE))</f>
        <v/>
      </c>
      <c r="G203" s="499" t="str">
        <f>IF(D203="","",VLOOKUP(D203,'G-6 Hedgerow Data'!$B$2:$AG$15,3,FALSE))</f>
        <v/>
      </c>
      <c r="H203" s="145"/>
      <c r="I203" s="499" t="str">
        <f>IFERROR(IF(AND(F203="V.Low",OR(H203="Good",H203="Moderate")),"Error ▲",VLOOKUP(H203,'G-1 All Habitats'!$Z$2:$AA$9,2,FALSE)),"")</f>
        <v/>
      </c>
      <c r="J203" s="154"/>
      <c r="K203" s="520" t="str">
        <f>IF(J203="","",IF(VLOOKUP(J203,'G-3 Multipliers'!$L$3:$N$6,2,FALSE)=0,"Spatial Data Missing ⚠",VLOOKUP(J203,'G-3 Multipliers'!$L$3:$N$6,2,FALSE)))</f>
        <v/>
      </c>
      <c r="L203" s="524" t="str">
        <f>IF(J203="","",IF(VLOOKUP(J203,'G-3 Multipliers'!$L$3:$N$6,3,FALSE)=0,"Spatial Data Missing ⚠",VLOOKUP(J203,'G-3 Multipliers'!$L$3:$N$6,3,FALSE)))</f>
        <v/>
      </c>
      <c r="M203" s="506" t="str">
        <f>IF(D203="","",VLOOKUP(D203,'G-6 Hedgerow Data'!$B$1:$AH$15,33,FALSE))</f>
        <v/>
      </c>
      <c r="N203" s="513" t="str">
        <f t="shared" ref="N203:N257" si="23">IFERROR(E203*G203*I203*L203,"")</f>
        <v/>
      </c>
      <c r="O203" s="40"/>
      <c r="P203" s="145"/>
      <c r="Q203" s="157"/>
      <c r="R203" s="507" t="str">
        <f t="shared" ref="R203:R257" si="24">IFERROR(P203*G203*I203*L203,"")</f>
        <v/>
      </c>
      <c r="S203" s="507" t="str">
        <f t="shared" ref="S203:S257" si="25">IFERROR(Q203*G203*I203*L203,"")</f>
        <v/>
      </c>
      <c r="T203" s="511" t="str">
        <f t="shared" ref="T203:T257" si="26">IF(D203="","",IF(E203&lt;P203+Q203,"Error in Lengths ▲",E203-P203-Q203))</f>
        <v/>
      </c>
      <c r="U203" s="515" t="str">
        <f t="shared" ref="U203:U257" si="27">IF(OR(E203="",N203=""),"",IF(E203&lt;P203+Q203,"Error in Lengths",N203-R203-S203))</f>
        <v/>
      </c>
      <c r="V203" s="151"/>
      <c r="W203" s="152"/>
      <c r="AB203" s="31" t="str">
        <f>IFERROR(INDEX('G-6 Hedgerow Data'!$BJ$3:$BJ$15,MATCH(D203,'G-6 Hedgerow Data'!$B$3:$B$15,0)),"")</f>
        <v/>
      </c>
      <c r="AE203" s="156" t="str">
        <f t="shared" si="21"/>
        <v/>
      </c>
      <c r="AF203" s="156" t="str">
        <f t="shared" si="22"/>
        <v/>
      </c>
      <c r="AH203" s="156">
        <v>194</v>
      </c>
      <c r="AJ203" s="156" t="str">
        <f t="array" ref="AJ203">IFERROR(INDEX($AH$10:$AH$258, MATCH(0, IF(TRUE=$AE$10:$AE$258, COUNTIF($AJ$9:$AJ202, $AH$10:$AH$258), ""), 0)),"")</f>
        <v/>
      </c>
      <c r="AK203" s="156" t="str">
        <f t="array" ref="AK203">IFERROR(INDEX($AH$10:$AH$258, MATCH(0, IF(TRUE=$AF$10:$AF$258, COUNTIF($AK$9:$AK202, $AH$10:$AH$258), ""), 0)),"")</f>
        <v/>
      </c>
    </row>
    <row r="204" spans="2:37" ht="14" x14ac:dyDescent="0.3">
      <c r="B204" s="141">
        <v>195</v>
      </c>
      <c r="C204" s="203"/>
      <c r="D204" s="203"/>
      <c r="E204" s="153"/>
      <c r="F204" s="498" t="str">
        <f>IF(D204="","",VLOOKUP(D204,'G-6 Hedgerow Data'!$B$2:$AG$15,2,FALSE))</f>
        <v/>
      </c>
      <c r="G204" s="499" t="str">
        <f>IF(D204="","",VLOOKUP(D204,'G-6 Hedgerow Data'!$B$2:$AG$15,3,FALSE))</f>
        <v/>
      </c>
      <c r="H204" s="145"/>
      <c r="I204" s="499" t="str">
        <f>IFERROR(IF(AND(F204="V.Low",OR(H204="Good",H204="Moderate")),"Error ▲",VLOOKUP(H204,'G-1 All Habitats'!$Z$2:$AA$9,2,FALSE)),"")</f>
        <v/>
      </c>
      <c r="J204" s="154"/>
      <c r="K204" s="520" t="str">
        <f>IF(J204="","",IF(VLOOKUP(J204,'G-3 Multipliers'!$L$3:$N$6,2,FALSE)=0,"Spatial Data Missing ⚠",VLOOKUP(J204,'G-3 Multipliers'!$L$3:$N$6,2,FALSE)))</f>
        <v/>
      </c>
      <c r="L204" s="524" t="str">
        <f>IF(J204="","",IF(VLOOKUP(J204,'G-3 Multipliers'!$L$3:$N$6,3,FALSE)=0,"Spatial Data Missing ⚠",VLOOKUP(J204,'G-3 Multipliers'!$L$3:$N$6,3,FALSE)))</f>
        <v/>
      </c>
      <c r="M204" s="506" t="str">
        <f>IF(D204="","",VLOOKUP(D204,'G-6 Hedgerow Data'!$B$1:$AH$15,33,FALSE))</f>
        <v/>
      </c>
      <c r="N204" s="513" t="str">
        <f t="shared" si="23"/>
        <v/>
      </c>
      <c r="O204" s="40"/>
      <c r="P204" s="145"/>
      <c r="Q204" s="157"/>
      <c r="R204" s="507" t="str">
        <f t="shared" si="24"/>
        <v/>
      </c>
      <c r="S204" s="507" t="str">
        <f t="shared" si="25"/>
        <v/>
      </c>
      <c r="T204" s="511" t="str">
        <f t="shared" si="26"/>
        <v/>
      </c>
      <c r="U204" s="515" t="str">
        <f t="shared" si="27"/>
        <v/>
      </c>
      <c r="V204" s="151"/>
      <c r="W204" s="152"/>
      <c r="AB204" s="31" t="str">
        <f>IFERROR(INDEX('G-6 Hedgerow Data'!$BJ$3:$BJ$15,MATCH(D204,'G-6 Hedgerow Data'!$B$3:$B$15,0)),"")</f>
        <v/>
      </c>
      <c r="AE204" s="156" t="str">
        <f t="shared" si="21"/>
        <v/>
      </c>
      <c r="AF204" s="156" t="str">
        <f t="shared" si="22"/>
        <v/>
      </c>
      <c r="AH204" s="156">
        <v>195</v>
      </c>
      <c r="AJ204" s="156" t="str">
        <f t="array" ref="AJ204">IFERROR(INDEX($AH$10:$AH$258, MATCH(0, IF(TRUE=$AE$10:$AE$258, COUNTIF($AJ$9:$AJ203, $AH$10:$AH$258), ""), 0)),"")</f>
        <v/>
      </c>
      <c r="AK204" s="156" t="str">
        <f t="array" ref="AK204">IFERROR(INDEX($AH$10:$AH$258, MATCH(0, IF(TRUE=$AF$10:$AF$258, COUNTIF($AK$9:$AK203, $AH$10:$AH$258), ""), 0)),"")</f>
        <v/>
      </c>
    </row>
    <row r="205" spans="2:37" ht="14" x14ac:dyDescent="0.3">
      <c r="B205" s="141">
        <v>196</v>
      </c>
      <c r="C205" s="203"/>
      <c r="D205" s="203"/>
      <c r="E205" s="153"/>
      <c r="F205" s="498" t="str">
        <f>IF(D205="","",VLOOKUP(D205,'G-6 Hedgerow Data'!$B$2:$AG$15,2,FALSE))</f>
        <v/>
      </c>
      <c r="G205" s="499" t="str">
        <f>IF(D205="","",VLOOKUP(D205,'G-6 Hedgerow Data'!$B$2:$AG$15,3,FALSE))</f>
        <v/>
      </c>
      <c r="H205" s="145"/>
      <c r="I205" s="499" t="str">
        <f>IFERROR(IF(AND(F205="V.Low",OR(H205="Good",H205="Moderate")),"Error ▲",VLOOKUP(H205,'G-1 All Habitats'!$Z$2:$AA$9,2,FALSE)),"")</f>
        <v/>
      </c>
      <c r="J205" s="154"/>
      <c r="K205" s="520" t="str">
        <f>IF(J205="","",IF(VLOOKUP(J205,'G-3 Multipliers'!$L$3:$N$6,2,FALSE)=0,"Spatial Data Missing ⚠",VLOOKUP(J205,'G-3 Multipliers'!$L$3:$N$6,2,FALSE)))</f>
        <v/>
      </c>
      <c r="L205" s="524" t="str">
        <f>IF(J205="","",IF(VLOOKUP(J205,'G-3 Multipliers'!$L$3:$N$6,3,FALSE)=0,"Spatial Data Missing ⚠",VLOOKUP(J205,'G-3 Multipliers'!$L$3:$N$6,3,FALSE)))</f>
        <v/>
      </c>
      <c r="M205" s="506" t="str">
        <f>IF(D205="","",VLOOKUP(D205,'G-6 Hedgerow Data'!$B$1:$AH$15,33,FALSE))</f>
        <v/>
      </c>
      <c r="N205" s="513" t="str">
        <f t="shared" si="23"/>
        <v/>
      </c>
      <c r="O205" s="40"/>
      <c r="P205" s="145"/>
      <c r="Q205" s="157"/>
      <c r="R205" s="507" t="str">
        <f t="shared" si="24"/>
        <v/>
      </c>
      <c r="S205" s="507" t="str">
        <f t="shared" si="25"/>
        <v/>
      </c>
      <c r="T205" s="511" t="str">
        <f t="shared" si="26"/>
        <v/>
      </c>
      <c r="U205" s="515" t="str">
        <f t="shared" si="27"/>
        <v/>
      </c>
      <c r="V205" s="151"/>
      <c r="W205" s="152"/>
      <c r="AB205" s="31" t="str">
        <f>IFERROR(INDEX('G-6 Hedgerow Data'!$BJ$3:$BJ$15,MATCH(D205,'G-6 Hedgerow Data'!$B$3:$B$15,0)),"")</f>
        <v/>
      </c>
      <c r="AE205" s="156" t="str">
        <f t="shared" si="21"/>
        <v/>
      </c>
      <c r="AF205" s="156" t="str">
        <f t="shared" si="22"/>
        <v/>
      </c>
      <c r="AH205" s="156">
        <v>196</v>
      </c>
      <c r="AJ205" s="156" t="str">
        <f t="array" ref="AJ205">IFERROR(INDEX($AH$10:$AH$258, MATCH(0, IF(TRUE=$AE$10:$AE$258, COUNTIF($AJ$9:$AJ204, $AH$10:$AH$258), ""), 0)),"")</f>
        <v/>
      </c>
      <c r="AK205" s="156" t="str">
        <f t="array" ref="AK205">IFERROR(INDEX($AH$10:$AH$258, MATCH(0, IF(TRUE=$AF$10:$AF$258, COUNTIF($AK$9:$AK204, $AH$10:$AH$258), ""), 0)),"")</f>
        <v/>
      </c>
    </row>
    <row r="206" spans="2:37" ht="14" x14ac:dyDescent="0.3">
      <c r="B206" s="141">
        <v>197</v>
      </c>
      <c r="C206" s="203"/>
      <c r="D206" s="203"/>
      <c r="E206" s="153"/>
      <c r="F206" s="498" t="str">
        <f>IF(D206="","",VLOOKUP(D206,'G-6 Hedgerow Data'!$B$2:$AG$15,2,FALSE))</f>
        <v/>
      </c>
      <c r="G206" s="499" t="str">
        <f>IF(D206="","",VLOOKUP(D206,'G-6 Hedgerow Data'!$B$2:$AG$15,3,FALSE))</f>
        <v/>
      </c>
      <c r="H206" s="145"/>
      <c r="I206" s="499" t="str">
        <f>IFERROR(IF(AND(F206="V.Low",OR(H206="Good",H206="Moderate")),"Error ▲",VLOOKUP(H206,'G-1 All Habitats'!$Z$2:$AA$9,2,FALSE)),"")</f>
        <v/>
      </c>
      <c r="J206" s="154"/>
      <c r="K206" s="520" t="str">
        <f>IF(J206="","",IF(VLOOKUP(J206,'G-3 Multipliers'!$L$3:$N$6,2,FALSE)=0,"Spatial Data Missing ⚠",VLOOKUP(J206,'G-3 Multipliers'!$L$3:$N$6,2,FALSE)))</f>
        <v/>
      </c>
      <c r="L206" s="524" t="str">
        <f>IF(J206="","",IF(VLOOKUP(J206,'G-3 Multipliers'!$L$3:$N$6,3,FALSE)=0,"Spatial Data Missing ⚠",VLOOKUP(J206,'G-3 Multipliers'!$L$3:$N$6,3,FALSE)))</f>
        <v/>
      </c>
      <c r="M206" s="506" t="str">
        <f>IF(D206="","",VLOOKUP(D206,'G-6 Hedgerow Data'!$B$1:$AH$15,33,FALSE))</f>
        <v/>
      </c>
      <c r="N206" s="513" t="str">
        <f t="shared" si="23"/>
        <v/>
      </c>
      <c r="O206" s="40"/>
      <c r="P206" s="145"/>
      <c r="Q206" s="157"/>
      <c r="R206" s="507" t="str">
        <f t="shared" si="24"/>
        <v/>
      </c>
      <c r="S206" s="507" t="str">
        <f t="shared" si="25"/>
        <v/>
      </c>
      <c r="T206" s="511" t="str">
        <f t="shared" si="26"/>
        <v/>
      </c>
      <c r="U206" s="515" t="str">
        <f t="shared" si="27"/>
        <v/>
      </c>
      <c r="V206" s="151"/>
      <c r="W206" s="152"/>
      <c r="AB206" s="31" t="str">
        <f>IFERROR(INDEX('G-6 Hedgerow Data'!$BJ$3:$BJ$15,MATCH(D206,'G-6 Hedgerow Data'!$B$3:$B$15,0)),"")</f>
        <v/>
      </c>
      <c r="AE206" s="156" t="str">
        <f t="shared" si="21"/>
        <v/>
      </c>
      <c r="AF206" s="156" t="str">
        <f t="shared" si="22"/>
        <v/>
      </c>
      <c r="AH206" s="156">
        <v>197</v>
      </c>
      <c r="AJ206" s="156" t="str">
        <f t="array" ref="AJ206">IFERROR(INDEX($AH$10:$AH$258, MATCH(0, IF(TRUE=$AE$10:$AE$258, COUNTIF($AJ$9:$AJ205, $AH$10:$AH$258), ""), 0)),"")</f>
        <v/>
      </c>
      <c r="AK206" s="156" t="str">
        <f t="array" ref="AK206">IFERROR(INDEX($AH$10:$AH$258, MATCH(0, IF(TRUE=$AF$10:$AF$258, COUNTIF($AK$9:$AK205, $AH$10:$AH$258), ""), 0)),"")</f>
        <v/>
      </c>
    </row>
    <row r="207" spans="2:37" ht="14" x14ac:dyDescent="0.3">
      <c r="B207" s="141">
        <v>198</v>
      </c>
      <c r="C207" s="203"/>
      <c r="D207" s="203"/>
      <c r="E207" s="153"/>
      <c r="F207" s="498" t="str">
        <f>IF(D207="","",VLOOKUP(D207,'G-6 Hedgerow Data'!$B$2:$AG$15,2,FALSE))</f>
        <v/>
      </c>
      <c r="G207" s="499" t="str">
        <f>IF(D207="","",VLOOKUP(D207,'G-6 Hedgerow Data'!$B$2:$AG$15,3,FALSE))</f>
        <v/>
      </c>
      <c r="H207" s="145"/>
      <c r="I207" s="499" t="str">
        <f>IFERROR(IF(AND(F207="V.Low",OR(H207="Good",H207="Moderate")),"Error ▲",VLOOKUP(H207,'G-1 All Habitats'!$Z$2:$AA$9,2,FALSE)),"")</f>
        <v/>
      </c>
      <c r="J207" s="154"/>
      <c r="K207" s="520" t="str">
        <f>IF(J207="","",IF(VLOOKUP(J207,'G-3 Multipliers'!$L$3:$N$6,2,FALSE)=0,"Spatial Data Missing ⚠",VLOOKUP(J207,'G-3 Multipliers'!$L$3:$N$6,2,FALSE)))</f>
        <v/>
      </c>
      <c r="L207" s="524" t="str">
        <f>IF(J207="","",IF(VLOOKUP(J207,'G-3 Multipliers'!$L$3:$N$6,3,FALSE)=0,"Spatial Data Missing ⚠",VLOOKUP(J207,'G-3 Multipliers'!$L$3:$N$6,3,FALSE)))</f>
        <v/>
      </c>
      <c r="M207" s="506" t="str">
        <f>IF(D207="","",VLOOKUP(D207,'G-6 Hedgerow Data'!$B$1:$AH$15,33,FALSE))</f>
        <v/>
      </c>
      <c r="N207" s="513" t="str">
        <f t="shared" si="23"/>
        <v/>
      </c>
      <c r="O207" s="40"/>
      <c r="P207" s="145"/>
      <c r="Q207" s="157"/>
      <c r="R207" s="507" t="str">
        <f t="shared" si="24"/>
        <v/>
      </c>
      <c r="S207" s="507" t="str">
        <f t="shared" si="25"/>
        <v/>
      </c>
      <c r="T207" s="511" t="str">
        <f t="shared" si="26"/>
        <v/>
      </c>
      <c r="U207" s="515" t="str">
        <f t="shared" si="27"/>
        <v/>
      </c>
      <c r="V207" s="151"/>
      <c r="W207" s="152"/>
      <c r="AB207" s="31" t="str">
        <f>IFERROR(INDEX('G-6 Hedgerow Data'!$BJ$3:$BJ$15,MATCH(D207,'G-6 Hedgerow Data'!$B$3:$B$15,0)),"")</f>
        <v/>
      </c>
      <c r="AE207" s="156" t="str">
        <f t="shared" si="21"/>
        <v/>
      </c>
      <c r="AF207" s="156" t="str">
        <f t="shared" si="22"/>
        <v/>
      </c>
      <c r="AH207" s="156">
        <v>198</v>
      </c>
      <c r="AJ207" s="156" t="str">
        <f t="array" ref="AJ207">IFERROR(INDEX($AH$10:$AH$258, MATCH(0, IF(TRUE=$AE$10:$AE$258, COUNTIF($AJ$9:$AJ206, $AH$10:$AH$258), ""), 0)),"")</f>
        <v/>
      </c>
      <c r="AK207" s="156" t="str">
        <f t="array" ref="AK207">IFERROR(INDEX($AH$10:$AH$258, MATCH(0, IF(TRUE=$AF$10:$AF$258, COUNTIF($AK$9:$AK206, $AH$10:$AH$258), ""), 0)),"")</f>
        <v/>
      </c>
    </row>
    <row r="208" spans="2:37" ht="14" x14ac:dyDescent="0.3">
      <c r="B208" s="141">
        <v>199</v>
      </c>
      <c r="C208" s="203"/>
      <c r="D208" s="203"/>
      <c r="E208" s="153"/>
      <c r="F208" s="498" t="str">
        <f>IF(D208="","",VLOOKUP(D208,'G-6 Hedgerow Data'!$B$2:$AG$15,2,FALSE))</f>
        <v/>
      </c>
      <c r="G208" s="499" t="str">
        <f>IF(D208="","",VLOOKUP(D208,'G-6 Hedgerow Data'!$B$2:$AG$15,3,FALSE))</f>
        <v/>
      </c>
      <c r="H208" s="145"/>
      <c r="I208" s="499" t="str">
        <f>IFERROR(IF(AND(F208="V.Low",OR(H208="Good",H208="Moderate")),"Error ▲",VLOOKUP(H208,'G-1 All Habitats'!$Z$2:$AA$9,2,FALSE)),"")</f>
        <v/>
      </c>
      <c r="J208" s="154"/>
      <c r="K208" s="520" t="str">
        <f>IF(J208="","",IF(VLOOKUP(J208,'G-3 Multipliers'!$L$3:$N$6,2,FALSE)=0,"Spatial Data Missing ⚠",VLOOKUP(J208,'G-3 Multipliers'!$L$3:$N$6,2,FALSE)))</f>
        <v/>
      </c>
      <c r="L208" s="524" t="str">
        <f>IF(J208="","",IF(VLOOKUP(J208,'G-3 Multipliers'!$L$3:$N$6,3,FALSE)=0,"Spatial Data Missing ⚠",VLOOKUP(J208,'G-3 Multipliers'!$L$3:$N$6,3,FALSE)))</f>
        <v/>
      </c>
      <c r="M208" s="506" t="str">
        <f>IF(D208="","",VLOOKUP(D208,'G-6 Hedgerow Data'!$B$1:$AH$15,33,FALSE))</f>
        <v/>
      </c>
      <c r="N208" s="513" t="str">
        <f t="shared" si="23"/>
        <v/>
      </c>
      <c r="O208" s="40"/>
      <c r="P208" s="145"/>
      <c r="Q208" s="157"/>
      <c r="R208" s="507" t="str">
        <f t="shared" si="24"/>
        <v/>
      </c>
      <c r="S208" s="507" t="str">
        <f t="shared" si="25"/>
        <v/>
      </c>
      <c r="T208" s="511" t="str">
        <f t="shared" si="26"/>
        <v/>
      </c>
      <c r="U208" s="515" t="str">
        <f t="shared" si="27"/>
        <v/>
      </c>
      <c r="V208" s="151"/>
      <c r="W208" s="152"/>
      <c r="AB208" s="31" t="str">
        <f>IFERROR(INDEX('G-6 Hedgerow Data'!$BJ$3:$BJ$15,MATCH(D208,'G-6 Hedgerow Data'!$B$3:$B$15,0)),"")</f>
        <v/>
      </c>
      <c r="AE208" s="156" t="str">
        <f t="shared" si="21"/>
        <v/>
      </c>
      <c r="AF208" s="156" t="str">
        <f t="shared" si="22"/>
        <v/>
      </c>
      <c r="AH208" s="156">
        <v>199</v>
      </c>
      <c r="AJ208" s="156" t="str">
        <f t="array" ref="AJ208">IFERROR(INDEX($AH$10:$AH$258, MATCH(0, IF(TRUE=$AE$10:$AE$258, COUNTIF($AJ$9:$AJ207, $AH$10:$AH$258), ""), 0)),"")</f>
        <v/>
      </c>
      <c r="AK208" s="156" t="str">
        <f t="array" ref="AK208">IFERROR(INDEX($AH$10:$AH$258, MATCH(0, IF(TRUE=$AF$10:$AF$258, COUNTIF($AK$9:$AK207, $AH$10:$AH$258), ""), 0)),"")</f>
        <v/>
      </c>
    </row>
    <row r="209" spans="2:37" ht="14" x14ac:dyDescent="0.3">
      <c r="B209" s="141">
        <v>200</v>
      </c>
      <c r="C209" s="203"/>
      <c r="D209" s="203"/>
      <c r="E209" s="153"/>
      <c r="F209" s="498" t="str">
        <f>IF(D209="","",VLOOKUP(D209,'G-6 Hedgerow Data'!$B$2:$AG$15,2,FALSE))</f>
        <v/>
      </c>
      <c r="G209" s="499" t="str">
        <f>IF(D209="","",VLOOKUP(D209,'G-6 Hedgerow Data'!$B$2:$AG$15,3,FALSE))</f>
        <v/>
      </c>
      <c r="H209" s="145"/>
      <c r="I209" s="499" t="str">
        <f>IFERROR(IF(AND(F209="V.Low",OR(H209="Good",H209="Moderate")),"Error ▲",VLOOKUP(H209,'G-1 All Habitats'!$Z$2:$AA$9,2,FALSE)),"")</f>
        <v/>
      </c>
      <c r="J209" s="154"/>
      <c r="K209" s="520" t="str">
        <f>IF(J209="","",IF(VLOOKUP(J209,'G-3 Multipliers'!$L$3:$N$6,2,FALSE)=0,"Spatial Data Missing ⚠",VLOOKUP(J209,'G-3 Multipliers'!$L$3:$N$6,2,FALSE)))</f>
        <v/>
      </c>
      <c r="L209" s="524" t="str">
        <f>IF(J209="","",IF(VLOOKUP(J209,'G-3 Multipliers'!$L$3:$N$6,3,FALSE)=0,"Spatial Data Missing ⚠",VLOOKUP(J209,'G-3 Multipliers'!$L$3:$N$6,3,FALSE)))</f>
        <v/>
      </c>
      <c r="M209" s="506" t="str">
        <f>IF(D209="","",VLOOKUP(D209,'G-6 Hedgerow Data'!$B$1:$AH$15,33,FALSE))</f>
        <v/>
      </c>
      <c r="N209" s="513" t="str">
        <f t="shared" si="23"/>
        <v/>
      </c>
      <c r="O209" s="40"/>
      <c r="P209" s="145"/>
      <c r="Q209" s="157"/>
      <c r="R209" s="507" t="str">
        <f t="shared" si="24"/>
        <v/>
      </c>
      <c r="S209" s="507" t="str">
        <f t="shared" si="25"/>
        <v/>
      </c>
      <c r="T209" s="511" t="str">
        <f t="shared" si="26"/>
        <v/>
      </c>
      <c r="U209" s="515" t="str">
        <f t="shared" si="27"/>
        <v/>
      </c>
      <c r="V209" s="151"/>
      <c r="W209" s="152"/>
      <c r="AB209" s="31" t="str">
        <f>IFERROR(INDEX('G-6 Hedgerow Data'!$BJ$3:$BJ$15,MATCH(D209,'G-6 Hedgerow Data'!$B$3:$B$15,0)),"")</f>
        <v/>
      </c>
      <c r="AE209" s="156" t="str">
        <f t="shared" si="21"/>
        <v/>
      </c>
      <c r="AF209" s="156" t="str">
        <f t="shared" si="22"/>
        <v/>
      </c>
      <c r="AH209" s="156">
        <v>200</v>
      </c>
      <c r="AJ209" s="156" t="str">
        <f t="array" ref="AJ209">IFERROR(INDEX($AH$10:$AH$258, MATCH(0, IF(TRUE=$AE$10:$AE$258, COUNTIF($AJ$9:$AJ208, $AH$10:$AH$258), ""), 0)),"")</f>
        <v/>
      </c>
      <c r="AK209" s="156" t="str">
        <f t="array" ref="AK209">IFERROR(INDEX($AH$10:$AH$258, MATCH(0, IF(TRUE=$AF$10:$AF$258, COUNTIF($AK$9:$AK208, $AH$10:$AH$258), ""), 0)),"")</f>
        <v/>
      </c>
    </row>
    <row r="210" spans="2:37" ht="14" x14ac:dyDescent="0.3">
      <c r="B210" s="141">
        <v>201</v>
      </c>
      <c r="C210" s="203"/>
      <c r="D210" s="203"/>
      <c r="E210" s="153"/>
      <c r="F210" s="498" t="str">
        <f>IF(D210="","",VLOOKUP(D210,'G-6 Hedgerow Data'!$B$2:$AG$15,2,FALSE))</f>
        <v/>
      </c>
      <c r="G210" s="499" t="str">
        <f>IF(D210="","",VLOOKUP(D210,'G-6 Hedgerow Data'!$B$2:$AG$15,3,FALSE))</f>
        <v/>
      </c>
      <c r="H210" s="145"/>
      <c r="I210" s="499" t="str">
        <f>IFERROR(IF(AND(F210="V.Low",OR(H210="Good",H210="Moderate")),"Error ▲",VLOOKUP(H210,'G-1 All Habitats'!$Z$2:$AA$9,2,FALSE)),"")</f>
        <v/>
      </c>
      <c r="J210" s="154"/>
      <c r="K210" s="520" t="str">
        <f>IF(J210="","",IF(VLOOKUP(J210,'G-3 Multipliers'!$L$3:$N$6,2,FALSE)=0,"Spatial Data Missing ⚠",VLOOKUP(J210,'G-3 Multipliers'!$L$3:$N$6,2,FALSE)))</f>
        <v/>
      </c>
      <c r="L210" s="524" t="str">
        <f>IF(J210="","",IF(VLOOKUP(J210,'G-3 Multipliers'!$L$3:$N$6,3,FALSE)=0,"Spatial Data Missing ⚠",VLOOKUP(J210,'G-3 Multipliers'!$L$3:$N$6,3,FALSE)))</f>
        <v/>
      </c>
      <c r="M210" s="506" t="str">
        <f>IF(D210="","",VLOOKUP(D210,'G-6 Hedgerow Data'!$B$1:$AH$15,33,FALSE))</f>
        <v/>
      </c>
      <c r="N210" s="513" t="str">
        <f t="shared" si="23"/>
        <v/>
      </c>
      <c r="O210" s="40"/>
      <c r="P210" s="145"/>
      <c r="Q210" s="157"/>
      <c r="R210" s="507" t="str">
        <f t="shared" si="24"/>
        <v/>
      </c>
      <c r="S210" s="507" t="str">
        <f t="shared" si="25"/>
        <v/>
      </c>
      <c r="T210" s="511" t="str">
        <f t="shared" si="26"/>
        <v/>
      </c>
      <c r="U210" s="515" t="str">
        <f t="shared" si="27"/>
        <v/>
      </c>
      <c r="V210" s="151"/>
      <c r="W210" s="152"/>
      <c r="AB210" s="31" t="str">
        <f>IFERROR(INDEX('G-6 Hedgerow Data'!$BJ$3:$BJ$15,MATCH(D210,'G-6 Hedgerow Data'!$B$3:$B$15,0)),"")</f>
        <v/>
      </c>
      <c r="AE210" s="156" t="str">
        <f t="shared" si="21"/>
        <v/>
      </c>
      <c r="AF210" s="156" t="str">
        <f t="shared" si="22"/>
        <v/>
      </c>
      <c r="AH210" s="156">
        <v>201</v>
      </c>
      <c r="AJ210" s="156" t="str">
        <f t="array" ref="AJ210">IFERROR(INDEX($AH$10:$AH$258, MATCH(0, IF(TRUE=$AE$10:$AE$258, COUNTIF($AJ$9:$AJ209, $AH$10:$AH$258), ""), 0)),"")</f>
        <v/>
      </c>
      <c r="AK210" s="156" t="str">
        <f t="array" ref="AK210">IFERROR(INDEX($AH$10:$AH$258, MATCH(0, IF(TRUE=$AF$10:$AF$258, COUNTIF($AK$9:$AK209, $AH$10:$AH$258), ""), 0)),"")</f>
        <v/>
      </c>
    </row>
    <row r="211" spans="2:37" ht="14" x14ac:dyDescent="0.3">
      <c r="B211" s="141">
        <v>202</v>
      </c>
      <c r="C211" s="203"/>
      <c r="D211" s="203"/>
      <c r="E211" s="153"/>
      <c r="F211" s="498" t="str">
        <f>IF(D211="","",VLOOKUP(D211,'G-6 Hedgerow Data'!$B$2:$AG$15,2,FALSE))</f>
        <v/>
      </c>
      <c r="G211" s="499" t="str">
        <f>IF(D211="","",VLOOKUP(D211,'G-6 Hedgerow Data'!$B$2:$AG$15,3,FALSE))</f>
        <v/>
      </c>
      <c r="H211" s="145"/>
      <c r="I211" s="499" t="str">
        <f>IFERROR(IF(AND(F211="V.Low",OR(H211="Good",H211="Moderate")),"Error ▲",VLOOKUP(H211,'G-1 All Habitats'!$Z$2:$AA$9,2,FALSE)),"")</f>
        <v/>
      </c>
      <c r="J211" s="154"/>
      <c r="K211" s="520" t="str">
        <f>IF(J211="","",IF(VLOOKUP(J211,'G-3 Multipliers'!$L$3:$N$6,2,FALSE)=0,"Spatial Data Missing ⚠",VLOOKUP(J211,'G-3 Multipliers'!$L$3:$N$6,2,FALSE)))</f>
        <v/>
      </c>
      <c r="L211" s="524" t="str">
        <f>IF(J211="","",IF(VLOOKUP(J211,'G-3 Multipliers'!$L$3:$N$6,3,FALSE)=0,"Spatial Data Missing ⚠",VLOOKUP(J211,'G-3 Multipliers'!$L$3:$N$6,3,FALSE)))</f>
        <v/>
      </c>
      <c r="M211" s="506" t="str">
        <f>IF(D211="","",VLOOKUP(D211,'G-6 Hedgerow Data'!$B$1:$AH$15,33,FALSE))</f>
        <v/>
      </c>
      <c r="N211" s="513" t="str">
        <f t="shared" si="23"/>
        <v/>
      </c>
      <c r="O211" s="40"/>
      <c r="P211" s="145"/>
      <c r="Q211" s="157"/>
      <c r="R211" s="507" t="str">
        <f t="shared" si="24"/>
        <v/>
      </c>
      <c r="S211" s="507" t="str">
        <f t="shared" si="25"/>
        <v/>
      </c>
      <c r="T211" s="511" t="str">
        <f t="shared" si="26"/>
        <v/>
      </c>
      <c r="U211" s="515" t="str">
        <f t="shared" si="27"/>
        <v/>
      </c>
      <c r="V211" s="151"/>
      <c r="W211" s="152"/>
      <c r="AB211" s="31" t="str">
        <f>IFERROR(INDEX('G-6 Hedgerow Data'!$BJ$3:$BJ$15,MATCH(D211,'G-6 Hedgerow Data'!$B$3:$B$15,0)),"")</f>
        <v/>
      </c>
      <c r="AE211" s="156" t="str">
        <f t="shared" si="21"/>
        <v/>
      </c>
      <c r="AF211" s="156" t="str">
        <f t="shared" si="22"/>
        <v/>
      </c>
      <c r="AH211" s="156">
        <v>202</v>
      </c>
      <c r="AJ211" s="156" t="str">
        <f t="array" ref="AJ211">IFERROR(INDEX($AH$10:$AH$258, MATCH(0, IF(TRUE=$AE$10:$AE$258, COUNTIF($AJ$9:$AJ210, $AH$10:$AH$258), ""), 0)),"")</f>
        <v/>
      </c>
      <c r="AK211" s="156" t="str">
        <f t="array" ref="AK211">IFERROR(INDEX($AH$10:$AH$258, MATCH(0, IF(TRUE=$AF$10:$AF$258, COUNTIF($AK$9:$AK210, $AH$10:$AH$258), ""), 0)),"")</f>
        <v/>
      </c>
    </row>
    <row r="212" spans="2:37" ht="14" x14ac:dyDescent="0.3">
      <c r="B212" s="141">
        <v>203</v>
      </c>
      <c r="C212" s="203"/>
      <c r="D212" s="203"/>
      <c r="E212" s="153"/>
      <c r="F212" s="498" t="str">
        <f>IF(D212="","",VLOOKUP(D212,'G-6 Hedgerow Data'!$B$2:$AG$15,2,FALSE))</f>
        <v/>
      </c>
      <c r="G212" s="499" t="str">
        <f>IF(D212="","",VLOOKUP(D212,'G-6 Hedgerow Data'!$B$2:$AG$15,3,FALSE))</f>
        <v/>
      </c>
      <c r="H212" s="145"/>
      <c r="I212" s="499" t="str">
        <f>IFERROR(IF(AND(F212="V.Low",OR(H212="Good",H212="Moderate")),"Error ▲",VLOOKUP(H212,'G-1 All Habitats'!$Z$2:$AA$9,2,FALSE)),"")</f>
        <v/>
      </c>
      <c r="J212" s="154"/>
      <c r="K212" s="520" t="str">
        <f>IF(J212="","",IF(VLOOKUP(J212,'G-3 Multipliers'!$L$3:$N$6,2,FALSE)=0,"Spatial Data Missing ⚠",VLOOKUP(J212,'G-3 Multipliers'!$L$3:$N$6,2,FALSE)))</f>
        <v/>
      </c>
      <c r="L212" s="524" t="str">
        <f>IF(J212="","",IF(VLOOKUP(J212,'G-3 Multipliers'!$L$3:$N$6,3,FALSE)=0,"Spatial Data Missing ⚠",VLOOKUP(J212,'G-3 Multipliers'!$L$3:$N$6,3,FALSE)))</f>
        <v/>
      </c>
      <c r="M212" s="506" t="str">
        <f>IF(D212="","",VLOOKUP(D212,'G-6 Hedgerow Data'!$B$1:$AH$15,33,FALSE))</f>
        <v/>
      </c>
      <c r="N212" s="513" t="str">
        <f t="shared" si="23"/>
        <v/>
      </c>
      <c r="O212" s="40"/>
      <c r="P212" s="145"/>
      <c r="Q212" s="157"/>
      <c r="R212" s="507" t="str">
        <f t="shared" si="24"/>
        <v/>
      </c>
      <c r="S212" s="507" t="str">
        <f t="shared" si="25"/>
        <v/>
      </c>
      <c r="T212" s="511" t="str">
        <f t="shared" si="26"/>
        <v/>
      </c>
      <c r="U212" s="515" t="str">
        <f t="shared" si="27"/>
        <v/>
      </c>
      <c r="V212" s="151"/>
      <c r="W212" s="152"/>
      <c r="AB212" s="31" t="str">
        <f>IFERROR(INDEX('G-6 Hedgerow Data'!$BJ$3:$BJ$15,MATCH(D212,'G-6 Hedgerow Data'!$B$3:$B$15,0)),"")</f>
        <v/>
      </c>
      <c r="AE212" s="156" t="str">
        <f t="shared" si="21"/>
        <v/>
      </c>
      <c r="AF212" s="156" t="str">
        <f t="shared" si="22"/>
        <v/>
      </c>
      <c r="AH212" s="156">
        <v>203</v>
      </c>
      <c r="AJ212" s="156" t="str">
        <f t="array" ref="AJ212">IFERROR(INDEX($AH$10:$AH$258, MATCH(0, IF(TRUE=$AE$10:$AE$258, COUNTIF($AJ$9:$AJ211, $AH$10:$AH$258), ""), 0)),"")</f>
        <v/>
      </c>
      <c r="AK212" s="156" t="str">
        <f t="array" ref="AK212">IFERROR(INDEX($AH$10:$AH$258, MATCH(0, IF(TRUE=$AF$10:$AF$258, COUNTIF($AK$9:$AK211, $AH$10:$AH$258), ""), 0)),"")</f>
        <v/>
      </c>
    </row>
    <row r="213" spans="2:37" ht="14" x14ac:dyDescent="0.3">
      <c r="B213" s="141">
        <v>204</v>
      </c>
      <c r="C213" s="203"/>
      <c r="D213" s="203"/>
      <c r="E213" s="153"/>
      <c r="F213" s="498" t="str">
        <f>IF(D213="","",VLOOKUP(D213,'G-6 Hedgerow Data'!$B$2:$AG$15,2,FALSE))</f>
        <v/>
      </c>
      <c r="G213" s="499" t="str">
        <f>IF(D213="","",VLOOKUP(D213,'G-6 Hedgerow Data'!$B$2:$AG$15,3,FALSE))</f>
        <v/>
      </c>
      <c r="H213" s="145"/>
      <c r="I213" s="499" t="str">
        <f>IFERROR(IF(AND(F213="V.Low",OR(H213="Good",H213="Moderate")),"Error ▲",VLOOKUP(H213,'G-1 All Habitats'!$Z$2:$AA$9,2,FALSE)),"")</f>
        <v/>
      </c>
      <c r="J213" s="154"/>
      <c r="K213" s="520" t="str">
        <f>IF(J213="","",IF(VLOOKUP(J213,'G-3 Multipliers'!$L$3:$N$6,2,FALSE)=0,"Spatial Data Missing ⚠",VLOOKUP(J213,'G-3 Multipliers'!$L$3:$N$6,2,FALSE)))</f>
        <v/>
      </c>
      <c r="L213" s="524" t="str">
        <f>IF(J213="","",IF(VLOOKUP(J213,'G-3 Multipliers'!$L$3:$N$6,3,FALSE)=0,"Spatial Data Missing ⚠",VLOOKUP(J213,'G-3 Multipliers'!$L$3:$N$6,3,FALSE)))</f>
        <v/>
      </c>
      <c r="M213" s="506" t="str">
        <f>IF(D213="","",VLOOKUP(D213,'G-6 Hedgerow Data'!$B$1:$AH$15,33,FALSE))</f>
        <v/>
      </c>
      <c r="N213" s="513" t="str">
        <f t="shared" si="23"/>
        <v/>
      </c>
      <c r="O213" s="40"/>
      <c r="P213" s="145"/>
      <c r="Q213" s="157"/>
      <c r="R213" s="507" t="str">
        <f t="shared" si="24"/>
        <v/>
      </c>
      <c r="S213" s="507" t="str">
        <f t="shared" si="25"/>
        <v/>
      </c>
      <c r="T213" s="511" t="str">
        <f t="shared" si="26"/>
        <v/>
      </c>
      <c r="U213" s="515" t="str">
        <f t="shared" si="27"/>
        <v/>
      </c>
      <c r="V213" s="151"/>
      <c r="W213" s="152"/>
      <c r="AB213" s="31" t="str">
        <f>IFERROR(INDEX('G-6 Hedgerow Data'!$BJ$3:$BJ$15,MATCH(D213,'G-6 Hedgerow Data'!$B$3:$B$15,0)),"")</f>
        <v/>
      </c>
      <c r="AE213" s="156" t="str">
        <f t="shared" si="21"/>
        <v/>
      </c>
      <c r="AF213" s="156" t="str">
        <f t="shared" si="22"/>
        <v/>
      </c>
      <c r="AH213" s="156">
        <v>204</v>
      </c>
      <c r="AJ213" s="156" t="str">
        <f t="array" ref="AJ213">IFERROR(INDEX($AH$10:$AH$258, MATCH(0, IF(TRUE=$AE$10:$AE$258, COUNTIF($AJ$9:$AJ212, $AH$10:$AH$258), ""), 0)),"")</f>
        <v/>
      </c>
      <c r="AK213" s="156" t="str">
        <f t="array" ref="AK213">IFERROR(INDEX($AH$10:$AH$258, MATCH(0, IF(TRUE=$AF$10:$AF$258, COUNTIF($AK$9:$AK212, $AH$10:$AH$258), ""), 0)),"")</f>
        <v/>
      </c>
    </row>
    <row r="214" spans="2:37" ht="14" x14ac:dyDescent="0.3">
      <c r="B214" s="141">
        <v>205</v>
      </c>
      <c r="C214" s="203"/>
      <c r="D214" s="203"/>
      <c r="E214" s="153"/>
      <c r="F214" s="498" t="str">
        <f>IF(D214="","",VLOOKUP(D214,'G-6 Hedgerow Data'!$B$2:$AG$15,2,FALSE))</f>
        <v/>
      </c>
      <c r="G214" s="499" t="str">
        <f>IF(D214="","",VLOOKUP(D214,'G-6 Hedgerow Data'!$B$2:$AG$15,3,FALSE))</f>
        <v/>
      </c>
      <c r="H214" s="145"/>
      <c r="I214" s="499" t="str">
        <f>IFERROR(IF(AND(F214="V.Low",OR(H214="Good",H214="Moderate")),"Error ▲",VLOOKUP(H214,'G-1 All Habitats'!$Z$2:$AA$9,2,FALSE)),"")</f>
        <v/>
      </c>
      <c r="J214" s="154"/>
      <c r="K214" s="520" t="str">
        <f>IF(J214="","",IF(VLOOKUP(J214,'G-3 Multipliers'!$L$3:$N$6,2,FALSE)=0,"Spatial Data Missing ⚠",VLOOKUP(J214,'G-3 Multipliers'!$L$3:$N$6,2,FALSE)))</f>
        <v/>
      </c>
      <c r="L214" s="524" t="str">
        <f>IF(J214="","",IF(VLOOKUP(J214,'G-3 Multipliers'!$L$3:$N$6,3,FALSE)=0,"Spatial Data Missing ⚠",VLOOKUP(J214,'G-3 Multipliers'!$L$3:$N$6,3,FALSE)))</f>
        <v/>
      </c>
      <c r="M214" s="506" t="str">
        <f>IF(D214="","",VLOOKUP(D214,'G-6 Hedgerow Data'!$B$1:$AH$15,33,FALSE))</f>
        <v/>
      </c>
      <c r="N214" s="513" t="str">
        <f t="shared" si="23"/>
        <v/>
      </c>
      <c r="O214" s="40"/>
      <c r="P214" s="145"/>
      <c r="Q214" s="157"/>
      <c r="R214" s="507" t="str">
        <f t="shared" si="24"/>
        <v/>
      </c>
      <c r="S214" s="507" t="str">
        <f t="shared" si="25"/>
        <v/>
      </c>
      <c r="T214" s="511" t="str">
        <f t="shared" si="26"/>
        <v/>
      </c>
      <c r="U214" s="515" t="str">
        <f t="shared" si="27"/>
        <v/>
      </c>
      <c r="V214" s="151"/>
      <c r="W214" s="152"/>
      <c r="AB214" s="31" t="str">
        <f>IFERROR(INDEX('G-6 Hedgerow Data'!$BJ$3:$BJ$15,MATCH(D214,'G-6 Hedgerow Data'!$B$3:$B$15,0)),"")</f>
        <v/>
      </c>
      <c r="AE214" s="156" t="str">
        <f t="shared" si="21"/>
        <v/>
      </c>
      <c r="AF214" s="156" t="str">
        <f t="shared" si="22"/>
        <v/>
      </c>
      <c r="AH214" s="156">
        <v>205</v>
      </c>
      <c r="AJ214" s="156" t="str">
        <f t="array" ref="AJ214">IFERROR(INDEX($AH$10:$AH$258, MATCH(0, IF(TRUE=$AE$10:$AE$258, COUNTIF($AJ$9:$AJ213, $AH$10:$AH$258), ""), 0)),"")</f>
        <v/>
      </c>
      <c r="AK214" s="156" t="str">
        <f t="array" ref="AK214">IFERROR(INDEX($AH$10:$AH$258, MATCH(0, IF(TRUE=$AF$10:$AF$258, COUNTIF($AK$9:$AK213, $AH$10:$AH$258), ""), 0)),"")</f>
        <v/>
      </c>
    </row>
    <row r="215" spans="2:37" ht="14" x14ac:dyDescent="0.3">
      <c r="B215" s="141">
        <v>206</v>
      </c>
      <c r="C215" s="203"/>
      <c r="D215" s="203"/>
      <c r="E215" s="153"/>
      <c r="F215" s="498" t="str">
        <f>IF(D215="","",VLOOKUP(D215,'G-6 Hedgerow Data'!$B$2:$AG$15,2,FALSE))</f>
        <v/>
      </c>
      <c r="G215" s="499" t="str">
        <f>IF(D215="","",VLOOKUP(D215,'G-6 Hedgerow Data'!$B$2:$AG$15,3,FALSE))</f>
        <v/>
      </c>
      <c r="H215" s="145"/>
      <c r="I215" s="499" t="str">
        <f>IFERROR(IF(AND(F215="V.Low",OR(H215="Good",H215="Moderate")),"Error ▲",VLOOKUP(H215,'G-1 All Habitats'!$Z$2:$AA$9,2,FALSE)),"")</f>
        <v/>
      </c>
      <c r="J215" s="154"/>
      <c r="K215" s="520" t="str">
        <f>IF(J215="","",IF(VLOOKUP(J215,'G-3 Multipliers'!$L$3:$N$6,2,FALSE)=0,"Spatial Data Missing ⚠",VLOOKUP(J215,'G-3 Multipliers'!$L$3:$N$6,2,FALSE)))</f>
        <v/>
      </c>
      <c r="L215" s="524" t="str">
        <f>IF(J215="","",IF(VLOOKUP(J215,'G-3 Multipliers'!$L$3:$N$6,3,FALSE)=0,"Spatial Data Missing ⚠",VLOOKUP(J215,'G-3 Multipliers'!$L$3:$N$6,3,FALSE)))</f>
        <v/>
      </c>
      <c r="M215" s="506" t="str">
        <f>IF(D215="","",VLOOKUP(D215,'G-6 Hedgerow Data'!$B$1:$AH$15,33,FALSE))</f>
        <v/>
      </c>
      <c r="N215" s="513" t="str">
        <f t="shared" si="23"/>
        <v/>
      </c>
      <c r="O215" s="40"/>
      <c r="P215" s="145"/>
      <c r="Q215" s="157"/>
      <c r="R215" s="507" t="str">
        <f t="shared" si="24"/>
        <v/>
      </c>
      <c r="S215" s="507" t="str">
        <f t="shared" si="25"/>
        <v/>
      </c>
      <c r="T215" s="511" t="str">
        <f t="shared" si="26"/>
        <v/>
      </c>
      <c r="U215" s="515" t="str">
        <f t="shared" si="27"/>
        <v/>
      </c>
      <c r="V215" s="151"/>
      <c r="W215" s="152"/>
      <c r="AB215" s="31" t="str">
        <f>IFERROR(INDEX('G-6 Hedgerow Data'!$BJ$3:$BJ$15,MATCH(D215,'G-6 Hedgerow Data'!$B$3:$B$15,0)),"")</f>
        <v/>
      </c>
      <c r="AE215" s="156" t="str">
        <f t="shared" si="21"/>
        <v/>
      </c>
      <c r="AF215" s="156" t="str">
        <f t="shared" si="22"/>
        <v/>
      </c>
      <c r="AH215" s="156">
        <v>206</v>
      </c>
      <c r="AJ215" s="156" t="str">
        <f t="array" ref="AJ215">IFERROR(INDEX($AH$10:$AH$258, MATCH(0, IF(TRUE=$AE$10:$AE$258, COUNTIF($AJ$9:$AJ214, $AH$10:$AH$258), ""), 0)),"")</f>
        <v/>
      </c>
      <c r="AK215" s="156" t="str">
        <f t="array" ref="AK215">IFERROR(INDEX($AH$10:$AH$258, MATCH(0, IF(TRUE=$AF$10:$AF$258, COUNTIF($AK$9:$AK214, $AH$10:$AH$258), ""), 0)),"")</f>
        <v/>
      </c>
    </row>
    <row r="216" spans="2:37" ht="14" x14ac:dyDescent="0.3">
      <c r="B216" s="141">
        <v>207</v>
      </c>
      <c r="C216" s="203"/>
      <c r="D216" s="203"/>
      <c r="E216" s="153"/>
      <c r="F216" s="498" t="str">
        <f>IF(D216="","",VLOOKUP(D216,'G-6 Hedgerow Data'!$B$2:$AG$15,2,FALSE))</f>
        <v/>
      </c>
      <c r="G216" s="499" t="str">
        <f>IF(D216="","",VLOOKUP(D216,'G-6 Hedgerow Data'!$B$2:$AG$15,3,FALSE))</f>
        <v/>
      </c>
      <c r="H216" s="145"/>
      <c r="I216" s="499" t="str">
        <f>IFERROR(IF(AND(F216="V.Low",OR(H216="Good",H216="Moderate")),"Error ▲",VLOOKUP(H216,'G-1 All Habitats'!$Z$2:$AA$9,2,FALSE)),"")</f>
        <v/>
      </c>
      <c r="J216" s="154"/>
      <c r="K216" s="520" t="str">
        <f>IF(J216="","",IF(VLOOKUP(J216,'G-3 Multipliers'!$L$3:$N$6,2,FALSE)=0,"Spatial Data Missing ⚠",VLOOKUP(J216,'G-3 Multipliers'!$L$3:$N$6,2,FALSE)))</f>
        <v/>
      </c>
      <c r="L216" s="524" t="str">
        <f>IF(J216="","",IF(VLOOKUP(J216,'G-3 Multipliers'!$L$3:$N$6,3,FALSE)=0,"Spatial Data Missing ⚠",VLOOKUP(J216,'G-3 Multipliers'!$L$3:$N$6,3,FALSE)))</f>
        <v/>
      </c>
      <c r="M216" s="506" t="str">
        <f>IF(D216="","",VLOOKUP(D216,'G-6 Hedgerow Data'!$B$1:$AH$15,33,FALSE))</f>
        <v/>
      </c>
      <c r="N216" s="513" t="str">
        <f t="shared" si="23"/>
        <v/>
      </c>
      <c r="O216" s="40"/>
      <c r="P216" s="145"/>
      <c r="Q216" s="157"/>
      <c r="R216" s="507" t="str">
        <f t="shared" si="24"/>
        <v/>
      </c>
      <c r="S216" s="507" t="str">
        <f t="shared" si="25"/>
        <v/>
      </c>
      <c r="T216" s="511" t="str">
        <f t="shared" si="26"/>
        <v/>
      </c>
      <c r="U216" s="515" t="str">
        <f t="shared" si="27"/>
        <v/>
      </c>
      <c r="V216" s="151"/>
      <c r="W216" s="152"/>
      <c r="AB216" s="31" t="str">
        <f>IFERROR(INDEX('G-6 Hedgerow Data'!$BJ$3:$BJ$15,MATCH(D216,'G-6 Hedgerow Data'!$B$3:$B$15,0)),"")</f>
        <v/>
      </c>
      <c r="AE216" s="156" t="str">
        <f t="shared" si="21"/>
        <v/>
      </c>
      <c r="AF216" s="156" t="str">
        <f t="shared" si="22"/>
        <v/>
      </c>
      <c r="AH216" s="156">
        <v>207</v>
      </c>
      <c r="AJ216" s="156" t="str">
        <f t="array" ref="AJ216">IFERROR(INDEX($AH$10:$AH$258, MATCH(0, IF(TRUE=$AE$10:$AE$258, COUNTIF($AJ$9:$AJ215, $AH$10:$AH$258), ""), 0)),"")</f>
        <v/>
      </c>
      <c r="AK216" s="156" t="str">
        <f t="array" ref="AK216">IFERROR(INDEX($AH$10:$AH$258, MATCH(0, IF(TRUE=$AF$10:$AF$258, COUNTIF($AK$9:$AK215, $AH$10:$AH$258), ""), 0)),"")</f>
        <v/>
      </c>
    </row>
    <row r="217" spans="2:37" ht="14" x14ac:dyDescent="0.3">
      <c r="B217" s="141">
        <v>208</v>
      </c>
      <c r="C217" s="203"/>
      <c r="D217" s="203"/>
      <c r="E217" s="153"/>
      <c r="F217" s="498" t="str">
        <f>IF(D217="","",VLOOKUP(D217,'G-6 Hedgerow Data'!$B$2:$AG$15,2,FALSE))</f>
        <v/>
      </c>
      <c r="G217" s="499" t="str">
        <f>IF(D217="","",VLOOKUP(D217,'G-6 Hedgerow Data'!$B$2:$AG$15,3,FALSE))</f>
        <v/>
      </c>
      <c r="H217" s="145"/>
      <c r="I217" s="499" t="str">
        <f>IFERROR(IF(AND(F217="V.Low",OR(H217="Good",H217="Moderate")),"Error ▲",VLOOKUP(H217,'G-1 All Habitats'!$Z$2:$AA$9,2,FALSE)),"")</f>
        <v/>
      </c>
      <c r="J217" s="154"/>
      <c r="K217" s="520" t="str">
        <f>IF(J217="","",IF(VLOOKUP(J217,'G-3 Multipliers'!$L$3:$N$6,2,FALSE)=0,"Spatial Data Missing ⚠",VLOOKUP(J217,'G-3 Multipliers'!$L$3:$N$6,2,FALSE)))</f>
        <v/>
      </c>
      <c r="L217" s="524" t="str">
        <f>IF(J217="","",IF(VLOOKUP(J217,'G-3 Multipliers'!$L$3:$N$6,3,FALSE)=0,"Spatial Data Missing ⚠",VLOOKUP(J217,'G-3 Multipliers'!$L$3:$N$6,3,FALSE)))</f>
        <v/>
      </c>
      <c r="M217" s="506" t="str">
        <f>IF(D217="","",VLOOKUP(D217,'G-6 Hedgerow Data'!$B$1:$AH$15,33,FALSE))</f>
        <v/>
      </c>
      <c r="N217" s="513" t="str">
        <f t="shared" si="23"/>
        <v/>
      </c>
      <c r="O217" s="40"/>
      <c r="P217" s="145"/>
      <c r="Q217" s="157"/>
      <c r="R217" s="507" t="str">
        <f t="shared" si="24"/>
        <v/>
      </c>
      <c r="S217" s="507" t="str">
        <f t="shared" si="25"/>
        <v/>
      </c>
      <c r="T217" s="511" t="str">
        <f t="shared" si="26"/>
        <v/>
      </c>
      <c r="U217" s="515" t="str">
        <f t="shared" si="27"/>
        <v/>
      </c>
      <c r="V217" s="151"/>
      <c r="W217" s="152"/>
      <c r="AB217" s="31" t="str">
        <f>IFERROR(INDEX('G-6 Hedgerow Data'!$BJ$3:$BJ$15,MATCH(D217,'G-6 Hedgerow Data'!$B$3:$B$15,0)),"")</f>
        <v/>
      </c>
      <c r="AE217" s="156" t="str">
        <f t="shared" si="21"/>
        <v/>
      </c>
      <c r="AF217" s="156" t="str">
        <f t="shared" si="22"/>
        <v/>
      </c>
      <c r="AH217" s="156">
        <v>208</v>
      </c>
      <c r="AJ217" s="156" t="str">
        <f t="array" ref="AJ217">IFERROR(INDEX($AH$10:$AH$258, MATCH(0, IF(TRUE=$AE$10:$AE$258, COUNTIF($AJ$9:$AJ216, $AH$10:$AH$258), ""), 0)),"")</f>
        <v/>
      </c>
      <c r="AK217" s="156" t="str">
        <f t="array" ref="AK217">IFERROR(INDEX($AH$10:$AH$258, MATCH(0, IF(TRUE=$AF$10:$AF$258, COUNTIF($AK$9:$AK216, $AH$10:$AH$258), ""), 0)),"")</f>
        <v/>
      </c>
    </row>
    <row r="218" spans="2:37" ht="14" x14ac:dyDescent="0.3">
      <c r="B218" s="141">
        <v>209</v>
      </c>
      <c r="C218" s="203"/>
      <c r="D218" s="203"/>
      <c r="E218" s="153"/>
      <c r="F218" s="498" t="str">
        <f>IF(D218="","",VLOOKUP(D218,'G-6 Hedgerow Data'!$B$2:$AG$15,2,FALSE))</f>
        <v/>
      </c>
      <c r="G218" s="499" t="str">
        <f>IF(D218="","",VLOOKUP(D218,'G-6 Hedgerow Data'!$B$2:$AG$15,3,FALSE))</f>
        <v/>
      </c>
      <c r="H218" s="145"/>
      <c r="I218" s="499" t="str">
        <f>IFERROR(IF(AND(F218="V.Low",OR(H218="Good",H218="Moderate")),"Error ▲",VLOOKUP(H218,'G-1 All Habitats'!$Z$2:$AA$9,2,FALSE)),"")</f>
        <v/>
      </c>
      <c r="J218" s="154"/>
      <c r="K218" s="520" t="str">
        <f>IF(J218="","",IF(VLOOKUP(J218,'G-3 Multipliers'!$L$3:$N$6,2,FALSE)=0,"Spatial Data Missing ⚠",VLOOKUP(J218,'G-3 Multipliers'!$L$3:$N$6,2,FALSE)))</f>
        <v/>
      </c>
      <c r="L218" s="524" t="str">
        <f>IF(J218="","",IF(VLOOKUP(J218,'G-3 Multipliers'!$L$3:$N$6,3,FALSE)=0,"Spatial Data Missing ⚠",VLOOKUP(J218,'G-3 Multipliers'!$L$3:$N$6,3,FALSE)))</f>
        <v/>
      </c>
      <c r="M218" s="506" t="str">
        <f>IF(D218="","",VLOOKUP(D218,'G-6 Hedgerow Data'!$B$1:$AH$15,33,FALSE))</f>
        <v/>
      </c>
      <c r="N218" s="513" t="str">
        <f t="shared" si="23"/>
        <v/>
      </c>
      <c r="O218" s="40"/>
      <c r="P218" s="145"/>
      <c r="Q218" s="157"/>
      <c r="R218" s="507" t="str">
        <f t="shared" si="24"/>
        <v/>
      </c>
      <c r="S218" s="507" t="str">
        <f t="shared" si="25"/>
        <v/>
      </c>
      <c r="T218" s="511" t="str">
        <f t="shared" si="26"/>
        <v/>
      </c>
      <c r="U218" s="515" t="str">
        <f t="shared" si="27"/>
        <v/>
      </c>
      <c r="V218" s="151"/>
      <c r="W218" s="152"/>
      <c r="AB218" s="31" t="str">
        <f>IFERROR(INDEX('G-6 Hedgerow Data'!$BJ$3:$BJ$15,MATCH(D218,'G-6 Hedgerow Data'!$B$3:$B$15,0)),"")</f>
        <v/>
      </c>
      <c r="AE218" s="156" t="str">
        <f t="shared" si="21"/>
        <v/>
      </c>
      <c r="AF218" s="156" t="str">
        <f t="shared" si="22"/>
        <v/>
      </c>
      <c r="AH218" s="156">
        <v>209</v>
      </c>
      <c r="AJ218" s="156" t="str">
        <f t="array" ref="AJ218">IFERROR(INDEX($AH$10:$AH$258, MATCH(0, IF(TRUE=$AE$10:$AE$258, COUNTIF($AJ$9:$AJ217, $AH$10:$AH$258), ""), 0)),"")</f>
        <v/>
      </c>
      <c r="AK218" s="156" t="str">
        <f t="array" ref="AK218">IFERROR(INDEX($AH$10:$AH$258, MATCH(0, IF(TRUE=$AF$10:$AF$258, COUNTIF($AK$9:$AK217, $AH$10:$AH$258), ""), 0)),"")</f>
        <v/>
      </c>
    </row>
    <row r="219" spans="2:37" ht="14" x14ac:dyDescent="0.3">
      <c r="B219" s="141">
        <v>210</v>
      </c>
      <c r="C219" s="203"/>
      <c r="D219" s="203"/>
      <c r="E219" s="153"/>
      <c r="F219" s="498" t="str">
        <f>IF(D219="","",VLOOKUP(D219,'G-6 Hedgerow Data'!$B$2:$AG$15,2,FALSE))</f>
        <v/>
      </c>
      <c r="G219" s="499" t="str">
        <f>IF(D219="","",VLOOKUP(D219,'G-6 Hedgerow Data'!$B$2:$AG$15,3,FALSE))</f>
        <v/>
      </c>
      <c r="H219" s="145"/>
      <c r="I219" s="499" t="str">
        <f>IFERROR(IF(AND(F219="V.Low",OR(H219="Good",H219="Moderate")),"Error ▲",VLOOKUP(H219,'G-1 All Habitats'!$Z$2:$AA$9,2,FALSE)),"")</f>
        <v/>
      </c>
      <c r="J219" s="154"/>
      <c r="K219" s="520" t="str">
        <f>IF(J219="","",IF(VLOOKUP(J219,'G-3 Multipliers'!$L$3:$N$6,2,FALSE)=0,"Spatial Data Missing ⚠",VLOOKUP(J219,'G-3 Multipliers'!$L$3:$N$6,2,FALSE)))</f>
        <v/>
      </c>
      <c r="L219" s="524" t="str">
        <f>IF(J219="","",IF(VLOOKUP(J219,'G-3 Multipliers'!$L$3:$N$6,3,FALSE)=0,"Spatial Data Missing ⚠",VLOOKUP(J219,'G-3 Multipliers'!$L$3:$N$6,3,FALSE)))</f>
        <v/>
      </c>
      <c r="M219" s="506" t="str">
        <f>IF(D219="","",VLOOKUP(D219,'G-6 Hedgerow Data'!$B$1:$AH$15,33,FALSE))</f>
        <v/>
      </c>
      <c r="N219" s="513" t="str">
        <f t="shared" si="23"/>
        <v/>
      </c>
      <c r="O219" s="40"/>
      <c r="P219" s="145"/>
      <c r="Q219" s="157"/>
      <c r="R219" s="507" t="str">
        <f t="shared" si="24"/>
        <v/>
      </c>
      <c r="S219" s="507" t="str">
        <f t="shared" si="25"/>
        <v/>
      </c>
      <c r="T219" s="511" t="str">
        <f t="shared" si="26"/>
        <v/>
      </c>
      <c r="U219" s="515" t="str">
        <f t="shared" si="27"/>
        <v/>
      </c>
      <c r="V219" s="151"/>
      <c r="W219" s="152"/>
      <c r="AB219" s="31" t="str">
        <f>IFERROR(INDEX('G-6 Hedgerow Data'!$BJ$3:$BJ$15,MATCH(D219,'G-6 Hedgerow Data'!$B$3:$B$15,0)),"")</f>
        <v/>
      </c>
      <c r="AE219" s="156" t="str">
        <f t="shared" si="21"/>
        <v/>
      </c>
      <c r="AF219" s="156" t="str">
        <f t="shared" si="22"/>
        <v/>
      </c>
      <c r="AH219" s="156">
        <v>210</v>
      </c>
      <c r="AJ219" s="156" t="str">
        <f t="array" ref="AJ219">IFERROR(INDEX($AH$10:$AH$258, MATCH(0, IF(TRUE=$AE$10:$AE$258, COUNTIF($AJ$9:$AJ218, $AH$10:$AH$258), ""), 0)),"")</f>
        <v/>
      </c>
      <c r="AK219" s="156" t="str">
        <f t="array" ref="AK219">IFERROR(INDEX($AH$10:$AH$258, MATCH(0, IF(TRUE=$AF$10:$AF$258, COUNTIF($AK$9:$AK218, $AH$10:$AH$258), ""), 0)),"")</f>
        <v/>
      </c>
    </row>
    <row r="220" spans="2:37" ht="14" x14ac:dyDescent="0.3">
      <c r="B220" s="141">
        <v>211</v>
      </c>
      <c r="C220" s="203"/>
      <c r="D220" s="203"/>
      <c r="E220" s="153"/>
      <c r="F220" s="498" t="str">
        <f>IF(D220="","",VLOOKUP(D220,'G-6 Hedgerow Data'!$B$2:$AG$15,2,FALSE))</f>
        <v/>
      </c>
      <c r="G220" s="499" t="str">
        <f>IF(D220="","",VLOOKUP(D220,'G-6 Hedgerow Data'!$B$2:$AG$15,3,FALSE))</f>
        <v/>
      </c>
      <c r="H220" s="145"/>
      <c r="I220" s="499" t="str">
        <f>IFERROR(IF(AND(F220="V.Low",OR(H220="Good",H220="Moderate")),"Error ▲",VLOOKUP(H220,'G-1 All Habitats'!$Z$2:$AA$9,2,FALSE)),"")</f>
        <v/>
      </c>
      <c r="J220" s="154"/>
      <c r="K220" s="520" t="str">
        <f>IF(J220="","",IF(VLOOKUP(J220,'G-3 Multipliers'!$L$3:$N$6,2,FALSE)=0,"Spatial Data Missing ⚠",VLOOKUP(J220,'G-3 Multipliers'!$L$3:$N$6,2,FALSE)))</f>
        <v/>
      </c>
      <c r="L220" s="524" t="str">
        <f>IF(J220="","",IF(VLOOKUP(J220,'G-3 Multipliers'!$L$3:$N$6,3,FALSE)=0,"Spatial Data Missing ⚠",VLOOKUP(J220,'G-3 Multipliers'!$L$3:$N$6,3,FALSE)))</f>
        <v/>
      </c>
      <c r="M220" s="506" t="str">
        <f>IF(D220="","",VLOOKUP(D220,'G-6 Hedgerow Data'!$B$1:$AH$15,33,FALSE))</f>
        <v/>
      </c>
      <c r="N220" s="513" t="str">
        <f t="shared" si="23"/>
        <v/>
      </c>
      <c r="O220" s="40"/>
      <c r="P220" s="145"/>
      <c r="Q220" s="157"/>
      <c r="R220" s="507" t="str">
        <f t="shared" si="24"/>
        <v/>
      </c>
      <c r="S220" s="507" t="str">
        <f t="shared" si="25"/>
        <v/>
      </c>
      <c r="T220" s="511" t="str">
        <f t="shared" si="26"/>
        <v/>
      </c>
      <c r="U220" s="515" t="str">
        <f t="shared" si="27"/>
        <v/>
      </c>
      <c r="V220" s="151"/>
      <c r="W220" s="152"/>
      <c r="AB220" s="31" t="str">
        <f>IFERROR(INDEX('G-6 Hedgerow Data'!$BJ$3:$BJ$15,MATCH(D220,'G-6 Hedgerow Data'!$B$3:$B$15,0)),"")</f>
        <v/>
      </c>
      <c r="AE220" s="156" t="str">
        <f t="shared" si="21"/>
        <v/>
      </c>
      <c r="AF220" s="156" t="str">
        <f t="shared" si="22"/>
        <v/>
      </c>
      <c r="AH220" s="156">
        <v>211</v>
      </c>
      <c r="AJ220" s="156" t="str">
        <f t="array" ref="AJ220">IFERROR(INDEX($AH$10:$AH$258, MATCH(0, IF(TRUE=$AE$10:$AE$258, COUNTIF($AJ$9:$AJ219, $AH$10:$AH$258), ""), 0)),"")</f>
        <v/>
      </c>
      <c r="AK220" s="156" t="str">
        <f t="array" ref="AK220">IFERROR(INDEX($AH$10:$AH$258, MATCH(0, IF(TRUE=$AF$10:$AF$258, COUNTIF($AK$9:$AK219, $AH$10:$AH$258), ""), 0)),"")</f>
        <v/>
      </c>
    </row>
    <row r="221" spans="2:37" ht="14" x14ac:dyDescent="0.3">
      <c r="B221" s="141">
        <v>212</v>
      </c>
      <c r="C221" s="203"/>
      <c r="D221" s="203"/>
      <c r="E221" s="153"/>
      <c r="F221" s="498" t="str">
        <f>IF(D221="","",VLOOKUP(D221,'G-6 Hedgerow Data'!$B$2:$AG$15,2,FALSE))</f>
        <v/>
      </c>
      <c r="G221" s="499" t="str">
        <f>IF(D221="","",VLOOKUP(D221,'G-6 Hedgerow Data'!$B$2:$AG$15,3,FALSE))</f>
        <v/>
      </c>
      <c r="H221" s="145"/>
      <c r="I221" s="499" t="str">
        <f>IFERROR(IF(AND(F221="V.Low",OR(H221="Good",H221="Moderate")),"Error ▲",VLOOKUP(H221,'G-1 All Habitats'!$Z$2:$AA$9,2,FALSE)),"")</f>
        <v/>
      </c>
      <c r="J221" s="154"/>
      <c r="K221" s="520" t="str">
        <f>IF(J221="","",IF(VLOOKUP(J221,'G-3 Multipliers'!$L$3:$N$6,2,FALSE)=0,"Spatial Data Missing ⚠",VLOOKUP(J221,'G-3 Multipliers'!$L$3:$N$6,2,FALSE)))</f>
        <v/>
      </c>
      <c r="L221" s="524" t="str">
        <f>IF(J221="","",IF(VLOOKUP(J221,'G-3 Multipliers'!$L$3:$N$6,3,FALSE)=0,"Spatial Data Missing ⚠",VLOOKUP(J221,'G-3 Multipliers'!$L$3:$N$6,3,FALSE)))</f>
        <v/>
      </c>
      <c r="M221" s="506" t="str">
        <f>IF(D221="","",VLOOKUP(D221,'G-6 Hedgerow Data'!$B$1:$AH$15,33,FALSE))</f>
        <v/>
      </c>
      <c r="N221" s="513" t="str">
        <f t="shared" si="23"/>
        <v/>
      </c>
      <c r="O221" s="40"/>
      <c r="P221" s="145"/>
      <c r="Q221" s="157"/>
      <c r="R221" s="507" t="str">
        <f t="shared" si="24"/>
        <v/>
      </c>
      <c r="S221" s="507" t="str">
        <f t="shared" si="25"/>
        <v/>
      </c>
      <c r="T221" s="511" t="str">
        <f t="shared" si="26"/>
        <v/>
      </c>
      <c r="U221" s="515" t="str">
        <f t="shared" si="27"/>
        <v/>
      </c>
      <c r="V221" s="151"/>
      <c r="W221" s="152"/>
      <c r="AB221" s="31" t="str">
        <f>IFERROR(INDEX('G-6 Hedgerow Data'!$BJ$3:$BJ$15,MATCH(D221,'G-6 Hedgerow Data'!$B$3:$B$15,0)),"")</f>
        <v/>
      </c>
      <c r="AE221" s="156" t="str">
        <f t="shared" si="21"/>
        <v/>
      </c>
      <c r="AF221" s="156" t="str">
        <f t="shared" si="22"/>
        <v/>
      </c>
      <c r="AH221" s="156">
        <v>212</v>
      </c>
      <c r="AJ221" s="156" t="str">
        <f t="array" ref="AJ221">IFERROR(INDEX($AH$10:$AH$258, MATCH(0, IF(TRUE=$AE$10:$AE$258, COUNTIF($AJ$9:$AJ220, $AH$10:$AH$258), ""), 0)),"")</f>
        <v/>
      </c>
      <c r="AK221" s="156" t="str">
        <f t="array" ref="AK221">IFERROR(INDEX($AH$10:$AH$258, MATCH(0, IF(TRUE=$AF$10:$AF$258, COUNTIF($AK$9:$AK220, $AH$10:$AH$258), ""), 0)),"")</f>
        <v/>
      </c>
    </row>
    <row r="222" spans="2:37" ht="14" x14ac:dyDescent="0.3">
      <c r="B222" s="141">
        <v>213</v>
      </c>
      <c r="C222" s="203"/>
      <c r="D222" s="203"/>
      <c r="E222" s="153"/>
      <c r="F222" s="498" t="str">
        <f>IF(D222="","",VLOOKUP(D222,'G-6 Hedgerow Data'!$B$2:$AG$15,2,FALSE))</f>
        <v/>
      </c>
      <c r="G222" s="499" t="str">
        <f>IF(D222="","",VLOOKUP(D222,'G-6 Hedgerow Data'!$B$2:$AG$15,3,FALSE))</f>
        <v/>
      </c>
      <c r="H222" s="145"/>
      <c r="I222" s="499" t="str">
        <f>IFERROR(IF(AND(F222="V.Low",OR(H222="Good",H222="Moderate")),"Error ▲",VLOOKUP(H222,'G-1 All Habitats'!$Z$2:$AA$9,2,FALSE)),"")</f>
        <v/>
      </c>
      <c r="J222" s="154"/>
      <c r="K222" s="520" t="str">
        <f>IF(J222="","",IF(VLOOKUP(J222,'G-3 Multipliers'!$L$3:$N$6,2,FALSE)=0,"Spatial Data Missing ⚠",VLOOKUP(J222,'G-3 Multipliers'!$L$3:$N$6,2,FALSE)))</f>
        <v/>
      </c>
      <c r="L222" s="524" t="str">
        <f>IF(J222="","",IF(VLOOKUP(J222,'G-3 Multipliers'!$L$3:$N$6,3,FALSE)=0,"Spatial Data Missing ⚠",VLOOKUP(J222,'G-3 Multipliers'!$L$3:$N$6,3,FALSE)))</f>
        <v/>
      </c>
      <c r="M222" s="506" t="str">
        <f>IF(D222="","",VLOOKUP(D222,'G-6 Hedgerow Data'!$B$1:$AH$15,33,FALSE))</f>
        <v/>
      </c>
      <c r="N222" s="513" t="str">
        <f t="shared" si="23"/>
        <v/>
      </c>
      <c r="O222" s="40"/>
      <c r="P222" s="145"/>
      <c r="Q222" s="157"/>
      <c r="R222" s="507" t="str">
        <f t="shared" si="24"/>
        <v/>
      </c>
      <c r="S222" s="507" t="str">
        <f t="shared" si="25"/>
        <v/>
      </c>
      <c r="T222" s="511" t="str">
        <f t="shared" si="26"/>
        <v/>
      </c>
      <c r="U222" s="515" t="str">
        <f t="shared" si="27"/>
        <v/>
      </c>
      <c r="V222" s="151"/>
      <c r="W222" s="152"/>
      <c r="AB222" s="31" t="str">
        <f>IFERROR(INDEX('G-6 Hedgerow Data'!$BJ$3:$BJ$15,MATCH(D222,'G-6 Hedgerow Data'!$B$3:$B$15,0)),"")</f>
        <v/>
      </c>
      <c r="AE222" s="156" t="str">
        <f t="shared" si="21"/>
        <v/>
      </c>
      <c r="AF222" s="156" t="str">
        <f t="shared" si="22"/>
        <v/>
      </c>
      <c r="AH222" s="156">
        <v>213</v>
      </c>
      <c r="AJ222" s="156" t="str">
        <f t="array" ref="AJ222">IFERROR(INDEX($AH$10:$AH$258, MATCH(0, IF(TRUE=$AE$10:$AE$258, COUNTIF($AJ$9:$AJ221, $AH$10:$AH$258), ""), 0)),"")</f>
        <v/>
      </c>
      <c r="AK222" s="156" t="str">
        <f t="array" ref="AK222">IFERROR(INDEX($AH$10:$AH$258, MATCH(0, IF(TRUE=$AF$10:$AF$258, COUNTIF($AK$9:$AK221, $AH$10:$AH$258), ""), 0)),"")</f>
        <v/>
      </c>
    </row>
    <row r="223" spans="2:37" ht="14" x14ac:dyDescent="0.3">
      <c r="B223" s="141">
        <v>214</v>
      </c>
      <c r="C223" s="203"/>
      <c r="D223" s="203"/>
      <c r="E223" s="153"/>
      <c r="F223" s="498" t="str">
        <f>IF(D223="","",VLOOKUP(D223,'G-6 Hedgerow Data'!$B$2:$AG$15,2,FALSE))</f>
        <v/>
      </c>
      <c r="G223" s="499" t="str">
        <f>IF(D223="","",VLOOKUP(D223,'G-6 Hedgerow Data'!$B$2:$AG$15,3,FALSE))</f>
        <v/>
      </c>
      <c r="H223" s="145"/>
      <c r="I223" s="499" t="str">
        <f>IFERROR(IF(AND(F223="V.Low",OR(H223="Good",H223="Moderate")),"Error ▲",VLOOKUP(H223,'G-1 All Habitats'!$Z$2:$AA$9,2,FALSE)),"")</f>
        <v/>
      </c>
      <c r="J223" s="154"/>
      <c r="K223" s="520" t="str">
        <f>IF(J223="","",IF(VLOOKUP(J223,'G-3 Multipliers'!$L$3:$N$6,2,FALSE)=0,"Spatial Data Missing ⚠",VLOOKUP(J223,'G-3 Multipliers'!$L$3:$N$6,2,FALSE)))</f>
        <v/>
      </c>
      <c r="L223" s="524" t="str">
        <f>IF(J223="","",IF(VLOOKUP(J223,'G-3 Multipliers'!$L$3:$N$6,3,FALSE)=0,"Spatial Data Missing ⚠",VLOOKUP(J223,'G-3 Multipliers'!$L$3:$N$6,3,FALSE)))</f>
        <v/>
      </c>
      <c r="M223" s="506" t="str">
        <f>IF(D223="","",VLOOKUP(D223,'G-6 Hedgerow Data'!$B$1:$AH$15,33,FALSE))</f>
        <v/>
      </c>
      <c r="N223" s="513" t="str">
        <f t="shared" si="23"/>
        <v/>
      </c>
      <c r="O223" s="40"/>
      <c r="P223" s="145"/>
      <c r="Q223" s="157"/>
      <c r="R223" s="507" t="str">
        <f t="shared" si="24"/>
        <v/>
      </c>
      <c r="S223" s="507" t="str">
        <f t="shared" si="25"/>
        <v/>
      </c>
      <c r="T223" s="511" t="str">
        <f t="shared" si="26"/>
        <v/>
      </c>
      <c r="U223" s="515" t="str">
        <f t="shared" si="27"/>
        <v/>
      </c>
      <c r="V223" s="151"/>
      <c r="W223" s="152"/>
      <c r="AB223" s="31" t="str">
        <f>IFERROR(INDEX('G-6 Hedgerow Data'!$BJ$3:$BJ$15,MATCH(D223,'G-6 Hedgerow Data'!$B$3:$B$15,0)),"")</f>
        <v/>
      </c>
      <c r="AE223" s="156" t="str">
        <f t="shared" si="21"/>
        <v/>
      </c>
      <c r="AF223" s="156" t="str">
        <f t="shared" si="22"/>
        <v/>
      </c>
      <c r="AH223" s="156">
        <v>214</v>
      </c>
      <c r="AJ223" s="156" t="str">
        <f t="array" ref="AJ223">IFERROR(INDEX($AH$10:$AH$258, MATCH(0, IF(TRUE=$AE$10:$AE$258, COUNTIF($AJ$9:$AJ222, $AH$10:$AH$258), ""), 0)),"")</f>
        <v/>
      </c>
      <c r="AK223" s="156" t="str">
        <f t="array" ref="AK223">IFERROR(INDEX($AH$10:$AH$258, MATCH(0, IF(TRUE=$AF$10:$AF$258, COUNTIF($AK$9:$AK222, $AH$10:$AH$258), ""), 0)),"")</f>
        <v/>
      </c>
    </row>
    <row r="224" spans="2:37" ht="14" x14ac:dyDescent="0.3">
      <c r="B224" s="141">
        <v>215</v>
      </c>
      <c r="C224" s="203"/>
      <c r="D224" s="203"/>
      <c r="E224" s="153"/>
      <c r="F224" s="498" t="str">
        <f>IF(D224="","",VLOOKUP(D224,'G-6 Hedgerow Data'!$B$2:$AG$15,2,FALSE))</f>
        <v/>
      </c>
      <c r="G224" s="499" t="str">
        <f>IF(D224="","",VLOOKUP(D224,'G-6 Hedgerow Data'!$B$2:$AG$15,3,FALSE))</f>
        <v/>
      </c>
      <c r="H224" s="145"/>
      <c r="I224" s="499" t="str">
        <f>IFERROR(IF(AND(F224="V.Low",OR(H224="Good",H224="Moderate")),"Error ▲",VLOOKUP(H224,'G-1 All Habitats'!$Z$2:$AA$9,2,FALSE)),"")</f>
        <v/>
      </c>
      <c r="J224" s="154"/>
      <c r="K224" s="520" t="str">
        <f>IF(J224="","",IF(VLOOKUP(J224,'G-3 Multipliers'!$L$3:$N$6,2,FALSE)=0,"Spatial Data Missing ⚠",VLOOKUP(J224,'G-3 Multipliers'!$L$3:$N$6,2,FALSE)))</f>
        <v/>
      </c>
      <c r="L224" s="524" t="str">
        <f>IF(J224="","",IF(VLOOKUP(J224,'G-3 Multipliers'!$L$3:$N$6,3,FALSE)=0,"Spatial Data Missing ⚠",VLOOKUP(J224,'G-3 Multipliers'!$L$3:$N$6,3,FALSE)))</f>
        <v/>
      </c>
      <c r="M224" s="506" t="str">
        <f>IF(D224="","",VLOOKUP(D224,'G-6 Hedgerow Data'!$B$1:$AH$15,33,FALSE))</f>
        <v/>
      </c>
      <c r="N224" s="513" t="str">
        <f t="shared" si="23"/>
        <v/>
      </c>
      <c r="O224" s="40"/>
      <c r="P224" s="145"/>
      <c r="Q224" s="157"/>
      <c r="R224" s="507" t="str">
        <f t="shared" si="24"/>
        <v/>
      </c>
      <c r="S224" s="507" t="str">
        <f t="shared" si="25"/>
        <v/>
      </c>
      <c r="T224" s="511" t="str">
        <f t="shared" si="26"/>
        <v/>
      </c>
      <c r="U224" s="515" t="str">
        <f t="shared" si="27"/>
        <v/>
      </c>
      <c r="V224" s="151"/>
      <c r="W224" s="152"/>
      <c r="AB224" s="31" t="str">
        <f>IFERROR(INDEX('G-6 Hedgerow Data'!$BJ$3:$BJ$15,MATCH(D224,'G-6 Hedgerow Data'!$B$3:$B$15,0)),"")</f>
        <v/>
      </c>
      <c r="AE224" s="156" t="str">
        <f t="shared" si="21"/>
        <v/>
      </c>
      <c r="AF224" s="156" t="str">
        <f t="shared" si="22"/>
        <v/>
      </c>
      <c r="AH224" s="156">
        <v>215</v>
      </c>
      <c r="AJ224" s="156" t="str">
        <f t="array" ref="AJ224">IFERROR(INDEX($AH$10:$AH$258, MATCH(0, IF(TRUE=$AE$10:$AE$258, COUNTIF($AJ$9:$AJ223, $AH$10:$AH$258), ""), 0)),"")</f>
        <v/>
      </c>
      <c r="AK224" s="156" t="str">
        <f t="array" ref="AK224">IFERROR(INDEX($AH$10:$AH$258, MATCH(0, IF(TRUE=$AF$10:$AF$258, COUNTIF($AK$9:$AK223, $AH$10:$AH$258), ""), 0)),"")</f>
        <v/>
      </c>
    </row>
    <row r="225" spans="2:37" ht="14" x14ac:dyDescent="0.3">
      <c r="B225" s="141">
        <v>216</v>
      </c>
      <c r="C225" s="203"/>
      <c r="D225" s="203"/>
      <c r="E225" s="153"/>
      <c r="F225" s="498" t="str">
        <f>IF(D225="","",VLOOKUP(D225,'G-6 Hedgerow Data'!$B$2:$AG$15,2,FALSE))</f>
        <v/>
      </c>
      <c r="G225" s="499" t="str">
        <f>IF(D225="","",VLOOKUP(D225,'G-6 Hedgerow Data'!$B$2:$AG$15,3,FALSE))</f>
        <v/>
      </c>
      <c r="H225" s="145"/>
      <c r="I225" s="499" t="str">
        <f>IFERROR(IF(AND(F225="V.Low",OR(H225="Good",H225="Moderate")),"Error ▲",VLOOKUP(H225,'G-1 All Habitats'!$Z$2:$AA$9,2,FALSE)),"")</f>
        <v/>
      </c>
      <c r="J225" s="154"/>
      <c r="K225" s="520" t="str">
        <f>IF(J225="","",IF(VLOOKUP(J225,'G-3 Multipliers'!$L$3:$N$6,2,FALSE)=0,"Spatial Data Missing ⚠",VLOOKUP(J225,'G-3 Multipliers'!$L$3:$N$6,2,FALSE)))</f>
        <v/>
      </c>
      <c r="L225" s="524" t="str">
        <f>IF(J225="","",IF(VLOOKUP(J225,'G-3 Multipliers'!$L$3:$N$6,3,FALSE)=0,"Spatial Data Missing ⚠",VLOOKUP(J225,'G-3 Multipliers'!$L$3:$N$6,3,FALSE)))</f>
        <v/>
      </c>
      <c r="M225" s="506" t="str">
        <f>IF(D225="","",VLOOKUP(D225,'G-6 Hedgerow Data'!$B$1:$AH$15,33,FALSE))</f>
        <v/>
      </c>
      <c r="N225" s="513" t="str">
        <f t="shared" si="23"/>
        <v/>
      </c>
      <c r="O225" s="40"/>
      <c r="P225" s="145"/>
      <c r="Q225" s="157"/>
      <c r="R225" s="507" t="str">
        <f t="shared" si="24"/>
        <v/>
      </c>
      <c r="S225" s="507" t="str">
        <f t="shared" si="25"/>
        <v/>
      </c>
      <c r="T225" s="511" t="str">
        <f t="shared" si="26"/>
        <v/>
      </c>
      <c r="U225" s="515" t="str">
        <f t="shared" si="27"/>
        <v/>
      </c>
      <c r="V225" s="151"/>
      <c r="W225" s="152"/>
      <c r="AB225" s="31" t="str">
        <f>IFERROR(INDEX('G-6 Hedgerow Data'!$BJ$3:$BJ$15,MATCH(D225,'G-6 Hedgerow Data'!$B$3:$B$15,0)),"")</f>
        <v/>
      </c>
      <c r="AE225" s="156" t="str">
        <f t="shared" si="21"/>
        <v/>
      </c>
      <c r="AF225" s="156" t="str">
        <f t="shared" si="22"/>
        <v/>
      </c>
      <c r="AH225" s="156">
        <v>216</v>
      </c>
      <c r="AJ225" s="156" t="str">
        <f t="array" ref="AJ225">IFERROR(INDEX($AH$10:$AH$258, MATCH(0, IF(TRUE=$AE$10:$AE$258, COUNTIF($AJ$9:$AJ224, $AH$10:$AH$258), ""), 0)),"")</f>
        <v/>
      </c>
      <c r="AK225" s="156" t="str">
        <f t="array" ref="AK225">IFERROR(INDEX($AH$10:$AH$258, MATCH(0, IF(TRUE=$AF$10:$AF$258, COUNTIF($AK$9:$AK224, $AH$10:$AH$258), ""), 0)),"")</f>
        <v/>
      </c>
    </row>
    <row r="226" spans="2:37" ht="14" x14ac:dyDescent="0.3">
      <c r="B226" s="141">
        <v>217</v>
      </c>
      <c r="C226" s="203"/>
      <c r="D226" s="203"/>
      <c r="E226" s="153"/>
      <c r="F226" s="498" t="str">
        <f>IF(D226="","",VLOOKUP(D226,'G-6 Hedgerow Data'!$B$2:$AG$15,2,FALSE))</f>
        <v/>
      </c>
      <c r="G226" s="499" t="str">
        <f>IF(D226="","",VLOOKUP(D226,'G-6 Hedgerow Data'!$B$2:$AG$15,3,FALSE))</f>
        <v/>
      </c>
      <c r="H226" s="145"/>
      <c r="I226" s="499" t="str">
        <f>IFERROR(IF(AND(F226="V.Low",OR(H226="Good",H226="Moderate")),"Error ▲",VLOOKUP(H226,'G-1 All Habitats'!$Z$2:$AA$9,2,FALSE)),"")</f>
        <v/>
      </c>
      <c r="J226" s="154"/>
      <c r="K226" s="520" t="str">
        <f>IF(J226="","",IF(VLOOKUP(J226,'G-3 Multipliers'!$L$3:$N$6,2,FALSE)=0,"Spatial Data Missing ⚠",VLOOKUP(J226,'G-3 Multipliers'!$L$3:$N$6,2,FALSE)))</f>
        <v/>
      </c>
      <c r="L226" s="524" t="str">
        <f>IF(J226="","",IF(VLOOKUP(J226,'G-3 Multipliers'!$L$3:$N$6,3,FALSE)=0,"Spatial Data Missing ⚠",VLOOKUP(J226,'G-3 Multipliers'!$L$3:$N$6,3,FALSE)))</f>
        <v/>
      </c>
      <c r="M226" s="506" t="str">
        <f>IF(D226="","",VLOOKUP(D226,'G-6 Hedgerow Data'!$B$1:$AH$15,33,FALSE))</f>
        <v/>
      </c>
      <c r="N226" s="513" t="str">
        <f t="shared" si="23"/>
        <v/>
      </c>
      <c r="O226" s="40"/>
      <c r="P226" s="145"/>
      <c r="Q226" s="157"/>
      <c r="R226" s="507" t="str">
        <f t="shared" si="24"/>
        <v/>
      </c>
      <c r="S226" s="507" t="str">
        <f t="shared" si="25"/>
        <v/>
      </c>
      <c r="T226" s="511" t="str">
        <f t="shared" si="26"/>
        <v/>
      </c>
      <c r="U226" s="515" t="str">
        <f t="shared" si="27"/>
        <v/>
      </c>
      <c r="V226" s="151"/>
      <c r="W226" s="152"/>
      <c r="AB226" s="31" t="str">
        <f>IFERROR(INDEX('G-6 Hedgerow Data'!$BJ$3:$BJ$15,MATCH(D226,'G-6 Hedgerow Data'!$B$3:$B$15,0)),"")</f>
        <v/>
      </c>
      <c r="AE226" s="156" t="str">
        <f t="shared" si="21"/>
        <v/>
      </c>
      <c r="AF226" s="156" t="str">
        <f t="shared" si="22"/>
        <v/>
      </c>
      <c r="AH226" s="156">
        <v>217</v>
      </c>
      <c r="AJ226" s="156" t="str">
        <f t="array" ref="AJ226">IFERROR(INDEX($AH$10:$AH$258, MATCH(0, IF(TRUE=$AE$10:$AE$258, COUNTIF($AJ$9:$AJ225, $AH$10:$AH$258), ""), 0)),"")</f>
        <v/>
      </c>
      <c r="AK226" s="156" t="str">
        <f t="array" ref="AK226">IFERROR(INDEX($AH$10:$AH$258, MATCH(0, IF(TRUE=$AF$10:$AF$258, COUNTIF($AK$9:$AK225, $AH$10:$AH$258), ""), 0)),"")</f>
        <v/>
      </c>
    </row>
    <row r="227" spans="2:37" ht="14" x14ac:dyDescent="0.3">
      <c r="B227" s="141">
        <v>218</v>
      </c>
      <c r="C227" s="203"/>
      <c r="D227" s="203"/>
      <c r="E227" s="153"/>
      <c r="F227" s="498" t="str">
        <f>IF(D227="","",VLOOKUP(D227,'G-6 Hedgerow Data'!$B$2:$AG$15,2,FALSE))</f>
        <v/>
      </c>
      <c r="G227" s="499" t="str">
        <f>IF(D227="","",VLOOKUP(D227,'G-6 Hedgerow Data'!$B$2:$AG$15,3,FALSE))</f>
        <v/>
      </c>
      <c r="H227" s="145"/>
      <c r="I227" s="499" t="str">
        <f>IFERROR(IF(AND(F227="V.Low",OR(H227="Good",H227="Moderate")),"Error ▲",VLOOKUP(H227,'G-1 All Habitats'!$Z$2:$AA$9,2,FALSE)),"")</f>
        <v/>
      </c>
      <c r="J227" s="154"/>
      <c r="K227" s="520" t="str">
        <f>IF(J227="","",IF(VLOOKUP(J227,'G-3 Multipliers'!$L$3:$N$6,2,FALSE)=0,"Spatial Data Missing ⚠",VLOOKUP(J227,'G-3 Multipliers'!$L$3:$N$6,2,FALSE)))</f>
        <v/>
      </c>
      <c r="L227" s="524" t="str">
        <f>IF(J227="","",IF(VLOOKUP(J227,'G-3 Multipliers'!$L$3:$N$6,3,FALSE)=0,"Spatial Data Missing ⚠",VLOOKUP(J227,'G-3 Multipliers'!$L$3:$N$6,3,FALSE)))</f>
        <v/>
      </c>
      <c r="M227" s="506" t="str">
        <f>IF(D227="","",VLOOKUP(D227,'G-6 Hedgerow Data'!$B$1:$AH$15,33,FALSE))</f>
        <v/>
      </c>
      <c r="N227" s="513" t="str">
        <f t="shared" si="23"/>
        <v/>
      </c>
      <c r="O227" s="40"/>
      <c r="P227" s="145"/>
      <c r="Q227" s="157"/>
      <c r="R227" s="507" t="str">
        <f t="shared" si="24"/>
        <v/>
      </c>
      <c r="S227" s="507" t="str">
        <f t="shared" si="25"/>
        <v/>
      </c>
      <c r="T227" s="511" t="str">
        <f t="shared" si="26"/>
        <v/>
      </c>
      <c r="U227" s="515" t="str">
        <f t="shared" si="27"/>
        <v/>
      </c>
      <c r="V227" s="151"/>
      <c r="W227" s="152"/>
      <c r="AB227" s="31" t="str">
        <f>IFERROR(INDEX('G-6 Hedgerow Data'!$BJ$3:$BJ$15,MATCH(D227,'G-6 Hedgerow Data'!$B$3:$B$15,0)),"")</f>
        <v/>
      </c>
      <c r="AE227" s="156" t="str">
        <f t="shared" si="21"/>
        <v/>
      </c>
      <c r="AF227" s="156" t="str">
        <f t="shared" si="22"/>
        <v/>
      </c>
      <c r="AH227" s="156">
        <v>218</v>
      </c>
      <c r="AJ227" s="156" t="str">
        <f t="array" ref="AJ227">IFERROR(INDEX($AH$10:$AH$258, MATCH(0, IF(TRUE=$AE$10:$AE$258, COUNTIF($AJ$9:$AJ226, $AH$10:$AH$258), ""), 0)),"")</f>
        <v/>
      </c>
      <c r="AK227" s="156" t="str">
        <f t="array" ref="AK227">IFERROR(INDEX($AH$10:$AH$258, MATCH(0, IF(TRUE=$AF$10:$AF$258, COUNTIF($AK$9:$AK226, $AH$10:$AH$258), ""), 0)),"")</f>
        <v/>
      </c>
    </row>
    <row r="228" spans="2:37" ht="14" x14ac:dyDescent="0.3">
      <c r="B228" s="141">
        <v>219</v>
      </c>
      <c r="C228" s="203"/>
      <c r="D228" s="203"/>
      <c r="E228" s="153"/>
      <c r="F228" s="498" t="str">
        <f>IF(D228="","",VLOOKUP(D228,'G-6 Hedgerow Data'!$B$2:$AG$15,2,FALSE))</f>
        <v/>
      </c>
      <c r="G228" s="499" t="str">
        <f>IF(D228="","",VLOOKUP(D228,'G-6 Hedgerow Data'!$B$2:$AG$15,3,FALSE))</f>
        <v/>
      </c>
      <c r="H228" s="145"/>
      <c r="I228" s="499" t="str">
        <f>IFERROR(IF(AND(F228="V.Low",OR(H228="Good",H228="Moderate")),"Error ▲",VLOOKUP(H228,'G-1 All Habitats'!$Z$2:$AA$9,2,FALSE)),"")</f>
        <v/>
      </c>
      <c r="J228" s="154"/>
      <c r="K228" s="520" t="str">
        <f>IF(J228="","",IF(VLOOKUP(J228,'G-3 Multipliers'!$L$3:$N$6,2,FALSE)=0,"Spatial Data Missing ⚠",VLOOKUP(J228,'G-3 Multipliers'!$L$3:$N$6,2,FALSE)))</f>
        <v/>
      </c>
      <c r="L228" s="524" t="str">
        <f>IF(J228="","",IF(VLOOKUP(J228,'G-3 Multipliers'!$L$3:$N$6,3,FALSE)=0,"Spatial Data Missing ⚠",VLOOKUP(J228,'G-3 Multipliers'!$L$3:$N$6,3,FALSE)))</f>
        <v/>
      </c>
      <c r="M228" s="506" t="str">
        <f>IF(D228="","",VLOOKUP(D228,'G-6 Hedgerow Data'!$B$1:$AH$15,33,FALSE))</f>
        <v/>
      </c>
      <c r="N228" s="513" t="str">
        <f t="shared" si="23"/>
        <v/>
      </c>
      <c r="O228" s="40"/>
      <c r="P228" s="145"/>
      <c r="Q228" s="157"/>
      <c r="R228" s="507" t="str">
        <f t="shared" si="24"/>
        <v/>
      </c>
      <c r="S228" s="507" t="str">
        <f t="shared" si="25"/>
        <v/>
      </c>
      <c r="T228" s="511" t="str">
        <f t="shared" si="26"/>
        <v/>
      </c>
      <c r="U228" s="515" t="str">
        <f t="shared" si="27"/>
        <v/>
      </c>
      <c r="V228" s="151"/>
      <c r="W228" s="152"/>
      <c r="AB228" s="31" t="str">
        <f>IFERROR(INDEX('G-6 Hedgerow Data'!$BJ$3:$BJ$15,MATCH(D228,'G-6 Hedgerow Data'!$B$3:$B$15,0)),"")</f>
        <v/>
      </c>
      <c r="AE228" s="156" t="str">
        <f t="shared" si="21"/>
        <v/>
      </c>
      <c r="AF228" s="156" t="str">
        <f t="shared" si="22"/>
        <v/>
      </c>
      <c r="AH228" s="156">
        <v>219</v>
      </c>
      <c r="AJ228" s="156" t="str">
        <f t="array" ref="AJ228">IFERROR(INDEX($AH$10:$AH$258, MATCH(0, IF(TRUE=$AE$10:$AE$258, COUNTIF($AJ$9:$AJ227, $AH$10:$AH$258), ""), 0)),"")</f>
        <v/>
      </c>
      <c r="AK228" s="156" t="str">
        <f t="array" ref="AK228">IFERROR(INDEX($AH$10:$AH$258, MATCH(0, IF(TRUE=$AF$10:$AF$258, COUNTIF($AK$9:$AK227, $AH$10:$AH$258), ""), 0)),"")</f>
        <v/>
      </c>
    </row>
    <row r="229" spans="2:37" ht="14" x14ac:dyDescent="0.3">
      <c r="B229" s="141">
        <v>220</v>
      </c>
      <c r="C229" s="203"/>
      <c r="D229" s="203"/>
      <c r="E229" s="153"/>
      <c r="F229" s="498" t="str">
        <f>IF(D229="","",VLOOKUP(D229,'G-6 Hedgerow Data'!$B$2:$AG$15,2,FALSE))</f>
        <v/>
      </c>
      <c r="G229" s="499" t="str">
        <f>IF(D229="","",VLOOKUP(D229,'G-6 Hedgerow Data'!$B$2:$AG$15,3,FALSE))</f>
        <v/>
      </c>
      <c r="H229" s="145"/>
      <c r="I229" s="499" t="str">
        <f>IFERROR(IF(AND(F229="V.Low",OR(H229="Good",H229="Moderate")),"Error ▲",VLOOKUP(H229,'G-1 All Habitats'!$Z$2:$AA$9,2,FALSE)),"")</f>
        <v/>
      </c>
      <c r="J229" s="154"/>
      <c r="K229" s="520" t="str">
        <f>IF(J229="","",IF(VLOOKUP(J229,'G-3 Multipliers'!$L$3:$N$6,2,FALSE)=0,"Spatial Data Missing ⚠",VLOOKUP(J229,'G-3 Multipliers'!$L$3:$N$6,2,FALSE)))</f>
        <v/>
      </c>
      <c r="L229" s="524" t="str">
        <f>IF(J229="","",IF(VLOOKUP(J229,'G-3 Multipliers'!$L$3:$N$6,3,FALSE)=0,"Spatial Data Missing ⚠",VLOOKUP(J229,'G-3 Multipliers'!$L$3:$N$6,3,FALSE)))</f>
        <v/>
      </c>
      <c r="M229" s="506" t="str">
        <f>IF(D229="","",VLOOKUP(D229,'G-6 Hedgerow Data'!$B$1:$AH$15,33,FALSE))</f>
        <v/>
      </c>
      <c r="N229" s="513" t="str">
        <f t="shared" si="23"/>
        <v/>
      </c>
      <c r="O229" s="40"/>
      <c r="P229" s="145"/>
      <c r="Q229" s="157"/>
      <c r="R229" s="507" t="str">
        <f t="shared" si="24"/>
        <v/>
      </c>
      <c r="S229" s="507" t="str">
        <f t="shared" si="25"/>
        <v/>
      </c>
      <c r="T229" s="511" t="str">
        <f t="shared" si="26"/>
        <v/>
      </c>
      <c r="U229" s="515" t="str">
        <f t="shared" si="27"/>
        <v/>
      </c>
      <c r="V229" s="151"/>
      <c r="W229" s="152"/>
      <c r="AB229" s="31" t="str">
        <f>IFERROR(INDEX('G-6 Hedgerow Data'!$BJ$3:$BJ$15,MATCH(D229,'G-6 Hedgerow Data'!$B$3:$B$15,0)),"")</f>
        <v/>
      </c>
      <c r="AE229" s="156" t="str">
        <f t="shared" si="21"/>
        <v/>
      </c>
      <c r="AF229" s="156" t="str">
        <f t="shared" si="22"/>
        <v/>
      </c>
      <c r="AH229" s="156">
        <v>220</v>
      </c>
      <c r="AJ229" s="156" t="str">
        <f t="array" ref="AJ229">IFERROR(INDEX($AH$10:$AH$258, MATCH(0, IF(TRUE=$AE$10:$AE$258, COUNTIF($AJ$9:$AJ228, $AH$10:$AH$258), ""), 0)),"")</f>
        <v/>
      </c>
      <c r="AK229" s="156" t="str">
        <f t="array" ref="AK229">IFERROR(INDEX($AH$10:$AH$258, MATCH(0, IF(TRUE=$AF$10:$AF$258, COUNTIF($AK$9:$AK228, $AH$10:$AH$258), ""), 0)),"")</f>
        <v/>
      </c>
    </row>
    <row r="230" spans="2:37" ht="14" x14ac:dyDescent="0.3">
      <c r="B230" s="141">
        <v>221</v>
      </c>
      <c r="C230" s="203"/>
      <c r="D230" s="203"/>
      <c r="E230" s="153"/>
      <c r="F230" s="498" t="str">
        <f>IF(D230="","",VLOOKUP(D230,'G-6 Hedgerow Data'!$B$2:$AG$15,2,FALSE))</f>
        <v/>
      </c>
      <c r="G230" s="499" t="str">
        <f>IF(D230="","",VLOOKUP(D230,'G-6 Hedgerow Data'!$B$2:$AG$15,3,FALSE))</f>
        <v/>
      </c>
      <c r="H230" s="145"/>
      <c r="I230" s="499" t="str">
        <f>IFERROR(IF(AND(F230="V.Low",OR(H230="Good",H230="Moderate")),"Error ▲",VLOOKUP(H230,'G-1 All Habitats'!$Z$2:$AA$9,2,FALSE)),"")</f>
        <v/>
      </c>
      <c r="J230" s="154"/>
      <c r="K230" s="520" t="str">
        <f>IF(J230="","",IF(VLOOKUP(J230,'G-3 Multipliers'!$L$3:$N$6,2,FALSE)=0,"Spatial Data Missing ⚠",VLOOKUP(J230,'G-3 Multipliers'!$L$3:$N$6,2,FALSE)))</f>
        <v/>
      </c>
      <c r="L230" s="524" t="str">
        <f>IF(J230="","",IF(VLOOKUP(J230,'G-3 Multipliers'!$L$3:$N$6,3,FALSE)=0,"Spatial Data Missing ⚠",VLOOKUP(J230,'G-3 Multipliers'!$L$3:$N$6,3,FALSE)))</f>
        <v/>
      </c>
      <c r="M230" s="506" t="str">
        <f>IF(D230="","",VLOOKUP(D230,'G-6 Hedgerow Data'!$B$1:$AH$15,33,FALSE))</f>
        <v/>
      </c>
      <c r="N230" s="513" t="str">
        <f t="shared" si="23"/>
        <v/>
      </c>
      <c r="O230" s="40"/>
      <c r="P230" s="145"/>
      <c r="Q230" s="157"/>
      <c r="R230" s="507" t="str">
        <f t="shared" si="24"/>
        <v/>
      </c>
      <c r="S230" s="507" t="str">
        <f t="shared" si="25"/>
        <v/>
      </c>
      <c r="T230" s="511" t="str">
        <f t="shared" si="26"/>
        <v/>
      </c>
      <c r="U230" s="515" t="str">
        <f t="shared" si="27"/>
        <v/>
      </c>
      <c r="V230" s="151"/>
      <c r="W230" s="152"/>
      <c r="AB230" s="31" t="str">
        <f>IFERROR(INDEX('G-6 Hedgerow Data'!$BJ$3:$BJ$15,MATCH(D230,'G-6 Hedgerow Data'!$B$3:$B$15,0)),"")</f>
        <v/>
      </c>
      <c r="AE230" s="156" t="str">
        <f t="shared" si="21"/>
        <v/>
      </c>
      <c r="AF230" s="156" t="str">
        <f t="shared" si="22"/>
        <v/>
      </c>
      <c r="AH230" s="156">
        <v>221</v>
      </c>
      <c r="AJ230" s="156" t="str">
        <f t="array" ref="AJ230">IFERROR(INDEX($AH$10:$AH$258, MATCH(0, IF(TRUE=$AE$10:$AE$258, COUNTIF($AJ$9:$AJ229, $AH$10:$AH$258), ""), 0)),"")</f>
        <v/>
      </c>
      <c r="AK230" s="156" t="str">
        <f t="array" ref="AK230">IFERROR(INDEX($AH$10:$AH$258, MATCH(0, IF(TRUE=$AF$10:$AF$258, COUNTIF($AK$9:$AK229, $AH$10:$AH$258), ""), 0)),"")</f>
        <v/>
      </c>
    </row>
    <row r="231" spans="2:37" ht="14" x14ac:dyDescent="0.3">
      <c r="B231" s="141">
        <v>222</v>
      </c>
      <c r="C231" s="203"/>
      <c r="D231" s="203"/>
      <c r="E231" s="153"/>
      <c r="F231" s="498" t="str">
        <f>IF(D231="","",VLOOKUP(D231,'G-6 Hedgerow Data'!$B$2:$AG$15,2,FALSE))</f>
        <v/>
      </c>
      <c r="G231" s="499" t="str">
        <f>IF(D231="","",VLOOKUP(D231,'G-6 Hedgerow Data'!$B$2:$AG$15,3,FALSE))</f>
        <v/>
      </c>
      <c r="H231" s="145"/>
      <c r="I231" s="499" t="str">
        <f>IFERROR(IF(AND(F231="V.Low",OR(H231="Good",H231="Moderate")),"Error ▲",VLOOKUP(H231,'G-1 All Habitats'!$Z$2:$AA$9,2,FALSE)),"")</f>
        <v/>
      </c>
      <c r="J231" s="154"/>
      <c r="K231" s="520" t="str">
        <f>IF(J231="","",IF(VLOOKUP(J231,'G-3 Multipliers'!$L$3:$N$6,2,FALSE)=0,"Spatial Data Missing ⚠",VLOOKUP(J231,'G-3 Multipliers'!$L$3:$N$6,2,FALSE)))</f>
        <v/>
      </c>
      <c r="L231" s="524" t="str">
        <f>IF(J231="","",IF(VLOOKUP(J231,'G-3 Multipliers'!$L$3:$N$6,3,FALSE)=0,"Spatial Data Missing ⚠",VLOOKUP(J231,'G-3 Multipliers'!$L$3:$N$6,3,FALSE)))</f>
        <v/>
      </c>
      <c r="M231" s="506" t="str">
        <f>IF(D231="","",VLOOKUP(D231,'G-6 Hedgerow Data'!$B$1:$AH$15,33,FALSE))</f>
        <v/>
      </c>
      <c r="N231" s="513" t="str">
        <f t="shared" si="23"/>
        <v/>
      </c>
      <c r="O231" s="40"/>
      <c r="P231" s="145"/>
      <c r="Q231" s="157"/>
      <c r="R231" s="507" t="str">
        <f t="shared" si="24"/>
        <v/>
      </c>
      <c r="S231" s="507" t="str">
        <f t="shared" si="25"/>
        <v/>
      </c>
      <c r="T231" s="511" t="str">
        <f t="shared" si="26"/>
        <v/>
      </c>
      <c r="U231" s="515" t="str">
        <f t="shared" si="27"/>
        <v/>
      </c>
      <c r="V231" s="151"/>
      <c r="W231" s="152"/>
      <c r="AB231" s="31" t="str">
        <f>IFERROR(INDEX('G-6 Hedgerow Data'!$BJ$3:$BJ$15,MATCH(D231,'G-6 Hedgerow Data'!$B$3:$B$15,0)),"")</f>
        <v/>
      </c>
      <c r="AE231" s="156" t="str">
        <f t="shared" si="21"/>
        <v/>
      </c>
      <c r="AF231" s="156" t="str">
        <f t="shared" si="22"/>
        <v/>
      </c>
      <c r="AH231" s="156">
        <v>222</v>
      </c>
      <c r="AJ231" s="156" t="str">
        <f t="array" ref="AJ231">IFERROR(INDEX($AH$10:$AH$258, MATCH(0, IF(TRUE=$AE$10:$AE$258, COUNTIF($AJ$9:$AJ230, $AH$10:$AH$258), ""), 0)),"")</f>
        <v/>
      </c>
      <c r="AK231" s="156" t="str">
        <f t="array" ref="AK231">IFERROR(INDEX($AH$10:$AH$258, MATCH(0, IF(TRUE=$AF$10:$AF$258, COUNTIF($AK$9:$AK230, $AH$10:$AH$258), ""), 0)),"")</f>
        <v/>
      </c>
    </row>
    <row r="232" spans="2:37" ht="14" x14ac:dyDescent="0.3">
      <c r="B232" s="141">
        <v>223</v>
      </c>
      <c r="C232" s="203"/>
      <c r="D232" s="203"/>
      <c r="E232" s="153"/>
      <c r="F232" s="498" t="str">
        <f>IF(D232="","",VLOOKUP(D232,'G-6 Hedgerow Data'!$B$2:$AG$15,2,FALSE))</f>
        <v/>
      </c>
      <c r="G232" s="499" t="str">
        <f>IF(D232="","",VLOOKUP(D232,'G-6 Hedgerow Data'!$B$2:$AG$15,3,FALSE))</f>
        <v/>
      </c>
      <c r="H232" s="145"/>
      <c r="I232" s="499" t="str">
        <f>IFERROR(IF(AND(F232="V.Low",OR(H232="Good",H232="Moderate")),"Error ▲",VLOOKUP(H232,'G-1 All Habitats'!$Z$2:$AA$9,2,FALSE)),"")</f>
        <v/>
      </c>
      <c r="J232" s="154"/>
      <c r="K232" s="520" t="str">
        <f>IF(J232="","",IF(VLOOKUP(J232,'G-3 Multipliers'!$L$3:$N$6,2,FALSE)=0,"Spatial Data Missing ⚠",VLOOKUP(J232,'G-3 Multipliers'!$L$3:$N$6,2,FALSE)))</f>
        <v/>
      </c>
      <c r="L232" s="524" t="str">
        <f>IF(J232="","",IF(VLOOKUP(J232,'G-3 Multipliers'!$L$3:$N$6,3,FALSE)=0,"Spatial Data Missing ⚠",VLOOKUP(J232,'G-3 Multipliers'!$L$3:$N$6,3,FALSE)))</f>
        <v/>
      </c>
      <c r="M232" s="506" t="str">
        <f>IF(D232="","",VLOOKUP(D232,'G-6 Hedgerow Data'!$B$1:$AH$15,33,FALSE))</f>
        <v/>
      </c>
      <c r="N232" s="513" t="str">
        <f t="shared" si="23"/>
        <v/>
      </c>
      <c r="O232" s="40"/>
      <c r="P232" s="145"/>
      <c r="Q232" s="157"/>
      <c r="R232" s="507" t="str">
        <f t="shared" si="24"/>
        <v/>
      </c>
      <c r="S232" s="507" t="str">
        <f t="shared" si="25"/>
        <v/>
      </c>
      <c r="T232" s="511" t="str">
        <f t="shared" si="26"/>
        <v/>
      </c>
      <c r="U232" s="515" t="str">
        <f t="shared" si="27"/>
        <v/>
      </c>
      <c r="V232" s="151"/>
      <c r="W232" s="152"/>
      <c r="AB232" s="31" t="str">
        <f>IFERROR(INDEX('G-6 Hedgerow Data'!$BJ$3:$BJ$15,MATCH(D232,'G-6 Hedgerow Data'!$B$3:$B$15,0)),"")</f>
        <v/>
      </c>
      <c r="AE232" s="156" t="str">
        <f t="shared" si="21"/>
        <v/>
      </c>
      <c r="AF232" s="156" t="str">
        <f t="shared" si="22"/>
        <v/>
      </c>
      <c r="AH232" s="156">
        <v>223</v>
      </c>
      <c r="AJ232" s="156" t="str">
        <f t="array" ref="AJ232">IFERROR(INDEX($AH$10:$AH$258, MATCH(0, IF(TRUE=$AE$10:$AE$258, COUNTIF($AJ$9:$AJ231, $AH$10:$AH$258), ""), 0)),"")</f>
        <v/>
      </c>
      <c r="AK232" s="156" t="str">
        <f t="array" ref="AK232">IFERROR(INDEX($AH$10:$AH$258, MATCH(0, IF(TRUE=$AF$10:$AF$258, COUNTIF($AK$9:$AK231, $AH$10:$AH$258), ""), 0)),"")</f>
        <v/>
      </c>
    </row>
    <row r="233" spans="2:37" ht="14" x14ac:dyDescent="0.3">
      <c r="B233" s="141">
        <v>224</v>
      </c>
      <c r="C233" s="203"/>
      <c r="D233" s="203"/>
      <c r="E233" s="153"/>
      <c r="F233" s="498" t="str">
        <f>IF(D233="","",VLOOKUP(D233,'G-6 Hedgerow Data'!$B$2:$AG$15,2,FALSE))</f>
        <v/>
      </c>
      <c r="G233" s="499" t="str">
        <f>IF(D233="","",VLOOKUP(D233,'G-6 Hedgerow Data'!$B$2:$AG$15,3,FALSE))</f>
        <v/>
      </c>
      <c r="H233" s="145"/>
      <c r="I233" s="499" t="str">
        <f>IFERROR(IF(AND(F233="V.Low",OR(H233="Good",H233="Moderate")),"Error ▲",VLOOKUP(H233,'G-1 All Habitats'!$Z$2:$AA$9,2,FALSE)),"")</f>
        <v/>
      </c>
      <c r="J233" s="154"/>
      <c r="K233" s="520" t="str">
        <f>IF(J233="","",IF(VLOOKUP(J233,'G-3 Multipliers'!$L$3:$N$6,2,FALSE)=0,"Spatial Data Missing ⚠",VLOOKUP(J233,'G-3 Multipliers'!$L$3:$N$6,2,FALSE)))</f>
        <v/>
      </c>
      <c r="L233" s="524" t="str">
        <f>IF(J233="","",IF(VLOOKUP(J233,'G-3 Multipliers'!$L$3:$N$6,3,FALSE)=0,"Spatial Data Missing ⚠",VLOOKUP(J233,'G-3 Multipliers'!$L$3:$N$6,3,FALSE)))</f>
        <v/>
      </c>
      <c r="M233" s="506" t="str">
        <f>IF(D233="","",VLOOKUP(D233,'G-6 Hedgerow Data'!$B$1:$AH$15,33,FALSE))</f>
        <v/>
      </c>
      <c r="N233" s="513" t="str">
        <f t="shared" si="23"/>
        <v/>
      </c>
      <c r="O233" s="40"/>
      <c r="P233" s="145"/>
      <c r="Q233" s="157"/>
      <c r="R233" s="507" t="str">
        <f t="shared" si="24"/>
        <v/>
      </c>
      <c r="S233" s="507" t="str">
        <f t="shared" si="25"/>
        <v/>
      </c>
      <c r="T233" s="511" t="str">
        <f t="shared" si="26"/>
        <v/>
      </c>
      <c r="U233" s="515" t="str">
        <f t="shared" si="27"/>
        <v/>
      </c>
      <c r="V233" s="151"/>
      <c r="W233" s="152"/>
      <c r="AB233" s="31" t="str">
        <f>IFERROR(INDEX('G-6 Hedgerow Data'!$BJ$3:$BJ$15,MATCH(D233,'G-6 Hedgerow Data'!$B$3:$B$15,0)),"")</f>
        <v/>
      </c>
      <c r="AE233" s="156" t="str">
        <f t="shared" si="21"/>
        <v/>
      </c>
      <c r="AF233" s="156" t="str">
        <f t="shared" si="22"/>
        <v/>
      </c>
      <c r="AH233" s="156">
        <v>224</v>
      </c>
      <c r="AJ233" s="156" t="str">
        <f t="array" ref="AJ233">IFERROR(INDEX($AH$10:$AH$258, MATCH(0, IF(TRUE=$AE$10:$AE$258, COUNTIF($AJ$9:$AJ232, $AH$10:$AH$258), ""), 0)),"")</f>
        <v/>
      </c>
      <c r="AK233" s="156" t="str">
        <f t="array" ref="AK233">IFERROR(INDEX($AH$10:$AH$258, MATCH(0, IF(TRUE=$AF$10:$AF$258, COUNTIF($AK$9:$AK232, $AH$10:$AH$258), ""), 0)),"")</f>
        <v/>
      </c>
    </row>
    <row r="234" spans="2:37" ht="14" x14ac:dyDescent="0.3">
      <c r="B234" s="141">
        <v>225</v>
      </c>
      <c r="C234" s="203"/>
      <c r="D234" s="203"/>
      <c r="E234" s="153"/>
      <c r="F234" s="498" t="str">
        <f>IF(D234="","",VLOOKUP(D234,'G-6 Hedgerow Data'!$B$2:$AG$15,2,FALSE))</f>
        <v/>
      </c>
      <c r="G234" s="499" t="str">
        <f>IF(D234="","",VLOOKUP(D234,'G-6 Hedgerow Data'!$B$2:$AG$15,3,FALSE))</f>
        <v/>
      </c>
      <c r="H234" s="145"/>
      <c r="I234" s="499" t="str">
        <f>IFERROR(IF(AND(F234="V.Low",OR(H234="Good",H234="Moderate")),"Error ▲",VLOOKUP(H234,'G-1 All Habitats'!$Z$2:$AA$9,2,FALSE)),"")</f>
        <v/>
      </c>
      <c r="J234" s="154"/>
      <c r="K234" s="520" t="str">
        <f>IF(J234="","",IF(VLOOKUP(J234,'G-3 Multipliers'!$L$3:$N$6,2,FALSE)=0,"Spatial Data Missing ⚠",VLOOKUP(J234,'G-3 Multipliers'!$L$3:$N$6,2,FALSE)))</f>
        <v/>
      </c>
      <c r="L234" s="524" t="str">
        <f>IF(J234="","",IF(VLOOKUP(J234,'G-3 Multipliers'!$L$3:$N$6,3,FALSE)=0,"Spatial Data Missing ⚠",VLOOKUP(J234,'G-3 Multipliers'!$L$3:$N$6,3,FALSE)))</f>
        <v/>
      </c>
      <c r="M234" s="506" t="str">
        <f>IF(D234="","",VLOOKUP(D234,'G-6 Hedgerow Data'!$B$1:$AH$15,33,FALSE))</f>
        <v/>
      </c>
      <c r="N234" s="513" t="str">
        <f t="shared" si="23"/>
        <v/>
      </c>
      <c r="O234" s="40"/>
      <c r="P234" s="145"/>
      <c r="Q234" s="157"/>
      <c r="R234" s="507" t="str">
        <f t="shared" si="24"/>
        <v/>
      </c>
      <c r="S234" s="507" t="str">
        <f t="shared" si="25"/>
        <v/>
      </c>
      <c r="T234" s="511" t="str">
        <f t="shared" si="26"/>
        <v/>
      </c>
      <c r="U234" s="515" t="str">
        <f t="shared" si="27"/>
        <v/>
      </c>
      <c r="V234" s="151"/>
      <c r="W234" s="152"/>
      <c r="AB234" s="31" t="str">
        <f>IFERROR(INDEX('G-6 Hedgerow Data'!$BJ$3:$BJ$15,MATCH(D234,'G-6 Hedgerow Data'!$B$3:$B$15,0)),"")</f>
        <v/>
      </c>
      <c r="AE234" s="156" t="str">
        <f t="shared" si="21"/>
        <v/>
      </c>
      <c r="AF234" s="156" t="str">
        <f t="shared" si="22"/>
        <v/>
      </c>
      <c r="AH234" s="156">
        <v>225</v>
      </c>
      <c r="AJ234" s="156" t="str">
        <f t="array" ref="AJ234">IFERROR(INDEX($AH$10:$AH$258, MATCH(0, IF(TRUE=$AE$10:$AE$258, COUNTIF($AJ$9:$AJ233, $AH$10:$AH$258), ""), 0)),"")</f>
        <v/>
      </c>
      <c r="AK234" s="156" t="str">
        <f t="array" ref="AK234">IFERROR(INDEX($AH$10:$AH$258, MATCH(0, IF(TRUE=$AF$10:$AF$258, COUNTIF($AK$9:$AK233, $AH$10:$AH$258), ""), 0)),"")</f>
        <v/>
      </c>
    </row>
    <row r="235" spans="2:37" ht="14" x14ac:dyDescent="0.3">
      <c r="B235" s="141">
        <v>226</v>
      </c>
      <c r="C235" s="203"/>
      <c r="D235" s="203"/>
      <c r="E235" s="153"/>
      <c r="F235" s="498" t="str">
        <f>IF(D235="","",VLOOKUP(D235,'G-6 Hedgerow Data'!$B$2:$AG$15,2,FALSE))</f>
        <v/>
      </c>
      <c r="G235" s="499" t="str">
        <f>IF(D235="","",VLOOKUP(D235,'G-6 Hedgerow Data'!$B$2:$AG$15,3,FALSE))</f>
        <v/>
      </c>
      <c r="H235" s="145"/>
      <c r="I235" s="499" t="str">
        <f>IFERROR(IF(AND(F235="V.Low",OR(H235="Good",H235="Moderate")),"Error ▲",VLOOKUP(H235,'G-1 All Habitats'!$Z$2:$AA$9,2,FALSE)),"")</f>
        <v/>
      </c>
      <c r="J235" s="154"/>
      <c r="K235" s="520" t="str">
        <f>IF(J235="","",IF(VLOOKUP(J235,'G-3 Multipliers'!$L$3:$N$6,2,FALSE)=0,"Spatial Data Missing ⚠",VLOOKUP(J235,'G-3 Multipliers'!$L$3:$N$6,2,FALSE)))</f>
        <v/>
      </c>
      <c r="L235" s="524" t="str">
        <f>IF(J235="","",IF(VLOOKUP(J235,'G-3 Multipliers'!$L$3:$N$6,3,FALSE)=0,"Spatial Data Missing ⚠",VLOOKUP(J235,'G-3 Multipliers'!$L$3:$N$6,3,FALSE)))</f>
        <v/>
      </c>
      <c r="M235" s="506" t="str">
        <f>IF(D235="","",VLOOKUP(D235,'G-6 Hedgerow Data'!$B$1:$AH$15,33,FALSE))</f>
        <v/>
      </c>
      <c r="N235" s="513" t="str">
        <f t="shared" si="23"/>
        <v/>
      </c>
      <c r="O235" s="40"/>
      <c r="P235" s="145"/>
      <c r="Q235" s="157"/>
      <c r="R235" s="507" t="str">
        <f t="shared" si="24"/>
        <v/>
      </c>
      <c r="S235" s="507" t="str">
        <f t="shared" si="25"/>
        <v/>
      </c>
      <c r="T235" s="511" t="str">
        <f t="shared" si="26"/>
        <v/>
      </c>
      <c r="U235" s="515" t="str">
        <f t="shared" si="27"/>
        <v/>
      </c>
      <c r="V235" s="151"/>
      <c r="W235" s="152"/>
      <c r="AB235" s="31" t="str">
        <f>IFERROR(INDEX('G-6 Hedgerow Data'!$BJ$3:$BJ$15,MATCH(D235,'G-6 Hedgerow Data'!$B$3:$B$15,0)),"")</f>
        <v/>
      </c>
      <c r="AE235" s="156" t="str">
        <f t="shared" si="21"/>
        <v/>
      </c>
      <c r="AF235" s="156" t="str">
        <f t="shared" si="22"/>
        <v/>
      </c>
      <c r="AH235" s="156">
        <v>226</v>
      </c>
      <c r="AJ235" s="156" t="str">
        <f t="array" ref="AJ235">IFERROR(INDEX($AH$10:$AH$258, MATCH(0, IF(TRUE=$AE$10:$AE$258, COUNTIF($AJ$9:$AJ234, $AH$10:$AH$258), ""), 0)),"")</f>
        <v/>
      </c>
      <c r="AK235" s="156" t="str">
        <f t="array" ref="AK235">IFERROR(INDEX($AH$10:$AH$258, MATCH(0, IF(TRUE=$AF$10:$AF$258, COUNTIF($AK$9:$AK234, $AH$10:$AH$258), ""), 0)),"")</f>
        <v/>
      </c>
    </row>
    <row r="236" spans="2:37" ht="14" x14ac:dyDescent="0.3">
      <c r="B236" s="141">
        <v>227</v>
      </c>
      <c r="C236" s="203"/>
      <c r="D236" s="203"/>
      <c r="E236" s="153"/>
      <c r="F236" s="498" t="str">
        <f>IF(D236="","",VLOOKUP(D236,'G-6 Hedgerow Data'!$B$2:$AG$15,2,FALSE))</f>
        <v/>
      </c>
      <c r="G236" s="499" t="str">
        <f>IF(D236="","",VLOOKUP(D236,'G-6 Hedgerow Data'!$B$2:$AG$15,3,FALSE))</f>
        <v/>
      </c>
      <c r="H236" s="145"/>
      <c r="I236" s="499" t="str">
        <f>IFERROR(IF(AND(F236="V.Low",OR(H236="Good",H236="Moderate")),"Error ▲",VLOOKUP(H236,'G-1 All Habitats'!$Z$2:$AA$9,2,FALSE)),"")</f>
        <v/>
      </c>
      <c r="J236" s="154"/>
      <c r="K236" s="520" t="str">
        <f>IF(J236="","",IF(VLOOKUP(J236,'G-3 Multipliers'!$L$3:$N$6,2,FALSE)=0,"Spatial Data Missing ⚠",VLOOKUP(J236,'G-3 Multipliers'!$L$3:$N$6,2,FALSE)))</f>
        <v/>
      </c>
      <c r="L236" s="524" t="str">
        <f>IF(J236="","",IF(VLOOKUP(J236,'G-3 Multipliers'!$L$3:$N$6,3,FALSE)=0,"Spatial Data Missing ⚠",VLOOKUP(J236,'G-3 Multipliers'!$L$3:$N$6,3,FALSE)))</f>
        <v/>
      </c>
      <c r="M236" s="506" t="str">
        <f>IF(D236="","",VLOOKUP(D236,'G-6 Hedgerow Data'!$B$1:$AH$15,33,FALSE))</f>
        <v/>
      </c>
      <c r="N236" s="513" t="str">
        <f t="shared" si="23"/>
        <v/>
      </c>
      <c r="O236" s="40"/>
      <c r="P236" s="145"/>
      <c r="Q236" s="157"/>
      <c r="R236" s="507" t="str">
        <f t="shared" si="24"/>
        <v/>
      </c>
      <c r="S236" s="507" t="str">
        <f t="shared" si="25"/>
        <v/>
      </c>
      <c r="T236" s="511" t="str">
        <f t="shared" si="26"/>
        <v/>
      </c>
      <c r="U236" s="515" t="str">
        <f t="shared" si="27"/>
        <v/>
      </c>
      <c r="V236" s="151"/>
      <c r="W236" s="152"/>
      <c r="AB236" s="31" t="str">
        <f>IFERROR(INDEX('G-6 Hedgerow Data'!$BJ$3:$BJ$15,MATCH(D236,'G-6 Hedgerow Data'!$B$3:$B$15,0)),"")</f>
        <v/>
      </c>
      <c r="AE236" s="156" t="str">
        <f t="shared" si="21"/>
        <v/>
      </c>
      <c r="AF236" s="156" t="str">
        <f t="shared" si="22"/>
        <v/>
      </c>
      <c r="AH236" s="156">
        <v>227</v>
      </c>
      <c r="AJ236" s="156" t="str">
        <f t="array" ref="AJ236">IFERROR(INDEX($AH$10:$AH$258, MATCH(0, IF(TRUE=$AE$10:$AE$258, COUNTIF($AJ$9:$AJ235, $AH$10:$AH$258), ""), 0)),"")</f>
        <v/>
      </c>
      <c r="AK236" s="156" t="str">
        <f t="array" ref="AK236">IFERROR(INDEX($AH$10:$AH$258, MATCH(0, IF(TRUE=$AF$10:$AF$258, COUNTIF($AK$9:$AK235, $AH$10:$AH$258), ""), 0)),"")</f>
        <v/>
      </c>
    </row>
    <row r="237" spans="2:37" ht="14" x14ac:dyDescent="0.3">
      <c r="B237" s="141">
        <v>228</v>
      </c>
      <c r="C237" s="203"/>
      <c r="D237" s="203"/>
      <c r="E237" s="153"/>
      <c r="F237" s="498" t="str">
        <f>IF(D237="","",VLOOKUP(D237,'G-6 Hedgerow Data'!$B$2:$AG$15,2,FALSE))</f>
        <v/>
      </c>
      <c r="G237" s="499" t="str">
        <f>IF(D237="","",VLOOKUP(D237,'G-6 Hedgerow Data'!$B$2:$AG$15,3,FALSE))</f>
        <v/>
      </c>
      <c r="H237" s="145"/>
      <c r="I237" s="499" t="str">
        <f>IFERROR(IF(AND(F237="V.Low",OR(H237="Good",H237="Moderate")),"Error ▲",VLOOKUP(H237,'G-1 All Habitats'!$Z$2:$AA$9,2,FALSE)),"")</f>
        <v/>
      </c>
      <c r="J237" s="154"/>
      <c r="K237" s="520" t="str">
        <f>IF(J237="","",IF(VLOOKUP(J237,'G-3 Multipliers'!$L$3:$N$6,2,FALSE)=0,"Spatial Data Missing ⚠",VLOOKUP(J237,'G-3 Multipliers'!$L$3:$N$6,2,FALSE)))</f>
        <v/>
      </c>
      <c r="L237" s="524" t="str">
        <f>IF(J237="","",IF(VLOOKUP(J237,'G-3 Multipliers'!$L$3:$N$6,3,FALSE)=0,"Spatial Data Missing ⚠",VLOOKUP(J237,'G-3 Multipliers'!$L$3:$N$6,3,FALSE)))</f>
        <v/>
      </c>
      <c r="M237" s="506" t="str">
        <f>IF(D237="","",VLOOKUP(D237,'G-6 Hedgerow Data'!$B$1:$AH$15,33,FALSE))</f>
        <v/>
      </c>
      <c r="N237" s="513" t="str">
        <f t="shared" si="23"/>
        <v/>
      </c>
      <c r="O237" s="40"/>
      <c r="P237" s="145"/>
      <c r="Q237" s="157"/>
      <c r="R237" s="507" t="str">
        <f t="shared" si="24"/>
        <v/>
      </c>
      <c r="S237" s="507" t="str">
        <f t="shared" si="25"/>
        <v/>
      </c>
      <c r="T237" s="511" t="str">
        <f t="shared" si="26"/>
        <v/>
      </c>
      <c r="U237" s="515" t="str">
        <f t="shared" si="27"/>
        <v/>
      </c>
      <c r="V237" s="151"/>
      <c r="W237" s="152"/>
      <c r="AB237" s="31" t="str">
        <f>IFERROR(INDEX('G-6 Hedgerow Data'!$BJ$3:$BJ$15,MATCH(D237,'G-6 Hedgerow Data'!$B$3:$B$15,0)),"")</f>
        <v/>
      </c>
      <c r="AE237" s="156" t="str">
        <f t="shared" si="21"/>
        <v/>
      </c>
      <c r="AF237" s="156" t="str">
        <f t="shared" si="22"/>
        <v/>
      </c>
      <c r="AH237" s="156">
        <v>228</v>
      </c>
      <c r="AJ237" s="156" t="str">
        <f t="array" ref="AJ237">IFERROR(INDEX($AH$10:$AH$258, MATCH(0, IF(TRUE=$AE$10:$AE$258, COUNTIF($AJ$9:$AJ236, $AH$10:$AH$258), ""), 0)),"")</f>
        <v/>
      </c>
      <c r="AK237" s="156" t="str">
        <f t="array" ref="AK237">IFERROR(INDEX($AH$10:$AH$258, MATCH(0, IF(TRUE=$AF$10:$AF$258, COUNTIF($AK$9:$AK236, $AH$10:$AH$258), ""), 0)),"")</f>
        <v/>
      </c>
    </row>
    <row r="238" spans="2:37" ht="14" x14ac:dyDescent="0.3">
      <c r="B238" s="141">
        <v>229</v>
      </c>
      <c r="C238" s="203"/>
      <c r="D238" s="203"/>
      <c r="E238" s="153"/>
      <c r="F238" s="498" t="str">
        <f>IF(D238="","",VLOOKUP(D238,'G-6 Hedgerow Data'!$B$2:$AG$15,2,FALSE))</f>
        <v/>
      </c>
      <c r="G238" s="499" t="str">
        <f>IF(D238="","",VLOOKUP(D238,'G-6 Hedgerow Data'!$B$2:$AG$15,3,FALSE))</f>
        <v/>
      </c>
      <c r="H238" s="145"/>
      <c r="I238" s="499" t="str">
        <f>IFERROR(IF(AND(F238="V.Low",OR(H238="Good",H238="Moderate")),"Error ▲",VLOOKUP(H238,'G-1 All Habitats'!$Z$2:$AA$9,2,FALSE)),"")</f>
        <v/>
      </c>
      <c r="J238" s="154"/>
      <c r="K238" s="520" t="str">
        <f>IF(J238="","",IF(VLOOKUP(J238,'G-3 Multipliers'!$L$3:$N$6,2,FALSE)=0,"Spatial Data Missing ⚠",VLOOKUP(J238,'G-3 Multipliers'!$L$3:$N$6,2,FALSE)))</f>
        <v/>
      </c>
      <c r="L238" s="524" t="str">
        <f>IF(J238="","",IF(VLOOKUP(J238,'G-3 Multipliers'!$L$3:$N$6,3,FALSE)=0,"Spatial Data Missing ⚠",VLOOKUP(J238,'G-3 Multipliers'!$L$3:$N$6,3,FALSE)))</f>
        <v/>
      </c>
      <c r="M238" s="506" t="str">
        <f>IF(D238="","",VLOOKUP(D238,'G-6 Hedgerow Data'!$B$1:$AH$15,33,FALSE))</f>
        <v/>
      </c>
      <c r="N238" s="513" t="str">
        <f t="shared" si="23"/>
        <v/>
      </c>
      <c r="O238" s="40"/>
      <c r="P238" s="145"/>
      <c r="Q238" s="157"/>
      <c r="R238" s="507" t="str">
        <f t="shared" si="24"/>
        <v/>
      </c>
      <c r="S238" s="507" t="str">
        <f t="shared" si="25"/>
        <v/>
      </c>
      <c r="T238" s="511" t="str">
        <f t="shared" si="26"/>
        <v/>
      </c>
      <c r="U238" s="515" t="str">
        <f t="shared" si="27"/>
        <v/>
      </c>
      <c r="V238" s="151"/>
      <c r="W238" s="152"/>
      <c r="AB238" s="31" t="str">
        <f>IFERROR(INDEX('G-6 Hedgerow Data'!$BJ$3:$BJ$15,MATCH(D238,'G-6 Hedgerow Data'!$B$3:$B$15,0)),"")</f>
        <v/>
      </c>
      <c r="AE238" s="156" t="str">
        <f t="shared" si="21"/>
        <v/>
      </c>
      <c r="AF238" s="156" t="str">
        <f t="shared" si="22"/>
        <v/>
      </c>
      <c r="AH238" s="156">
        <v>229</v>
      </c>
      <c r="AJ238" s="156" t="str">
        <f t="array" ref="AJ238">IFERROR(INDEX($AH$10:$AH$258, MATCH(0, IF(TRUE=$AE$10:$AE$258, COUNTIF($AJ$9:$AJ237, $AH$10:$AH$258), ""), 0)),"")</f>
        <v/>
      </c>
      <c r="AK238" s="156" t="str">
        <f t="array" ref="AK238">IFERROR(INDEX($AH$10:$AH$258, MATCH(0, IF(TRUE=$AF$10:$AF$258, COUNTIF($AK$9:$AK237, $AH$10:$AH$258), ""), 0)),"")</f>
        <v/>
      </c>
    </row>
    <row r="239" spans="2:37" ht="14" x14ac:dyDescent="0.3">
      <c r="B239" s="141">
        <v>230</v>
      </c>
      <c r="C239" s="203"/>
      <c r="D239" s="203"/>
      <c r="E239" s="153"/>
      <c r="F239" s="498" t="str">
        <f>IF(D239="","",VLOOKUP(D239,'G-6 Hedgerow Data'!$B$2:$AG$15,2,FALSE))</f>
        <v/>
      </c>
      <c r="G239" s="499" t="str">
        <f>IF(D239="","",VLOOKUP(D239,'G-6 Hedgerow Data'!$B$2:$AG$15,3,FALSE))</f>
        <v/>
      </c>
      <c r="H239" s="145"/>
      <c r="I239" s="499" t="str">
        <f>IFERROR(IF(AND(F239="V.Low",OR(H239="Good",H239="Moderate")),"Error ▲",VLOOKUP(H239,'G-1 All Habitats'!$Z$2:$AA$9,2,FALSE)),"")</f>
        <v/>
      </c>
      <c r="J239" s="154"/>
      <c r="K239" s="520" t="str">
        <f>IF(J239="","",IF(VLOOKUP(J239,'G-3 Multipliers'!$L$3:$N$6,2,FALSE)=0,"Spatial Data Missing ⚠",VLOOKUP(J239,'G-3 Multipliers'!$L$3:$N$6,2,FALSE)))</f>
        <v/>
      </c>
      <c r="L239" s="524" t="str">
        <f>IF(J239="","",IF(VLOOKUP(J239,'G-3 Multipliers'!$L$3:$N$6,3,FALSE)=0,"Spatial Data Missing ⚠",VLOOKUP(J239,'G-3 Multipliers'!$L$3:$N$6,3,FALSE)))</f>
        <v/>
      </c>
      <c r="M239" s="506" t="str">
        <f>IF(D239="","",VLOOKUP(D239,'G-6 Hedgerow Data'!$B$1:$AH$15,33,FALSE))</f>
        <v/>
      </c>
      <c r="N239" s="513" t="str">
        <f t="shared" si="23"/>
        <v/>
      </c>
      <c r="O239" s="40"/>
      <c r="P239" s="145"/>
      <c r="Q239" s="157"/>
      <c r="R239" s="507" t="str">
        <f t="shared" si="24"/>
        <v/>
      </c>
      <c r="S239" s="507" t="str">
        <f t="shared" si="25"/>
        <v/>
      </c>
      <c r="T239" s="511" t="str">
        <f t="shared" si="26"/>
        <v/>
      </c>
      <c r="U239" s="515" t="str">
        <f t="shared" si="27"/>
        <v/>
      </c>
      <c r="V239" s="151"/>
      <c r="W239" s="152"/>
      <c r="AB239" s="31" t="str">
        <f>IFERROR(INDEX('G-6 Hedgerow Data'!$BJ$3:$BJ$15,MATCH(D239,'G-6 Hedgerow Data'!$B$3:$B$15,0)),"")</f>
        <v/>
      </c>
      <c r="AE239" s="156" t="str">
        <f t="shared" si="21"/>
        <v/>
      </c>
      <c r="AF239" s="156" t="str">
        <f t="shared" si="22"/>
        <v/>
      </c>
      <c r="AH239" s="156">
        <v>230</v>
      </c>
      <c r="AJ239" s="156" t="str">
        <f t="array" ref="AJ239">IFERROR(INDEX($AH$10:$AH$258, MATCH(0, IF(TRUE=$AE$10:$AE$258, COUNTIF($AJ$9:$AJ238, $AH$10:$AH$258), ""), 0)),"")</f>
        <v/>
      </c>
      <c r="AK239" s="156" t="str">
        <f t="array" ref="AK239">IFERROR(INDEX($AH$10:$AH$258, MATCH(0, IF(TRUE=$AF$10:$AF$258, COUNTIF($AK$9:$AK238, $AH$10:$AH$258), ""), 0)),"")</f>
        <v/>
      </c>
    </row>
    <row r="240" spans="2:37" ht="14" x14ac:dyDescent="0.3">
      <c r="B240" s="141">
        <v>231</v>
      </c>
      <c r="C240" s="203"/>
      <c r="D240" s="203"/>
      <c r="E240" s="153"/>
      <c r="F240" s="498" t="str">
        <f>IF(D240="","",VLOOKUP(D240,'G-6 Hedgerow Data'!$B$2:$AG$15,2,FALSE))</f>
        <v/>
      </c>
      <c r="G240" s="499" t="str">
        <f>IF(D240="","",VLOOKUP(D240,'G-6 Hedgerow Data'!$B$2:$AG$15,3,FALSE))</f>
        <v/>
      </c>
      <c r="H240" s="145"/>
      <c r="I240" s="499" t="str">
        <f>IFERROR(IF(AND(F240="V.Low",OR(H240="Good",H240="Moderate")),"Error ▲",VLOOKUP(H240,'G-1 All Habitats'!$Z$2:$AA$9,2,FALSE)),"")</f>
        <v/>
      </c>
      <c r="J240" s="154"/>
      <c r="K240" s="520" t="str">
        <f>IF(J240="","",IF(VLOOKUP(J240,'G-3 Multipliers'!$L$3:$N$6,2,FALSE)=0,"Spatial Data Missing ⚠",VLOOKUP(J240,'G-3 Multipliers'!$L$3:$N$6,2,FALSE)))</f>
        <v/>
      </c>
      <c r="L240" s="524" t="str">
        <f>IF(J240="","",IF(VLOOKUP(J240,'G-3 Multipliers'!$L$3:$N$6,3,FALSE)=0,"Spatial Data Missing ⚠",VLOOKUP(J240,'G-3 Multipliers'!$L$3:$N$6,3,FALSE)))</f>
        <v/>
      </c>
      <c r="M240" s="506" t="str">
        <f>IF(D240="","",VLOOKUP(D240,'G-6 Hedgerow Data'!$B$1:$AH$15,33,FALSE))</f>
        <v/>
      </c>
      <c r="N240" s="513" t="str">
        <f t="shared" si="23"/>
        <v/>
      </c>
      <c r="O240" s="40"/>
      <c r="P240" s="145"/>
      <c r="Q240" s="157"/>
      <c r="R240" s="507" t="str">
        <f t="shared" si="24"/>
        <v/>
      </c>
      <c r="S240" s="507" t="str">
        <f t="shared" si="25"/>
        <v/>
      </c>
      <c r="T240" s="511" t="str">
        <f t="shared" si="26"/>
        <v/>
      </c>
      <c r="U240" s="515" t="str">
        <f t="shared" si="27"/>
        <v/>
      </c>
      <c r="V240" s="151"/>
      <c r="W240" s="152"/>
      <c r="AB240" s="31" t="str">
        <f>IFERROR(INDEX('G-6 Hedgerow Data'!$BJ$3:$BJ$15,MATCH(D240,'G-6 Hedgerow Data'!$B$3:$B$15,0)),"")</f>
        <v/>
      </c>
      <c r="AE240" s="156" t="str">
        <f t="shared" si="21"/>
        <v/>
      </c>
      <c r="AF240" s="156" t="str">
        <f t="shared" si="22"/>
        <v/>
      </c>
      <c r="AH240" s="156">
        <v>231</v>
      </c>
      <c r="AJ240" s="156" t="str">
        <f t="array" ref="AJ240">IFERROR(INDEX($AH$10:$AH$258, MATCH(0, IF(TRUE=$AE$10:$AE$258, COUNTIF($AJ$9:$AJ239, $AH$10:$AH$258), ""), 0)),"")</f>
        <v/>
      </c>
      <c r="AK240" s="156" t="str">
        <f t="array" ref="AK240">IFERROR(INDEX($AH$10:$AH$258, MATCH(0, IF(TRUE=$AF$10:$AF$258, COUNTIF($AK$9:$AK239, $AH$10:$AH$258), ""), 0)),"")</f>
        <v/>
      </c>
    </row>
    <row r="241" spans="2:37" ht="14" x14ac:dyDescent="0.3">
      <c r="B241" s="141">
        <v>232</v>
      </c>
      <c r="C241" s="203"/>
      <c r="D241" s="203"/>
      <c r="E241" s="153"/>
      <c r="F241" s="498" t="str">
        <f>IF(D241="","",VLOOKUP(D241,'G-6 Hedgerow Data'!$B$2:$AG$15,2,FALSE))</f>
        <v/>
      </c>
      <c r="G241" s="499" t="str">
        <f>IF(D241="","",VLOOKUP(D241,'G-6 Hedgerow Data'!$B$2:$AG$15,3,FALSE))</f>
        <v/>
      </c>
      <c r="H241" s="145"/>
      <c r="I241" s="499" t="str">
        <f>IFERROR(IF(AND(F241="V.Low",OR(H241="Good",H241="Moderate")),"Error ▲",VLOOKUP(H241,'G-1 All Habitats'!$Z$2:$AA$9,2,FALSE)),"")</f>
        <v/>
      </c>
      <c r="J241" s="154"/>
      <c r="K241" s="520" t="str">
        <f>IF(J241="","",IF(VLOOKUP(J241,'G-3 Multipliers'!$L$3:$N$6,2,FALSE)=0,"Spatial Data Missing ⚠",VLOOKUP(J241,'G-3 Multipliers'!$L$3:$N$6,2,FALSE)))</f>
        <v/>
      </c>
      <c r="L241" s="524" t="str">
        <f>IF(J241="","",IF(VLOOKUP(J241,'G-3 Multipliers'!$L$3:$N$6,3,FALSE)=0,"Spatial Data Missing ⚠",VLOOKUP(J241,'G-3 Multipliers'!$L$3:$N$6,3,FALSE)))</f>
        <v/>
      </c>
      <c r="M241" s="506" t="str">
        <f>IF(D241="","",VLOOKUP(D241,'G-6 Hedgerow Data'!$B$1:$AH$15,33,FALSE))</f>
        <v/>
      </c>
      <c r="N241" s="513" t="str">
        <f t="shared" si="23"/>
        <v/>
      </c>
      <c r="O241" s="40"/>
      <c r="P241" s="145"/>
      <c r="Q241" s="157"/>
      <c r="R241" s="507" t="str">
        <f t="shared" si="24"/>
        <v/>
      </c>
      <c r="S241" s="507" t="str">
        <f t="shared" si="25"/>
        <v/>
      </c>
      <c r="T241" s="511" t="str">
        <f t="shared" si="26"/>
        <v/>
      </c>
      <c r="U241" s="515" t="str">
        <f t="shared" si="27"/>
        <v/>
      </c>
      <c r="V241" s="151"/>
      <c r="W241" s="152"/>
      <c r="AB241" s="31" t="str">
        <f>IFERROR(INDEX('G-6 Hedgerow Data'!$BJ$3:$BJ$15,MATCH(D241,'G-6 Hedgerow Data'!$B$3:$B$15,0)),"")</f>
        <v/>
      </c>
      <c r="AE241" s="156" t="str">
        <f t="shared" si="21"/>
        <v/>
      </c>
      <c r="AF241" s="156" t="str">
        <f t="shared" si="22"/>
        <v/>
      </c>
      <c r="AH241" s="156">
        <v>232</v>
      </c>
      <c r="AJ241" s="156" t="str">
        <f t="array" ref="AJ241">IFERROR(INDEX($AH$10:$AH$258, MATCH(0, IF(TRUE=$AE$10:$AE$258, COUNTIF($AJ$9:$AJ240, $AH$10:$AH$258), ""), 0)),"")</f>
        <v/>
      </c>
      <c r="AK241" s="156" t="str">
        <f t="array" ref="AK241">IFERROR(INDEX($AH$10:$AH$258, MATCH(0, IF(TRUE=$AF$10:$AF$258, COUNTIF($AK$9:$AK240, $AH$10:$AH$258), ""), 0)),"")</f>
        <v/>
      </c>
    </row>
    <row r="242" spans="2:37" ht="14" x14ac:dyDescent="0.3">
      <c r="B242" s="141">
        <v>233</v>
      </c>
      <c r="C242" s="203"/>
      <c r="D242" s="203"/>
      <c r="E242" s="153"/>
      <c r="F242" s="498" t="str">
        <f>IF(D242="","",VLOOKUP(D242,'G-6 Hedgerow Data'!$B$2:$AG$15,2,FALSE))</f>
        <v/>
      </c>
      <c r="G242" s="499" t="str">
        <f>IF(D242="","",VLOOKUP(D242,'G-6 Hedgerow Data'!$B$2:$AG$15,3,FALSE))</f>
        <v/>
      </c>
      <c r="H242" s="145"/>
      <c r="I242" s="499" t="str">
        <f>IFERROR(IF(AND(F242="V.Low",OR(H242="Good",H242="Moderate")),"Error ▲",VLOOKUP(H242,'G-1 All Habitats'!$Z$2:$AA$9,2,FALSE)),"")</f>
        <v/>
      </c>
      <c r="J242" s="154"/>
      <c r="K242" s="520" t="str">
        <f>IF(J242="","",IF(VLOOKUP(J242,'G-3 Multipliers'!$L$3:$N$6,2,FALSE)=0,"Spatial Data Missing ⚠",VLOOKUP(J242,'G-3 Multipliers'!$L$3:$N$6,2,FALSE)))</f>
        <v/>
      </c>
      <c r="L242" s="524" t="str">
        <f>IF(J242="","",IF(VLOOKUP(J242,'G-3 Multipliers'!$L$3:$N$6,3,FALSE)=0,"Spatial Data Missing ⚠",VLOOKUP(J242,'G-3 Multipliers'!$L$3:$N$6,3,FALSE)))</f>
        <v/>
      </c>
      <c r="M242" s="506" t="str">
        <f>IF(D242="","",VLOOKUP(D242,'G-6 Hedgerow Data'!$B$1:$AH$15,33,FALSE))</f>
        <v/>
      </c>
      <c r="N242" s="513" t="str">
        <f t="shared" si="23"/>
        <v/>
      </c>
      <c r="O242" s="40"/>
      <c r="P242" s="145"/>
      <c r="Q242" s="157"/>
      <c r="R242" s="507" t="str">
        <f t="shared" si="24"/>
        <v/>
      </c>
      <c r="S242" s="507" t="str">
        <f t="shared" si="25"/>
        <v/>
      </c>
      <c r="T242" s="511" t="str">
        <f t="shared" si="26"/>
        <v/>
      </c>
      <c r="U242" s="515" t="str">
        <f t="shared" si="27"/>
        <v/>
      </c>
      <c r="V242" s="151"/>
      <c r="W242" s="152"/>
      <c r="AB242" s="31" t="str">
        <f>IFERROR(INDEX('G-6 Hedgerow Data'!$BJ$3:$BJ$15,MATCH(D242,'G-6 Hedgerow Data'!$B$3:$B$15,0)),"")</f>
        <v/>
      </c>
      <c r="AE242" s="156" t="str">
        <f t="shared" si="21"/>
        <v/>
      </c>
      <c r="AF242" s="156" t="str">
        <f t="shared" si="22"/>
        <v/>
      </c>
      <c r="AH242" s="156">
        <v>233</v>
      </c>
      <c r="AJ242" s="156" t="str">
        <f t="array" ref="AJ242">IFERROR(INDEX($AH$10:$AH$258, MATCH(0, IF(TRUE=$AE$10:$AE$258, COUNTIF($AJ$9:$AJ241, $AH$10:$AH$258), ""), 0)),"")</f>
        <v/>
      </c>
      <c r="AK242" s="156" t="str">
        <f t="array" ref="AK242">IFERROR(INDEX($AH$10:$AH$258, MATCH(0, IF(TRUE=$AF$10:$AF$258, COUNTIF($AK$9:$AK241, $AH$10:$AH$258), ""), 0)),"")</f>
        <v/>
      </c>
    </row>
    <row r="243" spans="2:37" ht="14" x14ac:dyDescent="0.3">
      <c r="B243" s="141">
        <v>234</v>
      </c>
      <c r="C243" s="203"/>
      <c r="D243" s="203"/>
      <c r="E243" s="153"/>
      <c r="F243" s="498" t="str">
        <f>IF(D243="","",VLOOKUP(D243,'G-6 Hedgerow Data'!$B$2:$AG$15,2,FALSE))</f>
        <v/>
      </c>
      <c r="G243" s="499" t="str">
        <f>IF(D243="","",VLOOKUP(D243,'G-6 Hedgerow Data'!$B$2:$AG$15,3,FALSE))</f>
        <v/>
      </c>
      <c r="H243" s="145"/>
      <c r="I243" s="499" t="str">
        <f>IFERROR(IF(AND(F243="V.Low",OR(H243="Good",H243="Moderate")),"Error ▲",VLOOKUP(H243,'G-1 All Habitats'!$Z$2:$AA$9,2,FALSE)),"")</f>
        <v/>
      </c>
      <c r="J243" s="154"/>
      <c r="K243" s="520" t="str">
        <f>IF(J243="","",IF(VLOOKUP(J243,'G-3 Multipliers'!$L$3:$N$6,2,FALSE)=0,"Spatial Data Missing ⚠",VLOOKUP(J243,'G-3 Multipliers'!$L$3:$N$6,2,FALSE)))</f>
        <v/>
      </c>
      <c r="L243" s="524" t="str">
        <f>IF(J243="","",IF(VLOOKUP(J243,'G-3 Multipliers'!$L$3:$N$6,3,FALSE)=0,"Spatial Data Missing ⚠",VLOOKUP(J243,'G-3 Multipliers'!$L$3:$N$6,3,FALSE)))</f>
        <v/>
      </c>
      <c r="M243" s="506" t="str">
        <f>IF(D243="","",VLOOKUP(D243,'G-6 Hedgerow Data'!$B$1:$AH$15,33,FALSE))</f>
        <v/>
      </c>
      <c r="N243" s="513" t="str">
        <f t="shared" si="23"/>
        <v/>
      </c>
      <c r="O243" s="40"/>
      <c r="P243" s="145"/>
      <c r="Q243" s="157"/>
      <c r="R243" s="507" t="str">
        <f t="shared" si="24"/>
        <v/>
      </c>
      <c r="S243" s="507" t="str">
        <f t="shared" si="25"/>
        <v/>
      </c>
      <c r="T243" s="511" t="str">
        <f t="shared" si="26"/>
        <v/>
      </c>
      <c r="U243" s="515" t="str">
        <f t="shared" si="27"/>
        <v/>
      </c>
      <c r="V243" s="151"/>
      <c r="W243" s="152"/>
      <c r="AB243" s="31" t="str">
        <f>IFERROR(INDEX('G-6 Hedgerow Data'!$BJ$3:$BJ$15,MATCH(D243,'G-6 Hedgerow Data'!$B$3:$B$15,0)),"")</f>
        <v/>
      </c>
      <c r="AE243" s="156" t="str">
        <f t="shared" si="21"/>
        <v/>
      </c>
      <c r="AF243" s="156" t="str">
        <f t="shared" si="22"/>
        <v/>
      </c>
      <c r="AH243" s="156">
        <v>234</v>
      </c>
      <c r="AJ243" s="156" t="str">
        <f t="array" ref="AJ243">IFERROR(INDEX($AH$10:$AH$258, MATCH(0, IF(TRUE=$AE$10:$AE$258, COUNTIF($AJ$9:$AJ242, $AH$10:$AH$258), ""), 0)),"")</f>
        <v/>
      </c>
      <c r="AK243" s="156" t="str">
        <f t="array" ref="AK243">IFERROR(INDEX($AH$10:$AH$258, MATCH(0, IF(TRUE=$AF$10:$AF$258, COUNTIF($AK$9:$AK242, $AH$10:$AH$258), ""), 0)),"")</f>
        <v/>
      </c>
    </row>
    <row r="244" spans="2:37" ht="14" x14ac:dyDescent="0.3">
      <c r="B244" s="141">
        <v>235</v>
      </c>
      <c r="C244" s="203"/>
      <c r="D244" s="203"/>
      <c r="E244" s="153"/>
      <c r="F244" s="498" t="str">
        <f>IF(D244="","",VLOOKUP(D244,'G-6 Hedgerow Data'!$B$2:$AG$15,2,FALSE))</f>
        <v/>
      </c>
      <c r="G244" s="499" t="str">
        <f>IF(D244="","",VLOOKUP(D244,'G-6 Hedgerow Data'!$B$2:$AG$15,3,FALSE))</f>
        <v/>
      </c>
      <c r="H244" s="145"/>
      <c r="I244" s="499" t="str">
        <f>IFERROR(IF(AND(F244="V.Low",OR(H244="Good",H244="Moderate")),"Error ▲",VLOOKUP(H244,'G-1 All Habitats'!$Z$2:$AA$9,2,FALSE)),"")</f>
        <v/>
      </c>
      <c r="J244" s="154"/>
      <c r="K244" s="520" t="str">
        <f>IF(J244="","",IF(VLOOKUP(J244,'G-3 Multipliers'!$L$3:$N$6,2,FALSE)=0,"Spatial Data Missing ⚠",VLOOKUP(J244,'G-3 Multipliers'!$L$3:$N$6,2,FALSE)))</f>
        <v/>
      </c>
      <c r="L244" s="524" t="str">
        <f>IF(J244="","",IF(VLOOKUP(J244,'G-3 Multipliers'!$L$3:$N$6,3,FALSE)=0,"Spatial Data Missing ⚠",VLOOKUP(J244,'G-3 Multipliers'!$L$3:$N$6,3,FALSE)))</f>
        <v/>
      </c>
      <c r="M244" s="506" t="str">
        <f>IF(D244="","",VLOOKUP(D244,'G-6 Hedgerow Data'!$B$1:$AH$15,33,FALSE))</f>
        <v/>
      </c>
      <c r="N244" s="513" t="str">
        <f t="shared" si="23"/>
        <v/>
      </c>
      <c r="O244" s="40"/>
      <c r="P244" s="145"/>
      <c r="Q244" s="157"/>
      <c r="R244" s="507" t="str">
        <f t="shared" si="24"/>
        <v/>
      </c>
      <c r="S244" s="507" t="str">
        <f t="shared" si="25"/>
        <v/>
      </c>
      <c r="T244" s="511" t="str">
        <f t="shared" si="26"/>
        <v/>
      </c>
      <c r="U244" s="515" t="str">
        <f t="shared" si="27"/>
        <v/>
      </c>
      <c r="V244" s="151"/>
      <c r="W244" s="152"/>
      <c r="AB244" s="31" t="str">
        <f>IFERROR(INDEX('G-6 Hedgerow Data'!$BJ$3:$BJ$15,MATCH(D244,'G-6 Hedgerow Data'!$B$3:$B$15,0)),"")</f>
        <v/>
      </c>
      <c r="AE244" s="156" t="str">
        <f t="shared" si="21"/>
        <v/>
      </c>
      <c r="AF244" s="156" t="str">
        <f t="shared" si="22"/>
        <v/>
      </c>
      <c r="AH244" s="156">
        <v>235</v>
      </c>
      <c r="AJ244" s="156" t="str">
        <f t="array" ref="AJ244">IFERROR(INDEX($AH$10:$AH$258, MATCH(0, IF(TRUE=$AE$10:$AE$258, COUNTIF($AJ$9:$AJ243, $AH$10:$AH$258), ""), 0)),"")</f>
        <v/>
      </c>
      <c r="AK244" s="156" t="str">
        <f t="array" ref="AK244">IFERROR(INDEX($AH$10:$AH$258, MATCH(0, IF(TRUE=$AF$10:$AF$258, COUNTIF($AK$9:$AK243, $AH$10:$AH$258), ""), 0)),"")</f>
        <v/>
      </c>
    </row>
    <row r="245" spans="2:37" ht="14" x14ac:dyDescent="0.3">
      <c r="B245" s="141">
        <v>236</v>
      </c>
      <c r="C245" s="203"/>
      <c r="D245" s="203"/>
      <c r="E245" s="153"/>
      <c r="F245" s="498" t="str">
        <f>IF(D245="","",VLOOKUP(D245,'G-6 Hedgerow Data'!$B$2:$AG$15,2,FALSE))</f>
        <v/>
      </c>
      <c r="G245" s="499" t="str">
        <f>IF(D245="","",VLOOKUP(D245,'G-6 Hedgerow Data'!$B$2:$AG$15,3,FALSE))</f>
        <v/>
      </c>
      <c r="H245" s="145"/>
      <c r="I245" s="499" t="str">
        <f>IFERROR(IF(AND(F245="V.Low",OR(H245="Good",H245="Moderate")),"Error ▲",VLOOKUP(H245,'G-1 All Habitats'!$Z$2:$AA$9,2,FALSE)),"")</f>
        <v/>
      </c>
      <c r="J245" s="154"/>
      <c r="K245" s="520" t="str">
        <f>IF(J245="","",IF(VLOOKUP(J245,'G-3 Multipliers'!$L$3:$N$6,2,FALSE)=0,"Spatial Data Missing ⚠",VLOOKUP(J245,'G-3 Multipliers'!$L$3:$N$6,2,FALSE)))</f>
        <v/>
      </c>
      <c r="L245" s="524" t="str">
        <f>IF(J245="","",IF(VLOOKUP(J245,'G-3 Multipliers'!$L$3:$N$6,3,FALSE)=0,"Spatial Data Missing ⚠",VLOOKUP(J245,'G-3 Multipliers'!$L$3:$N$6,3,FALSE)))</f>
        <v/>
      </c>
      <c r="M245" s="506" t="str">
        <f>IF(D245="","",VLOOKUP(D245,'G-6 Hedgerow Data'!$B$1:$AH$15,33,FALSE))</f>
        <v/>
      </c>
      <c r="N245" s="513" t="str">
        <f t="shared" si="23"/>
        <v/>
      </c>
      <c r="O245" s="40"/>
      <c r="P245" s="145"/>
      <c r="Q245" s="157"/>
      <c r="R245" s="507" t="str">
        <f t="shared" si="24"/>
        <v/>
      </c>
      <c r="S245" s="507" t="str">
        <f t="shared" si="25"/>
        <v/>
      </c>
      <c r="T245" s="511" t="str">
        <f t="shared" si="26"/>
        <v/>
      </c>
      <c r="U245" s="515" t="str">
        <f t="shared" si="27"/>
        <v/>
      </c>
      <c r="V245" s="151"/>
      <c r="W245" s="152"/>
      <c r="AB245" s="31" t="str">
        <f>IFERROR(INDEX('G-6 Hedgerow Data'!$BJ$3:$BJ$15,MATCH(D245,'G-6 Hedgerow Data'!$B$3:$B$15,0)),"")</f>
        <v/>
      </c>
      <c r="AE245" s="156" t="str">
        <f t="shared" si="21"/>
        <v/>
      </c>
      <c r="AF245" s="156" t="str">
        <f t="shared" si="22"/>
        <v/>
      </c>
      <c r="AH245" s="156">
        <v>236</v>
      </c>
      <c r="AJ245" s="156" t="str">
        <f t="array" ref="AJ245">IFERROR(INDEX($AH$10:$AH$258, MATCH(0, IF(TRUE=$AE$10:$AE$258, COUNTIF($AJ$9:$AJ244, $AH$10:$AH$258), ""), 0)),"")</f>
        <v/>
      </c>
      <c r="AK245" s="156" t="str">
        <f t="array" ref="AK245">IFERROR(INDEX($AH$10:$AH$258, MATCH(0, IF(TRUE=$AF$10:$AF$258, COUNTIF($AK$9:$AK244, $AH$10:$AH$258), ""), 0)),"")</f>
        <v/>
      </c>
    </row>
    <row r="246" spans="2:37" ht="14" x14ac:dyDescent="0.3">
      <c r="B246" s="141">
        <v>237</v>
      </c>
      <c r="C246" s="203"/>
      <c r="D246" s="203"/>
      <c r="E246" s="153"/>
      <c r="F246" s="498" t="str">
        <f>IF(D246="","",VLOOKUP(D246,'G-6 Hedgerow Data'!$B$2:$AG$15,2,FALSE))</f>
        <v/>
      </c>
      <c r="G246" s="499" t="str">
        <f>IF(D246="","",VLOOKUP(D246,'G-6 Hedgerow Data'!$B$2:$AG$15,3,FALSE))</f>
        <v/>
      </c>
      <c r="H246" s="145"/>
      <c r="I246" s="499" t="str">
        <f>IFERROR(IF(AND(F246="V.Low",OR(H246="Good",H246="Moderate")),"Error ▲",VLOOKUP(H246,'G-1 All Habitats'!$Z$2:$AA$9,2,FALSE)),"")</f>
        <v/>
      </c>
      <c r="J246" s="154"/>
      <c r="K246" s="520" t="str">
        <f>IF(J246="","",IF(VLOOKUP(J246,'G-3 Multipliers'!$L$3:$N$6,2,FALSE)=0,"Spatial Data Missing ⚠",VLOOKUP(J246,'G-3 Multipliers'!$L$3:$N$6,2,FALSE)))</f>
        <v/>
      </c>
      <c r="L246" s="524" t="str">
        <f>IF(J246="","",IF(VLOOKUP(J246,'G-3 Multipliers'!$L$3:$N$6,3,FALSE)=0,"Spatial Data Missing ⚠",VLOOKUP(J246,'G-3 Multipliers'!$L$3:$N$6,3,FALSE)))</f>
        <v/>
      </c>
      <c r="M246" s="506" t="str">
        <f>IF(D246="","",VLOOKUP(D246,'G-6 Hedgerow Data'!$B$1:$AH$15,33,FALSE))</f>
        <v/>
      </c>
      <c r="N246" s="513" t="str">
        <f t="shared" si="23"/>
        <v/>
      </c>
      <c r="O246" s="40"/>
      <c r="P246" s="145"/>
      <c r="Q246" s="157"/>
      <c r="R246" s="507" t="str">
        <f t="shared" si="24"/>
        <v/>
      </c>
      <c r="S246" s="507" t="str">
        <f t="shared" si="25"/>
        <v/>
      </c>
      <c r="T246" s="511" t="str">
        <f t="shared" si="26"/>
        <v/>
      </c>
      <c r="U246" s="515" t="str">
        <f t="shared" si="27"/>
        <v/>
      </c>
      <c r="V246" s="151"/>
      <c r="W246" s="152"/>
      <c r="AB246" s="31" t="str">
        <f>IFERROR(INDEX('G-6 Hedgerow Data'!$BJ$3:$BJ$15,MATCH(D246,'G-6 Hedgerow Data'!$B$3:$B$15,0)),"")</f>
        <v/>
      </c>
      <c r="AE246" s="156" t="str">
        <f t="shared" si="21"/>
        <v/>
      </c>
      <c r="AF246" s="156" t="str">
        <f t="shared" si="22"/>
        <v/>
      </c>
      <c r="AH246" s="156">
        <v>237</v>
      </c>
      <c r="AJ246" s="156" t="str">
        <f t="array" ref="AJ246">IFERROR(INDEX($AH$10:$AH$258, MATCH(0, IF(TRUE=$AE$10:$AE$258, COUNTIF($AJ$9:$AJ245, $AH$10:$AH$258), ""), 0)),"")</f>
        <v/>
      </c>
      <c r="AK246" s="156" t="str">
        <f t="array" ref="AK246">IFERROR(INDEX($AH$10:$AH$258, MATCH(0, IF(TRUE=$AF$10:$AF$258, COUNTIF($AK$9:$AK245, $AH$10:$AH$258), ""), 0)),"")</f>
        <v/>
      </c>
    </row>
    <row r="247" spans="2:37" ht="14" x14ac:dyDescent="0.3">
      <c r="B247" s="141">
        <v>238</v>
      </c>
      <c r="C247" s="203"/>
      <c r="D247" s="203"/>
      <c r="E247" s="153"/>
      <c r="F247" s="498" t="str">
        <f>IF(D247="","",VLOOKUP(D247,'G-6 Hedgerow Data'!$B$2:$AG$15,2,FALSE))</f>
        <v/>
      </c>
      <c r="G247" s="499" t="str">
        <f>IF(D247="","",VLOOKUP(D247,'G-6 Hedgerow Data'!$B$2:$AG$15,3,FALSE))</f>
        <v/>
      </c>
      <c r="H247" s="145"/>
      <c r="I247" s="499" t="str">
        <f>IFERROR(IF(AND(F247="V.Low",OR(H247="Good",H247="Moderate")),"Error ▲",VLOOKUP(H247,'G-1 All Habitats'!$Z$2:$AA$9,2,FALSE)),"")</f>
        <v/>
      </c>
      <c r="J247" s="154"/>
      <c r="K247" s="520" t="str">
        <f>IF(J247="","",IF(VLOOKUP(J247,'G-3 Multipliers'!$L$3:$N$6,2,FALSE)=0,"Spatial Data Missing ⚠",VLOOKUP(J247,'G-3 Multipliers'!$L$3:$N$6,2,FALSE)))</f>
        <v/>
      </c>
      <c r="L247" s="524" t="str">
        <f>IF(J247="","",IF(VLOOKUP(J247,'G-3 Multipliers'!$L$3:$N$6,3,FALSE)=0,"Spatial Data Missing ⚠",VLOOKUP(J247,'G-3 Multipliers'!$L$3:$N$6,3,FALSE)))</f>
        <v/>
      </c>
      <c r="M247" s="506" t="str">
        <f>IF(D247="","",VLOOKUP(D247,'G-6 Hedgerow Data'!$B$1:$AH$15,33,FALSE))</f>
        <v/>
      </c>
      <c r="N247" s="513" t="str">
        <f t="shared" si="23"/>
        <v/>
      </c>
      <c r="O247" s="40"/>
      <c r="P247" s="145"/>
      <c r="Q247" s="157"/>
      <c r="R247" s="507" t="str">
        <f t="shared" si="24"/>
        <v/>
      </c>
      <c r="S247" s="507" t="str">
        <f t="shared" si="25"/>
        <v/>
      </c>
      <c r="T247" s="511" t="str">
        <f t="shared" si="26"/>
        <v/>
      </c>
      <c r="U247" s="515" t="str">
        <f t="shared" si="27"/>
        <v/>
      </c>
      <c r="V247" s="151"/>
      <c r="W247" s="152"/>
      <c r="AB247" s="31" t="str">
        <f>IFERROR(INDEX('G-6 Hedgerow Data'!$BJ$3:$BJ$15,MATCH(D247,'G-6 Hedgerow Data'!$B$3:$B$15,0)),"")</f>
        <v/>
      </c>
      <c r="AE247" s="156" t="str">
        <f t="shared" si="21"/>
        <v/>
      </c>
      <c r="AF247" s="156" t="str">
        <f t="shared" si="22"/>
        <v/>
      </c>
      <c r="AH247" s="156">
        <v>238</v>
      </c>
      <c r="AJ247" s="156" t="str">
        <f t="array" ref="AJ247">IFERROR(INDEX($AH$10:$AH$258, MATCH(0, IF(TRUE=$AE$10:$AE$258, COUNTIF($AJ$9:$AJ246, $AH$10:$AH$258), ""), 0)),"")</f>
        <v/>
      </c>
      <c r="AK247" s="156" t="str">
        <f t="array" ref="AK247">IFERROR(INDEX($AH$10:$AH$258, MATCH(0, IF(TRUE=$AF$10:$AF$258, COUNTIF($AK$9:$AK246, $AH$10:$AH$258), ""), 0)),"")</f>
        <v/>
      </c>
    </row>
    <row r="248" spans="2:37" ht="14" x14ac:dyDescent="0.3">
      <c r="B248" s="141">
        <v>239</v>
      </c>
      <c r="C248" s="203"/>
      <c r="D248" s="203"/>
      <c r="E248" s="153"/>
      <c r="F248" s="498" t="str">
        <f>IF(D248="","",VLOOKUP(D248,'G-6 Hedgerow Data'!$B$2:$AG$15,2,FALSE))</f>
        <v/>
      </c>
      <c r="G248" s="499" t="str">
        <f>IF(D248="","",VLOOKUP(D248,'G-6 Hedgerow Data'!$B$2:$AG$15,3,FALSE))</f>
        <v/>
      </c>
      <c r="H248" s="145"/>
      <c r="I248" s="499" t="str">
        <f>IFERROR(IF(AND(F248="V.Low",OR(H248="Good",H248="Moderate")),"Error ▲",VLOOKUP(H248,'G-1 All Habitats'!$Z$2:$AA$9,2,FALSE)),"")</f>
        <v/>
      </c>
      <c r="J248" s="154"/>
      <c r="K248" s="520" t="str">
        <f>IF(J248="","",IF(VLOOKUP(J248,'G-3 Multipliers'!$L$3:$N$6,2,FALSE)=0,"Spatial Data Missing ⚠",VLOOKUP(J248,'G-3 Multipliers'!$L$3:$N$6,2,FALSE)))</f>
        <v/>
      </c>
      <c r="L248" s="524" t="str">
        <f>IF(J248="","",IF(VLOOKUP(J248,'G-3 Multipliers'!$L$3:$N$6,3,FALSE)=0,"Spatial Data Missing ⚠",VLOOKUP(J248,'G-3 Multipliers'!$L$3:$N$6,3,FALSE)))</f>
        <v/>
      </c>
      <c r="M248" s="506" t="str">
        <f>IF(D248="","",VLOOKUP(D248,'G-6 Hedgerow Data'!$B$1:$AH$15,33,FALSE))</f>
        <v/>
      </c>
      <c r="N248" s="513" t="str">
        <f t="shared" si="23"/>
        <v/>
      </c>
      <c r="O248" s="40"/>
      <c r="P248" s="145"/>
      <c r="Q248" s="157"/>
      <c r="R248" s="507" t="str">
        <f t="shared" si="24"/>
        <v/>
      </c>
      <c r="S248" s="507" t="str">
        <f t="shared" si="25"/>
        <v/>
      </c>
      <c r="T248" s="511" t="str">
        <f t="shared" si="26"/>
        <v/>
      </c>
      <c r="U248" s="515" t="str">
        <f t="shared" si="27"/>
        <v/>
      </c>
      <c r="V248" s="151"/>
      <c r="W248" s="152"/>
      <c r="AB248" s="31" t="str">
        <f>IFERROR(INDEX('G-6 Hedgerow Data'!$BJ$3:$BJ$15,MATCH(D248,'G-6 Hedgerow Data'!$B$3:$B$15,0)),"")</f>
        <v/>
      </c>
      <c r="AE248" s="156" t="str">
        <f t="shared" si="21"/>
        <v/>
      </c>
      <c r="AF248" s="156" t="str">
        <f t="shared" si="22"/>
        <v/>
      </c>
      <c r="AH248" s="156">
        <v>239</v>
      </c>
      <c r="AJ248" s="156" t="str">
        <f t="array" ref="AJ248">IFERROR(INDEX($AH$10:$AH$258, MATCH(0, IF(TRUE=$AE$10:$AE$258, COUNTIF($AJ$9:$AJ247, $AH$10:$AH$258), ""), 0)),"")</f>
        <v/>
      </c>
      <c r="AK248" s="156" t="str">
        <f t="array" ref="AK248">IFERROR(INDEX($AH$10:$AH$258, MATCH(0, IF(TRUE=$AF$10:$AF$258, COUNTIF($AK$9:$AK247, $AH$10:$AH$258), ""), 0)),"")</f>
        <v/>
      </c>
    </row>
    <row r="249" spans="2:37" ht="14" x14ac:dyDescent="0.3">
      <c r="B249" s="141">
        <v>240</v>
      </c>
      <c r="C249" s="203"/>
      <c r="D249" s="203"/>
      <c r="E249" s="153"/>
      <c r="F249" s="498" t="str">
        <f>IF(D249="","",VLOOKUP(D249,'G-6 Hedgerow Data'!$B$2:$AG$15,2,FALSE))</f>
        <v/>
      </c>
      <c r="G249" s="499" t="str">
        <f>IF(D249="","",VLOOKUP(D249,'G-6 Hedgerow Data'!$B$2:$AG$15,3,FALSE))</f>
        <v/>
      </c>
      <c r="H249" s="145"/>
      <c r="I249" s="499" t="str">
        <f>IFERROR(IF(AND(F249="V.Low",OR(H249="Good",H249="Moderate")),"Error ▲",VLOOKUP(H249,'G-1 All Habitats'!$Z$2:$AA$9,2,FALSE)),"")</f>
        <v/>
      </c>
      <c r="J249" s="154"/>
      <c r="K249" s="520" t="str">
        <f>IF(J249="","",IF(VLOOKUP(J249,'G-3 Multipliers'!$L$3:$N$6,2,FALSE)=0,"Spatial Data Missing ⚠",VLOOKUP(J249,'G-3 Multipliers'!$L$3:$N$6,2,FALSE)))</f>
        <v/>
      </c>
      <c r="L249" s="524" t="str">
        <f>IF(J249="","",IF(VLOOKUP(J249,'G-3 Multipliers'!$L$3:$N$6,3,FALSE)=0,"Spatial Data Missing ⚠",VLOOKUP(J249,'G-3 Multipliers'!$L$3:$N$6,3,FALSE)))</f>
        <v/>
      </c>
      <c r="M249" s="506" t="str">
        <f>IF(D249="","",VLOOKUP(D249,'G-6 Hedgerow Data'!$B$1:$AH$15,33,FALSE))</f>
        <v/>
      </c>
      <c r="N249" s="513" t="str">
        <f t="shared" si="23"/>
        <v/>
      </c>
      <c r="O249" s="40"/>
      <c r="P249" s="145"/>
      <c r="Q249" s="157"/>
      <c r="R249" s="507" t="str">
        <f t="shared" si="24"/>
        <v/>
      </c>
      <c r="S249" s="507" t="str">
        <f t="shared" si="25"/>
        <v/>
      </c>
      <c r="T249" s="511" t="str">
        <f t="shared" si="26"/>
        <v/>
      </c>
      <c r="U249" s="515" t="str">
        <f t="shared" si="27"/>
        <v/>
      </c>
      <c r="V249" s="151"/>
      <c r="W249" s="152"/>
      <c r="AB249" s="31" t="str">
        <f>IFERROR(INDEX('G-6 Hedgerow Data'!$BJ$3:$BJ$15,MATCH(D249,'G-6 Hedgerow Data'!$B$3:$B$15,0)),"")</f>
        <v/>
      </c>
      <c r="AE249" s="156" t="str">
        <f t="shared" si="21"/>
        <v/>
      </c>
      <c r="AF249" s="156" t="str">
        <f t="shared" si="22"/>
        <v/>
      </c>
      <c r="AH249" s="156">
        <v>240</v>
      </c>
      <c r="AJ249" s="156" t="str">
        <f t="array" ref="AJ249">IFERROR(INDEX($AH$10:$AH$258, MATCH(0, IF(TRUE=$AE$10:$AE$258, COUNTIF($AJ$9:$AJ248, $AH$10:$AH$258), ""), 0)),"")</f>
        <v/>
      </c>
      <c r="AK249" s="156" t="str">
        <f t="array" ref="AK249">IFERROR(INDEX($AH$10:$AH$258, MATCH(0, IF(TRUE=$AF$10:$AF$258, COUNTIF($AK$9:$AK248, $AH$10:$AH$258), ""), 0)),"")</f>
        <v/>
      </c>
    </row>
    <row r="250" spans="2:37" ht="14" x14ac:dyDescent="0.3">
      <c r="B250" s="141">
        <v>241</v>
      </c>
      <c r="C250" s="203"/>
      <c r="D250" s="203"/>
      <c r="E250" s="153"/>
      <c r="F250" s="498" t="str">
        <f>IF(D250="","",VLOOKUP(D250,'G-6 Hedgerow Data'!$B$2:$AG$15,2,FALSE))</f>
        <v/>
      </c>
      <c r="G250" s="499" t="str">
        <f>IF(D250="","",VLOOKUP(D250,'G-6 Hedgerow Data'!$B$2:$AG$15,3,FALSE))</f>
        <v/>
      </c>
      <c r="H250" s="145"/>
      <c r="I250" s="499" t="str">
        <f>IFERROR(IF(AND(F250="V.Low",OR(H250="Good",H250="Moderate")),"Error ▲",VLOOKUP(H250,'G-1 All Habitats'!$Z$2:$AA$9,2,FALSE)),"")</f>
        <v/>
      </c>
      <c r="J250" s="154"/>
      <c r="K250" s="520" t="str">
        <f>IF(J250="","",IF(VLOOKUP(J250,'G-3 Multipliers'!$L$3:$N$6,2,FALSE)=0,"Spatial Data Missing ⚠",VLOOKUP(J250,'G-3 Multipliers'!$L$3:$N$6,2,FALSE)))</f>
        <v/>
      </c>
      <c r="L250" s="524" t="str">
        <f>IF(J250="","",IF(VLOOKUP(J250,'G-3 Multipliers'!$L$3:$N$6,3,FALSE)=0,"Spatial Data Missing ⚠",VLOOKUP(J250,'G-3 Multipliers'!$L$3:$N$6,3,FALSE)))</f>
        <v/>
      </c>
      <c r="M250" s="506" t="str">
        <f>IF(D250="","",VLOOKUP(D250,'G-6 Hedgerow Data'!$B$1:$AH$15,33,FALSE))</f>
        <v/>
      </c>
      <c r="N250" s="513" t="str">
        <f t="shared" si="23"/>
        <v/>
      </c>
      <c r="O250" s="40"/>
      <c r="P250" s="145"/>
      <c r="Q250" s="157"/>
      <c r="R250" s="507" t="str">
        <f t="shared" si="24"/>
        <v/>
      </c>
      <c r="S250" s="507" t="str">
        <f t="shared" si="25"/>
        <v/>
      </c>
      <c r="T250" s="511" t="str">
        <f t="shared" si="26"/>
        <v/>
      </c>
      <c r="U250" s="515" t="str">
        <f t="shared" si="27"/>
        <v/>
      </c>
      <c r="V250" s="151"/>
      <c r="W250" s="152"/>
      <c r="AB250" s="31" t="str">
        <f>IFERROR(INDEX('G-6 Hedgerow Data'!$BJ$3:$BJ$15,MATCH(D250,'G-6 Hedgerow Data'!$B$3:$B$15,0)),"")</f>
        <v/>
      </c>
      <c r="AE250" s="156" t="str">
        <f t="shared" si="21"/>
        <v/>
      </c>
      <c r="AF250" s="156" t="str">
        <f t="shared" si="22"/>
        <v/>
      </c>
      <c r="AH250" s="156">
        <v>241</v>
      </c>
      <c r="AJ250" s="156" t="str">
        <f t="array" ref="AJ250">IFERROR(INDEX($AH$10:$AH$258, MATCH(0, IF(TRUE=$AE$10:$AE$258, COUNTIF($AJ$9:$AJ249, $AH$10:$AH$258), ""), 0)),"")</f>
        <v/>
      </c>
      <c r="AK250" s="156" t="str">
        <f t="array" ref="AK250">IFERROR(INDEX($AH$10:$AH$258, MATCH(0, IF(TRUE=$AF$10:$AF$258, COUNTIF($AK$9:$AK249, $AH$10:$AH$258), ""), 0)),"")</f>
        <v/>
      </c>
    </row>
    <row r="251" spans="2:37" ht="14" x14ac:dyDescent="0.3">
      <c r="B251" s="141">
        <v>242</v>
      </c>
      <c r="C251" s="203"/>
      <c r="D251" s="203"/>
      <c r="E251" s="153"/>
      <c r="F251" s="498" t="str">
        <f>IF(D251="","",VLOOKUP(D251,'G-6 Hedgerow Data'!$B$2:$AG$15,2,FALSE))</f>
        <v/>
      </c>
      <c r="G251" s="499" t="str">
        <f>IF(D251="","",VLOOKUP(D251,'G-6 Hedgerow Data'!$B$2:$AG$15,3,FALSE))</f>
        <v/>
      </c>
      <c r="H251" s="145"/>
      <c r="I251" s="499" t="str">
        <f>IFERROR(IF(AND(F251="V.Low",OR(H251="Good",H251="Moderate")),"Error ▲",VLOOKUP(H251,'G-1 All Habitats'!$Z$2:$AA$9,2,FALSE)),"")</f>
        <v/>
      </c>
      <c r="J251" s="154"/>
      <c r="K251" s="520" t="str">
        <f>IF(J251="","",IF(VLOOKUP(J251,'G-3 Multipliers'!$L$3:$N$6,2,FALSE)=0,"Spatial Data Missing ⚠",VLOOKUP(J251,'G-3 Multipliers'!$L$3:$N$6,2,FALSE)))</f>
        <v/>
      </c>
      <c r="L251" s="524" t="str">
        <f>IF(J251="","",IF(VLOOKUP(J251,'G-3 Multipliers'!$L$3:$N$6,3,FALSE)=0,"Spatial Data Missing ⚠",VLOOKUP(J251,'G-3 Multipliers'!$L$3:$N$6,3,FALSE)))</f>
        <v/>
      </c>
      <c r="M251" s="506" t="str">
        <f>IF(D251="","",VLOOKUP(D251,'G-6 Hedgerow Data'!$B$1:$AH$15,33,FALSE))</f>
        <v/>
      </c>
      <c r="N251" s="513" t="str">
        <f t="shared" si="23"/>
        <v/>
      </c>
      <c r="O251" s="40"/>
      <c r="P251" s="145"/>
      <c r="Q251" s="157"/>
      <c r="R251" s="507" t="str">
        <f t="shared" si="24"/>
        <v/>
      </c>
      <c r="S251" s="507" t="str">
        <f t="shared" si="25"/>
        <v/>
      </c>
      <c r="T251" s="511" t="str">
        <f t="shared" si="26"/>
        <v/>
      </c>
      <c r="U251" s="515" t="str">
        <f t="shared" si="27"/>
        <v/>
      </c>
      <c r="V251" s="151"/>
      <c r="W251" s="152"/>
      <c r="AB251" s="31" t="str">
        <f>IFERROR(INDEX('G-6 Hedgerow Data'!$BJ$3:$BJ$15,MATCH(D251,'G-6 Hedgerow Data'!$B$3:$B$15,0)),"")</f>
        <v/>
      </c>
      <c r="AE251" s="156" t="str">
        <f t="shared" si="21"/>
        <v/>
      </c>
      <c r="AF251" s="156" t="str">
        <f t="shared" si="22"/>
        <v/>
      </c>
      <c r="AH251" s="156">
        <v>242</v>
      </c>
      <c r="AJ251" s="156" t="str">
        <f t="array" ref="AJ251">IFERROR(INDEX($AH$10:$AH$258, MATCH(0, IF(TRUE=$AE$10:$AE$258, COUNTIF($AJ$9:$AJ250, $AH$10:$AH$258), ""), 0)),"")</f>
        <v/>
      </c>
      <c r="AK251" s="156" t="str">
        <f t="array" ref="AK251">IFERROR(INDEX($AH$10:$AH$258, MATCH(0, IF(TRUE=$AF$10:$AF$258, COUNTIF($AK$9:$AK250, $AH$10:$AH$258), ""), 0)),"")</f>
        <v/>
      </c>
    </row>
    <row r="252" spans="2:37" ht="14" x14ac:dyDescent="0.3">
      <c r="B252" s="141">
        <v>243</v>
      </c>
      <c r="C252" s="203"/>
      <c r="D252" s="203"/>
      <c r="E252" s="153"/>
      <c r="F252" s="498" t="str">
        <f>IF(D252="","",VLOOKUP(D252,'G-6 Hedgerow Data'!$B$2:$AG$15,2,FALSE))</f>
        <v/>
      </c>
      <c r="G252" s="499" t="str">
        <f>IF(D252="","",VLOOKUP(D252,'G-6 Hedgerow Data'!$B$2:$AG$15,3,FALSE))</f>
        <v/>
      </c>
      <c r="H252" s="145"/>
      <c r="I252" s="499" t="str">
        <f>IFERROR(IF(AND(F252="V.Low",OR(H252="Good",H252="Moderate")),"Error ▲",VLOOKUP(H252,'G-1 All Habitats'!$Z$2:$AA$9,2,FALSE)),"")</f>
        <v/>
      </c>
      <c r="J252" s="154"/>
      <c r="K252" s="520" t="str">
        <f>IF(J252="","",IF(VLOOKUP(J252,'G-3 Multipliers'!$L$3:$N$6,2,FALSE)=0,"Spatial Data Missing ⚠",VLOOKUP(J252,'G-3 Multipliers'!$L$3:$N$6,2,FALSE)))</f>
        <v/>
      </c>
      <c r="L252" s="524" t="str">
        <f>IF(J252="","",IF(VLOOKUP(J252,'G-3 Multipliers'!$L$3:$N$6,3,FALSE)=0,"Spatial Data Missing ⚠",VLOOKUP(J252,'G-3 Multipliers'!$L$3:$N$6,3,FALSE)))</f>
        <v/>
      </c>
      <c r="M252" s="506" t="str">
        <f>IF(D252="","",VLOOKUP(D252,'G-6 Hedgerow Data'!$B$1:$AH$15,33,FALSE))</f>
        <v/>
      </c>
      <c r="N252" s="513" t="str">
        <f t="shared" si="23"/>
        <v/>
      </c>
      <c r="O252" s="40"/>
      <c r="P252" s="145"/>
      <c r="Q252" s="157"/>
      <c r="R252" s="507" t="str">
        <f t="shared" si="24"/>
        <v/>
      </c>
      <c r="S252" s="507" t="str">
        <f t="shared" si="25"/>
        <v/>
      </c>
      <c r="T252" s="511" t="str">
        <f t="shared" si="26"/>
        <v/>
      </c>
      <c r="U252" s="515" t="str">
        <f t="shared" si="27"/>
        <v/>
      </c>
      <c r="V252" s="151"/>
      <c r="W252" s="152"/>
      <c r="AB252" s="31" t="str">
        <f>IFERROR(INDEX('G-6 Hedgerow Data'!$BJ$3:$BJ$15,MATCH(D252,'G-6 Hedgerow Data'!$B$3:$B$15,0)),"")</f>
        <v/>
      </c>
      <c r="AE252" s="156" t="str">
        <f t="shared" si="21"/>
        <v/>
      </c>
      <c r="AF252" s="156" t="str">
        <f t="shared" si="22"/>
        <v/>
      </c>
      <c r="AH252" s="156">
        <v>243</v>
      </c>
      <c r="AJ252" s="156" t="str">
        <f t="array" ref="AJ252">IFERROR(INDEX($AH$10:$AH$258, MATCH(0, IF(TRUE=$AE$10:$AE$258, COUNTIF($AJ$9:$AJ251, $AH$10:$AH$258), ""), 0)),"")</f>
        <v/>
      </c>
      <c r="AK252" s="156" t="str">
        <f t="array" ref="AK252">IFERROR(INDEX($AH$10:$AH$258, MATCH(0, IF(TRUE=$AF$10:$AF$258, COUNTIF($AK$9:$AK251, $AH$10:$AH$258), ""), 0)),"")</f>
        <v/>
      </c>
    </row>
    <row r="253" spans="2:37" ht="14" x14ac:dyDescent="0.3">
      <c r="B253" s="141">
        <v>244</v>
      </c>
      <c r="C253" s="203"/>
      <c r="D253" s="203"/>
      <c r="E253" s="153"/>
      <c r="F253" s="498" t="str">
        <f>IF(D253="","",VLOOKUP(D253,'G-6 Hedgerow Data'!$B$2:$AG$15,2,FALSE))</f>
        <v/>
      </c>
      <c r="G253" s="499" t="str">
        <f>IF(D253="","",VLOOKUP(D253,'G-6 Hedgerow Data'!$B$2:$AG$15,3,FALSE))</f>
        <v/>
      </c>
      <c r="H253" s="145"/>
      <c r="I253" s="499" t="str">
        <f>IFERROR(IF(AND(F253="V.Low",OR(H253="Good",H253="Moderate")),"Error ▲",VLOOKUP(H253,'G-1 All Habitats'!$Z$2:$AA$9,2,FALSE)),"")</f>
        <v/>
      </c>
      <c r="J253" s="154"/>
      <c r="K253" s="520" t="str">
        <f>IF(J253="","",IF(VLOOKUP(J253,'G-3 Multipliers'!$L$3:$N$6,2,FALSE)=0,"Spatial Data Missing ⚠",VLOOKUP(J253,'G-3 Multipliers'!$L$3:$N$6,2,FALSE)))</f>
        <v/>
      </c>
      <c r="L253" s="524" t="str">
        <f>IF(J253="","",IF(VLOOKUP(J253,'G-3 Multipliers'!$L$3:$N$6,3,FALSE)=0,"Spatial Data Missing ⚠",VLOOKUP(J253,'G-3 Multipliers'!$L$3:$N$6,3,FALSE)))</f>
        <v/>
      </c>
      <c r="M253" s="506" t="str">
        <f>IF(D253="","",VLOOKUP(D253,'G-6 Hedgerow Data'!$B$1:$AH$15,33,FALSE))</f>
        <v/>
      </c>
      <c r="N253" s="513" t="str">
        <f t="shared" si="23"/>
        <v/>
      </c>
      <c r="O253" s="40"/>
      <c r="P253" s="145"/>
      <c r="Q253" s="157"/>
      <c r="R253" s="507" t="str">
        <f t="shared" si="24"/>
        <v/>
      </c>
      <c r="S253" s="507" t="str">
        <f t="shared" si="25"/>
        <v/>
      </c>
      <c r="T253" s="511" t="str">
        <f t="shared" si="26"/>
        <v/>
      </c>
      <c r="U253" s="515" t="str">
        <f t="shared" si="27"/>
        <v/>
      </c>
      <c r="V253" s="151"/>
      <c r="W253" s="152"/>
      <c r="AB253" s="31" t="str">
        <f>IFERROR(INDEX('G-6 Hedgerow Data'!$BJ$3:$BJ$15,MATCH(D253,'G-6 Hedgerow Data'!$B$3:$B$15,0)),"")</f>
        <v/>
      </c>
      <c r="AE253" s="156" t="str">
        <f t="shared" si="21"/>
        <v/>
      </c>
      <c r="AF253" s="156" t="str">
        <f t="shared" si="22"/>
        <v/>
      </c>
      <c r="AH253" s="156">
        <v>244</v>
      </c>
      <c r="AJ253" s="156" t="str">
        <f t="array" ref="AJ253">IFERROR(INDEX($AH$10:$AH$258, MATCH(0, IF(TRUE=$AE$10:$AE$258, COUNTIF($AJ$9:$AJ252, $AH$10:$AH$258), ""), 0)),"")</f>
        <v/>
      </c>
      <c r="AK253" s="156" t="str">
        <f t="array" ref="AK253">IFERROR(INDEX($AH$10:$AH$258, MATCH(0, IF(TRUE=$AF$10:$AF$258, COUNTIF($AK$9:$AK252, $AH$10:$AH$258), ""), 0)),"")</f>
        <v/>
      </c>
    </row>
    <row r="254" spans="2:37" ht="14" x14ac:dyDescent="0.3">
      <c r="B254" s="141">
        <v>245</v>
      </c>
      <c r="C254" s="203"/>
      <c r="D254" s="203"/>
      <c r="E254" s="153"/>
      <c r="F254" s="498" t="str">
        <f>IF(D254="","",VLOOKUP(D254,'G-6 Hedgerow Data'!$B$2:$AG$15,2,FALSE))</f>
        <v/>
      </c>
      <c r="G254" s="499" t="str">
        <f>IF(D254="","",VLOOKUP(D254,'G-6 Hedgerow Data'!$B$2:$AG$15,3,FALSE))</f>
        <v/>
      </c>
      <c r="H254" s="145"/>
      <c r="I254" s="499" t="str">
        <f>IFERROR(IF(AND(F254="V.Low",OR(H254="Good",H254="Moderate")),"Error ▲",VLOOKUP(H254,'G-1 All Habitats'!$Z$2:$AA$9,2,FALSE)),"")</f>
        <v/>
      </c>
      <c r="J254" s="154"/>
      <c r="K254" s="520" t="str">
        <f>IF(J254="","",IF(VLOOKUP(J254,'G-3 Multipliers'!$L$3:$N$6,2,FALSE)=0,"Spatial Data Missing ⚠",VLOOKUP(J254,'G-3 Multipliers'!$L$3:$N$6,2,FALSE)))</f>
        <v/>
      </c>
      <c r="L254" s="524" t="str">
        <f>IF(J254="","",IF(VLOOKUP(J254,'G-3 Multipliers'!$L$3:$N$6,3,FALSE)=0,"Spatial Data Missing ⚠",VLOOKUP(J254,'G-3 Multipliers'!$L$3:$N$6,3,FALSE)))</f>
        <v/>
      </c>
      <c r="M254" s="506" t="str">
        <f>IF(D254="","",VLOOKUP(D254,'G-6 Hedgerow Data'!$B$1:$AH$15,33,FALSE))</f>
        <v/>
      </c>
      <c r="N254" s="513" t="str">
        <f t="shared" si="23"/>
        <v/>
      </c>
      <c r="O254" s="40"/>
      <c r="P254" s="145"/>
      <c r="Q254" s="157"/>
      <c r="R254" s="507" t="str">
        <f t="shared" si="24"/>
        <v/>
      </c>
      <c r="S254" s="507" t="str">
        <f t="shared" si="25"/>
        <v/>
      </c>
      <c r="T254" s="511" t="str">
        <f t="shared" si="26"/>
        <v/>
      </c>
      <c r="U254" s="515" t="str">
        <f t="shared" si="27"/>
        <v/>
      </c>
      <c r="V254" s="151"/>
      <c r="W254" s="152"/>
      <c r="AB254" s="31" t="str">
        <f>IFERROR(INDEX('G-6 Hedgerow Data'!$BJ$3:$BJ$15,MATCH(D254,'G-6 Hedgerow Data'!$B$3:$B$15,0)),"")</f>
        <v/>
      </c>
      <c r="AE254" s="156" t="str">
        <f t="shared" si="21"/>
        <v/>
      </c>
      <c r="AF254" s="156" t="str">
        <f t="shared" si="22"/>
        <v/>
      </c>
      <c r="AH254" s="156">
        <v>245</v>
      </c>
      <c r="AJ254" s="156" t="str">
        <f t="array" ref="AJ254">IFERROR(INDEX($AH$10:$AH$258, MATCH(0, IF(TRUE=$AE$10:$AE$258, COUNTIF($AJ$9:$AJ253, $AH$10:$AH$258), ""), 0)),"")</f>
        <v/>
      </c>
      <c r="AK254" s="156" t="str">
        <f t="array" ref="AK254">IFERROR(INDEX($AH$10:$AH$258, MATCH(0, IF(TRUE=$AF$10:$AF$258, COUNTIF($AK$9:$AK253, $AH$10:$AH$258), ""), 0)),"")</f>
        <v/>
      </c>
    </row>
    <row r="255" spans="2:37" ht="14" x14ac:dyDescent="0.3">
      <c r="B255" s="141">
        <v>246</v>
      </c>
      <c r="C255" s="203"/>
      <c r="D255" s="203"/>
      <c r="E255" s="153"/>
      <c r="F255" s="498" t="str">
        <f>IF(D255="","",VLOOKUP(D255,'G-6 Hedgerow Data'!$B$2:$AG$15,2,FALSE))</f>
        <v/>
      </c>
      <c r="G255" s="499" t="str">
        <f>IF(D255="","",VLOOKUP(D255,'G-6 Hedgerow Data'!$B$2:$AG$15,3,FALSE))</f>
        <v/>
      </c>
      <c r="H255" s="145"/>
      <c r="I255" s="499" t="str">
        <f>IFERROR(IF(AND(F255="V.Low",OR(H255="Good",H255="Moderate")),"Error ▲",VLOOKUP(H255,'G-1 All Habitats'!$Z$2:$AA$9,2,FALSE)),"")</f>
        <v/>
      </c>
      <c r="J255" s="154"/>
      <c r="K255" s="520" t="str">
        <f>IF(J255="","",IF(VLOOKUP(J255,'G-3 Multipliers'!$L$3:$N$6,2,FALSE)=0,"Spatial Data Missing ⚠",VLOOKUP(J255,'G-3 Multipliers'!$L$3:$N$6,2,FALSE)))</f>
        <v/>
      </c>
      <c r="L255" s="524" t="str">
        <f>IF(J255="","",IF(VLOOKUP(J255,'G-3 Multipliers'!$L$3:$N$6,3,FALSE)=0,"Spatial Data Missing ⚠",VLOOKUP(J255,'G-3 Multipliers'!$L$3:$N$6,3,FALSE)))</f>
        <v/>
      </c>
      <c r="M255" s="506" t="str">
        <f>IF(D255="","",VLOOKUP(D255,'G-6 Hedgerow Data'!$B$1:$AH$15,33,FALSE))</f>
        <v/>
      </c>
      <c r="N255" s="513" t="str">
        <f t="shared" si="23"/>
        <v/>
      </c>
      <c r="O255" s="40"/>
      <c r="P255" s="145"/>
      <c r="Q255" s="157"/>
      <c r="R255" s="507" t="str">
        <f t="shared" si="24"/>
        <v/>
      </c>
      <c r="S255" s="507" t="str">
        <f t="shared" si="25"/>
        <v/>
      </c>
      <c r="T255" s="511" t="str">
        <f t="shared" si="26"/>
        <v/>
      </c>
      <c r="U255" s="515" t="str">
        <f t="shared" si="27"/>
        <v/>
      </c>
      <c r="V255" s="151"/>
      <c r="W255" s="152"/>
      <c r="AB255" s="31" t="str">
        <f>IFERROR(INDEX('G-6 Hedgerow Data'!$BJ$3:$BJ$15,MATCH(D255,'G-6 Hedgerow Data'!$B$3:$B$15,0)),"")</f>
        <v/>
      </c>
      <c r="AE255" s="156" t="str">
        <f t="shared" si="21"/>
        <v/>
      </c>
      <c r="AF255" s="156" t="str">
        <f t="shared" si="22"/>
        <v/>
      </c>
      <c r="AH255" s="156">
        <v>246</v>
      </c>
      <c r="AJ255" s="156" t="str">
        <f t="array" ref="AJ255">IFERROR(INDEX($AH$10:$AH$258, MATCH(0, IF(TRUE=$AE$10:$AE$258, COUNTIF($AJ$9:$AJ254, $AH$10:$AH$258), ""), 0)),"")</f>
        <v/>
      </c>
      <c r="AK255" s="156" t="str">
        <f t="array" ref="AK255">IFERROR(INDEX($AH$10:$AH$258, MATCH(0, IF(TRUE=$AF$10:$AF$258, COUNTIF($AK$9:$AK254, $AH$10:$AH$258), ""), 0)),"")</f>
        <v/>
      </c>
    </row>
    <row r="256" spans="2:37" ht="14" x14ac:dyDescent="0.3">
      <c r="B256" s="141">
        <v>247</v>
      </c>
      <c r="C256" s="203"/>
      <c r="D256" s="203"/>
      <c r="E256" s="153"/>
      <c r="F256" s="498" t="str">
        <f>IF(D256="","",VLOOKUP(D256,'G-6 Hedgerow Data'!$B$2:$AG$15,2,FALSE))</f>
        <v/>
      </c>
      <c r="G256" s="499" t="str">
        <f>IF(D256="","",VLOOKUP(D256,'G-6 Hedgerow Data'!$B$2:$AG$15,3,FALSE))</f>
        <v/>
      </c>
      <c r="H256" s="145"/>
      <c r="I256" s="499" t="str">
        <f>IFERROR(IF(AND(F256="V.Low",OR(H256="Good",H256="Moderate")),"Error ▲",VLOOKUP(H256,'G-1 All Habitats'!$Z$2:$AA$9,2,FALSE)),"")</f>
        <v/>
      </c>
      <c r="J256" s="154"/>
      <c r="K256" s="520" t="str">
        <f>IF(J256="","",IF(VLOOKUP(J256,'G-3 Multipliers'!$L$3:$N$6,2,FALSE)=0,"Spatial Data Missing ⚠",VLOOKUP(J256,'G-3 Multipliers'!$L$3:$N$6,2,FALSE)))</f>
        <v/>
      </c>
      <c r="L256" s="524" t="str">
        <f>IF(J256="","",IF(VLOOKUP(J256,'G-3 Multipliers'!$L$3:$N$6,3,FALSE)=0,"Spatial Data Missing ⚠",VLOOKUP(J256,'G-3 Multipliers'!$L$3:$N$6,3,FALSE)))</f>
        <v/>
      </c>
      <c r="M256" s="506" t="str">
        <f>IF(D256="","",VLOOKUP(D256,'G-6 Hedgerow Data'!$B$1:$AH$15,33,FALSE))</f>
        <v/>
      </c>
      <c r="N256" s="513" t="str">
        <f t="shared" si="23"/>
        <v/>
      </c>
      <c r="O256" s="40"/>
      <c r="P256" s="145"/>
      <c r="Q256" s="157"/>
      <c r="R256" s="507" t="str">
        <f t="shared" si="24"/>
        <v/>
      </c>
      <c r="S256" s="507" t="str">
        <f t="shared" si="25"/>
        <v/>
      </c>
      <c r="T256" s="511" t="str">
        <f t="shared" si="26"/>
        <v/>
      </c>
      <c r="U256" s="515" t="str">
        <f t="shared" si="27"/>
        <v/>
      </c>
      <c r="V256" s="151"/>
      <c r="W256" s="152"/>
      <c r="AB256" s="31" t="str">
        <f>IFERROR(INDEX('G-6 Hedgerow Data'!$BJ$3:$BJ$15,MATCH(D256,'G-6 Hedgerow Data'!$B$3:$B$15,0)),"")</f>
        <v/>
      </c>
      <c r="AE256" s="156" t="str">
        <f t="shared" si="21"/>
        <v/>
      </c>
      <c r="AF256" s="156" t="str">
        <f t="shared" si="22"/>
        <v/>
      </c>
      <c r="AH256" s="156">
        <v>247</v>
      </c>
      <c r="AJ256" s="156" t="str">
        <f t="array" ref="AJ256">IFERROR(INDEX($AH$10:$AH$258, MATCH(0, IF(TRUE=$AE$10:$AE$258, COUNTIF($AJ$9:$AJ255, $AH$10:$AH$258), ""), 0)),"")</f>
        <v/>
      </c>
      <c r="AK256" s="156" t="str">
        <f t="array" ref="AK256">IFERROR(INDEX($AH$10:$AH$258, MATCH(0, IF(TRUE=$AF$10:$AF$258, COUNTIF($AK$9:$AK255, $AH$10:$AH$258), ""), 0)),"")</f>
        <v/>
      </c>
    </row>
    <row r="257" spans="2:37" ht="14.5" thickBot="1" x14ac:dyDescent="0.35">
      <c r="B257" s="158">
        <v>248</v>
      </c>
      <c r="C257" s="206"/>
      <c r="D257" s="206"/>
      <c r="E257" s="160"/>
      <c r="F257" s="498" t="str">
        <f>IF(D257="","",VLOOKUP(D257,'G-6 Hedgerow Data'!$B$2:$AG$15,2,FALSE))</f>
        <v/>
      </c>
      <c r="G257" s="499" t="str">
        <f>IF(D257="","",VLOOKUP(D257,'G-6 Hedgerow Data'!$B$2:$AG$15,3,FALSE))</f>
        <v/>
      </c>
      <c r="H257" s="145"/>
      <c r="I257" s="499" t="str">
        <f>IFERROR(IF(AND(F257="V.Low",OR(H257="Good",H257="Moderate")),"Error ▲",VLOOKUP(H257,'G-1 All Habitats'!$Z$2:$AA$9,2,FALSE)),"")</f>
        <v/>
      </c>
      <c r="J257" s="161"/>
      <c r="K257" s="520" t="str">
        <f>IF(J257="","",IF(VLOOKUP(J257,'G-3 Multipliers'!$L$3:$N$6,2,FALSE)=0,"Spatial Data Missing ⚠",VLOOKUP(J257,'G-3 Multipliers'!$L$3:$N$6,2,FALSE)))</f>
        <v/>
      </c>
      <c r="L257" s="524" t="str">
        <f>IF(J257="","",IF(VLOOKUP(J257,'G-3 Multipliers'!$L$3:$N$6,3,FALSE)=0,"Spatial Data Missing ⚠",VLOOKUP(J257,'G-3 Multipliers'!$L$3:$N$6,3,FALSE)))</f>
        <v/>
      </c>
      <c r="M257" s="506" t="str">
        <f>IF(D257="","",VLOOKUP(D257,'G-6 Hedgerow Data'!$B$1:$AH$15,33,FALSE))</f>
        <v/>
      </c>
      <c r="N257" s="513" t="str">
        <f t="shared" si="23"/>
        <v/>
      </c>
      <c r="O257" s="40"/>
      <c r="P257" s="410"/>
      <c r="Q257" s="411"/>
      <c r="R257" s="621" t="str">
        <f t="shared" si="24"/>
        <v/>
      </c>
      <c r="S257" s="621" t="str">
        <f t="shared" si="25"/>
        <v/>
      </c>
      <c r="T257" s="511" t="str">
        <f t="shared" si="26"/>
        <v/>
      </c>
      <c r="U257" s="515" t="str">
        <f t="shared" si="27"/>
        <v/>
      </c>
      <c r="V257" s="163"/>
      <c r="W257" s="164"/>
      <c r="AB257" s="31" t="str">
        <f>IFERROR(INDEX('G-6 Hedgerow Data'!$BJ$3:$BJ$15,MATCH(D257,'G-6 Hedgerow Data'!$B$3:$B$15,0)),"")</f>
        <v/>
      </c>
      <c r="AE257" s="156" t="str">
        <f t="shared" si="21"/>
        <v/>
      </c>
      <c r="AF257" s="156" t="str">
        <f t="shared" si="22"/>
        <v/>
      </c>
      <c r="AH257" s="156">
        <v>248</v>
      </c>
      <c r="AJ257" s="156" t="str">
        <f t="array" ref="AJ257">IFERROR(INDEX($AH$10:$AH$258, MATCH(0, IF(TRUE=$AE$10:$AE$258, COUNTIF($AJ$9:$AJ256, $AH$10:$AH$258), ""), 0)),"")</f>
        <v/>
      </c>
      <c r="AK257" s="156" t="str">
        <f t="array" ref="AK257">IFERROR(INDEX($AH$10:$AH$258, MATCH(0, IF(TRUE=$AF$10:$AF$258, COUNTIF($AK$9:$AK256, $AH$10:$AH$258), ""), 0)),"")</f>
        <v/>
      </c>
    </row>
    <row r="258" spans="2:37" ht="14.5" thickBot="1" x14ac:dyDescent="0.35">
      <c r="D258" s="443"/>
      <c r="E258" s="620">
        <f>SUM(E10:E257)</f>
        <v>0</v>
      </c>
      <c r="M258" s="444"/>
      <c r="N258" s="563">
        <f>SUM(N10:N257)</f>
        <v>0</v>
      </c>
      <c r="O258" s="166"/>
      <c r="P258" s="517">
        <f t="shared" ref="P258:U258" si="28">SUM(P10:P257)</f>
        <v>0</v>
      </c>
      <c r="Q258" s="518">
        <f t="shared" si="28"/>
        <v>0</v>
      </c>
      <c r="R258" s="518">
        <f t="shared" si="28"/>
        <v>0</v>
      </c>
      <c r="S258" s="518">
        <f t="shared" si="28"/>
        <v>0</v>
      </c>
      <c r="T258" s="518">
        <f t="shared" si="28"/>
        <v>0</v>
      </c>
      <c r="U258" s="514">
        <f t="shared" si="28"/>
        <v>0</v>
      </c>
    </row>
    <row r="259" spans="2:37" ht="14" x14ac:dyDescent="0.3">
      <c r="O259" s="166"/>
      <c r="P259" s="166"/>
      <c r="Q259" s="166"/>
      <c r="R259" s="166"/>
      <c r="S259" s="166"/>
      <c r="T259" s="166"/>
      <c r="U259" s="166"/>
    </row>
    <row r="260" spans="2:37" ht="14" x14ac:dyDescent="0.3">
      <c r="B260" s="132"/>
      <c r="C260" s="132"/>
    </row>
    <row r="261" spans="2:37" ht="14" x14ac:dyDescent="0.3">
      <c r="B261" s="132"/>
      <c r="C261" s="132"/>
    </row>
    <row r="262" spans="2:37" ht="14" x14ac:dyDescent="0.3">
      <c r="B262" s="132"/>
      <c r="C262" s="132"/>
    </row>
    <row r="263" spans="2:37" ht="14" x14ac:dyDescent="0.3">
      <c r="B263" s="132"/>
      <c r="C263" s="132"/>
    </row>
    <row r="264" spans="2:37" ht="14" x14ac:dyDescent="0.3">
      <c r="B264" s="132"/>
      <c r="C264" s="132"/>
    </row>
    <row r="265" spans="2:37" ht="14" x14ac:dyDescent="0.3">
      <c r="B265" s="132"/>
      <c r="C265" s="132"/>
    </row>
    <row r="266" spans="2:37" ht="14" x14ac:dyDescent="0.3">
      <c r="B266" s="132"/>
      <c r="C266" s="132"/>
    </row>
    <row r="267" spans="2:37" ht="14" hidden="1" x14ac:dyDescent="0.3">
      <c r="B267" s="132"/>
      <c r="C267" s="132"/>
    </row>
    <row r="268" spans="2:37" ht="14" hidden="1" x14ac:dyDescent="0.3">
      <c r="B268" s="132"/>
      <c r="C268" s="132"/>
    </row>
    <row r="269" spans="2:37" ht="14" hidden="1" x14ac:dyDescent="0.3">
      <c r="B269" s="132"/>
      <c r="C269" s="132"/>
    </row>
    <row r="270" spans="2:37" ht="14" hidden="1" x14ac:dyDescent="0.3">
      <c r="B270" s="132"/>
      <c r="C270" s="132"/>
    </row>
    <row r="271" spans="2:37" ht="14" hidden="1" x14ac:dyDescent="0.3">
      <c r="B271" s="132"/>
      <c r="C271" s="132"/>
    </row>
    <row r="272" spans="2:37" ht="14" hidden="1" x14ac:dyDescent="0.3">
      <c r="B272" s="132"/>
      <c r="C272" s="132"/>
    </row>
  </sheetData>
  <sheetProtection algorithmName="SHA-512" hashValue="dMrctn7xR9Y3GQUnpVgvbqVH+MKBgssfoNML+5sGn5/91URvi5DxyrRhl5lZ45FZkKnHPKDA4Hky2hZvPwkodA==" saltValue="2hBMgq6SN1txedhtwJfdZw==" spinCount="100000" sheet="1" objects="1" scenarios="1"/>
  <customSheetViews>
    <customSheetView guid="{8BDA793C-C9C5-4FC6-A0A5-F1109F6D4F22}" state="hidden">
      <pane ySplit="9" topLeftCell="A10" activePane="bottomLeft" state="frozen"/>
      <selection pane="bottomLeft" activeCell="D14" sqref="D14"/>
    </customSheetView>
  </customSheetViews>
  <mergeCells count="9">
    <mergeCell ref="B2:D2"/>
    <mergeCell ref="V8:W8"/>
    <mergeCell ref="C8:E8"/>
    <mergeCell ref="F8:G8"/>
    <mergeCell ref="H8:I8"/>
    <mergeCell ref="B3:D4"/>
    <mergeCell ref="J8:L8"/>
    <mergeCell ref="P8:U8"/>
    <mergeCell ref="M8:M9"/>
  </mergeCells>
  <conditionalFormatting sqref="I10:I257">
    <cfRule type="containsText" dxfId="89" priority="6" operator="containsText" text="Error">
      <formula>NOT(ISERROR(SEARCH("Error",I10)))</formula>
    </cfRule>
  </conditionalFormatting>
  <conditionalFormatting sqref="J9:L257">
    <cfRule type="containsText" dxfId="88" priority="5" operator="containsText" text="Spatial">
      <formula>NOT(ISERROR(SEARCH("Spatial",J9)))</formula>
    </cfRule>
  </conditionalFormatting>
  <conditionalFormatting sqref="M10:M257">
    <cfRule type="cellIs" dxfId="87" priority="2" operator="equal">
      <formula>"Like for like or better"</formula>
    </cfRule>
    <cfRule type="cellIs" dxfId="86" priority="3" operator="equal">
      <formula>"Like for like"</formula>
    </cfRule>
    <cfRule type="containsText" dxfId="85" priority="4" operator="containsText" text="Same distinctiveness">
      <formula>NOT(ISERROR(SEARCH("Same distinctiveness",M10)))</formula>
    </cfRule>
  </conditionalFormatting>
  <conditionalFormatting sqref="T10:U257">
    <cfRule type="containsText" dxfId="84" priority="1" operator="containsText" text="Error">
      <formula>NOT(ISERROR(SEARCH("Error",T10)))</formula>
    </cfRule>
  </conditionalFormatting>
  <dataValidations count="1">
    <dataValidation type="list" allowBlank="1" showInputMessage="1" showErrorMessage="1" sqref="H10:H257" xr:uid="{00000000-0002-0000-1100-000000000000}">
      <formula1>INDIRECT(AB10)</formula1>
    </dataValidation>
  </dataValidations>
  <pageMargins left="0.7" right="0.7" top="0.75" bottom="0.75" header="0.3" footer="0.3"/>
  <pageSetup paperSize="9" orientation="portrait" horizontalDpi="90" verticalDpi="9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1000000}">
          <x14:formula1>
            <xm:f>'G-6 Hedgerow Data'!$B$3:$B$15</xm:f>
          </x14:formula1>
          <xm:sqref>D10:D257</xm:sqref>
        </x14:dataValidation>
        <x14:dataValidation type="list" allowBlank="1" showErrorMessage="1" prompt=" _x000a_" xr:uid="{00000000-0002-0000-1100-000002000000}">
          <x14:formula1>
            <xm:f>'G-3 Multipliers'!$L$4:$L$6</xm:f>
          </x14:formula1>
          <xm:sqref>J10:J257</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3">
    <tabColor rgb="FF663300"/>
  </sheetPr>
  <dimension ref="A1:AJ268"/>
  <sheetViews>
    <sheetView workbookViewId="0"/>
  </sheetViews>
  <sheetFormatPr defaultColWidth="0" defaultRowHeight="0" customHeight="1" zeroHeight="1" x14ac:dyDescent="0.3"/>
  <cols>
    <col min="1" max="1" width="2.81640625" style="31" customWidth="1"/>
    <col min="2" max="2" width="11.26953125" style="31" customWidth="1"/>
    <col min="3" max="3" width="9.26953125" style="31" customWidth="1"/>
    <col min="4" max="4" width="60.7265625" style="31" customWidth="1"/>
    <col min="5" max="5" width="10.26953125" style="31" customWidth="1"/>
    <col min="6" max="6" width="19.1796875" style="31" customWidth="1"/>
    <col min="7" max="7" width="11.81640625" style="31" customWidth="1"/>
    <col min="8" max="8" width="11.54296875" style="31" customWidth="1"/>
    <col min="9" max="9" width="12.54296875" style="31" customWidth="1"/>
    <col min="10" max="10" width="41.7265625" style="31" customWidth="1"/>
    <col min="11" max="11" width="21.1796875" style="31" customWidth="1"/>
    <col min="12" max="12" width="12.26953125" style="31" customWidth="1"/>
    <col min="13" max="13" width="67.7265625" style="31" customWidth="1"/>
    <col min="14" max="14" width="12.26953125" style="31" customWidth="1"/>
    <col min="15" max="17" width="17.7265625" style="31" customWidth="1"/>
    <col min="18" max="18" width="35.54296875" style="31" customWidth="1"/>
    <col min="19" max="19" width="17.7265625" style="31" customWidth="1"/>
    <col min="20" max="20" width="15.26953125" style="31" customWidth="1"/>
    <col min="21" max="21" width="10.7265625" style="31" customWidth="1"/>
    <col min="22" max="22" width="25.26953125" style="31" customWidth="1"/>
    <col min="23" max="23" width="10.7265625" style="31" customWidth="1"/>
    <col min="24" max="24" width="12.54296875" style="31" customWidth="1"/>
    <col min="25" max="25" width="12.7265625" style="31" customWidth="1"/>
    <col min="26" max="27" width="42.54296875" style="31" customWidth="1"/>
    <col min="28" max="32" width="8.81640625" style="31" customWidth="1"/>
    <col min="33" max="33" width="15.81640625" style="31" hidden="1" customWidth="1"/>
    <col min="34" max="35" width="8.81640625" style="31" hidden="1" customWidth="1"/>
    <col min="36" max="36" width="0" style="31" hidden="1" customWidth="1"/>
    <col min="37" max="16384" width="8.81640625" style="31" hidden="1"/>
  </cols>
  <sheetData>
    <row r="1" spans="2:33" ht="15.75" customHeight="1" thickBot="1" x14ac:dyDescent="0.35"/>
    <row r="2" spans="2:33" ht="15.75" customHeight="1" thickBot="1" x14ac:dyDescent="0.35">
      <c r="B2" s="744" t="str">
        <f>IF(Start!$F$12="","",Start!$F$12)</f>
        <v>NCP Car Park, Bath Road, West Drayton, Greater London</v>
      </c>
      <c r="C2" s="745"/>
      <c r="D2" s="745"/>
      <c r="E2" s="746"/>
      <c r="O2" s="921" t="str">
        <f>IF(OR(COUNTIF($O$12:O259,"*30+*")&gt;0,COUNTIF($S$12:S259,"*30+*")&gt;0),"Note; Habitat selected has a time to target condition greater than 30 years. Non standard agreement may be required. ⚠","")</f>
        <v/>
      </c>
      <c r="P2" s="921"/>
      <c r="Q2" s="921"/>
      <c r="R2" s="921"/>
      <c r="S2" s="921"/>
      <c r="T2" s="921"/>
    </row>
    <row r="3" spans="2:33" ht="15.75" customHeight="1" thickBot="1" x14ac:dyDescent="0.35">
      <c r="B3" s="1000" t="str">
        <f ca="1">MID(CELL("filename",A1),FIND("]",CELL("filename",A1))+1,256)</f>
        <v>E-2 Off Site Hedge Creation</v>
      </c>
      <c r="C3" s="1001"/>
      <c r="D3" s="1001"/>
      <c r="E3" s="1002"/>
      <c r="O3" s="921"/>
      <c r="P3" s="921"/>
      <c r="Q3" s="921"/>
      <c r="R3" s="921"/>
      <c r="S3" s="921"/>
      <c r="T3" s="921"/>
    </row>
    <row r="4" spans="2:33" ht="15.75" customHeight="1" thickBot="1" x14ac:dyDescent="0.35">
      <c r="B4" s="1000"/>
      <c r="C4" s="1001"/>
      <c r="D4" s="1001"/>
      <c r="E4" s="1002"/>
      <c r="O4" s="921"/>
      <c r="P4" s="921"/>
      <c r="Q4" s="921"/>
      <c r="R4" s="921"/>
      <c r="S4" s="921"/>
      <c r="T4" s="921"/>
    </row>
    <row r="5" spans="2:33" ht="15.75" customHeight="1" x14ac:dyDescent="0.3">
      <c r="O5" s="921"/>
      <c r="P5" s="921"/>
      <c r="Q5" s="921"/>
      <c r="R5" s="921"/>
      <c r="S5" s="921"/>
      <c r="T5" s="921"/>
    </row>
    <row r="6" spans="2:33" ht="15.75" customHeight="1" x14ac:dyDescent="0.3">
      <c r="O6" s="403"/>
      <c r="P6" s="403"/>
      <c r="Q6" s="403"/>
      <c r="R6" s="403"/>
      <c r="S6" s="403"/>
    </row>
    <row r="7" spans="2:33" ht="15.75" customHeight="1" x14ac:dyDescent="0.3">
      <c r="B7" s="132"/>
      <c r="C7" s="132"/>
    </row>
    <row r="8" spans="2:33" ht="14" x14ac:dyDescent="0.3">
      <c r="J8" s="131"/>
      <c r="K8" s="131"/>
      <c r="L8" s="131"/>
      <c r="M8" s="131"/>
      <c r="N8" s="131"/>
      <c r="O8" s="131"/>
      <c r="P8" s="131"/>
      <c r="Q8" s="131"/>
      <c r="R8" s="131"/>
      <c r="S8" s="131"/>
      <c r="T8" s="131"/>
      <c r="V8" s="131"/>
      <c r="W8" s="131"/>
      <c r="X8" s="131"/>
    </row>
    <row r="9" spans="2:33" ht="15.75" customHeight="1" thickBot="1" x14ac:dyDescent="0.35">
      <c r="J9" s="131"/>
      <c r="K9" s="131"/>
      <c r="L9" s="131"/>
      <c r="M9" s="138"/>
      <c r="N9" s="138"/>
      <c r="O9" s="200"/>
      <c r="P9" s="200"/>
      <c r="Q9" s="200"/>
      <c r="R9" s="200"/>
      <c r="S9" s="200"/>
      <c r="T9" s="200"/>
      <c r="U9" s="200"/>
      <c r="V9" s="200"/>
      <c r="W9" s="200"/>
      <c r="X9" s="200"/>
    </row>
    <row r="10" spans="2:33" s="42" customFormat="1" ht="30" customHeight="1" thickBot="1" x14ac:dyDescent="0.35">
      <c r="B10" s="40"/>
      <c r="C10" s="40"/>
      <c r="D10" s="967" t="s">
        <v>301</v>
      </c>
      <c r="E10" s="969"/>
      <c r="F10" s="967" t="s">
        <v>272</v>
      </c>
      <c r="G10" s="969"/>
      <c r="H10" s="968" t="s">
        <v>273</v>
      </c>
      <c r="I10" s="969"/>
      <c r="J10" s="967" t="s">
        <v>191</v>
      </c>
      <c r="K10" s="968"/>
      <c r="L10" s="969"/>
      <c r="M10" s="967" t="s">
        <v>280</v>
      </c>
      <c r="N10" s="969"/>
      <c r="O10" s="967" t="s">
        <v>228</v>
      </c>
      <c r="P10" s="968"/>
      <c r="Q10" s="968"/>
      <c r="R10" s="968"/>
      <c r="S10" s="968"/>
      <c r="T10" s="969"/>
      <c r="U10" s="967" t="s">
        <v>252</v>
      </c>
      <c r="V10" s="968"/>
      <c r="W10" s="968"/>
      <c r="X10" s="969"/>
      <c r="Y10" s="970" t="s">
        <v>302</v>
      </c>
      <c r="Z10" s="967" t="s">
        <v>196</v>
      </c>
      <c r="AA10" s="969"/>
    </row>
    <row r="11" spans="2:33" ht="42" x14ac:dyDescent="0.3">
      <c r="B11" s="135" t="s">
        <v>254</v>
      </c>
      <c r="C11" s="136" t="s">
        <v>303</v>
      </c>
      <c r="D11" s="201" t="s">
        <v>275</v>
      </c>
      <c r="E11" s="202" t="s">
        <v>316</v>
      </c>
      <c r="F11" s="412" t="s">
        <v>189</v>
      </c>
      <c r="G11" s="413" t="s">
        <v>206</v>
      </c>
      <c r="H11" s="414" t="s">
        <v>190</v>
      </c>
      <c r="I11" s="413" t="s">
        <v>206</v>
      </c>
      <c r="J11" s="368" t="s">
        <v>191</v>
      </c>
      <c r="K11" s="201" t="s">
        <v>191</v>
      </c>
      <c r="L11" s="202" t="s">
        <v>231</v>
      </c>
      <c r="M11" s="368" t="s">
        <v>283</v>
      </c>
      <c r="N11" s="202" t="s">
        <v>280</v>
      </c>
      <c r="O11" s="368" t="s">
        <v>304</v>
      </c>
      <c r="P11" s="201" t="s">
        <v>233</v>
      </c>
      <c r="Q11" s="201" t="s">
        <v>234</v>
      </c>
      <c r="R11" s="201" t="s">
        <v>235</v>
      </c>
      <c r="S11" s="201" t="s">
        <v>236</v>
      </c>
      <c r="T11" s="202" t="s">
        <v>312</v>
      </c>
      <c r="U11" s="368" t="s">
        <v>238</v>
      </c>
      <c r="V11" s="201" t="s">
        <v>305</v>
      </c>
      <c r="W11" s="201" t="s">
        <v>240</v>
      </c>
      <c r="X11" s="202" t="s">
        <v>241</v>
      </c>
      <c r="Y11" s="999"/>
      <c r="Z11" s="141" t="s">
        <v>215</v>
      </c>
      <c r="AA11" s="359" t="s">
        <v>216</v>
      </c>
      <c r="AG11" s="131" t="s">
        <v>200</v>
      </c>
    </row>
    <row r="12" spans="2:33" ht="14" x14ac:dyDescent="0.3">
      <c r="B12" s="201">
        <v>1</v>
      </c>
      <c r="C12" s="268"/>
      <c r="D12" s="82"/>
      <c r="E12" s="203"/>
      <c r="F12" s="498" t="str">
        <f>IF(D12="","",VLOOKUP(D12,'G-6 Hedgerow Data'!$B$2:$AG$15,2,FALSE))</f>
        <v/>
      </c>
      <c r="G12" s="524" t="str">
        <f>IF(D12="","",VLOOKUP(D12,'G-6 Hedgerow Data'!$B$2:$AG$15,3,FALSE))</f>
        <v/>
      </c>
      <c r="H12" s="72"/>
      <c r="I12" s="499" t="str">
        <f>IFERROR(IF(AND(F12="V.Low",OR(H12="Good",H12="Moderate")),"Error ▲",VLOOKUP(H12,'G-1 All Habitats'!$Z$2:$AA$9,2,FALSE)),"")</f>
        <v/>
      </c>
      <c r="J12" s="146"/>
      <c r="K12" s="520" t="str">
        <f>IF(J12="","",IF(VLOOKUP(J12,'G-3 Multipliers'!$L$3:$N$6,2,FALSE)=0,"Spatial Data Missing",VLOOKUP(J12,'G-3 Multipliers'!$L$3:$N$6,2,FALSE)))</f>
        <v/>
      </c>
      <c r="L12" s="524" t="str">
        <f>IF(J12="","",IF(VLOOKUP(J12,'G-3 Multipliers'!$L$3:$N$6,3,FALSE)=0,"Spatial Data Missing",VLOOKUP(J12,'G-3 Multipliers'!$L$3:$N$6,3,FALSE)))</f>
        <v/>
      </c>
      <c r="M12" s="197"/>
      <c r="N12" s="499" t="str">
        <f>IF(M12="","",IF(VLOOKUP(M12,'G-3 Multipliers'!$S$3:$T$6,2,FALSE)=0,"Spatial Data Missing ⚠",VLOOKUP(M12,'G-3 Multipliers'!$S$3:$T$6,2,FALSE)))</f>
        <v/>
      </c>
      <c r="O12" s="498" t="str">
        <f>IF(OR(D12="",H12=""),"",(INDEX('G-6 Hedgerow Data'!$E$3:$I$15,MATCH(D12,'G-6 Hedgerow Data'!$B$3:$B$15,0),MATCH(H12,'G-6 Hedgerow Data'!$E$2:$I$2,0))))</f>
        <v/>
      </c>
      <c r="P12" s="195"/>
      <c r="Q12" s="195"/>
      <c r="R12" s="507" t="str">
        <f>IF(D12="","",IF(AND(P12&gt;0,Q12&gt;0),"Error -both advance and delayed habitat creation ▲",IF(AND(OR(P12="Habitat already in target condition",O12&lt;=P12),Q12=0),"Check details - Is there evidence that habitat has reached target condition? ⚠",IF(O12="","",IF(P12&gt;0,"Check details - Is there evidence habitat creation started/in place? ⚠",IF(Q12&gt;0,"Check details- Delay in starting habitat in required condition?","Standard time to target condition applied"))))))</f>
        <v/>
      </c>
      <c r="S12" s="521" t="str">
        <f>IF(O12="","",IF(LEFT(R12,5)="Error ▲","Check Data ⚠",IF(OR(P12="30+",P12="Habitat already in target condition"),0,IF(Q12="30+","30+",IF(AND(O12="30+",OR(P12="",P12=0)),"30+ ⚠",IF(AND(O12="30+",P12&gt;0),32-P12,IF(O12+Q12&gt;30,"30+ ⚠",IF(O12+Q12-P12&gt;0,O12+Q12-P12,IF(O12-P12&lt;0,0,O12+Q12-P12)))))))))</f>
        <v/>
      </c>
      <c r="T12" s="522" t="str">
        <f t="shared" ref="T12:T75" si="0">IF(D12="","",IF(LEFT(R12,5)="Error ▲","Check Data ⚠",VLOOKUP(S12,TemporalMultipliers,3,FALSE)))</f>
        <v/>
      </c>
      <c r="U12" s="537" t="str">
        <f>IF(D12="","",VLOOKUP(D12,'G-6 Hedgerow Data'!$B$3:$AG$15,31,FALSE))</f>
        <v/>
      </c>
      <c r="V12" s="520" t="str">
        <f>IF(D12="","",IF(S12="Check Data ⚠","Check Data ⚠",IF(H12="","",IF($R12="Check details - Is there evidence that habitat has reached target condition? ⚠","Low Difficulty - only applicable if all habitat created before losses","Standard difficulty applied"))))</f>
        <v/>
      </c>
      <c r="W12" s="520" t="str">
        <f>(IF(AND(V12="Standard difficulty applied",O12&gt;P12),U12,IF(AND(V12="Low Difficulty - only applicable if all habitat created before losses",P12&gt;=O12),"Low",U12)))</f>
        <v/>
      </c>
      <c r="X12" s="524" t="str">
        <f>IF(F12="","",VLOOKUP(U12,'G-3 Multipliers'!$P$3:$Q$6,2,FALSE))</f>
        <v/>
      </c>
      <c r="Y12" s="529" t="str">
        <f>IFERROR(E12*G12*I12*L12*T12*X12*N12,"")</f>
        <v/>
      </c>
      <c r="Z12" s="149"/>
      <c r="AA12" s="150"/>
      <c r="AG12" s="31" t="str">
        <f>IFERROR(INDEX('G-6 Hedgerow Data'!$BJ$3:$BJ$15,MATCH(D12,'G-6 Hedgerow Data'!$B$3:$B$15,0)),"")</f>
        <v/>
      </c>
    </row>
    <row r="13" spans="2:33" ht="14" x14ac:dyDescent="0.3">
      <c r="B13" s="103">
        <v>2</v>
      </c>
      <c r="C13" s="268"/>
      <c r="D13" s="82"/>
      <c r="E13" s="203"/>
      <c r="F13" s="498" t="str">
        <f>IF(D13="","",VLOOKUP(D13,'G-6 Hedgerow Data'!$B$2:$AG$15,2,FALSE))</f>
        <v/>
      </c>
      <c r="G13" s="524" t="str">
        <f>IF(D13="","",VLOOKUP(D13,'G-6 Hedgerow Data'!$B$2:$AG$15,3,FALSE))</f>
        <v/>
      </c>
      <c r="H13" s="72"/>
      <c r="I13" s="499" t="str">
        <f>IFERROR(IF(AND(F13="V.Low",OR(H13="Good",H13="Moderate")),"Error ▲",VLOOKUP(H13,'G-1 All Habitats'!$Z$2:$AA$9,2,FALSE)),"")</f>
        <v/>
      </c>
      <c r="J13" s="146"/>
      <c r="K13" s="520" t="str">
        <f>IF(J13="","",IF(VLOOKUP(J13,'G-3 Multipliers'!$L$3:$N$6,2,FALSE)=0,"Spatial Data Missing",VLOOKUP(J13,'G-3 Multipliers'!$L$3:$N$6,2,FALSE)))</f>
        <v/>
      </c>
      <c r="L13" s="524" t="str">
        <f>IF(J13="","",IF(VLOOKUP(J13,'G-3 Multipliers'!$L$3:$N$6,3,FALSE)=0,"Spatial Data Missing",VLOOKUP(J13,'G-3 Multipliers'!$L$3:$N$6,3,FALSE)))</f>
        <v/>
      </c>
      <c r="M13" s="197"/>
      <c r="N13" s="499" t="str">
        <f>IF(M13="","",IF(VLOOKUP(M13,'G-3 Multipliers'!$S$3:$T$6,2,FALSE)=0,"Spatial Data Missing ⚠",VLOOKUP(M13,'G-3 Multipliers'!$S$3:$T$6,2,FALSE)))</f>
        <v/>
      </c>
      <c r="O13" s="498" t="str">
        <f>IF(OR(D13="",H13=""),"",(INDEX('G-6 Hedgerow Data'!$E$3:$I$15,MATCH(D13,'G-6 Hedgerow Data'!$B$3:$B$15,0),MATCH(H13,'G-6 Hedgerow Data'!$E$2:$I$2,0))))</f>
        <v/>
      </c>
      <c r="P13" s="195"/>
      <c r="Q13" s="195"/>
      <c r="R13" s="507" t="str">
        <f t="shared" ref="R13:R76" si="1">IF(D13="","",IF(AND(P13&gt;0,Q13&gt;0),"Error -both advance and delayed habitat creation ▲",IF(AND(OR(P13="Habitat already in target condition",O13&lt;=P13),Q13=0),"Check details - Is there evidence that habitat has reached target condition? ⚠",IF(O13="","",IF(P13&gt;0,"Check details - Is there evidence habitat creation started/in place? ⚠",IF(Q13&gt;0,"Check details- Delay in starting habitat in required condition? ⚠","Standard time to target condition applied"))))))</f>
        <v/>
      </c>
      <c r="S13" s="521" t="str">
        <f t="shared" ref="S13:S76" si="2">IF(O13="","",IF(LEFT(R13,5)="Error ▲","Check Data ⚠",IF(OR(P13="30+",P13="Habitat already in target condition"),0,IF(Q13="30+","30+",IF(AND(O13="30+",OR(P13="",P13=0)),"30+ ⚠",IF(AND(O13="30+",P13&gt;0),32-P13,IF(O13+Q13&gt;30,"30+ ⚠",IF(O13+Q13-P13&gt;0,O13+Q13-P13,IF(O13-P13&lt;0,0,O13+Q13-P13)))))))))</f>
        <v/>
      </c>
      <c r="T13" s="522" t="str">
        <f t="shared" si="0"/>
        <v/>
      </c>
      <c r="U13" s="537" t="str">
        <f>IF(D13="","",VLOOKUP(D13,'G-6 Hedgerow Data'!$B$3:$AG$15,31,FALSE))</f>
        <v/>
      </c>
      <c r="V13" s="520" t="str">
        <f t="shared" ref="V13:V76" si="3">IF(D13="","",IF(S13="Check Data ⚠","Check Data ⚠",IF(H13="","",IF($R13="Check details - Is there evidence that habitat has reached target condition? ⚠","Low Difficulty - only applicable if all habitat created before losses","Standard difficulty applied"))))</f>
        <v/>
      </c>
      <c r="W13" s="520" t="str">
        <f t="shared" ref="W13:W76" si="4">(IF(AND(V13="Standard difficulty applied",O13&gt;P13),U13,IF(AND(V13="Low Difficulty - only applicable if all habitat created before losses",P13&gt;=O13),"Low",U13)))</f>
        <v/>
      </c>
      <c r="X13" s="524" t="str">
        <f>IF(F13="","",VLOOKUP(U13,'G-3 Multipliers'!$P$3:$Q$6,2,FALSE))</f>
        <v/>
      </c>
      <c r="Y13" s="529" t="str">
        <f t="shared" ref="Y13:Y76" si="5">IFERROR(E13*G13*I13*L13*T13*X13*N13,"")</f>
        <v/>
      </c>
      <c r="Z13" s="149"/>
      <c r="AA13" s="150"/>
      <c r="AG13" s="31" t="str">
        <f>IFERROR(INDEX('G-6 Hedgerow Data'!$BJ$3:$BJ$15,MATCH(D13,'G-6 Hedgerow Data'!$B$3:$B$15,0)),"")</f>
        <v/>
      </c>
    </row>
    <row r="14" spans="2:33" ht="14" x14ac:dyDescent="0.3">
      <c r="B14" s="103">
        <v>3</v>
      </c>
      <c r="C14" s="268"/>
      <c r="D14" s="82"/>
      <c r="E14" s="203"/>
      <c r="F14" s="498" t="str">
        <f>IF(D14="","",VLOOKUP(D14,'G-6 Hedgerow Data'!$B$2:$AG$15,2,FALSE))</f>
        <v/>
      </c>
      <c r="G14" s="524" t="str">
        <f>IF(D14="","",VLOOKUP(D14,'G-6 Hedgerow Data'!$B$2:$AG$15,3,FALSE))</f>
        <v/>
      </c>
      <c r="H14" s="72"/>
      <c r="I14" s="499" t="str">
        <f>IFERROR(IF(AND(F14="V.Low",OR(H14="Good",H14="Moderate")),"Error ▲",VLOOKUP(H14,'G-1 All Habitats'!$Z$2:$AA$9,2,FALSE)),"")</f>
        <v/>
      </c>
      <c r="J14" s="146"/>
      <c r="K14" s="520" t="str">
        <f>IF(J14="","",IF(VLOOKUP(J14,'G-3 Multipliers'!$L$3:$N$6,2,FALSE)=0,"Spatial Data Missing",VLOOKUP(J14,'G-3 Multipliers'!$L$3:$N$6,2,FALSE)))</f>
        <v/>
      </c>
      <c r="L14" s="524" t="str">
        <f>IF(J14="","",IF(VLOOKUP(J14,'G-3 Multipliers'!$L$3:$N$6,3,FALSE)=0,"Spatial Data Missing",VLOOKUP(J14,'G-3 Multipliers'!$L$3:$N$6,3,FALSE)))</f>
        <v/>
      </c>
      <c r="M14" s="197"/>
      <c r="N14" s="499" t="str">
        <f>IF(M14="","",IF(VLOOKUP(M14,'G-3 Multipliers'!$S$3:$T$6,2,FALSE)=0,"Spatial Data Missing ⚠",VLOOKUP(M14,'G-3 Multipliers'!$S$3:$T$6,2,FALSE)))</f>
        <v/>
      </c>
      <c r="O14" s="498" t="str">
        <f>IF(OR(D14="",H14=""),"",(INDEX('G-6 Hedgerow Data'!$E$3:$I$15,MATCH(D14,'G-6 Hedgerow Data'!$B$3:$B$15,0),MATCH(H14,'G-6 Hedgerow Data'!$E$2:$I$2,0))))</f>
        <v/>
      </c>
      <c r="P14" s="195"/>
      <c r="Q14" s="195"/>
      <c r="R14" s="507" t="str">
        <f t="shared" si="1"/>
        <v/>
      </c>
      <c r="S14" s="521" t="str">
        <f t="shared" si="2"/>
        <v/>
      </c>
      <c r="T14" s="522" t="str">
        <f t="shared" si="0"/>
        <v/>
      </c>
      <c r="U14" s="537" t="str">
        <f>IF(D14="","",VLOOKUP(D14,'G-6 Hedgerow Data'!$B$3:$AG$15,31,FALSE))</f>
        <v/>
      </c>
      <c r="V14" s="520" t="str">
        <f t="shared" si="3"/>
        <v/>
      </c>
      <c r="W14" s="520" t="str">
        <f t="shared" si="4"/>
        <v/>
      </c>
      <c r="X14" s="524" t="str">
        <f>IF(F14="","",VLOOKUP(U14,'G-3 Multipliers'!$P$3:$Q$6,2,FALSE))</f>
        <v/>
      </c>
      <c r="Y14" s="529" t="str">
        <f t="shared" si="5"/>
        <v/>
      </c>
      <c r="Z14" s="149"/>
      <c r="AA14" s="150"/>
      <c r="AG14" s="31" t="str">
        <f>IFERROR(INDEX('G-6 Hedgerow Data'!$BJ$3:$BJ$15,MATCH(D14,'G-6 Hedgerow Data'!$B$3:$B$15,0)),"")</f>
        <v/>
      </c>
    </row>
    <row r="15" spans="2:33" ht="14" x14ac:dyDescent="0.3">
      <c r="B15" s="103">
        <v>4</v>
      </c>
      <c r="C15" s="268"/>
      <c r="D15" s="82"/>
      <c r="E15" s="203"/>
      <c r="F15" s="498" t="str">
        <f>IF(D15="","",VLOOKUP(D15,'G-6 Hedgerow Data'!$B$2:$AG$15,2,FALSE))</f>
        <v/>
      </c>
      <c r="G15" s="524" t="str">
        <f>IF(D15="","",VLOOKUP(D15,'G-6 Hedgerow Data'!$B$2:$AG$15,3,FALSE))</f>
        <v/>
      </c>
      <c r="H15" s="72"/>
      <c r="I15" s="499" t="str">
        <f>IFERROR(IF(AND(F15="V.Low",OR(H15="Good",H15="Moderate")),"Error ▲",VLOOKUP(H15,'G-1 All Habitats'!$Z$2:$AA$9,2,FALSE)),"")</f>
        <v/>
      </c>
      <c r="J15" s="146"/>
      <c r="K15" s="520" t="str">
        <f>IF(J15="","",IF(VLOOKUP(J15,'G-3 Multipliers'!$L$3:$N$6,2,FALSE)=0,"Spatial Data Missing",VLOOKUP(J15,'G-3 Multipliers'!$L$3:$N$6,2,FALSE)))</f>
        <v/>
      </c>
      <c r="L15" s="524" t="str">
        <f>IF(J15="","",IF(VLOOKUP(J15,'G-3 Multipliers'!$L$3:$N$6,3,FALSE)=0,"Spatial Data Missing",VLOOKUP(J15,'G-3 Multipliers'!$L$3:$N$6,3,FALSE)))</f>
        <v/>
      </c>
      <c r="M15" s="197"/>
      <c r="N15" s="499" t="str">
        <f>IF(M15="","",IF(VLOOKUP(M15,'G-3 Multipliers'!$S$3:$T$6,2,FALSE)=0,"Spatial Data Missing ⚠",VLOOKUP(M15,'G-3 Multipliers'!$S$3:$T$6,2,FALSE)))</f>
        <v/>
      </c>
      <c r="O15" s="498" t="str">
        <f>IF(OR(D15="",H15=""),"",(INDEX('G-6 Hedgerow Data'!$E$3:$I$15,MATCH(D15,'G-6 Hedgerow Data'!$B$3:$B$15,0),MATCH(H15,'G-6 Hedgerow Data'!$E$2:$I$2,0))))</f>
        <v/>
      </c>
      <c r="P15" s="195"/>
      <c r="Q15" s="195"/>
      <c r="R15" s="507" t="str">
        <f t="shared" si="1"/>
        <v/>
      </c>
      <c r="S15" s="521" t="str">
        <f t="shared" si="2"/>
        <v/>
      </c>
      <c r="T15" s="522" t="str">
        <f t="shared" si="0"/>
        <v/>
      </c>
      <c r="U15" s="537" t="str">
        <f>IF(D15="","",VLOOKUP(D15,'G-6 Hedgerow Data'!$B$3:$AG$15,31,FALSE))</f>
        <v/>
      </c>
      <c r="V15" s="520" t="str">
        <f t="shared" si="3"/>
        <v/>
      </c>
      <c r="W15" s="520" t="str">
        <f t="shared" si="4"/>
        <v/>
      </c>
      <c r="X15" s="524" t="str">
        <f>IF(F15="","",VLOOKUP(U15,'G-3 Multipliers'!$P$3:$Q$6,2,FALSE))</f>
        <v/>
      </c>
      <c r="Y15" s="529" t="str">
        <f t="shared" si="5"/>
        <v/>
      </c>
      <c r="Z15" s="149"/>
      <c r="AA15" s="150"/>
      <c r="AG15" s="31" t="str">
        <f>IFERROR(INDEX('G-6 Hedgerow Data'!$BJ$3:$BJ$15,MATCH(D15,'G-6 Hedgerow Data'!$B$3:$B$15,0)),"")</f>
        <v/>
      </c>
    </row>
    <row r="16" spans="2:33" ht="14" x14ac:dyDescent="0.3">
      <c r="B16" s="103">
        <v>5</v>
      </c>
      <c r="C16" s="268"/>
      <c r="D16" s="82"/>
      <c r="E16" s="203"/>
      <c r="F16" s="498" t="str">
        <f>IF(D16="","",VLOOKUP(D16,'G-6 Hedgerow Data'!$B$2:$AG$15,2,FALSE))</f>
        <v/>
      </c>
      <c r="G16" s="524" t="str">
        <f>IF(D16="","",VLOOKUP(D16,'G-6 Hedgerow Data'!$B$2:$AG$15,3,FALSE))</f>
        <v/>
      </c>
      <c r="H16" s="72"/>
      <c r="I16" s="499" t="str">
        <f>IFERROR(IF(AND(F16="V.Low",OR(H16="Good",H16="Moderate")),"Error ▲",VLOOKUP(H16,'G-1 All Habitats'!$Z$2:$AA$9,2,FALSE)),"")</f>
        <v/>
      </c>
      <c r="J16" s="146"/>
      <c r="K16" s="520" t="str">
        <f>IF(J16="","",IF(VLOOKUP(J16,'G-3 Multipliers'!$L$3:$N$6,2,FALSE)=0,"Spatial Data Missing",VLOOKUP(J16,'G-3 Multipliers'!$L$3:$N$6,2,FALSE)))</f>
        <v/>
      </c>
      <c r="L16" s="524" t="str">
        <f>IF(J16="","",IF(VLOOKUP(J16,'G-3 Multipliers'!$L$3:$N$6,3,FALSE)=0,"Spatial Data Missing",VLOOKUP(J16,'G-3 Multipliers'!$L$3:$N$6,3,FALSE)))</f>
        <v/>
      </c>
      <c r="M16" s="197"/>
      <c r="N16" s="499" t="str">
        <f>IF(M16="","",IF(VLOOKUP(M16,'G-3 Multipliers'!$S$3:$T$6,2,FALSE)=0,"Spatial Data Missing ⚠",VLOOKUP(M16,'G-3 Multipliers'!$S$3:$T$6,2,FALSE)))</f>
        <v/>
      </c>
      <c r="O16" s="498" t="str">
        <f>IF(OR(D16="",H16=""),"",(INDEX('G-6 Hedgerow Data'!$E$3:$I$15,MATCH(D16,'G-6 Hedgerow Data'!$B$3:$B$15,0),MATCH(H16,'G-6 Hedgerow Data'!$E$2:$I$2,0))))</f>
        <v/>
      </c>
      <c r="P16" s="195"/>
      <c r="Q16" s="195"/>
      <c r="R16" s="507" t="str">
        <f t="shared" si="1"/>
        <v/>
      </c>
      <c r="S16" s="521" t="str">
        <f t="shared" si="2"/>
        <v/>
      </c>
      <c r="T16" s="522" t="str">
        <f t="shared" si="0"/>
        <v/>
      </c>
      <c r="U16" s="537" t="str">
        <f>IF(D16="","",VLOOKUP(D16,'G-6 Hedgerow Data'!$B$3:$AG$15,31,FALSE))</f>
        <v/>
      </c>
      <c r="V16" s="520" t="str">
        <f t="shared" si="3"/>
        <v/>
      </c>
      <c r="W16" s="520" t="str">
        <f t="shared" si="4"/>
        <v/>
      </c>
      <c r="X16" s="524" t="str">
        <f>IF(F16="","",VLOOKUP(U16,'G-3 Multipliers'!$P$3:$Q$6,2,FALSE))</f>
        <v/>
      </c>
      <c r="Y16" s="529" t="str">
        <f t="shared" si="5"/>
        <v/>
      </c>
      <c r="Z16" s="149"/>
      <c r="AA16" s="150"/>
      <c r="AG16" s="31" t="str">
        <f>IFERROR(INDEX('G-6 Hedgerow Data'!$BJ$3:$BJ$15,MATCH(D16,'G-6 Hedgerow Data'!$B$3:$B$15,0)),"")</f>
        <v/>
      </c>
    </row>
    <row r="17" spans="2:33" ht="14" x14ac:dyDescent="0.3">
      <c r="B17" s="103">
        <v>6</v>
      </c>
      <c r="C17" s="268"/>
      <c r="D17" s="82"/>
      <c r="E17" s="203"/>
      <c r="F17" s="498" t="str">
        <f>IF(D17="","",VLOOKUP(D17,'G-6 Hedgerow Data'!$B$2:$AG$15,2,FALSE))</f>
        <v/>
      </c>
      <c r="G17" s="524" t="str">
        <f>IF(D17="","",VLOOKUP(D17,'G-6 Hedgerow Data'!$B$2:$AG$15,3,FALSE))</f>
        <v/>
      </c>
      <c r="H17" s="72"/>
      <c r="I17" s="499" t="str">
        <f>IFERROR(IF(AND(F17="V.Low",OR(H17="Good",H17="Moderate")),"Error ▲",VLOOKUP(H17,'G-1 All Habitats'!$Z$2:$AA$9,2,FALSE)),"")</f>
        <v/>
      </c>
      <c r="J17" s="146"/>
      <c r="K17" s="520" t="str">
        <f>IF(J17="","",IF(VLOOKUP(J17,'G-3 Multipliers'!$L$3:$N$6,2,FALSE)=0,"Spatial Data Missing",VLOOKUP(J17,'G-3 Multipliers'!$L$3:$N$6,2,FALSE)))</f>
        <v/>
      </c>
      <c r="L17" s="524" t="str">
        <f>IF(J17="","",IF(VLOOKUP(J17,'G-3 Multipliers'!$L$3:$N$6,3,FALSE)=0,"Spatial Data Missing",VLOOKUP(J17,'G-3 Multipliers'!$L$3:$N$6,3,FALSE)))</f>
        <v/>
      </c>
      <c r="M17" s="197"/>
      <c r="N17" s="499" t="str">
        <f>IF(M17="","",IF(VLOOKUP(M17,'G-3 Multipliers'!$S$3:$T$6,2,FALSE)=0,"Spatial Data Missing ⚠",VLOOKUP(M17,'G-3 Multipliers'!$S$3:$T$6,2,FALSE)))</f>
        <v/>
      </c>
      <c r="O17" s="498" t="str">
        <f>IF(OR(D17="",H17=""),"",(INDEX('G-6 Hedgerow Data'!$E$3:$I$15,MATCH(D17,'G-6 Hedgerow Data'!$B$3:$B$15,0),MATCH(H17,'G-6 Hedgerow Data'!$E$2:$I$2,0))))</f>
        <v/>
      </c>
      <c r="P17" s="195"/>
      <c r="Q17" s="195"/>
      <c r="R17" s="507" t="str">
        <f t="shared" si="1"/>
        <v/>
      </c>
      <c r="S17" s="521" t="str">
        <f t="shared" si="2"/>
        <v/>
      </c>
      <c r="T17" s="522" t="str">
        <f t="shared" si="0"/>
        <v/>
      </c>
      <c r="U17" s="537" t="str">
        <f>IF(D17="","",VLOOKUP(D17,'G-6 Hedgerow Data'!$B$3:$AG$15,31,FALSE))</f>
        <v/>
      </c>
      <c r="V17" s="520" t="str">
        <f t="shared" si="3"/>
        <v/>
      </c>
      <c r="W17" s="520" t="str">
        <f t="shared" si="4"/>
        <v/>
      </c>
      <c r="X17" s="524" t="str">
        <f>IF(F17="","",VLOOKUP(U17,'G-3 Multipliers'!$P$3:$Q$6,2,FALSE))</f>
        <v/>
      </c>
      <c r="Y17" s="529" t="str">
        <f t="shared" si="5"/>
        <v/>
      </c>
      <c r="Z17" s="149"/>
      <c r="AA17" s="150"/>
      <c r="AG17" s="31" t="str">
        <f>IFERROR(INDEX('G-6 Hedgerow Data'!$BJ$3:$BJ$15,MATCH(D17,'G-6 Hedgerow Data'!$B$3:$B$15,0)),"")</f>
        <v/>
      </c>
    </row>
    <row r="18" spans="2:33" ht="14" x14ac:dyDescent="0.3">
      <c r="B18" s="103">
        <v>7</v>
      </c>
      <c r="C18" s="268"/>
      <c r="D18" s="82"/>
      <c r="E18" s="203"/>
      <c r="F18" s="498" t="str">
        <f>IF(D18="","",VLOOKUP(D18,'G-6 Hedgerow Data'!$B$2:$AG$15,2,FALSE))</f>
        <v/>
      </c>
      <c r="G18" s="524" t="str">
        <f>IF(D18="","",VLOOKUP(D18,'G-6 Hedgerow Data'!$B$2:$AG$15,3,FALSE))</f>
        <v/>
      </c>
      <c r="H18" s="72"/>
      <c r="I18" s="499" t="str">
        <f>IFERROR(IF(AND(F18="V.Low",OR(H18="Good",H18="Moderate")),"Error ▲",VLOOKUP(H18,'G-1 All Habitats'!$Z$2:$AA$9,2,FALSE)),"")</f>
        <v/>
      </c>
      <c r="J18" s="146"/>
      <c r="K18" s="520" t="str">
        <f>IF(J18="","",IF(VLOOKUP(J18,'G-3 Multipliers'!$L$3:$N$6,2,FALSE)=0,"Spatial Data Missing",VLOOKUP(J18,'G-3 Multipliers'!$L$3:$N$6,2,FALSE)))</f>
        <v/>
      </c>
      <c r="L18" s="524" t="str">
        <f>IF(J18="","",IF(VLOOKUP(J18,'G-3 Multipliers'!$L$3:$N$6,3,FALSE)=0,"Spatial Data Missing",VLOOKUP(J18,'G-3 Multipliers'!$L$3:$N$6,3,FALSE)))</f>
        <v/>
      </c>
      <c r="M18" s="197"/>
      <c r="N18" s="499" t="str">
        <f>IF(M18="","",IF(VLOOKUP(M18,'G-3 Multipliers'!$S$3:$T$6,2,FALSE)=0,"Spatial Data Missing ⚠",VLOOKUP(M18,'G-3 Multipliers'!$S$3:$T$6,2,FALSE)))</f>
        <v/>
      </c>
      <c r="O18" s="498" t="str">
        <f>IF(OR(D18="",H18=""),"",(INDEX('G-6 Hedgerow Data'!$E$3:$I$15,MATCH(D18,'G-6 Hedgerow Data'!$B$3:$B$15,0),MATCH(H18,'G-6 Hedgerow Data'!$E$2:$I$2,0))))</f>
        <v/>
      </c>
      <c r="P18" s="195"/>
      <c r="Q18" s="195"/>
      <c r="R18" s="507" t="str">
        <f t="shared" si="1"/>
        <v/>
      </c>
      <c r="S18" s="521" t="str">
        <f t="shared" si="2"/>
        <v/>
      </c>
      <c r="T18" s="522" t="str">
        <f t="shared" si="0"/>
        <v/>
      </c>
      <c r="U18" s="537" t="str">
        <f>IF(D18="","",VLOOKUP(D18,'G-6 Hedgerow Data'!$B$3:$AG$15,31,FALSE))</f>
        <v/>
      </c>
      <c r="V18" s="520" t="str">
        <f t="shared" si="3"/>
        <v/>
      </c>
      <c r="W18" s="520" t="str">
        <f t="shared" si="4"/>
        <v/>
      </c>
      <c r="X18" s="524" t="str">
        <f>IF(F18="","",VLOOKUP(U18,'G-3 Multipliers'!$P$3:$Q$6,2,FALSE))</f>
        <v/>
      </c>
      <c r="Y18" s="529" t="str">
        <f t="shared" si="5"/>
        <v/>
      </c>
      <c r="Z18" s="149"/>
      <c r="AA18" s="150"/>
      <c r="AG18" s="31" t="str">
        <f>IFERROR(INDEX('G-6 Hedgerow Data'!$BJ$3:$BJ$15,MATCH(D18,'G-6 Hedgerow Data'!$B$3:$B$15,0)),"")</f>
        <v/>
      </c>
    </row>
    <row r="19" spans="2:33" ht="14" x14ac:dyDescent="0.3">
      <c r="B19" s="103">
        <v>8</v>
      </c>
      <c r="C19" s="268"/>
      <c r="D19" s="82"/>
      <c r="E19" s="203"/>
      <c r="F19" s="498" t="str">
        <f>IF(D19="","",VLOOKUP(D19,'G-6 Hedgerow Data'!$B$2:$AG$15,2,FALSE))</f>
        <v/>
      </c>
      <c r="G19" s="524" t="str">
        <f>IF(D19="","",VLOOKUP(D19,'G-6 Hedgerow Data'!$B$2:$AG$15,3,FALSE))</f>
        <v/>
      </c>
      <c r="H19" s="72"/>
      <c r="I19" s="499" t="str">
        <f>IFERROR(IF(AND(F19="V.Low",OR(H19="Good",H19="Moderate")),"Error ▲",VLOOKUP(H19,'G-1 All Habitats'!$Z$2:$AA$9,2,FALSE)),"")</f>
        <v/>
      </c>
      <c r="J19" s="146"/>
      <c r="K19" s="520" t="str">
        <f>IF(J19="","",IF(VLOOKUP(J19,'G-3 Multipliers'!$L$3:$N$6,2,FALSE)=0,"Spatial Data Missing",VLOOKUP(J19,'G-3 Multipliers'!$L$3:$N$6,2,FALSE)))</f>
        <v/>
      </c>
      <c r="L19" s="524" t="str">
        <f>IF(J19="","",IF(VLOOKUP(J19,'G-3 Multipliers'!$L$3:$N$6,3,FALSE)=0,"Spatial Data Missing",VLOOKUP(J19,'G-3 Multipliers'!$L$3:$N$6,3,FALSE)))</f>
        <v/>
      </c>
      <c r="M19" s="197"/>
      <c r="N19" s="499" t="str">
        <f>IF(M19="","",IF(VLOOKUP(M19,'G-3 Multipliers'!$S$3:$T$6,2,FALSE)=0,"Spatial Data Missing ⚠",VLOOKUP(M19,'G-3 Multipliers'!$S$3:$T$6,2,FALSE)))</f>
        <v/>
      </c>
      <c r="O19" s="498" t="str">
        <f>IF(OR(D19="",H19=""),"",(INDEX('G-6 Hedgerow Data'!$E$3:$I$15,MATCH(D19,'G-6 Hedgerow Data'!$B$3:$B$15,0),MATCH(H19,'G-6 Hedgerow Data'!$E$2:$I$2,0))))</f>
        <v/>
      </c>
      <c r="P19" s="195"/>
      <c r="Q19" s="195"/>
      <c r="R19" s="507" t="str">
        <f t="shared" si="1"/>
        <v/>
      </c>
      <c r="S19" s="521" t="str">
        <f t="shared" si="2"/>
        <v/>
      </c>
      <c r="T19" s="522" t="str">
        <f t="shared" si="0"/>
        <v/>
      </c>
      <c r="U19" s="537" t="str">
        <f>IF(D19="","",VLOOKUP(D19,'G-6 Hedgerow Data'!$B$3:$AG$15,31,FALSE))</f>
        <v/>
      </c>
      <c r="V19" s="520" t="str">
        <f t="shared" si="3"/>
        <v/>
      </c>
      <c r="W19" s="520" t="str">
        <f t="shared" si="4"/>
        <v/>
      </c>
      <c r="X19" s="524" t="str">
        <f>IF(F19="","",VLOOKUP(U19,'G-3 Multipliers'!$P$3:$Q$6,2,FALSE))</f>
        <v/>
      </c>
      <c r="Y19" s="529" t="str">
        <f t="shared" si="5"/>
        <v/>
      </c>
      <c r="Z19" s="149"/>
      <c r="AA19" s="150"/>
      <c r="AG19" s="31" t="str">
        <f>IFERROR(INDEX('G-6 Hedgerow Data'!$BJ$3:$BJ$15,MATCH(D19,'G-6 Hedgerow Data'!$B$3:$B$15,0)),"")</f>
        <v/>
      </c>
    </row>
    <row r="20" spans="2:33" ht="14" x14ac:dyDescent="0.3">
      <c r="B20" s="103">
        <v>9</v>
      </c>
      <c r="C20" s="268"/>
      <c r="D20" s="82"/>
      <c r="E20" s="203"/>
      <c r="F20" s="498" t="str">
        <f>IF(D20="","",VLOOKUP(D20,'G-6 Hedgerow Data'!$B$2:$AG$15,2,FALSE))</f>
        <v/>
      </c>
      <c r="G20" s="524" t="str">
        <f>IF(D20="","",VLOOKUP(D20,'G-6 Hedgerow Data'!$B$2:$AG$15,3,FALSE))</f>
        <v/>
      </c>
      <c r="H20" s="72"/>
      <c r="I20" s="499" t="str">
        <f>IFERROR(IF(AND(F20="V.Low",OR(H20="Good",H20="Moderate")),"Error ▲",VLOOKUP(H20,'G-1 All Habitats'!$Z$2:$AA$9,2,FALSE)),"")</f>
        <v/>
      </c>
      <c r="J20" s="146"/>
      <c r="K20" s="520" t="str">
        <f>IF(J20="","",IF(VLOOKUP(J20,'G-3 Multipliers'!$L$3:$N$6,2,FALSE)=0,"Spatial Data Missing",VLOOKUP(J20,'G-3 Multipliers'!$L$3:$N$6,2,FALSE)))</f>
        <v/>
      </c>
      <c r="L20" s="524" t="str">
        <f>IF(J20="","",IF(VLOOKUP(J20,'G-3 Multipliers'!$L$3:$N$6,3,FALSE)=0,"Spatial Data Missing",VLOOKUP(J20,'G-3 Multipliers'!$L$3:$N$6,3,FALSE)))</f>
        <v/>
      </c>
      <c r="M20" s="197"/>
      <c r="N20" s="499" t="str">
        <f>IF(M20="","",IF(VLOOKUP(M20,'G-3 Multipliers'!$S$3:$T$6,2,FALSE)=0,"Spatial Data Missing ⚠",VLOOKUP(M20,'G-3 Multipliers'!$S$3:$T$6,2,FALSE)))</f>
        <v/>
      </c>
      <c r="O20" s="498" t="str">
        <f>IF(OR(D20="",H20=""),"",(INDEX('G-6 Hedgerow Data'!$E$3:$I$15,MATCH(D20,'G-6 Hedgerow Data'!$B$3:$B$15,0),MATCH(H20,'G-6 Hedgerow Data'!$E$2:$I$2,0))))</f>
        <v/>
      </c>
      <c r="P20" s="195"/>
      <c r="Q20" s="195"/>
      <c r="R20" s="507" t="str">
        <f t="shared" si="1"/>
        <v/>
      </c>
      <c r="S20" s="521" t="str">
        <f t="shared" si="2"/>
        <v/>
      </c>
      <c r="T20" s="522" t="str">
        <f t="shared" si="0"/>
        <v/>
      </c>
      <c r="U20" s="537" t="str">
        <f>IF(D20="","",VLOOKUP(D20,'G-6 Hedgerow Data'!$B$3:$AG$15,31,FALSE))</f>
        <v/>
      </c>
      <c r="V20" s="520" t="str">
        <f t="shared" si="3"/>
        <v/>
      </c>
      <c r="W20" s="520" t="str">
        <f t="shared" si="4"/>
        <v/>
      </c>
      <c r="X20" s="524" t="str">
        <f>IF(F20="","",VLOOKUP(U20,'G-3 Multipliers'!$P$3:$Q$6,2,FALSE))</f>
        <v/>
      </c>
      <c r="Y20" s="529" t="str">
        <f t="shared" si="5"/>
        <v/>
      </c>
      <c r="Z20" s="149"/>
      <c r="AA20" s="150"/>
      <c r="AG20" s="31" t="str">
        <f>IFERROR(INDEX('G-6 Hedgerow Data'!$BJ$3:$BJ$15,MATCH(D20,'G-6 Hedgerow Data'!$B$3:$B$15,0)),"")</f>
        <v/>
      </c>
    </row>
    <row r="21" spans="2:33" ht="14" x14ac:dyDescent="0.3">
      <c r="B21" s="103">
        <v>10</v>
      </c>
      <c r="C21" s="268"/>
      <c r="D21" s="82"/>
      <c r="E21" s="203"/>
      <c r="F21" s="498" t="str">
        <f>IF(D21="","",VLOOKUP(D21,'G-6 Hedgerow Data'!$B$2:$AG$15,2,FALSE))</f>
        <v/>
      </c>
      <c r="G21" s="524" t="str">
        <f>IF(D21="","",VLOOKUP(D21,'G-6 Hedgerow Data'!$B$2:$AG$15,3,FALSE))</f>
        <v/>
      </c>
      <c r="H21" s="72"/>
      <c r="I21" s="499" t="str">
        <f>IFERROR(IF(AND(F21="V.Low",OR(H21="Good",H21="Moderate")),"Error ▲",VLOOKUP(H21,'G-1 All Habitats'!$Z$2:$AA$9,2,FALSE)),"")</f>
        <v/>
      </c>
      <c r="J21" s="146"/>
      <c r="K21" s="520" t="str">
        <f>IF(J21="","",IF(VLOOKUP(J21,'G-3 Multipliers'!$L$3:$N$6,2,FALSE)=0,"Spatial Data Missing",VLOOKUP(J21,'G-3 Multipliers'!$L$3:$N$6,2,FALSE)))</f>
        <v/>
      </c>
      <c r="L21" s="524" t="str">
        <f>IF(J21="","",IF(VLOOKUP(J21,'G-3 Multipliers'!$L$3:$N$6,3,FALSE)=0,"Spatial Data Missing",VLOOKUP(J21,'G-3 Multipliers'!$L$3:$N$6,3,FALSE)))</f>
        <v/>
      </c>
      <c r="M21" s="197"/>
      <c r="N21" s="499" t="str">
        <f>IF(M21="","",IF(VLOOKUP(M21,'G-3 Multipliers'!$S$3:$T$6,2,FALSE)=0,"Spatial Data Missing ⚠",VLOOKUP(M21,'G-3 Multipliers'!$S$3:$T$6,2,FALSE)))</f>
        <v/>
      </c>
      <c r="O21" s="498" t="str">
        <f>IF(OR(D21="",H21=""),"",(INDEX('G-6 Hedgerow Data'!$E$3:$I$15,MATCH(D21,'G-6 Hedgerow Data'!$B$3:$B$15,0),MATCH(H21,'G-6 Hedgerow Data'!$E$2:$I$2,0))))</f>
        <v/>
      </c>
      <c r="P21" s="195"/>
      <c r="Q21" s="195"/>
      <c r="R21" s="507" t="str">
        <f t="shared" si="1"/>
        <v/>
      </c>
      <c r="S21" s="521" t="str">
        <f t="shared" si="2"/>
        <v/>
      </c>
      <c r="T21" s="522" t="str">
        <f t="shared" si="0"/>
        <v/>
      </c>
      <c r="U21" s="537" t="str">
        <f>IF(D21="","",VLOOKUP(D21,'G-6 Hedgerow Data'!$B$3:$AG$15,31,FALSE))</f>
        <v/>
      </c>
      <c r="V21" s="520" t="str">
        <f t="shared" si="3"/>
        <v/>
      </c>
      <c r="W21" s="520" t="str">
        <f t="shared" si="4"/>
        <v/>
      </c>
      <c r="X21" s="524" t="str">
        <f>IF(F21="","",VLOOKUP(U21,'G-3 Multipliers'!$P$3:$Q$6,2,FALSE))</f>
        <v/>
      </c>
      <c r="Y21" s="529" t="str">
        <f t="shared" si="5"/>
        <v/>
      </c>
      <c r="Z21" s="149"/>
      <c r="AA21" s="150"/>
      <c r="AG21" s="31" t="str">
        <f>IFERROR(INDEX('G-6 Hedgerow Data'!$BJ$3:$BJ$15,MATCH(D21,'G-6 Hedgerow Data'!$B$3:$B$15,0)),"")</f>
        <v/>
      </c>
    </row>
    <row r="22" spans="2:33" ht="14" x14ac:dyDescent="0.3">
      <c r="B22" s="103">
        <v>11</v>
      </c>
      <c r="C22" s="268"/>
      <c r="D22" s="82"/>
      <c r="E22" s="203"/>
      <c r="F22" s="498" t="str">
        <f>IF(D22="","",VLOOKUP(D22,'G-6 Hedgerow Data'!$B$2:$AG$15,2,FALSE))</f>
        <v/>
      </c>
      <c r="G22" s="524" t="str">
        <f>IF(D22="","",VLOOKUP(D22,'G-6 Hedgerow Data'!$B$2:$AG$15,3,FALSE))</f>
        <v/>
      </c>
      <c r="H22" s="72"/>
      <c r="I22" s="499" t="str">
        <f>IFERROR(IF(AND(F22="V.Low",OR(H22="Good",H22="Moderate")),"Error ▲",VLOOKUP(H22,'G-1 All Habitats'!$Z$2:$AA$9,2,FALSE)),"")</f>
        <v/>
      </c>
      <c r="J22" s="146"/>
      <c r="K22" s="520" t="str">
        <f>IF(J22="","",IF(VLOOKUP(J22,'G-3 Multipliers'!$L$3:$N$6,2,FALSE)=0,"Spatial Data Missing",VLOOKUP(J22,'G-3 Multipliers'!$L$3:$N$6,2,FALSE)))</f>
        <v/>
      </c>
      <c r="L22" s="524" t="str">
        <f>IF(J22="","",IF(VLOOKUP(J22,'G-3 Multipliers'!$L$3:$N$6,3,FALSE)=0,"Spatial Data Missing",VLOOKUP(J22,'G-3 Multipliers'!$L$3:$N$6,3,FALSE)))</f>
        <v/>
      </c>
      <c r="M22" s="197"/>
      <c r="N22" s="499" t="str">
        <f>IF(M22="","",IF(VLOOKUP(M22,'G-3 Multipliers'!$S$3:$T$6,2,FALSE)=0,"Spatial Data Missing ⚠",VLOOKUP(M22,'G-3 Multipliers'!$S$3:$T$6,2,FALSE)))</f>
        <v/>
      </c>
      <c r="O22" s="498" t="str">
        <f>IF(OR(D22="",H22=""),"",(INDEX('G-6 Hedgerow Data'!$E$3:$I$15,MATCH(D22,'G-6 Hedgerow Data'!$B$3:$B$15,0),MATCH(H22,'G-6 Hedgerow Data'!$E$2:$I$2,0))))</f>
        <v/>
      </c>
      <c r="P22" s="195"/>
      <c r="Q22" s="195"/>
      <c r="R22" s="507" t="str">
        <f t="shared" si="1"/>
        <v/>
      </c>
      <c r="S22" s="521" t="str">
        <f t="shared" si="2"/>
        <v/>
      </c>
      <c r="T22" s="522" t="str">
        <f t="shared" si="0"/>
        <v/>
      </c>
      <c r="U22" s="537" t="str">
        <f>IF(D22="","",VLOOKUP(D22,'G-6 Hedgerow Data'!$B$3:$AG$15,31,FALSE))</f>
        <v/>
      </c>
      <c r="V22" s="520" t="str">
        <f t="shared" si="3"/>
        <v/>
      </c>
      <c r="W22" s="520" t="str">
        <f t="shared" si="4"/>
        <v/>
      </c>
      <c r="X22" s="524" t="str">
        <f>IF(F22="","",VLOOKUP(U22,'G-3 Multipliers'!$P$3:$Q$6,2,FALSE))</f>
        <v/>
      </c>
      <c r="Y22" s="529" t="str">
        <f t="shared" si="5"/>
        <v/>
      </c>
      <c r="Z22" s="149"/>
      <c r="AA22" s="150"/>
      <c r="AG22" s="31" t="str">
        <f>IFERROR(INDEX('G-6 Hedgerow Data'!$BJ$3:$BJ$15,MATCH(D22,'G-6 Hedgerow Data'!$B$3:$B$15,0)),"")</f>
        <v/>
      </c>
    </row>
    <row r="23" spans="2:33" ht="14" x14ac:dyDescent="0.3">
      <c r="B23" s="103">
        <v>12</v>
      </c>
      <c r="C23" s="268"/>
      <c r="D23" s="82"/>
      <c r="E23" s="203"/>
      <c r="F23" s="498" t="str">
        <f>IF(D23="","",VLOOKUP(D23,'G-6 Hedgerow Data'!$B$2:$AG$15,2,FALSE))</f>
        <v/>
      </c>
      <c r="G23" s="524" t="str">
        <f>IF(D23="","",VLOOKUP(D23,'G-6 Hedgerow Data'!$B$2:$AG$15,3,FALSE))</f>
        <v/>
      </c>
      <c r="H23" s="72"/>
      <c r="I23" s="499" t="str">
        <f>IFERROR(IF(AND(F23="V.Low",OR(H23="Good",H23="Moderate")),"Error ▲",VLOOKUP(H23,'G-1 All Habitats'!$Z$2:$AA$9,2,FALSE)),"")</f>
        <v/>
      </c>
      <c r="J23" s="146"/>
      <c r="K23" s="520" t="str">
        <f>IF(J23="","",IF(VLOOKUP(J23,'G-3 Multipliers'!$L$3:$N$6,2,FALSE)=0,"Spatial Data Missing",VLOOKUP(J23,'G-3 Multipliers'!$L$3:$N$6,2,FALSE)))</f>
        <v/>
      </c>
      <c r="L23" s="524" t="str">
        <f>IF(J23="","",IF(VLOOKUP(J23,'G-3 Multipliers'!$L$3:$N$6,3,FALSE)=0,"Spatial Data Missing",VLOOKUP(J23,'G-3 Multipliers'!$L$3:$N$6,3,FALSE)))</f>
        <v/>
      </c>
      <c r="M23" s="197"/>
      <c r="N23" s="499" t="str">
        <f>IF(M23="","",IF(VLOOKUP(M23,'G-3 Multipliers'!$S$3:$T$6,2,FALSE)=0,"Spatial Data Missing ⚠",VLOOKUP(M23,'G-3 Multipliers'!$S$3:$T$6,2,FALSE)))</f>
        <v/>
      </c>
      <c r="O23" s="498" t="str">
        <f>IF(OR(D23="",H23=""),"",(INDEX('G-6 Hedgerow Data'!$E$3:$I$15,MATCH(D23,'G-6 Hedgerow Data'!$B$3:$B$15,0),MATCH(H23,'G-6 Hedgerow Data'!$E$2:$I$2,0))))</f>
        <v/>
      </c>
      <c r="P23" s="195"/>
      <c r="Q23" s="195"/>
      <c r="R23" s="507" t="str">
        <f t="shared" si="1"/>
        <v/>
      </c>
      <c r="S23" s="521" t="str">
        <f t="shared" si="2"/>
        <v/>
      </c>
      <c r="T23" s="522" t="str">
        <f t="shared" si="0"/>
        <v/>
      </c>
      <c r="U23" s="537" t="str">
        <f>IF(D23="","",VLOOKUP(D23,'G-6 Hedgerow Data'!$B$3:$AG$15,31,FALSE))</f>
        <v/>
      </c>
      <c r="V23" s="520" t="str">
        <f t="shared" si="3"/>
        <v/>
      </c>
      <c r="W23" s="520" t="str">
        <f t="shared" si="4"/>
        <v/>
      </c>
      <c r="X23" s="524" t="str">
        <f>IF(F23="","",VLOOKUP(U23,'G-3 Multipliers'!$P$3:$Q$6,2,FALSE))</f>
        <v/>
      </c>
      <c r="Y23" s="529" t="str">
        <f t="shared" si="5"/>
        <v/>
      </c>
      <c r="Z23" s="149"/>
      <c r="AA23" s="150"/>
      <c r="AG23" s="31" t="str">
        <f>IFERROR(INDEX('G-6 Hedgerow Data'!$BJ$3:$BJ$15,MATCH(D23,'G-6 Hedgerow Data'!$B$3:$B$15,0)),"")</f>
        <v/>
      </c>
    </row>
    <row r="24" spans="2:33" ht="14" x14ac:dyDescent="0.3">
      <c r="B24" s="103">
        <v>13</v>
      </c>
      <c r="C24" s="268"/>
      <c r="D24" s="82"/>
      <c r="E24" s="203"/>
      <c r="F24" s="498" t="str">
        <f>IF(D24="","",VLOOKUP(D24,'G-6 Hedgerow Data'!$B$2:$AG$15,2,FALSE))</f>
        <v/>
      </c>
      <c r="G24" s="524" t="str">
        <f>IF(D24="","",VLOOKUP(D24,'G-6 Hedgerow Data'!$B$2:$AG$15,3,FALSE))</f>
        <v/>
      </c>
      <c r="H24" s="72"/>
      <c r="I24" s="499" t="str">
        <f>IFERROR(IF(AND(F24="V.Low",OR(H24="Good",H24="Moderate")),"Error ▲",VLOOKUP(H24,'G-1 All Habitats'!$Z$2:$AA$9,2,FALSE)),"")</f>
        <v/>
      </c>
      <c r="J24" s="146"/>
      <c r="K24" s="520" t="str">
        <f>IF(J24="","",IF(VLOOKUP(J24,'G-3 Multipliers'!$L$3:$N$6,2,FALSE)=0,"Spatial Data Missing",VLOOKUP(J24,'G-3 Multipliers'!$L$3:$N$6,2,FALSE)))</f>
        <v/>
      </c>
      <c r="L24" s="524" t="str">
        <f>IF(J24="","",IF(VLOOKUP(J24,'G-3 Multipliers'!$L$3:$N$6,3,FALSE)=0,"Spatial Data Missing",VLOOKUP(J24,'G-3 Multipliers'!$L$3:$N$6,3,FALSE)))</f>
        <v/>
      </c>
      <c r="M24" s="197"/>
      <c r="N24" s="499" t="str">
        <f>IF(M24="","",IF(VLOOKUP(M24,'G-3 Multipliers'!$S$3:$T$6,2,FALSE)=0,"Spatial Data Missing ⚠",VLOOKUP(M24,'G-3 Multipliers'!$S$3:$T$6,2,FALSE)))</f>
        <v/>
      </c>
      <c r="O24" s="498" t="str">
        <f>IF(OR(D24="",H24=""),"",(INDEX('G-6 Hedgerow Data'!$E$3:$I$15,MATCH(D24,'G-6 Hedgerow Data'!$B$3:$B$15,0),MATCH(H24,'G-6 Hedgerow Data'!$E$2:$I$2,0))))</f>
        <v/>
      </c>
      <c r="P24" s="195"/>
      <c r="Q24" s="195"/>
      <c r="R24" s="507" t="str">
        <f t="shared" si="1"/>
        <v/>
      </c>
      <c r="S24" s="521" t="str">
        <f t="shared" si="2"/>
        <v/>
      </c>
      <c r="T24" s="522" t="str">
        <f t="shared" si="0"/>
        <v/>
      </c>
      <c r="U24" s="537" t="str">
        <f>IF(D24="","",VLOOKUP(D24,'G-6 Hedgerow Data'!$B$3:$AG$15,31,FALSE))</f>
        <v/>
      </c>
      <c r="V24" s="520" t="str">
        <f t="shared" si="3"/>
        <v/>
      </c>
      <c r="W24" s="520" t="str">
        <f t="shared" si="4"/>
        <v/>
      </c>
      <c r="X24" s="524" t="str">
        <f>IF(F24="","",VLOOKUP(U24,'G-3 Multipliers'!$P$3:$Q$6,2,FALSE))</f>
        <v/>
      </c>
      <c r="Y24" s="529" t="str">
        <f t="shared" si="5"/>
        <v/>
      </c>
      <c r="Z24" s="149"/>
      <c r="AA24" s="150"/>
      <c r="AG24" s="31" t="str">
        <f>IFERROR(INDEX('G-6 Hedgerow Data'!$BJ$3:$BJ$15,MATCH(D24,'G-6 Hedgerow Data'!$B$3:$B$15,0)),"")</f>
        <v/>
      </c>
    </row>
    <row r="25" spans="2:33" ht="14" x14ac:dyDescent="0.3">
      <c r="B25" s="103">
        <v>14</v>
      </c>
      <c r="C25" s="268"/>
      <c r="D25" s="82"/>
      <c r="E25" s="203"/>
      <c r="F25" s="498" t="str">
        <f>IF(D25="","",VLOOKUP(D25,'G-6 Hedgerow Data'!$B$2:$AG$15,2,FALSE))</f>
        <v/>
      </c>
      <c r="G25" s="524" t="str">
        <f>IF(D25="","",VLOOKUP(D25,'G-6 Hedgerow Data'!$B$2:$AG$15,3,FALSE))</f>
        <v/>
      </c>
      <c r="H25" s="72"/>
      <c r="I25" s="499" t="str">
        <f>IFERROR(IF(AND(F25="V.Low",OR(H25="Good",H25="Moderate")),"Error ▲",VLOOKUP(H25,'G-1 All Habitats'!$Z$2:$AA$9,2,FALSE)),"")</f>
        <v/>
      </c>
      <c r="J25" s="146"/>
      <c r="K25" s="520" t="str">
        <f>IF(J25="","",IF(VLOOKUP(J25,'G-3 Multipliers'!$L$3:$N$6,2,FALSE)=0,"Spatial Data Missing",VLOOKUP(J25,'G-3 Multipliers'!$L$3:$N$6,2,FALSE)))</f>
        <v/>
      </c>
      <c r="L25" s="524" t="str">
        <f>IF(J25="","",IF(VLOOKUP(J25,'G-3 Multipliers'!$L$3:$N$6,3,FALSE)=0,"Spatial Data Missing",VLOOKUP(J25,'G-3 Multipliers'!$L$3:$N$6,3,FALSE)))</f>
        <v/>
      </c>
      <c r="M25" s="197"/>
      <c r="N25" s="499" t="str">
        <f>IF(M25="","",IF(VLOOKUP(M25,'G-3 Multipliers'!$S$3:$T$6,2,FALSE)=0,"Spatial Data Missing ⚠",VLOOKUP(M25,'G-3 Multipliers'!$S$3:$T$6,2,FALSE)))</f>
        <v/>
      </c>
      <c r="O25" s="498" t="str">
        <f>IF(OR(D25="",H25=""),"",(INDEX('G-6 Hedgerow Data'!$E$3:$I$15,MATCH(D25,'G-6 Hedgerow Data'!$B$3:$B$15,0),MATCH(H25,'G-6 Hedgerow Data'!$E$2:$I$2,0))))</f>
        <v/>
      </c>
      <c r="P25" s="195"/>
      <c r="Q25" s="195"/>
      <c r="R25" s="507" t="str">
        <f t="shared" si="1"/>
        <v/>
      </c>
      <c r="S25" s="521" t="str">
        <f t="shared" si="2"/>
        <v/>
      </c>
      <c r="T25" s="522" t="str">
        <f t="shared" si="0"/>
        <v/>
      </c>
      <c r="U25" s="537" t="str">
        <f>IF(D25="","",VLOOKUP(D25,'G-6 Hedgerow Data'!$B$3:$AG$15,31,FALSE))</f>
        <v/>
      </c>
      <c r="V25" s="520" t="str">
        <f t="shared" si="3"/>
        <v/>
      </c>
      <c r="W25" s="520" t="str">
        <f t="shared" si="4"/>
        <v/>
      </c>
      <c r="X25" s="524" t="str">
        <f>IF(F25="","",VLOOKUP(U25,'G-3 Multipliers'!$P$3:$Q$6,2,FALSE))</f>
        <v/>
      </c>
      <c r="Y25" s="529" t="str">
        <f t="shared" si="5"/>
        <v/>
      </c>
      <c r="Z25" s="149"/>
      <c r="AA25" s="150"/>
      <c r="AG25" s="31" t="str">
        <f>IFERROR(INDEX('G-6 Hedgerow Data'!$BJ$3:$BJ$15,MATCH(D25,'G-6 Hedgerow Data'!$B$3:$B$15,0)),"")</f>
        <v/>
      </c>
    </row>
    <row r="26" spans="2:33" ht="14" x14ac:dyDescent="0.3">
      <c r="B26" s="103">
        <v>15</v>
      </c>
      <c r="C26" s="268"/>
      <c r="D26" s="82"/>
      <c r="E26" s="203"/>
      <c r="F26" s="498" t="str">
        <f>IF(D26="","",VLOOKUP(D26,'G-6 Hedgerow Data'!$B$2:$AG$15,2,FALSE))</f>
        <v/>
      </c>
      <c r="G26" s="524" t="str">
        <f>IF(D26="","",VLOOKUP(D26,'G-6 Hedgerow Data'!$B$2:$AG$15,3,FALSE))</f>
        <v/>
      </c>
      <c r="H26" s="72"/>
      <c r="I26" s="499" t="str">
        <f>IFERROR(IF(AND(F26="V.Low",OR(H26="Good",H26="Moderate")),"Error ▲",VLOOKUP(H26,'G-1 All Habitats'!$Z$2:$AA$9,2,FALSE)),"")</f>
        <v/>
      </c>
      <c r="J26" s="146"/>
      <c r="K26" s="520" t="str">
        <f>IF(J26="","",IF(VLOOKUP(J26,'G-3 Multipliers'!$L$3:$N$6,2,FALSE)=0,"Spatial Data Missing",VLOOKUP(J26,'G-3 Multipliers'!$L$3:$N$6,2,FALSE)))</f>
        <v/>
      </c>
      <c r="L26" s="524" t="str">
        <f>IF(J26="","",IF(VLOOKUP(J26,'G-3 Multipliers'!$L$3:$N$6,3,FALSE)=0,"Spatial Data Missing",VLOOKUP(J26,'G-3 Multipliers'!$L$3:$N$6,3,FALSE)))</f>
        <v/>
      </c>
      <c r="M26" s="197"/>
      <c r="N26" s="499" t="str">
        <f>IF(M26="","",IF(VLOOKUP(M26,'G-3 Multipliers'!$S$3:$T$6,2,FALSE)=0,"Spatial Data Missing ⚠",VLOOKUP(M26,'G-3 Multipliers'!$S$3:$T$6,2,FALSE)))</f>
        <v/>
      </c>
      <c r="O26" s="498" t="str">
        <f>IF(OR(D26="",H26=""),"",(INDEX('G-6 Hedgerow Data'!$E$3:$I$15,MATCH(D26,'G-6 Hedgerow Data'!$B$3:$B$15,0),MATCH(H26,'G-6 Hedgerow Data'!$E$2:$I$2,0))))</f>
        <v/>
      </c>
      <c r="P26" s="195"/>
      <c r="Q26" s="195"/>
      <c r="R26" s="507" t="str">
        <f t="shared" si="1"/>
        <v/>
      </c>
      <c r="S26" s="521" t="str">
        <f t="shared" si="2"/>
        <v/>
      </c>
      <c r="T26" s="522" t="str">
        <f t="shared" si="0"/>
        <v/>
      </c>
      <c r="U26" s="537" t="str">
        <f>IF(D26="","",VLOOKUP(D26,'G-6 Hedgerow Data'!$B$3:$AG$15,31,FALSE))</f>
        <v/>
      </c>
      <c r="V26" s="520" t="str">
        <f t="shared" si="3"/>
        <v/>
      </c>
      <c r="W26" s="520" t="str">
        <f t="shared" si="4"/>
        <v/>
      </c>
      <c r="X26" s="524" t="str">
        <f>IF(F26="","",VLOOKUP(U26,'G-3 Multipliers'!$P$3:$Q$6,2,FALSE))</f>
        <v/>
      </c>
      <c r="Y26" s="529" t="str">
        <f t="shared" si="5"/>
        <v/>
      </c>
      <c r="Z26" s="149"/>
      <c r="AA26" s="150"/>
      <c r="AG26" s="31" t="str">
        <f>IFERROR(INDEX('G-6 Hedgerow Data'!$BJ$3:$BJ$15,MATCH(D26,'G-6 Hedgerow Data'!$B$3:$B$15,0)),"")</f>
        <v/>
      </c>
    </row>
    <row r="27" spans="2:33" ht="14" x14ac:dyDescent="0.3">
      <c r="B27" s="103">
        <v>16</v>
      </c>
      <c r="C27" s="268"/>
      <c r="D27" s="82"/>
      <c r="E27" s="203"/>
      <c r="F27" s="498" t="str">
        <f>IF(D27="","",VLOOKUP(D27,'G-6 Hedgerow Data'!$B$2:$AG$15,2,FALSE))</f>
        <v/>
      </c>
      <c r="G27" s="524" t="str">
        <f>IF(D27="","",VLOOKUP(D27,'G-6 Hedgerow Data'!$B$2:$AG$15,3,FALSE))</f>
        <v/>
      </c>
      <c r="H27" s="72"/>
      <c r="I27" s="499" t="str">
        <f>IFERROR(IF(AND(F27="V.Low",OR(H27="Good",H27="Moderate")),"Error ▲",VLOOKUP(H27,'G-1 All Habitats'!$Z$2:$AA$9,2,FALSE)),"")</f>
        <v/>
      </c>
      <c r="J27" s="146"/>
      <c r="K27" s="520" t="str">
        <f>IF(J27="","",IF(VLOOKUP(J27,'G-3 Multipliers'!$L$3:$N$6,2,FALSE)=0,"Spatial Data Missing",VLOOKUP(J27,'G-3 Multipliers'!$L$3:$N$6,2,FALSE)))</f>
        <v/>
      </c>
      <c r="L27" s="524" t="str">
        <f>IF(J27="","",IF(VLOOKUP(J27,'G-3 Multipliers'!$L$3:$N$6,3,FALSE)=0,"Spatial Data Missing",VLOOKUP(J27,'G-3 Multipliers'!$L$3:$N$6,3,FALSE)))</f>
        <v/>
      </c>
      <c r="M27" s="197"/>
      <c r="N27" s="499" t="str">
        <f>IF(M27="","",IF(VLOOKUP(M27,'G-3 Multipliers'!$S$3:$T$6,2,FALSE)=0,"Spatial Data Missing ⚠",VLOOKUP(M27,'G-3 Multipliers'!$S$3:$T$6,2,FALSE)))</f>
        <v/>
      </c>
      <c r="O27" s="498" t="str">
        <f>IF(OR(D27="",H27=""),"",(INDEX('G-6 Hedgerow Data'!$E$3:$I$15,MATCH(D27,'G-6 Hedgerow Data'!$B$3:$B$15,0),MATCH(H27,'G-6 Hedgerow Data'!$E$2:$I$2,0))))</f>
        <v/>
      </c>
      <c r="P27" s="195"/>
      <c r="Q27" s="195"/>
      <c r="R27" s="507" t="str">
        <f t="shared" si="1"/>
        <v/>
      </c>
      <c r="S27" s="521" t="str">
        <f t="shared" si="2"/>
        <v/>
      </c>
      <c r="T27" s="522" t="str">
        <f t="shared" si="0"/>
        <v/>
      </c>
      <c r="U27" s="537" t="str">
        <f>IF(D27="","",VLOOKUP(D27,'G-6 Hedgerow Data'!$B$3:$AG$15,31,FALSE))</f>
        <v/>
      </c>
      <c r="V27" s="520" t="str">
        <f t="shared" si="3"/>
        <v/>
      </c>
      <c r="W27" s="520" t="str">
        <f t="shared" si="4"/>
        <v/>
      </c>
      <c r="X27" s="524" t="str">
        <f>IF(F27="","",VLOOKUP(U27,'G-3 Multipliers'!$P$3:$Q$6,2,FALSE))</f>
        <v/>
      </c>
      <c r="Y27" s="529" t="str">
        <f t="shared" si="5"/>
        <v/>
      </c>
      <c r="Z27" s="149"/>
      <c r="AA27" s="150"/>
      <c r="AG27" s="31" t="str">
        <f>IFERROR(INDEX('G-6 Hedgerow Data'!$BJ$3:$BJ$15,MATCH(D27,'G-6 Hedgerow Data'!$B$3:$B$15,0)),"")</f>
        <v/>
      </c>
    </row>
    <row r="28" spans="2:33" ht="14" x14ac:dyDescent="0.3">
      <c r="B28" s="103">
        <v>17</v>
      </c>
      <c r="C28" s="268"/>
      <c r="D28" s="82"/>
      <c r="E28" s="203"/>
      <c r="F28" s="498" t="str">
        <f>IF(D28="","",VLOOKUP(D28,'G-6 Hedgerow Data'!$B$2:$AG$15,2,FALSE))</f>
        <v/>
      </c>
      <c r="G28" s="524" t="str">
        <f>IF(D28="","",VLOOKUP(D28,'G-6 Hedgerow Data'!$B$2:$AG$15,3,FALSE))</f>
        <v/>
      </c>
      <c r="H28" s="72"/>
      <c r="I28" s="499" t="str">
        <f>IFERROR(IF(AND(F28="V.Low",OR(H28="Good",H28="Moderate")),"Error ▲",VLOOKUP(H28,'G-1 All Habitats'!$Z$2:$AA$9,2,FALSE)),"")</f>
        <v/>
      </c>
      <c r="J28" s="146"/>
      <c r="K28" s="520" t="str">
        <f>IF(J28="","",IF(VLOOKUP(J28,'G-3 Multipliers'!$L$3:$N$6,2,FALSE)=0,"Spatial Data Missing",VLOOKUP(J28,'G-3 Multipliers'!$L$3:$N$6,2,FALSE)))</f>
        <v/>
      </c>
      <c r="L28" s="524" t="str">
        <f>IF(J28="","",IF(VLOOKUP(J28,'G-3 Multipliers'!$L$3:$N$6,3,FALSE)=0,"Spatial Data Missing",VLOOKUP(J28,'G-3 Multipliers'!$L$3:$N$6,3,FALSE)))</f>
        <v/>
      </c>
      <c r="M28" s="197"/>
      <c r="N28" s="499" t="str">
        <f>IF(M28="","",IF(VLOOKUP(M28,'G-3 Multipliers'!$S$3:$T$6,2,FALSE)=0,"Spatial Data Missing ⚠",VLOOKUP(M28,'G-3 Multipliers'!$S$3:$T$6,2,FALSE)))</f>
        <v/>
      </c>
      <c r="O28" s="498" t="str">
        <f>IF(OR(D28="",H28=""),"",(INDEX('G-6 Hedgerow Data'!$E$3:$I$15,MATCH(D28,'G-6 Hedgerow Data'!$B$3:$B$15,0),MATCH(H28,'G-6 Hedgerow Data'!$E$2:$I$2,0))))</f>
        <v/>
      </c>
      <c r="P28" s="195"/>
      <c r="Q28" s="195"/>
      <c r="R28" s="507" t="str">
        <f t="shared" si="1"/>
        <v/>
      </c>
      <c r="S28" s="521" t="str">
        <f t="shared" si="2"/>
        <v/>
      </c>
      <c r="T28" s="522" t="str">
        <f t="shared" si="0"/>
        <v/>
      </c>
      <c r="U28" s="537" t="str">
        <f>IF(D28="","",VLOOKUP(D28,'G-6 Hedgerow Data'!$B$3:$AG$15,31,FALSE))</f>
        <v/>
      </c>
      <c r="V28" s="520" t="str">
        <f t="shared" si="3"/>
        <v/>
      </c>
      <c r="W28" s="520" t="str">
        <f t="shared" si="4"/>
        <v/>
      </c>
      <c r="X28" s="524" t="str">
        <f>IF(F28="","",VLOOKUP(U28,'G-3 Multipliers'!$P$3:$Q$6,2,FALSE))</f>
        <v/>
      </c>
      <c r="Y28" s="529" t="str">
        <f t="shared" si="5"/>
        <v/>
      </c>
      <c r="Z28" s="149"/>
      <c r="AA28" s="150"/>
      <c r="AG28" s="31" t="str">
        <f>IFERROR(INDEX('G-6 Hedgerow Data'!$BJ$3:$BJ$15,MATCH(D28,'G-6 Hedgerow Data'!$B$3:$B$15,0)),"")</f>
        <v/>
      </c>
    </row>
    <row r="29" spans="2:33" ht="14" x14ac:dyDescent="0.3">
      <c r="B29" s="103">
        <v>18</v>
      </c>
      <c r="C29" s="268"/>
      <c r="D29" s="82"/>
      <c r="E29" s="203"/>
      <c r="F29" s="498" t="str">
        <f>IF(D29="","",VLOOKUP(D29,'G-6 Hedgerow Data'!$B$2:$AG$15,2,FALSE))</f>
        <v/>
      </c>
      <c r="G29" s="524" t="str">
        <f>IF(D29="","",VLOOKUP(D29,'G-6 Hedgerow Data'!$B$2:$AG$15,3,FALSE))</f>
        <v/>
      </c>
      <c r="H29" s="72"/>
      <c r="I29" s="499" t="str">
        <f>IFERROR(IF(AND(F29="V.Low",OR(H29="Good",H29="Moderate")),"Error ▲",VLOOKUP(H29,'G-1 All Habitats'!$Z$2:$AA$9,2,FALSE)),"")</f>
        <v/>
      </c>
      <c r="J29" s="146"/>
      <c r="K29" s="520" t="str">
        <f>IF(J29="","",IF(VLOOKUP(J29,'G-3 Multipliers'!$L$3:$N$6,2,FALSE)=0,"Spatial Data Missing",VLOOKUP(J29,'G-3 Multipliers'!$L$3:$N$6,2,FALSE)))</f>
        <v/>
      </c>
      <c r="L29" s="524" t="str">
        <f>IF(J29="","",IF(VLOOKUP(J29,'G-3 Multipliers'!$L$3:$N$6,3,FALSE)=0,"Spatial Data Missing",VLOOKUP(J29,'G-3 Multipliers'!$L$3:$N$6,3,FALSE)))</f>
        <v/>
      </c>
      <c r="M29" s="197"/>
      <c r="N29" s="499" t="str">
        <f>IF(M29="","",IF(VLOOKUP(M29,'G-3 Multipliers'!$S$3:$T$6,2,FALSE)=0,"Spatial Data Missing ⚠",VLOOKUP(M29,'G-3 Multipliers'!$S$3:$T$6,2,FALSE)))</f>
        <v/>
      </c>
      <c r="O29" s="498" t="str">
        <f>IF(OR(D29="",H29=""),"",(INDEX('G-6 Hedgerow Data'!$E$3:$I$15,MATCH(D29,'G-6 Hedgerow Data'!$B$3:$B$15,0),MATCH(H29,'G-6 Hedgerow Data'!$E$2:$I$2,0))))</f>
        <v/>
      </c>
      <c r="P29" s="195"/>
      <c r="Q29" s="195"/>
      <c r="R29" s="507" t="str">
        <f t="shared" si="1"/>
        <v/>
      </c>
      <c r="S29" s="521" t="str">
        <f t="shared" si="2"/>
        <v/>
      </c>
      <c r="T29" s="522" t="str">
        <f t="shared" si="0"/>
        <v/>
      </c>
      <c r="U29" s="537" t="str">
        <f>IF(D29="","",VLOOKUP(D29,'G-6 Hedgerow Data'!$B$3:$AG$15,31,FALSE))</f>
        <v/>
      </c>
      <c r="V29" s="520" t="str">
        <f t="shared" si="3"/>
        <v/>
      </c>
      <c r="W29" s="520" t="str">
        <f t="shared" si="4"/>
        <v/>
      </c>
      <c r="X29" s="524" t="str">
        <f>IF(F29="","",VLOOKUP(U29,'G-3 Multipliers'!$P$3:$Q$6,2,FALSE))</f>
        <v/>
      </c>
      <c r="Y29" s="529" t="str">
        <f t="shared" si="5"/>
        <v/>
      </c>
      <c r="Z29" s="149"/>
      <c r="AA29" s="150"/>
      <c r="AG29" s="31" t="str">
        <f>IFERROR(INDEX('G-6 Hedgerow Data'!$BJ$3:$BJ$15,MATCH(D29,'G-6 Hedgerow Data'!$B$3:$B$15,0)),"")</f>
        <v/>
      </c>
    </row>
    <row r="30" spans="2:33" ht="14" x14ac:dyDescent="0.3">
      <c r="B30" s="103">
        <v>19</v>
      </c>
      <c r="C30" s="268"/>
      <c r="D30" s="82"/>
      <c r="E30" s="203"/>
      <c r="F30" s="498" t="str">
        <f>IF(D30="","",VLOOKUP(D30,'G-6 Hedgerow Data'!$B$2:$AG$15,2,FALSE))</f>
        <v/>
      </c>
      <c r="G30" s="524" t="str">
        <f>IF(D30="","",VLOOKUP(D30,'G-6 Hedgerow Data'!$B$2:$AG$15,3,FALSE))</f>
        <v/>
      </c>
      <c r="H30" s="72"/>
      <c r="I30" s="499" t="str">
        <f>IFERROR(IF(AND(F30="V.Low",OR(H30="Good",H30="Moderate")),"Error ▲",VLOOKUP(H30,'G-1 All Habitats'!$Z$2:$AA$9,2,FALSE)),"")</f>
        <v/>
      </c>
      <c r="J30" s="146"/>
      <c r="K30" s="520" t="str">
        <f>IF(J30="","",IF(VLOOKUP(J30,'G-3 Multipliers'!$L$3:$N$6,2,FALSE)=0,"Spatial Data Missing",VLOOKUP(J30,'G-3 Multipliers'!$L$3:$N$6,2,FALSE)))</f>
        <v/>
      </c>
      <c r="L30" s="524" t="str">
        <f>IF(J30="","",IF(VLOOKUP(J30,'G-3 Multipliers'!$L$3:$N$6,3,FALSE)=0,"Spatial Data Missing",VLOOKUP(J30,'G-3 Multipliers'!$L$3:$N$6,3,FALSE)))</f>
        <v/>
      </c>
      <c r="M30" s="197"/>
      <c r="N30" s="499" t="str">
        <f>IF(M30="","",IF(VLOOKUP(M30,'G-3 Multipliers'!$S$3:$T$6,2,FALSE)=0,"Spatial Data Missing ⚠",VLOOKUP(M30,'G-3 Multipliers'!$S$3:$T$6,2,FALSE)))</f>
        <v/>
      </c>
      <c r="O30" s="498" t="str">
        <f>IF(OR(D30="",H30=""),"",(INDEX('G-6 Hedgerow Data'!$E$3:$I$15,MATCH(D30,'G-6 Hedgerow Data'!$B$3:$B$15,0),MATCH(H30,'G-6 Hedgerow Data'!$E$2:$I$2,0))))</f>
        <v/>
      </c>
      <c r="P30" s="195"/>
      <c r="Q30" s="195"/>
      <c r="R30" s="507" t="str">
        <f t="shared" si="1"/>
        <v/>
      </c>
      <c r="S30" s="521" t="str">
        <f t="shared" si="2"/>
        <v/>
      </c>
      <c r="T30" s="522" t="str">
        <f t="shared" si="0"/>
        <v/>
      </c>
      <c r="U30" s="537" t="str">
        <f>IF(D30="","",VLOOKUP(D30,'G-6 Hedgerow Data'!$B$3:$AG$15,31,FALSE))</f>
        <v/>
      </c>
      <c r="V30" s="520" t="str">
        <f t="shared" si="3"/>
        <v/>
      </c>
      <c r="W30" s="520" t="str">
        <f t="shared" si="4"/>
        <v/>
      </c>
      <c r="X30" s="524" t="str">
        <f>IF(F30="","",VLOOKUP(U30,'G-3 Multipliers'!$P$3:$Q$6,2,FALSE))</f>
        <v/>
      </c>
      <c r="Y30" s="529" t="str">
        <f t="shared" si="5"/>
        <v/>
      </c>
      <c r="Z30" s="149"/>
      <c r="AA30" s="150"/>
      <c r="AG30" s="31" t="str">
        <f>IFERROR(INDEX('G-6 Hedgerow Data'!$BJ$3:$BJ$15,MATCH(D30,'G-6 Hedgerow Data'!$B$3:$B$15,0)),"")</f>
        <v/>
      </c>
    </row>
    <row r="31" spans="2:33" ht="14" x14ac:dyDescent="0.3">
      <c r="B31" s="103">
        <v>20</v>
      </c>
      <c r="C31" s="268"/>
      <c r="D31" s="82"/>
      <c r="E31" s="203"/>
      <c r="F31" s="498" t="str">
        <f>IF(D31="","",VLOOKUP(D31,'G-6 Hedgerow Data'!$B$2:$AG$15,2,FALSE))</f>
        <v/>
      </c>
      <c r="G31" s="524" t="str">
        <f>IF(D31="","",VLOOKUP(D31,'G-6 Hedgerow Data'!$B$2:$AG$15,3,FALSE))</f>
        <v/>
      </c>
      <c r="H31" s="72"/>
      <c r="I31" s="499" t="str">
        <f>IFERROR(IF(AND(F31="V.Low",OR(H31="Good",H31="Moderate")),"Error ▲",VLOOKUP(H31,'G-1 All Habitats'!$Z$2:$AA$9,2,FALSE)),"")</f>
        <v/>
      </c>
      <c r="J31" s="146"/>
      <c r="K31" s="520" t="str">
        <f>IF(J31="","",IF(VLOOKUP(J31,'G-3 Multipliers'!$L$3:$N$6,2,FALSE)=0,"Spatial Data Missing",VLOOKUP(J31,'G-3 Multipliers'!$L$3:$N$6,2,FALSE)))</f>
        <v/>
      </c>
      <c r="L31" s="524" t="str">
        <f>IF(J31="","",IF(VLOOKUP(J31,'G-3 Multipliers'!$L$3:$N$6,3,FALSE)=0,"Spatial Data Missing",VLOOKUP(J31,'G-3 Multipliers'!$L$3:$N$6,3,FALSE)))</f>
        <v/>
      </c>
      <c r="M31" s="197"/>
      <c r="N31" s="499" t="str">
        <f>IF(M31="","",IF(VLOOKUP(M31,'G-3 Multipliers'!$S$3:$T$6,2,FALSE)=0,"Spatial Data Missing ⚠",VLOOKUP(M31,'G-3 Multipliers'!$S$3:$T$6,2,FALSE)))</f>
        <v/>
      </c>
      <c r="O31" s="498" t="str">
        <f>IF(OR(D31="",H31=""),"",(INDEX('G-6 Hedgerow Data'!$E$3:$I$15,MATCH(D31,'G-6 Hedgerow Data'!$B$3:$B$15,0),MATCH(H31,'G-6 Hedgerow Data'!$E$2:$I$2,0))))</f>
        <v/>
      </c>
      <c r="P31" s="195"/>
      <c r="Q31" s="195"/>
      <c r="R31" s="507" t="str">
        <f t="shared" si="1"/>
        <v/>
      </c>
      <c r="S31" s="521" t="str">
        <f t="shared" si="2"/>
        <v/>
      </c>
      <c r="T31" s="522" t="str">
        <f t="shared" si="0"/>
        <v/>
      </c>
      <c r="U31" s="537" t="str">
        <f>IF(D31="","",VLOOKUP(D31,'G-6 Hedgerow Data'!$B$3:$AG$15,31,FALSE))</f>
        <v/>
      </c>
      <c r="V31" s="520" t="str">
        <f t="shared" si="3"/>
        <v/>
      </c>
      <c r="W31" s="520" t="str">
        <f t="shared" si="4"/>
        <v/>
      </c>
      <c r="X31" s="524" t="str">
        <f>IF(F31="","",VLOOKUP(U31,'G-3 Multipliers'!$P$3:$Q$6,2,FALSE))</f>
        <v/>
      </c>
      <c r="Y31" s="529" t="str">
        <f t="shared" si="5"/>
        <v/>
      </c>
      <c r="Z31" s="149"/>
      <c r="AA31" s="150"/>
      <c r="AG31" s="31" t="str">
        <f>IFERROR(INDEX('G-6 Hedgerow Data'!$BJ$3:$BJ$15,MATCH(D31,'G-6 Hedgerow Data'!$B$3:$B$15,0)),"")</f>
        <v/>
      </c>
    </row>
    <row r="32" spans="2:33" ht="14" x14ac:dyDescent="0.3">
      <c r="B32" s="103">
        <v>21</v>
      </c>
      <c r="C32" s="268"/>
      <c r="D32" s="82"/>
      <c r="E32" s="203"/>
      <c r="F32" s="498" t="str">
        <f>IF(D32="","",VLOOKUP(D32,'G-6 Hedgerow Data'!$B$2:$AG$15,2,FALSE))</f>
        <v/>
      </c>
      <c r="G32" s="524" t="str">
        <f>IF(D32="","",VLOOKUP(D32,'G-6 Hedgerow Data'!$B$2:$AG$15,3,FALSE))</f>
        <v/>
      </c>
      <c r="H32" s="72"/>
      <c r="I32" s="499" t="str">
        <f>IFERROR(IF(AND(F32="V.Low",OR(H32="Good",H32="Moderate")),"Error ▲",VLOOKUP(H32,'G-1 All Habitats'!$Z$2:$AA$9,2,FALSE)),"")</f>
        <v/>
      </c>
      <c r="J32" s="146"/>
      <c r="K32" s="520" t="str">
        <f>IF(J32="","",IF(VLOOKUP(J32,'G-3 Multipliers'!$L$3:$N$6,2,FALSE)=0,"Spatial Data Missing",VLOOKUP(J32,'G-3 Multipliers'!$L$3:$N$6,2,FALSE)))</f>
        <v/>
      </c>
      <c r="L32" s="524" t="str">
        <f>IF(J32="","",IF(VLOOKUP(J32,'G-3 Multipliers'!$L$3:$N$6,3,FALSE)=0,"Spatial Data Missing",VLOOKUP(J32,'G-3 Multipliers'!$L$3:$N$6,3,FALSE)))</f>
        <v/>
      </c>
      <c r="M32" s="197"/>
      <c r="N32" s="499" t="str">
        <f>IF(M32="","",IF(VLOOKUP(M32,'G-3 Multipliers'!$S$3:$T$6,2,FALSE)=0,"Spatial Data Missing ⚠",VLOOKUP(M32,'G-3 Multipliers'!$S$3:$T$6,2,FALSE)))</f>
        <v/>
      </c>
      <c r="O32" s="498" t="str">
        <f>IF(OR(D32="",H32=""),"",(INDEX('G-6 Hedgerow Data'!$E$3:$I$15,MATCH(D32,'G-6 Hedgerow Data'!$B$3:$B$15,0),MATCH(H32,'G-6 Hedgerow Data'!$E$2:$I$2,0))))</f>
        <v/>
      </c>
      <c r="P32" s="195"/>
      <c r="Q32" s="195"/>
      <c r="R32" s="507" t="str">
        <f t="shared" si="1"/>
        <v/>
      </c>
      <c r="S32" s="521" t="str">
        <f t="shared" si="2"/>
        <v/>
      </c>
      <c r="T32" s="522" t="str">
        <f t="shared" si="0"/>
        <v/>
      </c>
      <c r="U32" s="537" t="str">
        <f>IF(D32="","",VLOOKUP(D32,'G-6 Hedgerow Data'!$B$3:$AG$15,31,FALSE))</f>
        <v/>
      </c>
      <c r="V32" s="520" t="str">
        <f t="shared" si="3"/>
        <v/>
      </c>
      <c r="W32" s="520" t="str">
        <f t="shared" si="4"/>
        <v/>
      </c>
      <c r="X32" s="524" t="str">
        <f>IF(F32="","",VLOOKUP(U32,'G-3 Multipliers'!$P$3:$Q$6,2,FALSE))</f>
        <v/>
      </c>
      <c r="Y32" s="529" t="str">
        <f t="shared" si="5"/>
        <v/>
      </c>
      <c r="Z32" s="149"/>
      <c r="AA32" s="150"/>
      <c r="AG32" s="31" t="str">
        <f>IFERROR(INDEX('G-6 Hedgerow Data'!$BJ$3:$BJ$15,MATCH(D32,'G-6 Hedgerow Data'!$B$3:$B$15,0)),"")</f>
        <v/>
      </c>
    </row>
    <row r="33" spans="2:33" ht="14" x14ac:dyDescent="0.3">
      <c r="B33" s="103">
        <v>22</v>
      </c>
      <c r="C33" s="268"/>
      <c r="D33" s="82"/>
      <c r="E33" s="203"/>
      <c r="F33" s="498" t="str">
        <f>IF(D33="","",VLOOKUP(D33,'G-6 Hedgerow Data'!$B$2:$AG$15,2,FALSE))</f>
        <v/>
      </c>
      <c r="G33" s="524" t="str">
        <f>IF(D33="","",VLOOKUP(D33,'G-6 Hedgerow Data'!$B$2:$AG$15,3,FALSE))</f>
        <v/>
      </c>
      <c r="H33" s="72"/>
      <c r="I33" s="499" t="str">
        <f>IFERROR(IF(AND(F33="V.Low",OR(H33="Good",H33="Moderate")),"Error ▲",VLOOKUP(H33,'G-1 All Habitats'!$Z$2:$AA$9,2,FALSE)),"")</f>
        <v/>
      </c>
      <c r="J33" s="146"/>
      <c r="K33" s="520" t="str">
        <f>IF(J33="","",IF(VLOOKUP(J33,'G-3 Multipliers'!$L$3:$N$6,2,FALSE)=0,"Spatial Data Missing",VLOOKUP(J33,'G-3 Multipliers'!$L$3:$N$6,2,FALSE)))</f>
        <v/>
      </c>
      <c r="L33" s="524" t="str">
        <f>IF(J33="","",IF(VLOOKUP(J33,'G-3 Multipliers'!$L$3:$N$6,3,FALSE)=0,"Spatial Data Missing",VLOOKUP(J33,'G-3 Multipliers'!$L$3:$N$6,3,FALSE)))</f>
        <v/>
      </c>
      <c r="M33" s="197"/>
      <c r="N33" s="499" t="str">
        <f>IF(M33="","",IF(VLOOKUP(M33,'G-3 Multipliers'!$S$3:$T$6,2,FALSE)=0,"Spatial Data Missing ⚠",VLOOKUP(M33,'G-3 Multipliers'!$S$3:$T$6,2,FALSE)))</f>
        <v/>
      </c>
      <c r="O33" s="498" t="str">
        <f>IF(OR(D33="",H33=""),"",(INDEX('G-6 Hedgerow Data'!$E$3:$I$15,MATCH(D33,'G-6 Hedgerow Data'!$B$3:$B$15,0),MATCH(H33,'G-6 Hedgerow Data'!$E$2:$I$2,0))))</f>
        <v/>
      </c>
      <c r="P33" s="195"/>
      <c r="Q33" s="195"/>
      <c r="R33" s="507" t="str">
        <f t="shared" si="1"/>
        <v/>
      </c>
      <c r="S33" s="521" t="str">
        <f t="shared" si="2"/>
        <v/>
      </c>
      <c r="T33" s="522" t="str">
        <f t="shared" si="0"/>
        <v/>
      </c>
      <c r="U33" s="537" t="str">
        <f>IF(D33="","",VLOOKUP(D33,'G-6 Hedgerow Data'!$B$3:$AG$15,31,FALSE))</f>
        <v/>
      </c>
      <c r="V33" s="520" t="str">
        <f t="shared" si="3"/>
        <v/>
      </c>
      <c r="W33" s="520" t="str">
        <f t="shared" si="4"/>
        <v/>
      </c>
      <c r="X33" s="524" t="str">
        <f>IF(F33="","",VLOOKUP(U33,'G-3 Multipliers'!$P$3:$Q$6,2,FALSE))</f>
        <v/>
      </c>
      <c r="Y33" s="529" t="str">
        <f t="shared" si="5"/>
        <v/>
      </c>
      <c r="Z33" s="149"/>
      <c r="AA33" s="150"/>
      <c r="AG33" s="31" t="str">
        <f>IFERROR(INDEX('G-6 Hedgerow Data'!$BJ$3:$BJ$15,MATCH(D33,'G-6 Hedgerow Data'!$B$3:$B$15,0)),"")</f>
        <v/>
      </c>
    </row>
    <row r="34" spans="2:33" ht="14" x14ac:dyDescent="0.3">
      <c r="B34" s="103">
        <v>23</v>
      </c>
      <c r="C34" s="268"/>
      <c r="D34" s="82"/>
      <c r="E34" s="203"/>
      <c r="F34" s="498" t="str">
        <f>IF(D34="","",VLOOKUP(D34,'G-6 Hedgerow Data'!$B$2:$AG$15,2,FALSE))</f>
        <v/>
      </c>
      <c r="G34" s="524" t="str">
        <f>IF(D34="","",VLOOKUP(D34,'G-6 Hedgerow Data'!$B$2:$AG$15,3,FALSE))</f>
        <v/>
      </c>
      <c r="H34" s="72"/>
      <c r="I34" s="499" t="str">
        <f>IFERROR(IF(AND(F34="V.Low",OR(H34="Good",H34="Moderate")),"Error ▲",VLOOKUP(H34,'G-1 All Habitats'!$Z$2:$AA$9,2,FALSE)),"")</f>
        <v/>
      </c>
      <c r="J34" s="146"/>
      <c r="K34" s="520" t="str">
        <f>IF(J34="","",IF(VLOOKUP(J34,'G-3 Multipliers'!$L$3:$N$6,2,FALSE)=0,"Spatial Data Missing",VLOOKUP(J34,'G-3 Multipliers'!$L$3:$N$6,2,FALSE)))</f>
        <v/>
      </c>
      <c r="L34" s="524" t="str">
        <f>IF(J34="","",IF(VLOOKUP(J34,'G-3 Multipliers'!$L$3:$N$6,3,FALSE)=0,"Spatial Data Missing",VLOOKUP(J34,'G-3 Multipliers'!$L$3:$N$6,3,FALSE)))</f>
        <v/>
      </c>
      <c r="M34" s="197"/>
      <c r="N34" s="499" t="str">
        <f>IF(M34="","",IF(VLOOKUP(M34,'G-3 Multipliers'!$S$3:$T$6,2,FALSE)=0,"Spatial Data Missing ⚠",VLOOKUP(M34,'G-3 Multipliers'!$S$3:$T$6,2,FALSE)))</f>
        <v/>
      </c>
      <c r="O34" s="498" t="str">
        <f>IF(OR(D34="",H34=""),"",(INDEX('G-6 Hedgerow Data'!$E$3:$I$15,MATCH(D34,'G-6 Hedgerow Data'!$B$3:$B$15,0),MATCH(H34,'G-6 Hedgerow Data'!$E$2:$I$2,0))))</f>
        <v/>
      </c>
      <c r="P34" s="195"/>
      <c r="Q34" s="195"/>
      <c r="R34" s="507" t="str">
        <f t="shared" si="1"/>
        <v/>
      </c>
      <c r="S34" s="521" t="str">
        <f t="shared" si="2"/>
        <v/>
      </c>
      <c r="T34" s="522" t="str">
        <f t="shared" si="0"/>
        <v/>
      </c>
      <c r="U34" s="537" t="str">
        <f>IF(D34="","",VLOOKUP(D34,'G-6 Hedgerow Data'!$B$3:$AG$15,31,FALSE))</f>
        <v/>
      </c>
      <c r="V34" s="520" t="str">
        <f t="shared" si="3"/>
        <v/>
      </c>
      <c r="W34" s="520" t="str">
        <f t="shared" si="4"/>
        <v/>
      </c>
      <c r="X34" s="524" t="str">
        <f>IF(F34="","",VLOOKUP(U34,'G-3 Multipliers'!$P$3:$Q$6,2,FALSE))</f>
        <v/>
      </c>
      <c r="Y34" s="529" t="str">
        <f t="shared" si="5"/>
        <v/>
      </c>
      <c r="Z34" s="149"/>
      <c r="AA34" s="150"/>
      <c r="AG34" s="31" t="str">
        <f>IFERROR(INDEX('G-6 Hedgerow Data'!$BJ$3:$BJ$15,MATCH(D34,'G-6 Hedgerow Data'!$B$3:$B$15,0)),"")</f>
        <v/>
      </c>
    </row>
    <row r="35" spans="2:33" ht="14" x14ac:dyDescent="0.3">
      <c r="B35" s="103">
        <v>24</v>
      </c>
      <c r="C35" s="268"/>
      <c r="D35" s="82"/>
      <c r="E35" s="203"/>
      <c r="F35" s="498" t="str">
        <f>IF(D35="","",VLOOKUP(D35,'G-6 Hedgerow Data'!$B$2:$AG$15,2,FALSE))</f>
        <v/>
      </c>
      <c r="G35" s="524" t="str">
        <f>IF(D35="","",VLOOKUP(D35,'G-6 Hedgerow Data'!$B$2:$AG$15,3,FALSE))</f>
        <v/>
      </c>
      <c r="H35" s="72"/>
      <c r="I35" s="499" t="str">
        <f>IFERROR(IF(AND(F35="V.Low",OR(H35="Good",H35="Moderate")),"Error ▲",VLOOKUP(H35,'G-1 All Habitats'!$Z$2:$AA$9,2,FALSE)),"")</f>
        <v/>
      </c>
      <c r="J35" s="146"/>
      <c r="K35" s="520" t="str">
        <f>IF(J35="","",IF(VLOOKUP(J35,'G-3 Multipliers'!$L$3:$N$6,2,FALSE)=0,"Spatial Data Missing",VLOOKUP(J35,'G-3 Multipliers'!$L$3:$N$6,2,FALSE)))</f>
        <v/>
      </c>
      <c r="L35" s="524" t="str">
        <f>IF(J35="","",IF(VLOOKUP(J35,'G-3 Multipliers'!$L$3:$N$6,3,FALSE)=0,"Spatial Data Missing",VLOOKUP(J35,'G-3 Multipliers'!$L$3:$N$6,3,FALSE)))</f>
        <v/>
      </c>
      <c r="M35" s="197"/>
      <c r="N35" s="499" t="str">
        <f>IF(M35="","",IF(VLOOKUP(M35,'G-3 Multipliers'!$S$3:$T$6,2,FALSE)=0,"Spatial Data Missing ⚠",VLOOKUP(M35,'G-3 Multipliers'!$S$3:$T$6,2,FALSE)))</f>
        <v/>
      </c>
      <c r="O35" s="498" t="str">
        <f>IF(OR(D35="",H35=""),"",(INDEX('G-6 Hedgerow Data'!$E$3:$I$15,MATCH(D35,'G-6 Hedgerow Data'!$B$3:$B$15,0),MATCH(H35,'G-6 Hedgerow Data'!$E$2:$I$2,0))))</f>
        <v/>
      </c>
      <c r="P35" s="195"/>
      <c r="Q35" s="195"/>
      <c r="R35" s="507" t="str">
        <f t="shared" si="1"/>
        <v/>
      </c>
      <c r="S35" s="521" t="str">
        <f t="shared" si="2"/>
        <v/>
      </c>
      <c r="T35" s="522" t="str">
        <f t="shared" si="0"/>
        <v/>
      </c>
      <c r="U35" s="537" t="str">
        <f>IF(D35="","",VLOOKUP(D35,'G-6 Hedgerow Data'!$B$3:$AG$15,31,FALSE))</f>
        <v/>
      </c>
      <c r="V35" s="520" t="str">
        <f t="shared" si="3"/>
        <v/>
      </c>
      <c r="W35" s="520" t="str">
        <f t="shared" si="4"/>
        <v/>
      </c>
      <c r="X35" s="524" t="str">
        <f>IF(F35="","",VLOOKUP(U35,'G-3 Multipliers'!$P$3:$Q$6,2,FALSE))</f>
        <v/>
      </c>
      <c r="Y35" s="529" t="str">
        <f t="shared" si="5"/>
        <v/>
      </c>
      <c r="Z35" s="149"/>
      <c r="AA35" s="150"/>
      <c r="AG35" s="31" t="str">
        <f>IFERROR(INDEX('G-6 Hedgerow Data'!$BJ$3:$BJ$15,MATCH(D35,'G-6 Hedgerow Data'!$B$3:$B$15,0)),"")</f>
        <v/>
      </c>
    </row>
    <row r="36" spans="2:33" ht="14" x14ac:dyDescent="0.3">
      <c r="B36" s="103">
        <v>25</v>
      </c>
      <c r="C36" s="268"/>
      <c r="D36" s="82"/>
      <c r="E36" s="203"/>
      <c r="F36" s="498" t="str">
        <f>IF(D36="","",VLOOKUP(D36,'G-6 Hedgerow Data'!$B$2:$AG$15,2,FALSE))</f>
        <v/>
      </c>
      <c r="G36" s="524" t="str">
        <f>IF(D36="","",VLOOKUP(D36,'G-6 Hedgerow Data'!$B$2:$AG$15,3,FALSE))</f>
        <v/>
      </c>
      <c r="H36" s="72"/>
      <c r="I36" s="499" t="str">
        <f>IFERROR(IF(AND(F36="V.Low",OR(H36="Good",H36="Moderate")),"Error ▲",VLOOKUP(H36,'G-1 All Habitats'!$Z$2:$AA$9,2,FALSE)),"")</f>
        <v/>
      </c>
      <c r="J36" s="146"/>
      <c r="K36" s="520" t="str">
        <f>IF(J36="","",IF(VLOOKUP(J36,'G-3 Multipliers'!$L$3:$N$6,2,FALSE)=0,"Spatial Data Missing",VLOOKUP(J36,'G-3 Multipliers'!$L$3:$N$6,2,FALSE)))</f>
        <v/>
      </c>
      <c r="L36" s="524" t="str">
        <f>IF(J36="","",IF(VLOOKUP(J36,'G-3 Multipliers'!$L$3:$N$6,3,FALSE)=0,"Spatial Data Missing",VLOOKUP(J36,'G-3 Multipliers'!$L$3:$N$6,3,FALSE)))</f>
        <v/>
      </c>
      <c r="M36" s="197"/>
      <c r="N36" s="499" t="str">
        <f>IF(M36="","",IF(VLOOKUP(M36,'G-3 Multipliers'!$S$3:$T$6,2,FALSE)=0,"Spatial Data Missing ⚠",VLOOKUP(M36,'G-3 Multipliers'!$S$3:$T$6,2,FALSE)))</f>
        <v/>
      </c>
      <c r="O36" s="498" t="str">
        <f>IF(OR(D36="",H36=""),"",(INDEX('G-6 Hedgerow Data'!$E$3:$I$15,MATCH(D36,'G-6 Hedgerow Data'!$B$3:$B$15,0),MATCH(H36,'G-6 Hedgerow Data'!$E$2:$I$2,0))))</f>
        <v/>
      </c>
      <c r="P36" s="195"/>
      <c r="Q36" s="195"/>
      <c r="R36" s="507" t="str">
        <f t="shared" si="1"/>
        <v/>
      </c>
      <c r="S36" s="521" t="str">
        <f t="shared" si="2"/>
        <v/>
      </c>
      <c r="T36" s="522" t="str">
        <f t="shared" si="0"/>
        <v/>
      </c>
      <c r="U36" s="537" t="str">
        <f>IF(D36="","",VLOOKUP(D36,'G-6 Hedgerow Data'!$B$3:$AG$15,31,FALSE))</f>
        <v/>
      </c>
      <c r="V36" s="520" t="str">
        <f t="shared" si="3"/>
        <v/>
      </c>
      <c r="W36" s="520" t="str">
        <f t="shared" si="4"/>
        <v/>
      </c>
      <c r="X36" s="524" t="str">
        <f>IF(F36="","",VLOOKUP(U36,'G-3 Multipliers'!$P$3:$Q$6,2,FALSE))</f>
        <v/>
      </c>
      <c r="Y36" s="529" t="str">
        <f t="shared" si="5"/>
        <v/>
      </c>
      <c r="Z36" s="149"/>
      <c r="AA36" s="150"/>
      <c r="AG36" s="31" t="str">
        <f>IFERROR(INDEX('G-6 Hedgerow Data'!$BJ$3:$BJ$15,MATCH(D36,'G-6 Hedgerow Data'!$B$3:$B$15,0)),"")</f>
        <v/>
      </c>
    </row>
    <row r="37" spans="2:33" ht="14" x14ac:dyDescent="0.3">
      <c r="B37" s="103">
        <v>26</v>
      </c>
      <c r="C37" s="268"/>
      <c r="D37" s="82"/>
      <c r="E37" s="203"/>
      <c r="F37" s="498" t="str">
        <f>IF(D37="","",VLOOKUP(D37,'G-6 Hedgerow Data'!$B$2:$AG$15,2,FALSE))</f>
        <v/>
      </c>
      <c r="G37" s="524" t="str">
        <f>IF(D37="","",VLOOKUP(D37,'G-6 Hedgerow Data'!$B$2:$AG$15,3,FALSE))</f>
        <v/>
      </c>
      <c r="H37" s="72"/>
      <c r="I37" s="499" t="str">
        <f>IFERROR(IF(AND(F37="V.Low",OR(H37="Good",H37="Moderate")),"Error ▲",VLOOKUP(H37,'G-1 All Habitats'!$Z$2:$AA$9,2,FALSE)),"")</f>
        <v/>
      </c>
      <c r="J37" s="146"/>
      <c r="K37" s="520" t="str">
        <f>IF(J37="","",IF(VLOOKUP(J37,'G-3 Multipliers'!$L$3:$N$6,2,FALSE)=0,"Spatial Data Missing",VLOOKUP(J37,'G-3 Multipliers'!$L$3:$N$6,2,FALSE)))</f>
        <v/>
      </c>
      <c r="L37" s="524" t="str">
        <f>IF(J37="","",IF(VLOOKUP(J37,'G-3 Multipliers'!$L$3:$N$6,3,FALSE)=0,"Spatial Data Missing",VLOOKUP(J37,'G-3 Multipliers'!$L$3:$N$6,3,FALSE)))</f>
        <v/>
      </c>
      <c r="M37" s="197"/>
      <c r="N37" s="499" t="str">
        <f>IF(M37="","",IF(VLOOKUP(M37,'G-3 Multipliers'!$S$3:$T$6,2,FALSE)=0,"Spatial Data Missing ⚠",VLOOKUP(M37,'G-3 Multipliers'!$S$3:$T$6,2,FALSE)))</f>
        <v/>
      </c>
      <c r="O37" s="498" t="str">
        <f>IF(OR(D37="",H37=""),"",(INDEX('G-6 Hedgerow Data'!$E$3:$I$15,MATCH(D37,'G-6 Hedgerow Data'!$B$3:$B$15,0),MATCH(H37,'G-6 Hedgerow Data'!$E$2:$I$2,0))))</f>
        <v/>
      </c>
      <c r="P37" s="195"/>
      <c r="Q37" s="195"/>
      <c r="R37" s="507" t="str">
        <f t="shared" si="1"/>
        <v/>
      </c>
      <c r="S37" s="521" t="str">
        <f t="shared" si="2"/>
        <v/>
      </c>
      <c r="T37" s="522" t="str">
        <f t="shared" si="0"/>
        <v/>
      </c>
      <c r="U37" s="537" t="str">
        <f>IF(D37="","",VLOOKUP(D37,'G-6 Hedgerow Data'!$B$3:$AG$15,31,FALSE))</f>
        <v/>
      </c>
      <c r="V37" s="520" t="str">
        <f t="shared" si="3"/>
        <v/>
      </c>
      <c r="W37" s="520" t="str">
        <f t="shared" si="4"/>
        <v/>
      </c>
      <c r="X37" s="524" t="str">
        <f>IF(F37="","",VLOOKUP(U37,'G-3 Multipliers'!$P$3:$Q$6,2,FALSE))</f>
        <v/>
      </c>
      <c r="Y37" s="529" t="str">
        <f t="shared" si="5"/>
        <v/>
      </c>
      <c r="Z37" s="149"/>
      <c r="AA37" s="150"/>
      <c r="AG37" s="31" t="str">
        <f>IFERROR(INDEX('G-6 Hedgerow Data'!$BJ$3:$BJ$15,MATCH(D37,'G-6 Hedgerow Data'!$B$3:$B$15,0)),"")</f>
        <v/>
      </c>
    </row>
    <row r="38" spans="2:33" ht="14" x14ac:dyDescent="0.3">
      <c r="B38" s="103">
        <v>27</v>
      </c>
      <c r="C38" s="268"/>
      <c r="D38" s="82"/>
      <c r="E38" s="203"/>
      <c r="F38" s="498" t="str">
        <f>IF(D38="","",VLOOKUP(D38,'G-6 Hedgerow Data'!$B$2:$AG$15,2,FALSE))</f>
        <v/>
      </c>
      <c r="G38" s="524" t="str">
        <f>IF(D38="","",VLOOKUP(D38,'G-6 Hedgerow Data'!$B$2:$AG$15,3,FALSE))</f>
        <v/>
      </c>
      <c r="H38" s="72"/>
      <c r="I38" s="499" t="str">
        <f>IFERROR(IF(AND(F38="V.Low",OR(H38="Good",H38="Moderate")),"Error ▲",VLOOKUP(H38,'G-1 All Habitats'!$Z$2:$AA$9,2,FALSE)),"")</f>
        <v/>
      </c>
      <c r="J38" s="146"/>
      <c r="K38" s="520" t="str">
        <f>IF(J38="","",IF(VLOOKUP(J38,'G-3 Multipliers'!$L$3:$N$6,2,FALSE)=0,"Spatial Data Missing",VLOOKUP(J38,'G-3 Multipliers'!$L$3:$N$6,2,FALSE)))</f>
        <v/>
      </c>
      <c r="L38" s="524" t="str">
        <f>IF(J38="","",IF(VLOOKUP(J38,'G-3 Multipliers'!$L$3:$N$6,3,FALSE)=0,"Spatial Data Missing",VLOOKUP(J38,'G-3 Multipliers'!$L$3:$N$6,3,FALSE)))</f>
        <v/>
      </c>
      <c r="M38" s="197"/>
      <c r="N38" s="499" t="str">
        <f>IF(M38="","",IF(VLOOKUP(M38,'G-3 Multipliers'!$S$3:$T$6,2,FALSE)=0,"Spatial Data Missing ⚠",VLOOKUP(M38,'G-3 Multipliers'!$S$3:$T$6,2,FALSE)))</f>
        <v/>
      </c>
      <c r="O38" s="498" t="str">
        <f>IF(OR(D38="",H38=""),"",(INDEX('G-6 Hedgerow Data'!$E$3:$I$15,MATCH(D38,'G-6 Hedgerow Data'!$B$3:$B$15,0),MATCH(H38,'G-6 Hedgerow Data'!$E$2:$I$2,0))))</f>
        <v/>
      </c>
      <c r="P38" s="195"/>
      <c r="Q38" s="195"/>
      <c r="R38" s="507" t="str">
        <f t="shared" si="1"/>
        <v/>
      </c>
      <c r="S38" s="521" t="str">
        <f t="shared" si="2"/>
        <v/>
      </c>
      <c r="T38" s="522" t="str">
        <f t="shared" si="0"/>
        <v/>
      </c>
      <c r="U38" s="537" t="str">
        <f>IF(D38="","",VLOOKUP(D38,'G-6 Hedgerow Data'!$B$3:$AG$15,31,FALSE))</f>
        <v/>
      </c>
      <c r="V38" s="520" t="str">
        <f t="shared" si="3"/>
        <v/>
      </c>
      <c r="W38" s="520" t="str">
        <f t="shared" si="4"/>
        <v/>
      </c>
      <c r="X38" s="524" t="str">
        <f>IF(F38="","",VLOOKUP(U38,'G-3 Multipliers'!$P$3:$Q$6,2,FALSE))</f>
        <v/>
      </c>
      <c r="Y38" s="529" t="str">
        <f t="shared" si="5"/>
        <v/>
      </c>
      <c r="Z38" s="149"/>
      <c r="AA38" s="150"/>
      <c r="AG38" s="31" t="str">
        <f>IFERROR(INDEX('G-6 Hedgerow Data'!$BJ$3:$BJ$15,MATCH(D38,'G-6 Hedgerow Data'!$B$3:$B$15,0)),"")</f>
        <v/>
      </c>
    </row>
    <row r="39" spans="2:33" ht="14" x14ac:dyDescent="0.3">
      <c r="B39" s="103">
        <v>28</v>
      </c>
      <c r="C39" s="268"/>
      <c r="D39" s="82"/>
      <c r="E39" s="203"/>
      <c r="F39" s="498" t="str">
        <f>IF(D39="","",VLOOKUP(D39,'G-6 Hedgerow Data'!$B$2:$AG$15,2,FALSE))</f>
        <v/>
      </c>
      <c r="G39" s="524" t="str">
        <f>IF(D39="","",VLOOKUP(D39,'G-6 Hedgerow Data'!$B$2:$AG$15,3,FALSE))</f>
        <v/>
      </c>
      <c r="H39" s="72"/>
      <c r="I39" s="499" t="str">
        <f>IFERROR(IF(AND(F39="V.Low",OR(H39="Good",H39="Moderate")),"Error ▲",VLOOKUP(H39,'G-1 All Habitats'!$Z$2:$AA$9,2,FALSE)),"")</f>
        <v/>
      </c>
      <c r="J39" s="146"/>
      <c r="K39" s="520" t="str">
        <f>IF(J39="","",IF(VLOOKUP(J39,'G-3 Multipliers'!$L$3:$N$6,2,FALSE)=0,"Spatial Data Missing",VLOOKUP(J39,'G-3 Multipliers'!$L$3:$N$6,2,FALSE)))</f>
        <v/>
      </c>
      <c r="L39" s="524" t="str">
        <f>IF(J39="","",IF(VLOOKUP(J39,'G-3 Multipliers'!$L$3:$N$6,3,FALSE)=0,"Spatial Data Missing",VLOOKUP(J39,'G-3 Multipliers'!$L$3:$N$6,3,FALSE)))</f>
        <v/>
      </c>
      <c r="M39" s="197"/>
      <c r="N39" s="499" t="str">
        <f>IF(M39="","",IF(VLOOKUP(M39,'G-3 Multipliers'!$S$3:$T$6,2,FALSE)=0,"Spatial Data Missing ⚠",VLOOKUP(M39,'G-3 Multipliers'!$S$3:$T$6,2,FALSE)))</f>
        <v/>
      </c>
      <c r="O39" s="498" t="str">
        <f>IF(OR(D39="",H39=""),"",(INDEX('G-6 Hedgerow Data'!$E$3:$I$15,MATCH(D39,'G-6 Hedgerow Data'!$B$3:$B$15,0),MATCH(H39,'G-6 Hedgerow Data'!$E$2:$I$2,0))))</f>
        <v/>
      </c>
      <c r="P39" s="195"/>
      <c r="Q39" s="195"/>
      <c r="R39" s="507" t="str">
        <f t="shared" si="1"/>
        <v/>
      </c>
      <c r="S39" s="521" t="str">
        <f t="shared" si="2"/>
        <v/>
      </c>
      <c r="T39" s="522" t="str">
        <f t="shared" si="0"/>
        <v/>
      </c>
      <c r="U39" s="537" t="str">
        <f>IF(D39="","",VLOOKUP(D39,'G-6 Hedgerow Data'!$B$3:$AG$15,31,FALSE))</f>
        <v/>
      </c>
      <c r="V39" s="520" t="str">
        <f t="shared" si="3"/>
        <v/>
      </c>
      <c r="W39" s="520" t="str">
        <f t="shared" si="4"/>
        <v/>
      </c>
      <c r="X39" s="524" t="str">
        <f>IF(F39="","",VLOOKUP(U39,'G-3 Multipliers'!$P$3:$Q$6,2,FALSE))</f>
        <v/>
      </c>
      <c r="Y39" s="529" t="str">
        <f t="shared" si="5"/>
        <v/>
      </c>
      <c r="Z39" s="149"/>
      <c r="AA39" s="150"/>
      <c r="AG39" s="31" t="str">
        <f>IFERROR(INDEX('G-6 Hedgerow Data'!$BJ$3:$BJ$15,MATCH(D39,'G-6 Hedgerow Data'!$B$3:$B$15,0)),"")</f>
        <v/>
      </c>
    </row>
    <row r="40" spans="2:33" ht="14" x14ac:dyDescent="0.3">
      <c r="B40" s="103">
        <v>29</v>
      </c>
      <c r="C40" s="268"/>
      <c r="D40" s="82"/>
      <c r="E40" s="203"/>
      <c r="F40" s="498" t="str">
        <f>IF(D40="","",VLOOKUP(D40,'G-6 Hedgerow Data'!$B$2:$AG$15,2,FALSE))</f>
        <v/>
      </c>
      <c r="G40" s="524" t="str">
        <f>IF(D40="","",VLOOKUP(D40,'G-6 Hedgerow Data'!$B$2:$AG$15,3,FALSE))</f>
        <v/>
      </c>
      <c r="H40" s="72"/>
      <c r="I40" s="499" t="str">
        <f>IFERROR(IF(AND(F40="V.Low",OR(H40="Good",H40="Moderate")),"Error ▲",VLOOKUP(H40,'G-1 All Habitats'!$Z$2:$AA$9,2,FALSE)),"")</f>
        <v/>
      </c>
      <c r="J40" s="146"/>
      <c r="K40" s="520" t="str">
        <f>IF(J40="","",IF(VLOOKUP(J40,'G-3 Multipliers'!$L$3:$N$6,2,FALSE)=0,"Spatial Data Missing",VLOOKUP(J40,'G-3 Multipliers'!$L$3:$N$6,2,FALSE)))</f>
        <v/>
      </c>
      <c r="L40" s="524" t="str">
        <f>IF(J40="","",IF(VLOOKUP(J40,'G-3 Multipliers'!$L$3:$N$6,3,FALSE)=0,"Spatial Data Missing",VLOOKUP(J40,'G-3 Multipliers'!$L$3:$N$6,3,FALSE)))</f>
        <v/>
      </c>
      <c r="M40" s="197"/>
      <c r="N40" s="499" t="str">
        <f>IF(M40="","",IF(VLOOKUP(M40,'G-3 Multipliers'!$S$3:$T$6,2,FALSE)=0,"Spatial Data Missing ⚠",VLOOKUP(M40,'G-3 Multipliers'!$S$3:$T$6,2,FALSE)))</f>
        <v/>
      </c>
      <c r="O40" s="498" t="str">
        <f>IF(OR(D40="",H40=""),"",(INDEX('G-6 Hedgerow Data'!$E$3:$I$15,MATCH(D40,'G-6 Hedgerow Data'!$B$3:$B$15,0),MATCH(H40,'G-6 Hedgerow Data'!$E$2:$I$2,0))))</f>
        <v/>
      </c>
      <c r="P40" s="195"/>
      <c r="Q40" s="195"/>
      <c r="R40" s="507" t="str">
        <f t="shared" si="1"/>
        <v/>
      </c>
      <c r="S40" s="521" t="str">
        <f t="shared" si="2"/>
        <v/>
      </c>
      <c r="T40" s="522" t="str">
        <f t="shared" si="0"/>
        <v/>
      </c>
      <c r="U40" s="537" t="str">
        <f>IF(D40="","",VLOOKUP(D40,'G-6 Hedgerow Data'!$B$3:$AG$15,31,FALSE))</f>
        <v/>
      </c>
      <c r="V40" s="520" t="str">
        <f t="shared" si="3"/>
        <v/>
      </c>
      <c r="W40" s="520" t="str">
        <f t="shared" si="4"/>
        <v/>
      </c>
      <c r="X40" s="524" t="str">
        <f>IF(F40="","",VLOOKUP(U40,'G-3 Multipliers'!$P$3:$Q$6,2,FALSE))</f>
        <v/>
      </c>
      <c r="Y40" s="529" t="str">
        <f t="shared" si="5"/>
        <v/>
      </c>
      <c r="Z40" s="149"/>
      <c r="AA40" s="150"/>
      <c r="AG40" s="31" t="str">
        <f>IFERROR(INDEX('G-6 Hedgerow Data'!$BJ$3:$BJ$15,MATCH(D40,'G-6 Hedgerow Data'!$B$3:$B$15,0)),"")</f>
        <v/>
      </c>
    </row>
    <row r="41" spans="2:33" ht="14" x14ac:dyDescent="0.3">
      <c r="B41" s="103">
        <v>30</v>
      </c>
      <c r="C41" s="268"/>
      <c r="D41" s="82"/>
      <c r="E41" s="203"/>
      <c r="F41" s="498" t="str">
        <f>IF(D41="","",VLOOKUP(D41,'G-6 Hedgerow Data'!$B$2:$AG$15,2,FALSE))</f>
        <v/>
      </c>
      <c r="G41" s="524" t="str">
        <f>IF(D41="","",VLOOKUP(D41,'G-6 Hedgerow Data'!$B$2:$AG$15,3,FALSE))</f>
        <v/>
      </c>
      <c r="H41" s="72"/>
      <c r="I41" s="499" t="str">
        <f>IFERROR(IF(AND(F41="V.Low",OR(H41="Good",H41="Moderate")),"Error ▲",VLOOKUP(H41,'G-1 All Habitats'!$Z$2:$AA$9,2,FALSE)),"")</f>
        <v/>
      </c>
      <c r="J41" s="146"/>
      <c r="K41" s="520" t="str">
        <f>IF(J41="","",IF(VLOOKUP(J41,'G-3 Multipliers'!$L$3:$N$6,2,FALSE)=0,"Spatial Data Missing",VLOOKUP(J41,'G-3 Multipliers'!$L$3:$N$6,2,FALSE)))</f>
        <v/>
      </c>
      <c r="L41" s="524" t="str">
        <f>IF(J41="","",IF(VLOOKUP(J41,'G-3 Multipliers'!$L$3:$N$6,3,FALSE)=0,"Spatial Data Missing",VLOOKUP(J41,'G-3 Multipliers'!$L$3:$N$6,3,FALSE)))</f>
        <v/>
      </c>
      <c r="M41" s="197"/>
      <c r="N41" s="499" t="str">
        <f>IF(M41="","",IF(VLOOKUP(M41,'G-3 Multipliers'!$S$3:$T$6,2,FALSE)=0,"Spatial Data Missing ⚠",VLOOKUP(M41,'G-3 Multipliers'!$S$3:$T$6,2,FALSE)))</f>
        <v/>
      </c>
      <c r="O41" s="498" t="str">
        <f>IF(OR(D41="",H41=""),"",(INDEX('G-6 Hedgerow Data'!$E$3:$I$15,MATCH(D41,'G-6 Hedgerow Data'!$B$3:$B$15,0),MATCH(H41,'G-6 Hedgerow Data'!$E$2:$I$2,0))))</f>
        <v/>
      </c>
      <c r="P41" s="195"/>
      <c r="Q41" s="195"/>
      <c r="R41" s="507" t="str">
        <f t="shared" si="1"/>
        <v/>
      </c>
      <c r="S41" s="521" t="str">
        <f t="shared" si="2"/>
        <v/>
      </c>
      <c r="T41" s="522" t="str">
        <f t="shared" si="0"/>
        <v/>
      </c>
      <c r="U41" s="537" t="str">
        <f>IF(D41="","",VLOOKUP(D41,'G-6 Hedgerow Data'!$B$3:$AG$15,31,FALSE))</f>
        <v/>
      </c>
      <c r="V41" s="520" t="str">
        <f t="shared" si="3"/>
        <v/>
      </c>
      <c r="W41" s="520" t="str">
        <f t="shared" si="4"/>
        <v/>
      </c>
      <c r="X41" s="524" t="str">
        <f>IF(F41="","",VLOOKUP(U41,'G-3 Multipliers'!$P$3:$Q$6,2,FALSE))</f>
        <v/>
      </c>
      <c r="Y41" s="529" t="str">
        <f t="shared" si="5"/>
        <v/>
      </c>
      <c r="Z41" s="149"/>
      <c r="AA41" s="150"/>
      <c r="AG41" s="31" t="str">
        <f>IFERROR(INDEX('G-6 Hedgerow Data'!$BJ$3:$BJ$15,MATCH(D41,'G-6 Hedgerow Data'!$B$3:$B$15,0)),"")</f>
        <v/>
      </c>
    </row>
    <row r="42" spans="2:33" ht="14" x14ac:dyDescent="0.3">
      <c r="B42" s="103">
        <v>31</v>
      </c>
      <c r="C42" s="268"/>
      <c r="D42" s="82"/>
      <c r="E42" s="203"/>
      <c r="F42" s="498" t="str">
        <f>IF(D42="","",VLOOKUP(D42,'G-6 Hedgerow Data'!$B$2:$AG$15,2,FALSE))</f>
        <v/>
      </c>
      <c r="G42" s="524" t="str">
        <f>IF(D42="","",VLOOKUP(D42,'G-6 Hedgerow Data'!$B$2:$AG$15,3,FALSE))</f>
        <v/>
      </c>
      <c r="H42" s="72"/>
      <c r="I42" s="499" t="str">
        <f>IFERROR(IF(AND(F42="V.Low",OR(H42="Good",H42="Moderate")),"Error ▲",VLOOKUP(H42,'G-1 All Habitats'!$Z$2:$AA$9,2,FALSE)),"")</f>
        <v/>
      </c>
      <c r="J42" s="146"/>
      <c r="K42" s="520" t="str">
        <f>IF(J42="","",IF(VLOOKUP(J42,'G-3 Multipliers'!$L$3:$N$6,2,FALSE)=0,"Spatial Data Missing",VLOOKUP(J42,'G-3 Multipliers'!$L$3:$N$6,2,FALSE)))</f>
        <v/>
      </c>
      <c r="L42" s="524" t="str">
        <f>IF(J42="","",IF(VLOOKUP(J42,'G-3 Multipliers'!$L$3:$N$6,3,FALSE)=0,"Spatial Data Missing",VLOOKUP(J42,'G-3 Multipliers'!$L$3:$N$6,3,FALSE)))</f>
        <v/>
      </c>
      <c r="M42" s="197"/>
      <c r="N42" s="499" t="str">
        <f>IF(M42="","",IF(VLOOKUP(M42,'G-3 Multipliers'!$S$3:$T$6,2,FALSE)=0,"Spatial Data Missing ⚠",VLOOKUP(M42,'G-3 Multipliers'!$S$3:$T$6,2,FALSE)))</f>
        <v/>
      </c>
      <c r="O42" s="498" t="str">
        <f>IF(OR(D42="",H42=""),"",(INDEX('G-6 Hedgerow Data'!$E$3:$I$15,MATCH(D42,'G-6 Hedgerow Data'!$B$3:$B$15,0),MATCH(H42,'G-6 Hedgerow Data'!$E$2:$I$2,0))))</f>
        <v/>
      </c>
      <c r="P42" s="195"/>
      <c r="Q42" s="195"/>
      <c r="R42" s="507" t="str">
        <f t="shared" si="1"/>
        <v/>
      </c>
      <c r="S42" s="521" t="str">
        <f t="shared" si="2"/>
        <v/>
      </c>
      <c r="T42" s="522" t="str">
        <f t="shared" si="0"/>
        <v/>
      </c>
      <c r="U42" s="537" t="str">
        <f>IF(D42="","",VLOOKUP(D42,'G-6 Hedgerow Data'!$B$3:$AG$15,31,FALSE))</f>
        <v/>
      </c>
      <c r="V42" s="520" t="str">
        <f t="shared" si="3"/>
        <v/>
      </c>
      <c r="W42" s="520" t="str">
        <f t="shared" si="4"/>
        <v/>
      </c>
      <c r="X42" s="524" t="str">
        <f>IF(F42="","",VLOOKUP(U42,'G-3 Multipliers'!$P$3:$Q$6,2,FALSE))</f>
        <v/>
      </c>
      <c r="Y42" s="529" t="str">
        <f t="shared" si="5"/>
        <v/>
      </c>
      <c r="Z42" s="149"/>
      <c r="AA42" s="150"/>
      <c r="AG42" s="31" t="str">
        <f>IFERROR(INDEX('G-6 Hedgerow Data'!$BJ$3:$BJ$15,MATCH(D42,'G-6 Hedgerow Data'!$B$3:$B$15,0)),"")</f>
        <v/>
      </c>
    </row>
    <row r="43" spans="2:33" ht="14" x14ac:dyDescent="0.3">
      <c r="B43" s="103">
        <v>32</v>
      </c>
      <c r="C43" s="268"/>
      <c r="D43" s="82"/>
      <c r="E43" s="203"/>
      <c r="F43" s="498" t="str">
        <f>IF(D43="","",VLOOKUP(D43,'G-6 Hedgerow Data'!$B$2:$AG$15,2,FALSE))</f>
        <v/>
      </c>
      <c r="G43" s="524" t="str">
        <f>IF(D43="","",VLOOKUP(D43,'G-6 Hedgerow Data'!$B$2:$AG$15,3,FALSE))</f>
        <v/>
      </c>
      <c r="H43" s="72"/>
      <c r="I43" s="499" t="str">
        <f>IFERROR(IF(AND(F43="V.Low",OR(H43="Good",H43="Moderate")),"Error ▲",VLOOKUP(H43,'G-1 All Habitats'!$Z$2:$AA$9,2,FALSE)),"")</f>
        <v/>
      </c>
      <c r="J43" s="146"/>
      <c r="K43" s="520" t="str">
        <f>IF(J43="","",IF(VLOOKUP(J43,'G-3 Multipliers'!$L$3:$N$6,2,FALSE)=0,"Spatial Data Missing",VLOOKUP(J43,'G-3 Multipliers'!$L$3:$N$6,2,FALSE)))</f>
        <v/>
      </c>
      <c r="L43" s="524" t="str">
        <f>IF(J43="","",IF(VLOOKUP(J43,'G-3 Multipliers'!$L$3:$N$6,3,FALSE)=0,"Spatial Data Missing",VLOOKUP(J43,'G-3 Multipliers'!$L$3:$N$6,3,FALSE)))</f>
        <v/>
      </c>
      <c r="M43" s="197"/>
      <c r="N43" s="499" t="str">
        <f>IF(M43="","",IF(VLOOKUP(M43,'G-3 Multipliers'!$S$3:$T$6,2,FALSE)=0,"Spatial Data Missing ⚠",VLOOKUP(M43,'G-3 Multipliers'!$S$3:$T$6,2,FALSE)))</f>
        <v/>
      </c>
      <c r="O43" s="498" t="str">
        <f>IF(OR(D43="",H43=""),"",(INDEX('G-6 Hedgerow Data'!$E$3:$I$15,MATCH(D43,'G-6 Hedgerow Data'!$B$3:$B$15,0),MATCH(H43,'G-6 Hedgerow Data'!$E$2:$I$2,0))))</f>
        <v/>
      </c>
      <c r="P43" s="195"/>
      <c r="Q43" s="195"/>
      <c r="R43" s="507" t="str">
        <f t="shared" si="1"/>
        <v/>
      </c>
      <c r="S43" s="521" t="str">
        <f t="shared" si="2"/>
        <v/>
      </c>
      <c r="T43" s="522" t="str">
        <f t="shared" si="0"/>
        <v/>
      </c>
      <c r="U43" s="537" t="str">
        <f>IF(D43="","",VLOOKUP(D43,'G-6 Hedgerow Data'!$B$3:$AG$15,31,FALSE))</f>
        <v/>
      </c>
      <c r="V43" s="520" t="str">
        <f t="shared" si="3"/>
        <v/>
      </c>
      <c r="W43" s="520" t="str">
        <f t="shared" si="4"/>
        <v/>
      </c>
      <c r="X43" s="524" t="str">
        <f>IF(F43="","",VLOOKUP(U43,'G-3 Multipliers'!$P$3:$Q$6,2,FALSE))</f>
        <v/>
      </c>
      <c r="Y43" s="529" t="str">
        <f t="shared" si="5"/>
        <v/>
      </c>
      <c r="Z43" s="149"/>
      <c r="AA43" s="150"/>
      <c r="AG43" s="31" t="str">
        <f>IFERROR(INDEX('G-6 Hedgerow Data'!$BJ$3:$BJ$15,MATCH(D43,'G-6 Hedgerow Data'!$B$3:$B$15,0)),"")</f>
        <v/>
      </c>
    </row>
    <row r="44" spans="2:33" ht="14" x14ac:dyDescent="0.3">
      <c r="B44" s="103">
        <v>33</v>
      </c>
      <c r="C44" s="268"/>
      <c r="D44" s="82"/>
      <c r="E44" s="203"/>
      <c r="F44" s="498" t="str">
        <f>IF(D44="","",VLOOKUP(D44,'G-6 Hedgerow Data'!$B$2:$AG$15,2,FALSE))</f>
        <v/>
      </c>
      <c r="G44" s="524" t="str">
        <f>IF(D44="","",VLOOKUP(D44,'G-6 Hedgerow Data'!$B$2:$AG$15,3,FALSE))</f>
        <v/>
      </c>
      <c r="H44" s="72"/>
      <c r="I44" s="499" t="str">
        <f>IFERROR(IF(AND(F44="V.Low",OR(H44="Good",H44="Moderate")),"Error ▲",VLOOKUP(H44,'G-1 All Habitats'!$Z$2:$AA$9,2,FALSE)),"")</f>
        <v/>
      </c>
      <c r="J44" s="146"/>
      <c r="K44" s="520" t="str">
        <f>IF(J44="","",IF(VLOOKUP(J44,'G-3 Multipliers'!$L$3:$N$6,2,FALSE)=0,"Spatial Data Missing",VLOOKUP(J44,'G-3 Multipliers'!$L$3:$N$6,2,FALSE)))</f>
        <v/>
      </c>
      <c r="L44" s="524" t="str">
        <f>IF(J44="","",IF(VLOOKUP(J44,'G-3 Multipliers'!$L$3:$N$6,3,FALSE)=0,"Spatial Data Missing",VLOOKUP(J44,'G-3 Multipliers'!$L$3:$N$6,3,FALSE)))</f>
        <v/>
      </c>
      <c r="M44" s="197"/>
      <c r="N44" s="499" t="str">
        <f>IF(M44="","",IF(VLOOKUP(M44,'G-3 Multipliers'!$S$3:$T$6,2,FALSE)=0,"Spatial Data Missing ⚠",VLOOKUP(M44,'G-3 Multipliers'!$S$3:$T$6,2,FALSE)))</f>
        <v/>
      </c>
      <c r="O44" s="498" t="str">
        <f>IF(OR(D44="",H44=""),"",(INDEX('G-6 Hedgerow Data'!$E$3:$I$15,MATCH(D44,'G-6 Hedgerow Data'!$B$3:$B$15,0),MATCH(H44,'G-6 Hedgerow Data'!$E$2:$I$2,0))))</f>
        <v/>
      </c>
      <c r="P44" s="195"/>
      <c r="Q44" s="195"/>
      <c r="R44" s="507" t="str">
        <f t="shared" si="1"/>
        <v/>
      </c>
      <c r="S44" s="521" t="str">
        <f t="shared" si="2"/>
        <v/>
      </c>
      <c r="T44" s="522" t="str">
        <f t="shared" si="0"/>
        <v/>
      </c>
      <c r="U44" s="537" t="str">
        <f>IF(D44="","",VLOOKUP(D44,'G-6 Hedgerow Data'!$B$3:$AG$15,31,FALSE))</f>
        <v/>
      </c>
      <c r="V44" s="520" t="str">
        <f t="shared" si="3"/>
        <v/>
      </c>
      <c r="W44" s="520" t="str">
        <f t="shared" si="4"/>
        <v/>
      </c>
      <c r="X44" s="524" t="str">
        <f>IF(F44="","",VLOOKUP(U44,'G-3 Multipliers'!$P$3:$Q$6,2,FALSE))</f>
        <v/>
      </c>
      <c r="Y44" s="529" t="str">
        <f t="shared" si="5"/>
        <v/>
      </c>
      <c r="Z44" s="149"/>
      <c r="AA44" s="150"/>
      <c r="AG44" s="31" t="str">
        <f>IFERROR(INDEX('G-6 Hedgerow Data'!$BJ$3:$BJ$15,MATCH(D44,'G-6 Hedgerow Data'!$B$3:$B$15,0)),"")</f>
        <v/>
      </c>
    </row>
    <row r="45" spans="2:33" ht="14" x14ac:dyDescent="0.3">
      <c r="B45" s="103">
        <v>34</v>
      </c>
      <c r="C45" s="268"/>
      <c r="D45" s="82"/>
      <c r="E45" s="203"/>
      <c r="F45" s="498" t="str">
        <f>IF(D45="","",VLOOKUP(D45,'G-6 Hedgerow Data'!$B$2:$AG$15,2,FALSE))</f>
        <v/>
      </c>
      <c r="G45" s="524" t="str">
        <f>IF(D45="","",VLOOKUP(D45,'G-6 Hedgerow Data'!$B$2:$AG$15,3,FALSE))</f>
        <v/>
      </c>
      <c r="H45" s="72"/>
      <c r="I45" s="499" t="str">
        <f>IFERROR(IF(AND(F45="V.Low",OR(H45="Good",H45="Moderate")),"Error ▲",VLOOKUP(H45,'G-1 All Habitats'!$Z$2:$AA$9,2,FALSE)),"")</f>
        <v/>
      </c>
      <c r="J45" s="146"/>
      <c r="K45" s="520" t="str">
        <f>IF(J45="","",IF(VLOOKUP(J45,'G-3 Multipliers'!$L$3:$N$6,2,FALSE)=0,"Spatial Data Missing",VLOOKUP(J45,'G-3 Multipliers'!$L$3:$N$6,2,FALSE)))</f>
        <v/>
      </c>
      <c r="L45" s="524" t="str">
        <f>IF(J45="","",IF(VLOOKUP(J45,'G-3 Multipliers'!$L$3:$N$6,3,FALSE)=0,"Spatial Data Missing",VLOOKUP(J45,'G-3 Multipliers'!$L$3:$N$6,3,FALSE)))</f>
        <v/>
      </c>
      <c r="M45" s="197"/>
      <c r="N45" s="499" t="str">
        <f>IF(M45="","",IF(VLOOKUP(M45,'G-3 Multipliers'!$S$3:$T$6,2,FALSE)=0,"Spatial Data Missing ⚠",VLOOKUP(M45,'G-3 Multipliers'!$S$3:$T$6,2,FALSE)))</f>
        <v/>
      </c>
      <c r="O45" s="498" t="str">
        <f>IF(OR(D45="",H45=""),"",(INDEX('G-6 Hedgerow Data'!$E$3:$I$15,MATCH(D45,'G-6 Hedgerow Data'!$B$3:$B$15,0),MATCH(H45,'G-6 Hedgerow Data'!$E$2:$I$2,0))))</f>
        <v/>
      </c>
      <c r="P45" s="195"/>
      <c r="Q45" s="195"/>
      <c r="R45" s="507" t="str">
        <f t="shared" si="1"/>
        <v/>
      </c>
      <c r="S45" s="521" t="str">
        <f t="shared" si="2"/>
        <v/>
      </c>
      <c r="T45" s="522" t="str">
        <f t="shared" si="0"/>
        <v/>
      </c>
      <c r="U45" s="537" t="str">
        <f>IF(D45="","",VLOOKUP(D45,'G-6 Hedgerow Data'!$B$3:$AG$15,31,FALSE))</f>
        <v/>
      </c>
      <c r="V45" s="520" t="str">
        <f t="shared" si="3"/>
        <v/>
      </c>
      <c r="W45" s="520" t="str">
        <f t="shared" si="4"/>
        <v/>
      </c>
      <c r="X45" s="524" t="str">
        <f>IF(F45="","",VLOOKUP(U45,'G-3 Multipliers'!$P$3:$Q$6,2,FALSE))</f>
        <v/>
      </c>
      <c r="Y45" s="529" t="str">
        <f t="shared" si="5"/>
        <v/>
      </c>
      <c r="Z45" s="149"/>
      <c r="AA45" s="150"/>
      <c r="AG45" s="31" t="str">
        <f>IFERROR(INDEX('G-6 Hedgerow Data'!$BJ$3:$BJ$15,MATCH(D45,'G-6 Hedgerow Data'!$B$3:$B$15,0)),"")</f>
        <v/>
      </c>
    </row>
    <row r="46" spans="2:33" ht="14" x14ac:dyDescent="0.3">
      <c r="B46" s="103">
        <v>35</v>
      </c>
      <c r="C46" s="268"/>
      <c r="D46" s="82"/>
      <c r="E46" s="203"/>
      <c r="F46" s="498" t="str">
        <f>IF(D46="","",VLOOKUP(D46,'G-6 Hedgerow Data'!$B$2:$AG$15,2,FALSE))</f>
        <v/>
      </c>
      <c r="G46" s="524" t="str">
        <f>IF(D46="","",VLOOKUP(D46,'G-6 Hedgerow Data'!$B$2:$AG$15,3,FALSE))</f>
        <v/>
      </c>
      <c r="H46" s="72"/>
      <c r="I46" s="499" t="str">
        <f>IFERROR(IF(AND(F46="V.Low",OR(H46="Good",H46="Moderate")),"Error ▲",VLOOKUP(H46,'G-1 All Habitats'!$Z$2:$AA$9,2,FALSE)),"")</f>
        <v/>
      </c>
      <c r="J46" s="146"/>
      <c r="K46" s="520" t="str">
        <f>IF(J46="","",IF(VLOOKUP(J46,'G-3 Multipliers'!$L$3:$N$6,2,FALSE)=0,"Spatial Data Missing",VLOOKUP(J46,'G-3 Multipliers'!$L$3:$N$6,2,FALSE)))</f>
        <v/>
      </c>
      <c r="L46" s="524" t="str">
        <f>IF(J46="","",IF(VLOOKUP(J46,'G-3 Multipliers'!$L$3:$N$6,3,FALSE)=0,"Spatial Data Missing",VLOOKUP(J46,'G-3 Multipliers'!$L$3:$N$6,3,FALSE)))</f>
        <v/>
      </c>
      <c r="M46" s="197"/>
      <c r="N46" s="499" t="str">
        <f>IF(M46="","",IF(VLOOKUP(M46,'G-3 Multipliers'!$S$3:$T$6,2,FALSE)=0,"Spatial Data Missing ⚠",VLOOKUP(M46,'G-3 Multipliers'!$S$3:$T$6,2,FALSE)))</f>
        <v/>
      </c>
      <c r="O46" s="498" t="str">
        <f>IF(OR(D46="",H46=""),"",(INDEX('G-6 Hedgerow Data'!$E$3:$I$15,MATCH(D46,'G-6 Hedgerow Data'!$B$3:$B$15,0),MATCH(H46,'G-6 Hedgerow Data'!$E$2:$I$2,0))))</f>
        <v/>
      </c>
      <c r="P46" s="195"/>
      <c r="Q46" s="195"/>
      <c r="R46" s="507" t="str">
        <f t="shared" si="1"/>
        <v/>
      </c>
      <c r="S46" s="521" t="str">
        <f t="shared" si="2"/>
        <v/>
      </c>
      <c r="T46" s="522" t="str">
        <f t="shared" si="0"/>
        <v/>
      </c>
      <c r="U46" s="537" t="str">
        <f>IF(D46="","",VLOOKUP(D46,'G-6 Hedgerow Data'!$B$3:$AG$15,31,FALSE))</f>
        <v/>
      </c>
      <c r="V46" s="520" t="str">
        <f t="shared" si="3"/>
        <v/>
      </c>
      <c r="W46" s="520" t="str">
        <f t="shared" si="4"/>
        <v/>
      </c>
      <c r="X46" s="524" t="str">
        <f>IF(F46="","",VLOOKUP(U46,'G-3 Multipliers'!$P$3:$Q$6,2,FALSE))</f>
        <v/>
      </c>
      <c r="Y46" s="529" t="str">
        <f t="shared" si="5"/>
        <v/>
      </c>
      <c r="Z46" s="149"/>
      <c r="AA46" s="150"/>
      <c r="AG46" s="31" t="str">
        <f>IFERROR(INDEX('G-6 Hedgerow Data'!$BJ$3:$BJ$15,MATCH(D46,'G-6 Hedgerow Data'!$B$3:$B$15,0)),"")</f>
        <v/>
      </c>
    </row>
    <row r="47" spans="2:33" ht="14" x14ac:dyDescent="0.3">
      <c r="B47" s="103">
        <v>36</v>
      </c>
      <c r="C47" s="268"/>
      <c r="D47" s="82"/>
      <c r="E47" s="203"/>
      <c r="F47" s="498" t="str">
        <f>IF(D47="","",VLOOKUP(D47,'G-6 Hedgerow Data'!$B$2:$AG$15,2,FALSE))</f>
        <v/>
      </c>
      <c r="G47" s="524" t="str">
        <f>IF(D47="","",VLOOKUP(D47,'G-6 Hedgerow Data'!$B$2:$AG$15,3,FALSE))</f>
        <v/>
      </c>
      <c r="H47" s="72"/>
      <c r="I47" s="499" t="str">
        <f>IFERROR(IF(AND(F47="V.Low",OR(H47="Good",H47="Moderate")),"Error ▲",VLOOKUP(H47,'G-1 All Habitats'!$Z$2:$AA$9,2,FALSE)),"")</f>
        <v/>
      </c>
      <c r="J47" s="146"/>
      <c r="K47" s="520" t="str">
        <f>IF(J47="","",IF(VLOOKUP(J47,'G-3 Multipliers'!$L$3:$N$6,2,FALSE)=0,"Spatial Data Missing",VLOOKUP(J47,'G-3 Multipliers'!$L$3:$N$6,2,FALSE)))</f>
        <v/>
      </c>
      <c r="L47" s="524" t="str">
        <f>IF(J47="","",IF(VLOOKUP(J47,'G-3 Multipliers'!$L$3:$N$6,3,FALSE)=0,"Spatial Data Missing",VLOOKUP(J47,'G-3 Multipliers'!$L$3:$N$6,3,FALSE)))</f>
        <v/>
      </c>
      <c r="M47" s="197"/>
      <c r="N47" s="499" t="str">
        <f>IF(M47="","",IF(VLOOKUP(M47,'G-3 Multipliers'!$S$3:$T$6,2,FALSE)=0,"Spatial Data Missing ⚠",VLOOKUP(M47,'G-3 Multipliers'!$S$3:$T$6,2,FALSE)))</f>
        <v/>
      </c>
      <c r="O47" s="498" t="str">
        <f>IF(OR(D47="",H47=""),"",(INDEX('G-6 Hedgerow Data'!$E$3:$I$15,MATCH(D47,'G-6 Hedgerow Data'!$B$3:$B$15,0),MATCH(H47,'G-6 Hedgerow Data'!$E$2:$I$2,0))))</f>
        <v/>
      </c>
      <c r="P47" s="195"/>
      <c r="Q47" s="195"/>
      <c r="R47" s="507" t="str">
        <f t="shared" si="1"/>
        <v/>
      </c>
      <c r="S47" s="521" t="str">
        <f t="shared" si="2"/>
        <v/>
      </c>
      <c r="T47" s="522" t="str">
        <f t="shared" si="0"/>
        <v/>
      </c>
      <c r="U47" s="537" t="str">
        <f>IF(D47="","",VLOOKUP(D47,'G-6 Hedgerow Data'!$B$3:$AG$15,31,FALSE))</f>
        <v/>
      </c>
      <c r="V47" s="520" t="str">
        <f t="shared" si="3"/>
        <v/>
      </c>
      <c r="W47" s="520" t="str">
        <f t="shared" si="4"/>
        <v/>
      </c>
      <c r="X47" s="524" t="str">
        <f>IF(F47="","",VLOOKUP(U47,'G-3 Multipliers'!$P$3:$Q$6,2,FALSE))</f>
        <v/>
      </c>
      <c r="Y47" s="529" t="str">
        <f t="shared" si="5"/>
        <v/>
      </c>
      <c r="Z47" s="149"/>
      <c r="AA47" s="150"/>
      <c r="AG47" s="31" t="str">
        <f>IFERROR(INDEX('G-6 Hedgerow Data'!$BJ$3:$BJ$15,MATCH(D47,'G-6 Hedgerow Data'!$B$3:$B$15,0)),"")</f>
        <v/>
      </c>
    </row>
    <row r="48" spans="2:33" ht="14" x14ac:dyDescent="0.3">
      <c r="B48" s="103">
        <v>37</v>
      </c>
      <c r="C48" s="268"/>
      <c r="D48" s="82"/>
      <c r="E48" s="203"/>
      <c r="F48" s="498" t="str">
        <f>IF(D48="","",VLOOKUP(D48,'G-6 Hedgerow Data'!$B$2:$AG$15,2,FALSE))</f>
        <v/>
      </c>
      <c r="G48" s="524" t="str">
        <f>IF(D48="","",VLOOKUP(D48,'G-6 Hedgerow Data'!$B$2:$AG$15,3,FALSE))</f>
        <v/>
      </c>
      <c r="H48" s="72"/>
      <c r="I48" s="499" t="str">
        <f>IFERROR(IF(AND(F48="V.Low",OR(H48="Good",H48="Moderate")),"Error ▲",VLOOKUP(H48,'G-1 All Habitats'!$Z$2:$AA$9,2,FALSE)),"")</f>
        <v/>
      </c>
      <c r="J48" s="146"/>
      <c r="K48" s="520" t="str">
        <f>IF(J48="","",IF(VLOOKUP(J48,'G-3 Multipliers'!$L$3:$N$6,2,FALSE)=0,"Spatial Data Missing",VLOOKUP(J48,'G-3 Multipliers'!$L$3:$N$6,2,FALSE)))</f>
        <v/>
      </c>
      <c r="L48" s="524" t="str">
        <f>IF(J48="","",IF(VLOOKUP(J48,'G-3 Multipliers'!$L$3:$N$6,3,FALSE)=0,"Spatial Data Missing",VLOOKUP(J48,'G-3 Multipliers'!$L$3:$N$6,3,FALSE)))</f>
        <v/>
      </c>
      <c r="M48" s="197"/>
      <c r="N48" s="499" t="str">
        <f>IF(M48="","",IF(VLOOKUP(M48,'G-3 Multipliers'!$S$3:$T$6,2,FALSE)=0,"Spatial Data Missing ⚠",VLOOKUP(M48,'G-3 Multipliers'!$S$3:$T$6,2,FALSE)))</f>
        <v/>
      </c>
      <c r="O48" s="498" t="str">
        <f>IF(OR(D48="",H48=""),"",(INDEX('G-6 Hedgerow Data'!$E$3:$I$15,MATCH(D48,'G-6 Hedgerow Data'!$B$3:$B$15,0),MATCH(H48,'G-6 Hedgerow Data'!$E$2:$I$2,0))))</f>
        <v/>
      </c>
      <c r="P48" s="195"/>
      <c r="Q48" s="195"/>
      <c r="R48" s="507" t="str">
        <f t="shared" si="1"/>
        <v/>
      </c>
      <c r="S48" s="521" t="str">
        <f t="shared" si="2"/>
        <v/>
      </c>
      <c r="T48" s="522" t="str">
        <f t="shared" si="0"/>
        <v/>
      </c>
      <c r="U48" s="537" t="str">
        <f>IF(D48="","",VLOOKUP(D48,'G-6 Hedgerow Data'!$B$3:$AG$15,31,FALSE))</f>
        <v/>
      </c>
      <c r="V48" s="520" t="str">
        <f t="shared" si="3"/>
        <v/>
      </c>
      <c r="W48" s="520" t="str">
        <f t="shared" si="4"/>
        <v/>
      </c>
      <c r="X48" s="524" t="str">
        <f>IF(F48="","",VLOOKUP(U48,'G-3 Multipliers'!$P$3:$Q$6,2,FALSE))</f>
        <v/>
      </c>
      <c r="Y48" s="529" t="str">
        <f t="shared" si="5"/>
        <v/>
      </c>
      <c r="Z48" s="149"/>
      <c r="AA48" s="150"/>
      <c r="AG48" s="31" t="str">
        <f>IFERROR(INDEX('G-6 Hedgerow Data'!$BJ$3:$BJ$15,MATCH(D48,'G-6 Hedgerow Data'!$B$3:$B$15,0)),"")</f>
        <v/>
      </c>
    </row>
    <row r="49" spans="2:33" ht="14" x14ac:dyDescent="0.3">
      <c r="B49" s="103">
        <v>38</v>
      </c>
      <c r="C49" s="268"/>
      <c r="D49" s="82"/>
      <c r="E49" s="203"/>
      <c r="F49" s="498" t="str">
        <f>IF(D49="","",VLOOKUP(D49,'G-6 Hedgerow Data'!$B$2:$AG$15,2,FALSE))</f>
        <v/>
      </c>
      <c r="G49" s="524" t="str">
        <f>IF(D49="","",VLOOKUP(D49,'G-6 Hedgerow Data'!$B$2:$AG$15,3,FALSE))</f>
        <v/>
      </c>
      <c r="H49" s="72"/>
      <c r="I49" s="499" t="str">
        <f>IFERROR(IF(AND(F49="V.Low",OR(H49="Good",H49="Moderate")),"Error ▲",VLOOKUP(H49,'G-1 All Habitats'!$Z$2:$AA$9,2,FALSE)),"")</f>
        <v/>
      </c>
      <c r="J49" s="146"/>
      <c r="K49" s="520" t="str">
        <f>IF(J49="","",IF(VLOOKUP(J49,'G-3 Multipliers'!$L$3:$N$6,2,FALSE)=0,"Spatial Data Missing",VLOOKUP(J49,'G-3 Multipliers'!$L$3:$N$6,2,FALSE)))</f>
        <v/>
      </c>
      <c r="L49" s="524" t="str">
        <f>IF(J49="","",IF(VLOOKUP(J49,'G-3 Multipliers'!$L$3:$N$6,3,FALSE)=0,"Spatial Data Missing",VLOOKUP(J49,'G-3 Multipliers'!$L$3:$N$6,3,FALSE)))</f>
        <v/>
      </c>
      <c r="M49" s="197"/>
      <c r="N49" s="499" t="str">
        <f>IF(M49="","",IF(VLOOKUP(M49,'G-3 Multipliers'!$S$3:$T$6,2,FALSE)=0,"Spatial Data Missing ⚠",VLOOKUP(M49,'G-3 Multipliers'!$S$3:$T$6,2,FALSE)))</f>
        <v/>
      </c>
      <c r="O49" s="498" t="str">
        <f>IF(OR(D49="",H49=""),"",(INDEX('G-6 Hedgerow Data'!$E$3:$I$15,MATCH(D49,'G-6 Hedgerow Data'!$B$3:$B$15,0),MATCH(H49,'G-6 Hedgerow Data'!$E$2:$I$2,0))))</f>
        <v/>
      </c>
      <c r="P49" s="195"/>
      <c r="Q49" s="195"/>
      <c r="R49" s="507" t="str">
        <f t="shared" si="1"/>
        <v/>
      </c>
      <c r="S49" s="521" t="str">
        <f t="shared" si="2"/>
        <v/>
      </c>
      <c r="T49" s="522" t="str">
        <f t="shared" si="0"/>
        <v/>
      </c>
      <c r="U49" s="537" t="str">
        <f>IF(D49="","",VLOOKUP(D49,'G-6 Hedgerow Data'!$B$3:$AG$15,31,FALSE))</f>
        <v/>
      </c>
      <c r="V49" s="520" t="str">
        <f t="shared" si="3"/>
        <v/>
      </c>
      <c r="W49" s="520" t="str">
        <f t="shared" si="4"/>
        <v/>
      </c>
      <c r="X49" s="524" t="str">
        <f>IF(F49="","",VLOOKUP(U49,'G-3 Multipliers'!$P$3:$Q$6,2,FALSE))</f>
        <v/>
      </c>
      <c r="Y49" s="529" t="str">
        <f t="shared" si="5"/>
        <v/>
      </c>
      <c r="Z49" s="149"/>
      <c r="AA49" s="150"/>
      <c r="AG49" s="31" t="str">
        <f>IFERROR(INDEX('G-6 Hedgerow Data'!$BJ$3:$BJ$15,MATCH(D49,'G-6 Hedgerow Data'!$B$3:$B$15,0)),"")</f>
        <v/>
      </c>
    </row>
    <row r="50" spans="2:33" ht="14" x14ac:dyDescent="0.3">
      <c r="B50" s="103">
        <v>39</v>
      </c>
      <c r="C50" s="268"/>
      <c r="D50" s="82"/>
      <c r="E50" s="203"/>
      <c r="F50" s="498" t="str">
        <f>IF(D50="","",VLOOKUP(D50,'G-6 Hedgerow Data'!$B$2:$AG$15,2,FALSE))</f>
        <v/>
      </c>
      <c r="G50" s="524" t="str">
        <f>IF(D50="","",VLOOKUP(D50,'G-6 Hedgerow Data'!$B$2:$AG$15,3,FALSE))</f>
        <v/>
      </c>
      <c r="H50" s="72"/>
      <c r="I50" s="499" t="str">
        <f>IFERROR(IF(AND(F50="V.Low",OR(H50="Good",H50="Moderate")),"Error ▲",VLOOKUP(H50,'G-1 All Habitats'!$Z$2:$AA$9,2,FALSE)),"")</f>
        <v/>
      </c>
      <c r="J50" s="146"/>
      <c r="K50" s="520" t="str">
        <f>IF(J50="","",IF(VLOOKUP(J50,'G-3 Multipliers'!$L$3:$N$6,2,FALSE)=0,"Spatial Data Missing",VLOOKUP(J50,'G-3 Multipliers'!$L$3:$N$6,2,FALSE)))</f>
        <v/>
      </c>
      <c r="L50" s="524" t="str">
        <f>IF(J50="","",IF(VLOOKUP(J50,'G-3 Multipliers'!$L$3:$N$6,3,FALSE)=0,"Spatial Data Missing",VLOOKUP(J50,'G-3 Multipliers'!$L$3:$N$6,3,FALSE)))</f>
        <v/>
      </c>
      <c r="M50" s="197"/>
      <c r="N50" s="499" t="str">
        <f>IF(M50="","",IF(VLOOKUP(M50,'G-3 Multipliers'!$S$3:$T$6,2,FALSE)=0,"Spatial Data Missing ⚠",VLOOKUP(M50,'G-3 Multipliers'!$S$3:$T$6,2,FALSE)))</f>
        <v/>
      </c>
      <c r="O50" s="498" t="str">
        <f>IF(OR(D50="",H50=""),"",(INDEX('G-6 Hedgerow Data'!$E$3:$I$15,MATCH(D50,'G-6 Hedgerow Data'!$B$3:$B$15,0),MATCH(H50,'G-6 Hedgerow Data'!$E$2:$I$2,0))))</f>
        <v/>
      </c>
      <c r="P50" s="195"/>
      <c r="Q50" s="195"/>
      <c r="R50" s="507" t="str">
        <f t="shared" si="1"/>
        <v/>
      </c>
      <c r="S50" s="521" t="str">
        <f t="shared" si="2"/>
        <v/>
      </c>
      <c r="T50" s="522" t="str">
        <f t="shared" si="0"/>
        <v/>
      </c>
      <c r="U50" s="537" t="str">
        <f>IF(D50="","",VLOOKUP(D50,'G-6 Hedgerow Data'!$B$3:$AG$15,31,FALSE))</f>
        <v/>
      </c>
      <c r="V50" s="520" t="str">
        <f t="shared" si="3"/>
        <v/>
      </c>
      <c r="W50" s="520" t="str">
        <f t="shared" si="4"/>
        <v/>
      </c>
      <c r="X50" s="524" t="str">
        <f>IF(F50="","",VLOOKUP(U50,'G-3 Multipliers'!$P$3:$Q$6,2,FALSE))</f>
        <v/>
      </c>
      <c r="Y50" s="529" t="str">
        <f t="shared" si="5"/>
        <v/>
      </c>
      <c r="Z50" s="149"/>
      <c r="AA50" s="150"/>
      <c r="AG50" s="31" t="str">
        <f>IFERROR(INDEX('G-6 Hedgerow Data'!$BJ$3:$BJ$15,MATCH(D50,'G-6 Hedgerow Data'!$B$3:$B$15,0)),"")</f>
        <v/>
      </c>
    </row>
    <row r="51" spans="2:33" ht="14" x14ac:dyDescent="0.3">
      <c r="B51" s="103">
        <v>40</v>
      </c>
      <c r="C51" s="268"/>
      <c r="D51" s="82"/>
      <c r="E51" s="203"/>
      <c r="F51" s="498" t="str">
        <f>IF(D51="","",VLOOKUP(D51,'G-6 Hedgerow Data'!$B$2:$AG$15,2,FALSE))</f>
        <v/>
      </c>
      <c r="G51" s="524" t="str">
        <f>IF(D51="","",VLOOKUP(D51,'G-6 Hedgerow Data'!$B$2:$AG$15,3,FALSE))</f>
        <v/>
      </c>
      <c r="H51" s="72"/>
      <c r="I51" s="499" t="str">
        <f>IFERROR(IF(AND(F51="V.Low",OR(H51="Good",H51="Moderate")),"Error ▲",VLOOKUP(H51,'G-1 All Habitats'!$Z$2:$AA$9,2,FALSE)),"")</f>
        <v/>
      </c>
      <c r="J51" s="146"/>
      <c r="K51" s="520" t="str">
        <f>IF(J51="","",IF(VLOOKUP(J51,'G-3 Multipliers'!$L$3:$N$6,2,FALSE)=0,"Spatial Data Missing",VLOOKUP(J51,'G-3 Multipliers'!$L$3:$N$6,2,FALSE)))</f>
        <v/>
      </c>
      <c r="L51" s="524" t="str">
        <f>IF(J51="","",IF(VLOOKUP(J51,'G-3 Multipliers'!$L$3:$N$6,3,FALSE)=0,"Spatial Data Missing",VLOOKUP(J51,'G-3 Multipliers'!$L$3:$N$6,3,FALSE)))</f>
        <v/>
      </c>
      <c r="M51" s="197"/>
      <c r="N51" s="499" t="str">
        <f>IF(M51="","",IF(VLOOKUP(M51,'G-3 Multipliers'!$S$3:$T$6,2,FALSE)=0,"Spatial Data Missing ⚠",VLOOKUP(M51,'G-3 Multipliers'!$S$3:$T$6,2,FALSE)))</f>
        <v/>
      </c>
      <c r="O51" s="498" t="str">
        <f>IF(OR(D51="",H51=""),"",(INDEX('G-6 Hedgerow Data'!$E$3:$I$15,MATCH(D51,'G-6 Hedgerow Data'!$B$3:$B$15,0),MATCH(H51,'G-6 Hedgerow Data'!$E$2:$I$2,0))))</f>
        <v/>
      </c>
      <c r="P51" s="195"/>
      <c r="Q51" s="195"/>
      <c r="R51" s="507" t="str">
        <f t="shared" si="1"/>
        <v/>
      </c>
      <c r="S51" s="521" t="str">
        <f t="shared" si="2"/>
        <v/>
      </c>
      <c r="T51" s="522" t="str">
        <f t="shared" si="0"/>
        <v/>
      </c>
      <c r="U51" s="537" t="str">
        <f>IF(D51="","",VLOOKUP(D51,'G-6 Hedgerow Data'!$B$3:$AG$15,31,FALSE))</f>
        <v/>
      </c>
      <c r="V51" s="520" t="str">
        <f t="shared" si="3"/>
        <v/>
      </c>
      <c r="W51" s="520" t="str">
        <f t="shared" si="4"/>
        <v/>
      </c>
      <c r="X51" s="524" t="str">
        <f>IF(F51="","",VLOOKUP(U51,'G-3 Multipliers'!$P$3:$Q$6,2,FALSE))</f>
        <v/>
      </c>
      <c r="Y51" s="529" t="str">
        <f t="shared" si="5"/>
        <v/>
      </c>
      <c r="Z51" s="149"/>
      <c r="AA51" s="150"/>
      <c r="AG51" s="31" t="str">
        <f>IFERROR(INDEX('G-6 Hedgerow Data'!$BJ$3:$BJ$15,MATCH(D51,'G-6 Hedgerow Data'!$B$3:$B$15,0)),"")</f>
        <v/>
      </c>
    </row>
    <row r="52" spans="2:33" ht="14" x14ac:dyDescent="0.3">
      <c r="B52" s="103">
        <v>41</v>
      </c>
      <c r="C52" s="268"/>
      <c r="D52" s="82"/>
      <c r="E52" s="203"/>
      <c r="F52" s="498" t="str">
        <f>IF(D52="","",VLOOKUP(D52,'G-6 Hedgerow Data'!$B$2:$AG$15,2,FALSE))</f>
        <v/>
      </c>
      <c r="G52" s="524" t="str">
        <f>IF(D52="","",VLOOKUP(D52,'G-6 Hedgerow Data'!$B$2:$AG$15,3,FALSE))</f>
        <v/>
      </c>
      <c r="H52" s="72"/>
      <c r="I52" s="499" t="str">
        <f>IFERROR(IF(AND(F52="V.Low",OR(H52="Good",H52="Moderate")),"Error ▲",VLOOKUP(H52,'G-1 All Habitats'!$Z$2:$AA$9,2,FALSE)),"")</f>
        <v/>
      </c>
      <c r="J52" s="146"/>
      <c r="K52" s="520" t="str">
        <f>IF(J52="","",IF(VLOOKUP(J52,'G-3 Multipliers'!$L$3:$N$6,2,FALSE)=0,"Spatial Data Missing",VLOOKUP(J52,'G-3 Multipliers'!$L$3:$N$6,2,FALSE)))</f>
        <v/>
      </c>
      <c r="L52" s="524" t="str">
        <f>IF(J52="","",IF(VLOOKUP(J52,'G-3 Multipliers'!$L$3:$N$6,3,FALSE)=0,"Spatial Data Missing",VLOOKUP(J52,'G-3 Multipliers'!$L$3:$N$6,3,FALSE)))</f>
        <v/>
      </c>
      <c r="M52" s="197"/>
      <c r="N52" s="499" t="str">
        <f>IF(M52="","",IF(VLOOKUP(M52,'G-3 Multipliers'!$S$3:$T$6,2,FALSE)=0,"Spatial Data Missing ⚠",VLOOKUP(M52,'G-3 Multipliers'!$S$3:$T$6,2,FALSE)))</f>
        <v/>
      </c>
      <c r="O52" s="498" t="str">
        <f>IF(OR(D52="",H52=""),"",(INDEX('G-6 Hedgerow Data'!$E$3:$I$15,MATCH(D52,'G-6 Hedgerow Data'!$B$3:$B$15,0),MATCH(H52,'G-6 Hedgerow Data'!$E$2:$I$2,0))))</f>
        <v/>
      </c>
      <c r="P52" s="195"/>
      <c r="Q52" s="195"/>
      <c r="R52" s="507" t="str">
        <f t="shared" si="1"/>
        <v/>
      </c>
      <c r="S52" s="521" t="str">
        <f t="shared" si="2"/>
        <v/>
      </c>
      <c r="T52" s="522" t="str">
        <f t="shared" si="0"/>
        <v/>
      </c>
      <c r="U52" s="537" t="str">
        <f>IF(D52="","",VLOOKUP(D52,'G-6 Hedgerow Data'!$B$3:$AG$15,31,FALSE))</f>
        <v/>
      </c>
      <c r="V52" s="520" t="str">
        <f t="shared" si="3"/>
        <v/>
      </c>
      <c r="W52" s="520" t="str">
        <f t="shared" si="4"/>
        <v/>
      </c>
      <c r="X52" s="524" t="str">
        <f>IF(F52="","",VLOOKUP(U52,'G-3 Multipliers'!$P$3:$Q$6,2,FALSE))</f>
        <v/>
      </c>
      <c r="Y52" s="529" t="str">
        <f t="shared" si="5"/>
        <v/>
      </c>
      <c r="Z52" s="149"/>
      <c r="AA52" s="150"/>
      <c r="AG52" s="31" t="str">
        <f>IFERROR(INDEX('G-6 Hedgerow Data'!$BJ$3:$BJ$15,MATCH(D52,'G-6 Hedgerow Data'!$B$3:$B$15,0)),"")</f>
        <v/>
      </c>
    </row>
    <row r="53" spans="2:33" ht="14" x14ac:dyDescent="0.3">
      <c r="B53" s="103">
        <v>42</v>
      </c>
      <c r="C53" s="268"/>
      <c r="D53" s="82"/>
      <c r="E53" s="203"/>
      <c r="F53" s="498" t="str">
        <f>IF(D53="","",VLOOKUP(D53,'G-6 Hedgerow Data'!$B$2:$AG$15,2,FALSE))</f>
        <v/>
      </c>
      <c r="G53" s="524" t="str">
        <f>IF(D53="","",VLOOKUP(D53,'G-6 Hedgerow Data'!$B$2:$AG$15,3,FALSE))</f>
        <v/>
      </c>
      <c r="H53" s="72"/>
      <c r="I53" s="499" t="str">
        <f>IFERROR(IF(AND(F53="V.Low",OR(H53="Good",H53="Moderate")),"Error ▲",VLOOKUP(H53,'G-1 All Habitats'!$Z$2:$AA$9,2,FALSE)),"")</f>
        <v/>
      </c>
      <c r="J53" s="146"/>
      <c r="K53" s="520" t="str">
        <f>IF(J53="","",IF(VLOOKUP(J53,'G-3 Multipliers'!$L$3:$N$6,2,FALSE)=0,"Spatial Data Missing",VLOOKUP(J53,'G-3 Multipliers'!$L$3:$N$6,2,FALSE)))</f>
        <v/>
      </c>
      <c r="L53" s="524" t="str">
        <f>IF(J53="","",IF(VLOOKUP(J53,'G-3 Multipliers'!$L$3:$N$6,3,FALSE)=0,"Spatial Data Missing",VLOOKUP(J53,'G-3 Multipliers'!$L$3:$N$6,3,FALSE)))</f>
        <v/>
      </c>
      <c r="M53" s="197"/>
      <c r="N53" s="499" t="str">
        <f>IF(M53="","",IF(VLOOKUP(M53,'G-3 Multipliers'!$S$3:$T$6,2,FALSE)=0,"Spatial Data Missing ⚠",VLOOKUP(M53,'G-3 Multipliers'!$S$3:$T$6,2,FALSE)))</f>
        <v/>
      </c>
      <c r="O53" s="498" t="str">
        <f>IF(OR(D53="",H53=""),"",(INDEX('G-6 Hedgerow Data'!$E$3:$I$15,MATCH(D53,'G-6 Hedgerow Data'!$B$3:$B$15,0),MATCH(H53,'G-6 Hedgerow Data'!$E$2:$I$2,0))))</f>
        <v/>
      </c>
      <c r="P53" s="195"/>
      <c r="Q53" s="195"/>
      <c r="R53" s="507" t="str">
        <f t="shared" si="1"/>
        <v/>
      </c>
      <c r="S53" s="521" t="str">
        <f t="shared" si="2"/>
        <v/>
      </c>
      <c r="T53" s="522" t="str">
        <f t="shared" si="0"/>
        <v/>
      </c>
      <c r="U53" s="537" t="str">
        <f>IF(D53="","",VLOOKUP(D53,'G-6 Hedgerow Data'!$B$3:$AG$15,31,FALSE))</f>
        <v/>
      </c>
      <c r="V53" s="520" t="str">
        <f t="shared" si="3"/>
        <v/>
      </c>
      <c r="W53" s="520" t="str">
        <f t="shared" si="4"/>
        <v/>
      </c>
      <c r="X53" s="524" t="str">
        <f>IF(F53="","",VLOOKUP(U53,'G-3 Multipliers'!$P$3:$Q$6,2,FALSE))</f>
        <v/>
      </c>
      <c r="Y53" s="529" t="str">
        <f t="shared" si="5"/>
        <v/>
      </c>
      <c r="Z53" s="149"/>
      <c r="AA53" s="150"/>
      <c r="AG53" s="31" t="str">
        <f>IFERROR(INDEX('G-6 Hedgerow Data'!$BJ$3:$BJ$15,MATCH(D53,'G-6 Hedgerow Data'!$B$3:$B$15,0)),"")</f>
        <v/>
      </c>
    </row>
    <row r="54" spans="2:33" ht="14" x14ac:dyDescent="0.3">
      <c r="B54" s="103">
        <v>43</v>
      </c>
      <c r="C54" s="268"/>
      <c r="D54" s="82"/>
      <c r="E54" s="203"/>
      <c r="F54" s="498" t="str">
        <f>IF(D54="","",VLOOKUP(D54,'G-6 Hedgerow Data'!$B$2:$AG$15,2,FALSE))</f>
        <v/>
      </c>
      <c r="G54" s="524" t="str">
        <f>IF(D54="","",VLOOKUP(D54,'G-6 Hedgerow Data'!$B$2:$AG$15,3,FALSE))</f>
        <v/>
      </c>
      <c r="H54" s="72"/>
      <c r="I54" s="499" t="str">
        <f>IFERROR(IF(AND(F54="V.Low",OR(H54="Good",H54="Moderate")),"Error ▲",VLOOKUP(H54,'G-1 All Habitats'!$Z$2:$AA$9,2,FALSE)),"")</f>
        <v/>
      </c>
      <c r="J54" s="146"/>
      <c r="K54" s="520" t="str">
        <f>IF(J54="","",IF(VLOOKUP(J54,'G-3 Multipliers'!$L$3:$N$6,2,FALSE)=0,"Spatial Data Missing",VLOOKUP(J54,'G-3 Multipliers'!$L$3:$N$6,2,FALSE)))</f>
        <v/>
      </c>
      <c r="L54" s="524" t="str">
        <f>IF(J54="","",IF(VLOOKUP(J54,'G-3 Multipliers'!$L$3:$N$6,3,FALSE)=0,"Spatial Data Missing",VLOOKUP(J54,'G-3 Multipliers'!$L$3:$N$6,3,FALSE)))</f>
        <v/>
      </c>
      <c r="M54" s="197"/>
      <c r="N54" s="499" t="str">
        <f>IF(M54="","",IF(VLOOKUP(M54,'G-3 Multipliers'!$S$3:$T$6,2,FALSE)=0,"Spatial Data Missing ⚠",VLOOKUP(M54,'G-3 Multipliers'!$S$3:$T$6,2,FALSE)))</f>
        <v/>
      </c>
      <c r="O54" s="498" t="str">
        <f>IF(OR(D54="",H54=""),"",(INDEX('G-6 Hedgerow Data'!$E$3:$I$15,MATCH(D54,'G-6 Hedgerow Data'!$B$3:$B$15,0),MATCH(H54,'G-6 Hedgerow Data'!$E$2:$I$2,0))))</f>
        <v/>
      </c>
      <c r="P54" s="195"/>
      <c r="Q54" s="195"/>
      <c r="R54" s="507" t="str">
        <f t="shared" si="1"/>
        <v/>
      </c>
      <c r="S54" s="521" t="str">
        <f t="shared" si="2"/>
        <v/>
      </c>
      <c r="T54" s="522" t="str">
        <f t="shared" si="0"/>
        <v/>
      </c>
      <c r="U54" s="537" t="str">
        <f>IF(D54="","",VLOOKUP(D54,'G-6 Hedgerow Data'!$B$3:$AG$15,31,FALSE))</f>
        <v/>
      </c>
      <c r="V54" s="520" t="str">
        <f t="shared" si="3"/>
        <v/>
      </c>
      <c r="W54" s="520" t="str">
        <f t="shared" si="4"/>
        <v/>
      </c>
      <c r="X54" s="524" t="str">
        <f>IF(F54="","",VLOOKUP(U54,'G-3 Multipliers'!$P$3:$Q$6,2,FALSE))</f>
        <v/>
      </c>
      <c r="Y54" s="529" t="str">
        <f t="shared" si="5"/>
        <v/>
      </c>
      <c r="Z54" s="149"/>
      <c r="AA54" s="150"/>
      <c r="AG54" s="31" t="str">
        <f>IFERROR(INDEX('G-6 Hedgerow Data'!$BJ$3:$BJ$15,MATCH(D54,'G-6 Hedgerow Data'!$B$3:$B$15,0)),"")</f>
        <v/>
      </c>
    </row>
    <row r="55" spans="2:33" ht="14" x14ac:dyDescent="0.3">
      <c r="B55" s="103">
        <v>44</v>
      </c>
      <c r="C55" s="268"/>
      <c r="D55" s="82"/>
      <c r="E55" s="203"/>
      <c r="F55" s="498" t="str">
        <f>IF(D55="","",VLOOKUP(D55,'G-6 Hedgerow Data'!$B$2:$AG$15,2,FALSE))</f>
        <v/>
      </c>
      <c r="G55" s="524" t="str">
        <f>IF(D55="","",VLOOKUP(D55,'G-6 Hedgerow Data'!$B$2:$AG$15,3,FALSE))</f>
        <v/>
      </c>
      <c r="H55" s="72"/>
      <c r="I55" s="499" t="str">
        <f>IFERROR(IF(AND(F55="V.Low",OR(H55="Good",H55="Moderate")),"Error ▲",VLOOKUP(H55,'G-1 All Habitats'!$Z$2:$AA$9,2,FALSE)),"")</f>
        <v/>
      </c>
      <c r="J55" s="146"/>
      <c r="K55" s="520" t="str">
        <f>IF(J55="","",IF(VLOOKUP(J55,'G-3 Multipliers'!$L$3:$N$6,2,FALSE)=0,"Spatial Data Missing",VLOOKUP(J55,'G-3 Multipliers'!$L$3:$N$6,2,FALSE)))</f>
        <v/>
      </c>
      <c r="L55" s="524" t="str">
        <f>IF(J55="","",IF(VLOOKUP(J55,'G-3 Multipliers'!$L$3:$N$6,3,FALSE)=0,"Spatial Data Missing",VLOOKUP(J55,'G-3 Multipliers'!$L$3:$N$6,3,FALSE)))</f>
        <v/>
      </c>
      <c r="M55" s="197"/>
      <c r="N55" s="499" t="str">
        <f>IF(M55="","",IF(VLOOKUP(M55,'G-3 Multipliers'!$S$3:$T$6,2,FALSE)=0,"Spatial Data Missing ⚠",VLOOKUP(M55,'G-3 Multipliers'!$S$3:$T$6,2,FALSE)))</f>
        <v/>
      </c>
      <c r="O55" s="498" t="str">
        <f>IF(OR(D55="",H55=""),"",(INDEX('G-6 Hedgerow Data'!$E$3:$I$15,MATCH(D55,'G-6 Hedgerow Data'!$B$3:$B$15,0),MATCH(H55,'G-6 Hedgerow Data'!$E$2:$I$2,0))))</f>
        <v/>
      </c>
      <c r="P55" s="195"/>
      <c r="Q55" s="195"/>
      <c r="R55" s="507" t="str">
        <f t="shared" si="1"/>
        <v/>
      </c>
      <c r="S55" s="521" t="str">
        <f t="shared" si="2"/>
        <v/>
      </c>
      <c r="T55" s="522" t="str">
        <f t="shared" si="0"/>
        <v/>
      </c>
      <c r="U55" s="537" t="str">
        <f>IF(D55="","",VLOOKUP(D55,'G-6 Hedgerow Data'!$B$3:$AG$15,31,FALSE))</f>
        <v/>
      </c>
      <c r="V55" s="520" t="str">
        <f t="shared" si="3"/>
        <v/>
      </c>
      <c r="W55" s="520" t="str">
        <f t="shared" si="4"/>
        <v/>
      </c>
      <c r="X55" s="524" t="str">
        <f>IF(F55="","",VLOOKUP(U55,'G-3 Multipliers'!$P$3:$Q$6,2,FALSE))</f>
        <v/>
      </c>
      <c r="Y55" s="529" t="str">
        <f t="shared" si="5"/>
        <v/>
      </c>
      <c r="Z55" s="149"/>
      <c r="AA55" s="150"/>
      <c r="AG55" s="31" t="str">
        <f>IFERROR(INDEX('G-6 Hedgerow Data'!$BJ$3:$BJ$15,MATCH(D55,'G-6 Hedgerow Data'!$B$3:$B$15,0)),"")</f>
        <v/>
      </c>
    </row>
    <row r="56" spans="2:33" ht="14" x14ac:dyDescent="0.3">
      <c r="B56" s="103">
        <v>45</v>
      </c>
      <c r="C56" s="268"/>
      <c r="D56" s="82"/>
      <c r="E56" s="203"/>
      <c r="F56" s="498" t="str">
        <f>IF(D56="","",VLOOKUP(D56,'G-6 Hedgerow Data'!$B$2:$AG$15,2,FALSE))</f>
        <v/>
      </c>
      <c r="G56" s="524" t="str">
        <f>IF(D56="","",VLOOKUP(D56,'G-6 Hedgerow Data'!$B$2:$AG$15,3,FALSE))</f>
        <v/>
      </c>
      <c r="H56" s="72"/>
      <c r="I56" s="499" t="str">
        <f>IFERROR(IF(AND(F56="V.Low",OR(H56="Good",H56="Moderate")),"Error ▲",VLOOKUP(H56,'G-1 All Habitats'!$Z$2:$AA$9,2,FALSE)),"")</f>
        <v/>
      </c>
      <c r="J56" s="146"/>
      <c r="K56" s="520" t="str">
        <f>IF(J56="","",IF(VLOOKUP(J56,'G-3 Multipliers'!$L$3:$N$6,2,FALSE)=0,"Spatial Data Missing",VLOOKUP(J56,'G-3 Multipliers'!$L$3:$N$6,2,FALSE)))</f>
        <v/>
      </c>
      <c r="L56" s="524" t="str">
        <f>IF(J56="","",IF(VLOOKUP(J56,'G-3 Multipliers'!$L$3:$N$6,3,FALSE)=0,"Spatial Data Missing",VLOOKUP(J56,'G-3 Multipliers'!$L$3:$N$6,3,FALSE)))</f>
        <v/>
      </c>
      <c r="M56" s="197"/>
      <c r="N56" s="499" t="str">
        <f>IF(M56="","",IF(VLOOKUP(M56,'G-3 Multipliers'!$S$3:$T$6,2,FALSE)=0,"Spatial Data Missing ⚠",VLOOKUP(M56,'G-3 Multipliers'!$S$3:$T$6,2,FALSE)))</f>
        <v/>
      </c>
      <c r="O56" s="498" t="str">
        <f>IF(OR(D56="",H56=""),"",(INDEX('G-6 Hedgerow Data'!$E$3:$I$15,MATCH(D56,'G-6 Hedgerow Data'!$B$3:$B$15,0),MATCH(H56,'G-6 Hedgerow Data'!$E$2:$I$2,0))))</f>
        <v/>
      </c>
      <c r="P56" s="195"/>
      <c r="Q56" s="195"/>
      <c r="R56" s="507" t="str">
        <f t="shared" si="1"/>
        <v/>
      </c>
      <c r="S56" s="521" t="str">
        <f t="shared" si="2"/>
        <v/>
      </c>
      <c r="T56" s="522" t="str">
        <f t="shared" si="0"/>
        <v/>
      </c>
      <c r="U56" s="537" t="str">
        <f>IF(D56="","",VLOOKUP(D56,'G-6 Hedgerow Data'!$B$3:$AG$15,31,FALSE))</f>
        <v/>
      </c>
      <c r="V56" s="520" t="str">
        <f t="shared" si="3"/>
        <v/>
      </c>
      <c r="W56" s="520" t="str">
        <f t="shared" si="4"/>
        <v/>
      </c>
      <c r="X56" s="524" t="str">
        <f>IF(F56="","",VLOOKUP(U56,'G-3 Multipliers'!$P$3:$Q$6,2,FALSE))</f>
        <v/>
      </c>
      <c r="Y56" s="529" t="str">
        <f t="shared" si="5"/>
        <v/>
      </c>
      <c r="Z56" s="149"/>
      <c r="AA56" s="150"/>
      <c r="AG56" s="31" t="str">
        <f>IFERROR(INDEX('G-6 Hedgerow Data'!$BJ$3:$BJ$15,MATCH(D56,'G-6 Hedgerow Data'!$B$3:$B$15,0)),"")</f>
        <v/>
      </c>
    </row>
    <row r="57" spans="2:33" ht="14" x14ac:dyDescent="0.3">
      <c r="B57" s="103">
        <v>46</v>
      </c>
      <c r="C57" s="268"/>
      <c r="D57" s="82"/>
      <c r="E57" s="203"/>
      <c r="F57" s="498" t="str">
        <f>IF(D57="","",VLOOKUP(D57,'G-6 Hedgerow Data'!$B$2:$AG$15,2,FALSE))</f>
        <v/>
      </c>
      <c r="G57" s="524" t="str">
        <f>IF(D57="","",VLOOKUP(D57,'G-6 Hedgerow Data'!$B$2:$AG$15,3,FALSE))</f>
        <v/>
      </c>
      <c r="H57" s="72"/>
      <c r="I57" s="499" t="str">
        <f>IFERROR(IF(AND(F57="V.Low",OR(H57="Good",H57="Moderate")),"Error ▲",VLOOKUP(H57,'G-1 All Habitats'!$Z$2:$AA$9,2,FALSE)),"")</f>
        <v/>
      </c>
      <c r="J57" s="146"/>
      <c r="K57" s="520" t="str">
        <f>IF(J57="","",IF(VLOOKUP(J57,'G-3 Multipliers'!$L$3:$N$6,2,FALSE)=0,"Spatial Data Missing",VLOOKUP(J57,'G-3 Multipliers'!$L$3:$N$6,2,FALSE)))</f>
        <v/>
      </c>
      <c r="L57" s="524" t="str">
        <f>IF(J57="","",IF(VLOOKUP(J57,'G-3 Multipliers'!$L$3:$N$6,3,FALSE)=0,"Spatial Data Missing",VLOOKUP(J57,'G-3 Multipliers'!$L$3:$N$6,3,FALSE)))</f>
        <v/>
      </c>
      <c r="M57" s="197"/>
      <c r="N57" s="499" t="str">
        <f>IF(M57="","",IF(VLOOKUP(M57,'G-3 Multipliers'!$S$3:$T$6,2,FALSE)=0,"Spatial Data Missing ⚠",VLOOKUP(M57,'G-3 Multipliers'!$S$3:$T$6,2,FALSE)))</f>
        <v/>
      </c>
      <c r="O57" s="498" t="str">
        <f>IF(OR(D57="",H57=""),"",(INDEX('G-6 Hedgerow Data'!$E$3:$I$15,MATCH(D57,'G-6 Hedgerow Data'!$B$3:$B$15,0),MATCH(H57,'G-6 Hedgerow Data'!$E$2:$I$2,0))))</f>
        <v/>
      </c>
      <c r="P57" s="195"/>
      <c r="Q57" s="195"/>
      <c r="R57" s="507" t="str">
        <f t="shared" si="1"/>
        <v/>
      </c>
      <c r="S57" s="521" t="str">
        <f t="shared" si="2"/>
        <v/>
      </c>
      <c r="T57" s="522" t="str">
        <f t="shared" si="0"/>
        <v/>
      </c>
      <c r="U57" s="537" t="str">
        <f>IF(D57="","",VLOOKUP(D57,'G-6 Hedgerow Data'!$B$3:$AG$15,31,FALSE))</f>
        <v/>
      </c>
      <c r="V57" s="520" t="str">
        <f t="shared" si="3"/>
        <v/>
      </c>
      <c r="W57" s="520" t="str">
        <f t="shared" si="4"/>
        <v/>
      </c>
      <c r="X57" s="524" t="str">
        <f>IF(F57="","",VLOOKUP(U57,'G-3 Multipliers'!$P$3:$Q$6,2,FALSE))</f>
        <v/>
      </c>
      <c r="Y57" s="529" t="str">
        <f t="shared" si="5"/>
        <v/>
      </c>
      <c r="Z57" s="149"/>
      <c r="AA57" s="150"/>
      <c r="AG57" s="31" t="str">
        <f>IFERROR(INDEX('G-6 Hedgerow Data'!$BJ$3:$BJ$15,MATCH(D57,'G-6 Hedgerow Data'!$B$3:$B$15,0)),"")</f>
        <v/>
      </c>
    </row>
    <row r="58" spans="2:33" ht="14" x14ac:dyDescent="0.3">
      <c r="B58" s="103">
        <v>47</v>
      </c>
      <c r="C58" s="268"/>
      <c r="D58" s="82"/>
      <c r="E58" s="203"/>
      <c r="F58" s="498" t="str">
        <f>IF(D58="","",VLOOKUP(D58,'G-6 Hedgerow Data'!$B$2:$AG$15,2,FALSE))</f>
        <v/>
      </c>
      <c r="G58" s="524" t="str">
        <f>IF(D58="","",VLOOKUP(D58,'G-6 Hedgerow Data'!$B$2:$AG$15,3,FALSE))</f>
        <v/>
      </c>
      <c r="H58" s="72"/>
      <c r="I58" s="499" t="str">
        <f>IFERROR(IF(AND(F58="V.Low",OR(H58="Good",H58="Moderate")),"Error ▲",VLOOKUP(H58,'G-1 All Habitats'!$Z$2:$AA$9,2,FALSE)),"")</f>
        <v/>
      </c>
      <c r="J58" s="146"/>
      <c r="K58" s="520" t="str">
        <f>IF(J58="","",IF(VLOOKUP(J58,'G-3 Multipliers'!$L$3:$N$6,2,FALSE)=0,"Spatial Data Missing",VLOOKUP(J58,'G-3 Multipliers'!$L$3:$N$6,2,FALSE)))</f>
        <v/>
      </c>
      <c r="L58" s="524" t="str">
        <f>IF(J58="","",IF(VLOOKUP(J58,'G-3 Multipliers'!$L$3:$N$6,3,FALSE)=0,"Spatial Data Missing",VLOOKUP(J58,'G-3 Multipliers'!$L$3:$N$6,3,FALSE)))</f>
        <v/>
      </c>
      <c r="M58" s="197"/>
      <c r="N58" s="499" t="str">
        <f>IF(M58="","",IF(VLOOKUP(M58,'G-3 Multipliers'!$S$3:$T$6,2,FALSE)=0,"Spatial Data Missing ⚠",VLOOKUP(M58,'G-3 Multipliers'!$S$3:$T$6,2,FALSE)))</f>
        <v/>
      </c>
      <c r="O58" s="498" t="str">
        <f>IF(OR(D58="",H58=""),"",(INDEX('G-6 Hedgerow Data'!$E$3:$I$15,MATCH(D58,'G-6 Hedgerow Data'!$B$3:$B$15,0),MATCH(H58,'G-6 Hedgerow Data'!$E$2:$I$2,0))))</f>
        <v/>
      </c>
      <c r="P58" s="195"/>
      <c r="Q58" s="195"/>
      <c r="R58" s="507" t="str">
        <f t="shared" si="1"/>
        <v/>
      </c>
      <c r="S58" s="521" t="str">
        <f t="shared" si="2"/>
        <v/>
      </c>
      <c r="T58" s="522" t="str">
        <f t="shared" si="0"/>
        <v/>
      </c>
      <c r="U58" s="537" t="str">
        <f>IF(D58="","",VLOOKUP(D58,'G-6 Hedgerow Data'!$B$3:$AG$15,31,FALSE))</f>
        <v/>
      </c>
      <c r="V58" s="520" t="str">
        <f t="shared" si="3"/>
        <v/>
      </c>
      <c r="W58" s="520" t="str">
        <f t="shared" si="4"/>
        <v/>
      </c>
      <c r="X58" s="524" t="str">
        <f>IF(F58="","",VLOOKUP(U58,'G-3 Multipliers'!$P$3:$Q$6,2,FALSE))</f>
        <v/>
      </c>
      <c r="Y58" s="529" t="str">
        <f t="shared" si="5"/>
        <v/>
      </c>
      <c r="Z58" s="149"/>
      <c r="AA58" s="150"/>
      <c r="AG58" s="31" t="str">
        <f>IFERROR(INDEX('G-6 Hedgerow Data'!$BJ$3:$BJ$15,MATCH(D58,'G-6 Hedgerow Data'!$B$3:$B$15,0)),"")</f>
        <v/>
      </c>
    </row>
    <row r="59" spans="2:33" ht="14" x14ac:dyDescent="0.3">
      <c r="B59" s="103">
        <v>48</v>
      </c>
      <c r="C59" s="268"/>
      <c r="D59" s="82"/>
      <c r="E59" s="203"/>
      <c r="F59" s="498" t="str">
        <f>IF(D59="","",VLOOKUP(D59,'G-6 Hedgerow Data'!$B$2:$AG$15,2,FALSE))</f>
        <v/>
      </c>
      <c r="G59" s="524" t="str">
        <f>IF(D59="","",VLOOKUP(D59,'G-6 Hedgerow Data'!$B$2:$AG$15,3,FALSE))</f>
        <v/>
      </c>
      <c r="H59" s="72"/>
      <c r="I59" s="499" t="str">
        <f>IFERROR(IF(AND(F59="V.Low",OR(H59="Good",H59="Moderate")),"Error ▲",VLOOKUP(H59,'G-1 All Habitats'!$Z$2:$AA$9,2,FALSE)),"")</f>
        <v/>
      </c>
      <c r="J59" s="146"/>
      <c r="K59" s="520" t="str">
        <f>IF(J59="","",IF(VLOOKUP(J59,'G-3 Multipliers'!$L$3:$N$6,2,FALSE)=0,"Spatial Data Missing",VLOOKUP(J59,'G-3 Multipliers'!$L$3:$N$6,2,FALSE)))</f>
        <v/>
      </c>
      <c r="L59" s="524" t="str">
        <f>IF(J59="","",IF(VLOOKUP(J59,'G-3 Multipliers'!$L$3:$N$6,3,FALSE)=0,"Spatial Data Missing",VLOOKUP(J59,'G-3 Multipliers'!$L$3:$N$6,3,FALSE)))</f>
        <v/>
      </c>
      <c r="M59" s="197"/>
      <c r="N59" s="499" t="str">
        <f>IF(M59="","",IF(VLOOKUP(M59,'G-3 Multipliers'!$S$3:$T$6,2,FALSE)=0,"Spatial Data Missing ⚠",VLOOKUP(M59,'G-3 Multipliers'!$S$3:$T$6,2,FALSE)))</f>
        <v/>
      </c>
      <c r="O59" s="498" t="str">
        <f>IF(OR(D59="",H59=""),"",(INDEX('G-6 Hedgerow Data'!$E$3:$I$15,MATCH(D59,'G-6 Hedgerow Data'!$B$3:$B$15,0),MATCH(H59,'G-6 Hedgerow Data'!$E$2:$I$2,0))))</f>
        <v/>
      </c>
      <c r="P59" s="195"/>
      <c r="Q59" s="195"/>
      <c r="R59" s="507" t="str">
        <f t="shared" si="1"/>
        <v/>
      </c>
      <c r="S59" s="521" t="str">
        <f t="shared" si="2"/>
        <v/>
      </c>
      <c r="T59" s="522" t="str">
        <f t="shared" si="0"/>
        <v/>
      </c>
      <c r="U59" s="537" t="str">
        <f>IF(D59="","",VLOOKUP(D59,'G-6 Hedgerow Data'!$B$3:$AG$15,31,FALSE))</f>
        <v/>
      </c>
      <c r="V59" s="520" t="str">
        <f t="shared" si="3"/>
        <v/>
      </c>
      <c r="W59" s="520" t="str">
        <f t="shared" si="4"/>
        <v/>
      </c>
      <c r="X59" s="524" t="str">
        <f>IF(F59="","",VLOOKUP(U59,'G-3 Multipliers'!$P$3:$Q$6,2,FALSE))</f>
        <v/>
      </c>
      <c r="Y59" s="529" t="str">
        <f t="shared" si="5"/>
        <v/>
      </c>
      <c r="Z59" s="149"/>
      <c r="AA59" s="150"/>
      <c r="AG59" s="31" t="str">
        <f>IFERROR(INDEX('G-6 Hedgerow Data'!$BJ$3:$BJ$15,MATCH(D59,'G-6 Hedgerow Data'!$B$3:$B$15,0)),"")</f>
        <v/>
      </c>
    </row>
    <row r="60" spans="2:33" ht="14" x14ac:dyDescent="0.3">
      <c r="B60" s="103">
        <v>49</v>
      </c>
      <c r="C60" s="268"/>
      <c r="D60" s="82"/>
      <c r="E60" s="203"/>
      <c r="F60" s="498" t="str">
        <f>IF(D60="","",VLOOKUP(D60,'G-6 Hedgerow Data'!$B$2:$AG$15,2,FALSE))</f>
        <v/>
      </c>
      <c r="G60" s="524" t="str">
        <f>IF(D60="","",VLOOKUP(D60,'G-6 Hedgerow Data'!$B$2:$AG$15,3,FALSE))</f>
        <v/>
      </c>
      <c r="H60" s="72"/>
      <c r="I60" s="499" t="str">
        <f>IFERROR(IF(AND(F60="V.Low",OR(H60="Good",H60="Moderate")),"Error ▲",VLOOKUP(H60,'G-1 All Habitats'!$Z$2:$AA$9,2,FALSE)),"")</f>
        <v/>
      </c>
      <c r="J60" s="146"/>
      <c r="K60" s="520" t="str">
        <f>IF(J60="","",IF(VLOOKUP(J60,'G-3 Multipliers'!$L$3:$N$6,2,FALSE)=0,"Spatial Data Missing",VLOOKUP(J60,'G-3 Multipliers'!$L$3:$N$6,2,FALSE)))</f>
        <v/>
      </c>
      <c r="L60" s="524" t="str">
        <f>IF(J60="","",IF(VLOOKUP(J60,'G-3 Multipliers'!$L$3:$N$6,3,FALSE)=0,"Spatial Data Missing",VLOOKUP(J60,'G-3 Multipliers'!$L$3:$N$6,3,FALSE)))</f>
        <v/>
      </c>
      <c r="M60" s="197"/>
      <c r="N60" s="499" t="str">
        <f>IF(M60="","",IF(VLOOKUP(M60,'G-3 Multipliers'!$S$3:$T$6,2,FALSE)=0,"Spatial Data Missing ⚠",VLOOKUP(M60,'G-3 Multipliers'!$S$3:$T$6,2,FALSE)))</f>
        <v/>
      </c>
      <c r="O60" s="498" t="str">
        <f>IF(OR(D60="",H60=""),"",(INDEX('G-6 Hedgerow Data'!$E$3:$I$15,MATCH(D60,'G-6 Hedgerow Data'!$B$3:$B$15,0),MATCH(H60,'G-6 Hedgerow Data'!$E$2:$I$2,0))))</f>
        <v/>
      </c>
      <c r="P60" s="195"/>
      <c r="Q60" s="195"/>
      <c r="R60" s="507" t="str">
        <f t="shared" si="1"/>
        <v/>
      </c>
      <c r="S60" s="521" t="str">
        <f t="shared" si="2"/>
        <v/>
      </c>
      <c r="T60" s="522" t="str">
        <f t="shared" si="0"/>
        <v/>
      </c>
      <c r="U60" s="537" t="str">
        <f>IF(D60="","",VLOOKUP(D60,'G-6 Hedgerow Data'!$B$3:$AG$15,31,FALSE))</f>
        <v/>
      </c>
      <c r="V60" s="520" t="str">
        <f t="shared" si="3"/>
        <v/>
      </c>
      <c r="W60" s="520" t="str">
        <f t="shared" si="4"/>
        <v/>
      </c>
      <c r="X60" s="524" t="str">
        <f>IF(F60="","",VLOOKUP(U60,'G-3 Multipliers'!$P$3:$Q$6,2,FALSE))</f>
        <v/>
      </c>
      <c r="Y60" s="529" t="str">
        <f t="shared" si="5"/>
        <v/>
      </c>
      <c r="Z60" s="149"/>
      <c r="AA60" s="150"/>
      <c r="AG60" s="31" t="str">
        <f>IFERROR(INDEX('G-6 Hedgerow Data'!$BJ$3:$BJ$15,MATCH(D60,'G-6 Hedgerow Data'!$B$3:$B$15,0)),"")</f>
        <v/>
      </c>
    </row>
    <row r="61" spans="2:33" ht="14" x14ac:dyDescent="0.3">
      <c r="B61" s="103">
        <v>50</v>
      </c>
      <c r="C61" s="268"/>
      <c r="D61" s="82"/>
      <c r="E61" s="203"/>
      <c r="F61" s="498" t="str">
        <f>IF(D61="","",VLOOKUP(D61,'G-6 Hedgerow Data'!$B$2:$AG$15,2,FALSE))</f>
        <v/>
      </c>
      <c r="G61" s="524" t="str">
        <f>IF(D61="","",VLOOKUP(D61,'G-6 Hedgerow Data'!$B$2:$AG$15,3,FALSE))</f>
        <v/>
      </c>
      <c r="H61" s="72"/>
      <c r="I61" s="499" t="str">
        <f>IFERROR(IF(AND(F61="V.Low",OR(H61="Good",H61="Moderate")),"Error ▲",VLOOKUP(H61,'G-1 All Habitats'!$Z$2:$AA$9,2,FALSE)),"")</f>
        <v/>
      </c>
      <c r="J61" s="146"/>
      <c r="K61" s="520" t="str">
        <f>IF(J61="","",IF(VLOOKUP(J61,'G-3 Multipliers'!$L$3:$N$6,2,FALSE)=0,"Spatial Data Missing",VLOOKUP(J61,'G-3 Multipliers'!$L$3:$N$6,2,FALSE)))</f>
        <v/>
      </c>
      <c r="L61" s="524" t="str">
        <f>IF(J61="","",IF(VLOOKUP(J61,'G-3 Multipliers'!$L$3:$N$6,3,FALSE)=0,"Spatial Data Missing",VLOOKUP(J61,'G-3 Multipliers'!$L$3:$N$6,3,FALSE)))</f>
        <v/>
      </c>
      <c r="M61" s="197"/>
      <c r="N61" s="499" t="str">
        <f>IF(M61="","",IF(VLOOKUP(M61,'G-3 Multipliers'!$S$3:$T$6,2,FALSE)=0,"Spatial Data Missing ⚠",VLOOKUP(M61,'G-3 Multipliers'!$S$3:$T$6,2,FALSE)))</f>
        <v/>
      </c>
      <c r="O61" s="498" t="str">
        <f>IF(OR(D61="",H61=""),"",(INDEX('G-6 Hedgerow Data'!$E$3:$I$15,MATCH(D61,'G-6 Hedgerow Data'!$B$3:$B$15,0),MATCH(H61,'G-6 Hedgerow Data'!$E$2:$I$2,0))))</f>
        <v/>
      </c>
      <c r="P61" s="195"/>
      <c r="Q61" s="195"/>
      <c r="R61" s="507" t="str">
        <f t="shared" si="1"/>
        <v/>
      </c>
      <c r="S61" s="521" t="str">
        <f t="shared" si="2"/>
        <v/>
      </c>
      <c r="T61" s="522" t="str">
        <f t="shared" si="0"/>
        <v/>
      </c>
      <c r="U61" s="537" t="str">
        <f>IF(D61="","",VLOOKUP(D61,'G-6 Hedgerow Data'!$B$3:$AG$15,31,FALSE))</f>
        <v/>
      </c>
      <c r="V61" s="520" t="str">
        <f t="shared" si="3"/>
        <v/>
      </c>
      <c r="W61" s="520" t="str">
        <f t="shared" si="4"/>
        <v/>
      </c>
      <c r="X61" s="524" t="str">
        <f>IF(F61="","",VLOOKUP(U61,'G-3 Multipliers'!$P$3:$Q$6,2,FALSE))</f>
        <v/>
      </c>
      <c r="Y61" s="529" t="str">
        <f t="shared" si="5"/>
        <v/>
      </c>
      <c r="Z61" s="149"/>
      <c r="AA61" s="150"/>
      <c r="AG61" s="31" t="str">
        <f>IFERROR(INDEX('G-6 Hedgerow Data'!$BJ$3:$BJ$15,MATCH(D61,'G-6 Hedgerow Data'!$B$3:$B$15,0)),"")</f>
        <v/>
      </c>
    </row>
    <row r="62" spans="2:33" ht="14" x14ac:dyDescent="0.3">
      <c r="B62" s="103">
        <v>51</v>
      </c>
      <c r="C62" s="268"/>
      <c r="D62" s="82"/>
      <c r="E62" s="203"/>
      <c r="F62" s="498" t="str">
        <f>IF(D62="","",VLOOKUP(D62,'G-6 Hedgerow Data'!$B$2:$AG$15,2,FALSE))</f>
        <v/>
      </c>
      <c r="G62" s="524" t="str">
        <f>IF(D62="","",VLOOKUP(D62,'G-6 Hedgerow Data'!$B$2:$AG$15,3,FALSE))</f>
        <v/>
      </c>
      <c r="H62" s="72"/>
      <c r="I62" s="499" t="str">
        <f>IFERROR(IF(AND(F62="V.Low",OR(H62="Good",H62="Moderate")),"Error ▲",VLOOKUP(H62,'G-1 All Habitats'!$Z$2:$AA$9,2,FALSE)),"")</f>
        <v/>
      </c>
      <c r="J62" s="146"/>
      <c r="K62" s="520" t="str">
        <f>IF(J62="","",IF(VLOOKUP(J62,'G-3 Multipliers'!$L$3:$N$6,2,FALSE)=0,"Spatial Data Missing",VLOOKUP(J62,'G-3 Multipliers'!$L$3:$N$6,2,FALSE)))</f>
        <v/>
      </c>
      <c r="L62" s="524" t="str">
        <f>IF(J62="","",IF(VLOOKUP(J62,'G-3 Multipliers'!$L$3:$N$6,3,FALSE)=0,"Spatial Data Missing",VLOOKUP(J62,'G-3 Multipliers'!$L$3:$N$6,3,FALSE)))</f>
        <v/>
      </c>
      <c r="M62" s="197"/>
      <c r="N62" s="499" t="str">
        <f>IF(M62="","",IF(VLOOKUP(M62,'G-3 Multipliers'!$S$3:$T$6,2,FALSE)=0,"Spatial Data Missing ⚠",VLOOKUP(M62,'G-3 Multipliers'!$S$3:$T$6,2,FALSE)))</f>
        <v/>
      </c>
      <c r="O62" s="498" t="str">
        <f>IF(OR(D62="",H62=""),"",(INDEX('G-6 Hedgerow Data'!$E$3:$I$15,MATCH(D62,'G-6 Hedgerow Data'!$B$3:$B$15,0),MATCH(H62,'G-6 Hedgerow Data'!$E$2:$I$2,0))))</f>
        <v/>
      </c>
      <c r="P62" s="195"/>
      <c r="Q62" s="195"/>
      <c r="R62" s="507" t="str">
        <f t="shared" si="1"/>
        <v/>
      </c>
      <c r="S62" s="521" t="str">
        <f t="shared" si="2"/>
        <v/>
      </c>
      <c r="T62" s="522" t="str">
        <f t="shared" si="0"/>
        <v/>
      </c>
      <c r="U62" s="537" t="str">
        <f>IF(D62="","",VLOOKUP(D62,'G-6 Hedgerow Data'!$B$3:$AG$15,31,FALSE))</f>
        <v/>
      </c>
      <c r="V62" s="520" t="str">
        <f t="shared" si="3"/>
        <v/>
      </c>
      <c r="W62" s="520" t="str">
        <f t="shared" si="4"/>
        <v/>
      </c>
      <c r="X62" s="524" t="str">
        <f>IF(F62="","",VLOOKUP(U62,'G-3 Multipliers'!$P$3:$Q$6,2,FALSE))</f>
        <v/>
      </c>
      <c r="Y62" s="529" t="str">
        <f t="shared" si="5"/>
        <v/>
      </c>
      <c r="Z62" s="149"/>
      <c r="AA62" s="150"/>
      <c r="AG62" s="31" t="str">
        <f>IFERROR(INDEX('G-6 Hedgerow Data'!$BJ$3:$BJ$15,MATCH(D62,'G-6 Hedgerow Data'!$B$3:$B$15,0)),"")</f>
        <v/>
      </c>
    </row>
    <row r="63" spans="2:33" ht="14" x14ac:dyDescent="0.3">
      <c r="B63" s="103">
        <v>52</v>
      </c>
      <c r="C63" s="268"/>
      <c r="D63" s="82"/>
      <c r="E63" s="203"/>
      <c r="F63" s="498" t="str">
        <f>IF(D63="","",VLOOKUP(D63,'G-6 Hedgerow Data'!$B$2:$AG$15,2,FALSE))</f>
        <v/>
      </c>
      <c r="G63" s="524" t="str">
        <f>IF(D63="","",VLOOKUP(D63,'G-6 Hedgerow Data'!$B$2:$AG$15,3,FALSE))</f>
        <v/>
      </c>
      <c r="H63" s="72"/>
      <c r="I63" s="499" t="str">
        <f>IFERROR(IF(AND(F63="V.Low",OR(H63="Good",H63="Moderate")),"Error ▲",VLOOKUP(H63,'G-1 All Habitats'!$Z$2:$AA$9,2,FALSE)),"")</f>
        <v/>
      </c>
      <c r="J63" s="146"/>
      <c r="K63" s="520" t="str">
        <f>IF(J63="","",IF(VLOOKUP(J63,'G-3 Multipliers'!$L$3:$N$6,2,FALSE)=0,"Spatial Data Missing",VLOOKUP(J63,'G-3 Multipliers'!$L$3:$N$6,2,FALSE)))</f>
        <v/>
      </c>
      <c r="L63" s="524" t="str">
        <f>IF(J63="","",IF(VLOOKUP(J63,'G-3 Multipliers'!$L$3:$N$6,3,FALSE)=0,"Spatial Data Missing",VLOOKUP(J63,'G-3 Multipliers'!$L$3:$N$6,3,FALSE)))</f>
        <v/>
      </c>
      <c r="M63" s="197"/>
      <c r="N63" s="499" t="str">
        <f>IF(M63="","",IF(VLOOKUP(M63,'G-3 Multipliers'!$S$3:$T$6,2,FALSE)=0,"Spatial Data Missing ⚠",VLOOKUP(M63,'G-3 Multipliers'!$S$3:$T$6,2,FALSE)))</f>
        <v/>
      </c>
      <c r="O63" s="498" t="str">
        <f>IF(OR(D63="",H63=""),"",(INDEX('G-6 Hedgerow Data'!$E$3:$I$15,MATCH(D63,'G-6 Hedgerow Data'!$B$3:$B$15,0),MATCH(H63,'G-6 Hedgerow Data'!$E$2:$I$2,0))))</f>
        <v/>
      </c>
      <c r="P63" s="195"/>
      <c r="Q63" s="195"/>
      <c r="R63" s="507" t="str">
        <f t="shared" si="1"/>
        <v/>
      </c>
      <c r="S63" s="521" t="str">
        <f t="shared" si="2"/>
        <v/>
      </c>
      <c r="T63" s="522" t="str">
        <f t="shared" si="0"/>
        <v/>
      </c>
      <c r="U63" s="537" t="str">
        <f>IF(D63="","",VLOOKUP(D63,'G-6 Hedgerow Data'!$B$3:$AG$15,31,FALSE))</f>
        <v/>
      </c>
      <c r="V63" s="520" t="str">
        <f t="shared" si="3"/>
        <v/>
      </c>
      <c r="W63" s="520" t="str">
        <f t="shared" si="4"/>
        <v/>
      </c>
      <c r="X63" s="524" t="str">
        <f>IF(F63="","",VLOOKUP(U63,'G-3 Multipliers'!$P$3:$Q$6,2,FALSE))</f>
        <v/>
      </c>
      <c r="Y63" s="529" t="str">
        <f t="shared" si="5"/>
        <v/>
      </c>
      <c r="Z63" s="149"/>
      <c r="AA63" s="150"/>
      <c r="AG63" s="31" t="str">
        <f>IFERROR(INDEX('G-6 Hedgerow Data'!$BJ$3:$BJ$15,MATCH(D63,'G-6 Hedgerow Data'!$B$3:$B$15,0)),"")</f>
        <v/>
      </c>
    </row>
    <row r="64" spans="2:33" ht="14" x14ac:dyDescent="0.3">
      <c r="B64" s="103">
        <v>53</v>
      </c>
      <c r="C64" s="268"/>
      <c r="D64" s="82"/>
      <c r="E64" s="203"/>
      <c r="F64" s="498" t="str">
        <f>IF(D64="","",VLOOKUP(D64,'G-6 Hedgerow Data'!$B$2:$AG$15,2,FALSE))</f>
        <v/>
      </c>
      <c r="G64" s="524" t="str">
        <f>IF(D64="","",VLOOKUP(D64,'G-6 Hedgerow Data'!$B$2:$AG$15,3,FALSE))</f>
        <v/>
      </c>
      <c r="H64" s="72"/>
      <c r="I64" s="499" t="str">
        <f>IFERROR(IF(AND(F64="V.Low",OR(H64="Good",H64="Moderate")),"Error ▲",VLOOKUP(H64,'G-1 All Habitats'!$Z$2:$AA$9,2,FALSE)),"")</f>
        <v/>
      </c>
      <c r="J64" s="146"/>
      <c r="K64" s="520" t="str">
        <f>IF(J64="","",IF(VLOOKUP(J64,'G-3 Multipliers'!$L$3:$N$6,2,FALSE)=0,"Spatial Data Missing",VLOOKUP(J64,'G-3 Multipliers'!$L$3:$N$6,2,FALSE)))</f>
        <v/>
      </c>
      <c r="L64" s="524" t="str">
        <f>IF(J64="","",IF(VLOOKUP(J64,'G-3 Multipliers'!$L$3:$N$6,3,FALSE)=0,"Spatial Data Missing",VLOOKUP(J64,'G-3 Multipliers'!$L$3:$N$6,3,FALSE)))</f>
        <v/>
      </c>
      <c r="M64" s="197"/>
      <c r="N64" s="499" t="str">
        <f>IF(M64="","",IF(VLOOKUP(M64,'G-3 Multipliers'!$S$3:$T$6,2,FALSE)=0,"Spatial Data Missing ⚠",VLOOKUP(M64,'G-3 Multipliers'!$S$3:$T$6,2,FALSE)))</f>
        <v/>
      </c>
      <c r="O64" s="498" t="str">
        <f>IF(OR(D64="",H64=""),"",(INDEX('G-6 Hedgerow Data'!$E$3:$I$15,MATCH(D64,'G-6 Hedgerow Data'!$B$3:$B$15,0),MATCH(H64,'G-6 Hedgerow Data'!$E$2:$I$2,0))))</f>
        <v/>
      </c>
      <c r="P64" s="195"/>
      <c r="Q64" s="195"/>
      <c r="R64" s="507" t="str">
        <f t="shared" si="1"/>
        <v/>
      </c>
      <c r="S64" s="521" t="str">
        <f t="shared" si="2"/>
        <v/>
      </c>
      <c r="T64" s="522" t="str">
        <f t="shared" si="0"/>
        <v/>
      </c>
      <c r="U64" s="537" t="str">
        <f>IF(D64="","",VLOOKUP(D64,'G-6 Hedgerow Data'!$B$3:$AG$15,31,FALSE))</f>
        <v/>
      </c>
      <c r="V64" s="520" t="str">
        <f t="shared" si="3"/>
        <v/>
      </c>
      <c r="W64" s="520" t="str">
        <f t="shared" si="4"/>
        <v/>
      </c>
      <c r="X64" s="524" t="str">
        <f>IF(F64="","",VLOOKUP(U64,'G-3 Multipliers'!$P$3:$Q$6,2,FALSE))</f>
        <v/>
      </c>
      <c r="Y64" s="529" t="str">
        <f t="shared" si="5"/>
        <v/>
      </c>
      <c r="Z64" s="149"/>
      <c r="AA64" s="150"/>
      <c r="AG64" s="31" t="str">
        <f>IFERROR(INDEX('G-6 Hedgerow Data'!$BJ$3:$BJ$15,MATCH(D64,'G-6 Hedgerow Data'!$B$3:$B$15,0)),"")</f>
        <v/>
      </c>
    </row>
    <row r="65" spans="2:33" ht="14" x14ac:dyDescent="0.3">
      <c r="B65" s="103">
        <v>54</v>
      </c>
      <c r="C65" s="268"/>
      <c r="D65" s="82"/>
      <c r="E65" s="203"/>
      <c r="F65" s="498" t="str">
        <f>IF(D65="","",VLOOKUP(D65,'G-6 Hedgerow Data'!$B$2:$AG$15,2,FALSE))</f>
        <v/>
      </c>
      <c r="G65" s="524" t="str">
        <f>IF(D65="","",VLOOKUP(D65,'G-6 Hedgerow Data'!$B$2:$AG$15,3,FALSE))</f>
        <v/>
      </c>
      <c r="H65" s="72"/>
      <c r="I65" s="499" t="str">
        <f>IFERROR(IF(AND(F65="V.Low",OR(H65="Good",H65="Moderate")),"Error ▲",VLOOKUP(H65,'G-1 All Habitats'!$Z$2:$AA$9,2,FALSE)),"")</f>
        <v/>
      </c>
      <c r="J65" s="146"/>
      <c r="K65" s="520" t="str">
        <f>IF(J65="","",IF(VLOOKUP(J65,'G-3 Multipliers'!$L$3:$N$6,2,FALSE)=0,"Spatial Data Missing",VLOOKUP(J65,'G-3 Multipliers'!$L$3:$N$6,2,FALSE)))</f>
        <v/>
      </c>
      <c r="L65" s="524" t="str">
        <f>IF(J65="","",IF(VLOOKUP(J65,'G-3 Multipliers'!$L$3:$N$6,3,FALSE)=0,"Spatial Data Missing",VLOOKUP(J65,'G-3 Multipliers'!$L$3:$N$6,3,FALSE)))</f>
        <v/>
      </c>
      <c r="M65" s="197"/>
      <c r="N65" s="499" t="str">
        <f>IF(M65="","",IF(VLOOKUP(M65,'G-3 Multipliers'!$S$3:$T$6,2,FALSE)=0,"Spatial Data Missing ⚠",VLOOKUP(M65,'G-3 Multipliers'!$S$3:$T$6,2,FALSE)))</f>
        <v/>
      </c>
      <c r="O65" s="498" t="str">
        <f>IF(OR(D65="",H65=""),"",(INDEX('G-6 Hedgerow Data'!$E$3:$I$15,MATCH(D65,'G-6 Hedgerow Data'!$B$3:$B$15,0),MATCH(H65,'G-6 Hedgerow Data'!$E$2:$I$2,0))))</f>
        <v/>
      </c>
      <c r="P65" s="195"/>
      <c r="Q65" s="195"/>
      <c r="R65" s="507" t="str">
        <f t="shared" si="1"/>
        <v/>
      </c>
      <c r="S65" s="521" t="str">
        <f t="shared" si="2"/>
        <v/>
      </c>
      <c r="T65" s="522" t="str">
        <f t="shared" si="0"/>
        <v/>
      </c>
      <c r="U65" s="537" t="str">
        <f>IF(D65="","",VLOOKUP(D65,'G-6 Hedgerow Data'!$B$3:$AG$15,31,FALSE))</f>
        <v/>
      </c>
      <c r="V65" s="520" t="str">
        <f t="shared" si="3"/>
        <v/>
      </c>
      <c r="W65" s="520" t="str">
        <f t="shared" si="4"/>
        <v/>
      </c>
      <c r="X65" s="524" t="str">
        <f>IF(F65="","",VLOOKUP(U65,'G-3 Multipliers'!$P$3:$Q$6,2,FALSE))</f>
        <v/>
      </c>
      <c r="Y65" s="529" t="str">
        <f t="shared" si="5"/>
        <v/>
      </c>
      <c r="Z65" s="149"/>
      <c r="AA65" s="150"/>
      <c r="AG65" s="31" t="str">
        <f>IFERROR(INDEX('G-6 Hedgerow Data'!$BJ$3:$BJ$15,MATCH(D65,'G-6 Hedgerow Data'!$B$3:$B$15,0)),"")</f>
        <v/>
      </c>
    </row>
    <row r="66" spans="2:33" ht="14" x14ac:dyDescent="0.3">
      <c r="B66" s="103">
        <v>55</v>
      </c>
      <c r="C66" s="268"/>
      <c r="D66" s="82"/>
      <c r="E66" s="203"/>
      <c r="F66" s="498" t="str">
        <f>IF(D66="","",VLOOKUP(D66,'G-6 Hedgerow Data'!$B$2:$AG$15,2,FALSE))</f>
        <v/>
      </c>
      <c r="G66" s="524" t="str">
        <f>IF(D66="","",VLOOKUP(D66,'G-6 Hedgerow Data'!$B$2:$AG$15,3,FALSE))</f>
        <v/>
      </c>
      <c r="H66" s="72"/>
      <c r="I66" s="499" t="str">
        <f>IFERROR(IF(AND(F66="V.Low",OR(H66="Good",H66="Moderate")),"Error ▲",VLOOKUP(H66,'G-1 All Habitats'!$Z$2:$AA$9,2,FALSE)),"")</f>
        <v/>
      </c>
      <c r="J66" s="146"/>
      <c r="K66" s="520" t="str">
        <f>IF(J66="","",IF(VLOOKUP(J66,'G-3 Multipliers'!$L$3:$N$6,2,FALSE)=0,"Spatial Data Missing",VLOOKUP(J66,'G-3 Multipliers'!$L$3:$N$6,2,FALSE)))</f>
        <v/>
      </c>
      <c r="L66" s="524" t="str">
        <f>IF(J66="","",IF(VLOOKUP(J66,'G-3 Multipliers'!$L$3:$N$6,3,FALSE)=0,"Spatial Data Missing",VLOOKUP(J66,'G-3 Multipliers'!$L$3:$N$6,3,FALSE)))</f>
        <v/>
      </c>
      <c r="M66" s="197"/>
      <c r="N66" s="499" t="str">
        <f>IF(M66="","",IF(VLOOKUP(M66,'G-3 Multipliers'!$S$3:$T$6,2,FALSE)=0,"Spatial Data Missing ⚠",VLOOKUP(M66,'G-3 Multipliers'!$S$3:$T$6,2,FALSE)))</f>
        <v/>
      </c>
      <c r="O66" s="498" t="str">
        <f>IF(OR(D66="",H66=""),"",(INDEX('G-6 Hedgerow Data'!$E$3:$I$15,MATCH(D66,'G-6 Hedgerow Data'!$B$3:$B$15,0),MATCH(H66,'G-6 Hedgerow Data'!$E$2:$I$2,0))))</f>
        <v/>
      </c>
      <c r="P66" s="195"/>
      <c r="Q66" s="195"/>
      <c r="R66" s="507" t="str">
        <f t="shared" si="1"/>
        <v/>
      </c>
      <c r="S66" s="521" t="str">
        <f t="shared" si="2"/>
        <v/>
      </c>
      <c r="T66" s="522" t="str">
        <f t="shared" si="0"/>
        <v/>
      </c>
      <c r="U66" s="537" t="str">
        <f>IF(D66="","",VLOOKUP(D66,'G-6 Hedgerow Data'!$B$3:$AG$15,31,FALSE))</f>
        <v/>
      </c>
      <c r="V66" s="520" t="str">
        <f t="shared" si="3"/>
        <v/>
      </c>
      <c r="W66" s="520" t="str">
        <f t="shared" si="4"/>
        <v/>
      </c>
      <c r="X66" s="524" t="str">
        <f>IF(F66="","",VLOOKUP(U66,'G-3 Multipliers'!$P$3:$Q$6,2,FALSE))</f>
        <v/>
      </c>
      <c r="Y66" s="529" t="str">
        <f t="shared" si="5"/>
        <v/>
      </c>
      <c r="Z66" s="149"/>
      <c r="AA66" s="150"/>
      <c r="AG66" s="31" t="str">
        <f>IFERROR(INDEX('G-6 Hedgerow Data'!$BJ$3:$BJ$15,MATCH(D66,'G-6 Hedgerow Data'!$B$3:$B$15,0)),"")</f>
        <v/>
      </c>
    </row>
    <row r="67" spans="2:33" ht="14" x14ac:dyDescent="0.3">
      <c r="B67" s="103">
        <v>56</v>
      </c>
      <c r="C67" s="268"/>
      <c r="D67" s="82"/>
      <c r="E67" s="203"/>
      <c r="F67" s="498" t="str">
        <f>IF(D67="","",VLOOKUP(D67,'G-6 Hedgerow Data'!$B$2:$AG$15,2,FALSE))</f>
        <v/>
      </c>
      <c r="G67" s="524" t="str">
        <f>IF(D67="","",VLOOKUP(D67,'G-6 Hedgerow Data'!$B$2:$AG$15,3,FALSE))</f>
        <v/>
      </c>
      <c r="H67" s="72"/>
      <c r="I67" s="499" t="str">
        <f>IFERROR(IF(AND(F67="V.Low",OR(H67="Good",H67="Moderate")),"Error ▲",VLOOKUP(H67,'G-1 All Habitats'!$Z$2:$AA$9,2,FALSE)),"")</f>
        <v/>
      </c>
      <c r="J67" s="146"/>
      <c r="K67" s="520" t="str">
        <f>IF(J67="","",IF(VLOOKUP(J67,'G-3 Multipliers'!$L$3:$N$6,2,FALSE)=0,"Spatial Data Missing",VLOOKUP(J67,'G-3 Multipliers'!$L$3:$N$6,2,FALSE)))</f>
        <v/>
      </c>
      <c r="L67" s="524" t="str">
        <f>IF(J67="","",IF(VLOOKUP(J67,'G-3 Multipliers'!$L$3:$N$6,3,FALSE)=0,"Spatial Data Missing",VLOOKUP(J67,'G-3 Multipliers'!$L$3:$N$6,3,FALSE)))</f>
        <v/>
      </c>
      <c r="M67" s="197"/>
      <c r="N67" s="499" t="str">
        <f>IF(M67="","",IF(VLOOKUP(M67,'G-3 Multipliers'!$S$3:$T$6,2,FALSE)=0,"Spatial Data Missing ⚠",VLOOKUP(M67,'G-3 Multipliers'!$S$3:$T$6,2,FALSE)))</f>
        <v/>
      </c>
      <c r="O67" s="498" t="str">
        <f>IF(OR(D67="",H67=""),"",(INDEX('G-6 Hedgerow Data'!$E$3:$I$15,MATCH(D67,'G-6 Hedgerow Data'!$B$3:$B$15,0),MATCH(H67,'G-6 Hedgerow Data'!$E$2:$I$2,0))))</f>
        <v/>
      </c>
      <c r="P67" s="195"/>
      <c r="Q67" s="195"/>
      <c r="R67" s="507" t="str">
        <f t="shared" si="1"/>
        <v/>
      </c>
      <c r="S67" s="521" t="str">
        <f t="shared" si="2"/>
        <v/>
      </c>
      <c r="T67" s="522" t="str">
        <f t="shared" si="0"/>
        <v/>
      </c>
      <c r="U67" s="537" t="str">
        <f>IF(D67="","",VLOOKUP(D67,'G-6 Hedgerow Data'!$B$3:$AG$15,31,FALSE))</f>
        <v/>
      </c>
      <c r="V67" s="520" t="str">
        <f t="shared" si="3"/>
        <v/>
      </c>
      <c r="W67" s="520" t="str">
        <f t="shared" si="4"/>
        <v/>
      </c>
      <c r="X67" s="524" t="str">
        <f>IF(F67="","",VLOOKUP(U67,'G-3 Multipliers'!$P$3:$Q$6,2,FALSE))</f>
        <v/>
      </c>
      <c r="Y67" s="529" t="str">
        <f t="shared" si="5"/>
        <v/>
      </c>
      <c r="Z67" s="149"/>
      <c r="AA67" s="150"/>
      <c r="AG67" s="31" t="str">
        <f>IFERROR(INDEX('G-6 Hedgerow Data'!$BJ$3:$BJ$15,MATCH(D67,'G-6 Hedgerow Data'!$B$3:$B$15,0)),"")</f>
        <v/>
      </c>
    </row>
    <row r="68" spans="2:33" ht="14" x14ac:dyDescent="0.3">
      <c r="B68" s="103">
        <v>57</v>
      </c>
      <c r="C68" s="268"/>
      <c r="D68" s="82"/>
      <c r="E68" s="203"/>
      <c r="F68" s="498" t="str">
        <f>IF(D68="","",VLOOKUP(D68,'G-6 Hedgerow Data'!$B$2:$AG$15,2,FALSE))</f>
        <v/>
      </c>
      <c r="G68" s="524" t="str">
        <f>IF(D68="","",VLOOKUP(D68,'G-6 Hedgerow Data'!$B$2:$AG$15,3,FALSE))</f>
        <v/>
      </c>
      <c r="H68" s="72"/>
      <c r="I68" s="499" t="str">
        <f>IFERROR(IF(AND(F68="V.Low",OR(H68="Good",H68="Moderate")),"Error ▲",VLOOKUP(H68,'G-1 All Habitats'!$Z$2:$AA$9,2,FALSE)),"")</f>
        <v/>
      </c>
      <c r="J68" s="146"/>
      <c r="K68" s="520" t="str">
        <f>IF(J68="","",IF(VLOOKUP(J68,'G-3 Multipliers'!$L$3:$N$6,2,FALSE)=0,"Spatial Data Missing",VLOOKUP(J68,'G-3 Multipliers'!$L$3:$N$6,2,FALSE)))</f>
        <v/>
      </c>
      <c r="L68" s="524" t="str">
        <f>IF(J68="","",IF(VLOOKUP(J68,'G-3 Multipliers'!$L$3:$N$6,3,FALSE)=0,"Spatial Data Missing",VLOOKUP(J68,'G-3 Multipliers'!$L$3:$N$6,3,FALSE)))</f>
        <v/>
      </c>
      <c r="M68" s="197"/>
      <c r="N68" s="499" t="str">
        <f>IF(M68="","",IF(VLOOKUP(M68,'G-3 Multipliers'!$S$3:$T$6,2,FALSE)=0,"Spatial Data Missing ⚠",VLOOKUP(M68,'G-3 Multipliers'!$S$3:$T$6,2,FALSE)))</f>
        <v/>
      </c>
      <c r="O68" s="498" t="str">
        <f>IF(OR(D68="",H68=""),"",(INDEX('G-6 Hedgerow Data'!$E$3:$I$15,MATCH(D68,'G-6 Hedgerow Data'!$B$3:$B$15,0),MATCH(H68,'G-6 Hedgerow Data'!$E$2:$I$2,0))))</f>
        <v/>
      </c>
      <c r="P68" s="195"/>
      <c r="Q68" s="195"/>
      <c r="R68" s="507" t="str">
        <f t="shared" si="1"/>
        <v/>
      </c>
      <c r="S68" s="521" t="str">
        <f t="shared" si="2"/>
        <v/>
      </c>
      <c r="T68" s="522" t="str">
        <f t="shared" si="0"/>
        <v/>
      </c>
      <c r="U68" s="537" t="str">
        <f>IF(D68="","",VLOOKUP(D68,'G-6 Hedgerow Data'!$B$3:$AG$15,31,FALSE))</f>
        <v/>
      </c>
      <c r="V68" s="520" t="str">
        <f t="shared" si="3"/>
        <v/>
      </c>
      <c r="W68" s="520" t="str">
        <f t="shared" si="4"/>
        <v/>
      </c>
      <c r="X68" s="524" t="str">
        <f>IF(F68="","",VLOOKUP(U68,'G-3 Multipliers'!$P$3:$Q$6,2,FALSE))</f>
        <v/>
      </c>
      <c r="Y68" s="529" t="str">
        <f t="shared" si="5"/>
        <v/>
      </c>
      <c r="Z68" s="149"/>
      <c r="AA68" s="150"/>
      <c r="AG68" s="31" t="str">
        <f>IFERROR(INDEX('G-6 Hedgerow Data'!$BJ$3:$BJ$15,MATCH(D68,'G-6 Hedgerow Data'!$B$3:$B$15,0)),"")</f>
        <v/>
      </c>
    </row>
    <row r="69" spans="2:33" ht="14" x14ac:dyDescent="0.3">
      <c r="B69" s="103">
        <v>58</v>
      </c>
      <c r="C69" s="268"/>
      <c r="D69" s="82"/>
      <c r="E69" s="203"/>
      <c r="F69" s="498" t="str">
        <f>IF(D69="","",VLOOKUP(D69,'G-6 Hedgerow Data'!$B$2:$AG$15,2,FALSE))</f>
        <v/>
      </c>
      <c r="G69" s="524" t="str">
        <f>IF(D69="","",VLOOKUP(D69,'G-6 Hedgerow Data'!$B$2:$AG$15,3,FALSE))</f>
        <v/>
      </c>
      <c r="H69" s="72"/>
      <c r="I69" s="499" t="str">
        <f>IFERROR(IF(AND(F69="V.Low",OR(H69="Good",H69="Moderate")),"Error ▲",VLOOKUP(H69,'G-1 All Habitats'!$Z$2:$AA$9,2,FALSE)),"")</f>
        <v/>
      </c>
      <c r="J69" s="146"/>
      <c r="K69" s="520" t="str">
        <f>IF(J69="","",IF(VLOOKUP(J69,'G-3 Multipliers'!$L$3:$N$6,2,FALSE)=0,"Spatial Data Missing",VLOOKUP(J69,'G-3 Multipliers'!$L$3:$N$6,2,FALSE)))</f>
        <v/>
      </c>
      <c r="L69" s="524" t="str">
        <f>IF(J69="","",IF(VLOOKUP(J69,'G-3 Multipliers'!$L$3:$N$6,3,FALSE)=0,"Spatial Data Missing",VLOOKUP(J69,'G-3 Multipliers'!$L$3:$N$6,3,FALSE)))</f>
        <v/>
      </c>
      <c r="M69" s="197"/>
      <c r="N69" s="499" t="str">
        <f>IF(M69="","",IF(VLOOKUP(M69,'G-3 Multipliers'!$S$3:$T$6,2,FALSE)=0,"Spatial Data Missing ⚠",VLOOKUP(M69,'G-3 Multipliers'!$S$3:$T$6,2,FALSE)))</f>
        <v/>
      </c>
      <c r="O69" s="498" t="str">
        <f>IF(OR(D69="",H69=""),"",(INDEX('G-6 Hedgerow Data'!$E$3:$I$15,MATCH(D69,'G-6 Hedgerow Data'!$B$3:$B$15,0),MATCH(H69,'G-6 Hedgerow Data'!$E$2:$I$2,0))))</f>
        <v/>
      </c>
      <c r="P69" s="195"/>
      <c r="Q69" s="195"/>
      <c r="R69" s="507" t="str">
        <f t="shared" si="1"/>
        <v/>
      </c>
      <c r="S69" s="521" t="str">
        <f t="shared" si="2"/>
        <v/>
      </c>
      <c r="T69" s="522" t="str">
        <f t="shared" si="0"/>
        <v/>
      </c>
      <c r="U69" s="537" t="str">
        <f>IF(D69="","",VLOOKUP(D69,'G-6 Hedgerow Data'!$B$3:$AG$15,31,FALSE))</f>
        <v/>
      </c>
      <c r="V69" s="520" t="str">
        <f t="shared" si="3"/>
        <v/>
      </c>
      <c r="W69" s="520" t="str">
        <f t="shared" si="4"/>
        <v/>
      </c>
      <c r="X69" s="524" t="str">
        <f>IF(F69="","",VLOOKUP(U69,'G-3 Multipliers'!$P$3:$Q$6,2,FALSE))</f>
        <v/>
      </c>
      <c r="Y69" s="529" t="str">
        <f t="shared" si="5"/>
        <v/>
      </c>
      <c r="Z69" s="149"/>
      <c r="AA69" s="150"/>
      <c r="AG69" s="31" t="str">
        <f>IFERROR(INDEX('G-6 Hedgerow Data'!$BJ$3:$BJ$15,MATCH(D69,'G-6 Hedgerow Data'!$B$3:$B$15,0)),"")</f>
        <v/>
      </c>
    </row>
    <row r="70" spans="2:33" ht="14" x14ac:dyDescent="0.3">
      <c r="B70" s="103">
        <v>59</v>
      </c>
      <c r="C70" s="268"/>
      <c r="D70" s="82"/>
      <c r="E70" s="203"/>
      <c r="F70" s="498" t="str">
        <f>IF(D70="","",VLOOKUP(D70,'G-6 Hedgerow Data'!$B$2:$AG$15,2,FALSE))</f>
        <v/>
      </c>
      <c r="G70" s="524" t="str">
        <f>IF(D70="","",VLOOKUP(D70,'G-6 Hedgerow Data'!$B$2:$AG$15,3,FALSE))</f>
        <v/>
      </c>
      <c r="H70" s="72"/>
      <c r="I70" s="499" t="str">
        <f>IFERROR(IF(AND(F70="V.Low",OR(H70="Good",H70="Moderate")),"Error ▲",VLOOKUP(H70,'G-1 All Habitats'!$Z$2:$AA$9,2,FALSE)),"")</f>
        <v/>
      </c>
      <c r="J70" s="146"/>
      <c r="K70" s="520" t="str">
        <f>IF(J70="","",IF(VLOOKUP(J70,'G-3 Multipliers'!$L$3:$N$6,2,FALSE)=0,"Spatial Data Missing",VLOOKUP(J70,'G-3 Multipliers'!$L$3:$N$6,2,FALSE)))</f>
        <v/>
      </c>
      <c r="L70" s="524" t="str">
        <f>IF(J70="","",IF(VLOOKUP(J70,'G-3 Multipliers'!$L$3:$N$6,3,FALSE)=0,"Spatial Data Missing",VLOOKUP(J70,'G-3 Multipliers'!$L$3:$N$6,3,FALSE)))</f>
        <v/>
      </c>
      <c r="M70" s="197"/>
      <c r="N70" s="499" t="str">
        <f>IF(M70="","",IF(VLOOKUP(M70,'G-3 Multipliers'!$S$3:$T$6,2,FALSE)=0,"Spatial Data Missing ⚠",VLOOKUP(M70,'G-3 Multipliers'!$S$3:$T$6,2,FALSE)))</f>
        <v/>
      </c>
      <c r="O70" s="498" t="str">
        <f>IF(OR(D70="",H70=""),"",(INDEX('G-6 Hedgerow Data'!$E$3:$I$15,MATCH(D70,'G-6 Hedgerow Data'!$B$3:$B$15,0),MATCH(H70,'G-6 Hedgerow Data'!$E$2:$I$2,0))))</f>
        <v/>
      </c>
      <c r="P70" s="195"/>
      <c r="Q70" s="195"/>
      <c r="R70" s="507" t="str">
        <f t="shared" si="1"/>
        <v/>
      </c>
      <c r="S70" s="521" t="str">
        <f t="shared" si="2"/>
        <v/>
      </c>
      <c r="T70" s="522" t="str">
        <f t="shared" si="0"/>
        <v/>
      </c>
      <c r="U70" s="537" t="str">
        <f>IF(D70="","",VLOOKUP(D70,'G-6 Hedgerow Data'!$B$3:$AG$15,31,FALSE))</f>
        <v/>
      </c>
      <c r="V70" s="520" t="str">
        <f t="shared" si="3"/>
        <v/>
      </c>
      <c r="W70" s="520" t="str">
        <f t="shared" si="4"/>
        <v/>
      </c>
      <c r="X70" s="524" t="str">
        <f>IF(F70="","",VLOOKUP(U70,'G-3 Multipliers'!$P$3:$Q$6,2,FALSE))</f>
        <v/>
      </c>
      <c r="Y70" s="529" t="str">
        <f t="shared" si="5"/>
        <v/>
      </c>
      <c r="Z70" s="149"/>
      <c r="AA70" s="150"/>
      <c r="AG70" s="31" t="str">
        <f>IFERROR(INDEX('G-6 Hedgerow Data'!$BJ$3:$BJ$15,MATCH(D70,'G-6 Hedgerow Data'!$B$3:$B$15,0)),"")</f>
        <v/>
      </c>
    </row>
    <row r="71" spans="2:33" ht="14" x14ac:dyDescent="0.3">
      <c r="B71" s="103">
        <v>60</v>
      </c>
      <c r="C71" s="268"/>
      <c r="D71" s="82"/>
      <c r="E71" s="203"/>
      <c r="F71" s="498" t="str">
        <f>IF(D71="","",VLOOKUP(D71,'G-6 Hedgerow Data'!$B$2:$AG$15,2,FALSE))</f>
        <v/>
      </c>
      <c r="G71" s="524" t="str">
        <f>IF(D71="","",VLOOKUP(D71,'G-6 Hedgerow Data'!$B$2:$AG$15,3,FALSE))</f>
        <v/>
      </c>
      <c r="H71" s="72"/>
      <c r="I71" s="499" t="str">
        <f>IFERROR(IF(AND(F71="V.Low",OR(H71="Good",H71="Moderate")),"Error ▲",VLOOKUP(H71,'G-1 All Habitats'!$Z$2:$AA$9,2,FALSE)),"")</f>
        <v/>
      </c>
      <c r="J71" s="146"/>
      <c r="K71" s="520" t="str">
        <f>IF(J71="","",IF(VLOOKUP(J71,'G-3 Multipliers'!$L$3:$N$6,2,FALSE)=0,"Spatial Data Missing",VLOOKUP(J71,'G-3 Multipliers'!$L$3:$N$6,2,FALSE)))</f>
        <v/>
      </c>
      <c r="L71" s="524" t="str">
        <f>IF(J71="","",IF(VLOOKUP(J71,'G-3 Multipliers'!$L$3:$N$6,3,FALSE)=0,"Spatial Data Missing",VLOOKUP(J71,'G-3 Multipliers'!$L$3:$N$6,3,FALSE)))</f>
        <v/>
      </c>
      <c r="M71" s="197"/>
      <c r="N71" s="499" t="str">
        <f>IF(M71="","",IF(VLOOKUP(M71,'G-3 Multipliers'!$S$3:$T$6,2,FALSE)=0,"Spatial Data Missing ⚠",VLOOKUP(M71,'G-3 Multipliers'!$S$3:$T$6,2,FALSE)))</f>
        <v/>
      </c>
      <c r="O71" s="498" t="str">
        <f>IF(OR(D71="",H71=""),"",(INDEX('G-6 Hedgerow Data'!$E$3:$I$15,MATCH(D71,'G-6 Hedgerow Data'!$B$3:$B$15,0),MATCH(H71,'G-6 Hedgerow Data'!$E$2:$I$2,0))))</f>
        <v/>
      </c>
      <c r="P71" s="195"/>
      <c r="Q71" s="195"/>
      <c r="R71" s="507" t="str">
        <f t="shared" si="1"/>
        <v/>
      </c>
      <c r="S71" s="521" t="str">
        <f t="shared" si="2"/>
        <v/>
      </c>
      <c r="T71" s="522" t="str">
        <f t="shared" si="0"/>
        <v/>
      </c>
      <c r="U71" s="537" t="str">
        <f>IF(D71="","",VLOOKUP(D71,'G-6 Hedgerow Data'!$B$3:$AG$15,31,FALSE))</f>
        <v/>
      </c>
      <c r="V71" s="520" t="str">
        <f t="shared" si="3"/>
        <v/>
      </c>
      <c r="W71" s="520" t="str">
        <f t="shared" si="4"/>
        <v/>
      </c>
      <c r="X71" s="524" t="str">
        <f>IF(F71="","",VLOOKUP(U71,'G-3 Multipliers'!$P$3:$Q$6,2,FALSE))</f>
        <v/>
      </c>
      <c r="Y71" s="529" t="str">
        <f t="shared" si="5"/>
        <v/>
      </c>
      <c r="Z71" s="149"/>
      <c r="AA71" s="150"/>
      <c r="AG71" s="31" t="str">
        <f>IFERROR(INDEX('G-6 Hedgerow Data'!$BJ$3:$BJ$15,MATCH(D71,'G-6 Hedgerow Data'!$B$3:$B$15,0)),"")</f>
        <v/>
      </c>
    </row>
    <row r="72" spans="2:33" ht="14" x14ac:dyDescent="0.3">
      <c r="B72" s="103">
        <v>61</v>
      </c>
      <c r="C72" s="268"/>
      <c r="D72" s="82"/>
      <c r="E72" s="203"/>
      <c r="F72" s="498" t="str">
        <f>IF(D72="","",VLOOKUP(D72,'G-6 Hedgerow Data'!$B$2:$AG$15,2,FALSE))</f>
        <v/>
      </c>
      <c r="G72" s="524" t="str">
        <f>IF(D72="","",VLOOKUP(D72,'G-6 Hedgerow Data'!$B$2:$AG$15,3,FALSE))</f>
        <v/>
      </c>
      <c r="H72" s="72"/>
      <c r="I72" s="499" t="str">
        <f>IFERROR(IF(AND(F72="V.Low",OR(H72="Good",H72="Moderate")),"Error ▲",VLOOKUP(H72,'G-1 All Habitats'!$Z$2:$AA$9,2,FALSE)),"")</f>
        <v/>
      </c>
      <c r="J72" s="146"/>
      <c r="K72" s="520" t="str">
        <f>IF(J72="","",IF(VLOOKUP(J72,'G-3 Multipliers'!$L$3:$N$6,2,FALSE)=0,"Spatial Data Missing",VLOOKUP(J72,'G-3 Multipliers'!$L$3:$N$6,2,FALSE)))</f>
        <v/>
      </c>
      <c r="L72" s="524" t="str">
        <f>IF(J72="","",IF(VLOOKUP(J72,'G-3 Multipliers'!$L$3:$N$6,3,FALSE)=0,"Spatial Data Missing",VLOOKUP(J72,'G-3 Multipliers'!$L$3:$N$6,3,FALSE)))</f>
        <v/>
      </c>
      <c r="M72" s="197"/>
      <c r="N72" s="499" t="str">
        <f>IF(M72="","",IF(VLOOKUP(M72,'G-3 Multipliers'!$S$3:$T$6,2,FALSE)=0,"Spatial Data Missing ⚠",VLOOKUP(M72,'G-3 Multipliers'!$S$3:$T$6,2,FALSE)))</f>
        <v/>
      </c>
      <c r="O72" s="498" t="str">
        <f>IF(OR(D72="",H72=""),"",(INDEX('G-6 Hedgerow Data'!$E$3:$I$15,MATCH(D72,'G-6 Hedgerow Data'!$B$3:$B$15,0),MATCH(H72,'G-6 Hedgerow Data'!$E$2:$I$2,0))))</f>
        <v/>
      </c>
      <c r="P72" s="195"/>
      <c r="Q72" s="195"/>
      <c r="R72" s="507" t="str">
        <f t="shared" si="1"/>
        <v/>
      </c>
      <c r="S72" s="521" t="str">
        <f t="shared" si="2"/>
        <v/>
      </c>
      <c r="T72" s="522" t="str">
        <f t="shared" si="0"/>
        <v/>
      </c>
      <c r="U72" s="537" t="str">
        <f>IF(D72="","",VLOOKUP(D72,'G-6 Hedgerow Data'!$B$3:$AG$15,31,FALSE))</f>
        <v/>
      </c>
      <c r="V72" s="520" t="str">
        <f t="shared" si="3"/>
        <v/>
      </c>
      <c r="W72" s="520" t="str">
        <f t="shared" si="4"/>
        <v/>
      </c>
      <c r="X72" s="524" t="str">
        <f>IF(F72="","",VLOOKUP(U72,'G-3 Multipliers'!$P$3:$Q$6,2,FALSE))</f>
        <v/>
      </c>
      <c r="Y72" s="529" t="str">
        <f t="shared" si="5"/>
        <v/>
      </c>
      <c r="Z72" s="149"/>
      <c r="AA72" s="150"/>
      <c r="AG72" s="31" t="str">
        <f>IFERROR(INDEX('G-6 Hedgerow Data'!$BJ$3:$BJ$15,MATCH(D72,'G-6 Hedgerow Data'!$B$3:$B$15,0)),"")</f>
        <v/>
      </c>
    </row>
    <row r="73" spans="2:33" ht="14" x14ac:dyDescent="0.3">
      <c r="B73" s="103">
        <v>62</v>
      </c>
      <c r="C73" s="268"/>
      <c r="D73" s="82"/>
      <c r="E73" s="203"/>
      <c r="F73" s="498" t="str">
        <f>IF(D73="","",VLOOKUP(D73,'G-6 Hedgerow Data'!$B$2:$AG$15,2,FALSE))</f>
        <v/>
      </c>
      <c r="G73" s="524" t="str">
        <f>IF(D73="","",VLOOKUP(D73,'G-6 Hedgerow Data'!$B$2:$AG$15,3,FALSE))</f>
        <v/>
      </c>
      <c r="H73" s="72"/>
      <c r="I73" s="499" t="str">
        <f>IFERROR(IF(AND(F73="V.Low",OR(H73="Good",H73="Moderate")),"Error ▲",VLOOKUP(H73,'G-1 All Habitats'!$Z$2:$AA$9,2,FALSE)),"")</f>
        <v/>
      </c>
      <c r="J73" s="146"/>
      <c r="K73" s="520" t="str">
        <f>IF(J73="","",IF(VLOOKUP(J73,'G-3 Multipliers'!$L$3:$N$6,2,FALSE)=0,"Spatial Data Missing",VLOOKUP(J73,'G-3 Multipliers'!$L$3:$N$6,2,FALSE)))</f>
        <v/>
      </c>
      <c r="L73" s="524" t="str">
        <f>IF(J73="","",IF(VLOOKUP(J73,'G-3 Multipliers'!$L$3:$N$6,3,FALSE)=0,"Spatial Data Missing",VLOOKUP(J73,'G-3 Multipliers'!$L$3:$N$6,3,FALSE)))</f>
        <v/>
      </c>
      <c r="M73" s="197"/>
      <c r="N73" s="499" t="str">
        <f>IF(M73="","",IF(VLOOKUP(M73,'G-3 Multipliers'!$S$3:$T$6,2,FALSE)=0,"Spatial Data Missing ⚠",VLOOKUP(M73,'G-3 Multipliers'!$S$3:$T$6,2,FALSE)))</f>
        <v/>
      </c>
      <c r="O73" s="498" t="str">
        <f>IF(OR(D73="",H73=""),"",(INDEX('G-6 Hedgerow Data'!$E$3:$I$15,MATCH(D73,'G-6 Hedgerow Data'!$B$3:$B$15,0),MATCH(H73,'G-6 Hedgerow Data'!$E$2:$I$2,0))))</f>
        <v/>
      </c>
      <c r="P73" s="195"/>
      <c r="Q73" s="195"/>
      <c r="R73" s="507" t="str">
        <f t="shared" si="1"/>
        <v/>
      </c>
      <c r="S73" s="521" t="str">
        <f t="shared" si="2"/>
        <v/>
      </c>
      <c r="T73" s="522" t="str">
        <f t="shared" si="0"/>
        <v/>
      </c>
      <c r="U73" s="537" t="str">
        <f>IF(D73="","",VLOOKUP(D73,'G-6 Hedgerow Data'!$B$3:$AG$15,31,FALSE))</f>
        <v/>
      </c>
      <c r="V73" s="520" t="str">
        <f t="shared" si="3"/>
        <v/>
      </c>
      <c r="W73" s="520" t="str">
        <f t="shared" si="4"/>
        <v/>
      </c>
      <c r="X73" s="524" t="str">
        <f>IF(F73="","",VLOOKUP(U73,'G-3 Multipliers'!$P$3:$Q$6,2,FALSE))</f>
        <v/>
      </c>
      <c r="Y73" s="529" t="str">
        <f t="shared" si="5"/>
        <v/>
      </c>
      <c r="Z73" s="149"/>
      <c r="AA73" s="150"/>
      <c r="AG73" s="31" t="str">
        <f>IFERROR(INDEX('G-6 Hedgerow Data'!$BJ$3:$BJ$15,MATCH(D73,'G-6 Hedgerow Data'!$B$3:$B$15,0)),"")</f>
        <v/>
      </c>
    </row>
    <row r="74" spans="2:33" ht="14" x14ac:dyDescent="0.3">
      <c r="B74" s="103">
        <v>63</v>
      </c>
      <c r="C74" s="268"/>
      <c r="D74" s="82"/>
      <c r="E74" s="203"/>
      <c r="F74" s="498" t="str">
        <f>IF(D74="","",VLOOKUP(D74,'G-6 Hedgerow Data'!$B$2:$AG$15,2,FALSE))</f>
        <v/>
      </c>
      <c r="G74" s="524" t="str">
        <f>IF(D74="","",VLOOKUP(D74,'G-6 Hedgerow Data'!$B$2:$AG$15,3,FALSE))</f>
        <v/>
      </c>
      <c r="H74" s="72"/>
      <c r="I74" s="499" t="str">
        <f>IFERROR(IF(AND(F74="V.Low",OR(H74="Good",H74="Moderate")),"Error ▲",VLOOKUP(H74,'G-1 All Habitats'!$Z$2:$AA$9,2,FALSE)),"")</f>
        <v/>
      </c>
      <c r="J74" s="146"/>
      <c r="K74" s="520" t="str">
        <f>IF(J74="","",IF(VLOOKUP(J74,'G-3 Multipliers'!$L$3:$N$6,2,FALSE)=0,"Spatial Data Missing",VLOOKUP(J74,'G-3 Multipliers'!$L$3:$N$6,2,FALSE)))</f>
        <v/>
      </c>
      <c r="L74" s="524" t="str">
        <f>IF(J74="","",IF(VLOOKUP(J74,'G-3 Multipliers'!$L$3:$N$6,3,FALSE)=0,"Spatial Data Missing",VLOOKUP(J74,'G-3 Multipliers'!$L$3:$N$6,3,FALSE)))</f>
        <v/>
      </c>
      <c r="M74" s="197"/>
      <c r="N74" s="499" t="str">
        <f>IF(M74="","",IF(VLOOKUP(M74,'G-3 Multipliers'!$S$3:$T$6,2,FALSE)=0,"Spatial Data Missing ⚠",VLOOKUP(M74,'G-3 Multipliers'!$S$3:$T$6,2,FALSE)))</f>
        <v/>
      </c>
      <c r="O74" s="498" t="str">
        <f>IF(OR(D74="",H74=""),"",(INDEX('G-6 Hedgerow Data'!$E$3:$I$15,MATCH(D74,'G-6 Hedgerow Data'!$B$3:$B$15,0),MATCH(H74,'G-6 Hedgerow Data'!$E$2:$I$2,0))))</f>
        <v/>
      </c>
      <c r="P74" s="195"/>
      <c r="Q74" s="195"/>
      <c r="R74" s="507" t="str">
        <f t="shared" si="1"/>
        <v/>
      </c>
      <c r="S74" s="521" t="str">
        <f t="shared" si="2"/>
        <v/>
      </c>
      <c r="T74" s="522" t="str">
        <f t="shared" si="0"/>
        <v/>
      </c>
      <c r="U74" s="537" t="str">
        <f>IF(D74="","",VLOOKUP(D74,'G-6 Hedgerow Data'!$B$3:$AG$15,31,FALSE))</f>
        <v/>
      </c>
      <c r="V74" s="520" t="str">
        <f t="shared" si="3"/>
        <v/>
      </c>
      <c r="W74" s="520" t="str">
        <f t="shared" si="4"/>
        <v/>
      </c>
      <c r="X74" s="524" t="str">
        <f>IF(F74="","",VLOOKUP(U74,'G-3 Multipliers'!$P$3:$Q$6,2,FALSE))</f>
        <v/>
      </c>
      <c r="Y74" s="529" t="str">
        <f t="shared" si="5"/>
        <v/>
      </c>
      <c r="Z74" s="149"/>
      <c r="AA74" s="150"/>
      <c r="AG74" s="31" t="str">
        <f>IFERROR(INDEX('G-6 Hedgerow Data'!$BJ$3:$BJ$15,MATCH(D74,'G-6 Hedgerow Data'!$B$3:$B$15,0)),"")</f>
        <v/>
      </c>
    </row>
    <row r="75" spans="2:33" ht="14" x14ac:dyDescent="0.3">
      <c r="B75" s="103">
        <v>64</v>
      </c>
      <c r="C75" s="268"/>
      <c r="D75" s="82"/>
      <c r="E75" s="203"/>
      <c r="F75" s="498" t="str">
        <f>IF(D75="","",VLOOKUP(D75,'G-6 Hedgerow Data'!$B$2:$AG$15,2,FALSE))</f>
        <v/>
      </c>
      <c r="G75" s="524" t="str">
        <f>IF(D75="","",VLOOKUP(D75,'G-6 Hedgerow Data'!$B$2:$AG$15,3,FALSE))</f>
        <v/>
      </c>
      <c r="H75" s="72"/>
      <c r="I75" s="499" t="str">
        <f>IFERROR(IF(AND(F75="V.Low",OR(H75="Good",H75="Moderate")),"Error ▲",VLOOKUP(H75,'G-1 All Habitats'!$Z$2:$AA$9,2,FALSE)),"")</f>
        <v/>
      </c>
      <c r="J75" s="146"/>
      <c r="K75" s="520" t="str">
        <f>IF(J75="","",IF(VLOOKUP(J75,'G-3 Multipliers'!$L$3:$N$6,2,FALSE)=0,"Spatial Data Missing",VLOOKUP(J75,'G-3 Multipliers'!$L$3:$N$6,2,FALSE)))</f>
        <v/>
      </c>
      <c r="L75" s="524" t="str">
        <f>IF(J75="","",IF(VLOOKUP(J75,'G-3 Multipliers'!$L$3:$N$6,3,FALSE)=0,"Spatial Data Missing",VLOOKUP(J75,'G-3 Multipliers'!$L$3:$N$6,3,FALSE)))</f>
        <v/>
      </c>
      <c r="M75" s="197"/>
      <c r="N75" s="499" t="str">
        <f>IF(M75="","",IF(VLOOKUP(M75,'G-3 Multipliers'!$S$3:$T$6,2,FALSE)=0,"Spatial Data Missing ⚠",VLOOKUP(M75,'G-3 Multipliers'!$S$3:$T$6,2,FALSE)))</f>
        <v/>
      </c>
      <c r="O75" s="498" t="str">
        <f>IF(OR(D75="",H75=""),"",(INDEX('G-6 Hedgerow Data'!$E$3:$I$15,MATCH(D75,'G-6 Hedgerow Data'!$B$3:$B$15,0),MATCH(H75,'G-6 Hedgerow Data'!$E$2:$I$2,0))))</f>
        <v/>
      </c>
      <c r="P75" s="195"/>
      <c r="Q75" s="195"/>
      <c r="R75" s="507" t="str">
        <f t="shared" si="1"/>
        <v/>
      </c>
      <c r="S75" s="521" t="str">
        <f t="shared" si="2"/>
        <v/>
      </c>
      <c r="T75" s="522" t="str">
        <f t="shared" si="0"/>
        <v/>
      </c>
      <c r="U75" s="537" t="str">
        <f>IF(D75="","",VLOOKUP(D75,'G-6 Hedgerow Data'!$B$3:$AG$15,31,FALSE))</f>
        <v/>
      </c>
      <c r="V75" s="520" t="str">
        <f t="shared" si="3"/>
        <v/>
      </c>
      <c r="W75" s="520" t="str">
        <f t="shared" si="4"/>
        <v/>
      </c>
      <c r="X75" s="524" t="str">
        <f>IF(F75="","",VLOOKUP(U75,'G-3 Multipliers'!$P$3:$Q$6,2,FALSE))</f>
        <v/>
      </c>
      <c r="Y75" s="529" t="str">
        <f t="shared" si="5"/>
        <v/>
      </c>
      <c r="Z75" s="149"/>
      <c r="AA75" s="150"/>
      <c r="AG75" s="31" t="str">
        <f>IFERROR(INDEX('G-6 Hedgerow Data'!$BJ$3:$BJ$15,MATCH(D75,'G-6 Hedgerow Data'!$B$3:$B$15,0)),"")</f>
        <v/>
      </c>
    </row>
    <row r="76" spans="2:33" ht="14" x14ac:dyDescent="0.3">
      <c r="B76" s="103">
        <v>65</v>
      </c>
      <c r="C76" s="268"/>
      <c r="D76" s="82"/>
      <c r="E76" s="203"/>
      <c r="F76" s="498" t="str">
        <f>IF(D76="","",VLOOKUP(D76,'G-6 Hedgerow Data'!$B$2:$AG$15,2,FALSE))</f>
        <v/>
      </c>
      <c r="G76" s="524" t="str">
        <f>IF(D76="","",VLOOKUP(D76,'G-6 Hedgerow Data'!$B$2:$AG$15,3,FALSE))</f>
        <v/>
      </c>
      <c r="H76" s="72"/>
      <c r="I76" s="499" t="str">
        <f>IFERROR(IF(AND(F76="V.Low",OR(H76="Good",H76="Moderate")),"Error ▲",VLOOKUP(H76,'G-1 All Habitats'!$Z$2:$AA$9,2,FALSE)),"")</f>
        <v/>
      </c>
      <c r="J76" s="146"/>
      <c r="K76" s="520" t="str">
        <f>IF(J76="","",IF(VLOOKUP(J76,'G-3 Multipliers'!$L$3:$N$6,2,FALSE)=0,"Spatial Data Missing",VLOOKUP(J76,'G-3 Multipliers'!$L$3:$N$6,2,FALSE)))</f>
        <v/>
      </c>
      <c r="L76" s="524" t="str">
        <f>IF(J76="","",IF(VLOOKUP(J76,'G-3 Multipliers'!$L$3:$N$6,3,FALSE)=0,"Spatial Data Missing",VLOOKUP(J76,'G-3 Multipliers'!$L$3:$N$6,3,FALSE)))</f>
        <v/>
      </c>
      <c r="M76" s="197"/>
      <c r="N76" s="499" t="str">
        <f>IF(M76="","",IF(VLOOKUP(M76,'G-3 Multipliers'!$S$3:$T$6,2,FALSE)=0,"Spatial Data Missing ⚠",VLOOKUP(M76,'G-3 Multipliers'!$S$3:$T$6,2,FALSE)))</f>
        <v/>
      </c>
      <c r="O76" s="498" t="str">
        <f>IF(OR(D76="",H76=""),"",(INDEX('G-6 Hedgerow Data'!$E$3:$I$15,MATCH(D76,'G-6 Hedgerow Data'!$B$3:$B$15,0),MATCH(H76,'G-6 Hedgerow Data'!$E$2:$I$2,0))))</f>
        <v/>
      </c>
      <c r="P76" s="195"/>
      <c r="Q76" s="195"/>
      <c r="R76" s="507" t="str">
        <f t="shared" si="1"/>
        <v/>
      </c>
      <c r="S76" s="521" t="str">
        <f t="shared" si="2"/>
        <v/>
      </c>
      <c r="T76" s="522" t="str">
        <f t="shared" ref="T76:T139" si="6">IF(D76="","",IF(LEFT(R76,5)="Error ▲","Check Data ⚠",VLOOKUP(S76,TemporalMultipliers,3,FALSE)))</f>
        <v/>
      </c>
      <c r="U76" s="537" t="str">
        <f>IF(D76="","",VLOOKUP(D76,'G-6 Hedgerow Data'!$B$3:$AG$15,31,FALSE))</f>
        <v/>
      </c>
      <c r="V76" s="520" t="str">
        <f t="shared" si="3"/>
        <v/>
      </c>
      <c r="W76" s="520" t="str">
        <f t="shared" si="4"/>
        <v/>
      </c>
      <c r="X76" s="524" t="str">
        <f>IF(F76="","",VLOOKUP(U76,'G-3 Multipliers'!$P$3:$Q$6,2,FALSE))</f>
        <v/>
      </c>
      <c r="Y76" s="529" t="str">
        <f t="shared" si="5"/>
        <v/>
      </c>
      <c r="Z76" s="149"/>
      <c r="AA76" s="150"/>
      <c r="AG76" s="31" t="str">
        <f>IFERROR(INDEX('G-6 Hedgerow Data'!$BJ$3:$BJ$15,MATCH(D76,'G-6 Hedgerow Data'!$B$3:$B$15,0)),"")</f>
        <v/>
      </c>
    </row>
    <row r="77" spans="2:33" ht="14" x14ac:dyDescent="0.3">
      <c r="B77" s="103">
        <v>66</v>
      </c>
      <c r="C77" s="268"/>
      <c r="D77" s="82"/>
      <c r="E77" s="203"/>
      <c r="F77" s="498" t="str">
        <f>IF(D77="","",VLOOKUP(D77,'G-6 Hedgerow Data'!$B$2:$AG$15,2,FALSE))</f>
        <v/>
      </c>
      <c r="G77" s="524" t="str">
        <f>IF(D77="","",VLOOKUP(D77,'G-6 Hedgerow Data'!$B$2:$AG$15,3,FALSE))</f>
        <v/>
      </c>
      <c r="H77" s="72"/>
      <c r="I77" s="499" t="str">
        <f>IFERROR(IF(AND(F77="V.Low",OR(H77="Good",H77="Moderate")),"Error ▲",VLOOKUP(H77,'G-1 All Habitats'!$Z$2:$AA$9,2,FALSE)),"")</f>
        <v/>
      </c>
      <c r="J77" s="146"/>
      <c r="K77" s="520" t="str">
        <f>IF(J77="","",IF(VLOOKUP(J77,'G-3 Multipliers'!$L$3:$N$6,2,FALSE)=0,"Spatial Data Missing",VLOOKUP(J77,'G-3 Multipliers'!$L$3:$N$6,2,FALSE)))</f>
        <v/>
      </c>
      <c r="L77" s="524" t="str">
        <f>IF(J77="","",IF(VLOOKUP(J77,'G-3 Multipliers'!$L$3:$N$6,3,FALSE)=0,"Spatial Data Missing",VLOOKUP(J77,'G-3 Multipliers'!$L$3:$N$6,3,FALSE)))</f>
        <v/>
      </c>
      <c r="M77" s="197"/>
      <c r="N77" s="499" t="str">
        <f>IF(M77="","",IF(VLOOKUP(M77,'G-3 Multipliers'!$S$3:$T$6,2,FALSE)=0,"Spatial Data Missing ⚠",VLOOKUP(M77,'G-3 Multipliers'!$S$3:$T$6,2,FALSE)))</f>
        <v/>
      </c>
      <c r="O77" s="498" t="str">
        <f>IF(OR(D77="",H77=""),"",(INDEX('G-6 Hedgerow Data'!$E$3:$I$15,MATCH(D77,'G-6 Hedgerow Data'!$B$3:$B$15,0),MATCH(H77,'G-6 Hedgerow Data'!$E$2:$I$2,0))))</f>
        <v/>
      </c>
      <c r="P77" s="195"/>
      <c r="Q77" s="195"/>
      <c r="R77" s="507" t="str">
        <f t="shared" ref="R77:R140" si="7">IF(D77="","",IF(AND(P77&gt;0,Q77&gt;0),"Error -both advance and delayed habitat creation ▲",IF(AND(OR(P77="Habitat already in target condition",O77&lt;=P77),Q77=0),"Check details - Is there evidence that habitat has reached target condition? ⚠",IF(O77="","",IF(P77&gt;0,"Check details - Is there evidence habitat creation started/in place? ⚠",IF(Q77&gt;0,"Check details- Delay in starting habitat in required condition? ⚠","Standard time to target condition applied"))))))</f>
        <v/>
      </c>
      <c r="S77" s="521" t="str">
        <f t="shared" ref="S77:S140" si="8">IF(O77="","",IF(LEFT(R77,5)="Error ▲","Check Data ⚠",IF(OR(P77="30+",P77="Habitat already in target condition"),0,IF(Q77="30+","30+",IF(AND(O77="30+",OR(P77="",P77=0)),"30+ ⚠",IF(AND(O77="30+",P77&gt;0),32-P77,IF(O77+Q77&gt;30,"30+ ⚠",IF(O77+Q77-P77&gt;0,O77+Q77-P77,IF(O77-P77&lt;0,0,O77+Q77-P77)))))))))</f>
        <v/>
      </c>
      <c r="T77" s="522" t="str">
        <f t="shared" si="6"/>
        <v/>
      </c>
      <c r="U77" s="537" t="str">
        <f>IF(D77="","",VLOOKUP(D77,'G-6 Hedgerow Data'!$B$3:$AG$15,31,FALSE))</f>
        <v/>
      </c>
      <c r="V77" s="520" t="str">
        <f t="shared" ref="V77:V140" si="9">IF(D77="","",IF(S77="Check Data ⚠","Check Data ⚠",IF(H77="","",IF($R77="Check details - Is there evidence that habitat has reached target condition? ⚠","Low Difficulty - only applicable if all habitat created before losses","Standard difficulty applied"))))</f>
        <v/>
      </c>
      <c r="W77" s="520" t="str">
        <f t="shared" ref="W77:W140" si="10">(IF(AND(V77="Standard difficulty applied",O77&gt;P77),U77,IF(AND(V77="Low Difficulty - only applicable if all habitat created before losses",P77&gt;=O77),"Low",U77)))</f>
        <v/>
      </c>
      <c r="X77" s="524" t="str">
        <f>IF(F77="","",VLOOKUP(U77,'G-3 Multipliers'!$P$3:$Q$6,2,FALSE))</f>
        <v/>
      </c>
      <c r="Y77" s="529" t="str">
        <f t="shared" ref="Y77:Y140" si="11">IFERROR(E77*G77*I77*L77*T77*X77*N77,"")</f>
        <v/>
      </c>
      <c r="Z77" s="149"/>
      <c r="AA77" s="150"/>
      <c r="AG77" s="31" t="str">
        <f>IFERROR(INDEX('G-6 Hedgerow Data'!$BJ$3:$BJ$15,MATCH(D77,'G-6 Hedgerow Data'!$B$3:$B$15,0)),"")</f>
        <v/>
      </c>
    </row>
    <row r="78" spans="2:33" ht="14" x14ac:dyDescent="0.3">
      <c r="B78" s="103">
        <v>67</v>
      </c>
      <c r="C78" s="268"/>
      <c r="D78" s="82"/>
      <c r="E78" s="203"/>
      <c r="F78" s="498" t="str">
        <f>IF(D78="","",VLOOKUP(D78,'G-6 Hedgerow Data'!$B$2:$AG$15,2,FALSE))</f>
        <v/>
      </c>
      <c r="G78" s="524" t="str">
        <f>IF(D78="","",VLOOKUP(D78,'G-6 Hedgerow Data'!$B$2:$AG$15,3,FALSE))</f>
        <v/>
      </c>
      <c r="H78" s="72"/>
      <c r="I78" s="499" t="str">
        <f>IFERROR(IF(AND(F78="V.Low",OR(H78="Good",H78="Moderate")),"Error ▲",VLOOKUP(H78,'G-1 All Habitats'!$Z$2:$AA$9,2,FALSE)),"")</f>
        <v/>
      </c>
      <c r="J78" s="146"/>
      <c r="K78" s="520" t="str">
        <f>IF(J78="","",IF(VLOOKUP(J78,'G-3 Multipliers'!$L$3:$N$6,2,FALSE)=0,"Spatial Data Missing",VLOOKUP(J78,'G-3 Multipliers'!$L$3:$N$6,2,FALSE)))</f>
        <v/>
      </c>
      <c r="L78" s="524" t="str">
        <f>IF(J78="","",IF(VLOOKUP(J78,'G-3 Multipliers'!$L$3:$N$6,3,FALSE)=0,"Spatial Data Missing",VLOOKUP(J78,'G-3 Multipliers'!$L$3:$N$6,3,FALSE)))</f>
        <v/>
      </c>
      <c r="M78" s="197"/>
      <c r="N78" s="499" t="str">
        <f>IF(M78="","",IF(VLOOKUP(M78,'G-3 Multipliers'!$S$3:$T$6,2,FALSE)=0,"Spatial Data Missing ⚠",VLOOKUP(M78,'G-3 Multipliers'!$S$3:$T$6,2,FALSE)))</f>
        <v/>
      </c>
      <c r="O78" s="498" t="str">
        <f>IF(OR(D78="",H78=""),"",(INDEX('G-6 Hedgerow Data'!$E$3:$I$15,MATCH(D78,'G-6 Hedgerow Data'!$B$3:$B$15,0),MATCH(H78,'G-6 Hedgerow Data'!$E$2:$I$2,0))))</f>
        <v/>
      </c>
      <c r="P78" s="195"/>
      <c r="Q78" s="195"/>
      <c r="R78" s="507" t="str">
        <f t="shared" si="7"/>
        <v/>
      </c>
      <c r="S78" s="521" t="str">
        <f t="shared" si="8"/>
        <v/>
      </c>
      <c r="T78" s="522" t="str">
        <f t="shared" si="6"/>
        <v/>
      </c>
      <c r="U78" s="537" t="str">
        <f>IF(D78="","",VLOOKUP(D78,'G-6 Hedgerow Data'!$B$3:$AG$15,31,FALSE))</f>
        <v/>
      </c>
      <c r="V78" s="520" t="str">
        <f t="shared" si="9"/>
        <v/>
      </c>
      <c r="W78" s="520" t="str">
        <f t="shared" si="10"/>
        <v/>
      </c>
      <c r="X78" s="524" t="str">
        <f>IF(F78="","",VLOOKUP(U78,'G-3 Multipliers'!$P$3:$Q$6,2,FALSE))</f>
        <v/>
      </c>
      <c r="Y78" s="529" t="str">
        <f t="shared" si="11"/>
        <v/>
      </c>
      <c r="Z78" s="149"/>
      <c r="AA78" s="150"/>
      <c r="AG78" s="31" t="str">
        <f>IFERROR(INDEX('G-6 Hedgerow Data'!$BJ$3:$BJ$15,MATCH(D78,'G-6 Hedgerow Data'!$B$3:$B$15,0)),"")</f>
        <v/>
      </c>
    </row>
    <row r="79" spans="2:33" ht="14" x14ac:dyDescent="0.3">
      <c r="B79" s="103">
        <v>68</v>
      </c>
      <c r="C79" s="268"/>
      <c r="D79" s="82"/>
      <c r="E79" s="203"/>
      <c r="F79" s="498" t="str">
        <f>IF(D79="","",VLOOKUP(D79,'G-6 Hedgerow Data'!$B$2:$AG$15,2,FALSE))</f>
        <v/>
      </c>
      <c r="G79" s="524" t="str">
        <f>IF(D79="","",VLOOKUP(D79,'G-6 Hedgerow Data'!$B$2:$AG$15,3,FALSE))</f>
        <v/>
      </c>
      <c r="H79" s="72"/>
      <c r="I79" s="499" t="str">
        <f>IFERROR(IF(AND(F79="V.Low",OR(H79="Good",H79="Moderate")),"Error ▲",VLOOKUP(H79,'G-1 All Habitats'!$Z$2:$AA$9,2,FALSE)),"")</f>
        <v/>
      </c>
      <c r="J79" s="146"/>
      <c r="K79" s="520" t="str">
        <f>IF(J79="","",IF(VLOOKUP(J79,'G-3 Multipliers'!$L$3:$N$6,2,FALSE)=0,"Spatial Data Missing",VLOOKUP(J79,'G-3 Multipliers'!$L$3:$N$6,2,FALSE)))</f>
        <v/>
      </c>
      <c r="L79" s="524" t="str">
        <f>IF(J79="","",IF(VLOOKUP(J79,'G-3 Multipliers'!$L$3:$N$6,3,FALSE)=0,"Spatial Data Missing",VLOOKUP(J79,'G-3 Multipliers'!$L$3:$N$6,3,FALSE)))</f>
        <v/>
      </c>
      <c r="M79" s="197"/>
      <c r="N79" s="499" t="str">
        <f>IF(M79="","",IF(VLOOKUP(M79,'G-3 Multipliers'!$S$3:$T$6,2,FALSE)=0,"Spatial Data Missing ⚠",VLOOKUP(M79,'G-3 Multipliers'!$S$3:$T$6,2,FALSE)))</f>
        <v/>
      </c>
      <c r="O79" s="498" t="str">
        <f>IF(OR(D79="",H79=""),"",(INDEX('G-6 Hedgerow Data'!$E$3:$I$15,MATCH(D79,'G-6 Hedgerow Data'!$B$3:$B$15,0),MATCH(H79,'G-6 Hedgerow Data'!$E$2:$I$2,0))))</f>
        <v/>
      </c>
      <c r="P79" s="195"/>
      <c r="Q79" s="195"/>
      <c r="R79" s="507" t="str">
        <f t="shared" si="7"/>
        <v/>
      </c>
      <c r="S79" s="521" t="str">
        <f t="shared" si="8"/>
        <v/>
      </c>
      <c r="T79" s="522" t="str">
        <f t="shared" si="6"/>
        <v/>
      </c>
      <c r="U79" s="537" t="str">
        <f>IF(D79="","",VLOOKUP(D79,'G-6 Hedgerow Data'!$B$3:$AG$15,31,FALSE))</f>
        <v/>
      </c>
      <c r="V79" s="520" t="str">
        <f t="shared" si="9"/>
        <v/>
      </c>
      <c r="W79" s="520" t="str">
        <f t="shared" si="10"/>
        <v/>
      </c>
      <c r="X79" s="524" t="str">
        <f>IF(F79="","",VLOOKUP(U79,'G-3 Multipliers'!$P$3:$Q$6,2,FALSE))</f>
        <v/>
      </c>
      <c r="Y79" s="529" t="str">
        <f t="shared" si="11"/>
        <v/>
      </c>
      <c r="Z79" s="149"/>
      <c r="AA79" s="150"/>
      <c r="AG79" s="31" t="str">
        <f>IFERROR(INDEX('G-6 Hedgerow Data'!$BJ$3:$BJ$15,MATCH(D79,'G-6 Hedgerow Data'!$B$3:$B$15,0)),"")</f>
        <v/>
      </c>
    </row>
    <row r="80" spans="2:33" ht="14" x14ac:dyDescent="0.3">
      <c r="B80" s="103">
        <v>69</v>
      </c>
      <c r="C80" s="268"/>
      <c r="D80" s="82"/>
      <c r="E80" s="203"/>
      <c r="F80" s="498" t="str">
        <f>IF(D80="","",VLOOKUP(D80,'G-6 Hedgerow Data'!$B$2:$AG$15,2,FALSE))</f>
        <v/>
      </c>
      <c r="G80" s="524" t="str">
        <f>IF(D80="","",VLOOKUP(D80,'G-6 Hedgerow Data'!$B$2:$AG$15,3,FALSE))</f>
        <v/>
      </c>
      <c r="H80" s="72"/>
      <c r="I80" s="499" t="str">
        <f>IFERROR(IF(AND(F80="V.Low",OR(H80="Good",H80="Moderate")),"Error ▲",VLOOKUP(H80,'G-1 All Habitats'!$Z$2:$AA$9,2,FALSE)),"")</f>
        <v/>
      </c>
      <c r="J80" s="146"/>
      <c r="K80" s="520" t="str">
        <f>IF(J80="","",IF(VLOOKUP(J80,'G-3 Multipliers'!$L$3:$N$6,2,FALSE)=0,"Spatial Data Missing",VLOOKUP(J80,'G-3 Multipliers'!$L$3:$N$6,2,FALSE)))</f>
        <v/>
      </c>
      <c r="L80" s="524" t="str">
        <f>IF(J80="","",IF(VLOOKUP(J80,'G-3 Multipliers'!$L$3:$N$6,3,FALSE)=0,"Spatial Data Missing",VLOOKUP(J80,'G-3 Multipliers'!$L$3:$N$6,3,FALSE)))</f>
        <v/>
      </c>
      <c r="M80" s="197"/>
      <c r="N80" s="499" t="str">
        <f>IF(M80="","",IF(VLOOKUP(M80,'G-3 Multipliers'!$S$3:$T$6,2,FALSE)=0,"Spatial Data Missing ⚠",VLOOKUP(M80,'G-3 Multipliers'!$S$3:$T$6,2,FALSE)))</f>
        <v/>
      </c>
      <c r="O80" s="498" t="str">
        <f>IF(OR(D80="",H80=""),"",(INDEX('G-6 Hedgerow Data'!$E$3:$I$15,MATCH(D80,'G-6 Hedgerow Data'!$B$3:$B$15,0),MATCH(H80,'G-6 Hedgerow Data'!$E$2:$I$2,0))))</f>
        <v/>
      </c>
      <c r="P80" s="195"/>
      <c r="Q80" s="195"/>
      <c r="R80" s="507" t="str">
        <f t="shared" si="7"/>
        <v/>
      </c>
      <c r="S80" s="521" t="str">
        <f t="shared" si="8"/>
        <v/>
      </c>
      <c r="T80" s="522" t="str">
        <f t="shared" si="6"/>
        <v/>
      </c>
      <c r="U80" s="537" t="str">
        <f>IF(D80="","",VLOOKUP(D80,'G-6 Hedgerow Data'!$B$3:$AG$15,31,FALSE))</f>
        <v/>
      </c>
      <c r="V80" s="520" t="str">
        <f t="shared" si="9"/>
        <v/>
      </c>
      <c r="W80" s="520" t="str">
        <f t="shared" si="10"/>
        <v/>
      </c>
      <c r="X80" s="524" t="str">
        <f>IF(F80="","",VLOOKUP(U80,'G-3 Multipliers'!$P$3:$Q$6,2,FALSE))</f>
        <v/>
      </c>
      <c r="Y80" s="529" t="str">
        <f t="shared" si="11"/>
        <v/>
      </c>
      <c r="Z80" s="149"/>
      <c r="AA80" s="150"/>
      <c r="AG80" s="31" t="str">
        <f>IFERROR(INDEX('G-6 Hedgerow Data'!$BJ$3:$BJ$15,MATCH(D80,'G-6 Hedgerow Data'!$B$3:$B$15,0)),"")</f>
        <v/>
      </c>
    </row>
    <row r="81" spans="2:33" ht="14" x14ac:dyDescent="0.3">
      <c r="B81" s="103">
        <v>70</v>
      </c>
      <c r="C81" s="268"/>
      <c r="D81" s="82"/>
      <c r="E81" s="203"/>
      <c r="F81" s="498" t="str">
        <f>IF(D81="","",VLOOKUP(D81,'G-6 Hedgerow Data'!$B$2:$AG$15,2,FALSE))</f>
        <v/>
      </c>
      <c r="G81" s="524" t="str">
        <f>IF(D81="","",VLOOKUP(D81,'G-6 Hedgerow Data'!$B$2:$AG$15,3,FALSE))</f>
        <v/>
      </c>
      <c r="H81" s="72"/>
      <c r="I81" s="499" t="str">
        <f>IFERROR(IF(AND(F81="V.Low",OR(H81="Good",H81="Moderate")),"Error ▲",VLOOKUP(H81,'G-1 All Habitats'!$Z$2:$AA$9,2,FALSE)),"")</f>
        <v/>
      </c>
      <c r="J81" s="146"/>
      <c r="K81" s="520" t="str">
        <f>IF(J81="","",IF(VLOOKUP(J81,'G-3 Multipliers'!$L$3:$N$6,2,FALSE)=0,"Spatial Data Missing",VLOOKUP(J81,'G-3 Multipliers'!$L$3:$N$6,2,FALSE)))</f>
        <v/>
      </c>
      <c r="L81" s="524" t="str">
        <f>IF(J81="","",IF(VLOOKUP(J81,'G-3 Multipliers'!$L$3:$N$6,3,FALSE)=0,"Spatial Data Missing",VLOOKUP(J81,'G-3 Multipliers'!$L$3:$N$6,3,FALSE)))</f>
        <v/>
      </c>
      <c r="M81" s="197"/>
      <c r="N81" s="499" t="str">
        <f>IF(M81="","",IF(VLOOKUP(M81,'G-3 Multipliers'!$S$3:$T$6,2,FALSE)=0,"Spatial Data Missing ⚠",VLOOKUP(M81,'G-3 Multipliers'!$S$3:$T$6,2,FALSE)))</f>
        <v/>
      </c>
      <c r="O81" s="498" t="str">
        <f>IF(OR(D81="",H81=""),"",(INDEX('G-6 Hedgerow Data'!$E$3:$I$15,MATCH(D81,'G-6 Hedgerow Data'!$B$3:$B$15,0),MATCH(H81,'G-6 Hedgerow Data'!$E$2:$I$2,0))))</f>
        <v/>
      </c>
      <c r="P81" s="195"/>
      <c r="Q81" s="195"/>
      <c r="R81" s="507" t="str">
        <f t="shared" si="7"/>
        <v/>
      </c>
      <c r="S81" s="521" t="str">
        <f t="shared" si="8"/>
        <v/>
      </c>
      <c r="T81" s="522" t="str">
        <f t="shared" si="6"/>
        <v/>
      </c>
      <c r="U81" s="537" t="str">
        <f>IF(D81="","",VLOOKUP(D81,'G-6 Hedgerow Data'!$B$3:$AG$15,31,FALSE))</f>
        <v/>
      </c>
      <c r="V81" s="520" t="str">
        <f t="shared" si="9"/>
        <v/>
      </c>
      <c r="W81" s="520" t="str">
        <f t="shared" si="10"/>
        <v/>
      </c>
      <c r="X81" s="524" t="str">
        <f>IF(F81="","",VLOOKUP(U81,'G-3 Multipliers'!$P$3:$Q$6,2,FALSE))</f>
        <v/>
      </c>
      <c r="Y81" s="529" t="str">
        <f t="shared" si="11"/>
        <v/>
      </c>
      <c r="Z81" s="149"/>
      <c r="AA81" s="150"/>
      <c r="AG81" s="31" t="str">
        <f>IFERROR(INDEX('G-6 Hedgerow Data'!$BJ$3:$BJ$15,MATCH(D81,'G-6 Hedgerow Data'!$B$3:$B$15,0)),"")</f>
        <v/>
      </c>
    </row>
    <row r="82" spans="2:33" ht="14" x14ac:dyDescent="0.3">
      <c r="B82" s="103">
        <v>71</v>
      </c>
      <c r="C82" s="268"/>
      <c r="D82" s="82"/>
      <c r="E82" s="203"/>
      <c r="F82" s="498" t="str">
        <f>IF(D82="","",VLOOKUP(D82,'G-6 Hedgerow Data'!$B$2:$AG$15,2,FALSE))</f>
        <v/>
      </c>
      <c r="G82" s="524" t="str">
        <f>IF(D82="","",VLOOKUP(D82,'G-6 Hedgerow Data'!$B$2:$AG$15,3,FALSE))</f>
        <v/>
      </c>
      <c r="H82" s="72"/>
      <c r="I82" s="499" t="str">
        <f>IFERROR(IF(AND(F82="V.Low",OR(H82="Good",H82="Moderate")),"Error ▲",VLOOKUP(H82,'G-1 All Habitats'!$Z$2:$AA$9,2,FALSE)),"")</f>
        <v/>
      </c>
      <c r="J82" s="146"/>
      <c r="K82" s="520" t="str">
        <f>IF(J82="","",IF(VLOOKUP(J82,'G-3 Multipliers'!$L$3:$N$6,2,FALSE)=0,"Spatial Data Missing",VLOOKUP(J82,'G-3 Multipliers'!$L$3:$N$6,2,FALSE)))</f>
        <v/>
      </c>
      <c r="L82" s="524" t="str">
        <f>IF(J82="","",IF(VLOOKUP(J82,'G-3 Multipliers'!$L$3:$N$6,3,FALSE)=0,"Spatial Data Missing",VLOOKUP(J82,'G-3 Multipliers'!$L$3:$N$6,3,FALSE)))</f>
        <v/>
      </c>
      <c r="M82" s="197"/>
      <c r="N82" s="499" t="str">
        <f>IF(M82="","",IF(VLOOKUP(M82,'G-3 Multipliers'!$S$3:$T$6,2,FALSE)=0,"Spatial Data Missing ⚠",VLOOKUP(M82,'G-3 Multipliers'!$S$3:$T$6,2,FALSE)))</f>
        <v/>
      </c>
      <c r="O82" s="498" t="str">
        <f>IF(OR(D82="",H82=""),"",(INDEX('G-6 Hedgerow Data'!$E$3:$I$15,MATCH(D82,'G-6 Hedgerow Data'!$B$3:$B$15,0),MATCH(H82,'G-6 Hedgerow Data'!$E$2:$I$2,0))))</f>
        <v/>
      </c>
      <c r="P82" s="195"/>
      <c r="Q82" s="195"/>
      <c r="R82" s="507" t="str">
        <f t="shared" si="7"/>
        <v/>
      </c>
      <c r="S82" s="521" t="str">
        <f t="shared" si="8"/>
        <v/>
      </c>
      <c r="T82" s="522" t="str">
        <f t="shared" si="6"/>
        <v/>
      </c>
      <c r="U82" s="537" t="str">
        <f>IF(D82="","",VLOOKUP(D82,'G-6 Hedgerow Data'!$B$3:$AG$15,31,FALSE))</f>
        <v/>
      </c>
      <c r="V82" s="520" t="str">
        <f t="shared" si="9"/>
        <v/>
      </c>
      <c r="W82" s="520" t="str">
        <f t="shared" si="10"/>
        <v/>
      </c>
      <c r="X82" s="524" t="str">
        <f>IF(F82="","",VLOOKUP(U82,'G-3 Multipliers'!$P$3:$Q$6,2,FALSE))</f>
        <v/>
      </c>
      <c r="Y82" s="529" t="str">
        <f t="shared" si="11"/>
        <v/>
      </c>
      <c r="Z82" s="149"/>
      <c r="AA82" s="150"/>
      <c r="AG82" s="31" t="str">
        <f>IFERROR(INDEX('G-6 Hedgerow Data'!$BJ$3:$BJ$15,MATCH(D82,'G-6 Hedgerow Data'!$B$3:$B$15,0)),"")</f>
        <v/>
      </c>
    </row>
    <row r="83" spans="2:33" ht="14" x14ac:dyDescent="0.3">
      <c r="B83" s="103">
        <v>72</v>
      </c>
      <c r="C83" s="268"/>
      <c r="D83" s="82"/>
      <c r="E83" s="203"/>
      <c r="F83" s="498" t="str">
        <f>IF(D83="","",VLOOKUP(D83,'G-6 Hedgerow Data'!$B$2:$AG$15,2,FALSE))</f>
        <v/>
      </c>
      <c r="G83" s="524" t="str">
        <f>IF(D83="","",VLOOKUP(D83,'G-6 Hedgerow Data'!$B$2:$AG$15,3,FALSE))</f>
        <v/>
      </c>
      <c r="H83" s="72"/>
      <c r="I83" s="499" t="str">
        <f>IFERROR(IF(AND(F83="V.Low",OR(H83="Good",H83="Moderate")),"Error ▲",VLOOKUP(H83,'G-1 All Habitats'!$Z$2:$AA$9,2,FALSE)),"")</f>
        <v/>
      </c>
      <c r="J83" s="146"/>
      <c r="K83" s="520" t="str">
        <f>IF(J83="","",IF(VLOOKUP(J83,'G-3 Multipliers'!$L$3:$N$6,2,FALSE)=0,"Spatial Data Missing",VLOOKUP(J83,'G-3 Multipliers'!$L$3:$N$6,2,FALSE)))</f>
        <v/>
      </c>
      <c r="L83" s="524" t="str">
        <f>IF(J83="","",IF(VLOOKUP(J83,'G-3 Multipliers'!$L$3:$N$6,3,FALSE)=0,"Spatial Data Missing",VLOOKUP(J83,'G-3 Multipliers'!$L$3:$N$6,3,FALSE)))</f>
        <v/>
      </c>
      <c r="M83" s="197"/>
      <c r="N83" s="499" t="str">
        <f>IF(M83="","",IF(VLOOKUP(M83,'G-3 Multipliers'!$S$3:$T$6,2,FALSE)=0,"Spatial Data Missing ⚠",VLOOKUP(M83,'G-3 Multipliers'!$S$3:$T$6,2,FALSE)))</f>
        <v/>
      </c>
      <c r="O83" s="498" t="str">
        <f>IF(OR(D83="",H83=""),"",(INDEX('G-6 Hedgerow Data'!$E$3:$I$15,MATCH(D83,'G-6 Hedgerow Data'!$B$3:$B$15,0),MATCH(H83,'G-6 Hedgerow Data'!$E$2:$I$2,0))))</f>
        <v/>
      </c>
      <c r="P83" s="195"/>
      <c r="Q83" s="195"/>
      <c r="R83" s="507" t="str">
        <f t="shared" si="7"/>
        <v/>
      </c>
      <c r="S83" s="521" t="str">
        <f t="shared" si="8"/>
        <v/>
      </c>
      <c r="T83" s="522" t="str">
        <f t="shared" si="6"/>
        <v/>
      </c>
      <c r="U83" s="537" t="str">
        <f>IF(D83="","",VLOOKUP(D83,'G-6 Hedgerow Data'!$B$3:$AG$15,31,FALSE))</f>
        <v/>
      </c>
      <c r="V83" s="520" t="str">
        <f t="shared" si="9"/>
        <v/>
      </c>
      <c r="W83" s="520" t="str">
        <f t="shared" si="10"/>
        <v/>
      </c>
      <c r="X83" s="524" t="str">
        <f>IF(F83="","",VLOOKUP(U83,'G-3 Multipliers'!$P$3:$Q$6,2,FALSE))</f>
        <v/>
      </c>
      <c r="Y83" s="529" t="str">
        <f t="shared" si="11"/>
        <v/>
      </c>
      <c r="Z83" s="149"/>
      <c r="AA83" s="150"/>
      <c r="AG83" s="31" t="str">
        <f>IFERROR(INDEX('G-6 Hedgerow Data'!$BJ$3:$BJ$15,MATCH(D83,'G-6 Hedgerow Data'!$B$3:$B$15,0)),"")</f>
        <v/>
      </c>
    </row>
    <row r="84" spans="2:33" ht="14" x14ac:dyDescent="0.3">
      <c r="B84" s="103">
        <v>73</v>
      </c>
      <c r="C84" s="268"/>
      <c r="D84" s="82"/>
      <c r="E84" s="203"/>
      <c r="F84" s="498" t="str">
        <f>IF(D84="","",VLOOKUP(D84,'G-6 Hedgerow Data'!$B$2:$AG$15,2,FALSE))</f>
        <v/>
      </c>
      <c r="G84" s="524" t="str">
        <f>IF(D84="","",VLOOKUP(D84,'G-6 Hedgerow Data'!$B$2:$AG$15,3,FALSE))</f>
        <v/>
      </c>
      <c r="H84" s="72"/>
      <c r="I84" s="499" t="str">
        <f>IFERROR(IF(AND(F84="V.Low",OR(H84="Good",H84="Moderate")),"Error ▲",VLOOKUP(H84,'G-1 All Habitats'!$Z$2:$AA$9,2,FALSE)),"")</f>
        <v/>
      </c>
      <c r="J84" s="146"/>
      <c r="K84" s="520" t="str">
        <f>IF(J84="","",IF(VLOOKUP(J84,'G-3 Multipliers'!$L$3:$N$6,2,FALSE)=0,"Spatial Data Missing",VLOOKUP(J84,'G-3 Multipliers'!$L$3:$N$6,2,FALSE)))</f>
        <v/>
      </c>
      <c r="L84" s="524" t="str">
        <f>IF(J84="","",IF(VLOOKUP(J84,'G-3 Multipliers'!$L$3:$N$6,3,FALSE)=0,"Spatial Data Missing",VLOOKUP(J84,'G-3 Multipliers'!$L$3:$N$6,3,FALSE)))</f>
        <v/>
      </c>
      <c r="M84" s="197"/>
      <c r="N84" s="499" t="str">
        <f>IF(M84="","",IF(VLOOKUP(M84,'G-3 Multipliers'!$S$3:$T$6,2,FALSE)=0,"Spatial Data Missing ⚠",VLOOKUP(M84,'G-3 Multipliers'!$S$3:$T$6,2,FALSE)))</f>
        <v/>
      </c>
      <c r="O84" s="498" t="str">
        <f>IF(OR(D84="",H84=""),"",(INDEX('G-6 Hedgerow Data'!$E$3:$I$15,MATCH(D84,'G-6 Hedgerow Data'!$B$3:$B$15,0),MATCH(H84,'G-6 Hedgerow Data'!$E$2:$I$2,0))))</f>
        <v/>
      </c>
      <c r="P84" s="195"/>
      <c r="Q84" s="195"/>
      <c r="R84" s="507" t="str">
        <f t="shared" si="7"/>
        <v/>
      </c>
      <c r="S84" s="521" t="str">
        <f t="shared" si="8"/>
        <v/>
      </c>
      <c r="T84" s="522" t="str">
        <f t="shared" si="6"/>
        <v/>
      </c>
      <c r="U84" s="537" t="str">
        <f>IF(D84="","",VLOOKUP(D84,'G-6 Hedgerow Data'!$B$3:$AG$15,31,FALSE))</f>
        <v/>
      </c>
      <c r="V84" s="520" t="str">
        <f t="shared" si="9"/>
        <v/>
      </c>
      <c r="W84" s="520" t="str">
        <f t="shared" si="10"/>
        <v/>
      </c>
      <c r="X84" s="524" t="str">
        <f>IF(F84="","",VLOOKUP(U84,'G-3 Multipliers'!$P$3:$Q$6,2,FALSE))</f>
        <v/>
      </c>
      <c r="Y84" s="529" t="str">
        <f t="shared" si="11"/>
        <v/>
      </c>
      <c r="Z84" s="149"/>
      <c r="AA84" s="150"/>
      <c r="AG84" s="31" t="str">
        <f>IFERROR(INDEX('G-6 Hedgerow Data'!$BJ$3:$BJ$15,MATCH(D84,'G-6 Hedgerow Data'!$B$3:$B$15,0)),"")</f>
        <v/>
      </c>
    </row>
    <row r="85" spans="2:33" ht="14" x14ac:dyDescent="0.3">
      <c r="B85" s="103">
        <v>74</v>
      </c>
      <c r="C85" s="268"/>
      <c r="D85" s="82"/>
      <c r="E85" s="203"/>
      <c r="F85" s="498" t="str">
        <f>IF(D85="","",VLOOKUP(D85,'G-6 Hedgerow Data'!$B$2:$AG$15,2,FALSE))</f>
        <v/>
      </c>
      <c r="G85" s="524" t="str">
        <f>IF(D85="","",VLOOKUP(D85,'G-6 Hedgerow Data'!$B$2:$AG$15,3,FALSE))</f>
        <v/>
      </c>
      <c r="H85" s="72"/>
      <c r="I85" s="499" t="str">
        <f>IFERROR(IF(AND(F85="V.Low",OR(H85="Good",H85="Moderate")),"Error ▲",VLOOKUP(H85,'G-1 All Habitats'!$Z$2:$AA$9,2,FALSE)),"")</f>
        <v/>
      </c>
      <c r="J85" s="146"/>
      <c r="K85" s="520" t="str">
        <f>IF(J85="","",IF(VLOOKUP(J85,'G-3 Multipliers'!$L$3:$N$6,2,FALSE)=0,"Spatial Data Missing",VLOOKUP(J85,'G-3 Multipliers'!$L$3:$N$6,2,FALSE)))</f>
        <v/>
      </c>
      <c r="L85" s="524" t="str">
        <f>IF(J85="","",IF(VLOOKUP(J85,'G-3 Multipliers'!$L$3:$N$6,3,FALSE)=0,"Spatial Data Missing",VLOOKUP(J85,'G-3 Multipliers'!$L$3:$N$6,3,FALSE)))</f>
        <v/>
      </c>
      <c r="M85" s="197"/>
      <c r="N85" s="499" t="str">
        <f>IF(M85="","",IF(VLOOKUP(M85,'G-3 Multipliers'!$S$3:$T$6,2,FALSE)=0,"Spatial Data Missing ⚠",VLOOKUP(M85,'G-3 Multipliers'!$S$3:$T$6,2,FALSE)))</f>
        <v/>
      </c>
      <c r="O85" s="498" t="str">
        <f>IF(OR(D85="",H85=""),"",(INDEX('G-6 Hedgerow Data'!$E$3:$I$15,MATCH(D85,'G-6 Hedgerow Data'!$B$3:$B$15,0),MATCH(H85,'G-6 Hedgerow Data'!$E$2:$I$2,0))))</f>
        <v/>
      </c>
      <c r="P85" s="195"/>
      <c r="Q85" s="195"/>
      <c r="R85" s="507" t="str">
        <f t="shared" si="7"/>
        <v/>
      </c>
      <c r="S85" s="521" t="str">
        <f t="shared" si="8"/>
        <v/>
      </c>
      <c r="T85" s="522" t="str">
        <f t="shared" si="6"/>
        <v/>
      </c>
      <c r="U85" s="537" t="str">
        <f>IF(D85="","",VLOOKUP(D85,'G-6 Hedgerow Data'!$B$3:$AG$15,31,FALSE))</f>
        <v/>
      </c>
      <c r="V85" s="520" t="str">
        <f t="shared" si="9"/>
        <v/>
      </c>
      <c r="W85" s="520" t="str">
        <f t="shared" si="10"/>
        <v/>
      </c>
      <c r="X85" s="524" t="str">
        <f>IF(F85="","",VLOOKUP(U85,'G-3 Multipliers'!$P$3:$Q$6,2,FALSE))</f>
        <v/>
      </c>
      <c r="Y85" s="529" t="str">
        <f t="shared" si="11"/>
        <v/>
      </c>
      <c r="Z85" s="149"/>
      <c r="AA85" s="150"/>
      <c r="AG85" s="31" t="str">
        <f>IFERROR(INDEX('G-6 Hedgerow Data'!$BJ$3:$BJ$15,MATCH(D85,'G-6 Hedgerow Data'!$B$3:$B$15,0)),"")</f>
        <v/>
      </c>
    </row>
    <row r="86" spans="2:33" ht="14" x14ac:dyDescent="0.3">
      <c r="B86" s="103">
        <v>75</v>
      </c>
      <c r="C86" s="268"/>
      <c r="D86" s="82"/>
      <c r="E86" s="203"/>
      <c r="F86" s="498" t="str">
        <f>IF(D86="","",VLOOKUP(D86,'G-6 Hedgerow Data'!$B$2:$AG$15,2,FALSE))</f>
        <v/>
      </c>
      <c r="G86" s="524" t="str">
        <f>IF(D86="","",VLOOKUP(D86,'G-6 Hedgerow Data'!$B$2:$AG$15,3,FALSE))</f>
        <v/>
      </c>
      <c r="H86" s="72"/>
      <c r="I86" s="499" t="str">
        <f>IFERROR(IF(AND(F86="V.Low",OR(H86="Good",H86="Moderate")),"Error ▲",VLOOKUP(H86,'G-1 All Habitats'!$Z$2:$AA$9,2,FALSE)),"")</f>
        <v/>
      </c>
      <c r="J86" s="146"/>
      <c r="K86" s="520" t="str">
        <f>IF(J86="","",IF(VLOOKUP(J86,'G-3 Multipliers'!$L$3:$N$6,2,FALSE)=0,"Spatial Data Missing",VLOOKUP(J86,'G-3 Multipliers'!$L$3:$N$6,2,FALSE)))</f>
        <v/>
      </c>
      <c r="L86" s="524" t="str">
        <f>IF(J86="","",IF(VLOOKUP(J86,'G-3 Multipliers'!$L$3:$N$6,3,FALSE)=0,"Spatial Data Missing",VLOOKUP(J86,'G-3 Multipliers'!$L$3:$N$6,3,FALSE)))</f>
        <v/>
      </c>
      <c r="M86" s="197"/>
      <c r="N86" s="499" t="str">
        <f>IF(M86="","",IF(VLOOKUP(M86,'G-3 Multipliers'!$S$3:$T$6,2,FALSE)=0,"Spatial Data Missing ⚠",VLOOKUP(M86,'G-3 Multipliers'!$S$3:$T$6,2,FALSE)))</f>
        <v/>
      </c>
      <c r="O86" s="498" t="str">
        <f>IF(OR(D86="",H86=""),"",(INDEX('G-6 Hedgerow Data'!$E$3:$I$15,MATCH(D86,'G-6 Hedgerow Data'!$B$3:$B$15,0),MATCH(H86,'G-6 Hedgerow Data'!$E$2:$I$2,0))))</f>
        <v/>
      </c>
      <c r="P86" s="195"/>
      <c r="Q86" s="195"/>
      <c r="R86" s="507" t="str">
        <f t="shared" si="7"/>
        <v/>
      </c>
      <c r="S86" s="521" t="str">
        <f t="shared" si="8"/>
        <v/>
      </c>
      <c r="T86" s="522" t="str">
        <f t="shared" si="6"/>
        <v/>
      </c>
      <c r="U86" s="537" t="str">
        <f>IF(D86="","",VLOOKUP(D86,'G-6 Hedgerow Data'!$B$3:$AG$15,31,FALSE))</f>
        <v/>
      </c>
      <c r="V86" s="520" t="str">
        <f t="shared" si="9"/>
        <v/>
      </c>
      <c r="W86" s="520" t="str">
        <f t="shared" si="10"/>
        <v/>
      </c>
      <c r="X86" s="524" t="str">
        <f>IF(F86="","",VLOOKUP(U86,'G-3 Multipliers'!$P$3:$Q$6,2,FALSE))</f>
        <v/>
      </c>
      <c r="Y86" s="529" t="str">
        <f t="shared" si="11"/>
        <v/>
      </c>
      <c r="Z86" s="149"/>
      <c r="AA86" s="150"/>
      <c r="AG86" s="31" t="str">
        <f>IFERROR(INDEX('G-6 Hedgerow Data'!$BJ$3:$BJ$15,MATCH(D86,'G-6 Hedgerow Data'!$B$3:$B$15,0)),"")</f>
        <v/>
      </c>
    </row>
    <row r="87" spans="2:33" ht="14" x14ac:dyDescent="0.3">
      <c r="B87" s="103">
        <v>76</v>
      </c>
      <c r="C87" s="268"/>
      <c r="D87" s="82"/>
      <c r="E87" s="203"/>
      <c r="F87" s="498" t="str">
        <f>IF(D87="","",VLOOKUP(D87,'G-6 Hedgerow Data'!$B$2:$AG$15,2,FALSE))</f>
        <v/>
      </c>
      <c r="G87" s="524" t="str">
        <f>IF(D87="","",VLOOKUP(D87,'G-6 Hedgerow Data'!$B$2:$AG$15,3,FALSE))</f>
        <v/>
      </c>
      <c r="H87" s="72"/>
      <c r="I87" s="499" t="str">
        <f>IFERROR(IF(AND(F87="V.Low",OR(H87="Good",H87="Moderate")),"Error ▲",VLOOKUP(H87,'G-1 All Habitats'!$Z$2:$AA$9,2,FALSE)),"")</f>
        <v/>
      </c>
      <c r="J87" s="146"/>
      <c r="K87" s="520" t="str">
        <f>IF(J87="","",IF(VLOOKUP(J87,'G-3 Multipliers'!$L$3:$N$6,2,FALSE)=0,"Spatial Data Missing",VLOOKUP(J87,'G-3 Multipliers'!$L$3:$N$6,2,FALSE)))</f>
        <v/>
      </c>
      <c r="L87" s="524" t="str">
        <f>IF(J87="","",IF(VLOOKUP(J87,'G-3 Multipliers'!$L$3:$N$6,3,FALSE)=0,"Spatial Data Missing",VLOOKUP(J87,'G-3 Multipliers'!$L$3:$N$6,3,FALSE)))</f>
        <v/>
      </c>
      <c r="M87" s="197"/>
      <c r="N87" s="499" t="str">
        <f>IF(M87="","",IF(VLOOKUP(M87,'G-3 Multipliers'!$S$3:$T$6,2,FALSE)=0,"Spatial Data Missing ⚠",VLOOKUP(M87,'G-3 Multipliers'!$S$3:$T$6,2,FALSE)))</f>
        <v/>
      </c>
      <c r="O87" s="498" t="str">
        <f>IF(OR(D87="",H87=""),"",(INDEX('G-6 Hedgerow Data'!$E$3:$I$15,MATCH(D87,'G-6 Hedgerow Data'!$B$3:$B$15,0),MATCH(H87,'G-6 Hedgerow Data'!$E$2:$I$2,0))))</f>
        <v/>
      </c>
      <c r="P87" s="195"/>
      <c r="Q87" s="195"/>
      <c r="R87" s="507" t="str">
        <f t="shared" si="7"/>
        <v/>
      </c>
      <c r="S87" s="521" t="str">
        <f t="shared" si="8"/>
        <v/>
      </c>
      <c r="T87" s="522" t="str">
        <f t="shared" si="6"/>
        <v/>
      </c>
      <c r="U87" s="537" t="str">
        <f>IF(D87="","",VLOOKUP(D87,'G-6 Hedgerow Data'!$B$3:$AG$15,31,FALSE))</f>
        <v/>
      </c>
      <c r="V87" s="520" t="str">
        <f t="shared" si="9"/>
        <v/>
      </c>
      <c r="W87" s="520" t="str">
        <f t="shared" si="10"/>
        <v/>
      </c>
      <c r="X87" s="524" t="str">
        <f>IF(F87="","",VLOOKUP(U87,'G-3 Multipliers'!$P$3:$Q$6,2,FALSE))</f>
        <v/>
      </c>
      <c r="Y87" s="529" t="str">
        <f t="shared" si="11"/>
        <v/>
      </c>
      <c r="Z87" s="149"/>
      <c r="AA87" s="150"/>
      <c r="AG87" s="31" t="str">
        <f>IFERROR(INDEX('G-6 Hedgerow Data'!$BJ$3:$BJ$15,MATCH(D87,'G-6 Hedgerow Data'!$B$3:$B$15,0)),"")</f>
        <v/>
      </c>
    </row>
    <row r="88" spans="2:33" ht="14" x14ac:dyDescent="0.3">
      <c r="B88" s="103">
        <v>77</v>
      </c>
      <c r="C88" s="268"/>
      <c r="D88" s="82"/>
      <c r="E88" s="203"/>
      <c r="F88" s="498" t="str">
        <f>IF(D88="","",VLOOKUP(D88,'G-6 Hedgerow Data'!$B$2:$AG$15,2,FALSE))</f>
        <v/>
      </c>
      <c r="G88" s="524" t="str">
        <f>IF(D88="","",VLOOKUP(D88,'G-6 Hedgerow Data'!$B$2:$AG$15,3,FALSE))</f>
        <v/>
      </c>
      <c r="H88" s="72"/>
      <c r="I88" s="499" t="str">
        <f>IFERROR(IF(AND(F88="V.Low",OR(H88="Good",H88="Moderate")),"Error ▲",VLOOKUP(H88,'G-1 All Habitats'!$Z$2:$AA$9,2,FALSE)),"")</f>
        <v/>
      </c>
      <c r="J88" s="146"/>
      <c r="K88" s="520" t="str">
        <f>IF(J88="","",IF(VLOOKUP(J88,'G-3 Multipliers'!$L$3:$N$6,2,FALSE)=0,"Spatial Data Missing",VLOOKUP(J88,'G-3 Multipliers'!$L$3:$N$6,2,FALSE)))</f>
        <v/>
      </c>
      <c r="L88" s="524" t="str">
        <f>IF(J88="","",IF(VLOOKUP(J88,'G-3 Multipliers'!$L$3:$N$6,3,FALSE)=0,"Spatial Data Missing",VLOOKUP(J88,'G-3 Multipliers'!$L$3:$N$6,3,FALSE)))</f>
        <v/>
      </c>
      <c r="M88" s="197"/>
      <c r="N88" s="499" t="str">
        <f>IF(M88="","",IF(VLOOKUP(M88,'G-3 Multipliers'!$S$3:$T$6,2,FALSE)=0,"Spatial Data Missing ⚠",VLOOKUP(M88,'G-3 Multipliers'!$S$3:$T$6,2,FALSE)))</f>
        <v/>
      </c>
      <c r="O88" s="498" t="str">
        <f>IF(OR(D88="",H88=""),"",(INDEX('G-6 Hedgerow Data'!$E$3:$I$15,MATCH(D88,'G-6 Hedgerow Data'!$B$3:$B$15,0),MATCH(H88,'G-6 Hedgerow Data'!$E$2:$I$2,0))))</f>
        <v/>
      </c>
      <c r="P88" s="195"/>
      <c r="Q88" s="195"/>
      <c r="R88" s="507" t="str">
        <f t="shared" si="7"/>
        <v/>
      </c>
      <c r="S88" s="521" t="str">
        <f t="shared" si="8"/>
        <v/>
      </c>
      <c r="T88" s="522" t="str">
        <f t="shared" si="6"/>
        <v/>
      </c>
      <c r="U88" s="537" t="str">
        <f>IF(D88="","",VLOOKUP(D88,'G-6 Hedgerow Data'!$B$3:$AG$15,31,FALSE))</f>
        <v/>
      </c>
      <c r="V88" s="520" t="str">
        <f t="shared" si="9"/>
        <v/>
      </c>
      <c r="W88" s="520" t="str">
        <f t="shared" si="10"/>
        <v/>
      </c>
      <c r="X88" s="524" t="str">
        <f>IF(F88="","",VLOOKUP(U88,'G-3 Multipliers'!$P$3:$Q$6,2,FALSE))</f>
        <v/>
      </c>
      <c r="Y88" s="529" t="str">
        <f t="shared" si="11"/>
        <v/>
      </c>
      <c r="Z88" s="149"/>
      <c r="AA88" s="150"/>
      <c r="AG88" s="31" t="str">
        <f>IFERROR(INDEX('G-6 Hedgerow Data'!$BJ$3:$BJ$15,MATCH(D88,'G-6 Hedgerow Data'!$B$3:$B$15,0)),"")</f>
        <v/>
      </c>
    </row>
    <row r="89" spans="2:33" ht="14" x14ac:dyDescent="0.3">
      <c r="B89" s="103">
        <v>78</v>
      </c>
      <c r="C89" s="268"/>
      <c r="D89" s="82"/>
      <c r="E89" s="203"/>
      <c r="F89" s="498" t="str">
        <f>IF(D89="","",VLOOKUP(D89,'G-6 Hedgerow Data'!$B$2:$AG$15,2,FALSE))</f>
        <v/>
      </c>
      <c r="G89" s="524" t="str">
        <f>IF(D89="","",VLOOKUP(D89,'G-6 Hedgerow Data'!$B$2:$AG$15,3,FALSE))</f>
        <v/>
      </c>
      <c r="H89" s="72"/>
      <c r="I89" s="499" t="str">
        <f>IFERROR(IF(AND(F89="V.Low",OR(H89="Good",H89="Moderate")),"Error ▲",VLOOKUP(H89,'G-1 All Habitats'!$Z$2:$AA$9,2,FALSE)),"")</f>
        <v/>
      </c>
      <c r="J89" s="146"/>
      <c r="K89" s="520" t="str">
        <f>IF(J89="","",IF(VLOOKUP(J89,'G-3 Multipliers'!$L$3:$N$6,2,FALSE)=0,"Spatial Data Missing",VLOOKUP(J89,'G-3 Multipliers'!$L$3:$N$6,2,FALSE)))</f>
        <v/>
      </c>
      <c r="L89" s="524" t="str">
        <f>IF(J89="","",IF(VLOOKUP(J89,'G-3 Multipliers'!$L$3:$N$6,3,FALSE)=0,"Spatial Data Missing",VLOOKUP(J89,'G-3 Multipliers'!$L$3:$N$6,3,FALSE)))</f>
        <v/>
      </c>
      <c r="M89" s="197"/>
      <c r="N89" s="499" t="str">
        <f>IF(M89="","",IF(VLOOKUP(M89,'G-3 Multipliers'!$S$3:$T$6,2,FALSE)=0,"Spatial Data Missing ⚠",VLOOKUP(M89,'G-3 Multipliers'!$S$3:$T$6,2,FALSE)))</f>
        <v/>
      </c>
      <c r="O89" s="498" t="str">
        <f>IF(OR(D89="",H89=""),"",(INDEX('G-6 Hedgerow Data'!$E$3:$I$15,MATCH(D89,'G-6 Hedgerow Data'!$B$3:$B$15,0),MATCH(H89,'G-6 Hedgerow Data'!$E$2:$I$2,0))))</f>
        <v/>
      </c>
      <c r="P89" s="195"/>
      <c r="Q89" s="195"/>
      <c r="R89" s="507" t="str">
        <f t="shared" si="7"/>
        <v/>
      </c>
      <c r="S89" s="521" t="str">
        <f t="shared" si="8"/>
        <v/>
      </c>
      <c r="T89" s="522" t="str">
        <f t="shared" si="6"/>
        <v/>
      </c>
      <c r="U89" s="537" t="str">
        <f>IF(D89="","",VLOOKUP(D89,'G-6 Hedgerow Data'!$B$3:$AG$15,31,FALSE))</f>
        <v/>
      </c>
      <c r="V89" s="520" t="str">
        <f t="shared" si="9"/>
        <v/>
      </c>
      <c r="W89" s="520" t="str">
        <f t="shared" si="10"/>
        <v/>
      </c>
      <c r="X89" s="524" t="str">
        <f>IF(F89="","",VLOOKUP(U89,'G-3 Multipliers'!$P$3:$Q$6,2,FALSE))</f>
        <v/>
      </c>
      <c r="Y89" s="529" t="str">
        <f t="shared" si="11"/>
        <v/>
      </c>
      <c r="Z89" s="149"/>
      <c r="AA89" s="150"/>
      <c r="AG89" s="31" t="str">
        <f>IFERROR(INDEX('G-6 Hedgerow Data'!$BJ$3:$BJ$15,MATCH(D89,'G-6 Hedgerow Data'!$B$3:$B$15,0)),"")</f>
        <v/>
      </c>
    </row>
    <row r="90" spans="2:33" ht="14" x14ac:dyDescent="0.3">
      <c r="B90" s="103">
        <v>79</v>
      </c>
      <c r="C90" s="268"/>
      <c r="D90" s="82"/>
      <c r="E90" s="203"/>
      <c r="F90" s="498" t="str">
        <f>IF(D90="","",VLOOKUP(D90,'G-6 Hedgerow Data'!$B$2:$AG$15,2,FALSE))</f>
        <v/>
      </c>
      <c r="G90" s="524" t="str">
        <f>IF(D90="","",VLOOKUP(D90,'G-6 Hedgerow Data'!$B$2:$AG$15,3,FALSE))</f>
        <v/>
      </c>
      <c r="H90" s="72"/>
      <c r="I90" s="499" t="str">
        <f>IFERROR(IF(AND(F90="V.Low",OR(H90="Good",H90="Moderate")),"Error ▲",VLOOKUP(H90,'G-1 All Habitats'!$Z$2:$AA$9,2,FALSE)),"")</f>
        <v/>
      </c>
      <c r="J90" s="146"/>
      <c r="K90" s="520" t="str">
        <f>IF(J90="","",IF(VLOOKUP(J90,'G-3 Multipliers'!$L$3:$N$6,2,FALSE)=0,"Spatial Data Missing",VLOOKUP(J90,'G-3 Multipliers'!$L$3:$N$6,2,FALSE)))</f>
        <v/>
      </c>
      <c r="L90" s="524" t="str">
        <f>IF(J90="","",IF(VLOOKUP(J90,'G-3 Multipliers'!$L$3:$N$6,3,FALSE)=0,"Spatial Data Missing",VLOOKUP(J90,'G-3 Multipliers'!$L$3:$N$6,3,FALSE)))</f>
        <v/>
      </c>
      <c r="M90" s="197"/>
      <c r="N90" s="499" t="str">
        <f>IF(M90="","",IF(VLOOKUP(M90,'G-3 Multipliers'!$S$3:$T$6,2,FALSE)=0,"Spatial Data Missing ⚠",VLOOKUP(M90,'G-3 Multipliers'!$S$3:$T$6,2,FALSE)))</f>
        <v/>
      </c>
      <c r="O90" s="498" t="str">
        <f>IF(OR(D90="",H90=""),"",(INDEX('G-6 Hedgerow Data'!$E$3:$I$15,MATCH(D90,'G-6 Hedgerow Data'!$B$3:$B$15,0),MATCH(H90,'G-6 Hedgerow Data'!$E$2:$I$2,0))))</f>
        <v/>
      </c>
      <c r="P90" s="195"/>
      <c r="Q90" s="195"/>
      <c r="R90" s="507" t="str">
        <f t="shared" si="7"/>
        <v/>
      </c>
      <c r="S90" s="521" t="str">
        <f t="shared" si="8"/>
        <v/>
      </c>
      <c r="T90" s="522" t="str">
        <f t="shared" si="6"/>
        <v/>
      </c>
      <c r="U90" s="537" t="str">
        <f>IF(D90="","",VLOOKUP(D90,'G-6 Hedgerow Data'!$B$3:$AG$15,31,FALSE))</f>
        <v/>
      </c>
      <c r="V90" s="520" t="str">
        <f t="shared" si="9"/>
        <v/>
      </c>
      <c r="W90" s="520" t="str">
        <f t="shared" si="10"/>
        <v/>
      </c>
      <c r="X90" s="524" t="str">
        <f>IF(F90="","",VLOOKUP(U90,'G-3 Multipliers'!$P$3:$Q$6,2,FALSE))</f>
        <v/>
      </c>
      <c r="Y90" s="529" t="str">
        <f t="shared" si="11"/>
        <v/>
      </c>
      <c r="Z90" s="149"/>
      <c r="AA90" s="150"/>
      <c r="AG90" s="31" t="str">
        <f>IFERROR(INDEX('G-6 Hedgerow Data'!$BJ$3:$BJ$15,MATCH(D90,'G-6 Hedgerow Data'!$B$3:$B$15,0)),"")</f>
        <v/>
      </c>
    </row>
    <row r="91" spans="2:33" ht="14" x14ac:dyDescent="0.3">
      <c r="B91" s="103">
        <v>80</v>
      </c>
      <c r="C91" s="268"/>
      <c r="D91" s="82"/>
      <c r="E91" s="203"/>
      <c r="F91" s="498" t="str">
        <f>IF(D91="","",VLOOKUP(D91,'G-6 Hedgerow Data'!$B$2:$AG$15,2,FALSE))</f>
        <v/>
      </c>
      <c r="G91" s="524" t="str">
        <f>IF(D91="","",VLOOKUP(D91,'G-6 Hedgerow Data'!$B$2:$AG$15,3,FALSE))</f>
        <v/>
      </c>
      <c r="H91" s="72"/>
      <c r="I91" s="499" t="str">
        <f>IFERROR(IF(AND(F91="V.Low",OR(H91="Good",H91="Moderate")),"Error ▲",VLOOKUP(H91,'G-1 All Habitats'!$Z$2:$AA$9,2,FALSE)),"")</f>
        <v/>
      </c>
      <c r="J91" s="146"/>
      <c r="K91" s="520" t="str">
        <f>IF(J91="","",IF(VLOOKUP(J91,'G-3 Multipliers'!$L$3:$N$6,2,FALSE)=0,"Spatial Data Missing",VLOOKUP(J91,'G-3 Multipliers'!$L$3:$N$6,2,FALSE)))</f>
        <v/>
      </c>
      <c r="L91" s="524" t="str">
        <f>IF(J91="","",IF(VLOOKUP(J91,'G-3 Multipliers'!$L$3:$N$6,3,FALSE)=0,"Spatial Data Missing",VLOOKUP(J91,'G-3 Multipliers'!$L$3:$N$6,3,FALSE)))</f>
        <v/>
      </c>
      <c r="M91" s="197"/>
      <c r="N91" s="499" t="str">
        <f>IF(M91="","",IF(VLOOKUP(M91,'G-3 Multipliers'!$S$3:$T$6,2,FALSE)=0,"Spatial Data Missing ⚠",VLOOKUP(M91,'G-3 Multipliers'!$S$3:$T$6,2,FALSE)))</f>
        <v/>
      </c>
      <c r="O91" s="498" t="str">
        <f>IF(OR(D91="",H91=""),"",(INDEX('G-6 Hedgerow Data'!$E$3:$I$15,MATCH(D91,'G-6 Hedgerow Data'!$B$3:$B$15,0),MATCH(H91,'G-6 Hedgerow Data'!$E$2:$I$2,0))))</f>
        <v/>
      </c>
      <c r="P91" s="195"/>
      <c r="Q91" s="195"/>
      <c r="R91" s="507" t="str">
        <f t="shared" si="7"/>
        <v/>
      </c>
      <c r="S91" s="521" t="str">
        <f t="shared" si="8"/>
        <v/>
      </c>
      <c r="T91" s="522" t="str">
        <f t="shared" si="6"/>
        <v/>
      </c>
      <c r="U91" s="537" t="str">
        <f>IF(D91="","",VLOOKUP(D91,'G-6 Hedgerow Data'!$B$3:$AG$15,31,FALSE))</f>
        <v/>
      </c>
      <c r="V91" s="520" t="str">
        <f t="shared" si="9"/>
        <v/>
      </c>
      <c r="W91" s="520" t="str">
        <f t="shared" si="10"/>
        <v/>
      </c>
      <c r="X91" s="524" t="str">
        <f>IF(F91="","",VLOOKUP(U91,'G-3 Multipliers'!$P$3:$Q$6,2,FALSE))</f>
        <v/>
      </c>
      <c r="Y91" s="529" t="str">
        <f t="shared" si="11"/>
        <v/>
      </c>
      <c r="Z91" s="149"/>
      <c r="AA91" s="150"/>
      <c r="AG91" s="31" t="str">
        <f>IFERROR(INDEX('G-6 Hedgerow Data'!$BJ$3:$BJ$15,MATCH(D91,'G-6 Hedgerow Data'!$B$3:$B$15,0)),"")</f>
        <v/>
      </c>
    </row>
    <row r="92" spans="2:33" ht="14" x14ac:dyDescent="0.3">
      <c r="B92" s="103">
        <v>81</v>
      </c>
      <c r="C92" s="268"/>
      <c r="D92" s="82"/>
      <c r="E92" s="203"/>
      <c r="F92" s="498" t="str">
        <f>IF(D92="","",VLOOKUP(D92,'G-6 Hedgerow Data'!$B$2:$AG$15,2,FALSE))</f>
        <v/>
      </c>
      <c r="G92" s="524" t="str">
        <f>IF(D92="","",VLOOKUP(D92,'G-6 Hedgerow Data'!$B$2:$AG$15,3,FALSE))</f>
        <v/>
      </c>
      <c r="H92" s="72"/>
      <c r="I92" s="499" t="str">
        <f>IFERROR(IF(AND(F92="V.Low",OR(H92="Good",H92="Moderate")),"Error ▲",VLOOKUP(H92,'G-1 All Habitats'!$Z$2:$AA$9,2,FALSE)),"")</f>
        <v/>
      </c>
      <c r="J92" s="146"/>
      <c r="K92" s="520" t="str">
        <f>IF(J92="","",IF(VLOOKUP(J92,'G-3 Multipliers'!$L$3:$N$6,2,FALSE)=0,"Spatial Data Missing",VLOOKUP(J92,'G-3 Multipliers'!$L$3:$N$6,2,FALSE)))</f>
        <v/>
      </c>
      <c r="L92" s="524" t="str">
        <f>IF(J92="","",IF(VLOOKUP(J92,'G-3 Multipliers'!$L$3:$N$6,3,FALSE)=0,"Spatial Data Missing",VLOOKUP(J92,'G-3 Multipliers'!$L$3:$N$6,3,FALSE)))</f>
        <v/>
      </c>
      <c r="M92" s="197"/>
      <c r="N92" s="499" t="str">
        <f>IF(M92="","",IF(VLOOKUP(M92,'G-3 Multipliers'!$S$3:$T$6,2,FALSE)=0,"Spatial Data Missing ⚠",VLOOKUP(M92,'G-3 Multipliers'!$S$3:$T$6,2,FALSE)))</f>
        <v/>
      </c>
      <c r="O92" s="498" t="str">
        <f>IF(OR(D92="",H92=""),"",(INDEX('G-6 Hedgerow Data'!$E$3:$I$15,MATCH(D92,'G-6 Hedgerow Data'!$B$3:$B$15,0),MATCH(H92,'G-6 Hedgerow Data'!$E$2:$I$2,0))))</f>
        <v/>
      </c>
      <c r="P92" s="195"/>
      <c r="Q92" s="195"/>
      <c r="R92" s="507" t="str">
        <f t="shared" si="7"/>
        <v/>
      </c>
      <c r="S92" s="521" t="str">
        <f t="shared" si="8"/>
        <v/>
      </c>
      <c r="T92" s="522" t="str">
        <f t="shared" si="6"/>
        <v/>
      </c>
      <c r="U92" s="537" t="str">
        <f>IF(D92="","",VLOOKUP(D92,'G-6 Hedgerow Data'!$B$3:$AG$15,31,FALSE))</f>
        <v/>
      </c>
      <c r="V92" s="520" t="str">
        <f t="shared" si="9"/>
        <v/>
      </c>
      <c r="W92" s="520" t="str">
        <f t="shared" si="10"/>
        <v/>
      </c>
      <c r="X92" s="524" t="str">
        <f>IF(F92="","",VLOOKUP(U92,'G-3 Multipliers'!$P$3:$Q$6,2,FALSE))</f>
        <v/>
      </c>
      <c r="Y92" s="529" t="str">
        <f t="shared" si="11"/>
        <v/>
      </c>
      <c r="Z92" s="149"/>
      <c r="AA92" s="150"/>
      <c r="AG92" s="31" t="str">
        <f>IFERROR(INDEX('G-6 Hedgerow Data'!$BJ$3:$BJ$15,MATCH(D92,'G-6 Hedgerow Data'!$B$3:$B$15,0)),"")</f>
        <v/>
      </c>
    </row>
    <row r="93" spans="2:33" ht="14" x14ac:dyDescent="0.3">
      <c r="B93" s="103">
        <v>82</v>
      </c>
      <c r="C93" s="268"/>
      <c r="D93" s="82"/>
      <c r="E93" s="203"/>
      <c r="F93" s="498" t="str">
        <f>IF(D93="","",VLOOKUP(D93,'G-6 Hedgerow Data'!$B$2:$AG$15,2,FALSE))</f>
        <v/>
      </c>
      <c r="G93" s="524" t="str">
        <f>IF(D93="","",VLOOKUP(D93,'G-6 Hedgerow Data'!$B$2:$AG$15,3,FALSE))</f>
        <v/>
      </c>
      <c r="H93" s="72"/>
      <c r="I93" s="499" t="str">
        <f>IFERROR(IF(AND(F93="V.Low",OR(H93="Good",H93="Moderate")),"Error ▲",VLOOKUP(H93,'G-1 All Habitats'!$Z$2:$AA$9,2,FALSE)),"")</f>
        <v/>
      </c>
      <c r="J93" s="146"/>
      <c r="K93" s="520" t="str">
        <f>IF(J93="","",IF(VLOOKUP(J93,'G-3 Multipliers'!$L$3:$N$6,2,FALSE)=0,"Spatial Data Missing",VLOOKUP(J93,'G-3 Multipliers'!$L$3:$N$6,2,FALSE)))</f>
        <v/>
      </c>
      <c r="L93" s="524" t="str">
        <f>IF(J93="","",IF(VLOOKUP(J93,'G-3 Multipliers'!$L$3:$N$6,3,FALSE)=0,"Spatial Data Missing",VLOOKUP(J93,'G-3 Multipliers'!$L$3:$N$6,3,FALSE)))</f>
        <v/>
      </c>
      <c r="M93" s="197"/>
      <c r="N93" s="499" t="str">
        <f>IF(M93="","",IF(VLOOKUP(M93,'G-3 Multipliers'!$S$3:$T$6,2,FALSE)=0,"Spatial Data Missing ⚠",VLOOKUP(M93,'G-3 Multipliers'!$S$3:$T$6,2,FALSE)))</f>
        <v/>
      </c>
      <c r="O93" s="498" t="str">
        <f>IF(OR(D93="",H93=""),"",(INDEX('G-6 Hedgerow Data'!$E$3:$I$15,MATCH(D93,'G-6 Hedgerow Data'!$B$3:$B$15,0),MATCH(H93,'G-6 Hedgerow Data'!$E$2:$I$2,0))))</f>
        <v/>
      </c>
      <c r="P93" s="195"/>
      <c r="Q93" s="195"/>
      <c r="R93" s="507" t="str">
        <f t="shared" si="7"/>
        <v/>
      </c>
      <c r="S93" s="521" t="str">
        <f t="shared" si="8"/>
        <v/>
      </c>
      <c r="T93" s="522" t="str">
        <f t="shared" si="6"/>
        <v/>
      </c>
      <c r="U93" s="537" t="str">
        <f>IF(D93="","",VLOOKUP(D93,'G-6 Hedgerow Data'!$B$3:$AG$15,31,FALSE))</f>
        <v/>
      </c>
      <c r="V93" s="520" t="str">
        <f t="shared" si="9"/>
        <v/>
      </c>
      <c r="W93" s="520" t="str">
        <f t="shared" si="10"/>
        <v/>
      </c>
      <c r="X93" s="524" t="str">
        <f>IF(F93="","",VLOOKUP(U93,'G-3 Multipliers'!$P$3:$Q$6,2,FALSE))</f>
        <v/>
      </c>
      <c r="Y93" s="529" t="str">
        <f t="shared" si="11"/>
        <v/>
      </c>
      <c r="Z93" s="149"/>
      <c r="AA93" s="150"/>
      <c r="AG93" s="31" t="str">
        <f>IFERROR(INDEX('G-6 Hedgerow Data'!$BJ$3:$BJ$15,MATCH(D93,'G-6 Hedgerow Data'!$B$3:$B$15,0)),"")</f>
        <v/>
      </c>
    </row>
    <row r="94" spans="2:33" ht="14" x14ac:dyDescent="0.3">
      <c r="B94" s="103">
        <v>83</v>
      </c>
      <c r="C94" s="268"/>
      <c r="D94" s="82"/>
      <c r="E94" s="203"/>
      <c r="F94" s="498" t="str">
        <f>IF(D94="","",VLOOKUP(D94,'G-6 Hedgerow Data'!$B$2:$AG$15,2,FALSE))</f>
        <v/>
      </c>
      <c r="G94" s="524" t="str">
        <f>IF(D94="","",VLOOKUP(D94,'G-6 Hedgerow Data'!$B$2:$AG$15,3,FALSE))</f>
        <v/>
      </c>
      <c r="H94" s="72"/>
      <c r="I94" s="499" t="str">
        <f>IFERROR(IF(AND(F94="V.Low",OR(H94="Good",H94="Moderate")),"Error ▲",VLOOKUP(H94,'G-1 All Habitats'!$Z$2:$AA$9,2,FALSE)),"")</f>
        <v/>
      </c>
      <c r="J94" s="146"/>
      <c r="K94" s="520" t="str">
        <f>IF(J94="","",IF(VLOOKUP(J94,'G-3 Multipliers'!$L$3:$N$6,2,FALSE)=0,"Spatial Data Missing",VLOOKUP(J94,'G-3 Multipliers'!$L$3:$N$6,2,FALSE)))</f>
        <v/>
      </c>
      <c r="L94" s="524" t="str">
        <f>IF(J94="","",IF(VLOOKUP(J94,'G-3 Multipliers'!$L$3:$N$6,3,FALSE)=0,"Spatial Data Missing",VLOOKUP(J94,'G-3 Multipliers'!$L$3:$N$6,3,FALSE)))</f>
        <v/>
      </c>
      <c r="M94" s="197"/>
      <c r="N94" s="499" t="str">
        <f>IF(M94="","",IF(VLOOKUP(M94,'G-3 Multipliers'!$S$3:$T$6,2,FALSE)=0,"Spatial Data Missing ⚠",VLOOKUP(M94,'G-3 Multipliers'!$S$3:$T$6,2,FALSE)))</f>
        <v/>
      </c>
      <c r="O94" s="498" t="str">
        <f>IF(OR(D94="",H94=""),"",(INDEX('G-6 Hedgerow Data'!$E$3:$I$15,MATCH(D94,'G-6 Hedgerow Data'!$B$3:$B$15,0),MATCH(H94,'G-6 Hedgerow Data'!$E$2:$I$2,0))))</f>
        <v/>
      </c>
      <c r="P94" s="195"/>
      <c r="Q94" s="195"/>
      <c r="R94" s="507" t="str">
        <f t="shared" si="7"/>
        <v/>
      </c>
      <c r="S94" s="521" t="str">
        <f t="shared" si="8"/>
        <v/>
      </c>
      <c r="T94" s="522" t="str">
        <f t="shared" si="6"/>
        <v/>
      </c>
      <c r="U94" s="537" t="str">
        <f>IF(D94="","",VLOOKUP(D94,'G-6 Hedgerow Data'!$B$3:$AG$15,31,FALSE))</f>
        <v/>
      </c>
      <c r="V94" s="520" t="str">
        <f t="shared" si="9"/>
        <v/>
      </c>
      <c r="W94" s="520" t="str">
        <f t="shared" si="10"/>
        <v/>
      </c>
      <c r="X94" s="524" t="str">
        <f>IF(F94="","",VLOOKUP(U94,'G-3 Multipliers'!$P$3:$Q$6,2,FALSE))</f>
        <v/>
      </c>
      <c r="Y94" s="529" t="str">
        <f t="shared" si="11"/>
        <v/>
      </c>
      <c r="Z94" s="149"/>
      <c r="AA94" s="150"/>
      <c r="AG94" s="31" t="str">
        <f>IFERROR(INDEX('G-6 Hedgerow Data'!$BJ$3:$BJ$15,MATCH(D94,'G-6 Hedgerow Data'!$B$3:$B$15,0)),"")</f>
        <v/>
      </c>
    </row>
    <row r="95" spans="2:33" ht="14" x14ac:dyDescent="0.3">
      <c r="B95" s="103">
        <v>84</v>
      </c>
      <c r="C95" s="268"/>
      <c r="D95" s="82"/>
      <c r="E95" s="203"/>
      <c r="F95" s="498" t="str">
        <f>IF(D95="","",VLOOKUP(D95,'G-6 Hedgerow Data'!$B$2:$AG$15,2,FALSE))</f>
        <v/>
      </c>
      <c r="G95" s="524" t="str">
        <f>IF(D95="","",VLOOKUP(D95,'G-6 Hedgerow Data'!$B$2:$AG$15,3,FALSE))</f>
        <v/>
      </c>
      <c r="H95" s="72"/>
      <c r="I95" s="499" t="str">
        <f>IFERROR(IF(AND(F95="V.Low",OR(H95="Good",H95="Moderate")),"Error ▲",VLOOKUP(H95,'G-1 All Habitats'!$Z$2:$AA$9,2,FALSE)),"")</f>
        <v/>
      </c>
      <c r="J95" s="146"/>
      <c r="K95" s="520" t="str">
        <f>IF(J95="","",IF(VLOOKUP(J95,'G-3 Multipliers'!$L$3:$N$6,2,FALSE)=0,"Spatial Data Missing",VLOOKUP(J95,'G-3 Multipliers'!$L$3:$N$6,2,FALSE)))</f>
        <v/>
      </c>
      <c r="L95" s="524" t="str">
        <f>IF(J95="","",IF(VLOOKUP(J95,'G-3 Multipliers'!$L$3:$N$6,3,FALSE)=0,"Spatial Data Missing",VLOOKUP(J95,'G-3 Multipliers'!$L$3:$N$6,3,FALSE)))</f>
        <v/>
      </c>
      <c r="M95" s="197"/>
      <c r="N95" s="499" t="str">
        <f>IF(M95="","",IF(VLOOKUP(M95,'G-3 Multipliers'!$S$3:$T$6,2,FALSE)=0,"Spatial Data Missing ⚠",VLOOKUP(M95,'G-3 Multipliers'!$S$3:$T$6,2,FALSE)))</f>
        <v/>
      </c>
      <c r="O95" s="498" t="str">
        <f>IF(OR(D95="",H95=""),"",(INDEX('G-6 Hedgerow Data'!$E$3:$I$15,MATCH(D95,'G-6 Hedgerow Data'!$B$3:$B$15,0),MATCH(H95,'G-6 Hedgerow Data'!$E$2:$I$2,0))))</f>
        <v/>
      </c>
      <c r="P95" s="195"/>
      <c r="Q95" s="195"/>
      <c r="R95" s="507" t="str">
        <f t="shared" si="7"/>
        <v/>
      </c>
      <c r="S95" s="521" t="str">
        <f t="shared" si="8"/>
        <v/>
      </c>
      <c r="T95" s="522" t="str">
        <f t="shared" si="6"/>
        <v/>
      </c>
      <c r="U95" s="537" t="str">
        <f>IF(D95="","",VLOOKUP(D95,'G-6 Hedgerow Data'!$B$3:$AG$15,31,FALSE))</f>
        <v/>
      </c>
      <c r="V95" s="520" t="str">
        <f t="shared" si="9"/>
        <v/>
      </c>
      <c r="W95" s="520" t="str">
        <f t="shared" si="10"/>
        <v/>
      </c>
      <c r="X95" s="524" t="str">
        <f>IF(F95="","",VLOOKUP(U95,'G-3 Multipliers'!$P$3:$Q$6,2,FALSE))</f>
        <v/>
      </c>
      <c r="Y95" s="529" t="str">
        <f t="shared" si="11"/>
        <v/>
      </c>
      <c r="Z95" s="149"/>
      <c r="AA95" s="150"/>
      <c r="AG95" s="31" t="str">
        <f>IFERROR(INDEX('G-6 Hedgerow Data'!$BJ$3:$BJ$15,MATCH(D95,'G-6 Hedgerow Data'!$B$3:$B$15,0)),"")</f>
        <v/>
      </c>
    </row>
    <row r="96" spans="2:33" ht="14" x14ac:dyDescent="0.3">
      <c r="B96" s="103">
        <v>85</v>
      </c>
      <c r="C96" s="268"/>
      <c r="D96" s="82"/>
      <c r="E96" s="203"/>
      <c r="F96" s="498" t="str">
        <f>IF(D96="","",VLOOKUP(D96,'G-6 Hedgerow Data'!$B$2:$AG$15,2,FALSE))</f>
        <v/>
      </c>
      <c r="G96" s="524" t="str">
        <f>IF(D96="","",VLOOKUP(D96,'G-6 Hedgerow Data'!$B$2:$AG$15,3,FALSE))</f>
        <v/>
      </c>
      <c r="H96" s="72"/>
      <c r="I96" s="499" t="str">
        <f>IFERROR(IF(AND(F96="V.Low",OR(H96="Good",H96="Moderate")),"Error ▲",VLOOKUP(H96,'G-1 All Habitats'!$Z$2:$AA$9,2,FALSE)),"")</f>
        <v/>
      </c>
      <c r="J96" s="146"/>
      <c r="K96" s="520" t="str">
        <f>IF(J96="","",IF(VLOOKUP(J96,'G-3 Multipliers'!$L$3:$N$6,2,FALSE)=0,"Spatial Data Missing",VLOOKUP(J96,'G-3 Multipliers'!$L$3:$N$6,2,FALSE)))</f>
        <v/>
      </c>
      <c r="L96" s="524" t="str">
        <f>IF(J96="","",IF(VLOOKUP(J96,'G-3 Multipliers'!$L$3:$N$6,3,FALSE)=0,"Spatial Data Missing",VLOOKUP(J96,'G-3 Multipliers'!$L$3:$N$6,3,FALSE)))</f>
        <v/>
      </c>
      <c r="M96" s="197"/>
      <c r="N96" s="499" t="str">
        <f>IF(M96="","",IF(VLOOKUP(M96,'G-3 Multipliers'!$S$3:$T$6,2,FALSE)=0,"Spatial Data Missing ⚠",VLOOKUP(M96,'G-3 Multipliers'!$S$3:$T$6,2,FALSE)))</f>
        <v/>
      </c>
      <c r="O96" s="498" t="str">
        <f>IF(OR(D96="",H96=""),"",(INDEX('G-6 Hedgerow Data'!$E$3:$I$15,MATCH(D96,'G-6 Hedgerow Data'!$B$3:$B$15,0),MATCH(H96,'G-6 Hedgerow Data'!$E$2:$I$2,0))))</f>
        <v/>
      </c>
      <c r="P96" s="195"/>
      <c r="Q96" s="195"/>
      <c r="R96" s="507" t="str">
        <f t="shared" si="7"/>
        <v/>
      </c>
      <c r="S96" s="521" t="str">
        <f t="shared" si="8"/>
        <v/>
      </c>
      <c r="T96" s="522" t="str">
        <f t="shared" si="6"/>
        <v/>
      </c>
      <c r="U96" s="537" t="str">
        <f>IF(D96="","",VLOOKUP(D96,'G-6 Hedgerow Data'!$B$3:$AG$15,31,FALSE))</f>
        <v/>
      </c>
      <c r="V96" s="520" t="str">
        <f t="shared" si="9"/>
        <v/>
      </c>
      <c r="W96" s="520" t="str">
        <f t="shared" si="10"/>
        <v/>
      </c>
      <c r="X96" s="524" t="str">
        <f>IF(F96="","",VLOOKUP(U96,'G-3 Multipliers'!$P$3:$Q$6,2,FALSE))</f>
        <v/>
      </c>
      <c r="Y96" s="529" t="str">
        <f t="shared" si="11"/>
        <v/>
      </c>
      <c r="Z96" s="149"/>
      <c r="AA96" s="150"/>
      <c r="AG96" s="31" t="str">
        <f>IFERROR(INDEX('G-6 Hedgerow Data'!$BJ$3:$BJ$15,MATCH(D96,'G-6 Hedgerow Data'!$B$3:$B$15,0)),"")</f>
        <v/>
      </c>
    </row>
    <row r="97" spans="2:33" ht="14" x14ac:dyDescent="0.3">
      <c r="B97" s="103">
        <v>86</v>
      </c>
      <c r="C97" s="268"/>
      <c r="D97" s="82"/>
      <c r="E97" s="203"/>
      <c r="F97" s="498" t="str">
        <f>IF(D97="","",VLOOKUP(D97,'G-6 Hedgerow Data'!$B$2:$AG$15,2,FALSE))</f>
        <v/>
      </c>
      <c r="G97" s="524" t="str">
        <f>IF(D97="","",VLOOKUP(D97,'G-6 Hedgerow Data'!$B$2:$AG$15,3,FALSE))</f>
        <v/>
      </c>
      <c r="H97" s="72"/>
      <c r="I97" s="499" t="str">
        <f>IFERROR(IF(AND(F97="V.Low",OR(H97="Good",H97="Moderate")),"Error ▲",VLOOKUP(H97,'G-1 All Habitats'!$Z$2:$AA$9,2,FALSE)),"")</f>
        <v/>
      </c>
      <c r="J97" s="146"/>
      <c r="K97" s="520" t="str">
        <f>IF(J97="","",IF(VLOOKUP(J97,'G-3 Multipliers'!$L$3:$N$6,2,FALSE)=0,"Spatial Data Missing",VLOOKUP(J97,'G-3 Multipliers'!$L$3:$N$6,2,FALSE)))</f>
        <v/>
      </c>
      <c r="L97" s="524" t="str">
        <f>IF(J97="","",IF(VLOOKUP(J97,'G-3 Multipliers'!$L$3:$N$6,3,FALSE)=0,"Spatial Data Missing",VLOOKUP(J97,'G-3 Multipliers'!$L$3:$N$6,3,FALSE)))</f>
        <v/>
      </c>
      <c r="M97" s="197"/>
      <c r="N97" s="499" t="str">
        <f>IF(M97="","",IF(VLOOKUP(M97,'G-3 Multipliers'!$S$3:$T$6,2,FALSE)=0,"Spatial Data Missing ⚠",VLOOKUP(M97,'G-3 Multipliers'!$S$3:$T$6,2,FALSE)))</f>
        <v/>
      </c>
      <c r="O97" s="498" t="str">
        <f>IF(OR(D97="",H97=""),"",(INDEX('G-6 Hedgerow Data'!$E$3:$I$15,MATCH(D97,'G-6 Hedgerow Data'!$B$3:$B$15,0),MATCH(H97,'G-6 Hedgerow Data'!$E$2:$I$2,0))))</f>
        <v/>
      </c>
      <c r="P97" s="195"/>
      <c r="Q97" s="195"/>
      <c r="R97" s="507" t="str">
        <f t="shared" si="7"/>
        <v/>
      </c>
      <c r="S97" s="521" t="str">
        <f t="shared" si="8"/>
        <v/>
      </c>
      <c r="T97" s="522" t="str">
        <f t="shared" si="6"/>
        <v/>
      </c>
      <c r="U97" s="537" t="str">
        <f>IF(D97="","",VLOOKUP(D97,'G-6 Hedgerow Data'!$B$3:$AG$15,31,FALSE))</f>
        <v/>
      </c>
      <c r="V97" s="520" t="str">
        <f t="shared" si="9"/>
        <v/>
      </c>
      <c r="W97" s="520" t="str">
        <f t="shared" si="10"/>
        <v/>
      </c>
      <c r="X97" s="524" t="str">
        <f>IF(F97="","",VLOOKUP(U97,'G-3 Multipliers'!$P$3:$Q$6,2,FALSE))</f>
        <v/>
      </c>
      <c r="Y97" s="529" t="str">
        <f t="shared" si="11"/>
        <v/>
      </c>
      <c r="Z97" s="149"/>
      <c r="AA97" s="150"/>
      <c r="AG97" s="31" t="str">
        <f>IFERROR(INDEX('G-6 Hedgerow Data'!$BJ$3:$BJ$15,MATCH(D97,'G-6 Hedgerow Data'!$B$3:$B$15,0)),"")</f>
        <v/>
      </c>
    </row>
    <row r="98" spans="2:33" ht="14" x14ac:dyDescent="0.3">
      <c r="B98" s="103">
        <v>87</v>
      </c>
      <c r="C98" s="268"/>
      <c r="D98" s="82"/>
      <c r="E98" s="203"/>
      <c r="F98" s="498" t="str">
        <f>IF(D98="","",VLOOKUP(D98,'G-6 Hedgerow Data'!$B$2:$AG$15,2,FALSE))</f>
        <v/>
      </c>
      <c r="G98" s="524" t="str">
        <f>IF(D98="","",VLOOKUP(D98,'G-6 Hedgerow Data'!$B$2:$AG$15,3,FALSE))</f>
        <v/>
      </c>
      <c r="H98" s="72"/>
      <c r="I98" s="499" t="str">
        <f>IFERROR(IF(AND(F98="V.Low",OR(H98="Good",H98="Moderate")),"Error ▲",VLOOKUP(H98,'G-1 All Habitats'!$Z$2:$AA$9,2,FALSE)),"")</f>
        <v/>
      </c>
      <c r="J98" s="146"/>
      <c r="K98" s="520" t="str">
        <f>IF(J98="","",IF(VLOOKUP(J98,'G-3 Multipliers'!$L$3:$N$6,2,FALSE)=0,"Spatial Data Missing",VLOOKUP(J98,'G-3 Multipliers'!$L$3:$N$6,2,FALSE)))</f>
        <v/>
      </c>
      <c r="L98" s="524" t="str">
        <f>IF(J98="","",IF(VLOOKUP(J98,'G-3 Multipliers'!$L$3:$N$6,3,FALSE)=0,"Spatial Data Missing",VLOOKUP(J98,'G-3 Multipliers'!$L$3:$N$6,3,FALSE)))</f>
        <v/>
      </c>
      <c r="M98" s="197"/>
      <c r="N98" s="499" t="str">
        <f>IF(M98="","",IF(VLOOKUP(M98,'G-3 Multipliers'!$S$3:$T$6,2,FALSE)=0,"Spatial Data Missing ⚠",VLOOKUP(M98,'G-3 Multipliers'!$S$3:$T$6,2,FALSE)))</f>
        <v/>
      </c>
      <c r="O98" s="498" t="str">
        <f>IF(OR(D98="",H98=""),"",(INDEX('G-6 Hedgerow Data'!$E$3:$I$15,MATCH(D98,'G-6 Hedgerow Data'!$B$3:$B$15,0),MATCH(H98,'G-6 Hedgerow Data'!$E$2:$I$2,0))))</f>
        <v/>
      </c>
      <c r="P98" s="195"/>
      <c r="Q98" s="195"/>
      <c r="R98" s="507" t="str">
        <f t="shared" si="7"/>
        <v/>
      </c>
      <c r="S98" s="521" t="str">
        <f t="shared" si="8"/>
        <v/>
      </c>
      <c r="T98" s="522" t="str">
        <f t="shared" si="6"/>
        <v/>
      </c>
      <c r="U98" s="537" t="str">
        <f>IF(D98="","",VLOOKUP(D98,'G-6 Hedgerow Data'!$B$3:$AG$15,31,FALSE))</f>
        <v/>
      </c>
      <c r="V98" s="520" t="str">
        <f t="shared" si="9"/>
        <v/>
      </c>
      <c r="W98" s="520" t="str">
        <f t="shared" si="10"/>
        <v/>
      </c>
      <c r="X98" s="524" t="str">
        <f>IF(F98="","",VLOOKUP(U98,'G-3 Multipliers'!$P$3:$Q$6,2,FALSE))</f>
        <v/>
      </c>
      <c r="Y98" s="529" t="str">
        <f t="shared" si="11"/>
        <v/>
      </c>
      <c r="Z98" s="149"/>
      <c r="AA98" s="150"/>
      <c r="AG98" s="31" t="str">
        <f>IFERROR(INDEX('G-6 Hedgerow Data'!$BJ$3:$BJ$15,MATCH(D98,'G-6 Hedgerow Data'!$B$3:$B$15,0)),"")</f>
        <v/>
      </c>
    </row>
    <row r="99" spans="2:33" ht="14" x14ac:dyDescent="0.3">
      <c r="B99" s="103">
        <v>88</v>
      </c>
      <c r="C99" s="268"/>
      <c r="D99" s="82"/>
      <c r="E99" s="203"/>
      <c r="F99" s="498" t="str">
        <f>IF(D99="","",VLOOKUP(D99,'G-6 Hedgerow Data'!$B$2:$AG$15,2,FALSE))</f>
        <v/>
      </c>
      <c r="G99" s="524" t="str">
        <f>IF(D99="","",VLOOKUP(D99,'G-6 Hedgerow Data'!$B$2:$AG$15,3,FALSE))</f>
        <v/>
      </c>
      <c r="H99" s="72"/>
      <c r="I99" s="499" t="str">
        <f>IFERROR(IF(AND(F99="V.Low",OR(H99="Good",H99="Moderate")),"Error ▲",VLOOKUP(H99,'G-1 All Habitats'!$Z$2:$AA$9,2,FALSE)),"")</f>
        <v/>
      </c>
      <c r="J99" s="146"/>
      <c r="K99" s="520" t="str">
        <f>IF(J99="","",IF(VLOOKUP(J99,'G-3 Multipliers'!$L$3:$N$6,2,FALSE)=0,"Spatial Data Missing",VLOOKUP(J99,'G-3 Multipliers'!$L$3:$N$6,2,FALSE)))</f>
        <v/>
      </c>
      <c r="L99" s="524" t="str">
        <f>IF(J99="","",IF(VLOOKUP(J99,'G-3 Multipliers'!$L$3:$N$6,3,FALSE)=0,"Spatial Data Missing",VLOOKUP(J99,'G-3 Multipliers'!$L$3:$N$6,3,FALSE)))</f>
        <v/>
      </c>
      <c r="M99" s="197"/>
      <c r="N99" s="499" t="str">
        <f>IF(M99="","",IF(VLOOKUP(M99,'G-3 Multipliers'!$S$3:$T$6,2,FALSE)=0,"Spatial Data Missing ⚠",VLOOKUP(M99,'G-3 Multipliers'!$S$3:$T$6,2,FALSE)))</f>
        <v/>
      </c>
      <c r="O99" s="498" t="str">
        <f>IF(OR(D99="",H99=""),"",(INDEX('G-6 Hedgerow Data'!$E$3:$I$15,MATCH(D99,'G-6 Hedgerow Data'!$B$3:$B$15,0),MATCH(H99,'G-6 Hedgerow Data'!$E$2:$I$2,0))))</f>
        <v/>
      </c>
      <c r="P99" s="195"/>
      <c r="Q99" s="195"/>
      <c r="R99" s="507" t="str">
        <f t="shared" si="7"/>
        <v/>
      </c>
      <c r="S99" s="521" t="str">
        <f t="shared" si="8"/>
        <v/>
      </c>
      <c r="T99" s="522" t="str">
        <f t="shared" si="6"/>
        <v/>
      </c>
      <c r="U99" s="537" t="str">
        <f>IF(D99="","",VLOOKUP(D99,'G-6 Hedgerow Data'!$B$3:$AG$15,31,FALSE))</f>
        <v/>
      </c>
      <c r="V99" s="520" t="str">
        <f t="shared" si="9"/>
        <v/>
      </c>
      <c r="W99" s="520" t="str">
        <f t="shared" si="10"/>
        <v/>
      </c>
      <c r="X99" s="524" t="str">
        <f>IF(F99="","",VLOOKUP(U99,'G-3 Multipliers'!$P$3:$Q$6,2,FALSE))</f>
        <v/>
      </c>
      <c r="Y99" s="529" t="str">
        <f t="shared" si="11"/>
        <v/>
      </c>
      <c r="Z99" s="149"/>
      <c r="AA99" s="150"/>
      <c r="AG99" s="31" t="str">
        <f>IFERROR(INDEX('G-6 Hedgerow Data'!$BJ$3:$BJ$15,MATCH(D99,'G-6 Hedgerow Data'!$B$3:$B$15,0)),"")</f>
        <v/>
      </c>
    </row>
    <row r="100" spans="2:33" ht="14" x14ac:dyDescent="0.3">
      <c r="B100" s="103">
        <v>89</v>
      </c>
      <c r="C100" s="268"/>
      <c r="D100" s="82"/>
      <c r="E100" s="203"/>
      <c r="F100" s="498" t="str">
        <f>IF(D100="","",VLOOKUP(D100,'G-6 Hedgerow Data'!$B$2:$AG$15,2,FALSE))</f>
        <v/>
      </c>
      <c r="G100" s="524" t="str">
        <f>IF(D100="","",VLOOKUP(D100,'G-6 Hedgerow Data'!$B$2:$AG$15,3,FALSE))</f>
        <v/>
      </c>
      <c r="H100" s="72"/>
      <c r="I100" s="499" t="str">
        <f>IFERROR(IF(AND(F100="V.Low",OR(H100="Good",H100="Moderate")),"Error ▲",VLOOKUP(H100,'G-1 All Habitats'!$Z$2:$AA$9,2,FALSE)),"")</f>
        <v/>
      </c>
      <c r="J100" s="146"/>
      <c r="K100" s="520" t="str">
        <f>IF(J100="","",IF(VLOOKUP(J100,'G-3 Multipliers'!$L$3:$N$6,2,FALSE)=0,"Spatial Data Missing",VLOOKUP(J100,'G-3 Multipliers'!$L$3:$N$6,2,FALSE)))</f>
        <v/>
      </c>
      <c r="L100" s="524" t="str">
        <f>IF(J100="","",IF(VLOOKUP(J100,'G-3 Multipliers'!$L$3:$N$6,3,FALSE)=0,"Spatial Data Missing",VLOOKUP(J100,'G-3 Multipliers'!$L$3:$N$6,3,FALSE)))</f>
        <v/>
      </c>
      <c r="M100" s="197"/>
      <c r="N100" s="499" t="str">
        <f>IF(M100="","",IF(VLOOKUP(M100,'G-3 Multipliers'!$S$3:$T$6,2,FALSE)=0,"Spatial Data Missing ⚠",VLOOKUP(M100,'G-3 Multipliers'!$S$3:$T$6,2,FALSE)))</f>
        <v/>
      </c>
      <c r="O100" s="498" t="str">
        <f>IF(OR(D100="",H100=""),"",(INDEX('G-6 Hedgerow Data'!$E$3:$I$15,MATCH(D100,'G-6 Hedgerow Data'!$B$3:$B$15,0),MATCH(H100,'G-6 Hedgerow Data'!$E$2:$I$2,0))))</f>
        <v/>
      </c>
      <c r="P100" s="195"/>
      <c r="Q100" s="195"/>
      <c r="R100" s="507" t="str">
        <f t="shared" si="7"/>
        <v/>
      </c>
      <c r="S100" s="521" t="str">
        <f t="shared" si="8"/>
        <v/>
      </c>
      <c r="T100" s="522" t="str">
        <f t="shared" si="6"/>
        <v/>
      </c>
      <c r="U100" s="537" t="str">
        <f>IF(D100="","",VLOOKUP(D100,'G-6 Hedgerow Data'!$B$3:$AG$15,31,FALSE))</f>
        <v/>
      </c>
      <c r="V100" s="520" t="str">
        <f t="shared" si="9"/>
        <v/>
      </c>
      <c r="W100" s="520" t="str">
        <f t="shared" si="10"/>
        <v/>
      </c>
      <c r="X100" s="524" t="str">
        <f>IF(F100="","",VLOOKUP(U100,'G-3 Multipliers'!$P$3:$Q$6,2,FALSE))</f>
        <v/>
      </c>
      <c r="Y100" s="529" t="str">
        <f t="shared" si="11"/>
        <v/>
      </c>
      <c r="Z100" s="149"/>
      <c r="AA100" s="150"/>
      <c r="AG100" s="31" t="str">
        <f>IFERROR(INDEX('G-6 Hedgerow Data'!$BJ$3:$BJ$15,MATCH(D100,'G-6 Hedgerow Data'!$B$3:$B$15,0)),"")</f>
        <v/>
      </c>
    </row>
    <row r="101" spans="2:33" ht="14" x14ac:dyDescent="0.3">
      <c r="B101" s="103">
        <v>90</v>
      </c>
      <c r="C101" s="268"/>
      <c r="D101" s="82"/>
      <c r="E101" s="203"/>
      <c r="F101" s="498" t="str">
        <f>IF(D101="","",VLOOKUP(D101,'G-6 Hedgerow Data'!$B$2:$AG$15,2,FALSE))</f>
        <v/>
      </c>
      <c r="G101" s="524" t="str">
        <f>IF(D101="","",VLOOKUP(D101,'G-6 Hedgerow Data'!$B$2:$AG$15,3,FALSE))</f>
        <v/>
      </c>
      <c r="H101" s="72"/>
      <c r="I101" s="499" t="str">
        <f>IFERROR(IF(AND(F101="V.Low",OR(H101="Good",H101="Moderate")),"Error ▲",VLOOKUP(H101,'G-1 All Habitats'!$Z$2:$AA$9,2,FALSE)),"")</f>
        <v/>
      </c>
      <c r="J101" s="146"/>
      <c r="K101" s="520" t="str">
        <f>IF(J101="","",IF(VLOOKUP(J101,'G-3 Multipliers'!$L$3:$N$6,2,FALSE)=0,"Spatial Data Missing",VLOOKUP(J101,'G-3 Multipliers'!$L$3:$N$6,2,FALSE)))</f>
        <v/>
      </c>
      <c r="L101" s="524" t="str">
        <f>IF(J101="","",IF(VLOOKUP(J101,'G-3 Multipliers'!$L$3:$N$6,3,FALSE)=0,"Spatial Data Missing",VLOOKUP(J101,'G-3 Multipliers'!$L$3:$N$6,3,FALSE)))</f>
        <v/>
      </c>
      <c r="M101" s="197"/>
      <c r="N101" s="499" t="str">
        <f>IF(M101="","",IF(VLOOKUP(M101,'G-3 Multipliers'!$S$3:$T$6,2,FALSE)=0,"Spatial Data Missing ⚠",VLOOKUP(M101,'G-3 Multipliers'!$S$3:$T$6,2,FALSE)))</f>
        <v/>
      </c>
      <c r="O101" s="498" t="str">
        <f>IF(OR(D101="",H101=""),"",(INDEX('G-6 Hedgerow Data'!$E$3:$I$15,MATCH(D101,'G-6 Hedgerow Data'!$B$3:$B$15,0),MATCH(H101,'G-6 Hedgerow Data'!$E$2:$I$2,0))))</f>
        <v/>
      </c>
      <c r="P101" s="195"/>
      <c r="Q101" s="195"/>
      <c r="R101" s="507" t="str">
        <f t="shared" si="7"/>
        <v/>
      </c>
      <c r="S101" s="521" t="str">
        <f t="shared" si="8"/>
        <v/>
      </c>
      <c r="T101" s="522" t="str">
        <f t="shared" si="6"/>
        <v/>
      </c>
      <c r="U101" s="537" t="str">
        <f>IF(D101="","",VLOOKUP(D101,'G-6 Hedgerow Data'!$B$3:$AG$15,31,FALSE))</f>
        <v/>
      </c>
      <c r="V101" s="520" t="str">
        <f t="shared" si="9"/>
        <v/>
      </c>
      <c r="W101" s="520" t="str">
        <f t="shared" si="10"/>
        <v/>
      </c>
      <c r="X101" s="524" t="str">
        <f>IF(F101="","",VLOOKUP(U101,'G-3 Multipliers'!$P$3:$Q$6,2,FALSE))</f>
        <v/>
      </c>
      <c r="Y101" s="529" t="str">
        <f t="shared" si="11"/>
        <v/>
      </c>
      <c r="Z101" s="149"/>
      <c r="AA101" s="150"/>
      <c r="AG101" s="31" t="str">
        <f>IFERROR(INDEX('G-6 Hedgerow Data'!$BJ$3:$BJ$15,MATCH(D101,'G-6 Hedgerow Data'!$B$3:$B$15,0)),"")</f>
        <v/>
      </c>
    </row>
    <row r="102" spans="2:33" ht="14" x14ac:dyDescent="0.3">
      <c r="B102" s="103">
        <v>91</v>
      </c>
      <c r="C102" s="268"/>
      <c r="D102" s="82"/>
      <c r="E102" s="203"/>
      <c r="F102" s="498" t="str">
        <f>IF(D102="","",VLOOKUP(D102,'G-6 Hedgerow Data'!$B$2:$AG$15,2,FALSE))</f>
        <v/>
      </c>
      <c r="G102" s="524" t="str">
        <f>IF(D102="","",VLOOKUP(D102,'G-6 Hedgerow Data'!$B$2:$AG$15,3,FALSE))</f>
        <v/>
      </c>
      <c r="H102" s="72"/>
      <c r="I102" s="499" t="str">
        <f>IFERROR(IF(AND(F102="V.Low",OR(H102="Good",H102="Moderate")),"Error ▲",VLOOKUP(H102,'G-1 All Habitats'!$Z$2:$AA$9,2,FALSE)),"")</f>
        <v/>
      </c>
      <c r="J102" s="146"/>
      <c r="K102" s="520" t="str">
        <f>IF(J102="","",IF(VLOOKUP(J102,'G-3 Multipliers'!$L$3:$N$6,2,FALSE)=0,"Spatial Data Missing",VLOOKUP(J102,'G-3 Multipliers'!$L$3:$N$6,2,FALSE)))</f>
        <v/>
      </c>
      <c r="L102" s="524" t="str">
        <f>IF(J102="","",IF(VLOOKUP(J102,'G-3 Multipliers'!$L$3:$N$6,3,FALSE)=0,"Spatial Data Missing",VLOOKUP(J102,'G-3 Multipliers'!$L$3:$N$6,3,FALSE)))</f>
        <v/>
      </c>
      <c r="M102" s="197"/>
      <c r="N102" s="499" t="str">
        <f>IF(M102="","",IF(VLOOKUP(M102,'G-3 Multipliers'!$S$3:$T$6,2,FALSE)=0,"Spatial Data Missing ⚠",VLOOKUP(M102,'G-3 Multipliers'!$S$3:$T$6,2,FALSE)))</f>
        <v/>
      </c>
      <c r="O102" s="498" t="str">
        <f>IF(OR(D102="",H102=""),"",(INDEX('G-6 Hedgerow Data'!$E$3:$I$15,MATCH(D102,'G-6 Hedgerow Data'!$B$3:$B$15,0),MATCH(H102,'G-6 Hedgerow Data'!$E$2:$I$2,0))))</f>
        <v/>
      </c>
      <c r="P102" s="195"/>
      <c r="Q102" s="195"/>
      <c r="R102" s="507" t="str">
        <f t="shared" si="7"/>
        <v/>
      </c>
      <c r="S102" s="521" t="str">
        <f t="shared" si="8"/>
        <v/>
      </c>
      <c r="T102" s="522" t="str">
        <f t="shared" si="6"/>
        <v/>
      </c>
      <c r="U102" s="537" t="str">
        <f>IF(D102="","",VLOOKUP(D102,'G-6 Hedgerow Data'!$B$3:$AG$15,31,FALSE))</f>
        <v/>
      </c>
      <c r="V102" s="520" t="str">
        <f t="shared" si="9"/>
        <v/>
      </c>
      <c r="W102" s="520" t="str">
        <f t="shared" si="10"/>
        <v/>
      </c>
      <c r="X102" s="524" t="str">
        <f>IF(F102="","",VLOOKUP(U102,'G-3 Multipliers'!$P$3:$Q$6,2,FALSE))</f>
        <v/>
      </c>
      <c r="Y102" s="529" t="str">
        <f t="shared" si="11"/>
        <v/>
      </c>
      <c r="Z102" s="149"/>
      <c r="AA102" s="150"/>
      <c r="AG102" s="31" t="str">
        <f>IFERROR(INDEX('G-6 Hedgerow Data'!$BJ$3:$BJ$15,MATCH(D102,'G-6 Hedgerow Data'!$B$3:$B$15,0)),"")</f>
        <v/>
      </c>
    </row>
    <row r="103" spans="2:33" ht="14" x14ac:dyDescent="0.3">
      <c r="B103" s="103">
        <v>92</v>
      </c>
      <c r="C103" s="268"/>
      <c r="D103" s="82"/>
      <c r="E103" s="203"/>
      <c r="F103" s="498" t="str">
        <f>IF(D103="","",VLOOKUP(D103,'G-6 Hedgerow Data'!$B$2:$AG$15,2,FALSE))</f>
        <v/>
      </c>
      <c r="G103" s="524" t="str">
        <f>IF(D103="","",VLOOKUP(D103,'G-6 Hedgerow Data'!$B$2:$AG$15,3,FALSE))</f>
        <v/>
      </c>
      <c r="H103" s="72"/>
      <c r="I103" s="499" t="str">
        <f>IFERROR(IF(AND(F103="V.Low",OR(H103="Good",H103="Moderate")),"Error ▲",VLOOKUP(H103,'G-1 All Habitats'!$Z$2:$AA$9,2,FALSE)),"")</f>
        <v/>
      </c>
      <c r="J103" s="146"/>
      <c r="K103" s="520" t="str">
        <f>IF(J103="","",IF(VLOOKUP(J103,'G-3 Multipliers'!$L$3:$N$6,2,FALSE)=0,"Spatial Data Missing",VLOOKUP(J103,'G-3 Multipliers'!$L$3:$N$6,2,FALSE)))</f>
        <v/>
      </c>
      <c r="L103" s="524" t="str">
        <f>IF(J103="","",IF(VLOOKUP(J103,'G-3 Multipliers'!$L$3:$N$6,3,FALSE)=0,"Spatial Data Missing",VLOOKUP(J103,'G-3 Multipliers'!$L$3:$N$6,3,FALSE)))</f>
        <v/>
      </c>
      <c r="M103" s="197"/>
      <c r="N103" s="499" t="str">
        <f>IF(M103="","",IF(VLOOKUP(M103,'G-3 Multipliers'!$S$3:$T$6,2,FALSE)=0,"Spatial Data Missing ⚠",VLOOKUP(M103,'G-3 Multipliers'!$S$3:$T$6,2,FALSE)))</f>
        <v/>
      </c>
      <c r="O103" s="498" t="str">
        <f>IF(OR(D103="",H103=""),"",(INDEX('G-6 Hedgerow Data'!$E$3:$I$15,MATCH(D103,'G-6 Hedgerow Data'!$B$3:$B$15,0),MATCH(H103,'G-6 Hedgerow Data'!$E$2:$I$2,0))))</f>
        <v/>
      </c>
      <c r="P103" s="195"/>
      <c r="Q103" s="195"/>
      <c r="R103" s="507" t="str">
        <f t="shared" si="7"/>
        <v/>
      </c>
      <c r="S103" s="521" t="str">
        <f t="shared" si="8"/>
        <v/>
      </c>
      <c r="T103" s="522" t="str">
        <f t="shared" si="6"/>
        <v/>
      </c>
      <c r="U103" s="537" t="str">
        <f>IF(D103="","",VLOOKUP(D103,'G-6 Hedgerow Data'!$B$3:$AG$15,31,FALSE))</f>
        <v/>
      </c>
      <c r="V103" s="520" t="str">
        <f t="shared" si="9"/>
        <v/>
      </c>
      <c r="W103" s="520" t="str">
        <f t="shared" si="10"/>
        <v/>
      </c>
      <c r="X103" s="524" t="str">
        <f>IF(F103="","",VLOOKUP(U103,'G-3 Multipliers'!$P$3:$Q$6,2,FALSE))</f>
        <v/>
      </c>
      <c r="Y103" s="529" t="str">
        <f t="shared" si="11"/>
        <v/>
      </c>
      <c r="Z103" s="149"/>
      <c r="AA103" s="150"/>
      <c r="AG103" s="31" t="str">
        <f>IFERROR(INDEX('G-6 Hedgerow Data'!$BJ$3:$BJ$15,MATCH(D103,'G-6 Hedgerow Data'!$B$3:$B$15,0)),"")</f>
        <v/>
      </c>
    </row>
    <row r="104" spans="2:33" ht="14" x14ac:dyDescent="0.3">
      <c r="B104" s="103">
        <v>93</v>
      </c>
      <c r="C104" s="268"/>
      <c r="D104" s="82"/>
      <c r="E104" s="203"/>
      <c r="F104" s="498" t="str">
        <f>IF(D104="","",VLOOKUP(D104,'G-6 Hedgerow Data'!$B$2:$AG$15,2,FALSE))</f>
        <v/>
      </c>
      <c r="G104" s="524" t="str">
        <f>IF(D104="","",VLOOKUP(D104,'G-6 Hedgerow Data'!$B$2:$AG$15,3,FALSE))</f>
        <v/>
      </c>
      <c r="H104" s="72"/>
      <c r="I104" s="499" t="str">
        <f>IFERROR(IF(AND(F104="V.Low",OR(H104="Good",H104="Moderate")),"Error ▲",VLOOKUP(H104,'G-1 All Habitats'!$Z$2:$AA$9,2,FALSE)),"")</f>
        <v/>
      </c>
      <c r="J104" s="146"/>
      <c r="K104" s="520" t="str">
        <f>IF(J104="","",IF(VLOOKUP(J104,'G-3 Multipliers'!$L$3:$N$6,2,FALSE)=0,"Spatial Data Missing",VLOOKUP(J104,'G-3 Multipliers'!$L$3:$N$6,2,FALSE)))</f>
        <v/>
      </c>
      <c r="L104" s="524" t="str">
        <f>IF(J104="","",IF(VLOOKUP(J104,'G-3 Multipliers'!$L$3:$N$6,3,FALSE)=0,"Spatial Data Missing",VLOOKUP(J104,'G-3 Multipliers'!$L$3:$N$6,3,FALSE)))</f>
        <v/>
      </c>
      <c r="M104" s="197"/>
      <c r="N104" s="499" t="str">
        <f>IF(M104="","",IF(VLOOKUP(M104,'G-3 Multipliers'!$S$3:$T$6,2,FALSE)=0,"Spatial Data Missing ⚠",VLOOKUP(M104,'G-3 Multipliers'!$S$3:$T$6,2,FALSE)))</f>
        <v/>
      </c>
      <c r="O104" s="498" t="str">
        <f>IF(OR(D104="",H104=""),"",(INDEX('G-6 Hedgerow Data'!$E$3:$I$15,MATCH(D104,'G-6 Hedgerow Data'!$B$3:$B$15,0),MATCH(H104,'G-6 Hedgerow Data'!$E$2:$I$2,0))))</f>
        <v/>
      </c>
      <c r="P104" s="195"/>
      <c r="Q104" s="195"/>
      <c r="R104" s="507" t="str">
        <f t="shared" si="7"/>
        <v/>
      </c>
      <c r="S104" s="521" t="str">
        <f t="shared" si="8"/>
        <v/>
      </c>
      <c r="T104" s="522" t="str">
        <f t="shared" si="6"/>
        <v/>
      </c>
      <c r="U104" s="537" t="str">
        <f>IF(D104="","",VLOOKUP(D104,'G-6 Hedgerow Data'!$B$3:$AG$15,31,FALSE))</f>
        <v/>
      </c>
      <c r="V104" s="520" t="str">
        <f t="shared" si="9"/>
        <v/>
      </c>
      <c r="W104" s="520" t="str">
        <f t="shared" si="10"/>
        <v/>
      </c>
      <c r="X104" s="524" t="str">
        <f>IF(F104="","",VLOOKUP(U104,'G-3 Multipliers'!$P$3:$Q$6,2,FALSE))</f>
        <v/>
      </c>
      <c r="Y104" s="529" t="str">
        <f t="shared" si="11"/>
        <v/>
      </c>
      <c r="Z104" s="149"/>
      <c r="AA104" s="150"/>
      <c r="AG104" s="31" t="str">
        <f>IFERROR(INDEX('G-6 Hedgerow Data'!$BJ$3:$BJ$15,MATCH(D104,'G-6 Hedgerow Data'!$B$3:$B$15,0)),"")</f>
        <v/>
      </c>
    </row>
    <row r="105" spans="2:33" ht="14" x14ac:dyDescent="0.3">
      <c r="B105" s="103">
        <v>94</v>
      </c>
      <c r="C105" s="268"/>
      <c r="D105" s="82"/>
      <c r="E105" s="203"/>
      <c r="F105" s="498" t="str">
        <f>IF(D105="","",VLOOKUP(D105,'G-6 Hedgerow Data'!$B$2:$AG$15,2,FALSE))</f>
        <v/>
      </c>
      <c r="G105" s="524" t="str">
        <f>IF(D105="","",VLOOKUP(D105,'G-6 Hedgerow Data'!$B$2:$AG$15,3,FALSE))</f>
        <v/>
      </c>
      <c r="H105" s="72"/>
      <c r="I105" s="499" t="str">
        <f>IFERROR(IF(AND(F105="V.Low",OR(H105="Good",H105="Moderate")),"Error ▲",VLOOKUP(H105,'G-1 All Habitats'!$Z$2:$AA$9,2,FALSE)),"")</f>
        <v/>
      </c>
      <c r="J105" s="146"/>
      <c r="K105" s="520" t="str">
        <f>IF(J105="","",IF(VLOOKUP(J105,'G-3 Multipliers'!$L$3:$N$6,2,FALSE)=0,"Spatial Data Missing",VLOOKUP(J105,'G-3 Multipliers'!$L$3:$N$6,2,FALSE)))</f>
        <v/>
      </c>
      <c r="L105" s="524" t="str">
        <f>IF(J105="","",IF(VLOOKUP(J105,'G-3 Multipliers'!$L$3:$N$6,3,FALSE)=0,"Spatial Data Missing",VLOOKUP(J105,'G-3 Multipliers'!$L$3:$N$6,3,FALSE)))</f>
        <v/>
      </c>
      <c r="M105" s="197"/>
      <c r="N105" s="499" t="str">
        <f>IF(M105="","",IF(VLOOKUP(M105,'G-3 Multipliers'!$S$3:$T$6,2,FALSE)=0,"Spatial Data Missing ⚠",VLOOKUP(M105,'G-3 Multipliers'!$S$3:$T$6,2,FALSE)))</f>
        <v/>
      </c>
      <c r="O105" s="498" t="str">
        <f>IF(OR(D105="",H105=""),"",(INDEX('G-6 Hedgerow Data'!$E$3:$I$15,MATCH(D105,'G-6 Hedgerow Data'!$B$3:$B$15,0),MATCH(H105,'G-6 Hedgerow Data'!$E$2:$I$2,0))))</f>
        <v/>
      </c>
      <c r="P105" s="195"/>
      <c r="Q105" s="195"/>
      <c r="R105" s="507" t="str">
        <f t="shared" si="7"/>
        <v/>
      </c>
      <c r="S105" s="521" t="str">
        <f t="shared" si="8"/>
        <v/>
      </c>
      <c r="T105" s="522" t="str">
        <f t="shared" si="6"/>
        <v/>
      </c>
      <c r="U105" s="537" t="str">
        <f>IF(D105="","",VLOOKUP(D105,'G-6 Hedgerow Data'!$B$3:$AG$15,31,FALSE))</f>
        <v/>
      </c>
      <c r="V105" s="520" t="str">
        <f t="shared" si="9"/>
        <v/>
      </c>
      <c r="W105" s="520" t="str">
        <f t="shared" si="10"/>
        <v/>
      </c>
      <c r="X105" s="524" t="str">
        <f>IF(F105="","",VLOOKUP(U105,'G-3 Multipliers'!$P$3:$Q$6,2,FALSE))</f>
        <v/>
      </c>
      <c r="Y105" s="529" t="str">
        <f t="shared" si="11"/>
        <v/>
      </c>
      <c r="Z105" s="149"/>
      <c r="AA105" s="150"/>
      <c r="AG105" s="31" t="str">
        <f>IFERROR(INDEX('G-6 Hedgerow Data'!$BJ$3:$BJ$15,MATCH(D105,'G-6 Hedgerow Data'!$B$3:$B$15,0)),"")</f>
        <v/>
      </c>
    </row>
    <row r="106" spans="2:33" ht="14" x14ac:dyDescent="0.3">
      <c r="B106" s="103">
        <v>95</v>
      </c>
      <c r="C106" s="268"/>
      <c r="D106" s="82"/>
      <c r="E106" s="203"/>
      <c r="F106" s="498" t="str">
        <f>IF(D106="","",VLOOKUP(D106,'G-6 Hedgerow Data'!$B$2:$AG$15,2,FALSE))</f>
        <v/>
      </c>
      <c r="G106" s="524" t="str">
        <f>IF(D106="","",VLOOKUP(D106,'G-6 Hedgerow Data'!$B$2:$AG$15,3,FALSE))</f>
        <v/>
      </c>
      <c r="H106" s="72"/>
      <c r="I106" s="499" t="str">
        <f>IFERROR(IF(AND(F106="V.Low",OR(H106="Good",H106="Moderate")),"Error ▲",VLOOKUP(H106,'G-1 All Habitats'!$Z$2:$AA$9,2,FALSE)),"")</f>
        <v/>
      </c>
      <c r="J106" s="146"/>
      <c r="K106" s="520" t="str">
        <f>IF(J106="","",IF(VLOOKUP(J106,'G-3 Multipliers'!$L$3:$N$6,2,FALSE)=0,"Spatial Data Missing",VLOOKUP(J106,'G-3 Multipliers'!$L$3:$N$6,2,FALSE)))</f>
        <v/>
      </c>
      <c r="L106" s="524" t="str">
        <f>IF(J106="","",IF(VLOOKUP(J106,'G-3 Multipliers'!$L$3:$N$6,3,FALSE)=0,"Spatial Data Missing",VLOOKUP(J106,'G-3 Multipliers'!$L$3:$N$6,3,FALSE)))</f>
        <v/>
      </c>
      <c r="M106" s="197"/>
      <c r="N106" s="499" t="str">
        <f>IF(M106="","",IF(VLOOKUP(M106,'G-3 Multipliers'!$S$3:$T$6,2,FALSE)=0,"Spatial Data Missing ⚠",VLOOKUP(M106,'G-3 Multipliers'!$S$3:$T$6,2,FALSE)))</f>
        <v/>
      </c>
      <c r="O106" s="498" t="str">
        <f>IF(OR(D106="",H106=""),"",(INDEX('G-6 Hedgerow Data'!$E$3:$I$15,MATCH(D106,'G-6 Hedgerow Data'!$B$3:$B$15,0),MATCH(H106,'G-6 Hedgerow Data'!$E$2:$I$2,0))))</f>
        <v/>
      </c>
      <c r="P106" s="195"/>
      <c r="Q106" s="195"/>
      <c r="R106" s="507" t="str">
        <f t="shared" si="7"/>
        <v/>
      </c>
      <c r="S106" s="521" t="str">
        <f t="shared" si="8"/>
        <v/>
      </c>
      <c r="T106" s="522" t="str">
        <f t="shared" si="6"/>
        <v/>
      </c>
      <c r="U106" s="537" t="str">
        <f>IF(D106="","",VLOOKUP(D106,'G-6 Hedgerow Data'!$B$3:$AG$15,31,FALSE))</f>
        <v/>
      </c>
      <c r="V106" s="520" t="str">
        <f t="shared" si="9"/>
        <v/>
      </c>
      <c r="W106" s="520" t="str">
        <f t="shared" si="10"/>
        <v/>
      </c>
      <c r="X106" s="524" t="str">
        <f>IF(F106="","",VLOOKUP(U106,'G-3 Multipliers'!$P$3:$Q$6,2,FALSE))</f>
        <v/>
      </c>
      <c r="Y106" s="529" t="str">
        <f t="shared" si="11"/>
        <v/>
      </c>
      <c r="Z106" s="149"/>
      <c r="AA106" s="150"/>
      <c r="AG106" s="31" t="str">
        <f>IFERROR(INDEX('G-6 Hedgerow Data'!$BJ$3:$BJ$15,MATCH(D106,'G-6 Hedgerow Data'!$B$3:$B$15,0)),"")</f>
        <v/>
      </c>
    </row>
    <row r="107" spans="2:33" ht="14" x14ac:dyDescent="0.3">
      <c r="B107" s="103">
        <v>96</v>
      </c>
      <c r="C107" s="268"/>
      <c r="D107" s="82"/>
      <c r="E107" s="203"/>
      <c r="F107" s="498" t="str">
        <f>IF(D107="","",VLOOKUP(D107,'G-6 Hedgerow Data'!$B$2:$AG$15,2,FALSE))</f>
        <v/>
      </c>
      <c r="G107" s="524" t="str">
        <f>IF(D107="","",VLOOKUP(D107,'G-6 Hedgerow Data'!$B$2:$AG$15,3,FALSE))</f>
        <v/>
      </c>
      <c r="H107" s="72"/>
      <c r="I107" s="499" t="str">
        <f>IFERROR(IF(AND(F107="V.Low",OR(H107="Good",H107="Moderate")),"Error ▲",VLOOKUP(H107,'G-1 All Habitats'!$Z$2:$AA$9,2,FALSE)),"")</f>
        <v/>
      </c>
      <c r="J107" s="146"/>
      <c r="K107" s="520" t="str">
        <f>IF(J107="","",IF(VLOOKUP(J107,'G-3 Multipliers'!$L$3:$N$6,2,FALSE)=0,"Spatial Data Missing",VLOOKUP(J107,'G-3 Multipliers'!$L$3:$N$6,2,FALSE)))</f>
        <v/>
      </c>
      <c r="L107" s="524" t="str">
        <f>IF(J107="","",IF(VLOOKUP(J107,'G-3 Multipliers'!$L$3:$N$6,3,FALSE)=0,"Spatial Data Missing",VLOOKUP(J107,'G-3 Multipliers'!$L$3:$N$6,3,FALSE)))</f>
        <v/>
      </c>
      <c r="M107" s="197"/>
      <c r="N107" s="499" t="str">
        <f>IF(M107="","",IF(VLOOKUP(M107,'G-3 Multipliers'!$S$3:$T$6,2,FALSE)=0,"Spatial Data Missing ⚠",VLOOKUP(M107,'G-3 Multipliers'!$S$3:$T$6,2,FALSE)))</f>
        <v/>
      </c>
      <c r="O107" s="498" t="str">
        <f>IF(OR(D107="",H107=""),"",(INDEX('G-6 Hedgerow Data'!$E$3:$I$15,MATCH(D107,'G-6 Hedgerow Data'!$B$3:$B$15,0),MATCH(H107,'G-6 Hedgerow Data'!$E$2:$I$2,0))))</f>
        <v/>
      </c>
      <c r="P107" s="195"/>
      <c r="Q107" s="195"/>
      <c r="R107" s="507" t="str">
        <f t="shared" si="7"/>
        <v/>
      </c>
      <c r="S107" s="521" t="str">
        <f t="shared" si="8"/>
        <v/>
      </c>
      <c r="T107" s="522" t="str">
        <f t="shared" si="6"/>
        <v/>
      </c>
      <c r="U107" s="537" t="str">
        <f>IF(D107="","",VLOOKUP(D107,'G-6 Hedgerow Data'!$B$3:$AG$15,31,FALSE))</f>
        <v/>
      </c>
      <c r="V107" s="520" t="str">
        <f t="shared" si="9"/>
        <v/>
      </c>
      <c r="W107" s="520" t="str">
        <f t="shared" si="10"/>
        <v/>
      </c>
      <c r="X107" s="524" t="str">
        <f>IF(F107="","",VLOOKUP(U107,'G-3 Multipliers'!$P$3:$Q$6,2,FALSE))</f>
        <v/>
      </c>
      <c r="Y107" s="529" t="str">
        <f t="shared" si="11"/>
        <v/>
      </c>
      <c r="Z107" s="149"/>
      <c r="AA107" s="150"/>
      <c r="AG107" s="31" t="str">
        <f>IFERROR(INDEX('G-6 Hedgerow Data'!$BJ$3:$BJ$15,MATCH(D107,'G-6 Hedgerow Data'!$B$3:$B$15,0)),"")</f>
        <v/>
      </c>
    </row>
    <row r="108" spans="2:33" ht="14" x14ac:dyDescent="0.3">
      <c r="B108" s="103">
        <v>97</v>
      </c>
      <c r="C108" s="268"/>
      <c r="D108" s="82"/>
      <c r="E108" s="203"/>
      <c r="F108" s="498" t="str">
        <f>IF(D108="","",VLOOKUP(D108,'G-6 Hedgerow Data'!$B$2:$AG$15,2,FALSE))</f>
        <v/>
      </c>
      <c r="G108" s="524" t="str">
        <f>IF(D108="","",VLOOKUP(D108,'G-6 Hedgerow Data'!$B$2:$AG$15,3,FALSE))</f>
        <v/>
      </c>
      <c r="H108" s="72"/>
      <c r="I108" s="499" t="str">
        <f>IFERROR(IF(AND(F108="V.Low",OR(H108="Good",H108="Moderate")),"Error ▲",VLOOKUP(H108,'G-1 All Habitats'!$Z$2:$AA$9,2,FALSE)),"")</f>
        <v/>
      </c>
      <c r="J108" s="146"/>
      <c r="K108" s="520" t="str">
        <f>IF(J108="","",IF(VLOOKUP(J108,'G-3 Multipliers'!$L$3:$N$6,2,FALSE)=0,"Spatial Data Missing",VLOOKUP(J108,'G-3 Multipliers'!$L$3:$N$6,2,FALSE)))</f>
        <v/>
      </c>
      <c r="L108" s="524" t="str">
        <f>IF(J108="","",IF(VLOOKUP(J108,'G-3 Multipliers'!$L$3:$N$6,3,FALSE)=0,"Spatial Data Missing",VLOOKUP(J108,'G-3 Multipliers'!$L$3:$N$6,3,FALSE)))</f>
        <v/>
      </c>
      <c r="M108" s="197"/>
      <c r="N108" s="499" t="str">
        <f>IF(M108="","",IF(VLOOKUP(M108,'G-3 Multipliers'!$S$3:$T$6,2,FALSE)=0,"Spatial Data Missing ⚠",VLOOKUP(M108,'G-3 Multipliers'!$S$3:$T$6,2,FALSE)))</f>
        <v/>
      </c>
      <c r="O108" s="498" t="str">
        <f>IF(OR(D108="",H108=""),"",(INDEX('G-6 Hedgerow Data'!$E$3:$I$15,MATCH(D108,'G-6 Hedgerow Data'!$B$3:$B$15,0),MATCH(H108,'G-6 Hedgerow Data'!$E$2:$I$2,0))))</f>
        <v/>
      </c>
      <c r="P108" s="195"/>
      <c r="Q108" s="195"/>
      <c r="R108" s="507" t="str">
        <f t="shared" si="7"/>
        <v/>
      </c>
      <c r="S108" s="521" t="str">
        <f t="shared" si="8"/>
        <v/>
      </c>
      <c r="T108" s="522" t="str">
        <f t="shared" si="6"/>
        <v/>
      </c>
      <c r="U108" s="537" t="str">
        <f>IF(D108="","",VLOOKUP(D108,'G-6 Hedgerow Data'!$B$3:$AG$15,31,FALSE))</f>
        <v/>
      </c>
      <c r="V108" s="520" t="str">
        <f t="shared" si="9"/>
        <v/>
      </c>
      <c r="W108" s="520" t="str">
        <f t="shared" si="10"/>
        <v/>
      </c>
      <c r="X108" s="524" t="str">
        <f>IF(F108="","",VLOOKUP(U108,'G-3 Multipliers'!$P$3:$Q$6,2,FALSE))</f>
        <v/>
      </c>
      <c r="Y108" s="529" t="str">
        <f t="shared" si="11"/>
        <v/>
      </c>
      <c r="Z108" s="149"/>
      <c r="AA108" s="150"/>
      <c r="AG108" s="31" t="str">
        <f>IFERROR(INDEX('G-6 Hedgerow Data'!$BJ$3:$BJ$15,MATCH(D108,'G-6 Hedgerow Data'!$B$3:$B$15,0)),"")</f>
        <v/>
      </c>
    </row>
    <row r="109" spans="2:33" ht="14" x14ac:dyDescent="0.3">
      <c r="B109" s="103">
        <v>98</v>
      </c>
      <c r="C109" s="268"/>
      <c r="D109" s="82"/>
      <c r="E109" s="203"/>
      <c r="F109" s="498" t="str">
        <f>IF(D109="","",VLOOKUP(D109,'G-6 Hedgerow Data'!$B$2:$AG$15,2,FALSE))</f>
        <v/>
      </c>
      <c r="G109" s="524" t="str">
        <f>IF(D109="","",VLOOKUP(D109,'G-6 Hedgerow Data'!$B$2:$AG$15,3,FALSE))</f>
        <v/>
      </c>
      <c r="H109" s="72"/>
      <c r="I109" s="499" t="str">
        <f>IFERROR(IF(AND(F109="V.Low",OR(H109="Good",H109="Moderate")),"Error ▲",VLOOKUP(H109,'G-1 All Habitats'!$Z$2:$AA$9,2,FALSE)),"")</f>
        <v/>
      </c>
      <c r="J109" s="146"/>
      <c r="K109" s="520" t="str">
        <f>IF(J109="","",IF(VLOOKUP(J109,'G-3 Multipliers'!$L$3:$N$6,2,FALSE)=0,"Spatial Data Missing",VLOOKUP(J109,'G-3 Multipliers'!$L$3:$N$6,2,FALSE)))</f>
        <v/>
      </c>
      <c r="L109" s="524" t="str">
        <f>IF(J109="","",IF(VLOOKUP(J109,'G-3 Multipliers'!$L$3:$N$6,3,FALSE)=0,"Spatial Data Missing",VLOOKUP(J109,'G-3 Multipliers'!$L$3:$N$6,3,FALSE)))</f>
        <v/>
      </c>
      <c r="M109" s="197"/>
      <c r="N109" s="499" t="str">
        <f>IF(M109="","",IF(VLOOKUP(M109,'G-3 Multipliers'!$S$3:$T$6,2,FALSE)=0,"Spatial Data Missing ⚠",VLOOKUP(M109,'G-3 Multipliers'!$S$3:$T$6,2,FALSE)))</f>
        <v/>
      </c>
      <c r="O109" s="498" t="str">
        <f>IF(OR(D109="",H109=""),"",(INDEX('G-6 Hedgerow Data'!$E$3:$I$15,MATCH(D109,'G-6 Hedgerow Data'!$B$3:$B$15,0),MATCH(H109,'G-6 Hedgerow Data'!$E$2:$I$2,0))))</f>
        <v/>
      </c>
      <c r="P109" s="195"/>
      <c r="Q109" s="195"/>
      <c r="R109" s="507" t="str">
        <f t="shared" si="7"/>
        <v/>
      </c>
      <c r="S109" s="521" t="str">
        <f t="shared" si="8"/>
        <v/>
      </c>
      <c r="T109" s="522" t="str">
        <f t="shared" si="6"/>
        <v/>
      </c>
      <c r="U109" s="537" t="str">
        <f>IF(D109="","",VLOOKUP(D109,'G-6 Hedgerow Data'!$B$3:$AG$15,31,FALSE))</f>
        <v/>
      </c>
      <c r="V109" s="520" t="str">
        <f t="shared" si="9"/>
        <v/>
      </c>
      <c r="W109" s="520" t="str">
        <f t="shared" si="10"/>
        <v/>
      </c>
      <c r="X109" s="524" t="str">
        <f>IF(F109="","",VLOOKUP(U109,'G-3 Multipliers'!$P$3:$Q$6,2,FALSE))</f>
        <v/>
      </c>
      <c r="Y109" s="529" t="str">
        <f t="shared" si="11"/>
        <v/>
      </c>
      <c r="Z109" s="149"/>
      <c r="AA109" s="150"/>
      <c r="AG109" s="31" t="str">
        <f>IFERROR(INDEX('G-6 Hedgerow Data'!$BJ$3:$BJ$15,MATCH(D109,'G-6 Hedgerow Data'!$B$3:$B$15,0)),"")</f>
        <v/>
      </c>
    </row>
    <row r="110" spans="2:33" ht="14" x14ac:dyDescent="0.3">
      <c r="B110" s="103">
        <v>99</v>
      </c>
      <c r="C110" s="268"/>
      <c r="D110" s="82"/>
      <c r="E110" s="203"/>
      <c r="F110" s="498" t="str">
        <f>IF(D110="","",VLOOKUP(D110,'G-6 Hedgerow Data'!$B$2:$AG$15,2,FALSE))</f>
        <v/>
      </c>
      <c r="G110" s="524" t="str">
        <f>IF(D110="","",VLOOKUP(D110,'G-6 Hedgerow Data'!$B$2:$AG$15,3,FALSE))</f>
        <v/>
      </c>
      <c r="H110" s="72"/>
      <c r="I110" s="499" t="str">
        <f>IFERROR(IF(AND(F110="V.Low",OR(H110="Good",H110="Moderate")),"Error ▲",VLOOKUP(H110,'G-1 All Habitats'!$Z$2:$AA$9,2,FALSE)),"")</f>
        <v/>
      </c>
      <c r="J110" s="146"/>
      <c r="K110" s="520" t="str">
        <f>IF(J110="","",IF(VLOOKUP(J110,'G-3 Multipliers'!$L$3:$N$6,2,FALSE)=0,"Spatial Data Missing",VLOOKUP(J110,'G-3 Multipliers'!$L$3:$N$6,2,FALSE)))</f>
        <v/>
      </c>
      <c r="L110" s="524" t="str">
        <f>IF(J110="","",IF(VLOOKUP(J110,'G-3 Multipliers'!$L$3:$N$6,3,FALSE)=0,"Spatial Data Missing",VLOOKUP(J110,'G-3 Multipliers'!$L$3:$N$6,3,FALSE)))</f>
        <v/>
      </c>
      <c r="M110" s="197"/>
      <c r="N110" s="499" t="str">
        <f>IF(M110="","",IF(VLOOKUP(M110,'G-3 Multipliers'!$S$3:$T$6,2,FALSE)=0,"Spatial Data Missing ⚠",VLOOKUP(M110,'G-3 Multipliers'!$S$3:$T$6,2,FALSE)))</f>
        <v/>
      </c>
      <c r="O110" s="498" t="str">
        <f>IF(OR(D110="",H110=""),"",(INDEX('G-6 Hedgerow Data'!$E$3:$I$15,MATCH(D110,'G-6 Hedgerow Data'!$B$3:$B$15,0),MATCH(H110,'G-6 Hedgerow Data'!$E$2:$I$2,0))))</f>
        <v/>
      </c>
      <c r="P110" s="195"/>
      <c r="Q110" s="195"/>
      <c r="R110" s="507" t="str">
        <f t="shared" si="7"/>
        <v/>
      </c>
      <c r="S110" s="521" t="str">
        <f t="shared" si="8"/>
        <v/>
      </c>
      <c r="T110" s="522" t="str">
        <f t="shared" si="6"/>
        <v/>
      </c>
      <c r="U110" s="537" t="str">
        <f>IF(D110="","",VLOOKUP(D110,'G-6 Hedgerow Data'!$B$3:$AG$15,31,FALSE))</f>
        <v/>
      </c>
      <c r="V110" s="520" t="str">
        <f t="shared" si="9"/>
        <v/>
      </c>
      <c r="W110" s="520" t="str">
        <f t="shared" si="10"/>
        <v/>
      </c>
      <c r="X110" s="524" t="str">
        <f>IF(F110="","",VLOOKUP(U110,'G-3 Multipliers'!$P$3:$Q$6,2,FALSE))</f>
        <v/>
      </c>
      <c r="Y110" s="529" t="str">
        <f t="shared" si="11"/>
        <v/>
      </c>
      <c r="Z110" s="149"/>
      <c r="AA110" s="150"/>
      <c r="AG110" s="31" t="str">
        <f>IFERROR(INDEX('G-6 Hedgerow Data'!$BJ$3:$BJ$15,MATCH(D110,'G-6 Hedgerow Data'!$B$3:$B$15,0)),"")</f>
        <v/>
      </c>
    </row>
    <row r="111" spans="2:33" ht="14" x14ac:dyDescent="0.3">
      <c r="B111" s="103">
        <v>100</v>
      </c>
      <c r="C111" s="268"/>
      <c r="D111" s="82"/>
      <c r="E111" s="203"/>
      <c r="F111" s="498" t="str">
        <f>IF(D111="","",VLOOKUP(D111,'G-6 Hedgerow Data'!$B$2:$AG$15,2,FALSE))</f>
        <v/>
      </c>
      <c r="G111" s="524" t="str">
        <f>IF(D111="","",VLOOKUP(D111,'G-6 Hedgerow Data'!$B$2:$AG$15,3,FALSE))</f>
        <v/>
      </c>
      <c r="H111" s="72"/>
      <c r="I111" s="499" t="str">
        <f>IFERROR(IF(AND(F111="V.Low",OR(H111="Good",H111="Moderate")),"Error ▲",VLOOKUP(H111,'G-1 All Habitats'!$Z$2:$AA$9,2,FALSE)),"")</f>
        <v/>
      </c>
      <c r="J111" s="146"/>
      <c r="K111" s="520" t="str">
        <f>IF(J111="","",IF(VLOOKUP(J111,'G-3 Multipliers'!$L$3:$N$6,2,FALSE)=0,"Spatial Data Missing",VLOOKUP(J111,'G-3 Multipliers'!$L$3:$N$6,2,FALSE)))</f>
        <v/>
      </c>
      <c r="L111" s="524" t="str">
        <f>IF(J111="","",IF(VLOOKUP(J111,'G-3 Multipliers'!$L$3:$N$6,3,FALSE)=0,"Spatial Data Missing",VLOOKUP(J111,'G-3 Multipliers'!$L$3:$N$6,3,FALSE)))</f>
        <v/>
      </c>
      <c r="M111" s="197"/>
      <c r="N111" s="499" t="str">
        <f>IF(M111="","",IF(VLOOKUP(M111,'G-3 Multipliers'!$S$3:$T$6,2,FALSE)=0,"Spatial Data Missing ⚠",VLOOKUP(M111,'G-3 Multipliers'!$S$3:$T$6,2,FALSE)))</f>
        <v/>
      </c>
      <c r="O111" s="498" t="str">
        <f>IF(OR(D111="",H111=""),"",(INDEX('G-6 Hedgerow Data'!$E$3:$I$15,MATCH(D111,'G-6 Hedgerow Data'!$B$3:$B$15,0),MATCH(H111,'G-6 Hedgerow Data'!$E$2:$I$2,0))))</f>
        <v/>
      </c>
      <c r="P111" s="195"/>
      <c r="Q111" s="195"/>
      <c r="R111" s="507" t="str">
        <f t="shared" si="7"/>
        <v/>
      </c>
      <c r="S111" s="521" t="str">
        <f t="shared" si="8"/>
        <v/>
      </c>
      <c r="T111" s="522" t="str">
        <f t="shared" si="6"/>
        <v/>
      </c>
      <c r="U111" s="537" t="str">
        <f>IF(D111="","",VLOOKUP(D111,'G-6 Hedgerow Data'!$B$3:$AG$15,31,FALSE))</f>
        <v/>
      </c>
      <c r="V111" s="520" t="str">
        <f t="shared" si="9"/>
        <v/>
      </c>
      <c r="W111" s="520" t="str">
        <f t="shared" si="10"/>
        <v/>
      </c>
      <c r="X111" s="524" t="str">
        <f>IF(F111="","",VLOOKUP(U111,'G-3 Multipliers'!$P$3:$Q$6,2,FALSE))</f>
        <v/>
      </c>
      <c r="Y111" s="529" t="str">
        <f t="shared" si="11"/>
        <v/>
      </c>
      <c r="Z111" s="149"/>
      <c r="AA111" s="150"/>
      <c r="AG111" s="31" t="str">
        <f>IFERROR(INDEX('G-6 Hedgerow Data'!$BJ$3:$BJ$15,MATCH(D111,'G-6 Hedgerow Data'!$B$3:$B$15,0)),"")</f>
        <v/>
      </c>
    </row>
    <row r="112" spans="2:33" ht="14" x14ac:dyDescent="0.3">
      <c r="B112" s="103">
        <v>101</v>
      </c>
      <c r="C112" s="268"/>
      <c r="D112" s="82"/>
      <c r="E112" s="203"/>
      <c r="F112" s="498" t="str">
        <f>IF(D112="","",VLOOKUP(D112,'G-6 Hedgerow Data'!$B$2:$AG$15,2,FALSE))</f>
        <v/>
      </c>
      <c r="G112" s="524" t="str">
        <f>IF(D112="","",VLOOKUP(D112,'G-6 Hedgerow Data'!$B$2:$AG$15,3,FALSE))</f>
        <v/>
      </c>
      <c r="H112" s="72"/>
      <c r="I112" s="499" t="str">
        <f>IFERROR(IF(AND(F112="V.Low",OR(H112="Good",H112="Moderate")),"Error ▲",VLOOKUP(H112,'G-1 All Habitats'!$Z$2:$AA$9,2,FALSE)),"")</f>
        <v/>
      </c>
      <c r="J112" s="146"/>
      <c r="K112" s="520" t="str">
        <f>IF(J112="","",IF(VLOOKUP(J112,'G-3 Multipliers'!$L$3:$N$6,2,FALSE)=0,"Spatial Data Missing",VLOOKUP(J112,'G-3 Multipliers'!$L$3:$N$6,2,FALSE)))</f>
        <v/>
      </c>
      <c r="L112" s="524" t="str">
        <f>IF(J112="","",IF(VLOOKUP(J112,'G-3 Multipliers'!$L$3:$N$6,3,FALSE)=0,"Spatial Data Missing",VLOOKUP(J112,'G-3 Multipliers'!$L$3:$N$6,3,FALSE)))</f>
        <v/>
      </c>
      <c r="M112" s="197"/>
      <c r="N112" s="499" t="str">
        <f>IF(M112="","",IF(VLOOKUP(M112,'G-3 Multipliers'!$S$3:$T$6,2,FALSE)=0,"Spatial Data Missing ⚠",VLOOKUP(M112,'G-3 Multipliers'!$S$3:$T$6,2,FALSE)))</f>
        <v/>
      </c>
      <c r="O112" s="498" t="str">
        <f>IF(OR(D112="",H112=""),"",(INDEX('G-6 Hedgerow Data'!$E$3:$I$15,MATCH(D112,'G-6 Hedgerow Data'!$B$3:$B$15,0),MATCH(H112,'G-6 Hedgerow Data'!$E$2:$I$2,0))))</f>
        <v/>
      </c>
      <c r="P112" s="195"/>
      <c r="Q112" s="195"/>
      <c r="R112" s="507" t="str">
        <f t="shared" si="7"/>
        <v/>
      </c>
      <c r="S112" s="521" t="str">
        <f t="shared" si="8"/>
        <v/>
      </c>
      <c r="T112" s="522" t="str">
        <f t="shared" si="6"/>
        <v/>
      </c>
      <c r="U112" s="537" t="str">
        <f>IF(D112="","",VLOOKUP(D112,'G-6 Hedgerow Data'!$B$3:$AG$15,31,FALSE))</f>
        <v/>
      </c>
      <c r="V112" s="520" t="str">
        <f t="shared" si="9"/>
        <v/>
      </c>
      <c r="W112" s="520" t="str">
        <f t="shared" si="10"/>
        <v/>
      </c>
      <c r="X112" s="524" t="str">
        <f>IF(F112="","",VLOOKUP(U112,'G-3 Multipliers'!$P$3:$Q$6,2,FALSE))</f>
        <v/>
      </c>
      <c r="Y112" s="529" t="str">
        <f t="shared" si="11"/>
        <v/>
      </c>
      <c r="Z112" s="149"/>
      <c r="AA112" s="150"/>
      <c r="AG112" s="31" t="str">
        <f>IFERROR(INDEX('G-6 Hedgerow Data'!$BJ$3:$BJ$15,MATCH(D112,'G-6 Hedgerow Data'!$B$3:$B$15,0)),"")</f>
        <v/>
      </c>
    </row>
    <row r="113" spans="2:33" ht="14" x14ac:dyDescent="0.3">
      <c r="B113" s="103">
        <v>102</v>
      </c>
      <c r="C113" s="268"/>
      <c r="D113" s="82"/>
      <c r="E113" s="203"/>
      <c r="F113" s="498" t="str">
        <f>IF(D113="","",VLOOKUP(D113,'G-6 Hedgerow Data'!$B$2:$AG$15,2,FALSE))</f>
        <v/>
      </c>
      <c r="G113" s="524" t="str">
        <f>IF(D113="","",VLOOKUP(D113,'G-6 Hedgerow Data'!$B$2:$AG$15,3,FALSE))</f>
        <v/>
      </c>
      <c r="H113" s="72"/>
      <c r="I113" s="499" t="str">
        <f>IFERROR(IF(AND(F113="V.Low",OR(H113="Good",H113="Moderate")),"Error ▲",VLOOKUP(H113,'G-1 All Habitats'!$Z$2:$AA$9,2,FALSE)),"")</f>
        <v/>
      </c>
      <c r="J113" s="146"/>
      <c r="K113" s="520" t="str">
        <f>IF(J113="","",IF(VLOOKUP(J113,'G-3 Multipliers'!$L$3:$N$6,2,FALSE)=0,"Spatial Data Missing",VLOOKUP(J113,'G-3 Multipliers'!$L$3:$N$6,2,FALSE)))</f>
        <v/>
      </c>
      <c r="L113" s="524" t="str">
        <f>IF(J113="","",IF(VLOOKUP(J113,'G-3 Multipliers'!$L$3:$N$6,3,FALSE)=0,"Spatial Data Missing",VLOOKUP(J113,'G-3 Multipliers'!$L$3:$N$6,3,FALSE)))</f>
        <v/>
      </c>
      <c r="M113" s="197"/>
      <c r="N113" s="499" t="str">
        <f>IF(M113="","",IF(VLOOKUP(M113,'G-3 Multipliers'!$S$3:$T$6,2,FALSE)=0,"Spatial Data Missing ⚠",VLOOKUP(M113,'G-3 Multipliers'!$S$3:$T$6,2,FALSE)))</f>
        <v/>
      </c>
      <c r="O113" s="498" t="str">
        <f>IF(OR(D113="",H113=""),"",(INDEX('G-6 Hedgerow Data'!$E$3:$I$15,MATCH(D113,'G-6 Hedgerow Data'!$B$3:$B$15,0),MATCH(H113,'G-6 Hedgerow Data'!$E$2:$I$2,0))))</f>
        <v/>
      </c>
      <c r="P113" s="195"/>
      <c r="Q113" s="195"/>
      <c r="R113" s="507" t="str">
        <f t="shared" si="7"/>
        <v/>
      </c>
      <c r="S113" s="521" t="str">
        <f t="shared" si="8"/>
        <v/>
      </c>
      <c r="T113" s="522" t="str">
        <f t="shared" si="6"/>
        <v/>
      </c>
      <c r="U113" s="537" t="str">
        <f>IF(D113="","",VLOOKUP(D113,'G-6 Hedgerow Data'!$B$3:$AG$15,31,FALSE))</f>
        <v/>
      </c>
      <c r="V113" s="520" t="str">
        <f t="shared" si="9"/>
        <v/>
      </c>
      <c r="W113" s="520" t="str">
        <f t="shared" si="10"/>
        <v/>
      </c>
      <c r="X113" s="524" t="str">
        <f>IF(F113="","",VLOOKUP(U113,'G-3 Multipliers'!$P$3:$Q$6,2,FALSE))</f>
        <v/>
      </c>
      <c r="Y113" s="529" t="str">
        <f t="shared" si="11"/>
        <v/>
      </c>
      <c r="Z113" s="149"/>
      <c r="AA113" s="150"/>
      <c r="AG113" s="31" t="str">
        <f>IFERROR(INDEX('G-6 Hedgerow Data'!$BJ$3:$BJ$15,MATCH(D113,'G-6 Hedgerow Data'!$B$3:$B$15,0)),"")</f>
        <v/>
      </c>
    </row>
    <row r="114" spans="2:33" ht="14" x14ac:dyDescent="0.3">
      <c r="B114" s="103">
        <v>103</v>
      </c>
      <c r="C114" s="268"/>
      <c r="D114" s="82"/>
      <c r="E114" s="203"/>
      <c r="F114" s="498" t="str">
        <f>IF(D114="","",VLOOKUP(D114,'G-6 Hedgerow Data'!$B$2:$AG$15,2,FALSE))</f>
        <v/>
      </c>
      <c r="G114" s="524" t="str">
        <f>IF(D114="","",VLOOKUP(D114,'G-6 Hedgerow Data'!$B$2:$AG$15,3,FALSE))</f>
        <v/>
      </c>
      <c r="H114" s="72"/>
      <c r="I114" s="499" t="str">
        <f>IFERROR(IF(AND(F114="V.Low",OR(H114="Good",H114="Moderate")),"Error ▲",VLOOKUP(H114,'G-1 All Habitats'!$Z$2:$AA$9,2,FALSE)),"")</f>
        <v/>
      </c>
      <c r="J114" s="146"/>
      <c r="K114" s="520" t="str">
        <f>IF(J114="","",IF(VLOOKUP(J114,'G-3 Multipliers'!$L$3:$N$6,2,FALSE)=0,"Spatial Data Missing",VLOOKUP(J114,'G-3 Multipliers'!$L$3:$N$6,2,FALSE)))</f>
        <v/>
      </c>
      <c r="L114" s="524" t="str">
        <f>IF(J114="","",IF(VLOOKUP(J114,'G-3 Multipliers'!$L$3:$N$6,3,FALSE)=0,"Spatial Data Missing",VLOOKUP(J114,'G-3 Multipliers'!$L$3:$N$6,3,FALSE)))</f>
        <v/>
      </c>
      <c r="M114" s="197"/>
      <c r="N114" s="499" t="str">
        <f>IF(M114="","",IF(VLOOKUP(M114,'G-3 Multipliers'!$S$3:$T$6,2,FALSE)=0,"Spatial Data Missing ⚠",VLOOKUP(M114,'G-3 Multipliers'!$S$3:$T$6,2,FALSE)))</f>
        <v/>
      </c>
      <c r="O114" s="498" t="str">
        <f>IF(OR(D114="",H114=""),"",(INDEX('G-6 Hedgerow Data'!$E$3:$I$15,MATCH(D114,'G-6 Hedgerow Data'!$B$3:$B$15,0),MATCH(H114,'G-6 Hedgerow Data'!$E$2:$I$2,0))))</f>
        <v/>
      </c>
      <c r="P114" s="195"/>
      <c r="Q114" s="195"/>
      <c r="R114" s="507" t="str">
        <f t="shared" si="7"/>
        <v/>
      </c>
      <c r="S114" s="521" t="str">
        <f t="shared" si="8"/>
        <v/>
      </c>
      <c r="T114" s="522" t="str">
        <f t="shared" si="6"/>
        <v/>
      </c>
      <c r="U114" s="537" t="str">
        <f>IF(D114="","",VLOOKUP(D114,'G-6 Hedgerow Data'!$B$3:$AG$15,31,FALSE))</f>
        <v/>
      </c>
      <c r="V114" s="520" t="str">
        <f t="shared" si="9"/>
        <v/>
      </c>
      <c r="W114" s="520" t="str">
        <f t="shared" si="10"/>
        <v/>
      </c>
      <c r="X114" s="524" t="str">
        <f>IF(F114="","",VLOOKUP(U114,'G-3 Multipliers'!$P$3:$Q$6,2,FALSE))</f>
        <v/>
      </c>
      <c r="Y114" s="529" t="str">
        <f t="shared" si="11"/>
        <v/>
      </c>
      <c r="Z114" s="149"/>
      <c r="AA114" s="150"/>
      <c r="AG114" s="31" t="str">
        <f>IFERROR(INDEX('G-6 Hedgerow Data'!$BJ$3:$BJ$15,MATCH(D114,'G-6 Hedgerow Data'!$B$3:$B$15,0)),"")</f>
        <v/>
      </c>
    </row>
    <row r="115" spans="2:33" ht="14" x14ac:dyDescent="0.3">
      <c r="B115" s="103">
        <v>104</v>
      </c>
      <c r="C115" s="268"/>
      <c r="D115" s="82"/>
      <c r="E115" s="203"/>
      <c r="F115" s="498" t="str">
        <f>IF(D115="","",VLOOKUP(D115,'G-6 Hedgerow Data'!$B$2:$AG$15,2,FALSE))</f>
        <v/>
      </c>
      <c r="G115" s="524" t="str">
        <f>IF(D115="","",VLOOKUP(D115,'G-6 Hedgerow Data'!$B$2:$AG$15,3,FALSE))</f>
        <v/>
      </c>
      <c r="H115" s="72"/>
      <c r="I115" s="499" t="str">
        <f>IFERROR(IF(AND(F115="V.Low",OR(H115="Good",H115="Moderate")),"Error ▲",VLOOKUP(H115,'G-1 All Habitats'!$Z$2:$AA$9,2,FALSE)),"")</f>
        <v/>
      </c>
      <c r="J115" s="146"/>
      <c r="K115" s="520" t="str">
        <f>IF(J115="","",IF(VLOOKUP(J115,'G-3 Multipliers'!$L$3:$N$6,2,FALSE)=0,"Spatial Data Missing",VLOOKUP(J115,'G-3 Multipliers'!$L$3:$N$6,2,FALSE)))</f>
        <v/>
      </c>
      <c r="L115" s="524" t="str">
        <f>IF(J115="","",IF(VLOOKUP(J115,'G-3 Multipliers'!$L$3:$N$6,3,FALSE)=0,"Spatial Data Missing",VLOOKUP(J115,'G-3 Multipliers'!$L$3:$N$6,3,FALSE)))</f>
        <v/>
      </c>
      <c r="M115" s="197"/>
      <c r="N115" s="499" t="str">
        <f>IF(M115="","",IF(VLOOKUP(M115,'G-3 Multipliers'!$S$3:$T$6,2,FALSE)=0,"Spatial Data Missing ⚠",VLOOKUP(M115,'G-3 Multipliers'!$S$3:$T$6,2,FALSE)))</f>
        <v/>
      </c>
      <c r="O115" s="498" t="str">
        <f>IF(OR(D115="",H115=""),"",(INDEX('G-6 Hedgerow Data'!$E$3:$I$15,MATCH(D115,'G-6 Hedgerow Data'!$B$3:$B$15,0),MATCH(H115,'G-6 Hedgerow Data'!$E$2:$I$2,0))))</f>
        <v/>
      </c>
      <c r="P115" s="195"/>
      <c r="Q115" s="195"/>
      <c r="R115" s="507" t="str">
        <f t="shared" si="7"/>
        <v/>
      </c>
      <c r="S115" s="521" t="str">
        <f t="shared" si="8"/>
        <v/>
      </c>
      <c r="T115" s="522" t="str">
        <f t="shared" si="6"/>
        <v/>
      </c>
      <c r="U115" s="537" t="str">
        <f>IF(D115="","",VLOOKUP(D115,'G-6 Hedgerow Data'!$B$3:$AG$15,31,FALSE))</f>
        <v/>
      </c>
      <c r="V115" s="520" t="str">
        <f t="shared" si="9"/>
        <v/>
      </c>
      <c r="W115" s="520" t="str">
        <f t="shared" si="10"/>
        <v/>
      </c>
      <c r="X115" s="524" t="str">
        <f>IF(F115="","",VLOOKUP(U115,'G-3 Multipliers'!$P$3:$Q$6,2,FALSE))</f>
        <v/>
      </c>
      <c r="Y115" s="529" t="str">
        <f t="shared" si="11"/>
        <v/>
      </c>
      <c r="Z115" s="149"/>
      <c r="AA115" s="150"/>
      <c r="AG115" s="31" t="str">
        <f>IFERROR(INDEX('G-6 Hedgerow Data'!$BJ$3:$BJ$15,MATCH(D115,'G-6 Hedgerow Data'!$B$3:$B$15,0)),"")</f>
        <v/>
      </c>
    </row>
    <row r="116" spans="2:33" ht="14" x14ac:dyDescent="0.3">
      <c r="B116" s="103">
        <v>105</v>
      </c>
      <c r="C116" s="268"/>
      <c r="D116" s="82"/>
      <c r="E116" s="203"/>
      <c r="F116" s="498" t="str">
        <f>IF(D116="","",VLOOKUP(D116,'G-6 Hedgerow Data'!$B$2:$AG$15,2,FALSE))</f>
        <v/>
      </c>
      <c r="G116" s="524" t="str">
        <f>IF(D116="","",VLOOKUP(D116,'G-6 Hedgerow Data'!$B$2:$AG$15,3,FALSE))</f>
        <v/>
      </c>
      <c r="H116" s="72"/>
      <c r="I116" s="499" t="str">
        <f>IFERROR(IF(AND(F116="V.Low",OR(H116="Good",H116="Moderate")),"Error ▲",VLOOKUP(H116,'G-1 All Habitats'!$Z$2:$AA$9,2,FALSE)),"")</f>
        <v/>
      </c>
      <c r="J116" s="146"/>
      <c r="K116" s="520" t="str">
        <f>IF(J116="","",IF(VLOOKUP(J116,'G-3 Multipliers'!$L$3:$N$6,2,FALSE)=0,"Spatial Data Missing",VLOOKUP(J116,'G-3 Multipliers'!$L$3:$N$6,2,FALSE)))</f>
        <v/>
      </c>
      <c r="L116" s="524" t="str">
        <f>IF(J116="","",IF(VLOOKUP(J116,'G-3 Multipliers'!$L$3:$N$6,3,FALSE)=0,"Spatial Data Missing",VLOOKUP(J116,'G-3 Multipliers'!$L$3:$N$6,3,FALSE)))</f>
        <v/>
      </c>
      <c r="M116" s="197"/>
      <c r="N116" s="499" t="str">
        <f>IF(M116="","",IF(VLOOKUP(M116,'G-3 Multipliers'!$S$3:$T$6,2,FALSE)=0,"Spatial Data Missing ⚠",VLOOKUP(M116,'G-3 Multipliers'!$S$3:$T$6,2,FALSE)))</f>
        <v/>
      </c>
      <c r="O116" s="498" t="str">
        <f>IF(OR(D116="",H116=""),"",(INDEX('G-6 Hedgerow Data'!$E$3:$I$15,MATCH(D116,'G-6 Hedgerow Data'!$B$3:$B$15,0),MATCH(H116,'G-6 Hedgerow Data'!$E$2:$I$2,0))))</f>
        <v/>
      </c>
      <c r="P116" s="195"/>
      <c r="Q116" s="195"/>
      <c r="R116" s="507" t="str">
        <f t="shared" si="7"/>
        <v/>
      </c>
      <c r="S116" s="521" t="str">
        <f t="shared" si="8"/>
        <v/>
      </c>
      <c r="T116" s="522" t="str">
        <f t="shared" si="6"/>
        <v/>
      </c>
      <c r="U116" s="537" t="str">
        <f>IF(D116="","",VLOOKUP(D116,'G-6 Hedgerow Data'!$B$3:$AG$15,31,FALSE))</f>
        <v/>
      </c>
      <c r="V116" s="520" t="str">
        <f t="shared" si="9"/>
        <v/>
      </c>
      <c r="W116" s="520" t="str">
        <f t="shared" si="10"/>
        <v/>
      </c>
      <c r="X116" s="524" t="str">
        <f>IF(F116="","",VLOOKUP(U116,'G-3 Multipliers'!$P$3:$Q$6,2,FALSE))</f>
        <v/>
      </c>
      <c r="Y116" s="529" t="str">
        <f t="shared" si="11"/>
        <v/>
      </c>
      <c r="Z116" s="149"/>
      <c r="AA116" s="150"/>
      <c r="AG116" s="31" t="str">
        <f>IFERROR(INDEX('G-6 Hedgerow Data'!$BJ$3:$BJ$15,MATCH(D116,'G-6 Hedgerow Data'!$B$3:$B$15,0)),"")</f>
        <v/>
      </c>
    </row>
    <row r="117" spans="2:33" ht="14" x14ac:dyDescent="0.3">
      <c r="B117" s="103">
        <v>106</v>
      </c>
      <c r="C117" s="268"/>
      <c r="D117" s="82"/>
      <c r="E117" s="203"/>
      <c r="F117" s="498" t="str">
        <f>IF(D117="","",VLOOKUP(D117,'G-6 Hedgerow Data'!$B$2:$AG$15,2,FALSE))</f>
        <v/>
      </c>
      <c r="G117" s="524" t="str">
        <f>IF(D117="","",VLOOKUP(D117,'G-6 Hedgerow Data'!$B$2:$AG$15,3,FALSE))</f>
        <v/>
      </c>
      <c r="H117" s="72"/>
      <c r="I117" s="499" t="str">
        <f>IFERROR(IF(AND(F117="V.Low",OR(H117="Good",H117="Moderate")),"Error ▲",VLOOKUP(H117,'G-1 All Habitats'!$Z$2:$AA$9,2,FALSE)),"")</f>
        <v/>
      </c>
      <c r="J117" s="146"/>
      <c r="K117" s="520" t="str">
        <f>IF(J117="","",IF(VLOOKUP(J117,'G-3 Multipliers'!$L$3:$N$6,2,FALSE)=0,"Spatial Data Missing",VLOOKUP(J117,'G-3 Multipliers'!$L$3:$N$6,2,FALSE)))</f>
        <v/>
      </c>
      <c r="L117" s="524" t="str">
        <f>IF(J117="","",IF(VLOOKUP(J117,'G-3 Multipliers'!$L$3:$N$6,3,FALSE)=0,"Spatial Data Missing",VLOOKUP(J117,'G-3 Multipliers'!$L$3:$N$6,3,FALSE)))</f>
        <v/>
      </c>
      <c r="M117" s="197"/>
      <c r="N117" s="499" t="str">
        <f>IF(M117="","",IF(VLOOKUP(M117,'G-3 Multipliers'!$S$3:$T$6,2,FALSE)=0,"Spatial Data Missing ⚠",VLOOKUP(M117,'G-3 Multipliers'!$S$3:$T$6,2,FALSE)))</f>
        <v/>
      </c>
      <c r="O117" s="498" t="str">
        <f>IF(OR(D117="",H117=""),"",(INDEX('G-6 Hedgerow Data'!$E$3:$I$15,MATCH(D117,'G-6 Hedgerow Data'!$B$3:$B$15,0),MATCH(H117,'G-6 Hedgerow Data'!$E$2:$I$2,0))))</f>
        <v/>
      </c>
      <c r="P117" s="195"/>
      <c r="Q117" s="195"/>
      <c r="R117" s="507" t="str">
        <f t="shared" si="7"/>
        <v/>
      </c>
      <c r="S117" s="521" t="str">
        <f t="shared" si="8"/>
        <v/>
      </c>
      <c r="T117" s="522" t="str">
        <f t="shared" si="6"/>
        <v/>
      </c>
      <c r="U117" s="537" t="str">
        <f>IF(D117="","",VLOOKUP(D117,'G-6 Hedgerow Data'!$B$3:$AG$15,31,FALSE))</f>
        <v/>
      </c>
      <c r="V117" s="520" t="str">
        <f t="shared" si="9"/>
        <v/>
      </c>
      <c r="W117" s="520" t="str">
        <f t="shared" si="10"/>
        <v/>
      </c>
      <c r="X117" s="524" t="str">
        <f>IF(F117="","",VLOOKUP(U117,'G-3 Multipliers'!$P$3:$Q$6,2,FALSE))</f>
        <v/>
      </c>
      <c r="Y117" s="529" t="str">
        <f t="shared" si="11"/>
        <v/>
      </c>
      <c r="Z117" s="149"/>
      <c r="AA117" s="150"/>
      <c r="AG117" s="31" t="str">
        <f>IFERROR(INDEX('G-6 Hedgerow Data'!$BJ$3:$BJ$15,MATCH(D117,'G-6 Hedgerow Data'!$B$3:$B$15,0)),"")</f>
        <v/>
      </c>
    </row>
    <row r="118" spans="2:33" ht="14" x14ac:dyDescent="0.3">
      <c r="B118" s="103">
        <v>107</v>
      </c>
      <c r="C118" s="268"/>
      <c r="D118" s="82"/>
      <c r="E118" s="203"/>
      <c r="F118" s="498" t="str">
        <f>IF(D118="","",VLOOKUP(D118,'G-6 Hedgerow Data'!$B$2:$AG$15,2,FALSE))</f>
        <v/>
      </c>
      <c r="G118" s="524" t="str">
        <f>IF(D118="","",VLOOKUP(D118,'G-6 Hedgerow Data'!$B$2:$AG$15,3,FALSE))</f>
        <v/>
      </c>
      <c r="H118" s="72"/>
      <c r="I118" s="499" t="str">
        <f>IFERROR(IF(AND(F118="V.Low",OR(H118="Good",H118="Moderate")),"Error ▲",VLOOKUP(H118,'G-1 All Habitats'!$Z$2:$AA$9,2,FALSE)),"")</f>
        <v/>
      </c>
      <c r="J118" s="146"/>
      <c r="K118" s="520" t="str">
        <f>IF(J118="","",IF(VLOOKUP(J118,'G-3 Multipliers'!$L$3:$N$6,2,FALSE)=0,"Spatial Data Missing",VLOOKUP(J118,'G-3 Multipliers'!$L$3:$N$6,2,FALSE)))</f>
        <v/>
      </c>
      <c r="L118" s="524" t="str">
        <f>IF(J118="","",IF(VLOOKUP(J118,'G-3 Multipliers'!$L$3:$N$6,3,FALSE)=0,"Spatial Data Missing",VLOOKUP(J118,'G-3 Multipliers'!$L$3:$N$6,3,FALSE)))</f>
        <v/>
      </c>
      <c r="M118" s="197"/>
      <c r="N118" s="499" t="str">
        <f>IF(M118="","",IF(VLOOKUP(M118,'G-3 Multipliers'!$S$3:$T$6,2,FALSE)=0,"Spatial Data Missing ⚠",VLOOKUP(M118,'G-3 Multipliers'!$S$3:$T$6,2,FALSE)))</f>
        <v/>
      </c>
      <c r="O118" s="498" t="str">
        <f>IF(OR(D118="",H118=""),"",(INDEX('G-6 Hedgerow Data'!$E$3:$I$15,MATCH(D118,'G-6 Hedgerow Data'!$B$3:$B$15,0),MATCH(H118,'G-6 Hedgerow Data'!$E$2:$I$2,0))))</f>
        <v/>
      </c>
      <c r="P118" s="195"/>
      <c r="Q118" s="195"/>
      <c r="R118" s="507" t="str">
        <f t="shared" si="7"/>
        <v/>
      </c>
      <c r="S118" s="521" t="str">
        <f t="shared" si="8"/>
        <v/>
      </c>
      <c r="T118" s="522" t="str">
        <f t="shared" si="6"/>
        <v/>
      </c>
      <c r="U118" s="537" t="str">
        <f>IF(D118="","",VLOOKUP(D118,'G-6 Hedgerow Data'!$B$3:$AG$15,31,FALSE))</f>
        <v/>
      </c>
      <c r="V118" s="520" t="str">
        <f t="shared" si="9"/>
        <v/>
      </c>
      <c r="W118" s="520" t="str">
        <f t="shared" si="10"/>
        <v/>
      </c>
      <c r="X118" s="524" t="str">
        <f>IF(F118="","",VLOOKUP(U118,'G-3 Multipliers'!$P$3:$Q$6,2,FALSE))</f>
        <v/>
      </c>
      <c r="Y118" s="529" t="str">
        <f t="shared" si="11"/>
        <v/>
      </c>
      <c r="Z118" s="149"/>
      <c r="AA118" s="150"/>
      <c r="AG118" s="31" t="str">
        <f>IFERROR(INDEX('G-6 Hedgerow Data'!$BJ$3:$BJ$15,MATCH(D118,'G-6 Hedgerow Data'!$B$3:$B$15,0)),"")</f>
        <v/>
      </c>
    </row>
    <row r="119" spans="2:33" ht="14" x14ac:dyDescent="0.3">
      <c r="B119" s="103">
        <v>108</v>
      </c>
      <c r="C119" s="268"/>
      <c r="D119" s="82"/>
      <c r="E119" s="203"/>
      <c r="F119" s="498" t="str">
        <f>IF(D119="","",VLOOKUP(D119,'G-6 Hedgerow Data'!$B$2:$AG$15,2,FALSE))</f>
        <v/>
      </c>
      <c r="G119" s="524" t="str">
        <f>IF(D119="","",VLOOKUP(D119,'G-6 Hedgerow Data'!$B$2:$AG$15,3,FALSE))</f>
        <v/>
      </c>
      <c r="H119" s="72"/>
      <c r="I119" s="499" t="str">
        <f>IFERROR(IF(AND(F119="V.Low",OR(H119="Good",H119="Moderate")),"Error ▲",VLOOKUP(H119,'G-1 All Habitats'!$Z$2:$AA$9,2,FALSE)),"")</f>
        <v/>
      </c>
      <c r="J119" s="146"/>
      <c r="K119" s="520" t="str">
        <f>IF(J119="","",IF(VLOOKUP(J119,'G-3 Multipliers'!$L$3:$N$6,2,FALSE)=0,"Spatial Data Missing",VLOOKUP(J119,'G-3 Multipliers'!$L$3:$N$6,2,FALSE)))</f>
        <v/>
      </c>
      <c r="L119" s="524" t="str">
        <f>IF(J119="","",IF(VLOOKUP(J119,'G-3 Multipliers'!$L$3:$N$6,3,FALSE)=0,"Spatial Data Missing",VLOOKUP(J119,'G-3 Multipliers'!$L$3:$N$6,3,FALSE)))</f>
        <v/>
      </c>
      <c r="M119" s="197"/>
      <c r="N119" s="499" t="str">
        <f>IF(M119="","",IF(VLOOKUP(M119,'G-3 Multipliers'!$S$3:$T$6,2,FALSE)=0,"Spatial Data Missing ⚠",VLOOKUP(M119,'G-3 Multipliers'!$S$3:$T$6,2,FALSE)))</f>
        <v/>
      </c>
      <c r="O119" s="498" t="str">
        <f>IF(OR(D119="",H119=""),"",(INDEX('G-6 Hedgerow Data'!$E$3:$I$15,MATCH(D119,'G-6 Hedgerow Data'!$B$3:$B$15,0),MATCH(H119,'G-6 Hedgerow Data'!$E$2:$I$2,0))))</f>
        <v/>
      </c>
      <c r="P119" s="195"/>
      <c r="Q119" s="195"/>
      <c r="R119" s="507" t="str">
        <f t="shared" si="7"/>
        <v/>
      </c>
      <c r="S119" s="521" t="str">
        <f t="shared" si="8"/>
        <v/>
      </c>
      <c r="T119" s="522" t="str">
        <f t="shared" si="6"/>
        <v/>
      </c>
      <c r="U119" s="537" t="str">
        <f>IF(D119="","",VLOOKUP(D119,'G-6 Hedgerow Data'!$B$3:$AG$15,31,FALSE))</f>
        <v/>
      </c>
      <c r="V119" s="520" t="str">
        <f t="shared" si="9"/>
        <v/>
      </c>
      <c r="W119" s="520" t="str">
        <f t="shared" si="10"/>
        <v/>
      </c>
      <c r="X119" s="524" t="str">
        <f>IF(F119="","",VLOOKUP(U119,'G-3 Multipliers'!$P$3:$Q$6,2,FALSE))</f>
        <v/>
      </c>
      <c r="Y119" s="529" t="str">
        <f t="shared" si="11"/>
        <v/>
      </c>
      <c r="Z119" s="149"/>
      <c r="AA119" s="150"/>
      <c r="AG119" s="31" t="str">
        <f>IFERROR(INDEX('G-6 Hedgerow Data'!$BJ$3:$BJ$15,MATCH(D119,'G-6 Hedgerow Data'!$B$3:$B$15,0)),"")</f>
        <v/>
      </c>
    </row>
    <row r="120" spans="2:33" ht="14" x14ac:dyDescent="0.3">
      <c r="B120" s="103">
        <v>109</v>
      </c>
      <c r="C120" s="268"/>
      <c r="D120" s="82"/>
      <c r="E120" s="203"/>
      <c r="F120" s="498" t="str">
        <f>IF(D120="","",VLOOKUP(D120,'G-6 Hedgerow Data'!$B$2:$AG$15,2,FALSE))</f>
        <v/>
      </c>
      <c r="G120" s="524" t="str">
        <f>IF(D120="","",VLOOKUP(D120,'G-6 Hedgerow Data'!$B$2:$AG$15,3,FALSE))</f>
        <v/>
      </c>
      <c r="H120" s="72"/>
      <c r="I120" s="499" t="str">
        <f>IFERROR(IF(AND(F120="V.Low",OR(H120="Good",H120="Moderate")),"Error ▲",VLOOKUP(H120,'G-1 All Habitats'!$Z$2:$AA$9,2,FALSE)),"")</f>
        <v/>
      </c>
      <c r="J120" s="146"/>
      <c r="K120" s="520" t="str">
        <f>IF(J120="","",IF(VLOOKUP(J120,'G-3 Multipliers'!$L$3:$N$6,2,FALSE)=0,"Spatial Data Missing",VLOOKUP(J120,'G-3 Multipliers'!$L$3:$N$6,2,FALSE)))</f>
        <v/>
      </c>
      <c r="L120" s="524" t="str">
        <f>IF(J120="","",IF(VLOOKUP(J120,'G-3 Multipliers'!$L$3:$N$6,3,FALSE)=0,"Spatial Data Missing",VLOOKUP(J120,'G-3 Multipliers'!$L$3:$N$6,3,FALSE)))</f>
        <v/>
      </c>
      <c r="M120" s="197"/>
      <c r="N120" s="499" t="str">
        <f>IF(M120="","",IF(VLOOKUP(M120,'G-3 Multipliers'!$S$3:$T$6,2,FALSE)=0,"Spatial Data Missing ⚠",VLOOKUP(M120,'G-3 Multipliers'!$S$3:$T$6,2,FALSE)))</f>
        <v/>
      </c>
      <c r="O120" s="498" t="str">
        <f>IF(OR(D120="",H120=""),"",(INDEX('G-6 Hedgerow Data'!$E$3:$I$15,MATCH(D120,'G-6 Hedgerow Data'!$B$3:$B$15,0),MATCH(H120,'G-6 Hedgerow Data'!$E$2:$I$2,0))))</f>
        <v/>
      </c>
      <c r="P120" s="195"/>
      <c r="Q120" s="195"/>
      <c r="R120" s="507" t="str">
        <f t="shared" si="7"/>
        <v/>
      </c>
      <c r="S120" s="521" t="str">
        <f t="shared" si="8"/>
        <v/>
      </c>
      <c r="T120" s="522" t="str">
        <f t="shared" si="6"/>
        <v/>
      </c>
      <c r="U120" s="537" t="str">
        <f>IF(D120="","",VLOOKUP(D120,'G-6 Hedgerow Data'!$B$3:$AG$15,31,FALSE))</f>
        <v/>
      </c>
      <c r="V120" s="520" t="str">
        <f t="shared" si="9"/>
        <v/>
      </c>
      <c r="W120" s="520" t="str">
        <f t="shared" si="10"/>
        <v/>
      </c>
      <c r="X120" s="524" t="str">
        <f>IF(F120="","",VLOOKUP(U120,'G-3 Multipliers'!$P$3:$Q$6,2,FALSE))</f>
        <v/>
      </c>
      <c r="Y120" s="529" t="str">
        <f t="shared" si="11"/>
        <v/>
      </c>
      <c r="Z120" s="149"/>
      <c r="AA120" s="150"/>
      <c r="AG120" s="31" t="str">
        <f>IFERROR(INDEX('G-6 Hedgerow Data'!$BJ$3:$BJ$15,MATCH(D120,'G-6 Hedgerow Data'!$B$3:$B$15,0)),"")</f>
        <v/>
      </c>
    </row>
    <row r="121" spans="2:33" ht="14" x14ac:dyDescent="0.3">
      <c r="B121" s="103">
        <v>110</v>
      </c>
      <c r="C121" s="268"/>
      <c r="D121" s="82"/>
      <c r="E121" s="203"/>
      <c r="F121" s="498" t="str">
        <f>IF(D121="","",VLOOKUP(D121,'G-6 Hedgerow Data'!$B$2:$AG$15,2,FALSE))</f>
        <v/>
      </c>
      <c r="G121" s="524" t="str">
        <f>IF(D121="","",VLOOKUP(D121,'G-6 Hedgerow Data'!$B$2:$AG$15,3,FALSE))</f>
        <v/>
      </c>
      <c r="H121" s="72"/>
      <c r="I121" s="499" t="str">
        <f>IFERROR(IF(AND(F121="V.Low",OR(H121="Good",H121="Moderate")),"Error ▲",VLOOKUP(H121,'G-1 All Habitats'!$Z$2:$AA$9,2,FALSE)),"")</f>
        <v/>
      </c>
      <c r="J121" s="146"/>
      <c r="K121" s="520" t="str">
        <f>IF(J121="","",IF(VLOOKUP(J121,'G-3 Multipliers'!$L$3:$N$6,2,FALSE)=0,"Spatial Data Missing",VLOOKUP(J121,'G-3 Multipliers'!$L$3:$N$6,2,FALSE)))</f>
        <v/>
      </c>
      <c r="L121" s="524" t="str">
        <f>IF(J121="","",IF(VLOOKUP(J121,'G-3 Multipliers'!$L$3:$N$6,3,FALSE)=0,"Spatial Data Missing",VLOOKUP(J121,'G-3 Multipliers'!$L$3:$N$6,3,FALSE)))</f>
        <v/>
      </c>
      <c r="M121" s="197"/>
      <c r="N121" s="499" t="str">
        <f>IF(M121="","",IF(VLOOKUP(M121,'G-3 Multipliers'!$S$3:$T$6,2,FALSE)=0,"Spatial Data Missing ⚠",VLOOKUP(M121,'G-3 Multipliers'!$S$3:$T$6,2,FALSE)))</f>
        <v/>
      </c>
      <c r="O121" s="498" t="str">
        <f>IF(OR(D121="",H121=""),"",(INDEX('G-6 Hedgerow Data'!$E$3:$I$15,MATCH(D121,'G-6 Hedgerow Data'!$B$3:$B$15,0),MATCH(H121,'G-6 Hedgerow Data'!$E$2:$I$2,0))))</f>
        <v/>
      </c>
      <c r="P121" s="195"/>
      <c r="Q121" s="195"/>
      <c r="R121" s="507" t="str">
        <f t="shared" si="7"/>
        <v/>
      </c>
      <c r="S121" s="521" t="str">
        <f t="shared" si="8"/>
        <v/>
      </c>
      <c r="T121" s="522" t="str">
        <f t="shared" si="6"/>
        <v/>
      </c>
      <c r="U121" s="537" t="str">
        <f>IF(D121="","",VLOOKUP(D121,'G-6 Hedgerow Data'!$B$3:$AG$15,31,FALSE))</f>
        <v/>
      </c>
      <c r="V121" s="520" t="str">
        <f t="shared" si="9"/>
        <v/>
      </c>
      <c r="W121" s="520" t="str">
        <f t="shared" si="10"/>
        <v/>
      </c>
      <c r="X121" s="524" t="str">
        <f>IF(F121="","",VLOOKUP(U121,'G-3 Multipliers'!$P$3:$Q$6,2,FALSE))</f>
        <v/>
      </c>
      <c r="Y121" s="529" t="str">
        <f t="shared" si="11"/>
        <v/>
      </c>
      <c r="Z121" s="149"/>
      <c r="AA121" s="150"/>
      <c r="AG121" s="31" t="str">
        <f>IFERROR(INDEX('G-6 Hedgerow Data'!$BJ$3:$BJ$15,MATCH(D121,'G-6 Hedgerow Data'!$B$3:$B$15,0)),"")</f>
        <v/>
      </c>
    </row>
    <row r="122" spans="2:33" ht="14" x14ac:dyDescent="0.3">
      <c r="B122" s="103">
        <v>111</v>
      </c>
      <c r="C122" s="268"/>
      <c r="D122" s="82"/>
      <c r="E122" s="203"/>
      <c r="F122" s="498" t="str">
        <f>IF(D122="","",VLOOKUP(D122,'G-6 Hedgerow Data'!$B$2:$AG$15,2,FALSE))</f>
        <v/>
      </c>
      <c r="G122" s="524" t="str">
        <f>IF(D122="","",VLOOKUP(D122,'G-6 Hedgerow Data'!$B$2:$AG$15,3,FALSE))</f>
        <v/>
      </c>
      <c r="H122" s="72"/>
      <c r="I122" s="499" t="str">
        <f>IFERROR(IF(AND(F122="V.Low",OR(H122="Good",H122="Moderate")),"Error ▲",VLOOKUP(H122,'G-1 All Habitats'!$Z$2:$AA$9,2,FALSE)),"")</f>
        <v/>
      </c>
      <c r="J122" s="146"/>
      <c r="K122" s="520" t="str">
        <f>IF(J122="","",IF(VLOOKUP(J122,'G-3 Multipliers'!$L$3:$N$6,2,FALSE)=0,"Spatial Data Missing",VLOOKUP(J122,'G-3 Multipliers'!$L$3:$N$6,2,FALSE)))</f>
        <v/>
      </c>
      <c r="L122" s="524" t="str">
        <f>IF(J122="","",IF(VLOOKUP(J122,'G-3 Multipliers'!$L$3:$N$6,3,FALSE)=0,"Spatial Data Missing",VLOOKUP(J122,'G-3 Multipliers'!$L$3:$N$6,3,FALSE)))</f>
        <v/>
      </c>
      <c r="M122" s="197"/>
      <c r="N122" s="499" t="str">
        <f>IF(M122="","",IF(VLOOKUP(M122,'G-3 Multipliers'!$S$3:$T$6,2,FALSE)=0,"Spatial Data Missing ⚠",VLOOKUP(M122,'G-3 Multipliers'!$S$3:$T$6,2,FALSE)))</f>
        <v/>
      </c>
      <c r="O122" s="498" t="str">
        <f>IF(OR(D122="",H122=""),"",(INDEX('G-6 Hedgerow Data'!$E$3:$I$15,MATCH(D122,'G-6 Hedgerow Data'!$B$3:$B$15,0),MATCH(H122,'G-6 Hedgerow Data'!$E$2:$I$2,0))))</f>
        <v/>
      </c>
      <c r="P122" s="195"/>
      <c r="Q122" s="195"/>
      <c r="R122" s="507" t="str">
        <f t="shared" si="7"/>
        <v/>
      </c>
      <c r="S122" s="521" t="str">
        <f t="shared" si="8"/>
        <v/>
      </c>
      <c r="T122" s="522" t="str">
        <f t="shared" si="6"/>
        <v/>
      </c>
      <c r="U122" s="537" t="str">
        <f>IF(D122="","",VLOOKUP(D122,'G-6 Hedgerow Data'!$B$3:$AG$15,31,FALSE))</f>
        <v/>
      </c>
      <c r="V122" s="520" t="str">
        <f t="shared" si="9"/>
        <v/>
      </c>
      <c r="W122" s="520" t="str">
        <f t="shared" si="10"/>
        <v/>
      </c>
      <c r="X122" s="524" t="str">
        <f>IF(F122="","",VLOOKUP(U122,'G-3 Multipliers'!$P$3:$Q$6,2,FALSE))</f>
        <v/>
      </c>
      <c r="Y122" s="529" t="str">
        <f t="shared" si="11"/>
        <v/>
      </c>
      <c r="Z122" s="149"/>
      <c r="AA122" s="150"/>
      <c r="AG122" s="31" t="str">
        <f>IFERROR(INDEX('G-6 Hedgerow Data'!$BJ$3:$BJ$15,MATCH(D122,'G-6 Hedgerow Data'!$B$3:$B$15,0)),"")</f>
        <v/>
      </c>
    </row>
    <row r="123" spans="2:33" ht="14" x14ac:dyDescent="0.3">
      <c r="B123" s="103">
        <v>112</v>
      </c>
      <c r="C123" s="268"/>
      <c r="D123" s="82"/>
      <c r="E123" s="203"/>
      <c r="F123" s="498" t="str">
        <f>IF(D123="","",VLOOKUP(D123,'G-6 Hedgerow Data'!$B$2:$AG$15,2,FALSE))</f>
        <v/>
      </c>
      <c r="G123" s="524" t="str">
        <f>IF(D123="","",VLOOKUP(D123,'G-6 Hedgerow Data'!$B$2:$AG$15,3,FALSE))</f>
        <v/>
      </c>
      <c r="H123" s="72"/>
      <c r="I123" s="499" t="str">
        <f>IFERROR(IF(AND(F123="V.Low",OR(H123="Good",H123="Moderate")),"Error ▲",VLOOKUP(H123,'G-1 All Habitats'!$Z$2:$AA$9,2,FALSE)),"")</f>
        <v/>
      </c>
      <c r="J123" s="146"/>
      <c r="K123" s="520" t="str">
        <f>IF(J123="","",IF(VLOOKUP(J123,'G-3 Multipliers'!$L$3:$N$6,2,FALSE)=0,"Spatial Data Missing",VLOOKUP(J123,'G-3 Multipliers'!$L$3:$N$6,2,FALSE)))</f>
        <v/>
      </c>
      <c r="L123" s="524" t="str">
        <f>IF(J123="","",IF(VLOOKUP(J123,'G-3 Multipliers'!$L$3:$N$6,3,FALSE)=0,"Spatial Data Missing",VLOOKUP(J123,'G-3 Multipliers'!$L$3:$N$6,3,FALSE)))</f>
        <v/>
      </c>
      <c r="M123" s="197"/>
      <c r="N123" s="499" t="str">
        <f>IF(M123="","",IF(VLOOKUP(M123,'G-3 Multipliers'!$S$3:$T$6,2,FALSE)=0,"Spatial Data Missing ⚠",VLOOKUP(M123,'G-3 Multipliers'!$S$3:$T$6,2,FALSE)))</f>
        <v/>
      </c>
      <c r="O123" s="498" t="str">
        <f>IF(OR(D123="",H123=""),"",(INDEX('G-6 Hedgerow Data'!$E$3:$I$15,MATCH(D123,'G-6 Hedgerow Data'!$B$3:$B$15,0),MATCH(H123,'G-6 Hedgerow Data'!$E$2:$I$2,0))))</f>
        <v/>
      </c>
      <c r="P123" s="195"/>
      <c r="Q123" s="195"/>
      <c r="R123" s="507" t="str">
        <f t="shared" si="7"/>
        <v/>
      </c>
      <c r="S123" s="521" t="str">
        <f t="shared" si="8"/>
        <v/>
      </c>
      <c r="T123" s="522" t="str">
        <f t="shared" si="6"/>
        <v/>
      </c>
      <c r="U123" s="537" t="str">
        <f>IF(D123="","",VLOOKUP(D123,'G-6 Hedgerow Data'!$B$3:$AG$15,31,FALSE))</f>
        <v/>
      </c>
      <c r="V123" s="520" t="str">
        <f t="shared" si="9"/>
        <v/>
      </c>
      <c r="W123" s="520" t="str">
        <f t="shared" si="10"/>
        <v/>
      </c>
      <c r="X123" s="524" t="str">
        <f>IF(F123="","",VLOOKUP(U123,'G-3 Multipliers'!$P$3:$Q$6,2,FALSE))</f>
        <v/>
      </c>
      <c r="Y123" s="529" t="str">
        <f t="shared" si="11"/>
        <v/>
      </c>
      <c r="Z123" s="149"/>
      <c r="AA123" s="150"/>
      <c r="AG123" s="31" t="str">
        <f>IFERROR(INDEX('G-6 Hedgerow Data'!$BJ$3:$BJ$15,MATCH(D123,'G-6 Hedgerow Data'!$B$3:$B$15,0)),"")</f>
        <v/>
      </c>
    </row>
    <row r="124" spans="2:33" ht="14" x14ac:dyDescent="0.3">
      <c r="B124" s="103">
        <v>113</v>
      </c>
      <c r="C124" s="268"/>
      <c r="D124" s="82"/>
      <c r="E124" s="203"/>
      <c r="F124" s="498" t="str">
        <f>IF(D124="","",VLOOKUP(D124,'G-6 Hedgerow Data'!$B$2:$AG$15,2,FALSE))</f>
        <v/>
      </c>
      <c r="G124" s="524" t="str">
        <f>IF(D124="","",VLOOKUP(D124,'G-6 Hedgerow Data'!$B$2:$AG$15,3,FALSE))</f>
        <v/>
      </c>
      <c r="H124" s="72"/>
      <c r="I124" s="499" t="str">
        <f>IFERROR(IF(AND(F124="V.Low",OR(H124="Good",H124="Moderate")),"Error ▲",VLOOKUP(H124,'G-1 All Habitats'!$Z$2:$AA$9,2,FALSE)),"")</f>
        <v/>
      </c>
      <c r="J124" s="146"/>
      <c r="K124" s="520" t="str">
        <f>IF(J124="","",IF(VLOOKUP(J124,'G-3 Multipliers'!$L$3:$N$6,2,FALSE)=0,"Spatial Data Missing",VLOOKUP(J124,'G-3 Multipliers'!$L$3:$N$6,2,FALSE)))</f>
        <v/>
      </c>
      <c r="L124" s="524" t="str">
        <f>IF(J124="","",IF(VLOOKUP(J124,'G-3 Multipliers'!$L$3:$N$6,3,FALSE)=0,"Spatial Data Missing",VLOOKUP(J124,'G-3 Multipliers'!$L$3:$N$6,3,FALSE)))</f>
        <v/>
      </c>
      <c r="M124" s="197"/>
      <c r="N124" s="499" t="str">
        <f>IF(M124="","",IF(VLOOKUP(M124,'G-3 Multipliers'!$S$3:$T$6,2,FALSE)=0,"Spatial Data Missing ⚠",VLOOKUP(M124,'G-3 Multipliers'!$S$3:$T$6,2,FALSE)))</f>
        <v/>
      </c>
      <c r="O124" s="498" t="str">
        <f>IF(OR(D124="",H124=""),"",(INDEX('G-6 Hedgerow Data'!$E$3:$I$15,MATCH(D124,'G-6 Hedgerow Data'!$B$3:$B$15,0),MATCH(H124,'G-6 Hedgerow Data'!$E$2:$I$2,0))))</f>
        <v/>
      </c>
      <c r="P124" s="195"/>
      <c r="Q124" s="195"/>
      <c r="R124" s="507" t="str">
        <f t="shared" si="7"/>
        <v/>
      </c>
      <c r="S124" s="521" t="str">
        <f t="shared" si="8"/>
        <v/>
      </c>
      <c r="T124" s="522" t="str">
        <f t="shared" si="6"/>
        <v/>
      </c>
      <c r="U124" s="537" t="str">
        <f>IF(D124="","",VLOOKUP(D124,'G-6 Hedgerow Data'!$B$3:$AG$15,31,FALSE))</f>
        <v/>
      </c>
      <c r="V124" s="520" t="str">
        <f t="shared" si="9"/>
        <v/>
      </c>
      <c r="W124" s="520" t="str">
        <f t="shared" si="10"/>
        <v/>
      </c>
      <c r="X124" s="524" t="str">
        <f>IF(F124="","",VLOOKUP(U124,'G-3 Multipliers'!$P$3:$Q$6,2,FALSE))</f>
        <v/>
      </c>
      <c r="Y124" s="529" t="str">
        <f t="shared" si="11"/>
        <v/>
      </c>
      <c r="Z124" s="149"/>
      <c r="AA124" s="150"/>
      <c r="AG124" s="31" t="str">
        <f>IFERROR(INDEX('G-6 Hedgerow Data'!$BJ$3:$BJ$15,MATCH(D124,'G-6 Hedgerow Data'!$B$3:$B$15,0)),"")</f>
        <v/>
      </c>
    </row>
    <row r="125" spans="2:33" ht="14" x14ac:dyDescent="0.3">
      <c r="B125" s="103">
        <v>114</v>
      </c>
      <c r="C125" s="268"/>
      <c r="D125" s="82"/>
      <c r="E125" s="203"/>
      <c r="F125" s="498" t="str">
        <f>IF(D125="","",VLOOKUP(D125,'G-6 Hedgerow Data'!$B$2:$AG$15,2,FALSE))</f>
        <v/>
      </c>
      <c r="G125" s="524" t="str">
        <f>IF(D125="","",VLOOKUP(D125,'G-6 Hedgerow Data'!$B$2:$AG$15,3,FALSE))</f>
        <v/>
      </c>
      <c r="H125" s="72"/>
      <c r="I125" s="499" t="str">
        <f>IFERROR(IF(AND(F125="V.Low",OR(H125="Good",H125="Moderate")),"Error ▲",VLOOKUP(H125,'G-1 All Habitats'!$Z$2:$AA$9,2,FALSE)),"")</f>
        <v/>
      </c>
      <c r="J125" s="146"/>
      <c r="K125" s="520" t="str">
        <f>IF(J125="","",IF(VLOOKUP(J125,'G-3 Multipliers'!$L$3:$N$6,2,FALSE)=0,"Spatial Data Missing",VLOOKUP(J125,'G-3 Multipliers'!$L$3:$N$6,2,FALSE)))</f>
        <v/>
      </c>
      <c r="L125" s="524" t="str">
        <f>IF(J125="","",IF(VLOOKUP(J125,'G-3 Multipliers'!$L$3:$N$6,3,FALSE)=0,"Spatial Data Missing",VLOOKUP(J125,'G-3 Multipliers'!$L$3:$N$6,3,FALSE)))</f>
        <v/>
      </c>
      <c r="M125" s="197"/>
      <c r="N125" s="499" t="str">
        <f>IF(M125="","",IF(VLOOKUP(M125,'G-3 Multipliers'!$S$3:$T$6,2,FALSE)=0,"Spatial Data Missing ⚠",VLOOKUP(M125,'G-3 Multipliers'!$S$3:$T$6,2,FALSE)))</f>
        <v/>
      </c>
      <c r="O125" s="498" t="str">
        <f>IF(OR(D125="",H125=""),"",(INDEX('G-6 Hedgerow Data'!$E$3:$I$15,MATCH(D125,'G-6 Hedgerow Data'!$B$3:$B$15,0),MATCH(H125,'G-6 Hedgerow Data'!$E$2:$I$2,0))))</f>
        <v/>
      </c>
      <c r="P125" s="195"/>
      <c r="Q125" s="195"/>
      <c r="R125" s="507" t="str">
        <f t="shared" si="7"/>
        <v/>
      </c>
      <c r="S125" s="521" t="str">
        <f t="shared" si="8"/>
        <v/>
      </c>
      <c r="T125" s="522" t="str">
        <f t="shared" si="6"/>
        <v/>
      </c>
      <c r="U125" s="537" t="str">
        <f>IF(D125="","",VLOOKUP(D125,'G-6 Hedgerow Data'!$B$3:$AG$15,31,FALSE))</f>
        <v/>
      </c>
      <c r="V125" s="520" t="str">
        <f t="shared" si="9"/>
        <v/>
      </c>
      <c r="W125" s="520" t="str">
        <f t="shared" si="10"/>
        <v/>
      </c>
      <c r="X125" s="524" t="str">
        <f>IF(F125="","",VLOOKUP(U125,'G-3 Multipliers'!$P$3:$Q$6,2,FALSE))</f>
        <v/>
      </c>
      <c r="Y125" s="529" t="str">
        <f t="shared" si="11"/>
        <v/>
      </c>
      <c r="Z125" s="149"/>
      <c r="AA125" s="150"/>
      <c r="AG125" s="31" t="str">
        <f>IFERROR(INDEX('G-6 Hedgerow Data'!$BJ$3:$BJ$15,MATCH(D125,'G-6 Hedgerow Data'!$B$3:$B$15,0)),"")</f>
        <v/>
      </c>
    </row>
    <row r="126" spans="2:33" ht="14" x14ac:dyDescent="0.3">
      <c r="B126" s="103">
        <v>115</v>
      </c>
      <c r="C126" s="268"/>
      <c r="D126" s="82"/>
      <c r="E126" s="203"/>
      <c r="F126" s="498" t="str">
        <f>IF(D126="","",VLOOKUP(D126,'G-6 Hedgerow Data'!$B$2:$AG$15,2,FALSE))</f>
        <v/>
      </c>
      <c r="G126" s="524" t="str">
        <f>IF(D126="","",VLOOKUP(D126,'G-6 Hedgerow Data'!$B$2:$AG$15,3,FALSE))</f>
        <v/>
      </c>
      <c r="H126" s="72"/>
      <c r="I126" s="499" t="str">
        <f>IFERROR(IF(AND(F126="V.Low",OR(H126="Good",H126="Moderate")),"Error ▲",VLOOKUP(H126,'G-1 All Habitats'!$Z$2:$AA$9,2,FALSE)),"")</f>
        <v/>
      </c>
      <c r="J126" s="146"/>
      <c r="K126" s="520" t="str">
        <f>IF(J126="","",IF(VLOOKUP(J126,'G-3 Multipliers'!$L$3:$N$6,2,FALSE)=0,"Spatial Data Missing",VLOOKUP(J126,'G-3 Multipliers'!$L$3:$N$6,2,FALSE)))</f>
        <v/>
      </c>
      <c r="L126" s="524" t="str">
        <f>IF(J126="","",IF(VLOOKUP(J126,'G-3 Multipliers'!$L$3:$N$6,3,FALSE)=0,"Spatial Data Missing",VLOOKUP(J126,'G-3 Multipliers'!$L$3:$N$6,3,FALSE)))</f>
        <v/>
      </c>
      <c r="M126" s="197"/>
      <c r="N126" s="499" t="str">
        <f>IF(M126="","",IF(VLOOKUP(M126,'G-3 Multipliers'!$S$3:$T$6,2,FALSE)=0,"Spatial Data Missing ⚠",VLOOKUP(M126,'G-3 Multipliers'!$S$3:$T$6,2,FALSE)))</f>
        <v/>
      </c>
      <c r="O126" s="498" t="str">
        <f>IF(OR(D126="",H126=""),"",(INDEX('G-6 Hedgerow Data'!$E$3:$I$15,MATCH(D126,'G-6 Hedgerow Data'!$B$3:$B$15,0),MATCH(H126,'G-6 Hedgerow Data'!$E$2:$I$2,0))))</f>
        <v/>
      </c>
      <c r="P126" s="195"/>
      <c r="Q126" s="195"/>
      <c r="R126" s="507" t="str">
        <f t="shared" si="7"/>
        <v/>
      </c>
      <c r="S126" s="521" t="str">
        <f t="shared" si="8"/>
        <v/>
      </c>
      <c r="T126" s="522" t="str">
        <f t="shared" si="6"/>
        <v/>
      </c>
      <c r="U126" s="537" t="str">
        <f>IF(D126="","",VLOOKUP(D126,'G-6 Hedgerow Data'!$B$3:$AG$15,31,FALSE))</f>
        <v/>
      </c>
      <c r="V126" s="520" t="str">
        <f t="shared" si="9"/>
        <v/>
      </c>
      <c r="W126" s="520" t="str">
        <f t="shared" si="10"/>
        <v/>
      </c>
      <c r="X126" s="524" t="str">
        <f>IF(F126="","",VLOOKUP(U126,'G-3 Multipliers'!$P$3:$Q$6,2,FALSE))</f>
        <v/>
      </c>
      <c r="Y126" s="529" t="str">
        <f t="shared" si="11"/>
        <v/>
      </c>
      <c r="Z126" s="149"/>
      <c r="AA126" s="150"/>
      <c r="AG126" s="31" t="str">
        <f>IFERROR(INDEX('G-6 Hedgerow Data'!$BJ$3:$BJ$15,MATCH(D126,'G-6 Hedgerow Data'!$B$3:$B$15,0)),"")</f>
        <v/>
      </c>
    </row>
    <row r="127" spans="2:33" ht="14" x14ac:dyDescent="0.3">
      <c r="B127" s="103">
        <v>116</v>
      </c>
      <c r="C127" s="268"/>
      <c r="D127" s="82"/>
      <c r="E127" s="203"/>
      <c r="F127" s="498" t="str">
        <f>IF(D127="","",VLOOKUP(D127,'G-6 Hedgerow Data'!$B$2:$AG$15,2,FALSE))</f>
        <v/>
      </c>
      <c r="G127" s="524" t="str">
        <f>IF(D127="","",VLOOKUP(D127,'G-6 Hedgerow Data'!$B$2:$AG$15,3,FALSE))</f>
        <v/>
      </c>
      <c r="H127" s="72"/>
      <c r="I127" s="499" t="str">
        <f>IFERROR(IF(AND(F127="V.Low",OR(H127="Good",H127="Moderate")),"Error ▲",VLOOKUP(H127,'G-1 All Habitats'!$Z$2:$AA$9,2,FALSE)),"")</f>
        <v/>
      </c>
      <c r="J127" s="146"/>
      <c r="K127" s="520" t="str">
        <f>IF(J127="","",IF(VLOOKUP(J127,'G-3 Multipliers'!$L$3:$N$6,2,FALSE)=0,"Spatial Data Missing",VLOOKUP(J127,'G-3 Multipliers'!$L$3:$N$6,2,FALSE)))</f>
        <v/>
      </c>
      <c r="L127" s="524" t="str">
        <f>IF(J127="","",IF(VLOOKUP(J127,'G-3 Multipliers'!$L$3:$N$6,3,FALSE)=0,"Spatial Data Missing",VLOOKUP(J127,'G-3 Multipliers'!$L$3:$N$6,3,FALSE)))</f>
        <v/>
      </c>
      <c r="M127" s="197"/>
      <c r="N127" s="499" t="str">
        <f>IF(M127="","",IF(VLOOKUP(M127,'G-3 Multipliers'!$S$3:$T$6,2,FALSE)=0,"Spatial Data Missing ⚠",VLOOKUP(M127,'G-3 Multipliers'!$S$3:$T$6,2,FALSE)))</f>
        <v/>
      </c>
      <c r="O127" s="498" t="str">
        <f>IF(OR(D127="",H127=""),"",(INDEX('G-6 Hedgerow Data'!$E$3:$I$15,MATCH(D127,'G-6 Hedgerow Data'!$B$3:$B$15,0),MATCH(H127,'G-6 Hedgerow Data'!$E$2:$I$2,0))))</f>
        <v/>
      </c>
      <c r="P127" s="195"/>
      <c r="Q127" s="195"/>
      <c r="R127" s="507" t="str">
        <f t="shared" si="7"/>
        <v/>
      </c>
      <c r="S127" s="521" t="str">
        <f t="shared" si="8"/>
        <v/>
      </c>
      <c r="T127" s="522" t="str">
        <f t="shared" si="6"/>
        <v/>
      </c>
      <c r="U127" s="537" t="str">
        <f>IF(D127="","",VLOOKUP(D127,'G-6 Hedgerow Data'!$B$3:$AG$15,31,FALSE))</f>
        <v/>
      </c>
      <c r="V127" s="520" t="str">
        <f t="shared" si="9"/>
        <v/>
      </c>
      <c r="W127" s="520" t="str">
        <f t="shared" si="10"/>
        <v/>
      </c>
      <c r="X127" s="524" t="str">
        <f>IF(F127="","",VLOOKUP(U127,'G-3 Multipliers'!$P$3:$Q$6,2,FALSE))</f>
        <v/>
      </c>
      <c r="Y127" s="529" t="str">
        <f t="shared" si="11"/>
        <v/>
      </c>
      <c r="Z127" s="149"/>
      <c r="AA127" s="150"/>
      <c r="AG127" s="31" t="str">
        <f>IFERROR(INDEX('G-6 Hedgerow Data'!$BJ$3:$BJ$15,MATCH(D127,'G-6 Hedgerow Data'!$B$3:$B$15,0)),"")</f>
        <v/>
      </c>
    </row>
    <row r="128" spans="2:33" ht="14" x14ac:dyDescent="0.3">
      <c r="B128" s="103">
        <v>117</v>
      </c>
      <c r="C128" s="268"/>
      <c r="D128" s="82"/>
      <c r="E128" s="203"/>
      <c r="F128" s="498" t="str">
        <f>IF(D128="","",VLOOKUP(D128,'G-6 Hedgerow Data'!$B$2:$AG$15,2,FALSE))</f>
        <v/>
      </c>
      <c r="G128" s="524" t="str">
        <f>IF(D128="","",VLOOKUP(D128,'G-6 Hedgerow Data'!$B$2:$AG$15,3,FALSE))</f>
        <v/>
      </c>
      <c r="H128" s="72"/>
      <c r="I128" s="499" t="str">
        <f>IFERROR(IF(AND(F128="V.Low",OR(H128="Good",H128="Moderate")),"Error ▲",VLOOKUP(H128,'G-1 All Habitats'!$Z$2:$AA$9,2,FALSE)),"")</f>
        <v/>
      </c>
      <c r="J128" s="146"/>
      <c r="K128" s="520" t="str">
        <f>IF(J128="","",IF(VLOOKUP(J128,'G-3 Multipliers'!$L$3:$N$6,2,FALSE)=0,"Spatial Data Missing",VLOOKUP(J128,'G-3 Multipliers'!$L$3:$N$6,2,FALSE)))</f>
        <v/>
      </c>
      <c r="L128" s="524" t="str">
        <f>IF(J128="","",IF(VLOOKUP(J128,'G-3 Multipliers'!$L$3:$N$6,3,FALSE)=0,"Spatial Data Missing",VLOOKUP(J128,'G-3 Multipliers'!$L$3:$N$6,3,FALSE)))</f>
        <v/>
      </c>
      <c r="M128" s="197"/>
      <c r="N128" s="499" t="str">
        <f>IF(M128="","",IF(VLOOKUP(M128,'G-3 Multipliers'!$S$3:$T$6,2,FALSE)=0,"Spatial Data Missing ⚠",VLOOKUP(M128,'G-3 Multipliers'!$S$3:$T$6,2,FALSE)))</f>
        <v/>
      </c>
      <c r="O128" s="498" t="str">
        <f>IF(OR(D128="",H128=""),"",(INDEX('G-6 Hedgerow Data'!$E$3:$I$15,MATCH(D128,'G-6 Hedgerow Data'!$B$3:$B$15,0),MATCH(H128,'G-6 Hedgerow Data'!$E$2:$I$2,0))))</f>
        <v/>
      </c>
      <c r="P128" s="195"/>
      <c r="Q128" s="195"/>
      <c r="R128" s="507" t="str">
        <f t="shared" si="7"/>
        <v/>
      </c>
      <c r="S128" s="521" t="str">
        <f t="shared" si="8"/>
        <v/>
      </c>
      <c r="T128" s="522" t="str">
        <f t="shared" si="6"/>
        <v/>
      </c>
      <c r="U128" s="537" t="str">
        <f>IF(D128="","",VLOOKUP(D128,'G-6 Hedgerow Data'!$B$3:$AG$15,31,FALSE))</f>
        <v/>
      </c>
      <c r="V128" s="520" t="str">
        <f t="shared" si="9"/>
        <v/>
      </c>
      <c r="W128" s="520" t="str">
        <f t="shared" si="10"/>
        <v/>
      </c>
      <c r="X128" s="524" t="str">
        <f>IF(F128="","",VLOOKUP(U128,'G-3 Multipliers'!$P$3:$Q$6,2,FALSE))</f>
        <v/>
      </c>
      <c r="Y128" s="529" t="str">
        <f t="shared" si="11"/>
        <v/>
      </c>
      <c r="Z128" s="149"/>
      <c r="AA128" s="150"/>
      <c r="AG128" s="31" t="str">
        <f>IFERROR(INDEX('G-6 Hedgerow Data'!$BJ$3:$BJ$15,MATCH(D128,'G-6 Hedgerow Data'!$B$3:$B$15,0)),"")</f>
        <v/>
      </c>
    </row>
    <row r="129" spans="2:33" ht="14" x14ac:dyDescent="0.3">
      <c r="B129" s="103">
        <v>118</v>
      </c>
      <c r="C129" s="268"/>
      <c r="D129" s="82"/>
      <c r="E129" s="203"/>
      <c r="F129" s="498" t="str">
        <f>IF(D129="","",VLOOKUP(D129,'G-6 Hedgerow Data'!$B$2:$AG$15,2,FALSE))</f>
        <v/>
      </c>
      <c r="G129" s="524" t="str">
        <f>IF(D129="","",VLOOKUP(D129,'G-6 Hedgerow Data'!$B$2:$AG$15,3,FALSE))</f>
        <v/>
      </c>
      <c r="H129" s="72"/>
      <c r="I129" s="499" t="str">
        <f>IFERROR(IF(AND(F129="V.Low",OR(H129="Good",H129="Moderate")),"Error ▲",VLOOKUP(H129,'G-1 All Habitats'!$Z$2:$AA$9,2,FALSE)),"")</f>
        <v/>
      </c>
      <c r="J129" s="146"/>
      <c r="K129" s="520" t="str">
        <f>IF(J129="","",IF(VLOOKUP(J129,'G-3 Multipliers'!$L$3:$N$6,2,FALSE)=0,"Spatial Data Missing",VLOOKUP(J129,'G-3 Multipliers'!$L$3:$N$6,2,FALSE)))</f>
        <v/>
      </c>
      <c r="L129" s="524" t="str">
        <f>IF(J129="","",IF(VLOOKUP(J129,'G-3 Multipliers'!$L$3:$N$6,3,FALSE)=0,"Spatial Data Missing",VLOOKUP(J129,'G-3 Multipliers'!$L$3:$N$6,3,FALSE)))</f>
        <v/>
      </c>
      <c r="M129" s="197"/>
      <c r="N129" s="499" t="str">
        <f>IF(M129="","",IF(VLOOKUP(M129,'G-3 Multipliers'!$S$3:$T$6,2,FALSE)=0,"Spatial Data Missing ⚠",VLOOKUP(M129,'G-3 Multipliers'!$S$3:$T$6,2,FALSE)))</f>
        <v/>
      </c>
      <c r="O129" s="498" t="str">
        <f>IF(OR(D129="",H129=""),"",(INDEX('G-6 Hedgerow Data'!$E$3:$I$15,MATCH(D129,'G-6 Hedgerow Data'!$B$3:$B$15,0),MATCH(H129,'G-6 Hedgerow Data'!$E$2:$I$2,0))))</f>
        <v/>
      </c>
      <c r="P129" s="195"/>
      <c r="Q129" s="195"/>
      <c r="R129" s="507" t="str">
        <f t="shared" si="7"/>
        <v/>
      </c>
      <c r="S129" s="521" t="str">
        <f t="shared" si="8"/>
        <v/>
      </c>
      <c r="T129" s="522" t="str">
        <f t="shared" si="6"/>
        <v/>
      </c>
      <c r="U129" s="537" t="str">
        <f>IF(D129="","",VLOOKUP(D129,'G-6 Hedgerow Data'!$B$3:$AG$15,31,FALSE))</f>
        <v/>
      </c>
      <c r="V129" s="520" t="str">
        <f t="shared" si="9"/>
        <v/>
      </c>
      <c r="W129" s="520" t="str">
        <f t="shared" si="10"/>
        <v/>
      </c>
      <c r="X129" s="524" t="str">
        <f>IF(F129="","",VLOOKUP(U129,'G-3 Multipliers'!$P$3:$Q$6,2,FALSE))</f>
        <v/>
      </c>
      <c r="Y129" s="529" t="str">
        <f t="shared" si="11"/>
        <v/>
      </c>
      <c r="Z129" s="149"/>
      <c r="AA129" s="150"/>
      <c r="AG129" s="31" t="str">
        <f>IFERROR(INDEX('G-6 Hedgerow Data'!$BJ$3:$BJ$15,MATCH(D129,'G-6 Hedgerow Data'!$B$3:$B$15,0)),"")</f>
        <v/>
      </c>
    </row>
    <row r="130" spans="2:33" ht="14" x14ac:dyDescent="0.3">
      <c r="B130" s="103">
        <v>119</v>
      </c>
      <c r="C130" s="268"/>
      <c r="D130" s="82"/>
      <c r="E130" s="203"/>
      <c r="F130" s="498" t="str">
        <f>IF(D130="","",VLOOKUP(D130,'G-6 Hedgerow Data'!$B$2:$AG$15,2,FALSE))</f>
        <v/>
      </c>
      <c r="G130" s="524" t="str">
        <f>IF(D130="","",VLOOKUP(D130,'G-6 Hedgerow Data'!$B$2:$AG$15,3,FALSE))</f>
        <v/>
      </c>
      <c r="H130" s="72"/>
      <c r="I130" s="499" t="str">
        <f>IFERROR(IF(AND(F130="V.Low",OR(H130="Good",H130="Moderate")),"Error ▲",VLOOKUP(H130,'G-1 All Habitats'!$Z$2:$AA$9,2,FALSE)),"")</f>
        <v/>
      </c>
      <c r="J130" s="146"/>
      <c r="K130" s="520" t="str">
        <f>IF(J130="","",IF(VLOOKUP(J130,'G-3 Multipliers'!$L$3:$N$6,2,FALSE)=0,"Spatial Data Missing",VLOOKUP(J130,'G-3 Multipliers'!$L$3:$N$6,2,FALSE)))</f>
        <v/>
      </c>
      <c r="L130" s="524" t="str">
        <f>IF(J130="","",IF(VLOOKUP(J130,'G-3 Multipliers'!$L$3:$N$6,3,FALSE)=0,"Spatial Data Missing",VLOOKUP(J130,'G-3 Multipliers'!$L$3:$N$6,3,FALSE)))</f>
        <v/>
      </c>
      <c r="M130" s="197"/>
      <c r="N130" s="499" t="str">
        <f>IF(M130="","",IF(VLOOKUP(M130,'G-3 Multipliers'!$S$3:$T$6,2,FALSE)=0,"Spatial Data Missing ⚠",VLOOKUP(M130,'G-3 Multipliers'!$S$3:$T$6,2,FALSE)))</f>
        <v/>
      </c>
      <c r="O130" s="498" t="str">
        <f>IF(OR(D130="",H130=""),"",(INDEX('G-6 Hedgerow Data'!$E$3:$I$15,MATCH(D130,'G-6 Hedgerow Data'!$B$3:$B$15,0),MATCH(H130,'G-6 Hedgerow Data'!$E$2:$I$2,0))))</f>
        <v/>
      </c>
      <c r="P130" s="195"/>
      <c r="Q130" s="195"/>
      <c r="R130" s="507" t="str">
        <f t="shared" si="7"/>
        <v/>
      </c>
      <c r="S130" s="521" t="str">
        <f t="shared" si="8"/>
        <v/>
      </c>
      <c r="T130" s="522" t="str">
        <f t="shared" si="6"/>
        <v/>
      </c>
      <c r="U130" s="537" t="str">
        <f>IF(D130="","",VLOOKUP(D130,'G-6 Hedgerow Data'!$B$3:$AG$15,31,FALSE))</f>
        <v/>
      </c>
      <c r="V130" s="520" t="str">
        <f t="shared" si="9"/>
        <v/>
      </c>
      <c r="W130" s="520" t="str">
        <f t="shared" si="10"/>
        <v/>
      </c>
      <c r="X130" s="524" t="str">
        <f>IF(F130="","",VLOOKUP(U130,'G-3 Multipliers'!$P$3:$Q$6,2,FALSE))</f>
        <v/>
      </c>
      <c r="Y130" s="529" t="str">
        <f t="shared" si="11"/>
        <v/>
      </c>
      <c r="Z130" s="149"/>
      <c r="AA130" s="150"/>
      <c r="AG130" s="31" t="str">
        <f>IFERROR(INDEX('G-6 Hedgerow Data'!$BJ$3:$BJ$15,MATCH(D130,'G-6 Hedgerow Data'!$B$3:$B$15,0)),"")</f>
        <v/>
      </c>
    </row>
    <row r="131" spans="2:33" s="42" customFormat="1" ht="14" x14ac:dyDescent="0.3">
      <c r="B131" s="103">
        <v>120</v>
      </c>
      <c r="C131" s="268"/>
      <c r="D131" s="82"/>
      <c r="E131" s="203"/>
      <c r="F131" s="498" t="str">
        <f>IF(D131="","",VLOOKUP(D131,'G-6 Hedgerow Data'!$B$2:$AG$15,2,FALSE))</f>
        <v/>
      </c>
      <c r="G131" s="524" t="str">
        <f>IF(D131="","",VLOOKUP(D131,'G-6 Hedgerow Data'!$B$2:$AG$15,3,FALSE))</f>
        <v/>
      </c>
      <c r="H131" s="72"/>
      <c r="I131" s="499" t="str">
        <f>IFERROR(IF(AND(F131="V.Low",OR(H131="Good",H131="Moderate")),"Error ▲",VLOOKUP(H131,'G-1 All Habitats'!$Z$2:$AA$9,2,FALSE)),"")</f>
        <v/>
      </c>
      <c r="J131" s="146"/>
      <c r="K131" s="520" t="str">
        <f>IF(J131="","",IF(VLOOKUP(J131,'G-3 Multipliers'!$L$3:$N$6,2,FALSE)=0,"Spatial Data Missing",VLOOKUP(J131,'G-3 Multipliers'!$L$3:$N$6,2,FALSE)))</f>
        <v/>
      </c>
      <c r="L131" s="524" t="str">
        <f>IF(J131="","",IF(VLOOKUP(J131,'G-3 Multipliers'!$L$3:$N$6,3,FALSE)=0,"Spatial Data Missing",VLOOKUP(J131,'G-3 Multipliers'!$L$3:$N$6,3,FALSE)))</f>
        <v/>
      </c>
      <c r="M131" s="197"/>
      <c r="N131" s="499" t="str">
        <f>IF(M131="","",IF(VLOOKUP(M131,'G-3 Multipliers'!$S$3:$T$6,2,FALSE)=0,"Spatial Data Missing ⚠",VLOOKUP(M131,'G-3 Multipliers'!$S$3:$T$6,2,FALSE)))</f>
        <v/>
      </c>
      <c r="O131" s="498" t="str">
        <f>IF(OR(D131="",H131=""),"",(INDEX('G-6 Hedgerow Data'!$E$3:$I$15,MATCH(D131,'G-6 Hedgerow Data'!$B$3:$B$15,0),MATCH(H131,'G-6 Hedgerow Data'!$E$2:$I$2,0))))</f>
        <v/>
      </c>
      <c r="P131" s="195"/>
      <c r="Q131" s="195"/>
      <c r="R131" s="507" t="str">
        <f t="shared" si="7"/>
        <v/>
      </c>
      <c r="S131" s="507" t="str">
        <f t="shared" si="8"/>
        <v/>
      </c>
      <c r="T131" s="522" t="str">
        <f t="shared" si="6"/>
        <v/>
      </c>
      <c r="U131" s="537" t="str">
        <f>IF(D131="","",VLOOKUP(D131,'G-6 Hedgerow Data'!$B$3:$AG$15,31,FALSE))</f>
        <v/>
      </c>
      <c r="V131" s="520" t="str">
        <f t="shared" si="9"/>
        <v/>
      </c>
      <c r="W131" s="520" t="str">
        <f t="shared" si="10"/>
        <v/>
      </c>
      <c r="X131" s="524" t="str">
        <f>IF(F131="","",VLOOKUP(U131,'G-3 Multipliers'!$P$3:$Q$6,2,FALSE))</f>
        <v/>
      </c>
      <c r="Y131" s="529" t="str">
        <f t="shared" si="11"/>
        <v/>
      </c>
      <c r="Z131" s="149"/>
      <c r="AA131" s="150"/>
      <c r="AG131" s="42" t="str">
        <f>IFERROR(INDEX('G-6 Hedgerow Data'!$BJ$3:$BJ$15,MATCH(D131,'G-6 Hedgerow Data'!$B$3:$B$15,0)),"")</f>
        <v/>
      </c>
    </row>
    <row r="132" spans="2:33" ht="14" x14ac:dyDescent="0.3">
      <c r="B132" s="103">
        <v>121</v>
      </c>
      <c r="C132" s="268"/>
      <c r="D132" s="82"/>
      <c r="E132" s="203"/>
      <c r="F132" s="498" t="str">
        <f>IF(D132="","",VLOOKUP(D132,'G-6 Hedgerow Data'!$B$2:$AG$15,2,FALSE))</f>
        <v/>
      </c>
      <c r="G132" s="524" t="str">
        <f>IF(D132="","",VLOOKUP(D132,'G-6 Hedgerow Data'!$B$2:$AG$15,3,FALSE))</f>
        <v/>
      </c>
      <c r="H132" s="72"/>
      <c r="I132" s="499" t="str">
        <f>IFERROR(IF(AND(F132="V.Low",OR(H132="Good",H132="Moderate")),"Error ▲",VLOOKUP(H132,'G-1 All Habitats'!$Z$2:$AA$9,2,FALSE)),"")</f>
        <v/>
      </c>
      <c r="J132" s="146"/>
      <c r="K132" s="520" t="str">
        <f>IF(J132="","",IF(VLOOKUP(J132,'G-3 Multipliers'!$L$3:$N$6,2,FALSE)=0,"Spatial Data Missing",VLOOKUP(J132,'G-3 Multipliers'!$L$3:$N$6,2,FALSE)))</f>
        <v/>
      </c>
      <c r="L132" s="524" t="str">
        <f>IF(J132="","",IF(VLOOKUP(J132,'G-3 Multipliers'!$L$3:$N$6,3,FALSE)=0,"Spatial Data Missing",VLOOKUP(J132,'G-3 Multipliers'!$L$3:$N$6,3,FALSE)))</f>
        <v/>
      </c>
      <c r="M132" s="197"/>
      <c r="N132" s="499" t="str">
        <f>IF(M132="","",IF(VLOOKUP(M132,'G-3 Multipliers'!$S$3:$T$6,2,FALSE)=0,"Spatial Data Missing ⚠",VLOOKUP(M132,'G-3 Multipliers'!$S$3:$T$6,2,FALSE)))</f>
        <v/>
      </c>
      <c r="O132" s="498" t="str">
        <f>IF(OR(D132="",H132=""),"",(INDEX('G-6 Hedgerow Data'!$E$3:$I$15,MATCH(D132,'G-6 Hedgerow Data'!$B$3:$B$15,0),MATCH(H132,'G-6 Hedgerow Data'!$E$2:$I$2,0))))</f>
        <v/>
      </c>
      <c r="P132" s="195"/>
      <c r="Q132" s="195"/>
      <c r="R132" s="507" t="str">
        <f t="shared" si="7"/>
        <v/>
      </c>
      <c r="S132" s="521" t="str">
        <f t="shared" si="8"/>
        <v/>
      </c>
      <c r="T132" s="522" t="str">
        <f t="shared" si="6"/>
        <v/>
      </c>
      <c r="U132" s="537" t="str">
        <f>IF(D132="","",VLOOKUP(D132,'G-6 Hedgerow Data'!$B$3:$AG$15,31,FALSE))</f>
        <v/>
      </c>
      <c r="V132" s="520" t="str">
        <f t="shared" si="9"/>
        <v/>
      </c>
      <c r="W132" s="520" t="str">
        <f t="shared" si="10"/>
        <v/>
      </c>
      <c r="X132" s="524" t="str">
        <f>IF(F132="","",VLOOKUP(U132,'G-3 Multipliers'!$P$3:$Q$6,2,FALSE))</f>
        <v/>
      </c>
      <c r="Y132" s="529" t="str">
        <f t="shared" si="11"/>
        <v/>
      </c>
      <c r="Z132" s="149"/>
      <c r="AA132" s="150"/>
      <c r="AG132" s="31" t="str">
        <f>IFERROR(INDEX('G-6 Hedgerow Data'!$BJ$3:$BJ$15,MATCH(D132,'G-6 Hedgerow Data'!$B$3:$B$15,0)),"")</f>
        <v/>
      </c>
    </row>
    <row r="133" spans="2:33" ht="14" x14ac:dyDescent="0.3">
      <c r="B133" s="103">
        <v>122</v>
      </c>
      <c r="C133" s="268"/>
      <c r="D133" s="82"/>
      <c r="E133" s="203"/>
      <c r="F133" s="498" t="str">
        <f>IF(D133="","",VLOOKUP(D133,'G-6 Hedgerow Data'!$B$2:$AG$15,2,FALSE))</f>
        <v/>
      </c>
      <c r="G133" s="524" t="str">
        <f>IF(D133="","",VLOOKUP(D133,'G-6 Hedgerow Data'!$B$2:$AG$15,3,FALSE))</f>
        <v/>
      </c>
      <c r="H133" s="72"/>
      <c r="I133" s="499" t="str">
        <f>IFERROR(IF(AND(F133="V.Low",OR(H133="Good",H133="Moderate")),"Error ▲",VLOOKUP(H133,'G-1 All Habitats'!$Z$2:$AA$9,2,FALSE)),"")</f>
        <v/>
      </c>
      <c r="J133" s="146"/>
      <c r="K133" s="520" t="str">
        <f>IF(J133="","",IF(VLOOKUP(J133,'G-3 Multipliers'!$L$3:$N$6,2,FALSE)=0,"Spatial Data Missing",VLOOKUP(J133,'G-3 Multipliers'!$L$3:$N$6,2,FALSE)))</f>
        <v/>
      </c>
      <c r="L133" s="524" t="str">
        <f>IF(J133="","",IF(VLOOKUP(J133,'G-3 Multipliers'!$L$3:$N$6,3,FALSE)=0,"Spatial Data Missing",VLOOKUP(J133,'G-3 Multipliers'!$L$3:$N$6,3,FALSE)))</f>
        <v/>
      </c>
      <c r="M133" s="197"/>
      <c r="N133" s="499" t="str">
        <f>IF(M133="","",IF(VLOOKUP(M133,'G-3 Multipliers'!$S$3:$T$6,2,FALSE)=0,"Spatial Data Missing ⚠",VLOOKUP(M133,'G-3 Multipliers'!$S$3:$T$6,2,FALSE)))</f>
        <v/>
      </c>
      <c r="O133" s="498" t="str">
        <f>IF(OR(D133="",H133=""),"",(INDEX('G-6 Hedgerow Data'!$E$3:$I$15,MATCH(D133,'G-6 Hedgerow Data'!$B$3:$B$15,0),MATCH(H133,'G-6 Hedgerow Data'!$E$2:$I$2,0))))</f>
        <v/>
      </c>
      <c r="P133" s="195"/>
      <c r="Q133" s="195"/>
      <c r="R133" s="507" t="str">
        <f t="shared" si="7"/>
        <v/>
      </c>
      <c r="S133" s="521" t="str">
        <f t="shared" si="8"/>
        <v/>
      </c>
      <c r="T133" s="522" t="str">
        <f t="shared" si="6"/>
        <v/>
      </c>
      <c r="U133" s="537" t="str">
        <f>IF(D133="","",VLOOKUP(D133,'G-6 Hedgerow Data'!$B$3:$AG$15,31,FALSE))</f>
        <v/>
      </c>
      <c r="V133" s="520" t="str">
        <f t="shared" si="9"/>
        <v/>
      </c>
      <c r="W133" s="520" t="str">
        <f t="shared" si="10"/>
        <v/>
      </c>
      <c r="X133" s="524" t="str">
        <f>IF(F133="","",VLOOKUP(U133,'G-3 Multipliers'!$P$3:$Q$6,2,FALSE))</f>
        <v/>
      </c>
      <c r="Y133" s="529" t="str">
        <f t="shared" si="11"/>
        <v/>
      </c>
      <c r="Z133" s="149"/>
      <c r="AA133" s="150"/>
      <c r="AG133" s="31" t="str">
        <f>IFERROR(INDEX('G-6 Hedgerow Data'!$BJ$3:$BJ$15,MATCH(D133,'G-6 Hedgerow Data'!$B$3:$B$15,0)),"")</f>
        <v/>
      </c>
    </row>
    <row r="134" spans="2:33" ht="14" x14ac:dyDescent="0.3">
      <c r="B134" s="103">
        <v>123</v>
      </c>
      <c r="C134" s="268"/>
      <c r="D134" s="82"/>
      <c r="E134" s="203"/>
      <c r="F134" s="498" t="str">
        <f>IF(D134="","",VLOOKUP(D134,'G-6 Hedgerow Data'!$B$2:$AG$15,2,FALSE))</f>
        <v/>
      </c>
      <c r="G134" s="524" t="str">
        <f>IF(D134="","",VLOOKUP(D134,'G-6 Hedgerow Data'!$B$2:$AG$15,3,FALSE))</f>
        <v/>
      </c>
      <c r="H134" s="72"/>
      <c r="I134" s="499" t="str">
        <f>IFERROR(IF(AND(F134="V.Low",OR(H134="Good",H134="Moderate")),"Error ▲",VLOOKUP(H134,'G-1 All Habitats'!$Z$2:$AA$9,2,FALSE)),"")</f>
        <v/>
      </c>
      <c r="J134" s="146"/>
      <c r="K134" s="520" t="str">
        <f>IF(J134="","",IF(VLOOKUP(J134,'G-3 Multipliers'!$L$3:$N$6,2,FALSE)=0,"Spatial Data Missing",VLOOKUP(J134,'G-3 Multipliers'!$L$3:$N$6,2,FALSE)))</f>
        <v/>
      </c>
      <c r="L134" s="524" t="str">
        <f>IF(J134="","",IF(VLOOKUP(J134,'G-3 Multipliers'!$L$3:$N$6,3,FALSE)=0,"Spatial Data Missing",VLOOKUP(J134,'G-3 Multipliers'!$L$3:$N$6,3,FALSE)))</f>
        <v/>
      </c>
      <c r="M134" s="197"/>
      <c r="N134" s="499" t="str">
        <f>IF(M134="","",IF(VLOOKUP(M134,'G-3 Multipliers'!$S$3:$T$6,2,FALSE)=0,"Spatial Data Missing ⚠",VLOOKUP(M134,'G-3 Multipliers'!$S$3:$T$6,2,FALSE)))</f>
        <v/>
      </c>
      <c r="O134" s="498" t="str">
        <f>IF(OR(D134="",H134=""),"",(INDEX('G-6 Hedgerow Data'!$E$3:$I$15,MATCH(D134,'G-6 Hedgerow Data'!$B$3:$B$15,0),MATCH(H134,'G-6 Hedgerow Data'!$E$2:$I$2,0))))</f>
        <v/>
      </c>
      <c r="P134" s="195"/>
      <c r="Q134" s="195"/>
      <c r="R134" s="507" t="str">
        <f t="shared" si="7"/>
        <v/>
      </c>
      <c r="S134" s="521" t="str">
        <f t="shared" si="8"/>
        <v/>
      </c>
      <c r="T134" s="522" t="str">
        <f t="shared" si="6"/>
        <v/>
      </c>
      <c r="U134" s="537" t="str">
        <f>IF(D134="","",VLOOKUP(D134,'G-6 Hedgerow Data'!$B$3:$AG$15,31,FALSE))</f>
        <v/>
      </c>
      <c r="V134" s="520" t="str">
        <f t="shared" si="9"/>
        <v/>
      </c>
      <c r="W134" s="520" t="str">
        <f t="shared" si="10"/>
        <v/>
      </c>
      <c r="X134" s="524" t="str">
        <f>IF(F134="","",VLOOKUP(U134,'G-3 Multipliers'!$P$3:$Q$6,2,FALSE))</f>
        <v/>
      </c>
      <c r="Y134" s="529" t="str">
        <f t="shared" si="11"/>
        <v/>
      </c>
      <c r="Z134" s="149"/>
      <c r="AA134" s="150"/>
      <c r="AG134" s="31" t="str">
        <f>IFERROR(INDEX('G-6 Hedgerow Data'!$BJ$3:$BJ$15,MATCH(D134,'G-6 Hedgerow Data'!$B$3:$B$15,0)),"")</f>
        <v/>
      </c>
    </row>
    <row r="135" spans="2:33" ht="14" x14ac:dyDescent="0.3">
      <c r="B135" s="103">
        <v>124</v>
      </c>
      <c r="C135" s="268"/>
      <c r="D135" s="82"/>
      <c r="E135" s="203"/>
      <c r="F135" s="498" t="str">
        <f>IF(D135="","",VLOOKUP(D135,'G-6 Hedgerow Data'!$B$2:$AG$15,2,FALSE))</f>
        <v/>
      </c>
      <c r="G135" s="524" t="str">
        <f>IF(D135="","",VLOOKUP(D135,'G-6 Hedgerow Data'!$B$2:$AG$15,3,FALSE))</f>
        <v/>
      </c>
      <c r="H135" s="72"/>
      <c r="I135" s="499" t="str">
        <f>IFERROR(IF(AND(F135="V.Low",OR(H135="Good",H135="Moderate")),"Error ▲",VLOOKUP(H135,'G-1 All Habitats'!$Z$2:$AA$9,2,FALSE)),"")</f>
        <v/>
      </c>
      <c r="J135" s="146"/>
      <c r="K135" s="520" t="str">
        <f>IF(J135="","",IF(VLOOKUP(J135,'G-3 Multipliers'!$L$3:$N$6,2,FALSE)=0,"Spatial Data Missing",VLOOKUP(J135,'G-3 Multipliers'!$L$3:$N$6,2,FALSE)))</f>
        <v/>
      </c>
      <c r="L135" s="524" t="str">
        <f>IF(J135="","",IF(VLOOKUP(J135,'G-3 Multipliers'!$L$3:$N$6,3,FALSE)=0,"Spatial Data Missing",VLOOKUP(J135,'G-3 Multipliers'!$L$3:$N$6,3,FALSE)))</f>
        <v/>
      </c>
      <c r="M135" s="197"/>
      <c r="N135" s="499" t="str">
        <f>IF(M135="","",IF(VLOOKUP(M135,'G-3 Multipliers'!$S$3:$T$6,2,FALSE)=0,"Spatial Data Missing ⚠",VLOOKUP(M135,'G-3 Multipliers'!$S$3:$T$6,2,FALSE)))</f>
        <v/>
      </c>
      <c r="O135" s="498" t="str">
        <f>IF(OR(D135="",H135=""),"",(INDEX('G-6 Hedgerow Data'!$E$3:$I$15,MATCH(D135,'G-6 Hedgerow Data'!$B$3:$B$15,0),MATCH(H135,'G-6 Hedgerow Data'!$E$2:$I$2,0))))</f>
        <v/>
      </c>
      <c r="P135" s="195"/>
      <c r="Q135" s="195"/>
      <c r="R135" s="507" t="str">
        <f t="shared" si="7"/>
        <v/>
      </c>
      <c r="S135" s="521" t="str">
        <f t="shared" si="8"/>
        <v/>
      </c>
      <c r="T135" s="522" t="str">
        <f t="shared" si="6"/>
        <v/>
      </c>
      <c r="U135" s="537" t="str">
        <f>IF(D135="","",VLOOKUP(D135,'G-6 Hedgerow Data'!$B$3:$AG$15,31,FALSE))</f>
        <v/>
      </c>
      <c r="V135" s="520" t="str">
        <f t="shared" si="9"/>
        <v/>
      </c>
      <c r="W135" s="520" t="str">
        <f t="shared" si="10"/>
        <v/>
      </c>
      <c r="X135" s="524" t="str">
        <f>IF(F135="","",VLOOKUP(U135,'G-3 Multipliers'!$P$3:$Q$6,2,FALSE))</f>
        <v/>
      </c>
      <c r="Y135" s="529" t="str">
        <f t="shared" si="11"/>
        <v/>
      </c>
      <c r="Z135" s="149"/>
      <c r="AA135" s="150"/>
      <c r="AG135" s="31" t="str">
        <f>IFERROR(INDEX('G-6 Hedgerow Data'!$BJ$3:$BJ$15,MATCH(D135,'G-6 Hedgerow Data'!$B$3:$B$15,0)),"")</f>
        <v/>
      </c>
    </row>
    <row r="136" spans="2:33" ht="14" x14ac:dyDescent="0.3">
      <c r="B136" s="103">
        <v>125</v>
      </c>
      <c r="C136" s="268"/>
      <c r="D136" s="82"/>
      <c r="E136" s="203"/>
      <c r="F136" s="498" t="str">
        <f>IF(D136="","",VLOOKUP(D136,'G-6 Hedgerow Data'!$B$2:$AG$15,2,FALSE))</f>
        <v/>
      </c>
      <c r="G136" s="524" t="str">
        <f>IF(D136="","",VLOOKUP(D136,'G-6 Hedgerow Data'!$B$2:$AG$15,3,FALSE))</f>
        <v/>
      </c>
      <c r="H136" s="72"/>
      <c r="I136" s="499" t="str">
        <f>IFERROR(IF(AND(F136="V.Low",OR(H136="Good",H136="Moderate")),"Error ▲",VLOOKUP(H136,'G-1 All Habitats'!$Z$2:$AA$9,2,FALSE)),"")</f>
        <v/>
      </c>
      <c r="J136" s="146"/>
      <c r="K136" s="520" t="str">
        <f>IF(J136="","",IF(VLOOKUP(J136,'G-3 Multipliers'!$L$3:$N$6,2,FALSE)=0,"Spatial Data Missing",VLOOKUP(J136,'G-3 Multipliers'!$L$3:$N$6,2,FALSE)))</f>
        <v/>
      </c>
      <c r="L136" s="524" t="str">
        <f>IF(J136="","",IF(VLOOKUP(J136,'G-3 Multipliers'!$L$3:$N$6,3,FALSE)=0,"Spatial Data Missing",VLOOKUP(J136,'G-3 Multipliers'!$L$3:$N$6,3,FALSE)))</f>
        <v/>
      </c>
      <c r="M136" s="197"/>
      <c r="N136" s="499" t="str">
        <f>IF(M136="","",IF(VLOOKUP(M136,'G-3 Multipliers'!$S$3:$T$6,2,FALSE)=0,"Spatial Data Missing ⚠",VLOOKUP(M136,'G-3 Multipliers'!$S$3:$T$6,2,FALSE)))</f>
        <v/>
      </c>
      <c r="O136" s="498" t="str">
        <f>IF(OR(D136="",H136=""),"",(INDEX('G-6 Hedgerow Data'!$E$3:$I$15,MATCH(D136,'G-6 Hedgerow Data'!$B$3:$B$15,0),MATCH(H136,'G-6 Hedgerow Data'!$E$2:$I$2,0))))</f>
        <v/>
      </c>
      <c r="P136" s="195"/>
      <c r="Q136" s="195"/>
      <c r="R136" s="507" t="str">
        <f t="shared" si="7"/>
        <v/>
      </c>
      <c r="S136" s="521" t="str">
        <f t="shared" si="8"/>
        <v/>
      </c>
      <c r="T136" s="522" t="str">
        <f t="shared" si="6"/>
        <v/>
      </c>
      <c r="U136" s="537" t="str">
        <f>IF(D136="","",VLOOKUP(D136,'G-6 Hedgerow Data'!$B$3:$AG$15,31,FALSE))</f>
        <v/>
      </c>
      <c r="V136" s="520" t="str">
        <f t="shared" si="9"/>
        <v/>
      </c>
      <c r="W136" s="520" t="str">
        <f t="shared" si="10"/>
        <v/>
      </c>
      <c r="X136" s="524" t="str">
        <f>IF(F136="","",VLOOKUP(U136,'G-3 Multipliers'!$P$3:$Q$6,2,FALSE))</f>
        <v/>
      </c>
      <c r="Y136" s="529" t="str">
        <f t="shared" si="11"/>
        <v/>
      </c>
      <c r="Z136" s="149"/>
      <c r="AA136" s="150"/>
      <c r="AG136" s="31" t="str">
        <f>IFERROR(INDEX('G-6 Hedgerow Data'!$BJ$3:$BJ$15,MATCH(D136,'G-6 Hedgerow Data'!$B$3:$B$15,0)),"")</f>
        <v/>
      </c>
    </row>
    <row r="137" spans="2:33" ht="14" x14ac:dyDescent="0.3">
      <c r="B137" s="103">
        <v>126</v>
      </c>
      <c r="C137" s="268"/>
      <c r="D137" s="82"/>
      <c r="E137" s="203"/>
      <c r="F137" s="498" t="str">
        <f>IF(D137="","",VLOOKUP(D137,'G-6 Hedgerow Data'!$B$2:$AG$15,2,FALSE))</f>
        <v/>
      </c>
      <c r="G137" s="524" t="str">
        <f>IF(D137="","",VLOOKUP(D137,'G-6 Hedgerow Data'!$B$2:$AG$15,3,FALSE))</f>
        <v/>
      </c>
      <c r="H137" s="72"/>
      <c r="I137" s="499" t="str">
        <f>IFERROR(IF(AND(F137="V.Low",OR(H137="Good",H137="Moderate")),"Error ▲",VLOOKUP(H137,'G-1 All Habitats'!$Z$2:$AA$9,2,FALSE)),"")</f>
        <v/>
      </c>
      <c r="J137" s="146"/>
      <c r="K137" s="520" t="str">
        <f>IF(J137="","",IF(VLOOKUP(J137,'G-3 Multipliers'!$L$3:$N$6,2,FALSE)=0,"Spatial Data Missing",VLOOKUP(J137,'G-3 Multipliers'!$L$3:$N$6,2,FALSE)))</f>
        <v/>
      </c>
      <c r="L137" s="524" t="str">
        <f>IF(J137="","",IF(VLOOKUP(J137,'G-3 Multipliers'!$L$3:$N$6,3,FALSE)=0,"Spatial Data Missing",VLOOKUP(J137,'G-3 Multipliers'!$L$3:$N$6,3,FALSE)))</f>
        <v/>
      </c>
      <c r="M137" s="197"/>
      <c r="N137" s="499" t="str">
        <f>IF(M137="","",IF(VLOOKUP(M137,'G-3 Multipliers'!$S$3:$T$6,2,FALSE)=0,"Spatial Data Missing ⚠",VLOOKUP(M137,'G-3 Multipliers'!$S$3:$T$6,2,FALSE)))</f>
        <v/>
      </c>
      <c r="O137" s="498" t="str">
        <f>IF(OR(D137="",H137=""),"",(INDEX('G-6 Hedgerow Data'!$E$3:$I$15,MATCH(D137,'G-6 Hedgerow Data'!$B$3:$B$15,0),MATCH(H137,'G-6 Hedgerow Data'!$E$2:$I$2,0))))</f>
        <v/>
      </c>
      <c r="P137" s="195"/>
      <c r="Q137" s="195"/>
      <c r="R137" s="507" t="str">
        <f t="shared" si="7"/>
        <v/>
      </c>
      <c r="S137" s="521" t="str">
        <f t="shared" si="8"/>
        <v/>
      </c>
      <c r="T137" s="522" t="str">
        <f t="shared" si="6"/>
        <v/>
      </c>
      <c r="U137" s="537" t="str">
        <f>IF(D137="","",VLOOKUP(D137,'G-6 Hedgerow Data'!$B$3:$AG$15,31,FALSE))</f>
        <v/>
      </c>
      <c r="V137" s="520" t="str">
        <f t="shared" si="9"/>
        <v/>
      </c>
      <c r="W137" s="520" t="str">
        <f t="shared" si="10"/>
        <v/>
      </c>
      <c r="X137" s="524" t="str">
        <f>IF(F137="","",VLOOKUP(U137,'G-3 Multipliers'!$P$3:$Q$6,2,FALSE))</f>
        <v/>
      </c>
      <c r="Y137" s="529" t="str">
        <f t="shared" si="11"/>
        <v/>
      </c>
      <c r="Z137" s="149"/>
      <c r="AA137" s="150"/>
      <c r="AG137" s="31" t="str">
        <f>IFERROR(INDEX('G-6 Hedgerow Data'!$BJ$3:$BJ$15,MATCH(D137,'G-6 Hedgerow Data'!$B$3:$B$15,0)),"")</f>
        <v/>
      </c>
    </row>
    <row r="138" spans="2:33" ht="14" x14ac:dyDescent="0.3">
      <c r="B138" s="103">
        <v>127</v>
      </c>
      <c r="C138" s="268"/>
      <c r="D138" s="82"/>
      <c r="E138" s="203"/>
      <c r="F138" s="498" t="str">
        <f>IF(D138="","",VLOOKUP(D138,'G-6 Hedgerow Data'!$B$2:$AG$15,2,FALSE))</f>
        <v/>
      </c>
      <c r="G138" s="524" t="str">
        <f>IF(D138="","",VLOOKUP(D138,'G-6 Hedgerow Data'!$B$2:$AG$15,3,FALSE))</f>
        <v/>
      </c>
      <c r="H138" s="72"/>
      <c r="I138" s="499" t="str">
        <f>IFERROR(IF(AND(F138="V.Low",OR(H138="Good",H138="Moderate")),"Error ▲",VLOOKUP(H138,'G-1 All Habitats'!$Z$2:$AA$9,2,FALSE)),"")</f>
        <v/>
      </c>
      <c r="J138" s="146"/>
      <c r="K138" s="520" t="str">
        <f>IF(J138="","",IF(VLOOKUP(J138,'G-3 Multipliers'!$L$3:$N$6,2,FALSE)=0,"Spatial Data Missing",VLOOKUP(J138,'G-3 Multipliers'!$L$3:$N$6,2,FALSE)))</f>
        <v/>
      </c>
      <c r="L138" s="524" t="str">
        <f>IF(J138="","",IF(VLOOKUP(J138,'G-3 Multipliers'!$L$3:$N$6,3,FALSE)=0,"Spatial Data Missing",VLOOKUP(J138,'G-3 Multipliers'!$L$3:$N$6,3,FALSE)))</f>
        <v/>
      </c>
      <c r="M138" s="197"/>
      <c r="N138" s="499" t="str">
        <f>IF(M138="","",IF(VLOOKUP(M138,'G-3 Multipliers'!$S$3:$T$6,2,FALSE)=0,"Spatial Data Missing ⚠",VLOOKUP(M138,'G-3 Multipliers'!$S$3:$T$6,2,FALSE)))</f>
        <v/>
      </c>
      <c r="O138" s="498" t="str">
        <f>IF(OR(D138="",H138=""),"",(INDEX('G-6 Hedgerow Data'!$E$3:$I$15,MATCH(D138,'G-6 Hedgerow Data'!$B$3:$B$15,0),MATCH(H138,'G-6 Hedgerow Data'!$E$2:$I$2,0))))</f>
        <v/>
      </c>
      <c r="P138" s="195"/>
      <c r="Q138" s="195"/>
      <c r="R138" s="507" t="str">
        <f t="shared" si="7"/>
        <v/>
      </c>
      <c r="S138" s="521" t="str">
        <f t="shared" si="8"/>
        <v/>
      </c>
      <c r="T138" s="522" t="str">
        <f t="shared" si="6"/>
        <v/>
      </c>
      <c r="U138" s="537" t="str">
        <f>IF(D138="","",VLOOKUP(D138,'G-6 Hedgerow Data'!$B$3:$AG$15,31,FALSE))</f>
        <v/>
      </c>
      <c r="V138" s="520" t="str">
        <f t="shared" si="9"/>
        <v/>
      </c>
      <c r="W138" s="520" t="str">
        <f t="shared" si="10"/>
        <v/>
      </c>
      <c r="X138" s="524" t="str">
        <f>IF(F138="","",VLOOKUP(U138,'G-3 Multipliers'!$P$3:$Q$6,2,FALSE))</f>
        <v/>
      </c>
      <c r="Y138" s="529" t="str">
        <f t="shared" si="11"/>
        <v/>
      </c>
      <c r="Z138" s="149"/>
      <c r="AA138" s="150"/>
      <c r="AG138" s="31" t="str">
        <f>IFERROR(INDEX('G-6 Hedgerow Data'!$BJ$3:$BJ$15,MATCH(D138,'G-6 Hedgerow Data'!$B$3:$B$15,0)),"")</f>
        <v/>
      </c>
    </row>
    <row r="139" spans="2:33" ht="14" x14ac:dyDescent="0.3">
      <c r="B139" s="103">
        <v>128</v>
      </c>
      <c r="C139" s="268"/>
      <c r="D139" s="82"/>
      <c r="E139" s="203"/>
      <c r="F139" s="498" t="str">
        <f>IF(D139="","",VLOOKUP(D139,'G-6 Hedgerow Data'!$B$2:$AG$15,2,FALSE))</f>
        <v/>
      </c>
      <c r="G139" s="524" t="str">
        <f>IF(D139="","",VLOOKUP(D139,'G-6 Hedgerow Data'!$B$2:$AG$15,3,FALSE))</f>
        <v/>
      </c>
      <c r="H139" s="72"/>
      <c r="I139" s="499" t="str">
        <f>IFERROR(IF(AND(F139="V.Low",OR(H139="Good",H139="Moderate")),"Error ▲",VLOOKUP(H139,'G-1 All Habitats'!$Z$2:$AA$9,2,FALSE)),"")</f>
        <v/>
      </c>
      <c r="J139" s="146"/>
      <c r="K139" s="520" t="str">
        <f>IF(J139="","",IF(VLOOKUP(J139,'G-3 Multipliers'!$L$3:$N$6,2,FALSE)=0,"Spatial Data Missing",VLOOKUP(J139,'G-3 Multipliers'!$L$3:$N$6,2,FALSE)))</f>
        <v/>
      </c>
      <c r="L139" s="524" t="str">
        <f>IF(J139="","",IF(VLOOKUP(J139,'G-3 Multipliers'!$L$3:$N$6,3,FALSE)=0,"Spatial Data Missing",VLOOKUP(J139,'G-3 Multipliers'!$L$3:$N$6,3,FALSE)))</f>
        <v/>
      </c>
      <c r="M139" s="197"/>
      <c r="N139" s="499" t="str">
        <f>IF(M139="","",IF(VLOOKUP(M139,'G-3 Multipliers'!$S$3:$T$6,2,FALSE)=0,"Spatial Data Missing ⚠",VLOOKUP(M139,'G-3 Multipliers'!$S$3:$T$6,2,FALSE)))</f>
        <v/>
      </c>
      <c r="O139" s="498" t="str">
        <f>IF(OR(D139="",H139=""),"",(INDEX('G-6 Hedgerow Data'!$E$3:$I$15,MATCH(D139,'G-6 Hedgerow Data'!$B$3:$B$15,0),MATCH(H139,'G-6 Hedgerow Data'!$E$2:$I$2,0))))</f>
        <v/>
      </c>
      <c r="P139" s="195"/>
      <c r="Q139" s="195"/>
      <c r="R139" s="507" t="str">
        <f t="shared" si="7"/>
        <v/>
      </c>
      <c r="S139" s="521" t="str">
        <f t="shared" si="8"/>
        <v/>
      </c>
      <c r="T139" s="522" t="str">
        <f t="shared" si="6"/>
        <v/>
      </c>
      <c r="U139" s="537" t="str">
        <f>IF(D139="","",VLOOKUP(D139,'G-6 Hedgerow Data'!$B$3:$AG$15,31,FALSE))</f>
        <v/>
      </c>
      <c r="V139" s="520" t="str">
        <f t="shared" si="9"/>
        <v/>
      </c>
      <c r="W139" s="520" t="str">
        <f t="shared" si="10"/>
        <v/>
      </c>
      <c r="X139" s="524" t="str">
        <f>IF(F139="","",VLOOKUP(U139,'G-3 Multipliers'!$P$3:$Q$6,2,FALSE))</f>
        <v/>
      </c>
      <c r="Y139" s="529" t="str">
        <f t="shared" si="11"/>
        <v/>
      </c>
      <c r="Z139" s="149"/>
      <c r="AA139" s="150"/>
      <c r="AG139" s="31" t="str">
        <f>IFERROR(INDEX('G-6 Hedgerow Data'!$BJ$3:$BJ$15,MATCH(D139,'G-6 Hedgerow Data'!$B$3:$B$15,0)),"")</f>
        <v/>
      </c>
    </row>
    <row r="140" spans="2:33" ht="14" x14ac:dyDescent="0.3">
      <c r="B140" s="103">
        <v>129</v>
      </c>
      <c r="C140" s="268"/>
      <c r="D140" s="82"/>
      <c r="E140" s="203"/>
      <c r="F140" s="498" t="str">
        <f>IF(D140="","",VLOOKUP(D140,'G-6 Hedgerow Data'!$B$2:$AG$15,2,FALSE))</f>
        <v/>
      </c>
      <c r="G140" s="524" t="str">
        <f>IF(D140="","",VLOOKUP(D140,'G-6 Hedgerow Data'!$B$2:$AG$15,3,FALSE))</f>
        <v/>
      </c>
      <c r="H140" s="72"/>
      <c r="I140" s="499" t="str">
        <f>IFERROR(IF(AND(F140="V.Low",OR(H140="Good",H140="Moderate")),"Error ▲",VLOOKUP(H140,'G-1 All Habitats'!$Z$2:$AA$9,2,FALSE)),"")</f>
        <v/>
      </c>
      <c r="J140" s="146"/>
      <c r="K140" s="520" t="str">
        <f>IF(J140="","",IF(VLOOKUP(J140,'G-3 Multipliers'!$L$3:$N$6,2,FALSE)=0,"Spatial Data Missing",VLOOKUP(J140,'G-3 Multipliers'!$L$3:$N$6,2,FALSE)))</f>
        <v/>
      </c>
      <c r="L140" s="524" t="str">
        <f>IF(J140="","",IF(VLOOKUP(J140,'G-3 Multipliers'!$L$3:$N$6,3,FALSE)=0,"Spatial Data Missing",VLOOKUP(J140,'G-3 Multipliers'!$L$3:$N$6,3,FALSE)))</f>
        <v/>
      </c>
      <c r="M140" s="197"/>
      <c r="N140" s="499" t="str">
        <f>IF(M140="","",IF(VLOOKUP(M140,'G-3 Multipliers'!$S$3:$T$6,2,FALSE)=0,"Spatial Data Missing ⚠",VLOOKUP(M140,'G-3 Multipliers'!$S$3:$T$6,2,FALSE)))</f>
        <v/>
      </c>
      <c r="O140" s="498" t="str">
        <f>IF(OR(D140="",H140=""),"",(INDEX('G-6 Hedgerow Data'!$E$3:$I$15,MATCH(D140,'G-6 Hedgerow Data'!$B$3:$B$15,0),MATCH(H140,'G-6 Hedgerow Data'!$E$2:$I$2,0))))</f>
        <v/>
      </c>
      <c r="P140" s="195"/>
      <c r="Q140" s="195"/>
      <c r="R140" s="507" t="str">
        <f t="shared" si="7"/>
        <v/>
      </c>
      <c r="S140" s="521" t="str">
        <f t="shared" si="8"/>
        <v/>
      </c>
      <c r="T140" s="522" t="str">
        <f t="shared" ref="T140:T203" si="12">IF(D140="","",IF(LEFT(R140,5)="Error ▲","Check Data ⚠",VLOOKUP(S140,TemporalMultipliers,3,FALSE)))</f>
        <v/>
      </c>
      <c r="U140" s="537" t="str">
        <f>IF(D140="","",VLOOKUP(D140,'G-6 Hedgerow Data'!$B$3:$AG$15,31,FALSE))</f>
        <v/>
      </c>
      <c r="V140" s="520" t="str">
        <f t="shared" si="9"/>
        <v/>
      </c>
      <c r="W140" s="520" t="str">
        <f t="shared" si="10"/>
        <v/>
      </c>
      <c r="X140" s="524" t="str">
        <f>IF(F140="","",VLOOKUP(U140,'G-3 Multipliers'!$P$3:$Q$6,2,FALSE))</f>
        <v/>
      </c>
      <c r="Y140" s="529" t="str">
        <f t="shared" si="11"/>
        <v/>
      </c>
      <c r="Z140" s="149"/>
      <c r="AA140" s="150"/>
      <c r="AG140" s="31" t="str">
        <f>IFERROR(INDEX('G-6 Hedgerow Data'!$BJ$3:$BJ$15,MATCH(D140,'G-6 Hedgerow Data'!$B$3:$B$15,0)),"")</f>
        <v/>
      </c>
    </row>
    <row r="141" spans="2:33" ht="14" x14ac:dyDescent="0.3">
      <c r="B141" s="103">
        <v>130</v>
      </c>
      <c r="C141" s="268"/>
      <c r="D141" s="82"/>
      <c r="E141" s="203"/>
      <c r="F141" s="498" t="str">
        <f>IF(D141="","",VLOOKUP(D141,'G-6 Hedgerow Data'!$B$2:$AG$15,2,FALSE))</f>
        <v/>
      </c>
      <c r="G141" s="524" t="str">
        <f>IF(D141="","",VLOOKUP(D141,'G-6 Hedgerow Data'!$B$2:$AG$15,3,FALSE))</f>
        <v/>
      </c>
      <c r="H141" s="72"/>
      <c r="I141" s="499" t="str">
        <f>IFERROR(IF(AND(F141="V.Low",OR(H141="Good",H141="Moderate")),"Error ▲",VLOOKUP(H141,'G-1 All Habitats'!$Z$2:$AA$9,2,FALSE)),"")</f>
        <v/>
      </c>
      <c r="J141" s="146"/>
      <c r="K141" s="520" t="str">
        <f>IF(J141="","",IF(VLOOKUP(J141,'G-3 Multipliers'!$L$3:$N$6,2,FALSE)=0,"Spatial Data Missing",VLOOKUP(J141,'G-3 Multipliers'!$L$3:$N$6,2,FALSE)))</f>
        <v/>
      </c>
      <c r="L141" s="524" t="str">
        <f>IF(J141="","",IF(VLOOKUP(J141,'G-3 Multipliers'!$L$3:$N$6,3,FALSE)=0,"Spatial Data Missing",VLOOKUP(J141,'G-3 Multipliers'!$L$3:$N$6,3,FALSE)))</f>
        <v/>
      </c>
      <c r="M141" s="197"/>
      <c r="N141" s="499" t="str">
        <f>IF(M141="","",IF(VLOOKUP(M141,'G-3 Multipliers'!$S$3:$T$6,2,FALSE)=0,"Spatial Data Missing ⚠",VLOOKUP(M141,'G-3 Multipliers'!$S$3:$T$6,2,FALSE)))</f>
        <v/>
      </c>
      <c r="O141" s="498" t="str">
        <f>IF(OR(D141="",H141=""),"",(INDEX('G-6 Hedgerow Data'!$E$3:$I$15,MATCH(D141,'G-6 Hedgerow Data'!$B$3:$B$15,0),MATCH(H141,'G-6 Hedgerow Data'!$E$2:$I$2,0))))</f>
        <v/>
      </c>
      <c r="P141" s="195"/>
      <c r="Q141" s="195"/>
      <c r="R141" s="507" t="str">
        <f t="shared" ref="R141:R204" si="13">IF(D141="","",IF(AND(P141&gt;0,Q141&gt;0),"Error -both advance and delayed habitat creation ▲",IF(AND(OR(P141="Habitat already in target condition",O141&lt;=P141),Q141=0),"Check details - Is there evidence that habitat has reached target condition? ⚠",IF(O141="","",IF(P141&gt;0,"Check details - Is there evidence habitat creation started/in place? ⚠",IF(Q141&gt;0,"Check details- Delay in starting habitat in required condition? ⚠","Standard time to target condition applied"))))))</f>
        <v/>
      </c>
      <c r="S141" s="521" t="str">
        <f t="shared" ref="S141:S204" si="14">IF(O141="","",IF(LEFT(R141,5)="Error ▲","Check Data ⚠",IF(OR(P141="30+",P141="Habitat already in target condition"),0,IF(Q141="30+","30+",IF(AND(O141="30+",OR(P141="",P141=0)),"30+ ⚠",IF(AND(O141="30+",P141&gt;0),32-P141,IF(O141+Q141&gt;30,"30+ ⚠",IF(O141+Q141-P141&gt;0,O141+Q141-P141,IF(O141-P141&lt;0,0,O141+Q141-P141)))))))))</f>
        <v/>
      </c>
      <c r="T141" s="522" t="str">
        <f t="shared" si="12"/>
        <v/>
      </c>
      <c r="U141" s="537" t="str">
        <f>IF(D141="","",VLOOKUP(D141,'G-6 Hedgerow Data'!$B$3:$AG$15,31,FALSE))</f>
        <v/>
      </c>
      <c r="V141" s="520" t="str">
        <f t="shared" ref="V141:V204" si="15">IF(D141="","",IF(S141="Check Data ⚠","Check Data ⚠",IF(H141="","",IF($R141="Check details - Is there evidence that habitat has reached target condition? ⚠","Low Difficulty - only applicable if all habitat created before losses","Standard difficulty applied"))))</f>
        <v/>
      </c>
      <c r="W141" s="520" t="str">
        <f t="shared" ref="W141:W204" si="16">(IF(AND(V141="Standard difficulty applied",O141&gt;P141),U141,IF(AND(V141="Low Difficulty - only applicable if all habitat created before losses",P141&gt;=O141),"Low",U141)))</f>
        <v/>
      </c>
      <c r="X141" s="524" t="str">
        <f>IF(F141="","",VLOOKUP(U141,'G-3 Multipliers'!$P$3:$Q$6,2,FALSE))</f>
        <v/>
      </c>
      <c r="Y141" s="529" t="str">
        <f t="shared" ref="Y141:Y204" si="17">IFERROR(E141*G141*I141*L141*T141*X141*N141,"")</f>
        <v/>
      </c>
      <c r="Z141" s="149"/>
      <c r="AA141" s="150"/>
      <c r="AG141" s="31" t="str">
        <f>IFERROR(INDEX('G-6 Hedgerow Data'!$BJ$3:$BJ$15,MATCH(D141,'G-6 Hedgerow Data'!$B$3:$B$15,0)),"")</f>
        <v/>
      </c>
    </row>
    <row r="142" spans="2:33" ht="14" x14ac:dyDescent="0.3">
      <c r="B142" s="103">
        <v>131</v>
      </c>
      <c r="C142" s="268"/>
      <c r="D142" s="82"/>
      <c r="E142" s="203"/>
      <c r="F142" s="498" t="str">
        <f>IF(D142="","",VLOOKUP(D142,'G-6 Hedgerow Data'!$B$2:$AG$15,2,FALSE))</f>
        <v/>
      </c>
      <c r="G142" s="524" t="str">
        <f>IF(D142="","",VLOOKUP(D142,'G-6 Hedgerow Data'!$B$2:$AG$15,3,FALSE))</f>
        <v/>
      </c>
      <c r="H142" s="72"/>
      <c r="I142" s="499" t="str">
        <f>IFERROR(IF(AND(F142="V.Low",OR(H142="Good",H142="Moderate")),"Error ▲",VLOOKUP(H142,'G-1 All Habitats'!$Z$2:$AA$9,2,FALSE)),"")</f>
        <v/>
      </c>
      <c r="J142" s="146"/>
      <c r="K142" s="520" t="str">
        <f>IF(J142="","",IF(VLOOKUP(J142,'G-3 Multipliers'!$L$3:$N$6,2,FALSE)=0,"Spatial Data Missing",VLOOKUP(J142,'G-3 Multipliers'!$L$3:$N$6,2,FALSE)))</f>
        <v/>
      </c>
      <c r="L142" s="524" t="str">
        <f>IF(J142="","",IF(VLOOKUP(J142,'G-3 Multipliers'!$L$3:$N$6,3,FALSE)=0,"Spatial Data Missing",VLOOKUP(J142,'G-3 Multipliers'!$L$3:$N$6,3,FALSE)))</f>
        <v/>
      </c>
      <c r="M142" s="197"/>
      <c r="N142" s="499" t="str">
        <f>IF(M142="","",IF(VLOOKUP(M142,'G-3 Multipliers'!$S$3:$T$6,2,FALSE)=0,"Spatial Data Missing ⚠",VLOOKUP(M142,'G-3 Multipliers'!$S$3:$T$6,2,FALSE)))</f>
        <v/>
      </c>
      <c r="O142" s="498" t="str">
        <f>IF(OR(D142="",H142=""),"",(INDEX('G-6 Hedgerow Data'!$E$3:$I$15,MATCH(D142,'G-6 Hedgerow Data'!$B$3:$B$15,0),MATCH(H142,'G-6 Hedgerow Data'!$E$2:$I$2,0))))</f>
        <v/>
      </c>
      <c r="P142" s="195"/>
      <c r="Q142" s="195"/>
      <c r="R142" s="507" t="str">
        <f t="shared" si="13"/>
        <v/>
      </c>
      <c r="S142" s="521" t="str">
        <f t="shared" si="14"/>
        <v/>
      </c>
      <c r="T142" s="522" t="str">
        <f t="shared" si="12"/>
        <v/>
      </c>
      <c r="U142" s="537" t="str">
        <f>IF(D142="","",VLOOKUP(D142,'G-6 Hedgerow Data'!$B$3:$AG$15,31,FALSE))</f>
        <v/>
      </c>
      <c r="V142" s="520" t="str">
        <f t="shared" si="15"/>
        <v/>
      </c>
      <c r="W142" s="520" t="str">
        <f t="shared" si="16"/>
        <v/>
      </c>
      <c r="X142" s="524" t="str">
        <f>IF(F142="","",VLOOKUP(U142,'G-3 Multipliers'!$P$3:$Q$6,2,FALSE))</f>
        <v/>
      </c>
      <c r="Y142" s="529" t="str">
        <f t="shared" si="17"/>
        <v/>
      </c>
      <c r="Z142" s="149"/>
      <c r="AA142" s="150"/>
      <c r="AG142" s="31" t="str">
        <f>IFERROR(INDEX('G-6 Hedgerow Data'!$BJ$3:$BJ$15,MATCH(D142,'G-6 Hedgerow Data'!$B$3:$B$15,0)),"")</f>
        <v/>
      </c>
    </row>
    <row r="143" spans="2:33" ht="14" x14ac:dyDescent="0.3">
      <c r="B143" s="103">
        <v>132</v>
      </c>
      <c r="C143" s="268"/>
      <c r="D143" s="82"/>
      <c r="E143" s="203"/>
      <c r="F143" s="498" t="str">
        <f>IF(D143="","",VLOOKUP(D143,'G-6 Hedgerow Data'!$B$2:$AG$15,2,FALSE))</f>
        <v/>
      </c>
      <c r="G143" s="524" t="str">
        <f>IF(D143="","",VLOOKUP(D143,'G-6 Hedgerow Data'!$B$2:$AG$15,3,FALSE))</f>
        <v/>
      </c>
      <c r="H143" s="72"/>
      <c r="I143" s="499" t="str">
        <f>IFERROR(IF(AND(F143="V.Low",OR(H143="Good",H143="Moderate")),"Error ▲",VLOOKUP(H143,'G-1 All Habitats'!$Z$2:$AA$9,2,FALSE)),"")</f>
        <v/>
      </c>
      <c r="J143" s="146"/>
      <c r="K143" s="520" t="str">
        <f>IF(J143="","",IF(VLOOKUP(J143,'G-3 Multipliers'!$L$3:$N$6,2,FALSE)=0,"Spatial Data Missing",VLOOKUP(J143,'G-3 Multipliers'!$L$3:$N$6,2,FALSE)))</f>
        <v/>
      </c>
      <c r="L143" s="524" t="str">
        <f>IF(J143="","",IF(VLOOKUP(J143,'G-3 Multipliers'!$L$3:$N$6,3,FALSE)=0,"Spatial Data Missing",VLOOKUP(J143,'G-3 Multipliers'!$L$3:$N$6,3,FALSE)))</f>
        <v/>
      </c>
      <c r="M143" s="197"/>
      <c r="N143" s="499" t="str">
        <f>IF(M143="","",IF(VLOOKUP(M143,'G-3 Multipliers'!$S$3:$T$6,2,FALSE)=0,"Spatial Data Missing ⚠",VLOOKUP(M143,'G-3 Multipliers'!$S$3:$T$6,2,FALSE)))</f>
        <v/>
      </c>
      <c r="O143" s="498" t="str">
        <f>IF(OR(D143="",H143=""),"",(INDEX('G-6 Hedgerow Data'!$E$3:$I$15,MATCH(D143,'G-6 Hedgerow Data'!$B$3:$B$15,0),MATCH(H143,'G-6 Hedgerow Data'!$E$2:$I$2,0))))</f>
        <v/>
      </c>
      <c r="P143" s="195"/>
      <c r="Q143" s="195"/>
      <c r="R143" s="507" t="str">
        <f t="shared" si="13"/>
        <v/>
      </c>
      <c r="S143" s="521" t="str">
        <f t="shared" si="14"/>
        <v/>
      </c>
      <c r="T143" s="522" t="str">
        <f t="shared" si="12"/>
        <v/>
      </c>
      <c r="U143" s="537" t="str">
        <f>IF(D143="","",VLOOKUP(D143,'G-6 Hedgerow Data'!$B$3:$AG$15,31,FALSE))</f>
        <v/>
      </c>
      <c r="V143" s="520" t="str">
        <f t="shared" si="15"/>
        <v/>
      </c>
      <c r="W143" s="520" t="str">
        <f t="shared" si="16"/>
        <v/>
      </c>
      <c r="X143" s="524" t="str">
        <f>IF(F143="","",VLOOKUP(U143,'G-3 Multipliers'!$P$3:$Q$6,2,FALSE))</f>
        <v/>
      </c>
      <c r="Y143" s="529" t="str">
        <f t="shared" si="17"/>
        <v/>
      </c>
      <c r="Z143" s="149"/>
      <c r="AA143" s="150"/>
      <c r="AG143" s="31" t="str">
        <f>IFERROR(INDEX('G-6 Hedgerow Data'!$BJ$3:$BJ$15,MATCH(D143,'G-6 Hedgerow Data'!$B$3:$B$15,0)),"")</f>
        <v/>
      </c>
    </row>
    <row r="144" spans="2:33" ht="14" x14ac:dyDescent="0.3">
      <c r="B144" s="103">
        <v>133</v>
      </c>
      <c r="C144" s="268"/>
      <c r="D144" s="82"/>
      <c r="E144" s="203"/>
      <c r="F144" s="498" t="str">
        <f>IF(D144="","",VLOOKUP(D144,'G-6 Hedgerow Data'!$B$2:$AG$15,2,FALSE))</f>
        <v/>
      </c>
      <c r="G144" s="524" t="str">
        <f>IF(D144="","",VLOOKUP(D144,'G-6 Hedgerow Data'!$B$2:$AG$15,3,FALSE))</f>
        <v/>
      </c>
      <c r="H144" s="72"/>
      <c r="I144" s="499" t="str">
        <f>IFERROR(IF(AND(F144="V.Low",OR(H144="Good",H144="Moderate")),"Error ▲",VLOOKUP(H144,'G-1 All Habitats'!$Z$2:$AA$9,2,FALSE)),"")</f>
        <v/>
      </c>
      <c r="J144" s="146"/>
      <c r="K144" s="520" t="str">
        <f>IF(J144="","",IF(VLOOKUP(J144,'G-3 Multipliers'!$L$3:$N$6,2,FALSE)=0,"Spatial Data Missing",VLOOKUP(J144,'G-3 Multipliers'!$L$3:$N$6,2,FALSE)))</f>
        <v/>
      </c>
      <c r="L144" s="524" t="str">
        <f>IF(J144="","",IF(VLOOKUP(J144,'G-3 Multipliers'!$L$3:$N$6,3,FALSE)=0,"Spatial Data Missing",VLOOKUP(J144,'G-3 Multipliers'!$L$3:$N$6,3,FALSE)))</f>
        <v/>
      </c>
      <c r="M144" s="197"/>
      <c r="N144" s="499" t="str">
        <f>IF(M144="","",IF(VLOOKUP(M144,'G-3 Multipliers'!$S$3:$T$6,2,FALSE)=0,"Spatial Data Missing ⚠",VLOOKUP(M144,'G-3 Multipliers'!$S$3:$T$6,2,FALSE)))</f>
        <v/>
      </c>
      <c r="O144" s="498" t="str">
        <f>IF(OR(D144="",H144=""),"",(INDEX('G-6 Hedgerow Data'!$E$3:$I$15,MATCH(D144,'G-6 Hedgerow Data'!$B$3:$B$15,0),MATCH(H144,'G-6 Hedgerow Data'!$E$2:$I$2,0))))</f>
        <v/>
      </c>
      <c r="P144" s="195"/>
      <c r="Q144" s="195"/>
      <c r="R144" s="507" t="str">
        <f t="shared" si="13"/>
        <v/>
      </c>
      <c r="S144" s="521" t="str">
        <f t="shared" si="14"/>
        <v/>
      </c>
      <c r="T144" s="522" t="str">
        <f t="shared" si="12"/>
        <v/>
      </c>
      <c r="U144" s="537" t="str">
        <f>IF(D144="","",VLOOKUP(D144,'G-6 Hedgerow Data'!$B$3:$AG$15,31,FALSE))</f>
        <v/>
      </c>
      <c r="V144" s="520" t="str">
        <f t="shared" si="15"/>
        <v/>
      </c>
      <c r="W144" s="520" t="str">
        <f t="shared" si="16"/>
        <v/>
      </c>
      <c r="X144" s="524" t="str">
        <f>IF(F144="","",VLOOKUP(U144,'G-3 Multipliers'!$P$3:$Q$6,2,FALSE))</f>
        <v/>
      </c>
      <c r="Y144" s="529" t="str">
        <f t="shared" si="17"/>
        <v/>
      </c>
      <c r="Z144" s="149"/>
      <c r="AA144" s="150"/>
      <c r="AG144" s="31" t="str">
        <f>IFERROR(INDEX('G-6 Hedgerow Data'!$BJ$3:$BJ$15,MATCH(D144,'G-6 Hedgerow Data'!$B$3:$B$15,0)),"")</f>
        <v/>
      </c>
    </row>
    <row r="145" spans="2:33" ht="14" x14ac:dyDescent="0.3">
      <c r="B145" s="103">
        <v>134</v>
      </c>
      <c r="C145" s="268"/>
      <c r="D145" s="82"/>
      <c r="E145" s="203"/>
      <c r="F145" s="498" t="str">
        <f>IF(D145="","",VLOOKUP(D145,'G-6 Hedgerow Data'!$B$2:$AG$15,2,FALSE))</f>
        <v/>
      </c>
      <c r="G145" s="524" t="str">
        <f>IF(D145="","",VLOOKUP(D145,'G-6 Hedgerow Data'!$B$2:$AG$15,3,FALSE))</f>
        <v/>
      </c>
      <c r="H145" s="72"/>
      <c r="I145" s="499" t="str">
        <f>IFERROR(IF(AND(F145="V.Low",OR(H145="Good",H145="Moderate")),"Error ▲",VLOOKUP(H145,'G-1 All Habitats'!$Z$2:$AA$9,2,FALSE)),"")</f>
        <v/>
      </c>
      <c r="J145" s="146"/>
      <c r="K145" s="520" t="str">
        <f>IF(J145="","",IF(VLOOKUP(J145,'G-3 Multipliers'!$L$3:$N$6,2,FALSE)=0,"Spatial Data Missing",VLOOKUP(J145,'G-3 Multipliers'!$L$3:$N$6,2,FALSE)))</f>
        <v/>
      </c>
      <c r="L145" s="524" t="str">
        <f>IF(J145="","",IF(VLOOKUP(J145,'G-3 Multipliers'!$L$3:$N$6,3,FALSE)=0,"Spatial Data Missing",VLOOKUP(J145,'G-3 Multipliers'!$L$3:$N$6,3,FALSE)))</f>
        <v/>
      </c>
      <c r="M145" s="197"/>
      <c r="N145" s="499" t="str">
        <f>IF(M145="","",IF(VLOOKUP(M145,'G-3 Multipliers'!$S$3:$T$6,2,FALSE)=0,"Spatial Data Missing ⚠",VLOOKUP(M145,'G-3 Multipliers'!$S$3:$T$6,2,FALSE)))</f>
        <v/>
      </c>
      <c r="O145" s="498" t="str">
        <f>IF(OR(D145="",H145=""),"",(INDEX('G-6 Hedgerow Data'!$E$3:$I$15,MATCH(D145,'G-6 Hedgerow Data'!$B$3:$B$15,0),MATCH(H145,'G-6 Hedgerow Data'!$E$2:$I$2,0))))</f>
        <v/>
      </c>
      <c r="P145" s="195"/>
      <c r="Q145" s="195"/>
      <c r="R145" s="507" t="str">
        <f t="shared" si="13"/>
        <v/>
      </c>
      <c r="S145" s="521" t="str">
        <f t="shared" si="14"/>
        <v/>
      </c>
      <c r="T145" s="522" t="str">
        <f t="shared" si="12"/>
        <v/>
      </c>
      <c r="U145" s="537" t="str">
        <f>IF(D145="","",VLOOKUP(D145,'G-6 Hedgerow Data'!$B$3:$AG$15,31,FALSE))</f>
        <v/>
      </c>
      <c r="V145" s="520" t="str">
        <f t="shared" si="15"/>
        <v/>
      </c>
      <c r="W145" s="520" t="str">
        <f t="shared" si="16"/>
        <v/>
      </c>
      <c r="X145" s="524" t="str">
        <f>IF(F145="","",VLOOKUP(U145,'G-3 Multipliers'!$P$3:$Q$6,2,FALSE))</f>
        <v/>
      </c>
      <c r="Y145" s="529" t="str">
        <f t="shared" si="17"/>
        <v/>
      </c>
      <c r="Z145" s="149"/>
      <c r="AA145" s="150"/>
      <c r="AG145" s="31" t="str">
        <f>IFERROR(INDEX('G-6 Hedgerow Data'!$BJ$3:$BJ$15,MATCH(D145,'G-6 Hedgerow Data'!$B$3:$B$15,0)),"")</f>
        <v/>
      </c>
    </row>
    <row r="146" spans="2:33" ht="14" x14ac:dyDescent="0.3">
      <c r="B146" s="103">
        <v>135</v>
      </c>
      <c r="C146" s="268"/>
      <c r="D146" s="82"/>
      <c r="E146" s="203"/>
      <c r="F146" s="498" t="str">
        <f>IF(D146="","",VLOOKUP(D146,'G-6 Hedgerow Data'!$B$2:$AG$15,2,FALSE))</f>
        <v/>
      </c>
      <c r="G146" s="524" t="str">
        <f>IF(D146="","",VLOOKUP(D146,'G-6 Hedgerow Data'!$B$2:$AG$15,3,FALSE))</f>
        <v/>
      </c>
      <c r="H146" s="72"/>
      <c r="I146" s="499" t="str">
        <f>IFERROR(IF(AND(F146="V.Low",OR(H146="Good",H146="Moderate")),"Error ▲",VLOOKUP(H146,'G-1 All Habitats'!$Z$2:$AA$9,2,FALSE)),"")</f>
        <v/>
      </c>
      <c r="J146" s="146"/>
      <c r="K146" s="520" t="str">
        <f>IF(J146="","",IF(VLOOKUP(J146,'G-3 Multipliers'!$L$3:$N$6,2,FALSE)=0,"Spatial Data Missing",VLOOKUP(J146,'G-3 Multipliers'!$L$3:$N$6,2,FALSE)))</f>
        <v/>
      </c>
      <c r="L146" s="524" t="str">
        <f>IF(J146="","",IF(VLOOKUP(J146,'G-3 Multipliers'!$L$3:$N$6,3,FALSE)=0,"Spatial Data Missing",VLOOKUP(J146,'G-3 Multipliers'!$L$3:$N$6,3,FALSE)))</f>
        <v/>
      </c>
      <c r="M146" s="197"/>
      <c r="N146" s="499" t="str">
        <f>IF(M146="","",IF(VLOOKUP(M146,'G-3 Multipliers'!$S$3:$T$6,2,FALSE)=0,"Spatial Data Missing ⚠",VLOOKUP(M146,'G-3 Multipliers'!$S$3:$T$6,2,FALSE)))</f>
        <v/>
      </c>
      <c r="O146" s="498" t="str">
        <f>IF(OR(D146="",H146=""),"",(INDEX('G-6 Hedgerow Data'!$E$3:$I$15,MATCH(D146,'G-6 Hedgerow Data'!$B$3:$B$15,0),MATCH(H146,'G-6 Hedgerow Data'!$E$2:$I$2,0))))</f>
        <v/>
      </c>
      <c r="P146" s="195"/>
      <c r="Q146" s="195"/>
      <c r="R146" s="507" t="str">
        <f t="shared" si="13"/>
        <v/>
      </c>
      <c r="S146" s="521" t="str">
        <f t="shared" si="14"/>
        <v/>
      </c>
      <c r="T146" s="522" t="str">
        <f t="shared" si="12"/>
        <v/>
      </c>
      <c r="U146" s="537" t="str">
        <f>IF(D146="","",VLOOKUP(D146,'G-6 Hedgerow Data'!$B$3:$AG$15,31,FALSE))</f>
        <v/>
      </c>
      <c r="V146" s="520" t="str">
        <f t="shared" si="15"/>
        <v/>
      </c>
      <c r="W146" s="520" t="str">
        <f t="shared" si="16"/>
        <v/>
      </c>
      <c r="X146" s="524" t="str">
        <f>IF(F146="","",VLOOKUP(U146,'G-3 Multipliers'!$P$3:$Q$6,2,FALSE))</f>
        <v/>
      </c>
      <c r="Y146" s="529" t="str">
        <f t="shared" si="17"/>
        <v/>
      </c>
      <c r="Z146" s="149"/>
      <c r="AA146" s="150"/>
      <c r="AG146" s="31" t="str">
        <f>IFERROR(INDEX('G-6 Hedgerow Data'!$BJ$3:$BJ$15,MATCH(D146,'G-6 Hedgerow Data'!$B$3:$B$15,0)),"")</f>
        <v/>
      </c>
    </row>
    <row r="147" spans="2:33" ht="14" x14ac:dyDescent="0.3">
      <c r="B147" s="103">
        <v>136</v>
      </c>
      <c r="C147" s="268"/>
      <c r="D147" s="82"/>
      <c r="E147" s="203"/>
      <c r="F147" s="498" t="str">
        <f>IF(D147="","",VLOOKUP(D147,'G-6 Hedgerow Data'!$B$2:$AG$15,2,FALSE))</f>
        <v/>
      </c>
      <c r="G147" s="524" t="str">
        <f>IF(D147="","",VLOOKUP(D147,'G-6 Hedgerow Data'!$B$2:$AG$15,3,FALSE))</f>
        <v/>
      </c>
      <c r="H147" s="72"/>
      <c r="I147" s="499" t="str">
        <f>IFERROR(IF(AND(F147="V.Low",OR(H147="Good",H147="Moderate")),"Error ▲",VLOOKUP(H147,'G-1 All Habitats'!$Z$2:$AA$9,2,FALSE)),"")</f>
        <v/>
      </c>
      <c r="J147" s="146"/>
      <c r="K147" s="520" t="str">
        <f>IF(J147="","",IF(VLOOKUP(J147,'G-3 Multipliers'!$L$3:$N$6,2,FALSE)=0,"Spatial Data Missing",VLOOKUP(J147,'G-3 Multipliers'!$L$3:$N$6,2,FALSE)))</f>
        <v/>
      </c>
      <c r="L147" s="524" t="str">
        <f>IF(J147="","",IF(VLOOKUP(J147,'G-3 Multipliers'!$L$3:$N$6,3,FALSE)=0,"Spatial Data Missing",VLOOKUP(J147,'G-3 Multipliers'!$L$3:$N$6,3,FALSE)))</f>
        <v/>
      </c>
      <c r="M147" s="197"/>
      <c r="N147" s="499" t="str">
        <f>IF(M147="","",IF(VLOOKUP(M147,'G-3 Multipliers'!$S$3:$T$6,2,FALSE)=0,"Spatial Data Missing ⚠",VLOOKUP(M147,'G-3 Multipliers'!$S$3:$T$6,2,FALSE)))</f>
        <v/>
      </c>
      <c r="O147" s="498" t="str">
        <f>IF(OR(D147="",H147=""),"",(INDEX('G-6 Hedgerow Data'!$E$3:$I$15,MATCH(D147,'G-6 Hedgerow Data'!$B$3:$B$15,0),MATCH(H147,'G-6 Hedgerow Data'!$E$2:$I$2,0))))</f>
        <v/>
      </c>
      <c r="P147" s="195"/>
      <c r="Q147" s="195"/>
      <c r="R147" s="507" t="str">
        <f t="shared" si="13"/>
        <v/>
      </c>
      <c r="S147" s="521" t="str">
        <f t="shared" si="14"/>
        <v/>
      </c>
      <c r="T147" s="522" t="str">
        <f t="shared" si="12"/>
        <v/>
      </c>
      <c r="U147" s="537" t="str">
        <f>IF(D147="","",VLOOKUP(D147,'G-6 Hedgerow Data'!$B$3:$AG$15,31,FALSE))</f>
        <v/>
      </c>
      <c r="V147" s="520" t="str">
        <f t="shared" si="15"/>
        <v/>
      </c>
      <c r="W147" s="520" t="str">
        <f t="shared" si="16"/>
        <v/>
      </c>
      <c r="X147" s="524" t="str">
        <f>IF(F147="","",VLOOKUP(U147,'G-3 Multipliers'!$P$3:$Q$6,2,FALSE))</f>
        <v/>
      </c>
      <c r="Y147" s="529" t="str">
        <f t="shared" si="17"/>
        <v/>
      </c>
      <c r="Z147" s="149"/>
      <c r="AA147" s="150"/>
      <c r="AG147" s="31" t="str">
        <f>IFERROR(INDEX('G-6 Hedgerow Data'!$BJ$3:$BJ$15,MATCH(D147,'G-6 Hedgerow Data'!$B$3:$B$15,0)),"")</f>
        <v/>
      </c>
    </row>
    <row r="148" spans="2:33" ht="14" x14ac:dyDescent="0.3">
      <c r="B148" s="103">
        <v>137</v>
      </c>
      <c r="C148" s="268"/>
      <c r="D148" s="82"/>
      <c r="E148" s="203"/>
      <c r="F148" s="498" t="str">
        <f>IF(D148="","",VLOOKUP(D148,'G-6 Hedgerow Data'!$B$2:$AG$15,2,FALSE))</f>
        <v/>
      </c>
      <c r="G148" s="524" t="str">
        <f>IF(D148="","",VLOOKUP(D148,'G-6 Hedgerow Data'!$B$2:$AG$15,3,FALSE))</f>
        <v/>
      </c>
      <c r="H148" s="72"/>
      <c r="I148" s="499" t="str">
        <f>IFERROR(IF(AND(F148="V.Low",OR(H148="Good",H148="Moderate")),"Error ▲",VLOOKUP(H148,'G-1 All Habitats'!$Z$2:$AA$9,2,FALSE)),"")</f>
        <v/>
      </c>
      <c r="J148" s="146"/>
      <c r="K148" s="520" t="str">
        <f>IF(J148="","",IF(VLOOKUP(J148,'G-3 Multipliers'!$L$3:$N$6,2,FALSE)=0,"Spatial Data Missing",VLOOKUP(J148,'G-3 Multipliers'!$L$3:$N$6,2,FALSE)))</f>
        <v/>
      </c>
      <c r="L148" s="524" t="str">
        <f>IF(J148="","",IF(VLOOKUP(J148,'G-3 Multipliers'!$L$3:$N$6,3,FALSE)=0,"Spatial Data Missing",VLOOKUP(J148,'G-3 Multipliers'!$L$3:$N$6,3,FALSE)))</f>
        <v/>
      </c>
      <c r="M148" s="197"/>
      <c r="N148" s="499" t="str">
        <f>IF(M148="","",IF(VLOOKUP(M148,'G-3 Multipliers'!$S$3:$T$6,2,FALSE)=0,"Spatial Data Missing ⚠",VLOOKUP(M148,'G-3 Multipliers'!$S$3:$T$6,2,FALSE)))</f>
        <v/>
      </c>
      <c r="O148" s="498" t="str">
        <f>IF(OR(D148="",H148=""),"",(INDEX('G-6 Hedgerow Data'!$E$3:$I$15,MATCH(D148,'G-6 Hedgerow Data'!$B$3:$B$15,0),MATCH(H148,'G-6 Hedgerow Data'!$E$2:$I$2,0))))</f>
        <v/>
      </c>
      <c r="P148" s="195"/>
      <c r="Q148" s="195"/>
      <c r="R148" s="507" t="str">
        <f t="shared" si="13"/>
        <v/>
      </c>
      <c r="S148" s="521" t="str">
        <f t="shared" si="14"/>
        <v/>
      </c>
      <c r="T148" s="522" t="str">
        <f t="shared" si="12"/>
        <v/>
      </c>
      <c r="U148" s="537" t="str">
        <f>IF(D148="","",VLOOKUP(D148,'G-6 Hedgerow Data'!$B$3:$AG$15,31,FALSE))</f>
        <v/>
      </c>
      <c r="V148" s="520" t="str">
        <f t="shared" si="15"/>
        <v/>
      </c>
      <c r="W148" s="520" t="str">
        <f t="shared" si="16"/>
        <v/>
      </c>
      <c r="X148" s="524" t="str">
        <f>IF(F148="","",VLOOKUP(U148,'G-3 Multipliers'!$P$3:$Q$6,2,FALSE))</f>
        <v/>
      </c>
      <c r="Y148" s="529" t="str">
        <f t="shared" si="17"/>
        <v/>
      </c>
      <c r="Z148" s="149"/>
      <c r="AA148" s="150"/>
      <c r="AG148" s="31" t="str">
        <f>IFERROR(INDEX('G-6 Hedgerow Data'!$BJ$3:$BJ$15,MATCH(D148,'G-6 Hedgerow Data'!$B$3:$B$15,0)),"")</f>
        <v/>
      </c>
    </row>
    <row r="149" spans="2:33" ht="14" x14ac:dyDescent="0.3">
      <c r="B149" s="103">
        <v>138</v>
      </c>
      <c r="C149" s="268"/>
      <c r="D149" s="82"/>
      <c r="E149" s="203"/>
      <c r="F149" s="498" t="str">
        <f>IF(D149="","",VLOOKUP(D149,'G-6 Hedgerow Data'!$B$2:$AG$15,2,FALSE))</f>
        <v/>
      </c>
      <c r="G149" s="524" t="str">
        <f>IF(D149="","",VLOOKUP(D149,'G-6 Hedgerow Data'!$B$2:$AG$15,3,FALSE))</f>
        <v/>
      </c>
      <c r="H149" s="72"/>
      <c r="I149" s="499" t="str">
        <f>IFERROR(IF(AND(F149="V.Low",OR(H149="Good",H149="Moderate")),"Error ▲",VLOOKUP(H149,'G-1 All Habitats'!$Z$2:$AA$9,2,FALSE)),"")</f>
        <v/>
      </c>
      <c r="J149" s="146"/>
      <c r="K149" s="520" t="str">
        <f>IF(J149="","",IF(VLOOKUP(J149,'G-3 Multipliers'!$L$3:$N$6,2,FALSE)=0,"Spatial Data Missing",VLOOKUP(J149,'G-3 Multipliers'!$L$3:$N$6,2,FALSE)))</f>
        <v/>
      </c>
      <c r="L149" s="524" t="str">
        <f>IF(J149="","",IF(VLOOKUP(J149,'G-3 Multipliers'!$L$3:$N$6,3,FALSE)=0,"Spatial Data Missing",VLOOKUP(J149,'G-3 Multipliers'!$L$3:$N$6,3,FALSE)))</f>
        <v/>
      </c>
      <c r="M149" s="197"/>
      <c r="N149" s="499" t="str">
        <f>IF(M149="","",IF(VLOOKUP(M149,'G-3 Multipliers'!$S$3:$T$6,2,FALSE)=0,"Spatial Data Missing ⚠",VLOOKUP(M149,'G-3 Multipliers'!$S$3:$T$6,2,FALSE)))</f>
        <v/>
      </c>
      <c r="O149" s="498" t="str">
        <f>IF(OR(D149="",H149=""),"",(INDEX('G-6 Hedgerow Data'!$E$3:$I$15,MATCH(D149,'G-6 Hedgerow Data'!$B$3:$B$15,0),MATCH(H149,'G-6 Hedgerow Data'!$E$2:$I$2,0))))</f>
        <v/>
      </c>
      <c r="P149" s="195"/>
      <c r="Q149" s="195"/>
      <c r="R149" s="507" t="str">
        <f t="shared" si="13"/>
        <v/>
      </c>
      <c r="S149" s="521" t="str">
        <f t="shared" si="14"/>
        <v/>
      </c>
      <c r="T149" s="522" t="str">
        <f t="shared" si="12"/>
        <v/>
      </c>
      <c r="U149" s="537" t="str">
        <f>IF(D149="","",VLOOKUP(D149,'G-6 Hedgerow Data'!$B$3:$AG$15,31,FALSE))</f>
        <v/>
      </c>
      <c r="V149" s="520" t="str">
        <f t="shared" si="15"/>
        <v/>
      </c>
      <c r="W149" s="520" t="str">
        <f t="shared" si="16"/>
        <v/>
      </c>
      <c r="X149" s="524" t="str">
        <f>IF(F149="","",VLOOKUP(U149,'G-3 Multipliers'!$P$3:$Q$6,2,FALSE))</f>
        <v/>
      </c>
      <c r="Y149" s="529" t="str">
        <f t="shared" si="17"/>
        <v/>
      </c>
      <c r="Z149" s="149"/>
      <c r="AA149" s="150"/>
      <c r="AG149" s="31" t="str">
        <f>IFERROR(INDEX('G-6 Hedgerow Data'!$BJ$3:$BJ$15,MATCH(D149,'G-6 Hedgerow Data'!$B$3:$B$15,0)),"")</f>
        <v/>
      </c>
    </row>
    <row r="150" spans="2:33" ht="14" x14ac:dyDescent="0.3">
      <c r="B150" s="103">
        <v>139</v>
      </c>
      <c r="C150" s="268"/>
      <c r="D150" s="82"/>
      <c r="E150" s="203"/>
      <c r="F150" s="498" t="str">
        <f>IF(D150="","",VLOOKUP(D150,'G-6 Hedgerow Data'!$B$2:$AG$15,2,FALSE))</f>
        <v/>
      </c>
      <c r="G150" s="524" t="str">
        <f>IF(D150="","",VLOOKUP(D150,'G-6 Hedgerow Data'!$B$2:$AG$15,3,FALSE))</f>
        <v/>
      </c>
      <c r="H150" s="72"/>
      <c r="I150" s="499" t="str">
        <f>IFERROR(IF(AND(F150="V.Low",OR(H150="Good",H150="Moderate")),"Error ▲",VLOOKUP(H150,'G-1 All Habitats'!$Z$2:$AA$9,2,FALSE)),"")</f>
        <v/>
      </c>
      <c r="J150" s="146"/>
      <c r="K150" s="520" t="str">
        <f>IF(J150="","",IF(VLOOKUP(J150,'G-3 Multipliers'!$L$3:$N$6,2,FALSE)=0,"Spatial Data Missing",VLOOKUP(J150,'G-3 Multipliers'!$L$3:$N$6,2,FALSE)))</f>
        <v/>
      </c>
      <c r="L150" s="524" t="str">
        <f>IF(J150="","",IF(VLOOKUP(J150,'G-3 Multipliers'!$L$3:$N$6,3,FALSE)=0,"Spatial Data Missing",VLOOKUP(J150,'G-3 Multipliers'!$L$3:$N$6,3,FALSE)))</f>
        <v/>
      </c>
      <c r="M150" s="197"/>
      <c r="N150" s="499" t="str">
        <f>IF(M150="","",IF(VLOOKUP(M150,'G-3 Multipliers'!$S$3:$T$6,2,FALSE)=0,"Spatial Data Missing ⚠",VLOOKUP(M150,'G-3 Multipliers'!$S$3:$T$6,2,FALSE)))</f>
        <v/>
      </c>
      <c r="O150" s="498" t="str">
        <f>IF(OR(D150="",H150=""),"",(INDEX('G-6 Hedgerow Data'!$E$3:$I$15,MATCH(D150,'G-6 Hedgerow Data'!$B$3:$B$15,0),MATCH(H150,'G-6 Hedgerow Data'!$E$2:$I$2,0))))</f>
        <v/>
      </c>
      <c r="P150" s="195"/>
      <c r="Q150" s="195"/>
      <c r="R150" s="507" t="str">
        <f t="shared" si="13"/>
        <v/>
      </c>
      <c r="S150" s="521" t="str">
        <f t="shared" si="14"/>
        <v/>
      </c>
      <c r="T150" s="522" t="str">
        <f t="shared" si="12"/>
        <v/>
      </c>
      <c r="U150" s="537" t="str">
        <f>IF(D150="","",VLOOKUP(D150,'G-6 Hedgerow Data'!$B$3:$AG$15,31,FALSE))</f>
        <v/>
      </c>
      <c r="V150" s="520" t="str">
        <f t="shared" si="15"/>
        <v/>
      </c>
      <c r="W150" s="520" t="str">
        <f t="shared" si="16"/>
        <v/>
      </c>
      <c r="X150" s="524" t="str">
        <f>IF(F150="","",VLOOKUP(U150,'G-3 Multipliers'!$P$3:$Q$6,2,FALSE))</f>
        <v/>
      </c>
      <c r="Y150" s="529" t="str">
        <f t="shared" si="17"/>
        <v/>
      </c>
      <c r="Z150" s="149"/>
      <c r="AA150" s="150"/>
      <c r="AG150" s="31" t="str">
        <f>IFERROR(INDEX('G-6 Hedgerow Data'!$BJ$3:$BJ$15,MATCH(D150,'G-6 Hedgerow Data'!$B$3:$B$15,0)),"")</f>
        <v/>
      </c>
    </row>
    <row r="151" spans="2:33" ht="14" x14ac:dyDescent="0.3">
      <c r="B151" s="103">
        <v>140</v>
      </c>
      <c r="C151" s="268"/>
      <c r="D151" s="82"/>
      <c r="E151" s="203"/>
      <c r="F151" s="498" t="str">
        <f>IF(D151="","",VLOOKUP(D151,'G-6 Hedgerow Data'!$B$2:$AG$15,2,FALSE))</f>
        <v/>
      </c>
      <c r="G151" s="524" t="str">
        <f>IF(D151="","",VLOOKUP(D151,'G-6 Hedgerow Data'!$B$2:$AG$15,3,FALSE))</f>
        <v/>
      </c>
      <c r="H151" s="72"/>
      <c r="I151" s="499" t="str">
        <f>IFERROR(IF(AND(F151="V.Low",OR(H151="Good",H151="Moderate")),"Error ▲",VLOOKUP(H151,'G-1 All Habitats'!$Z$2:$AA$9,2,FALSE)),"")</f>
        <v/>
      </c>
      <c r="J151" s="146"/>
      <c r="K151" s="520" t="str">
        <f>IF(J151="","",IF(VLOOKUP(J151,'G-3 Multipliers'!$L$3:$N$6,2,FALSE)=0,"Spatial Data Missing",VLOOKUP(J151,'G-3 Multipliers'!$L$3:$N$6,2,FALSE)))</f>
        <v/>
      </c>
      <c r="L151" s="524" t="str">
        <f>IF(J151="","",IF(VLOOKUP(J151,'G-3 Multipliers'!$L$3:$N$6,3,FALSE)=0,"Spatial Data Missing",VLOOKUP(J151,'G-3 Multipliers'!$L$3:$N$6,3,FALSE)))</f>
        <v/>
      </c>
      <c r="M151" s="197"/>
      <c r="N151" s="499" t="str">
        <f>IF(M151="","",IF(VLOOKUP(M151,'G-3 Multipliers'!$S$3:$T$6,2,FALSE)=0,"Spatial Data Missing ⚠",VLOOKUP(M151,'G-3 Multipliers'!$S$3:$T$6,2,FALSE)))</f>
        <v/>
      </c>
      <c r="O151" s="498" t="str">
        <f>IF(OR(D151="",H151=""),"",(INDEX('G-6 Hedgerow Data'!$E$3:$I$15,MATCH(D151,'G-6 Hedgerow Data'!$B$3:$B$15,0),MATCH(H151,'G-6 Hedgerow Data'!$E$2:$I$2,0))))</f>
        <v/>
      </c>
      <c r="P151" s="195"/>
      <c r="Q151" s="195"/>
      <c r="R151" s="507" t="str">
        <f t="shared" si="13"/>
        <v/>
      </c>
      <c r="S151" s="521" t="str">
        <f t="shared" si="14"/>
        <v/>
      </c>
      <c r="T151" s="522" t="str">
        <f t="shared" si="12"/>
        <v/>
      </c>
      <c r="U151" s="537" t="str">
        <f>IF(D151="","",VLOOKUP(D151,'G-6 Hedgerow Data'!$B$3:$AG$15,31,FALSE))</f>
        <v/>
      </c>
      <c r="V151" s="520" t="str">
        <f t="shared" si="15"/>
        <v/>
      </c>
      <c r="W151" s="520" t="str">
        <f t="shared" si="16"/>
        <v/>
      </c>
      <c r="X151" s="524" t="str">
        <f>IF(F151="","",VLOOKUP(U151,'G-3 Multipliers'!$P$3:$Q$6,2,FALSE))</f>
        <v/>
      </c>
      <c r="Y151" s="529" t="str">
        <f t="shared" si="17"/>
        <v/>
      </c>
      <c r="Z151" s="149"/>
      <c r="AA151" s="150"/>
      <c r="AG151" s="31" t="str">
        <f>IFERROR(INDEX('G-6 Hedgerow Data'!$BJ$3:$BJ$15,MATCH(D151,'G-6 Hedgerow Data'!$B$3:$B$15,0)),"")</f>
        <v/>
      </c>
    </row>
    <row r="152" spans="2:33" ht="14" x14ac:dyDescent="0.3">
      <c r="B152" s="103">
        <v>141</v>
      </c>
      <c r="C152" s="268"/>
      <c r="D152" s="82"/>
      <c r="E152" s="203"/>
      <c r="F152" s="498" t="str">
        <f>IF(D152="","",VLOOKUP(D152,'G-6 Hedgerow Data'!$B$2:$AG$15,2,FALSE))</f>
        <v/>
      </c>
      <c r="G152" s="524" t="str">
        <f>IF(D152="","",VLOOKUP(D152,'G-6 Hedgerow Data'!$B$2:$AG$15,3,FALSE))</f>
        <v/>
      </c>
      <c r="H152" s="72"/>
      <c r="I152" s="499" t="str">
        <f>IFERROR(IF(AND(F152="V.Low",OR(H152="Good",H152="Moderate")),"Error ▲",VLOOKUP(H152,'G-1 All Habitats'!$Z$2:$AA$9,2,FALSE)),"")</f>
        <v/>
      </c>
      <c r="J152" s="146"/>
      <c r="K152" s="520" t="str">
        <f>IF(J152="","",IF(VLOOKUP(J152,'G-3 Multipliers'!$L$3:$N$6,2,FALSE)=0,"Spatial Data Missing",VLOOKUP(J152,'G-3 Multipliers'!$L$3:$N$6,2,FALSE)))</f>
        <v/>
      </c>
      <c r="L152" s="524" t="str">
        <f>IF(J152="","",IF(VLOOKUP(J152,'G-3 Multipliers'!$L$3:$N$6,3,FALSE)=0,"Spatial Data Missing",VLOOKUP(J152,'G-3 Multipliers'!$L$3:$N$6,3,FALSE)))</f>
        <v/>
      </c>
      <c r="M152" s="197"/>
      <c r="N152" s="499" t="str">
        <f>IF(M152="","",IF(VLOOKUP(M152,'G-3 Multipliers'!$S$3:$T$6,2,FALSE)=0,"Spatial Data Missing ⚠",VLOOKUP(M152,'G-3 Multipliers'!$S$3:$T$6,2,FALSE)))</f>
        <v/>
      </c>
      <c r="O152" s="498" t="str">
        <f>IF(OR(D152="",H152=""),"",(INDEX('G-6 Hedgerow Data'!$E$3:$I$15,MATCH(D152,'G-6 Hedgerow Data'!$B$3:$B$15,0),MATCH(H152,'G-6 Hedgerow Data'!$E$2:$I$2,0))))</f>
        <v/>
      </c>
      <c r="P152" s="195"/>
      <c r="Q152" s="195"/>
      <c r="R152" s="507" t="str">
        <f t="shared" si="13"/>
        <v/>
      </c>
      <c r="S152" s="521" t="str">
        <f t="shared" si="14"/>
        <v/>
      </c>
      <c r="T152" s="522" t="str">
        <f t="shared" si="12"/>
        <v/>
      </c>
      <c r="U152" s="537" t="str">
        <f>IF(D152="","",VLOOKUP(D152,'G-6 Hedgerow Data'!$B$3:$AG$15,31,FALSE))</f>
        <v/>
      </c>
      <c r="V152" s="520" t="str">
        <f t="shared" si="15"/>
        <v/>
      </c>
      <c r="W152" s="520" t="str">
        <f t="shared" si="16"/>
        <v/>
      </c>
      <c r="X152" s="524" t="str">
        <f>IF(F152="","",VLOOKUP(U152,'G-3 Multipliers'!$P$3:$Q$6,2,FALSE))</f>
        <v/>
      </c>
      <c r="Y152" s="529" t="str">
        <f t="shared" si="17"/>
        <v/>
      </c>
      <c r="Z152" s="149"/>
      <c r="AA152" s="150"/>
      <c r="AG152" s="31" t="str">
        <f>IFERROR(INDEX('G-6 Hedgerow Data'!$BJ$3:$BJ$15,MATCH(D152,'G-6 Hedgerow Data'!$B$3:$B$15,0)),"")</f>
        <v/>
      </c>
    </row>
    <row r="153" spans="2:33" ht="14" x14ac:dyDescent="0.3">
      <c r="B153" s="103">
        <v>142</v>
      </c>
      <c r="C153" s="268"/>
      <c r="D153" s="82"/>
      <c r="E153" s="203"/>
      <c r="F153" s="498" t="str">
        <f>IF(D153="","",VLOOKUP(D153,'G-6 Hedgerow Data'!$B$2:$AG$15,2,FALSE))</f>
        <v/>
      </c>
      <c r="G153" s="524" t="str">
        <f>IF(D153="","",VLOOKUP(D153,'G-6 Hedgerow Data'!$B$2:$AG$15,3,FALSE))</f>
        <v/>
      </c>
      <c r="H153" s="72"/>
      <c r="I153" s="499" t="str">
        <f>IFERROR(IF(AND(F153="V.Low",OR(H153="Good",H153="Moderate")),"Error ▲",VLOOKUP(H153,'G-1 All Habitats'!$Z$2:$AA$9,2,FALSE)),"")</f>
        <v/>
      </c>
      <c r="J153" s="146"/>
      <c r="K153" s="520" t="str">
        <f>IF(J153="","",IF(VLOOKUP(J153,'G-3 Multipliers'!$L$3:$N$6,2,FALSE)=0,"Spatial Data Missing",VLOOKUP(J153,'G-3 Multipliers'!$L$3:$N$6,2,FALSE)))</f>
        <v/>
      </c>
      <c r="L153" s="524" t="str">
        <f>IF(J153="","",IF(VLOOKUP(J153,'G-3 Multipliers'!$L$3:$N$6,3,FALSE)=0,"Spatial Data Missing",VLOOKUP(J153,'G-3 Multipliers'!$L$3:$N$6,3,FALSE)))</f>
        <v/>
      </c>
      <c r="M153" s="197"/>
      <c r="N153" s="499" t="str">
        <f>IF(M153="","",IF(VLOOKUP(M153,'G-3 Multipliers'!$S$3:$T$6,2,FALSE)=0,"Spatial Data Missing ⚠",VLOOKUP(M153,'G-3 Multipliers'!$S$3:$T$6,2,FALSE)))</f>
        <v/>
      </c>
      <c r="O153" s="498" t="str">
        <f>IF(OR(D153="",H153=""),"",(INDEX('G-6 Hedgerow Data'!$E$3:$I$15,MATCH(D153,'G-6 Hedgerow Data'!$B$3:$B$15,0),MATCH(H153,'G-6 Hedgerow Data'!$E$2:$I$2,0))))</f>
        <v/>
      </c>
      <c r="P153" s="195"/>
      <c r="Q153" s="195"/>
      <c r="R153" s="507" t="str">
        <f t="shared" si="13"/>
        <v/>
      </c>
      <c r="S153" s="521" t="str">
        <f t="shared" si="14"/>
        <v/>
      </c>
      <c r="T153" s="522" t="str">
        <f t="shared" si="12"/>
        <v/>
      </c>
      <c r="U153" s="537" t="str">
        <f>IF(D153="","",VLOOKUP(D153,'G-6 Hedgerow Data'!$B$3:$AG$15,31,FALSE))</f>
        <v/>
      </c>
      <c r="V153" s="520" t="str">
        <f t="shared" si="15"/>
        <v/>
      </c>
      <c r="W153" s="520" t="str">
        <f t="shared" si="16"/>
        <v/>
      </c>
      <c r="X153" s="524" t="str">
        <f>IF(F153="","",VLOOKUP(U153,'G-3 Multipliers'!$P$3:$Q$6,2,FALSE))</f>
        <v/>
      </c>
      <c r="Y153" s="529" t="str">
        <f t="shared" si="17"/>
        <v/>
      </c>
      <c r="Z153" s="149"/>
      <c r="AA153" s="150"/>
      <c r="AG153" s="31" t="str">
        <f>IFERROR(INDEX('G-6 Hedgerow Data'!$BJ$3:$BJ$15,MATCH(D153,'G-6 Hedgerow Data'!$B$3:$B$15,0)),"")</f>
        <v/>
      </c>
    </row>
    <row r="154" spans="2:33" ht="14" x14ac:dyDescent="0.3">
      <c r="B154" s="103">
        <v>143</v>
      </c>
      <c r="C154" s="268"/>
      <c r="D154" s="82"/>
      <c r="E154" s="203"/>
      <c r="F154" s="498" t="str">
        <f>IF(D154="","",VLOOKUP(D154,'G-6 Hedgerow Data'!$B$2:$AG$15,2,FALSE))</f>
        <v/>
      </c>
      <c r="G154" s="524" t="str">
        <f>IF(D154="","",VLOOKUP(D154,'G-6 Hedgerow Data'!$B$2:$AG$15,3,FALSE))</f>
        <v/>
      </c>
      <c r="H154" s="72"/>
      <c r="I154" s="499" t="str">
        <f>IFERROR(IF(AND(F154="V.Low",OR(H154="Good",H154="Moderate")),"Error ▲",VLOOKUP(H154,'G-1 All Habitats'!$Z$2:$AA$9,2,FALSE)),"")</f>
        <v/>
      </c>
      <c r="J154" s="146"/>
      <c r="K154" s="520" t="str">
        <f>IF(J154="","",IF(VLOOKUP(J154,'G-3 Multipliers'!$L$3:$N$6,2,FALSE)=0,"Spatial Data Missing",VLOOKUP(J154,'G-3 Multipliers'!$L$3:$N$6,2,FALSE)))</f>
        <v/>
      </c>
      <c r="L154" s="524" t="str">
        <f>IF(J154="","",IF(VLOOKUP(J154,'G-3 Multipliers'!$L$3:$N$6,3,FALSE)=0,"Spatial Data Missing",VLOOKUP(J154,'G-3 Multipliers'!$L$3:$N$6,3,FALSE)))</f>
        <v/>
      </c>
      <c r="M154" s="197"/>
      <c r="N154" s="499" t="str">
        <f>IF(M154="","",IF(VLOOKUP(M154,'G-3 Multipliers'!$S$3:$T$6,2,FALSE)=0,"Spatial Data Missing ⚠",VLOOKUP(M154,'G-3 Multipliers'!$S$3:$T$6,2,FALSE)))</f>
        <v/>
      </c>
      <c r="O154" s="498" t="str">
        <f>IF(OR(D154="",H154=""),"",(INDEX('G-6 Hedgerow Data'!$E$3:$I$15,MATCH(D154,'G-6 Hedgerow Data'!$B$3:$B$15,0),MATCH(H154,'G-6 Hedgerow Data'!$E$2:$I$2,0))))</f>
        <v/>
      </c>
      <c r="P154" s="195"/>
      <c r="Q154" s="195"/>
      <c r="R154" s="507" t="str">
        <f t="shared" si="13"/>
        <v/>
      </c>
      <c r="S154" s="521" t="str">
        <f t="shared" si="14"/>
        <v/>
      </c>
      <c r="T154" s="522" t="str">
        <f t="shared" si="12"/>
        <v/>
      </c>
      <c r="U154" s="537" t="str">
        <f>IF(D154="","",VLOOKUP(D154,'G-6 Hedgerow Data'!$B$3:$AG$15,31,FALSE))</f>
        <v/>
      </c>
      <c r="V154" s="520" t="str">
        <f t="shared" si="15"/>
        <v/>
      </c>
      <c r="W154" s="520" t="str">
        <f t="shared" si="16"/>
        <v/>
      </c>
      <c r="X154" s="524" t="str">
        <f>IF(F154="","",VLOOKUP(U154,'G-3 Multipliers'!$P$3:$Q$6,2,FALSE))</f>
        <v/>
      </c>
      <c r="Y154" s="529" t="str">
        <f t="shared" si="17"/>
        <v/>
      </c>
      <c r="Z154" s="149"/>
      <c r="AA154" s="150"/>
      <c r="AG154" s="31" t="str">
        <f>IFERROR(INDEX('G-6 Hedgerow Data'!$BJ$3:$BJ$15,MATCH(D154,'G-6 Hedgerow Data'!$B$3:$B$15,0)),"")</f>
        <v/>
      </c>
    </row>
    <row r="155" spans="2:33" ht="14" x14ac:dyDescent="0.3">
      <c r="B155" s="103">
        <v>144</v>
      </c>
      <c r="C155" s="268"/>
      <c r="D155" s="82"/>
      <c r="E155" s="203"/>
      <c r="F155" s="498" t="str">
        <f>IF(D155="","",VLOOKUP(D155,'G-6 Hedgerow Data'!$B$2:$AG$15,2,FALSE))</f>
        <v/>
      </c>
      <c r="G155" s="524" t="str">
        <f>IF(D155="","",VLOOKUP(D155,'G-6 Hedgerow Data'!$B$2:$AG$15,3,FALSE))</f>
        <v/>
      </c>
      <c r="H155" s="72"/>
      <c r="I155" s="499" t="str">
        <f>IFERROR(IF(AND(F155="V.Low",OR(H155="Good",H155="Moderate")),"Error ▲",VLOOKUP(H155,'G-1 All Habitats'!$Z$2:$AA$9,2,FALSE)),"")</f>
        <v/>
      </c>
      <c r="J155" s="146"/>
      <c r="K155" s="520" t="str">
        <f>IF(J155="","",IF(VLOOKUP(J155,'G-3 Multipliers'!$L$3:$N$6,2,FALSE)=0,"Spatial Data Missing",VLOOKUP(J155,'G-3 Multipliers'!$L$3:$N$6,2,FALSE)))</f>
        <v/>
      </c>
      <c r="L155" s="524" t="str">
        <f>IF(J155="","",IF(VLOOKUP(J155,'G-3 Multipliers'!$L$3:$N$6,3,FALSE)=0,"Spatial Data Missing",VLOOKUP(J155,'G-3 Multipliers'!$L$3:$N$6,3,FALSE)))</f>
        <v/>
      </c>
      <c r="M155" s="197"/>
      <c r="N155" s="499" t="str">
        <f>IF(M155="","",IF(VLOOKUP(M155,'G-3 Multipliers'!$S$3:$T$6,2,FALSE)=0,"Spatial Data Missing ⚠",VLOOKUP(M155,'G-3 Multipliers'!$S$3:$T$6,2,FALSE)))</f>
        <v/>
      </c>
      <c r="O155" s="498" t="str">
        <f>IF(OR(D155="",H155=""),"",(INDEX('G-6 Hedgerow Data'!$E$3:$I$15,MATCH(D155,'G-6 Hedgerow Data'!$B$3:$B$15,0),MATCH(H155,'G-6 Hedgerow Data'!$E$2:$I$2,0))))</f>
        <v/>
      </c>
      <c r="P155" s="195"/>
      <c r="Q155" s="195"/>
      <c r="R155" s="507" t="str">
        <f t="shared" si="13"/>
        <v/>
      </c>
      <c r="S155" s="521" t="str">
        <f t="shared" si="14"/>
        <v/>
      </c>
      <c r="T155" s="522" t="str">
        <f t="shared" si="12"/>
        <v/>
      </c>
      <c r="U155" s="537" t="str">
        <f>IF(D155="","",VLOOKUP(D155,'G-6 Hedgerow Data'!$B$3:$AG$15,31,FALSE))</f>
        <v/>
      </c>
      <c r="V155" s="520" t="str">
        <f t="shared" si="15"/>
        <v/>
      </c>
      <c r="W155" s="520" t="str">
        <f t="shared" si="16"/>
        <v/>
      </c>
      <c r="X155" s="524" t="str">
        <f>IF(F155="","",VLOOKUP(U155,'G-3 Multipliers'!$P$3:$Q$6,2,FALSE))</f>
        <v/>
      </c>
      <c r="Y155" s="529" t="str">
        <f t="shared" si="17"/>
        <v/>
      </c>
      <c r="Z155" s="149"/>
      <c r="AA155" s="150"/>
      <c r="AG155" s="31" t="str">
        <f>IFERROR(INDEX('G-6 Hedgerow Data'!$BJ$3:$BJ$15,MATCH(D155,'G-6 Hedgerow Data'!$B$3:$B$15,0)),"")</f>
        <v/>
      </c>
    </row>
    <row r="156" spans="2:33" ht="14" x14ac:dyDescent="0.3">
      <c r="B156" s="103">
        <v>145</v>
      </c>
      <c r="C156" s="268"/>
      <c r="D156" s="82"/>
      <c r="E156" s="203"/>
      <c r="F156" s="498" t="str">
        <f>IF(D156="","",VLOOKUP(D156,'G-6 Hedgerow Data'!$B$2:$AG$15,2,FALSE))</f>
        <v/>
      </c>
      <c r="G156" s="524" t="str">
        <f>IF(D156="","",VLOOKUP(D156,'G-6 Hedgerow Data'!$B$2:$AG$15,3,FALSE))</f>
        <v/>
      </c>
      <c r="H156" s="72"/>
      <c r="I156" s="499" t="str">
        <f>IFERROR(IF(AND(F156="V.Low",OR(H156="Good",H156="Moderate")),"Error ▲",VLOOKUP(H156,'G-1 All Habitats'!$Z$2:$AA$9,2,FALSE)),"")</f>
        <v/>
      </c>
      <c r="J156" s="146"/>
      <c r="K156" s="520" t="str">
        <f>IF(J156="","",IF(VLOOKUP(J156,'G-3 Multipliers'!$L$3:$N$6,2,FALSE)=0,"Spatial Data Missing",VLOOKUP(J156,'G-3 Multipliers'!$L$3:$N$6,2,FALSE)))</f>
        <v/>
      </c>
      <c r="L156" s="524" t="str">
        <f>IF(J156="","",IF(VLOOKUP(J156,'G-3 Multipliers'!$L$3:$N$6,3,FALSE)=0,"Spatial Data Missing",VLOOKUP(J156,'G-3 Multipliers'!$L$3:$N$6,3,FALSE)))</f>
        <v/>
      </c>
      <c r="M156" s="197"/>
      <c r="N156" s="499" t="str">
        <f>IF(M156="","",IF(VLOOKUP(M156,'G-3 Multipliers'!$S$3:$T$6,2,FALSE)=0,"Spatial Data Missing ⚠",VLOOKUP(M156,'G-3 Multipliers'!$S$3:$T$6,2,FALSE)))</f>
        <v/>
      </c>
      <c r="O156" s="498" t="str">
        <f>IF(OR(D156="",H156=""),"",(INDEX('G-6 Hedgerow Data'!$E$3:$I$15,MATCH(D156,'G-6 Hedgerow Data'!$B$3:$B$15,0),MATCH(H156,'G-6 Hedgerow Data'!$E$2:$I$2,0))))</f>
        <v/>
      </c>
      <c r="P156" s="195"/>
      <c r="Q156" s="195"/>
      <c r="R156" s="507" t="str">
        <f t="shared" si="13"/>
        <v/>
      </c>
      <c r="S156" s="521" t="str">
        <f t="shared" si="14"/>
        <v/>
      </c>
      <c r="T156" s="522" t="str">
        <f t="shared" si="12"/>
        <v/>
      </c>
      <c r="U156" s="537" t="str">
        <f>IF(D156="","",VLOOKUP(D156,'G-6 Hedgerow Data'!$B$3:$AG$15,31,FALSE))</f>
        <v/>
      </c>
      <c r="V156" s="520" t="str">
        <f t="shared" si="15"/>
        <v/>
      </c>
      <c r="W156" s="520" t="str">
        <f t="shared" si="16"/>
        <v/>
      </c>
      <c r="X156" s="524" t="str">
        <f>IF(F156="","",VLOOKUP(U156,'G-3 Multipliers'!$P$3:$Q$6,2,FALSE))</f>
        <v/>
      </c>
      <c r="Y156" s="529" t="str">
        <f t="shared" si="17"/>
        <v/>
      </c>
      <c r="Z156" s="149"/>
      <c r="AA156" s="150"/>
      <c r="AG156" s="31" t="str">
        <f>IFERROR(INDEX('G-6 Hedgerow Data'!$BJ$3:$BJ$15,MATCH(D156,'G-6 Hedgerow Data'!$B$3:$B$15,0)),"")</f>
        <v/>
      </c>
    </row>
    <row r="157" spans="2:33" ht="14" x14ac:dyDescent="0.3">
      <c r="B157" s="103">
        <v>146</v>
      </c>
      <c r="C157" s="268"/>
      <c r="D157" s="82"/>
      <c r="E157" s="203"/>
      <c r="F157" s="498" t="str">
        <f>IF(D157="","",VLOOKUP(D157,'G-6 Hedgerow Data'!$B$2:$AG$15,2,FALSE))</f>
        <v/>
      </c>
      <c r="G157" s="524" t="str">
        <f>IF(D157="","",VLOOKUP(D157,'G-6 Hedgerow Data'!$B$2:$AG$15,3,FALSE))</f>
        <v/>
      </c>
      <c r="H157" s="72"/>
      <c r="I157" s="499" t="str">
        <f>IFERROR(IF(AND(F157="V.Low",OR(H157="Good",H157="Moderate")),"Error ▲",VLOOKUP(H157,'G-1 All Habitats'!$Z$2:$AA$9,2,FALSE)),"")</f>
        <v/>
      </c>
      <c r="J157" s="146"/>
      <c r="K157" s="520" t="str">
        <f>IF(J157="","",IF(VLOOKUP(J157,'G-3 Multipliers'!$L$3:$N$6,2,FALSE)=0,"Spatial Data Missing",VLOOKUP(J157,'G-3 Multipliers'!$L$3:$N$6,2,FALSE)))</f>
        <v/>
      </c>
      <c r="L157" s="524" t="str">
        <f>IF(J157="","",IF(VLOOKUP(J157,'G-3 Multipliers'!$L$3:$N$6,3,FALSE)=0,"Spatial Data Missing",VLOOKUP(J157,'G-3 Multipliers'!$L$3:$N$6,3,FALSE)))</f>
        <v/>
      </c>
      <c r="M157" s="197"/>
      <c r="N157" s="499" t="str">
        <f>IF(M157="","",IF(VLOOKUP(M157,'G-3 Multipliers'!$S$3:$T$6,2,FALSE)=0,"Spatial Data Missing ⚠",VLOOKUP(M157,'G-3 Multipliers'!$S$3:$T$6,2,FALSE)))</f>
        <v/>
      </c>
      <c r="O157" s="498" t="str">
        <f>IF(OR(D157="",H157=""),"",(INDEX('G-6 Hedgerow Data'!$E$3:$I$15,MATCH(D157,'G-6 Hedgerow Data'!$B$3:$B$15,0),MATCH(H157,'G-6 Hedgerow Data'!$E$2:$I$2,0))))</f>
        <v/>
      </c>
      <c r="P157" s="195"/>
      <c r="Q157" s="195"/>
      <c r="R157" s="507" t="str">
        <f t="shared" si="13"/>
        <v/>
      </c>
      <c r="S157" s="521" t="str">
        <f t="shared" si="14"/>
        <v/>
      </c>
      <c r="T157" s="522" t="str">
        <f t="shared" si="12"/>
        <v/>
      </c>
      <c r="U157" s="537" t="str">
        <f>IF(D157="","",VLOOKUP(D157,'G-6 Hedgerow Data'!$B$3:$AG$15,31,FALSE))</f>
        <v/>
      </c>
      <c r="V157" s="520" t="str">
        <f t="shared" si="15"/>
        <v/>
      </c>
      <c r="W157" s="520" t="str">
        <f t="shared" si="16"/>
        <v/>
      </c>
      <c r="X157" s="524" t="str">
        <f>IF(F157="","",VLOOKUP(U157,'G-3 Multipliers'!$P$3:$Q$6,2,FALSE))</f>
        <v/>
      </c>
      <c r="Y157" s="529" t="str">
        <f t="shared" si="17"/>
        <v/>
      </c>
      <c r="Z157" s="149"/>
      <c r="AA157" s="150"/>
      <c r="AG157" s="31" t="str">
        <f>IFERROR(INDEX('G-6 Hedgerow Data'!$BJ$3:$BJ$15,MATCH(D157,'G-6 Hedgerow Data'!$B$3:$B$15,0)),"")</f>
        <v/>
      </c>
    </row>
    <row r="158" spans="2:33" ht="14" x14ac:dyDescent="0.3">
      <c r="B158" s="103">
        <v>147</v>
      </c>
      <c r="C158" s="268"/>
      <c r="D158" s="82"/>
      <c r="E158" s="203"/>
      <c r="F158" s="498" t="str">
        <f>IF(D158="","",VLOOKUP(D158,'G-6 Hedgerow Data'!$B$2:$AG$15,2,FALSE))</f>
        <v/>
      </c>
      <c r="G158" s="524" t="str">
        <f>IF(D158="","",VLOOKUP(D158,'G-6 Hedgerow Data'!$B$2:$AG$15,3,FALSE))</f>
        <v/>
      </c>
      <c r="H158" s="72"/>
      <c r="I158" s="499" t="str">
        <f>IFERROR(IF(AND(F158="V.Low",OR(H158="Good",H158="Moderate")),"Error ▲",VLOOKUP(H158,'G-1 All Habitats'!$Z$2:$AA$9,2,FALSE)),"")</f>
        <v/>
      </c>
      <c r="J158" s="146"/>
      <c r="K158" s="520" t="str">
        <f>IF(J158="","",IF(VLOOKUP(J158,'G-3 Multipliers'!$L$3:$N$6,2,FALSE)=0,"Spatial Data Missing",VLOOKUP(J158,'G-3 Multipliers'!$L$3:$N$6,2,FALSE)))</f>
        <v/>
      </c>
      <c r="L158" s="524" t="str">
        <f>IF(J158="","",IF(VLOOKUP(J158,'G-3 Multipliers'!$L$3:$N$6,3,FALSE)=0,"Spatial Data Missing",VLOOKUP(J158,'G-3 Multipliers'!$L$3:$N$6,3,FALSE)))</f>
        <v/>
      </c>
      <c r="M158" s="197"/>
      <c r="N158" s="499" t="str">
        <f>IF(M158="","",IF(VLOOKUP(M158,'G-3 Multipliers'!$S$3:$T$6,2,FALSE)=0,"Spatial Data Missing ⚠",VLOOKUP(M158,'G-3 Multipliers'!$S$3:$T$6,2,FALSE)))</f>
        <v/>
      </c>
      <c r="O158" s="498" t="str">
        <f>IF(OR(D158="",H158=""),"",(INDEX('G-6 Hedgerow Data'!$E$3:$I$15,MATCH(D158,'G-6 Hedgerow Data'!$B$3:$B$15,0),MATCH(H158,'G-6 Hedgerow Data'!$E$2:$I$2,0))))</f>
        <v/>
      </c>
      <c r="P158" s="195"/>
      <c r="Q158" s="195"/>
      <c r="R158" s="507" t="str">
        <f t="shared" si="13"/>
        <v/>
      </c>
      <c r="S158" s="521" t="str">
        <f t="shared" si="14"/>
        <v/>
      </c>
      <c r="T158" s="522" t="str">
        <f t="shared" si="12"/>
        <v/>
      </c>
      <c r="U158" s="537" t="str">
        <f>IF(D158="","",VLOOKUP(D158,'G-6 Hedgerow Data'!$B$3:$AG$15,31,FALSE))</f>
        <v/>
      </c>
      <c r="V158" s="520" t="str">
        <f t="shared" si="15"/>
        <v/>
      </c>
      <c r="W158" s="520" t="str">
        <f t="shared" si="16"/>
        <v/>
      </c>
      <c r="X158" s="524" t="str">
        <f>IF(F158="","",VLOOKUP(U158,'G-3 Multipliers'!$P$3:$Q$6,2,FALSE))</f>
        <v/>
      </c>
      <c r="Y158" s="529" t="str">
        <f t="shared" si="17"/>
        <v/>
      </c>
      <c r="Z158" s="149"/>
      <c r="AA158" s="150"/>
      <c r="AG158" s="31" t="str">
        <f>IFERROR(INDEX('G-6 Hedgerow Data'!$BJ$3:$BJ$15,MATCH(D158,'G-6 Hedgerow Data'!$B$3:$B$15,0)),"")</f>
        <v/>
      </c>
    </row>
    <row r="159" spans="2:33" ht="14" x14ac:dyDescent="0.3">
      <c r="B159" s="103">
        <v>148</v>
      </c>
      <c r="C159" s="268"/>
      <c r="D159" s="82"/>
      <c r="E159" s="203"/>
      <c r="F159" s="498" t="str">
        <f>IF(D159="","",VLOOKUP(D159,'G-6 Hedgerow Data'!$B$2:$AG$15,2,FALSE))</f>
        <v/>
      </c>
      <c r="G159" s="524" t="str">
        <f>IF(D159="","",VLOOKUP(D159,'G-6 Hedgerow Data'!$B$2:$AG$15,3,FALSE))</f>
        <v/>
      </c>
      <c r="H159" s="72"/>
      <c r="I159" s="499" t="str">
        <f>IFERROR(IF(AND(F159="V.Low",OR(H159="Good",H159="Moderate")),"Error ▲",VLOOKUP(H159,'G-1 All Habitats'!$Z$2:$AA$9,2,FALSE)),"")</f>
        <v/>
      </c>
      <c r="J159" s="146"/>
      <c r="K159" s="520" t="str">
        <f>IF(J159="","",IF(VLOOKUP(J159,'G-3 Multipliers'!$L$3:$N$6,2,FALSE)=0,"Spatial Data Missing",VLOOKUP(J159,'G-3 Multipliers'!$L$3:$N$6,2,FALSE)))</f>
        <v/>
      </c>
      <c r="L159" s="524" t="str">
        <f>IF(J159="","",IF(VLOOKUP(J159,'G-3 Multipliers'!$L$3:$N$6,3,FALSE)=0,"Spatial Data Missing",VLOOKUP(J159,'G-3 Multipliers'!$L$3:$N$6,3,FALSE)))</f>
        <v/>
      </c>
      <c r="M159" s="197"/>
      <c r="N159" s="499" t="str">
        <f>IF(M159="","",IF(VLOOKUP(M159,'G-3 Multipliers'!$S$3:$T$6,2,FALSE)=0,"Spatial Data Missing ⚠",VLOOKUP(M159,'G-3 Multipliers'!$S$3:$T$6,2,FALSE)))</f>
        <v/>
      </c>
      <c r="O159" s="498" t="str">
        <f>IF(OR(D159="",H159=""),"",(INDEX('G-6 Hedgerow Data'!$E$3:$I$15,MATCH(D159,'G-6 Hedgerow Data'!$B$3:$B$15,0),MATCH(H159,'G-6 Hedgerow Data'!$E$2:$I$2,0))))</f>
        <v/>
      </c>
      <c r="P159" s="195"/>
      <c r="Q159" s="195"/>
      <c r="R159" s="507" t="str">
        <f t="shared" si="13"/>
        <v/>
      </c>
      <c r="S159" s="521" t="str">
        <f t="shared" si="14"/>
        <v/>
      </c>
      <c r="T159" s="522" t="str">
        <f t="shared" si="12"/>
        <v/>
      </c>
      <c r="U159" s="537" t="str">
        <f>IF(D159="","",VLOOKUP(D159,'G-6 Hedgerow Data'!$B$3:$AG$15,31,FALSE))</f>
        <v/>
      </c>
      <c r="V159" s="520" t="str">
        <f t="shared" si="15"/>
        <v/>
      </c>
      <c r="W159" s="520" t="str">
        <f t="shared" si="16"/>
        <v/>
      </c>
      <c r="X159" s="524" t="str">
        <f>IF(F159="","",VLOOKUP(U159,'G-3 Multipliers'!$P$3:$Q$6,2,FALSE))</f>
        <v/>
      </c>
      <c r="Y159" s="529" t="str">
        <f t="shared" si="17"/>
        <v/>
      </c>
      <c r="Z159" s="149"/>
      <c r="AA159" s="150"/>
      <c r="AG159" s="31" t="str">
        <f>IFERROR(INDEX('G-6 Hedgerow Data'!$BJ$3:$BJ$15,MATCH(D159,'G-6 Hedgerow Data'!$B$3:$B$15,0)),"")</f>
        <v/>
      </c>
    </row>
    <row r="160" spans="2:33" ht="14" x14ac:dyDescent="0.3">
      <c r="B160" s="103">
        <v>149</v>
      </c>
      <c r="C160" s="268"/>
      <c r="D160" s="82"/>
      <c r="E160" s="203"/>
      <c r="F160" s="498" t="str">
        <f>IF(D160="","",VLOOKUP(D160,'G-6 Hedgerow Data'!$B$2:$AG$15,2,FALSE))</f>
        <v/>
      </c>
      <c r="G160" s="524" t="str">
        <f>IF(D160="","",VLOOKUP(D160,'G-6 Hedgerow Data'!$B$2:$AG$15,3,FALSE))</f>
        <v/>
      </c>
      <c r="H160" s="72"/>
      <c r="I160" s="499" t="str">
        <f>IFERROR(IF(AND(F160="V.Low",OR(H160="Good",H160="Moderate")),"Error ▲",VLOOKUP(H160,'G-1 All Habitats'!$Z$2:$AA$9,2,FALSE)),"")</f>
        <v/>
      </c>
      <c r="J160" s="146"/>
      <c r="K160" s="520" t="str">
        <f>IF(J160="","",IF(VLOOKUP(J160,'G-3 Multipliers'!$L$3:$N$6,2,FALSE)=0,"Spatial Data Missing",VLOOKUP(J160,'G-3 Multipliers'!$L$3:$N$6,2,FALSE)))</f>
        <v/>
      </c>
      <c r="L160" s="524" t="str">
        <f>IF(J160="","",IF(VLOOKUP(J160,'G-3 Multipliers'!$L$3:$N$6,3,FALSE)=0,"Spatial Data Missing",VLOOKUP(J160,'G-3 Multipliers'!$L$3:$N$6,3,FALSE)))</f>
        <v/>
      </c>
      <c r="M160" s="197"/>
      <c r="N160" s="499" t="str">
        <f>IF(M160="","",IF(VLOOKUP(M160,'G-3 Multipliers'!$S$3:$T$6,2,FALSE)=0,"Spatial Data Missing ⚠",VLOOKUP(M160,'G-3 Multipliers'!$S$3:$T$6,2,FALSE)))</f>
        <v/>
      </c>
      <c r="O160" s="498" t="str">
        <f>IF(OR(D160="",H160=""),"",(INDEX('G-6 Hedgerow Data'!$E$3:$I$15,MATCH(D160,'G-6 Hedgerow Data'!$B$3:$B$15,0),MATCH(H160,'G-6 Hedgerow Data'!$E$2:$I$2,0))))</f>
        <v/>
      </c>
      <c r="P160" s="195"/>
      <c r="Q160" s="195"/>
      <c r="R160" s="507" t="str">
        <f t="shared" si="13"/>
        <v/>
      </c>
      <c r="S160" s="521" t="str">
        <f t="shared" si="14"/>
        <v/>
      </c>
      <c r="T160" s="522" t="str">
        <f t="shared" si="12"/>
        <v/>
      </c>
      <c r="U160" s="537" t="str">
        <f>IF(D160="","",VLOOKUP(D160,'G-6 Hedgerow Data'!$B$3:$AG$15,31,FALSE))</f>
        <v/>
      </c>
      <c r="V160" s="520" t="str">
        <f t="shared" si="15"/>
        <v/>
      </c>
      <c r="W160" s="520" t="str">
        <f t="shared" si="16"/>
        <v/>
      </c>
      <c r="X160" s="524" t="str">
        <f>IF(F160="","",VLOOKUP(U160,'G-3 Multipliers'!$P$3:$Q$6,2,FALSE))</f>
        <v/>
      </c>
      <c r="Y160" s="529" t="str">
        <f t="shared" si="17"/>
        <v/>
      </c>
      <c r="Z160" s="149"/>
      <c r="AA160" s="150"/>
      <c r="AG160" s="31" t="str">
        <f>IFERROR(INDEX('G-6 Hedgerow Data'!$BJ$3:$BJ$15,MATCH(D160,'G-6 Hedgerow Data'!$B$3:$B$15,0)),"")</f>
        <v/>
      </c>
    </row>
    <row r="161" spans="2:33" ht="14" x14ac:dyDescent="0.3">
      <c r="B161" s="103">
        <v>150</v>
      </c>
      <c r="C161" s="268"/>
      <c r="D161" s="82"/>
      <c r="E161" s="203"/>
      <c r="F161" s="498" t="str">
        <f>IF(D161="","",VLOOKUP(D161,'G-6 Hedgerow Data'!$B$2:$AG$15,2,FALSE))</f>
        <v/>
      </c>
      <c r="G161" s="524" t="str">
        <f>IF(D161="","",VLOOKUP(D161,'G-6 Hedgerow Data'!$B$2:$AG$15,3,FALSE))</f>
        <v/>
      </c>
      <c r="H161" s="72"/>
      <c r="I161" s="499" t="str">
        <f>IFERROR(IF(AND(F161="V.Low",OR(H161="Good",H161="Moderate")),"Error ▲",VLOOKUP(H161,'G-1 All Habitats'!$Z$2:$AA$9,2,FALSE)),"")</f>
        <v/>
      </c>
      <c r="J161" s="146"/>
      <c r="K161" s="520" t="str">
        <f>IF(J161="","",IF(VLOOKUP(J161,'G-3 Multipliers'!$L$3:$N$6,2,FALSE)=0,"Spatial Data Missing",VLOOKUP(J161,'G-3 Multipliers'!$L$3:$N$6,2,FALSE)))</f>
        <v/>
      </c>
      <c r="L161" s="524" t="str">
        <f>IF(J161="","",IF(VLOOKUP(J161,'G-3 Multipliers'!$L$3:$N$6,3,FALSE)=0,"Spatial Data Missing",VLOOKUP(J161,'G-3 Multipliers'!$L$3:$N$6,3,FALSE)))</f>
        <v/>
      </c>
      <c r="M161" s="197"/>
      <c r="N161" s="499" t="str">
        <f>IF(M161="","",IF(VLOOKUP(M161,'G-3 Multipliers'!$S$3:$T$6,2,FALSE)=0,"Spatial Data Missing ⚠",VLOOKUP(M161,'G-3 Multipliers'!$S$3:$T$6,2,FALSE)))</f>
        <v/>
      </c>
      <c r="O161" s="498" t="str">
        <f>IF(OR(D161="",H161=""),"",(INDEX('G-6 Hedgerow Data'!$E$3:$I$15,MATCH(D161,'G-6 Hedgerow Data'!$B$3:$B$15,0),MATCH(H161,'G-6 Hedgerow Data'!$E$2:$I$2,0))))</f>
        <v/>
      </c>
      <c r="P161" s="195"/>
      <c r="Q161" s="195"/>
      <c r="R161" s="507" t="str">
        <f t="shared" si="13"/>
        <v/>
      </c>
      <c r="S161" s="521" t="str">
        <f t="shared" si="14"/>
        <v/>
      </c>
      <c r="T161" s="522" t="str">
        <f t="shared" si="12"/>
        <v/>
      </c>
      <c r="U161" s="537" t="str">
        <f>IF(D161="","",VLOOKUP(D161,'G-6 Hedgerow Data'!$B$3:$AG$15,31,FALSE))</f>
        <v/>
      </c>
      <c r="V161" s="520" t="str">
        <f t="shared" si="15"/>
        <v/>
      </c>
      <c r="W161" s="520" t="str">
        <f t="shared" si="16"/>
        <v/>
      </c>
      <c r="X161" s="524" t="str">
        <f>IF(F161="","",VLOOKUP(U161,'G-3 Multipliers'!$P$3:$Q$6,2,FALSE))</f>
        <v/>
      </c>
      <c r="Y161" s="529" t="str">
        <f t="shared" si="17"/>
        <v/>
      </c>
      <c r="Z161" s="149"/>
      <c r="AA161" s="150"/>
      <c r="AG161" s="31" t="str">
        <f>IFERROR(INDEX('G-6 Hedgerow Data'!$BJ$3:$BJ$15,MATCH(D161,'G-6 Hedgerow Data'!$B$3:$B$15,0)),"")</f>
        <v/>
      </c>
    </row>
    <row r="162" spans="2:33" ht="14" x14ac:dyDescent="0.3">
      <c r="B162" s="103">
        <v>151</v>
      </c>
      <c r="C162" s="268"/>
      <c r="D162" s="82"/>
      <c r="E162" s="203"/>
      <c r="F162" s="498" t="str">
        <f>IF(D162="","",VLOOKUP(D162,'G-6 Hedgerow Data'!$B$2:$AG$15,2,FALSE))</f>
        <v/>
      </c>
      <c r="G162" s="524" t="str">
        <f>IF(D162="","",VLOOKUP(D162,'G-6 Hedgerow Data'!$B$2:$AG$15,3,FALSE))</f>
        <v/>
      </c>
      <c r="H162" s="72"/>
      <c r="I162" s="499" t="str">
        <f>IFERROR(IF(AND(F162="V.Low",OR(H162="Good",H162="Moderate")),"Error ▲",VLOOKUP(H162,'G-1 All Habitats'!$Z$2:$AA$9,2,FALSE)),"")</f>
        <v/>
      </c>
      <c r="J162" s="146"/>
      <c r="K162" s="520" t="str">
        <f>IF(J162="","",IF(VLOOKUP(J162,'G-3 Multipliers'!$L$3:$N$6,2,FALSE)=0,"Spatial Data Missing",VLOOKUP(J162,'G-3 Multipliers'!$L$3:$N$6,2,FALSE)))</f>
        <v/>
      </c>
      <c r="L162" s="524" t="str">
        <f>IF(J162="","",IF(VLOOKUP(J162,'G-3 Multipliers'!$L$3:$N$6,3,FALSE)=0,"Spatial Data Missing",VLOOKUP(J162,'G-3 Multipliers'!$L$3:$N$6,3,FALSE)))</f>
        <v/>
      </c>
      <c r="M162" s="197"/>
      <c r="N162" s="499" t="str">
        <f>IF(M162="","",IF(VLOOKUP(M162,'G-3 Multipliers'!$S$3:$T$6,2,FALSE)=0,"Spatial Data Missing ⚠",VLOOKUP(M162,'G-3 Multipliers'!$S$3:$T$6,2,FALSE)))</f>
        <v/>
      </c>
      <c r="O162" s="498" t="str">
        <f>IF(OR(D162="",H162=""),"",(INDEX('G-6 Hedgerow Data'!$E$3:$I$15,MATCH(D162,'G-6 Hedgerow Data'!$B$3:$B$15,0),MATCH(H162,'G-6 Hedgerow Data'!$E$2:$I$2,0))))</f>
        <v/>
      </c>
      <c r="P162" s="195"/>
      <c r="Q162" s="195"/>
      <c r="R162" s="507" t="str">
        <f t="shared" si="13"/>
        <v/>
      </c>
      <c r="S162" s="521" t="str">
        <f t="shared" si="14"/>
        <v/>
      </c>
      <c r="T162" s="522" t="str">
        <f t="shared" si="12"/>
        <v/>
      </c>
      <c r="U162" s="537" t="str">
        <f>IF(D162="","",VLOOKUP(D162,'G-6 Hedgerow Data'!$B$3:$AG$15,31,FALSE))</f>
        <v/>
      </c>
      <c r="V162" s="520" t="str">
        <f t="shared" si="15"/>
        <v/>
      </c>
      <c r="W162" s="520" t="str">
        <f t="shared" si="16"/>
        <v/>
      </c>
      <c r="X162" s="524" t="str">
        <f>IF(F162="","",VLOOKUP(U162,'G-3 Multipliers'!$P$3:$Q$6,2,FALSE))</f>
        <v/>
      </c>
      <c r="Y162" s="529" t="str">
        <f t="shared" si="17"/>
        <v/>
      </c>
      <c r="Z162" s="149"/>
      <c r="AA162" s="150"/>
      <c r="AG162" s="31" t="str">
        <f>IFERROR(INDEX('G-6 Hedgerow Data'!$BJ$3:$BJ$15,MATCH(D162,'G-6 Hedgerow Data'!$B$3:$B$15,0)),"")</f>
        <v/>
      </c>
    </row>
    <row r="163" spans="2:33" ht="14" x14ac:dyDescent="0.3">
      <c r="B163" s="103">
        <v>152</v>
      </c>
      <c r="C163" s="268"/>
      <c r="D163" s="82"/>
      <c r="E163" s="203"/>
      <c r="F163" s="498" t="str">
        <f>IF(D163="","",VLOOKUP(D163,'G-6 Hedgerow Data'!$B$2:$AG$15,2,FALSE))</f>
        <v/>
      </c>
      <c r="G163" s="524" t="str">
        <f>IF(D163="","",VLOOKUP(D163,'G-6 Hedgerow Data'!$B$2:$AG$15,3,FALSE))</f>
        <v/>
      </c>
      <c r="H163" s="72"/>
      <c r="I163" s="499" t="str">
        <f>IFERROR(IF(AND(F163="V.Low",OR(H163="Good",H163="Moderate")),"Error ▲",VLOOKUP(H163,'G-1 All Habitats'!$Z$2:$AA$9,2,FALSE)),"")</f>
        <v/>
      </c>
      <c r="J163" s="146"/>
      <c r="K163" s="520" t="str">
        <f>IF(J163="","",IF(VLOOKUP(J163,'G-3 Multipliers'!$L$3:$N$6,2,FALSE)=0,"Spatial Data Missing",VLOOKUP(J163,'G-3 Multipliers'!$L$3:$N$6,2,FALSE)))</f>
        <v/>
      </c>
      <c r="L163" s="524" t="str">
        <f>IF(J163="","",IF(VLOOKUP(J163,'G-3 Multipliers'!$L$3:$N$6,3,FALSE)=0,"Spatial Data Missing",VLOOKUP(J163,'G-3 Multipliers'!$L$3:$N$6,3,FALSE)))</f>
        <v/>
      </c>
      <c r="M163" s="197"/>
      <c r="N163" s="499" t="str">
        <f>IF(M163="","",IF(VLOOKUP(M163,'G-3 Multipliers'!$S$3:$T$6,2,FALSE)=0,"Spatial Data Missing ⚠",VLOOKUP(M163,'G-3 Multipliers'!$S$3:$T$6,2,FALSE)))</f>
        <v/>
      </c>
      <c r="O163" s="498" t="str">
        <f>IF(OR(D163="",H163=""),"",(INDEX('G-6 Hedgerow Data'!$E$3:$I$15,MATCH(D163,'G-6 Hedgerow Data'!$B$3:$B$15,0),MATCH(H163,'G-6 Hedgerow Data'!$E$2:$I$2,0))))</f>
        <v/>
      </c>
      <c r="P163" s="195"/>
      <c r="Q163" s="195"/>
      <c r="R163" s="507" t="str">
        <f t="shared" si="13"/>
        <v/>
      </c>
      <c r="S163" s="521" t="str">
        <f t="shared" si="14"/>
        <v/>
      </c>
      <c r="T163" s="522" t="str">
        <f t="shared" si="12"/>
        <v/>
      </c>
      <c r="U163" s="537" t="str">
        <f>IF(D163="","",VLOOKUP(D163,'G-6 Hedgerow Data'!$B$3:$AG$15,31,FALSE))</f>
        <v/>
      </c>
      <c r="V163" s="520" t="str">
        <f t="shared" si="15"/>
        <v/>
      </c>
      <c r="W163" s="520" t="str">
        <f t="shared" si="16"/>
        <v/>
      </c>
      <c r="X163" s="524" t="str">
        <f>IF(F163="","",VLOOKUP(U163,'G-3 Multipliers'!$P$3:$Q$6,2,FALSE))</f>
        <v/>
      </c>
      <c r="Y163" s="529" t="str">
        <f t="shared" si="17"/>
        <v/>
      </c>
      <c r="Z163" s="149"/>
      <c r="AA163" s="150"/>
      <c r="AG163" s="31" t="str">
        <f>IFERROR(INDEX('G-6 Hedgerow Data'!$BJ$3:$BJ$15,MATCH(D163,'G-6 Hedgerow Data'!$B$3:$B$15,0)),"")</f>
        <v/>
      </c>
    </row>
    <row r="164" spans="2:33" ht="14" x14ac:dyDescent="0.3">
      <c r="B164" s="103">
        <v>153</v>
      </c>
      <c r="C164" s="268"/>
      <c r="D164" s="82"/>
      <c r="E164" s="203"/>
      <c r="F164" s="498" t="str">
        <f>IF(D164="","",VLOOKUP(D164,'G-6 Hedgerow Data'!$B$2:$AG$15,2,FALSE))</f>
        <v/>
      </c>
      <c r="G164" s="524" t="str">
        <f>IF(D164="","",VLOOKUP(D164,'G-6 Hedgerow Data'!$B$2:$AG$15,3,FALSE))</f>
        <v/>
      </c>
      <c r="H164" s="72"/>
      <c r="I164" s="499" t="str">
        <f>IFERROR(IF(AND(F164="V.Low",OR(H164="Good",H164="Moderate")),"Error ▲",VLOOKUP(H164,'G-1 All Habitats'!$Z$2:$AA$9,2,FALSE)),"")</f>
        <v/>
      </c>
      <c r="J164" s="146"/>
      <c r="K164" s="520" t="str">
        <f>IF(J164="","",IF(VLOOKUP(J164,'G-3 Multipliers'!$L$3:$N$6,2,FALSE)=0,"Spatial Data Missing",VLOOKUP(J164,'G-3 Multipliers'!$L$3:$N$6,2,FALSE)))</f>
        <v/>
      </c>
      <c r="L164" s="524" t="str">
        <f>IF(J164="","",IF(VLOOKUP(J164,'G-3 Multipliers'!$L$3:$N$6,3,FALSE)=0,"Spatial Data Missing",VLOOKUP(J164,'G-3 Multipliers'!$L$3:$N$6,3,FALSE)))</f>
        <v/>
      </c>
      <c r="M164" s="197"/>
      <c r="N164" s="499" t="str">
        <f>IF(M164="","",IF(VLOOKUP(M164,'G-3 Multipliers'!$S$3:$T$6,2,FALSE)=0,"Spatial Data Missing ⚠",VLOOKUP(M164,'G-3 Multipliers'!$S$3:$T$6,2,FALSE)))</f>
        <v/>
      </c>
      <c r="O164" s="498" t="str">
        <f>IF(OR(D164="",H164=""),"",(INDEX('G-6 Hedgerow Data'!$E$3:$I$15,MATCH(D164,'G-6 Hedgerow Data'!$B$3:$B$15,0),MATCH(H164,'G-6 Hedgerow Data'!$E$2:$I$2,0))))</f>
        <v/>
      </c>
      <c r="P164" s="195"/>
      <c r="Q164" s="195"/>
      <c r="R164" s="507" t="str">
        <f t="shared" si="13"/>
        <v/>
      </c>
      <c r="S164" s="521" t="str">
        <f t="shared" si="14"/>
        <v/>
      </c>
      <c r="T164" s="522" t="str">
        <f t="shared" si="12"/>
        <v/>
      </c>
      <c r="U164" s="537" t="str">
        <f>IF(D164="","",VLOOKUP(D164,'G-6 Hedgerow Data'!$B$3:$AG$15,31,FALSE))</f>
        <v/>
      </c>
      <c r="V164" s="520" t="str">
        <f t="shared" si="15"/>
        <v/>
      </c>
      <c r="W164" s="520" t="str">
        <f t="shared" si="16"/>
        <v/>
      </c>
      <c r="X164" s="524" t="str">
        <f>IF(F164="","",VLOOKUP(U164,'G-3 Multipliers'!$P$3:$Q$6,2,FALSE))</f>
        <v/>
      </c>
      <c r="Y164" s="529" t="str">
        <f t="shared" si="17"/>
        <v/>
      </c>
      <c r="Z164" s="149"/>
      <c r="AA164" s="150"/>
      <c r="AG164" s="31" t="str">
        <f>IFERROR(INDEX('G-6 Hedgerow Data'!$BJ$3:$BJ$15,MATCH(D164,'G-6 Hedgerow Data'!$B$3:$B$15,0)),"")</f>
        <v/>
      </c>
    </row>
    <row r="165" spans="2:33" ht="14" x14ac:dyDescent="0.3">
      <c r="B165" s="103">
        <v>154</v>
      </c>
      <c r="C165" s="268"/>
      <c r="D165" s="82"/>
      <c r="E165" s="203"/>
      <c r="F165" s="498" t="str">
        <f>IF(D165="","",VLOOKUP(D165,'G-6 Hedgerow Data'!$B$2:$AG$15,2,FALSE))</f>
        <v/>
      </c>
      <c r="G165" s="524" t="str">
        <f>IF(D165="","",VLOOKUP(D165,'G-6 Hedgerow Data'!$B$2:$AG$15,3,FALSE))</f>
        <v/>
      </c>
      <c r="H165" s="72"/>
      <c r="I165" s="499" t="str">
        <f>IFERROR(IF(AND(F165="V.Low",OR(H165="Good",H165="Moderate")),"Error ▲",VLOOKUP(H165,'G-1 All Habitats'!$Z$2:$AA$9,2,FALSE)),"")</f>
        <v/>
      </c>
      <c r="J165" s="146"/>
      <c r="K165" s="520" t="str">
        <f>IF(J165="","",IF(VLOOKUP(J165,'G-3 Multipliers'!$L$3:$N$6,2,FALSE)=0,"Spatial Data Missing",VLOOKUP(J165,'G-3 Multipliers'!$L$3:$N$6,2,FALSE)))</f>
        <v/>
      </c>
      <c r="L165" s="524" t="str">
        <f>IF(J165="","",IF(VLOOKUP(J165,'G-3 Multipliers'!$L$3:$N$6,3,FALSE)=0,"Spatial Data Missing",VLOOKUP(J165,'G-3 Multipliers'!$L$3:$N$6,3,FALSE)))</f>
        <v/>
      </c>
      <c r="M165" s="197"/>
      <c r="N165" s="499" t="str">
        <f>IF(M165="","",IF(VLOOKUP(M165,'G-3 Multipliers'!$S$3:$T$6,2,FALSE)=0,"Spatial Data Missing ⚠",VLOOKUP(M165,'G-3 Multipliers'!$S$3:$T$6,2,FALSE)))</f>
        <v/>
      </c>
      <c r="O165" s="498" t="str">
        <f>IF(OR(D165="",H165=""),"",(INDEX('G-6 Hedgerow Data'!$E$3:$I$15,MATCH(D165,'G-6 Hedgerow Data'!$B$3:$B$15,0),MATCH(H165,'G-6 Hedgerow Data'!$E$2:$I$2,0))))</f>
        <v/>
      </c>
      <c r="P165" s="195"/>
      <c r="Q165" s="195"/>
      <c r="R165" s="507" t="str">
        <f t="shared" si="13"/>
        <v/>
      </c>
      <c r="S165" s="521" t="str">
        <f t="shared" si="14"/>
        <v/>
      </c>
      <c r="T165" s="522" t="str">
        <f t="shared" si="12"/>
        <v/>
      </c>
      <c r="U165" s="537" t="str">
        <f>IF(D165="","",VLOOKUP(D165,'G-6 Hedgerow Data'!$B$3:$AG$15,31,FALSE))</f>
        <v/>
      </c>
      <c r="V165" s="520" t="str">
        <f t="shared" si="15"/>
        <v/>
      </c>
      <c r="W165" s="520" t="str">
        <f t="shared" si="16"/>
        <v/>
      </c>
      <c r="X165" s="524" t="str">
        <f>IF(F165="","",VLOOKUP(U165,'G-3 Multipliers'!$P$3:$Q$6,2,FALSE))</f>
        <v/>
      </c>
      <c r="Y165" s="529" t="str">
        <f t="shared" si="17"/>
        <v/>
      </c>
      <c r="Z165" s="149"/>
      <c r="AA165" s="150"/>
      <c r="AG165" s="31" t="str">
        <f>IFERROR(INDEX('G-6 Hedgerow Data'!$BJ$3:$BJ$15,MATCH(D165,'G-6 Hedgerow Data'!$B$3:$B$15,0)),"")</f>
        <v/>
      </c>
    </row>
    <row r="166" spans="2:33" ht="14" x14ac:dyDescent="0.3">
      <c r="B166" s="103">
        <v>155</v>
      </c>
      <c r="C166" s="268"/>
      <c r="D166" s="82"/>
      <c r="E166" s="203"/>
      <c r="F166" s="498" t="str">
        <f>IF(D166="","",VLOOKUP(D166,'G-6 Hedgerow Data'!$B$2:$AG$15,2,FALSE))</f>
        <v/>
      </c>
      <c r="G166" s="524" t="str">
        <f>IF(D166="","",VLOOKUP(D166,'G-6 Hedgerow Data'!$B$2:$AG$15,3,FALSE))</f>
        <v/>
      </c>
      <c r="H166" s="72"/>
      <c r="I166" s="499" t="str">
        <f>IFERROR(IF(AND(F166="V.Low",OR(H166="Good",H166="Moderate")),"Error ▲",VLOOKUP(H166,'G-1 All Habitats'!$Z$2:$AA$9,2,FALSE)),"")</f>
        <v/>
      </c>
      <c r="J166" s="146"/>
      <c r="K166" s="520" t="str">
        <f>IF(J166="","",IF(VLOOKUP(J166,'G-3 Multipliers'!$L$3:$N$6,2,FALSE)=0,"Spatial Data Missing",VLOOKUP(J166,'G-3 Multipliers'!$L$3:$N$6,2,FALSE)))</f>
        <v/>
      </c>
      <c r="L166" s="524" t="str">
        <f>IF(J166="","",IF(VLOOKUP(J166,'G-3 Multipliers'!$L$3:$N$6,3,FALSE)=0,"Spatial Data Missing",VLOOKUP(J166,'G-3 Multipliers'!$L$3:$N$6,3,FALSE)))</f>
        <v/>
      </c>
      <c r="M166" s="197"/>
      <c r="N166" s="499" t="str">
        <f>IF(M166="","",IF(VLOOKUP(M166,'G-3 Multipliers'!$S$3:$T$6,2,FALSE)=0,"Spatial Data Missing ⚠",VLOOKUP(M166,'G-3 Multipliers'!$S$3:$T$6,2,FALSE)))</f>
        <v/>
      </c>
      <c r="O166" s="498" t="str">
        <f>IF(OR(D166="",H166=""),"",(INDEX('G-6 Hedgerow Data'!$E$3:$I$15,MATCH(D166,'G-6 Hedgerow Data'!$B$3:$B$15,0),MATCH(H166,'G-6 Hedgerow Data'!$E$2:$I$2,0))))</f>
        <v/>
      </c>
      <c r="P166" s="195"/>
      <c r="Q166" s="195"/>
      <c r="R166" s="507" t="str">
        <f t="shared" si="13"/>
        <v/>
      </c>
      <c r="S166" s="521" t="str">
        <f t="shared" si="14"/>
        <v/>
      </c>
      <c r="T166" s="522" t="str">
        <f t="shared" si="12"/>
        <v/>
      </c>
      <c r="U166" s="537" t="str">
        <f>IF(D166="","",VLOOKUP(D166,'G-6 Hedgerow Data'!$B$3:$AG$15,31,FALSE))</f>
        <v/>
      </c>
      <c r="V166" s="520" t="str">
        <f t="shared" si="15"/>
        <v/>
      </c>
      <c r="W166" s="520" t="str">
        <f t="shared" si="16"/>
        <v/>
      </c>
      <c r="X166" s="524" t="str">
        <f>IF(F166="","",VLOOKUP(U166,'G-3 Multipliers'!$P$3:$Q$6,2,FALSE))</f>
        <v/>
      </c>
      <c r="Y166" s="529" t="str">
        <f t="shared" si="17"/>
        <v/>
      </c>
      <c r="Z166" s="149"/>
      <c r="AA166" s="150"/>
      <c r="AG166" s="31" t="str">
        <f>IFERROR(INDEX('G-6 Hedgerow Data'!$BJ$3:$BJ$15,MATCH(D166,'G-6 Hedgerow Data'!$B$3:$B$15,0)),"")</f>
        <v/>
      </c>
    </row>
    <row r="167" spans="2:33" ht="14" x14ac:dyDescent="0.3">
      <c r="B167" s="103">
        <v>156</v>
      </c>
      <c r="C167" s="268"/>
      <c r="D167" s="82"/>
      <c r="E167" s="203"/>
      <c r="F167" s="498" t="str">
        <f>IF(D167="","",VLOOKUP(D167,'G-6 Hedgerow Data'!$B$2:$AG$15,2,FALSE))</f>
        <v/>
      </c>
      <c r="G167" s="524" t="str">
        <f>IF(D167="","",VLOOKUP(D167,'G-6 Hedgerow Data'!$B$2:$AG$15,3,FALSE))</f>
        <v/>
      </c>
      <c r="H167" s="72"/>
      <c r="I167" s="499" t="str">
        <f>IFERROR(IF(AND(F167="V.Low",OR(H167="Good",H167="Moderate")),"Error ▲",VLOOKUP(H167,'G-1 All Habitats'!$Z$2:$AA$9,2,FALSE)),"")</f>
        <v/>
      </c>
      <c r="J167" s="146"/>
      <c r="K167" s="520" t="str">
        <f>IF(J167="","",IF(VLOOKUP(J167,'G-3 Multipliers'!$L$3:$N$6,2,FALSE)=0,"Spatial Data Missing",VLOOKUP(J167,'G-3 Multipliers'!$L$3:$N$6,2,FALSE)))</f>
        <v/>
      </c>
      <c r="L167" s="524" t="str">
        <f>IF(J167="","",IF(VLOOKUP(J167,'G-3 Multipliers'!$L$3:$N$6,3,FALSE)=0,"Spatial Data Missing",VLOOKUP(J167,'G-3 Multipliers'!$L$3:$N$6,3,FALSE)))</f>
        <v/>
      </c>
      <c r="M167" s="197"/>
      <c r="N167" s="499" t="str">
        <f>IF(M167="","",IF(VLOOKUP(M167,'G-3 Multipliers'!$S$3:$T$6,2,FALSE)=0,"Spatial Data Missing ⚠",VLOOKUP(M167,'G-3 Multipliers'!$S$3:$T$6,2,FALSE)))</f>
        <v/>
      </c>
      <c r="O167" s="498" t="str">
        <f>IF(OR(D167="",H167=""),"",(INDEX('G-6 Hedgerow Data'!$E$3:$I$15,MATCH(D167,'G-6 Hedgerow Data'!$B$3:$B$15,0),MATCH(H167,'G-6 Hedgerow Data'!$E$2:$I$2,0))))</f>
        <v/>
      </c>
      <c r="P167" s="195"/>
      <c r="Q167" s="195"/>
      <c r="R167" s="507" t="str">
        <f t="shared" si="13"/>
        <v/>
      </c>
      <c r="S167" s="521" t="str">
        <f t="shared" si="14"/>
        <v/>
      </c>
      <c r="T167" s="522" t="str">
        <f t="shared" si="12"/>
        <v/>
      </c>
      <c r="U167" s="537" t="str">
        <f>IF(D167="","",VLOOKUP(D167,'G-6 Hedgerow Data'!$B$3:$AG$15,31,FALSE))</f>
        <v/>
      </c>
      <c r="V167" s="520" t="str">
        <f t="shared" si="15"/>
        <v/>
      </c>
      <c r="W167" s="520" t="str">
        <f t="shared" si="16"/>
        <v/>
      </c>
      <c r="X167" s="524" t="str">
        <f>IF(F167="","",VLOOKUP(U167,'G-3 Multipliers'!$P$3:$Q$6,2,FALSE))</f>
        <v/>
      </c>
      <c r="Y167" s="529" t="str">
        <f t="shared" si="17"/>
        <v/>
      </c>
      <c r="Z167" s="149"/>
      <c r="AA167" s="150"/>
      <c r="AG167" s="31" t="str">
        <f>IFERROR(INDEX('G-6 Hedgerow Data'!$BJ$3:$BJ$15,MATCH(D167,'G-6 Hedgerow Data'!$B$3:$B$15,0)),"")</f>
        <v/>
      </c>
    </row>
    <row r="168" spans="2:33" ht="14" x14ac:dyDescent="0.3">
      <c r="B168" s="103">
        <v>157</v>
      </c>
      <c r="C168" s="268"/>
      <c r="D168" s="82"/>
      <c r="E168" s="203"/>
      <c r="F168" s="498" t="str">
        <f>IF(D168="","",VLOOKUP(D168,'G-6 Hedgerow Data'!$B$2:$AG$15,2,FALSE))</f>
        <v/>
      </c>
      <c r="G168" s="524" t="str">
        <f>IF(D168="","",VLOOKUP(D168,'G-6 Hedgerow Data'!$B$2:$AG$15,3,FALSE))</f>
        <v/>
      </c>
      <c r="H168" s="72"/>
      <c r="I168" s="499" t="str">
        <f>IFERROR(IF(AND(F168="V.Low",OR(H168="Good",H168="Moderate")),"Error ▲",VLOOKUP(H168,'G-1 All Habitats'!$Z$2:$AA$9,2,FALSE)),"")</f>
        <v/>
      </c>
      <c r="J168" s="146"/>
      <c r="K168" s="520" t="str">
        <f>IF(J168="","",IF(VLOOKUP(J168,'G-3 Multipliers'!$L$3:$N$6,2,FALSE)=0,"Spatial Data Missing",VLOOKUP(J168,'G-3 Multipliers'!$L$3:$N$6,2,FALSE)))</f>
        <v/>
      </c>
      <c r="L168" s="524" t="str">
        <f>IF(J168="","",IF(VLOOKUP(J168,'G-3 Multipliers'!$L$3:$N$6,3,FALSE)=0,"Spatial Data Missing",VLOOKUP(J168,'G-3 Multipliers'!$L$3:$N$6,3,FALSE)))</f>
        <v/>
      </c>
      <c r="M168" s="197"/>
      <c r="N168" s="499" t="str">
        <f>IF(M168="","",IF(VLOOKUP(M168,'G-3 Multipliers'!$S$3:$T$6,2,FALSE)=0,"Spatial Data Missing ⚠",VLOOKUP(M168,'G-3 Multipliers'!$S$3:$T$6,2,FALSE)))</f>
        <v/>
      </c>
      <c r="O168" s="498" t="str">
        <f>IF(OR(D168="",H168=""),"",(INDEX('G-6 Hedgerow Data'!$E$3:$I$15,MATCH(D168,'G-6 Hedgerow Data'!$B$3:$B$15,0),MATCH(H168,'G-6 Hedgerow Data'!$E$2:$I$2,0))))</f>
        <v/>
      </c>
      <c r="P168" s="195"/>
      <c r="Q168" s="195"/>
      <c r="R168" s="507" t="str">
        <f t="shared" si="13"/>
        <v/>
      </c>
      <c r="S168" s="521" t="str">
        <f t="shared" si="14"/>
        <v/>
      </c>
      <c r="T168" s="522" t="str">
        <f t="shared" si="12"/>
        <v/>
      </c>
      <c r="U168" s="537" t="str">
        <f>IF(D168="","",VLOOKUP(D168,'G-6 Hedgerow Data'!$B$3:$AG$15,31,FALSE))</f>
        <v/>
      </c>
      <c r="V168" s="520" t="str">
        <f t="shared" si="15"/>
        <v/>
      </c>
      <c r="W168" s="520" t="str">
        <f t="shared" si="16"/>
        <v/>
      </c>
      <c r="X168" s="524" t="str">
        <f>IF(F168="","",VLOOKUP(U168,'G-3 Multipliers'!$P$3:$Q$6,2,FALSE))</f>
        <v/>
      </c>
      <c r="Y168" s="529" t="str">
        <f t="shared" si="17"/>
        <v/>
      </c>
      <c r="Z168" s="149"/>
      <c r="AA168" s="150"/>
      <c r="AG168" s="31" t="str">
        <f>IFERROR(INDEX('G-6 Hedgerow Data'!$BJ$3:$BJ$15,MATCH(D168,'G-6 Hedgerow Data'!$B$3:$B$15,0)),"")</f>
        <v/>
      </c>
    </row>
    <row r="169" spans="2:33" ht="14" x14ac:dyDescent="0.3">
      <c r="B169" s="103">
        <v>158</v>
      </c>
      <c r="C169" s="268"/>
      <c r="D169" s="82"/>
      <c r="E169" s="203"/>
      <c r="F169" s="498" t="str">
        <f>IF(D169="","",VLOOKUP(D169,'G-6 Hedgerow Data'!$B$2:$AG$15,2,FALSE))</f>
        <v/>
      </c>
      <c r="G169" s="524" t="str">
        <f>IF(D169="","",VLOOKUP(D169,'G-6 Hedgerow Data'!$B$2:$AG$15,3,FALSE))</f>
        <v/>
      </c>
      <c r="H169" s="72"/>
      <c r="I169" s="499" t="str">
        <f>IFERROR(IF(AND(F169="V.Low",OR(H169="Good",H169="Moderate")),"Error ▲",VLOOKUP(H169,'G-1 All Habitats'!$Z$2:$AA$9,2,FALSE)),"")</f>
        <v/>
      </c>
      <c r="J169" s="146"/>
      <c r="K169" s="520" t="str">
        <f>IF(J169="","",IF(VLOOKUP(J169,'G-3 Multipliers'!$L$3:$N$6,2,FALSE)=0,"Spatial Data Missing",VLOOKUP(J169,'G-3 Multipliers'!$L$3:$N$6,2,FALSE)))</f>
        <v/>
      </c>
      <c r="L169" s="524" t="str">
        <f>IF(J169="","",IF(VLOOKUP(J169,'G-3 Multipliers'!$L$3:$N$6,3,FALSE)=0,"Spatial Data Missing",VLOOKUP(J169,'G-3 Multipliers'!$L$3:$N$6,3,FALSE)))</f>
        <v/>
      </c>
      <c r="M169" s="197"/>
      <c r="N169" s="499" t="str">
        <f>IF(M169="","",IF(VLOOKUP(M169,'G-3 Multipliers'!$S$3:$T$6,2,FALSE)=0,"Spatial Data Missing ⚠",VLOOKUP(M169,'G-3 Multipliers'!$S$3:$T$6,2,FALSE)))</f>
        <v/>
      </c>
      <c r="O169" s="498" t="str">
        <f>IF(OR(D169="",H169=""),"",(INDEX('G-6 Hedgerow Data'!$E$3:$I$15,MATCH(D169,'G-6 Hedgerow Data'!$B$3:$B$15,0),MATCH(H169,'G-6 Hedgerow Data'!$E$2:$I$2,0))))</f>
        <v/>
      </c>
      <c r="P169" s="195"/>
      <c r="Q169" s="195"/>
      <c r="R169" s="507" t="str">
        <f t="shared" si="13"/>
        <v/>
      </c>
      <c r="S169" s="521" t="str">
        <f t="shared" si="14"/>
        <v/>
      </c>
      <c r="T169" s="522" t="str">
        <f t="shared" si="12"/>
        <v/>
      </c>
      <c r="U169" s="537" t="str">
        <f>IF(D169="","",VLOOKUP(D169,'G-6 Hedgerow Data'!$B$3:$AG$15,31,FALSE))</f>
        <v/>
      </c>
      <c r="V169" s="520" t="str">
        <f t="shared" si="15"/>
        <v/>
      </c>
      <c r="W169" s="520" t="str">
        <f t="shared" si="16"/>
        <v/>
      </c>
      <c r="X169" s="524" t="str">
        <f>IF(F169="","",VLOOKUP(U169,'G-3 Multipliers'!$P$3:$Q$6,2,FALSE))</f>
        <v/>
      </c>
      <c r="Y169" s="529" t="str">
        <f t="shared" si="17"/>
        <v/>
      </c>
      <c r="Z169" s="149"/>
      <c r="AA169" s="150"/>
      <c r="AG169" s="31" t="str">
        <f>IFERROR(INDEX('G-6 Hedgerow Data'!$BJ$3:$BJ$15,MATCH(D169,'G-6 Hedgerow Data'!$B$3:$B$15,0)),"")</f>
        <v/>
      </c>
    </row>
    <row r="170" spans="2:33" ht="14" x14ac:dyDescent="0.3">
      <c r="B170" s="103">
        <v>159</v>
      </c>
      <c r="C170" s="268"/>
      <c r="D170" s="82"/>
      <c r="E170" s="203"/>
      <c r="F170" s="498" t="str">
        <f>IF(D170="","",VLOOKUP(D170,'G-6 Hedgerow Data'!$B$2:$AG$15,2,FALSE))</f>
        <v/>
      </c>
      <c r="G170" s="524" t="str">
        <f>IF(D170="","",VLOOKUP(D170,'G-6 Hedgerow Data'!$B$2:$AG$15,3,FALSE))</f>
        <v/>
      </c>
      <c r="H170" s="72"/>
      <c r="I170" s="499" t="str">
        <f>IFERROR(IF(AND(F170="V.Low",OR(H170="Good",H170="Moderate")),"Error ▲",VLOOKUP(H170,'G-1 All Habitats'!$Z$2:$AA$9,2,FALSE)),"")</f>
        <v/>
      </c>
      <c r="J170" s="146"/>
      <c r="K170" s="520" t="str">
        <f>IF(J170="","",IF(VLOOKUP(J170,'G-3 Multipliers'!$L$3:$N$6,2,FALSE)=0,"Spatial Data Missing",VLOOKUP(J170,'G-3 Multipliers'!$L$3:$N$6,2,FALSE)))</f>
        <v/>
      </c>
      <c r="L170" s="524" t="str">
        <f>IF(J170="","",IF(VLOOKUP(J170,'G-3 Multipliers'!$L$3:$N$6,3,FALSE)=0,"Spatial Data Missing",VLOOKUP(J170,'G-3 Multipliers'!$L$3:$N$6,3,FALSE)))</f>
        <v/>
      </c>
      <c r="M170" s="197"/>
      <c r="N170" s="499" t="str">
        <f>IF(M170="","",IF(VLOOKUP(M170,'G-3 Multipliers'!$S$3:$T$6,2,FALSE)=0,"Spatial Data Missing ⚠",VLOOKUP(M170,'G-3 Multipliers'!$S$3:$T$6,2,FALSE)))</f>
        <v/>
      </c>
      <c r="O170" s="498" t="str">
        <f>IF(OR(D170="",H170=""),"",(INDEX('G-6 Hedgerow Data'!$E$3:$I$15,MATCH(D170,'G-6 Hedgerow Data'!$B$3:$B$15,0),MATCH(H170,'G-6 Hedgerow Data'!$E$2:$I$2,0))))</f>
        <v/>
      </c>
      <c r="P170" s="195"/>
      <c r="Q170" s="195"/>
      <c r="R170" s="507" t="str">
        <f t="shared" si="13"/>
        <v/>
      </c>
      <c r="S170" s="521" t="str">
        <f t="shared" si="14"/>
        <v/>
      </c>
      <c r="T170" s="522" t="str">
        <f t="shared" si="12"/>
        <v/>
      </c>
      <c r="U170" s="537" t="str">
        <f>IF(D170="","",VLOOKUP(D170,'G-6 Hedgerow Data'!$B$3:$AG$15,31,FALSE))</f>
        <v/>
      </c>
      <c r="V170" s="520" t="str">
        <f t="shared" si="15"/>
        <v/>
      </c>
      <c r="W170" s="520" t="str">
        <f t="shared" si="16"/>
        <v/>
      </c>
      <c r="X170" s="524" t="str">
        <f>IF(F170="","",VLOOKUP(U170,'G-3 Multipliers'!$P$3:$Q$6,2,FALSE))</f>
        <v/>
      </c>
      <c r="Y170" s="529" t="str">
        <f t="shared" si="17"/>
        <v/>
      </c>
      <c r="Z170" s="149"/>
      <c r="AA170" s="150"/>
      <c r="AG170" s="31" t="str">
        <f>IFERROR(INDEX('G-6 Hedgerow Data'!$BJ$3:$BJ$15,MATCH(D170,'G-6 Hedgerow Data'!$B$3:$B$15,0)),"")</f>
        <v/>
      </c>
    </row>
    <row r="171" spans="2:33" ht="14" x14ac:dyDescent="0.3">
      <c r="B171" s="103">
        <v>160</v>
      </c>
      <c r="C171" s="268"/>
      <c r="D171" s="82"/>
      <c r="E171" s="203"/>
      <c r="F171" s="498" t="str">
        <f>IF(D171="","",VLOOKUP(D171,'G-6 Hedgerow Data'!$B$2:$AG$15,2,FALSE))</f>
        <v/>
      </c>
      <c r="G171" s="524" t="str">
        <f>IF(D171="","",VLOOKUP(D171,'G-6 Hedgerow Data'!$B$2:$AG$15,3,FALSE))</f>
        <v/>
      </c>
      <c r="H171" s="72"/>
      <c r="I171" s="499" t="str">
        <f>IFERROR(IF(AND(F171="V.Low",OR(H171="Good",H171="Moderate")),"Error ▲",VLOOKUP(H171,'G-1 All Habitats'!$Z$2:$AA$9,2,FALSE)),"")</f>
        <v/>
      </c>
      <c r="J171" s="146"/>
      <c r="K171" s="520" t="str">
        <f>IF(J171="","",IF(VLOOKUP(J171,'G-3 Multipliers'!$L$3:$N$6,2,FALSE)=0,"Spatial Data Missing",VLOOKUP(J171,'G-3 Multipliers'!$L$3:$N$6,2,FALSE)))</f>
        <v/>
      </c>
      <c r="L171" s="524" t="str">
        <f>IF(J171="","",IF(VLOOKUP(J171,'G-3 Multipliers'!$L$3:$N$6,3,FALSE)=0,"Spatial Data Missing",VLOOKUP(J171,'G-3 Multipliers'!$L$3:$N$6,3,FALSE)))</f>
        <v/>
      </c>
      <c r="M171" s="197"/>
      <c r="N171" s="499" t="str">
        <f>IF(M171="","",IF(VLOOKUP(M171,'G-3 Multipliers'!$S$3:$T$6,2,FALSE)=0,"Spatial Data Missing ⚠",VLOOKUP(M171,'G-3 Multipliers'!$S$3:$T$6,2,FALSE)))</f>
        <v/>
      </c>
      <c r="O171" s="498" t="str">
        <f>IF(OR(D171="",H171=""),"",(INDEX('G-6 Hedgerow Data'!$E$3:$I$15,MATCH(D171,'G-6 Hedgerow Data'!$B$3:$B$15,0),MATCH(H171,'G-6 Hedgerow Data'!$E$2:$I$2,0))))</f>
        <v/>
      </c>
      <c r="P171" s="195"/>
      <c r="Q171" s="195"/>
      <c r="R171" s="507" t="str">
        <f t="shared" si="13"/>
        <v/>
      </c>
      <c r="S171" s="521" t="str">
        <f t="shared" si="14"/>
        <v/>
      </c>
      <c r="T171" s="522" t="str">
        <f t="shared" si="12"/>
        <v/>
      </c>
      <c r="U171" s="537" t="str">
        <f>IF(D171="","",VLOOKUP(D171,'G-6 Hedgerow Data'!$B$3:$AG$15,31,FALSE))</f>
        <v/>
      </c>
      <c r="V171" s="520" t="str">
        <f t="shared" si="15"/>
        <v/>
      </c>
      <c r="W171" s="520" t="str">
        <f t="shared" si="16"/>
        <v/>
      </c>
      <c r="X171" s="524" t="str">
        <f>IF(F171="","",VLOOKUP(U171,'G-3 Multipliers'!$P$3:$Q$6,2,FALSE))</f>
        <v/>
      </c>
      <c r="Y171" s="529" t="str">
        <f t="shared" si="17"/>
        <v/>
      </c>
      <c r="Z171" s="149"/>
      <c r="AA171" s="150"/>
      <c r="AG171" s="31" t="str">
        <f>IFERROR(INDEX('G-6 Hedgerow Data'!$BJ$3:$BJ$15,MATCH(D171,'G-6 Hedgerow Data'!$B$3:$B$15,0)),"")</f>
        <v/>
      </c>
    </row>
    <row r="172" spans="2:33" ht="14" x14ac:dyDescent="0.3">
      <c r="B172" s="103">
        <v>161</v>
      </c>
      <c r="C172" s="268"/>
      <c r="D172" s="82"/>
      <c r="E172" s="203"/>
      <c r="F172" s="498" t="str">
        <f>IF(D172="","",VLOOKUP(D172,'G-6 Hedgerow Data'!$B$2:$AG$15,2,FALSE))</f>
        <v/>
      </c>
      <c r="G172" s="524" t="str">
        <f>IF(D172="","",VLOOKUP(D172,'G-6 Hedgerow Data'!$B$2:$AG$15,3,FALSE))</f>
        <v/>
      </c>
      <c r="H172" s="72"/>
      <c r="I172" s="499" t="str">
        <f>IFERROR(IF(AND(F172="V.Low",OR(H172="Good",H172="Moderate")),"Error ▲",VLOOKUP(H172,'G-1 All Habitats'!$Z$2:$AA$9,2,FALSE)),"")</f>
        <v/>
      </c>
      <c r="J172" s="146"/>
      <c r="K172" s="520" t="str">
        <f>IF(J172="","",IF(VLOOKUP(J172,'G-3 Multipliers'!$L$3:$N$6,2,FALSE)=0,"Spatial Data Missing",VLOOKUP(J172,'G-3 Multipliers'!$L$3:$N$6,2,FALSE)))</f>
        <v/>
      </c>
      <c r="L172" s="524" t="str">
        <f>IF(J172="","",IF(VLOOKUP(J172,'G-3 Multipliers'!$L$3:$N$6,3,FALSE)=0,"Spatial Data Missing",VLOOKUP(J172,'G-3 Multipliers'!$L$3:$N$6,3,FALSE)))</f>
        <v/>
      </c>
      <c r="M172" s="197"/>
      <c r="N172" s="499" t="str">
        <f>IF(M172="","",IF(VLOOKUP(M172,'G-3 Multipliers'!$S$3:$T$6,2,FALSE)=0,"Spatial Data Missing ⚠",VLOOKUP(M172,'G-3 Multipliers'!$S$3:$T$6,2,FALSE)))</f>
        <v/>
      </c>
      <c r="O172" s="498" t="str">
        <f>IF(OR(D172="",H172=""),"",(INDEX('G-6 Hedgerow Data'!$E$3:$I$15,MATCH(D172,'G-6 Hedgerow Data'!$B$3:$B$15,0),MATCH(H172,'G-6 Hedgerow Data'!$E$2:$I$2,0))))</f>
        <v/>
      </c>
      <c r="P172" s="195"/>
      <c r="Q172" s="195"/>
      <c r="R172" s="507" t="str">
        <f t="shared" si="13"/>
        <v/>
      </c>
      <c r="S172" s="521" t="str">
        <f t="shared" si="14"/>
        <v/>
      </c>
      <c r="T172" s="522" t="str">
        <f t="shared" si="12"/>
        <v/>
      </c>
      <c r="U172" s="537" t="str">
        <f>IF(D172="","",VLOOKUP(D172,'G-6 Hedgerow Data'!$B$3:$AG$15,31,FALSE))</f>
        <v/>
      </c>
      <c r="V172" s="520" t="str">
        <f t="shared" si="15"/>
        <v/>
      </c>
      <c r="W172" s="520" t="str">
        <f t="shared" si="16"/>
        <v/>
      </c>
      <c r="X172" s="524" t="str">
        <f>IF(F172="","",VLOOKUP(U172,'G-3 Multipliers'!$P$3:$Q$6,2,FALSE))</f>
        <v/>
      </c>
      <c r="Y172" s="529" t="str">
        <f t="shared" si="17"/>
        <v/>
      </c>
      <c r="Z172" s="149"/>
      <c r="AA172" s="150"/>
      <c r="AG172" s="31" t="str">
        <f>IFERROR(INDEX('G-6 Hedgerow Data'!$BJ$3:$BJ$15,MATCH(D172,'G-6 Hedgerow Data'!$B$3:$B$15,0)),"")</f>
        <v/>
      </c>
    </row>
    <row r="173" spans="2:33" ht="14" x14ac:dyDescent="0.3">
      <c r="B173" s="103">
        <v>162</v>
      </c>
      <c r="C173" s="268"/>
      <c r="D173" s="82"/>
      <c r="E173" s="203"/>
      <c r="F173" s="498" t="str">
        <f>IF(D173="","",VLOOKUP(D173,'G-6 Hedgerow Data'!$B$2:$AG$15,2,FALSE))</f>
        <v/>
      </c>
      <c r="G173" s="524" t="str">
        <f>IF(D173="","",VLOOKUP(D173,'G-6 Hedgerow Data'!$B$2:$AG$15,3,FALSE))</f>
        <v/>
      </c>
      <c r="H173" s="72"/>
      <c r="I173" s="499" t="str">
        <f>IFERROR(IF(AND(F173="V.Low",OR(H173="Good",H173="Moderate")),"Error ▲",VLOOKUP(H173,'G-1 All Habitats'!$Z$2:$AA$9,2,FALSE)),"")</f>
        <v/>
      </c>
      <c r="J173" s="146"/>
      <c r="K173" s="520" t="str">
        <f>IF(J173="","",IF(VLOOKUP(J173,'G-3 Multipliers'!$L$3:$N$6,2,FALSE)=0,"Spatial Data Missing",VLOOKUP(J173,'G-3 Multipliers'!$L$3:$N$6,2,FALSE)))</f>
        <v/>
      </c>
      <c r="L173" s="524" t="str">
        <f>IF(J173="","",IF(VLOOKUP(J173,'G-3 Multipliers'!$L$3:$N$6,3,FALSE)=0,"Spatial Data Missing",VLOOKUP(J173,'G-3 Multipliers'!$L$3:$N$6,3,FALSE)))</f>
        <v/>
      </c>
      <c r="M173" s="197"/>
      <c r="N173" s="499" t="str">
        <f>IF(M173="","",IF(VLOOKUP(M173,'G-3 Multipliers'!$S$3:$T$6,2,FALSE)=0,"Spatial Data Missing ⚠",VLOOKUP(M173,'G-3 Multipliers'!$S$3:$T$6,2,FALSE)))</f>
        <v/>
      </c>
      <c r="O173" s="498" t="str">
        <f>IF(OR(D173="",H173=""),"",(INDEX('G-6 Hedgerow Data'!$E$3:$I$15,MATCH(D173,'G-6 Hedgerow Data'!$B$3:$B$15,0),MATCH(H173,'G-6 Hedgerow Data'!$E$2:$I$2,0))))</f>
        <v/>
      </c>
      <c r="P173" s="195"/>
      <c r="Q173" s="195"/>
      <c r="R173" s="507" t="str">
        <f t="shared" si="13"/>
        <v/>
      </c>
      <c r="S173" s="521" t="str">
        <f t="shared" si="14"/>
        <v/>
      </c>
      <c r="T173" s="522" t="str">
        <f t="shared" si="12"/>
        <v/>
      </c>
      <c r="U173" s="537" t="str">
        <f>IF(D173="","",VLOOKUP(D173,'G-6 Hedgerow Data'!$B$3:$AG$15,31,FALSE))</f>
        <v/>
      </c>
      <c r="V173" s="520" t="str">
        <f t="shared" si="15"/>
        <v/>
      </c>
      <c r="W173" s="520" t="str">
        <f t="shared" si="16"/>
        <v/>
      </c>
      <c r="X173" s="524" t="str">
        <f>IF(F173="","",VLOOKUP(U173,'G-3 Multipliers'!$P$3:$Q$6,2,FALSE))</f>
        <v/>
      </c>
      <c r="Y173" s="529" t="str">
        <f t="shared" si="17"/>
        <v/>
      </c>
      <c r="Z173" s="149"/>
      <c r="AA173" s="150"/>
      <c r="AG173" s="31" t="str">
        <f>IFERROR(INDEX('G-6 Hedgerow Data'!$BJ$3:$BJ$15,MATCH(D173,'G-6 Hedgerow Data'!$B$3:$B$15,0)),"")</f>
        <v/>
      </c>
    </row>
    <row r="174" spans="2:33" ht="14" x14ac:dyDescent="0.3">
      <c r="B174" s="103">
        <v>163</v>
      </c>
      <c r="C174" s="268"/>
      <c r="D174" s="82"/>
      <c r="E174" s="203"/>
      <c r="F174" s="498" t="str">
        <f>IF(D174="","",VLOOKUP(D174,'G-6 Hedgerow Data'!$B$2:$AG$15,2,FALSE))</f>
        <v/>
      </c>
      <c r="G174" s="524" t="str">
        <f>IF(D174="","",VLOOKUP(D174,'G-6 Hedgerow Data'!$B$2:$AG$15,3,FALSE))</f>
        <v/>
      </c>
      <c r="H174" s="72"/>
      <c r="I174" s="499" t="str">
        <f>IFERROR(IF(AND(F174="V.Low",OR(H174="Good",H174="Moderate")),"Error ▲",VLOOKUP(H174,'G-1 All Habitats'!$Z$2:$AA$9,2,FALSE)),"")</f>
        <v/>
      </c>
      <c r="J174" s="146"/>
      <c r="K174" s="520" t="str">
        <f>IF(J174="","",IF(VLOOKUP(J174,'G-3 Multipliers'!$L$3:$N$6,2,FALSE)=0,"Spatial Data Missing",VLOOKUP(J174,'G-3 Multipliers'!$L$3:$N$6,2,FALSE)))</f>
        <v/>
      </c>
      <c r="L174" s="524" t="str">
        <f>IF(J174="","",IF(VLOOKUP(J174,'G-3 Multipliers'!$L$3:$N$6,3,FALSE)=0,"Spatial Data Missing",VLOOKUP(J174,'G-3 Multipliers'!$L$3:$N$6,3,FALSE)))</f>
        <v/>
      </c>
      <c r="M174" s="197"/>
      <c r="N174" s="499" t="str">
        <f>IF(M174="","",IF(VLOOKUP(M174,'G-3 Multipliers'!$S$3:$T$6,2,FALSE)=0,"Spatial Data Missing ⚠",VLOOKUP(M174,'G-3 Multipliers'!$S$3:$T$6,2,FALSE)))</f>
        <v/>
      </c>
      <c r="O174" s="498" t="str">
        <f>IF(OR(D174="",H174=""),"",(INDEX('G-6 Hedgerow Data'!$E$3:$I$15,MATCH(D174,'G-6 Hedgerow Data'!$B$3:$B$15,0),MATCH(H174,'G-6 Hedgerow Data'!$E$2:$I$2,0))))</f>
        <v/>
      </c>
      <c r="P174" s="195"/>
      <c r="Q174" s="195"/>
      <c r="R174" s="507" t="str">
        <f t="shared" si="13"/>
        <v/>
      </c>
      <c r="S174" s="521" t="str">
        <f t="shared" si="14"/>
        <v/>
      </c>
      <c r="T174" s="522" t="str">
        <f t="shared" si="12"/>
        <v/>
      </c>
      <c r="U174" s="537" t="str">
        <f>IF(D174="","",VLOOKUP(D174,'G-6 Hedgerow Data'!$B$3:$AG$15,31,FALSE))</f>
        <v/>
      </c>
      <c r="V174" s="520" t="str">
        <f t="shared" si="15"/>
        <v/>
      </c>
      <c r="W174" s="520" t="str">
        <f t="shared" si="16"/>
        <v/>
      </c>
      <c r="X174" s="524" t="str">
        <f>IF(F174="","",VLOOKUP(U174,'G-3 Multipliers'!$P$3:$Q$6,2,FALSE))</f>
        <v/>
      </c>
      <c r="Y174" s="529" t="str">
        <f t="shared" si="17"/>
        <v/>
      </c>
      <c r="Z174" s="149"/>
      <c r="AA174" s="150"/>
      <c r="AG174" s="31" t="str">
        <f>IFERROR(INDEX('G-6 Hedgerow Data'!$BJ$3:$BJ$15,MATCH(D174,'G-6 Hedgerow Data'!$B$3:$B$15,0)),"")</f>
        <v/>
      </c>
    </row>
    <row r="175" spans="2:33" ht="14" x14ac:dyDescent="0.3">
      <c r="B175" s="103">
        <v>164</v>
      </c>
      <c r="C175" s="268"/>
      <c r="D175" s="82"/>
      <c r="E175" s="203"/>
      <c r="F175" s="498" t="str">
        <f>IF(D175="","",VLOOKUP(D175,'G-6 Hedgerow Data'!$B$2:$AG$15,2,FALSE))</f>
        <v/>
      </c>
      <c r="G175" s="524" t="str">
        <f>IF(D175="","",VLOOKUP(D175,'G-6 Hedgerow Data'!$B$2:$AG$15,3,FALSE))</f>
        <v/>
      </c>
      <c r="H175" s="72"/>
      <c r="I175" s="499" t="str">
        <f>IFERROR(IF(AND(F175="V.Low",OR(H175="Good",H175="Moderate")),"Error ▲",VLOOKUP(H175,'G-1 All Habitats'!$Z$2:$AA$9,2,FALSE)),"")</f>
        <v/>
      </c>
      <c r="J175" s="146"/>
      <c r="K175" s="520" t="str">
        <f>IF(J175="","",IF(VLOOKUP(J175,'G-3 Multipliers'!$L$3:$N$6,2,FALSE)=0,"Spatial Data Missing",VLOOKUP(J175,'G-3 Multipliers'!$L$3:$N$6,2,FALSE)))</f>
        <v/>
      </c>
      <c r="L175" s="524" t="str">
        <f>IF(J175="","",IF(VLOOKUP(J175,'G-3 Multipliers'!$L$3:$N$6,3,FALSE)=0,"Spatial Data Missing",VLOOKUP(J175,'G-3 Multipliers'!$L$3:$N$6,3,FALSE)))</f>
        <v/>
      </c>
      <c r="M175" s="197"/>
      <c r="N175" s="499" t="str">
        <f>IF(M175="","",IF(VLOOKUP(M175,'G-3 Multipliers'!$S$3:$T$6,2,FALSE)=0,"Spatial Data Missing ⚠",VLOOKUP(M175,'G-3 Multipliers'!$S$3:$T$6,2,FALSE)))</f>
        <v/>
      </c>
      <c r="O175" s="498" t="str">
        <f>IF(OR(D175="",H175=""),"",(INDEX('G-6 Hedgerow Data'!$E$3:$I$15,MATCH(D175,'G-6 Hedgerow Data'!$B$3:$B$15,0),MATCH(H175,'G-6 Hedgerow Data'!$E$2:$I$2,0))))</f>
        <v/>
      </c>
      <c r="P175" s="195"/>
      <c r="Q175" s="195"/>
      <c r="R175" s="507" t="str">
        <f t="shared" si="13"/>
        <v/>
      </c>
      <c r="S175" s="521" t="str">
        <f t="shared" si="14"/>
        <v/>
      </c>
      <c r="T175" s="522" t="str">
        <f t="shared" si="12"/>
        <v/>
      </c>
      <c r="U175" s="537" t="str">
        <f>IF(D175="","",VLOOKUP(D175,'G-6 Hedgerow Data'!$B$3:$AG$15,31,FALSE))</f>
        <v/>
      </c>
      <c r="V175" s="520" t="str">
        <f t="shared" si="15"/>
        <v/>
      </c>
      <c r="W175" s="520" t="str">
        <f t="shared" si="16"/>
        <v/>
      </c>
      <c r="X175" s="524" t="str">
        <f>IF(F175="","",VLOOKUP(U175,'G-3 Multipliers'!$P$3:$Q$6,2,FALSE))</f>
        <v/>
      </c>
      <c r="Y175" s="529" t="str">
        <f t="shared" si="17"/>
        <v/>
      </c>
      <c r="Z175" s="149"/>
      <c r="AA175" s="150"/>
      <c r="AG175" s="31" t="str">
        <f>IFERROR(INDEX('G-6 Hedgerow Data'!$BJ$3:$BJ$15,MATCH(D175,'G-6 Hedgerow Data'!$B$3:$B$15,0)),"")</f>
        <v/>
      </c>
    </row>
    <row r="176" spans="2:33" ht="14" x14ac:dyDescent="0.3">
      <c r="B176" s="103">
        <v>165</v>
      </c>
      <c r="C176" s="268"/>
      <c r="D176" s="82"/>
      <c r="E176" s="203"/>
      <c r="F176" s="498" t="str">
        <f>IF(D176="","",VLOOKUP(D176,'G-6 Hedgerow Data'!$B$2:$AG$15,2,FALSE))</f>
        <v/>
      </c>
      <c r="G176" s="524" t="str">
        <f>IF(D176="","",VLOOKUP(D176,'G-6 Hedgerow Data'!$B$2:$AG$15,3,FALSE))</f>
        <v/>
      </c>
      <c r="H176" s="72"/>
      <c r="I176" s="499" t="str">
        <f>IFERROR(IF(AND(F176="V.Low",OR(H176="Good",H176="Moderate")),"Error ▲",VLOOKUP(H176,'G-1 All Habitats'!$Z$2:$AA$9,2,FALSE)),"")</f>
        <v/>
      </c>
      <c r="J176" s="146"/>
      <c r="K176" s="520" t="str">
        <f>IF(J176="","",IF(VLOOKUP(J176,'G-3 Multipliers'!$L$3:$N$6,2,FALSE)=0,"Spatial Data Missing",VLOOKUP(J176,'G-3 Multipliers'!$L$3:$N$6,2,FALSE)))</f>
        <v/>
      </c>
      <c r="L176" s="524" t="str">
        <f>IF(J176="","",IF(VLOOKUP(J176,'G-3 Multipliers'!$L$3:$N$6,3,FALSE)=0,"Spatial Data Missing",VLOOKUP(J176,'G-3 Multipliers'!$L$3:$N$6,3,FALSE)))</f>
        <v/>
      </c>
      <c r="M176" s="197"/>
      <c r="N176" s="499" t="str">
        <f>IF(M176="","",IF(VLOOKUP(M176,'G-3 Multipliers'!$S$3:$T$6,2,FALSE)=0,"Spatial Data Missing ⚠",VLOOKUP(M176,'G-3 Multipliers'!$S$3:$T$6,2,FALSE)))</f>
        <v/>
      </c>
      <c r="O176" s="498" t="str">
        <f>IF(OR(D176="",H176=""),"",(INDEX('G-6 Hedgerow Data'!$E$3:$I$15,MATCH(D176,'G-6 Hedgerow Data'!$B$3:$B$15,0),MATCH(H176,'G-6 Hedgerow Data'!$E$2:$I$2,0))))</f>
        <v/>
      </c>
      <c r="P176" s="195"/>
      <c r="Q176" s="195"/>
      <c r="R176" s="507" t="str">
        <f t="shared" si="13"/>
        <v/>
      </c>
      <c r="S176" s="521" t="str">
        <f t="shared" si="14"/>
        <v/>
      </c>
      <c r="T176" s="522" t="str">
        <f t="shared" si="12"/>
        <v/>
      </c>
      <c r="U176" s="537" t="str">
        <f>IF(D176="","",VLOOKUP(D176,'G-6 Hedgerow Data'!$B$3:$AG$15,31,FALSE))</f>
        <v/>
      </c>
      <c r="V176" s="520" t="str">
        <f t="shared" si="15"/>
        <v/>
      </c>
      <c r="W176" s="520" t="str">
        <f t="shared" si="16"/>
        <v/>
      </c>
      <c r="X176" s="524" t="str">
        <f>IF(F176="","",VLOOKUP(U176,'G-3 Multipliers'!$P$3:$Q$6,2,FALSE))</f>
        <v/>
      </c>
      <c r="Y176" s="529" t="str">
        <f t="shared" si="17"/>
        <v/>
      </c>
      <c r="Z176" s="149"/>
      <c r="AA176" s="150"/>
      <c r="AG176" s="31" t="str">
        <f>IFERROR(INDEX('G-6 Hedgerow Data'!$BJ$3:$BJ$15,MATCH(D176,'G-6 Hedgerow Data'!$B$3:$B$15,0)),"")</f>
        <v/>
      </c>
    </row>
    <row r="177" spans="2:33" ht="14" x14ac:dyDescent="0.3">
      <c r="B177" s="103">
        <v>166</v>
      </c>
      <c r="C177" s="268"/>
      <c r="D177" s="82"/>
      <c r="E177" s="203"/>
      <c r="F177" s="498" t="str">
        <f>IF(D177="","",VLOOKUP(D177,'G-6 Hedgerow Data'!$B$2:$AG$15,2,FALSE))</f>
        <v/>
      </c>
      <c r="G177" s="524" t="str">
        <f>IF(D177="","",VLOOKUP(D177,'G-6 Hedgerow Data'!$B$2:$AG$15,3,FALSE))</f>
        <v/>
      </c>
      <c r="H177" s="72"/>
      <c r="I177" s="499" t="str">
        <f>IFERROR(IF(AND(F177="V.Low",OR(H177="Good",H177="Moderate")),"Error ▲",VLOOKUP(H177,'G-1 All Habitats'!$Z$2:$AA$9,2,FALSE)),"")</f>
        <v/>
      </c>
      <c r="J177" s="146"/>
      <c r="K177" s="520" t="str">
        <f>IF(J177="","",IF(VLOOKUP(J177,'G-3 Multipliers'!$L$3:$N$6,2,FALSE)=0,"Spatial Data Missing",VLOOKUP(J177,'G-3 Multipliers'!$L$3:$N$6,2,FALSE)))</f>
        <v/>
      </c>
      <c r="L177" s="524" t="str">
        <f>IF(J177="","",IF(VLOOKUP(J177,'G-3 Multipliers'!$L$3:$N$6,3,FALSE)=0,"Spatial Data Missing",VLOOKUP(J177,'G-3 Multipliers'!$L$3:$N$6,3,FALSE)))</f>
        <v/>
      </c>
      <c r="M177" s="197"/>
      <c r="N177" s="499" t="str">
        <f>IF(M177="","",IF(VLOOKUP(M177,'G-3 Multipliers'!$S$3:$T$6,2,FALSE)=0,"Spatial Data Missing ⚠",VLOOKUP(M177,'G-3 Multipliers'!$S$3:$T$6,2,FALSE)))</f>
        <v/>
      </c>
      <c r="O177" s="498" t="str">
        <f>IF(OR(D177="",H177=""),"",(INDEX('G-6 Hedgerow Data'!$E$3:$I$15,MATCH(D177,'G-6 Hedgerow Data'!$B$3:$B$15,0),MATCH(H177,'G-6 Hedgerow Data'!$E$2:$I$2,0))))</f>
        <v/>
      </c>
      <c r="P177" s="195"/>
      <c r="Q177" s="195"/>
      <c r="R177" s="507" t="str">
        <f t="shared" si="13"/>
        <v/>
      </c>
      <c r="S177" s="521" t="str">
        <f t="shared" si="14"/>
        <v/>
      </c>
      <c r="T177" s="522" t="str">
        <f t="shared" si="12"/>
        <v/>
      </c>
      <c r="U177" s="537" t="str">
        <f>IF(D177="","",VLOOKUP(D177,'G-6 Hedgerow Data'!$B$3:$AG$15,31,FALSE))</f>
        <v/>
      </c>
      <c r="V177" s="520" t="str">
        <f t="shared" si="15"/>
        <v/>
      </c>
      <c r="W177" s="520" t="str">
        <f t="shared" si="16"/>
        <v/>
      </c>
      <c r="X177" s="524" t="str">
        <f>IF(F177="","",VLOOKUP(U177,'G-3 Multipliers'!$P$3:$Q$6,2,FALSE))</f>
        <v/>
      </c>
      <c r="Y177" s="529" t="str">
        <f t="shared" si="17"/>
        <v/>
      </c>
      <c r="Z177" s="149"/>
      <c r="AA177" s="150"/>
      <c r="AG177" s="31" t="str">
        <f>IFERROR(INDEX('G-6 Hedgerow Data'!$BJ$3:$BJ$15,MATCH(D177,'G-6 Hedgerow Data'!$B$3:$B$15,0)),"")</f>
        <v/>
      </c>
    </row>
    <row r="178" spans="2:33" ht="14" x14ac:dyDescent="0.3">
      <c r="B178" s="103">
        <v>167</v>
      </c>
      <c r="C178" s="268"/>
      <c r="D178" s="82"/>
      <c r="E178" s="203"/>
      <c r="F178" s="498" t="str">
        <f>IF(D178="","",VLOOKUP(D178,'G-6 Hedgerow Data'!$B$2:$AG$15,2,FALSE))</f>
        <v/>
      </c>
      <c r="G178" s="524" t="str">
        <f>IF(D178="","",VLOOKUP(D178,'G-6 Hedgerow Data'!$B$2:$AG$15,3,FALSE))</f>
        <v/>
      </c>
      <c r="H178" s="72"/>
      <c r="I178" s="499" t="str">
        <f>IFERROR(IF(AND(F178="V.Low",OR(H178="Good",H178="Moderate")),"Error ▲",VLOOKUP(H178,'G-1 All Habitats'!$Z$2:$AA$9,2,FALSE)),"")</f>
        <v/>
      </c>
      <c r="J178" s="146"/>
      <c r="K178" s="520" t="str">
        <f>IF(J178="","",IF(VLOOKUP(J178,'G-3 Multipliers'!$L$3:$N$6,2,FALSE)=0,"Spatial Data Missing",VLOOKUP(J178,'G-3 Multipliers'!$L$3:$N$6,2,FALSE)))</f>
        <v/>
      </c>
      <c r="L178" s="524" t="str">
        <f>IF(J178="","",IF(VLOOKUP(J178,'G-3 Multipliers'!$L$3:$N$6,3,FALSE)=0,"Spatial Data Missing",VLOOKUP(J178,'G-3 Multipliers'!$L$3:$N$6,3,FALSE)))</f>
        <v/>
      </c>
      <c r="M178" s="197"/>
      <c r="N178" s="499" t="str">
        <f>IF(M178="","",IF(VLOOKUP(M178,'G-3 Multipliers'!$S$3:$T$6,2,FALSE)=0,"Spatial Data Missing ⚠",VLOOKUP(M178,'G-3 Multipliers'!$S$3:$T$6,2,FALSE)))</f>
        <v/>
      </c>
      <c r="O178" s="498" t="str">
        <f>IF(OR(D178="",H178=""),"",(INDEX('G-6 Hedgerow Data'!$E$3:$I$15,MATCH(D178,'G-6 Hedgerow Data'!$B$3:$B$15,0),MATCH(H178,'G-6 Hedgerow Data'!$E$2:$I$2,0))))</f>
        <v/>
      </c>
      <c r="P178" s="195"/>
      <c r="Q178" s="195"/>
      <c r="R178" s="507" t="str">
        <f t="shared" si="13"/>
        <v/>
      </c>
      <c r="S178" s="521" t="str">
        <f t="shared" si="14"/>
        <v/>
      </c>
      <c r="T178" s="522" t="str">
        <f t="shared" si="12"/>
        <v/>
      </c>
      <c r="U178" s="537" t="str">
        <f>IF(D178="","",VLOOKUP(D178,'G-6 Hedgerow Data'!$B$3:$AG$15,31,FALSE))</f>
        <v/>
      </c>
      <c r="V178" s="520" t="str">
        <f t="shared" si="15"/>
        <v/>
      </c>
      <c r="W178" s="520" t="str">
        <f t="shared" si="16"/>
        <v/>
      </c>
      <c r="X178" s="524" t="str">
        <f>IF(F178="","",VLOOKUP(U178,'G-3 Multipliers'!$P$3:$Q$6,2,FALSE))</f>
        <v/>
      </c>
      <c r="Y178" s="529" t="str">
        <f t="shared" si="17"/>
        <v/>
      </c>
      <c r="Z178" s="149"/>
      <c r="AA178" s="150"/>
      <c r="AG178" s="31" t="str">
        <f>IFERROR(INDEX('G-6 Hedgerow Data'!$BJ$3:$BJ$15,MATCH(D178,'G-6 Hedgerow Data'!$B$3:$B$15,0)),"")</f>
        <v/>
      </c>
    </row>
    <row r="179" spans="2:33" ht="14" x14ac:dyDescent="0.3">
      <c r="B179" s="103">
        <v>168</v>
      </c>
      <c r="C179" s="268"/>
      <c r="D179" s="82"/>
      <c r="E179" s="203"/>
      <c r="F179" s="498" t="str">
        <f>IF(D179="","",VLOOKUP(D179,'G-6 Hedgerow Data'!$B$2:$AG$15,2,FALSE))</f>
        <v/>
      </c>
      <c r="G179" s="524" t="str">
        <f>IF(D179="","",VLOOKUP(D179,'G-6 Hedgerow Data'!$B$2:$AG$15,3,FALSE))</f>
        <v/>
      </c>
      <c r="H179" s="72"/>
      <c r="I179" s="499" t="str">
        <f>IFERROR(IF(AND(F179="V.Low",OR(H179="Good",H179="Moderate")),"Error ▲",VLOOKUP(H179,'G-1 All Habitats'!$Z$2:$AA$9,2,FALSE)),"")</f>
        <v/>
      </c>
      <c r="J179" s="146"/>
      <c r="K179" s="520" t="str">
        <f>IF(J179="","",IF(VLOOKUP(J179,'G-3 Multipliers'!$L$3:$N$6,2,FALSE)=0,"Spatial Data Missing",VLOOKUP(J179,'G-3 Multipliers'!$L$3:$N$6,2,FALSE)))</f>
        <v/>
      </c>
      <c r="L179" s="524" t="str">
        <f>IF(J179="","",IF(VLOOKUP(J179,'G-3 Multipliers'!$L$3:$N$6,3,FALSE)=0,"Spatial Data Missing",VLOOKUP(J179,'G-3 Multipliers'!$L$3:$N$6,3,FALSE)))</f>
        <v/>
      </c>
      <c r="M179" s="197"/>
      <c r="N179" s="499" t="str">
        <f>IF(M179="","",IF(VLOOKUP(M179,'G-3 Multipliers'!$S$3:$T$6,2,FALSE)=0,"Spatial Data Missing ⚠",VLOOKUP(M179,'G-3 Multipliers'!$S$3:$T$6,2,FALSE)))</f>
        <v/>
      </c>
      <c r="O179" s="498" t="str">
        <f>IF(OR(D179="",H179=""),"",(INDEX('G-6 Hedgerow Data'!$E$3:$I$15,MATCH(D179,'G-6 Hedgerow Data'!$B$3:$B$15,0),MATCH(H179,'G-6 Hedgerow Data'!$E$2:$I$2,0))))</f>
        <v/>
      </c>
      <c r="P179" s="195"/>
      <c r="Q179" s="195"/>
      <c r="R179" s="507" t="str">
        <f t="shared" si="13"/>
        <v/>
      </c>
      <c r="S179" s="521" t="str">
        <f t="shared" si="14"/>
        <v/>
      </c>
      <c r="T179" s="522" t="str">
        <f t="shared" si="12"/>
        <v/>
      </c>
      <c r="U179" s="537" t="str">
        <f>IF(D179="","",VLOOKUP(D179,'G-6 Hedgerow Data'!$B$3:$AG$15,31,FALSE))</f>
        <v/>
      </c>
      <c r="V179" s="520" t="str">
        <f t="shared" si="15"/>
        <v/>
      </c>
      <c r="W179" s="520" t="str">
        <f t="shared" si="16"/>
        <v/>
      </c>
      <c r="X179" s="524" t="str">
        <f>IF(F179="","",VLOOKUP(U179,'G-3 Multipliers'!$P$3:$Q$6,2,FALSE))</f>
        <v/>
      </c>
      <c r="Y179" s="529" t="str">
        <f t="shared" si="17"/>
        <v/>
      </c>
      <c r="Z179" s="149"/>
      <c r="AA179" s="150"/>
      <c r="AG179" s="31" t="str">
        <f>IFERROR(INDEX('G-6 Hedgerow Data'!$BJ$3:$BJ$15,MATCH(D179,'G-6 Hedgerow Data'!$B$3:$B$15,0)),"")</f>
        <v/>
      </c>
    </row>
    <row r="180" spans="2:33" ht="14" x14ac:dyDescent="0.3">
      <c r="B180" s="103">
        <v>169</v>
      </c>
      <c r="C180" s="268"/>
      <c r="D180" s="82"/>
      <c r="E180" s="203"/>
      <c r="F180" s="498" t="str">
        <f>IF(D180="","",VLOOKUP(D180,'G-6 Hedgerow Data'!$B$2:$AG$15,2,FALSE))</f>
        <v/>
      </c>
      <c r="G180" s="524" t="str">
        <f>IF(D180="","",VLOOKUP(D180,'G-6 Hedgerow Data'!$B$2:$AG$15,3,FALSE))</f>
        <v/>
      </c>
      <c r="H180" s="72"/>
      <c r="I180" s="499" t="str">
        <f>IFERROR(IF(AND(F180="V.Low",OR(H180="Good",H180="Moderate")),"Error ▲",VLOOKUP(H180,'G-1 All Habitats'!$Z$2:$AA$9,2,FALSE)),"")</f>
        <v/>
      </c>
      <c r="J180" s="146"/>
      <c r="K180" s="520" t="str">
        <f>IF(J180="","",IF(VLOOKUP(J180,'G-3 Multipliers'!$L$3:$N$6,2,FALSE)=0,"Spatial Data Missing",VLOOKUP(J180,'G-3 Multipliers'!$L$3:$N$6,2,FALSE)))</f>
        <v/>
      </c>
      <c r="L180" s="524" t="str">
        <f>IF(J180="","",IF(VLOOKUP(J180,'G-3 Multipliers'!$L$3:$N$6,3,FALSE)=0,"Spatial Data Missing",VLOOKUP(J180,'G-3 Multipliers'!$L$3:$N$6,3,FALSE)))</f>
        <v/>
      </c>
      <c r="M180" s="197"/>
      <c r="N180" s="499" t="str">
        <f>IF(M180="","",IF(VLOOKUP(M180,'G-3 Multipliers'!$S$3:$T$6,2,FALSE)=0,"Spatial Data Missing ⚠",VLOOKUP(M180,'G-3 Multipliers'!$S$3:$T$6,2,FALSE)))</f>
        <v/>
      </c>
      <c r="O180" s="498" t="str">
        <f>IF(OR(D180="",H180=""),"",(INDEX('G-6 Hedgerow Data'!$E$3:$I$15,MATCH(D180,'G-6 Hedgerow Data'!$B$3:$B$15,0),MATCH(H180,'G-6 Hedgerow Data'!$E$2:$I$2,0))))</f>
        <v/>
      </c>
      <c r="P180" s="195"/>
      <c r="Q180" s="195"/>
      <c r="R180" s="507" t="str">
        <f t="shared" si="13"/>
        <v/>
      </c>
      <c r="S180" s="521" t="str">
        <f t="shared" si="14"/>
        <v/>
      </c>
      <c r="T180" s="522" t="str">
        <f t="shared" si="12"/>
        <v/>
      </c>
      <c r="U180" s="537" t="str">
        <f>IF(D180="","",VLOOKUP(D180,'G-6 Hedgerow Data'!$B$3:$AG$15,31,FALSE))</f>
        <v/>
      </c>
      <c r="V180" s="520" t="str">
        <f t="shared" si="15"/>
        <v/>
      </c>
      <c r="W180" s="520" t="str">
        <f t="shared" si="16"/>
        <v/>
      </c>
      <c r="X180" s="524" t="str">
        <f>IF(F180="","",VLOOKUP(U180,'G-3 Multipliers'!$P$3:$Q$6,2,FALSE))</f>
        <v/>
      </c>
      <c r="Y180" s="529" t="str">
        <f t="shared" si="17"/>
        <v/>
      </c>
      <c r="Z180" s="149"/>
      <c r="AA180" s="150"/>
      <c r="AG180" s="31" t="str">
        <f>IFERROR(INDEX('G-6 Hedgerow Data'!$BJ$3:$BJ$15,MATCH(D180,'G-6 Hedgerow Data'!$B$3:$B$15,0)),"")</f>
        <v/>
      </c>
    </row>
    <row r="181" spans="2:33" ht="14" x14ac:dyDescent="0.3">
      <c r="B181" s="103">
        <v>170</v>
      </c>
      <c r="C181" s="268"/>
      <c r="D181" s="82"/>
      <c r="E181" s="203"/>
      <c r="F181" s="498" t="str">
        <f>IF(D181="","",VLOOKUP(D181,'G-6 Hedgerow Data'!$B$2:$AG$15,2,FALSE))</f>
        <v/>
      </c>
      <c r="G181" s="524" t="str">
        <f>IF(D181="","",VLOOKUP(D181,'G-6 Hedgerow Data'!$B$2:$AG$15,3,FALSE))</f>
        <v/>
      </c>
      <c r="H181" s="72"/>
      <c r="I181" s="499" t="str">
        <f>IFERROR(IF(AND(F181="V.Low",OR(H181="Good",H181="Moderate")),"Error ▲",VLOOKUP(H181,'G-1 All Habitats'!$Z$2:$AA$9,2,FALSE)),"")</f>
        <v/>
      </c>
      <c r="J181" s="146"/>
      <c r="K181" s="520" t="str">
        <f>IF(J181="","",IF(VLOOKUP(J181,'G-3 Multipliers'!$L$3:$N$6,2,FALSE)=0,"Spatial Data Missing",VLOOKUP(J181,'G-3 Multipliers'!$L$3:$N$6,2,FALSE)))</f>
        <v/>
      </c>
      <c r="L181" s="524" t="str">
        <f>IF(J181="","",IF(VLOOKUP(J181,'G-3 Multipliers'!$L$3:$N$6,3,FALSE)=0,"Spatial Data Missing",VLOOKUP(J181,'G-3 Multipliers'!$L$3:$N$6,3,FALSE)))</f>
        <v/>
      </c>
      <c r="M181" s="197"/>
      <c r="N181" s="499" t="str">
        <f>IF(M181="","",IF(VLOOKUP(M181,'G-3 Multipliers'!$S$3:$T$6,2,FALSE)=0,"Spatial Data Missing ⚠",VLOOKUP(M181,'G-3 Multipliers'!$S$3:$T$6,2,FALSE)))</f>
        <v/>
      </c>
      <c r="O181" s="498" t="str">
        <f>IF(OR(D181="",H181=""),"",(INDEX('G-6 Hedgerow Data'!$E$3:$I$15,MATCH(D181,'G-6 Hedgerow Data'!$B$3:$B$15,0),MATCH(H181,'G-6 Hedgerow Data'!$E$2:$I$2,0))))</f>
        <v/>
      </c>
      <c r="P181" s="195"/>
      <c r="Q181" s="195"/>
      <c r="R181" s="507" t="str">
        <f t="shared" si="13"/>
        <v/>
      </c>
      <c r="S181" s="521" t="str">
        <f t="shared" si="14"/>
        <v/>
      </c>
      <c r="T181" s="522" t="str">
        <f t="shared" si="12"/>
        <v/>
      </c>
      <c r="U181" s="537" t="str">
        <f>IF(D181="","",VLOOKUP(D181,'G-6 Hedgerow Data'!$B$3:$AG$15,31,FALSE))</f>
        <v/>
      </c>
      <c r="V181" s="520" t="str">
        <f t="shared" si="15"/>
        <v/>
      </c>
      <c r="W181" s="520" t="str">
        <f t="shared" si="16"/>
        <v/>
      </c>
      <c r="X181" s="524" t="str">
        <f>IF(F181="","",VLOOKUP(U181,'G-3 Multipliers'!$P$3:$Q$6,2,FALSE))</f>
        <v/>
      </c>
      <c r="Y181" s="529" t="str">
        <f t="shared" si="17"/>
        <v/>
      </c>
      <c r="Z181" s="149"/>
      <c r="AA181" s="150"/>
      <c r="AG181" s="31" t="str">
        <f>IFERROR(INDEX('G-6 Hedgerow Data'!$BJ$3:$BJ$15,MATCH(D181,'G-6 Hedgerow Data'!$B$3:$B$15,0)),"")</f>
        <v/>
      </c>
    </row>
    <row r="182" spans="2:33" ht="14" x14ac:dyDescent="0.3">
      <c r="B182" s="103">
        <v>171</v>
      </c>
      <c r="C182" s="268"/>
      <c r="D182" s="82"/>
      <c r="E182" s="203"/>
      <c r="F182" s="498" t="str">
        <f>IF(D182="","",VLOOKUP(D182,'G-6 Hedgerow Data'!$B$2:$AG$15,2,FALSE))</f>
        <v/>
      </c>
      <c r="G182" s="524" t="str">
        <f>IF(D182="","",VLOOKUP(D182,'G-6 Hedgerow Data'!$B$2:$AG$15,3,FALSE))</f>
        <v/>
      </c>
      <c r="H182" s="72"/>
      <c r="I182" s="499" t="str">
        <f>IFERROR(IF(AND(F182="V.Low",OR(H182="Good",H182="Moderate")),"Error ▲",VLOOKUP(H182,'G-1 All Habitats'!$Z$2:$AA$9,2,FALSE)),"")</f>
        <v/>
      </c>
      <c r="J182" s="146"/>
      <c r="K182" s="520" t="str">
        <f>IF(J182="","",IF(VLOOKUP(J182,'G-3 Multipliers'!$L$3:$N$6,2,FALSE)=0,"Spatial Data Missing",VLOOKUP(J182,'G-3 Multipliers'!$L$3:$N$6,2,FALSE)))</f>
        <v/>
      </c>
      <c r="L182" s="524" t="str">
        <f>IF(J182="","",IF(VLOOKUP(J182,'G-3 Multipliers'!$L$3:$N$6,3,FALSE)=0,"Spatial Data Missing",VLOOKUP(J182,'G-3 Multipliers'!$L$3:$N$6,3,FALSE)))</f>
        <v/>
      </c>
      <c r="M182" s="197"/>
      <c r="N182" s="499" t="str">
        <f>IF(M182="","",IF(VLOOKUP(M182,'G-3 Multipliers'!$S$3:$T$6,2,FALSE)=0,"Spatial Data Missing ⚠",VLOOKUP(M182,'G-3 Multipliers'!$S$3:$T$6,2,FALSE)))</f>
        <v/>
      </c>
      <c r="O182" s="498" t="str">
        <f>IF(OR(D182="",H182=""),"",(INDEX('G-6 Hedgerow Data'!$E$3:$I$15,MATCH(D182,'G-6 Hedgerow Data'!$B$3:$B$15,0),MATCH(H182,'G-6 Hedgerow Data'!$E$2:$I$2,0))))</f>
        <v/>
      </c>
      <c r="P182" s="195"/>
      <c r="Q182" s="195"/>
      <c r="R182" s="507" t="str">
        <f t="shared" si="13"/>
        <v/>
      </c>
      <c r="S182" s="521" t="str">
        <f t="shared" si="14"/>
        <v/>
      </c>
      <c r="T182" s="522" t="str">
        <f t="shared" si="12"/>
        <v/>
      </c>
      <c r="U182" s="537" t="str">
        <f>IF(D182="","",VLOOKUP(D182,'G-6 Hedgerow Data'!$B$3:$AG$15,31,FALSE))</f>
        <v/>
      </c>
      <c r="V182" s="520" t="str">
        <f t="shared" si="15"/>
        <v/>
      </c>
      <c r="W182" s="520" t="str">
        <f t="shared" si="16"/>
        <v/>
      </c>
      <c r="X182" s="524" t="str">
        <f>IF(F182="","",VLOOKUP(U182,'G-3 Multipliers'!$P$3:$Q$6,2,FALSE))</f>
        <v/>
      </c>
      <c r="Y182" s="529" t="str">
        <f t="shared" si="17"/>
        <v/>
      </c>
      <c r="Z182" s="149"/>
      <c r="AA182" s="150"/>
      <c r="AG182" s="31" t="str">
        <f>IFERROR(INDEX('G-6 Hedgerow Data'!$BJ$3:$BJ$15,MATCH(D182,'G-6 Hedgerow Data'!$B$3:$B$15,0)),"")</f>
        <v/>
      </c>
    </row>
    <row r="183" spans="2:33" ht="14" x14ac:dyDescent="0.3">
      <c r="B183" s="103">
        <v>172</v>
      </c>
      <c r="C183" s="268"/>
      <c r="D183" s="82"/>
      <c r="E183" s="203"/>
      <c r="F183" s="498" t="str">
        <f>IF(D183="","",VLOOKUP(D183,'G-6 Hedgerow Data'!$B$2:$AG$15,2,FALSE))</f>
        <v/>
      </c>
      <c r="G183" s="524" t="str">
        <f>IF(D183="","",VLOOKUP(D183,'G-6 Hedgerow Data'!$B$2:$AG$15,3,FALSE))</f>
        <v/>
      </c>
      <c r="H183" s="72"/>
      <c r="I183" s="499" t="str">
        <f>IFERROR(IF(AND(F183="V.Low",OR(H183="Good",H183="Moderate")),"Error ▲",VLOOKUP(H183,'G-1 All Habitats'!$Z$2:$AA$9,2,FALSE)),"")</f>
        <v/>
      </c>
      <c r="J183" s="146"/>
      <c r="K183" s="520" t="str">
        <f>IF(J183="","",IF(VLOOKUP(J183,'G-3 Multipliers'!$L$3:$N$6,2,FALSE)=0,"Spatial Data Missing",VLOOKUP(J183,'G-3 Multipliers'!$L$3:$N$6,2,FALSE)))</f>
        <v/>
      </c>
      <c r="L183" s="524" t="str">
        <f>IF(J183="","",IF(VLOOKUP(J183,'G-3 Multipliers'!$L$3:$N$6,3,FALSE)=0,"Spatial Data Missing",VLOOKUP(J183,'G-3 Multipliers'!$L$3:$N$6,3,FALSE)))</f>
        <v/>
      </c>
      <c r="M183" s="197"/>
      <c r="N183" s="499" t="str">
        <f>IF(M183="","",IF(VLOOKUP(M183,'G-3 Multipliers'!$S$3:$T$6,2,FALSE)=0,"Spatial Data Missing ⚠",VLOOKUP(M183,'G-3 Multipliers'!$S$3:$T$6,2,FALSE)))</f>
        <v/>
      </c>
      <c r="O183" s="498" t="str">
        <f>IF(OR(D183="",H183=""),"",(INDEX('G-6 Hedgerow Data'!$E$3:$I$15,MATCH(D183,'G-6 Hedgerow Data'!$B$3:$B$15,0),MATCH(H183,'G-6 Hedgerow Data'!$E$2:$I$2,0))))</f>
        <v/>
      </c>
      <c r="P183" s="195"/>
      <c r="Q183" s="195"/>
      <c r="R183" s="507" t="str">
        <f t="shared" si="13"/>
        <v/>
      </c>
      <c r="S183" s="521" t="str">
        <f t="shared" si="14"/>
        <v/>
      </c>
      <c r="T183" s="522" t="str">
        <f t="shared" si="12"/>
        <v/>
      </c>
      <c r="U183" s="537" t="str">
        <f>IF(D183="","",VLOOKUP(D183,'G-6 Hedgerow Data'!$B$3:$AG$15,31,FALSE))</f>
        <v/>
      </c>
      <c r="V183" s="520" t="str">
        <f t="shared" si="15"/>
        <v/>
      </c>
      <c r="W183" s="520" t="str">
        <f t="shared" si="16"/>
        <v/>
      </c>
      <c r="X183" s="524" t="str">
        <f>IF(F183="","",VLOOKUP(U183,'G-3 Multipliers'!$P$3:$Q$6,2,FALSE))</f>
        <v/>
      </c>
      <c r="Y183" s="529" t="str">
        <f t="shared" si="17"/>
        <v/>
      </c>
      <c r="Z183" s="149"/>
      <c r="AA183" s="150"/>
      <c r="AG183" s="31" t="str">
        <f>IFERROR(INDEX('G-6 Hedgerow Data'!$BJ$3:$BJ$15,MATCH(D183,'G-6 Hedgerow Data'!$B$3:$B$15,0)),"")</f>
        <v/>
      </c>
    </row>
    <row r="184" spans="2:33" ht="14" x14ac:dyDescent="0.3">
      <c r="B184" s="103">
        <v>173</v>
      </c>
      <c r="C184" s="268"/>
      <c r="D184" s="82"/>
      <c r="E184" s="203"/>
      <c r="F184" s="498" t="str">
        <f>IF(D184="","",VLOOKUP(D184,'G-6 Hedgerow Data'!$B$2:$AG$15,2,FALSE))</f>
        <v/>
      </c>
      <c r="G184" s="524" t="str">
        <f>IF(D184="","",VLOOKUP(D184,'G-6 Hedgerow Data'!$B$2:$AG$15,3,FALSE))</f>
        <v/>
      </c>
      <c r="H184" s="72"/>
      <c r="I184" s="499" t="str">
        <f>IFERROR(IF(AND(F184="V.Low",OR(H184="Good",H184="Moderate")),"Error ▲",VLOOKUP(H184,'G-1 All Habitats'!$Z$2:$AA$9,2,FALSE)),"")</f>
        <v/>
      </c>
      <c r="J184" s="146"/>
      <c r="K184" s="520" t="str">
        <f>IF(J184="","",IF(VLOOKUP(J184,'G-3 Multipliers'!$L$3:$N$6,2,FALSE)=0,"Spatial Data Missing",VLOOKUP(J184,'G-3 Multipliers'!$L$3:$N$6,2,FALSE)))</f>
        <v/>
      </c>
      <c r="L184" s="524" t="str">
        <f>IF(J184="","",IF(VLOOKUP(J184,'G-3 Multipliers'!$L$3:$N$6,3,FALSE)=0,"Spatial Data Missing",VLOOKUP(J184,'G-3 Multipliers'!$L$3:$N$6,3,FALSE)))</f>
        <v/>
      </c>
      <c r="M184" s="197"/>
      <c r="N184" s="499" t="str">
        <f>IF(M184="","",IF(VLOOKUP(M184,'G-3 Multipliers'!$S$3:$T$6,2,FALSE)=0,"Spatial Data Missing ⚠",VLOOKUP(M184,'G-3 Multipliers'!$S$3:$T$6,2,FALSE)))</f>
        <v/>
      </c>
      <c r="O184" s="498" t="str">
        <f>IF(OR(D184="",H184=""),"",(INDEX('G-6 Hedgerow Data'!$E$3:$I$15,MATCH(D184,'G-6 Hedgerow Data'!$B$3:$B$15,0),MATCH(H184,'G-6 Hedgerow Data'!$E$2:$I$2,0))))</f>
        <v/>
      </c>
      <c r="P184" s="195"/>
      <c r="Q184" s="195"/>
      <c r="R184" s="507" t="str">
        <f t="shared" si="13"/>
        <v/>
      </c>
      <c r="S184" s="521" t="str">
        <f t="shared" si="14"/>
        <v/>
      </c>
      <c r="T184" s="522" t="str">
        <f t="shared" si="12"/>
        <v/>
      </c>
      <c r="U184" s="537" t="str">
        <f>IF(D184="","",VLOOKUP(D184,'G-6 Hedgerow Data'!$B$3:$AG$15,31,FALSE))</f>
        <v/>
      </c>
      <c r="V184" s="520" t="str">
        <f t="shared" si="15"/>
        <v/>
      </c>
      <c r="W184" s="520" t="str">
        <f t="shared" si="16"/>
        <v/>
      </c>
      <c r="X184" s="524" t="str">
        <f>IF(F184="","",VLOOKUP(U184,'G-3 Multipliers'!$P$3:$Q$6,2,FALSE))</f>
        <v/>
      </c>
      <c r="Y184" s="529" t="str">
        <f t="shared" si="17"/>
        <v/>
      </c>
      <c r="Z184" s="149"/>
      <c r="AA184" s="150"/>
      <c r="AG184" s="31" t="str">
        <f>IFERROR(INDEX('G-6 Hedgerow Data'!$BJ$3:$BJ$15,MATCH(D184,'G-6 Hedgerow Data'!$B$3:$B$15,0)),"")</f>
        <v/>
      </c>
    </row>
    <row r="185" spans="2:33" ht="14" x14ac:dyDescent="0.3">
      <c r="B185" s="103">
        <v>174</v>
      </c>
      <c r="C185" s="268"/>
      <c r="D185" s="82"/>
      <c r="E185" s="203"/>
      <c r="F185" s="498" t="str">
        <f>IF(D185="","",VLOOKUP(D185,'G-6 Hedgerow Data'!$B$2:$AG$15,2,FALSE))</f>
        <v/>
      </c>
      <c r="G185" s="524" t="str">
        <f>IF(D185="","",VLOOKUP(D185,'G-6 Hedgerow Data'!$B$2:$AG$15,3,FALSE))</f>
        <v/>
      </c>
      <c r="H185" s="72"/>
      <c r="I185" s="499" t="str">
        <f>IFERROR(IF(AND(F185="V.Low",OR(H185="Good",H185="Moderate")),"Error ▲",VLOOKUP(H185,'G-1 All Habitats'!$Z$2:$AA$9,2,FALSE)),"")</f>
        <v/>
      </c>
      <c r="J185" s="146"/>
      <c r="K185" s="520" t="str">
        <f>IF(J185="","",IF(VLOOKUP(J185,'G-3 Multipliers'!$L$3:$N$6,2,FALSE)=0,"Spatial Data Missing",VLOOKUP(J185,'G-3 Multipliers'!$L$3:$N$6,2,FALSE)))</f>
        <v/>
      </c>
      <c r="L185" s="524" t="str">
        <f>IF(J185="","",IF(VLOOKUP(J185,'G-3 Multipliers'!$L$3:$N$6,3,FALSE)=0,"Spatial Data Missing",VLOOKUP(J185,'G-3 Multipliers'!$L$3:$N$6,3,FALSE)))</f>
        <v/>
      </c>
      <c r="M185" s="197"/>
      <c r="N185" s="499" t="str">
        <f>IF(M185="","",IF(VLOOKUP(M185,'G-3 Multipliers'!$S$3:$T$6,2,FALSE)=0,"Spatial Data Missing ⚠",VLOOKUP(M185,'G-3 Multipliers'!$S$3:$T$6,2,FALSE)))</f>
        <v/>
      </c>
      <c r="O185" s="498" t="str">
        <f>IF(OR(D185="",H185=""),"",(INDEX('G-6 Hedgerow Data'!$E$3:$I$15,MATCH(D185,'G-6 Hedgerow Data'!$B$3:$B$15,0),MATCH(H185,'G-6 Hedgerow Data'!$E$2:$I$2,0))))</f>
        <v/>
      </c>
      <c r="P185" s="195"/>
      <c r="Q185" s="195"/>
      <c r="R185" s="507" t="str">
        <f t="shared" si="13"/>
        <v/>
      </c>
      <c r="S185" s="521" t="str">
        <f t="shared" si="14"/>
        <v/>
      </c>
      <c r="T185" s="522" t="str">
        <f t="shared" si="12"/>
        <v/>
      </c>
      <c r="U185" s="537" t="str">
        <f>IF(D185="","",VLOOKUP(D185,'G-6 Hedgerow Data'!$B$3:$AG$15,31,FALSE))</f>
        <v/>
      </c>
      <c r="V185" s="520" t="str">
        <f t="shared" si="15"/>
        <v/>
      </c>
      <c r="W185" s="520" t="str">
        <f t="shared" si="16"/>
        <v/>
      </c>
      <c r="X185" s="524" t="str">
        <f>IF(F185="","",VLOOKUP(U185,'G-3 Multipliers'!$P$3:$Q$6,2,FALSE))</f>
        <v/>
      </c>
      <c r="Y185" s="529" t="str">
        <f t="shared" si="17"/>
        <v/>
      </c>
      <c r="Z185" s="149"/>
      <c r="AA185" s="150"/>
      <c r="AG185" s="31" t="str">
        <f>IFERROR(INDEX('G-6 Hedgerow Data'!$BJ$3:$BJ$15,MATCH(D185,'G-6 Hedgerow Data'!$B$3:$B$15,0)),"")</f>
        <v/>
      </c>
    </row>
    <row r="186" spans="2:33" ht="14" x14ac:dyDescent="0.3">
      <c r="B186" s="103">
        <v>175</v>
      </c>
      <c r="C186" s="268"/>
      <c r="D186" s="82"/>
      <c r="E186" s="203"/>
      <c r="F186" s="498" t="str">
        <f>IF(D186="","",VLOOKUP(D186,'G-6 Hedgerow Data'!$B$2:$AG$15,2,FALSE))</f>
        <v/>
      </c>
      <c r="G186" s="524" t="str">
        <f>IF(D186="","",VLOOKUP(D186,'G-6 Hedgerow Data'!$B$2:$AG$15,3,FALSE))</f>
        <v/>
      </c>
      <c r="H186" s="72"/>
      <c r="I186" s="499" t="str">
        <f>IFERROR(IF(AND(F186="V.Low",OR(H186="Good",H186="Moderate")),"Error ▲",VLOOKUP(H186,'G-1 All Habitats'!$Z$2:$AA$9,2,FALSE)),"")</f>
        <v/>
      </c>
      <c r="J186" s="146"/>
      <c r="K186" s="520" t="str">
        <f>IF(J186="","",IF(VLOOKUP(J186,'G-3 Multipliers'!$L$3:$N$6,2,FALSE)=0,"Spatial Data Missing",VLOOKUP(J186,'G-3 Multipliers'!$L$3:$N$6,2,FALSE)))</f>
        <v/>
      </c>
      <c r="L186" s="524" t="str">
        <f>IF(J186="","",IF(VLOOKUP(J186,'G-3 Multipliers'!$L$3:$N$6,3,FALSE)=0,"Spatial Data Missing",VLOOKUP(J186,'G-3 Multipliers'!$L$3:$N$6,3,FALSE)))</f>
        <v/>
      </c>
      <c r="M186" s="197"/>
      <c r="N186" s="499" t="str">
        <f>IF(M186="","",IF(VLOOKUP(M186,'G-3 Multipliers'!$S$3:$T$6,2,FALSE)=0,"Spatial Data Missing ⚠",VLOOKUP(M186,'G-3 Multipliers'!$S$3:$T$6,2,FALSE)))</f>
        <v/>
      </c>
      <c r="O186" s="498" t="str">
        <f>IF(OR(D186="",H186=""),"",(INDEX('G-6 Hedgerow Data'!$E$3:$I$15,MATCH(D186,'G-6 Hedgerow Data'!$B$3:$B$15,0),MATCH(H186,'G-6 Hedgerow Data'!$E$2:$I$2,0))))</f>
        <v/>
      </c>
      <c r="P186" s="195"/>
      <c r="Q186" s="195"/>
      <c r="R186" s="507" t="str">
        <f t="shared" si="13"/>
        <v/>
      </c>
      <c r="S186" s="521" t="str">
        <f t="shared" si="14"/>
        <v/>
      </c>
      <c r="T186" s="522" t="str">
        <f t="shared" si="12"/>
        <v/>
      </c>
      <c r="U186" s="537" t="str">
        <f>IF(D186="","",VLOOKUP(D186,'G-6 Hedgerow Data'!$B$3:$AG$15,31,FALSE))</f>
        <v/>
      </c>
      <c r="V186" s="520" t="str">
        <f t="shared" si="15"/>
        <v/>
      </c>
      <c r="W186" s="520" t="str">
        <f t="shared" si="16"/>
        <v/>
      </c>
      <c r="X186" s="524" t="str">
        <f>IF(F186="","",VLOOKUP(U186,'G-3 Multipliers'!$P$3:$Q$6,2,FALSE))</f>
        <v/>
      </c>
      <c r="Y186" s="529" t="str">
        <f t="shared" si="17"/>
        <v/>
      </c>
      <c r="Z186" s="149"/>
      <c r="AA186" s="150"/>
      <c r="AG186" s="31" t="str">
        <f>IFERROR(INDEX('G-6 Hedgerow Data'!$BJ$3:$BJ$15,MATCH(D186,'G-6 Hedgerow Data'!$B$3:$B$15,0)),"")</f>
        <v/>
      </c>
    </row>
    <row r="187" spans="2:33" ht="14" x14ac:dyDescent="0.3">
      <c r="B187" s="103">
        <v>176</v>
      </c>
      <c r="C187" s="268"/>
      <c r="D187" s="82"/>
      <c r="E187" s="203"/>
      <c r="F187" s="498" t="str">
        <f>IF(D187="","",VLOOKUP(D187,'G-6 Hedgerow Data'!$B$2:$AG$15,2,FALSE))</f>
        <v/>
      </c>
      <c r="G187" s="524" t="str">
        <f>IF(D187="","",VLOOKUP(D187,'G-6 Hedgerow Data'!$B$2:$AG$15,3,FALSE))</f>
        <v/>
      </c>
      <c r="H187" s="72"/>
      <c r="I187" s="499" t="str">
        <f>IFERROR(IF(AND(F187="V.Low",OR(H187="Good",H187="Moderate")),"Error ▲",VLOOKUP(H187,'G-1 All Habitats'!$Z$2:$AA$9,2,FALSE)),"")</f>
        <v/>
      </c>
      <c r="J187" s="146"/>
      <c r="K187" s="520" t="str">
        <f>IF(J187="","",IF(VLOOKUP(J187,'G-3 Multipliers'!$L$3:$N$6,2,FALSE)=0,"Spatial Data Missing",VLOOKUP(J187,'G-3 Multipliers'!$L$3:$N$6,2,FALSE)))</f>
        <v/>
      </c>
      <c r="L187" s="524" t="str">
        <f>IF(J187="","",IF(VLOOKUP(J187,'G-3 Multipliers'!$L$3:$N$6,3,FALSE)=0,"Spatial Data Missing",VLOOKUP(J187,'G-3 Multipliers'!$L$3:$N$6,3,FALSE)))</f>
        <v/>
      </c>
      <c r="M187" s="197"/>
      <c r="N187" s="499" t="str">
        <f>IF(M187="","",IF(VLOOKUP(M187,'G-3 Multipliers'!$S$3:$T$6,2,FALSE)=0,"Spatial Data Missing ⚠",VLOOKUP(M187,'G-3 Multipliers'!$S$3:$T$6,2,FALSE)))</f>
        <v/>
      </c>
      <c r="O187" s="498" t="str">
        <f>IF(OR(D187="",H187=""),"",(INDEX('G-6 Hedgerow Data'!$E$3:$I$15,MATCH(D187,'G-6 Hedgerow Data'!$B$3:$B$15,0),MATCH(H187,'G-6 Hedgerow Data'!$E$2:$I$2,0))))</f>
        <v/>
      </c>
      <c r="P187" s="195"/>
      <c r="Q187" s="195"/>
      <c r="R187" s="507" t="str">
        <f t="shared" si="13"/>
        <v/>
      </c>
      <c r="S187" s="521" t="str">
        <f t="shared" si="14"/>
        <v/>
      </c>
      <c r="T187" s="522" t="str">
        <f t="shared" si="12"/>
        <v/>
      </c>
      <c r="U187" s="537" t="str">
        <f>IF(D187="","",VLOOKUP(D187,'G-6 Hedgerow Data'!$B$3:$AG$15,31,FALSE))</f>
        <v/>
      </c>
      <c r="V187" s="520" t="str">
        <f t="shared" si="15"/>
        <v/>
      </c>
      <c r="W187" s="520" t="str">
        <f t="shared" si="16"/>
        <v/>
      </c>
      <c r="X187" s="524" t="str">
        <f>IF(F187="","",VLOOKUP(U187,'G-3 Multipliers'!$P$3:$Q$6,2,FALSE))</f>
        <v/>
      </c>
      <c r="Y187" s="529" t="str">
        <f t="shared" si="17"/>
        <v/>
      </c>
      <c r="Z187" s="149"/>
      <c r="AA187" s="150"/>
      <c r="AG187" s="31" t="str">
        <f>IFERROR(INDEX('G-6 Hedgerow Data'!$BJ$3:$BJ$15,MATCH(D187,'G-6 Hedgerow Data'!$B$3:$B$15,0)),"")</f>
        <v/>
      </c>
    </row>
    <row r="188" spans="2:33" ht="14" x14ac:dyDescent="0.3">
      <c r="B188" s="103">
        <v>177</v>
      </c>
      <c r="C188" s="268"/>
      <c r="D188" s="82"/>
      <c r="E188" s="203"/>
      <c r="F188" s="498" t="str">
        <f>IF(D188="","",VLOOKUP(D188,'G-6 Hedgerow Data'!$B$2:$AG$15,2,FALSE))</f>
        <v/>
      </c>
      <c r="G188" s="524" t="str">
        <f>IF(D188="","",VLOOKUP(D188,'G-6 Hedgerow Data'!$B$2:$AG$15,3,FALSE))</f>
        <v/>
      </c>
      <c r="H188" s="72"/>
      <c r="I188" s="499" t="str">
        <f>IFERROR(IF(AND(F188="V.Low",OR(H188="Good",H188="Moderate")),"Error ▲",VLOOKUP(H188,'G-1 All Habitats'!$Z$2:$AA$9,2,FALSE)),"")</f>
        <v/>
      </c>
      <c r="J188" s="146"/>
      <c r="K188" s="520" t="str">
        <f>IF(J188="","",IF(VLOOKUP(J188,'G-3 Multipliers'!$L$3:$N$6,2,FALSE)=0,"Spatial Data Missing",VLOOKUP(J188,'G-3 Multipliers'!$L$3:$N$6,2,FALSE)))</f>
        <v/>
      </c>
      <c r="L188" s="524" t="str">
        <f>IF(J188="","",IF(VLOOKUP(J188,'G-3 Multipliers'!$L$3:$N$6,3,FALSE)=0,"Spatial Data Missing",VLOOKUP(J188,'G-3 Multipliers'!$L$3:$N$6,3,FALSE)))</f>
        <v/>
      </c>
      <c r="M188" s="197"/>
      <c r="N188" s="499" t="str">
        <f>IF(M188="","",IF(VLOOKUP(M188,'G-3 Multipliers'!$S$3:$T$6,2,FALSE)=0,"Spatial Data Missing ⚠",VLOOKUP(M188,'G-3 Multipliers'!$S$3:$T$6,2,FALSE)))</f>
        <v/>
      </c>
      <c r="O188" s="498" t="str">
        <f>IF(OR(D188="",H188=""),"",(INDEX('G-6 Hedgerow Data'!$E$3:$I$15,MATCH(D188,'G-6 Hedgerow Data'!$B$3:$B$15,0),MATCH(H188,'G-6 Hedgerow Data'!$E$2:$I$2,0))))</f>
        <v/>
      </c>
      <c r="P188" s="195"/>
      <c r="Q188" s="195"/>
      <c r="R188" s="507" t="str">
        <f t="shared" si="13"/>
        <v/>
      </c>
      <c r="S188" s="521" t="str">
        <f t="shared" si="14"/>
        <v/>
      </c>
      <c r="T188" s="522" t="str">
        <f t="shared" si="12"/>
        <v/>
      </c>
      <c r="U188" s="537" t="str">
        <f>IF(D188="","",VLOOKUP(D188,'G-6 Hedgerow Data'!$B$3:$AG$15,31,FALSE))</f>
        <v/>
      </c>
      <c r="V188" s="520" t="str">
        <f t="shared" si="15"/>
        <v/>
      </c>
      <c r="W188" s="520" t="str">
        <f t="shared" si="16"/>
        <v/>
      </c>
      <c r="X188" s="524" t="str">
        <f>IF(F188="","",VLOOKUP(U188,'G-3 Multipliers'!$P$3:$Q$6,2,FALSE))</f>
        <v/>
      </c>
      <c r="Y188" s="529" t="str">
        <f t="shared" si="17"/>
        <v/>
      </c>
      <c r="Z188" s="149"/>
      <c r="AA188" s="150"/>
      <c r="AG188" s="31" t="str">
        <f>IFERROR(INDEX('G-6 Hedgerow Data'!$BJ$3:$BJ$15,MATCH(D188,'G-6 Hedgerow Data'!$B$3:$B$15,0)),"")</f>
        <v/>
      </c>
    </row>
    <row r="189" spans="2:33" ht="14" x14ac:dyDescent="0.3">
      <c r="B189" s="103">
        <v>178</v>
      </c>
      <c r="C189" s="268"/>
      <c r="D189" s="82"/>
      <c r="E189" s="203"/>
      <c r="F189" s="498" t="str">
        <f>IF(D189="","",VLOOKUP(D189,'G-6 Hedgerow Data'!$B$2:$AG$15,2,FALSE))</f>
        <v/>
      </c>
      <c r="G189" s="524" t="str">
        <f>IF(D189="","",VLOOKUP(D189,'G-6 Hedgerow Data'!$B$2:$AG$15,3,FALSE))</f>
        <v/>
      </c>
      <c r="H189" s="72"/>
      <c r="I189" s="499" t="str">
        <f>IFERROR(IF(AND(F189="V.Low",OR(H189="Good",H189="Moderate")),"Error ▲",VLOOKUP(H189,'G-1 All Habitats'!$Z$2:$AA$9,2,FALSE)),"")</f>
        <v/>
      </c>
      <c r="J189" s="146"/>
      <c r="K189" s="520" t="str">
        <f>IF(J189="","",IF(VLOOKUP(J189,'G-3 Multipliers'!$L$3:$N$6,2,FALSE)=0,"Spatial Data Missing",VLOOKUP(J189,'G-3 Multipliers'!$L$3:$N$6,2,FALSE)))</f>
        <v/>
      </c>
      <c r="L189" s="524" t="str">
        <f>IF(J189="","",IF(VLOOKUP(J189,'G-3 Multipliers'!$L$3:$N$6,3,FALSE)=0,"Spatial Data Missing",VLOOKUP(J189,'G-3 Multipliers'!$L$3:$N$6,3,FALSE)))</f>
        <v/>
      </c>
      <c r="M189" s="197"/>
      <c r="N189" s="499" t="str">
        <f>IF(M189="","",IF(VLOOKUP(M189,'G-3 Multipliers'!$S$3:$T$6,2,FALSE)=0,"Spatial Data Missing ⚠",VLOOKUP(M189,'G-3 Multipliers'!$S$3:$T$6,2,FALSE)))</f>
        <v/>
      </c>
      <c r="O189" s="498" t="str">
        <f>IF(OR(D189="",H189=""),"",(INDEX('G-6 Hedgerow Data'!$E$3:$I$15,MATCH(D189,'G-6 Hedgerow Data'!$B$3:$B$15,0),MATCH(H189,'G-6 Hedgerow Data'!$E$2:$I$2,0))))</f>
        <v/>
      </c>
      <c r="P189" s="195"/>
      <c r="Q189" s="195"/>
      <c r="R189" s="507" t="str">
        <f t="shared" si="13"/>
        <v/>
      </c>
      <c r="S189" s="521" t="str">
        <f t="shared" si="14"/>
        <v/>
      </c>
      <c r="T189" s="522" t="str">
        <f t="shared" si="12"/>
        <v/>
      </c>
      <c r="U189" s="537" t="str">
        <f>IF(D189="","",VLOOKUP(D189,'G-6 Hedgerow Data'!$B$3:$AG$15,31,FALSE))</f>
        <v/>
      </c>
      <c r="V189" s="520" t="str">
        <f t="shared" si="15"/>
        <v/>
      </c>
      <c r="W189" s="520" t="str">
        <f t="shared" si="16"/>
        <v/>
      </c>
      <c r="X189" s="524" t="str">
        <f>IF(F189="","",VLOOKUP(U189,'G-3 Multipliers'!$P$3:$Q$6,2,FALSE))</f>
        <v/>
      </c>
      <c r="Y189" s="529" t="str">
        <f t="shared" si="17"/>
        <v/>
      </c>
      <c r="Z189" s="149"/>
      <c r="AA189" s="150"/>
      <c r="AG189" s="31" t="str">
        <f>IFERROR(INDEX('G-6 Hedgerow Data'!$BJ$3:$BJ$15,MATCH(D189,'G-6 Hedgerow Data'!$B$3:$B$15,0)),"")</f>
        <v/>
      </c>
    </row>
    <row r="190" spans="2:33" ht="14" x14ac:dyDescent="0.3">
      <c r="B190" s="103">
        <v>179</v>
      </c>
      <c r="C190" s="268"/>
      <c r="D190" s="82"/>
      <c r="E190" s="203"/>
      <c r="F190" s="498" t="str">
        <f>IF(D190="","",VLOOKUP(D190,'G-6 Hedgerow Data'!$B$2:$AG$15,2,FALSE))</f>
        <v/>
      </c>
      <c r="G190" s="524" t="str">
        <f>IF(D190="","",VLOOKUP(D190,'G-6 Hedgerow Data'!$B$2:$AG$15,3,FALSE))</f>
        <v/>
      </c>
      <c r="H190" s="72"/>
      <c r="I190" s="499" t="str">
        <f>IFERROR(IF(AND(F190="V.Low",OR(H190="Good",H190="Moderate")),"Error ▲",VLOOKUP(H190,'G-1 All Habitats'!$Z$2:$AA$9,2,FALSE)),"")</f>
        <v/>
      </c>
      <c r="J190" s="146"/>
      <c r="K190" s="520" t="str">
        <f>IF(J190="","",IF(VLOOKUP(J190,'G-3 Multipliers'!$L$3:$N$6,2,FALSE)=0,"Spatial Data Missing",VLOOKUP(J190,'G-3 Multipliers'!$L$3:$N$6,2,FALSE)))</f>
        <v/>
      </c>
      <c r="L190" s="524" t="str">
        <f>IF(J190="","",IF(VLOOKUP(J190,'G-3 Multipliers'!$L$3:$N$6,3,FALSE)=0,"Spatial Data Missing",VLOOKUP(J190,'G-3 Multipliers'!$L$3:$N$6,3,FALSE)))</f>
        <v/>
      </c>
      <c r="M190" s="197"/>
      <c r="N190" s="499" t="str">
        <f>IF(M190="","",IF(VLOOKUP(M190,'G-3 Multipliers'!$S$3:$T$6,2,FALSE)=0,"Spatial Data Missing ⚠",VLOOKUP(M190,'G-3 Multipliers'!$S$3:$T$6,2,FALSE)))</f>
        <v/>
      </c>
      <c r="O190" s="498" t="str">
        <f>IF(OR(D190="",H190=""),"",(INDEX('G-6 Hedgerow Data'!$E$3:$I$15,MATCH(D190,'G-6 Hedgerow Data'!$B$3:$B$15,0),MATCH(H190,'G-6 Hedgerow Data'!$E$2:$I$2,0))))</f>
        <v/>
      </c>
      <c r="P190" s="195"/>
      <c r="Q190" s="195"/>
      <c r="R190" s="507" t="str">
        <f t="shared" si="13"/>
        <v/>
      </c>
      <c r="S190" s="521" t="str">
        <f t="shared" si="14"/>
        <v/>
      </c>
      <c r="T190" s="522" t="str">
        <f t="shared" si="12"/>
        <v/>
      </c>
      <c r="U190" s="537" t="str">
        <f>IF(D190="","",VLOOKUP(D190,'G-6 Hedgerow Data'!$B$3:$AG$15,31,FALSE))</f>
        <v/>
      </c>
      <c r="V190" s="520" t="str">
        <f t="shared" si="15"/>
        <v/>
      </c>
      <c r="W190" s="520" t="str">
        <f t="shared" si="16"/>
        <v/>
      </c>
      <c r="X190" s="524" t="str">
        <f>IF(F190="","",VLOOKUP(U190,'G-3 Multipliers'!$P$3:$Q$6,2,FALSE))</f>
        <v/>
      </c>
      <c r="Y190" s="529" t="str">
        <f t="shared" si="17"/>
        <v/>
      </c>
      <c r="Z190" s="149"/>
      <c r="AA190" s="150"/>
      <c r="AG190" s="31" t="str">
        <f>IFERROR(INDEX('G-6 Hedgerow Data'!$BJ$3:$BJ$15,MATCH(D190,'G-6 Hedgerow Data'!$B$3:$B$15,0)),"")</f>
        <v/>
      </c>
    </row>
    <row r="191" spans="2:33" ht="14" x14ac:dyDescent="0.3">
      <c r="B191" s="103">
        <v>180</v>
      </c>
      <c r="C191" s="268"/>
      <c r="D191" s="82"/>
      <c r="E191" s="203"/>
      <c r="F191" s="498" t="str">
        <f>IF(D191="","",VLOOKUP(D191,'G-6 Hedgerow Data'!$B$2:$AG$15,2,FALSE))</f>
        <v/>
      </c>
      <c r="G191" s="524" t="str">
        <f>IF(D191="","",VLOOKUP(D191,'G-6 Hedgerow Data'!$B$2:$AG$15,3,FALSE))</f>
        <v/>
      </c>
      <c r="H191" s="72"/>
      <c r="I191" s="499" t="str">
        <f>IFERROR(IF(AND(F191="V.Low",OR(H191="Good",H191="Moderate")),"Error ▲",VLOOKUP(H191,'G-1 All Habitats'!$Z$2:$AA$9,2,FALSE)),"")</f>
        <v/>
      </c>
      <c r="J191" s="146"/>
      <c r="K191" s="520" t="str">
        <f>IF(J191="","",IF(VLOOKUP(J191,'G-3 Multipliers'!$L$3:$N$6,2,FALSE)=0,"Spatial Data Missing",VLOOKUP(J191,'G-3 Multipliers'!$L$3:$N$6,2,FALSE)))</f>
        <v/>
      </c>
      <c r="L191" s="524" t="str">
        <f>IF(J191="","",IF(VLOOKUP(J191,'G-3 Multipliers'!$L$3:$N$6,3,FALSE)=0,"Spatial Data Missing",VLOOKUP(J191,'G-3 Multipliers'!$L$3:$N$6,3,FALSE)))</f>
        <v/>
      </c>
      <c r="M191" s="197"/>
      <c r="N191" s="499" t="str">
        <f>IF(M191="","",IF(VLOOKUP(M191,'G-3 Multipliers'!$S$3:$T$6,2,FALSE)=0,"Spatial Data Missing ⚠",VLOOKUP(M191,'G-3 Multipliers'!$S$3:$T$6,2,FALSE)))</f>
        <v/>
      </c>
      <c r="O191" s="498" t="str">
        <f>IF(OR(D191="",H191=""),"",(INDEX('G-6 Hedgerow Data'!$E$3:$I$15,MATCH(D191,'G-6 Hedgerow Data'!$B$3:$B$15,0),MATCH(H191,'G-6 Hedgerow Data'!$E$2:$I$2,0))))</f>
        <v/>
      </c>
      <c r="P191" s="195"/>
      <c r="Q191" s="195"/>
      <c r="R191" s="507" t="str">
        <f t="shared" si="13"/>
        <v/>
      </c>
      <c r="S191" s="521" t="str">
        <f t="shared" si="14"/>
        <v/>
      </c>
      <c r="T191" s="522" t="str">
        <f t="shared" si="12"/>
        <v/>
      </c>
      <c r="U191" s="537" t="str">
        <f>IF(D191="","",VLOOKUP(D191,'G-6 Hedgerow Data'!$B$3:$AG$15,31,FALSE))</f>
        <v/>
      </c>
      <c r="V191" s="520" t="str">
        <f t="shared" si="15"/>
        <v/>
      </c>
      <c r="W191" s="520" t="str">
        <f t="shared" si="16"/>
        <v/>
      </c>
      <c r="X191" s="524" t="str">
        <f>IF(F191="","",VLOOKUP(U191,'G-3 Multipliers'!$P$3:$Q$6,2,FALSE))</f>
        <v/>
      </c>
      <c r="Y191" s="529" t="str">
        <f t="shared" si="17"/>
        <v/>
      </c>
      <c r="Z191" s="149"/>
      <c r="AA191" s="150"/>
      <c r="AG191" s="31" t="str">
        <f>IFERROR(INDEX('G-6 Hedgerow Data'!$BJ$3:$BJ$15,MATCH(D191,'G-6 Hedgerow Data'!$B$3:$B$15,0)),"")</f>
        <v/>
      </c>
    </row>
    <row r="192" spans="2:33" ht="14" x14ac:dyDescent="0.3">
      <c r="B192" s="103">
        <v>181</v>
      </c>
      <c r="C192" s="268"/>
      <c r="D192" s="82"/>
      <c r="E192" s="203"/>
      <c r="F192" s="498" t="str">
        <f>IF(D192="","",VLOOKUP(D192,'G-6 Hedgerow Data'!$B$2:$AG$15,2,FALSE))</f>
        <v/>
      </c>
      <c r="G192" s="524" t="str">
        <f>IF(D192="","",VLOOKUP(D192,'G-6 Hedgerow Data'!$B$2:$AG$15,3,FALSE))</f>
        <v/>
      </c>
      <c r="H192" s="72"/>
      <c r="I192" s="499" t="str">
        <f>IFERROR(IF(AND(F192="V.Low",OR(H192="Good",H192="Moderate")),"Error ▲",VLOOKUP(H192,'G-1 All Habitats'!$Z$2:$AA$9,2,FALSE)),"")</f>
        <v/>
      </c>
      <c r="J192" s="146"/>
      <c r="K192" s="520" t="str">
        <f>IF(J192="","",IF(VLOOKUP(J192,'G-3 Multipliers'!$L$3:$N$6,2,FALSE)=0,"Spatial Data Missing",VLOOKUP(J192,'G-3 Multipliers'!$L$3:$N$6,2,FALSE)))</f>
        <v/>
      </c>
      <c r="L192" s="524" t="str">
        <f>IF(J192="","",IF(VLOOKUP(J192,'G-3 Multipliers'!$L$3:$N$6,3,FALSE)=0,"Spatial Data Missing",VLOOKUP(J192,'G-3 Multipliers'!$L$3:$N$6,3,FALSE)))</f>
        <v/>
      </c>
      <c r="M192" s="197"/>
      <c r="N192" s="499" t="str">
        <f>IF(M192="","",IF(VLOOKUP(M192,'G-3 Multipliers'!$S$3:$T$6,2,FALSE)=0,"Spatial Data Missing ⚠",VLOOKUP(M192,'G-3 Multipliers'!$S$3:$T$6,2,FALSE)))</f>
        <v/>
      </c>
      <c r="O192" s="498" t="str">
        <f>IF(OR(D192="",H192=""),"",(INDEX('G-6 Hedgerow Data'!$E$3:$I$15,MATCH(D192,'G-6 Hedgerow Data'!$B$3:$B$15,0),MATCH(H192,'G-6 Hedgerow Data'!$E$2:$I$2,0))))</f>
        <v/>
      </c>
      <c r="P192" s="195"/>
      <c r="Q192" s="195"/>
      <c r="R192" s="507" t="str">
        <f t="shared" si="13"/>
        <v/>
      </c>
      <c r="S192" s="521" t="str">
        <f t="shared" si="14"/>
        <v/>
      </c>
      <c r="T192" s="522" t="str">
        <f t="shared" si="12"/>
        <v/>
      </c>
      <c r="U192" s="537" t="str">
        <f>IF(D192="","",VLOOKUP(D192,'G-6 Hedgerow Data'!$B$3:$AG$15,31,FALSE))</f>
        <v/>
      </c>
      <c r="V192" s="520" t="str">
        <f t="shared" si="15"/>
        <v/>
      </c>
      <c r="W192" s="520" t="str">
        <f t="shared" si="16"/>
        <v/>
      </c>
      <c r="X192" s="524" t="str">
        <f>IF(F192="","",VLOOKUP(U192,'G-3 Multipliers'!$P$3:$Q$6,2,FALSE))</f>
        <v/>
      </c>
      <c r="Y192" s="529" t="str">
        <f t="shared" si="17"/>
        <v/>
      </c>
      <c r="Z192" s="149"/>
      <c r="AA192" s="150"/>
      <c r="AG192" s="31" t="str">
        <f>IFERROR(INDEX('G-6 Hedgerow Data'!$BJ$3:$BJ$15,MATCH(D192,'G-6 Hedgerow Data'!$B$3:$B$15,0)),"")</f>
        <v/>
      </c>
    </row>
    <row r="193" spans="2:33" ht="14" x14ac:dyDescent="0.3">
      <c r="B193" s="103">
        <v>182</v>
      </c>
      <c r="C193" s="268"/>
      <c r="D193" s="82"/>
      <c r="E193" s="203"/>
      <c r="F193" s="498" t="str">
        <f>IF(D193="","",VLOOKUP(D193,'G-6 Hedgerow Data'!$B$2:$AG$15,2,FALSE))</f>
        <v/>
      </c>
      <c r="G193" s="524" t="str">
        <f>IF(D193="","",VLOOKUP(D193,'G-6 Hedgerow Data'!$B$2:$AG$15,3,FALSE))</f>
        <v/>
      </c>
      <c r="H193" s="72"/>
      <c r="I193" s="499" t="str">
        <f>IFERROR(IF(AND(F193="V.Low",OR(H193="Good",H193="Moderate")),"Error ▲",VLOOKUP(H193,'G-1 All Habitats'!$Z$2:$AA$9,2,FALSE)),"")</f>
        <v/>
      </c>
      <c r="J193" s="146"/>
      <c r="K193" s="520" t="str">
        <f>IF(J193="","",IF(VLOOKUP(J193,'G-3 Multipliers'!$L$3:$N$6,2,FALSE)=0,"Spatial Data Missing",VLOOKUP(J193,'G-3 Multipliers'!$L$3:$N$6,2,FALSE)))</f>
        <v/>
      </c>
      <c r="L193" s="524" t="str">
        <f>IF(J193="","",IF(VLOOKUP(J193,'G-3 Multipliers'!$L$3:$N$6,3,FALSE)=0,"Spatial Data Missing",VLOOKUP(J193,'G-3 Multipliers'!$L$3:$N$6,3,FALSE)))</f>
        <v/>
      </c>
      <c r="M193" s="197"/>
      <c r="N193" s="499" t="str">
        <f>IF(M193="","",IF(VLOOKUP(M193,'G-3 Multipliers'!$S$3:$T$6,2,FALSE)=0,"Spatial Data Missing ⚠",VLOOKUP(M193,'G-3 Multipliers'!$S$3:$T$6,2,FALSE)))</f>
        <v/>
      </c>
      <c r="O193" s="498" t="str">
        <f>IF(OR(D193="",H193=""),"",(INDEX('G-6 Hedgerow Data'!$E$3:$I$15,MATCH(D193,'G-6 Hedgerow Data'!$B$3:$B$15,0),MATCH(H193,'G-6 Hedgerow Data'!$E$2:$I$2,0))))</f>
        <v/>
      </c>
      <c r="P193" s="195"/>
      <c r="Q193" s="195"/>
      <c r="R193" s="507" t="str">
        <f t="shared" si="13"/>
        <v/>
      </c>
      <c r="S193" s="521" t="str">
        <f t="shared" si="14"/>
        <v/>
      </c>
      <c r="T193" s="522" t="str">
        <f t="shared" si="12"/>
        <v/>
      </c>
      <c r="U193" s="537" t="str">
        <f>IF(D193="","",VLOOKUP(D193,'G-6 Hedgerow Data'!$B$3:$AG$15,31,FALSE))</f>
        <v/>
      </c>
      <c r="V193" s="520" t="str">
        <f t="shared" si="15"/>
        <v/>
      </c>
      <c r="W193" s="520" t="str">
        <f t="shared" si="16"/>
        <v/>
      </c>
      <c r="X193" s="524" t="str">
        <f>IF(F193="","",VLOOKUP(U193,'G-3 Multipliers'!$P$3:$Q$6,2,FALSE))</f>
        <v/>
      </c>
      <c r="Y193" s="529" t="str">
        <f t="shared" si="17"/>
        <v/>
      </c>
      <c r="Z193" s="149"/>
      <c r="AA193" s="150"/>
      <c r="AG193" s="31" t="str">
        <f>IFERROR(INDEX('G-6 Hedgerow Data'!$BJ$3:$BJ$15,MATCH(D193,'G-6 Hedgerow Data'!$B$3:$B$15,0)),"")</f>
        <v/>
      </c>
    </row>
    <row r="194" spans="2:33" ht="14" x14ac:dyDescent="0.3">
      <c r="B194" s="103">
        <v>183</v>
      </c>
      <c r="C194" s="268"/>
      <c r="D194" s="82"/>
      <c r="E194" s="203"/>
      <c r="F194" s="498" t="str">
        <f>IF(D194="","",VLOOKUP(D194,'G-6 Hedgerow Data'!$B$2:$AG$15,2,FALSE))</f>
        <v/>
      </c>
      <c r="G194" s="524" t="str">
        <f>IF(D194="","",VLOOKUP(D194,'G-6 Hedgerow Data'!$B$2:$AG$15,3,FALSE))</f>
        <v/>
      </c>
      <c r="H194" s="72"/>
      <c r="I194" s="499" t="str">
        <f>IFERROR(IF(AND(F194="V.Low",OR(H194="Good",H194="Moderate")),"Error ▲",VLOOKUP(H194,'G-1 All Habitats'!$Z$2:$AA$9,2,FALSE)),"")</f>
        <v/>
      </c>
      <c r="J194" s="146"/>
      <c r="K194" s="520" t="str">
        <f>IF(J194="","",IF(VLOOKUP(J194,'G-3 Multipliers'!$L$3:$N$6,2,FALSE)=0,"Spatial Data Missing",VLOOKUP(J194,'G-3 Multipliers'!$L$3:$N$6,2,FALSE)))</f>
        <v/>
      </c>
      <c r="L194" s="524" t="str">
        <f>IF(J194="","",IF(VLOOKUP(J194,'G-3 Multipliers'!$L$3:$N$6,3,FALSE)=0,"Spatial Data Missing",VLOOKUP(J194,'G-3 Multipliers'!$L$3:$N$6,3,FALSE)))</f>
        <v/>
      </c>
      <c r="M194" s="197"/>
      <c r="N194" s="499" t="str">
        <f>IF(M194="","",IF(VLOOKUP(M194,'G-3 Multipliers'!$S$3:$T$6,2,FALSE)=0,"Spatial Data Missing ⚠",VLOOKUP(M194,'G-3 Multipliers'!$S$3:$T$6,2,FALSE)))</f>
        <v/>
      </c>
      <c r="O194" s="498" t="str">
        <f>IF(OR(D194="",H194=""),"",(INDEX('G-6 Hedgerow Data'!$E$3:$I$15,MATCH(D194,'G-6 Hedgerow Data'!$B$3:$B$15,0),MATCH(H194,'G-6 Hedgerow Data'!$E$2:$I$2,0))))</f>
        <v/>
      </c>
      <c r="P194" s="195"/>
      <c r="Q194" s="195"/>
      <c r="R194" s="507" t="str">
        <f t="shared" si="13"/>
        <v/>
      </c>
      <c r="S194" s="521" t="str">
        <f t="shared" si="14"/>
        <v/>
      </c>
      <c r="T194" s="522" t="str">
        <f t="shared" si="12"/>
        <v/>
      </c>
      <c r="U194" s="537" t="str">
        <f>IF(D194="","",VLOOKUP(D194,'G-6 Hedgerow Data'!$B$3:$AG$15,31,FALSE))</f>
        <v/>
      </c>
      <c r="V194" s="520" t="str">
        <f t="shared" si="15"/>
        <v/>
      </c>
      <c r="W194" s="520" t="str">
        <f t="shared" si="16"/>
        <v/>
      </c>
      <c r="X194" s="524" t="str">
        <f>IF(F194="","",VLOOKUP(U194,'G-3 Multipliers'!$P$3:$Q$6,2,FALSE))</f>
        <v/>
      </c>
      <c r="Y194" s="529" t="str">
        <f t="shared" si="17"/>
        <v/>
      </c>
      <c r="Z194" s="149"/>
      <c r="AA194" s="150"/>
      <c r="AG194" s="31" t="str">
        <f>IFERROR(INDEX('G-6 Hedgerow Data'!$BJ$3:$BJ$15,MATCH(D194,'G-6 Hedgerow Data'!$B$3:$B$15,0)),"")</f>
        <v/>
      </c>
    </row>
    <row r="195" spans="2:33" ht="14" x14ac:dyDescent="0.3">
      <c r="B195" s="103">
        <v>184</v>
      </c>
      <c r="C195" s="268"/>
      <c r="D195" s="82"/>
      <c r="E195" s="203"/>
      <c r="F195" s="498" t="str">
        <f>IF(D195="","",VLOOKUP(D195,'G-6 Hedgerow Data'!$B$2:$AG$15,2,FALSE))</f>
        <v/>
      </c>
      <c r="G195" s="524" t="str">
        <f>IF(D195="","",VLOOKUP(D195,'G-6 Hedgerow Data'!$B$2:$AG$15,3,FALSE))</f>
        <v/>
      </c>
      <c r="H195" s="72"/>
      <c r="I195" s="499" t="str">
        <f>IFERROR(IF(AND(F195="V.Low",OR(H195="Good",H195="Moderate")),"Error ▲",VLOOKUP(H195,'G-1 All Habitats'!$Z$2:$AA$9,2,FALSE)),"")</f>
        <v/>
      </c>
      <c r="J195" s="146"/>
      <c r="K195" s="520" t="str">
        <f>IF(J195="","",IF(VLOOKUP(J195,'G-3 Multipliers'!$L$3:$N$6,2,FALSE)=0,"Spatial Data Missing",VLOOKUP(J195,'G-3 Multipliers'!$L$3:$N$6,2,FALSE)))</f>
        <v/>
      </c>
      <c r="L195" s="524" t="str">
        <f>IF(J195="","",IF(VLOOKUP(J195,'G-3 Multipliers'!$L$3:$N$6,3,FALSE)=0,"Spatial Data Missing",VLOOKUP(J195,'G-3 Multipliers'!$L$3:$N$6,3,FALSE)))</f>
        <v/>
      </c>
      <c r="M195" s="197"/>
      <c r="N195" s="499" t="str">
        <f>IF(M195="","",IF(VLOOKUP(M195,'G-3 Multipliers'!$S$3:$T$6,2,FALSE)=0,"Spatial Data Missing ⚠",VLOOKUP(M195,'G-3 Multipliers'!$S$3:$T$6,2,FALSE)))</f>
        <v/>
      </c>
      <c r="O195" s="498" t="str">
        <f>IF(OR(D195="",H195=""),"",(INDEX('G-6 Hedgerow Data'!$E$3:$I$15,MATCH(D195,'G-6 Hedgerow Data'!$B$3:$B$15,0),MATCH(H195,'G-6 Hedgerow Data'!$E$2:$I$2,0))))</f>
        <v/>
      </c>
      <c r="P195" s="195"/>
      <c r="Q195" s="195"/>
      <c r="R195" s="507" t="str">
        <f t="shared" si="13"/>
        <v/>
      </c>
      <c r="S195" s="521" t="str">
        <f t="shared" si="14"/>
        <v/>
      </c>
      <c r="T195" s="522" t="str">
        <f t="shared" si="12"/>
        <v/>
      </c>
      <c r="U195" s="537" t="str">
        <f>IF(D195="","",VLOOKUP(D195,'G-6 Hedgerow Data'!$B$3:$AG$15,31,FALSE))</f>
        <v/>
      </c>
      <c r="V195" s="520" t="str">
        <f t="shared" si="15"/>
        <v/>
      </c>
      <c r="W195" s="520" t="str">
        <f t="shared" si="16"/>
        <v/>
      </c>
      <c r="X195" s="524" t="str">
        <f>IF(F195="","",VLOOKUP(U195,'G-3 Multipliers'!$P$3:$Q$6,2,FALSE))</f>
        <v/>
      </c>
      <c r="Y195" s="529" t="str">
        <f t="shared" si="17"/>
        <v/>
      </c>
      <c r="Z195" s="149"/>
      <c r="AA195" s="150"/>
      <c r="AG195" s="31" t="str">
        <f>IFERROR(INDEX('G-6 Hedgerow Data'!$BJ$3:$BJ$15,MATCH(D195,'G-6 Hedgerow Data'!$B$3:$B$15,0)),"")</f>
        <v/>
      </c>
    </row>
    <row r="196" spans="2:33" ht="14" x14ac:dyDescent="0.3">
      <c r="B196" s="103">
        <v>185</v>
      </c>
      <c r="C196" s="268"/>
      <c r="D196" s="82"/>
      <c r="E196" s="203"/>
      <c r="F196" s="498" t="str">
        <f>IF(D196="","",VLOOKUP(D196,'G-6 Hedgerow Data'!$B$2:$AG$15,2,FALSE))</f>
        <v/>
      </c>
      <c r="G196" s="524" t="str">
        <f>IF(D196="","",VLOOKUP(D196,'G-6 Hedgerow Data'!$B$2:$AG$15,3,FALSE))</f>
        <v/>
      </c>
      <c r="H196" s="72"/>
      <c r="I196" s="499" t="str">
        <f>IFERROR(IF(AND(F196="V.Low",OR(H196="Good",H196="Moderate")),"Error ▲",VLOOKUP(H196,'G-1 All Habitats'!$Z$2:$AA$9,2,FALSE)),"")</f>
        <v/>
      </c>
      <c r="J196" s="146"/>
      <c r="K196" s="520" t="str">
        <f>IF(J196="","",IF(VLOOKUP(J196,'G-3 Multipliers'!$L$3:$N$6,2,FALSE)=0,"Spatial Data Missing",VLOOKUP(J196,'G-3 Multipliers'!$L$3:$N$6,2,FALSE)))</f>
        <v/>
      </c>
      <c r="L196" s="524" t="str">
        <f>IF(J196="","",IF(VLOOKUP(J196,'G-3 Multipliers'!$L$3:$N$6,3,FALSE)=0,"Spatial Data Missing",VLOOKUP(J196,'G-3 Multipliers'!$L$3:$N$6,3,FALSE)))</f>
        <v/>
      </c>
      <c r="M196" s="197"/>
      <c r="N196" s="499" t="str">
        <f>IF(M196="","",IF(VLOOKUP(M196,'G-3 Multipliers'!$S$3:$T$6,2,FALSE)=0,"Spatial Data Missing ⚠",VLOOKUP(M196,'G-3 Multipliers'!$S$3:$T$6,2,FALSE)))</f>
        <v/>
      </c>
      <c r="O196" s="498" t="str">
        <f>IF(OR(D196="",H196=""),"",(INDEX('G-6 Hedgerow Data'!$E$3:$I$15,MATCH(D196,'G-6 Hedgerow Data'!$B$3:$B$15,0),MATCH(H196,'G-6 Hedgerow Data'!$E$2:$I$2,0))))</f>
        <v/>
      </c>
      <c r="P196" s="195"/>
      <c r="Q196" s="195"/>
      <c r="R196" s="507" t="str">
        <f t="shared" si="13"/>
        <v/>
      </c>
      <c r="S196" s="521" t="str">
        <f t="shared" si="14"/>
        <v/>
      </c>
      <c r="T196" s="522" t="str">
        <f t="shared" si="12"/>
        <v/>
      </c>
      <c r="U196" s="537" t="str">
        <f>IF(D196="","",VLOOKUP(D196,'G-6 Hedgerow Data'!$B$3:$AG$15,31,FALSE))</f>
        <v/>
      </c>
      <c r="V196" s="520" t="str">
        <f t="shared" si="15"/>
        <v/>
      </c>
      <c r="W196" s="520" t="str">
        <f t="shared" si="16"/>
        <v/>
      </c>
      <c r="X196" s="524" t="str">
        <f>IF(F196="","",VLOOKUP(U196,'G-3 Multipliers'!$P$3:$Q$6,2,FALSE))</f>
        <v/>
      </c>
      <c r="Y196" s="529" t="str">
        <f t="shared" si="17"/>
        <v/>
      </c>
      <c r="Z196" s="149"/>
      <c r="AA196" s="150"/>
      <c r="AG196" s="31" t="str">
        <f>IFERROR(INDEX('G-6 Hedgerow Data'!$BJ$3:$BJ$15,MATCH(D196,'G-6 Hedgerow Data'!$B$3:$B$15,0)),"")</f>
        <v/>
      </c>
    </row>
    <row r="197" spans="2:33" ht="14" x14ac:dyDescent="0.3">
      <c r="B197" s="103">
        <v>186</v>
      </c>
      <c r="C197" s="268"/>
      <c r="D197" s="82"/>
      <c r="E197" s="203"/>
      <c r="F197" s="498" t="str">
        <f>IF(D197="","",VLOOKUP(D197,'G-6 Hedgerow Data'!$B$2:$AG$15,2,FALSE))</f>
        <v/>
      </c>
      <c r="G197" s="524" t="str">
        <f>IF(D197="","",VLOOKUP(D197,'G-6 Hedgerow Data'!$B$2:$AG$15,3,FALSE))</f>
        <v/>
      </c>
      <c r="H197" s="72"/>
      <c r="I197" s="499" t="str">
        <f>IFERROR(IF(AND(F197="V.Low",OR(H197="Good",H197="Moderate")),"Error ▲",VLOOKUP(H197,'G-1 All Habitats'!$Z$2:$AA$9,2,FALSE)),"")</f>
        <v/>
      </c>
      <c r="J197" s="146"/>
      <c r="K197" s="520" t="str">
        <f>IF(J197="","",IF(VLOOKUP(J197,'G-3 Multipliers'!$L$3:$N$6,2,FALSE)=0,"Spatial Data Missing",VLOOKUP(J197,'G-3 Multipliers'!$L$3:$N$6,2,FALSE)))</f>
        <v/>
      </c>
      <c r="L197" s="524" t="str">
        <f>IF(J197="","",IF(VLOOKUP(J197,'G-3 Multipliers'!$L$3:$N$6,3,FALSE)=0,"Spatial Data Missing",VLOOKUP(J197,'G-3 Multipliers'!$L$3:$N$6,3,FALSE)))</f>
        <v/>
      </c>
      <c r="M197" s="197"/>
      <c r="N197" s="499" t="str">
        <f>IF(M197="","",IF(VLOOKUP(M197,'G-3 Multipliers'!$S$3:$T$6,2,FALSE)=0,"Spatial Data Missing ⚠",VLOOKUP(M197,'G-3 Multipliers'!$S$3:$T$6,2,FALSE)))</f>
        <v/>
      </c>
      <c r="O197" s="498" t="str">
        <f>IF(OR(D197="",H197=""),"",(INDEX('G-6 Hedgerow Data'!$E$3:$I$15,MATCH(D197,'G-6 Hedgerow Data'!$B$3:$B$15,0),MATCH(H197,'G-6 Hedgerow Data'!$E$2:$I$2,0))))</f>
        <v/>
      </c>
      <c r="P197" s="195"/>
      <c r="Q197" s="195"/>
      <c r="R197" s="507" t="str">
        <f t="shared" si="13"/>
        <v/>
      </c>
      <c r="S197" s="521" t="str">
        <f t="shared" si="14"/>
        <v/>
      </c>
      <c r="T197" s="522" t="str">
        <f t="shared" si="12"/>
        <v/>
      </c>
      <c r="U197" s="537" t="str">
        <f>IF(D197="","",VLOOKUP(D197,'G-6 Hedgerow Data'!$B$3:$AG$15,31,FALSE))</f>
        <v/>
      </c>
      <c r="V197" s="520" t="str">
        <f t="shared" si="15"/>
        <v/>
      </c>
      <c r="W197" s="520" t="str">
        <f t="shared" si="16"/>
        <v/>
      </c>
      <c r="X197" s="524" t="str">
        <f>IF(F197="","",VLOOKUP(U197,'G-3 Multipliers'!$P$3:$Q$6,2,FALSE))</f>
        <v/>
      </c>
      <c r="Y197" s="529" t="str">
        <f t="shared" si="17"/>
        <v/>
      </c>
      <c r="Z197" s="149"/>
      <c r="AA197" s="150"/>
      <c r="AG197" s="31" t="str">
        <f>IFERROR(INDEX('G-6 Hedgerow Data'!$BJ$3:$BJ$15,MATCH(D197,'G-6 Hedgerow Data'!$B$3:$B$15,0)),"")</f>
        <v/>
      </c>
    </row>
    <row r="198" spans="2:33" ht="14" x14ac:dyDescent="0.3">
      <c r="B198" s="103">
        <v>187</v>
      </c>
      <c r="C198" s="268"/>
      <c r="D198" s="82"/>
      <c r="E198" s="203"/>
      <c r="F198" s="498" t="str">
        <f>IF(D198="","",VLOOKUP(D198,'G-6 Hedgerow Data'!$B$2:$AG$15,2,FALSE))</f>
        <v/>
      </c>
      <c r="G198" s="524" t="str">
        <f>IF(D198="","",VLOOKUP(D198,'G-6 Hedgerow Data'!$B$2:$AG$15,3,FALSE))</f>
        <v/>
      </c>
      <c r="H198" s="72"/>
      <c r="I198" s="499" t="str">
        <f>IFERROR(IF(AND(F198="V.Low",OR(H198="Good",H198="Moderate")),"Error ▲",VLOOKUP(H198,'G-1 All Habitats'!$Z$2:$AA$9,2,FALSE)),"")</f>
        <v/>
      </c>
      <c r="J198" s="146"/>
      <c r="K198" s="520" t="str">
        <f>IF(J198="","",IF(VLOOKUP(J198,'G-3 Multipliers'!$L$3:$N$6,2,FALSE)=0,"Spatial Data Missing",VLOOKUP(J198,'G-3 Multipliers'!$L$3:$N$6,2,FALSE)))</f>
        <v/>
      </c>
      <c r="L198" s="524" t="str">
        <f>IF(J198="","",IF(VLOOKUP(J198,'G-3 Multipliers'!$L$3:$N$6,3,FALSE)=0,"Spatial Data Missing",VLOOKUP(J198,'G-3 Multipliers'!$L$3:$N$6,3,FALSE)))</f>
        <v/>
      </c>
      <c r="M198" s="197"/>
      <c r="N198" s="499" t="str">
        <f>IF(M198="","",IF(VLOOKUP(M198,'G-3 Multipliers'!$S$3:$T$6,2,FALSE)=0,"Spatial Data Missing ⚠",VLOOKUP(M198,'G-3 Multipliers'!$S$3:$T$6,2,FALSE)))</f>
        <v/>
      </c>
      <c r="O198" s="498" t="str">
        <f>IF(OR(D198="",H198=""),"",(INDEX('G-6 Hedgerow Data'!$E$3:$I$15,MATCH(D198,'G-6 Hedgerow Data'!$B$3:$B$15,0),MATCH(H198,'G-6 Hedgerow Data'!$E$2:$I$2,0))))</f>
        <v/>
      </c>
      <c r="P198" s="195"/>
      <c r="Q198" s="195"/>
      <c r="R198" s="507" t="str">
        <f t="shared" si="13"/>
        <v/>
      </c>
      <c r="S198" s="521" t="str">
        <f t="shared" si="14"/>
        <v/>
      </c>
      <c r="T198" s="522" t="str">
        <f t="shared" si="12"/>
        <v/>
      </c>
      <c r="U198" s="537" t="str">
        <f>IF(D198="","",VLOOKUP(D198,'G-6 Hedgerow Data'!$B$3:$AG$15,31,FALSE))</f>
        <v/>
      </c>
      <c r="V198" s="520" t="str">
        <f t="shared" si="15"/>
        <v/>
      </c>
      <c r="W198" s="520" t="str">
        <f t="shared" si="16"/>
        <v/>
      </c>
      <c r="X198" s="524" t="str">
        <f>IF(F198="","",VLOOKUP(U198,'G-3 Multipliers'!$P$3:$Q$6,2,FALSE))</f>
        <v/>
      </c>
      <c r="Y198" s="529" t="str">
        <f t="shared" si="17"/>
        <v/>
      </c>
      <c r="Z198" s="149"/>
      <c r="AA198" s="150"/>
      <c r="AG198" s="31" t="str">
        <f>IFERROR(INDEX('G-6 Hedgerow Data'!$BJ$3:$BJ$15,MATCH(D198,'G-6 Hedgerow Data'!$B$3:$B$15,0)),"")</f>
        <v/>
      </c>
    </row>
    <row r="199" spans="2:33" ht="14" x14ac:dyDescent="0.3">
      <c r="B199" s="103">
        <v>188</v>
      </c>
      <c r="C199" s="268"/>
      <c r="D199" s="82"/>
      <c r="E199" s="203"/>
      <c r="F199" s="498" t="str">
        <f>IF(D199="","",VLOOKUP(D199,'G-6 Hedgerow Data'!$B$2:$AG$15,2,FALSE))</f>
        <v/>
      </c>
      <c r="G199" s="524" t="str">
        <f>IF(D199="","",VLOOKUP(D199,'G-6 Hedgerow Data'!$B$2:$AG$15,3,FALSE))</f>
        <v/>
      </c>
      <c r="H199" s="72"/>
      <c r="I199" s="499" t="str">
        <f>IFERROR(IF(AND(F199="V.Low",OR(H199="Good",H199="Moderate")),"Error ▲",VLOOKUP(H199,'G-1 All Habitats'!$Z$2:$AA$9,2,FALSE)),"")</f>
        <v/>
      </c>
      <c r="J199" s="146"/>
      <c r="K199" s="520" t="str">
        <f>IF(J199="","",IF(VLOOKUP(J199,'G-3 Multipliers'!$L$3:$N$6,2,FALSE)=0,"Spatial Data Missing",VLOOKUP(J199,'G-3 Multipliers'!$L$3:$N$6,2,FALSE)))</f>
        <v/>
      </c>
      <c r="L199" s="524" t="str">
        <f>IF(J199="","",IF(VLOOKUP(J199,'G-3 Multipliers'!$L$3:$N$6,3,FALSE)=0,"Spatial Data Missing",VLOOKUP(J199,'G-3 Multipliers'!$L$3:$N$6,3,FALSE)))</f>
        <v/>
      </c>
      <c r="M199" s="197"/>
      <c r="N199" s="499" t="str">
        <f>IF(M199="","",IF(VLOOKUP(M199,'G-3 Multipliers'!$S$3:$T$6,2,FALSE)=0,"Spatial Data Missing ⚠",VLOOKUP(M199,'G-3 Multipliers'!$S$3:$T$6,2,FALSE)))</f>
        <v/>
      </c>
      <c r="O199" s="498" t="str">
        <f>IF(OR(D199="",H199=""),"",(INDEX('G-6 Hedgerow Data'!$E$3:$I$15,MATCH(D199,'G-6 Hedgerow Data'!$B$3:$B$15,0),MATCH(H199,'G-6 Hedgerow Data'!$E$2:$I$2,0))))</f>
        <v/>
      </c>
      <c r="P199" s="195"/>
      <c r="Q199" s="195"/>
      <c r="R199" s="507" t="str">
        <f t="shared" si="13"/>
        <v/>
      </c>
      <c r="S199" s="521" t="str">
        <f t="shared" si="14"/>
        <v/>
      </c>
      <c r="T199" s="522" t="str">
        <f t="shared" si="12"/>
        <v/>
      </c>
      <c r="U199" s="537" t="str">
        <f>IF(D199="","",VLOOKUP(D199,'G-6 Hedgerow Data'!$B$3:$AG$15,31,FALSE))</f>
        <v/>
      </c>
      <c r="V199" s="520" t="str">
        <f t="shared" si="15"/>
        <v/>
      </c>
      <c r="W199" s="520" t="str">
        <f t="shared" si="16"/>
        <v/>
      </c>
      <c r="X199" s="524" t="str">
        <f>IF(F199="","",VLOOKUP(U199,'G-3 Multipliers'!$P$3:$Q$6,2,FALSE))</f>
        <v/>
      </c>
      <c r="Y199" s="529" t="str">
        <f t="shared" si="17"/>
        <v/>
      </c>
      <c r="Z199" s="149"/>
      <c r="AA199" s="150"/>
      <c r="AG199" s="31" t="str">
        <f>IFERROR(INDEX('G-6 Hedgerow Data'!$BJ$3:$BJ$15,MATCH(D199,'G-6 Hedgerow Data'!$B$3:$B$15,0)),"")</f>
        <v/>
      </c>
    </row>
    <row r="200" spans="2:33" ht="14" x14ac:dyDescent="0.3">
      <c r="B200" s="103">
        <v>189</v>
      </c>
      <c r="C200" s="268"/>
      <c r="D200" s="82"/>
      <c r="E200" s="203"/>
      <c r="F200" s="498" t="str">
        <f>IF(D200="","",VLOOKUP(D200,'G-6 Hedgerow Data'!$B$2:$AG$15,2,FALSE))</f>
        <v/>
      </c>
      <c r="G200" s="524" t="str">
        <f>IF(D200="","",VLOOKUP(D200,'G-6 Hedgerow Data'!$B$2:$AG$15,3,FALSE))</f>
        <v/>
      </c>
      <c r="H200" s="72"/>
      <c r="I200" s="499" t="str">
        <f>IFERROR(IF(AND(F200="V.Low",OR(H200="Good",H200="Moderate")),"Error ▲",VLOOKUP(H200,'G-1 All Habitats'!$Z$2:$AA$9,2,FALSE)),"")</f>
        <v/>
      </c>
      <c r="J200" s="146"/>
      <c r="K200" s="520" t="str">
        <f>IF(J200="","",IF(VLOOKUP(J200,'G-3 Multipliers'!$L$3:$N$6,2,FALSE)=0,"Spatial Data Missing",VLOOKUP(J200,'G-3 Multipliers'!$L$3:$N$6,2,FALSE)))</f>
        <v/>
      </c>
      <c r="L200" s="524" t="str">
        <f>IF(J200="","",IF(VLOOKUP(J200,'G-3 Multipliers'!$L$3:$N$6,3,FALSE)=0,"Spatial Data Missing",VLOOKUP(J200,'G-3 Multipliers'!$L$3:$N$6,3,FALSE)))</f>
        <v/>
      </c>
      <c r="M200" s="197"/>
      <c r="N200" s="499" t="str">
        <f>IF(M200="","",IF(VLOOKUP(M200,'G-3 Multipliers'!$S$3:$T$6,2,FALSE)=0,"Spatial Data Missing ⚠",VLOOKUP(M200,'G-3 Multipliers'!$S$3:$T$6,2,FALSE)))</f>
        <v/>
      </c>
      <c r="O200" s="498" t="str">
        <f>IF(OR(D200="",H200=""),"",(INDEX('G-6 Hedgerow Data'!$E$3:$I$15,MATCH(D200,'G-6 Hedgerow Data'!$B$3:$B$15,0),MATCH(H200,'G-6 Hedgerow Data'!$E$2:$I$2,0))))</f>
        <v/>
      </c>
      <c r="P200" s="195"/>
      <c r="Q200" s="195"/>
      <c r="R200" s="507" t="str">
        <f t="shared" si="13"/>
        <v/>
      </c>
      <c r="S200" s="521" t="str">
        <f t="shared" si="14"/>
        <v/>
      </c>
      <c r="T200" s="522" t="str">
        <f t="shared" si="12"/>
        <v/>
      </c>
      <c r="U200" s="537" t="str">
        <f>IF(D200="","",VLOOKUP(D200,'G-6 Hedgerow Data'!$B$3:$AG$15,31,FALSE))</f>
        <v/>
      </c>
      <c r="V200" s="520" t="str">
        <f t="shared" si="15"/>
        <v/>
      </c>
      <c r="W200" s="520" t="str">
        <f t="shared" si="16"/>
        <v/>
      </c>
      <c r="X200" s="524" t="str">
        <f>IF(F200="","",VLOOKUP(U200,'G-3 Multipliers'!$P$3:$Q$6,2,FALSE))</f>
        <v/>
      </c>
      <c r="Y200" s="529" t="str">
        <f t="shared" si="17"/>
        <v/>
      </c>
      <c r="Z200" s="149"/>
      <c r="AA200" s="150"/>
      <c r="AG200" s="31" t="str">
        <f>IFERROR(INDEX('G-6 Hedgerow Data'!$BJ$3:$BJ$15,MATCH(D200,'G-6 Hedgerow Data'!$B$3:$B$15,0)),"")</f>
        <v/>
      </c>
    </row>
    <row r="201" spans="2:33" ht="14" x14ac:dyDescent="0.3">
      <c r="B201" s="103">
        <v>190</v>
      </c>
      <c r="C201" s="268"/>
      <c r="D201" s="82"/>
      <c r="E201" s="203"/>
      <c r="F201" s="498" t="str">
        <f>IF(D201="","",VLOOKUP(D201,'G-6 Hedgerow Data'!$B$2:$AG$15,2,FALSE))</f>
        <v/>
      </c>
      <c r="G201" s="524" t="str">
        <f>IF(D201="","",VLOOKUP(D201,'G-6 Hedgerow Data'!$B$2:$AG$15,3,FALSE))</f>
        <v/>
      </c>
      <c r="H201" s="72"/>
      <c r="I201" s="499" t="str">
        <f>IFERROR(IF(AND(F201="V.Low",OR(H201="Good",H201="Moderate")),"Error ▲",VLOOKUP(H201,'G-1 All Habitats'!$Z$2:$AA$9,2,FALSE)),"")</f>
        <v/>
      </c>
      <c r="J201" s="146"/>
      <c r="K201" s="520" t="str">
        <f>IF(J201="","",IF(VLOOKUP(J201,'G-3 Multipliers'!$L$3:$N$6,2,FALSE)=0,"Spatial Data Missing",VLOOKUP(J201,'G-3 Multipliers'!$L$3:$N$6,2,FALSE)))</f>
        <v/>
      </c>
      <c r="L201" s="524" t="str">
        <f>IF(J201="","",IF(VLOOKUP(J201,'G-3 Multipliers'!$L$3:$N$6,3,FALSE)=0,"Spatial Data Missing",VLOOKUP(J201,'G-3 Multipliers'!$L$3:$N$6,3,FALSE)))</f>
        <v/>
      </c>
      <c r="M201" s="197"/>
      <c r="N201" s="499" t="str">
        <f>IF(M201="","",IF(VLOOKUP(M201,'G-3 Multipliers'!$S$3:$T$6,2,FALSE)=0,"Spatial Data Missing ⚠",VLOOKUP(M201,'G-3 Multipliers'!$S$3:$T$6,2,FALSE)))</f>
        <v/>
      </c>
      <c r="O201" s="498" t="str">
        <f>IF(OR(D201="",H201=""),"",(INDEX('G-6 Hedgerow Data'!$E$3:$I$15,MATCH(D201,'G-6 Hedgerow Data'!$B$3:$B$15,0),MATCH(H201,'G-6 Hedgerow Data'!$E$2:$I$2,0))))</f>
        <v/>
      </c>
      <c r="P201" s="195"/>
      <c r="Q201" s="195"/>
      <c r="R201" s="507" t="str">
        <f t="shared" si="13"/>
        <v/>
      </c>
      <c r="S201" s="521" t="str">
        <f t="shared" si="14"/>
        <v/>
      </c>
      <c r="T201" s="522" t="str">
        <f t="shared" si="12"/>
        <v/>
      </c>
      <c r="U201" s="537" t="str">
        <f>IF(D201="","",VLOOKUP(D201,'G-6 Hedgerow Data'!$B$3:$AG$15,31,FALSE))</f>
        <v/>
      </c>
      <c r="V201" s="520" t="str">
        <f t="shared" si="15"/>
        <v/>
      </c>
      <c r="W201" s="520" t="str">
        <f t="shared" si="16"/>
        <v/>
      </c>
      <c r="X201" s="524" t="str">
        <f>IF(F201="","",VLOOKUP(U201,'G-3 Multipliers'!$P$3:$Q$6,2,FALSE))</f>
        <v/>
      </c>
      <c r="Y201" s="529" t="str">
        <f t="shared" si="17"/>
        <v/>
      </c>
      <c r="Z201" s="149"/>
      <c r="AA201" s="150"/>
      <c r="AG201" s="31" t="str">
        <f>IFERROR(INDEX('G-6 Hedgerow Data'!$BJ$3:$BJ$15,MATCH(D201,'G-6 Hedgerow Data'!$B$3:$B$15,0)),"")</f>
        <v/>
      </c>
    </row>
    <row r="202" spans="2:33" ht="14" x14ac:dyDescent="0.3">
      <c r="B202" s="103">
        <v>191</v>
      </c>
      <c r="C202" s="268"/>
      <c r="D202" s="82"/>
      <c r="E202" s="203"/>
      <c r="F202" s="498" t="str">
        <f>IF(D202="","",VLOOKUP(D202,'G-6 Hedgerow Data'!$B$2:$AG$15,2,FALSE))</f>
        <v/>
      </c>
      <c r="G202" s="524" t="str">
        <f>IF(D202="","",VLOOKUP(D202,'G-6 Hedgerow Data'!$B$2:$AG$15,3,FALSE))</f>
        <v/>
      </c>
      <c r="H202" s="72"/>
      <c r="I202" s="499" t="str">
        <f>IFERROR(IF(AND(F202="V.Low",OR(H202="Good",H202="Moderate")),"Error ▲",VLOOKUP(H202,'G-1 All Habitats'!$Z$2:$AA$9,2,FALSE)),"")</f>
        <v/>
      </c>
      <c r="J202" s="146"/>
      <c r="K202" s="520" t="str">
        <f>IF(J202="","",IF(VLOOKUP(J202,'G-3 Multipliers'!$L$3:$N$6,2,FALSE)=0,"Spatial Data Missing",VLOOKUP(J202,'G-3 Multipliers'!$L$3:$N$6,2,FALSE)))</f>
        <v/>
      </c>
      <c r="L202" s="524" t="str">
        <f>IF(J202="","",IF(VLOOKUP(J202,'G-3 Multipliers'!$L$3:$N$6,3,FALSE)=0,"Spatial Data Missing",VLOOKUP(J202,'G-3 Multipliers'!$L$3:$N$6,3,FALSE)))</f>
        <v/>
      </c>
      <c r="M202" s="197"/>
      <c r="N202" s="499" t="str">
        <f>IF(M202="","",IF(VLOOKUP(M202,'G-3 Multipliers'!$S$3:$T$6,2,FALSE)=0,"Spatial Data Missing ⚠",VLOOKUP(M202,'G-3 Multipliers'!$S$3:$T$6,2,FALSE)))</f>
        <v/>
      </c>
      <c r="O202" s="498" t="str">
        <f>IF(OR(D202="",H202=""),"",(INDEX('G-6 Hedgerow Data'!$E$3:$I$15,MATCH(D202,'G-6 Hedgerow Data'!$B$3:$B$15,0),MATCH(H202,'G-6 Hedgerow Data'!$E$2:$I$2,0))))</f>
        <v/>
      </c>
      <c r="P202" s="195"/>
      <c r="Q202" s="195"/>
      <c r="R202" s="507" t="str">
        <f t="shared" si="13"/>
        <v/>
      </c>
      <c r="S202" s="521" t="str">
        <f t="shared" si="14"/>
        <v/>
      </c>
      <c r="T202" s="522" t="str">
        <f t="shared" si="12"/>
        <v/>
      </c>
      <c r="U202" s="537" t="str">
        <f>IF(D202="","",VLOOKUP(D202,'G-6 Hedgerow Data'!$B$3:$AG$15,31,FALSE))</f>
        <v/>
      </c>
      <c r="V202" s="520" t="str">
        <f t="shared" si="15"/>
        <v/>
      </c>
      <c r="W202" s="520" t="str">
        <f t="shared" si="16"/>
        <v/>
      </c>
      <c r="X202" s="524" t="str">
        <f>IF(F202="","",VLOOKUP(U202,'G-3 Multipliers'!$P$3:$Q$6,2,FALSE))</f>
        <v/>
      </c>
      <c r="Y202" s="529" t="str">
        <f t="shared" si="17"/>
        <v/>
      </c>
      <c r="Z202" s="149"/>
      <c r="AA202" s="150"/>
      <c r="AG202" s="31" t="str">
        <f>IFERROR(INDEX('G-6 Hedgerow Data'!$BJ$3:$BJ$15,MATCH(D202,'G-6 Hedgerow Data'!$B$3:$B$15,0)),"")</f>
        <v/>
      </c>
    </row>
    <row r="203" spans="2:33" ht="14" x14ac:dyDescent="0.3">
      <c r="B203" s="103">
        <v>192</v>
      </c>
      <c r="C203" s="268"/>
      <c r="D203" s="82"/>
      <c r="E203" s="203"/>
      <c r="F203" s="498" t="str">
        <f>IF(D203="","",VLOOKUP(D203,'G-6 Hedgerow Data'!$B$2:$AG$15,2,FALSE))</f>
        <v/>
      </c>
      <c r="G203" s="524" t="str">
        <f>IF(D203="","",VLOOKUP(D203,'G-6 Hedgerow Data'!$B$2:$AG$15,3,FALSE))</f>
        <v/>
      </c>
      <c r="H203" s="72"/>
      <c r="I203" s="499" t="str">
        <f>IFERROR(IF(AND(F203="V.Low",OR(H203="Good",H203="Moderate")),"Error ▲",VLOOKUP(H203,'G-1 All Habitats'!$Z$2:$AA$9,2,FALSE)),"")</f>
        <v/>
      </c>
      <c r="J203" s="146"/>
      <c r="K203" s="520" t="str">
        <f>IF(J203="","",IF(VLOOKUP(J203,'G-3 Multipliers'!$L$3:$N$6,2,FALSE)=0,"Spatial Data Missing",VLOOKUP(J203,'G-3 Multipliers'!$L$3:$N$6,2,FALSE)))</f>
        <v/>
      </c>
      <c r="L203" s="524" t="str">
        <f>IF(J203="","",IF(VLOOKUP(J203,'G-3 Multipliers'!$L$3:$N$6,3,FALSE)=0,"Spatial Data Missing",VLOOKUP(J203,'G-3 Multipliers'!$L$3:$N$6,3,FALSE)))</f>
        <v/>
      </c>
      <c r="M203" s="197"/>
      <c r="N203" s="499" t="str">
        <f>IF(M203="","",IF(VLOOKUP(M203,'G-3 Multipliers'!$S$3:$T$6,2,FALSE)=0,"Spatial Data Missing ⚠",VLOOKUP(M203,'G-3 Multipliers'!$S$3:$T$6,2,FALSE)))</f>
        <v/>
      </c>
      <c r="O203" s="498" t="str">
        <f>IF(OR(D203="",H203=""),"",(INDEX('G-6 Hedgerow Data'!$E$3:$I$15,MATCH(D203,'G-6 Hedgerow Data'!$B$3:$B$15,0),MATCH(H203,'G-6 Hedgerow Data'!$E$2:$I$2,0))))</f>
        <v/>
      </c>
      <c r="P203" s="195"/>
      <c r="Q203" s="195"/>
      <c r="R203" s="507" t="str">
        <f t="shared" si="13"/>
        <v/>
      </c>
      <c r="S203" s="521" t="str">
        <f t="shared" si="14"/>
        <v/>
      </c>
      <c r="T203" s="522" t="str">
        <f t="shared" si="12"/>
        <v/>
      </c>
      <c r="U203" s="537" t="str">
        <f>IF(D203="","",VLOOKUP(D203,'G-6 Hedgerow Data'!$B$3:$AG$15,31,FALSE))</f>
        <v/>
      </c>
      <c r="V203" s="520" t="str">
        <f t="shared" si="15"/>
        <v/>
      </c>
      <c r="W203" s="520" t="str">
        <f t="shared" si="16"/>
        <v/>
      </c>
      <c r="X203" s="524" t="str">
        <f>IF(F203="","",VLOOKUP(U203,'G-3 Multipliers'!$P$3:$Q$6,2,FALSE))</f>
        <v/>
      </c>
      <c r="Y203" s="529" t="str">
        <f t="shared" si="17"/>
        <v/>
      </c>
      <c r="Z203" s="149"/>
      <c r="AA203" s="150"/>
      <c r="AG203" s="31" t="str">
        <f>IFERROR(INDEX('G-6 Hedgerow Data'!$BJ$3:$BJ$15,MATCH(D203,'G-6 Hedgerow Data'!$B$3:$B$15,0)),"")</f>
        <v/>
      </c>
    </row>
    <row r="204" spans="2:33" ht="14" x14ac:dyDescent="0.3">
      <c r="B204" s="103">
        <v>193</v>
      </c>
      <c r="C204" s="268"/>
      <c r="D204" s="82"/>
      <c r="E204" s="203"/>
      <c r="F204" s="498" t="str">
        <f>IF(D204="","",VLOOKUP(D204,'G-6 Hedgerow Data'!$B$2:$AG$15,2,FALSE))</f>
        <v/>
      </c>
      <c r="G204" s="524" t="str">
        <f>IF(D204="","",VLOOKUP(D204,'G-6 Hedgerow Data'!$B$2:$AG$15,3,FALSE))</f>
        <v/>
      </c>
      <c r="H204" s="72"/>
      <c r="I204" s="499" t="str">
        <f>IFERROR(IF(AND(F204="V.Low",OR(H204="Good",H204="Moderate")),"Error ▲",VLOOKUP(H204,'G-1 All Habitats'!$Z$2:$AA$9,2,FALSE)),"")</f>
        <v/>
      </c>
      <c r="J204" s="146"/>
      <c r="K204" s="520" t="str">
        <f>IF(J204="","",IF(VLOOKUP(J204,'G-3 Multipliers'!$L$3:$N$6,2,FALSE)=0,"Spatial Data Missing",VLOOKUP(J204,'G-3 Multipliers'!$L$3:$N$6,2,FALSE)))</f>
        <v/>
      </c>
      <c r="L204" s="524" t="str">
        <f>IF(J204="","",IF(VLOOKUP(J204,'G-3 Multipliers'!$L$3:$N$6,3,FALSE)=0,"Spatial Data Missing",VLOOKUP(J204,'G-3 Multipliers'!$L$3:$N$6,3,FALSE)))</f>
        <v/>
      </c>
      <c r="M204" s="197"/>
      <c r="N204" s="499" t="str">
        <f>IF(M204="","",IF(VLOOKUP(M204,'G-3 Multipliers'!$S$3:$T$6,2,FALSE)=0,"Spatial Data Missing ⚠",VLOOKUP(M204,'G-3 Multipliers'!$S$3:$T$6,2,FALSE)))</f>
        <v/>
      </c>
      <c r="O204" s="498" t="str">
        <f>IF(OR(D204="",H204=""),"",(INDEX('G-6 Hedgerow Data'!$E$3:$I$15,MATCH(D204,'G-6 Hedgerow Data'!$B$3:$B$15,0),MATCH(H204,'G-6 Hedgerow Data'!$E$2:$I$2,0))))</f>
        <v/>
      </c>
      <c r="P204" s="195"/>
      <c r="Q204" s="195"/>
      <c r="R204" s="507" t="str">
        <f t="shared" si="13"/>
        <v/>
      </c>
      <c r="S204" s="521" t="str">
        <f t="shared" si="14"/>
        <v/>
      </c>
      <c r="T204" s="522" t="str">
        <f t="shared" ref="T204:T259" si="18">IF(D204="","",IF(LEFT(R204,5)="Error ▲","Check Data ⚠",VLOOKUP(S204,TemporalMultipliers,3,FALSE)))</f>
        <v/>
      </c>
      <c r="U204" s="537" t="str">
        <f>IF(D204="","",VLOOKUP(D204,'G-6 Hedgerow Data'!$B$3:$AG$15,31,FALSE))</f>
        <v/>
      </c>
      <c r="V204" s="520" t="str">
        <f t="shared" si="15"/>
        <v/>
      </c>
      <c r="W204" s="520" t="str">
        <f t="shared" si="16"/>
        <v/>
      </c>
      <c r="X204" s="524" t="str">
        <f>IF(F204="","",VLOOKUP(U204,'G-3 Multipliers'!$P$3:$Q$6,2,FALSE))</f>
        <v/>
      </c>
      <c r="Y204" s="529" t="str">
        <f t="shared" si="17"/>
        <v/>
      </c>
      <c r="Z204" s="149"/>
      <c r="AA204" s="150"/>
      <c r="AG204" s="31" t="str">
        <f>IFERROR(INDEX('G-6 Hedgerow Data'!$BJ$3:$BJ$15,MATCH(D204,'G-6 Hedgerow Data'!$B$3:$B$15,0)),"")</f>
        <v/>
      </c>
    </row>
    <row r="205" spans="2:33" ht="14" x14ac:dyDescent="0.3">
      <c r="B205" s="103">
        <v>194</v>
      </c>
      <c r="C205" s="268"/>
      <c r="D205" s="82"/>
      <c r="E205" s="203"/>
      <c r="F205" s="498" t="str">
        <f>IF(D205="","",VLOOKUP(D205,'G-6 Hedgerow Data'!$B$2:$AG$15,2,FALSE))</f>
        <v/>
      </c>
      <c r="G205" s="524" t="str">
        <f>IF(D205="","",VLOOKUP(D205,'G-6 Hedgerow Data'!$B$2:$AG$15,3,FALSE))</f>
        <v/>
      </c>
      <c r="H205" s="72"/>
      <c r="I205" s="499" t="str">
        <f>IFERROR(IF(AND(F205="V.Low",OR(H205="Good",H205="Moderate")),"Error ▲",VLOOKUP(H205,'G-1 All Habitats'!$Z$2:$AA$9,2,FALSE)),"")</f>
        <v/>
      </c>
      <c r="J205" s="146"/>
      <c r="K205" s="520" t="str">
        <f>IF(J205="","",IF(VLOOKUP(J205,'G-3 Multipliers'!$L$3:$N$6,2,FALSE)=0,"Spatial Data Missing",VLOOKUP(J205,'G-3 Multipliers'!$L$3:$N$6,2,FALSE)))</f>
        <v/>
      </c>
      <c r="L205" s="524" t="str">
        <f>IF(J205="","",IF(VLOOKUP(J205,'G-3 Multipliers'!$L$3:$N$6,3,FALSE)=0,"Spatial Data Missing",VLOOKUP(J205,'G-3 Multipliers'!$L$3:$N$6,3,FALSE)))</f>
        <v/>
      </c>
      <c r="M205" s="197"/>
      <c r="N205" s="499" t="str">
        <f>IF(M205="","",IF(VLOOKUP(M205,'G-3 Multipliers'!$S$3:$T$6,2,FALSE)=0,"Spatial Data Missing ⚠",VLOOKUP(M205,'G-3 Multipliers'!$S$3:$T$6,2,FALSE)))</f>
        <v/>
      </c>
      <c r="O205" s="498" t="str">
        <f>IF(OR(D205="",H205=""),"",(INDEX('G-6 Hedgerow Data'!$E$3:$I$15,MATCH(D205,'G-6 Hedgerow Data'!$B$3:$B$15,0),MATCH(H205,'G-6 Hedgerow Data'!$E$2:$I$2,0))))</f>
        <v/>
      </c>
      <c r="P205" s="195"/>
      <c r="Q205" s="195"/>
      <c r="R205" s="507" t="str">
        <f t="shared" ref="R205:R259" si="19">IF(D205="","",IF(AND(P205&gt;0,Q205&gt;0),"Error -both advance and delayed habitat creation ▲",IF(AND(OR(P205="Habitat already in target condition",O205&lt;=P205),Q205=0),"Check details - Is there evidence that habitat has reached target condition? ⚠",IF(O205="","",IF(P205&gt;0,"Check details - Is there evidence habitat creation started/in place? ⚠",IF(Q205&gt;0,"Check details- Delay in starting habitat in required condition? ⚠","Standard time to target condition applied"))))))</f>
        <v/>
      </c>
      <c r="S205" s="521" t="str">
        <f t="shared" ref="S205:S259" si="20">IF(O205="","",IF(LEFT(R205,5)="Error ▲","Check Data ⚠",IF(OR(P205="30+",P205="Habitat already in target condition"),0,IF(Q205="30+","30+",IF(AND(O205="30+",OR(P205="",P205=0)),"30+ ⚠",IF(AND(O205="30+",P205&gt;0),32-P205,IF(O205+Q205&gt;30,"30+ ⚠",IF(O205+Q205-P205&gt;0,O205+Q205-P205,IF(O205-P205&lt;0,0,O205+Q205-P205)))))))))</f>
        <v/>
      </c>
      <c r="T205" s="522" t="str">
        <f t="shared" si="18"/>
        <v/>
      </c>
      <c r="U205" s="537" t="str">
        <f>IF(D205="","",VLOOKUP(D205,'G-6 Hedgerow Data'!$B$3:$AG$15,31,FALSE))</f>
        <v/>
      </c>
      <c r="V205" s="520" t="str">
        <f t="shared" ref="V205:V259" si="21">IF(D205="","",IF(S205="Check Data ⚠","Check Data ⚠",IF(H205="","",IF($R205="Check details - Is there evidence that habitat has reached target condition? ⚠","Low Difficulty - only applicable if all habitat created before losses","Standard difficulty applied"))))</f>
        <v/>
      </c>
      <c r="W205" s="520" t="str">
        <f t="shared" ref="W205:W259" si="22">(IF(AND(V205="Standard difficulty applied",O205&gt;P205),U205,IF(AND(V205="Low Difficulty - only applicable if all habitat created before losses",P205&gt;=O205),"Low",U205)))</f>
        <v/>
      </c>
      <c r="X205" s="524" t="str">
        <f>IF(F205="","",VLOOKUP(U205,'G-3 Multipliers'!$P$3:$Q$6,2,FALSE))</f>
        <v/>
      </c>
      <c r="Y205" s="529" t="str">
        <f t="shared" ref="Y205:Y259" si="23">IFERROR(E205*G205*I205*L205*T205*X205*N205,"")</f>
        <v/>
      </c>
      <c r="Z205" s="149"/>
      <c r="AA205" s="150"/>
      <c r="AG205" s="31" t="str">
        <f>IFERROR(INDEX('G-6 Hedgerow Data'!$BJ$3:$BJ$15,MATCH(D205,'G-6 Hedgerow Data'!$B$3:$B$15,0)),"")</f>
        <v/>
      </c>
    </row>
    <row r="206" spans="2:33" ht="14" x14ac:dyDescent="0.3">
      <c r="B206" s="103">
        <v>195</v>
      </c>
      <c r="C206" s="268"/>
      <c r="D206" s="82"/>
      <c r="E206" s="203"/>
      <c r="F206" s="498" t="str">
        <f>IF(D206="","",VLOOKUP(D206,'G-6 Hedgerow Data'!$B$2:$AG$15,2,FALSE))</f>
        <v/>
      </c>
      <c r="G206" s="524" t="str">
        <f>IF(D206="","",VLOOKUP(D206,'G-6 Hedgerow Data'!$B$2:$AG$15,3,FALSE))</f>
        <v/>
      </c>
      <c r="H206" s="72"/>
      <c r="I206" s="499" t="str">
        <f>IFERROR(IF(AND(F206="V.Low",OR(H206="Good",H206="Moderate")),"Error ▲",VLOOKUP(H206,'G-1 All Habitats'!$Z$2:$AA$9,2,FALSE)),"")</f>
        <v/>
      </c>
      <c r="J206" s="146"/>
      <c r="K206" s="520" t="str">
        <f>IF(J206="","",IF(VLOOKUP(J206,'G-3 Multipliers'!$L$3:$N$6,2,FALSE)=0,"Spatial Data Missing",VLOOKUP(J206,'G-3 Multipliers'!$L$3:$N$6,2,FALSE)))</f>
        <v/>
      </c>
      <c r="L206" s="524" t="str">
        <f>IF(J206="","",IF(VLOOKUP(J206,'G-3 Multipliers'!$L$3:$N$6,3,FALSE)=0,"Spatial Data Missing",VLOOKUP(J206,'G-3 Multipliers'!$L$3:$N$6,3,FALSE)))</f>
        <v/>
      </c>
      <c r="M206" s="197"/>
      <c r="N206" s="499" t="str">
        <f>IF(M206="","",IF(VLOOKUP(M206,'G-3 Multipliers'!$S$3:$T$6,2,FALSE)=0,"Spatial Data Missing ⚠",VLOOKUP(M206,'G-3 Multipliers'!$S$3:$T$6,2,FALSE)))</f>
        <v/>
      </c>
      <c r="O206" s="498" t="str">
        <f>IF(OR(D206="",H206=""),"",(INDEX('G-6 Hedgerow Data'!$E$3:$I$15,MATCH(D206,'G-6 Hedgerow Data'!$B$3:$B$15,0),MATCH(H206,'G-6 Hedgerow Data'!$E$2:$I$2,0))))</f>
        <v/>
      </c>
      <c r="P206" s="195"/>
      <c r="Q206" s="195"/>
      <c r="R206" s="507" t="str">
        <f t="shared" si="19"/>
        <v/>
      </c>
      <c r="S206" s="521" t="str">
        <f t="shared" si="20"/>
        <v/>
      </c>
      <c r="T206" s="522" t="str">
        <f t="shared" si="18"/>
        <v/>
      </c>
      <c r="U206" s="537" t="str">
        <f>IF(D206="","",VLOOKUP(D206,'G-6 Hedgerow Data'!$B$3:$AG$15,31,FALSE))</f>
        <v/>
      </c>
      <c r="V206" s="520" t="str">
        <f t="shared" si="21"/>
        <v/>
      </c>
      <c r="W206" s="520" t="str">
        <f t="shared" si="22"/>
        <v/>
      </c>
      <c r="X206" s="524" t="str">
        <f>IF(F206="","",VLOOKUP(U206,'G-3 Multipliers'!$P$3:$Q$6,2,FALSE))</f>
        <v/>
      </c>
      <c r="Y206" s="529" t="str">
        <f t="shared" si="23"/>
        <v/>
      </c>
      <c r="Z206" s="149"/>
      <c r="AA206" s="150"/>
      <c r="AG206" s="31" t="str">
        <f>IFERROR(INDEX('G-6 Hedgerow Data'!$BJ$3:$BJ$15,MATCH(D206,'G-6 Hedgerow Data'!$B$3:$B$15,0)),"")</f>
        <v/>
      </c>
    </row>
    <row r="207" spans="2:33" ht="14" x14ac:dyDescent="0.3">
      <c r="B207" s="103">
        <v>196</v>
      </c>
      <c r="C207" s="268"/>
      <c r="D207" s="82"/>
      <c r="E207" s="203"/>
      <c r="F207" s="498" t="str">
        <f>IF(D207="","",VLOOKUP(D207,'G-6 Hedgerow Data'!$B$2:$AG$15,2,FALSE))</f>
        <v/>
      </c>
      <c r="G207" s="524" t="str">
        <f>IF(D207="","",VLOOKUP(D207,'G-6 Hedgerow Data'!$B$2:$AG$15,3,FALSE))</f>
        <v/>
      </c>
      <c r="H207" s="72"/>
      <c r="I207" s="499" t="str">
        <f>IFERROR(IF(AND(F207="V.Low",OR(H207="Good",H207="Moderate")),"Error ▲",VLOOKUP(H207,'G-1 All Habitats'!$Z$2:$AA$9,2,FALSE)),"")</f>
        <v/>
      </c>
      <c r="J207" s="146"/>
      <c r="K207" s="520" t="str">
        <f>IF(J207="","",IF(VLOOKUP(J207,'G-3 Multipliers'!$L$3:$N$6,2,FALSE)=0,"Spatial Data Missing",VLOOKUP(J207,'G-3 Multipliers'!$L$3:$N$6,2,FALSE)))</f>
        <v/>
      </c>
      <c r="L207" s="524" t="str">
        <f>IF(J207="","",IF(VLOOKUP(J207,'G-3 Multipliers'!$L$3:$N$6,3,FALSE)=0,"Spatial Data Missing",VLOOKUP(J207,'G-3 Multipliers'!$L$3:$N$6,3,FALSE)))</f>
        <v/>
      </c>
      <c r="M207" s="197"/>
      <c r="N207" s="499" t="str">
        <f>IF(M207="","",IF(VLOOKUP(M207,'G-3 Multipliers'!$S$3:$T$6,2,FALSE)=0,"Spatial Data Missing ⚠",VLOOKUP(M207,'G-3 Multipliers'!$S$3:$T$6,2,FALSE)))</f>
        <v/>
      </c>
      <c r="O207" s="498" t="str">
        <f>IF(OR(D207="",H207=""),"",(INDEX('G-6 Hedgerow Data'!$E$3:$I$15,MATCH(D207,'G-6 Hedgerow Data'!$B$3:$B$15,0),MATCH(H207,'G-6 Hedgerow Data'!$E$2:$I$2,0))))</f>
        <v/>
      </c>
      <c r="P207" s="195"/>
      <c r="Q207" s="195"/>
      <c r="R207" s="507" t="str">
        <f t="shared" si="19"/>
        <v/>
      </c>
      <c r="S207" s="521" t="str">
        <f t="shared" si="20"/>
        <v/>
      </c>
      <c r="T207" s="522" t="str">
        <f t="shared" si="18"/>
        <v/>
      </c>
      <c r="U207" s="537" t="str">
        <f>IF(D207="","",VLOOKUP(D207,'G-6 Hedgerow Data'!$B$3:$AG$15,31,FALSE))</f>
        <v/>
      </c>
      <c r="V207" s="520" t="str">
        <f t="shared" si="21"/>
        <v/>
      </c>
      <c r="W207" s="520" t="str">
        <f t="shared" si="22"/>
        <v/>
      </c>
      <c r="X207" s="524" t="str">
        <f>IF(F207="","",VLOOKUP(U207,'G-3 Multipliers'!$P$3:$Q$6,2,FALSE))</f>
        <v/>
      </c>
      <c r="Y207" s="529" t="str">
        <f t="shared" si="23"/>
        <v/>
      </c>
      <c r="Z207" s="149"/>
      <c r="AA207" s="150"/>
      <c r="AG207" s="31" t="str">
        <f>IFERROR(INDEX('G-6 Hedgerow Data'!$BJ$3:$BJ$15,MATCH(D207,'G-6 Hedgerow Data'!$B$3:$B$15,0)),"")</f>
        <v/>
      </c>
    </row>
    <row r="208" spans="2:33" ht="14" x14ac:dyDescent="0.3">
      <c r="B208" s="103">
        <v>197</v>
      </c>
      <c r="C208" s="268"/>
      <c r="D208" s="82"/>
      <c r="E208" s="203"/>
      <c r="F208" s="498" t="str">
        <f>IF(D208="","",VLOOKUP(D208,'G-6 Hedgerow Data'!$B$2:$AG$15,2,FALSE))</f>
        <v/>
      </c>
      <c r="G208" s="524" t="str">
        <f>IF(D208="","",VLOOKUP(D208,'G-6 Hedgerow Data'!$B$2:$AG$15,3,FALSE))</f>
        <v/>
      </c>
      <c r="H208" s="72"/>
      <c r="I208" s="499" t="str">
        <f>IFERROR(IF(AND(F208="V.Low",OR(H208="Good",H208="Moderate")),"Error ▲",VLOOKUP(H208,'G-1 All Habitats'!$Z$2:$AA$9,2,FALSE)),"")</f>
        <v/>
      </c>
      <c r="J208" s="146"/>
      <c r="K208" s="520" t="str">
        <f>IF(J208="","",IF(VLOOKUP(J208,'G-3 Multipliers'!$L$3:$N$6,2,FALSE)=0,"Spatial Data Missing",VLOOKUP(J208,'G-3 Multipliers'!$L$3:$N$6,2,FALSE)))</f>
        <v/>
      </c>
      <c r="L208" s="524" t="str">
        <f>IF(J208="","",IF(VLOOKUP(J208,'G-3 Multipliers'!$L$3:$N$6,3,FALSE)=0,"Spatial Data Missing",VLOOKUP(J208,'G-3 Multipliers'!$L$3:$N$6,3,FALSE)))</f>
        <v/>
      </c>
      <c r="M208" s="197"/>
      <c r="N208" s="499" t="str">
        <f>IF(M208="","",IF(VLOOKUP(M208,'G-3 Multipliers'!$S$3:$T$6,2,FALSE)=0,"Spatial Data Missing ⚠",VLOOKUP(M208,'G-3 Multipliers'!$S$3:$T$6,2,FALSE)))</f>
        <v/>
      </c>
      <c r="O208" s="498" t="str">
        <f>IF(OR(D208="",H208=""),"",(INDEX('G-6 Hedgerow Data'!$E$3:$I$15,MATCH(D208,'G-6 Hedgerow Data'!$B$3:$B$15,0),MATCH(H208,'G-6 Hedgerow Data'!$E$2:$I$2,0))))</f>
        <v/>
      </c>
      <c r="P208" s="195"/>
      <c r="Q208" s="195"/>
      <c r="R208" s="507" t="str">
        <f t="shared" si="19"/>
        <v/>
      </c>
      <c r="S208" s="521" t="str">
        <f t="shared" si="20"/>
        <v/>
      </c>
      <c r="T208" s="522" t="str">
        <f t="shared" si="18"/>
        <v/>
      </c>
      <c r="U208" s="537" t="str">
        <f>IF(D208="","",VLOOKUP(D208,'G-6 Hedgerow Data'!$B$3:$AG$15,31,FALSE))</f>
        <v/>
      </c>
      <c r="V208" s="520" t="str">
        <f t="shared" si="21"/>
        <v/>
      </c>
      <c r="W208" s="520" t="str">
        <f t="shared" si="22"/>
        <v/>
      </c>
      <c r="X208" s="524" t="str">
        <f>IF(F208="","",VLOOKUP(U208,'G-3 Multipliers'!$P$3:$Q$6,2,FALSE))</f>
        <v/>
      </c>
      <c r="Y208" s="529" t="str">
        <f t="shared" si="23"/>
        <v/>
      </c>
      <c r="Z208" s="149"/>
      <c r="AA208" s="150"/>
      <c r="AG208" s="31" t="str">
        <f>IFERROR(INDEX('G-6 Hedgerow Data'!$BJ$3:$BJ$15,MATCH(D208,'G-6 Hedgerow Data'!$B$3:$B$15,0)),"")</f>
        <v/>
      </c>
    </row>
    <row r="209" spans="2:33" ht="14" x14ac:dyDescent="0.3">
      <c r="B209" s="103">
        <v>198</v>
      </c>
      <c r="C209" s="268"/>
      <c r="D209" s="82"/>
      <c r="E209" s="203"/>
      <c r="F209" s="498" t="str">
        <f>IF(D209="","",VLOOKUP(D209,'G-6 Hedgerow Data'!$B$2:$AG$15,2,FALSE))</f>
        <v/>
      </c>
      <c r="G209" s="524" t="str">
        <f>IF(D209="","",VLOOKUP(D209,'G-6 Hedgerow Data'!$B$2:$AG$15,3,FALSE))</f>
        <v/>
      </c>
      <c r="H209" s="72"/>
      <c r="I209" s="499" t="str">
        <f>IFERROR(IF(AND(F209="V.Low",OR(H209="Good",H209="Moderate")),"Error ▲",VLOOKUP(H209,'G-1 All Habitats'!$Z$2:$AA$9,2,FALSE)),"")</f>
        <v/>
      </c>
      <c r="J209" s="146"/>
      <c r="K209" s="520" t="str">
        <f>IF(J209="","",IF(VLOOKUP(J209,'G-3 Multipliers'!$L$3:$N$6,2,FALSE)=0,"Spatial Data Missing",VLOOKUP(J209,'G-3 Multipliers'!$L$3:$N$6,2,FALSE)))</f>
        <v/>
      </c>
      <c r="L209" s="524" t="str">
        <f>IF(J209="","",IF(VLOOKUP(J209,'G-3 Multipliers'!$L$3:$N$6,3,FALSE)=0,"Spatial Data Missing",VLOOKUP(J209,'G-3 Multipliers'!$L$3:$N$6,3,FALSE)))</f>
        <v/>
      </c>
      <c r="M209" s="197"/>
      <c r="N209" s="499" t="str">
        <f>IF(M209="","",IF(VLOOKUP(M209,'G-3 Multipliers'!$S$3:$T$6,2,FALSE)=0,"Spatial Data Missing ⚠",VLOOKUP(M209,'G-3 Multipliers'!$S$3:$T$6,2,FALSE)))</f>
        <v/>
      </c>
      <c r="O209" s="498" t="str">
        <f>IF(OR(D209="",H209=""),"",(INDEX('G-6 Hedgerow Data'!$E$3:$I$15,MATCH(D209,'G-6 Hedgerow Data'!$B$3:$B$15,0),MATCH(H209,'G-6 Hedgerow Data'!$E$2:$I$2,0))))</f>
        <v/>
      </c>
      <c r="P209" s="195"/>
      <c r="Q209" s="195"/>
      <c r="R209" s="507" t="str">
        <f t="shared" si="19"/>
        <v/>
      </c>
      <c r="S209" s="521" t="str">
        <f t="shared" si="20"/>
        <v/>
      </c>
      <c r="T209" s="522" t="str">
        <f t="shared" si="18"/>
        <v/>
      </c>
      <c r="U209" s="537" t="str">
        <f>IF(D209="","",VLOOKUP(D209,'G-6 Hedgerow Data'!$B$3:$AG$15,31,FALSE))</f>
        <v/>
      </c>
      <c r="V209" s="520" t="str">
        <f t="shared" si="21"/>
        <v/>
      </c>
      <c r="W209" s="520" t="str">
        <f t="shared" si="22"/>
        <v/>
      </c>
      <c r="X209" s="524" t="str">
        <f>IF(F209="","",VLOOKUP(U209,'G-3 Multipliers'!$P$3:$Q$6,2,FALSE))</f>
        <v/>
      </c>
      <c r="Y209" s="529" t="str">
        <f t="shared" si="23"/>
        <v/>
      </c>
      <c r="Z209" s="149"/>
      <c r="AA209" s="150"/>
      <c r="AG209" s="31" t="str">
        <f>IFERROR(INDEX('G-6 Hedgerow Data'!$BJ$3:$BJ$15,MATCH(D209,'G-6 Hedgerow Data'!$B$3:$B$15,0)),"")</f>
        <v/>
      </c>
    </row>
    <row r="210" spans="2:33" ht="14" x14ac:dyDescent="0.3">
      <c r="B210" s="103">
        <v>199</v>
      </c>
      <c r="C210" s="268"/>
      <c r="D210" s="82"/>
      <c r="E210" s="203"/>
      <c r="F210" s="498" t="str">
        <f>IF(D210="","",VLOOKUP(D210,'G-6 Hedgerow Data'!$B$2:$AG$15,2,FALSE))</f>
        <v/>
      </c>
      <c r="G210" s="524" t="str">
        <f>IF(D210="","",VLOOKUP(D210,'G-6 Hedgerow Data'!$B$2:$AG$15,3,FALSE))</f>
        <v/>
      </c>
      <c r="H210" s="72"/>
      <c r="I210" s="499" t="str">
        <f>IFERROR(IF(AND(F210="V.Low",OR(H210="Good",H210="Moderate")),"Error ▲",VLOOKUP(H210,'G-1 All Habitats'!$Z$2:$AA$9,2,FALSE)),"")</f>
        <v/>
      </c>
      <c r="J210" s="146"/>
      <c r="K210" s="520" t="str">
        <f>IF(J210="","",IF(VLOOKUP(J210,'G-3 Multipliers'!$L$3:$N$6,2,FALSE)=0,"Spatial Data Missing",VLOOKUP(J210,'G-3 Multipliers'!$L$3:$N$6,2,FALSE)))</f>
        <v/>
      </c>
      <c r="L210" s="524" t="str">
        <f>IF(J210="","",IF(VLOOKUP(J210,'G-3 Multipliers'!$L$3:$N$6,3,FALSE)=0,"Spatial Data Missing",VLOOKUP(J210,'G-3 Multipliers'!$L$3:$N$6,3,FALSE)))</f>
        <v/>
      </c>
      <c r="M210" s="197"/>
      <c r="N210" s="499" t="str">
        <f>IF(M210="","",IF(VLOOKUP(M210,'G-3 Multipliers'!$S$3:$T$6,2,FALSE)=0,"Spatial Data Missing ⚠",VLOOKUP(M210,'G-3 Multipliers'!$S$3:$T$6,2,FALSE)))</f>
        <v/>
      </c>
      <c r="O210" s="498" t="str">
        <f>IF(OR(D210="",H210=""),"",(INDEX('G-6 Hedgerow Data'!$E$3:$I$15,MATCH(D210,'G-6 Hedgerow Data'!$B$3:$B$15,0),MATCH(H210,'G-6 Hedgerow Data'!$E$2:$I$2,0))))</f>
        <v/>
      </c>
      <c r="P210" s="195"/>
      <c r="Q210" s="195"/>
      <c r="R210" s="507" t="str">
        <f t="shared" si="19"/>
        <v/>
      </c>
      <c r="S210" s="521" t="str">
        <f t="shared" si="20"/>
        <v/>
      </c>
      <c r="T210" s="522" t="str">
        <f t="shared" si="18"/>
        <v/>
      </c>
      <c r="U210" s="537" t="str">
        <f>IF(D210="","",VLOOKUP(D210,'G-6 Hedgerow Data'!$B$3:$AG$15,31,FALSE))</f>
        <v/>
      </c>
      <c r="V210" s="520" t="str">
        <f t="shared" si="21"/>
        <v/>
      </c>
      <c r="W210" s="520" t="str">
        <f t="shared" si="22"/>
        <v/>
      </c>
      <c r="X210" s="524" t="str">
        <f>IF(F210="","",VLOOKUP(U210,'G-3 Multipliers'!$P$3:$Q$6,2,FALSE))</f>
        <v/>
      </c>
      <c r="Y210" s="529" t="str">
        <f t="shared" si="23"/>
        <v/>
      </c>
      <c r="Z210" s="149"/>
      <c r="AA210" s="150"/>
      <c r="AG210" s="31" t="str">
        <f>IFERROR(INDEX('G-6 Hedgerow Data'!$BJ$3:$BJ$15,MATCH(D210,'G-6 Hedgerow Data'!$B$3:$B$15,0)),"")</f>
        <v/>
      </c>
    </row>
    <row r="211" spans="2:33" ht="14" x14ac:dyDescent="0.3">
      <c r="B211" s="103">
        <v>200</v>
      </c>
      <c r="C211" s="268"/>
      <c r="D211" s="82"/>
      <c r="E211" s="203"/>
      <c r="F211" s="498" t="str">
        <f>IF(D211="","",VLOOKUP(D211,'G-6 Hedgerow Data'!$B$2:$AG$15,2,FALSE))</f>
        <v/>
      </c>
      <c r="G211" s="524" t="str">
        <f>IF(D211="","",VLOOKUP(D211,'G-6 Hedgerow Data'!$B$2:$AG$15,3,FALSE))</f>
        <v/>
      </c>
      <c r="H211" s="72"/>
      <c r="I211" s="499" t="str">
        <f>IFERROR(IF(AND(F211="V.Low",OR(H211="Good",H211="Moderate")),"Error ▲",VLOOKUP(H211,'G-1 All Habitats'!$Z$2:$AA$9,2,FALSE)),"")</f>
        <v/>
      </c>
      <c r="J211" s="146"/>
      <c r="K211" s="520" t="str">
        <f>IF(J211="","",IF(VLOOKUP(J211,'G-3 Multipliers'!$L$3:$N$6,2,FALSE)=0,"Spatial Data Missing",VLOOKUP(J211,'G-3 Multipliers'!$L$3:$N$6,2,FALSE)))</f>
        <v/>
      </c>
      <c r="L211" s="524" t="str">
        <f>IF(J211="","",IF(VLOOKUP(J211,'G-3 Multipliers'!$L$3:$N$6,3,FALSE)=0,"Spatial Data Missing",VLOOKUP(J211,'G-3 Multipliers'!$L$3:$N$6,3,FALSE)))</f>
        <v/>
      </c>
      <c r="M211" s="197"/>
      <c r="N211" s="499" t="str">
        <f>IF(M211="","",IF(VLOOKUP(M211,'G-3 Multipliers'!$S$3:$T$6,2,FALSE)=0,"Spatial Data Missing ⚠",VLOOKUP(M211,'G-3 Multipliers'!$S$3:$T$6,2,FALSE)))</f>
        <v/>
      </c>
      <c r="O211" s="498" t="str">
        <f>IF(OR(D211="",H211=""),"",(INDEX('G-6 Hedgerow Data'!$E$3:$I$15,MATCH(D211,'G-6 Hedgerow Data'!$B$3:$B$15,0),MATCH(H211,'G-6 Hedgerow Data'!$E$2:$I$2,0))))</f>
        <v/>
      </c>
      <c r="P211" s="195"/>
      <c r="Q211" s="195"/>
      <c r="R211" s="507" t="str">
        <f t="shared" si="19"/>
        <v/>
      </c>
      <c r="S211" s="521" t="str">
        <f t="shared" si="20"/>
        <v/>
      </c>
      <c r="T211" s="522" t="str">
        <f t="shared" si="18"/>
        <v/>
      </c>
      <c r="U211" s="537" t="str">
        <f>IF(D211="","",VLOOKUP(D211,'G-6 Hedgerow Data'!$B$3:$AG$15,31,FALSE))</f>
        <v/>
      </c>
      <c r="V211" s="520" t="str">
        <f t="shared" si="21"/>
        <v/>
      </c>
      <c r="W211" s="520" t="str">
        <f t="shared" si="22"/>
        <v/>
      </c>
      <c r="X211" s="524" t="str">
        <f>IF(F211="","",VLOOKUP(U211,'G-3 Multipliers'!$P$3:$Q$6,2,FALSE))</f>
        <v/>
      </c>
      <c r="Y211" s="529" t="str">
        <f t="shared" si="23"/>
        <v/>
      </c>
      <c r="Z211" s="149"/>
      <c r="AA211" s="150"/>
      <c r="AG211" s="31" t="str">
        <f>IFERROR(INDEX('G-6 Hedgerow Data'!$BJ$3:$BJ$15,MATCH(D211,'G-6 Hedgerow Data'!$B$3:$B$15,0)),"")</f>
        <v/>
      </c>
    </row>
    <row r="212" spans="2:33" ht="14" x14ac:dyDescent="0.3">
      <c r="B212" s="103">
        <v>201</v>
      </c>
      <c r="C212" s="268"/>
      <c r="D212" s="82"/>
      <c r="E212" s="203"/>
      <c r="F212" s="498" t="str">
        <f>IF(D212="","",VLOOKUP(D212,'G-6 Hedgerow Data'!$B$2:$AG$15,2,FALSE))</f>
        <v/>
      </c>
      <c r="G212" s="524" t="str">
        <f>IF(D212="","",VLOOKUP(D212,'G-6 Hedgerow Data'!$B$2:$AG$15,3,FALSE))</f>
        <v/>
      </c>
      <c r="H212" s="72"/>
      <c r="I212" s="499" t="str">
        <f>IFERROR(IF(AND(F212="V.Low",OR(H212="Good",H212="Moderate")),"Error ▲",VLOOKUP(H212,'G-1 All Habitats'!$Z$2:$AA$9,2,FALSE)),"")</f>
        <v/>
      </c>
      <c r="J212" s="146"/>
      <c r="K212" s="520" t="str">
        <f>IF(J212="","",IF(VLOOKUP(J212,'G-3 Multipliers'!$L$3:$N$6,2,FALSE)=0,"Spatial Data Missing",VLOOKUP(J212,'G-3 Multipliers'!$L$3:$N$6,2,FALSE)))</f>
        <v/>
      </c>
      <c r="L212" s="524" t="str">
        <f>IF(J212="","",IF(VLOOKUP(J212,'G-3 Multipliers'!$L$3:$N$6,3,FALSE)=0,"Spatial Data Missing",VLOOKUP(J212,'G-3 Multipliers'!$L$3:$N$6,3,FALSE)))</f>
        <v/>
      </c>
      <c r="M212" s="197"/>
      <c r="N212" s="499" t="str">
        <f>IF(M212="","",IF(VLOOKUP(M212,'G-3 Multipliers'!$S$3:$T$6,2,FALSE)=0,"Spatial Data Missing ⚠",VLOOKUP(M212,'G-3 Multipliers'!$S$3:$T$6,2,FALSE)))</f>
        <v/>
      </c>
      <c r="O212" s="498" t="str">
        <f>IF(OR(D212="",H212=""),"",(INDEX('G-6 Hedgerow Data'!$E$3:$I$15,MATCH(D212,'G-6 Hedgerow Data'!$B$3:$B$15,0),MATCH(H212,'G-6 Hedgerow Data'!$E$2:$I$2,0))))</f>
        <v/>
      </c>
      <c r="P212" s="195"/>
      <c r="Q212" s="195"/>
      <c r="R212" s="507" t="str">
        <f t="shared" si="19"/>
        <v/>
      </c>
      <c r="S212" s="521" t="str">
        <f t="shared" si="20"/>
        <v/>
      </c>
      <c r="T212" s="522" t="str">
        <f t="shared" si="18"/>
        <v/>
      </c>
      <c r="U212" s="537" t="str">
        <f>IF(D212="","",VLOOKUP(D212,'G-6 Hedgerow Data'!$B$3:$AG$15,31,FALSE))</f>
        <v/>
      </c>
      <c r="V212" s="520" t="str">
        <f t="shared" si="21"/>
        <v/>
      </c>
      <c r="W212" s="520" t="str">
        <f t="shared" si="22"/>
        <v/>
      </c>
      <c r="X212" s="524" t="str">
        <f>IF(F212="","",VLOOKUP(U212,'G-3 Multipliers'!$P$3:$Q$6,2,FALSE))</f>
        <v/>
      </c>
      <c r="Y212" s="529" t="str">
        <f t="shared" si="23"/>
        <v/>
      </c>
      <c r="Z212" s="149"/>
      <c r="AA212" s="150"/>
      <c r="AG212" s="31" t="str">
        <f>IFERROR(INDEX('G-6 Hedgerow Data'!$BJ$3:$BJ$15,MATCH(D212,'G-6 Hedgerow Data'!$B$3:$B$15,0)),"")</f>
        <v/>
      </c>
    </row>
    <row r="213" spans="2:33" ht="14" x14ac:dyDescent="0.3">
      <c r="B213" s="103">
        <v>202</v>
      </c>
      <c r="C213" s="268"/>
      <c r="D213" s="82"/>
      <c r="E213" s="203"/>
      <c r="F213" s="498" t="str">
        <f>IF(D213="","",VLOOKUP(D213,'G-6 Hedgerow Data'!$B$2:$AG$15,2,FALSE))</f>
        <v/>
      </c>
      <c r="G213" s="524" t="str">
        <f>IF(D213="","",VLOOKUP(D213,'G-6 Hedgerow Data'!$B$2:$AG$15,3,FALSE))</f>
        <v/>
      </c>
      <c r="H213" s="72"/>
      <c r="I213" s="499" t="str">
        <f>IFERROR(IF(AND(F213="V.Low",OR(H213="Good",H213="Moderate")),"Error ▲",VLOOKUP(H213,'G-1 All Habitats'!$Z$2:$AA$9,2,FALSE)),"")</f>
        <v/>
      </c>
      <c r="J213" s="146"/>
      <c r="K213" s="520" t="str">
        <f>IF(J213="","",IF(VLOOKUP(J213,'G-3 Multipliers'!$L$3:$N$6,2,FALSE)=0,"Spatial Data Missing",VLOOKUP(J213,'G-3 Multipliers'!$L$3:$N$6,2,FALSE)))</f>
        <v/>
      </c>
      <c r="L213" s="524" t="str">
        <f>IF(J213="","",IF(VLOOKUP(J213,'G-3 Multipliers'!$L$3:$N$6,3,FALSE)=0,"Spatial Data Missing",VLOOKUP(J213,'G-3 Multipliers'!$L$3:$N$6,3,FALSE)))</f>
        <v/>
      </c>
      <c r="M213" s="197"/>
      <c r="N213" s="499" t="str">
        <f>IF(M213="","",IF(VLOOKUP(M213,'G-3 Multipliers'!$S$3:$T$6,2,FALSE)=0,"Spatial Data Missing ⚠",VLOOKUP(M213,'G-3 Multipliers'!$S$3:$T$6,2,FALSE)))</f>
        <v/>
      </c>
      <c r="O213" s="498" t="str">
        <f>IF(OR(D213="",H213=""),"",(INDEX('G-6 Hedgerow Data'!$E$3:$I$15,MATCH(D213,'G-6 Hedgerow Data'!$B$3:$B$15,0),MATCH(H213,'G-6 Hedgerow Data'!$E$2:$I$2,0))))</f>
        <v/>
      </c>
      <c r="P213" s="195"/>
      <c r="Q213" s="195"/>
      <c r="R213" s="507" t="str">
        <f t="shared" si="19"/>
        <v/>
      </c>
      <c r="S213" s="521" t="str">
        <f t="shared" si="20"/>
        <v/>
      </c>
      <c r="T213" s="522" t="str">
        <f t="shared" si="18"/>
        <v/>
      </c>
      <c r="U213" s="537" t="str">
        <f>IF(D213="","",VLOOKUP(D213,'G-6 Hedgerow Data'!$B$3:$AG$15,31,FALSE))</f>
        <v/>
      </c>
      <c r="V213" s="520" t="str">
        <f t="shared" si="21"/>
        <v/>
      </c>
      <c r="W213" s="520" t="str">
        <f t="shared" si="22"/>
        <v/>
      </c>
      <c r="X213" s="524" t="str">
        <f>IF(F213="","",VLOOKUP(U213,'G-3 Multipliers'!$P$3:$Q$6,2,FALSE))</f>
        <v/>
      </c>
      <c r="Y213" s="529" t="str">
        <f t="shared" si="23"/>
        <v/>
      </c>
      <c r="Z213" s="149"/>
      <c r="AA213" s="150"/>
      <c r="AG213" s="31" t="str">
        <f>IFERROR(INDEX('G-6 Hedgerow Data'!$BJ$3:$BJ$15,MATCH(D213,'G-6 Hedgerow Data'!$B$3:$B$15,0)),"")</f>
        <v/>
      </c>
    </row>
    <row r="214" spans="2:33" ht="14" x14ac:dyDescent="0.3">
      <c r="B214" s="103">
        <v>203</v>
      </c>
      <c r="C214" s="268"/>
      <c r="D214" s="82"/>
      <c r="E214" s="203"/>
      <c r="F214" s="498" t="str">
        <f>IF(D214="","",VLOOKUP(D214,'G-6 Hedgerow Data'!$B$2:$AG$15,2,FALSE))</f>
        <v/>
      </c>
      <c r="G214" s="524" t="str">
        <f>IF(D214="","",VLOOKUP(D214,'G-6 Hedgerow Data'!$B$2:$AG$15,3,FALSE))</f>
        <v/>
      </c>
      <c r="H214" s="72"/>
      <c r="I214" s="499" t="str">
        <f>IFERROR(IF(AND(F214="V.Low",OR(H214="Good",H214="Moderate")),"Error ▲",VLOOKUP(H214,'G-1 All Habitats'!$Z$2:$AA$9,2,FALSE)),"")</f>
        <v/>
      </c>
      <c r="J214" s="146"/>
      <c r="K214" s="520" t="str">
        <f>IF(J214="","",IF(VLOOKUP(J214,'G-3 Multipliers'!$L$3:$N$6,2,FALSE)=0,"Spatial Data Missing",VLOOKUP(J214,'G-3 Multipliers'!$L$3:$N$6,2,FALSE)))</f>
        <v/>
      </c>
      <c r="L214" s="524" t="str">
        <f>IF(J214="","",IF(VLOOKUP(J214,'G-3 Multipliers'!$L$3:$N$6,3,FALSE)=0,"Spatial Data Missing",VLOOKUP(J214,'G-3 Multipliers'!$L$3:$N$6,3,FALSE)))</f>
        <v/>
      </c>
      <c r="M214" s="197"/>
      <c r="N214" s="499" t="str">
        <f>IF(M214="","",IF(VLOOKUP(M214,'G-3 Multipliers'!$S$3:$T$6,2,FALSE)=0,"Spatial Data Missing ⚠",VLOOKUP(M214,'G-3 Multipliers'!$S$3:$T$6,2,FALSE)))</f>
        <v/>
      </c>
      <c r="O214" s="498" t="str">
        <f>IF(OR(D214="",H214=""),"",(INDEX('G-6 Hedgerow Data'!$E$3:$I$15,MATCH(D214,'G-6 Hedgerow Data'!$B$3:$B$15,0),MATCH(H214,'G-6 Hedgerow Data'!$E$2:$I$2,0))))</f>
        <v/>
      </c>
      <c r="P214" s="195"/>
      <c r="Q214" s="195"/>
      <c r="R214" s="507" t="str">
        <f t="shared" si="19"/>
        <v/>
      </c>
      <c r="S214" s="521" t="str">
        <f t="shared" si="20"/>
        <v/>
      </c>
      <c r="T214" s="522" t="str">
        <f t="shared" si="18"/>
        <v/>
      </c>
      <c r="U214" s="537" t="str">
        <f>IF(D214="","",VLOOKUP(D214,'G-6 Hedgerow Data'!$B$3:$AG$15,31,FALSE))</f>
        <v/>
      </c>
      <c r="V214" s="520" t="str">
        <f t="shared" si="21"/>
        <v/>
      </c>
      <c r="W214" s="520" t="str">
        <f t="shared" si="22"/>
        <v/>
      </c>
      <c r="X214" s="524" t="str">
        <f>IF(F214="","",VLOOKUP(U214,'G-3 Multipliers'!$P$3:$Q$6,2,FALSE))</f>
        <v/>
      </c>
      <c r="Y214" s="529" t="str">
        <f t="shared" si="23"/>
        <v/>
      </c>
      <c r="Z214" s="149"/>
      <c r="AA214" s="150"/>
      <c r="AG214" s="31" t="str">
        <f>IFERROR(INDEX('G-6 Hedgerow Data'!$BJ$3:$BJ$15,MATCH(D214,'G-6 Hedgerow Data'!$B$3:$B$15,0)),"")</f>
        <v/>
      </c>
    </row>
    <row r="215" spans="2:33" ht="14" x14ac:dyDescent="0.3">
      <c r="B215" s="103">
        <v>204</v>
      </c>
      <c r="C215" s="268"/>
      <c r="D215" s="82"/>
      <c r="E215" s="203"/>
      <c r="F215" s="498" t="str">
        <f>IF(D215="","",VLOOKUP(D215,'G-6 Hedgerow Data'!$B$2:$AG$15,2,FALSE))</f>
        <v/>
      </c>
      <c r="G215" s="524" t="str">
        <f>IF(D215="","",VLOOKUP(D215,'G-6 Hedgerow Data'!$B$2:$AG$15,3,FALSE))</f>
        <v/>
      </c>
      <c r="H215" s="72"/>
      <c r="I215" s="499" t="str">
        <f>IFERROR(IF(AND(F215="V.Low",OR(H215="Good",H215="Moderate")),"Error ▲",VLOOKUP(H215,'G-1 All Habitats'!$Z$2:$AA$9,2,FALSE)),"")</f>
        <v/>
      </c>
      <c r="J215" s="146"/>
      <c r="K215" s="520" t="str">
        <f>IF(J215="","",IF(VLOOKUP(J215,'G-3 Multipliers'!$L$3:$N$6,2,FALSE)=0,"Spatial Data Missing",VLOOKUP(J215,'G-3 Multipliers'!$L$3:$N$6,2,FALSE)))</f>
        <v/>
      </c>
      <c r="L215" s="524" t="str">
        <f>IF(J215="","",IF(VLOOKUP(J215,'G-3 Multipliers'!$L$3:$N$6,3,FALSE)=0,"Spatial Data Missing",VLOOKUP(J215,'G-3 Multipliers'!$L$3:$N$6,3,FALSE)))</f>
        <v/>
      </c>
      <c r="M215" s="197"/>
      <c r="N215" s="499" t="str">
        <f>IF(M215="","",IF(VLOOKUP(M215,'G-3 Multipliers'!$S$3:$T$6,2,FALSE)=0,"Spatial Data Missing ⚠",VLOOKUP(M215,'G-3 Multipliers'!$S$3:$T$6,2,FALSE)))</f>
        <v/>
      </c>
      <c r="O215" s="498" t="str">
        <f>IF(OR(D215="",H215=""),"",(INDEX('G-6 Hedgerow Data'!$E$3:$I$15,MATCH(D215,'G-6 Hedgerow Data'!$B$3:$B$15,0),MATCH(H215,'G-6 Hedgerow Data'!$E$2:$I$2,0))))</f>
        <v/>
      </c>
      <c r="P215" s="195"/>
      <c r="Q215" s="195"/>
      <c r="R215" s="507" t="str">
        <f t="shared" si="19"/>
        <v/>
      </c>
      <c r="S215" s="521" t="str">
        <f t="shared" si="20"/>
        <v/>
      </c>
      <c r="T215" s="522" t="str">
        <f t="shared" si="18"/>
        <v/>
      </c>
      <c r="U215" s="537" t="str">
        <f>IF(D215="","",VLOOKUP(D215,'G-6 Hedgerow Data'!$B$3:$AG$15,31,FALSE))</f>
        <v/>
      </c>
      <c r="V215" s="520" t="str">
        <f t="shared" si="21"/>
        <v/>
      </c>
      <c r="W215" s="520" t="str">
        <f t="shared" si="22"/>
        <v/>
      </c>
      <c r="X215" s="524" t="str">
        <f>IF(F215="","",VLOOKUP(U215,'G-3 Multipliers'!$P$3:$Q$6,2,FALSE))</f>
        <v/>
      </c>
      <c r="Y215" s="529" t="str">
        <f t="shared" si="23"/>
        <v/>
      </c>
      <c r="Z215" s="149"/>
      <c r="AA215" s="150"/>
      <c r="AG215" s="31" t="str">
        <f>IFERROR(INDEX('G-6 Hedgerow Data'!$BJ$3:$BJ$15,MATCH(D215,'G-6 Hedgerow Data'!$B$3:$B$15,0)),"")</f>
        <v/>
      </c>
    </row>
    <row r="216" spans="2:33" ht="14" x14ac:dyDescent="0.3">
      <c r="B216" s="103">
        <v>205</v>
      </c>
      <c r="C216" s="268"/>
      <c r="D216" s="82"/>
      <c r="E216" s="203"/>
      <c r="F216" s="498" t="str">
        <f>IF(D216="","",VLOOKUP(D216,'G-6 Hedgerow Data'!$B$2:$AG$15,2,FALSE))</f>
        <v/>
      </c>
      <c r="G216" s="524" t="str">
        <f>IF(D216="","",VLOOKUP(D216,'G-6 Hedgerow Data'!$B$2:$AG$15,3,FALSE))</f>
        <v/>
      </c>
      <c r="H216" s="72"/>
      <c r="I216" s="499" t="str">
        <f>IFERROR(IF(AND(F216="V.Low",OR(H216="Good",H216="Moderate")),"Error ▲",VLOOKUP(H216,'G-1 All Habitats'!$Z$2:$AA$9,2,FALSE)),"")</f>
        <v/>
      </c>
      <c r="J216" s="146"/>
      <c r="K216" s="520" t="str">
        <f>IF(J216="","",IF(VLOOKUP(J216,'G-3 Multipliers'!$L$3:$N$6,2,FALSE)=0,"Spatial Data Missing",VLOOKUP(J216,'G-3 Multipliers'!$L$3:$N$6,2,FALSE)))</f>
        <v/>
      </c>
      <c r="L216" s="524" t="str">
        <f>IF(J216="","",IF(VLOOKUP(J216,'G-3 Multipliers'!$L$3:$N$6,3,FALSE)=0,"Spatial Data Missing",VLOOKUP(J216,'G-3 Multipliers'!$L$3:$N$6,3,FALSE)))</f>
        <v/>
      </c>
      <c r="M216" s="197"/>
      <c r="N216" s="499" t="str">
        <f>IF(M216="","",IF(VLOOKUP(M216,'G-3 Multipliers'!$S$3:$T$6,2,FALSE)=0,"Spatial Data Missing ⚠",VLOOKUP(M216,'G-3 Multipliers'!$S$3:$T$6,2,FALSE)))</f>
        <v/>
      </c>
      <c r="O216" s="498" t="str">
        <f>IF(OR(D216="",H216=""),"",(INDEX('G-6 Hedgerow Data'!$E$3:$I$15,MATCH(D216,'G-6 Hedgerow Data'!$B$3:$B$15,0),MATCH(H216,'G-6 Hedgerow Data'!$E$2:$I$2,0))))</f>
        <v/>
      </c>
      <c r="P216" s="195"/>
      <c r="Q216" s="195"/>
      <c r="R216" s="507" t="str">
        <f t="shared" si="19"/>
        <v/>
      </c>
      <c r="S216" s="521" t="str">
        <f t="shared" si="20"/>
        <v/>
      </c>
      <c r="T216" s="522" t="str">
        <f t="shared" si="18"/>
        <v/>
      </c>
      <c r="U216" s="537" t="str">
        <f>IF(D216="","",VLOOKUP(D216,'G-6 Hedgerow Data'!$B$3:$AG$15,31,FALSE))</f>
        <v/>
      </c>
      <c r="V216" s="520" t="str">
        <f t="shared" si="21"/>
        <v/>
      </c>
      <c r="W216" s="520" t="str">
        <f t="shared" si="22"/>
        <v/>
      </c>
      <c r="X216" s="524" t="str">
        <f>IF(F216="","",VLOOKUP(U216,'G-3 Multipliers'!$P$3:$Q$6,2,FALSE))</f>
        <v/>
      </c>
      <c r="Y216" s="529" t="str">
        <f t="shared" si="23"/>
        <v/>
      </c>
      <c r="Z216" s="149"/>
      <c r="AA216" s="150"/>
      <c r="AG216" s="31" t="str">
        <f>IFERROR(INDEX('G-6 Hedgerow Data'!$BJ$3:$BJ$15,MATCH(D216,'G-6 Hedgerow Data'!$B$3:$B$15,0)),"")</f>
        <v/>
      </c>
    </row>
    <row r="217" spans="2:33" ht="14" x14ac:dyDescent="0.3">
      <c r="B217" s="103">
        <v>206</v>
      </c>
      <c r="C217" s="268"/>
      <c r="D217" s="82"/>
      <c r="E217" s="203"/>
      <c r="F217" s="498" t="str">
        <f>IF(D217="","",VLOOKUP(D217,'G-6 Hedgerow Data'!$B$2:$AG$15,2,FALSE))</f>
        <v/>
      </c>
      <c r="G217" s="524" t="str">
        <f>IF(D217="","",VLOOKUP(D217,'G-6 Hedgerow Data'!$B$2:$AG$15,3,FALSE))</f>
        <v/>
      </c>
      <c r="H217" s="72"/>
      <c r="I217" s="499" t="str">
        <f>IFERROR(IF(AND(F217="V.Low",OR(H217="Good",H217="Moderate")),"Error ▲",VLOOKUP(H217,'G-1 All Habitats'!$Z$2:$AA$9,2,FALSE)),"")</f>
        <v/>
      </c>
      <c r="J217" s="146"/>
      <c r="K217" s="520" t="str">
        <f>IF(J217="","",IF(VLOOKUP(J217,'G-3 Multipliers'!$L$3:$N$6,2,FALSE)=0,"Spatial Data Missing",VLOOKUP(J217,'G-3 Multipliers'!$L$3:$N$6,2,FALSE)))</f>
        <v/>
      </c>
      <c r="L217" s="524" t="str">
        <f>IF(J217="","",IF(VLOOKUP(J217,'G-3 Multipliers'!$L$3:$N$6,3,FALSE)=0,"Spatial Data Missing",VLOOKUP(J217,'G-3 Multipliers'!$L$3:$N$6,3,FALSE)))</f>
        <v/>
      </c>
      <c r="M217" s="197"/>
      <c r="N217" s="499" t="str">
        <f>IF(M217="","",IF(VLOOKUP(M217,'G-3 Multipliers'!$S$3:$T$6,2,FALSE)=0,"Spatial Data Missing ⚠",VLOOKUP(M217,'G-3 Multipliers'!$S$3:$T$6,2,FALSE)))</f>
        <v/>
      </c>
      <c r="O217" s="498" t="str">
        <f>IF(OR(D217="",H217=""),"",(INDEX('G-6 Hedgerow Data'!$E$3:$I$15,MATCH(D217,'G-6 Hedgerow Data'!$B$3:$B$15,0),MATCH(H217,'G-6 Hedgerow Data'!$E$2:$I$2,0))))</f>
        <v/>
      </c>
      <c r="P217" s="195"/>
      <c r="Q217" s="195"/>
      <c r="R217" s="507" t="str">
        <f t="shared" si="19"/>
        <v/>
      </c>
      <c r="S217" s="521" t="str">
        <f t="shared" si="20"/>
        <v/>
      </c>
      <c r="T217" s="522" t="str">
        <f t="shared" si="18"/>
        <v/>
      </c>
      <c r="U217" s="537" t="str">
        <f>IF(D217="","",VLOOKUP(D217,'G-6 Hedgerow Data'!$B$3:$AG$15,31,FALSE))</f>
        <v/>
      </c>
      <c r="V217" s="520" t="str">
        <f t="shared" si="21"/>
        <v/>
      </c>
      <c r="W217" s="520" t="str">
        <f t="shared" si="22"/>
        <v/>
      </c>
      <c r="X217" s="524" t="str">
        <f>IF(F217="","",VLOOKUP(U217,'G-3 Multipliers'!$P$3:$Q$6,2,FALSE))</f>
        <v/>
      </c>
      <c r="Y217" s="529" t="str">
        <f t="shared" si="23"/>
        <v/>
      </c>
      <c r="Z217" s="149"/>
      <c r="AA217" s="150"/>
      <c r="AG217" s="31" t="str">
        <f>IFERROR(INDEX('G-6 Hedgerow Data'!$BJ$3:$BJ$15,MATCH(D217,'G-6 Hedgerow Data'!$B$3:$B$15,0)),"")</f>
        <v/>
      </c>
    </row>
    <row r="218" spans="2:33" ht="14" x14ac:dyDescent="0.3">
      <c r="B218" s="103">
        <v>207</v>
      </c>
      <c r="C218" s="268"/>
      <c r="D218" s="82"/>
      <c r="E218" s="203"/>
      <c r="F218" s="498" t="str">
        <f>IF(D218="","",VLOOKUP(D218,'G-6 Hedgerow Data'!$B$2:$AG$15,2,FALSE))</f>
        <v/>
      </c>
      <c r="G218" s="524" t="str">
        <f>IF(D218="","",VLOOKUP(D218,'G-6 Hedgerow Data'!$B$2:$AG$15,3,FALSE))</f>
        <v/>
      </c>
      <c r="H218" s="72"/>
      <c r="I218" s="499" t="str">
        <f>IFERROR(IF(AND(F218="V.Low",OR(H218="Good",H218="Moderate")),"Error ▲",VLOOKUP(H218,'G-1 All Habitats'!$Z$2:$AA$9,2,FALSE)),"")</f>
        <v/>
      </c>
      <c r="J218" s="146"/>
      <c r="K218" s="520" t="str">
        <f>IF(J218="","",IF(VLOOKUP(J218,'G-3 Multipliers'!$L$3:$N$6,2,FALSE)=0,"Spatial Data Missing",VLOOKUP(J218,'G-3 Multipliers'!$L$3:$N$6,2,FALSE)))</f>
        <v/>
      </c>
      <c r="L218" s="524" t="str">
        <f>IF(J218="","",IF(VLOOKUP(J218,'G-3 Multipliers'!$L$3:$N$6,3,FALSE)=0,"Spatial Data Missing",VLOOKUP(J218,'G-3 Multipliers'!$L$3:$N$6,3,FALSE)))</f>
        <v/>
      </c>
      <c r="M218" s="197"/>
      <c r="N218" s="499" t="str">
        <f>IF(M218="","",IF(VLOOKUP(M218,'G-3 Multipliers'!$S$3:$T$6,2,FALSE)=0,"Spatial Data Missing ⚠",VLOOKUP(M218,'G-3 Multipliers'!$S$3:$T$6,2,FALSE)))</f>
        <v/>
      </c>
      <c r="O218" s="498" t="str">
        <f>IF(OR(D218="",H218=""),"",(INDEX('G-6 Hedgerow Data'!$E$3:$I$15,MATCH(D218,'G-6 Hedgerow Data'!$B$3:$B$15,0),MATCH(H218,'G-6 Hedgerow Data'!$E$2:$I$2,0))))</f>
        <v/>
      </c>
      <c r="P218" s="195"/>
      <c r="Q218" s="195"/>
      <c r="R218" s="507" t="str">
        <f t="shared" si="19"/>
        <v/>
      </c>
      <c r="S218" s="521" t="str">
        <f t="shared" si="20"/>
        <v/>
      </c>
      <c r="T218" s="522" t="str">
        <f t="shared" si="18"/>
        <v/>
      </c>
      <c r="U218" s="537" t="str">
        <f>IF(D218="","",VLOOKUP(D218,'G-6 Hedgerow Data'!$B$3:$AG$15,31,FALSE))</f>
        <v/>
      </c>
      <c r="V218" s="520" t="str">
        <f t="shared" si="21"/>
        <v/>
      </c>
      <c r="W218" s="520" t="str">
        <f t="shared" si="22"/>
        <v/>
      </c>
      <c r="X218" s="524" t="str">
        <f>IF(F218="","",VLOOKUP(U218,'G-3 Multipliers'!$P$3:$Q$6,2,FALSE))</f>
        <v/>
      </c>
      <c r="Y218" s="529" t="str">
        <f t="shared" si="23"/>
        <v/>
      </c>
      <c r="Z218" s="149"/>
      <c r="AA218" s="150"/>
      <c r="AG218" s="31" t="str">
        <f>IFERROR(INDEX('G-6 Hedgerow Data'!$BJ$3:$BJ$15,MATCH(D218,'G-6 Hedgerow Data'!$B$3:$B$15,0)),"")</f>
        <v/>
      </c>
    </row>
    <row r="219" spans="2:33" ht="14" x14ac:dyDescent="0.3">
      <c r="B219" s="103">
        <v>208</v>
      </c>
      <c r="C219" s="268"/>
      <c r="D219" s="82"/>
      <c r="E219" s="203"/>
      <c r="F219" s="498" t="str">
        <f>IF(D219="","",VLOOKUP(D219,'G-6 Hedgerow Data'!$B$2:$AG$15,2,FALSE))</f>
        <v/>
      </c>
      <c r="G219" s="524" t="str">
        <f>IF(D219="","",VLOOKUP(D219,'G-6 Hedgerow Data'!$B$2:$AG$15,3,FALSE))</f>
        <v/>
      </c>
      <c r="H219" s="72"/>
      <c r="I219" s="499" t="str">
        <f>IFERROR(IF(AND(F219="V.Low",OR(H219="Good",H219="Moderate")),"Error ▲",VLOOKUP(H219,'G-1 All Habitats'!$Z$2:$AA$9,2,FALSE)),"")</f>
        <v/>
      </c>
      <c r="J219" s="146"/>
      <c r="K219" s="520" t="str">
        <f>IF(J219="","",IF(VLOOKUP(J219,'G-3 Multipliers'!$L$3:$N$6,2,FALSE)=0,"Spatial Data Missing",VLOOKUP(J219,'G-3 Multipliers'!$L$3:$N$6,2,FALSE)))</f>
        <v/>
      </c>
      <c r="L219" s="524" t="str">
        <f>IF(J219="","",IF(VLOOKUP(J219,'G-3 Multipliers'!$L$3:$N$6,3,FALSE)=0,"Spatial Data Missing",VLOOKUP(J219,'G-3 Multipliers'!$L$3:$N$6,3,FALSE)))</f>
        <v/>
      </c>
      <c r="M219" s="197"/>
      <c r="N219" s="499" t="str">
        <f>IF(M219="","",IF(VLOOKUP(M219,'G-3 Multipliers'!$S$3:$T$6,2,FALSE)=0,"Spatial Data Missing ⚠",VLOOKUP(M219,'G-3 Multipliers'!$S$3:$T$6,2,FALSE)))</f>
        <v/>
      </c>
      <c r="O219" s="498" t="str">
        <f>IF(OR(D219="",H219=""),"",(INDEX('G-6 Hedgerow Data'!$E$3:$I$15,MATCH(D219,'G-6 Hedgerow Data'!$B$3:$B$15,0),MATCH(H219,'G-6 Hedgerow Data'!$E$2:$I$2,0))))</f>
        <v/>
      </c>
      <c r="P219" s="195"/>
      <c r="Q219" s="195"/>
      <c r="R219" s="507" t="str">
        <f t="shared" si="19"/>
        <v/>
      </c>
      <c r="S219" s="521" t="str">
        <f t="shared" si="20"/>
        <v/>
      </c>
      <c r="T219" s="522" t="str">
        <f t="shared" si="18"/>
        <v/>
      </c>
      <c r="U219" s="537" t="str">
        <f>IF(D219="","",VLOOKUP(D219,'G-6 Hedgerow Data'!$B$3:$AG$15,31,FALSE))</f>
        <v/>
      </c>
      <c r="V219" s="520" t="str">
        <f t="shared" si="21"/>
        <v/>
      </c>
      <c r="W219" s="520" t="str">
        <f t="shared" si="22"/>
        <v/>
      </c>
      <c r="X219" s="524" t="str">
        <f>IF(F219="","",VLOOKUP(U219,'G-3 Multipliers'!$P$3:$Q$6,2,FALSE))</f>
        <v/>
      </c>
      <c r="Y219" s="529" t="str">
        <f t="shared" si="23"/>
        <v/>
      </c>
      <c r="Z219" s="149"/>
      <c r="AA219" s="150"/>
      <c r="AG219" s="31" t="str">
        <f>IFERROR(INDEX('G-6 Hedgerow Data'!$BJ$3:$BJ$15,MATCH(D219,'G-6 Hedgerow Data'!$B$3:$B$15,0)),"")</f>
        <v/>
      </c>
    </row>
    <row r="220" spans="2:33" ht="14" x14ac:dyDescent="0.3">
      <c r="B220" s="103">
        <v>209</v>
      </c>
      <c r="C220" s="268"/>
      <c r="D220" s="82"/>
      <c r="E220" s="203"/>
      <c r="F220" s="498" t="str">
        <f>IF(D220="","",VLOOKUP(D220,'G-6 Hedgerow Data'!$B$2:$AG$15,2,FALSE))</f>
        <v/>
      </c>
      <c r="G220" s="524" t="str">
        <f>IF(D220="","",VLOOKUP(D220,'G-6 Hedgerow Data'!$B$2:$AG$15,3,FALSE))</f>
        <v/>
      </c>
      <c r="H220" s="72"/>
      <c r="I220" s="499" t="str">
        <f>IFERROR(IF(AND(F220="V.Low",OR(H220="Good",H220="Moderate")),"Error ▲",VLOOKUP(H220,'G-1 All Habitats'!$Z$2:$AA$9,2,FALSE)),"")</f>
        <v/>
      </c>
      <c r="J220" s="146"/>
      <c r="K220" s="520" t="str">
        <f>IF(J220="","",IF(VLOOKUP(J220,'G-3 Multipliers'!$L$3:$N$6,2,FALSE)=0,"Spatial Data Missing",VLOOKUP(J220,'G-3 Multipliers'!$L$3:$N$6,2,FALSE)))</f>
        <v/>
      </c>
      <c r="L220" s="524" t="str">
        <f>IF(J220="","",IF(VLOOKUP(J220,'G-3 Multipliers'!$L$3:$N$6,3,FALSE)=0,"Spatial Data Missing",VLOOKUP(J220,'G-3 Multipliers'!$L$3:$N$6,3,FALSE)))</f>
        <v/>
      </c>
      <c r="M220" s="197"/>
      <c r="N220" s="499" t="str">
        <f>IF(M220="","",IF(VLOOKUP(M220,'G-3 Multipliers'!$S$3:$T$6,2,FALSE)=0,"Spatial Data Missing ⚠",VLOOKUP(M220,'G-3 Multipliers'!$S$3:$T$6,2,FALSE)))</f>
        <v/>
      </c>
      <c r="O220" s="498" t="str">
        <f>IF(OR(D220="",H220=""),"",(INDEX('G-6 Hedgerow Data'!$E$3:$I$15,MATCH(D220,'G-6 Hedgerow Data'!$B$3:$B$15,0),MATCH(H220,'G-6 Hedgerow Data'!$E$2:$I$2,0))))</f>
        <v/>
      </c>
      <c r="P220" s="195"/>
      <c r="Q220" s="195"/>
      <c r="R220" s="507" t="str">
        <f t="shared" si="19"/>
        <v/>
      </c>
      <c r="S220" s="521" t="str">
        <f t="shared" si="20"/>
        <v/>
      </c>
      <c r="T220" s="522" t="str">
        <f t="shared" si="18"/>
        <v/>
      </c>
      <c r="U220" s="537" t="str">
        <f>IF(D220="","",VLOOKUP(D220,'G-6 Hedgerow Data'!$B$3:$AG$15,31,FALSE))</f>
        <v/>
      </c>
      <c r="V220" s="520" t="str">
        <f t="shared" si="21"/>
        <v/>
      </c>
      <c r="W220" s="520" t="str">
        <f t="shared" si="22"/>
        <v/>
      </c>
      <c r="X220" s="524" t="str">
        <f>IF(F220="","",VLOOKUP(U220,'G-3 Multipliers'!$P$3:$Q$6,2,FALSE))</f>
        <v/>
      </c>
      <c r="Y220" s="529" t="str">
        <f t="shared" si="23"/>
        <v/>
      </c>
      <c r="Z220" s="149"/>
      <c r="AA220" s="150"/>
      <c r="AG220" s="31" t="str">
        <f>IFERROR(INDEX('G-6 Hedgerow Data'!$BJ$3:$BJ$15,MATCH(D220,'G-6 Hedgerow Data'!$B$3:$B$15,0)),"")</f>
        <v/>
      </c>
    </row>
    <row r="221" spans="2:33" ht="14" x14ac:dyDescent="0.3">
      <c r="B221" s="103">
        <v>210</v>
      </c>
      <c r="C221" s="268"/>
      <c r="D221" s="82"/>
      <c r="E221" s="203"/>
      <c r="F221" s="498" t="str">
        <f>IF(D221="","",VLOOKUP(D221,'G-6 Hedgerow Data'!$B$2:$AG$15,2,FALSE))</f>
        <v/>
      </c>
      <c r="G221" s="524" t="str">
        <f>IF(D221="","",VLOOKUP(D221,'G-6 Hedgerow Data'!$B$2:$AG$15,3,FALSE))</f>
        <v/>
      </c>
      <c r="H221" s="72"/>
      <c r="I221" s="499" t="str">
        <f>IFERROR(IF(AND(F221="V.Low",OR(H221="Good",H221="Moderate")),"Error ▲",VLOOKUP(H221,'G-1 All Habitats'!$Z$2:$AA$9,2,FALSE)),"")</f>
        <v/>
      </c>
      <c r="J221" s="146"/>
      <c r="K221" s="520" t="str">
        <f>IF(J221="","",IF(VLOOKUP(J221,'G-3 Multipliers'!$L$3:$N$6,2,FALSE)=0,"Spatial Data Missing",VLOOKUP(J221,'G-3 Multipliers'!$L$3:$N$6,2,FALSE)))</f>
        <v/>
      </c>
      <c r="L221" s="524" t="str">
        <f>IF(J221="","",IF(VLOOKUP(J221,'G-3 Multipliers'!$L$3:$N$6,3,FALSE)=0,"Spatial Data Missing",VLOOKUP(J221,'G-3 Multipliers'!$L$3:$N$6,3,FALSE)))</f>
        <v/>
      </c>
      <c r="M221" s="197"/>
      <c r="N221" s="499" t="str">
        <f>IF(M221="","",IF(VLOOKUP(M221,'G-3 Multipliers'!$S$3:$T$6,2,FALSE)=0,"Spatial Data Missing ⚠",VLOOKUP(M221,'G-3 Multipliers'!$S$3:$T$6,2,FALSE)))</f>
        <v/>
      </c>
      <c r="O221" s="498" t="str">
        <f>IF(OR(D221="",H221=""),"",(INDEX('G-6 Hedgerow Data'!$E$3:$I$15,MATCH(D221,'G-6 Hedgerow Data'!$B$3:$B$15,0),MATCH(H221,'G-6 Hedgerow Data'!$E$2:$I$2,0))))</f>
        <v/>
      </c>
      <c r="P221" s="195"/>
      <c r="Q221" s="195"/>
      <c r="R221" s="507" t="str">
        <f t="shared" si="19"/>
        <v/>
      </c>
      <c r="S221" s="521" t="str">
        <f t="shared" si="20"/>
        <v/>
      </c>
      <c r="T221" s="522" t="str">
        <f t="shared" si="18"/>
        <v/>
      </c>
      <c r="U221" s="537" t="str">
        <f>IF(D221="","",VLOOKUP(D221,'G-6 Hedgerow Data'!$B$3:$AG$15,31,FALSE))</f>
        <v/>
      </c>
      <c r="V221" s="520" t="str">
        <f t="shared" si="21"/>
        <v/>
      </c>
      <c r="W221" s="520" t="str">
        <f t="shared" si="22"/>
        <v/>
      </c>
      <c r="X221" s="524" t="str">
        <f>IF(F221="","",VLOOKUP(U221,'G-3 Multipliers'!$P$3:$Q$6,2,FALSE))</f>
        <v/>
      </c>
      <c r="Y221" s="529" t="str">
        <f t="shared" si="23"/>
        <v/>
      </c>
      <c r="Z221" s="149"/>
      <c r="AA221" s="150"/>
      <c r="AG221" s="31" t="str">
        <f>IFERROR(INDEX('G-6 Hedgerow Data'!$BJ$3:$BJ$15,MATCH(D221,'G-6 Hedgerow Data'!$B$3:$B$15,0)),"")</f>
        <v/>
      </c>
    </row>
    <row r="222" spans="2:33" ht="14" x14ac:dyDescent="0.3">
      <c r="B222" s="103">
        <v>211</v>
      </c>
      <c r="C222" s="268"/>
      <c r="D222" s="82"/>
      <c r="E222" s="203"/>
      <c r="F222" s="498" t="str">
        <f>IF(D222="","",VLOOKUP(D222,'G-6 Hedgerow Data'!$B$2:$AG$15,2,FALSE))</f>
        <v/>
      </c>
      <c r="G222" s="524" t="str">
        <f>IF(D222="","",VLOOKUP(D222,'G-6 Hedgerow Data'!$B$2:$AG$15,3,FALSE))</f>
        <v/>
      </c>
      <c r="H222" s="72"/>
      <c r="I222" s="499" t="str">
        <f>IFERROR(IF(AND(F222="V.Low",OR(H222="Good",H222="Moderate")),"Error ▲",VLOOKUP(H222,'G-1 All Habitats'!$Z$2:$AA$9,2,FALSE)),"")</f>
        <v/>
      </c>
      <c r="J222" s="146"/>
      <c r="K222" s="520" t="str">
        <f>IF(J222="","",IF(VLOOKUP(J222,'G-3 Multipliers'!$L$3:$N$6,2,FALSE)=0,"Spatial Data Missing",VLOOKUP(J222,'G-3 Multipliers'!$L$3:$N$6,2,FALSE)))</f>
        <v/>
      </c>
      <c r="L222" s="524" t="str">
        <f>IF(J222="","",IF(VLOOKUP(J222,'G-3 Multipliers'!$L$3:$N$6,3,FALSE)=0,"Spatial Data Missing",VLOOKUP(J222,'G-3 Multipliers'!$L$3:$N$6,3,FALSE)))</f>
        <v/>
      </c>
      <c r="M222" s="197"/>
      <c r="N222" s="499" t="str">
        <f>IF(M222="","",IF(VLOOKUP(M222,'G-3 Multipliers'!$S$3:$T$6,2,FALSE)=0,"Spatial Data Missing ⚠",VLOOKUP(M222,'G-3 Multipliers'!$S$3:$T$6,2,FALSE)))</f>
        <v/>
      </c>
      <c r="O222" s="498" t="str">
        <f>IF(OR(D222="",H222=""),"",(INDEX('G-6 Hedgerow Data'!$E$3:$I$15,MATCH(D222,'G-6 Hedgerow Data'!$B$3:$B$15,0),MATCH(H222,'G-6 Hedgerow Data'!$E$2:$I$2,0))))</f>
        <v/>
      </c>
      <c r="P222" s="195"/>
      <c r="Q222" s="195"/>
      <c r="R222" s="507" t="str">
        <f t="shared" si="19"/>
        <v/>
      </c>
      <c r="S222" s="521" t="str">
        <f t="shared" si="20"/>
        <v/>
      </c>
      <c r="T222" s="522" t="str">
        <f t="shared" si="18"/>
        <v/>
      </c>
      <c r="U222" s="537" t="str">
        <f>IF(D222="","",VLOOKUP(D222,'G-6 Hedgerow Data'!$B$3:$AG$15,31,FALSE))</f>
        <v/>
      </c>
      <c r="V222" s="520" t="str">
        <f t="shared" si="21"/>
        <v/>
      </c>
      <c r="W222" s="520" t="str">
        <f t="shared" si="22"/>
        <v/>
      </c>
      <c r="X222" s="524" t="str">
        <f>IF(F222="","",VLOOKUP(U222,'G-3 Multipliers'!$P$3:$Q$6,2,FALSE))</f>
        <v/>
      </c>
      <c r="Y222" s="529" t="str">
        <f t="shared" si="23"/>
        <v/>
      </c>
      <c r="Z222" s="149"/>
      <c r="AA222" s="150"/>
      <c r="AG222" s="31" t="str">
        <f>IFERROR(INDEX('G-6 Hedgerow Data'!$BJ$3:$BJ$15,MATCH(D222,'G-6 Hedgerow Data'!$B$3:$B$15,0)),"")</f>
        <v/>
      </c>
    </row>
    <row r="223" spans="2:33" ht="14" x14ac:dyDescent="0.3">
      <c r="B223" s="103">
        <v>212</v>
      </c>
      <c r="C223" s="268"/>
      <c r="D223" s="82"/>
      <c r="E223" s="203"/>
      <c r="F223" s="498" t="str">
        <f>IF(D223="","",VLOOKUP(D223,'G-6 Hedgerow Data'!$B$2:$AG$15,2,FALSE))</f>
        <v/>
      </c>
      <c r="G223" s="524" t="str">
        <f>IF(D223="","",VLOOKUP(D223,'G-6 Hedgerow Data'!$B$2:$AG$15,3,FALSE))</f>
        <v/>
      </c>
      <c r="H223" s="72"/>
      <c r="I223" s="499" t="str">
        <f>IFERROR(IF(AND(F223="V.Low",OR(H223="Good",H223="Moderate")),"Error ▲",VLOOKUP(H223,'G-1 All Habitats'!$Z$2:$AA$9,2,FALSE)),"")</f>
        <v/>
      </c>
      <c r="J223" s="146"/>
      <c r="K223" s="520" t="str">
        <f>IF(J223="","",IF(VLOOKUP(J223,'G-3 Multipliers'!$L$3:$N$6,2,FALSE)=0,"Spatial Data Missing",VLOOKUP(J223,'G-3 Multipliers'!$L$3:$N$6,2,FALSE)))</f>
        <v/>
      </c>
      <c r="L223" s="524" t="str">
        <f>IF(J223="","",IF(VLOOKUP(J223,'G-3 Multipliers'!$L$3:$N$6,3,FALSE)=0,"Spatial Data Missing",VLOOKUP(J223,'G-3 Multipliers'!$L$3:$N$6,3,FALSE)))</f>
        <v/>
      </c>
      <c r="M223" s="197"/>
      <c r="N223" s="499" t="str">
        <f>IF(M223="","",IF(VLOOKUP(M223,'G-3 Multipliers'!$S$3:$T$6,2,FALSE)=0,"Spatial Data Missing ⚠",VLOOKUP(M223,'G-3 Multipliers'!$S$3:$T$6,2,FALSE)))</f>
        <v/>
      </c>
      <c r="O223" s="498" t="str">
        <f>IF(OR(D223="",H223=""),"",(INDEX('G-6 Hedgerow Data'!$E$3:$I$15,MATCH(D223,'G-6 Hedgerow Data'!$B$3:$B$15,0),MATCH(H223,'G-6 Hedgerow Data'!$E$2:$I$2,0))))</f>
        <v/>
      </c>
      <c r="P223" s="195"/>
      <c r="Q223" s="195"/>
      <c r="R223" s="507" t="str">
        <f t="shared" si="19"/>
        <v/>
      </c>
      <c r="S223" s="521" t="str">
        <f t="shared" si="20"/>
        <v/>
      </c>
      <c r="T223" s="522" t="str">
        <f t="shared" si="18"/>
        <v/>
      </c>
      <c r="U223" s="537" t="str">
        <f>IF(D223="","",VLOOKUP(D223,'G-6 Hedgerow Data'!$B$3:$AG$15,31,FALSE))</f>
        <v/>
      </c>
      <c r="V223" s="520" t="str">
        <f t="shared" si="21"/>
        <v/>
      </c>
      <c r="W223" s="520" t="str">
        <f t="shared" si="22"/>
        <v/>
      </c>
      <c r="X223" s="524" t="str">
        <f>IF(F223="","",VLOOKUP(U223,'G-3 Multipliers'!$P$3:$Q$6,2,FALSE))</f>
        <v/>
      </c>
      <c r="Y223" s="529" t="str">
        <f t="shared" si="23"/>
        <v/>
      </c>
      <c r="Z223" s="149"/>
      <c r="AA223" s="150"/>
      <c r="AG223" s="31" t="str">
        <f>IFERROR(INDEX('G-6 Hedgerow Data'!$BJ$3:$BJ$15,MATCH(D223,'G-6 Hedgerow Data'!$B$3:$B$15,0)),"")</f>
        <v/>
      </c>
    </row>
    <row r="224" spans="2:33" ht="14" x14ac:dyDescent="0.3">
      <c r="B224" s="103">
        <v>213</v>
      </c>
      <c r="C224" s="268"/>
      <c r="D224" s="82"/>
      <c r="E224" s="203"/>
      <c r="F224" s="498" t="str">
        <f>IF(D224="","",VLOOKUP(D224,'G-6 Hedgerow Data'!$B$2:$AG$15,2,FALSE))</f>
        <v/>
      </c>
      <c r="G224" s="524" t="str">
        <f>IF(D224="","",VLOOKUP(D224,'G-6 Hedgerow Data'!$B$2:$AG$15,3,FALSE))</f>
        <v/>
      </c>
      <c r="H224" s="72"/>
      <c r="I224" s="499" t="str">
        <f>IFERROR(IF(AND(F224="V.Low",OR(H224="Good",H224="Moderate")),"Error ▲",VLOOKUP(H224,'G-1 All Habitats'!$Z$2:$AA$9,2,FALSE)),"")</f>
        <v/>
      </c>
      <c r="J224" s="146"/>
      <c r="K224" s="520" t="str">
        <f>IF(J224="","",IF(VLOOKUP(J224,'G-3 Multipliers'!$L$3:$N$6,2,FALSE)=0,"Spatial Data Missing",VLOOKUP(J224,'G-3 Multipliers'!$L$3:$N$6,2,FALSE)))</f>
        <v/>
      </c>
      <c r="L224" s="524" t="str">
        <f>IF(J224="","",IF(VLOOKUP(J224,'G-3 Multipliers'!$L$3:$N$6,3,FALSE)=0,"Spatial Data Missing",VLOOKUP(J224,'G-3 Multipliers'!$L$3:$N$6,3,FALSE)))</f>
        <v/>
      </c>
      <c r="M224" s="197"/>
      <c r="N224" s="499" t="str">
        <f>IF(M224="","",IF(VLOOKUP(M224,'G-3 Multipliers'!$S$3:$T$6,2,FALSE)=0,"Spatial Data Missing ⚠",VLOOKUP(M224,'G-3 Multipliers'!$S$3:$T$6,2,FALSE)))</f>
        <v/>
      </c>
      <c r="O224" s="498" t="str">
        <f>IF(OR(D224="",H224=""),"",(INDEX('G-6 Hedgerow Data'!$E$3:$I$15,MATCH(D224,'G-6 Hedgerow Data'!$B$3:$B$15,0),MATCH(H224,'G-6 Hedgerow Data'!$E$2:$I$2,0))))</f>
        <v/>
      </c>
      <c r="P224" s="195"/>
      <c r="Q224" s="195"/>
      <c r="R224" s="507" t="str">
        <f t="shared" si="19"/>
        <v/>
      </c>
      <c r="S224" s="521" t="str">
        <f t="shared" si="20"/>
        <v/>
      </c>
      <c r="T224" s="522" t="str">
        <f t="shared" si="18"/>
        <v/>
      </c>
      <c r="U224" s="537" t="str">
        <f>IF(D224="","",VLOOKUP(D224,'G-6 Hedgerow Data'!$B$3:$AG$15,31,FALSE))</f>
        <v/>
      </c>
      <c r="V224" s="520" t="str">
        <f t="shared" si="21"/>
        <v/>
      </c>
      <c r="W224" s="520" t="str">
        <f t="shared" si="22"/>
        <v/>
      </c>
      <c r="X224" s="524" t="str">
        <f>IF(F224="","",VLOOKUP(U224,'G-3 Multipliers'!$P$3:$Q$6,2,FALSE))</f>
        <v/>
      </c>
      <c r="Y224" s="529" t="str">
        <f t="shared" si="23"/>
        <v/>
      </c>
      <c r="Z224" s="149"/>
      <c r="AA224" s="150"/>
      <c r="AG224" s="31" t="str">
        <f>IFERROR(INDEX('G-6 Hedgerow Data'!$BJ$3:$BJ$15,MATCH(D224,'G-6 Hedgerow Data'!$B$3:$B$15,0)),"")</f>
        <v/>
      </c>
    </row>
    <row r="225" spans="2:33" ht="14" x14ac:dyDescent="0.3">
      <c r="B225" s="103">
        <v>214</v>
      </c>
      <c r="C225" s="268"/>
      <c r="D225" s="82"/>
      <c r="E225" s="203"/>
      <c r="F225" s="498" t="str">
        <f>IF(D225="","",VLOOKUP(D225,'G-6 Hedgerow Data'!$B$2:$AG$15,2,FALSE))</f>
        <v/>
      </c>
      <c r="G225" s="524" t="str">
        <f>IF(D225="","",VLOOKUP(D225,'G-6 Hedgerow Data'!$B$2:$AG$15,3,FALSE))</f>
        <v/>
      </c>
      <c r="H225" s="72"/>
      <c r="I225" s="499" t="str">
        <f>IFERROR(IF(AND(F225="V.Low",OR(H225="Good",H225="Moderate")),"Error ▲",VLOOKUP(H225,'G-1 All Habitats'!$Z$2:$AA$9,2,FALSE)),"")</f>
        <v/>
      </c>
      <c r="J225" s="146"/>
      <c r="K225" s="520" t="str">
        <f>IF(J225="","",IF(VLOOKUP(J225,'G-3 Multipliers'!$L$3:$N$6,2,FALSE)=0,"Spatial Data Missing",VLOOKUP(J225,'G-3 Multipliers'!$L$3:$N$6,2,FALSE)))</f>
        <v/>
      </c>
      <c r="L225" s="524" t="str">
        <f>IF(J225="","",IF(VLOOKUP(J225,'G-3 Multipliers'!$L$3:$N$6,3,FALSE)=0,"Spatial Data Missing",VLOOKUP(J225,'G-3 Multipliers'!$L$3:$N$6,3,FALSE)))</f>
        <v/>
      </c>
      <c r="M225" s="197"/>
      <c r="N225" s="499" t="str">
        <f>IF(M225="","",IF(VLOOKUP(M225,'G-3 Multipliers'!$S$3:$T$6,2,FALSE)=0,"Spatial Data Missing ⚠",VLOOKUP(M225,'G-3 Multipliers'!$S$3:$T$6,2,FALSE)))</f>
        <v/>
      </c>
      <c r="O225" s="498" t="str">
        <f>IF(OR(D225="",H225=""),"",(INDEX('G-6 Hedgerow Data'!$E$3:$I$15,MATCH(D225,'G-6 Hedgerow Data'!$B$3:$B$15,0),MATCH(H225,'G-6 Hedgerow Data'!$E$2:$I$2,0))))</f>
        <v/>
      </c>
      <c r="P225" s="195"/>
      <c r="Q225" s="195"/>
      <c r="R225" s="507" t="str">
        <f t="shared" si="19"/>
        <v/>
      </c>
      <c r="S225" s="521" t="str">
        <f t="shared" si="20"/>
        <v/>
      </c>
      <c r="T225" s="522" t="str">
        <f t="shared" si="18"/>
        <v/>
      </c>
      <c r="U225" s="537" t="str">
        <f>IF(D225="","",VLOOKUP(D225,'G-6 Hedgerow Data'!$B$3:$AG$15,31,FALSE))</f>
        <v/>
      </c>
      <c r="V225" s="520" t="str">
        <f t="shared" si="21"/>
        <v/>
      </c>
      <c r="W225" s="520" t="str">
        <f t="shared" si="22"/>
        <v/>
      </c>
      <c r="X225" s="524" t="str">
        <f>IF(F225="","",VLOOKUP(U225,'G-3 Multipliers'!$P$3:$Q$6,2,FALSE))</f>
        <v/>
      </c>
      <c r="Y225" s="529" t="str">
        <f t="shared" si="23"/>
        <v/>
      </c>
      <c r="Z225" s="149"/>
      <c r="AA225" s="150"/>
      <c r="AG225" s="31" t="str">
        <f>IFERROR(INDEX('G-6 Hedgerow Data'!$BJ$3:$BJ$15,MATCH(D225,'G-6 Hedgerow Data'!$B$3:$B$15,0)),"")</f>
        <v/>
      </c>
    </row>
    <row r="226" spans="2:33" ht="14" x14ac:dyDescent="0.3">
      <c r="B226" s="103">
        <v>215</v>
      </c>
      <c r="C226" s="268"/>
      <c r="D226" s="82"/>
      <c r="E226" s="203"/>
      <c r="F226" s="498" t="str">
        <f>IF(D226="","",VLOOKUP(D226,'G-6 Hedgerow Data'!$B$2:$AG$15,2,FALSE))</f>
        <v/>
      </c>
      <c r="G226" s="524" t="str">
        <f>IF(D226="","",VLOOKUP(D226,'G-6 Hedgerow Data'!$B$2:$AG$15,3,FALSE))</f>
        <v/>
      </c>
      <c r="H226" s="72"/>
      <c r="I226" s="499" t="str">
        <f>IFERROR(IF(AND(F226="V.Low",OR(H226="Good",H226="Moderate")),"Error ▲",VLOOKUP(H226,'G-1 All Habitats'!$Z$2:$AA$9,2,FALSE)),"")</f>
        <v/>
      </c>
      <c r="J226" s="146"/>
      <c r="K226" s="520" t="str">
        <f>IF(J226="","",IF(VLOOKUP(J226,'G-3 Multipliers'!$L$3:$N$6,2,FALSE)=0,"Spatial Data Missing",VLOOKUP(J226,'G-3 Multipliers'!$L$3:$N$6,2,FALSE)))</f>
        <v/>
      </c>
      <c r="L226" s="524" t="str">
        <f>IF(J226="","",IF(VLOOKUP(J226,'G-3 Multipliers'!$L$3:$N$6,3,FALSE)=0,"Spatial Data Missing",VLOOKUP(J226,'G-3 Multipliers'!$L$3:$N$6,3,FALSE)))</f>
        <v/>
      </c>
      <c r="M226" s="197"/>
      <c r="N226" s="499" t="str">
        <f>IF(M226="","",IF(VLOOKUP(M226,'G-3 Multipliers'!$S$3:$T$6,2,FALSE)=0,"Spatial Data Missing ⚠",VLOOKUP(M226,'G-3 Multipliers'!$S$3:$T$6,2,FALSE)))</f>
        <v/>
      </c>
      <c r="O226" s="498" t="str">
        <f>IF(OR(D226="",H226=""),"",(INDEX('G-6 Hedgerow Data'!$E$3:$I$15,MATCH(D226,'G-6 Hedgerow Data'!$B$3:$B$15,0),MATCH(H226,'G-6 Hedgerow Data'!$E$2:$I$2,0))))</f>
        <v/>
      </c>
      <c r="P226" s="195"/>
      <c r="Q226" s="195"/>
      <c r="R226" s="507" t="str">
        <f t="shared" si="19"/>
        <v/>
      </c>
      <c r="S226" s="521" t="str">
        <f t="shared" si="20"/>
        <v/>
      </c>
      <c r="T226" s="522" t="str">
        <f t="shared" si="18"/>
        <v/>
      </c>
      <c r="U226" s="537" t="str">
        <f>IF(D226="","",VLOOKUP(D226,'G-6 Hedgerow Data'!$B$3:$AG$15,31,FALSE))</f>
        <v/>
      </c>
      <c r="V226" s="520" t="str">
        <f t="shared" si="21"/>
        <v/>
      </c>
      <c r="W226" s="520" t="str">
        <f t="shared" si="22"/>
        <v/>
      </c>
      <c r="X226" s="524" t="str">
        <f>IF(F226="","",VLOOKUP(U226,'G-3 Multipliers'!$P$3:$Q$6,2,FALSE))</f>
        <v/>
      </c>
      <c r="Y226" s="529" t="str">
        <f t="shared" si="23"/>
        <v/>
      </c>
      <c r="Z226" s="149"/>
      <c r="AA226" s="150"/>
      <c r="AG226" s="31" t="str">
        <f>IFERROR(INDEX('G-6 Hedgerow Data'!$BJ$3:$BJ$15,MATCH(D226,'G-6 Hedgerow Data'!$B$3:$B$15,0)),"")</f>
        <v/>
      </c>
    </row>
    <row r="227" spans="2:33" ht="14" x14ac:dyDescent="0.3">
      <c r="B227" s="103">
        <v>216</v>
      </c>
      <c r="C227" s="268"/>
      <c r="D227" s="82"/>
      <c r="E227" s="203"/>
      <c r="F227" s="498" t="str">
        <f>IF(D227="","",VLOOKUP(D227,'G-6 Hedgerow Data'!$B$2:$AG$15,2,FALSE))</f>
        <v/>
      </c>
      <c r="G227" s="524" t="str">
        <f>IF(D227="","",VLOOKUP(D227,'G-6 Hedgerow Data'!$B$2:$AG$15,3,FALSE))</f>
        <v/>
      </c>
      <c r="H227" s="72"/>
      <c r="I227" s="499" t="str">
        <f>IFERROR(IF(AND(F227="V.Low",OR(H227="Good",H227="Moderate")),"Error ▲",VLOOKUP(H227,'G-1 All Habitats'!$Z$2:$AA$9,2,FALSE)),"")</f>
        <v/>
      </c>
      <c r="J227" s="146"/>
      <c r="K227" s="520" t="str">
        <f>IF(J227="","",IF(VLOOKUP(J227,'G-3 Multipliers'!$L$3:$N$6,2,FALSE)=0,"Spatial Data Missing",VLOOKUP(J227,'G-3 Multipliers'!$L$3:$N$6,2,FALSE)))</f>
        <v/>
      </c>
      <c r="L227" s="524" t="str">
        <f>IF(J227="","",IF(VLOOKUP(J227,'G-3 Multipliers'!$L$3:$N$6,3,FALSE)=0,"Spatial Data Missing",VLOOKUP(J227,'G-3 Multipliers'!$L$3:$N$6,3,FALSE)))</f>
        <v/>
      </c>
      <c r="M227" s="197"/>
      <c r="N227" s="499" t="str">
        <f>IF(M227="","",IF(VLOOKUP(M227,'G-3 Multipliers'!$S$3:$T$6,2,FALSE)=0,"Spatial Data Missing ⚠",VLOOKUP(M227,'G-3 Multipliers'!$S$3:$T$6,2,FALSE)))</f>
        <v/>
      </c>
      <c r="O227" s="498" t="str">
        <f>IF(OR(D227="",H227=""),"",(INDEX('G-6 Hedgerow Data'!$E$3:$I$15,MATCH(D227,'G-6 Hedgerow Data'!$B$3:$B$15,0),MATCH(H227,'G-6 Hedgerow Data'!$E$2:$I$2,0))))</f>
        <v/>
      </c>
      <c r="P227" s="195"/>
      <c r="Q227" s="195"/>
      <c r="R227" s="507" t="str">
        <f t="shared" si="19"/>
        <v/>
      </c>
      <c r="S227" s="521" t="str">
        <f t="shared" si="20"/>
        <v/>
      </c>
      <c r="T227" s="522" t="str">
        <f t="shared" si="18"/>
        <v/>
      </c>
      <c r="U227" s="537" t="str">
        <f>IF(D227="","",VLOOKUP(D227,'G-6 Hedgerow Data'!$B$3:$AG$15,31,FALSE))</f>
        <v/>
      </c>
      <c r="V227" s="520" t="str">
        <f t="shared" si="21"/>
        <v/>
      </c>
      <c r="W227" s="520" t="str">
        <f t="shared" si="22"/>
        <v/>
      </c>
      <c r="X227" s="524" t="str">
        <f>IF(F227="","",VLOOKUP(U227,'G-3 Multipliers'!$P$3:$Q$6,2,FALSE))</f>
        <v/>
      </c>
      <c r="Y227" s="529" t="str">
        <f t="shared" si="23"/>
        <v/>
      </c>
      <c r="Z227" s="149"/>
      <c r="AA227" s="150"/>
      <c r="AG227" s="31" t="str">
        <f>IFERROR(INDEX('G-6 Hedgerow Data'!$BJ$3:$BJ$15,MATCH(D227,'G-6 Hedgerow Data'!$B$3:$B$15,0)),"")</f>
        <v/>
      </c>
    </row>
    <row r="228" spans="2:33" ht="14" x14ac:dyDescent="0.3">
      <c r="B228" s="103">
        <v>217</v>
      </c>
      <c r="C228" s="268"/>
      <c r="D228" s="82"/>
      <c r="E228" s="203"/>
      <c r="F228" s="498" t="str">
        <f>IF(D228="","",VLOOKUP(D228,'G-6 Hedgerow Data'!$B$2:$AG$15,2,FALSE))</f>
        <v/>
      </c>
      <c r="G228" s="524" t="str">
        <f>IF(D228="","",VLOOKUP(D228,'G-6 Hedgerow Data'!$B$2:$AG$15,3,FALSE))</f>
        <v/>
      </c>
      <c r="H228" s="72"/>
      <c r="I228" s="499" t="str">
        <f>IFERROR(IF(AND(F228="V.Low",OR(H228="Good",H228="Moderate")),"Error ▲",VLOOKUP(H228,'G-1 All Habitats'!$Z$2:$AA$9,2,FALSE)),"")</f>
        <v/>
      </c>
      <c r="J228" s="146"/>
      <c r="K228" s="520" t="str">
        <f>IF(J228="","",IF(VLOOKUP(J228,'G-3 Multipliers'!$L$3:$N$6,2,FALSE)=0,"Spatial Data Missing",VLOOKUP(J228,'G-3 Multipliers'!$L$3:$N$6,2,FALSE)))</f>
        <v/>
      </c>
      <c r="L228" s="524" t="str">
        <f>IF(J228="","",IF(VLOOKUP(J228,'G-3 Multipliers'!$L$3:$N$6,3,FALSE)=0,"Spatial Data Missing",VLOOKUP(J228,'G-3 Multipliers'!$L$3:$N$6,3,FALSE)))</f>
        <v/>
      </c>
      <c r="M228" s="197"/>
      <c r="N228" s="499" t="str">
        <f>IF(M228="","",IF(VLOOKUP(M228,'G-3 Multipliers'!$S$3:$T$6,2,FALSE)=0,"Spatial Data Missing ⚠",VLOOKUP(M228,'G-3 Multipliers'!$S$3:$T$6,2,FALSE)))</f>
        <v/>
      </c>
      <c r="O228" s="498" t="str">
        <f>IF(OR(D228="",H228=""),"",(INDEX('G-6 Hedgerow Data'!$E$3:$I$15,MATCH(D228,'G-6 Hedgerow Data'!$B$3:$B$15,0),MATCH(H228,'G-6 Hedgerow Data'!$E$2:$I$2,0))))</f>
        <v/>
      </c>
      <c r="P228" s="195"/>
      <c r="Q228" s="195"/>
      <c r="R228" s="507" t="str">
        <f t="shared" si="19"/>
        <v/>
      </c>
      <c r="S228" s="521" t="str">
        <f t="shared" si="20"/>
        <v/>
      </c>
      <c r="T228" s="522" t="str">
        <f t="shared" si="18"/>
        <v/>
      </c>
      <c r="U228" s="537" t="str">
        <f>IF(D228="","",VLOOKUP(D228,'G-6 Hedgerow Data'!$B$3:$AG$15,31,FALSE))</f>
        <v/>
      </c>
      <c r="V228" s="520" t="str">
        <f t="shared" si="21"/>
        <v/>
      </c>
      <c r="W228" s="520" t="str">
        <f t="shared" si="22"/>
        <v/>
      </c>
      <c r="X228" s="524" t="str">
        <f>IF(F228="","",VLOOKUP(U228,'G-3 Multipliers'!$P$3:$Q$6,2,FALSE))</f>
        <v/>
      </c>
      <c r="Y228" s="529" t="str">
        <f t="shared" si="23"/>
        <v/>
      </c>
      <c r="Z228" s="149"/>
      <c r="AA228" s="150"/>
      <c r="AG228" s="31" t="str">
        <f>IFERROR(INDEX('G-6 Hedgerow Data'!$BJ$3:$BJ$15,MATCH(D228,'G-6 Hedgerow Data'!$B$3:$B$15,0)),"")</f>
        <v/>
      </c>
    </row>
    <row r="229" spans="2:33" ht="14" x14ac:dyDescent="0.3">
      <c r="B229" s="103">
        <v>218</v>
      </c>
      <c r="C229" s="268"/>
      <c r="D229" s="82"/>
      <c r="E229" s="203"/>
      <c r="F229" s="498" t="str">
        <f>IF(D229="","",VLOOKUP(D229,'G-6 Hedgerow Data'!$B$2:$AG$15,2,FALSE))</f>
        <v/>
      </c>
      <c r="G229" s="524" t="str">
        <f>IF(D229="","",VLOOKUP(D229,'G-6 Hedgerow Data'!$B$2:$AG$15,3,FALSE))</f>
        <v/>
      </c>
      <c r="H229" s="72"/>
      <c r="I229" s="499" t="str">
        <f>IFERROR(IF(AND(F229="V.Low",OR(H229="Good",H229="Moderate")),"Error ▲",VLOOKUP(H229,'G-1 All Habitats'!$Z$2:$AA$9,2,FALSE)),"")</f>
        <v/>
      </c>
      <c r="J229" s="146"/>
      <c r="K229" s="520" t="str">
        <f>IF(J229="","",IF(VLOOKUP(J229,'G-3 Multipliers'!$L$3:$N$6,2,FALSE)=0,"Spatial Data Missing",VLOOKUP(J229,'G-3 Multipliers'!$L$3:$N$6,2,FALSE)))</f>
        <v/>
      </c>
      <c r="L229" s="524" t="str">
        <f>IF(J229="","",IF(VLOOKUP(J229,'G-3 Multipliers'!$L$3:$N$6,3,FALSE)=0,"Spatial Data Missing",VLOOKUP(J229,'G-3 Multipliers'!$L$3:$N$6,3,FALSE)))</f>
        <v/>
      </c>
      <c r="M229" s="197"/>
      <c r="N229" s="499" t="str">
        <f>IF(M229="","",IF(VLOOKUP(M229,'G-3 Multipliers'!$S$3:$T$6,2,FALSE)=0,"Spatial Data Missing ⚠",VLOOKUP(M229,'G-3 Multipliers'!$S$3:$T$6,2,FALSE)))</f>
        <v/>
      </c>
      <c r="O229" s="498" t="str">
        <f>IF(OR(D229="",H229=""),"",(INDEX('G-6 Hedgerow Data'!$E$3:$I$15,MATCH(D229,'G-6 Hedgerow Data'!$B$3:$B$15,0),MATCH(H229,'G-6 Hedgerow Data'!$E$2:$I$2,0))))</f>
        <v/>
      </c>
      <c r="P229" s="195"/>
      <c r="Q229" s="195"/>
      <c r="R229" s="507" t="str">
        <f t="shared" si="19"/>
        <v/>
      </c>
      <c r="S229" s="521" t="str">
        <f t="shared" si="20"/>
        <v/>
      </c>
      <c r="T229" s="522" t="str">
        <f t="shared" si="18"/>
        <v/>
      </c>
      <c r="U229" s="537" t="str">
        <f>IF(D229="","",VLOOKUP(D229,'G-6 Hedgerow Data'!$B$3:$AG$15,31,FALSE))</f>
        <v/>
      </c>
      <c r="V229" s="520" t="str">
        <f t="shared" si="21"/>
        <v/>
      </c>
      <c r="W229" s="520" t="str">
        <f t="shared" si="22"/>
        <v/>
      </c>
      <c r="X229" s="524" t="str">
        <f>IF(F229="","",VLOOKUP(U229,'G-3 Multipliers'!$P$3:$Q$6,2,FALSE))</f>
        <v/>
      </c>
      <c r="Y229" s="529" t="str">
        <f t="shared" si="23"/>
        <v/>
      </c>
      <c r="Z229" s="149"/>
      <c r="AA229" s="150"/>
      <c r="AG229" s="31" t="str">
        <f>IFERROR(INDEX('G-6 Hedgerow Data'!$BJ$3:$BJ$15,MATCH(D229,'G-6 Hedgerow Data'!$B$3:$B$15,0)),"")</f>
        <v/>
      </c>
    </row>
    <row r="230" spans="2:33" ht="14" x14ac:dyDescent="0.3">
      <c r="B230" s="103">
        <v>219</v>
      </c>
      <c r="C230" s="268"/>
      <c r="D230" s="82"/>
      <c r="E230" s="203"/>
      <c r="F230" s="498" t="str">
        <f>IF(D230="","",VLOOKUP(D230,'G-6 Hedgerow Data'!$B$2:$AG$15,2,FALSE))</f>
        <v/>
      </c>
      <c r="G230" s="524" t="str">
        <f>IF(D230="","",VLOOKUP(D230,'G-6 Hedgerow Data'!$B$2:$AG$15,3,FALSE))</f>
        <v/>
      </c>
      <c r="H230" s="72"/>
      <c r="I230" s="499" t="str">
        <f>IFERROR(IF(AND(F230="V.Low",OR(H230="Good",H230="Moderate")),"Error ▲",VLOOKUP(H230,'G-1 All Habitats'!$Z$2:$AA$9,2,FALSE)),"")</f>
        <v/>
      </c>
      <c r="J230" s="146"/>
      <c r="K230" s="520" t="str">
        <f>IF(J230="","",IF(VLOOKUP(J230,'G-3 Multipliers'!$L$3:$N$6,2,FALSE)=0,"Spatial Data Missing",VLOOKUP(J230,'G-3 Multipliers'!$L$3:$N$6,2,FALSE)))</f>
        <v/>
      </c>
      <c r="L230" s="524" t="str">
        <f>IF(J230="","",IF(VLOOKUP(J230,'G-3 Multipliers'!$L$3:$N$6,3,FALSE)=0,"Spatial Data Missing",VLOOKUP(J230,'G-3 Multipliers'!$L$3:$N$6,3,FALSE)))</f>
        <v/>
      </c>
      <c r="M230" s="197"/>
      <c r="N230" s="499" t="str">
        <f>IF(M230="","",IF(VLOOKUP(M230,'G-3 Multipliers'!$S$3:$T$6,2,FALSE)=0,"Spatial Data Missing ⚠",VLOOKUP(M230,'G-3 Multipliers'!$S$3:$T$6,2,FALSE)))</f>
        <v/>
      </c>
      <c r="O230" s="498" t="str">
        <f>IF(OR(D230="",H230=""),"",(INDEX('G-6 Hedgerow Data'!$E$3:$I$15,MATCH(D230,'G-6 Hedgerow Data'!$B$3:$B$15,0),MATCH(H230,'G-6 Hedgerow Data'!$E$2:$I$2,0))))</f>
        <v/>
      </c>
      <c r="P230" s="195"/>
      <c r="Q230" s="195"/>
      <c r="R230" s="507" t="str">
        <f t="shared" si="19"/>
        <v/>
      </c>
      <c r="S230" s="521" t="str">
        <f t="shared" si="20"/>
        <v/>
      </c>
      <c r="T230" s="522" t="str">
        <f t="shared" si="18"/>
        <v/>
      </c>
      <c r="U230" s="537" t="str">
        <f>IF(D230="","",VLOOKUP(D230,'G-6 Hedgerow Data'!$B$3:$AG$15,31,FALSE))</f>
        <v/>
      </c>
      <c r="V230" s="520" t="str">
        <f t="shared" si="21"/>
        <v/>
      </c>
      <c r="W230" s="520" t="str">
        <f t="shared" si="22"/>
        <v/>
      </c>
      <c r="X230" s="524" t="str">
        <f>IF(F230="","",VLOOKUP(U230,'G-3 Multipliers'!$P$3:$Q$6,2,FALSE))</f>
        <v/>
      </c>
      <c r="Y230" s="529" t="str">
        <f t="shared" si="23"/>
        <v/>
      </c>
      <c r="Z230" s="149"/>
      <c r="AA230" s="150"/>
      <c r="AG230" s="31" t="str">
        <f>IFERROR(INDEX('G-6 Hedgerow Data'!$BJ$3:$BJ$15,MATCH(D230,'G-6 Hedgerow Data'!$B$3:$B$15,0)),"")</f>
        <v/>
      </c>
    </row>
    <row r="231" spans="2:33" ht="14" x14ac:dyDescent="0.3">
      <c r="B231" s="103">
        <v>220</v>
      </c>
      <c r="C231" s="268"/>
      <c r="D231" s="82"/>
      <c r="E231" s="203"/>
      <c r="F231" s="498" t="str">
        <f>IF(D231="","",VLOOKUP(D231,'G-6 Hedgerow Data'!$B$2:$AG$15,2,FALSE))</f>
        <v/>
      </c>
      <c r="G231" s="524" t="str">
        <f>IF(D231="","",VLOOKUP(D231,'G-6 Hedgerow Data'!$B$2:$AG$15,3,FALSE))</f>
        <v/>
      </c>
      <c r="H231" s="72"/>
      <c r="I231" s="499" t="str">
        <f>IFERROR(IF(AND(F231="V.Low",OR(H231="Good",H231="Moderate")),"Error ▲",VLOOKUP(H231,'G-1 All Habitats'!$Z$2:$AA$9,2,FALSE)),"")</f>
        <v/>
      </c>
      <c r="J231" s="146"/>
      <c r="K231" s="520" t="str">
        <f>IF(J231="","",IF(VLOOKUP(J231,'G-3 Multipliers'!$L$3:$N$6,2,FALSE)=0,"Spatial Data Missing",VLOOKUP(J231,'G-3 Multipliers'!$L$3:$N$6,2,FALSE)))</f>
        <v/>
      </c>
      <c r="L231" s="524" t="str">
        <f>IF(J231="","",IF(VLOOKUP(J231,'G-3 Multipliers'!$L$3:$N$6,3,FALSE)=0,"Spatial Data Missing",VLOOKUP(J231,'G-3 Multipliers'!$L$3:$N$6,3,FALSE)))</f>
        <v/>
      </c>
      <c r="M231" s="197"/>
      <c r="N231" s="499" t="str">
        <f>IF(M231="","",IF(VLOOKUP(M231,'G-3 Multipliers'!$S$3:$T$6,2,FALSE)=0,"Spatial Data Missing ⚠",VLOOKUP(M231,'G-3 Multipliers'!$S$3:$T$6,2,FALSE)))</f>
        <v/>
      </c>
      <c r="O231" s="498" t="str">
        <f>IF(OR(D231="",H231=""),"",(INDEX('G-6 Hedgerow Data'!$E$3:$I$15,MATCH(D231,'G-6 Hedgerow Data'!$B$3:$B$15,0),MATCH(H231,'G-6 Hedgerow Data'!$E$2:$I$2,0))))</f>
        <v/>
      </c>
      <c r="P231" s="195"/>
      <c r="Q231" s="195"/>
      <c r="R231" s="507" t="str">
        <f t="shared" si="19"/>
        <v/>
      </c>
      <c r="S231" s="521" t="str">
        <f t="shared" si="20"/>
        <v/>
      </c>
      <c r="T231" s="522" t="str">
        <f t="shared" si="18"/>
        <v/>
      </c>
      <c r="U231" s="537" t="str">
        <f>IF(D231="","",VLOOKUP(D231,'G-6 Hedgerow Data'!$B$3:$AG$15,31,FALSE))</f>
        <v/>
      </c>
      <c r="V231" s="520" t="str">
        <f t="shared" si="21"/>
        <v/>
      </c>
      <c r="W231" s="520" t="str">
        <f t="shared" si="22"/>
        <v/>
      </c>
      <c r="X231" s="524" t="str">
        <f>IF(F231="","",VLOOKUP(U231,'G-3 Multipliers'!$P$3:$Q$6,2,FALSE))</f>
        <v/>
      </c>
      <c r="Y231" s="529" t="str">
        <f t="shared" si="23"/>
        <v/>
      </c>
      <c r="Z231" s="149"/>
      <c r="AA231" s="150"/>
      <c r="AG231" s="31" t="str">
        <f>IFERROR(INDEX('G-6 Hedgerow Data'!$BJ$3:$BJ$15,MATCH(D231,'G-6 Hedgerow Data'!$B$3:$B$15,0)),"")</f>
        <v/>
      </c>
    </row>
    <row r="232" spans="2:33" ht="14" x14ac:dyDescent="0.3">
      <c r="B232" s="103">
        <v>221</v>
      </c>
      <c r="C232" s="268"/>
      <c r="D232" s="82"/>
      <c r="E232" s="203"/>
      <c r="F232" s="498" t="str">
        <f>IF(D232="","",VLOOKUP(D232,'G-6 Hedgerow Data'!$B$2:$AG$15,2,FALSE))</f>
        <v/>
      </c>
      <c r="G232" s="524" t="str">
        <f>IF(D232="","",VLOOKUP(D232,'G-6 Hedgerow Data'!$B$2:$AG$15,3,FALSE))</f>
        <v/>
      </c>
      <c r="H232" s="72"/>
      <c r="I232" s="499" t="str">
        <f>IFERROR(IF(AND(F232="V.Low",OR(H232="Good",H232="Moderate")),"Error ▲",VLOOKUP(H232,'G-1 All Habitats'!$Z$2:$AA$9,2,FALSE)),"")</f>
        <v/>
      </c>
      <c r="J232" s="146"/>
      <c r="K232" s="520" t="str">
        <f>IF(J232="","",IF(VLOOKUP(J232,'G-3 Multipliers'!$L$3:$N$6,2,FALSE)=0,"Spatial Data Missing",VLOOKUP(J232,'G-3 Multipliers'!$L$3:$N$6,2,FALSE)))</f>
        <v/>
      </c>
      <c r="L232" s="524" t="str">
        <f>IF(J232="","",IF(VLOOKUP(J232,'G-3 Multipliers'!$L$3:$N$6,3,FALSE)=0,"Spatial Data Missing",VLOOKUP(J232,'G-3 Multipliers'!$L$3:$N$6,3,FALSE)))</f>
        <v/>
      </c>
      <c r="M232" s="197"/>
      <c r="N232" s="499" t="str">
        <f>IF(M232="","",IF(VLOOKUP(M232,'G-3 Multipliers'!$S$3:$T$6,2,FALSE)=0,"Spatial Data Missing ⚠",VLOOKUP(M232,'G-3 Multipliers'!$S$3:$T$6,2,FALSE)))</f>
        <v/>
      </c>
      <c r="O232" s="498" t="str">
        <f>IF(OR(D232="",H232=""),"",(INDEX('G-6 Hedgerow Data'!$E$3:$I$15,MATCH(D232,'G-6 Hedgerow Data'!$B$3:$B$15,0),MATCH(H232,'G-6 Hedgerow Data'!$E$2:$I$2,0))))</f>
        <v/>
      </c>
      <c r="P232" s="195"/>
      <c r="Q232" s="195"/>
      <c r="R232" s="507" t="str">
        <f t="shared" si="19"/>
        <v/>
      </c>
      <c r="S232" s="521" t="str">
        <f t="shared" si="20"/>
        <v/>
      </c>
      <c r="T232" s="522" t="str">
        <f t="shared" si="18"/>
        <v/>
      </c>
      <c r="U232" s="537" t="str">
        <f>IF(D232="","",VLOOKUP(D232,'G-6 Hedgerow Data'!$B$3:$AG$15,31,FALSE))</f>
        <v/>
      </c>
      <c r="V232" s="520" t="str">
        <f t="shared" si="21"/>
        <v/>
      </c>
      <c r="W232" s="520" t="str">
        <f t="shared" si="22"/>
        <v/>
      </c>
      <c r="X232" s="524" t="str">
        <f>IF(F232="","",VLOOKUP(U232,'G-3 Multipliers'!$P$3:$Q$6,2,FALSE))</f>
        <v/>
      </c>
      <c r="Y232" s="529" t="str">
        <f t="shared" si="23"/>
        <v/>
      </c>
      <c r="Z232" s="149"/>
      <c r="AA232" s="150"/>
      <c r="AG232" s="31" t="str">
        <f>IFERROR(INDEX('G-6 Hedgerow Data'!$BJ$3:$BJ$15,MATCH(D232,'G-6 Hedgerow Data'!$B$3:$B$15,0)),"")</f>
        <v/>
      </c>
    </row>
    <row r="233" spans="2:33" ht="14" x14ac:dyDescent="0.3">
      <c r="B233" s="103">
        <v>222</v>
      </c>
      <c r="C233" s="268"/>
      <c r="D233" s="82"/>
      <c r="E233" s="203"/>
      <c r="F233" s="498" t="str">
        <f>IF(D233="","",VLOOKUP(D233,'G-6 Hedgerow Data'!$B$2:$AG$15,2,FALSE))</f>
        <v/>
      </c>
      <c r="G233" s="524" t="str">
        <f>IF(D233="","",VLOOKUP(D233,'G-6 Hedgerow Data'!$B$2:$AG$15,3,FALSE))</f>
        <v/>
      </c>
      <c r="H233" s="72"/>
      <c r="I233" s="499" t="str">
        <f>IFERROR(IF(AND(F233="V.Low",OR(H233="Good",H233="Moderate")),"Error ▲",VLOOKUP(H233,'G-1 All Habitats'!$Z$2:$AA$9,2,FALSE)),"")</f>
        <v/>
      </c>
      <c r="J233" s="146"/>
      <c r="K233" s="520" t="str">
        <f>IF(J233="","",IF(VLOOKUP(J233,'G-3 Multipliers'!$L$3:$N$6,2,FALSE)=0,"Spatial Data Missing",VLOOKUP(J233,'G-3 Multipliers'!$L$3:$N$6,2,FALSE)))</f>
        <v/>
      </c>
      <c r="L233" s="524" t="str">
        <f>IF(J233="","",IF(VLOOKUP(J233,'G-3 Multipliers'!$L$3:$N$6,3,FALSE)=0,"Spatial Data Missing",VLOOKUP(J233,'G-3 Multipliers'!$L$3:$N$6,3,FALSE)))</f>
        <v/>
      </c>
      <c r="M233" s="197"/>
      <c r="N233" s="499" t="str">
        <f>IF(M233="","",IF(VLOOKUP(M233,'G-3 Multipliers'!$S$3:$T$6,2,FALSE)=0,"Spatial Data Missing ⚠",VLOOKUP(M233,'G-3 Multipliers'!$S$3:$T$6,2,FALSE)))</f>
        <v/>
      </c>
      <c r="O233" s="498" t="str">
        <f>IF(OR(D233="",H233=""),"",(INDEX('G-6 Hedgerow Data'!$E$3:$I$15,MATCH(D233,'G-6 Hedgerow Data'!$B$3:$B$15,0),MATCH(H233,'G-6 Hedgerow Data'!$E$2:$I$2,0))))</f>
        <v/>
      </c>
      <c r="P233" s="195"/>
      <c r="Q233" s="195"/>
      <c r="R233" s="507" t="str">
        <f t="shared" si="19"/>
        <v/>
      </c>
      <c r="S233" s="521" t="str">
        <f t="shared" si="20"/>
        <v/>
      </c>
      <c r="T233" s="522" t="str">
        <f t="shared" si="18"/>
        <v/>
      </c>
      <c r="U233" s="537" t="str">
        <f>IF(D233="","",VLOOKUP(D233,'G-6 Hedgerow Data'!$B$3:$AG$15,31,FALSE))</f>
        <v/>
      </c>
      <c r="V233" s="520" t="str">
        <f t="shared" si="21"/>
        <v/>
      </c>
      <c r="W233" s="520" t="str">
        <f t="shared" si="22"/>
        <v/>
      </c>
      <c r="X233" s="524" t="str">
        <f>IF(F233="","",VLOOKUP(U233,'G-3 Multipliers'!$P$3:$Q$6,2,FALSE))</f>
        <v/>
      </c>
      <c r="Y233" s="529" t="str">
        <f t="shared" si="23"/>
        <v/>
      </c>
      <c r="Z233" s="149"/>
      <c r="AA233" s="150"/>
      <c r="AG233" s="31" t="str">
        <f>IFERROR(INDEX('G-6 Hedgerow Data'!$BJ$3:$BJ$15,MATCH(D233,'G-6 Hedgerow Data'!$B$3:$B$15,0)),"")</f>
        <v/>
      </c>
    </row>
    <row r="234" spans="2:33" ht="14" x14ac:dyDescent="0.3">
      <c r="B234" s="103">
        <v>223</v>
      </c>
      <c r="C234" s="268"/>
      <c r="D234" s="82"/>
      <c r="E234" s="203"/>
      <c r="F234" s="498" t="str">
        <f>IF(D234="","",VLOOKUP(D234,'G-6 Hedgerow Data'!$B$2:$AG$15,2,FALSE))</f>
        <v/>
      </c>
      <c r="G234" s="524" t="str">
        <f>IF(D234="","",VLOOKUP(D234,'G-6 Hedgerow Data'!$B$2:$AG$15,3,FALSE))</f>
        <v/>
      </c>
      <c r="H234" s="72"/>
      <c r="I234" s="499" t="str">
        <f>IFERROR(IF(AND(F234="V.Low",OR(H234="Good",H234="Moderate")),"Error ▲",VLOOKUP(H234,'G-1 All Habitats'!$Z$2:$AA$9,2,FALSE)),"")</f>
        <v/>
      </c>
      <c r="J234" s="146"/>
      <c r="K234" s="520" t="str">
        <f>IF(J234="","",IF(VLOOKUP(J234,'G-3 Multipliers'!$L$3:$N$6,2,FALSE)=0,"Spatial Data Missing",VLOOKUP(J234,'G-3 Multipliers'!$L$3:$N$6,2,FALSE)))</f>
        <v/>
      </c>
      <c r="L234" s="524" t="str">
        <f>IF(J234="","",IF(VLOOKUP(J234,'G-3 Multipliers'!$L$3:$N$6,3,FALSE)=0,"Spatial Data Missing",VLOOKUP(J234,'G-3 Multipliers'!$L$3:$N$6,3,FALSE)))</f>
        <v/>
      </c>
      <c r="M234" s="197"/>
      <c r="N234" s="499" t="str">
        <f>IF(M234="","",IF(VLOOKUP(M234,'G-3 Multipliers'!$S$3:$T$6,2,FALSE)=0,"Spatial Data Missing ⚠",VLOOKUP(M234,'G-3 Multipliers'!$S$3:$T$6,2,FALSE)))</f>
        <v/>
      </c>
      <c r="O234" s="498" t="str">
        <f>IF(OR(D234="",H234=""),"",(INDEX('G-6 Hedgerow Data'!$E$3:$I$15,MATCH(D234,'G-6 Hedgerow Data'!$B$3:$B$15,0),MATCH(H234,'G-6 Hedgerow Data'!$E$2:$I$2,0))))</f>
        <v/>
      </c>
      <c r="P234" s="195"/>
      <c r="Q234" s="195"/>
      <c r="R234" s="507" t="str">
        <f t="shared" si="19"/>
        <v/>
      </c>
      <c r="S234" s="521" t="str">
        <f t="shared" si="20"/>
        <v/>
      </c>
      <c r="T234" s="522" t="str">
        <f t="shared" si="18"/>
        <v/>
      </c>
      <c r="U234" s="537" t="str">
        <f>IF(D234="","",VLOOKUP(D234,'G-6 Hedgerow Data'!$B$3:$AG$15,31,FALSE))</f>
        <v/>
      </c>
      <c r="V234" s="520" t="str">
        <f t="shared" si="21"/>
        <v/>
      </c>
      <c r="W234" s="520" t="str">
        <f t="shared" si="22"/>
        <v/>
      </c>
      <c r="X234" s="524" t="str">
        <f>IF(F234="","",VLOOKUP(U234,'G-3 Multipliers'!$P$3:$Q$6,2,FALSE))</f>
        <v/>
      </c>
      <c r="Y234" s="529" t="str">
        <f t="shared" si="23"/>
        <v/>
      </c>
      <c r="Z234" s="149"/>
      <c r="AA234" s="150"/>
      <c r="AG234" s="31" t="str">
        <f>IFERROR(INDEX('G-6 Hedgerow Data'!$BJ$3:$BJ$15,MATCH(D234,'G-6 Hedgerow Data'!$B$3:$B$15,0)),"")</f>
        <v/>
      </c>
    </row>
    <row r="235" spans="2:33" ht="14" x14ac:dyDescent="0.3">
      <c r="B235" s="103">
        <v>224</v>
      </c>
      <c r="C235" s="268"/>
      <c r="D235" s="82"/>
      <c r="E235" s="203"/>
      <c r="F235" s="498" t="str">
        <f>IF(D235="","",VLOOKUP(D235,'G-6 Hedgerow Data'!$B$2:$AG$15,2,FALSE))</f>
        <v/>
      </c>
      <c r="G235" s="524" t="str">
        <f>IF(D235="","",VLOOKUP(D235,'G-6 Hedgerow Data'!$B$2:$AG$15,3,FALSE))</f>
        <v/>
      </c>
      <c r="H235" s="72"/>
      <c r="I235" s="499" t="str">
        <f>IFERROR(IF(AND(F235="V.Low",OR(H235="Good",H235="Moderate")),"Error ▲",VLOOKUP(H235,'G-1 All Habitats'!$Z$2:$AA$9,2,FALSE)),"")</f>
        <v/>
      </c>
      <c r="J235" s="146"/>
      <c r="K235" s="520" t="str">
        <f>IF(J235="","",IF(VLOOKUP(J235,'G-3 Multipliers'!$L$3:$N$6,2,FALSE)=0,"Spatial Data Missing",VLOOKUP(J235,'G-3 Multipliers'!$L$3:$N$6,2,FALSE)))</f>
        <v/>
      </c>
      <c r="L235" s="524" t="str">
        <f>IF(J235="","",IF(VLOOKUP(J235,'G-3 Multipliers'!$L$3:$N$6,3,FALSE)=0,"Spatial Data Missing",VLOOKUP(J235,'G-3 Multipliers'!$L$3:$N$6,3,FALSE)))</f>
        <v/>
      </c>
      <c r="M235" s="197"/>
      <c r="N235" s="499" t="str">
        <f>IF(M235="","",IF(VLOOKUP(M235,'G-3 Multipliers'!$S$3:$T$6,2,FALSE)=0,"Spatial Data Missing ⚠",VLOOKUP(M235,'G-3 Multipliers'!$S$3:$T$6,2,FALSE)))</f>
        <v/>
      </c>
      <c r="O235" s="498" t="str">
        <f>IF(OR(D235="",H235=""),"",(INDEX('G-6 Hedgerow Data'!$E$3:$I$15,MATCH(D235,'G-6 Hedgerow Data'!$B$3:$B$15,0),MATCH(H235,'G-6 Hedgerow Data'!$E$2:$I$2,0))))</f>
        <v/>
      </c>
      <c r="P235" s="195"/>
      <c r="Q235" s="195"/>
      <c r="R235" s="507" t="str">
        <f t="shared" si="19"/>
        <v/>
      </c>
      <c r="S235" s="521" t="str">
        <f t="shared" si="20"/>
        <v/>
      </c>
      <c r="T235" s="522" t="str">
        <f t="shared" si="18"/>
        <v/>
      </c>
      <c r="U235" s="537" t="str">
        <f>IF(D235="","",VLOOKUP(D235,'G-6 Hedgerow Data'!$B$3:$AG$15,31,FALSE))</f>
        <v/>
      </c>
      <c r="V235" s="520" t="str">
        <f t="shared" si="21"/>
        <v/>
      </c>
      <c r="W235" s="520" t="str">
        <f t="shared" si="22"/>
        <v/>
      </c>
      <c r="X235" s="524" t="str">
        <f>IF(F235="","",VLOOKUP(U235,'G-3 Multipliers'!$P$3:$Q$6,2,FALSE))</f>
        <v/>
      </c>
      <c r="Y235" s="529" t="str">
        <f t="shared" si="23"/>
        <v/>
      </c>
      <c r="Z235" s="149"/>
      <c r="AA235" s="150"/>
      <c r="AG235" s="31" t="str">
        <f>IFERROR(INDEX('G-6 Hedgerow Data'!$BJ$3:$BJ$15,MATCH(D235,'G-6 Hedgerow Data'!$B$3:$B$15,0)),"")</f>
        <v/>
      </c>
    </row>
    <row r="236" spans="2:33" ht="14" x14ac:dyDescent="0.3">
      <c r="B236" s="103">
        <v>225</v>
      </c>
      <c r="C236" s="268"/>
      <c r="D236" s="82"/>
      <c r="E236" s="203"/>
      <c r="F236" s="498" t="str">
        <f>IF(D236="","",VLOOKUP(D236,'G-6 Hedgerow Data'!$B$2:$AG$15,2,FALSE))</f>
        <v/>
      </c>
      <c r="G236" s="524" t="str">
        <f>IF(D236="","",VLOOKUP(D236,'G-6 Hedgerow Data'!$B$2:$AG$15,3,FALSE))</f>
        <v/>
      </c>
      <c r="H236" s="72"/>
      <c r="I236" s="499" t="str">
        <f>IFERROR(IF(AND(F236="V.Low",OR(H236="Good",H236="Moderate")),"Error ▲",VLOOKUP(H236,'G-1 All Habitats'!$Z$2:$AA$9,2,FALSE)),"")</f>
        <v/>
      </c>
      <c r="J236" s="146"/>
      <c r="K236" s="520" t="str">
        <f>IF(J236="","",IF(VLOOKUP(J236,'G-3 Multipliers'!$L$3:$N$6,2,FALSE)=0,"Spatial Data Missing",VLOOKUP(J236,'G-3 Multipliers'!$L$3:$N$6,2,FALSE)))</f>
        <v/>
      </c>
      <c r="L236" s="524" t="str">
        <f>IF(J236="","",IF(VLOOKUP(J236,'G-3 Multipliers'!$L$3:$N$6,3,FALSE)=0,"Spatial Data Missing",VLOOKUP(J236,'G-3 Multipliers'!$L$3:$N$6,3,FALSE)))</f>
        <v/>
      </c>
      <c r="M236" s="197"/>
      <c r="N236" s="499" t="str">
        <f>IF(M236="","",IF(VLOOKUP(M236,'G-3 Multipliers'!$S$3:$T$6,2,FALSE)=0,"Spatial Data Missing ⚠",VLOOKUP(M236,'G-3 Multipliers'!$S$3:$T$6,2,FALSE)))</f>
        <v/>
      </c>
      <c r="O236" s="498" t="str">
        <f>IF(OR(D236="",H236=""),"",(INDEX('G-6 Hedgerow Data'!$E$3:$I$15,MATCH(D236,'G-6 Hedgerow Data'!$B$3:$B$15,0),MATCH(H236,'G-6 Hedgerow Data'!$E$2:$I$2,0))))</f>
        <v/>
      </c>
      <c r="P236" s="195"/>
      <c r="Q236" s="195"/>
      <c r="R236" s="507" t="str">
        <f t="shared" si="19"/>
        <v/>
      </c>
      <c r="S236" s="521" t="str">
        <f t="shared" si="20"/>
        <v/>
      </c>
      <c r="T236" s="522" t="str">
        <f t="shared" si="18"/>
        <v/>
      </c>
      <c r="U236" s="537" t="str">
        <f>IF(D236="","",VLOOKUP(D236,'G-6 Hedgerow Data'!$B$3:$AG$15,31,FALSE))</f>
        <v/>
      </c>
      <c r="V236" s="520" t="str">
        <f t="shared" si="21"/>
        <v/>
      </c>
      <c r="W236" s="520" t="str">
        <f t="shared" si="22"/>
        <v/>
      </c>
      <c r="X236" s="524" t="str">
        <f>IF(F236="","",VLOOKUP(U236,'G-3 Multipliers'!$P$3:$Q$6,2,FALSE))</f>
        <v/>
      </c>
      <c r="Y236" s="529" t="str">
        <f t="shared" si="23"/>
        <v/>
      </c>
      <c r="Z236" s="149"/>
      <c r="AA236" s="150"/>
      <c r="AG236" s="31" t="str">
        <f>IFERROR(INDEX('G-6 Hedgerow Data'!$BJ$3:$BJ$15,MATCH(D236,'G-6 Hedgerow Data'!$B$3:$B$15,0)),"")</f>
        <v/>
      </c>
    </row>
    <row r="237" spans="2:33" ht="14" x14ac:dyDescent="0.3">
      <c r="B237" s="103">
        <v>226</v>
      </c>
      <c r="C237" s="268"/>
      <c r="D237" s="82"/>
      <c r="E237" s="203"/>
      <c r="F237" s="498" t="str">
        <f>IF(D237="","",VLOOKUP(D237,'G-6 Hedgerow Data'!$B$2:$AG$15,2,FALSE))</f>
        <v/>
      </c>
      <c r="G237" s="524" t="str">
        <f>IF(D237="","",VLOOKUP(D237,'G-6 Hedgerow Data'!$B$2:$AG$15,3,FALSE))</f>
        <v/>
      </c>
      <c r="H237" s="72"/>
      <c r="I237" s="499" t="str">
        <f>IFERROR(IF(AND(F237="V.Low",OR(H237="Good",H237="Moderate")),"Error ▲",VLOOKUP(H237,'G-1 All Habitats'!$Z$2:$AA$9,2,FALSE)),"")</f>
        <v/>
      </c>
      <c r="J237" s="146"/>
      <c r="K237" s="520" t="str">
        <f>IF(J237="","",IF(VLOOKUP(J237,'G-3 Multipliers'!$L$3:$N$6,2,FALSE)=0,"Spatial Data Missing",VLOOKUP(J237,'G-3 Multipliers'!$L$3:$N$6,2,FALSE)))</f>
        <v/>
      </c>
      <c r="L237" s="524" t="str">
        <f>IF(J237="","",IF(VLOOKUP(J237,'G-3 Multipliers'!$L$3:$N$6,3,FALSE)=0,"Spatial Data Missing",VLOOKUP(J237,'G-3 Multipliers'!$L$3:$N$6,3,FALSE)))</f>
        <v/>
      </c>
      <c r="M237" s="197"/>
      <c r="N237" s="499" t="str">
        <f>IF(M237="","",IF(VLOOKUP(M237,'G-3 Multipliers'!$S$3:$T$6,2,FALSE)=0,"Spatial Data Missing ⚠",VLOOKUP(M237,'G-3 Multipliers'!$S$3:$T$6,2,FALSE)))</f>
        <v/>
      </c>
      <c r="O237" s="498" t="str">
        <f>IF(OR(D237="",H237=""),"",(INDEX('G-6 Hedgerow Data'!$E$3:$I$15,MATCH(D237,'G-6 Hedgerow Data'!$B$3:$B$15,0),MATCH(H237,'G-6 Hedgerow Data'!$E$2:$I$2,0))))</f>
        <v/>
      </c>
      <c r="P237" s="195"/>
      <c r="Q237" s="195"/>
      <c r="R237" s="507" t="str">
        <f t="shared" si="19"/>
        <v/>
      </c>
      <c r="S237" s="521" t="str">
        <f t="shared" si="20"/>
        <v/>
      </c>
      <c r="T237" s="522" t="str">
        <f t="shared" si="18"/>
        <v/>
      </c>
      <c r="U237" s="537" t="str">
        <f>IF(D237="","",VLOOKUP(D237,'G-6 Hedgerow Data'!$B$3:$AG$15,31,FALSE))</f>
        <v/>
      </c>
      <c r="V237" s="520" t="str">
        <f t="shared" si="21"/>
        <v/>
      </c>
      <c r="W237" s="520" t="str">
        <f t="shared" si="22"/>
        <v/>
      </c>
      <c r="X237" s="524" t="str">
        <f>IF(F237="","",VLOOKUP(U237,'G-3 Multipliers'!$P$3:$Q$6,2,FALSE))</f>
        <v/>
      </c>
      <c r="Y237" s="529" t="str">
        <f t="shared" si="23"/>
        <v/>
      </c>
      <c r="Z237" s="149"/>
      <c r="AA237" s="150"/>
      <c r="AG237" s="31" t="str">
        <f>IFERROR(INDEX('G-6 Hedgerow Data'!$BJ$3:$BJ$15,MATCH(D237,'G-6 Hedgerow Data'!$B$3:$B$15,0)),"")</f>
        <v/>
      </c>
    </row>
    <row r="238" spans="2:33" ht="14" x14ac:dyDescent="0.3">
      <c r="B238" s="103">
        <v>227</v>
      </c>
      <c r="C238" s="268"/>
      <c r="D238" s="82"/>
      <c r="E238" s="203"/>
      <c r="F238" s="498" t="str">
        <f>IF(D238="","",VLOOKUP(D238,'G-6 Hedgerow Data'!$B$2:$AG$15,2,FALSE))</f>
        <v/>
      </c>
      <c r="G238" s="524" t="str">
        <f>IF(D238="","",VLOOKUP(D238,'G-6 Hedgerow Data'!$B$2:$AG$15,3,FALSE))</f>
        <v/>
      </c>
      <c r="H238" s="72"/>
      <c r="I238" s="499" t="str">
        <f>IFERROR(IF(AND(F238="V.Low",OR(H238="Good",H238="Moderate")),"Error ▲",VLOOKUP(H238,'G-1 All Habitats'!$Z$2:$AA$9,2,FALSE)),"")</f>
        <v/>
      </c>
      <c r="J238" s="146"/>
      <c r="K238" s="520" t="str">
        <f>IF(J238="","",IF(VLOOKUP(J238,'G-3 Multipliers'!$L$3:$N$6,2,FALSE)=0,"Spatial Data Missing",VLOOKUP(J238,'G-3 Multipliers'!$L$3:$N$6,2,FALSE)))</f>
        <v/>
      </c>
      <c r="L238" s="524" t="str">
        <f>IF(J238="","",IF(VLOOKUP(J238,'G-3 Multipliers'!$L$3:$N$6,3,FALSE)=0,"Spatial Data Missing",VLOOKUP(J238,'G-3 Multipliers'!$L$3:$N$6,3,FALSE)))</f>
        <v/>
      </c>
      <c r="M238" s="197"/>
      <c r="N238" s="499" t="str">
        <f>IF(M238="","",IF(VLOOKUP(M238,'G-3 Multipliers'!$S$3:$T$6,2,FALSE)=0,"Spatial Data Missing ⚠",VLOOKUP(M238,'G-3 Multipliers'!$S$3:$T$6,2,FALSE)))</f>
        <v/>
      </c>
      <c r="O238" s="498" t="str">
        <f>IF(OR(D238="",H238=""),"",(INDEX('G-6 Hedgerow Data'!$E$3:$I$15,MATCH(D238,'G-6 Hedgerow Data'!$B$3:$B$15,0),MATCH(H238,'G-6 Hedgerow Data'!$E$2:$I$2,0))))</f>
        <v/>
      </c>
      <c r="P238" s="195"/>
      <c r="Q238" s="195"/>
      <c r="R238" s="507" t="str">
        <f t="shared" si="19"/>
        <v/>
      </c>
      <c r="S238" s="521" t="str">
        <f t="shared" si="20"/>
        <v/>
      </c>
      <c r="T238" s="522" t="str">
        <f t="shared" si="18"/>
        <v/>
      </c>
      <c r="U238" s="537" t="str">
        <f>IF(D238="","",VLOOKUP(D238,'G-6 Hedgerow Data'!$B$3:$AG$15,31,FALSE))</f>
        <v/>
      </c>
      <c r="V238" s="520" t="str">
        <f t="shared" si="21"/>
        <v/>
      </c>
      <c r="W238" s="520" t="str">
        <f t="shared" si="22"/>
        <v/>
      </c>
      <c r="X238" s="524" t="str">
        <f>IF(F238="","",VLOOKUP(U238,'G-3 Multipliers'!$P$3:$Q$6,2,FALSE))</f>
        <v/>
      </c>
      <c r="Y238" s="529" t="str">
        <f t="shared" si="23"/>
        <v/>
      </c>
      <c r="Z238" s="149"/>
      <c r="AA238" s="150"/>
      <c r="AG238" s="31" t="str">
        <f>IFERROR(INDEX('G-6 Hedgerow Data'!$BJ$3:$BJ$15,MATCH(D238,'G-6 Hedgerow Data'!$B$3:$B$15,0)),"")</f>
        <v/>
      </c>
    </row>
    <row r="239" spans="2:33" ht="14" x14ac:dyDescent="0.3">
      <c r="B239" s="103">
        <v>228</v>
      </c>
      <c r="C239" s="268"/>
      <c r="D239" s="82"/>
      <c r="E239" s="203"/>
      <c r="F239" s="498" t="str">
        <f>IF(D239="","",VLOOKUP(D239,'G-6 Hedgerow Data'!$B$2:$AG$15,2,FALSE))</f>
        <v/>
      </c>
      <c r="G239" s="524" t="str">
        <f>IF(D239="","",VLOOKUP(D239,'G-6 Hedgerow Data'!$B$2:$AG$15,3,FALSE))</f>
        <v/>
      </c>
      <c r="H239" s="72"/>
      <c r="I239" s="499" t="str">
        <f>IFERROR(IF(AND(F239="V.Low",OR(H239="Good",H239="Moderate")),"Error ▲",VLOOKUP(H239,'G-1 All Habitats'!$Z$2:$AA$9,2,FALSE)),"")</f>
        <v/>
      </c>
      <c r="J239" s="146"/>
      <c r="K239" s="520" t="str">
        <f>IF(J239="","",IF(VLOOKUP(J239,'G-3 Multipliers'!$L$3:$N$6,2,FALSE)=0,"Spatial Data Missing",VLOOKUP(J239,'G-3 Multipliers'!$L$3:$N$6,2,FALSE)))</f>
        <v/>
      </c>
      <c r="L239" s="524" t="str">
        <f>IF(J239="","",IF(VLOOKUP(J239,'G-3 Multipliers'!$L$3:$N$6,3,FALSE)=0,"Spatial Data Missing",VLOOKUP(J239,'G-3 Multipliers'!$L$3:$N$6,3,FALSE)))</f>
        <v/>
      </c>
      <c r="M239" s="197"/>
      <c r="N239" s="499" t="str">
        <f>IF(M239="","",IF(VLOOKUP(M239,'G-3 Multipliers'!$S$3:$T$6,2,FALSE)=0,"Spatial Data Missing ⚠",VLOOKUP(M239,'G-3 Multipliers'!$S$3:$T$6,2,FALSE)))</f>
        <v/>
      </c>
      <c r="O239" s="498" t="str">
        <f>IF(OR(D239="",H239=""),"",(INDEX('G-6 Hedgerow Data'!$E$3:$I$15,MATCH(D239,'G-6 Hedgerow Data'!$B$3:$B$15,0),MATCH(H239,'G-6 Hedgerow Data'!$E$2:$I$2,0))))</f>
        <v/>
      </c>
      <c r="P239" s="195"/>
      <c r="Q239" s="195"/>
      <c r="R239" s="507" t="str">
        <f t="shared" si="19"/>
        <v/>
      </c>
      <c r="S239" s="521" t="str">
        <f t="shared" si="20"/>
        <v/>
      </c>
      <c r="T239" s="522" t="str">
        <f t="shared" si="18"/>
        <v/>
      </c>
      <c r="U239" s="537" t="str">
        <f>IF(D239="","",VLOOKUP(D239,'G-6 Hedgerow Data'!$B$3:$AG$15,31,FALSE))</f>
        <v/>
      </c>
      <c r="V239" s="520" t="str">
        <f t="shared" si="21"/>
        <v/>
      </c>
      <c r="W239" s="520" t="str">
        <f t="shared" si="22"/>
        <v/>
      </c>
      <c r="X239" s="524" t="str">
        <f>IF(F239="","",VLOOKUP(U239,'G-3 Multipliers'!$P$3:$Q$6,2,FALSE))</f>
        <v/>
      </c>
      <c r="Y239" s="529" t="str">
        <f t="shared" si="23"/>
        <v/>
      </c>
      <c r="Z239" s="149"/>
      <c r="AA239" s="150"/>
      <c r="AG239" s="31" t="str">
        <f>IFERROR(INDEX('G-6 Hedgerow Data'!$BJ$3:$BJ$15,MATCH(D239,'G-6 Hedgerow Data'!$B$3:$B$15,0)),"")</f>
        <v/>
      </c>
    </row>
    <row r="240" spans="2:33" ht="14" x14ac:dyDescent="0.3">
      <c r="B240" s="103">
        <v>229</v>
      </c>
      <c r="C240" s="268"/>
      <c r="D240" s="82"/>
      <c r="E240" s="203"/>
      <c r="F240" s="498" t="str">
        <f>IF(D240="","",VLOOKUP(D240,'G-6 Hedgerow Data'!$B$2:$AG$15,2,FALSE))</f>
        <v/>
      </c>
      <c r="G240" s="524" t="str">
        <f>IF(D240="","",VLOOKUP(D240,'G-6 Hedgerow Data'!$B$2:$AG$15,3,FALSE))</f>
        <v/>
      </c>
      <c r="H240" s="72"/>
      <c r="I240" s="499" t="str">
        <f>IFERROR(IF(AND(F240="V.Low",OR(H240="Good",H240="Moderate")),"Error ▲",VLOOKUP(H240,'G-1 All Habitats'!$Z$2:$AA$9,2,FALSE)),"")</f>
        <v/>
      </c>
      <c r="J240" s="146"/>
      <c r="K240" s="520" t="str">
        <f>IF(J240="","",IF(VLOOKUP(J240,'G-3 Multipliers'!$L$3:$N$6,2,FALSE)=0,"Spatial Data Missing",VLOOKUP(J240,'G-3 Multipliers'!$L$3:$N$6,2,FALSE)))</f>
        <v/>
      </c>
      <c r="L240" s="524" t="str">
        <f>IF(J240="","",IF(VLOOKUP(J240,'G-3 Multipliers'!$L$3:$N$6,3,FALSE)=0,"Spatial Data Missing",VLOOKUP(J240,'G-3 Multipliers'!$L$3:$N$6,3,FALSE)))</f>
        <v/>
      </c>
      <c r="M240" s="197"/>
      <c r="N240" s="499" t="str">
        <f>IF(M240="","",IF(VLOOKUP(M240,'G-3 Multipliers'!$S$3:$T$6,2,FALSE)=0,"Spatial Data Missing ⚠",VLOOKUP(M240,'G-3 Multipliers'!$S$3:$T$6,2,FALSE)))</f>
        <v/>
      </c>
      <c r="O240" s="498" t="str">
        <f>IF(OR(D240="",H240=""),"",(INDEX('G-6 Hedgerow Data'!$E$3:$I$15,MATCH(D240,'G-6 Hedgerow Data'!$B$3:$B$15,0),MATCH(H240,'G-6 Hedgerow Data'!$E$2:$I$2,0))))</f>
        <v/>
      </c>
      <c r="P240" s="195"/>
      <c r="Q240" s="195"/>
      <c r="R240" s="507" t="str">
        <f t="shared" si="19"/>
        <v/>
      </c>
      <c r="S240" s="521" t="str">
        <f t="shared" si="20"/>
        <v/>
      </c>
      <c r="T240" s="522" t="str">
        <f t="shared" si="18"/>
        <v/>
      </c>
      <c r="U240" s="537" t="str">
        <f>IF(D240="","",VLOOKUP(D240,'G-6 Hedgerow Data'!$B$3:$AG$15,31,FALSE))</f>
        <v/>
      </c>
      <c r="V240" s="520" t="str">
        <f t="shared" si="21"/>
        <v/>
      </c>
      <c r="W240" s="520" t="str">
        <f t="shared" si="22"/>
        <v/>
      </c>
      <c r="X240" s="524" t="str">
        <f>IF(F240="","",VLOOKUP(U240,'G-3 Multipliers'!$P$3:$Q$6,2,FALSE))</f>
        <v/>
      </c>
      <c r="Y240" s="529" t="str">
        <f t="shared" si="23"/>
        <v/>
      </c>
      <c r="Z240" s="149"/>
      <c r="AA240" s="150"/>
      <c r="AG240" s="31" t="str">
        <f>IFERROR(INDEX('G-6 Hedgerow Data'!$BJ$3:$BJ$15,MATCH(D240,'G-6 Hedgerow Data'!$B$3:$B$15,0)),"")</f>
        <v/>
      </c>
    </row>
    <row r="241" spans="2:33" ht="14" x14ac:dyDescent="0.3">
      <c r="B241" s="103">
        <v>230</v>
      </c>
      <c r="C241" s="268"/>
      <c r="D241" s="82"/>
      <c r="E241" s="203"/>
      <c r="F241" s="498" t="str">
        <f>IF(D241="","",VLOOKUP(D241,'G-6 Hedgerow Data'!$B$2:$AG$15,2,FALSE))</f>
        <v/>
      </c>
      <c r="G241" s="524" t="str">
        <f>IF(D241="","",VLOOKUP(D241,'G-6 Hedgerow Data'!$B$2:$AG$15,3,FALSE))</f>
        <v/>
      </c>
      <c r="H241" s="72"/>
      <c r="I241" s="499" t="str">
        <f>IFERROR(IF(AND(F241="V.Low",OR(H241="Good",H241="Moderate")),"Error ▲",VLOOKUP(H241,'G-1 All Habitats'!$Z$2:$AA$9,2,FALSE)),"")</f>
        <v/>
      </c>
      <c r="J241" s="146"/>
      <c r="K241" s="520" t="str">
        <f>IF(J241="","",IF(VLOOKUP(J241,'G-3 Multipliers'!$L$3:$N$6,2,FALSE)=0,"Spatial Data Missing",VLOOKUP(J241,'G-3 Multipliers'!$L$3:$N$6,2,FALSE)))</f>
        <v/>
      </c>
      <c r="L241" s="524" t="str">
        <f>IF(J241="","",IF(VLOOKUP(J241,'G-3 Multipliers'!$L$3:$N$6,3,FALSE)=0,"Spatial Data Missing",VLOOKUP(J241,'G-3 Multipliers'!$L$3:$N$6,3,FALSE)))</f>
        <v/>
      </c>
      <c r="M241" s="197"/>
      <c r="N241" s="499" t="str">
        <f>IF(M241="","",IF(VLOOKUP(M241,'G-3 Multipliers'!$S$3:$T$6,2,FALSE)=0,"Spatial Data Missing ⚠",VLOOKUP(M241,'G-3 Multipliers'!$S$3:$T$6,2,FALSE)))</f>
        <v/>
      </c>
      <c r="O241" s="498" t="str">
        <f>IF(OR(D241="",H241=""),"",(INDEX('G-6 Hedgerow Data'!$E$3:$I$15,MATCH(D241,'G-6 Hedgerow Data'!$B$3:$B$15,0),MATCH(H241,'G-6 Hedgerow Data'!$E$2:$I$2,0))))</f>
        <v/>
      </c>
      <c r="P241" s="195"/>
      <c r="Q241" s="195"/>
      <c r="R241" s="507" t="str">
        <f t="shared" si="19"/>
        <v/>
      </c>
      <c r="S241" s="521" t="str">
        <f t="shared" si="20"/>
        <v/>
      </c>
      <c r="T241" s="522" t="str">
        <f t="shared" si="18"/>
        <v/>
      </c>
      <c r="U241" s="537" t="str">
        <f>IF(D241="","",VLOOKUP(D241,'G-6 Hedgerow Data'!$B$3:$AG$15,31,FALSE))</f>
        <v/>
      </c>
      <c r="V241" s="520" t="str">
        <f t="shared" si="21"/>
        <v/>
      </c>
      <c r="W241" s="520" t="str">
        <f t="shared" si="22"/>
        <v/>
      </c>
      <c r="X241" s="524" t="str">
        <f>IF(F241="","",VLOOKUP(U241,'G-3 Multipliers'!$P$3:$Q$6,2,FALSE))</f>
        <v/>
      </c>
      <c r="Y241" s="529" t="str">
        <f t="shared" si="23"/>
        <v/>
      </c>
      <c r="Z241" s="149"/>
      <c r="AA241" s="150"/>
      <c r="AG241" s="31" t="str">
        <f>IFERROR(INDEX('G-6 Hedgerow Data'!$BJ$3:$BJ$15,MATCH(D241,'G-6 Hedgerow Data'!$B$3:$B$15,0)),"")</f>
        <v/>
      </c>
    </row>
    <row r="242" spans="2:33" ht="14" x14ac:dyDescent="0.3">
      <c r="B242" s="103">
        <v>231</v>
      </c>
      <c r="C242" s="268"/>
      <c r="D242" s="82"/>
      <c r="E242" s="203"/>
      <c r="F242" s="498" t="str">
        <f>IF(D242="","",VLOOKUP(D242,'G-6 Hedgerow Data'!$B$2:$AG$15,2,FALSE))</f>
        <v/>
      </c>
      <c r="G242" s="524" t="str">
        <f>IF(D242="","",VLOOKUP(D242,'G-6 Hedgerow Data'!$B$2:$AG$15,3,FALSE))</f>
        <v/>
      </c>
      <c r="H242" s="72"/>
      <c r="I242" s="499" t="str">
        <f>IFERROR(IF(AND(F242="V.Low",OR(H242="Good",H242="Moderate")),"Error ▲",VLOOKUP(H242,'G-1 All Habitats'!$Z$2:$AA$9,2,FALSE)),"")</f>
        <v/>
      </c>
      <c r="J242" s="146"/>
      <c r="K242" s="520" t="str">
        <f>IF(J242="","",IF(VLOOKUP(J242,'G-3 Multipliers'!$L$3:$N$6,2,FALSE)=0,"Spatial Data Missing",VLOOKUP(J242,'G-3 Multipliers'!$L$3:$N$6,2,FALSE)))</f>
        <v/>
      </c>
      <c r="L242" s="524" t="str">
        <f>IF(J242="","",IF(VLOOKUP(J242,'G-3 Multipliers'!$L$3:$N$6,3,FALSE)=0,"Spatial Data Missing",VLOOKUP(J242,'G-3 Multipliers'!$L$3:$N$6,3,FALSE)))</f>
        <v/>
      </c>
      <c r="M242" s="197"/>
      <c r="N242" s="499" t="str">
        <f>IF(M242="","",IF(VLOOKUP(M242,'G-3 Multipliers'!$S$3:$T$6,2,FALSE)=0,"Spatial Data Missing ⚠",VLOOKUP(M242,'G-3 Multipliers'!$S$3:$T$6,2,FALSE)))</f>
        <v/>
      </c>
      <c r="O242" s="498" t="str">
        <f>IF(OR(D242="",H242=""),"",(INDEX('G-6 Hedgerow Data'!$E$3:$I$15,MATCH(D242,'G-6 Hedgerow Data'!$B$3:$B$15,0),MATCH(H242,'G-6 Hedgerow Data'!$E$2:$I$2,0))))</f>
        <v/>
      </c>
      <c r="P242" s="195"/>
      <c r="Q242" s="195"/>
      <c r="R242" s="507" t="str">
        <f t="shared" si="19"/>
        <v/>
      </c>
      <c r="S242" s="521" t="str">
        <f t="shared" si="20"/>
        <v/>
      </c>
      <c r="T242" s="522" t="str">
        <f t="shared" si="18"/>
        <v/>
      </c>
      <c r="U242" s="537" t="str">
        <f>IF(D242="","",VLOOKUP(D242,'G-6 Hedgerow Data'!$B$3:$AG$15,31,FALSE))</f>
        <v/>
      </c>
      <c r="V242" s="520" t="str">
        <f t="shared" si="21"/>
        <v/>
      </c>
      <c r="W242" s="520" t="str">
        <f t="shared" si="22"/>
        <v/>
      </c>
      <c r="X242" s="524" t="str">
        <f>IF(F242="","",VLOOKUP(U242,'G-3 Multipliers'!$P$3:$Q$6,2,FALSE))</f>
        <v/>
      </c>
      <c r="Y242" s="529" t="str">
        <f t="shared" si="23"/>
        <v/>
      </c>
      <c r="Z242" s="149"/>
      <c r="AA242" s="150"/>
      <c r="AG242" s="31" t="str">
        <f>IFERROR(INDEX('G-6 Hedgerow Data'!$BJ$3:$BJ$15,MATCH(D242,'G-6 Hedgerow Data'!$B$3:$B$15,0)),"")</f>
        <v/>
      </c>
    </row>
    <row r="243" spans="2:33" ht="14" x14ac:dyDescent="0.3">
      <c r="B243" s="103">
        <v>232</v>
      </c>
      <c r="C243" s="268"/>
      <c r="D243" s="82"/>
      <c r="E243" s="203"/>
      <c r="F243" s="498" t="str">
        <f>IF(D243="","",VLOOKUP(D243,'G-6 Hedgerow Data'!$B$2:$AG$15,2,FALSE))</f>
        <v/>
      </c>
      <c r="G243" s="524" t="str">
        <f>IF(D243="","",VLOOKUP(D243,'G-6 Hedgerow Data'!$B$2:$AG$15,3,FALSE))</f>
        <v/>
      </c>
      <c r="H243" s="72"/>
      <c r="I243" s="499" t="str">
        <f>IFERROR(IF(AND(F243="V.Low",OR(H243="Good",H243="Moderate")),"Error ▲",VLOOKUP(H243,'G-1 All Habitats'!$Z$2:$AA$9,2,FALSE)),"")</f>
        <v/>
      </c>
      <c r="J243" s="146"/>
      <c r="K243" s="520" t="str">
        <f>IF(J243="","",IF(VLOOKUP(J243,'G-3 Multipliers'!$L$3:$N$6,2,FALSE)=0,"Spatial Data Missing",VLOOKUP(J243,'G-3 Multipliers'!$L$3:$N$6,2,FALSE)))</f>
        <v/>
      </c>
      <c r="L243" s="524" t="str">
        <f>IF(J243="","",IF(VLOOKUP(J243,'G-3 Multipliers'!$L$3:$N$6,3,FALSE)=0,"Spatial Data Missing",VLOOKUP(J243,'G-3 Multipliers'!$L$3:$N$6,3,FALSE)))</f>
        <v/>
      </c>
      <c r="M243" s="197"/>
      <c r="N243" s="499" t="str">
        <f>IF(M243="","",IF(VLOOKUP(M243,'G-3 Multipliers'!$S$3:$T$6,2,FALSE)=0,"Spatial Data Missing ⚠",VLOOKUP(M243,'G-3 Multipliers'!$S$3:$T$6,2,FALSE)))</f>
        <v/>
      </c>
      <c r="O243" s="498" t="str">
        <f>IF(OR(D243="",H243=""),"",(INDEX('G-6 Hedgerow Data'!$E$3:$I$15,MATCH(D243,'G-6 Hedgerow Data'!$B$3:$B$15,0),MATCH(H243,'G-6 Hedgerow Data'!$E$2:$I$2,0))))</f>
        <v/>
      </c>
      <c r="P243" s="195"/>
      <c r="Q243" s="195"/>
      <c r="R243" s="507" t="str">
        <f t="shared" si="19"/>
        <v/>
      </c>
      <c r="S243" s="521" t="str">
        <f t="shared" si="20"/>
        <v/>
      </c>
      <c r="T243" s="522" t="str">
        <f t="shared" si="18"/>
        <v/>
      </c>
      <c r="U243" s="537" t="str">
        <f>IF(D243="","",VLOOKUP(D243,'G-6 Hedgerow Data'!$B$3:$AG$15,31,FALSE))</f>
        <v/>
      </c>
      <c r="V243" s="520" t="str">
        <f t="shared" si="21"/>
        <v/>
      </c>
      <c r="W243" s="520" t="str">
        <f t="shared" si="22"/>
        <v/>
      </c>
      <c r="X243" s="524" t="str">
        <f>IF(F243="","",VLOOKUP(U243,'G-3 Multipliers'!$P$3:$Q$6,2,FALSE))</f>
        <v/>
      </c>
      <c r="Y243" s="529" t="str">
        <f t="shared" si="23"/>
        <v/>
      </c>
      <c r="Z243" s="149"/>
      <c r="AA243" s="150"/>
      <c r="AG243" s="31" t="str">
        <f>IFERROR(INDEX('G-6 Hedgerow Data'!$BJ$3:$BJ$15,MATCH(D243,'G-6 Hedgerow Data'!$B$3:$B$15,0)),"")</f>
        <v/>
      </c>
    </row>
    <row r="244" spans="2:33" ht="14" x14ac:dyDescent="0.3">
      <c r="B244" s="103">
        <v>233</v>
      </c>
      <c r="C244" s="268"/>
      <c r="D244" s="82"/>
      <c r="E244" s="203"/>
      <c r="F244" s="498" t="str">
        <f>IF(D244="","",VLOOKUP(D244,'G-6 Hedgerow Data'!$B$2:$AG$15,2,FALSE))</f>
        <v/>
      </c>
      <c r="G244" s="524" t="str">
        <f>IF(D244="","",VLOOKUP(D244,'G-6 Hedgerow Data'!$B$2:$AG$15,3,FALSE))</f>
        <v/>
      </c>
      <c r="H244" s="72"/>
      <c r="I244" s="499" t="str">
        <f>IFERROR(IF(AND(F244="V.Low",OR(H244="Good",H244="Moderate")),"Error ▲",VLOOKUP(H244,'G-1 All Habitats'!$Z$2:$AA$9,2,FALSE)),"")</f>
        <v/>
      </c>
      <c r="J244" s="146"/>
      <c r="K244" s="520" t="str">
        <f>IF(J244="","",IF(VLOOKUP(J244,'G-3 Multipliers'!$L$3:$N$6,2,FALSE)=0,"Spatial Data Missing",VLOOKUP(J244,'G-3 Multipliers'!$L$3:$N$6,2,FALSE)))</f>
        <v/>
      </c>
      <c r="L244" s="524" t="str">
        <f>IF(J244="","",IF(VLOOKUP(J244,'G-3 Multipliers'!$L$3:$N$6,3,FALSE)=0,"Spatial Data Missing",VLOOKUP(J244,'G-3 Multipliers'!$L$3:$N$6,3,FALSE)))</f>
        <v/>
      </c>
      <c r="M244" s="197"/>
      <c r="N244" s="499" t="str">
        <f>IF(M244="","",IF(VLOOKUP(M244,'G-3 Multipliers'!$S$3:$T$6,2,FALSE)=0,"Spatial Data Missing ⚠",VLOOKUP(M244,'G-3 Multipliers'!$S$3:$T$6,2,FALSE)))</f>
        <v/>
      </c>
      <c r="O244" s="498" t="str">
        <f>IF(OR(D244="",H244=""),"",(INDEX('G-6 Hedgerow Data'!$E$3:$I$15,MATCH(D244,'G-6 Hedgerow Data'!$B$3:$B$15,0),MATCH(H244,'G-6 Hedgerow Data'!$E$2:$I$2,0))))</f>
        <v/>
      </c>
      <c r="P244" s="195"/>
      <c r="Q244" s="195"/>
      <c r="R244" s="507" t="str">
        <f t="shared" si="19"/>
        <v/>
      </c>
      <c r="S244" s="521" t="str">
        <f t="shared" si="20"/>
        <v/>
      </c>
      <c r="T244" s="522" t="str">
        <f t="shared" si="18"/>
        <v/>
      </c>
      <c r="U244" s="537" t="str">
        <f>IF(D244="","",VLOOKUP(D244,'G-6 Hedgerow Data'!$B$3:$AG$15,31,FALSE))</f>
        <v/>
      </c>
      <c r="V244" s="520" t="str">
        <f t="shared" si="21"/>
        <v/>
      </c>
      <c r="W244" s="520" t="str">
        <f t="shared" si="22"/>
        <v/>
      </c>
      <c r="X244" s="524" t="str">
        <f>IF(F244="","",VLOOKUP(U244,'G-3 Multipliers'!$P$3:$Q$6,2,FALSE))</f>
        <v/>
      </c>
      <c r="Y244" s="529" t="str">
        <f t="shared" si="23"/>
        <v/>
      </c>
      <c r="Z244" s="149"/>
      <c r="AA244" s="150"/>
      <c r="AG244" s="31" t="str">
        <f>IFERROR(INDEX('G-6 Hedgerow Data'!$BJ$3:$BJ$15,MATCH(D244,'G-6 Hedgerow Data'!$B$3:$B$15,0)),"")</f>
        <v/>
      </c>
    </row>
    <row r="245" spans="2:33" ht="14" x14ac:dyDescent="0.3">
      <c r="B245" s="103">
        <v>234</v>
      </c>
      <c r="C245" s="268"/>
      <c r="D245" s="82"/>
      <c r="E245" s="203"/>
      <c r="F245" s="498" t="str">
        <f>IF(D245="","",VLOOKUP(D245,'G-6 Hedgerow Data'!$B$2:$AG$15,2,FALSE))</f>
        <v/>
      </c>
      <c r="G245" s="524" t="str">
        <f>IF(D245="","",VLOOKUP(D245,'G-6 Hedgerow Data'!$B$2:$AG$15,3,FALSE))</f>
        <v/>
      </c>
      <c r="H245" s="72"/>
      <c r="I245" s="499" t="str">
        <f>IFERROR(IF(AND(F245="V.Low",OR(H245="Good",H245="Moderate")),"Error ▲",VLOOKUP(H245,'G-1 All Habitats'!$Z$2:$AA$9,2,FALSE)),"")</f>
        <v/>
      </c>
      <c r="J245" s="146"/>
      <c r="K245" s="520" t="str">
        <f>IF(J245="","",IF(VLOOKUP(J245,'G-3 Multipliers'!$L$3:$N$6,2,FALSE)=0,"Spatial Data Missing",VLOOKUP(J245,'G-3 Multipliers'!$L$3:$N$6,2,FALSE)))</f>
        <v/>
      </c>
      <c r="L245" s="524" t="str">
        <f>IF(J245="","",IF(VLOOKUP(J245,'G-3 Multipliers'!$L$3:$N$6,3,FALSE)=0,"Spatial Data Missing",VLOOKUP(J245,'G-3 Multipliers'!$L$3:$N$6,3,FALSE)))</f>
        <v/>
      </c>
      <c r="M245" s="197"/>
      <c r="N245" s="499" t="str">
        <f>IF(M245="","",IF(VLOOKUP(M245,'G-3 Multipliers'!$S$3:$T$6,2,FALSE)=0,"Spatial Data Missing ⚠",VLOOKUP(M245,'G-3 Multipliers'!$S$3:$T$6,2,FALSE)))</f>
        <v/>
      </c>
      <c r="O245" s="498" t="str">
        <f>IF(OR(D245="",H245=""),"",(INDEX('G-6 Hedgerow Data'!$E$3:$I$15,MATCH(D245,'G-6 Hedgerow Data'!$B$3:$B$15,0),MATCH(H245,'G-6 Hedgerow Data'!$E$2:$I$2,0))))</f>
        <v/>
      </c>
      <c r="P245" s="195"/>
      <c r="Q245" s="195"/>
      <c r="R245" s="507" t="str">
        <f t="shared" si="19"/>
        <v/>
      </c>
      <c r="S245" s="521" t="str">
        <f t="shared" si="20"/>
        <v/>
      </c>
      <c r="T245" s="522" t="str">
        <f t="shared" si="18"/>
        <v/>
      </c>
      <c r="U245" s="537" t="str">
        <f>IF(D245="","",VLOOKUP(D245,'G-6 Hedgerow Data'!$B$3:$AG$15,31,FALSE))</f>
        <v/>
      </c>
      <c r="V245" s="520" t="str">
        <f t="shared" si="21"/>
        <v/>
      </c>
      <c r="W245" s="520" t="str">
        <f t="shared" si="22"/>
        <v/>
      </c>
      <c r="X245" s="524" t="str">
        <f>IF(F245="","",VLOOKUP(U245,'G-3 Multipliers'!$P$3:$Q$6,2,FALSE))</f>
        <v/>
      </c>
      <c r="Y245" s="529" t="str">
        <f t="shared" si="23"/>
        <v/>
      </c>
      <c r="Z245" s="149"/>
      <c r="AA245" s="150"/>
      <c r="AG245" s="31" t="str">
        <f>IFERROR(INDEX('G-6 Hedgerow Data'!$BJ$3:$BJ$15,MATCH(D245,'G-6 Hedgerow Data'!$B$3:$B$15,0)),"")</f>
        <v/>
      </c>
    </row>
    <row r="246" spans="2:33" ht="14" x14ac:dyDescent="0.3">
      <c r="B246" s="103">
        <v>235</v>
      </c>
      <c r="C246" s="268"/>
      <c r="D246" s="82"/>
      <c r="E246" s="203"/>
      <c r="F246" s="498" t="str">
        <f>IF(D246="","",VLOOKUP(D246,'G-6 Hedgerow Data'!$B$2:$AG$15,2,FALSE))</f>
        <v/>
      </c>
      <c r="G246" s="524" t="str">
        <f>IF(D246="","",VLOOKUP(D246,'G-6 Hedgerow Data'!$B$2:$AG$15,3,FALSE))</f>
        <v/>
      </c>
      <c r="H246" s="72"/>
      <c r="I246" s="499" t="str">
        <f>IFERROR(IF(AND(F246="V.Low",OR(H246="Good",H246="Moderate")),"Error ▲",VLOOKUP(H246,'G-1 All Habitats'!$Z$2:$AA$9,2,FALSE)),"")</f>
        <v/>
      </c>
      <c r="J246" s="146"/>
      <c r="K246" s="520" t="str">
        <f>IF(J246="","",IF(VLOOKUP(J246,'G-3 Multipliers'!$L$3:$N$6,2,FALSE)=0,"Spatial Data Missing",VLOOKUP(J246,'G-3 Multipliers'!$L$3:$N$6,2,FALSE)))</f>
        <v/>
      </c>
      <c r="L246" s="524" t="str">
        <f>IF(J246="","",IF(VLOOKUP(J246,'G-3 Multipliers'!$L$3:$N$6,3,FALSE)=0,"Spatial Data Missing",VLOOKUP(J246,'G-3 Multipliers'!$L$3:$N$6,3,FALSE)))</f>
        <v/>
      </c>
      <c r="M246" s="197"/>
      <c r="N246" s="499" t="str">
        <f>IF(M246="","",IF(VLOOKUP(M246,'G-3 Multipliers'!$S$3:$T$6,2,FALSE)=0,"Spatial Data Missing ⚠",VLOOKUP(M246,'G-3 Multipliers'!$S$3:$T$6,2,FALSE)))</f>
        <v/>
      </c>
      <c r="O246" s="498" t="str">
        <f>IF(OR(D246="",H246=""),"",(INDEX('G-6 Hedgerow Data'!$E$3:$I$15,MATCH(D246,'G-6 Hedgerow Data'!$B$3:$B$15,0),MATCH(H246,'G-6 Hedgerow Data'!$E$2:$I$2,0))))</f>
        <v/>
      </c>
      <c r="P246" s="195"/>
      <c r="Q246" s="195"/>
      <c r="R246" s="507" t="str">
        <f t="shared" si="19"/>
        <v/>
      </c>
      <c r="S246" s="521" t="str">
        <f t="shared" si="20"/>
        <v/>
      </c>
      <c r="T246" s="522" t="str">
        <f t="shared" si="18"/>
        <v/>
      </c>
      <c r="U246" s="537" t="str">
        <f>IF(D246="","",VLOOKUP(D246,'G-6 Hedgerow Data'!$B$3:$AG$15,31,FALSE))</f>
        <v/>
      </c>
      <c r="V246" s="520" t="str">
        <f t="shared" si="21"/>
        <v/>
      </c>
      <c r="W246" s="520" t="str">
        <f t="shared" si="22"/>
        <v/>
      </c>
      <c r="X246" s="524" t="str">
        <f>IF(F246="","",VLOOKUP(U246,'G-3 Multipliers'!$P$3:$Q$6,2,FALSE))</f>
        <v/>
      </c>
      <c r="Y246" s="529" t="str">
        <f t="shared" si="23"/>
        <v/>
      </c>
      <c r="Z246" s="149"/>
      <c r="AA246" s="150"/>
      <c r="AG246" s="31" t="str">
        <f>IFERROR(INDEX('G-6 Hedgerow Data'!$BJ$3:$BJ$15,MATCH(D246,'G-6 Hedgerow Data'!$B$3:$B$15,0)),"")</f>
        <v/>
      </c>
    </row>
    <row r="247" spans="2:33" ht="14" x14ac:dyDescent="0.3">
      <c r="B247" s="103">
        <v>236</v>
      </c>
      <c r="C247" s="268"/>
      <c r="D247" s="82"/>
      <c r="E247" s="203"/>
      <c r="F247" s="498" t="str">
        <f>IF(D247="","",VLOOKUP(D247,'G-6 Hedgerow Data'!$B$2:$AG$15,2,FALSE))</f>
        <v/>
      </c>
      <c r="G247" s="524" t="str">
        <f>IF(D247="","",VLOOKUP(D247,'G-6 Hedgerow Data'!$B$2:$AG$15,3,FALSE))</f>
        <v/>
      </c>
      <c r="H247" s="72"/>
      <c r="I247" s="499" t="str">
        <f>IFERROR(IF(AND(F247="V.Low",OR(H247="Good",H247="Moderate")),"Error ▲",VLOOKUP(H247,'G-1 All Habitats'!$Z$2:$AA$9,2,FALSE)),"")</f>
        <v/>
      </c>
      <c r="J247" s="146"/>
      <c r="K247" s="520" t="str">
        <f>IF(J247="","",IF(VLOOKUP(J247,'G-3 Multipliers'!$L$3:$N$6,2,FALSE)=0,"Spatial Data Missing",VLOOKUP(J247,'G-3 Multipliers'!$L$3:$N$6,2,FALSE)))</f>
        <v/>
      </c>
      <c r="L247" s="524" t="str">
        <f>IF(J247="","",IF(VLOOKUP(J247,'G-3 Multipliers'!$L$3:$N$6,3,FALSE)=0,"Spatial Data Missing",VLOOKUP(J247,'G-3 Multipliers'!$L$3:$N$6,3,FALSE)))</f>
        <v/>
      </c>
      <c r="M247" s="197"/>
      <c r="N247" s="499" t="str">
        <f>IF(M247="","",IF(VLOOKUP(M247,'G-3 Multipliers'!$S$3:$T$6,2,FALSE)=0,"Spatial Data Missing ⚠",VLOOKUP(M247,'G-3 Multipliers'!$S$3:$T$6,2,FALSE)))</f>
        <v/>
      </c>
      <c r="O247" s="498" t="str">
        <f>IF(OR(D247="",H247=""),"",(INDEX('G-6 Hedgerow Data'!$E$3:$I$15,MATCH(D247,'G-6 Hedgerow Data'!$B$3:$B$15,0),MATCH(H247,'G-6 Hedgerow Data'!$E$2:$I$2,0))))</f>
        <v/>
      </c>
      <c r="P247" s="195"/>
      <c r="Q247" s="195"/>
      <c r="R247" s="507" t="str">
        <f t="shared" si="19"/>
        <v/>
      </c>
      <c r="S247" s="521" t="str">
        <f t="shared" si="20"/>
        <v/>
      </c>
      <c r="T247" s="522" t="str">
        <f t="shared" si="18"/>
        <v/>
      </c>
      <c r="U247" s="537" t="str">
        <f>IF(D247="","",VLOOKUP(D247,'G-6 Hedgerow Data'!$B$3:$AG$15,31,FALSE))</f>
        <v/>
      </c>
      <c r="V247" s="520" t="str">
        <f t="shared" si="21"/>
        <v/>
      </c>
      <c r="W247" s="520" t="str">
        <f t="shared" si="22"/>
        <v/>
      </c>
      <c r="X247" s="524" t="str">
        <f>IF(F247="","",VLOOKUP(U247,'G-3 Multipliers'!$P$3:$Q$6,2,FALSE))</f>
        <v/>
      </c>
      <c r="Y247" s="529" t="str">
        <f t="shared" si="23"/>
        <v/>
      </c>
      <c r="Z247" s="149"/>
      <c r="AA247" s="150"/>
      <c r="AG247" s="31" t="str">
        <f>IFERROR(INDEX('G-6 Hedgerow Data'!$BJ$3:$BJ$15,MATCH(D247,'G-6 Hedgerow Data'!$B$3:$B$15,0)),"")</f>
        <v/>
      </c>
    </row>
    <row r="248" spans="2:33" ht="14" x14ac:dyDescent="0.3">
      <c r="B248" s="103">
        <v>237</v>
      </c>
      <c r="C248" s="268"/>
      <c r="D248" s="82"/>
      <c r="E248" s="203"/>
      <c r="F248" s="498" t="str">
        <f>IF(D248="","",VLOOKUP(D248,'G-6 Hedgerow Data'!$B$2:$AG$15,2,FALSE))</f>
        <v/>
      </c>
      <c r="G248" s="524" t="str">
        <f>IF(D248="","",VLOOKUP(D248,'G-6 Hedgerow Data'!$B$2:$AG$15,3,FALSE))</f>
        <v/>
      </c>
      <c r="H248" s="72"/>
      <c r="I248" s="499" t="str">
        <f>IFERROR(IF(AND(F248="V.Low",OR(H248="Good",H248="Moderate")),"Error ▲",VLOOKUP(H248,'G-1 All Habitats'!$Z$2:$AA$9,2,FALSE)),"")</f>
        <v/>
      </c>
      <c r="J248" s="146"/>
      <c r="K248" s="520" t="str">
        <f>IF(J248="","",IF(VLOOKUP(J248,'G-3 Multipliers'!$L$3:$N$6,2,FALSE)=0,"Spatial Data Missing",VLOOKUP(J248,'G-3 Multipliers'!$L$3:$N$6,2,FALSE)))</f>
        <v/>
      </c>
      <c r="L248" s="524" t="str">
        <f>IF(J248="","",IF(VLOOKUP(J248,'G-3 Multipliers'!$L$3:$N$6,3,FALSE)=0,"Spatial Data Missing",VLOOKUP(J248,'G-3 Multipliers'!$L$3:$N$6,3,FALSE)))</f>
        <v/>
      </c>
      <c r="M248" s="197"/>
      <c r="N248" s="499" t="str">
        <f>IF(M248="","",IF(VLOOKUP(M248,'G-3 Multipliers'!$S$3:$T$6,2,FALSE)=0,"Spatial Data Missing ⚠",VLOOKUP(M248,'G-3 Multipliers'!$S$3:$T$6,2,FALSE)))</f>
        <v/>
      </c>
      <c r="O248" s="498" t="str">
        <f>IF(OR(D248="",H248=""),"",(INDEX('G-6 Hedgerow Data'!$E$3:$I$15,MATCH(D248,'G-6 Hedgerow Data'!$B$3:$B$15,0),MATCH(H248,'G-6 Hedgerow Data'!$E$2:$I$2,0))))</f>
        <v/>
      </c>
      <c r="P248" s="195"/>
      <c r="Q248" s="195"/>
      <c r="R248" s="507" t="str">
        <f t="shared" si="19"/>
        <v/>
      </c>
      <c r="S248" s="521" t="str">
        <f t="shared" si="20"/>
        <v/>
      </c>
      <c r="T248" s="522" t="str">
        <f t="shared" si="18"/>
        <v/>
      </c>
      <c r="U248" s="537" t="str">
        <f>IF(D248="","",VLOOKUP(D248,'G-6 Hedgerow Data'!$B$3:$AG$15,31,FALSE))</f>
        <v/>
      </c>
      <c r="V248" s="520" t="str">
        <f t="shared" si="21"/>
        <v/>
      </c>
      <c r="W248" s="520" t="str">
        <f t="shared" si="22"/>
        <v/>
      </c>
      <c r="X248" s="524" t="str">
        <f>IF(F248="","",VLOOKUP(U248,'G-3 Multipliers'!$P$3:$Q$6,2,FALSE))</f>
        <v/>
      </c>
      <c r="Y248" s="529" t="str">
        <f t="shared" si="23"/>
        <v/>
      </c>
      <c r="Z248" s="149"/>
      <c r="AA248" s="150"/>
      <c r="AG248" s="31" t="str">
        <f>IFERROR(INDEX('G-6 Hedgerow Data'!$BJ$3:$BJ$15,MATCH(D248,'G-6 Hedgerow Data'!$B$3:$B$15,0)),"")</f>
        <v/>
      </c>
    </row>
    <row r="249" spans="2:33" ht="14" x14ac:dyDescent="0.3">
      <c r="B249" s="103">
        <v>238</v>
      </c>
      <c r="C249" s="268"/>
      <c r="D249" s="82"/>
      <c r="E249" s="203"/>
      <c r="F249" s="498" t="str">
        <f>IF(D249="","",VLOOKUP(D249,'G-6 Hedgerow Data'!$B$2:$AG$15,2,FALSE))</f>
        <v/>
      </c>
      <c r="G249" s="524" t="str">
        <f>IF(D249="","",VLOOKUP(D249,'G-6 Hedgerow Data'!$B$2:$AG$15,3,FALSE))</f>
        <v/>
      </c>
      <c r="H249" s="72"/>
      <c r="I249" s="499" t="str">
        <f>IFERROR(IF(AND(F249="V.Low",OR(H249="Good",H249="Moderate")),"Error ▲",VLOOKUP(H249,'G-1 All Habitats'!$Z$2:$AA$9,2,FALSE)),"")</f>
        <v/>
      </c>
      <c r="J249" s="146"/>
      <c r="K249" s="520" t="str">
        <f>IF(J249="","",IF(VLOOKUP(J249,'G-3 Multipliers'!$L$3:$N$6,2,FALSE)=0,"Spatial Data Missing",VLOOKUP(J249,'G-3 Multipliers'!$L$3:$N$6,2,FALSE)))</f>
        <v/>
      </c>
      <c r="L249" s="524" t="str">
        <f>IF(J249="","",IF(VLOOKUP(J249,'G-3 Multipliers'!$L$3:$N$6,3,FALSE)=0,"Spatial Data Missing",VLOOKUP(J249,'G-3 Multipliers'!$L$3:$N$6,3,FALSE)))</f>
        <v/>
      </c>
      <c r="M249" s="197"/>
      <c r="N249" s="499" t="str">
        <f>IF(M249="","",IF(VLOOKUP(M249,'G-3 Multipliers'!$S$3:$T$6,2,FALSE)=0,"Spatial Data Missing ⚠",VLOOKUP(M249,'G-3 Multipliers'!$S$3:$T$6,2,FALSE)))</f>
        <v/>
      </c>
      <c r="O249" s="498" t="str">
        <f>IF(OR(D249="",H249=""),"",(INDEX('G-6 Hedgerow Data'!$E$3:$I$15,MATCH(D249,'G-6 Hedgerow Data'!$B$3:$B$15,0),MATCH(H249,'G-6 Hedgerow Data'!$E$2:$I$2,0))))</f>
        <v/>
      </c>
      <c r="P249" s="195"/>
      <c r="Q249" s="195"/>
      <c r="R249" s="507" t="str">
        <f t="shared" si="19"/>
        <v/>
      </c>
      <c r="S249" s="521" t="str">
        <f t="shared" si="20"/>
        <v/>
      </c>
      <c r="T249" s="522" t="str">
        <f t="shared" si="18"/>
        <v/>
      </c>
      <c r="U249" s="537" t="str">
        <f>IF(D249="","",VLOOKUP(D249,'G-6 Hedgerow Data'!$B$3:$AG$15,31,FALSE))</f>
        <v/>
      </c>
      <c r="V249" s="520" t="str">
        <f t="shared" si="21"/>
        <v/>
      </c>
      <c r="W249" s="520" t="str">
        <f t="shared" si="22"/>
        <v/>
      </c>
      <c r="X249" s="524" t="str">
        <f>IF(F249="","",VLOOKUP(U249,'G-3 Multipliers'!$P$3:$Q$6,2,FALSE))</f>
        <v/>
      </c>
      <c r="Y249" s="529" t="str">
        <f t="shared" si="23"/>
        <v/>
      </c>
      <c r="Z249" s="149"/>
      <c r="AA249" s="150"/>
      <c r="AG249" s="31" t="str">
        <f>IFERROR(INDEX('G-6 Hedgerow Data'!$BJ$3:$BJ$15,MATCH(D249,'G-6 Hedgerow Data'!$B$3:$B$15,0)),"")</f>
        <v/>
      </c>
    </row>
    <row r="250" spans="2:33" ht="14" x14ac:dyDescent="0.3">
      <c r="B250" s="103">
        <v>239</v>
      </c>
      <c r="C250" s="268"/>
      <c r="D250" s="82"/>
      <c r="E250" s="203"/>
      <c r="F250" s="498" t="str">
        <f>IF(D250="","",VLOOKUP(D250,'G-6 Hedgerow Data'!$B$2:$AG$15,2,FALSE))</f>
        <v/>
      </c>
      <c r="G250" s="524" t="str">
        <f>IF(D250="","",VLOOKUP(D250,'G-6 Hedgerow Data'!$B$2:$AG$15,3,FALSE))</f>
        <v/>
      </c>
      <c r="H250" s="72"/>
      <c r="I250" s="499" t="str">
        <f>IFERROR(IF(AND(F250="V.Low",OR(H250="Good",H250="Moderate")),"Error ▲",VLOOKUP(H250,'G-1 All Habitats'!$Z$2:$AA$9,2,FALSE)),"")</f>
        <v/>
      </c>
      <c r="J250" s="146"/>
      <c r="K250" s="520" t="str">
        <f>IF(J250="","",IF(VLOOKUP(J250,'G-3 Multipliers'!$L$3:$N$6,2,FALSE)=0,"Spatial Data Missing",VLOOKUP(J250,'G-3 Multipliers'!$L$3:$N$6,2,FALSE)))</f>
        <v/>
      </c>
      <c r="L250" s="524" t="str">
        <f>IF(J250="","",IF(VLOOKUP(J250,'G-3 Multipliers'!$L$3:$N$6,3,FALSE)=0,"Spatial Data Missing",VLOOKUP(J250,'G-3 Multipliers'!$L$3:$N$6,3,FALSE)))</f>
        <v/>
      </c>
      <c r="M250" s="197"/>
      <c r="N250" s="499" t="str">
        <f>IF(M250="","",IF(VLOOKUP(M250,'G-3 Multipliers'!$S$3:$T$6,2,FALSE)=0,"Spatial Data Missing ⚠",VLOOKUP(M250,'G-3 Multipliers'!$S$3:$T$6,2,FALSE)))</f>
        <v/>
      </c>
      <c r="O250" s="498" t="str">
        <f>IF(OR(D250="",H250=""),"",(INDEX('G-6 Hedgerow Data'!$E$3:$I$15,MATCH(D250,'G-6 Hedgerow Data'!$B$3:$B$15,0),MATCH(H250,'G-6 Hedgerow Data'!$E$2:$I$2,0))))</f>
        <v/>
      </c>
      <c r="P250" s="195"/>
      <c r="Q250" s="195"/>
      <c r="R250" s="507" t="str">
        <f t="shared" si="19"/>
        <v/>
      </c>
      <c r="S250" s="521" t="str">
        <f t="shared" si="20"/>
        <v/>
      </c>
      <c r="T250" s="522" t="str">
        <f t="shared" si="18"/>
        <v/>
      </c>
      <c r="U250" s="537" t="str">
        <f>IF(D250="","",VLOOKUP(D250,'G-6 Hedgerow Data'!$B$3:$AG$15,31,FALSE))</f>
        <v/>
      </c>
      <c r="V250" s="520" t="str">
        <f t="shared" si="21"/>
        <v/>
      </c>
      <c r="W250" s="520" t="str">
        <f t="shared" si="22"/>
        <v/>
      </c>
      <c r="X250" s="524" t="str">
        <f>IF(F250="","",VLOOKUP(U250,'G-3 Multipliers'!$P$3:$Q$6,2,FALSE))</f>
        <v/>
      </c>
      <c r="Y250" s="529" t="str">
        <f t="shared" si="23"/>
        <v/>
      </c>
      <c r="Z250" s="149"/>
      <c r="AA250" s="150"/>
      <c r="AG250" s="31" t="str">
        <f>IFERROR(INDEX('G-6 Hedgerow Data'!$BJ$3:$BJ$15,MATCH(D250,'G-6 Hedgerow Data'!$B$3:$B$15,0)),"")</f>
        <v/>
      </c>
    </row>
    <row r="251" spans="2:33" ht="14" x14ac:dyDescent="0.3">
      <c r="B251" s="103">
        <v>240</v>
      </c>
      <c r="C251" s="268"/>
      <c r="D251" s="82"/>
      <c r="E251" s="203"/>
      <c r="F251" s="498" t="str">
        <f>IF(D251="","",VLOOKUP(D251,'G-6 Hedgerow Data'!$B$2:$AG$15,2,FALSE))</f>
        <v/>
      </c>
      <c r="G251" s="524" t="str">
        <f>IF(D251="","",VLOOKUP(D251,'G-6 Hedgerow Data'!$B$2:$AG$15,3,FALSE))</f>
        <v/>
      </c>
      <c r="H251" s="72"/>
      <c r="I251" s="499" t="str">
        <f>IFERROR(IF(AND(F251="V.Low",OR(H251="Good",H251="Moderate")),"Error ▲",VLOOKUP(H251,'G-1 All Habitats'!$Z$2:$AA$9,2,FALSE)),"")</f>
        <v/>
      </c>
      <c r="J251" s="146"/>
      <c r="K251" s="520" t="str">
        <f>IF(J251="","",IF(VLOOKUP(J251,'G-3 Multipliers'!$L$3:$N$6,2,FALSE)=0,"Spatial Data Missing",VLOOKUP(J251,'G-3 Multipliers'!$L$3:$N$6,2,FALSE)))</f>
        <v/>
      </c>
      <c r="L251" s="524" t="str">
        <f>IF(J251="","",IF(VLOOKUP(J251,'G-3 Multipliers'!$L$3:$N$6,3,FALSE)=0,"Spatial Data Missing",VLOOKUP(J251,'G-3 Multipliers'!$L$3:$N$6,3,FALSE)))</f>
        <v/>
      </c>
      <c r="M251" s="197"/>
      <c r="N251" s="499" t="str">
        <f>IF(M251="","",IF(VLOOKUP(M251,'G-3 Multipliers'!$S$3:$T$6,2,FALSE)=0,"Spatial Data Missing ⚠",VLOOKUP(M251,'G-3 Multipliers'!$S$3:$T$6,2,FALSE)))</f>
        <v/>
      </c>
      <c r="O251" s="498" t="str">
        <f>IF(OR(D251="",H251=""),"",(INDEX('G-6 Hedgerow Data'!$E$3:$I$15,MATCH(D251,'G-6 Hedgerow Data'!$B$3:$B$15,0),MATCH(H251,'G-6 Hedgerow Data'!$E$2:$I$2,0))))</f>
        <v/>
      </c>
      <c r="P251" s="195"/>
      <c r="Q251" s="195"/>
      <c r="R251" s="507" t="str">
        <f t="shared" si="19"/>
        <v/>
      </c>
      <c r="S251" s="521" t="str">
        <f t="shared" si="20"/>
        <v/>
      </c>
      <c r="T251" s="522" t="str">
        <f t="shared" si="18"/>
        <v/>
      </c>
      <c r="U251" s="537" t="str">
        <f>IF(D251="","",VLOOKUP(D251,'G-6 Hedgerow Data'!$B$3:$AG$15,31,FALSE))</f>
        <v/>
      </c>
      <c r="V251" s="520" t="str">
        <f t="shared" si="21"/>
        <v/>
      </c>
      <c r="W251" s="520" t="str">
        <f t="shared" si="22"/>
        <v/>
      </c>
      <c r="X251" s="524" t="str">
        <f>IF(F251="","",VLOOKUP(U251,'G-3 Multipliers'!$P$3:$Q$6,2,FALSE))</f>
        <v/>
      </c>
      <c r="Y251" s="529" t="str">
        <f t="shared" si="23"/>
        <v/>
      </c>
      <c r="Z251" s="149"/>
      <c r="AA251" s="150"/>
      <c r="AG251" s="31" t="str">
        <f>IFERROR(INDEX('G-6 Hedgerow Data'!$BJ$3:$BJ$15,MATCH(D251,'G-6 Hedgerow Data'!$B$3:$B$15,0)),"")</f>
        <v/>
      </c>
    </row>
    <row r="252" spans="2:33" ht="14" x14ac:dyDescent="0.3">
      <c r="B252" s="103">
        <v>241</v>
      </c>
      <c r="C252" s="268"/>
      <c r="D252" s="82"/>
      <c r="E252" s="203"/>
      <c r="F252" s="498" t="str">
        <f>IF(D252="","",VLOOKUP(D252,'G-6 Hedgerow Data'!$B$2:$AG$15,2,FALSE))</f>
        <v/>
      </c>
      <c r="G252" s="524" t="str">
        <f>IF(D252="","",VLOOKUP(D252,'G-6 Hedgerow Data'!$B$2:$AG$15,3,FALSE))</f>
        <v/>
      </c>
      <c r="H252" s="72"/>
      <c r="I252" s="499" t="str">
        <f>IFERROR(IF(AND(F252="V.Low",OR(H252="Good",H252="Moderate")),"Error ▲",VLOOKUP(H252,'G-1 All Habitats'!$Z$2:$AA$9,2,FALSE)),"")</f>
        <v/>
      </c>
      <c r="J252" s="146"/>
      <c r="K252" s="520" t="str">
        <f>IF(J252="","",IF(VLOOKUP(J252,'G-3 Multipliers'!$L$3:$N$6,2,FALSE)=0,"Spatial Data Missing",VLOOKUP(J252,'G-3 Multipliers'!$L$3:$N$6,2,FALSE)))</f>
        <v/>
      </c>
      <c r="L252" s="524" t="str">
        <f>IF(J252="","",IF(VLOOKUP(J252,'G-3 Multipliers'!$L$3:$N$6,3,FALSE)=0,"Spatial Data Missing",VLOOKUP(J252,'G-3 Multipliers'!$L$3:$N$6,3,FALSE)))</f>
        <v/>
      </c>
      <c r="M252" s="197"/>
      <c r="N252" s="499" t="str">
        <f>IF(M252="","",IF(VLOOKUP(M252,'G-3 Multipliers'!$S$3:$T$6,2,FALSE)=0,"Spatial Data Missing ⚠",VLOOKUP(M252,'G-3 Multipliers'!$S$3:$T$6,2,FALSE)))</f>
        <v/>
      </c>
      <c r="O252" s="498" t="str">
        <f>IF(OR(D252="",H252=""),"",(INDEX('G-6 Hedgerow Data'!$E$3:$I$15,MATCH(D252,'G-6 Hedgerow Data'!$B$3:$B$15,0),MATCH(H252,'G-6 Hedgerow Data'!$E$2:$I$2,0))))</f>
        <v/>
      </c>
      <c r="P252" s="195"/>
      <c r="Q252" s="195"/>
      <c r="R252" s="507" t="str">
        <f t="shared" si="19"/>
        <v/>
      </c>
      <c r="S252" s="521" t="str">
        <f t="shared" si="20"/>
        <v/>
      </c>
      <c r="T252" s="522" t="str">
        <f t="shared" si="18"/>
        <v/>
      </c>
      <c r="U252" s="537" t="str">
        <f>IF(D252="","",VLOOKUP(D252,'G-6 Hedgerow Data'!$B$3:$AG$15,31,FALSE))</f>
        <v/>
      </c>
      <c r="V252" s="520" t="str">
        <f t="shared" si="21"/>
        <v/>
      </c>
      <c r="W252" s="520" t="str">
        <f t="shared" si="22"/>
        <v/>
      </c>
      <c r="X252" s="524" t="str">
        <f>IF(F252="","",VLOOKUP(U252,'G-3 Multipliers'!$P$3:$Q$6,2,FALSE))</f>
        <v/>
      </c>
      <c r="Y252" s="529" t="str">
        <f t="shared" si="23"/>
        <v/>
      </c>
      <c r="Z252" s="149"/>
      <c r="AA252" s="150"/>
      <c r="AG252" s="31" t="str">
        <f>IFERROR(INDEX('G-6 Hedgerow Data'!$BJ$3:$BJ$15,MATCH(D252,'G-6 Hedgerow Data'!$B$3:$B$15,0)),"")</f>
        <v/>
      </c>
    </row>
    <row r="253" spans="2:33" ht="14" x14ac:dyDescent="0.3">
      <c r="B253" s="103">
        <v>242</v>
      </c>
      <c r="C253" s="268"/>
      <c r="D253" s="82"/>
      <c r="E253" s="203"/>
      <c r="F253" s="498" t="str">
        <f>IF(D253="","",VLOOKUP(D253,'G-6 Hedgerow Data'!$B$2:$AG$15,2,FALSE))</f>
        <v/>
      </c>
      <c r="G253" s="524" t="str">
        <f>IF(D253="","",VLOOKUP(D253,'G-6 Hedgerow Data'!$B$2:$AG$15,3,FALSE))</f>
        <v/>
      </c>
      <c r="H253" s="72"/>
      <c r="I253" s="499" t="str">
        <f>IFERROR(IF(AND(F253="V.Low",OR(H253="Good",H253="Moderate")),"Error ▲",VLOOKUP(H253,'G-1 All Habitats'!$Z$2:$AA$9,2,FALSE)),"")</f>
        <v/>
      </c>
      <c r="J253" s="146"/>
      <c r="K253" s="520" t="str">
        <f>IF(J253="","",IF(VLOOKUP(J253,'G-3 Multipliers'!$L$3:$N$6,2,FALSE)=0,"Spatial Data Missing",VLOOKUP(J253,'G-3 Multipliers'!$L$3:$N$6,2,FALSE)))</f>
        <v/>
      </c>
      <c r="L253" s="524" t="str">
        <f>IF(J253="","",IF(VLOOKUP(J253,'G-3 Multipliers'!$L$3:$N$6,3,FALSE)=0,"Spatial Data Missing",VLOOKUP(J253,'G-3 Multipliers'!$L$3:$N$6,3,FALSE)))</f>
        <v/>
      </c>
      <c r="M253" s="197"/>
      <c r="N253" s="499" t="str">
        <f>IF(M253="","",IF(VLOOKUP(M253,'G-3 Multipliers'!$S$3:$T$6,2,FALSE)=0,"Spatial Data Missing ⚠",VLOOKUP(M253,'G-3 Multipliers'!$S$3:$T$6,2,FALSE)))</f>
        <v/>
      </c>
      <c r="O253" s="498" t="str">
        <f>IF(OR(D253="",H253=""),"",(INDEX('G-6 Hedgerow Data'!$E$3:$I$15,MATCH(D253,'G-6 Hedgerow Data'!$B$3:$B$15,0),MATCH(H253,'G-6 Hedgerow Data'!$E$2:$I$2,0))))</f>
        <v/>
      </c>
      <c r="P253" s="195"/>
      <c r="Q253" s="195"/>
      <c r="R253" s="507" t="str">
        <f t="shared" si="19"/>
        <v/>
      </c>
      <c r="S253" s="521" t="str">
        <f t="shared" si="20"/>
        <v/>
      </c>
      <c r="T253" s="522" t="str">
        <f t="shared" si="18"/>
        <v/>
      </c>
      <c r="U253" s="537" t="str">
        <f>IF(D253="","",VLOOKUP(D253,'G-6 Hedgerow Data'!$B$3:$AG$15,31,FALSE))</f>
        <v/>
      </c>
      <c r="V253" s="520" t="str">
        <f t="shared" si="21"/>
        <v/>
      </c>
      <c r="W253" s="520" t="str">
        <f t="shared" si="22"/>
        <v/>
      </c>
      <c r="X253" s="524" t="str">
        <f>IF(F253="","",VLOOKUP(U253,'G-3 Multipliers'!$P$3:$Q$6,2,FALSE))</f>
        <v/>
      </c>
      <c r="Y253" s="529" t="str">
        <f t="shared" si="23"/>
        <v/>
      </c>
      <c r="Z253" s="149"/>
      <c r="AA253" s="150"/>
      <c r="AG253" s="31" t="str">
        <f>IFERROR(INDEX('G-6 Hedgerow Data'!$BJ$3:$BJ$15,MATCH(D253,'G-6 Hedgerow Data'!$B$3:$B$15,0)),"")</f>
        <v/>
      </c>
    </row>
    <row r="254" spans="2:33" ht="14" x14ac:dyDescent="0.3">
      <c r="B254" s="103">
        <v>243</v>
      </c>
      <c r="C254" s="268"/>
      <c r="D254" s="82"/>
      <c r="E254" s="203"/>
      <c r="F254" s="498" t="str">
        <f>IF(D254="","",VLOOKUP(D254,'G-6 Hedgerow Data'!$B$2:$AG$15,2,FALSE))</f>
        <v/>
      </c>
      <c r="G254" s="524" t="str">
        <f>IF(D254="","",VLOOKUP(D254,'G-6 Hedgerow Data'!$B$2:$AG$15,3,FALSE))</f>
        <v/>
      </c>
      <c r="H254" s="72"/>
      <c r="I254" s="499" t="str">
        <f>IFERROR(IF(AND(F254="V.Low",OR(H254="Good",H254="Moderate")),"Error ▲",VLOOKUP(H254,'G-1 All Habitats'!$Z$2:$AA$9,2,FALSE)),"")</f>
        <v/>
      </c>
      <c r="J254" s="146"/>
      <c r="K254" s="520" t="str">
        <f>IF(J254="","",IF(VLOOKUP(J254,'G-3 Multipliers'!$L$3:$N$6,2,FALSE)=0,"Spatial Data Missing",VLOOKUP(J254,'G-3 Multipliers'!$L$3:$N$6,2,FALSE)))</f>
        <v/>
      </c>
      <c r="L254" s="524" t="str">
        <f>IF(J254="","",IF(VLOOKUP(J254,'G-3 Multipliers'!$L$3:$N$6,3,FALSE)=0,"Spatial Data Missing",VLOOKUP(J254,'G-3 Multipliers'!$L$3:$N$6,3,FALSE)))</f>
        <v/>
      </c>
      <c r="M254" s="197"/>
      <c r="N254" s="499" t="str">
        <f>IF(M254="","",IF(VLOOKUP(M254,'G-3 Multipliers'!$S$3:$T$6,2,FALSE)=0,"Spatial Data Missing ⚠",VLOOKUP(M254,'G-3 Multipliers'!$S$3:$T$6,2,FALSE)))</f>
        <v/>
      </c>
      <c r="O254" s="498" t="str">
        <f>IF(OR(D254="",H254=""),"",(INDEX('G-6 Hedgerow Data'!$E$3:$I$15,MATCH(D254,'G-6 Hedgerow Data'!$B$3:$B$15,0),MATCH(H254,'G-6 Hedgerow Data'!$E$2:$I$2,0))))</f>
        <v/>
      </c>
      <c r="P254" s="195"/>
      <c r="Q254" s="195"/>
      <c r="R254" s="507" t="str">
        <f t="shared" si="19"/>
        <v/>
      </c>
      <c r="S254" s="521" t="str">
        <f t="shared" si="20"/>
        <v/>
      </c>
      <c r="T254" s="522" t="str">
        <f t="shared" si="18"/>
        <v/>
      </c>
      <c r="U254" s="537" t="str">
        <f>IF(D254="","",VLOOKUP(D254,'G-6 Hedgerow Data'!$B$3:$AG$15,31,FALSE))</f>
        <v/>
      </c>
      <c r="V254" s="520" t="str">
        <f t="shared" si="21"/>
        <v/>
      </c>
      <c r="W254" s="520" t="str">
        <f t="shared" si="22"/>
        <v/>
      </c>
      <c r="X254" s="524" t="str">
        <f>IF(F254="","",VLOOKUP(U254,'G-3 Multipliers'!$P$3:$Q$6,2,FALSE))</f>
        <v/>
      </c>
      <c r="Y254" s="529" t="str">
        <f t="shared" si="23"/>
        <v/>
      </c>
      <c r="Z254" s="149"/>
      <c r="AA254" s="150"/>
      <c r="AG254" s="31" t="str">
        <f>IFERROR(INDEX('G-6 Hedgerow Data'!$BJ$3:$BJ$15,MATCH(D254,'G-6 Hedgerow Data'!$B$3:$B$15,0)),"")</f>
        <v/>
      </c>
    </row>
    <row r="255" spans="2:33" ht="14" x14ac:dyDescent="0.3">
      <c r="B255" s="103">
        <v>244</v>
      </c>
      <c r="C255" s="268"/>
      <c r="D255" s="82"/>
      <c r="E255" s="203"/>
      <c r="F255" s="498" t="str">
        <f>IF(D255="","",VLOOKUP(D255,'G-6 Hedgerow Data'!$B$2:$AG$15,2,FALSE))</f>
        <v/>
      </c>
      <c r="G255" s="524" t="str">
        <f>IF(D255="","",VLOOKUP(D255,'G-6 Hedgerow Data'!$B$2:$AG$15,3,FALSE))</f>
        <v/>
      </c>
      <c r="H255" s="72"/>
      <c r="I255" s="499" t="str">
        <f>IFERROR(IF(AND(F255="V.Low",OR(H255="Good",H255="Moderate")),"Error ▲",VLOOKUP(H255,'G-1 All Habitats'!$Z$2:$AA$9,2,FALSE)),"")</f>
        <v/>
      </c>
      <c r="J255" s="146"/>
      <c r="K255" s="520" t="str">
        <f>IF(J255="","",IF(VLOOKUP(J255,'G-3 Multipliers'!$L$3:$N$6,2,FALSE)=0,"Spatial Data Missing",VLOOKUP(J255,'G-3 Multipliers'!$L$3:$N$6,2,FALSE)))</f>
        <v/>
      </c>
      <c r="L255" s="524" t="str">
        <f>IF(J255="","",IF(VLOOKUP(J255,'G-3 Multipliers'!$L$3:$N$6,3,FALSE)=0,"Spatial Data Missing",VLOOKUP(J255,'G-3 Multipliers'!$L$3:$N$6,3,FALSE)))</f>
        <v/>
      </c>
      <c r="M255" s="197"/>
      <c r="N255" s="499" t="str">
        <f>IF(M255="","",IF(VLOOKUP(M255,'G-3 Multipliers'!$S$3:$T$6,2,FALSE)=0,"Spatial Data Missing ⚠",VLOOKUP(M255,'G-3 Multipliers'!$S$3:$T$6,2,FALSE)))</f>
        <v/>
      </c>
      <c r="O255" s="498" t="str">
        <f>IF(OR(D255="",H255=""),"",(INDEX('G-6 Hedgerow Data'!$E$3:$I$15,MATCH(D255,'G-6 Hedgerow Data'!$B$3:$B$15,0),MATCH(H255,'G-6 Hedgerow Data'!$E$2:$I$2,0))))</f>
        <v/>
      </c>
      <c r="P255" s="195"/>
      <c r="Q255" s="195"/>
      <c r="R255" s="507" t="str">
        <f t="shared" si="19"/>
        <v/>
      </c>
      <c r="S255" s="521" t="str">
        <f t="shared" si="20"/>
        <v/>
      </c>
      <c r="T255" s="522" t="str">
        <f t="shared" si="18"/>
        <v/>
      </c>
      <c r="U255" s="537" t="str">
        <f>IF(D255="","",VLOOKUP(D255,'G-6 Hedgerow Data'!$B$3:$AG$15,31,FALSE))</f>
        <v/>
      </c>
      <c r="V255" s="520" t="str">
        <f t="shared" si="21"/>
        <v/>
      </c>
      <c r="W255" s="520" t="str">
        <f t="shared" si="22"/>
        <v/>
      </c>
      <c r="X255" s="524" t="str">
        <f>IF(F255="","",VLOOKUP(U255,'G-3 Multipliers'!$P$3:$Q$6,2,FALSE))</f>
        <v/>
      </c>
      <c r="Y255" s="529" t="str">
        <f t="shared" si="23"/>
        <v/>
      </c>
      <c r="Z255" s="149"/>
      <c r="AA255" s="150"/>
      <c r="AG255" s="31" t="str">
        <f>IFERROR(INDEX('G-6 Hedgerow Data'!$BJ$3:$BJ$15,MATCH(D255,'G-6 Hedgerow Data'!$B$3:$B$15,0)),"")</f>
        <v/>
      </c>
    </row>
    <row r="256" spans="2:33" ht="14" x14ac:dyDescent="0.3">
      <c r="B256" s="103">
        <v>245</v>
      </c>
      <c r="C256" s="268"/>
      <c r="D256" s="82"/>
      <c r="E256" s="203"/>
      <c r="F256" s="498" t="str">
        <f>IF(D256="","",VLOOKUP(D256,'G-6 Hedgerow Data'!$B$2:$AG$15,2,FALSE))</f>
        <v/>
      </c>
      <c r="G256" s="524" t="str">
        <f>IF(D256="","",VLOOKUP(D256,'G-6 Hedgerow Data'!$B$2:$AG$15,3,FALSE))</f>
        <v/>
      </c>
      <c r="H256" s="72"/>
      <c r="I256" s="499" t="str">
        <f>IFERROR(IF(AND(F256="V.Low",OR(H256="Good",H256="Moderate")),"Error ▲",VLOOKUP(H256,'G-1 All Habitats'!$Z$2:$AA$9,2,FALSE)),"")</f>
        <v/>
      </c>
      <c r="J256" s="146"/>
      <c r="K256" s="520" t="str">
        <f>IF(J256="","",IF(VLOOKUP(J256,'G-3 Multipliers'!$L$3:$N$6,2,FALSE)=0,"Spatial Data Missing",VLOOKUP(J256,'G-3 Multipliers'!$L$3:$N$6,2,FALSE)))</f>
        <v/>
      </c>
      <c r="L256" s="524" t="str">
        <f>IF(J256="","",IF(VLOOKUP(J256,'G-3 Multipliers'!$L$3:$N$6,3,FALSE)=0,"Spatial Data Missing",VLOOKUP(J256,'G-3 Multipliers'!$L$3:$N$6,3,FALSE)))</f>
        <v/>
      </c>
      <c r="M256" s="197"/>
      <c r="N256" s="499" t="str">
        <f>IF(M256="","",IF(VLOOKUP(M256,'G-3 Multipliers'!$S$3:$T$6,2,FALSE)=0,"Spatial Data Missing ⚠",VLOOKUP(M256,'G-3 Multipliers'!$S$3:$T$6,2,FALSE)))</f>
        <v/>
      </c>
      <c r="O256" s="498" t="str">
        <f>IF(OR(D256="",H256=""),"",(INDEX('G-6 Hedgerow Data'!$E$3:$I$15,MATCH(D256,'G-6 Hedgerow Data'!$B$3:$B$15,0),MATCH(H256,'G-6 Hedgerow Data'!$E$2:$I$2,0))))</f>
        <v/>
      </c>
      <c r="P256" s="195"/>
      <c r="Q256" s="195"/>
      <c r="R256" s="507" t="str">
        <f t="shared" si="19"/>
        <v/>
      </c>
      <c r="S256" s="521" t="str">
        <f t="shared" si="20"/>
        <v/>
      </c>
      <c r="T256" s="522" t="str">
        <f t="shared" si="18"/>
        <v/>
      </c>
      <c r="U256" s="537" t="str">
        <f>IF(D256="","",VLOOKUP(D256,'G-6 Hedgerow Data'!$B$3:$AG$15,31,FALSE))</f>
        <v/>
      </c>
      <c r="V256" s="520" t="str">
        <f t="shared" si="21"/>
        <v/>
      </c>
      <c r="W256" s="520" t="str">
        <f t="shared" si="22"/>
        <v/>
      </c>
      <c r="X256" s="524" t="str">
        <f>IF(F256="","",VLOOKUP(U256,'G-3 Multipliers'!$P$3:$Q$6,2,FALSE))</f>
        <v/>
      </c>
      <c r="Y256" s="529" t="str">
        <f t="shared" si="23"/>
        <v/>
      </c>
      <c r="Z256" s="149"/>
      <c r="AA256" s="150"/>
      <c r="AG256" s="31" t="str">
        <f>IFERROR(INDEX('G-6 Hedgerow Data'!$BJ$3:$BJ$15,MATCH(D256,'G-6 Hedgerow Data'!$B$3:$B$15,0)),"")</f>
        <v/>
      </c>
    </row>
    <row r="257" spans="2:33" ht="14" x14ac:dyDescent="0.3">
      <c r="B257" s="103">
        <v>246</v>
      </c>
      <c r="C257" s="268"/>
      <c r="D257" s="82"/>
      <c r="E257" s="203"/>
      <c r="F257" s="498" t="str">
        <f>IF(D257="","",VLOOKUP(D257,'G-6 Hedgerow Data'!$B$2:$AG$15,2,FALSE))</f>
        <v/>
      </c>
      <c r="G257" s="524" t="str">
        <f>IF(D257="","",VLOOKUP(D257,'G-6 Hedgerow Data'!$B$2:$AG$15,3,FALSE))</f>
        <v/>
      </c>
      <c r="H257" s="72"/>
      <c r="I257" s="499" t="str">
        <f>IFERROR(IF(AND(F257="V.Low",OR(H257="Good",H257="Moderate")),"Error ▲",VLOOKUP(H257,'G-1 All Habitats'!$Z$2:$AA$9,2,FALSE)),"")</f>
        <v/>
      </c>
      <c r="J257" s="146"/>
      <c r="K257" s="520" t="str">
        <f>IF(J257="","",IF(VLOOKUP(J257,'G-3 Multipliers'!$L$3:$N$6,2,FALSE)=0,"Spatial Data Missing",VLOOKUP(J257,'G-3 Multipliers'!$L$3:$N$6,2,FALSE)))</f>
        <v/>
      </c>
      <c r="L257" s="524" t="str">
        <f>IF(J257="","",IF(VLOOKUP(J257,'G-3 Multipliers'!$L$3:$N$6,3,FALSE)=0,"Spatial Data Missing",VLOOKUP(J257,'G-3 Multipliers'!$L$3:$N$6,3,FALSE)))</f>
        <v/>
      </c>
      <c r="M257" s="197"/>
      <c r="N257" s="499" t="str">
        <f>IF(M257="","",IF(VLOOKUP(M257,'G-3 Multipliers'!$S$3:$T$6,2,FALSE)=0,"Spatial Data Missing ⚠",VLOOKUP(M257,'G-3 Multipliers'!$S$3:$T$6,2,FALSE)))</f>
        <v/>
      </c>
      <c r="O257" s="498" t="str">
        <f>IF(OR(D257="",H257=""),"",(INDEX('G-6 Hedgerow Data'!$E$3:$I$15,MATCH(D257,'G-6 Hedgerow Data'!$B$3:$B$15,0),MATCH(H257,'G-6 Hedgerow Data'!$E$2:$I$2,0))))</f>
        <v/>
      </c>
      <c r="P257" s="195"/>
      <c r="Q257" s="195"/>
      <c r="R257" s="507" t="str">
        <f t="shared" si="19"/>
        <v/>
      </c>
      <c r="S257" s="521" t="str">
        <f t="shared" si="20"/>
        <v/>
      </c>
      <c r="T257" s="522" t="str">
        <f t="shared" si="18"/>
        <v/>
      </c>
      <c r="U257" s="537" t="str">
        <f>IF(D257="","",VLOOKUP(D257,'G-6 Hedgerow Data'!$B$3:$AG$15,31,FALSE))</f>
        <v/>
      </c>
      <c r="V257" s="520" t="str">
        <f t="shared" si="21"/>
        <v/>
      </c>
      <c r="W257" s="520" t="str">
        <f t="shared" si="22"/>
        <v/>
      </c>
      <c r="X257" s="524" t="str">
        <f>IF(F257="","",VLOOKUP(U257,'G-3 Multipliers'!$P$3:$Q$6,2,FALSE))</f>
        <v/>
      </c>
      <c r="Y257" s="529" t="str">
        <f t="shared" si="23"/>
        <v/>
      </c>
      <c r="Z257" s="149"/>
      <c r="AA257" s="150"/>
      <c r="AG257" s="31" t="str">
        <f>IFERROR(INDEX('G-6 Hedgerow Data'!$BJ$3:$BJ$15,MATCH(D257,'G-6 Hedgerow Data'!$B$3:$B$15,0)),"")</f>
        <v/>
      </c>
    </row>
    <row r="258" spans="2:33" ht="14" x14ac:dyDescent="0.3">
      <c r="B258" s="103">
        <v>247</v>
      </c>
      <c r="C258" s="268"/>
      <c r="D258" s="82"/>
      <c r="E258" s="203"/>
      <c r="F258" s="498" t="str">
        <f>IF(D258="","",VLOOKUP(D258,'G-6 Hedgerow Data'!$B$2:$AG$15,2,FALSE))</f>
        <v/>
      </c>
      <c r="G258" s="524" t="str">
        <f>IF(D258="","",VLOOKUP(D258,'G-6 Hedgerow Data'!$B$2:$AG$15,3,FALSE))</f>
        <v/>
      </c>
      <c r="H258" s="72"/>
      <c r="I258" s="499" t="str">
        <f>IFERROR(IF(AND(F258="V.Low",OR(H258="Good",H258="Moderate")),"Error ▲",VLOOKUP(H258,'G-1 All Habitats'!$Z$2:$AA$9,2,FALSE)),"")</f>
        <v/>
      </c>
      <c r="J258" s="146"/>
      <c r="K258" s="520" t="str">
        <f>IF(J258="","",IF(VLOOKUP(J258,'G-3 Multipliers'!$L$3:$N$6,2,FALSE)=0,"Spatial Data Missing",VLOOKUP(J258,'G-3 Multipliers'!$L$3:$N$6,2,FALSE)))</f>
        <v/>
      </c>
      <c r="L258" s="524" t="str">
        <f>IF(J258="","",IF(VLOOKUP(J258,'G-3 Multipliers'!$L$3:$N$6,3,FALSE)=0,"Spatial Data Missing",VLOOKUP(J258,'G-3 Multipliers'!$L$3:$N$6,3,FALSE)))</f>
        <v/>
      </c>
      <c r="M258" s="197"/>
      <c r="N258" s="499" t="str">
        <f>IF(M258="","",IF(VLOOKUP(M258,'G-3 Multipliers'!$S$3:$T$6,2,FALSE)=0,"Spatial Data Missing ⚠",VLOOKUP(M258,'G-3 Multipliers'!$S$3:$T$6,2,FALSE)))</f>
        <v/>
      </c>
      <c r="O258" s="498" t="str">
        <f>IF(OR(D258="",H258=""),"",(INDEX('G-6 Hedgerow Data'!$E$3:$I$15,MATCH(D258,'G-6 Hedgerow Data'!$B$3:$B$15,0),MATCH(H258,'G-6 Hedgerow Data'!$E$2:$I$2,0))))</f>
        <v/>
      </c>
      <c r="P258" s="195"/>
      <c r="Q258" s="195"/>
      <c r="R258" s="507" t="str">
        <f t="shared" si="19"/>
        <v/>
      </c>
      <c r="S258" s="521" t="str">
        <f t="shared" si="20"/>
        <v/>
      </c>
      <c r="T258" s="522" t="str">
        <f t="shared" si="18"/>
        <v/>
      </c>
      <c r="U258" s="537" t="str">
        <f>IF(D258="","",VLOOKUP(D258,'G-6 Hedgerow Data'!$B$3:$AG$15,31,FALSE))</f>
        <v/>
      </c>
      <c r="V258" s="520" t="str">
        <f t="shared" si="21"/>
        <v/>
      </c>
      <c r="W258" s="520" t="str">
        <f>(IF(AND(V258="Standard difficulty applied",O258&gt;P258),U258,IF(AND(V258="Low Difficulty - only applicable if all habitat created before losses",P258&gt;=O258),"Low",U258)))</f>
        <v/>
      </c>
      <c r="X258" s="524" t="str">
        <f>IF(F258="","",VLOOKUP(U258,'G-3 Multipliers'!$P$3:$Q$6,2,FALSE))</f>
        <v/>
      </c>
      <c r="Y258" s="529" t="str">
        <f t="shared" si="23"/>
        <v/>
      </c>
      <c r="Z258" s="149"/>
      <c r="AA258" s="150"/>
      <c r="AG258" s="31" t="str">
        <f>IFERROR(INDEX('G-6 Hedgerow Data'!$BJ$3:$BJ$15,MATCH(D258,'G-6 Hedgerow Data'!$B$3:$B$15,0)),"")</f>
        <v/>
      </c>
    </row>
    <row r="259" spans="2:33" ht="14.5" thickBot="1" x14ac:dyDescent="0.35">
      <c r="B259" s="194">
        <v>248</v>
      </c>
      <c r="C259" s="269"/>
      <c r="D259" s="82"/>
      <c r="E259" s="203"/>
      <c r="F259" s="500" t="str">
        <f>IF(D259="","",VLOOKUP(D259,'G-6 Hedgerow Data'!$B$2:$AG$15,2,FALSE))</f>
        <v/>
      </c>
      <c r="G259" s="524" t="str">
        <f>IF(D259="","",VLOOKUP(D259,'G-6 Hedgerow Data'!$B$2:$AG$15,3,FALSE))</f>
        <v/>
      </c>
      <c r="H259" s="72"/>
      <c r="I259" s="499" t="str">
        <f>IFERROR(IF(AND(F259="V.Low",OR(H259="Good",H259="Moderate")),"Error ▲",VLOOKUP(H259,'G-1 All Habitats'!$Z$2:$AA$9,2,FALSE)),"")</f>
        <v/>
      </c>
      <c r="J259" s="146"/>
      <c r="K259" s="508" t="str">
        <f>IF(J259="","",IF(VLOOKUP(J259,'G-3 Multipliers'!$L$3:$N$6,2,FALSE)=0,"Spatial Data Missing",VLOOKUP(J259,'G-3 Multipliers'!$L$3:$N$6,2,FALSE)))</f>
        <v/>
      </c>
      <c r="L259" s="501" t="str">
        <f>IF(J259="","",IF(VLOOKUP(J259,'G-3 Multipliers'!$L$3:$N$6,3,FALSE)=0,"Spatial Data Missing",VLOOKUP(J259,'G-3 Multipliers'!$L$3:$N$6,3,FALSE)))</f>
        <v/>
      </c>
      <c r="M259" s="271"/>
      <c r="N259" s="499" t="str">
        <f>IF(M259="","",IF(VLOOKUP(M259,'G-3 Multipliers'!$S$3:$T$6,2,FALSE)=0,"Spatial Data Missing ⚠",VLOOKUP(M259,'G-3 Multipliers'!$S$3:$T$6,2,FALSE)))</f>
        <v/>
      </c>
      <c r="O259" s="498" t="str">
        <f>IF(OR(D259="",H259=""),"",(INDEX('G-6 Hedgerow Data'!$E$3:$I$15,MATCH(D259,'G-6 Hedgerow Data'!$B$3:$B$15,0),MATCH(H259,'G-6 Hedgerow Data'!$E$2:$I$2,0))))</f>
        <v/>
      </c>
      <c r="P259" s="195"/>
      <c r="Q259" s="206"/>
      <c r="R259" s="507" t="str">
        <f t="shared" si="19"/>
        <v/>
      </c>
      <c r="S259" s="521" t="str">
        <f t="shared" si="20"/>
        <v/>
      </c>
      <c r="T259" s="522" t="str">
        <f t="shared" si="18"/>
        <v/>
      </c>
      <c r="U259" s="500" t="str">
        <f>IF(D259="","",VLOOKUP(D259,'G-6 Hedgerow Data'!$B$3:$AG$15,31,FALSE))</f>
        <v/>
      </c>
      <c r="V259" s="520" t="str">
        <f t="shared" si="21"/>
        <v/>
      </c>
      <c r="W259" s="534" t="str">
        <f t="shared" si="22"/>
        <v/>
      </c>
      <c r="X259" s="536" t="str">
        <f>IF(F259="","",VLOOKUP(U259,'G-3 Multipliers'!$P$3:$Q$6,2,FALSE))</f>
        <v/>
      </c>
      <c r="Y259" s="530" t="str">
        <f t="shared" si="23"/>
        <v/>
      </c>
      <c r="Z259" s="163"/>
      <c r="AA259" s="164"/>
      <c r="AG259" s="31" t="str">
        <f>IFERROR(INDEX('G-6 Hedgerow Data'!$BJ$3:$BJ$15,MATCH(D259,'G-6 Hedgerow Data'!$B$3:$B$15,0)),"")</f>
        <v/>
      </c>
    </row>
    <row r="260" spans="2:33" ht="14.5" thickBot="1" x14ac:dyDescent="0.35">
      <c r="B260" s="46"/>
      <c r="C260" s="46"/>
      <c r="D260" s="277"/>
      <c r="E260" s="503">
        <f>SUM(E12:E259)</f>
        <v>0</v>
      </c>
      <c r="F260" s="46"/>
      <c r="G260" s="46"/>
      <c r="H260" s="46"/>
      <c r="I260" s="46"/>
      <c r="J260" s="46"/>
      <c r="K260" s="46"/>
      <c r="L260" s="46"/>
      <c r="M260" s="46"/>
      <c r="N260" s="46"/>
      <c r="O260" s="46"/>
      <c r="P260" s="46"/>
      <c r="Q260" s="46"/>
      <c r="R260" s="46"/>
      <c r="S260" s="46"/>
      <c r="T260" s="46"/>
      <c r="U260" s="46"/>
      <c r="V260" s="46"/>
      <c r="W260" s="998"/>
      <c r="X260" s="998"/>
      <c r="Y260" s="503">
        <f>SUM(Y12:Y259)</f>
        <v>0</v>
      </c>
      <c r="Z260" s="46"/>
      <c r="AA260" s="46"/>
    </row>
    <row r="261" spans="2:33" ht="28.9" customHeight="1" x14ac:dyDescent="0.3">
      <c r="E261" s="981"/>
      <c r="F261" s="981"/>
      <c r="G261" s="981"/>
      <c r="H261" s="981"/>
      <c r="I261" s="981"/>
      <c r="J261" s="981"/>
    </row>
    <row r="262" spans="2:33" ht="27" customHeight="1" x14ac:dyDescent="0.3"/>
    <row r="263" spans="2:33" ht="14" x14ac:dyDescent="0.3"/>
    <row r="264" spans="2:33" ht="14" x14ac:dyDescent="0.3"/>
    <row r="265" spans="2:33" ht="14" x14ac:dyDescent="0.3"/>
    <row r="266" spans="2:33" ht="14" hidden="1" x14ac:dyDescent="0.3"/>
    <row r="267" spans="2:33" ht="14" hidden="1" x14ac:dyDescent="0.3"/>
    <row r="268" spans="2:33" ht="14" hidden="1" x14ac:dyDescent="0.3"/>
  </sheetData>
  <sheetProtection algorithmName="SHA-512" hashValue="BzaVWXJ/g6y5PdW6wjwvJ8aQ9bqxp3gM6AzD9pBXnLeAC9ESoN024J8on+w6JbBC87MlzwTIbp/I6faplmZvPw==" saltValue="meB2O9kS6yQmOCaoNsqQuw=="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14">
    <mergeCell ref="B2:E2"/>
    <mergeCell ref="B3:E4"/>
    <mergeCell ref="D10:E10"/>
    <mergeCell ref="M10:N10"/>
    <mergeCell ref="O10:T10"/>
    <mergeCell ref="F10:G10"/>
    <mergeCell ref="H10:I10"/>
    <mergeCell ref="O2:T5"/>
    <mergeCell ref="W260:X260"/>
    <mergeCell ref="E261:J261"/>
    <mergeCell ref="Y10:Y11"/>
    <mergeCell ref="Z10:AA10"/>
    <mergeCell ref="J10:L10"/>
    <mergeCell ref="U10:X10"/>
  </mergeCells>
  <conditionalFormatting sqref="Y12">
    <cfRule type="containsText" dxfId="83" priority="16" operator="containsText" text="Existing Value Not Required">
      <formula>NOT(ISERROR(SEARCH("Existing Value Not Required",Y12)))</formula>
    </cfRule>
    <cfRule type="containsText" dxfId="82" priority="17" operator="containsText" text="Existing Value Required">
      <formula>NOT(ISERROR(SEARCH("Existing Value Required",Y12)))</formula>
    </cfRule>
  </conditionalFormatting>
  <conditionalFormatting sqref="M12:M16">
    <cfRule type="containsText" dxfId="81" priority="12" operator="containsText" text="Existing Value Not Required">
      <formula>NOT(ISERROR(SEARCH("Existing Value Not Required",M12)))</formula>
    </cfRule>
    <cfRule type="containsText" dxfId="80" priority="13" operator="containsText" text="Existing Value Required">
      <formula>NOT(ISERROR(SEARCH("Existing Value Required",M12)))</formula>
    </cfRule>
  </conditionalFormatting>
  <conditionalFormatting sqref="Y13:Y259">
    <cfRule type="containsText" dxfId="79" priority="10" operator="containsText" text="Existing Value Not Required">
      <formula>NOT(ISERROR(SEARCH("Existing Value Not Required",Y13)))</formula>
    </cfRule>
    <cfRule type="containsText" dxfId="78" priority="11" operator="containsText" text="Existing Value Required">
      <formula>NOT(ISERROR(SEARCH("Existing Value Required",Y13)))</formula>
    </cfRule>
  </conditionalFormatting>
  <conditionalFormatting sqref="M13:M259">
    <cfRule type="containsText" dxfId="77" priority="8" operator="containsText" text="Existing Value Not Required">
      <formula>NOT(ISERROR(SEARCH("Existing Value Not Required",M13)))</formula>
    </cfRule>
    <cfRule type="containsText" dxfId="76" priority="9" operator="containsText" text="Existing Value Required">
      <formula>NOT(ISERROR(SEARCH("Existing Value Required",M13)))</formula>
    </cfRule>
  </conditionalFormatting>
  <conditionalFormatting sqref="I12:Y259">
    <cfRule type="containsText" dxfId="75" priority="7" operator="containsText" text="Error">
      <formula>NOT(ISERROR(SEARCH("Error",I12)))</formula>
    </cfRule>
  </conditionalFormatting>
  <conditionalFormatting sqref="K12:L259">
    <cfRule type="containsText" dxfId="74" priority="6" operator="containsText" text="Spatial">
      <formula>NOT(ISERROR(SEARCH("Spatial",K12)))</formula>
    </cfRule>
  </conditionalFormatting>
  <conditionalFormatting sqref="N12:N259">
    <cfRule type="containsText" dxfId="73" priority="5" operator="containsText" text="Spatial">
      <formula>NOT(ISERROR(SEARCH("Spatial",N12)))</formula>
    </cfRule>
  </conditionalFormatting>
  <conditionalFormatting sqref="O6:S6 O2">
    <cfRule type="containsText" dxfId="72" priority="4" operator="containsText" text="Note">
      <formula>NOT(ISERROR(SEARCH("Note",O2)))</formula>
    </cfRule>
  </conditionalFormatting>
  <conditionalFormatting sqref="R12:Y259">
    <cfRule type="containsText" dxfId="71" priority="3" operator="containsText" text="Check">
      <formula>NOT(ISERROR(SEARCH("Check",R12)))</formula>
    </cfRule>
  </conditionalFormatting>
  <conditionalFormatting sqref="V12:V259">
    <cfRule type="beginsWith" dxfId="70" priority="2" operator="beginsWith" text="No">
      <formula>LEFT(V12,LEN("No"))="No"</formula>
    </cfRule>
  </conditionalFormatting>
  <conditionalFormatting sqref="E261:J261">
    <cfRule type="containsText" dxfId="69" priority="1" operator="containsText" text="Check">
      <formula>NOT(ISERROR(SEARCH("Check",E261)))</formula>
    </cfRule>
  </conditionalFormatting>
  <dataValidations count="1">
    <dataValidation type="list" allowBlank="1" showInputMessage="1" showErrorMessage="1" sqref="H12:H259" xr:uid="{00000000-0002-0000-1300-000000000000}">
      <formula1>INDIRECT(AG12)</formula1>
    </dataValidation>
  </dataValidations>
  <pageMargins left="0.7" right="0.7" top="0.75" bottom="0.75" header="0.3" footer="0.3"/>
  <pageSetup paperSize="9" orientation="portrait" horizontalDpi="90" verticalDpi="90"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1300-000001000000}">
          <x14:formula1>
            <xm:f>'G-6 Hedgerow Data'!$B$3:$B$15</xm:f>
          </x14:formula1>
          <xm:sqref>D12:D259</xm:sqref>
        </x14:dataValidation>
        <x14:dataValidation type="list" allowBlank="1" showInputMessage="1" showErrorMessage="1" xr:uid="{00000000-0002-0000-1300-000002000000}">
          <x14:formula1>
            <xm:f>'G-3 Multipliers'!$L$4:$L$6</xm:f>
          </x14:formula1>
          <xm:sqref>J12:J259</xm:sqref>
        </x14:dataValidation>
        <x14:dataValidation type="list" allowBlank="1" showInputMessage="1" showErrorMessage="1" xr:uid="{00000000-0002-0000-1300-000003000000}">
          <x14:formula1>
            <xm:f>'G-3 Multipliers'!$S$4:$S$6</xm:f>
          </x14:formula1>
          <xm:sqref>M12:M259</xm:sqref>
        </x14:dataValidation>
        <x14:dataValidation type="list" allowBlank="1" showInputMessage="1" showErrorMessage="1" xr:uid="{00000000-0002-0000-1300-000004000000}">
          <x14:formula1>
            <xm:f>'G-4 Temporal multipliers'!$A$41:$A$72</xm:f>
          </x14:formula1>
          <xm:sqref>P12:Q259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1">
    <tabColor theme="0" tint="-0.249977111117893"/>
  </sheetPr>
  <dimension ref="A1:AC60"/>
  <sheetViews>
    <sheetView topLeftCell="A16" workbookViewId="0">
      <selection activeCell="Q12" sqref="Q12"/>
    </sheetView>
  </sheetViews>
  <sheetFormatPr defaultColWidth="0" defaultRowHeight="0" customHeight="1" zeroHeight="1" x14ac:dyDescent="0.3"/>
  <cols>
    <col min="1" max="2" width="2.1796875" style="11" customWidth="1"/>
    <col min="3" max="3" width="3" style="11" customWidth="1"/>
    <col min="4" max="4" width="10.54296875" style="11" customWidth="1"/>
    <col min="5" max="5" width="33.81640625" style="11" customWidth="1"/>
    <col min="6" max="6" width="14.7265625" style="11" customWidth="1"/>
    <col min="7" max="7" width="9.1796875" style="11" customWidth="1"/>
    <col min="8" max="8" width="7.81640625" style="11" customWidth="1"/>
    <col min="9" max="9" width="35.26953125" style="11" customWidth="1"/>
    <col min="10" max="10" width="13.81640625" style="11" customWidth="1"/>
    <col min="11" max="11" width="2.81640625" style="11" customWidth="1"/>
    <col min="12" max="12" width="1.54296875" style="11" customWidth="1"/>
    <col min="13" max="13" width="4.1796875" style="11" customWidth="1"/>
    <col min="14" max="14" width="4.26953125" style="11" customWidth="1"/>
    <col min="15" max="15" width="5.7265625" style="11" customWidth="1"/>
    <col min="16" max="16" width="9.1796875" style="11" customWidth="1"/>
    <col min="17" max="17" width="34.54296875" style="11" customWidth="1"/>
    <col min="18" max="18" width="13.7265625" style="11" bestFit="1" customWidth="1"/>
    <col min="19" max="19" width="19.26953125" style="11" customWidth="1"/>
    <col min="20" max="28" width="9.1796875" style="11" customWidth="1"/>
    <col min="29" max="29" width="0" style="11" hidden="1" customWidth="1"/>
    <col min="30" max="16384" width="9.1796875" style="11" hidden="1"/>
  </cols>
  <sheetData>
    <row r="1" spans="1:19" ht="15.65" customHeight="1" x14ac:dyDescent="0.6">
      <c r="B1" s="12"/>
      <c r="C1" s="12"/>
      <c r="E1" s="13"/>
      <c r="F1" s="670"/>
      <c r="G1" s="670"/>
      <c r="H1" s="670"/>
      <c r="I1" s="670"/>
      <c r="J1" s="670"/>
      <c r="K1" s="671"/>
      <c r="L1" s="671"/>
      <c r="M1" s="671"/>
      <c r="N1" s="671"/>
      <c r="O1" s="671"/>
      <c r="P1" s="671"/>
    </row>
    <row r="2" spans="1:19" ht="15.75" customHeight="1" x14ac:dyDescent="0.6">
      <c r="B2" s="12"/>
      <c r="C2" s="12"/>
      <c r="E2" s="13"/>
    </row>
    <row r="3" spans="1:19" ht="15.75" customHeight="1" x14ac:dyDescent="0.6">
      <c r="A3" s="13"/>
      <c r="B3" s="13"/>
      <c r="C3" s="13"/>
      <c r="D3" s="13"/>
      <c r="E3" s="13"/>
      <c r="F3" s="672"/>
      <c r="G3" s="672"/>
      <c r="H3" s="672"/>
      <c r="I3" s="672"/>
      <c r="J3" s="672"/>
      <c r="K3" s="672"/>
      <c r="L3" s="672"/>
      <c r="M3" s="672"/>
      <c r="N3" s="672"/>
      <c r="O3" s="672"/>
      <c r="P3" s="672"/>
      <c r="Q3" s="672"/>
    </row>
    <row r="4" spans="1:19" ht="16.5" customHeight="1" x14ac:dyDescent="0.6">
      <c r="A4" s="13"/>
      <c r="B4" s="13"/>
      <c r="C4" s="13"/>
      <c r="D4" s="13"/>
      <c r="E4" s="13"/>
      <c r="F4" s="672"/>
      <c r="G4" s="672"/>
      <c r="H4" s="672"/>
      <c r="I4" s="672"/>
      <c r="J4" s="672"/>
      <c r="K4" s="672"/>
      <c r="L4" s="672"/>
      <c r="M4" s="672"/>
      <c r="N4" s="672"/>
      <c r="O4" s="672"/>
      <c r="P4" s="672"/>
      <c r="Q4" s="672"/>
    </row>
    <row r="5" spans="1:19" ht="16.5" customHeight="1" x14ac:dyDescent="0.6">
      <c r="A5" s="13"/>
      <c r="B5" s="13"/>
      <c r="C5" s="13"/>
      <c r="D5" s="13"/>
      <c r="E5" s="13"/>
      <c r="F5" s="14"/>
      <c r="G5" s="14"/>
      <c r="H5" s="14"/>
      <c r="I5" s="14"/>
      <c r="J5" s="14"/>
      <c r="K5" s="14"/>
      <c r="L5" s="14"/>
      <c r="M5" s="14"/>
      <c r="N5" s="14"/>
      <c r="O5" s="14"/>
      <c r="P5" s="14"/>
      <c r="Q5" s="14"/>
      <c r="R5" s="14"/>
      <c r="S5" s="14"/>
    </row>
    <row r="6" spans="1:19" ht="16.5" customHeight="1" x14ac:dyDescent="0.6">
      <c r="B6" s="12"/>
      <c r="C6" s="12"/>
      <c r="D6" s="13"/>
      <c r="E6" s="13"/>
      <c r="F6" s="14"/>
      <c r="G6" s="14"/>
      <c r="H6" s="14"/>
      <c r="I6" s="14"/>
      <c r="J6" s="14"/>
      <c r="K6" s="14"/>
      <c r="L6" s="14"/>
      <c r="M6" s="14"/>
      <c r="N6" s="14"/>
      <c r="O6" s="14"/>
      <c r="P6" s="14"/>
      <c r="Q6" s="14"/>
      <c r="R6" s="14"/>
      <c r="S6" s="14"/>
    </row>
    <row r="7" spans="1:19" ht="16.5" customHeight="1" x14ac:dyDescent="0.6">
      <c r="B7" s="12"/>
      <c r="C7" s="13"/>
      <c r="D7" s="13"/>
      <c r="E7" s="13"/>
      <c r="F7" s="14"/>
      <c r="G7" s="14"/>
      <c r="H7" s="14"/>
      <c r="I7" s="14"/>
      <c r="J7" s="14"/>
      <c r="K7" s="14"/>
      <c r="L7" s="14"/>
      <c r="M7" s="14"/>
      <c r="N7" s="14"/>
      <c r="O7" s="14"/>
      <c r="P7" s="14"/>
      <c r="Q7" s="14"/>
      <c r="R7" s="14"/>
      <c r="S7" s="14"/>
    </row>
    <row r="8" spans="1:19" ht="23.5" customHeight="1" thickBot="1" x14ac:dyDescent="0.65">
      <c r="B8" s="12"/>
      <c r="C8" s="12"/>
      <c r="D8" s="13"/>
      <c r="E8" s="678"/>
      <c r="F8" s="678"/>
      <c r="G8" s="678"/>
      <c r="H8" s="678"/>
      <c r="I8" s="678"/>
      <c r="J8" s="678"/>
      <c r="K8" s="14"/>
      <c r="L8" s="14"/>
      <c r="M8" s="14"/>
      <c r="N8" s="14"/>
      <c r="O8" s="14"/>
      <c r="P8" s="14"/>
      <c r="Q8" s="14"/>
      <c r="R8" s="14"/>
      <c r="S8" s="14"/>
    </row>
    <row r="9" spans="1:19" ht="23.5" customHeight="1" x14ac:dyDescent="0.3">
      <c r="B9" s="12"/>
      <c r="D9" s="687" t="s">
        <v>0</v>
      </c>
      <c r="E9" s="688"/>
      <c r="F9" s="688"/>
      <c r="G9" s="688"/>
      <c r="H9" s="688"/>
      <c r="I9" s="688"/>
      <c r="J9" s="689"/>
      <c r="K9" s="14"/>
      <c r="L9" s="14"/>
      <c r="M9" s="14"/>
      <c r="N9" s="14"/>
      <c r="O9" s="14"/>
      <c r="P9" s="14"/>
      <c r="Q9" s="14"/>
      <c r="R9" s="14"/>
      <c r="S9" s="14"/>
    </row>
    <row r="10" spans="1:19" ht="21.65" customHeight="1" thickBot="1" x14ac:dyDescent="0.35">
      <c r="B10" s="12"/>
      <c r="D10" s="690"/>
      <c r="E10" s="691"/>
      <c r="F10" s="691"/>
      <c r="G10" s="691"/>
      <c r="H10" s="691"/>
      <c r="I10" s="691"/>
      <c r="J10" s="692"/>
      <c r="K10" s="14"/>
      <c r="L10" s="14"/>
      <c r="M10" s="14"/>
      <c r="N10" s="14"/>
      <c r="P10" s="14"/>
      <c r="Q10" s="14"/>
      <c r="R10" s="14"/>
    </row>
    <row r="11" spans="1:19" ht="25.9" customHeight="1" x14ac:dyDescent="0.3">
      <c r="B11" s="12"/>
      <c r="D11" s="673" t="s">
        <v>1</v>
      </c>
      <c r="E11" s="674"/>
      <c r="F11" s="675" t="s">
        <v>1357</v>
      </c>
      <c r="G11" s="676"/>
      <c r="H11" s="676"/>
      <c r="I11" s="676"/>
      <c r="J11" s="677"/>
      <c r="K11" s="14"/>
      <c r="L11" s="14"/>
      <c r="M11" s="14"/>
      <c r="N11" s="14"/>
      <c r="P11" s="14"/>
      <c r="Q11" s="14"/>
      <c r="R11" s="14"/>
    </row>
    <row r="12" spans="1:19" ht="24" customHeight="1" x14ac:dyDescent="0.3">
      <c r="B12" s="12"/>
      <c r="D12" s="668" t="s">
        <v>2</v>
      </c>
      <c r="E12" s="669"/>
      <c r="F12" s="693" t="s">
        <v>1560</v>
      </c>
      <c r="G12" s="694"/>
      <c r="H12" s="694"/>
      <c r="I12" s="694"/>
      <c r="J12" s="695"/>
      <c r="K12" s="14"/>
      <c r="L12" s="14"/>
      <c r="M12" s="14"/>
      <c r="N12" s="14"/>
      <c r="P12" s="14"/>
      <c r="Q12" s="14"/>
      <c r="R12" s="14"/>
    </row>
    <row r="13" spans="1:19" ht="21.65" customHeight="1" x14ac:dyDescent="0.3">
      <c r="B13" s="12"/>
      <c r="D13" s="699" t="s">
        <v>3</v>
      </c>
      <c r="E13" s="700"/>
      <c r="F13" s="693" t="s">
        <v>1566</v>
      </c>
      <c r="G13" s="694"/>
      <c r="H13" s="694"/>
      <c r="I13" s="694"/>
      <c r="J13" s="695"/>
      <c r="K13" s="14"/>
      <c r="L13" s="14"/>
      <c r="M13" s="14"/>
      <c r="N13" s="14"/>
      <c r="P13" s="14"/>
      <c r="Q13" s="14"/>
      <c r="R13" s="14"/>
    </row>
    <row r="14" spans="1:19" ht="22.15" customHeight="1" x14ac:dyDescent="0.3">
      <c r="B14" s="12"/>
      <c r="D14" s="668" t="s">
        <v>4</v>
      </c>
      <c r="E14" s="669"/>
      <c r="F14" s="693"/>
      <c r="G14" s="694"/>
      <c r="H14" s="694"/>
      <c r="I14" s="694"/>
      <c r="J14" s="695"/>
      <c r="K14" s="14"/>
      <c r="L14" s="14"/>
      <c r="M14" s="14"/>
      <c r="N14" s="14"/>
      <c r="P14" s="14"/>
      <c r="Q14" s="14"/>
      <c r="R14" s="14"/>
    </row>
    <row r="15" spans="1:19" ht="21.65" customHeight="1" x14ac:dyDescent="0.3">
      <c r="B15" s="12"/>
      <c r="D15" s="668" t="s">
        <v>5</v>
      </c>
      <c r="E15" s="669"/>
      <c r="F15" s="693"/>
      <c r="G15" s="694"/>
      <c r="H15" s="694"/>
      <c r="I15" s="694"/>
      <c r="J15" s="695"/>
      <c r="K15" s="14"/>
      <c r="L15" s="14"/>
      <c r="M15" s="14"/>
      <c r="N15" s="14"/>
      <c r="P15" s="14"/>
      <c r="Q15" s="14"/>
      <c r="R15" s="14"/>
    </row>
    <row r="16" spans="1:19" ht="21" customHeight="1" x14ac:dyDescent="0.3">
      <c r="D16" s="668" t="s">
        <v>6</v>
      </c>
      <c r="E16" s="669"/>
      <c r="F16" s="693" t="s">
        <v>1559</v>
      </c>
      <c r="G16" s="694"/>
      <c r="H16" s="694"/>
      <c r="I16" s="694"/>
      <c r="J16" s="695"/>
      <c r="K16" s="14"/>
      <c r="L16" s="14"/>
      <c r="M16" s="14"/>
      <c r="N16" s="14"/>
      <c r="P16" s="14"/>
      <c r="Q16" s="14"/>
      <c r="R16" s="14"/>
    </row>
    <row r="17" spans="3:18" ht="23.5" customHeight="1" x14ac:dyDescent="0.3">
      <c r="D17" s="668" t="s">
        <v>7</v>
      </c>
      <c r="E17" s="669"/>
      <c r="F17" s="693"/>
      <c r="G17" s="694"/>
      <c r="H17" s="694"/>
      <c r="I17" s="694"/>
      <c r="J17" s="695"/>
      <c r="K17" s="14"/>
      <c r="L17" s="14"/>
      <c r="M17" s="14"/>
      <c r="N17" s="14"/>
      <c r="P17" s="14"/>
      <c r="Q17" s="14"/>
      <c r="R17" s="14"/>
    </row>
    <row r="18" spans="3:18" ht="19.899999999999999" customHeight="1" x14ac:dyDescent="0.3">
      <c r="D18" s="668" t="s">
        <v>8</v>
      </c>
      <c r="E18" s="669"/>
      <c r="F18" s="693">
        <v>3.1</v>
      </c>
      <c r="G18" s="694"/>
      <c r="H18" s="694"/>
      <c r="I18" s="694"/>
      <c r="J18" s="695"/>
      <c r="K18" s="14"/>
      <c r="L18" s="14"/>
      <c r="M18" s="14"/>
      <c r="N18" s="14"/>
      <c r="P18" s="14"/>
      <c r="Q18" s="14"/>
      <c r="R18" s="14"/>
    </row>
    <row r="19" spans="3:18" ht="19.899999999999999" customHeight="1" x14ac:dyDescent="0.3">
      <c r="D19" s="668" t="s">
        <v>9</v>
      </c>
      <c r="E19" s="669"/>
      <c r="F19" s="696">
        <v>44750</v>
      </c>
      <c r="G19" s="697"/>
      <c r="H19" s="697"/>
      <c r="I19" s="697"/>
      <c r="J19" s="698"/>
      <c r="K19" s="14"/>
      <c r="L19" s="14"/>
      <c r="M19" s="14"/>
      <c r="N19" s="14"/>
      <c r="P19" s="14"/>
      <c r="Q19" s="14"/>
      <c r="R19" s="14"/>
    </row>
    <row r="20" spans="3:18" ht="21.65" customHeight="1" thickBot="1" x14ac:dyDescent="0.35">
      <c r="D20" s="701" t="s">
        <v>10</v>
      </c>
      <c r="E20" s="702"/>
      <c r="F20" s="703"/>
      <c r="G20" s="704"/>
      <c r="H20" s="704"/>
      <c r="I20" s="704"/>
      <c r="J20" s="705"/>
      <c r="K20" s="14"/>
      <c r="L20" s="14"/>
      <c r="M20" s="14"/>
      <c r="N20" s="14"/>
      <c r="P20" s="14"/>
      <c r="Q20" s="14"/>
      <c r="R20" s="14"/>
    </row>
    <row r="21" spans="3:18" ht="16.5" customHeight="1" x14ac:dyDescent="0.3">
      <c r="P21" s="14"/>
      <c r="Q21" s="14"/>
      <c r="R21" s="14"/>
    </row>
    <row r="22" spans="3:18" ht="16.5" customHeight="1" thickBot="1" x14ac:dyDescent="0.35">
      <c r="C22" s="14"/>
      <c r="D22" s="14"/>
      <c r="E22" s="14"/>
      <c r="F22" s="14"/>
      <c r="G22" s="14"/>
      <c r="H22" s="14"/>
      <c r="I22" s="14"/>
      <c r="J22" s="14"/>
      <c r="K22" s="14"/>
      <c r="P22" s="14"/>
      <c r="Q22" s="14"/>
      <c r="R22" s="14"/>
    </row>
    <row r="23" spans="3:18" ht="20.25" customHeight="1" thickBot="1" x14ac:dyDescent="0.45">
      <c r="C23" s="14"/>
      <c r="D23" s="708" t="s">
        <v>11</v>
      </c>
      <c r="E23" s="709"/>
      <c r="F23" s="709"/>
      <c r="G23" s="709"/>
      <c r="H23" s="709"/>
      <c r="I23" s="709"/>
      <c r="J23" s="710"/>
      <c r="K23" s="14"/>
      <c r="L23" s="15"/>
      <c r="M23" s="15"/>
      <c r="N23" s="15"/>
      <c r="P23" s="14"/>
      <c r="Q23" s="14"/>
      <c r="R23" s="14"/>
    </row>
    <row r="24" spans="3:18" ht="16.5" customHeight="1" x14ac:dyDescent="0.3">
      <c r="P24" s="14"/>
      <c r="Q24" s="14"/>
      <c r="R24" s="14"/>
    </row>
    <row r="25" spans="3:18" ht="16.5" customHeight="1" x14ac:dyDescent="0.35">
      <c r="D25" s="706"/>
      <c r="E25" s="707"/>
      <c r="F25" s="681" t="s">
        <v>12</v>
      </c>
      <c r="G25" s="682"/>
      <c r="H25" s="682"/>
      <c r="I25" s="682"/>
      <c r="J25" s="683"/>
      <c r="K25" s="14"/>
      <c r="L25" s="14"/>
      <c r="M25" s="14"/>
      <c r="N25" s="14"/>
      <c r="P25" s="14"/>
      <c r="Q25" s="14"/>
      <c r="R25" s="14"/>
    </row>
    <row r="26" spans="3:18" ht="16.5" customHeight="1" x14ac:dyDescent="0.35">
      <c r="D26" s="711"/>
      <c r="E26" s="712"/>
      <c r="F26" s="681" t="s">
        <v>13</v>
      </c>
      <c r="G26" s="682"/>
      <c r="H26" s="682"/>
      <c r="I26" s="682"/>
      <c r="J26" s="683"/>
      <c r="K26" s="14"/>
      <c r="L26" s="14"/>
      <c r="M26" s="14"/>
      <c r="N26" s="14"/>
      <c r="P26" s="14"/>
      <c r="Q26" s="14"/>
      <c r="R26" s="14"/>
    </row>
    <row r="27" spans="3:18" ht="16.5" customHeight="1" thickBot="1" x14ac:dyDescent="0.4">
      <c r="D27" s="679"/>
      <c r="E27" s="680"/>
      <c r="F27" s="684" t="s">
        <v>14</v>
      </c>
      <c r="G27" s="685"/>
      <c r="H27" s="685"/>
      <c r="I27" s="685"/>
      <c r="J27" s="686"/>
      <c r="K27" s="14"/>
      <c r="L27" s="14"/>
      <c r="M27" s="14"/>
      <c r="N27" s="14"/>
      <c r="P27" s="14"/>
      <c r="Q27" s="14"/>
      <c r="R27" s="14"/>
    </row>
    <row r="28" spans="3:18" ht="16.5" customHeight="1" x14ac:dyDescent="0.3">
      <c r="D28" s="14"/>
      <c r="E28" s="14"/>
      <c r="F28" s="14"/>
      <c r="G28" s="14"/>
      <c r="H28" s="14"/>
      <c r="I28" s="14"/>
      <c r="J28" s="14"/>
      <c r="K28" s="14"/>
      <c r="L28" s="14"/>
      <c r="M28" s="14"/>
      <c r="N28" s="14"/>
      <c r="P28" s="14"/>
      <c r="Q28" s="14"/>
      <c r="R28" s="14"/>
    </row>
    <row r="29" spans="3:18" ht="24" customHeight="1" x14ac:dyDescent="0.3">
      <c r="D29" s="14"/>
      <c r="E29" s="14"/>
      <c r="F29" s="14"/>
      <c r="G29" s="14"/>
      <c r="H29" s="14"/>
      <c r="I29" s="14"/>
      <c r="J29" s="14"/>
      <c r="K29" s="14"/>
      <c r="L29" s="14"/>
      <c r="M29" s="14"/>
      <c r="N29" s="14"/>
      <c r="P29" s="14"/>
      <c r="Q29" s="14"/>
      <c r="R29" s="14"/>
    </row>
    <row r="30" spans="3:18" ht="15.5" x14ac:dyDescent="0.3">
      <c r="D30" s="14"/>
      <c r="E30" s="14"/>
      <c r="F30" s="14"/>
      <c r="G30" s="14"/>
      <c r="H30" s="14"/>
      <c r="I30" s="14"/>
      <c r="J30" s="14"/>
      <c r="K30" s="14"/>
      <c r="L30" s="14"/>
      <c r="M30" s="14"/>
      <c r="N30" s="14"/>
      <c r="P30" s="14"/>
      <c r="Q30" s="14"/>
      <c r="R30" s="14"/>
    </row>
    <row r="31" spans="3:18" ht="15.5" x14ac:dyDescent="0.3">
      <c r="D31" s="14"/>
      <c r="E31" s="14"/>
      <c r="F31" s="14"/>
      <c r="G31" s="14"/>
      <c r="H31" s="14"/>
      <c r="I31" s="14"/>
      <c r="J31" s="14"/>
      <c r="K31" s="14"/>
      <c r="L31" s="14"/>
      <c r="M31" s="14"/>
      <c r="N31" s="14"/>
      <c r="O31" s="14"/>
      <c r="P31" s="14"/>
      <c r="Q31" s="14"/>
      <c r="R31" s="14"/>
    </row>
    <row r="32" spans="3:18" ht="15.5" x14ac:dyDescent="0.3">
      <c r="D32" s="14"/>
      <c r="E32" s="14"/>
      <c r="F32" s="14"/>
      <c r="G32" s="14"/>
      <c r="H32" s="14"/>
      <c r="I32" s="14"/>
      <c r="J32" s="14"/>
      <c r="K32" s="14"/>
      <c r="L32" s="14"/>
      <c r="M32" s="14"/>
      <c r="N32" s="14"/>
      <c r="O32" s="14"/>
      <c r="P32" s="14"/>
      <c r="Q32" s="14"/>
      <c r="R32" s="14"/>
    </row>
    <row r="33" spans="4:18" ht="15.5" x14ac:dyDescent="0.3">
      <c r="D33" s="14"/>
      <c r="E33" s="14"/>
      <c r="F33" s="14"/>
      <c r="G33" s="14"/>
      <c r="H33" s="14"/>
      <c r="I33" s="14"/>
      <c r="J33" s="14"/>
      <c r="K33" s="14"/>
      <c r="L33" s="14"/>
      <c r="M33" s="14"/>
      <c r="N33" s="14"/>
      <c r="O33" s="14"/>
      <c r="P33" s="14"/>
      <c r="Q33" s="14"/>
      <c r="R33" s="14"/>
    </row>
    <row r="34" spans="4:18" ht="15.5" x14ac:dyDescent="0.3">
      <c r="D34" s="14"/>
      <c r="E34" s="14"/>
      <c r="F34" s="14"/>
      <c r="G34" s="14"/>
      <c r="H34" s="14"/>
      <c r="I34" s="14"/>
      <c r="J34" s="14"/>
      <c r="K34" s="14"/>
      <c r="L34" s="14"/>
      <c r="M34" s="14"/>
      <c r="N34" s="14"/>
      <c r="O34" s="14"/>
      <c r="P34" s="14"/>
      <c r="Q34" s="14"/>
      <c r="R34" s="14"/>
    </row>
    <row r="35" spans="4:18" ht="15.5" x14ac:dyDescent="0.3">
      <c r="D35" s="14"/>
      <c r="E35" s="14"/>
      <c r="F35" s="14"/>
      <c r="G35" s="14"/>
      <c r="H35" s="14"/>
      <c r="I35" s="14"/>
      <c r="J35" s="14"/>
      <c r="K35" s="14"/>
      <c r="L35" s="14"/>
      <c r="M35" s="14"/>
      <c r="N35" s="14"/>
      <c r="O35" s="14"/>
      <c r="P35" s="14"/>
      <c r="Q35" s="14"/>
      <c r="R35" s="14"/>
    </row>
    <row r="36" spans="4:18" ht="15.5" x14ac:dyDescent="0.3">
      <c r="D36" s="14"/>
      <c r="E36" s="14"/>
      <c r="F36" s="14"/>
      <c r="G36" s="14"/>
      <c r="H36" s="14"/>
      <c r="I36" s="14"/>
      <c r="J36" s="14"/>
      <c r="K36" s="14"/>
      <c r="L36" s="14"/>
      <c r="M36" s="14"/>
      <c r="N36" s="14"/>
      <c r="O36" s="14"/>
      <c r="P36" s="14"/>
      <c r="Q36" s="14"/>
      <c r="R36" s="14"/>
    </row>
    <row r="37" spans="4:18" ht="15.5" x14ac:dyDescent="0.3">
      <c r="D37" s="14"/>
      <c r="E37" s="14"/>
      <c r="F37" s="14"/>
      <c r="G37" s="14"/>
      <c r="H37" s="14"/>
      <c r="I37" s="14"/>
      <c r="J37" s="14"/>
      <c r="K37" s="14"/>
      <c r="L37" s="14"/>
      <c r="M37" s="14"/>
      <c r="N37" s="14"/>
      <c r="O37" s="14"/>
      <c r="P37" s="14"/>
      <c r="Q37" s="14"/>
      <c r="R37" s="14"/>
    </row>
    <row r="38" spans="4:18" ht="15.5" x14ac:dyDescent="0.3">
      <c r="D38" s="14"/>
      <c r="E38" s="14"/>
      <c r="F38" s="14"/>
      <c r="G38" s="14"/>
      <c r="H38" s="14"/>
      <c r="I38" s="14"/>
      <c r="J38" s="14"/>
      <c r="K38" s="14"/>
      <c r="L38" s="14"/>
      <c r="M38" s="14"/>
      <c r="N38" s="14"/>
      <c r="O38" s="14"/>
      <c r="P38" s="14"/>
      <c r="Q38" s="14"/>
      <c r="R38" s="14"/>
    </row>
    <row r="39" spans="4:18" ht="15.5" x14ac:dyDescent="0.3">
      <c r="D39" s="14"/>
      <c r="E39" s="14"/>
      <c r="F39" s="14"/>
      <c r="G39" s="14"/>
      <c r="H39" s="14"/>
      <c r="I39" s="14"/>
      <c r="J39" s="14"/>
      <c r="K39" s="14"/>
      <c r="L39" s="14"/>
      <c r="M39" s="14"/>
      <c r="N39" s="14"/>
      <c r="O39" s="14"/>
      <c r="P39" s="14"/>
      <c r="Q39" s="14"/>
      <c r="R39" s="14"/>
    </row>
    <row r="40" spans="4:18" ht="15.5" x14ac:dyDescent="0.3">
      <c r="D40" s="14"/>
      <c r="E40" s="14"/>
      <c r="F40" s="14"/>
      <c r="G40" s="14"/>
      <c r="H40" s="14"/>
      <c r="I40" s="14"/>
      <c r="J40" s="14"/>
      <c r="K40" s="14"/>
      <c r="L40" s="14"/>
      <c r="M40" s="14"/>
      <c r="N40" s="14"/>
      <c r="O40" s="14"/>
      <c r="P40" s="14"/>
      <c r="Q40" s="14"/>
      <c r="R40" s="14"/>
    </row>
    <row r="41" spans="4:18" ht="15.5" x14ac:dyDescent="0.3">
      <c r="D41" s="14"/>
      <c r="E41" s="14"/>
      <c r="F41" s="14"/>
      <c r="G41" s="14"/>
      <c r="H41" s="14"/>
      <c r="I41" s="14"/>
      <c r="J41" s="14"/>
      <c r="K41" s="14"/>
      <c r="L41" s="14"/>
      <c r="M41" s="14"/>
      <c r="N41" s="14"/>
      <c r="O41" s="14"/>
      <c r="P41" s="14"/>
      <c r="Q41" s="14"/>
      <c r="R41" s="14"/>
    </row>
    <row r="42" spans="4:18" ht="15.5" x14ac:dyDescent="0.3">
      <c r="D42" s="14"/>
      <c r="E42" s="14"/>
      <c r="F42" s="14"/>
      <c r="G42" s="14"/>
      <c r="H42" s="14"/>
      <c r="I42" s="14"/>
      <c r="J42" s="14"/>
      <c r="K42" s="14"/>
      <c r="L42" s="14"/>
      <c r="M42" s="14"/>
      <c r="N42" s="14"/>
      <c r="O42" s="14"/>
      <c r="P42" s="14"/>
      <c r="Q42" s="14"/>
      <c r="R42" s="14"/>
    </row>
    <row r="43" spans="4:18" ht="15.5" x14ac:dyDescent="0.3">
      <c r="D43" s="14"/>
      <c r="E43" s="14"/>
      <c r="F43" s="14"/>
      <c r="G43" s="14"/>
      <c r="H43" s="14"/>
      <c r="I43" s="14"/>
      <c r="J43" s="14"/>
      <c r="K43" s="14"/>
      <c r="L43" s="14"/>
      <c r="M43" s="14"/>
      <c r="N43" s="14"/>
      <c r="O43" s="14"/>
      <c r="P43" s="14"/>
      <c r="Q43" s="14"/>
      <c r="R43" s="14"/>
    </row>
    <row r="44" spans="4:18" ht="15.5" x14ac:dyDescent="0.3">
      <c r="D44" s="14"/>
      <c r="E44" s="14"/>
      <c r="F44" s="14"/>
      <c r="G44" s="14"/>
      <c r="H44" s="14"/>
      <c r="I44" s="14"/>
      <c r="J44" s="14"/>
      <c r="K44" s="14"/>
      <c r="L44" s="14"/>
      <c r="M44" s="14"/>
      <c r="N44" s="14"/>
      <c r="O44" s="14"/>
      <c r="P44" s="14"/>
      <c r="Q44" s="14"/>
      <c r="R44" s="14"/>
    </row>
    <row r="45" spans="4:18" ht="21" customHeight="1" x14ac:dyDescent="0.3">
      <c r="D45" s="14"/>
      <c r="E45" s="14"/>
      <c r="F45" s="14"/>
      <c r="G45" s="14"/>
      <c r="H45" s="14"/>
      <c r="I45" s="14"/>
      <c r="J45" s="14"/>
      <c r="K45" s="14"/>
      <c r="L45" s="14"/>
      <c r="M45" s="14"/>
      <c r="N45" s="14"/>
      <c r="O45" s="14"/>
      <c r="P45" s="14"/>
      <c r="Q45" s="14"/>
      <c r="R45" s="14"/>
    </row>
    <row r="46" spans="4:18" ht="15.5" x14ac:dyDescent="0.3">
      <c r="P46" s="14"/>
      <c r="Q46" s="14"/>
      <c r="R46" s="14"/>
    </row>
    <row r="47" spans="4:18" ht="14" x14ac:dyDescent="0.3"/>
    <row r="48" spans="4:18" ht="14" x14ac:dyDescent="0.3"/>
    <row r="49" ht="14" x14ac:dyDescent="0.3"/>
    <row r="50" ht="14" x14ac:dyDescent="0.3"/>
    <row r="51" ht="6" customHeight="1" x14ac:dyDescent="0.3"/>
    <row r="52" ht="14" x14ac:dyDescent="0.3"/>
    <row r="53" ht="14" x14ac:dyDescent="0.3"/>
    <row r="54" ht="14" x14ac:dyDescent="0.3"/>
    <row r="55" ht="63.75" customHeight="1" x14ac:dyDescent="0.3"/>
    <row r="56" ht="105.75" customHeight="1" x14ac:dyDescent="0.3"/>
    <row r="57" ht="48.75" customHeight="1" x14ac:dyDescent="0.3"/>
    <row r="58" ht="105.75" customHeight="1" x14ac:dyDescent="0.3"/>
    <row r="59" ht="105.75" customHeight="1" x14ac:dyDescent="0.3"/>
    <row r="60" ht="105.75" customHeight="1" x14ac:dyDescent="0.3"/>
  </sheetData>
  <customSheetViews>
    <customSheetView guid="{8BDA793C-C9C5-4FC6-A0A5-F1109F6D4F22}" scale="90"/>
  </customSheetViews>
  <mergeCells count="32">
    <mergeCell ref="D20:E20"/>
    <mergeCell ref="F20:J20"/>
    <mergeCell ref="D25:E25"/>
    <mergeCell ref="D23:J23"/>
    <mergeCell ref="D26:E26"/>
    <mergeCell ref="D27:E27"/>
    <mergeCell ref="F25:J25"/>
    <mergeCell ref="F26:J26"/>
    <mergeCell ref="F27:J27"/>
    <mergeCell ref="D9:J10"/>
    <mergeCell ref="F17:J17"/>
    <mergeCell ref="F18:J18"/>
    <mergeCell ref="F19:J19"/>
    <mergeCell ref="D12:E12"/>
    <mergeCell ref="F12:J12"/>
    <mergeCell ref="F13:J13"/>
    <mergeCell ref="F14:J14"/>
    <mergeCell ref="F15:J15"/>
    <mergeCell ref="F16:J16"/>
    <mergeCell ref="D13:E13"/>
    <mergeCell ref="D14:E14"/>
    <mergeCell ref="F1:J1"/>
    <mergeCell ref="K1:P1"/>
    <mergeCell ref="F3:Q4"/>
    <mergeCell ref="D11:E11"/>
    <mergeCell ref="F11:J11"/>
    <mergeCell ref="E8:J8"/>
    <mergeCell ref="D15:E15"/>
    <mergeCell ref="D16:E16"/>
    <mergeCell ref="D17:E17"/>
    <mergeCell ref="D18:E18"/>
    <mergeCell ref="D19:E19"/>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2">
    <tabColor rgb="FF663300"/>
  </sheetPr>
  <dimension ref="A1:AP503"/>
  <sheetViews>
    <sheetView workbookViewId="0"/>
  </sheetViews>
  <sheetFormatPr defaultColWidth="0" defaultRowHeight="0" customHeight="1" zeroHeight="1" x14ac:dyDescent="0.3"/>
  <cols>
    <col min="1" max="1" width="2.81640625" style="31" customWidth="1"/>
    <col min="2" max="2" width="11" style="31" customWidth="1"/>
    <col min="3" max="3" width="52.453125" style="31" customWidth="1"/>
    <col min="4" max="4" width="8.7265625" style="31" customWidth="1"/>
    <col min="5" max="5" width="17.81640625" style="31" customWidth="1"/>
    <col min="6" max="6" width="18.26953125" style="31" customWidth="1"/>
    <col min="7" max="7" width="18.1796875" style="31" customWidth="1"/>
    <col min="8" max="11" width="19.26953125" style="31" customWidth="1"/>
    <col min="12" max="12" width="23" style="31" customWidth="1"/>
    <col min="13" max="13" width="47.453125" style="31" customWidth="1"/>
    <col min="14" max="15" width="34.26953125" style="31" customWidth="1"/>
    <col min="16" max="16" width="10.7265625" style="31" customWidth="1"/>
    <col min="17" max="17" width="18.1796875" style="31" customWidth="1"/>
    <col min="18" max="18" width="13.54296875" style="31" customWidth="1"/>
    <col min="19" max="19" width="14.7265625" style="31" customWidth="1"/>
    <col min="20" max="20" width="13.54296875" style="31" customWidth="1"/>
    <col min="21" max="21" width="41.7265625" style="31" customWidth="1"/>
    <col min="22" max="22" width="15.453125" style="31" customWidth="1"/>
    <col min="23" max="23" width="12.26953125" style="31" customWidth="1"/>
    <col min="24" max="24" width="17.7265625" style="31" customWidth="1"/>
    <col min="25" max="25" width="20.7265625" style="31" customWidth="1"/>
    <col min="26" max="26" width="23" style="31" customWidth="1"/>
    <col min="27" max="27" width="29.54296875" style="31" customWidth="1"/>
    <col min="28" max="28" width="17.7265625" style="31" customWidth="1"/>
    <col min="29" max="29" width="15.26953125" style="31" customWidth="1"/>
    <col min="30" max="30" width="15.54296875" style="31" customWidth="1"/>
    <col min="31" max="31" width="26.26953125" style="31" customWidth="1"/>
    <col min="32" max="32" width="15.26953125" style="31" customWidth="1"/>
    <col min="33" max="33" width="12.7265625" style="31" customWidth="1"/>
    <col min="34" max="34" width="68.1796875" style="31" customWidth="1"/>
    <col min="35" max="35" width="13.453125" style="31" customWidth="1"/>
    <col min="36" max="36" width="12.7265625" style="31" customWidth="1"/>
    <col min="37" max="37" width="39" style="31" customWidth="1"/>
    <col min="38" max="38" width="38.453125" style="31" customWidth="1"/>
    <col min="39" max="41" width="8.81640625" style="31" customWidth="1"/>
    <col min="42" max="42" width="15.81640625" style="31" hidden="1" customWidth="1"/>
    <col min="43" max="16384" width="8.81640625" style="31" hidden="1"/>
  </cols>
  <sheetData>
    <row r="1" spans="2:42" ht="15.75" customHeight="1" x14ac:dyDescent="0.3"/>
    <row r="2" spans="2:42" ht="19.899999999999999" customHeight="1" x14ac:dyDescent="0.3">
      <c r="B2" s="191"/>
      <c r="C2" s="192"/>
      <c r="O2" s="132"/>
      <c r="X2" s="921" t="str">
        <f>IF(OR(COUNTIF($X$12:X257,"*30+*")&gt;0,COUNTIF($AB$12:AB257,"*30+*")&gt;0),"Note; Habitat selected has a time to target condition greater than 30 years. Non standard agreement may be required. ⚠","")</f>
        <v/>
      </c>
      <c r="Y2" s="921"/>
      <c r="Z2" s="921"/>
      <c r="AA2" s="921"/>
      <c r="AB2" s="921"/>
      <c r="AC2" s="921"/>
    </row>
    <row r="3" spans="2:42" ht="19.149999999999999" customHeight="1" x14ac:dyDescent="0.3">
      <c r="B3" s="1007" t="str">
        <f ca="1">MID(CELL("filename",A1),FIND("]",CELL("filename",A1))+1,256)</f>
        <v>E-3 Off Site Hedge Enhancement</v>
      </c>
      <c r="C3" s="1008"/>
      <c r="X3" s="921"/>
      <c r="Y3" s="921"/>
      <c r="Z3" s="921"/>
      <c r="AA3" s="921"/>
      <c r="AB3" s="921"/>
      <c r="AC3" s="921"/>
    </row>
    <row r="4" spans="2:42" ht="15.75" customHeight="1" x14ac:dyDescent="0.3">
      <c r="B4" s="1009"/>
      <c r="C4" s="1010"/>
      <c r="X4" s="921"/>
      <c r="Y4" s="921"/>
      <c r="Z4" s="921"/>
      <c r="AA4" s="921"/>
      <c r="AB4" s="921"/>
      <c r="AC4" s="921"/>
    </row>
    <row r="5" spans="2:42" ht="15.75" customHeight="1" x14ac:dyDescent="0.35">
      <c r="W5" s="193"/>
      <c r="X5" s="193"/>
      <c r="Y5" s="193"/>
      <c r="Z5" s="193"/>
      <c r="AA5" s="193"/>
      <c r="AB5" s="193"/>
      <c r="AC5" s="193"/>
      <c r="AD5" s="193"/>
      <c r="AE5" s="193"/>
      <c r="AF5" s="193"/>
      <c r="AG5" s="193"/>
      <c r="AH5" s="193"/>
    </row>
    <row r="6" spans="2:42" ht="27.65" customHeight="1" x14ac:dyDescent="0.3"/>
    <row r="7" spans="2:42" ht="14.5" thickBot="1" x14ac:dyDescent="0.35">
      <c r="B7" s="132"/>
      <c r="C7" s="132"/>
      <c r="M7" s="131"/>
    </row>
    <row r="8" spans="2:42" ht="14.5" thickBot="1" x14ac:dyDescent="0.35">
      <c r="M8" s="951" t="s">
        <v>317</v>
      </c>
      <c r="N8" s="952"/>
      <c r="O8" s="952"/>
      <c r="P8" s="952"/>
      <c r="Q8" s="952"/>
      <c r="R8" s="952"/>
      <c r="S8" s="952"/>
      <c r="T8" s="952"/>
      <c r="U8" s="952"/>
      <c r="V8" s="952"/>
      <c r="W8" s="952"/>
      <c r="X8" s="952"/>
      <c r="Y8" s="952"/>
      <c r="Z8" s="952"/>
      <c r="AA8" s="952"/>
      <c r="AB8" s="952"/>
      <c r="AC8" s="952"/>
      <c r="AD8" s="952"/>
      <c r="AE8" s="952"/>
      <c r="AF8" s="952"/>
      <c r="AG8" s="952"/>
      <c r="AH8" s="952"/>
      <c r="AI8" s="953"/>
    </row>
    <row r="9" spans="2:42" ht="14.5" thickBot="1" x14ac:dyDescent="0.35">
      <c r="C9" s="131"/>
      <c r="D9" s="131"/>
      <c r="E9" s="131"/>
      <c r="F9" s="131"/>
      <c r="G9" s="131"/>
      <c r="H9" s="131"/>
      <c r="I9" s="131"/>
      <c r="J9" s="131"/>
      <c r="K9" s="131"/>
      <c r="L9" s="131"/>
      <c r="M9" s="1003" t="s">
        <v>249</v>
      </c>
      <c r="N9" s="1004"/>
      <c r="O9" s="1004"/>
      <c r="P9" s="1004"/>
      <c r="Q9" s="1004"/>
      <c r="R9" s="1004"/>
      <c r="S9" s="1004"/>
      <c r="T9" s="1004"/>
      <c r="U9" s="1004"/>
      <c r="V9" s="1004"/>
      <c r="W9" s="1004"/>
      <c r="X9" s="1004"/>
      <c r="Y9" s="1004"/>
      <c r="Z9" s="1004"/>
      <c r="AA9" s="1004"/>
      <c r="AB9" s="1004"/>
      <c r="AC9" s="1004"/>
      <c r="AD9" s="1004"/>
      <c r="AE9" s="1004"/>
      <c r="AF9" s="1004"/>
      <c r="AG9" s="1004"/>
      <c r="AH9" s="1004"/>
      <c r="AI9" s="1005"/>
    </row>
    <row r="10" spans="2:42" s="42" customFormat="1" ht="30" customHeight="1" thickBot="1" x14ac:dyDescent="0.35">
      <c r="C10" s="1006" t="s">
        <v>247</v>
      </c>
      <c r="D10" s="1012"/>
      <c r="E10" s="1012"/>
      <c r="F10" s="1012"/>
      <c r="G10" s="1012"/>
      <c r="H10" s="1012"/>
      <c r="I10" s="1012"/>
      <c r="J10" s="1012"/>
      <c r="K10" s="1012"/>
      <c r="L10" s="1013"/>
      <c r="M10" s="1006" t="s">
        <v>1558</v>
      </c>
      <c r="N10" s="880" t="s">
        <v>308</v>
      </c>
      <c r="O10" s="878"/>
      <c r="P10" s="939" t="s">
        <v>294</v>
      </c>
      <c r="Q10" s="880" t="s">
        <v>189</v>
      </c>
      <c r="R10" s="878"/>
      <c r="S10" s="880" t="s">
        <v>190</v>
      </c>
      <c r="T10" s="878"/>
      <c r="U10" s="967" t="s">
        <v>191</v>
      </c>
      <c r="V10" s="968"/>
      <c r="W10" s="969"/>
      <c r="X10" s="967" t="s">
        <v>228</v>
      </c>
      <c r="Y10" s="968"/>
      <c r="Z10" s="968"/>
      <c r="AA10" s="968"/>
      <c r="AB10" s="968"/>
      <c r="AC10" s="969"/>
      <c r="AD10" s="940" t="s">
        <v>252</v>
      </c>
      <c r="AE10" s="940"/>
      <c r="AF10" s="940"/>
      <c r="AG10" s="940"/>
      <c r="AH10" s="133" t="s">
        <v>280</v>
      </c>
      <c r="AI10" s="970" t="s">
        <v>280</v>
      </c>
      <c r="AJ10" s="970" t="s">
        <v>302</v>
      </c>
      <c r="AK10" s="967" t="s">
        <v>196</v>
      </c>
      <c r="AL10" s="969"/>
    </row>
    <row r="11" spans="2:42" ht="62.25" customHeight="1" thickBot="1" x14ac:dyDescent="0.35">
      <c r="B11" s="135" t="s">
        <v>254</v>
      </c>
      <c r="C11" s="136" t="s">
        <v>255</v>
      </c>
      <c r="D11" s="136" t="s">
        <v>294</v>
      </c>
      <c r="E11" s="136" t="s">
        <v>257</v>
      </c>
      <c r="F11" s="136" t="s">
        <v>258</v>
      </c>
      <c r="G11" s="136" t="s">
        <v>259</v>
      </c>
      <c r="H11" s="136" t="s">
        <v>260</v>
      </c>
      <c r="I11" s="136" t="s">
        <v>261</v>
      </c>
      <c r="J11" s="136" t="s">
        <v>262</v>
      </c>
      <c r="K11" s="136" t="s">
        <v>263</v>
      </c>
      <c r="L11" s="137" t="s">
        <v>309</v>
      </c>
      <c r="M11" s="1006"/>
      <c r="N11" s="141" t="s">
        <v>310</v>
      </c>
      <c r="O11" s="359" t="s">
        <v>311</v>
      </c>
      <c r="P11" s="940"/>
      <c r="Q11" s="141" t="s">
        <v>189</v>
      </c>
      <c r="R11" s="359" t="s">
        <v>206</v>
      </c>
      <c r="S11" s="141" t="s">
        <v>190</v>
      </c>
      <c r="T11" s="359" t="s">
        <v>206</v>
      </c>
      <c r="U11" s="141" t="s">
        <v>191</v>
      </c>
      <c r="V11" s="103" t="s">
        <v>191</v>
      </c>
      <c r="W11" s="359" t="s">
        <v>231</v>
      </c>
      <c r="X11" s="368" t="s">
        <v>304</v>
      </c>
      <c r="Y11" s="201" t="s">
        <v>268</v>
      </c>
      <c r="Z11" s="201" t="s">
        <v>269</v>
      </c>
      <c r="AA11" s="201" t="s">
        <v>235</v>
      </c>
      <c r="AB11" s="201" t="s">
        <v>236</v>
      </c>
      <c r="AC11" s="202" t="s">
        <v>312</v>
      </c>
      <c r="AD11" s="368" t="s">
        <v>313</v>
      </c>
      <c r="AE11" s="201" t="s">
        <v>305</v>
      </c>
      <c r="AF11" s="201" t="s">
        <v>314</v>
      </c>
      <c r="AG11" s="202" t="s">
        <v>241</v>
      </c>
      <c r="AH11" s="135" t="s">
        <v>283</v>
      </c>
      <c r="AI11" s="1011"/>
      <c r="AJ11" s="997"/>
      <c r="AK11" s="141" t="s">
        <v>215</v>
      </c>
      <c r="AL11" s="359" t="s">
        <v>216</v>
      </c>
      <c r="AP11" s="131" t="s">
        <v>200</v>
      </c>
    </row>
    <row r="12" spans="2:42" ht="14" x14ac:dyDescent="0.3">
      <c r="B12" s="531" t="str">
        <f>'E-1 Off Site Hedge Baseline'!AK10</f>
        <v/>
      </c>
      <c r="C12" s="520" t="str">
        <f>IF(B12="","",IF(ISNA(VLOOKUP($B12,'E-1 Off Site Hedge Baseline'!$B$1:$L$257,3,FALSE)),"",(VLOOKUP($B12,'E-1 Off Site Hedge Baseline'!$B$1:$L$257,3,FALSE))))</f>
        <v/>
      </c>
      <c r="D12" s="520" t="str">
        <f>IF(B12="","",IF(ISNA(VLOOKUP($B12,'E-1 Off Site Hedge Baseline'!$B$1:$L$258,4,FALSE)),"",(VLOOKUP($B12,'E-1 Off Site Hedge Baseline'!$B$1:$L$258,4,FALSE))))</f>
        <v/>
      </c>
      <c r="E12" s="520" t="str">
        <f>IF(B12="","",IF(ISNA(VLOOKUP($B12,'E-1 Off Site Hedge Baseline'!$B$1:$L$257,5,FALSE)),"",(VLOOKUP($B12,'E-1 Off Site Hedge Baseline'!$B$1:$L$257,5,FALSE))))</f>
        <v/>
      </c>
      <c r="F12" s="520" t="str">
        <f>IF(B12="","",IF(ISNA(VLOOKUP($B12,'E-1 Off Site Hedge Baseline'!$B$1:$L$257,6,FALSE)),"",(VLOOKUP($B12,'E-1 Off Site Hedge Baseline'!$B$1:$L$257,6,FALSE))))</f>
        <v/>
      </c>
      <c r="G12" s="520" t="str">
        <f>IF(B12="","",IF(ISNA(VLOOKUP($B12,'E-1 Off Site Hedge Baseline'!$B$1:$L$257,7,FALSE)),"",(VLOOKUP($B12,'E-1 Off Site Hedge Baseline'!$B$1:$L$257,7,FALSE))))</f>
        <v/>
      </c>
      <c r="H12" s="520" t="str">
        <f>IF(B12="","",IF(ISNA(VLOOKUP($B12,'E-1 Off Site Hedge Baseline'!$B$1:$L$257,8,FALSE)),"",(VLOOKUP($B12,'E-1 Off Site Hedge Baseline'!$B$1:$L$257,8,FALSE))))</f>
        <v/>
      </c>
      <c r="I12" s="520" t="str">
        <f>IF(B12="","",IF(ISNA(VLOOKUP($B12,'E-1 Off Site Hedge Baseline'!$B$1:$L$257,10,FALSE)),"",(VLOOKUP($B12,'E-1 Off Site Hedge Baseline'!$B$1:$L$257,10,FALSE))))</f>
        <v/>
      </c>
      <c r="J12" s="520" t="str">
        <f>IF(B12="","",IF(ISNA(VLOOKUP($B12,'E-1 Off Site Hedge Baseline'!$B$1:$L$257,11,FALSE)),"",(VLOOKUP($B12,'E-1 Off Site Hedge Baseline'!$B$1:$L$257,11,FALSE))))</f>
        <v/>
      </c>
      <c r="K12" s="520" t="str">
        <f>IF(B12="","",IF(ISNA(VLOOKUP($B12,'E-1 Off Site Hedge Baseline'!$B$1:$U$257,113,FALSE)),"",(VLOOKUP($B12,'E-1 Off Site Hedge Baseline'!$B$1:$U$257,13,FALSE))))</f>
        <v/>
      </c>
      <c r="L12" s="507" t="str">
        <f>IF(B12="","",IF(ISNA(VLOOKUP($B12,'E-1 Off Site Hedge Baseline'!$B$1:$U$257,12,FALSE)),"",(VLOOKUP($B12,'E-1 Off Site Hedge Baseline'!$B$1:$U$257,12,FALSE))))</f>
        <v/>
      </c>
      <c r="M12" s="418" t="str">
        <f t="shared" ref="M12:M16" si="0">C12</f>
        <v/>
      </c>
      <c r="N12" s="498" t="str">
        <f>IFERROR(IF(B12="","",INDEX('G-6 Hedgerow Data'!$AN$3:$AZ$15,MATCH(C12,'G-6 Hedgerow Data'!$AM$3:$AM$15,0),MATCH(M12,'G-6 Hedgerow Data'!$AN$2:$AZ$2,0))),"")</f>
        <v/>
      </c>
      <c r="O12" s="499" t="str">
        <f>IFERROR(IF(B12="","",IF(AND(LEFT(C12,55)&lt;&gt;LEFT(M12,55),N12="High - High"),"Error - Not like for like ▲",IF(AND(LEFT(C12,55)&lt;&gt;LEFT(M12,55),N12="Medium - Medium"),"Error - Not like for like ▲",IF(H12&gt;T12,"Error - Can not reduce condition ▲",IF(AND(F12=R12,H12=T12),"Error - No enhancement ▲",IF(AND(C12&lt;&gt;M12,F12&lt;R12),"Lower Distinctiveness Habitat"&amp;" - "&amp;S12,G12&amp;" - "&amp;S12)))))),"")</f>
        <v/>
      </c>
      <c r="P12" s="505" t="str">
        <f>IF(B12="","",VLOOKUP(B12,'E-1 Off Site Hedge Baseline'!$B$10:T257,16,FALSE))</f>
        <v/>
      </c>
      <c r="Q12" s="498" t="str">
        <f>IF(M12="","",VLOOKUP(M12,'G-6 Hedgerow Data'!$B$2:$AG$15,2,FALSE))</f>
        <v/>
      </c>
      <c r="R12" s="499" t="str">
        <f>IF(M12="","",VLOOKUP(M12,'G-6 Hedgerow Data'!$B$2:$AG$15,3,FALSE))</f>
        <v/>
      </c>
      <c r="S12" s="71"/>
      <c r="T12" s="499" t="str">
        <f>IFERROR(IF(AND(Q12="V.Low",OR(S12="Good",S12="Moderate")),"Error ▲",VLOOKUP(S12,'G-1 All Habitats'!$Z$2:$AA$9,2,FALSE)),"")</f>
        <v/>
      </c>
      <c r="U12" s="71"/>
      <c r="V12" s="507" t="str">
        <f>IF(U12="","",IF(VLOOKUP(U12,'G-3 Multipliers'!$L$3:$N$6,2,FALSE)=0,"Spatial Data Missing ⚠",VLOOKUP(U12,'G-3 Multipliers'!$L$3:$N$6,2,FALSE)))</f>
        <v/>
      </c>
      <c r="W12" s="505" t="str">
        <f>IF(U12="","",IF(VLOOKUP(U12,'G-3 Multipliers'!$L$3:$N$6,3,FALSE)=0,"Spatial Data Missing ⚠",VLOOKUP(U12,'G-3 Multipliers'!$L$3:$N$6,3,FALSE)))</f>
        <v/>
      </c>
      <c r="X12" s="498" t="str">
        <f>IFERROR(IF(OR(LEFT(O12,5)="Error ▲",LEFT(N12,5)="Error ▲",T12="Error ▲"),"Check Data ⚠",IF(F12&lt;R12,INDEX('G-6 Hedgerow Data'!$S$3:$AE$14,MATCH(C12,'G-6 Hedgerow Data'!$B$3:$B$14,0),MATCH(M12,'G-6 Hedgerow Data'!$S$2:$AE$2,0)),INDEX('G-6 Hedgerow Data'!$K$3:$Q$14,MATCH(M12,'G-6 Hedgerow Data'!$B$3:$B$14,0),MATCH(O12,'G-6 Hedgerow Data'!$K$2:$Q$2,0)))),"")</f>
        <v/>
      </c>
      <c r="Y12" s="195"/>
      <c r="Z12" s="195"/>
      <c r="AA12" s="507" t="str">
        <f>IF(X12="Check Data ⚠","Check Data ⚠",IF(M12="","",IF(AND(Y12&gt;0,Z12&gt;0),"Error -both advance and delayed habitat creation ▲",IF(AND(OR(Y12="Habitat already in target condition",X12&lt;=Y12),Z12=0),"Check details - Is there evidence that habitat has reached target condition? ⚠",IF(X12="","",IF(Y12&gt;0,"Check details - Is there evidence habitat creation started/in place? ⚠",IF(Z12&gt;0,"Check details- Delay in starting habitat in required condition? ⚠","Standard time to target condition applied")))))))</f>
        <v/>
      </c>
      <c r="AB12" s="521" t="str">
        <f>IF(X12="","",IF(AA12="Check Data ⚠","Check Data ⚠",IF(Y12="30+ ⚠",0,IF(Z12="30+","30+ ⚠",IF(X12+Z12&gt;30,"30+ ⚠",IF(LEFT(AA12,5)="Error ▲","Check Data ⚠",IF(X12+Z12-Y12&gt;0,X12+Z12-Y12,IF(X12-Y12&lt;=0,0,))))))))</f>
        <v/>
      </c>
      <c r="AC12" s="522" t="str">
        <f t="shared" ref="AC12:AC75" si="1">IF(OR(S12="",M12=""),"",IF(LEFT(AB12,5)="Error ▲","Check Data ⚠",IF(AB12="Check Data ⚠","Check Data ⚠",VLOOKUP(AB12,TemporalMultipliers,3,FALSE))))</f>
        <v/>
      </c>
      <c r="AD12" s="537" t="str">
        <f>IF(M12="","",VLOOKUP(M12,'G-6 Hedgerow Data'!$B$3:$AG$15,31,FALSE))</f>
        <v/>
      </c>
      <c r="AE12" s="520" t="str">
        <f>IF(M12="","",IF(OR(LEFT(AA12,5)="Error ▲",AA12="Check Data ⚠"),"Check Data ⚠",IF(X12="","",IF($AA12="Check details - Is there evidence that habitat has reached target condition? ⚠","Low Difficulty - only applicable if all habitat created before losses ⚠","Standard difficulty applied"))))</f>
        <v/>
      </c>
      <c r="AF12" s="520" t="str">
        <f>(IF(AND(AE12="Yes",X12&gt;Y12),AD12,IF(AND(AE12="Low Difficulty - only applicable if all habitat created before losses ⚠",Y12&gt;=X12),"Low",AD12)))</f>
        <v/>
      </c>
      <c r="AG12" s="524" t="str">
        <f>IFERROR(IF(O12="","",VLOOKUP(AD12,'G-3 Multipliers'!$P$3:$Q$6,2,FALSE)),"")</f>
        <v/>
      </c>
      <c r="AH12" s="196"/>
      <c r="AI12" s="499" t="str">
        <f>IF(AH12="","",IF(VLOOKUP(AH12,'G-3 Multipliers'!$S$3:$T$6,2,FALSE)=0,"Spatial Data Missing ⚠",VLOOKUP(AH12,'G-3 Multipliers'!$S$3:$T$6,2,FALSE)))</f>
        <v/>
      </c>
      <c r="AJ12" s="513" t="str">
        <f>IFERROR(IF(OR(M12="",S12="",U12="",AH12=""),"",(((((P12*R12*T12)-(P12*F12*H12))*(AG12*AC12))+(P12*F12*H12))*(W12)*AI12)),"")</f>
        <v/>
      </c>
      <c r="AK12" s="149"/>
      <c r="AL12" s="150"/>
      <c r="AP12" s="31" t="str">
        <f>IFERROR(INDEX('G-6 Hedgerow Data'!$BJ$3:$BJ$15,MATCH(M12,'G-6 Hedgerow Data'!$B$3:$B$15,0)),"")</f>
        <v/>
      </c>
    </row>
    <row r="13" spans="2:42" ht="14" x14ac:dyDescent="0.3">
      <c r="B13" s="531" t="str">
        <f>'E-1 Off Site Hedge Baseline'!AK11</f>
        <v/>
      </c>
      <c r="C13" s="520" t="str">
        <f>IF(B13="","",IF(ISNA(VLOOKUP($B13,'E-1 Off Site Hedge Baseline'!$B$1:$L$257,3,FALSE)),"",(VLOOKUP($B13,'E-1 Off Site Hedge Baseline'!$B$1:$L$257,3,FALSE))))</f>
        <v/>
      </c>
      <c r="D13" s="520" t="str">
        <f>IF(B13="","",IF(ISNA(VLOOKUP($B13,'E-1 Off Site Hedge Baseline'!$B$1:$L$258,4,FALSE)),"",(VLOOKUP($B13,'E-1 Off Site Hedge Baseline'!$B$1:$L$258,4,FALSE))))</f>
        <v/>
      </c>
      <c r="E13" s="520" t="str">
        <f>IF(B13="","",IF(ISNA(VLOOKUP($B13,'E-1 Off Site Hedge Baseline'!$B$1:$L$257,5,FALSE)),"",(VLOOKUP($B13,'E-1 Off Site Hedge Baseline'!$B$1:$L$257,5,FALSE))))</f>
        <v/>
      </c>
      <c r="F13" s="520" t="str">
        <f>IF(B13="","",IF(ISNA(VLOOKUP($B13,'E-1 Off Site Hedge Baseline'!$B$1:$L$257,6,FALSE)),"",(VLOOKUP($B13,'E-1 Off Site Hedge Baseline'!$B$1:$L$257,6,FALSE))))</f>
        <v/>
      </c>
      <c r="G13" s="520" t="str">
        <f>IF(B13="","",IF(ISNA(VLOOKUP($B13,'E-1 Off Site Hedge Baseline'!$B$1:$L$257,7,FALSE)),"",(VLOOKUP($B13,'E-1 Off Site Hedge Baseline'!$B$1:$L$257,7,FALSE))))</f>
        <v/>
      </c>
      <c r="H13" s="520" t="str">
        <f>IF(B13="","",IF(ISNA(VLOOKUP($B13,'E-1 Off Site Hedge Baseline'!$B$1:$L$257,8,FALSE)),"",(VLOOKUP($B13,'E-1 Off Site Hedge Baseline'!$B$1:$L$257,8,FALSE))))</f>
        <v/>
      </c>
      <c r="I13" s="520" t="str">
        <f>IF(B13="","",IF(ISNA(VLOOKUP($B13,'E-1 Off Site Hedge Baseline'!$B$1:$L$257,10,FALSE)),"",(VLOOKUP($B13,'E-1 Off Site Hedge Baseline'!$B$1:$L$257,10,FALSE))))</f>
        <v/>
      </c>
      <c r="J13" s="520" t="str">
        <f>IF(B13="","",IF(ISNA(VLOOKUP($B13,'E-1 Off Site Hedge Baseline'!$B$1:$L$257,11,FALSE)),"",(VLOOKUP($B13,'E-1 Off Site Hedge Baseline'!$B$1:$L$257,11,FALSE))))</f>
        <v/>
      </c>
      <c r="K13" s="520" t="str">
        <f>IF(B13="","",IF(ISNA(VLOOKUP($B13,'E-1 Off Site Hedge Baseline'!$B$1:$U$257,113,FALSE)),"",(VLOOKUP($B13,'E-1 Off Site Hedge Baseline'!$B$1:$U$257,13,FALSE))))</f>
        <v/>
      </c>
      <c r="L13" s="507" t="str">
        <f>IF(B13="","",IF(ISNA(VLOOKUP($B13,'E-1 Off Site Hedge Baseline'!$B$1:$U$257,12,FALSE)),"",(VLOOKUP($B13,'E-1 Off Site Hedge Baseline'!$B$1:$U$257,12,FALSE))))</f>
        <v/>
      </c>
      <c r="M13" s="418" t="str">
        <f t="shared" si="0"/>
        <v/>
      </c>
      <c r="N13" s="498" t="str">
        <f>IFERROR(IF(B13="","",INDEX('G-6 Hedgerow Data'!$AN$3:$AZ$15,MATCH(C13,'G-6 Hedgerow Data'!$AM$3:$AM$15,0),MATCH(M13,'G-6 Hedgerow Data'!$AN$2:$AZ$2,0))),"")</f>
        <v/>
      </c>
      <c r="O13" s="499" t="str">
        <f t="shared" ref="O13:O76" si="2">IFERROR(IF(B13="","",IF(AND(LEFT(C13,55)&lt;&gt;LEFT(M13,55),N13="High - High"),"Error - Not like for like ▲",IF(AND(LEFT(C13,55)&lt;&gt;LEFT(M13,55),N13="Medium - Medium"),"Error - Not like for like ▲",IF(H13&gt;T13,"Error - Can not reduce condition ▲",IF(AND(F13=R13,H13=T13),"Error - No enhancement ▲",IF(AND(C13&lt;&gt;M13,F13&lt;R13),"Lower Distinctiveness Habitat"&amp;" - "&amp;S13,G13&amp;" - "&amp;S13)))))),"")</f>
        <v/>
      </c>
      <c r="P13" s="505" t="str">
        <f>IF(B13="","",VLOOKUP(B13,'E-1 Off Site Hedge Baseline'!$B$10:T258,16,FALSE))</f>
        <v/>
      </c>
      <c r="Q13" s="498" t="str">
        <f>IF(M13="","",VLOOKUP(M13,'G-6 Hedgerow Data'!$B$2:$AG$15,2,FALSE))</f>
        <v/>
      </c>
      <c r="R13" s="499" t="str">
        <f>IF(M13="","",VLOOKUP(M13,'G-6 Hedgerow Data'!$B$2:$AG$15,3,FALSE))</f>
        <v/>
      </c>
      <c r="S13" s="71"/>
      <c r="T13" s="499" t="str">
        <f>IFERROR(IF(AND(Q13="V.Low",OR(S13="Good",S13="Moderate")),"Error ▲",VLOOKUP(S13,'G-1 All Habitats'!$Z$2:$AA$9,2,FALSE)),"")</f>
        <v/>
      </c>
      <c r="U13" s="71"/>
      <c r="V13" s="507" t="str">
        <f>IF(U13="","",IF(VLOOKUP(U13,'G-3 Multipliers'!$L$3:$N$6,2,FALSE)=0,"Spatial Data Missing ⚠",VLOOKUP(U13,'G-3 Multipliers'!$L$3:$N$6,2,FALSE)))</f>
        <v/>
      </c>
      <c r="W13" s="505" t="str">
        <f>IF(U13="","",IF(VLOOKUP(U13,'G-3 Multipliers'!$L$3:$N$6,3,FALSE)=0,"Spatial Data Missing ⚠",VLOOKUP(U13,'G-3 Multipliers'!$L$3:$N$6,3,FALSE)))</f>
        <v/>
      </c>
      <c r="X13" s="498" t="str">
        <f>IFERROR(IF(OR(LEFT(O13,5)="Error ▲",LEFT(N13,5)="Error ▲",T13="Error ▲"),"Check Data ⚠",IF(F13&lt;R13,INDEX('G-6 Hedgerow Data'!$S$3:$AE$14,MATCH(C13,'G-6 Hedgerow Data'!$B$3:$B$14,0),MATCH(M13,'G-6 Hedgerow Data'!$S$2:$AE$2,0)),INDEX('G-6 Hedgerow Data'!$K$3:$Q$14,MATCH(M13,'G-6 Hedgerow Data'!$B$3:$B$14,0),MATCH(O13,'G-6 Hedgerow Data'!$K$2:$Q$2,0)))),"")</f>
        <v/>
      </c>
      <c r="Y13" s="195"/>
      <c r="Z13" s="195"/>
      <c r="AA13" s="507" t="str">
        <f t="shared" ref="AA13:AA76" si="3">IF(X13="Check Data ⚠","Check Data ⚠",IF(M13="","",IF(AND(Y13&gt;0,Z13&gt;0),"Error -both advance and delayed habitat creation ▲",IF(AND(OR(Y13="Habitat already in target condition",X13&lt;=Y13),Z13=0),"Check details - Is there evidence that habitat has reached target condition? ⚠",IF(X13="","",IF(Y13&gt;0,"Check details - Is there evidence habitat creation started/in place? ⚠",IF(Z13&gt;0,"Check details- Delay in starting habitat in required condition? ⚠","Standard time to target condition applied")))))))</f>
        <v/>
      </c>
      <c r="AB13" s="521" t="str">
        <f t="shared" ref="AB13:AB76" si="4">IF(X13="","",IF(AA13="Check Data ⚠","Check Data ⚠",IF(Y13="30+ ⚠",0,IF(Z13="30+","30+ ⚠",IF(X13+Z13&gt;30,"30+ ⚠",IF(LEFT(AA13,5)="Error ▲","Check Data ⚠",IF(X13+Z13-Y13&gt;0,X13+Z13-Y13,IF(X13-Y13&lt;=0,0,))))))))</f>
        <v/>
      </c>
      <c r="AC13" s="522" t="str">
        <f t="shared" si="1"/>
        <v/>
      </c>
      <c r="AD13" s="537" t="str">
        <f>IF(M13="","",VLOOKUP(M13,'G-6 Hedgerow Data'!$B$3:$AG$15,31,FALSE))</f>
        <v/>
      </c>
      <c r="AE13" s="520" t="str">
        <f t="shared" ref="AE13:AE76" si="5">IF(M13="","",IF(OR(LEFT(AA13,5)="Error ▲",AA13="Check Data ⚠"),"Check Data ⚠",IF(X13="","",IF($AA13="Check details - Is there evidence that habitat has reached target condition? ⚠","Low Difficulty - only applicable if all habitat created before losses ⚠","Standard difficulty applied"))))</f>
        <v/>
      </c>
      <c r="AF13" s="520" t="str">
        <f t="shared" ref="AF13:AF76" si="6">(IF(AND(AE13="Yes",X13&gt;Y13),AD13,IF(AND(AE13="Low Difficulty - only applicable if all habitat created before losses ⚠",Y13&gt;=X13),"Low",AD13)))</f>
        <v/>
      </c>
      <c r="AG13" s="524" t="str">
        <f>IFERROR(IF(O13="","",VLOOKUP(AD13,'G-3 Multipliers'!$P$3:$Q$6,2,FALSE)),"")</f>
        <v/>
      </c>
      <c r="AH13" s="196"/>
      <c r="AI13" s="499" t="str">
        <f>IF(AH13="","",IF(VLOOKUP(AH13,'G-3 Multipliers'!$S$3:$T$6,2,FALSE)=0,"Spatial Data Missing ⚠",VLOOKUP(AH13,'G-3 Multipliers'!$S$3:$T$6,2,FALSE)))</f>
        <v/>
      </c>
      <c r="AJ13" s="513" t="str">
        <f t="shared" ref="AJ13:AJ76" si="7">IFERROR(IF(OR(M13="",S13="",U13="",AH13=""),"",(((((P13*R13*T13)-(P13*F13*H13))*(AG13*AC13))+(P13*F13*H13))*(W13)*AI13)),"")</f>
        <v/>
      </c>
      <c r="AK13" s="149"/>
      <c r="AL13" s="150"/>
      <c r="AP13" s="31" t="str">
        <f>IFERROR(INDEX('G-6 Hedgerow Data'!$BJ$3:$BJ$15,MATCH(M13,'G-6 Hedgerow Data'!$B$3:$B$15,0)),"")</f>
        <v/>
      </c>
    </row>
    <row r="14" spans="2:42" ht="14" x14ac:dyDescent="0.3">
      <c r="B14" s="531" t="str">
        <f>'E-1 Off Site Hedge Baseline'!AK12</f>
        <v/>
      </c>
      <c r="C14" s="520" t="str">
        <f>IF(B14="","",IF(ISNA(VLOOKUP($B14,'E-1 Off Site Hedge Baseline'!$B$1:$L$257,3,FALSE)),"",(VLOOKUP($B14,'E-1 Off Site Hedge Baseline'!$B$1:$L$257,3,FALSE))))</f>
        <v/>
      </c>
      <c r="D14" s="520" t="str">
        <f>IF(B14="","",IF(ISNA(VLOOKUP($B14,'E-1 Off Site Hedge Baseline'!$B$1:$L$258,4,FALSE)),"",(VLOOKUP($B14,'E-1 Off Site Hedge Baseline'!$B$1:$L$258,4,FALSE))))</f>
        <v/>
      </c>
      <c r="E14" s="520" t="str">
        <f>IF(B14="","",IF(ISNA(VLOOKUP($B14,'E-1 Off Site Hedge Baseline'!$B$1:$L$257,5,FALSE)),"",(VLOOKUP($B14,'E-1 Off Site Hedge Baseline'!$B$1:$L$257,5,FALSE))))</f>
        <v/>
      </c>
      <c r="F14" s="520" t="str">
        <f>IF(B14="","",IF(ISNA(VLOOKUP($B14,'E-1 Off Site Hedge Baseline'!$B$1:$L$257,6,FALSE)),"",(VLOOKUP($B14,'E-1 Off Site Hedge Baseline'!$B$1:$L$257,6,FALSE))))</f>
        <v/>
      </c>
      <c r="G14" s="520" t="str">
        <f>IF(B14="","",IF(ISNA(VLOOKUP($B14,'E-1 Off Site Hedge Baseline'!$B$1:$L$257,7,FALSE)),"",(VLOOKUP($B14,'E-1 Off Site Hedge Baseline'!$B$1:$L$257,7,FALSE))))</f>
        <v/>
      </c>
      <c r="H14" s="520" t="str">
        <f>IF(B14="","",IF(ISNA(VLOOKUP($B14,'E-1 Off Site Hedge Baseline'!$B$1:$L$257,8,FALSE)),"",(VLOOKUP($B14,'E-1 Off Site Hedge Baseline'!$B$1:$L$257,8,FALSE))))</f>
        <v/>
      </c>
      <c r="I14" s="520" t="str">
        <f>IF(B14="","",IF(ISNA(VLOOKUP($B14,'E-1 Off Site Hedge Baseline'!$B$1:$L$257,10,FALSE)),"",(VLOOKUP($B14,'E-1 Off Site Hedge Baseline'!$B$1:$L$257,10,FALSE))))</f>
        <v/>
      </c>
      <c r="J14" s="520" t="str">
        <f>IF(B14="","",IF(ISNA(VLOOKUP($B14,'E-1 Off Site Hedge Baseline'!$B$1:$L$257,11,FALSE)),"",(VLOOKUP($B14,'E-1 Off Site Hedge Baseline'!$B$1:$L$257,11,FALSE))))</f>
        <v/>
      </c>
      <c r="K14" s="520" t="str">
        <f>IF(B14="","",IF(ISNA(VLOOKUP($B14,'E-1 Off Site Hedge Baseline'!$B$1:$U$257,113,FALSE)),"",(VLOOKUP($B14,'E-1 Off Site Hedge Baseline'!$B$1:$U$257,13,FALSE))))</f>
        <v/>
      </c>
      <c r="L14" s="507" t="str">
        <f>IF(B14="","",IF(ISNA(VLOOKUP($B14,'E-1 Off Site Hedge Baseline'!$B$1:$U$257,12,FALSE)),"",(VLOOKUP($B14,'E-1 Off Site Hedge Baseline'!$B$1:$U$257,12,FALSE))))</f>
        <v/>
      </c>
      <c r="M14" s="418" t="str">
        <f t="shared" si="0"/>
        <v/>
      </c>
      <c r="N14" s="498" t="str">
        <f>IFERROR(IF(B14="","",INDEX('G-6 Hedgerow Data'!$AN$3:$AZ$15,MATCH(C14,'G-6 Hedgerow Data'!$AM$3:$AM$15,0),MATCH(M14,'G-6 Hedgerow Data'!$AN$2:$AZ$2,0))),"")</f>
        <v/>
      </c>
      <c r="O14" s="499" t="str">
        <f t="shared" si="2"/>
        <v/>
      </c>
      <c r="P14" s="505" t="str">
        <f>IF(B14="","",VLOOKUP(B14,'E-1 Off Site Hedge Baseline'!$B$10:T259,16,FALSE))</f>
        <v/>
      </c>
      <c r="Q14" s="498" t="str">
        <f>IF(M14="","",VLOOKUP(M14,'G-6 Hedgerow Data'!$B$2:$AG$15,2,FALSE))</f>
        <v/>
      </c>
      <c r="R14" s="499" t="str">
        <f>IF(M14="","",VLOOKUP(M14,'G-6 Hedgerow Data'!$B$2:$AG$15,3,FALSE))</f>
        <v/>
      </c>
      <c r="S14" s="71"/>
      <c r="T14" s="499" t="str">
        <f>IFERROR(IF(AND(Q14="V.Low",OR(S14="Good",S14="Moderate")),"Error ▲",VLOOKUP(S14,'G-1 All Habitats'!$Z$2:$AA$9,2,FALSE)),"")</f>
        <v/>
      </c>
      <c r="U14" s="71"/>
      <c r="V14" s="507" t="str">
        <f>IF(U14="","",IF(VLOOKUP(U14,'G-3 Multipliers'!$L$3:$N$6,2,FALSE)=0,"Spatial Data Missing ⚠",VLOOKUP(U14,'G-3 Multipliers'!$L$3:$N$6,2,FALSE)))</f>
        <v/>
      </c>
      <c r="W14" s="505" t="str">
        <f>IF(U14="","",IF(VLOOKUP(U14,'G-3 Multipliers'!$L$3:$N$6,3,FALSE)=0,"Spatial Data Missing ⚠",VLOOKUP(U14,'G-3 Multipliers'!$L$3:$N$6,3,FALSE)))</f>
        <v/>
      </c>
      <c r="X14" s="498" t="str">
        <f>IFERROR(IF(OR(LEFT(O14,5)="Error ▲",LEFT(N14,5)="Error ▲",T14="Error ▲"),"Check Data ⚠",IF(F14&lt;R14,INDEX('G-6 Hedgerow Data'!$S$3:$AE$14,MATCH(C14,'G-6 Hedgerow Data'!$B$3:$B$14,0),MATCH(M14,'G-6 Hedgerow Data'!$S$2:$AE$2,0)),INDEX('G-6 Hedgerow Data'!$K$3:$Q$14,MATCH(M14,'G-6 Hedgerow Data'!$B$3:$B$14,0),MATCH(O14,'G-6 Hedgerow Data'!$K$2:$Q$2,0)))),"")</f>
        <v/>
      </c>
      <c r="Y14" s="195"/>
      <c r="Z14" s="195"/>
      <c r="AA14" s="507" t="str">
        <f t="shared" si="3"/>
        <v/>
      </c>
      <c r="AB14" s="521" t="str">
        <f t="shared" si="4"/>
        <v/>
      </c>
      <c r="AC14" s="522" t="str">
        <f t="shared" si="1"/>
        <v/>
      </c>
      <c r="AD14" s="537" t="str">
        <f>IF(M14="","",VLOOKUP(M14,'G-6 Hedgerow Data'!$B$3:$AG$15,31,FALSE))</f>
        <v/>
      </c>
      <c r="AE14" s="520" t="str">
        <f t="shared" si="5"/>
        <v/>
      </c>
      <c r="AF14" s="520" t="str">
        <f t="shared" si="6"/>
        <v/>
      </c>
      <c r="AG14" s="524" t="str">
        <f>IFERROR(IF(O14="","",VLOOKUP(AD14,'G-3 Multipliers'!$P$3:$Q$6,2,FALSE)),"")</f>
        <v/>
      </c>
      <c r="AH14" s="196"/>
      <c r="AI14" s="499" t="str">
        <f>IF(AH14="","",IF(VLOOKUP(AH14,'G-3 Multipliers'!$S$3:$T$6,2,FALSE)=0,"Spatial Data Missing ⚠",VLOOKUP(AH14,'G-3 Multipliers'!$S$3:$T$6,2,FALSE)))</f>
        <v/>
      </c>
      <c r="AJ14" s="513" t="str">
        <f t="shared" si="7"/>
        <v/>
      </c>
      <c r="AK14" s="149"/>
      <c r="AL14" s="150"/>
      <c r="AP14" s="31" t="str">
        <f>IFERROR(INDEX('G-6 Hedgerow Data'!$BJ$3:$BJ$15,MATCH(M14,'G-6 Hedgerow Data'!$B$3:$B$15,0)),"")</f>
        <v/>
      </c>
    </row>
    <row r="15" spans="2:42" ht="14" x14ac:dyDescent="0.3">
      <c r="B15" s="531" t="str">
        <f>'E-1 Off Site Hedge Baseline'!AK13</f>
        <v/>
      </c>
      <c r="C15" s="520" t="str">
        <f>IF(B15="","",IF(ISNA(VLOOKUP($B15,'E-1 Off Site Hedge Baseline'!$B$1:$L$257,3,FALSE)),"",(VLOOKUP($B15,'E-1 Off Site Hedge Baseline'!$B$1:$L$257,3,FALSE))))</f>
        <v/>
      </c>
      <c r="D15" s="520" t="str">
        <f>IF(B15="","",IF(ISNA(VLOOKUP($B15,'E-1 Off Site Hedge Baseline'!$B$1:$L$258,4,FALSE)),"",(VLOOKUP($B15,'E-1 Off Site Hedge Baseline'!$B$1:$L$258,4,FALSE))))</f>
        <v/>
      </c>
      <c r="E15" s="520" t="str">
        <f>IF(B15="","",IF(ISNA(VLOOKUP($B15,'E-1 Off Site Hedge Baseline'!$B$1:$L$257,5,FALSE)),"",(VLOOKUP($B15,'E-1 Off Site Hedge Baseline'!$B$1:$L$257,5,FALSE))))</f>
        <v/>
      </c>
      <c r="F15" s="520" t="str">
        <f>IF(B15="","",IF(ISNA(VLOOKUP($B15,'E-1 Off Site Hedge Baseline'!$B$1:$L$257,6,FALSE)),"",(VLOOKUP($B15,'E-1 Off Site Hedge Baseline'!$B$1:$L$257,6,FALSE))))</f>
        <v/>
      </c>
      <c r="G15" s="520" t="str">
        <f>IF(B15="","",IF(ISNA(VLOOKUP($B15,'E-1 Off Site Hedge Baseline'!$B$1:$L$257,7,FALSE)),"",(VLOOKUP($B15,'E-1 Off Site Hedge Baseline'!$B$1:$L$257,7,FALSE))))</f>
        <v/>
      </c>
      <c r="H15" s="520" t="str">
        <f>IF(B15="","",IF(ISNA(VLOOKUP($B15,'E-1 Off Site Hedge Baseline'!$B$1:$L$257,8,FALSE)),"",(VLOOKUP($B15,'E-1 Off Site Hedge Baseline'!$B$1:$L$257,8,FALSE))))</f>
        <v/>
      </c>
      <c r="I15" s="520" t="str">
        <f>IF(B15="","",IF(ISNA(VLOOKUP($B15,'E-1 Off Site Hedge Baseline'!$B$1:$L$257,10,FALSE)),"",(VLOOKUP($B15,'E-1 Off Site Hedge Baseline'!$B$1:$L$257,10,FALSE))))</f>
        <v/>
      </c>
      <c r="J15" s="520" t="str">
        <f>IF(B15="","",IF(ISNA(VLOOKUP($B15,'E-1 Off Site Hedge Baseline'!$B$1:$L$257,11,FALSE)),"",(VLOOKUP($B15,'E-1 Off Site Hedge Baseline'!$B$1:$L$257,11,FALSE))))</f>
        <v/>
      </c>
      <c r="K15" s="520" t="str">
        <f>IF(B15="","",IF(ISNA(VLOOKUP($B15,'E-1 Off Site Hedge Baseline'!$B$1:$U$257,113,FALSE)),"",(VLOOKUP($B15,'E-1 Off Site Hedge Baseline'!$B$1:$U$257,13,FALSE))))</f>
        <v/>
      </c>
      <c r="L15" s="507" t="str">
        <f>IF(B15="","",IF(ISNA(VLOOKUP($B15,'E-1 Off Site Hedge Baseline'!$B$1:$U$257,12,FALSE)),"",(VLOOKUP($B15,'E-1 Off Site Hedge Baseline'!$B$1:$U$257,12,FALSE))))</f>
        <v/>
      </c>
      <c r="M15" s="418" t="str">
        <f t="shared" si="0"/>
        <v/>
      </c>
      <c r="N15" s="498" t="str">
        <f>IFERROR(IF(B15="","",INDEX('G-6 Hedgerow Data'!$AN$3:$AZ$15,MATCH(C15,'G-6 Hedgerow Data'!$AM$3:$AM$15,0),MATCH(M15,'G-6 Hedgerow Data'!$AN$2:$AZ$2,0))),"")</f>
        <v/>
      </c>
      <c r="O15" s="499" t="str">
        <f t="shared" si="2"/>
        <v/>
      </c>
      <c r="P15" s="505" t="str">
        <f>IF(B15="","",VLOOKUP(B15,'E-1 Off Site Hedge Baseline'!$B$10:T260,16,FALSE))</f>
        <v/>
      </c>
      <c r="Q15" s="498" t="str">
        <f>IF(M15="","",VLOOKUP(M15,'G-6 Hedgerow Data'!$B$2:$AG$15,2,FALSE))</f>
        <v/>
      </c>
      <c r="R15" s="499" t="str">
        <f>IF(M15="","",VLOOKUP(M15,'G-6 Hedgerow Data'!$B$2:$AG$15,3,FALSE))</f>
        <v/>
      </c>
      <c r="S15" s="71"/>
      <c r="T15" s="499" t="str">
        <f>IFERROR(IF(AND(Q15="V.Low",OR(S15="Good",S15="Moderate")),"Error ▲",VLOOKUP(S15,'G-1 All Habitats'!$Z$2:$AA$9,2,FALSE)),"")</f>
        <v/>
      </c>
      <c r="U15" s="71"/>
      <c r="V15" s="507" t="str">
        <f>IF(U15="","",IF(VLOOKUP(U15,'G-3 Multipliers'!$L$3:$N$6,2,FALSE)=0,"Spatial Data Missing ⚠",VLOOKUP(U15,'G-3 Multipliers'!$L$3:$N$6,2,FALSE)))</f>
        <v/>
      </c>
      <c r="W15" s="505" t="str">
        <f>IF(U15="","",IF(VLOOKUP(U15,'G-3 Multipliers'!$L$3:$N$6,3,FALSE)=0,"Spatial Data Missing ⚠",VLOOKUP(U15,'G-3 Multipliers'!$L$3:$N$6,3,FALSE)))</f>
        <v/>
      </c>
      <c r="X15" s="498" t="str">
        <f>IFERROR(IF(OR(LEFT(O15,5)="Error ▲",LEFT(N15,5)="Error ▲",T15="Error ▲"),"Check Data ⚠",IF(F15&lt;R15,INDEX('G-6 Hedgerow Data'!$S$3:$AE$14,MATCH(C15,'G-6 Hedgerow Data'!$B$3:$B$14,0),MATCH(M15,'G-6 Hedgerow Data'!$S$2:$AE$2,0)),INDEX('G-6 Hedgerow Data'!$K$3:$Q$14,MATCH(M15,'G-6 Hedgerow Data'!$B$3:$B$14,0),MATCH(O15,'G-6 Hedgerow Data'!$K$2:$Q$2,0)))),"")</f>
        <v/>
      </c>
      <c r="Y15" s="195"/>
      <c r="Z15" s="195"/>
      <c r="AA15" s="507" t="str">
        <f t="shared" si="3"/>
        <v/>
      </c>
      <c r="AB15" s="521" t="str">
        <f t="shared" si="4"/>
        <v/>
      </c>
      <c r="AC15" s="522" t="str">
        <f t="shared" si="1"/>
        <v/>
      </c>
      <c r="AD15" s="537" t="str">
        <f>IF(M15="","",VLOOKUP(M15,'G-6 Hedgerow Data'!$B$3:$AG$15,31,FALSE))</f>
        <v/>
      </c>
      <c r="AE15" s="520" t="str">
        <f t="shared" si="5"/>
        <v/>
      </c>
      <c r="AF15" s="520" t="str">
        <f t="shared" si="6"/>
        <v/>
      </c>
      <c r="AG15" s="524" t="str">
        <f>IFERROR(IF(O15="","",VLOOKUP(AD15,'G-3 Multipliers'!$P$3:$Q$6,2,FALSE)),"")</f>
        <v/>
      </c>
      <c r="AH15" s="196"/>
      <c r="AI15" s="499" t="str">
        <f>IF(AH15="","",IF(VLOOKUP(AH15,'G-3 Multipliers'!$S$3:$T$6,2,FALSE)=0,"Spatial Data Missing ⚠",VLOOKUP(AH15,'G-3 Multipliers'!$S$3:$T$6,2,FALSE)))</f>
        <v/>
      </c>
      <c r="AJ15" s="513" t="str">
        <f t="shared" si="7"/>
        <v/>
      </c>
      <c r="AK15" s="149"/>
      <c r="AL15" s="150"/>
      <c r="AP15" s="31" t="str">
        <f>IFERROR(INDEX('G-6 Hedgerow Data'!$BJ$3:$BJ$15,MATCH(M15,'G-6 Hedgerow Data'!$B$3:$B$15,0)),"")</f>
        <v/>
      </c>
    </row>
    <row r="16" spans="2:42" ht="14" x14ac:dyDescent="0.3">
      <c r="B16" s="531" t="str">
        <f>'E-1 Off Site Hedge Baseline'!AK14</f>
        <v/>
      </c>
      <c r="C16" s="520" t="str">
        <f>IF(B16="","",IF(ISNA(VLOOKUP($B16,'E-1 Off Site Hedge Baseline'!$B$1:$L$257,3,FALSE)),"",(VLOOKUP($B16,'E-1 Off Site Hedge Baseline'!$B$1:$L$257,3,FALSE))))</f>
        <v/>
      </c>
      <c r="D16" s="520" t="str">
        <f>IF(B16="","",IF(ISNA(VLOOKUP($B16,'E-1 Off Site Hedge Baseline'!$B$1:$L$258,4,FALSE)),"",(VLOOKUP($B16,'E-1 Off Site Hedge Baseline'!$B$1:$L$258,4,FALSE))))</f>
        <v/>
      </c>
      <c r="E16" s="520" t="str">
        <f>IF(B16="","",IF(ISNA(VLOOKUP($B16,'E-1 Off Site Hedge Baseline'!$B$1:$L$257,5,FALSE)),"",(VLOOKUP($B16,'E-1 Off Site Hedge Baseline'!$B$1:$L$257,5,FALSE))))</f>
        <v/>
      </c>
      <c r="F16" s="520" t="str">
        <f>IF(B16="","",IF(ISNA(VLOOKUP($B16,'E-1 Off Site Hedge Baseline'!$B$1:$L$257,6,FALSE)),"",(VLOOKUP($B16,'E-1 Off Site Hedge Baseline'!$B$1:$L$257,6,FALSE))))</f>
        <v/>
      </c>
      <c r="G16" s="520" t="str">
        <f>IF(B16="","",IF(ISNA(VLOOKUP($B16,'E-1 Off Site Hedge Baseline'!$B$1:$L$257,7,FALSE)),"",(VLOOKUP($B16,'E-1 Off Site Hedge Baseline'!$B$1:$L$257,7,FALSE))))</f>
        <v/>
      </c>
      <c r="H16" s="520" t="str">
        <f>IF(B16="","",IF(ISNA(VLOOKUP($B16,'E-1 Off Site Hedge Baseline'!$B$1:$L$257,8,FALSE)),"",(VLOOKUP($B16,'E-1 Off Site Hedge Baseline'!$B$1:$L$257,8,FALSE))))</f>
        <v/>
      </c>
      <c r="I16" s="520" t="str">
        <f>IF(B16="","",IF(ISNA(VLOOKUP($B16,'E-1 Off Site Hedge Baseline'!$B$1:$L$257,10,FALSE)),"",(VLOOKUP($B16,'E-1 Off Site Hedge Baseline'!$B$1:$L$257,10,FALSE))))</f>
        <v/>
      </c>
      <c r="J16" s="520" t="str">
        <f>IF(B16="","",IF(ISNA(VLOOKUP($B16,'E-1 Off Site Hedge Baseline'!$B$1:$L$257,11,FALSE)),"",(VLOOKUP($B16,'E-1 Off Site Hedge Baseline'!$B$1:$L$257,11,FALSE))))</f>
        <v/>
      </c>
      <c r="K16" s="520" t="str">
        <f>IF(B16="","",IF(ISNA(VLOOKUP($B16,'E-1 Off Site Hedge Baseline'!$B$1:$U$257,113,FALSE)),"",(VLOOKUP($B16,'E-1 Off Site Hedge Baseline'!$B$1:$U$257,13,FALSE))))</f>
        <v/>
      </c>
      <c r="L16" s="507" t="str">
        <f>IF(B16="","",IF(ISNA(VLOOKUP($B16,'E-1 Off Site Hedge Baseline'!$B$1:$U$257,12,FALSE)),"",(VLOOKUP($B16,'E-1 Off Site Hedge Baseline'!$B$1:$U$257,12,FALSE))))</f>
        <v/>
      </c>
      <c r="M16" s="418" t="str">
        <f t="shared" si="0"/>
        <v/>
      </c>
      <c r="N16" s="498" t="str">
        <f>IFERROR(IF(B16="","",INDEX('G-6 Hedgerow Data'!$AN$3:$AZ$15,MATCH(C16,'G-6 Hedgerow Data'!$AM$3:$AM$15,0),MATCH(M16,'G-6 Hedgerow Data'!$AN$2:$AZ$2,0))),"")</f>
        <v/>
      </c>
      <c r="O16" s="499" t="str">
        <f t="shared" si="2"/>
        <v/>
      </c>
      <c r="P16" s="505" t="str">
        <f>IF(B16="","",VLOOKUP(B16,'E-1 Off Site Hedge Baseline'!$B$10:T261,16,FALSE))</f>
        <v/>
      </c>
      <c r="Q16" s="498" t="str">
        <f>IF(M16="","",VLOOKUP(M16,'G-6 Hedgerow Data'!$B$2:$AG$15,2,FALSE))</f>
        <v/>
      </c>
      <c r="R16" s="499" t="str">
        <f>IF(M16="","",VLOOKUP(M16,'G-6 Hedgerow Data'!$B$2:$AG$15,3,FALSE))</f>
        <v/>
      </c>
      <c r="S16" s="145"/>
      <c r="T16" s="499" t="str">
        <f>IFERROR(IF(AND(Q16="V.Low",OR(S16="Good",S16="Moderate")),"Error ▲",VLOOKUP(S16,'G-1 All Habitats'!$Z$2:$AA$9,2,FALSE)),"")</f>
        <v/>
      </c>
      <c r="U16" s="71"/>
      <c r="V16" s="507" t="str">
        <f>IF(U16="","",IF(VLOOKUP(U16,'G-3 Multipliers'!$L$3:$N$6,2,FALSE)=0,"Spatial Data Missing ⚠",VLOOKUP(U16,'G-3 Multipliers'!$L$3:$N$6,2,FALSE)))</f>
        <v/>
      </c>
      <c r="W16" s="505" t="str">
        <f>IF(U16="","",IF(VLOOKUP(U16,'G-3 Multipliers'!$L$3:$N$6,3,FALSE)=0,"Spatial Data Missing ⚠",VLOOKUP(U16,'G-3 Multipliers'!$L$3:$N$6,3,FALSE)))</f>
        <v/>
      </c>
      <c r="X16" s="498" t="str">
        <f>IFERROR(IF(OR(LEFT(O16,5)="Error ▲",LEFT(N16,5)="Error ▲",T16="Error ▲"),"Check Data ⚠",IF(F16&lt;R16,INDEX('G-6 Hedgerow Data'!$S$3:$AE$14,MATCH(C16,'G-6 Hedgerow Data'!$B$3:$B$14,0),MATCH(M16,'G-6 Hedgerow Data'!$S$2:$AE$2,0)),INDEX('G-6 Hedgerow Data'!$K$3:$Q$14,MATCH(M16,'G-6 Hedgerow Data'!$B$3:$B$14,0),MATCH(O16,'G-6 Hedgerow Data'!$K$2:$Q$2,0)))),"")</f>
        <v/>
      </c>
      <c r="Y16" s="195"/>
      <c r="Z16" s="195"/>
      <c r="AA16" s="507" t="str">
        <f t="shared" si="3"/>
        <v/>
      </c>
      <c r="AB16" s="521" t="str">
        <f t="shared" si="4"/>
        <v/>
      </c>
      <c r="AC16" s="522" t="str">
        <f t="shared" si="1"/>
        <v/>
      </c>
      <c r="AD16" s="537" t="str">
        <f>IF(M16="","",VLOOKUP(M16,'G-6 Hedgerow Data'!$B$3:$AG$15,31,FALSE))</f>
        <v/>
      </c>
      <c r="AE16" s="520" t="str">
        <f t="shared" si="5"/>
        <v/>
      </c>
      <c r="AF16" s="520" t="str">
        <f t="shared" si="6"/>
        <v/>
      </c>
      <c r="AG16" s="524" t="str">
        <f>IFERROR(IF(O16="","",VLOOKUP(AD16,'G-3 Multipliers'!$P$3:$Q$6,2,FALSE)),"")</f>
        <v/>
      </c>
      <c r="AH16" s="196"/>
      <c r="AI16" s="499" t="str">
        <f>IF(AH16="","",IF(VLOOKUP(AH16,'G-3 Multipliers'!$S$3:$T$6,2,FALSE)=0,"Spatial Data Missing ⚠",VLOOKUP(AH16,'G-3 Multipliers'!$S$3:$T$6,2,FALSE)))</f>
        <v/>
      </c>
      <c r="AJ16" s="513" t="str">
        <f t="shared" si="7"/>
        <v/>
      </c>
      <c r="AK16" s="149"/>
      <c r="AL16" s="150"/>
      <c r="AP16" s="31" t="str">
        <f>IFERROR(INDEX('G-6 Hedgerow Data'!$BJ$3:$BJ$15,MATCH(M16,'G-6 Hedgerow Data'!$B$3:$B$15,0)),"")</f>
        <v/>
      </c>
    </row>
    <row r="17" spans="2:42" ht="14" x14ac:dyDescent="0.3">
      <c r="B17" s="531" t="str">
        <f>'E-1 Off Site Hedge Baseline'!AK15</f>
        <v/>
      </c>
      <c r="C17" s="520" t="str">
        <f>IF(B17="","",IF(ISNA(VLOOKUP($B17,'E-1 Off Site Hedge Baseline'!$B$1:$L$257,3,FALSE)),"",(VLOOKUP($B17,'E-1 Off Site Hedge Baseline'!$B$1:$L$257,3,FALSE))))</f>
        <v/>
      </c>
      <c r="D17" s="520" t="str">
        <f>IF(B17="","",IF(ISNA(VLOOKUP($B17,'E-1 Off Site Hedge Baseline'!$B$1:$L$258,4,FALSE)),"",(VLOOKUP($B17,'E-1 Off Site Hedge Baseline'!$B$1:$L$258,4,FALSE))))</f>
        <v/>
      </c>
      <c r="E17" s="520" t="str">
        <f>IF(B17="","",IF(ISNA(VLOOKUP($B17,'E-1 Off Site Hedge Baseline'!$B$1:$L$257,5,FALSE)),"",(VLOOKUP($B17,'E-1 Off Site Hedge Baseline'!$B$1:$L$257,5,FALSE))))</f>
        <v/>
      </c>
      <c r="F17" s="520" t="str">
        <f>IF(B17="","",IF(ISNA(VLOOKUP($B17,'E-1 Off Site Hedge Baseline'!$B$1:$L$257,6,FALSE)),"",(VLOOKUP($B17,'E-1 Off Site Hedge Baseline'!$B$1:$L$257,6,FALSE))))</f>
        <v/>
      </c>
      <c r="G17" s="520" t="str">
        <f>IF(B17="","",IF(ISNA(VLOOKUP($B17,'E-1 Off Site Hedge Baseline'!$B$1:$L$257,7,FALSE)),"",(VLOOKUP($B17,'E-1 Off Site Hedge Baseline'!$B$1:$L$257,7,FALSE))))</f>
        <v/>
      </c>
      <c r="H17" s="520" t="str">
        <f>IF(B17="","",IF(ISNA(VLOOKUP($B17,'E-1 Off Site Hedge Baseline'!$B$1:$L$257,8,FALSE)),"",(VLOOKUP($B17,'E-1 Off Site Hedge Baseline'!$B$1:$L$257,8,FALSE))))</f>
        <v/>
      </c>
      <c r="I17" s="520" t="str">
        <f>IF(B17="","",IF(ISNA(VLOOKUP($B17,'E-1 Off Site Hedge Baseline'!$B$1:$L$257,10,FALSE)),"",(VLOOKUP($B17,'E-1 Off Site Hedge Baseline'!$B$1:$L$257,10,FALSE))))</f>
        <v/>
      </c>
      <c r="J17" s="520" t="str">
        <f>IF(B17="","",IF(ISNA(VLOOKUP($B17,'E-1 Off Site Hedge Baseline'!$B$1:$L$257,11,FALSE)),"",(VLOOKUP($B17,'E-1 Off Site Hedge Baseline'!$B$1:$L$257,11,FALSE))))</f>
        <v/>
      </c>
      <c r="K17" s="520" t="str">
        <f>IF(B17="","",IF(ISNA(VLOOKUP($B17,'E-1 Off Site Hedge Baseline'!$B$1:$U$257,113,FALSE)),"",(VLOOKUP($B17,'E-1 Off Site Hedge Baseline'!$B$1:$U$257,13,FALSE))))</f>
        <v/>
      </c>
      <c r="L17" s="507" t="str">
        <f>IF(B17="","",IF(ISNA(VLOOKUP($B17,'E-1 Off Site Hedge Baseline'!$B$1:$U$257,12,FALSE)),"",(VLOOKUP($B17,'E-1 Off Site Hedge Baseline'!$B$1:$U$257,12,FALSE))))</f>
        <v/>
      </c>
      <c r="M17" s="418" t="str">
        <f t="shared" ref="M17:M77" si="8">C17</f>
        <v/>
      </c>
      <c r="N17" s="498" t="str">
        <f>IFERROR(IF(B17="","",INDEX('G-6 Hedgerow Data'!$AN$3:$AZ$15,MATCH(C17,'G-6 Hedgerow Data'!$AM$3:$AM$15,0),MATCH(M17,'G-6 Hedgerow Data'!$AN$2:$AZ$2,0))),"")</f>
        <v/>
      </c>
      <c r="O17" s="499" t="str">
        <f t="shared" si="2"/>
        <v/>
      </c>
      <c r="P17" s="505" t="str">
        <f>IF(B17="","",VLOOKUP(B17,'E-1 Off Site Hedge Baseline'!$B$10:T262,16,FALSE))</f>
        <v/>
      </c>
      <c r="Q17" s="498" t="str">
        <f>IF(M17="","",VLOOKUP(M17,'G-6 Hedgerow Data'!$B$2:$AG$15,2,FALSE))</f>
        <v/>
      </c>
      <c r="R17" s="499" t="str">
        <f>IF(M17="","",VLOOKUP(M17,'G-6 Hedgerow Data'!$B$2:$AG$15,3,FALSE))</f>
        <v/>
      </c>
      <c r="S17" s="145"/>
      <c r="T17" s="499" t="str">
        <f>IFERROR(IF(AND(Q17="V.Low",OR(S17="Good",S17="Moderate")),"Error ▲",VLOOKUP(S17,'G-1 All Habitats'!$Z$2:$AA$9,2,FALSE)),"")</f>
        <v/>
      </c>
      <c r="U17" s="145"/>
      <c r="V17" s="507" t="str">
        <f>IF(U17="","",IF(VLOOKUP(U17,'G-3 Multipliers'!$L$3:$N$6,2,FALSE)=0,"Spatial Data Missing ⚠",VLOOKUP(U17,'G-3 Multipliers'!$L$3:$N$6,2,FALSE)))</f>
        <v/>
      </c>
      <c r="W17" s="505" t="str">
        <f>IF(U17="","",IF(VLOOKUP(U17,'G-3 Multipliers'!$L$3:$N$6,3,FALSE)=0,"Spatial Data Missing ⚠",VLOOKUP(U17,'G-3 Multipliers'!$L$3:$N$6,3,FALSE)))</f>
        <v/>
      </c>
      <c r="X17" s="498" t="str">
        <f>IFERROR(IF(OR(LEFT(O17,5)="Error ▲",LEFT(N17,5)="Error ▲",T17="Error ▲"),"Check Data ⚠",IF(F17&lt;R17,INDEX('G-6 Hedgerow Data'!$S$3:$AE$14,MATCH(C17,'G-6 Hedgerow Data'!$B$3:$B$14,0),MATCH(M17,'G-6 Hedgerow Data'!$S$2:$AE$2,0)),INDEX('G-6 Hedgerow Data'!$K$3:$Q$14,MATCH(M17,'G-6 Hedgerow Data'!$B$3:$B$14,0),MATCH(O17,'G-6 Hedgerow Data'!$K$2:$Q$2,0)))),"")</f>
        <v/>
      </c>
      <c r="Y17" s="195"/>
      <c r="Z17" s="195"/>
      <c r="AA17" s="507" t="str">
        <f t="shared" si="3"/>
        <v/>
      </c>
      <c r="AB17" s="521" t="str">
        <f t="shared" si="4"/>
        <v/>
      </c>
      <c r="AC17" s="522" t="str">
        <f t="shared" si="1"/>
        <v/>
      </c>
      <c r="AD17" s="537" t="str">
        <f>IF(M17="","",VLOOKUP(M17,'G-6 Hedgerow Data'!$B$3:$AG$15,31,FALSE))</f>
        <v/>
      </c>
      <c r="AE17" s="520" t="str">
        <f t="shared" si="5"/>
        <v/>
      </c>
      <c r="AF17" s="520" t="str">
        <f t="shared" si="6"/>
        <v/>
      </c>
      <c r="AG17" s="524" t="str">
        <f>IFERROR(IF(O17="","",VLOOKUP(AD17,'G-3 Multipliers'!$P$3:$Q$6,2,FALSE)),"")</f>
        <v/>
      </c>
      <c r="AH17" s="197"/>
      <c r="AI17" s="499" t="str">
        <f>IF(AH17="","",IF(VLOOKUP(AH17,'G-3 Multipliers'!$S$3:$T$6,2,FALSE)=0,"Spatial Data Missing ⚠",VLOOKUP(AH17,'G-3 Multipliers'!$S$3:$T$6,2,FALSE)))</f>
        <v/>
      </c>
      <c r="AJ17" s="545" t="str">
        <f t="shared" si="7"/>
        <v/>
      </c>
      <c r="AK17" s="149"/>
      <c r="AL17" s="150"/>
      <c r="AP17" s="31" t="str">
        <f>IFERROR(INDEX('G-6 Hedgerow Data'!$BJ$3:$BJ$15,MATCH(M17,'G-6 Hedgerow Data'!$B$3:$B$15,0)),"")</f>
        <v/>
      </c>
    </row>
    <row r="18" spans="2:42" ht="14" x14ac:dyDescent="0.3">
      <c r="B18" s="531" t="str">
        <f>'E-1 Off Site Hedge Baseline'!AK16</f>
        <v/>
      </c>
      <c r="C18" s="520" t="str">
        <f>IF(B18="","",IF(ISNA(VLOOKUP($B18,'E-1 Off Site Hedge Baseline'!$B$1:$L$257,3,FALSE)),"",(VLOOKUP($B18,'E-1 Off Site Hedge Baseline'!$B$1:$L$257,3,FALSE))))</f>
        <v/>
      </c>
      <c r="D18" s="520" t="str">
        <f>IF(B18="","",IF(ISNA(VLOOKUP($B18,'E-1 Off Site Hedge Baseline'!$B$1:$L$258,4,FALSE)),"",(VLOOKUP($B18,'E-1 Off Site Hedge Baseline'!$B$1:$L$258,4,FALSE))))</f>
        <v/>
      </c>
      <c r="E18" s="520" t="str">
        <f>IF(B18="","",IF(ISNA(VLOOKUP($B18,'E-1 Off Site Hedge Baseline'!$B$1:$L$257,5,FALSE)),"",(VLOOKUP($B18,'E-1 Off Site Hedge Baseline'!$B$1:$L$257,5,FALSE))))</f>
        <v/>
      </c>
      <c r="F18" s="520" t="str">
        <f>IF(B18="","",IF(ISNA(VLOOKUP($B18,'E-1 Off Site Hedge Baseline'!$B$1:$L$257,6,FALSE)),"",(VLOOKUP($B18,'E-1 Off Site Hedge Baseline'!$B$1:$L$257,6,FALSE))))</f>
        <v/>
      </c>
      <c r="G18" s="520" t="str">
        <f>IF(B18="","",IF(ISNA(VLOOKUP($B18,'E-1 Off Site Hedge Baseline'!$B$1:$L$257,7,FALSE)),"",(VLOOKUP($B18,'E-1 Off Site Hedge Baseline'!$B$1:$L$257,7,FALSE))))</f>
        <v/>
      </c>
      <c r="H18" s="520" t="str">
        <f>IF(B18="","",IF(ISNA(VLOOKUP($B18,'E-1 Off Site Hedge Baseline'!$B$1:$L$257,8,FALSE)),"",(VLOOKUP($B18,'E-1 Off Site Hedge Baseline'!$B$1:$L$257,8,FALSE))))</f>
        <v/>
      </c>
      <c r="I18" s="520" t="str">
        <f>IF(B18="","",IF(ISNA(VLOOKUP($B18,'E-1 Off Site Hedge Baseline'!$B$1:$L$257,10,FALSE)),"",(VLOOKUP($B18,'E-1 Off Site Hedge Baseline'!$B$1:$L$257,10,FALSE))))</f>
        <v/>
      </c>
      <c r="J18" s="520" t="str">
        <f>IF(B18="","",IF(ISNA(VLOOKUP($B18,'E-1 Off Site Hedge Baseline'!$B$1:$L$257,11,FALSE)),"",(VLOOKUP($B18,'E-1 Off Site Hedge Baseline'!$B$1:$L$257,11,FALSE))))</f>
        <v/>
      </c>
      <c r="K18" s="520" t="str">
        <f>IF(B18="","",IF(ISNA(VLOOKUP($B18,'E-1 Off Site Hedge Baseline'!$B$1:$U$257,113,FALSE)),"",(VLOOKUP($B18,'E-1 Off Site Hedge Baseline'!$B$1:$U$257,13,FALSE))))</f>
        <v/>
      </c>
      <c r="L18" s="507" t="str">
        <f>IF(B18="","",IF(ISNA(VLOOKUP($B18,'E-1 Off Site Hedge Baseline'!$B$1:$U$257,12,FALSE)),"",(VLOOKUP($B18,'E-1 Off Site Hedge Baseline'!$B$1:$U$257,12,FALSE))))</f>
        <v/>
      </c>
      <c r="M18" s="418" t="str">
        <f t="shared" si="8"/>
        <v/>
      </c>
      <c r="N18" s="498" t="str">
        <f>IFERROR(IF(B18="","",INDEX('G-6 Hedgerow Data'!$AN$3:$AZ$15,MATCH(C18,'G-6 Hedgerow Data'!$AM$3:$AM$15,0),MATCH(M18,'G-6 Hedgerow Data'!$AN$2:$AZ$2,0))),"")</f>
        <v/>
      </c>
      <c r="O18" s="499" t="str">
        <f t="shared" si="2"/>
        <v/>
      </c>
      <c r="P18" s="505" t="str">
        <f>IF(B18="","",VLOOKUP(B18,'E-1 Off Site Hedge Baseline'!$B$10:T263,16,FALSE))</f>
        <v/>
      </c>
      <c r="Q18" s="498" t="str">
        <f>IF(M18="","",VLOOKUP(M18,'G-6 Hedgerow Data'!$B$2:$AG$15,2,FALSE))</f>
        <v/>
      </c>
      <c r="R18" s="499" t="str">
        <f>IF(M18="","",VLOOKUP(M18,'G-6 Hedgerow Data'!$B$2:$AG$15,3,FALSE))</f>
        <v/>
      </c>
      <c r="S18" s="145"/>
      <c r="T18" s="499" t="str">
        <f>IFERROR(IF(AND(Q18="V.Low",OR(S18="Good",S18="Moderate")),"Error ▲",VLOOKUP(S18,'G-1 All Habitats'!$Z$2:$AA$9,2,FALSE)),"")</f>
        <v/>
      </c>
      <c r="U18" s="145"/>
      <c r="V18" s="507" t="str">
        <f>IF(U18="","",IF(VLOOKUP(U18,'G-3 Multipliers'!$L$3:$N$6,2,FALSE)=0,"Spatial Data Missing ⚠",VLOOKUP(U18,'G-3 Multipliers'!$L$3:$N$6,2,FALSE)))</f>
        <v/>
      </c>
      <c r="W18" s="505" t="str">
        <f>IF(U18="","",IF(VLOOKUP(U18,'G-3 Multipliers'!$L$3:$N$6,3,FALSE)=0,"Spatial Data Missing ⚠",VLOOKUP(U18,'G-3 Multipliers'!$L$3:$N$6,3,FALSE)))</f>
        <v/>
      </c>
      <c r="X18" s="498" t="str">
        <f>IFERROR(IF(OR(LEFT(O18,5)="Error ▲",LEFT(N18,5)="Error ▲",T18="Error ▲"),"Check Data ⚠",IF(F18&lt;R18,INDEX('G-6 Hedgerow Data'!$S$3:$AE$14,MATCH(C18,'G-6 Hedgerow Data'!$B$3:$B$14,0),MATCH(M18,'G-6 Hedgerow Data'!$S$2:$AE$2,0)),INDEX('G-6 Hedgerow Data'!$K$3:$Q$14,MATCH(M18,'G-6 Hedgerow Data'!$B$3:$B$14,0),MATCH(O18,'G-6 Hedgerow Data'!$K$2:$Q$2,0)))),"")</f>
        <v/>
      </c>
      <c r="Y18" s="195"/>
      <c r="Z18" s="195"/>
      <c r="AA18" s="507" t="str">
        <f t="shared" si="3"/>
        <v/>
      </c>
      <c r="AB18" s="521" t="str">
        <f t="shared" si="4"/>
        <v/>
      </c>
      <c r="AC18" s="522" t="str">
        <f t="shared" si="1"/>
        <v/>
      </c>
      <c r="AD18" s="537" t="str">
        <f>IF(M18="","",VLOOKUP(M18,'G-6 Hedgerow Data'!$B$3:$AG$15,31,FALSE))</f>
        <v/>
      </c>
      <c r="AE18" s="520" t="str">
        <f t="shared" si="5"/>
        <v/>
      </c>
      <c r="AF18" s="520" t="str">
        <f t="shared" si="6"/>
        <v/>
      </c>
      <c r="AG18" s="524" t="str">
        <f>IFERROR(IF(O18="","",VLOOKUP(AD18,'G-3 Multipliers'!$P$3:$Q$6,2,FALSE)),"")</f>
        <v/>
      </c>
      <c r="AH18" s="197"/>
      <c r="AI18" s="499" t="str">
        <f>IF(AH18="","",IF(VLOOKUP(AH18,'G-3 Multipliers'!$S$3:$T$6,2,FALSE)=0,"Spatial Data Missing ⚠",VLOOKUP(AH18,'G-3 Multipliers'!$S$3:$T$6,2,FALSE)))</f>
        <v/>
      </c>
      <c r="AJ18" s="545" t="str">
        <f t="shared" si="7"/>
        <v/>
      </c>
      <c r="AK18" s="149"/>
      <c r="AL18" s="150"/>
      <c r="AP18" s="31" t="str">
        <f>IFERROR(INDEX('G-6 Hedgerow Data'!$BJ$3:$BJ$15,MATCH(M18,'G-6 Hedgerow Data'!$B$3:$B$15,0)),"")</f>
        <v/>
      </c>
    </row>
    <row r="19" spans="2:42" ht="14" x14ac:dyDescent="0.3">
      <c r="B19" s="531" t="str">
        <f>'E-1 Off Site Hedge Baseline'!AK17</f>
        <v/>
      </c>
      <c r="C19" s="520" t="str">
        <f>IF(B19="","",IF(ISNA(VLOOKUP($B19,'E-1 Off Site Hedge Baseline'!$B$1:$L$257,3,FALSE)),"",(VLOOKUP($B19,'E-1 Off Site Hedge Baseline'!$B$1:$L$257,3,FALSE))))</f>
        <v/>
      </c>
      <c r="D19" s="520" t="str">
        <f>IF(B19="","",IF(ISNA(VLOOKUP($B19,'E-1 Off Site Hedge Baseline'!$B$1:$L$258,4,FALSE)),"",(VLOOKUP($B19,'E-1 Off Site Hedge Baseline'!$B$1:$L$258,4,FALSE))))</f>
        <v/>
      </c>
      <c r="E19" s="520" t="str">
        <f>IF(B19="","",IF(ISNA(VLOOKUP($B19,'E-1 Off Site Hedge Baseline'!$B$1:$L$257,5,FALSE)),"",(VLOOKUP($B19,'E-1 Off Site Hedge Baseline'!$B$1:$L$257,5,FALSE))))</f>
        <v/>
      </c>
      <c r="F19" s="520" t="str">
        <f>IF(B19="","",IF(ISNA(VLOOKUP($B19,'E-1 Off Site Hedge Baseline'!$B$1:$L$257,6,FALSE)),"",(VLOOKUP($B19,'E-1 Off Site Hedge Baseline'!$B$1:$L$257,6,FALSE))))</f>
        <v/>
      </c>
      <c r="G19" s="520" t="str">
        <f>IF(B19="","",IF(ISNA(VLOOKUP($B19,'E-1 Off Site Hedge Baseline'!$B$1:$L$257,7,FALSE)),"",(VLOOKUP($B19,'E-1 Off Site Hedge Baseline'!$B$1:$L$257,7,FALSE))))</f>
        <v/>
      </c>
      <c r="H19" s="520" t="str">
        <f>IF(B19="","",IF(ISNA(VLOOKUP($B19,'E-1 Off Site Hedge Baseline'!$B$1:$L$257,8,FALSE)),"",(VLOOKUP($B19,'E-1 Off Site Hedge Baseline'!$B$1:$L$257,8,FALSE))))</f>
        <v/>
      </c>
      <c r="I19" s="520" t="str">
        <f>IF(B19="","",IF(ISNA(VLOOKUP($B19,'E-1 Off Site Hedge Baseline'!$B$1:$L$257,10,FALSE)),"",(VLOOKUP($B19,'E-1 Off Site Hedge Baseline'!$B$1:$L$257,10,FALSE))))</f>
        <v/>
      </c>
      <c r="J19" s="520" t="str">
        <f>IF(B19="","",IF(ISNA(VLOOKUP($B19,'E-1 Off Site Hedge Baseline'!$B$1:$L$257,11,FALSE)),"",(VLOOKUP($B19,'E-1 Off Site Hedge Baseline'!$B$1:$L$257,11,FALSE))))</f>
        <v/>
      </c>
      <c r="K19" s="520" t="str">
        <f>IF(B19="","",IF(ISNA(VLOOKUP($B19,'E-1 Off Site Hedge Baseline'!$B$1:$U$257,113,FALSE)),"",(VLOOKUP($B19,'E-1 Off Site Hedge Baseline'!$B$1:$U$257,13,FALSE))))</f>
        <v/>
      </c>
      <c r="L19" s="507" t="str">
        <f>IF(B19="","",IF(ISNA(VLOOKUP($B19,'E-1 Off Site Hedge Baseline'!$B$1:$U$257,12,FALSE)),"",(VLOOKUP($B19,'E-1 Off Site Hedge Baseline'!$B$1:$U$257,12,FALSE))))</f>
        <v/>
      </c>
      <c r="M19" s="418" t="str">
        <f t="shared" si="8"/>
        <v/>
      </c>
      <c r="N19" s="498" t="str">
        <f>IFERROR(IF(B19="","",INDEX('G-6 Hedgerow Data'!$AN$3:$AZ$15,MATCH(C19,'G-6 Hedgerow Data'!$AM$3:$AM$15,0),MATCH(M19,'G-6 Hedgerow Data'!$AN$2:$AZ$2,0))),"")</f>
        <v/>
      </c>
      <c r="O19" s="499" t="str">
        <f t="shared" si="2"/>
        <v/>
      </c>
      <c r="P19" s="505" t="str">
        <f>IF(B19="","",VLOOKUP(B19,'E-1 Off Site Hedge Baseline'!$B$10:T264,16,FALSE))</f>
        <v/>
      </c>
      <c r="Q19" s="498" t="str">
        <f>IF(M19="","",VLOOKUP(M19,'G-6 Hedgerow Data'!$B$2:$AG$15,2,FALSE))</f>
        <v/>
      </c>
      <c r="R19" s="499" t="str">
        <f>IF(M19="","",VLOOKUP(M19,'G-6 Hedgerow Data'!$B$2:$AG$15,3,FALSE))</f>
        <v/>
      </c>
      <c r="S19" s="145"/>
      <c r="T19" s="499" t="str">
        <f>IFERROR(IF(AND(Q19="V.Low",OR(S19="Good",S19="Moderate")),"Error ▲",VLOOKUP(S19,'G-1 All Habitats'!$Z$2:$AA$9,2,FALSE)),"")</f>
        <v/>
      </c>
      <c r="U19" s="145"/>
      <c r="V19" s="507" t="str">
        <f>IF(U19="","",IF(VLOOKUP(U19,'G-3 Multipliers'!$L$3:$N$6,2,FALSE)=0,"Spatial Data Missing ⚠",VLOOKUP(U19,'G-3 Multipliers'!$L$3:$N$6,2,FALSE)))</f>
        <v/>
      </c>
      <c r="W19" s="505" t="str">
        <f>IF(U19="","",IF(VLOOKUP(U19,'G-3 Multipliers'!$L$3:$N$6,3,FALSE)=0,"Spatial Data Missing ⚠",VLOOKUP(U19,'G-3 Multipliers'!$L$3:$N$6,3,FALSE)))</f>
        <v/>
      </c>
      <c r="X19" s="498" t="str">
        <f>IFERROR(IF(OR(LEFT(O19,5)="Error ▲",LEFT(N19,5)="Error ▲",T19="Error ▲"),"Check Data ⚠",IF(F19&lt;R19,INDEX('G-6 Hedgerow Data'!$S$3:$AE$14,MATCH(C19,'G-6 Hedgerow Data'!$B$3:$B$14,0),MATCH(M19,'G-6 Hedgerow Data'!$S$2:$AE$2,0)),INDEX('G-6 Hedgerow Data'!$K$3:$Q$14,MATCH(M19,'G-6 Hedgerow Data'!$B$3:$B$14,0),MATCH(O19,'G-6 Hedgerow Data'!$K$2:$Q$2,0)))),"")</f>
        <v/>
      </c>
      <c r="Y19" s="195"/>
      <c r="Z19" s="195"/>
      <c r="AA19" s="507" t="str">
        <f t="shared" si="3"/>
        <v/>
      </c>
      <c r="AB19" s="521" t="str">
        <f t="shared" si="4"/>
        <v/>
      </c>
      <c r="AC19" s="522" t="str">
        <f t="shared" si="1"/>
        <v/>
      </c>
      <c r="AD19" s="537" t="str">
        <f>IF(M19="","",VLOOKUP(M19,'G-6 Hedgerow Data'!$B$3:$AG$15,31,FALSE))</f>
        <v/>
      </c>
      <c r="AE19" s="520" t="str">
        <f t="shared" si="5"/>
        <v/>
      </c>
      <c r="AF19" s="520" t="str">
        <f t="shared" si="6"/>
        <v/>
      </c>
      <c r="AG19" s="524" t="str">
        <f>IFERROR(IF(O19="","",VLOOKUP(AD19,'G-3 Multipliers'!$P$3:$Q$6,2,FALSE)),"")</f>
        <v/>
      </c>
      <c r="AH19" s="197"/>
      <c r="AI19" s="499" t="str">
        <f>IF(AH19="","",IF(VLOOKUP(AH19,'G-3 Multipliers'!$S$3:$T$6,2,FALSE)=0,"Spatial Data Missing ⚠",VLOOKUP(AH19,'G-3 Multipliers'!$S$3:$T$6,2,FALSE)))</f>
        <v/>
      </c>
      <c r="AJ19" s="545" t="str">
        <f t="shared" si="7"/>
        <v/>
      </c>
      <c r="AK19" s="149"/>
      <c r="AL19" s="150"/>
      <c r="AP19" s="31" t="str">
        <f>IFERROR(INDEX('G-6 Hedgerow Data'!$BJ$3:$BJ$15,MATCH(M19,'G-6 Hedgerow Data'!$B$3:$B$15,0)),"")</f>
        <v/>
      </c>
    </row>
    <row r="20" spans="2:42" ht="14" x14ac:dyDescent="0.3">
      <c r="B20" s="531" t="str">
        <f>'E-1 Off Site Hedge Baseline'!AK18</f>
        <v/>
      </c>
      <c r="C20" s="520" t="str">
        <f>IF(B20="","",IF(ISNA(VLOOKUP($B20,'E-1 Off Site Hedge Baseline'!$B$1:$L$257,3,FALSE)),"",(VLOOKUP($B20,'E-1 Off Site Hedge Baseline'!$B$1:$L$257,3,FALSE))))</f>
        <v/>
      </c>
      <c r="D20" s="520" t="str">
        <f>IF(B20="","",IF(ISNA(VLOOKUP($B20,'E-1 Off Site Hedge Baseline'!$B$1:$L$258,4,FALSE)),"",(VLOOKUP($B20,'E-1 Off Site Hedge Baseline'!$B$1:$L$258,4,FALSE))))</f>
        <v/>
      </c>
      <c r="E20" s="520" t="str">
        <f>IF(B20="","",IF(ISNA(VLOOKUP($B20,'E-1 Off Site Hedge Baseline'!$B$1:$L$257,5,FALSE)),"",(VLOOKUP($B20,'E-1 Off Site Hedge Baseline'!$B$1:$L$257,5,FALSE))))</f>
        <v/>
      </c>
      <c r="F20" s="520" t="str">
        <f>IF(B20="","",IF(ISNA(VLOOKUP($B20,'E-1 Off Site Hedge Baseline'!$B$1:$L$257,6,FALSE)),"",(VLOOKUP($B20,'E-1 Off Site Hedge Baseline'!$B$1:$L$257,6,FALSE))))</f>
        <v/>
      </c>
      <c r="G20" s="520" t="str">
        <f>IF(B20="","",IF(ISNA(VLOOKUP($B20,'E-1 Off Site Hedge Baseline'!$B$1:$L$257,7,FALSE)),"",(VLOOKUP($B20,'E-1 Off Site Hedge Baseline'!$B$1:$L$257,7,FALSE))))</f>
        <v/>
      </c>
      <c r="H20" s="520" t="str">
        <f>IF(B20="","",IF(ISNA(VLOOKUP($B20,'E-1 Off Site Hedge Baseline'!$B$1:$L$257,8,FALSE)),"",(VLOOKUP($B20,'E-1 Off Site Hedge Baseline'!$B$1:$L$257,8,FALSE))))</f>
        <v/>
      </c>
      <c r="I20" s="520" t="str">
        <f>IF(B20="","",IF(ISNA(VLOOKUP($B20,'E-1 Off Site Hedge Baseline'!$B$1:$L$257,10,FALSE)),"",(VLOOKUP($B20,'E-1 Off Site Hedge Baseline'!$B$1:$L$257,10,FALSE))))</f>
        <v/>
      </c>
      <c r="J20" s="520" t="str">
        <f>IF(B20="","",IF(ISNA(VLOOKUP($B20,'E-1 Off Site Hedge Baseline'!$B$1:$L$257,11,FALSE)),"",(VLOOKUP($B20,'E-1 Off Site Hedge Baseline'!$B$1:$L$257,11,FALSE))))</f>
        <v/>
      </c>
      <c r="K20" s="520" t="str">
        <f>IF(B20="","",IF(ISNA(VLOOKUP($B20,'E-1 Off Site Hedge Baseline'!$B$1:$U$257,113,FALSE)),"",(VLOOKUP($B20,'E-1 Off Site Hedge Baseline'!$B$1:$U$257,13,FALSE))))</f>
        <v/>
      </c>
      <c r="L20" s="507" t="str">
        <f>IF(B20="","",IF(ISNA(VLOOKUP($B20,'E-1 Off Site Hedge Baseline'!$B$1:$U$257,12,FALSE)),"",(VLOOKUP($B20,'E-1 Off Site Hedge Baseline'!$B$1:$U$257,12,FALSE))))</f>
        <v/>
      </c>
      <c r="M20" s="418" t="str">
        <f t="shared" si="8"/>
        <v/>
      </c>
      <c r="N20" s="498" t="str">
        <f>IFERROR(IF(B20="","",INDEX('G-6 Hedgerow Data'!$AN$3:$AZ$15,MATCH(C20,'G-6 Hedgerow Data'!$AM$3:$AM$15,0),MATCH(M20,'G-6 Hedgerow Data'!$AN$2:$AZ$2,0))),"")</f>
        <v/>
      </c>
      <c r="O20" s="499" t="str">
        <f t="shared" si="2"/>
        <v/>
      </c>
      <c r="P20" s="505" t="str">
        <f>IF(B20="","",VLOOKUP(B20,'E-1 Off Site Hedge Baseline'!$B$10:T265,16,FALSE))</f>
        <v/>
      </c>
      <c r="Q20" s="498" t="str">
        <f>IF(M20="","",VLOOKUP(M20,'G-6 Hedgerow Data'!$B$2:$AG$15,2,FALSE))</f>
        <v/>
      </c>
      <c r="R20" s="499" t="str">
        <f>IF(M20="","",VLOOKUP(M20,'G-6 Hedgerow Data'!$B$2:$AG$15,3,FALSE))</f>
        <v/>
      </c>
      <c r="S20" s="145"/>
      <c r="T20" s="499" t="str">
        <f>IFERROR(IF(AND(Q20="V.Low",OR(S20="Good",S20="Moderate")),"Error ▲",VLOOKUP(S20,'G-1 All Habitats'!$Z$2:$AA$9,2,FALSE)),"")</f>
        <v/>
      </c>
      <c r="U20" s="145"/>
      <c r="V20" s="507" t="str">
        <f>IF(U20="","",IF(VLOOKUP(U20,'G-3 Multipliers'!$L$3:$N$6,2,FALSE)=0,"Spatial Data Missing ⚠",VLOOKUP(U20,'G-3 Multipliers'!$L$3:$N$6,2,FALSE)))</f>
        <v/>
      </c>
      <c r="W20" s="505" t="str">
        <f>IF(U20="","",IF(VLOOKUP(U20,'G-3 Multipliers'!$L$3:$N$6,3,FALSE)=0,"Spatial Data Missing ⚠",VLOOKUP(U20,'G-3 Multipliers'!$L$3:$N$6,3,FALSE)))</f>
        <v/>
      </c>
      <c r="X20" s="498" t="str">
        <f>IFERROR(IF(OR(LEFT(O20,5)="Error ▲",LEFT(N20,5)="Error ▲",T20="Error ▲"),"Check Data ⚠",IF(F20&lt;R20,INDEX('G-6 Hedgerow Data'!$S$3:$AE$14,MATCH(C20,'G-6 Hedgerow Data'!$B$3:$B$14,0),MATCH(M20,'G-6 Hedgerow Data'!$S$2:$AE$2,0)),INDEX('G-6 Hedgerow Data'!$K$3:$Q$14,MATCH(M20,'G-6 Hedgerow Data'!$B$3:$B$14,0),MATCH(O20,'G-6 Hedgerow Data'!$K$2:$Q$2,0)))),"")</f>
        <v/>
      </c>
      <c r="Y20" s="195"/>
      <c r="Z20" s="195"/>
      <c r="AA20" s="507" t="str">
        <f t="shared" si="3"/>
        <v/>
      </c>
      <c r="AB20" s="521" t="str">
        <f t="shared" si="4"/>
        <v/>
      </c>
      <c r="AC20" s="522" t="str">
        <f t="shared" si="1"/>
        <v/>
      </c>
      <c r="AD20" s="537" t="str">
        <f>IF(M20="","",VLOOKUP(M20,'G-6 Hedgerow Data'!$B$3:$AG$15,31,FALSE))</f>
        <v/>
      </c>
      <c r="AE20" s="520" t="str">
        <f t="shared" si="5"/>
        <v/>
      </c>
      <c r="AF20" s="520" t="str">
        <f t="shared" si="6"/>
        <v/>
      </c>
      <c r="AG20" s="524" t="str">
        <f>IFERROR(IF(O20="","",VLOOKUP(AD20,'G-3 Multipliers'!$P$3:$Q$6,2,FALSE)),"")</f>
        <v/>
      </c>
      <c r="AH20" s="197"/>
      <c r="AI20" s="499" t="str">
        <f>IF(AH20="","",IF(VLOOKUP(AH20,'G-3 Multipliers'!$S$3:$T$6,2,FALSE)=0,"Spatial Data Missing ⚠",VLOOKUP(AH20,'G-3 Multipliers'!$S$3:$T$6,2,FALSE)))</f>
        <v/>
      </c>
      <c r="AJ20" s="545" t="str">
        <f t="shared" si="7"/>
        <v/>
      </c>
      <c r="AK20" s="149"/>
      <c r="AL20" s="150"/>
      <c r="AP20" s="31" t="str">
        <f>IFERROR(INDEX('G-6 Hedgerow Data'!$BJ$3:$BJ$15,MATCH(M20,'G-6 Hedgerow Data'!$B$3:$B$15,0)),"")</f>
        <v/>
      </c>
    </row>
    <row r="21" spans="2:42" ht="14" x14ac:dyDescent="0.3">
      <c r="B21" s="531" t="str">
        <f>'E-1 Off Site Hedge Baseline'!AK19</f>
        <v/>
      </c>
      <c r="C21" s="520" t="str">
        <f>IF(B21="","",IF(ISNA(VLOOKUP($B21,'E-1 Off Site Hedge Baseline'!$B$1:$L$257,3,FALSE)),"",(VLOOKUP($B21,'E-1 Off Site Hedge Baseline'!$B$1:$L$257,3,FALSE))))</f>
        <v/>
      </c>
      <c r="D21" s="520" t="str">
        <f>IF(B21="","",IF(ISNA(VLOOKUP($B21,'E-1 Off Site Hedge Baseline'!$B$1:$L$258,4,FALSE)),"",(VLOOKUP($B21,'E-1 Off Site Hedge Baseline'!$B$1:$L$258,4,FALSE))))</f>
        <v/>
      </c>
      <c r="E21" s="520" t="str">
        <f>IF(B21="","",IF(ISNA(VLOOKUP($B21,'E-1 Off Site Hedge Baseline'!$B$1:$L$257,5,FALSE)),"",(VLOOKUP($B21,'E-1 Off Site Hedge Baseline'!$B$1:$L$257,5,FALSE))))</f>
        <v/>
      </c>
      <c r="F21" s="520" t="str">
        <f>IF(B21="","",IF(ISNA(VLOOKUP($B21,'E-1 Off Site Hedge Baseline'!$B$1:$L$257,6,FALSE)),"",(VLOOKUP($B21,'E-1 Off Site Hedge Baseline'!$B$1:$L$257,6,FALSE))))</f>
        <v/>
      </c>
      <c r="G21" s="520" t="str">
        <f>IF(B21="","",IF(ISNA(VLOOKUP($B21,'E-1 Off Site Hedge Baseline'!$B$1:$L$257,7,FALSE)),"",(VLOOKUP($B21,'E-1 Off Site Hedge Baseline'!$B$1:$L$257,7,FALSE))))</f>
        <v/>
      </c>
      <c r="H21" s="520" t="str">
        <f>IF(B21="","",IF(ISNA(VLOOKUP($B21,'E-1 Off Site Hedge Baseline'!$B$1:$L$257,8,FALSE)),"",(VLOOKUP($B21,'E-1 Off Site Hedge Baseline'!$B$1:$L$257,8,FALSE))))</f>
        <v/>
      </c>
      <c r="I21" s="520" t="str">
        <f>IF(B21="","",IF(ISNA(VLOOKUP($B21,'E-1 Off Site Hedge Baseline'!$B$1:$L$257,10,FALSE)),"",(VLOOKUP($B21,'E-1 Off Site Hedge Baseline'!$B$1:$L$257,10,FALSE))))</f>
        <v/>
      </c>
      <c r="J21" s="520" t="str">
        <f>IF(B21="","",IF(ISNA(VLOOKUP($B21,'E-1 Off Site Hedge Baseline'!$B$1:$L$257,11,FALSE)),"",(VLOOKUP($B21,'E-1 Off Site Hedge Baseline'!$B$1:$L$257,11,FALSE))))</f>
        <v/>
      </c>
      <c r="K21" s="520" t="str">
        <f>IF(B21="","",IF(ISNA(VLOOKUP($B21,'E-1 Off Site Hedge Baseline'!$B$1:$U$257,113,FALSE)),"",(VLOOKUP($B21,'E-1 Off Site Hedge Baseline'!$B$1:$U$257,13,FALSE))))</f>
        <v/>
      </c>
      <c r="L21" s="507" t="str">
        <f>IF(B21="","",IF(ISNA(VLOOKUP($B21,'E-1 Off Site Hedge Baseline'!$B$1:$U$257,12,FALSE)),"",(VLOOKUP($B21,'E-1 Off Site Hedge Baseline'!$B$1:$U$257,12,FALSE))))</f>
        <v/>
      </c>
      <c r="M21" s="418" t="str">
        <f t="shared" si="8"/>
        <v/>
      </c>
      <c r="N21" s="498" t="str">
        <f>IFERROR(IF(B21="","",INDEX('G-6 Hedgerow Data'!$AN$3:$AZ$15,MATCH(C21,'G-6 Hedgerow Data'!$AM$3:$AM$15,0),MATCH(M21,'G-6 Hedgerow Data'!$AN$2:$AZ$2,0))),"")</f>
        <v/>
      </c>
      <c r="O21" s="499" t="str">
        <f t="shared" si="2"/>
        <v/>
      </c>
      <c r="P21" s="505" t="str">
        <f>IF(B21="","",VLOOKUP(B21,'E-1 Off Site Hedge Baseline'!$B$10:T266,16,FALSE))</f>
        <v/>
      </c>
      <c r="Q21" s="498" t="str">
        <f>IF(M21="","",VLOOKUP(M21,'G-6 Hedgerow Data'!$B$2:$AG$15,2,FALSE))</f>
        <v/>
      </c>
      <c r="R21" s="499" t="str">
        <f>IF(M21="","",VLOOKUP(M21,'G-6 Hedgerow Data'!$B$2:$AG$15,3,FALSE))</f>
        <v/>
      </c>
      <c r="S21" s="145"/>
      <c r="T21" s="499" t="str">
        <f>IFERROR(IF(AND(Q21="V.Low",OR(S21="Good",S21="Moderate")),"Error ▲",VLOOKUP(S21,'G-1 All Habitats'!$Z$2:$AA$9,2,FALSE)),"")</f>
        <v/>
      </c>
      <c r="U21" s="145"/>
      <c r="V21" s="507" t="str">
        <f>IF(U21="","",IF(VLOOKUP(U21,'G-3 Multipliers'!$L$3:$N$6,2,FALSE)=0,"Spatial Data Missing ⚠",VLOOKUP(U21,'G-3 Multipliers'!$L$3:$N$6,2,FALSE)))</f>
        <v/>
      </c>
      <c r="W21" s="505" t="str">
        <f>IF(U21="","",IF(VLOOKUP(U21,'G-3 Multipliers'!$L$3:$N$6,3,FALSE)=0,"Spatial Data Missing ⚠",VLOOKUP(U21,'G-3 Multipliers'!$L$3:$N$6,3,FALSE)))</f>
        <v/>
      </c>
      <c r="X21" s="498" t="str">
        <f>IFERROR(IF(OR(LEFT(O21,5)="Error ▲",LEFT(N21,5)="Error ▲",T21="Error ▲"),"Check Data ⚠",IF(F21&lt;R21,INDEX('G-6 Hedgerow Data'!$S$3:$AE$14,MATCH(C21,'G-6 Hedgerow Data'!$B$3:$B$14,0),MATCH(M21,'G-6 Hedgerow Data'!$S$2:$AE$2,0)),INDEX('G-6 Hedgerow Data'!$K$3:$Q$14,MATCH(M21,'G-6 Hedgerow Data'!$B$3:$B$14,0),MATCH(O21,'G-6 Hedgerow Data'!$K$2:$Q$2,0)))),"")</f>
        <v/>
      </c>
      <c r="Y21" s="195"/>
      <c r="Z21" s="195"/>
      <c r="AA21" s="507" t="str">
        <f t="shared" si="3"/>
        <v/>
      </c>
      <c r="AB21" s="521" t="str">
        <f t="shared" si="4"/>
        <v/>
      </c>
      <c r="AC21" s="522" t="str">
        <f t="shared" si="1"/>
        <v/>
      </c>
      <c r="AD21" s="537" t="str">
        <f>IF(M21="","",VLOOKUP(M21,'G-6 Hedgerow Data'!$B$3:$AG$15,31,FALSE))</f>
        <v/>
      </c>
      <c r="AE21" s="520" t="str">
        <f t="shared" si="5"/>
        <v/>
      </c>
      <c r="AF21" s="520" t="str">
        <f t="shared" si="6"/>
        <v/>
      </c>
      <c r="AG21" s="524" t="str">
        <f>IFERROR(IF(O21="","",VLOOKUP(AD21,'G-3 Multipliers'!$P$3:$Q$6,2,FALSE)),"")</f>
        <v/>
      </c>
      <c r="AH21" s="197"/>
      <c r="AI21" s="499" t="str">
        <f>IF(AH21="","",IF(VLOOKUP(AH21,'G-3 Multipliers'!$S$3:$T$6,2,FALSE)=0,"Spatial Data Missing ⚠",VLOOKUP(AH21,'G-3 Multipliers'!$S$3:$T$6,2,FALSE)))</f>
        <v/>
      </c>
      <c r="AJ21" s="545" t="str">
        <f t="shared" si="7"/>
        <v/>
      </c>
      <c r="AK21" s="149"/>
      <c r="AL21" s="150"/>
      <c r="AP21" s="31" t="str">
        <f>IFERROR(INDEX('G-6 Hedgerow Data'!$BJ$3:$BJ$15,MATCH(M21,'G-6 Hedgerow Data'!$B$3:$B$15,0)),"")</f>
        <v/>
      </c>
    </row>
    <row r="22" spans="2:42" ht="14" x14ac:dyDescent="0.3">
      <c r="B22" s="531" t="str">
        <f>'E-1 Off Site Hedge Baseline'!AK20</f>
        <v/>
      </c>
      <c r="C22" s="520" t="str">
        <f>IF(B22="","",IF(ISNA(VLOOKUP($B22,'E-1 Off Site Hedge Baseline'!$B$1:$L$257,3,FALSE)),"",(VLOOKUP($B22,'E-1 Off Site Hedge Baseline'!$B$1:$L$257,3,FALSE))))</f>
        <v/>
      </c>
      <c r="D22" s="520" t="str">
        <f>IF(B22="","",IF(ISNA(VLOOKUP($B22,'E-1 Off Site Hedge Baseline'!$B$1:$L$258,4,FALSE)),"",(VLOOKUP($B22,'E-1 Off Site Hedge Baseline'!$B$1:$L$258,4,FALSE))))</f>
        <v/>
      </c>
      <c r="E22" s="520" t="str">
        <f>IF(B22="","",IF(ISNA(VLOOKUP($B22,'E-1 Off Site Hedge Baseline'!$B$1:$L$257,5,FALSE)),"",(VLOOKUP($B22,'E-1 Off Site Hedge Baseline'!$B$1:$L$257,5,FALSE))))</f>
        <v/>
      </c>
      <c r="F22" s="520" t="str">
        <f>IF(B22="","",IF(ISNA(VLOOKUP($B22,'E-1 Off Site Hedge Baseline'!$B$1:$L$257,6,FALSE)),"",(VLOOKUP($B22,'E-1 Off Site Hedge Baseline'!$B$1:$L$257,6,FALSE))))</f>
        <v/>
      </c>
      <c r="G22" s="520" t="str">
        <f>IF(B22="","",IF(ISNA(VLOOKUP($B22,'E-1 Off Site Hedge Baseline'!$B$1:$L$257,7,FALSE)),"",(VLOOKUP($B22,'E-1 Off Site Hedge Baseline'!$B$1:$L$257,7,FALSE))))</f>
        <v/>
      </c>
      <c r="H22" s="520" t="str">
        <f>IF(B22="","",IF(ISNA(VLOOKUP($B22,'E-1 Off Site Hedge Baseline'!$B$1:$L$257,8,FALSE)),"",(VLOOKUP($B22,'E-1 Off Site Hedge Baseline'!$B$1:$L$257,8,FALSE))))</f>
        <v/>
      </c>
      <c r="I22" s="520" t="str">
        <f>IF(B22="","",IF(ISNA(VLOOKUP($B22,'E-1 Off Site Hedge Baseline'!$B$1:$L$257,10,FALSE)),"",(VLOOKUP($B22,'E-1 Off Site Hedge Baseline'!$B$1:$L$257,10,FALSE))))</f>
        <v/>
      </c>
      <c r="J22" s="520" t="str">
        <f>IF(B22="","",IF(ISNA(VLOOKUP($B22,'E-1 Off Site Hedge Baseline'!$B$1:$L$257,11,FALSE)),"",(VLOOKUP($B22,'E-1 Off Site Hedge Baseline'!$B$1:$L$257,11,FALSE))))</f>
        <v/>
      </c>
      <c r="K22" s="520" t="str">
        <f>IF(B22="","",IF(ISNA(VLOOKUP($B22,'E-1 Off Site Hedge Baseline'!$B$1:$U$257,113,FALSE)),"",(VLOOKUP($B22,'E-1 Off Site Hedge Baseline'!$B$1:$U$257,13,FALSE))))</f>
        <v/>
      </c>
      <c r="L22" s="507" t="str">
        <f>IF(B22="","",IF(ISNA(VLOOKUP($B22,'E-1 Off Site Hedge Baseline'!$B$1:$U$257,12,FALSE)),"",(VLOOKUP($B22,'E-1 Off Site Hedge Baseline'!$B$1:$U$257,12,FALSE))))</f>
        <v/>
      </c>
      <c r="M22" s="418" t="str">
        <f t="shared" si="8"/>
        <v/>
      </c>
      <c r="N22" s="498" t="str">
        <f>IFERROR(IF(B22="","",INDEX('G-6 Hedgerow Data'!$AN$3:$AZ$15,MATCH(C22,'G-6 Hedgerow Data'!$AM$3:$AM$15,0),MATCH(M22,'G-6 Hedgerow Data'!$AN$2:$AZ$2,0))),"")</f>
        <v/>
      </c>
      <c r="O22" s="499" t="str">
        <f t="shared" si="2"/>
        <v/>
      </c>
      <c r="P22" s="505" t="str">
        <f>IF(B22="","",VLOOKUP(B22,'E-1 Off Site Hedge Baseline'!$B$10:T267,16,FALSE))</f>
        <v/>
      </c>
      <c r="Q22" s="498" t="str">
        <f>IF(M22="","",VLOOKUP(M22,'G-6 Hedgerow Data'!$B$2:$AG$15,2,FALSE))</f>
        <v/>
      </c>
      <c r="R22" s="499" t="str">
        <f>IF(M22="","",VLOOKUP(M22,'G-6 Hedgerow Data'!$B$2:$AG$15,3,FALSE))</f>
        <v/>
      </c>
      <c r="S22" s="145"/>
      <c r="T22" s="499" t="str">
        <f>IFERROR(IF(AND(Q22="V.Low",OR(S22="Good",S22="Moderate")),"Error ▲",VLOOKUP(S22,'G-1 All Habitats'!$Z$2:$AA$9,2,FALSE)),"")</f>
        <v/>
      </c>
      <c r="U22" s="145"/>
      <c r="V22" s="507" t="str">
        <f>IF(U22="","",IF(VLOOKUP(U22,'G-3 Multipliers'!$L$3:$N$6,2,FALSE)=0,"Spatial Data Missing ⚠",VLOOKUP(U22,'G-3 Multipliers'!$L$3:$N$6,2,FALSE)))</f>
        <v/>
      </c>
      <c r="W22" s="505" t="str">
        <f>IF(U22="","",IF(VLOOKUP(U22,'G-3 Multipliers'!$L$3:$N$6,3,FALSE)=0,"Spatial Data Missing ⚠",VLOOKUP(U22,'G-3 Multipliers'!$L$3:$N$6,3,FALSE)))</f>
        <v/>
      </c>
      <c r="X22" s="498" t="str">
        <f>IFERROR(IF(OR(LEFT(O22,5)="Error ▲",LEFT(N22,5)="Error ▲",T22="Error ▲"),"Check Data ⚠",IF(F22&lt;R22,INDEX('G-6 Hedgerow Data'!$S$3:$AE$14,MATCH(C22,'G-6 Hedgerow Data'!$B$3:$B$14,0),MATCH(M22,'G-6 Hedgerow Data'!$S$2:$AE$2,0)),INDEX('G-6 Hedgerow Data'!$K$3:$Q$14,MATCH(M22,'G-6 Hedgerow Data'!$B$3:$B$14,0),MATCH(O22,'G-6 Hedgerow Data'!$K$2:$Q$2,0)))),"")</f>
        <v/>
      </c>
      <c r="Y22" s="195"/>
      <c r="Z22" s="195"/>
      <c r="AA22" s="507" t="str">
        <f t="shared" si="3"/>
        <v/>
      </c>
      <c r="AB22" s="521" t="str">
        <f t="shared" si="4"/>
        <v/>
      </c>
      <c r="AC22" s="522" t="str">
        <f t="shared" si="1"/>
        <v/>
      </c>
      <c r="AD22" s="537" t="str">
        <f>IF(M22="","",VLOOKUP(M22,'G-6 Hedgerow Data'!$B$3:$AG$15,31,FALSE))</f>
        <v/>
      </c>
      <c r="AE22" s="520" t="str">
        <f t="shared" si="5"/>
        <v/>
      </c>
      <c r="AF22" s="520" t="str">
        <f t="shared" si="6"/>
        <v/>
      </c>
      <c r="AG22" s="524" t="str">
        <f>IFERROR(IF(O22="","",VLOOKUP(AD22,'G-3 Multipliers'!$P$3:$Q$6,2,FALSE)),"")</f>
        <v/>
      </c>
      <c r="AH22" s="197"/>
      <c r="AI22" s="499" t="str">
        <f>IF(AH22="","",IF(VLOOKUP(AH22,'G-3 Multipliers'!$S$3:$T$6,2,FALSE)=0,"Spatial Data Missing ⚠",VLOOKUP(AH22,'G-3 Multipliers'!$S$3:$T$6,2,FALSE)))</f>
        <v/>
      </c>
      <c r="AJ22" s="545" t="str">
        <f t="shared" si="7"/>
        <v/>
      </c>
      <c r="AK22" s="149"/>
      <c r="AL22" s="150"/>
      <c r="AP22" s="31" t="str">
        <f>IFERROR(INDEX('G-6 Hedgerow Data'!$BJ$3:$BJ$15,MATCH(M22,'G-6 Hedgerow Data'!$B$3:$B$15,0)),"")</f>
        <v/>
      </c>
    </row>
    <row r="23" spans="2:42" ht="14" x14ac:dyDescent="0.3">
      <c r="B23" s="531" t="str">
        <f>'E-1 Off Site Hedge Baseline'!AK21</f>
        <v/>
      </c>
      <c r="C23" s="520" t="str">
        <f>IF(B23="","",IF(ISNA(VLOOKUP($B23,'E-1 Off Site Hedge Baseline'!$B$1:$L$257,3,FALSE)),"",(VLOOKUP($B23,'E-1 Off Site Hedge Baseline'!$B$1:$L$257,3,FALSE))))</f>
        <v/>
      </c>
      <c r="D23" s="520" t="str">
        <f>IF(B23="","",IF(ISNA(VLOOKUP($B23,'E-1 Off Site Hedge Baseline'!$B$1:$L$258,4,FALSE)),"",(VLOOKUP($B23,'E-1 Off Site Hedge Baseline'!$B$1:$L$258,4,FALSE))))</f>
        <v/>
      </c>
      <c r="E23" s="520" t="str">
        <f>IF(B23="","",IF(ISNA(VLOOKUP($B23,'E-1 Off Site Hedge Baseline'!$B$1:$L$257,5,FALSE)),"",(VLOOKUP($B23,'E-1 Off Site Hedge Baseline'!$B$1:$L$257,5,FALSE))))</f>
        <v/>
      </c>
      <c r="F23" s="520" t="str">
        <f>IF(B23="","",IF(ISNA(VLOOKUP($B23,'E-1 Off Site Hedge Baseline'!$B$1:$L$257,6,FALSE)),"",(VLOOKUP($B23,'E-1 Off Site Hedge Baseline'!$B$1:$L$257,6,FALSE))))</f>
        <v/>
      </c>
      <c r="G23" s="520" t="str">
        <f>IF(B23="","",IF(ISNA(VLOOKUP($B23,'E-1 Off Site Hedge Baseline'!$B$1:$L$257,7,FALSE)),"",(VLOOKUP($B23,'E-1 Off Site Hedge Baseline'!$B$1:$L$257,7,FALSE))))</f>
        <v/>
      </c>
      <c r="H23" s="520" t="str">
        <f>IF(B23="","",IF(ISNA(VLOOKUP($B23,'E-1 Off Site Hedge Baseline'!$B$1:$L$257,8,FALSE)),"",(VLOOKUP($B23,'E-1 Off Site Hedge Baseline'!$B$1:$L$257,8,FALSE))))</f>
        <v/>
      </c>
      <c r="I23" s="520" t="str">
        <f>IF(B23="","",IF(ISNA(VLOOKUP($B23,'E-1 Off Site Hedge Baseline'!$B$1:$L$257,10,FALSE)),"",(VLOOKUP($B23,'E-1 Off Site Hedge Baseline'!$B$1:$L$257,10,FALSE))))</f>
        <v/>
      </c>
      <c r="J23" s="520" t="str">
        <f>IF(B23="","",IF(ISNA(VLOOKUP($B23,'E-1 Off Site Hedge Baseline'!$B$1:$L$257,11,FALSE)),"",(VLOOKUP($B23,'E-1 Off Site Hedge Baseline'!$B$1:$L$257,11,FALSE))))</f>
        <v/>
      </c>
      <c r="K23" s="520" t="str">
        <f>IF(B23="","",IF(ISNA(VLOOKUP($B23,'E-1 Off Site Hedge Baseline'!$B$1:$U$257,113,FALSE)),"",(VLOOKUP($B23,'E-1 Off Site Hedge Baseline'!$B$1:$U$257,13,FALSE))))</f>
        <v/>
      </c>
      <c r="L23" s="507" t="str">
        <f>IF(B23="","",IF(ISNA(VLOOKUP($B23,'E-1 Off Site Hedge Baseline'!$B$1:$U$257,12,FALSE)),"",(VLOOKUP($B23,'E-1 Off Site Hedge Baseline'!$B$1:$U$257,12,FALSE))))</f>
        <v/>
      </c>
      <c r="M23" s="418" t="str">
        <f t="shared" si="8"/>
        <v/>
      </c>
      <c r="N23" s="498" t="str">
        <f>IFERROR(IF(B23="","",INDEX('G-6 Hedgerow Data'!$AN$3:$AZ$15,MATCH(C23,'G-6 Hedgerow Data'!$AM$3:$AM$15,0),MATCH(M23,'G-6 Hedgerow Data'!$AN$2:$AZ$2,0))),"")</f>
        <v/>
      </c>
      <c r="O23" s="499" t="str">
        <f t="shared" si="2"/>
        <v/>
      </c>
      <c r="P23" s="505" t="str">
        <f>IF(B23="","",VLOOKUP(B23,'E-1 Off Site Hedge Baseline'!$B$10:T268,16,FALSE))</f>
        <v/>
      </c>
      <c r="Q23" s="498" t="str">
        <f>IF(M23="","",VLOOKUP(M23,'G-6 Hedgerow Data'!$B$2:$AG$15,2,FALSE))</f>
        <v/>
      </c>
      <c r="R23" s="499" t="str">
        <f>IF(M23="","",VLOOKUP(M23,'G-6 Hedgerow Data'!$B$2:$AG$15,3,FALSE))</f>
        <v/>
      </c>
      <c r="S23" s="145"/>
      <c r="T23" s="499" t="str">
        <f>IFERROR(IF(AND(Q23="V.Low",OR(S23="Good",S23="Moderate")),"Error ▲",VLOOKUP(S23,'G-1 All Habitats'!$Z$2:$AA$9,2,FALSE)),"")</f>
        <v/>
      </c>
      <c r="U23" s="145"/>
      <c r="V23" s="507" t="str">
        <f>IF(U23="","",IF(VLOOKUP(U23,'G-3 Multipliers'!$L$3:$N$6,2,FALSE)=0,"Spatial Data Missing ⚠",VLOOKUP(U23,'G-3 Multipliers'!$L$3:$N$6,2,FALSE)))</f>
        <v/>
      </c>
      <c r="W23" s="505" t="str">
        <f>IF(U23="","",IF(VLOOKUP(U23,'G-3 Multipliers'!$L$3:$N$6,3,FALSE)=0,"Spatial Data Missing ⚠",VLOOKUP(U23,'G-3 Multipliers'!$L$3:$N$6,3,FALSE)))</f>
        <v/>
      </c>
      <c r="X23" s="498" t="str">
        <f>IFERROR(IF(OR(LEFT(O23,5)="Error ▲",LEFT(N23,5)="Error ▲",T23="Error ▲"),"Check Data ⚠",IF(F23&lt;R23,INDEX('G-6 Hedgerow Data'!$S$3:$AE$14,MATCH(C23,'G-6 Hedgerow Data'!$B$3:$B$14,0),MATCH(M23,'G-6 Hedgerow Data'!$S$2:$AE$2,0)),INDEX('G-6 Hedgerow Data'!$K$3:$Q$14,MATCH(M23,'G-6 Hedgerow Data'!$B$3:$B$14,0),MATCH(O23,'G-6 Hedgerow Data'!$K$2:$Q$2,0)))),"")</f>
        <v/>
      </c>
      <c r="Y23" s="195"/>
      <c r="Z23" s="195"/>
      <c r="AA23" s="507" t="str">
        <f t="shared" si="3"/>
        <v/>
      </c>
      <c r="AB23" s="521" t="str">
        <f t="shared" si="4"/>
        <v/>
      </c>
      <c r="AC23" s="522" t="str">
        <f t="shared" si="1"/>
        <v/>
      </c>
      <c r="AD23" s="537" t="str">
        <f>IF(M23="","",VLOOKUP(M23,'G-6 Hedgerow Data'!$B$3:$AG$15,31,FALSE))</f>
        <v/>
      </c>
      <c r="AE23" s="520" t="str">
        <f t="shared" si="5"/>
        <v/>
      </c>
      <c r="AF23" s="520" t="str">
        <f t="shared" si="6"/>
        <v/>
      </c>
      <c r="AG23" s="524" t="str">
        <f>IFERROR(IF(O23="","",VLOOKUP(AD23,'G-3 Multipliers'!$P$3:$Q$6,2,FALSE)),"")</f>
        <v/>
      </c>
      <c r="AH23" s="197"/>
      <c r="AI23" s="499" t="str">
        <f>IF(AH23="","",IF(VLOOKUP(AH23,'G-3 Multipliers'!$S$3:$T$6,2,FALSE)=0,"Spatial Data Missing ⚠",VLOOKUP(AH23,'G-3 Multipliers'!$S$3:$T$6,2,FALSE)))</f>
        <v/>
      </c>
      <c r="AJ23" s="545" t="str">
        <f t="shared" si="7"/>
        <v/>
      </c>
      <c r="AK23" s="149"/>
      <c r="AL23" s="150"/>
      <c r="AP23" s="31" t="str">
        <f>IFERROR(INDEX('G-6 Hedgerow Data'!$BJ$3:$BJ$15,MATCH(M23,'G-6 Hedgerow Data'!$B$3:$B$15,0)),"")</f>
        <v/>
      </c>
    </row>
    <row r="24" spans="2:42" ht="14" x14ac:dyDescent="0.3">
      <c r="B24" s="531" t="str">
        <f>'E-1 Off Site Hedge Baseline'!AK22</f>
        <v/>
      </c>
      <c r="C24" s="520" t="str">
        <f>IF(B24="","",IF(ISNA(VLOOKUP($B24,'E-1 Off Site Hedge Baseline'!$B$1:$L$257,3,FALSE)),"",(VLOOKUP($B24,'E-1 Off Site Hedge Baseline'!$B$1:$L$257,3,FALSE))))</f>
        <v/>
      </c>
      <c r="D24" s="520" t="str">
        <f>IF(B24="","",IF(ISNA(VLOOKUP($B24,'E-1 Off Site Hedge Baseline'!$B$1:$L$258,4,FALSE)),"",(VLOOKUP($B24,'E-1 Off Site Hedge Baseline'!$B$1:$L$258,4,FALSE))))</f>
        <v/>
      </c>
      <c r="E24" s="520" t="str">
        <f>IF(B24="","",IF(ISNA(VLOOKUP($B24,'E-1 Off Site Hedge Baseline'!$B$1:$L$257,5,FALSE)),"",(VLOOKUP($B24,'E-1 Off Site Hedge Baseline'!$B$1:$L$257,5,FALSE))))</f>
        <v/>
      </c>
      <c r="F24" s="520" t="str">
        <f>IF(B24="","",IF(ISNA(VLOOKUP($B24,'E-1 Off Site Hedge Baseline'!$B$1:$L$257,6,FALSE)),"",(VLOOKUP($B24,'E-1 Off Site Hedge Baseline'!$B$1:$L$257,6,FALSE))))</f>
        <v/>
      </c>
      <c r="G24" s="520" t="str">
        <f>IF(B24="","",IF(ISNA(VLOOKUP($B24,'E-1 Off Site Hedge Baseline'!$B$1:$L$257,7,FALSE)),"",(VLOOKUP($B24,'E-1 Off Site Hedge Baseline'!$B$1:$L$257,7,FALSE))))</f>
        <v/>
      </c>
      <c r="H24" s="520" t="str">
        <f>IF(B24="","",IF(ISNA(VLOOKUP($B24,'E-1 Off Site Hedge Baseline'!$B$1:$L$257,8,FALSE)),"",(VLOOKUP($B24,'E-1 Off Site Hedge Baseline'!$B$1:$L$257,8,FALSE))))</f>
        <v/>
      </c>
      <c r="I24" s="520" t="str">
        <f>IF(B24="","",IF(ISNA(VLOOKUP($B24,'E-1 Off Site Hedge Baseline'!$B$1:$L$257,10,FALSE)),"",(VLOOKUP($B24,'E-1 Off Site Hedge Baseline'!$B$1:$L$257,10,FALSE))))</f>
        <v/>
      </c>
      <c r="J24" s="520" t="str">
        <f>IF(B24="","",IF(ISNA(VLOOKUP($B24,'E-1 Off Site Hedge Baseline'!$B$1:$L$257,11,FALSE)),"",(VLOOKUP($B24,'E-1 Off Site Hedge Baseline'!$B$1:$L$257,11,FALSE))))</f>
        <v/>
      </c>
      <c r="K24" s="520" t="str">
        <f>IF(B24="","",IF(ISNA(VLOOKUP($B24,'E-1 Off Site Hedge Baseline'!$B$1:$U$257,113,FALSE)),"",(VLOOKUP($B24,'E-1 Off Site Hedge Baseline'!$B$1:$U$257,13,FALSE))))</f>
        <v/>
      </c>
      <c r="L24" s="507" t="str">
        <f>IF(B24="","",IF(ISNA(VLOOKUP($B24,'E-1 Off Site Hedge Baseline'!$B$1:$U$257,12,FALSE)),"",(VLOOKUP($B24,'E-1 Off Site Hedge Baseline'!$B$1:$U$257,12,FALSE))))</f>
        <v/>
      </c>
      <c r="M24" s="418" t="str">
        <f t="shared" si="8"/>
        <v/>
      </c>
      <c r="N24" s="498" t="str">
        <f>IFERROR(IF(B24="","",INDEX('G-6 Hedgerow Data'!$AN$3:$AZ$15,MATCH(C24,'G-6 Hedgerow Data'!$AM$3:$AM$15,0),MATCH(M24,'G-6 Hedgerow Data'!$AN$2:$AZ$2,0))),"")</f>
        <v/>
      </c>
      <c r="O24" s="499" t="str">
        <f t="shared" si="2"/>
        <v/>
      </c>
      <c r="P24" s="505" t="str">
        <f>IF(B24="","",VLOOKUP(B24,'E-1 Off Site Hedge Baseline'!$B$10:T269,16,FALSE))</f>
        <v/>
      </c>
      <c r="Q24" s="498" t="str">
        <f>IF(M24="","",VLOOKUP(M24,'G-6 Hedgerow Data'!$B$2:$AG$15,2,FALSE))</f>
        <v/>
      </c>
      <c r="R24" s="499" t="str">
        <f>IF(M24="","",VLOOKUP(M24,'G-6 Hedgerow Data'!$B$2:$AG$15,3,FALSE))</f>
        <v/>
      </c>
      <c r="S24" s="145"/>
      <c r="T24" s="499" t="str">
        <f>IFERROR(IF(AND(Q24="V.Low",OR(S24="Good",S24="Moderate")),"Error ▲",VLOOKUP(S24,'G-1 All Habitats'!$Z$2:$AA$9,2,FALSE)),"")</f>
        <v/>
      </c>
      <c r="U24" s="145"/>
      <c r="V24" s="507" t="str">
        <f>IF(U24="","",IF(VLOOKUP(U24,'G-3 Multipliers'!$L$3:$N$6,2,FALSE)=0,"Spatial Data Missing ⚠",VLOOKUP(U24,'G-3 Multipliers'!$L$3:$N$6,2,FALSE)))</f>
        <v/>
      </c>
      <c r="W24" s="505" t="str">
        <f>IF(U24="","",IF(VLOOKUP(U24,'G-3 Multipliers'!$L$3:$N$6,3,FALSE)=0,"Spatial Data Missing ⚠",VLOOKUP(U24,'G-3 Multipliers'!$L$3:$N$6,3,FALSE)))</f>
        <v/>
      </c>
      <c r="X24" s="498" t="str">
        <f>IFERROR(IF(OR(LEFT(O24,5)="Error ▲",LEFT(N24,5)="Error ▲",T24="Error ▲"),"Check Data ⚠",IF(F24&lt;R24,INDEX('G-6 Hedgerow Data'!$S$3:$AE$14,MATCH(C24,'G-6 Hedgerow Data'!$B$3:$B$14,0),MATCH(M24,'G-6 Hedgerow Data'!$S$2:$AE$2,0)),INDEX('G-6 Hedgerow Data'!$K$3:$Q$14,MATCH(M24,'G-6 Hedgerow Data'!$B$3:$B$14,0),MATCH(O24,'G-6 Hedgerow Data'!$K$2:$Q$2,0)))),"")</f>
        <v/>
      </c>
      <c r="Y24" s="195"/>
      <c r="Z24" s="195"/>
      <c r="AA24" s="507" t="str">
        <f t="shared" si="3"/>
        <v/>
      </c>
      <c r="AB24" s="521" t="str">
        <f t="shared" si="4"/>
        <v/>
      </c>
      <c r="AC24" s="522" t="str">
        <f t="shared" si="1"/>
        <v/>
      </c>
      <c r="AD24" s="537" t="str">
        <f>IF(M24="","",VLOOKUP(M24,'G-6 Hedgerow Data'!$B$3:$AG$15,31,FALSE))</f>
        <v/>
      </c>
      <c r="AE24" s="520" t="str">
        <f t="shared" si="5"/>
        <v/>
      </c>
      <c r="AF24" s="520" t="str">
        <f t="shared" si="6"/>
        <v/>
      </c>
      <c r="AG24" s="524" t="str">
        <f>IFERROR(IF(O24="","",VLOOKUP(AD24,'G-3 Multipliers'!$P$3:$Q$6,2,FALSE)),"")</f>
        <v/>
      </c>
      <c r="AH24" s="197"/>
      <c r="AI24" s="499" t="str">
        <f>IF(AH24="","",IF(VLOOKUP(AH24,'G-3 Multipliers'!$S$3:$T$6,2,FALSE)=0,"Spatial Data Missing ⚠",VLOOKUP(AH24,'G-3 Multipliers'!$S$3:$T$6,2,FALSE)))</f>
        <v/>
      </c>
      <c r="AJ24" s="545" t="str">
        <f t="shared" si="7"/>
        <v/>
      </c>
      <c r="AK24" s="149"/>
      <c r="AL24" s="150"/>
      <c r="AP24" s="31" t="str">
        <f>IFERROR(INDEX('G-6 Hedgerow Data'!$BJ$3:$BJ$15,MATCH(M24,'G-6 Hedgerow Data'!$B$3:$B$15,0)),"")</f>
        <v/>
      </c>
    </row>
    <row r="25" spans="2:42" ht="14" x14ac:dyDescent="0.3">
      <c r="B25" s="531" t="str">
        <f>'E-1 Off Site Hedge Baseline'!AK23</f>
        <v/>
      </c>
      <c r="C25" s="520" t="str">
        <f>IF(B25="","",IF(ISNA(VLOOKUP($B25,'E-1 Off Site Hedge Baseline'!$B$1:$L$257,3,FALSE)),"",(VLOOKUP($B25,'E-1 Off Site Hedge Baseline'!$B$1:$L$257,3,FALSE))))</f>
        <v/>
      </c>
      <c r="D25" s="520" t="str">
        <f>IF(B25="","",IF(ISNA(VLOOKUP($B25,'E-1 Off Site Hedge Baseline'!$B$1:$L$258,4,FALSE)),"",(VLOOKUP($B25,'E-1 Off Site Hedge Baseline'!$B$1:$L$258,4,FALSE))))</f>
        <v/>
      </c>
      <c r="E25" s="520" t="str">
        <f>IF(B25="","",IF(ISNA(VLOOKUP($B25,'E-1 Off Site Hedge Baseline'!$B$1:$L$257,5,FALSE)),"",(VLOOKUP($B25,'E-1 Off Site Hedge Baseline'!$B$1:$L$257,5,FALSE))))</f>
        <v/>
      </c>
      <c r="F25" s="520" t="str">
        <f>IF(B25="","",IF(ISNA(VLOOKUP($B25,'E-1 Off Site Hedge Baseline'!$B$1:$L$257,6,FALSE)),"",(VLOOKUP($B25,'E-1 Off Site Hedge Baseline'!$B$1:$L$257,6,FALSE))))</f>
        <v/>
      </c>
      <c r="G25" s="520" t="str">
        <f>IF(B25="","",IF(ISNA(VLOOKUP($B25,'E-1 Off Site Hedge Baseline'!$B$1:$L$257,7,FALSE)),"",(VLOOKUP($B25,'E-1 Off Site Hedge Baseline'!$B$1:$L$257,7,FALSE))))</f>
        <v/>
      </c>
      <c r="H25" s="520" t="str">
        <f>IF(B25="","",IF(ISNA(VLOOKUP($B25,'E-1 Off Site Hedge Baseline'!$B$1:$L$257,8,FALSE)),"",(VLOOKUP($B25,'E-1 Off Site Hedge Baseline'!$B$1:$L$257,8,FALSE))))</f>
        <v/>
      </c>
      <c r="I25" s="520" t="str">
        <f>IF(B25="","",IF(ISNA(VLOOKUP($B25,'E-1 Off Site Hedge Baseline'!$B$1:$L$257,10,FALSE)),"",(VLOOKUP($B25,'E-1 Off Site Hedge Baseline'!$B$1:$L$257,10,FALSE))))</f>
        <v/>
      </c>
      <c r="J25" s="520" t="str">
        <f>IF(B25="","",IF(ISNA(VLOOKUP($B25,'E-1 Off Site Hedge Baseline'!$B$1:$L$257,11,FALSE)),"",(VLOOKUP($B25,'E-1 Off Site Hedge Baseline'!$B$1:$L$257,11,FALSE))))</f>
        <v/>
      </c>
      <c r="K25" s="520" t="str">
        <f>IF(B25="","",IF(ISNA(VLOOKUP($B25,'E-1 Off Site Hedge Baseline'!$B$1:$U$257,113,FALSE)),"",(VLOOKUP($B25,'E-1 Off Site Hedge Baseline'!$B$1:$U$257,13,FALSE))))</f>
        <v/>
      </c>
      <c r="L25" s="507" t="str">
        <f>IF(B25="","",IF(ISNA(VLOOKUP($B25,'E-1 Off Site Hedge Baseline'!$B$1:$U$257,12,FALSE)),"",(VLOOKUP($B25,'E-1 Off Site Hedge Baseline'!$B$1:$U$257,12,FALSE))))</f>
        <v/>
      </c>
      <c r="M25" s="418" t="str">
        <f t="shared" si="8"/>
        <v/>
      </c>
      <c r="N25" s="498" t="str">
        <f>IFERROR(IF(B25="","",INDEX('G-6 Hedgerow Data'!$AN$3:$AZ$15,MATCH(C25,'G-6 Hedgerow Data'!$AM$3:$AM$15,0),MATCH(M25,'G-6 Hedgerow Data'!$AN$2:$AZ$2,0))),"")</f>
        <v/>
      </c>
      <c r="O25" s="499" t="str">
        <f t="shared" si="2"/>
        <v/>
      </c>
      <c r="P25" s="505" t="str">
        <f>IF(B25="","",VLOOKUP(B25,'E-1 Off Site Hedge Baseline'!$B$10:T270,16,FALSE))</f>
        <v/>
      </c>
      <c r="Q25" s="498" t="str">
        <f>IF(M25="","",VLOOKUP(M25,'G-6 Hedgerow Data'!$B$2:$AG$15,2,FALSE))</f>
        <v/>
      </c>
      <c r="R25" s="499" t="str">
        <f>IF(M25="","",VLOOKUP(M25,'G-6 Hedgerow Data'!$B$2:$AG$15,3,FALSE))</f>
        <v/>
      </c>
      <c r="S25" s="145"/>
      <c r="T25" s="499" t="str">
        <f>IFERROR(IF(AND(Q25="V.Low",OR(S25="Good",S25="Moderate")),"Error ▲",VLOOKUP(S25,'G-1 All Habitats'!$Z$2:$AA$9,2,FALSE)),"")</f>
        <v/>
      </c>
      <c r="U25" s="145"/>
      <c r="V25" s="507" t="str">
        <f>IF(U25="","",IF(VLOOKUP(U25,'G-3 Multipliers'!$L$3:$N$6,2,FALSE)=0,"Spatial Data Missing ⚠",VLOOKUP(U25,'G-3 Multipliers'!$L$3:$N$6,2,FALSE)))</f>
        <v/>
      </c>
      <c r="W25" s="505" t="str">
        <f>IF(U25="","",IF(VLOOKUP(U25,'G-3 Multipliers'!$L$3:$N$6,3,FALSE)=0,"Spatial Data Missing ⚠",VLOOKUP(U25,'G-3 Multipliers'!$L$3:$N$6,3,FALSE)))</f>
        <v/>
      </c>
      <c r="X25" s="498" t="str">
        <f>IFERROR(IF(OR(LEFT(O25,5)="Error ▲",LEFT(N25,5)="Error ▲",T25="Error ▲"),"Check Data ⚠",IF(F25&lt;R25,INDEX('G-6 Hedgerow Data'!$S$3:$AE$14,MATCH(C25,'G-6 Hedgerow Data'!$B$3:$B$14,0),MATCH(M25,'G-6 Hedgerow Data'!$S$2:$AE$2,0)),INDEX('G-6 Hedgerow Data'!$K$3:$Q$14,MATCH(M25,'G-6 Hedgerow Data'!$B$3:$B$14,0),MATCH(O25,'G-6 Hedgerow Data'!$K$2:$Q$2,0)))),"")</f>
        <v/>
      </c>
      <c r="Y25" s="195"/>
      <c r="Z25" s="195"/>
      <c r="AA25" s="507" t="str">
        <f t="shared" si="3"/>
        <v/>
      </c>
      <c r="AB25" s="521" t="str">
        <f t="shared" si="4"/>
        <v/>
      </c>
      <c r="AC25" s="522" t="str">
        <f t="shared" si="1"/>
        <v/>
      </c>
      <c r="AD25" s="537" t="str">
        <f>IF(M25="","",VLOOKUP(M25,'G-6 Hedgerow Data'!$B$3:$AG$15,31,FALSE))</f>
        <v/>
      </c>
      <c r="AE25" s="520" t="str">
        <f t="shared" si="5"/>
        <v/>
      </c>
      <c r="AF25" s="520" t="str">
        <f t="shared" si="6"/>
        <v/>
      </c>
      <c r="AG25" s="524" t="str">
        <f>IFERROR(IF(O25="","",VLOOKUP(AD25,'G-3 Multipliers'!$P$3:$Q$6,2,FALSE)),"")</f>
        <v/>
      </c>
      <c r="AH25" s="197"/>
      <c r="AI25" s="499" t="str">
        <f>IF(AH25="","",IF(VLOOKUP(AH25,'G-3 Multipliers'!$S$3:$T$6,2,FALSE)=0,"Spatial Data Missing ⚠",VLOOKUP(AH25,'G-3 Multipliers'!$S$3:$T$6,2,FALSE)))</f>
        <v/>
      </c>
      <c r="AJ25" s="545" t="str">
        <f t="shared" si="7"/>
        <v/>
      </c>
      <c r="AK25" s="149"/>
      <c r="AL25" s="150"/>
      <c r="AP25" s="31" t="str">
        <f>IFERROR(INDEX('G-6 Hedgerow Data'!$BJ$3:$BJ$15,MATCH(M25,'G-6 Hedgerow Data'!$B$3:$B$15,0)),"")</f>
        <v/>
      </c>
    </row>
    <row r="26" spans="2:42" ht="14" x14ac:dyDescent="0.3">
      <c r="B26" s="531" t="str">
        <f>'E-1 Off Site Hedge Baseline'!AK24</f>
        <v/>
      </c>
      <c r="C26" s="520" t="str">
        <f>IF(B26="","",IF(ISNA(VLOOKUP($B26,'E-1 Off Site Hedge Baseline'!$B$1:$L$257,3,FALSE)),"",(VLOOKUP($B26,'E-1 Off Site Hedge Baseline'!$B$1:$L$257,3,FALSE))))</f>
        <v/>
      </c>
      <c r="D26" s="520" t="str">
        <f>IF(B26="","",IF(ISNA(VLOOKUP($B26,'E-1 Off Site Hedge Baseline'!$B$1:$L$258,4,FALSE)),"",(VLOOKUP($B26,'E-1 Off Site Hedge Baseline'!$B$1:$L$258,4,FALSE))))</f>
        <v/>
      </c>
      <c r="E26" s="520" t="str">
        <f>IF(B26="","",IF(ISNA(VLOOKUP($B26,'E-1 Off Site Hedge Baseline'!$B$1:$L$257,5,FALSE)),"",(VLOOKUP($B26,'E-1 Off Site Hedge Baseline'!$B$1:$L$257,5,FALSE))))</f>
        <v/>
      </c>
      <c r="F26" s="520" t="str">
        <f>IF(B26="","",IF(ISNA(VLOOKUP($B26,'E-1 Off Site Hedge Baseline'!$B$1:$L$257,6,FALSE)),"",(VLOOKUP($B26,'E-1 Off Site Hedge Baseline'!$B$1:$L$257,6,FALSE))))</f>
        <v/>
      </c>
      <c r="G26" s="520" t="str">
        <f>IF(B26="","",IF(ISNA(VLOOKUP($B26,'E-1 Off Site Hedge Baseline'!$B$1:$L$257,7,FALSE)),"",(VLOOKUP($B26,'E-1 Off Site Hedge Baseline'!$B$1:$L$257,7,FALSE))))</f>
        <v/>
      </c>
      <c r="H26" s="520" t="str">
        <f>IF(B26="","",IF(ISNA(VLOOKUP($B26,'E-1 Off Site Hedge Baseline'!$B$1:$L$257,8,FALSE)),"",(VLOOKUP($B26,'E-1 Off Site Hedge Baseline'!$B$1:$L$257,8,FALSE))))</f>
        <v/>
      </c>
      <c r="I26" s="520" t="str">
        <f>IF(B26="","",IF(ISNA(VLOOKUP($B26,'E-1 Off Site Hedge Baseline'!$B$1:$L$257,10,FALSE)),"",(VLOOKUP($B26,'E-1 Off Site Hedge Baseline'!$B$1:$L$257,10,FALSE))))</f>
        <v/>
      </c>
      <c r="J26" s="520" t="str">
        <f>IF(B26="","",IF(ISNA(VLOOKUP($B26,'E-1 Off Site Hedge Baseline'!$B$1:$L$257,11,FALSE)),"",(VLOOKUP($B26,'E-1 Off Site Hedge Baseline'!$B$1:$L$257,11,FALSE))))</f>
        <v/>
      </c>
      <c r="K26" s="520" t="str">
        <f>IF(B26="","",IF(ISNA(VLOOKUP($B26,'E-1 Off Site Hedge Baseline'!$B$1:$U$257,113,FALSE)),"",(VLOOKUP($B26,'E-1 Off Site Hedge Baseline'!$B$1:$U$257,13,FALSE))))</f>
        <v/>
      </c>
      <c r="L26" s="507" t="str">
        <f>IF(B26="","",IF(ISNA(VLOOKUP($B26,'E-1 Off Site Hedge Baseline'!$B$1:$U$257,12,FALSE)),"",(VLOOKUP($B26,'E-1 Off Site Hedge Baseline'!$B$1:$U$257,12,FALSE))))</f>
        <v/>
      </c>
      <c r="M26" s="418" t="str">
        <f t="shared" si="8"/>
        <v/>
      </c>
      <c r="N26" s="498" t="str">
        <f>IFERROR(IF(B26="","",INDEX('G-6 Hedgerow Data'!$AN$3:$AZ$15,MATCH(C26,'G-6 Hedgerow Data'!$AM$3:$AM$15,0),MATCH(M26,'G-6 Hedgerow Data'!$AN$2:$AZ$2,0))),"")</f>
        <v/>
      </c>
      <c r="O26" s="499" t="str">
        <f t="shared" si="2"/>
        <v/>
      </c>
      <c r="P26" s="505" t="str">
        <f>IF(B26="","",VLOOKUP(B26,'E-1 Off Site Hedge Baseline'!$B$10:T271,16,FALSE))</f>
        <v/>
      </c>
      <c r="Q26" s="498" t="str">
        <f>IF(M26="","",VLOOKUP(M26,'G-6 Hedgerow Data'!$B$2:$AG$15,2,FALSE))</f>
        <v/>
      </c>
      <c r="R26" s="499" t="str">
        <f>IF(M26="","",VLOOKUP(M26,'G-6 Hedgerow Data'!$B$2:$AG$15,3,FALSE))</f>
        <v/>
      </c>
      <c r="S26" s="145"/>
      <c r="T26" s="499" t="str">
        <f>IFERROR(IF(AND(Q26="V.Low",OR(S26="Good",S26="Moderate")),"Error ▲",VLOOKUP(S26,'G-1 All Habitats'!$Z$2:$AA$9,2,FALSE)),"")</f>
        <v/>
      </c>
      <c r="U26" s="145"/>
      <c r="V26" s="507" t="str">
        <f>IF(U26="","",IF(VLOOKUP(U26,'G-3 Multipliers'!$L$3:$N$6,2,FALSE)=0,"Spatial Data Missing ⚠",VLOOKUP(U26,'G-3 Multipliers'!$L$3:$N$6,2,FALSE)))</f>
        <v/>
      </c>
      <c r="W26" s="505" t="str">
        <f>IF(U26="","",IF(VLOOKUP(U26,'G-3 Multipliers'!$L$3:$N$6,3,FALSE)=0,"Spatial Data Missing ⚠",VLOOKUP(U26,'G-3 Multipliers'!$L$3:$N$6,3,FALSE)))</f>
        <v/>
      </c>
      <c r="X26" s="498" t="str">
        <f>IFERROR(IF(OR(LEFT(O26,5)="Error ▲",LEFT(N26,5)="Error ▲",T26="Error ▲"),"Check Data ⚠",IF(F26&lt;R26,INDEX('G-6 Hedgerow Data'!$S$3:$AE$14,MATCH(C26,'G-6 Hedgerow Data'!$B$3:$B$14,0),MATCH(M26,'G-6 Hedgerow Data'!$S$2:$AE$2,0)),INDEX('G-6 Hedgerow Data'!$K$3:$Q$14,MATCH(M26,'G-6 Hedgerow Data'!$B$3:$B$14,0),MATCH(O26,'G-6 Hedgerow Data'!$K$2:$Q$2,0)))),"")</f>
        <v/>
      </c>
      <c r="Y26" s="195"/>
      <c r="Z26" s="195"/>
      <c r="AA26" s="507" t="str">
        <f t="shared" si="3"/>
        <v/>
      </c>
      <c r="AB26" s="521" t="str">
        <f t="shared" si="4"/>
        <v/>
      </c>
      <c r="AC26" s="522" t="str">
        <f t="shared" si="1"/>
        <v/>
      </c>
      <c r="AD26" s="537" t="str">
        <f>IF(M26="","",VLOOKUP(M26,'G-6 Hedgerow Data'!$B$3:$AG$15,31,FALSE))</f>
        <v/>
      </c>
      <c r="AE26" s="520" t="str">
        <f t="shared" si="5"/>
        <v/>
      </c>
      <c r="AF26" s="520" t="str">
        <f t="shared" si="6"/>
        <v/>
      </c>
      <c r="AG26" s="524" t="str">
        <f>IFERROR(IF(O26="","",VLOOKUP(AD26,'G-3 Multipliers'!$P$3:$Q$6,2,FALSE)),"")</f>
        <v/>
      </c>
      <c r="AH26" s="197"/>
      <c r="AI26" s="499" t="str">
        <f>IF(AH26="","",IF(VLOOKUP(AH26,'G-3 Multipliers'!$S$3:$T$6,2,FALSE)=0,"Spatial Data Missing ⚠",VLOOKUP(AH26,'G-3 Multipliers'!$S$3:$T$6,2,FALSE)))</f>
        <v/>
      </c>
      <c r="AJ26" s="545" t="str">
        <f t="shared" si="7"/>
        <v/>
      </c>
      <c r="AK26" s="149"/>
      <c r="AL26" s="150"/>
      <c r="AP26" s="31" t="str">
        <f>IFERROR(INDEX('G-6 Hedgerow Data'!$BJ$3:$BJ$15,MATCH(M26,'G-6 Hedgerow Data'!$B$3:$B$15,0)),"")</f>
        <v/>
      </c>
    </row>
    <row r="27" spans="2:42" ht="14" x14ac:dyDescent="0.3">
      <c r="B27" s="531" t="str">
        <f>'E-1 Off Site Hedge Baseline'!AK25</f>
        <v/>
      </c>
      <c r="C27" s="520" t="str">
        <f>IF(B27="","",IF(ISNA(VLOOKUP($B27,'E-1 Off Site Hedge Baseline'!$B$1:$L$257,3,FALSE)),"",(VLOOKUP($B27,'E-1 Off Site Hedge Baseline'!$B$1:$L$257,3,FALSE))))</f>
        <v/>
      </c>
      <c r="D27" s="520" t="str">
        <f>IF(B27="","",IF(ISNA(VLOOKUP($B27,'E-1 Off Site Hedge Baseline'!$B$1:$L$258,4,FALSE)),"",(VLOOKUP($B27,'E-1 Off Site Hedge Baseline'!$B$1:$L$258,4,FALSE))))</f>
        <v/>
      </c>
      <c r="E27" s="520" t="str">
        <f>IF(B27="","",IF(ISNA(VLOOKUP($B27,'E-1 Off Site Hedge Baseline'!$B$1:$L$257,5,FALSE)),"",(VLOOKUP($B27,'E-1 Off Site Hedge Baseline'!$B$1:$L$257,5,FALSE))))</f>
        <v/>
      </c>
      <c r="F27" s="520" t="str">
        <f>IF(B27="","",IF(ISNA(VLOOKUP($B27,'E-1 Off Site Hedge Baseline'!$B$1:$L$257,6,FALSE)),"",(VLOOKUP($B27,'E-1 Off Site Hedge Baseline'!$B$1:$L$257,6,FALSE))))</f>
        <v/>
      </c>
      <c r="G27" s="520" t="str">
        <f>IF(B27="","",IF(ISNA(VLOOKUP($B27,'E-1 Off Site Hedge Baseline'!$B$1:$L$257,7,FALSE)),"",(VLOOKUP($B27,'E-1 Off Site Hedge Baseline'!$B$1:$L$257,7,FALSE))))</f>
        <v/>
      </c>
      <c r="H27" s="520" t="str">
        <f>IF(B27="","",IF(ISNA(VLOOKUP($B27,'E-1 Off Site Hedge Baseline'!$B$1:$L$257,8,FALSE)),"",(VLOOKUP($B27,'E-1 Off Site Hedge Baseline'!$B$1:$L$257,8,FALSE))))</f>
        <v/>
      </c>
      <c r="I27" s="520" t="str">
        <f>IF(B27="","",IF(ISNA(VLOOKUP($B27,'E-1 Off Site Hedge Baseline'!$B$1:$L$257,10,FALSE)),"",(VLOOKUP($B27,'E-1 Off Site Hedge Baseline'!$B$1:$L$257,10,FALSE))))</f>
        <v/>
      </c>
      <c r="J27" s="520" t="str">
        <f>IF(B27="","",IF(ISNA(VLOOKUP($B27,'E-1 Off Site Hedge Baseline'!$B$1:$L$257,11,FALSE)),"",(VLOOKUP($B27,'E-1 Off Site Hedge Baseline'!$B$1:$L$257,11,FALSE))))</f>
        <v/>
      </c>
      <c r="K27" s="520" t="str">
        <f>IF(B27="","",IF(ISNA(VLOOKUP($B27,'E-1 Off Site Hedge Baseline'!$B$1:$U$257,113,FALSE)),"",(VLOOKUP($B27,'E-1 Off Site Hedge Baseline'!$B$1:$U$257,13,FALSE))))</f>
        <v/>
      </c>
      <c r="L27" s="507" t="str">
        <f>IF(B27="","",IF(ISNA(VLOOKUP($B27,'E-1 Off Site Hedge Baseline'!$B$1:$U$257,12,FALSE)),"",(VLOOKUP($B27,'E-1 Off Site Hedge Baseline'!$B$1:$U$257,12,FALSE))))</f>
        <v/>
      </c>
      <c r="M27" s="418" t="str">
        <f t="shared" si="8"/>
        <v/>
      </c>
      <c r="N27" s="498" t="str">
        <f>IFERROR(IF(B27="","",INDEX('G-6 Hedgerow Data'!$AN$3:$AZ$15,MATCH(C27,'G-6 Hedgerow Data'!$AM$3:$AM$15,0),MATCH(M27,'G-6 Hedgerow Data'!$AN$2:$AZ$2,0))),"")</f>
        <v/>
      </c>
      <c r="O27" s="499" t="str">
        <f t="shared" si="2"/>
        <v/>
      </c>
      <c r="P27" s="505" t="str">
        <f>IF(B27="","",VLOOKUP(B27,'E-1 Off Site Hedge Baseline'!$B$10:T272,16,FALSE))</f>
        <v/>
      </c>
      <c r="Q27" s="498" t="str">
        <f>IF(M27="","",VLOOKUP(M27,'G-6 Hedgerow Data'!$B$2:$AG$15,2,FALSE))</f>
        <v/>
      </c>
      <c r="R27" s="499" t="str">
        <f>IF(M27="","",VLOOKUP(M27,'G-6 Hedgerow Data'!$B$2:$AG$15,3,FALSE))</f>
        <v/>
      </c>
      <c r="S27" s="145"/>
      <c r="T27" s="499" t="str">
        <f>IFERROR(IF(AND(Q27="V.Low",OR(S27="Good",S27="Moderate")),"Error ▲",VLOOKUP(S27,'G-1 All Habitats'!$Z$2:$AA$9,2,FALSE)),"")</f>
        <v/>
      </c>
      <c r="U27" s="145"/>
      <c r="V27" s="507" t="str">
        <f>IF(U27="","",IF(VLOOKUP(U27,'G-3 Multipliers'!$L$3:$N$6,2,FALSE)=0,"Spatial Data Missing ⚠",VLOOKUP(U27,'G-3 Multipliers'!$L$3:$N$6,2,FALSE)))</f>
        <v/>
      </c>
      <c r="W27" s="505" t="str">
        <f>IF(U27="","",IF(VLOOKUP(U27,'G-3 Multipliers'!$L$3:$N$6,3,FALSE)=0,"Spatial Data Missing ⚠",VLOOKUP(U27,'G-3 Multipliers'!$L$3:$N$6,3,FALSE)))</f>
        <v/>
      </c>
      <c r="X27" s="498" t="str">
        <f>IFERROR(IF(OR(LEFT(O27,5)="Error ▲",LEFT(N27,5)="Error ▲",T27="Error ▲"),"Check Data ⚠",IF(F27&lt;R27,INDEX('G-6 Hedgerow Data'!$S$3:$AE$14,MATCH(C27,'G-6 Hedgerow Data'!$B$3:$B$14,0),MATCH(M27,'G-6 Hedgerow Data'!$S$2:$AE$2,0)),INDEX('G-6 Hedgerow Data'!$K$3:$Q$14,MATCH(M27,'G-6 Hedgerow Data'!$B$3:$B$14,0),MATCH(O27,'G-6 Hedgerow Data'!$K$2:$Q$2,0)))),"")</f>
        <v/>
      </c>
      <c r="Y27" s="195"/>
      <c r="Z27" s="195"/>
      <c r="AA27" s="507" t="str">
        <f t="shared" si="3"/>
        <v/>
      </c>
      <c r="AB27" s="521" t="str">
        <f t="shared" si="4"/>
        <v/>
      </c>
      <c r="AC27" s="522" t="str">
        <f t="shared" si="1"/>
        <v/>
      </c>
      <c r="AD27" s="537" t="str">
        <f>IF(M27="","",VLOOKUP(M27,'G-6 Hedgerow Data'!$B$3:$AG$15,31,FALSE))</f>
        <v/>
      </c>
      <c r="AE27" s="520" t="str">
        <f t="shared" si="5"/>
        <v/>
      </c>
      <c r="AF27" s="520" t="str">
        <f t="shared" si="6"/>
        <v/>
      </c>
      <c r="AG27" s="524" t="str">
        <f>IFERROR(IF(O27="","",VLOOKUP(AD27,'G-3 Multipliers'!$P$3:$Q$6,2,FALSE)),"")</f>
        <v/>
      </c>
      <c r="AH27" s="197"/>
      <c r="AI27" s="499" t="str">
        <f>IF(AH27="","",IF(VLOOKUP(AH27,'G-3 Multipliers'!$S$3:$T$6,2,FALSE)=0,"Spatial Data Missing ⚠",VLOOKUP(AH27,'G-3 Multipliers'!$S$3:$T$6,2,FALSE)))</f>
        <v/>
      </c>
      <c r="AJ27" s="545" t="str">
        <f t="shared" si="7"/>
        <v/>
      </c>
      <c r="AK27" s="149"/>
      <c r="AL27" s="150"/>
      <c r="AP27" s="31" t="str">
        <f>IFERROR(INDEX('G-6 Hedgerow Data'!$BJ$3:$BJ$15,MATCH(M27,'G-6 Hedgerow Data'!$B$3:$B$15,0)),"")</f>
        <v/>
      </c>
    </row>
    <row r="28" spans="2:42" ht="14" x14ac:dyDescent="0.3">
      <c r="B28" s="531" t="str">
        <f>'E-1 Off Site Hedge Baseline'!AK26</f>
        <v/>
      </c>
      <c r="C28" s="520" t="str">
        <f>IF(B28="","",IF(ISNA(VLOOKUP($B28,'E-1 Off Site Hedge Baseline'!$B$1:$L$257,3,FALSE)),"",(VLOOKUP($B28,'E-1 Off Site Hedge Baseline'!$B$1:$L$257,3,FALSE))))</f>
        <v/>
      </c>
      <c r="D28" s="520" t="str">
        <f>IF(B28="","",IF(ISNA(VLOOKUP($B28,'E-1 Off Site Hedge Baseline'!$B$1:$L$258,4,FALSE)),"",(VLOOKUP($B28,'E-1 Off Site Hedge Baseline'!$B$1:$L$258,4,FALSE))))</f>
        <v/>
      </c>
      <c r="E28" s="520" t="str">
        <f>IF(B28="","",IF(ISNA(VLOOKUP($B28,'E-1 Off Site Hedge Baseline'!$B$1:$L$257,5,FALSE)),"",(VLOOKUP($B28,'E-1 Off Site Hedge Baseline'!$B$1:$L$257,5,FALSE))))</f>
        <v/>
      </c>
      <c r="F28" s="520" t="str">
        <f>IF(B28="","",IF(ISNA(VLOOKUP($B28,'E-1 Off Site Hedge Baseline'!$B$1:$L$257,6,FALSE)),"",(VLOOKUP($B28,'E-1 Off Site Hedge Baseline'!$B$1:$L$257,6,FALSE))))</f>
        <v/>
      </c>
      <c r="G28" s="520" t="str">
        <f>IF(B28="","",IF(ISNA(VLOOKUP($B28,'E-1 Off Site Hedge Baseline'!$B$1:$L$257,7,FALSE)),"",(VLOOKUP($B28,'E-1 Off Site Hedge Baseline'!$B$1:$L$257,7,FALSE))))</f>
        <v/>
      </c>
      <c r="H28" s="520" t="str">
        <f>IF(B28="","",IF(ISNA(VLOOKUP($B28,'E-1 Off Site Hedge Baseline'!$B$1:$L$257,8,FALSE)),"",(VLOOKUP($B28,'E-1 Off Site Hedge Baseline'!$B$1:$L$257,8,FALSE))))</f>
        <v/>
      </c>
      <c r="I28" s="520" t="str">
        <f>IF(B28="","",IF(ISNA(VLOOKUP($B28,'E-1 Off Site Hedge Baseline'!$B$1:$L$257,10,FALSE)),"",(VLOOKUP($B28,'E-1 Off Site Hedge Baseline'!$B$1:$L$257,10,FALSE))))</f>
        <v/>
      </c>
      <c r="J28" s="520" t="str">
        <f>IF(B28="","",IF(ISNA(VLOOKUP($B28,'E-1 Off Site Hedge Baseline'!$B$1:$L$257,11,FALSE)),"",(VLOOKUP($B28,'E-1 Off Site Hedge Baseline'!$B$1:$L$257,11,FALSE))))</f>
        <v/>
      </c>
      <c r="K28" s="520" t="str">
        <f>IF(B28="","",IF(ISNA(VLOOKUP($B28,'E-1 Off Site Hedge Baseline'!$B$1:$U$257,113,FALSE)),"",(VLOOKUP($B28,'E-1 Off Site Hedge Baseline'!$B$1:$U$257,13,FALSE))))</f>
        <v/>
      </c>
      <c r="L28" s="507" t="str">
        <f>IF(B28="","",IF(ISNA(VLOOKUP($B28,'E-1 Off Site Hedge Baseline'!$B$1:$U$257,12,FALSE)),"",(VLOOKUP($B28,'E-1 Off Site Hedge Baseline'!$B$1:$U$257,12,FALSE))))</f>
        <v/>
      </c>
      <c r="M28" s="418" t="str">
        <f t="shared" si="8"/>
        <v/>
      </c>
      <c r="N28" s="498" t="str">
        <f>IFERROR(IF(B28="","",INDEX('G-6 Hedgerow Data'!$AN$3:$AZ$15,MATCH(C28,'G-6 Hedgerow Data'!$AM$3:$AM$15,0),MATCH(M28,'G-6 Hedgerow Data'!$AN$2:$AZ$2,0))),"")</f>
        <v/>
      </c>
      <c r="O28" s="499" t="str">
        <f t="shared" si="2"/>
        <v/>
      </c>
      <c r="P28" s="505" t="str">
        <f>IF(B28="","",VLOOKUP(B28,'E-1 Off Site Hedge Baseline'!$B$10:T273,16,FALSE))</f>
        <v/>
      </c>
      <c r="Q28" s="498" t="str">
        <f>IF(M28="","",VLOOKUP(M28,'G-6 Hedgerow Data'!$B$2:$AG$15,2,FALSE))</f>
        <v/>
      </c>
      <c r="R28" s="499" t="str">
        <f>IF(M28="","",VLOOKUP(M28,'G-6 Hedgerow Data'!$B$2:$AG$15,3,FALSE))</f>
        <v/>
      </c>
      <c r="S28" s="145"/>
      <c r="T28" s="499" t="str">
        <f>IFERROR(IF(AND(Q28="V.Low",OR(S28="Good",S28="Moderate")),"Error ▲",VLOOKUP(S28,'G-1 All Habitats'!$Z$2:$AA$9,2,FALSE)),"")</f>
        <v/>
      </c>
      <c r="U28" s="145"/>
      <c r="V28" s="507" t="str">
        <f>IF(U28="","",IF(VLOOKUP(U28,'G-3 Multipliers'!$L$3:$N$6,2,FALSE)=0,"Spatial Data Missing ⚠",VLOOKUP(U28,'G-3 Multipliers'!$L$3:$N$6,2,FALSE)))</f>
        <v/>
      </c>
      <c r="W28" s="505" t="str">
        <f>IF(U28="","",IF(VLOOKUP(U28,'G-3 Multipliers'!$L$3:$N$6,3,FALSE)=0,"Spatial Data Missing ⚠",VLOOKUP(U28,'G-3 Multipliers'!$L$3:$N$6,3,FALSE)))</f>
        <v/>
      </c>
      <c r="X28" s="498" t="str">
        <f>IFERROR(IF(OR(LEFT(O28,5)="Error ▲",LEFT(N28,5)="Error ▲",T28="Error ▲"),"Check Data ⚠",IF(F28&lt;R28,INDEX('G-6 Hedgerow Data'!$S$3:$AE$14,MATCH(C28,'G-6 Hedgerow Data'!$B$3:$B$14,0),MATCH(M28,'G-6 Hedgerow Data'!$S$2:$AE$2,0)),INDEX('G-6 Hedgerow Data'!$K$3:$Q$14,MATCH(M28,'G-6 Hedgerow Data'!$B$3:$B$14,0),MATCH(O28,'G-6 Hedgerow Data'!$K$2:$Q$2,0)))),"")</f>
        <v/>
      </c>
      <c r="Y28" s="195"/>
      <c r="Z28" s="195"/>
      <c r="AA28" s="507" t="str">
        <f t="shared" si="3"/>
        <v/>
      </c>
      <c r="AB28" s="521" t="str">
        <f t="shared" si="4"/>
        <v/>
      </c>
      <c r="AC28" s="522" t="str">
        <f t="shared" si="1"/>
        <v/>
      </c>
      <c r="AD28" s="537" t="str">
        <f>IF(M28="","",VLOOKUP(M28,'G-6 Hedgerow Data'!$B$3:$AG$15,31,FALSE))</f>
        <v/>
      </c>
      <c r="AE28" s="520" t="str">
        <f t="shared" si="5"/>
        <v/>
      </c>
      <c r="AF28" s="520" t="str">
        <f t="shared" si="6"/>
        <v/>
      </c>
      <c r="AG28" s="524" t="str">
        <f>IFERROR(IF(O28="","",VLOOKUP(AD28,'G-3 Multipliers'!$P$3:$Q$6,2,FALSE)),"")</f>
        <v/>
      </c>
      <c r="AH28" s="197"/>
      <c r="AI28" s="499" t="str">
        <f>IF(AH28="","",IF(VLOOKUP(AH28,'G-3 Multipliers'!$S$3:$T$6,2,FALSE)=0,"Spatial Data Missing ⚠",VLOOKUP(AH28,'G-3 Multipliers'!$S$3:$T$6,2,FALSE)))</f>
        <v/>
      </c>
      <c r="AJ28" s="545" t="str">
        <f t="shared" si="7"/>
        <v/>
      </c>
      <c r="AK28" s="149"/>
      <c r="AL28" s="150"/>
      <c r="AP28" s="31" t="str">
        <f>IFERROR(INDEX('G-6 Hedgerow Data'!$BJ$3:$BJ$15,MATCH(M28,'G-6 Hedgerow Data'!$B$3:$B$15,0)),"")</f>
        <v/>
      </c>
    </row>
    <row r="29" spans="2:42" ht="14" x14ac:dyDescent="0.3">
      <c r="B29" s="531" t="str">
        <f>'E-1 Off Site Hedge Baseline'!AK27</f>
        <v/>
      </c>
      <c r="C29" s="520" t="str">
        <f>IF(B29="","",IF(ISNA(VLOOKUP($B29,'E-1 Off Site Hedge Baseline'!$B$1:$L$257,3,FALSE)),"",(VLOOKUP($B29,'E-1 Off Site Hedge Baseline'!$B$1:$L$257,3,FALSE))))</f>
        <v/>
      </c>
      <c r="D29" s="520" t="str">
        <f>IF(B29="","",IF(ISNA(VLOOKUP($B29,'E-1 Off Site Hedge Baseline'!$B$1:$L$258,4,FALSE)),"",(VLOOKUP($B29,'E-1 Off Site Hedge Baseline'!$B$1:$L$258,4,FALSE))))</f>
        <v/>
      </c>
      <c r="E29" s="520" t="str">
        <f>IF(B29="","",IF(ISNA(VLOOKUP($B29,'E-1 Off Site Hedge Baseline'!$B$1:$L$257,5,FALSE)),"",(VLOOKUP($B29,'E-1 Off Site Hedge Baseline'!$B$1:$L$257,5,FALSE))))</f>
        <v/>
      </c>
      <c r="F29" s="520" t="str">
        <f>IF(B29="","",IF(ISNA(VLOOKUP($B29,'E-1 Off Site Hedge Baseline'!$B$1:$L$257,6,FALSE)),"",(VLOOKUP($B29,'E-1 Off Site Hedge Baseline'!$B$1:$L$257,6,FALSE))))</f>
        <v/>
      </c>
      <c r="G29" s="520" t="str">
        <f>IF(B29="","",IF(ISNA(VLOOKUP($B29,'E-1 Off Site Hedge Baseline'!$B$1:$L$257,7,FALSE)),"",(VLOOKUP($B29,'E-1 Off Site Hedge Baseline'!$B$1:$L$257,7,FALSE))))</f>
        <v/>
      </c>
      <c r="H29" s="520" t="str">
        <f>IF(B29="","",IF(ISNA(VLOOKUP($B29,'E-1 Off Site Hedge Baseline'!$B$1:$L$257,8,FALSE)),"",(VLOOKUP($B29,'E-1 Off Site Hedge Baseline'!$B$1:$L$257,8,FALSE))))</f>
        <v/>
      </c>
      <c r="I29" s="520" t="str">
        <f>IF(B29="","",IF(ISNA(VLOOKUP($B29,'E-1 Off Site Hedge Baseline'!$B$1:$L$257,10,FALSE)),"",(VLOOKUP($B29,'E-1 Off Site Hedge Baseline'!$B$1:$L$257,10,FALSE))))</f>
        <v/>
      </c>
      <c r="J29" s="520" t="str">
        <f>IF(B29="","",IF(ISNA(VLOOKUP($B29,'E-1 Off Site Hedge Baseline'!$B$1:$L$257,11,FALSE)),"",(VLOOKUP($B29,'E-1 Off Site Hedge Baseline'!$B$1:$L$257,11,FALSE))))</f>
        <v/>
      </c>
      <c r="K29" s="520" t="str">
        <f>IF(B29="","",IF(ISNA(VLOOKUP($B29,'E-1 Off Site Hedge Baseline'!$B$1:$U$257,113,FALSE)),"",(VLOOKUP($B29,'E-1 Off Site Hedge Baseline'!$B$1:$U$257,13,FALSE))))</f>
        <v/>
      </c>
      <c r="L29" s="507" t="str">
        <f>IF(B29="","",IF(ISNA(VLOOKUP($B29,'E-1 Off Site Hedge Baseline'!$B$1:$U$257,12,FALSE)),"",(VLOOKUP($B29,'E-1 Off Site Hedge Baseline'!$B$1:$U$257,12,FALSE))))</f>
        <v/>
      </c>
      <c r="M29" s="418" t="str">
        <f t="shared" si="8"/>
        <v/>
      </c>
      <c r="N29" s="498" t="str">
        <f>IFERROR(IF(B29="","",INDEX('G-6 Hedgerow Data'!$AN$3:$AZ$15,MATCH(C29,'G-6 Hedgerow Data'!$AM$3:$AM$15,0),MATCH(M29,'G-6 Hedgerow Data'!$AN$2:$AZ$2,0))),"")</f>
        <v/>
      </c>
      <c r="O29" s="499" t="str">
        <f t="shared" si="2"/>
        <v/>
      </c>
      <c r="P29" s="505" t="str">
        <f>IF(B29="","",VLOOKUP(B29,'E-1 Off Site Hedge Baseline'!$B$10:T274,16,FALSE))</f>
        <v/>
      </c>
      <c r="Q29" s="498" t="str">
        <f>IF(M29="","",VLOOKUP(M29,'G-6 Hedgerow Data'!$B$2:$AG$15,2,FALSE))</f>
        <v/>
      </c>
      <c r="R29" s="499" t="str">
        <f>IF(M29="","",VLOOKUP(M29,'G-6 Hedgerow Data'!$B$2:$AG$15,3,FALSE))</f>
        <v/>
      </c>
      <c r="S29" s="145"/>
      <c r="T29" s="499" t="str">
        <f>IFERROR(IF(AND(Q29="V.Low",OR(S29="Good",S29="Moderate")),"Error ▲",VLOOKUP(S29,'G-1 All Habitats'!$Z$2:$AA$9,2,FALSE)),"")</f>
        <v/>
      </c>
      <c r="U29" s="145"/>
      <c r="V29" s="507" t="str">
        <f>IF(U29="","",IF(VLOOKUP(U29,'G-3 Multipliers'!$L$3:$N$6,2,FALSE)=0,"Spatial Data Missing ⚠",VLOOKUP(U29,'G-3 Multipliers'!$L$3:$N$6,2,FALSE)))</f>
        <v/>
      </c>
      <c r="W29" s="505" t="str">
        <f>IF(U29="","",IF(VLOOKUP(U29,'G-3 Multipliers'!$L$3:$N$6,3,FALSE)=0,"Spatial Data Missing ⚠",VLOOKUP(U29,'G-3 Multipliers'!$L$3:$N$6,3,FALSE)))</f>
        <v/>
      </c>
      <c r="X29" s="498" t="str">
        <f>IFERROR(IF(OR(LEFT(O29,5)="Error ▲",LEFT(N29,5)="Error ▲",T29="Error ▲"),"Check Data ⚠",IF(F29&lt;R29,INDEX('G-6 Hedgerow Data'!$S$3:$AE$14,MATCH(C29,'G-6 Hedgerow Data'!$B$3:$B$14,0),MATCH(M29,'G-6 Hedgerow Data'!$S$2:$AE$2,0)),INDEX('G-6 Hedgerow Data'!$K$3:$Q$14,MATCH(M29,'G-6 Hedgerow Data'!$B$3:$B$14,0),MATCH(O29,'G-6 Hedgerow Data'!$K$2:$Q$2,0)))),"")</f>
        <v/>
      </c>
      <c r="Y29" s="195"/>
      <c r="Z29" s="195"/>
      <c r="AA29" s="507" t="str">
        <f t="shared" si="3"/>
        <v/>
      </c>
      <c r="AB29" s="521" t="str">
        <f t="shared" si="4"/>
        <v/>
      </c>
      <c r="AC29" s="522" t="str">
        <f t="shared" si="1"/>
        <v/>
      </c>
      <c r="AD29" s="537" t="str">
        <f>IF(M29="","",VLOOKUP(M29,'G-6 Hedgerow Data'!$B$3:$AG$15,31,FALSE))</f>
        <v/>
      </c>
      <c r="AE29" s="520" t="str">
        <f t="shared" si="5"/>
        <v/>
      </c>
      <c r="AF29" s="520" t="str">
        <f t="shared" si="6"/>
        <v/>
      </c>
      <c r="AG29" s="524" t="str">
        <f>IFERROR(IF(O29="","",VLOOKUP(AD29,'G-3 Multipliers'!$P$3:$Q$6,2,FALSE)),"")</f>
        <v/>
      </c>
      <c r="AH29" s="197"/>
      <c r="AI29" s="499" t="str">
        <f>IF(AH29="","",IF(VLOOKUP(AH29,'G-3 Multipliers'!$S$3:$T$6,2,FALSE)=0,"Spatial Data Missing ⚠",VLOOKUP(AH29,'G-3 Multipliers'!$S$3:$T$6,2,FALSE)))</f>
        <v/>
      </c>
      <c r="AJ29" s="545" t="str">
        <f t="shared" si="7"/>
        <v/>
      </c>
      <c r="AK29" s="149"/>
      <c r="AL29" s="150"/>
      <c r="AP29" s="31" t="str">
        <f>IFERROR(INDEX('G-6 Hedgerow Data'!$BJ$3:$BJ$15,MATCH(M29,'G-6 Hedgerow Data'!$B$3:$B$15,0)),"")</f>
        <v/>
      </c>
    </row>
    <row r="30" spans="2:42" ht="14" x14ac:dyDescent="0.3">
      <c r="B30" s="531" t="str">
        <f>'E-1 Off Site Hedge Baseline'!AK28</f>
        <v/>
      </c>
      <c r="C30" s="520" t="str">
        <f>IF(B30="","",IF(ISNA(VLOOKUP($B30,'E-1 Off Site Hedge Baseline'!$B$1:$L$257,3,FALSE)),"",(VLOOKUP($B30,'E-1 Off Site Hedge Baseline'!$B$1:$L$257,3,FALSE))))</f>
        <v/>
      </c>
      <c r="D30" s="520" t="str">
        <f>IF(B30="","",IF(ISNA(VLOOKUP($B30,'E-1 Off Site Hedge Baseline'!$B$1:$L$258,4,FALSE)),"",(VLOOKUP($B30,'E-1 Off Site Hedge Baseline'!$B$1:$L$258,4,FALSE))))</f>
        <v/>
      </c>
      <c r="E30" s="520" t="str">
        <f>IF(B30="","",IF(ISNA(VLOOKUP($B30,'E-1 Off Site Hedge Baseline'!$B$1:$L$257,5,FALSE)),"",(VLOOKUP($B30,'E-1 Off Site Hedge Baseline'!$B$1:$L$257,5,FALSE))))</f>
        <v/>
      </c>
      <c r="F30" s="520" t="str">
        <f>IF(B30="","",IF(ISNA(VLOOKUP($B30,'E-1 Off Site Hedge Baseline'!$B$1:$L$257,6,FALSE)),"",(VLOOKUP($B30,'E-1 Off Site Hedge Baseline'!$B$1:$L$257,6,FALSE))))</f>
        <v/>
      </c>
      <c r="G30" s="520" t="str">
        <f>IF(B30="","",IF(ISNA(VLOOKUP($B30,'E-1 Off Site Hedge Baseline'!$B$1:$L$257,7,FALSE)),"",(VLOOKUP($B30,'E-1 Off Site Hedge Baseline'!$B$1:$L$257,7,FALSE))))</f>
        <v/>
      </c>
      <c r="H30" s="520" t="str">
        <f>IF(B30="","",IF(ISNA(VLOOKUP($B30,'E-1 Off Site Hedge Baseline'!$B$1:$L$257,8,FALSE)),"",(VLOOKUP($B30,'E-1 Off Site Hedge Baseline'!$B$1:$L$257,8,FALSE))))</f>
        <v/>
      </c>
      <c r="I30" s="520" t="str">
        <f>IF(B30="","",IF(ISNA(VLOOKUP($B30,'E-1 Off Site Hedge Baseline'!$B$1:$L$257,10,FALSE)),"",(VLOOKUP($B30,'E-1 Off Site Hedge Baseline'!$B$1:$L$257,10,FALSE))))</f>
        <v/>
      </c>
      <c r="J30" s="520" t="str">
        <f>IF(B30="","",IF(ISNA(VLOOKUP($B30,'E-1 Off Site Hedge Baseline'!$B$1:$L$257,11,FALSE)),"",(VLOOKUP($B30,'E-1 Off Site Hedge Baseline'!$B$1:$L$257,11,FALSE))))</f>
        <v/>
      </c>
      <c r="K30" s="520" t="str">
        <f>IF(B30="","",IF(ISNA(VLOOKUP($B30,'E-1 Off Site Hedge Baseline'!$B$1:$U$257,113,FALSE)),"",(VLOOKUP($B30,'E-1 Off Site Hedge Baseline'!$B$1:$U$257,13,FALSE))))</f>
        <v/>
      </c>
      <c r="L30" s="507" t="str">
        <f>IF(B30="","",IF(ISNA(VLOOKUP($B30,'E-1 Off Site Hedge Baseline'!$B$1:$U$257,12,FALSE)),"",(VLOOKUP($B30,'E-1 Off Site Hedge Baseline'!$B$1:$U$257,12,FALSE))))</f>
        <v/>
      </c>
      <c r="M30" s="418" t="str">
        <f t="shared" si="8"/>
        <v/>
      </c>
      <c r="N30" s="498" t="str">
        <f>IFERROR(IF(B30="","",INDEX('G-6 Hedgerow Data'!$AN$3:$AZ$15,MATCH(C30,'G-6 Hedgerow Data'!$AM$3:$AM$15,0),MATCH(M30,'G-6 Hedgerow Data'!$AN$2:$AZ$2,0))),"")</f>
        <v/>
      </c>
      <c r="O30" s="499" t="str">
        <f t="shared" si="2"/>
        <v/>
      </c>
      <c r="P30" s="505" t="str">
        <f>IF(B30="","",VLOOKUP(B30,'E-1 Off Site Hedge Baseline'!$B$10:T275,16,FALSE))</f>
        <v/>
      </c>
      <c r="Q30" s="498" t="str">
        <f>IF(M30="","",VLOOKUP(M30,'G-6 Hedgerow Data'!$B$2:$AG$15,2,FALSE))</f>
        <v/>
      </c>
      <c r="R30" s="499" t="str">
        <f>IF(M30="","",VLOOKUP(M30,'G-6 Hedgerow Data'!$B$2:$AG$15,3,FALSE))</f>
        <v/>
      </c>
      <c r="S30" s="145"/>
      <c r="T30" s="499" t="str">
        <f>IFERROR(IF(AND(Q30="V.Low",OR(S30="Good",S30="Moderate")),"Error ▲",VLOOKUP(S30,'G-1 All Habitats'!$Z$2:$AA$9,2,FALSE)),"")</f>
        <v/>
      </c>
      <c r="U30" s="145"/>
      <c r="V30" s="507" t="str">
        <f>IF(U30="","",IF(VLOOKUP(U30,'G-3 Multipliers'!$L$3:$N$6,2,FALSE)=0,"Spatial Data Missing ⚠",VLOOKUP(U30,'G-3 Multipliers'!$L$3:$N$6,2,FALSE)))</f>
        <v/>
      </c>
      <c r="W30" s="505" t="str">
        <f>IF(U30="","",IF(VLOOKUP(U30,'G-3 Multipliers'!$L$3:$N$6,3,FALSE)=0,"Spatial Data Missing ⚠",VLOOKUP(U30,'G-3 Multipliers'!$L$3:$N$6,3,FALSE)))</f>
        <v/>
      </c>
      <c r="X30" s="498" t="str">
        <f>IFERROR(IF(OR(LEFT(O30,5)="Error ▲",LEFT(N30,5)="Error ▲",T30="Error ▲"),"Check Data ⚠",IF(F30&lt;R30,INDEX('G-6 Hedgerow Data'!$S$3:$AE$14,MATCH(C30,'G-6 Hedgerow Data'!$B$3:$B$14,0),MATCH(M30,'G-6 Hedgerow Data'!$S$2:$AE$2,0)),INDEX('G-6 Hedgerow Data'!$K$3:$Q$14,MATCH(M30,'G-6 Hedgerow Data'!$B$3:$B$14,0),MATCH(O30,'G-6 Hedgerow Data'!$K$2:$Q$2,0)))),"")</f>
        <v/>
      </c>
      <c r="Y30" s="195"/>
      <c r="Z30" s="195"/>
      <c r="AA30" s="507" t="str">
        <f t="shared" si="3"/>
        <v/>
      </c>
      <c r="AB30" s="521" t="str">
        <f t="shared" si="4"/>
        <v/>
      </c>
      <c r="AC30" s="522" t="str">
        <f t="shared" si="1"/>
        <v/>
      </c>
      <c r="AD30" s="537" t="str">
        <f>IF(M30="","",VLOOKUP(M30,'G-6 Hedgerow Data'!$B$3:$AG$15,31,FALSE))</f>
        <v/>
      </c>
      <c r="AE30" s="520" t="str">
        <f t="shared" si="5"/>
        <v/>
      </c>
      <c r="AF30" s="520" t="str">
        <f t="shared" si="6"/>
        <v/>
      </c>
      <c r="AG30" s="524" t="str">
        <f>IFERROR(IF(O30="","",VLOOKUP(AD30,'G-3 Multipliers'!$P$3:$Q$6,2,FALSE)),"")</f>
        <v/>
      </c>
      <c r="AH30" s="197"/>
      <c r="AI30" s="499" t="str">
        <f>IF(AH30="","",IF(VLOOKUP(AH30,'G-3 Multipliers'!$S$3:$T$6,2,FALSE)=0,"Spatial Data Missing ⚠",VLOOKUP(AH30,'G-3 Multipliers'!$S$3:$T$6,2,FALSE)))</f>
        <v/>
      </c>
      <c r="AJ30" s="545" t="str">
        <f t="shared" si="7"/>
        <v/>
      </c>
      <c r="AK30" s="149"/>
      <c r="AL30" s="150"/>
      <c r="AP30" s="31" t="str">
        <f>IFERROR(INDEX('G-6 Hedgerow Data'!$BJ$3:$BJ$15,MATCH(M30,'G-6 Hedgerow Data'!$B$3:$B$15,0)),"")</f>
        <v/>
      </c>
    </row>
    <row r="31" spans="2:42" ht="14" x14ac:dyDescent="0.3">
      <c r="B31" s="531" t="str">
        <f>'E-1 Off Site Hedge Baseline'!AK29</f>
        <v/>
      </c>
      <c r="C31" s="520" t="str">
        <f>IF(B31="","",IF(ISNA(VLOOKUP($B31,'E-1 Off Site Hedge Baseline'!$B$1:$L$257,3,FALSE)),"",(VLOOKUP($B31,'E-1 Off Site Hedge Baseline'!$B$1:$L$257,3,FALSE))))</f>
        <v/>
      </c>
      <c r="D31" s="520" t="str">
        <f>IF(B31="","",IF(ISNA(VLOOKUP($B31,'E-1 Off Site Hedge Baseline'!$B$1:$L$258,4,FALSE)),"",(VLOOKUP($B31,'E-1 Off Site Hedge Baseline'!$B$1:$L$258,4,FALSE))))</f>
        <v/>
      </c>
      <c r="E31" s="520" t="str">
        <f>IF(B31="","",IF(ISNA(VLOOKUP($B31,'E-1 Off Site Hedge Baseline'!$B$1:$L$257,5,FALSE)),"",(VLOOKUP($B31,'E-1 Off Site Hedge Baseline'!$B$1:$L$257,5,FALSE))))</f>
        <v/>
      </c>
      <c r="F31" s="520" t="str">
        <f>IF(B31="","",IF(ISNA(VLOOKUP($B31,'E-1 Off Site Hedge Baseline'!$B$1:$L$257,6,FALSE)),"",(VLOOKUP($B31,'E-1 Off Site Hedge Baseline'!$B$1:$L$257,6,FALSE))))</f>
        <v/>
      </c>
      <c r="G31" s="520" t="str">
        <f>IF(B31="","",IF(ISNA(VLOOKUP($B31,'E-1 Off Site Hedge Baseline'!$B$1:$L$257,7,FALSE)),"",(VLOOKUP($B31,'E-1 Off Site Hedge Baseline'!$B$1:$L$257,7,FALSE))))</f>
        <v/>
      </c>
      <c r="H31" s="520" t="str">
        <f>IF(B31="","",IF(ISNA(VLOOKUP($B31,'E-1 Off Site Hedge Baseline'!$B$1:$L$257,8,FALSE)),"",(VLOOKUP($B31,'E-1 Off Site Hedge Baseline'!$B$1:$L$257,8,FALSE))))</f>
        <v/>
      </c>
      <c r="I31" s="520" t="str">
        <f>IF(B31="","",IF(ISNA(VLOOKUP($B31,'E-1 Off Site Hedge Baseline'!$B$1:$L$257,10,FALSE)),"",(VLOOKUP($B31,'E-1 Off Site Hedge Baseline'!$B$1:$L$257,10,FALSE))))</f>
        <v/>
      </c>
      <c r="J31" s="520" t="str">
        <f>IF(B31="","",IF(ISNA(VLOOKUP($B31,'E-1 Off Site Hedge Baseline'!$B$1:$L$257,11,FALSE)),"",(VLOOKUP($B31,'E-1 Off Site Hedge Baseline'!$B$1:$L$257,11,FALSE))))</f>
        <v/>
      </c>
      <c r="K31" s="520" t="str">
        <f>IF(B31="","",IF(ISNA(VLOOKUP($B31,'E-1 Off Site Hedge Baseline'!$B$1:$U$257,113,FALSE)),"",(VLOOKUP($B31,'E-1 Off Site Hedge Baseline'!$B$1:$U$257,13,FALSE))))</f>
        <v/>
      </c>
      <c r="L31" s="507" t="str">
        <f>IF(B31="","",IF(ISNA(VLOOKUP($B31,'E-1 Off Site Hedge Baseline'!$B$1:$U$257,12,FALSE)),"",(VLOOKUP($B31,'E-1 Off Site Hedge Baseline'!$B$1:$U$257,12,FALSE))))</f>
        <v/>
      </c>
      <c r="M31" s="418" t="str">
        <f t="shared" si="8"/>
        <v/>
      </c>
      <c r="N31" s="498" t="str">
        <f>IFERROR(IF(B31="","",INDEX('G-6 Hedgerow Data'!$AN$3:$AZ$15,MATCH(C31,'G-6 Hedgerow Data'!$AM$3:$AM$15,0),MATCH(M31,'G-6 Hedgerow Data'!$AN$2:$AZ$2,0))),"")</f>
        <v/>
      </c>
      <c r="O31" s="499" t="str">
        <f t="shared" si="2"/>
        <v/>
      </c>
      <c r="P31" s="505" t="str">
        <f>IF(B31="","",VLOOKUP(B31,'E-1 Off Site Hedge Baseline'!$B$10:T276,16,FALSE))</f>
        <v/>
      </c>
      <c r="Q31" s="498" t="str">
        <f>IF(M31="","",VLOOKUP(M31,'G-6 Hedgerow Data'!$B$2:$AG$15,2,FALSE))</f>
        <v/>
      </c>
      <c r="R31" s="499" t="str">
        <f>IF(M31="","",VLOOKUP(M31,'G-6 Hedgerow Data'!$B$2:$AG$15,3,FALSE))</f>
        <v/>
      </c>
      <c r="S31" s="145"/>
      <c r="T31" s="499" t="str">
        <f>IFERROR(IF(AND(Q31="V.Low",OR(S31="Good",S31="Moderate")),"Error ▲",VLOOKUP(S31,'G-1 All Habitats'!$Z$2:$AA$9,2,FALSE)),"")</f>
        <v/>
      </c>
      <c r="U31" s="145"/>
      <c r="V31" s="507" t="str">
        <f>IF(U31="","",IF(VLOOKUP(U31,'G-3 Multipliers'!$L$3:$N$6,2,FALSE)=0,"Spatial Data Missing ⚠",VLOOKUP(U31,'G-3 Multipliers'!$L$3:$N$6,2,FALSE)))</f>
        <v/>
      </c>
      <c r="W31" s="505" t="str">
        <f>IF(U31="","",IF(VLOOKUP(U31,'G-3 Multipliers'!$L$3:$N$6,3,FALSE)=0,"Spatial Data Missing ⚠",VLOOKUP(U31,'G-3 Multipliers'!$L$3:$N$6,3,FALSE)))</f>
        <v/>
      </c>
      <c r="X31" s="498" t="str">
        <f>IFERROR(IF(OR(LEFT(O31,5)="Error ▲",LEFT(N31,5)="Error ▲",T31="Error ▲"),"Check Data ⚠",IF(F31&lt;R31,INDEX('G-6 Hedgerow Data'!$S$3:$AE$14,MATCH(C31,'G-6 Hedgerow Data'!$B$3:$B$14,0),MATCH(M31,'G-6 Hedgerow Data'!$S$2:$AE$2,0)),INDEX('G-6 Hedgerow Data'!$K$3:$Q$14,MATCH(M31,'G-6 Hedgerow Data'!$B$3:$B$14,0),MATCH(O31,'G-6 Hedgerow Data'!$K$2:$Q$2,0)))),"")</f>
        <v/>
      </c>
      <c r="Y31" s="195"/>
      <c r="Z31" s="195"/>
      <c r="AA31" s="507" t="str">
        <f t="shared" si="3"/>
        <v/>
      </c>
      <c r="AB31" s="521" t="str">
        <f t="shared" si="4"/>
        <v/>
      </c>
      <c r="AC31" s="522" t="str">
        <f t="shared" si="1"/>
        <v/>
      </c>
      <c r="AD31" s="537" t="str">
        <f>IF(M31="","",VLOOKUP(M31,'G-6 Hedgerow Data'!$B$3:$AG$15,31,FALSE))</f>
        <v/>
      </c>
      <c r="AE31" s="520" t="str">
        <f t="shared" si="5"/>
        <v/>
      </c>
      <c r="AF31" s="520" t="str">
        <f t="shared" si="6"/>
        <v/>
      </c>
      <c r="AG31" s="524" t="str">
        <f>IFERROR(IF(O31="","",VLOOKUP(AD31,'G-3 Multipliers'!$P$3:$Q$6,2,FALSE)),"")</f>
        <v/>
      </c>
      <c r="AH31" s="197"/>
      <c r="AI31" s="499" t="str">
        <f>IF(AH31="","",IF(VLOOKUP(AH31,'G-3 Multipliers'!$S$3:$T$6,2,FALSE)=0,"Spatial Data Missing ⚠",VLOOKUP(AH31,'G-3 Multipliers'!$S$3:$T$6,2,FALSE)))</f>
        <v/>
      </c>
      <c r="AJ31" s="545" t="str">
        <f t="shared" si="7"/>
        <v/>
      </c>
      <c r="AK31" s="149"/>
      <c r="AL31" s="150"/>
      <c r="AP31" s="31" t="str">
        <f>IFERROR(INDEX('G-6 Hedgerow Data'!$BJ$3:$BJ$15,MATCH(M31,'G-6 Hedgerow Data'!$B$3:$B$15,0)),"")</f>
        <v/>
      </c>
    </row>
    <row r="32" spans="2:42" ht="14" x14ac:dyDescent="0.3">
      <c r="B32" s="531" t="str">
        <f>'E-1 Off Site Hedge Baseline'!AK30</f>
        <v/>
      </c>
      <c r="C32" s="520" t="str">
        <f>IF(B32="","",IF(ISNA(VLOOKUP($B32,'E-1 Off Site Hedge Baseline'!$B$1:$L$257,3,FALSE)),"",(VLOOKUP($B32,'E-1 Off Site Hedge Baseline'!$B$1:$L$257,3,FALSE))))</f>
        <v/>
      </c>
      <c r="D32" s="520" t="str">
        <f>IF(B32="","",IF(ISNA(VLOOKUP($B32,'E-1 Off Site Hedge Baseline'!$B$1:$L$258,4,FALSE)),"",(VLOOKUP($B32,'E-1 Off Site Hedge Baseline'!$B$1:$L$258,4,FALSE))))</f>
        <v/>
      </c>
      <c r="E32" s="520" t="str">
        <f>IF(B32="","",IF(ISNA(VLOOKUP($B32,'E-1 Off Site Hedge Baseline'!$B$1:$L$257,5,FALSE)),"",(VLOOKUP($B32,'E-1 Off Site Hedge Baseline'!$B$1:$L$257,5,FALSE))))</f>
        <v/>
      </c>
      <c r="F32" s="520" t="str">
        <f>IF(B32="","",IF(ISNA(VLOOKUP($B32,'E-1 Off Site Hedge Baseline'!$B$1:$L$257,6,FALSE)),"",(VLOOKUP($B32,'E-1 Off Site Hedge Baseline'!$B$1:$L$257,6,FALSE))))</f>
        <v/>
      </c>
      <c r="G32" s="520" t="str">
        <f>IF(B32="","",IF(ISNA(VLOOKUP($B32,'E-1 Off Site Hedge Baseline'!$B$1:$L$257,7,FALSE)),"",(VLOOKUP($B32,'E-1 Off Site Hedge Baseline'!$B$1:$L$257,7,FALSE))))</f>
        <v/>
      </c>
      <c r="H32" s="520" t="str">
        <f>IF(B32="","",IF(ISNA(VLOOKUP($B32,'E-1 Off Site Hedge Baseline'!$B$1:$L$257,8,FALSE)),"",(VLOOKUP($B32,'E-1 Off Site Hedge Baseline'!$B$1:$L$257,8,FALSE))))</f>
        <v/>
      </c>
      <c r="I32" s="520" t="str">
        <f>IF(B32="","",IF(ISNA(VLOOKUP($B32,'E-1 Off Site Hedge Baseline'!$B$1:$L$257,10,FALSE)),"",(VLOOKUP($B32,'E-1 Off Site Hedge Baseline'!$B$1:$L$257,10,FALSE))))</f>
        <v/>
      </c>
      <c r="J32" s="520" t="str">
        <f>IF(B32="","",IF(ISNA(VLOOKUP($B32,'E-1 Off Site Hedge Baseline'!$B$1:$L$257,11,FALSE)),"",(VLOOKUP($B32,'E-1 Off Site Hedge Baseline'!$B$1:$L$257,11,FALSE))))</f>
        <v/>
      </c>
      <c r="K32" s="520" t="str">
        <f>IF(B32="","",IF(ISNA(VLOOKUP($B32,'E-1 Off Site Hedge Baseline'!$B$1:$U$257,113,FALSE)),"",(VLOOKUP($B32,'E-1 Off Site Hedge Baseline'!$B$1:$U$257,13,FALSE))))</f>
        <v/>
      </c>
      <c r="L32" s="507" t="str">
        <f>IF(B32="","",IF(ISNA(VLOOKUP($B32,'E-1 Off Site Hedge Baseline'!$B$1:$U$257,12,FALSE)),"",(VLOOKUP($B32,'E-1 Off Site Hedge Baseline'!$B$1:$U$257,12,FALSE))))</f>
        <v/>
      </c>
      <c r="M32" s="418" t="str">
        <f t="shared" si="8"/>
        <v/>
      </c>
      <c r="N32" s="498" t="str">
        <f>IFERROR(IF(B32="","",INDEX('G-6 Hedgerow Data'!$AN$3:$AZ$15,MATCH(C32,'G-6 Hedgerow Data'!$AM$3:$AM$15,0),MATCH(M32,'G-6 Hedgerow Data'!$AN$2:$AZ$2,0))),"")</f>
        <v/>
      </c>
      <c r="O32" s="499" t="str">
        <f t="shared" si="2"/>
        <v/>
      </c>
      <c r="P32" s="505" t="str">
        <f>IF(B32="","",VLOOKUP(B32,'E-1 Off Site Hedge Baseline'!$B$10:T277,16,FALSE))</f>
        <v/>
      </c>
      <c r="Q32" s="498" t="str">
        <f>IF(M32="","",VLOOKUP(M32,'G-6 Hedgerow Data'!$B$2:$AG$15,2,FALSE))</f>
        <v/>
      </c>
      <c r="R32" s="499" t="str">
        <f>IF(M32="","",VLOOKUP(M32,'G-6 Hedgerow Data'!$B$2:$AG$15,3,FALSE))</f>
        <v/>
      </c>
      <c r="S32" s="145"/>
      <c r="T32" s="499" t="str">
        <f>IFERROR(IF(AND(Q32="V.Low",OR(S32="Good",S32="Moderate")),"Error ▲",VLOOKUP(S32,'G-1 All Habitats'!$Z$2:$AA$9,2,FALSE)),"")</f>
        <v/>
      </c>
      <c r="U32" s="145"/>
      <c r="V32" s="507" t="str">
        <f>IF(U32="","",IF(VLOOKUP(U32,'G-3 Multipliers'!$L$3:$N$6,2,FALSE)=0,"Spatial Data Missing ⚠",VLOOKUP(U32,'G-3 Multipliers'!$L$3:$N$6,2,FALSE)))</f>
        <v/>
      </c>
      <c r="W32" s="505" t="str">
        <f>IF(U32="","",IF(VLOOKUP(U32,'G-3 Multipliers'!$L$3:$N$6,3,FALSE)=0,"Spatial Data Missing ⚠",VLOOKUP(U32,'G-3 Multipliers'!$L$3:$N$6,3,FALSE)))</f>
        <v/>
      </c>
      <c r="X32" s="498" t="str">
        <f>IFERROR(IF(OR(LEFT(O32,5)="Error ▲",LEFT(N32,5)="Error ▲",T32="Error ▲"),"Check Data ⚠",IF(F32&lt;R32,INDEX('G-6 Hedgerow Data'!$S$3:$AE$14,MATCH(C32,'G-6 Hedgerow Data'!$B$3:$B$14,0),MATCH(M32,'G-6 Hedgerow Data'!$S$2:$AE$2,0)),INDEX('G-6 Hedgerow Data'!$K$3:$Q$14,MATCH(M32,'G-6 Hedgerow Data'!$B$3:$B$14,0),MATCH(O32,'G-6 Hedgerow Data'!$K$2:$Q$2,0)))),"")</f>
        <v/>
      </c>
      <c r="Y32" s="195"/>
      <c r="Z32" s="195"/>
      <c r="AA32" s="507" t="str">
        <f t="shared" si="3"/>
        <v/>
      </c>
      <c r="AB32" s="521" t="str">
        <f t="shared" si="4"/>
        <v/>
      </c>
      <c r="AC32" s="522" t="str">
        <f t="shared" si="1"/>
        <v/>
      </c>
      <c r="AD32" s="537" t="str">
        <f>IF(M32="","",VLOOKUP(M32,'G-6 Hedgerow Data'!$B$3:$AG$15,31,FALSE))</f>
        <v/>
      </c>
      <c r="AE32" s="520" t="str">
        <f t="shared" si="5"/>
        <v/>
      </c>
      <c r="AF32" s="520" t="str">
        <f t="shared" si="6"/>
        <v/>
      </c>
      <c r="AG32" s="524" t="str">
        <f>IFERROR(IF(O32="","",VLOOKUP(AD32,'G-3 Multipliers'!$P$3:$Q$6,2,FALSE)),"")</f>
        <v/>
      </c>
      <c r="AH32" s="197"/>
      <c r="AI32" s="499" t="str">
        <f>IF(AH32="","",IF(VLOOKUP(AH32,'G-3 Multipliers'!$S$3:$T$6,2,FALSE)=0,"Spatial Data Missing ⚠",VLOOKUP(AH32,'G-3 Multipliers'!$S$3:$T$6,2,FALSE)))</f>
        <v/>
      </c>
      <c r="AJ32" s="545" t="str">
        <f t="shared" si="7"/>
        <v/>
      </c>
      <c r="AK32" s="149"/>
      <c r="AL32" s="150"/>
      <c r="AP32" s="31" t="str">
        <f>IFERROR(INDEX('G-6 Hedgerow Data'!$BJ$3:$BJ$15,MATCH(M32,'G-6 Hedgerow Data'!$B$3:$B$15,0)),"")</f>
        <v/>
      </c>
    </row>
    <row r="33" spans="2:42" ht="14" x14ac:dyDescent="0.3">
      <c r="B33" s="531" t="str">
        <f>'E-1 Off Site Hedge Baseline'!AK31</f>
        <v/>
      </c>
      <c r="C33" s="520" t="str">
        <f>IF(B33="","",IF(ISNA(VLOOKUP($B33,'E-1 Off Site Hedge Baseline'!$B$1:$L$257,3,FALSE)),"",(VLOOKUP($B33,'E-1 Off Site Hedge Baseline'!$B$1:$L$257,3,FALSE))))</f>
        <v/>
      </c>
      <c r="D33" s="520" t="str">
        <f>IF(B33="","",IF(ISNA(VLOOKUP($B33,'E-1 Off Site Hedge Baseline'!$B$1:$L$258,4,FALSE)),"",(VLOOKUP($B33,'E-1 Off Site Hedge Baseline'!$B$1:$L$258,4,FALSE))))</f>
        <v/>
      </c>
      <c r="E33" s="520" t="str">
        <f>IF(B33="","",IF(ISNA(VLOOKUP($B33,'E-1 Off Site Hedge Baseline'!$B$1:$L$257,5,FALSE)),"",(VLOOKUP($B33,'E-1 Off Site Hedge Baseline'!$B$1:$L$257,5,FALSE))))</f>
        <v/>
      </c>
      <c r="F33" s="520" t="str">
        <f>IF(B33="","",IF(ISNA(VLOOKUP($B33,'E-1 Off Site Hedge Baseline'!$B$1:$L$257,6,FALSE)),"",(VLOOKUP($B33,'E-1 Off Site Hedge Baseline'!$B$1:$L$257,6,FALSE))))</f>
        <v/>
      </c>
      <c r="G33" s="520" t="str">
        <f>IF(B33="","",IF(ISNA(VLOOKUP($B33,'E-1 Off Site Hedge Baseline'!$B$1:$L$257,7,FALSE)),"",(VLOOKUP($B33,'E-1 Off Site Hedge Baseline'!$B$1:$L$257,7,FALSE))))</f>
        <v/>
      </c>
      <c r="H33" s="520" t="str">
        <f>IF(B33="","",IF(ISNA(VLOOKUP($B33,'E-1 Off Site Hedge Baseline'!$B$1:$L$257,8,FALSE)),"",(VLOOKUP($B33,'E-1 Off Site Hedge Baseline'!$B$1:$L$257,8,FALSE))))</f>
        <v/>
      </c>
      <c r="I33" s="520" t="str">
        <f>IF(B33="","",IF(ISNA(VLOOKUP($B33,'E-1 Off Site Hedge Baseline'!$B$1:$L$257,10,FALSE)),"",(VLOOKUP($B33,'E-1 Off Site Hedge Baseline'!$B$1:$L$257,10,FALSE))))</f>
        <v/>
      </c>
      <c r="J33" s="520" t="str">
        <f>IF(B33="","",IF(ISNA(VLOOKUP($B33,'E-1 Off Site Hedge Baseline'!$B$1:$L$257,11,FALSE)),"",(VLOOKUP($B33,'E-1 Off Site Hedge Baseline'!$B$1:$L$257,11,FALSE))))</f>
        <v/>
      </c>
      <c r="K33" s="520" t="str">
        <f>IF(B33="","",IF(ISNA(VLOOKUP($B33,'E-1 Off Site Hedge Baseline'!$B$1:$U$257,113,FALSE)),"",(VLOOKUP($B33,'E-1 Off Site Hedge Baseline'!$B$1:$U$257,13,FALSE))))</f>
        <v/>
      </c>
      <c r="L33" s="507" t="str">
        <f>IF(B33="","",IF(ISNA(VLOOKUP($B33,'E-1 Off Site Hedge Baseline'!$B$1:$U$257,12,FALSE)),"",(VLOOKUP($B33,'E-1 Off Site Hedge Baseline'!$B$1:$U$257,12,FALSE))))</f>
        <v/>
      </c>
      <c r="M33" s="418" t="str">
        <f t="shared" si="8"/>
        <v/>
      </c>
      <c r="N33" s="498" t="str">
        <f>IFERROR(IF(B33="","",INDEX('G-6 Hedgerow Data'!$AN$3:$AZ$15,MATCH(C33,'G-6 Hedgerow Data'!$AM$3:$AM$15,0),MATCH(M33,'G-6 Hedgerow Data'!$AN$2:$AZ$2,0))),"")</f>
        <v/>
      </c>
      <c r="O33" s="499" t="str">
        <f t="shared" si="2"/>
        <v/>
      </c>
      <c r="P33" s="505" t="str">
        <f>IF(B33="","",VLOOKUP(B33,'E-1 Off Site Hedge Baseline'!$B$10:T278,16,FALSE))</f>
        <v/>
      </c>
      <c r="Q33" s="498" t="str">
        <f>IF(M33="","",VLOOKUP(M33,'G-6 Hedgerow Data'!$B$2:$AG$15,2,FALSE))</f>
        <v/>
      </c>
      <c r="R33" s="499" t="str">
        <f>IF(M33="","",VLOOKUP(M33,'G-6 Hedgerow Data'!$B$2:$AG$15,3,FALSE))</f>
        <v/>
      </c>
      <c r="S33" s="145"/>
      <c r="T33" s="499" t="str">
        <f>IFERROR(IF(AND(Q33="V.Low",OR(S33="Good",S33="Moderate")),"Error ▲",VLOOKUP(S33,'G-1 All Habitats'!$Z$2:$AA$9,2,FALSE)),"")</f>
        <v/>
      </c>
      <c r="U33" s="145"/>
      <c r="V33" s="507" t="str">
        <f>IF(U33="","",IF(VLOOKUP(U33,'G-3 Multipliers'!$L$3:$N$6,2,FALSE)=0,"Spatial Data Missing ⚠",VLOOKUP(U33,'G-3 Multipliers'!$L$3:$N$6,2,FALSE)))</f>
        <v/>
      </c>
      <c r="W33" s="505" t="str">
        <f>IF(U33="","",IF(VLOOKUP(U33,'G-3 Multipliers'!$L$3:$N$6,3,FALSE)=0,"Spatial Data Missing ⚠",VLOOKUP(U33,'G-3 Multipliers'!$L$3:$N$6,3,FALSE)))</f>
        <v/>
      </c>
      <c r="X33" s="498" t="str">
        <f>IFERROR(IF(OR(LEFT(O33,5)="Error ▲",LEFT(N33,5)="Error ▲",T33="Error ▲"),"Check Data ⚠",IF(F33&lt;R33,INDEX('G-6 Hedgerow Data'!$S$3:$AE$14,MATCH(C33,'G-6 Hedgerow Data'!$B$3:$B$14,0),MATCH(M33,'G-6 Hedgerow Data'!$S$2:$AE$2,0)),INDEX('G-6 Hedgerow Data'!$K$3:$Q$14,MATCH(M33,'G-6 Hedgerow Data'!$B$3:$B$14,0),MATCH(O33,'G-6 Hedgerow Data'!$K$2:$Q$2,0)))),"")</f>
        <v/>
      </c>
      <c r="Y33" s="195"/>
      <c r="Z33" s="195"/>
      <c r="AA33" s="507" t="str">
        <f t="shared" si="3"/>
        <v/>
      </c>
      <c r="AB33" s="521" t="str">
        <f t="shared" si="4"/>
        <v/>
      </c>
      <c r="AC33" s="522" t="str">
        <f t="shared" si="1"/>
        <v/>
      </c>
      <c r="AD33" s="537" t="str">
        <f>IF(M33="","",VLOOKUP(M33,'G-6 Hedgerow Data'!$B$3:$AG$15,31,FALSE))</f>
        <v/>
      </c>
      <c r="AE33" s="520" t="str">
        <f t="shared" si="5"/>
        <v/>
      </c>
      <c r="AF33" s="520" t="str">
        <f t="shared" si="6"/>
        <v/>
      </c>
      <c r="AG33" s="524" t="str">
        <f>IFERROR(IF(O33="","",VLOOKUP(AD33,'G-3 Multipliers'!$P$3:$Q$6,2,FALSE)),"")</f>
        <v/>
      </c>
      <c r="AH33" s="197"/>
      <c r="AI33" s="499" t="str">
        <f>IF(AH33="","",IF(VLOOKUP(AH33,'G-3 Multipliers'!$S$3:$T$6,2,FALSE)=0,"Spatial Data Missing ⚠",VLOOKUP(AH33,'G-3 Multipliers'!$S$3:$T$6,2,FALSE)))</f>
        <v/>
      </c>
      <c r="AJ33" s="545" t="str">
        <f t="shared" si="7"/>
        <v/>
      </c>
      <c r="AK33" s="149"/>
      <c r="AL33" s="150"/>
      <c r="AP33" s="31" t="str">
        <f>IFERROR(INDEX('G-6 Hedgerow Data'!$BJ$3:$BJ$15,MATCH(M33,'G-6 Hedgerow Data'!$B$3:$B$15,0)),"")</f>
        <v/>
      </c>
    </row>
    <row r="34" spans="2:42" ht="14" x14ac:dyDescent="0.3">
      <c r="B34" s="531" t="str">
        <f>'E-1 Off Site Hedge Baseline'!AK32</f>
        <v/>
      </c>
      <c r="C34" s="520" t="str">
        <f>IF(B34="","",IF(ISNA(VLOOKUP($B34,'E-1 Off Site Hedge Baseline'!$B$1:$L$257,3,FALSE)),"",(VLOOKUP($B34,'E-1 Off Site Hedge Baseline'!$B$1:$L$257,3,FALSE))))</f>
        <v/>
      </c>
      <c r="D34" s="520" t="str">
        <f>IF(B34="","",IF(ISNA(VLOOKUP($B34,'E-1 Off Site Hedge Baseline'!$B$1:$L$258,4,FALSE)),"",(VLOOKUP($B34,'E-1 Off Site Hedge Baseline'!$B$1:$L$258,4,FALSE))))</f>
        <v/>
      </c>
      <c r="E34" s="520" t="str">
        <f>IF(B34="","",IF(ISNA(VLOOKUP($B34,'E-1 Off Site Hedge Baseline'!$B$1:$L$257,5,FALSE)),"",(VLOOKUP($B34,'E-1 Off Site Hedge Baseline'!$B$1:$L$257,5,FALSE))))</f>
        <v/>
      </c>
      <c r="F34" s="520" t="str">
        <f>IF(B34="","",IF(ISNA(VLOOKUP($B34,'E-1 Off Site Hedge Baseline'!$B$1:$L$257,6,FALSE)),"",(VLOOKUP($B34,'E-1 Off Site Hedge Baseline'!$B$1:$L$257,6,FALSE))))</f>
        <v/>
      </c>
      <c r="G34" s="520" t="str">
        <f>IF(B34="","",IF(ISNA(VLOOKUP($B34,'E-1 Off Site Hedge Baseline'!$B$1:$L$257,7,FALSE)),"",(VLOOKUP($B34,'E-1 Off Site Hedge Baseline'!$B$1:$L$257,7,FALSE))))</f>
        <v/>
      </c>
      <c r="H34" s="520" t="str">
        <f>IF(B34="","",IF(ISNA(VLOOKUP($B34,'E-1 Off Site Hedge Baseline'!$B$1:$L$257,8,FALSE)),"",(VLOOKUP($B34,'E-1 Off Site Hedge Baseline'!$B$1:$L$257,8,FALSE))))</f>
        <v/>
      </c>
      <c r="I34" s="520" t="str">
        <f>IF(B34="","",IF(ISNA(VLOOKUP($B34,'E-1 Off Site Hedge Baseline'!$B$1:$L$257,10,FALSE)),"",(VLOOKUP($B34,'E-1 Off Site Hedge Baseline'!$B$1:$L$257,10,FALSE))))</f>
        <v/>
      </c>
      <c r="J34" s="520" t="str">
        <f>IF(B34="","",IF(ISNA(VLOOKUP($B34,'E-1 Off Site Hedge Baseline'!$B$1:$L$257,11,FALSE)),"",(VLOOKUP($B34,'E-1 Off Site Hedge Baseline'!$B$1:$L$257,11,FALSE))))</f>
        <v/>
      </c>
      <c r="K34" s="520" t="str">
        <f>IF(B34="","",IF(ISNA(VLOOKUP($B34,'E-1 Off Site Hedge Baseline'!$B$1:$U$257,113,FALSE)),"",(VLOOKUP($B34,'E-1 Off Site Hedge Baseline'!$B$1:$U$257,13,FALSE))))</f>
        <v/>
      </c>
      <c r="L34" s="507" t="str">
        <f>IF(B34="","",IF(ISNA(VLOOKUP($B34,'E-1 Off Site Hedge Baseline'!$B$1:$U$257,12,FALSE)),"",(VLOOKUP($B34,'E-1 Off Site Hedge Baseline'!$B$1:$U$257,12,FALSE))))</f>
        <v/>
      </c>
      <c r="M34" s="418" t="str">
        <f t="shared" si="8"/>
        <v/>
      </c>
      <c r="N34" s="498" t="str">
        <f>IFERROR(IF(B34="","",INDEX('G-6 Hedgerow Data'!$AN$3:$AZ$15,MATCH(C34,'G-6 Hedgerow Data'!$AM$3:$AM$15,0),MATCH(M34,'G-6 Hedgerow Data'!$AN$2:$AZ$2,0))),"")</f>
        <v/>
      </c>
      <c r="O34" s="499" t="str">
        <f t="shared" si="2"/>
        <v/>
      </c>
      <c r="P34" s="505" t="str">
        <f>IF(B34="","",VLOOKUP(B34,'E-1 Off Site Hedge Baseline'!$B$10:T279,16,FALSE))</f>
        <v/>
      </c>
      <c r="Q34" s="498" t="str">
        <f>IF(M34="","",VLOOKUP(M34,'G-6 Hedgerow Data'!$B$2:$AG$15,2,FALSE))</f>
        <v/>
      </c>
      <c r="R34" s="499" t="str">
        <f>IF(M34="","",VLOOKUP(M34,'G-6 Hedgerow Data'!$B$2:$AG$15,3,FALSE))</f>
        <v/>
      </c>
      <c r="S34" s="145"/>
      <c r="T34" s="499" t="str">
        <f>IFERROR(IF(AND(Q34="V.Low",OR(S34="Good",S34="Moderate")),"Error ▲",VLOOKUP(S34,'G-1 All Habitats'!$Z$2:$AA$9,2,FALSE)),"")</f>
        <v/>
      </c>
      <c r="U34" s="145"/>
      <c r="V34" s="507" t="str">
        <f>IF(U34="","",IF(VLOOKUP(U34,'G-3 Multipliers'!$L$3:$N$6,2,FALSE)=0,"Spatial Data Missing ⚠",VLOOKUP(U34,'G-3 Multipliers'!$L$3:$N$6,2,FALSE)))</f>
        <v/>
      </c>
      <c r="W34" s="505" t="str">
        <f>IF(U34="","",IF(VLOOKUP(U34,'G-3 Multipliers'!$L$3:$N$6,3,FALSE)=0,"Spatial Data Missing ⚠",VLOOKUP(U34,'G-3 Multipliers'!$L$3:$N$6,3,FALSE)))</f>
        <v/>
      </c>
      <c r="X34" s="498" t="str">
        <f>IFERROR(IF(OR(LEFT(O34,5)="Error ▲",LEFT(N34,5)="Error ▲",T34="Error ▲"),"Check Data ⚠",IF(F34&lt;R34,INDEX('G-6 Hedgerow Data'!$S$3:$AE$14,MATCH(C34,'G-6 Hedgerow Data'!$B$3:$B$14,0),MATCH(M34,'G-6 Hedgerow Data'!$S$2:$AE$2,0)),INDEX('G-6 Hedgerow Data'!$K$3:$Q$14,MATCH(M34,'G-6 Hedgerow Data'!$B$3:$B$14,0),MATCH(O34,'G-6 Hedgerow Data'!$K$2:$Q$2,0)))),"")</f>
        <v/>
      </c>
      <c r="Y34" s="195"/>
      <c r="Z34" s="195"/>
      <c r="AA34" s="507" t="str">
        <f t="shared" si="3"/>
        <v/>
      </c>
      <c r="AB34" s="521" t="str">
        <f t="shared" si="4"/>
        <v/>
      </c>
      <c r="AC34" s="522" t="str">
        <f t="shared" si="1"/>
        <v/>
      </c>
      <c r="AD34" s="537" t="str">
        <f>IF(M34="","",VLOOKUP(M34,'G-6 Hedgerow Data'!$B$3:$AG$15,31,FALSE))</f>
        <v/>
      </c>
      <c r="AE34" s="520" t="str">
        <f t="shared" si="5"/>
        <v/>
      </c>
      <c r="AF34" s="520" t="str">
        <f t="shared" si="6"/>
        <v/>
      </c>
      <c r="AG34" s="524" t="str">
        <f>IFERROR(IF(O34="","",VLOOKUP(AD34,'G-3 Multipliers'!$P$3:$Q$6,2,FALSE)),"")</f>
        <v/>
      </c>
      <c r="AH34" s="197"/>
      <c r="AI34" s="499" t="str">
        <f>IF(AH34="","",IF(VLOOKUP(AH34,'G-3 Multipliers'!$S$3:$T$6,2,FALSE)=0,"Spatial Data Missing ⚠",VLOOKUP(AH34,'G-3 Multipliers'!$S$3:$T$6,2,FALSE)))</f>
        <v/>
      </c>
      <c r="AJ34" s="545" t="str">
        <f t="shared" si="7"/>
        <v/>
      </c>
      <c r="AK34" s="149"/>
      <c r="AL34" s="150"/>
      <c r="AP34" s="31" t="str">
        <f>IFERROR(INDEX('G-6 Hedgerow Data'!$BJ$3:$BJ$15,MATCH(M34,'G-6 Hedgerow Data'!$B$3:$B$15,0)),"")</f>
        <v/>
      </c>
    </row>
    <row r="35" spans="2:42" ht="14" x14ac:dyDescent="0.3">
      <c r="B35" s="531" t="str">
        <f>'E-1 Off Site Hedge Baseline'!AK33</f>
        <v/>
      </c>
      <c r="C35" s="520" t="str">
        <f>IF(B35="","",IF(ISNA(VLOOKUP($B35,'E-1 Off Site Hedge Baseline'!$B$1:$L$257,3,FALSE)),"",(VLOOKUP($B35,'E-1 Off Site Hedge Baseline'!$B$1:$L$257,3,FALSE))))</f>
        <v/>
      </c>
      <c r="D35" s="520" t="str">
        <f>IF(B35="","",IF(ISNA(VLOOKUP($B35,'E-1 Off Site Hedge Baseline'!$B$1:$L$258,4,FALSE)),"",(VLOOKUP($B35,'E-1 Off Site Hedge Baseline'!$B$1:$L$258,4,FALSE))))</f>
        <v/>
      </c>
      <c r="E35" s="520" t="str">
        <f>IF(B35="","",IF(ISNA(VLOOKUP($B35,'E-1 Off Site Hedge Baseline'!$B$1:$L$257,5,FALSE)),"",(VLOOKUP($B35,'E-1 Off Site Hedge Baseline'!$B$1:$L$257,5,FALSE))))</f>
        <v/>
      </c>
      <c r="F35" s="520" t="str">
        <f>IF(B35="","",IF(ISNA(VLOOKUP($B35,'E-1 Off Site Hedge Baseline'!$B$1:$L$257,6,FALSE)),"",(VLOOKUP($B35,'E-1 Off Site Hedge Baseline'!$B$1:$L$257,6,FALSE))))</f>
        <v/>
      </c>
      <c r="G35" s="520" t="str">
        <f>IF(B35="","",IF(ISNA(VLOOKUP($B35,'E-1 Off Site Hedge Baseline'!$B$1:$L$257,7,FALSE)),"",(VLOOKUP($B35,'E-1 Off Site Hedge Baseline'!$B$1:$L$257,7,FALSE))))</f>
        <v/>
      </c>
      <c r="H35" s="520" t="str">
        <f>IF(B35="","",IF(ISNA(VLOOKUP($B35,'E-1 Off Site Hedge Baseline'!$B$1:$L$257,8,FALSE)),"",(VLOOKUP($B35,'E-1 Off Site Hedge Baseline'!$B$1:$L$257,8,FALSE))))</f>
        <v/>
      </c>
      <c r="I35" s="520" t="str">
        <f>IF(B35="","",IF(ISNA(VLOOKUP($B35,'E-1 Off Site Hedge Baseline'!$B$1:$L$257,10,FALSE)),"",(VLOOKUP($B35,'E-1 Off Site Hedge Baseline'!$B$1:$L$257,10,FALSE))))</f>
        <v/>
      </c>
      <c r="J35" s="520" t="str">
        <f>IF(B35="","",IF(ISNA(VLOOKUP($B35,'E-1 Off Site Hedge Baseline'!$B$1:$L$257,11,FALSE)),"",(VLOOKUP($B35,'E-1 Off Site Hedge Baseline'!$B$1:$L$257,11,FALSE))))</f>
        <v/>
      </c>
      <c r="K35" s="520" t="str">
        <f>IF(B35="","",IF(ISNA(VLOOKUP($B35,'E-1 Off Site Hedge Baseline'!$B$1:$U$257,113,FALSE)),"",(VLOOKUP($B35,'E-1 Off Site Hedge Baseline'!$B$1:$U$257,13,FALSE))))</f>
        <v/>
      </c>
      <c r="L35" s="507" t="str">
        <f>IF(B35="","",IF(ISNA(VLOOKUP($B35,'E-1 Off Site Hedge Baseline'!$B$1:$U$257,12,FALSE)),"",(VLOOKUP($B35,'E-1 Off Site Hedge Baseline'!$B$1:$U$257,12,FALSE))))</f>
        <v/>
      </c>
      <c r="M35" s="418" t="str">
        <f t="shared" si="8"/>
        <v/>
      </c>
      <c r="N35" s="498" t="str">
        <f>IFERROR(IF(B35="","",INDEX('G-6 Hedgerow Data'!$AN$3:$AZ$15,MATCH(C35,'G-6 Hedgerow Data'!$AM$3:$AM$15,0),MATCH(M35,'G-6 Hedgerow Data'!$AN$2:$AZ$2,0))),"")</f>
        <v/>
      </c>
      <c r="O35" s="499" t="str">
        <f t="shared" si="2"/>
        <v/>
      </c>
      <c r="P35" s="505" t="str">
        <f>IF(B35="","",VLOOKUP(B35,'E-1 Off Site Hedge Baseline'!$B$10:T280,16,FALSE))</f>
        <v/>
      </c>
      <c r="Q35" s="498" t="str">
        <f>IF(M35="","",VLOOKUP(M35,'G-6 Hedgerow Data'!$B$2:$AG$15,2,FALSE))</f>
        <v/>
      </c>
      <c r="R35" s="499" t="str">
        <f>IF(M35="","",VLOOKUP(M35,'G-6 Hedgerow Data'!$B$2:$AG$15,3,FALSE))</f>
        <v/>
      </c>
      <c r="S35" s="145"/>
      <c r="T35" s="499" t="str">
        <f>IFERROR(IF(AND(Q35="V.Low",OR(S35="Good",S35="Moderate")),"Error ▲",VLOOKUP(S35,'G-1 All Habitats'!$Z$2:$AA$9,2,FALSE)),"")</f>
        <v/>
      </c>
      <c r="U35" s="145"/>
      <c r="V35" s="507" t="str">
        <f>IF(U35="","",IF(VLOOKUP(U35,'G-3 Multipliers'!$L$3:$N$6,2,FALSE)=0,"Spatial Data Missing ⚠",VLOOKUP(U35,'G-3 Multipliers'!$L$3:$N$6,2,FALSE)))</f>
        <v/>
      </c>
      <c r="W35" s="505" t="str">
        <f>IF(U35="","",IF(VLOOKUP(U35,'G-3 Multipliers'!$L$3:$N$6,3,FALSE)=0,"Spatial Data Missing ⚠",VLOOKUP(U35,'G-3 Multipliers'!$L$3:$N$6,3,FALSE)))</f>
        <v/>
      </c>
      <c r="X35" s="498" t="str">
        <f>IFERROR(IF(OR(LEFT(O35,5)="Error ▲",LEFT(N35,5)="Error ▲",T35="Error ▲"),"Check Data ⚠",IF(F35&lt;R35,INDEX('G-6 Hedgerow Data'!$S$3:$AE$14,MATCH(C35,'G-6 Hedgerow Data'!$B$3:$B$14,0),MATCH(M35,'G-6 Hedgerow Data'!$S$2:$AE$2,0)),INDEX('G-6 Hedgerow Data'!$K$3:$Q$14,MATCH(M35,'G-6 Hedgerow Data'!$B$3:$B$14,0),MATCH(O35,'G-6 Hedgerow Data'!$K$2:$Q$2,0)))),"")</f>
        <v/>
      </c>
      <c r="Y35" s="195"/>
      <c r="Z35" s="195"/>
      <c r="AA35" s="507" t="str">
        <f t="shared" si="3"/>
        <v/>
      </c>
      <c r="AB35" s="521" t="str">
        <f t="shared" si="4"/>
        <v/>
      </c>
      <c r="AC35" s="522" t="str">
        <f t="shared" si="1"/>
        <v/>
      </c>
      <c r="AD35" s="537" t="str">
        <f>IF(M35="","",VLOOKUP(M35,'G-6 Hedgerow Data'!$B$3:$AG$15,31,FALSE))</f>
        <v/>
      </c>
      <c r="AE35" s="520" t="str">
        <f t="shared" si="5"/>
        <v/>
      </c>
      <c r="AF35" s="520" t="str">
        <f t="shared" si="6"/>
        <v/>
      </c>
      <c r="AG35" s="524" t="str">
        <f>IFERROR(IF(O35="","",VLOOKUP(AD35,'G-3 Multipliers'!$P$3:$Q$6,2,FALSE)),"")</f>
        <v/>
      </c>
      <c r="AH35" s="197"/>
      <c r="AI35" s="499" t="str">
        <f>IF(AH35="","",IF(VLOOKUP(AH35,'G-3 Multipliers'!$S$3:$T$6,2,FALSE)=0,"Spatial Data Missing ⚠",VLOOKUP(AH35,'G-3 Multipliers'!$S$3:$T$6,2,FALSE)))</f>
        <v/>
      </c>
      <c r="AJ35" s="545" t="str">
        <f t="shared" si="7"/>
        <v/>
      </c>
      <c r="AK35" s="149"/>
      <c r="AL35" s="150"/>
      <c r="AP35" s="31" t="str">
        <f>IFERROR(INDEX('G-6 Hedgerow Data'!$BJ$3:$BJ$15,MATCH(M35,'G-6 Hedgerow Data'!$B$3:$B$15,0)),"")</f>
        <v/>
      </c>
    </row>
    <row r="36" spans="2:42" ht="14" x14ac:dyDescent="0.3">
      <c r="B36" s="531" t="str">
        <f>'E-1 Off Site Hedge Baseline'!AK34</f>
        <v/>
      </c>
      <c r="C36" s="520" t="str">
        <f>IF(B36="","",IF(ISNA(VLOOKUP($B36,'E-1 Off Site Hedge Baseline'!$B$1:$L$257,3,FALSE)),"",(VLOOKUP($B36,'E-1 Off Site Hedge Baseline'!$B$1:$L$257,3,FALSE))))</f>
        <v/>
      </c>
      <c r="D36" s="520" t="str">
        <f>IF(B36="","",IF(ISNA(VLOOKUP($B36,'E-1 Off Site Hedge Baseline'!$B$1:$L$258,4,FALSE)),"",(VLOOKUP($B36,'E-1 Off Site Hedge Baseline'!$B$1:$L$258,4,FALSE))))</f>
        <v/>
      </c>
      <c r="E36" s="520" t="str">
        <f>IF(B36="","",IF(ISNA(VLOOKUP($B36,'E-1 Off Site Hedge Baseline'!$B$1:$L$257,5,FALSE)),"",(VLOOKUP($B36,'E-1 Off Site Hedge Baseline'!$B$1:$L$257,5,FALSE))))</f>
        <v/>
      </c>
      <c r="F36" s="520" t="str">
        <f>IF(B36="","",IF(ISNA(VLOOKUP($B36,'E-1 Off Site Hedge Baseline'!$B$1:$L$257,6,FALSE)),"",(VLOOKUP($B36,'E-1 Off Site Hedge Baseline'!$B$1:$L$257,6,FALSE))))</f>
        <v/>
      </c>
      <c r="G36" s="520" t="str">
        <f>IF(B36="","",IF(ISNA(VLOOKUP($B36,'E-1 Off Site Hedge Baseline'!$B$1:$L$257,7,FALSE)),"",(VLOOKUP($B36,'E-1 Off Site Hedge Baseline'!$B$1:$L$257,7,FALSE))))</f>
        <v/>
      </c>
      <c r="H36" s="520" t="str">
        <f>IF(B36="","",IF(ISNA(VLOOKUP($B36,'E-1 Off Site Hedge Baseline'!$B$1:$L$257,8,FALSE)),"",(VLOOKUP($B36,'E-1 Off Site Hedge Baseline'!$B$1:$L$257,8,FALSE))))</f>
        <v/>
      </c>
      <c r="I36" s="520" t="str">
        <f>IF(B36="","",IF(ISNA(VLOOKUP($B36,'E-1 Off Site Hedge Baseline'!$B$1:$L$257,10,FALSE)),"",(VLOOKUP($B36,'E-1 Off Site Hedge Baseline'!$B$1:$L$257,10,FALSE))))</f>
        <v/>
      </c>
      <c r="J36" s="520" t="str">
        <f>IF(B36="","",IF(ISNA(VLOOKUP($B36,'E-1 Off Site Hedge Baseline'!$B$1:$L$257,11,FALSE)),"",(VLOOKUP($B36,'E-1 Off Site Hedge Baseline'!$B$1:$L$257,11,FALSE))))</f>
        <v/>
      </c>
      <c r="K36" s="520" t="str">
        <f>IF(B36="","",IF(ISNA(VLOOKUP($B36,'E-1 Off Site Hedge Baseline'!$B$1:$U$257,113,FALSE)),"",(VLOOKUP($B36,'E-1 Off Site Hedge Baseline'!$B$1:$U$257,13,FALSE))))</f>
        <v/>
      </c>
      <c r="L36" s="507" t="str">
        <f>IF(B36="","",IF(ISNA(VLOOKUP($B36,'E-1 Off Site Hedge Baseline'!$B$1:$U$257,12,FALSE)),"",(VLOOKUP($B36,'E-1 Off Site Hedge Baseline'!$B$1:$U$257,12,FALSE))))</f>
        <v/>
      </c>
      <c r="M36" s="418" t="str">
        <f t="shared" si="8"/>
        <v/>
      </c>
      <c r="N36" s="498" t="str">
        <f>IFERROR(IF(B36="","",INDEX('G-6 Hedgerow Data'!$AN$3:$AZ$15,MATCH(C36,'G-6 Hedgerow Data'!$AM$3:$AM$15,0),MATCH(M36,'G-6 Hedgerow Data'!$AN$2:$AZ$2,0))),"")</f>
        <v/>
      </c>
      <c r="O36" s="499" t="str">
        <f t="shared" si="2"/>
        <v/>
      </c>
      <c r="P36" s="505" t="str">
        <f>IF(B36="","",VLOOKUP(B36,'E-1 Off Site Hedge Baseline'!$B$10:T281,16,FALSE))</f>
        <v/>
      </c>
      <c r="Q36" s="498" t="str">
        <f>IF(M36="","",VLOOKUP(M36,'G-6 Hedgerow Data'!$B$2:$AG$15,2,FALSE))</f>
        <v/>
      </c>
      <c r="R36" s="499" t="str">
        <f>IF(M36="","",VLOOKUP(M36,'G-6 Hedgerow Data'!$B$2:$AG$15,3,FALSE))</f>
        <v/>
      </c>
      <c r="S36" s="145"/>
      <c r="T36" s="499" t="str">
        <f>IFERROR(IF(AND(Q36="V.Low",OR(S36="Good",S36="Moderate")),"Error ▲",VLOOKUP(S36,'G-1 All Habitats'!$Z$2:$AA$9,2,FALSE)),"")</f>
        <v/>
      </c>
      <c r="U36" s="145"/>
      <c r="V36" s="507" t="str">
        <f>IF(U36="","",IF(VLOOKUP(U36,'G-3 Multipliers'!$L$3:$N$6,2,FALSE)=0,"Spatial Data Missing ⚠",VLOOKUP(U36,'G-3 Multipliers'!$L$3:$N$6,2,FALSE)))</f>
        <v/>
      </c>
      <c r="W36" s="505" t="str">
        <f>IF(U36="","",IF(VLOOKUP(U36,'G-3 Multipliers'!$L$3:$N$6,3,FALSE)=0,"Spatial Data Missing ⚠",VLOOKUP(U36,'G-3 Multipliers'!$L$3:$N$6,3,FALSE)))</f>
        <v/>
      </c>
      <c r="X36" s="498" t="str">
        <f>IFERROR(IF(OR(LEFT(O36,5)="Error ▲",LEFT(N36,5)="Error ▲",T36="Error ▲"),"Check Data ⚠",IF(F36&lt;R36,INDEX('G-6 Hedgerow Data'!$S$3:$AE$14,MATCH(C36,'G-6 Hedgerow Data'!$B$3:$B$14,0),MATCH(M36,'G-6 Hedgerow Data'!$S$2:$AE$2,0)),INDEX('G-6 Hedgerow Data'!$K$3:$Q$14,MATCH(M36,'G-6 Hedgerow Data'!$B$3:$B$14,0),MATCH(O36,'G-6 Hedgerow Data'!$K$2:$Q$2,0)))),"")</f>
        <v/>
      </c>
      <c r="Y36" s="195"/>
      <c r="Z36" s="195"/>
      <c r="AA36" s="507" t="str">
        <f t="shared" si="3"/>
        <v/>
      </c>
      <c r="AB36" s="521" t="str">
        <f t="shared" si="4"/>
        <v/>
      </c>
      <c r="AC36" s="522" t="str">
        <f t="shared" si="1"/>
        <v/>
      </c>
      <c r="AD36" s="537" t="str">
        <f>IF(M36="","",VLOOKUP(M36,'G-6 Hedgerow Data'!$B$3:$AG$15,31,FALSE))</f>
        <v/>
      </c>
      <c r="AE36" s="520" t="str">
        <f t="shared" si="5"/>
        <v/>
      </c>
      <c r="AF36" s="520" t="str">
        <f t="shared" si="6"/>
        <v/>
      </c>
      <c r="AG36" s="524" t="str">
        <f>IFERROR(IF(O36="","",VLOOKUP(AD36,'G-3 Multipliers'!$P$3:$Q$6,2,FALSE)),"")</f>
        <v/>
      </c>
      <c r="AH36" s="197"/>
      <c r="AI36" s="499" t="str">
        <f>IF(AH36="","",IF(VLOOKUP(AH36,'G-3 Multipliers'!$S$3:$T$6,2,FALSE)=0,"Spatial Data Missing ⚠",VLOOKUP(AH36,'G-3 Multipliers'!$S$3:$T$6,2,FALSE)))</f>
        <v/>
      </c>
      <c r="AJ36" s="545" t="str">
        <f t="shared" si="7"/>
        <v/>
      </c>
      <c r="AK36" s="149"/>
      <c r="AL36" s="150"/>
      <c r="AP36" s="31" t="str">
        <f>IFERROR(INDEX('G-6 Hedgerow Data'!$BJ$3:$BJ$15,MATCH(M36,'G-6 Hedgerow Data'!$B$3:$B$15,0)),"")</f>
        <v/>
      </c>
    </row>
    <row r="37" spans="2:42" ht="14" x14ac:dyDescent="0.3">
      <c r="B37" s="531" t="str">
        <f>'E-1 Off Site Hedge Baseline'!AK35</f>
        <v/>
      </c>
      <c r="C37" s="520" t="str">
        <f>IF(B37="","",IF(ISNA(VLOOKUP($B37,'E-1 Off Site Hedge Baseline'!$B$1:$L$257,3,FALSE)),"",(VLOOKUP($B37,'E-1 Off Site Hedge Baseline'!$B$1:$L$257,3,FALSE))))</f>
        <v/>
      </c>
      <c r="D37" s="520" t="str">
        <f>IF(B37="","",IF(ISNA(VLOOKUP($B37,'E-1 Off Site Hedge Baseline'!$B$1:$L$258,4,FALSE)),"",(VLOOKUP($B37,'E-1 Off Site Hedge Baseline'!$B$1:$L$258,4,FALSE))))</f>
        <v/>
      </c>
      <c r="E37" s="520" t="str">
        <f>IF(B37="","",IF(ISNA(VLOOKUP($B37,'E-1 Off Site Hedge Baseline'!$B$1:$L$257,5,FALSE)),"",(VLOOKUP($B37,'E-1 Off Site Hedge Baseline'!$B$1:$L$257,5,FALSE))))</f>
        <v/>
      </c>
      <c r="F37" s="520" t="str">
        <f>IF(B37="","",IF(ISNA(VLOOKUP($B37,'E-1 Off Site Hedge Baseline'!$B$1:$L$257,6,FALSE)),"",(VLOOKUP($B37,'E-1 Off Site Hedge Baseline'!$B$1:$L$257,6,FALSE))))</f>
        <v/>
      </c>
      <c r="G37" s="520" t="str">
        <f>IF(B37="","",IF(ISNA(VLOOKUP($B37,'E-1 Off Site Hedge Baseline'!$B$1:$L$257,7,FALSE)),"",(VLOOKUP($B37,'E-1 Off Site Hedge Baseline'!$B$1:$L$257,7,FALSE))))</f>
        <v/>
      </c>
      <c r="H37" s="520" t="str">
        <f>IF(B37="","",IF(ISNA(VLOOKUP($B37,'E-1 Off Site Hedge Baseline'!$B$1:$L$257,8,FALSE)),"",(VLOOKUP($B37,'E-1 Off Site Hedge Baseline'!$B$1:$L$257,8,FALSE))))</f>
        <v/>
      </c>
      <c r="I37" s="520" t="str">
        <f>IF(B37="","",IF(ISNA(VLOOKUP($B37,'E-1 Off Site Hedge Baseline'!$B$1:$L$257,10,FALSE)),"",(VLOOKUP($B37,'E-1 Off Site Hedge Baseline'!$B$1:$L$257,10,FALSE))))</f>
        <v/>
      </c>
      <c r="J37" s="520" t="str">
        <f>IF(B37="","",IF(ISNA(VLOOKUP($B37,'E-1 Off Site Hedge Baseline'!$B$1:$L$257,11,FALSE)),"",(VLOOKUP($B37,'E-1 Off Site Hedge Baseline'!$B$1:$L$257,11,FALSE))))</f>
        <v/>
      </c>
      <c r="K37" s="520" t="str">
        <f>IF(B37="","",IF(ISNA(VLOOKUP($B37,'E-1 Off Site Hedge Baseline'!$B$1:$U$257,113,FALSE)),"",(VLOOKUP($B37,'E-1 Off Site Hedge Baseline'!$B$1:$U$257,13,FALSE))))</f>
        <v/>
      </c>
      <c r="L37" s="507" t="str">
        <f>IF(B37="","",IF(ISNA(VLOOKUP($B37,'E-1 Off Site Hedge Baseline'!$B$1:$U$257,12,FALSE)),"",(VLOOKUP($B37,'E-1 Off Site Hedge Baseline'!$B$1:$U$257,12,FALSE))))</f>
        <v/>
      </c>
      <c r="M37" s="418" t="str">
        <f t="shared" si="8"/>
        <v/>
      </c>
      <c r="N37" s="498" t="str">
        <f>IFERROR(IF(B37="","",INDEX('G-6 Hedgerow Data'!$AN$3:$AZ$15,MATCH(C37,'G-6 Hedgerow Data'!$AM$3:$AM$15,0),MATCH(M37,'G-6 Hedgerow Data'!$AN$2:$AZ$2,0))),"")</f>
        <v/>
      </c>
      <c r="O37" s="499" t="str">
        <f t="shared" si="2"/>
        <v/>
      </c>
      <c r="P37" s="505" t="str">
        <f>IF(B37="","",VLOOKUP(B37,'E-1 Off Site Hedge Baseline'!$B$10:T282,16,FALSE))</f>
        <v/>
      </c>
      <c r="Q37" s="498" t="str">
        <f>IF(M37="","",VLOOKUP(M37,'G-6 Hedgerow Data'!$B$2:$AG$15,2,FALSE))</f>
        <v/>
      </c>
      <c r="R37" s="499" t="str">
        <f>IF(M37="","",VLOOKUP(M37,'G-6 Hedgerow Data'!$B$2:$AG$15,3,FALSE))</f>
        <v/>
      </c>
      <c r="S37" s="145"/>
      <c r="T37" s="499" t="str">
        <f>IFERROR(IF(AND(Q37="V.Low",OR(S37="Good",S37="Moderate")),"Error ▲",VLOOKUP(S37,'G-1 All Habitats'!$Z$2:$AA$9,2,FALSE)),"")</f>
        <v/>
      </c>
      <c r="U37" s="145"/>
      <c r="V37" s="507" t="str">
        <f>IF(U37="","",IF(VLOOKUP(U37,'G-3 Multipliers'!$L$3:$N$6,2,FALSE)=0,"Spatial Data Missing ⚠",VLOOKUP(U37,'G-3 Multipliers'!$L$3:$N$6,2,FALSE)))</f>
        <v/>
      </c>
      <c r="W37" s="505" t="str">
        <f>IF(U37="","",IF(VLOOKUP(U37,'G-3 Multipliers'!$L$3:$N$6,3,FALSE)=0,"Spatial Data Missing ⚠",VLOOKUP(U37,'G-3 Multipliers'!$L$3:$N$6,3,FALSE)))</f>
        <v/>
      </c>
      <c r="X37" s="498" t="str">
        <f>IFERROR(IF(OR(LEFT(O37,5)="Error ▲",LEFT(N37,5)="Error ▲",T37="Error ▲"),"Check Data ⚠",IF(F37&lt;R37,INDEX('G-6 Hedgerow Data'!$S$3:$AE$14,MATCH(C37,'G-6 Hedgerow Data'!$B$3:$B$14,0),MATCH(M37,'G-6 Hedgerow Data'!$S$2:$AE$2,0)),INDEX('G-6 Hedgerow Data'!$K$3:$Q$14,MATCH(M37,'G-6 Hedgerow Data'!$B$3:$B$14,0),MATCH(O37,'G-6 Hedgerow Data'!$K$2:$Q$2,0)))),"")</f>
        <v/>
      </c>
      <c r="Y37" s="195"/>
      <c r="Z37" s="195"/>
      <c r="AA37" s="507" t="str">
        <f t="shared" si="3"/>
        <v/>
      </c>
      <c r="AB37" s="521" t="str">
        <f t="shared" si="4"/>
        <v/>
      </c>
      <c r="AC37" s="522" t="str">
        <f t="shared" si="1"/>
        <v/>
      </c>
      <c r="AD37" s="537" t="str">
        <f>IF(M37="","",VLOOKUP(M37,'G-6 Hedgerow Data'!$B$3:$AG$15,31,FALSE))</f>
        <v/>
      </c>
      <c r="AE37" s="520" t="str">
        <f t="shared" si="5"/>
        <v/>
      </c>
      <c r="AF37" s="520" t="str">
        <f t="shared" si="6"/>
        <v/>
      </c>
      <c r="AG37" s="524" t="str">
        <f>IFERROR(IF(O37="","",VLOOKUP(AD37,'G-3 Multipliers'!$P$3:$Q$6,2,FALSE)),"")</f>
        <v/>
      </c>
      <c r="AH37" s="197"/>
      <c r="AI37" s="499" t="str">
        <f>IF(AH37="","",IF(VLOOKUP(AH37,'G-3 Multipliers'!$S$3:$T$6,2,FALSE)=0,"Spatial Data Missing ⚠",VLOOKUP(AH37,'G-3 Multipliers'!$S$3:$T$6,2,FALSE)))</f>
        <v/>
      </c>
      <c r="AJ37" s="545" t="str">
        <f t="shared" si="7"/>
        <v/>
      </c>
      <c r="AK37" s="149"/>
      <c r="AL37" s="150"/>
      <c r="AP37" s="31" t="str">
        <f>IFERROR(INDEX('G-6 Hedgerow Data'!$BJ$3:$BJ$15,MATCH(M37,'G-6 Hedgerow Data'!$B$3:$B$15,0)),"")</f>
        <v/>
      </c>
    </row>
    <row r="38" spans="2:42" ht="14" x14ac:dyDescent="0.3">
      <c r="B38" s="531" t="str">
        <f>'E-1 Off Site Hedge Baseline'!AK36</f>
        <v/>
      </c>
      <c r="C38" s="520" t="str">
        <f>IF(B38="","",IF(ISNA(VLOOKUP($B38,'E-1 Off Site Hedge Baseline'!$B$1:$L$257,3,FALSE)),"",(VLOOKUP($B38,'E-1 Off Site Hedge Baseline'!$B$1:$L$257,3,FALSE))))</f>
        <v/>
      </c>
      <c r="D38" s="520" t="str">
        <f>IF(B38="","",IF(ISNA(VLOOKUP($B38,'E-1 Off Site Hedge Baseline'!$B$1:$L$258,4,FALSE)),"",(VLOOKUP($B38,'E-1 Off Site Hedge Baseline'!$B$1:$L$258,4,FALSE))))</f>
        <v/>
      </c>
      <c r="E38" s="520" t="str">
        <f>IF(B38="","",IF(ISNA(VLOOKUP($B38,'E-1 Off Site Hedge Baseline'!$B$1:$L$257,5,FALSE)),"",(VLOOKUP($B38,'E-1 Off Site Hedge Baseline'!$B$1:$L$257,5,FALSE))))</f>
        <v/>
      </c>
      <c r="F38" s="520" t="str">
        <f>IF(B38="","",IF(ISNA(VLOOKUP($B38,'E-1 Off Site Hedge Baseline'!$B$1:$L$257,6,FALSE)),"",(VLOOKUP($B38,'E-1 Off Site Hedge Baseline'!$B$1:$L$257,6,FALSE))))</f>
        <v/>
      </c>
      <c r="G38" s="520" t="str">
        <f>IF(B38="","",IF(ISNA(VLOOKUP($B38,'E-1 Off Site Hedge Baseline'!$B$1:$L$257,7,FALSE)),"",(VLOOKUP($B38,'E-1 Off Site Hedge Baseline'!$B$1:$L$257,7,FALSE))))</f>
        <v/>
      </c>
      <c r="H38" s="520" t="str">
        <f>IF(B38="","",IF(ISNA(VLOOKUP($B38,'E-1 Off Site Hedge Baseline'!$B$1:$L$257,8,FALSE)),"",(VLOOKUP($B38,'E-1 Off Site Hedge Baseline'!$B$1:$L$257,8,FALSE))))</f>
        <v/>
      </c>
      <c r="I38" s="520" t="str">
        <f>IF(B38="","",IF(ISNA(VLOOKUP($B38,'E-1 Off Site Hedge Baseline'!$B$1:$L$257,10,FALSE)),"",(VLOOKUP($B38,'E-1 Off Site Hedge Baseline'!$B$1:$L$257,10,FALSE))))</f>
        <v/>
      </c>
      <c r="J38" s="520" t="str">
        <f>IF(B38="","",IF(ISNA(VLOOKUP($B38,'E-1 Off Site Hedge Baseline'!$B$1:$L$257,11,FALSE)),"",(VLOOKUP($B38,'E-1 Off Site Hedge Baseline'!$B$1:$L$257,11,FALSE))))</f>
        <v/>
      </c>
      <c r="K38" s="520" t="str">
        <f>IF(B38="","",IF(ISNA(VLOOKUP($B38,'E-1 Off Site Hedge Baseline'!$B$1:$U$257,113,FALSE)),"",(VLOOKUP($B38,'E-1 Off Site Hedge Baseline'!$B$1:$U$257,13,FALSE))))</f>
        <v/>
      </c>
      <c r="L38" s="507" t="str">
        <f>IF(B38="","",IF(ISNA(VLOOKUP($B38,'E-1 Off Site Hedge Baseline'!$B$1:$U$257,12,FALSE)),"",(VLOOKUP($B38,'E-1 Off Site Hedge Baseline'!$B$1:$U$257,12,FALSE))))</f>
        <v/>
      </c>
      <c r="M38" s="418" t="str">
        <f t="shared" si="8"/>
        <v/>
      </c>
      <c r="N38" s="498" t="str">
        <f>IFERROR(IF(B38="","",INDEX('G-6 Hedgerow Data'!$AN$3:$AZ$15,MATCH(C38,'G-6 Hedgerow Data'!$AM$3:$AM$15,0),MATCH(M38,'G-6 Hedgerow Data'!$AN$2:$AZ$2,0))),"")</f>
        <v/>
      </c>
      <c r="O38" s="499" t="str">
        <f t="shared" si="2"/>
        <v/>
      </c>
      <c r="P38" s="505" t="str">
        <f>IF(B38="","",VLOOKUP(B38,'E-1 Off Site Hedge Baseline'!$B$10:T283,16,FALSE))</f>
        <v/>
      </c>
      <c r="Q38" s="498" t="str">
        <f>IF(M38="","",VLOOKUP(M38,'G-6 Hedgerow Data'!$B$2:$AG$15,2,FALSE))</f>
        <v/>
      </c>
      <c r="R38" s="499" t="str">
        <f>IF(M38="","",VLOOKUP(M38,'G-6 Hedgerow Data'!$B$2:$AG$15,3,FALSE))</f>
        <v/>
      </c>
      <c r="S38" s="145"/>
      <c r="T38" s="499" t="str">
        <f>IFERROR(IF(AND(Q38="V.Low",OR(S38="Good",S38="Moderate")),"Error ▲",VLOOKUP(S38,'G-1 All Habitats'!$Z$2:$AA$9,2,FALSE)),"")</f>
        <v/>
      </c>
      <c r="U38" s="145"/>
      <c r="V38" s="507" t="str">
        <f>IF(U38="","",IF(VLOOKUP(U38,'G-3 Multipliers'!$L$3:$N$6,2,FALSE)=0,"Spatial Data Missing ⚠",VLOOKUP(U38,'G-3 Multipliers'!$L$3:$N$6,2,FALSE)))</f>
        <v/>
      </c>
      <c r="W38" s="505" t="str">
        <f>IF(U38="","",IF(VLOOKUP(U38,'G-3 Multipliers'!$L$3:$N$6,3,FALSE)=0,"Spatial Data Missing ⚠",VLOOKUP(U38,'G-3 Multipliers'!$L$3:$N$6,3,FALSE)))</f>
        <v/>
      </c>
      <c r="X38" s="498" t="str">
        <f>IFERROR(IF(OR(LEFT(O38,5)="Error ▲",LEFT(N38,5)="Error ▲",T38="Error ▲"),"Check Data ⚠",IF(F38&lt;R38,INDEX('G-6 Hedgerow Data'!$S$3:$AE$14,MATCH(C38,'G-6 Hedgerow Data'!$B$3:$B$14,0),MATCH(M38,'G-6 Hedgerow Data'!$S$2:$AE$2,0)),INDEX('G-6 Hedgerow Data'!$K$3:$Q$14,MATCH(M38,'G-6 Hedgerow Data'!$B$3:$B$14,0),MATCH(O38,'G-6 Hedgerow Data'!$K$2:$Q$2,0)))),"")</f>
        <v/>
      </c>
      <c r="Y38" s="195"/>
      <c r="Z38" s="195"/>
      <c r="AA38" s="507" t="str">
        <f t="shared" si="3"/>
        <v/>
      </c>
      <c r="AB38" s="521" t="str">
        <f t="shared" si="4"/>
        <v/>
      </c>
      <c r="AC38" s="522" t="str">
        <f t="shared" si="1"/>
        <v/>
      </c>
      <c r="AD38" s="537" t="str">
        <f>IF(M38="","",VLOOKUP(M38,'G-6 Hedgerow Data'!$B$3:$AG$15,31,FALSE))</f>
        <v/>
      </c>
      <c r="AE38" s="520" t="str">
        <f t="shared" si="5"/>
        <v/>
      </c>
      <c r="AF38" s="520" t="str">
        <f t="shared" si="6"/>
        <v/>
      </c>
      <c r="AG38" s="524" t="str">
        <f>IFERROR(IF(O38="","",VLOOKUP(AD38,'G-3 Multipliers'!$P$3:$Q$6,2,FALSE)),"")</f>
        <v/>
      </c>
      <c r="AH38" s="197"/>
      <c r="AI38" s="499" t="str">
        <f>IF(AH38="","",IF(VLOOKUP(AH38,'G-3 Multipliers'!$S$3:$T$6,2,FALSE)=0,"Spatial Data Missing ⚠",VLOOKUP(AH38,'G-3 Multipliers'!$S$3:$T$6,2,FALSE)))</f>
        <v/>
      </c>
      <c r="AJ38" s="545" t="str">
        <f t="shared" si="7"/>
        <v/>
      </c>
      <c r="AK38" s="149"/>
      <c r="AL38" s="150"/>
      <c r="AP38" s="31" t="str">
        <f>IFERROR(INDEX('G-6 Hedgerow Data'!$BJ$3:$BJ$15,MATCH(M38,'G-6 Hedgerow Data'!$B$3:$B$15,0)),"")</f>
        <v/>
      </c>
    </row>
    <row r="39" spans="2:42" ht="14" x14ac:dyDescent="0.3">
      <c r="B39" s="531" t="str">
        <f>'E-1 Off Site Hedge Baseline'!AK37</f>
        <v/>
      </c>
      <c r="C39" s="520" t="str">
        <f>IF(B39="","",IF(ISNA(VLOOKUP($B39,'E-1 Off Site Hedge Baseline'!$B$1:$L$257,3,FALSE)),"",(VLOOKUP($B39,'E-1 Off Site Hedge Baseline'!$B$1:$L$257,3,FALSE))))</f>
        <v/>
      </c>
      <c r="D39" s="520" t="str">
        <f>IF(B39="","",IF(ISNA(VLOOKUP($B39,'E-1 Off Site Hedge Baseline'!$B$1:$L$258,4,FALSE)),"",(VLOOKUP($B39,'E-1 Off Site Hedge Baseline'!$B$1:$L$258,4,FALSE))))</f>
        <v/>
      </c>
      <c r="E39" s="520" t="str">
        <f>IF(B39="","",IF(ISNA(VLOOKUP($B39,'E-1 Off Site Hedge Baseline'!$B$1:$L$257,5,FALSE)),"",(VLOOKUP($B39,'E-1 Off Site Hedge Baseline'!$B$1:$L$257,5,FALSE))))</f>
        <v/>
      </c>
      <c r="F39" s="520" t="str">
        <f>IF(B39="","",IF(ISNA(VLOOKUP($B39,'E-1 Off Site Hedge Baseline'!$B$1:$L$257,6,FALSE)),"",(VLOOKUP($B39,'E-1 Off Site Hedge Baseline'!$B$1:$L$257,6,FALSE))))</f>
        <v/>
      </c>
      <c r="G39" s="520" t="str">
        <f>IF(B39="","",IF(ISNA(VLOOKUP($B39,'E-1 Off Site Hedge Baseline'!$B$1:$L$257,7,FALSE)),"",(VLOOKUP($B39,'E-1 Off Site Hedge Baseline'!$B$1:$L$257,7,FALSE))))</f>
        <v/>
      </c>
      <c r="H39" s="520" t="str">
        <f>IF(B39="","",IF(ISNA(VLOOKUP($B39,'E-1 Off Site Hedge Baseline'!$B$1:$L$257,8,FALSE)),"",(VLOOKUP($B39,'E-1 Off Site Hedge Baseline'!$B$1:$L$257,8,FALSE))))</f>
        <v/>
      </c>
      <c r="I39" s="520" t="str">
        <f>IF(B39="","",IF(ISNA(VLOOKUP($B39,'E-1 Off Site Hedge Baseline'!$B$1:$L$257,10,FALSE)),"",(VLOOKUP($B39,'E-1 Off Site Hedge Baseline'!$B$1:$L$257,10,FALSE))))</f>
        <v/>
      </c>
      <c r="J39" s="520" t="str">
        <f>IF(B39="","",IF(ISNA(VLOOKUP($B39,'E-1 Off Site Hedge Baseline'!$B$1:$L$257,11,FALSE)),"",(VLOOKUP($B39,'E-1 Off Site Hedge Baseline'!$B$1:$L$257,11,FALSE))))</f>
        <v/>
      </c>
      <c r="K39" s="520" t="str">
        <f>IF(B39="","",IF(ISNA(VLOOKUP($B39,'E-1 Off Site Hedge Baseline'!$B$1:$U$257,113,FALSE)),"",(VLOOKUP($B39,'E-1 Off Site Hedge Baseline'!$B$1:$U$257,13,FALSE))))</f>
        <v/>
      </c>
      <c r="L39" s="507" t="str">
        <f>IF(B39="","",IF(ISNA(VLOOKUP($B39,'E-1 Off Site Hedge Baseline'!$B$1:$U$257,12,FALSE)),"",(VLOOKUP($B39,'E-1 Off Site Hedge Baseline'!$B$1:$U$257,12,FALSE))))</f>
        <v/>
      </c>
      <c r="M39" s="418" t="str">
        <f t="shared" si="8"/>
        <v/>
      </c>
      <c r="N39" s="498" t="str">
        <f>IFERROR(IF(B39="","",INDEX('G-6 Hedgerow Data'!$AN$3:$AZ$15,MATCH(C39,'G-6 Hedgerow Data'!$AM$3:$AM$15,0),MATCH(M39,'G-6 Hedgerow Data'!$AN$2:$AZ$2,0))),"")</f>
        <v/>
      </c>
      <c r="O39" s="499" t="str">
        <f t="shared" si="2"/>
        <v/>
      </c>
      <c r="P39" s="505" t="str">
        <f>IF(B39="","",VLOOKUP(B39,'E-1 Off Site Hedge Baseline'!$B$10:T284,16,FALSE))</f>
        <v/>
      </c>
      <c r="Q39" s="498" t="str">
        <f>IF(M39="","",VLOOKUP(M39,'G-6 Hedgerow Data'!$B$2:$AG$15,2,FALSE))</f>
        <v/>
      </c>
      <c r="R39" s="499" t="str">
        <f>IF(M39="","",VLOOKUP(M39,'G-6 Hedgerow Data'!$B$2:$AG$15,3,FALSE))</f>
        <v/>
      </c>
      <c r="S39" s="145"/>
      <c r="T39" s="499" t="str">
        <f>IFERROR(IF(AND(Q39="V.Low",OR(S39="Good",S39="Moderate")),"Error ▲",VLOOKUP(S39,'G-1 All Habitats'!$Z$2:$AA$9,2,FALSE)),"")</f>
        <v/>
      </c>
      <c r="U39" s="145"/>
      <c r="V39" s="507" t="str">
        <f>IF(U39="","",IF(VLOOKUP(U39,'G-3 Multipliers'!$L$3:$N$6,2,FALSE)=0,"Spatial Data Missing ⚠",VLOOKUP(U39,'G-3 Multipliers'!$L$3:$N$6,2,FALSE)))</f>
        <v/>
      </c>
      <c r="W39" s="505" t="str">
        <f>IF(U39="","",IF(VLOOKUP(U39,'G-3 Multipliers'!$L$3:$N$6,3,FALSE)=0,"Spatial Data Missing ⚠",VLOOKUP(U39,'G-3 Multipliers'!$L$3:$N$6,3,FALSE)))</f>
        <v/>
      </c>
      <c r="X39" s="498" t="str">
        <f>IFERROR(IF(OR(LEFT(O39,5)="Error ▲",LEFT(N39,5)="Error ▲",T39="Error ▲"),"Check Data ⚠",IF(F39&lt;R39,INDEX('G-6 Hedgerow Data'!$S$3:$AE$14,MATCH(C39,'G-6 Hedgerow Data'!$B$3:$B$14,0),MATCH(M39,'G-6 Hedgerow Data'!$S$2:$AE$2,0)),INDEX('G-6 Hedgerow Data'!$K$3:$Q$14,MATCH(M39,'G-6 Hedgerow Data'!$B$3:$B$14,0),MATCH(O39,'G-6 Hedgerow Data'!$K$2:$Q$2,0)))),"")</f>
        <v/>
      </c>
      <c r="Y39" s="195"/>
      <c r="Z39" s="195"/>
      <c r="AA39" s="507" t="str">
        <f t="shared" si="3"/>
        <v/>
      </c>
      <c r="AB39" s="521" t="str">
        <f t="shared" si="4"/>
        <v/>
      </c>
      <c r="AC39" s="522" t="str">
        <f t="shared" si="1"/>
        <v/>
      </c>
      <c r="AD39" s="537" t="str">
        <f>IF(M39="","",VLOOKUP(M39,'G-6 Hedgerow Data'!$B$3:$AG$15,31,FALSE))</f>
        <v/>
      </c>
      <c r="AE39" s="520" t="str">
        <f t="shared" si="5"/>
        <v/>
      </c>
      <c r="AF39" s="520" t="str">
        <f t="shared" si="6"/>
        <v/>
      </c>
      <c r="AG39" s="524" t="str">
        <f>IFERROR(IF(O39="","",VLOOKUP(AD39,'G-3 Multipliers'!$P$3:$Q$6,2,FALSE)),"")</f>
        <v/>
      </c>
      <c r="AH39" s="197"/>
      <c r="AI39" s="499" t="str">
        <f>IF(AH39="","",IF(VLOOKUP(AH39,'G-3 Multipliers'!$S$3:$T$6,2,FALSE)=0,"Spatial Data Missing ⚠",VLOOKUP(AH39,'G-3 Multipliers'!$S$3:$T$6,2,FALSE)))</f>
        <v/>
      </c>
      <c r="AJ39" s="545" t="str">
        <f t="shared" si="7"/>
        <v/>
      </c>
      <c r="AK39" s="149"/>
      <c r="AL39" s="150"/>
      <c r="AP39" s="31" t="str">
        <f>IFERROR(INDEX('G-6 Hedgerow Data'!$BJ$3:$BJ$15,MATCH(M39,'G-6 Hedgerow Data'!$B$3:$B$15,0)),"")</f>
        <v/>
      </c>
    </row>
    <row r="40" spans="2:42" ht="14" x14ac:dyDescent="0.3">
      <c r="B40" s="531" t="str">
        <f>'E-1 Off Site Hedge Baseline'!AK38</f>
        <v/>
      </c>
      <c r="C40" s="520" t="str">
        <f>IF(B40="","",IF(ISNA(VLOOKUP($B40,'E-1 Off Site Hedge Baseline'!$B$1:$L$257,3,FALSE)),"",(VLOOKUP($B40,'E-1 Off Site Hedge Baseline'!$B$1:$L$257,3,FALSE))))</f>
        <v/>
      </c>
      <c r="D40" s="520" t="str">
        <f>IF(B40="","",IF(ISNA(VLOOKUP($B40,'E-1 Off Site Hedge Baseline'!$B$1:$L$258,4,FALSE)),"",(VLOOKUP($B40,'E-1 Off Site Hedge Baseline'!$B$1:$L$258,4,FALSE))))</f>
        <v/>
      </c>
      <c r="E40" s="520" t="str">
        <f>IF(B40="","",IF(ISNA(VLOOKUP($B40,'E-1 Off Site Hedge Baseline'!$B$1:$L$257,5,FALSE)),"",(VLOOKUP($B40,'E-1 Off Site Hedge Baseline'!$B$1:$L$257,5,FALSE))))</f>
        <v/>
      </c>
      <c r="F40" s="520" t="str">
        <f>IF(B40="","",IF(ISNA(VLOOKUP($B40,'E-1 Off Site Hedge Baseline'!$B$1:$L$257,6,FALSE)),"",(VLOOKUP($B40,'E-1 Off Site Hedge Baseline'!$B$1:$L$257,6,FALSE))))</f>
        <v/>
      </c>
      <c r="G40" s="520" t="str">
        <f>IF(B40="","",IF(ISNA(VLOOKUP($B40,'E-1 Off Site Hedge Baseline'!$B$1:$L$257,7,FALSE)),"",(VLOOKUP($B40,'E-1 Off Site Hedge Baseline'!$B$1:$L$257,7,FALSE))))</f>
        <v/>
      </c>
      <c r="H40" s="520" t="str">
        <f>IF(B40="","",IF(ISNA(VLOOKUP($B40,'E-1 Off Site Hedge Baseline'!$B$1:$L$257,8,FALSE)),"",(VLOOKUP($B40,'E-1 Off Site Hedge Baseline'!$B$1:$L$257,8,FALSE))))</f>
        <v/>
      </c>
      <c r="I40" s="520" t="str">
        <f>IF(B40="","",IF(ISNA(VLOOKUP($B40,'E-1 Off Site Hedge Baseline'!$B$1:$L$257,10,FALSE)),"",(VLOOKUP($B40,'E-1 Off Site Hedge Baseline'!$B$1:$L$257,10,FALSE))))</f>
        <v/>
      </c>
      <c r="J40" s="520" t="str">
        <f>IF(B40="","",IF(ISNA(VLOOKUP($B40,'E-1 Off Site Hedge Baseline'!$B$1:$L$257,11,FALSE)),"",(VLOOKUP($B40,'E-1 Off Site Hedge Baseline'!$B$1:$L$257,11,FALSE))))</f>
        <v/>
      </c>
      <c r="K40" s="520" t="str">
        <f>IF(B40="","",IF(ISNA(VLOOKUP($B40,'E-1 Off Site Hedge Baseline'!$B$1:$U$257,113,FALSE)),"",(VLOOKUP($B40,'E-1 Off Site Hedge Baseline'!$B$1:$U$257,13,FALSE))))</f>
        <v/>
      </c>
      <c r="L40" s="507" t="str">
        <f>IF(B40="","",IF(ISNA(VLOOKUP($B40,'E-1 Off Site Hedge Baseline'!$B$1:$U$257,12,FALSE)),"",(VLOOKUP($B40,'E-1 Off Site Hedge Baseline'!$B$1:$U$257,12,FALSE))))</f>
        <v/>
      </c>
      <c r="M40" s="418" t="str">
        <f t="shared" si="8"/>
        <v/>
      </c>
      <c r="N40" s="498" t="str">
        <f>IFERROR(IF(B40="","",INDEX('G-6 Hedgerow Data'!$AN$3:$AZ$15,MATCH(C40,'G-6 Hedgerow Data'!$AM$3:$AM$15,0),MATCH(M40,'G-6 Hedgerow Data'!$AN$2:$AZ$2,0))),"")</f>
        <v/>
      </c>
      <c r="O40" s="499" t="str">
        <f t="shared" si="2"/>
        <v/>
      </c>
      <c r="P40" s="505" t="str">
        <f>IF(B40="","",VLOOKUP(B40,'E-1 Off Site Hedge Baseline'!$B$10:T285,16,FALSE))</f>
        <v/>
      </c>
      <c r="Q40" s="498" t="str">
        <f>IF(M40="","",VLOOKUP(M40,'G-6 Hedgerow Data'!$B$2:$AG$15,2,FALSE))</f>
        <v/>
      </c>
      <c r="R40" s="499" t="str">
        <f>IF(M40="","",VLOOKUP(M40,'G-6 Hedgerow Data'!$B$2:$AG$15,3,FALSE))</f>
        <v/>
      </c>
      <c r="S40" s="145"/>
      <c r="T40" s="499" t="str">
        <f>IFERROR(IF(AND(Q40="V.Low",OR(S40="Good",S40="Moderate")),"Error ▲",VLOOKUP(S40,'G-1 All Habitats'!$Z$2:$AA$9,2,FALSE)),"")</f>
        <v/>
      </c>
      <c r="U40" s="145"/>
      <c r="V40" s="507" t="str">
        <f>IF(U40="","",IF(VLOOKUP(U40,'G-3 Multipliers'!$L$3:$N$6,2,FALSE)=0,"Spatial Data Missing ⚠",VLOOKUP(U40,'G-3 Multipliers'!$L$3:$N$6,2,FALSE)))</f>
        <v/>
      </c>
      <c r="W40" s="505" t="str">
        <f>IF(U40="","",IF(VLOOKUP(U40,'G-3 Multipliers'!$L$3:$N$6,3,FALSE)=0,"Spatial Data Missing ⚠",VLOOKUP(U40,'G-3 Multipliers'!$L$3:$N$6,3,FALSE)))</f>
        <v/>
      </c>
      <c r="X40" s="498" t="str">
        <f>IFERROR(IF(OR(LEFT(O40,5)="Error ▲",LEFT(N40,5)="Error ▲",T40="Error ▲"),"Check Data ⚠",IF(F40&lt;R40,INDEX('G-6 Hedgerow Data'!$S$3:$AE$14,MATCH(C40,'G-6 Hedgerow Data'!$B$3:$B$14,0),MATCH(M40,'G-6 Hedgerow Data'!$S$2:$AE$2,0)),INDEX('G-6 Hedgerow Data'!$K$3:$Q$14,MATCH(M40,'G-6 Hedgerow Data'!$B$3:$B$14,0),MATCH(O40,'G-6 Hedgerow Data'!$K$2:$Q$2,0)))),"")</f>
        <v/>
      </c>
      <c r="Y40" s="195"/>
      <c r="Z40" s="195"/>
      <c r="AA40" s="507" t="str">
        <f t="shared" si="3"/>
        <v/>
      </c>
      <c r="AB40" s="521" t="str">
        <f t="shared" si="4"/>
        <v/>
      </c>
      <c r="AC40" s="522" t="str">
        <f t="shared" si="1"/>
        <v/>
      </c>
      <c r="AD40" s="537" t="str">
        <f>IF(M40="","",VLOOKUP(M40,'G-6 Hedgerow Data'!$B$3:$AG$15,31,FALSE))</f>
        <v/>
      </c>
      <c r="AE40" s="520" t="str">
        <f t="shared" si="5"/>
        <v/>
      </c>
      <c r="AF40" s="520" t="str">
        <f t="shared" si="6"/>
        <v/>
      </c>
      <c r="AG40" s="524" t="str">
        <f>IFERROR(IF(O40="","",VLOOKUP(AD40,'G-3 Multipliers'!$P$3:$Q$6,2,FALSE)),"")</f>
        <v/>
      </c>
      <c r="AH40" s="197"/>
      <c r="AI40" s="499" t="str">
        <f>IF(AH40="","",IF(VLOOKUP(AH40,'G-3 Multipliers'!$S$3:$T$6,2,FALSE)=0,"Spatial Data Missing ⚠",VLOOKUP(AH40,'G-3 Multipliers'!$S$3:$T$6,2,FALSE)))</f>
        <v/>
      </c>
      <c r="AJ40" s="545" t="str">
        <f t="shared" si="7"/>
        <v/>
      </c>
      <c r="AK40" s="149"/>
      <c r="AL40" s="150"/>
      <c r="AP40" s="31" t="str">
        <f>IFERROR(INDEX('G-6 Hedgerow Data'!$BJ$3:$BJ$15,MATCH(M40,'G-6 Hedgerow Data'!$B$3:$B$15,0)),"")</f>
        <v/>
      </c>
    </row>
    <row r="41" spans="2:42" ht="14" x14ac:dyDescent="0.3">
      <c r="B41" s="531" t="str">
        <f>'E-1 Off Site Hedge Baseline'!AK39</f>
        <v/>
      </c>
      <c r="C41" s="520" t="str">
        <f>IF(B41="","",IF(ISNA(VLOOKUP($B41,'E-1 Off Site Hedge Baseline'!$B$1:$L$257,3,FALSE)),"",(VLOOKUP($B41,'E-1 Off Site Hedge Baseline'!$B$1:$L$257,3,FALSE))))</f>
        <v/>
      </c>
      <c r="D41" s="520" t="str">
        <f>IF(B41="","",IF(ISNA(VLOOKUP($B41,'E-1 Off Site Hedge Baseline'!$B$1:$L$258,4,FALSE)),"",(VLOOKUP($B41,'E-1 Off Site Hedge Baseline'!$B$1:$L$258,4,FALSE))))</f>
        <v/>
      </c>
      <c r="E41" s="520" t="str">
        <f>IF(B41="","",IF(ISNA(VLOOKUP($B41,'E-1 Off Site Hedge Baseline'!$B$1:$L$257,5,FALSE)),"",(VLOOKUP($B41,'E-1 Off Site Hedge Baseline'!$B$1:$L$257,5,FALSE))))</f>
        <v/>
      </c>
      <c r="F41" s="520" t="str">
        <f>IF(B41="","",IF(ISNA(VLOOKUP($B41,'E-1 Off Site Hedge Baseline'!$B$1:$L$257,6,FALSE)),"",(VLOOKUP($B41,'E-1 Off Site Hedge Baseline'!$B$1:$L$257,6,FALSE))))</f>
        <v/>
      </c>
      <c r="G41" s="520" t="str">
        <f>IF(B41="","",IF(ISNA(VLOOKUP($B41,'E-1 Off Site Hedge Baseline'!$B$1:$L$257,7,FALSE)),"",(VLOOKUP($B41,'E-1 Off Site Hedge Baseline'!$B$1:$L$257,7,FALSE))))</f>
        <v/>
      </c>
      <c r="H41" s="520" t="str">
        <f>IF(B41="","",IF(ISNA(VLOOKUP($B41,'E-1 Off Site Hedge Baseline'!$B$1:$L$257,8,FALSE)),"",(VLOOKUP($B41,'E-1 Off Site Hedge Baseline'!$B$1:$L$257,8,FALSE))))</f>
        <v/>
      </c>
      <c r="I41" s="520" t="str">
        <f>IF(B41="","",IF(ISNA(VLOOKUP($B41,'E-1 Off Site Hedge Baseline'!$B$1:$L$257,10,FALSE)),"",(VLOOKUP($B41,'E-1 Off Site Hedge Baseline'!$B$1:$L$257,10,FALSE))))</f>
        <v/>
      </c>
      <c r="J41" s="520" t="str">
        <f>IF(B41="","",IF(ISNA(VLOOKUP($B41,'E-1 Off Site Hedge Baseline'!$B$1:$L$257,11,FALSE)),"",(VLOOKUP($B41,'E-1 Off Site Hedge Baseline'!$B$1:$L$257,11,FALSE))))</f>
        <v/>
      </c>
      <c r="K41" s="520" t="str">
        <f>IF(B41="","",IF(ISNA(VLOOKUP($B41,'E-1 Off Site Hedge Baseline'!$B$1:$U$257,113,FALSE)),"",(VLOOKUP($B41,'E-1 Off Site Hedge Baseline'!$B$1:$U$257,13,FALSE))))</f>
        <v/>
      </c>
      <c r="L41" s="507" t="str">
        <f>IF(B41="","",IF(ISNA(VLOOKUP($B41,'E-1 Off Site Hedge Baseline'!$B$1:$U$257,12,FALSE)),"",(VLOOKUP($B41,'E-1 Off Site Hedge Baseline'!$B$1:$U$257,12,FALSE))))</f>
        <v/>
      </c>
      <c r="M41" s="418" t="str">
        <f t="shared" si="8"/>
        <v/>
      </c>
      <c r="N41" s="498" t="str">
        <f>IFERROR(IF(B41="","",INDEX('G-6 Hedgerow Data'!$AN$3:$AZ$15,MATCH(C41,'G-6 Hedgerow Data'!$AM$3:$AM$15,0),MATCH(M41,'G-6 Hedgerow Data'!$AN$2:$AZ$2,0))),"")</f>
        <v/>
      </c>
      <c r="O41" s="499" t="str">
        <f t="shared" si="2"/>
        <v/>
      </c>
      <c r="P41" s="505" t="str">
        <f>IF(B41="","",VLOOKUP(B41,'E-1 Off Site Hedge Baseline'!$B$10:T286,16,FALSE))</f>
        <v/>
      </c>
      <c r="Q41" s="498" t="str">
        <f>IF(M41="","",VLOOKUP(M41,'G-6 Hedgerow Data'!$B$2:$AG$15,2,FALSE))</f>
        <v/>
      </c>
      <c r="R41" s="499" t="str">
        <f>IF(M41="","",VLOOKUP(M41,'G-6 Hedgerow Data'!$B$2:$AG$15,3,FALSE))</f>
        <v/>
      </c>
      <c r="S41" s="145"/>
      <c r="T41" s="499" t="str">
        <f>IFERROR(IF(AND(Q41="V.Low",OR(S41="Good",S41="Moderate")),"Error ▲",VLOOKUP(S41,'G-1 All Habitats'!$Z$2:$AA$9,2,FALSE)),"")</f>
        <v/>
      </c>
      <c r="U41" s="145"/>
      <c r="V41" s="507" t="str">
        <f>IF(U41="","",IF(VLOOKUP(U41,'G-3 Multipliers'!$L$3:$N$6,2,FALSE)=0,"Spatial Data Missing ⚠",VLOOKUP(U41,'G-3 Multipliers'!$L$3:$N$6,2,FALSE)))</f>
        <v/>
      </c>
      <c r="W41" s="505" t="str">
        <f>IF(U41="","",IF(VLOOKUP(U41,'G-3 Multipliers'!$L$3:$N$6,3,FALSE)=0,"Spatial Data Missing ⚠",VLOOKUP(U41,'G-3 Multipliers'!$L$3:$N$6,3,FALSE)))</f>
        <v/>
      </c>
      <c r="X41" s="498" t="str">
        <f>IFERROR(IF(OR(LEFT(O41,5)="Error ▲",LEFT(N41,5)="Error ▲",T41="Error ▲"),"Check Data ⚠",IF(F41&lt;R41,INDEX('G-6 Hedgerow Data'!$S$3:$AE$14,MATCH(C41,'G-6 Hedgerow Data'!$B$3:$B$14,0),MATCH(M41,'G-6 Hedgerow Data'!$S$2:$AE$2,0)),INDEX('G-6 Hedgerow Data'!$K$3:$Q$14,MATCH(M41,'G-6 Hedgerow Data'!$B$3:$B$14,0),MATCH(O41,'G-6 Hedgerow Data'!$K$2:$Q$2,0)))),"")</f>
        <v/>
      </c>
      <c r="Y41" s="195"/>
      <c r="Z41" s="195"/>
      <c r="AA41" s="507" t="str">
        <f t="shared" si="3"/>
        <v/>
      </c>
      <c r="AB41" s="521" t="str">
        <f t="shared" si="4"/>
        <v/>
      </c>
      <c r="AC41" s="522" t="str">
        <f t="shared" si="1"/>
        <v/>
      </c>
      <c r="AD41" s="537" t="str">
        <f>IF(M41="","",VLOOKUP(M41,'G-6 Hedgerow Data'!$B$3:$AG$15,31,FALSE))</f>
        <v/>
      </c>
      <c r="AE41" s="520" t="str">
        <f t="shared" si="5"/>
        <v/>
      </c>
      <c r="AF41" s="520" t="str">
        <f t="shared" si="6"/>
        <v/>
      </c>
      <c r="AG41" s="524" t="str">
        <f>IFERROR(IF(O41="","",VLOOKUP(AD41,'G-3 Multipliers'!$P$3:$Q$6,2,FALSE)),"")</f>
        <v/>
      </c>
      <c r="AH41" s="197"/>
      <c r="AI41" s="499" t="str">
        <f>IF(AH41="","",IF(VLOOKUP(AH41,'G-3 Multipliers'!$S$3:$T$6,2,FALSE)=0,"Spatial Data Missing ⚠",VLOOKUP(AH41,'G-3 Multipliers'!$S$3:$T$6,2,FALSE)))</f>
        <v/>
      </c>
      <c r="AJ41" s="545" t="str">
        <f t="shared" si="7"/>
        <v/>
      </c>
      <c r="AK41" s="149"/>
      <c r="AL41" s="150"/>
      <c r="AP41" s="31" t="str">
        <f>IFERROR(INDEX('G-6 Hedgerow Data'!$BJ$3:$BJ$15,MATCH(M41,'G-6 Hedgerow Data'!$B$3:$B$15,0)),"")</f>
        <v/>
      </c>
    </row>
    <row r="42" spans="2:42" ht="14" x14ac:dyDescent="0.3">
      <c r="B42" s="531" t="str">
        <f>'E-1 Off Site Hedge Baseline'!AK40</f>
        <v/>
      </c>
      <c r="C42" s="520" t="str">
        <f>IF(B42="","",IF(ISNA(VLOOKUP($B42,'E-1 Off Site Hedge Baseline'!$B$1:$L$257,3,FALSE)),"",(VLOOKUP($B42,'E-1 Off Site Hedge Baseline'!$B$1:$L$257,3,FALSE))))</f>
        <v/>
      </c>
      <c r="D42" s="520" t="str">
        <f>IF(B42="","",IF(ISNA(VLOOKUP($B42,'E-1 Off Site Hedge Baseline'!$B$1:$L$258,4,FALSE)),"",(VLOOKUP($B42,'E-1 Off Site Hedge Baseline'!$B$1:$L$258,4,FALSE))))</f>
        <v/>
      </c>
      <c r="E42" s="520" t="str">
        <f>IF(B42="","",IF(ISNA(VLOOKUP($B42,'E-1 Off Site Hedge Baseline'!$B$1:$L$257,5,FALSE)),"",(VLOOKUP($B42,'E-1 Off Site Hedge Baseline'!$B$1:$L$257,5,FALSE))))</f>
        <v/>
      </c>
      <c r="F42" s="520" t="str">
        <f>IF(B42="","",IF(ISNA(VLOOKUP($B42,'E-1 Off Site Hedge Baseline'!$B$1:$L$257,6,FALSE)),"",(VLOOKUP($B42,'E-1 Off Site Hedge Baseline'!$B$1:$L$257,6,FALSE))))</f>
        <v/>
      </c>
      <c r="G42" s="520" t="str">
        <f>IF(B42="","",IF(ISNA(VLOOKUP($B42,'E-1 Off Site Hedge Baseline'!$B$1:$L$257,7,FALSE)),"",(VLOOKUP($B42,'E-1 Off Site Hedge Baseline'!$B$1:$L$257,7,FALSE))))</f>
        <v/>
      </c>
      <c r="H42" s="520" t="str">
        <f>IF(B42="","",IF(ISNA(VLOOKUP($B42,'E-1 Off Site Hedge Baseline'!$B$1:$L$257,8,FALSE)),"",(VLOOKUP($B42,'E-1 Off Site Hedge Baseline'!$B$1:$L$257,8,FALSE))))</f>
        <v/>
      </c>
      <c r="I42" s="520" t="str">
        <f>IF(B42="","",IF(ISNA(VLOOKUP($B42,'E-1 Off Site Hedge Baseline'!$B$1:$L$257,10,FALSE)),"",(VLOOKUP($B42,'E-1 Off Site Hedge Baseline'!$B$1:$L$257,10,FALSE))))</f>
        <v/>
      </c>
      <c r="J42" s="520" t="str">
        <f>IF(B42="","",IF(ISNA(VLOOKUP($B42,'E-1 Off Site Hedge Baseline'!$B$1:$L$257,11,FALSE)),"",(VLOOKUP($B42,'E-1 Off Site Hedge Baseline'!$B$1:$L$257,11,FALSE))))</f>
        <v/>
      </c>
      <c r="K42" s="520" t="str">
        <f>IF(B42="","",IF(ISNA(VLOOKUP($B42,'E-1 Off Site Hedge Baseline'!$B$1:$U$257,113,FALSE)),"",(VLOOKUP($B42,'E-1 Off Site Hedge Baseline'!$B$1:$U$257,13,FALSE))))</f>
        <v/>
      </c>
      <c r="L42" s="507" t="str">
        <f>IF(B42="","",IF(ISNA(VLOOKUP($B42,'E-1 Off Site Hedge Baseline'!$B$1:$U$257,12,FALSE)),"",(VLOOKUP($B42,'E-1 Off Site Hedge Baseline'!$B$1:$U$257,12,FALSE))))</f>
        <v/>
      </c>
      <c r="M42" s="418" t="str">
        <f t="shared" si="8"/>
        <v/>
      </c>
      <c r="N42" s="498" t="str">
        <f>IFERROR(IF(B42="","",INDEX('G-6 Hedgerow Data'!$AN$3:$AZ$15,MATCH(C42,'G-6 Hedgerow Data'!$AM$3:$AM$15,0),MATCH(M42,'G-6 Hedgerow Data'!$AN$2:$AZ$2,0))),"")</f>
        <v/>
      </c>
      <c r="O42" s="499" t="str">
        <f t="shared" si="2"/>
        <v/>
      </c>
      <c r="P42" s="505" t="str">
        <f>IF(B42="","",VLOOKUP(B42,'E-1 Off Site Hedge Baseline'!$B$10:T287,16,FALSE))</f>
        <v/>
      </c>
      <c r="Q42" s="498" t="str">
        <f>IF(M42="","",VLOOKUP(M42,'G-6 Hedgerow Data'!$B$2:$AG$15,2,FALSE))</f>
        <v/>
      </c>
      <c r="R42" s="499" t="str">
        <f>IF(M42="","",VLOOKUP(M42,'G-6 Hedgerow Data'!$B$2:$AG$15,3,FALSE))</f>
        <v/>
      </c>
      <c r="S42" s="145"/>
      <c r="T42" s="499" t="str">
        <f>IFERROR(IF(AND(Q42="V.Low",OR(S42="Good",S42="Moderate")),"Error ▲",VLOOKUP(S42,'G-1 All Habitats'!$Z$2:$AA$9,2,FALSE)),"")</f>
        <v/>
      </c>
      <c r="U42" s="145"/>
      <c r="V42" s="507" t="str">
        <f>IF(U42="","",IF(VLOOKUP(U42,'G-3 Multipliers'!$L$3:$N$6,2,FALSE)=0,"Spatial Data Missing ⚠",VLOOKUP(U42,'G-3 Multipliers'!$L$3:$N$6,2,FALSE)))</f>
        <v/>
      </c>
      <c r="W42" s="505" t="str">
        <f>IF(U42="","",IF(VLOOKUP(U42,'G-3 Multipliers'!$L$3:$N$6,3,FALSE)=0,"Spatial Data Missing ⚠",VLOOKUP(U42,'G-3 Multipliers'!$L$3:$N$6,3,FALSE)))</f>
        <v/>
      </c>
      <c r="X42" s="498" t="str">
        <f>IFERROR(IF(OR(LEFT(O42,5)="Error ▲",LEFT(N42,5)="Error ▲",T42="Error ▲"),"Check Data ⚠",IF(F42&lt;R42,INDEX('G-6 Hedgerow Data'!$S$3:$AE$14,MATCH(C42,'G-6 Hedgerow Data'!$B$3:$B$14,0),MATCH(M42,'G-6 Hedgerow Data'!$S$2:$AE$2,0)),INDEX('G-6 Hedgerow Data'!$K$3:$Q$14,MATCH(M42,'G-6 Hedgerow Data'!$B$3:$B$14,0),MATCH(O42,'G-6 Hedgerow Data'!$K$2:$Q$2,0)))),"")</f>
        <v/>
      </c>
      <c r="Y42" s="195"/>
      <c r="Z42" s="195"/>
      <c r="AA42" s="507" t="str">
        <f t="shared" si="3"/>
        <v/>
      </c>
      <c r="AB42" s="521" t="str">
        <f t="shared" si="4"/>
        <v/>
      </c>
      <c r="AC42" s="522" t="str">
        <f t="shared" si="1"/>
        <v/>
      </c>
      <c r="AD42" s="537" t="str">
        <f>IF(M42="","",VLOOKUP(M42,'G-6 Hedgerow Data'!$B$3:$AG$15,31,FALSE))</f>
        <v/>
      </c>
      <c r="AE42" s="520" t="str">
        <f t="shared" si="5"/>
        <v/>
      </c>
      <c r="AF42" s="520" t="str">
        <f t="shared" si="6"/>
        <v/>
      </c>
      <c r="AG42" s="524" t="str">
        <f>IFERROR(IF(O42="","",VLOOKUP(AD42,'G-3 Multipliers'!$P$3:$Q$6,2,FALSE)),"")</f>
        <v/>
      </c>
      <c r="AH42" s="197"/>
      <c r="AI42" s="499" t="str">
        <f>IF(AH42="","",IF(VLOOKUP(AH42,'G-3 Multipliers'!$S$3:$T$6,2,FALSE)=0,"Spatial Data Missing ⚠",VLOOKUP(AH42,'G-3 Multipliers'!$S$3:$T$6,2,FALSE)))</f>
        <v/>
      </c>
      <c r="AJ42" s="545" t="str">
        <f t="shared" si="7"/>
        <v/>
      </c>
      <c r="AK42" s="149"/>
      <c r="AL42" s="150"/>
      <c r="AP42" s="31" t="str">
        <f>IFERROR(INDEX('G-6 Hedgerow Data'!$BJ$3:$BJ$15,MATCH(M42,'G-6 Hedgerow Data'!$B$3:$B$15,0)),"")</f>
        <v/>
      </c>
    </row>
    <row r="43" spans="2:42" ht="14" x14ac:dyDescent="0.3">
      <c r="B43" s="531" t="str">
        <f>'E-1 Off Site Hedge Baseline'!AK41</f>
        <v/>
      </c>
      <c r="C43" s="520" t="str">
        <f>IF(B43="","",IF(ISNA(VLOOKUP($B43,'E-1 Off Site Hedge Baseline'!$B$1:$L$257,3,FALSE)),"",(VLOOKUP($B43,'E-1 Off Site Hedge Baseline'!$B$1:$L$257,3,FALSE))))</f>
        <v/>
      </c>
      <c r="D43" s="520" t="str">
        <f>IF(B43="","",IF(ISNA(VLOOKUP($B43,'E-1 Off Site Hedge Baseline'!$B$1:$L$258,4,FALSE)),"",(VLOOKUP($B43,'E-1 Off Site Hedge Baseline'!$B$1:$L$258,4,FALSE))))</f>
        <v/>
      </c>
      <c r="E43" s="520" t="str">
        <f>IF(B43="","",IF(ISNA(VLOOKUP($B43,'E-1 Off Site Hedge Baseline'!$B$1:$L$257,5,FALSE)),"",(VLOOKUP($B43,'E-1 Off Site Hedge Baseline'!$B$1:$L$257,5,FALSE))))</f>
        <v/>
      </c>
      <c r="F43" s="520" t="str">
        <f>IF(B43="","",IF(ISNA(VLOOKUP($B43,'E-1 Off Site Hedge Baseline'!$B$1:$L$257,6,FALSE)),"",(VLOOKUP($B43,'E-1 Off Site Hedge Baseline'!$B$1:$L$257,6,FALSE))))</f>
        <v/>
      </c>
      <c r="G43" s="520" t="str">
        <f>IF(B43="","",IF(ISNA(VLOOKUP($B43,'E-1 Off Site Hedge Baseline'!$B$1:$L$257,7,FALSE)),"",(VLOOKUP($B43,'E-1 Off Site Hedge Baseline'!$B$1:$L$257,7,FALSE))))</f>
        <v/>
      </c>
      <c r="H43" s="520" t="str">
        <f>IF(B43="","",IF(ISNA(VLOOKUP($B43,'E-1 Off Site Hedge Baseline'!$B$1:$L$257,8,FALSE)),"",(VLOOKUP($B43,'E-1 Off Site Hedge Baseline'!$B$1:$L$257,8,FALSE))))</f>
        <v/>
      </c>
      <c r="I43" s="520" t="str">
        <f>IF(B43="","",IF(ISNA(VLOOKUP($B43,'E-1 Off Site Hedge Baseline'!$B$1:$L$257,10,FALSE)),"",(VLOOKUP($B43,'E-1 Off Site Hedge Baseline'!$B$1:$L$257,10,FALSE))))</f>
        <v/>
      </c>
      <c r="J43" s="520" t="str">
        <f>IF(B43="","",IF(ISNA(VLOOKUP($B43,'E-1 Off Site Hedge Baseline'!$B$1:$L$257,11,FALSE)),"",(VLOOKUP($B43,'E-1 Off Site Hedge Baseline'!$B$1:$L$257,11,FALSE))))</f>
        <v/>
      </c>
      <c r="K43" s="520" t="str">
        <f>IF(B43="","",IF(ISNA(VLOOKUP($B43,'E-1 Off Site Hedge Baseline'!$B$1:$U$257,113,FALSE)),"",(VLOOKUP($B43,'E-1 Off Site Hedge Baseline'!$B$1:$U$257,13,FALSE))))</f>
        <v/>
      </c>
      <c r="L43" s="507" t="str">
        <f>IF(B43="","",IF(ISNA(VLOOKUP($B43,'E-1 Off Site Hedge Baseline'!$B$1:$U$257,12,FALSE)),"",(VLOOKUP($B43,'E-1 Off Site Hedge Baseline'!$B$1:$U$257,12,FALSE))))</f>
        <v/>
      </c>
      <c r="M43" s="418" t="str">
        <f t="shared" si="8"/>
        <v/>
      </c>
      <c r="N43" s="498" t="str">
        <f>IFERROR(IF(B43="","",INDEX('G-6 Hedgerow Data'!$AN$3:$AZ$15,MATCH(C43,'G-6 Hedgerow Data'!$AM$3:$AM$15,0),MATCH(M43,'G-6 Hedgerow Data'!$AN$2:$AZ$2,0))),"")</f>
        <v/>
      </c>
      <c r="O43" s="499" t="str">
        <f t="shared" si="2"/>
        <v/>
      </c>
      <c r="P43" s="505" t="str">
        <f>IF(B43="","",VLOOKUP(B43,'E-1 Off Site Hedge Baseline'!$B$10:T288,16,FALSE))</f>
        <v/>
      </c>
      <c r="Q43" s="498" t="str">
        <f>IF(M43="","",VLOOKUP(M43,'G-6 Hedgerow Data'!$B$2:$AG$15,2,FALSE))</f>
        <v/>
      </c>
      <c r="R43" s="499" t="str">
        <f>IF(M43="","",VLOOKUP(M43,'G-6 Hedgerow Data'!$B$2:$AG$15,3,FALSE))</f>
        <v/>
      </c>
      <c r="S43" s="145"/>
      <c r="T43" s="499" t="str">
        <f>IFERROR(IF(AND(Q43="V.Low",OR(S43="Good",S43="Moderate")),"Error ▲",VLOOKUP(S43,'G-1 All Habitats'!$Z$2:$AA$9,2,FALSE)),"")</f>
        <v/>
      </c>
      <c r="U43" s="145"/>
      <c r="V43" s="507" t="str">
        <f>IF(U43="","",IF(VLOOKUP(U43,'G-3 Multipliers'!$L$3:$N$6,2,FALSE)=0,"Spatial Data Missing ⚠",VLOOKUP(U43,'G-3 Multipliers'!$L$3:$N$6,2,FALSE)))</f>
        <v/>
      </c>
      <c r="W43" s="505" t="str">
        <f>IF(U43="","",IF(VLOOKUP(U43,'G-3 Multipliers'!$L$3:$N$6,3,FALSE)=0,"Spatial Data Missing ⚠",VLOOKUP(U43,'G-3 Multipliers'!$L$3:$N$6,3,FALSE)))</f>
        <v/>
      </c>
      <c r="X43" s="498" t="str">
        <f>IFERROR(IF(OR(LEFT(O43,5)="Error ▲",LEFT(N43,5)="Error ▲",T43="Error ▲"),"Check Data ⚠",IF(F43&lt;R43,INDEX('G-6 Hedgerow Data'!$S$3:$AE$14,MATCH(C43,'G-6 Hedgerow Data'!$B$3:$B$14,0),MATCH(M43,'G-6 Hedgerow Data'!$S$2:$AE$2,0)),INDEX('G-6 Hedgerow Data'!$K$3:$Q$14,MATCH(M43,'G-6 Hedgerow Data'!$B$3:$B$14,0),MATCH(O43,'G-6 Hedgerow Data'!$K$2:$Q$2,0)))),"")</f>
        <v/>
      </c>
      <c r="Y43" s="195"/>
      <c r="Z43" s="195"/>
      <c r="AA43" s="507" t="str">
        <f t="shared" si="3"/>
        <v/>
      </c>
      <c r="AB43" s="521" t="str">
        <f t="shared" si="4"/>
        <v/>
      </c>
      <c r="AC43" s="522" t="str">
        <f t="shared" si="1"/>
        <v/>
      </c>
      <c r="AD43" s="537" t="str">
        <f>IF(M43="","",VLOOKUP(M43,'G-6 Hedgerow Data'!$B$3:$AG$15,31,FALSE))</f>
        <v/>
      </c>
      <c r="AE43" s="520" t="str">
        <f t="shared" si="5"/>
        <v/>
      </c>
      <c r="AF43" s="520" t="str">
        <f t="shared" si="6"/>
        <v/>
      </c>
      <c r="AG43" s="524" t="str">
        <f>IFERROR(IF(O43="","",VLOOKUP(AD43,'G-3 Multipliers'!$P$3:$Q$6,2,FALSE)),"")</f>
        <v/>
      </c>
      <c r="AH43" s="197"/>
      <c r="AI43" s="499" t="str">
        <f>IF(AH43="","",IF(VLOOKUP(AH43,'G-3 Multipliers'!$S$3:$T$6,2,FALSE)=0,"Spatial Data Missing ⚠",VLOOKUP(AH43,'G-3 Multipliers'!$S$3:$T$6,2,FALSE)))</f>
        <v/>
      </c>
      <c r="AJ43" s="545" t="str">
        <f t="shared" si="7"/>
        <v/>
      </c>
      <c r="AK43" s="149"/>
      <c r="AL43" s="150"/>
      <c r="AP43" s="31" t="str">
        <f>IFERROR(INDEX('G-6 Hedgerow Data'!$BJ$3:$BJ$15,MATCH(M43,'G-6 Hedgerow Data'!$B$3:$B$15,0)),"")</f>
        <v/>
      </c>
    </row>
    <row r="44" spans="2:42" ht="14" x14ac:dyDescent="0.3">
      <c r="B44" s="531" t="str">
        <f>'E-1 Off Site Hedge Baseline'!AK42</f>
        <v/>
      </c>
      <c r="C44" s="520" t="str">
        <f>IF(B44="","",IF(ISNA(VLOOKUP($B44,'E-1 Off Site Hedge Baseline'!$B$1:$L$257,3,FALSE)),"",(VLOOKUP($B44,'E-1 Off Site Hedge Baseline'!$B$1:$L$257,3,FALSE))))</f>
        <v/>
      </c>
      <c r="D44" s="520" t="str">
        <f>IF(B44="","",IF(ISNA(VLOOKUP($B44,'E-1 Off Site Hedge Baseline'!$B$1:$L$258,4,FALSE)),"",(VLOOKUP($B44,'E-1 Off Site Hedge Baseline'!$B$1:$L$258,4,FALSE))))</f>
        <v/>
      </c>
      <c r="E44" s="520" t="str">
        <f>IF(B44="","",IF(ISNA(VLOOKUP($B44,'E-1 Off Site Hedge Baseline'!$B$1:$L$257,5,FALSE)),"",(VLOOKUP($B44,'E-1 Off Site Hedge Baseline'!$B$1:$L$257,5,FALSE))))</f>
        <v/>
      </c>
      <c r="F44" s="520" t="str">
        <f>IF(B44="","",IF(ISNA(VLOOKUP($B44,'E-1 Off Site Hedge Baseline'!$B$1:$L$257,6,FALSE)),"",(VLOOKUP($B44,'E-1 Off Site Hedge Baseline'!$B$1:$L$257,6,FALSE))))</f>
        <v/>
      </c>
      <c r="G44" s="520" t="str">
        <f>IF(B44="","",IF(ISNA(VLOOKUP($B44,'E-1 Off Site Hedge Baseline'!$B$1:$L$257,7,FALSE)),"",(VLOOKUP($B44,'E-1 Off Site Hedge Baseline'!$B$1:$L$257,7,FALSE))))</f>
        <v/>
      </c>
      <c r="H44" s="520" t="str">
        <f>IF(B44="","",IF(ISNA(VLOOKUP($B44,'E-1 Off Site Hedge Baseline'!$B$1:$L$257,8,FALSE)),"",(VLOOKUP($B44,'E-1 Off Site Hedge Baseline'!$B$1:$L$257,8,FALSE))))</f>
        <v/>
      </c>
      <c r="I44" s="520" t="str">
        <f>IF(B44="","",IF(ISNA(VLOOKUP($B44,'E-1 Off Site Hedge Baseline'!$B$1:$L$257,10,FALSE)),"",(VLOOKUP($B44,'E-1 Off Site Hedge Baseline'!$B$1:$L$257,10,FALSE))))</f>
        <v/>
      </c>
      <c r="J44" s="520" t="str">
        <f>IF(B44="","",IF(ISNA(VLOOKUP($B44,'E-1 Off Site Hedge Baseline'!$B$1:$L$257,11,FALSE)),"",(VLOOKUP($B44,'E-1 Off Site Hedge Baseline'!$B$1:$L$257,11,FALSE))))</f>
        <v/>
      </c>
      <c r="K44" s="520" t="str">
        <f>IF(B44="","",IF(ISNA(VLOOKUP($B44,'E-1 Off Site Hedge Baseline'!$B$1:$U$257,113,FALSE)),"",(VLOOKUP($B44,'E-1 Off Site Hedge Baseline'!$B$1:$U$257,13,FALSE))))</f>
        <v/>
      </c>
      <c r="L44" s="507" t="str">
        <f>IF(B44="","",IF(ISNA(VLOOKUP($B44,'E-1 Off Site Hedge Baseline'!$B$1:$U$257,12,FALSE)),"",(VLOOKUP($B44,'E-1 Off Site Hedge Baseline'!$B$1:$U$257,12,FALSE))))</f>
        <v/>
      </c>
      <c r="M44" s="418" t="str">
        <f t="shared" si="8"/>
        <v/>
      </c>
      <c r="N44" s="498" t="str">
        <f>IFERROR(IF(B44="","",INDEX('G-6 Hedgerow Data'!$AN$3:$AZ$15,MATCH(C44,'G-6 Hedgerow Data'!$AM$3:$AM$15,0),MATCH(M44,'G-6 Hedgerow Data'!$AN$2:$AZ$2,0))),"")</f>
        <v/>
      </c>
      <c r="O44" s="499" t="str">
        <f t="shared" si="2"/>
        <v/>
      </c>
      <c r="P44" s="505" t="str">
        <f>IF(B44="","",VLOOKUP(B44,'E-1 Off Site Hedge Baseline'!$B$10:T289,16,FALSE))</f>
        <v/>
      </c>
      <c r="Q44" s="498" t="str">
        <f>IF(M44="","",VLOOKUP(M44,'G-6 Hedgerow Data'!$B$2:$AG$15,2,FALSE))</f>
        <v/>
      </c>
      <c r="R44" s="499" t="str">
        <f>IF(M44="","",VLOOKUP(M44,'G-6 Hedgerow Data'!$B$2:$AG$15,3,FALSE))</f>
        <v/>
      </c>
      <c r="S44" s="145"/>
      <c r="T44" s="499" t="str">
        <f>IFERROR(IF(AND(Q44="V.Low",OR(S44="Good",S44="Moderate")),"Error ▲",VLOOKUP(S44,'G-1 All Habitats'!$Z$2:$AA$9,2,FALSE)),"")</f>
        <v/>
      </c>
      <c r="U44" s="145"/>
      <c r="V44" s="507" t="str">
        <f>IF(U44="","",IF(VLOOKUP(U44,'G-3 Multipliers'!$L$3:$N$6,2,FALSE)=0,"Spatial Data Missing ⚠",VLOOKUP(U44,'G-3 Multipliers'!$L$3:$N$6,2,FALSE)))</f>
        <v/>
      </c>
      <c r="W44" s="505" t="str">
        <f>IF(U44="","",IF(VLOOKUP(U44,'G-3 Multipliers'!$L$3:$N$6,3,FALSE)=0,"Spatial Data Missing ⚠",VLOOKUP(U44,'G-3 Multipliers'!$L$3:$N$6,3,FALSE)))</f>
        <v/>
      </c>
      <c r="X44" s="498" t="str">
        <f>IFERROR(IF(OR(LEFT(O44,5)="Error ▲",LEFT(N44,5)="Error ▲",T44="Error ▲"),"Check Data ⚠",IF(F44&lt;R44,INDEX('G-6 Hedgerow Data'!$S$3:$AE$14,MATCH(C44,'G-6 Hedgerow Data'!$B$3:$B$14,0),MATCH(M44,'G-6 Hedgerow Data'!$S$2:$AE$2,0)),INDEX('G-6 Hedgerow Data'!$K$3:$Q$14,MATCH(M44,'G-6 Hedgerow Data'!$B$3:$B$14,0),MATCH(O44,'G-6 Hedgerow Data'!$K$2:$Q$2,0)))),"")</f>
        <v/>
      </c>
      <c r="Y44" s="195"/>
      <c r="Z44" s="195"/>
      <c r="AA44" s="507" t="str">
        <f t="shared" si="3"/>
        <v/>
      </c>
      <c r="AB44" s="521" t="str">
        <f t="shared" si="4"/>
        <v/>
      </c>
      <c r="AC44" s="522" t="str">
        <f t="shared" si="1"/>
        <v/>
      </c>
      <c r="AD44" s="537" t="str">
        <f>IF(M44="","",VLOOKUP(M44,'G-6 Hedgerow Data'!$B$3:$AG$15,31,FALSE))</f>
        <v/>
      </c>
      <c r="AE44" s="520" t="str">
        <f t="shared" si="5"/>
        <v/>
      </c>
      <c r="AF44" s="520" t="str">
        <f t="shared" si="6"/>
        <v/>
      </c>
      <c r="AG44" s="524" t="str">
        <f>IFERROR(IF(O44="","",VLOOKUP(AD44,'G-3 Multipliers'!$P$3:$Q$6,2,FALSE)),"")</f>
        <v/>
      </c>
      <c r="AH44" s="197"/>
      <c r="AI44" s="499" t="str">
        <f>IF(AH44="","",IF(VLOOKUP(AH44,'G-3 Multipliers'!$S$3:$T$6,2,FALSE)=0,"Spatial Data Missing ⚠",VLOOKUP(AH44,'G-3 Multipliers'!$S$3:$T$6,2,FALSE)))</f>
        <v/>
      </c>
      <c r="AJ44" s="545" t="str">
        <f t="shared" si="7"/>
        <v/>
      </c>
      <c r="AK44" s="149"/>
      <c r="AL44" s="150"/>
      <c r="AP44" s="31" t="str">
        <f>IFERROR(INDEX('G-6 Hedgerow Data'!$BJ$3:$BJ$15,MATCH(M44,'G-6 Hedgerow Data'!$B$3:$B$15,0)),"")</f>
        <v/>
      </c>
    </row>
    <row r="45" spans="2:42" ht="14" x14ac:dyDescent="0.3">
      <c r="B45" s="531" t="str">
        <f>'E-1 Off Site Hedge Baseline'!AK43</f>
        <v/>
      </c>
      <c r="C45" s="520" t="str">
        <f>IF(B45="","",IF(ISNA(VLOOKUP($B45,'E-1 Off Site Hedge Baseline'!$B$1:$L$257,3,FALSE)),"",(VLOOKUP($B45,'E-1 Off Site Hedge Baseline'!$B$1:$L$257,3,FALSE))))</f>
        <v/>
      </c>
      <c r="D45" s="520" t="str">
        <f>IF(B45="","",IF(ISNA(VLOOKUP($B45,'E-1 Off Site Hedge Baseline'!$B$1:$L$258,4,FALSE)),"",(VLOOKUP($B45,'E-1 Off Site Hedge Baseline'!$B$1:$L$258,4,FALSE))))</f>
        <v/>
      </c>
      <c r="E45" s="520" t="str">
        <f>IF(B45="","",IF(ISNA(VLOOKUP($B45,'E-1 Off Site Hedge Baseline'!$B$1:$L$257,5,FALSE)),"",(VLOOKUP($B45,'E-1 Off Site Hedge Baseline'!$B$1:$L$257,5,FALSE))))</f>
        <v/>
      </c>
      <c r="F45" s="520" t="str">
        <f>IF(B45="","",IF(ISNA(VLOOKUP($B45,'E-1 Off Site Hedge Baseline'!$B$1:$L$257,6,FALSE)),"",(VLOOKUP($B45,'E-1 Off Site Hedge Baseline'!$B$1:$L$257,6,FALSE))))</f>
        <v/>
      </c>
      <c r="G45" s="520" t="str">
        <f>IF(B45="","",IF(ISNA(VLOOKUP($B45,'E-1 Off Site Hedge Baseline'!$B$1:$L$257,7,FALSE)),"",(VLOOKUP($B45,'E-1 Off Site Hedge Baseline'!$B$1:$L$257,7,FALSE))))</f>
        <v/>
      </c>
      <c r="H45" s="520" t="str">
        <f>IF(B45="","",IF(ISNA(VLOOKUP($B45,'E-1 Off Site Hedge Baseline'!$B$1:$L$257,8,FALSE)),"",(VLOOKUP($B45,'E-1 Off Site Hedge Baseline'!$B$1:$L$257,8,FALSE))))</f>
        <v/>
      </c>
      <c r="I45" s="520" t="str">
        <f>IF(B45="","",IF(ISNA(VLOOKUP($B45,'E-1 Off Site Hedge Baseline'!$B$1:$L$257,10,FALSE)),"",(VLOOKUP($B45,'E-1 Off Site Hedge Baseline'!$B$1:$L$257,10,FALSE))))</f>
        <v/>
      </c>
      <c r="J45" s="520" t="str">
        <f>IF(B45="","",IF(ISNA(VLOOKUP($B45,'E-1 Off Site Hedge Baseline'!$B$1:$L$257,11,FALSE)),"",(VLOOKUP($B45,'E-1 Off Site Hedge Baseline'!$B$1:$L$257,11,FALSE))))</f>
        <v/>
      </c>
      <c r="K45" s="520" t="str">
        <f>IF(B45="","",IF(ISNA(VLOOKUP($B45,'E-1 Off Site Hedge Baseline'!$B$1:$U$257,113,FALSE)),"",(VLOOKUP($B45,'E-1 Off Site Hedge Baseline'!$B$1:$U$257,13,FALSE))))</f>
        <v/>
      </c>
      <c r="L45" s="507" t="str">
        <f>IF(B45="","",IF(ISNA(VLOOKUP($B45,'E-1 Off Site Hedge Baseline'!$B$1:$U$257,12,FALSE)),"",(VLOOKUP($B45,'E-1 Off Site Hedge Baseline'!$B$1:$U$257,12,FALSE))))</f>
        <v/>
      </c>
      <c r="M45" s="418" t="str">
        <f t="shared" si="8"/>
        <v/>
      </c>
      <c r="N45" s="498" t="str">
        <f>IFERROR(IF(B45="","",INDEX('G-6 Hedgerow Data'!$AN$3:$AZ$15,MATCH(C45,'G-6 Hedgerow Data'!$AM$3:$AM$15,0),MATCH(M45,'G-6 Hedgerow Data'!$AN$2:$AZ$2,0))),"")</f>
        <v/>
      </c>
      <c r="O45" s="499" t="str">
        <f t="shared" si="2"/>
        <v/>
      </c>
      <c r="P45" s="505" t="str">
        <f>IF(B45="","",VLOOKUP(B45,'E-1 Off Site Hedge Baseline'!$B$10:T290,16,FALSE))</f>
        <v/>
      </c>
      <c r="Q45" s="498" t="str">
        <f>IF(M45="","",VLOOKUP(M45,'G-6 Hedgerow Data'!$B$2:$AG$15,2,FALSE))</f>
        <v/>
      </c>
      <c r="R45" s="499" t="str">
        <f>IF(M45="","",VLOOKUP(M45,'G-6 Hedgerow Data'!$B$2:$AG$15,3,FALSE))</f>
        <v/>
      </c>
      <c r="S45" s="145"/>
      <c r="T45" s="499" t="str">
        <f>IFERROR(IF(AND(Q45="V.Low",OR(S45="Good",S45="Moderate")),"Error ▲",VLOOKUP(S45,'G-1 All Habitats'!$Z$2:$AA$9,2,FALSE)),"")</f>
        <v/>
      </c>
      <c r="U45" s="145"/>
      <c r="V45" s="507" t="str">
        <f>IF(U45="","",IF(VLOOKUP(U45,'G-3 Multipliers'!$L$3:$N$6,2,FALSE)=0,"Spatial Data Missing ⚠",VLOOKUP(U45,'G-3 Multipliers'!$L$3:$N$6,2,FALSE)))</f>
        <v/>
      </c>
      <c r="W45" s="505" t="str">
        <f>IF(U45="","",IF(VLOOKUP(U45,'G-3 Multipliers'!$L$3:$N$6,3,FALSE)=0,"Spatial Data Missing ⚠",VLOOKUP(U45,'G-3 Multipliers'!$L$3:$N$6,3,FALSE)))</f>
        <v/>
      </c>
      <c r="X45" s="498" t="str">
        <f>IFERROR(IF(OR(LEFT(O45,5)="Error ▲",LEFT(N45,5)="Error ▲",T45="Error ▲"),"Check Data ⚠",IF(F45&lt;R45,INDEX('G-6 Hedgerow Data'!$S$3:$AE$14,MATCH(C45,'G-6 Hedgerow Data'!$B$3:$B$14,0),MATCH(M45,'G-6 Hedgerow Data'!$S$2:$AE$2,0)),INDEX('G-6 Hedgerow Data'!$K$3:$Q$14,MATCH(M45,'G-6 Hedgerow Data'!$B$3:$B$14,0),MATCH(O45,'G-6 Hedgerow Data'!$K$2:$Q$2,0)))),"")</f>
        <v/>
      </c>
      <c r="Y45" s="195"/>
      <c r="Z45" s="195"/>
      <c r="AA45" s="507" t="str">
        <f t="shared" si="3"/>
        <v/>
      </c>
      <c r="AB45" s="521" t="str">
        <f t="shared" si="4"/>
        <v/>
      </c>
      <c r="AC45" s="522" t="str">
        <f t="shared" si="1"/>
        <v/>
      </c>
      <c r="AD45" s="537" t="str">
        <f>IF(M45="","",VLOOKUP(M45,'G-6 Hedgerow Data'!$B$3:$AG$15,31,FALSE))</f>
        <v/>
      </c>
      <c r="AE45" s="520" t="str">
        <f t="shared" si="5"/>
        <v/>
      </c>
      <c r="AF45" s="520" t="str">
        <f t="shared" si="6"/>
        <v/>
      </c>
      <c r="AG45" s="524" t="str">
        <f>IFERROR(IF(O45="","",VLOOKUP(AD45,'G-3 Multipliers'!$P$3:$Q$6,2,FALSE)),"")</f>
        <v/>
      </c>
      <c r="AH45" s="197"/>
      <c r="AI45" s="499" t="str">
        <f>IF(AH45="","",IF(VLOOKUP(AH45,'G-3 Multipliers'!$S$3:$T$6,2,FALSE)=0,"Spatial Data Missing ⚠",VLOOKUP(AH45,'G-3 Multipliers'!$S$3:$T$6,2,FALSE)))</f>
        <v/>
      </c>
      <c r="AJ45" s="545" t="str">
        <f t="shared" si="7"/>
        <v/>
      </c>
      <c r="AK45" s="149"/>
      <c r="AL45" s="150"/>
      <c r="AP45" s="31" t="str">
        <f>IFERROR(INDEX('G-6 Hedgerow Data'!$BJ$3:$BJ$15,MATCH(M45,'G-6 Hedgerow Data'!$B$3:$B$15,0)),"")</f>
        <v/>
      </c>
    </row>
    <row r="46" spans="2:42" ht="14" x14ac:dyDescent="0.3">
      <c r="B46" s="531" t="str">
        <f>'E-1 Off Site Hedge Baseline'!AK44</f>
        <v/>
      </c>
      <c r="C46" s="520" t="str">
        <f>IF(B46="","",IF(ISNA(VLOOKUP($B46,'E-1 Off Site Hedge Baseline'!$B$1:$L$257,3,FALSE)),"",(VLOOKUP($B46,'E-1 Off Site Hedge Baseline'!$B$1:$L$257,3,FALSE))))</f>
        <v/>
      </c>
      <c r="D46" s="520" t="str">
        <f>IF(B46="","",IF(ISNA(VLOOKUP($B46,'E-1 Off Site Hedge Baseline'!$B$1:$L$258,4,FALSE)),"",(VLOOKUP($B46,'E-1 Off Site Hedge Baseline'!$B$1:$L$258,4,FALSE))))</f>
        <v/>
      </c>
      <c r="E46" s="520" t="str">
        <f>IF(B46="","",IF(ISNA(VLOOKUP($B46,'E-1 Off Site Hedge Baseline'!$B$1:$L$257,5,FALSE)),"",(VLOOKUP($B46,'E-1 Off Site Hedge Baseline'!$B$1:$L$257,5,FALSE))))</f>
        <v/>
      </c>
      <c r="F46" s="520" t="str">
        <f>IF(B46="","",IF(ISNA(VLOOKUP($B46,'E-1 Off Site Hedge Baseline'!$B$1:$L$257,6,FALSE)),"",(VLOOKUP($B46,'E-1 Off Site Hedge Baseline'!$B$1:$L$257,6,FALSE))))</f>
        <v/>
      </c>
      <c r="G46" s="520" t="str">
        <f>IF(B46="","",IF(ISNA(VLOOKUP($B46,'E-1 Off Site Hedge Baseline'!$B$1:$L$257,7,FALSE)),"",(VLOOKUP($B46,'E-1 Off Site Hedge Baseline'!$B$1:$L$257,7,FALSE))))</f>
        <v/>
      </c>
      <c r="H46" s="520" t="str">
        <f>IF(B46="","",IF(ISNA(VLOOKUP($B46,'E-1 Off Site Hedge Baseline'!$B$1:$L$257,8,FALSE)),"",(VLOOKUP($B46,'E-1 Off Site Hedge Baseline'!$B$1:$L$257,8,FALSE))))</f>
        <v/>
      </c>
      <c r="I46" s="520" t="str">
        <f>IF(B46="","",IF(ISNA(VLOOKUP($B46,'E-1 Off Site Hedge Baseline'!$B$1:$L$257,10,FALSE)),"",(VLOOKUP($B46,'E-1 Off Site Hedge Baseline'!$B$1:$L$257,10,FALSE))))</f>
        <v/>
      </c>
      <c r="J46" s="520" t="str">
        <f>IF(B46="","",IF(ISNA(VLOOKUP($B46,'E-1 Off Site Hedge Baseline'!$B$1:$L$257,11,FALSE)),"",(VLOOKUP($B46,'E-1 Off Site Hedge Baseline'!$B$1:$L$257,11,FALSE))))</f>
        <v/>
      </c>
      <c r="K46" s="520" t="str">
        <f>IF(B46="","",IF(ISNA(VLOOKUP($B46,'E-1 Off Site Hedge Baseline'!$B$1:$U$257,113,FALSE)),"",(VLOOKUP($B46,'E-1 Off Site Hedge Baseline'!$B$1:$U$257,13,FALSE))))</f>
        <v/>
      </c>
      <c r="L46" s="507" t="str">
        <f>IF(B46="","",IF(ISNA(VLOOKUP($B46,'E-1 Off Site Hedge Baseline'!$B$1:$U$257,12,FALSE)),"",(VLOOKUP($B46,'E-1 Off Site Hedge Baseline'!$B$1:$U$257,12,FALSE))))</f>
        <v/>
      </c>
      <c r="M46" s="418" t="str">
        <f t="shared" si="8"/>
        <v/>
      </c>
      <c r="N46" s="498" t="str">
        <f>IFERROR(IF(B46="","",INDEX('G-6 Hedgerow Data'!$AN$3:$AZ$15,MATCH(C46,'G-6 Hedgerow Data'!$AM$3:$AM$15,0),MATCH(M46,'G-6 Hedgerow Data'!$AN$2:$AZ$2,0))),"")</f>
        <v/>
      </c>
      <c r="O46" s="499" t="str">
        <f t="shared" si="2"/>
        <v/>
      </c>
      <c r="P46" s="505" t="str">
        <f>IF(B46="","",VLOOKUP(B46,'E-1 Off Site Hedge Baseline'!$B$10:T291,16,FALSE))</f>
        <v/>
      </c>
      <c r="Q46" s="498" t="str">
        <f>IF(M46="","",VLOOKUP(M46,'G-6 Hedgerow Data'!$B$2:$AG$15,2,FALSE))</f>
        <v/>
      </c>
      <c r="R46" s="499" t="str">
        <f>IF(M46="","",VLOOKUP(M46,'G-6 Hedgerow Data'!$B$2:$AG$15,3,FALSE))</f>
        <v/>
      </c>
      <c r="S46" s="145"/>
      <c r="T46" s="499" t="str">
        <f>IFERROR(IF(AND(Q46="V.Low",OR(S46="Good",S46="Moderate")),"Error ▲",VLOOKUP(S46,'G-1 All Habitats'!$Z$2:$AA$9,2,FALSE)),"")</f>
        <v/>
      </c>
      <c r="U46" s="145"/>
      <c r="V46" s="507" t="str">
        <f>IF(U46="","",IF(VLOOKUP(U46,'G-3 Multipliers'!$L$3:$N$6,2,FALSE)=0,"Spatial Data Missing ⚠",VLOOKUP(U46,'G-3 Multipliers'!$L$3:$N$6,2,FALSE)))</f>
        <v/>
      </c>
      <c r="W46" s="505" t="str">
        <f>IF(U46="","",IF(VLOOKUP(U46,'G-3 Multipliers'!$L$3:$N$6,3,FALSE)=0,"Spatial Data Missing ⚠",VLOOKUP(U46,'G-3 Multipliers'!$L$3:$N$6,3,FALSE)))</f>
        <v/>
      </c>
      <c r="X46" s="498" t="str">
        <f>IFERROR(IF(OR(LEFT(O46,5)="Error ▲",LEFT(N46,5)="Error ▲",T46="Error ▲"),"Check Data ⚠",IF(F46&lt;R46,INDEX('G-6 Hedgerow Data'!$S$3:$AE$14,MATCH(C46,'G-6 Hedgerow Data'!$B$3:$B$14,0),MATCH(M46,'G-6 Hedgerow Data'!$S$2:$AE$2,0)),INDEX('G-6 Hedgerow Data'!$K$3:$Q$14,MATCH(M46,'G-6 Hedgerow Data'!$B$3:$B$14,0),MATCH(O46,'G-6 Hedgerow Data'!$K$2:$Q$2,0)))),"")</f>
        <v/>
      </c>
      <c r="Y46" s="195"/>
      <c r="Z46" s="195"/>
      <c r="AA46" s="507" t="str">
        <f t="shared" si="3"/>
        <v/>
      </c>
      <c r="AB46" s="521" t="str">
        <f t="shared" si="4"/>
        <v/>
      </c>
      <c r="AC46" s="522" t="str">
        <f t="shared" si="1"/>
        <v/>
      </c>
      <c r="AD46" s="537" t="str">
        <f>IF(M46="","",VLOOKUP(M46,'G-6 Hedgerow Data'!$B$3:$AG$15,31,FALSE))</f>
        <v/>
      </c>
      <c r="AE46" s="520" t="str">
        <f t="shared" si="5"/>
        <v/>
      </c>
      <c r="AF46" s="520" t="str">
        <f t="shared" si="6"/>
        <v/>
      </c>
      <c r="AG46" s="524" t="str">
        <f>IFERROR(IF(O46="","",VLOOKUP(AD46,'G-3 Multipliers'!$P$3:$Q$6,2,FALSE)),"")</f>
        <v/>
      </c>
      <c r="AH46" s="197"/>
      <c r="AI46" s="499" t="str">
        <f>IF(AH46="","",IF(VLOOKUP(AH46,'G-3 Multipliers'!$S$3:$T$6,2,FALSE)=0,"Spatial Data Missing ⚠",VLOOKUP(AH46,'G-3 Multipliers'!$S$3:$T$6,2,FALSE)))</f>
        <v/>
      </c>
      <c r="AJ46" s="545" t="str">
        <f t="shared" si="7"/>
        <v/>
      </c>
      <c r="AK46" s="149"/>
      <c r="AL46" s="150"/>
      <c r="AP46" s="31" t="str">
        <f>IFERROR(INDEX('G-6 Hedgerow Data'!$BJ$3:$BJ$15,MATCH(M46,'G-6 Hedgerow Data'!$B$3:$B$15,0)),"")</f>
        <v/>
      </c>
    </row>
    <row r="47" spans="2:42" ht="14" x14ac:dyDescent="0.3">
      <c r="B47" s="531" t="str">
        <f>'E-1 Off Site Hedge Baseline'!AK45</f>
        <v/>
      </c>
      <c r="C47" s="520" t="str">
        <f>IF(B47="","",IF(ISNA(VLOOKUP($B47,'E-1 Off Site Hedge Baseline'!$B$1:$L$257,3,FALSE)),"",(VLOOKUP($B47,'E-1 Off Site Hedge Baseline'!$B$1:$L$257,3,FALSE))))</f>
        <v/>
      </c>
      <c r="D47" s="520" t="str">
        <f>IF(B47="","",IF(ISNA(VLOOKUP($B47,'E-1 Off Site Hedge Baseline'!$B$1:$L$258,4,FALSE)),"",(VLOOKUP($B47,'E-1 Off Site Hedge Baseline'!$B$1:$L$258,4,FALSE))))</f>
        <v/>
      </c>
      <c r="E47" s="520" t="str">
        <f>IF(B47="","",IF(ISNA(VLOOKUP($B47,'E-1 Off Site Hedge Baseline'!$B$1:$L$257,5,FALSE)),"",(VLOOKUP($B47,'E-1 Off Site Hedge Baseline'!$B$1:$L$257,5,FALSE))))</f>
        <v/>
      </c>
      <c r="F47" s="520" t="str">
        <f>IF(B47="","",IF(ISNA(VLOOKUP($B47,'E-1 Off Site Hedge Baseline'!$B$1:$L$257,6,FALSE)),"",(VLOOKUP($B47,'E-1 Off Site Hedge Baseline'!$B$1:$L$257,6,FALSE))))</f>
        <v/>
      </c>
      <c r="G47" s="520" t="str">
        <f>IF(B47="","",IF(ISNA(VLOOKUP($B47,'E-1 Off Site Hedge Baseline'!$B$1:$L$257,7,FALSE)),"",(VLOOKUP($B47,'E-1 Off Site Hedge Baseline'!$B$1:$L$257,7,FALSE))))</f>
        <v/>
      </c>
      <c r="H47" s="520" t="str">
        <f>IF(B47="","",IF(ISNA(VLOOKUP($B47,'E-1 Off Site Hedge Baseline'!$B$1:$L$257,8,FALSE)),"",(VLOOKUP($B47,'E-1 Off Site Hedge Baseline'!$B$1:$L$257,8,FALSE))))</f>
        <v/>
      </c>
      <c r="I47" s="520" t="str">
        <f>IF(B47="","",IF(ISNA(VLOOKUP($B47,'E-1 Off Site Hedge Baseline'!$B$1:$L$257,10,FALSE)),"",(VLOOKUP($B47,'E-1 Off Site Hedge Baseline'!$B$1:$L$257,10,FALSE))))</f>
        <v/>
      </c>
      <c r="J47" s="520" t="str">
        <f>IF(B47="","",IF(ISNA(VLOOKUP($B47,'E-1 Off Site Hedge Baseline'!$B$1:$L$257,11,FALSE)),"",(VLOOKUP($B47,'E-1 Off Site Hedge Baseline'!$B$1:$L$257,11,FALSE))))</f>
        <v/>
      </c>
      <c r="K47" s="520" t="str">
        <f>IF(B47="","",IF(ISNA(VLOOKUP($B47,'E-1 Off Site Hedge Baseline'!$B$1:$U$257,113,FALSE)),"",(VLOOKUP($B47,'E-1 Off Site Hedge Baseline'!$B$1:$U$257,13,FALSE))))</f>
        <v/>
      </c>
      <c r="L47" s="507" t="str">
        <f>IF(B47="","",IF(ISNA(VLOOKUP($B47,'E-1 Off Site Hedge Baseline'!$B$1:$U$257,12,FALSE)),"",(VLOOKUP($B47,'E-1 Off Site Hedge Baseline'!$B$1:$U$257,12,FALSE))))</f>
        <v/>
      </c>
      <c r="M47" s="418" t="str">
        <f t="shared" si="8"/>
        <v/>
      </c>
      <c r="N47" s="498" t="str">
        <f>IFERROR(IF(B47="","",INDEX('G-6 Hedgerow Data'!$AN$3:$AZ$15,MATCH(C47,'G-6 Hedgerow Data'!$AM$3:$AM$15,0),MATCH(M47,'G-6 Hedgerow Data'!$AN$2:$AZ$2,0))),"")</f>
        <v/>
      </c>
      <c r="O47" s="499" t="str">
        <f t="shared" si="2"/>
        <v/>
      </c>
      <c r="P47" s="505" t="str">
        <f>IF(B47="","",VLOOKUP(B47,'E-1 Off Site Hedge Baseline'!$B$10:T292,16,FALSE))</f>
        <v/>
      </c>
      <c r="Q47" s="498" t="str">
        <f>IF(M47="","",VLOOKUP(M47,'G-6 Hedgerow Data'!$B$2:$AG$15,2,FALSE))</f>
        <v/>
      </c>
      <c r="R47" s="499" t="str">
        <f>IF(M47="","",VLOOKUP(M47,'G-6 Hedgerow Data'!$B$2:$AG$15,3,FALSE))</f>
        <v/>
      </c>
      <c r="S47" s="145"/>
      <c r="T47" s="499" t="str">
        <f>IFERROR(IF(AND(Q47="V.Low",OR(S47="Good",S47="Moderate")),"Error ▲",VLOOKUP(S47,'G-1 All Habitats'!$Z$2:$AA$9,2,FALSE)),"")</f>
        <v/>
      </c>
      <c r="U47" s="145"/>
      <c r="V47" s="507" t="str">
        <f>IF(U47="","",IF(VLOOKUP(U47,'G-3 Multipliers'!$L$3:$N$6,2,FALSE)=0,"Spatial Data Missing ⚠",VLOOKUP(U47,'G-3 Multipliers'!$L$3:$N$6,2,FALSE)))</f>
        <v/>
      </c>
      <c r="W47" s="505" t="str">
        <f>IF(U47="","",IF(VLOOKUP(U47,'G-3 Multipliers'!$L$3:$N$6,3,FALSE)=0,"Spatial Data Missing ⚠",VLOOKUP(U47,'G-3 Multipliers'!$L$3:$N$6,3,FALSE)))</f>
        <v/>
      </c>
      <c r="X47" s="498" t="str">
        <f>IFERROR(IF(OR(LEFT(O47,5)="Error ▲",LEFT(N47,5)="Error ▲",T47="Error ▲"),"Check Data ⚠",IF(F47&lt;R47,INDEX('G-6 Hedgerow Data'!$S$3:$AE$14,MATCH(C47,'G-6 Hedgerow Data'!$B$3:$B$14,0),MATCH(M47,'G-6 Hedgerow Data'!$S$2:$AE$2,0)),INDEX('G-6 Hedgerow Data'!$K$3:$Q$14,MATCH(M47,'G-6 Hedgerow Data'!$B$3:$B$14,0),MATCH(O47,'G-6 Hedgerow Data'!$K$2:$Q$2,0)))),"")</f>
        <v/>
      </c>
      <c r="Y47" s="195"/>
      <c r="Z47" s="195"/>
      <c r="AA47" s="507" t="str">
        <f t="shared" si="3"/>
        <v/>
      </c>
      <c r="AB47" s="521" t="str">
        <f t="shared" si="4"/>
        <v/>
      </c>
      <c r="AC47" s="522" t="str">
        <f t="shared" si="1"/>
        <v/>
      </c>
      <c r="AD47" s="537" t="str">
        <f>IF(M47="","",VLOOKUP(M47,'G-6 Hedgerow Data'!$B$3:$AG$15,31,FALSE))</f>
        <v/>
      </c>
      <c r="AE47" s="520" t="str">
        <f t="shared" si="5"/>
        <v/>
      </c>
      <c r="AF47" s="520" t="str">
        <f t="shared" si="6"/>
        <v/>
      </c>
      <c r="AG47" s="524" t="str">
        <f>IFERROR(IF(O47="","",VLOOKUP(AD47,'G-3 Multipliers'!$P$3:$Q$6,2,FALSE)),"")</f>
        <v/>
      </c>
      <c r="AH47" s="197"/>
      <c r="AI47" s="499" t="str">
        <f>IF(AH47="","",IF(VLOOKUP(AH47,'G-3 Multipliers'!$S$3:$T$6,2,FALSE)=0,"Spatial Data Missing ⚠",VLOOKUP(AH47,'G-3 Multipliers'!$S$3:$T$6,2,FALSE)))</f>
        <v/>
      </c>
      <c r="AJ47" s="545" t="str">
        <f t="shared" si="7"/>
        <v/>
      </c>
      <c r="AK47" s="149"/>
      <c r="AL47" s="150"/>
      <c r="AP47" s="31" t="str">
        <f>IFERROR(INDEX('G-6 Hedgerow Data'!$BJ$3:$BJ$15,MATCH(M47,'G-6 Hedgerow Data'!$B$3:$B$15,0)),"")</f>
        <v/>
      </c>
    </row>
    <row r="48" spans="2:42" ht="14" x14ac:dyDescent="0.3">
      <c r="B48" s="531" t="str">
        <f>'E-1 Off Site Hedge Baseline'!AK46</f>
        <v/>
      </c>
      <c r="C48" s="520" t="str">
        <f>IF(B48="","",IF(ISNA(VLOOKUP($B48,'E-1 Off Site Hedge Baseline'!$B$1:$L$257,3,FALSE)),"",(VLOOKUP($B48,'E-1 Off Site Hedge Baseline'!$B$1:$L$257,3,FALSE))))</f>
        <v/>
      </c>
      <c r="D48" s="520" t="str">
        <f>IF(B48="","",IF(ISNA(VLOOKUP($B48,'E-1 Off Site Hedge Baseline'!$B$1:$L$258,4,FALSE)),"",(VLOOKUP($B48,'E-1 Off Site Hedge Baseline'!$B$1:$L$258,4,FALSE))))</f>
        <v/>
      </c>
      <c r="E48" s="520" t="str">
        <f>IF(B48="","",IF(ISNA(VLOOKUP($B48,'E-1 Off Site Hedge Baseline'!$B$1:$L$257,5,FALSE)),"",(VLOOKUP($B48,'E-1 Off Site Hedge Baseline'!$B$1:$L$257,5,FALSE))))</f>
        <v/>
      </c>
      <c r="F48" s="520" t="str">
        <f>IF(B48="","",IF(ISNA(VLOOKUP($B48,'E-1 Off Site Hedge Baseline'!$B$1:$L$257,6,FALSE)),"",(VLOOKUP($B48,'E-1 Off Site Hedge Baseline'!$B$1:$L$257,6,FALSE))))</f>
        <v/>
      </c>
      <c r="G48" s="520" t="str">
        <f>IF(B48="","",IF(ISNA(VLOOKUP($B48,'E-1 Off Site Hedge Baseline'!$B$1:$L$257,7,FALSE)),"",(VLOOKUP($B48,'E-1 Off Site Hedge Baseline'!$B$1:$L$257,7,FALSE))))</f>
        <v/>
      </c>
      <c r="H48" s="520" t="str">
        <f>IF(B48="","",IF(ISNA(VLOOKUP($B48,'E-1 Off Site Hedge Baseline'!$B$1:$L$257,8,FALSE)),"",(VLOOKUP($B48,'E-1 Off Site Hedge Baseline'!$B$1:$L$257,8,FALSE))))</f>
        <v/>
      </c>
      <c r="I48" s="520" t="str">
        <f>IF(B48="","",IF(ISNA(VLOOKUP($B48,'E-1 Off Site Hedge Baseline'!$B$1:$L$257,10,FALSE)),"",(VLOOKUP($B48,'E-1 Off Site Hedge Baseline'!$B$1:$L$257,10,FALSE))))</f>
        <v/>
      </c>
      <c r="J48" s="520" t="str">
        <f>IF(B48="","",IF(ISNA(VLOOKUP($B48,'E-1 Off Site Hedge Baseline'!$B$1:$L$257,11,FALSE)),"",(VLOOKUP($B48,'E-1 Off Site Hedge Baseline'!$B$1:$L$257,11,FALSE))))</f>
        <v/>
      </c>
      <c r="K48" s="520" t="str">
        <f>IF(B48="","",IF(ISNA(VLOOKUP($B48,'E-1 Off Site Hedge Baseline'!$B$1:$U$257,113,FALSE)),"",(VLOOKUP($B48,'E-1 Off Site Hedge Baseline'!$B$1:$U$257,13,FALSE))))</f>
        <v/>
      </c>
      <c r="L48" s="507" t="str">
        <f>IF(B48="","",IF(ISNA(VLOOKUP($B48,'E-1 Off Site Hedge Baseline'!$B$1:$U$257,12,FALSE)),"",(VLOOKUP($B48,'E-1 Off Site Hedge Baseline'!$B$1:$U$257,12,FALSE))))</f>
        <v/>
      </c>
      <c r="M48" s="418" t="str">
        <f t="shared" si="8"/>
        <v/>
      </c>
      <c r="N48" s="498" t="str">
        <f>IFERROR(IF(B48="","",INDEX('G-6 Hedgerow Data'!$AN$3:$AZ$15,MATCH(C48,'G-6 Hedgerow Data'!$AM$3:$AM$15,0),MATCH(M48,'G-6 Hedgerow Data'!$AN$2:$AZ$2,0))),"")</f>
        <v/>
      </c>
      <c r="O48" s="499" t="str">
        <f t="shared" si="2"/>
        <v/>
      </c>
      <c r="P48" s="505" t="str">
        <f>IF(B48="","",VLOOKUP(B48,'E-1 Off Site Hedge Baseline'!$B$10:T293,16,FALSE))</f>
        <v/>
      </c>
      <c r="Q48" s="498" t="str">
        <f>IF(M48="","",VLOOKUP(M48,'G-6 Hedgerow Data'!$B$2:$AG$15,2,FALSE))</f>
        <v/>
      </c>
      <c r="R48" s="499" t="str">
        <f>IF(M48="","",VLOOKUP(M48,'G-6 Hedgerow Data'!$B$2:$AG$15,3,FALSE))</f>
        <v/>
      </c>
      <c r="S48" s="145"/>
      <c r="T48" s="499" t="str">
        <f>IFERROR(IF(AND(Q48="V.Low",OR(S48="Good",S48="Moderate")),"Error ▲",VLOOKUP(S48,'G-1 All Habitats'!$Z$2:$AA$9,2,FALSE)),"")</f>
        <v/>
      </c>
      <c r="U48" s="145"/>
      <c r="V48" s="507" t="str">
        <f>IF(U48="","",IF(VLOOKUP(U48,'G-3 Multipliers'!$L$3:$N$6,2,FALSE)=0,"Spatial Data Missing ⚠",VLOOKUP(U48,'G-3 Multipliers'!$L$3:$N$6,2,FALSE)))</f>
        <v/>
      </c>
      <c r="W48" s="505" t="str">
        <f>IF(U48="","",IF(VLOOKUP(U48,'G-3 Multipliers'!$L$3:$N$6,3,FALSE)=0,"Spatial Data Missing ⚠",VLOOKUP(U48,'G-3 Multipliers'!$L$3:$N$6,3,FALSE)))</f>
        <v/>
      </c>
      <c r="X48" s="498" t="str">
        <f>IFERROR(IF(OR(LEFT(O48,5)="Error ▲",LEFT(N48,5)="Error ▲",T48="Error ▲"),"Check Data ⚠",IF(F48&lt;R48,INDEX('G-6 Hedgerow Data'!$S$3:$AE$14,MATCH(C48,'G-6 Hedgerow Data'!$B$3:$B$14,0),MATCH(M48,'G-6 Hedgerow Data'!$S$2:$AE$2,0)),INDEX('G-6 Hedgerow Data'!$K$3:$Q$14,MATCH(M48,'G-6 Hedgerow Data'!$B$3:$B$14,0),MATCH(O48,'G-6 Hedgerow Data'!$K$2:$Q$2,0)))),"")</f>
        <v/>
      </c>
      <c r="Y48" s="195"/>
      <c r="Z48" s="195"/>
      <c r="AA48" s="507" t="str">
        <f t="shared" si="3"/>
        <v/>
      </c>
      <c r="AB48" s="521" t="str">
        <f t="shared" si="4"/>
        <v/>
      </c>
      <c r="AC48" s="522" t="str">
        <f t="shared" si="1"/>
        <v/>
      </c>
      <c r="AD48" s="537" t="str">
        <f>IF(M48="","",VLOOKUP(M48,'G-6 Hedgerow Data'!$B$3:$AG$15,31,FALSE))</f>
        <v/>
      </c>
      <c r="AE48" s="520" t="str">
        <f t="shared" si="5"/>
        <v/>
      </c>
      <c r="AF48" s="520" t="str">
        <f t="shared" si="6"/>
        <v/>
      </c>
      <c r="AG48" s="524" t="str">
        <f>IFERROR(IF(O48="","",VLOOKUP(AD48,'G-3 Multipliers'!$P$3:$Q$6,2,FALSE)),"")</f>
        <v/>
      </c>
      <c r="AH48" s="197"/>
      <c r="AI48" s="499" t="str">
        <f>IF(AH48="","",IF(VLOOKUP(AH48,'G-3 Multipliers'!$S$3:$T$6,2,FALSE)=0,"Spatial Data Missing ⚠",VLOOKUP(AH48,'G-3 Multipliers'!$S$3:$T$6,2,FALSE)))</f>
        <v/>
      </c>
      <c r="AJ48" s="545" t="str">
        <f t="shared" si="7"/>
        <v/>
      </c>
      <c r="AK48" s="149"/>
      <c r="AL48" s="150"/>
      <c r="AP48" s="31" t="str">
        <f>IFERROR(INDEX('G-6 Hedgerow Data'!$BJ$3:$BJ$15,MATCH(M48,'G-6 Hedgerow Data'!$B$3:$B$15,0)),"")</f>
        <v/>
      </c>
    </row>
    <row r="49" spans="2:42" ht="14" x14ac:dyDescent="0.3">
      <c r="B49" s="531" t="str">
        <f>'E-1 Off Site Hedge Baseline'!AK47</f>
        <v/>
      </c>
      <c r="C49" s="520" t="str">
        <f>IF(B49="","",IF(ISNA(VLOOKUP($B49,'E-1 Off Site Hedge Baseline'!$B$1:$L$257,3,FALSE)),"",(VLOOKUP($B49,'E-1 Off Site Hedge Baseline'!$B$1:$L$257,3,FALSE))))</f>
        <v/>
      </c>
      <c r="D49" s="520" t="str">
        <f>IF(B49="","",IF(ISNA(VLOOKUP($B49,'E-1 Off Site Hedge Baseline'!$B$1:$L$258,4,FALSE)),"",(VLOOKUP($B49,'E-1 Off Site Hedge Baseline'!$B$1:$L$258,4,FALSE))))</f>
        <v/>
      </c>
      <c r="E49" s="520" t="str">
        <f>IF(B49="","",IF(ISNA(VLOOKUP($B49,'E-1 Off Site Hedge Baseline'!$B$1:$L$257,5,FALSE)),"",(VLOOKUP($B49,'E-1 Off Site Hedge Baseline'!$B$1:$L$257,5,FALSE))))</f>
        <v/>
      </c>
      <c r="F49" s="520" t="str">
        <f>IF(B49="","",IF(ISNA(VLOOKUP($B49,'E-1 Off Site Hedge Baseline'!$B$1:$L$257,6,FALSE)),"",(VLOOKUP($B49,'E-1 Off Site Hedge Baseline'!$B$1:$L$257,6,FALSE))))</f>
        <v/>
      </c>
      <c r="G49" s="520" t="str">
        <f>IF(B49="","",IF(ISNA(VLOOKUP($B49,'E-1 Off Site Hedge Baseline'!$B$1:$L$257,7,FALSE)),"",(VLOOKUP($B49,'E-1 Off Site Hedge Baseline'!$B$1:$L$257,7,FALSE))))</f>
        <v/>
      </c>
      <c r="H49" s="520" t="str">
        <f>IF(B49="","",IF(ISNA(VLOOKUP($B49,'E-1 Off Site Hedge Baseline'!$B$1:$L$257,8,FALSE)),"",(VLOOKUP($B49,'E-1 Off Site Hedge Baseline'!$B$1:$L$257,8,FALSE))))</f>
        <v/>
      </c>
      <c r="I49" s="520" t="str">
        <f>IF(B49="","",IF(ISNA(VLOOKUP($B49,'E-1 Off Site Hedge Baseline'!$B$1:$L$257,10,FALSE)),"",(VLOOKUP($B49,'E-1 Off Site Hedge Baseline'!$B$1:$L$257,10,FALSE))))</f>
        <v/>
      </c>
      <c r="J49" s="520" t="str">
        <f>IF(B49="","",IF(ISNA(VLOOKUP($B49,'E-1 Off Site Hedge Baseline'!$B$1:$L$257,11,FALSE)),"",(VLOOKUP($B49,'E-1 Off Site Hedge Baseline'!$B$1:$L$257,11,FALSE))))</f>
        <v/>
      </c>
      <c r="K49" s="520" t="str">
        <f>IF(B49="","",IF(ISNA(VLOOKUP($B49,'E-1 Off Site Hedge Baseline'!$B$1:$U$257,113,FALSE)),"",(VLOOKUP($B49,'E-1 Off Site Hedge Baseline'!$B$1:$U$257,13,FALSE))))</f>
        <v/>
      </c>
      <c r="L49" s="507" t="str">
        <f>IF(B49="","",IF(ISNA(VLOOKUP($B49,'E-1 Off Site Hedge Baseline'!$B$1:$U$257,12,FALSE)),"",(VLOOKUP($B49,'E-1 Off Site Hedge Baseline'!$B$1:$U$257,12,FALSE))))</f>
        <v/>
      </c>
      <c r="M49" s="418" t="str">
        <f t="shared" si="8"/>
        <v/>
      </c>
      <c r="N49" s="498" t="str">
        <f>IFERROR(IF(B49="","",INDEX('G-6 Hedgerow Data'!$AN$3:$AZ$15,MATCH(C49,'G-6 Hedgerow Data'!$AM$3:$AM$15,0),MATCH(M49,'G-6 Hedgerow Data'!$AN$2:$AZ$2,0))),"")</f>
        <v/>
      </c>
      <c r="O49" s="499" t="str">
        <f t="shared" si="2"/>
        <v/>
      </c>
      <c r="P49" s="505" t="str">
        <f>IF(B49="","",VLOOKUP(B49,'E-1 Off Site Hedge Baseline'!$B$10:T294,16,FALSE))</f>
        <v/>
      </c>
      <c r="Q49" s="498" t="str">
        <f>IF(M49="","",VLOOKUP(M49,'G-6 Hedgerow Data'!$B$2:$AG$15,2,FALSE))</f>
        <v/>
      </c>
      <c r="R49" s="499" t="str">
        <f>IF(M49="","",VLOOKUP(M49,'G-6 Hedgerow Data'!$B$2:$AG$15,3,FALSE))</f>
        <v/>
      </c>
      <c r="S49" s="145"/>
      <c r="T49" s="499" t="str">
        <f>IFERROR(IF(AND(Q49="V.Low",OR(S49="Good",S49="Moderate")),"Error ▲",VLOOKUP(S49,'G-1 All Habitats'!$Z$2:$AA$9,2,FALSE)),"")</f>
        <v/>
      </c>
      <c r="U49" s="145"/>
      <c r="V49" s="507" t="str">
        <f>IF(U49="","",IF(VLOOKUP(U49,'G-3 Multipliers'!$L$3:$N$6,2,FALSE)=0,"Spatial Data Missing ⚠",VLOOKUP(U49,'G-3 Multipliers'!$L$3:$N$6,2,FALSE)))</f>
        <v/>
      </c>
      <c r="W49" s="505" t="str">
        <f>IF(U49="","",IF(VLOOKUP(U49,'G-3 Multipliers'!$L$3:$N$6,3,FALSE)=0,"Spatial Data Missing ⚠",VLOOKUP(U49,'G-3 Multipliers'!$L$3:$N$6,3,FALSE)))</f>
        <v/>
      </c>
      <c r="X49" s="498" t="str">
        <f>IFERROR(IF(OR(LEFT(O49,5)="Error ▲",LEFT(N49,5)="Error ▲",T49="Error ▲"),"Check Data ⚠",IF(F49&lt;R49,INDEX('G-6 Hedgerow Data'!$S$3:$AE$14,MATCH(C49,'G-6 Hedgerow Data'!$B$3:$B$14,0),MATCH(M49,'G-6 Hedgerow Data'!$S$2:$AE$2,0)),INDEX('G-6 Hedgerow Data'!$K$3:$Q$14,MATCH(M49,'G-6 Hedgerow Data'!$B$3:$B$14,0),MATCH(O49,'G-6 Hedgerow Data'!$K$2:$Q$2,0)))),"")</f>
        <v/>
      </c>
      <c r="Y49" s="195"/>
      <c r="Z49" s="195"/>
      <c r="AA49" s="507" t="str">
        <f t="shared" si="3"/>
        <v/>
      </c>
      <c r="AB49" s="521" t="str">
        <f t="shared" si="4"/>
        <v/>
      </c>
      <c r="AC49" s="522" t="str">
        <f t="shared" si="1"/>
        <v/>
      </c>
      <c r="AD49" s="537" t="str">
        <f>IF(M49="","",VLOOKUP(M49,'G-6 Hedgerow Data'!$B$3:$AG$15,31,FALSE))</f>
        <v/>
      </c>
      <c r="AE49" s="520" t="str">
        <f t="shared" si="5"/>
        <v/>
      </c>
      <c r="AF49" s="520" t="str">
        <f t="shared" si="6"/>
        <v/>
      </c>
      <c r="AG49" s="524" t="str">
        <f>IFERROR(IF(O49="","",VLOOKUP(AD49,'G-3 Multipliers'!$P$3:$Q$6,2,FALSE)),"")</f>
        <v/>
      </c>
      <c r="AH49" s="197"/>
      <c r="AI49" s="499" t="str">
        <f>IF(AH49="","",IF(VLOOKUP(AH49,'G-3 Multipliers'!$S$3:$T$6,2,FALSE)=0,"Spatial Data Missing ⚠",VLOOKUP(AH49,'G-3 Multipliers'!$S$3:$T$6,2,FALSE)))</f>
        <v/>
      </c>
      <c r="AJ49" s="545" t="str">
        <f t="shared" si="7"/>
        <v/>
      </c>
      <c r="AK49" s="149"/>
      <c r="AL49" s="150"/>
      <c r="AP49" s="31" t="str">
        <f>IFERROR(INDEX('G-6 Hedgerow Data'!$BJ$3:$BJ$15,MATCH(M49,'G-6 Hedgerow Data'!$B$3:$B$15,0)),"")</f>
        <v/>
      </c>
    </row>
    <row r="50" spans="2:42" ht="14" x14ac:dyDescent="0.3">
      <c r="B50" s="531" t="str">
        <f>'E-1 Off Site Hedge Baseline'!AK48</f>
        <v/>
      </c>
      <c r="C50" s="520" t="str">
        <f>IF(B50="","",IF(ISNA(VLOOKUP($B50,'E-1 Off Site Hedge Baseline'!$B$1:$L$257,3,FALSE)),"",(VLOOKUP($B50,'E-1 Off Site Hedge Baseline'!$B$1:$L$257,3,FALSE))))</f>
        <v/>
      </c>
      <c r="D50" s="520" t="str">
        <f>IF(B50="","",IF(ISNA(VLOOKUP($B50,'E-1 Off Site Hedge Baseline'!$B$1:$L$258,4,FALSE)),"",(VLOOKUP($B50,'E-1 Off Site Hedge Baseline'!$B$1:$L$258,4,FALSE))))</f>
        <v/>
      </c>
      <c r="E50" s="520" t="str">
        <f>IF(B50="","",IF(ISNA(VLOOKUP($B50,'E-1 Off Site Hedge Baseline'!$B$1:$L$257,5,FALSE)),"",(VLOOKUP($B50,'E-1 Off Site Hedge Baseline'!$B$1:$L$257,5,FALSE))))</f>
        <v/>
      </c>
      <c r="F50" s="520" t="str">
        <f>IF(B50="","",IF(ISNA(VLOOKUP($B50,'E-1 Off Site Hedge Baseline'!$B$1:$L$257,6,FALSE)),"",(VLOOKUP($B50,'E-1 Off Site Hedge Baseline'!$B$1:$L$257,6,FALSE))))</f>
        <v/>
      </c>
      <c r="G50" s="520" t="str">
        <f>IF(B50="","",IF(ISNA(VLOOKUP($B50,'E-1 Off Site Hedge Baseline'!$B$1:$L$257,7,FALSE)),"",(VLOOKUP($B50,'E-1 Off Site Hedge Baseline'!$B$1:$L$257,7,FALSE))))</f>
        <v/>
      </c>
      <c r="H50" s="520" t="str">
        <f>IF(B50="","",IF(ISNA(VLOOKUP($B50,'E-1 Off Site Hedge Baseline'!$B$1:$L$257,8,FALSE)),"",(VLOOKUP($B50,'E-1 Off Site Hedge Baseline'!$B$1:$L$257,8,FALSE))))</f>
        <v/>
      </c>
      <c r="I50" s="520" t="str">
        <f>IF(B50="","",IF(ISNA(VLOOKUP($B50,'E-1 Off Site Hedge Baseline'!$B$1:$L$257,10,FALSE)),"",(VLOOKUP($B50,'E-1 Off Site Hedge Baseline'!$B$1:$L$257,10,FALSE))))</f>
        <v/>
      </c>
      <c r="J50" s="520" t="str">
        <f>IF(B50="","",IF(ISNA(VLOOKUP($B50,'E-1 Off Site Hedge Baseline'!$B$1:$L$257,11,FALSE)),"",(VLOOKUP($B50,'E-1 Off Site Hedge Baseline'!$B$1:$L$257,11,FALSE))))</f>
        <v/>
      </c>
      <c r="K50" s="520" t="str">
        <f>IF(B50="","",IF(ISNA(VLOOKUP($B50,'E-1 Off Site Hedge Baseline'!$B$1:$U$257,113,FALSE)),"",(VLOOKUP($B50,'E-1 Off Site Hedge Baseline'!$B$1:$U$257,13,FALSE))))</f>
        <v/>
      </c>
      <c r="L50" s="507" t="str">
        <f>IF(B50="","",IF(ISNA(VLOOKUP($B50,'E-1 Off Site Hedge Baseline'!$B$1:$U$257,12,FALSE)),"",(VLOOKUP($B50,'E-1 Off Site Hedge Baseline'!$B$1:$U$257,12,FALSE))))</f>
        <v/>
      </c>
      <c r="M50" s="418" t="str">
        <f t="shared" si="8"/>
        <v/>
      </c>
      <c r="N50" s="498" t="str">
        <f>IFERROR(IF(B50="","",INDEX('G-6 Hedgerow Data'!$AN$3:$AZ$15,MATCH(C50,'G-6 Hedgerow Data'!$AM$3:$AM$15,0),MATCH(M50,'G-6 Hedgerow Data'!$AN$2:$AZ$2,0))),"")</f>
        <v/>
      </c>
      <c r="O50" s="499" t="str">
        <f t="shared" si="2"/>
        <v/>
      </c>
      <c r="P50" s="505" t="str">
        <f>IF(B50="","",VLOOKUP(B50,'E-1 Off Site Hedge Baseline'!$B$10:T295,16,FALSE))</f>
        <v/>
      </c>
      <c r="Q50" s="498" t="str">
        <f>IF(M50="","",VLOOKUP(M50,'G-6 Hedgerow Data'!$B$2:$AG$15,2,FALSE))</f>
        <v/>
      </c>
      <c r="R50" s="499" t="str">
        <f>IF(M50="","",VLOOKUP(M50,'G-6 Hedgerow Data'!$B$2:$AG$15,3,FALSE))</f>
        <v/>
      </c>
      <c r="S50" s="145"/>
      <c r="T50" s="499" t="str">
        <f>IFERROR(IF(AND(Q50="V.Low",OR(S50="Good",S50="Moderate")),"Error ▲",VLOOKUP(S50,'G-1 All Habitats'!$Z$2:$AA$9,2,FALSE)),"")</f>
        <v/>
      </c>
      <c r="U50" s="145"/>
      <c r="V50" s="507" t="str">
        <f>IF(U50="","",IF(VLOOKUP(U50,'G-3 Multipliers'!$L$3:$N$6,2,FALSE)=0,"Spatial Data Missing ⚠",VLOOKUP(U50,'G-3 Multipliers'!$L$3:$N$6,2,FALSE)))</f>
        <v/>
      </c>
      <c r="W50" s="505" t="str">
        <f>IF(U50="","",IF(VLOOKUP(U50,'G-3 Multipliers'!$L$3:$N$6,3,FALSE)=0,"Spatial Data Missing ⚠",VLOOKUP(U50,'G-3 Multipliers'!$L$3:$N$6,3,FALSE)))</f>
        <v/>
      </c>
      <c r="X50" s="498" t="str">
        <f>IFERROR(IF(OR(LEFT(O50,5)="Error ▲",LEFT(N50,5)="Error ▲",T50="Error ▲"),"Check Data ⚠",IF(F50&lt;R50,INDEX('G-6 Hedgerow Data'!$S$3:$AE$14,MATCH(C50,'G-6 Hedgerow Data'!$B$3:$B$14,0),MATCH(M50,'G-6 Hedgerow Data'!$S$2:$AE$2,0)),INDEX('G-6 Hedgerow Data'!$K$3:$Q$14,MATCH(M50,'G-6 Hedgerow Data'!$B$3:$B$14,0),MATCH(O50,'G-6 Hedgerow Data'!$K$2:$Q$2,0)))),"")</f>
        <v/>
      </c>
      <c r="Y50" s="195"/>
      <c r="Z50" s="195"/>
      <c r="AA50" s="507" t="str">
        <f t="shared" si="3"/>
        <v/>
      </c>
      <c r="AB50" s="521" t="str">
        <f t="shared" si="4"/>
        <v/>
      </c>
      <c r="AC50" s="522" t="str">
        <f t="shared" si="1"/>
        <v/>
      </c>
      <c r="AD50" s="537" t="str">
        <f>IF(M50="","",VLOOKUP(M50,'G-6 Hedgerow Data'!$B$3:$AG$15,31,FALSE))</f>
        <v/>
      </c>
      <c r="AE50" s="520" t="str">
        <f t="shared" si="5"/>
        <v/>
      </c>
      <c r="AF50" s="520" t="str">
        <f t="shared" si="6"/>
        <v/>
      </c>
      <c r="AG50" s="524" t="str">
        <f>IFERROR(IF(O50="","",VLOOKUP(AD50,'G-3 Multipliers'!$P$3:$Q$6,2,FALSE)),"")</f>
        <v/>
      </c>
      <c r="AH50" s="197"/>
      <c r="AI50" s="499" t="str">
        <f>IF(AH50="","",IF(VLOOKUP(AH50,'G-3 Multipliers'!$S$3:$T$6,2,FALSE)=0,"Spatial Data Missing ⚠",VLOOKUP(AH50,'G-3 Multipliers'!$S$3:$T$6,2,FALSE)))</f>
        <v/>
      </c>
      <c r="AJ50" s="545" t="str">
        <f t="shared" si="7"/>
        <v/>
      </c>
      <c r="AK50" s="149"/>
      <c r="AL50" s="150"/>
      <c r="AP50" s="31" t="str">
        <f>IFERROR(INDEX('G-6 Hedgerow Data'!$BJ$3:$BJ$15,MATCH(M50,'G-6 Hedgerow Data'!$B$3:$B$15,0)),"")</f>
        <v/>
      </c>
    </row>
    <row r="51" spans="2:42" ht="14" x14ac:dyDescent="0.3">
      <c r="B51" s="531" t="str">
        <f>'E-1 Off Site Hedge Baseline'!AK49</f>
        <v/>
      </c>
      <c r="C51" s="520" t="str">
        <f>IF(B51="","",IF(ISNA(VLOOKUP($B51,'E-1 Off Site Hedge Baseline'!$B$1:$L$257,3,FALSE)),"",(VLOOKUP($B51,'E-1 Off Site Hedge Baseline'!$B$1:$L$257,3,FALSE))))</f>
        <v/>
      </c>
      <c r="D51" s="520" t="str">
        <f>IF(B51="","",IF(ISNA(VLOOKUP($B51,'E-1 Off Site Hedge Baseline'!$B$1:$L$258,4,FALSE)),"",(VLOOKUP($B51,'E-1 Off Site Hedge Baseline'!$B$1:$L$258,4,FALSE))))</f>
        <v/>
      </c>
      <c r="E51" s="520" t="str">
        <f>IF(B51="","",IF(ISNA(VLOOKUP($B51,'E-1 Off Site Hedge Baseline'!$B$1:$L$257,5,FALSE)),"",(VLOOKUP($B51,'E-1 Off Site Hedge Baseline'!$B$1:$L$257,5,FALSE))))</f>
        <v/>
      </c>
      <c r="F51" s="520" t="str">
        <f>IF(B51="","",IF(ISNA(VLOOKUP($B51,'E-1 Off Site Hedge Baseline'!$B$1:$L$257,6,FALSE)),"",(VLOOKUP($B51,'E-1 Off Site Hedge Baseline'!$B$1:$L$257,6,FALSE))))</f>
        <v/>
      </c>
      <c r="G51" s="520" t="str">
        <f>IF(B51="","",IF(ISNA(VLOOKUP($B51,'E-1 Off Site Hedge Baseline'!$B$1:$L$257,7,FALSE)),"",(VLOOKUP($B51,'E-1 Off Site Hedge Baseline'!$B$1:$L$257,7,FALSE))))</f>
        <v/>
      </c>
      <c r="H51" s="520" t="str">
        <f>IF(B51="","",IF(ISNA(VLOOKUP($B51,'E-1 Off Site Hedge Baseline'!$B$1:$L$257,8,FALSE)),"",(VLOOKUP($B51,'E-1 Off Site Hedge Baseline'!$B$1:$L$257,8,FALSE))))</f>
        <v/>
      </c>
      <c r="I51" s="520" t="str">
        <f>IF(B51="","",IF(ISNA(VLOOKUP($B51,'E-1 Off Site Hedge Baseline'!$B$1:$L$257,10,FALSE)),"",(VLOOKUP($B51,'E-1 Off Site Hedge Baseline'!$B$1:$L$257,10,FALSE))))</f>
        <v/>
      </c>
      <c r="J51" s="520" t="str">
        <f>IF(B51="","",IF(ISNA(VLOOKUP($B51,'E-1 Off Site Hedge Baseline'!$B$1:$L$257,11,FALSE)),"",(VLOOKUP($B51,'E-1 Off Site Hedge Baseline'!$B$1:$L$257,11,FALSE))))</f>
        <v/>
      </c>
      <c r="K51" s="520" t="str">
        <f>IF(B51="","",IF(ISNA(VLOOKUP($B51,'E-1 Off Site Hedge Baseline'!$B$1:$U$257,113,FALSE)),"",(VLOOKUP($B51,'E-1 Off Site Hedge Baseline'!$B$1:$U$257,13,FALSE))))</f>
        <v/>
      </c>
      <c r="L51" s="507" t="str">
        <f>IF(B51="","",IF(ISNA(VLOOKUP($B51,'E-1 Off Site Hedge Baseline'!$B$1:$U$257,12,FALSE)),"",(VLOOKUP($B51,'E-1 Off Site Hedge Baseline'!$B$1:$U$257,12,FALSE))))</f>
        <v/>
      </c>
      <c r="M51" s="418" t="str">
        <f t="shared" si="8"/>
        <v/>
      </c>
      <c r="N51" s="498" t="str">
        <f>IFERROR(IF(B51="","",INDEX('G-6 Hedgerow Data'!$AN$3:$AZ$15,MATCH(C51,'G-6 Hedgerow Data'!$AM$3:$AM$15,0),MATCH(M51,'G-6 Hedgerow Data'!$AN$2:$AZ$2,0))),"")</f>
        <v/>
      </c>
      <c r="O51" s="499" t="str">
        <f t="shared" si="2"/>
        <v/>
      </c>
      <c r="P51" s="505" t="str">
        <f>IF(B51="","",VLOOKUP(B51,'E-1 Off Site Hedge Baseline'!$B$10:T296,16,FALSE))</f>
        <v/>
      </c>
      <c r="Q51" s="498" t="str">
        <f>IF(M51="","",VLOOKUP(M51,'G-6 Hedgerow Data'!$B$2:$AG$15,2,FALSE))</f>
        <v/>
      </c>
      <c r="R51" s="499" t="str">
        <f>IF(M51="","",VLOOKUP(M51,'G-6 Hedgerow Data'!$B$2:$AG$15,3,FALSE))</f>
        <v/>
      </c>
      <c r="S51" s="145"/>
      <c r="T51" s="499" t="str">
        <f>IFERROR(IF(AND(Q51="V.Low",OR(S51="Good",S51="Moderate")),"Error ▲",VLOOKUP(S51,'G-1 All Habitats'!$Z$2:$AA$9,2,FALSE)),"")</f>
        <v/>
      </c>
      <c r="U51" s="145"/>
      <c r="V51" s="507" t="str">
        <f>IF(U51="","",IF(VLOOKUP(U51,'G-3 Multipliers'!$L$3:$N$6,2,FALSE)=0,"Spatial Data Missing ⚠",VLOOKUP(U51,'G-3 Multipliers'!$L$3:$N$6,2,FALSE)))</f>
        <v/>
      </c>
      <c r="W51" s="505" t="str">
        <f>IF(U51="","",IF(VLOOKUP(U51,'G-3 Multipliers'!$L$3:$N$6,3,FALSE)=0,"Spatial Data Missing ⚠",VLOOKUP(U51,'G-3 Multipliers'!$L$3:$N$6,3,FALSE)))</f>
        <v/>
      </c>
      <c r="X51" s="498" t="str">
        <f>IFERROR(IF(OR(LEFT(O51,5)="Error ▲",LEFT(N51,5)="Error ▲",T51="Error ▲"),"Check Data ⚠",IF(F51&lt;R51,INDEX('G-6 Hedgerow Data'!$S$3:$AE$14,MATCH(C51,'G-6 Hedgerow Data'!$B$3:$B$14,0),MATCH(M51,'G-6 Hedgerow Data'!$S$2:$AE$2,0)),INDEX('G-6 Hedgerow Data'!$K$3:$Q$14,MATCH(M51,'G-6 Hedgerow Data'!$B$3:$B$14,0),MATCH(O51,'G-6 Hedgerow Data'!$K$2:$Q$2,0)))),"")</f>
        <v/>
      </c>
      <c r="Y51" s="195"/>
      <c r="Z51" s="195"/>
      <c r="AA51" s="507" t="str">
        <f t="shared" si="3"/>
        <v/>
      </c>
      <c r="AB51" s="521" t="str">
        <f t="shared" si="4"/>
        <v/>
      </c>
      <c r="AC51" s="522" t="str">
        <f t="shared" si="1"/>
        <v/>
      </c>
      <c r="AD51" s="537" t="str">
        <f>IF(M51="","",VLOOKUP(M51,'G-6 Hedgerow Data'!$B$3:$AG$15,31,FALSE))</f>
        <v/>
      </c>
      <c r="AE51" s="520" t="str">
        <f t="shared" si="5"/>
        <v/>
      </c>
      <c r="AF51" s="520" t="str">
        <f t="shared" si="6"/>
        <v/>
      </c>
      <c r="AG51" s="524" t="str">
        <f>IFERROR(IF(O51="","",VLOOKUP(AD51,'G-3 Multipliers'!$P$3:$Q$6,2,FALSE)),"")</f>
        <v/>
      </c>
      <c r="AH51" s="197"/>
      <c r="AI51" s="499" t="str">
        <f>IF(AH51="","",IF(VLOOKUP(AH51,'G-3 Multipliers'!$S$3:$T$6,2,FALSE)=0,"Spatial Data Missing ⚠",VLOOKUP(AH51,'G-3 Multipliers'!$S$3:$T$6,2,FALSE)))</f>
        <v/>
      </c>
      <c r="AJ51" s="545" t="str">
        <f t="shared" si="7"/>
        <v/>
      </c>
      <c r="AK51" s="149"/>
      <c r="AL51" s="150"/>
      <c r="AP51" s="31" t="str">
        <f>IFERROR(INDEX('G-6 Hedgerow Data'!$BJ$3:$BJ$15,MATCH(M51,'G-6 Hedgerow Data'!$B$3:$B$15,0)),"")</f>
        <v/>
      </c>
    </row>
    <row r="52" spans="2:42" ht="14" x14ac:dyDescent="0.3">
      <c r="B52" s="531" t="str">
        <f>'E-1 Off Site Hedge Baseline'!AK50</f>
        <v/>
      </c>
      <c r="C52" s="520" t="str">
        <f>IF(B52="","",IF(ISNA(VLOOKUP($B52,'E-1 Off Site Hedge Baseline'!$B$1:$L$257,3,FALSE)),"",(VLOOKUP($B52,'E-1 Off Site Hedge Baseline'!$B$1:$L$257,3,FALSE))))</f>
        <v/>
      </c>
      <c r="D52" s="520" t="str">
        <f>IF(B52="","",IF(ISNA(VLOOKUP($B52,'E-1 Off Site Hedge Baseline'!$B$1:$L$258,4,FALSE)),"",(VLOOKUP($B52,'E-1 Off Site Hedge Baseline'!$B$1:$L$258,4,FALSE))))</f>
        <v/>
      </c>
      <c r="E52" s="520" t="str">
        <f>IF(B52="","",IF(ISNA(VLOOKUP($B52,'E-1 Off Site Hedge Baseline'!$B$1:$L$257,5,FALSE)),"",(VLOOKUP($B52,'E-1 Off Site Hedge Baseline'!$B$1:$L$257,5,FALSE))))</f>
        <v/>
      </c>
      <c r="F52" s="520" t="str">
        <f>IF(B52="","",IF(ISNA(VLOOKUP($B52,'E-1 Off Site Hedge Baseline'!$B$1:$L$257,6,FALSE)),"",(VLOOKUP($B52,'E-1 Off Site Hedge Baseline'!$B$1:$L$257,6,FALSE))))</f>
        <v/>
      </c>
      <c r="G52" s="520" t="str">
        <f>IF(B52="","",IF(ISNA(VLOOKUP($B52,'E-1 Off Site Hedge Baseline'!$B$1:$L$257,7,FALSE)),"",(VLOOKUP($B52,'E-1 Off Site Hedge Baseline'!$B$1:$L$257,7,FALSE))))</f>
        <v/>
      </c>
      <c r="H52" s="520" t="str">
        <f>IF(B52="","",IF(ISNA(VLOOKUP($B52,'E-1 Off Site Hedge Baseline'!$B$1:$L$257,8,FALSE)),"",(VLOOKUP($B52,'E-1 Off Site Hedge Baseline'!$B$1:$L$257,8,FALSE))))</f>
        <v/>
      </c>
      <c r="I52" s="520" t="str">
        <f>IF(B52="","",IF(ISNA(VLOOKUP($B52,'E-1 Off Site Hedge Baseline'!$B$1:$L$257,10,FALSE)),"",(VLOOKUP($B52,'E-1 Off Site Hedge Baseline'!$B$1:$L$257,10,FALSE))))</f>
        <v/>
      </c>
      <c r="J52" s="520" t="str">
        <f>IF(B52="","",IF(ISNA(VLOOKUP($B52,'E-1 Off Site Hedge Baseline'!$B$1:$L$257,11,FALSE)),"",(VLOOKUP($B52,'E-1 Off Site Hedge Baseline'!$B$1:$L$257,11,FALSE))))</f>
        <v/>
      </c>
      <c r="K52" s="520" t="str">
        <f>IF(B52="","",IF(ISNA(VLOOKUP($B52,'E-1 Off Site Hedge Baseline'!$B$1:$U$257,113,FALSE)),"",(VLOOKUP($B52,'E-1 Off Site Hedge Baseline'!$B$1:$U$257,13,FALSE))))</f>
        <v/>
      </c>
      <c r="L52" s="507" t="str">
        <f>IF(B52="","",IF(ISNA(VLOOKUP($B52,'E-1 Off Site Hedge Baseline'!$B$1:$U$257,12,FALSE)),"",(VLOOKUP($B52,'E-1 Off Site Hedge Baseline'!$B$1:$U$257,12,FALSE))))</f>
        <v/>
      </c>
      <c r="M52" s="418" t="str">
        <f t="shared" si="8"/>
        <v/>
      </c>
      <c r="N52" s="498" t="str">
        <f>IFERROR(IF(B52="","",INDEX('G-6 Hedgerow Data'!$AN$3:$AZ$15,MATCH(C52,'G-6 Hedgerow Data'!$AM$3:$AM$15,0),MATCH(M52,'G-6 Hedgerow Data'!$AN$2:$AZ$2,0))),"")</f>
        <v/>
      </c>
      <c r="O52" s="499" t="str">
        <f t="shared" si="2"/>
        <v/>
      </c>
      <c r="P52" s="505" t="str">
        <f>IF(B52="","",VLOOKUP(B52,'E-1 Off Site Hedge Baseline'!$B$10:T297,16,FALSE))</f>
        <v/>
      </c>
      <c r="Q52" s="498" t="str">
        <f>IF(M52="","",VLOOKUP(M52,'G-6 Hedgerow Data'!$B$2:$AG$15,2,FALSE))</f>
        <v/>
      </c>
      <c r="R52" s="499" t="str">
        <f>IF(M52="","",VLOOKUP(M52,'G-6 Hedgerow Data'!$B$2:$AG$15,3,FALSE))</f>
        <v/>
      </c>
      <c r="S52" s="145"/>
      <c r="T52" s="499" t="str">
        <f>IFERROR(IF(AND(Q52="V.Low",OR(S52="Good",S52="Moderate")),"Error ▲",VLOOKUP(S52,'G-1 All Habitats'!$Z$2:$AA$9,2,FALSE)),"")</f>
        <v/>
      </c>
      <c r="U52" s="145"/>
      <c r="V52" s="507" t="str">
        <f>IF(U52="","",IF(VLOOKUP(U52,'G-3 Multipliers'!$L$3:$N$6,2,FALSE)=0,"Spatial Data Missing ⚠",VLOOKUP(U52,'G-3 Multipliers'!$L$3:$N$6,2,FALSE)))</f>
        <v/>
      </c>
      <c r="W52" s="505" t="str">
        <f>IF(U52="","",IF(VLOOKUP(U52,'G-3 Multipliers'!$L$3:$N$6,3,FALSE)=0,"Spatial Data Missing ⚠",VLOOKUP(U52,'G-3 Multipliers'!$L$3:$N$6,3,FALSE)))</f>
        <v/>
      </c>
      <c r="X52" s="498" t="str">
        <f>IFERROR(IF(OR(LEFT(O52,5)="Error ▲",LEFT(N52,5)="Error ▲",T52="Error ▲"),"Check Data ⚠",IF(F52&lt;R52,INDEX('G-6 Hedgerow Data'!$S$3:$AE$14,MATCH(C52,'G-6 Hedgerow Data'!$B$3:$B$14,0),MATCH(M52,'G-6 Hedgerow Data'!$S$2:$AE$2,0)),INDEX('G-6 Hedgerow Data'!$K$3:$Q$14,MATCH(M52,'G-6 Hedgerow Data'!$B$3:$B$14,0),MATCH(O52,'G-6 Hedgerow Data'!$K$2:$Q$2,0)))),"")</f>
        <v/>
      </c>
      <c r="Y52" s="195"/>
      <c r="Z52" s="195"/>
      <c r="AA52" s="507" t="str">
        <f t="shared" si="3"/>
        <v/>
      </c>
      <c r="AB52" s="521" t="str">
        <f t="shared" si="4"/>
        <v/>
      </c>
      <c r="AC52" s="522" t="str">
        <f t="shared" si="1"/>
        <v/>
      </c>
      <c r="AD52" s="537" t="str">
        <f>IF(M52="","",VLOOKUP(M52,'G-6 Hedgerow Data'!$B$3:$AG$15,31,FALSE))</f>
        <v/>
      </c>
      <c r="AE52" s="520" t="str">
        <f t="shared" si="5"/>
        <v/>
      </c>
      <c r="AF52" s="520" t="str">
        <f t="shared" si="6"/>
        <v/>
      </c>
      <c r="AG52" s="524" t="str">
        <f>IFERROR(IF(O52="","",VLOOKUP(AD52,'G-3 Multipliers'!$P$3:$Q$6,2,FALSE)),"")</f>
        <v/>
      </c>
      <c r="AH52" s="197"/>
      <c r="AI52" s="499" t="str">
        <f>IF(AH52="","",IF(VLOOKUP(AH52,'G-3 Multipliers'!$S$3:$T$6,2,FALSE)=0,"Spatial Data Missing ⚠",VLOOKUP(AH52,'G-3 Multipliers'!$S$3:$T$6,2,FALSE)))</f>
        <v/>
      </c>
      <c r="AJ52" s="545" t="str">
        <f t="shared" si="7"/>
        <v/>
      </c>
      <c r="AK52" s="149"/>
      <c r="AL52" s="150"/>
      <c r="AP52" s="31" t="str">
        <f>IFERROR(INDEX('G-6 Hedgerow Data'!$BJ$3:$BJ$15,MATCH(M52,'G-6 Hedgerow Data'!$B$3:$B$15,0)),"")</f>
        <v/>
      </c>
    </row>
    <row r="53" spans="2:42" ht="14" x14ac:dyDescent="0.3">
      <c r="B53" s="531" t="str">
        <f>'E-1 Off Site Hedge Baseline'!AK51</f>
        <v/>
      </c>
      <c r="C53" s="520" t="str">
        <f>IF(B53="","",IF(ISNA(VLOOKUP($B53,'E-1 Off Site Hedge Baseline'!$B$1:$L$257,3,FALSE)),"",(VLOOKUP($B53,'E-1 Off Site Hedge Baseline'!$B$1:$L$257,3,FALSE))))</f>
        <v/>
      </c>
      <c r="D53" s="520" t="str">
        <f>IF(B53="","",IF(ISNA(VLOOKUP($B53,'E-1 Off Site Hedge Baseline'!$B$1:$L$258,4,FALSE)),"",(VLOOKUP($B53,'E-1 Off Site Hedge Baseline'!$B$1:$L$258,4,FALSE))))</f>
        <v/>
      </c>
      <c r="E53" s="520" t="str">
        <f>IF(B53="","",IF(ISNA(VLOOKUP($B53,'E-1 Off Site Hedge Baseline'!$B$1:$L$257,5,FALSE)),"",(VLOOKUP($B53,'E-1 Off Site Hedge Baseline'!$B$1:$L$257,5,FALSE))))</f>
        <v/>
      </c>
      <c r="F53" s="520" t="str">
        <f>IF(B53="","",IF(ISNA(VLOOKUP($B53,'E-1 Off Site Hedge Baseline'!$B$1:$L$257,6,FALSE)),"",(VLOOKUP($B53,'E-1 Off Site Hedge Baseline'!$B$1:$L$257,6,FALSE))))</f>
        <v/>
      </c>
      <c r="G53" s="520" t="str">
        <f>IF(B53="","",IF(ISNA(VLOOKUP($B53,'E-1 Off Site Hedge Baseline'!$B$1:$L$257,7,FALSE)),"",(VLOOKUP($B53,'E-1 Off Site Hedge Baseline'!$B$1:$L$257,7,FALSE))))</f>
        <v/>
      </c>
      <c r="H53" s="520" t="str">
        <f>IF(B53="","",IF(ISNA(VLOOKUP($B53,'E-1 Off Site Hedge Baseline'!$B$1:$L$257,8,FALSE)),"",(VLOOKUP($B53,'E-1 Off Site Hedge Baseline'!$B$1:$L$257,8,FALSE))))</f>
        <v/>
      </c>
      <c r="I53" s="520" t="str">
        <f>IF(B53="","",IF(ISNA(VLOOKUP($B53,'E-1 Off Site Hedge Baseline'!$B$1:$L$257,10,FALSE)),"",(VLOOKUP($B53,'E-1 Off Site Hedge Baseline'!$B$1:$L$257,10,FALSE))))</f>
        <v/>
      </c>
      <c r="J53" s="520" t="str">
        <f>IF(B53="","",IF(ISNA(VLOOKUP($B53,'E-1 Off Site Hedge Baseline'!$B$1:$L$257,11,FALSE)),"",(VLOOKUP($B53,'E-1 Off Site Hedge Baseline'!$B$1:$L$257,11,FALSE))))</f>
        <v/>
      </c>
      <c r="K53" s="520" t="str">
        <f>IF(B53="","",IF(ISNA(VLOOKUP($B53,'E-1 Off Site Hedge Baseline'!$B$1:$U$257,113,FALSE)),"",(VLOOKUP($B53,'E-1 Off Site Hedge Baseline'!$B$1:$U$257,13,FALSE))))</f>
        <v/>
      </c>
      <c r="L53" s="507" t="str">
        <f>IF(B53="","",IF(ISNA(VLOOKUP($B53,'E-1 Off Site Hedge Baseline'!$B$1:$U$257,12,FALSE)),"",(VLOOKUP($B53,'E-1 Off Site Hedge Baseline'!$B$1:$U$257,12,FALSE))))</f>
        <v/>
      </c>
      <c r="M53" s="418" t="str">
        <f t="shared" si="8"/>
        <v/>
      </c>
      <c r="N53" s="498" t="str">
        <f>IFERROR(IF(B53="","",INDEX('G-6 Hedgerow Data'!$AN$3:$AZ$15,MATCH(C53,'G-6 Hedgerow Data'!$AM$3:$AM$15,0),MATCH(M53,'G-6 Hedgerow Data'!$AN$2:$AZ$2,0))),"")</f>
        <v/>
      </c>
      <c r="O53" s="499" t="str">
        <f t="shared" si="2"/>
        <v/>
      </c>
      <c r="P53" s="505" t="str">
        <f>IF(B53="","",VLOOKUP(B53,'E-1 Off Site Hedge Baseline'!$B$10:T298,16,FALSE))</f>
        <v/>
      </c>
      <c r="Q53" s="498" t="str">
        <f>IF(M53="","",VLOOKUP(M53,'G-6 Hedgerow Data'!$B$2:$AG$15,2,FALSE))</f>
        <v/>
      </c>
      <c r="R53" s="499" t="str">
        <f>IF(M53="","",VLOOKUP(M53,'G-6 Hedgerow Data'!$B$2:$AG$15,3,FALSE))</f>
        <v/>
      </c>
      <c r="S53" s="145"/>
      <c r="T53" s="499" t="str">
        <f>IFERROR(IF(AND(Q53="V.Low",OR(S53="Good",S53="Moderate")),"Error ▲",VLOOKUP(S53,'G-1 All Habitats'!$Z$2:$AA$9,2,FALSE)),"")</f>
        <v/>
      </c>
      <c r="U53" s="145"/>
      <c r="V53" s="507" t="str">
        <f>IF(U53="","",IF(VLOOKUP(U53,'G-3 Multipliers'!$L$3:$N$6,2,FALSE)=0,"Spatial Data Missing ⚠",VLOOKUP(U53,'G-3 Multipliers'!$L$3:$N$6,2,FALSE)))</f>
        <v/>
      </c>
      <c r="W53" s="505" t="str">
        <f>IF(U53="","",IF(VLOOKUP(U53,'G-3 Multipliers'!$L$3:$N$6,3,FALSE)=0,"Spatial Data Missing ⚠",VLOOKUP(U53,'G-3 Multipliers'!$L$3:$N$6,3,FALSE)))</f>
        <v/>
      </c>
      <c r="X53" s="498" t="str">
        <f>IFERROR(IF(OR(LEFT(O53,5)="Error ▲",LEFT(N53,5)="Error ▲",T53="Error ▲"),"Check Data ⚠",IF(F53&lt;R53,INDEX('G-6 Hedgerow Data'!$S$3:$AE$14,MATCH(C53,'G-6 Hedgerow Data'!$B$3:$B$14,0),MATCH(M53,'G-6 Hedgerow Data'!$S$2:$AE$2,0)),INDEX('G-6 Hedgerow Data'!$K$3:$Q$14,MATCH(M53,'G-6 Hedgerow Data'!$B$3:$B$14,0),MATCH(O53,'G-6 Hedgerow Data'!$K$2:$Q$2,0)))),"")</f>
        <v/>
      </c>
      <c r="Y53" s="195"/>
      <c r="Z53" s="195"/>
      <c r="AA53" s="507" t="str">
        <f t="shared" si="3"/>
        <v/>
      </c>
      <c r="AB53" s="521" t="str">
        <f t="shared" si="4"/>
        <v/>
      </c>
      <c r="AC53" s="522" t="str">
        <f t="shared" si="1"/>
        <v/>
      </c>
      <c r="AD53" s="537" t="str">
        <f>IF(M53="","",VLOOKUP(M53,'G-6 Hedgerow Data'!$B$3:$AG$15,31,FALSE))</f>
        <v/>
      </c>
      <c r="AE53" s="520" t="str">
        <f t="shared" si="5"/>
        <v/>
      </c>
      <c r="AF53" s="520" t="str">
        <f t="shared" si="6"/>
        <v/>
      </c>
      <c r="AG53" s="524" t="str">
        <f>IFERROR(IF(O53="","",VLOOKUP(AD53,'G-3 Multipliers'!$P$3:$Q$6,2,FALSE)),"")</f>
        <v/>
      </c>
      <c r="AH53" s="197"/>
      <c r="AI53" s="499" t="str">
        <f>IF(AH53="","",IF(VLOOKUP(AH53,'G-3 Multipliers'!$S$3:$T$6,2,FALSE)=0,"Spatial Data Missing ⚠",VLOOKUP(AH53,'G-3 Multipliers'!$S$3:$T$6,2,FALSE)))</f>
        <v/>
      </c>
      <c r="AJ53" s="545" t="str">
        <f t="shared" si="7"/>
        <v/>
      </c>
      <c r="AK53" s="149"/>
      <c r="AL53" s="150"/>
      <c r="AP53" s="31" t="str">
        <f>IFERROR(INDEX('G-6 Hedgerow Data'!$BJ$3:$BJ$15,MATCH(M53,'G-6 Hedgerow Data'!$B$3:$B$15,0)),"")</f>
        <v/>
      </c>
    </row>
    <row r="54" spans="2:42" ht="14" x14ac:dyDescent="0.3">
      <c r="B54" s="531" t="str">
        <f>'E-1 Off Site Hedge Baseline'!AK52</f>
        <v/>
      </c>
      <c r="C54" s="520" t="str">
        <f>IF(B54="","",IF(ISNA(VLOOKUP($B54,'E-1 Off Site Hedge Baseline'!$B$1:$L$257,3,FALSE)),"",(VLOOKUP($B54,'E-1 Off Site Hedge Baseline'!$B$1:$L$257,3,FALSE))))</f>
        <v/>
      </c>
      <c r="D54" s="520" t="str">
        <f>IF(B54="","",IF(ISNA(VLOOKUP($B54,'E-1 Off Site Hedge Baseline'!$B$1:$L$258,4,FALSE)),"",(VLOOKUP($B54,'E-1 Off Site Hedge Baseline'!$B$1:$L$258,4,FALSE))))</f>
        <v/>
      </c>
      <c r="E54" s="520" t="str">
        <f>IF(B54="","",IF(ISNA(VLOOKUP($B54,'E-1 Off Site Hedge Baseline'!$B$1:$L$257,5,FALSE)),"",(VLOOKUP($B54,'E-1 Off Site Hedge Baseline'!$B$1:$L$257,5,FALSE))))</f>
        <v/>
      </c>
      <c r="F54" s="520" t="str">
        <f>IF(B54="","",IF(ISNA(VLOOKUP($B54,'E-1 Off Site Hedge Baseline'!$B$1:$L$257,6,FALSE)),"",(VLOOKUP($B54,'E-1 Off Site Hedge Baseline'!$B$1:$L$257,6,FALSE))))</f>
        <v/>
      </c>
      <c r="G54" s="520" t="str">
        <f>IF(B54="","",IF(ISNA(VLOOKUP($B54,'E-1 Off Site Hedge Baseline'!$B$1:$L$257,7,FALSE)),"",(VLOOKUP($B54,'E-1 Off Site Hedge Baseline'!$B$1:$L$257,7,FALSE))))</f>
        <v/>
      </c>
      <c r="H54" s="520" t="str">
        <f>IF(B54="","",IF(ISNA(VLOOKUP($B54,'E-1 Off Site Hedge Baseline'!$B$1:$L$257,8,FALSE)),"",(VLOOKUP($B54,'E-1 Off Site Hedge Baseline'!$B$1:$L$257,8,FALSE))))</f>
        <v/>
      </c>
      <c r="I54" s="520" t="str">
        <f>IF(B54="","",IF(ISNA(VLOOKUP($B54,'E-1 Off Site Hedge Baseline'!$B$1:$L$257,10,FALSE)),"",(VLOOKUP($B54,'E-1 Off Site Hedge Baseline'!$B$1:$L$257,10,FALSE))))</f>
        <v/>
      </c>
      <c r="J54" s="520" t="str">
        <f>IF(B54="","",IF(ISNA(VLOOKUP($B54,'E-1 Off Site Hedge Baseline'!$B$1:$L$257,11,FALSE)),"",(VLOOKUP($B54,'E-1 Off Site Hedge Baseline'!$B$1:$L$257,11,FALSE))))</f>
        <v/>
      </c>
      <c r="K54" s="520" t="str">
        <f>IF(B54="","",IF(ISNA(VLOOKUP($B54,'E-1 Off Site Hedge Baseline'!$B$1:$U$257,113,FALSE)),"",(VLOOKUP($B54,'E-1 Off Site Hedge Baseline'!$B$1:$U$257,13,FALSE))))</f>
        <v/>
      </c>
      <c r="L54" s="507" t="str">
        <f>IF(B54="","",IF(ISNA(VLOOKUP($B54,'E-1 Off Site Hedge Baseline'!$B$1:$U$257,12,FALSE)),"",(VLOOKUP($B54,'E-1 Off Site Hedge Baseline'!$B$1:$U$257,12,FALSE))))</f>
        <v/>
      </c>
      <c r="M54" s="418" t="str">
        <f t="shared" si="8"/>
        <v/>
      </c>
      <c r="N54" s="498" t="str">
        <f>IFERROR(IF(B54="","",INDEX('G-6 Hedgerow Data'!$AN$3:$AZ$15,MATCH(C54,'G-6 Hedgerow Data'!$AM$3:$AM$15,0),MATCH(M54,'G-6 Hedgerow Data'!$AN$2:$AZ$2,0))),"")</f>
        <v/>
      </c>
      <c r="O54" s="499" t="str">
        <f t="shared" si="2"/>
        <v/>
      </c>
      <c r="P54" s="505" t="str">
        <f>IF(B54="","",VLOOKUP(B54,'E-1 Off Site Hedge Baseline'!$B$10:T299,16,FALSE))</f>
        <v/>
      </c>
      <c r="Q54" s="498" t="str">
        <f>IF(M54="","",VLOOKUP(M54,'G-6 Hedgerow Data'!$B$2:$AG$15,2,FALSE))</f>
        <v/>
      </c>
      <c r="R54" s="499" t="str">
        <f>IF(M54="","",VLOOKUP(M54,'G-6 Hedgerow Data'!$B$2:$AG$15,3,FALSE))</f>
        <v/>
      </c>
      <c r="S54" s="145"/>
      <c r="T54" s="499" t="str">
        <f>IFERROR(IF(AND(Q54="V.Low",OR(S54="Good",S54="Moderate")),"Error ▲",VLOOKUP(S54,'G-1 All Habitats'!$Z$2:$AA$9,2,FALSE)),"")</f>
        <v/>
      </c>
      <c r="U54" s="145"/>
      <c r="V54" s="507" t="str">
        <f>IF(U54="","",IF(VLOOKUP(U54,'G-3 Multipliers'!$L$3:$N$6,2,FALSE)=0,"Spatial Data Missing ⚠",VLOOKUP(U54,'G-3 Multipliers'!$L$3:$N$6,2,FALSE)))</f>
        <v/>
      </c>
      <c r="W54" s="505" t="str">
        <f>IF(U54="","",IF(VLOOKUP(U54,'G-3 Multipliers'!$L$3:$N$6,3,FALSE)=0,"Spatial Data Missing ⚠",VLOOKUP(U54,'G-3 Multipliers'!$L$3:$N$6,3,FALSE)))</f>
        <v/>
      </c>
      <c r="X54" s="498" t="str">
        <f>IFERROR(IF(OR(LEFT(O54,5)="Error ▲",LEFT(N54,5)="Error ▲",T54="Error ▲"),"Check Data ⚠",IF(F54&lt;R54,INDEX('G-6 Hedgerow Data'!$S$3:$AE$14,MATCH(C54,'G-6 Hedgerow Data'!$B$3:$B$14,0),MATCH(M54,'G-6 Hedgerow Data'!$S$2:$AE$2,0)),INDEX('G-6 Hedgerow Data'!$K$3:$Q$14,MATCH(M54,'G-6 Hedgerow Data'!$B$3:$B$14,0),MATCH(O54,'G-6 Hedgerow Data'!$K$2:$Q$2,0)))),"")</f>
        <v/>
      </c>
      <c r="Y54" s="195"/>
      <c r="Z54" s="195"/>
      <c r="AA54" s="507" t="str">
        <f t="shared" si="3"/>
        <v/>
      </c>
      <c r="AB54" s="521" t="str">
        <f t="shared" si="4"/>
        <v/>
      </c>
      <c r="AC54" s="522" t="str">
        <f t="shared" si="1"/>
        <v/>
      </c>
      <c r="AD54" s="537" t="str">
        <f>IF(M54="","",VLOOKUP(M54,'G-6 Hedgerow Data'!$B$3:$AG$15,31,FALSE))</f>
        <v/>
      </c>
      <c r="AE54" s="520" t="str">
        <f t="shared" si="5"/>
        <v/>
      </c>
      <c r="AF54" s="520" t="str">
        <f t="shared" si="6"/>
        <v/>
      </c>
      <c r="AG54" s="524" t="str">
        <f>IFERROR(IF(O54="","",VLOOKUP(AD54,'G-3 Multipliers'!$P$3:$Q$6,2,FALSE)),"")</f>
        <v/>
      </c>
      <c r="AH54" s="197"/>
      <c r="AI54" s="499" t="str">
        <f>IF(AH54="","",IF(VLOOKUP(AH54,'G-3 Multipliers'!$S$3:$T$6,2,FALSE)=0,"Spatial Data Missing ⚠",VLOOKUP(AH54,'G-3 Multipliers'!$S$3:$T$6,2,FALSE)))</f>
        <v/>
      </c>
      <c r="AJ54" s="545" t="str">
        <f t="shared" si="7"/>
        <v/>
      </c>
      <c r="AK54" s="149"/>
      <c r="AL54" s="150"/>
      <c r="AP54" s="31" t="str">
        <f>IFERROR(INDEX('G-6 Hedgerow Data'!$BJ$3:$BJ$15,MATCH(M54,'G-6 Hedgerow Data'!$B$3:$B$15,0)),"")</f>
        <v/>
      </c>
    </row>
    <row r="55" spans="2:42" ht="14" x14ac:dyDescent="0.3">
      <c r="B55" s="531" t="str">
        <f>'E-1 Off Site Hedge Baseline'!AK53</f>
        <v/>
      </c>
      <c r="C55" s="520" t="str">
        <f>IF(B55="","",IF(ISNA(VLOOKUP($B55,'E-1 Off Site Hedge Baseline'!$B$1:$L$257,3,FALSE)),"",(VLOOKUP($B55,'E-1 Off Site Hedge Baseline'!$B$1:$L$257,3,FALSE))))</f>
        <v/>
      </c>
      <c r="D55" s="520" t="str">
        <f>IF(B55="","",IF(ISNA(VLOOKUP($B55,'E-1 Off Site Hedge Baseline'!$B$1:$L$258,4,FALSE)),"",(VLOOKUP($B55,'E-1 Off Site Hedge Baseline'!$B$1:$L$258,4,FALSE))))</f>
        <v/>
      </c>
      <c r="E55" s="520" t="str">
        <f>IF(B55="","",IF(ISNA(VLOOKUP($B55,'E-1 Off Site Hedge Baseline'!$B$1:$L$257,5,FALSE)),"",(VLOOKUP($B55,'E-1 Off Site Hedge Baseline'!$B$1:$L$257,5,FALSE))))</f>
        <v/>
      </c>
      <c r="F55" s="520" t="str">
        <f>IF(B55="","",IF(ISNA(VLOOKUP($B55,'E-1 Off Site Hedge Baseline'!$B$1:$L$257,6,FALSE)),"",(VLOOKUP($B55,'E-1 Off Site Hedge Baseline'!$B$1:$L$257,6,FALSE))))</f>
        <v/>
      </c>
      <c r="G55" s="520" t="str">
        <f>IF(B55="","",IF(ISNA(VLOOKUP($B55,'E-1 Off Site Hedge Baseline'!$B$1:$L$257,7,FALSE)),"",(VLOOKUP($B55,'E-1 Off Site Hedge Baseline'!$B$1:$L$257,7,FALSE))))</f>
        <v/>
      </c>
      <c r="H55" s="520" t="str">
        <f>IF(B55="","",IF(ISNA(VLOOKUP($B55,'E-1 Off Site Hedge Baseline'!$B$1:$L$257,8,FALSE)),"",(VLOOKUP($B55,'E-1 Off Site Hedge Baseline'!$B$1:$L$257,8,FALSE))))</f>
        <v/>
      </c>
      <c r="I55" s="520" t="str">
        <f>IF(B55="","",IF(ISNA(VLOOKUP($B55,'E-1 Off Site Hedge Baseline'!$B$1:$L$257,10,FALSE)),"",(VLOOKUP($B55,'E-1 Off Site Hedge Baseline'!$B$1:$L$257,10,FALSE))))</f>
        <v/>
      </c>
      <c r="J55" s="520" t="str">
        <f>IF(B55="","",IF(ISNA(VLOOKUP($B55,'E-1 Off Site Hedge Baseline'!$B$1:$L$257,11,FALSE)),"",(VLOOKUP($B55,'E-1 Off Site Hedge Baseline'!$B$1:$L$257,11,FALSE))))</f>
        <v/>
      </c>
      <c r="K55" s="520" t="str">
        <f>IF(B55="","",IF(ISNA(VLOOKUP($B55,'E-1 Off Site Hedge Baseline'!$B$1:$U$257,113,FALSE)),"",(VLOOKUP($B55,'E-1 Off Site Hedge Baseline'!$B$1:$U$257,13,FALSE))))</f>
        <v/>
      </c>
      <c r="L55" s="507" t="str">
        <f>IF(B55="","",IF(ISNA(VLOOKUP($B55,'E-1 Off Site Hedge Baseline'!$B$1:$U$257,12,FALSE)),"",(VLOOKUP($B55,'E-1 Off Site Hedge Baseline'!$B$1:$U$257,12,FALSE))))</f>
        <v/>
      </c>
      <c r="M55" s="418" t="str">
        <f t="shared" si="8"/>
        <v/>
      </c>
      <c r="N55" s="498" t="str">
        <f>IFERROR(IF(B55="","",INDEX('G-6 Hedgerow Data'!$AN$3:$AZ$15,MATCH(C55,'G-6 Hedgerow Data'!$AM$3:$AM$15,0),MATCH(M55,'G-6 Hedgerow Data'!$AN$2:$AZ$2,0))),"")</f>
        <v/>
      </c>
      <c r="O55" s="499" t="str">
        <f t="shared" si="2"/>
        <v/>
      </c>
      <c r="P55" s="505" t="str">
        <f>IF(B55="","",VLOOKUP(B55,'E-1 Off Site Hedge Baseline'!$B$10:T300,16,FALSE))</f>
        <v/>
      </c>
      <c r="Q55" s="498" t="str">
        <f>IF(M55="","",VLOOKUP(M55,'G-6 Hedgerow Data'!$B$2:$AG$15,2,FALSE))</f>
        <v/>
      </c>
      <c r="R55" s="499" t="str">
        <f>IF(M55="","",VLOOKUP(M55,'G-6 Hedgerow Data'!$B$2:$AG$15,3,FALSE))</f>
        <v/>
      </c>
      <c r="S55" s="145"/>
      <c r="T55" s="499" t="str">
        <f>IFERROR(IF(AND(Q55="V.Low",OR(S55="Good",S55="Moderate")),"Error ▲",VLOOKUP(S55,'G-1 All Habitats'!$Z$2:$AA$9,2,FALSE)),"")</f>
        <v/>
      </c>
      <c r="U55" s="145"/>
      <c r="V55" s="507" t="str">
        <f>IF(U55="","",IF(VLOOKUP(U55,'G-3 Multipliers'!$L$3:$N$6,2,FALSE)=0,"Spatial Data Missing ⚠",VLOOKUP(U55,'G-3 Multipliers'!$L$3:$N$6,2,FALSE)))</f>
        <v/>
      </c>
      <c r="W55" s="505" t="str">
        <f>IF(U55="","",IF(VLOOKUP(U55,'G-3 Multipliers'!$L$3:$N$6,3,FALSE)=0,"Spatial Data Missing ⚠",VLOOKUP(U55,'G-3 Multipliers'!$L$3:$N$6,3,FALSE)))</f>
        <v/>
      </c>
      <c r="X55" s="498" t="str">
        <f>IFERROR(IF(OR(LEFT(O55,5)="Error ▲",LEFT(N55,5)="Error ▲",T55="Error ▲"),"Check Data ⚠",IF(F55&lt;R55,INDEX('G-6 Hedgerow Data'!$S$3:$AE$14,MATCH(C55,'G-6 Hedgerow Data'!$B$3:$B$14,0),MATCH(M55,'G-6 Hedgerow Data'!$S$2:$AE$2,0)),INDEX('G-6 Hedgerow Data'!$K$3:$Q$14,MATCH(M55,'G-6 Hedgerow Data'!$B$3:$B$14,0),MATCH(O55,'G-6 Hedgerow Data'!$K$2:$Q$2,0)))),"")</f>
        <v/>
      </c>
      <c r="Y55" s="195"/>
      <c r="Z55" s="195"/>
      <c r="AA55" s="507" t="str">
        <f t="shared" si="3"/>
        <v/>
      </c>
      <c r="AB55" s="521" t="str">
        <f t="shared" si="4"/>
        <v/>
      </c>
      <c r="AC55" s="522" t="str">
        <f t="shared" si="1"/>
        <v/>
      </c>
      <c r="AD55" s="537" t="str">
        <f>IF(M55="","",VLOOKUP(M55,'G-6 Hedgerow Data'!$B$3:$AG$15,31,FALSE))</f>
        <v/>
      </c>
      <c r="AE55" s="520" t="str">
        <f t="shared" si="5"/>
        <v/>
      </c>
      <c r="AF55" s="520" t="str">
        <f t="shared" si="6"/>
        <v/>
      </c>
      <c r="AG55" s="524" t="str">
        <f>IFERROR(IF(O55="","",VLOOKUP(AD55,'G-3 Multipliers'!$P$3:$Q$6,2,FALSE)),"")</f>
        <v/>
      </c>
      <c r="AH55" s="197"/>
      <c r="AI55" s="499" t="str">
        <f>IF(AH55="","",IF(VLOOKUP(AH55,'G-3 Multipliers'!$S$3:$T$6,2,FALSE)=0,"Spatial Data Missing ⚠",VLOOKUP(AH55,'G-3 Multipliers'!$S$3:$T$6,2,FALSE)))</f>
        <v/>
      </c>
      <c r="AJ55" s="545" t="str">
        <f t="shared" si="7"/>
        <v/>
      </c>
      <c r="AK55" s="149"/>
      <c r="AL55" s="150"/>
      <c r="AP55" s="31" t="str">
        <f>IFERROR(INDEX('G-6 Hedgerow Data'!$BJ$3:$BJ$15,MATCH(M55,'G-6 Hedgerow Data'!$B$3:$B$15,0)),"")</f>
        <v/>
      </c>
    </row>
    <row r="56" spans="2:42" ht="14" x14ac:dyDescent="0.3">
      <c r="B56" s="531" t="str">
        <f>'E-1 Off Site Hedge Baseline'!AK54</f>
        <v/>
      </c>
      <c r="C56" s="520" t="str">
        <f>IF(B56="","",IF(ISNA(VLOOKUP($B56,'E-1 Off Site Hedge Baseline'!$B$1:$L$257,3,FALSE)),"",(VLOOKUP($B56,'E-1 Off Site Hedge Baseline'!$B$1:$L$257,3,FALSE))))</f>
        <v/>
      </c>
      <c r="D56" s="520" t="str">
        <f>IF(B56="","",IF(ISNA(VLOOKUP($B56,'E-1 Off Site Hedge Baseline'!$B$1:$L$258,4,FALSE)),"",(VLOOKUP($B56,'E-1 Off Site Hedge Baseline'!$B$1:$L$258,4,FALSE))))</f>
        <v/>
      </c>
      <c r="E56" s="520" t="str">
        <f>IF(B56="","",IF(ISNA(VLOOKUP($B56,'E-1 Off Site Hedge Baseline'!$B$1:$L$257,5,FALSE)),"",(VLOOKUP($B56,'E-1 Off Site Hedge Baseline'!$B$1:$L$257,5,FALSE))))</f>
        <v/>
      </c>
      <c r="F56" s="520" t="str">
        <f>IF(B56="","",IF(ISNA(VLOOKUP($B56,'E-1 Off Site Hedge Baseline'!$B$1:$L$257,6,FALSE)),"",(VLOOKUP($B56,'E-1 Off Site Hedge Baseline'!$B$1:$L$257,6,FALSE))))</f>
        <v/>
      </c>
      <c r="G56" s="520" t="str">
        <f>IF(B56="","",IF(ISNA(VLOOKUP($B56,'E-1 Off Site Hedge Baseline'!$B$1:$L$257,7,FALSE)),"",(VLOOKUP($B56,'E-1 Off Site Hedge Baseline'!$B$1:$L$257,7,FALSE))))</f>
        <v/>
      </c>
      <c r="H56" s="520" t="str">
        <f>IF(B56="","",IF(ISNA(VLOOKUP($B56,'E-1 Off Site Hedge Baseline'!$B$1:$L$257,8,FALSE)),"",(VLOOKUP($B56,'E-1 Off Site Hedge Baseline'!$B$1:$L$257,8,FALSE))))</f>
        <v/>
      </c>
      <c r="I56" s="520" t="str">
        <f>IF(B56="","",IF(ISNA(VLOOKUP($B56,'E-1 Off Site Hedge Baseline'!$B$1:$L$257,10,FALSE)),"",(VLOOKUP($B56,'E-1 Off Site Hedge Baseline'!$B$1:$L$257,10,FALSE))))</f>
        <v/>
      </c>
      <c r="J56" s="520" t="str">
        <f>IF(B56="","",IF(ISNA(VLOOKUP($B56,'E-1 Off Site Hedge Baseline'!$B$1:$L$257,11,FALSE)),"",(VLOOKUP($B56,'E-1 Off Site Hedge Baseline'!$B$1:$L$257,11,FALSE))))</f>
        <v/>
      </c>
      <c r="K56" s="520" t="str">
        <f>IF(B56="","",IF(ISNA(VLOOKUP($B56,'E-1 Off Site Hedge Baseline'!$B$1:$U$257,113,FALSE)),"",(VLOOKUP($B56,'E-1 Off Site Hedge Baseline'!$B$1:$U$257,13,FALSE))))</f>
        <v/>
      </c>
      <c r="L56" s="507" t="str">
        <f>IF(B56="","",IF(ISNA(VLOOKUP($B56,'E-1 Off Site Hedge Baseline'!$B$1:$U$257,12,FALSE)),"",(VLOOKUP($B56,'E-1 Off Site Hedge Baseline'!$B$1:$U$257,12,FALSE))))</f>
        <v/>
      </c>
      <c r="M56" s="418" t="str">
        <f t="shared" si="8"/>
        <v/>
      </c>
      <c r="N56" s="498" t="str">
        <f>IFERROR(IF(B56="","",INDEX('G-6 Hedgerow Data'!$AN$3:$AZ$15,MATCH(C56,'G-6 Hedgerow Data'!$AM$3:$AM$15,0),MATCH(M56,'G-6 Hedgerow Data'!$AN$2:$AZ$2,0))),"")</f>
        <v/>
      </c>
      <c r="O56" s="499" t="str">
        <f t="shared" si="2"/>
        <v/>
      </c>
      <c r="P56" s="505" t="str">
        <f>IF(B56="","",VLOOKUP(B56,'E-1 Off Site Hedge Baseline'!$B$10:T301,16,FALSE))</f>
        <v/>
      </c>
      <c r="Q56" s="498" t="str">
        <f>IF(M56="","",VLOOKUP(M56,'G-6 Hedgerow Data'!$B$2:$AG$15,2,FALSE))</f>
        <v/>
      </c>
      <c r="R56" s="499" t="str">
        <f>IF(M56="","",VLOOKUP(M56,'G-6 Hedgerow Data'!$B$2:$AG$15,3,FALSE))</f>
        <v/>
      </c>
      <c r="S56" s="145"/>
      <c r="T56" s="499" t="str">
        <f>IFERROR(IF(AND(Q56="V.Low",OR(S56="Good",S56="Moderate")),"Error ▲",VLOOKUP(S56,'G-1 All Habitats'!$Z$2:$AA$9,2,FALSE)),"")</f>
        <v/>
      </c>
      <c r="U56" s="145"/>
      <c r="V56" s="507" t="str">
        <f>IF(U56="","",IF(VLOOKUP(U56,'G-3 Multipliers'!$L$3:$N$6,2,FALSE)=0,"Spatial Data Missing ⚠",VLOOKUP(U56,'G-3 Multipliers'!$L$3:$N$6,2,FALSE)))</f>
        <v/>
      </c>
      <c r="W56" s="505" t="str">
        <f>IF(U56="","",IF(VLOOKUP(U56,'G-3 Multipliers'!$L$3:$N$6,3,FALSE)=0,"Spatial Data Missing ⚠",VLOOKUP(U56,'G-3 Multipliers'!$L$3:$N$6,3,FALSE)))</f>
        <v/>
      </c>
      <c r="X56" s="498" t="str">
        <f>IFERROR(IF(OR(LEFT(O56,5)="Error ▲",LEFT(N56,5)="Error ▲",T56="Error ▲"),"Check Data ⚠",IF(F56&lt;R56,INDEX('G-6 Hedgerow Data'!$S$3:$AE$14,MATCH(C56,'G-6 Hedgerow Data'!$B$3:$B$14,0),MATCH(M56,'G-6 Hedgerow Data'!$S$2:$AE$2,0)),INDEX('G-6 Hedgerow Data'!$K$3:$Q$14,MATCH(M56,'G-6 Hedgerow Data'!$B$3:$B$14,0),MATCH(O56,'G-6 Hedgerow Data'!$K$2:$Q$2,0)))),"")</f>
        <v/>
      </c>
      <c r="Y56" s="195"/>
      <c r="Z56" s="195"/>
      <c r="AA56" s="507" t="str">
        <f t="shared" si="3"/>
        <v/>
      </c>
      <c r="AB56" s="521" t="str">
        <f t="shared" si="4"/>
        <v/>
      </c>
      <c r="AC56" s="522" t="str">
        <f t="shared" si="1"/>
        <v/>
      </c>
      <c r="AD56" s="537" t="str">
        <f>IF(M56="","",VLOOKUP(M56,'G-6 Hedgerow Data'!$B$3:$AG$15,31,FALSE))</f>
        <v/>
      </c>
      <c r="AE56" s="520" t="str">
        <f t="shared" si="5"/>
        <v/>
      </c>
      <c r="AF56" s="520" t="str">
        <f t="shared" si="6"/>
        <v/>
      </c>
      <c r="AG56" s="524" t="str">
        <f>IFERROR(IF(O56="","",VLOOKUP(AD56,'G-3 Multipliers'!$P$3:$Q$6,2,FALSE)),"")</f>
        <v/>
      </c>
      <c r="AH56" s="197"/>
      <c r="AI56" s="499" t="str">
        <f>IF(AH56="","",IF(VLOOKUP(AH56,'G-3 Multipliers'!$S$3:$T$6,2,FALSE)=0,"Spatial Data Missing ⚠",VLOOKUP(AH56,'G-3 Multipliers'!$S$3:$T$6,2,FALSE)))</f>
        <v/>
      </c>
      <c r="AJ56" s="545" t="str">
        <f t="shared" si="7"/>
        <v/>
      </c>
      <c r="AK56" s="149"/>
      <c r="AL56" s="150"/>
      <c r="AP56" s="31" t="str">
        <f>IFERROR(INDEX('G-6 Hedgerow Data'!$BJ$3:$BJ$15,MATCH(M56,'G-6 Hedgerow Data'!$B$3:$B$15,0)),"")</f>
        <v/>
      </c>
    </row>
    <row r="57" spans="2:42" ht="14" x14ac:dyDescent="0.3">
      <c r="B57" s="531" t="str">
        <f>'E-1 Off Site Hedge Baseline'!AK55</f>
        <v/>
      </c>
      <c r="C57" s="520" t="str">
        <f>IF(B57="","",IF(ISNA(VLOOKUP($B57,'E-1 Off Site Hedge Baseline'!$B$1:$L$257,3,FALSE)),"",(VLOOKUP($B57,'E-1 Off Site Hedge Baseline'!$B$1:$L$257,3,FALSE))))</f>
        <v/>
      </c>
      <c r="D57" s="520" t="str">
        <f>IF(B57="","",IF(ISNA(VLOOKUP($B57,'E-1 Off Site Hedge Baseline'!$B$1:$L$258,4,FALSE)),"",(VLOOKUP($B57,'E-1 Off Site Hedge Baseline'!$B$1:$L$258,4,FALSE))))</f>
        <v/>
      </c>
      <c r="E57" s="520" t="str">
        <f>IF(B57="","",IF(ISNA(VLOOKUP($B57,'E-1 Off Site Hedge Baseline'!$B$1:$L$257,5,FALSE)),"",(VLOOKUP($B57,'E-1 Off Site Hedge Baseline'!$B$1:$L$257,5,FALSE))))</f>
        <v/>
      </c>
      <c r="F57" s="520" t="str">
        <f>IF(B57="","",IF(ISNA(VLOOKUP($B57,'E-1 Off Site Hedge Baseline'!$B$1:$L$257,6,FALSE)),"",(VLOOKUP($B57,'E-1 Off Site Hedge Baseline'!$B$1:$L$257,6,FALSE))))</f>
        <v/>
      </c>
      <c r="G57" s="520" t="str">
        <f>IF(B57="","",IF(ISNA(VLOOKUP($B57,'E-1 Off Site Hedge Baseline'!$B$1:$L$257,7,FALSE)),"",(VLOOKUP($B57,'E-1 Off Site Hedge Baseline'!$B$1:$L$257,7,FALSE))))</f>
        <v/>
      </c>
      <c r="H57" s="520" t="str">
        <f>IF(B57="","",IF(ISNA(VLOOKUP($B57,'E-1 Off Site Hedge Baseline'!$B$1:$L$257,8,FALSE)),"",(VLOOKUP($B57,'E-1 Off Site Hedge Baseline'!$B$1:$L$257,8,FALSE))))</f>
        <v/>
      </c>
      <c r="I57" s="520" t="str">
        <f>IF(B57="","",IF(ISNA(VLOOKUP($B57,'E-1 Off Site Hedge Baseline'!$B$1:$L$257,10,FALSE)),"",(VLOOKUP($B57,'E-1 Off Site Hedge Baseline'!$B$1:$L$257,10,FALSE))))</f>
        <v/>
      </c>
      <c r="J57" s="520" t="str">
        <f>IF(B57="","",IF(ISNA(VLOOKUP($B57,'E-1 Off Site Hedge Baseline'!$B$1:$L$257,11,FALSE)),"",(VLOOKUP($B57,'E-1 Off Site Hedge Baseline'!$B$1:$L$257,11,FALSE))))</f>
        <v/>
      </c>
      <c r="K57" s="520" t="str">
        <f>IF(B57="","",IF(ISNA(VLOOKUP($B57,'E-1 Off Site Hedge Baseline'!$B$1:$U$257,113,FALSE)),"",(VLOOKUP($B57,'E-1 Off Site Hedge Baseline'!$B$1:$U$257,13,FALSE))))</f>
        <v/>
      </c>
      <c r="L57" s="507" t="str">
        <f>IF(B57="","",IF(ISNA(VLOOKUP($B57,'E-1 Off Site Hedge Baseline'!$B$1:$U$257,12,FALSE)),"",(VLOOKUP($B57,'E-1 Off Site Hedge Baseline'!$B$1:$U$257,12,FALSE))))</f>
        <v/>
      </c>
      <c r="M57" s="418" t="str">
        <f t="shared" si="8"/>
        <v/>
      </c>
      <c r="N57" s="498" t="str">
        <f>IFERROR(IF(B57="","",INDEX('G-6 Hedgerow Data'!$AN$3:$AZ$15,MATCH(C57,'G-6 Hedgerow Data'!$AM$3:$AM$15,0),MATCH(M57,'G-6 Hedgerow Data'!$AN$2:$AZ$2,0))),"")</f>
        <v/>
      </c>
      <c r="O57" s="499" t="str">
        <f t="shared" si="2"/>
        <v/>
      </c>
      <c r="P57" s="505" t="str">
        <f>IF(B57="","",VLOOKUP(B57,'E-1 Off Site Hedge Baseline'!$B$10:T302,16,FALSE))</f>
        <v/>
      </c>
      <c r="Q57" s="498" t="str">
        <f>IF(M57="","",VLOOKUP(M57,'G-6 Hedgerow Data'!$B$2:$AG$15,2,FALSE))</f>
        <v/>
      </c>
      <c r="R57" s="499" t="str">
        <f>IF(M57="","",VLOOKUP(M57,'G-6 Hedgerow Data'!$B$2:$AG$15,3,FALSE))</f>
        <v/>
      </c>
      <c r="S57" s="145"/>
      <c r="T57" s="499" t="str">
        <f>IFERROR(IF(AND(Q57="V.Low",OR(S57="Good",S57="Moderate")),"Error ▲",VLOOKUP(S57,'G-1 All Habitats'!$Z$2:$AA$9,2,FALSE)),"")</f>
        <v/>
      </c>
      <c r="U57" s="145"/>
      <c r="V57" s="507" t="str">
        <f>IF(U57="","",IF(VLOOKUP(U57,'G-3 Multipliers'!$L$3:$N$6,2,FALSE)=0,"Spatial Data Missing ⚠",VLOOKUP(U57,'G-3 Multipliers'!$L$3:$N$6,2,FALSE)))</f>
        <v/>
      </c>
      <c r="W57" s="505" t="str">
        <f>IF(U57="","",IF(VLOOKUP(U57,'G-3 Multipliers'!$L$3:$N$6,3,FALSE)=0,"Spatial Data Missing ⚠",VLOOKUP(U57,'G-3 Multipliers'!$L$3:$N$6,3,FALSE)))</f>
        <v/>
      </c>
      <c r="X57" s="498" t="str">
        <f>IFERROR(IF(OR(LEFT(O57,5)="Error ▲",LEFT(N57,5)="Error ▲",T57="Error ▲"),"Check Data ⚠",IF(F57&lt;R57,INDEX('G-6 Hedgerow Data'!$S$3:$AE$14,MATCH(C57,'G-6 Hedgerow Data'!$B$3:$B$14,0),MATCH(M57,'G-6 Hedgerow Data'!$S$2:$AE$2,0)),INDEX('G-6 Hedgerow Data'!$K$3:$Q$14,MATCH(M57,'G-6 Hedgerow Data'!$B$3:$B$14,0),MATCH(O57,'G-6 Hedgerow Data'!$K$2:$Q$2,0)))),"")</f>
        <v/>
      </c>
      <c r="Y57" s="195"/>
      <c r="Z57" s="195"/>
      <c r="AA57" s="507" t="str">
        <f t="shared" si="3"/>
        <v/>
      </c>
      <c r="AB57" s="521" t="str">
        <f t="shared" si="4"/>
        <v/>
      </c>
      <c r="AC57" s="522" t="str">
        <f t="shared" si="1"/>
        <v/>
      </c>
      <c r="AD57" s="537" t="str">
        <f>IF(M57="","",VLOOKUP(M57,'G-6 Hedgerow Data'!$B$3:$AG$15,31,FALSE))</f>
        <v/>
      </c>
      <c r="AE57" s="520" t="str">
        <f t="shared" si="5"/>
        <v/>
      </c>
      <c r="AF57" s="520" t="str">
        <f t="shared" si="6"/>
        <v/>
      </c>
      <c r="AG57" s="524" t="str">
        <f>IFERROR(IF(O57="","",VLOOKUP(AD57,'G-3 Multipliers'!$P$3:$Q$6,2,FALSE)),"")</f>
        <v/>
      </c>
      <c r="AH57" s="197"/>
      <c r="AI57" s="499" t="str">
        <f>IF(AH57="","",IF(VLOOKUP(AH57,'G-3 Multipliers'!$S$3:$T$6,2,FALSE)=0,"Spatial Data Missing ⚠",VLOOKUP(AH57,'G-3 Multipliers'!$S$3:$T$6,2,FALSE)))</f>
        <v/>
      </c>
      <c r="AJ57" s="545" t="str">
        <f t="shared" si="7"/>
        <v/>
      </c>
      <c r="AK57" s="149"/>
      <c r="AL57" s="150"/>
      <c r="AP57" s="31" t="str">
        <f>IFERROR(INDEX('G-6 Hedgerow Data'!$BJ$3:$BJ$15,MATCH(M57,'G-6 Hedgerow Data'!$B$3:$B$15,0)),"")</f>
        <v/>
      </c>
    </row>
    <row r="58" spans="2:42" ht="14" x14ac:dyDescent="0.3">
      <c r="B58" s="531" t="str">
        <f>'E-1 Off Site Hedge Baseline'!AK56</f>
        <v/>
      </c>
      <c r="C58" s="520" t="str">
        <f>IF(B58="","",IF(ISNA(VLOOKUP($B58,'E-1 Off Site Hedge Baseline'!$B$1:$L$257,3,FALSE)),"",(VLOOKUP($B58,'E-1 Off Site Hedge Baseline'!$B$1:$L$257,3,FALSE))))</f>
        <v/>
      </c>
      <c r="D58" s="520" t="str">
        <f>IF(B58="","",IF(ISNA(VLOOKUP($B58,'E-1 Off Site Hedge Baseline'!$B$1:$L$258,4,FALSE)),"",(VLOOKUP($B58,'E-1 Off Site Hedge Baseline'!$B$1:$L$258,4,FALSE))))</f>
        <v/>
      </c>
      <c r="E58" s="520" t="str">
        <f>IF(B58="","",IF(ISNA(VLOOKUP($B58,'E-1 Off Site Hedge Baseline'!$B$1:$L$257,5,FALSE)),"",(VLOOKUP($B58,'E-1 Off Site Hedge Baseline'!$B$1:$L$257,5,FALSE))))</f>
        <v/>
      </c>
      <c r="F58" s="520" t="str">
        <f>IF(B58="","",IF(ISNA(VLOOKUP($B58,'E-1 Off Site Hedge Baseline'!$B$1:$L$257,6,FALSE)),"",(VLOOKUP($B58,'E-1 Off Site Hedge Baseline'!$B$1:$L$257,6,FALSE))))</f>
        <v/>
      </c>
      <c r="G58" s="520" t="str">
        <f>IF(B58="","",IF(ISNA(VLOOKUP($B58,'E-1 Off Site Hedge Baseline'!$B$1:$L$257,7,FALSE)),"",(VLOOKUP($B58,'E-1 Off Site Hedge Baseline'!$B$1:$L$257,7,FALSE))))</f>
        <v/>
      </c>
      <c r="H58" s="520" t="str">
        <f>IF(B58="","",IF(ISNA(VLOOKUP($B58,'E-1 Off Site Hedge Baseline'!$B$1:$L$257,8,FALSE)),"",(VLOOKUP($B58,'E-1 Off Site Hedge Baseline'!$B$1:$L$257,8,FALSE))))</f>
        <v/>
      </c>
      <c r="I58" s="520" t="str">
        <f>IF(B58="","",IF(ISNA(VLOOKUP($B58,'E-1 Off Site Hedge Baseline'!$B$1:$L$257,10,FALSE)),"",(VLOOKUP($B58,'E-1 Off Site Hedge Baseline'!$B$1:$L$257,10,FALSE))))</f>
        <v/>
      </c>
      <c r="J58" s="520" t="str">
        <f>IF(B58="","",IF(ISNA(VLOOKUP($B58,'E-1 Off Site Hedge Baseline'!$B$1:$L$257,11,FALSE)),"",(VLOOKUP($B58,'E-1 Off Site Hedge Baseline'!$B$1:$L$257,11,FALSE))))</f>
        <v/>
      </c>
      <c r="K58" s="520" t="str">
        <f>IF(B58="","",IF(ISNA(VLOOKUP($B58,'E-1 Off Site Hedge Baseline'!$B$1:$U$257,113,FALSE)),"",(VLOOKUP($B58,'E-1 Off Site Hedge Baseline'!$B$1:$U$257,13,FALSE))))</f>
        <v/>
      </c>
      <c r="L58" s="507" t="str">
        <f>IF(B58="","",IF(ISNA(VLOOKUP($B58,'E-1 Off Site Hedge Baseline'!$B$1:$U$257,12,FALSE)),"",(VLOOKUP($B58,'E-1 Off Site Hedge Baseline'!$B$1:$U$257,12,FALSE))))</f>
        <v/>
      </c>
      <c r="M58" s="418" t="str">
        <f t="shared" si="8"/>
        <v/>
      </c>
      <c r="N58" s="498" t="str">
        <f>IFERROR(IF(B58="","",INDEX('G-6 Hedgerow Data'!$AN$3:$AZ$15,MATCH(C58,'G-6 Hedgerow Data'!$AM$3:$AM$15,0),MATCH(M58,'G-6 Hedgerow Data'!$AN$2:$AZ$2,0))),"")</f>
        <v/>
      </c>
      <c r="O58" s="499" t="str">
        <f t="shared" si="2"/>
        <v/>
      </c>
      <c r="P58" s="505" t="str">
        <f>IF(B58="","",VLOOKUP(B58,'E-1 Off Site Hedge Baseline'!$B$10:T303,16,FALSE))</f>
        <v/>
      </c>
      <c r="Q58" s="498" t="str">
        <f>IF(M58="","",VLOOKUP(M58,'G-6 Hedgerow Data'!$B$2:$AG$15,2,FALSE))</f>
        <v/>
      </c>
      <c r="R58" s="499" t="str">
        <f>IF(M58="","",VLOOKUP(M58,'G-6 Hedgerow Data'!$B$2:$AG$15,3,FALSE))</f>
        <v/>
      </c>
      <c r="S58" s="145"/>
      <c r="T58" s="499" t="str">
        <f>IFERROR(IF(AND(Q58="V.Low",OR(S58="Good",S58="Moderate")),"Error ▲",VLOOKUP(S58,'G-1 All Habitats'!$Z$2:$AA$9,2,FALSE)),"")</f>
        <v/>
      </c>
      <c r="U58" s="145"/>
      <c r="V58" s="507" t="str">
        <f>IF(U58="","",IF(VLOOKUP(U58,'G-3 Multipliers'!$L$3:$N$6,2,FALSE)=0,"Spatial Data Missing ⚠",VLOOKUP(U58,'G-3 Multipliers'!$L$3:$N$6,2,FALSE)))</f>
        <v/>
      </c>
      <c r="W58" s="505" t="str">
        <f>IF(U58="","",IF(VLOOKUP(U58,'G-3 Multipliers'!$L$3:$N$6,3,FALSE)=0,"Spatial Data Missing ⚠",VLOOKUP(U58,'G-3 Multipliers'!$L$3:$N$6,3,FALSE)))</f>
        <v/>
      </c>
      <c r="X58" s="498" t="str">
        <f>IFERROR(IF(OR(LEFT(O58,5)="Error ▲",LEFT(N58,5)="Error ▲",T58="Error ▲"),"Check Data ⚠",IF(F58&lt;R58,INDEX('G-6 Hedgerow Data'!$S$3:$AE$14,MATCH(C58,'G-6 Hedgerow Data'!$B$3:$B$14,0),MATCH(M58,'G-6 Hedgerow Data'!$S$2:$AE$2,0)),INDEX('G-6 Hedgerow Data'!$K$3:$Q$14,MATCH(M58,'G-6 Hedgerow Data'!$B$3:$B$14,0),MATCH(O58,'G-6 Hedgerow Data'!$K$2:$Q$2,0)))),"")</f>
        <v/>
      </c>
      <c r="Y58" s="195"/>
      <c r="Z58" s="195"/>
      <c r="AA58" s="507" t="str">
        <f t="shared" si="3"/>
        <v/>
      </c>
      <c r="AB58" s="521" t="str">
        <f t="shared" si="4"/>
        <v/>
      </c>
      <c r="AC58" s="522" t="str">
        <f t="shared" si="1"/>
        <v/>
      </c>
      <c r="AD58" s="537" t="str">
        <f>IF(M58="","",VLOOKUP(M58,'G-6 Hedgerow Data'!$B$3:$AG$15,31,FALSE))</f>
        <v/>
      </c>
      <c r="AE58" s="520" t="str">
        <f t="shared" si="5"/>
        <v/>
      </c>
      <c r="AF58" s="520" t="str">
        <f t="shared" si="6"/>
        <v/>
      </c>
      <c r="AG58" s="524" t="str">
        <f>IFERROR(IF(O58="","",VLOOKUP(AD58,'G-3 Multipliers'!$P$3:$Q$6,2,FALSE)),"")</f>
        <v/>
      </c>
      <c r="AH58" s="197"/>
      <c r="AI58" s="499" t="str">
        <f>IF(AH58="","",IF(VLOOKUP(AH58,'G-3 Multipliers'!$S$3:$T$6,2,FALSE)=0,"Spatial Data Missing ⚠",VLOOKUP(AH58,'G-3 Multipliers'!$S$3:$T$6,2,FALSE)))</f>
        <v/>
      </c>
      <c r="AJ58" s="545" t="str">
        <f t="shared" si="7"/>
        <v/>
      </c>
      <c r="AK58" s="149"/>
      <c r="AL58" s="150"/>
      <c r="AP58" s="31" t="str">
        <f>IFERROR(INDEX('G-6 Hedgerow Data'!$BJ$3:$BJ$15,MATCH(M58,'G-6 Hedgerow Data'!$B$3:$B$15,0)),"")</f>
        <v/>
      </c>
    </row>
    <row r="59" spans="2:42" ht="14" x14ac:dyDescent="0.3">
      <c r="B59" s="531" t="str">
        <f>'E-1 Off Site Hedge Baseline'!AK57</f>
        <v/>
      </c>
      <c r="C59" s="520" t="str">
        <f>IF(B59="","",IF(ISNA(VLOOKUP($B59,'E-1 Off Site Hedge Baseline'!$B$1:$L$257,3,FALSE)),"",(VLOOKUP($B59,'E-1 Off Site Hedge Baseline'!$B$1:$L$257,3,FALSE))))</f>
        <v/>
      </c>
      <c r="D59" s="520" t="str">
        <f>IF(B59="","",IF(ISNA(VLOOKUP($B59,'E-1 Off Site Hedge Baseline'!$B$1:$L$258,4,FALSE)),"",(VLOOKUP($B59,'E-1 Off Site Hedge Baseline'!$B$1:$L$258,4,FALSE))))</f>
        <v/>
      </c>
      <c r="E59" s="520" t="str">
        <f>IF(B59="","",IF(ISNA(VLOOKUP($B59,'E-1 Off Site Hedge Baseline'!$B$1:$L$257,5,FALSE)),"",(VLOOKUP($B59,'E-1 Off Site Hedge Baseline'!$B$1:$L$257,5,FALSE))))</f>
        <v/>
      </c>
      <c r="F59" s="520" t="str">
        <f>IF(B59="","",IF(ISNA(VLOOKUP($B59,'E-1 Off Site Hedge Baseline'!$B$1:$L$257,6,FALSE)),"",(VLOOKUP($B59,'E-1 Off Site Hedge Baseline'!$B$1:$L$257,6,FALSE))))</f>
        <v/>
      </c>
      <c r="G59" s="520" t="str">
        <f>IF(B59="","",IF(ISNA(VLOOKUP($B59,'E-1 Off Site Hedge Baseline'!$B$1:$L$257,7,FALSE)),"",(VLOOKUP($B59,'E-1 Off Site Hedge Baseline'!$B$1:$L$257,7,FALSE))))</f>
        <v/>
      </c>
      <c r="H59" s="520" t="str">
        <f>IF(B59="","",IF(ISNA(VLOOKUP($B59,'E-1 Off Site Hedge Baseline'!$B$1:$L$257,8,FALSE)),"",(VLOOKUP($B59,'E-1 Off Site Hedge Baseline'!$B$1:$L$257,8,FALSE))))</f>
        <v/>
      </c>
      <c r="I59" s="520" t="str">
        <f>IF(B59="","",IF(ISNA(VLOOKUP($B59,'E-1 Off Site Hedge Baseline'!$B$1:$L$257,10,FALSE)),"",(VLOOKUP($B59,'E-1 Off Site Hedge Baseline'!$B$1:$L$257,10,FALSE))))</f>
        <v/>
      </c>
      <c r="J59" s="520" t="str">
        <f>IF(B59="","",IF(ISNA(VLOOKUP($B59,'E-1 Off Site Hedge Baseline'!$B$1:$L$257,11,FALSE)),"",(VLOOKUP($B59,'E-1 Off Site Hedge Baseline'!$B$1:$L$257,11,FALSE))))</f>
        <v/>
      </c>
      <c r="K59" s="520" t="str">
        <f>IF(B59="","",IF(ISNA(VLOOKUP($B59,'E-1 Off Site Hedge Baseline'!$B$1:$U$257,113,FALSE)),"",(VLOOKUP($B59,'E-1 Off Site Hedge Baseline'!$B$1:$U$257,13,FALSE))))</f>
        <v/>
      </c>
      <c r="L59" s="507" t="str">
        <f>IF(B59="","",IF(ISNA(VLOOKUP($B59,'E-1 Off Site Hedge Baseline'!$B$1:$U$257,12,FALSE)),"",(VLOOKUP($B59,'E-1 Off Site Hedge Baseline'!$B$1:$U$257,12,FALSE))))</f>
        <v/>
      </c>
      <c r="M59" s="418" t="str">
        <f t="shared" si="8"/>
        <v/>
      </c>
      <c r="N59" s="498" t="str">
        <f>IFERROR(IF(B59="","",INDEX('G-6 Hedgerow Data'!$AN$3:$AZ$15,MATCH(C59,'G-6 Hedgerow Data'!$AM$3:$AM$15,0),MATCH(M59,'G-6 Hedgerow Data'!$AN$2:$AZ$2,0))),"")</f>
        <v/>
      </c>
      <c r="O59" s="499" t="str">
        <f t="shared" si="2"/>
        <v/>
      </c>
      <c r="P59" s="505" t="str">
        <f>IF(B59="","",VLOOKUP(B59,'E-1 Off Site Hedge Baseline'!$B$10:T304,16,FALSE))</f>
        <v/>
      </c>
      <c r="Q59" s="498" t="str">
        <f>IF(M59="","",VLOOKUP(M59,'G-6 Hedgerow Data'!$B$2:$AG$15,2,FALSE))</f>
        <v/>
      </c>
      <c r="R59" s="499" t="str">
        <f>IF(M59="","",VLOOKUP(M59,'G-6 Hedgerow Data'!$B$2:$AG$15,3,FALSE))</f>
        <v/>
      </c>
      <c r="S59" s="145"/>
      <c r="T59" s="499" t="str">
        <f>IFERROR(IF(AND(Q59="V.Low",OR(S59="Good",S59="Moderate")),"Error ▲",VLOOKUP(S59,'G-1 All Habitats'!$Z$2:$AA$9,2,FALSE)),"")</f>
        <v/>
      </c>
      <c r="U59" s="145"/>
      <c r="V59" s="507" t="str">
        <f>IF(U59="","",IF(VLOOKUP(U59,'G-3 Multipliers'!$L$3:$N$6,2,FALSE)=0,"Spatial Data Missing ⚠",VLOOKUP(U59,'G-3 Multipliers'!$L$3:$N$6,2,FALSE)))</f>
        <v/>
      </c>
      <c r="W59" s="505" t="str">
        <f>IF(U59="","",IF(VLOOKUP(U59,'G-3 Multipliers'!$L$3:$N$6,3,FALSE)=0,"Spatial Data Missing ⚠",VLOOKUP(U59,'G-3 Multipliers'!$L$3:$N$6,3,FALSE)))</f>
        <v/>
      </c>
      <c r="X59" s="498" t="str">
        <f>IFERROR(IF(OR(LEFT(O59,5)="Error ▲",LEFT(N59,5)="Error ▲",T59="Error ▲"),"Check Data ⚠",IF(F59&lt;R59,INDEX('G-6 Hedgerow Data'!$S$3:$AE$14,MATCH(C59,'G-6 Hedgerow Data'!$B$3:$B$14,0),MATCH(M59,'G-6 Hedgerow Data'!$S$2:$AE$2,0)),INDEX('G-6 Hedgerow Data'!$K$3:$Q$14,MATCH(M59,'G-6 Hedgerow Data'!$B$3:$B$14,0),MATCH(O59,'G-6 Hedgerow Data'!$K$2:$Q$2,0)))),"")</f>
        <v/>
      </c>
      <c r="Y59" s="195"/>
      <c r="Z59" s="195"/>
      <c r="AA59" s="507" t="str">
        <f t="shared" si="3"/>
        <v/>
      </c>
      <c r="AB59" s="521" t="str">
        <f t="shared" si="4"/>
        <v/>
      </c>
      <c r="AC59" s="522" t="str">
        <f t="shared" si="1"/>
        <v/>
      </c>
      <c r="AD59" s="537" t="str">
        <f>IF(M59="","",VLOOKUP(M59,'G-6 Hedgerow Data'!$B$3:$AG$15,31,FALSE))</f>
        <v/>
      </c>
      <c r="AE59" s="520" t="str">
        <f t="shared" si="5"/>
        <v/>
      </c>
      <c r="AF59" s="520" t="str">
        <f t="shared" si="6"/>
        <v/>
      </c>
      <c r="AG59" s="524" t="str">
        <f>IFERROR(IF(O59="","",VLOOKUP(AD59,'G-3 Multipliers'!$P$3:$Q$6,2,FALSE)),"")</f>
        <v/>
      </c>
      <c r="AH59" s="197"/>
      <c r="AI59" s="499" t="str">
        <f>IF(AH59="","",IF(VLOOKUP(AH59,'G-3 Multipliers'!$S$3:$T$6,2,FALSE)=0,"Spatial Data Missing ⚠",VLOOKUP(AH59,'G-3 Multipliers'!$S$3:$T$6,2,FALSE)))</f>
        <v/>
      </c>
      <c r="AJ59" s="545" t="str">
        <f t="shared" si="7"/>
        <v/>
      </c>
      <c r="AK59" s="149"/>
      <c r="AL59" s="150"/>
      <c r="AP59" s="31" t="str">
        <f>IFERROR(INDEX('G-6 Hedgerow Data'!$BJ$3:$BJ$15,MATCH(M59,'G-6 Hedgerow Data'!$B$3:$B$15,0)),"")</f>
        <v/>
      </c>
    </row>
    <row r="60" spans="2:42" ht="14" x14ac:dyDescent="0.3">
      <c r="B60" s="531" t="str">
        <f>'E-1 Off Site Hedge Baseline'!AK58</f>
        <v/>
      </c>
      <c r="C60" s="520" t="str">
        <f>IF(B60="","",IF(ISNA(VLOOKUP($B60,'E-1 Off Site Hedge Baseline'!$B$1:$L$257,3,FALSE)),"",(VLOOKUP($B60,'E-1 Off Site Hedge Baseline'!$B$1:$L$257,3,FALSE))))</f>
        <v/>
      </c>
      <c r="D60" s="520" t="str">
        <f>IF(B60="","",IF(ISNA(VLOOKUP($B60,'E-1 Off Site Hedge Baseline'!$B$1:$L$258,4,FALSE)),"",(VLOOKUP($B60,'E-1 Off Site Hedge Baseline'!$B$1:$L$258,4,FALSE))))</f>
        <v/>
      </c>
      <c r="E60" s="520" t="str">
        <f>IF(B60="","",IF(ISNA(VLOOKUP($B60,'E-1 Off Site Hedge Baseline'!$B$1:$L$257,5,FALSE)),"",(VLOOKUP($B60,'E-1 Off Site Hedge Baseline'!$B$1:$L$257,5,FALSE))))</f>
        <v/>
      </c>
      <c r="F60" s="520" t="str">
        <f>IF(B60="","",IF(ISNA(VLOOKUP($B60,'E-1 Off Site Hedge Baseline'!$B$1:$L$257,6,FALSE)),"",(VLOOKUP($B60,'E-1 Off Site Hedge Baseline'!$B$1:$L$257,6,FALSE))))</f>
        <v/>
      </c>
      <c r="G60" s="520" t="str">
        <f>IF(B60="","",IF(ISNA(VLOOKUP($B60,'E-1 Off Site Hedge Baseline'!$B$1:$L$257,7,FALSE)),"",(VLOOKUP($B60,'E-1 Off Site Hedge Baseline'!$B$1:$L$257,7,FALSE))))</f>
        <v/>
      </c>
      <c r="H60" s="520" t="str">
        <f>IF(B60="","",IF(ISNA(VLOOKUP($B60,'E-1 Off Site Hedge Baseline'!$B$1:$L$257,8,FALSE)),"",(VLOOKUP($B60,'E-1 Off Site Hedge Baseline'!$B$1:$L$257,8,FALSE))))</f>
        <v/>
      </c>
      <c r="I60" s="520" t="str">
        <f>IF(B60="","",IF(ISNA(VLOOKUP($B60,'E-1 Off Site Hedge Baseline'!$B$1:$L$257,10,FALSE)),"",(VLOOKUP($B60,'E-1 Off Site Hedge Baseline'!$B$1:$L$257,10,FALSE))))</f>
        <v/>
      </c>
      <c r="J60" s="520" t="str">
        <f>IF(B60="","",IF(ISNA(VLOOKUP($B60,'E-1 Off Site Hedge Baseline'!$B$1:$L$257,11,FALSE)),"",(VLOOKUP($B60,'E-1 Off Site Hedge Baseline'!$B$1:$L$257,11,FALSE))))</f>
        <v/>
      </c>
      <c r="K60" s="520" t="str">
        <f>IF(B60="","",IF(ISNA(VLOOKUP($B60,'E-1 Off Site Hedge Baseline'!$B$1:$U$257,113,FALSE)),"",(VLOOKUP($B60,'E-1 Off Site Hedge Baseline'!$B$1:$U$257,13,FALSE))))</f>
        <v/>
      </c>
      <c r="L60" s="507" t="str">
        <f>IF(B60="","",IF(ISNA(VLOOKUP($B60,'E-1 Off Site Hedge Baseline'!$B$1:$U$257,12,FALSE)),"",(VLOOKUP($B60,'E-1 Off Site Hedge Baseline'!$B$1:$U$257,12,FALSE))))</f>
        <v/>
      </c>
      <c r="M60" s="418" t="str">
        <f t="shared" si="8"/>
        <v/>
      </c>
      <c r="N60" s="498" t="str">
        <f>IFERROR(IF(B60="","",INDEX('G-6 Hedgerow Data'!$AN$3:$AZ$15,MATCH(C60,'G-6 Hedgerow Data'!$AM$3:$AM$15,0),MATCH(M60,'G-6 Hedgerow Data'!$AN$2:$AZ$2,0))),"")</f>
        <v/>
      </c>
      <c r="O60" s="499" t="str">
        <f t="shared" si="2"/>
        <v/>
      </c>
      <c r="P60" s="505" t="str">
        <f>IF(B60="","",VLOOKUP(B60,'E-1 Off Site Hedge Baseline'!$B$10:T305,16,FALSE))</f>
        <v/>
      </c>
      <c r="Q60" s="498" t="str">
        <f>IF(M60="","",VLOOKUP(M60,'G-6 Hedgerow Data'!$B$2:$AG$15,2,FALSE))</f>
        <v/>
      </c>
      <c r="R60" s="499" t="str">
        <f>IF(M60="","",VLOOKUP(M60,'G-6 Hedgerow Data'!$B$2:$AG$15,3,FALSE))</f>
        <v/>
      </c>
      <c r="S60" s="145"/>
      <c r="T60" s="499" t="str">
        <f>IFERROR(IF(AND(Q60="V.Low",OR(S60="Good",S60="Moderate")),"Error ▲",VLOOKUP(S60,'G-1 All Habitats'!$Z$2:$AA$9,2,FALSE)),"")</f>
        <v/>
      </c>
      <c r="U60" s="145"/>
      <c r="V60" s="507" t="str">
        <f>IF(U60="","",IF(VLOOKUP(U60,'G-3 Multipliers'!$L$3:$N$6,2,FALSE)=0,"Spatial Data Missing ⚠",VLOOKUP(U60,'G-3 Multipliers'!$L$3:$N$6,2,FALSE)))</f>
        <v/>
      </c>
      <c r="W60" s="505" t="str">
        <f>IF(U60="","",IF(VLOOKUP(U60,'G-3 Multipliers'!$L$3:$N$6,3,FALSE)=0,"Spatial Data Missing ⚠",VLOOKUP(U60,'G-3 Multipliers'!$L$3:$N$6,3,FALSE)))</f>
        <v/>
      </c>
      <c r="X60" s="498" t="str">
        <f>IFERROR(IF(OR(LEFT(O60,5)="Error ▲",LEFT(N60,5)="Error ▲",T60="Error ▲"),"Check Data ⚠",IF(F60&lt;R60,INDEX('G-6 Hedgerow Data'!$S$3:$AE$14,MATCH(C60,'G-6 Hedgerow Data'!$B$3:$B$14,0),MATCH(M60,'G-6 Hedgerow Data'!$S$2:$AE$2,0)),INDEX('G-6 Hedgerow Data'!$K$3:$Q$14,MATCH(M60,'G-6 Hedgerow Data'!$B$3:$B$14,0),MATCH(O60,'G-6 Hedgerow Data'!$K$2:$Q$2,0)))),"")</f>
        <v/>
      </c>
      <c r="Y60" s="195"/>
      <c r="Z60" s="195"/>
      <c r="AA60" s="507" t="str">
        <f t="shared" si="3"/>
        <v/>
      </c>
      <c r="AB60" s="521" t="str">
        <f t="shared" si="4"/>
        <v/>
      </c>
      <c r="AC60" s="522" t="str">
        <f t="shared" si="1"/>
        <v/>
      </c>
      <c r="AD60" s="537" t="str">
        <f>IF(M60="","",VLOOKUP(M60,'G-6 Hedgerow Data'!$B$3:$AG$15,31,FALSE))</f>
        <v/>
      </c>
      <c r="AE60" s="520" t="str">
        <f t="shared" si="5"/>
        <v/>
      </c>
      <c r="AF60" s="520" t="str">
        <f t="shared" si="6"/>
        <v/>
      </c>
      <c r="AG60" s="524" t="str">
        <f>IFERROR(IF(O60="","",VLOOKUP(AD60,'G-3 Multipliers'!$P$3:$Q$6,2,FALSE)),"")</f>
        <v/>
      </c>
      <c r="AH60" s="197"/>
      <c r="AI60" s="499" t="str">
        <f>IF(AH60="","",IF(VLOOKUP(AH60,'G-3 Multipliers'!$S$3:$T$6,2,FALSE)=0,"Spatial Data Missing ⚠",VLOOKUP(AH60,'G-3 Multipliers'!$S$3:$T$6,2,FALSE)))</f>
        <v/>
      </c>
      <c r="AJ60" s="545" t="str">
        <f t="shared" si="7"/>
        <v/>
      </c>
      <c r="AK60" s="149"/>
      <c r="AL60" s="150"/>
      <c r="AP60" s="31" t="str">
        <f>IFERROR(INDEX('G-6 Hedgerow Data'!$BJ$3:$BJ$15,MATCH(M60,'G-6 Hedgerow Data'!$B$3:$B$15,0)),"")</f>
        <v/>
      </c>
    </row>
    <row r="61" spans="2:42" ht="14" x14ac:dyDescent="0.3">
      <c r="B61" s="531" t="str">
        <f>'E-1 Off Site Hedge Baseline'!AK59</f>
        <v/>
      </c>
      <c r="C61" s="520" t="str">
        <f>IF(B61="","",IF(ISNA(VLOOKUP($B61,'E-1 Off Site Hedge Baseline'!$B$1:$L$257,3,FALSE)),"",(VLOOKUP($B61,'E-1 Off Site Hedge Baseline'!$B$1:$L$257,3,FALSE))))</f>
        <v/>
      </c>
      <c r="D61" s="520" t="str">
        <f>IF(B61="","",IF(ISNA(VLOOKUP($B61,'E-1 Off Site Hedge Baseline'!$B$1:$L$258,4,FALSE)),"",(VLOOKUP($B61,'E-1 Off Site Hedge Baseline'!$B$1:$L$258,4,FALSE))))</f>
        <v/>
      </c>
      <c r="E61" s="520" t="str">
        <f>IF(B61="","",IF(ISNA(VLOOKUP($B61,'E-1 Off Site Hedge Baseline'!$B$1:$L$257,5,FALSE)),"",(VLOOKUP($B61,'E-1 Off Site Hedge Baseline'!$B$1:$L$257,5,FALSE))))</f>
        <v/>
      </c>
      <c r="F61" s="520" t="str">
        <f>IF(B61="","",IF(ISNA(VLOOKUP($B61,'E-1 Off Site Hedge Baseline'!$B$1:$L$257,6,FALSE)),"",(VLOOKUP($B61,'E-1 Off Site Hedge Baseline'!$B$1:$L$257,6,FALSE))))</f>
        <v/>
      </c>
      <c r="G61" s="520" t="str">
        <f>IF(B61="","",IF(ISNA(VLOOKUP($B61,'E-1 Off Site Hedge Baseline'!$B$1:$L$257,7,FALSE)),"",(VLOOKUP($B61,'E-1 Off Site Hedge Baseline'!$B$1:$L$257,7,FALSE))))</f>
        <v/>
      </c>
      <c r="H61" s="520" t="str">
        <f>IF(B61="","",IF(ISNA(VLOOKUP($B61,'E-1 Off Site Hedge Baseline'!$B$1:$L$257,8,FALSE)),"",(VLOOKUP($B61,'E-1 Off Site Hedge Baseline'!$B$1:$L$257,8,FALSE))))</f>
        <v/>
      </c>
      <c r="I61" s="520" t="str">
        <f>IF(B61="","",IF(ISNA(VLOOKUP($B61,'E-1 Off Site Hedge Baseline'!$B$1:$L$257,10,FALSE)),"",(VLOOKUP($B61,'E-1 Off Site Hedge Baseline'!$B$1:$L$257,10,FALSE))))</f>
        <v/>
      </c>
      <c r="J61" s="520" t="str">
        <f>IF(B61="","",IF(ISNA(VLOOKUP($B61,'E-1 Off Site Hedge Baseline'!$B$1:$L$257,11,FALSE)),"",(VLOOKUP($B61,'E-1 Off Site Hedge Baseline'!$B$1:$L$257,11,FALSE))))</f>
        <v/>
      </c>
      <c r="K61" s="520" t="str">
        <f>IF(B61="","",IF(ISNA(VLOOKUP($B61,'E-1 Off Site Hedge Baseline'!$B$1:$U$257,113,FALSE)),"",(VLOOKUP($B61,'E-1 Off Site Hedge Baseline'!$B$1:$U$257,13,FALSE))))</f>
        <v/>
      </c>
      <c r="L61" s="507" t="str">
        <f>IF(B61="","",IF(ISNA(VLOOKUP($B61,'E-1 Off Site Hedge Baseline'!$B$1:$U$257,12,FALSE)),"",(VLOOKUP($B61,'E-1 Off Site Hedge Baseline'!$B$1:$U$257,12,FALSE))))</f>
        <v/>
      </c>
      <c r="M61" s="418" t="str">
        <f t="shared" si="8"/>
        <v/>
      </c>
      <c r="N61" s="498" t="str">
        <f>IFERROR(IF(B61="","",INDEX('G-6 Hedgerow Data'!$AN$3:$AZ$15,MATCH(C61,'G-6 Hedgerow Data'!$AM$3:$AM$15,0),MATCH(M61,'G-6 Hedgerow Data'!$AN$2:$AZ$2,0))),"")</f>
        <v/>
      </c>
      <c r="O61" s="499" t="str">
        <f t="shared" si="2"/>
        <v/>
      </c>
      <c r="P61" s="505" t="str">
        <f>IF(B61="","",VLOOKUP(B61,'E-1 Off Site Hedge Baseline'!$B$10:T306,16,FALSE))</f>
        <v/>
      </c>
      <c r="Q61" s="498" t="str">
        <f>IF(M61="","",VLOOKUP(M61,'G-6 Hedgerow Data'!$B$2:$AG$15,2,FALSE))</f>
        <v/>
      </c>
      <c r="R61" s="499" t="str">
        <f>IF(M61="","",VLOOKUP(M61,'G-6 Hedgerow Data'!$B$2:$AG$15,3,FALSE))</f>
        <v/>
      </c>
      <c r="S61" s="145"/>
      <c r="T61" s="499" t="str">
        <f>IFERROR(IF(AND(Q61="V.Low",OR(S61="Good",S61="Moderate")),"Error ▲",VLOOKUP(S61,'G-1 All Habitats'!$Z$2:$AA$9,2,FALSE)),"")</f>
        <v/>
      </c>
      <c r="U61" s="145"/>
      <c r="V61" s="507" t="str">
        <f>IF(U61="","",IF(VLOOKUP(U61,'G-3 Multipliers'!$L$3:$N$6,2,FALSE)=0,"Spatial Data Missing ⚠",VLOOKUP(U61,'G-3 Multipliers'!$L$3:$N$6,2,FALSE)))</f>
        <v/>
      </c>
      <c r="W61" s="505" t="str">
        <f>IF(U61="","",IF(VLOOKUP(U61,'G-3 Multipliers'!$L$3:$N$6,3,FALSE)=0,"Spatial Data Missing ⚠",VLOOKUP(U61,'G-3 Multipliers'!$L$3:$N$6,3,FALSE)))</f>
        <v/>
      </c>
      <c r="X61" s="498" t="str">
        <f>IFERROR(IF(OR(LEFT(O61,5)="Error ▲",LEFT(N61,5)="Error ▲",T61="Error ▲"),"Check Data ⚠",IF(F61&lt;R61,INDEX('G-6 Hedgerow Data'!$S$3:$AE$14,MATCH(C61,'G-6 Hedgerow Data'!$B$3:$B$14,0),MATCH(M61,'G-6 Hedgerow Data'!$S$2:$AE$2,0)),INDEX('G-6 Hedgerow Data'!$K$3:$Q$14,MATCH(M61,'G-6 Hedgerow Data'!$B$3:$B$14,0),MATCH(O61,'G-6 Hedgerow Data'!$K$2:$Q$2,0)))),"")</f>
        <v/>
      </c>
      <c r="Y61" s="195"/>
      <c r="Z61" s="195"/>
      <c r="AA61" s="507" t="str">
        <f t="shared" si="3"/>
        <v/>
      </c>
      <c r="AB61" s="521" t="str">
        <f t="shared" si="4"/>
        <v/>
      </c>
      <c r="AC61" s="522" t="str">
        <f t="shared" si="1"/>
        <v/>
      </c>
      <c r="AD61" s="537" t="str">
        <f>IF(M61="","",VLOOKUP(M61,'G-6 Hedgerow Data'!$B$3:$AG$15,31,FALSE))</f>
        <v/>
      </c>
      <c r="AE61" s="520" t="str">
        <f t="shared" si="5"/>
        <v/>
      </c>
      <c r="AF61" s="520" t="str">
        <f t="shared" si="6"/>
        <v/>
      </c>
      <c r="AG61" s="524" t="str">
        <f>IFERROR(IF(O61="","",VLOOKUP(AD61,'G-3 Multipliers'!$P$3:$Q$6,2,FALSE)),"")</f>
        <v/>
      </c>
      <c r="AH61" s="197"/>
      <c r="AI61" s="499" t="str">
        <f>IF(AH61="","",IF(VLOOKUP(AH61,'G-3 Multipliers'!$S$3:$T$6,2,FALSE)=0,"Spatial Data Missing ⚠",VLOOKUP(AH61,'G-3 Multipliers'!$S$3:$T$6,2,FALSE)))</f>
        <v/>
      </c>
      <c r="AJ61" s="545" t="str">
        <f t="shared" si="7"/>
        <v/>
      </c>
      <c r="AK61" s="149"/>
      <c r="AL61" s="150"/>
      <c r="AP61" s="31" t="str">
        <f>IFERROR(INDEX('G-6 Hedgerow Data'!$BJ$3:$BJ$15,MATCH(M61,'G-6 Hedgerow Data'!$B$3:$B$15,0)),"")</f>
        <v/>
      </c>
    </row>
    <row r="62" spans="2:42" ht="14" x14ac:dyDescent="0.3">
      <c r="B62" s="531" t="str">
        <f>'E-1 Off Site Hedge Baseline'!AK60</f>
        <v/>
      </c>
      <c r="C62" s="520" t="str">
        <f>IF(B62="","",IF(ISNA(VLOOKUP($B62,'E-1 Off Site Hedge Baseline'!$B$1:$L$257,3,FALSE)),"",(VLOOKUP($B62,'E-1 Off Site Hedge Baseline'!$B$1:$L$257,3,FALSE))))</f>
        <v/>
      </c>
      <c r="D62" s="520" t="str">
        <f>IF(B62="","",IF(ISNA(VLOOKUP($B62,'E-1 Off Site Hedge Baseline'!$B$1:$L$258,4,FALSE)),"",(VLOOKUP($B62,'E-1 Off Site Hedge Baseline'!$B$1:$L$258,4,FALSE))))</f>
        <v/>
      </c>
      <c r="E62" s="520" t="str">
        <f>IF(B62="","",IF(ISNA(VLOOKUP($B62,'E-1 Off Site Hedge Baseline'!$B$1:$L$257,5,FALSE)),"",(VLOOKUP($B62,'E-1 Off Site Hedge Baseline'!$B$1:$L$257,5,FALSE))))</f>
        <v/>
      </c>
      <c r="F62" s="520" t="str">
        <f>IF(B62="","",IF(ISNA(VLOOKUP($B62,'E-1 Off Site Hedge Baseline'!$B$1:$L$257,6,FALSE)),"",(VLOOKUP($B62,'E-1 Off Site Hedge Baseline'!$B$1:$L$257,6,FALSE))))</f>
        <v/>
      </c>
      <c r="G62" s="520" t="str">
        <f>IF(B62="","",IF(ISNA(VLOOKUP($B62,'E-1 Off Site Hedge Baseline'!$B$1:$L$257,7,FALSE)),"",(VLOOKUP($B62,'E-1 Off Site Hedge Baseline'!$B$1:$L$257,7,FALSE))))</f>
        <v/>
      </c>
      <c r="H62" s="520" t="str">
        <f>IF(B62="","",IF(ISNA(VLOOKUP($B62,'E-1 Off Site Hedge Baseline'!$B$1:$L$257,8,FALSE)),"",(VLOOKUP($B62,'E-1 Off Site Hedge Baseline'!$B$1:$L$257,8,FALSE))))</f>
        <v/>
      </c>
      <c r="I62" s="520" t="str">
        <f>IF(B62="","",IF(ISNA(VLOOKUP($B62,'E-1 Off Site Hedge Baseline'!$B$1:$L$257,10,FALSE)),"",(VLOOKUP($B62,'E-1 Off Site Hedge Baseline'!$B$1:$L$257,10,FALSE))))</f>
        <v/>
      </c>
      <c r="J62" s="520" t="str">
        <f>IF(B62="","",IF(ISNA(VLOOKUP($B62,'E-1 Off Site Hedge Baseline'!$B$1:$L$257,11,FALSE)),"",(VLOOKUP($B62,'E-1 Off Site Hedge Baseline'!$B$1:$L$257,11,FALSE))))</f>
        <v/>
      </c>
      <c r="K62" s="520" t="str">
        <f>IF(B62="","",IF(ISNA(VLOOKUP($B62,'E-1 Off Site Hedge Baseline'!$B$1:$U$257,113,FALSE)),"",(VLOOKUP($B62,'E-1 Off Site Hedge Baseline'!$B$1:$U$257,13,FALSE))))</f>
        <v/>
      </c>
      <c r="L62" s="507" t="str">
        <f>IF(B62="","",IF(ISNA(VLOOKUP($B62,'E-1 Off Site Hedge Baseline'!$B$1:$U$257,12,FALSE)),"",(VLOOKUP($B62,'E-1 Off Site Hedge Baseline'!$B$1:$U$257,12,FALSE))))</f>
        <v/>
      </c>
      <c r="M62" s="418" t="str">
        <f t="shared" si="8"/>
        <v/>
      </c>
      <c r="N62" s="498" t="str">
        <f>IFERROR(IF(B62="","",INDEX('G-6 Hedgerow Data'!$AN$3:$AZ$15,MATCH(C62,'G-6 Hedgerow Data'!$AM$3:$AM$15,0),MATCH(M62,'G-6 Hedgerow Data'!$AN$2:$AZ$2,0))),"")</f>
        <v/>
      </c>
      <c r="O62" s="499" t="str">
        <f t="shared" si="2"/>
        <v/>
      </c>
      <c r="P62" s="505" t="str">
        <f>IF(B62="","",VLOOKUP(B62,'E-1 Off Site Hedge Baseline'!$B$10:T307,16,FALSE))</f>
        <v/>
      </c>
      <c r="Q62" s="498" t="str">
        <f>IF(M62="","",VLOOKUP(M62,'G-6 Hedgerow Data'!$B$2:$AG$15,2,FALSE))</f>
        <v/>
      </c>
      <c r="R62" s="499" t="str">
        <f>IF(M62="","",VLOOKUP(M62,'G-6 Hedgerow Data'!$B$2:$AG$15,3,FALSE))</f>
        <v/>
      </c>
      <c r="S62" s="145"/>
      <c r="T62" s="499" t="str">
        <f>IFERROR(IF(AND(Q62="V.Low",OR(S62="Good",S62="Moderate")),"Error ▲",VLOOKUP(S62,'G-1 All Habitats'!$Z$2:$AA$9,2,FALSE)),"")</f>
        <v/>
      </c>
      <c r="U62" s="145"/>
      <c r="V62" s="507" t="str">
        <f>IF(U62="","",IF(VLOOKUP(U62,'G-3 Multipliers'!$L$3:$N$6,2,FALSE)=0,"Spatial Data Missing ⚠",VLOOKUP(U62,'G-3 Multipliers'!$L$3:$N$6,2,FALSE)))</f>
        <v/>
      </c>
      <c r="W62" s="505" t="str">
        <f>IF(U62="","",IF(VLOOKUP(U62,'G-3 Multipliers'!$L$3:$N$6,3,FALSE)=0,"Spatial Data Missing ⚠",VLOOKUP(U62,'G-3 Multipliers'!$L$3:$N$6,3,FALSE)))</f>
        <v/>
      </c>
      <c r="X62" s="498" t="str">
        <f>IFERROR(IF(OR(LEFT(O62,5)="Error ▲",LEFT(N62,5)="Error ▲",T62="Error ▲"),"Check Data ⚠",IF(F62&lt;R62,INDEX('G-6 Hedgerow Data'!$S$3:$AE$14,MATCH(C62,'G-6 Hedgerow Data'!$B$3:$B$14,0),MATCH(M62,'G-6 Hedgerow Data'!$S$2:$AE$2,0)),INDEX('G-6 Hedgerow Data'!$K$3:$Q$14,MATCH(M62,'G-6 Hedgerow Data'!$B$3:$B$14,0),MATCH(O62,'G-6 Hedgerow Data'!$K$2:$Q$2,0)))),"")</f>
        <v/>
      </c>
      <c r="Y62" s="195"/>
      <c r="Z62" s="195"/>
      <c r="AA62" s="507" t="str">
        <f t="shared" si="3"/>
        <v/>
      </c>
      <c r="AB62" s="521" t="str">
        <f t="shared" si="4"/>
        <v/>
      </c>
      <c r="AC62" s="522" t="str">
        <f t="shared" si="1"/>
        <v/>
      </c>
      <c r="AD62" s="537" t="str">
        <f>IF(M62="","",VLOOKUP(M62,'G-6 Hedgerow Data'!$B$3:$AG$15,31,FALSE))</f>
        <v/>
      </c>
      <c r="AE62" s="520" t="str">
        <f t="shared" si="5"/>
        <v/>
      </c>
      <c r="AF62" s="520" t="str">
        <f t="shared" si="6"/>
        <v/>
      </c>
      <c r="AG62" s="524" t="str">
        <f>IFERROR(IF(O62="","",VLOOKUP(AD62,'G-3 Multipliers'!$P$3:$Q$6,2,FALSE)),"")</f>
        <v/>
      </c>
      <c r="AH62" s="197"/>
      <c r="AI62" s="499" t="str">
        <f>IF(AH62="","",IF(VLOOKUP(AH62,'G-3 Multipliers'!$S$3:$T$6,2,FALSE)=0,"Spatial Data Missing ⚠",VLOOKUP(AH62,'G-3 Multipliers'!$S$3:$T$6,2,FALSE)))</f>
        <v/>
      </c>
      <c r="AJ62" s="545" t="str">
        <f t="shared" si="7"/>
        <v/>
      </c>
      <c r="AK62" s="149"/>
      <c r="AL62" s="150"/>
      <c r="AP62" s="31" t="str">
        <f>IFERROR(INDEX('G-6 Hedgerow Data'!$BJ$3:$BJ$15,MATCH(M62,'G-6 Hedgerow Data'!$B$3:$B$15,0)),"")</f>
        <v/>
      </c>
    </row>
    <row r="63" spans="2:42" ht="14" x14ac:dyDescent="0.3">
      <c r="B63" s="531" t="str">
        <f>'E-1 Off Site Hedge Baseline'!AK61</f>
        <v/>
      </c>
      <c r="C63" s="520" t="str">
        <f>IF(B63="","",IF(ISNA(VLOOKUP($B63,'E-1 Off Site Hedge Baseline'!$B$1:$L$257,3,FALSE)),"",(VLOOKUP($B63,'E-1 Off Site Hedge Baseline'!$B$1:$L$257,3,FALSE))))</f>
        <v/>
      </c>
      <c r="D63" s="520" t="str">
        <f>IF(B63="","",IF(ISNA(VLOOKUP($B63,'E-1 Off Site Hedge Baseline'!$B$1:$L$258,4,FALSE)),"",(VLOOKUP($B63,'E-1 Off Site Hedge Baseline'!$B$1:$L$258,4,FALSE))))</f>
        <v/>
      </c>
      <c r="E63" s="520" t="str">
        <f>IF(B63="","",IF(ISNA(VLOOKUP($B63,'E-1 Off Site Hedge Baseline'!$B$1:$L$257,5,FALSE)),"",(VLOOKUP($B63,'E-1 Off Site Hedge Baseline'!$B$1:$L$257,5,FALSE))))</f>
        <v/>
      </c>
      <c r="F63" s="520" t="str">
        <f>IF(B63="","",IF(ISNA(VLOOKUP($B63,'E-1 Off Site Hedge Baseline'!$B$1:$L$257,6,FALSE)),"",(VLOOKUP($B63,'E-1 Off Site Hedge Baseline'!$B$1:$L$257,6,FALSE))))</f>
        <v/>
      </c>
      <c r="G63" s="520" t="str">
        <f>IF(B63="","",IF(ISNA(VLOOKUP($B63,'E-1 Off Site Hedge Baseline'!$B$1:$L$257,7,FALSE)),"",(VLOOKUP($B63,'E-1 Off Site Hedge Baseline'!$B$1:$L$257,7,FALSE))))</f>
        <v/>
      </c>
      <c r="H63" s="520" t="str">
        <f>IF(B63="","",IF(ISNA(VLOOKUP($B63,'E-1 Off Site Hedge Baseline'!$B$1:$L$257,8,FALSE)),"",(VLOOKUP($B63,'E-1 Off Site Hedge Baseline'!$B$1:$L$257,8,FALSE))))</f>
        <v/>
      </c>
      <c r="I63" s="520" t="str">
        <f>IF(B63="","",IF(ISNA(VLOOKUP($B63,'E-1 Off Site Hedge Baseline'!$B$1:$L$257,10,FALSE)),"",(VLOOKUP($B63,'E-1 Off Site Hedge Baseline'!$B$1:$L$257,10,FALSE))))</f>
        <v/>
      </c>
      <c r="J63" s="520" t="str">
        <f>IF(B63="","",IF(ISNA(VLOOKUP($B63,'E-1 Off Site Hedge Baseline'!$B$1:$L$257,11,FALSE)),"",(VLOOKUP($B63,'E-1 Off Site Hedge Baseline'!$B$1:$L$257,11,FALSE))))</f>
        <v/>
      </c>
      <c r="K63" s="520" t="str">
        <f>IF(B63="","",IF(ISNA(VLOOKUP($B63,'E-1 Off Site Hedge Baseline'!$B$1:$U$257,113,FALSE)),"",(VLOOKUP($B63,'E-1 Off Site Hedge Baseline'!$B$1:$U$257,13,FALSE))))</f>
        <v/>
      </c>
      <c r="L63" s="507" t="str">
        <f>IF(B63="","",IF(ISNA(VLOOKUP($B63,'E-1 Off Site Hedge Baseline'!$B$1:$U$257,12,FALSE)),"",(VLOOKUP($B63,'E-1 Off Site Hedge Baseline'!$B$1:$U$257,12,FALSE))))</f>
        <v/>
      </c>
      <c r="M63" s="418" t="str">
        <f t="shared" si="8"/>
        <v/>
      </c>
      <c r="N63" s="498" t="str">
        <f>IFERROR(IF(B63="","",INDEX('G-6 Hedgerow Data'!$AN$3:$AZ$15,MATCH(C63,'G-6 Hedgerow Data'!$AM$3:$AM$15,0),MATCH(M63,'G-6 Hedgerow Data'!$AN$2:$AZ$2,0))),"")</f>
        <v/>
      </c>
      <c r="O63" s="499" t="str">
        <f t="shared" si="2"/>
        <v/>
      </c>
      <c r="P63" s="505" t="str">
        <f>IF(B63="","",VLOOKUP(B63,'E-1 Off Site Hedge Baseline'!$B$10:T308,16,FALSE))</f>
        <v/>
      </c>
      <c r="Q63" s="498" t="str">
        <f>IF(M63="","",VLOOKUP(M63,'G-6 Hedgerow Data'!$B$2:$AG$15,2,FALSE))</f>
        <v/>
      </c>
      <c r="R63" s="499" t="str">
        <f>IF(M63="","",VLOOKUP(M63,'G-6 Hedgerow Data'!$B$2:$AG$15,3,FALSE))</f>
        <v/>
      </c>
      <c r="S63" s="145"/>
      <c r="T63" s="499" t="str">
        <f>IFERROR(IF(AND(Q63="V.Low",OR(S63="Good",S63="Moderate")),"Error ▲",VLOOKUP(S63,'G-1 All Habitats'!$Z$2:$AA$9,2,FALSE)),"")</f>
        <v/>
      </c>
      <c r="U63" s="145"/>
      <c r="V63" s="507" t="str">
        <f>IF(U63="","",IF(VLOOKUP(U63,'G-3 Multipliers'!$L$3:$N$6,2,FALSE)=0,"Spatial Data Missing ⚠",VLOOKUP(U63,'G-3 Multipliers'!$L$3:$N$6,2,FALSE)))</f>
        <v/>
      </c>
      <c r="W63" s="505" t="str">
        <f>IF(U63="","",IF(VLOOKUP(U63,'G-3 Multipliers'!$L$3:$N$6,3,FALSE)=0,"Spatial Data Missing ⚠",VLOOKUP(U63,'G-3 Multipliers'!$L$3:$N$6,3,FALSE)))</f>
        <v/>
      </c>
      <c r="X63" s="498" t="str">
        <f>IFERROR(IF(OR(LEFT(O63,5)="Error ▲",LEFT(N63,5)="Error ▲",T63="Error ▲"),"Check Data ⚠",IF(F63&lt;R63,INDEX('G-6 Hedgerow Data'!$S$3:$AE$14,MATCH(C63,'G-6 Hedgerow Data'!$B$3:$B$14,0),MATCH(M63,'G-6 Hedgerow Data'!$S$2:$AE$2,0)),INDEX('G-6 Hedgerow Data'!$K$3:$Q$14,MATCH(M63,'G-6 Hedgerow Data'!$B$3:$B$14,0),MATCH(O63,'G-6 Hedgerow Data'!$K$2:$Q$2,0)))),"")</f>
        <v/>
      </c>
      <c r="Y63" s="195"/>
      <c r="Z63" s="195"/>
      <c r="AA63" s="507" t="str">
        <f t="shared" si="3"/>
        <v/>
      </c>
      <c r="AB63" s="521" t="str">
        <f t="shared" si="4"/>
        <v/>
      </c>
      <c r="AC63" s="522" t="str">
        <f t="shared" si="1"/>
        <v/>
      </c>
      <c r="AD63" s="537" t="str">
        <f>IF(M63="","",VLOOKUP(M63,'G-6 Hedgerow Data'!$B$3:$AG$15,31,FALSE))</f>
        <v/>
      </c>
      <c r="AE63" s="520" t="str">
        <f t="shared" si="5"/>
        <v/>
      </c>
      <c r="AF63" s="520" t="str">
        <f t="shared" si="6"/>
        <v/>
      </c>
      <c r="AG63" s="524" t="str">
        <f>IFERROR(IF(O63="","",VLOOKUP(AD63,'G-3 Multipliers'!$P$3:$Q$6,2,FALSE)),"")</f>
        <v/>
      </c>
      <c r="AH63" s="197"/>
      <c r="AI63" s="499" t="str">
        <f>IF(AH63="","",IF(VLOOKUP(AH63,'G-3 Multipliers'!$S$3:$T$6,2,FALSE)=0,"Spatial Data Missing ⚠",VLOOKUP(AH63,'G-3 Multipliers'!$S$3:$T$6,2,FALSE)))</f>
        <v/>
      </c>
      <c r="AJ63" s="545" t="str">
        <f t="shared" si="7"/>
        <v/>
      </c>
      <c r="AK63" s="149"/>
      <c r="AL63" s="150"/>
      <c r="AP63" s="31" t="str">
        <f>IFERROR(INDEX('G-6 Hedgerow Data'!$BJ$3:$BJ$15,MATCH(M63,'G-6 Hedgerow Data'!$B$3:$B$15,0)),"")</f>
        <v/>
      </c>
    </row>
    <row r="64" spans="2:42" ht="14" x14ac:dyDescent="0.3">
      <c r="B64" s="531" t="str">
        <f>'E-1 Off Site Hedge Baseline'!AK62</f>
        <v/>
      </c>
      <c r="C64" s="520" t="str">
        <f>IF(B64="","",IF(ISNA(VLOOKUP($B64,'E-1 Off Site Hedge Baseline'!$B$1:$L$257,3,FALSE)),"",(VLOOKUP($B64,'E-1 Off Site Hedge Baseline'!$B$1:$L$257,3,FALSE))))</f>
        <v/>
      </c>
      <c r="D64" s="520" t="str">
        <f>IF(B64="","",IF(ISNA(VLOOKUP($B64,'E-1 Off Site Hedge Baseline'!$B$1:$L$258,4,FALSE)),"",(VLOOKUP($B64,'E-1 Off Site Hedge Baseline'!$B$1:$L$258,4,FALSE))))</f>
        <v/>
      </c>
      <c r="E64" s="520" t="str">
        <f>IF(B64="","",IF(ISNA(VLOOKUP($B64,'E-1 Off Site Hedge Baseline'!$B$1:$L$257,5,FALSE)),"",(VLOOKUP($B64,'E-1 Off Site Hedge Baseline'!$B$1:$L$257,5,FALSE))))</f>
        <v/>
      </c>
      <c r="F64" s="520" t="str">
        <f>IF(B64="","",IF(ISNA(VLOOKUP($B64,'E-1 Off Site Hedge Baseline'!$B$1:$L$257,6,FALSE)),"",(VLOOKUP($B64,'E-1 Off Site Hedge Baseline'!$B$1:$L$257,6,FALSE))))</f>
        <v/>
      </c>
      <c r="G64" s="520" t="str">
        <f>IF(B64="","",IF(ISNA(VLOOKUP($B64,'E-1 Off Site Hedge Baseline'!$B$1:$L$257,7,FALSE)),"",(VLOOKUP($B64,'E-1 Off Site Hedge Baseline'!$B$1:$L$257,7,FALSE))))</f>
        <v/>
      </c>
      <c r="H64" s="520" t="str">
        <f>IF(B64="","",IF(ISNA(VLOOKUP($B64,'E-1 Off Site Hedge Baseline'!$B$1:$L$257,8,FALSE)),"",(VLOOKUP($B64,'E-1 Off Site Hedge Baseline'!$B$1:$L$257,8,FALSE))))</f>
        <v/>
      </c>
      <c r="I64" s="520" t="str">
        <f>IF(B64="","",IF(ISNA(VLOOKUP($B64,'E-1 Off Site Hedge Baseline'!$B$1:$L$257,10,FALSE)),"",(VLOOKUP($B64,'E-1 Off Site Hedge Baseline'!$B$1:$L$257,10,FALSE))))</f>
        <v/>
      </c>
      <c r="J64" s="520" t="str">
        <f>IF(B64="","",IF(ISNA(VLOOKUP($B64,'E-1 Off Site Hedge Baseline'!$B$1:$L$257,11,FALSE)),"",(VLOOKUP($B64,'E-1 Off Site Hedge Baseline'!$B$1:$L$257,11,FALSE))))</f>
        <v/>
      </c>
      <c r="K64" s="520" t="str">
        <f>IF(B64="","",IF(ISNA(VLOOKUP($B64,'E-1 Off Site Hedge Baseline'!$B$1:$U$257,113,FALSE)),"",(VLOOKUP($B64,'E-1 Off Site Hedge Baseline'!$B$1:$U$257,13,FALSE))))</f>
        <v/>
      </c>
      <c r="L64" s="507" t="str">
        <f>IF(B64="","",IF(ISNA(VLOOKUP($B64,'E-1 Off Site Hedge Baseline'!$B$1:$U$257,12,FALSE)),"",(VLOOKUP($B64,'E-1 Off Site Hedge Baseline'!$B$1:$U$257,12,FALSE))))</f>
        <v/>
      </c>
      <c r="M64" s="418" t="str">
        <f t="shared" si="8"/>
        <v/>
      </c>
      <c r="N64" s="498" t="str">
        <f>IFERROR(IF(B64="","",INDEX('G-6 Hedgerow Data'!$AN$3:$AZ$15,MATCH(C64,'G-6 Hedgerow Data'!$AM$3:$AM$15,0),MATCH(M64,'G-6 Hedgerow Data'!$AN$2:$AZ$2,0))),"")</f>
        <v/>
      </c>
      <c r="O64" s="499" t="str">
        <f t="shared" si="2"/>
        <v/>
      </c>
      <c r="P64" s="505" t="str">
        <f>IF(B64="","",VLOOKUP(B64,'E-1 Off Site Hedge Baseline'!$B$10:T309,16,FALSE))</f>
        <v/>
      </c>
      <c r="Q64" s="498" t="str">
        <f>IF(M64="","",VLOOKUP(M64,'G-6 Hedgerow Data'!$B$2:$AG$15,2,FALSE))</f>
        <v/>
      </c>
      <c r="R64" s="499" t="str">
        <f>IF(M64="","",VLOOKUP(M64,'G-6 Hedgerow Data'!$B$2:$AG$15,3,FALSE))</f>
        <v/>
      </c>
      <c r="S64" s="145"/>
      <c r="T64" s="499" t="str">
        <f>IFERROR(IF(AND(Q64="V.Low",OR(S64="Good",S64="Moderate")),"Error ▲",VLOOKUP(S64,'G-1 All Habitats'!$Z$2:$AA$9,2,FALSE)),"")</f>
        <v/>
      </c>
      <c r="U64" s="145"/>
      <c r="V64" s="507" t="str">
        <f>IF(U64="","",IF(VLOOKUP(U64,'G-3 Multipliers'!$L$3:$N$6,2,FALSE)=0,"Spatial Data Missing ⚠",VLOOKUP(U64,'G-3 Multipliers'!$L$3:$N$6,2,FALSE)))</f>
        <v/>
      </c>
      <c r="W64" s="505" t="str">
        <f>IF(U64="","",IF(VLOOKUP(U64,'G-3 Multipliers'!$L$3:$N$6,3,FALSE)=0,"Spatial Data Missing ⚠",VLOOKUP(U64,'G-3 Multipliers'!$L$3:$N$6,3,FALSE)))</f>
        <v/>
      </c>
      <c r="X64" s="498" t="str">
        <f>IFERROR(IF(OR(LEFT(O64,5)="Error ▲",LEFT(N64,5)="Error ▲",T64="Error ▲"),"Check Data ⚠",IF(F64&lt;R64,INDEX('G-6 Hedgerow Data'!$S$3:$AE$14,MATCH(C64,'G-6 Hedgerow Data'!$B$3:$B$14,0),MATCH(M64,'G-6 Hedgerow Data'!$S$2:$AE$2,0)),INDEX('G-6 Hedgerow Data'!$K$3:$Q$14,MATCH(M64,'G-6 Hedgerow Data'!$B$3:$B$14,0),MATCH(O64,'G-6 Hedgerow Data'!$K$2:$Q$2,0)))),"")</f>
        <v/>
      </c>
      <c r="Y64" s="195"/>
      <c r="Z64" s="195"/>
      <c r="AA64" s="507" t="str">
        <f t="shared" si="3"/>
        <v/>
      </c>
      <c r="AB64" s="521" t="str">
        <f t="shared" si="4"/>
        <v/>
      </c>
      <c r="AC64" s="522" t="str">
        <f t="shared" si="1"/>
        <v/>
      </c>
      <c r="AD64" s="537" t="str">
        <f>IF(M64="","",VLOOKUP(M64,'G-6 Hedgerow Data'!$B$3:$AG$15,31,FALSE))</f>
        <v/>
      </c>
      <c r="AE64" s="520" t="str">
        <f t="shared" si="5"/>
        <v/>
      </c>
      <c r="AF64" s="520" t="str">
        <f t="shared" si="6"/>
        <v/>
      </c>
      <c r="AG64" s="524" t="str">
        <f>IFERROR(IF(O64="","",VLOOKUP(AD64,'G-3 Multipliers'!$P$3:$Q$6,2,FALSE)),"")</f>
        <v/>
      </c>
      <c r="AH64" s="197"/>
      <c r="AI64" s="499" t="str">
        <f>IF(AH64="","",IF(VLOOKUP(AH64,'G-3 Multipliers'!$S$3:$T$6,2,FALSE)=0,"Spatial Data Missing ⚠",VLOOKUP(AH64,'G-3 Multipliers'!$S$3:$T$6,2,FALSE)))</f>
        <v/>
      </c>
      <c r="AJ64" s="545" t="str">
        <f t="shared" si="7"/>
        <v/>
      </c>
      <c r="AK64" s="149"/>
      <c r="AL64" s="150"/>
      <c r="AP64" s="31" t="str">
        <f>IFERROR(INDEX('G-6 Hedgerow Data'!$BJ$3:$BJ$15,MATCH(M64,'G-6 Hedgerow Data'!$B$3:$B$15,0)),"")</f>
        <v/>
      </c>
    </row>
    <row r="65" spans="2:42" ht="14" x14ac:dyDescent="0.3">
      <c r="B65" s="531" t="str">
        <f>'E-1 Off Site Hedge Baseline'!AK63</f>
        <v/>
      </c>
      <c r="C65" s="520" t="str">
        <f>IF(B65="","",IF(ISNA(VLOOKUP($B65,'E-1 Off Site Hedge Baseline'!$B$1:$L$257,3,FALSE)),"",(VLOOKUP($B65,'E-1 Off Site Hedge Baseline'!$B$1:$L$257,3,FALSE))))</f>
        <v/>
      </c>
      <c r="D65" s="520" t="str">
        <f>IF(B65="","",IF(ISNA(VLOOKUP($B65,'E-1 Off Site Hedge Baseline'!$B$1:$L$258,4,FALSE)),"",(VLOOKUP($B65,'E-1 Off Site Hedge Baseline'!$B$1:$L$258,4,FALSE))))</f>
        <v/>
      </c>
      <c r="E65" s="520" t="str">
        <f>IF(B65="","",IF(ISNA(VLOOKUP($B65,'E-1 Off Site Hedge Baseline'!$B$1:$L$257,5,FALSE)),"",(VLOOKUP($B65,'E-1 Off Site Hedge Baseline'!$B$1:$L$257,5,FALSE))))</f>
        <v/>
      </c>
      <c r="F65" s="520" t="str">
        <f>IF(B65="","",IF(ISNA(VLOOKUP($B65,'E-1 Off Site Hedge Baseline'!$B$1:$L$257,6,FALSE)),"",(VLOOKUP($B65,'E-1 Off Site Hedge Baseline'!$B$1:$L$257,6,FALSE))))</f>
        <v/>
      </c>
      <c r="G65" s="520" t="str">
        <f>IF(B65="","",IF(ISNA(VLOOKUP($B65,'E-1 Off Site Hedge Baseline'!$B$1:$L$257,7,FALSE)),"",(VLOOKUP($B65,'E-1 Off Site Hedge Baseline'!$B$1:$L$257,7,FALSE))))</f>
        <v/>
      </c>
      <c r="H65" s="520" t="str">
        <f>IF(B65="","",IF(ISNA(VLOOKUP($B65,'E-1 Off Site Hedge Baseline'!$B$1:$L$257,8,FALSE)),"",(VLOOKUP($B65,'E-1 Off Site Hedge Baseline'!$B$1:$L$257,8,FALSE))))</f>
        <v/>
      </c>
      <c r="I65" s="520" t="str">
        <f>IF(B65="","",IF(ISNA(VLOOKUP($B65,'E-1 Off Site Hedge Baseline'!$B$1:$L$257,10,FALSE)),"",(VLOOKUP($B65,'E-1 Off Site Hedge Baseline'!$B$1:$L$257,10,FALSE))))</f>
        <v/>
      </c>
      <c r="J65" s="520" t="str">
        <f>IF(B65="","",IF(ISNA(VLOOKUP($B65,'E-1 Off Site Hedge Baseline'!$B$1:$L$257,11,FALSE)),"",(VLOOKUP($B65,'E-1 Off Site Hedge Baseline'!$B$1:$L$257,11,FALSE))))</f>
        <v/>
      </c>
      <c r="K65" s="520" t="str">
        <f>IF(B65="","",IF(ISNA(VLOOKUP($B65,'E-1 Off Site Hedge Baseline'!$B$1:$U$257,113,FALSE)),"",(VLOOKUP($B65,'E-1 Off Site Hedge Baseline'!$B$1:$U$257,13,FALSE))))</f>
        <v/>
      </c>
      <c r="L65" s="507" t="str">
        <f>IF(B65="","",IF(ISNA(VLOOKUP($B65,'E-1 Off Site Hedge Baseline'!$B$1:$U$257,12,FALSE)),"",(VLOOKUP($B65,'E-1 Off Site Hedge Baseline'!$B$1:$U$257,12,FALSE))))</f>
        <v/>
      </c>
      <c r="M65" s="418" t="str">
        <f t="shared" si="8"/>
        <v/>
      </c>
      <c r="N65" s="498" t="str">
        <f>IFERROR(IF(B65="","",INDEX('G-6 Hedgerow Data'!$AN$3:$AZ$15,MATCH(C65,'G-6 Hedgerow Data'!$AM$3:$AM$15,0),MATCH(M65,'G-6 Hedgerow Data'!$AN$2:$AZ$2,0))),"")</f>
        <v/>
      </c>
      <c r="O65" s="499" t="str">
        <f t="shared" si="2"/>
        <v/>
      </c>
      <c r="P65" s="505" t="str">
        <f>IF(B65="","",VLOOKUP(B65,'E-1 Off Site Hedge Baseline'!$B$10:T310,16,FALSE))</f>
        <v/>
      </c>
      <c r="Q65" s="498" t="str">
        <f>IF(M65="","",VLOOKUP(M65,'G-6 Hedgerow Data'!$B$2:$AG$15,2,FALSE))</f>
        <v/>
      </c>
      <c r="R65" s="499" t="str">
        <f>IF(M65="","",VLOOKUP(M65,'G-6 Hedgerow Data'!$B$2:$AG$15,3,FALSE))</f>
        <v/>
      </c>
      <c r="S65" s="145"/>
      <c r="T65" s="499" t="str">
        <f>IFERROR(IF(AND(Q65="V.Low",OR(S65="Good",S65="Moderate")),"Error ▲",VLOOKUP(S65,'G-1 All Habitats'!$Z$2:$AA$9,2,FALSE)),"")</f>
        <v/>
      </c>
      <c r="U65" s="145"/>
      <c r="V65" s="507" t="str">
        <f>IF(U65="","",IF(VLOOKUP(U65,'G-3 Multipliers'!$L$3:$N$6,2,FALSE)=0,"Spatial Data Missing ⚠",VLOOKUP(U65,'G-3 Multipliers'!$L$3:$N$6,2,FALSE)))</f>
        <v/>
      </c>
      <c r="W65" s="505" t="str">
        <f>IF(U65="","",IF(VLOOKUP(U65,'G-3 Multipliers'!$L$3:$N$6,3,FALSE)=0,"Spatial Data Missing ⚠",VLOOKUP(U65,'G-3 Multipliers'!$L$3:$N$6,3,FALSE)))</f>
        <v/>
      </c>
      <c r="X65" s="498" t="str">
        <f>IFERROR(IF(OR(LEFT(O65,5)="Error ▲",LEFT(N65,5)="Error ▲",T65="Error ▲"),"Check Data ⚠",IF(F65&lt;R65,INDEX('G-6 Hedgerow Data'!$S$3:$AE$14,MATCH(C65,'G-6 Hedgerow Data'!$B$3:$B$14,0),MATCH(M65,'G-6 Hedgerow Data'!$S$2:$AE$2,0)),INDEX('G-6 Hedgerow Data'!$K$3:$Q$14,MATCH(M65,'G-6 Hedgerow Data'!$B$3:$B$14,0),MATCH(O65,'G-6 Hedgerow Data'!$K$2:$Q$2,0)))),"")</f>
        <v/>
      </c>
      <c r="Y65" s="195"/>
      <c r="Z65" s="195"/>
      <c r="AA65" s="507" t="str">
        <f t="shared" si="3"/>
        <v/>
      </c>
      <c r="AB65" s="521" t="str">
        <f t="shared" si="4"/>
        <v/>
      </c>
      <c r="AC65" s="522" t="str">
        <f t="shared" si="1"/>
        <v/>
      </c>
      <c r="AD65" s="537" t="str">
        <f>IF(M65="","",VLOOKUP(M65,'G-6 Hedgerow Data'!$B$3:$AG$15,31,FALSE))</f>
        <v/>
      </c>
      <c r="AE65" s="520" t="str">
        <f t="shared" si="5"/>
        <v/>
      </c>
      <c r="AF65" s="520" t="str">
        <f t="shared" si="6"/>
        <v/>
      </c>
      <c r="AG65" s="524" t="str">
        <f>IFERROR(IF(O65="","",VLOOKUP(AD65,'G-3 Multipliers'!$P$3:$Q$6,2,FALSE)),"")</f>
        <v/>
      </c>
      <c r="AH65" s="197"/>
      <c r="AI65" s="499" t="str">
        <f>IF(AH65="","",IF(VLOOKUP(AH65,'G-3 Multipliers'!$S$3:$T$6,2,FALSE)=0,"Spatial Data Missing ⚠",VLOOKUP(AH65,'G-3 Multipliers'!$S$3:$T$6,2,FALSE)))</f>
        <v/>
      </c>
      <c r="AJ65" s="545" t="str">
        <f t="shared" si="7"/>
        <v/>
      </c>
      <c r="AK65" s="149"/>
      <c r="AL65" s="150"/>
      <c r="AP65" s="31" t="str">
        <f>IFERROR(INDEX('G-6 Hedgerow Data'!$BJ$3:$BJ$15,MATCH(M65,'G-6 Hedgerow Data'!$B$3:$B$15,0)),"")</f>
        <v/>
      </c>
    </row>
    <row r="66" spans="2:42" ht="14" x14ac:dyDescent="0.3">
      <c r="B66" s="531" t="str">
        <f>'E-1 Off Site Hedge Baseline'!AK64</f>
        <v/>
      </c>
      <c r="C66" s="520" t="str">
        <f>IF(B66="","",IF(ISNA(VLOOKUP($B66,'E-1 Off Site Hedge Baseline'!$B$1:$L$257,3,FALSE)),"",(VLOOKUP($B66,'E-1 Off Site Hedge Baseline'!$B$1:$L$257,3,FALSE))))</f>
        <v/>
      </c>
      <c r="D66" s="520" t="str">
        <f>IF(B66="","",IF(ISNA(VLOOKUP($B66,'E-1 Off Site Hedge Baseline'!$B$1:$L$258,4,FALSE)),"",(VLOOKUP($B66,'E-1 Off Site Hedge Baseline'!$B$1:$L$258,4,FALSE))))</f>
        <v/>
      </c>
      <c r="E66" s="520" t="str">
        <f>IF(B66="","",IF(ISNA(VLOOKUP($B66,'E-1 Off Site Hedge Baseline'!$B$1:$L$257,5,FALSE)),"",(VLOOKUP($B66,'E-1 Off Site Hedge Baseline'!$B$1:$L$257,5,FALSE))))</f>
        <v/>
      </c>
      <c r="F66" s="520" t="str">
        <f>IF(B66="","",IF(ISNA(VLOOKUP($B66,'E-1 Off Site Hedge Baseline'!$B$1:$L$257,6,FALSE)),"",(VLOOKUP($B66,'E-1 Off Site Hedge Baseline'!$B$1:$L$257,6,FALSE))))</f>
        <v/>
      </c>
      <c r="G66" s="520" t="str">
        <f>IF(B66="","",IF(ISNA(VLOOKUP($B66,'E-1 Off Site Hedge Baseline'!$B$1:$L$257,7,FALSE)),"",(VLOOKUP($B66,'E-1 Off Site Hedge Baseline'!$B$1:$L$257,7,FALSE))))</f>
        <v/>
      </c>
      <c r="H66" s="520" t="str">
        <f>IF(B66="","",IF(ISNA(VLOOKUP($B66,'E-1 Off Site Hedge Baseline'!$B$1:$L$257,8,FALSE)),"",(VLOOKUP($B66,'E-1 Off Site Hedge Baseline'!$B$1:$L$257,8,FALSE))))</f>
        <v/>
      </c>
      <c r="I66" s="520" t="str">
        <f>IF(B66="","",IF(ISNA(VLOOKUP($B66,'E-1 Off Site Hedge Baseline'!$B$1:$L$257,10,FALSE)),"",(VLOOKUP($B66,'E-1 Off Site Hedge Baseline'!$B$1:$L$257,10,FALSE))))</f>
        <v/>
      </c>
      <c r="J66" s="520" t="str">
        <f>IF(B66="","",IF(ISNA(VLOOKUP($B66,'E-1 Off Site Hedge Baseline'!$B$1:$L$257,11,FALSE)),"",(VLOOKUP($B66,'E-1 Off Site Hedge Baseline'!$B$1:$L$257,11,FALSE))))</f>
        <v/>
      </c>
      <c r="K66" s="520" t="str">
        <f>IF(B66="","",IF(ISNA(VLOOKUP($B66,'E-1 Off Site Hedge Baseline'!$B$1:$U$257,113,FALSE)),"",(VLOOKUP($B66,'E-1 Off Site Hedge Baseline'!$B$1:$U$257,13,FALSE))))</f>
        <v/>
      </c>
      <c r="L66" s="507" t="str">
        <f>IF(B66="","",IF(ISNA(VLOOKUP($B66,'E-1 Off Site Hedge Baseline'!$B$1:$U$257,12,FALSE)),"",(VLOOKUP($B66,'E-1 Off Site Hedge Baseline'!$B$1:$U$257,12,FALSE))))</f>
        <v/>
      </c>
      <c r="M66" s="418" t="str">
        <f t="shared" si="8"/>
        <v/>
      </c>
      <c r="N66" s="498" t="str">
        <f>IFERROR(IF(B66="","",INDEX('G-6 Hedgerow Data'!$AN$3:$AZ$15,MATCH(C66,'G-6 Hedgerow Data'!$AM$3:$AM$15,0),MATCH(M66,'G-6 Hedgerow Data'!$AN$2:$AZ$2,0))),"")</f>
        <v/>
      </c>
      <c r="O66" s="499" t="str">
        <f t="shared" si="2"/>
        <v/>
      </c>
      <c r="P66" s="505" t="str">
        <f>IF(B66="","",VLOOKUP(B66,'E-1 Off Site Hedge Baseline'!$B$10:T311,16,FALSE))</f>
        <v/>
      </c>
      <c r="Q66" s="498" t="str">
        <f>IF(M66="","",VLOOKUP(M66,'G-6 Hedgerow Data'!$B$2:$AG$15,2,FALSE))</f>
        <v/>
      </c>
      <c r="R66" s="499" t="str">
        <f>IF(M66="","",VLOOKUP(M66,'G-6 Hedgerow Data'!$B$2:$AG$15,3,FALSE))</f>
        <v/>
      </c>
      <c r="S66" s="145"/>
      <c r="T66" s="499" t="str">
        <f>IFERROR(IF(AND(Q66="V.Low",OR(S66="Good",S66="Moderate")),"Error ▲",VLOOKUP(S66,'G-1 All Habitats'!$Z$2:$AA$9,2,FALSE)),"")</f>
        <v/>
      </c>
      <c r="U66" s="145"/>
      <c r="V66" s="507" t="str">
        <f>IF(U66="","",IF(VLOOKUP(U66,'G-3 Multipliers'!$L$3:$N$6,2,FALSE)=0,"Spatial Data Missing ⚠",VLOOKUP(U66,'G-3 Multipliers'!$L$3:$N$6,2,FALSE)))</f>
        <v/>
      </c>
      <c r="W66" s="505" t="str">
        <f>IF(U66="","",IF(VLOOKUP(U66,'G-3 Multipliers'!$L$3:$N$6,3,FALSE)=0,"Spatial Data Missing ⚠",VLOOKUP(U66,'G-3 Multipliers'!$L$3:$N$6,3,FALSE)))</f>
        <v/>
      </c>
      <c r="X66" s="498" t="str">
        <f>IFERROR(IF(OR(LEFT(O66,5)="Error ▲",LEFT(N66,5)="Error ▲",T66="Error ▲"),"Check Data ⚠",IF(F66&lt;R66,INDEX('G-6 Hedgerow Data'!$S$3:$AE$14,MATCH(C66,'G-6 Hedgerow Data'!$B$3:$B$14,0),MATCH(M66,'G-6 Hedgerow Data'!$S$2:$AE$2,0)),INDEX('G-6 Hedgerow Data'!$K$3:$Q$14,MATCH(M66,'G-6 Hedgerow Data'!$B$3:$B$14,0),MATCH(O66,'G-6 Hedgerow Data'!$K$2:$Q$2,0)))),"")</f>
        <v/>
      </c>
      <c r="Y66" s="195"/>
      <c r="Z66" s="195"/>
      <c r="AA66" s="507" t="str">
        <f t="shared" si="3"/>
        <v/>
      </c>
      <c r="AB66" s="521" t="str">
        <f t="shared" si="4"/>
        <v/>
      </c>
      <c r="AC66" s="522" t="str">
        <f t="shared" si="1"/>
        <v/>
      </c>
      <c r="AD66" s="537" t="str">
        <f>IF(M66="","",VLOOKUP(M66,'G-6 Hedgerow Data'!$B$3:$AG$15,31,FALSE))</f>
        <v/>
      </c>
      <c r="AE66" s="520" t="str">
        <f t="shared" si="5"/>
        <v/>
      </c>
      <c r="AF66" s="520" t="str">
        <f t="shared" si="6"/>
        <v/>
      </c>
      <c r="AG66" s="524" t="str">
        <f>IFERROR(IF(O66="","",VLOOKUP(AD66,'G-3 Multipliers'!$P$3:$Q$6,2,FALSE)),"")</f>
        <v/>
      </c>
      <c r="AH66" s="197"/>
      <c r="AI66" s="499" t="str">
        <f>IF(AH66="","",IF(VLOOKUP(AH66,'G-3 Multipliers'!$S$3:$T$6,2,FALSE)=0,"Spatial Data Missing ⚠",VLOOKUP(AH66,'G-3 Multipliers'!$S$3:$T$6,2,FALSE)))</f>
        <v/>
      </c>
      <c r="AJ66" s="545" t="str">
        <f t="shared" si="7"/>
        <v/>
      </c>
      <c r="AK66" s="149"/>
      <c r="AL66" s="150"/>
      <c r="AP66" s="31" t="str">
        <f>IFERROR(INDEX('G-6 Hedgerow Data'!$BJ$3:$BJ$15,MATCH(M66,'G-6 Hedgerow Data'!$B$3:$B$15,0)),"")</f>
        <v/>
      </c>
    </row>
    <row r="67" spans="2:42" ht="14" x14ac:dyDescent="0.3">
      <c r="B67" s="531" t="str">
        <f>'E-1 Off Site Hedge Baseline'!AK65</f>
        <v/>
      </c>
      <c r="C67" s="520" t="str">
        <f>IF(B67="","",IF(ISNA(VLOOKUP($B67,'E-1 Off Site Hedge Baseline'!$B$1:$L$257,3,FALSE)),"",(VLOOKUP($B67,'E-1 Off Site Hedge Baseline'!$B$1:$L$257,3,FALSE))))</f>
        <v/>
      </c>
      <c r="D67" s="520" t="str">
        <f>IF(B67="","",IF(ISNA(VLOOKUP($B67,'E-1 Off Site Hedge Baseline'!$B$1:$L$258,4,FALSE)),"",(VLOOKUP($B67,'E-1 Off Site Hedge Baseline'!$B$1:$L$258,4,FALSE))))</f>
        <v/>
      </c>
      <c r="E67" s="520" t="str">
        <f>IF(B67="","",IF(ISNA(VLOOKUP($B67,'E-1 Off Site Hedge Baseline'!$B$1:$L$257,5,FALSE)),"",(VLOOKUP($B67,'E-1 Off Site Hedge Baseline'!$B$1:$L$257,5,FALSE))))</f>
        <v/>
      </c>
      <c r="F67" s="520" t="str">
        <f>IF(B67="","",IF(ISNA(VLOOKUP($B67,'E-1 Off Site Hedge Baseline'!$B$1:$L$257,6,FALSE)),"",(VLOOKUP($B67,'E-1 Off Site Hedge Baseline'!$B$1:$L$257,6,FALSE))))</f>
        <v/>
      </c>
      <c r="G67" s="520" t="str">
        <f>IF(B67="","",IF(ISNA(VLOOKUP($B67,'E-1 Off Site Hedge Baseline'!$B$1:$L$257,7,FALSE)),"",(VLOOKUP($B67,'E-1 Off Site Hedge Baseline'!$B$1:$L$257,7,FALSE))))</f>
        <v/>
      </c>
      <c r="H67" s="520" t="str">
        <f>IF(B67="","",IF(ISNA(VLOOKUP($B67,'E-1 Off Site Hedge Baseline'!$B$1:$L$257,8,FALSE)),"",(VLOOKUP($B67,'E-1 Off Site Hedge Baseline'!$B$1:$L$257,8,FALSE))))</f>
        <v/>
      </c>
      <c r="I67" s="520" t="str">
        <f>IF(B67="","",IF(ISNA(VLOOKUP($B67,'E-1 Off Site Hedge Baseline'!$B$1:$L$257,10,FALSE)),"",(VLOOKUP($B67,'E-1 Off Site Hedge Baseline'!$B$1:$L$257,10,FALSE))))</f>
        <v/>
      </c>
      <c r="J67" s="520" t="str">
        <f>IF(B67="","",IF(ISNA(VLOOKUP($B67,'E-1 Off Site Hedge Baseline'!$B$1:$L$257,11,FALSE)),"",(VLOOKUP($B67,'E-1 Off Site Hedge Baseline'!$B$1:$L$257,11,FALSE))))</f>
        <v/>
      </c>
      <c r="K67" s="520" t="str">
        <f>IF(B67="","",IF(ISNA(VLOOKUP($B67,'E-1 Off Site Hedge Baseline'!$B$1:$U$257,113,FALSE)),"",(VLOOKUP($B67,'E-1 Off Site Hedge Baseline'!$B$1:$U$257,13,FALSE))))</f>
        <v/>
      </c>
      <c r="L67" s="507" t="str">
        <f>IF(B67="","",IF(ISNA(VLOOKUP($B67,'E-1 Off Site Hedge Baseline'!$B$1:$U$257,12,FALSE)),"",(VLOOKUP($B67,'E-1 Off Site Hedge Baseline'!$B$1:$U$257,12,FALSE))))</f>
        <v/>
      </c>
      <c r="M67" s="418" t="str">
        <f t="shared" si="8"/>
        <v/>
      </c>
      <c r="N67" s="498" t="str">
        <f>IFERROR(IF(B67="","",INDEX('G-6 Hedgerow Data'!$AN$3:$AZ$15,MATCH(C67,'G-6 Hedgerow Data'!$AM$3:$AM$15,0),MATCH(M67,'G-6 Hedgerow Data'!$AN$2:$AZ$2,0))),"")</f>
        <v/>
      </c>
      <c r="O67" s="499" t="str">
        <f t="shared" si="2"/>
        <v/>
      </c>
      <c r="P67" s="505" t="str">
        <f>IF(B67="","",VLOOKUP(B67,'E-1 Off Site Hedge Baseline'!$B$10:T312,16,FALSE))</f>
        <v/>
      </c>
      <c r="Q67" s="498" t="str">
        <f>IF(M67="","",VLOOKUP(M67,'G-6 Hedgerow Data'!$B$2:$AG$15,2,FALSE))</f>
        <v/>
      </c>
      <c r="R67" s="499" t="str">
        <f>IF(M67="","",VLOOKUP(M67,'G-6 Hedgerow Data'!$B$2:$AG$15,3,FALSE))</f>
        <v/>
      </c>
      <c r="S67" s="145"/>
      <c r="T67" s="499" t="str">
        <f>IFERROR(IF(AND(Q67="V.Low",OR(S67="Good",S67="Moderate")),"Error ▲",VLOOKUP(S67,'G-1 All Habitats'!$Z$2:$AA$9,2,FALSE)),"")</f>
        <v/>
      </c>
      <c r="U67" s="145"/>
      <c r="V67" s="507" t="str">
        <f>IF(U67="","",IF(VLOOKUP(U67,'G-3 Multipliers'!$L$3:$N$6,2,FALSE)=0,"Spatial Data Missing ⚠",VLOOKUP(U67,'G-3 Multipliers'!$L$3:$N$6,2,FALSE)))</f>
        <v/>
      </c>
      <c r="W67" s="505" t="str">
        <f>IF(U67="","",IF(VLOOKUP(U67,'G-3 Multipliers'!$L$3:$N$6,3,FALSE)=0,"Spatial Data Missing ⚠",VLOOKUP(U67,'G-3 Multipliers'!$L$3:$N$6,3,FALSE)))</f>
        <v/>
      </c>
      <c r="X67" s="498" t="str">
        <f>IFERROR(IF(OR(LEFT(O67,5)="Error ▲",LEFT(N67,5)="Error ▲",T67="Error ▲"),"Check Data ⚠",IF(F67&lt;R67,INDEX('G-6 Hedgerow Data'!$S$3:$AE$14,MATCH(C67,'G-6 Hedgerow Data'!$B$3:$B$14,0),MATCH(M67,'G-6 Hedgerow Data'!$S$2:$AE$2,0)),INDEX('G-6 Hedgerow Data'!$K$3:$Q$14,MATCH(M67,'G-6 Hedgerow Data'!$B$3:$B$14,0),MATCH(O67,'G-6 Hedgerow Data'!$K$2:$Q$2,0)))),"")</f>
        <v/>
      </c>
      <c r="Y67" s="195"/>
      <c r="Z67" s="195"/>
      <c r="AA67" s="507" t="str">
        <f t="shared" si="3"/>
        <v/>
      </c>
      <c r="AB67" s="521" t="str">
        <f t="shared" si="4"/>
        <v/>
      </c>
      <c r="AC67" s="522" t="str">
        <f t="shared" si="1"/>
        <v/>
      </c>
      <c r="AD67" s="537" t="str">
        <f>IF(M67="","",VLOOKUP(M67,'G-6 Hedgerow Data'!$B$3:$AG$15,31,FALSE))</f>
        <v/>
      </c>
      <c r="AE67" s="520" t="str">
        <f t="shared" si="5"/>
        <v/>
      </c>
      <c r="AF67" s="520" t="str">
        <f t="shared" si="6"/>
        <v/>
      </c>
      <c r="AG67" s="524" t="str">
        <f>IFERROR(IF(O67="","",VLOOKUP(AD67,'G-3 Multipliers'!$P$3:$Q$6,2,FALSE)),"")</f>
        <v/>
      </c>
      <c r="AH67" s="197"/>
      <c r="AI67" s="499" t="str">
        <f>IF(AH67="","",IF(VLOOKUP(AH67,'G-3 Multipliers'!$S$3:$T$6,2,FALSE)=0,"Spatial Data Missing ⚠",VLOOKUP(AH67,'G-3 Multipliers'!$S$3:$T$6,2,FALSE)))</f>
        <v/>
      </c>
      <c r="AJ67" s="545" t="str">
        <f t="shared" si="7"/>
        <v/>
      </c>
      <c r="AK67" s="149"/>
      <c r="AL67" s="150"/>
      <c r="AP67" s="31" t="str">
        <f>IFERROR(INDEX('G-6 Hedgerow Data'!$BJ$3:$BJ$15,MATCH(M67,'G-6 Hedgerow Data'!$B$3:$B$15,0)),"")</f>
        <v/>
      </c>
    </row>
    <row r="68" spans="2:42" ht="14" x14ac:dyDescent="0.3">
      <c r="B68" s="531" t="str">
        <f>'E-1 Off Site Hedge Baseline'!AK66</f>
        <v/>
      </c>
      <c r="C68" s="520" t="str">
        <f>IF(B68="","",IF(ISNA(VLOOKUP($B68,'E-1 Off Site Hedge Baseline'!$B$1:$L$257,3,FALSE)),"",(VLOOKUP($B68,'E-1 Off Site Hedge Baseline'!$B$1:$L$257,3,FALSE))))</f>
        <v/>
      </c>
      <c r="D68" s="520" t="str">
        <f>IF(B68="","",IF(ISNA(VLOOKUP($B68,'E-1 Off Site Hedge Baseline'!$B$1:$L$258,4,FALSE)),"",(VLOOKUP($B68,'E-1 Off Site Hedge Baseline'!$B$1:$L$258,4,FALSE))))</f>
        <v/>
      </c>
      <c r="E68" s="520" t="str">
        <f>IF(B68="","",IF(ISNA(VLOOKUP($B68,'E-1 Off Site Hedge Baseline'!$B$1:$L$257,5,FALSE)),"",(VLOOKUP($B68,'E-1 Off Site Hedge Baseline'!$B$1:$L$257,5,FALSE))))</f>
        <v/>
      </c>
      <c r="F68" s="520" t="str">
        <f>IF(B68="","",IF(ISNA(VLOOKUP($B68,'E-1 Off Site Hedge Baseline'!$B$1:$L$257,6,FALSE)),"",(VLOOKUP($B68,'E-1 Off Site Hedge Baseline'!$B$1:$L$257,6,FALSE))))</f>
        <v/>
      </c>
      <c r="G68" s="520" t="str">
        <f>IF(B68="","",IF(ISNA(VLOOKUP($B68,'E-1 Off Site Hedge Baseline'!$B$1:$L$257,7,FALSE)),"",(VLOOKUP($B68,'E-1 Off Site Hedge Baseline'!$B$1:$L$257,7,FALSE))))</f>
        <v/>
      </c>
      <c r="H68" s="520" t="str">
        <f>IF(B68="","",IF(ISNA(VLOOKUP($B68,'E-1 Off Site Hedge Baseline'!$B$1:$L$257,8,FALSE)),"",(VLOOKUP($B68,'E-1 Off Site Hedge Baseline'!$B$1:$L$257,8,FALSE))))</f>
        <v/>
      </c>
      <c r="I68" s="520" t="str">
        <f>IF(B68="","",IF(ISNA(VLOOKUP($B68,'E-1 Off Site Hedge Baseline'!$B$1:$L$257,10,FALSE)),"",(VLOOKUP($B68,'E-1 Off Site Hedge Baseline'!$B$1:$L$257,10,FALSE))))</f>
        <v/>
      </c>
      <c r="J68" s="520" t="str">
        <f>IF(B68="","",IF(ISNA(VLOOKUP($B68,'E-1 Off Site Hedge Baseline'!$B$1:$L$257,11,FALSE)),"",(VLOOKUP($B68,'E-1 Off Site Hedge Baseline'!$B$1:$L$257,11,FALSE))))</f>
        <v/>
      </c>
      <c r="K68" s="520" t="str">
        <f>IF(B68="","",IF(ISNA(VLOOKUP($B68,'E-1 Off Site Hedge Baseline'!$B$1:$U$257,113,FALSE)),"",(VLOOKUP($B68,'E-1 Off Site Hedge Baseline'!$B$1:$U$257,13,FALSE))))</f>
        <v/>
      </c>
      <c r="L68" s="507" t="str">
        <f>IF(B68="","",IF(ISNA(VLOOKUP($B68,'E-1 Off Site Hedge Baseline'!$B$1:$U$257,12,FALSE)),"",(VLOOKUP($B68,'E-1 Off Site Hedge Baseline'!$B$1:$U$257,12,FALSE))))</f>
        <v/>
      </c>
      <c r="M68" s="418" t="str">
        <f t="shared" si="8"/>
        <v/>
      </c>
      <c r="N68" s="498" t="str">
        <f>IFERROR(IF(B68="","",INDEX('G-6 Hedgerow Data'!$AN$3:$AZ$15,MATCH(C68,'G-6 Hedgerow Data'!$AM$3:$AM$15,0),MATCH(M68,'G-6 Hedgerow Data'!$AN$2:$AZ$2,0))),"")</f>
        <v/>
      </c>
      <c r="O68" s="499" t="str">
        <f t="shared" si="2"/>
        <v/>
      </c>
      <c r="P68" s="505" t="str">
        <f>IF(B68="","",VLOOKUP(B68,'E-1 Off Site Hedge Baseline'!$B$10:T313,16,FALSE))</f>
        <v/>
      </c>
      <c r="Q68" s="498" t="str">
        <f>IF(M68="","",VLOOKUP(M68,'G-6 Hedgerow Data'!$B$2:$AG$15,2,FALSE))</f>
        <v/>
      </c>
      <c r="R68" s="499" t="str">
        <f>IF(M68="","",VLOOKUP(M68,'G-6 Hedgerow Data'!$B$2:$AG$15,3,FALSE))</f>
        <v/>
      </c>
      <c r="S68" s="145"/>
      <c r="T68" s="499" t="str">
        <f>IFERROR(IF(AND(Q68="V.Low",OR(S68="Good",S68="Moderate")),"Error ▲",VLOOKUP(S68,'G-1 All Habitats'!$Z$2:$AA$9,2,FALSE)),"")</f>
        <v/>
      </c>
      <c r="U68" s="145"/>
      <c r="V68" s="507" t="str">
        <f>IF(U68="","",IF(VLOOKUP(U68,'G-3 Multipliers'!$L$3:$N$6,2,FALSE)=0,"Spatial Data Missing ⚠",VLOOKUP(U68,'G-3 Multipliers'!$L$3:$N$6,2,FALSE)))</f>
        <v/>
      </c>
      <c r="W68" s="505" t="str">
        <f>IF(U68="","",IF(VLOOKUP(U68,'G-3 Multipliers'!$L$3:$N$6,3,FALSE)=0,"Spatial Data Missing ⚠",VLOOKUP(U68,'G-3 Multipliers'!$L$3:$N$6,3,FALSE)))</f>
        <v/>
      </c>
      <c r="X68" s="498" t="str">
        <f>IFERROR(IF(OR(LEFT(O68,5)="Error ▲",LEFT(N68,5)="Error ▲",T68="Error ▲"),"Check Data ⚠",IF(F68&lt;R68,INDEX('G-6 Hedgerow Data'!$S$3:$AE$14,MATCH(C68,'G-6 Hedgerow Data'!$B$3:$B$14,0),MATCH(M68,'G-6 Hedgerow Data'!$S$2:$AE$2,0)),INDEX('G-6 Hedgerow Data'!$K$3:$Q$14,MATCH(M68,'G-6 Hedgerow Data'!$B$3:$B$14,0),MATCH(O68,'G-6 Hedgerow Data'!$K$2:$Q$2,0)))),"")</f>
        <v/>
      </c>
      <c r="Y68" s="195"/>
      <c r="Z68" s="195"/>
      <c r="AA68" s="507" t="str">
        <f t="shared" si="3"/>
        <v/>
      </c>
      <c r="AB68" s="521" t="str">
        <f t="shared" si="4"/>
        <v/>
      </c>
      <c r="AC68" s="522" t="str">
        <f t="shared" si="1"/>
        <v/>
      </c>
      <c r="AD68" s="537" t="str">
        <f>IF(M68="","",VLOOKUP(M68,'G-6 Hedgerow Data'!$B$3:$AG$15,31,FALSE))</f>
        <v/>
      </c>
      <c r="AE68" s="520" t="str">
        <f t="shared" si="5"/>
        <v/>
      </c>
      <c r="AF68" s="520" t="str">
        <f t="shared" si="6"/>
        <v/>
      </c>
      <c r="AG68" s="524" t="str">
        <f>IFERROR(IF(O68="","",VLOOKUP(AD68,'G-3 Multipliers'!$P$3:$Q$6,2,FALSE)),"")</f>
        <v/>
      </c>
      <c r="AH68" s="197"/>
      <c r="AI68" s="499" t="str">
        <f>IF(AH68="","",IF(VLOOKUP(AH68,'G-3 Multipliers'!$S$3:$T$6,2,FALSE)=0,"Spatial Data Missing ⚠",VLOOKUP(AH68,'G-3 Multipliers'!$S$3:$T$6,2,FALSE)))</f>
        <v/>
      </c>
      <c r="AJ68" s="545" t="str">
        <f t="shared" si="7"/>
        <v/>
      </c>
      <c r="AK68" s="149"/>
      <c r="AL68" s="150"/>
      <c r="AP68" s="31" t="str">
        <f>IFERROR(INDEX('G-6 Hedgerow Data'!$BJ$3:$BJ$15,MATCH(M68,'G-6 Hedgerow Data'!$B$3:$B$15,0)),"")</f>
        <v/>
      </c>
    </row>
    <row r="69" spans="2:42" ht="14" x14ac:dyDescent="0.3">
      <c r="B69" s="531" t="str">
        <f>'E-1 Off Site Hedge Baseline'!AK67</f>
        <v/>
      </c>
      <c r="C69" s="520" t="str">
        <f>IF(B69="","",IF(ISNA(VLOOKUP($B69,'E-1 Off Site Hedge Baseline'!$B$1:$L$257,3,FALSE)),"",(VLOOKUP($B69,'E-1 Off Site Hedge Baseline'!$B$1:$L$257,3,FALSE))))</f>
        <v/>
      </c>
      <c r="D69" s="520" t="str">
        <f>IF(B69="","",IF(ISNA(VLOOKUP($B69,'E-1 Off Site Hedge Baseline'!$B$1:$L$258,4,FALSE)),"",(VLOOKUP($B69,'E-1 Off Site Hedge Baseline'!$B$1:$L$258,4,FALSE))))</f>
        <v/>
      </c>
      <c r="E69" s="520" t="str">
        <f>IF(B69="","",IF(ISNA(VLOOKUP($B69,'E-1 Off Site Hedge Baseline'!$B$1:$L$257,5,FALSE)),"",(VLOOKUP($B69,'E-1 Off Site Hedge Baseline'!$B$1:$L$257,5,FALSE))))</f>
        <v/>
      </c>
      <c r="F69" s="520" t="str">
        <f>IF(B69="","",IF(ISNA(VLOOKUP($B69,'E-1 Off Site Hedge Baseline'!$B$1:$L$257,6,FALSE)),"",(VLOOKUP($B69,'E-1 Off Site Hedge Baseline'!$B$1:$L$257,6,FALSE))))</f>
        <v/>
      </c>
      <c r="G69" s="520" t="str">
        <f>IF(B69="","",IF(ISNA(VLOOKUP($B69,'E-1 Off Site Hedge Baseline'!$B$1:$L$257,7,FALSE)),"",(VLOOKUP($B69,'E-1 Off Site Hedge Baseline'!$B$1:$L$257,7,FALSE))))</f>
        <v/>
      </c>
      <c r="H69" s="520" t="str">
        <f>IF(B69="","",IF(ISNA(VLOOKUP($B69,'E-1 Off Site Hedge Baseline'!$B$1:$L$257,8,FALSE)),"",(VLOOKUP($B69,'E-1 Off Site Hedge Baseline'!$B$1:$L$257,8,FALSE))))</f>
        <v/>
      </c>
      <c r="I69" s="520" t="str">
        <f>IF(B69="","",IF(ISNA(VLOOKUP($B69,'E-1 Off Site Hedge Baseline'!$B$1:$L$257,10,FALSE)),"",(VLOOKUP($B69,'E-1 Off Site Hedge Baseline'!$B$1:$L$257,10,FALSE))))</f>
        <v/>
      </c>
      <c r="J69" s="520" t="str">
        <f>IF(B69="","",IF(ISNA(VLOOKUP($B69,'E-1 Off Site Hedge Baseline'!$B$1:$L$257,11,FALSE)),"",(VLOOKUP($B69,'E-1 Off Site Hedge Baseline'!$B$1:$L$257,11,FALSE))))</f>
        <v/>
      </c>
      <c r="K69" s="520" t="str">
        <f>IF(B69="","",IF(ISNA(VLOOKUP($B69,'E-1 Off Site Hedge Baseline'!$B$1:$U$257,113,FALSE)),"",(VLOOKUP($B69,'E-1 Off Site Hedge Baseline'!$B$1:$U$257,13,FALSE))))</f>
        <v/>
      </c>
      <c r="L69" s="507" t="str">
        <f>IF(B69="","",IF(ISNA(VLOOKUP($B69,'E-1 Off Site Hedge Baseline'!$B$1:$U$257,12,FALSE)),"",(VLOOKUP($B69,'E-1 Off Site Hedge Baseline'!$B$1:$U$257,12,FALSE))))</f>
        <v/>
      </c>
      <c r="M69" s="418" t="str">
        <f t="shared" si="8"/>
        <v/>
      </c>
      <c r="N69" s="498" t="str">
        <f>IFERROR(IF(B69="","",INDEX('G-6 Hedgerow Data'!$AN$3:$AZ$15,MATCH(C69,'G-6 Hedgerow Data'!$AM$3:$AM$15,0),MATCH(M69,'G-6 Hedgerow Data'!$AN$2:$AZ$2,0))),"")</f>
        <v/>
      </c>
      <c r="O69" s="499" t="str">
        <f t="shared" si="2"/>
        <v/>
      </c>
      <c r="P69" s="505" t="str">
        <f>IF(B69="","",VLOOKUP(B69,'E-1 Off Site Hedge Baseline'!$B$10:T314,16,FALSE))</f>
        <v/>
      </c>
      <c r="Q69" s="498" t="str">
        <f>IF(M69="","",VLOOKUP(M69,'G-6 Hedgerow Data'!$B$2:$AG$15,2,FALSE))</f>
        <v/>
      </c>
      <c r="R69" s="499" t="str">
        <f>IF(M69="","",VLOOKUP(M69,'G-6 Hedgerow Data'!$B$2:$AG$15,3,FALSE))</f>
        <v/>
      </c>
      <c r="S69" s="145"/>
      <c r="T69" s="499" t="str">
        <f>IFERROR(IF(AND(Q69="V.Low",OR(S69="Good",S69="Moderate")),"Error ▲",VLOOKUP(S69,'G-1 All Habitats'!$Z$2:$AA$9,2,FALSE)),"")</f>
        <v/>
      </c>
      <c r="U69" s="145"/>
      <c r="V69" s="507" t="str">
        <f>IF(U69="","",IF(VLOOKUP(U69,'G-3 Multipliers'!$L$3:$N$6,2,FALSE)=0,"Spatial Data Missing ⚠",VLOOKUP(U69,'G-3 Multipliers'!$L$3:$N$6,2,FALSE)))</f>
        <v/>
      </c>
      <c r="W69" s="505" t="str">
        <f>IF(U69="","",IF(VLOOKUP(U69,'G-3 Multipliers'!$L$3:$N$6,3,FALSE)=0,"Spatial Data Missing ⚠",VLOOKUP(U69,'G-3 Multipliers'!$L$3:$N$6,3,FALSE)))</f>
        <v/>
      </c>
      <c r="X69" s="498" t="str">
        <f>IFERROR(IF(OR(LEFT(O69,5)="Error ▲",LEFT(N69,5)="Error ▲",T69="Error ▲"),"Check Data ⚠",IF(F69&lt;R69,INDEX('G-6 Hedgerow Data'!$S$3:$AE$14,MATCH(C69,'G-6 Hedgerow Data'!$B$3:$B$14,0),MATCH(M69,'G-6 Hedgerow Data'!$S$2:$AE$2,0)),INDEX('G-6 Hedgerow Data'!$K$3:$Q$14,MATCH(M69,'G-6 Hedgerow Data'!$B$3:$B$14,0),MATCH(O69,'G-6 Hedgerow Data'!$K$2:$Q$2,0)))),"")</f>
        <v/>
      </c>
      <c r="Y69" s="195"/>
      <c r="Z69" s="195"/>
      <c r="AA69" s="507" t="str">
        <f t="shared" si="3"/>
        <v/>
      </c>
      <c r="AB69" s="521" t="str">
        <f t="shared" si="4"/>
        <v/>
      </c>
      <c r="AC69" s="522" t="str">
        <f t="shared" si="1"/>
        <v/>
      </c>
      <c r="AD69" s="537" t="str">
        <f>IF(M69="","",VLOOKUP(M69,'G-6 Hedgerow Data'!$B$3:$AG$15,31,FALSE))</f>
        <v/>
      </c>
      <c r="AE69" s="520" t="str">
        <f t="shared" si="5"/>
        <v/>
      </c>
      <c r="AF69" s="520" t="str">
        <f t="shared" si="6"/>
        <v/>
      </c>
      <c r="AG69" s="524" t="str">
        <f>IFERROR(IF(O69="","",VLOOKUP(AD69,'G-3 Multipliers'!$P$3:$Q$6,2,FALSE)),"")</f>
        <v/>
      </c>
      <c r="AH69" s="197"/>
      <c r="AI69" s="499" t="str">
        <f>IF(AH69="","",IF(VLOOKUP(AH69,'G-3 Multipliers'!$S$3:$T$6,2,FALSE)=0,"Spatial Data Missing ⚠",VLOOKUP(AH69,'G-3 Multipliers'!$S$3:$T$6,2,FALSE)))</f>
        <v/>
      </c>
      <c r="AJ69" s="545" t="str">
        <f t="shared" si="7"/>
        <v/>
      </c>
      <c r="AK69" s="149"/>
      <c r="AL69" s="150"/>
      <c r="AP69" s="31" t="str">
        <f>IFERROR(INDEX('G-6 Hedgerow Data'!$BJ$3:$BJ$15,MATCH(M69,'G-6 Hedgerow Data'!$B$3:$B$15,0)),"")</f>
        <v/>
      </c>
    </row>
    <row r="70" spans="2:42" ht="14" x14ac:dyDescent="0.3">
      <c r="B70" s="531" t="str">
        <f>'E-1 Off Site Hedge Baseline'!AK68</f>
        <v/>
      </c>
      <c r="C70" s="520" t="str">
        <f>IF(B70="","",IF(ISNA(VLOOKUP($B70,'E-1 Off Site Hedge Baseline'!$B$1:$L$257,3,FALSE)),"",(VLOOKUP($B70,'E-1 Off Site Hedge Baseline'!$B$1:$L$257,3,FALSE))))</f>
        <v/>
      </c>
      <c r="D70" s="520" t="str">
        <f>IF(B70="","",IF(ISNA(VLOOKUP($B70,'E-1 Off Site Hedge Baseline'!$B$1:$L$258,4,FALSE)),"",(VLOOKUP($B70,'E-1 Off Site Hedge Baseline'!$B$1:$L$258,4,FALSE))))</f>
        <v/>
      </c>
      <c r="E70" s="520" t="str">
        <f>IF(B70="","",IF(ISNA(VLOOKUP($B70,'E-1 Off Site Hedge Baseline'!$B$1:$L$257,5,FALSE)),"",(VLOOKUP($B70,'E-1 Off Site Hedge Baseline'!$B$1:$L$257,5,FALSE))))</f>
        <v/>
      </c>
      <c r="F70" s="520" t="str">
        <f>IF(B70="","",IF(ISNA(VLOOKUP($B70,'E-1 Off Site Hedge Baseline'!$B$1:$L$257,6,FALSE)),"",(VLOOKUP($B70,'E-1 Off Site Hedge Baseline'!$B$1:$L$257,6,FALSE))))</f>
        <v/>
      </c>
      <c r="G70" s="520" t="str">
        <f>IF(B70="","",IF(ISNA(VLOOKUP($B70,'E-1 Off Site Hedge Baseline'!$B$1:$L$257,7,FALSE)),"",(VLOOKUP($B70,'E-1 Off Site Hedge Baseline'!$B$1:$L$257,7,FALSE))))</f>
        <v/>
      </c>
      <c r="H70" s="520" t="str">
        <f>IF(B70="","",IF(ISNA(VLOOKUP($B70,'E-1 Off Site Hedge Baseline'!$B$1:$L$257,8,FALSE)),"",(VLOOKUP($B70,'E-1 Off Site Hedge Baseline'!$B$1:$L$257,8,FALSE))))</f>
        <v/>
      </c>
      <c r="I70" s="520" t="str">
        <f>IF(B70="","",IF(ISNA(VLOOKUP($B70,'E-1 Off Site Hedge Baseline'!$B$1:$L$257,10,FALSE)),"",(VLOOKUP($B70,'E-1 Off Site Hedge Baseline'!$B$1:$L$257,10,FALSE))))</f>
        <v/>
      </c>
      <c r="J70" s="520" t="str">
        <f>IF(B70="","",IF(ISNA(VLOOKUP($B70,'E-1 Off Site Hedge Baseline'!$B$1:$L$257,11,FALSE)),"",(VLOOKUP($B70,'E-1 Off Site Hedge Baseline'!$B$1:$L$257,11,FALSE))))</f>
        <v/>
      </c>
      <c r="K70" s="520" t="str">
        <f>IF(B70="","",IF(ISNA(VLOOKUP($B70,'E-1 Off Site Hedge Baseline'!$B$1:$U$257,113,FALSE)),"",(VLOOKUP($B70,'E-1 Off Site Hedge Baseline'!$B$1:$U$257,13,FALSE))))</f>
        <v/>
      </c>
      <c r="L70" s="507" t="str">
        <f>IF(B70="","",IF(ISNA(VLOOKUP($B70,'E-1 Off Site Hedge Baseline'!$B$1:$U$257,12,FALSE)),"",(VLOOKUP($B70,'E-1 Off Site Hedge Baseline'!$B$1:$U$257,12,FALSE))))</f>
        <v/>
      </c>
      <c r="M70" s="418" t="str">
        <f t="shared" si="8"/>
        <v/>
      </c>
      <c r="N70" s="498" t="str">
        <f>IFERROR(IF(B70="","",INDEX('G-6 Hedgerow Data'!$AN$3:$AZ$15,MATCH(C70,'G-6 Hedgerow Data'!$AM$3:$AM$15,0),MATCH(M70,'G-6 Hedgerow Data'!$AN$2:$AZ$2,0))),"")</f>
        <v/>
      </c>
      <c r="O70" s="499" t="str">
        <f t="shared" si="2"/>
        <v/>
      </c>
      <c r="P70" s="505" t="str">
        <f>IF(B70="","",VLOOKUP(B70,'E-1 Off Site Hedge Baseline'!$B$10:T315,16,FALSE))</f>
        <v/>
      </c>
      <c r="Q70" s="498" t="str">
        <f>IF(M70="","",VLOOKUP(M70,'G-6 Hedgerow Data'!$B$2:$AG$15,2,FALSE))</f>
        <v/>
      </c>
      <c r="R70" s="499" t="str">
        <f>IF(M70="","",VLOOKUP(M70,'G-6 Hedgerow Data'!$B$2:$AG$15,3,FALSE))</f>
        <v/>
      </c>
      <c r="S70" s="145"/>
      <c r="T70" s="499" t="str">
        <f>IFERROR(IF(AND(Q70="V.Low",OR(S70="Good",S70="Moderate")),"Error ▲",VLOOKUP(S70,'G-1 All Habitats'!$Z$2:$AA$9,2,FALSE)),"")</f>
        <v/>
      </c>
      <c r="U70" s="145"/>
      <c r="V70" s="507" t="str">
        <f>IF(U70="","",IF(VLOOKUP(U70,'G-3 Multipliers'!$L$3:$N$6,2,FALSE)=0,"Spatial Data Missing ⚠",VLOOKUP(U70,'G-3 Multipliers'!$L$3:$N$6,2,FALSE)))</f>
        <v/>
      </c>
      <c r="W70" s="505" t="str">
        <f>IF(U70="","",IF(VLOOKUP(U70,'G-3 Multipliers'!$L$3:$N$6,3,FALSE)=0,"Spatial Data Missing ⚠",VLOOKUP(U70,'G-3 Multipliers'!$L$3:$N$6,3,FALSE)))</f>
        <v/>
      </c>
      <c r="X70" s="498" t="str">
        <f>IFERROR(IF(OR(LEFT(O70,5)="Error ▲",LEFT(N70,5)="Error ▲",T70="Error ▲"),"Check Data ⚠",IF(F70&lt;R70,INDEX('G-6 Hedgerow Data'!$S$3:$AE$14,MATCH(C70,'G-6 Hedgerow Data'!$B$3:$B$14,0),MATCH(M70,'G-6 Hedgerow Data'!$S$2:$AE$2,0)),INDEX('G-6 Hedgerow Data'!$K$3:$Q$14,MATCH(M70,'G-6 Hedgerow Data'!$B$3:$B$14,0),MATCH(O70,'G-6 Hedgerow Data'!$K$2:$Q$2,0)))),"")</f>
        <v/>
      </c>
      <c r="Y70" s="195"/>
      <c r="Z70" s="195"/>
      <c r="AA70" s="507" t="str">
        <f t="shared" si="3"/>
        <v/>
      </c>
      <c r="AB70" s="521" t="str">
        <f t="shared" si="4"/>
        <v/>
      </c>
      <c r="AC70" s="522" t="str">
        <f t="shared" si="1"/>
        <v/>
      </c>
      <c r="AD70" s="537" t="str">
        <f>IF(M70="","",VLOOKUP(M70,'G-6 Hedgerow Data'!$B$3:$AG$15,31,FALSE))</f>
        <v/>
      </c>
      <c r="AE70" s="520" t="str">
        <f t="shared" si="5"/>
        <v/>
      </c>
      <c r="AF70" s="520" t="str">
        <f t="shared" si="6"/>
        <v/>
      </c>
      <c r="AG70" s="524" t="str">
        <f>IFERROR(IF(O70="","",VLOOKUP(AD70,'G-3 Multipliers'!$P$3:$Q$6,2,FALSE)),"")</f>
        <v/>
      </c>
      <c r="AH70" s="197"/>
      <c r="AI70" s="499" t="str">
        <f>IF(AH70="","",IF(VLOOKUP(AH70,'G-3 Multipliers'!$S$3:$T$6,2,FALSE)=0,"Spatial Data Missing ⚠",VLOOKUP(AH70,'G-3 Multipliers'!$S$3:$T$6,2,FALSE)))</f>
        <v/>
      </c>
      <c r="AJ70" s="545" t="str">
        <f t="shared" si="7"/>
        <v/>
      </c>
      <c r="AK70" s="149"/>
      <c r="AL70" s="150"/>
      <c r="AP70" s="31" t="str">
        <f>IFERROR(INDEX('G-6 Hedgerow Data'!$BJ$3:$BJ$15,MATCH(M70,'G-6 Hedgerow Data'!$B$3:$B$15,0)),"")</f>
        <v/>
      </c>
    </row>
    <row r="71" spans="2:42" ht="14" x14ac:dyDescent="0.3">
      <c r="B71" s="531" t="str">
        <f>'E-1 Off Site Hedge Baseline'!AK69</f>
        <v/>
      </c>
      <c r="C71" s="520" t="str">
        <f>IF(B71="","",IF(ISNA(VLOOKUP($B71,'E-1 Off Site Hedge Baseline'!$B$1:$L$257,3,FALSE)),"",(VLOOKUP($B71,'E-1 Off Site Hedge Baseline'!$B$1:$L$257,3,FALSE))))</f>
        <v/>
      </c>
      <c r="D71" s="520" t="str">
        <f>IF(B71="","",IF(ISNA(VLOOKUP($B71,'E-1 Off Site Hedge Baseline'!$B$1:$L$258,4,FALSE)),"",(VLOOKUP($B71,'E-1 Off Site Hedge Baseline'!$B$1:$L$258,4,FALSE))))</f>
        <v/>
      </c>
      <c r="E71" s="520" t="str">
        <f>IF(B71="","",IF(ISNA(VLOOKUP($B71,'E-1 Off Site Hedge Baseline'!$B$1:$L$257,5,FALSE)),"",(VLOOKUP($B71,'E-1 Off Site Hedge Baseline'!$B$1:$L$257,5,FALSE))))</f>
        <v/>
      </c>
      <c r="F71" s="520" t="str">
        <f>IF(B71="","",IF(ISNA(VLOOKUP($B71,'E-1 Off Site Hedge Baseline'!$B$1:$L$257,6,FALSE)),"",(VLOOKUP($B71,'E-1 Off Site Hedge Baseline'!$B$1:$L$257,6,FALSE))))</f>
        <v/>
      </c>
      <c r="G71" s="520" t="str">
        <f>IF(B71="","",IF(ISNA(VLOOKUP($B71,'E-1 Off Site Hedge Baseline'!$B$1:$L$257,7,FALSE)),"",(VLOOKUP($B71,'E-1 Off Site Hedge Baseline'!$B$1:$L$257,7,FALSE))))</f>
        <v/>
      </c>
      <c r="H71" s="520" t="str">
        <f>IF(B71="","",IF(ISNA(VLOOKUP($B71,'E-1 Off Site Hedge Baseline'!$B$1:$L$257,8,FALSE)),"",(VLOOKUP($B71,'E-1 Off Site Hedge Baseline'!$B$1:$L$257,8,FALSE))))</f>
        <v/>
      </c>
      <c r="I71" s="520" t="str">
        <f>IF(B71="","",IF(ISNA(VLOOKUP($B71,'E-1 Off Site Hedge Baseline'!$B$1:$L$257,10,FALSE)),"",(VLOOKUP($B71,'E-1 Off Site Hedge Baseline'!$B$1:$L$257,10,FALSE))))</f>
        <v/>
      </c>
      <c r="J71" s="520" t="str">
        <f>IF(B71="","",IF(ISNA(VLOOKUP($B71,'E-1 Off Site Hedge Baseline'!$B$1:$L$257,11,FALSE)),"",(VLOOKUP($B71,'E-1 Off Site Hedge Baseline'!$B$1:$L$257,11,FALSE))))</f>
        <v/>
      </c>
      <c r="K71" s="520" t="str">
        <f>IF(B71="","",IF(ISNA(VLOOKUP($B71,'E-1 Off Site Hedge Baseline'!$B$1:$U$257,113,FALSE)),"",(VLOOKUP($B71,'E-1 Off Site Hedge Baseline'!$B$1:$U$257,13,FALSE))))</f>
        <v/>
      </c>
      <c r="L71" s="507" t="str">
        <f>IF(B71="","",IF(ISNA(VLOOKUP($B71,'E-1 Off Site Hedge Baseline'!$B$1:$U$257,12,FALSE)),"",(VLOOKUP($B71,'E-1 Off Site Hedge Baseline'!$B$1:$U$257,12,FALSE))))</f>
        <v/>
      </c>
      <c r="M71" s="418" t="str">
        <f t="shared" si="8"/>
        <v/>
      </c>
      <c r="N71" s="498" t="str">
        <f>IFERROR(IF(B71="","",INDEX('G-6 Hedgerow Data'!$AN$3:$AZ$15,MATCH(C71,'G-6 Hedgerow Data'!$AM$3:$AM$15,0),MATCH(M71,'G-6 Hedgerow Data'!$AN$2:$AZ$2,0))),"")</f>
        <v/>
      </c>
      <c r="O71" s="499" t="str">
        <f t="shared" si="2"/>
        <v/>
      </c>
      <c r="P71" s="505" t="str">
        <f>IF(B71="","",VLOOKUP(B71,'E-1 Off Site Hedge Baseline'!$B$10:T316,16,FALSE))</f>
        <v/>
      </c>
      <c r="Q71" s="498" t="str">
        <f>IF(M71="","",VLOOKUP(M71,'G-6 Hedgerow Data'!$B$2:$AG$15,2,FALSE))</f>
        <v/>
      </c>
      <c r="R71" s="499" t="str">
        <f>IF(M71="","",VLOOKUP(M71,'G-6 Hedgerow Data'!$B$2:$AG$15,3,FALSE))</f>
        <v/>
      </c>
      <c r="S71" s="145"/>
      <c r="T71" s="499" t="str">
        <f>IFERROR(IF(AND(Q71="V.Low",OR(S71="Good",S71="Moderate")),"Error ▲",VLOOKUP(S71,'G-1 All Habitats'!$Z$2:$AA$9,2,FALSE)),"")</f>
        <v/>
      </c>
      <c r="U71" s="145"/>
      <c r="V71" s="507" t="str">
        <f>IF(U71="","",IF(VLOOKUP(U71,'G-3 Multipliers'!$L$3:$N$6,2,FALSE)=0,"Spatial Data Missing ⚠",VLOOKUP(U71,'G-3 Multipliers'!$L$3:$N$6,2,FALSE)))</f>
        <v/>
      </c>
      <c r="W71" s="505" t="str">
        <f>IF(U71="","",IF(VLOOKUP(U71,'G-3 Multipliers'!$L$3:$N$6,3,FALSE)=0,"Spatial Data Missing ⚠",VLOOKUP(U71,'G-3 Multipliers'!$L$3:$N$6,3,FALSE)))</f>
        <v/>
      </c>
      <c r="X71" s="498" t="str">
        <f>IFERROR(IF(OR(LEFT(O71,5)="Error ▲",LEFT(N71,5)="Error ▲",T71="Error ▲"),"Check Data ⚠",IF(F71&lt;R71,INDEX('G-6 Hedgerow Data'!$S$3:$AE$14,MATCH(C71,'G-6 Hedgerow Data'!$B$3:$B$14,0),MATCH(M71,'G-6 Hedgerow Data'!$S$2:$AE$2,0)),INDEX('G-6 Hedgerow Data'!$K$3:$Q$14,MATCH(M71,'G-6 Hedgerow Data'!$B$3:$B$14,0),MATCH(O71,'G-6 Hedgerow Data'!$K$2:$Q$2,0)))),"")</f>
        <v/>
      </c>
      <c r="Y71" s="195"/>
      <c r="Z71" s="195"/>
      <c r="AA71" s="507" t="str">
        <f t="shared" si="3"/>
        <v/>
      </c>
      <c r="AB71" s="521" t="str">
        <f t="shared" si="4"/>
        <v/>
      </c>
      <c r="AC71" s="522" t="str">
        <f t="shared" si="1"/>
        <v/>
      </c>
      <c r="AD71" s="537" t="str">
        <f>IF(M71="","",VLOOKUP(M71,'G-6 Hedgerow Data'!$B$3:$AG$15,31,FALSE))</f>
        <v/>
      </c>
      <c r="AE71" s="520" t="str">
        <f t="shared" si="5"/>
        <v/>
      </c>
      <c r="AF71" s="520" t="str">
        <f t="shared" si="6"/>
        <v/>
      </c>
      <c r="AG71" s="524" t="str">
        <f>IFERROR(IF(O71="","",VLOOKUP(AD71,'G-3 Multipliers'!$P$3:$Q$6,2,FALSE)),"")</f>
        <v/>
      </c>
      <c r="AH71" s="197"/>
      <c r="AI71" s="499" t="str">
        <f>IF(AH71="","",IF(VLOOKUP(AH71,'G-3 Multipliers'!$S$3:$T$6,2,FALSE)=0,"Spatial Data Missing ⚠",VLOOKUP(AH71,'G-3 Multipliers'!$S$3:$T$6,2,FALSE)))</f>
        <v/>
      </c>
      <c r="AJ71" s="545" t="str">
        <f t="shared" si="7"/>
        <v/>
      </c>
      <c r="AK71" s="149"/>
      <c r="AL71" s="150"/>
      <c r="AP71" s="31" t="str">
        <f>IFERROR(INDEX('G-6 Hedgerow Data'!$BJ$3:$BJ$15,MATCH(M71,'G-6 Hedgerow Data'!$B$3:$B$15,0)),"")</f>
        <v/>
      </c>
    </row>
    <row r="72" spans="2:42" ht="14" x14ac:dyDescent="0.3">
      <c r="B72" s="531" t="str">
        <f>'E-1 Off Site Hedge Baseline'!AK70</f>
        <v/>
      </c>
      <c r="C72" s="520" t="str">
        <f>IF(B72="","",IF(ISNA(VLOOKUP($B72,'E-1 Off Site Hedge Baseline'!$B$1:$L$257,3,FALSE)),"",(VLOOKUP($B72,'E-1 Off Site Hedge Baseline'!$B$1:$L$257,3,FALSE))))</f>
        <v/>
      </c>
      <c r="D72" s="520" t="str">
        <f>IF(B72="","",IF(ISNA(VLOOKUP($B72,'E-1 Off Site Hedge Baseline'!$B$1:$L$258,4,FALSE)),"",(VLOOKUP($B72,'E-1 Off Site Hedge Baseline'!$B$1:$L$258,4,FALSE))))</f>
        <v/>
      </c>
      <c r="E72" s="520" t="str">
        <f>IF(B72="","",IF(ISNA(VLOOKUP($B72,'E-1 Off Site Hedge Baseline'!$B$1:$L$257,5,FALSE)),"",(VLOOKUP($B72,'E-1 Off Site Hedge Baseline'!$B$1:$L$257,5,FALSE))))</f>
        <v/>
      </c>
      <c r="F72" s="520" t="str">
        <f>IF(B72="","",IF(ISNA(VLOOKUP($B72,'E-1 Off Site Hedge Baseline'!$B$1:$L$257,6,FALSE)),"",(VLOOKUP($B72,'E-1 Off Site Hedge Baseline'!$B$1:$L$257,6,FALSE))))</f>
        <v/>
      </c>
      <c r="G72" s="520" t="str">
        <f>IF(B72="","",IF(ISNA(VLOOKUP($B72,'E-1 Off Site Hedge Baseline'!$B$1:$L$257,7,FALSE)),"",(VLOOKUP($B72,'E-1 Off Site Hedge Baseline'!$B$1:$L$257,7,FALSE))))</f>
        <v/>
      </c>
      <c r="H72" s="520" t="str">
        <f>IF(B72="","",IF(ISNA(VLOOKUP($B72,'E-1 Off Site Hedge Baseline'!$B$1:$L$257,8,FALSE)),"",(VLOOKUP($B72,'E-1 Off Site Hedge Baseline'!$B$1:$L$257,8,FALSE))))</f>
        <v/>
      </c>
      <c r="I72" s="520" t="str">
        <f>IF(B72="","",IF(ISNA(VLOOKUP($B72,'E-1 Off Site Hedge Baseline'!$B$1:$L$257,10,FALSE)),"",(VLOOKUP($B72,'E-1 Off Site Hedge Baseline'!$B$1:$L$257,10,FALSE))))</f>
        <v/>
      </c>
      <c r="J72" s="520" t="str">
        <f>IF(B72="","",IF(ISNA(VLOOKUP($B72,'E-1 Off Site Hedge Baseline'!$B$1:$L$257,11,FALSE)),"",(VLOOKUP($B72,'E-1 Off Site Hedge Baseline'!$B$1:$L$257,11,FALSE))))</f>
        <v/>
      </c>
      <c r="K72" s="520" t="str">
        <f>IF(B72="","",IF(ISNA(VLOOKUP($B72,'E-1 Off Site Hedge Baseline'!$B$1:$U$257,113,FALSE)),"",(VLOOKUP($B72,'E-1 Off Site Hedge Baseline'!$B$1:$U$257,13,FALSE))))</f>
        <v/>
      </c>
      <c r="L72" s="507" t="str">
        <f>IF(B72="","",IF(ISNA(VLOOKUP($B72,'E-1 Off Site Hedge Baseline'!$B$1:$U$257,12,FALSE)),"",(VLOOKUP($B72,'E-1 Off Site Hedge Baseline'!$B$1:$U$257,12,FALSE))))</f>
        <v/>
      </c>
      <c r="M72" s="418" t="str">
        <f t="shared" si="8"/>
        <v/>
      </c>
      <c r="N72" s="498" t="str">
        <f>IFERROR(IF(B72="","",INDEX('G-6 Hedgerow Data'!$AN$3:$AZ$15,MATCH(C72,'G-6 Hedgerow Data'!$AM$3:$AM$15,0),MATCH(M72,'G-6 Hedgerow Data'!$AN$2:$AZ$2,0))),"")</f>
        <v/>
      </c>
      <c r="O72" s="499" t="str">
        <f t="shared" si="2"/>
        <v/>
      </c>
      <c r="P72" s="505" t="str">
        <f>IF(B72="","",VLOOKUP(B72,'E-1 Off Site Hedge Baseline'!$B$10:T317,16,FALSE))</f>
        <v/>
      </c>
      <c r="Q72" s="498" t="str">
        <f>IF(M72="","",VLOOKUP(M72,'G-6 Hedgerow Data'!$B$2:$AG$15,2,FALSE))</f>
        <v/>
      </c>
      <c r="R72" s="499" t="str">
        <f>IF(M72="","",VLOOKUP(M72,'G-6 Hedgerow Data'!$B$2:$AG$15,3,FALSE))</f>
        <v/>
      </c>
      <c r="S72" s="145"/>
      <c r="T72" s="499" t="str">
        <f>IFERROR(IF(AND(Q72="V.Low",OR(S72="Good",S72="Moderate")),"Error ▲",VLOOKUP(S72,'G-1 All Habitats'!$Z$2:$AA$9,2,FALSE)),"")</f>
        <v/>
      </c>
      <c r="U72" s="145"/>
      <c r="V72" s="507" t="str">
        <f>IF(U72="","",IF(VLOOKUP(U72,'G-3 Multipliers'!$L$3:$N$6,2,FALSE)=0,"Spatial Data Missing ⚠",VLOOKUP(U72,'G-3 Multipliers'!$L$3:$N$6,2,FALSE)))</f>
        <v/>
      </c>
      <c r="W72" s="505" t="str">
        <f>IF(U72="","",IF(VLOOKUP(U72,'G-3 Multipliers'!$L$3:$N$6,3,FALSE)=0,"Spatial Data Missing ⚠",VLOOKUP(U72,'G-3 Multipliers'!$L$3:$N$6,3,FALSE)))</f>
        <v/>
      </c>
      <c r="X72" s="498" t="str">
        <f>IFERROR(IF(OR(LEFT(O72,5)="Error ▲",LEFT(N72,5)="Error ▲",T72="Error ▲"),"Check Data ⚠",IF(F72&lt;R72,INDEX('G-6 Hedgerow Data'!$S$3:$AE$14,MATCH(C72,'G-6 Hedgerow Data'!$B$3:$B$14,0),MATCH(M72,'G-6 Hedgerow Data'!$S$2:$AE$2,0)),INDEX('G-6 Hedgerow Data'!$K$3:$Q$14,MATCH(M72,'G-6 Hedgerow Data'!$B$3:$B$14,0),MATCH(O72,'G-6 Hedgerow Data'!$K$2:$Q$2,0)))),"")</f>
        <v/>
      </c>
      <c r="Y72" s="195"/>
      <c r="Z72" s="195"/>
      <c r="AA72" s="507" t="str">
        <f t="shared" si="3"/>
        <v/>
      </c>
      <c r="AB72" s="521" t="str">
        <f t="shared" si="4"/>
        <v/>
      </c>
      <c r="AC72" s="522" t="str">
        <f t="shared" si="1"/>
        <v/>
      </c>
      <c r="AD72" s="537" t="str">
        <f>IF(M72="","",VLOOKUP(M72,'G-6 Hedgerow Data'!$B$3:$AG$15,31,FALSE))</f>
        <v/>
      </c>
      <c r="AE72" s="520" t="str">
        <f t="shared" si="5"/>
        <v/>
      </c>
      <c r="AF72" s="520" t="str">
        <f t="shared" si="6"/>
        <v/>
      </c>
      <c r="AG72" s="524" t="str">
        <f>IFERROR(IF(O72="","",VLOOKUP(AD72,'G-3 Multipliers'!$P$3:$Q$6,2,FALSE)),"")</f>
        <v/>
      </c>
      <c r="AH72" s="197"/>
      <c r="AI72" s="499" t="str">
        <f>IF(AH72="","",IF(VLOOKUP(AH72,'G-3 Multipliers'!$S$3:$T$6,2,FALSE)=0,"Spatial Data Missing ⚠",VLOOKUP(AH72,'G-3 Multipliers'!$S$3:$T$6,2,FALSE)))</f>
        <v/>
      </c>
      <c r="AJ72" s="545" t="str">
        <f t="shared" si="7"/>
        <v/>
      </c>
      <c r="AK72" s="149"/>
      <c r="AL72" s="150"/>
      <c r="AP72" s="31" t="str">
        <f>IFERROR(INDEX('G-6 Hedgerow Data'!$BJ$3:$BJ$15,MATCH(M72,'G-6 Hedgerow Data'!$B$3:$B$15,0)),"")</f>
        <v/>
      </c>
    </row>
    <row r="73" spans="2:42" ht="14" x14ac:dyDescent="0.3">
      <c r="B73" s="531" t="str">
        <f>'E-1 Off Site Hedge Baseline'!AK71</f>
        <v/>
      </c>
      <c r="C73" s="520" t="str">
        <f>IF(B73="","",IF(ISNA(VLOOKUP($B73,'E-1 Off Site Hedge Baseline'!$B$1:$L$257,3,FALSE)),"",(VLOOKUP($B73,'E-1 Off Site Hedge Baseline'!$B$1:$L$257,3,FALSE))))</f>
        <v/>
      </c>
      <c r="D73" s="520" t="str">
        <f>IF(B73="","",IF(ISNA(VLOOKUP($B73,'E-1 Off Site Hedge Baseline'!$B$1:$L$258,4,FALSE)),"",(VLOOKUP($B73,'E-1 Off Site Hedge Baseline'!$B$1:$L$258,4,FALSE))))</f>
        <v/>
      </c>
      <c r="E73" s="520" t="str">
        <f>IF(B73="","",IF(ISNA(VLOOKUP($B73,'E-1 Off Site Hedge Baseline'!$B$1:$L$257,5,FALSE)),"",(VLOOKUP($B73,'E-1 Off Site Hedge Baseline'!$B$1:$L$257,5,FALSE))))</f>
        <v/>
      </c>
      <c r="F73" s="520" t="str">
        <f>IF(B73="","",IF(ISNA(VLOOKUP($B73,'E-1 Off Site Hedge Baseline'!$B$1:$L$257,6,FALSE)),"",(VLOOKUP($B73,'E-1 Off Site Hedge Baseline'!$B$1:$L$257,6,FALSE))))</f>
        <v/>
      </c>
      <c r="G73" s="520" t="str">
        <f>IF(B73="","",IF(ISNA(VLOOKUP($B73,'E-1 Off Site Hedge Baseline'!$B$1:$L$257,7,FALSE)),"",(VLOOKUP($B73,'E-1 Off Site Hedge Baseline'!$B$1:$L$257,7,FALSE))))</f>
        <v/>
      </c>
      <c r="H73" s="520" t="str">
        <f>IF(B73="","",IF(ISNA(VLOOKUP($B73,'E-1 Off Site Hedge Baseline'!$B$1:$L$257,8,FALSE)),"",(VLOOKUP($B73,'E-1 Off Site Hedge Baseline'!$B$1:$L$257,8,FALSE))))</f>
        <v/>
      </c>
      <c r="I73" s="520" t="str">
        <f>IF(B73="","",IF(ISNA(VLOOKUP($B73,'E-1 Off Site Hedge Baseline'!$B$1:$L$257,10,FALSE)),"",(VLOOKUP($B73,'E-1 Off Site Hedge Baseline'!$B$1:$L$257,10,FALSE))))</f>
        <v/>
      </c>
      <c r="J73" s="520" t="str">
        <f>IF(B73="","",IF(ISNA(VLOOKUP($B73,'E-1 Off Site Hedge Baseline'!$B$1:$L$257,11,FALSE)),"",(VLOOKUP($B73,'E-1 Off Site Hedge Baseline'!$B$1:$L$257,11,FALSE))))</f>
        <v/>
      </c>
      <c r="K73" s="520" t="str">
        <f>IF(B73="","",IF(ISNA(VLOOKUP($B73,'E-1 Off Site Hedge Baseline'!$B$1:$U$257,113,FALSE)),"",(VLOOKUP($B73,'E-1 Off Site Hedge Baseline'!$B$1:$U$257,13,FALSE))))</f>
        <v/>
      </c>
      <c r="L73" s="507" t="str">
        <f>IF(B73="","",IF(ISNA(VLOOKUP($B73,'E-1 Off Site Hedge Baseline'!$B$1:$U$257,12,FALSE)),"",(VLOOKUP($B73,'E-1 Off Site Hedge Baseline'!$B$1:$U$257,12,FALSE))))</f>
        <v/>
      </c>
      <c r="M73" s="418" t="str">
        <f t="shared" si="8"/>
        <v/>
      </c>
      <c r="N73" s="498" t="str">
        <f>IFERROR(IF(B73="","",INDEX('G-6 Hedgerow Data'!$AN$3:$AZ$15,MATCH(C73,'G-6 Hedgerow Data'!$AM$3:$AM$15,0),MATCH(M73,'G-6 Hedgerow Data'!$AN$2:$AZ$2,0))),"")</f>
        <v/>
      </c>
      <c r="O73" s="499" t="str">
        <f t="shared" si="2"/>
        <v/>
      </c>
      <c r="P73" s="505" t="str">
        <f>IF(B73="","",VLOOKUP(B73,'E-1 Off Site Hedge Baseline'!$B$10:T318,16,FALSE))</f>
        <v/>
      </c>
      <c r="Q73" s="498" t="str">
        <f>IF(M73="","",VLOOKUP(M73,'G-6 Hedgerow Data'!$B$2:$AG$15,2,FALSE))</f>
        <v/>
      </c>
      <c r="R73" s="499" t="str">
        <f>IF(M73="","",VLOOKUP(M73,'G-6 Hedgerow Data'!$B$2:$AG$15,3,FALSE))</f>
        <v/>
      </c>
      <c r="S73" s="145"/>
      <c r="T73" s="499" t="str">
        <f>IFERROR(IF(AND(Q73="V.Low",OR(S73="Good",S73="Moderate")),"Error ▲",VLOOKUP(S73,'G-1 All Habitats'!$Z$2:$AA$9,2,FALSE)),"")</f>
        <v/>
      </c>
      <c r="U73" s="145"/>
      <c r="V73" s="507" t="str">
        <f>IF(U73="","",IF(VLOOKUP(U73,'G-3 Multipliers'!$L$3:$N$6,2,FALSE)=0,"Spatial Data Missing ⚠",VLOOKUP(U73,'G-3 Multipliers'!$L$3:$N$6,2,FALSE)))</f>
        <v/>
      </c>
      <c r="W73" s="505" t="str">
        <f>IF(U73="","",IF(VLOOKUP(U73,'G-3 Multipliers'!$L$3:$N$6,3,FALSE)=0,"Spatial Data Missing ⚠",VLOOKUP(U73,'G-3 Multipliers'!$L$3:$N$6,3,FALSE)))</f>
        <v/>
      </c>
      <c r="X73" s="498" t="str">
        <f>IFERROR(IF(OR(LEFT(O73,5)="Error ▲",LEFT(N73,5)="Error ▲",T73="Error ▲"),"Check Data ⚠",IF(F73&lt;R73,INDEX('G-6 Hedgerow Data'!$S$3:$AE$14,MATCH(C73,'G-6 Hedgerow Data'!$B$3:$B$14,0),MATCH(M73,'G-6 Hedgerow Data'!$S$2:$AE$2,0)),INDEX('G-6 Hedgerow Data'!$K$3:$Q$14,MATCH(M73,'G-6 Hedgerow Data'!$B$3:$B$14,0),MATCH(O73,'G-6 Hedgerow Data'!$K$2:$Q$2,0)))),"")</f>
        <v/>
      </c>
      <c r="Y73" s="195"/>
      <c r="Z73" s="195"/>
      <c r="AA73" s="507" t="str">
        <f t="shared" si="3"/>
        <v/>
      </c>
      <c r="AB73" s="521" t="str">
        <f t="shared" si="4"/>
        <v/>
      </c>
      <c r="AC73" s="522" t="str">
        <f t="shared" si="1"/>
        <v/>
      </c>
      <c r="AD73" s="537" t="str">
        <f>IF(M73="","",VLOOKUP(M73,'G-6 Hedgerow Data'!$B$3:$AG$15,31,FALSE))</f>
        <v/>
      </c>
      <c r="AE73" s="520" t="str">
        <f t="shared" si="5"/>
        <v/>
      </c>
      <c r="AF73" s="520" t="str">
        <f t="shared" si="6"/>
        <v/>
      </c>
      <c r="AG73" s="524" t="str">
        <f>IFERROR(IF(O73="","",VLOOKUP(AD73,'G-3 Multipliers'!$P$3:$Q$6,2,FALSE)),"")</f>
        <v/>
      </c>
      <c r="AH73" s="197"/>
      <c r="AI73" s="499" t="str">
        <f>IF(AH73="","",IF(VLOOKUP(AH73,'G-3 Multipliers'!$S$3:$T$6,2,FALSE)=0,"Spatial Data Missing ⚠",VLOOKUP(AH73,'G-3 Multipliers'!$S$3:$T$6,2,FALSE)))</f>
        <v/>
      </c>
      <c r="AJ73" s="545" t="str">
        <f t="shared" si="7"/>
        <v/>
      </c>
      <c r="AK73" s="149"/>
      <c r="AL73" s="150"/>
      <c r="AP73" s="31" t="str">
        <f>IFERROR(INDEX('G-6 Hedgerow Data'!$BJ$3:$BJ$15,MATCH(M73,'G-6 Hedgerow Data'!$B$3:$B$15,0)),"")</f>
        <v/>
      </c>
    </row>
    <row r="74" spans="2:42" ht="14" x14ac:dyDescent="0.3">
      <c r="B74" s="531" t="str">
        <f>'E-1 Off Site Hedge Baseline'!AK72</f>
        <v/>
      </c>
      <c r="C74" s="520" t="str">
        <f>IF(B74="","",IF(ISNA(VLOOKUP($B74,'E-1 Off Site Hedge Baseline'!$B$1:$L$257,3,FALSE)),"",(VLOOKUP($B74,'E-1 Off Site Hedge Baseline'!$B$1:$L$257,3,FALSE))))</f>
        <v/>
      </c>
      <c r="D74" s="520" t="str">
        <f>IF(B74="","",IF(ISNA(VLOOKUP($B74,'E-1 Off Site Hedge Baseline'!$B$1:$L$258,4,FALSE)),"",(VLOOKUP($B74,'E-1 Off Site Hedge Baseline'!$B$1:$L$258,4,FALSE))))</f>
        <v/>
      </c>
      <c r="E74" s="520" t="str">
        <f>IF(B74="","",IF(ISNA(VLOOKUP($B74,'E-1 Off Site Hedge Baseline'!$B$1:$L$257,5,FALSE)),"",(VLOOKUP($B74,'E-1 Off Site Hedge Baseline'!$B$1:$L$257,5,FALSE))))</f>
        <v/>
      </c>
      <c r="F74" s="520" t="str">
        <f>IF(B74="","",IF(ISNA(VLOOKUP($B74,'E-1 Off Site Hedge Baseline'!$B$1:$L$257,6,FALSE)),"",(VLOOKUP($B74,'E-1 Off Site Hedge Baseline'!$B$1:$L$257,6,FALSE))))</f>
        <v/>
      </c>
      <c r="G74" s="520" t="str">
        <f>IF(B74="","",IF(ISNA(VLOOKUP($B74,'E-1 Off Site Hedge Baseline'!$B$1:$L$257,7,FALSE)),"",(VLOOKUP($B74,'E-1 Off Site Hedge Baseline'!$B$1:$L$257,7,FALSE))))</f>
        <v/>
      </c>
      <c r="H74" s="520" t="str">
        <f>IF(B74="","",IF(ISNA(VLOOKUP($B74,'E-1 Off Site Hedge Baseline'!$B$1:$L$257,8,FALSE)),"",(VLOOKUP($B74,'E-1 Off Site Hedge Baseline'!$B$1:$L$257,8,FALSE))))</f>
        <v/>
      </c>
      <c r="I74" s="520" t="str">
        <f>IF(B74="","",IF(ISNA(VLOOKUP($B74,'E-1 Off Site Hedge Baseline'!$B$1:$L$257,10,FALSE)),"",(VLOOKUP($B74,'E-1 Off Site Hedge Baseline'!$B$1:$L$257,10,FALSE))))</f>
        <v/>
      </c>
      <c r="J74" s="520" t="str">
        <f>IF(B74="","",IF(ISNA(VLOOKUP($B74,'E-1 Off Site Hedge Baseline'!$B$1:$L$257,11,FALSE)),"",(VLOOKUP($B74,'E-1 Off Site Hedge Baseline'!$B$1:$L$257,11,FALSE))))</f>
        <v/>
      </c>
      <c r="K74" s="520" t="str">
        <f>IF(B74="","",IF(ISNA(VLOOKUP($B74,'E-1 Off Site Hedge Baseline'!$B$1:$U$257,113,FALSE)),"",(VLOOKUP($B74,'E-1 Off Site Hedge Baseline'!$B$1:$U$257,13,FALSE))))</f>
        <v/>
      </c>
      <c r="L74" s="507" t="str">
        <f>IF(B74="","",IF(ISNA(VLOOKUP($B74,'E-1 Off Site Hedge Baseline'!$B$1:$U$257,12,FALSE)),"",(VLOOKUP($B74,'E-1 Off Site Hedge Baseline'!$B$1:$U$257,12,FALSE))))</f>
        <v/>
      </c>
      <c r="M74" s="418" t="str">
        <f t="shared" si="8"/>
        <v/>
      </c>
      <c r="N74" s="498" t="str">
        <f>IFERROR(IF(B74="","",INDEX('G-6 Hedgerow Data'!$AN$3:$AZ$15,MATCH(C74,'G-6 Hedgerow Data'!$AM$3:$AM$15,0),MATCH(M74,'G-6 Hedgerow Data'!$AN$2:$AZ$2,0))),"")</f>
        <v/>
      </c>
      <c r="O74" s="499" t="str">
        <f t="shared" si="2"/>
        <v/>
      </c>
      <c r="P74" s="505" t="str">
        <f>IF(B74="","",VLOOKUP(B74,'E-1 Off Site Hedge Baseline'!$B$10:T319,16,FALSE))</f>
        <v/>
      </c>
      <c r="Q74" s="498" t="str">
        <f>IF(M74="","",VLOOKUP(M74,'G-6 Hedgerow Data'!$B$2:$AG$15,2,FALSE))</f>
        <v/>
      </c>
      <c r="R74" s="499" t="str">
        <f>IF(M74="","",VLOOKUP(M74,'G-6 Hedgerow Data'!$B$2:$AG$15,3,FALSE))</f>
        <v/>
      </c>
      <c r="S74" s="145"/>
      <c r="T74" s="499" t="str">
        <f>IFERROR(IF(AND(Q74="V.Low",OR(S74="Good",S74="Moderate")),"Error ▲",VLOOKUP(S74,'G-1 All Habitats'!$Z$2:$AA$9,2,FALSE)),"")</f>
        <v/>
      </c>
      <c r="U74" s="145"/>
      <c r="V74" s="507" t="str">
        <f>IF(U74="","",IF(VLOOKUP(U74,'G-3 Multipliers'!$L$3:$N$6,2,FALSE)=0,"Spatial Data Missing ⚠",VLOOKUP(U74,'G-3 Multipliers'!$L$3:$N$6,2,FALSE)))</f>
        <v/>
      </c>
      <c r="W74" s="505" t="str">
        <f>IF(U74="","",IF(VLOOKUP(U74,'G-3 Multipliers'!$L$3:$N$6,3,FALSE)=0,"Spatial Data Missing ⚠",VLOOKUP(U74,'G-3 Multipliers'!$L$3:$N$6,3,FALSE)))</f>
        <v/>
      </c>
      <c r="X74" s="498" t="str">
        <f>IFERROR(IF(OR(LEFT(O74,5)="Error ▲",LEFT(N74,5)="Error ▲",T74="Error ▲"),"Check Data ⚠",IF(F74&lt;R74,INDEX('G-6 Hedgerow Data'!$S$3:$AE$14,MATCH(C74,'G-6 Hedgerow Data'!$B$3:$B$14,0),MATCH(M74,'G-6 Hedgerow Data'!$S$2:$AE$2,0)),INDEX('G-6 Hedgerow Data'!$K$3:$Q$14,MATCH(M74,'G-6 Hedgerow Data'!$B$3:$B$14,0),MATCH(O74,'G-6 Hedgerow Data'!$K$2:$Q$2,0)))),"")</f>
        <v/>
      </c>
      <c r="Y74" s="195"/>
      <c r="Z74" s="195"/>
      <c r="AA74" s="507" t="str">
        <f t="shared" si="3"/>
        <v/>
      </c>
      <c r="AB74" s="521" t="str">
        <f t="shared" si="4"/>
        <v/>
      </c>
      <c r="AC74" s="522" t="str">
        <f t="shared" si="1"/>
        <v/>
      </c>
      <c r="AD74" s="537" t="str">
        <f>IF(M74="","",VLOOKUP(M74,'G-6 Hedgerow Data'!$B$3:$AG$15,31,FALSE))</f>
        <v/>
      </c>
      <c r="AE74" s="520" t="str">
        <f t="shared" si="5"/>
        <v/>
      </c>
      <c r="AF74" s="520" t="str">
        <f t="shared" si="6"/>
        <v/>
      </c>
      <c r="AG74" s="524" t="str">
        <f>IFERROR(IF(O74="","",VLOOKUP(AD74,'G-3 Multipliers'!$P$3:$Q$6,2,FALSE)),"")</f>
        <v/>
      </c>
      <c r="AH74" s="197"/>
      <c r="AI74" s="499" t="str">
        <f>IF(AH74="","",IF(VLOOKUP(AH74,'G-3 Multipliers'!$S$3:$T$6,2,FALSE)=0,"Spatial Data Missing ⚠",VLOOKUP(AH74,'G-3 Multipliers'!$S$3:$T$6,2,FALSE)))</f>
        <v/>
      </c>
      <c r="AJ74" s="545" t="str">
        <f t="shared" si="7"/>
        <v/>
      </c>
      <c r="AK74" s="149"/>
      <c r="AL74" s="150"/>
      <c r="AP74" s="31" t="str">
        <f>IFERROR(INDEX('G-6 Hedgerow Data'!$BJ$3:$BJ$15,MATCH(M74,'G-6 Hedgerow Data'!$B$3:$B$15,0)),"")</f>
        <v/>
      </c>
    </row>
    <row r="75" spans="2:42" ht="14" x14ac:dyDescent="0.3">
      <c r="B75" s="531" t="str">
        <f>'E-1 Off Site Hedge Baseline'!AK73</f>
        <v/>
      </c>
      <c r="C75" s="520" t="str">
        <f>IF(B75="","",IF(ISNA(VLOOKUP($B75,'E-1 Off Site Hedge Baseline'!$B$1:$L$257,3,FALSE)),"",(VLOOKUP($B75,'E-1 Off Site Hedge Baseline'!$B$1:$L$257,3,FALSE))))</f>
        <v/>
      </c>
      <c r="D75" s="520" t="str">
        <f>IF(B75="","",IF(ISNA(VLOOKUP($B75,'E-1 Off Site Hedge Baseline'!$B$1:$L$258,4,FALSE)),"",(VLOOKUP($B75,'E-1 Off Site Hedge Baseline'!$B$1:$L$258,4,FALSE))))</f>
        <v/>
      </c>
      <c r="E75" s="520" t="str">
        <f>IF(B75="","",IF(ISNA(VLOOKUP($B75,'E-1 Off Site Hedge Baseline'!$B$1:$L$257,5,FALSE)),"",(VLOOKUP($B75,'E-1 Off Site Hedge Baseline'!$B$1:$L$257,5,FALSE))))</f>
        <v/>
      </c>
      <c r="F75" s="520" t="str">
        <f>IF(B75="","",IF(ISNA(VLOOKUP($B75,'E-1 Off Site Hedge Baseline'!$B$1:$L$257,6,FALSE)),"",(VLOOKUP($B75,'E-1 Off Site Hedge Baseline'!$B$1:$L$257,6,FALSE))))</f>
        <v/>
      </c>
      <c r="G75" s="520" t="str">
        <f>IF(B75="","",IF(ISNA(VLOOKUP($B75,'E-1 Off Site Hedge Baseline'!$B$1:$L$257,7,FALSE)),"",(VLOOKUP($B75,'E-1 Off Site Hedge Baseline'!$B$1:$L$257,7,FALSE))))</f>
        <v/>
      </c>
      <c r="H75" s="520" t="str">
        <f>IF(B75="","",IF(ISNA(VLOOKUP($B75,'E-1 Off Site Hedge Baseline'!$B$1:$L$257,8,FALSE)),"",(VLOOKUP($B75,'E-1 Off Site Hedge Baseline'!$B$1:$L$257,8,FALSE))))</f>
        <v/>
      </c>
      <c r="I75" s="520" t="str">
        <f>IF(B75="","",IF(ISNA(VLOOKUP($B75,'E-1 Off Site Hedge Baseline'!$B$1:$L$257,10,FALSE)),"",(VLOOKUP($B75,'E-1 Off Site Hedge Baseline'!$B$1:$L$257,10,FALSE))))</f>
        <v/>
      </c>
      <c r="J75" s="520" t="str">
        <f>IF(B75="","",IF(ISNA(VLOOKUP($B75,'E-1 Off Site Hedge Baseline'!$B$1:$L$257,11,FALSE)),"",(VLOOKUP($B75,'E-1 Off Site Hedge Baseline'!$B$1:$L$257,11,FALSE))))</f>
        <v/>
      </c>
      <c r="K75" s="520" t="str">
        <f>IF(B75="","",IF(ISNA(VLOOKUP($B75,'E-1 Off Site Hedge Baseline'!$B$1:$U$257,113,FALSE)),"",(VLOOKUP($B75,'E-1 Off Site Hedge Baseline'!$B$1:$U$257,13,FALSE))))</f>
        <v/>
      </c>
      <c r="L75" s="507" t="str">
        <f>IF(B75="","",IF(ISNA(VLOOKUP($B75,'E-1 Off Site Hedge Baseline'!$B$1:$U$257,12,FALSE)),"",(VLOOKUP($B75,'E-1 Off Site Hedge Baseline'!$B$1:$U$257,12,FALSE))))</f>
        <v/>
      </c>
      <c r="M75" s="418" t="str">
        <f t="shared" si="8"/>
        <v/>
      </c>
      <c r="N75" s="498" t="str">
        <f>IFERROR(IF(B75="","",INDEX('G-6 Hedgerow Data'!$AN$3:$AZ$15,MATCH(C75,'G-6 Hedgerow Data'!$AM$3:$AM$15,0),MATCH(M75,'G-6 Hedgerow Data'!$AN$2:$AZ$2,0))),"")</f>
        <v/>
      </c>
      <c r="O75" s="499" t="str">
        <f t="shared" si="2"/>
        <v/>
      </c>
      <c r="P75" s="505" t="str">
        <f>IF(B75="","",VLOOKUP(B75,'E-1 Off Site Hedge Baseline'!$B$10:T320,16,FALSE))</f>
        <v/>
      </c>
      <c r="Q75" s="498" t="str">
        <f>IF(M75="","",VLOOKUP(M75,'G-6 Hedgerow Data'!$B$2:$AG$15,2,FALSE))</f>
        <v/>
      </c>
      <c r="R75" s="499" t="str">
        <f>IF(M75="","",VLOOKUP(M75,'G-6 Hedgerow Data'!$B$2:$AG$15,3,FALSE))</f>
        <v/>
      </c>
      <c r="S75" s="145"/>
      <c r="T75" s="499" t="str">
        <f>IFERROR(IF(AND(Q75="V.Low",OR(S75="Good",S75="Moderate")),"Error ▲",VLOOKUP(S75,'G-1 All Habitats'!$Z$2:$AA$9,2,FALSE)),"")</f>
        <v/>
      </c>
      <c r="U75" s="145"/>
      <c r="V75" s="507" t="str">
        <f>IF(U75="","",IF(VLOOKUP(U75,'G-3 Multipliers'!$L$3:$N$6,2,FALSE)=0,"Spatial Data Missing ⚠",VLOOKUP(U75,'G-3 Multipliers'!$L$3:$N$6,2,FALSE)))</f>
        <v/>
      </c>
      <c r="W75" s="505" t="str">
        <f>IF(U75="","",IF(VLOOKUP(U75,'G-3 Multipliers'!$L$3:$N$6,3,FALSE)=0,"Spatial Data Missing ⚠",VLOOKUP(U75,'G-3 Multipliers'!$L$3:$N$6,3,FALSE)))</f>
        <v/>
      </c>
      <c r="X75" s="498" t="str">
        <f>IFERROR(IF(OR(LEFT(O75,5)="Error ▲",LEFT(N75,5)="Error ▲",T75="Error ▲"),"Check Data ⚠",IF(F75&lt;R75,INDEX('G-6 Hedgerow Data'!$S$3:$AE$14,MATCH(C75,'G-6 Hedgerow Data'!$B$3:$B$14,0),MATCH(M75,'G-6 Hedgerow Data'!$S$2:$AE$2,0)),INDEX('G-6 Hedgerow Data'!$K$3:$Q$14,MATCH(M75,'G-6 Hedgerow Data'!$B$3:$B$14,0),MATCH(O75,'G-6 Hedgerow Data'!$K$2:$Q$2,0)))),"")</f>
        <v/>
      </c>
      <c r="Y75" s="195"/>
      <c r="Z75" s="195"/>
      <c r="AA75" s="507" t="str">
        <f t="shared" si="3"/>
        <v/>
      </c>
      <c r="AB75" s="521" t="str">
        <f t="shared" si="4"/>
        <v/>
      </c>
      <c r="AC75" s="522" t="str">
        <f t="shared" si="1"/>
        <v/>
      </c>
      <c r="AD75" s="537" t="str">
        <f>IF(M75="","",VLOOKUP(M75,'G-6 Hedgerow Data'!$B$3:$AG$15,31,FALSE))</f>
        <v/>
      </c>
      <c r="AE75" s="520" t="str">
        <f t="shared" si="5"/>
        <v/>
      </c>
      <c r="AF75" s="520" t="str">
        <f t="shared" si="6"/>
        <v/>
      </c>
      <c r="AG75" s="524" t="str">
        <f>IFERROR(IF(O75="","",VLOOKUP(AD75,'G-3 Multipliers'!$P$3:$Q$6,2,FALSE)),"")</f>
        <v/>
      </c>
      <c r="AH75" s="197"/>
      <c r="AI75" s="499" t="str">
        <f>IF(AH75="","",IF(VLOOKUP(AH75,'G-3 Multipliers'!$S$3:$T$6,2,FALSE)=0,"Spatial Data Missing ⚠",VLOOKUP(AH75,'G-3 Multipliers'!$S$3:$T$6,2,FALSE)))</f>
        <v/>
      </c>
      <c r="AJ75" s="545" t="str">
        <f t="shared" si="7"/>
        <v/>
      </c>
      <c r="AK75" s="149"/>
      <c r="AL75" s="150"/>
      <c r="AP75" s="31" t="str">
        <f>IFERROR(INDEX('G-6 Hedgerow Data'!$BJ$3:$BJ$15,MATCH(M75,'G-6 Hedgerow Data'!$B$3:$B$15,0)),"")</f>
        <v/>
      </c>
    </row>
    <row r="76" spans="2:42" ht="14" x14ac:dyDescent="0.3">
      <c r="B76" s="531" t="str">
        <f>'E-1 Off Site Hedge Baseline'!AK74</f>
        <v/>
      </c>
      <c r="C76" s="520" t="str">
        <f>IF(B76="","",IF(ISNA(VLOOKUP($B76,'E-1 Off Site Hedge Baseline'!$B$1:$L$257,3,FALSE)),"",(VLOOKUP($B76,'E-1 Off Site Hedge Baseline'!$B$1:$L$257,3,FALSE))))</f>
        <v/>
      </c>
      <c r="D76" s="520" t="str">
        <f>IF(B76="","",IF(ISNA(VLOOKUP($B76,'E-1 Off Site Hedge Baseline'!$B$1:$L$258,4,FALSE)),"",(VLOOKUP($B76,'E-1 Off Site Hedge Baseline'!$B$1:$L$258,4,FALSE))))</f>
        <v/>
      </c>
      <c r="E76" s="520" t="str">
        <f>IF(B76="","",IF(ISNA(VLOOKUP($B76,'E-1 Off Site Hedge Baseline'!$B$1:$L$257,5,FALSE)),"",(VLOOKUP($B76,'E-1 Off Site Hedge Baseline'!$B$1:$L$257,5,FALSE))))</f>
        <v/>
      </c>
      <c r="F76" s="520" t="str">
        <f>IF(B76="","",IF(ISNA(VLOOKUP($B76,'E-1 Off Site Hedge Baseline'!$B$1:$L$257,6,FALSE)),"",(VLOOKUP($B76,'E-1 Off Site Hedge Baseline'!$B$1:$L$257,6,FALSE))))</f>
        <v/>
      </c>
      <c r="G76" s="520" t="str">
        <f>IF(B76="","",IF(ISNA(VLOOKUP($B76,'E-1 Off Site Hedge Baseline'!$B$1:$L$257,7,FALSE)),"",(VLOOKUP($B76,'E-1 Off Site Hedge Baseline'!$B$1:$L$257,7,FALSE))))</f>
        <v/>
      </c>
      <c r="H76" s="520" t="str">
        <f>IF(B76="","",IF(ISNA(VLOOKUP($B76,'E-1 Off Site Hedge Baseline'!$B$1:$L$257,8,FALSE)),"",(VLOOKUP($B76,'E-1 Off Site Hedge Baseline'!$B$1:$L$257,8,FALSE))))</f>
        <v/>
      </c>
      <c r="I76" s="520" t="str">
        <f>IF(B76="","",IF(ISNA(VLOOKUP($B76,'E-1 Off Site Hedge Baseline'!$B$1:$L$257,10,FALSE)),"",(VLOOKUP($B76,'E-1 Off Site Hedge Baseline'!$B$1:$L$257,10,FALSE))))</f>
        <v/>
      </c>
      <c r="J76" s="520" t="str">
        <f>IF(B76="","",IF(ISNA(VLOOKUP($B76,'E-1 Off Site Hedge Baseline'!$B$1:$L$257,11,FALSE)),"",(VLOOKUP($B76,'E-1 Off Site Hedge Baseline'!$B$1:$L$257,11,FALSE))))</f>
        <v/>
      </c>
      <c r="K76" s="520" t="str">
        <f>IF(B76="","",IF(ISNA(VLOOKUP($B76,'E-1 Off Site Hedge Baseline'!$B$1:$U$257,113,FALSE)),"",(VLOOKUP($B76,'E-1 Off Site Hedge Baseline'!$B$1:$U$257,13,FALSE))))</f>
        <v/>
      </c>
      <c r="L76" s="507" t="str">
        <f>IF(B76="","",IF(ISNA(VLOOKUP($B76,'E-1 Off Site Hedge Baseline'!$B$1:$U$257,12,FALSE)),"",(VLOOKUP($B76,'E-1 Off Site Hedge Baseline'!$B$1:$U$257,12,FALSE))))</f>
        <v/>
      </c>
      <c r="M76" s="418" t="str">
        <f t="shared" si="8"/>
        <v/>
      </c>
      <c r="N76" s="498" t="str">
        <f>IFERROR(IF(B76="","",INDEX('G-6 Hedgerow Data'!$AN$3:$AZ$15,MATCH(C76,'G-6 Hedgerow Data'!$AM$3:$AM$15,0),MATCH(M76,'G-6 Hedgerow Data'!$AN$2:$AZ$2,0))),"")</f>
        <v/>
      </c>
      <c r="O76" s="499" t="str">
        <f t="shared" si="2"/>
        <v/>
      </c>
      <c r="P76" s="505" t="str">
        <f>IF(B76="","",VLOOKUP(B76,'E-1 Off Site Hedge Baseline'!$B$10:T321,16,FALSE))</f>
        <v/>
      </c>
      <c r="Q76" s="498" t="str">
        <f>IF(M76="","",VLOOKUP(M76,'G-6 Hedgerow Data'!$B$2:$AG$15,2,FALSE))</f>
        <v/>
      </c>
      <c r="R76" s="499" t="str">
        <f>IF(M76="","",VLOOKUP(M76,'G-6 Hedgerow Data'!$B$2:$AG$15,3,FALSE))</f>
        <v/>
      </c>
      <c r="S76" s="145"/>
      <c r="T76" s="499" t="str">
        <f>IFERROR(IF(AND(Q76="V.Low",OR(S76="Good",S76="Moderate")),"Error ▲",VLOOKUP(S76,'G-1 All Habitats'!$Z$2:$AA$9,2,FALSE)),"")</f>
        <v/>
      </c>
      <c r="U76" s="145"/>
      <c r="V76" s="507" t="str">
        <f>IF(U76="","",IF(VLOOKUP(U76,'G-3 Multipliers'!$L$3:$N$6,2,FALSE)=0,"Spatial Data Missing ⚠",VLOOKUP(U76,'G-3 Multipliers'!$L$3:$N$6,2,FALSE)))</f>
        <v/>
      </c>
      <c r="W76" s="505" t="str">
        <f>IF(U76="","",IF(VLOOKUP(U76,'G-3 Multipliers'!$L$3:$N$6,3,FALSE)=0,"Spatial Data Missing ⚠",VLOOKUP(U76,'G-3 Multipliers'!$L$3:$N$6,3,FALSE)))</f>
        <v/>
      </c>
      <c r="X76" s="498" t="str">
        <f>IFERROR(IF(OR(LEFT(O76,5)="Error ▲",LEFT(N76,5)="Error ▲",T76="Error ▲"),"Check Data ⚠",IF(F76&lt;R76,INDEX('G-6 Hedgerow Data'!$S$3:$AE$14,MATCH(C76,'G-6 Hedgerow Data'!$B$3:$B$14,0),MATCH(M76,'G-6 Hedgerow Data'!$S$2:$AE$2,0)),INDEX('G-6 Hedgerow Data'!$K$3:$Q$14,MATCH(M76,'G-6 Hedgerow Data'!$B$3:$B$14,0),MATCH(O76,'G-6 Hedgerow Data'!$K$2:$Q$2,0)))),"")</f>
        <v/>
      </c>
      <c r="Y76" s="195"/>
      <c r="Z76" s="195"/>
      <c r="AA76" s="507" t="str">
        <f t="shared" si="3"/>
        <v/>
      </c>
      <c r="AB76" s="521" t="str">
        <f t="shared" si="4"/>
        <v/>
      </c>
      <c r="AC76" s="522" t="str">
        <f t="shared" ref="AC76:AC139" si="9">IF(OR(S76="",M76=""),"",IF(LEFT(AB76,5)="Error ▲","Check Data ⚠",IF(AB76="Check Data ⚠","Check Data ⚠",VLOOKUP(AB76,TemporalMultipliers,3,FALSE))))</f>
        <v/>
      </c>
      <c r="AD76" s="537" t="str">
        <f>IF(M76="","",VLOOKUP(M76,'G-6 Hedgerow Data'!$B$3:$AG$15,31,FALSE))</f>
        <v/>
      </c>
      <c r="AE76" s="520" t="str">
        <f t="shared" si="5"/>
        <v/>
      </c>
      <c r="AF76" s="520" t="str">
        <f t="shared" si="6"/>
        <v/>
      </c>
      <c r="AG76" s="524" t="str">
        <f>IFERROR(IF(O76="","",VLOOKUP(AD76,'G-3 Multipliers'!$P$3:$Q$6,2,FALSE)),"")</f>
        <v/>
      </c>
      <c r="AH76" s="197"/>
      <c r="AI76" s="499" t="str">
        <f>IF(AH76="","",IF(VLOOKUP(AH76,'G-3 Multipliers'!$S$3:$T$6,2,FALSE)=0,"Spatial Data Missing ⚠",VLOOKUP(AH76,'G-3 Multipliers'!$S$3:$T$6,2,FALSE)))</f>
        <v/>
      </c>
      <c r="AJ76" s="545" t="str">
        <f t="shared" si="7"/>
        <v/>
      </c>
      <c r="AK76" s="149"/>
      <c r="AL76" s="150"/>
      <c r="AP76" s="31" t="str">
        <f>IFERROR(INDEX('G-6 Hedgerow Data'!$BJ$3:$BJ$15,MATCH(M76,'G-6 Hedgerow Data'!$B$3:$B$15,0)),"")</f>
        <v/>
      </c>
    </row>
    <row r="77" spans="2:42" ht="14" x14ac:dyDescent="0.3">
      <c r="B77" s="531" t="str">
        <f>'E-1 Off Site Hedge Baseline'!AK75</f>
        <v/>
      </c>
      <c r="C77" s="520" t="str">
        <f>IF(B77="","",IF(ISNA(VLOOKUP($B77,'E-1 Off Site Hedge Baseline'!$B$1:$L$257,3,FALSE)),"",(VLOOKUP($B77,'E-1 Off Site Hedge Baseline'!$B$1:$L$257,3,FALSE))))</f>
        <v/>
      </c>
      <c r="D77" s="520" t="str">
        <f>IF(B77="","",IF(ISNA(VLOOKUP($B77,'E-1 Off Site Hedge Baseline'!$B$1:$L$258,4,FALSE)),"",(VLOOKUP($B77,'E-1 Off Site Hedge Baseline'!$B$1:$L$258,4,FALSE))))</f>
        <v/>
      </c>
      <c r="E77" s="520" t="str">
        <f>IF(B77="","",IF(ISNA(VLOOKUP($B77,'E-1 Off Site Hedge Baseline'!$B$1:$L$257,5,FALSE)),"",(VLOOKUP($B77,'E-1 Off Site Hedge Baseline'!$B$1:$L$257,5,FALSE))))</f>
        <v/>
      </c>
      <c r="F77" s="520" t="str">
        <f>IF(B77="","",IF(ISNA(VLOOKUP($B77,'E-1 Off Site Hedge Baseline'!$B$1:$L$257,6,FALSE)),"",(VLOOKUP($B77,'E-1 Off Site Hedge Baseline'!$B$1:$L$257,6,FALSE))))</f>
        <v/>
      </c>
      <c r="G77" s="520" t="str">
        <f>IF(B77="","",IF(ISNA(VLOOKUP($B77,'E-1 Off Site Hedge Baseline'!$B$1:$L$257,7,FALSE)),"",(VLOOKUP($B77,'E-1 Off Site Hedge Baseline'!$B$1:$L$257,7,FALSE))))</f>
        <v/>
      </c>
      <c r="H77" s="520" t="str">
        <f>IF(B77="","",IF(ISNA(VLOOKUP($B77,'E-1 Off Site Hedge Baseline'!$B$1:$L$257,8,FALSE)),"",(VLOOKUP($B77,'E-1 Off Site Hedge Baseline'!$B$1:$L$257,8,FALSE))))</f>
        <v/>
      </c>
      <c r="I77" s="520" t="str">
        <f>IF(B77="","",IF(ISNA(VLOOKUP($B77,'E-1 Off Site Hedge Baseline'!$B$1:$L$257,10,FALSE)),"",(VLOOKUP($B77,'E-1 Off Site Hedge Baseline'!$B$1:$L$257,10,FALSE))))</f>
        <v/>
      </c>
      <c r="J77" s="520" t="str">
        <f>IF(B77="","",IF(ISNA(VLOOKUP($B77,'E-1 Off Site Hedge Baseline'!$B$1:$L$257,11,FALSE)),"",(VLOOKUP($B77,'E-1 Off Site Hedge Baseline'!$B$1:$L$257,11,FALSE))))</f>
        <v/>
      </c>
      <c r="K77" s="520" t="str">
        <f>IF(B77="","",IF(ISNA(VLOOKUP($B77,'E-1 Off Site Hedge Baseline'!$B$1:$U$257,113,FALSE)),"",(VLOOKUP($B77,'E-1 Off Site Hedge Baseline'!$B$1:$U$257,13,FALSE))))</f>
        <v/>
      </c>
      <c r="L77" s="507" t="str">
        <f>IF(B77="","",IF(ISNA(VLOOKUP($B77,'E-1 Off Site Hedge Baseline'!$B$1:$U$257,12,FALSE)),"",(VLOOKUP($B77,'E-1 Off Site Hedge Baseline'!$B$1:$U$257,12,FALSE))))</f>
        <v/>
      </c>
      <c r="M77" s="418" t="str">
        <f t="shared" si="8"/>
        <v/>
      </c>
      <c r="N77" s="498" t="str">
        <f>IFERROR(IF(B77="","",INDEX('G-6 Hedgerow Data'!$AN$3:$AZ$15,MATCH(C77,'G-6 Hedgerow Data'!$AM$3:$AM$15,0),MATCH(M77,'G-6 Hedgerow Data'!$AN$2:$AZ$2,0))),"")</f>
        <v/>
      </c>
      <c r="O77" s="499" t="str">
        <f t="shared" ref="O77:O140" si="10">IFERROR(IF(B77="","",IF(AND(LEFT(C77,55)&lt;&gt;LEFT(M77,55),N77="High - High"),"Error - Not like for like ▲",IF(AND(LEFT(C77,55)&lt;&gt;LEFT(M77,55),N77="Medium - Medium"),"Error - Not like for like ▲",IF(H77&gt;T77,"Error - Can not reduce condition ▲",IF(AND(F77=R77,H77=T77),"Error - No enhancement ▲",IF(AND(C77&lt;&gt;M77,F77&lt;R77),"Lower Distinctiveness Habitat"&amp;" - "&amp;S77,G77&amp;" - "&amp;S77)))))),"")</f>
        <v/>
      </c>
      <c r="P77" s="505" t="str">
        <f>IF(B77="","",VLOOKUP(B77,'E-1 Off Site Hedge Baseline'!$B$10:T322,16,FALSE))</f>
        <v/>
      </c>
      <c r="Q77" s="498" t="str">
        <f>IF(M77="","",VLOOKUP(M77,'G-6 Hedgerow Data'!$B$2:$AG$15,2,FALSE))</f>
        <v/>
      </c>
      <c r="R77" s="499" t="str">
        <f>IF(M77="","",VLOOKUP(M77,'G-6 Hedgerow Data'!$B$2:$AG$15,3,FALSE))</f>
        <v/>
      </c>
      <c r="S77" s="145"/>
      <c r="T77" s="499" t="str">
        <f>IFERROR(IF(AND(Q77="V.Low",OR(S77="Good",S77="Moderate")),"Error ▲",VLOOKUP(S77,'G-1 All Habitats'!$Z$2:$AA$9,2,FALSE)),"")</f>
        <v/>
      </c>
      <c r="U77" s="145"/>
      <c r="V77" s="507" t="str">
        <f>IF(U77="","",IF(VLOOKUP(U77,'G-3 Multipliers'!$L$3:$N$6,2,FALSE)=0,"Spatial Data Missing ⚠",VLOOKUP(U77,'G-3 Multipliers'!$L$3:$N$6,2,FALSE)))</f>
        <v/>
      </c>
      <c r="W77" s="505" t="str">
        <f>IF(U77="","",IF(VLOOKUP(U77,'G-3 Multipliers'!$L$3:$N$6,3,FALSE)=0,"Spatial Data Missing ⚠",VLOOKUP(U77,'G-3 Multipliers'!$L$3:$N$6,3,FALSE)))</f>
        <v/>
      </c>
      <c r="X77" s="498" t="str">
        <f>IFERROR(IF(OR(LEFT(O77,5)="Error ▲",LEFT(N77,5)="Error ▲",T77="Error ▲"),"Check Data ⚠",IF(F77&lt;R77,INDEX('G-6 Hedgerow Data'!$S$3:$AE$14,MATCH(C77,'G-6 Hedgerow Data'!$B$3:$B$14,0),MATCH(M77,'G-6 Hedgerow Data'!$S$2:$AE$2,0)),INDEX('G-6 Hedgerow Data'!$K$3:$Q$14,MATCH(M77,'G-6 Hedgerow Data'!$B$3:$B$14,0),MATCH(O77,'G-6 Hedgerow Data'!$K$2:$Q$2,0)))),"")</f>
        <v/>
      </c>
      <c r="Y77" s="195"/>
      <c r="Z77" s="195"/>
      <c r="AA77" s="507" t="str">
        <f t="shared" ref="AA77:AA140" si="11">IF(X77="Check Data ⚠","Check Data ⚠",IF(M77="","",IF(AND(Y77&gt;0,Z77&gt;0),"Error -both advance and delayed habitat creation ▲",IF(AND(OR(Y77="Habitat already in target condition",X77&lt;=Y77),Z77=0),"Check details - Is there evidence that habitat has reached target condition? ⚠",IF(X77="","",IF(Y77&gt;0,"Check details - Is there evidence habitat creation started/in place? ⚠",IF(Z77&gt;0,"Check details- Delay in starting habitat in required condition? ⚠","Standard time to target condition applied")))))))</f>
        <v/>
      </c>
      <c r="AB77" s="521" t="str">
        <f t="shared" ref="AB77:AB140" si="12">IF(X77="","",IF(AA77="Check Data ⚠","Check Data ⚠",IF(Y77="30+ ⚠",0,IF(Z77="30+","30+ ⚠",IF(X77+Z77&gt;30,"30+ ⚠",IF(LEFT(AA77,5)="Error ▲","Check Data ⚠",IF(X77+Z77-Y77&gt;0,X77+Z77-Y77,IF(X77-Y77&lt;=0,0,))))))))</f>
        <v/>
      </c>
      <c r="AC77" s="522" t="str">
        <f t="shared" si="9"/>
        <v/>
      </c>
      <c r="AD77" s="537" t="str">
        <f>IF(M77="","",VLOOKUP(M77,'G-6 Hedgerow Data'!$B$3:$AG$15,31,FALSE))</f>
        <v/>
      </c>
      <c r="AE77" s="520" t="str">
        <f t="shared" ref="AE77:AE140" si="13">IF(M77="","",IF(OR(LEFT(AA77,5)="Error ▲",AA77="Check Data ⚠"),"Check Data ⚠",IF(X77="","",IF($AA77="Check details - Is there evidence that habitat has reached target condition? ⚠","Low Difficulty - only applicable if all habitat created before losses ⚠","Standard difficulty applied"))))</f>
        <v/>
      </c>
      <c r="AF77" s="520" t="str">
        <f t="shared" ref="AF77:AF140" si="14">(IF(AND(AE77="Yes",X77&gt;Y77),AD77,IF(AND(AE77="Low Difficulty - only applicable if all habitat created before losses ⚠",Y77&gt;=X77),"Low",AD77)))</f>
        <v/>
      </c>
      <c r="AG77" s="524" t="str">
        <f>IFERROR(IF(O77="","",VLOOKUP(AD77,'G-3 Multipliers'!$P$3:$Q$6,2,FALSE)),"")</f>
        <v/>
      </c>
      <c r="AH77" s="197"/>
      <c r="AI77" s="499" t="str">
        <f>IF(AH77="","",IF(VLOOKUP(AH77,'G-3 Multipliers'!$S$3:$T$6,2,FALSE)=0,"Spatial Data Missing ⚠",VLOOKUP(AH77,'G-3 Multipliers'!$S$3:$T$6,2,FALSE)))</f>
        <v/>
      </c>
      <c r="AJ77" s="545" t="str">
        <f t="shared" ref="AJ77:AJ140" si="15">IFERROR(IF(OR(M77="",S77="",U77="",AH77=""),"",(((((P77*R77*T77)-(P77*F77*H77))*(AG77*AC77))+(P77*F77*H77))*(W77)*AI77)),"")</f>
        <v/>
      </c>
      <c r="AK77" s="149"/>
      <c r="AL77" s="150"/>
      <c r="AP77" s="31" t="str">
        <f>IFERROR(INDEX('G-6 Hedgerow Data'!$BJ$3:$BJ$15,MATCH(M77,'G-6 Hedgerow Data'!$B$3:$B$15,0)),"")</f>
        <v/>
      </c>
    </row>
    <row r="78" spans="2:42" ht="14" x14ac:dyDescent="0.3">
      <c r="B78" s="531" t="str">
        <f>'E-1 Off Site Hedge Baseline'!AK76</f>
        <v/>
      </c>
      <c r="C78" s="520" t="str">
        <f>IF(B78="","",IF(ISNA(VLOOKUP($B78,'E-1 Off Site Hedge Baseline'!$B$1:$L$257,3,FALSE)),"",(VLOOKUP($B78,'E-1 Off Site Hedge Baseline'!$B$1:$L$257,3,FALSE))))</f>
        <v/>
      </c>
      <c r="D78" s="520" t="str">
        <f>IF(B78="","",IF(ISNA(VLOOKUP($B78,'E-1 Off Site Hedge Baseline'!$B$1:$L$258,4,FALSE)),"",(VLOOKUP($B78,'E-1 Off Site Hedge Baseline'!$B$1:$L$258,4,FALSE))))</f>
        <v/>
      </c>
      <c r="E78" s="520" t="str">
        <f>IF(B78="","",IF(ISNA(VLOOKUP($B78,'E-1 Off Site Hedge Baseline'!$B$1:$L$257,5,FALSE)),"",(VLOOKUP($B78,'E-1 Off Site Hedge Baseline'!$B$1:$L$257,5,FALSE))))</f>
        <v/>
      </c>
      <c r="F78" s="520" t="str">
        <f>IF(B78="","",IF(ISNA(VLOOKUP($B78,'E-1 Off Site Hedge Baseline'!$B$1:$L$257,6,FALSE)),"",(VLOOKUP($B78,'E-1 Off Site Hedge Baseline'!$B$1:$L$257,6,FALSE))))</f>
        <v/>
      </c>
      <c r="G78" s="520" t="str">
        <f>IF(B78="","",IF(ISNA(VLOOKUP($B78,'E-1 Off Site Hedge Baseline'!$B$1:$L$257,7,FALSE)),"",(VLOOKUP($B78,'E-1 Off Site Hedge Baseline'!$B$1:$L$257,7,FALSE))))</f>
        <v/>
      </c>
      <c r="H78" s="520" t="str">
        <f>IF(B78="","",IF(ISNA(VLOOKUP($B78,'E-1 Off Site Hedge Baseline'!$B$1:$L$257,8,FALSE)),"",(VLOOKUP($B78,'E-1 Off Site Hedge Baseline'!$B$1:$L$257,8,FALSE))))</f>
        <v/>
      </c>
      <c r="I78" s="520" t="str">
        <f>IF(B78="","",IF(ISNA(VLOOKUP($B78,'E-1 Off Site Hedge Baseline'!$B$1:$L$257,10,FALSE)),"",(VLOOKUP($B78,'E-1 Off Site Hedge Baseline'!$B$1:$L$257,10,FALSE))))</f>
        <v/>
      </c>
      <c r="J78" s="520" t="str">
        <f>IF(B78="","",IF(ISNA(VLOOKUP($B78,'E-1 Off Site Hedge Baseline'!$B$1:$L$257,11,FALSE)),"",(VLOOKUP($B78,'E-1 Off Site Hedge Baseline'!$B$1:$L$257,11,FALSE))))</f>
        <v/>
      </c>
      <c r="K78" s="520" t="str">
        <f>IF(B78="","",IF(ISNA(VLOOKUP($B78,'E-1 Off Site Hedge Baseline'!$B$1:$U$257,113,FALSE)),"",(VLOOKUP($B78,'E-1 Off Site Hedge Baseline'!$B$1:$U$257,13,FALSE))))</f>
        <v/>
      </c>
      <c r="L78" s="507" t="str">
        <f>IF(B78="","",IF(ISNA(VLOOKUP($B78,'E-1 Off Site Hedge Baseline'!$B$1:$U$257,12,FALSE)),"",(VLOOKUP($B78,'E-1 Off Site Hedge Baseline'!$B$1:$U$257,12,FALSE))))</f>
        <v/>
      </c>
      <c r="M78" s="418" t="str">
        <f t="shared" ref="M78:M141" si="16">C78</f>
        <v/>
      </c>
      <c r="N78" s="498" t="str">
        <f>IFERROR(IF(B78="","",INDEX('G-6 Hedgerow Data'!$AN$3:$AZ$15,MATCH(C78,'G-6 Hedgerow Data'!$AM$3:$AM$15,0),MATCH(M78,'G-6 Hedgerow Data'!$AN$2:$AZ$2,0))),"")</f>
        <v/>
      </c>
      <c r="O78" s="499" t="str">
        <f t="shared" si="10"/>
        <v/>
      </c>
      <c r="P78" s="505" t="str">
        <f>IF(B78="","",VLOOKUP(B78,'E-1 Off Site Hedge Baseline'!$B$10:T323,16,FALSE))</f>
        <v/>
      </c>
      <c r="Q78" s="498" t="str">
        <f>IF(M78="","",VLOOKUP(M78,'G-6 Hedgerow Data'!$B$2:$AG$15,2,FALSE))</f>
        <v/>
      </c>
      <c r="R78" s="499" t="str">
        <f>IF(M78="","",VLOOKUP(M78,'G-6 Hedgerow Data'!$B$2:$AG$15,3,FALSE))</f>
        <v/>
      </c>
      <c r="S78" s="145"/>
      <c r="T78" s="499" t="str">
        <f>IFERROR(IF(AND(Q78="V.Low",OR(S78="Good",S78="Moderate")),"Error ▲",VLOOKUP(S78,'G-1 All Habitats'!$Z$2:$AA$9,2,FALSE)),"")</f>
        <v/>
      </c>
      <c r="U78" s="145"/>
      <c r="V78" s="507" t="str">
        <f>IF(U78="","",IF(VLOOKUP(U78,'G-3 Multipliers'!$L$3:$N$6,2,FALSE)=0,"Spatial Data Missing ⚠",VLOOKUP(U78,'G-3 Multipliers'!$L$3:$N$6,2,FALSE)))</f>
        <v/>
      </c>
      <c r="W78" s="505" t="str">
        <f>IF(U78="","",IF(VLOOKUP(U78,'G-3 Multipliers'!$L$3:$N$6,3,FALSE)=0,"Spatial Data Missing ⚠",VLOOKUP(U78,'G-3 Multipliers'!$L$3:$N$6,3,FALSE)))</f>
        <v/>
      </c>
      <c r="X78" s="498" t="str">
        <f>IFERROR(IF(OR(LEFT(O78,5)="Error ▲",LEFT(N78,5)="Error ▲",T78="Error ▲"),"Check Data ⚠",IF(F78&lt;R78,INDEX('G-6 Hedgerow Data'!$S$3:$AE$14,MATCH(C78,'G-6 Hedgerow Data'!$B$3:$B$14,0),MATCH(M78,'G-6 Hedgerow Data'!$S$2:$AE$2,0)),INDEX('G-6 Hedgerow Data'!$K$3:$Q$14,MATCH(M78,'G-6 Hedgerow Data'!$B$3:$B$14,0),MATCH(O78,'G-6 Hedgerow Data'!$K$2:$Q$2,0)))),"")</f>
        <v/>
      </c>
      <c r="Y78" s="195"/>
      <c r="Z78" s="195"/>
      <c r="AA78" s="507" t="str">
        <f t="shared" si="11"/>
        <v/>
      </c>
      <c r="AB78" s="521" t="str">
        <f t="shared" si="12"/>
        <v/>
      </c>
      <c r="AC78" s="522" t="str">
        <f t="shared" si="9"/>
        <v/>
      </c>
      <c r="AD78" s="537" t="str">
        <f>IF(M78="","",VLOOKUP(M78,'G-6 Hedgerow Data'!$B$3:$AG$15,31,FALSE))</f>
        <v/>
      </c>
      <c r="AE78" s="520" t="str">
        <f t="shared" si="13"/>
        <v/>
      </c>
      <c r="AF78" s="520" t="str">
        <f t="shared" si="14"/>
        <v/>
      </c>
      <c r="AG78" s="524" t="str">
        <f>IFERROR(IF(O78="","",VLOOKUP(AD78,'G-3 Multipliers'!$P$3:$Q$6,2,FALSE)),"")</f>
        <v/>
      </c>
      <c r="AH78" s="197"/>
      <c r="AI78" s="499" t="str">
        <f>IF(AH78="","",IF(VLOOKUP(AH78,'G-3 Multipliers'!$S$3:$T$6,2,FALSE)=0,"Spatial Data Missing ⚠",VLOOKUP(AH78,'G-3 Multipliers'!$S$3:$T$6,2,FALSE)))</f>
        <v/>
      </c>
      <c r="AJ78" s="545" t="str">
        <f t="shared" si="15"/>
        <v/>
      </c>
      <c r="AK78" s="149"/>
      <c r="AL78" s="150"/>
      <c r="AP78" s="31" t="str">
        <f>IFERROR(INDEX('G-6 Hedgerow Data'!$BJ$3:$BJ$15,MATCH(M78,'G-6 Hedgerow Data'!$B$3:$B$15,0)),"")</f>
        <v/>
      </c>
    </row>
    <row r="79" spans="2:42" ht="14" x14ac:dyDescent="0.3">
      <c r="B79" s="531" t="str">
        <f>'E-1 Off Site Hedge Baseline'!AK77</f>
        <v/>
      </c>
      <c r="C79" s="520" t="str">
        <f>IF(B79="","",IF(ISNA(VLOOKUP($B79,'E-1 Off Site Hedge Baseline'!$B$1:$L$257,3,FALSE)),"",(VLOOKUP($B79,'E-1 Off Site Hedge Baseline'!$B$1:$L$257,3,FALSE))))</f>
        <v/>
      </c>
      <c r="D79" s="520" t="str">
        <f>IF(B79="","",IF(ISNA(VLOOKUP($B79,'E-1 Off Site Hedge Baseline'!$B$1:$L$258,4,FALSE)),"",(VLOOKUP($B79,'E-1 Off Site Hedge Baseline'!$B$1:$L$258,4,FALSE))))</f>
        <v/>
      </c>
      <c r="E79" s="520" t="str">
        <f>IF(B79="","",IF(ISNA(VLOOKUP($B79,'E-1 Off Site Hedge Baseline'!$B$1:$L$257,5,FALSE)),"",(VLOOKUP($B79,'E-1 Off Site Hedge Baseline'!$B$1:$L$257,5,FALSE))))</f>
        <v/>
      </c>
      <c r="F79" s="520" t="str">
        <f>IF(B79="","",IF(ISNA(VLOOKUP($B79,'E-1 Off Site Hedge Baseline'!$B$1:$L$257,6,FALSE)),"",(VLOOKUP($B79,'E-1 Off Site Hedge Baseline'!$B$1:$L$257,6,FALSE))))</f>
        <v/>
      </c>
      <c r="G79" s="520" t="str">
        <f>IF(B79="","",IF(ISNA(VLOOKUP($B79,'E-1 Off Site Hedge Baseline'!$B$1:$L$257,7,FALSE)),"",(VLOOKUP($B79,'E-1 Off Site Hedge Baseline'!$B$1:$L$257,7,FALSE))))</f>
        <v/>
      </c>
      <c r="H79" s="520" t="str">
        <f>IF(B79="","",IF(ISNA(VLOOKUP($B79,'E-1 Off Site Hedge Baseline'!$B$1:$L$257,8,FALSE)),"",(VLOOKUP($B79,'E-1 Off Site Hedge Baseline'!$B$1:$L$257,8,FALSE))))</f>
        <v/>
      </c>
      <c r="I79" s="520" t="str">
        <f>IF(B79="","",IF(ISNA(VLOOKUP($B79,'E-1 Off Site Hedge Baseline'!$B$1:$L$257,10,FALSE)),"",(VLOOKUP($B79,'E-1 Off Site Hedge Baseline'!$B$1:$L$257,10,FALSE))))</f>
        <v/>
      </c>
      <c r="J79" s="520" t="str">
        <f>IF(B79="","",IF(ISNA(VLOOKUP($B79,'E-1 Off Site Hedge Baseline'!$B$1:$L$257,11,FALSE)),"",(VLOOKUP($B79,'E-1 Off Site Hedge Baseline'!$B$1:$L$257,11,FALSE))))</f>
        <v/>
      </c>
      <c r="K79" s="520" t="str">
        <f>IF(B79="","",IF(ISNA(VLOOKUP($B79,'E-1 Off Site Hedge Baseline'!$B$1:$U$257,113,FALSE)),"",(VLOOKUP($B79,'E-1 Off Site Hedge Baseline'!$B$1:$U$257,13,FALSE))))</f>
        <v/>
      </c>
      <c r="L79" s="507" t="str">
        <f>IF(B79="","",IF(ISNA(VLOOKUP($B79,'E-1 Off Site Hedge Baseline'!$B$1:$U$257,12,FALSE)),"",(VLOOKUP($B79,'E-1 Off Site Hedge Baseline'!$B$1:$U$257,12,FALSE))))</f>
        <v/>
      </c>
      <c r="M79" s="418" t="str">
        <f t="shared" si="16"/>
        <v/>
      </c>
      <c r="N79" s="498" t="str">
        <f>IFERROR(IF(B79="","",INDEX('G-6 Hedgerow Data'!$AN$3:$AZ$15,MATCH(C79,'G-6 Hedgerow Data'!$AM$3:$AM$15,0),MATCH(M79,'G-6 Hedgerow Data'!$AN$2:$AZ$2,0))),"")</f>
        <v/>
      </c>
      <c r="O79" s="499" t="str">
        <f t="shared" si="10"/>
        <v/>
      </c>
      <c r="P79" s="505" t="str">
        <f>IF(B79="","",VLOOKUP(B79,'E-1 Off Site Hedge Baseline'!$B$10:T324,16,FALSE))</f>
        <v/>
      </c>
      <c r="Q79" s="498" t="str">
        <f>IF(M79="","",VLOOKUP(M79,'G-6 Hedgerow Data'!$B$2:$AG$15,2,FALSE))</f>
        <v/>
      </c>
      <c r="R79" s="499" t="str">
        <f>IF(M79="","",VLOOKUP(M79,'G-6 Hedgerow Data'!$B$2:$AG$15,3,FALSE))</f>
        <v/>
      </c>
      <c r="S79" s="145"/>
      <c r="T79" s="499" t="str">
        <f>IFERROR(IF(AND(Q79="V.Low",OR(S79="Good",S79="Moderate")),"Error ▲",VLOOKUP(S79,'G-1 All Habitats'!$Z$2:$AA$9,2,FALSE)),"")</f>
        <v/>
      </c>
      <c r="U79" s="145"/>
      <c r="V79" s="507" t="str">
        <f>IF(U79="","",IF(VLOOKUP(U79,'G-3 Multipliers'!$L$3:$N$6,2,FALSE)=0,"Spatial Data Missing ⚠",VLOOKUP(U79,'G-3 Multipliers'!$L$3:$N$6,2,FALSE)))</f>
        <v/>
      </c>
      <c r="W79" s="505" t="str">
        <f>IF(U79="","",IF(VLOOKUP(U79,'G-3 Multipliers'!$L$3:$N$6,3,FALSE)=0,"Spatial Data Missing ⚠",VLOOKUP(U79,'G-3 Multipliers'!$L$3:$N$6,3,FALSE)))</f>
        <v/>
      </c>
      <c r="X79" s="498" t="str">
        <f>IFERROR(IF(OR(LEFT(O79,5)="Error ▲",LEFT(N79,5)="Error ▲",T79="Error ▲"),"Check Data ⚠",IF(F79&lt;R79,INDEX('G-6 Hedgerow Data'!$S$3:$AE$14,MATCH(C79,'G-6 Hedgerow Data'!$B$3:$B$14,0),MATCH(M79,'G-6 Hedgerow Data'!$S$2:$AE$2,0)),INDEX('G-6 Hedgerow Data'!$K$3:$Q$14,MATCH(M79,'G-6 Hedgerow Data'!$B$3:$B$14,0),MATCH(O79,'G-6 Hedgerow Data'!$K$2:$Q$2,0)))),"")</f>
        <v/>
      </c>
      <c r="Y79" s="195"/>
      <c r="Z79" s="195"/>
      <c r="AA79" s="507" t="str">
        <f t="shared" si="11"/>
        <v/>
      </c>
      <c r="AB79" s="521" t="str">
        <f t="shared" si="12"/>
        <v/>
      </c>
      <c r="AC79" s="522" t="str">
        <f t="shared" si="9"/>
        <v/>
      </c>
      <c r="AD79" s="537" t="str">
        <f>IF(M79="","",VLOOKUP(M79,'G-6 Hedgerow Data'!$B$3:$AG$15,31,FALSE))</f>
        <v/>
      </c>
      <c r="AE79" s="520" t="str">
        <f t="shared" si="13"/>
        <v/>
      </c>
      <c r="AF79" s="520" t="str">
        <f t="shared" si="14"/>
        <v/>
      </c>
      <c r="AG79" s="524" t="str">
        <f>IFERROR(IF(O79="","",VLOOKUP(AD79,'G-3 Multipliers'!$P$3:$Q$6,2,FALSE)),"")</f>
        <v/>
      </c>
      <c r="AH79" s="197"/>
      <c r="AI79" s="499" t="str">
        <f>IF(AH79="","",IF(VLOOKUP(AH79,'G-3 Multipliers'!$S$3:$T$6,2,FALSE)=0,"Spatial Data Missing ⚠",VLOOKUP(AH79,'G-3 Multipliers'!$S$3:$T$6,2,FALSE)))</f>
        <v/>
      </c>
      <c r="AJ79" s="545" t="str">
        <f t="shared" si="15"/>
        <v/>
      </c>
      <c r="AK79" s="149"/>
      <c r="AL79" s="150"/>
      <c r="AP79" s="31" t="str">
        <f>IFERROR(INDEX('G-6 Hedgerow Data'!$BJ$3:$BJ$15,MATCH(M79,'G-6 Hedgerow Data'!$B$3:$B$15,0)),"")</f>
        <v/>
      </c>
    </row>
    <row r="80" spans="2:42" ht="14" x14ac:dyDescent="0.3">
      <c r="B80" s="531" t="str">
        <f>'E-1 Off Site Hedge Baseline'!AK78</f>
        <v/>
      </c>
      <c r="C80" s="520" t="str">
        <f>IF(B80="","",IF(ISNA(VLOOKUP($B80,'E-1 Off Site Hedge Baseline'!$B$1:$L$257,3,FALSE)),"",(VLOOKUP($B80,'E-1 Off Site Hedge Baseline'!$B$1:$L$257,3,FALSE))))</f>
        <v/>
      </c>
      <c r="D80" s="520" t="str">
        <f>IF(B80="","",IF(ISNA(VLOOKUP($B80,'E-1 Off Site Hedge Baseline'!$B$1:$L$258,4,FALSE)),"",(VLOOKUP($B80,'E-1 Off Site Hedge Baseline'!$B$1:$L$258,4,FALSE))))</f>
        <v/>
      </c>
      <c r="E80" s="520" t="str">
        <f>IF(B80="","",IF(ISNA(VLOOKUP($B80,'E-1 Off Site Hedge Baseline'!$B$1:$L$257,5,FALSE)),"",(VLOOKUP($B80,'E-1 Off Site Hedge Baseline'!$B$1:$L$257,5,FALSE))))</f>
        <v/>
      </c>
      <c r="F80" s="520" t="str">
        <f>IF(B80="","",IF(ISNA(VLOOKUP($B80,'E-1 Off Site Hedge Baseline'!$B$1:$L$257,6,FALSE)),"",(VLOOKUP($B80,'E-1 Off Site Hedge Baseline'!$B$1:$L$257,6,FALSE))))</f>
        <v/>
      </c>
      <c r="G80" s="520" t="str">
        <f>IF(B80="","",IF(ISNA(VLOOKUP($B80,'E-1 Off Site Hedge Baseline'!$B$1:$L$257,7,FALSE)),"",(VLOOKUP($B80,'E-1 Off Site Hedge Baseline'!$B$1:$L$257,7,FALSE))))</f>
        <v/>
      </c>
      <c r="H80" s="520" t="str">
        <f>IF(B80="","",IF(ISNA(VLOOKUP($B80,'E-1 Off Site Hedge Baseline'!$B$1:$L$257,8,FALSE)),"",(VLOOKUP($B80,'E-1 Off Site Hedge Baseline'!$B$1:$L$257,8,FALSE))))</f>
        <v/>
      </c>
      <c r="I80" s="520" t="str">
        <f>IF(B80="","",IF(ISNA(VLOOKUP($B80,'E-1 Off Site Hedge Baseline'!$B$1:$L$257,10,FALSE)),"",(VLOOKUP($B80,'E-1 Off Site Hedge Baseline'!$B$1:$L$257,10,FALSE))))</f>
        <v/>
      </c>
      <c r="J80" s="520" t="str">
        <f>IF(B80="","",IF(ISNA(VLOOKUP($B80,'E-1 Off Site Hedge Baseline'!$B$1:$L$257,11,FALSE)),"",(VLOOKUP($B80,'E-1 Off Site Hedge Baseline'!$B$1:$L$257,11,FALSE))))</f>
        <v/>
      </c>
      <c r="K80" s="520" t="str">
        <f>IF(B80="","",IF(ISNA(VLOOKUP($B80,'E-1 Off Site Hedge Baseline'!$B$1:$U$257,113,FALSE)),"",(VLOOKUP($B80,'E-1 Off Site Hedge Baseline'!$B$1:$U$257,13,FALSE))))</f>
        <v/>
      </c>
      <c r="L80" s="507" t="str">
        <f>IF(B80="","",IF(ISNA(VLOOKUP($B80,'E-1 Off Site Hedge Baseline'!$B$1:$U$257,12,FALSE)),"",(VLOOKUP($B80,'E-1 Off Site Hedge Baseline'!$B$1:$U$257,12,FALSE))))</f>
        <v/>
      </c>
      <c r="M80" s="418" t="str">
        <f t="shared" si="16"/>
        <v/>
      </c>
      <c r="N80" s="498" t="str">
        <f>IFERROR(IF(B80="","",INDEX('G-6 Hedgerow Data'!$AN$3:$AZ$15,MATCH(C80,'G-6 Hedgerow Data'!$AM$3:$AM$15,0),MATCH(M80,'G-6 Hedgerow Data'!$AN$2:$AZ$2,0))),"")</f>
        <v/>
      </c>
      <c r="O80" s="499" t="str">
        <f t="shared" si="10"/>
        <v/>
      </c>
      <c r="P80" s="505" t="str">
        <f>IF(B80="","",VLOOKUP(B80,'E-1 Off Site Hedge Baseline'!$B$10:T325,16,FALSE))</f>
        <v/>
      </c>
      <c r="Q80" s="498" t="str">
        <f>IF(M80="","",VLOOKUP(M80,'G-6 Hedgerow Data'!$B$2:$AG$15,2,FALSE))</f>
        <v/>
      </c>
      <c r="R80" s="499" t="str">
        <f>IF(M80="","",VLOOKUP(M80,'G-6 Hedgerow Data'!$B$2:$AG$15,3,FALSE))</f>
        <v/>
      </c>
      <c r="S80" s="145"/>
      <c r="T80" s="499" t="str">
        <f>IFERROR(IF(AND(Q80="V.Low",OR(S80="Good",S80="Moderate")),"Error ▲",VLOOKUP(S80,'G-1 All Habitats'!$Z$2:$AA$9,2,FALSE)),"")</f>
        <v/>
      </c>
      <c r="U80" s="145"/>
      <c r="V80" s="507" t="str">
        <f>IF(U80="","",IF(VLOOKUP(U80,'G-3 Multipliers'!$L$3:$N$6,2,FALSE)=0,"Spatial Data Missing ⚠",VLOOKUP(U80,'G-3 Multipliers'!$L$3:$N$6,2,FALSE)))</f>
        <v/>
      </c>
      <c r="W80" s="505" t="str">
        <f>IF(U80="","",IF(VLOOKUP(U80,'G-3 Multipliers'!$L$3:$N$6,3,FALSE)=0,"Spatial Data Missing ⚠",VLOOKUP(U80,'G-3 Multipliers'!$L$3:$N$6,3,FALSE)))</f>
        <v/>
      </c>
      <c r="X80" s="498" t="str">
        <f>IFERROR(IF(OR(LEFT(O80,5)="Error ▲",LEFT(N80,5)="Error ▲",T80="Error ▲"),"Check Data ⚠",IF(F80&lt;R80,INDEX('G-6 Hedgerow Data'!$S$3:$AE$14,MATCH(C80,'G-6 Hedgerow Data'!$B$3:$B$14,0),MATCH(M80,'G-6 Hedgerow Data'!$S$2:$AE$2,0)),INDEX('G-6 Hedgerow Data'!$K$3:$Q$14,MATCH(M80,'G-6 Hedgerow Data'!$B$3:$B$14,0),MATCH(O80,'G-6 Hedgerow Data'!$K$2:$Q$2,0)))),"")</f>
        <v/>
      </c>
      <c r="Y80" s="195"/>
      <c r="Z80" s="195"/>
      <c r="AA80" s="507" t="str">
        <f t="shared" si="11"/>
        <v/>
      </c>
      <c r="AB80" s="521" t="str">
        <f t="shared" si="12"/>
        <v/>
      </c>
      <c r="AC80" s="522" t="str">
        <f t="shared" si="9"/>
        <v/>
      </c>
      <c r="AD80" s="537" t="str">
        <f>IF(M80="","",VLOOKUP(M80,'G-6 Hedgerow Data'!$B$3:$AG$15,31,FALSE))</f>
        <v/>
      </c>
      <c r="AE80" s="520" t="str">
        <f t="shared" si="13"/>
        <v/>
      </c>
      <c r="AF80" s="520" t="str">
        <f t="shared" si="14"/>
        <v/>
      </c>
      <c r="AG80" s="524" t="str">
        <f>IFERROR(IF(O80="","",VLOOKUP(AD80,'G-3 Multipliers'!$P$3:$Q$6,2,FALSE)),"")</f>
        <v/>
      </c>
      <c r="AH80" s="197"/>
      <c r="AI80" s="499" t="str">
        <f>IF(AH80="","",IF(VLOOKUP(AH80,'G-3 Multipliers'!$S$3:$T$6,2,FALSE)=0,"Spatial Data Missing ⚠",VLOOKUP(AH80,'G-3 Multipliers'!$S$3:$T$6,2,FALSE)))</f>
        <v/>
      </c>
      <c r="AJ80" s="545" t="str">
        <f t="shared" si="15"/>
        <v/>
      </c>
      <c r="AK80" s="149"/>
      <c r="AL80" s="150"/>
      <c r="AP80" s="31" t="str">
        <f>IFERROR(INDEX('G-6 Hedgerow Data'!$BJ$3:$BJ$15,MATCH(M80,'G-6 Hedgerow Data'!$B$3:$B$15,0)),"")</f>
        <v/>
      </c>
    </row>
    <row r="81" spans="2:42" ht="14" x14ac:dyDescent="0.3">
      <c r="B81" s="531" t="str">
        <f>'E-1 Off Site Hedge Baseline'!AK79</f>
        <v/>
      </c>
      <c r="C81" s="520" t="str">
        <f>IF(B81="","",IF(ISNA(VLOOKUP($B81,'E-1 Off Site Hedge Baseline'!$B$1:$L$257,3,FALSE)),"",(VLOOKUP($B81,'E-1 Off Site Hedge Baseline'!$B$1:$L$257,3,FALSE))))</f>
        <v/>
      </c>
      <c r="D81" s="520" t="str">
        <f>IF(B81="","",IF(ISNA(VLOOKUP($B81,'E-1 Off Site Hedge Baseline'!$B$1:$L$258,4,FALSE)),"",(VLOOKUP($B81,'E-1 Off Site Hedge Baseline'!$B$1:$L$258,4,FALSE))))</f>
        <v/>
      </c>
      <c r="E81" s="520" t="str">
        <f>IF(B81="","",IF(ISNA(VLOOKUP($B81,'E-1 Off Site Hedge Baseline'!$B$1:$L$257,5,FALSE)),"",(VLOOKUP($B81,'E-1 Off Site Hedge Baseline'!$B$1:$L$257,5,FALSE))))</f>
        <v/>
      </c>
      <c r="F81" s="520" t="str">
        <f>IF(B81="","",IF(ISNA(VLOOKUP($B81,'E-1 Off Site Hedge Baseline'!$B$1:$L$257,6,FALSE)),"",(VLOOKUP($B81,'E-1 Off Site Hedge Baseline'!$B$1:$L$257,6,FALSE))))</f>
        <v/>
      </c>
      <c r="G81" s="520" t="str">
        <f>IF(B81="","",IF(ISNA(VLOOKUP($B81,'E-1 Off Site Hedge Baseline'!$B$1:$L$257,7,FALSE)),"",(VLOOKUP($B81,'E-1 Off Site Hedge Baseline'!$B$1:$L$257,7,FALSE))))</f>
        <v/>
      </c>
      <c r="H81" s="520" t="str">
        <f>IF(B81="","",IF(ISNA(VLOOKUP($B81,'E-1 Off Site Hedge Baseline'!$B$1:$L$257,8,FALSE)),"",(VLOOKUP($B81,'E-1 Off Site Hedge Baseline'!$B$1:$L$257,8,FALSE))))</f>
        <v/>
      </c>
      <c r="I81" s="520" t="str">
        <f>IF(B81="","",IF(ISNA(VLOOKUP($B81,'E-1 Off Site Hedge Baseline'!$B$1:$L$257,10,FALSE)),"",(VLOOKUP($B81,'E-1 Off Site Hedge Baseline'!$B$1:$L$257,10,FALSE))))</f>
        <v/>
      </c>
      <c r="J81" s="520" t="str">
        <f>IF(B81="","",IF(ISNA(VLOOKUP($B81,'E-1 Off Site Hedge Baseline'!$B$1:$L$257,11,FALSE)),"",(VLOOKUP($B81,'E-1 Off Site Hedge Baseline'!$B$1:$L$257,11,FALSE))))</f>
        <v/>
      </c>
      <c r="K81" s="520" t="str">
        <f>IF(B81="","",IF(ISNA(VLOOKUP($B81,'E-1 Off Site Hedge Baseline'!$B$1:$U$257,113,FALSE)),"",(VLOOKUP($B81,'E-1 Off Site Hedge Baseline'!$B$1:$U$257,13,FALSE))))</f>
        <v/>
      </c>
      <c r="L81" s="507" t="str">
        <f>IF(B81="","",IF(ISNA(VLOOKUP($B81,'E-1 Off Site Hedge Baseline'!$B$1:$U$257,12,FALSE)),"",(VLOOKUP($B81,'E-1 Off Site Hedge Baseline'!$B$1:$U$257,12,FALSE))))</f>
        <v/>
      </c>
      <c r="M81" s="418" t="str">
        <f t="shared" si="16"/>
        <v/>
      </c>
      <c r="N81" s="498" t="str">
        <f>IFERROR(IF(B81="","",INDEX('G-6 Hedgerow Data'!$AN$3:$AZ$15,MATCH(C81,'G-6 Hedgerow Data'!$AM$3:$AM$15,0),MATCH(M81,'G-6 Hedgerow Data'!$AN$2:$AZ$2,0))),"")</f>
        <v/>
      </c>
      <c r="O81" s="499" t="str">
        <f t="shared" si="10"/>
        <v/>
      </c>
      <c r="P81" s="505" t="str">
        <f>IF(B81="","",VLOOKUP(B81,'E-1 Off Site Hedge Baseline'!$B$10:T326,16,FALSE))</f>
        <v/>
      </c>
      <c r="Q81" s="498" t="str">
        <f>IF(M81="","",VLOOKUP(M81,'G-6 Hedgerow Data'!$B$2:$AG$15,2,FALSE))</f>
        <v/>
      </c>
      <c r="R81" s="499" t="str">
        <f>IF(M81="","",VLOOKUP(M81,'G-6 Hedgerow Data'!$B$2:$AG$15,3,FALSE))</f>
        <v/>
      </c>
      <c r="S81" s="145"/>
      <c r="T81" s="499" t="str">
        <f>IFERROR(IF(AND(Q81="V.Low",OR(S81="Good",S81="Moderate")),"Error ▲",VLOOKUP(S81,'G-1 All Habitats'!$Z$2:$AA$9,2,FALSE)),"")</f>
        <v/>
      </c>
      <c r="U81" s="145"/>
      <c r="V81" s="507" t="str">
        <f>IF(U81="","",IF(VLOOKUP(U81,'G-3 Multipliers'!$L$3:$N$6,2,FALSE)=0,"Spatial Data Missing ⚠",VLOOKUP(U81,'G-3 Multipliers'!$L$3:$N$6,2,FALSE)))</f>
        <v/>
      </c>
      <c r="W81" s="505" t="str">
        <f>IF(U81="","",IF(VLOOKUP(U81,'G-3 Multipliers'!$L$3:$N$6,3,FALSE)=0,"Spatial Data Missing ⚠",VLOOKUP(U81,'G-3 Multipliers'!$L$3:$N$6,3,FALSE)))</f>
        <v/>
      </c>
      <c r="X81" s="498" t="str">
        <f>IFERROR(IF(OR(LEFT(O81,5)="Error ▲",LEFT(N81,5)="Error ▲",T81="Error ▲"),"Check Data ⚠",IF(F81&lt;R81,INDEX('G-6 Hedgerow Data'!$S$3:$AE$14,MATCH(C81,'G-6 Hedgerow Data'!$B$3:$B$14,0),MATCH(M81,'G-6 Hedgerow Data'!$S$2:$AE$2,0)),INDEX('G-6 Hedgerow Data'!$K$3:$Q$14,MATCH(M81,'G-6 Hedgerow Data'!$B$3:$B$14,0),MATCH(O81,'G-6 Hedgerow Data'!$K$2:$Q$2,0)))),"")</f>
        <v/>
      </c>
      <c r="Y81" s="195"/>
      <c r="Z81" s="195"/>
      <c r="AA81" s="507" t="str">
        <f t="shared" si="11"/>
        <v/>
      </c>
      <c r="AB81" s="521" t="str">
        <f t="shared" si="12"/>
        <v/>
      </c>
      <c r="AC81" s="522" t="str">
        <f t="shared" si="9"/>
        <v/>
      </c>
      <c r="AD81" s="537" t="str">
        <f>IF(M81="","",VLOOKUP(M81,'G-6 Hedgerow Data'!$B$3:$AG$15,31,FALSE))</f>
        <v/>
      </c>
      <c r="AE81" s="520" t="str">
        <f t="shared" si="13"/>
        <v/>
      </c>
      <c r="AF81" s="520" t="str">
        <f t="shared" si="14"/>
        <v/>
      </c>
      <c r="AG81" s="524" t="str">
        <f>IFERROR(IF(O81="","",VLOOKUP(AD81,'G-3 Multipliers'!$P$3:$Q$6,2,FALSE)),"")</f>
        <v/>
      </c>
      <c r="AH81" s="197"/>
      <c r="AI81" s="499" t="str">
        <f>IF(AH81="","",IF(VLOOKUP(AH81,'G-3 Multipliers'!$S$3:$T$6,2,FALSE)=0,"Spatial Data Missing ⚠",VLOOKUP(AH81,'G-3 Multipliers'!$S$3:$T$6,2,FALSE)))</f>
        <v/>
      </c>
      <c r="AJ81" s="545" t="str">
        <f t="shared" si="15"/>
        <v/>
      </c>
      <c r="AK81" s="149"/>
      <c r="AL81" s="150"/>
      <c r="AP81" s="31" t="str">
        <f>IFERROR(INDEX('G-6 Hedgerow Data'!$BJ$3:$BJ$15,MATCH(M81,'G-6 Hedgerow Data'!$B$3:$B$15,0)),"")</f>
        <v/>
      </c>
    </row>
    <row r="82" spans="2:42" ht="14" x14ac:dyDescent="0.3">
      <c r="B82" s="531" t="str">
        <f>'E-1 Off Site Hedge Baseline'!AK80</f>
        <v/>
      </c>
      <c r="C82" s="520" t="str">
        <f>IF(B82="","",IF(ISNA(VLOOKUP($B82,'E-1 Off Site Hedge Baseline'!$B$1:$L$257,3,FALSE)),"",(VLOOKUP($B82,'E-1 Off Site Hedge Baseline'!$B$1:$L$257,3,FALSE))))</f>
        <v/>
      </c>
      <c r="D82" s="520" t="str">
        <f>IF(B82="","",IF(ISNA(VLOOKUP($B82,'E-1 Off Site Hedge Baseline'!$B$1:$L$258,4,FALSE)),"",(VLOOKUP($B82,'E-1 Off Site Hedge Baseline'!$B$1:$L$258,4,FALSE))))</f>
        <v/>
      </c>
      <c r="E82" s="520" t="str">
        <f>IF(B82="","",IF(ISNA(VLOOKUP($B82,'E-1 Off Site Hedge Baseline'!$B$1:$L$257,5,FALSE)),"",(VLOOKUP($B82,'E-1 Off Site Hedge Baseline'!$B$1:$L$257,5,FALSE))))</f>
        <v/>
      </c>
      <c r="F82" s="520" t="str">
        <f>IF(B82="","",IF(ISNA(VLOOKUP($B82,'E-1 Off Site Hedge Baseline'!$B$1:$L$257,6,FALSE)),"",(VLOOKUP($B82,'E-1 Off Site Hedge Baseline'!$B$1:$L$257,6,FALSE))))</f>
        <v/>
      </c>
      <c r="G82" s="520" t="str">
        <f>IF(B82="","",IF(ISNA(VLOOKUP($B82,'E-1 Off Site Hedge Baseline'!$B$1:$L$257,7,FALSE)),"",(VLOOKUP($B82,'E-1 Off Site Hedge Baseline'!$B$1:$L$257,7,FALSE))))</f>
        <v/>
      </c>
      <c r="H82" s="520" t="str">
        <f>IF(B82="","",IF(ISNA(VLOOKUP($B82,'E-1 Off Site Hedge Baseline'!$B$1:$L$257,8,FALSE)),"",(VLOOKUP($B82,'E-1 Off Site Hedge Baseline'!$B$1:$L$257,8,FALSE))))</f>
        <v/>
      </c>
      <c r="I82" s="520" t="str">
        <f>IF(B82="","",IF(ISNA(VLOOKUP($B82,'E-1 Off Site Hedge Baseline'!$B$1:$L$257,10,FALSE)),"",(VLOOKUP($B82,'E-1 Off Site Hedge Baseline'!$B$1:$L$257,10,FALSE))))</f>
        <v/>
      </c>
      <c r="J82" s="520" t="str">
        <f>IF(B82="","",IF(ISNA(VLOOKUP($B82,'E-1 Off Site Hedge Baseline'!$B$1:$L$257,11,FALSE)),"",(VLOOKUP($B82,'E-1 Off Site Hedge Baseline'!$B$1:$L$257,11,FALSE))))</f>
        <v/>
      </c>
      <c r="K82" s="520" t="str">
        <f>IF(B82="","",IF(ISNA(VLOOKUP($B82,'E-1 Off Site Hedge Baseline'!$B$1:$U$257,113,FALSE)),"",(VLOOKUP($B82,'E-1 Off Site Hedge Baseline'!$B$1:$U$257,13,FALSE))))</f>
        <v/>
      </c>
      <c r="L82" s="507" t="str">
        <f>IF(B82="","",IF(ISNA(VLOOKUP($B82,'E-1 Off Site Hedge Baseline'!$B$1:$U$257,12,FALSE)),"",(VLOOKUP($B82,'E-1 Off Site Hedge Baseline'!$B$1:$U$257,12,FALSE))))</f>
        <v/>
      </c>
      <c r="M82" s="418" t="str">
        <f t="shared" si="16"/>
        <v/>
      </c>
      <c r="N82" s="498" t="str">
        <f>IFERROR(IF(B82="","",INDEX('G-6 Hedgerow Data'!$AN$3:$AZ$15,MATCH(C82,'G-6 Hedgerow Data'!$AM$3:$AM$15,0),MATCH(M82,'G-6 Hedgerow Data'!$AN$2:$AZ$2,0))),"")</f>
        <v/>
      </c>
      <c r="O82" s="499" t="str">
        <f t="shared" si="10"/>
        <v/>
      </c>
      <c r="P82" s="505" t="str">
        <f>IF(B82="","",VLOOKUP(B82,'E-1 Off Site Hedge Baseline'!$B$10:T327,16,FALSE))</f>
        <v/>
      </c>
      <c r="Q82" s="498" t="str">
        <f>IF(M82="","",VLOOKUP(M82,'G-6 Hedgerow Data'!$B$2:$AG$15,2,FALSE))</f>
        <v/>
      </c>
      <c r="R82" s="499" t="str">
        <f>IF(M82="","",VLOOKUP(M82,'G-6 Hedgerow Data'!$B$2:$AG$15,3,FALSE))</f>
        <v/>
      </c>
      <c r="S82" s="145"/>
      <c r="T82" s="499" t="str">
        <f>IFERROR(IF(AND(Q82="V.Low",OR(S82="Good",S82="Moderate")),"Error ▲",VLOOKUP(S82,'G-1 All Habitats'!$Z$2:$AA$9,2,FALSE)),"")</f>
        <v/>
      </c>
      <c r="U82" s="145"/>
      <c r="V82" s="507" t="str">
        <f>IF(U82="","",IF(VLOOKUP(U82,'G-3 Multipliers'!$L$3:$N$6,2,FALSE)=0,"Spatial Data Missing ⚠",VLOOKUP(U82,'G-3 Multipliers'!$L$3:$N$6,2,FALSE)))</f>
        <v/>
      </c>
      <c r="W82" s="505" t="str">
        <f>IF(U82="","",IF(VLOOKUP(U82,'G-3 Multipliers'!$L$3:$N$6,3,FALSE)=0,"Spatial Data Missing ⚠",VLOOKUP(U82,'G-3 Multipliers'!$L$3:$N$6,3,FALSE)))</f>
        <v/>
      </c>
      <c r="X82" s="498" t="str">
        <f>IFERROR(IF(OR(LEFT(O82,5)="Error ▲",LEFT(N82,5)="Error ▲",T82="Error ▲"),"Check Data ⚠",IF(F82&lt;R82,INDEX('G-6 Hedgerow Data'!$S$3:$AE$14,MATCH(C82,'G-6 Hedgerow Data'!$B$3:$B$14,0),MATCH(M82,'G-6 Hedgerow Data'!$S$2:$AE$2,0)),INDEX('G-6 Hedgerow Data'!$K$3:$Q$14,MATCH(M82,'G-6 Hedgerow Data'!$B$3:$B$14,0),MATCH(O82,'G-6 Hedgerow Data'!$K$2:$Q$2,0)))),"")</f>
        <v/>
      </c>
      <c r="Y82" s="195"/>
      <c r="Z82" s="195"/>
      <c r="AA82" s="507" t="str">
        <f t="shared" si="11"/>
        <v/>
      </c>
      <c r="AB82" s="521" t="str">
        <f t="shared" si="12"/>
        <v/>
      </c>
      <c r="AC82" s="522" t="str">
        <f t="shared" si="9"/>
        <v/>
      </c>
      <c r="AD82" s="537" t="str">
        <f>IF(M82="","",VLOOKUP(M82,'G-6 Hedgerow Data'!$B$3:$AG$15,31,FALSE))</f>
        <v/>
      </c>
      <c r="AE82" s="520" t="str">
        <f t="shared" si="13"/>
        <v/>
      </c>
      <c r="AF82" s="520" t="str">
        <f t="shared" si="14"/>
        <v/>
      </c>
      <c r="AG82" s="524" t="str">
        <f>IFERROR(IF(O82="","",VLOOKUP(AD82,'G-3 Multipliers'!$P$3:$Q$6,2,FALSE)),"")</f>
        <v/>
      </c>
      <c r="AH82" s="197"/>
      <c r="AI82" s="499" t="str">
        <f>IF(AH82="","",IF(VLOOKUP(AH82,'G-3 Multipliers'!$S$3:$T$6,2,FALSE)=0,"Spatial Data Missing ⚠",VLOOKUP(AH82,'G-3 Multipliers'!$S$3:$T$6,2,FALSE)))</f>
        <v/>
      </c>
      <c r="AJ82" s="545" t="str">
        <f t="shared" si="15"/>
        <v/>
      </c>
      <c r="AK82" s="149"/>
      <c r="AL82" s="150"/>
      <c r="AP82" s="31" t="str">
        <f>IFERROR(INDEX('G-6 Hedgerow Data'!$BJ$3:$BJ$15,MATCH(M82,'G-6 Hedgerow Data'!$B$3:$B$15,0)),"")</f>
        <v/>
      </c>
    </row>
    <row r="83" spans="2:42" ht="14" x14ac:dyDescent="0.3">
      <c r="B83" s="531" t="str">
        <f>'E-1 Off Site Hedge Baseline'!AK81</f>
        <v/>
      </c>
      <c r="C83" s="520" t="str">
        <f>IF(B83="","",IF(ISNA(VLOOKUP($B83,'E-1 Off Site Hedge Baseline'!$B$1:$L$257,3,FALSE)),"",(VLOOKUP($B83,'E-1 Off Site Hedge Baseline'!$B$1:$L$257,3,FALSE))))</f>
        <v/>
      </c>
      <c r="D83" s="520" t="str">
        <f>IF(B83="","",IF(ISNA(VLOOKUP($B83,'E-1 Off Site Hedge Baseline'!$B$1:$L$258,4,FALSE)),"",(VLOOKUP($B83,'E-1 Off Site Hedge Baseline'!$B$1:$L$258,4,FALSE))))</f>
        <v/>
      </c>
      <c r="E83" s="520" t="str">
        <f>IF(B83="","",IF(ISNA(VLOOKUP($B83,'E-1 Off Site Hedge Baseline'!$B$1:$L$257,5,FALSE)),"",(VLOOKUP($B83,'E-1 Off Site Hedge Baseline'!$B$1:$L$257,5,FALSE))))</f>
        <v/>
      </c>
      <c r="F83" s="520" t="str">
        <f>IF(B83="","",IF(ISNA(VLOOKUP($B83,'E-1 Off Site Hedge Baseline'!$B$1:$L$257,6,FALSE)),"",(VLOOKUP($B83,'E-1 Off Site Hedge Baseline'!$B$1:$L$257,6,FALSE))))</f>
        <v/>
      </c>
      <c r="G83" s="520" t="str">
        <f>IF(B83="","",IF(ISNA(VLOOKUP($B83,'E-1 Off Site Hedge Baseline'!$B$1:$L$257,7,FALSE)),"",(VLOOKUP($B83,'E-1 Off Site Hedge Baseline'!$B$1:$L$257,7,FALSE))))</f>
        <v/>
      </c>
      <c r="H83" s="520" t="str">
        <f>IF(B83="","",IF(ISNA(VLOOKUP($B83,'E-1 Off Site Hedge Baseline'!$B$1:$L$257,8,FALSE)),"",(VLOOKUP($B83,'E-1 Off Site Hedge Baseline'!$B$1:$L$257,8,FALSE))))</f>
        <v/>
      </c>
      <c r="I83" s="520" t="str">
        <f>IF(B83="","",IF(ISNA(VLOOKUP($B83,'E-1 Off Site Hedge Baseline'!$B$1:$L$257,10,FALSE)),"",(VLOOKUP($B83,'E-1 Off Site Hedge Baseline'!$B$1:$L$257,10,FALSE))))</f>
        <v/>
      </c>
      <c r="J83" s="520" t="str">
        <f>IF(B83="","",IF(ISNA(VLOOKUP($B83,'E-1 Off Site Hedge Baseline'!$B$1:$L$257,11,FALSE)),"",(VLOOKUP($B83,'E-1 Off Site Hedge Baseline'!$B$1:$L$257,11,FALSE))))</f>
        <v/>
      </c>
      <c r="K83" s="520" t="str">
        <f>IF(B83="","",IF(ISNA(VLOOKUP($B83,'E-1 Off Site Hedge Baseline'!$B$1:$U$257,113,FALSE)),"",(VLOOKUP($B83,'E-1 Off Site Hedge Baseline'!$B$1:$U$257,13,FALSE))))</f>
        <v/>
      </c>
      <c r="L83" s="507" t="str">
        <f>IF(B83="","",IF(ISNA(VLOOKUP($B83,'E-1 Off Site Hedge Baseline'!$B$1:$U$257,12,FALSE)),"",(VLOOKUP($B83,'E-1 Off Site Hedge Baseline'!$B$1:$U$257,12,FALSE))))</f>
        <v/>
      </c>
      <c r="M83" s="418" t="str">
        <f t="shared" si="16"/>
        <v/>
      </c>
      <c r="N83" s="498" t="str">
        <f>IFERROR(IF(B83="","",INDEX('G-6 Hedgerow Data'!$AN$3:$AZ$15,MATCH(C83,'G-6 Hedgerow Data'!$AM$3:$AM$15,0),MATCH(M83,'G-6 Hedgerow Data'!$AN$2:$AZ$2,0))),"")</f>
        <v/>
      </c>
      <c r="O83" s="499" t="str">
        <f t="shared" si="10"/>
        <v/>
      </c>
      <c r="P83" s="505" t="str">
        <f>IF(B83="","",VLOOKUP(B83,'E-1 Off Site Hedge Baseline'!$B$10:T328,16,FALSE))</f>
        <v/>
      </c>
      <c r="Q83" s="498" t="str">
        <f>IF(M83="","",VLOOKUP(M83,'G-6 Hedgerow Data'!$B$2:$AG$15,2,FALSE))</f>
        <v/>
      </c>
      <c r="R83" s="499" t="str">
        <f>IF(M83="","",VLOOKUP(M83,'G-6 Hedgerow Data'!$B$2:$AG$15,3,FALSE))</f>
        <v/>
      </c>
      <c r="S83" s="145"/>
      <c r="T83" s="499" t="str">
        <f>IFERROR(IF(AND(Q83="V.Low",OR(S83="Good",S83="Moderate")),"Error ▲",VLOOKUP(S83,'G-1 All Habitats'!$Z$2:$AA$9,2,FALSE)),"")</f>
        <v/>
      </c>
      <c r="U83" s="145"/>
      <c r="V83" s="507" t="str">
        <f>IF(U83="","",IF(VLOOKUP(U83,'G-3 Multipliers'!$L$3:$N$6,2,FALSE)=0,"Spatial Data Missing ⚠",VLOOKUP(U83,'G-3 Multipliers'!$L$3:$N$6,2,FALSE)))</f>
        <v/>
      </c>
      <c r="W83" s="505" t="str">
        <f>IF(U83="","",IF(VLOOKUP(U83,'G-3 Multipliers'!$L$3:$N$6,3,FALSE)=0,"Spatial Data Missing ⚠",VLOOKUP(U83,'G-3 Multipliers'!$L$3:$N$6,3,FALSE)))</f>
        <v/>
      </c>
      <c r="X83" s="498" t="str">
        <f>IFERROR(IF(OR(LEFT(O83,5)="Error ▲",LEFT(N83,5)="Error ▲",T83="Error ▲"),"Check Data ⚠",IF(F83&lt;R83,INDEX('G-6 Hedgerow Data'!$S$3:$AE$14,MATCH(C83,'G-6 Hedgerow Data'!$B$3:$B$14,0),MATCH(M83,'G-6 Hedgerow Data'!$S$2:$AE$2,0)),INDEX('G-6 Hedgerow Data'!$K$3:$Q$14,MATCH(M83,'G-6 Hedgerow Data'!$B$3:$B$14,0),MATCH(O83,'G-6 Hedgerow Data'!$K$2:$Q$2,0)))),"")</f>
        <v/>
      </c>
      <c r="Y83" s="195"/>
      <c r="Z83" s="195"/>
      <c r="AA83" s="507" t="str">
        <f t="shared" si="11"/>
        <v/>
      </c>
      <c r="AB83" s="521" t="str">
        <f t="shared" si="12"/>
        <v/>
      </c>
      <c r="AC83" s="522" t="str">
        <f t="shared" si="9"/>
        <v/>
      </c>
      <c r="AD83" s="537" t="str">
        <f>IF(M83="","",VLOOKUP(M83,'G-6 Hedgerow Data'!$B$3:$AG$15,31,FALSE))</f>
        <v/>
      </c>
      <c r="AE83" s="520" t="str">
        <f t="shared" si="13"/>
        <v/>
      </c>
      <c r="AF83" s="520" t="str">
        <f t="shared" si="14"/>
        <v/>
      </c>
      <c r="AG83" s="524" t="str">
        <f>IFERROR(IF(O83="","",VLOOKUP(AD83,'G-3 Multipliers'!$P$3:$Q$6,2,FALSE)),"")</f>
        <v/>
      </c>
      <c r="AH83" s="197"/>
      <c r="AI83" s="499" t="str">
        <f>IF(AH83="","",IF(VLOOKUP(AH83,'G-3 Multipliers'!$S$3:$T$6,2,FALSE)=0,"Spatial Data Missing ⚠",VLOOKUP(AH83,'G-3 Multipliers'!$S$3:$T$6,2,FALSE)))</f>
        <v/>
      </c>
      <c r="AJ83" s="545" t="str">
        <f t="shared" si="15"/>
        <v/>
      </c>
      <c r="AK83" s="149"/>
      <c r="AL83" s="150"/>
      <c r="AP83" s="31" t="str">
        <f>IFERROR(INDEX('G-6 Hedgerow Data'!$BJ$3:$BJ$15,MATCH(M83,'G-6 Hedgerow Data'!$B$3:$B$15,0)),"")</f>
        <v/>
      </c>
    </row>
    <row r="84" spans="2:42" ht="14" x14ac:dyDescent="0.3">
      <c r="B84" s="531" t="str">
        <f>'E-1 Off Site Hedge Baseline'!AK82</f>
        <v/>
      </c>
      <c r="C84" s="520" t="str">
        <f>IF(B84="","",IF(ISNA(VLOOKUP($B84,'E-1 Off Site Hedge Baseline'!$B$1:$L$257,3,FALSE)),"",(VLOOKUP($B84,'E-1 Off Site Hedge Baseline'!$B$1:$L$257,3,FALSE))))</f>
        <v/>
      </c>
      <c r="D84" s="520" t="str">
        <f>IF(B84="","",IF(ISNA(VLOOKUP($B84,'E-1 Off Site Hedge Baseline'!$B$1:$L$258,4,FALSE)),"",(VLOOKUP($B84,'E-1 Off Site Hedge Baseline'!$B$1:$L$258,4,FALSE))))</f>
        <v/>
      </c>
      <c r="E84" s="520" t="str">
        <f>IF(B84="","",IF(ISNA(VLOOKUP($B84,'E-1 Off Site Hedge Baseline'!$B$1:$L$257,5,FALSE)),"",(VLOOKUP($B84,'E-1 Off Site Hedge Baseline'!$B$1:$L$257,5,FALSE))))</f>
        <v/>
      </c>
      <c r="F84" s="520" t="str">
        <f>IF(B84="","",IF(ISNA(VLOOKUP($B84,'E-1 Off Site Hedge Baseline'!$B$1:$L$257,6,FALSE)),"",(VLOOKUP($B84,'E-1 Off Site Hedge Baseline'!$B$1:$L$257,6,FALSE))))</f>
        <v/>
      </c>
      <c r="G84" s="520" t="str">
        <f>IF(B84="","",IF(ISNA(VLOOKUP($B84,'E-1 Off Site Hedge Baseline'!$B$1:$L$257,7,FALSE)),"",(VLOOKUP($B84,'E-1 Off Site Hedge Baseline'!$B$1:$L$257,7,FALSE))))</f>
        <v/>
      </c>
      <c r="H84" s="520" t="str">
        <f>IF(B84="","",IF(ISNA(VLOOKUP($B84,'E-1 Off Site Hedge Baseline'!$B$1:$L$257,8,FALSE)),"",(VLOOKUP($B84,'E-1 Off Site Hedge Baseline'!$B$1:$L$257,8,FALSE))))</f>
        <v/>
      </c>
      <c r="I84" s="520" t="str">
        <f>IF(B84="","",IF(ISNA(VLOOKUP($B84,'E-1 Off Site Hedge Baseline'!$B$1:$L$257,10,FALSE)),"",(VLOOKUP($B84,'E-1 Off Site Hedge Baseline'!$B$1:$L$257,10,FALSE))))</f>
        <v/>
      </c>
      <c r="J84" s="520" t="str">
        <f>IF(B84="","",IF(ISNA(VLOOKUP($B84,'E-1 Off Site Hedge Baseline'!$B$1:$L$257,11,FALSE)),"",(VLOOKUP($B84,'E-1 Off Site Hedge Baseline'!$B$1:$L$257,11,FALSE))))</f>
        <v/>
      </c>
      <c r="K84" s="520" t="str">
        <f>IF(B84="","",IF(ISNA(VLOOKUP($B84,'E-1 Off Site Hedge Baseline'!$B$1:$U$257,113,FALSE)),"",(VLOOKUP($B84,'E-1 Off Site Hedge Baseline'!$B$1:$U$257,13,FALSE))))</f>
        <v/>
      </c>
      <c r="L84" s="507" t="str">
        <f>IF(B84="","",IF(ISNA(VLOOKUP($B84,'E-1 Off Site Hedge Baseline'!$B$1:$U$257,12,FALSE)),"",(VLOOKUP($B84,'E-1 Off Site Hedge Baseline'!$B$1:$U$257,12,FALSE))))</f>
        <v/>
      </c>
      <c r="M84" s="418" t="str">
        <f t="shared" si="16"/>
        <v/>
      </c>
      <c r="N84" s="498" t="str">
        <f>IFERROR(IF(B84="","",INDEX('G-6 Hedgerow Data'!$AN$3:$AZ$15,MATCH(C84,'G-6 Hedgerow Data'!$AM$3:$AM$15,0),MATCH(M84,'G-6 Hedgerow Data'!$AN$2:$AZ$2,0))),"")</f>
        <v/>
      </c>
      <c r="O84" s="499" t="str">
        <f t="shared" si="10"/>
        <v/>
      </c>
      <c r="P84" s="505" t="str">
        <f>IF(B84="","",VLOOKUP(B84,'E-1 Off Site Hedge Baseline'!$B$10:T329,16,FALSE))</f>
        <v/>
      </c>
      <c r="Q84" s="498" t="str">
        <f>IF(M84="","",VLOOKUP(M84,'G-6 Hedgerow Data'!$B$2:$AG$15,2,FALSE))</f>
        <v/>
      </c>
      <c r="R84" s="499" t="str">
        <f>IF(M84="","",VLOOKUP(M84,'G-6 Hedgerow Data'!$B$2:$AG$15,3,FALSE))</f>
        <v/>
      </c>
      <c r="S84" s="145"/>
      <c r="T84" s="499" t="str">
        <f>IFERROR(IF(AND(Q84="V.Low",OR(S84="Good",S84="Moderate")),"Error ▲",VLOOKUP(S84,'G-1 All Habitats'!$Z$2:$AA$9,2,FALSE)),"")</f>
        <v/>
      </c>
      <c r="U84" s="145"/>
      <c r="V84" s="507" t="str">
        <f>IF(U84="","",IF(VLOOKUP(U84,'G-3 Multipliers'!$L$3:$N$6,2,FALSE)=0,"Spatial Data Missing ⚠",VLOOKUP(U84,'G-3 Multipliers'!$L$3:$N$6,2,FALSE)))</f>
        <v/>
      </c>
      <c r="W84" s="505" t="str">
        <f>IF(U84="","",IF(VLOOKUP(U84,'G-3 Multipliers'!$L$3:$N$6,3,FALSE)=0,"Spatial Data Missing ⚠",VLOOKUP(U84,'G-3 Multipliers'!$L$3:$N$6,3,FALSE)))</f>
        <v/>
      </c>
      <c r="X84" s="498" t="str">
        <f>IFERROR(IF(OR(LEFT(O84,5)="Error ▲",LEFT(N84,5)="Error ▲",T84="Error ▲"),"Check Data ⚠",IF(F84&lt;R84,INDEX('G-6 Hedgerow Data'!$S$3:$AE$14,MATCH(C84,'G-6 Hedgerow Data'!$B$3:$B$14,0),MATCH(M84,'G-6 Hedgerow Data'!$S$2:$AE$2,0)),INDEX('G-6 Hedgerow Data'!$K$3:$Q$14,MATCH(M84,'G-6 Hedgerow Data'!$B$3:$B$14,0),MATCH(O84,'G-6 Hedgerow Data'!$K$2:$Q$2,0)))),"")</f>
        <v/>
      </c>
      <c r="Y84" s="195"/>
      <c r="Z84" s="195"/>
      <c r="AA84" s="507" t="str">
        <f t="shared" si="11"/>
        <v/>
      </c>
      <c r="AB84" s="521" t="str">
        <f t="shared" si="12"/>
        <v/>
      </c>
      <c r="AC84" s="522" t="str">
        <f t="shared" si="9"/>
        <v/>
      </c>
      <c r="AD84" s="537" t="str">
        <f>IF(M84="","",VLOOKUP(M84,'G-6 Hedgerow Data'!$B$3:$AG$15,31,FALSE))</f>
        <v/>
      </c>
      <c r="AE84" s="520" t="str">
        <f t="shared" si="13"/>
        <v/>
      </c>
      <c r="AF84" s="520" t="str">
        <f t="shared" si="14"/>
        <v/>
      </c>
      <c r="AG84" s="524" t="str">
        <f>IFERROR(IF(O84="","",VLOOKUP(AD84,'G-3 Multipliers'!$P$3:$Q$6,2,FALSE)),"")</f>
        <v/>
      </c>
      <c r="AH84" s="197"/>
      <c r="AI84" s="499" t="str">
        <f>IF(AH84="","",IF(VLOOKUP(AH84,'G-3 Multipliers'!$S$3:$T$6,2,FALSE)=0,"Spatial Data Missing ⚠",VLOOKUP(AH84,'G-3 Multipliers'!$S$3:$T$6,2,FALSE)))</f>
        <v/>
      </c>
      <c r="AJ84" s="545" t="str">
        <f t="shared" si="15"/>
        <v/>
      </c>
      <c r="AK84" s="149"/>
      <c r="AL84" s="150"/>
      <c r="AP84" s="31" t="str">
        <f>IFERROR(INDEX('G-6 Hedgerow Data'!$BJ$3:$BJ$15,MATCH(M84,'G-6 Hedgerow Data'!$B$3:$B$15,0)),"")</f>
        <v/>
      </c>
    </row>
    <row r="85" spans="2:42" ht="14" x14ac:dyDescent="0.3">
      <c r="B85" s="531" t="str">
        <f>'E-1 Off Site Hedge Baseline'!AK83</f>
        <v/>
      </c>
      <c r="C85" s="520" t="str">
        <f>IF(B85="","",IF(ISNA(VLOOKUP($B85,'E-1 Off Site Hedge Baseline'!$B$1:$L$257,3,FALSE)),"",(VLOOKUP($B85,'E-1 Off Site Hedge Baseline'!$B$1:$L$257,3,FALSE))))</f>
        <v/>
      </c>
      <c r="D85" s="520" t="str">
        <f>IF(B85="","",IF(ISNA(VLOOKUP($B85,'E-1 Off Site Hedge Baseline'!$B$1:$L$258,4,FALSE)),"",(VLOOKUP($B85,'E-1 Off Site Hedge Baseline'!$B$1:$L$258,4,FALSE))))</f>
        <v/>
      </c>
      <c r="E85" s="520" t="str">
        <f>IF(B85="","",IF(ISNA(VLOOKUP($B85,'E-1 Off Site Hedge Baseline'!$B$1:$L$257,5,FALSE)),"",(VLOOKUP($B85,'E-1 Off Site Hedge Baseline'!$B$1:$L$257,5,FALSE))))</f>
        <v/>
      </c>
      <c r="F85" s="520" t="str">
        <f>IF(B85="","",IF(ISNA(VLOOKUP($B85,'E-1 Off Site Hedge Baseline'!$B$1:$L$257,6,FALSE)),"",(VLOOKUP($B85,'E-1 Off Site Hedge Baseline'!$B$1:$L$257,6,FALSE))))</f>
        <v/>
      </c>
      <c r="G85" s="520" t="str">
        <f>IF(B85="","",IF(ISNA(VLOOKUP($B85,'E-1 Off Site Hedge Baseline'!$B$1:$L$257,7,FALSE)),"",(VLOOKUP($B85,'E-1 Off Site Hedge Baseline'!$B$1:$L$257,7,FALSE))))</f>
        <v/>
      </c>
      <c r="H85" s="520" t="str">
        <f>IF(B85="","",IF(ISNA(VLOOKUP($B85,'E-1 Off Site Hedge Baseline'!$B$1:$L$257,8,FALSE)),"",(VLOOKUP($B85,'E-1 Off Site Hedge Baseline'!$B$1:$L$257,8,FALSE))))</f>
        <v/>
      </c>
      <c r="I85" s="520" t="str">
        <f>IF(B85="","",IF(ISNA(VLOOKUP($B85,'E-1 Off Site Hedge Baseline'!$B$1:$L$257,10,FALSE)),"",(VLOOKUP($B85,'E-1 Off Site Hedge Baseline'!$B$1:$L$257,10,FALSE))))</f>
        <v/>
      </c>
      <c r="J85" s="520" t="str">
        <f>IF(B85="","",IF(ISNA(VLOOKUP($B85,'E-1 Off Site Hedge Baseline'!$B$1:$L$257,11,FALSE)),"",(VLOOKUP($B85,'E-1 Off Site Hedge Baseline'!$B$1:$L$257,11,FALSE))))</f>
        <v/>
      </c>
      <c r="K85" s="520" t="str">
        <f>IF(B85="","",IF(ISNA(VLOOKUP($B85,'E-1 Off Site Hedge Baseline'!$B$1:$U$257,113,FALSE)),"",(VLOOKUP($B85,'E-1 Off Site Hedge Baseline'!$B$1:$U$257,13,FALSE))))</f>
        <v/>
      </c>
      <c r="L85" s="507" t="str">
        <f>IF(B85="","",IF(ISNA(VLOOKUP($B85,'E-1 Off Site Hedge Baseline'!$B$1:$U$257,12,FALSE)),"",(VLOOKUP($B85,'E-1 Off Site Hedge Baseline'!$B$1:$U$257,12,FALSE))))</f>
        <v/>
      </c>
      <c r="M85" s="418" t="str">
        <f t="shared" si="16"/>
        <v/>
      </c>
      <c r="N85" s="498" t="str">
        <f>IFERROR(IF(B85="","",INDEX('G-6 Hedgerow Data'!$AN$3:$AZ$15,MATCH(C85,'G-6 Hedgerow Data'!$AM$3:$AM$15,0),MATCH(M85,'G-6 Hedgerow Data'!$AN$2:$AZ$2,0))),"")</f>
        <v/>
      </c>
      <c r="O85" s="499" t="str">
        <f t="shared" si="10"/>
        <v/>
      </c>
      <c r="P85" s="505" t="str">
        <f>IF(B85="","",VLOOKUP(B85,'E-1 Off Site Hedge Baseline'!$B$10:T330,16,FALSE))</f>
        <v/>
      </c>
      <c r="Q85" s="498" t="str">
        <f>IF(M85="","",VLOOKUP(M85,'G-6 Hedgerow Data'!$B$2:$AG$15,2,FALSE))</f>
        <v/>
      </c>
      <c r="R85" s="499" t="str">
        <f>IF(M85="","",VLOOKUP(M85,'G-6 Hedgerow Data'!$B$2:$AG$15,3,FALSE))</f>
        <v/>
      </c>
      <c r="S85" s="145"/>
      <c r="T85" s="499" t="str">
        <f>IFERROR(IF(AND(Q85="V.Low",OR(S85="Good",S85="Moderate")),"Error ▲",VLOOKUP(S85,'G-1 All Habitats'!$Z$2:$AA$9,2,FALSE)),"")</f>
        <v/>
      </c>
      <c r="U85" s="145"/>
      <c r="V85" s="507" t="str">
        <f>IF(U85="","",IF(VLOOKUP(U85,'G-3 Multipliers'!$L$3:$N$6,2,FALSE)=0,"Spatial Data Missing ⚠",VLOOKUP(U85,'G-3 Multipliers'!$L$3:$N$6,2,FALSE)))</f>
        <v/>
      </c>
      <c r="W85" s="505" t="str">
        <f>IF(U85="","",IF(VLOOKUP(U85,'G-3 Multipliers'!$L$3:$N$6,3,FALSE)=0,"Spatial Data Missing ⚠",VLOOKUP(U85,'G-3 Multipliers'!$L$3:$N$6,3,FALSE)))</f>
        <v/>
      </c>
      <c r="X85" s="498" t="str">
        <f>IFERROR(IF(OR(LEFT(O85,5)="Error ▲",LEFT(N85,5)="Error ▲",T85="Error ▲"),"Check Data ⚠",IF(F85&lt;R85,INDEX('G-6 Hedgerow Data'!$S$3:$AE$14,MATCH(C85,'G-6 Hedgerow Data'!$B$3:$B$14,0),MATCH(M85,'G-6 Hedgerow Data'!$S$2:$AE$2,0)),INDEX('G-6 Hedgerow Data'!$K$3:$Q$14,MATCH(M85,'G-6 Hedgerow Data'!$B$3:$B$14,0),MATCH(O85,'G-6 Hedgerow Data'!$K$2:$Q$2,0)))),"")</f>
        <v/>
      </c>
      <c r="Y85" s="195"/>
      <c r="Z85" s="195"/>
      <c r="AA85" s="507" t="str">
        <f t="shared" si="11"/>
        <v/>
      </c>
      <c r="AB85" s="521" t="str">
        <f t="shared" si="12"/>
        <v/>
      </c>
      <c r="AC85" s="522" t="str">
        <f t="shared" si="9"/>
        <v/>
      </c>
      <c r="AD85" s="537" t="str">
        <f>IF(M85="","",VLOOKUP(M85,'G-6 Hedgerow Data'!$B$3:$AG$15,31,FALSE))</f>
        <v/>
      </c>
      <c r="AE85" s="520" t="str">
        <f t="shared" si="13"/>
        <v/>
      </c>
      <c r="AF85" s="520" t="str">
        <f t="shared" si="14"/>
        <v/>
      </c>
      <c r="AG85" s="524" t="str">
        <f>IFERROR(IF(O85="","",VLOOKUP(AD85,'G-3 Multipliers'!$P$3:$Q$6,2,FALSE)),"")</f>
        <v/>
      </c>
      <c r="AH85" s="197"/>
      <c r="AI85" s="499" t="str">
        <f>IF(AH85="","",IF(VLOOKUP(AH85,'G-3 Multipliers'!$S$3:$T$6,2,FALSE)=0,"Spatial Data Missing ⚠",VLOOKUP(AH85,'G-3 Multipliers'!$S$3:$T$6,2,FALSE)))</f>
        <v/>
      </c>
      <c r="AJ85" s="545" t="str">
        <f t="shared" si="15"/>
        <v/>
      </c>
      <c r="AK85" s="149"/>
      <c r="AL85" s="150"/>
      <c r="AP85" s="31" t="str">
        <f>IFERROR(INDEX('G-6 Hedgerow Data'!$BJ$3:$BJ$15,MATCH(M85,'G-6 Hedgerow Data'!$B$3:$B$15,0)),"")</f>
        <v/>
      </c>
    </row>
    <row r="86" spans="2:42" ht="14" x14ac:dyDescent="0.3">
      <c r="B86" s="531" t="str">
        <f>'E-1 Off Site Hedge Baseline'!AK84</f>
        <v/>
      </c>
      <c r="C86" s="520" t="str">
        <f>IF(B86="","",IF(ISNA(VLOOKUP($B86,'E-1 Off Site Hedge Baseline'!$B$1:$L$257,3,FALSE)),"",(VLOOKUP($B86,'E-1 Off Site Hedge Baseline'!$B$1:$L$257,3,FALSE))))</f>
        <v/>
      </c>
      <c r="D86" s="520" t="str">
        <f>IF(B86="","",IF(ISNA(VLOOKUP($B86,'E-1 Off Site Hedge Baseline'!$B$1:$L$258,4,FALSE)),"",(VLOOKUP($B86,'E-1 Off Site Hedge Baseline'!$B$1:$L$258,4,FALSE))))</f>
        <v/>
      </c>
      <c r="E86" s="520" t="str">
        <f>IF(B86="","",IF(ISNA(VLOOKUP($B86,'E-1 Off Site Hedge Baseline'!$B$1:$L$257,5,FALSE)),"",(VLOOKUP($B86,'E-1 Off Site Hedge Baseline'!$B$1:$L$257,5,FALSE))))</f>
        <v/>
      </c>
      <c r="F86" s="520" t="str">
        <f>IF(B86="","",IF(ISNA(VLOOKUP($B86,'E-1 Off Site Hedge Baseline'!$B$1:$L$257,6,FALSE)),"",(VLOOKUP($B86,'E-1 Off Site Hedge Baseline'!$B$1:$L$257,6,FALSE))))</f>
        <v/>
      </c>
      <c r="G86" s="520" t="str">
        <f>IF(B86="","",IF(ISNA(VLOOKUP($B86,'E-1 Off Site Hedge Baseline'!$B$1:$L$257,7,FALSE)),"",(VLOOKUP($B86,'E-1 Off Site Hedge Baseline'!$B$1:$L$257,7,FALSE))))</f>
        <v/>
      </c>
      <c r="H86" s="520" t="str">
        <f>IF(B86="","",IF(ISNA(VLOOKUP($B86,'E-1 Off Site Hedge Baseline'!$B$1:$L$257,8,FALSE)),"",(VLOOKUP($B86,'E-1 Off Site Hedge Baseline'!$B$1:$L$257,8,FALSE))))</f>
        <v/>
      </c>
      <c r="I86" s="520" t="str">
        <f>IF(B86="","",IF(ISNA(VLOOKUP($B86,'E-1 Off Site Hedge Baseline'!$B$1:$L$257,10,FALSE)),"",(VLOOKUP($B86,'E-1 Off Site Hedge Baseline'!$B$1:$L$257,10,FALSE))))</f>
        <v/>
      </c>
      <c r="J86" s="520" t="str">
        <f>IF(B86="","",IF(ISNA(VLOOKUP($B86,'E-1 Off Site Hedge Baseline'!$B$1:$L$257,11,FALSE)),"",(VLOOKUP($B86,'E-1 Off Site Hedge Baseline'!$B$1:$L$257,11,FALSE))))</f>
        <v/>
      </c>
      <c r="K86" s="520" t="str">
        <f>IF(B86="","",IF(ISNA(VLOOKUP($B86,'E-1 Off Site Hedge Baseline'!$B$1:$U$257,113,FALSE)),"",(VLOOKUP($B86,'E-1 Off Site Hedge Baseline'!$B$1:$U$257,13,FALSE))))</f>
        <v/>
      </c>
      <c r="L86" s="507" t="str">
        <f>IF(B86="","",IF(ISNA(VLOOKUP($B86,'E-1 Off Site Hedge Baseline'!$B$1:$U$257,12,FALSE)),"",(VLOOKUP($B86,'E-1 Off Site Hedge Baseline'!$B$1:$U$257,12,FALSE))))</f>
        <v/>
      </c>
      <c r="M86" s="418" t="str">
        <f t="shared" si="16"/>
        <v/>
      </c>
      <c r="N86" s="498" t="str">
        <f>IFERROR(IF(B86="","",INDEX('G-6 Hedgerow Data'!$AN$3:$AZ$15,MATCH(C86,'G-6 Hedgerow Data'!$AM$3:$AM$15,0),MATCH(M86,'G-6 Hedgerow Data'!$AN$2:$AZ$2,0))),"")</f>
        <v/>
      </c>
      <c r="O86" s="499" t="str">
        <f t="shared" si="10"/>
        <v/>
      </c>
      <c r="P86" s="505" t="str">
        <f>IF(B86="","",VLOOKUP(B86,'E-1 Off Site Hedge Baseline'!$B$10:T331,16,FALSE))</f>
        <v/>
      </c>
      <c r="Q86" s="498" t="str">
        <f>IF(M86="","",VLOOKUP(M86,'G-6 Hedgerow Data'!$B$2:$AG$15,2,FALSE))</f>
        <v/>
      </c>
      <c r="R86" s="499" t="str">
        <f>IF(M86="","",VLOOKUP(M86,'G-6 Hedgerow Data'!$B$2:$AG$15,3,FALSE))</f>
        <v/>
      </c>
      <c r="S86" s="145"/>
      <c r="T86" s="499" t="str">
        <f>IFERROR(IF(AND(Q86="V.Low",OR(S86="Good",S86="Moderate")),"Error ▲",VLOOKUP(S86,'G-1 All Habitats'!$Z$2:$AA$9,2,FALSE)),"")</f>
        <v/>
      </c>
      <c r="U86" s="145"/>
      <c r="V86" s="507" t="str">
        <f>IF(U86="","",IF(VLOOKUP(U86,'G-3 Multipliers'!$L$3:$N$6,2,FALSE)=0,"Spatial Data Missing ⚠",VLOOKUP(U86,'G-3 Multipliers'!$L$3:$N$6,2,FALSE)))</f>
        <v/>
      </c>
      <c r="W86" s="505" t="str">
        <f>IF(U86="","",IF(VLOOKUP(U86,'G-3 Multipliers'!$L$3:$N$6,3,FALSE)=0,"Spatial Data Missing ⚠",VLOOKUP(U86,'G-3 Multipliers'!$L$3:$N$6,3,FALSE)))</f>
        <v/>
      </c>
      <c r="X86" s="498" t="str">
        <f>IFERROR(IF(OR(LEFT(O86,5)="Error ▲",LEFT(N86,5)="Error ▲",T86="Error ▲"),"Check Data ⚠",IF(F86&lt;R86,INDEX('G-6 Hedgerow Data'!$S$3:$AE$14,MATCH(C86,'G-6 Hedgerow Data'!$B$3:$B$14,0),MATCH(M86,'G-6 Hedgerow Data'!$S$2:$AE$2,0)),INDEX('G-6 Hedgerow Data'!$K$3:$Q$14,MATCH(M86,'G-6 Hedgerow Data'!$B$3:$B$14,0),MATCH(O86,'G-6 Hedgerow Data'!$K$2:$Q$2,0)))),"")</f>
        <v/>
      </c>
      <c r="Y86" s="195"/>
      <c r="Z86" s="195"/>
      <c r="AA86" s="507" t="str">
        <f t="shared" si="11"/>
        <v/>
      </c>
      <c r="AB86" s="521" t="str">
        <f t="shared" si="12"/>
        <v/>
      </c>
      <c r="AC86" s="522" t="str">
        <f t="shared" si="9"/>
        <v/>
      </c>
      <c r="AD86" s="537" t="str">
        <f>IF(M86="","",VLOOKUP(M86,'G-6 Hedgerow Data'!$B$3:$AG$15,31,FALSE))</f>
        <v/>
      </c>
      <c r="AE86" s="520" t="str">
        <f t="shared" si="13"/>
        <v/>
      </c>
      <c r="AF86" s="520" t="str">
        <f t="shared" si="14"/>
        <v/>
      </c>
      <c r="AG86" s="524" t="str">
        <f>IFERROR(IF(O86="","",VLOOKUP(AD86,'G-3 Multipliers'!$P$3:$Q$6,2,FALSE)),"")</f>
        <v/>
      </c>
      <c r="AH86" s="197"/>
      <c r="AI86" s="499" t="str">
        <f>IF(AH86="","",IF(VLOOKUP(AH86,'G-3 Multipliers'!$S$3:$T$6,2,FALSE)=0,"Spatial Data Missing ⚠",VLOOKUP(AH86,'G-3 Multipliers'!$S$3:$T$6,2,FALSE)))</f>
        <v/>
      </c>
      <c r="AJ86" s="545" t="str">
        <f t="shared" si="15"/>
        <v/>
      </c>
      <c r="AK86" s="149"/>
      <c r="AL86" s="150"/>
      <c r="AP86" s="31" t="str">
        <f>IFERROR(INDEX('G-6 Hedgerow Data'!$BJ$3:$BJ$15,MATCH(M86,'G-6 Hedgerow Data'!$B$3:$B$15,0)),"")</f>
        <v/>
      </c>
    </row>
    <row r="87" spans="2:42" ht="14" x14ac:dyDescent="0.3">
      <c r="B87" s="531" t="str">
        <f>'E-1 Off Site Hedge Baseline'!AK85</f>
        <v/>
      </c>
      <c r="C87" s="520" t="str">
        <f>IF(B87="","",IF(ISNA(VLOOKUP($B87,'E-1 Off Site Hedge Baseline'!$B$1:$L$257,3,FALSE)),"",(VLOOKUP($B87,'E-1 Off Site Hedge Baseline'!$B$1:$L$257,3,FALSE))))</f>
        <v/>
      </c>
      <c r="D87" s="520" t="str">
        <f>IF(B87="","",IF(ISNA(VLOOKUP($B87,'E-1 Off Site Hedge Baseline'!$B$1:$L$258,4,FALSE)),"",(VLOOKUP($B87,'E-1 Off Site Hedge Baseline'!$B$1:$L$258,4,FALSE))))</f>
        <v/>
      </c>
      <c r="E87" s="520" t="str">
        <f>IF(B87="","",IF(ISNA(VLOOKUP($B87,'E-1 Off Site Hedge Baseline'!$B$1:$L$257,5,FALSE)),"",(VLOOKUP($B87,'E-1 Off Site Hedge Baseline'!$B$1:$L$257,5,FALSE))))</f>
        <v/>
      </c>
      <c r="F87" s="520" t="str">
        <f>IF(B87="","",IF(ISNA(VLOOKUP($B87,'E-1 Off Site Hedge Baseline'!$B$1:$L$257,6,FALSE)),"",(VLOOKUP($B87,'E-1 Off Site Hedge Baseline'!$B$1:$L$257,6,FALSE))))</f>
        <v/>
      </c>
      <c r="G87" s="520" t="str">
        <f>IF(B87="","",IF(ISNA(VLOOKUP($B87,'E-1 Off Site Hedge Baseline'!$B$1:$L$257,7,FALSE)),"",(VLOOKUP($B87,'E-1 Off Site Hedge Baseline'!$B$1:$L$257,7,FALSE))))</f>
        <v/>
      </c>
      <c r="H87" s="520" t="str">
        <f>IF(B87="","",IF(ISNA(VLOOKUP($B87,'E-1 Off Site Hedge Baseline'!$B$1:$L$257,8,FALSE)),"",(VLOOKUP($B87,'E-1 Off Site Hedge Baseline'!$B$1:$L$257,8,FALSE))))</f>
        <v/>
      </c>
      <c r="I87" s="520" t="str">
        <f>IF(B87="","",IF(ISNA(VLOOKUP($B87,'E-1 Off Site Hedge Baseline'!$B$1:$L$257,10,FALSE)),"",(VLOOKUP($B87,'E-1 Off Site Hedge Baseline'!$B$1:$L$257,10,FALSE))))</f>
        <v/>
      </c>
      <c r="J87" s="520" t="str">
        <f>IF(B87="","",IF(ISNA(VLOOKUP($B87,'E-1 Off Site Hedge Baseline'!$B$1:$L$257,11,FALSE)),"",(VLOOKUP($B87,'E-1 Off Site Hedge Baseline'!$B$1:$L$257,11,FALSE))))</f>
        <v/>
      </c>
      <c r="K87" s="520" t="str">
        <f>IF(B87="","",IF(ISNA(VLOOKUP($B87,'E-1 Off Site Hedge Baseline'!$B$1:$U$257,113,FALSE)),"",(VLOOKUP($B87,'E-1 Off Site Hedge Baseline'!$B$1:$U$257,13,FALSE))))</f>
        <v/>
      </c>
      <c r="L87" s="507" t="str">
        <f>IF(B87="","",IF(ISNA(VLOOKUP($B87,'E-1 Off Site Hedge Baseline'!$B$1:$U$257,12,FALSE)),"",(VLOOKUP($B87,'E-1 Off Site Hedge Baseline'!$B$1:$U$257,12,FALSE))))</f>
        <v/>
      </c>
      <c r="M87" s="418" t="str">
        <f t="shared" si="16"/>
        <v/>
      </c>
      <c r="N87" s="498" t="str">
        <f>IFERROR(IF(B87="","",INDEX('G-6 Hedgerow Data'!$AN$3:$AZ$15,MATCH(C87,'G-6 Hedgerow Data'!$AM$3:$AM$15,0),MATCH(M87,'G-6 Hedgerow Data'!$AN$2:$AZ$2,0))),"")</f>
        <v/>
      </c>
      <c r="O87" s="499" t="str">
        <f t="shared" si="10"/>
        <v/>
      </c>
      <c r="P87" s="505" t="str">
        <f>IF(B87="","",VLOOKUP(B87,'E-1 Off Site Hedge Baseline'!$B$10:T332,16,FALSE))</f>
        <v/>
      </c>
      <c r="Q87" s="498" t="str">
        <f>IF(M87="","",VLOOKUP(M87,'G-6 Hedgerow Data'!$B$2:$AG$15,2,FALSE))</f>
        <v/>
      </c>
      <c r="R87" s="499" t="str">
        <f>IF(M87="","",VLOOKUP(M87,'G-6 Hedgerow Data'!$B$2:$AG$15,3,FALSE))</f>
        <v/>
      </c>
      <c r="S87" s="145"/>
      <c r="T87" s="499" t="str">
        <f>IFERROR(IF(AND(Q87="V.Low",OR(S87="Good",S87="Moderate")),"Error ▲",VLOOKUP(S87,'G-1 All Habitats'!$Z$2:$AA$9,2,FALSE)),"")</f>
        <v/>
      </c>
      <c r="U87" s="145"/>
      <c r="V87" s="507" t="str">
        <f>IF(U87="","",IF(VLOOKUP(U87,'G-3 Multipliers'!$L$3:$N$6,2,FALSE)=0,"Spatial Data Missing ⚠",VLOOKUP(U87,'G-3 Multipliers'!$L$3:$N$6,2,FALSE)))</f>
        <v/>
      </c>
      <c r="W87" s="505" t="str">
        <f>IF(U87="","",IF(VLOOKUP(U87,'G-3 Multipliers'!$L$3:$N$6,3,FALSE)=0,"Spatial Data Missing ⚠",VLOOKUP(U87,'G-3 Multipliers'!$L$3:$N$6,3,FALSE)))</f>
        <v/>
      </c>
      <c r="X87" s="498" t="str">
        <f>IFERROR(IF(OR(LEFT(O87,5)="Error ▲",LEFT(N87,5)="Error ▲",T87="Error ▲"),"Check Data ⚠",IF(F87&lt;R87,INDEX('G-6 Hedgerow Data'!$S$3:$AE$14,MATCH(C87,'G-6 Hedgerow Data'!$B$3:$B$14,0),MATCH(M87,'G-6 Hedgerow Data'!$S$2:$AE$2,0)),INDEX('G-6 Hedgerow Data'!$K$3:$Q$14,MATCH(M87,'G-6 Hedgerow Data'!$B$3:$B$14,0),MATCH(O87,'G-6 Hedgerow Data'!$K$2:$Q$2,0)))),"")</f>
        <v/>
      </c>
      <c r="Y87" s="195"/>
      <c r="Z87" s="195"/>
      <c r="AA87" s="507" t="str">
        <f t="shared" si="11"/>
        <v/>
      </c>
      <c r="AB87" s="521" t="str">
        <f t="shared" si="12"/>
        <v/>
      </c>
      <c r="AC87" s="522" t="str">
        <f t="shared" si="9"/>
        <v/>
      </c>
      <c r="AD87" s="537" t="str">
        <f>IF(M87="","",VLOOKUP(M87,'G-6 Hedgerow Data'!$B$3:$AG$15,31,FALSE))</f>
        <v/>
      </c>
      <c r="AE87" s="520" t="str">
        <f t="shared" si="13"/>
        <v/>
      </c>
      <c r="AF87" s="520" t="str">
        <f t="shared" si="14"/>
        <v/>
      </c>
      <c r="AG87" s="524" t="str">
        <f>IFERROR(IF(O87="","",VLOOKUP(AD87,'G-3 Multipliers'!$P$3:$Q$6,2,FALSE)),"")</f>
        <v/>
      </c>
      <c r="AH87" s="197"/>
      <c r="AI87" s="499" t="str">
        <f>IF(AH87="","",IF(VLOOKUP(AH87,'G-3 Multipliers'!$S$3:$T$6,2,FALSE)=0,"Spatial Data Missing ⚠",VLOOKUP(AH87,'G-3 Multipliers'!$S$3:$T$6,2,FALSE)))</f>
        <v/>
      </c>
      <c r="AJ87" s="545" t="str">
        <f t="shared" si="15"/>
        <v/>
      </c>
      <c r="AK87" s="149"/>
      <c r="AL87" s="150"/>
      <c r="AP87" s="31" t="str">
        <f>IFERROR(INDEX('G-6 Hedgerow Data'!$BJ$3:$BJ$15,MATCH(M87,'G-6 Hedgerow Data'!$B$3:$B$15,0)),"")</f>
        <v/>
      </c>
    </row>
    <row r="88" spans="2:42" ht="14" x14ac:dyDescent="0.3">
      <c r="B88" s="531" t="str">
        <f>'E-1 Off Site Hedge Baseline'!AK86</f>
        <v/>
      </c>
      <c r="C88" s="520" t="str">
        <f>IF(B88="","",IF(ISNA(VLOOKUP($B88,'E-1 Off Site Hedge Baseline'!$B$1:$L$257,3,FALSE)),"",(VLOOKUP($B88,'E-1 Off Site Hedge Baseline'!$B$1:$L$257,3,FALSE))))</f>
        <v/>
      </c>
      <c r="D88" s="520" t="str">
        <f>IF(B88="","",IF(ISNA(VLOOKUP($B88,'E-1 Off Site Hedge Baseline'!$B$1:$L$258,4,FALSE)),"",(VLOOKUP($B88,'E-1 Off Site Hedge Baseline'!$B$1:$L$258,4,FALSE))))</f>
        <v/>
      </c>
      <c r="E88" s="520" t="str">
        <f>IF(B88="","",IF(ISNA(VLOOKUP($B88,'E-1 Off Site Hedge Baseline'!$B$1:$L$257,5,FALSE)),"",(VLOOKUP($B88,'E-1 Off Site Hedge Baseline'!$B$1:$L$257,5,FALSE))))</f>
        <v/>
      </c>
      <c r="F88" s="520" t="str">
        <f>IF(B88="","",IF(ISNA(VLOOKUP($B88,'E-1 Off Site Hedge Baseline'!$B$1:$L$257,6,FALSE)),"",(VLOOKUP($B88,'E-1 Off Site Hedge Baseline'!$B$1:$L$257,6,FALSE))))</f>
        <v/>
      </c>
      <c r="G88" s="520" t="str">
        <f>IF(B88="","",IF(ISNA(VLOOKUP($B88,'E-1 Off Site Hedge Baseline'!$B$1:$L$257,7,FALSE)),"",(VLOOKUP($B88,'E-1 Off Site Hedge Baseline'!$B$1:$L$257,7,FALSE))))</f>
        <v/>
      </c>
      <c r="H88" s="520" t="str">
        <f>IF(B88="","",IF(ISNA(VLOOKUP($B88,'E-1 Off Site Hedge Baseline'!$B$1:$L$257,8,FALSE)),"",(VLOOKUP($B88,'E-1 Off Site Hedge Baseline'!$B$1:$L$257,8,FALSE))))</f>
        <v/>
      </c>
      <c r="I88" s="520" t="str">
        <f>IF(B88="","",IF(ISNA(VLOOKUP($B88,'E-1 Off Site Hedge Baseline'!$B$1:$L$257,10,FALSE)),"",(VLOOKUP($B88,'E-1 Off Site Hedge Baseline'!$B$1:$L$257,10,FALSE))))</f>
        <v/>
      </c>
      <c r="J88" s="520" t="str">
        <f>IF(B88="","",IF(ISNA(VLOOKUP($B88,'E-1 Off Site Hedge Baseline'!$B$1:$L$257,11,FALSE)),"",(VLOOKUP($B88,'E-1 Off Site Hedge Baseline'!$B$1:$L$257,11,FALSE))))</f>
        <v/>
      </c>
      <c r="K88" s="520" t="str">
        <f>IF(B88="","",IF(ISNA(VLOOKUP($B88,'E-1 Off Site Hedge Baseline'!$B$1:$U$257,113,FALSE)),"",(VLOOKUP($B88,'E-1 Off Site Hedge Baseline'!$B$1:$U$257,13,FALSE))))</f>
        <v/>
      </c>
      <c r="L88" s="507" t="str">
        <f>IF(B88="","",IF(ISNA(VLOOKUP($B88,'E-1 Off Site Hedge Baseline'!$B$1:$U$257,12,FALSE)),"",(VLOOKUP($B88,'E-1 Off Site Hedge Baseline'!$B$1:$U$257,12,FALSE))))</f>
        <v/>
      </c>
      <c r="M88" s="418" t="str">
        <f t="shared" si="16"/>
        <v/>
      </c>
      <c r="N88" s="498" t="str">
        <f>IFERROR(IF(B88="","",INDEX('G-6 Hedgerow Data'!$AN$3:$AZ$15,MATCH(C88,'G-6 Hedgerow Data'!$AM$3:$AM$15,0),MATCH(M88,'G-6 Hedgerow Data'!$AN$2:$AZ$2,0))),"")</f>
        <v/>
      </c>
      <c r="O88" s="499" t="str">
        <f t="shared" si="10"/>
        <v/>
      </c>
      <c r="P88" s="505" t="str">
        <f>IF(B88="","",VLOOKUP(B88,'E-1 Off Site Hedge Baseline'!$B$10:T333,16,FALSE))</f>
        <v/>
      </c>
      <c r="Q88" s="498" t="str">
        <f>IF(M88="","",VLOOKUP(M88,'G-6 Hedgerow Data'!$B$2:$AG$15,2,FALSE))</f>
        <v/>
      </c>
      <c r="R88" s="499" t="str">
        <f>IF(M88="","",VLOOKUP(M88,'G-6 Hedgerow Data'!$B$2:$AG$15,3,FALSE))</f>
        <v/>
      </c>
      <c r="S88" s="145"/>
      <c r="T88" s="499" t="str">
        <f>IFERROR(IF(AND(Q88="V.Low",OR(S88="Good",S88="Moderate")),"Error ▲",VLOOKUP(S88,'G-1 All Habitats'!$Z$2:$AA$9,2,FALSE)),"")</f>
        <v/>
      </c>
      <c r="U88" s="145"/>
      <c r="V88" s="507" t="str">
        <f>IF(U88="","",IF(VLOOKUP(U88,'G-3 Multipliers'!$L$3:$N$6,2,FALSE)=0,"Spatial Data Missing ⚠",VLOOKUP(U88,'G-3 Multipliers'!$L$3:$N$6,2,FALSE)))</f>
        <v/>
      </c>
      <c r="W88" s="505" t="str">
        <f>IF(U88="","",IF(VLOOKUP(U88,'G-3 Multipliers'!$L$3:$N$6,3,FALSE)=0,"Spatial Data Missing ⚠",VLOOKUP(U88,'G-3 Multipliers'!$L$3:$N$6,3,FALSE)))</f>
        <v/>
      </c>
      <c r="X88" s="498" t="str">
        <f>IFERROR(IF(OR(LEFT(O88,5)="Error ▲",LEFT(N88,5)="Error ▲",T88="Error ▲"),"Check Data ⚠",IF(F88&lt;R88,INDEX('G-6 Hedgerow Data'!$S$3:$AE$14,MATCH(C88,'G-6 Hedgerow Data'!$B$3:$B$14,0),MATCH(M88,'G-6 Hedgerow Data'!$S$2:$AE$2,0)),INDEX('G-6 Hedgerow Data'!$K$3:$Q$14,MATCH(M88,'G-6 Hedgerow Data'!$B$3:$B$14,0),MATCH(O88,'G-6 Hedgerow Data'!$K$2:$Q$2,0)))),"")</f>
        <v/>
      </c>
      <c r="Y88" s="195"/>
      <c r="Z88" s="195"/>
      <c r="AA88" s="507" t="str">
        <f t="shared" si="11"/>
        <v/>
      </c>
      <c r="AB88" s="521" t="str">
        <f t="shared" si="12"/>
        <v/>
      </c>
      <c r="AC88" s="522" t="str">
        <f t="shared" si="9"/>
        <v/>
      </c>
      <c r="AD88" s="537" t="str">
        <f>IF(M88="","",VLOOKUP(M88,'G-6 Hedgerow Data'!$B$3:$AG$15,31,FALSE))</f>
        <v/>
      </c>
      <c r="AE88" s="520" t="str">
        <f t="shared" si="13"/>
        <v/>
      </c>
      <c r="AF88" s="520" t="str">
        <f t="shared" si="14"/>
        <v/>
      </c>
      <c r="AG88" s="524" t="str">
        <f>IFERROR(IF(O88="","",VLOOKUP(AD88,'G-3 Multipliers'!$P$3:$Q$6,2,FALSE)),"")</f>
        <v/>
      </c>
      <c r="AH88" s="197"/>
      <c r="AI88" s="499" t="str">
        <f>IF(AH88="","",IF(VLOOKUP(AH88,'G-3 Multipliers'!$S$3:$T$6,2,FALSE)=0,"Spatial Data Missing ⚠",VLOOKUP(AH88,'G-3 Multipliers'!$S$3:$T$6,2,FALSE)))</f>
        <v/>
      </c>
      <c r="AJ88" s="545" t="str">
        <f t="shared" si="15"/>
        <v/>
      </c>
      <c r="AK88" s="149"/>
      <c r="AL88" s="150"/>
      <c r="AP88" s="31" t="str">
        <f>IFERROR(INDEX('G-6 Hedgerow Data'!$BJ$3:$BJ$15,MATCH(M88,'G-6 Hedgerow Data'!$B$3:$B$15,0)),"")</f>
        <v/>
      </c>
    </row>
    <row r="89" spans="2:42" ht="14" x14ac:dyDescent="0.3">
      <c r="B89" s="531" t="str">
        <f>'E-1 Off Site Hedge Baseline'!AK87</f>
        <v/>
      </c>
      <c r="C89" s="520" t="str">
        <f>IF(B89="","",IF(ISNA(VLOOKUP($B89,'E-1 Off Site Hedge Baseline'!$B$1:$L$257,3,FALSE)),"",(VLOOKUP($B89,'E-1 Off Site Hedge Baseline'!$B$1:$L$257,3,FALSE))))</f>
        <v/>
      </c>
      <c r="D89" s="520" t="str">
        <f>IF(B89="","",IF(ISNA(VLOOKUP($B89,'E-1 Off Site Hedge Baseline'!$B$1:$L$258,4,FALSE)),"",(VLOOKUP($B89,'E-1 Off Site Hedge Baseline'!$B$1:$L$258,4,FALSE))))</f>
        <v/>
      </c>
      <c r="E89" s="520" t="str">
        <f>IF(B89="","",IF(ISNA(VLOOKUP($B89,'E-1 Off Site Hedge Baseline'!$B$1:$L$257,5,FALSE)),"",(VLOOKUP($B89,'E-1 Off Site Hedge Baseline'!$B$1:$L$257,5,FALSE))))</f>
        <v/>
      </c>
      <c r="F89" s="520" t="str">
        <f>IF(B89="","",IF(ISNA(VLOOKUP($B89,'E-1 Off Site Hedge Baseline'!$B$1:$L$257,6,FALSE)),"",(VLOOKUP($B89,'E-1 Off Site Hedge Baseline'!$B$1:$L$257,6,FALSE))))</f>
        <v/>
      </c>
      <c r="G89" s="520" t="str">
        <f>IF(B89="","",IF(ISNA(VLOOKUP($B89,'E-1 Off Site Hedge Baseline'!$B$1:$L$257,7,FALSE)),"",(VLOOKUP($B89,'E-1 Off Site Hedge Baseline'!$B$1:$L$257,7,FALSE))))</f>
        <v/>
      </c>
      <c r="H89" s="520" t="str">
        <f>IF(B89="","",IF(ISNA(VLOOKUP($B89,'E-1 Off Site Hedge Baseline'!$B$1:$L$257,8,FALSE)),"",(VLOOKUP($B89,'E-1 Off Site Hedge Baseline'!$B$1:$L$257,8,FALSE))))</f>
        <v/>
      </c>
      <c r="I89" s="520" t="str">
        <f>IF(B89="","",IF(ISNA(VLOOKUP($B89,'E-1 Off Site Hedge Baseline'!$B$1:$L$257,10,FALSE)),"",(VLOOKUP($B89,'E-1 Off Site Hedge Baseline'!$B$1:$L$257,10,FALSE))))</f>
        <v/>
      </c>
      <c r="J89" s="520" t="str">
        <f>IF(B89="","",IF(ISNA(VLOOKUP($B89,'E-1 Off Site Hedge Baseline'!$B$1:$L$257,11,FALSE)),"",(VLOOKUP($B89,'E-1 Off Site Hedge Baseline'!$B$1:$L$257,11,FALSE))))</f>
        <v/>
      </c>
      <c r="K89" s="520" t="str">
        <f>IF(B89="","",IF(ISNA(VLOOKUP($B89,'E-1 Off Site Hedge Baseline'!$B$1:$U$257,113,FALSE)),"",(VLOOKUP($B89,'E-1 Off Site Hedge Baseline'!$B$1:$U$257,13,FALSE))))</f>
        <v/>
      </c>
      <c r="L89" s="507" t="str">
        <f>IF(B89="","",IF(ISNA(VLOOKUP($B89,'E-1 Off Site Hedge Baseline'!$B$1:$U$257,12,FALSE)),"",(VLOOKUP($B89,'E-1 Off Site Hedge Baseline'!$B$1:$U$257,12,FALSE))))</f>
        <v/>
      </c>
      <c r="M89" s="418" t="str">
        <f t="shared" si="16"/>
        <v/>
      </c>
      <c r="N89" s="498" t="str">
        <f>IFERROR(IF(B89="","",INDEX('G-6 Hedgerow Data'!$AN$3:$AZ$15,MATCH(C89,'G-6 Hedgerow Data'!$AM$3:$AM$15,0),MATCH(M89,'G-6 Hedgerow Data'!$AN$2:$AZ$2,0))),"")</f>
        <v/>
      </c>
      <c r="O89" s="499" t="str">
        <f t="shared" si="10"/>
        <v/>
      </c>
      <c r="P89" s="505" t="str">
        <f>IF(B89="","",VLOOKUP(B89,'E-1 Off Site Hedge Baseline'!$B$10:T334,16,FALSE))</f>
        <v/>
      </c>
      <c r="Q89" s="498" t="str">
        <f>IF(M89="","",VLOOKUP(M89,'G-6 Hedgerow Data'!$B$2:$AG$15,2,FALSE))</f>
        <v/>
      </c>
      <c r="R89" s="499" t="str">
        <f>IF(M89="","",VLOOKUP(M89,'G-6 Hedgerow Data'!$B$2:$AG$15,3,FALSE))</f>
        <v/>
      </c>
      <c r="S89" s="145"/>
      <c r="T89" s="499" t="str">
        <f>IFERROR(IF(AND(Q89="V.Low",OR(S89="Good",S89="Moderate")),"Error ▲",VLOOKUP(S89,'G-1 All Habitats'!$Z$2:$AA$9,2,FALSE)),"")</f>
        <v/>
      </c>
      <c r="U89" s="145"/>
      <c r="V89" s="507" t="str">
        <f>IF(U89="","",IF(VLOOKUP(U89,'G-3 Multipliers'!$L$3:$N$6,2,FALSE)=0,"Spatial Data Missing ⚠",VLOOKUP(U89,'G-3 Multipliers'!$L$3:$N$6,2,FALSE)))</f>
        <v/>
      </c>
      <c r="W89" s="505" t="str">
        <f>IF(U89="","",IF(VLOOKUP(U89,'G-3 Multipliers'!$L$3:$N$6,3,FALSE)=0,"Spatial Data Missing ⚠",VLOOKUP(U89,'G-3 Multipliers'!$L$3:$N$6,3,FALSE)))</f>
        <v/>
      </c>
      <c r="X89" s="498" t="str">
        <f>IFERROR(IF(OR(LEFT(O89,5)="Error ▲",LEFT(N89,5)="Error ▲",T89="Error ▲"),"Check Data ⚠",IF(F89&lt;R89,INDEX('G-6 Hedgerow Data'!$S$3:$AE$14,MATCH(C89,'G-6 Hedgerow Data'!$B$3:$B$14,0),MATCH(M89,'G-6 Hedgerow Data'!$S$2:$AE$2,0)),INDEX('G-6 Hedgerow Data'!$K$3:$Q$14,MATCH(M89,'G-6 Hedgerow Data'!$B$3:$B$14,0),MATCH(O89,'G-6 Hedgerow Data'!$K$2:$Q$2,0)))),"")</f>
        <v/>
      </c>
      <c r="Y89" s="195"/>
      <c r="Z89" s="195"/>
      <c r="AA89" s="507" t="str">
        <f t="shared" si="11"/>
        <v/>
      </c>
      <c r="AB89" s="521" t="str">
        <f t="shared" si="12"/>
        <v/>
      </c>
      <c r="AC89" s="522" t="str">
        <f t="shared" si="9"/>
        <v/>
      </c>
      <c r="AD89" s="537" t="str">
        <f>IF(M89="","",VLOOKUP(M89,'G-6 Hedgerow Data'!$B$3:$AG$15,31,FALSE))</f>
        <v/>
      </c>
      <c r="AE89" s="520" t="str">
        <f t="shared" si="13"/>
        <v/>
      </c>
      <c r="AF89" s="520" t="str">
        <f t="shared" si="14"/>
        <v/>
      </c>
      <c r="AG89" s="524" t="str">
        <f>IFERROR(IF(O89="","",VLOOKUP(AD89,'G-3 Multipliers'!$P$3:$Q$6,2,FALSE)),"")</f>
        <v/>
      </c>
      <c r="AH89" s="197"/>
      <c r="AI89" s="499" t="str">
        <f>IF(AH89="","",IF(VLOOKUP(AH89,'G-3 Multipliers'!$S$3:$T$6,2,FALSE)=0,"Spatial Data Missing ⚠",VLOOKUP(AH89,'G-3 Multipliers'!$S$3:$T$6,2,FALSE)))</f>
        <v/>
      </c>
      <c r="AJ89" s="545" t="str">
        <f t="shared" si="15"/>
        <v/>
      </c>
      <c r="AK89" s="149"/>
      <c r="AL89" s="150"/>
      <c r="AP89" s="31" t="str">
        <f>IFERROR(INDEX('G-6 Hedgerow Data'!$BJ$3:$BJ$15,MATCH(M89,'G-6 Hedgerow Data'!$B$3:$B$15,0)),"")</f>
        <v/>
      </c>
    </row>
    <row r="90" spans="2:42" ht="14" x14ac:dyDescent="0.3">
      <c r="B90" s="531" t="str">
        <f>'E-1 Off Site Hedge Baseline'!AK88</f>
        <v/>
      </c>
      <c r="C90" s="520" t="str">
        <f>IF(B90="","",IF(ISNA(VLOOKUP($B90,'E-1 Off Site Hedge Baseline'!$B$1:$L$257,3,FALSE)),"",(VLOOKUP($B90,'E-1 Off Site Hedge Baseline'!$B$1:$L$257,3,FALSE))))</f>
        <v/>
      </c>
      <c r="D90" s="520" t="str">
        <f>IF(B90="","",IF(ISNA(VLOOKUP($B90,'E-1 Off Site Hedge Baseline'!$B$1:$L$258,4,FALSE)),"",(VLOOKUP($B90,'E-1 Off Site Hedge Baseline'!$B$1:$L$258,4,FALSE))))</f>
        <v/>
      </c>
      <c r="E90" s="520" t="str">
        <f>IF(B90="","",IF(ISNA(VLOOKUP($B90,'E-1 Off Site Hedge Baseline'!$B$1:$L$257,5,FALSE)),"",(VLOOKUP($B90,'E-1 Off Site Hedge Baseline'!$B$1:$L$257,5,FALSE))))</f>
        <v/>
      </c>
      <c r="F90" s="520" t="str">
        <f>IF(B90="","",IF(ISNA(VLOOKUP($B90,'E-1 Off Site Hedge Baseline'!$B$1:$L$257,6,FALSE)),"",(VLOOKUP($B90,'E-1 Off Site Hedge Baseline'!$B$1:$L$257,6,FALSE))))</f>
        <v/>
      </c>
      <c r="G90" s="520" t="str">
        <f>IF(B90="","",IF(ISNA(VLOOKUP($B90,'E-1 Off Site Hedge Baseline'!$B$1:$L$257,7,FALSE)),"",(VLOOKUP($B90,'E-1 Off Site Hedge Baseline'!$B$1:$L$257,7,FALSE))))</f>
        <v/>
      </c>
      <c r="H90" s="520" t="str">
        <f>IF(B90="","",IF(ISNA(VLOOKUP($B90,'E-1 Off Site Hedge Baseline'!$B$1:$L$257,8,FALSE)),"",(VLOOKUP($B90,'E-1 Off Site Hedge Baseline'!$B$1:$L$257,8,FALSE))))</f>
        <v/>
      </c>
      <c r="I90" s="520" t="str">
        <f>IF(B90="","",IF(ISNA(VLOOKUP($B90,'E-1 Off Site Hedge Baseline'!$B$1:$L$257,10,FALSE)),"",(VLOOKUP($B90,'E-1 Off Site Hedge Baseline'!$B$1:$L$257,10,FALSE))))</f>
        <v/>
      </c>
      <c r="J90" s="520" t="str">
        <f>IF(B90="","",IF(ISNA(VLOOKUP($B90,'E-1 Off Site Hedge Baseline'!$B$1:$L$257,11,FALSE)),"",(VLOOKUP($B90,'E-1 Off Site Hedge Baseline'!$B$1:$L$257,11,FALSE))))</f>
        <v/>
      </c>
      <c r="K90" s="520" t="str">
        <f>IF(B90="","",IF(ISNA(VLOOKUP($B90,'E-1 Off Site Hedge Baseline'!$B$1:$U$257,113,FALSE)),"",(VLOOKUP($B90,'E-1 Off Site Hedge Baseline'!$B$1:$U$257,13,FALSE))))</f>
        <v/>
      </c>
      <c r="L90" s="507" t="str">
        <f>IF(B90="","",IF(ISNA(VLOOKUP($B90,'E-1 Off Site Hedge Baseline'!$B$1:$U$257,12,FALSE)),"",(VLOOKUP($B90,'E-1 Off Site Hedge Baseline'!$B$1:$U$257,12,FALSE))))</f>
        <v/>
      </c>
      <c r="M90" s="418" t="str">
        <f t="shared" si="16"/>
        <v/>
      </c>
      <c r="N90" s="498" t="str">
        <f>IFERROR(IF(B90="","",INDEX('G-6 Hedgerow Data'!$AN$3:$AZ$15,MATCH(C90,'G-6 Hedgerow Data'!$AM$3:$AM$15,0),MATCH(M90,'G-6 Hedgerow Data'!$AN$2:$AZ$2,0))),"")</f>
        <v/>
      </c>
      <c r="O90" s="499" t="str">
        <f t="shared" si="10"/>
        <v/>
      </c>
      <c r="P90" s="505" t="str">
        <f>IF(B90="","",VLOOKUP(B90,'E-1 Off Site Hedge Baseline'!$B$10:T335,16,FALSE))</f>
        <v/>
      </c>
      <c r="Q90" s="498" t="str">
        <f>IF(M90="","",VLOOKUP(M90,'G-6 Hedgerow Data'!$B$2:$AG$15,2,FALSE))</f>
        <v/>
      </c>
      <c r="R90" s="499" t="str">
        <f>IF(M90="","",VLOOKUP(M90,'G-6 Hedgerow Data'!$B$2:$AG$15,3,FALSE))</f>
        <v/>
      </c>
      <c r="S90" s="145"/>
      <c r="T90" s="499" t="str">
        <f>IFERROR(IF(AND(Q90="V.Low",OR(S90="Good",S90="Moderate")),"Error ▲",VLOOKUP(S90,'G-1 All Habitats'!$Z$2:$AA$9,2,FALSE)),"")</f>
        <v/>
      </c>
      <c r="U90" s="145"/>
      <c r="V90" s="507" t="str">
        <f>IF(U90="","",IF(VLOOKUP(U90,'G-3 Multipliers'!$L$3:$N$6,2,FALSE)=0,"Spatial Data Missing ⚠",VLOOKUP(U90,'G-3 Multipliers'!$L$3:$N$6,2,FALSE)))</f>
        <v/>
      </c>
      <c r="W90" s="505" t="str">
        <f>IF(U90="","",IF(VLOOKUP(U90,'G-3 Multipliers'!$L$3:$N$6,3,FALSE)=0,"Spatial Data Missing ⚠",VLOOKUP(U90,'G-3 Multipliers'!$L$3:$N$6,3,FALSE)))</f>
        <v/>
      </c>
      <c r="X90" s="498" t="str">
        <f>IFERROR(IF(OR(LEFT(O90,5)="Error ▲",LEFT(N90,5)="Error ▲",T90="Error ▲"),"Check Data ⚠",IF(F90&lt;R90,INDEX('G-6 Hedgerow Data'!$S$3:$AE$14,MATCH(C90,'G-6 Hedgerow Data'!$B$3:$B$14,0),MATCH(M90,'G-6 Hedgerow Data'!$S$2:$AE$2,0)),INDEX('G-6 Hedgerow Data'!$K$3:$Q$14,MATCH(M90,'G-6 Hedgerow Data'!$B$3:$B$14,0),MATCH(O90,'G-6 Hedgerow Data'!$K$2:$Q$2,0)))),"")</f>
        <v/>
      </c>
      <c r="Y90" s="195"/>
      <c r="Z90" s="195"/>
      <c r="AA90" s="507" t="str">
        <f t="shared" si="11"/>
        <v/>
      </c>
      <c r="AB90" s="521" t="str">
        <f t="shared" si="12"/>
        <v/>
      </c>
      <c r="AC90" s="522" t="str">
        <f t="shared" si="9"/>
        <v/>
      </c>
      <c r="AD90" s="537" t="str">
        <f>IF(M90="","",VLOOKUP(M90,'G-6 Hedgerow Data'!$B$3:$AG$15,31,FALSE))</f>
        <v/>
      </c>
      <c r="AE90" s="520" t="str">
        <f t="shared" si="13"/>
        <v/>
      </c>
      <c r="AF90" s="520" t="str">
        <f t="shared" si="14"/>
        <v/>
      </c>
      <c r="AG90" s="524" t="str">
        <f>IFERROR(IF(O90="","",VLOOKUP(AD90,'G-3 Multipliers'!$P$3:$Q$6,2,FALSE)),"")</f>
        <v/>
      </c>
      <c r="AH90" s="197"/>
      <c r="AI90" s="499" t="str">
        <f>IF(AH90="","",IF(VLOOKUP(AH90,'G-3 Multipliers'!$S$3:$T$6,2,FALSE)=0,"Spatial Data Missing ⚠",VLOOKUP(AH90,'G-3 Multipliers'!$S$3:$T$6,2,FALSE)))</f>
        <v/>
      </c>
      <c r="AJ90" s="545" t="str">
        <f t="shared" si="15"/>
        <v/>
      </c>
      <c r="AK90" s="149"/>
      <c r="AL90" s="150"/>
      <c r="AP90" s="31" t="str">
        <f>IFERROR(INDEX('G-6 Hedgerow Data'!$BJ$3:$BJ$15,MATCH(M90,'G-6 Hedgerow Data'!$B$3:$B$15,0)),"")</f>
        <v/>
      </c>
    </row>
    <row r="91" spans="2:42" ht="14" x14ac:dyDescent="0.3">
      <c r="B91" s="531" t="str">
        <f>'E-1 Off Site Hedge Baseline'!AK89</f>
        <v/>
      </c>
      <c r="C91" s="520" t="str">
        <f>IF(B91="","",IF(ISNA(VLOOKUP($B91,'E-1 Off Site Hedge Baseline'!$B$1:$L$257,3,FALSE)),"",(VLOOKUP($B91,'E-1 Off Site Hedge Baseline'!$B$1:$L$257,3,FALSE))))</f>
        <v/>
      </c>
      <c r="D91" s="520" t="str">
        <f>IF(B91="","",IF(ISNA(VLOOKUP($B91,'E-1 Off Site Hedge Baseline'!$B$1:$L$258,4,FALSE)),"",(VLOOKUP($B91,'E-1 Off Site Hedge Baseline'!$B$1:$L$258,4,FALSE))))</f>
        <v/>
      </c>
      <c r="E91" s="520" t="str">
        <f>IF(B91="","",IF(ISNA(VLOOKUP($B91,'E-1 Off Site Hedge Baseline'!$B$1:$L$257,5,FALSE)),"",(VLOOKUP($B91,'E-1 Off Site Hedge Baseline'!$B$1:$L$257,5,FALSE))))</f>
        <v/>
      </c>
      <c r="F91" s="520" t="str">
        <f>IF(B91="","",IF(ISNA(VLOOKUP($B91,'E-1 Off Site Hedge Baseline'!$B$1:$L$257,6,FALSE)),"",(VLOOKUP($B91,'E-1 Off Site Hedge Baseline'!$B$1:$L$257,6,FALSE))))</f>
        <v/>
      </c>
      <c r="G91" s="520" t="str">
        <f>IF(B91="","",IF(ISNA(VLOOKUP($B91,'E-1 Off Site Hedge Baseline'!$B$1:$L$257,7,FALSE)),"",(VLOOKUP($B91,'E-1 Off Site Hedge Baseline'!$B$1:$L$257,7,FALSE))))</f>
        <v/>
      </c>
      <c r="H91" s="520" t="str">
        <f>IF(B91="","",IF(ISNA(VLOOKUP($B91,'E-1 Off Site Hedge Baseline'!$B$1:$L$257,8,FALSE)),"",(VLOOKUP($B91,'E-1 Off Site Hedge Baseline'!$B$1:$L$257,8,FALSE))))</f>
        <v/>
      </c>
      <c r="I91" s="520" t="str">
        <f>IF(B91="","",IF(ISNA(VLOOKUP($B91,'E-1 Off Site Hedge Baseline'!$B$1:$L$257,10,FALSE)),"",(VLOOKUP($B91,'E-1 Off Site Hedge Baseline'!$B$1:$L$257,10,FALSE))))</f>
        <v/>
      </c>
      <c r="J91" s="520" t="str">
        <f>IF(B91="","",IF(ISNA(VLOOKUP($B91,'E-1 Off Site Hedge Baseline'!$B$1:$L$257,11,FALSE)),"",(VLOOKUP($B91,'E-1 Off Site Hedge Baseline'!$B$1:$L$257,11,FALSE))))</f>
        <v/>
      </c>
      <c r="K91" s="520" t="str">
        <f>IF(B91="","",IF(ISNA(VLOOKUP($B91,'E-1 Off Site Hedge Baseline'!$B$1:$U$257,113,FALSE)),"",(VLOOKUP($B91,'E-1 Off Site Hedge Baseline'!$B$1:$U$257,13,FALSE))))</f>
        <v/>
      </c>
      <c r="L91" s="507" t="str">
        <f>IF(B91="","",IF(ISNA(VLOOKUP($B91,'E-1 Off Site Hedge Baseline'!$B$1:$U$257,12,FALSE)),"",(VLOOKUP($B91,'E-1 Off Site Hedge Baseline'!$B$1:$U$257,12,FALSE))))</f>
        <v/>
      </c>
      <c r="M91" s="418" t="str">
        <f t="shared" si="16"/>
        <v/>
      </c>
      <c r="N91" s="498" t="str">
        <f>IFERROR(IF(B91="","",INDEX('G-6 Hedgerow Data'!$AN$3:$AZ$15,MATCH(C91,'G-6 Hedgerow Data'!$AM$3:$AM$15,0),MATCH(M91,'G-6 Hedgerow Data'!$AN$2:$AZ$2,0))),"")</f>
        <v/>
      </c>
      <c r="O91" s="499" t="str">
        <f t="shared" si="10"/>
        <v/>
      </c>
      <c r="P91" s="505" t="str">
        <f>IF(B91="","",VLOOKUP(B91,'E-1 Off Site Hedge Baseline'!$B$10:T336,16,FALSE))</f>
        <v/>
      </c>
      <c r="Q91" s="498" t="str">
        <f>IF(M91="","",VLOOKUP(M91,'G-6 Hedgerow Data'!$B$2:$AG$15,2,FALSE))</f>
        <v/>
      </c>
      <c r="R91" s="499" t="str">
        <f>IF(M91="","",VLOOKUP(M91,'G-6 Hedgerow Data'!$B$2:$AG$15,3,FALSE))</f>
        <v/>
      </c>
      <c r="S91" s="145"/>
      <c r="T91" s="499" t="str">
        <f>IFERROR(IF(AND(Q91="V.Low",OR(S91="Good",S91="Moderate")),"Error ▲",VLOOKUP(S91,'G-1 All Habitats'!$Z$2:$AA$9,2,FALSE)),"")</f>
        <v/>
      </c>
      <c r="U91" s="145"/>
      <c r="V91" s="507" t="str">
        <f>IF(U91="","",IF(VLOOKUP(U91,'G-3 Multipliers'!$L$3:$N$6,2,FALSE)=0,"Spatial Data Missing ⚠",VLOOKUP(U91,'G-3 Multipliers'!$L$3:$N$6,2,FALSE)))</f>
        <v/>
      </c>
      <c r="W91" s="505" t="str">
        <f>IF(U91="","",IF(VLOOKUP(U91,'G-3 Multipliers'!$L$3:$N$6,3,FALSE)=0,"Spatial Data Missing ⚠",VLOOKUP(U91,'G-3 Multipliers'!$L$3:$N$6,3,FALSE)))</f>
        <v/>
      </c>
      <c r="X91" s="498" t="str">
        <f>IFERROR(IF(OR(LEFT(O91,5)="Error ▲",LEFT(N91,5)="Error ▲",T91="Error ▲"),"Check Data ⚠",IF(F91&lt;R91,INDEX('G-6 Hedgerow Data'!$S$3:$AE$14,MATCH(C91,'G-6 Hedgerow Data'!$B$3:$B$14,0),MATCH(M91,'G-6 Hedgerow Data'!$S$2:$AE$2,0)),INDEX('G-6 Hedgerow Data'!$K$3:$Q$14,MATCH(M91,'G-6 Hedgerow Data'!$B$3:$B$14,0),MATCH(O91,'G-6 Hedgerow Data'!$K$2:$Q$2,0)))),"")</f>
        <v/>
      </c>
      <c r="Y91" s="195"/>
      <c r="Z91" s="195"/>
      <c r="AA91" s="507" t="str">
        <f t="shared" si="11"/>
        <v/>
      </c>
      <c r="AB91" s="521" t="str">
        <f t="shared" si="12"/>
        <v/>
      </c>
      <c r="AC91" s="522" t="str">
        <f t="shared" si="9"/>
        <v/>
      </c>
      <c r="AD91" s="537" t="str">
        <f>IF(M91="","",VLOOKUP(M91,'G-6 Hedgerow Data'!$B$3:$AG$15,31,FALSE))</f>
        <v/>
      </c>
      <c r="AE91" s="520" t="str">
        <f t="shared" si="13"/>
        <v/>
      </c>
      <c r="AF91" s="520" t="str">
        <f t="shared" si="14"/>
        <v/>
      </c>
      <c r="AG91" s="524" t="str">
        <f>IFERROR(IF(O91="","",VLOOKUP(AD91,'G-3 Multipliers'!$P$3:$Q$6,2,FALSE)),"")</f>
        <v/>
      </c>
      <c r="AH91" s="197"/>
      <c r="AI91" s="499" t="str">
        <f>IF(AH91="","",IF(VLOOKUP(AH91,'G-3 Multipliers'!$S$3:$T$6,2,FALSE)=0,"Spatial Data Missing ⚠",VLOOKUP(AH91,'G-3 Multipliers'!$S$3:$T$6,2,FALSE)))</f>
        <v/>
      </c>
      <c r="AJ91" s="545" t="str">
        <f t="shared" si="15"/>
        <v/>
      </c>
      <c r="AK91" s="149"/>
      <c r="AL91" s="150"/>
      <c r="AP91" s="31" t="str">
        <f>IFERROR(INDEX('G-6 Hedgerow Data'!$BJ$3:$BJ$15,MATCH(M91,'G-6 Hedgerow Data'!$B$3:$B$15,0)),"")</f>
        <v/>
      </c>
    </row>
    <row r="92" spans="2:42" ht="14" x14ac:dyDescent="0.3">
      <c r="B92" s="531" t="str">
        <f>'E-1 Off Site Hedge Baseline'!AK90</f>
        <v/>
      </c>
      <c r="C92" s="520" t="str">
        <f>IF(B92="","",IF(ISNA(VLOOKUP($B92,'E-1 Off Site Hedge Baseline'!$B$1:$L$257,3,FALSE)),"",(VLOOKUP($B92,'E-1 Off Site Hedge Baseline'!$B$1:$L$257,3,FALSE))))</f>
        <v/>
      </c>
      <c r="D92" s="520" t="str">
        <f>IF(B92="","",IF(ISNA(VLOOKUP($B92,'E-1 Off Site Hedge Baseline'!$B$1:$L$258,4,FALSE)),"",(VLOOKUP($B92,'E-1 Off Site Hedge Baseline'!$B$1:$L$258,4,FALSE))))</f>
        <v/>
      </c>
      <c r="E92" s="520" t="str">
        <f>IF(B92="","",IF(ISNA(VLOOKUP($B92,'E-1 Off Site Hedge Baseline'!$B$1:$L$257,5,FALSE)),"",(VLOOKUP($B92,'E-1 Off Site Hedge Baseline'!$B$1:$L$257,5,FALSE))))</f>
        <v/>
      </c>
      <c r="F92" s="520" t="str">
        <f>IF(B92="","",IF(ISNA(VLOOKUP($B92,'E-1 Off Site Hedge Baseline'!$B$1:$L$257,6,FALSE)),"",(VLOOKUP($B92,'E-1 Off Site Hedge Baseline'!$B$1:$L$257,6,FALSE))))</f>
        <v/>
      </c>
      <c r="G92" s="520" t="str">
        <f>IF(B92="","",IF(ISNA(VLOOKUP($B92,'E-1 Off Site Hedge Baseline'!$B$1:$L$257,7,FALSE)),"",(VLOOKUP($B92,'E-1 Off Site Hedge Baseline'!$B$1:$L$257,7,FALSE))))</f>
        <v/>
      </c>
      <c r="H92" s="520" t="str">
        <f>IF(B92="","",IF(ISNA(VLOOKUP($B92,'E-1 Off Site Hedge Baseline'!$B$1:$L$257,8,FALSE)),"",(VLOOKUP($B92,'E-1 Off Site Hedge Baseline'!$B$1:$L$257,8,FALSE))))</f>
        <v/>
      </c>
      <c r="I92" s="520" t="str">
        <f>IF(B92="","",IF(ISNA(VLOOKUP($B92,'E-1 Off Site Hedge Baseline'!$B$1:$L$257,10,FALSE)),"",(VLOOKUP($B92,'E-1 Off Site Hedge Baseline'!$B$1:$L$257,10,FALSE))))</f>
        <v/>
      </c>
      <c r="J92" s="520" t="str">
        <f>IF(B92="","",IF(ISNA(VLOOKUP($B92,'E-1 Off Site Hedge Baseline'!$B$1:$L$257,11,FALSE)),"",(VLOOKUP($B92,'E-1 Off Site Hedge Baseline'!$B$1:$L$257,11,FALSE))))</f>
        <v/>
      </c>
      <c r="K92" s="520" t="str">
        <f>IF(B92="","",IF(ISNA(VLOOKUP($B92,'E-1 Off Site Hedge Baseline'!$B$1:$U$257,113,FALSE)),"",(VLOOKUP($B92,'E-1 Off Site Hedge Baseline'!$B$1:$U$257,13,FALSE))))</f>
        <v/>
      </c>
      <c r="L92" s="507" t="str">
        <f>IF(B92="","",IF(ISNA(VLOOKUP($B92,'E-1 Off Site Hedge Baseline'!$B$1:$U$257,12,FALSE)),"",(VLOOKUP($B92,'E-1 Off Site Hedge Baseline'!$B$1:$U$257,12,FALSE))))</f>
        <v/>
      </c>
      <c r="M92" s="418" t="str">
        <f t="shared" si="16"/>
        <v/>
      </c>
      <c r="N92" s="498" t="str">
        <f>IFERROR(IF(B92="","",INDEX('G-6 Hedgerow Data'!$AN$3:$AZ$15,MATCH(C92,'G-6 Hedgerow Data'!$AM$3:$AM$15,0),MATCH(M92,'G-6 Hedgerow Data'!$AN$2:$AZ$2,0))),"")</f>
        <v/>
      </c>
      <c r="O92" s="499" t="str">
        <f t="shared" si="10"/>
        <v/>
      </c>
      <c r="P92" s="505" t="str">
        <f>IF(B92="","",VLOOKUP(B92,'E-1 Off Site Hedge Baseline'!$B$10:T337,16,FALSE))</f>
        <v/>
      </c>
      <c r="Q92" s="498" t="str">
        <f>IF(M92="","",VLOOKUP(M92,'G-6 Hedgerow Data'!$B$2:$AG$15,2,FALSE))</f>
        <v/>
      </c>
      <c r="R92" s="499" t="str">
        <f>IF(M92="","",VLOOKUP(M92,'G-6 Hedgerow Data'!$B$2:$AG$15,3,FALSE))</f>
        <v/>
      </c>
      <c r="S92" s="145"/>
      <c r="T92" s="499" t="str">
        <f>IFERROR(IF(AND(Q92="V.Low",OR(S92="Good",S92="Moderate")),"Error ▲",VLOOKUP(S92,'G-1 All Habitats'!$Z$2:$AA$9,2,FALSE)),"")</f>
        <v/>
      </c>
      <c r="U92" s="145"/>
      <c r="V92" s="507" t="str">
        <f>IF(U92="","",IF(VLOOKUP(U92,'G-3 Multipliers'!$L$3:$N$6,2,FALSE)=0,"Spatial Data Missing ⚠",VLOOKUP(U92,'G-3 Multipliers'!$L$3:$N$6,2,FALSE)))</f>
        <v/>
      </c>
      <c r="W92" s="505" t="str">
        <f>IF(U92="","",IF(VLOOKUP(U92,'G-3 Multipliers'!$L$3:$N$6,3,FALSE)=0,"Spatial Data Missing ⚠",VLOOKUP(U92,'G-3 Multipliers'!$L$3:$N$6,3,FALSE)))</f>
        <v/>
      </c>
      <c r="X92" s="498" t="str">
        <f>IFERROR(IF(OR(LEFT(O92,5)="Error ▲",LEFT(N92,5)="Error ▲",T92="Error ▲"),"Check Data ⚠",IF(F92&lt;R92,INDEX('G-6 Hedgerow Data'!$S$3:$AE$14,MATCH(C92,'G-6 Hedgerow Data'!$B$3:$B$14,0),MATCH(M92,'G-6 Hedgerow Data'!$S$2:$AE$2,0)),INDEX('G-6 Hedgerow Data'!$K$3:$Q$14,MATCH(M92,'G-6 Hedgerow Data'!$B$3:$B$14,0),MATCH(O92,'G-6 Hedgerow Data'!$K$2:$Q$2,0)))),"")</f>
        <v/>
      </c>
      <c r="Y92" s="195"/>
      <c r="Z92" s="195"/>
      <c r="AA92" s="507" t="str">
        <f t="shared" si="11"/>
        <v/>
      </c>
      <c r="AB92" s="521" t="str">
        <f t="shared" si="12"/>
        <v/>
      </c>
      <c r="AC92" s="522" t="str">
        <f t="shared" si="9"/>
        <v/>
      </c>
      <c r="AD92" s="537" t="str">
        <f>IF(M92="","",VLOOKUP(M92,'G-6 Hedgerow Data'!$B$3:$AG$15,31,FALSE))</f>
        <v/>
      </c>
      <c r="AE92" s="520" t="str">
        <f t="shared" si="13"/>
        <v/>
      </c>
      <c r="AF92" s="520" t="str">
        <f t="shared" si="14"/>
        <v/>
      </c>
      <c r="AG92" s="524" t="str">
        <f>IFERROR(IF(O92="","",VLOOKUP(AD92,'G-3 Multipliers'!$P$3:$Q$6,2,FALSE)),"")</f>
        <v/>
      </c>
      <c r="AH92" s="197"/>
      <c r="AI92" s="499" t="str">
        <f>IF(AH92="","",IF(VLOOKUP(AH92,'G-3 Multipliers'!$S$3:$T$6,2,FALSE)=0,"Spatial Data Missing ⚠",VLOOKUP(AH92,'G-3 Multipliers'!$S$3:$T$6,2,FALSE)))</f>
        <v/>
      </c>
      <c r="AJ92" s="545" t="str">
        <f t="shared" si="15"/>
        <v/>
      </c>
      <c r="AK92" s="149"/>
      <c r="AL92" s="150"/>
      <c r="AP92" s="31" t="str">
        <f>IFERROR(INDEX('G-6 Hedgerow Data'!$BJ$3:$BJ$15,MATCH(M92,'G-6 Hedgerow Data'!$B$3:$B$15,0)),"")</f>
        <v/>
      </c>
    </row>
    <row r="93" spans="2:42" ht="14" x14ac:dyDescent="0.3">
      <c r="B93" s="531" t="str">
        <f>'E-1 Off Site Hedge Baseline'!AK91</f>
        <v/>
      </c>
      <c r="C93" s="520" t="str">
        <f>IF(B93="","",IF(ISNA(VLOOKUP($B93,'E-1 Off Site Hedge Baseline'!$B$1:$L$257,3,FALSE)),"",(VLOOKUP($B93,'E-1 Off Site Hedge Baseline'!$B$1:$L$257,3,FALSE))))</f>
        <v/>
      </c>
      <c r="D93" s="520" t="str">
        <f>IF(B93="","",IF(ISNA(VLOOKUP($B93,'E-1 Off Site Hedge Baseline'!$B$1:$L$258,4,FALSE)),"",(VLOOKUP($B93,'E-1 Off Site Hedge Baseline'!$B$1:$L$258,4,FALSE))))</f>
        <v/>
      </c>
      <c r="E93" s="520" t="str">
        <f>IF(B93="","",IF(ISNA(VLOOKUP($B93,'E-1 Off Site Hedge Baseline'!$B$1:$L$257,5,FALSE)),"",(VLOOKUP($B93,'E-1 Off Site Hedge Baseline'!$B$1:$L$257,5,FALSE))))</f>
        <v/>
      </c>
      <c r="F93" s="520" t="str">
        <f>IF(B93="","",IF(ISNA(VLOOKUP($B93,'E-1 Off Site Hedge Baseline'!$B$1:$L$257,6,FALSE)),"",(VLOOKUP($B93,'E-1 Off Site Hedge Baseline'!$B$1:$L$257,6,FALSE))))</f>
        <v/>
      </c>
      <c r="G93" s="520" t="str">
        <f>IF(B93="","",IF(ISNA(VLOOKUP($B93,'E-1 Off Site Hedge Baseline'!$B$1:$L$257,7,FALSE)),"",(VLOOKUP($B93,'E-1 Off Site Hedge Baseline'!$B$1:$L$257,7,FALSE))))</f>
        <v/>
      </c>
      <c r="H93" s="520" t="str">
        <f>IF(B93="","",IF(ISNA(VLOOKUP($B93,'E-1 Off Site Hedge Baseline'!$B$1:$L$257,8,FALSE)),"",(VLOOKUP($B93,'E-1 Off Site Hedge Baseline'!$B$1:$L$257,8,FALSE))))</f>
        <v/>
      </c>
      <c r="I93" s="520" t="str">
        <f>IF(B93="","",IF(ISNA(VLOOKUP($B93,'E-1 Off Site Hedge Baseline'!$B$1:$L$257,10,FALSE)),"",(VLOOKUP($B93,'E-1 Off Site Hedge Baseline'!$B$1:$L$257,10,FALSE))))</f>
        <v/>
      </c>
      <c r="J93" s="520" t="str">
        <f>IF(B93="","",IF(ISNA(VLOOKUP($B93,'E-1 Off Site Hedge Baseline'!$B$1:$L$257,11,FALSE)),"",(VLOOKUP($B93,'E-1 Off Site Hedge Baseline'!$B$1:$L$257,11,FALSE))))</f>
        <v/>
      </c>
      <c r="K93" s="520" t="str">
        <f>IF(B93="","",IF(ISNA(VLOOKUP($B93,'E-1 Off Site Hedge Baseline'!$B$1:$U$257,113,FALSE)),"",(VLOOKUP($B93,'E-1 Off Site Hedge Baseline'!$B$1:$U$257,13,FALSE))))</f>
        <v/>
      </c>
      <c r="L93" s="507" t="str">
        <f>IF(B93="","",IF(ISNA(VLOOKUP($B93,'E-1 Off Site Hedge Baseline'!$B$1:$U$257,12,FALSE)),"",(VLOOKUP($B93,'E-1 Off Site Hedge Baseline'!$B$1:$U$257,12,FALSE))))</f>
        <v/>
      </c>
      <c r="M93" s="418" t="str">
        <f t="shared" si="16"/>
        <v/>
      </c>
      <c r="N93" s="498" t="str">
        <f>IFERROR(IF(B93="","",INDEX('G-6 Hedgerow Data'!$AN$3:$AZ$15,MATCH(C93,'G-6 Hedgerow Data'!$AM$3:$AM$15,0),MATCH(M93,'G-6 Hedgerow Data'!$AN$2:$AZ$2,0))),"")</f>
        <v/>
      </c>
      <c r="O93" s="499" t="str">
        <f t="shared" si="10"/>
        <v/>
      </c>
      <c r="P93" s="505" t="str">
        <f>IF(B93="","",VLOOKUP(B93,'E-1 Off Site Hedge Baseline'!$B$10:T338,16,FALSE))</f>
        <v/>
      </c>
      <c r="Q93" s="498" t="str">
        <f>IF(M93="","",VLOOKUP(M93,'G-6 Hedgerow Data'!$B$2:$AG$15,2,FALSE))</f>
        <v/>
      </c>
      <c r="R93" s="499" t="str">
        <f>IF(M93="","",VLOOKUP(M93,'G-6 Hedgerow Data'!$B$2:$AG$15,3,FALSE))</f>
        <v/>
      </c>
      <c r="S93" s="145"/>
      <c r="T93" s="499" t="str">
        <f>IFERROR(IF(AND(Q93="V.Low",OR(S93="Good",S93="Moderate")),"Error ▲",VLOOKUP(S93,'G-1 All Habitats'!$Z$2:$AA$9,2,FALSE)),"")</f>
        <v/>
      </c>
      <c r="U93" s="145"/>
      <c r="V93" s="507" t="str">
        <f>IF(U93="","",IF(VLOOKUP(U93,'G-3 Multipliers'!$L$3:$N$6,2,FALSE)=0,"Spatial Data Missing ⚠",VLOOKUP(U93,'G-3 Multipliers'!$L$3:$N$6,2,FALSE)))</f>
        <v/>
      </c>
      <c r="W93" s="505" t="str">
        <f>IF(U93="","",IF(VLOOKUP(U93,'G-3 Multipliers'!$L$3:$N$6,3,FALSE)=0,"Spatial Data Missing ⚠",VLOOKUP(U93,'G-3 Multipliers'!$L$3:$N$6,3,FALSE)))</f>
        <v/>
      </c>
      <c r="X93" s="498" t="str">
        <f>IFERROR(IF(OR(LEFT(O93,5)="Error ▲",LEFT(N93,5)="Error ▲",T93="Error ▲"),"Check Data ⚠",IF(F93&lt;R93,INDEX('G-6 Hedgerow Data'!$S$3:$AE$14,MATCH(C93,'G-6 Hedgerow Data'!$B$3:$B$14,0),MATCH(M93,'G-6 Hedgerow Data'!$S$2:$AE$2,0)),INDEX('G-6 Hedgerow Data'!$K$3:$Q$14,MATCH(M93,'G-6 Hedgerow Data'!$B$3:$B$14,0),MATCH(O93,'G-6 Hedgerow Data'!$K$2:$Q$2,0)))),"")</f>
        <v/>
      </c>
      <c r="Y93" s="195"/>
      <c r="Z93" s="195"/>
      <c r="AA93" s="507" t="str">
        <f t="shared" si="11"/>
        <v/>
      </c>
      <c r="AB93" s="521" t="str">
        <f t="shared" si="12"/>
        <v/>
      </c>
      <c r="AC93" s="522" t="str">
        <f t="shared" si="9"/>
        <v/>
      </c>
      <c r="AD93" s="537" t="str">
        <f>IF(M93="","",VLOOKUP(M93,'G-6 Hedgerow Data'!$B$3:$AG$15,31,FALSE))</f>
        <v/>
      </c>
      <c r="AE93" s="520" t="str">
        <f t="shared" si="13"/>
        <v/>
      </c>
      <c r="AF93" s="520" t="str">
        <f t="shared" si="14"/>
        <v/>
      </c>
      <c r="AG93" s="524" t="str">
        <f>IFERROR(IF(O93="","",VLOOKUP(AD93,'G-3 Multipliers'!$P$3:$Q$6,2,FALSE)),"")</f>
        <v/>
      </c>
      <c r="AH93" s="197"/>
      <c r="AI93" s="499" t="str">
        <f>IF(AH93="","",IF(VLOOKUP(AH93,'G-3 Multipliers'!$S$3:$T$6,2,FALSE)=0,"Spatial Data Missing ⚠",VLOOKUP(AH93,'G-3 Multipliers'!$S$3:$T$6,2,FALSE)))</f>
        <v/>
      </c>
      <c r="AJ93" s="545" t="str">
        <f t="shared" si="15"/>
        <v/>
      </c>
      <c r="AK93" s="149"/>
      <c r="AL93" s="150"/>
      <c r="AP93" s="31" t="str">
        <f>IFERROR(INDEX('G-6 Hedgerow Data'!$BJ$3:$BJ$15,MATCH(M93,'G-6 Hedgerow Data'!$B$3:$B$15,0)),"")</f>
        <v/>
      </c>
    </row>
    <row r="94" spans="2:42" ht="14" x14ac:dyDescent="0.3">
      <c r="B94" s="531" t="str">
        <f>'E-1 Off Site Hedge Baseline'!AK92</f>
        <v/>
      </c>
      <c r="C94" s="520" t="str">
        <f>IF(B94="","",IF(ISNA(VLOOKUP($B94,'E-1 Off Site Hedge Baseline'!$B$1:$L$257,3,FALSE)),"",(VLOOKUP($B94,'E-1 Off Site Hedge Baseline'!$B$1:$L$257,3,FALSE))))</f>
        <v/>
      </c>
      <c r="D94" s="520" t="str">
        <f>IF(B94="","",IF(ISNA(VLOOKUP($B94,'E-1 Off Site Hedge Baseline'!$B$1:$L$258,4,FALSE)),"",(VLOOKUP($B94,'E-1 Off Site Hedge Baseline'!$B$1:$L$258,4,FALSE))))</f>
        <v/>
      </c>
      <c r="E94" s="520" t="str">
        <f>IF(B94="","",IF(ISNA(VLOOKUP($B94,'E-1 Off Site Hedge Baseline'!$B$1:$L$257,5,FALSE)),"",(VLOOKUP($B94,'E-1 Off Site Hedge Baseline'!$B$1:$L$257,5,FALSE))))</f>
        <v/>
      </c>
      <c r="F94" s="520" t="str">
        <f>IF(B94="","",IF(ISNA(VLOOKUP($B94,'E-1 Off Site Hedge Baseline'!$B$1:$L$257,6,FALSE)),"",(VLOOKUP($B94,'E-1 Off Site Hedge Baseline'!$B$1:$L$257,6,FALSE))))</f>
        <v/>
      </c>
      <c r="G94" s="520" t="str">
        <f>IF(B94="","",IF(ISNA(VLOOKUP($B94,'E-1 Off Site Hedge Baseline'!$B$1:$L$257,7,FALSE)),"",(VLOOKUP($B94,'E-1 Off Site Hedge Baseline'!$B$1:$L$257,7,FALSE))))</f>
        <v/>
      </c>
      <c r="H94" s="520" t="str">
        <f>IF(B94="","",IF(ISNA(VLOOKUP($B94,'E-1 Off Site Hedge Baseline'!$B$1:$L$257,8,FALSE)),"",(VLOOKUP($B94,'E-1 Off Site Hedge Baseline'!$B$1:$L$257,8,FALSE))))</f>
        <v/>
      </c>
      <c r="I94" s="520" t="str">
        <f>IF(B94="","",IF(ISNA(VLOOKUP($B94,'E-1 Off Site Hedge Baseline'!$B$1:$L$257,10,FALSE)),"",(VLOOKUP($B94,'E-1 Off Site Hedge Baseline'!$B$1:$L$257,10,FALSE))))</f>
        <v/>
      </c>
      <c r="J94" s="520" t="str">
        <f>IF(B94="","",IF(ISNA(VLOOKUP($B94,'E-1 Off Site Hedge Baseline'!$B$1:$L$257,11,FALSE)),"",(VLOOKUP($B94,'E-1 Off Site Hedge Baseline'!$B$1:$L$257,11,FALSE))))</f>
        <v/>
      </c>
      <c r="K94" s="520" t="str">
        <f>IF(B94="","",IF(ISNA(VLOOKUP($B94,'E-1 Off Site Hedge Baseline'!$B$1:$U$257,113,FALSE)),"",(VLOOKUP($B94,'E-1 Off Site Hedge Baseline'!$B$1:$U$257,13,FALSE))))</f>
        <v/>
      </c>
      <c r="L94" s="507" t="str">
        <f>IF(B94="","",IF(ISNA(VLOOKUP($B94,'E-1 Off Site Hedge Baseline'!$B$1:$U$257,12,FALSE)),"",(VLOOKUP($B94,'E-1 Off Site Hedge Baseline'!$B$1:$U$257,12,FALSE))))</f>
        <v/>
      </c>
      <c r="M94" s="418" t="str">
        <f t="shared" si="16"/>
        <v/>
      </c>
      <c r="N94" s="498" t="str">
        <f>IFERROR(IF(B94="","",INDEX('G-6 Hedgerow Data'!$AN$3:$AZ$15,MATCH(C94,'G-6 Hedgerow Data'!$AM$3:$AM$15,0),MATCH(M94,'G-6 Hedgerow Data'!$AN$2:$AZ$2,0))),"")</f>
        <v/>
      </c>
      <c r="O94" s="499" t="str">
        <f t="shared" si="10"/>
        <v/>
      </c>
      <c r="P94" s="505" t="str">
        <f>IF(B94="","",VLOOKUP(B94,'E-1 Off Site Hedge Baseline'!$B$10:T339,16,FALSE))</f>
        <v/>
      </c>
      <c r="Q94" s="498" t="str">
        <f>IF(M94="","",VLOOKUP(M94,'G-6 Hedgerow Data'!$B$2:$AG$15,2,FALSE))</f>
        <v/>
      </c>
      <c r="R94" s="499" t="str">
        <f>IF(M94="","",VLOOKUP(M94,'G-6 Hedgerow Data'!$B$2:$AG$15,3,FALSE))</f>
        <v/>
      </c>
      <c r="S94" s="145"/>
      <c r="T94" s="499" t="str">
        <f>IFERROR(IF(AND(Q94="V.Low",OR(S94="Good",S94="Moderate")),"Error ▲",VLOOKUP(S94,'G-1 All Habitats'!$Z$2:$AA$9,2,FALSE)),"")</f>
        <v/>
      </c>
      <c r="U94" s="145"/>
      <c r="V94" s="507" t="str">
        <f>IF(U94="","",IF(VLOOKUP(U94,'G-3 Multipliers'!$L$3:$N$6,2,FALSE)=0,"Spatial Data Missing ⚠",VLOOKUP(U94,'G-3 Multipliers'!$L$3:$N$6,2,FALSE)))</f>
        <v/>
      </c>
      <c r="W94" s="505" t="str">
        <f>IF(U94="","",IF(VLOOKUP(U94,'G-3 Multipliers'!$L$3:$N$6,3,FALSE)=0,"Spatial Data Missing ⚠",VLOOKUP(U94,'G-3 Multipliers'!$L$3:$N$6,3,FALSE)))</f>
        <v/>
      </c>
      <c r="X94" s="498" t="str">
        <f>IFERROR(IF(OR(LEFT(O94,5)="Error ▲",LEFT(N94,5)="Error ▲",T94="Error ▲"),"Check Data ⚠",IF(F94&lt;R94,INDEX('G-6 Hedgerow Data'!$S$3:$AE$14,MATCH(C94,'G-6 Hedgerow Data'!$B$3:$B$14,0),MATCH(M94,'G-6 Hedgerow Data'!$S$2:$AE$2,0)),INDEX('G-6 Hedgerow Data'!$K$3:$Q$14,MATCH(M94,'G-6 Hedgerow Data'!$B$3:$B$14,0),MATCH(O94,'G-6 Hedgerow Data'!$K$2:$Q$2,0)))),"")</f>
        <v/>
      </c>
      <c r="Y94" s="195"/>
      <c r="Z94" s="195"/>
      <c r="AA94" s="507" t="str">
        <f t="shared" si="11"/>
        <v/>
      </c>
      <c r="AB94" s="521" t="str">
        <f t="shared" si="12"/>
        <v/>
      </c>
      <c r="AC94" s="522" t="str">
        <f t="shared" si="9"/>
        <v/>
      </c>
      <c r="AD94" s="537" t="str">
        <f>IF(M94="","",VLOOKUP(M94,'G-6 Hedgerow Data'!$B$3:$AG$15,31,FALSE))</f>
        <v/>
      </c>
      <c r="AE94" s="520" t="str">
        <f t="shared" si="13"/>
        <v/>
      </c>
      <c r="AF94" s="520" t="str">
        <f t="shared" si="14"/>
        <v/>
      </c>
      <c r="AG94" s="524" t="str">
        <f>IFERROR(IF(O94="","",VLOOKUP(AD94,'G-3 Multipliers'!$P$3:$Q$6,2,FALSE)),"")</f>
        <v/>
      </c>
      <c r="AH94" s="197"/>
      <c r="AI94" s="499" t="str">
        <f>IF(AH94="","",IF(VLOOKUP(AH94,'G-3 Multipliers'!$S$3:$T$6,2,FALSE)=0,"Spatial Data Missing ⚠",VLOOKUP(AH94,'G-3 Multipliers'!$S$3:$T$6,2,FALSE)))</f>
        <v/>
      </c>
      <c r="AJ94" s="545" t="str">
        <f t="shared" si="15"/>
        <v/>
      </c>
      <c r="AK94" s="149"/>
      <c r="AL94" s="150"/>
      <c r="AP94" s="31" t="str">
        <f>IFERROR(INDEX('G-6 Hedgerow Data'!$BJ$3:$BJ$15,MATCH(M94,'G-6 Hedgerow Data'!$B$3:$B$15,0)),"")</f>
        <v/>
      </c>
    </row>
    <row r="95" spans="2:42" ht="14" x14ac:dyDescent="0.3">
      <c r="B95" s="531" t="str">
        <f>'E-1 Off Site Hedge Baseline'!AK93</f>
        <v/>
      </c>
      <c r="C95" s="520" t="str">
        <f>IF(B95="","",IF(ISNA(VLOOKUP($B95,'E-1 Off Site Hedge Baseline'!$B$1:$L$257,3,FALSE)),"",(VLOOKUP($B95,'E-1 Off Site Hedge Baseline'!$B$1:$L$257,3,FALSE))))</f>
        <v/>
      </c>
      <c r="D95" s="520" t="str">
        <f>IF(B95="","",IF(ISNA(VLOOKUP($B95,'E-1 Off Site Hedge Baseline'!$B$1:$L$258,4,FALSE)),"",(VLOOKUP($B95,'E-1 Off Site Hedge Baseline'!$B$1:$L$258,4,FALSE))))</f>
        <v/>
      </c>
      <c r="E95" s="520" t="str">
        <f>IF(B95="","",IF(ISNA(VLOOKUP($B95,'E-1 Off Site Hedge Baseline'!$B$1:$L$257,5,FALSE)),"",(VLOOKUP($B95,'E-1 Off Site Hedge Baseline'!$B$1:$L$257,5,FALSE))))</f>
        <v/>
      </c>
      <c r="F95" s="520" t="str">
        <f>IF(B95="","",IF(ISNA(VLOOKUP($B95,'E-1 Off Site Hedge Baseline'!$B$1:$L$257,6,FALSE)),"",(VLOOKUP($B95,'E-1 Off Site Hedge Baseline'!$B$1:$L$257,6,FALSE))))</f>
        <v/>
      </c>
      <c r="G95" s="520" t="str">
        <f>IF(B95="","",IF(ISNA(VLOOKUP($B95,'E-1 Off Site Hedge Baseline'!$B$1:$L$257,7,FALSE)),"",(VLOOKUP($B95,'E-1 Off Site Hedge Baseline'!$B$1:$L$257,7,FALSE))))</f>
        <v/>
      </c>
      <c r="H95" s="520" t="str">
        <f>IF(B95="","",IF(ISNA(VLOOKUP($B95,'E-1 Off Site Hedge Baseline'!$B$1:$L$257,8,FALSE)),"",(VLOOKUP($B95,'E-1 Off Site Hedge Baseline'!$B$1:$L$257,8,FALSE))))</f>
        <v/>
      </c>
      <c r="I95" s="520" t="str">
        <f>IF(B95="","",IF(ISNA(VLOOKUP($B95,'E-1 Off Site Hedge Baseline'!$B$1:$L$257,10,FALSE)),"",(VLOOKUP($B95,'E-1 Off Site Hedge Baseline'!$B$1:$L$257,10,FALSE))))</f>
        <v/>
      </c>
      <c r="J95" s="520" t="str">
        <f>IF(B95="","",IF(ISNA(VLOOKUP($B95,'E-1 Off Site Hedge Baseline'!$B$1:$L$257,11,FALSE)),"",(VLOOKUP($B95,'E-1 Off Site Hedge Baseline'!$B$1:$L$257,11,FALSE))))</f>
        <v/>
      </c>
      <c r="K95" s="520" t="str">
        <f>IF(B95="","",IF(ISNA(VLOOKUP($B95,'E-1 Off Site Hedge Baseline'!$B$1:$U$257,113,FALSE)),"",(VLOOKUP($B95,'E-1 Off Site Hedge Baseline'!$B$1:$U$257,13,FALSE))))</f>
        <v/>
      </c>
      <c r="L95" s="507" t="str">
        <f>IF(B95="","",IF(ISNA(VLOOKUP($B95,'E-1 Off Site Hedge Baseline'!$B$1:$U$257,12,FALSE)),"",(VLOOKUP($B95,'E-1 Off Site Hedge Baseline'!$B$1:$U$257,12,FALSE))))</f>
        <v/>
      </c>
      <c r="M95" s="418" t="str">
        <f t="shared" si="16"/>
        <v/>
      </c>
      <c r="N95" s="498" t="str">
        <f>IFERROR(IF(B95="","",INDEX('G-6 Hedgerow Data'!$AN$3:$AZ$15,MATCH(C95,'G-6 Hedgerow Data'!$AM$3:$AM$15,0),MATCH(M95,'G-6 Hedgerow Data'!$AN$2:$AZ$2,0))),"")</f>
        <v/>
      </c>
      <c r="O95" s="499" t="str">
        <f t="shared" si="10"/>
        <v/>
      </c>
      <c r="P95" s="505" t="str">
        <f>IF(B95="","",VLOOKUP(B95,'E-1 Off Site Hedge Baseline'!$B$10:T340,16,FALSE))</f>
        <v/>
      </c>
      <c r="Q95" s="498" t="str">
        <f>IF(M95="","",VLOOKUP(M95,'G-6 Hedgerow Data'!$B$2:$AG$15,2,FALSE))</f>
        <v/>
      </c>
      <c r="R95" s="499" t="str">
        <f>IF(M95="","",VLOOKUP(M95,'G-6 Hedgerow Data'!$B$2:$AG$15,3,FALSE))</f>
        <v/>
      </c>
      <c r="S95" s="145"/>
      <c r="T95" s="499" t="str">
        <f>IFERROR(IF(AND(Q95="V.Low",OR(S95="Good",S95="Moderate")),"Error ▲",VLOOKUP(S95,'G-1 All Habitats'!$Z$2:$AA$9,2,FALSE)),"")</f>
        <v/>
      </c>
      <c r="U95" s="145"/>
      <c r="V95" s="507" t="str">
        <f>IF(U95="","",IF(VLOOKUP(U95,'G-3 Multipliers'!$L$3:$N$6,2,FALSE)=0,"Spatial Data Missing ⚠",VLOOKUP(U95,'G-3 Multipliers'!$L$3:$N$6,2,FALSE)))</f>
        <v/>
      </c>
      <c r="W95" s="505" t="str">
        <f>IF(U95="","",IF(VLOOKUP(U95,'G-3 Multipliers'!$L$3:$N$6,3,FALSE)=0,"Spatial Data Missing ⚠",VLOOKUP(U95,'G-3 Multipliers'!$L$3:$N$6,3,FALSE)))</f>
        <v/>
      </c>
      <c r="X95" s="498" t="str">
        <f>IFERROR(IF(OR(LEFT(O95,5)="Error ▲",LEFT(N95,5)="Error ▲",T95="Error ▲"),"Check Data ⚠",IF(F95&lt;R95,INDEX('G-6 Hedgerow Data'!$S$3:$AE$14,MATCH(C95,'G-6 Hedgerow Data'!$B$3:$B$14,0),MATCH(M95,'G-6 Hedgerow Data'!$S$2:$AE$2,0)),INDEX('G-6 Hedgerow Data'!$K$3:$Q$14,MATCH(M95,'G-6 Hedgerow Data'!$B$3:$B$14,0),MATCH(O95,'G-6 Hedgerow Data'!$K$2:$Q$2,0)))),"")</f>
        <v/>
      </c>
      <c r="Y95" s="195"/>
      <c r="Z95" s="195"/>
      <c r="AA95" s="507" t="str">
        <f t="shared" si="11"/>
        <v/>
      </c>
      <c r="AB95" s="521" t="str">
        <f t="shared" si="12"/>
        <v/>
      </c>
      <c r="AC95" s="522" t="str">
        <f t="shared" si="9"/>
        <v/>
      </c>
      <c r="AD95" s="537" t="str">
        <f>IF(M95="","",VLOOKUP(M95,'G-6 Hedgerow Data'!$B$3:$AG$15,31,FALSE))</f>
        <v/>
      </c>
      <c r="AE95" s="520" t="str">
        <f t="shared" si="13"/>
        <v/>
      </c>
      <c r="AF95" s="520" t="str">
        <f t="shared" si="14"/>
        <v/>
      </c>
      <c r="AG95" s="524" t="str">
        <f>IFERROR(IF(O95="","",VLOOKUP(AD95,'G-3 Multipliers'!$P$3:$Q$6,2,FALSE)),"")</f>
        <v/>
      </c>
      <c r="AH95" s="197"/>
      <c r="AI95" s="499" t="str">
        <f>IF(AH95="","",IF(VLOOKUP(AH95,'G-3 Multipliers'!$S$3:$T$6,2,FALSE)=0,"Spatial Data Missing ⚠",VLOOKUP(AH95,'G-3 Multipliers'!$S$3:$T$6,2,FALSE)))</f>
        <v/>
      </c>
      <c r="AJ95" s="545" t="str">
        <f t="shared" si="15"/>
        <v/>
      </c>
      <c r="AK95" s="149"/>
      <c r="AL95" s="150"/>
      <c r="AP95" s="31" t="str">
        <f>IFERROR(INDEX('G-6 Hedgerow Data'!$BJ$3:$BJ$15,MATCH(M95,'G-6 Hedgerow Data'!$B$3:$B$15,0)),"")</f>
        <v/>
      </c>
    </row>
    <row r="96" spans="2:42" ht="14" x14ac:dyDescent="0.3">
      <c r="B96" s="531" t="str">
        <f>'E-1 Off Site Hedge Baseline'!AK94</f>
        <v/>
      </c>
      <c r="C96" s="520" t="str">
        <f>IF(B96="","",IF(ISNA(VLOOKUP($B96,'E-1 Off Site Hedge Baseline'!$B$1:$L$257,3,FALSE)),"",(VLOOKUP($B96,'E-1 Off Site Hedge Baseline'!$B$1:$L$257,3,FALSE))))</f>
        <v/>
      </c>
      <c r="D96" s="520" t="str">
        <f>IF(B96="","",IF(ISNA(VLOOKUP($B96,'E-1 Off Site Hedge Baseline'!$B$1:$L$258,4,FALSE)),"",(VLOOKUP($B96,'E-1 Off Site Hedge Baseline'!$B$1:$L$258,4,FALSE))))</f>
        <v/>
      </c>
      <c r="E96" s="520" t="str">
        <f>IF(B96="","",IF(ISNA(VLOOKUP($B96,'E-1 Off Site Hedge Baseline'!$B$1:$L$257,5,FALSE)),"",(VLOOKUP($B96,'E-1 Off Site Hedge Baseline'!$B$1:$L$257,5,FALSE))))</f>
        <v/>
      </c>
      <c r="F96" s="520" t="str">
        <f>IF(B96="","",IF(ISNA(VLOOKUP($B96,'E-1 Off Site Hedge Baseline'!$B$1:$L$257,6,FALSE)),"",(VLOOKUP($B96,'E-1 Off Site Hedge Baseline'!$B$1:$L$257,6,FALSE))))</f>
        <v/>
      </c>
      <c r="G96" s="520" t="str">
        <f>IF(B96="","",IF(ISNA(VLOOKUP($B96,'E-1 Off Site Hedge Baseline'!$B$1:$L$257,7,FALSE)),"",(VLOOKUP($B96,'E-1 Off Site Hedge Baseline'!$B$1:$L$257,7,FALSE))))</f>
        <v/>
      </c>
      <c r="H96" s="520" t="str">
        <f>IF(B96="","",IF(ISNA(VLOOKUP($B96,'E-1 Off Site Hedge Baseline'!$B$1:$L$257,8,FALSE)),"",(VLOOKUP($B96,'E-1 Off Site Hedge Baseline'!$B$1:$L$257,8,FALSE))))</f>
        <v/>
      </c>
      <c r="I96" s="520" t="str">
        <f>IF(B96="","",IF(ISNA(VLOOKUP($B96,'E-1 Off Site Hedge Baseline'!$B$1:$L$257,10,FALSE)),"",(VLOOKUP($B96,'E-1 Off Site Hedge Baseline'!$B$1:$L$257,10,FALSE))))</f>
        <v/>
      </c>
      <c r="J96" s="520" t="str">
        <f>IF(B96="","",IF(ISNA(VLOOKUP($B96,'E-1 Off Site Hedge Baseline'!$B$1:$L$257,11,FALSE)),"",(VLOOKUP($B96,'E-1 Off Site Hedge Baseline'!$B$1:$L$257,11,FALSE))))</f>
        <v/>
      </c>
      <c r="K96" s="520" t="str">
        <f>IF(B96="","",IF(ISNA(VLOOKUP($B96,'E-1 Off Site Hedge Baseline'!$B$1:$U$257,113,FALSE)),"",(VLOOKUP($B96,'E-1 Off Site Hedge Baseline'!$B$1:$U$257,13,FALSE))))</f>
        <v/>
      </c>
      <c r="L96" s="507" t="str">
        <f>IF(B96="","",IF(ISNA(VLOOKUP($B96,'E-1 Off Site Hedge Baseline'!$B$1:$U$257,12,FALSE)),"",(VLOOKUP($B96,'E-1 Off Site Hedge Baseline'!$B$1:$U$257,12,FALSE))))</f>
        <v/>
      </c>
      <c r="M96" s="418" t="str">
        <f t="shared" si="16"/>
        <v/>
      </c>
      <c r="N96" s="498" t="str">
        <f>IFERROR(IF(B96="","",INDEX('G-6 Hedgerow Data'!$AN$3:$AZ$15,MATCH(C96,'G-6 Hedgerow Data'!$AM$3:$AM$15,0),MATCH(M96,'G-6 Hedgerow Data'!$AN$2:$AZ$2,0))),"")</f>
        <v/>
      </c>
      <c r="O96" s="499" t="str">
        <f t="shared" si="10"/>
        <v/>
      </c>
      <c r="P96" s="505" t="str">
        <f>IF(B96="","",VLOOKUP(B96,'E-1 Off Site Hedge Baseline'!$B$10:T341,16,FALSE))</f>
        <v/>
      </c>
      <c r="Q96" s="498" t="str">
        <f>IF(M96="","",VLOOKUP(M96,'G-6 Hedgerow Data'!$B$2:$AG$15,2,FALSE))</f>
        <v/>
      </c>
      <c r="R96" s="499" t="str">
        <f>IF(M96="","",VLOOKUP(M96,'G-6 Hedgerow Data'!$B$2:$AG$15,3,FALSE))</f>
        <v/>
      </c>
      <c r="S96" s="145"/>
      <c r="T96" s="499" t="str">
        <f>IFERROR(IF(AND(Q96="V.Low",OR(S96="Good",S96="Moderate")),"Error ▲",VLOOKUP(S96,'G-1 All Habitats'!$Z$2:$AA$9,2,FALSE)),"")</f>
        <v/>
      </c>
      <c r="U96" s="145"/>
      <c r="V96" s="507" t="str">
        <f>IF(U96="","",IF(VLOOKUP(U96,'G-3 Multipliers'!$L$3:$N$6,2,FALSE)=0,"Spatial Data Missing ⚠",VLOOKUP(U96,'G-3 Multipliers'!$L$3:$N$6,2,FALSE)))</f>
        <v/>
      </c>
      <c r="W96" s="505" t="str">
        <f>IF(U96="","",IF(VLOOKUP(U96,'G-3 Multipliers'!$L$3:$N$6,3,FALSE)=0,"Spatial Data Missing ⚠",VLOOKUP(U96,'G-3 Multipliers'!$L$3:$N$6,3,FALSE)))</f>
        <v/>
      </c>
      <c r="X96" s="498" t="str">
        <f>IFERROR(IF(OR(LEFT(O96,5)="Error ▲",LEFT(N96,5)="Error ▲",T96="Error ▲"),"Check Data ⚠",IF(F96&lt;R96,INDEX('G-6 Hedgerow Data'!$S$3:$AE$14,MATCH(C96,'G-6 Hedgerow Data'!$B$3:$B$14,0),MATCH(M96,'G-6 Hedgerow Data'!$S$2:$AE$2,0)),INDEX('G-6 Hedgerow Data'!$K$3:$Q$14,MATCH(M96,'G-6 Hedgerow Data'!$B$3:$B$14,0),MATCH(O96,'G-6 Hedgerow Data'!$K$2:$Q$2,0)))),"")</f>
        <v/>
      </c>
      <c r="Y96" s="195"/>
      <c r="Z96" s="195"/>
      <c r="AA96" s="507" t="str">
        <f t="shared" si="11"/>
        <v/>
      </c>
      <c r="AB96" s="521" t="str">
        <f t="shared" si="12"/>
        <v/>
      </c>
      <c r="AC96" s="522" t="str">
        <f t="shared" si="9"/>
        <v/>
      </c>
      <c r="AD96" s="537" t="str">
        <f>IF(M96="","",VLOOKUP(M96,'G-6 Hedgerow Data'!$B$3:$AG$15,31,FALSE))</f>
        <v/>
      </c>
      <c r="AE96" s="520" t="str">
        <f t="shared" si="13"/>
        <v/>
      </c>
      <c r="AF96" s="520" t="str">
        <f t="shared" si="14"/>
        <v/>
      </c>
      <c r="AG96" s="524" t="str">
        <f>IFERROR(IF(O96="","",VLOOKUP(AD96,'G-3 Multipliers'!$P$3:$Q$6,2,FALSE)),"")</f>
        <v/>
      </c>
      <c r="AH96" s="197"/>
      <c r="AI96" s="499" t="str">
        <f>IF(AH96="","",IF(VLOOKUP(AH96,'G-3 Multipliers'!$S$3:$T$6,2,FALSE)=0,"Spatial Data Missing ⚠",VLOOKUP(AH96,'G-3 Multipliers'!$S$3:$T$6,2,FALSE)))</f>
        <v/>
      </c>
      <c r="AJ96" s="545" t="str">
        <f t="shared" si="15"/>
        <v/>
      </c>
      <c r="AK96" s="149"/>
      <c r="AL96" s="150"/>
      <c r="AP96" s="31" t="str">
        <f>IFERROR(INDEX('G-6 Hedgerow Data'!$BJ$3:$BJ$15,MATCH(M96,'G-6 Hedgerow Data'!$B$3:$B$15,0)),"")</f>
        <v/>
      </c>
    </row>
    <row r="97" spans="2:42" ht="14" x14ac:dyDescent="0.3">
      <c r="B97" s="531" t="str">
        <f>'E-1 Off Site Hedge Baseline'!AK95</f>
        <v/>
      </c>
      <c r="C97" s="520" t="str">
        <f>IF(B97="","",IF(ISNA(VLOOKUP($B97,'E-1 Off Site Hedge Baseline'!$B$1:$L$257,3,FALSE)),"",(VLOOKUP($B97,'E-1 Off Site Hedge Baseline'!$B$1:$L$257,3,FALSE))))</f>
        <v/>
      </c>
      <c r="D97" s="520" t="str">
        <f>IF(B97="","",IF(ISNA(VLOOKUP($B97,'E-1 Off Site Hedge Baseline'!$B$1:$L$258,4,FALSE)),"",(VLOOKUP($B97,'E-1 Off Site Hedge Baseline'!$B$1:$L$258,4,FALSE))))</f>
        <v/>
      </c>
      <c r="E97" s="520" t="str">
        <f>IF(B97="","",IF(ISNA(VLOOKUP($B97,'E-1 Off Site Hedge Baseline'!$B$1:$L$257,5,FALSE)),"",(VLOOKUP($B97,'E-1 Off Site Hedge Baseline'!$B$1:$L$257,5,FALSE))))</f>
        <v/>
      </c>
      <c r="F97" s="520" t="str">
        <f>IF(B97="","",IF(ISNA(VLOOKUP($B97,'E-1 Off Site Hedge Baseline'!$B$1:$L$257,6,FALSE)),"",(VLOOKUP($B97,'E-1 Off Site Hedge Baseline'!$B$1:$L$257,6,FALSE))))</f>
        <v/>
      </c>
      <c r="G97" s="520" t="str">
        <f>IF(B97="","",IF(ISNA(VLOOKUP($B97,'E-1 Off Site Hedge Baseline'!$B$1:$L$257,7,FALSE)),"",(VLOOKUP($B97,'E-1 Off Site Hedge Baseline'!$B$1:$L$257,7,FALSE))))</f>
        <v/>
      </c>
      <c r="H97" s="520" t="str">
        <f>IF(B97="","",IF(ISNA(VLOOKUP($B97,'E-1 Off Site Hedge Baseline'!$B$1:$L$257,8,FALSE)),"",(VLOOKUP($B97,'E-1 Off Site Hedge Baseline'!$B$1:$L$257,8,FALSE))))</f>
        <v/>
      </c>
      <c r="I97" s="520" t="str">
        <f>IF(B97="","",IF(ISNA(VLOOKUP($B97,'E-1 Off Site Hedge Baseline'!$B$1:$L$257,10,FALSE)),"",(VLOOKUP($B97,'E-1 Off Site Hedge Baseline'!$B$1:$L$257,10,FALSE))))</f>
        <v/>
      </c>
      <c r="J97" s="520" t="str">
        <f>IF(B97="","",IF(ISNA(VLOOKUP($B97,'E-1 Off Site Hedge Baseline'!$B$1:$L$257,11,FALSE)),"",(VLOOKUP($B97,'E-1 Off Site Hedge Baseline'!$B$1:$L$257,11,FALSE))))</f>
        <v/>
      </c>
      <c r="K97" s="520" t="str">
        <f>IF(B97="","",IF(ISNA(VLOOKUP($B97,'E-1 Off Site Hedge Baseline'!$B$1:$U$257,113,FALSE)),"",(VLOOKUP($B97,'E-1 Off Site Hedge Baseline'!$B$1:$U$257,13,FALSE))))</f>
        <v/>
      </c>
      <c r="L97" s="507" t="str">
        <f>IF(B97="","",IF(ISNA(VLOOKUP($B97,'E-1 Off Site Hedge Baseline'!$B$1:$U$257,12,FALSE)),"",(VLOOKUP($B97,'E-1 Off Site Hedge Baseline'!$B$1:$U$257,12,FALSE))))</f>
        <v/>
      </c>
      <c r="M97" s="418" t="str">
        <f t="shared" si="16"/>
        <v/>
      </c>
      <c r="N97" s="498" t="str">
        <f>IFERROR(IF(B97="","",INDEX('G-6 Hedgerow Data'!$AN$3:$AZ$15,MATCH(C97,'G-6 Hedgerow Data'!$AM$3:$AM$15,0),MATCH(M97,'G-6 Hedgerow Data'!$AN$2:$AZ$2,0))),"")</f>
        <v/>
      </c>
      <c r="O97" s="499" t="str">
        <f t="shared" si="10"/>
        <v/>
      </c>
      <c r="P97" s="505" t="str">
        <f>IF(B97="","",VLOOKUP(B97,'E-1 Off Site Hedge Baseline'!$B$10:T342,16,FALSE))</f>
        <v/>
      </c>
      <c r="Q97" s="498" t="str">
        <f>IF(M97="","",VLOOKUP(M97,'G-6 Hedgerow Data'!$B$2:$AG$15,2,FALSE))</f>
        <v/>
      </c>
      <c r="R97" s="499" t="str">
        <f>IF(M97="","",VLOOKUP(M97,'G-6 Hedgerow Data'!$B$2:$AG$15,3,FALSE))</f>
        <v/>
      </c>
      <c r="S97" s="145"/>
      <c r="T97" s="499" t="str">
        <f>IFERROR(IF(AND(Q97="V.Low",OR(S97="Good",S97="Moderate")),"Error ▲",VLOOKUP(S97,'G-1 All Habitats'!$Z$2:$AA$9,2,FALSE)),"")</f>
        <v/>
      </c>
      <c r="U97" s="145"/>
      <c r="V97" s="507" t="str">
        <f>IF(U97="","",IF(VLOOKUP(U97,'G-3 Multipliers'!$L$3:$N$6,2,FALSE)=0,"Spatial Data Missing ⚠",VLOOKUP(U97,'G-3 Multipliers'!$L$3:$N$6,2,FALSE)))</f>
        <v/>
      </c>
      <c r="W97" s="505" t="str">
        <f>IF(U97="","",IF(VLOOKUP(U97,'G-3 Multipliers'!$L$3:$N$6,3,FALSE)=0,"Spatial Data Missing ⚠",VLOOKUP(U97,'G-3 Multipliers'!$L$3:$N$6,3,FALSE)))</f>
        <v/>
      </c>
      <c r="X97" s="498" t="str">
        <f>IFERROR(IF(OR(LEFT(O97,5)="Error ▲",LEFT(N97,5)="Error ▲",T97="Error ▲"),"Check Data ⚠",IF(F97&lt;R97,INDEX('G-6 Hedgerow Data'!$S$3:$AE$14,MATCH(C97,'G-6 Hedgerow Data'!$B$3:$B$14,0),MATCH(M97,'G-6 Hedgerow Data'!$S$2:$AE$2,0)),INDEX('G-6 Hedgerow Data'!$K$3:$Q$14,MATCH(M97,'G-6 Hedgerow Data'!$B$3:$B$14,0),MATCH(O97,'G-6 Hedgerow Data'!$K$2:$Q$2,0)))),"")</f>
        <v/>
      </c>
      <c r="Y97" s="195"/>
      <c r="Z97" s="195"/>
      <c r="AA97" s="507" t="str">
        <f t="shared" si="11"/>
        <v/>
      </c>
      <c r="AB97" s="521" t="str">
        <f t="shared" si="12"/>
        <v/>
      </c>
      <c r="AC97" s="522" t="str">
        <f t="shared" si="9"/>
        <v/>
      </c>
      <c r="AD97" s="537" t="str">
        <f>IF(M97="","",VLOOKUP(M97,'G-6 Hedgerow Data'!$B$3:$AG$15,31,FALSE))</f>
        <v/>
      </c>
      <c r="AE97" s="520" t="str">
        <f t="shared" si="13"/>
        <v/>
      </c>
      <c r="AF97" s="520" t="str">
        <f t="shared" si="14"/>
        <v/>
      </c>
      <c r="AG97" s="524" t="str">
        <f>IFERROR(IF(O97="","",VLOOKUP(AD97,'G-3 Multipliers'!$P$3:$Q$6,2,FALSE)),"")</f>
        <v/>
      </c>
      <c r="AH97" s="197"/>
      <c r="AI97" s="499" t="str">
        <f>IF(AH97="","",IF(VLOOKUP(AH97,'G-3 Multipliers'!$S$3:$T$6,2,FALSE)=0,"Spatial Data Missing ⚠",VLOOKUP(AH97,'G-3 Multipliers'!$S$3:$T$6,2,FALSE)))</f>
        <v/>
      </c>
      <c r="AJ97" s="545" t="str">
        <f t="shared" si="15"/>
        <v/>
      </c>
      <c r="AK97" s="149"/>
      <c r="AL97" s="150"/>
      <c r="AP97" s="31" t="str">
        <f>IFERROR(INDEX('G-6 Hedgerow Data'!$BJ$3:$BJ$15,MATCH(M97,'G-6 Hedgerow Data'!$B$3:$B$15,0)),"")</f>
        <v/>
      </c>
    </row>
    <row r="98" spans="2:42" ht="14" x14ac:dyDescent="0.3">
      <c r="B98" s="531" t="str">
        <f>'E-1 Off Site Hedge Baseline'!AK96</f>
        <v/>
      </c>
      <c r="C98" s="520" t="str">
        <f>IF(B98="","",IF(ISNA(VLOOKUP($B98,'E-1 Off Site Hedge Baseline'!$B$1:$L$257,3,FALSE)),"",(VLOOKUP($B98,'E-1 Off Site Hedge Baseline'!$B$1:$L$257,3,FALSE))))</f>
        <v/>
      </c>
      <c r="D98" s="520" t="str">
        <f>IF(B98="","",IF(ISNA(VLOOKUP($B98,'E-1 Off Site Hedge Baseline'!$B$1:$L$258,4,FALSE)),"",(VLOOKUP($B98,'E-1 Off Site Hedge Baseline'!$B$1:$L$258,4,FALSE))))</f>
        <v/>
      </c>
      <c r="E98" s="520" t="str">
        <f>IF(B98="","",IF(ISNA(VLOOKUP($B98,'E-1 Off Site Hedge Baseline'!$B$1:$L$257,5,FALSE)),"",(VLOOKUP($B98,'E-1 Off Site Hedge Baseline'!$B$1:$L$257,5,FALSE))))</f>
        <v/>
      </c>
      <c r="F98" s="520" t="str">
        <f>IF(B98="","",IF(ISNA(VLOOKUP($B98,'E-1 Off Site Hedge Baseline'!$B$1:$L$257,6,FALSE)),"",(VLOOKUP($B98,'E-1 Off Site Hedge Baseline'!$B$1:$L$257,6,FALSE))))</f>
        <v/>
      </c>
      <c r="G98" s="520" t="str">
        <f>IF(B98="","",IF(ISNA(VLOOKUP($B98,'E-1 Off Site Hedge Baseline'!$B$1:$L$257,7,FALSE)),"",(VLOOKUP($B98,'E-1 Off Site Hedge Baseline'!$B$1:$L$257,7,FALSE))))</f>
        <v/>
      </c>
      <c r="H98" s="520" t="str">
        <f>IF(B98="","",IF(ISNA(VLOOKUP($B98,'E-1 Off Site Hedge Baseline'!$B$1:$L$257,8,FALSE)),"",(VLOOKUP($B98,'E-1 Off Site Hedge Baseline'!$B$1:$L$257,8,FALSE))))</f>
        <v/>
      </c>
      <c r="I98" s="520" t="str">
        <f>IF(B98="","",IF(ISNA(VLOOKUP($B98,'E-1 Off Site Hedge Baseline'!$B$1:$L$257,10,FALSE)),"",(VLOOKUP($B98,'E-1 Off Site Hedge Baseline'!$B$1:$L$257,10,FALSE))))</f>
        <v/>
      </c>
      <c r="J98" s="520" t="str">
        <f>IF(B98="","",IF(ISNA(VLOOKUP($B98,'E-1 Off Site Hedge Baseline'!$B$1:$L$257,11,FALSE)),"",(VLOOKUP($B98,'E-1 Off Site Hedge Baseline'!$B$1:$L$257,11,FALSE))))</f>
        <v/>
      </c>
      <c r="K98" s="520" t="str">
        <f>IF(B98="","",IF(ISNA(VLOOKUP($B98,'E-1 Off Site Hedge Baseline'!$B$1:$U$257,113,FALSE)),"",(VLOOKUP($B98,'E-1 Off Site Hedge Baseline'!$B$1:$U$257,13,FALSE))))</f>
        <v/>
      </c>
      <c r="L98" s="507" t="str">
        <f>IF(B98="","",IF(ISNA(VLOOKUP($B98,'E-1 Off Site Hedge Baseline'!$B$1:$U$257,12,FALSE)),"",(VLOOKUP($B98,'E-1 Off Site Hedge Baseline'!$B$1:$U$257,12,FALSE))))</f>
        <v/>
      </c>
      <c r="M98" s="418" t="str">
        <f t="shared" si="16"/>
        <v/>
      </c>
      <c r="N98" s="498" t="str">
        <f>IFERROR(IF(B98="","",INDEX('G-6 Hedgerow Data'!$AN$3:$AZ$15,MATCH(C98,'G-6 Hedgerow Data'!$AM$3:$AM$15,0),MATCH(M98,'G-6 Hedgerow Data'!$AN$2:$AZ$2,0))),"")</f>
        <v/>
      </c>
      <c r="O98" s="499" t="str">
        <f t="shared" si="10"/>
        <v/>
      </c>
      <c r="P98" s="505" t="str">
        <f>IF(B98="","",VLOOKUP(B98,'E-1 Off Site Hedge Baseline'!$B$10:T343,16,FALSE))</f>
        <v/>
      </c>
      <c r="Q98" s="498" t="str">
        <f>IF(M98="","",VLOOKUP(M98,'G-6 Hedgerow Data'!$B$2:$AG$15,2,FALSE))</f>
        <v/>
      </c>
      <c r="R98" s="499" t="str">
        <f>IF(M98="","",VLOOKUP(M98,'G-6 Hedgerow Data'!$B$2:$AG$15,3,FALSE))</f>
        <v/>
      </c>
      <c r="S98" s="145"/>
      <c r="T98" s="499" t="str">
        <f>IFERROR(IF(AND(Q98="V.Low",OR(S98="Good",S98="Moderate")),"Error ▲",VLOOKUP(S98,'G-1 All Habitats'!$Z$2:$AA$9,2,FALSE)),"")</f>
        <v/>
      </c>
      <c r="U98" s="145"/>
      <c r="V98" s="507" t="str">
        <f>IF(U98="","",IF(VLOOKUP(U98,'G-3 Multipliers'!$L$3:$N$6,2,FALSE)=0,"Spatial Data Missing ⚠",VLOOKUP(U98,'G-3 Multipliers'!$L$3:$N$6,2,FALSE)))</f>
        <v/>
      </c>
      <c r="W98" s="505" t="str">
        <f>IF(U98="","",IF(VLOOKUP(U98,'G-3 Multipliers'!$L$3:$N$6,3,FALSE)=0,"Spatial Data Missing ⚠",VLOOKUP(U98,'G-3 Multipliers'!$L$3:$N$6,3,FALSE)))</f>
        <v/>
      </c>
      <c r="X98" s="498" t="str">
        <f>IFERROR(IF(OR(LEFT(O98,5)="Error ▲",LEFT(N98,5)="Error ▲",T98="Error ▲"),"Check Data ⚠",IF(F98&lt;R98,INDEX('G-6 Hedgerow Data'!$S$3:$AE$14,MATCH(C98,'G-6 Hedgerow Data'!$B$3:$B$14,0),MATCH(M98,'G-6 Hedgerow Data'!$S$2:$AE$2,0)),INDEX('G-6 Hedgerow Data'!$K$3:$Q$14,MATCH(M98,'G-6 Hedgerow Data'!$B$3:$B$14,0),MATCH(O98,'G-6 Hedgerow Data'!$K$2:$Q$2,0)))),"")</f>
        <v/>
      </c>
      <c r="Y98" s="195"/>
      <c r="Z98" s="195"/>
      <c r="AA98" s="507" t="str">
        <f t="shared" si="11"/>
        <v/>
      </c>
      <c r="AB98" s="521" t="str">
        <f t="shared" si="12"/>
        <v/>
      </c>
      <c r="AC98" s="522" t="str">
        <f t="shared" si="9"/>
        <v/>
      </c>
      <c r="AD98" s="537" t="str">
        <f>IF(M98="","",VLOOKUP(M98,'G-6 Hedgerow Data'!$B$3:$AG$15,31,FALSE))</f>
        <v/>
      </c>
      <c r="AE98" s="520" t="str">
        <f t="shared" si="13"/>
        <v/>
      </c>
      <c r="AF98" s="520" t="str">
        <f t="shared" si="14"/>
        <v/>
      </c>
      <c r="AG98" s="524" t="str">
        <f>IFERROR(IF(O98="","",VLOOKUP(AD98,'G-3 Multipliers'!$P$3:$Q$6,2,FALSE)),"")</f>
        <v/>
      </c>
      <c r="AH98" s="197"/>
      <c r="AI98" s="499" t="str">
        <f>IF(AH98="","",IF(VLOOKUP(AH98,'G-3 Multipliers'!$S$3:$T$6,2,FALSE)=0,"Spatial Data Missing ⚠",VLOOKUP(AH98,'G-3 Multipliers'!$S$3:$T$6,2,FALSE)))</f>
        <v/>
      </c>
      <c r="AJ98" s="545" t="str">
        <f t="shared" si="15"/>
        <v/>
      </c>
      <c r="AK98" s="149"/>
      <c r="AL98" s="150"/>
      <c r="AP98" s="31" t="str">
        <f>IFERROR(INDEX('G-6 Hedgerow Data'!$BJ$3:$BJ$15,MATCH(M98,'G-6 Hedgerow Data'!$B$3:$B$15,0)),"")</f>
        <v/>
      </c>
    </row>
    <row r="99" spans="2:42" ht="14" x14ac:dyDescent="0.3">
      <c r="B99" s="531" t="str">
        <f>'E-1 Off Site Hedge Baseline'!AK97</f>
        <v/>
      </c>
      <c r="C99" s="520" t="str">
        <f>IF(B99="","",IF(ISNA(VLOOKUP($B99,'E-1 Off Site Hedge Baseline'!$B$1:$L$257,3,FALSE)),"",(VLOOKUP($B99,'E-1 Off Site Hedge Baseline'!$B$1:$L$257,3,FALSE))))</f>
        <v/>
      </c>
      <c r="D99" s="520" t="str">
        <f>IF(B99="","",IF(ISNA(VLOOKUP($B99,'E-1 Off Site Hedge Baseline'!$B$1:$L$258,4,FALSE)),"",(VLOOKUP($B99,'E-1 Off Site Hedge Baseline'!$B$1:$L$258,4,FALSE))))</f>
        <v/>
      </c>
      <c r="E99" s="520" t="str">
        <f>IF(B99="","",IF(ISNA(VLOOKUP($B99,'E-1 Off Site Hedge Baseline'!$B$1:$L$257,5,FALSE)),"",(VLOOKUP($B99,'E-1 Off Site Hedge Baseline'!$B$1:$L$257,5,FALSE))))</f>
        <v/>
      </c>
      <c r="F99" s="520" t="str">
        <f>IF(B99="","",IF(ISNA(VLOOKUP($B99,'E-1 Off Site Hedge Baseline'!$B$1:$L$257,6,FALSE)),"",(VLOOKUP($B99,'E-1 Off Site Hedge Baseline'!$B$1:$L$257,6,FALSE))))</f>
        <v/>
      </c>
      <c r="G99" s="520" t="str">
        <f>IF(B99="","",IF(ISNA(VLOOKUP($B99,'E-1 Off Site Hedge Baseline'!$B$1:$L$257,7,FALSE)),"",(VLOOKUP($B99,'E-1 Off Site Hedge Baseline'!$B$1:$L$257,7,FALSE))))</f>
        <v/>
      </c>
      <c r="H99" s="520" t="str">
        <f>IF(B99="","",IF(ISNA(VLOOKUP($B99,'E-1 Off Site Hedge Baseline'!$B$1:$L$257,8,FALSE)),"",(VLOOKUP($B99,'E-1 Off Site Hedge Baseline'!$B$1:$L$257,8,FALSE))))</f>
        <v/>
      </c>
      <c r="I99" s="520" t="str">
        <f>IF(B99="","",IF(ISNA(VLOOKUP($B99,'E-1 Off Site Hedge Baseline'!$B$1:$L$257,10,FALSE)),"",(VLOOKUP($B99,'E-1 Off Site Hedge Baseline'!$B$1:$L$257,10,FALSE))))</f>
        <v/>
      </c>
      <c r="J99" s="520" t="str">
        <f>IF(B99="","",IF(ISNA(VLOOKUP($B99,'E-1 Off Site Hedge Baseline'!$B$1:$L$257,11,FALSE)),"",(VLOOKUP($B99,'E-1 Off Site Hedge Baseline'!$B$1:$L$257,11,FALSE))))</f>
        <v/>
      </c>
      <c r="K99" s="520" t="str">
        <f>IF(B99="","",IF(ISNA(VLOOKUP($B99,'E-1 Off Site Hedge Baseline'!$B$1:$U$257,113,FALSE)),"",(VLOOKUP($B99,'E-1 Off Site Hedge Baseline'!$B$1:$U$257,13,FALSE))))</f>
        <v/>
      </c>
      <c r="L99" s="507" t="str">
        <f>IF(B99="","",IF(ISNA(VLOOKUP($B99,'E-1 Off Site Hedge Baseline'!$B$1:$U$257,12,FALSE)),"",(VLOOKUP($B99,'E-1 Off Site Hedge Baseline'!$B$1:$U$257,12,FALSE))))</f>
        <v/>
      </c>
      <c r="M99" s="418" t="str">
        <f t="shared" si="16"/>
        <v/>
      </c>
      <c r="N99" s="498" t="str">
        <f>IFERROR(IF(B99="","",INDEX('G-6 Hedgerow Data'!$AN$3:$AZ$15,MATCH(C99,'G-6 Hedgerow Data'!$AM$3:$AM$15,0),MATCH(M99,'G-6 Hedgerow Data'!$AN$2:$AZ$2,0))),"")</f>
        <v/>
      </c>
      <c r="O99" s="499" t="str">
        <f t="shared" si="10"/>
        <v/>
      </c>
      <c r="P99" s="505" t="str">
        <f>IF(B99="","",VLOOKUP(B99,'E-1 Off Site Hedge Baseline'!$B$10:T344,16,FALSE))</f>
        <v/>
      </c>
      <c r="Q99" s="498" t="str">
        <f>IF(M99="","",VLOOKUP(M99,'G-6 Hedgerow Data'!$B$2:$AG$15,2,FALSE))</f>
        <v/>
      </c>
      <c r="R99" s="499" t="str">
        <f>IF(M99="","",VLOOKUP(M99,'G-6 Hedgerow Data'!$B$2:$AG$15,3,FALSE))</f>
        <v/>
      </c>
      <c r="S99" s="145"/>
      <c r="T99" s="499" t="str">
        <f>IFERROR(IF(AND(Q99="V.Low",OR(S99="Good",S99="Moderate")),"Error ▲",VLOOKUP(S99,'G-1 All Habitats'!$Z$2:$AA$9,2,FALSE)),"")</f>
        <v/>
      </c>
      <c r="U99" s="145"/>
      <c r="V99" s="507" t="str">
        <f>IF(U99="","",IF(VLOOKUP(U99,'G-3 Multipliers'!$L$3:$N$6,2,FALSE)=0,"Spatial Data Missing ⚠",VLOOKUP(U99,'G-3 Multipliers'!$L$3:$N$6,2,FALSE)))</f>
        <v/>
      </c>
      <c r="W99" s="505" t="str">
        <f>IF(U99="","",IF(VLOOKUP(U99,'G-3 Multipliers'!$L$3:$N$6,3,FALSE)=0,"Spatial Data Missing ⚠",VLOOKUP(U99,'G-3 Multipliers'!$L$3:$N$6,3,FALSE)))</f>
        <v/>
      </c>
      <c r="X99" s="498" t="str">
        <f>IFERROR(IF(OR(LEFT(O99,5)="Error ▲",LEFT(N99,5)="Error ▲",T99="Error ▲"),"Check Data ⚠",IF(F99&lt;R99,INDEX('G-6 Hedgerow Data'!$S$3:$AE$14,MATCH(C99,'G-6 Hedgerow Data'!$B$3:$B$14,0),MATCH(M99,'G-6 Hedgerow Data'!$S$2:$AE$2,0)),INDEX('G-6 Hedgerow Data'!$K$3:$Q$14,MATCH(M99,'G-6 Hedgerow Data'!$B$3:$B$14,0),MATCH(O99,'G-6 Hedgerow Data'!$K$2:$Q$2,0)))),"")</f>
        <v/>
      </c>
      <c r="Y99" s="195"/>
      <c r="Z99" s="195"/>
      <c r="AA99" s="507" t="str">
        <f t="shared" si="11"/>
        <v/>
      </c>
      <c r="AB99" s="521" t="str">
        <f t="shared" si="12"/>
        <v/>
      </c>
      <c r="AC99" s="522" t="str">
        <f t="shared" si="9"/>
        <v/>
      </c>
      <c r="AD99" s="537" t="str">
        <f>IF(M99="","",VLOOKUP(M99,'G-6 Hedgerow Data'!$B$3:$AG$15,31,FALSE))</f>
        <v/>
      </c>
      <c r="AE99" s="520" t="str">
        <f t="shared" si="13"/>
        <v/>
      </c>
      <c r="AF99" s="520" t="str">
        <f t="shared" si="14"/>
        <v/>
      </c>
      <c r="AG99" s="524" t="str">
        <f>IFERROR(IF(O99="","",VLOOKUP(AD99,'G-3 Multipliers'!$P$3:$Q$6,2,FALSE)),"")</f>
        <v/>
      </c>
      <c r="AH99" s="197"/>
      <c r="AI99" s="499" t="str">
        <f>IF(AH99="","",IF(VLOOKUP(AH99,'G-3 Multipliers'!$S$3:$T$6,2,FALSE)=0,"Spatial Data Missing ⚠",VLOOKUP(AH99,'G-3 Multipliers'!$S$3:$T$6,2,FALSE)))</f>
        <v/>
      </c>
      <c r="AJ99" s="545" t="str">
        <f t="shared" si="15"/>
        <v/>
      </c>
      <c r="AK99" s="149"/>
      <c r="AL99" s="150"/>
      <c r="AP99" s="31" t="str">
        <f>IFERROR(INDEX('G-6 Hedgerow Data'!$BJ$3:$BJ$15,MATCH(M99,'G-6 Hedgerow Data'!$B$3:$B$15,0)),"")</f>
        <v/>
      </c>
    </row>
    <row r="100" spans="2:42" ht="14" x14ac:dyDescent="0.3">
      <c r="B100" s="531" t="str">
        <f>'E-1 Off Site Hedge Baseline'!AK98</f>
        <v/>
      </c>
      <c r="C100" s="520" t="str">
        <f>IF(B100="","",IF(ISNA(VLOOKUP($B100,'E-1 Off Site Hedge Baseline'!$B$1:$L$257,3,FALSE)),"",(VLOOKUP($B100,'E-1 Off Site Hedge Baseline'!$B$1:$L$257,3,FALSE))))</f>
        <v/>
      </c>
      <c r="D100" s="520" t="str">
        <f>IF(B100="","",IF(ISNA(VLOOKUP($B100,'E-1 Off Site Hedge Baseline'!$B$1:$L$258,4,FALSE)),"",(VLOOKUP($B100,'E-1 Off Site Hedge Baseline'!$B$1:$L$258,4,FALSE))))</f>
        <v/>
      </c>
      <c r="E100" s="520" t="str">
        <f>IF(B100="","",IF(ISNA(VLOOKUP($B100,'E-1 Off Site Hedge Baseline'!$B$1:$L$257,5,FALSE)),"",(VLOOKUP($B100,'E-1 Off Site Hedge Baseline'!$B$1:$L$257,5,FALSE))))</f>
        <v/>
      </c>
      <c r="F100" s="520" t="str">
        <f>IF(B100="","",IF(ISNA(VLOOKUP($B100,'E-1 Off Site Hedge Baseline'!$B$1:$L$257,6,FALSE)),"",(VLOOKUP($B100,'E-1 Off Site Hedge Baseline'!$B$1:$L$257,6,FALSE))))</f>
        <v/>
      </c>
      <c r="G100" s="520" t="str">
        <f>IF(B100="","",IF(ISNA(VLOOKUP($B100,'E-1 Off Site Hedge Baseline'!$B$1:$L$257,7,FALSE)),"",(VLOOKUP($B100,'E-1 Off Site Hedge Baseline'!$B$1:$L$257,7,FALSE))))</f>
        <v/>
      </c>
      <c r="H100" s="520" t="str">
        <f>IF(B100="","",IF(ISNA(VLOOKUP($B100,'E-1 Off Site Hedge Baseline'!$B$1:$L$257,8,FALSE)),"",(VLOOKUP($B100,'E-1 Off Site Hedge Baseline'!$B$1:$L$257,8,FALSE))))</f>
        <v/>
      </c>
      <c r="I100" s="520" t="str">
        <f>IF(B100="","",IF(ISNA(VLOOKUP($B100,'E-1 Off Site Hedge Baseline'!$B$1:$L$257,10,FALSE)),"",(VLOOKUP($B100,'E-1 Off Site Hedge Baseline'!$B$1:$L$257,10,FALSE))))</f>
        <v/>
      </c>
      <c r="J100" s="520" t="str">
        <f>IF(B100="","",IF(ISNA(VLOOKUP($B100,'E-1 Off Site Hedge Baseline'!$B$1:$L$257,11,FALSE)),"",(VLOOKUP($B100,'E-1 Off Site Hedge Baseline'!$B$1:$L$257,11,FALSE))))</f>
        <v/>
      </c>
      <c r="K100" s="520" t="str">
        <f>IF(B100="","",IF(ISNA(VLOOKUP($B100,'E-1 Off Site Hedge Baseline'!$B$1:$U$257,113,FALSE)),"",(VLOOKUP($B100,'E-1 Off Site Hedge Baseline'!$B$1:$U$257,13,FALSE))))</f>
        <v/>
      </c>
      <c r="L100" s="507" t="str">
        <f>IF(B100="","",IF(ISNA(VLOOKUP($B100,'E-1 Off Site Hedge Baseline'!$B$1:$U$257,12,FALSE)),"",(VLOOKUP($B100,'E-1 Off Site Hedge Baseline'!$B$1:$U$257,12,FALSE))))</f>
        <v/>
      </c>
      <c r="M100" s="418" t="str">
        <f t="shared" si="16"/>
        <v/>
      </c>
      <c r="N100" s="498" t="str">
        <f>IFERROR(IF(B100="","",INDEX('G-6 Hedgerow Data'!$AN$3:$AZ$15,MATCH(C100,'G-6 Hedgerow Data'!$AM$3:$AM$15,0),MATCH(M100,'G-6 Hedgerow Data'!$AN$2:$AZ$2,0))),"")</f>
        <v/>
      </c>
      <c r="O100" s="499" t="str">
        <f t="shared" si="10"/>
        <v/>
      </c>
      <c r="P100" s="505" t="str">
        <f>IF(B100="","",VLOOKUP(B100,'E-1 Off Site Hedge Baseline'!$B$10:T345,16,FALSE))</f>
        <v/>
      </c>
      <c r="Q100" s="498" t="str">
        <f>IF(M100="","",VLOOKUP(M100,'G-6 Hedgerow Data'!$B$2:$AG$15,2,FALSE))</f>
        <v/>
      </c>
      <c r="R100" s="499" t="str">
        <f>IF(M100="","",VLOOKUP(M100,'G-6 Hedgerow Data'!$B$2:$AG$15,3,FALSE))</f>
        <v/>
      </c>
      <c r="S100" s="145"/>
      <c r="T100" s="499" t="str">
        <f>IFERROR(IF(AND(Q100="V.Low",OR(S100="Good",S100="Moderate")),"Error ▲",VLOOKUP(S100,'G-1 All Habitats'!$Z$2:$AA$9,2,FALSE)),"")</f>
        <v/>
      </c>
      <c r="U100" s="145"/>
      <c r="V100" s="507" t="str">
        <f>IF(U100="","",IF(VLOOKUP(U100,'G-3 Multipliers'!$L$3:$N$6,2,FALSE)=0,"Spatial Data Missing ⚠",VLOOKUP(U100,'G-3 Multipliers'!$L$3:$N$6,2,FALSE)))</f>
        <v/>
      </c>
      <c r="W100" s="505" t="str">
        <f>IF(U100="","",IF(VLOOKUP(U100,'G-3 Multipliers'!$L$3:$N$6,3,FALSE)=0,"Spatial Data Missing ⚠",VLOOKUP(U100,'G-3 Multipliers'!$L$3:$N$6,3,FALSE)))</f>
        <v/>
      </c>
      <c r="X100" s="498" t="str">
        <f>IFERROR(IF(OR(LEFT(O100,5)="Error ▲",LEFT(N100,5)="Error ▲",T100="Error ▲"),"Check Data ⚠",IF(F100&lt;R100,INDEX('G-6 Hedgerow Data'!$S$3:$AE$14,MATCH(C100,'G-6 Hedgerow Data'!$B$3:$B$14,0),MATCH(M100,'G-6 Hedgerow Data'!$S$2:$AE$2,0)),INDEX('G-6 Hedgerow Data'!$K$3:$Q$14,MATCH(M100,'G-6 Hedgerow Data'!$B$3:$B$14,0),MATCH(O100,'G-6 Hedgerow Data'!$K$2:$Q$2,0)))),"")</f>
        <v/>
      </c>
      <c r="Y100" s="195"/>
      <c r="Z100" s="195"/>
      <c r="AA100" s="507" t="str">
        <f t="shared" si="11"/>
        <v/>
      </c>
      <c r="AB100" s="521" t="str">
        <f t="shared" si="12"/>
        <v/>
      </c>
      <c r="AC100" s="522" t="str">
        <f t="shared" si="9"/>
        <v/>
      </c>
      <c r="AD100" s="537" t="str">
        <f>IF(M100="","",VLOOKUP(M100,'G-6 Hedgerow Data'!$B$3:$AG$15,31,FALSE))</f>
        <v/>
      </c>
      <c r="AE100" s="520" t="str">
        <f t="shared" si="13"/>
        <v/>
      </c>
      <c r="AF100" s="520" t="str">
        <f t="shared" si="14"/>
        <v/>
      </c>
      <c r="AG100" s="524" t="str">
        <f>IFERROR(IF(O100="","",VLOOKUP(AD100,'G-3 Multipliers'!$P$3:$Q$6,2,FALSE)),"")</f>
        <v/>
      </c>
      <c r="AH100" s="197"/>
      <c r="AI100" s="499" t="str">
        <f>IF(AH100="","",IF(VLOOKUP(AH100,'G-3 Multipliers'!$S$3:$T$6,2,FALSE)=0,"Spatial Data Missing ⚠",VLOOKUP(AH100,'G-3 Multipliers'!$S$3:$T$6,2,FALSE)))</f>
        <v/>
      </c>
      <c r="AJ100" s="545" t="str">
        <f t="shared" si="15"/>
        <v/>
      </c>
      <c r="AK100" s="149"/>
      <c r="AL100" s="150"/>
      <c r="AP100" s="31" t="str">
        <f>IFERROR(INDEX('G-6 Hedgerow Data'!$BJ$3:$BJ$15,MATCH(M100,'G-6 Hedgerow Data'!$B$3:$B$15,0)),"")</f>
        <v/>
      </c>
    </row>
    <row r="101" spans="2:42" ht="14" x14ac:dyDescent="0.3">
      <c r="B101" s="531" t="str">
        <f>'E-1 Off Site Hedge Baseline'!AK99</f>
        <v/>
      </c>
      <c r="C101" s="520" t="str">
        <f>IF(B101="","",IF(ISNA(VLOOKUP($B101,'E-1 Off Site Hedge Baseline'!$B$1:$L$257,3,FALSE)),"",(VLOOKUP($B101,'E-1 Off Site Hedge Baseline'!$B$1:$L$257,3,FALSE))))</f>
        <v/>
      </c>
      <c r="D101" s="520" t="str">
        <f>IF(B101="","",IF(ISNA(VLOOKUP($B101,'E-1 Off Site Hedge Baseline'!$B$1:$L$258,4,FALSE)),"",(VLOOKUP($B101,'E-1 Off Site Hedge Baseline'!$B$1:$L$258,4,FALSE))))</f>
        <v/>
      </c>
      <c r="E101" s="520" t="str">
        <f>IF(B101="","",IF(ISNA(VLOOKUP($B101,'E-1 Off Site Hedge Baseline'!$B$1:$L$257,5,FALSE)),"",(VLOOKUP($B101,'E-1 Off Site Hedge Baseline'!$B$1:$L$257,5,FALSE))))</f>
        <v/>
      </c>
      <c r="F101" s="520" t="str">
        <f>IF(B101="","",IF(ISNA(VLOOKUP($B101,'E-1 Off Site Hedge Baseline'!$B$1:$L$257,6,FALSE)),"",(VLOOKUP($B101,'E-1 Off Site Hedge Baseline'!$B$1:$L$257,6,FALSE))))</f>
        <v/>
      </c>
      <c r="G101" s="520" t="str">
        <f>IF(B101="","",IF(ISNA(VLOOKUP($B101,'E-1 Off Site Hedge Baseline'!$B$1:$L$257,7,FALSE)),"",(VLOOKUP($B101,'E-1 Off Site Hedge Baseline'!$B$1:$L$257,7,FALSE))))</f>
        <v/>
      </c>
      <c r="H101" s="520" t="str">
        <f>IF(B101="","",IF(ISNA(VLOOKUP($B101,'E-1 Off Site Hedge Baseline'!$B$1:$L$257,8,FALSE)),"",(VLOOKUP($B101,'E-1 Off Site Hedge Baseline'!$B$1:$L$257,8,FALSE))))</f>
        <v/>
      </c>
      <c r="I101" s="520" t="str">
        <f>IF(B101="","",IF(ISNA(VLOOKUP($B101,'E-1 Off Site Hedge Baseline'!$B$1:$L$257,10,FALSE)),"",(VLOOKUP($B101,'E-1 Off Site Hedge Baseline'!$B$1:$L$257,10,FALSE))))</f>
        <v/>
      </c>
      <c r="J101" s="520" t="str">
        <f>IF(B101="","",IF(ISNA(VLOOKUP($B101,'E-1 Off Site Hedge Baseline'!$B$1:$L$257,11,FALSE)),"",(VLOOKUP($B101,'E-1 Off Site Hedge Baseline'!$B$1:$L$257,11,FALSE))))</f>
        <v/>
      </c>
      <c r="K101" s="520" t="str">
        <f>IF(B101="","",IF(ISNA(VLOOKUP($B101,'E-1 Off Site Hedge Baseline'!$B$1:$U$257,113,FALSE)),"",(VLOOKUP($B101,'E-1 Off Site Hedge Baseline'!$B$1:$U$257,13,FALSE))))</f>
        <v/>
      </c>
      <c r="L101" s="507" t="str">
        <f>IF(B101="","",IF(ISNA(VLOOKUP($B101,'E-1 Off Site Hedge Baseline'!$B$1:$U$257,12,FALSE)),"",(VLOOKUP($B101,'E-1 Off Site Hedge Baseline'!$B$1:$U$257,12,FALSE))))</f>
        <v/>
      </c>
      <c r="M101" s="418" t="str">
        <f t="shared" si="16"/>
        <v/>
      </c>
      <c r="N101" s="498" t="str">
        <f>IFERROR(IF(B101="","",INDEX('G-6 Hedgerow Data'!$AN$3:$AZ$15,MATCH(C101,'G-6 Hedgerow Data'!$AM$3:$AM$15,0),MATCH(M101,'G-6 Hedgerow Data'!$AN$2:$AZ$2,0))),"")</f>
        <v/>
      </c>
      <c r="O101" s="499" t="str">
        <f t="shared" si="10"/>
        <v/>
      </c>
      <c r="P101" s="505" t="str">
        <f>IF(B101="","",VLOOKUP(B101,'E-1 Off Site Hedge Baseline'!$B$10:T346,16,FALSE))</f>
        <v/>
      </c>
      <c r="Q101" s="498" t="str">
        <f>IF(M101="","",VLOOKUP(M101,'G-6 Hedgerow Data'!$B$2:$AG$15,2,FALSE))</f>
        <v/>
      </c>
      <c r="R101" s="499" t="str">
        <f>IF(M101="","",VLOOKUP(M101,'G-6 Hedgerow Data'!$B$2:$AG$15,3,FALSE))</f>
        <v/>
      </c>
      <c r="S101" s="145"/>
      <c r="T101" s="499" t="str">
        <f>IFERROR(IF(AND(Q101="V.Low",OR(S101="Good",S101="Moderate")),"Error ▲",VLOOKUP(S101,'G-1 All Habitats'!$Z$2:$AA$9,2,FALSE)),"")</f>
        <v/>
      </c>
      <c r="U101" s="145"/>
      <c r="V101" s="507" t="str">
        <f>IF(U101="","",IF(VLOOKUP(U101,'G-3 Multipliers'!$L$3:$N$6,2,FALSE)=0,"Spatial Data Missing ⚠",VLOOKUP(U101,'G-3 Multipliers'!$L$3:$N$6,2,FALSE)))</f>
        <v/>
      </c>
      <c r="W101" s="505" t="str">
        <f>IF(U101="","",IF(VLOOKUP(U101,'G-3 Multipliers'!$L$3:$N$6,3,FALSE)=0,"Spatial Data Missing ⚠",VLOOKUP(U101,'G-3 Multipliers'!$L$3:$N$6,3,FALSE)))</f>
        <v/>
      </c>
      <c r="X101" s="498" t="str">
        <f>IFERROR(IF(OR(LEFT(O101,5)="Error ▲",LEFT(N101,5)="Error ▲",T101="Error ▲"),"Check Data ⚠",IF(F101&lt;R101,INDEX('G-6 Hedgerow Data'!$S$3:$AE$14,MATCH(C101,'G-6 Hedgerow Data'!$B$3:$B$14,0),MATCH(M101,'G-6 Hedgerow Data'!$S$2:$AE$2,0)),INDEX('G-6 Hedgerow Data'!$K$3:$Q$14,MATCH(M101,'G-6 Hedgerow Data'!$B$3:$B$14,0),MATCH(O101,'G-6 Hedgerow Data'!$K$2:$Q$2,0)))),"")</f>
        <v/>
      </c>
      <c r="Y101" s="195"/>
      <c r="Z101" s="195"/>
      <c r="AA101" s="507" t="str">
        <f t="shared" si="11"/>
        <v/>
      </c>
      <c r="AB101" s="521" t="str">
        <f t="shared" si="12"/>
        <v/>
      </c>
      <c r="AC101" s="522" t="str">
        <f t="shared" si="9"/>
        <v/>
      </c>
      <c r="AD101" s="537" t="str">
        <f>IF(M101="","",VLOOKUP(M101,'G-6 Hedgerow Data'!$B$3:$AG$15,31,FALSE))</f>
        <v/>
      </c>
      <c r="AE101" s="520" t="str">
        <f t="shared" si="13"/>
        <v/>
      </c>
      <c r="AF101" s="520" t="str">
        <f t="shared" si="14"/>
        <v/>
      </c>
      <c r="AG101" s="524" t="str">
        <f>IFERROR(IF(O101="","",VLOOKUP(AD101,'G-3 Multipliers'!$P$3:$Q$6,2,FALSE)),"")</f>
        <v/>
      </c>
      <c r="AH101" s="197"/>
      <c r="AI101" s="499" t="str">
        <f>IF(AH101="","",IF(VLOOKUP(AH101,'G-3 Multipliers'!$S$3:$T$6,2,FALSE)=0,"Spatial Data Missing ⚠",VLOOKUP(AH101,'G-3 Multipliers'!$S$3:$T$6,2,FALSE)))</f>
        <v/>
      </c>
      <c r="AJ101" s="545" t="str">
        <f t="shared" si="15"/>
        <v/>
      </c>
      <c r="AK101" s="149"/>
      <c r="AL101" s="150"/>
      <c r="AP101" s="31" t="str">
        <f>IFERROR(INDEX('G-6 Hedgerow Data'!$BJ$3:$BJ$15,MATCH(M101,'G-6 Hedgerow Data'!$B$3:$B$15,0)),"")</f>
        <v/>
      </c>
    </row>
    <row r="102" spans="2:42" ht="14" x14ac:dyDescent="0.3">
      <c r="B102" s="531" t="str">
        <f>'E-1 Off Site Hedge Baseline'!AK100</f>
        <v/>
      </c>
      <c r="C102" s="520" t="str">
        <f>IF(B102="","",IF(ISNA(VLOOKUP($B102,'E-1 Off Site Hedge Baseline'!$B$1:$L$257,3,FALSE)),"",(VLOOKUP($B102,'E-1 Off Site Hedge Baseline'!$B$1:$L$257,3,FALSE))))</f>
        <v/>
      </c>
      <c r="D102" s="520" t="str">
        <f>IF(B102="","",IF(ISNA(VLOOKUP($B102,'E-1 Off Site Hedge Baseline'!$B$1:$L$258,4,FALSE)),"",(VLOOKUP($B102,'E-1 Off Site Hedge Baseline'!$B$1:$L$258,4,FALSE))))</f>
        <v/>
      </c>
      <c r="E102" s="520" t="str">
        <f>IF(B102="","",IF(ISNA(VLOOKUP($B102,'E-1 Off Site Hedge Baseline'!$B$1:$L$257,5,FALSE)),"",(VLOOKUP($B102,'E-1 Off Site Hedge Baseline'!$B$1:$L$257,5,FALSE))))</f>
        <v/>
      </c>
      <c r="F102" s="520" t="str">
        <f>IF(B102="","",IF(ISNA(VLOOKUP($B102,'E-1 Off Site Hedge Baseline'!$B$1:$L$257,6,FALSE)),"",(VLOOKUP($B102,'E-1 Off Site Hedge Baseline'!$B$1:$L$257,6,FALSE))))</f>
        <v/>
      </c>
      <c r="G102" s="520" t="str">
        <f>IF(B102="","",IF(ISNA(VLOOKUP($B102,'E-1 Off Site Hedge Baseline'!$B$1:$L$257,7,FALSE)),"",(VLOOKUP($B102,'E-1 Off Site Hedge Baseline'!$B$1:$L$257,7,FALSE))))</f>
        <v/>
      </c>
      <c r="H102" s="520" t="str">
        <f>IF(B102="","",IF(ISNA(VLOOKUP($B102,'E-1 Off Site Hedge Baseline'!$B$1:$L$257,8,FALSE)),"",(VLOOKUP($B102,'E-1 Off Site Hedge Baseline'!$B$1:$L$257,8,FALSE))))</f>
        <v/>
      </c>
      <c r="I102" s="520" t="str">
        <f>IF(B102="","",IF(ISNA(VLOOKUP($B102,'E-1 Off Site Hedge Baseline'!$B$1:$L$257,10,FALSE)),"",(VLOOKUP($B102,'E-1 Off Site Hedge Baseline'!$B$1:$L$257,10,FALSE))))</f>
        <v/>
      </c>
      <c r="J102" s="520" t="str">
        <f>IF(B102="","",IF(ISNA(VLOOKUP($B102,'E-1 Off Site Hedge Baseline'!$B$1:$L$257,11,FALSE)),"",(VLOOKUP($B102,'E-1 Off Site Hedge Baseline'!$B$1:$L$257,11,FALSE))))</f>
        <v/>
      </c>
      <c r="K102" s="520" t="str">
        <f>IF(B102="","",IF(ISNA(VLOOKUP($B102,'E-1 Off Site Hedge Baseline'!$B$1:$U$257,113,FALSE)),"",(VLOOKUP($B102,'E-1 Off Site Hedge Baseline'!$B$1:$U$257,13,FALSE))))</f>
        <v/>
      </c>
      <c r="L102" s="507" t="str">
        <f>IF(B102="","",IF(ISNA(VLOOKUP($B102,'E-1 Off Site Hedge Baseline'!$B$1:$U$257,12,FALSE)),"",(VLOOKUP($B102,'E-1 Off Site Hedge Baseline'!$B$1:$U$257,12,FALSE))))</f>
        <v/>
      </c>
      <c r="M102" s="418" t="str">
        <f t="shared" si="16"/>
        <v/>
      </c>
      <c r="N102" s="498" t="str">
        <f>IFERROR(IF(B102="","",INDEX('G-6 Hedgerow Data'!$AN$3:$AZ$15,MATCH(C102,'G-6 Hedgerow Data'!$AM$3:$AM$15,0),MATCH(M102,'G-6 Hedgerow Data'!$AN$2:$AZ$2,0))),"")</f>
        <v/>
      </c>
      <c r="O102" s="499" t="str">
        <f t="shared" si="10"/>
        <v/>
      </c>
      <c r="P102" s="505" t="str">
        <f>IF(B102="","",VLOOKUP(B102,'E-1 Off Site Hedge Baseline'!$B$10:T347,16,FALSE))</f>
        <v/>
      </c>
      <c r="Q102" s="498" t="str">
        <f>IF(M102="","",VLOOKUP(M102,'G-6 Hedgerow Data'!$B$2:$AG$15,2,FALSE))</f>
        <v/>
      </c>
      <c r="R102" s="499" t="str">
        <f>IF(M102="","",VLOOKUP(M102,'G-6 Hedgerow Data'!$B$2:$AG$15,3,FALSE))</f>
        <v/>
      </c>
      <c r="S102" s="145"/>
      <c r="T102" s="499" t="str">
        <f>IFERROR(IF(AND(Q102="V.Low",OR(S102="Good",S102="Moderate")),"Error ▲",VLOOKUP(S102,'G-1 All Habitats'!$Z$2:$AA$9,2,FALSE)),"")</f>
        <v/>
      </c>
      <c r="U102" s="145"/>
      <c r="V102" s="507" t="str">
        <f>IF(U102="","",IF(VLOOKUP(U102,'G-3 Multipliers'!$L$3:$N$6,2,FALSE)=0,"Spatial Data Missing ⚠",VLOOKUP(U102,'G-3 Multipliers'!$L$3:$N$6,2,FALSE)))</f>
        <v/>
      </c>
      <c r="W102" s="505" t="str">
        <f>IF(U102="","",IF(VLOOKUP(U102,'G-3 Multipliers'!$L$3:$N$6,3,FALSE)=0,"Spatial Data Missing ⚠",VLOOKUP(U102,'G-3 Multipliers'!$L$3:$N$6,3,FALSE)))</f>
        <v/>
      </c>
      <c r="X102" s="498" t="str">
        <f>IFERROR(IF(OR(LEFT(O102,5)="Error ▲",LEFT(N102,5)="Error ▲",T102="Error ▲"),"Check Data ⚠",IF(F102&lt;R102,INDEX('G-6 Hedgerow Data'!$S$3:$AE$14,MATCH(C102,'G-6 Hedgerow Data'!$B$3:$B$14,0),MATCH(M102,'G-6 Hedgerow Data'!$S$2:$AE$2,0)),INDEX('G-6 Hedgerow Data'!$K$3:$Q$14,MATCH(M102,'G-6 Hedgerow Data'!$B$3:$B$14,0),MATCH(O102,'G-6 Hedgerow Data'!$K$2:$Q$2,0)))),"")</f>
        <v/>
      </c>
      <c r="Y102" s="195"/>
      <c r="Z102" s="195"/>
      <c r="AA102" s="507" t="str">
        <f t="shared" si="11"/>
        <v/>
      </c>
      <c r="AB102" s="521" t="str">
        <f t="shared" si="12"/>
        <v/>
      </c>
      <c r="AC102" s="522" t="str">
        <f t="shared" si="9"/>
        <v/>
      </c>
      <c r="AD102" s="537" t="str">
        <f>IF(M102="","",VLOOKUP(M102,'G-6 Hedgerow Data'!$B$3:$AG$15,31,FALSE))</f>
        <v/>
      </c>
      <c r="AE102" s="520" t="str">
        <f t="shared" si="13"/>
        <v/>
      </c>
      <c r="AF102" s="520" t="str">
        <f t="shared" si="14"/>
        <v/>
      </c>
      <c r="AG102" s="524" t="str">
        <f>IFERROR(IF(O102="","",VLOOKUP(AD102,'G-3 Multipliers'!$P$3:$Q$6,2,FALSE)),"")</f>
        <v/>
      </c>
      <c r="AH102" s="197"/>
      <c r="AI102" s="499" t="str">
        <f>IF(AH102="","",IF(VLOOKUP(AH102,'G-3 Multipliers'!$S$3:$T$6,2,FALSE)=0,"Spatial Data Missing ⚠",VLOOKUP(AH102,'G-3 Multipliers'!$S$3:$T$6,2,FALSE)))</f>
        <v/>
      </c>
      <c r="AJ102" s="545" t="str">
        <f t="shared" si="15"/>
        <v/>
      </c>
      <c r="AK102" s="149"/>
      <c r="AL102" s="150"/>
      <c r="AP102" s="31" t="str">
        <f>IFERROR(INDEX('G-6 Hedgerow Data'!$BJ$3:$BJ$15,MATCH(M102,'G-6 Hedgerow Data'!$B$3:$B$15,0)),"")</f>
        <v/>
      </c>
    </row>
    <row r="103" spans="2:42" ht="14" x14ac:dyDescent="0.3">
      <c r="B103" s="531" t="str">
        <f>'E-1 Off Site Hedge Baseline'!AK101</f>
        <v/>
      </c>
      <c r="C103" s="520" t="str">
        <f>IF(B103="","",IF(ISNA(VLOOKUP($B103,'E-1 Off Site Hedge Baseline'!$B$1:$L$257,3,FALSE)),"",(VLOOKUP($B103,'E-1 Off Site Hedge Baseline'!$B$1:$L$257,3,FALSE))))</f>
        <v/>
      </c>
      <c r="D103" s="520" t="str">
        <f>IF(B103="","",IF(ISNA(VLOOKUP($B103,'E-1 Off Site Hedge Baseline'!$B$1:$L$258,4,FALSE)),"",(VLOOKUP($B103,'E-1 Off Site Hedge Baseline'!$B$1:$L$258,4,FALSE))))</f>
        <v/>
      </c>
      <c r="E103" s="520" t="str">
        <f>IF(B103="","",IF(ISNA(VLOOKUP($B103,'E-1 Off Site Hedge Baseline'!$B$1:$L$257,5,FALSE)),"",(VLOOKUP($B103,'E-1 Off Site Hedge Baseline'!$B$1:$L$257,5,FALSE))))</f>
        <v/>
      </c>
      <c r="F103" s="520" t="str">
        <f>IF(B103="","",IF(ISNA(VLOOKUP($B103,'E-1 Off Site Hedge Baseline'!$B$1:$L$257,6,FALSE)),"",(VLOOKUP($B103,'E-1 Off Site Hedge Baseline'!$B$1:$L$257,6,FALSE))))</f>
        <v/>
      </c>
      <c r="G103" s="520" t="str">
        <f>IF(B103="","",IF(ISNA(VLOOKUP($B103,'E-1 Off Site Hedge Baseline'!$B$1:$L$257,7,FALSE)),"",(VLOOKUP($B103,'E-1 Off Site Hedge Baseline'!$B$1:$L$257,7,FALSE))))</f>
        <v/>
      </c>
      <c r="H103" s="520" t="str">
        <f>IF(B103="","",IF(ISNA(VLOOKUP($B103,'E-1 Off Site Hedge Baseline'!$B$1:$L$257,8,FALSE)),"",(VLOOKUP($B103,'E-1 Off Site Hedge Baseline'!$B$1:$L$257,8,FALSE))))</f>
        <v/>
      </c>
      <c r="I103" s="520" t="str">
        <f>IF(B103="","",IF(ISNA(VLOOKUP($B103,'E-1 Off Site Hedge Baseline'!$B$1:$L$257,10,FALSE)),"",(VLOOKUP($B103,'E-1 Off Site Hedge Baseline'!$B$1:$L$257,10,FALSE))))</f>
        <v/>
      </c>
      <c r="J103" s="520" t="str">
        <f>IF(B103="","",IF(ISNA(VLOOKUP($B103,'E-1 Off Site Hedge Baseline'!$B$1:$L$257,11,FALSE)),"",(VLOOKUP($B103,'E-1 Off Site Hedge Baseline'!$B$1:$L$257,11,FALSE))))</f>
        <v/>
      </c>
      <c r="K103" s="520" t="str">
        <f>IF(B103="","",IF(ISNA(VLOOKUP($B103,'E-1 Off Site Hedge Baseline'!$B$1:$U$257,113,FALSE)),"",(VLOOKUP($B103,'E-1 Off Site Hedge Baseline'!$B$1:$U$257,13,FALSE))))</f>
        <v/>
      </c>
      <c r="L103" s="507" t="str">
        <f>IF(B103="","",IF(ISNA(VLOOKUP($B103,'E-1 Off Site Hedge Baseline'!$B$1:$U$257,12,FALSE)),"",(VLOOKUP($B103,'E-1 Off Site Hedge Baseline'!$B$1:$U$257,12,FALSE))))</f>
        <v/>
      </c>
      <c r="M103" s="418" t="str">
        <f t="shared" si="16"/>
        <v/>
      </c>
      <c r="N103" s="498" t="str">
        <f>IFERROR(IF(B103="","",INDEX('G-6 Hedgerow Data'!$AN$3:$AZ$15,MATCH(C103,'G-6 Hedgerow Data'!$AM$3:$AM$15,0),MATCH(M103,'G-6 Hedgerow Data'!$AN$2:$AZ$2,0))),"")</f>
        <v/>
      </c>
      <c r="O103" s="499" t="str">
        <f t="shared" si="10"/>
        <v/>
      </c>
      <c r="P103" s="505" t="str">
        <f>IF(B103="","",VLOOKUP(B103,'E-1 Off Site Hedge Baseline'!$B$10:T348,16,FALSE))</f>
        <v/>
      </c>
      <c r="Q103" s="498" t="str">
        <f>IF(M103="","",VLOOKUP(M103,'G-6 Hedgerow Data'!$B$2:$AG$15,2,FALSE))</f>
        <v/>
      </c>
      <c r="R103" s="499" t="str">
        <f>IF(M103="","",VLOOKUP(M103,'G-6 Hedgerow Data'!$B$2:$AG$15,3,FALSE))</f>
        <v/>
      </c>
      <c r="S103" s="145"/>
      <c r="T103" s="499" t="str">
        <f>IFERROR(IF(AND(Q103="V.Low",OR(S103="Good",S103="Moderate")),"Error ▲",VLOOKUP(S103,'G-1 All Habitats'!$Z$2:$AA$9,2,FALSE)),"")</f>
        <v/>
      </c>
      <c r="U103" s="145"/>
      <c r="V103" s="507" t="str">
        <f>IF(U103="","",IF(VLOOKUP(U103,'G-3 Multipliers'!$L$3:$N$6,2,FALSE)=0,"Spatial Data Missing ⚠",VLOOKUP(U103,'G-3 Multipliers'!$L$3:$N$6,2,FALSE)))</f>
        <v/>
      </c>
      <c r="W103" s="505" t="str">
        <f>IF(U103="","",IF(VLOOKUP(U103,'G-3 Multipliers'!$L$3:$N$6,3,FALSE)=0,"Spatial Data Missing ⚠",VLOOKUP(U103,'G-3 Multipliers'!$L$3:$N$6,3,FALSE)))</f>
        <v/>
      </c>
      <c r="X103" s="498" t="str">
        <f>IFERROR(IF(OR(LEFT(O103,5)="Error ▲",LEFT(N103,5)="Error ▲",T103="Error ▲"),"Check Data ⚠",IF(F103&lt;R103,INDEX('G-6 Hedgerow Data'!$S$3:$AE$14,MATCH(C103,'G-6 Hedgerow Data'!$B$3:$B$14,0),MATCH(M103,'G-6 Hedgerow Data'!$S$2:$AE$2,0)),INDEX('G-6 Hedgerow Data'!$K$3:$Q$14,MATCH(M103,'G-6 Hedgerow Data'!$B$3:$B$14,0),MATCH(O103,'G-6 Hedgerow Data'!$K$2:$Q$2,0)))),"")</f>
        <v/>
      </c>
      <c r="Y103" s="195"/>
      <c r="Z103" s="195"/>
      <c r="AA103" s="507" t="str">
        <f t="shared" si="11"/>
        <v/>
      </c>
      <c r="AB103" s="521" t="str">
        <f t="shared" si="12"/>
        <v/>
      </c>
      <c r="AC103" s="522" t="str">
        <f t="shared" si="9"/>
        <v/>
      </c>
      <c r="AD103" s="537" t="str">
        <f>IF(M103="","",VLOOKUP(M103,'G-6 Hedgerow Data'!$B$3:$AG$15,31,FALSE))</f>
        <v/>
      </c>
      <c r="AE103" s="520" t="str">
        <f t="shared" si="13"/>
        <v/>
      </c>
      <c r="AF103" s="520" t="str">
        <f t="shared" si="14"/>
        <v/>
      </c>
      <c r="AG103" s="524" t="str">
        <f>IFERROR(IF(O103="","",VLOOKUP(AD103,'G-3 Multipliers'!$P$3:$Q$6,2,FALSE)),"")</f>
        <v/>
      </c>
      <c r="AH103" s="197"/>
      <c r="AI103" s="499" t="str">
        <f>IF(AH103="","",IF(VLOOKUP(AH103,'G-3 Multipliers'!$S$3:$T$6,2,FALSE)=0,"Spatial Data Missing ⚠",VLOOKUP(AH103,'G-3 Multipliers'!$S$3:$T$6,2,FALSE)))</f>
        <v/>
      </c>
      <c r="AJ103" s="545" t="str">
        <f t="shared" si="15"/>
        <v/>
      </c>
      <c r="AK103" s="149"/>
      <c r="AL103" s="150"/>
      <c r="AP103" s="31" t="str">
        <f>IFERROR(INDEX('G-6 Hedgerow Data'!$BJ$3:$BJ$15,MATCH(M103,'G-6 Hedgerow Data'!$B$3:$B$15,0)),"")</f>
        <v/>
      </c>
    </row>
    <row r="104" spans="2:42" ht="14" x14ac:dyDescent="0.3">
      <c r="B104" s="531" t="str">
        <f>'E-1 Off Site Hedge Baseline'!AK102</f>
        <v/>
      </c>
      <c r="C104" s="520" t="str">
        <f>IF(B104="","",IF(ISNA(VLOOKUP($B104,'E-1 Off Site Hedge Baseline'!$B$1:$L$257,3,FALSE)),"",(VLOOKUP($B104,'E-1 Off Site Hedge Baseline'!$B$1:$L$257,3,FALSE))))</f>
        <v/>
      </c>
      <c r="D104" s="520" t="str">
        <f>IF(B104="","",IF(ISNA(VLOOKUP($B104,'E-1 Off Site Hedge Baseline'!$B$1:$L$258,4,FALSE)),"",(VLOOKUP($B104,'E-1 Off Site Hedge Baseline'!$B$1:$L$258,4,FALSE))))</f>
        <v/>
      </c>
      <c r="E104" s="520" t="str">
        <f>IF(B104="","",IF(ISNA(VLOOKUP($B104,'E-1 Off Site Hedge Baseline'!$B$1:$L$257,5,FALSE)),"",(VLOOKUP($B104,'E-1 Off Site Hedge Baseline'!$B$1:$L$257,5,FALSE))))</f>
        <v/>
      </c>
      <c r="F104" s="520" t="str">
        <f>IF(B104="","",IF(ISNA(VLOOKUP($B104,'E-1 Off Site Hedge Baseline'!$B$1:$L$257,6,FALSE)),"",(VLOOKUP($B104,'E-1 Off Site Hedge Baseline'!$B$1:$L$257,6,FALSE))))</f>
        <v/>
      </c>
      <c r="G104" s="520" t="str">
        <f>IF(B104="","",IF(ISNA(VLOOKUP($B104,'E-1 Off Site Hedge Baseline'!$B$1:$L$257,7,FALSE)),"",(VLOOKUP($B104,'E-1 Off Site Hedge Baseline'!$B$1:$L$257,7,FALSE))))</f>
        <v/>
      </c>
      <c r="H104" s="520" t="str">
        <f>IF(B104="","",IF(ISNA(VLOOKUP($B104,'E-1 Off Site Hedge Baseline'!$B$1:$L$257,8,FALSE)),"",(VLOOKUP($B104,'E-1 Off Site Hedge Baseline'!$B$1:$L$257,8,FALSE))))</f>
        <v/>
      </c>
      <c r="I104" s="520" t="str">
        <f>IF(B104="","",IF(ISNA(VLOOKUP($B104,'E-1 Off Site Hedge Baseline'!$B$1:$L$257,10,FALSE)),"",(VLOOKUP($B104,'E-1 Off Site Hedge Baseline'!$B$1:$L$257,10,FALSE))))</f>
        <v/>
      </c>
      <c r="J104" s="520" t="str">
        <f>IF(B104="","",IF(ISNA(VLOOKUP($B104,'E-1 Off Site Hedge Baseline'!$B$1:$L$257,11,FALSE)),"",(VLOOKUP($B104,'E-1 Off Site Hedge Baseline'!$B$1:$L$257,11,FALSE))))</f>
        <v/>
      </c>
      <c r="K104" s="520" t="str">
        <f>IF(B104="","",IF(ISNA(VLOOKUP($B104,'E-1 Off Site Hedge Baseline'!$B$1:$U$257,113,FALSE)),"",(VLOOKUP($B104,'E-1 Off Site Hedge Baseline'!$B$1:$U$257,13,FALSE))))</f>
        <v/>
      </c>
      <c r="L104" s="507" t="str">
        <f>IF(B104="","",IF(ISNA(VLOOKUP($B104,'E-1 Off Site Hedge Baseline'!$B$1:$U$257,12,FALSE)),"",(VLOOKUP($B104,'E-1 Off Site Hedge Baseline'!$B$1:$U$257,12,FALSE))))</f>
        <v/>
      </c>
      <c r="M104" s="418" t="str">
        <f t="shared" si="16"/>
        <v/>
      </c>
      <c r="N104" s="498" t="str">
        <f>IFERROR(IF(B104="","",INDEX('G-6 Hedgerow Data'!$AN$3:$AZ$15,MATCH(C104,'G-6 Hedgerow Data'!$AM$3:$AM$15,0),MATCH(M104,'G-6 Hedgerow Data'!$AN$2:$AZ$2,0))),"")</f>
        <v/>
      </c>
      <c r="O104" s="499" t="str">
        <f t="shared" si="10"/>
        <v/>
      </c>
      <c r="P104" s="505" t="str">
        <f>IF(B104="","",VLOOKUP(B104,'E-1 Off Site Hedge Baseline'!$B$10:T349,16,FALSE))</f>
        <v/>
      </c>
      <c r="Q104" s="498" t="str">
        <f>IF(M104="","",VLOOKUP(M104,'G-6 Hedgerow Data'!$B$2:$AG$15,2,FALSE))</f>
        <v/>
      </c>
      <c r="R104" s="499" t="str">
        <f>IF(M104="","",VLOOKUP(M104,'G-6 Hedgerow Data'!$B$2:$AG$15,3,FALSE))</f>
        <v/>
      </c>
      <c r="S104" s="145"/>
      <c r="T104" s="499" t="str">
        <f>IFERROR(IF(AND(Q104="V.Low",OR(S104="Good",S104="Moderate")),"Error ▲",VLOOKUP(S104,'G-1 All Habitats'!$Z$2:$AA$9,2,FALSE)),"")</f>
        <v/>
      </c>
      <c r="U104" s="145"/>
      <c r="V104" s="507" t="str">
        <f>IF(U104="","",IF(VLOOKUP(U104,'G-3 Multipliers'!$L$3:$N$6,2,FALSE)=0,"Spatial Data Missing ⚠",VLOOKUP(U104,'G-3 Multipliers'!$L$3:$N$6,2,FALSE)))</f>
        <v/>
      </c>
      <c r="W104" s="505" t="str">
        <f>IF(U104="","",IF(VLOOKUP(U104,'G-3 Multipliers'!$L$3:$N$6,3,FALSE)=0,"Spatial Data Missing ⚠",VLOOKUP(U104,'G-3 Multipliers'!$L$3:$N$6,3,FALSE)))</f>
        <v/>
      </c>
      <c r="X104" s="498" t="str">
        <f>IFERROR(IF(OR(LEFT(O104,5)="Error ▲",LEFT(N104,5)="Error ▲",T104="Error ▲"),"Check Data ⚠",IF(F104&lt;R104,INDEX('G-6 Hedgerow Data'!$S$3:$AE$14,MATCH(C104,'G-6 Hedgerow Data'!$B$3:$B$14,0),MATCH(M104,'G-6 Hedgerow Data'!$S$2:$AE$2,0)),INDEX('G-6 Hedgerow Data'!$K$3:$Q$14,MATCH(M104,'G-6 Hedgerow Data'!$B$3:$B$14,0),MATCH(O104,'G-6 Hedgerow Data'!$K$2:$Q$2,0)))),"")</f>
        <v/>
      </c>
      <c r="Y104" s="195"/>
      <c r="Z104" s="195"/>
      <c r="AA104" s="507" t="str">
        <f t="shared" si="11"/>
        <v/>
      </c>
      <c r="AB104" s="521" t="str">
        <f t="shared" si="12"/>
        <v/>
      </c>
      <c r="AC104" s="522" t="str">
        <f t="shared" si="9"/>
        <v/>
      </c>
      <c r="AD104" s="537" t="str">
        <f>IF(M104="","",VLOOKUP(M104,'G-6 Hedgerow Data'!$B$3:$AG$15,31,FALSE))</f>
        <v/>
      </c>
      <c r="AE104" s="520" t="str">
        <f t="shared" si="13"/>
        <v/>
      </c>
      <c r="AF104" s="520" t="str">
        <f t="shared" si="14"/>
        <v/>
      </c>
      <c r="AG104" s="524" t="str">
        <f>IFERROR(IF(O104="","",VLOOKUP(AD104,'G-3 Multipliers'!$P$3:$Q$6,2,FALSE)),"")</f>
        <v/>
      </c>
      <c r="AH104" s="197"/>
      <c r="AI104" s="499" t="str">
        <f>IF(AH104="","",IF(VLOOKUP(AH104,'G-3 Multipliers'!$S$3:$T$6,2,FALSE)=0,"Spatial Data Missing ⚠",VLOOKUP(AH104,'G-3 Multipliers'!$S$3:$T$6,2,FALSE)))</f>
        <v/>
      </c>
      <c r="AJ104" s="545" t="str">
        <f t="shared" si="15"/>
        <v/>
      </c>
      <c r="AK104" s="149"/>
      <c r="AL104" s="150"/>
      <c r="AP104" s="31" t="str">
        <f>IFERROR(INDEX('G-6 Hedgerow Data'!$BJ$3:$BJ$15,MATCH(M104,'G-6 Hedgerow Data'!$B$3:$B$15,0)),"")</f>
        <v/>
      </c>
    </row>
    <row r="105" spans="2:42" ht="14" x14ac:dyDescent="0.3">
      <c r="B105" s="531" t="str">
        <f>'E-1 Off Site Hedge Baseline'!AK103</f>
        <v/>
      </c>
      <c r="C105" s="520" t="str">
        <f>IF(B105="","",IF(ISNA(VLOOKUP($B105,'E-1 Off Site Hedge Baseline'!$B$1:$L$257,3,FALSE)),"",(VLOOKUP($B105,'E-1 Off Site Hedge Baseline'!$B$1:$L$257,3,FALSE))))</f>
        <v/>
      </c>
      <c r="D105" s="520" t="str">
        <f>IF(B105="","",IF(ISNA(VLOOKUP($B105,'E-1 Off Site Hedge Baseline'!$B$1:$L$258,4,FALSE)),"",(VLOOKUP($B105,'E-1 Off Site Hedge Baseline'!$B$1:$L$258,4,FALSE))))</f>
        <v/>
      </c>
      <c r="E105" s="520" t="str">
        <f>IF(B105="","",IF(ISNA(VLOOKUP($B105,'E-1 Off Site Hedge Baseline'!$B$1:$L$257,5,FALSE)),"",(VLOOKUP($B105,'E-1 Off Site Hedge Baseline'!$B$1:$L$257,5,FALSE))))</f>
        <v/>
      </c>
      <c r="F105" s="520" t="str">
        <f>IF(B105="","",IF(ISNA(VLOOKUP($B105,'E-1 Off Site Hedge Baseline'!$B$1:$L$257,6,FALSE)),"",(VLOOKUP($B105,'E-1 Off Site Hedge Baseline'!$B$1:$L$257,6,FALSE))))</f>
        <v/>
      </c>
      <c r="G105" s="520" t="str">
        <f>IF(B105="","",IF(ISNA(VLOOKUP($B105,'E-1 Off Site Hedge Baseline'!$B$1:$L$257,7,FALSE)),"",(VLOOKUP($B105,'E-1 Off Site Hedge Baseline'!$B$1:$L$257,7,FALSE))))</f>
        <v/>
      </c>
      <c r="H105" s="520" t="str">
        <f>IF(B105="","",IF(ISNA(VLOOKUP($B105,'E-1 Off Site Hedge Baseline'!$B$1:$L$257,8,FALSE)),"",(VLOOKUP($B105,'E-1 Off Site Hedge Baseline'!$B$1:$L$257,8,FALSE))))</f>
        <v/>
      </c>
      <c r="I105" s="520" t="str">
        <f>IF(B105="","",IF(ISNA(VLOOKUP($B105,'E-1 Off Site Hedge Baseline'!$B$1:$L$257,10,FALSE)),"",(VLOOKUP($B105,'E-1 Off Site Hedge Baseline'!$B$1:$L$257,10,FALSE))))</f>
        <v/>
      </c>
      <c r="J105" s="520" t="str">
        <f>IF(B105="","",IF(ISNA(VLOOKUP($B105,'E-1 Off Site Hedge Baseline'!$B$1:$L$257,11,FALSE)),"",(VLOOKUP($B105,'E-1 Off Site Hedge Baseline'!$B$1:$L$257,11,FALSE))))</f>
        <v/>
      </c>
      <c r="K105" s="520" t="str">
        <f>IF(B105="","",IF(ISNA(VLOOKUP($B105,'E-1 Off Site Hedge Baseline'!$B$1:$U$257,113,FALSE)),"",(VLOOKUP($B105,'E-1 Off Site Hedge Baseline'!$B$1:$U$257,13,FALSE))))</f>
        <v/>
      </c>
      <c r="L105" s="507" t="str">
        <f>IF(B105="","",IF(ISNA(VLOOKUP($B105,'E-1 Off Site Hedge Baseline'!$B$1:$U$257,12,FALSE)),"",(VLOOKUP($B105,'E-1 Off Site Hedge Baseline'!$B$1:$U$257,12,FALSE))))</f>
        <v/>
      </c>
      <c r="M105" s="418" t="str">
        <f t="shared" si="16"/>
        <v/>
      </c>
      <c r="N105" s="498" t="str">
        <f>IFERROR(IF(B105="","",INDEX('G-6 Hedgerow Data'!$AN$3:$AZ$15,MATCH(C105,'G-6 Hedgerow Data'!$AM$3:$AM$15,0),MATCH(M105,'G-6 Hedgerow Data'!$AN$2:$AZ$2,0))),"")</f>
        <v/>
      </c>
      <c r="O105" s="499" t="str">
        <f t="shared" si="10"/>
        <v/>
      </c>
      <c r="P105" s="505" t="str">
        <f>IF(B105="","",VLOOKUP(B105,'E-1 Off Site Hedge Baseline'!$B$10:T350,16,FALSE))</f>
        <v/>
      </c>
      <c r="Q105" s="498" t="str">
        <f>IF(M105="","",VLOOKUP(M105,'G-6 Hedgerow Data'!$B$2:$AG$15,2,FALSE))</f>
        <v/>
      </c>
      <c r="R105" s="499" t="str">
        <f>IF(M105="","",VLOOKUP(M105,'G-6 Hedgerow Data'!$B$2:$AG$15,3,FALSE))</f>
        <v/>
      </c>
      <c r="S105" s="145"/>
      <c r="T105" s="499" t="str">
        <f>IFERROR(IF(AND(Q105="V.Low",OR(S105="Good",S105="Moderate")),"Error ▲",VLOOKUP(S105,'G-1 All Habitats'!$Z$2:$AA$9,2,FALSE)),"")</f>
        <v/>
      </c>
      <c r="U105" s="145"/>
      <c r="V105" s="507" t="str">
        <f>IF(U105="","",IF(VLOOKUP(U105,'G-3 Multipliers'!$L$3:$N$6,2,FALSE)=0,"Spatial Data Missing ⚠",VLOOKUP(U105,'G-3 Multipliers'!$L$3:$N$6,2,FALSE)))</f>
        <v/>
      </c>
      <c r="W105" s="505" t="str">
        <f>IF(U105="","",IF(VLOOKUP(U105,'G-3 Multipliers'!$L$3:$N$6,3,FALSE)=0,"Spatial Data Missing ⚠",VLOOKUP(U105,'G-3 Multipliers'!$L$3:$N$6,3,FALSE)))</f>
        <v/>
      </c>
      <c r="X105" s="498" t="str">
        <f>IFERROR(IF(OR(LEFT(O105,5)="Error ▲",LEFT(N105,5)="Error ▲",T105="Error ▲"),"Check Data ⚠",IF(F105&lt;R105,INDEX('G-6 Hedgerow Data'!$S$3:$AE$14,MATCH(C105,'G-6 Hedgerow Data'!$B$3:$B$14,0),MATCH(M105,'G-6 Hedgerow Data'!$S$2:$AE$2,0)),INDEX('G-6 Hedgerow Data'!$K$3:$Q$14,MATCH(M105,'G-6 Hedgerow Data'!$B$3:$B$14,0),MATCH(O105,'G-6 Hedgerow Data'!$K$2:$Q$2,0)))),"")</f>
        <v/>
      </c>
      <c r="Y105" s="195"/>
      <c r="Z105" s="195"/>
      <c r="AA105" s="507" t="str">
        <f t="shared" si="11"/>
        <v/>
      </c>
      <c r="AB105" s="521" t="str">
        <f t="shared" si="12"/>
        <v/>
      </c>
      <c r="AC105" s="522" t="str">
        <f t="shared" si="9"/>
        <v/>
      </c>
      <c r="AD105" s="537" t="str">
        <f>IF(M105="","",VLOOKUP(M105,'G-6 Hedgerow Data'!$B$3:$AG$15,31,FALSE))</f>
        <v/>
      </c>
      <c r="AE105" s="520" t="str">
        <f t="shared" si="13"/>
        <v/>
      </c>
      <c r="AF105" s="520" t="str">
        <f t="shared" si="14"/>
        <v/>
      </c>
      <c r="AG105" s="524" t="str">
        <f>IFERROR(IF(O105="","",VLOOKUP(AD105,'G-3 Multipliers'!$P$3:$Q$6,2,FALSE)),"")</f>
        <v/>
      </c>
      <c r="AH105" s="197"/>
      <c r="AI105" s="499" t="str">
        <f>IF(AH105="","",IF(VLOOKUP(AH105,'G-3 Multipliers'!$S$3:$T$6,2,FALSE)=0,"Spatial Data Missing ⚠",VLOOKUP(AH105,'G-3 Multipliers'!$S$3:$T$6,2,FALSE)))</f>
        <v/>
      </c>
      <c r="AJ105" s="545" t="str">
        <f t="shared" si="15"/>
        <v/>
      </c>
      <c r="AK105" s="149"/>
      <c r="AL105" s="150"/>
      <c r="AP105" s="31" t="str">
        <f>IFERROR(INDEX('G-6 Hedgerow Data'!$BJ$3:$BJ$15,MATCH(M105,'G-6 Hedgerow Data'!$B$3:$B$15,0)),"")</f>
        <v/>
      </c>
    </row>
    <row r="106" spans="2:42" ht="14" x14ac:dyDescent="0.3">
      <c r="B106" s="531" t="str">
        <f>'E-1 Off Site Hedge Baseline'!AK104</f>
        <v/>
      </c>
      <c r="C106" s="520" t="str">
        <f>IF(B106="","",IF(ISNA(VLOOKUP($B106,'E-1 Off Site Hedge Baseline'!$B$1:$L$257,3,FALSE)),"",(VLOOKUP($B106,'E-1 Off Site Hedge Baseline'!$B$1:$L$257,3,FALSE))))</f>
        <v/>
      </c>
      <c r="D106" s="520" t="str">
        <f>IF(B106="","",IF(ISNA(VLOOKUP($B106,'E-1 Off Site Hedge Baseline'!$B$1:$L$258,4,FALSE)),"",(VLOOKUP($B106,'E-1 Off Site Hedge Baseline'!$B$1:$L$258,4,FALSE))))</f>
        <v/>
      </c>
      <c r="E106" s="520" t="str">
        <f>IF(B106="","",IF(ISNA(VLOOKUP($B106,'E-1 Off Site Hedge Baseline'!$B$1:$L$257,5,FALSE)),"",(VLOOKUP($B106,'E-1 Off Site Hedge Baseline'!$B$1:$L$257,5,FALSE))))</f>
        <v/>
      </c>
      <c r="F106" s="520" t="str">
        <f>IF(B106="","",IF(ISNA(VLOOKUP($B106,'E-1 Off Site Hedge Baseline'!$B$1:$L$257,6,FALSE)),"",(VLOOKUP($B106,'E-1 Off Site Hedge Baseline'!$B$1:$L$257,6,FALSE))))</f>
        <v/>
      </c>
      <c r="G106" s="520" t="str">
        <f>IF(B106="","",IF(ISNA(VLOOKUP($B106,'E-1 Off Site Hedge Baseline'!$B$1:$L$257,7,FALSE)),"",(VLOOKUP($B106,'E-1 Off Site Hedge Baseline'!$B$1:$L$257,7,FALSE))))</f>
        <v/>
      </c>
      <c r="H106" s="520" t="str">
        <f>IF(B106="","",IF(ISNA(VLOOKUP($B106,'E-1 Off Site Hedge Baseline'!$B$1:$L$257,8,FALSE)),"",(VLOOKUP($B106,'E-1 Off Site Hedge Baseline'!$B$1:$L$257,8,FALSE))))</f>
        <v/>
      </c>
      <c r="I106" s="520" t="str">
        <f>IF(B106="","",IF(ISNA(VLOOKUP($B106,'E-1 Off Site Hedge Baseline'!$B$1:$L$257,10,FALSE)),"",(VLOOKUP($B106,'E-1 Off Site Hedge Baseline'!$B$1:$L$257,10,FALSE))))</f>
        <v/>
      </c>
      <c r="J106" s="520" t="str">
        <f>IF(B106="","",IF(ISNA(VLOOKUP($B106,'E-1 Off Site Hedge Baseline'!$B$1:$L$257,11,FALSE)),"",(VLOOKUP($B106,'E-1 Off Site Hedge Baseline'!$B$1:$L$257,11,FALSE))))</f>
        <v/>
      </c>
      <c r="K106" s="520" t="str">
        <f>IF(B106="","",IF(ISNA(VLOOKUP($B106,'E-1 Off Site Hedge Baseline'!$B$1:$U$257,113,FALSE)),"",(VLOOKUP($B106,'E-1 Off Site Hedge Baseline'!$B$1:$U$257,13,FALSE))))</f>
        <v/>
      </c>
      <c r="L106" s="507" t="str">
        <f>IF(B106="","",IF(ISNA(VLOOKUP($B106,'E-1 Off Site Hedge Baseline'!$B$1:$U$257,12,FALSE)),"",(VLOOKUP($B106,'E-1 Off Site Hedge Baseline'!$B$1:$U$257,12,FALSE))))</f>
        <v/>
      </c>
      <c r="M106" s="418" t="str">
        <f t="shared" si="16"/>
        <v/>
      </c>
      <c r="N106" s="498" t="str">
        <f>IFERROR(IF(B106="","",INDEX('G-6 Hedgerow Data'!$AN$3:$AZ$15,MATCH(C106,'G-6 Hedgerow Data'!$AM$3:$AM$15,0),MATCH(M106,'G-6 Hedgerow Data'!$AN$2:$AZ$2,0))),"")</f>
        <v/>
      </c>
      <c r="O106" s="499" t="str">
        <f t="shared" si="10"/>
        <v/>
      </c>
      <c r="P106" s="505" t="str">
        <f>IF(B106="","",VLOOKUP(B106,'E-1 Off Site Hedge Baseline'!$B$10:T351,16,FALSE))</f>
        <v/>
      </c>
      <c r="Q106" s="498" t="str">
        <f>IF(M106="","",VLOOKUP(M106,'G-6 Hedgerow Data'!$B$2:$AG$15,2,FALSE))</f>
        <v/>
      </c>
      <c r="R106" s="499" t="str">
        <f>IF(M106="","",VLOOKUP(M106,'G-6 Hedgerow Data'!$B$2:$AG$15,3,FALSE))</f>
        <v/>
      </c>
      <c r="S106" s="145"/>
      <c r="T106" s="499" t="str">
        <f>IFERROR(IF(AND(Q106="V.Low",OR(S106="Good",S106="Moderate")),"Error ▲",VLOOKUP(S106,'G-1 All Habitats'!$Z$2:$AA$9,2,FALSE)),"")</f>
        <v/>
      </c>
      <c r="U106" s="145"/>
      <c r="V106" s="507" t="str">
        <f>IF(U106="","",IF(VLOOKUP(U106,'G-3 Multipliers'!$L$3:$N$6,2,FALSE)=0,"Spatial Data Missing ⚠",VLOOKUP(U106,'G-3 Multipliers'!$L$3:$N$6,2,FALSE)))</f>
        <v/>
      </c>
      <c r="W106" s="505" t="str">
        <f>IF(U106="","",IF(VLOOKUP(U106,'G-3 Multipliers'!$L$3:$N$6,3,FALSE)=0,"Spatial Data Missing ⚠",VLOOKUP(U106,'G-3 Multipliers'!$L$3:$N$6,3,FALSE)))</f>
        <v/>
      </c>
      <c r="X106" s="498" t="str">
        <f>IFERROR(IF(OR(LEFT(O106,5)="Error ▲",LEFT(N106,5)="Error ▲",T106="Error ▲"),"Check Data ⚠",IF(F106&lt;R106,INDEX('G-6 Hedgerow Data'!$S$3:$AE$14,MATCH(C106,'G-6 Hedgerow Data'!$B$3:$B$14,0),MATCH(M106,'G-6 Hedgerow Data'!$S$2:$AE$2,0)),INDEX('G-6 Hedgerow Data'!$K$3:$Q$14,MATCH(M106,'G-6 Hedgerow Data'!$B$3:$B$14,0),MATCH(O106,'G-6 Hedgerow Data'!$K$2:$Q$2,0)))),"")</f>
        <v/>
      </c>
      <c r="Y106" s="195"/>
      <c r="Z106" s="195"/>
      <c r="AA106" s="507" t="str">
        <f t="shared" si="11"/>
        <v/>
      </c>
      <c r="AB106" s="521" t="str">
        <f t="shared" si="12"/>
        <v/>
      </c>
      <c r="AC106" s="522" t="str">
        <f t="shared" si="9"/>
        <v/>
      </c>
      <c r="AD106" s="537" t="str">
        <f>IF(M106="","",VLOOKUP(M106,'G-6 Hedgerow Data'!$B$3:$AG$15,31,FALSE))</f>
        <v/>
      </c>
      <c r="AE106" s="520" t="str">
        <f t="shared" si="13"/>
        <v/>
      </c>
      <c r="AF106" s="520" t="str">
        <f t="shared" si="14"/>
        <v/>
      </c>
      <c r="AG106" s="524" t="str">
        <f>IFERROR(IF(O106="","",VLOOKUP(AD106,'G-3 Multipliers'!$P$3:$Q$6,2,FALSE)),"")</f>
        <v/>
      </c>
      <c r="AH106" s="197"/>
      <c r="AI106" s="499" t="str">
        <f>IF(AH106="","",IF(VLOOKUP(AH106,'G-3 Multipliers'!$S$3:$T$6,2,FALSE)=0,"Spatial Data Missing ⚠",VLOOKUP(AH106,'G-3 Multipliers'!$S$3:$T$6,2,FALSE)))</f>
        <v/>
      </c>
      <c r="AJ106" s="545" t="str">
        <f t="shared" si="15"/>
        <v/>
      </c>
      <c r="AK106" s="149"/>
      <c r="AL106" s="150"/>
      <c r="AP106" s="31" t="str">
        <f>IFERROR(INDEX('G-6 Hedgerow Data'!$BJ$3:$BJ$15,MATCH(M106,'G-6 Hedgerow Data'!$B$3:$B$15,0)),"")</f>
        <v/>
      </c>
    </row>
    <row r="107" spans="2:42" ht="14" x14ac:dyDescent="0.3">
      <c r="B107" s="531" t="str">
        <f>'E-1 Off Site Hedge Baseline'!AK105</f>
        <v/>
      </c>
      <c r="C107" s="520" t="str">
        <f>IF(B107="","",IF(ISNA(VLOOKUP($B107,'E-1 Off Site Hedge Baseline'!$B$1:$L$257,3,FALSE)),"",(VLOOKUP($B107,'E-1 Off Site Hedge Baseline'!$B$1:$L$257,3,FALSE))))</f>
        <v/>
      </c>
      <c r="D107" s="520" t="str">
        <f>IF(B107="","",IF(ISNA(VLOOKUP($B107,'E-1 Off Site Hedge Baseline'!$B$1:$L$258,4,FALSE)),"",(VLOOKUP($B107,'E-1 Off Site Hedge Baseline'!$B$1:$L$258,4,FALSE))))</f>
        <v/>
      </c>
      <c r="E107" s="520" t="str">
        <f>IF(B107="","",IF(ISNA(VLOOKUP($B107,'E-1 Off Site Hedge Baseline'!$B$1:$L$257,5,FALSE)),"",(VLOOKUP($B107,'E-1 Off Site Hedge Baseline'!$B$1:$L$257,5,FALSE))))</f>
        <v/>
      </c>
      <c r="F107" s="520" t="str">
        <f>IF(B107="","",IF(ISNA(VLOOKUP($B107,'E-1 Off Site Hedge Baseline'!$B$1:$L$257,6,FALSE)),"",(VLOOKUP($B107,'E-1 Off Site Hedge Baseline'!$B$1:$L$257,6,FALSE))))</f>
        <v/>
      </c>
      <c r="G107" s="520" t="str">
        <f>IF(B107="","",IF(ISNA(VLOOKUP($B107,'E-1 Off Site Hedge Baseline'!$B$1:$L$257,7,FALSE)),"",(VLOOKUP($B107,'E-1 Off Site Hedge Baseline'!$B$1:$L$257,7,FALSE))))</f>
        <v/>
      </c>
      <c r="H107" s="520" t="str">
        <f>IF(B107="","",IF(ISNA(VLOOKUP($B107,'E-1 Off Site Hedge Baseline'!$B$1:$L$257,8,FALSE)),"",(VLOOKUP($B107,'E-1 Off Site Hedge Baseline'!$B$1:$L$257,8,FALSE))))</f>
        <v/>
      </c>
      <c r="I107" s="520" t="str">
        <f>IF(B107="","",IF(ISNA(VLOOKUP($B107,'E-1 Off Site Hedge Baseline'!$B$1:$L$257,10,FALSE)),"",(VLOOKUP($B107,'E-1 Off Site Hedge Baseline'!$B$1:$L$257,10,FALSE))))</f>
        <v/>
      </c>
      <c r="J107" s="520" t="str">
        <f>IF(B107="","",IF(ISNA(VLOOKUP($B107,'E-1 Off Site Hedge Baseline'!$B$1:$L$257,11,FALSE)),"",(VLOOKUP($B107,'E-1 Off Site Hedge Baseline'!$B$1:$L$257,11,FALSE))))</f>
        <v/>
      </c>
      <c r="K107" s="520" t="str">
        <f>IF(B107="","",IF(ISNA(VLOOKUP($B107,'E-1 Off Site Hedge Baseline'!$B$1:$U$257,113,FALSE)),"",(VLOOKUP($B107,'E-1 Off Site Hedge Baseline'!$B$1:$U$257,13,FALSE))))</f>
        <v/>
      </c>
      <c r="L107" s="507" t="str">
        <f>IF(B107="","",IF(ISNA(VLOOKUP($B107,'E-1 Off Site Hedge Baseline'!$B$1:$U$257,12,FALSE)),"",(VLOOKUP($B107,'E-1 Off Site Hedge Baseline'!$B$1:$U$257,12,FALSE))))</f>
        <v/>
      </c>
      <c r="M107" s="418" t="str">
        <f t="shared" si="16"/>
        <v/>
      </c>
      <c r="N107" s="498" t="str">
        <f>IFERROR(IF(B107="","",INDEX('G-6 Hedgerow Data'!$AN$3:$AZ$15,MATCH(C107,'G-6 Hedgerow Data'!$AM$3:$AM$15,0),MATCH(M107,'G-6 Hedgerow Data'!$AN$2:$AZ$2,0))),"")</f>
        <v/>
      </c>
      <c r="O107" s="499" t="str">
        <f t="shared" si="10"/>
        <v/>
      </c>
      <c r="P107" s="505" t="str">
        <f>IF(B107="","",VLOOKUP(B107,'E-1 Off Site Hedge Baseline'!$B$10:T352,16,FALSE))</f>
        <v/>
      </c>
      <c r="Q107" s="498" t="str">
        <f>IF(M107="","",VLOOKUP(M107,'G-6 Hedgerow Data'!$B$2:$AG$15,2,FALSE))</f>
        <v/>
      </c>
      <c r="R107" s="499" t="str">
        <f>IF(M107="","",VLOOKUP(M107,'G-6 Hedgerow Data'!$B$2:$AG$15,3,FALSE))</f>
        <v/>
      </c>
      <c r="S107" s="145"/>
      <c r="T107" s="499" t="str">
        <f>IFERROR(IF(AND(Q107="V.Low",OR(S107="Good",S107="Moderate")),"Error ▲",VLOOKUP(S107,'G-1 All Habitats'!$Z$2:$AA$9,2,FALSE)),"")</f>
        <v/>
      </c>
      <c r="U107" s="145"/>
      <c r="V107" s="507" t="str">
        <f>IF(U107="","",IF(VLOOKUP(U107,'G-3 Multipliers'!$L$3:$N$6,2,FALSE)=0,"Spatial Data Missing ⚠",VLOOKUP(U107,'G-3 Multipliers'!$L$3:$N$6,2,FALSE)))</f>
        <v/>
      </c>
      <c r="W107" s="505" t="str">
        <f>IF(U107="","",IF(VLOOKUP(U107,'G-3 Multipliers'!$L$3:$N$6,3,FALSE)=0,"Spatial Data Missing ⚠",VLOOKUP(U107,'G-3 Multipliers'!$L$3:$N$6,3,FALSE)))</f>
        <v/>
      </c>
      <c r="X107" s="498" t="str">
        <f>IFERROR(IF(OR(LEFT(O107,5)="Error ▲",LEFT(N107,5)="Error ▲",T107="Error ▲"),"Check Data ⚠",IF(F107&lt;R107,INDEX('G-6 Hedgerow Data'!$S$3:$AE$14,MATCH(C107,'G-6 Hedgerow Data'!$B$3:$B$14,0),MATCH(M107,'G-6 Hedgerow Data'!$S$2:$AE$2,0)),INDEX('G-6 Hedgerow Data'!$K$3:$Q$14,MATCH(M107,'G-6 Hedgerow Data'!$B$3:$B$14,0),MATCH(O107,'G-6 Hedgerow Data'!$K$2:$Q$2,0)))),"")</f>
        <v/>
      </c>
      <c r="Y107" s="195"/>
      <c r="Z107" s="195"/>
      <c r="AA107" s="507" t="str">
        <f t="shared" si="11"/>
        <v/>
      </c>
      <c r="AB107" s="521" t="str">
        <f t="shared" si="12"/>
        <v/>
      </c>
      <c r="AC107" s="522" t="str">
        <f t="shared" si="9"/>
        <v/>
      </c>
      <c r="AD107" s="537" t="str">
        <f>IF(M107="","",VLOOKUP(M107,'G-6 Hedgerow Data'!$B$3:$AG$15,31,FALSE))</f>
        <v/>
      </c>
      <c r="AE107" s="520" t="str">
        <f t="shared" si="13"/>
        <v/>
      </c>
      <c r="AF107" s="520" t="str">
        <f t="shared" si="14"/>
        <v/>
      </c>
      <c r="AG107" s="524" t="str">
        <f>IFERROR(IF(O107="","",VLOOKUP(AD107,'G-3 Multipliers'!$P$3:$Q$6,2,FALSE)),"")</f>
        <v/>
      </c>
      <c r="AH107" s="197"/>
      <c r="AI107" s="499" t="str">
        <f>IF(AH107="","",IF(VLOOKUP(AH107,'G-3 Multipliers'!$S$3:$T$6,2,FALSE)=0,"Spatial Data Missing ⚠",VLOOKUP(AH107,'G-3 Multipliers'!$S$3:$T$6,2,FALSE)))</f>
        <v/>
      </c>
      <c r="AJ107" s="545" t="str">
        <f t="shared" si="15"/>
        <v/>
      </c>
      <c r="AK107" s="149"/>
      <c r="AL107" s="150"/>
      <c r="AP107" s="31" t="str">
        <f>IFERROR(INDEX('G-6 Hedgerow Data'!$BJ$3:$BJ$15,MATCH(M107,'G-6 Hedgerow Data'!$B$3:$B$15,0)),"")</f>
        <v/>
      </c>
    </row>
    <row r="108" spans="2:42" ht="14" x14ac:dyDescent="0.3">
      <c r="B108" s="531" t="str">
        <f>'E-1 Off Site Hedge Baseline'!AK106</f>
        <v/>
      </c>
      <c r="C108" s="520" t="str">
        <f>IF(B108="","",IF(ISNA(VLOOKUP($B108,'E-1 Off Site Hedge Baseline'!$B$1:$L$257,3,FALSE)),"",(VLOOKUP($B108,'E-1 Off Site Hedge Baseline'!$B$1:$L$257,3,FALSE))))</f>
        <v/>
      </c>
      <c r="D108" s="520" t="str">
        <f>IF(B108="","",IF(ISNA(VLOOKUP($B108,'E-1 Off Site Hedge Baseline'!$B$1:$L$258,4,FALSE)),"",(VLOOKUP($B108,'E-1 Off Site Hedge Baseline'!$B$1:$L$258,4,FALSE))))</f>
        <v/>
      </c>
      <c r="E108" s="520" t="str">
        <f>IF(B108="","",IF(ISNA(VLOOKUP($B108,'E-1 Off Site Hedge Baseline'!$B$1:$L$257,5,FALSE)),"",(VLOOKUP($B108,'E-1 Off Site Hedge Baseline'!$B$1:$L$257,5,FALSE))))</f>
        <v/>
      </c>
      <c r="F108" s="520" t="str">
        <f>IF(B108="","",IF(ISNA(VLOOKUP($B108,'E-1 Off Site Hedge Baseline'!$B$1:$L$257,6,FALSE)),"",(VLOOKUP($B108,'E-1 Off Site Hedge Baseline'!$B$1:$L$257,6,FALSE))))</f>
        <v/>
      </c>
      <c r="G108" s="520" t="str">
        <f>IF(B108="","",IF(ISNA(VLOOKUP($B108,'E-1 Off Site Hedge Baseline'!$B$1:$L$257,7,FALSE)),"",(VLOOKUP($B108,'E-1 Off Site Hedge Baseline'!$B$1:$L$257,7,FALSE))))</f>
        <v/>
      </c>
      <c r="H108" s="520" t="str">
        <f>IF(B108="","",IF(ISNA(VLOOKUP($B108,'E-1 Off Site Hedge Baseline'!$B$1:$L$257,8,FALSE)),"",(VLOOKUP($B108,'E-1 Off Site Hedge Baseline'!$B$1:$L$257,8,FALSE))))</f>
        <v/>
      </c>
      <c r="I108" s="520" t="str">
        <f>IF(B108="","",IF(ISNA(VLOOKUP($B108,'E-1 Off Site Hedge Baseline'!$B$1:$L$257,10,FALSE)),"",(VLOOKUP($B108,'E-1 Off Site Hedge Baseline'!$B$1:$L$257,10,FALSE))))</f>
        <v/>
      </c>
      <c r="J108" s="520" t="str">
        <f>IF(B108="","",IF(ISNA(VLOOKUP($B108,'E-1 Off Site Hedge Baseline'!$B$1:$L$257,11,FALSE)),"",(VLOOKUP($B108,'E-1 Off Site Hedge Baseline'!$B$1:$L$257,11,FALSE))))</f>
        <v/>
      </c>
      <c r="K108" s="520" t="str">
        <f>IF(B108="","",IF(ISNA(VLOOKUP($B108,'E-1 Off Site Hedge Baseline'!$B$1:$U$257,113,FALSE)),"",(VLOOKUP($B108,'E-1 Off Site Hedge Baseline'!$B$1:$U$257,13,FALSE))))</f>
        <v/>
      </c>
      <c r="L108" s="507" t="str">
        <f>IF(B108="","",IF(ISNA(VLOOKUP($B108,'E-1 Off Site Hedge Baseline'!$B$1:$U$257,12,FALSE)),"",(VLOOKUP($B108,'E-1 Off Site Hedge Baseline'!$B$1:$U$257,12,FALSE))))</f>
        <v/>
      </c>
      <c r="M108" s="418" t="str">
        <f t="shared" si="16"/>
        <v/>
      </c>
      <c r="N108" s="498" t="str">
        <f>IFERROR(IF(B108="","",INDEX('G-6 Hedgerow Data'!$AN$3:$AZ$15,MATCH(C108,'G-6 Hedgerow Data'!$AM$3:$AM$15,0),MATCH(M108,'G-6 Hedgerow Data'!$AN$2:$AZ$2,0))),"")</f>
        <v/>
      </c>
      <c r="O108" s="499" t="str">
        <f t="shared" si="10"/>
        <v/>
      </c>
      <c r="P108" s="505" t="str">
        <f>IF(B108="","",VLOOKUP(B108,'E-1 Off Site Hedge Baseline'!$B$10:T353,16,FALSE))</f>
        <v/>
      </c>
      <c r="Q108" s="498" t="str">
        <f>IF(M108="","",VLOOKUP(M108,'G-6 Hedgerow Data'!$B$2:$AG$15,2,FALSE))</f>
        <v/>
      </c>
      <c r="R108" s="499" t="str">
        <f>IF(M108="","",VLOOKUP(M108,'G-6 Hedgerow Data'!$B$2:$AG$15,3,FALSE))</f>
        <v/>
      </c>
      <c r="S108" s="145"/>
      <c r="T108" s="499" t="str">
        <f>IFERROR(IF(AND(Q108="V.Low",OR(S108="Good",S108="Moderate")),"Error ▲",VLOOKUP(S108,'G-1 All Habitats'!$Z$2:$AA$9,2,FALSE)),"")</f>
        <v/>
      </c>
      <c r="U108" s="145"/>
      <c r="V108" s="507" t="str">
        <f>IF(U108="","",IF(VLOOKUP(U108,'G-3 Multipliers'!$L$3:$N$6,2,FALSE)=0,"Spatial Data Missing ⚠",VLOOKUP(U108,'G-3 Multipliers'!$L$3:$N$6,2,FALSE)))</f>
        <v/>
      </c>
      <c r="W108" s="505" t="str">
        <f>IF(U108="","",IF(VLOOKUP(U108,'G-3 Multipliers'!$L$3:$N$6,3,FALSE)=0,"Spatial Data Missing ⚠",VLOOKUP(U108,'G-3 Multipliers'!$L$3:$N$6,3,FALSE)))</f>
        <v/>
      </c>
      <c r="X108" s="498" t="str">
        <f>IFERROR(IF(OR(LEFT(O108,5)="Error ▲",LEFT(N108,5)="Error ▲",T108="Error ▲"),"Check Data ⚠",IF(F108&lt;R108,INDEX('G-6 Hedgerow Data'!$S$3:$AE$14,MATCH(C108,'G-6 Hedgerow Data'!$B$3:$B$14,0),MATCH(M108,'G-6 Hedgerow Data'!$S$2:$AE$2,0)),INDEX('G-6 Hedgerow Data'!$K$3:$Q$14,MATCH(M108,'G-6 Hedgerow Data'!$B$3:$B$14,0),MATCH(O108,'G-6 Hedgerow Data'!$K$2:$Q$2,0)))),"")</f>
        <v/>
      </c>
      <c r="Y108" s="195"/>
      <c r="Z108" s="195"/>
      <c r="AA108" s="507" t="str">
        <f t="shared" si="11"/>
        <v/>
      </c>
      <c r="AB108" s="521" t="str">
        <f t="shared" si="12"/>
        <v/>
      </c>
      <c r="AC108" s="522" t="str">
        <f t="shared" si="9"/>
        <v/>
      </c>
      <c r="AD108" s="537" t="str">
        <f>IF(M108="","",VLOOKUP(M108,'G-6 Hedgerow Data'!$B$3:$AG$15,31,FALSE))</f>
        <v/>
      </c>
      <c r="AE108" s="520" t="str">
        <f t="shared" si="13"/>
        <v/>
      </c>
      <c r="AF108" s="520" t="str">
        <f t="shared" si="14"/>
        <v/>
      </c>
      <c r="AG108" s="524" t="str">
        <f>IFERROR(IF(O108="","",VLOOKUP(AD108,'G-3 Multipliers'!$P$3:$Q$6,2,FALSE)),"")</f>
        <v/>
      </c>
      <c r="AH108" s="197"/>
      <c r="AI108" s="499" t="str">
        <f>IF(AH108="","",IF(VLOOKUP(AH108,'G-3 Multipliers'!$S$3:$T$6,2,FALSE)=0,"Spatial Data Missing ⚠",VLOOKUP(AH108,'G-3 Multipliers'!$S$3:$T$6,2,FALSE)))</f>
        <v/>
      </c>
      <c r="AJ108" s="545" t="str">
        <f t="shared" si="15"/>
        <v/>
      </c>
      <c r="AK108" s="149"/>
      <c r="AL108" s="150"/>
      <c r="AP108" s="31" t="str">
        <f>IFERROR(INDEX('G-6 Hedgerow Data'!$BJ$3:$BJ$15,MATCH(M108,'G-6 Hedgerow Data'!$B$3:$B$15,0)),"")</f>
        <v/>
      </c>
    </row>
    <row r="109" spans="2:42" ht="14" x14ac:dyDescent="0.3">
      <c r="B109" s="531" t="str">
        <f>'E-1 Off Site Hedge Baseline'!AK107</f>
        <v/>
      </c>
      <c r="C109" s="520" t="str">
        <f>IF(B109="","",IF(ISNA(VLOOKUP($B109,'E-1 Off Site Hedge Baseline'!$B$1:$L$257,3,FALSE)),"",(VLOOKUP($B109,'E-1 Off Site Hedge Baseline'!$B$1:$L$257,3,FALSE))))</f>
        <v/>
      </c>
      <c r="D109" s="520" t="str">
        <f>IF(B109="","",IF(ISNA(VLOOKUP($B109,'E-1 Off Site Hedge Baseline'!$B$1:$L$258,4,FALSE)),"",(VLOOKUP($B109,'E-1 Off Site Hedge Baseline'!$B$1:$L$258,4,FALSE))))</f>
        <v/>
      </c>
      <c r="E109" s="520" t="str">
        <f>IF(B109="","",IF(ISNA(VLOOKUP($B109,'E-1 Off Site Hedge Baseline'!$B$1:$L$257,5,FALSE)),"",(VLOOKUP($B109,'E-1 Off Site Hedge Baseline'!$B$1:$L$257,5,FALSE))))</f>
        <v/>
      </c>
      <c r="F109" s="520" t="str">
        <f>IF(B109="","",IF(ISNA(VLOOKUP($B109,'E-1 Off Site Hedge Baseline'!$B$1:$L$257,6,FALSE)),"",(VLOOKUP($B109,'E-1 Off Site Hedge Baseline'!$B$1:$L$257,6,FALSE))))</f>
        <v/>
      </c>
      <c r="G109" s="520" t="str">
        <f>IF(B109="","",IF(ISNA(VLOOKUP($B109,'E-1 Off Site Hedge Baseline'!$B$1:$L$257,7,FALSE)),"",(VLOOKUP($B109,'E-1 Off Site Hedge Baseline'!$B$1:$L$257,7,FALSE))))</f>
        <v/>
      </c>
      <c r="H109" s="520" t="str">
        <f>IF(B109="","",IF(ISNA(VLOOKUP($B109,'E-1 Off Site Hedge Baseline'!$B$1:$L$257,8,FALSE)),"",(VLOOKUP($B109,'E-1 Off Site Hedge Baseline'!$B$1:$L$257,8,FALSE))))</f>
        <v/>
      </c>
      <c r="I109" s="520" t="str">
        <f>IF(B109="","",IF(ISNA(VLOOKUP($B109,'E-1 Off Site Hedge Baseline'!$B$1:$L$257,10,FALSE)),"",(VLOOKUP($B109,'E-1 Off Site Hedge Baseline'!$B$1:$L$257,10,FALSE))))</f>
        <v/>
      </c>
      <c r="J109" s="520" t="str">
        <f>IF(B109="","",IF(ISNA(VLOOKUP($B109,'E-1 Off Site Hedge Baseline'!$B$1:$L$257,11,FALSE)),"",(VLOOKUP($B109,'E-1 Off Site Hedge Baseline'!$B$1:$L$257,11,FALSE))))</f>
        <v/>
      </c>
      <c r="K109" s="520" t="str">
        <f>IF(B109="","",IF(ISNA(VLOOKUP($B109,'E-1 Off Site Hedge Baseline'!$B$1:$U$257,113,FALSE)),"",(VLOOKUP($B109,'E-1 Off Site Hedge Baseline'!$B$1:$U$257,13,FALSE))))</f>
        <v/>
      </c>
      <c r="L109" s="507" t="str">
        <f>IF(B109="","",IF(ISNA(VLOOKUP($B109,'E-1 Off Site Hedge Baseline'!$B$1:$U$257,12,FALSE)),"",(VLOOKUP($B109,'E-1 Off Site Hedge Baseline'!$B$1:$U$257,12,FALSE))))</f>
        <v/>
      </c>
      <c r="M109" s="418" t="str">
        <f t="shared" si="16"/>
        <v/>
      </c>
      <c r="N109" s="498" t="str">
        <f>IFERROR(IF(B109="","",INDEX('G-6 Hedgerow Data'!$AN$3:$AZ$15,MATCH(C109,'G-6 Hedgerow Data'!$AM$3:$AM$15,0),MATCH(M109,'G-6 Hedgerow Data'!$AN$2:$AZ$2,0))),"")</f>
        <v/>
      </c>
      <c r="O109" s="499" t="str">
        <f t="shared" si="10"/>
        <v/>
      </c>
      <c r="P109" s="505" t="str">
        <f>IF(B109="","",VLOOKUP(B109,'E-1 Off Site Hedge Baseline'!$B$10:T354,16,FALSE))</f>
        <v/>
      </c>
      <c r="Q109" s="498" t="str">
        <f>IF(M109="","",VLOOKUP(M109,'G-6 Hedgerow Data'!$B$2:$AG$15,2,FALSE))</f>
        <v/>
      </c>
      <c r="R109" s="499" t="str">
        <f>IF(M109="","",VLOOKUP(M109,'G-6 Hedgerow Data'!$B$2:$AG$15,3,FALSE))</f>
        <v/>
      </c>
      <c r="S109" s="145"/>
      <c r="T109" s="499" t="str">
        <f>IFERROR(IF(AND(Q109="V.Low",OR(S109="Good",S109="Moderate")),"Error ▲",VLOOKUP(S109,'G-1 All Habitats'!$Z$2:$AA$9,2,FALSE)),"")</f>
        <v/>
      </c>
      <c r="U109" s="145"/>
      <c r="V109" s="507" t="str">
        <f>IF(U109="","",IF(VLOOKUP(U109,'G-3 Multipliers'!$L$3:$N$6,2,FALSE)=0,"Spatial Data Missing ⚠",VLOOKUP(U109,'G-3 Multipliers'!$L$3:$N$6,2,FALSE)))</f>
        <v/>
      </c>
      <c r="W109" s="505" t="str">
        <f>IF(U109="","",IF(VLOOKUP(U109,'G-3 Multipliers'!$L$3:$N$6,3,FALSE)=0,"Spatial Data Missing ⚠",VLOOKUP(U109,'G-3 Multipliers'!$L$3:$N$6,3,FALSE)))</f>
        <v/>
      </c>
      <c r="X109" s="498" t="str">
        <f>IFERROR(IF(OR(LEFT(O109,5)="Error ▲",LEFT(N109,5)="Error ▲",T109="Error ▲"),"Check Data ⚠",IF(F109&lt;R109,INDEX('G-6 Hedgerow Data'!$S$3:$AE$14,MATCH(C109,'G-6 Hedgerow Data'!$B$3:$B$14,0),MATCH(M109,'G-6 Hedgerow Data'!$S$2:$AE$2,0)),INDEX('G-6 Hedgerow Data'!$K$3:$Q$14,MATCH(M109,'G-6 Hedgerow Data'!$B$3:$B$14,0),MATCH(O109,'G-6 Hedgerow Data'!$K$2:$Q$2,0)))),"")</f>
        <v/>
      </c>
      <c r="Y109" s="195"/>
      <c r="Z109" s="195"/>
      <c r="AA109" s="507" t="str">
        <f t="shared" si="11"/>
        <v/>
      </c>
      <c r="AB109" s="521" t="str">
        <f t="shared" si="12"/>
        <v/>
      </c>
      <c r="AC109" s="522" t="str">
        <f t="shared" si="9"/>
        <v/>
      </c>
      <c r="AD109" s="537" t="str">
        <f>IF(M109="","",VLOOKUP(M109,'G-6 Hedgerow Data'!$B$3:$AG$15,31,FALSE))</f>
        <v/>
      </c>
      <c r="AE109" s="520" t="str">
        <f t="shared" si="13"/>
        <v/>
      </c>
      <c r="AF109" s="520" t="str">
        <f t="shared" si="14"/>
        <v/>
      </c>
      <c r="AG109" s="524" t="str">
        <f>IFERROR(IF(O109="","",VLOOKUP(AD109,'G-3 Multipliers'!$P$3:$Q$6,2,FALSE)),"")</f>
        <v/>
      </c>
      <c r="AH109" s="197"/>
      <c r="AI109" s="499" t="str">
        <f>IF(AH109="","",IF(VLOOKUP(AH109,'G-3 Multipliers'!$S$3:$T$6,2,FALSE)=0,"Spatial Data Missing ⚠",VLOOKUP(AH109,'G-3 Multipliers'!$S$3:$T$6,2,FALSE)))</f>
        <v/>
      </c>
      <c r="AJ109" s="545" t="str">
        <f t="shared" si="15"/>
        <v/>
      </c>
      <c r="AK109" s="149"/>
      <c r="AL109" s="150"/>
      <c r="AP109" s="31" t="str">
        <f>IFERROR(INDEX('G-6 Hedgerow Data'!$BJ$3:$BJ$15,MATCH(M109,'G-6 Hedgerow Data'!$B$3:$B$15,0)),"")</f>
        <v/>
      </c>
    </row>
    <row r="110" spans="2:42" ht="14" x14ac:dyDescent="0.3">
      <c r="B110" s="531" t="str">
        <f>'E-1 Off Site Hedge Baseline'!AK108</f>
        <v/>
      </c>
      <c r="C110" s="520" t="str">
        <f>IF(B110="","",IF(ISNA(VLOOKUP($B110,'E-1 Off Site Hedge Baseline'!$B$1:$L$257,3,FALSE)),"",(VLOOKUP($B110,'E-1 Off Site Hedge Baseline'!$B$1:$L$257,3,FALSE))))</f>
        <v/>
      </c>
      <c r="D110" s="520" t="str">
        <f>IF(B110="","",IF(ISNA(VLOOKUP($B110,'E-1 Off Site Hedge Baseline'!$B$1:$L$258,4,FALSE)),"",(VLOOKUP($B110,'E-1 Off Site Hedge Baseline'!$B$1:$L$258,4,FALSE))))</f>
        <v/>
      </c>
      <c r="E110" s="520" t="str">
        <f>IF(B110="","",IF(ISNA(VLOOKUP($B110,'E-1 Off Site Hedge Baseline'!$B$1:$L$257,5,FALSE)),"",(VLOOKUP($B110,'E-1 Off Site Hedge Baseline'!$B$1:$L$257,5,FALSE))))</f>
        <v/>
      </c>
      <c r="F110" s="520" t="str">
        <f>IF(B110="","",IF(ISNA(VLOOKUP($B110,'E-1 Off Site Hedge Baseline'!$B$1:$L$257,6,FALSE)),"",(VLOOKUP($B110,'E-1 Off Site Hedge Baseline'!$B$1:$L$257,6,FALSE))))</f>
        <v/>
      </c>
      <c r="G110" s="520" t="str">
        <f>IF(B110="","",IF(ISNA(VLOOKUP($B110,'E-1 Off Site Hedge Baseline'!$B$1:$L$257,7,FALSE)),"",(VLOOKUP($B110,'E-1 Off Site Hedge Baseline'!$B$1:$L$257,7,FALSE))))</f>
        <v/>
      </c>
      <c r="H110" s="520" t="str">
        <f>IF(B110="","",IF(ISNA(VLOOKUP($B110,'E-1 Off Site Hedge Baseline'!$B$1:$L$257,8,FALSE)),"",(VLOOKUP($B110,'E-1 Off Site Hedge Baseline'!$B$1:$L$257,8,FALSE))))</f>
        <v/>
      </c>
      <c r="I110" s="520" t="str">
        <f>IF(B110="","",IF(ISNA(VLOOKUP($B110,'E-1 Off Site Hedge Baseline'!$B$1:$L$257,10,FALSE)),"",(VLOOKUP($B110,'E-1 Off Site Hedge Baseline'!$B$1:$L$257,10,FALSE))))</f>
        <v/>
      </c>
      <c r="J110" s="520" t="str">
        <f>IF(B110="","",IF(ISNA(VLOOKUP($B110,'E-1 Off Site Hedge Baseline'!$B$1:$L$257,11,FALSE)),"",(VLOOKUP($B110,'E-1 Off Site Hedge Baseline'!$B$1:$L$257,11,FALSE))))</f>
        <v/>
      </c>
      <c r="K110" s="520" t="str">
        <f>IF(B110="","",IF(ISNA(VLOOKUP($B110,'E-1 Off Site Hedge Baseline'!$B$1:$U$257,113,FALSE)),"",(VLOOKUP($B110,'E-1 Off Site Hedge Baseline'!$B$1:$U$257,13,FALSE))))</f>
        <v/>
      </c>
      <c r="L110" s="507" t="str">
        <f>IF(B110="","",IF(ISNA(VLOOKUP($B110,'E-1 Off Site Hedge Baseline'!$B$1:$U$257,12,FALSE)),"",(VLOOKUP($B110,'E-1 Off Site Hedge Baseline'!$B$1:$U$257,12,FALSE))))</f>
        <v/>
      </c>
      <c r="M110" s="418" t="str">
        <f t="shared" si="16"/>
        <v/>
      </c>
      <c r="N110" s="498" t="str">
        <f>IFERROR(IF(B110="","",INDEX('G-6 Hedgerow Data'!$AN$3:$AZ$15,MATCH(C110,'G-6 Hedgerow Data'!$AM$3:$AM$15,0),MATCH(M110,'G-6 Hedgerow Data'!$AN$2:$AZ$2,0))),"")</f>
        <v/>
      </c>
      <c r="O110" s="499" t="str">
        <f t="shared" si="10"/>
        <v/>
      </c>
      <c r="P110" s="505" t="str">
        <f>IF(B110="","",VLOOKUP(B110,'E-1 Off Site Hedge Baseline'!$B$10:T355,16,FALSE))</f>
        <v/>
      </c>
      <c r="Q110" s="498" t="str">
        <f>IF(M110="","",VLOOKUP(M110,'G-6 Hedgerow Data'!$B$2:$AG$15,2,FALSE))</f>
        <v/>
      </c>
      <c r="R110" s="499" t="str">
        <f>IF(M110="","",VLOOKUP(M110,'G-6 Hedgerow Data'!$B$2:$AG$15,3,FALSE))</f>
        <v/>
      </c>
      <c r="S110" s="145"/>
      <c r="T110" s="499" t="str">
        <f>IFERROR(IF(AND(Q110="V.Low",OR(S110="Good",S110="Moderate")),"Error ▲",VLOOKUP(S110,'G-1 All Habitats'!$Z$2:$AA$9,2,FALSE)),"")</f>
        <v/>
      </c>
      <c r="U110" s="145"/>
      <c r="V110" s="507" t="str">
        <f>IF(U110="","",IF(VLOOKUP(U110,'G-3 Multipliers'!$L$3:$N$6,2,FALSE)=0,"Spatial Data Missing ⚠",VLOOKUP(U110,'G-3 Multipliers'!$L$3:$N$6,2,FALSE)))</f>
        <v/>
      </c>
      <c r="W110" s="505" t="str">
        <f>IF(U110="","",IF(VLOOKUP(U110,'G-3 Multipliers'!$L$3:$N$6,3,FALSE)=0,"Spatial Data Missing ⚠",VLOOKUP(U110,'G-3 Multipliers'!$L$3:$N$6,3,FALSE)))</f>
        <v/>
      </c>
      <c r="X110" s="498" t="str">
        <f>IFERROR(IF(OR(LEFT(O110,5)="Error ▲",LEFT(N110,5)="Error ▲",T110="Error ▲"),"Check Data ⚠",IF(F110&lt;R110,INDEX('G-6 Hedgerow Data'!$S$3:$AE$14,MATCH(C110,'G-6 Hedgerow Data'!$B$3:$B$14,0),MATCH(M110,'G-6 Hedgerow Data'!$S$2:$AE$2,0)),INDEX('G-6 Hedgerow Data'!$K$3:$Q$14,MATCH(M110,'G-6 Hedgerow Data'!$B$3:$B$14,0),MATCH(O110,'G-6 Hedgerow Data'!$K$2:$Q$2,0)))),"")</f>
        <v/>
      </c>
      <c r="Y110" s="195"/>
      <c r="Z110" s="195"/>
      <c r="AA110" s="507" t="str">
        <f t="shared" si="11"/>
        <v/>
      </c>
      <c r="AB110" s="521" t="str">
        <f t="shared" si="12"/>
        <v/>
      </c>
      <c r="AC110" s="522" t="str">
        <f t="shared" si="9"/>
        <v/>
      </c>
      <c r="AD110" s="537" t="str">
        <f>IF(M110="","",VLOOKUP(M110,'G-6 Hedgerow Data'!$B$3:$AG$15,31,FALSE))</f>
        <v/>
      </c>
      <c r="AE110" s="520" t="str">
        <f t="shared" si="13"/>
        <v/>
      </c>
      <c r="AF110" s="520" t="str">
        <f t="shared" si="14"/>
        <v/>
      </c>
      <c r="AG110" s="524" t="str">
        <f>IFERROR(IF(O110="","",VLOOKUP(AD110,'G-3 Multipliers'!$P$3:$Q$6,2,FALSE)),"")</f>
        <v/>
      </c>
      <c r="AH110" s="197"/>
      <c r="AI110" s="499" t="str">
        <f>IF(AH110="","",IF(VLOOKUP(AH110,'G-3 Multipliers'!$S$3:$T$6,2,FALSE)=0,"Spatial Data Missing ⚠",VLOOKUP(AH110,'G-3 Multipliers'!$S$3:$T$6,2,FALSE)))</f>
        <v/>
      </c>
      <c r="AJ110" s="545" t="str">
        <f t="shared" si="15"/>
        <v/>
      </c>
      <c r="AK110" s="149"/>
      <c r="AL110" s="150"/>
      <c r="AP110" s="31" t="str">
        <f>IFERROR(INDEX('G-6 Hedgerow Data'!$BJ$3:$BJ$15,MATCH(M110,'G-6 Hedgerow Data'!$B$3:$B$15,0)),"")</f>
        <v/>
      </c>
    </row>
    <row r="111" spans="2:42" ht="14" x14ac:dyDescent="0.3">
      <c r="B111" s="531" t="str">
        <f>'E-1 Off Site Hedge Baseline'!AK109</f>
        <v/>
      </c>
      <c r="C111" s="520" t="str">
        <f>IF(B111="","",IF(ISNA(VLOOKUP($B111,'E-1 Off Site Hedge Baseline'!$B$1:$L$257,3,FALSE)),"",(VLOOKUP($B111,'E-1 Off Site Hedge Baseline'!$B$1:$L$257,3,FALSE))))</f>
        <v/>
      </c>
      <c r="D111" s="520" t="str">
        <f>IF(B111="","",IF(ISNA(VLOOKUP($B111,'E-1 Off Site Hedge Baseline'!$B$1:$L$258,4,FALSE)),"",(VLOOKUP($B111,'E-1 Off Site Hedge Baseline'!$B$1:$L$258,4,FALSE))))</f>
        <v/>
      </c>
      <c r="E111" s="520" t="str">
        <f>IF(B111="","",IF(ISNA(VLOOKUP($B111,'E-1 Off Site Hedge Baseline'!$B$1:$L$257,5,FALSE)),"",(VLOOKUP($B111,'E-1 Off Site Hedge Baseline'!$B$1:$L$257,5,FALSE))))</f>
        <v/>
      </c>
      <c r="F111" s="520" t="str">
        <f>IF(B111="","",IF(ISNA(VLOOKUP($B111,'E-1 Off Site Hedge Baseline'!$B$1:$L$257,6,FALSE)),"",(VLOOKUP($B111,'E-1 Off Site Hedge Baseline'!$B$1:$L$257,6,FALSE))))</f>
        <v/>
      </c>
      <c r="G111" s="520" t="str">
        <f>IF(B111="","",IF(ISNA(VLOOKUP($B111,'E-1 Off Site Hedge Baseline'!$B$1:$L$257,7,FALSE)),"",(VLOOKUP($B111,'E-1 Off Site Hedge Baseline'!$B$1:$L$257,7,FALSE))))</f>
        <v/>
      </c>
      <c r="H111" s="520" t="str">
        <f>IF(B111="","",IF(ISNA(VLOOKUP($B111,'E-1 Off Site Hedge Baseline'!$B$1:$L$257,8,FALSE)),"",(VLOOKUP($B111,'E-1 Off Site Hedge Baseline'!$B$1:$L$257,8,FALSE))))</f>
        <v/>
      </c>
      <c r="I111" s="520" t="str">
        <f>IF(B111="","",IF(ISNA(VLOOKUP($B111,'E-1 Off Site Hedge Baseline'!$B$1:$L$257,10,FALSE)),"",(VLOOKUP($B111,'E-1 Off Site Hedge Baseline'!$B$1:$L$257,10,FALSE))))</f>
        <v/>
      </c>
      <c r="J111" s="520" t="str">
        <f>IF(B111="","",IF(ISNA(VLOOKUP($B111,'E-1 Off Site Hedge Baseline'!$B$1:$L$257,11,FALSE)),"",(VLOOKUP($B111,'E-1 Off Site Hedge Baseline'!$B$1:$L$257,11,FALSE))))</f>
        <v/>
      </c>
      <c r="K111" s="520" t="str">
        <f>IF(B111="","",IF(ISNA(VLOOKUP($B111,'E-1 Off Site Hedge Baseline'!$B$1:$U$257,113,FALSE)),"",(VLOOKUP($B111,'E-1 Off Site Hedge Baseline'!$B$1:$U$257,13,FALSE))))</f>
        <v/>
      </c>
      <c r="L111" s="507" t="str">
        <f>IF(B111="","",IF(ISNA(VLOOKUP($B111,'E-1 Off Site Hedge Baseline'!$B$1:$U$257,12,FALSE)),"",(VLOOKUP($B111,'E-1 Off Site Hedge Baseline'!$B$1:$U$257,12,FALSE))))</f>
        <v/>
      </c>
      <c r="M111" s="418" t="str">
        <f t="shared" si="16"/>
        <v/>
      </c>
      <c r="N111" s="498" t="str">
        <f>IFERROR(IF(B111="","",INDEX('G-6 Hedgerow Data'!$AN$3:$AZ$15,MATCH(C111,'G-6 Hedgerow Data'!$AM$3:$AM$15,0),MATCH(M111,'G-6 Hedgerow Data'!$AN$2:$AZ$2,0))),"")</f>
        <v/>
      </c>
      <c r="O111" s="499" t="str">
        <f t="shared" si="10"/>
        <v/>
      </c>
      <c r="P111" s="505" t="str">
        <f>IF(B111="","",VLOOKUP(B111,'E-1 Off Site Hedge Baseline'!$B$10:T356,16,FALSE))</f>
        <v/>
      </c>
      <c r="Q111" s="498" t="str">
        <f>IF(M111="","",VLOOKUP(M111,'G-6 Hedgerow Data'!$B$2:$AG$15,2,FALSE))</f>
        <v/>
      </c>
      <c r="R111" s="499" t="str">
        <f>IF(M111="","",VLOOKUP(M111,'G-6 Hedgerow Data'!$B$2:$AG$15,3,FALSE))</f>
        <v/>
      </c>
      <c r="S111" s="145"/>
      <c r="T111" s="499" t="str">
        <f>IFERROR(IF(AND(Q111="V.Low",OR(S111="Good",S111="Moderate")),"Error ▲",VLOOKUP(S111,'G-1 All Habitats'!$Z$2:$AA$9,2,FALSE)),"")</f>
        <v/>
      </c>
      <c r="U111" s="145"/>
      <c r="V111" s="507" t="str">
        <f>IF(U111="","",IF(VLOOKUP(U111,'G-3 Multipliers'!$L$3:$N$6,2,FALSE)=0,"Spatial Data Missing ⚠",VLOOKUP(U111,'G-3 Multipliers'!$L$3:$N$6,2,FALSE)))</f>
        <v/>
      </c>
      <c r="W111" s="505" t="str">
        <f>IF(U111="","",IF(VLOOKUP(U111,'G-3 Multipliers'!$L$3:$N$6,3,FALSE)=0,"Spatial Data Missing ⚠",VLOOKUP(U111,'G-3 Multipliers'!$L$3:$N$6,3,FALSE)))</f>
        <v/>
      </c>
      <c r="X111" s="498" t="str">
        <f>IFERROR(IF(OR(LEFT(O111,5)="Error ▲",LEFT(N111,5)="Error ▲",T111="Error ▲"),"Check Data ⚠",IF(F111&lt;R111,INDEX('G-6 Hedgerow Data'!$S$3:$AE$14,MATCH(C111,'G-6 Hedgerow Data'!$B$3:$B$14,0),MATCH(M111,'G-6 Hedgerow Data'!$S$2:$AE$2,0)),INDEX('G-6 Hedgerow Data'!$K$3:$Q$14,MATCH(M111,'G-6 Hedgerow Data'!$B$3:$B$14,0),MATCH(O111,'G-6 Hedgerow Data'!$K$2:$Q$2,0)))),"")</f>
        <v/>
      </c>
      <c r="Y111" s="195"/>
      <c r="Z111" s="195"/>
      <c r="AA111" s="507" t="str">
        <f t="shared" si="11"/>
        <v/>
      </c>
      <c r="AB111" s="521" t="str">
        <f t="shared" si="12"/>
        <v/>
      </c>
      <c r="AC111" s="522" t="str">
        <f t="shared" si="9"/>
        <v/>
      </c>
      <c r="AD111" s="537" t="str">
        <f>IF(M111="","",VLOOKUP(M111,'G-6 Hedgerow Data'!$B$3:$AG$15,31,FALSE))</f>
        <v/>
      </c>
      <c r="AE111" s="520" t="str">
        <f t="shared" si="13"/>
        <v/>
      </c>
      <c r="AF111" s="520" t="str">
        <f t="shared" si="14"/>
        <v/>
      </c>
      <c r="AG111" s="524" t="str">
        <f>IFERROR(IF(O111="","",VLOOKUP(AD111,'G-3 Multipliers'!$P$3:$Q$6,2,FALSE)),"")</f>
        <v/>
      </c>
      <c r="AH111" s="197"/>
      <c r="AI111" s="499" t="str">
        <f>IF(AH111="","",IF(VLOOKUP(AH111,'G-3 Multipliers'!$S$3:$T$6,2,FALSE)=0,"Spatial Data Missing ⚠",VLOOKUP(AH111,'G-3 Multipliers'!$S$3:$T$6,2,FALSE)))</f>
        <v/>
      </c>
      <c r="AJ111" s="545" t="str">
        <f t="shared" si="15"/>
        <v/>
      </c>
      <c r="AK111" s="149"/>
      <c r="AL111" s="150"/>
      <c r="AP111" s="31" t="str">
        <f>IFERROR(INDEX('G-6 Hedgerow Data'!$BJ$3:$BJ$15,MATCH(M111,'G-6 Hedgerow Data'!$B$3:$B$15,0)),"")</f>
        <v/>
      </c>
    </row>
    <row r="112" spans="2:42" ht="14" x14ac:dyDescent="0.3">
      <c r="B112" s="531" t="str">
        <f>'E-1 Off Site Hedge Baseline'!AK110</f>
        <v/>
      </c>
      <c r="C112" s="520" t="str">
        <f>IF(B112="","",IF(ISNA(VLOOKUP($B112,'E-1 Off Site Hedge Baseline'!$B$1:$L$257,3,FALSE)),"",(VLOOKUP($B112,'E-1 Off Site Hedge Baseline'!$B$1:$L$257,3,FALSE))))</f>
        <v/>
      </c>
      <c r="D112" s="520" t="str">
        <f>IF(B112="","",IF(ISNA(VLOOKUP($B112,'E-1 Off Site Hedge Baseline'!$B$1:$L$258,4,FALSE)),"",(VLOOKUP($B112,'E-1 Off Site Hedge Baseline'!$B$1:$L$258,4,FALSE))))</f>
        <v/>
      </c>
      <c r="E112" s="520" t="str">
        <f>IF(B112="","",IF(ISNA(VLOOKUP($B112,'E-1 Off Site Hedge Baseline'!$B$1:$L$257,5,FALSE)),"",(VLOOKUP($B112,'E-1 Off Site Hedge Baseline'!$B$1:$L$257,5,FALSE))))</f>
        <v/>
      </c>
      <c r="F112" s="520" t="str">
        <f>IF(B112="","",IF(ISNA(VLOOKUP($B112,'E-1 Off Site Hedge Baseline'!$B$1:$L$257,6,FALSE)),"",(VLOOKUP($B112,'E-1 Off Site Hedge Baseline'!$B$1:$L$257,6,FALSE))))</f>
        <v/>
      </c>
      <c r="G112" s="520" t="str">
        <f>IF(B112="","",IF(ISNA(VLOOKUP($B112,'E-1 Off Site Hedge Baseline'!$B$1:$L$257,7,FALSE)),"",(VLOOKUP($B112,'E-1 Off Site Hedge Baseline'!$B$1:$L$257,7,FALSE))))</f>
        <v/>
      </c>
      <c r="H112" s="520" t="str">
        <f>IF(B112="","",IF(ISNA(VLOOKUP($B112,'E-1 Off Site Hedge Baseline'!$B$1:$L$257,8,FALSE)),"",(VLOOKUP($B112,'E-1 Off Site Hedge Baseline'!$B$1:$L$257,8,FALSE))))</f>
        <v/>
      </c>
      <c r="I112" s="520" t="str">
        <f>IF(B112="","",IF(ISNA(VLOOKUP($B112,'E-1 Off Site Hedge Baseline'!$B$1:$L$257,10,FALSE)),"",(VLOOKUP($B112,'E-1 Off Site Hedge Baseline'!$B$1:$L$257,10,FALSE))))</f>
        <v/>
      </c>
      <c r="J112" s="520" t="str">
        <f>IF(B112="","",IF(ISNA(VLOOKUP($B112,'E-1 Off Site Hedge Baseline'!$B$1:$L$257,11,FALSE)),"",(VLOOKUP($B112,'E-1 Off Site Hedge Baseline'!$B$1:$L$257,11,FALSE))))</f>
        <v/>
      </c>
      <c r="K112" s="520" t="str">
        <f>IF(B112="","",IF(ISNA(VLOOKUP($B112,'E-1 Off Site Hedge Baseline'!$B$1:$U$257,113,FALSE)),"",(VLOOKUP($B112,'E-1 Off Site Hedge Baseline'!$B$1:$U$257,13,FALSE))))</f>
        <v/>
      </c>
      <c r="L112" s="507" t="str">
        <f>IF(B112="","",IF(ISNA(VLOOKUP($B112,'E-1 Off Site Hedge Baseline'!$B$1:$U$257,12,FALSE)),"",(VLOOKUP($B112,'E-1 Off Site Hedge Baseline'!$B$1:$U$257,12,FALSE))))</f>
        <v/>
      </c>
      <c r="M112" s="418" t="str">
        <f t="shared" si="16"/>
        <v/>
      </c>
      <c r="N112" s="498" t="str">
        <f>IFERROR(IF(B112="","",INDEX('G-6 Hedgerow Data'!$AN$3:$AZ$15,MATCH(C112,'G-6 Hedgerow Data'!$AM$3:$AM$15,0),MATCH(M112,'G-6 Hedgerow Data'!$AN$2:$AZ$2,0))),"")</f>
        <v/>
      </c>
      <c r="O112" s="499" t="str">
        <f t="shared" si="10"/>
        <v/>
      </c>
      <c r="P112" s="505" t="str">
        <f>IF(B112="","",VLOOKUP(B112,'E-1 Off Site Hedge Baseline'!$B$10:T357,16,FALSE))</f>
        <v/>
      </c>
      <c r="Q112" s="498" t="str">
        <f>IF(M112="","",VLOOKUP(M112,'G-6 Hedgerow Data'!$B$2:$AG$15,2,FALSE))</f>
        <v/>
      </c>
      <c r="R112" s="499" t="str">
        <f>IF(M112="","",VLOOKUP(M112,'G-6 Hedgerow Data'!$B$2:$AG$15,3,FALSE))</f>
        <v/>
      </c>
      <c r="S112" s="145"/>
      <c r="T112" s="499" t="str">
        <f>IFERROR(IF(AND(Q112="V.Low",OR(S112="Good",S112="Moderate")),"Error ▲",VLOOKUP(S112,'G-1 All Habitats'!$Z$2:$AA$9,2,FALSE)),"")</f>
        <v/>
      </c>
      <c r="U112" s="145"/>
      <c r="V112" s="507" t="str">
        <f>IF(U112="","",IF(VLOOKUP(U112,'G-3 Multipliers'!$L$3:$N$6,2,FALSE)=0,"Spatial Data Missing ⚠",VLOOKUP(U112,'G-3 Multipliers'!$L$3:$N$6,2,FALSE)))</f>
        <v/>
      </c>
      <c r="W112" s="505" t="str">
        <f>IF(U112="","",IF(VLOOKUP(U112,'G-3 Multipliers'!$L$3:$N$6,3,FALSE)=0,"Spatial Data Missing ⚠",VLOOKUP(U112,'G-3 Multipliers'!$L$3:$N$6,3,FALSE)))</f>
        <v/>
      </c>
      <c r="X112" s="498" t="str">
        <f>IFERROR(IF(OR(LEFT(O112,5)="Error ▲",LEFT(N112,5)="Error ▲",T112="Error ▲"),"Check Data ⚠",IF(F112&lt;R112,INDEX('G-6 Hedgerow Data'!$S$3:$AE$14,MATCH(C112,'G-6 Hedgerow Data'!$B$3:$B$14,0),MATCH(M112,'G-6 Hedgerow Data'!$S$2:$AE$2,0)),INDEX('G-6 Hedgerow Data'!$K$3:$Q$14,MATCH(M112,'G-6 Hedgerow Data'!$B$3:$B$14,0),MATCH(O112,'G-6 Hedgerow Data'!$K$2:$Q$2,0)))),"")</f>
        <v/>
      </c>
      <c r="Y112" s="195"/>
      <c r="Z112" s="195"/>
      <c r="AA112" s="507" t="str">
        <f t="shared" si="11"/>
        <v/>
      </c>
      <c r="AB112" s="521" t="str">
        <f t="shared" si="12"/>
        <v/>
      </c>
      <c r="AC112" s="522" t="str">
        <f t="shared" si="9"/>
        <v/>
      </c>
      <c r="AD112" s="537" t="str">
        <f>IF(M112="","",VLOOKUP(M112,'G-6 Hedgerow Data'!$B$3:$AG$15,31,FALSE))</f>
        <v/>
      </c>
      <c r="AE112" s="520" t="str">
        <f t="shared" si="13"/>
        <v/>
      </c>
      <c r="AF112" s="520" t="str">
        <f t="shared" si="14"/>
        <v/>
      </c>
      <c r="AG112" s="524" t="str">
        <f>IFERROR(IF(O112="","",VLOOKUP(AD112,'G-3 Multipliers'!$P$3:$Q$6,2,FALSE)),"")</f>
        <v/>
      </c>
      <c r="AH112" s="197"/>
      <c r="AI112" s="499" t="str">
        <f>IF(AH112="","",IF(VLOOKUP(AH112,'G-3 Multipliers'!$S$3:$T$6,2,FALSE)=0,"Spatial Data Missing ⚠",VLOOKUP(AH112,'G-3 Multipliers'!$S$3:$T$6,2,FALSE)))</f>
        <v/>
      </c>
      <c r="AJ112" s="545" t="str">
        <f t="shared" si="15"/>
        <v/>
      </c>
      <c r="AK112" s="149"/>
      <c r="AL112" s="150"/>
      <c r="AP112" s="31" t="str">
        <f>IFERROR(INDEX('G-6 Hedgerow Data'!$BJ$3:$BJ$15,MATCH(M112,'G-6 Hedgerow Data'!$B$3:$B$15,0)),"")</f>
        <v/>
      </c>
    </row>
    <row r="113" spans="2:42" ht="14" x14ac:dyDescent="0.3">
      <c r="B113" s="531" t="str">
        <f>'E-1 Off Site Hedge Baseline'!AK111</f>
        <v/>
      </c>
      <c r="C113" s="520" t="str">
        <f>IF(B113="","",IF(ISNA(VLOOKUP($B113,'E-1 Off Site Hedge Baseline'!$B$1:$L$257,3,FALSE)),"",(VLOOKUP($B113,'E-1 Off Site Hedge Baseline'!$B$1:$L$257,3,FALSE))))</f>
        <v/>
      </c>
      <c r="D113" s="520" t="str">
        <f>IF(B113="","",IF(ISNA(VLOOKUP($B113,'E-1 Off Site Hedge Baseline'!$B$1:$L$258,4,FALSE)),"",(VLOOKUP($B113,'E-1 Off Site Hedge Baseline'!$B$1:$L$258,4,FALSE))))</f>
        <v/>
      </c>
      <c r="E113" s="520" t="str">
        <f>IF(B113="","",IF(ISNA(VLOOKUP($B113,'E-1 Off Site Hedge Baseline'!$B$1:$L$257,5,FALSE)),"",(VLOOKUP($B113,'E-1 Off Site Hedge Baseline'!$B$1:$L$257,5,FALSE))))</f>
        <v/>
      </c>
      <c r="F113" s="520" t="str">
        <f>IF(B113="","",IF(ISNA(VLOOKUP($B113,'E-1 Off Site Hedge Baseline'!$B$1:$L$257,6,FALSE)),"",(VLOOKUP($B113,'E-1 Off Site Hedge Baseline'!$B$1:$L$257,6,FALSE))))</f>
        <v/>
      </c>
      <c r="G113" s="520" t="str">
        <f>IF(B113="","",IF(ISNA(VLOOKUP($B113,'E-1 Off Site Hedge Baseline'!$B$1:$L$257,7,FALSE)),"",(VLOOKUP($B113,'E-1 Off Site Hedge Baseline'!$B$1:$L$257,7,FALSE))))</f>
        <v/>
      </c>
      <c r="H113" s="520" t="str">
        <f>IF(B113="","",IF(ISNA(VLOOKUP($B113,'E-1 Off Site Hedge Baseline'!$B$1:$L$257,8,FALSE)),"",(VLOOKUP($B113,'E-1 Off Site Hedge Baseline'!$B$1:$L$257,8,FALSE))))</f>
        <v/>
      </c>
      <c r="I113" s="520" t="str">
        <f>IF(B113="","",IF(ISNA(VLOOKUP($B113,'E-1 Off Site Hedge Baseline'!$B$1:$L$257,10,FALSE)),"",(VLOOKUP($B113,'E-1 Off Site Hedge Baseline'!$B$1:$L$257,10,FALSE))))</f>
        <v/>
      </c>
      <c r="J113" s="520" t="str">
        <f>IF(B113="","",IF(ISNA(VLOOKUP($B113,'E-1 Off Site Hedge Baseline'!$B$1:$L$257,11,FALSE)),"",(VLOOKUP($B113,'E-1 Off Site Hedge Baseline'!$B$1:$L$257,11,FALSE))))</f>
        <v/>
      </c>
      <c r="K113" s="520" t="str">
        <f>IF(B113="","",IF(ISNA(VLOOKUP($B113,'E-1 Off Site Hedge Baseline'!$B$1:$U$257,113,FALSE)),"",(VLOOKUP($B113,'E-1 Off Site Hedge Baseline'!$B$1:$U$257,13,FALSE))))</f>
        <v/>
      </c>
      <c r="L113" s="507" t="str">
        <f>IF(B113="","",IF(ISNA(VLOOKUP($B113,'E-1 Off Site Hedge Baseline'!$B$1:$U$257,12,FALSE)),"",(VLOOKUP($B113,'E-1 Off Site Hedge Baseline'!$B$1:$U$257,12,FALSE))))</f>
        <v/>
      </c>
      <c r="M113" s="418" t="str">
        <f t="shared" si="16"/>
        <v/>
      </c>
      <c r="N113" s="498" t="str">
        <f>IFERROR(IF(B113="","",INDEX('G-6 Hedgerow Data'!$AN$3:$AZ$15,MATCH(C113,'G-6 Hedgerow Data'!$AM$3:$AM$15,0),MATCH(M113,'G-6 Hedgerow Data'!$AN$2:$AZ$2,0))),"")</f>
        <v/>
      </c>
      <c r="O113" s="499" t="str">
        <f t="shared" si="10"/>
        <v/>
      </c>
      <c r="P113" s="505" t="str">
        <f>IF(B113="","",VLOOKUP(B113,'E-1 Off Site Hedge Baseline'!$B$10:T358,16,FALSE))</f>
        <v/>
      </c>
      <c r="Q113" s="498" t="str">
        <f>IF(M113="","",VLOOKUP(M113,'G-6 Hedgerow Data'!$B$2:$AG$15,2,FALSE))</f>
        <v/>
      </c>
      <c r="R113" s="499" t="str">
        <f>IF(M113="","",VLOOKUP(M113,'G-6 Hedgerow Data'!$B$2:$AG$15,3,FALSE))</f>
        <v/>
      </c>
      <c r="S113" s="145"/>
      <c r="T113" s="499" t="str">
        <f>IFERROR(IF(AND(Q113="V.Low",OR(S113="Good",S113="Moderate")),"Error ▲",VLOOKUP(S113,'G-1 All Habitats'!$Z$2:$AA$9,2,FALSE)),"")</f>
        <v/>
      </c>
      <c r="U113" s="145"/>
      <c r="V113" s="507" t="str">
        <f>IF(U113="","",IF(VLOOKUP(U113,'G-3 Multipliers'!$L$3:$N$6,2,FALSE)=0,"Spatial Data Missing ⚠",VLOOKUP(U113,'G-3 Multipliers'!$L$3:$N$6,2,FALSE)))</f>
        <v/>
      </c>
      <c r="W113" s="505" t="str">
        <f>IF(U113="","",IF(VLOOKUP(U113,'G-3 Multipliers'!$L$3:$N$6,3,FALSE)=0,"Spatial Data Missing ⚠",VLOOKUP(U113,'G-3 Multipliers'!$L$3:$N$6,3,FALSE)))</f>
        <v/>
      </c>
      <c r="X113" s="498" t="str">
        <f>IFERROR(IF(OR(LEFT(O113,5)="Error ▲",LEFT(N113,5)="Error ▲",T113="Error ▲"),"Check Data ⚠",IF(F113&lt;R113,INDEX('G-6 Hedgerow Data'!$S$3:$AE$14,MATCH(C113,'G-6 Hedgerow Data'!$B$3:$B$14,0),MATCH(M113,'G-6 Hedgerow Data'!$S$2:$AE$2,0)),INDEX('G-6 Hedgerow Data'!$K$3:$Q$14,MATCH(M113,'G-6 Hedgerow Data'!$B$3:$B$14,0),MATCH(O113,'G-6 Hedgerow Data'!$K$2:$Q$2,0)))),"")</f>
        <v/>
      </c>
      <c r="Y113" s="195"/>
      <c r="Z113" s="195"/>
      <c r="AA113" s="507" t="str">
        <f t="shared" si="11"/>
        <v/>
      </c>
      <c r="AB113" s="521" t="str">
        <f t="shared" si="12"/>
        <v/>
      </c>
      <c r="AC113" s="522" t="str">
        <f t="shared" si="9"/>
        <v/>
      </c>
      <c r="AD113" s="537" t="str">
        <f>IF(M113="","",VLOOKUP(M113,'G-6 Hedgerow Data'!$B$3:$AG$15,31,FALSE))</f>
        <v/>
      </c>
      <c r="AE113" s="520" t="str">
        <f t="shared" si="13"/>
        <v/>
      </c>
      <c r="AF113" s="520" t="str">
        <f t="shared" si="14"/>
        <v/>
      </c>
      <c r="AG113" s="524" t="str">
        <f>IFERROR(IF(O113="","",VLOOKUP(AD113,'G-3 Multipliers'!$P$3:$Q$6,2,FALSE)),"")</f>
        <v/>
      </c>
      <c r="AH113" s="197"/>
      <c r="AI113" s="499" t="str">
        <f>IF(AH113="","",IF(VLOOKUP(AH113,'G-3 Multipliers'!$S$3:$T$6,2,FALSE)=0,"Spatial Data Missing ⚠",VLOOKUP(AH113,'G-3 Multipliers'!$S$3:$T$6,2,FALSE)))</f>
        <v/>
      </c>
      <c r="AJ113" s="545" t="str">
        <f t="shared" si="15"/>
        <v/>
      </c>
      <c r="AK113" s="149"/>
      <c r="AL113" s="150"/>
      <c r="AP113" s="31" t="str">
        <f>IFERROR(INDEX('G-6 Hedgerow Data'!$BJ$3:$BJ$15,MATCH(M113,'G-6 Hedgerow Data'!$B$3:$B$15,0)),"")</f>
        <v/>
      </c>
    </row>
    <row r="114" spans="2:42" ht="14" x14ac:dyDescent="0.3">
      <c r="B114" s="531" t="str">
        <f>'E-1 Off Site Hedge Baseline'!AK112</f>
        <v/>
      </c>
      <c r="C114" s="520" t="str">
        <f>IF(B114="","",IF(ISNA(VLOOKUP($B114,'E-1 Off Site Hedge Baseline'!$B$1:$L$257,3,FALSE)),"",(VLOOKUP($B114,'E-1 Off Site Hedge Baseline'!$B$1:$L$257,3,FALSE))))</f>
        <v/>
      </c>
      <c r="D114" s="520" t="str">
        <f>IF(B114="","",IF(ISNA(VLOOKUP($B114,'E-1 Off Site Hedge Baseline'!$B$1:$L$258,4,FALSE)),"",(VLOOKUP($B114,'E-1 Off Site Hedge Baseline'!$B$1:$L$258,4,FALSE))))</f>
        <v/>
      </c>
      <c r="E114" s="520" t="str">
        <f>IF(B114="","",IF(ISNA(VLOOKUP($B114,'E-1 Off Site Hedge Baseline'!$B$1:$L$257,5,FALSE)),"",(VLOOKUP($B114,'E-1 Off Site Hedge Baseline'!$B$1:$L$257,5,FALSE))))</f>
        <v/>
      </c>
      <c r="F114" s="520" t="str">
        <f>IF(B114="","",IF(ISNA(VLOOKUP($B114,'E-1 Off Site Hedge Baseline'!$B$1:$L$257,6,FALSE)),"",(VLOOKUP($B114,'E-1 Off Site Hedge Baseline'!$B$1:$L$257,6,FALSE))))</f>
        <v/>
      </c>
      <c r="G114" s="520" t="str">
        <f>IF(B114="","",IF(ISNA(VLOOKUP($B114,'E-1 Off Site Hedge Baseline'!$B$1:$L$257,7,FALSE)),"",(VLOOKUP($B114,'E-1 Off Site Hedge Baseline'!$B$1:$L$257,7,FALSE))))</f>
        <v/>
      </c>
      <c r="H114" s="520" t="str">
        <f>IF(B114="","",IF(ISNA(VLOOKUP($B114,'E-1 Off Site Hedge Baseline'!$B$1:$L$257,8,FALSE)),"",(VLOOKUP($B114,'E-1 Off Site Hedge Baseline'!$B$1:$L$257,8,FALSE))))</f>
        <v/>
      </c>
      <c r="I114" s="520" t="str">
        <f>IF(B114="","",IF(ISNA(VLOOKUP($B114,'E-1 Off Site Hedge Baseline'!$B$1:$L$257,10,FALSE)),"",(VLOOKUP($B114,'E-1 Off Site Hedge Baseline'!$B$1:$L$257,10,FALSE))))</f>
        <v/>
      </c>
      <c r="J114" s="520" t="str">
        <f>IF(B114="","",IF(ISNA(VLOOKUP($B114,'E-1 Off Site Hedge Baseline'!$B$1:$L$257,11,FALSE)),"",(VLOOKUP($B114,'E-1 Off Site Hedge Baseline'!$B$1:$L$257,11,FALSE))))</f>
        <v/>
      </c>
      <c r="K114" s="520" t="str">
        <f>IF(B114="","",IF(ISNA(VLOOKUP($B114,'E-1 Off Site Hedge Baseline'!$B$1:$U$257,113,FALSE)),"",(VLOOKUP($B114,'E-1 Off Site Hedge Baseline'!$B$1:$U$257,13,FALSE))))</f>
        <v/>
      </c>
      <c r="L114" s="507" t="str">
        <f>IF(B114="","",IF(ISNA(VLOOKUP($B114,'E-1 Off Site Hedge Baseline'!$B$1:$U$257,12,FALSE)),"",(VLOOKUP($B114,'E-1 Off Site Hedge Baseline'!$B$1:$U$257,12,FALSE))))</f>
        <v/>
      </c>
      <c r="M114" s="418" t="str">
        <f t="shared" si="16"/>
        <v/>
      </c>
      <c r="N114" s="498" t="str">
        <f>IFERROR(IF(B114="","",INDEX('G-6 Hedgerow Data'!$AN$3:$AZ$15,MATCH(C114,'G-6 Hedgerow Data'!$AM$3:$AM$15,0),MATCH(M114,'G-6 Hedgerow Data'!$AN$2:$AZ$2,0))),"")</f>
        <v/>
      </c>
      <c r="O114" s="499" t="str">
        <f t="shared" si="10"/>
        <v/>
      </c>
      <c r="P114" s="505" t="str">
        <f>IF(B114="","",VLOOKUP(B114,'E-1 Off Site Hedge Baseline'!$B$10:T359,16,FALSE))</f>
        <v/>
      </c>
      <c r="Q114" s="498" t="str">
        <f>IF(M114="","",VLOOKUP(M114,'G-6 Hedgerow Data'!$B$2:$AG$15,2,FALSE))</f>
        <v/>
      </c>
      <c r="R114" s="499" t="str">
        <f>IF(M114="","",VLOOKUP(M114,'G-6 Hedgerow Data'!$B$2:$AG$15,3,FALSE))</f>
        <v/>
      </c>
      <c r="S114" s="145"/>
      <c r="T114" s="499" t="str">
        <f>IFERROR(IF(AND(Q114="V.Low",OR(S114="Good",S114="Moderate")),"Error ▲",VLOOKUP(S114,'G-1 All Habitats'!$Z$2:$AA$9,2,FALSE)),"")</f>
        <v/>
      </c>
      <c r="U114" s="145"/>
      <c r="V114" s="507" t="str">
        <f>IF(U114="","",IF(VLOOKUP(U114,'G-3 Multipliers'!$L$3:$N$6,2,FALSE)=0,"Spatial Data Missing ⚠",VLOOKUP(U114,'G-3 Multipliers'!$L$3:$N$6,2,FALSE)))</f>
        <v/>
      </c>
      <c r="W114" s="505" t="str">
        <f>IF(U114="","",IF(VLOOKUP(U114,'G-3 Multipliers'!$L$3:$N$6,3,FALSE)=0,"Spatial Data Missing ⚠",VLOOKUP(U114,'G-3 Multipliers'!$L$3:$N$6,3,FALSE)))</f>
        <v/>
      </c>
      <c r="X114" s="498" t="str">
        <f>IFERROR(IF(OR(LEFT(O114,5)="Error ▲",LEFT(N114,5)="Error ▲",T114="Error ▲"),"Check Data ⚠",IF(F114&lt;R114,INDEX('G-6 Hedgerow Data'!$S$3:$AE$14,MATCH(C114,'G-6 Hedgerow Data'!$B$3:$B$14,0),MATCH(M114,'G-6 Hedgerow Data'!$S$2:$AE$2,0)),INDEX('G-6 Hedgerow Data'!$K$3:$Q$14,MATCH(M114,'G-6 Hedgerow Data'!$B$3:$B$14,0),MATCH(O114,'G-6 Hedgerow Data'!$K$2:$Q$2,0)))),"")</f>
        <v/>
      </c>
      <c r="Y114" s="195"/>
      <c r="Z114" s="195"/>
      <c r="AA114" s="507" t="str">
        <f t="shared" si="11"/>
        <v/>
      </c>
      <c r="AB114" s="521" t="str">
        <f t="shared" si="12"/>
        <v/>
      </c>
      <c r="AC114" s="522" t="str">
        <f t="shared" si="9"/>
        <v/>
      </c>
      <c r="AD114" s="537" t="str">
        <f>IF(M114="","",VLOOKUP(M114,'G-6 Hedgerow Data'!$B$3:$AG$15,31,FALSE))</f>
        <v/>
      </c>
      <c r="AE114" s="520" t="str">
        <f t="shared" si="13"/>
        <v/>
      </c>
      <c r="AF114" s="520" t="str">
        <f t="shared" si="14"/>
        <v/>
      </c>
      <c r="AG114" s="524" t="str">
        <f>IFERROR(IF(O114="","",VLOOKUP(AD114,'G-3 Multipliers'!$P$3:$Q$6,2,FALSE)),"")</f>
        <v/>
      </c>
      <c r="AH114" s="197"/>
      <c r="AI114" s="499" t="str">
        <f>IF(AH114="","",IF(VLOOKUP(AH114,'G-3 Multipliers'!$S$3:$T$6,2,FALSE)=0,"Spatial Data Missing ⚠",VLOOKUP(AH114,'G-3 Multipliers'!$S$3:$T$6,2,FALSE)))</f>
        <v/>
      </c>
      <c r="AJ114" s="545" t="str">
        <f t="shared" si="15"/>
        <v/>
      </c>
      <c r="AK114" s="149"/>
      <c r="AL114" s="150"/>
      <c r="AP114" s="31" t="str">
        <f>IFERROR(INDEX('G-6 Hedgerow Data'!$BJ$3:$BJ$15,MATCH(M114,'G-6 Hedgerow Data'!$B$3:$B$15,0)),"")</f>
        <v/>
      </c>
    </row>
    <row r="115" spans="2:42" ht="14" x14ac:dyDescent="0.3">
      <c r="B115" s="531" t="str">
        <f>'E-1 Off Site Hedge Baseline'!AK113</f>
        <v/>
      </c>
      <c r="C115" s="520" t="str">
        <f>IF(B115="","",IF(ISNA(VLOOKUP($B115,'E-1 Off Site Hedge Baseline'!$B$1:$L$257,3,FALSE)),"",(VLOOKUP($B115,'E-1 Off Site Hedge Baseline'!$B$1:$L$257,3,FALSE))))</f>
        <v/>
      </c>
      <c r="D115" s="520" t="str">
        <f>IF(B115="","",IF(ISNA(VLOOKUP($B115,'E-1 Off Site Hedge Baseline'!$B$1:$L$258,4,FALSE)),"",(VLOOKUP($B115,'E-1 Off Site Hedge Baseline'!$B$1:$L$258,4,FALSE))))</f>
        <v/>
      </c>
      <c r="E115" s="520" t="str">
        <f>IF(B115="","",IF(ISNA(VLOOKUP($B115,'E-1 Off Site Hedge Baseline'!$B$1:$L$257,5,FALSE)),"",(VLOOKUP($B115,'E-1 Off Site Hedge Baseline'!$B$1:$L$257,5,FALSE))))</f>
        <v/>
      </c>
      <c r="F115" s="520" t="str">
        <f>IF(B115="","",IF(ISNA(VLOOKUP($B115,'E-1 Off Site Hedge Baseline'!$B$1:$L$257,6,FALSE)),"",(VLOOKUP($B115,'E-1 Off Site Hedge Baseline'!$B$1:$L$257,6,FALSE))))</f>
        <v/>
      </c>
      <c r="G115" s="520" t="str">
        <f>IF(B115="","",IF(ISNA(VLOOKUP($B115,'E-1 Off Site Hedge Baseline'!$B$1:$L$257,7,FALSE)),"",(VLOOKUP($B115,'E-1 Off Site Hedge Baseline'!$B$1:$L$257,7,FALSE))))</f>
        <v/>
      </c>
      <c r="H115" s="520" t="str">
        <f>IF(B115="","",IF(ISNA(VLOOKUP($B115,'E-1 Off Site Hedge Baseline'!$B$1:$L$257,8,FALSE)),"",(VLOOKUP($B115,'E-1 Off Site Hedge Baseline'!$B$1:$L$257,8,FALSE))))</f>
        <v/>
      </c>
      <c r="I115" s="520" t="str">
        <f>IF(B115="","",IF(ISNA(VLOOKUP($B115,'E-1 Off Site Hedge Baseline'!$B$1:$L$257,10,FALSE)),"",(VLOOKUP($B115,'E-1 Off Site Hedge Baseline'!$B$1:$L$257,10,FALSE))))</f>
        <v/>
      </c>
      <c r="J115" s="520" t="str">
        <f>IF(B115="","",IF(ISNA(VLOOKUP($B115,'E-1 Off Site Hedge Baseline'!$B$1:$L$257,11,FALSE)),"",(VLOOKUP($B115,'E-1 Off Site Hedge Baseline'!$B$1:$L$257,11,FALSE))))</f>
        <v/>
      </c>
      <c r="K115" s="520" t="str">
        <f>IF(B115="","",IF(ISNA(VLOOKUP($B115,'E-1 Off Site Hedge Baseline'!$B$1:$U$257,113,FALSE)),"",(VLOOKUP($B115,'E-1 Off Site Hedge Baseline'!$B$1:$U$257,13,FALSE))))</f>
        <v/>
      </c>
      <c r="L115" s="507" t="str">
        <f>IF(B115="","",IF(ISNA(VLOOKUP($B115,'E-1 Off Site Hedge Baseline'!$B$1:$U$257,12,FALSE)),"",(VLOOKUP($B115,'E-1 Off Site Hedge Baseline'!$B$1:$U$257,12,FALSE))))</f>
        <v/>
      </c>
      <c r="M115" s="418" t="str">
        <f t="shared" si="16"/>
        <v/>
      </c>
      <c r="N115" s="498" t="str">
        <f>IFERROR(IF(B115="","",INDEX('G-6 Hedgerow Data'!$AN$3:$AZ$15,MATCH(C115,'G-6 Hedgerow Data'!$AM$3:$AM$15,0),MATCH(M115,'G-6 Hedgerow Data'!$AN$2:$AZ$2,0))),"")</f>
        <v/>
      </c>
      <c r="O115" s="499" t="str">
        <f t="shared" si="10"/>
        <v/>
      </c>
      <c r="P115" s="505" t="str">
        <f>IF(B115="","",VLOOKUP(B115,'E-1 Off Site Hedge Baseline'!$B$10:T360,16,FALSE))</f>
        <v/>
      </c>
      <c r="Q115" s="498" t="str">
        <f>IF(M115="","",VLOOKUP(M115,'G-6 Hedgerow Data'!$B$2:$AG$15,2,FALSE))</f>
        <v/>
      </c>
      <c r="R115" s="499" t="str">
        <f>IF(M115="","",VLOOKUP(M115,'G-6 Hedgerow Data'!$B$2:$AG$15,3,FALSE))</f>
        <v/>
      </c>
      <c r="S115" s="145"/>
      <c r="T115" s="499" t="str">
        <f>IFERROR(IF(AND(Q115="V.Low",OR(S115="Good",S115="Moderate")),"Error ▲",VLOOKUP(S115,'G-1 All Habitats'!$Z$2:$AA$9,2,FALSE)),"")</f>
        <v/>
      </c>
      <c r="U115" s="145"/>
      <c r="V115" s="507" t="str">
        <f>IF(U115="","",IF(VLOOKUP(U115,'G-3 Multipliers'!$L$3:$N$6,2,FALSE)=0,"Spatial Data Missing ⚠",VLOOKUP(U115,'G-3 Multipliers'!$L$3:$N$6,2,FALSE)))</f>
        <v/>
      </c>
      <c r="W115" s="505" t="str">
        <f>IF(U115="","",IF(VLOOKUP(U115,'G-3 Multipliers'!$L$3:$N$6,3,FALSE)=0,"Spatial Data Missing ⚠",VLOOKUP(U115,'G-3 Multipliers'!$L$3:$N$6,3,FALSE)))</f>
        <v/>
      </c>
      <c r="X115" s="498" t="str">
        <f>IFERROR(IF(OR(LEFT(O115,5)="Error ▲",LEFT(N115,5)="Error ▲",T115="Error ▲"),"Check Data ⚠",IF(F115&lt;R115,INDEX('G-6 Hedgerow Data'!$S$3:$AE$14,MATCH(C115,'G-6 Hedgerow Data'!$B$3:$B$14,0),MATCH(M115,'G-6 Hedgerow Data'!$S$2:$AE$2,0)),INDEX('G-6 Hedgerow Data'!$K$3:$Q$14,MATCH(M115,'G-6 Hedgerow Data'!$B$3:$B$14,0),MATCH(O115,'G-6 Hedgerow Data'!$K$2:$Q$2,0)))),"")</f>
        <v/>
      </c>
      <c r="Y115" s="195"/>
      <c r="Z115" s="195"/>
      <c r="AA115" s="507" t="str">
        <f t="shared" si="11"/>
        <v/>
      </c>
      <c r="AB115" s="521" t="str">
        <f t="shared" si="12"/>
        <v/>
      </c>
      <c r="AC115" s="522" t="str">
        <f t="shared" si="9"/>
        <v/>
      </c>
      <c r="AD115" s="537" t="str">
        <f>IF(M115="","",VLOOKUP(M115,'G-6 Hedgerow Data'!$B$3:$AG$15,31,FALSE))</f>
        <v/>
      </c>
      <c r="AE115" s="520" t="str">
        <f t="shared" si="13"/>
        <v/>
      </c>
      <c r="AF115" s="520" t="str">
        <f t="shared" si="14"/>
        <v/>
      </c>
      <c r="AG115" s="524" t="str">
        <f>IFERROR(IF(O115="","",VLOOKUP(AD115,'G-3 Multipliers'!$P$3:$Q$6,2,FALSE)),"")</f>
        <v/>
      </c>
      <c r="AH115" s="197"/>
      <c r="AI115" s="499" t="str">
        <f>IF(AH115="","",IF(VLOOKUP(AH115,'G-3 Multipliers'!$S$3:$T$6,2,FALSE)=0,"Spatial Data Missing ⚠",VLOOKUP(AH115,'G-3 Multipliers'!$S$3:$T$6,2,FALSE)))</f>
        <v/>
      </c>
      <c r="AJ115" s="545" t="str">
        <f t="shared" si="15"/>
        <v/>
      </c>
      <c r="AK115" s="149"/>
      <c r="AL115" s="150"/>
      <c r="AP115" s="31" t="str">
        <f>IFERROR(INDEX('G-6 Hedgerow Data'!$BJ$3:$BJ$15,MATCH(M115,'G-6 Hedgerow Data'!$B$3:$B$15,0)),"")</f>
        <v/>
      </c>
    </row>
    <row r="116" spans="2:42" ht="14" x14ac:dyDescent="0.3">
      <c r="B116" s="531" t="str">
        <f>'E-1 Off Site Hedge Baseline'!AK114</f>
        <v/>
      </c>
      <c r="C116" s="520" t="str">
        <f>IF(B116="","",IF(ISNA(VLOOKUP($B116,'E-1 Off Site Hedge Baseline'!$B$1:$L$257,3,FALSE)),"",(VLOOKUP($B116,'E-1 Off Site Hedge Baseline'!$B$1:$L$257,3,FALSE))))</f>
        <v/>
      </c>
      <c r="D116" s="520" t="str">
        <f>IF(B116="","",IF(ISNA(VLOOKUP($B116,'E-1 Off Site Hedge Baseline'!$B$1:$L$258,4,FALSE)),"",(VLOOKUP($B116,'E-1 Off Site Hedge Baseline'!$B$1:$L$258,4,FALSE))))</f>
        <v/>
      </c>
      <c r="E116" s="520" t="str">
        <f>IF(B116="","",IF(ISNA(VLOOKUP($B116,'E-1 Off Site Hedge Baseline'!$B$1:$L$257,5,FALSE)),"",(VLOOKUP($B116,'E-1 Off Site Hedge Baseline'!$B$1:$L$257,5,FALSE))))</f>
        <v/>
      </c>
      <c r="F116" s="520" t="str">
        <f>IF(B116="","",IF(ISNA(VLOOKUP($B116,'E-1 Off Site Hedge Baseline'!$B$1:$L$257,6,FALSE)),"",(VLOOKUP($B116,'E-1 Off Site Hedge Baseline'!$B$1:$L$257,6,FALSE))))</f>
        <v/>
      </c>
      <c r="G116" s="520" t="str">
        <f>IF(B116="","",IF(ISNA(VLOOKUP($B116,'E-1 Off Site Hedge Baseline'!$B$1:$L$257,7,FALSE)),"",(VLOOKUP($B116,'E-1 Off Site Hedge Baseline'!$B$1:$L$257,7,FALSE))))</f>
        <v/>
      </c>
      <c r="H116" s="520" t="str">
        <f>IF(B116="","",IF(ISNA(VLOOKUP($B116,'E-1 Off Site Hedge Baseline'!$B$1:$L$257,8,FALSE)),"",(VLOOKUP($B116,'E-1 Off Site Hedge Baseline'!$B$1:$L$257,8,FALSE))))</f>
        <v/>
      </c>
      <c r="I116" s="520" t="str">
        <f>IF(B116="","",IF(ISNA(VLOOKUP($B116,'E-1 Off Site Hedge Baseline'!$B$1:$L$257,10,FALSE)),"",(VLOOKUP($B116,'E-1 Off Site Hedge Baseline'!$B$1:$L$257,10,FALSE))))</f>
        <v/>
      </c>
      <c r="J116" s="520" t="str">
        <f>IF(B116="","",IF(ISNA(VLOOKUP($B116,'E-1 Off Site Hedge Baseline'!$B$1:$L$257,11,FALSE)),"",(VLOOKUP($B116,'E-1 Off Site Hedge Baseline'!$B$1:$L$257,11,FALSE))))</f>
        <v/>
      </c>
      <c r="K116" s="520" t="str">
        <f>IF(B116="","",IF(ISNA(VLOOKUP($B116,'E-1 Off Site Hedge Baseline'!$B$1:$U$257,113,FALSE)),"",(VLOOKUP($B116,'E-1 Off Site Hedge Baseline'!$B$1:$U$257,13,FALSE))))</f>
        <v/>
      </c>
      <c r="L116" s="507" t="str">
        <f>IF(B116="","",IF(ISNA(VLOOKUP($B116,'E-1 Off Site Hedge Baseline'!$B$1:$U$257,12,FALSE)),"",(VLOOKUP($B116,'E-1 Off Site Hedge Baseline'!$B$1:$U$257,12,FALSE))))</f>
        <v/>
      </c>
      <c r="M116" s="418" t="str">
        <f t="shared" si="16"/>
        <v/>
      </c>
      <c r="N116" s="498" t="str">
        <f>IFERROR(IF(B116="","",INDEX('G-6 Hedgerow Data'!$AN$3:$AZ$15,MATCH(C116,'G-6 Hedgerow Data'!$AM$3:$AM$15,0),MATCH(M116,'G-6 Hedgerow Data'!$AN$2:$AZ$2,0))),"")</f>
        <v/>
      </c>
      <c r="O116" s="499" t="str">
        <f t="shared" si="10"/>
        <v/>
      </c>
      <c r="P116" s="505" t="str">
        <f>IF(B116="","",VLOOKUP(B116,'E-1 Off Site Hedge Baseline'!$B$10:T361,16,FALSE))</f>
        <v/>
      </c>
      <c r="Q116" s="498" t="str">
        <f>IF(M116="","",VLOOKUP(M116,'G-6 Hedgerow Data'!$B$2:$AG$15,2,FALSE))</f>
        <v/>
      </c>
      <c r="R116" s="499" t="str">
        <f>IF(M116="","",VLOOKUP(M116,'G-6 Hedgerow Data'!$B$2:$AG$15,3,FALSE))</f>
        <v/>
      </c>
      <c r="S116" s="145"/>
      <c r="T116" s="499" t="str">
        <f>IFERROR(IF(AND(Q116="V.Low",OR(S116="Good",S116="Moderate")),"Error ▲",VLOOKUP(S116,'G-1 All Habitats'!$Z$2:$AA$9,2,FALSE)),"")</f>
        <v/>
      </c>
      <c r="U116" s="145"/>
      <c r="V116" s="507" t="str">
        <f>IF(U116="","",IF(VLOOKUP(U116,'G-3 Multipliers'!$L$3:$N$6,2,FALSE)=0,"Spatial Data Missing ⚠",VLOOKUP(U116,'G-3 Multipliers'!$L$3:$N$6,2,FALSE)))</f>
        <v/>
      </c>
      <c r="W116" s="505" t="str">
        <f>IF(U116="","",IF(VLOOKUP(U116,'G-3 Multipliers'!$L$3:$N$6,3,FALSE)=0,"Spatial Data Missing ⚠",VLOOKUP(U116,'G-3 Multipliers'!$L$3:$N$6,3,FALSE)))</f>
        <v/>
      </c>
      <c r="X116" s="498" t="str">
        <f>IFERROR(IF(OR(LEFT(O116,5)="Error ▲",LEFT(N116,5)="Error ▲",T116="Error ▲"),"Check Data ⚠",IF(F116&lt;R116,INDEX('G-6 Hedgerow Data'!$S$3:$AE$14,MATCH(C116,'G-6 Hedgerow Data'!$B$3:$B$14,0),MATCH(M116,'G-6 Hedgerow Data'!$S$2:$AE$2,0)),INDEX('G-6 Hedgerow Data'!$K$3:$Q$14,MATCH(M116,'G-6 Hedgerow Data'!$B$3:$B$14,0),MATCH(O116,'G-6 Hedgerow Data'!$K$2:$Q$2,0)))),"")</f>
        <v/>
      </c>
      <c r="Y116" s="195"/>
      <c r="Z116" s="195"/>
      <c r="AA116" s="507" t="str">
        <f t="shared" si="11"/>
        <v/>
      </c>
      <c r="AB116" s="521" t="str">
        <f t="shared" si="12"/>
        <v/>
      </c>
      <c r="AC116" s="522" t="str">
        <f t="shared" si="9"/>
        <v/>
      </c>
      <c r="AD116" s="537" t="str">
        <f>IF(M116="","",VLOOKUP(M116,'G-6 Hedgerow Data'!$B$3:$AG$15,31,FALSE))</f>
        <v/>
      </c>
      <c r="AE116" s="520" t="str">
        <f t="shared" si="13"/>
        <v/>
      </c>
      <c r="AF116" s="520" t="str">
        <f t="shared" si="14"/>
        <v/>
      </c>
      <c r="AG116" s="524" t="str">
        <f>IFERROR(IF(O116="","",VLOOKUP(AD116,'G-3 Multipliers'!$P$3:$Q$6,2,FALSE)),"")</f>
        <v/>
      </c>
      <c r="AH116" s="197"/>
      <c r="AI116" s="499" t="str">
        <f>IF(AH116="","",IF(VLOOKUP(AH116,'G-3 Multipliers'!$S$3:$T$6,2,FALSE)=0,"Spatial Data Missing ⚠",VLOOKUP(AH116,'G-3 Multipliers'!$S$3:$T$6,2,FALSE)))</f>
        <v/>
      </c>
      <c r="AJ116" s="545" t="str">
        <f t="shared" si="15"/>
        <v/>
      </c>
      <c r="AK116" s="149"/>
      <c r="AL116" s="150"/>
      <c r="AP116" s="31" t="str">
        <f>IFERROR(INDEX('G-6 Hedgerow Data'!$BJ$3:$BJ$15,MATCH(M116,'G-6 Hedgerow Data'!$B$3:$B$15,0)),"")</f>
        <v/>
      </c>
    </row>
    <row r="117" spans="2:42" ht="14" x14ac:dyDescent="0.3">
      <c r="B117" s="531" t="str">
        <f>'E-1 Off Site Hedge Baseline'!AK115</f>
        <v/>
      </c>
      <c r="C117" s="520" t="str">
        <f>IF(B117="","",IF(ISNA(VLOOKUP($B117,'E-1 Off Site Hedge Baseline'!$B$1:$L$257,3,FALSE)),"",(VLOOKUP($B117,'E-1 Off Site Hedge Baseline'!$B$1:$L$257,3,FALSE))))</f>
        <v/>
      </c>
      <c r="D117" s="520" t="str">
        <f>IF(B117="","",IF(ISNA(VLOOKUP($B117,'E-1 Off Site Hedge Baseline'!$B$1:$L$258,4,FALSE)),"",(VLOOKUP($B117,'E-1 Off Site Hedge Baseline'!$B$1:$L$258,4,FALSE))))</f>
        <v/>
      </c>
      <c r="E117" s="520" t="str">
        <f>IF(B117="","",IF(ISNA(VLOOKUP($B117,'E-1 Off Site Hedge Baseline'!$B$1:$L$257,5,FALSE)),"",(VLOOKUP($B117,'E-1 Off Site Hedge Baseline'!$B$1:$L$257,5,FALSE))))</f>
        <v/>
      </c>
      <c r="F117" s="520" t="str">
        <f>IF(B117="","",IF(ISNA(VLOOKUP($B117,'E-1 Off Site Hedge Baseline'!$B$1:$L$257,6,FALSE)),"",(VLOOKUP($B117,'E-1 Off Site Hedge Baseline'!$B$1:$L$257,6,FALSE))))</f>
        <v/>
      </c>
      <c r="G117" s="520" t="str">
        <f>IF(B117="","",IF(ISNA(VLOOKUP($B117,'E-1 Off Site Hedge Baseline'!$B$1:$L$257,7,FALSE)),"",(VLOOKUP($B117,'E-1 Off Site Hedge Baseline'!$B$1:$L$257,7,FALSE))))</f>
        <v/>
      </c>
      <c r="H117" s="520" t="str">
        <f>IF(B117="","",IF(ISNA(VLOOKUP($B117,'E-1 Off Site Hedge Baseline'!$B$1:$L$257,8,FALSE)),"",(VLOOKUP($B117,'E-1 Off Site Hedge Baseline'!$B$1:$L$257,8,FALSE))))</f>
        <v/>
      </c>
      <c r="I117" s="520" t="str">
        <f>IF(B117="","",IF(ISNA(VLOOKUP($B117,'E-1 Off Site Hedge Baseline'!$B$1:$L$257,10,FALSE)),"",(VLOOKUP($B117,'E-1 Off Site Hedge Baseline'!$B$1:$L$257,10,FALSE))))</f>
        <v/>
      </c>
      <c r="J117" s="520" t="str">
        <f>IF(B117="","",IF(ISNA(VLOOKUP($B117,'E-1 Off Site Hedge Baseline'!$B$1:$L$257,11,FALSE)),"",(VLOOKUP($B117,'E-1 Off Site Hedge Baseline'!$B$1:$L$257,11,FALSE))))</f>
        <v/>
      </c>
      <c r="K117" s="520" t="str">
        <f>IF(B117="","",IF(ISNA(VLOOKUP($B117,'E-1 Off Site Hedge Baseline'!$B$1:$U$257,113,FALSE)),"",(VLOOKUP($B117,'E-1 Off Site Hedge Baseline'!$B$1:$U$257,13,FALSE))))</f>
        <v/>
      </c>
      <c r="L117" s="507" t="str">
        <f>IF(B117="","",IF(ISNA(VLOOKUP($B117,'E-1 Off Site Hedge Baseline'!$B$1:$U$257,12,FALSE)),"",(VLOOKUP($B117,'E-1 Off Site Hedge Baseline'!$B$1:$U$257,12,FALSE))))</f>
        <v/>
      </c>
      <c r="M117" s="418" t="str">
        <f t="shared" si="16"/>
        <v/>
      </c>
      <c r="N117" s="498" t="str">
        <f>IFERROR(IF(B117="","",INDEX('G-6 Hedgerow Data'!$AN$3:$AZ$15,MATCH(C117,'G-6 Hedgerow Data'!$AM$3:$AM$15,0),MATCH(M117,'G-6 Hedgerow Data'!$AN$2:$AZ$2,0))),"")</f>
        <v/>
      </c>
      <c r="O117" s="499" t="str">
        <f t="shared" si="10"/>
        <v/>
      </c>
      <c r="P117" s="505" t="str">
        <f>IF(B117="","",VLOOKUP(B117,'E-1 Off Site Hedge Baseline'!$B$10:T362,16,FALSE))</f>
        <v/>
      </c>
      <c r="Q117" s="498" t="str">
        <f>IF(M117="","",VLOOKUP(M117,'G-6 Hedgerow Data'!$B$2:$AG$15,2,FALSE))</f>
        <v/>
      </c>
      <c r="R117" s="499" t="str">
        <f>IF(M117="","",VLOOKUP(M117,'G-6 Hedgerow Data'!$B$2:$AG$15,3,FALSE))</f>
        <v/>
      </c>
      <c r="S117" s="145"/>
      <c r="T117" s="499" t="str">
        <f>IFERROR(IF(AND(Q117="V.Low",OR(S117="Good",S117="Moderate")),"Error ▲",VLOOKUP(S117,'G-1 All Habitats'!$Z$2:$AA$9,2,FALSE)),"")</f>
        <v/>
      </c>
      <c r="U117" s="145"/>
      <c r="V117" s="507" t="str">
        <f>IF(U117="","",IF(VLOOKUP(U117,'G-3 Multipliers'!$L$3:$N$6,2,FALSE)=0,"Spatial Data Missing ⚠",VLOOKUP(U117,'G-3 Multipliers'!$L$3:$N$6,2,FALSE)))</f>
        <v/>
      </c>
      <c r="W117" s="505" t="str">
        <f>IF(U117="","",IF(VLOOKUP(U117,'G-3 Multipliers'!$L$3:$N$6,3,FALSE)=0,"Spatial Data Missing ⚠",VLOOKUP(U117,'G-3 Multipliers'!$L$3:$N$6,3,FALSE)))</f>
        <v/>
      </c>
      <c r="X117" s="498" t="str">
        <f>IFERROR(IF(OR(LEFT(O117,5)="Error ▲",LEFT(N117,5)="Error ▲",T117="Error ▲"),"Check Data ⚠",IF(F117&lt;R117,INDEX('G-6 Hedgerow Data'!$S$3:$AE$14,MATCH(C117,'G-6 Hedgerow Data'!$B$3:$B$14,0),MATCH(M117,'G-6 Hedgerow Data'!$S$2:$AE$2,0)),INDEX('G-6 Hedgerow Data'!$K$3:$Q$14,MATCH(M117,'G-6 Hedgerow Data'!$B$3:$B$14,0),MATCH(O117,'G-6 Hedgerow Data'!$K$2:$Q$2,0)))),"")</f>
        <v/>
      </c>
      <c r="Y117" s="195"/>
      <c r="Z117" s="195"/>
      <c r="AA117" s="507" t="str">
        <f t="shared" si="11"/>
        <v/>
      </c>
      <c r="AB117" s="521" t="str">
        <f t="shared" si="12"/>
        <v/>
      </c>
      <c r="AC117" s="522" t="str">
        <f t="shared" si="9"/>
        <v/>
      </c>
      <c r="AD117" s="537" t="str">
        <f>IF(M117="","",VLOOKUP(M117,'G-6 Hedgerow Data'!$B$3:$AG$15,31,FALSE))</f>
        <v/>
      </c>
      <c r="AE117" s="520" t="str">
        <f t="shared" si="13"/>
        <v/>
      </c>
      <c r="AF117" s="520" t="str">
        <f t="shared" si="14"/>
        <v/>
      </c>
      <c r="AG117" s="524" t="str">
        <f>IFERROR(IF(O117="","",VLOOKUP(AD117,'G-3 Multipliers'!$P$3:$Q$6,2,FALSE)),"")</f>
        <v/>
      </c>
      <c r="AH117" s="197"/>
      <c r="AI117" s="499" t="str">
        <f>IF(AH117="","",IF(VLOOKUP(AH117,'G-3 Multipliers'!$S$3:$T$6,2,FALSE)=0,"Spatial Data Missing ⚠",VLOOKUP(AH117,'G-3 Multipliers'!$S$3:$T$6,2,FALSE)))</f>
        <v/>
      </c>
      <c r="AJ117" s="545" t="str">
        <f t="shared" si="15"/>
        <v/>
      </c>
      <c r="AK117" s="149"/>
      <c r="AL117" s="150"/>
      <c r="AP117" s="31" t="str">
        <f>IFERROR(INDEX('G-6 Hedgerow Data'!$BJ$3:$BJ$15,MATCH(M117,'G-6 Hedgerow Data'!$B$3:$B$15,0)),"")</f>
        <v/>
      </c>
    </row>
    <row r="118" spans="2:42" ht="14" x14ac:dyDescent="0.3">
      <c r="B118" s="531" t="str">
        <f>'E-1 Off Site Hedge Baseline'!AK116</f>
        <v/>
      </c>
      <c r="C118" s="520" t="str">
        <f>IF(B118="","",IF(ISNA(VLOOKUP($B118,'E-1 Off Site Hedge Baseline'!$B$1:$L$257,3,FALSE)),"",(VLOOKUP($B118,'E-1 Off Site Hedge Baseline'!$B$1:$L$257,3,FALSE))))</f>
        <v/>
      </c>
      <c r="D118" s="520" t="str">
        <f>IF(B118="","",IF(ISNA(VLOOKUP($B118,'E-1 Off Site Hedge Baseline'!$B$1:$L$258,4,FALSE)),"",(VLOOKUP($B118,'E-1 Off Site Hedge Baseline'!$B$1:$L$258,4,FALSE))))</f>
        <v/>
      </c>
      <c r="E118" s="520" t="str">
        <f>IF(B118="","",IF(ISNA(VLOOKUP($B118,'E-1 Off Site Hedge Baseline'!$B$1:$L$257,5,FALSE)),"",(VLOOKUP($B118,'E-1 Off Site Hedge Baseline'!$B$1:$L$257,5,FALSE))))</f>
        <v/>
      </c>
      <c r="F118" s="520" t="str">
        <f>IF(B118="","",IF(ISNA(VLOOKUP($B118,'E-1 Off Site Hedge Baseline'!$B$1:$L$257,6,FALSE)),"",(VLOOKUP($B118,'E-1 Off Site Hedge Baseline'!$B$1:$L$257,6,FALSE))))</f>
        <v/>
      </c>
      <c r="G118" s="520" t="str">
        <f>IF(B118="","",IF(ISNA(VLOOKUP($B118,'E-1 Off Site Hedge Baseline'!$B$1:$L$257,7,FALSE)),"",(VLOOKUP($B118,'E-1 Off Site Hedge Baseline'!$B$1:$L$257,7,FALSE))))</f>
        <v/>
      </c>
      <c r="H118" s="520" t="str">
        <f>IF(B118="","",IF(ISNA(VLOOKUP($B118,'E-1 Off Site Hedge Baseline'!$B$1:$L$257,8,FALSE)),"",(VLOOKUP($B118,'E-1 Off Site Hedge Baseline'!$B$1:$L$257,8,FALSE))))</f>
        <v/>
      </c>
      <c r="I118" s="520" t="str">
        <f>IF(B118="","",IF(ISNA(VLOOKUP($B118,'E-1 Off Site Hedge Baseline'!$B$1:$L$257,10,FALSE)),"",(VLOOKUP($B118,'E-1 Off Site Hedge Baseline'!$B$1:$L$257,10,FALSE))))</f>
        <v/>
      </c>
      <c r="J118" s="520" t="str">
        <f>IF(B118="","",IF(ISNA(VLOOKUP($B118,'E-1 Off Site Hedge Baseline'!$B$1:$L$257,11,FALSE)),"",(VLOOKUP($B118,'E-1 Off Site Hedge Baseline'!$B$1:$L$257,11,FALSE))))</f>
        <v/>
      </c>
      <c r="K118" s="520" t="str">
        <f>IF(B118="","",IF(ISNA(VLOOKUP($B118,'E-1 Off Site Hedge Baseline'!$B$1:$U$257,113,FALSE)),"",(VLOOKUP($B118,'E-1 Off Site Hedge Baseline'!$B$1:$U$257,13,FALSE))))</f>
        <v/>
      </c>
      <c r="L118" s="507" t="str">
        <f>IF(B118="","",IF(ISNA(VLOOKUP($B118,'E-1 Off Site Hedge Baseline'!$B$1:$U$257,12,FALSE)),"",(VLOOKUP($B118,'E-1 Off Site Hedge Baseline'!$B$1:$U$257,12,FALSE))))</f>
        <v/>
      </c>
      <c r="M118" s="418" t="str">
        <f t="shared" si="16"/>
        <v/>
      </c>
      <c r="N118" s="498" t="str">
        <f>IFERROR(IF(B118="","",INDEX('G-6 Hedgerow Data'!$AN$3:$AZ$15,MATCH(C118,'G-6 Hedgerow Data'!$AM$3:$AM$15,0),MATCH(M118,'G-6 Hedgerow Data'!$AN$2:$AZ$2,0))),"")</f>
        <v/>
      </c>
      <c r="O118" s="499" t="str">
        <f t="shared" si="10"/>
        <v/>
      </c>
      <c r="P118" s="505" t="str">
        <f>IF(B118="","",VLOOKUP(B118,'E-1 Off Site Hedge Baseline'!$B$10:T363,16,FALSE))</f>
        <v/>
      </c>
      <c r="Q118" s="498" t="str">
        <f>IF(M118="","",VLOOKUP(M118,'G-6 Hedgerow Data'!$B$2:$AG$15,2,FALSE))</f>
        <v/>
      </c>
      <c r="R118" s="499" t="str">
        <f>IF(M118="","",VLOOKUP(M118,'G-6 Hedgerow Data'!$B$2:$AG$15,3,FALSE))</f>
        <v/>
      </c>
      <c r="S118" s="145"/>
      <c r="T118" s="499" t="str">
        <f>IFERROR(IF(AND(Q118="V.Low",OR(S118="Good",S118="Moderate")),"Error ▲",VLOOKUP(S118,'G-1 All Habitats'!$Z$2:$AA$9,2,FALSE)),"")</f>
        <v/>
      </c>
      <c r="U118" s="145"/>
      <c r="V118" s="507" t="str">
        <f>IF(U118="","",IF(VLOOKUP(U118,'G-3 Multipliers'!$L$3:$N$6,2,FALSE)=0,"Spatial Data Missing ⚠",VLOOKUP(U118,'G-3 Multipliers'!$L$3:$N$6,2,FALSE)))</f>
        <v/>
      </c>
      <c r="W118" s="505" t="str">
        <f>IF(U118="","",IF(VLOOKUP(U118,'G-3 Multipliers'!$L$3:$N$6,3,FALSE)=0,"Spatial Data Missing ⚠",VLOOKUP(U118,'G-3 Multipliers'!$L$3:$N$6,3,FALSE)))</f>
        <v/>
      </c>
      <c r="X118" s="498" t="str">
        <f>IFERROR(IF(OR(LEFT(O118,5)="Error ▲",LEFT(N118,5)="Error ▲",T118="Error ▲"),"Check Data ⚠",IF(F118&lt;R118,INDEX('G-6 Hedgerow Data'!$S$3:$AE$14,MATCH(C118,'G-6 Hedgerow Data'!$B$3:$B$14,0),MATCH(M118,'G-6 Hedgerow Data'!$S$2:$AE$2,0)),INDEX('G-6 Hedgerow Data'!$K$3:$Q$14,MATCH(M118,'G-6 Hedgerow Data'!$B$3:$B$14,0),MATCH(O118,'G-6 Hedgerow Data'!$K$2:$Q$2,0)))),"")</f>
        <v/>
      </c>
      <c r="Y118" s="195"/>
      <c r="Z118" s="195"/>
      <c r="AA118" s="507" t="str">
        <f t="shared" si="11"/>
        <v/>
      </c>
      <c r="AB118" s="521" t="str">
        <f t="shared" si="12"/>
        <v/>
      </c>
      <c r="AC118" s="522" t="str">
        <f t="shared" si="9"/>
        <v/>
      </c>
      <c r="AD118" s="537" t="str">
        <f>IF(M118="","",VLOOKUP(M118,'G-6 Hedgerow Data'!$B$3:$AG$15,31,FALSE))</f>
        <v/>
      </c>
      <c r="AE118" s="520" t="str">
        <f t="shared" si="13"/>
        <v/>
      </c>
      <c r="AF118" s="520" t="str">
        <f t="shared" si="14"/>
        <v/>
      </c>
      <c r="AG118" s="524" t="str">
        <f>IFERROR(IF(O118="","",VLOOKUP(AD118,'G-3 Multipliers'!$P$3:$Q$6,2,FALSE)),"")</f>
        <v/>
      </c>
      <c r="AH118" s="197"/>
      <c r="AI118" s="499" t="str">
        <f>IF(AH118="","",IF(VLOOKUP(AH118,'G-3 Multipliers'!$S$3:$T$6,2,FALSE)=0,"Spatial Data Missing ⚠",VLOOKUP(AH118,'G-3 Multipliers'!$S$3:$T$6,2,FALSE)))</f>
        <v/>
      </c>
      <c r="AJ118" s="545" t="str">
        <f t="shared" si="15"/>
        <v/>
      </c>
      <c r="AK118" s="149"/>
      <c r="AL118" s="150"/>
      <c r="AP118" s="31" t="str">
        <f>IFERROR(INDEX('G-6 Hedgerow Data'!$BJ$3:$BJ$15,MATCH(M118,'G-6 Hedgerow Data'!$B$3:$B$15,0)),"")</f>
        <v/>
      </c>
    </row>
    <row r="119" spans="2:42" ht="14" x14ac:dyDescent="0.3">
      <c r="B119" s="531" t="str">
        <f>'E-1 Off Site Hedge Baseline'!AK117</f>
        <v/>
      </c>
      <c r="C119" s="520" t="str">
        <f>IF(B119="","",IF(ISNA(VLOOKUP($B119,'E-1 Off Site Hedge Baseline'!$B$1:$L$257,3,FALSE)),"",(VLOOKUP($B119,'E-1 Off Site Hedge Baseline'!$B$1:$L$257,3,FALSE))))</f>
        <v/>
      </c>
      <c r="D119" s="520" t="str">
        <f>IF(B119="","",IF(ISNA(VLOOKUP($B119,'E-1 Off Site Hedge Baseline'!$B$1:$L$258,4,FALSE)),"",(VLOOKUP($B119,'E-1 Off Site Hedge Baseline'!$B$1:$L$258,4,FALSE))))</f>
        <v/>
      </c>
      <c r="E119" s="520" t="str">
        <f>IF(B119="","",IF(ISNA(VLOOKUP($B119,'E-1 Off Site Hedge Baseline'!$B$1:$L$257,5,FALSE)),"",(VLOOKUP($B119,'E-1 Off Site Hedge Baseline'!$B$1:$L$257,5,FALSE))))</f>
        <v/>
      </c>
      <c r="F119" s="520" t="str">
        <f>IF(B119="","",IF(ISNA(VLOOKUP($B119,'E-1 Off Site Hedge Baseline'!$B$1:$L$257,6,FALSE)),"",(VLOOKUP($B119,'E-1 Off Site Hedge Baseline'!$B$1:$L$257,6,FALSE))))</f>
        <v/>
      </c>
      <c r="G119" s="520" t="str">
        <f>IF(B119="","",IF(ISNA(VLOOKUP($B119,'E-1 Off Site Hedge Baseline'!$B$1:$L$257,7,FALSE)),"",(VLOOKUP($B119,'E-1 Off Site Hedge Baseline'!$B$1:$L$257,7,FALSE))))</f>
        <v/>
      </c>
      <c r="H119" s="520" t="str">
        <f>IF(B119="","",IF(ISNA(VLOOKUP($B119,'E-1 Off Site Hedge Baseline'!$B$1:$L$257,8,FALSE)),"",(VLOOKUP($B119,'E-1 Off Site Hedge Baseline'!$B$1:$L$257,8,FALSE))))</f>
        <v/>
      </c>
      <c r="I119" s="520" t="str">
        <f>IF(B119="","",IF(ISNA(VLOOKUP($B119,'E-1 Off Site Hedge Baseline'!$B$1:$L$257,10,FALSE)),"",(VLOOKUP($B119,'E-1 Off Site Hedge Baseline'!$B$1:$L$257,10,FALSE))))</f>
        <v/>
      </c>
      <c r="J119" s="520" t="str">
        <f>IF(B119="","",IF(ISNA(VLOOKUP($B119,'E-1 Off Site Hedge Baseline'!$B$1:$L$257,11,FALSE)),"",(VLOOKUP($B119,'E-1 Off Site Hedge Baseline'!$B$1:$L$257,11,FALSE))))</f>
        <v/>
      </c>
      <c r="K119" s="520" t="str">
        <f>IF(B119="","",IF(ISNA(VLOOKUP($B119,'E-1 Off Site Hedge Baseline'!$B$1:$U$257,113,FALSE)),"",(VLOOKUP($B119,'E-1 Off Site Hedge Baseline'!$B$1:$U$257,13,FALSE))))</f>
        <v/>
      </c>
      <c r="L119" s="507" t="str">
        <f>IF(B119="","",IF(ISNA(VLOOKUP($B119,'E-1 Off Site Hedge Baseline'!$B$1:$U$257,12,FALSE)),"",(VLOOKUP($B119,'E-1 Off Site Hedge Baseline'!$B$1:$U$257,12,FALSE))))</f>
        <v/>
      </c>
      <c r="M119" s="418" t="str">
        <f t="shared" si="16"/>
        <v/>
      </c>
      <c r="N119" s="498" t="str">
        <f>IFERROR(IF(B119="","",INDEX('G-6 Hedgerow Data'!$AN$3:$AZ$15,MATCH(C119,'G-6 Hedgerow Data'!$AM$3:$AM$15,0),MATCH(M119,'G-6 Hedgerow Data'!$AN$2:$AZ$2,0))),"")</f>
        <v/>
      </c>
      <c r="O119" s="499" t="str">
        <f t="shared" si="10"/>
        <v/>
      </c>
      <c r="P119" s="505" t="str">
        <f>IF(B119="","",VLOOKUP(B119,'E-1 Off Site Hedge Baseline'!$B$10:T364,16,FALSE))</f>
        <v/>
      </c>
      <c r="Q119" s="498" t="str">
        <f>IF(M119="","",VLOOKUP(M119,'G-6 Hedgerow Data'!$B$2:$AG$15,2,FALSE))</f>
        <v/>
      </c>
      <c r="R119" s="499" t="str">
        <f>IF(M119="","",VLOOKUP(M119,'G-6 Hedgerow Data'!$B$2:$AG$15,3,FALSE))</f>
        <v/>
      </c>
      <c r="S119" s="145"/>
      <c r="T119" s="499" t="str">
        <f>IFERROR(IF(AND(Q119="V.Low",OR(S119="Good",S119="Moderate")),"Error ▲",VLOOKUP(S119,'G-1 All Habitats'!$Z$2:$AA$9,2,FALSE)),"")</f>
        <v/>
      </c>
      <c r="U119" s="145"/>
      <c r="V119" s="507" t="str">
        <f>IF(U119="","",IF(VLOOKUP(U119,'G-3 Multipliers'!$L$3:$N$6,2,FALSE)=0,"Spatial Data Missing ⚠",VLOOKUP(U119,'G-3 Multipliers'!$L$3:$N$6,2,FALSE)))</f>
        <v/>
      </c>
      <c r="W119" s="505" t="str">
        <f>IF(U119="","",IF(VLOOKUP(U119,'G-3 Multipliers'!$L$3:$N$6,3,FALSE)=0,"Spatial Data Missing ⚠",VLOOKUP(U119,'G-3 Multipliers'!$L$3:$N$6,3,FALSE)))</f>
        <v/>
      </c>
      <c r="X119" s="498" t="str">
        <f>IFERROR(IF(OR(LEFT(O119,5)="Error ▲",LEFT(N119,5)="Error ▲",T119="Error ▲"),"Check Data ⚠",IF(F119&lt;R119,INDEX('G-6 Hedgerow Data'!$S$3:$AE$14,MATCH(C119,'G-6 Hedgerow Data'!$B$3:$B$14,0),MATCH(M119,'G-6 Hedgerow Data'!$S$2:$AE$2,0)),INDEX('G-6 Hedgerow Data'!$K$3:$Q$14,MATCH(M119,'G-6 Hedgerow Data'!$B$3:$B$14,0),MATCH(O119,'G-6 Hedgerow Data'!$K$2:$Q$2,0)))),"")</f>
        <v/>
      </c>
      <c r="Y119" s="195"/>
      <c r="Z119" s="195"/>
      <c r="AA119" s="507" t="str">
        <f t="shared" si="11"/>
        <v/>
      </c>
      <c r="AB119" s="521" t="str">
        <f t="shared" si="12"/>
        <v/>
      </c>
      <c r="AC119" s="522" t="str">
        <f t="shared" si="9"/>
        <v/>
      </c>
      <c r="AD119" s="537" t="str">
        <f>IF(M119="","",VLOOKUP(M119,'G-6 Hedgerow Data'!$B$3:$AG$15,31,FALSE))</f>
        <v/>
      </c>
      <c r="AE119" s="520" t="str">
        <f t="shared" si="13"/>
        <v/>
      </c>
      <c r="AF119" s="520" t="str">
        <f t="shared" si="14"/>
        <v/>
      </c>
      <c r="AG119" s="524" t="str">
        <f>IFERROR(IF(O119="","",VLOOKUP(AD119,'G-3 Multipliers'!$P$3:$Q$6,2,FALSE)),"")</f>
        <v/>
      </c>
      <c r="AH119" s="197"/>
      <c r="AI119" s="499" t="str">
        <f>IF(AH119="","",IF(VLOOKUP(AH119,'G-3 Multipliers'!$S$3:$T$6,2,FALSE)=0,"Spatial Data Missing ⚠",VLOOKUP(AH119,'G-3 Multipliers'!$S$3:$T$6,2,FALSE)))</f>
        <v/>
      </c>
      <c r="AJ119" s="545" t="str">
        <f t="shared" si="15"/>
        <v/>
      </c>
      <c r="AK119" s="149"/>
      <c r="AL119" s="150"/>
      <c r="AP119" s="31" t="str">
        <f>IFERROR(INDEX('G-6 Hedgerow Data'!$BJ$3:$BJ$15,MATCH(M119,'G-6 Hedgerow Data'!$B$3:$B$15,0)),"")</f>
        <v/>
      </c>
    </row>
    <row r="120" spans="2:42" ht="14" x14ac:dyDescent="0.3">
      <c r="B120" s="531" t="str">
        <f>'E-1 Off Site Hedge Baseline'!AK118</f>
        <v/>
      </c>
      <c r="C120" s="520" t="str">
        <f>IF(B120="","",IF(ISNA(VLOOKUP($B120,'E-1 Off Site Hedge Baseline'!$B$1:$L$257,3,FALSE)),"",(VLOOKUP($B120,'E-1 Off Site Hedge Baseline'!$B$1:$L$257,3,FALSE))))</f>
        <v/>
      </c>
      <c r="D120" s="520" t="str">
        <f>IF(B120="","",IF(ISNA(VLOOKUP($B120,'E-1 Off Site Hedge Baseline'!$B$1:$L$258,4,FALSE)),"",(VLOOKUP($B120,'E-1 Off Site Hedge Baseline'!$B$1:$L$258,4,FALSE))))</f>
        <v/>
      </c>
      <c r="E120" s="520" t="str">
        <f>IF(B120="","",IF(ISNA(VLOOKUP($B120,'E-1 Off Site Hedge Baseline'!$B$1:$L$257,5,FALSE)),"",(VLOOKUP($B120,'E-1 Off Site Hedge Baseline'!$B$1:$L$257,5,FALSE))))</f>
        <v/>
      </c>
      <c r="F120" s="520" t="str">
        <f>IF(B120="","",IF(ISNA(VLOOKUP($B120,'E-1 Off Site Hedge Baseline'!$B$1:$L$257,6,FALSE)),"",(VLOOKUP($B120,'E-1 Off Site Hedge Baseline'!$B$1:$L$257,6,FALSE))))</f>
        <v/>
      </c>
      <c r="G120" s="520" t="str">
        <f>IF(B120="","",IF(ISNA(VLOOKUP($B120,'E-1 Off Site Hedge Baseline'!$B$1:$L$257,7,FALSE)),"",(VLOOKUP($B120,'E-1 Off Site Hedge Baseline'!$B$1:$L$257,7,FALSE))))</f>
        <v/>
      </c>
      <c r="H120" s="520" t="str">
        <f>IF(B120="","",IF(ISNA(VLOOKUP($B120,'E-1 Off Site Hedge Baseline'!$B$1:$L$257,8,FALSE)),"",(VLOOKUP($B120,'E-1 Off Site Hedge Baseline'!$B$1:$L$257,8,FALSE))))</f>
        <v/>
      </c>
      <c r="I120" s="520" t="str">
        <f>IF(B120="","",IF(ISNA(VLOOKUP($B120,'E-1 Off Site Hedge Baseline'!$B$1:$L$257,10,FALSE)),"",(VLOOKUP($B120,'E-1 Off Site Hedge Baseline'!$B$1:$L$257,10,FALSE))))</f>
        <v/>
      </c>
      <c r="J120" s="520" t="str">
        <f>IF(B120="","",IF(ISNA(VLOOKUP($B120,'E-1 Off Site Hedge Baseline'!$B$1:$L$257,11,FALSE)),"",(VLOOKUP($B120,'E-1 Off Site Hedge Baseline'!$B$1:$L$257,11,FALSE))))</f>
        <v/>
      </c>
      <c r="K120" s="520" t="str">
        <f>IF(B120="","",IF(ISNA(VLOOKUP($B120,'E-1 Off Site Hedge Baseline'!$B$1:$U$257,113,FALSE)),"",(VLOOKUP($B120,'E-1 Off Site Hedge Baseline'!$B$1:$U$257,13,FALSE))))</f>
        <v/>
      </c>
      <c r="L120" s="507" t="str">
        <f>IF(B120="","",IF(ISNA(VLOOKUP($B120,'E-1 Off Site Hedge Baseline'!$B$1:$U$257,12,FALSE)),"",(VLOOKUP($B120,'E-1 Off Site Hedge Baseline'!$B$1:$U$257,12,FALSE))))</f>
        <v/>
      </c>
      <c r="M120" s="418" t="str">
        <f t="shared" si="16"/>
        <v/>
      </c>
      <c r="N120" s="498" t="str">
        <f>IFERROR(IF(B120="","",INDEX('G-6 Hedgerow Data'!$AN$3:$AZ$15,MATCH(C120,'G-6 Hedgerow Data'!$AM$3:$AM$15,0),MATCH(M120,'G-6 Hedgerow Data'!$AN$2:$AZ$2,0))),"")</f>
        <v/>
      </c>
      <c r="O120" s="499" t="str">
        <f t="shared" si="10"/>
        <v/>
      </c>
      <c r="P120" s="505" t="str">
        <f>IF(B120="","",VLOOKUP(B120,'E-1 Off Site Hedge Baseline'!$B$10:T365,16,FALSE))</f>
        <v/>
      </c>
      <c r="Q120" s="498" t="str">
        <f>IF(M120="","",VLOOKUP(M120,'G-6 Hedgerow Data'!$B$2:$AG$15,2,FALSE))</f>
        <v/>
      </c>
      <c r="R120" s="499" t="str">
        <f>IF(M120="","",VLOOKUP(M120,'G-6 Hedgerow Data'!$B$2:$AG$15,3,FALSE))</f>
        <v/>
      </c>
      <c r="S120" s="145"/>
      <c r="T120" s="499" t="str">
        <f>IFERROR(IF(AND(Q120="V.Low",OR(S120="Good",S120="Moderate")),"Error ▲",VLOOKUP(S120,'G-1 All Habitats'!$Z$2:$AA$9,2,FALSE)),"")</f>
        <v/>
      </c>
      <c r="U120" s="145"/>
      <c r="V120" s="507" t="str">
        <f>IF(U120="","",IF(VLOOKUP(U120,'G-3 Multipliers'!$L$3:$N$6,2,FALSE)=0,"Spatial Data Missing ⚠",VLOOKUP(U120,'G-3 Multipliers'!$L$3:$N$6,2,FALSE)))</f>
        <v/>
      </c>
      <c r="W120" s="505" t="str">
        <f>IF(U120="","",IF(VLOOKUP(U120,'G-3 Multipliers'!$L$3:$N$6,3,FALSE)=0,"Spatial Data Missing ⚠",VLOOKUP(U120,'G-3 Multipliers'!$L$3:$N$6,3,FALSE)))</f>
        <v/>
      </c>
      <c r="X120" s="498" t="str">
        <f>IFERROR(IF(OR(LEFT(O120,5)="Error ▲",LEFT(N120,5)="Error ▲",T120="Error ▲"),"Check Data ⚠",IF(F120&lt;R120,INDEX('G-6 Hedgerow Data'!$S$3:$AE$14,MATCH(C120,'G-6 Hedgerow Data'!$B$3:$B$14,0),MATCH(M120,'G-6 Hedgerow Data'!$S$2:$AE$2,0)),INDEX('G-6 Hedgerow Data'!$K$3:$Q$14,MATCH(M120,'G-6 Hedgerow Data'!$B$3:$B$14,0),MATCH(O120,'G-6 Hedgerow Data'!$K$2:$Q$2,0)))),"")</f>
        <v/>
      </c>
      <c r="Y120" s="195"/>
      <c r="Z120" s="195"/>
      <c r="AA120" s="507" t="str">
        <f t="shared" si="11"/>
        <v/>
      </c>
      <c r="AB120" s="521" t="str">
        <f t="shared" si="12"/>
        <v/>
      </c>
      <c r="AC120" s="522" t="str">
        <f t="shared" si="9"/>
        <v/>
      </c>
      <c r="AD120" s="537" t="str">
        <f>IF(M120="","",VLOOKUP(M120,'G-6 Hedgerow Data'!$B$3:$AG$15,31,FALSE))</f>
        <v/>
      </c>
      <c r="AE120" s="520" t="str">
        <f t="shared" si="13"/>
        <v/>
      </c>
      <c r="AF120" s="520" t="str">
        <f t="shared" si="14"/>
        <v/>
      </c>
      <c r="AG120" s="524" t="str">
        <f>IFERROR(IF(O120="","",VLOOKUP(AD120,'G-3 Multipliers'!$P$3:$Q$6,2,FALSE)),"")</f>
        <v/>
      </c>
      <c r="AH120" s="197"/>
      <c r="AI120" s="499" t="str">
        <f>IF(AH120="","",IF(VLOOKUP(AH120,'G-3 Multipliers'!$S$3:$T$6,2,FALSE)=0,"Spatial Data Missing ⚠",VLOOKUP(AH120,'G-3 Multipliers'!$S$3:$T$6,2,FALSE)))</f>
        <v/>
      </c>
      <c r="AJ120" s="545" t="str">
        <f t="shared" si="15"/>
        <v/>
      </c>
      <c r="AK120" s="149"/>
      <c r="AL120" s="150"/>
      <c r="AP120" s="31" t="str">
        <f>IFERROR(INDEX('G-6 Hedgerow Data'!$BJ$3:$BJ$15,MATCH(M120,'G-6 Hedgerow Data'!$B$3:$B$15,0)),"")</f>
        <v/>
      </c>
    </row>
    <row r="121" spans="2:42" ht="14" x14ac:dyDescent="0.3">
      <c r="B121" s="531" t="str">
        <f>'E-1 Off Site Hedge Baseline'!AK119</f>
        <v/>
      </c>
      <c r="C121" s="520" t="str">
        <f>IF(B121="","",IF(ISNA(VLOOKUP($B121,'E-1 Off Site Hedge Baseline'!$B$1:$L$257,3,FALSE)),"",(VLOOKUP($B121,'E-1 Off Site Hedge Baseline'!$B$1:$L$257,3,FALSE))))</f>
        <v/>
      </c>
      <c r="D121" s="520" t="str">
        <f>IF(B121="","",IF(ISNA(VLOOKUP($B121,'E-1 Off Site Hedge Baseline'!$B$1:$L$258,4,FALSE)),"",(VLOOKUP($B121,'E-1 Off Site Hedge Baseline'!$B$1:$L$258,4,FALSE))))</f>
        <v/>
      </c>
      <c r="E121" s="520" t="str">
        <f>IF(B121="","",IF(ISNA(VLOOKUP($B121,'E-1 Off Site Hedge Baseline'!$B$1:$L$257,5,FALSE)),"",(VLOOKUP($B121,'E-1 Off Site Hedge Baseline'!$B$1:$L$257,5,FALSE))))</f>
        <v/>
      </c>
      <c r="F121" s="520" t="str">
        <f>IF(B121="","",IF(ISNA(VLOOKUP($B121,'E-1 Off Site Hedge Baseline'!$B$1:$L$257,6,FALSE)),"",(VLOOKUP($B121,'E-1 Off Site Hedge Baseline'!$B$1:$L$257,6,FALSE))))</f>
        <v/>
      </c>
      <c r="G121" s="520" t="str">
        <f>IF(B121="","",IF(ISNA(VLOOKUP($B121,'E-1 Off Site Hedge Baseline'!$B$1:$L$257,7,FALSE)),"",(VLOOKUP($B121,'E-1 Off Site Hedge Baseline'!$B$1:$L$257,7,FALSE))))</f>
        <v/>
      </c>
      <c r="H121" s="520" t="str">
        <f>IF(B121="","",IF(ISNA(VLOOKUP($B121,'E-1 Off Site Hedge Baseline'!$B$1:$L$257,8,FALSE)),"",(VLOOKUP($B121,'E-1 Off Site Hedge Baseline'!$B$1:$L$257,8,FALSE))))</f>
        <v/>
      </c>
      <c r="I121" s="520" t="str">
        <f>IF(B121="","",IF(ISNA(VLOOKUP($B121,'E-1 Off Site Hedge Baseline'!$B$1:$L$257,10,FALSE)),"",(VLOOKUP($B121,'E-1 Off Site Hedge Baseline'!$B$1:$L$257,10,FALSE))))</f>
        <v/>
      </c>
      <c r="J121" s="520" t="str">
        <f>IF(B121="","",IF(ISNA(VLOOKUP($B121,'E-1 Off Site Hedge Baseline'!$B$1:$L$257,11,FALSE)),"",(VLOOKUP($B121,'E-1 Off Site Hedge Baseline'!$B$1:$L$257,11,FALSE))))</f>
        <v/>
      </c>
      <c r="K121" s="520" t="str">
        <f>IF(B121="","",IF(ISNA(VLOOKUP($B121,'E-1 Off Site Hedge Baseline'!$B$1:$U$257,113,FALSE)),"",(VLOOKUP($B121,'E-1 Off Site Hedge Baseline'!$B$1:$U$257,13,FALSE))))</f>
        <v/>
      </c>
      <c r="L121" s="507" t="str">
        <f>IF(B121="","",IF(ISNA(VLOOKUP($B121,'E-1 Off Site Hedge Baseline'!$B$1:$U$257,12,FALSE)),"",(VLOOKUP($B121,'E-1 Off Site Hedge Baseline'!$B$1:$U$257,12,FALSE))))</f>
        <v/>
      </c>
      <c r="M121" s="418" t="str">
        <f t="shared" si="16"/>
        <v/>
      </c>
      <c r="N121" s="498" t="str">
        <f>IFERROR(IF(B121="","",INDEX('G-6 Hedgerow Data'!$AN$3:$AZ$15,MATCH(C121,'G-6 Hedgerow Data'!$AM$3:$AM$15,0),MATCH(M121,'G-6 Hedgerow Data'!$AN$2:$AZ$2,0))),"")</f>
        <v/>
      </c>
      <c r="O121" s="499" t="str">
        <f t="shared" si="10"/>
        <v/>
      </c>
      <c r="P121" s="505" t="str">
        <f>IF(B121="","",VLOOKUP(B121,'E-1 Off Site Hedge Baseline'!$B$10:T366,16,FALSE))</f>
        <v/>
      </c>
      <c r="Q121" s="498" t="str">
        <f>IF(M121="","",VLOOKUP(M121,'G-6 Hedgerow Data'!$B$2:$AG$15,2,FALSE))</f>
        <v/>
      </c>
      <c r="R121" s="499" t="str">
        <f>IF(M121="","",VLOOKUP(M121,'G-6 Hedgerow Data'!$B$2:$AG$15,3,FALSE))</f>
        <v/>
      </c>
      <c r="S121" s="145"/>
      <c r="T121" s="499" t="str">
        <f>IFERROR(IF(AND(Q121="V.Low",OR(S121="Good",S121="Moderate")),"Error ▲",VLOOKUP(S121,'G-1 All Habitats'!$Z$2:$AA$9,2,FALSE)),"")</f>
        <v/>
      </c>
      <c r="U121" s="145"/>
      <c r="V121" s="507" t="str">
        <f>IF(U121="","",IF(VLOOKUP(U121,'G-3 Multipliers'!$L$3:$N$6,2,FALSE)=0,"Spatial Data Missing ⚠",VLOOKUP(U121,'G-3 Multipliers'!$L$3:$N$6,2,FALSE)))</f>
        <v/>
      </c>
      <c r="W121" s="505" t="str">
        <f>IF(U121="","",IF(VLOOKUP(U121,'G-3 Multipliers'!$L$3:$N$6,3,FALSE)=0,"Spatial Data Missing ⚠",VLOOKUP(U121,'G-3 Multipliers'!$L$3:$N$6,3,FALSE)))</f>
        <v/>
      </c>
      <c r="X121" s="498" t="str">
        <f>IFERROR(IF(OR(LEFT(O121,5)="Error ▲",LEFT(N121,5)="Error ▲",T121="Error ▲"),"Check Data ⚠",IF(F121&lt;R121,INDEX('G-6 Hedgerow Data'!$S$3:$AE$14,MATCH(C121,'G-6 Hedgerow Data'!$B$3:$B$14,0),MATCH(M121,'G-6 Hedgerow Data'!$S$2:$AE$2,0)),INDEX('G-6 Hedgerow Data'!$K$3:$Q$14,MATCH(M121,'G-6 Hedgerow Data'!$B$3:$B$14,0),MATCH(O121,'G-6 Hedgerow Data'!$K$2:$Q$2,0)))),"")</f>
        <v/>
      </c>
      <c r="Y121" s="195"/>
      <c r="Z121" s="195"/>
      <c r="AA121" s="507" t="str">
        <f t="shared" si="11"/>
        <v/>
      </c>
      <c r="AB121" s="521" t="str">
        <f t="shared" si="12"/>
        <v/>
      </c>
      <c r="AC121" s="522" t="str">
        <f t="shared" si="9"/>
        <v/>
      </c>
      <c r="AD121" s="537" t="str">
        <f>IF(M121="","",VLOOKUP(M121,'G-6 Hedgerow Data'!$B$3:$AG$15,31,FALSE))</f>
        <v/>
      </c>
      <c r="AE121" s="520" t="str">
        <f t="shared" si="13"/>
        <v/>
      </c>
      <c r="AF121" s="520" t="str">
        <f t="shared" si="14"/>
        <v/>
      </c>
      <c r="AG121" s="524" t="str">
        <f>IFERROR(IF(O121="","",VLOOKUP(AD121,'G-3 Multipliers'!$P$3:$Q$6,2,FALSE)),"")</f>
        <v/>
      </c>
      <c r="AH121" s="197"/>
      <c r="AI121" s="499" t="str">
        <f>IF(AH121="","",IF(VLOOKUP(AH121,'G-3 Multipliers'!$S$3:$T$6,2,FALSE)=0,"Spatial Data Missing ⚠",VLOOKUP(AH121,'G-3 Multipliers'!$S$3:$T$6,2,FALSE)))</f>
        <v/>
      </c>
      <c r="AJ121" s="545" t="str">
        <f t="shared" si="15"/>
        <v/>
      </c>
      <c r="AK121" s="149"/>
      <c r="AL121" s="150"/>
      <c r="AP121" s="31" t="str">
        <f>IFERROR(INDEX('G-6 Hedgerow Data'!$BJ$3:$BJ$15,MATCH(M121,'G-6 Hedgerow Data'!$B$3:$B$15,0)),"")</f>
        <v/>
      </c>
    </row>
    <row r="122" spans="2:42" ht="14" x14ac:dyDescent="0.3">
      <c r="B122" s="531" t="str">
        <f>'E-1 Off Site Hedge Baseline'!AK120</f>
        <v/>
      </c>
      <c r="C122" s="520" t="str">
        <f>IF(B122="","",IF(ISNA(VLOOKUP($B122,'E-1 Off Site Hedge Baseline'!$B$1:$L$257,3,FALSE)),"",(VLOOKUP($B122,'E-1 Off Site Hedge Baseline'!$B$1:$L$257,3,FALSE))))</f>
        <v/>
      </c>
      <c r="D122" s="520" t="str">
        <f>IF(B122="","",IF(ISNA(VLOOKUP($B122,'E-1 Off Site Hedge Baseline'!$B$1:$L$258,4,FALSE)),"",(VLOOKUP($B122,'E-1 Off Site Hedge Baseline'!$B$1:$L$258,4,FALSE))))</f>
        <v/>
      </c>
      <c r="E122" s="520" t="str">
        <f>IF(B122="","",IF(ISNA(VLOOKUP($B122,'E-1 Off Site Hedge Baseline'!$B$1:$L$257,5,FALSE)),"",(VLOOKUP($B122,'E-1 Off Site Hedge Baseline'!$B$1:$L$257,5,FALSE))))</f>
        <v/>
      </c>
      <c r="F122" s="520" t="str">
        <f>IF(B122="","",IF(ISNA(VLOOKUP($B122,'E-1 Off Site Hedge Baseline'!$B$1:$L$257,6,FALSE)),"",(VLOOKUP($B122,'E-1 Off Site Hedge Baseline'!$B$1:$L$257,6,FALSE))))</f>
        <v/>
      </c>
      <c r="G122" s="520" t="str">
        <f>IF(B122="","",IF(ISNA(VLOOKUP($B122,'E-1 Off Site Hedge Baseline'!$B$1:$L$257,7,FALSE)),"",(VLOOKUP($B122,'E-1 Off Site Hedge Baseline'!$B$1:$L$257,7,FALSE))))</f>
        <v/>
      </c>
      <c r="H122" s="520" t="str">
        <f>IF(B122="","",IF(ISNA(VLOOKUP($B122,'E-1 Off Site Hedge Baseline'!$B$1:$L$257,8,FALSE)),"",(VLOOKUP($B122,'E-1 Off Site Hedge Baseline'!$B$1:$L$257,8,FALSE))))</f>
        <v/>
      </c>
      <c r="I122" s="520" t="str">
        <f>IF(B122="","",IF(ISNA(VLOOKUP($B122,'E-1 Off Site Hedge Baseline'!$B$1:$L$257,10,FALSE)),"",(VLOOKUP($B122,'E-1 Off Site Hedge Baseline'!$B$1:$L$257,10,FALSE))))</f>
        <v/>
      </c>
      <c r="J122" s="520" t="str">
        <f>IF(B122="","",IF(ISNA(VLOOKUP($B122,'E-1 Off Site Hedge Baseline'!$B$1:$L$257,11,FALSE)),"",(VLOOKUP($B122,'E-1 Off Site Hedge Baseline'!$B$1:$L$257,11,FALSE))))</f>
        <v/>
      </c>
      <c r="K122" s="520" t="str">
        <f>IF(B122="","",IF(ISNA(VLOOKUP($B122,'E-1 Off Site Hedge Baseline'!$B$1:$U$257,113,FALSE)),"",(VLOOKUP($B122,'E-1 Off Site Hedge Baseline'!$B$1:$U$257,13,FALSE))))</f>
        <v/>
      </c>
      <c r="L122" s="507" t="str">
        <f>IF(B122="","",IF(ISNA(VLOOKUP($B122,'E-1 Off Site Hedge Baseline'!$B$1:$U$257,12,FALSE)),"",(VLOOKUP($B122,'E-1 Off Site Hedge Baseline'!$B$1:$U$257,12,FALSE))))</f>
        <v/>
      </c>
      <c r="M122" s="418" t="str">
        <f t="shared" si="16"/>
        <v/>
      </c>
      <c r="N122" s="498" t="str">
        <f>IFERROR(IF(B122="","",INDEX('G-6 Hedgerow Data'!$AN$3:$AZ$15,MATCH(C122,'G-6 Hedgerow Data'!$AM$3:$AM$15,0),MATCH(M122,'G-6 Hedgerow Data'!$AN$2:$AZ$2,0))),"")</f>
        <v/>
      </c>
      <c r="O122" s="499" t="str">
        <f t="shared" si="10"/>
        <v/>
      </c>
      <c r="P122" s="505" t="str">
        <f>IF(B122="","",VLOOKUP(B122,'E-1 Off Site Hedge Baseline'!$B$10:T367,16,FALSE))</f>
        <v/>
      </c>
      <c r="Q122" s="498" t="str">
        <f>IF(M122="","",VLOOKUP(M122,'G-6 Hedgerow Data'!$B$2:$AG$15,2,FALSE))</f>
        <v/>
      </c>
      <c r="R122" s="499" t="str">
        <f>IF(M122="","",VLOOKUP(M122,'G-6 Hedgerow Data'!$B$2:$AG$15,3,FALSE))</f>
        <v/>
      </c>
      <c r="S122" s="145"/>
      <c r="T122" s="499" t="str">
        <f>IFERROR(IF(AND(Q122="V.Low",OR(S122="Good",S122="Moderate")),"Error ▲",VLOOKUP(S122,'G-1 All Habitats'!$Z$2:$AA$9,2,FALSE)),"")</f>
        <v/>
      </c>
      <c r="U122" s="145"/>
      <c r="V122" s="507" t="str">
        <f>IF(U122="","",IF(VLOOKUP(U122,'G-3 Multipliers'!$L$3:$N$6,2,FALSE)=0,"Spatial Data Missing ⚠",VLOOKUP(U122,'G-3 Multipliers'!$L$3:$N$6,2,FALSE)))</f>
        <v/>
      </c>
      <c r="W122" s="505" t="str">
        <f>IF(U122="","",IF(VLOOKUP(U122,'G-3 Multipliers'!$L$3:$N$6,3,FALSE)=0,"Spatial Data Missing ⚠",VLOOKUP(U122,'G-3 Multipliers'!$L$3:$N$6,3,FALSE)))</f>
        <v/>
      </c>
      <c r="X122" s="498" t="str">
        <f>IFERROR(IF(OR(LEFT(O122,5)="Error ▲",LEFT(N122,5)="Error ▲",T122="Error ▲"),"Check Data ⚠",IF(F122&lt;R122,INDEX('G-6 Hedgerow Data'!$S$3:$AE$14,MATCH(C122,'G-6 Hedgerow Data'!$B$3:$B$14,0),MATCH(M122,'G-6 Hedgerow Data'!$S$2:$AE$2,0)),INDEX('G-6 Hedgerow Data'!$K$3:$Q$14,MATCH(M122,'G-6 Hedgerow Data'!$B$3:$B$14,0),MATCH(O122,'G-6 Hedgerow Data'!$K$2:$Q$2,0)))),"")</f>
        <v/>
      </c>
      <c r="Y122" s="195"/>
      <c r="Z122" s="195"/>
      <c r="AA122" s="507" t="str">
        <f t="shared" si="11"/>
        <v/>
      </c>
      <c r="AB122" s="521" t="str">
        <f t="shared" si="12"/>
        <v/>
      </c>
      <c r="AC122" s="522" t="str">
        <f t="shared" si="9"/>
        <v/>
      </c>
      <c r="AD122" s="537" t="str">
        <f>IF(M122="","",VLOOKUP(M122,'G-6 Hedgerow Data'!$B$3:$AG$15,31,FALSE))</f>
        <v/>
      </c>
      <c r="AE122" s="520" t="str">
        <f t="shared" si="13"/>
        <v/>
      </c>
      <c r="AF122" s="520" t="str">
        <f t="shared" si="14"/>
        <v/>
      </c>
      <c r="AG122" s="524" t="str">
        <f>IFERROR(IF(O122="","",VLOOKUP(AD122,'G-3 Multipliers'!$P$3:$Q$6,2,FALSE)),"")</f>
        <v/>
      </c>
      <c r="AH122" s="197"/>
      <c r="AI122" s="499" t="str">
        <f>IF(AH122="","",IF(VLOOKUP(AH122,'G-3 Multipliers'!$S$3:$T$6,2,FALSE)=0,"Spatial Data Missing ⚠",VLOOKUP(AH122,'G-3 Multipliers'!$S$3:$T$6,2,FALSE)))</f>
        <v/>
      </c>
      <c r="AJ122" s="545" t="str">
        <f t="shared" si="15"/>
        <v/>
      </c>
      <c r="AK122" s="149"/>
      <c r="AL122" s="150"/>
      <c r="AP122" s="31" t="str">
        <f>IFERROR(INDEX('G-6 Hedgerow Data'!$BJ$3:$BJ$15,MATCH(M122,'G-6 Hedgerow Data'!$B$3:$B$15,0)),"")</f>
        <v/>
      </c>
    </row>
    <row r="123" spans="2:42" ht="14" x14ac:dyDescent="0.3">
      <c r="B123" s="531" t="str">
        <f>'E-1 Off Site Hedge Baseline'!AK121</f>
        <v/>
      </c>
      <c r="C123" s="520" t="str">
        <f>IF(B123="","",IF(ISNA(VLOOKUP($B123,'E-1 Off Site Hedge Baseline'!$B$1:$L$257,3,FALSE)),"",(VLOOKUP($B123,'E-1 Off Site Hedge Baseline'!$B$1:$L$257,3,FALSE))))</f>
        <v/>
      </c>
      <c r="D123" s="520" t="str">
        <f>IF(B123="","",IF(ISNA(VLOOKUP($B123,'E-1 Off Site Hedge Baseline'!$B$1:$L$258,4,FALSE)),"",(VLOOKUP($B123,'E-1 Off Site Hedge Baseline'!$B$1:$L$258,4,FALSE))))</f>
        <v/>
      </c>
      <c r="E123" s="520" t="str">
        <f>IF(B123="","",IF(ISNA(VLOOKUP($B123,'E-1 Off Site Hedge Baseline'!$B$1:$L$257,5,FALSE)),"",(VLOOKUP($B123,'E-1 Off Site Hedge Baseline'!$B$1:$L$257,5,FALSE))))</f>
        <v/>
      </c>
      <c r="F123" s="520" t="str">
        <f>IF(B123="","",IF(ISNA(VLOOKUP($B123,'E-1 Off Site Hedge Baseline'!$B$1:$L$257,6,FALSE)),"",(VLOOKUP($B123,'E-1 Off Site Hedge Baseline'!$B$1:$L$257,6,FALSE))))</f>
        <v/>
      </c>
      <c r="G123" s="520" t="str">
        <f>IF(B123="","",IF(ISNA(VLOOKUP($B123,'E-1 Off Site Hedge Baseline'!$B$1:$L$257,7,FALSE)),"",(VLOOKUP($B123,'E-1 Off Site Hedge Baseline'!$B$1:$L$257,7,FALSE))))</f>
        <v/>
      </c>
      <c r="H123" s="520" t="str">
        <f>IF(B123="","",IF(ISNA(VLOOKUP($B123,'E-1 Off Site Hedge Baseline'!$B$1:$L$257,8,FALSE)),"",(VLOOKUP($B123,'E-1 Off Site Hedge Baseline'!$B$1:$L$257,8,FALSE))))</f>
        <v/>
      </c>
      <c r="I123" s="520" t="str">
        <f>IF(B123="","",IF(ISNA(VLOOKUP($B123,'E-1 Off Site Hedge Baseline'!$B$1:$L$257,10,FALSE)),"",(VLOOKUP($B123,'E-1 Off Site Hedge Baseline'!$B$1:$L$257,10,FALSE))))</f>
        <v/>
      </c>
      <c r="J123" s="520" t="str">
        <f>IF(B123="","",IF(ISNA(VLOOKUP($B123,'E-1 Off Site Hedge Baseline'!$B$1:$L$257,11,FALSE)),"",(VLOOKUP($B123,'E-1 Off Site Hedge Baseline'!$B$1:$L$257,11,FALSE))))</f>
        <v/>
      </c>
      <c r="K123" s="520" t="str">
        <f>IF(B123="","",IF(ISNA(VLOOKUP($B123,'E-1 Off Site Hedge Baseline'!$B$1:$U$257,113,FALSE)),"",(VLOOKUP($B123,'E-1 Off Site Hedge Baseline'!$B$1:$U$257,13,FALSE))))</f>
        <v/>
      </c>
      <c r="L123" s="507" t="str">
        <f>IF(B123="","",IF(ISNA(VLOOKUP($B123,'E-1 Off Site Hedge Baseline'!$B$1:$U$257,12,FALSE)),"",(VLOOKUP($B123,'E-1 Off Site Hedge Baseline'!$B$1:$U$257,12,FALSE))))</f>
        <v/>
      </c>
      <c r="M123" s="418" t="str">
        <f t="shared" si="16"/>
        <v/>
      </c>
      <c r="N123" s="498" t="str">
        <f>IFERROR(IF(B123="","",INDEX('G-6 Hedgerow Data'!$AN$3:$AZ$15,MATCH(C123,'G-6 Hedgerow Data'!$AM$3:$AM$15,0),MATCH(M123,'G-6 Hedgerow Data'!$AN$2:$AZ$2,0))),"")</f>
        <v/>
      </c>
      <c r="O123" s="499" t="str">
        <f t="shared" si="10"/>
        <v/>
      </c>
      <c r="P123" s="505" t="str">
        <f>IF(B123="","",VLOOKUP(B123,'E-1 Off Site Hedge Baseline'!$B$10:T368,16,FALSE))</f>
        <v/>
      </c>
      <c r="Q123" s="498" t="str">
        <f>IF(M123="","",VLOOKUP(M123,'G-6 Hedgerow Data'!$B$2:$AG$15,2,FALSE))</f>
        <v/>
      </c>
      <c r="R123" s="499" t="str">
        <f>IF(M123="","",VLOOKUP(M123,'G-6 Hedgerow Data'!$B$2:$AG$15,3,FALSE))</f>
        <v/>
      </c>
      <c r="S123" s="145"/>
      <c r="T123" s="499" t="str">
        <f>IFERROR(IF(AND(Q123="V.Low",OR(S123="Good",S123="Moderate")),"Error ▲",VLOOKUP(S123,'G-1 All Habitats'!$Z$2:$AA$9,2,FALSE)),"")</f>
        <v/>
      </c>
      <c r="U123" s="145"/>
      <c r="V123" s="507" t="str">
        <f>IF(U123="","",IF(VLOOKUP(U123,'G-3 Multipliers'!$L$3:$N$6,2,FALSE)=0,"Spatial Data Missing ⚠",VLOOKUP(U123,'G-3 Multipliers'!$L$3:$N$6,2,FALSE)))</f>
        <v/>
      </c>
      <c r="W123" s="505" t="str">
        <f>IF(U123="","",IF(VLOOKUP(U123,'G-3 Multipliers'!$L$3:$N$6,3,FALSE)=0,"Spatial Data Missing ⚠",VLOOKUP(U123,'G-3 Multipliers'!$L$3:$N$6,3,FALSE)))</f>
        <v/>
      </c>
      <c r="X123" s="498" t="str">
        <f>IFERROR(IF(OR(LEFT(O123,5)="Error ▲",LEFT(N123,5)="Error ▲",T123="Error ▲"),"Check Data ⚠",IF(F123&lt;R123,INDEX('G-6 Hedgerow Data'!$S$3:$AE$14,MATCH(C123,'G-6 Hedgerow Data'!$B$3:$B$14,0),MATCH(M123,'G-6 Hedgerow Data'!$S$2:$AE$2,0)),INDEX('G-6 Hedgerow Data'!$K$3:$Q$14,MATCH(M123,'G-6 Hedgerow Data'!$B$3:$B$14,0),MATCH(O123,'G-6 Hedgerow Data'!$K$2:$Q$2,0)))),"")</f>
        <v/>
      </c>
      <c r="Y123" s="195"/>
      <c r="Z123" s="195"/>
      <c r="AA123" s="507" t="str">
        <f t="shared" si="11"/>
        <v/>
      </c>
      <c r="AB123" s="521" t="str">
        <f t="shared" si="12"/>
        <v/>
      </c>
      <c r="AC123" s="522" t="str">
        <f t="shared" si="9"/>
        <v/>
      </c>
      <c r="AD123" s="537" t="str">
        <f>IF(M123="","",VLOOKUP(M123,'G-6 Hedgerow Data'!$B$3:$AG$15,31,FALSE))</f>
        <v/>
      </c>
      <c r="AE123" s="520" t="str">
        <f t="shared" si="13"/>
        <v/>
      </c>
      <c r="AF123" s="520" t="str">
        <f t="shared" si="14"/>
        <v/>
      </c>
      <c r="AG123" s="524" t="str">
        <f>IFERROR(IF(O123="","",VLOOKUP(AD123,'G-3 Multipliers'!$P$3:$Q$6,2,FALSE)),"")</f>
        <v/>
      </c>
      <c r="AH123" s="197"/>
      <c r="AI123" s="499" t="str">
        <f>IF(AH123="","",IF(VLOOKUP(AH123,'G-3 Multipliers'!$S$3:$T$6,2,FALSE)=0,"Spatial Data Missing ⚠",VLOOKUP(AH123,'G-3 Multipliers'!$S$3:$T$6,2,FALSE)))</f>
        <v/>
      </c>
      <c r="AJ123" s="545" t="str">
        <f t="shared" si="15"/>
        <v/>
      </c>
      <c r="AK123" s="149"/>
      <c r="AL123" s="150"/>
      <c r="AP123" s="31" t="str">
        <f>IFERROR(INDEX('G-6 Hedgerow Data'!$BJ$3:$BJ$15,MATCH(M123,'G-6 Hedgerow Data'!$B$3:$B$15,0)),"")</f>
        <v/>
      </c>
    </row>
    <row r="124" spans="2:42" ht="14" x14ac:dyDescent="0.3">
      <c r="B124" s="531" t="str">
        <f>'E-1 Off Site Hedge Baseline'!AK122</f>
        <v/>
      </c>
      <c r="C124" s="520" t="str">
        <f>IF(B124="","",IF(ISNA(VLOOKUP($B124,'E-1 Off Site Hedge Baseline'!$B$1:$L$257,3,FALSE)),"",(VLOOKUP($B124,'E-1 Off Site Hedge Baseline'!$B$1:$L$257,3,FALSE))))</f>
        <v/>
      </c>
      <c r="D124" s="520" t="str">
        <f>IF(B124="","",IF(ISNA(VLOOKUP($B124,'E-1 Off Site Hedge Baseline'!$B$1:$L$258,4,FALSE)),"",(VLOOKUP($B124,'E-1 Off Site Hedge Baseline'!$B$1:$L$258,4,FALSE))))</f>
        <v/>
      </c>
      <c r="E124" s="520" t="str">
        <f>IF(B124="","",IF(ISNA(VLOOKUP($B124,'E-1 Off Site Hedge Baseline'!$B$1:$L$257,5,FALSE)),"",(VLOOKUP($B124,'E-1 Off Site Hedge Baseline'!$B$1:$L$257,5,FALSE))))</f>
        <v/>
      </c>
      <c r="F124" s="520" t="str">
        <f>IF(B124="","",IF(ISNA(VLOOKUP($B124,'E-1 Off Site Hedge Baseline'!$B$1:$L$257,6,FALSE)),"",(VLOOKUP($B124,'E-1 Off Site Hedge Baseline'!$B$1:$L$257,6,FALSE))))</f>
        <v/>
      </c>
      <c r="G124" s="520" t="str">
        <f>IF(B124="","",IF(ISNA(VLOOKUP($B124,'E-1 Off Site Hedge Baseline'!$B$1:$L$257,7,FALSE)),"",(VLOOKUP($B124,'E-1 Off Site Hedge Baseline'!$B$1:$L$257,7,FALSE))))</f>
        <v/>
      </c>
      <c r="H124" s="520" t="str">
        <f>IF(B124="","",IF(ISNA(VLOOKUP($B124,'E-1 Off Site Hedge Baseline'!$B$1:$L$257,8,FALSE)),"",(VLOOKUP($B124,'E-1 Off Site Hedge Baseline'!$B$1:$L$257,8,FALSE))))</f>
        <v/>
      </c>
      <c r="I124" s="520" t="str">
        <f>IF(B124="","",IF(ISNA(VLOOKUP($B124,'E-1 Off Site Hedge Baseline'!$B$1:$L$257,10,FALSE)),"",(VLOOKUP($B124,'E-1 Off Site Hedge Baseline'!$B$1:$L$257,10,FALSE))))</f>
        <v/>
      </c>
      <c r="J124" s="520" t="str">
        <f>IF(B124="","",IF(ISNA(VLOOKUP($B124,'E-1 Off Site Hedge Baseline'!$B$1:$L$257,11,FALSE)),"",(VLOOKUP($B124,'E-1 Off Site Hedge Baseline'!$B$1:$L$257,11,FALSE))))</f>
        <v/>
      </c>
      <c r="K124" s="520" t="str">
        <f>IF(B124="","",IF(ISNA(VLOOKUP($B124,'E-1 Off Site Hedge Baseline'!$B$1:$U$257,113,FALSE)),"",(VLOOKUP($B124,'E-1 Off Site Hedge Baseline'!$B$1:$U$257,13,FALSE))))</f>
        <v/>
      </c>
      <c r="L124" s="507" t="str">
        <f>IF(B124="","",IF(ISNA(VLOOKUP($B124,'E-1 Off Site Hedge Baseline'!$B$1:$U$257,12,FALSE)),"",(VLOOKUP($B124,'E-1 Off Site Hedge Baseline'!$B$1:$U$257,12,FALSE))))</f>
        <v/>
      </c>
      <c r="M124" s="418" t="str">
        <f t="shared" si="16"/>
        <v/>
      </c>
      <c r="N124" s="498" t="str">
        <f>IFERROR(IF(B124="","",INDEX('G-6 Hedgerow Data'!$AN$3:$AZ$15,MATCH(C124,'G-6 Hedgerow Data'!$AM$3:$AM$15,0),MATCH(M124,'G-6 Hedgerow Data'!$AN$2:$AZ$2,0))),"")</f>
        <v/>
      </c>
      <c r="O124" s="499" t="str">
        <f t="shared" si="10"/>
        <v/>
      </c>
      <c r="P124" s="505" t="str">
        <f>IF(B124="","",VLOOKUP(B124,'E-1 Off Site Hedge Baseline'!$B$10:T369,16,FALSE))</f>
        <v/>
      </c>
      <c r="Q124" s="498" t="str">
        <f>IF(M124="","",VLOOKUP(M124,'G-6 Hedgerow Data'!$B$2:$AG$15,2,FALSE))</f>
        <v/>
      </c>
      <c r="R124" s="499" t="str">
        <f>IF(M124="","",VLOOKUP(M124,'G-6 Hedgerow Data'!$B$2:$AG$15,3,FALSE))</f>
        <v/>
      </c>
      <c r="S124" s="145"/>
      <c r="T124" s="499" t="str">
        <f>IFERROR(IF(AND(Q124="V.Low",OR(S124="Good",S124="Moderate")),"Error ▲",VLOOKUP(S124,'G-1 All Habitats'!$Z$2:$AA$9,2,FALSE)),"")</f>
        <v/>
      </c>
      <c r="U124" s="145"/>
      <c r="V124" s="507" t="str">
        <f>IF(U124="","",IF(VLOOKUP(U124,'G-3 Multipliers'!$L$3:$N$6,2,FALSE)=0,"Spatial Data Missing ⚠",VLOOKUP(U124,'G-3 Multipliers'!$L$3:$N$6,2,FALSE)))</f>
        <v/>
      </c>
      <c r="W124" s="505" t="str">
        <f>IF(U124="","",IF(VLOOKUP(U124,'G-3 Multipliers'!$L$3:$N$6,3,FALSE)=0,"Spatial Data Missing ⚠",VLOOKUP(U124,'G-3 Multipliers'!$L$3:$N$6,3,FALSE)))</f>
        <v/>
      </c>
      <c r="X124" s="498" t="str">
        <f>IFERROR(IF(OR(LEFT(O124,5)="Error ▲",LEFT(N124,5)="Error ▲",T124="Error ▲"),"Check Data ⚠",IF(F124&lt;R124,INDEX('G-6 Hedgerow Data'!$S$3:$AE$14,MATCH(C124,'G-6 Hedgerow Data'!$B$3:$B$14,0),MATCH(M124,'G-6 Hedgerow Data'!$S$2:$AE$2,0)),INDEX('G-6 Hedgerow Data'!$K$3:$Q$14,MATCH(M124,'G-6 Hedgerow Data'!$B$3:$B$14,0),MATCH(O124,'G-6 Hedgerow Data'!$K$2:$Q$2,0)))),"")</f>
        <v/>
      </c>
      <c r="Y124" s="195"/>
      <c r="Z124" s="195"/>
      <c r="AA124" s="507" t="str">
        <f t="shared" si="11"/>
        <v/>
      </c>
      <c r="AB124" s="521" t="str">
        <f t="shared" si="12"/>
        <v/>
      </c>
      <c r="AC124" s="522" t="str">
        <f t="shared" si="9"/>
        <v/>
      </c>
      <c r="AD124" s="537" t="str">
        <f>IF(M124="","",VLOOKUP(M124,'G-6 Hedgerow Data'!$B$3:$AG$15,31,FALSE))</f>
        <v/>
      </c>
      <c r="AE124" s="520" t="str">
        <f t="shared" si="13"/>
        <v/>
      </c>
      <c r="AF124" s="520" t="str">
        <f t="shared" si="14"/>
        <v/>
      </c>
      <c r="AG124" s="524" t="str">
        <f>IFERROR(IF(O124="","",VLOOKUP(AD124,'G-3 Multipliers'!$P$3:$Q$6,2,FALSE)),"")</f>
        <v/>
      </c>
      <c r="AH124" s="197"/>
      <c r="AI124" s="499" t="str">
        <f>IF(AH124="","",IF(VLOOKUP(AH124,'G-3 Multipliers'!$S$3:$T$6,2,FALSE)=0,"Spatial Data Missing ⚠",VLOOKUP(AH124,'G-3 Multipliers'!$S$3:$T$6,2,FALSE)))</f>
        <v/>
      </c>
      <c r="AJ124" s="545" t="str">
        <f t="shared" si="15"/>
        <v/>
      </c>
      <c r="AK124" s="149"/>
      <c r="AL124" s="150"/>
      <c r="AP124" s="31" t="str">
        <f>IFERROR(INDEX('G-6 Hedgerow Data'!$BJ$3:$BJ$15,MATCH(M124,'G-6 Hedgerow Data'!$B$3:$B$15,0)),"")</f>
        <v/>
      </c>
    </row>
    <row r="125" spans="2:42" ht="14" x14ac:dyDescent="0.3">
      <c r="B125" s="531" t="str">
        <f>'E-1 Off Site Hedge Baseline'!AK123</f>
        <v/>
      </c>
      <c r="C125" s="520" t="str">
        <f>IF(B125="","",IF(ISNA(VLOOKUP($B125,'E-1 Off Site Hedge Baseline'!$B$1:$L$257,3,FALSE)),"",(VLOOKUP($B125,'E-1 Off Site Hedge Baseline'!$B$1:$L$257,3,FALSE))))</f>
        <v/>
      </c>
      <c r="D125" s="520" t="str">
        <f>IF(B125="","",IF(ISNA(VLOOKUP($B125,'E-1 Off Site Hedge Baseline'!$B$1:$L$258,4,FALSE)),"",(VLOOKUP($B125,'E-1 Off Site Hedge Baseline'!$B$1:$L$258,4,FALSE))))</f>
        <v/>
      </c>
      <c r="E125" s="520" t="str">
        <f>IF(B125="","",IF(ISNA(VLOOKUP($B125,'E-1 Off Site Hedge Baseline'!$B$1:$L$257,5,FALSE)),"",(VLOOKUP($B125,'E-1 Off Site Hedge Baseline'!$B$1:$L$257,5,FALSE))))</f>
        <v/>
      </c>
      <c r="F125" s="520" t="str">
        <f>IF(B125="","",IF(ISNA(VLOOKUP($B125,'E-1 Off Site Hedge Baseline'!$B$1:$L$257,6,FALSE)),"",(VLOOKUP($B125,'E-1 Off Site Hedge Baseline'!$B$1:$L$257,6,FALSE))))</f>
        <v/>
      </c>
      <c r="G125" s="520" t="str">
        <f>IF(B125="","",IF(ISNA(VLOOKUP($B125,'E-1 Off Site Hedge Baseline'!$B$1:$L$257,7,FALSE)),"",(VLOOKUP($B125,'E-1 Off Site Hedge Baseline'!$B$1:$L$257,7,FALSE))))</f>
        <v/>
      </c>
      <c r="H125" s="520" t="str">
        <f>IF(B125="","",IF(ISNA(VLOOKUP($B125,'E-1 Off Site Hedge Baseline'!$B$1:$L$257,8,FALSE)),"",(VLOOKUP($B125,'E-1 Off Site Hedge Baseline'!$B$1:$L$257,8,FALSE))))</f>
        <v/>
      </c>
      <c r="I125" s="520" t="str">
        <f>IF(B125="","",IF(ISNA(VLOOKUP($B125,'E-1 Off Site Hedge Baseline'!$B$1:$L$257,10,FALSE)),"",(VLOOKUP($B125,'E-1 Off Site Hedge Baseline'!$B$1:$L$257,10,FALSE))))</f>
        <v/>
      </c>
      <c r="J125" s="520" t="str">
        <f>IF(B125="","",IF(ISNA(VLOOKUP($B125,'E-1 Off Site Hedge Baseline'!$B$1:$L$257,11,FALSE)),"",(VLOOKUP($B125,'E-1 Off Site Hedge Baseline'!$B$1:$L$257,11,FALSE))))</f>
        <v/>
      </c>
      <c r="K125" s="520" t="str">
        <f>IF(B125="","",IF(ISNA(VLOOKUP($B125,'E-1 Off Site Hedge Baseline'!$B$1:$U$257,113,FALSE)),"",(VLOOKUP($B125,'E-1 Off Site Hedge Baseline'!$B$1:$U$257,13,FALSE))))</f>
        <v/>
      </c>
      <c r="L125" s="507" t="str">
        <f>IF(B125="","",IF(ISNA(VLOOKUP($B125,'E-1 Off Site Hedge Baseline'!$B$1:$U$257,12,FALSE)),"",(VLOOKUP($B125,'E-1 Off Site Hedge Baseline'!$B$1:$U$257,12,FALSE))))</f>
        <v/>
      </c>
      <c r="M125" s="418" t="str">
        <f t="shared" si="16"/>
        <v/>
      </c>
      <c r="N125" s="498" t="str">
        <f>IFERROR(IF(B125="","",INDEX('G-6 Hedgerow Data'!$AN$3:$AZ$15,MATCH(C125,'G-6 Hedgerow Data'!$AM$3:$AM$15,0),MATCH(M125,'G-6 Hedgerow Data'!$AN$2:$AZ$2,0))),"")</f>
        <v/>
      </c>
      <c r="O125" s="499" t="str">
        <f t="shared" si="10"/>
        <v/>
      </c>
      <c r="P125" s="505" t="str">
        <f>IF(B125="","",VLOOKUP(B125,'E-1 Off Site Hedge Baseline'!$B$10:T370,16,FALSE))</f>
        <v/>
      </c>
      <c r="Q125" s="498" t="str">
        <f>IF(M125="","",VLOOKUP(M125,'G-6 Hedgerow Data'!$B$2:$AG$15,2,FALSE))</f>
        <v/>
      </c>
      <c r="R125" s="499" t="str">
        <f>IF(M125="","",VLOOKUP(M125,'G-6 Hedgerow Data'!$B$2:$AG$15,3,FALSE))</f>
        <v/>
      </c>
      <c r="S125" s="145"/>
      <c r="T125" s="499" t="str">
        <f>IFERROR(IF(AND(Q125="V.Low",OR(S125="Good",S125="Moderate")),"Error ▲",VLOOKUP(S125,'G-1 All Habitats'!$Z$2:$AA$9,2,FALSE)),"")</f>
        <v/>
      </c>
      <c r="U125" s="145"/>
      <c r="V125" s="507" t="str">
        <f>IF(U125="","",IF(VLOOKUP(U125,'G-3 Multipliers'!$L$3:$N$6,2,FALSE)=0,"Spatial Data Missing ⚠",VLOOKUP(U125,'G-3 Multipliers'!$L$3:$N$6,2,FALSE)))</f>
        <v/>
      </c>
      <c r="W125" s="505" t="str">
        <f>IF(U125="","",IF(VLOOKUP(U125,'G-3 Multipliers'!$L$3:$N$6,3,FALSE)=0,"Spatial Data Missing ⚠",VLOOKUP(U125,'G-3 Multipliers'!$L$3:$N$6,3,FALSE)))</f>
        <v/>
      </c>
      <c r="X125" s="498" t="str">
        <f>IFERROR(IF(OR(LEFT(O125,5)="Error ▲",LEFT(N125,5)="Error ▲",T125="Error ▲"),"Check Data ⚠",IF(F125&lt;R125,INDEX('G-6 Hedgerow Data'!$S$3:$AE$14,MATCH(C125,'G-6 Hedgerow Data'!$B$3:$B$14,0),MATCH(M125,'G-6 Hedgerow Data'!$S$2:$AE$2,0)),INDEX('G-6 Hedgerow Data'!$K$3:$Q$14,MATCH(M125,'G-6 Hedgerow Data'!$B$3:$B$14,0),MATCH(O125,'G-6 Hedgerow Data'!$K$2:$Q$2,0)))),"")</f>
        <v/>
      </c>
      <c r="Y125" s="195"/>
      <c r="Z125" s="195"/>
      <c r="AA125" s="507" t="str">
        <f t="shared" si="11"/>
        <v/>
      </c>
      <c r="AB125" s="521" t="str">
        <f t="shared" si="12"/>
        <v/>
      </c>
      <c r="AC125" s="522" t="str">
        <f t="shared" si="9"/>
        <v/>
      </c>
      <c r="AD125" s="537" t="str">
        <f>IF(M125="","",VLOOKUP(M125,'G-6 Hedgerow Data'!$B$3:$AG$15,31,FALSE))</f>
        <v/>
      </c>
      <c r="AE125" s="520" t="str">
        <f t="shared" si="13"/>
        <v/>
      </c>
      <c r="AF125" s="520" t="str">
        <f t="shared" si="14"/>
        <v/>
      </c>
      <c r="AG125" s="524" t="str">
        <f>IFERROR(IF(O125="","",VLOOKUP(AD125,'G-3 Multipliers'!$P$3:$Q$6,2,FALSE)),"")</f>
        <v/>
      </c>
      <c r="AH125" s="197"/>
      <c r="AI125" s="499" t="str">
        <f>IF(AH125="","",IF(VLOOKUP(AH125,'G-3 Multipliers'!$S$3:$T$6,2,FALSE)=0,"Spatial Data Missing ⚠",VLOOKUP(AH125,'G-3 Multipliers'!$S$3:$T$6,2,FALSE)))</f>
        <v/>
      </c>
      <c r="AJ125" s="545" t="str">
        <f t="shared" si="15"/>
        <v/>
      </c>
      <c r="AK125" s="149"/>
      <c r="AL125" s="150"/>
      <c r="AP125" s="31" t="str">
        <f>IFERROR(INDEX('G-6 Hedgerow Data'!$BJ$3:$BJ$15,MATCH(M125,'G-6 Hedgerow Data'!$B$3:$B$15,0)),"")</f>
        <v/>
      </c>
    </row>
    <row r="126" spans="2:42" ht="14" x14ac:dyDescent="0.3">
      <c r="B126" s="531" t="str">
        <f>'E-1 Off Site Hedge Baseline'!AK124</f>
        <v/>
      </c>
      <c r="C126" s="520" t="str">
        <f>IF(B126="","",IF(ISNA(VLOOKUP($B126,'E-1 Off Site Hedge Baseline'!$B$1:$L$257,3,FALSE)),"",(VLOOKUP($B126,'E-1 Off Site Hedge Baseline'!$B$1:$L$257,3,FALSE))))</f>
        <v/>
      </c>
      <c r="D126" s="520" t="str">
        <f>IF(B126="","",IF(ISNA(VLOOKUP($B126,'E-1 Off Site Hedge Baseline'!$B$1:$L$258,4,FALSE)),"",(VLOOKUP($B126,'E-1 Off Site Hedge Baseline'!$B$1:$L$258,4,FALSE))))</f>
        <v/>
      </c>
      <c r="E126" s="520" t="str">
        <f>IF(B126="","",IF(ISNA(VLOOKUP($B126,'E-1 Off Site Hedge Baseline'!$B$1:$L$257,5,FALSE)),"",(VLOOKUP($B126,'E-1 Off Site Hedge Baseline'!$B$1:$L$257,5,FALSE))))</f>
        <v/>
      </c>
      <c r="F126" s="520" t="str">
        <f>IF(B126="","",IF(ISNA(VLOOKUP($B126,'E-1 Off Site Hedge Baseline'!$B$1:$L$257,6,FALSE)),"",(VLOOKUP($B126,'E-1 Off Site Hedge Baseline'!$B$1:$L$257,6,FALSE))))</f>
        <v/>
      </c>
      <c r="G126" s="520" t="str">
        <f>IF(B126="","",IF(ISNA(VLOOKUP($B126,'E-1 Off Site Hedge Baseline'!$B$1:$L$257,7,FALSE)),"",(VLOOKUP($B126,'E-1 Off Site Hedge Baseline'!$B$1:$L$257,7,FALSE))))</f>
        <v/>
      </c>
      <c r="H126" s="520" t="str">
        <f>IF(B126="","",IF(ISNA(VLOOKUP($B126,'E-1 Off Site Hedge Baseline'!$B$1:$L$257,8,FALSE)),"",(VLOOKUP($B126,'E-1 Off Site Hedge Baseline'!$B$1:$L$257,8,FALSE))))</f>
        <v/>
      </c>
      <c r="I126" s="520" t="str">
        <f>IF(B126="","",IF(ISNA(VLOOKUP($B126,'E-1 Off Site Hedge Baseline'!$B$1:$L$257,10,FALSE)),"",(VLOOKUP($B126,'E-1 Off Site Hedge Baseline'!$B$1:$L$257,10,FALSE))))</f>
        <v/>
      </c>
      <c r="J126" s="520" t="str">
        <f>IF(B126="","",IF(ISNA(VLOOKUP($B126,'E-1 Off Site Hedge Baseline'!$B$1:$L$257,11,FALSE)),"",(VLOOKUP($B126,'E-1 Off Site Hedge Baseline'!$B$1:$L$257,11,FALSE))))</f>
        <v/>
      </c>
      <c r="K126" s="520" t="str">
        <f>IF(B126="","",IF(ISNA(VLOOKUP($B126,'E-1 Off Site Hedge Baseline'!$B$1:$U$257,113,FALSE)),"",(VLOOKUP($B126,'E-1 Off Site Hedge Baseline'!$B$1:$U$257,13,FALSE))))</f>
        <v/>
      </c>
      <c r="L126" s="507" t="str">
        <f>IF(B126="","",IF(ISNA(VLOOKUP($B126,'E-1 Off Site Hedge Baseline'!$B$1:$U$257,12,FALSE)),"",(VLOOKUP($B126,'E-1 Off Site Hedge Baseline'!$B$1:$U$257,12,FALSE))))</f>
        <v/>
      </c>
      <c r="M126" s="418" t="str">
        <f t="shared" si="16"/>
        <v/>
      </c>
      <c r="N126" s="498" t="str">
        <f>IFERROR(IF(B126="","",INDEX('G-6 Hedgerow Data'!$AN$3:$AZ$15,MATCH(C126,'G-6 Hedgerow Data'!$AM$3:$AM$15,0),MATCH(M126,'G-6 Hedgerow Data'!$AN$2:$AZ$2,0))),"")</f>
        <v/>
      </c>
      <c r="O126" s="499" t="str">
        <f t="shared" si="10"/>
        <v/>
      </c>
      <c r="P126" s="505" t="str">
        <f>IF(B126="","",VLOOKUP(B126,'E-1 Off Site Hedge Baseline'!$B$10:T371,16,FALSE))</f>
        <v/>
      </c>
      <c r="Q126" s="498" t="str">
        <f>IF(M126="","",VLOOKUP(M126,'G-6 Hedgerow Data'!$B$2:$AG$15,2,FALSE))</f>
        <v/>
      </c>
      <c r="R126" s="499" t="str">
        <f>IF(M126="","",VLOOKUP(M126,'G-6 Hedgerow Data'!$B$2:$AG$15,3,FALSE))</f>
        <v/>
      </c>
      <c r="S126" s="145"/>
      <c r="T126" s="499" t="str">
        <f>IFERROR(IF(AND(Q126="V.Low",OR(S126="Good",S126="Moderate")),"Error ▲",VLOOKUP(S126,'G-1 All Habitats'!$Z$2:$AA$9,2,FALSE)),"")</f>
        <v/>
      </c>
      <c r="U126" s="145"/>
      <c r="V126" s="507" t="str">
        <f>IF(U126="","",IF(VLOOKUP(U126,'G-3 Multipliers'!$L$3:$N$6,2,FALSE)=0,"Spatial Data Missing ⚠",VLOOKUP(U126,'G-3 Multipliers'!$L$3:$N$6,2,FALSE)))</f>
        <v/>
      </c>
      <c r="W126" s="505" t="str">
        <f>IF(U126="","",IF(VLOOKUP(U126,'G-3 Multipliers'!$L$3:$N$6,3,FALSE)=0,"Spatial Data Missing ⚠",VLOOKUP(U126,'G-3 Multipliers'!$L$3:$N$6,3,FALSE)))</f>
        <v/>
      </c>
      <c r="X126" s="498" t="str">
        <f>IFERROR(IF(OR(LEFT(O126,5)="Error ▲",LEFT(N126,5)="Error ▲",T126="Error ▲"),"Check Data ⚠",IF(F126&lt;R126,INDEX('G-6 Hedgerow Data'!$S$3:$AE$14,MATCH(C126,'G-6 Hedgerow Data'!$B$3:$B$14,0),MATCH(M126,'G-6 Hedgerow Data'!$S$2:$AE$2,0)),INDEX('G-6 Hedgerow Data'!$K$3:$Q$14,MATCH(M126,'G-6 Hedgerow Data'!$B$3:$B$14,0),MATCH(O126,'G-6 Hedgerow Data'!$K$2:$Q$2,0)))),"")</f>
        <v/>
      </c>
      <c r="Y126" s="195"/>
      <c r="Z126" s="195"/>
      <c r="AA126" s="507" t="str">
        <f t="shared" si="11"/>
        <v/>
      </c>
      <c r="AB126" s="521" t="str">
        <f t="shared" si="12"/>
        <v/>
      </c>
      <c r="AC126" s="522" t="str">
        <f t="shared" si="9"/>
        <v/>
      </c>
      <c r="AD126" s="537" t="str">
        <f>IF(M126="","",VLOOKUP(M126,'G-6 Hedgerow Data'!$B$3:$AG$15,31,FALSE))</f>
        <v/>
      </c>
      <c r="AE126" s="520" t="str">
        <f t="shared" si="13"/>
        <v/>
      </c>
      <c r="AF126" s="520" t="str">
        <f t="shared" si="14"/>
        <v/>
      </c>
      <c r="AG126" s="524" t="str">
        <f>IFERROR(IF(O126="","",VLOOKUP(AD126,'G-3 Multipliers'!$P$3:$Q$6,2,FALSE)),"")</f>
        <v/>
      </c>
      <c r="AH126" s="197"/>
      <c r="AI126" s="499" t="str">
        <f>IF(AH126="","",IF(VLOOKUP(AH126,'G-3 Multipliers'!$S$3:$T$6,2,FALSE)=0,"Spatial Data Missing ⚠",VLOOKUP(AH126,'G-3 Multipliers'!$S$3:$T$6,2,FALSE)))</f>
        <v/>
      </c>
      <c r="AJ126" s="545" t="str">
        <f t="shared" si="15"/>
        <v/>
      </c>
      <c r="AK126" s="149"/>
      <c r="AL126" s="150"/>
      <c r="AP126" s="31" t="str">
        <f>IFERROR(INDEX('G-6 Hedgerow Data'!$BJ$3:$BJ$15,MATCH(M126,'G-6 Hedgerow Data'!$B$3:$B$15,0)),"")</f>
        <v/>
      </c>
    </row>
    <row r="127" spans="2:42" ht="14" x14ac:dyDescent="0.3">
      <c r="B127" s="531" t="str">
        <f>'E-1 Off Site Hedge Baseline'!AK125</f>
        <v/>
      </c>
      <c r="C127" s="520" t="str">
        <f>IF(B127="","",IF(ISNA(VLOOKUP($B127,'E-1 Off Site Hedge Baseline'!$B$1:$L$257,3,FALSE)),"",(VLOOKUP($B127,'E-1 Off Site Hedge Baseline'!$B$1:$L$257,3,FALSE))))</f>
        <v/>
      </c>
      <c r="D127" s="520" t="str">
        <f>IF(B127="","",IF(ISNA(VLOOKUP($B127,'E-1 Off Site Hedge Baseline'!$B$1:$L$258,4,FALSE)),"",(VLOOKUP($B127,'E-1 Off Site Hedge Baseline'!$B$1:$L$258,4,FALSE))))</f>
        <v/>
      </c>
      <c r="E127" s="520" t="str">
        <f>IF(B127="","",IF(ISNA(VLOOKUP($B127,'E-1 Off Site Hedge Baseline'!$B$1:$L$257,5,FALSE)),"",(VLOOKUP($B127,'E-1 Off Site Hedge Baseline'!$B$1:$L$257,5,FALSE))))</f>
        <v/>
      </c>
      <c r="F127" s="520" t="str">
        <f>IF(B127="","",IF(ISNA(VLOOKUP($B127,'E-1 Off Site Hedge Baseline'!$B$1:$L$257,6,FALSE)),"",(VLOOKUP($B127,'E-1 Off Site Hedge Baseline'!$B$1:$L$257,6,FALSE))))</f>
        <v/>
      </c>
      <c r="G127" s="520" t="str">
        <f>IF(B127="","",IF(ISNA(VLOOKUP($B127,'E-1 Off Site Hedge Baseline'!$B$1:$L$257,7,FALSE)),"",(VLOOKUP($B127,'E-1 Off Site Hedge Baseline'!$B$1:$L$257,7,FALSE))))</f>
        <v/>
      </c>
      <c r="H127" s="520" t="str">
        <f>IF(B127="","",IF(ISNA(VLOOKUP($B127,'E-1 Off Site Hedge Baseline'!$B$1:$L$257,8,FALSE)),"",(VLOOKUP($B127,'E-1 Off Site Hedge Baseline'!$B$1:$L$257,8,FALSE))))</f>
        <v/>
      </c>
      <c r="I127" s="520" t="str">
        <f>IF(B127="","",IF(ISNA(VLOOKUP($B127,'E-1 Off Site Hedge Baseline'!$B$1:$L$257,10,FALSE)),"",(VLOOKUP($B127,'E-1 Off Site Hedge Baseline'!$B$1:$L$257,10,FALSE))))</f>
        <v/>
      </c>
      <c r="J127" s="520" t="str">
        <f>IF(B127="","",IF(ISNA(VLOOKUP($B127,'E-1 Off Site Hedge Baseline'!$B$1:$L$257,11,FALSE)),"",(VLOOKUP($B127,'E-1 Off Site Hedge Baseline'!$B$1:$L$257,11,FALSE))))</f>
        <v/>
      </c>
      <c r="K127" s="520" t="str">
        <f>IF(B127="","",IF(ISNA(VLOOKUP($B127,'E-1 Off Site Hedge Baseline'!$B$1:$U$257,113,FALSE)),"",(VLOOKUP($B127,'E-1 Off Site Hedge Baseline'!$B$1:$U$257,13,FALSE))))</f>
        <v/>
      </c>
      <c r="L127" s="507" t="str">
        <f>IF(B127="","",IF(ISNA(VLOOKUP($B127,'E-1 Off Site Hedge Baseline'!$B$1:$U$257,12,FALSE)),"",(VLOOKUP($B127,'E-1 Off Site Hedge Baseline'!$B$1:$U$257,12,FALSE))))</f>
        <v/>
      </c>
      <c r="M127" s="418" t="str">
        <f t="shared" si="16"/>
        <v/>
      </c>
      <c r="N127" s="498" t="str">
        <f>IFERROR(IF(B127="","",INDEX('G-6 Hedgerow Data'!$AN$3:$AZ$15,MATCH(C127,'G-6 Hedgerow Data'!$AM$3:$AM$15,0),MATCH(M127,'G-6 Hedgerow Data'!$AN$2:$AZ$2,0))),"")</f>
        <v/>
      </c>
      <c r="O127" s="499" t="str">
        <f t="shared" si="10"/>
        <v/>
      </c>
      <c r="P127" s="505" t="str">
        <f>IF(B127="","",VLOOKUP(B127,'E-1 Off Site Hedge Baseline'!$B$10:T372,16,FALSE))</f>
        <v/>
      </c>
      <c r="Q127" s="498" t="str">
        <f>IF(M127="","",VLOOKUP(M127,'G-6 Hedgerow Data'!$B$2:$AG$15,2,FALSE))</f>
        <v/>
      </c>
      <c r="R127" s="499" t="str">
        <f>IF(M127="","",VLOOKUP(M127,'G-6 Hedgerow Data'!$B$2:$AG$15,3,FALSE))</f>
        <v/>
      </c>
      <c r="S127" s="145"/>
      <c r="T127" s="499" t="str">
        <f>IFERROR(IF(AND(Q127="V.Low",OR(S127="Good",S127="Moderate")),"Error ▲",VLOOKUP(S127,'G-1 All Habitats'!$Z$2:$AA$9,2,FALSE)),"")</f>
        <v/>
      </c>
      <c r="U127" s="145"/>
      <c r="V127" s="507" t="str">
        <f>IF(U127="","",IF(VLOOKUP(U127,'G-3 Multipliers'!$L$3:$N$6,2,FALSE)=0,"Spatial Data Missing ⚠",VLOOKUP(U127,'G-3 Multipliers'!$L$3:$N$6,2,FALSE)))</f>
        <v/>
      </c>
      <c r="W127" s="505" t="str">
        <f>IF(U127="","",IF(VLOOKUP(U127,'G-3 Multipliers'!$L$3:$N$6,3,FALSE)=0,"Spatial Data Missing ⚠",VLOOKUP(U127,'G-3 Multipliers'!$L$3:$N$6,3,FALSE)))</f>
        <v/>
      </c>
      <c r="X127" s="498" t="str">
        <f>IFERROR(IF(OR(LEFT(O127,5)="Error ▲",LEFT(N127,5)="Error ▲",T127="Error ▲"),"Check Data ⚠",IF(F127&lt;R127,INDEX('G-6 Hedgerow Data'!$S$3:$AE$14,MATCH(C127,'G-6 Hedgerow Data'!$B$3:$B$14,0),MATCH(M127,'G-6 Hedgerow Data'!$S$2:$AE$2,0)),INDEX('G-6 Hedgerow Data'!$K$3:$Q$14,MATCH(M127,'G-6 Hedgerow Data'!$B$3:$B$14,0),MATCH(O127,'G-6 Hedgerow Data'!$K$2:$Q$2,0)))),"")</f>
        <v/>
      </c>
      <c r="Y127" s="195"/>
      <c r="Z127" s="195"/>
      <c r="AA127" s="507" t="str">
        <f t="shared" si="11"/>
        <v/>
      </c>
      <c r="AB127" s="521" t="str">
        <f t="shared" si="12"/>
        <v/>
      </c>
      <c r="AC127" s="522" t="str">
        <f t="shared" si="9"/>
        <v/>
      </c>
      <c r="AD127" s="537" t="str">
        <f>IF(M127="","",VLOOKUP(M127,'G-6 Hedgerow Data'!$B$3:$AG$15,31,FALSE))</f>
        <v/>
      </c>
      <c r="AE127" s="520" t="str">
        <f t="shared" si="13"/>
        <v/>
      </c>
      <c r="AF127" s="520" t="str">
        <f t="shared" si="14"/>
        <v/>
      </c>
      <c r="AG127" s="524" t="str">
        <f>IFERROR(IF(O127="","",VLOOKUP(AD127,'G-3 Multipliers'!$P$3:$Q$6,2,FALSE)),"")</f>
        <v/>
      </c>
      <c r="AH127" s="197"/>
      <c r="AI127" s="499" t="str">
        <f>IF(AH127="","",IF(VLOOKUP(AH127,'G-3 Multipliers'!$S$3:$T$6,2,FALSE)=0,"Spatial Data Missing ⚠",VLOOKUP(AH127,'G-3 Multipliers'!$S$3:$T$6,2,FALSE)))</f>
        <v/>
      </c>
      <c r="AJ127" s="545" t="str">
        <f t="shared" si="15"/>
        <v/>
      </c>
      <c r="AK127" s="149"/>
      <c r="AL127" s="150"/>
      <c r="AP127" s="31" t="str">
        <f>IFERROR(INDEX('G-6 Hedgerow Data'!$BJ$3:$BJ$15,MATCH(M127,'G-6 Hedgerow Data'!$B$3:$B$15,0)),"")</f>
        <v/>
      </c>
    </row>
    <row r="128" spans="2:42" ht="14" x14ac:dyDescent="0.3">
      <c r="B128" s="531" t="str">
        <f>'E-1 Off Site Hedge Baseline'!AK126</f>
        <v/>
      </c>
      <c r="C128" s="520" t="str">
        <f>IF(B128="","",IF(ISNA(VLOOKUP($B128,'E-1 Off Site Hedge Baseline'!$B$1:$L$257,3,FALSE)),"",(VLOOKUP($B128,'E-1 Off Site Hedge Baseline'!$B$1:$L$257,3,FALSE))))</f>
        <v/>
      </c>
      <c r="D128" s="520" t="str">
        <f>IF(B128="","",IF(ISNA(VLOOKUP($B128,'E-1 Off Site Hedge Baseline'!$B$1:$L$258,4,FALSE)),"",(VLOOKUP($B128,'E-1 Off Site Hedge Baseline'!$B$1:$L$258,4,FALSE))))</f>
        <v/>
      </c>
      <c r="E128" s="520" t="str">
        <f>IF(B128="","",IF(ISNA(VLOOKUP($B128,'E-1 Off Site Hedge Baseline'!$B$1:$L$257,5,FALSE)),"",(VLOOKUP($B128,'E-1 Off Site Hedge Baseline'!$B$1:$L$257,5,FALSE))))</f>
        <v/>
      </c>
      <c r="F128" s="520" t="str">
        <f>IF(B128="","",IF(ISNA(VLOOKUP($B128,'E-1 Off Site Hedge Baseline'!$B$1:$L$257,6,FALSE)),"",(VLOOKUP($B128,'E-1 Off Site Hedge Baseline'!$B$1:$L$257,6,FALSE))))</f>
        <v/>
      </c>
      <c r="G128" s="520" t="str">
        <f>IF(B128="","",IF(ISNA(VLOOKUP($B128,'E-1 Off Site Hedge Baseline'!$B$1:$L$257,7,FALSE)),"",(VLOOKUP($B128,'E-1 Off Site Hedge Baseline'!$B$1:$L$257,7,FALSE))))</f>
        <v/>
      </c>
      <c r="H128" s="520" t="str">
        <f>IF(B128="","",IF(ISNA(VLOOKUP($B128,'E-1 Off Site Hedge Baseline'!$B$1:$L$257,8,FALSE)),"",(VLOOKUP($B128,'E-1 Off Site Hedge Baseline'!$B$1:$L$257,8,FALSE))))</f>
        <v/>
      </c>
      <c r="I128" s="520" t="str">
        <f>IF(B128="","",IF(ISNA(VLOOKUP($B128,'E-1 Off Site Hedge Baseline'!$B$1:$L$257,10,FALSE)),"",(VLOOKUP($B128,'E-1 Off Site Hedge Baseline'!$B$1:$L$257,10,FALSE))))</f>
        <v/>
      </c>
      <c r="J128" s="520" t="str">
        <f>IF(B128="","",IF(ISNA(VLOOKUP($B128,'E-1 Off Site Hedge Baseline'!$B$1:$L$257,11,FALSE)),"",(VLOOKUP($B128,'E-1 Off Site Hedge Baseline'!$B$1:$L$257,11,FALSE))))</f>
        <v/>
      </c>
      <c r="K128" s="520" t="str">
        <f>IF(B128="","",IF(ISNA(VLOOKUP($B128,'E-1 Off Site Hedge Baseline'!$B$1:$U$257,113,FALSE)),"",(VLOOKUP($B128,'E-1 Off Site Hedge Baseline'!$B$1:$U$257,13,FALSE))))</f>
        <v/>
      </c>
      <c r="L128" s="507" t="str">
        <f>IF(B128="","",IF(ISNA(VLOOKUP($B128,'E-1 Off Site Hedge Baseline'!$B$1:$U$257,12,FALSE)),"",(VLOOKUP($B128,'E-1 Off Site Hedge Baseline'!$B$1:$U$257,12,FALSE))))</f>
        <v/>
      </c>
      <c r="M128" s="418" t="str">
        <f t="shared" si="16"/>
        <v/>
      </c>
      <c r="N128" s="498" t="str">
        <f>IFERROR(IF(B128="","",INDEX('G-6 Hedgerow Data'!$AN$3:$AZ$15,MATCH(C128,'G-6 Hedgerow Data'!$AM$3:$AM$15,0),MATCH(M128,'G-6 Hedgerow Data'!$AN$2:$AZ$2,0))),"")</f>
        <v/>
      </c>
      <c r="O128" s="499" t="str">
        <f t="shared" si="10"/>
        <v/>
      </c>
      <c r="P128" s="505" t="str">
        <f>IF(B128="","",VLOOKUP(B128,'E-1 Off Site Hedge Baseline'!$B$10:T373,16,FALSE))</f>
        <v/>
      </c>
      <c r="Q128" s="498" t="str">
        <f>IF(M128="","",VLOOKUP(M128,'G-6 Hedgerow Data'!$B$2:$AG$15,2,FALSE))</f>
        <v/>
      </c>
      <c r="R128" s="499" t="str">
        <f>IF(M128="","",VLOOKUP(M128,'G-6 Hedgerow Data'!$B$2:$AG$15,3,FALSE))</f>
        <v/>
      </c>
      <c r="S128" s="145"/>
      <c r="T128" s="499" t="str">
        <f>IFERROR(IF(AND(Q128="V.Low",OR(S128="Good",S128="Moderate")),"Error ▲",VLOOKUP(S128,'G-1 All Habitats'!$Z$2:$AA$9,2,FALSE)),"")</f>
        <v/>
      </c>
      <c r="U128" s="145"/>
      <c r="V128" s="507" t="str">
        <f>IF(U128="","",IF(VLOOKUP(U128,'G-3 Multipliers'!$L$3:$N$6,2,FALSE)=0,"Spatial Data Missing ⚠",VLOOKUP(U128,'G-3 Multipliers'!$L$3:$N$6,2,FALSE)))</f>
        <v/>
      </c>
      <c r="W128" s="505" t="str">
        <f>IF(U128="","",IF(VLOOKUP(U128,'G-3 Multipliers'!$L$3:$N$6,3,FALSE)=0,"Spatial Data Missing ⚠",VLOOKUP(U128,'G-3 Multipliers'!$L$3:$N$6,3,FALSE)))</f>
        <v/>
      </c>
      <c r="X128" s="498" t="str">
        <f>IFERROR(IF(OR(LEFT(O128,5)="Error ▲",LEFT(N128,5)="Error ▲",T128="Error ▲"),"Check Data ⚠",IF(F128&lt;R128,INDEX('G-6 Hedgerow Data'!$S$3:$AE$14,MATCH(C128,'G-6 Hedgerow Data'!$B$3:$B$14,0),MATCH(M128,'G-6 Hedgerow Data'!$S$2:$AE$2,0)),INDEX('G-6 Hedgerow Data'!$K$3:$Q$14,MATCH(M128,'G-6 Hedgerow Data'!$B$3:$B$14,0),MATCH(O128,'G-6 Hedgerow Data'!$K$2:$Q$2,0)))),"")</f>
        <v/>
      </c>
      <c r="Y128" s="195"/>
      <c r="Z128" s="195"/>
      <c r="AA128" s="507" t="str">
        <f t="shared" si="11"/>
        <v/>
      </c>
      <c r="AB128" s="521" t="str">
        <f t="shared" si="12"/>
        <v/>
      </c>
      <c r="AC128" s="522" t="str">
        <f t="shared" si="9"/>
        <v/>
      </c>
      <c r="AD128" s="537" t="str">
        <f>IF(M128="","",VLOOKUP(M128,'G-6 Hedgerow Data'!$B$3:$AG$15,31,FALSE))</f>
        <v/>
      </c>
      <c r="AE128" s="520" t="str">
        <f t="shared" si="13"/>
        <v/>
      </c>
      <c r="AF128" s="520" t="str">
        <f t="shared" si="14"/>
        <v/>
      </c>
      <c r="AG128" s="524" t="str">
        <f>IFERROR(IF(O128="","",VLOOKUP(AD128,'G-3 Multipliers'!$P$3:$Q$6,2,FALSE)),"")</f>
        <v/>
      </c>
      <c r="AH128" s="197"/>
      <c r="AI128" s="499" t="str">
        <f>IF(AH128="","",IF(VLOOKUP(AH128,'G-3 Multipliers'!$S$3:$T$6,2,FALSE)=0,"Spatial Data Missing ⚠",VLOOKUP(AH128,'G-3 Multipliers'!$S$3:$T$6,2,FALSE)))</f>
        <v/>
      </c>
      <c r="AJ128" s="545" t="str">
        <f t="shared" si="15"/>
        <v/>
      </c>
      <c r="AK128" s="149"/>
      <c r="AL128" s="150"/>
      <c r="AP128" s="31" t="str">
        <f>IFERROR(INDEX('G-6 Hedgerow Data'!$BJ$3:$BJ$15,MATCH(M128,'G-6 Hedgerow Data'!$B$3:$B$15,0)),"")</f>
        <v/>
      </c>
    </row>
    <row r="129" spans="2:42" ht="14" x14ac:dyDescent="0.3">
      <c r="B129" s="531" t="str">
        <f>'E-1 Off Site Hedge Baseline'!AK127</f>
        <v/>
      </c>
      <c r="C129" s="520" t="str">
        <f>IF(B129="","",IF(ISNA(VLOOKUP($B129,'E-1 Off Site Hedge Baseline'!$B$1:$L$257,3,FALSE)),"",(VLOOKUP($B129,'E-1 Off Site Hedge Baseline'!$B$1:$L$257,3,FALSE))))</f>
        <v/>
      </c>
      <c r="D129" s="520" t="str">
        <f>IF(B129="","",IF(ISNA(VLOOKUP($B129,'E-1 Off Site Hedge Baseline'!$B$1:$L$258,4,FALSE)),"",(VLOOKUP($B129,'E-1 Off Site Hedge Baseline'!$B$1:$L$258,4,FALSE))))</f>
        <v/>
      </c>
      <c r="E129" s="520" t="str">
        <f>IF(B129="","",IF(ISNA(VLOOKUP($B129,'E-1 Off Site Hedge Baseline'!$B$1:$L$257,5,FALSE)),"",(VLOOKUP($B129,'E-1 Off Site Hedge Baseline'!$B$1:$L$257,5,FALSE))))</f>
        <v/>
      </c>
      <c r="F129" s="520" t="str">
        <f>IF(B129="","",IF(ISNA(VLOOKUP($B129,'E-1 Off Site Hedge Baseline'!$B$1:$L$257,6,FALSE)),"",(VLOOKUP($B129,'E-1 Off Site Hedge Baseline'!$B$1:$L$257,6,FALSE))))</f>
        <v/>
      </c>
      <c r="G129" s="520" t="str">
        <f>IF(B129="","",IF(ISNA(VLOOKUP($B129,'E-1 Off Site Hedge Baseline'!$B$1:$L$257,7,FALSE)),"",(VLOOKUP($B129,'E-1 Off Site Hedge Baseline'!$B$1:$L$257,7,FALSE))))</f>
        <v/>
      </c>
      <c r="H129" s="520" t="str">
        <f>IF(B129="","",IF(ISNA(VLOOKUP($B129,'E-1 Off Site Hedge Baseline'!$B$1:$L$257,8,FALSE)),"",(VLOOKUP($B129,'E-1 Off Site Hedge Baseline'!$B$1:$L$257,8,FALSE))))</f>
        <v/>
      </c>
      <c r="I129" s="520" t="str">
        <f>IF(B129="","",IF(ISNA(VLOOKUP($B129,'E-1 Off Site Hedge Baseline'!$B$1:$L$257,10,FALSE)),"",(VLOOKUP($B129,'E-1 Off Site Hedge Baseline'!$B$1:$L$257,10,FALSE))))</f>
        <v/>
      </c>
      <c r="J129" s="520" t="str">
        <f>IF(B129="","",IF(ISNA(VLOOKUP($B129,'E-1 Off Site Hedge Baseline'!$B$1:$L$257,11,FALSE)),"",(VLOOKUP($B129,'E-1 Off Site Hedge Baseline'!$B$1:$L$257,11,FALSE))))</f>
        <v/>
      </c>
      <c r="K129" s="520" t="str">
        <f>IF(B129="","",IF(ISNA(VLOOKUP($B129,'E-1 Off Site Hedge Baseline'!$B$1:$U$257,113,FALSE)),"",(VLOOKUP($B129,'E-1 Off Site Hedge Baseline'!$B$1:$U$257,13,FALSE))))</f>
        <v/>
      </c>
      <c r="L129" s="507" t="str">
        <f>IF(B129="","",IF(ISNA(VLOOKUP($B129,'E-1 Off Site Hedge Baseline'!$B$1:$U$257,12,FALSE)),"",(VLOOKUP($B129,'E-1 Off Site Hedge Baseline'!$B$1:$U$257,12,FALSE))))</f>
        <v/>
      </c>
      <c r="M129" s="418" t="str">
        <f t="shared" si="16"/>
        <v/>
      </c>
      <c r="N129" s="498" t="str">
        <f>IFERROR(IF(B129="","",INDEX('G-6 Hedgerow Data'!$AN$3:$AZ$15,MATCH(C129,'G-6 Hedgerow Data'!$AM$3:$AM$15,0),MATCH(M129,'G-6 Hedgerow Data'!$AN$2:$AZ$2,0))),"")</f>
        <v/>
      </c>
      <c r="O129" s="499" t="str">
        <f t="shared" si="10"/>
        <v/>
      </c>
      <c r="P129" s="505" t="str">
        <f>IF(B129="","",VLOOKUP(B129,'E-1 Off Site Hedge Baseline'!$B$10:T374,16,FALSE))</f>
        <v/>
      </c>
      <c r="Q129" s="498" t="str">
        <f>IF(M129="","",VLOOKUP(M129,'G-6 Hedgerow Data'!$B$2:$AG$15,2,FALSE))</f>
        <v/>
      </c>
      <c r="R129" s="499" t="str">
        <f>IF(M129="","",VLOOKUP(M129,'G-6 Hedgerow Data'!$B$2:$AG$15,3,FALSE))</f>
        <v/>
      </c>
      <c r="S129" s="145"/>
      <c r="T129" s="499" t="str">
        <f>IFERROR(IF(AND(Q129="V.Low",OR(S129="Good",S129="Moderate")),"Error ▲",VLOOKUP(S129,'G-1 All Habitats'!$Z$2:$AA$9,2,FALSE)),"")</f>
        <v/>
      </c>
      <c r="U129" s="145"/>
      <c r="V129" s="507" t="str">
        <f>IF(U129="","",IF(VLOOKUP(U129,'G-3 Multipliers'!$L$3:$N$6,2,FALSE)=0,"Spatial Data Missing ⚠",VLOOKUP(U129,'G-3 Multipliers'!$L$3:$N$6,2,FALSE)))</f>
        <v/>
      </c>
      <c r="W129" s="505" t="str">
        <f>IF(U129="","",IF(VLOOKUP(U129,'G-3 Multipliers'!$L$3:$N$6,3,FALSE)=0,"Spatial Data Missing ⚠",VLOOKUP(U129,'G-3 Multipliers'!$L$3:$N$6,3,FALSE)))</f>
        <v/>
      </c>
      <c r="X129" s="498" t="str">
        <f>IFERROR(IF(OR(LEFT(O129,5)="Error ▲",LEFT(N129,5)="Error ▲",T129="Error ▲"),"Check Data ⚠",IF(F129&lt;R129,INDEX('G-6 Hedgerow Data'!$S$3:$AE$14,MATCH(C129,'G-6 Hedgerow Data'!$B$3:$B$14,0),MATCH(M129,'G-6 Hedgerow Data'!$S$2:$AE$2,0)),INDEX('G-6 Hedgerow Data'!$K$3:$Q$14,MATCH(M129,'G-6 Hedgerow Data'!$B$3:$B$14,0),MATCH(O129,'G-6 Hedgerow Data'!$K$2:$Q$2,0)))),"")</f>
        <v/>
      </c>
      <c r="Y129" s="195"/>
      <c r="Z129" s="195"/>
      <c r="AA129" s="507" t="str">
        <f t="shared" si="11"/>
        <v/>
      </c>
      <c r="AB129" s="521" t="str">
        <f t="shared" si="12"/>
        <v/>
      </c>
      <c r="AC129" s="522" t="str">
        <f t="shared" si="9"/>
        <v/>
      </c>
      <c r="AD129" s="537" t="str">
        <f>IF(M129="","",VLOOKUP(M129,'G-6 Hedgerow Data'!$B$3:$AG$15,31,FALSE))</f>
        <v/>
      </c>
      <c r="AE129" s="520" t="str">
        <f t="shared" si="13"/>
        <v/>
      </c>
      <c r="AF129" s="520" t="str">
        <f t="shared" si="14"/>
        <v/>
      </c>
      <c r="AG129" s="524" t="str">
        <f>IFERROR(IF(O129="","",VLOOKUP(AD129,'G-3 Multipliers'!$P$3:$Q$6,2,FALSE)),"")</f>
        <v/>
      </c>
      <c r="AH129" s="197"/>
      <c r="AI129" s="499" t="str">
        <f>IF(AH129="","",IF(VLOOKUP(AH129,'G-3 Multipliers'!$S$3:$T$6,2,FALSE)=0,"Spatial Data Missing ⚠",VLOOKUP(AH129,'G-3 Multipliers'!$S$3:$T$6,2,FALSE)))</f>
        <v/>
      </c>
      <c r="AJ129" s="545" t="str">
        <f t="shared" si="15"/>
        <v/>
      </c>
      <c r="AK129" s="149"/>
      <c r="AL129" s="150"/>
      <c r="AP129" s="31" t="str">
        <f>IFERROR(INDEX('G-6 Hedgerow Data'!$BJ$3:$BJ$15,MATCH(M129,'G-6 Hedgerow Data'!$B$3:$B$15,0)),"")</f>
        <v/>
      </c>
    </row>
    <row r="130" spans="2:42" ht="14" x14ac:dyDescent="0.3">
      <c r="B130" s="531" t="str">
        <f>'E-1 Off Site Hedge Baseline'!AK128</f>
        <v/>
      </c>
      <c r="C130" s="520" t="str">
        <f>IF(B130="","",IF(ISNA(VLOOKUP($B130,'E-1 Off Site Hedge Baseline'!$B$1:$L$257,3,FALSE)),"",(VLOOKUP($B130,'E-1 Off Site Hedge Baseline'!$B$1:$L$257,3,FALSE))))</f>
        <v/>
      </c>
      <c r="D130" s="520" t="str">
        <f>IF(B130="","",IF(ISNA(VLOOKUP($B130,'E-1 Off Site Hedge Baseline'!$B$1:$L$258,4,FALSE)),"",(VLOOKUP($B130,'E-1 Off Site Hedge Baseline'!$B$1:$L$258,4,FALSE))))</f>
        <v/>
      </c>
      <c r="E130" s="520" t="str">
        <f>IF(B130="","",IF(ISNA(VLOOKUP($B130,'E-1 Off Site Hedge Baseline'!$B$1:$L$257,5,FALSE)),"",(VLOOKUP($B130,'E-1 Off Site Hedge Baseline'!$B$1:$L$257,5,FALSE))))</f>
        <v/>
      </c>
      <c r="F130" s="520" t="str">
        <f>IF(B130="","",IF(ISNA(VLOOKUP($B130,'E-1 Off Site Hedge Baseline'!$B$1:$L$257,6,FALSE)),"",(VLOOKUP($B130,'E-1 Off Site Hedge Baseline'!$B$1:$L$257,6,FALSE))))</f>
        <v/>
      </c>
      <c r="G130" s="520" t="str">
        <f>IF(B130="","",IF(ISNA(VLOOKUP($B130,'E-1 Off Site Hedge Baseline'!$B$1:$L$257,7,FALSE)),"",(VLOOKUP($B130,'E-1 Off Site Hedge Baseline'!$B$1:$L$257,7,FALSE))))</f>
        <v/>
      </c>
      <c r="H130" s="520" t="str">
        <f>IF(B130="","",IF(ISNA(VLOOKUP($B130,'E-1 Off Site Hedge Baseline'!$B$1:$L$257,8,FALSE)),"",(VLOOKUP($B130,'E-1 Off Site Hedge Baseline'!$B$1:$L$257,8,FALSE))))</f>
        <v/>
      </c>
      <c r="I130" s="520" t="str">
        <f>IF(B130="","",IF(ISNA(VLOOKUP($B130,'E-1 Off Site Hedge Baseline'!$B$1:$L$257,10,FALSE)),"",(VLOOKUP($B130,'E-1 Off Site Hedge Baseline'!$B$1:$L$257,10,FALSE))))</f>
        <v/>
      </c>
      <c r="J130" s="520" t="str">
        <f>IF(B130="","",IF(ISNA(VLOOKUP($B130,'E-1 Off Site Hedge Baseline'!$B$1:$L$257,11,FALSE)),"",(VLOOKUP($B130,'E-1 Off Site Hedge Baseline'!$B$1:$L$257,11,FALSE))))</f>
        <v/>
      </c>
      <c r="K130" s="520" t="str">
        <f>IF(B130="","",IF(ISNA(VLOOKUP($B130,'E-1 Off Site Hedge Baseline'!$B$1:$U$257,113,FALSE)),"",(VLOOKUP($B130,'E-1 Off Site Hedge Baseline'!$B$1:$U$257,13,FALSE))))</f>
        <v/>
      </c>
      <c r="L130" s="507" t="str">
        <f>IF(B130="","",IF(ISNA(VLOOKUP($B130,'E-1 Off Site Hedge Baseline'!$B$1:$U$257,12,FALSE)),"",(VLOOKUP($B130,'E-1 Off Site Hedge Baseline'!$B$1:$U$257,12,FALSE))))</f>
        <v/>
      </c>
      <c r="M130" s="418" t="str">
        <f t="shared" si="16"/>
        <v/>
      </c>
      <c r="N130" s="498" t="str">
        <f>IFERROR(IF(B130="","",INDEX('G-6 Hedgerow Data'!$AN$3:$AZ$15,MATCH(C130,'G-6 Hedgerow Data'!$AM$3:$AM$15,0),MATCH(M130,'G-6 Hedgerow Data'!$AN$2:$AZ$2,0))),"")</f>
        <v/>
      </c>
      <c r="O130" s="499" t="str">
        <f t="shared" si="10"/>
        <v/>
      </c>
      <c r="P130" s="505" t="str">
        <f>IF(B130="","",VLOOKUP(B130,'E-1 Off Site Hedge Baseline'!$B$10:T375,16,FALSE))</f>
        <v/>
      </c>
      <c r="Q130" s="498" t="str">
        <f>IF(M130="","",VLOOKUP(M130,'G-6 Hedgerow Data'!$B$2:$AG$15,2,FALSE))</f>
        <v/>
      </c>
      <c r="R130" s="499" t="str">
        <f>IF(M130="","",VLOOKUP(M130,'G-6 Hedgerow Data'!$B$2:$AG$15,3,FALSE))</f>
        <v/>
      </c>
      <c r="S130" s="145"/>
      <c r="T130" s="499" t="str">
        <f>IFERROR(IF(AND(Q130="V.Low",OR(S130="Good",S130="Moderate")),"Error ▲",VLOOKUP(S130,'G-1 All Habitats'!$Z$2:$AA$9,2,FALSE)),"")</f>
        <v/>
      </c>
      <c r="U130" s="145"/>
      <c r="V130" s="507" t="str">
        <f>IF(U130="","",IF(VLOOKUP(U130,'G-3 Multipliers'!$L$3:$N$6,2,FALSE)=0,"Spatial Data Missing ⚠",VLOOKUP(U130,'G-3 Multipliers'!$L$3:$N$6,2,FALSE)))</f>
        <v/>
      </c>
      <c r="W130" s="505" t="str">
        <f>IF(U130="","",IF(VLOOKUP(U130,'G-3 Multipliers'!$L$3:$N$6,3,FALSE)=0,"Spatial Data Missing ⚠",VLOOKUP(U130,'G-3 Multipliers'!$L$3:$N$6,3,FALSE)))</f>
        <v/>
      </c>
      <c r="X130" s="498" t="str">
        <f>IFERROR(IF(OR(LEFT(O130,5)="Error ▲",LEFT(N130,5)="Error ▲",T130="Error ▲"),"Check Data ⚠",IF(F130&lt;R130,INDEX('G-6 Hedgerow Data'!$S$3:$AE$14,MATCH(C130,'G-6 Hedgerow Data'!$B$3:$B$14,0),MATCH(M130,'G-6 Hedgerow Data'!$S$2:$AE$2,0)),INDEX('G-6 Hedgerow Data'!$K$3:$Q$14,MATCH(M130,'G-6 Hedgerow Data'!$B$3:$B$14,0),MATCH(O130,'G-6 Hedgerow Data'!$K$2:$Q$2,0)))),"")</f>
        <v/>
      </c>
      <c r="Y130" s="195"/>
      <c r="Z130" s="195"/>
      <c r="AA130" s="507" t="str">
        <f t="shared" si="11"/>
        <v/>
      </c>
      <c r="AB130" s="521" t="str">
        <f t="shared" si="12"/>
        <v/>
      </c>
      <c r="AC130" s="522" t="str">
        <f t="shared" si="9"/>
        <v/>
      </c>
      <c r="AD130" s="537" t="str">
        <f>IF(M130="","",VLOOKUP(M130,'G-6 Hedgerow Data'!$B$3:$AG$15,31,FALSE))</f>
        <v/>
      </c>
      <c r="AE130" s="520" t="str">
        <f t="shared" si="13"/>
        <v/>
      </c>
      <c r="AF130" s="520" t="str">
        <f t="shared" si="14"/>
        <v/>
      </c>
      <c r="AG130" s="524" t="str">
        <f>IFERROR(IF(O130="","",VLOOKUP(AD130,'G-3 Multipliers'!$P$3:$Q$6,2,FALSE)),"")</f>
        <v/>
      </c>
      <c r="AH130" s="197"/>
      <c r="AI130" s="499" t="str">
        <f>IF(AH130="","",IF(VLOOKUP(AH130,'G-3 Multipliers'!$S$3:$T$6,2,FALSE)=0,"Spatial Data Missing ⚠",VLOOKUP(AH130,'G-3 Multipliers'!$S$3:$T$6,2,FALSE)))</f>
        <v/>
      </c>
      <c r="AJ130" s="545" t="str">
        <f t="shared" si="15"/>
        <v/>
      </c>
      <c r="AK130" s="149"/>
      <c r="AL130" s="150"/>
      <c r="AP130" s="31" t="str">
        <f>IFERROR(INDEX('G-6 Hedgerow Data'!$BJ$3:$BJ$15,MATCH(M130,'G-6 Hedgerow Data'!$B$3:$B$15,0)),"")</f>
        <v/>
      </c>
    </row>
    <row r="131" spans="2:42" ht="14" x14ac:dyDescent="0.3">
      <c r="B131" s="531" t="str">
        <f>'E-1 Off Site Hedge Baseline'!AK129</f>
        <v/>
      </c>
      <c r="C131" s="520" t="str">
        <f>IF(B131="","",IF(ISNA(VLOOKUP($B131,'E-1 Off Site Hedge Baseline'!$B$1:$L$257,3,FALSE)),"",(VLOOKUP($B131,'E-1 Off Site Hedge Baseline'!$B$1:$L$257,3,FALSE))))</f>
        <v/>
      </c>
      <c r="D131" s="520" t="str">
        <f>IF(B131="","",IF(ISNA(VLOOKUP($B131,'E-1 Off Site Hedge Baseline'!$B$1:$L$258,4,FALSE)),"",(VLOOKUP($B131,'E-1 Off Site Hedge Baseline'!$B$1:$L$258,4,FALSE))))</f>
        <v/>
      </c>
      <c r="E131" s="520" t="str">
        <f>IF(B131="","",IF(ISNA(VLOOKUP($B131,'E-1 Off Site Hedge Baseline'!$B$1:$L$257,5,FALSE)),"",(VLOOKUP($B131,'E-1 Off Site Hedge Baseline'!$B$1:$L$257,5,FALSE))))</f>
        <v/>
      </c>
      <c r="F131" s="520" t="str">
        <f>IF(B131="","",IF(ISNA(VLOOKUP($B131,'E-1 Off Site Hedge Baseline'!$B$1:$L$257,6,FALSE)),"",(VLOOKUP($B131,'E-1 Off Site Hedge Baseline'!$B$1:$L$257,6,FALSE))))</f>
        <v/>
      </c>
      <c r="G131" s="520" t="str">
        <f>IF(B131="","",IF(ISNA(VLOOKUP($B131,'E-1 Off Site Hedge Baseline'!$B$1:$L$257,7,FALSE)),"",(VLOOKUP($B131,'E-1 Off Site Hedge Baseline'!$B$1:$L$257,7,FALSE))))</f>
        <v/>
      </c>
      <c r="H131" s="520" t="str">
        <f>IF(B131="","",IF(ISNA(VLOOKUP($B131,'E-1 Off Site Hedge Baseline'!$B$1:$L$257,8,FALSE)),"",(VLOOKUP($B131,'E-1 Off Site Hedge Baseline'!$B$1:$L$257,8,FALSE))))</f>
        <v/>
      </c>
      <c r="I131" s="520" t="str">
        <f>IF(B131="","",IF(ISNA(VLOOKUP($B131,'E-1 Off Site Hedge Baseline'!$B$1:$L$257,10,FALSE)),"",(VLOOKUP($B131,'E-1 Off Site Hedge Baseline'!$B$1:$L$257,10,FALSE))))</f>
        <v/>
      </c>
      <c r="J131" s="520" t="str">
        <f>IF(B131="","",IF(ISNA(VLOOKUP($B131,'E-1 Off Site Hedge Baseline'!$B$1:$L$257,11,FALSE)),"",(VLOOKUP($B131,'E-1 Off Site Hedge Baseline'!$B$1:$L$257,11,FALSE))))</f>
        <v/>
      </c>
      <c r="K131" s="520" t="str">
        <f>IF(B131="","",IF(ISNA(VLOOKUP($B131,'E-1 Off Site Hedge Baseline'!$B$1:$U$257,113,FALSE)),"",(VLOOKUP($B131,'E-1 Off Site Hedge Baseline'!$B$1:$U$257,13,FALSE))))</f>
        <v/>
      </c>
      <c r="L131" s="507" t="str">
        <f>IF(B131="","",IF(ISNA(VLOOKUP($B131,'E-1 Off Site Hedge Baseline'!$B$1:$U$257,12,FALSE)),"",(VLOOKUP($B131,'E-1 Off Site Hedge Baseline'!$B$1:$U$257,12,FALSE))))</f>
        <v/>
      </c>
      <c r="M131" s="418" t="str">
        <f t="shared" si="16"/>
        <v/>
      </c>
      <c r="N131" s="498" t="str">
        <f>IFERROR(IF(B131="","",INDEX('G-6 Hedgerow Data'!$AN$3:$AZ$15,MATCH(C131,'G-6 Hedgerow Data'!$AM$3:$AM$15,0),MATCH(M131,'G-6 Hedgerow Data'!$AN$2:$AZ$2,0))),"")</f>
        <v/>
      </c>
      <c r="O131" s="499" t="str">
        <f t="shared" si="10"/>
        <v/>
      </c>
      <c r="P131" s="505" t="str">
        <f>IF(B131="","",VLOOKUP(B131,'E-1 Off Site Hedge Baseline'!$B$10:T376,16,FALSE))</f>
        <v/>
      </c>
      <c r="Q131" s="498" t="str">
        <f>IF(M131="","",VLOOKUP(M131,'G-6 Hedgerow Data'!$B$2:$AG$15,2,FALSE))</f>
        <v/>
      </c>
      <c r="R131" s="499" t="str">
        <f>IF(M131="","",VLOOKUP(M131,'G-6 Hedgerow Data'!$B$2:$AG$15,3,FALSE))</f>
        <v/>
      </c>
      <c r="S131" s="145"/>
      <c r="T131" s="499" t="str">
        <f>IFERROR(IF(AND(Q131="V.Low",OR(S131="Good",S131="Moderate")),"Error ▲",VLOOKUP(S131,'G-1 All Habitats'!$Z$2:$AA$9,2,FALSE)),"")</f>
        <v/>
      </c>
      <c r="U131" s="145"/>
      <c r="V131" s="507" t="str">
        <f>IF(U131="","",IF(VLOOKUP(U131,'G-3 Multipliers'!$L$3:$N$6,2,FALSE)=0,"Spatial Data Missing ⚠",VLOOKUP(U131,'G-3 Multipliers'!$L$3:$N$6,2,FALSE)))</f>
        <v/>
      </c>
      <c r="W131" s="505" t="str">
        <f>IF(U131="","",IF(VLOOKUP(U131,'G-3 Multipliers'!$L$3:$N$6,3,FALSE)=0,"Spatial Data Missing ⚠",VLOOKUP(U131,'G-3 Multipliers'!$L$3:$N$6,3,FALSE)))</f>
        <v/>
      </c>
      <c r="X131" s="498" t="str">
        <f>IFERROR(IF(OR(LEFT(O131,5)="Error ▲",LEFT(N131,5)="Error ▲",T131="Error ▲"),"Check Data ⚠",IF(F131&lt;R131,INDEX('G-6 Hedgerow Data'!$S$3:$AE$14,MATCH(C131,'G-6 Hedgerow Data'!$B$3:$B$14,0),MATCH(M131,'G-6 Hedgerow Data'!$S$2:$AE$2,0)),INDEX('G-6 Hedgerow Data'!$K$3:$Q$14,MATCH(M131,'G-6 Hedgerow Data'!$B$3:$B$14,0),MATCH(O131,'G-6 Hedgerow Data'!$K$2:$Q$2,0)))),"")</f>
        <v/>
      </c>
      <c r="Y131" s="195"/>
      <c r="Z131" s="195"/>
      <c r="AA131" s="507" t="str">
        <f t="shared" si="11"/>
        <v/>
      </c>
      <c r="AB131" s="521" t="str">
        <f t="shared" si="12"/>
        <v/>
      </c>
      <c r="AC131" s="522" t="str">
        <f t="shared" si="9"/>
        <v/>
      </c>
      <c r="AD131" s="537" t="str">
        <f>IF(M131="","",VLOOKUP(M131,'G-6 Hedgerow Data'!$B$3:$AG$15,31,FALSE))</f>
        <v/>
      </c>
      <c r="AE131" s="520" t="str">
        <f t="shared" si="13"/>
        <v/>
      </c>
      <c r="AF131" s="520" t="str">
        <f t="shared" si="14"/>
        <v/>
      </c>
      <c r="AG131" s="524" t="str">
        <f>IFERROR(IF(O131="","",VLOOKUP(AD131,'G-3 Multipliers'!$P$3:$Q$6,2,FALSE)),"")</f>
        <v/>
      </c>
      <c r="AH131" s="197"/>
      <c r="AI131" s="499" t="str">
        <f>IF(AH131="","",IF(VLOOKUP(AH131,'G-3 Multipliers'!$S$3:$T$6,2,FALSE)=0,"Spatial Data Missing ⚠",VLOOKUP(AH131,'G-3 Multipliers'!$S$3:$T$6,2,FALSE)))</f>
        <v/>
      </c>
      <c r="AJ131" s="545" t="str">
        <f t="shared" si="15"/>
        <v/>
      </c>
      <c r="AK131" s="149"/>
      <c r="AL131" s="150"/>
      <c r="AP131" s="31" t="str">
        <f>IFERROR(INDEX('G-6 Hedgerow Data'!$BJ$3:$BJ$15,MATCH(M131,'G-6 Hedgerow Data'!$B$3:$B$15,0)),"")</f>
        <v/>
      </c>
    </row>
    <row r="132" spans="2:42" ht="14" x14ac:dyDescent="0.3">
      <c r="B132" s="531" t="str">
        <f>'E-1 Off Site Hedge Baseline'!AK130</f>
        <v/>
      </c>
      <c r="C132" s="520" t="str">
        <f>IF(B132="","",IF(ISNA(VLOOKUP($B132,'E-1 Off Site Hedge Baseline'!$B$1:$L$257,3,FALSE)),"",(VLOOKUP($B132,'E-1 Off Site Hedge Baseline'!$B$1:$L$257,3,FALSE))))</f>
        <v/>
      </c>
      <c r="D132" s="520" t="str">
        <f>IF(B132="","",IF(ISNA(VLOOKUP($B132,'E-1 Off Site Hedge Baseline'!$B$1:$L$258,4,FALSE)),"",(VLOOKUP($B132,'E-1 Off Site Hedge Baseline'!$B$1:$L$258,4,FALSE))))</f>
        <v/>
      </c>
      <c r="E132" s="520" t="str">
        <f>IF(B132="","",IF(ISNA(VLOOKUP($B132,'E-1 Off Site Hedge Baseline'!$B$1:$L$257,5,FALSE)),"",(VLOOKUP($B132,'E-1 Off Site Hedge Baseline'!$B$1:$L$257,5,FALSE))))</f>
        <v/>
      </c>
      <c r="F132" s="520" t="str">
        <f>IF(B132="","",IF(ISNA(VLOOKUP($B132,'E-1 Off Site Hedge Baseline'!$B$1:$L$257,6,FALSE)),"",(VLOOKUP($B132,'E-1 Off Site Hedge Baseline'!$B$1:$L$257,6,FALSE))))</f>
        <v/>
      </c>
      <c r="G132" s="520" t="str">
        <f>IF(B132="","",IF(ISNA(VLOOKUP($B132,'E-1 Off Site Hedge Baseline'!$B$1:$L$257,7,FALSE)),"",(VLOOKUP($B132,'E-1 Off Site Hedge Baseline'!$B$1:$L$257,7,FALSE))))</f>
        <v/>
      </c>
      <c r="H132" s="520" t="str">
        <f>IF(B132="","",IF(ISNA(VLOOKUP($B132,'E-1 Off Site Hedge Baseline'!$B$1:$L$257,8,FALSE)),"",(VLOOKUP($B132,'E-1 Off Site Hedge Baseline'!$B$1:$L$257,8,FALSE))))</f>
        <v/>
      </c>
      <c r="I132" s="520" t="str">
        <f>IF(B132="","",IF(ISNA(VLOOKUP($B132,'E-1 Off Site Hedge Baseline'!$B$1:$L$257,10,FALSE)),"",(VLOOKUP($B132,'E-1 Off Site Hedge Baseline'!$B$1:$L$257,10,FALSE))))</f>
        <v/>
      </c>
      <c r="J132" s="520" t="str">
        <f>IF(B132="","",IF(ISNA(VLOOKUP($B132,'E-1 Off Site Hedge Baseline'!$B$1:$L$257,11,FALSE)),"",(VLOOKUP($B132,'E-1 Off Site Hedge Baseline'!$B$1:$L$257,11,FALSE))))</f>
        <v/>
      </c>
      <c r="K132" s="520" t="str">
        <f>IF(B132="","",IF(ISNA(VLOOKUP($B132,'E-1 Off Site Hedge Baseline'!$B$1:$U$257,113,FALSE)),"",(VLOOKUP($B132,'E-1 Off Site Hedge Baseline'!$B$1:$U$257,13,FALSE))))</f>
        <v/>
      </c>
      <c r="L132" s="507" t="str">
        <f>IF(B132="","",IF(ISNA(VLOOKUP($B132,'E-1 Off Site Hedge Baseline'!$B$1:$U$257,12,FALSE)),"",(VLOOKUP($B132,'E-1 Off Site Hedge Baseline'!$B$1:$U$257,12,FALSE))))</f>
        <v/>
      </c>
      <c r="M132" s="418" t="str">
        <f t="shared" si="16"/>
        <v/>
      </c>
      <c r="N132" s="498" t="str">
        <f>IFERROR(IF(B132="","",INDEX('G-6 Hedgerow Data'!$AN$3:$AZ$15,MATCH(C132,'G-6 Hedgerow Data'!$AM$3:$AM$15,0),MATCH(M132,'G-6 Hedgerow Data'!$AN$2:$AZ$2,0))),"")</f>
        <v/>
      </c>
      <c r="O132" s="499" t="str">
        <f t="shared" si="10"/>
        <v/>
      </c>
      <c r="P132" s="505" t="str">
        <f>IF(B132="","",VLOOKUP(B132,'E-1 Off Site Hedge Baseline'!$B$10:T377,16,FALSE))</f>
        <v/>
      </c>
      <c r="Q132" s="498" t="str">
        <f>IF(M132="","",VLOOKUP(M132,'G-6 Hedgerow Data'!$B$2:$AG$15,2,FALSE))</f>
        <v/>
      </c>
      <c r="R132" s="499" t="str">
        <f>IF(M132="","",VLOOKUP(M132,'G-6 Hedgerow Data'!$B$2:$AG$15,3,FALSE))</f>
        <v/>
      </c>
      <c r="S132" s="145"/>
      <c r="T132" s="499" t="str">
        <f>IFERROR(IF(AND(Q132="V.Low",OR(S132="Good",S132="Moderate")),"Error ▲",VLOOKUP(S132,'G-1 All Habitats'!$Z$2:$AA$9,2,FALSE)),"")</f>
        <v/>
      </c>
      <c r="U132" s="145"/>
      <c r="V132" s="507" t="str">
        <f>IF(U132="","",IF(VLOOKUP(U132,'G-3 Multipliers'!$L$3:$N$6,2,FALSE)=0,"Spatial Data Missing ⚠",VLOOKUP(U132,'G-3 Multipliers'!$L$3:$N$6,2,FALSE)))</f>
        <v/>
      </c>
      <c r="W132" s="505" t="str">
        <f>IF(U132="","",IF(VLOOKUP(U132,'G-3 Multipliers'!$L$3:$N$6,3,FALSE)=0,"Spatial Data Missing ⚠",VLOOKUP(U132,'G-3 Multipliers'!$L$3:$N$6,3,FALSE)))</f>
        <v/>
      </c>
      <c r="X132" s="498" t="str">
        <f>IFERROR(IF(OR(LEFT(O132,5)="Error ▲",LEFT(N132,5)="Error ▲",T132="Error ▲"),"Check Data ⚠",IF(F132&lt;R132,INDEX('G-6 Hedgerow Data'!$S$3:$AE$14,MATCH(C132,'G-6 Hedgerow Data'!$B$3:$B$14,0),MATCH(M132,'G-6 Hedgerow Data'!$S$2:$AE$2,0)),INDEX('G-6 Hedgerow Data'!$K$3:$Q$14,MATCH(M132,'G-6 Hedgerow Data'!$B$3:$B$14,0),MATCH(O132,'G-6 Hedgerow Data'!$K$2:$Q$2,0)))),"")</f>
        <v/>
      </c>
      <c r="Y132" s="195"/>
      <c r="Z132" s="195"/>
      <c r="AA132" s="507" t="str">
        <f t="shared" si="11"/>
        <v/>
      </c>
      <c r="AB132" s="521" t="str">
        <f t="shared" si="12"/>
        <v/>
      </c>
      <c r="AC132" s="522" t="str">
        <f t="shared" si="9"/>
        <v/>
      </c>
      <c r="AD132" s="537" t="str">
        <f>IF(M132="","",VLOOKUP(M132,'G-6 Hedgerow Data'!$B$3:$AG$15,31,FALSE))</f>
        <v/>
      </c>
      <c r="AE132" s="520" t="str">
        <f t="shared" si="13"/>
        <v/>
      </c>
      <c r="AF132" s="520" t="str">
        <f t="shared" si="14"/>
        <v/>
      </c>
      <c r="AG132" s="524" t="str">
        <f>IFERROR(IF(O132="","",VLOOKUP(AD132,'G-3 Multipliers'!$P$3:$Q$6,2,FALSE)),"")</f>
        <v/>
      </c>
      <c r="AH132" s="197"/>
      <c r="AI132" s="499" t="str">
        <f>IF(AH132="","",IF(VLOOKUP(AH132,'G-3 Multipliers'!$S$3:$T$6,2,FALSE)=0,"Spatial Data Missing ⚠",VLOOKUP(AH132,'G-3 Multipliers'!$S$3:$T$6,2,FALSE)))</f>
        <v/>
      </c>
      <c r="AJ132" s="545" t="str">
        <f t="shared" si="15"/>
        <v/>
      </c>
      <c r="AK132" s="149"/>
      <c r="AL132" s="150"/>
      <c r="AP132" s="31" t="str">
        <f>IFERROR(INDEX('G-6 Hedgerow Data'!$BJ$3:$BJ$15,MATCH(M132,'G-6 Hedgerow Data'!$B$3:$B$15,0)),"")</f>
        <v/>
      </c>
    </row>
    <row r="133" spans="2:42" ht="14" x14ac:dyDescent="0.3">
      <c r="B133" s="531" t="str">
        <f>'E-1 Off Site Hedge Baseline'!AK131</f>
        <v/>
      </c>
      <c r="C133" s="520" t="str">
        <f>IF(B133="","",IF(ISNA(VLOOKUP($B133,'E-1 Off Site Hedge Baseline'!$B$1:$L$257,3,FALSE)),"",(VLOOKUP($B133,'E-1 Off Site Hedge Baseline'!$B$1:$L$257,3,FALSE))))</f>
        <v/>
      </c>
      <c r="D133" s="520" t="str">
        <f>IF(B133="","",IF(ISNA(VLOOKUP($B133,'E-1 Off Site Hedge Baseline'!$B$1:$L$258,4,FALSE)),"",(VLOOKUP($B133,'E-1 Off Site Hedge Baseline'!$B$1:$L$258,4,FALSE))))</f>
        <v/>
      </c>
      <c r="E133" s="520" t="str">
        <f>IF(B133="","",IF(ISNA(VLOOKUP($B133,'E-1 Off Site Hedge Baseline'!$B$1:$L$257,5,FALSE)),"",(VLOOKUP($B133,'E-1 Off Site Hedge Baseline'!$B$1:$L$257,5,FALSE))))</f>
        <v/>
      </c>
      <c r="F133" s="520" t="str">
        <f>IF(B133="","",IF(ISNA(VLOOKUP($B133,'E-1 Off Site Hedge Baseline'!$B$1:$L$257,6,FALSE)),"",(VLOOKUP($B133,'E-1 Off Site Hedge Baseline'!$B$1:$L$257,6,FALSE))))</f>
        <v/>
      </c>
      <c r="G133" s="520" t="str">
        <f>IF(B133="","",IF(ISNA(VLOOKUP($B133,'E-1 Off Site Hedge Baseline'!$B$1:$L$257,7,FALSE)),"",(VLOOKUP($B133,'E-1 Off Site Hedge Baseline'!$B$1:$L$257,7,FALSE))))</f>
        <v/>
      </c>
      <c r="H133" s="520" t="str">
        <f>IF(B133="","",IF(ISNA(VLOOKUP($B133,'E-1 Off Site Hedge Baseline'!$B$1:$L$257,8,FALSE)),"",(VLOOKUP($B133,'E-1 Off Site Hedge Baseline'!$B$1:$L$257,8,FALSE))))</f>
        <v/>
      </c>
      <c r="I133" s="520" t="str">
        <f>IF(B133="","",IF(ISNA(VLOOKUP($B133,'E-1 Off Site Hedge Baseline'!$B$1:$L$257,10,FALSE)),"",(VLOOKUP($B133,'E-1 Off Site Hedge Baseline'!$B$1:$L$257,10,FALSE))))</f>
        <v/>
      </c>
      <c r="J133" s="520" t="str">
        <f>IF(B133="","",IF(ISNA(VLOOKUP($B133,'E-1 Off Site Hedge Baseline'!$B$1:$L$257,11,FALSE)),"",(VLOOKUP($B133,'E-1 Off Site Hedge Baseline'!$B$1:$L$257,11,FALSE))))</f>
        <v/>
      </c>
      <c r="K133" s="520" t="str">
        <f>IF(B133="","",IF(ISNA(VLOOKUP($B133,'E-1 Off Site Hedge Baseline'!$B$1:$U$257,113,FALSE)),"",(VLOOKUP($B133,'E-1 Off Site Hedge Baseline'!$B$1:$U$257,13,FALSE))))</f>
        <v/>
      </c>
      <c r="L133" s="507" t="str">
        <f>IF(B133="","",IF(ISNA(VLOOKUP($B133,'E-1 Off Site Hedge Baseline'!$B$1:$U$257,12,FALSE)),"",(VLOOKUP($B133,'E-1 Off Site Hedge Baseline'!$B$1:$U$257,12,FALSE))))</f>
        <v/>
      </c>
      <c r="M133" s="418" t="str">
        <f t="shared" si="16"/>
        <v/>
      </c>
      <c r="N133" s="498" t="str">
        <f>IFERROR(IF(B133="","",INDEX('G-6 Hedgerow Data'!$AN$3:$AZ$15,MATCH(C133,'G-6 Hedgerow Data'!$AM$3:$AM$15,0),MATCH(M133,'G-6 Hedgerow Data'!$AN$2:$AZ$2,0))),"")</f>
        <v/>
      </c>
      <c r="O133" s="499" t="str">
        <f t="shared" si="10"/>
        <v/>
      </c>
      <c r="P133" s="505" t="str">
        <f>IF(B133="","",VLOOKUP(B133,'E-1 Off Site Hedge Baseline'!$B$10:T378,16,FALSE))</f>
        <v/>
      </c>
      <c r="Q133" s="498" t="str">
        <f>IF(M133="","",VLOOKUP(M133,'G-6 Hedgerow Data'!$B$2:$AG$15,2,FALSE))</f>
        <v/>
      </c>
      <c r="R133" s="499" t="str">
        <f>IF(M133="","",VLOOKUP(M133,'G-6 Hedgerow Data'!$B$2:$AG$15,3,FALSE))</f>
        <v/>
      </c>
      <c r="S133" s="145"/>
      <c r="T133" s="499" t="str">
        <f>IFERROR(IF(AND(Q133="V.Low",OR(S133="Good",S133="Moderate")),"Error ▲",VLOOKUP(S133,'G-1 All Habitats'!$Z$2:$AA$9,2,FALSE)),"")</f>
        <v/>
      </c>
      <c r="U133" s="145"/>
      <c r="V133" s="507" t="str">
        <f>IF(U133="","",IF(VLOOKUP(U133,'G-3 Multipliers'!$L$3:$N$6,2,FALSE)=0,"Spatial Data Missing ⚠",VLOOKUP(U133,'G-3 Multipliers'!$L$3:$N$6,2,FALSE)))</f>
        <v/>
      </c>
      <c r="W133" s="505" t="str">
        <f>IF(U133="","",IF(VLOOKUP(U133,'G-3 Multipliers'!$L$3:$N$6,3,FALSE)=0,"Spatial Data Missing ⚠",VLOOKUP(U133,'G-3 Multipliers'!$L$3:$N$6,3,FALSE)))</f>
        <v/>
      </c>
      <c r="X133" s="498" t="str">
        <f>IFERROR(IF(OR(LEFT(O133,5)="Error ▲",LEFT(N133,5)="Error ▲",T133="Error ▲"),"Check Data ⚠",IF(F133&lt;R133,INDEX('G-6 Hedgerow Data'!$S$3:$AE$14,MATCH(C133,'G-6 Hedgerow Data'!$B$3:$B$14,0),MATCH(M133,'G-6 Hedgerow Data'!$S$2:$AE$2,0)),INDEX('G-6 Hedgerow Data'!$K$3:$Q$14,MATCH(M133,'G-6 Hedgerow Data'!$B$3:$B$14,0),MATCH(O133,'G-6 Hedgerow Data'!$K$2:$Q$2,0)))),"")</f>
        <v/>
      </c>
      <c r="Y133" s="195"/>
      <c r="Z133" s="195"/>
      <c r="AA133" s="507" t="str">
        <f t="shared" si="11"/>
        <v/>
      </c>
      <c r="AB133" s="521" t="str">
        <f t="shared" si="12"/>
        <v/>
      </c>
      <c r="AC133" s="522" t="str">
        <f t="shared" si="9"/>
        <v/>
      </c>
      <c r="AD133" s="537" t="str">
        <f>IF(M133="","",VLOOKUP(M133,'G-6 Hedgerow Data'!$B$3:$AG$15,31,FALSE))</f>
        <v/>
      </c>
      <c r="AE133" s="520" t="str">
        <f t="shared" si="13"/>
        <v/>
      </c>
      <c r="AF133" s="520" t="str">
        <f t="shared" si="14"/>
        <v/>
      </c>
      <c r="AG133" s="524" t="str">
        <f>IFERROR(IF(O133="","",VLOOKUP(AD133,'G-3 Multipliers'!$P$3:$Q$6,2,FALSE)),"")</f>
        <v/>
      </c>
      <c r="AH133" s="197"/>
      <c r="AI133" s="499" t="str">
        <f>IF(AH133="","",IF(VLOOKUP(AH133,'G-3 Multipliers'!$S$3:$T$6,2,FALSE)=0,"Spatial Data Missing ⚠",VLOOKUP(AH133,'G-3 Multipliers'!$S$3:$T$6,2,FALSE)))</f>
        <v/>
      </c>
      <c r="AJ133" s="545" t="str">
        <f t="shared" si="15"/>
        <v/>
      </c>
      <c r="AK133" s="149"/>
      <c r="AL133" s="150"/>
      <c r="AP133" s="31" t="str">
        <f>IFERROR(INDEX('G-6 Hedgerow Data'!$BJ$3:$BJ$15,MATCH(M133,'G-6 Hedgerow Data'!$B$3:$B$15,0)),"")</f>
        <v/>
      </c>
    </row>
    <row r="134" spans="2:42" ht="14" x14ac:dyDescent="0.3">
      <c r="B134" s="531" t="str">
        <f>'E-1 Off Site Hedge Baseline'!AK132</f>
        <v/>
      </c>
      <c r="C134" s="520" t="str">
        <f>IF(B134="","",IF(ISNA(VLOOKUP($B134,'E-1 Off Site Hedge Baseline'!$B$1:$L$257,3,FALSE)),"",(VLOOKUP($B134,'E-1 Off Site Hedge Baseline'!$B$1:$L$257,3,FALSE))))</f>
        <v/>
      </c>
      <c r="D134" s="520" t="str">
        <f>IF(B134="","",IF(ISNA(VLOOKUP($B134,'E-1 Off Site Hedge Baseline'!$B$1:$L$258,4,FALSE)),"",(VLOOKUP($B134,'E-1 Off Site Hedge Baseline'!$B$1:$L$258,4,FALSE))))</f>
        <v/>
      </c>
      <c r="E134" s="520" t="str">
        <f>IF(B134="","",IF(ISNA(VLOOKUP($B134,'E-1 Off Site Hedge Baseline'!$B$1:$L$257,5,FALSE)),"",(VLOOKUP($B134,'E-1 Off Site Hedge Baseline'!$B$1:$L$257,5,FALSE))))</f>
        <v/>
      </c>
      <c r="F134" s="520" t="str">
        <f>IF(B134="","",IF(ISNA(VLOOKUP($B134,'E-1 Off Site Hedge Baseline'!$B$1:$L$257,6,FALSE)),"",(VLOOKUP($B134,'E-1 Off Site Hedge Baseline'!$B$1:$L$257,6,FALSE))))</f>
        <v/>
      </c>
      <c r="G134" s="520" t="str">
        <f>IF(B134="","",IF(ISNA(VLOOKUP($B134,'E-1 Off Site Hedge Baseline'!$B$1:$L$257,7,FALSE)),"",(VLOOKUP($B134,'E-1 Off Site Hedge Baseline'!$B$1:$L$257,7,FALSE))))</f>
        <v/>
      </c>
      <c r="H134" s="520" t="str">
        <f>IF(B134="","",IF(ISNA(VLOOKUP($B134,'E-1 Off Site Hedge Baseline'!$B$1:$L$257,8,FALSE)),"",(VLOOKUP($B134,'E-1 Off Site Hedge Baseline'!$B$1:$L$257,8,FALSE))))</f>
        <v/>
      </c>
      <c r="I134" s="520" t="str">
        <f>IF(B134="","",IF(ISNA(VLOOKUP($B134,'E-1 Off Site Hedge Baseline'!$B$1:$L$257,10,FALSE)),"",(VLOOKUP($B134,'E-1 Off Site Hedge Baseline'!$B$1:$L$257,10,FALSE))))</f>
        <v/>
      </c>
      <c r="J134" s="520" t="str">
        <f>IF(B134="","",IF(ISNA(VLOOKUP($B134,'E-1 Off Site Hedge Baseline'!$B$1:$L$257,11,FALSE)),"",(VLOOKUP($B134,'E-1 Off Site Hedge Baseline'!$B$1:$L$257,11,FALSE))))</f>
        <v/>
      </c>
      <c r="K134" s="520" t="str">
        <f>IF(B134="","",IF(ISNA(VLOOKUP($B134,'E-1 Off Site Hedge Baseline'!$B$1:$U$257,113,FALSE)),"",(VLOOKUP($B134,'E-1 Off Site Hedge Baseline'!$B$1:$U$257,13,FALSE))))</f>
        <v/>
      </c>
      <c r="L134" s="507" t="str">
        <f>IF(B134="","",IF(ISNA(VLOOKUP($B134,'E-1 Off Site Hedge Baseline'!$B$1:$U$257,12,FALSE)),"",(VLOOKUP($B134,'E-1 Off Site Hedge Baseline'!$B$1:$U$257,12,FALSE))))</f>
        <v/>
      </c>
      <c r="M134" s="418" t="str">
        <f t="shared" si="16"/>
        <v/>
      </c>
      <c r="N134" s="498" t="str">
        <f>IFERROR(IF(B134="","",INDEX('G-6 Hedgerow Data'!$AN$3:$AZ$15,MATCH(C134,'G-6 Hedgerow Data'!$AM$3:$AM$15,0),MATCH(M134,'G-6 Hedgerow Data'!$AN$2:$AZ$2,0))),"")</f>
        <v/>
      </c>
      <c r="O134" s="499" t="str">
        <f t="shared" si="10"/>
        <v/>
      </c>
      <c r="P134" s="505" t="str">
        <f>IF(B134="","",VLOOKUP(B134,'E-1 Off Site Hedge Baseline'!$B$10:T379,16,FALSE))</f>
        <v/>
      </c>
      <c r="Q134" s="498" t="str">
        <f>IF(M134="","",VLOOKUP(M134,'G-6 Hedgerow Data'!$B$2:$AG$15,2,FALSE))</f>
        <v/>
      </c>
      <c r="R134" s="499" t="str">
        <f>IF(M134="","",VLOOKUP(M134,'G-6 Hedgerow Data'!$B$2:$AG$15,3,FALSE))</f>
        <v/>
      </c>
      <c r="S134" s="145"/>
      <c r="T134" s="499" t="str">
        <f>IFERROR(IF(AND(Q134="V.Low",OR(S134="Good",S134="Moderate")),"Error ▲",VLOOKUP(S134,'G-1 All Habitats'!$Z$2:$AA$9,2,FALSE)),"")</f>
        <v/>
      </c>
      <c r="U134" s="145"/>
      <c r="V134" s="507" t="str">
        <f>IF(U134="","",IF(VLOOKUP(U134,'G-3 Multipliers'!$L$3:$N$6,2,FALSE)=0,"Spatial Data Missing ⚠",VLOOKUP(U134,'G-3 Multipliers'!$L$3:$N$6,2,FALSE)))</f>
        <v/>
      </c>
      <c r="W134" s="505" t="str">
        <f>IF(U134="","",IF(VLOOKUP(U134,'G-3 Multipliers'!$L$3:$N$6,3,FALSE)=0,"Spatial Data Missing ⚠",VLOOKUP(U134,'G-3 Multipliers'!$L$3:$N$6,3,FALSE)))</f>
        <v/>
      </c>
      <c r="X134" s="498" t="str">
        <f>IFERROR(IF(OR(LEFT(O134,5)="Error ▲",LEFT(N134,5)="Error ▲",T134="Error ▲"),"Check Data ⚠",IF(F134&lt;R134,INDEX('G-6 Hedgerow Data'!$S$3:$AE$14,MATCH(C134,'G-6 Hedgerow Data'!$B$3:$B$14,0),MATCH(M134,'G-6 Hedgerow Data'!$S$2:$AE$2,0)),INDEX('G-6 Hedgerow Data'!$K$3:$Q$14,MATCH(M134,'G-6 Hedgerow Data'!$B$3:$B$14,0),MATCH(O134,'G-6 Hedgerow Data'!$K$2:$Q$2,0)))),"")</f>
        <v/>
      </c>
      <c r="Y134" s="195"/>
      <c r="Z134" s="195"/>
      <c r="AA134" s="507" t="str">
        <f t="shared" si="11"/>
        <v/>
      </c>
      <c r="AB134" s="521" t="str">
        <f t="shared" si="12"/>
        <v/>
      </c>
      <c r="AC134" s="522" t="str">
        <f t="shared" si="9"/>
        <v/>
      </c>
      <c r="AD134" s="537" t="str">
        <f>IF(M134="","",VLOOKUP(M134,'G-6 Hedgerow Data'!$B$3:$AG$15,31,FALSE))</f>
        <v/>
      </c>
      <c r="AE134" s="520" t="str">
        <f t="shared" si="13"/>
        <v/>
      </c>
      <c r="AF134" s="520" t="str">
        <f t="shared" si="14"/>
        <v/>
      </c>
      <c r="AG134" s="524" t="str">
        <f>IFERROR(IF(O134="","",VLOOKUP(AD134,'G-3 Multipliers'!$P$3:$Q$6,2,FALSE)),"")</f>
        <v/>
      </c>
      <c r="AH134" s="197"/>
      <c r="AI134" s="499" t="str">
        <f>IF(AH134="","",IF(VLOOKUP(AH134,'G-3 Multipliers'!$S$3:$T$6,2,FALSE)=0,"Spatial Data Missing ⚠",VLOOKUP(AH134,'G-3 Multipliers'!$S$3:$T$6,2,FALSE)))</f>
        <v/>
      </c>
      <c r="AJ134" s="545" t="str">
        <f t="shared" si="15"/>
        <v/>
      </c>
      <c r="AK134" s="149"/>
      <c r="AL134" s="150"/>
      <c r="AP134" s="31" t="str">
        <f>IFERROR(INDEX('G-6 Hedgerow Data'!$BJ$3:$BJ$15,MATCH(M134,'G-6 Hedgerow Data'!$B$3:$B$15,0)),"")</f>
        <v/>
      </c>
    </row>
    <row r="135" spans="2:42" ht="14" x14ac:dyDescent="0.3">
      <c r="B135" s="531" t="str">
        <f>'E-1 Off Site Hedge Baseline'!AK133</f>
        <v/>
      </c>
      <c r="C135" s="520" t="str">
        <f>IF(B135="","",IF(ISNA(VLOOKUP($B135,'E-1 Off Site Hedge Baseline'!$B$1:$L$257,3,FALSE)),"",(VLOOKUP($B135,'E-1 Off Site Hedge Baseline'!$B$1:$L$257,3,FALSE))))</f>
        <v/>
      </c>
      <c r="D135" s="520" t="str">
        <f>IF(B135="","",IF(ISNA(VLOOKUP($B135,'E-1 Off Site Hedge Baseline'!$B$1:$L$258,4,FALSE)),"",(VLOOKUP($B135,'E-1 Off Site Hedge Baseline'!$B$1:$L$258,4,FALSE))))</f>
        <v/>
      </c>
      <c r="E135" s="520" t="str">
        <f>IF(B135="","",IF(ISNA(VLOOKUP($B135,'E-1 Off Site Hedge Baseline'!$B$1:$L$257,5,FALSE)),"",(VLOOKUP($B135,'E-1 Off Site Hedge Baseline'!$B$1:$L$257,5,FALSE))))</f>
        <v/>
      </c>
      <c r="F135" s="520" t="str">
        <f>IF(B135="","",IF(ISNA(VLOOKUP($B135,'E-1 Off Site Hedge Baseline'!$B$1:$L$257,6,FALSE)),"",(VLOOKUP($B135,'E-1 Off Site Hedge Baseline'!$B$1:$L$257,6,FALSE))))</f>
        <v/>
      </c>
      <c r="G135" s="520" t="str">
        <f>IF(B135="","",IF(ISNA(VLOOKUP($B135,'E-1 Off Site Hedge Baseline'!$B$1:$L$257,7,FALSE)),"",(VLOOKUP($B135,'E-1 Off Site Hedge Baseline'!$B$1:$L$257,7,FALSE))))</f>
        <v/>
      </c>
      <c r="H135" s="520" t="str">
        <f>IF(B135="","",IF(ISNA(VLOOKUP($B135,'E-1 Off Site Hedge Baseline'!$B$1:$L$257,8,FALSE)),"",(VLOOKUP($B135,'E-1 Off Site Hedge Baseline'!$B$1:$L$257,8,FALSE))))</f>
        <v/>
      </c>
      <c r="I135" s="520" t="str">
        <f>IF(B135="","",IF(ISNA(VLOOKUP($B135,'E-1 Off Site Hedge Baseline'!$B$1:$L$257,10,FALSE)),"",(VLOOKUP($B135,'E-1 Off Site Hedge Baseline'!$B$1:$L$257,10,FALSE))))</f>
        <v/>
      </c>
      <c r="J135" s="520" t="str">
        <f>IF(B135="","",IF(ISNA(VLOOKUP($B135,'E-1 Off Site Hedge Baseline'!$B$1:$L$257,11,FALSE)),"",(VLOOKUP($B135,'E-1 Off Site Hedge Baseline'!$B$1:$L$257,11,FALSE))))</f>
        <v/>
      </c>
      <c r="K135" s="520" t="str">
        <f>IF(B135="","",IF(ISNA(VLOOKUP($B135,'E-1 Off Site Hedge Baseline'!$B$1:$U$257,113,FALSE)),"",(VLOOKUP($B135,'E-1 Off Site Hedge Baseline'!$B$1:$U$257,13,FALSE))))</f>
        <v/>
      </c>
      <c r="L135" s="507" t="str">
        <f>IF(B135="","",IF(ISNA(VLOOKUP($B135,'E-1 Off Site Hedge Baseline'!$B$1:$U$257,12,FALSE)),"",(VLOOKUP($B135,'E-1 Off Site Hedge Baseline'!$B$1:$U$257,12,FALSE))))</f>
        <v/>
      </c>
      <c r="M135" s="418" t="str">
        <f t="shared" si="16"/>
        <v/>
      </c>
      <c r="N135" s="498" t="str">
        <f>IFERROR(IF(B135="","",INDEX('G-6 Hedgerow Data'!$AN$3:$AZ$15,MATCH(C135,'G-6 Hedgerow Data'!$AM$3:$AM$15,0),MATCH(M135,'G-6 Hedgerow Data'!$AN$2:$AZ$2,0))),"")</f>
        <v/>
      </c>
      <c r="O135" s="499" t="str">
        <f t="shared" si="10"/>
        <v/>
      </c>
      <c r="P135" s="505" t="str">
        <f>IF(B135="","",VLOOKUP(B135,'E-1 Off Site Hedge Baseline'!$B$10:T380,16,FALSE))</f>
        <v/>
      </c>
      <c r="Q135" s="498" t="str">
        <f>IF(M135="","",VLOOKUP(M135,'G-6 Hedgerow Data'!$B$2:$AG$15,2,FALSE))</f>
        <v/>
      </c>
      <c r="R135" s="499" t="str">
        <f>IF(M135="","",VLOOKUP(M135,'G-6 Hedgerow Data'!$B$2:$AG$15,3,FALSE))</f>
        <v/>
      </c>
      <c r="S135" s="145"/>
      <c r="T135" s="499" t="str">
        <f>IFERROR(IF(AND(Q135="V.Low",OR(S135="Good",S135="Moderate")),"Error ▲",VLOOKUP(S135,'G-1 All Habitats'!$Z$2:$AA$9,2,FALSE)),"")</f>
        <v/>
      </c>
      <c r="U135" s="145"/>
      <c r="V135" s="507" t="str">
        <f>IF(U135="","",IF(VLOOKUP(U135,'G-3 Multipliers'!$L$3:$N$6,2,FALSE)=0,"Spatial Data Missing ⚠",VLOOKUP(U135,'G-3 Multipliers'!$L$3:$N$6,2,FALSE)))</f>
        <v/>
      </c>
      <c r="W135" s="505" t="str">
        <f>IF(U135="","",IF(VLOOKUP(U135,'G-3 Multipliers'!$L$3:$N$6,3,FALSE)=0,"Spatial Data Missing ⚠",VLOOKUP(U135,'G-3 Multipliers'!$L$3:$N$6,3,FALSE)))</f>
        <v/>
      </c>
      <c r="X135" s="498" t="str">
        <f>IFERROR(IF(OR(LEFT(O135,5)="Error ▲",LEFT(N135,5)="Error ▲",T135="Error ▲"),"Check Data ⚠",IF(F135&lt;R135,INDEX('G-6 Hedgerow Data'!$S$3:$AE$14,MATCH(C135,'G-6 Hedgerow Data'!$B$3:$B$14,0),MATCH(M135,'G-6 Hedgerow Data'!$S$2:$AE$2,0)),INDEX('G-6 Hedgerow Data'!$K$3:$Q$14,MATCH(M135,'G-6 Hedgerow Data'!$B$3:$B$14,0),MATCH(O135,'G-6 Hedgerow Data'!$K$2:$Q$2,0)))),"")</f>
        <v/>
      </c>
      <c r="Y135" s="195"/>
      <c r="Z135" s="195"/>
      <c r="AA135" s="507" t="str">
        <f t="shared" si="11"/>
        <v/>
      </c>
      <c r="AB135" s="521" t="str">
        <f t="shared" si="12"/>
        <v/>
      </c>
      <c r="AC135" s="522" t="str">
        <f t="shared" si="9"/>
        <v/>
      </c>
      <c r="AD135" s="537" t="str">
        <f>IF(M135="","",VLOOKUP(M135,'G-6 Hedgerow Data'!$B$3:$AG$15,31,FALSE))</f>
        <v/>
      </c>
      <c r="AE135" s="520" t="str">
        <f t="shared" si="13"/>
        <v/>
      </c>
      <c r="AF135" s="520" t="str">
        <f t="shared" si="14"/>
        <v/>
      </c>
      <c r="AG135" s="524" t="str">
        <f>IFERROR(IF(O135="","",VLOOKUP(AD135,'G-3 Multipliers'!$P$3:$Q$6,2,FALSE)),"")</f>
        <v/>
      </c>
      <c r="AH135" s="197"/>
      <c r="AI135" s="499" t="str">
        <f>IF(AH135="","",IF(VLOOKUP(AH135,'G-3 Multipliers'!$S$3:$T$6,2,FALSE)=0,"Spatial Data Missing ⚠",VLOOKUP(AH135,'G-3 Multipliers'!$S$3:$T$6,2,FALSE)))</f>
        <v/>
      </c>
      <c r="AJ135" s="545" t="str">
        <f t="shared" si="15"/>
        <v/>
      </c>
      <c r="AK135" s="149"/>
      <c r="AL135" s="150"/>
      <c r="AP135" s="31" t="str">
        <f>IFERROR(INDEX('G-6 Hedgerow Data'!$BJ$3:$BJ$15,MATCH(M135,'G-6 Hedgerow Data'!$B$3:$B$15,0)),"")</f>
        <v/>
      </c>
    </row>
    <row r="136" spans="2:42" ht="14" x14ac:dyDescent="0.3">
      <c r="B136" s="531" t="str">
        <f>'E-1 Off Site Hedge Baseline'!AK134</f>
        <v/>
      </c>
      <c r="C136" s="520" t="str">
        <f>IF(B136="","",IF(ISNA(VLOOKUP($B136,'E-1 Off Site Hedge Baseline'!$B$1:$L$257,3,FALSE)),"",(VLOOKUP($B136,'E-1 Off Site Hedge Baseline'!$B$1:$L$257,3,FALSE))))</f>
        <v/>
      </c>
      <c r="D136" s="520" t="str">
        <f>IF(B136="","",IF(ISNA(VLOOKUP($B136,'E-1 Off Site Hedge Baseline'!$B$1:$L$258,4,FALSE)),"",(VLOOKUP($B136,'E-1 Off Site Hedge Baseline'!$B$1:$L$258,4,FALSE))))</f>
        <v/>
      </c>
      <c r="E136" s="520" t="str">
        <f>IF(B136="","",IF(ISNA(VLOOKUP($B136,'E-1 Off Site Hedge Baseline'!$B$1:$L$257,5,FALSE)),"",(VLOOKUP($B136,'E-1 Off Site Hedge Baseline'!$B$1:$L$257,5,FALSE))))</f>
        <v/>
      </c>
      <c r="F136" s="520" t="str">
        <f>IF(B136="","",IF(ISNA(VLOOKUP($B136,'E-1 Off Site Hedge Baseline'!$B$1:$L$257,6,FALSE)),"",(VLOOKUP($B136,'E-1 Off Site Hedge Baseline'!$B$1:$L$257,6,FALSE))))</f>
        <v/>
      </c>
      <c r="G136" s="520" t="str">
        <f>IF(B136="","",IF(ISNA(VLOOKUP($B136,'E-1 Off Site Hedge Baseline'!$B$1:$L$257,7,FALSE)),"",(VLOOKUP($B136,'E-1 Off Site Hedge Baseline'!$B$1:$L$257,7,FALSE))))</f>
        <v/>
      </c>
      <c r="H136" s="520" t="str">
        <f>IF(B136="","",IF(ISNA(VLOOKUP($B136,'E-1 Off Site Hedge Baseline'!$B$1:$L$257,8,FALSE)),"",(VLOOKUP($B136,'E-1 Off Site Hedge Baseline'!$B$1:$L$257,8,FALSE))))</f>
        <v/>
      </c>
      <c r="I136" s="520" t="str">
        <f>IF(B136="","",IF(ISNA(VLOOKUP($B136,'E-1 Off Site Hedge Baseline'!$B$1:$L$257,10,FALSE)),"",(VLOOKUP($B136,'E-1 Off Site Hedge Baseline'!$B$1:$L$257,10,FALSE))))</f>
        <v/>
      </c>
      <c r="J136" s="520" t="str">
        <f>IF(B136="","",IF(ISNA(VLOOKUP($B136,'E-1 Off Site Hedge Baseline'!$B$1:$L$257,11,FALSE)),"",(VLOOKUP($B136,'E-1 Off Site Hedge Baseline'!$B$1:$L$257,11,FALSE))))</f>
        <v/>
      </c>
      <c r="K136" s="520" t="str">
        <f>IF(B136="","",IF(ISNA(VLOOKUP($B136,'E-1 Off Site Hedge Baseline'!$B$1:$U$257,113,FALSE)),"",(VLOOKUP($B136,'E-1 Off Site Hedge Baseline'!$B$1:$U$257,13,FALSE))))</f>
        <v/>
      </c>
      <c r="L136" s="507" t="str">
        <f>IF(B136="","",IF(ISNA(VLOOKUP($B136,'E-1 Off Site Hedge Baseline'!$B$1:$U$257,12,FALSE)),"",(VLOOKUP($B136,'E-1 Off Site Hedge Baseline'!$B$1:$U$257,12,FALSE))))</f>
        <v/>
      </c>
      <c r="M136" s="418" t="str">
        <f t="shared" si="16"/>
        <v/>
      </c>
      <c r="N136" s="498" t="str">
        <f>IFERROR(IF(B136="","",INDEX('G-6 Hedgerow Data'!$AN$3:$AZ$15,MATCH(C136,'G-6 Hedgerow Data'!$AM$3:$AM$15,0),MATCH(M136,'G-6 Hedgerow Data'!$AN$2:$AZ$2,0))),"")</f>
        <v/>
      </c>
      <c r="O136" s="499" t="str">
        <f t="shared" si="10"/>
        <v/>
      </c>
      <c r="P136" s="505" t="str">
        <f>IF(B136="","",VLOOKUP(B136,'E-1 Off Site Hedge Baseline'!$B$10:T381,16,FALSE))</f>
        <v/>
      </c>
      <c r="Q136" s="498" t="str">
        <f>IF(M136="","",VLOOKUP(M136,'G-6 Hedgerow Data'!$B$2:$AG$15,2,FALSE))</f>
        <v/>
      </c>
      <c r="R136" s="499" t="str">
        <f>IF(M136="","",VLOOKUP(M136,'G-6 Hedgerow Data'!$B$2:$AG$15,3,FALSE))</f>
        <v/>
      </c>
      <c r="S136" s="145"/>
      <c r="T136" s="499" t="str">
        <f>IFERROR(IF(AND(Q136="V.Low",OR(S136="Good",S136="Moderate")),"Error ▲",VLOOKUP(S136,'G-1 All Habitats'!$Z$2:$AA$9,2,FALSE)),"")</f>
        <v/>
      </c>
      <c r="U136" s="145"/>
      <c r="V136" s="507" t="str">
        <f>IF(U136="","",IF(VLOOKUP(U136,'G-3 Multipliers'!$L$3:$N$6,2,FALSE)=0,"Spatial Data Missing ⚠",VLOOKUP(U136,'G-3 Multipliers'!$L$3:$N$6,2,FALSE)))</f>
        <v/>
      </c>
      <c r="W136" s="505" t="str">
        <f>IF(U136="","",IF(VLOOKUP(U136,'G-3 Multipliers'!$L$3:$N$6,3,FALSE)=0,"Spatial Data Missing ⚠",VLOOKUP(U136,'G-3 Multipliers'!$L$3:$N$6,3,FALSE)))</f>
        <v/>
      </c>
      <c r="X136" s="498" t="str">
        <f>IFERROR(IF(OR(LEFT(O136,5)="Error ▲",LEFT(N136,5)="Error ▲",T136="Error ▲"),"Check Data ⚠",IF(F136&lt;R136,INDEX('G-6 Hedgerow Data'!$S$3:$AE$14,MATCH(C136,'G-6 Hedgerow Data'!$B$3:$B$14,0),MATCH(M136,'G-6 Hedgerow Data'!$S$2:$AE$2,0)),INDEX('G-6 Hedgerow Data'!$K$3:$Q$14,MATCH(M136,'G-6 Hedgerow Data'!$B$3:$B$14,0),MATCH(O136,'G-6 Hedgerow Data'!$K$2:$Q$2,0)))),"")</f>
        <v/>
      </c>
      <c r="Y136" s="195"/>
      <c r="Z136" s="195"/>
      <c r="AA136" s="507" t="str">
        <f t="shared" si="11"/>
        <v/>
      </c>
      <c r="AB136" s="521" t="str">
        <f t="shared" si="12"/>
        <v/>
      </c>
      <c r="AC136" s="522" t="str">
        <f t="shared" si="9"/>
        <v/>
      </c>
      <c r="AD136" s="537" t="str">
        <f>IF(M136="","",VLOOKUP(M136,'G-6 Hedgerow Data'!$B$3:$AG$15,31,FALSE))</f>
        <v/>
      </c>
      <c r="AE136" s="520" t="str">
        <f t="shared" si="13"/>
        <v/>
      </c>
      <c r="AF136" s="520" t="str">
        <f t="shared" si="14"/>
        <v/>
      </c>
      <c r="AG136" s="524" t="str">
        <f>IFERROR(IF(O136="","",VLOOKUP(AD136,'G-3 Multipliers'!$P$3:$Q$6,2,FALSE)),"")</f>
        <v/>
      </c>
      <c r="AH136" s="197"/>
      <c r="AI136" s="499" t="str">
        <f>IF(AH136="","",IF(VLOOKUP(AH136,'G-3 Multipliers'!$S$3:$T$6,2,FALSE)=0,"Spatial Data Missing ⚠",VLOOKUP(AH136,'G-3 Multipliers'!$S$3:$T$6,2,FALSE)))</f>
        <v/>
      </c>
      <c r="AJ136" s="545" t="str">
        <f t="shared" si="15"/>
        <v/>
      </c>
      <c r="AK136" s="149"/>
      <c r="AL136" s="150"/>
      <c r="AP136" s="31" t="str">
        <f>IFERROR(INDEX('G-6 Hedgerow Data'!$BJ$3:$BJ$15,MATCH(M136,'G-6 Hedgerow Data'!$B$3:$B$15,0)),"")</f>
        <v/>
      </c>
    </row>
    <row r="137" spans="2:42" ht="14" x14ac:dyDescent="0.3">
      <c r="B137" s="531" t="str">
        <f>'E-1 Off Site Hedge Baseline'!AK135</f>
        <v/>
      </c>
      <c r="C137" s="520" t="str">
        <f>IF(B137="","",IF(ISNA(VLOOKUP($B137,'E-1 Off Site Hedge Baseline'!$B$1:$L$257,3,FALSE)),"",(VLOOKUP($B137,'E-1 Off Site Hedge Baseline'!$B$1:$L$257,3,FALSE))))</f>
        <v/>
      </c>
      <c r="D137" s="520" t="str">
        <f>IF(B137="","",IF(ISNA(VLOOKUP($B137,'E-1 Off Site Hedge Baseline'!$B$1:$L$258,4,FALSE)),"",(VLOOKUP($B137,'E-1 Off Site Hedge Baseline'!$B$1:$L$258,4,FALSE))))</f>
        <v/>
      </c>
      <c r="E137" s="520" t="str">
        <f>IF(B137="","",IF(ISNA(VLOOKUP($B137,'E-1 Off Site Hedge Baseline'!$B$1:$L$257,5,FALSE)),"",(VLOOKUP($B137,'E-1 Off Site Hedge Baseline'!$B$1:$L$257,5,FALSE))))</f>
        <v/>
      </c>
      <c r="F137" s="520" t="str">
        <f>IF(B137="","",IF(ISNA(VLOOKUP($B137,'E-1 Off Site Hedge Baseline'!$B$1:$L$257,6,FALSE)),"",(VLOOKUP($B137,'E-1 Off Site Hedge Baseline'!$B$1:$L$257,6,FALSE))))</f>
        <v/>
      </c>
      <c r="G137" s="520" t="str">
        <f>IF(B137="","",IF(ISNA(VLOOKUP($B137,'E-1 Off Site Hedge Baseline'!$B$1:$L$257,7,FALSE)),"",(VLOOKUP($B137,'E-1 Off Site Hedge Baseline'!$B$1:$L$257,7,FALSE))))</f>
        <v/>
      </c>
      <c r="H137" s="520" t="str">
        <f>IF(B137="","",IF(ISNA(VLOOKUP($B137,'E-1 Off Site Hedge Baseline'!$B$1:$L$257,8,FALSE)),"",(VLOOKUP($B137,'E-1 Off Site Hedge Baseline'!$B$1:$L$257,8,FALSE))))</f>
        <v/>
      </c>
      <c r="I137" s="520" t="str">
        <f>IF(B137="","",IF(ISNA(VLOOKUP($B137,'E-1 Off Site Hedge Baseline'!$B$1:$L$257,10,FALSE)),"",(VLOOKUP($B137,'E-1 Off Site Hedge Baseline'!$B$1:$L$257,10,FALSE))))</f>
        <v/>
      </c>
      <c r="J137" s="520" t="str">
        <f>IF(B137="","",IF(ISNA(VLOOKUP($B137,'E-1 Off Site Hedge Baseline'!$B$1:$L$257,11,FALSE)),"",(VLOOKUP($B137,'E-1 Off Site Hedge Baseline'!$B$1:$L$257,11,FALSE))))</f>
        <v/>
      </c>
      <c r="K137" s="520" t="str">
        <f>IF(B137="","",IF(ISNA(VLOOKUP($B137,'E-1 Off Site Hedge Baseline'!$B$1:$U$257,113,FALSE)),"",(VLOOKUP($B137,'E-1 Off Site Hedge Baseline'!$B$1:$U$257,13,FALSE))))</f>
        <v/>
      </c>
      <c r="L137" s="507" t="str">
        <f>IF(B137="","",IF(ISNA(VLOOKUP($B137,'E-1 Off Site Hedge Baseline'!$B$1:$U$257,12,FALSE)),"",(VLOOKUP($B137,'E-1 Off Site Hedge Baseline'!$B$1:$U$257,12,FALSE))))</f>
        <v/>
      </c>
      <c r="M137" s="418" t="str">
        <f t="shared" si="16"/>
        <v/>
      </c>
      <c r="N137" s="498" t="str">
        <f>IFERROR(IF(B137="","",INDEX('G-6 Hedgerow Data'!$AN$3:$AZ$15,MATCH(C137,'G-6 Hedgerow Data'!$AM$3:$AM$15,0),MATCH(M137,'G-6 Hedgerow Data'!$AN$2:$AZ$2,0))),"")</f>
        <v/>
      </c>
      <c r="O137" s="499" t="str">
        <f t="shared" si="10"/>
        <v/>
      </c>
      <c r="P137" s="505" t="str">
        <f>IF(B137="","",VLOOKUP(B137,'E-1 Off Site Hedge Baseline'!$B$10:T382,16,FALSE))</f>
        <v/>
      </c>
      <c r="Q137" s="498" t="str">
        <f>IF(M137="","",VLOOKUP(M137,'G-6 Hedgerow Data'!$B$2:$AG$15,2,FALSE))</f>
        <v/>
      </c>
      <c r="R137" s="499" t="str">
        <f>IF(M137="","",VLOOKUP(M137,'G-6 Hedgerow Data'!$B$2:$AG$15,3,FALSE))</f>
        <v/>
      </c>
      <c r="S137" s="145"/>
      <c r="T137" s="499" t="str">
        <f>IFERROR(IF(AND(Q137="V.Low",OR(S137="Good",S137="Moderate")),"Error ▲",VLOOKUP(S137,'G-1 All Habitats'!$Z$2:$AA$9,2,FALSE)),"")</f>
        <v/>
      </c>
      <c r="U137" s="145"/>
      <c r="V137" s="507" t="str">
        <f>IF(U137="","",IF(VLOOKUP(U137,'G-3 Multipliers'!$L$3:$N$6,2,FALSE)=0,"Spatial Data Missing ⚠",VLOOKUP(U137,'G-3 Multipliers'!$L$3:$N$6,2,FALSE)))</f>
        <v/>
      </c>
      <c r="W137" s="505" t="str">
        <f>IF(U137="","",IF(VLOOKUP(U137,'G-3 Multipliers'!$L$3:$N$6,3,FALSE)=0,"Spatial Data Missing ⚠",VLOOKUP(U137,'G-3 Multipliers'!$L$3:$N$6,3,FALSE)))</f>
        <v/>
      </c>
      <c r="X137" s="498" t="str">
        <f>IFERROR(IF(OR(LEFT(O137,5)="Error ▲",LEFT(N137,5)="Error ▲",T137="Error ▲"),"Check Data ⚠",IF(F137&lt;R137,INDEX('G-6 Hedgerow Data'!$S$3:$AE$14,MATCH(C137,'G-6 Hedgerow Data'!$B$3:$B$14,0),MATCH(M137,'G-6 Hedgerow Data'!$S$2:$AE$2,0)),INDEX('G-6 Hedgerow Data'!$K$3:$Q$14,MATCH(M137,'G-6 Hedgerow Data'!$B$3:$B$14,0),MATCH(O137,'G-6 Hedgerow Data'!$K$2:$Q$2,0)))),"")</f>
        <v/>
      </c>
      <c r="Y137" s="195"/>
      <c r="Z137" s="195"/>
      <c r="AA137" s="507" t="str">
        <f t="shared" si="11"/>
        <v/>
      </c>
      <c r="AB137" s="521" t="str">
        <f t="shared" si="12"/>
        <v/>
      </c>
      <c r="AC137" s="522" t="str">
        <f t="shared" si="9"/>
        <v/>
      </c>
      <c r="AD137" s="537" t="str">
        <f>IF(M137="","",VLOOKUP(M137,'G-6 Hedgerow Data'!$B$3:$AG$15,31,FALSE))</f>
        <v/>
      </c>
      <c r="AE137" s="520" t="str">
        <f t="shared" si="13"/>
        <v/>
      </c>
      <c r="AF137" s="520" t="str">
        <f t="shared" si="14"/>
        <v/>
      </c>
      <c r="AG137" s="524" t="str">
        <f>IFERROR(IF(O137="","",VLOOKUP(AD137,'G-3 Multipliers'!$P$3:$Q$6,2,FALSE)),"")</f>
        <v/>
      </c>
      <c r="AH137" s="197"/>
      <c r="AI137" s="499" t="str">
        <f>IF(AH137="","",IF(VLOOKUP(AH137,'G-3 Multipliers'!$S$3:$T$6,2,FALSE)=0,"Spatial Data Missing ⚠",VLOOKUP(AH137,'G-3 Multipliers'!$S$3:$T$6,2,FALSE)))</f>
        <v/>
      </c>
      <c r="AJ137" s="545" t="str">
        <f t="shared" si="15"/>
        <v/>
      </c>
      <c r="AK137" s="149"/>
      <c r="AL137" s="150"/>
      <c r="AP137" s="31" t="str">
        <f>IFERROR(INDEX('G-6 Hedgerow Data'!$BJ$3:$BJ$15,MATCH(M137,'G-6 Hedgerow Data'!$B$3:$B$15,0)),"")</f>
        <v/>
      </c>
    </row>
    <row r="138" spans="2:42" ht="14" x14ac:dyDescent="0.3">
      <c r="B138" s="531" t="str">
        <f>'E-1 Off Site Hedge Baseline'!AK136</f>
        <v/>
      </c>
      <c r="C138" s="520" t="str">
        <f>IF(B138="","",IF(ISNA(VLOOKUP($B138,'E-1 Off Site Hedge Baseline'!$B$1:$L$257,3,FALSE)),"",(VLOOKUP($B138,'E-1 Off Site Hedge Baseline'!$B$1:$L$257,3,FALSE))))</f>
        <v/>
      </c>
      <c r="D138" s="520" t="str">
        <f>IF(B138="","",IF(ISNA(VLOOKUP($B138,'E-1 Off Site Hedge Baseline'!$B$1:$L$258,4,FALSE)),"",(VLOOKUP($B138,'E-1 Off Site Hedge Baseline'!$B$1:$L$258,4,FALSE))))</f>
        <v/>
      </c>
      <c r="E138" s="520" t="str">
        <f>IF(B138="","",IF(ISNA(VLOOKUP($B138,'E-1 Off Site Hedge Baseline'!$B$1:$L$257,5,FALSE)),"",(VLOOKUP($B138,'E-1 Off Site Hedge Baseline'!$B$1:$L$257,5,FALSE))))</f>
        <v/>
      </c>
      <c r="F138" s="520" t="str">
        <f>IF(B138="","",IF(ISNA(VLOOKUP($B138,'E-1 Off Site Hedge Baseline'!$B$1:$L$257,6,FALSE)),"",(VLOOKUP($B138,'E-1 Off Site Hedge Baseline'!$B$1:$L$257,6,FALSE))))</f>
        <v/>
      </c>
      <c r="G138" s="520" t="str">
        <f>IF(B138="","",IF(ISNA(VLOOKUP($B138,'E-1 Off Site Hedge Baseline'!$B$1:$L$257,7,FALSE)),"",(VLOOKUP($B138,'E-1 Off Site Hedge Baseline'!$B$1:$L$257,7,FALSE))))</f>
        <v/>
      </c>
      <c r="H138" s="520" t="str">
        <f>IF(B138="","",IF(ISNA(VLOOKUP($B138,'E-1 Off Site Hedge Baseline'!$B$1:$L$257,8,FALSE)),"",(VLOOKUP($B138,'E-1 Off Site Hedge Baseline'!$B$1:$L$257,8,FALSE))))</f>
        <v/>
      </c>
      <c r="I138" s="520" t="str">
        <f>IF(B138="","",IF(ISNA(VLOOKUP($B138,'E-1 Off Site Hedge Baseline'!$B$1:$L$257,10,FALSE)),"",(VLOOKUP($B138,'E-1 Off Site Hedge Baseline'!$B$1:$L$257,10,FALSE))))</f>
        <v/>
      </c>
      <c r="J138" s="520" t="str">
        <f>IF(B138="","",IF(ISNA(VLOOKUP($B138,'E-1 Off Site Hedge Baseline'!$B$1:$L$257,11,FALSE)),"",(VLOOKUP($B138,'E-1 Off Site Hedge Baseline'!$B$1:$L$257,11,FALSE))))</f>
        <v/>
      </c>
      <c r="K138" s="520" t="str">
        <f>IF(B138="","",IF(ISNA(VLOOKUP($B138,'E-1 Off Site Hedge Baseline'!$B$1:$U$257,113,FALSE)),"",(VLOOKUP($B138,'E-1 Off Site Hedge Baseline'!$B$1:$U$257,13,FALSE))))</f>
        <v/>
      </c>
      <c r="L138" s="507" t="str">
        <f>IF(B138="","",IF(ISNA(VLOOKUP($B138,'E-1 Off Site Hedge Baseline'!$B$1:$U$257,12,FALSE)),"",(VLOOKUP($B138,'E-1 Off Site Hedge Baseline'!$B$1:$U$257,12,FALSE))))</f>
        <v/>
      </c>
      <c r="M138" s="418" t="str">
        <f t="shared" si="16"/>
        <v/>
      </c>
      <c r="N138" s="498" t="str">
        <f>IFERROR(IF(B138="","",INDEX('G-6 Hedgerow Data'!$AN$3:$AZ$15,MATCH(C138,'G-6 Hedgerow Data'!$AM$3:$AM$15,0),MATCH(M138,'G-6 Hedgerow Data'!$AN$2:$AZ$2,0))),"")</f>
        <v/>
      </c>
      <c r="O138" s="499" t="str">
        <f t="shared" si="10"/>
        <v/>
      </c>
      <c r="P138" s="505" t="str">
        <f>IF(B138="","",VLOOKUP(B138,'E-1 Off Site Hedge Baseline'!$B$10:T383,16,FALSE))</f>
        <v/>
      </c>
      <c r="Q138" s="498" t="str">
        <f>IF(M138="","",VLOOKUP(M138,'G-6 Hedgerow Data'!$B$2:$AG$15,2,FALSE))</f>
        <v/>
      </c>
      <c r="R138" s="499" t="str">
        <f>IF(M138="","",VLOOKUP(M138,'G-6 Hedgerow Data'!$B$2:$AG$15,3,FALSE))</f>
        <v/>
      </c>
      <c r="S138" s="145"/>
      <c r="T138" s="499" t="str">
        <f>IFERROR(IF(AND(Q138="V.Low",OR(S138="Good",S138="Moderate")),"Error ▲",VLOOKUP(S138,'G-1 All Habitats'!$Z$2:$AA$9,2,FALSE)),"")</f>
        <v/>
      </c>
      <c r="U138" s="145"/>
      <c r="V138" s="507" t="str">
        <f>IF(U138="","",IF(VLOOKUP(U138,'G-3 Multipliers'!$L$3:$N$6,2,FALSE)=0,"Spatial Data Missing ⚠",VLOOKUP(U138,'G-3 Multipliers'!$L$3:$N$6,2,FALSE)))</f>
        <v/>
      </c>
      <c r="W138" s="505" t="str">
        <f>IF(U138="","",IF(VLOOKUP(U138,'G-3 Multipliers'!$L$3:$N$6,3,FALSE)=0,"Spatial Data Missing ⚠",VLOOKUP(U138,'G-3 Multipliers'!$L$3:$N$6,3,FALSE)))</f>
        <v/>
      </c>
      <c r="X138" s="498" t="str">
        <f>IFERROR(IF(OR(LEFT(O138,5)="Error ▲",LEFT(N138,5)="Error ▲",T138="Error ▲"),"Check Data ⚠",IF(F138&lt;R138,INDEX('G-6 Hedgerow Data'!$S$3:$AE$14,MATCH(C138,'G-6 Hedgerow Data'!$B$3:$B$14,0),MATCH(M138,'G-6 Hedgerow Data'!$S$2:$AE$2,0)),INDEX('G-6 Hedgerow Data'!$K$3:$Q$14,MATCH(M138,'G-6 Hedgerow Data'!$B$3:$B$14,0),MATCH(O138,'G-6 Hedgerow Data'!$K$2:$Q$2,0)))),"")</f>
        <v/>
      </c>
      <c r="Y138" s="195"/>
      <c r="Z138" s="195"/>
      <c r="AA138" s="507" t="str">
        <f t="shared" si="11"/>
        <v/>
      </c>
      <c r="AB138" s="521" t="str">
        <f t="shared" si="12"/>
        <v/>
      </c>
      <c r="AC138" s="522" t="str">
        <f t="shared" si="9"/>
        <v/>
      </c>
      <c r="AD138" s="537" t="str">
        <f>IF(M138="","",VLOOKUP(M138,'G-6 Hedgerow Data'!$B$3:$AG$15,31,FALSE))</f>
        <v/>
      </c>
      <c r="AE138" s="520" t="str">
        <f t="shared" si="13"/>
        <v/>
      </c>
      <c r="AF138" s="520" t="str">
        <f t="shared" si="14"/>
        <v/>
      </c>
      <c r="AG138" s="524" t="str">
        <f>IFERROR(IF(O138="","",VLOOKUP(AD138,'G-3 Multipliers'!$P$3:$Q$6,2,FALSE)),"")</f>
        <v/>
      </c>
      <c r="AH138" s="197"/>
      <c r="AI138" s="499" t="str">
        <f>IF(AH138="","",IF(VLOOKUP(AH138,'G-3 Multipliers'!$S$3:$T$6,2,FALSE)=0,"Spatial Data Missing ⚠",VLOOKUP(AH138,'G-3 Multipliers'!$S$3:$T$6,2,FALSE)))</f>
        <v/>
      </c>
      <c r="AJ138" s="545" t="str">
        <f t="shared" si="15"/>
        <v/>
      </c>
      <c r="AK138" s="149"/>
      <c r="AL138" s="150"/>
      <c r="AP138" s="31" t="str">
        <f>IFERROR(INDEX('G-6 Hedgerow Data'!$BJ$3:$BJ$15,MATCH(M138,'G-6 Hedgerow Data'!$B$3:$B$15,0)),"")</f>
        <v/>
      </c>
    </row>
    <row r="139" spans="2:42" ht="14" x14ac:dyDescent="0.3">
      <c r="B139" s="531" t="str">
        <f>'E-1 Off Site Hedge Baseline'!AK137</f>
        <v/>
      </c>
      <c r="C139" s="520" t="str">
        <f>IF(B139="","",IF(ISNA(VLOOKUP($B139,'E-1 Off Site Hedge Baseline'!$B$1:$L$257,3,FALSE)),"",(VLOOKUP($B139,'E-1 Off Site Hedge Baseline'!$B$1:$L$257,3,FALSE))))</f>
        <v/>
      </c>
      <c r="D139" s="520" t="str">
        <f>IF(B139="","",IF(ISNA(VLOOKUP($B139,'E-1 Off Site Hedge Baseline'!$B$1:$L$258,4,FALSE)),"",(VLOOKUP($B139,'E-1 Off Site Hedge Baseline'!$B$1:$L$258,4,FALSE))))</f>
        <v/>
      </c>
      <c r="E139" s="520" t="str">
        <f>IF(B139="","",IF(ISNA(VLOOKUP($B139,'E-1 Off Site Hedge Baseline'!$B$1:$L$257,5,FALSE)),"",(VLOOKUP($B139,'E-1 Off Site Hedge Baseline'!$B$1:$L$257,5,FALSE))))</f>
        <v/>
      </c>
      <c r="F139" s="520" t="str">
        <f>IF(B139="","",IF(ISNA(VLOOKUP($B139,'E-1 Off Site Hedge Baseline'!$B$1:$L$257,6,FALSE)),"",(VLOOKUP($B139,'E-1 Off Site Hedge Baseline'!$B$1:$L$257,6,FALSE))))</f>
        <v/>
      </c>
      <c r="G139" s="520" t="str">
        <f>IF(B139="","",IF(ISNA(VLOOKUP($B139,'E-1 Off Site Hedge Baseline'!$B$1:$L$257,7,FALSE)),"",(VLOOKUP($B139,'E-1 Off Site Hedge Baseline'!$B$1:$L$257,7,FALSE))))</f>
        <v/>
      </c>
      <c r="H139" s="520" t="str">
        <f>IF(B139="","",IF(ISNA(VLOOKUP($B139,'E-1 Off Site Hedge Baseline'!$B$1:$L$257,8,FALSE)),"",(VLOOKUP($B139,'E-1 Off Site Hedge Baseline'!$B$1:$L$257,8,FALSE))))</f>
        <v/>
      </c>
      <c r="I139" s="520" t="str">
        <f>IF(B139="","",IF(ISNA(VLOOKUP($B139,'E-1 Off Site Hedge Baseline'!$B$1:$L$257,10,FALSE)),"",(VLOOKUP($B139,'E-1 Off Site Hedge Baseline'!$B$1:$L$257,10,FALSE))))</f>
        <v/>
      </c>
      <c r="J139" s="520" t="str">
        <f>IF(B139="","",IF(ISNA(VLOOKUP($B139,'E-1 Off Site Hedge Baseline'!$B$1:$L$257,11,FALSE)),"",(VLOOKUP($B139,'E-1 Off Site Hedge Baseline'!$B$1:$L$257,11,FALSE))))</f>
        <v/>
      </c>
      <c r="K139" s="520" t="str">
        <f>IF(B139="","",IF(ISNA(VLOOKUP($B139,'E-1 Off Site Hedge Baseline'!$B$1:$U$257,113,FALSE)),"",(VLOOKUP($B139,'E-1 Off Site Hedge Baseline'!$B$1:$U$257,13,FALSE))))</f>
        <v/>
      </c>
      <c r="L139" s="507" t="str">
        <f>IF(B139="","",IF(ISNA(VLOOKUP($B139,'E-1 Off Site Hedge Baseline'!$B$1:$U$257,12,FALSE)),"",(VLOOKUP($B139,'E-1 Off Site Hedge Baseline'!$B$1:$U$257,12,FALSE))))</f>
        <v/>
      </c>
      <c r="M139" s="418" t="str">
        <f t="shared" si="16"/>
        <v/>
      </c>
      <c r="N139" s="498" t="str">
        <f>IFERROR(IF(B139="","",INDEX('G-6 Hedgerow Data'!$AN$3:$AZ$15,MATCH(C139,'G-6 Hedgerow Data'!$AM$3:$AM$15,0),MATCH(M139,'G-6 Hedgerow Data'!$AN$2:$AZ$2,0))),"")</f>
        <v/>
      </c>
      <c r="O139" s="499" t="str">
        <f t="shared" si="10"/>
        <v/>
      </c>
      <c r="P139" s="505" t="str">
        <f>IF(B139="","",VLOOKUP(B139,'E-1 Off Site Hedge Baseline'!$B$10:T384,16,FALSE))</f>
        <v/>
      </c>
      <c r="Q139" s="498" t="str">
        <f>IF(M139="","",VLOOKUP(M139,'G-6 Hedgerow Data'!$B$2:$AG$15,2,FALSE))</f>
        <v/>
      </c>
      <c r="R139" s="499" t="str">
        <f>IF(M139="","",VLOOKUP(M139,'G-6 Hedgerow Data'!$B$2:$AG$15,3,FALSE))</f>
        <v/>
      </c>
      <c r="S139" s="145"/>
      <c r="T139" s="499" t="str">
        <f>IFERROR(IF(AND(Q139="V.Low",OR(S139="Good",S139="Moderate")),"Error ▲",VLOOKUP(S139,'G-1 All Habitats'!$Z$2:$AA$9,2,FALSE)),"")</f>
        <v/>
      </c>
      <c r="U139" s="145"/>
      <c r="V139" s="507" t="str">
        <f>IF(U139="","",IF(VLOOKUP(U139,'G-3 Multipliers'!$L$3:$N$6,2,FALSE)=0,"Spatial Data Missing ⚠",VLOOKUP(U139,'G-3 Multipliers'!$L$3:$N$6,2,FALSE)))</f>
        <v/>
      </c>
      <c r="W139" s="505" t="str">
        <f>IF(U139="","",IF(VLOOKUP(U139,'G-3 Multipliers'!$L$3:$N$6,3,FALSE)=0,"Spatial Data Missing ⚠",VLOOKUP(U139,'G-3 Multipliers'!$L$3:$N$6,3,FALSE)))</f>
        <v/>
      </c>
      <c r="X139" s="498" t="str">
        <f>IFERROR(IF(OR(LEFT(O139,5)="Error ▲",LEFT(N139,5)="Error ▲",T139="Error ▲"),"Check Data ⚠",IF(F139&lt;R139,INDEX('G-6 Hedgerow Data'!$S$3:$AE$14,MATCH(C139,'G-6 Hedgerow Data'!$B$3:$B$14,0),MATCH(M139,'G-6 Hedgerow Data'!$S$2:$AE$2,0)),INDEX('G-6 Hedgerow Data'!$K$3:$Q$14,MATCH(M139,'G-6 Hedgerow Data'!$B$3:$B$14,0),MATCH(O139,'G-6 Hedgerow Data'!$K$2:$Q$2,0)))),"")</f>
        <v/>
      </c>
      <c r="Y139" s="195"/>
      <c r="Z139" s="195"/>
      <c r="AA139" s="507" t="str">
        <f t="shared" si="11"/>
        <v/>
      </c>
      <c r="AB139" s="521" t="str">
        <f t="shared" si="12"/>
        <v/>
      </c>
      <c r="AC139" s="522" t="str">
        <f t="shared" si="9"/>
        <v/>
      </c>
      <c r="AD139" s="537" t="str">
        <f>IF(M139="","",VLOOKUP(M139,'G-6 Hedgerow Data'!$B$3:$AG$15,31,FALSE))</f>
        <v/>
      </c>
      <c r="AE139" s="520" t="str">
        <f t="shared" si="13"/>
        <v/>
      </c>
      <c r="AF139" s="520" t="str">
        <f t="shared" si="14"/>
        <v/>
      </c>
      <c r="AG139" s="524" t="str">
        <f>IFERROR(IF(O139="","",VLOOKUP(AD139,'G-3 Multipliers'!$P$3:$Q$6,2,FALSE)),"")</f>
        <v/>
      </c>
      <c r="AH139" s="197"/>
      <c r="AI139" s="499" t="str">
        <f>IF(AH139="","",IF(VLOOKUP(AH139,'G-3 Multipliers'!$S$3:$T$6,2,FALSE)=0,"Spatial Data Missing ⚠",VLOOKUP(AH139,'G-3 Multipliers'!$S$3:$T$6,2,FALSE)))</f>
        <v/>
      </c>
      <c r="AJ139" s="545" t="str">
        <f t="shared" si="15"/>
        <v/>
      </c>
      <c r="AK139" s="149"/>
      <c r="AL139" s="150"/>
      <c r="AP139" s="31" t="str">
        <f>IFERROR(INDEX('G-6 Hedgerow Data'!$BJ$3:$BJ$15,MATCH(M139,'G-6 Hedgerow Data'!$B$3:$B$15,0)),"")</f>
        <v/>
      </c>
    </row>
    <row r="140" spans="2:42" ht="14" x14ac:dyDescent="0.3">
      <c r="B140" s="531" t="str">
        <f>'E-1 Off Site Hedge Baseline'!AK138</f>
        <v/>
      </c>
      <c r="C140" s="520" t="str">
        <f>IF(B140="","",IF(ISNA(VLOOKUP($B140,'E-1 Off Site Hedge Baseline'!$B$1:$L$257,3,FALSE)),"",(VLOOKUP($B140,'E-1 Off Site Hedge Baseline'!$B$1:$L$257,3,FALSE))))</f>
        <v/>
      </c>
      <c r="D140" s="520" t="str">
        <f>IF(B140="","",IF(ISNA(VLOOKUP($B140,'E-1 Off Site Hedge Baseline'!$B$1:$L$258,4,FALSE)),"",(VLOOKUP($B140,'E-1 Off Site Hedge Baseline'!$B$1:$L$258,4,FALSE))))</f>
        <v/>
      </c>
      <c r="E140" s="520" t="str">
        <f>IF(B140="","",IF(ISNA(VLOOKUP($B140,'E-1 Off Site Hedge Baseline'!$B$1:$L$257,5,FALSE)),"",(VLOOKUP($B140,'E-1 Off Site Hedge Baseline'!$B$1:$L$257,5,FALSE))))</f>
        <v/>
      </c>
      <c r="F140" s="520" t="str">
        <f>IF(B140="","",IF(ISNA(VLOOKUP($B140,'E-1 Off Site Hedge Baseline'!$B$1:$L$257,6,FALSE)),"",(VLOOKUP($B140,'E-1 Off Site Hedge Baseline'!$B$1:$L$257,6,FALSE))))</f>
        <v/>
      </c>
      <c r="G140" s="520" t="str">
        <f>IF(B140="","",IF(ISNA(VLOOKUP($B140,'E-1 Off Site Hedge Baseline'!$B$1:$L$257,7,FALSE)),"",(VLOOKUP($B140,'E-1 Off Site Hedge Baseline'!$B$1:$L$257,7,FALSE))))</f>
        <v/>
      </c>
      <c r="H140" s="520" t="str">
        <f>IF(B140="","",IF(ISNA(VLOOKUP($B140,'E-1 Off Site Hedge Baseline'!$B$1:$L$257,8,FALSE)),"",(VLOOKUP($B140,'E-1 Off Site Hedge Baseline'!$B$1:$L$257,8,FALSE))))</f>
        <v/>
      </c>
      <c r="I140" s="520" t="str">
        <f>IF(B140="","",IF(ISNA(VLOOKUP($B140,'E-1 Off Site Hedge Baseline'!$B$1:$L$257,10,FALSE)),"",(VLOOKUP($B140,'E-1 Off Site Hedge Baseline'!$B$1:$L$257,10,FALSE))))</f>
        <v/>
      </c>
      <c r="J140" s="520" t="str">
        <f>IF(B140="","",IF(ISNA(VLOOKUP($B140,'E-1 Off Site Hedge Baseline'!$B$1:$L$257,11,FALSE)),"",(VLOOKUP($B140,'E-1 Off Site Hedge Baseline'!$B$1:$L$257,11,FALSE))))</f>
        <v/>
      </c>
      <c r="K140" s="520" t="str">
        <f>IF(B140="","",IF(ISNA(VLOOKUP($B140,'E-1 Off Site Hedge Baseline'!$B$1:$U$257,113,FALSE)),"",(VLOOKUP($B140,'E-1 Off Site Hedge Baseline'!$B$1:$U$257,13,FALSE))))</f>
        <v/>
      </c>
      <c r="L140" s="507" t="str">
        <f>IF(B140="","",IF(ISNA(VLOOKUP($B140,'E-1 Off Site Hedge Baseline'!$B$1:$U$257,12,FALSE)),"",(VLOOKUP($B140,'E-1 Off Site Hedge Baseline'!$B$1:$U$257,12,FALSE))))</f>
        <v/>
      </c>
      <c r="M140" s="418" t="str">
        <f t="shared" si="16"/>
        <v/>
      </c>
      <c r="N140" s="498" t="str">
        <f>IFERROR(IF(B140="","",INDEX('G-6 Hedgerow Data'!$AN$3:$AZ$15,MATCH(C140,'G-6 Hedgerow Data'!$AM$3:$AM$15,0),MATCH(M140,'G-6 Hedgerow Data'!$AN$2:$AZ$2,0))),"")</f>
        <v/>
      </c>
      <c r="O140" s="499" t="str">
        <f t="shared" si="10"/>
        <v/>
      </c>
      <c r="P140" s="505" t="str">
        <f>IF(B140="","",VLOOKUP(B140,'E-1 Off Site Hedge Baseline'!$B$10:T385,16,FALSE))</f>
        <v/>
      </c>
      <c r="Q140" s="498" t="str">
        <f>IF(M140="","",VLOOKUP(M140,'G-6 Hedgerow Data'!$B$2:$AG$15,2,FALSE))</f>
        <v/>
      </c>
      <c r="R140" s="499" t="str">
        <f>IF(M140="","",VLOOKUP(M140,'G-6 Hedgerow Data'!$B$2:$AG$15,3,FALSE))</f>
        <v/>
      </c>
      <c r="S140" s="145"/>
      <c r="T140" s="499" t="str">
        <f>IFERROR(IF(AND(Q140="V.Low",OR(S140="Good",S140="Moderate")),"Error ▲",VLOOKUP(S140,'G-1 All Habitats'!$Z$2:$AA$9,2,FALSE)),"")</f>
        <v/>
      </c>
      <c r="U140" s="145"/>
      <c r="V140" s="507" t="str">
        <f>IF(U140="","",IF(VLOOKUP(U140,'G-3 Multipliers'!$L$3:$N$6,2,FALSE)=0,"Spatial Data Missing ⚠",VLOOKUP(U140,'G-3 Multipliers'!$L$3:$N$6,2,FALSE)))</f>
        <v/>
      </c>
      <c r="W140" s="505" t="str">
        <f>IF(U140="","",IF(VLOOKUP(U140,'G-3 Multipliers'!$L$3:$N$6,3,FALSE)=0,"Spatial Data Missing ⚠",VLOOKUP(U140,'G-3 Multipliers'!$L$3:$N$6,3,FALSE)))</f>
        <v/>
      </c>
      <c r="X140" s="498" t="str">
        <f>IFERROR(IF(OR(LEFT(O140,5)="Error ▲",LEFT(N140,5)="Error ▲",T140="Error ▲"),"Check Data ⚠",IF(F140&lt;R140,INDEX('G-6 Hedgerow Data'!$S$3:$AE$14,MATCH(C140,'G-6 Hedgerow Data'!$B$3:$B$14,0),MATCH(M140,'G-6 Hedgerow Data'!$S$2:$AE$2,0)),INDEX('G-6 Hedgerow Data'!$K$3:$Q$14,MATCH(M140,'G-6 Hedgerow Data'!$B$3:$B$14,0),MATCH(O140,'G-6 Hedgerow Data'!$K$2:$Q$2,0)))),"")</f>
        <v/>
      </c>
      <c r="Y140" s="195"/>
      <c r="Z140" s="195"/>
      <c r="AA140" s="507" t="str">
        <f t="shared" si="11"/>
        <v/>
      </c>
      <c r="AB140" s="521" t="str">
        <f t="shared" si="12"/>
        <v/>
      </c>
      <c r="AC140" s="522" t="str">
        <f t="shared" ref="AC140:AC203" si="17">IF(OR(S140="",M140=""),"",IF(LEFT(AB140,5)="Error ▲","Check Data ⚠",IF(AB140="Check Data ⚠","Check Data ⚠",VLOOKUP(AB140,TemporalMultipliers,3,FALSE))))</f>
        <v/>
      </c>
      <c r="AD140" s="537" t="str">
        <f>IF(M140="","",VLOOKUP(M140,'G-6 Hedgerow Data'!$B$3:$AG$15,31,FALSE))</f>
        <v/>
      </c>
      <c r="AE140" s="520" t="str">
        <f t="shared" si="13"/>
        <v/>
      </c>
      <c r="AF140" s="520" t="str">
        <f t="shared" si="14"/>
        <v/>
      </c>
      <c r="AG140" s="524" t="str">
        <f>IFERROR(IF(O140="","",VLOOKUP(AD140,'G-3 Multipliers'!$P$3:$Q$6,2,FALSE)),"")</f>
        <v/>
      </c>
      <c r="AH140" s="197"/>
      <c r="AI140" s="499" t="str">
        <f>IF(AH140="","",IF(VLOOKUP(AH140,'G-3 Multipliers'!$S$3:$T$6,2,FALSE)=0,"Spatial Data Missing ⚠",VLOOKUP(AH140,'G-3 Multipliers'!$S$3:$T$6,2,FALSE)))</f>
        <v/>
      </c>
      <c r="AJ140" s="545" t="str">
        <f t="shared" si="15"/>
        <v/>
      </c>
      <c r="AK140" s="149"/>
      <c r="AL140" s="150"/>
      <c r="AP140" s="31" t="str">
        <f>IFERROR(INDEX('G-6 Hedgerow Data'!$BJ$3:$BJ$15,MATCH(M140,'G-6 Hedgerow Data'!$B$3:$B$15,0)),"")</f>
        <v/>
      </c>
    </row>
    <row r="141" spans="2:42" ht="14" x14ac:dyDescent="0.3">
      <c r="B141" s="531" t="str">
        <f>'E-1 Off Site Hedge Baseline'!AK139</f>
        <v/>
      </c>
      <c r="C141" s="520" t="str">
        <f>IF(B141="","",IF(ISNA(VLOOKUP($B141,'E-1 Off Site Hedge Baseline'!$B$1:$L$257,3,FALSE)),"",(VLOOKUP($B141,'E-1 Off Site Hedge Baseline'!$B$1:$L$257,3,FALSE))))</f>
        <v/>
      </c>
      <c r="D141" s="520" t="str">
        <f>IF(B141="","",IF(ISNA(VLOOKUP($B141,'E-1 Off Site Hedge Baseline'!$B$1:$L$258,4,FALSE)),"",(VLOOKUP($B141,'E-1 Off Site Hedge Baseline'!$B$1:$L$258,4,FALSE))))</f>
        <v/>
      </c>
      <c r="E141" s="520" t="str">
        <f>IF(B141="","",IF(ISNA(VLOOKUP($B141,'E-1 Off Site Hedge Baseline'!$B$1:$L$257,5,FALSE)),"",(VLOOKUP($B141,'E-1 Off Site Hedge Baseline'!$B$1:$L$257,5,FALSE))))</f>
        <v/>
      </c>
      <c r="F141" s="520" t="str">
        <f>IF(B141="","",IF(ISNA(VLOOKUP($B141,'E-1 Off Site Hedge Baseline'!$B$1:$L$257,6,FALSE)),"",(VLOOKUP($B141,'E-1 Off Site Hedge Baseline'!$B$1:$L$257,6,FALSE))))</f>
        <v/>
      </c>
      <c r="G141" s="520" t="str">
        <f>IF(B141="","",IF(ISNA(VLOOKUP($B141,'E-1 Off Site Hedge Baseline'!$B$1:$L$257,7,FALSE)),"",(VLOOKUP($B141,'E-1 Off Site Hedge Baseline'!$B$1:$L$257,7,FALSE))))</f>
        <v/>
      </c>
      <c r="H141" s="520" t="str">
        <f>IF(B141="","",IF(ISNA(VLOOKUP($B141,'E-1 Off Site Hedge Baseline'!$B$1:$L$257,8,FALSE)),"",(VLOOKUP($B141,'E-1 Off Site Hedge Baseline'!$B$1:$L$257,8,FALSE))))</f>
        <v/>
      </c>
      <c r="I141" s="520" t="str">
        <f>IF(B141="","",IF(ISNA(VLOOKUP($B141,'E-1 Off Site Hedge Baseline'!$B$1:$L$257,10,FALSE)),"",(VLOOKUP($B141,'E-1 Off Site Hedge Baseline'!$B$1:$L$257,10,FALSE))))</f>
        <v/>
      </c>
      <c r="J141" s="520" t="str">
        <f>IF(B141="","",IF(ISNA(VLOOKUP($B141,'E-1 Off Site Hedge Baseline'!$B$1:$L$257,11,FALSE)),"",(VLOOKUP($B141,'E-1 Off Site Hedge Baseline'!$B$1:$L$257,11,FALSE))))</f>
        <v/>
      </c>
      <c r="K141" s="520" t="str">
        <f>IF(B141="","",IF(ISNA(VLOOKUP($B141,'E-1 Off Site Hedge Baseline'!$B$1:$U$257,113,FALSE)),"",(VLOOKUP($B141,'E-1 Off Site Hedge Baseline'!$B$1:$U$257,13,FALSE))))</f>
        <v/>
      </c>
      <c r="L141" s="507" t="str">
        <f>IF(B141="","",IF(ISNA(VLOOKUP($B141,'E-1 Off Site Hedge Baseline'!$B$1:$U$257,12,FALSE)),"",(VLOOKUP($B141,'E-1 Off Site Hedge Baseline'!$B$1:$U$257,12,FALSE))))</f>
        <v/>
      </c>
      <c r="M141" s="418" t="str">
        <f t="shared" si="16"/>
        <v/>
      </c>
      <c r="N141" s="498" t="str">
        <f>IFERROR(IF(B141="","",INDEX('G-6 Hedgerow Data'!$AN$3:$AZ$15,MATCH(C141,'G-6 Hedgerow Data'!$AM$3:$AM$15,0),MATCH(M141,'G-6 Hedgerow Data'!$AN$2:$AZ$2,0))),"")</f>
        <v/>
      </c>
      <c r="O141" s="499" t="str">
        <f t="shared" ref="O141:O204" si="18">IFERROR(IF(B141="","",IF(AND(LEFT(C141,55)&lt;&gt;LEFT(M141,55),N141="High - High"),"Error - Not like for like ▲",IF(AND(LEFT(C141,55)&lt;&gt;LEFT(M141,55),N141="Medium - Medium"),"Error - Not like for like ▲",IF(H141&gt;T141,"Error - Can not reduce condition ▲",IF(AND(F141=R141,H141=T141),"Error - No enhancement ▲",IF(AND(C141&lt;&gt;M141,F141&lt;R141),"Lower Distinctiveness Habitat"&amp;" - "&amp;S141,G141&amp;" - "&amp;S141)))))),"")</f>
        <v/>
      </c>
      <c r="P141" s="505" t="str">
        <f>IF(B141="","",VLOOKUP(B141,'E-1 Off Site Hedge Baseline'!$B$10:T386,16,FALSE))</f>
        <v/>
      </c>
      <c r="Q141" s="498" t="str">
        <f>IF(M141="","",VLOOKUP(M141,'G-6 Hedgerow Data'!$B$2:$AG$15,2,FALSE))</f>
        <v/>
      </c>
      <c r="R141" s="499" t="str">
        <f>IF(M141="","",VLOOKUP(M141,'G-6 Hedgerow Data'!$B$2:$AG$15,3,FALSE))</f>
        <v/>
      </c>
      <c r="S141" s="145"/>
      <c r="T141" s="499" t="str">
        <f>IFERROR(IF(AND(Q141="V.Low",OR(S141="Good",S141="Moderate")),"Error ▲",VLOOKUP(S141,'G-1 All Habitats'!$Z$2:$AA$9,2,FALSE)),"")</f>
        <v/>
      </c>
      <c r="U141" s="145"/>
      <c r="V141" s="507" t="str">
        <f>IF(U141="","",IF(VLOOKUP(U141,'G-3 Multipliers'!$L$3:$N$6,2,FALSE)=0,"Spatial Data Missing ⚠",VLOOKUP(U141,'G-3 Multipliers'!$L$3:$N$6,2,FALSE)))</f>
        <v/>
      </c>
      <c r="W141" s="505" t="str">
        <f>IF(U141="","",IF(VLOOKUP(U141,'G-3 Multipliers'!$L$3:$N$6,3,FALSE)=0,"Spatial Data Missing ⚠",VLOOKUP(U141,'G-3 Multipliers'!$L$3:$N$6,3,FALSE)))</f>
        <v/>
      </c>
      <c r="X141" s="498" t="str">
        <f>IFERROR(IF(OR(LEFT(O141,5)="Error ▲",LEFT(N141,5)="Error ▲",T141="Error ▲"),"Check Data ⚠",IF(F141&lt;R141,INDEX('G-6 Hedgerow Data'!$S$3:$AE$14,MATCH(C141,'G-6 Hedgerow Data'!$B$3:$B$14,0),MATCH(M141,'G-6 Hedgerow Data'!$S$2:$AE$2,0)),INDEX('G-6 Hedgerow Data'!$K$3:$Q$14,MATCH(M141,'G-6 Hedgerow Data'!$B$3:$B$14,0),MATCH(O141,'G-6 Hedgerow Data'!$K$2:$Q$2,0)))),"")</f>
        <v/>
      </c>
      <c r="Y141" s="195"/>
      <c r="Z141" s="195"/>
      <c r="AA141" s="507" t="str">
        <f t="shared" ref="AA141:AA204" si="19">IF(X141="Check Data ⚠","Check Data ⚠",IF(M141="","",IF(AND(Y141&gt;0,Z141&gt;0),"Error -both advance and delayed habitat creation ▲",IF(AND(OR(Y141="Habitat already in target condition",X141&lt;=Y141),Z141=0),"Check details - Is there evidence that habitat has reached target condition? ⚠",IF(X141="","",IF(Y141&gt;0,"Check details - Is there evidence habitat creation started/in place? ⚠",IF(Z141&gt;0,"Check details- Delay in starting habitat in required condition? ⚠","Standard time to target condition applied")))))))</f>
        <v/>
      </c>
      <c r="AB141" s="521" t="str">
        <f t="shared" ref="AB141:AB204" si="20">IF(X141="","",IF(AA141="Check Data ⚠","Check Data ⚠",IF(Y141="30+ ⚠",0,IF(Z141="30+","30+ ⚠",IF(X141+Z141&gt;30,"30+ ⚠",IF(LEFT(AA141,5)="Error ▲","Check Data ⚠",IF(X141+Z141-Y141&gt;0,X141+Z141-Y141,IF(X141-Y141&lt;=0,0,))))))))</f>
        <v/>
      </c>
      <c r="AC141" s="522" t="str">
        <f t="shared" si="17"/>
        <v/>
      </c>
      <c r="AD141" s="537" t="str">
        <f>IF(M141="","",VLOOKUP(M141,'G-6 Hedgerow Data'!$B$3:$AG$15,31,FALSE))</f>
        <v/>
      </c>
      <c r="AE141" s="520" t="str">
        <f t="shared" ref="AE141:AE204" si="21">IF(M141="","",IF(OR(LEFT(AA141,5)="Error ▲",AA141="Check Data ⚠"),"Check Data ⚠",IF(X141="","",IF($AA141="Check details - Is there evidence that habitat has reached target condition? ⚠","Low Difficulty - only applicable if all habitat created before losses ⚠","Standard difficulty applied"))))</f>
        <v/>
      </c>
      <c r="AF141" s="520" t="str">
        <f t="shared" ref="AF141:AF204" si="22">(IF(AND(AE141="Yes",X141&gt;Y141),AD141,IF(AND(AE141="Low Difficulty - only applicable if all habitat created before losses ⚠",Y141&gt;=X141),"Low",AD141)))</f>
        <v/>
      </c>
      <c r="AG141" s="524" t="str">
        <f>IFERROR(IF(O141="","",VLOOKUP(AD141,'G-3 Multipliers'!$P$3:$Q$6,2,FALSE)),"")</f>
        <v/>
      </c>
      <c r="AH141" s="197"/>
      <c r="AI141" s="499" t="str">
        <f>IF(AH141="","",IF(VLOOKUP(AH141,'G-3 Multipliers'!$S$3:$T$6,2,FALSE)=0,"Spatial Data Missing ⚠",VLOOKUP(AH141,'G-3 Multipliers'!$S$3:$T$6,2,FALSE)))</f>
        <v/>
      </c>
      <c r="AJ141" s="545" t="str">
        <f t="shared" ref="AJ141:AJ204" si="23">IFERROR(IF(OR(M141="",S141="",U141="",AH141=""),"",(((((P141*R141*T141)-(P141*F141*H141))*(AG141*AC141))+(P141*F141*H141))*(W141)*AI141)),"")</f>
        <v/>
      </c>
      <c r="AK141" s="149"/>
      <c r="AL141" s="150"/>
      <c r="AP141" s="31" t="str">
        <f>IFERROR(INDEX('G-6 Hedgerow Data'!$BJ$3:$BJ$15,MATCH(M141,'G-6 Hedgerow Data'!$B$3:$B$15,0)),"")</f>
        <v/>
      </c>
    </row>
    <row r="142" spans="2:42" ht="14" x14ac:dyDescent="0.3">
      <c r="B142" s="531" t="str">
        <f>'E-1 Off Site Hedge Baseline'!AK140</f>
        <v/>
      </c>
      <c r="C142" s="520" t="str">
        <f>IF(B142="","",IF(ISNA(VLOOKUP($B142,'E-1 Off Site Hedge Baseline'!$B$1:$L$257,3,FALSE)),"",(VLOOKUP($B142,'E-1 Off Site Hedge Baseline'!$B$1:$L$257,3,FALSE))))</f>
        <v/>
      </c>
      <c r="D142" s="520" t="str">
        <f>IF(B142="","",IF(ISNA(VLOOKUP($B142,'E-1 Off Site Hedge Baseline'!$B$1:$L$258,4,FALSE)),"",(VLOOKUP($B142,'E-1 Off Site Hedge Baseline'!$B$1:$L$258,4,FALSE))))</f>
        <v/>
      </c>
      <c r="E142" s="520" t="str">
        <f>IF(B142="","",IF(ISNA(VLOOKUP($B142,'E-1 Off Site Hedge Baseline'!$B$1:$L$257,5,FALSE)),"",(VLOOKUP($B142,'E-1 Off Site Hedge Baseline'!$B$1:$L$257,5,FALSE))))</f>
        <v/>
      </c>
      <c r="F142" s="520" t="str">
        <f>IF(B142="","",IF(ISNA(VLOOKUP($B142,'E-1 Off Site Hedge Baseline'!$B$1:$L$257,6,FALSE)),"",(VLOOKUP($B142,'E-1 Off Site Hedge Baseline'!$B$1:$L$257,6,FALSE))))</f>
        <v/>
      </c>
      <c r="G142" s="520" t="str">
        <f>IF(B142="","",IF(ISNA(VLOOKUP($B142,'E-1 Off Site Hedge Baseline'!$B$1:$L$257,7,FALSE)),"",(VLOOKUP($B142,'E-1 Off Site Hedge Baseline'!$B$1:$L$257,7,FALSE))))</f>
        <v/>
      </c>
      <c r="H142" s="520" t="str">
        <f>IF(B142="","",IF(ISNA(VLOOKUP($B142,'E-1 Off Site Hedge Baseline'!$B$1:$L$257,8,FALSE)),"",(VLOOKUP($B142,'E-1 Off Site Hedge Baseline'!$B$1:$L$257,8,FALSE))))</f>
        <v/>
      </c>
      <c r="I142" s="520" t="str">
        <f>IF(B142="","",IF(ISNA(VLOOKUP($B142,'E-1 Off Site Hedge Baseline'!$B$1:$L$257,10,FALSE)),"",(VLOOKUP($B142,'E-1 Off Site Hedge Baseline'!$B$1:$L$257,10,FALSE))))</f>
        <v/>
      </c>
      <c r="J142" s="520" t="str">
        <f>IF(B142="","",IF(ISNA(VLOOKUP($B142,'E-1 Off Site Hedge Baseline'!$B$1:$L$257,11,FALSE)),"",(VLOOKUP($B142,'E-1 Off Site Hedge Baseline'!$B$1:$L$257,11,FALSE))))</f>
        <v/>
      </c>
      <c r="K142" s="520" t="str">
        <f>IF(B142="","",IF(ISNA(VLOOKUP($B142,'E-1 Off Site Hedge Baseline'!$B$1:$U$257,113,FALSE)),"",(VLOOKUP($B142,'E-1 Off Site Hedge Baseline'!$B$1:$U$257,13,FALSE))))</f>
        <v/>
      </c>
      <c r="L142" s="507" t="str">
        <f>IF(B142="","",IF(ISNA(VLOOKUP($B142,'E-1 Off Site Hedge Baseline'!$B$1:$U$257,12,FALSE)),"",(VLOOKUP($B142,'E-1 Off Site Hedge Baseline'!$B$1:$U$257,12,FALSE))))</f>
        <v/>
      </c>
      <c r="M142" s="418" t="str">
        <f t="shared" ref="M142:M205" si="24">C142</f>
        <v/>
      </c>
      <c r="N142" s="498" t="str">
        <f>IFERROR(IF(B142="","",INDEX('G-6 Hedgerow Data'!$AN$3:$AZ$15,MATCH(C142,'G-6 Hedgerow Data'!$AM$3:$AM$15,0),MATCH(M142,'G-6 Hedgerow Data'!$AN$2:$AZ$2,0))),"")</f>
        <v/>
      </c>
      <c r="O142" s="499" t="str">
        <f t="shared" si="18"/>
        <v/>
      </c>
      <c r="P142" s="505" t="str">
        <f>IF(B142="","",VLOOKUP(B142,'E-1 Off Site Hedge Baseline'!$B$10:T387,16,FALSE))</f>
        <v/>
      </c>
      <c r="Q142" s="498" t="str">
        <f>IF(M142="","",VLOOKUP(M142,'G-6 Hedgerow Data'!$B$2:$AG$15,2,FALSE))</f>
        <v/>
      </c>
      <c r="R142" s="499" t="str">
        <f>IF(M142="","",VLOOKUP(M142,'G-6 Hedgerow Data'!$B$2:$AG$15,3,FALSE))</f>
        <v/>
      </c>
      <c r="S142" s="145"/>
      <c r="T142" s="499" t="str">
        <f>IFERROR(IF(AND(Q142="V.Low",OR(S142="Good",S142="Moderate")),"Error ▲",VLOOKUP(S142,'G-1 All Habitats'!$Z$2:$AA$9,2,FALSE)),"")</f>
        <v/>
      </c>
      <c r="U142" s="145"/>
      <c r="V142" s="507" t="str">
        <f>IF(U142="","",IF(VLOOKUP(U142,'G-3 Multipliers'!$L$3:$N$6,2,FALSE)=0,"Spatial Data Missing ⚠",VLOOKUP(U142,'G-3 Multipliers'!$L$3:$N$6,2,FALSE)))</f>
        <v/>
      </c>
      <c r="W142" s="505" t="str">
        <f>IF(U142="","",IF(VLOOKUP(U142,'G-3 Multipliers'!$L$3:$N$6,3,FALSE)=0,"Spatial Data Missing ⚠",VLOOKUP(U142,'G-3 Multipliers'!$L$3:$N$6,3,FALSE)))</f>
        <v/>
      </c>
      <c r="X142" s="498" t="str">
        <f>IFERROR(IF(OR(LEFT(O142,5)="Error ▲",LEFT(N142,5)="Error ▲",T142="Error ▲"),"Check Data ⚠",IF(F142&lt;R142,INDEX('G-6 Hedgerow Data'!$S$3:$AE$14,MATCH(C142,'G-6 Hedgerow Data'!$B$3:$B$14,0),MATCH(M142,'G-6 Hedgerow Data'!$S$2:$AE$2,0)),INDEX('G-6 Hedgerow Data'!$K$3:$Q$14,MATCH(M142,'G-6 Hedgerow Data'!$B$3:$B$14,0),MATCH(O142,'G-6 Hedgerow Data'!$K$2:$Q$2,0)))),"")</f>
        <v/>
      </c>
      <c r="Y142" s="195"/>
      <c r="Z142" s="195"/>
      <c r="AA142" s="507" t="str">
        <f t="shared" si="19"/>
        <v/>
      </c>
      <c r="AB142" s="521" t="str">
        <f t="shared" si="20"/>
        <v/>
      </c>
      <c r="AC142" s="522" t="str">
        <f t="shared" si="17"/>
        <v/>
      </c>
      <c r="AD142" s="537" t="str">
        <f>IF(M142="","",VLOOKUP(M142,'G-6 Hedgerow Data'!$B$3:$AG$15,31,FALSE))</f>
        <v/>
      </c>
      <c r="AE142" s="520" t="str">
        <f t="shared" si="21"/>
        <v/>
      </c>
      <c r="AF142" s="520" t="str">
        <f t="shared" si="22"/>
        <v/>
      </c>
      <c r="AG142" s="524" t="str">
        <f>IFERROR(IF(O142="","",VLOOKUP(AD142,'G-3 Multipliers'!$P$3:$Q$6,2,FALSE)),"")</f>
        <v/>
      </c>
      <c r="AH142" s="197"/>
      <c r="AI142" s="499" t="str">
        <f>IF(AH142="","",IF(VLOOKUP(AH142,'G-3 Multipliers'!$S$3:$T$6,2,FALSE)=0,"Spatial Data Missing ⚠",VLOOKUP(AH142,'G-3 Multipliers'!$S$3:$T$6,2,FALSE)))</f>
        <v/>
      </c>
      <c r="AJ142" s="545" t="str">
        <f t="shared" si="23"/>
        <v/>
      </c>
      <c r="AK142" s="149"/>
      <c r="AL142" s="150"/>
      <c r="AP142" s="31" t="str">
        <f>IFERROR(INDEX('G-6 Hedgerow Data'!$BJ$3:$BJ$15,MATCH(M142,'G-6 Hedgerow Data'!$B$3:$B$15,0)),"")</f>
        <v/>
      </c>
    </row>
    <row r="143" spans="2:42" ht="14" x14ac:dyDescent="0.3">
      <c r="B143" s="531" t="str">
        <f>'E-1 Off Site Hedge Baseline'!AK141</f>
        <v/>
      </c>
      <c r="C143" s="520" t="str">
        <f>IF(B143="","",IF(ISNA(VLOOKUP($B143,'E-1 Off Site Hedge Baseline'!$B$1:$L$257,3,FALSE)),"",(VLOOKUP($B143,'E-1 Off Site Hedge Baseline'!$B$1:$L$257,3,FALSE))))</f>
        <v/>
      </c>
      <c r="D143" s="520" t="str">
        <f>IF(B143="","",IF(ISNA(VLOOKUP($B143,'E-1 Off Site Hedge Baseline'!$B$1:$L$258,4,FALSE)),"",(VLOOKUP($B143,'E-1 Off Site Hedge Baseline'!$B$1:$L$258,4,FALSE))))</f>
        <v/>
      </c>
      <c r="E143" s="520" t="str">
        <f>IF(B143="","",IF(ISNA(VLOOKUP($B143,'E-1 Off Site Hedge Baseline'!$B$1:$L$257,5,FALSE)),"",(VLOOKUP($B143,'E-1 Off Site Hedge Baseline'!$B$1:$L$257,5,FALSE))))</f>
        <v/>
      </c>
      <c r="F143" s="520" t="str">
        <f>IF(B143="","",IF(ISNA(VLOOKUP($B143,'E-1 Off Site Hedge Baseline'!$B$1:$L$257,6,FALSE)),"",(VLOOKUP($B143,'E-1 Off Site Hedge Baseline'!$B$1:$L$257,6,FALSE))))</f>
        <v/>
      </c>
      <c r="G143" s="520" t="str">
        <f>IF(B143="","",IF(ISNA(VLOOKUP($B143,'E-1 Off Site Hedge Baseline'!$B$1:$L$257,7,FALSE)),"",(VLOOKUP($B143,'E-1 Off Site Hedge Baseline'!$B$1:$L$257,7,FALSE))))</f>
        <v/>
      </c>
      <c r="H143" s="520" t="str">
        <f>IF(B143="","",IF(ISNA(VLOOKUP($B143,'E-1 Off Site Hedge Baseline'!$B$1:$L$257,8,FALSE)),"",(VLOOKUP($B143,'E-1 Off Site Hedge Baseline'!$B$1:$L$257,8,FALSE))))</f>
        <v/>
      </c>
      <c r="I143" s="520" t="str">
        <f>IF(B143="","",IF(ISNA(VLOOKUP($B143,'E-1 Off Site Hedge Baseline'!$B$1:$L$257,10,FALSE)),"",(VLOOKUP($B143,'E-1 Off Site Hedge Baseline'!$B$1:$L$257,10,FALSE))))</f>
        <v/>
      </c>
      <c r="J143" s="520" t="str">
        <f>IF(B143="","",IF(ISNA(VLOOKUP($B143,'E-1 Off Site Hedge Baseline'!$B$1:$L$257,11,FALSE)),"",(VLOOKUP($B143,'E-1 Off Site Hedge Baseline'!$B$1:$L$257,11,FALSE))))</f>
        <v/>
      </c>
      <c r="K143" s="520" t="str">
        <f>IF(B143="","",IF(ISNA(VLOOKUP($B143,'E-1 Off Site Hedge Baseline'!$B$1:$U$257,113,FALSE)),"",(VLOOKUP($B143,'E-1 Off Site Hedge Baseline'!$B$1:$U$257,13,FALSE))))</f>
        <v/>
      </c>
      <c r="L143" s="507" t="str">
        <f>IF(B143="","",IF(ISNA(VLOOKUP($B143,'E-1 Off Site Hedge Baseline'!$B$1:$U$257,12,FALSE)),"",(VLOOKUP($B143,'E-1 Off Site Hedge Baseline'!$B$1:$U$257,12,FALSE))))</f>
        <v/>
      </c>
      <c r="M143" s="418" t="str">
        <f t="shared" si="24"/>
        <v/>
      </c>
      <c r="N143" s="498" t="str">
        <f>IFERROR(IF(B143="","",INDEX('G-6 Hedgerow Data'!$AN$3:$AZ$15,MATCH(C143,'G-6 Hedgerow Data'!$AM$3:$AM$15,0),MATCH(M143,'G-6 Hedgerow Data'!$AN$2:$AZ$2,0))),"")</f>
        <v/>
      </c>
      <c r="O143" s="499" t="str">
        <f t="shared" si="18"/>
        <v/>
      </c>
      <c r="P143" s="505" t="str">
        <f>IF(B143="","",VLOOKUP(B143,'E-1 Off Site Hedge Baseline'!$B$10:T388,16,FALSE))</f>
        <v/>
      </c>
      <c r="Q143" s="498" t="str">
        <f>IF(M143="","",VLOOKUP(M143,'G-6 Hedgerow Data'!$B$2:$AG$15,2,FALSE))</f>
        <v/>
      </c>
      <c r="R143" s="499" t="str">
        <f>IF(M143="","",VLOOKUP(M143,'G-6 Hedgerow Data'!$B$2:$AG$15,3,FALSE))</f>
        <v/>
      </c>
      <c r="S143" s="145"/>
      <c r="T143" s="499" t="str">
        <f>IFERROR(IF(AND(Q143="V.Low",OR(S143="Good",S143="Moderate")),"Error ▲",VLOOKUP(S143,'G-1 All Habitats'!$Z$2:$AA$9,2,FALSE)),"")</f>
        <v/>
      </c>
      <c r="U143" s="145"/>
      <c r="V143" s="507" t="str">
        <f>IF(U143="","",IF(VLOOKUP(U143,'G-3 Multipliers'!$L$3:$N$6,2,FALSE)=0,"Spatial Data Missing ⚠",VLOOKUP(U143,'G-3 Multipliers'!$L$3:$N$6,2,FALSE)))</f>
        <v/>
      </c>
      <c r="W143" s="505" t="str">
        <f>IF(U143="","",IF(VLOOKUP(U143,'G-3 Multipliers'!$L$3:$N$6,3,FALSE)=0,"Spatial Data Missing ⚠",VLOOKUP(U143,'G-3 Multipliers'!$L$3:$N$6,3,FALSE)))</f>
        <v/>
      </c>
      <c r="X143" s="498" t="str">
        <f>IFERROR(IF(OR(LEFT(O143,5)="Error ▲",LEFT(N143,5)="Error ▲",T143="Error ▲"),"Check Data ⚠",IF(F143&lt;R143,INDEX('G-6 Hedgerow Data'!$S$3:$AE$14,MATCH(C143,'G-6 Hedgerow Data'!$B$3:$B$14,0),MATCH(M143,'G-6 Hedgerow Data'!$S$2:$AE$2,0)),INDEX('G-6 Hedgerow Data'!$K$3:$Q$14,MATCH(M143,'G-6 Hedgerow Data'!$B$3:$B$14,0),MATCH(O143,'G-6 Hedgerow Data'!$K$2:$Q$2,0)))),"")</f>
        <v/>
      </c>
      <c r="Y143" s="195"/>
      <c r="Z143" s="195"/>
      <c r="AA143" s="507" t="str">
        <f t="shared" si="19"/>
        <v/>
      </c>
      <c r="AB143" s="521" t="str">
        <f t="shared" si="20"/>
        <v/>
      </c>
      <c r="AC143" s="522" t="str">
        <f t="shared" si="17"/>
        <v/>
      </c>
      <c r="AD143" s="537" t="str">
        <f>IF(M143="","",VLOOKUP(M143,'G-6 Hedgerow Data'!$B$3:$AG$15,31,FALSE))</f>
        <v/>
      </c>
      <c r="AE143" s="520" t="str">
        <f t="shared" si="21"/>
        <v/>
      </c>
      <c r="AF143" s="520" t="str">
        <f t="shared" si="22"/>
        <v/>
      </c>
      <c r="AG143" s="524" t="str">
        <f>IFERROR(IF(O143="","",VLOOKUP(AD143,'G-3 Multipliers'!$P$3:$Q$6,2,FALSE)),"")</f>
        <v/>
      </c>
      <c r="AH143" s="197"/>
      <c r="AI143" s="499" t="str">
        <f>IF(AH143="","",IF(VLOOKUP(AH143,'G-3 Multipliers'!$S$3:$T$6,2,FALSE)=0,"Spatial Data Missing ⚠",VLOOKUP(AH143,'G-3 Multipliers'!$S$3:$T$6,2,FALSE)))</f>
        <v/>
      </c>
      <c r="AJ143" s="545" t="str">
        <f t="shared" si="23"/>
        <v/>
      </c>
      <c r="AK143" s="149"/>
      <c r="AL143" s="150"/>
      <c r="AP143" s="31" t="str">
        <f>IFERROR(INDEX('G-6 Hedgerow Data'!$BJ$3:$BJ$15,MATCH(M143,'G-6 Hedgerow Data'!$B$3:$B$15,0)),"")</f>
        <v/>
      </c>
    </row>
    <row r="144" spans="2:42" ht="14" x14ac:dyDescent="0.3">
      <c r="B144" s="531" t="str">
        <f>'E-1 Off Site Hedge Baseline'!AK142</f>
        <v/>
      </c>
      <c r="C144" s="520" t="str">
        <f>IF(B144="","",IF(ISNA(VLOOKUP($B144,'E-1 Off Site Hedge Baseline'!$B$1:$L$257,3,FALSE)),"",(VLOOKUP($B144,'E-1 Off Site Hedge Baseline'!$B$1:$L$257,3,FALSE))))</f>
        <v/>
      </c>
      <c r="D144" s="520" t="str">
        <f>IF(B144="","",IF(ISNA(VLOOKUP($B144,'E-1 Off Site Hedge Baseline'!$B$1:$L$258,4,FALSE)),"",(VLOOKUP($B144,'E-1 Off Site Hedge Baseline'!$B$1:$L$258,4,FALSE))))</f>
        <v/>
      </c>
      <c r="E144" s="520" t="str">
        <f>IF(B144="","",IF(ISNA(VLOOKUP($B144,'E-1 Off Site Hedge Baseline'!$B$1:$L$257,5,FALSE)),"",(VLOOKUP($B144,'E-1 Off Site Hedge Baseline'!$B$1:$L$257,5,FALSE))))</f>
        <v/>
      </c>
      <c r="F144" s="520" t="str">
        <f>IF(B144="","",IF(ISNA(VLOOKUP($B144,'E-1 Off Site Hedge Baseline'!$B$1:$L$257,6,FALSE)),"",(VLOOKUP($B144,'E-1 Off Site Hedge Baseline'!$B$1:$L$257,6,FALSE))))</f>
        <v/>
      </c>
      <c r="G144" s="520" t="str">
        <f>IF(B144="","",IF(ISNA(VLOOKUP($B144,'E-1 Off Site Hedge Baseline'!$B$1:$L$257,7,FALSE)),"",(VLOOKUP($B144,'E-1 Off Site Hedge Baseline'!$B$1:$L$257,7,FALSE))))</f>
        <v/>
      </c>
      <c r="H144" s="520" t="str">
        <f>IF(B144="","",IF(ISNA(VLOOKUP($B144,'E-1 Off Site Hedge Baseline'!$B$1:$L$257,8,FALSE)),"",(VLOOKUP($B144,'E-1 Off Site Hedge Baseline'!$B$1:$L$257,8,FALSE))))</f>
        <v/>
      </c>
      <c r="I144" s="520" t="str">
        <f>IF(B144="","",IF(ISNA(VLOOKUP($B144,'E-1 Off Site Hedge Baseline'!$B$1:$L$257,10,FALSE)),"",(VLOOKUP($B144,'E-1 Off Site Hedge Baseline'!$B$1:$L$257,10,FALSE))))</f>
        <v/>
      </c>
      <c r="J144" s="520" t="str">
        <f>IF(B144="","",IF(ISNA(VLOOKUP($B144,'E-1 Off Site Hedge Baseline'!$B$1:$L$257,11,FALSE)),"",(VLOOKUP($B144,'E-1 Off Site Hedge Baseline'!$B$1:$L$257,11,FALSE))))</f>
        <v/>
      </c>
      <c r="K144" s="520" t="str">
        <f>IF(B144="","",IF(ISNA(VLOOKUP($B144,'E-1 Off Site Hedge Baseline'!$B$1:$U$257,113,FALSE)),"",(VLOOKUP($B144,'E-1 Off Site Hedge Baseline'!$B$1:$U$257,13,FALSE))))</f>
        <v/>
      </c>
      <c r="L144" s="507" t="str">
        <f>IF(B144="","",IF(ISNA(VLOOKUP($B144,'E-1 Off Site Hedge Baseline'!$B$1:$U$257,12,FALSE)),"",(VLOOKUP($B144,'E-1 Off Site Hedge Baseline'!$B$1:$U$257,12,FALSE))))</f>
        <v/>
      </c>
      <c r="M144" s="418" t="str">
        <f t="shared" si="24"/>
        <v/>
      </c>
      <c r="N144" s="498" t="str">
        <f>IFERROR(IF(B144="","",INDEX('G-6 Hedgerow Data'!$AN$3:$AZ$15,MATCH(C144,'G-6 Hedgerow Data'!$AM$3:$AM$15,0),MATCH(M144,'G-6 Hedgerow Data'!$AN$2:$AZ$2,0))),"")</f>
        <v/>
      </c>
      <c r="O144" s="499" t="str">
        <f t="shared" si="18"/>
        <v/>
      </c>
      <c r="P144" s="505" t="str">
        <f>IF(B144="","",VLOOKUP(B144,'E-1 Off Site Hedge Baseline'!$B$10:T389,16,FALSE))</f>
        <v/>
      </c>
      <c r="Q144" s="498" t="str">
        <f>IF(M144="","",VLOOKUP(M144,'G-6 Hedgerow Data'!$B$2:$AG$15,2,FALSE))</f>
        <v/>
      </c>
      <c r="R144" s="499" t="str">
        <f>IF(M144="","",VLOOKUP(M144,'G-6 Hedgerow Data'!$B$2:$AG$15,3,FALSE))</f>
        <v/>
      </c>
      <c r="S144" s="145"/>
      <c r="T144" s="499" t="str">
        <f>IFERROR(IF(AND(Q144="V.Low",OR(S144="Good",S144="Moderate")),"Error ▲",VLOOKUP(S144,'G-1 All Habitats'!$Z$2:$AA$9,2,FALSE)),"")</f>
        <v/>
      </c>
      <c r="U144" s="145"/>
      <c r="V144" s="507" t="str">
        <f>IF(U144="","",IF(VLOOKUP(U144,'G-3 Multipliers'!$L$3:$N$6,2,FALSE)=0,"Spatial Data Missing ⚠",VLOOKUP(U144,'G-3 Multipliers'!$L$3:$N$6,2,FALSE)))</f>
        <v/>
      </c>
      <c r="W144" s="505" t="str">
        <f>IF(U144="","",IF(VLOOKUP(U144,'G-3 Multipliers'!$L$3:$N$6,3,FALSE)=0,"Spatial Data Missing ⚠",VLOOKUP(U144,'G-3 Multipliers'!$L$3:$N$6,3,FALSE)))</f>
        <v/>
      </c>
      <c r="X144" s="498" t="str">
        <f>IFERROR(IF(OR(LEFT(O144,5)="Error ▲",LEFT(N144,5)="Error ▲",T144="Error ▲"),"Check Data ⚠",IF(F144&lt;R144,INDEX('G-6 Hedgerow Data'!$S$3:$AE$14,MATCH(C144,'G-6 Hedgerow Data'!$B$3:$B$14,0),MATCH(M144,'G-6 Hedgerow Data'!$S$2:$AE$2,0)),INDEX('G-6 Hedgerow Data'!$K$3:$Q$14,MATCH(M144,'G-6 Hedgerow Data'!$B$3:$B$14,0),MATCH(O144,'G-6 Hedgerow Data'!$K$2:$Q$2,0)))),"")</f>
        <v/>
      </c>
      <c r="Y144" s="195"/>
      <c r="Z144" s="195"/>
      <c r="AA144" s="507" t="str">
        <f t="shared" si="19"/>
        <v/>
      </c>
      <c r="AB144" s="521" t="str">
        <f t="shared" si="20"/>
        <v/>
      </c>
      <c r="AC144" s="522" t="str">
        <f t="shared" si="17"/>
        <v/>
      </c>
      <c r="AD144" s="537" t="str">
        <f>IF(M144="","",VLOOKUP(M144,'G-6 Hedgerow Data'!$B$3:$AG$15,31,FALSE))</f>
        <v/>
      </c>
      <c r="AE144" s="520" t="str">
        <f t="shared" si="21"/>
        <v/>
      </c>
      <c r="AF144" s="520" t="str">
        <f t="shared" si="22"/>
        <v/>
      </c>
      <c r="AG144" s="524" t="str">
        <f>IFERROR(IF(O144="","",VLOOKUP(AD144,'G-3 Multipliers'!$P$3:$Q$6,2,FALSE)),"")</f>
        <v/>
      </c>
      <c r="AH144" s="197"/>
      <c r="AI144" s="499" t="str">
        <f>IF(AH144="","",IF(VLOOKUP(AH144,'G-3 Multipliers'!$S$3:$T$6,2,FALSE)=0,"Spatial Data Missing ⚠",VLOOKUP(AH144,'G-3 Multipliers'!$S$3:$T$6,2,FALSE)))</f>
        <v/>
      </c>
      <c r="AJ144" s="545" t="str">
        <f t="shared" si="23"/>
        <v/>
      </c>
      <c r="AK144" s="149"/>
      <c r="AL144" s="150"/>
      <c r="AP144" s="31" t="str">
        <f>IFERROR(INDEX('G-6 Hedgerow Data'!$BJ$3:$BJ$15,MATCH(M144,'G-6 Hedgerow Data'!$B$3:$B$15,0)),"")</f>
        <v/>
      </c>
    </row>
    <row r="145" spans="2:42" ht="14" x14ac:dyDescent="0.3">
      <c r="B145" s="531" t="str">
        <f>'E-1 Off Site Hedge Baseline'!AK143</f>
        <v/>
      </c>
      <c r="C145" s="520" t="str">
        <f>IF(B145="","",IF(ISNA(VLOOKUP($B145,'E-1 Off Site Hedge Baseline'!$B$1:$L$257,3,FALSE)),"",(VLOOKUP($B145,'E-1 Off Site Hedge Baseline'!$B$1:$L$257,3,FALSE))))</f>
        <v/>
      </c>
      <c r="D145" s="520" t="str">
        <f>IF(B145="","",IF(ISNA(VLOOKUP($B145,'E-1 Off Site Hedge Baseline'!$B$1:$L$258,4,FALSE)),"",(VLOOKUP($B145,'E-1 Off Site Hedge Baseline'!$B$1:$L$258,4,FALSE))))</f>
        <v/>
      </c>
      <c r="E145" s="520" t="str">
        <f>IF(B145="","",IF(ISNA(VLOOKUP($B145,'E-1 Off Site Hedge Baseline'!$B$1:$L$257,5,FALSE)),"",(VLOOKUP($B145,'E-1 Off Site Hedge Baseline'!$B$1:$L$257,5,FALSE))))</f>
        <v/>
      </c>
      <c r="F145" s="520" t="str">
        <f>IF(B145="","",IF(ISNA(VLOOKUP($B145,'E-1 Off Site Hedge Baseline'!$B$1:$L$257,6,FALSE)),"",(VLOOKUP($B145,'E-1 Off Site Hedge Baseline'!$B$1:$L$257,6,FALSE))))</f>
        <v/>
      </c>
      <c r="G145" s="520" t="str">
        <f>IF(B145="","",IF(ISNA(VLOOKUP($B145,'E-1 Off Site Hedge Baseline'!$B$1:$L$257,7,FALSE)),"",(VLOOKUP($B145,'E-1 Off Site Hedge Baseline'!$B$1:$L$257,7,FALSE))))</f>
        <v/>
      </c>
      <c r="H145" s="520" t="str">
        <f>IF(B145="","",IF(ISNA(VLOOKUP($B145,'E-1 Off Site Hedge Baseline'!$B$1:$L$257,8,FALSE)),"",(VLOOKUP($B145,'E-1 Off Site Hedge Baseline'!$B$1:$L$257,8,FALSE))))</f>
        <v/>
      </c>
      <c r="I145" s="520" t="str">
        <f>IF(B145="","",IF(ISNA(VLOOKUP($B145,'E-1 Off Site Hedge Baseline'!$B$1:$L$257,10,FALSE)),"",(VLOOKUP($B145,'E-1 Off Site Hedge Baseline'!$B$1:$L$257,10,FALSE))))</f>
        <v/>
      </c>
      <c r="J145" s="520" t="str">
        <f>IF(B145="","",IF(ISNA(VLOOKUP($B145,'E-1 Off Site Hedge Baseline'!$B$1:$L$257,11,FALSE)),"",(VLOOKUP($B145,'E-1 Off Site Hedge Baseline'!$B$1:$L$257,11,FALSE))))</f>
        <v/>
      </c>
      <c r="K145" s="520" t="str">
        <f>IF(B145="","",IF(ISNA(VLOOKUP($B145,'E-1 Off Site Hedge Baseline'!$B$1:$U$257,113,FALSE)),"",(VLOOKUP($B145,'E-1 Off Site Hedge Baseline'!$B$1:$U$257,13,FALSE))))</f>
        <v/>
      </c>
      <c r="L145" s="507" t="str">
        <f>IF(B145="","",IF(ISNA(VLOOKUP($B145,'E-1 Off Site Hedge Baseline'!$B$1:$U$257,12,FALSE)),"",(VLOOKUP($B145,'E-1 Off Site Hedge Baseline'!$B$1:$U$257,12,FALSE))))</f>
        <v/>
      </c>
      <c r="M145" s="418" t="str">
        <f t="shared" si="24"/>
        <v/>
      </c>
      <c r="N145" s="498" t="str">
        <f>IFERROR(IF(B145="","",INDEX('G-6 Hedgerow Data'!$AN$3:$AZ$15,MATCH(C145,'G-6 Hedgerow Data'!$AM$3:$AM$15,0),MATCH(M145,'G-6 Hedgerow Data'!$AN$2:$AZ$2,0))),"")</f>
        <v/>
      </c>
      <c r="O145" s="499" t="str">
        <f t="shared" si="18"/>
        <v/>
      </c>
      <c r="P145" s="505" t="str">
        <f>IF(B145="","",VLOOKUP(B145,'E-1 Off Site Hedge Baseline'!$B$10:T390,16,FALSE))</f>
        <v/>
      </c>
      <c r="Q145" s="498" t="str">
        <f>IF(M145="","",VLOOKUP(M145,'G-6 Hedgerow Data'!$B$2:$AG$15,2,FALSE))</f>
        <v/>
      </c>
      <c r="R145" s="499" t="str">
        <f>IF(M145="","",VLOOKUP(M145,'G-6 Hedgerow Data'!$B$2:$AG$15,3,FALSE))</f>
        <v/>
      </c>
      <c r="S145" s="145"/>
      <c r="T145" s="499" t="str">
        <f>IFERROR(IF(AND(Q145="V.Low",OR(S145="Good",S145="Moderate")),"Error ▲",VLOOKUP(S145,'G-1 All Habitats'!$Z$2:$AA$9,2,FALSE)),"")</f>
        <v/>
      </c>
      <c r="U145" s="145"/>
      <c r="V145" s="507" t="str">
        <f>IF(U145="","",IF(VLOOKUP(U145,'G-3 Multipliers'!$L$3:$N$6,2,FALSE)=0,"Spatial Data Missing ⚠",VLOOKUP(U145,'G-3 Multipliers'!$L$3:$N$6,2,FALSE)))</f>
        <v/>
      </c>
      <c r="W145" s="505" t="str">
        <f>IF(U145="","",IF(VLOOKUP(U145,'G-3 Multipliers'!$L$3:$N$6,3,FALSE)=0,"Spatial Data Missing ⚠",VLOOKUP(U145,'G-3 Multipliers'!$L$3:$N$6,3,FALSE)))</f>
        <v/>
      </c>
      <c r="X145" s="498" t="str">
        <f>IFERROR(IF(OR(LEFT(O145,5)="Error ▲",LEFT(N145,5)="Error ▲",T145="Error ▲"),"Check Data ⚠",IF(F145&lt;R145,INDEX('G-6 Hedgerow Data'!$S$3:$AE$14,MATCH(C145,'G-6 Hedgerow Data'!$B$3:$B$14,0),MATCH(M145,'G-6 Hedgerow Data'!$S$2:$AE$2,0)),INDEX('G-6 Hedgerow Data'!$K$3:$Q$14,MATCH(M145,'G-6 Hedgerow Data'!$B$3:$B$14,0),MATCH(O145,'G-6 Hedgerow Data'!$K$2:$Q$2,0)))),"")</f>
        <v/>
      </c>
      <c r="Y145" s="195"/>
      <c r="Z145" s="195"/>
      <c r="AA145" s="507" t="str">
        <f t="shared" si="19"/>
        <v/>
      </c>
      <c r="AB145" s="521" t="str">
        <f t="shared" si="20"/>
        <v/>
      </c>
      <c r="AC145" s="522" t="str">
        <f t="shared" si="17"/>
        <v/>
      </c>
      <c r="AD145" s="537" t="str">
        <f>IF(M145="","",VLOOKUP(M145,'G-6 Hedgerow Data'!$B$3:$AG$15,31,FALSE))</f>
        <v/>
      </c>
      <c r="AE145" s="520" t="str">
        <f t="shared" si="21"/>
        <v/>
      </c>
      <c r="AF145" s="520" t="str">
        <f t="shared" si="22"/>
        <v/>
      </c>
      <c r="AG145" s="524" t="str">
        <f>IFERROR(IF(O145="","",VLOOKUP(AD145,'G-3 Multipliers'!$P$3:$Q$6,2,FALSE)),"")</f>
        <v/>
      </c>
      <c r="AH145" s="197"/>
      <c r="AI145" s="499" t="str">
        <f>IF(AH145="","",IF(VLOOKUP(AH145,'G-3 Multipliers'!$S$3:$T$6,2,FALSE)=0,"Spatial Data Missing ⚠",VLOOKUP(AH145,'G-3 Multipliers'!$S$3:$T$6,2,FALSE)))</f>
        <v/>
      </c>
      <c r="AJ145" s="545" t="str">
        <f t="shared" si="23"/>
        <v/>
      </c>
      <c r="AK145" s="149"/>
      <c r="AL145" s="150"/>
      <c r="AP145" s="31" t="str">
        <f>IFERROR(INDEX('G-6 Hedgerow Data'!$BJ$3:$BJ$15,MATCH(M145,'G-6 Hedgerow Data'!$B$3:$B$15,0)),"")</f>
        <v/>
      </c>
    </row>
    <row r="146" spans="2:42" ht="14" x14ac:dyDescent="0.3">
      <c r="B146" s="531" t="str">
        <f>'E-1 Off Site Hedge Baseline'!AK144</f>
        <v/>
      </c>
      <c r="C146" s="520" t="str">
        <f>IF(B146="","",IF(ISNA(VLOOKUP($B146,'E-1 Off Site Hedge Baseline'!$B$1:$L$257,3,FALSE)),"",(VLOOKUP($B146,'E-1 Off Site Hedge Baseline'!$B$1:$L$257,3,FALSE))))</f>
        <v/>
      </c>
      <c r="D146" s="520" t="str">
        <f>IF(B146="","",IF(ISNA(VLOOKUP($B146,'E-1 Off Site Hedge Baseline'!$B$1:$L$258,4,FALSE)),"",(VLOOKUP($B146,'E-1 Off Site Hedge Baseline'!$B$1:$L$258,4,FALSE))))</f>
        <v/>
      </c>
      <c r="E146" s="520" t="str">
        <f>IF(B146="","",IF(ISNA(VLOOKUP($B146,'E-1 Off Site Hedge Baseline'!$B$1:$L$257,5,FALSE)),"",(VLOOKUP($B146,'E-1 Off Site Hedge Baseline'!$B$1:$L$257,5,FALSE))))</f>
        <v/>
      </c>
      <c r="F146" s="520" t="str">
        <f>IF(B146="","",IF(ISNA(VLOOKUP($B146,'E-1 Off Site Hedge Baseline'!$B$1:$L$257,6,FALSE)),"",(VLOOKUP($B146,'E-1 Off Site Hedge Baseline'!$B$1:$L$257,6,FALSE))))</f>
        <v/>
      </c>
      <c r="G146" s="520" t="str">
        <f>IF(B146="","",IF(ISNA(VLOOKUP($B146,'E-1 Off Site Hedge Baseline'!$B$1:$L$257,7,FALSE)),"",(VLOOKUP($B146,'E-1 Off Site Hedge Baseline'!$B$1:$L$257,7,FALSE))))</f>
        <v/>
      </c>
      <c r="H146" s="520" t="str">
        <f>IF(B146="","",IF(ISNA(VLOOKUP($B146,'E-1 Off Site Hedge Baseline'!$B$1:$L$257,8,FALSE)),"",(VLOOKUP($B146,'E-1 Off Site Hedge Baseline'!$B$1:$L$257,8,FALSE))))</f>
        <v/>
      </c>
      <c r="I146" s="520" t="str">
        <f>IF(B146="","",IF(ISNA(VLOOKUP($B146,'E-1 Off Site Hedge Baseline'!$B$1:$L$257,10,FALSE)),"",(VLOOKUP($B146,'E-1 Off Site Hedge Baseline'!$B$1:$L$257,10,FALSE))))</f>
        <v/>
      </c>
      <c r="J146" s="520" t="str">
        <f>IF(B146="","",IF(ISNA(VLOOKUP($B146,'E-1 Off Site Hedge Baseline'!$B$1:$L$257,11,FALSE)),"",(VLOOKUP($B146,'E-1 Off Site Hedge Baseline'!$B$1:$L$257,11,FALSE))))</f>
        <v/>
      </c>
      <c r="K146" s="520" t="str">
        <f>IF(B146="","",IF(ISNA(VLOOKUP($B146,'E-1 Off Site Hedge Baseline'!$B$1:$U$257,113,FALSE)),"",(VLOOKUP($B146,'E-1 Off Site Hedge Baseline'!$B$1:$U$257,13,FALSE))))</f>
        <v/>
      </c>
      <c r="L146" s="507" t="str">
        <f>IF(B146="","",IF(ISNA(VLOOKUP($B146,'E-1 Off Site Hedge Baseline'!$B$1:$U$257,12,FALSE)),"",(VLOOKUP($B146,'E-1 Off Site Hedge Baseline'!$B$1:$U$257,12,FALSE))))</f>
        <v/>
      </c>
      <c r="M146" s="418" t="str">
        <f t="shared" si="24"/>
        <v/>
      </c>
      <c r="N146" s="498" t="str">
        <f>IFERROR(IF(B146="","",INDEX('G-6 Hedgerow Data'!$AN$3:$AZ$15,MATCH(C146,'G-6 Hedgerow Data'!$AM$3:$AM$15,0),MATCH(M146,'G-6 Hedgerow Data'!$AN$2:$AZ$2,0))),"")</f>
        <v/>
      </c>
      <c r="O146" s="499" t="str">
        <f t="shared" si="18"/>
        <v/>
      </c>
      <c r="P146" s="505" t="str">
        <f>IF(B146="","",VLOOKUP(B146,'E-1 Off Site Hedge Baseline'!$B$10:T391,16,FALSE))</f>
        <v/>
      </c>
      <c r="Q146" s="498" t="str">
        <f>IF(M146="","",VLOOKUP(M146,'G-6 Hedgerow Data'!$B$2:$AG$15,2,FALSE))</f>
        <v/>
      </c>
      <c r="R146" s="499" t="str">
        <f>IF(M146="","",VLOOKUP(M146,'G-6 Hedgerow Data'!$B$2:$AG$15,3,FALSE))</f>
        <v/>
      </c>
      <c r="S146" s="145"/>
      <c r="T146" s="499" t="str">
        <f>IFERROR(IF(AND(Q146="V.Low",OR(S146="Good",S146="Moderate")),"Error ▲",VLOOKUP(S146,'G-1 All Habitats'!$Z$2:$AA$9,2,FALSE)),"")</f>
        <v/>
      </c>
      <c r="U146" s="145"/>
      <c r="V146" s="507" t="str">
        <f>IF(U146="","",IF(VLOOKUP(U146,'G-3 Multipliers'!$L$3:$N$6,2,FALSE)=0,"Spatial Data Missing ⚠",VLOOKUP(U146,'G-3 Multipliers'!$L$3:$N$6,2,FALSE)))</f>
        <v/>
      </c>
      <c r="W146" s="505" t="str">
        <f>IF(U146="","",IF(VLOOKUP(U146,'G-3 Multipliers'!$L$3:$N$6,3,FALSE)=0,"Spatial Data Missing ⚠",VLOOKUP(U146,'G-3 Multipliers'!$L$3:$N$6,3,FALSE)))</f>
        <v/>
      </c>
      <c r="X146" s="498" t="str">
        <f>IFERROR(IF(OR(LEFT(O146,5)="Error ▲",LEFT(N146,5)="Error ▲",T146="Error ▲"),"Check Data ⚠",IF(F146&lt;R146,INDEX('G-6 Hedgerow Data'!$S$3:$AE$14,MATCH(C146,'G-6 Hedgerow Data'!$B$3:$B$14,0),MATCH(M146,'G-6 Hedgerow Data'!$S$2:$AE$2,0)),INDEX('G-6 Hedgerow Data'!$K$3:$Q$14,MATCH(M146,'G-6 Hedgerow Data'!$B$3:$B$14,0),MATCH(O146,'G-6 Hedgerow Data'!$K$2:$Q$2,0)))),"")</f>
        <v/>
      </c>
      <c r="Y146" s="195"/>
      <c r="Z146" s="195"/>
      <c r="AA146" s="507" t="str">
        <f t="shared" si="19"/>
        <v/>
      </c>
      <c r="AB146" s="521" t="str">
        <f t="shared" si="20"/>
        <v/>
      </c>
      <c r="AC146" s="522" t="str">
        <f t="shared" si="17"/>
        <v/>
      </c>
      <c r="AD146" s="537" t="str">
        <f>IF(M146="","",VLOOKUP(M146,'G-6 Hedgerow Data'!$B$3:$AG$15,31,FALSE))</f>
        <v/>
      </c>
      <c r="AE146" s="520" t="str">
        <f t="shared" si="21"/>
        <v/>
      </c>
      <c r="AF146" s="520" t="str">
        <f t="shared" si="22"/>
        <v/>
      </c>
      <c r="AG146" s="524" t="str">
        <f>IFERROR(IF(O146="","",VLOOKUP(AD146,'G-3 Multipliers'!$P$3:$Q$6,2,FALSE)),"")</f>
        <v/>
      </c>
      <c r="AH146" s="197"/>
      <c r="AI146" s="499" t="str">
        <f>IF(AH146="","",IF(VLOOKUP(AH146,'G-3 Multipliers'!$S$3:$T$6,2,FALSE)=0,"Spatial Data Missing ⚠",VLOOKUP(AH146,'G-3 Multipliers'!$S$3:$T$6,2,FALSE)))</f>
        <v/>
      </c>
      <c r="AJ146" s="545" t="str">
        <f t="shared" si="23"/>
        <v/>
      </c>
      <c r="AK146" s="149"/>
      <c r="AL146" s="150"/>
      <c r="AP146" s="31" t="str">
        <f>IFERROR(INDEX('G-6 Hedgerow Data'!$BJ$3:$BJ$15,MATCH(M146,'G-6 Hedgerow Data'!$B$3:$B$15,0)),"")</f>
        <v/>
      </c>
    </row>
    <row r="147" spans="2:42" ht="14" x14ac:dyDescent="0.3">
      <c r="B147" s="531" t="str">
        <f>'E-1 Off Site Hedge Baseline'!AK145</f>
        <v/>
      </c>
      <c r="C147" s="520" t="str">
        <f>IF(B147="","",IF(ISNA(VLOOKUP($B147,'E-1 Off Site Hedge Baseline'!$B$1:$L$257,3,FALSE)),"",(VLOOKUP($B147,'E-1 Off Site Hedge Baseline'!$B$1:$L$257,3,FALSE))))</f>
        <v/>
      </c>
      <c r="D147" s="520" t="str">
        <f>IF(B147="","",IF(ISNA(VLOOKUP($B147,'E-1 Off Site Hedge Baseline'!$B$1:$L$258,4,FALSE)),"",(VLOOKUP($B147,'E-1 Off Site Hedge Baseline'!$B$1:$L$258,4,FALSE))))</f>
        <v/>
      </c>
      <c r="E147" s="520" t="str">
        <f>IF(B147="","",IF(ISNA(VLOOKUP($B147,'E-1 Off Site Hedge Baseline'!$B$1:$L$257,5,FALSE)),"",(VLOOKUP($B147,'E-1 Off Site Hedge Baseline'!$B$1:$L$257,5,FALSE))))</f>
        <v/>
      </c>
      <c r="F147" s="520" t="str">
        <f>IF(B147="","",IF(ISNA(VLOOKUP($B147,'E-1 Off Site Hedge Baseline'!$B$1:$L$257,6,FALSE)),"",(VLOOKUP($B147,'E-1 Off Site Hedge Baseline'!$B$1:$L$257,6,FALSE))))</f>
        <v/>
      </c>
      <c r="G147" s="520" t="str">
        <f>IF(B147="","",IF(ISNA(VLOOKUP($B147,'E-1 Off Site Hedge Baseline'!$B$1:$L$257,7,FALSE)),"",(VLOOKUP($B147,'E-1 Off Site Hedge Baseline'!$B$1:$L$257,7,FALSE))))</f>
        <v/>
      </c>
      <c r="H147" s="520" t="str">
        <f>IF(B147="","",IF(ISNA(VLOOKUP($B147,'E-1 Off Site Hedge Baseline'!$B$1:$L$257,8,FALSE)),"",(VLOOKUP($B147,'E-1 Off Site Hedge Baseline'!$B$1:$L$257,8,FALSE))))</f>
        <v/>
      </c>
      <c r="I147" s="520" t="str">
        <f>IF(B147="","",IF(ISNA(VLOOKUP($B147,'E-1 Off Site Hedge Baseline'!$B$1:$L$257,10,FALSE)),"",(VLOOKUP($B147,'E-1 Off Site Hedge Baseline'!$B$1:$L$257,10,FALSE))))</f>
        <v/>
      </c>
      <c r="J147" s="520" t="str">
        <f>IF(B147="","",IF(ISNA(VLOOKUP($B147,'E-1 Off Site Hedge Baseline'!$B$1:$L$257,11,FALSE)),"",(VLOOKUP($B147,'E-1 Off Site Hedge Baseline'!$B$1:$L$257,11,FALSE))))</f>
        <v/>
      </c>
      <c r="K147" s="520" t="str">
        <f>IF(B147="","",IF(ISNA(VLOOKUP($B147,'E-1 Off Site Hedge Baseline'!$B$1:$U$257,113,FALSE)),"",(VLOOKUP($B147,'E-1 Off Site Hedge Baseline'!$B$1:$U$257,13,FALSE))))</f>
        <v/>
      </c>
      <c r="L147" s="507" t="str">
        <f>IF(B147="","",IF(ISNA(VLOOKUP($B147,'E-1 Off Site Hedge Baseline'!$B$1:$U$257,12,FALSE)),"",(VLOOKUP($B147,'E-1 Off Site Hedge Baseline'!$B$1:$U$257,12,FALSE))))</f>
        <v/>
      </c>
      <c r="M147" s="418" t="str">
        <f t="shared" si="24"/>
        <v/>
      </c>
      <c r="N147" s="498" t="str">
        <f>IFERROR(IF(B147="","",INDEX('G-6 Hedgerow Data'!$AN$3:$AZ$15,MATCH(C147,'G-6 Hedgerow Data'!$AM$3:$AM$15,0),MATCH(M147,'G-6 Hedgerow Data'!$AN$2:$AZ$2,0))),"")</f>
        <v/>
      </c>
      <c r="O147" s="499" t="str">
        <f t="shared" si="18"/>
        <v/>
      </c>
      <c r="P147" s="505" t="str">
        <f>IF(B147="","",VLOOKUP(B147,'E-1 Off Site Hedge Baseline'!$B$10:T392,16,FALSE))</f>
        <v/>
      </c>
      <c r="Q147" s="498" t="str">
        <f>IF(M147="","",VLOOKUP(M147,'G-6 Hedgerow Data'!$B$2:$AG$15,2,FALSE))</f>
        <v/>
      </c>
      <c r="R147" s="499" t="str">
        <f>IF(M147="","",VLOOKUP(M147,'G-6 Hedgerow Data'!$B$2:$AG$15,3,FALSE))</f>
        <v/>
      </c>
      <c r="S147" s="145"/>
      <c r="T147" s="499" t="str">
        <f>IFERROR(IF(AND(Q147="V.Low",OR(S147="Good",S147="Moderate")),"Error ▲",VLOOKUP(S147,'G-1 All Habitats'!$Z$2:$AA$9,2,FALSE)),"")</f>
        <v/>
      </c>
      <c r="U147" s="145"/>
      <c r="V147" s="507" t="str">
        <f>IF(U147="","",IF(VLOOKUP(U147,'G-3 Multipliers'!$L$3:$N$6,2,FALSE)=0,"Spatial Data Missing ⚠",VLOOKUP(U147,'G-3 Multipliers'!$L$3:$N$6,2,FALSE)))</f>
        <v/>
      </c>
      <c r="W147" s="505" t="str">
        <f>IF(U147="","",IF(VLOOKUP(U147,'G-3 Multipliers'!$L$3:$N$6,3,FALSE)=0,"Spatial Data Missing ⚠",VLOOKUP(U147,'G-3 Multipliers'!$L$3:$N$6,3,FALSE)))</f>
        <v/>
      </c>
      <c r="X147" s="498" t="str">
        <f>IFERROR(IF(OR(LEFT(O147,5)="Error ▲",LEFT(N147,5)="Error ▲",T147="Error ▲"),"Check Data ⚠",IF(F147&lt;R147,INDEX('G-6 Hedgerow Data'!$S$3:$AE$14,MATCH(C147,'G-6 Hedgerow Data'!$B$3:$B$14,0),MATCH(M147,'G-6 Hedgerow Data'!$S$2:$AE$2,0)),INDEX('G-6 Hedgerow Data'!$K$3:$Q$14,MATCH(M147,'G-6 Hedgerow Data'!$B$3:$B$14,0),MATCH(O147,'G-6 Hedgerow Data'!$K$2:$Q$2,0)))),"")</f>
        <v/>
      </c>
      <c r="Y147" s="195"/>
      <c r="Z147" s="195"/>
      <c r="AA147" s="507" t="str">
        <f t="shared" si="19"/>
        <v/>
      </c>
      <c r="AB147" s="521" t="str">
        <f t="shared" si="20"/>
        <v/>
      </c>
      <c r="AC147" s="522" t="str">
        <f t="shared" si="17"/>
        <v/>
      </c>
      <c r="AD147" s="537" t="str">
        <f>IF(M147="","",VLOOKUP(M147,'G-6 Hedgerow Data'!$B$3:$AG$15,31,FALSE))</f>
        <v/>
      </c>
      <c r="AE147" s="520" t="str">
        <f t="shared" si="21"/>
        <v/>
      </c>
      <c r="AF147" s="520" t="str">
        <f t="shared" si="22"/>
        <v/>
      </c>
      <c r="AG147" s="524" t="str">
        <f>IFERROR(IF(O147="","",VLOOKUP(AD147,'G-3 Multipliers'!$P$3:$Q$6,2,FALSE)),"")</f>
        <v/>
      </c>
      <c r="AH147" s="197"/>
      <c r="AI147" s="499" t="str">
        <f>IF(AH147="","",IF(VLOOKUP(AH147,'G-3 Multipliers'!$S$3:$T$6,2,FALSE)=0,"Spatial Data Missing ⚠",VLOOKUP(AH147,'G-3 Multipliers'!$S$3:$T$6,2,FALSE)))</f>
        <v/>
      </c>
      <c r="AJ147" s="545" t="str">
        <f t="shared" si="23"/>
        <v/>
      </c>
      <c r="AK147" s="149"/>
      <c r="AL147" s="150"/>
      <c r="AP147" s="31" t="str">
        <f>IFERROR(INDEX('G-6 Hedgerow Data'!$BJ$3:$BJ$15,MATCH(M147,'G-6 Hedgerow Data'!$B$3:$B$15,0)),"")</f>
        <v/>
      </c>
    </row>
    <row r="148" spans="2:42" ht="14" x14ac:dyDescent="0.3">
      <c r="B148" s="531" t="str">
        <f>'E-1 Off Site Hedge Baseline'!AK146</f>
        <v/>
      </c>
      <c r="C148" s="520" t="str">
        <f>IF(B148="","",IF(ISNA(VLOOKUP($B148,'E-1 Off Site Hedge Baseline'!$B$1:$L$257,3,FALSE)),"",(VLOOKUP($B148,'E-1 Off Site Hedge Baseline'!$B$1:$L$257,3,FALSE))))</f>
        <v/>
      </c>
      <c r="D148" s="520" t="str">
        <f>IF(B148="","",IF(ISNA(VLOOKUP($B148,'E-1 Off Site Hedge Baseline'!$B$1:$L$258,4,FALSE)),"",(VLOOKUP($B148,'E-1 Off Site Hedge Baseline'!$B$1:$L$258,4,FALSE))))</f>
        <v/>
      </c>
      <c r="E148" s="520" t="str">
        <f>IF(B148="","",IF(ISNA(VLOOKUP($B148,'E-1 Off Site Hedge Baseline'!$B$1:$L$257,5,FALSE)),"",(VLOOKUP($B148,'E-1 Off Site Hedge Baseline'!$B$1:$L$257,5,FALSE))))</f>
        <v/>
      </c>
      <c r="F148" s="520" t="str">
        <f>IF(B148="","",IF(ISNA(VLOOKUP($B148,'E-1 Off Site Hedge Baseline'!$B$1:$L$257,6,FALSE)),"",(VLOOKUP($B148,'E-1 Off Site Hedge Baseline'!$B$1:$L$257,6,FALSE))))</f>
        <v/>
      </c>
      <c r="G148" s="520" t="str">
        <f>IF(B148="","",IF(ISNA(VLOOKUP($B148,'E-1 Off Site Hedge Baseline'!$B$1:$L$257,7,FALSE)),"",(VLOOKUP($B148,'E-1 Off Site Hedge Baseline'!$B$1:$L$257,7,FALSE))))</f>
        <v/>
      </c>
      <c r="H148" s="520" t="str">
        <f>IF(B148="","",IF(ISNA(VLOOKUP($B148,'E-1 Off Site Hedge Baseline'!$B$1:$L$257,8,FALSE)),"",(VLOOKUP($B148,'E-1 Off Site Hedge Baseline'!$B$1:$L$257,8,FALSE))))</f>
        <v/>
      </c>
      <c r="I148" s="520" t="str">
        <f>IF(B148="","",IF(ISNA(VLOOKUP($B148,'E-1 Off Site Hedge Baseline'!$B$1:$L$257,10,FALSE)),"",(VLOOKUP($B148,'E-1 Off Site Hedge Baseline'!$B$1:$L$257,10,FALSE))))</f>
        <v/>
      </c>
      <c r="J148" s="520" t="str">
        <f>IF(B148="","",IF(ISNA(VLOOKUP($B148,'E-1 Off Site Hedge Baseline'!$B$1:$L$257,11,FALSE)),"",(VLOOKUP($B148,'E-1 Off Site Hedge Baseline'!$B$1:$L$257,11,FALSE))))</f>
        <v/>
      </c>
      <c r="K148" s="520" t="str">
        <f>IF(B148="","",IF(ISNA(VLOOKUP($B148,'E-1 Off Site Hedge Baseline'!$B$1:$U$257,113,FALSE)),"",(VLOOKUP($B148,'E-1 Off Site Hedge Baseline'!$B$1:$U$257,13,FALSE))))</f>
        <v/>
      </c>
      <c r="L148" s="507" t="str">
        <f>IF(B148="","",IF(ISNA(VLOOKUP($B148,'E-1 Off Site Hedge Baseline'!$B$1:$U$257,12,FALSE)),"",(VLOOKUP($B148,'E-1 Off Site Hedge Baseline'!$B$1:$U$257,12,FALSE))))</f>
        <v/>
      </c>
      <c r="M148" s="418" t="str">
        <f t="shared" si="24"/>
        <v/>
      </c>
      <c r="N148" s="498" t="str">
        <f>IFERROR(IF(B148="","",INDEX('G-6 Hedgerow Data'!$AN$3:$AZ$15,MATCH(C148,'G-6 Hedgerow Data'!$AM$3:$AM$15,0),MATCH(M148,'G-6 Hedgerow Data'!$AN$2:$AZ$2,0))),"")</f>
        <v/>
      </c>
      <c r="O148" s="499" t="str">
        <f t="shared" si="18"/>
        <v/>
      </c>
      <c r="P148" s="505" t="str">
        <f>IF(B148="","",VLOOKUP(B148,'E-1 Off Site Hedge Baseline'!$B$10:T393,16,FALSE))</f>
        <v/>
      </c>
      <c r="Q148" s="498" t="str">
        <f>IF(M148="","",VLOOKUP(M148,'G-6 Hedgerow Data'!$B$2:$AG$15,2,FALSE))</f>
        <v/>
      </c>
      <c r="R148" s="499" t="str">
        <f>IF(M148="","",VLOOKUP(M148,'G-6 Hedgerow Data'!$B$2:$AG$15,3,FALSE))</f>
        <v/>
      </c>
      <c r="S148" s="145"/>
      <c r="T148" s="499" t="str">
        <f>IFERROR(IF(AND(Q148="V.Low",OR(S148="Good",S148="Moderate")),"Error ▲",VLOOKUP(S148,'G-1 All Habitats'!$Z$2:$AA$9,2,FALSE)),"")</f>
        <v/>
      </c>
      <c r="U148" s="145"/>
      <c r="V148" s="507" t="str">
        <f>IF(U148="","",IF(VLOOKUP(U148,'G-3 Multipliers'!$L$3:$N$6,2,FALSE)=0,"Spatial Data Missing ⚠",VLOOKUP(U148,'G-3 Multipliers'!$L$3:$N$6,2,FALSE)))</f>
        <v/>
      </c>
      <c r="W148" s="505" t="str">
        <f>IF(U148="","",IF(VLOOKUP(U148,'G-3 Multipliers'!$L$3:$N$6,3,FALSE)=0,"Spatial Data Missing ⚠",VLOOKUP(U148,'G-3 Multipliers'!$L$3:$N$6,3,FALSE)))</f>
        <v/>
      </c>
      <c r="X148" s="498" t="str">
        <f>IFERROR(IF(OR(LEFT(O148,5)="Error ▲",LEFT(N148,5)="Error ▲",T148="Error ▲"),"Check Data ⚠",IF(F148&lt;R148,INDEX('G-6 Hedgerow Data'!$S$3:$AE$14,MATCH(C148,'G-6 Hedgerow Data'!$B$3:$B$14,0),MATCH(M148,'G-6 Hedgerow Data'!$S$2:$AE$2,0)),INDEX('G-6 Hedgerow Data'!$K$3:$Q$14,MATCH(M148,'G-6 Hedgerow Data'!$B$3:$B$14,0),MATCH(O148,'G-6 Hedgerow Data'!$K$2:$Q$2,0)))),"")</f>
        <v/>
      </c>
      <c r="Y148" s="195"/>
      <c r="Z148" s="195"/>
      <c r="AA148" s="507" t="str">
        <f t="shared" si="19"/>
        <v/>
      </c>
      <c r="AB148" s="521" t="str">
        <f t="shared" si="20"/>
        <v/>
      </c>
      <c r="AC148" s="522" t="str">
        <f t="shared" si="17"/>
        <v/>
      </c>
      <c r="AD148" s="537" t="str">
        <f>IF(M148="","",VLOOKUP(M148,'G-6 Hedgerow Data'!$B$3:$AG$15,31,FALSE))</f>
        <v/>
      </c>
      <c r="AE148" s="520" t="str">
        <f t="shared" si="21"/>
        <v/>
      </c>
      <c r="AF148" s="520" t="str">
        <f t="shared" si="22"/>
        <v/>
      </c>
      <c r="AG148" s="524" t="str">
        <f>IFERROR(IF(O148="","",VLOOKUP(AD148,'G-3 Multipliers'!$P$3:$Q$6,2,FALSE)),"")</f>
        <v/>
      </c>
      <c r="AH148" s="197"/>
      <c r="AI148" s="499" t="str">
        <f>IF(AH148="","",IF(VLOOKUP(AH148,'G-3 Multipliers'!$S$3:$T$6,2,FALSE)=0,"Spatial Data Missing ⚠",VLOOKUP(AH148,'G-3 Multipliers'!$S$3:$T$6,2,FALSE)))</f>
        <v/>
      </c>
      <c r="AJ148" s="545" t="str">
        <f t="shared" si="23"/>
        <v/>
      </c>
      <c r="AK148" s="149"/>
      <c r="AL148" s="150"/>
      <c r="AP148" s="31" t="str">
        <f>IFERROR(INDEX('G-6 Hedgerow Data'!$BJ$3:$BJ$15,MATCH(M148,'G-6 Hedgerow Data'!$B$3:$B$15,0)),"")</f>
        <v/>
      </c>
    </row>
    <row r="149" spans="2:42" ht="14" x14ac:dyDescent="0.3">
      <c r="B149" s="531" t="str">
        <f>'E-1 Off Site Hedge Baseline'!AK147</f>
        <v/>
      </c>
      <c r="C149" s="520" t="str">
        <f>IF(B149="","",IF(ISNA(VLOOKUP($B149,'E-1 Off Site Hedge Baseline'!$B$1:$L$257,3,FALSE)),"",(VLOOKUP($B149,'E-1 Off Site Hedge Baseline'!$B$1:$L$257,3,FALSE))))</f>
        <v/>
      </c>
      <c r="D149" s="520" t="str">
        <f>IF(B149="","",IF(ISNA(VLOOKUP($B149,'E-1 Off Site Hedge Baseline'!$B$1:$L$258,4,FALSE)),"",(VLOOKUP($B149,'E-1 Off Site Hedge Baseline'!$B$1:$L$258,4,FALSE))))</f>
        <v/>
      </c>
      <c r="E149" s="520" t="str">
        <f>IF(B149="","",IF(ISNA(VLOOKUP($B149,'E-1 Off Site Hedge Baseline'!$B$1:$L$257,5,FALSE)),"",(VLOOKUP($B149,'E-1 Off Site Hedge Baseline'!$B$1:$L$257,5,FALSE))))</f>
        <v/>
      </c>
      <c r="F149" s="520" t="str">
        <f>IF(B149="","",IF(ISNA(VLOOKUP($B149,'E-1 Off Site Hedge Baseline'!$B$1:$L$257,6,FALSE)),"",(VLOOKUP($B149,'E-1 Off Site Hedge Baseline'!$B$1:$L$257,6,FALSE))))</f>
        <v/>
      </c>
      <c r="G149" s="520" t="str">
        <f>IF(B149="","",IF(ISNA(VLOOKUP($B149,'E-1 Off Site Hedge Baseline'!$B$1:$L$257,7,FALSE)),"",(VLOOKUP($B149,'E-1 Off Site Hedge Baseline'!$B$1:$L$257,7,FALSE))))</f>
        <v/>
      </c>
      <c r="H149" s="520" t="str">
        <f>IF(B149="","",IF(ISNA(VLOOKUP($B149,'E-1 Off Site Hedge Baseline'!$B$1:$L$257,8,FALSE)),"",(VLOOKUP($B149,'E-1 Off Site Hedge Baseline'!$B$1:$L$257,8,FALSE))))</f>
        <v/>
      </c>
      <c r="I149" s="520" t="str">
        <f>IF(B149="","",IF(ISNA(VLOOKUP($B149,'E-1 Off Site Hedge Baseline'!$B$1:$L$257,10,FALSE)),"",(VLOOKUP($B149,'E-1 Off Site Hedge Baseline'!$B$1:$L$257,10,FALSE))))</f>
        <v/>
      </c>
      <c r="J149" s="520" t="str">
        <f>IF(B149="","",IF(ISNA(VLOOKUP($B149,'E-1 Off Site Hedge Baseline'!$B$1:$L$257,11,FALSE)),"",(VLOOKUP($B149,'E-1 Off Site Hedge Baseline'!$B$1:$L$257,11,FALSE))))</f>
        <v/>
      </c>
      <c r="K149" s="520" t="str">
        <f>IF(B149="","",IF(ISNA(VLOOKUP($B149,'E-1 Off Site Hedge Baseline'!$B$1:$U$257,113,FALSE)),"",(VLOOKUP($B149,'E-1 Off Site Hedge Baseline'!$B$1:$U$257,13,FALSE))))</f>
        <v/>
      </c>
      <c r="L149" s="507" t="str">
        <f>IF(B149="","",IF(ISNA(VLOOKUP($B149,'E-1 Off Site Hedge Baseline'!$B$1:$U$257,12,FALSE)),"",(VLOOKUP($B149,'E-1 Off Site Hedge Baseline'!$B$1:$U$257,12,FALSE))))</f>
        <v/>
      </c>
      <c r="M149" s="418" t="str">
        <f t="shared" si="24"/>
        <v/>
      </c>
      <c r="N149" s="498" t="str">
        <f>IFERROR(IF(B149="","",INDEX('G-6 Hedgerow Data'!$AN$3:$AZ$15,MATCH(C149,'G-6 Hedgerow Data'!$AM$3:$AM$15,0),MATCH(M149,'G-6 Hedgerow Data'!$AN$2:$AZ$2,0))),"")</f>
        <v/>
      </c>
      <c r="O149" s="499" t="str">
        <f t="shared" si="18"/>
        <v/>
      </c>
      <c r="P149" s="505" t="str">
        <f>IF(B149="","",VLOOKUP(B149,'E-1 Off Site Hedge Baseline'!$B$10:T394,16,FALSE))</f>
        <v/>
      </c>
      <c r="Q149" s="498" t="str">
        <f>IF(M149="","",VLOOKUP(M149,'G-6 Hedgerow Data'!$B$2:$AG$15,2,FALSE))</f>
        <v/>
      </c>
      <c r="R149" s="499" t="str">
        <f>IF(M149="","",VLOOKUP(M149,'G-6 Hedgerow Data'!$B$2:$AG$15,3,FALSE))</f>
        <v/>
      </c>
      <c r="S149" s="145"/>
      <c r="T149" s="499" t="str">
        <f>IFERROR(IF(AND(Q149="V.Low",OR(S149="Good",S149="Moderate")),"Error ▲",VLOOKUP(S149,'G-1 All Habitats'!$Z$2:$AA$9,2,FALSE)),"")</f>
        <v/>
      </c>
      <c r="U149" s="145"/>
      <c r="V149" s="507" t="str">
        <f>IF(U149="","",IF(VLOOKUP(U149,'G-3 Multipliers'!$L$3:$N$6,2,FALSE)=0,"Spatial Data Missing ⚠",VLOOKUP(U149,'G-3 Multipliers'!$L$3:$N$6,2,FALSE)))</f>
        <v/>
      </c>
      <c r="W149" s="505" t="str">
        <f>IF(U149="","",IF(VLOOKUP(U149,'G-3 Multipliers'!$L$3:$N$6,3,FALSE)=0,"Spatial Data Missing ⚠",VLOOKUP(U149,'G-3 Multipliers'!$L$3:$N$6,3,FALSE)))</f>
        <v/>
      </c>
      <c r="X149" s="498" t="str">
        <f>IFERROR(IF(OR(LEFT(O149,5)="Error ▲",LEFT(N149,5)="Error ▲",T149="Error ▲"),"Check Data ⚠",IF(F149&lt;R149,INDEX('G-6 Hedgerow Data'!$S$3:$AE$14,MATCH(C149,'G-6 Hedgerow Data'!$B$3:$B$14,0),MATCH(M149,'G-6 Hedgerow Data'!$S$2:$AE$2,0)),INDEX('G-6 Hedgerow Data'!$K$3:$Q$14,MATCH(M149,'G-6 Hedgerow Data'!$B$3:$B$14,0),MATCH(O149,'G-6 Hedgerow Data'!$K$2:$Q$2,0)))),"")</f>
        <v/>
      </c>
      <c r="Y149" s="195"/>
      <c r="Z149" s="195"/>
      <c r="AA149" s="507" t="str">
        <f t="shared" si="19"/>
        <v/>
      </c>
      <c r="AB149" s="521" t="str">
        <f t="shared" si="20"/>
        <v/>
      </c>
      <c r="AC149" s="522" t="str">
        <f t="shared" si="17"/>
        <v/>
      </c>
      <c r="AD149" s="537" t="str">
        <f>IF(M149="","",VLOOKUP(M149,'G-6 Hedgerow Data'!$B$3:$AG$15,31,FALSE))</f>
        <v/>
      </c>
      <c r="AE149" s="520" t="str">
        <f t="shared" si="21"/>
        <v/>
      </c>
      <c r="AF149" s="520" t="str">
        <f t="shared" si="22"/>
        <v/>
      </c>
      <c r="AG149" s="524" t="str">
        <f>IFERROR(IF(O149="","",VLOOKUP(AD149,'G-3 Multipliers'!$P$3:$Q$6,2,FALSE)),"")</f>
        <v/>
      </c>
      <c r="AH149" s="197"/>
      <c r="AI149" s="499" t="str">
        <f>IF(AH149="","",IF(VLOOKUP(AH149,'G-3 Multipliers'!$S$3:$T$6,2,FALSE)=0,"Spatial Data Missing ⚠",VLOOKUP(AH149,'G-3 Multipliers'!$S$3:$T$6,2,FALSE)))</f>
        <v/>
      </c>
      <c r="AJ149" s="545" t="str">
        <f t="shared" si="23"/>
        <v/>
      </c>
      <c r="AK149" s="149"/>
      <c r="AL149" s="150"/>
      <c r="AP149" s="31" t="str">
        <f>IFERROR(INDEX('G-6 Hedgerow Data'!$BJ$3:$BJ$15,MATCH(M149,'G-6 Hedgerow Data'!$B$3:$B$15,0)),"")</f>
        <v/>
      </c>
    </row>
    <row r="150" spans="2:42" ht="14" x14ac:dyDescent="0.3">
      <c r="B150" s="531" t="str">
        <f>'E-1 Off Site Hedge Baseline'!AK148</f>
        <v/>
      </c>
      <c r="C150" s="520" t="str">
        <f>IF(B150="","",IF(ISNA(VLOOKUP($B150,'E-1 Off Site Hedge Baseline'!$B$1:$L$257,3,FALSE)),"",(VLOOKUP($B150,'E-1 Off Site Hedge Baseline'!$B$1:$L$257,3,FALSE))))</f>
        <v/>
      </c>
      <c r="D150" s="520" t="str">
        <f>IF(B150="","",IF(ISNA(VLOOKUP($B150,'E-1 Off Site Hedge Baseline'!$B$1:$L$258,4,FALSE)),"",(VLOOKUP($B150,'E-1 Off Site Hedge Baseline'!$B$1:$L$258,4,FALSE))))</f>
        <v/>
      </c>
      <c r="E150" s="520" t="str">
        <f>IF(B150="","",IF(ISNA(VLOOKUP($B150,'E-1 Off Site Hedge Baseline'!$B$1:$L$257,5,FALSE)),"",(VLOOKUP($B150,'E-1 Off Site Hedge Baseline'!$B$1:$L$257,5,FALSE))))</f>
        <v/>
      </c>
      <c r="F150" s="520" t="str">
        <f>IF(B150="","",IF(ISNA(VLOOKUP($B150,'E-1 Off Site Hedge Baseline'!$B$1:$L$257,6,FALSE)),"",(VLOOKUP($B150,'E-1 Off Site Hedge Baseline'!$B$1:$L$257,6,FALSE))))</f>
        <v/>
      </c>
      <c r="G150" s="520" t="str">
        <f>IF(B150="","",IF(ISNA(VLOOKUP($B150,'E-1 Off Site Hedge Baseline'!$B$1:$L$257,7,FALSE)),"",(VLOOKUP($B150,'E-1 Off Site Hedge Baseline'!$B$1:$L$257,7,FALSE))))</f>
        <v/>
      </c>
      <c r="H150" s="520" t="str">
        <f>IF(B150="","",IF(ISNA(VLOOKUP($B150,'E-1 Off Site Hedge Baseline'!$B$1:$L$257,8,FALSE)),"",(VLOOKUP($B150,'E-1 Off Site Hedge Baseline'!$B$1:$L$257,8,FALSE))))</f>
        <v/>
      </c>
      <c r="I150" s="520" t="str">
        <f>IF(B150="","",IF(ISNA(VLOOKUP($B150,'E-1 Off Site Hedge Baseline'!$B$1:$L$257,10,FALSE)),"",(VLOOKUP($B150,'E-1 Off Site Hedge Baseline'!$B$1:$L$257,10,FALSE))))</f>
        <v/>
      </c>
      <c r="J150" s="520" t="str">
        <f>IF(B150="","",IF(ISNA(VLOOKUP($B150,'E-1 Off Site Hedge Baseline'!$B$1:$L$257,11,FALSE)),"",(VLOOKUP($B150,'E-1 Off Site Hedge Baseline'!$B$1:$L$257,11,FALSE))))</f>
        <v/>
      </c>
      <c r="K150" s="520" t="str">
        <f>IF(B150="","",IF(ISNA(VLOOKUP($B150,'E-1 Off Site Hedge Baseline'!$B$1:$U$257,113,FALSE)),"",(VLOOKUP($B150,'E-1 Off Site Hedge Baseline'!$B$1:$U$257,13,FALSE))))</f>
        <v/>
      </c>
      <c r="L150" s="507" t="str">
        <f>IF(B150="","",IF(ISNA(VLOOKUP($B150,'E-1 Off Site Hedge Baseline'!$B$1:$U$257,12,FALSE)),"",(VLOOKUP($B150,'E-1 Off Site Hedge Baseline'!$B$1:$U$257,12,FALSE))))</f>
        <v/>
      </c>
      <c r="M150" s="418" t="str">
        <f t="shared" si="24"/>
        <v/>
      </c>
      <c r="N150" s="498" t="str">
        <f>IFERROR(IF(B150="","",INDEX('G-6 Hedgerow Data'!$AN$3:$AZ$15,MATCH(C150,'G-6 Hedgerow Data'!$AM$3:$AM$15,0),MATCH(M150,'G-6 Hedgerow Data'!$AN$2:$AZ$2,0))),"")</f>
        <v/>
      </c>
      <c r="O150" s="499" t="str">
        <f t="shared" si="18"/>
        <v/>
      </c>
      <c r="P150" s="505" t="str">
        <f>IF(B150="","",VLOOKUP(B150,'E-1 Off Site Hedge Baseline'!$B$10:T395,16,FALSE))</f>
        <v/>
      </c>
      <c r="Q150" s="498" t="str">
        <f>IF(M150="","",VLOOKUP(M150,'G-6 Hedgerow Data'!$B$2:$AG$15,2,FALSE))</f>
        <v/>
      </c>
      <c r="R150" s="499" t="str">
        <f>IF(M150="","",VLOOKUP(M150,'G-6 Hedgerow Data'!$B$2:$AG$15,3,FALSE))</f>
        <v/>
      </c>
      <c r="S150" s="145"/>
      <c r="T150" s="499" t="str">
        <f>IFERROR(IF(AND(Q150="V.Low",OR(S150="Good",S150="Moderate")),"Error ▲",VLOOKUP(S150,'G-1 All Habitats'!$Z$2:$AA$9,2,FALSE)),"")</f>
        <v/>
      </c>
      <c r="U150" s="145"/>
      <c r="V150" s="507" t="str">
        <f>IF(U150="","",IF(VLOOKUP(U150,'G-3 Multipliers'!$L$3:$N$6,2,FALSE)=0,"Spatial Data Missing ⚠",VLOOKUP(U150,'G-3 Multipliers'!$L$3:$N$6,2,FALSE)))</f>
        <v/>
      </c>
      <c r="W150" s="505" t="str">
        <f>IF(U150="","",IF(VLOOKUP(U150,'G-3 Multipliers'!$L$3:$N$6,3,FALSE)=0,"Spatial Data Missing ⚠",VLOOKUP(U150,'G-3 Multipliers'!$L$3:$N$6,3,FALSE)))</f>
        <v/>
      </c>
      <c r="X150" s="498" t="str">
        <f>IFERROR(IF(OR(LEFT(O150,5)="Error ▲",LEFT(N150,5)="Error ▲",T150="Error ▲"),"Check Data ⚠",IF(F150&lt;R150,INDEX('G-6 Hedgerow Data'!$S$3:$AE$14,MATCH(C150,'G-6 Hedgerow Data'!$B$3:$B$14,0),MATCH(M150,'G-6 Hedgerow Data'!$S$2:$AE$2,0)),INDEX('G-6 Hedgerow Data'!$K$3:$Q$14,MATCH(M150,'G-6 Hedgerow Data'!$B$3:$B$14,0),MATCH(O150,'G-6 Hedgerow Data'!$K$2:$Q$2,0)))),"")</f>
        <v/>
      </c>
      <c r="Y150" s="195"/>
      <c r="Z150" s="195"/>
      <c r="AA150" s="507" t="str">
        <f t="shared" si="19"/>
        <v/>
      </c>
      <c r="AB150" s="521" t="str">
        <f t="shared" si="20"/>
        <v/>
      </c>
      <c r="AC150" s="522" t="str">
        <f t="shared" si="17"/>
        <v/>
      </c>
      <c r="AD150" s="537" t="str">
        <f>IF(M150="","",VLOOKUP(M150,'G-6 Hedgerow Data'!$B$3:$AG$15,31,FALSE))</f>
        <v/>
      </c>
      <c r="AE150" s="520" t="str">
        <f t="shared" si="21"/>
        <v/>
      </c>
      <c r="AF150" s="520" t="str">
        <f t="shared" si="22"/>
        <v/>
      </c>
      <c r="AG150" s="524" t="str">
        <f>IFERROR(IF(O150="","",VLOOKUP(AD150,'G-3 Multipliers'!$P$3:$Q$6,2,FALSE)),"")</f>
        <v/>
      </c>
      <c r="AH150" s="197"/>
      <c r="AI150" s="499" t="str">
        <f>IF(AH150="","",IF(VLOOKUP(AH150,'G-3 Multipliers'!$S$3:$T$6,2,FALSE)=0,"Spatial Data Missing ⚠",VLOOKUP(AH150,'G-3 Multipliers'!$S$3:$T$6,2,FALSE)))</f>
        <v/>
      </c>
      <c r="AJ150" s="545" t="str">
        <f t="shared" si="23"/>
        <v/>
      </c>
      <c r="AK150" s="149"/>
      <c r="AL150" s="150"/>
      <c r="AP150" s="31" t="str">
        <f>IFERROR(INDEX('G-6 Hedgerow Data'!$BJ$3:$BJ$15,MATCH(M150,'G-6 Hedgerow Data'!$B$3:$B$15,0)),"")</f>
        <v/>
      </c>
    </row>
    <row r="151" spans="2:42" ht="14" x14ac:dyDescent="0.3">
      <c r="B151" s="531" t="str">
        <f>'E-1 Off Site Hedge Baseline'!AK149</f>
        <v/>
      </c>
      <c r="C151" s="520" t="str">
        <f>IF(B151="","",IF(ISNA(VLOOKUP($B151,'E-1 Off Site Hedge Baseline'!$B$1:$L$257,3,FALSE)),"",(VLOOKUP($B151,'E-1 Off Site Hedge Baseline'!$B$1:$L$257,3,FALSE))))</f>
        <v/>
      </c>
      <c r="D151" s="520" t="str">
        <f>IF(B151="","",IF(ISNA(VLOOKUP($B151,'E-1 Off Site Hedge Baseline'!$B$1:$L$258,4,FALSE)),"",(VLOOKUP($B151,'E-1 Off Site Hedge Baseline'!$B$1:$L$258,4,FALSE))))</f>
        <v/>
      </c>
      <c r="E151" s="520" t="str">
        <f>IF(B151="","",IF(ISNA(VLOOKUP($B151,'E-1 Off Site Hedge Baseline'!$B$1:$L$257,5,FALSE)),"",(VLOOKUP($B151,'E-1 Off Site Hedge Baseline'!$B$1:$L$257,5,FALSE))))</f>
        <v/>
      </c>
      <c r="F151" s="520" t="str">
        <f>IF(B151="","",IF(ISNA(VLOOKUP($B151,'E-1 Off Site Hedge Baseline'!$B$1:$L$257,6,FALSE)),"",(VLOOKUP($B151,'E-1 Off Site Hedge Baseline'!$B$1:$L$257,6,FALSE))))</f>
        <v/>
      </c>
      <c r="G151" s="520" t="str">
        <f>IF(B151="","",IF(ISNA(VLOOKUP($B151,'E-1 Off Site Hedge Baseline'!$B$1:$L$257,7,FALSE)),"",(VLOOKUP($B151,'E-1 Off Site Hedge Baseline'!$B$1:$L$257,7,FALSE))))</f>
        <v/>
      </c>
      <c r="H151" s="520" t="str">
        <f>IF(B151="","",IF(ISNA(VLOOKUP($B151,'E-1 Off Site Hedge Baseline'!$B$1:$L$257,8,FALSE)),"",(VLOOKUP($B151,'E-1 Off Site Hedge Baseline'!$B$1:$L$257,8,FALSE))))</f>
        <v/>
      </c>
      <c r="I151" s="520" t="str">
        <f>IF(B151="","",IF(ISNA(VLOOKUP($B151,'E-1 Off Site Hedge Baseline'!$B$1:$L$257,10,FALSE)),"",(VLOOKUP($B151,'E-1 Off Site Hedge Baseline'!$B$1:$L$257,10,FALSE))))</f>
        <v/>
      </c>
      <c r="J151" s="520" t="str">
        <f>IF(B151="","",IF(ISNA(VLOOKUP($B151,'E-1 Off Site Hedge Baseline'!$B$1:$L$257,11,FALSE)),"",(VLOOKUP($B151,'E-1 Off Site Hedge Baseline'!$B$1:$L$257,11,FALSE))))</f>
        <v/>
      </c>
      <c r="K151" s="520" t="str">
        <f>IF(B151="","",IF(ISNA(VLOOKUP($B151,'E-1 Off Site Hedge Baseline'!$B$1:$U$257,113,FALSE)),"",(VLOOKUP($B151,'E-1 Off Site Hedge Baseline'!$B$1:$U$257,13,FALSE))))</f>
        <v/>
      </c>
      <c r="L151" s="507" t="str">
        <f>IF(B151="","",IF(ISNA(VLOOKUP($B151,'E-1 Off Site Hedge Baseline'!$B$1:$U$257,12,FALSE)),"",(VLOOKUP($B151,'E-1 Off Site Hedge Baseline'!$B$1:$U$257,12,FALSE))))</f>
        <v/>
      </c>
      <c r="M151" s="418" t="str">
        <f t="shared" si="24"/>
        <v/>
      </c>
      <c r="N151" s="498" t="str">
        <f>IFERROR(IF(B151="","",INDEX('G-6 Hedgerow Data'!$AN$3:$AZ$15,MATCH(C151,'G-6 Hedgerow Data'!$AM$3:$AM$15,0),MATCH(M151,'G-6 Hedgerow Data'!$AN$2:$AZ$2,0))),"")</f>
        <v/>
      </c>
      <c r="O151" s="499" t="str">
        <f t="shared" si="18"/>
        <v/>
      </c>
      <c r="P151" s="505" t="str">
        <f>IF(B151="","",VLOOKUP(B151,'E-1 Off Site Hedge Baseline'!$B$10:T396,16,FALSE))</f>
        <v/>
      </c>
      <c r="Q151" s="498" t="str">
        <f>IF(M151="","",VLOOKUP(M151,'G-6 Hedgerow Data'!$B$2:$AG$15,2,FALSE))</f>
        <v/>
      </c>
      <c r="R151" s="499" t="str">
        <f>IF(M151="","",VLOOKUP(M151,'G-6 Hedgerow Data'!$B$2:$AG$15,3,FALSE))</f>
        <v/>
      </c>
      <c r="S151" s="145"/>
      <c r="T151" s="499" t="str">
        <f>IFERROR(IF(AND(Q151="V.Low",OR(S151="Good",S151="Moderate")),"Error ▲",VLOOKUP(S151,'G-1 All Habitats'!$Z$2:$AA$9,2,FALSE)),"")</f>
        <v/>
      </c>
      <c r="U151" s="145"/>
      <c r="V151" s="507" t="str">
        <f>IF(U151="","",IF(VLOOKUP(U151,'G-3 Multipliers'!$L$3:$N$6,2,FALSE)=0,"Spatial Data Missing ⚠",VLOOKUP(U151,'G-3 Multipliers'!$L$3:$N$6,2,FALSE)))</f>
        <v/>
      </c>
      <c r="W151" s="505" t="str">
        <f>IF(U151="","",IF(VLOOKUP(U151,'G-3 Multipliers'!$L$3:$N$6,3,FALSE)=0,"Spatial Data Missing ⚠",VLOOKUP(U151,'G-3 Multipliers'!$L$3:$N$6,3,FALSE)))</f>
        <v/>
      </c>
      <c r="X151" s="498" t="str">
        <f>IFERROR(IF(OR(LEFT(O151,5)="Error ▲",LEFT(N151,5)="Error ▲",T151="Error ▲"),"Check Data ⚠",IF(F151&lt;R151,INDEX('G-6 Hedgerow Data'!$S$3:$AE$14,MATCH(C151,'G-6 Hedgerow Data'!$B$3:$B$14,0),MATCH(M151,'G-6 Hedgerow Data'!$S$2:$AE$2,0)),INDEX('G-6 Hedgerow Data'!$K$3:$Q$14,MATCH(M151,'G-6 Hedgerow Data'!$B$3:$B$14,0),MATCH(O151,'G-6 Hedgerow Data'!$K$2:$Q$2,0)))),"")</f>
        <v/>
      </c>
      <c r="Y151" s="195"/>
      <c r="Z151" s="195"/>
      <c r="AA151" s="507" t="str">
        <f t="shared" si="19"/>
        <v/>
      </c>
      <c r="AB151" s="521" t="str">
        <f t="shared" si="20"/>
        <v/>
      </c>
      <c r="AC151" s="522" t="str">
        <f t="shared" si="17"/>
        <v/>
      </c>
      <c r="AD151" s="537" t="str">
        <f>IF(M151="","",VLOOKUP(M151,'G-6 Hedgerow Data'!$B$3:$AG$15,31,FALSE))</f>
        <v/>
      </c>
      <c r="AE151" s="520" t="str">
        <f t="shared" si="21"/>
        <v/>
      </c>
      <c r="AF151" s="520" t="str">
        <f t="shared" si="22"/>
        <v/>
      </c>
      <c r="AG151" s="524" t="str">
        <f>IFERROR(IF(O151="","",VLOOKUP(AD151,'G-3 Multipliers'!$P$3:$Q$6,2,FALSE)),"")</f>
        <v/>
      </c>
      <c r="AH151" s="197"/>
      <c r="AI151" s="499" t="str">
        <f>IF(AH151="","",IF(VLOOKUP(AH151,'G-3 Multipliers'!$S$3:$T$6,2,FALSE)=0,"Spatial Data Missing ⚠",VLOOKUP(AH151,'G-3 Multipliers'!$S$3:$T$6,2,FALSE)))</f>
        <v/>
      </c>
      <c r="AJ151" s="545" t="str">
        <f t="shared" si="23"/>
        <v/>
      </c>
      <c r="AK151" s="149"/>
      <c r="AL151" s="150"/>
      <c r="AP151" s="31" t="str">
        <f>IFERROR(INDEX('G-6 Hedgerow Data'!$BJ$3:$BJ$15,MATCH(M151,'G-6 Hedgerow Data'!$B$3:$B$15,0)),"")</f>
        <v/>
      </c>
    </row>
    <row r="152" spans="2:42" ht="14" x14ac:dyDescent="0.3">
      <c r="B152" s="531" t="str">
        <f>'E-1 Off Site Hedge Baseline'!AK150</f>
        <v/>
      </c>
      <c r="C152" s="520" t="str">
        <f>IF(B152="","",IF(ISNA(VLOOKUP($B152,'E-1 Off Site Hedge Baseline'!$B$1:$L$257,3,FALSE)),"",(VLOOKUP($B152,'E-1 Off Site Hedge Baseline'!$B$1:$L$257,3,FALSE))))</f>
        <v/>
      </c>
      <c r="D152" s="520" t="str">
        <f>IF(B152="","",IF(ISNA(VLOOKUP($B152,'E-1 Off Site Hedge Baseline'!$B$1:$L$258,4,FALSE)),"",(VLOOKUP($B152,'E-1 Off Site Hedge Baseline'!$B$1:$L$258,4,FALSE))))</f>
        <v/>
      </c>
      <c r="E152" s="520" t="str">
        <f>IF(B152="","",IF(ISNA(VLOOKUP($B152,'E-1 Off Site Hedge Baseline'!$B$1:$L$257,5,FALSE)),"",(VLOOKUP($B152,'E-1 Off Site Hedge Baseline'!$B$1:$L$257,5,FALSE))))</f>
        <v/>
      </c>
      <c r="F152" s="520" t="str">
        <f>IF(B152="","",IF(ISNA(VLOOKUP($B152,'E-1 Off Site Hedge Baseline'!$B$1:$L$257,6,FALSE)),"",(VLOOKUP($B152,'E-1 Off Site Hedge Baseline'!$B$1:$L$257,6,FALSE))))</f>
        <v/>
      </c>
      <c r="G152" s="520" t="str">
        <f>IF(B152="","",IF(ISNA(VLOOKUP($B152,'E-1 Off Site Hedge Baseline'!$B$1:$L$257,7,FALSE)),"",(VLOOKUP($B152,'E-1 Off Site Hedge Baseline'!$B$1:$L$257,7,FALSE))))</f>
        <v/>
      </c>
      <c r="H152" s="520" t="str">
        <f>IF(B152="","",IF(ISNA(VLOOKUP($B152,'E-1 Off Site Hedge Baseline'!$B$1:$L$257,8,FALSE)),"",(VLOOKUP($B152,'E-1 Off Site Hedge Baseline'!$B$1:$L$257,8,FALSE))))</f>
        <v/>
      </c>
      <c r="I152" s="520" t="str">
        <f>IF(B152="","",IF(ISNA(VLOOKUP($B152,'E-1 Off Site Hedge Baseline'!$B$1:$L$257,10,FALSE)),"",(VLOOKUP($B152,'E-1 Off Site Hedge Baseline'!$B$1:$L$257,10,FALSE))))</f>
        <v/>
      </c>
      <c r="J152" s="520" t="str">
        <f>IF(B152="","",IF(ISNA(VLOOKUP($B152,'E-1 Off Site Hedge Baseline'!$B$1:$L$257,11,FALSE)),"",(VLOOKUP($B152,'E-1 Off Site Hedge Baseline'!$B$1:$L$257,11,FALSE))))</f>
        <v/>
      </c>
      <c r="K152" s="520" t="str">
        <f>IF(B152="","",IF(ISNA(VLOOKUP($B152,'E-1 Off Site Hedge Baseline'!$B$1:$U$257,113,FALSE)),"",(VLOOKUP($B152,'E-1 Off Site Hedge Baseline'!$B$1:$U$257,13,FALSE))))</f>
        <v/>
      </c>
      <c r="L152" s="507" t="str">
        <f>IF(B152="","",IF(ISNA(VLOOKUP($B152,'E-1 Off Site Hedge Baseline'!$B$1:$U$257,12,FALSE)),"",(VLOOKUP($B152,'E-1 Off Site Hedge Baseline'!$B$1:$U$257,12,FALSE))))</f>
        <v/>
      </c>
      <c r="M152" s="418" t="str">
        <f t="shared" si="24"/>
        <v/>
      </c>
      <c r="N152" s="498" t="str">
        <f>IFERROR(IF(B152="","",INDEX('G-6 Hedgerow Data'!$AN$3:$AZ$15,MATCH(C152,'G-6 Hedgerow Data'!$AM$3:$AM$15,0),MATCH(M152,'G-6 Hedgerow Data'!$AN$2:$AZ$2,0))),"")</f>
        <v/>
      </c>
      <c r="O152" s="499" t="str">
        <f t="shared" si="18"/>
        <v/>
      </c>
      <c r="P152" s="505" t="str">
        <f>IF(B152="","",VLOOKUP(B152,'E-1 Off Site Hedge Baseline'!$B$10:T397,16,FALSE))</f>
        <v/>
      </c>
      <c r="Q152" s="498" t="str">
        <f>IF(M152="","",VLOOKUP(M152,'G-6 Hedgerow Data'!$B$2:$AG$15,2,FALSE))</f>
        <v/>
      </c>
      <c r="R152" s="499" t="str">
        <f>IF(M152="","",VLOOKUP(M152,'G-6 Hedgerow Data'!$B$2:$AG$15,3,FALSE))</f>
        <v/>
      </c>
      <c r="S152" s="145"/>
      <c r="T152" s="499" t="str">
        <f>IFERROR(IF(AND(Q152="V.Low",OR(S152="Good",S152="Moderate")),"Error ▲",VLOOKUP(S152,'G-1 All Habitats'!$Z$2:$AA$9,2,FALSE)),"")</f>
        <v/>
      </c>
      <c r="U152" s="145"/>
      <c r="V152" s="507" t="str">
        <f>IF(U152="","",IF(VLOOKUP(U152,'G-3 Multipliers'!$L$3:$N$6,2,FALSE)=0,"Spatial Data Missing ⚠",VLOOKUP(U152,'G-3 Multipliers'!$L$3:$N$6,2,FALSE)))</f>
        <v/>
      </c>
      <c r="W152" s="505" t="str">
        <f>IF(U152="","",IF(VLOOKUP(U152,'G-3 Multipliers'!$L$3:$N$6,3,FALSE)=0,"Spatial Data Missing ⚠",VLOOKUP(U152,'G-3 Multipliers'!$L$3:$N$6,3,FALSE)))</f>
        <v/>
      </c>
      <c r="X152" s="498" t="str">
        <f>IFERROR(IF(OR(LEFT(O152,5)="Error ▲",LEFT(N152,5)="Error ▲",T152="Error ▲"),"Check Data ⚠",IF(F152&lt;R152,INDEX('G-6 Hedgerow Data'!$S$3:$AE$14,MATCH(C152,'G-6 Hedgerow Data'!$B$3:$B$14,0),MATCH(M152,'G-6 Hedgerow Data'!$S$2:$AE$2,0)),INDEX('G-6 Hedgerow Data'!$K$3:$Q$14,MATCH(M152,'G-6 Hedgerow Data'!$B$3:$B$14,0),MATCH(O152,'G-6 Hedgerow Data'!$K$2:$Q$2,0)))),"")</f>
        <v/>
      </c>
      <c r="Y152" s="195"/>
      <c r="Z152" s="195"/>
      <c r="AA152" s="507" t="str">
        <f t="shared" si="19"/>
        <v/>
      </c>
      <c r="AB152" s="521" t="str">
        <f t="shared" si="20"/>
        <v/>
      </c>
      <c r="AC152" s="522" t="str">
        <f t="shared" si="17"/>
        <v/>
      </c>
      <c r="AD152" s="537" t="str">
        <f>IF(M152="","",VLOOKUP(M152,'G-6 Hedgerow Data'!$B$3:$AG$15,31,FALSE))</f>
        <v/>
      </c>
      <c r="AE152" s="520" t="str">
        <f t="shared" si="21"/>
        <v/>
      </c>
      <c r="AF152" s="520" t="str">
        <f t="shared" si="22"/>
        <v/>
      </c>
      <c r="AG152" s="524" t="str">
        <f>IFERROR(IF(O152="","",VLOOKUP(AD152,'G-3 Multipliers'!$P$3:$Q$6,2,FALSE)),"")</f>
        <v/>
      </c>
      <c r="AH152" s="197"/>
      <c r="AI152" s="499" t="str">
        <f>IF(AH152="","",IF(VLOOKUP(AH152,'G-3 Multipliers'!$S$3:$T$6,2,FALSE)=0,"Spatial Data Missing ⚠",VLOOKUP(AH152,'G-3 Multipliers'!$S$3:$T$6,2,FALSE)))</f>
        <v/>
      </c>
      <c r="AJ152" s="545" t="str">
        <f t="shared" si="23"/>
        <v/>
      </c>
      <c r="AK152" s="149"/>
      <c r="AL152" s="150"/>
      <c r="AP152" s="31" t="str">
        <f>IFERROR(INDEX('G-6 Hedgerow Data'!$BJ$3:$BJ$15,MATCH(M152,'G-6 Hedgerow Data'!$B$3:$B$15,0)),"")</f>
        <v/>
      </c>
    </row>
    <row r="153" spans="2:42" ht="14" x14ac:dyDescent="0.3">
      <c r="B153" s="531" t="str">
        <f>'E-1 Off Site Hedge Baseline'!AK151</f>
        <v/>
      </c>
      <c r="C153" s="520" t="str">
        <f>IF(B153="","",IF(ISNA(VLOOKUP($B153,'E-1 Off Site Hedge Baseline'!$B$1:$L$257,3,FALSE)),"",(VLOOKUP($B153,'E-1 Off Site Hedge Baseline'!$B$1:$L$257,3,FALSE))))</f>
        <v/>
      </c>
      <c r="D153" s="520" t="str">
        <f>IF(B153="","",IF(ISNA(VLOOKUP($B153,'E-1 Off Site Hedge Baseline'!$B$1:$L$258,4,FALSE)),"",(VLOOKUP($B153,'E-1 Off Site Hedge Baseline'!$B$1:$L$258,4,FALSE))))</f>
        <v/>
      </c>
      <c r="E153" s="520" t="str">
        <f>IF(B153="","",IF(ISNA(VLOOKUP($B153,'E-1 Off Site Hedge Baseline'!$B$1:$L$257,5,FALSE)),"",(VLOOKUP($B153,'E-1 Off Site Hedge Baseline'!$B$1:$L$257,5,FALSE))))</f>
        <v/>
      </c>
      <c r="F153" s="520" t="str">
        <f>IF(B153="","",IF(ISNA(VLOOKUP($B153,'E-1 Off Site Hedge Baseline'!$B$1:$L$257,6,FALSE)),"",(VLOOKUP($B153,'E-1 Off Site Hedge Baseline'!$B$1:$L$257,6,FALSE))))</f>
        <v/>
      </c>
      <c r="G153" s="520" t="str">
        <f>IF(B153="","",IF(ISNA(VLOOKUP($B153,'E-1 Off Site Hedge Baseline'!$B$1:$L$257,7,FALSE)),"",(VLOOKUP($B153,'E-1 Off Site Hedge Baseline'!$B$1:$L$257,7,FALSE))))</f>
        <v/>
      </c>
      <c r="H153" s="520" t="str">
        <f>IF(B153="","",IF(ISNA(VLOOKUP($B153,'E-1 Off Site Hedge Baseline'!$B$1:$L$257,8,FALSE)),"",(VLOOKUP($B153,'E-1 Off Site Hedge Baseline'!$B$1:$L$257,8,FALSE))))</f>
        <v/>
      </c>
      <c r="I153" s="520" t="str">
        <f>IF(B153="","",IF(ISNA(VLOOKUP($B153,'E-1 Off Site Hedge Baseline'!$B$1:$L$257,10,FALSE)),"",(VLOOKUP($B153,'E-1 Off Site Hedge Baseline'!$B$1:$L$257,10,FALSE))))</f>
        <v/>
      </c>
      <c r="J153" s="520" t="str">
        <f>IF(B153="","",IF(ISNA(VLOOKUP($B153,'E-1 Off Site Hedge Baseline'!$B$1:$L$257,11,FALSE)),"",(VLOOKUP($B153,'E-1 Off Site Hedge Baseline'!$B$1:$L$257,11,FALSE))))</f>
        <v/>
      </c>
      <c r="K153" s="520" t="str">
        <f>IF(B153="","",IF(ISNA(VLOOKUP($B153,'E-1 Off Site Hedge Baseline'!$B$1:$U$257,113,FALSE)),"",(VLOOKUP($B153,'E-1 Off Site Hedge Baseline'!$B$1:$U$257,13,FALSE))))</f>
        <v/>
      </c>
      <c r="L153" s="507" t="str">
        <f>IF(B153="","",IF(ISNA(VLOOKUP($B153,'E-1 Off Site Hedge Baseline'!$B$1:$U$257,12,FALSE)),"",(VLOOKUP($B153,'E-1 Off Site Hedge Baseline'!$B$1:$U$257,12,FALSE))))</f>
        <v/>
      </c>
      <c r="M153" s="418" t="str">
        <f t="shared" si="24"/>
        <v/>
      </c>
      <c r="N153" s="498" t="str">
        <f>IFERROR(IF(B153="","",INDEX('G-6 Hedgerow Data'!$AN$3:$AZ$15,MATCH(C153,'G-6 Hedgerow Data'!$AM$3:$AM$15,0),MATCH(M153,'G-6 Hedgerow Data'!$AN$2:$AZ$2,0))),"")</f>
        <v/>
      </c>
      <c r="O153" s="499" t="str">
        <f t="shared" si="18"/>
        <v/>
      </c>
      <c r="P153" s="505" t="str">
        <f>IF(B153="","",VLOOKUP(B153,'E-1 Off Site Hedge Baseline'!$B$10:T398,16,FALSE))</f>
        <v/>
      </c>
      <c r="Q153" s="498" t="str">
        <f>IF(M153="","",VLOOKUP(M153,'G-6 Hedgerow Data'!$B$2:$AG$15,2,FALSE))</f>
        <v/>
      </c>
      <c r="R153" s="499" t="str">
        <f>IF(M153="","",VLOOKUP(M153,'G-6 Hedgerow Data'!$B$2:$AG$15,3,FALSE))</f>
        <v/>
      </c>
      <c r="S153" s="145"/>
      <c r="T153" s="499" t="str">
        <f>IFERROR(IF(AND(Q153="V.Low",OR(S153="Good",S153="Moderate")),"Error ▲",VLOOKUP(S153,'G-1 All Habitats'!$Z$2:$AA$9,2,FALSE)),"")</f>
        <v/>
      </c>
      <c r="U153" s="145"/>
      <c r="V153" s="507" t="str">
        <f>IF(U153="","",IF(VLOOKUP(U153,'G-3 Multipliers'!$L$3:$N$6,2,FALSE)=0,"Spatial Data Missing ⚠",VLOOKUP(U153,'G-3 Multipliers'!$L$3:$N$6,2,FALSE)))</f>
        <v/>
      </c>
      <c r="W153" s="505" t="str">
        <f>IF(U153="","",IF(VLOOKUP(U153,'G-3 Multipliers'!$L$3:$N$6,3,FALSE)=0,"Spatial Data Missing ⚠",VLOOKUP(U153,'G-3 Multipliers'!$L$3:$N$6,3,FALSE)))</f>
        <v/>
      </c>
      <c r="X153" s="498" t="str">
        <f>IFERROR(IF(OR(LEFT(O153,5)="Error ▲",LEFT(N153,5)="Error ▲",T153="Error ▲"),"Check Data ⚠",IF(F153&lt;R153,INDEX('G-6 Hedgerow Data'!$S$3:$AE$14,MATCH(C153,'G-6 Hedgerow Data'!$B$3:$B$14,0),MATCH(M153,'G-6 Hedgerow Data'!$S$2:$AE$2,0)),INDEX('G-6 Hedgerow Data'!$K$3:$Q$14,MATCH(M153,'G-6 Hedgerow Data'!$B$3:$B$14,0),MATCH(O153,'G-6 Hedgerow Data'!$K$2:$Q$2,0)))),"")</f>
        <v/>
      </c>
      <c r="Y153" s="195"/>
      <c r="Z153" s="195"/>
      <c r="AA153" s="507" t="str">
        <f t="shared" si="19"/>
        <v/>
      </c>
      <c r="AB153" s="521" t="str">
        <f t="shared" si="20"/>
        <v/>
      </c>
      <c r="AC153" s="522" t="str">
        <f t="shared" si="17"/>
        <v/>
      </c>
      <c r="AD153" s="537" t="str">
        <f>IF(M153="","",VLOOKUP(M153,'G-6 Hedgerow Data'!$B$3:$AG$15,31,FALSE))</f>
        <v/>
      </c>
      <c r="AE153" s="520" t="str">
        <f t="shared" si="21"/>
        <v/>
      </c>
      <c r="AF153" s="520" t="str">
        <f t="shared" si="22"/>
        <v/>
      </c>
      <c r="AG153" s="524" t="str">
        <f>IFERROR(IF(O153="","",VLOOKUP(AD153,'G-3 Multipliers'!$P$3:$Q$6,2,FALSE)),"")</f>
        <v/>
      </c>
      <c r="AH153" s="197"/>
      <c r="AI153" s="499" t="str">
        <f>IF(AH153="","",IF(VLOOKUP(AH153,'G-3 Multipliers'!$S$3:$T$6,2,FALSE)=0,"Spatial Data Missing ⚠",VLOOKUP(AH153,'G-3 Multipliers'!$S$3:$T$6,2,FALSE)))</f>
        <v/>
      </c>
      <c r="AJ153" s="545" t="str">
        <f t="shared" si="23"/>
        <v/>
      </c>
      <c r="AK153" s="149"/>
      <c r="AL153" s="150"/>
      <c r="AP153" s="31" t="str">
        <f>IFERROR(INDEX('G-6 Hedgerow Data'!$BJ$3:$BJ$15,MATCH(M153,'G-6 Hedgerow Data'!$B$3:$B$15,0)),"")</f>
        <v/>
      </c>
    </row>
    <row r="154" spans="2:42" ht="14" x14ac:dyDescent="0.3">
      <c r="B154" s="531" t="str">
        <f>'E-1 Off Site Hedge Baseline'!AK152</f>
        <v/>
      </c>
      <c r="C154" s="520" t="str">
        <f>IF(B154="","",IF(ISNA(VLOOKUP($B154,'E-1 Off Site Hedge Baseline'!$B$1:$L$257,3,FALSE)),"",(VLOOKUP($B154,'E-1 Off Site Hedge Baseline'!$B$1:$L$257,3,FALSE))))</f>
        <v/>
      </c>
      <c r="D154" s="520" t="str">
        <f>IF(B154="","",IF(ISNA(VLOOKUP($B154,'E-1 Off Site Hedge Baseline'!$B$1:$L$258,4,FALSE)),"",(VLOOKUP($B154,'E-1 Off Site Hedge Baseline'!$B$1:$L$258,4,FALSE))))</f>
        <v/>
      </c>
      <c r="E154" s="520" t="str">
        <f>IF(B154="","",IF(ISNA(VLOOKUP($B154,'E-1 Off Site Hedge Baseline'!$B$1:$L$257,5,FALSE)),"",(VLOOKUP($B154,'E-1 Off Site Hedge Baseline'!$B$1:$L$257,5,FALSE))))</f>
        <v/>
      </c>
      <c r="F154" s="520" t="str">
        <f>IF(B154="","",IF(ISNA(VLOOKUP($B154,'E-1 Off Site Hedge Baseline'!$B$1:$L$257,6,FALSE)),"",(VLOOKUP($B154,'E-1 Off Site Hedge Baseline'!$B$1:$L$257,6,FALSE))))</f>
        <v/>
      </c>
      <c r="G154" s="520" t="str">
        <f>IF(B154="","",IF(ISNA(VLOOKUP($B154,'E-1 Off Site Hedge Baseline'!$B$1:$L$257,7,FALSE)),"",(VLOOKUP($B154,'E-1 Off Site Hedge Baseline'!$B$1:$L$257,7,FALSE))))</f>
        <v/>
      </c>
      <c r="H154" s="520" t="str">
        <f>IF(B154="","",IF(ISNA(VLOOKUP($B154,'E-1 Off Site Hedge Baseline'!$B$1:$L$257,8,FALSE)),"",(VLOOKUP($B154,'E-1 Off Site Hedge Baseline'!$B$1:$L$257,8,FALSE))))</f>
        <v/>
      </c>
      <c r="I154" s="520" t="str">
        <f>IF(B154="","",IF(ISNA(VLOOKUP($B154,'E-1 Off Site Hedge Baseline'!$B$1:$L$257,10,FALSE)),"",(VLOOKUP($B154,'E-1 Off Site Hedge Baseline'!$B$1:$L$257,10,FALSE))))</f>
        <v/>
      </c>
      <c r="J154" s="520" t="str">
        <f>IF(B154="","",IF(ISNA(VLOOKUP($B154,'E-1 Off Site Hedge Baseline'!$B$1:$L$257,11,FALSE)),"",(VLOOKUP($B154,'E-1 Off Site Hedge Baseline'!$B$1:$L$257,11,FALSE))))</f>
        <v/>
      </c>
      <c r="K154" s="520" t="str">
        <f>IF(B154="","",IF(ISNA(VLOOKUP($B154,'E-1 Off Site Hedge Baseline'!$B$1:$U$257,113,FALSE)),"",(VLOOKUP($B154,'E-1 Off Site Hedge Baseline'!$B$1:$U$257,13,FALSE))))</f>
        <v/>
      </c>
      <c r="L154" s="507" t="str">
        <f>IF(B154="","",IF(ISNA(VLOOKUP($B154,'E-1 Off Site Hedge Baseline'!$B$1:$U$257,12,FALSE)),"",(VLOOKUP($B154,'E-1 Off Site Hedge Baseline'!$B$1:$U$257,12,FALSE))))</f>
        <v/>
      </c>
      <c r="M154" s="418" t="str">
        <f t="shared" si="24"/>
        <v/>
      </c>
      <c r="N154" s="498" t="str">
        <f>IFERROR(IF(B154="","",INDEX('G-6 Hedgerow Data'!$AN$3:$AZ$15,MATCH(C154,'G-6 Hedgerow Data'!$AM$3:$AM$15,0),MATCH(M154,'G-6 Hedgerow Data'!$AN$2:$AZ$2,0))),"")</f>
        <v/>
      </c>
      <c r="O154" s="499" t="str">
        <f t="shared" si="18"/>
        <v/>
      </c>
      <c r="P154" s="505" t="str">
        <f>IF(B154="","",VLOOKUP(B154,'E-1 Off Site Hedge Baseline'!$B$10:T399,16,FALSE))</f>
        <v/>
      </c>
      <c r="Q154" s="498" t="str">
        <f>IF(M154="","",VLOOKUP(M154,'G-6 Hedgerow Data'!$B$2:$AG$15,2,FALSE))</f>
        <v/>
      </c>
      <c r="R154" s="499" t="str">
        <f>IF(M154="","",VLOOKUP(M154,'G-6 Hedgerow Data'!$B$2:$AG$15,3,FALSE))</f>
        <v/>
      </c>
      <c r="S154" s="145"/>
      <c r="T154" s="499" t="str">
        <f>IFERROR(IF(AND(Q154="V.Low",OR(S154="Good",S154="Moderate")),"Error ▲",VLOOKUP(S154,'G-1 All Habitats'!$Z$2:$AA$9,2,FALSE)),"")</f>
        <v/>
      </c>
      <c r="U154" s="145"/>
      <c r="V154" s="507" t="str">
        <f>IF(U154="","",IF(VLOOKUP(U154,'G-3 Multipliers'!$L$3:$N$6,2,FALSE)=0,"Spatial Data Missing ⚠",VLOOKUP(U154,'G-3 Multipliers'!$L$3:$N$6,2,FALSE)))</f>
        <v/>
      </c>
      <c r="W154" s="505" t="str">
        <f>IF(U154="","",IF(VLOOKUP(U154,'G-3 Multipliers'!$L$3:$N$6,3,FALSE)=0,"Spatial Data Missing ⚠",VLOOKUP(U154,'G-3 Multipliers'!$L$3:$N$6,3,FALSE)))</f>
        <v/>
      </c>
      <c r="X154" s="498" t="str">
        <f>IFERROR(IF(OR(LEFT(O154,5)="Error ▲",LEFT(N154,5)="Error ▲",T154="Error ▲"),"Check Data ⚠",IF(F154&lt;R154,INDEX('G-6 Hedgerow Data'!$S$3:$AE$14,MATCH(C154,'G-6 Hedgerow Data'!$B$3:$B$14,0),MATCH(M154,'G-6 Hedgerow Data'!$S$2:$AE$2,0)),INDEX('G-6 Hedgerow Data'!$K$3:$Q$14,MATCH(M154,'G-6 Hedgerow Data'!$B$3:$B$14,0),MATCH(O154,'G-6 Hedgerow Data'!$K$2:$Q$2,0)))),"")</f>
        <v/>
      </c>
      <c r="Y154" s="195"/>
      <c r="Z154" s="195"/>
      <c r="AA154" s="507" t="str">
        <f t="shared" si="19"/>
        <v/>
      </c>
      <c r="AB154" s="521" t="str">
        <f t="shared" si="20"/>
        <v/>
      </c>
      <c r="AC154" s="522" t="str">
        <f t="shared" si="17"/>
        <v/>
      </c>
      <c r="AD154" s="537" t="str">
        <f>IF(M154="","",VLOOKUP(M154,'G-6 Hedgerow Data'!$B$3:$AG$15,31,FALSE))</f>
        <v/>
      </c>
      <c r="AE154" s="520" t="str">
        <f t="shared" si="21"/>
        <v/>
      </c>
      <c r="AF154" s="520" t="str">
        <f t="shared" si="22"/>
        <v/>
      </c>
      <c r="AG154" s="524" t="str">
        <f>IFERROR(IF(O154="","",VLOOKUP(AD154,'G-3 Multipliers'!$P$3:$Q$6,2,FALSE)),"")</f>
        <v/>
      </c>
      <c r="AH154" s="197"/>
      <c r="AI154" s="499" t="str">
        <f>IF(AH154="","",IF(VLOOKUP(AH154,'G-3 Multipliers'!$S$3:$T$6,2,FALSE)=0,"Spatial Data Missing ⚠",VLOOKUP(AH154,'G-3 Multipliers'!$S$3:$T$6,2,FALSE)))</f>
        <v/>
      </c>
      <c r="AJ154" s="545" t="str">
        <f t="shared" si="23"/>
        <v/>
      </c>
      <c r="AK154" s="149"/>
      <c r="AL154" s="150"/>
      <c r="AP154" s="31" t="str">
        <f>IFERROR(INDEX('G-6 Hedgerow Data'!$BJ$3:$BJ$15,MATCH(M154,'G-6 Hedgerow Data'!$B$3:$B$15,0)),"")</f>
        <v/>
      </c>
    </row>
    <row r="155" spans="2:42" ht="14" x14ac:dyDescent="0.3">
      <c r="B155" s="531" t="str">
        <f>'E-1 Off Site Hedge Baseline'!AK153</f>
        <v/>
      </c>
      <c r="C155" s="520" t="str">
        <f>IF(B155="","",IF(ISNA(VLOOKUP($B155,'E-1 Off Site Hedge Baseline'!$B$1:$L$257,3,FALSE)),"",(VLOOKUP($B155,'E-1 Off Site Hedge Baseline'!$B$1:$L$257,3,FALSE))))</f>
        <v/>
      </c>
      <c r="D155" s="520" t="str">
        <f>IF(B155="","",IF(ISNA(VLOOKUP($B155,'E-1 Off Site Hedge Baseline'!$B$1:$L$258,4,FALSE)),"",(VLOOKUP($B155,'E-1 Off Site Hedge Baseline'!$B$1:$L$258,4,FALSE))))</f>
        <v/>
      </c>
      <c r="E155" s="520" t="str">
        <f>IF(B155="","",IF(ISNA(VLOOKUP($B155,'E-1 Off Site Hedge Baseline'!$B$1:$L$257,5,FALSE)),"",(VLOOKUP($B155,'E-1 Off Site Hedge Baseline'!$B$1:$L$257,5,FALSE))))</f>
        <v/>
      </c>
      <c r="F155" s="520" t="str">
        <f>IF(B155="","",IF(ISNA(VLOOKUP($B155,'E-1 Off Site Hedge Baseline'!$B$1:$L$257,6,FALSE)),"",(VLOOKUP($B155,'E-1 Off Site Hedge Baseline'!$B$1:$L$257,6,FALSE))))</f>
        <v/>
      </c>
      <c r="G155" s="520" t="str">
        <f>IF(B155="","",IF(ISNA(VLOOKUP($B155,'E-1 Off Site Hedge Baseline'!$B$1:$L$257,7,FALSE)),"",(VLOOKUP($B155,'E-1 Off Site Hedge Baseline'!$B$1:$L$257,7,FALSE))))</f>
        <v/>
      </c>
      <c r="H155" s="520" t="str">
        <f>IF(B155="","",IF(ISNA(VLOOKUP($B155,'E-1 Off Site Hedge Baseline'!$B$1:$L$257,8,FALSE)),"",(VLOOKUP($B155,'E-1 Off Site Hedge Baseline'!$B$1:$L$257,8,FALSE))))</f>
        <v/>
      </c>
      <c r="I155" s="520" t="str">
        <f>IF(B155="","",IF(ISNA(VLOOKUP($B155,'E-1 Off Site Hedge Baseline'!$B$1:$L$257,10,FALSE)),"",(VLOOKUP($B155,'E-1 Off Site Hedge Baseline'!$B$1:$L$257,10,FALSE))))</f>
        <v/>
      </c>
      <c r="J155" s="520" t="str">
        <f>IF(B155="","",IF(ISNA(VLOOKUP($B155,'E-1 Off Site Hedge Baseline'!$B$1:$L$257,11,FALSE)),"",(VLOOKUP($B155,'E-1 Off Site Hedge Baseline'!$B$1:$L$257,11,FALSE))))</f>
        <v/>
      </c>
      <c r="K155" s="520" t="str">
        <f>IF(B155="","",IF(ISNA(VLOOKUP($B155,'E-1 Off Site Hedge Baseline'!$B$1:$U$257,113,FALSE)),"",(VLOOKUP($B155,'E-1 Off Site Hedge Baseline'!$B$1:$U$257,13,FALSE))))</f>
        <v/>
      </c>
      <c r="L155" s="507" t="str">
        <f>IF(B155="","",IF(ISNA(VLOOKUP($B155,'E-1 Off Site Hedge Baseline'!$B$1:$U$257,12,FALSE)),"",(VLOOKUP($B155,'E-1 Off Site Hedge Baseline'!$B$1:$U$257,12,FALSE))))</f>
        <v/>
      </c>
      <c r="M155" s="418" t="str">
        <f t="shared" si="24"/>
        <v/>
      </c>
      <c r="N155" s="498" t="str">
        <f>IFERROR(IF(B155="","",INDEX('G-6 Hedgerow Data'!$AN$3:$AZ$15,MATCH(C155,'G-6 Hedgerow Data'!$AM$3:$AM$15,0),MATCH(M155,'G-6 Hedgerow Data'!$AN$2:$AZ$2,0))),"")</f>
        <v/>
      </c>
      <c r="O155" s="499" t="str">
        <f t="shared" si="18"/>
        <v/>
      </c>
      <c r="P155" s="505" t="str">
        <f>IF(B155="","",VLOOKUP(B155,'E-1 Off Site Hedge Baseline'!$B$10:T400,16,FALSE))</f>
        <v/>
      </c>
      <c r="Q155" s="498" t="str">
        <f>IF(M155="","",VLOOKUP(M155,'G-6 Hedgerow Data'!$B$2:$AG$15,2,FALSE))</f>
        <v/>
      </c>
      <c r="R155" s="499" t="str">
        <f>IF(M155="","",VLOOKUP(M155,'G-6 Hedgerow Data'!$B$2:$AG$15,3,FALSE))</f>
        <v/>
      </c>
      <c r="S155" s="145"/>
      <c r="T155" s="499" t="str">
        <f>IFERROR(IF(AND(Q155="V.Low",OR(S155="Good",S155="Moderate")),"Error ▲",VLOOKUP(S155,'G-1 All Habitats'!$Z$2:$AA$9,2,FALSE)),"")</f>
        <v/>
      </c>
      <c r="U155" s="145"/>
      <c r="V155" s="507" t="str">
        <f>IF(U155="","",IF(VLOOKUP(U155,'G-3 Multipliers'!$L$3:$N$6,2,FALSE)=0,"Spatial Data Missing ⚠",VLOOKUP(U155,'G-3 Multipliers'!$L$3:$N$6,2,FALSE)))</f>
        <v/>
      </c>
      <c r="W155" s="505" t="str">
        <f>IF(U155="","",IF(VLOOKUP(U155,'G-3 Multipliers'!$L$3:$N$6,3,FALSE)=0,"Spatial Data Missing ⚠",VLOOKUP(U155,'G-3 Multipliers'!$L$3:$N$6,3,FALSE)))</f>
        <v/>
      </c>
      <c r="X155" s="498" t="str">
        <f>IFERROR(IF(OR(LEFT(O155,5)="Error ▲",LEFT(N155,5)="Error ▲",T155="Error ▲"),"Check Data ⚠",IF(F155&lt;R155,INDEX('G-6 Hedgerow Data'!$S$3:$AE$14,MATCH(C155,'G-6 Hedgerow Data'!$B$3:$B$14,0),MATCH(M155,'G-6 Hedgerow Data'!$S$2:$AE$2,0)),INDEX('G-6 Hedgerow Data'!$K$3:$Q$14,MATCH(M155,'G-6 Hedgerow Data'!$B$3:$B$14,0),MATCH(O155,'G-6 Hedgerow Data'!$K$2:$Q$2,0)))),"")</f>
        <v/>
      </c>
      <c r="Y155" s="195"/>
      <c r="Z155" s="195"/>
      <c r="AA155" s="507" t="str">
        <f t="shared" si="19"/>
        <v/>
      </c>
      <c r="AB155" s="521" t="str">
        <f t="shared" si="20"/>
        <v/>
      </c>
      <c r="AC155" s="522" t="str">
        <f t="shared" si="17"/>
        <v/>
      </c>
      <c r="AD155" s="537" t="str">
        <f>IF(M155="","",VLOOKUP(M155,'G-6 Hedgerow Data'!$B$3:$AG$15,31,FALSE))</f>
        <v/>
      </c>
      <c r="AE155" s="520" t="str">
        <f t="shared" si="21"/>
        <v/>
      </c>
      <c r="AF155" s="520" t="str">
        <f t="shared" si="22"/>
        <v/>
      </c>
      <c r="AG155" s="524" t="str">
        <f>IFERROR(IF(O155="","",VLOOKUP(AD155,'G-3 Multipliers'!$P$3:$Q$6,2,FALSE)),"")</f>
        <v/>
      </c>
      <c r="AH155" s="197"/>
      <c r="AI155" s="499" t="str">
        <f>IF(AH155="","",IF(VLOOKUP(AH155,'G-3 Multipliers'!$S$3:$T$6,2,FALSE)=0,"Spatial Data Missing ⚠",VLOOKUP(AH155,'G-3 Multipliers'!$S$3:$T$6,2,FALSE)))</f>
        <v/>
      </c>
      <c r="AJ155" s="545" t="str">
        <f t="shared" si="23"/>
        <v/>
      </c>
      <c r="AK155" s="149"/>
      <c r="AL155" s="150"/>
      <c r="AP155" s="31" t="str">
        <f>IFERROR(INDEX('G-6 Hedgerow Data'!$BJ$3:$BJ$15,MATCH(M155,'G-6 Hedgerow Data'!$B$3:$B$15,0)),"")</f>
        <v/>
      </c>
    </row>
    <row r="156" spans="2:42" ht="14" x14ac:dyDescent="0.3">
      <c r="B156" s="531" t="str">
        <f>'E-1 Off Site Hedge Baseline'!AK154</f>
        <v/>
      </c>
      <c r="C156" s="520" t="str">
        <f>IF(B156="","",IF(ISNA(VLOOKUP($B156,'E-1 Off Site Hedge Baseline'!$B$1:$L$257,3,FALSE)),"",(VLOOKUP($B156,'E-1 Off Site Hedge Baseline'!$B$1:$L$257,3,FALSE))))</f>
        <v/>
      </c>
      <c r="D156" s="520" t="str">
        <f>IF(B156="","",IF(ISNA(VLOOKUP($B156,'E-1 Off Site Hedge Baseline'!$B$1:$L$258,4,FALSE)),"",(VLOOKUP($B156,'E-1 Off Site Hedge Baseline'!$B$1:$L$258,4,FALSE))))</f>
        <v/>
      </c>
      <c r="E156" s="520" t="str">
        <f>IF(B156="","",IF(ISNA(VLOOKUP($B156,'E-1 Off Site Hedge Baseline'!$B$1:$L$257,5,FALSE)),"",(VLOOKUP($B156,'E-1 Off Site Hedge Baseline'!$B$1:$L$257,5,FALSE))))</f>
        <v/>
      </c>
      <c r="F156" s="520" t="str">
        <f>IF(B156="","",IF(ISNA(VLOOKUP($B156,'E-1 Off Site Hedge Baseline'!$B$1:$L$257,6,FALSE)),"",(VLOOKUP($B156,'E-1 Off Site Hedge Baseline'!$B$1:$L$257,6,FALSE))))</f>
        <v/>
      </c>
      <c r="G156" s="520" t="str">
        <f>IF(B156="","",IF(ISNA(VLOOKUP($B156,'E-1 Off Site Hedge Baseline'!$B$1:$L$257,7,FALSE)),"",(VLOOKUP($B156,'E-1 Off Site Hedge Baseline'!$B$1:$L$257,7,FALSE))))</f>
        <v/>
      </c>
      <c r="H156" s="520" t="str">
        <f>IF(B156="","",IF(ISNA(VLOOKUP($B156,'E-1 Off Site Hedge Baseline'!$B$1:$L$257,8,FALSE)),"",(VLOOKUP($B156,'E-1 Off Site Hedge Baseline'!$B$1:$L$257,8,FALSE))))</f>
        <v/>
      </c>
      <c r="I156" s="520" t="str">
        <f>IF(B156="","",IF(ISNA(VLOOKUP($B156,'E-1 Off Site Hedge Baseline'!$B$1:$L$257,10,FALSE)),"",(VLOOKUP($B156,'E-1 Off Site Hedge Baseline'!$B$1:$L$257,10,FALSE))))</f>
        <v/>
      </c>
      <c r="J156" s="520" t="str">
        <f>IF(B156="","",IF(ISNA(VLOOKUP($B156,'E-1 Off Site Hedge Baseline'!$B$1:$L$257,11,FALSE)),"",(VLOOKUP($B156,'E-1 Off Site Hedge Baseline'!$B$1:$L$257,11,FALSE))))</f>
        <v/>
      </c>
      <c r="K156" s="520" t="str">
        <f>IF(B156="","",IF(ISNA(VLOOKUP($B156,'E-1 Off Site Hedge Baseline'!$B$1:$U$257,113,FALSE)),"",(VLOOKUP($B156,'E-1 Off Site Hedge Baseline'!$B$1:$U$257,13,FALSE))))</f>
        <v/>
      </c>
      <c r="L156" s="507" t="str">
        <f>IF(B156="","",IF(ISNA(VLOOKUP($B156,'E-1 Off Site Hedge Baseline'!$B$1:$U$257,12,FALSE)),"",(VLOOKUP($B156,'E-1 Off Site Hedge Baseline'!$B$1:$U$257,12,FALSE))))</f>
        <v/>
      </c>
      <c r="M156" s="418" t="str">
        <f t="shared" si="24"/>
        <v/>
      </c>
      <c r="N156" s="498" t="str">
        <f>IFERROR(IF(B156="","",INDEX('G-6 Hedgerow Data'!$AN$3:$AZ$15,MATCH(C156,'G-6 Hedgerow Data'!$AM$3:$AM$15,0),MATCH(M156,'G-6 Hedgerow Data'!$AN$2:$AZ$2,0))),"")</f>
        <v/>
      </c>
      <c r="O156" s="499" t="str">
        <f t="shared" si="18"/>
        <v/>
      </c>
      <c r="P156" s="505" t="str">
        <f>IF(B156="","",VLOOKUP(B156,'E-1 Off Site Hedge Baseline'!$B$10:T401,16,FALSE))</f>
        <v/>
      </c>
      <c r="Q156" s="498" t="str">
        <f>IF(M156="","",VLOOKUP(M156,'G-6 Hedgerow Data'!$B$2:$AG$15,2,FALSE))</f>
        <v/>
      </c>
      <c r="R156" s="499" t="str">
        <f>IF(M156="","",VLOOKUP(M156,'G-6 Hedgerow Data'!$B$2:$AG$15,3,FALSE))</f>
        <v/>
      </c>
      <c r="S156" s="145"/>
      <c r="T156" s="499" t="str">
        <f>IFERROR(IF(AND(Q156="V.Low",OR(S156="Good",S156="Moderate")),"Error ▲",VLOOKUP(S156,'G-1 All Habitats'!$Z$2:$AA$9,2,FALSE)),"")</f>
        <v/>
      </c>
      <c r="U156" s="145"/>
      <c r="V156" s="507" t="str">
        <f>IF(U156="","",IF(VLOOKUP(U156,'G-3 Multipliers'!$L$3:$N$6,2,FALSE)=0,"Spatial Data Missing ⚠",VLOOKUP(U156,'G-3 Multipliers'!$L$3:$N$6,2,FALSE)))</f>
        <v/>
      </c>
      <c r="W156" s="505" t="str">
        <f>IF(U156="","",IF(VLOOKUP(U156,'G-3 Multipliers'!$L$3:$N$6,3,FALSE)=0,"Spatial Data Missing ⚠",VLOOKUP(U156,'G-3 Multipliers'!$L$3:$N$6,3,FALSE)))</f>
        <v/>
      </c>
      <c r="X156" s="498" t="str">
        <f>IFERROR(IF(OR(LEFT(O156,5)="Error ▲",LEFT(N156,5)="Error ▲",T156="Error ▲"),"Check Data ⚠",IF(F156&lt;R156,INDEX('G-6 Hedgerow Data'!$S$3:$AE$14,MATCH(C156,'G-6 Hedgerow Data'!$B$3:$B$14,0),MATCH(M156,'G-6 Hedgerow Data'!$S$2:$AE$2,0)),INDEX('G-6 Hedgerow Data'!$K$3:$Q$14,MATCH(M156,'G-6 Hedgerow Data'!$B$3:$B$14,0),MATCH(O156,'G-6 Hedgerow Data'!$K$2:$Q$2,0)))),"")</f>
        <v/>
      </c>
      <c r="Y156" s="195"/>
      <c r="Z156" s="195"/>
      <c r="AA156" s="507" t="str">
        <f t="shared" si="19"/>
        <v/>
      </c>
      <c r="AB156" s="521" t="str">
        <f t="shared" si="20"/>
        <v/>
      </c>
      <c r="AC156" s="522" t="str">
        <f t="shared" si="17"/>
        <v/>
      </c>
      <c r="AD156" s="537" t="str">
        <f>IF(M156="","",VLOOKUP(M156,'G-6 Hedgerow Data'!$B$3:$AG$15,31,FALSE))</f>
        <v/>
      </c>
      <c r="AE156" s="520" t="str">
        <f t="shared" si="21"/>
        <v/>
      </c>
      <c r="AF156" s="520" t="str">
        <f t="shared" si="22"/>
        <v/>
      </c>
      <c r="AG156" s="524" t="str">
        <f>IFERROR(IF(O156="","",VLOOKUP(AD156,'G-3 Multipliers'!$P$3:$Q$6,2,FALSE)),"")</f>
        <v/>
      </c>
      <c r="AH156" s="197"/>
      <c r="AI156" s="499" t="str">
        <f>IF(AH156="","",IF(VLOOKUP(AH156,'G-3 Multipliers'!$S$3:$T$6,2,FALSE)=0,"Spatial Data Missing ⚠",VLOOKUP(AH156,'G-3 Multipliers'!$S$3:$T$6,2,FALSE)))</f>
        <v/>
      </c>
      <c r="AJ156" s="545" t="str">
        <f t="shared" si="23"/>
        <v/>
      </c>
      <c r="AK156" s="149"/>
      <c r="AL156" s="150"/>
      <c r="AP156" s="31" t="str">
        <f>IFERROR(INDEX('G-6 Hedgerow Data'!$BJ$3:$BJ$15,MATCH(M156,'G-6 Hedgerow Data'!$B$3:$B$15,0)),"")</f>
        <v/>
      </c>
    </row>
    <row r="157" spans="2:42" ht="14" x14ac:dyDescent="0.3">
      <c r="B157" s="531" t="str">
        <f>'E-1 Off Site Hedge Baseline'!AK155</f>
        <v/>
      </c>
      <c r="C157" s="520" t="str">
        <f>IF(B157="","",IF(ISNA(VLOOKUP($B157,'E-1 Off Site Hedge Baseline'!$B$1:$L$257,3,FALSE)),"",(VLOOKUP($B157,'E-1 Off Site Hedge Baseline'!$B$1:$L$257,3,FALSE))))</f>
        <v/>
      </c>
      <c r="D157" s="520" t="str">
        <f>IF(B157="","",IF(ISNA(VLOOKUP($B157,'E-1 Off Site Hedge Baseline'!$B$1:$L$258,4,FALSE)),"",(VLOOKUP($B157,'E-1 Off Site Hedge Baseline'!$B$1:$L$258,4,FALSE))))</f>
        <v/>
      </c>
      <c r="E157" s="520" t="str">
        <f>IF(B157="","",IF(ISNA(VLOOKUP($B157,'E-1 Off Site Hedge Baseline'!$B$1:$L$257,5,FALSE)),"",(VLOOKUP($B157,'E-1 Off Site Hedge Baseline'!$B$1:$L$257,5,FALSE))))</f>
        <v/>
      </c>
      <c r="F157" s="520" t="str">
        <f>IF(B157="","",IF(ISNA(VLOOKUP($B157,'E-1 Off Site Hedge Baseline'!$B$1:$L$257,6,FALSE)),"",(VLOOKUP($B157,'E-1 Off Site Hedge Baseline'!$B$1:$L$257,6,FALSE))))</f>
        <v/>
      </c>
      <c r="G157" s="520" t="str">
        <f>IF(B157="","",IF(ISNA(VLOOKUP($B157,'E-1 Off Site Hedge Baseline'!$B$1:$L$257,7,FALSE)),"",(VLOOKUP($B157,'E-1 Off Site Hedge Baseline'!$B$1:$L$257,7,FALSE))))</f>
        <v/>
      </c>
      <c r="H157" s="520" t="str">
        <f>IF(B157="","",IF(ISNA(VLOOKUP($B157,'E-1 Off Site Hedge Baseline'!$B$1:$L$257,8,FALSE)),"",(VLOOKUP($B157,'E-1 Off Site Hedge Baseline'!$B$1:$L$257,8,FALSE))))</f>
        <v/>
      </c>
      <c r="I157" s="520" t="str">
        <f>IF(B157="","",IF(ISNA(VLOOKUP($B157,'E-1 Off Site Hedge Baseline'!$B$1:$L$257,10,FALSE)),"",(VLOOKUP($B157,'E-1 Off Site Hedge Baseline'!$B$1:$L$257,10,FALSE))))</f>
        <v/>
      </c>
      <c r="J157" s="520" t="str">
        <f>IF(B157="","",IF(ISNA(VLOOKUP($B157,'E-1 Off Site Hedge Baseline'!$B$1:$L$257,11,FALSE)),"",(VLOOKUP($B157,'E-1 Off Site Hedge Baseline'!$B$1:$L$257,11,FALSE))))</f>
        <v/>
      </c>
      <c r="K157" s="520" t="str">
        <f>IF(B157="","",IF(ISNA(VLOOKUP($B157,'E-1 Off Site Hedge Baseline'!$B$1:$U$257,113,FALSE)),"",(VLOOKUP($B157,'E-1 Off Site Hedge Baseline'!$B$1:$U$257,13,FALSE))))</f>
        <v/>
      </c>
      <c r="L157" s="507" t="str">
        <f>IF(B157="","",IF(ISNA(VLOOKUP($B157,'E-1 Off Site Hedge Baseline'!$B$1:$U$257,12,FALSE)),"",(VLOOKUP($B157,'E-1 Off Site Hedge Baseline'!$B$1:$U$257,12,FALSE))))</f>
        <v/>
      </c>
      <c r="M157" s="418" t="str">
        <f t="shared" si="24"/>
        <v/>
      </c>
      <c r="N157" s="498" t="str">
        <f>IFERROR(IF(B157="","",INDEX('G-6 Hedgerow Data'!$AN$3:$AZ$15,MATCH(C157,'G-6 Hedgerow Data'!$AM$3:$AM$15,0),MATCH(M157,'G-6 Hedgerow Data'!$AN$2:$AZ$2,0))),"")</f>
        <v/>
      </c>
      <c r="O157" s="499" t="str">
        <f t="shared" si="18"/>
        <v/>
      </c>
      <c r="P157" s="505" t="str">
        <f>IF(B157="","",VLOOKUP(B157,'E-1 Off Site Hedge Baseline'!$B$10:T402,16,FALSE))</f>
        <v/>
      </c>
      <c r="Q157" s="498" t="str">
        <f>IF(M157="","",VLOOKUP(M157,'G-6 Hedgerow Data'!$B$2:$AG$15,2,FALSE))</f>
        <v/>
      </c>
      <c r="R157" s="499" t="str">
        <f>IF(M157="","",VLOOKUP(M157,'G-6 Hedgerow Data'!$B$2:$AG$15,3,FALSE))</f>
        <v/>
      </c>
      <c r="S157" s="145"/>
      <c r="T157" s="499" t="str">
        <f>IFERROR(IF(AND(Q157="V.Low",OR(S157="Good",S157="Moderate")),"Error ▲",VLOOKUP(S157,'G-1 All Habitats'!$Z$2:$AA$9,2,FALSE)),"")</f>
        <v/>
      </c>
      <c r="U157" s="145"/>
      <c r="V157" s="507" t="str">
        <f>IF(U157="","",IF(VLOOKUP(U157,'G-3 Multipliers'!$L$3:$N$6,2,FALSE)=0,"Spatial Data Missing ⚠",VLOOKUP(U157,'G-3 Multipliers'!$L$3:$N$6,2,FALSE)))</f>
        <v/>
      </c>
      <c r="W157" s="505" t="str">
        <f>IF(U157="","",IF(VLOOKUP(U157,'G-3 Multipliers'!$L$3:$N$6,3,FALSE)=0,"Spatial Data Missing ⚠",VLOOKUP(U157,'G-3 Multipliers'!$L$3:$N$6,3,FALSE)))</f>
        <v/>
      </c>
      <c r="X157" s="498" t="str">
        <f>IFERROR(IF(OR(LEFT(O157,5)="Error ▲",LEFT(N157,5)="Error ▲",T157="Error ▲"),"Check Data ⚠",IF(F157&lt;R157,INDEX('G-6 Hedgerow Data'!$S$3:$AE$14,MATCH(C157,'G-6 Hedgerow Data'!$B$3:$B$14,0),MATCH(M157,'G-6 Hedgerow Data'!$S$2:$AE$2,0)),INDEX('G-6 Hedgerow Data'!$K$3:$Q$14,MATCH(M157,'G-6 Hedgerow Data'!$B$3:$B$14,0),MATCH(O157,'G-6 Hedgerow Data'!$K$2:$Q$2,0)))),"")</f>
        <v/>
      </c>
      <c r="Y157" s="195"/>
      <c r="Z157" s="195"/>
      <c r="AA157" s="507" t="str">
        <f t="shared" si="19"/>
        <v/>
      </c>
      <c r="AB157" s="521" t="str">
        <f t="shared" si="20"/>
        <v/>
      </c>
      <c r="AC157" s="522" t="str">
        <f t="shared" si="17"/>
        <v/>
      </c>
      <c r="AD157" s="537" t="str">
        <f>IF(M157="","",VLOOKUP(M157,'G-6 Hedgerow Data'!$B$3:$AG$15,31,FALSE))</f>
        <v/>
      </c>
      <c r="AE157" s="520" t="str">
        <f t="shared" si="21"/>
        <v/>
      </c>
      <c r="AF157" s="520" t="str">
        <f t="shared" si="22"/>
        <v/>
      </c>
      <c r="AG157" s="524" t="str">
        <f>IFERROR(IF(O157="","",VLOOKUP(AD157,'G-3 Multipliers'!$P$3:$Q$6,2,FALSE)),"")</f>
        <v/>
      </c>
      <c r="AH157" s="197"/>
      <c r="AI157" s="499" t="str">
        <f>IF(AH157="","",IF(VLOOKUP(AH157,'G-3 Multipliers'!$S$3:$T$6,2,FALSE)=0,"Spatial Data Missing ⚠",VLOOKUP(AH157,'G-3 Multipliers'!$S$3:$T$6,2,FALSE)))</f>
        <v/>
      </c>
      <c r="AJ157" s="545" t="str">
        <f t="shared" si="23"/>
        <v/>
      </c>
      <c r="AK157" s="149"/>
      <c r="AL157" s="150"/>
      <c r="AP157" s="31" t="str">
        <f>IFERROR(INDEX('G-6 Hedgerow Data'!$BJ$3:$BJ$15,MATCH(M157,'G-6 Hedgerow Data'!$B$3:$B$15,0)),"")</f>
        <v/>
      </c>
    </row>
    <row r="158" spans="2:42" ht="14" x14ac:dyDescent="0.3">
      <c r="B158" s="531" t="str">
        <f>'E-1 Off Site Hedge Baseline'!AK156</f>
        <v/>
      </c>
      <c r="C158" s="520" t="str">
        <f>IF(B158="","",IF(ISNA(VLOOKUP($B158,'E-1 Off Site Hedge Baseline'!$B$1:$L$257,3,FALSE)),"",(VLOOKUP($B158,'E-1 Off Site Hedge Baseline'!$B$1:$L$257,3,FALSE))))</f>
        <v/>
      </c>
      <c r="D158" s="520" t="str">
        <f>IF(B158="","",IF(ISNA(VLOOKUP($B158,'E-1 Off Site Hedge Baseline'!$B$1:$L$258,4,FALSE)),"",(VLOOKUP($B158,'E-1 Off Site Hedge Baseline'!$B$1:$L$258,4,FALSE))))</f>
        <v/>
      </c>
      <c r="E158" s="520" t="str">
        <f>IF(B158="","",IF(ISNA(VLOOKUP($B158,'E-1 Off Site Hedge Baseline'!$B$1:$L$257,5,FALSE)),"",(VLOOKUP($B158,'E-1 Off Site Hedge Baseline'!$B$1:$L$257,5,FALSE))))</f>
        <v/>
      </c>
      <c r="F158" s="520" t="str">
        <f>IF(B158="","",IF(ISNA(VLOOKUP($B158,'E-1 Off Site Hedge Baseline'!$B$1:$L$257,6,FALSE)),"",(VLOOKUP($B158,'E-1 Off Site Hedge Baseline'!$B$1:$L$257,6,FALSE))))</f>
        <v/>
      </c>
      <c r="G158" s="520" t="str">
        <f>IF(B158="","",IF(ISNA(VLOOKUP($B158,'E-1 Off Site Hedge Baseline'!$B$1:$L$257,7,FALSE)),"",(VLOOKUP($B158,'E-1 Off Site Hedge Baseline'!$B$1:$L$257,7,FALSE))))</f>
        <v/>
      </c>
      <c r="H158" s="520" t="str">
        <f>IF(B158="","",IF(ISNA(VLOOKUP($B158,'E-1 Off Site Hedge Baseline'!$B$1:$L$257,8,FALSE)),"",(VLOOKUP($B158,'E-1 Off Site Hedge Baseline'!$B$1:$L$257,8,FALSE))))</f>
        <v/>
      </c>
      <c r="I158" s="520" t="str">
        <f>IF(B158="","",IF(ISNA(VLOOKUP($B158,'E-1 Off Site Hedge Baseline'!$B$1:$L$257,10,FALSE)),"",(VLOOKUP($B158,'E-1 Off Site Hedge Baseline'!$B$1:$L$257,10,FALSE))))</f>
        <v/>
      </c>
      <c r="J158" s="520" t="str">
        <f>IF(B158="","",IF(ISNA(VLOOKUP($B158,'E-1 Off Site Hedge Baseline'!$B$1:$L$257,11,FALSE)),"",(VLOOKUP($B158,'E-1 Off Site Hedge Baseline'!$B$1:$L$257,11,FALSE))))</f>
        <v/>
      </c>
      <c r="K158" s="520" t="str">
        <f>IF(B158="","",IF(ISNA(VLOOKUP($B158,'E-1 Off Site Hedge Baseline'!$B$1:$U$257,113,FALSE)),"",(VLOOKUP($B158,'E-1 Off Site Hedge Baseline'!$B$1:$U$257,13,FALSE))))</f>
        <v/>
      </c>
      <c r="L158" s="507" t="str">
        <f>IF(B158="","",IF(ISNA(VLOOKUP($B158,'E-1 Off Site Hedge Baseline'!$B$1:$U$257,12,FALSE)),"",(VLOOKUP($B158,'E-1 Off Site Hedge Baseline'!$B$1:$U$257,12,FALSE))))</f>
        <v/>
      </c>
      <c r="M158" s="418" t="str">
        <f t="shared" si="24"/>
        <v/>
      </c>
      <c r="N158" s="498" t="str">
        <f>IFERROR(IF(B158="","",INDEX('G-6 Hedgerow Data'!$AN$3:$AZ$15,MATCH(C158,'G-6 Hedgerow Data'!$AM$3:$AM$15,0),MATCH(M158,'G-6 Hedgerow Data'!$AN$2:$AZ$2,0))),"")</f>
        <v/>
      </c>
      <c r="O158" s="499" t="str">
        <f t="shared" si="18"/>
        <v/>
      </c>
      <c r="P158" s="505" t="str">
        <f>IF(B158="","",VLOOKUP(B158,'E-1 Off Site Hedge Baseline'!$B$10:T403,16,FALSE))</f>
        <v/>
      </c>
      <c r="Q158" s="498" t="str">
        <f>IF(M158="","",VLOOKUP(M158,'G-6 Hedgerow Data'!$B$2:$AG$15,2,FALSE))</f>
        <v/>
      </c>
      <c r="R158" s="499" t="str">
        <f>IF(M158="","",VLOOKUP(M158,'G-6 Hedgerow Data'!$B$2:$AG$15,3,FALSE))</f>
        <v/>
      </c>
      <c r="S158" s="145"/>
      <c r="T158" s="499" t="str">
        <f>IFERROR(IF(AND(Q158="V.Low",OR(S158="Good",S158="Moderate")),"Error ▲",VLOOKUP(S158,'G-1 All Habitats'!$Z$2:$AA$9,2,FALSE)),"")</f>
        <v/>
      </c>
      <c r="U158" s="145"/>
      <c r="V158" s="507" t="str">
        <f>IF(U158="","",IF(VLOOKUP(U158,'G-3 Multipliers'!$L$3:$N$6,2,FALSE)=0,"Spatial Data Missing ⚠",VLOOKUP(U158,'G-3 Multipliers'!$L$3:$N$6,2,FALSE)))</f>
        <v/>
      </c>
      <c r="W158" s="505" t="str">
        <f>IF(U158="","",IF(VLOOKUP(U158,'G-3 Multipliers'!$L$3:$N$6,3,FALSE)=0,"Spatial Data Missing ⚠",VLOOKUP(U158,'G-3 Multipliers'!$L$3:$N$6,3,FALSE)))</f>
        <v/>
      </c>
      <c r="X158" s="498" t="str">
        <f>IFERROR(IF(OR(LEFT(O158,5)="Error ▲",LEFT(N158,5)="Error ▲",T158="Error ▲"),"Check Data ⚠",IF(F158&lt;R158,INDEX('G-6 Hedgerow Data'!$S$3:$AE$14,MATCH(C158,'G-6 Hedgerow Data'!$B$3:$B$14,0),MATCH(M158,'G-6 Hedgerow Data'!$S$2:$AE$2,0)),INDEX('G-6 Hedgerow Data'!$K$3:$Q$14,MATCH(M158,'G-6 Hedgerow Data'!$B$3:$B$14,0),MATCH(O158,'G-6 Hedgerow Data'!$K$2:$Q$2,0)))),"")</f>
        <v/>
      </c>
      <c r="Y158" s="195"/>
      <c r="Z158" s="195"/>
      <c r="AA158" s="507" t="str">
        <f t="shared" si="19"/>
        <v/>
      </c>
      <c r="AB158" s="521" t="str">
        <f t="shared" si="20"/>
        <v/>
      </c>
      <c r="AC158" s="522" t="str">
        <f t="shared" si="17"/>
        <v/>
      </c>
      <c r="AD158" s="537" t="str">
        <f>IF(M158="","",VLOOKUP(M158,'G-6 Hedgerow Data'!$B$3:$AG$15,31,FALSE))</f>
        <v/>
      </c>
      <c r="AE158" s="520" t="str">
        <f t="shared" si="21"/>
        <v/>
      </c>
      <c r="AF158" s="520" t="str">
        <f t="shared" si="22"/>
        <v/>
      </c>
      <c r="AG158" s="524" t="str">
        <f>IFERROR(IF(O158="","",VLOOKUP(AD158,'G-3 Multipliers'!$P$3:$Q$6,2,FALSE)),"")</f>
        <v/>
      </c>
      <c r="AH158" s="197"/>
      <c r="AI158" s="499" t="str">
        <f>IF(AH158="","",IF(VLOOKUP(AH158,'G-3 Multipliers'!$S$3:$T$6,2,FALSE)=0,"Spatial Data Missing ⚠",VLOOKUP(AH158,'G-3 Multipliers'!$S$3:$T$6,2,FALSE)))</f>
        <v/>
      </c>
      <c r="AJ158" s="545" t="str">
        <f t="shared" si="23"/>
        <v/>
      </c>
      <c r="AK158" s="149"/>
      <c r="AL158" s="150"/>
      <c r="AP158" s="31" t="str">
        <f>IFERROR(INDEX('G-6 Hedgerow Data'!$BJ$3:$BJ$15,MATCH(M158,'G-6 Hedgerow Data'!$B$3:$B$15,0)),"")</f>
        <v/>
      </c>
    </row>
    <row r="159" spans="2:42" ht="14" x14ac:dyDescent="0.3">
      <c r="B159" s="531" t="str">
        <f>'E-1 Off Site Hedge Baseline'!AK157</f>
        <v/>
      </c>
      <c r="C159" s="520" t="str">
        <f>IF(B159="","",IF(ISNA(VLOOKUP($B159,'E-1 Off Site Hedge Baseline'!$B$1:$L$257,3,FALSE)),"",(VLOOKUP($B159,'E-1 Off Site Hedge Baseline'!$B$1:$L$257,3,FALSE))))</f>
        <v/>
      </c>
      <c r="D159" s="520" t="str">
        <f>IF(B159="","",IF(ISNA(VLOOKUP($B159,'E-1 Off Site Hedge Baseline'!$B$1:$L$258,4,FALSE)),"",(VLOOKUP($B159,'E-1 Off Site Hedge Baseline'!$B$1:$L$258,4,FALSE))))</f>
        <v/>
      </c>
      <c r="E159" s="520" t="str">
        <f>IF(B159="","",IF(ISNA(VLOOKUP($B159,'E-1 Off Site Hedge Baseline'!$B$1:$L$257,5,FALSE)),"",(VLOOKUP($B159,'E-1 Off Site Hedge Baseline'!$B$1:$L$257,5,FALSE))))</f>
        <v/>
      </c>
      <c r="F159" s="520" t="str">
        <f>IF(B159="","",IF(ISNA(VLOOKUP($B159,'E-1 Off Site Hedge Baseline'!$B$1:$L$257,6,FALSE)),"",(VLOOKUP($B159,'E-1 Off Site Hedge Baseline'!$B$1:$L$257,6,FALSE))))</f>
        <v/>
      </c>
      <c r="G159" s="520" t="str">
        <f>IF(B159="","",IF(ISNA(VLOOKUP($B159,'E-1 Off Site Hedge Baseline'!$B$1:$L$257,7,FALSE)),"",(VLOOKUP($B159,'E-1 Off Site Hedge Baseline'!$B$1:$L$257,7,FALSE))))</f>
        <v/>
      </c>
      <c r="H159" s="520" t="str">
        <f>IF(B159="","",IF(ISNA(VLOOKUP($B159,'E-1 Off Site Hedge Baseline'!$B$1:$L$257,8,FALSE)),"",(VLOOKUP($B159,'E-1 Off Site Hedge Baseline'!$B$1:$L$257,8,FALSE))))</f>
        <v/>
      </c>
      <c r="I159" s="520" t="str">
        <f>IF(B159="","",IF(ISNA(VLOOKUP($B159,'E-1 Off Site Hedge Baseline'!$B$1:$L$257,10,FALSE)),"",(VLOOKUP($B159,'E-1 Off Site Hedge Baseline'!$B$1:$L$257,10,FALSE))))</f>
        <v/>
      </c>
      <c r="J159" s="520" t="str">
        <f>IF(B159="","",IF(ISNA(VLOOKUP($B159,'E-1 Off Site Hedge Baseline'!$B$1:$L$257,11,FALSE)),"",(VLOOKUP($B159,'E-1 Off Site Hedge Baseline'!$B$1:$L$257,11,FALSE))))</f>
        <v/>
      </c>
      <c r="K159" s="520" t="str">
        <f>IF(B159="","",IF(ISNA(VLOOKUP($B159,'E-1 Off Site Hedge Baseline'!$B$1:$U$257,113,FALSE)),"",(VLOOKUP($B159,'E-1 Off Site Hedge Baseline'!$B$1:$U$257,13,FALSE))))</f>
        <v/>
      </c>
      <c r="L159" s="507" t="str">
        <f>IF(B159="","",IF(ISNA(VLOOKUP($B159,'E-1 Off Site Hedge Baseline'!$B$1:$U$257,12,FALSE)),"",(VLOOKUP($B159,'E-1 Off Site Hedge Baseline'!$B$1:$U$257,12,FALSE))))</f>
        <v/>
      </c>
      <c r="M159" s="418" t="str">
        <f t="shared" si="24"/>
        <v/>
      </c>
      <c r="N159" s="498" t="str">
        <f>IFERROR(IF(B159="","",INDEX('G-6 Hedgerow Data'!$AN$3:$AZ$15,MATCH(C159,'G-6 Hedgerow Data'!$AM$3:$AM$15,0),MATCH(M159,'G-6 Hedgerow Data'!$AN$2:$AZ$2,0))),"")</f>
        <v/>
      </c>
      <c r="O159" s="499" t="str">
        <f t="shared" si="18"/>
        <v/>
      </c>
      <c r="P159" s="505" t="str">
        <f>IF(B159="","",VLOOKUP(B159,'E-1 Off Site Hedge Baseline'!$B$10:T404,16,FALSE))</f>
        <v/>
      </c>
      <c r="Q159" s="498" t="str">
        <f>IF(M159="","",VLOOKUP(M159,'G-6 Hedgerow Data'!$B$2:$AG$15,2,FALSE))</f>
        <v/>
      </c>
      <c r="R159" s="499" t="str">
        <f>IF(M159="","",VLOOKUP(M159,'G-6 Hedgerow Data'!$B$2:$AG$15,3,FALSE))</f>
        <v/>
      </c>
      <c r="S159" s="145"/>
      <c r="T159" s="499" t="str">
        <f>IFERROR(IF(AND(Q159="V.Low",OR(S159="Good",S159="Moderate")),"Error ▲",VLOOKUP(S159,'G-1 All Habitats'!$Z$2:$AA$9,2,FALSE)),"")</f>
        <v/>
      </c>
      <c r="U159" s="145"/>
      <c r="V159" s="507" t="str">
        <f>IF(U159="","",IF(VLOOKUP(U159,'G-3 Multipliers'!$L$3:$N$6,2,FALSE)=0,"Spatial Data Missing ⚠",VLOOKUP(U159,'G-3 Multipliers'!$L$3:$N$6,2,FALSE)))</f>
        <v/>
      </c>
      <c r="W159" s="505" t="str">
        <f>IF(U159="","",IF(VLOOKUP(U159,'G-3 Multipliers'!$L$3:$N$6,3,FALSE)=0,"Spatial Data Missing ⚠",VLOOKUP(U159,'G-3 Multipliers'!$L$3:$N$6,3,FALSE)))</f>
        <v/>
      </c>
      <c r="X159" s="498" t="str">
        <f>IFERROR(IF(OR(LEFT(O159,5)="Error ▲",LEFT(N159,5)="Error ▲",T159="Error ▲"),"Check Data ⚠",IF(F159&lt;R159,INDEX('G-6 Hedgerow Data'!$S$3:$AE$14,MATCH(C159,'G-6 Hedgerow Data'!$B$3:$B$14,0),MATCH(M159,'G-6 Hedgerow Data'!$S$2:$AE$2,0)),INDEX('G-6 Hedgerow Data'!$K$3:$Q$14,MATCH(M159,'G-6 Hedgerow Data'!$B$3:$B$14,0),MATCH(O159,'G-6 Hedgerow Data'!$K$2:$Q$2,0)))),"")</f>
        <v/>
      </c>
      <c r="Y159" s="195"/>
      <c r="Z159" s="195"/>
      <c r="AA159" s="507" t="str">
        <f t="shared" si="19"/>
        <v/>
      </c>
      <c r="AB159" s="521" t="str">
        <f t="shared" si="20"/>
        <v/>
      </c>
      <c r="AC159" s="522" t="str">
        <f t="shared" si="17"/>
        <v/>
      </c>
      <c r="AD159" s="537" t="str">
        <f>IF(M159="","",VLOOKUP(M159,'G-6 Hedgerow Data'!$B$3:$AG$15,31,FALSE))</f>
        <v/>
      </c>
      <c r="AE159" s="520" t="str">
        <f t="shared" si="21"/>
        <v/>
      </c>
      <c r="AF159" s="520" t="str">
        <f t="shared" si="22"/>
        <v/>
      </c>
      <c r="AG159" s="524" t="str">
        <f>IFERROR(IF(O159="","",VLOOKUP(AD159,'G-3 Multipliers'!$P$3:$Q$6,2,FALSE)),"")</f>
        <v/>
      </c>
      <c r="AH159" s="197"/>
      <c r="AI159" s="499" t="str">
        <f>IF(AH159="","",IF(VLOOKUP(AH159,'G-3 Multipliers'!$S$3:$T$6,2,FALSE)=0,"Spatial Data Missing ⚠",VLOOKUP(AH159,'G-3 Multipliers'!$S$3:$T$6,2,FALSE)))</f>
        <v/>
      </c>
      <c r="AJ159" s="545" t="str">
        <f t="shared" si="23"/>
        <v/>
      </c>
      <c r="AK159" s="149"/>
      <c r="AL159" s="150"/>
      <c r="AP159" s="31" t="str">
        <f>IFERROR(INDEX('G-6 Hedgerow Data'!$BJ$3:$BJ$15,MATCH(M159,'G-6 Hedgerow Data'!$B$3:$B$15,0)),"")</f>
        <v/>
      </c>
    </row>
    <row r="160" spans="2:42" ht="14" x14ac:dyDescent="0.3">
      <c r="B160" s="531" t="str">
        <f>'E-1 Off Site Hedge Baseline'!AK158</f>
        <v/>
      </c>
      <c r="C160" s="520" t="str">
        <f>IF(B160="","",IF(ISNA(VLOOKUP($B160,'E-1 Off Site Hedge Baseline'!$B$1:$L$257,3,FALSE)),"",(VLOOKUP($B160,'E-1 Off Site Hedge Baseline'!$B$1:$L$257,3,FALSE))))</f>
        <v/>
      </c>
      <c r="D160" s="520" t="str">
        <f>IF(B160="","",IF(ISNA(VLOOKUP($B160,'E-1 Off Site Hedge Baseline'!$B$1:$L$258,4,FALSE)),"",(VLOOKUP($B160,'E-1 Off Site Hedge Baseline'!$B$1:$L$258,4,FALSE))))</f>
        <v/>
      </c>
      <c r="E160" s="520" t="str">
        <f>IF(B160="","",IF(ISNA(VLOOKUP($B160,'E-1 Off Site Hedge Baseline'!$B$1:$L$257,5,FALSE)),"",(VLOOKUP($B160,'E-1 Off Site Hedge Baseline'!$B$1:$L$257,5,FALSE))))</f>
        <v/>
      </c>
      <c r="F160" s="520" t="str">
        <f>IF(B160="","",IF(ISNA(VLOOKUP($B160,'E-1 Off Site Hedge Baseline'!$B$1:$L$257,6,FALSE)),"",(VLOOKUP($B160,'E-1 Off Site Hedge Baseline'!$B$1:$L$257,6,FALSE))))</f>
        <v/>
      </c>
      <c r="G160" s="520" t="str">
        <f>IF(B160="","",IF(ISNA(VLOOKUP($B160,'E-1 Off Site Hedge Baseline'!$B$1:$L$257,7,FALSE)),"",(VLOOKUP($B160,'E-1 Off Site Hedge Baseline'!$B$1:$L$257,7,FALSE))))</f>
        <v/>
      </c>
      <c r="H160" s="520" t="str">
        <f>IF(B160="","",IF(ISNA(VLOOKUP($B160,'E-1 Off Site Hedge Baseline'!$B$1:$L$257,8,FALSE)),"",(VLOOKUP($B160,'E-1 Off Site Hedge Baseline'!$B$1:$L$257,8,FALSE))))</f>
        <v/>
      </c>
      <c r="I160" s="520" t="str">
        <f>IF(B160="","",IF(ISNA(VLOOKUP($B160,'E-1 Off Site Hedge Baseline'!$B$1:$L$257,10,FALSE)),"",(VLOOKUP($B160,'E-1 Off Site Hedge Baseline'!$B$1:$L$257,10,FALSE))))</f>
        <v/>
      </c>
      <c r="J160" s="520" t="str">
        <f>IF(B160="","",IF(ISNA(VLOOKUP($B160,'E-1 Off Site Hedge Baseline'!$B$1:$L$257,11,FALSE)),"",(VLOOKUP($B160,'E-1 Off Site Hedge Baseline'!$B$1:$L$257,11,FALSE))))</f>
        <v/>
      </c>
      <c r="K160" s="520" t="str">
        <f>IF(B160="","",IF(ISNA(VLOOKUP($B160,'E-1 Off Site Hedge Baseline'!$B$1:$U$257,113,FALSE)),"",(VLOOKUP($B160,'E-1 Off Site Hedge Baseline'!$B$1:$U$257,13,FALSE))))</f>
        <v/>
      </c>
      <c r="L160" s="507" t="str">
        <f>IF(B160="","",IF(ISNA(VLOOKUP($B160,'E-1 Off Site Hedge Baseline'!$B$1:$U$257,12,FALSE)),"",(VLOOKUP($B160,'E-1 Off Site Hedge Baseline'!$B$1:$U$257,12,FALSE))))</f>
        <v/>
      </c>
      <c r="M160" s="418" t="str">
        <f t="shared" si="24"/>
        <v/>
      </c>
      <c r="N160" s="498" t="str">
        <f>IFERROR(IF(B160="","",INDEX('G-6 Hedgerow Data'!$AN$3:$AZ$15,MATCH(C160,'G-6 Hedgerow Data'!$AM$3:$AM$15,0),MATCH(M160,'G-6 Hedgerow Data'!$AN$2:$AZ$2,0))),"")</f>
        <v/>
      </c>
      <c r="O160" s="499" t="str">
        <f t="shared" si="18"/>
        <v/>
      </c>
      <c r="P160" s="505" t="str">
        <f>IF(B160="","",VLOOKUP(B160,'E-1 Off Site Hedge Baseline'!$B$10:T405,16,FALSE))</f>
        <v/>
      </c>
      <c r="Q160" s="498" t="str">
        <f>IF(M160="","",VLOOKUP(M160,'G-6 Hedgerow Data'!$B$2:$AG$15,2,FALSE))</f>
        <v/>
      </c>
      <c r="R160" s="499" t="str">
        <f>IF(M160="","",VLOOKUP(M160,'G-6 Hedgerow Data'!$B$2:$AG$15,3,FALSE))</f>
        <v/>
      </c>
      <c r="S160" s="145"/>
      <c r="T160" s="499" t="str">
        <f>IFERROR(IF(AND(Q160="V.Low",OR(S160="Good",S160="Moderate")),"Error ▲",VLOOKUP(S160,'G-1 All Habitats'!$Z$2:$AA$9,2,FALSE)),"")</f>
        <v/>
      </c>
      <c r="U160" s="145"/>
      <c r="V160" s="507" t="str">
        <f>IF(U160="","",IF(VLOOKUP(U160,'G-3 Multipliers'!$L$3:$N$6,2,FALSE)=0,"Spatial Data Missing ⚠",VLOOKUP(U160,'G-3 Multipliers'!$L$3:$N$6,2,FALSE)))</f>
        <v/>
      </c>
      <c r="W160" s="505" t="str">
        <f>IF(U160="","",IF(VLOOKUP(U160,'G-3 Multipliers'!$L$3:$N$6,3,FALSE)=0,"Spatial Data Missing ⚠",VLOOKUP(U160,'G-3 Multipliers'!$L$3:$N$6,3,FALSE)))</f>
        <v/>
      </c>
      <c r="X160" s="498" t="str">
        <f>IFERROR(IF(OR(LEFT(O160,5)="Error ▲",LEFT(N160,5)="Error ▲",T160="Error ▲"),"Check Data ⚠",IF(F160&lt;R160,INDEX('G-6 Hedgerow Data'!$S$3:$AE$14,MATCH(C160,'G-6 Hedgerow Data'!$B$3:$B$14,0),MATCH(M160,'G-6 Hedgerow Data'!$S$2:$AE$2,0)),INDEX('G-6 Hedgerow Data'!$K$3:$Q$14,MATCH(M160,'G-6 Hedgerow Data'!$B$3:$B$14,0),MATCH(O160,'G-6 Hedgerow Data'!$K$2:$Q$2,0)))),"")</f>
        <v/>
      </c>
      <c r="Y160" s="195"/>
      <c r="Z160" s="195"/>
      <c r="AA160" s="507" t="str">
        <f t="shared" si="19"/>
        <v/>
      </c>
      <c r="AB160" s="521" t="str">
        <f t="shared" si="20"/>
        <v/>
      </c>
      <c r="AC160" s="522" t="str">
        <f t="shared" si="17"/>
        <v/>
      </c>
      <c r="AD160" s="537" t="str">
        <f>IF(M160="","",VLOOKUP(M160,'G-6 Hedgerow Data'!$B$3:$AG$15,31,FALSE))</f>
        <v/>
      </c>
      <c r="AE160" s="520" t="str">
        <f t="shared" si="21"/>
        <v/>
      </c>
      <c r="AF160" s="520" t="str">
        <f t="shared" si="22"/>
        <v/>
      </c>
      <c r="AG160" s="524" t="str">
        <f>IFERROR(IF(O160="","",VLOOKUP(AD160,'G-3 Multipliers'!$P$3:$Q$6,2,FALSE)),"")</f>
        <v/>
      </c>
      <c r="AH160" s="197"/>
      <c r="AI160" s="499" t="str">
        <f>IF(AH160="","",IF(VLOOKUP(AH160,'G-3 Multipliers'!$S$3:$T$6,2,FALSE)=0,"Spatial Data Missing ⚠",VLOOKUP(AH160,'G-3 Multipliers'!$S$3:$T$6,2,FALSE)))</f>
        <v/>
      </c>
      <c r="AJ160" s="545" t="str">
        <f t="shared" si="23"/>
        <v/>
      </c>
      <c r="AK160" s="149"/>
      <c r="AL160" s="150"/>
      <c r="AP160" s="31" t="str">
        <f>IFERROR(INDEX('G-6 Hedgerow Data'!$BJ$3:$BJ$15,MATCH(M160,'G-6 Hedgerow Data'!$B$3:$B$15,0)),"")</f>
        <v/>
      </c>
    </row>
    <row r="161" spans="2:42" ht="14" x14ac:dyDescent="0.3">
      <c r="B161" s="531" t="str">
        <f>'E-1 Off Site Hedge Baseline'!AK159</f>
        <v/>
      </c>
      <c r="C161" s="520" t="str">
        <f>IF(B161="","",IF(ISNA(VLOOKUP($B161,'E-1 Off Site Hedge Baseline'!$B$1:$L$257,3,FALSE)),"",(VLOOKUP($B161,'E-1 Off Site Hedge Baseline'!$B$1:$L$257,3,FALSE))))</f>
        <v/>
      </c>
      <c r="D161" s="520" t="str">
        <f>IF(B161="","",IF(ISNA(VLOOKUP($B161,'E-1 Off Site Hedge Baseline'!$B$1:$L$258,4,FALSE)),"",(VLOOKUP($B161,'E-1 Off Site Hedge Baseline'!$B$1:$L$258,4,FALSE))))</f>
        <v/>
      </c>
      <c r="E161" s="520" t="str">
        <f>IF(B161="","",IF(ISNA(VLOOKUP($B161,'E-1 Off Site Hedge Baseline'!$B$1:$L$257,5,FALSE)),"",(VLOOKUP($B161,'E-1 Off Site Hedge Baseline'!$B$1:$L$257,5,FALSE))))</f>
        <v/>
      </c>
      <c r="F161" s="520" t="str">
        <f>IF(B161="","",IF(ISNA(VLOOKUP($B161,'E-1 Off Site Hedge Baseline'!$B$1:$L$257,6,FALSE)),"",(VLOOKUP($B161,'E-1 Off Site Hedge Baseline'!$B$1:$L$257,6,FALSE))))</f>
        <v/>
      </c>
      <c r="G161" s="520" t="str">
        <f>IF(B161="","",IF(ISNA(VLOOKUP($B161,'E-1 Off Site Hedge Baseline'!$B$1:$L$257,7,FALSE)),"",(VLOOKUP($B161,'E-1 Off Site Hedge Baseline'!$B$1:$L$257,7,FALSE))))</f>
        <v/>
      </c>
      <c r="H161" s="520" t="str">
        <f>IF(B161="","",IF(ISNA(VLOOKUP($B161,'E-1 Off Site Hedge Baseline'!$B$1:$L$257,8,FALSE)),"",(VLOOKUP($B161,'E-1 Off Site Hedge Baseline'!$B$1:$L$257,8,FALSE))))</f>
        <v/>
      </c>
      <c r="I161" s="520" t="str">
        <f>IF(B161="","",IF(ISNA(VLOOKUP($B161,'E-1 Off Site Hedge Baseline'!$B$1:$L$257,10,FALSE)),"",(VLOOKUP($B161,'E-1 Off Site Hedge Baseline'!$B$1:$L$257,10,FALSE))))</f>
        <v/>
      </c>
      <c r="J161" s="520" t="str">
        <f>IF(B161="","",IF(ISNA(VLOOKUP($B161,'E-1 Off Site Hedge Baseline'!$B$1:$L$257,11,FALSE)),"",(VLOOKUP($B161,'E-1 Off Site Hedge Baseline'!$B$1:$L$257,11,FALSE))))</f>
        <v/>
      </c>
      <c r="K161" s="520" t="str">
        <f>IF(B161="","",IF(ISNA(VLOOKUP($B161,'E-1 Off Site Hedge Baseline'!$B$1:$U$257,113,FALSE)),"",(VLOOKUP($B161,'E-1 Off Site Hedge Baseline'!$B$1:$U$257,13,FALSE))))</f>
        <v/>
      </c>
      <c r="L161" s="507" t="str">
        <f>IF(B161="","",IF(ISNA(VLOOKUP($B161,'E-1 Off Site Hedge Baseline'!$B$1:$U$257,12,FALSE)),"",(VLOOKUP($B161,'E-1 Off Site Hedge Baseline'!$B$1:$U$257,12,FALSE))))</f>
        <v/>
      </c>
      <c r="M161" s="418" t="str">
        <f t="shared" si="24"/>
        <v/>
      </c>
      <c r="N161" s="498" t="str">
        <f>IFERROR(IF(B161="","",INDEX('G-6 Hedgerow Data'!$AN$3:$AZ$15,MATCH(C161,'G-6 Hedgerow Data'!$AM$3:$AM$15,0),MATCH(M161,'G-6 Hedgerow Data'!$AN$2:$AZ$2,0))),"")</f>
        <v/>
      </c>
      <c r="O161" s="499" t="str">
        <f t="shared" si="18"/>
        <v/>
      </c>
      <c r="P161" s="505" t="str">
        <f>IF(B161="","",VLOOKUP(B161,'E-1 Off Site Hedge Baseline'!$B$10:T406,16,FALSE))</f>
        <v/>
      </c>
      <c r="Q161" s="498" t="str">
        <f>IF(M161="","",VLOOKUP(M161,'G-6 Hedgerow Data'!$B$2:$AG$15,2,FALSE))</f>
        <v/>
      </c>
      <c r="R161" s="499" t="str">
        <f>IF(M161="","",VLOOKUP(M161,'G-6 Hedgerow Data'!$B$2:$AG$15,3,FALSE))</f>
        <v/>
      </c>
      <c r="S161" s="145"/>
      <c r="T161" s="499" t="str">
        <f>IFERROR(IF(AND(Q161="V.Low",OR(S161="Good",S161="Moderate")),"Error ▲",VLOOKUP(S161,'G-1 All Habitats'!$Z$2:$AA$9,2,FALSE)),"")</f>
        <v/>
      </c>
      <c r="U161" s="145"/>
      <c r="V161" s="507" t="str">
        <f>IF(U161="","",IF(VLOOKUP(U161,'G-3 Multipliers'!$L$3:$N$6,2,FALSE)=0,"Spatial Data Missing ⚠",VLOOKUP(U161,'G-3 Multipliers'!$L$3:$N$6,2,FALSE)))</f>
        <v/>
      </c>
      <c r="W161" s="505" t="str">
        <f>IF(U161="","",IF(VLOOKUP(U161,'G-3 Multipliers'!$L$3:$N$6,3,FALSE)=0,"Spatial Data Missing ⚠",VLOOKUP(U161,'G-3 Multipliers'!$L$3:$N$6,3,FALSE)))</f>
        <v/>
      </c>
      <c r="X161" s="498" t="str">
        <f>IFERROR(IF(OR(LEFT(O161,5)="Error ▲",LEFT(N161,5)="Error ▲",T161="Error ▲"),"Check Data ⚠",IF(F161&lt;R161,INDEX('G-6 Hedgerow Data'!$S$3:$AE$14,MATCH(C161,'G-6 Hedgerow Data'!$B$3:$B$14,0),MATCH(M161,'G-6 Hedgerow Data'!$S$2:$AE$2,0)),INDEX('G-6 Hedgerow Data'!$K$3:$Q$14,MATCH(M161,'G-6 Hedgerow Data'!$B$3:$B$14,0),MATCH(O161,'G-6 Hedgerow Data'!$K$2:$Q$2,0)))),"")</f>
        <v/>
      </c>
      <c r="Y161" s="195"/>
      <c r="Z161" s="195"/>
      <c r="AA161" s="507" t="str">
        <f t="shared" si="19"/>
        <v/>
      </c>
      <c r="AB161" s="521" t="str">
        <f t="shared" si="20"/>
        <v/>
      </c>
      <c r="AC161" s="522" t="str">
        <f t="shared" si="17"/>
        <v/>
      </c>
      <c r="AD161" s="537" t="str">
        <f>IF(M161="","",VLOOKUP(M161,'G-6 Hedgerow Data'!$B$3:$AG$15,31,FALSE))</f>
        <v/>
      </c>
      <c r="AE161" s="520" t="str">
        <f t="shared" si="21"/>
        <v/>
      </c>
      <c r="AF161" s="520" t="str">
        <f t="shared" si="22"/>
        <v/>
      </c>
      <c r="AG161" s="524" t="str">
        <f>IFERROR(IF(O161="","",VLOOKUP(AD161,'G-3 Multipliers'!$P$3:$Q$6,2,FALSE)),"")</f>
        <v/>
      </c>
      <c r="AH161" s="197"/>
      <c r="AI161" s="499" t="str">
        <f>IF(AH161="","",IF(VLOOKUP(AH161,'G-3 Multipliers'!$S$3:$T$6,2,FALSE)=0,"Spatial Data Missing ⚠",VLOOKUP(AH161,'G-3 Multipliers'!$S$3:$T$6,2,FALSE)))</f>
        <v/>
      </c>
      <c r="AJ161" s="545" t="str">
        <f t="shared" si="23"/>
        <v/>
      </c>
      <c r="AK161" s="149"/>
      <c r="AL161" s="150"/>
      <c r="AP161" s="31" t="str">
        <f>IFERROR(INDEX('G-6 Hedgerow Data'!$BJ$3:$BJ$15,MATCH(M161,'G-6 Hedgerow Data'!$B$3:$B$15,0)),"")</f>
        <v/>
      </c>
    </row>
    <row r="162" spans="2:42" ht="14" x14ac:dyDescent="0.3">
      <c r="B162" s="531" t="str">
        <f>'E-1 Off Site Hedge Baseline'!AK160</f>
        <v/>
      </c>
      <c r="C162" s="520" t="str">
        <f>IF(B162="","",IF(ISNA(VLOOKUP($B162,'E-1 Off Site Hedge Baseline'!$B$1:$L$257,3,FALSE)),"",(VLOOKUP($B162,'E-1 Off Site Hedge Baseline'!$B$1:$L$257,3,FALSE))))</f>
        <v/>
      </c>
      <c r="D162" s="520" t="str">
        <f>IF(B162="","",IF(ISNA(VLOOKUP($B162,'E-1 Off Site Hedge Baseline'!$B$1:$L$258,4,FALSE)),"",(VLOOKUP($B162,'E-1 Off Site Hedge Baseline'!$B$1:$L$258,4,FALSE))))</f>
        <v/>
      </c>
      <c r="E162" s="520" t="str">
        <f>IF(B162="","",IF(ISNA(VLOOKUP($B162,'E-1 Off Site Hedge Baseline'!$B$1:$L$257,5,FALSE)),"",(VLOOKUP($B162,'E-1 Off Site Hedge Baseline'!$B$1:$L$257,5,FALSE))))</f>
        <v/>
      </c>
      <c r="F162" s="520" t="str">
        <f>IF(B162="","",IF(ISNA(VLOOKUP($B162,'E-1 Off Site Hedge Baseline'!$B$1:$L$257,6,FALSE)),"",(VLOOKUP($B162,'E-1 Off Site Hedge Baseline'!$B$1:$L$257,6,FALSE))))</f>
        <v/>
      </c>
      <c r="G162" s="520" t="str">
        <f>IF(B162="","",IF(ISNA(VLOOKUP($B162,'E-1 Off Site Hedge Baseline'!$B$1:$L$257,7,FALSE)),"",(VLOOKUP($B162,'E-1 Off Site Hedge Baseline'!$B$1:$L$257,7,FALSE))))</f>
        <v/>
      </c>
      <c r="H162" s="520" t="str">
        <f>IF(B162="","",IF(ISNA(VLOOKUP($B162,'E-1 Off Site Hedge Baseline'!$B$1:$L$257,8,FALSE)),"",(VLOOKUP($B162,'E-1 Off Site Hedge Baseline'!$B$1:$L$257,8,FALSE))))</f>
        <v/>
      </c>
      <c r="I162" s="520" t="str">
        <f>IF(B162="","",IF(ISNA(VLOOKUP($B162,'E-1 Off Site Hedge Baseline'!$B$1:$L$257,10,FALSE)),"",(VLOOKUP($B162,'E-1 Off Site Hedge Baseline'!$B$1:$L$257,10,FALSE))))</f>
        <v/>
      </c>
      <c r="J162" s="520" t="str">
        <f>IF(B162="","",IF(ISNA(VLOOKUP($B162,'E-1 Off Site Hedge Baseline'!$B$1:$L$257,11,FALSE)),"",(VLOOKUP($B162,'E-1 Off Site Hedge Baseline'!$B$1:$L$257,11,FALSE))))</f>
        <v/>
      </c>
      <c r="K162" s="520" t="str">
        <f>IF(B162="","",IF(ISNA(VLOOKUP($B162,'E-1 Off Site Hedge Baseline'!$B$1:$U$257,113,FALSE)),"",(VLOOKUP($B162,'E-1 Off Site Hedge Baseline'!$B$1:$U$257,13,FALSE))))</f>
        <v/>
      </c>
      <c r="L162" s="507" t="str">
        <f>IF(B162="","",IF(ISNA(VLOOKUP($B162,'E-1 Off Site Hedge Baseline'!$B$1:$U$257,12,FALSE)),"",(VLOOKUP($B162,'E-1 Off Site Hedge Baseline'!$B$1:$U$257,12,FALSE))))</f>
        <v/>
      </c>
      <c r="M162" s="418" t="str">
        <f t="shared" si="24"/>
        <v/>
      </c>
      <c r="N162" s="498" t="str">
        <f>IFERROR(IF(B162="","",INDEX('G-6 Hedgerow Data'!$AN$3:$AZ$15,MATCH(C162,'G-6 Hedgerow Data'!$AM$3:$AM$15,0),MATCH(M162,'G-6 Hedgerow Data'!$AN$2:$AZ$2,0))),"")</f>
        <v/>
      </c>
      <c r="O162" s="499" t="str">
        <f t="shared" si="18"/>
        <v/>
      </c>
      <c r="P162" s="505" t="str">
        <f>IF(B162="","",VLOOKUP(B162,'E-1 Off Site Hedge Baseline'!$B$10:T407,16,FALSE))</f>
        <v/>
      </c>
      <c r="Q162" s="498" t="str">
        <f>IF(M162="","",VLOOKUP(M162,'G-6 Hedgerow Data'!$B$2:$AG$15,2,FALSE))</f>
        <v/>
      </c>
      <c r="R162" s="499" t="str">
        <f>IF(M162="","",VLOOKUP(M162,'G-6 Hedgerow Data'!$B$2:$AG$15,3,FALSE))</f>
        <v/>
      </c>
      <c r="S162" s="145"/>
      <c r="T162" s="499" t="str">
        <f>IFERROR(IF(AND(Q162="V.Low",OR(S162="Good",S162="Moderate")),"Error ▲",VLOOKUP(S162,'G-1 All Habitats'!$Z$2:$AA$9,2,FALSE)),"")</f>
        <v/>
      </c>
      <c r="U162" s="145"/>
      <c r="V162" s="507" t="str">
        <f>IF(U162="","",IF(VLOOKUP(U162,'G-3 Multipliers'!$L$3:$N$6,2,FALSE)=0,"Spatial Data Missing ⚠",VLOOKUP(U162,'G-3 Multipliers'!$L$3:$N$6,2,FALSE)))</f>
        <v/>
      </c>
      <c r="W162" s="505" t="str">
        <f>IF(U162="","",IF(VLOOKUP(U162,'G-3 Multipliers'!$L$3:$N$6,3,FALSE)=0,"Spatial Data Missing ⚠",VLOOKUP(U162,'G-3 Multipliers'!$L$3:$N$6,3,FALSE)))</f>
        <v/>
      </c>
      <c r="X162" s="498" t="str">
        <f>IFERROR(IF(OR(LEFT(O162,5)="Error ▲",LEFT(N162,5)="Error ▲",T162="Error ▲"),"Check Data ⚠",IF(F162&lt;R162,INDEX('G-6 Hedgerow Data'!$S$3:$AE$14,MATCH(C162,'G-6 Hedgerow Data'!$B$3:$B$14,0),MATCH(M162,'G-6 Hedgerow Data'!$S$2:$AE$2,0)),INDEX('G-6 Hedgerow Data'!$K$3:$Q$14,MATCH(M162,'G-6 Hedgerow Data'!$B$3:$B$14,0),MATCH(O162,'G-6 Hedgerow Data'!$K$2:$Q$2,0)))),"")</f>
        <v/>
      </c>
      <c r="Y162" s="195"/>
      <c r="Z162" s="195"/>
      <c r="AA162" s="507" t="str">
        <f t="shared" si="19"/>
        <v/>
      </c>
      <c r="AB162" s="521" t="str">
        <f t="shared" si="20"/>
        <v/>
      </c>
      <c r="AC162" s="522" t="str">
        <f t="shared" si="17"/>
        <v/>
      </c>
      <c r="AD162" s="537" t="str">
        <f>IF(M162="","",VLOOKUP(M162,'G-6 Hedgerow Data'!$B$3:$AG$15,31,FALSE))</f>
        <v/>
      </c>
      <c r="AE162" s="520" t="str">
        <f t="shared" si="21"/>
        <v/>
      </c>
      <c r="AF162" s="520" t="str">
        <f t="shared" si="22"/>
        <v/>
      </c>
      <c r="AG162" s="524" t="str">
        <f>IFERROR(IF(O162="","",VLOOKUP(AD162,'G-3 Multipliers'!$P$3:$Q$6,2,FALSE)),"")</f>
        <v/>
      </c>
      <c r="AH162" s="197"/>
      <c r="AI162" s="499" t="str">
        <f>IF(AH162="","",IF(VLOOKUP(AH162,'G-3 Multipliers'!$S$3:$T$6,2,FALSE)=0,"Spatial Data Missing ⚠",VLOOKUP(AH162,'G-3 Multipliers'!$S$3:$T$6,2,FALSE)))</f>
        <v/>
      </c>
      <c r="AJ162" s="545" t="str">
        <f t="shared" si="23"/>
        <v/>
      </c>
      <c r="AK162" s="149"/>
      <c r="AL162" s="150"/>
      <c r="AP162" s="31" t="str">
        <f>IFERROR(INDEX('G-6 Hedgerow Data'!$BJ$3:$BJ$15,MATCH(M162,'G-6 Hedgerow Data'!$B$3:$B$15,0)),"")</f>
        <v/>
      </c>
    </row>
    <row r="163" spans="2:42" ht="14" x14ac:dyDescent="0.3">
      <c r="B163" s="531" t="str">
        <f>'E-1 Off Site Hedge Baseline'!AK161</f>
        <v/>
      </c>
      <c r="C163" s="520" t="str">
        <f>IF(B163="","",IF(ISNA(VLOOKUP($B163,'E-1 Off Site Hedge Baseline'!$B$1:$L$257,3,FALSE)),"",(VLOOKUP($B163,'E-1 Off Site Hedge Baseline'!$B$1:$L$257,3,FALSE))))</f>
        <v/>
      </c>
      <c r="D163" s="520" t="str">
        <f>IF(B163="","",IF(ISNA(VLOOKUP($B163,'E-1 Off Site Hedge Baseline'!$B$1:$L$258,4,FALSE)),"",(VLOOKUP($B163,'E-1 Off Site Hedge Baseline'!$B$1:$L$258,4,FALSE))))</f>
        <v/>
      </c>
      <c r="E163" s="520" t="str">
        <f>IF(B163="","",IF(ISNA(VLOOKUP($B163,'E-1 Off Site Hedge Baseline'!$B$1:$L$257,5,FALSE)),"",(VLOOKUP($B163,'E-1 Off Site Hedge Baseline'!$B$1:$L$257,5,FALSE))))</f>
        <v/>
      </c>
      <c r="F163" s="520" t="str">
        <f>IF(B163="","",IF(ISNA(VLOOKUP($B163,'E-1 Off Site Hedge Baseline'!$B$1:$L$257,6,FALSE)),"",(VLOOKUP($B163,'E-1 Off Site Hedge Baseline'!$B$1:$L$257,6,FALSE))))</f>
        <v/>
      </c>
      <c r="G163" s="520" t="str">
        <f>IF(B163="","",IF(ISNA(VLOOKUP($B163,'E-1 Off Site Hedge Baseline'!$B$1:$L$257,7,FALSE)),"",(VLOOKUP($B163,'E-1 Off Site Hedge Baseline'!$B$1:$L$257,7,FALSE))))</f>
        <v/>
      </c>
      <c r="H163" s="520" t="str">
        <f>IF(B163="","",IF(ISNA(VLOOKUP($B163,'E-1 Off Site Hedge Baseline'!$B$1:$L$257,8,FALSE)),"",(VLOOKUP($B163,'E-1 Off Site Hedge Baseline'!$B$1:$L$257,8,FALSE))))</f>
        <v/>
      </c>
      <c r="I163" s="520" t="str">
        <f>IF(B163="","",IF(ISNA(VLOOKUP($B163,'E-1 Off Site Hedge Baseline'!$B$1:$L$257,10,FALSE)),"",(VLOOKUP($B163,'E-1 Off Site Hedge Baseline'!$B$1:$L$257,10,FALSE))))</f>
        <v/>
      </c>
      <c r="J163" s="520" t="str">
        <f>IF(B163="","",IF(ISNA(VLOOKUP($B163,'E-1 Off Site Hedge Baseline'!$B$1:$L$257,11,FALSE)),"",(VLOOKUP($B163,'E-1 Off Site Hedge Baseline'!$B$1:$L$257,11,FALSE))))</f>
        <v/>
      </c>
      <c r="K163" s="520" t="str">
        <f>IF(B163="","",IF(ISNA(VLOOKUP($B163,'E-1 Off Site Hedge Baseline'!$B$1:$U$257,113,FALSE)),"",(VLOOKUP($B163,'E-1 Off Site Hedge Baseline'!$B$1:$U$257,13,FALSE))))</f>
        <v/>
      </c>
      <c r="L163" s="507" t="str">
        <f>IF(B163="","",IF(ISNA(VLOOKUP($B163,'E-1 Off Site Hedge Baseline'!$B$1:$U$257,12,FALSE)),"",(VLOOKUP($B163,'E-1 Off Site Hedge Baseline'!$B$1:$U$257,12,FALSE))))</f>
        <v/>
      </c>
      <c r="M163" s="418" t="str">
        <f t="shared" si="24"/>
        <v/>
      </c>
      <c r="N163" s="498" t="str">
        <f>IFERROR(IF(B163="","",INDEX('G-6 Hedgerow Data'!$AN$3:$AZ$15,MATCH(C163,'G-6 Hedgerow Data'!$AM$3:$AM$15,0),MATCH(M163,'G-6 Hedgerow Data'!$AN$2:$AZ$2,0))),"")</f>
        <v/>
      </c>
      <c r="O163" s="499" t="str">
        <f t="shared" si="18"/>
        <v/>
      </c>
      <c r="P163" s="505" t="str">
        <f>IF(B163="","",VLOOKUP(B163,'E-1 Off Site Hedge Baseline'!$B$10:T408,16,FALSE))</f>
        <v/>
      </c>
      <c r="Q163" s="498" t="str">
        <f>IF(M163="","",VLOOKUP(M163,'G-6 Hedgerow Data'!$B$2:$AG$15,2,FALSE))</f>
        <v/>
      </c>
      <c r="R163" s="499" t="str">
        <f>IF(M163="","",VLOOKUP(M163,'G-6 Hedgerow Data'!$B$2:$AG$15,3,FALSE))</f>
        <v/>
      </c>
      <c r="S163" s="145"/>
      <c r="T163" s="499" t="str">
        <f>IFERROR(IF(AND(Q163="V.Low",OR(S163="Good",S163="Moderate")),"Error ▲",VLOOKUP(S163,'G-1 All Habitats'!$Z$2:$AA$9,2,FALSE)),"")</f>
        <v/>
      </c>
      <c r="U163" s="145"/>
      <c r="V163" s="507" t="str">
        <f>IF(U163="","",IF(VLOOKUP(U163,'G-3 Multipliers'!$L$3:$N$6,2,FALSE)=0,"Spatial Data Missing ⚠",VLOOKUP(U163,'G-3 Multipliers'!$L$3:$N$6,2,FALSE)))</f>
        <v/>
      </c>
      <c r="W163" s="505" t="str">
        <f>IF(U163="","",IF(VLOOKUP(U163,'G-3 Multipliers'!$L$3:$N$6,3,FALSE)=0,"Spatial Data Missing ⚠",VLOOKUP(U163,'G-3 Multipliers'!$L$3:$N$6,3,FALSE)))</f>
        <v/>
      </c>
      <c r="X163" s="498" t="str">
        <f>IFERROR(IF(OR(LEFT(O163,5)="Error ▲",LEFT(N163,5)="Error ▲",T163="Error ▲"),"Check Data ⚠",IF(F163&lt;R163,INDEX('G-6 Hedgerow Data'!$S$3:$AE$14,MATCH(C163,'G-6 Hedgerow Data'!$B$3:$B$14,0),MATCH(M163,'G-6 Hedgerow Data'!$S$2:$AE$2,0)),INDEX('G-6 Hedgerow Data'!$K$3:$Q$14,MATCH(M163,'G-6 Hedgerow Data'!$B$3:$B$14,0),MATCH(O163,'G-6 Hedgerow Data'!$K$2:$Q$2,0)))),"")</f>
        <v/>
      </c>
      <c r="Y163" s="195"/>
      <c r="Z163" s="195"/>
      <c r="AA163" s="507" t="str">
        <f t="shared" si="19"/>
        <v/>
      </c>
      <c r="AB163" s="521" t="str">
        <f t="shared" si="20"/>
        <v/>
      </c>
      <c r="AC163" s="522" t="str">
        <f t="shared" si="17"/>
        <v/>
      </c>
      <c r="AD163" s="537" t="str">
        <f>IF(M163="","",VLOOKUP(M163,'G-6 Hedgerow Data'!$B$3:$AG$15,31,FALSE))</f>
        <v/>
      </c>
      <c r="AE163" s="520" t="str">
        <f t="shared" si="21"/>
        <v/>
      </c>
      <c r="AF163" s="520" t="str">
        <f t="shared" si="22"/>
        <v/>
      </c>
      <c r="AG163" s="524" t="str">
        <f>IFERROR(IF(O163="","",VLOOKUP(AD163,'G-3 Multipliers'!$P$3:$Q$6,2,FALSE)),"")</f>
        <v/>
      </c>
      <c r="AH163" s="197"/>
      <c r="AI163" s="499" t="str">
        <f>IF(AH163="","",IF(VLOOKUP(AH163,'G-3 Multipliers'!$S$3:$T$6,2,FALSE)=0,"Spatial Data Missing ⚠",VLOOKUP(AH163,'G-3 Multipliers'!$S$3:$T$6,2,FALSE)))</f>
        <v/>
      </c>
      <c r="AJ163" s="545" t="str">
        <f t="shared" si="23"/>
        <v/>
      </c>
      <c r="AK163" s="149"/>
      <c r="AL163" s="150"/>
      <c r="AP163" s="31" t="str">
        <f>IFERROR(INDEX('G-6 Hedgerow Data'!$BJ$3:$BJ$15,MATCH(M163,'G-6 Hedgerow Data'!$B$3:$B$15,0)),"")</f>
        <v/>
      </c>
    </row>
    <row r="164" spans="2:42" ht="14" x14ac:dyDescent="0.3">
      <c r="B164" s="531" t="str">
        <f>'E-1 Off Site Hedge Baseline'!AK162</f>
        <v/>
      </c>
      <c r="C164" s="520" t="str">
        <f>IF(B164="","",IF(ISNA(VLOOKUP($B164,'E-1 Off Site Hedge Baseline'!$B$1:$L$257,3,FALSE)),"",(VLOOKUP($B164,'E-1 Off Site Hedge Baseline'!$B$1:$L$257,3,FALSE))))</f>
        <v/>
      </c>
      <c r="D164" s="520" t="str">
        <f>IF(B164="","",IF(ISNA(VLOOKUP($B164,'E-1 Off Site Hedge Baseline'!$B$1:$L$258,4,FALSE)),"",(VLOOKUP($B164,'E-1 Off Site Hedge Baseline'!$B$1:$L$258,4,FALSE))))</f>
        <v/>
      </c>
      <c r="E164" s="520" t="str">
        <f>IF(B164="","",IF(ISNA(VLOOKUP($B164,'E-1 Off Site Hedge Baseline'!$B$1:$L$257,5,FALSE)),"",(VLOOKUP($B164,'E-1 Off Site Hedge Baseline'!$B$1:$L$257,5,FALSE))))</f>
        <v/>
      </c>
      <c r="F164" s="520" t="str">
        <f>IF(B164="","",IF(ISNA(VLOOKUP($B164,'E-1 Off Site Hedge Baseline'!$B$1:$L$257,6,FALSE)),"",(VLOOKUP($B164,'E-1 Off Site Hedge Baseline'!$B$1:$L$257,6,FALSE))))</f>
        <v/>
      </c>
      <c r="G164" s="520" t="str">
        <f>IF(B164="","",IF(ISNA(VLOOKUP($B164,'E-1 Off Site Hedge Baseline'!$B$1:$L$257,7,FALSE)),"",(VLOOKUP($B164,'E-1 Off Site Hedge Baseline'!$B$1:$L$257,7,FALSE))))</f>
        <v/>
      </c>
      <c r="H164" s="520" t="str">
        <f>IF(B164="","",IF(ISNA(VLOOKUP($B164,'E-1 Off Site Hedge Baseline'!$B$1:$L$257,8,FALSE)),"",(VLOOKUP($B164,'E-1 Off Site Hedge Baseline'!$B$1:$L$257,8,FALSE))))</f>
        <v/>
      </c>
      <c r="I164" s="520" t="str">
        <f>IF(B164="","",IF(ISNA(VLOOKUP($B164,'E-1 Off Site Hedge Baseline'!$B$1:$L$257,10,FALSE)),"",(VLOOKUP($B164,'E-1 Off Site Hedge Baseline'!$B$1:$L$257,10,FALSE))))</f>
        <v/>
      </c>
      <c r="J164" s="520" t="str">
        <f>IF(B164="","",IF(ISNA(VLOOKUP($B164,'E-1 Off Site Hedge Baseline'!$B$1:$L$257,11,FALSE)),"",(VLOOKUP($B164,'E-1 Off Site Hedge Baseline'!$B$1:$L$257,11,FALSE))))</f>
        <v/>
      </c>
      <c r="K164" s="520" t="str">
        <f>IF(B164="","",IF(ISNA(VLOOKUP($B164,'E-1 Off Site Hedge Baseline'!$B$1:$U$257,113,FALSE)),"",(VLOOKUP($B164,'E-1 Off Site Hedge Baseline'!$B$1:$U$257,13,FALSE))))</f>
        <v/>
      </c>
      <c r="L164" s="507" t="str">
        <f>IF(B164="","",IF(ISNA(VLOOKUP($B164,'E-1 Off Site Hedge Baseline'!$B$1:$U$257,12,FALSE)),"",(VLOOKUP($B164,'E-1 Off Site Hedge Baseline'!$B$1:$U$257,12,FALSE))))</f>
        <v/>
      </c>
      <c r="M164" s="418" t="str">
        <f t="shared" si="24"/>
        <v/>
      </c>
      <c r="N164" s="498" t="str">
        <f>IFERROR(IF(B164="","",INDEX('G-6 Hedgerow Data'!$AN$3:$AZ$15,MATCH(C164,'G-6 Hedgerow Data'!$AM$3:$AM$15,0),MATCH(M164,'G-6 Hedgerow Data'!$AN$2:$AZ$2,0))),"")</f>
        <v/>
      </c>
      <c r="O164" s="499" t="str">
        <f t="shared" si="18"/>
        <v/>
      </c>
      <c r="P164" s="505" t="str">
        <f>IF(B164="","",VLOOKUP(B164,'E-1 Off Site Hedge Baseline'!$B$10:T409,16,FALSE))</f>
        <v/>
      </c>
      <c r="Q164" s="498" t="str">
        <f>IF(M164="","",VLOOKUP(M164,'G-6 Hedgerow Data'!$B$2:$AG$15,2,FALSE))</f>
        <v/>
      </c>
      <c r="R164" s="499" t="str">
        <f>IF(M164="","",VLOOKUP(M164,'G-6 Hedgerow Data'!$B$2:$AG$15,3,FALSE))</f>
        <v/>
      </c>
      <c r="S164" s="145"/>
      <c r="T164" s="499" t="str">
        <f>IFERROR(IF(AND(Q164="V.Low",OR(S164="Good",S164="Moderate")),"Error ▲",VLOOKUP(S164,'G-1 All Habitats'!$Z$2:$AA$9,2,FALSE)),"")</f>
        <v/>
      </c>
      <c r="U164" s="145"/>
      <c r="V164" s="507" t="str">
        <f>IF(U164="","",IF(VLOOKUP(U164,'G-3 Multipliers'!$L$3:$N$6,2,FALSE)=0,"Spatial Data Missing ⚠",VLOOKUP(U164,'G-3 Multipliers'!$L$3:$N$6,2,FALSE)))</f>
        <v/>
      </c>
      <c r="W164" s="505" t="str">
        <f>IF(U164="","",IF(VLOOKUP(U164,'G-3 Multipliers'!$L$3:$N$6,3,FALSE)=0,"Spatial Data Missing ⚠",VLOOKUP(U164,'G-3 Multipliers'!$L$3:$N$6,3,FALSE)))</f>
        <v/>
      </c>
      <c r="X164" s="498" t="str">
        <f>IFERROR(IF(OR(LEFT(O164,5)="Error ▲",LEFT(N164,5)="Error ▲",T164="Error ▲"),"Check Data ⚠",IF(F164&lt;R164,INDEX('G-6 Hedgerow Data'!$S$3:$AE$14,MATCH(C164,'G-6 Hedgerow Data'!$B$3:$B$14,0),MATCH(M164,'G-6 Hedgerow Data'!$S$2:$AE$2,0)),INDEX('G-6 Hedgerow Data'!$K$3:$Q$14,MATCH(M164,'G-6 Hedgerow Data'!$B$3:$B$14,0),MATCH(O164,'G-6 Hedgerow Data'!$K$2:$Q$2,0)))),"")</f>
        <v/>
      </c>
      <c r="Y164" s="195"/>
      <c r="Z164" s="195"/>
      <c r="AA164" s="507" t="str">
        <f t="shared" si="19"/>
        <v/>
      </c>
      <c r="AB164" s="521" t="str">
        <f t="shared" si="20"/>
        <v/>
      </c>
      <c r="AC164" s="522" t="str">
        <f t="shared" si="17"/>
        <v/>
      </c>
      <c r="AD164" s="537" t="str">
        <f>IF(M164="","",VLOOKUP(M164,'G-6 Hedgerow Data'!$B$3:$AG$15,31,FALSE))</f>
        <v/>
      </c>
      <c r="AE164" s="520" t="str">
        <f t="shared" si="21"/>
        <v/>
      </c>
      <c r="AF164" s="520" t="str">
        <f t="shared" si="22"/>
        <v/>
      </c>
      <c r="AG164" s="524" t="str">
        <f>IFERROR(IF(O164="","",VLOOKUP(AD164,'G-3 Multipliers'!$P$3:$Q$6,2,FALSE)),"")</f>
        <v/>
      </c>
      <c r="AH164" s="197"/>
      <c r="AI164" s="499" t="str">
        <f>IF(AH164="","",IF(VLOOKUP(AH164,'G-3 Multipliers'!$S$3:$T$6,2,FALSE)=0,"Spatial Data Missing ⚠",VLOOKUP(AH164,'G-3 Multipliers'!$S$3:$T$6,2,FALSE)))</f>
        <v/>
      </c>
      <c r="AJ164" s="545" t="str">
        <f t="shared" si="23"/>
        <v/>
      </c>
      <c r="AK164" s="149"/>
      <c r="AL164" s="150"/>
      <c r="AP164" s="31" t="str">
        <f>IFERROR(INDEX('G-6 Hedgerow Data'!$BJ$3:$BJ$15,MATCH(M164,'G-6 Hedgerow Data'!$B$3:$B$15,0)),"")</f>
        <v/>
      </c>
    </row>
    <row r="165" spans="2:42" ht="14" x14ac:dyDescent="0.3">
      <c r="B165" s="531" t="str">
        <f>'E-1 Off Site Hedge Baseline'!AK163</f>
        <v/>
      </c>
      <c r="C165" s="520" t="str">
        <f>IF(B165="","",IF(ISNA(VLOOKUP($B165,'E-1 Off Site Hedge Baseline'!$B$1:$L$257,3,FALSE)),"",(VLOOKUP($B165,'E-1 Off Site Hedge Baseline'!$B$1:$L$257,3,FALSE))))</f>
        <v/>
      </c>
      <c r="D165" s="520" t="str">
        <f>IF(B165="","",IF(ISNA(VLOOKUP($B165,'E-1 Off Site Hedge Baseline'!$B$1:$L$258,4,FALSE)),"",(VLOOKUP($B165,'E-1 Off Site Hedge Baseline'!$B$1:$L$258,4,FALSE))))</f>
        <v/>
      </c>
      <c r="E165" s="520" t="str">
        <f>IF(B165="","",IF(ISNA(VLOOKUP($B165,'E-1 Off Site Hedge Baseline'!$B$1:$L$257,5,FALSE)),"",(VLOOKUP($B165,'E-1 Off Site Hedge Baseline'!$B$1:$L$257,5,FALSE))))</f>
        <v/>
      </c>
      <c r="F165" s="520" t="str">
        <f>IF(B165="","",IF(ISNA(VLOOKUP($B165,'E-1 Off Site Hedge Baseline'!$B$1:$L$257,6,FALSE)),"",(VLOOKUP($B165,'E-1 Off Site Hedge Baseline'!$B$1:$L$257,6,FALSE))))</f>
        <v/>
      </c>
      <c r="G165" s="520" t="str">
        <f>IF(B165="","",IF(ISNA(VLOOKUP($B165,'E-1 Off Site Hedge Baseline'!$B$1:$L$257,7,FALSE)),"",(VLOOKUP($B165,'E-1 Off Site Hedge Baseline'!$B$1:$L$257,7,FALSE))))</f>
        <v/>
      </c>
      <c r="H165" s="520" t="str">
        <f>IF(B165="","",IF(ISNA(VLOOKUP($B165,'E-1 Off Site Hedge Baseline'!$B$1:$L$257,8,FALSE)),"",(VLOOKUP($B165,'E-1 Off Site Hedge Baseline'!$B$1:$L$257,8,FALSE))))</f>
        <v/>
      </c>
      <c r="I165" s="520" t="str">
        <f>IF(B165="","",IF(ISNA(VLOOKUP($B165,'E-1 Off Site Hedge Baseline'!$B$1:$L$257,10,FALSE)),"",(VLOOKUP($B165,'E-1 Off Site Hedge Baseline'!$B$1:$L$257,10,FALSE))))</f>
        <v/>
      </c>
      <c r="J165" s="520" t="str">
        <f>IF(B165="","",IF(ISNA(VLOOKUP($B165,'E-1 Off Site Hedge Baseline'!$B$1:$L$257,11,FALSE)),"",(VLOOKUP($B165,'E-1 Off Site Hedge Baseline'!$B$1:$L$257,11,FALSE))))</f>
        <v/>
      </c>
      <c r="K165" s="520" t="str">
        <f>IF(B165="","",IF(ISNA(VLOOKUP($B165,'E-1 Off Site Hedge Baseline'!$B$1:$U$257,113,FALSE)),"",(VLOOKUP($B165,'E-1 Off Site Hedge Baseline'!$B$1:$U$257,13,FALSE))))</f>
        <v/>
      </c>
      <c r="L165" s="507" t="str">
        <f>IF(B165="","",IF(ISNA(VLOOKUP($B165,'E-1 Off Site Hedge Baseline'!$B$1:$U$257,12,FALSE)),"",(VLOOKUP($B165,'E-1 Off Site Hedge Baseline'!$B$1:$U$257,12,FALSE))))</f>
        <v/>
      </c>
      <c r="M165" s="418" t="str">
        <f t="shared" si="24"/>
        <v/>
      </c>
      <c r="N165" s="498" t="str">
        <f>IFERROR(IF(B165="","",INDEX('G-6 Hedgerow Data'!$AN$3:$AZ$15,MATCH(C165,'G-6 Hedgerow Data'!$AM$3:$AM$15,0),MATCH(M165,'G-6 Hedgerow Data'!$AN$2:$AZ$2,0))),"")</f>
        <v/>
      </c>
      <c r="O165" s="499" t="str">
        <f t="shared" si="18"/>
        <v/>
      </c>
      <c r="P165" s="505" t="str">
        <f>IF(B165="","",VLOOKUP(B165,'E-1 Off Site Hedge Baseline'!$B$10:T410,16,FALSE))</f>
        <v/>
      </c>
      <c r="Q165" s="498" t="str">
        <f>IF(M165="","",VLOOKUP(M165,'G-6 Hedgerow Data'!$B$2:$AG$15,2,FALSE))</f>
        <v/>
      </c>
      <c r="R165" s="499" t="str">
        <f>IF(M165="","",VLOOKUP(M165,'G-6 Hedgerow Data'!$B$2:$AG$15,3,FALSE))</f>
        <v/>
      </c>
      <c r="S165" s="145"/>
      <c r="T165" s="499" t="str">
        <f>IFERROR(IF(AND(Q165="V.Low",OR(S165="Good",S165="Moderate")),"Error ▲",VLOOKUP(S165,'G-1 All Habitats'!$Z$2:$AA$9,2,FALSE)),"")</f>
        <v/>
      </c>
      <c r="U165" s="145"/>
      <c r="V165" s="507" t="str">
        <f>IF(U165="","",IF(VLOOKUP(U165,'G-3 Multipliers'!$L$3:$N$6,2,FALSE)=0,"Spatial Data Missing ⚠",VLOOKUP(U165,'G-3 Multipliers'!$L$3:$N$6,2,FALSE)))</f>
        <v/>
      </c>
      <c r="W165" s="505" t="str">
        <f>IF(U165="","",IF(VLOOKUP(U165,'G-3 Multipliers'!$L$3:$N$6,3,FALSE)=0,"Spatial Data Missing ⚠",VLOOKUP(U165,'G-3 Multipliers'!$L$3:$N$6,3,FALSE)))</f>
        <v/>
      </c>
      <c r="X165" s="498" t="str">
        <f>IFERROR(IF(OR(LEFT(O165,5)="Error ▲",LEFT(N165,5)="Error ▲",T165="Error ▲"),"Check Data ⚠",IF(F165&lt;R165,INDEX('G-6 Hedgerow Data'!$S$3:$AE$14,MATCH(C165,'G-6 Hedgerow Data'!$B$3:$B$14,0),MATCH(M165,'G-6 Hedgerow Data'!$S$2:$AE$2,0)),INDEX('G-6 Hedgerow Data'!$K$3:$Q$14,MATCH(M165,'G-6 Hedgerow Data'!$B$3:$B$14,0),MATCH(O165,'G-6 Hedgerow Data'!$K$2:$Q$2,0)))),"")</f>
        <v/>
      </c>
      <c r="Y165" s="195"/>
      <c r="Z165" s="195"/>
      <c r="AA165" s="507" t="str">
        <f t="shared" si="19"/>
        <v/>
      </c>
      <c r="AB165" s="521" t="str">
        <f t="shared" si="20"/>
        <v/>
      </c>
      <c r="AC165" s="522" t="str">
        <f t="shared" si="17"/>
        <v/>
      </c>
      <c r="AD165" s="537" t="str">
        <f>IF(M165="","",VLOOKUP(M165,'G-6 Hedgerow Data'!$B$3:$AG$15,31,FALSE))</f>
        <v/>
      </c>
      <c r="AE165" s="520" t="str">
        <f t="shared" si="21"/>
        <v/>
      </c>
      <c r="AF165" s="520" t="str">
        <f t="shared" si="22"/>
        <v/>
      </c>
      <c r="AG165" s="524" t="str">
        <f>IFERROR(IF(O165="","",VLOOKUP(AD165,'G-3 Multipliers'!$P$3:$Q$6,2,FALSE)),"")</f>
        <v/>
      </c>
      <c r="AH165" s="197"/>
      <c r="AI165" s="499" t="str">
        <f>IF(AH165="","",IF(VLOOKUP(AH165,'G-3 Multipliers'!$S$3:$T$6,2,FALSE)=0,"Spatial Data Missing ⚠",VLOOKUP(AH165,'G-3 Multipliers'!$S$3:$T$6,2,FALSE)))</f>
        <v/>
      </c>
      <c r="AJ165" s="545" t="str">
        <f t="shared" si="23"/>
        <v/>
      </c>
      <c r="AK165" s="149"/>
      <c r="AL165" s="150"/>
      <c r="AP165" s="31" t="str">
        <f>IFERROR(INDEX('G-6 Hedgerow Data'!$BJ$3:$BJ$15,MATCH(M165,'G-6 Hedgerow Data'!$B$3:$B$15,0)),"")</f>
        <v/>
      </c>
    </row>
    <row r="166" spans="2:42" ht="14" x14ac:dyDescent="0.3">
      <c r="B166" s="531" t="str">
        <f>'E-1 Off Site Hedge Baseline'!AK164</f>
        <v/>
      </c>
      <c r="C166" s="520" t="str">
        <f>IF(B166="","",IF(ISNA(VLOOKUP($B166,'E-1 Off Site Hedge Baseline'!$B$1:$L$257,3,FALSE)),"",(VLOOKUP($B166,'E-1 Off Site Hedge Baseline'!$B$1:$L$257,3,FALSE))))</f>
        <v/>
      </c>
      <c r="D166" s="520" t="str">
        <f>IF(B166="","",IF(ISNA(VLOOKUP($B166,'E-1 Off Site Hedge Baseline'!$B$1:$L$258,4,FALSE)),"",(VLOOKUP($B166,'E-1 Off Site Hedge Baseline'!$B$1:$L$258,4,FALSE))))</f>
        <v/>
      </c>
      <c r="E166" s="520" t="str">
        <f>IF(B166="","",IF(ISNA(VLOOKUP($B166,'E-1 Off Site Hedge Baseline'!$B$1:$L$257,5,FALSE)),"",(VLOOKUP($B166,'E-1 Off Site Hedge Baseline'!$B$1:$L$257,5,FALSE))))</f>
        <v/>
      </c>
      <c r="F166" s="520" t="str">
        <f>IF(B166="","",IF(ISNA(VLOOKUP($B166,'E-1 Off Site Hedge Baseline'!$B$1:$L$257,6,FALSE)),"",(VLOOKUP($B166,'E-1 Off Site Hedge Baseline'!$B$1:$L$257,6,FALSE))))</f>
        <v/>
      </c>
      <c r="G166" s="520" t="str">
        <f>IF(B166="","",IF(ISNA(VLOOKUP($B166,'E-1 Off Site Hedge Baseline'!$B$1:$L$257,7,FALSE)),"",(VLOOKUP($B166,'E-1 Off Site Hedge Baseline'!$B$1:$L$257,7,FALSE))))</f>
        <v/>
      </c>
      <c r="H166" s="520" t="str">
        <f>IF(B166="","",IF(ISNA(VLOOKUP($B166,'E-1 Off Site Hedge Baseline'!$B$1:$L$257,8,FALSE)),"",(VLOOKUP($B166,'E-1 Off Site Hedge Baseline'!$B$1:$L$257,8,FALSE))))</f>
        <v/>
      </c>
      <c r="I166" s="520" t="str">
        <f>IF(B166="","",IF(ISNA(VLOOKUP($B166,'E-1 Off Site Hedge Baseline'!$B$1:$L$257,10,FALSE)),"",(VLOOKUP($B166,'E-1 Off Site Hedge Baseline'!$B$1:$L$257,10,FALSE))))</f>
        <v/>
      </c>
      <c r="J166" s="520" t="str">
        <f>IF(B166="","",IF(ISNA(VLOOKUP($B166,'E-1 Off Site Hedge Baseline'!$B$1:$L$257,11,FALSE)),"",(VLOOKUP($B166,'E-1 Off Site Hedge Baseline'!$B$1:$L$257,11,FALSE))))</f>
        <v/>
      </c>
      <c r="K166" s="520" t="str">
        <f>IF(B166="","",IF(ISNA(VLOOKUP($B166,'E-1 Off Site Hedge Baseline'!$B$1:$U$257,113,FALSE)),"",(VLOOKUP($B166,'E-1 Off Site Hedge Baseline'!$B$1:$U$257,13,FALSE))))</f>
        <v/>
      </c>
      <c r="L166" s="507" t="str">
        <f>IF(B166="","",IF(ISNA(VLOOKUP($B166,'E-1 Off Site Hedge Baseline'!$B$1:$U$257,12,FALSE)),"",(VLOOKUP($B166,'E-1 Off Site Hedge Baseline'!$B$1:$U$257,12,FALSE))))</f>
        <v/>
      </c>
      <c r="M166" s="418" t="str">
        <f t="shared" si="24"/>
        <v/>
      </c>
      <c r="N166" s="498" t="str">
        <f>IFERROR(IF(B166="","",INDEX('G-6 Hedgerow Data'!$AN$3:$AZ$15,MATCH(C166,'G-6 Hedgerow Data'!$AM$3:$AM$15,0),MATCH(M166,'G-6 Hedgerow Data'!$AN$2:$AZ$2,0))),"")</f>
        <v/>
      </c>
      <c r="O166" s="499" t="str">
        <f t="shared" si="18"/>
        <v/>
      </c>
      <c r="P166" s="505" t="str">
        <f>IF(B166="","",VLOOKUP(B166,'E-1 Off Site Hedge Baseline'!$B$10:T411,16,FALSE))</f>
        <v/>
      </c>
      <c r="Q166" s="498" t="str">
        <f>IF(M166="","",VLOOKUP(M166,'G-6 Hedgerow Data'!$B$2:$AG$15,2,FALSE))</f>
        <v/>
      </c>
      <c r="R166" s="499" t="str">
        <f>IF(M166="","",VLOOKUP(M166,'G-6 Hedgerow Data'!$B$2:$AG$15,3,FALSE))</f>
        <v/>
      </c>
      <c r="S166" s="145"/>
      <c r="T166" s="499" t="str">
        <f>IFERROR(IF(AND(Q166="V.Low",OR(S166="Good",S166="Moderate")),"Error ▲",VLOOKUP(S166,'G-1 All Habitats'!$Z$2:$AA$9,2,FALSE)),"")</f>
        <v/>
      </c>
      <c r="U166" s="145"/>
      <c r="V166" s="507" t="str">
        <f>IF(U166="","",IF(VLOOKUP(U166,'G-3 Multipliers'!$L$3:$N$6,2,FALSE)=0,"Spatial Data Missing ⚠",VLOOKUP(U166,'G-3 Multipliers'!$L$3:$N$6,2,FALSE)))</f>
        <v/>
      </c>
      <c r="W166" s="505" t="str">
        <f>IF(U166="","",IF(VLOOKUP(U166,'G-3 Multipliers'!$L$3:$N$6,3,FALSE)=0,"Spatial Data Missing ⚠",VLOOKUP(U166,'G-3 Multipliers'!$L$3:$N$6,3,FALSE)))</f>
        <v/>
      </c>
      <c r="X166" s="498" t="str">
        <f>IFERROR(IF(OR(LEFT(O166,5)="Error ▲",LEFT(N166,5)="Error ▲",T166="Error ▲"),"Check Data ⚠",IF(F166&lt;R166,INDEX('G-6 Hedgerow Data'!$S$3:$AE$14,MATCH(C166,'G-6 Hedgerow Data'!$B$3:$B$14,0),MATCH(M166,'G-6 Hedgerow Data'!$S$2:$AE$2,0)),INDEX('G-6 Hedgerow Data'!$K$3:$Q$14,MATCH(M166,'G-6 Hedgerow Data'!$B$3:$B$14,0),MATCH(O166,'G-6 Hedgerow Data'!$K$2:$Q$2,0)))),"")</f>
        <v/>
      </c>
      <c r="Y166" s="195"/>
      <c r="Z166" s="195"/>
      <c r="AA166" s="507" t="str">
        <f t="shared" si="19"/>
        <v/>
      </c>
      <c r="AB166" s="521" t="str">
        <f t="shared" si="20"/>
        <v/>
      </c>
      <c r="AC166" s="522" t="str">
        <f t="shared" si="17"/>
        <v/>
      </c>
      <c r="AD166" s="537" t="str">
        <f>IF(M166="","",VLOOKUP(M166,'G-6 Hedgerow Data'!$B$3:$AG$15,31,FALSE))</f>
        <v/>
      </c>
      <c r="AE166" s="520" t="str">
        <f t="shared" si="21"/>
        <v/>
      </c>
      <c r="AF166" s="520" t="str">
        <f t="shared" si="22"/>
        <v/>
      </c>
      <c r="AG166" s="524" t="str">
        <f>IFERROR(IF(O166="","",VLOOKUP(AD166,'G-3 Multipliers'!$P$3:$Q$6,2,FALSE)),"")</f>
        <v/>
      </c>
      <c r="AH166" s="197"/>
      <c r="AI166" s="499" t="str">
        <f>IF(AH166="","",IF(VLOOKUP(AH166,'G-3 Multipliers'!$S$3:$T$6,2,FALSE)=0,"Spatial Data Missing ⚠",VLOOKUP(AH166,'G-3 Multipliers'!$S$3:$T$6,2,FALSE)))</f>
        <v/>
      </c>
      <c r="AJ166" s="545" t="str">
        <f t="shared" si="23"/>
        <v/>
      </c>
      <c r="AK166" s="149"/>
      <c r="AL166" s="150"/>
      <c r="AP166" s="31" t="str">
        <f>IFERROR(INDEX('G-6 Hedgerow Data'!$BJ$3:$BJ$15,MATCH(M166,'G-6 Hedgerow Data'!$B$3:$B$15,0)),"")</f>
        <v/>
      </c>
    </row>
    <row r="167" spans="2:42" ht="14" x14ac:dyDescent="0.3">
      <c r="B167" s="531" t="str">
        <f>'E-1 Off Site Hedge Baseline'!AK165</f>
        <v/>
      </c>
      <c r="C167" s="520" t="str">
        <f>IF(B167="","",IF(ISNA(VLOOKUP($B167,'E-1 Off Site Hedge Baseline'!$B$1:$L$257,3,FALSE)),"",(VLOOKUP($B167,'E-1 Off Site Hedge Baseline'!$B$1:$L$257,3,FALSE))))</f>
        <v/>
      </c>
      <c r="D167" s="520" t="str">
        <f>IF(B167="","",IF(ISNA(VLOOKUP($B167,'E-1 Off Site Hedge Baseline'!$B$1:$L$258,4,FALSE)),"",(VLOOKUP($B167,'E-1 Off Site Hedge Baseline'!$B$1:$L$258,4,FALSE))))</f>
        <v/>
      </c>
      <c r="E167" s="520" t="str">
        <f>IF(B167="","",IF(ISNA(VLOOKUP($B167,'E-1 Off Site Hedge Baseline'!$B$1:$L$257,5,FALSE)),"",(VLOOKUP($B167,'E-1 Off Site Hedge Baseline'!$B$1:$L$257,5,FALSE))))</f>
        <v/>
      </c>
      <c r="F167" s="520" t="str">
        <f>IF(B167="","",IF(ISNA(VLOOKUP($B167,'E-1 Off Site Hedge Baseline'!$B$1:$L$257,6,FALSE)),"",(VLOOKUP($B167,'E-1 Off Site Hedge Baseline'!$B$1:$L$257,6,FALSE))))</f>
        <v/>
      </c>
      <c r="G167" s="520" t="str">
        <f>IF(B167="","",IF(ISNA(VLOOKUP($B167,'E-1 Off Site Hedge Baseline'!$B$1:$L$257,7,FALSE)),"",(VLOOKUP($B167,'E-1 Off Site Hedge Baseline'!$B$1:$L$257,7,FALSE))))</f>
        <v/>
      </c>
      <c r="H167" s="520" t="str">
        <f>IF(B167="","",IF(ISNA(VLOOKUP($B167,'E-1 Off Site Hedge Baseline'!$B$1:$L$257,8,FALSE)),"",(VLOOKUP($B167,'E-1 Off Site Hedge Baseline'!$B$1:$L$257,8,FALSE))))</f>
        <v/>
      </c>
      <c r="I167" s="520" t="str">
        <f>IF(B167="","",IF(ISNA(VLOOKUP($B167,'E-1 Off Site Hedge Baseline'!$B$1:$L$257,10,FALSE)),"",(VLOOKUP($B167,'E-1 Off Site Hedge Baseline'!$B$1:$L$257,10,FALSE))))</f>
        <v/>
      </c>
      <c r="J167" s="520" t="str">
        <f>IF(B167="","",IF(ISNA(VLOOKUP($B167,'E-1 Off Site Hedge Baseline'!$B$1:$L$257,11,FALSE)),"",(VLOOKUP($B167,'E-1 Off Site Hedge Baseline'!$B$1:$L$257,11,FALSE))))</f>
        <v/>
      </c>
      <c r="K167" s="520" t="str">
        <f>IF(B167="","",IF(ISNA(VLOOKUP($B167,'E-1 Off Site Hedge Baseline'!$B$1:$U$257,113,FALSE)),"",(VLOOKUP($B167,'E-1 Off Site Hedge Baseline'!$B$1:$U$257,13,FALSE))))</f>
        <v/>
      </c>
      <c r="L167" s="507" t="str">
        <f>IF(B167="","",IF(ISNA(VLOOKUP($B167,'E-1 Off Site Hedge Baseline'!$B$1:$U$257,12,FALSE)),"",(VLOOKUP($B167,'E-1 Off Site Hedge Baseline'!$B$1:$U$257,12,FALSE))))</f>
        <v/>
      </c>
      <c r="M167" s="418" t="str">
        <f t="shared" si="24"/>
        <v/>
      </c>
      <c r="N167" s="498" t="str">
        <f>IFERROR(IF(B167="","",INDEX('G-6 Hedgerow Data'!$AN$3:$AZ$15,MATCH(C167,'G-6 Hedgerow Data'!$AM$3:$AM$15,0),MATCH(M167,'G-6 Hedgerow Data'!$AN$2:$AZ$2,0))),"")</f>
        <v/>
      </c>
      <c r="O167" s="499" t="str">
        <f t="shared" si="18"/>
        <v/>
      </c>
      <c r="P167" s="505" t="str">
        <f>IF(B167="","",VLOOKUP(B167,'E-1 Off Site Hedge Baseline'!$B$10:T412,16,FALSE))</f>
        <v/>
      </c>
      <c r="Q167" s="498" t="str">
        <f>IF(M167="","",VLOOKUP(M167,'G-6 Hedgerow Data'!$B$2:$AG$15,2,FALSE))</f>
        <v/>
      </c>
      <c r="R167" s="499" t="str">
        <f>IF(M167="","",VLOOKUP(M167,'G-6 Hedgerow Data'!$B$2:$AG$15,3,FALSE))</f>
        <v/>
      </c>
      <c r="S167" s="145"/>
      <c r="T167" s="499" t="str">
        <f>IFERROR(IF(AND(Q167="V.Low",OR(S167="Good",S167="Moderate")),"Error ▲",VLOOKUP(S167,'G-1 All Habitats'!$Z$2:$AA$9,2,FALSE)),"")</f>
        <v/>
      </c>
      <c r="U167" s="145"/>
      <c r="V167" s="507" t="str">
        <f>IF(U167="","",IF(VLOOKUP(U167,'G-3 Multipliers'!$L$3:$N$6,2,FALSE)=0,"Spatial Data Missing ⚠",VLOOKUP(U167,'G-3 Multipliers'!$L$3:$N$6,2,FALSE)))</f>
        <v/>
      </c>
      <c r="W167" s="505" t="str">
        <f>IF(U167="","",IF(VLOOKUP(U167,'G-3 Multipliers'!$L$3:$N$6,3,FALSE)=0,"Spatial Data Missing ⚠",VLOOKUP(U167,'G-3 Multipliers'!$L$3:$N$6,3,FALSE)))</f>
        <v/>
      </c>
      <c r="X167" s="498" t="str">
        <f>IFERROR(IF(OR(LEFT(O167,5)="Error ▲",LEFT(N167,5)="Error ▲",T167="Error ▲"),"Check Data ⚠",IF(F167&lt;R167,INDEX('G-6 Hedgerow Data'!$S$3:$AE$14,MATCH(C167,'G-6 Hedgerow Data'!$B$3:$B$14,0),MATCH(M167,'G-6 Hedgerow Data'!$S$2:$AE$2,0)),INDEX('G-6 Hedgerow Data'!$K$3:$Q$14,MATCH(M167,'G-6 Hedgerow Data'!$B$3:$B$14,0),MATCH(O167,'G-6 Hedgerow Data'!$K$2:$Q$2,0)))),"")</f>
        <v/>
      </c>
      <c r="Y167" s="195"/>
      <c r="Z167" s="195"/>
      <c r="AA167" s="507" t="str">
        <f t="shared" si="19"/>
        <v/>
      </c>
      <c r="AB167" s="521" t="str">
        <f t="shared" si="20"/>
        <v/>
      </c>
      <c r="AC167" s="522" t="str">
        <f t="shared" si="17"/>
        <v/>
      </c>
      <c r="AD167" s="537" t="str">
        <f>IF(M167="","",VLOOKUP(M167,'G-6 Hedgerow Data'!$B$3:$AG$15,31,FALSE))</f>
        <v/>
      </c>
      <c r="AE167" s="520" t="str">
        <f t="shared" si="21"/>
        <v/>
      </c>
      <c r="AF167" s="520" t="str">
        <f t="shared" si="22"/>
        <v/>
      </c>
      <c r="AG167" s="524" t="str">
        <f>IFERROR(IF(O167="","",VLOOKUP(AD167,'G-3 Multipliers'!$P$3:$Q$6,2,FALSE)),"")</f>
        <v/>
      </c>
      <c r="AH167" s="197"/>
      <c r="AI167" s="499" t="str">
        <f>IF(AH167="","",IF(VLOOKUP(AH167,'G-3 Multipliers'!$S$3:$T$6,2,FALSE)=0,"Spatial Data Missing ⚠",VLOOKUP(AH167,'G-3 Multipliers'!$S$3:$T$6,2,FALSE)))</f>
        <v/>
      </c>
      <c r="AJ167" s="545" t="str">
        <f t="shared" si="23"/>
        <v/>
      </c>
      <c r="AK167" s="149"/>
      <c r="AL167" s="150"/>
      <c r="AP167" s="31" t="str">
        <f>IFERROR(INDEX('G-6 Hedgerow Data'!$BJ$3:$BJ$15,MATCH(M167,'G-6 Hedgerow Data'!$B$3:$B$15,0)),"")</f>
        <v/>
      </c>
    </row>
    <row r="168" spans="2:42" ht="14" x14ac:dyDescent="0.3">
      <c r="B168" s="531" t="str">
        <f>'E-1 Off Site Hedge Baseline'!AK166</f>
        <v/>
      </c>
      <c r="C168" s="520" t="str">
        <f>IF(B168="","",IF(ISNA(VLOOKUP($B168,'E-1 Off Site Hedge Baseline'!$B$1:$L$257,3,FALSE)),"",(VLOOKUP($B168,'E-1 Off Site Hedge Baseline'!$B$1:$L$257,3,FALSE))))</f>
        <v/>
      </c>
      <c r="D168" s="520" t="str">
        <f>IF(B168="","",IF(ISNA(VLOOKUP($B168,'E-1 Off Site Hedge Baseline'!$B$1:$L$258,4,FALSE)),"",(VLOOKUP($B168,'E-1 Off Site Hedge Baseline'!$B$1:$L$258,4,FALSE))))</f>
        <v/>
      </c>
      <c r="E168" s="520" t="str">
        <f>IF(B168="","",IF(ISNA(VLOOKUP($B168,'E-1 Off Site Hedge Baseline'!$B$1:$L$257,5,FALSE)),"",(VLOOKUP($B168,'E-1 Off Site Hedge Baseline'!$B$1:$L$257,5,FALSE))))</f>
        <v/>
      </c>
      <c r="F168" s="520" t="str">
        <f>IF(B168="","",IF(ISNA(VLOOKUP($B168,'E-1 Off Site Hedge Baseline'!$B$1:$L$257,6,FALSE)),"",(VLOOKUP($B168,'E-1 Off Site Hedge Baseline'!$B$1:$L$257,6,FALSE))))</f>
        <v/>
      </c>
      <c r="G168" s="520" t="str">
        <f>IF(B168="","",IF(ISNA(VLOOKUP($B168,'E-1 Off Site Hedge Baseline'!$B$1:$L$257,7,FALSE)),"",(VLOOKUP($B168,'E-1 Off Site Hedge Baseline'!$B$1:$L$257,7,FALSE))))</f>
        <v/>
      </c>
      <c r="H168" s="520" t="str">
        <f>IF(B168="","",IF(ISNA(VLOOKUP($B168,'E-1 Off Site Hedge Baseline'!$B$1:$L$257,8,FALSE)),"",(VLOOKUP($B168,'E-1 Off Site Hedge Baseline'!$B$1:$L$257,8,FALSE))))</f>
        <v/>
      </c>
      <c r="I168" s="520" t="str">
        <f>IF(B168="","",IF(ISNA(VLOOKUP($B168,'E-1 Off Site Hedge Baseline'!$B$1:$L$257,10,FALSE)),"",(VLOOKUP($B168,'E-1 Off Site Hedge Baseline'!$B$1:$L$257,10,FALSE))))</f>
        <v/>
      </c>
      <c r="J168" s="520" t="str">
        <f>IF(B168="","",IF(ISNA(VLOOKUP($B168,'E-1 Off Site Hedge Baseline'!$B$1:$L$257,11,FALSE)),"",(VLOOKUP($B168,'E-1 Off Site Hedge Baseline'!$B$1:$L$257,11,FALSE))))</f>
        <v/>
      </c>
      <c r="K168" s="520" t="str">
        <f>IF(B168="","",IF(ISNA(VLOOKUP($B168,'E-1 Off Site Hedge Baseline'!$B$1:$U$257,113,FALSE)),"",(VLOOKUP($B168,'E-1 Off Site Hedge Baseline'!$B$1:$U$257,13,FALSE))))</f>
        <v/>
      </c>
      <c r="L168" s="507" t="str">
        <f>IF(B168="","",IF(ISNA(VLOOKUP($B168,'E-1 Off Site Hedge Baseline'!$B$1:$U$257,12,FALSE)),"",(VLOOKUP($B168,'E-1 Off Site Hedge Baseline'!$B$1:$U$257,12,FALSE))))</f>
        <v/>
      </c>
      <c r="M168" s="418" t="str">
        <f t="shared" si="24"/>
        <v/>
      </c>
      <c r="N168" s="498" t="str">
        <f>IFERROR(IF(B168="","",INDEX('G-6 Hedgerow Data'!$AN$3:$AZ$15,MATCH(C168,'G-6 Hedgerow Data'!$AM$3:$AM$15,0),MATCH(M168,'G-6 Hedgerow Data'!$AN$2:$AZ$2,0))),"")</f>
        <v/>
      </c>
      <c r="O168" s="499" t="str">
        <f t="shared" si="18"/>
        <v/>
      </c>
      <c r="P168" s="505" t="str">
        <f>IF(B168="","",VLOOKUP(B168,'E-1 Off Site Hedge Baseline'!$B$10:T413,16,FALSE))</f>
        <v/>
      </c>
      <c r="Q168" s="498" t="str">
        <f>IF(M168="","",VLOOKUP(M168,'G-6 Hedgerow Data'!$B$2:$AG$15,2,FALSE))</f>
        <v/>
      </c>
      <c r="R168" s="499" t="str">
        <f>IF(M168="","",VLOOKUP(M168,'G-6 Hedgerow Data'!$B$2:$AG$15,3,FALSE))</f>
        <v/>
      </c>
      <c r="S168" s="145"/>
      <c r="T168" s="499" t="str">
        <f>IFERROR(IF(AND(Q168="V.Low",OR(S168="Good",S168="Moderate")),"Error ▲",VLOOKUP(S168,'G-1 All Habitats'!$Z$2:$AA$9,2,FALSE)),"")</f>
        <v/>
      </c>
      <c r="U168" s="145"/>
      <c r="V168" s="507" t="str">
        <f>IF(U168="","",IF(VLOOKUP(U168,'G-3 Multipliers'!$L$3:$N$6,2,FALSE)=0,"Spatial Data Missing ⚠",VLOOKUP(U168,'G-3 Multipliers'!$L$3:$N$6,2,FALSE)))</f>
        <v/>
      </c>
      <c r="W168" s="505" t="str">
        <f>IF(U168="","",IF(VLOOKUP(U168,'G-3 Multipliers'!$L$3:$N$6,3,FALSE)=0,"Spatial Data Missing ⚠",VLOOKUP(U168,'G-3 Multipliers'!$L$3:$N$6,3,FALSE)))</f>
        <v/>
      </c>
      <c r="X168" s="498" t="str">
        <f>IFERROR(IF(OR(LEFT(O168,5)="Error ▲",LEFT(N168,5)="Error ▲",T168="Error ▲"),"Check Data ⚠",IF(F168&lt;R168,INDEX('G-6 Hedgerow Data'!$S$3:$AE$14,MATCH(C168,'G-6 Hedgerow Data'!$B$3:$B$14,0),MATCH(M168,'G-6 Hedgerow Data'!$S$2:$AE$2,0)),INDEX('G-6 Hedgerow Data'!$K$3:$Q$14,MATCH(M168,'G-6 Hedgerow Data'!$B$3:$B$14,0),MATCH(O168,'G-6 Hedgerow Data'!$K$2:$Q$2,0)))),"")</f>
        <v/>
      </c>
      <c r="Y168" s="195"/>
      <c r="Z168" s="195"/>
      <c r="AA168" s="507" t="str">
        <f t="shared" si="19"/>
        <v/>
      </c>
      <c r="AB168" s="521" t="str">
        <f t="shared" si="20"/>
        <v/>
      </c>
      <c r="AC168" s="522" t="str">
        <f t="shared" si="17"/>
        <v/>
      </c>
      <c r="AD168" s="537" t="str">
        <f>IF(M168="","",VLOOKUP(M168,'G-6 Hedgerow Data'!$B$3:$AG$15,31,FALSE))</f>
        <v/>
      </c>
      <c r="AE168" s="520" t="str">
        <f t="shared" si="21"/>
        <v/>
      </c>
      <c r="AF168" s="520" t="str">
        <f t="shared" si="22"/>
        <v/>
      </c>
      <c r="AG168" s="524" t="str">
        <f>IFERROR(IF(O168="","",VLOOKUP(AD168,'G-3 Multipliers'!$P$3:$Q$6,2,FALSE)),"")</f>
        <v/>
      </c>
      <c r="AH168" s="197"/>
      <c r="AI168" s="499" t="str">
        <f>IF(AH168="","",IF(VLOOKUP(AH168,'G-3 Multipliers'!$S$3:$T$6,2,FALSE)=0,"Spatial Data Missing ⚠",VLOOKUP(AH168,'G-3 Multipliers'!$S$3:$T$6,2,FALSE)))</f>
        <v/>
      </c>
      <c r="AJ168" s="545" t="str">
        <f t="shared" si="23"/>
        <v/>
      </c>
      <c r="AK168" s="149"/>
      <c r="AL168" s="150"/>
      <c r="AP168" s="31" t="str">
        <f>IFERROR(INDEX('G-6 Hedgerow Data'!$BJ$3:$BJ$15,MATCH(M168,'G-6 Hedgerow Data'!$B$3:$B$15,0)),"")</f>
        <v/>
      </c>
    </row>
    <row r="169" spans="2:42" ht="14" x14ac:dyDescent="0.3">
      <c r="B169" s="531" t="str">
        <f>'E-1 Off Site Hedge Baseline'!AK167</f>
        <v/>
      </c>
      <c r="C169" s="520" t="str">
        <f>IF(B169="","",IF(ISNA(VLOOKUP($B169,'E-1 Off Site Hedge Baseline'!$B$1:$L$257,3,FALSE)),"",(VLOOKUP($B169,'E-1 Off Site Hedge Baseline'!$B$1:$L$257,3,FALSE))))</f>
        <v/>
      </c>
      <c r="D169" s="520" t="str">
        <f>IF(B169="","",IF(ISNA(VLOOKUP($B169,'E-1 Off Site Hedge Baseline'!$B$1:$L$258,4,FALSE)),"",(VLOOKUP($B169,'E-1 Off Site Hedge Baseline'!$B$1:$L$258,4,FALSE))))</f>
        <v/>
      </c>
      <c r="E169" s="520" t="str">
        <f>IF(B169="","",IF(ISNA(VLOOKUP($B169,'E-1 Off Site Hedge Baseline'!$B$1:$L$257,5,FALSE)),"",(VLOOKUP($B169,'E-1 Off Site Hedge Baseline'!$B$1:$L$257,5,FALSE))))</f>
        <v/>
      </c>
      <c r="F169" s="520" t="str">
        <f>IF(B169="","",IF(ISNA(VLOOKUP($B169,'E-1 Off Site Hedge Baseline'!$B$1:$L$257,6,FALSE)),"",(VLOOKUP($B169,'E-1 Off Site Hedge Baseline'!$B$1:$L$257,6,FALSE))))</f>
        <v/>
      </c>
      <c r="G169" s="520" t="str">
        <f>IF(B169="","",IF(ISNA(VLOOKUP($B169,'E-1 Off Site Hedge Baseline'!$B$1:$L$257,7,FALSE)),"",(VLOOKUP($B169,'E-1 Off Site Hedge Baseline'!$B$1:$L$257,7,FALSE))))</f>
        <v/>
      </c>
      <c r="H169" s="520" t="str">
        <f>IF(B169="","",IF(ISNA(VLOOKUP($B169,'E-1 Off Site Hedge Baseline'!$B$1:$L$257,8,FALSE)),"",(VLOOKUP($B169,'E-1 Off Site Hedge Baseline'!$B$1:$L$257,8,FALSE))))</f>
        <v/>
      </c>
      <c r="I169" s="520" t="str">
        <f>IF(B169="","",IF(ISNA(VLOOKUP($B169,'E-1 Off Site Hedge Baseline'!$B$1:$L$257,10,FALSE)),"",(VLOOKUP($B169,'E-1 Off Site Hedge Baseline'!$B$1:$L$257,10,FALSE))))</f>
        <v/>
      </c>
      <c r="J169" s="520" t="str">
        <f>IF(B169="","",IF(ISNA(VLOOKUP($B169,'E-1 Off Site Hedge Baseline'!$B$1:$L$257,11,FALSE)),"",(VLOOKUP($B169,'E-1 Off Site Hedge Baseline'!$B$1:$L$257,11,FALSE))))</f>
        <v/>
      </c>
      <c r="K169" s="520" t="str">
        <f>IF(B169="","",IF(ISNA(VLOOKUP($B169,'E-1 Off Site Hedge Baseline'!$B$1:$U$257,113,FALSE)),"",(VLOOKUP($B169,'E-1 Off Site Hedge Baseline'!$B$1:$U$257,13,FALSE))))</f>
        <v/>
      </c>
      <c r="L169" s="507" t="str">
        <f>IF(B169="","",IF(ISNA(VLOOKUP($B169,'E-1 Off Site Hedge Baseline'!$B$1:$U$257,12,FALSE)),"",(VLOOKUP($B169,'E-1 Off Site Hedge Baseline'!$B$1:$U$257,12,FALSE))))</f>
        <v/>
      </c>
      <c r="M169" s="418" t="str">
        <f t="shared" si="24"/>
        <v/>
      </c>
      <c r="N169" s="498" t="str">
        <f>IFERROR(IF(B169="","",INDEX('G-6 Hedgerow Data'!$AN$3:$AZ$15,MATCH(C169,'G-6 Hedgerow Data'!$AM$3:$AM$15,0),MATCH(M169,'G-6 Hedgerow Data'!$AN$2:$AZ$2,0))),"")</f>
        <v/>
      </c>
      <c r="O169" s="499" t="str">
        <f t="shared" si="18"/>
        <v/>
      </c>
      <c r="P169" s="505" t="str">
        <f>IF(B169="","",VLOOKUP(B169,'E-1 Off Site Hedge Baseline'!$B$10:T414,16,FALSE))</f>
        <v/>
      </c>
      <c r="Q169" s="498" t="str">
        <f>IF(M169="","",VLOOKUP(M169,'G-6 Hedgerow Data'!$B$2:$AG$15,2,FALSE))</f>
        <v/>
      </c>
      <c r="R169" s="499" t="str">
        <f>IF(M169="","",VLOOKUP(M169,'G-6 Hedgerow Data'!$B$2:$AG$15,3,FALSE))</f>
        <v/>
      </c>
      <c r="S169" s="145"/>
      <c r="T169" s="499" t="str">
        <f>IFERROR(IF(AND(Q169="V.Low",OR(S169="Good",S169="Moderate")),"Error ▲",VLOOKUP(S169,'G-1 All Habitats'!$Z$2:$AA$9,2,FALSE)),"")</f>
        <v/>
      </c>
      <c r="U169" s="145"/>
      <c r="V169" s="507" t="str">
        <f>IF(U169="","",IF(VLOOKUP(U169,'G-3 Multipliers'!$L$3:$N$6,2,FALSE)=0,"Spatial Data Missing ⚠",VLOOKUP(U169,'G-3 Multipliers'!$L$3:$N$6,2,FALSE)))</f>
        <v/>
      </c>
      <c r="W169" s="505" t="str">
        <f>IF(U169="","",IF(VLOOKUP(U169,'G-3 Multipliers'!$L$3:$N$6,3,FALSE)=0,"Spatial Data Missing ⚠",VLOOKUP(U169,'G-3 Multipliers'!$L$3:$N$6,3,FALSE)))</f>
        <v/>
      </c>
      <c r="X169" s="498" t="str">
        <f>IFERROR(IF(OR(LEFT(O169,5)="Error ▲",LEFT(N169,5)="Error ▲",T169="Error ▲"),"Check Data ⚠",IF(F169&lt;R169,INDEX('G-6 Hedgerow Data'!$S$3:$AE$14,MATCH(C169,'G-6 Hedgerow Data'!$B$3:$B$14,0),MATCH(M169,'G-6 Hedgerow Data'!$S$2:$AE$2,0)),INDEX('G-6 Hedgerow Data'!$K$3:$Q$14,MATCH(M169,'G-6 Hedgerow Data'!$B$3:$B$14,0),MATCH(O169,'G-6 Hedgerow Data'!$K$2:$Q$2,0)))),"")</f>
        <v/>
      </c>
      <c r="Y169" s="195"/>
      <c r="Z169" s="195"/>
      <c r="AA169" s="507" t="str">
        <f t="shared" si="19"/>
        <v/>
      </c>
      <c r="AB169" s="521" t="str">
        <f t="shared" si="20"/>
        <v/>
      </c>
      <c r="AC169" s="522" t="str">
        <f t="shared" si="17"/>
        <v/>
      </c>
      <c r="AD169" s="537" t="str">
        <f>IF(M169="","",VLOOKUP(M169,'G-6 Hedgerow Data'!$B$3:$AG$15,31,FALSE))</f>
        <v/>
      </c>
      <c r="AE169" s="520" t="str">
        <f t="shared" si="21"/>
        <v/>
      </c>
      <c r="AF169" s="520" t="str">
        <f t="shared" si="22"/>
        <v/>
      </c>
      <c r="AG169" s="524" t="str">
        <f>IFERROR(IF(O169="","",VLOOKUP(AD169,'G-3 Multipliers'!$P$3:$Q$6,2,FALSE)),"")</f>
        <v/>
      </c>
      <c r="AH169" s="197"/>
      <c r="AI169" s="499" t="str">
        <f>IF(AH169="","",IF(VLOOKUP(AH169,'G-3 Multipliers'!$S$3:$T$6,2,FALSE)=0,"Spatial Data Missing ⚠",VLOOKUP(AH169,'G-3 Multipliers'!$S$3:$T$6,2,FALSE)))</f>
        <v/>
      </c>
      <c r="AJ169" s="545" t="str">
        <f t="shared" si="23"/>
        <v/>
      </c>
      <c r="AK169" s="149"/>
      <c r="AL169" s="150"/>
      <c r="AP169" s="31" t="str">
        <f>IFERROR(INDEX('G-6 Hedgerow Data'!$BJ$3:$BJ$15,MATCH(M169,'G-6 Hedgerow Data'!$B$3:$B$15,0)),"")</f>
        <v/>
      </c>
    </row>
    <row r="170" spans="2:42" ht="14" x14ac:dyDescent="0.3">
      <c r="B170" s="531" t="str">
        <f>'E-1 Off Site Hedge Baseline'!AK168</f>
        <v/>
      </c>
      <c r="C170" s="520" t="str">
        <f>IF(B170="","",IF(ISNA(VLOOKUP($B170,'E-1 Off Site Hedge Baseline'!$B$1:$L$257,3,FALSE)),"",(VLOOKUP($B170,'E-1 Off Site Hedge Baseline'!$B$1:$L$257,3,FALSE))))</f>
        <v/>
      </c>
      <c r="D170" s="520" t="str">
        <f>IF(B170="","",IF(ISNA(VLOOKUP($B170,'E-1 Off Site Hedge Baseline'!$B$1:$L$258,4,FALSE)),"",(VLOOKUP($B170,'E-1 Off Site Hedge Baseline'!$B$1:$L$258,4,FALSE))))</f>
        <v/>
      </c>
      <c r="E170" s="520" t="str">
        <f>IF(B170="","",IF(ISNA(VLOOKUP($B170,'E-1 Off Site Hedge Baseline'!$B$1:$L$257,5,FALSE)),"",(VLOOKUP($B170,'E-1 Off Site Hedge Baseline'!$B$1:$L$257,5,FALSE))))</f>
        <v/>
      </c>
      <c r="F170" s="520" t="str">
        <f>IF(B170="","",IF(ISNA(VLOOKUP($B170,'E-1 Off Site Hedge Baseline'!$B$1:$L$257,6,FALSE)),"",(VLOOKUP($B170,'E-1 Off Site Hedge Baseline'!$B$1:$L$257,6,FALSE))))</f>
        <v/>
      </c>
      <c r="G170" s="520" t="str">
        <f>IF(B170="","",IF(ISNA(VLOOKUP($B170,'E-1 Off Site Hedge Baseline'!$B$1:$L$257,7,FALSE)),"",(VLOOKUP($B170,'E-1 Off Site Hedge Baseline'!$B$1:$L$257,7,FALSE))))</f>
        <v/>
      </c>
      <c r="H170" s="520" t="str">
        <f>IF(B170="","",IF(ISNA(VLOOKUP($B170,'E-1 Off Site Hedge Baseline'!$B$1:$L$257,8,FALSE)),"",(VLOOKUP($B170,'E-1 Off Site Hedge Baseline'!$B$1:$L$257,8,FALSE))))</f>
        <v/>
      </c>
      <c r="I170" s="520" t="str">
        <f>IF(B170="","",IF(ISNA(VLOOKUP($B170,'E-1 Off Site Hedge Baseline'!$B$1:$L$257,10,FALSE)),"",(VLOOKUP($B170,'E-1 Off Site Hedge Baseline'!$B$1:$L$257,10,FALSE))))</f>
        <v/>
      </c>
      <c r="J170" s="520" t="str">
        <f>IF(B170="","",IF(ISNA(VLOOKUP($B170,'E-1 Off Site Hedge Baseline'!$B$1:$L$257,11,FALSE)),"",(VLOOKUP($B170,'E-1 Off Site Hedge Baseline'!$B$1:$L$257,11,FALSE))))</f>
        <v/>
      </c>
      <c r="K170" s="520" t="str">
        <f>IF(B170="","",IF(ISNA(VLOOKUP($B170,'E-1 Off Site Hedge Baseline'!$B$1:$U$257,113,FALSE)),"",(VLOOKUP($B170,'E-1 Off Site Hedge Baseline'!$B$1:$U$257,13,FALSE))))</f>
        <v/>
      </c>
      <c r="L170" s="507" t="str">
        <f>IF(B170="","",IF(ISNA(VLOOKUP($B170,'E-1 Off Site Hedge Baseline'!$B$1:$U$257,12,FALSE)),"",(VLOOKUP($B170,'E-1 Off Site Hedge Baseline'!$B$1:$U$257,12,FALSE))))</f>
        <v/>
      </c>
      <c r="M170" s="418" t="str">
        <f t="shared" si="24"/>
        <v/>
      </c>
      <c r="N170" s="498" t="str">
        <f>IFERROR(IF(B170="","",INDEX('G-6 Hedgerow Data'!$AN$3:$AZ$15,MATCH(C170,'G-6 Hedgerow Data'!$AM$3:$AM$15,0),MATCH(M170,'G-6 Hedgerow Data'!$AN$2:$AZ$2,0))),"")</f>
        <v/>
      </c>
      <c r="O170" s="499" t="str">
        <f t="shared" si="18"/>
        <v/>
      </c>
      <c r="P170" s="505" t="str">
        <f>IF(B170="","",VLOOKUP(B170,'E-1 Off Site Hedge Baseline'!$B$10:T415,16,FALSE))</f>
        <v/>
      </c>
      <c r="Q170" s="498" t="str">
        <f>IF(M170="","",VLOOKUP(M170,'G-6 Hedgerow Data'!$B$2:$AG$15,2,FALSE))</f>
        <v/>
      </c>
      <c r="R170" s="499" t="str">
        <f>IF(M170="","",VLOOKUP(M170,'G-6 Hedgerow Data'!$B$2:$AG$15,3,FALSE))</f>
        <v/>
      </c>
      <c r="S170" s="145"/>
      <c r="T170" s="499" t="str">
        <f>IFERROR(IF(AND(Q170="V.Low",OR(S170="Good",S170="Moderate")),"Error ▲",VLOOKUP(S170,'G-1 All Habitats'!$Z$2:$AA$9,2,FALSE)),"")</f>
        <v/>
      </c>
      <c r="U170" s="145"/>
      <c r="V170" s="507" t="str">
        <f>IF(U170="","",IF(VLOOKUP(U170,'G-3 Multipliers'!$L$3:$N$6,2,FALSE)=0,"Spatial Data Missing ⚠",VLOOKUP(U170,'G-3 Multipliers'!$L$3:$N$6,2,FALSE)))</f>
        <v/>
      </c>
      <c r="W170" s="505" t="str">
        <f>IF(U170="","",IF(VLOOKUP(U170,'G-3 Multipliers'!$L$3:$N$6,3,FALSE)=0,"Spatial Data Missing ⚠",VLOOKUP(U170,'G-3 Multipliers'!$L$3:$N$6,3,FALSE)))</f>
        <v/>
      </c>
      <c r="X170" s="498" t="str">
        <f>IFERROR(IF(OR(LEFT(O170,5)="Error ▲",LEFT(N170,5)="Error ▲",T170="Error ▲"),"Check Data ⚠",IF(F170&lt;R170,INDEX('G-6 Hedgerow Data'!$S$3:$AE$14,MATCH(C170,'G-6 Hedgerow Data'!$B$3:$B$14,0),MATCH(M170,'G-6 Hedgerow Data'!$S$2:$AE$2,0)),INDEX('G-6 Hedgerow Data'!$K$3:$Q$14,MATCH(M170,'G-6 Hedgerow Data'!$B$3:$B$14,0),MATCH(O170,'G-6 Hedgerow Data'!$K$2:$Q$2,0)))),"")</f>
        <v/>
      </c>
      <c r="Y170" s="195"/>
      <c r="Z170" s="195"/>
      <c r="AA170" s="507" t="str">
        <f t="shared" si="19"/>
        <v/>
      </c>
      <c r="AB170" s="521" t="str">
        <f t="shared" si="20"/>
        <v/>
      </c>
      <c r="AC170" s="522" t="str">
        <f t="shared" si="17"/>
        <v/>
      </c>
      <c r="AD170" s="537" t="str">
        <f>IF(M170="","",VLOOKUP(M170,'G-6 Hedgerow Data'!$B$3:$AG$15,31,FALSE))</f>
        <v/>
      </c>
      <c r="AE170" s="520" t="str">
        <f t="shared" si="21"/>
        <v/>
      </c>
      <c r="AF170" s="520" t="str">
        <f t="shared" si="22"/>
        <v/>
      </c>
      <c r="AG170" s="524" t="str">
        <f>IFERROR(IF(O170="","",VLOOKUP(AD170,'G-3 Multipliers'!$P$3:$Q$6,2,FALSE)),"")</f>
        <v/>
      </c>
      <c r="AH170" s="197"/>
      <c r="AI170" s="499" t="str">
        <f>IF(AH170="","",IF(VLOOKUP(AH170,'G-3 Multipliers'!$S$3:$T$6,2,FALSE)=0,"Spatial Data Missing ⚠",VLOOKUP(AH170,'G-3 Multipliers'!$S$3:$T$6,2,FALSE)))</f>
        <v/>
      </c>
      <c r="AJ170" s="545" t="str">
        <f t="shared" si="23"/>
        <v/>
      </c>
      <c r="AK170" s="149"/>
      <c r="AL170" s="150"/>
      <c r="AP170" s="31" t="str">
        <f>IFERROR(INDEX('G-6 Hedgerow Data'!$BJ$3:$BJ$15,MATCH(M170,'G-6 Hedgerow Data'!$B$3:$B$15,0)),"")</f>
        <v/>
      </c>
    </row>
    <row r="171" spans="2:42" ht="14" x14ac:dyDescent="0.3">
      <c r="B171" s="531" t="str">
        <f>'E-1 Off Site Hedge Baseline'!AK169</f>
        <v/>
      </c>
      <c r="C171" s="520" t="str">
        <f>IF(B171="","",IF(ISNA(VLOOKUP($B171,'E-1 Off Site Hedge Baseline'!$B$1:$L$257,3,FALSE)),"",(VLOOKUP($B171,'E-1 Off Site Hedge Baseline'!$B$1:$L$257,3,FALSE))))</f>
        <v/>
      </c>
      <c r="D171" s="520" t="str">
        <f>IF(B171="","",IF(ISNA(VLOOKUP($B171,'E-1 Off Site Hedge Baseline'!$B$1:$L$258,4,FALSE)),"",(VLOOKUP($B171,'E-1 Off Site Hedge Baseline'!$B$1:$L$258,4,FALSE))))</f>
        <v/>
      </c>
      <c r="E171" s="520" t="str">
        <f>IF(B171="","",IF(ISNA(VLOOKUP($B171,'E-1 Off Site Hedge Baseline'!$B$1:$L$257,5,FALSE)),"",(VLOOKUP($B171,'E-1 Off Site Hedge Baseline'!$B$1:$L$257,5,FALSE))))</f>
        <v/>
      </c>
      <c r="F171" s="520" t="str">
        <f>IF(B171="","",IF(ISNA(VLOOKUP($B171,'E-1 Off Site Hedge Baseline'!$B$1:$L$257,6,FALSE)),"",(VLOOKUP($B171,'E-1 Off Site Hedge Baseline'!$B$1:$L$257,6,FALSE))))</f>
        <v/>
      </c>
      <c r="G171" s="520" t="str">
        <f>IF(B171="","",IF(ISNA(VLOOKUP($B171,'E-1 Off Site Hedge Baseline'!$B$1:$L$257,7,FALSE)),"",(VLOOKUP($B171,'E-1 Off Site Hedge Baseline'!$B$1:$L$257,7,FALSE))))</f>
        <v/>
      </c>
      <c r="H171" s="520" t="str">
        <f>IF(B171="","",IF(ISNA(VLOOKUP($B171,'E-1 Off Site Hedge Baseline'!$B$1:$L$257,8,FALSE)),"",(VLOOKUP($B171,'E-1 Off Site Hedge Baseline'!$B$1:$L$257,8,FALSE))))</f>
        <v/>
      </c>
      <c r="I171" s="520" t="str">
        <f>IF(B171="","",IF(ISNA(VLOOKUP($B171,'E-1 Off Site Hedge Baseline'!$B$1:$L$257,10,FALSE)),"",(VLOOKUP($B171,'E-1 Off Site Hedge Baseline'!$B$1:$L$257,10,FALSE))))</f>
        <v/>
      </c>
      <c r="J171" s="520" t="str">
        <f>IF(B171="","",IF(ISNA(VLOOKUP($B171,'E-1 Off Site Hedge Baseline'!$B$1:$L$257,11,FALSE)),"",(VLOOKUP($B171,'E-1 Off Site Hedge Baseline'!$B$1:$L$257,11,FALSE))))</f>
        <v/>
      </c>
      <c r="K171" s="520" t="str">
        <f>IF(B171="","",IF(ISNA(VLOOKUP($B171,'E-1 Off Site Hedge Baseline'!$B$1:$U$257,113,FALSE)),"",(VLOOKUP($B171,'E-1 Off Site Hedge Baseline'!$B$1:$U$257,13,FALSE))))</f>
        <v/>
      </c>
      <c r="L171" s="507" t="str">
        <f>IF(B171="","",IF(ISNA(VLOOKUP($B171,'E-1 Off Site Hedge Baseline'!$B$1:$U$257,12,FALSE)),"",(VLOOKUP($B171,'E-1 Off Site Hedge Baseline'!$B$1:$U$257,12,FALSE))))</f>
        <v/>
      </c>
      <c r="M171" s="418" t="str">
        <f t="shared" si="24"/>
        <v/>
      </c>
      <c r="N171" s="498" t="str">
        <f>IFERROR(IF(B171="","",INDEX('G-6 Hedgerow Data'!$AN$3:$AZ$15,MATCH(C171,'G-6 Hedgerow Data'!$AM$3:$AM$15,0),MATCH(M171,'G-6 Hedgerow Data'!$AN$2:$AZ$2,0))),"")</f>
        <v/>
      </c>
      <c r="O171" s="499" t="str">
        <f t="shared" si="18"/>
        <v/>
      </c>
      <c r="P171" s="505" t="str">
        <f>IF(B171="","",VLOOKUP(B171,'E-1 Off Site Hedge Baseline'!$B$10:T416,16,FALSE))</f>
        <v/>
      </c>
      <c r="Q171" s="498" t="str">
        <f>IF(M171="","",VLOOKUP(M171,'G-6 Hedgerow Data'!$B$2:$AG$15,2,FALSE))</f>
        <v/>
      </c>
      <c r="R171" s="499" t="str">
        <f>IF(M171="","",VLOOKUP(M171,'G-6 Hedgerow Data'!$B$2:$AG$15,3,FALSE))</f>
        <v/>
      </c>
      <c r="S171" s="145"/>
      <c r="T171" s="499" t="str">
        <f>IFERROR(IF(AND(Q171="V.Low",OR(S171="Good",S171="Moderate")),"Error ▲",VLOOKUP(S171,'G-1 All Habitats'!$Z$2:$AA$9,2,FALSE)),"")</f>
        <v/>
      </c>
      <c r="U171" s="145"/>
      <c r="V171" s="507" t="str">
        <f>IF(U171="","",IF(VLOOKUP(U171,'G-3 Multipliers'!$L$3:$N$6,2,FALSE)=0,"Spatial Data Missing ⚠",VLOOKUP(U171,'G-3 Multipliers'!$L$3:$N$6,2,FALSE)))</f>
        <v/>
      </c>
      <c r="W171" s="505" t="str">
        <f>IF(U171="","",IF(VLOOKUP(U171,'G-3 Multipliers'!$L$3:$N$6,3,FALSE)=0,"Spatial Data Missing ⚠",VLOOKUP(U171,'G-3 Multipliers'!$L$3:$N$6,3,FALSE)))</f>
        <v/>
      </c>
      <c r="X171" s="498" t="str">
        <f>IFERROR(IF(OR(LEFT(O171,5)="Error ▲",LEFT(N171,5)="Error ▲",T171="Error ▲"),"Check Data ⚠",IF(F171&lt;R171,INDEX('G-6 Hedgerow Data'!$S$3:$AE$14,MATCH(C171,'G-6 Hedgerow Data'!$B$3:$B$14,0),MATCH(M171,'G-6 Hedgerow Data'!$S$2:$AE$2,0)),INDEX('G-6 Hedgerow Data'!$K$3:$Q$14,MATCH(M171,'G-6 Hedgerow Data'!$B$3:$B$14,0),MATCH(O171,'G-6 Hedgerow Data'!$K$2:$Q$2,0)))),"")</f>
        <v/>
      </c>
      <c r="Y171" s="195"/>
      <c r="Z171" s="195"/>
      <c r="AA171" s="507" t="str">
        <f t="shared" si="19"/>
        <v/>
      </c>
      <c r="AB171" s="521" t="str">
        <f t="shared" si="20"/>
        <v/>
      </c>
      <c r="AC171" s="522" t="str">
        <f t="shared" si="17"/>
        <v/>
      </c>
      <c r="AD171" s="537" t="str">
        <f>IF(M171="","",VLOOKUP(M171,'G-6 Hedgerow Data'!$B$3:$AG$15,31,FALSE))</f>
        <v/>
      </c>
      <c r="AE171" s="520" t="str">
        <f t="shared" si="21"/>
        <v/>
      </c>
      <c r="AF171" s="520" t="str">
        <f t="shared" si="22"/>
        <v/>
      </c>
      <c r="AG171" s="524" t="str">
        <f>IFERROR(IF(O171="","",VLOOKUP(AD171,'G-3 Multipliers'!$P$3:$Q$6,2,FALSE)),"")</f>
        <v/>
      </c>
      <c r="AH171" s="197"/>
      <c r="AI171" s="499" t="str">
        <f>IF(AH171="","",IF(VLOOKUP(AH171,'G-3 Multipliers'!$S$3:$T$6,2,FALSE)=0,"Spatial Data Missing ⚠",VLOOKUP(AH171,'G-3 Multipliers'!$S$3:$T$6,2,FALSE)))</f>
        <v/>
      </c>
      <c r="AJ171" s="545" t="str">
        <f t="shared" si="23"/>
        <v/>
      </c>
      <c r="AK171" s="149"/>
      <c r="AL171" s="150"/>
      <c r="AP171" s="31" t="str">
        <f>IFERROR(INDEX('G-6 Hedgerow Data'!$BJ$3:$BJ$15,MATCH(M171,'G-6 Hedgerow Data'!$B$3:$B$15,0)),"")</f>
        <v/>
      </c>
    </row>
    <row r="172" spans="2:42" ht="14" x14ac:dyDescent="0.3">
      <c r="B172" s="531" t="str">
        <f>'E-1 Off Site Hedge Baseline'!AK170</f>
        <v/>
      </c>
      <c r="C172" s="520" t="str">
        <f>IF(B172="","",IF(ISNA(VLOOKUP($B172,'E-1 Off Site Hedge Baseline'!$B$1:$L$257,3,FALSE)),"",(VLOOKUP($B172,'E-1 Off Site Hedge Baseline'!$B$1:$L$257,3,FALSE))))</f>
        <v/>
      </c>
      <c r="D172" s="520" t="str">
        <f>IF(B172="","",IF(ISNA(VLOOKUP($B172,'E-1 Off Site Hedge Baseline'!$B$1:$L$258,4,FALSE)),"",(VLOOKUP($B172,'E-1 Off Site Hedge Baseline'!$B$1:$L$258,4,FALSE))))</f>
        <v/>
      </c>
      <c r="E172" s="520" t="str">
        <f>IF(B172="","",IF(ISNA(VLOOKUP($B172,'E-1 Off Site Hedge Baseline'!$B$1:$L$257,5,FALSE)),"",(VLOOKUP($B172,'E-1 Off Site Hedge Baseline'!$B$1:$L$257,5,FALSE))))</f>
        <v/>
      </c>
      <c r="F172" s="520" t="str">
        <f>IF(B172="","",IF(ISNA(VLOOKUP($B172,'E-1 Off Site Hedge Baseline'!$B$1:$L$257,6,FALSE)),"",(VLOOKUP($B172,'E-1 Off Site Hedge Baseline'!$B$1:$L$257,6,FALSE))))</f>
        <v/>
      </c>
      <c r="G172" s="520" t="str">
        <f>IF(B172="","",IF(ISNA(VLOOKUP($B172,'E-1 Off Site Hedge Baseline'!$B$1:$L$257,7,FALSE)),"",(VLOOKUP($B172,'E-1 Off Site Hedge Baseline'!$B$1:$L$257,7,FALSE))))</f>
        <v/>
      </c>
      <c r="H172" s="520" t="str">
        <f>IF(B172="","",IF(ISNA(VLOOKUP($B172,'E-1 Off Site Hedge Baseline'!$B$1:$L$257,8,FALSE)),"",(VLOOKUP($B172,'E-1 Off Site Hedge Baseline'!$B$1:$L$257,8,FALSE))))</f>
        <v/>
      </c>
      <c r="I172" s="520" t="str">
        <f>IF(B172="","",IF(ISNA(VLOOKUP($B172,'E-1 Off Site Hedge Baseline'!$B$1:$L$257,10,FALSE)),"",(VLOOKUP($B172,'E-1 Off Site Hedge Baseline'!$B$1:$L$257,10,FALSE))))</f>
        <v/>
      </c>
      <c r="J172" s="520" t="str">
        <f>IF(B172="","",IF(ISNA(VLOOKUP($B172,'E-1 Off Site Hedge Baseline'!$B$1:$L$257,11,FALSE)),"",(VLOOKUP($B172,'E-1 Off Site Hedge Baseline'!$B$1:$L$257,11,FALSE))))</f>
        <v/>
      </c>
      <c r="K172" s="520" t="str">
        <f>IF(B172="","",IF(ISNA(VLOOKUP($B172,'E-1 Off Site Hedge Baseline'!$B$1:$U$257,113,FALSE)),"",(VLOOKUP($B172,'E-1 Off Site Hedge Baseline'!$B$1:$U$257,13,FALSE))))</f>
        <v/>
      </c>
      <c r="L172" s="507" t="str">
        <f>IF(B172="","",IF(ISNA(VLOOKUP($B172,'E-1 Off Site Hedge Baseline'!$B$1:$U$257,12,FALSE)),"",(VLOOKUP($B172,'E-1 Off Site Hedge Baseline'!$B$1:$U$257,12,FALSE))))</f>
        <v/>
      </c>
      <c r="M172" s="418" t="str">
        <f t="shared" si="24"/>
        <v/>
      </c>
      <c r="N172" s="498" t="str">
        <f>IFERROR(IF(B172="","",INDEX('G-6 Hedgerow Data'!$AN$3:$AZ$15,MATCH(C172,'G-6 Hedgerow Data'!$AM$3:$AM$15,0),MATCH(M172,'G-6 Hedgerow Data'!$AN$2:$AZ$2,0))),"")</f>
        <v/>
      </c>
      <c r="O172" s="499" t="str">
        <f t="shared" si="18"/>
        <v/>
      </c>
      <c r="P172" s="505" t="str">
        <f>IF(B172="","",VLOOKUP(B172,'E-1 Off Site Hedge Baseline'!$B$10:T417,16,FALSE))</f>
        <v/>
      </c>
      <c r="Q172" s="498" t="str">
        <f>IF(M172="","",VLOOKUP(M172,'G-6 Hedgerow Data'!$B$2:$AG$15,2,FALSE))</f>
        <v/>
      </c>
      <c r="R172" s="499" t="str">
        <f>IF(M172="","",VLOOKUP(M172,'G-6 Hedgerow Data'!$B$2:$AG$15,3,FALSE))</f>
        <v/>
      </c>
      <c r="S172" s="145"/>
      <c r="T172" s="499" t="str">
        <f>IFERROR(IF(AND(Q172="V.Low",OR(S172="Good",S172="Moderate")),"Error ▲",VLOOKUP(S172,'G-1 All Habitats'!$Z$2:$AA$9,2,FALSE)),"")</f>
        <v/>
      </c>
      <c r="U172" s="145"/>
      <c r="V172" s="507" t="str">
        <f>IF(U172="","",IF(VLOOKUP(U172,'G-3 Multipliers'!$L$3:$N$6,2,FALSE)=0,"Spatial Data Missing ⚠",VLOOKUP(U172,'G-3 Multipliers'!$L$3:$N$6,2,FALSE)))</f>
        <v/>
      </c>
      <c r="W172" s="505" t="str">
        <f>IF(U172="","",IF(VLOOKUP(U172,'G-3 Multipliers'!$L$3:$N$6,3,FALSE)=0,"Spatial Data Missing ⚠",VLOOKUP(U172,'G-3 Multipliers'!$L$3:$N$6,3,FALSE)))</f>
        <v/>
      </c>
      <c r="X172" s="498" t="str">
        <f>IFERROR(IF(OR(LEFT(O172,5)="Error ▲",LEFT(N172,5)="Error ▲",T172="Error ▲"),"Check Data ⚠",IF(F172&lt;R172,INDEX('G-6 Hedgerow Data'!$S$3:$AE$14,MATCH(C172,'G-6 Hedgerow Data'!$B$3:$B$14,0),MATCH(M172,'G-6 Hedgerow Data'!$S$2:$AE$2,0)),INDEX('G-6 Hedgerow Data'!$K$3:$Q$14,MATCH(M172,'G-6 Hedgerow Data'!$B$3:$B$14,0),MATCH(O172,'G-6 Hedgerow Data'!$K$2:$Q$2,0)))),"")</f>
        <v/>
      </c>
      <c r="Y172" s="195"/>
      <c r="Z172" s="195"/>
      <c r="AA172" s="507" t="str">
        <f t="shared" si="19"/>
        <v/>
      </c>
      <c r="AB172" s="521" t="str">
        <f t="shared" si="20"/>
        <v/>
      </c>
      <c r="AC172" s="522" t="str">
        <f t="shared" si="17"/>
        <v/>
      </c>
      <c r="AD172" s="537" t="str">
        <f>IF(M172="","",VLOOKUP(M172,'G-6 Hedgerow Data'!$B$3:$AG$15,31,FALSE))</f>
        <v/>
      </c>
      <c r="AE172" s="520" t="str">
        <f t="shared" si="21"/>
        <v/>
      </c>
      <c r="AF172" s="520" t="str">
        <f t="shared" si="22"/>
        <v/>
      </c>
      <c r="AG172" s="524" t="str">
        <f>IFERROR(IF(O172="","",VLOOKUP(AD172,'G-3 Multipliers'!$P$3:$Q$6,2,FALSE)),"")</f>
        <v/>
      </c>
      <c r="AH172" s="197"/>
      <c r="AI172" s="499" t="str">
        <f>IF(AH172="","",IF(VLOOKUP(AH172,'G-3 Multipliers'!$S$3:$T$6,2,FALSE)=0,"Spatial Data Missing ⚠",VLOOKUP(AH172,'G-3 Multipliers'!$S$3:$T$6,2,FALSE)))</f>
        <v/>
      </c>
      <c r="AJ172" s="545" t="str">
        <f t="shared" si="23"/>
        <v/>
      </c>
      <c r="AK172" s="149"/>
      <c r="AL172" s="150"/>
      <c r="AP172" s="31" t="str">
        <f>IFERROR(INDEX('G-6 Hedgerow Data'!$BJ$3:$BJ$15,MATCH(M172,'G-6 Hedgerow Data'!$B$3:$B$15,0)),"")</f>
        <v/>
      </c>
    </row>
    <row r="173" spans="2:42" ht="14" x14ac:dyDescent="0.3">
      <c r="B173" s="531" t="str">
        <f>'E-1 Off Site Hedge Baseline'!AK171</f>
        <v/>
      </c>
      <c r="C173" s="520" t="str">
        <f>IF(B173="","",IF(ISNA(VLOOKUP($B173,'E-1 Off Site Hedge Baseline'!$B$1:$L$257,3,FALSE)),"",(VLOOKUP($B173,'E-1 Off Site Hedge Baseline'!$B$1:$L$257,3,FALSE))))</f>
        <v/>
      </c>
      <c r="D173" s="520" t="str">
        <f>IF(B173="","",IF(ISNA(VLOOKUP($B173,'E-1 Off Site Hedge Baseline'!$B$1:$L$258,4,FALSE)),"",(VLOOKUP($B173,'E-1 Off Site Hedge Baseline'!$B$1:$L$258,4,FALSE))))</f>
        <v/>
      </c>
      <c r="E173" s="520" t="str">
        <f>IF(B173="","",IF(ISNA(VLOOKUP($B173,'E-1 Off Site Hedge Baseline'!$B$1:$L$257,5,FALSE)),"",(VLOOKUP($B173,'E-1 Off Site Hedge Baseline'!$B$1:$L$257,5,FALSE))))</f>
        <v/>
      </c>
      <c r="F173" s="520" t="str">
        <f>IF(B173="","",IF(ISNA(VLOOKUP($B173,'E-1 Off Site Hedge Baseline'!$B$1:$L$257,6,FALSE)),"",(VLOOKUP($B173,'E-1 Off Site Hedge Baseline'!$B$1:$L$257,6,FALSE))))</f>
        <v/>
      </c>
      <c r="G173" s="520" t="str">
        <f>IF(B173="","",IF(ISNA(VLOOKUP($B173,'E-1 Off Site Hedge Baseline'!$B$1:$L$257,7,FALSE)),"",(VLOOKUP($B173,'E-1 Off Site Hedge Baseline'!$B$1:$L$257,7,FALSE))))</f>
        <v/>
      </c>
      <c r="H173" s="520" t="str">
        <f>IF(B173="","",IF(ISNA(VLOOKUP($B173,'E-1 Off Site Hedge Baseline'!$B$1:$L$257,8,FALSE)),"",(VLOOKUP($B173,'E-1 Off Site Hedge Baseline'!$B$1:$L$257,8,FALSE))))</f>
        <v/>
      </c>
      <c r="I173" s="520" t="str">
        <f>IF(B173="","",IF(ISNA(VLOOKUP($B173,'E-1 Off Site Hedge Baseline'!$B$1:$L$257,10,FALSE)),"",(VLOOKUP($B173,'E-1 Off Site Hedge Baseline'!$B$1:$L$257,10,FALSE))))</f>
        <v/>
      </c>
      <c r="J173" s="520" t="str">
        <f>IF(B173="","",IF(ISNA(VLOOKUP($B173,'E-1 Off Site Hedge Baseline'!$B$1:$L$257,11,FALSE)),"",(VLOOKUP($B173,'E-1 Off Site Hedge Baseline'!$B$1:$L$257,11,FALSE))))</f>
        <v/>
      </c>
      <c r="K173" s="520" t="str">
        <f>IF(B173="","",IF(ISNA(VLOOKUP($B173,'E-1 Off Site Hedge Baseline'!$B$1:$U$257,113,FALSE)),"",(VLOOKUP($B173,'E-1 Off Site Hedge Baseline'!$B$1:$U$257,13,FALSE))))</f>
        <v/>
      </c>
      <c r="L173" s="507" t="str">
        <f>IF(B173="","",IF(ISNA(VLOOKUP($B173,'E-1 Off Site Hedge Baseline'!$B$1:$U$257,12,FALSE)),"",(VLOOKUP($B173,'E-1 Off Site Hedge Baseline'!$B$1:$U$257,12,FALSE))))</f>
        <v/>
      </c>
      <c r="M173" s="418" t="str">
        <f t="shared" si="24"/>
        <v/>
      </c>
      <c r="N173" s="498" t="str">
        <f>IFERROR(IF(B173="","",INDEX('G-6 Hedgerow Data'!$AN$3:$AZ$15,MATCH(C173,'G-6 Hedgerow Data'!$AM$3:$AM$15,0),MATCH(M173,'G-6 Hedgerow Data'!$AN$2:$AZ$2,0))),"")</f>
        <v/>
      </c>
      <c r="O173" s="499" t="str">
        <f t="shared" si="18"/>
        <v/>
      </c>
      <c r="P173" s="505" t="str">
        <f>IF(B173="","",VLOOKUP(B173,'E-1 Off Site Hedge Baseline'!$B$10:T418,16,FALSE))</f>
        <v/>
      </c>
      <c r="Q173" s="498" t="str">
        <f>IF(M173="","",VLOOKUP(M173,'G-6 Hedgerow Data'!$B$2:$AG$15,2,FALSE))</f>
        <v/>
      </c>
      <c r="R173" s="499" t="str">
        <f>IF(M173="","",VLOOKUP(M173,'G-6 Hedgerow Data'!$B$2:$AG$15,3,FALSE))</f>
        <v/>
      </c>
      <c r="S173" s="145"/>
      <c r="T173" s="499" t="str">
        <f>IFERROR(IF(AND(Q173="V.Low",OR(S173="Good",S173="Moderate")),"Error ▲",VLOOKUP(S173,'G-1 All Habitats'!$Z$2:$AA$9,2,FALSE)),"")</f>
        <v/>
      </c>
      <c r="U173" s="145"/>
      <c r="V173" s="507" t="str">
        <f>IF(U173="","",IF(VLOOKUP(U173,'G-3 Multipliers'!$L$3:$N$6,2,FALSE)=0,"Spatial Data Missing ⚠",VLOOKUP(U173,'G-3 Multipliers'!$L$3:$N$6,2,FALSE)))</f>
        <v/>
      </c>
      <c r="W173" s="505" t="str">
        <f>IF(U173="","",IF(VLOOKUP(U173,'G-3 Multipliers'!$L$3:$N$6,3,FALSE)=0,"Spatial Data Missing ⚠",VLOOKUP(U173,'G-3 Multipliers'!$L$3:$N$6,3,FALSE)))</f>
        <v/>
      </c>
      <c r="X173" s="498" t="str">
        <f>IFERROR(IF(OR(LEFT(O173,5)="Error ▲",LEFT(N173,5)="Error ▲",T173="Error ▲"),"Check Data ⚠",IF(F173&lt;R173,INDEX('G-6 Hedgerow Data'!$S$3:$AE$14,MATCH(C173,'G-6 Hedgerow Data'!$B$3:$B$14,0),MATCH(M173,'G-6 Hedgerow Data'!$S$2:$AE$2,0)),INDEX('G-6 Hedgerow Data'!$K$3:$Q$14,MATCH(M173,'G-6 Hedgerow Data'!$B$3:$B$14,0),MATCH(O173,'G-6 Hedgerow Data'!$K$2:$Q$2,0)))),"")</f>
        <v/>
      </c>
      <c r="Y173" s="195"/>
      <c r="Z173" s="195"/>
      <c r="AA173" s="507" t="str">
        <f t="shared" si="19"/>
        <v/>
      </c>
      <c r="AB173" s="521" t="str">
        <f t="shared" si="20"/>
        <v/>
      </c>
      <c r="AC173" s="522" t="str">
        <f t="shared" si="17"/>
        <v/>
      </c>
      <c r="AD173" s="537" t="str">
        <f>IF(M173="","",VLOOKUP(M173,'G-6 Hedgerow Data'!$B$3:$AG$15,31,FALSE))</f>
        <v/>
      </c>
      <c r="AE173" s="520" t="str">
        <f t="shared" si="21"/>
        <v/>
      </c>
      <c r="AF173" s="520" t="str">
        <f t="shared" si="22"/>
        <v/>
      </c>
      <c r="AG173" s="524" t="str">
        <f>IFERROR(IF(O173="","",VLOOKUP(AD173,'G-3 Multipliers'!$P$3:$Q$6,2,FALSE)),"")</f>
        <v/>
      </c>
      <c r="AH173" s="197"/>
      <c r="AI173" s="499" t="str">
        <f>IF(AH173="","",IF(VLOOKUP(AH173,'G-3 Multipliers'!$S$3:$T$6,2,FALSE)=0,"Spatial Data Missing ⚠",VLOOKUP(AH173,'G-3 Multipliers'!$S$3:$T$6,2,FALSE)))</f>
        <v/>
      </c>
      <c r="AJ173" s="545" t="str">
        <f t="shared" si="23"/>
        <v/>
      </c>
      <c r="AK173" s="149"/>
      <c r="AL173" s="150"/>
      <c r="AP173" s="31" t="str">
        <f>IFERROR(INDEX('G-6 Hedgerow Data'!$BJ$3:$BJ$15,MATCH(M173,'G-6 Hedgerow Data'!$B$3:$B$15,0)),"")</f>
        <v/>
      </c>
    </row>
    <row r="174" spans="2:42" ht="14" x14ac:dyDescent="0.3">
      <c r="B174" s="531" t="str">
        <f>'E-1 Off Site Hedge Baseline'!AK172</f>
        <v/>
      </c>
      <c r="C174" s="520" t="str">
        <f>IF(B174="","",IF(ISNA(VLOOKUP($B174,'E-1 Off Site Hedge Baseline'!$B$1:$L$257,3,FALSE)),"",(VLOOKUP($B174,'E-1 Off Site Hedge Baseline'!$B$1:$L$257,3,FALSE))))</f>
        <v/>
      </c>
      <c r="D174" s="520" t="str">
        <f>IF(B174="","",IF(ISNA(VLOOKUP($B174,'E-1 Off Site Hedge Baseline'!$B$1:$L$258,4,FALSE)),"",(VLOOKUP($B174,'E-1 Off Site Hedge Baseline'!$B$1:$L$258,4,FALSE))))</f>
        <v/>
      </c>
      <c r="E174" s="520" t="str">
        <f>IF(B174="","",IF(ISNA(VLOOKUP($B174,'E-1 Off Site Hedge Baseline'!$B$1:$L$257,5,FALSE)),"",(VLOOKUP($B174,'E-1 Off Site Hedge Baseline'!$B$1:$L$257,5,FALSE))))</f>
        <v/>
      </c>
      <c r="F174" s="520" t="str">
        <f>IF(B174="","",IF(ISNA(VLOOKUP($B174,'E-1 Off Site Hedge Baseline'!$B$1:$L$257,6,FALSE)),"",(VLOOKUP($B174,'E-1 Off Site Hedge Baseline'!$B$1:$L$257,6,FALSE))))</f>
        <v/>
      </c>
      <c r="G174" s="520" t="str">
        <f>IF(B174="","",IF(ISNA(VLOOKUP($B174,'E-1 Off Site Hedge Baseline'!$B$1:$L$257,7,FALSE)),"",(VLOOKUP($B174,'E-1 Off Site Hedge Baseline'!$B$1:$L$257,7,FALSE))))</f>
        <v/>
      </c>
      <c r="H174" s="520" t="str">
        <f>IF(B174="","",IF(ISNA(VLOOKUP($B174,'E-1 Off Site Hedge Baseline'!$B$1:$L$257,8,FALSE)),"",(VLOOKUP($B174,'E-1 Off Site Hedge Baseline'!$B$1:$L$257,8,FALSE))))</f>
        <v/>
      </c>
      <c r="I174" s="520" t="str">
        <f>IF(B174="","",IF(ISNA(VLOOKUP($B174,'E-1 Off Site Hedge Baseline'!$B$1:$L$257,10,FALSE)),"",(VLOOKUP($B174,'E-1 Off Site Hedge Baseline'!$B$1:$L$257,10,FALSE))))</f>
        <v/>
      </c>
      <c r="J174" s="520" t="str">
        <f>IF(B174="","",IF(ISNA(VLOOKUP($B174,'E-1 Off Site Hedge Baseline'!$B$1:$L$257,11,FALSE)),"",(VLOOKUP($B174,'E-1 Off Site Hedge Baseline'!$B$1:$L$257,11,FALSE))))</f>
        <v/>
      </c>
      <c r="K174" s="520" t="str">
        <f>IF(B174="","",IF(ISNA(VLOOKUP($B174,'E-1 Off Site Hedge Baseline'!$B$1:$U$257,113,FALSE)),"",(VLOOKUP($B174,'E-1 Off Site Hedge Baseline'!$B$1:$U$257,13,FALSE))))</f>
        <v/>
      </c>
      <c r="L174" s="507" t="str">
        <f>IF(B174="","",IF(ISNA(VLOOKUP($B174,'E-1 Off Site Hedge Baseline'!$B$1:$U$257,12,FALSE)),"",(VLOOKUP($B174,'E-1 Off Site Hedge Baseline'!$B$1:$U$257,12,FALSE))))</f>
        <v/>
      </c>
      <c r="M174" s="418" t="str">
        <f t="shared" si="24"/>
        <v/>
      </c>
      <c r="N174" s="498" t="str">
        <f>IFERROR(IF(B174="","",INDEX('G-6 Hedgerow Data'!$AN$3:$AZ$15,MATCH(C174,'G-6 Hedgerow Data'!$AM$3:$AM$15,0),MATCH(M174,'G-6 Hedgerow Data'!$AN$2:$AZ$2,0))),"")</f>
        <v/>
      </c>
      <c r="O174" s="499" t="str">
        <f t="shared" si="18"/>
        <v/>
      </c>
      <c r="P174" s="505" t="str">
        <f>IF(B174="","",VLOOKUP(B174,'E-1 Off Site Hedge Baseline'!$B$10:T419,16,FALSE))</f>
        <v/>
      </c>
      <c r="Q174" s="498" t="str">
        <f>IF(M174="","",VLOOKUP(M174,'G-6 Hedgerow Data'!$B$2:$AG$15,2,FALSE))</f>
        <v/>
      </c>
      <c r="R174" s="499" t="str">
        <f>IF(M174="","",VLOOKUP(M174,'G-6 Hedgerow Data'!$B$2:$AG$15,3,FALSE))</f>
        <v/>
      </c>
      <c r="S174" s="145"/>
      <c r="T174" s="499" t="str">
        <f>IFERROR(IF(AND(Q174="V.Low",OR(S174="Good",S174="Moderate")),"Error ▲",VLOOKUP(S174,'G-1 All Habitats'!$Z$2:$AA$9,2,FALSE)),"")</f>
        <v/>
      </c>
      <c r="U174" s="145"/>
      <c r="V174" s="507" t="str">
        <f>IF(U174="","",IF(VLOOKUP(U174,'G-3 Multipliers'!$L$3:$N$6,2,FALSE)=0,"Spatial Data Missing ⚠",VLOOKUP(U174,'G-3 Multipliers'!$L$3:$N$6,2,FALSE)))</f>
        <v/>
      </c>
      <c r="W174" s="505" t="str">
        <f>IF(U174="","",IF(VLOOKUP(U174,'G-3 Multipliers'!$L$3:$N$6,3,FALSE)=0,"Spatial Data Missing ⚠",VLOOKUP(U174,'G-3 Multipliers'!$L$3:$N$6,3,FALSE)))</f>
        <v/>
      </c>
      <c r="X174" s="498" t="str">
        <f>IFERROR(IF(OR(LEFT(O174,5)="Error ▲",LEFT(N174,5)="Error ▲",T174="Error ▲"),"Check Data ⚠",IF(F174&lt;R174,INDEX('G-6 Hedgerow Data'!$S$3:$AE$14,MATCH(C174,'G-6 Hedgerow Data'!$B$3:$B$14,0),MATCH(M174,'G-6 Hedgerow Data'!$S$2:$AE$2,0)),INDEX('G-6 Hedgerow Data'!$K$3:$Q$14,MATCH(M174,'G-6 Hedgerow Data'!$B$3:$B$14,0),MATCH(O174,'G-6 Hedgerow Data'!$K$2:$Q$2,0)))),"")</f>
        <v/>
      </c>
      <c r="Y174" s="195"/>
      <c r="Z174" s="195"/>
      <c r="AA174" s="507" t="str">
        <f t="shared" si="19"/>
        <v/>
      </c>
      <c r="AB174" s="521" t="str">
        <f t="shared" si="20"/>
        <v/>
      </c>
      <c r="AC174" s="522" t="str">
        <f t="shared" si="17"/>
        <v/>
      </c>
      <c r="AD174" s="537" t="str">
        <f>IF(M174="","",VLOOKUP(M174,'G-6 Hedgerow Data'!$B$3:$AG$15,31,FALSE))</f>
        <v/>
      </c>
      <c r="AE174" s="520" t="str">
        <f t="shared" si="21"/>
        <v/>
      </c>
      <c r="AF174" s="520" t="str">
        <f t="shared" si="22"/>
        <v/>
      </c>
      <c r="AG174" s="524" t="str">
        <f>IFERROR(IF(O174="","",VLOOKUP(AD174,'G-3 Multipliers'!$P$3:$Q$6,2,FALSE)),"")</f>
        <v/>
      </c>
      <c r="AH174" s="197"/>
      <c r="AI174" s="499" t="str">
        <f>IF(AH174="","",IF(VLOOKUP(AH174,'G-3 Multipliers'!$S$3:$T$6,2,FALSE)=0,"Spatial Data Missing ⚠",VLOOKUP(AH174,'G-3 Multipliers'!$S$3:$T$6,2,FALSE)))</f>
        <v/>
      </c>
      <c r="AJ174" s="545" t="str">
        <f t="shared" si="23"/>
        <v/>
      </c>
      <c r="AK174" s="149"/>
      <c r="AL174" s="150"/>
      <c r="AP174" s="31" t="str">
        <f>IFERROR(INDEX('G-6 Hedgerow Data'!$BJ$3:$BJ$15,MATCH(M174,'G-6 Hedgerow Data'!$B$3:$B$15,0)),"")</f>
        <v/>
      </c>
    </row>
    <row r="175" spans="2:42" ht="14" x14ac:dyDescent="0.3">
      <c r="B175" s="531" t="str">
        <f>'E-1 Off Site Hedge Baseline'!AK173</f>
        <v/>
      </c>
      <c r="C175" s="520" t="str">
        <f>IF(B175="","",IF(ISNA(VLOOKUP($B175,'E-1 Off Site Hedge Baseline'!$B$1:$L$257,3,FALSE)),"",(VLOOKUP($B175,'E-1 Off Site Hedge Baseline'!$B$1:$L$257,3,FALSE))))</f>
        <v/>
      </c>
      <c r="D175" s="520" t="str">
        <f>IF(B175="","",IF(ISNA(VLOOKUP($B175,'E-1 Off Site Hedge Baseline'!$B$1:$L$258,4,FALSE)),"",(VLOOKUP($B175,'E-1 Off Site Hedge Baseline'!$B$1:$L$258,4,FALSE))))</f>
        <v/>
      </c>
      <c r="E175" s="520" t="str">
        <f>IF(B175="","",IF(ISNA(VLOOKUP($B175,'E-1 Off Site Hedge Baseline'!$B$1:$L$257,5,FALSE)),"",(VLOOKUP($B175,'E-1 Off Site Hedge Baseline'!$B$1:$L$257,5,FALSE))))</f>
        <v/>
      </c>
      <c r="F175" s="520" t="str">
        <f>IF(B175="","",IF(ISNA(VLOOKUP($B175,'E-1 Off Site Hedge Baseline'!$B$1:$L$257,6,FALSE)),"",(VLOOKUP($B175,'E-1 Off Site Hedge Baseline'!$B$1:$L$257,6,FALSE))))</f>
        <v/>
      </c>
      <c r="G175" s="520" t="str">
        <f>IF(B175="","",IF(ISNA(VLOOKUP($B175,'E-1 Off Site Hedge Baseline'!$B$1:$L$257,7,FALSE)),"",(VLOOKUP($B175,'E-1 Off Site Hedge Baseline'!$B$1:$L$257,7,FALSE))))</f>
        <v/>
      </c>
      <c r="H175" s="520" t="str">
        <f>IF(B175="","",IF(ISNA(VLOOKUP($B175,'E-1 Off Site Hedge Baseline'!$B$1:$L$257,8,FALSE)),"",(VLOOKUP($B175,'E-1 Off Site Hedge Baseline'!$B$1:$L$257,8,FALSE))))</f>
        <v/>
      </c>
      <c r="I175" s="520" t="str">
        <f>IF(B175="","",IF(ISNA(VLOOKUP($B175,'E-1 Off Site Hedge Baseline'!$B$1:$L$257,10,FALSE)),"",(VLOOKUP($B175,'E-1 Off Site Hedge Baseline'!$B$1:$L$257,10,FALSE))))</f>
        <v/>
      </c>
      <c r="J175" s="520" t="str">
        <f>IF(B175="","",IF(ISNA(VLOOKUP($B175,'E-1 Off Site Hedge Baseline'!$B$1:$L$257,11,FALSE)),"",(VLOOKUP($B175,'E-1 Off Site Hedge Baseline'!$B$1:$L$257,11,FALSE))))</f>
        <v/>
      </c>
      <c r="K175" s="520" t="str">
        <f>IF(B175="","",IF(ISNA(VLOOKUP($B175,'E-1 Off Site Hedge Baseline'!$B$1:$U$257,113,FALSE)),"",(VLOOKUP($B175,'E-1 Off Site Hedge Baseline'!$B$1:$U$257,13,FALSE))))</f>
        <v/>
      </c>
      <c r="L175" s="507" t="str">
        <f>IF(B175="","",IF(ISNA(VLOOKUP($B175,'E-1 Off Site Hedge Baseline'!$B$1:$U$257,12,FALSE)),"",(VLOOKUP($B175,'E-1 Off Site Hedge Baseline'!$B$1:$U$257,12,FALSE))))</f>
        <v/>
      </c>
      <c r="M175" s="418" t="str">
        <f t="shared" si="24"/>
        <v/>
      </c>
      <c r="N175" s="498" t="str">
        <f>IFERROR(IF(B175="","",INDEX('G-6 Hedgerow Data'!$AN$3:$AZ$15,MATCH(C175,'G-6 Hedgerow Data'!$AM$3:$AM$15,0),MATCH(M175,'G-6 Hedgerow Data'!$AN$2:$AZ$2,0))),"")</f>
        <v/>
      </c>
      <c r="O175" s="499" t="str">
        <f t="shared" si="18"/>
        <v/>
      </c>
      <c r="P175" s="505" t="str">
        <f>IF(B175="","",VLOOKUP(B175,'E-1 Off Site Hedge Baseline'!$B$10:T420,16,FALSE))</f>
        <v/>
      </c>
      <c r="Q175" s="498" t="str">
        <f>IF(M175="","",VLOOKUP(M175,'G-6 Hedgerow Data'!$B$2:$AG$15,2,FALSE))</f>
        <v/>
      </c>
      <c r="R175" s="499" t="str">
        <f>IF(M175="","",VLOOKUP(M175,'G-6 Hedgerow Data'!$B$2:$AG$15,3,FALSE))</f>
        <v/>
      </c>
      <c r="S175" s="145"/>
      <c r="T175" s="499" t="str">
        <f>IFERROR(IF(AND(Q175="V.Low",OR(S175="Good",S175="Moderate")),"Error ▲",VLOOKUP(S175,'G-1 All Habitats'!$Z$2:$AA$9,2,FALSE)),"")</f>
        <v/>
      </c>
      <c r="U175" s="145"/>
      <c r="V175" s="507" t="str">
        <f>IF(U175="","",IF(VLOOKUP(U175,'G-3 Multipliers'!$L$3:$N$6,2,FALSE)=0,"Spatial Data Missing ⚠",VLOOKUP(U175,'G-3 Multipliers'!$L$3:$N$6,2,FALSE)))</f>
        <v/>
      </c>
      <c r="W175" s="505" t="str">
        <f>IF(U175="","",IF(VLOOKUP(U175,'G-3 Multipliers'!$L$3:$N$6,3,FALSE)=0,"Spatial Data Missing ⚠",VLOOKUP(U175,'G-3 Multipliers'!$L$3:$N$6,3,FALSE)))</f>
        <v/>
      </c>
      <c r="X175" s="498" t="str">
        <f>IFERROR(IF(OR(LEFT(O175,5)="Error ▲",LEFT(N175,5)="Error ▲",T175="Error ▲"),"Check Data ⚠",IF(F175&lt;R175,INDEX('G-6 Hedgerow Data'!$S$3:$AE$14,MATCH(C175,'G-6 Hedgerow Data'!$B$3:$B$14,0),MATCH(M175,'G-6 Hedgerow Data'!$S$2:$AE$2,0)),INDEX('G-6 Hedgerow Data'!$K$3:$Q$14,MATCH(M175,'G-6 Hedgerow Data'!$B$3:$B$14,0),MATCH(O175,'G-6 Hedgerow Data'!$K$2:$Q$2,0)))),"")</f>
        <v/>
      </c>
      <c r="Y175" s="195"/>
      <c r="Z175" s="195"/>
      <c r="AA175" s="507" t="str">
        <f t="shared" si="19"/>
        <v/>
      </c>
      <c r="AB175" s="521" t="str">
        <f t="shared" si="20"/>
        <v/>
      </c>
      <c r="AC175" s="522" t="str">
        <f t="shared" si="17"/>
        <v/>
      </c>
      <c r="AD175" s="537" t="str">
        <f>IF(M175="","",VLOOKUP(M175,'G-6 Hedgerow Data'!$B$3:$AG$15,31,FALSE))</f>
        <v/>
      </c>
      <c r="AE175" s="520" t="str">
        <f t="shared" si="21"/>
        <v/>
      </c>
      <c r="AF175" s="520" t="str">
        <f t="shared" si="22"/>
        <v/>
      </c>
      <c r="AG175" s="524" t="str">
        <f>IFERROR(IF(O175="","",VLOOKUP(AD175,'G-3 Multipliers'!$P$3:$Q$6,2,FALSE)),"")</f>
        <v/>
      </c>
      <c r="AH175" s="197"/>
      <c r="AI175" s="499" t="str">
        <f>IF(AH175="","",IF(VLOOKUP(AH175,'G-3 Multipliers'!$S$3:$T$6,2,FALSE)=0,"Spatial Data Missing ⚠",VLOOKUP(AH175,'G-3 Multipliers'!$S$3:$T$6,2,FALSE)))</f>
        <v/>
      </c>
      <c r="AJ175" s="545" t="str">
        <f t="shared" si="23"/>
        <v/>
      </c>
      <c r="AK175" s="149"/>
      <c r="AL175" s="150"/>
      <c r="AP175" s="31" t="str">
        <f>IFERROR(INDEX('G-6 Hedgerow Data'!$BJ$3:$BJ$15,MATCH(M175,'G-6 Hedgerow Data'!$B$3:$B$15,0)),"")</f>
        <v/>
      </c>
    </row>
    <row r="176" spans="2:42" ht="14" x14ac:dyDescent="0.3">
      <c r="B176" s="531" t="str">
        <f>'E-1 Off Site Hedge Baseline'!AK174</f>
        <v/>
      </c>
      <c r="C176" s="520" t="str">
        <f>IF(B176="","",IF(ISNA(VLOOKUP($B176,'E-1 Off Site Hedge Baseline'!$B$1:$L$257,3,FALSE)),"",(VLOOKUP($B176,'E-1 Off Site Hedge Baseline'!$B$1:$L$257,3,FALSE))))</f>
        <v/>
      </c>
      <c r="D176" s="520" t="str">
        <f>IF(B176="","",IF(ISNA(VLOOKUP($B176,'E-1 Off Site Hedge Baseline'!$B$1:$L$258,4,FALSE)),"",(VLOOKUP($B176,'E-1 Off Site Hedge Baseline'!$B$1:$L$258,4,FALSE))))</f>
        <v/>
      </c>
      <c r="E176" s="520" t="str">
        <f>IF(B176="","",IF(ISNA(VLOOKUP($B176,'E-1 Off Site Hedge Baseline'!$B$1:$L$257,5,FALSE)),"",(VLOOKUP($B176,'E-1 Off Site Hedge Baseline'!$B$1:$L$257,5,FALSE))))</f>
        <v/>
      </c>
      <c r="F176" s="520" t="str">
        <f>IF(B176="","",IF(ISNA(VLOOKUP($B176,'E-1 Off Site Hedge Baseline'!$B$1:$L$257,6,FALSE)),"",(VLOOKUP($B176,'E-1 Off Site Hedge Baseline'!$B$1:$L$257,6,FALSE))))</f>
        <v/>
      </c>
      <c r="G176" s="520" t="str">
        <f>IF(B176="","",IF(ISNA(VLOOKUP($B176,'E-1 Off Site Hedge Baseline'!$B$1:$L$257,7,FALSE)),"",(VLOOKUP($B176,'E-1 Off Site Hedge Baseline'!$B$1:$L$257,7,FALSE))))</f>
        <v/>
      </c>
      <c r="H176" s="520" t="str">
        <f>IF(B176="","",IF(ISNA(VLOOKUP($B176,'E-1 Off Site Hedge Baseline'!$B$1:$L$257,8,FALSE)),"",(VLOOKUP($B176,'E-1 Off Site Hedge Baseline'!$B$1:$L$257,8,FALSE))))</f>
        <v/>
      </c>
      <c r="I176" s="520" t="str">
        <f>IF(B176="","",IF(ISNA(VLOOKUP($B176,'E-1 Off Site Hedge Baseline'!$B$1:$L$257,10,FALSE)),"",(VLOOKUP($B176,'E-1 Off Site Hedge Baseline'!$B$1:$L$257,10,FALSE))))</f>
        <v/>
      </c>
      <c r="J176" s="520" t="str">
        <f>IF(B176="","",IF(ISNA(VLOOKUP($B176,'E-1 Off Site Hedge Baseline'!$B$1:$L$257,11,FALSE)),"",(VLOOKUP($B176,'E-1 Off Site Hedge Baseline'!$B$1:$L$257,11,FALSE))))</f>
        <v/>
      </c>
      <c r="K176" s="520" t="str">
        <f>IF(B176="","",IF(ISNA(VLOOKUP($B176,'E-1 Off Site Hedge Baseline'!$B$1:$U$257,113,FALSE)),"",(VLOOKUP($B176,'E-1 Off Site Hedge Baseline'!$B$1:$U$257,13,FALSE))))</f>
        <v/>
      </c>
      <c r="L176" s="507" t="str">
        <f>IF(B176="","",IF(ISNA(VLOOKUP($B176,'E-1 Off Site Hedge Baseline'!$B$1:$U$257,12,FALSE)),"",(VLOOKUP($B176,'E-1 Off Site Hedge Baseline'!$B$1:$U$257,12,FALSE))))</f>
        <v/>
      </c>
      <c r="M176" s="418" t="str">
        <f t="shared" si="24"/>
        <v/>
      </c>
      <c r="N176" s="498" t="str">
        <f>IFERROR(IF(B176="","",INDEX('G-6 Hedgerow Data'!$AN$3:$AZ$15,MATCH(C176,'G-6 Hedgerow Data'!$AM$3:$AM$15,0),MATCH(M176,'G-6 Hedgerow Data'!$AN$2:$AZ$2,0))),"")</f>
        <v/>
      </c>
      <c r="O176" s="499" t="str">
        <f t="shared" si="18"/>
        <v/>
      </c>
      <c r="P176" s="505" t="str">
        <f>IF(B176="","",VLOOKUP(B176,'E-1 Off Site Hedge Baseline'!$B$10:T421,16,FALSE))</f>
        <v/>
      </c>
      <c r="Q176" s="498" t="str">
        <f>IF(M176="","",VLOOKUP(M176,'G-6 Hedgerow Data'!$B$2:$AG$15,2,FALSE))</f>
        <v/>
      </c>
      <c r="R176" s="499" t="str">
        <f>IF(M176="","",VLOOKUP(M176,'G-6 Hedgerow Data'!$B$2:$AG$15,3,FALSE))</f>
        <v/>
      </c>
      <c r="S176" s="145"/>
      <c r="T176" s="499" t="str">
        <f>IFERROR(IF(AND(Q176="V.Low",OR(S176="Good",S176="Moderate")),"Error ▲",VLOOKUP(S176,'G-1 All Habitats'!$Z$2:$AA$9,2,FALSE)),"")</f>
        <v/>
      </c>
      <c r="U176" s="145"/>
      <c r="V176" s="507" t="str">
        <f>IF(U176="","",IF(VLOOKUP(U176,'G-3 Multipliers'!$L$3:$N$6,2,FALSE)=0,"Spatial Data Missing ⚠",VLOOKUP(U176,'G-3 Multipliers'!$L$3:$N$6,2,FALSE)))</f>
        <v/>
      </c>
      <c r="W176" s="505" t="str">
        <f>IF(U176="","",IF(VLOOKUP(U176,'G-3 Multipliers'!$L$3:$N$6,3,FALSE)=0,"Spatial Data Missing ⚠",VLOOKUP(U176,'G-3 Multipliers'!$L$3:$N$6,3,FALSE)))</f>
        <v/>
      </c>
      <c r="X176" s="498" t="str">
        <f>IFERROR(IF(OR(LEFT(O176,5)="Error ▲",LEFT(N176,5)="Error ▲",T176="Error ▲"),"Check Data ⚠",IF(F176&lt;R176,INDEX('G-6 Hedgerow Data'!$S$3:$AE$14,MATCH(C176,'G-6 Hedgerow Data'!$B$3:$B$14,0),MATCH(M176,'G-6 Hedgerow Data'!$S$2:$AE$2,0)),INDEX('G-6 Hedgerow Data'!$K$3:$Q$14,MATCH(M176,'G-6 Hedgerow Data'!$B$3:$B$14,0),MATCH(O176,'G-6 Hedgerow Data'!$K$2:$Q$2,0)))),"")</f>
        <v/>
      </c>
      <c r="Y176" s="195"/>
      <c r="Z176" s="195"/>
      <c r="AA176" s="507" t="str">
        <f t="shared" si="19"/>
        <v/>
      </c>
      <c r="AB176" s="521" t="str">
        <f t="shared" si="20"/>
        <v/>
      </c>
      <c r="AC176" s="522" t="str">
        <f t="shared" si="17"/>
        <v/>
      </c>
      <c r="AD176" s="537" t="str">
        <f>IF(M176="","",VLOOKUP(M176,'G-6 Hedgerow Data'!$B$3:$AG$15,31,FALSE))</f>
        <v/>
      </c>
      <c r="AE176" s="520" t="str">
        <f t="shared" si="21"/>
        <v/>
      </c>
      <c r="AF176" s="520" t="str">
        <f t="shared" si="22"/>
        <v/>
      </c>
      <c r="AG176" s="524" t="str">
        <f>IFERROR(IF(O176="","",VLOOKUP(AD176,'G-3 Multipliers'!$P$3:$Q$6,2,FALSE)),"")</f>
        <v/>
      </c>
      <c r="AH176" s="197"/>
      <c r="AI176" s="499" t="str">
        <f>IF(AH176="","",IF(VLOOKUP(AH176,'G-3 Multipliers'!$S$3:$T$6,2,FALSE)=0,"Spatial Data Missing ⚠",VLOOKUP(AH176,'G-3 Multipliers'!$S$3:$T$6,2,FALSE)))</f>
        <v/>
      </c>
      <c r="AJ176" s="545" t="str">
        <f t="shared" si="23"/>
        <v/>
      </c>
      <c r="AK176" s="149"/>
      <c r="AL176" s="150"/>
      <c r="AP176" s="31" t="str">
        <f>IFERROR(INDEX('G-6 Hedgerow Data'!$BJ$3:$BJ$15,MATCH(M176,'G-6 Hedgerow Data'!$B$3:$B$15,0)),"")</f>
        <v/>
      </c>
    </row>
    <row r="177" spans="2:42" ht="14" x14ac:dyDescent="0.3">
      <c r="B177" s="531" t="str">
        <f>'E-1 Off Site Hedge Baseline'!AK175</f>
        <v/>
      </c>
      <c r="C177" s="520" t="str">
        <f>IF(B177="","",IF(ISNA(VLOOKUP($B177,'E-1 Off Site Hedge Baseline'!$B$1:$L$257,3,FALSE)),"",(VLOOKUP($B177,'E-1 Off Site Hedge Baseline'!$B$1:$L$257,3,FALSE))))</f>
        <v/>
      </c>
      <c r="D177" s="520" t="str">
        <f>IF(B177="","",IF(ISNA(VLOOKUP($B177,'E-1 Off Site Hedge Baseline'!$B$1:$L$258,4,FALSE)),"",(VLOOKUP($B177,'E-1 Off Site Hedge Baseline'!$B$1:$L$258,4,FALSE))))</f>
        <v/>
      </c>
      <c r="E177" s="520" t="str">
        <f>IF(B177="","",IF(ISNA(VLOOKUP($B177,'E-1 Off Site Hedge Baseline'!$B$1:$L$257,5,FALSE)),"",(VLOOKUP($B177,'E-1 Off Site Hedge Baseline'!$B$1:$L$257,5,FALSE))))</f>
        <v/>
      </c>
      <c r="F177" s="520" t="str">
        <f>IF(B177="","",IF(ISNA(VLOOKUP($B177,'E-1 Off Site Hedge Baseline'!$B$1:$L$257,6,FALSE)),"",(VLOOKUP($B177,'E-1 Off Site Hedge Baseline'!$B$1:$L$257,6,FALSE))))</f>
        <v/>
      </c>
      <c r="G177" s="520" t="str">
        <f>IF(B177="","",IF(ISNA(VLOOKUP($B177,'E-1 Off Site Hedge Baseline'!$B$1:$L$257,7,FALSE)),"",(VLOOKUP($B177,'E-1 Off Site Hedge Baseline'!$B$1:$L$257,7,FALSE))))</f>
        <v/>
      </c>
      <c r="H177" s="520" t="str">
        <f>IF(B177="","",IF(ISNA(VLOOKUP($B177,'E-1 Off Site Hedge Baseline'!$B$1:$L$257,8,FALSE)),"",(VLOOKUP($B177,'E-1 Off Site Hedge Baseline'!$B$1:$L$257,8,FALSE))))</f>
        <v/>
      </c>
      <c r="I177" s="520" t="str">
        <f>IF(B177="","",IF(ISNA(VLOOKUP($B177,'E-1 Off Site Hedge Baseline'!$B$1:$L$257,10,FALSE)),"",(VLOOKUP($B177,'E-1 Off Site Hedge Baseline'!$B$1:$L$257,10,FALSE))))</f>
        <v/>
      </c>
      <c r="J177" s="520" t="str">
        <f>IF(B177="","",IF(ISNA(VLOOKUP($B177,'E-1 Off Site Hedge Baseline'!$B$1:$L$257,11,FALSE)),"",(VLOOKUP($B177,'E-1 Off Site Hedge Baseline'!$B$1:$L$257,11,FALSE))))</f>
        <v/>
      </c>
      <c r="K177" s="520" t="str">
        <f>IF(B177="","",IF(ISNA(VLOOKUP($B177,'E-1 Off Site Hedge Baseline'!$B$1:$U$257,113,FALSE)),"",(VLOOKUP($B177,'E-1 Off Site Hedge Baseline'!$B$1:$U$257,13,FALSE))))</f>
        <v/>
      </c>
      <c r="L177" s="507" t="str">
        <f>IF(B177="","",IF(ISNA(VLOOKUP($B177,'E-1 Off Site Hedge Baseline'!$B$1:$U$257,12,FALSE)),"",(VLOOKUP($B177,'E-1 Off Site Hedge Baseline'!$B$1:$U$257,12,FALSE))))</f>
        <v/>
      </c>
      <c r="M177" s="418" t="str">
        <f t="shared" si="24"/>
        <v/>
      </c>
      <c r="N177" s="498" t="str">
        <f>IFERROR(IF(B177="","",INDEX('G-6 Hedgerow Data'!$AN$3:$AZ$15,MATCH(C177,'G-6 Hedgerow Data'!$AM$3:$AM$15,0),MATCH(M177,'G-6 Hedgerow Data'!$AN$2:$AZ$2,0))),"")</f>
        <v/>
      </c>
      <c r="O177" s="499" t="str">
        <f t="shared" si="18"/>
        <v/>
      </c>
      <c r="P177" s="505" t="str">
        <f>IF(B177="","",VLOOKUP(B177,'E-1 Off Site Hedge Baseline'!$B$10:T422,16,FALSE))</f>
        <v/>
      </c>
      <c r="Q177" s="498" t="str">
        <f>IF(M177="","",VLOOKUP(M177,'G-6 Hedgerow Data'!$B$2:$AG$15,2,FALSE))</f>
        <v/>
      </c>
      <c r="R177" s="499" t="str">
        <f>IF(M177="","",VLOOKUP(M177,'G-6 Hedgerow Data'!$B$2:$AG$15,3,FALSE))</f>
        <v/>
      </c>
      <c r="S177" s="145"/>
      <c r="T177" s="499" t="str">
        <f>IFERROR(IF(AND(Q177="V.Low",OR(S177="Good",S177="Moderate")),"Error ▲",VLOOKUP(S177,'G-1 All Habitats'!$Z$2:$AA$9,2,FALSE)),"")</f>
        <v/>
      </c>
      <c r="U177" s="145"/>
      <c r="V177" s="507" t="str">
        <f>IF(U177="","",IF(VLOOKUP(U177,'G-3 Multipliers'!$L$3:$N$6,2,FALSE)=0,"Spatial Data Missing ⚠",VLOOKUP(U177,'G-3 Multipliers'!$L$3:$N$6,2,FALSE)))</f>
        <v/>
      </c>
      <c r="W177" s="505" t="str">
        <f>IF(U177="","",IF(VLOOKUP(U177,'G-3 Multipliers'!$L$3:$N$6,3,FALSE)=0,"Spatial Data Missing ⚠",VLOOKUP(U177,'G-3 Multipliers'!$L$3:$N$6,3,FALSE)))</f>
        <v/>
      </c>
      <c r="X177" s="498" t="str">
        <f>IFERROR(IF(OR(LEFT(O177,5)="Error ▲",LEFT(N177,5)="Error ▲",T177="Error ▲"),"Check Data ⚠",IF(F177&lt;R177,INDEX('G-6 Hedgerow Data'!$S$3:$AE$14,MATCH(C177,'G-6 Hedgerow Data'!$B$3:$B$14,0),MATCH(M177,'G-6 Hedgerow Data'!$S$2:$AE$2,0)),INDEX('G-6 Hedgerow Data'!$K$3:$Q$14,MATCH(M177,'G-6 Hedgerow Data'!$B$3:$B$14,0),MATCH(O177,'G-6 Hedgerow Data'!$K$2:$Q$2,0)))),"")</f>
        <v/>
      </c>
      <c r="Y177" s="195"/>
      <c r="Z177" s="195"/>
      <c r="AA177" s="507" t="str">
        <f t="shared" si="19"/>
        <v/>
      </c>
      <c r="AB177" s="521" t="str">
        <f t="shared" si="20"/>
        <v/>
      </c>
      <c r="AC177" s="522" t="str">
        <f t="shared" si="17"/>
        <v/>
      </c>
      <c r="AD177" s="537" t="str">
        <f>IF(M177="","",VLOOKUP(M177,'G-6 Hedgerow Data'!$B$3:$AG$15,31,FALSE))</f>
        <v/>
      </c>
      <c r="AE177" s="520" t="str">
        <f t="shared" si="21"/>
        <v/>
      </c>
      <c r="AF177" s="520" t="str">
        <f t="shared" si="22"/>
        <v/>
      </c>
      <c r="AG177" s="524" t="str">
        <f>IFERROR(IF(O177="","",VLOOKUP(AD177,'G-3 Multipliers'!$P$3:$Q$6,2,FALSE)),"")</f>
        <v/>
      </c>
      <c r="AH177" s="197"/>
      <c r="AI177" s="499" t="str">
        <f>IF(AH177="","",IF(VLOOKUP(AH177,'G-3 Multipliers'!$S$3:$T$6,2,FALSE)=0,"Spatial Data Missing ⚠",VLOOKUP(AH177,'G-3 Multipliers'!$S$3:$T$6,2,FALSE)))</f>
        <v/>
      </c>
      <c r="AJ177" s="545" t="str">
        <f t="shared" si="23"/>
        <v/>
      </c>
      <c r="AK177" s="149"/>
      <c r="AL177" s="150"/>
      <c r="AP177" s="31" t="str">
        <f>IFERROR(INDEX('G-6 Hedgerow Data'!$BJ$3:$BJ$15,MATCH(M177,'G-6 Hedgerow Data'!$B$3:$B$15,0)),"")</f>
        <v/>
      </c>
    </row>
    <row r="178" spans="2:42" ht="14" x14ac:dyDescent="0.3">
      <c r="B178" s="531" t="str">
        <f>'E-1 Off Site Hedge Baseline'!AK176</f>
        <v/>
      </c>
      <c r="C178" s="520" t="str">
        <f>IF(B178="","",IF(ISNA(VLOOKUP($B178,'E-1 Off Site Hedge Baseline'!$B$1:$L$257,3,FALSE)),"",(VLOOKUP($B178,'E-1 Off Site Hedge Baseline'!$B$1:$L$257,3,FALSE))))</f>
        <v/>
      </c>
      <c r="D178" s="520" t="str">
        <f>IF(B178="","",IF(ISNA(VLOOKUP($B178,'E-1 Off Site Hedge Baseline'!$B$1:$L$258,4,FALSE)),"",(VLOOKUP($B178,'E-1 Off Site Hedge Baseline'!$B$1:$L$258,4,FALSE))))</f>
        <v/>
      </c>
      <c r="E178" s="520" t="str">
        <f>IF(B178="","",IF(ISNA(VLOOKUP($B178,'E-1 Off Site Hedge Baseline'!$B$1:$L$257,5,FALSE)),"",(VLOOKUP($B178,'E-1 Off Site Hedge Baseline'!$B$1:$L$257,5,FALSE))))</f>
        <v/>
      </c>
      <c r="F178" s="520" t="str">
        <f>IF(B178="","",IF(ISNA(VLOOKUP($B178,'E-1 Off Site Hedge Baseline'!$B$1:$L$257,6,FALSE)),"",(VLOOKUP($B178,'E-1 Off Site Hedge Baseline'!$B$1:$L$257,6,FALSE))))</f>
        <v/>
      </c>
      <c r="G178" s="520" t="str">
        <f>IF(B178="","",IF(ISNA(VLOOKUP($B178,'E-1 Off Site Hedge Baseline'!$B$1:$L$257,7,FALSE)),"",(VLOOKUP($B178,'E-1 Off Site Hedge Baseline'!$B$1:$L$257,7,FALSE))))</f>
        <v/>
      </c>
      <c r="H178" s="520" t="str">
        <f>IF(B178="","",IF(ISNA(VLOOKUP($B178,'E-1 Off Site Hedge Baseline'!$B$1:$L$257,8,FALSE)),"",(VLOOKUP($B178,'E-1 Off Site Hedge Baseline'!$B$1:$L$257,8,FALSE))))</f>
        <v/>
      </c>
      <c r="I178" s="520" t="str">
        <f>IF(B178="","",IF(ISNA(VLOOKUP($B178,'E-1 Off Site Hedge Baseline'!$B$1:$L$257,10,FALSE)),"",(VLOOKUP($B178,'E-1 Off Site Hedge Baseline'!$B$1:$L$257,10,FALSE))))</f>
        <v/>
      </c>
      <c r="J178" s="520" t="str">
        <f>IF(B178="","",IF(ISNA(VLOOKUP($B178,'E-1 Off Site Hedge Baseline'!$B$1:$L$257,11,FALSE)),"",(VLOOKUP($B178,'E-1 Off Site Hedge Baseline'!$B$1:$L$257,11,FALSE))))</f>
        <v/>
      </c>
      <c r="K178" s="520" t="str">
        <f>IF(B178="","",IF(ISNA(VLOOKUP($B178,'E-1 Off Site Hedge Baseline'!$B$1:$U$257,113,FALSE)),"",(VLOOKUP($B178,'E-1 Off Site Hedge Baseline'!$B$1:$U$257,13,FALSE))))</f>
        <v/>
      </c>
      <c r="L178" s="507" t="str">
        <f>IF(B178="","",IF(ISNA(VLOOKUP($B178,'E-1 Off Site Hedge Baseline'!$B$1:$U$257,12,FALSE)),"",(VLOOKUP($B178,'E-1 Off Site Hedge Baseline'!$B$1:$U$257,12,FALSE))))</f>
        <v/>
      </c>
      <c r="M178" s="418" t="str">
        <f t="shared" si="24"/>
        <v/>
      </c>
      <c r="N178" s="498" t="str">
        <f>IFERROR(IF(B178="","",INDEX('G-6 Hedgerow Data'!$AN$3:$AZ$15,MATCH(C178,'G-6 Hedgerow Data'!$AM$3:$AM$15,0),MATCH(M178,'G-6 Hedgerow Data'!$AN$2:$AZ$2,0))),"")</f>
        <v/>
      </c>
      <c r="O178" s="499" t="str">
        <f t="shared" si="18"/>
        <v/>
      </c>
      <c r="P178" s="505" t="str">
        <f>IF(B178="","",VLOOKUP(B178,'E-1 Off Site Hedge Baseline'!$B$10:T423,16,FALSE))</f>
        <v/>
      </c>
      <c r="Q178" s="498" t="str">
        <f>IF(M178="","",VLOOKUP(M178,'G-6 Hedgerow Data'!$B$2:$AG$15,2,FALSE))</f>
        <v/>
      </c>
      <c r="R178" s="499" t="str">
        <f>IF(M178="","",VLOOKUP(M178,'G-6 Hedgerow Data'!$B$2:$AG$15,3,FALSE))</f>
        <v/>
      </c>
      <c r="S178" s="145"/>
      <c r="T178" s="499" t="str">
        <f>IFERROR(IF(AND(Q178="V.Low",OR(S178="Good",S178="Moderate")),"Error ▲",VLOOKUP(S178,'G-1 All Habitats'!$Z$2:$AA$9,2,FALSE)),"")</f>
        <v/>
      </c>
      <c r="U178" s="145"/>
      <c r="V178" s="507" t="str">
        <f>IF(U178="","",IF(VLOOKUP(U178,'G-3 Multipliers'!$L$3:$N$6,2,FALSE)=0,"Spatial Data Missing ⚠",VLOOKUP(U178,'G-3 Multipliers'!$L$3:$N$6,2,FALSE)))</f>
        <v/>
      </c>
      <c r="W178" s="505" t="str">
        <f>IF(U178="","",IF(VLOOKUP(U178,'G-3 Multipliers'!$L$3:$N$6,3,FALSE)=0,"Spatial Data Missing ⚠",VLOOKUP(U178,'G-3 Multipliers'!$L$3:$N$6,3,FALSE)))</f>
        <v/>
      </c>
      <c r="X178" s="498" t="str">
        <f>IFERROR(IF(OR(LEFT(O178,5)="Error ▲",LEFT(N178,5)="Error ▲",T178="Error ▲"),"Check Data ⚠",IF(F178&lt;R178,INDEX('G-6 Hedgerow Data'!$S$3:$AE$14,MATCH(C178,'G-6 Hedgerow Data'!$B$3:$B$14,0),MATCH(M178,'G-6 Hedgerow Data'!$S$2:$AE$2,0)),INDEX('G-6 Hedgerow Data'!$K$3:$Q$14,MATCH(M178,'G-6 Hedgerow Data'!$B$3:$B$14,0),MATCH(O178,'G-6 Hedgerow Data'!$K$2:$Q$2,0)))),"")</f>
        <v/>
      </c>
      <c r="Y178" s="195"/>
      <c r="Z178" s="195"/>
      <c r="AA178" s="507" t="str">
        <f t="shared" si="19"/>
        <v/>
      </c>
      <c r="AB178" s="521" t="str">
        <f t="shared" si="20"/>
        <v/>
      </c>
      <c r="AC178" s="522" t="str">
        <f t="shared" si="17"/>
        <v/>
      </c>
      <c r="AD178" s="537" t="str">
        <f>IF(M178="","",VLOOKUP(M178,'G-6 Hedgerow Data'!$B$3:$AG$15,31,FALSE))</f>
        <v/>
      </c>
      <c r="AE178" s="520" t="str">
        <f t="shared" si="21"/>
        <v/>
      </c>
      <c r="AF178" s="520" t="str">
        <f t="shared" si="22"/>
        <v/>
      </c>
      <c r="AG178" s="524" t="str">
        <f>IFERROR(IF(O178="","",VLOOKUP(AD178,'G-3 Multipliers'!$P$3:$Q$6,2,FALSE)),"")</f>
        <v/>
      </c>
      <c r="AH178" s="197"/>
      <c r="AI178" s="499" t="str">
        <f>IF(AH178="","",IF(VLOOKUP(AH178,'G-3 Multipliers'!$S$3:$T$6,2,FALSE)=0,"Spatial Data Missing ⚠",VLOOKUP(AH178,'G-3 Multipliers'!$S$3:$T$6,2,FALSE)))</f>
        <v/>
      </c>
      <c r="AJ178" s="545" t="str">
        <f t="shared" si="23"/>
        <v/>
      </c>
      <c r="AK178" s="149"/>
      <c r="AL178" s="150"/>
      <c r="AP178" s="31" t="str">
        <f>IFERROR(INDEX('G-6 Hedgerow Data'!$BJ$3:$BJ$15,MATCH(M178,'G-6 Hedgerow Data'!$B$3:$B$15,0)),"")</f>
        <v/>
      </c>
    </row>
    <row r="179" spans="2:42" ht="14" x14ac:dyDescent="0.3">
      <c r="B179" s="531" t="str">
        <f>'E-1 Off Site Hedge Baseline'!AK177</f>
        <v/>
      </c>
      <c r="C179" s="520" t="str">
        <f>IF(B179="","",IF(ISNA(VLOOKUP($B179,'E-1 Off Site Hedge Baseline'!$B$1:$L$257,3,FALSE)),"",(VLOOKUP($B179,'E-1 Off Site Hedge Baseline'!$B$1:$L$257,3,FALSE))))</f>
        <v/>
      </c>
      <c r="D179" s="520" t="str">
        <f>IF(B179="","",IF(ISNA(VLOOKUP($B179,'E-1 Off Site Hedge Baseline'!$B$1:$L$258,4,FALSE)),"",(VLOOKUP($B179,'E-1 Off Site Hedge Baseline'!$B$1:$L$258,4,FALSE))))</f>
        <v/>
      </c>
      <c r="E179" s="520" t="str">
        <f>IF(B179="","",IF(ISNA(VLOOKUP($B179,'E-1 Off Site Hedge Baseline'!$B$1:$L$257,5,FALSE)),"",(VLOOKUP($B179,'E-1 Off Site Hedge Baseline'!$B$1:$L$257,5,FALSE))))</f>
        <v/>
      </c>
      <c r="F179" s="520" t="str">
        <f>IF(B179="","",IF(ISNA(VLOOKUP($B179,'E-1 Off Site Hedge Baseline'!$B$1:$L$257,6,FALSE)),"",(VLOOKUP($B179,'E-1 Off Site Hedge Baseline'!$B$1:$L$257,6,FALSE))))</f>
        <v/>
      </c>
      <c r="G179" s="520" t="str">
        <f>IF(B179="","",IF(ISNA(VLOOKUP($B179,'E-1 Off Site Hedge Baseline'!$B$1:$L$257,7,FALSE)),"",(VLOOKUP($B179,'E-1 Off Site Hedge Baseline'!$B$1:$L$257,7,FALSE))))</f>
        <v/>
      </c>
      <c r="H179" s="520" t="str">
        <f>IF(B179="","",IF(ISNA(VLOOKUP($B179,'E-1 Off Site Hedge Baseline'!$B$1:$L$257,8,FALSE)),"",(VLOOKUP($B179,'E-1 Off Site Hedge Baseline'!$B$1:$L$257,8,FALSE))))</f>
        <v/>
      </c>
      <c r="I179" s="520" t="str">
        <f>IF(B179="","",IF(ISNA(VLOOKUP($B179,'E-1 Off Site Hedge Baseline'!$B$1:$L$257,10,FALSE)),"",(VLOOKUP($B179,'E-1 Off Site Hedge Baseline'!$B$1:$L$257,10,FALSE))))</f>
        <v/>
      </c>
      <c r="J179" s="520" t="str">
        <f>IF(B179="","",IF(ISNA(VLOOKUP($B179,'E-1 Off Site Hedge Baseline'!$B$1:$L$257,11,FALSE)),"",(VLOOKUP($B179,'E-1 Off Site Hedge Baseline'!$B$1:$L$257,11,FALSE))))</f>
        <v/>
      </c>
      <c r="K179" s="520" t="str">
        <f>IF(B179="","",IF(ISNA(VLOOKUP($B179,'E-1 Off Site Hedge Baseline'!$B$1:$U$257,113,FALSE)),"",(VLOOKUP($B179,'E-1 Off Site Hedge Baseline'!$B$1:$U$257,13,FALSE))))</f>
        <v/>
      </c>
      <c r="L179" s="507" t="str">
        <f>IF(B179="","",IF(ISNA(VLOOKUP($B179,'E-1 Off Site Hedge Baseline'!$B$1:$U$257,12,FALSE)),"",(VLOOKUP($B179,'E-1 Off Site Hedge Baseline'!$B$1:$U$257,12,FALSE))))</f>
        <v/>
      </c>
      <c r="M179" s="418" t="str">
        <f t="shared" si="24"/>
        <v/>
      </c>
      <c r="N179" s="498" t="str">
        <f>IFERROR(IF(B179="","",INDEX('G-6 Hedgerow Data'!$AN$3:$AZ$15,MATCH(C179,'G-6 Hedgerow Data'!$AM$3:$AM$15,0),MATCH(M179,'G-6 Hedgerow Data'!$AN$2:$AZ$2,0))),"")</f>
        <v/>
      </c>
      <c r="O179" s="499" t="str">
        <f t="shared" si="18"/>
        <v/>
      </c>
      <c r="P179" s="505" t="str">
        <f>IF(B179="","",VLOOKUP(B179,'E-1 Off Site Hedge Baseline'!$B$10:T424,16,FALSE))</f>
        <v/>
      </c>
      <c r="Q179" s="498" t="str">
        <f>IF(M179="","",VLOOKUP(M179,'G-6 Hedgerow Data'!$B$2:$AG$15,2,FALSE))</f>
        <v/>
      </c>
      <c r="R179" s="499" t="str">
        <f>IF(M179="","",VLOOKUP(M179,'G-6 Hedgerow Data'!$B$2:$AG$15,3,FALSE))</f>
        <v/>
      </c>
      <c r="S179" s="145"/>
      <c r="T179" s="499" t="str">
        <f>IFERROR(IF(AND(Q179="V.Low",OR(S179="Good",S179="Moderate")),"Error ▲",VLOOKUP(S179,'G-1 All Habitats'!$Z$2:$AA$9,2,FALSE)),"")</f>
        <v/>
      </c>
      <c r="U179" s="145"/>
      <c r="V179" s="507" t="str">
        <f>IF(U179="","",IF(VLOOKUP(U179,'G-3 Multipliers'!$L$3:$N$6,2,FALSE)=0,"Spatial Data Missing ⚠",VLOOKUP(U179,'G-3 Multipliers'!$L$3:$N$6,2,FALSE)))</f>
        <v/>
      </c>
      <c r="W179" s="505" t="str">
        <f>IF(U179="","",IF(VLOOKUP(U179,'G-3 Multipliers'!$L$3:$N$6,3,FALSE)=0,"Spatial Data Missing ⚠",VLOOKUP(U179,'G-3 Multipliers'!$L$3:$N$6,3,FALSE)))</f>
        <v/>
      </c>
      <c r="X179" s="498" t="str">
        <f>IFERROR(IF(OR(LEFT(O179,5)="Error ▲",LEFT(N179,5)="Error ▲",T179="Error ▲"),"Check Data ⚠",IF(F179&lt;R179,INDEX('G-6 Hedgerow Data'!$S$3:$AE$14,MATCH(C179,'G-6 Hedgerow Data'!$B$3:$B$14,0),MATCH(M179,'G-6 Hedgerow Data'!$S$2:$AE$2,0)),INDEX('G-6 Hedgerow Data'!$K$3:$Q$14,MATCH(M179,'G-6 Hedgerow Data'!$B$3:$B$14,0),MATCH(O179,'G-6 Hedgerow Data'!$K$2:$Q$2,0)))),"")</f>
        <v/>
      </c>
      <c r="Y179" s="195"/>
      <c r="Z179" s="195"/>
      <c r="AA179" s="507" t="str">
        <f t="shared" si="19"/>
        <v/>
      </c>
      <c r="AB179" s="521" t="str">
        <f t="shared" si="20"/>
        <v/>
      </c>
      <c r="AC179" s="522" t="str">
        <f t="shared" si="17"/>
        <v/>
      </c>
      <c r="AD179" s="537" t="str">
        <f>IF(M179="","",VLOOKUP(M179,'G-6 Hedgerow Data'!$B$3:$AG$15,31,FALSE))</f>
        <v/>
      </c>
      <c r="AE179" s="520" t="str">
        <f t="shared" si="21"/>
        <v/>
      </c>
      <c r="AF179" s="520" t="str">
        <f t="shared" si="22"/>
        <v/>
      </c>
      <c r="AG179" s="524" t="str">
        <f>IFERROR(IF(O179="","",VLOOKUP(AD179,'G-3 Multipliers'!$P$3:$Q$6,2,FALSE)),"")</f>
        <v/>
      </c>
      <c r="AH179" s="197"/>
      <c r="AI179" s="499" t="str">
        <f>IF(AH179="","",IF(VLOOKUP(AH179,'G-3 Multipliers'!$S$3:$T$6,2,FALSE)=0,"Spatial Data Missing ⚠",VLOOKUP(AH179,'G-3 Multipliers'!$S$3:$T$6,2,FALSE)))</f>
        <v/>
      </c>
      <c r="AJ179" s="545" t="str">
        <f t="shared" si="23"/>
        <v/>
      </c>
      <c r="AK179" s="149"/>
      <c r="AL179" s="150"/>
      <c r="AP179" s="31" t="str">
        <f>IFERROR(INDEX('G-6 Hedgerow Data'!$BJ$3:$BJ$15,MATCH(M179,'G-6 Hedgerow Data'!$B$3:$B$15,0)),"")</f>
        <v/>
      </c>
    </row>
    <row r="180" spans="2:42" ht="14" x14ac:dyDescent="0.3">
      <c r="B180" s="531" t="str">
        <f>'E-1 Off Site Hedge Baseline'!AK178</f>
        <v/>
      </c>
      <c r="C180" s="520" t="str">
        <f>IF(B180="","",IF(ISNA(VLOOKUP($B180,'E-1 Off Site Hedge Baseline'!$B$1:$L$257,3,FALSE)),"",(VLOOKUP($B180,'E-1 Off Site Hedge Baseline'!$B$1:$L$257,3,FALSE))))</f>
        <v/>
      </c>
      <c r="D180" s="520" t="str">
        <f>IF(B180="","",IF(ISNA(VLOOKUP($B180,'E-1 Off Site Hedge Baseline'!$B$1:$L$258,4,FALSE)),"",(VLOOKUP($B180,'E-1 Off Site Hedge Baseline'!$B$1:$L$258,4,FALSE))))</f>
        <v/>
      </c>
      <c r="E180" s="520" t="str">
        <f>IF(B180="","",IF(ISNA(VLOOKUP($B180,'E-1 Off Site Hedge Baseline'!$B$1:$L$257,5,FALSE)),"",(VLOOKUP($B180,'E-1 Off Site Hedge Baseline'!$B$1:$L$257,5,FALSE))))</f>
        <v/>
      </c>
      <c r="F180" s="520" t="str">
        <f>IF(B180="","",IF(ISNA(VLOOKUP($B180,'E-1 Off Site Hedge Baseline'!$B$1:$L$257,6,FALSE)),"",(VLOOKUP($B180,'E-1 Off Site Hedge Baseline'!$B$1:$L$257,6,FALSE))))</f>
        <v/>
      </c>
      <c r="G180" s="520" t="str">
        <f>IF(B180="","",IF(ISNA(VLOOKUP($B180,'E-1 Off Site Hedge Baseline'!$B$1:$L$257,7,FALSE)),"",(VLOOKUP($B180,'E-1 Off Site Hedge Baseline'!$B$1:$L$257,7,FALSE))))</f>
        <v/>
      </c>
      <c r="H180" s="520" t="str">
        <f>IF(B180="","",IF(ISNA(VLOOKUP($B180,'E-1 Off Site Hedge Baseline'!$B$1:$L$257,8,FALSE)),"",(VLOOKUP($B180,'E-1 Off Site Hedge Baseline'!$B$1:$L$257,8,FALSE))))</f>
        <v/>
      </c>
      <c r="I180" s="520" t="str">
        <f>IF(B180="","",IF(ISNA(VLOOKUP($B180,'E-1 Off Site Hedge Baseline'!$B$1:$L$257,10,FALSE)),"",(VLOOKUP($B180,'E-1 Off Site Hedge Baseline'!$B$1:$L$257,10,FALSE))))</f>
        <v/>
      </c>
      <c r="J180" s="520" t="str">
        <f>IF(B180="","",IF(ISNA(VLOOKUP($B180,'E-1 Off Site Hedge Baseline'!$B$1:$L$257,11,FALSE)),"",(VLOOKUP($B180,'E-1 Off Site Hedge Baseline'!$B$1:$L$257,11,FALSE))))</f>
        <v/>
      </c>
      <c r="K180" s="520" t="str">
        <f>IF(B180="","",IF(ISNA(VLOOKUP($B180,'E-1 Off Site Hedge Baseline'!$B$1:$U$257,113,FALSE)),"",(VLOOKUP($B180,'E-1 Off Site Hedge Baseline'!$B$1:$U$257,13,FALSE))))</f>
        <v/>
      </c>
      <c r="L180" s="507" t="str">
        <f>IF(B180="","",IF(ISNA(VLOOKUP($B180,'E-1 Off Site Hedge Baseline'!$B$1:$U$257,12,FALSE)),"",(VLOOKUP($B180,'E-1 Off Site Hedge Baseline'!$B$1:$U$257,12,FALSE))))</f>
        <v/>
      </c>
      <c r="M180" s="418" t="str">
        <f t="shared" si="24"/>
        <v/>
      </c>
      <c r="N180" s="498" t="str">
        <f>IFERROR(IF(B180="","",INDEX('G-6 Hedgerow Data'!$AN$3:$AZ$15,MATCH(C180,'G-6 Hedgerow Data'!$AM$3:$AM$15,0),MATCH(M180,'G-6 Hedgerow Data'!$AN$2:$AZ$2,0))),"")</f>
        <v/>
      </c>
      <c r="O180" s="499" t="str">
        <f t="shared" si="18"/>
        <v/>
      </c>
      <c r="P180" s="505" t="str">
        <f>IF(B180="","",VLOOKUP(B180,'E-1 Off Site Hedge Baseline'!$B$10:T425,16,FALSE))</f>
        <v/>
      </c>
      <c r="Q180" s="498" t="str">
        <f>IF(M180="","",VLOOKUP(M180,'G-6 Hedgerow Data'!$B$2:$AG$15,2,FALSE))</f>
        <v/>
      </c>
      <c r="R180" s="499" t="str">
        <f>IF(M180="","",VLOOKUP(M180,'G-6 Hedgerow Data'!$B$2:$AG$15,3,FALSE))</f>
        <v/>
      </c>
      <c r="S180" s="145"/>
      <c r="T180" s="499" t="str">
        <f>IFERROR(IF(AND(Q180="V.Low",OR(S180="Good",S180="Moderate")),"Error ▲",VLOOKUP(S180,'G-1 All Habitats'!$Z$2:$AA$9,2,FALSE)),"")</f>
        <v/>
      </c>
      <c r="U180" s="145"/>
      <c r="V180" s="507" t="str">
        <f>IF(U180="","",IF(VLOOKUP(U180,'G-3 Multipliers'!$L$3:$N$6,2,FALSE)=0,"Spatial Data Missing ⚠",VLOOKUP(U180,'G-3 Multipliers'!$L$3:$N$6,2,FALSE)))</f>
        <v/>
      </c>
      <c r="W180" s="505" t="str">
        <f>IF(U180="","",IF(VLOOKUP(U180,'G-3 Multipliers'!$L$3:$N$6,3,FALSE)=0,"Spatial Data Missing ⚠",VLOOKUP(U180,'G-3 Multipliers'!$L$3:$N$6,3,FALSE)))</f>
        <v/>
      </c>
      <c r="X180" s="498" t="str">
        <f>IFERROR(IF(OR(LEFT(O180,5)="Error ▲",LEFT(N180,5)="Error ▲",T180="Error ▲"),"Check Data ⚠",IF(F180&lt;R180,INDEX('G-6 Hedgerow Data'!$S$3:$AE$14,MATCH(C180,'G-6 Hedgerow Data'!$B$3:$B$14,0),MATCH(M180,'G-6 Hedgerow Data'!$S$2:$AE$2,0)),INDEX('G-6 Hedgerow Data'!$K$3:$Q$14,MATCH(M180,'G-6 Hedgerow Data'!$B$3:$B$14,0),MATCH(O180,'G-6 Hedgerow Data'!$K$2:$Q$2,0)))),"")</f>
        <v/>
      </c>
      <c r="Y180" s="195"/>
      <c r="Z180" s="195"/>
      <c r="AA180" s="507" t="str">
        <f t="shared" si="19"/>
        <v/>
      </c>
      <c r="AB180" s="521" t="str">
        <f t="shared" si="20"/>
        <v/>
      </c>
      <c r="AC180" s="522" t="str">
        <f t="shared" si="17"/>
        <v/>
      </c>
      <c r="AD180" s="537" t="str">
        <f>IF(M180="","",VLOOKUP(M180,'G-6 Hedgerow Data'!$B$3:$AG$15,31,FALSE))</f>
        <v/>
      </c>
      <c r="AE180" s="520" t="str">
        <f t="shared" si="21"/>
        <v/>
      </c>
      <c r="AF180" s="520" t="str">
        <f t="shared" si="22"/>
        <v/>
      </c>
      <c r="AG180" s="524" t="str">
        <f>IFERROR(IF(O180="","",VLOOKUP(AD180,'G-3 Multipliers'!$P$3:$Q$6,2,FALSE)),"")</f>
        <v/>
      </c>
      <c r="AH180" s="197"/>
      <c r="AI180" s="499" t="str">
        <f>IF(AH180="","",IF(VLOOKUP(AH180,'G-3 Multipliers'!$S$3:$T$6,2,FALSE)=0,"Spatial Data Missing ⚠",VLOOKUP(AH180,'G-3 Multipliers'!$S$3:$T$6,2,FALSE)))</f>
        <v/>
      </c>
      <c r="AJ180" s="545" t="str">
        <f t="shared" si="23"/>
        <v/>
      </c>
      <c r="AK180" s="149"/>
      <c r="AL180" s="150"/>
      <c r="AP180" s="31" t="str">
        <f>IFERROR(INDEX('G-6 Hedgerow Data'!$BJ$3:$BJ$15,MATCH(M180,'G-6 Hedgerow Data'!$B$3:$B$15,0)),"")</f>
        <v/>
      </c>
    </row>
    <row r="181" spans="2:42" ht="14" x14ac:dyDescent="0.3">
      <c r="B181" s="531" t="str">
        <f>'E-1 Off Site Hedge Baseline'!AK179</f>
        <v/>
      </c>
      <c r="C181" s="520" t="str">
        <f>IF(B181="","",IF(ISNA(VLOOKUP($B181,'E-1 Off Site Hedge Baseline'!$B$1:$L$257,3,FALSE)),"",(VLOOKUP($B181,'E-1 Off Site Hedge Baseline'!$B$1:$L$257,3,FALSE))))</f>
        <v/>
      </c>
      <c r="D181" s="520" t="str">
        <f>IF(B181="","",IF(ISNA(VLOOKUP($B181,'E-1 Off Site Hedge Baseline'!$B$1:$L$258,4,FALSE)),"",(VLOOKUP($B181,'E-1 Off Site Hedge Baseline'!$B$1:$L$258,4,FALSE))))</f>
        <v/>
      </c>
      <c r="E181" s="520" t="str">
        <f>IF(B181="","",IF(ISNA(VLOOKUP($B181,'E-1 Off Site Hedge Baseline'!$B$1:$L$257,5,FALSE)),"",(VLOOKUP($B181,'E-1 Off Site Hedge Baseline'!$B$1:$L$257,5,FALSE))))</f>
        <v/>
      </c>
      <c r="F181" s="520" t="str">
        <f>IF(B181="","",IF(ISNA(VLOOKUP($B181,'E-1 Off Site Hedge Baseline'!$B$1:$L$257,6,FALSE)),"",(VLOOKUP($B181,'E-1 Off Site Hedge Baseline'!$B$1:$L$257,6,FALSE))))</f>
        <v/>
      </c>
      <c r="G181" s="520" t="str">
        <f>IF(B181="","",IF(ISNA(VLOOKUP($B181,'E-1 Off Site Hedge Baseline'!$B$1:$L$257,7,FALSE)),"",(VLOOKUP($B181,'E-1 Off Site Hedge Baseline'!$B$1:$L$257,7,FALSE))))</f>
        <v/>
      </c>
      <c r="H181" s="520" t="str">
        <f>IF(B181="","",IF(ISNA(VLOOKUP($B181,'E-1 Off Site Hedge Baseline'!$B$1:$L$257,8,FALSE)),"",(VLOOKUP($B181,'E-1 Off Site Hedge Baseline'!$B$1:$L$257,8,FALSE))))</f>
        <v/>
      </c>
      <c r="I181" s="520" t="str">
        <f>IF(B181="","",IF(ISNA(VLOOKUP($B181,'E-1 Off Site Hedge Baseline'!$B$1:$L$257,10,FALSE)),"",(VLOOKUP($B181,'E-1 Off Site Hedge Baseline'!$B$1:$L$257,10,FALSE))))</f>
        <v/>
      </c>
      <c r="J181" s="520" t="str">
        <f>IF(B181="","",IF(ISNA(VLOOKUP($B181,'E-1 Off Site Hedge Baseline'!$B$1:$L$257,11,FALSE)),"",(VLOOKUP($B181,'E-1 Off Site Hedge Baseline'!$B$1:$L$257,11,FALSE))))</f>
        <v/>
      </c>
      <c r="K181" s="520" t="str">
        <f>IF(B181="","",IF(ISNA(VLOOKUP($B181,'E-1 Off Site Hedge Baseline'!$B$1:$U$257,113,FALSE)),"",(VLOOKUP($B181,'E-1 Off Site Hedge Baseline'!$B$1:$U$257,13,FALSE))))</f>
        <v/>
      </c>
      <c r="L181" s="507" t="str">
        <f>IF(B181="","",IF(ISNA(VLOOKUP($B181,'E-1 Off Site Hedge Baseline'!$B$1:$U$257,12,FALSE)),"",(VLOOKUP($B181,'E-1 Off Site Hedge Baseline'!$B$1:$U$257,12,FALSE))))</f>
        <v/>
      </c>
      <c r="M181" s="418" t="str">
        <f t="shared" si="24"/>
        <v/>
      </c>
      <c r="N181" s="498" t="str">
        <f>IFERROR(IF(B181="","",INDEX('G-6 Hedgerow Data'!$AN$3:$AZ$15,MATCH(C181,'G-6 Hedgerow Data'!$AM$3:$AM$15,0),MATCH(M181,'G-6 Hedgerow Data'!$AN$2:$AZ$2,0))),"")</f>
        <v/>
      </c>
      <c r="O181" s="499" t="str">
        <f t="shared" si="18"/>
        <v/>
      </c>
      <c r="P181" s="505" t="str">
        <f>IF(B181="","",VLOOKUP(B181,'E-1 Off Site Hedge Baseline'!$B$10:T426,16,FALSE))</f>
        <v/>
      </c>
      <c r="Q181" s="498" t="str">
        <f>IF(M181="","",VLOOKUP(M181,'G-6 Hedgerow Data'!$B$2:$AG$15,2,FALSE))</f>
        <v/>
      </c>
      <c r="R181" s="499" t="str">
        <f>IF(M181="","",VLOOKUP(M181,'G-6 Hedgerow Data'!$B$2:$AG$15,3,FALSE))</f>
        <v/>
      </c>
      <c r="S181" s="145"/>
      <c r="T181" s="499" t="str">
        <f>IFERROR(IF(AND(Q181="V.Low",OR(S181="Good",S181="Moderate")),"Error ▲",VLOOKUP(S181,'G-1 All Habitats'!$Z$2:$AA$9,2,FALSE)),"")</f>
        <v/>
      </c>
      <c r="U181" s="145"/>
      <c r="V181" s="507" t="str">
        <f>IF(U181="","",IF(VLOOKUP(U181,'G-3 Multipliers'!$L$3:$N$6,2,FALSE)=0,"Spatial Data Missing ⚠",VLOOKUP(U181,'G-3 Multipliers'!$L$3:$N$6,2,FALSE)))</f>
        <v/>
      </c>
      <c r="W181" s="505" t="str">
        <f>IF(U181="","",IF(VLOOKUP(U181,'G-3 Multipliers'!$L$3:$N$6,3,FALSE)=0,"Spatial Data Missing ⚠",VLOOKUP(U181,'G-3 Multipliers'!$L$3:$N$6,3,FALSE)))</f>
        <v/>
      </c>
      <c r="X181" s="498" t="str">
        <f>IFERROR(IF(OR(LEFT(O181,5)="Error ▲",LEFT(N181,5)="Error ▲",T181="Error ▲"),"Check Data ⚠",IF(F181&lt;R181,INDEX('G-6 Hedgerow Data'!$S$3:$AE$14,MATCH(C181,'G-6 Hedgerow Data'!$B$3:$B$14,0),MATCH(M181,'G-6 Hedgerow Data'!$S$2:$AE$2,0)),INDEX('G-6 Hedgerow Data'!$K$3:$Q$14,MATCH(M181,'G-6 Hedgerow Data'!$B$3:$B$14,0),MATCH(O181,'G-6 Hedgerow Data'!$K$2:$Q$2,0)))),"")</f>
        <v/>
      </c>
      <c r="Y181" s="195"/>
      <c r="Z181" s="195"/>
      <c r="AA181" s="507" t="str">
        <f t="shared" si="19"/>
        <v/>
      </c>
      <c r="AB181" s="521" t="str">
        <f t="shared" si="20"/>
        <v/>
      </c>
      <c r="AC181" s="522" t="str">
        <f t="shared" si="17"/>
        <v/>
      </c>
      <c r="AD181" s="537" t="str">
        <f>IF(M181="","",VLOOKUP(M181,'G-6 Hedgerow Data'!$B$3:$AG$15,31,FALSE))</f>
        <v/>
      </c>
      <c r="AE181" s="520" t="str">
        <f t="shared" si="21"/>
        <v/>
      </c>
      <c r="AF181" s="520" t="str">
        <f t="shared" si="22"/>
        <v/>
      </c>
      <c r="AG181" s="524" t="str">
        <f>IFERROR(IF(O181="","",VLOOKUP(AD181,'G-3 Multipliers'!$P$3:$Q$6,2,FALSE)),"")</f>
        <v/>
      </c>
      <c r="AH181" s="197"/>
      <c r="AI181" s="499" t="str">
        <f>IF(AH181="","",IF(VLOOKUP(AH181,'G-3 Multipliers'!$S$3:$T$6,2,FALSE)=0,"Spatial Data Missing ⚠",VLOOKUP(AH181,'G-3 Multipliers'!$S$3:$T$6,2,FALSE)))</f>
        <v/>
      </c>
      <c r="AJ181" s="545" t="str">
        <f t="shared" si="23"/>
        <v/>
      </c>
      <c r="AK181" s="149"/>
      <c r="AL181" s="150"/>
      <c r="AP181" s="31" t="str">
        <f>IFERROR(INDEX('G-6 Hedgerow Data'!$BJ$3:$BJ$15,MATCH(M181,'G-6 Hedgerow Data'!$B$3:$B$15,0)),"")</f>
        <v/>
      </c>
    </row>
    <row r="182" spans="2:42" ht="14" x14ac:dyDescent="0.3">
      <c r="B182" s="531" t="str">
        <f>'E-1 Off Site Hedge Baseline'!AK180</f>
        <v/>
      </c>
      <c r="C182" s="520" t="str">
        <f>IF(B182="","",IF(ISNA(VLOOKUP($B182,'E-1 Off Site Hedge Baseline'!$B$1:$L$257,3,FALSE)),"",(VLOOKUP($B182,'E-1 Off Site Hedge Baseline'!$B$1:$L$257,3,FALSE))))</f>
        <v/>
      </c>
      <c r="D182" s="520" t="str">
        <f>IF(B182="","",IF(ISNA(VLOOKUP($B182,'E-1 Off Site Hedge Baseline'!$B$1:$L$258,4,FALSE)),"",(VLOOKUP($B182,'E-1 Off Site Hedge Baseline'!$B$1:$L$258,4,FALSE))))</f>
        <v/>
      </c>
      <c r="E182" s="520" t="str">
        <f>IF(B182="","",IF(ISNA(VLOOKUP($B182,'E-1 Off Site Hedge Baseline'!$B$1:$L$257,5,FALSE)),"",(VLOOKUP($B182,'E-1 Off Site Hedge Baseline'!$B$1:$L$257,5,FALSE))))</f>
        <v/>
      </c>
      <c r="F182" s="520" t="str">
        <f>IF(B182="","",IF(ISNA(VLOOKUP($B182,'E-1 Off Site Hedge Baseline'!$B$1:$L$257,6,FALSE)),"",(VLOOKUP($B182,'E-1 Off Site Hedge Baseline'!$B$1:$L$257,6,FALSE))))</f>
        <v/>
      </c>
      <c r="G182" s="520" t="str">
        <f>IF(B182="","",IF(ISNA(VLOOKUP($B182,'E-1 Off Site Hedge Baseline'!$B$1:$L$257,7,FALSE)),"",(VLOOKUP($B182,'E-1 Off Site Hedge Baseline'!$B$1:$L$257,7,FALSE))))</f>
        <v/>
      </c>
      <c r="H182" s="520" t="str">
        <f>IF(B182="","",IF(ISNA(VLOOKUP($B182,'E-1 Off Site Hedge Baseline'!$B$1:$L$257,8,FALSE)),"",(VLOOKUP($B182,'E-1 Off Site Hedge Baseline'!$B$1:$L$257,8,FALSE))))</f>
        <v/>
      </c>
      <c r="I182" s="520" t="str">
        <f>IF(B182="","",IF(ISNA(VLOOKUP($B182,'E-1 Off Site Hedge Baseline'!$B$1:$L$257,10,FALSE)),"",(VLOOKUP($B182,'E-1 Off Site Hedge Baseline'!$B$1:$L$257,10,FALSE))))</f>
        <v/>
      </c>
      <c r="J182" s="520" t="str">
        <f>IF(B182="","",IF(ISNA(VLOOKUP($B182,'E-1 Off Site Hedge Baseline'!$B$1:$L$257,11,FALSE)),"",(VLOOKUP($B182,'E-1 Off Site Hedge Baseline'!$B$1:$L$257,11,FALSE))))</f>
        <v/>
      </c>
      <c r="K182" s="520" t="str">
        <f>IF(B182="","",IF(ISNA(VLOOKUP($B182,'E-1 Off Site Hedge Baseline'!$B$1:$U$257,113,FALSE)),"",(VLOOKUP($B182,'E-1 Off Site Hedge Baseline'!$B$1:$U$257,13,FALSE))))</f>
        <v/>
      </c>
      <c r="L182" s="507" t="str">
        <f>IF(B182="","",IF(ISNA(VLOOKUP($B182,'E-1 Off Site Hedge Baseline'!$B$1:$U$257,12,FALSE)),"",(VLOOKUP($B182,'E-1 Off Site Hedge Baseline'!$B$1:$U$257,12,FALSE))))</f>
        <v/>
      </c>
      <c r="M182" s="418" t="str">
        <f t="shared" si="24"/>
        <v/>
      </c>
      <c r="N182" s="498" t="str">
        <f>IFERROR(IF(B182="","",INDEX('G-6 Hedgerow Data'!$AN$3:$AZ$15,MATCH(C182,'G-6 Hedgerow Data'!$AM$3:$AM$15,0),MATCH(M182,'G-6 Hedgerow Data'!$AN$2:$AZ$2,0))),"")</f>
        <v/>
      </c>
      <c r="O182" s="499" t="str">
        <f t="shared" si="18"/>
        <v/>
      </c>
      <c r="P182" s="505" t="str">
        <f>IF(B182="","",VLOOKUP(B182,'E-1 Off Site Hedge Baseline'!$B$10:T427,16,FALSE))</f>
        <v/>
      </c>
      <c r="Q182" s="498" t="str">
        <f>IF(M182="","",VLOOKUP(M182,'G-6 Hedgerow Data'!$B$2:$AG$15,2,FALSE))</f>
        <v/>
      </c>
      <c r="R182" s="499" t="str">
        <f>IF(M182="","",VLOOKUP(M182,'G-6 Hedgerow Data'!$B$2:$AG$15,3,FALSE))</f>
        <v/>
      </c>
      <c r="S182" s="145"/>
      <c r="T182" s="499" t="str">
        <f>IFERROR(IF(AND(Q182="V.Low",OR(S182="Good",S182="Moderate")),"Error ▲",VLOOKUP(S182,'G-1 All Habitats'!$Z$2:$AA$9,2,FALSE)),"")</f>
        <v/>
      </c>
      <c r="U182" s="145"/>
      <c r="V182" s="507" t="str">
        <f>IF(U182="","",IF(VLOOKUP(U182,'G-3 Multipliers'!$L$3:$N$6,2,FALSE)=0,"Spatial Data Missing ⚠",VLOOKUP(U182,'G-3 Multipliers'!$L$3:$N$6,2,FALSE)))</f>
        <v/>
      </c>
      <c r="W182" s="505" t="str">
        <f>IF(U182="","",IF(VLOOKUP(U182,'G-3 Multipliers'!$L$3:$N$6,3,FALSE)=0,"Spatial Data Missing ⚠",VLOOKUP(U182,'G-3 Multipliers'!$L$3:$N$6,3,FALSE)))</f>
        <v/>
      </c>
      <c r="X182" s="498" t="str">
        <f>IFERROR(IF(OR(LEFT(O182,5)="Error ▲",LEFT(N182,5)="Error ▲",T182="Error ▲"),"Check Data ⚠",IF(F182&lt;R182,INDEX('G-6 Hedgerow Data'!$S$3:$AE$14,MATCH(C182,'G-6 Hedgerow Data'!$B$3:$B$14,0),MATCH(M182,'G-6 Hedgerow Data'!$S$2:$AE$2,0)),INDEX('G-6 Hedgerow Data'!$K$3:$Q$14,MATCH(M182,'G-6 Hedgerow Data'!$B$3:$B$14,0),MATCH(O182,'G-6 Hedgerow Data'!$K$2:$Q$2,0)))),"")</f>
        <v/>
      </c>
      <c r="Y182" s="195"/>
      <c r="Z182" s="195"/>
      <c r="AA182" s="507" t="str">
        <f t="shared" si="19"/>
        <v/>
      </c>
      <c r="AB182" s="521" t="str">
        <f t="shared" si="20"/>
        <v/>
      </c>
      <c r="AC182" s="522" t="str">
        <f t="shared" si="17"/>
        <v/>
      </c>
      <c r="AD182" s="537" t="str">
        <f>IF(M182="","",VLOOKUP(M182,'G-6 Hedgerow Data'!$B$3:$AG$15,31,FALSE))</f>
        <v/>
      </c>
      <c r="AE182" s="520" t="str">
        <f t="shared" si="21"/>
        <v/>
      </c>
      <c r="AF182" s="520" t="str">
        <f t="shared" si="22"/>
        <v/>
      </c>
      <c r="AG182" s="524" t="str">
        <f>IFERROR(IF(O182="","",VLOOKUP(AD182,'G-3 Multipliers'!$P$3:$Q$6,2,FALSE)),"")</f>
        <v/>
      </c>
      <c r="AH182" s="197"/>
      <c r="AI182" s="499" t="str">
        <f>IF(AH182="","",IF(VLOOKUP(AH182,'G-3 Multipliers'!$S$3:$T$6,2,FALSE)=0,"Spatial Data Missing ⚠",VLOOKUP(AH182,'G-3 Multipliers'!$S$3:$T$6,2,FALSE)))</f>
        <v/>
      </c>
      <c r="AJ182" s="545" t="str">
        <f t="shared" si="23"/>
        <v/>
      </c>
      <c r="AK182" s="149"/>
      <c r="AL182" s="150"/>
      <c r="AP182" s="31" t="str">
        <f>IFERROR(INDEX('G-6 Hedgerow Data'!$BJ$3:$BJ$15,MATCH(M182,'G-6 Hedgerow Data'!$B$3:$B$15,0)),"")</f>
        <v/>
      </c>
    </row>
    <row r="183" spans="2:42" ht="14" x14ac:dyDescent="0.3">
      <c r="B183" s="531" t="str">
        <f>'E-1 Off Site Hedge Baseline'!AK181</f>
        <v/>
      </c>
      <c r="C183" s="520" t="str">
        <f>IF(B183="","",IF(ISNA(VLOOKUP($B183,'E-1 Off Site Hedge Baseline'!$B$1:$L$257,3,FALSE)),"",(VLOOKUP($B183,'E-1 Off Site Hedge Baseline'!$B$1:$L$257,3,FALSE))))</f>
        <v/>
      </c>
      <c r="D183" s="520" t="str">
        <f>IF(B183="","",IF(ISNA(VLOOKUP($B183,'E-1 Off Site Hedge Baseline'!$B$1:$L$258,4,FALSE)),"",(VLOOKUP($B183,'E-1 Off Site Hedge Baseline'!$B$1:$L$258,4,FALSE))))</f>
        <v/>
      </c>
      <c r="E183" s="520" t="str">
        <f>IF(B183="","",IF(ISNA(VLOOKUP($B183,'E-1 Off Site Hedge Baseline'!$B$1:$L$257,5,FALSE)),"",(VLOOKUP($B183,'E-1 Off Site Hedge Baseline'!$B$1:$L$257,5,FALSE))))</f>
        <v/>
      </c>
      <c r="F183" s="520" t="str">
        <f>IF(B183="","",IF(ISNA(VLOOKUP($B183,'E-1 Off Site Hedge Baseline'!$B$1:$L$257,6,FALSE)),"",(VLOOKUP($B183,'E-1 Off Site Hedge Baseline'!$B$1:$L$257,6,FALSE))))</f>
        <v/>
      </c>
      <c r="G183" s="520" t="str">
        <f>IF(B183="","",IF(ISNA(VLOOKUP($B183,'E-1 Off Site Hedge Baseline'!$B$1:$L$257,7,FALSE)),"",(VLOOKUP($B183,'E-1 Off Site Hedge Baseline'!$B$1:$L$257,7,FALSE))))</f>
        <v/>
      </c>
      <c r="H183" s="520" t="str">
        <f>IF(B183="","",IF(ISNA(VLOOKUP($B183,'E-1 Off Site Hedge Baseline'!$B$1:$L$257,8,FALSE)),"",(VLOOKUP($B183,'E-1 Off Site Hedge Baseline'!$B$1:$L$257,8,FALSE))))</f>
        <v/>
      </c>
      <c r="I183" s="520" t="str">
        <f>IF(B183="","",IF(ISNA(VLOOKUP($B183,'E-1 Off Site Hedge Baseline'!$B$1:$L$257,10,FALSE)),"",(VLOOKUP($B183,'E-1 Off Site Hedge Baseline'!$B$1:$L$257,10,FALSE))))</f>
        <v/>
      </c>
      <c r="J183" s="520" t="str">
        <f>IF(B183="","",IF(ISNA(VLOOKUP($B183,'E-1 Off Site Hedge Baseline'!$B$1:$L$257,11,FALSE)),"",(VLOOKUP($B183,'E-1 Off Site Hedge Baseline'!$B$1:$L$257,11,FALSE))))</f>
        <v/>
      </c>
      <c r="K183" s="520" t="str">
        <f>IF(B183="","",IF(ISNA(VLOOKUP($B183,'E-1 Off Site Hedge Baseline'!$B$1:$U$257,113,FALSE)),"",(VLOOKUP($B183,'E-1 Off Site Hedge Baseline'!$B$1:$U$257,13,FALSE))))</f>
        <v/>
      </c>
      <c r="L183" s="507" t="str">
        <f>IF(B183="","",IF(ISNA(VLOOKUP($B183,'E-1 Off Site Hedge Baseline'!$B$1:$U$257,12,FALSE)),"",(VLOOKUP($B183,'E-1 Off Site Hedge Baseline'!$B$1:$U$257,12,FALSE))))</f>
        <v/>
      </c>
      <c r="M183" s="418" t="str">
        <f t="shared" si="24"/>
        <v/>
      </c>
      <c r="N183" s="498" t="str">
        <f>IFERROR(IF(B183="","",INDEX('G-6 Hedgerow Data'!$AN$3:$AZ$15,MATCH(C183,'G-6 Hedgerow Data'!$AM$3:$AM$15,0),MATCH(M183,'G-6 Hedgerow Data'!$AN$2:$AZ$2,0))),"")</f>
        <v/>
      </c>
      <c r="O183" s="499" t="str">
        <f t="shared" si="18"/>
        <v/>
      </c>
      <c r="P183" s="505" t="str">
        <f>IF(B183="","",VLOOKUP(B183,'E-1 Off Site Hedge Baseline'!$B$10:T428,16,FALSE))</f>
        <v/>
      </c>
      <c r="Q183" s="498" t="str">
        <f>IF(M183="","",VLOOKUP(M183,'G-6 Hedgerow Data'!$B$2:$AG$15,2,FALSE))</f>
        <v/>
      </c>
      <c r="R183" s="499" t="str">
        <f>IF(M183="","",VLOOKUP(M183,'G-6 Hedgerow Data'!$B$2:$AG$15,3,FALSE))</f>
        <v/>
      </c>
      <c r="S183" s="145"/>
      <c r="T183" s="499" t="str">
        <f>IFERROR(IF(AND(Q183="V.Low",OR(S183="Good",S183="Moderate")),"Error ▲",VLOOKUP(S183,'G-1 All Habitats'!$Z$2:$AA$9,2,FALSE)),"")</f>
        <v/>
      </c>
      <c r="U183" s="145"/>
      <c r="V183" s="507" t="str">
        <f>IF(U183="","",IF(VLOOKUP(U183,'G-3 Multipliers'!$L$3:$N$6,2,FALSE)=0,"Spatial Data Missing ⚠",VLOOKUP(U183,'G-3 Multipliers'!$L$3:$N$6,2,FALSE)))</f>
        <v/>
      </c>
      <c r="W183" s="505" t="str">
        <f>IF(U183="","",IF(VLOOKUP(U183,'G-3 Multipliers'!$L$3:$N$6,3,FALSE)=0,"Spatial Data Missing ⚠",VLOOKUP(U183,'G-3 Multipliers'!$L$3:$N$6,3,FALSE)))</f>
        <v/>
      </c>
      <c r="X183" s="498" t="str">
        <f>IFERROR(IF(OR(LEFT(O183,5)="Error ▲",LEFT(N183,5)="Error ▲",T183="Error ▲"),"Check Data ⚠",IF(F183&lt;R183,INDEX('G-6 Hedgerow Data'!$S$3:$AE$14,MATCH(C183,'G-6 Hedgerow Data'!$B$3:$B$14,0),MATCH(M183,'G-6 Hedgerow Data'!$S$2:$AE$2,0)),INDEX('G-6 Hedgerow Data'!$K$3:$Q$14,MATCH(M183,'G-6 Hedgerow Data'!$B$3:$B$14,0),MATCH(O183,'G-6 Hedgerow Data'!$K$2:$Q$2,0)))),"")</f>
        <v/>
      </c>
      <c r="Y183" s="195"/>
      <c r="Z183" s="195"/>
      <c r="AA183" s="507" t="str">
        <f t="shared" si="19"/>
        <v/>
      </c>
      <c r="AB183" s="521" t="str">
        <f t="shared" si="20"/>
        <v/>
      </c>
      <c r="AC183" s="522" t="str">
        <f t="shared" si="17"/>
        <v/>
      </c>
      <c r="AD183" s="537" t="str">
        <f>IF(M183="","",VLOOKUP(M183,'G-6 Hedgerow Data'!$B$3:$AG$15,31,FALSE))</f>
        <v/>
      </c>
      <c r="AE183" s="520" t="str">
        <f t="shared" si="21"/>
        <v/>
      </c>
      <c r="AF183" s="520" t="str">
        <f t="shared" si="22"/>
        <v/>
      </c>
      <c r="AG183" s="524" t="str">
        <f>IFERROR(IF(O183="","",VLOOKUP(AD183,'G-3 Multipliers'!$P$3:$Q$6,2,FALSE)),"")</f>
        <v/>
      </c>
      <c r="AH183" s="197"/>
      <c r="AI183" s="499" t="str">
        <f>IF(AH183="","",IF(VLOOKUP(AH183,'G-3 Multipliers'!$S$3:$T$6,2,FALSE)=0,"Spatial Data Missing ⚠",VLOOKUP(AH183,'G-3 Multipliers'!$S$3:$T$6,2,FALSE)))</f>
        <v/>
      </c>
      <c r="AJ183" s="545" t="str">
        <f t="shared" si="23"/>
        <v/>
      </c>
      <c r="AK183" s="149"/>
      <c r="AL183" s="150"/>
      <c r="AP183" s="31" t="str">
        <f>IFERROR(INDEX('G-6 Hedgerow Data'!$BJ$3:$BJ$15,MATCH(M183,'G-6 Hedgerow Data'!$B$3:$B$15,0)),"")</f>
        <v/>
      </c>
    </row>
    <row r="184" spans="2:42" ht="14" x14ac:dyDescent="0.3">
      <c r="B184" s="531" t="str">
        <f>'E-1 Off Site Hedge Baseline'!AK182</f>
        <v/>
      </c>
      <c r="C184" s="520" t="str">
        <f>IF(B184="","",IF(ISNA(VLOOKUP($B184,'E-1 Off Site Hedge Baseline'!$B$1:$L$257,3,FALSE)),"",(VLOOKUP($B184,'E-1 Off Site Hedge Baseline'!$B$1:$L$257,3,FALSE))))</f>
        <v/>
      </c>
      <c r="D184" s="520" t="str">
        <f>IF(B184="","",IF(ISNA(VLOOKUP($B184,'E-1 Off Site Hedge Baseline'!$B$1:$L$258,4,FALSE)),"",(VLOOKUP($B184,'E-1 Off Site Hedge Baseline'!$B$1:$L$258,4,FALSE))))</f>
        <v/>
      </c>
      <c r="E184" s="520" t="str">
        <f>IF(B184="","",IF(ISNA(VLOOKUP($B184,'E-1 Off Site Hedge Baseline'!$B$1:$L$257,5,FALSE)),"",(VLOOKUP($B184,'E-1 Off Site Hedge Baseline'!$B$1:$L$257,5,FALSE))))</f>
        <v/>
      </c>
      <c r="F184" s="520" t="str">
        <f>IF(B184="","",IF(ISNA(VLOOKUP($B184,'E-1 Off Site Hedge Baseline'!$B$1:$L$257,6,FALSE)),"",(VLOOKUP($B184,'E-1 Off Site Hedge Baseline'!$B$1:$L$257,6,FALSE))))</f>
        <v/>
      </c>
      <c r="G184" s="520" t="str">
        <f>IF(B184="","",IF(ISNA(VLOOKUP($B184,'E-1 Off Site Hedge Baseline'!$B$1:$L$257,7,FALSE)),"",(VLOOKUP($B184,'E-1 Off Site Hedge Baseline'!$B$1:$L$257,7,FALSE))))</f>
        <v/>
      </c>
      <c r="H184" s="520" t="str">
        <f>IF(B184="","",IF(ISNA(VLOOKUP($B184,'E-1 Off Site Hedge Baseline'!$B$1:$L$257,8,FALSE)),"",(VLOOKUP($B184,'E-1 Off Site Hedge Baseline'!$B$1:$L$257,8,FALSE))))</f>
        <v/>
      </c>
      <c r="I184" s="520" t="str">
        <f>IF(B184="","",IF(ISNA(VLOOKUP($B184,'E-1 Off Site Hedge Baseline'!$B$1:$L$257,10,FALSE)),"",(VLOOKUP($B184,'E-1 Off Site Hedge Baseline'!$B$1:$L$257,10,FALSE))))</f>
        <v/>
      </c>
      <c r="J184" s="520" t="str">
        <f>IF(B184="","",IF(ISNA(VLOOKUP($B184,'E-1 Off Site Hedge Baseline'!$B$1:$L$257,11,FALSE)),"",(VLOOKUP($B184,'E-1 Off Site Hedge Baseline'!$B$1:$L$257,11,FALSE))))</f>
        <v/>
      </c>
      <c r="K184" s="520" t="str">
        <f>IF(B184="","",IF(ISNA(VLOOKUP($B184,'E-1 Off Site Hedge Baseline'!$B$1:$U$257,113,FALSE)),"",(VLOOKUP($B184,'E-1 Off Site Hedge Baseline'!$B$1:$U$257,13,FALSE))))</f>
        <v/>
      </c>
      <c r="L184" s="507" t="str">
        <f>IF(B184="","",IF(ISNA(VLOOKUP($B184,'E-1 Off Site Hedge Baseline'!$B$1:$U$257,12,FALSE)),"",(VLOOKUP($B184,'E-1 Off Site Hedge Baseline'!$B$1:$U$257,12,FALSE))))</f>
        <v/>
      </c>
      <c r="M184" s="418" t="str">
        <f t="shared" si="24"/>
        <v/>
      </c>
      <c r="N184" s="498" t="str">
        <f>IFERROR(IF(B184="","",INDEX('G-6 Hedgerow Data'!$AN$3:$AZ$15,MATCH(C184,'G-6 Hedgerow Data'!$AM$3:$AM$15,0),MATCH(M184,'G-6 Hedgerow Data'!$AN$2:$AZ$2,0))),"")</f>
        <v/>
      </c>
      <c r="O184" s="499" t="str">
        <f t="shared" si="18"/>
        <v/>
      </c>
      <c r="P184" s="505" t="str">
        <f>IF(B184="","",VLOOKUP(B184,'E-1 Off Site Hedge Baseline'!$B$10:T429,16,FALSE))</f>
        <v/>
      </c>
      <c r="Q184" s="498" t="str">
        <f>IF(M184="","",VLOOKUP(M184,'G-6 Hedgerow Data'!$B$2:$AG$15,2,FALSE))</f>
        <v/>
      </c>
      <c r="R184" s="499" t="str">
        <f>IF(M184="","",VLOOKUP(M184,'G-6 Hedgerow Data'!$B$2:$AG$15,3,FALSE))</f>
        <v/>
      </c>
      <c r="S184" s="145"/>
      <c r="T184" s="499" t="str">
        <f>IFERROR(IF(AND(Q184="V.Low",OR(S184="Good",S184="Moderate")),"Error ▲",VLOOKUP(S184,'G-1 All Habitats'!$Z$2:$AA$9,2,FALSE)),"")</f>
        <v/>
      </c>
      <c r="U184" s="145"/>
      <c r="V184" s="507" t="str">
        <f>IF(U184="","",IF(VLOOKUP(U184,'G-3 Multipliers'!$L$3:$N$6,2,FALSE)=0,"Spatial Data Missing ⚠",VLOOKUP(U184,'G-3 Multipliers'!$L$3:$N$6,2,FALSE)))</f>
        <v/>
      </c>
      <c r="W184" s="505" t="str">
        <f>IF(U184="","",IF(VLOOKUP(U184,'G-3 Multipliers'!$L$3:$N$6,3,FALSE)=0,"Spatial Data Missing ⚠",VLOOKUP(U184,'G-3 Multipliers'!$L$3:$N$6,3,FALSE)))</f>
        <v/>
      </c>
      <c r="X184" s="498" t="str">
        <f>IFERROR(IF(OR(LEFT(O184,5)="Error ▲",LEFT(N184,5)="Error ▲",T184="Error ▲"),"Check Data ⚠",IF(F184&lt;R184,INDEX('G-6 Hedgerow Data'!$S$3:$AE$14,MATCH(C184,'G-6 Hedgerow Data'!$B$3:$B$14,0),MATCH(M184,'G-6 Hedgerow Data'!$S$2:$AE$2,0)),INDEX('G-6 Hedgerow Data'!$K$3:$Q$14,MATCH(M184,'G-6 Hedgerow Data'!$B$3:$B$14,0),MATCH(O184,'G-6 Hedgerow Data'!$K$2:$Q$2,0)))),"")</f>
        <v/>
      </c>
      <c r="Y184" s="195"/>
      <c r="Z184" s="195"/>
      <c r="AA184" s="507" t="str">
        <f t="shared" si="19"/>
        <v/>
      </c>
      <c r="AB184" s="521" t="str">
        <f t="shared" si="20"/>
        <v/>
      </c>
      <c r="AC184" s="522" t="str">
        <f t="shared" si="17"/>
        <v/>
      </c>
      <c r="AD184" s="537" t="str">
        <f>IF(M184="","",VLOOKUP(M184,'G-6 Hedgerow Data'!$B$3:$AG$15,31,FALSE))</f>
        <v/>
      </c>
      <c r="AE184" s="520" t="str">
        <f t="shared" si="21"/>
        <v/>
      </c>
      <c r="AF184" s="520" t="str">
        <f t="shared" si="22"/>
        <v/>
      </c>
      <c r="AG184" s="524" t="str">
        <f>IFERROR(IF(O184="","",VLOOKUP(AD184,'G-3 Multipliers'!$P$3:$Q$6,2,FALSE)),"")</f>
        <v/>
      </c>
      <c r="AH184" s="197"/>
      <c r="AI184" s="499" t="str">
        <f>IF(AH184="","",IF(VLOOKUP(AH184,'G-3 Multipliers'!$S$3:$T$6,2,FALSE)=0,"Spatial Data Missing ⚠",VLOOKUP(AH184,'G-3 Multipliers'!$S$3:$T$6,2,FALSE)))</f>
        <v/>
      </c>
      <c r="AJ184" s="545" t="str">
        <f t="shared" si="23"/>
        <v/>
      </c>
      <c r="AK184" s="149"/>
      <c r="AL184" s="150"/>
      <c r="AP184" s="31" t="str">
        <f>IFERROR(INDEX('G-6 Hedgerow Data'!$BJ$3:$BJ$15,MATCH(M184,'G-6 Hedgerow Data'!$B$3:$B$15,0)),"")</f>
        <v/>
      </c>
    </row>
    <row r="185" spans="2:42" ht="14" x14ac:dyDescent="0.3">
      <c r="B185" s="531" t="str">
        <f>'E-1 Off Site Hedge Baseline'!AK183</f>
        <v/>
      </c>
      <c r="C185" s="520" t="str">
        <f>IF(B185="","",IF(ISNA(VLOOKUP($B185,'E-1 Off Site Hedge Baseline'!$B$1:$L$257,3,FALSE)),"",(VLOOKUP($B185,'E-1 Off Site Hedge Baseline'!$B$1:$L$257,3,FALSE))))</f>
        <v/>
      </c>
      <c r="D185" s="520" t="str">
        <f>IF(B185="","",IF(ISNA(VLOOKUP($B185,'E-1 Off Site Hedge Baseline'!$B$1:$L$258,4,FALSE)),"",(VLOOKUP($B185,'E-1 Off Site Hedge Baseline'!$B$1:$L$258,4,FALSE))))</f>
        <v/>
      </c>
      <c r="E185" s="520" t="str">
        <f>IF(B185="","",IF(ISNA(VLOOKUP($B185,'E-1 Off Site Hedge Baseline'!$B$1:$L$257,5,FALSE)),"",(VLOOKUP($B185,'E-1 Off Site Hedge Baseline'!$B$1:$L$257,5,FALSE))))</f>
        <v/>
      </c>
      <c r="F185" s="520" t="str">
        <f>IF(B185="","",IF(ISNA(VLOOKUP($B185,'E-1 Off Site Hedge Baseline'!$B$1:$L$257,6,FALSE)),"",(VLOOKUP($B185,'E-1 Off Site Hedge Baseline'!$B$1:$L$257,6,FALSE))))</f>
        <v/>
      </c>
      <c r="G185" s="520" t="str">
        <f>IF(B185="","",IF(ISNA(VLOOKUP($B185,'E-1 Off Site Hedge Baseline'!$B$1:$L$257,7,FALSE)),"",(VLOOKUP($B185,'E-1 Off Site Hedge Baseline'!$B$1:$L$257,7,FALSE))))</f>
        <v/>
      </c>
      <c r="H185" s="520" t="str">
        <f>IF(B185="","",IF(ISNA(VLOOKUP($B185,'E-1 Off Site Hedge Baseline'!$B$1:$L$257,8,FALSE)),"",(VLOOKUP($B185,'E-1 Off Site Hedge Baseline'!$B$1:$L$257,8,FALSE))))</f>
        <v/>
      </c>
      <c r="I185" s="520" t="str">
        <f>IF(B185="","",IF(ISNA(VLOOKUP($B185,'E-1 Off Site Hedge Baseline'!$B$1:$L$257,10,FALSE)),"",(VLOOKUP($B185,'E-1 Off Site Hedge Baseline'!$B$1:$L$257,10,FALSE))))</f>
        <v/>
      </c>
      <c r="J185" s="520" t="str">
        <f>IF(B185="","",IF(ISNA(VLOOKUP($B185,'E-1 Off Site Hedge Baseline'!$B$1:$L$257,11,FALSE)),"",(VLOOKUP($B185,'E-1 Off Site Hedge Baseline'!$B$1:$L$257,11,FALSE))))</f>
        <v/>
      </c>
      <c r="K185" s="520" t="str">
        <f>IF(B185="","",IF(ISNA(VLOOKUP($B185,'E-1 Off Site Hedge Baseline'!$B$1:$U$257,113,FALSE)),"",(VLOOKUP($B185,'E-1 Off Site Hedge Baseline'!$B$1:$U$257,13,FALSE))))</f>
        <v/>
      </c>
      <c r="L185" s="507" t="str">
        <f>IF(B185="","",IF(ISNA(VLOOKUP($B185,'E-1 Off Site Hedge Baseline'!$B$1:$U$257,12,FALSE)),"",(VLOOKUP($B185,'E-1 Off Site Hedge Baseline'!$B$1:$U$257,12,FALSE))))</f>
        <v/>
      </c>
      <c r="M185" s="418" t="str">
        <f t="shared" si="24"/>
        <v/>
      </c>
      <c r="N185" s="498" t="str">
        <f>IFERROR(IF(B185="","",INDEX('G-6 Hedgerow Data'!$AN$3:$AZ$15,MATCH(C185,'G-6 Hedgerow Data'!$AM$3:$AM$15,0),MATCH(M185,'G-6 Hedgerow Data'!$AN$2:$AZ$2,0))),"")</f>
        <v/>
      </c>
      <c r="O185" s="499" t="str">
        <f t="shared" si="18"/>
        <v/>
      </c>
      <c r="P185" s="505" t="str">
        <f>IF(B185="","",VLOOKUP(B185,'E-1 Off Site Hedge Baseline'!$B$10:T430,16,FALSE))</f>
        <v/>
      </c>
      <c r="Q185" s="498" t="str">
        <f>IF(M185="","",VLOOKUP(M185,'G-6 Hedgerow Data'!$B$2:$AG$15,2,FALSE))</f>
        <v/>
      </c>
      <c r="R185" s="499" t="str">
        <f>IF(M185="","",VLOOKUP(M185,'G-6 Hedgerow Data'!$B$2:$AG$15,3,FALSE))</f>
        <v/>
      </c>
      <c r="S185" s="145"/>
      <c r="T185" s="499" t="str">
        <f>IFERROR(IF(AND(Q185="V.Low",OR(S185="Good",S185="Moderate")),"Error ▲",VLOOKUP(S185,'G-1 All Habitats'!$Z$2:$AA$9,2,FALSE)),"")</f>
        <v/>
      </c>
      <c r="U185" s="145"/>
      <c r="V185" s="507" t="str">
        <f>IF(U185="","",IF(VLOOKUP(U185,'G-3 Multipliers'!$L$3:$N$6,2,FALSE)=0,"Spatial Data Missing ⚠",VLOOKUP(U185,'G-3 Multipliers'!$L$3:$N$6,2,FALSE)))</f>
        <v/>
      </c>
      <c r="W185" s="505" t="str">
        <f>IF(U185="","",IF(VLOOKUP(U185,'G-3 Multipliers'!$L$3:$N$6,3,FALSE)=0,"Spatial Data Missing ⚠",VLOOKUP(U185,'G-3 Multipliers'!$L$3:$N$6,3,FALSE)))</f>
        <v/>
      </c>
      <c r="X185" s="498" t="str">
        <f>IFERROR(IF(OR(LEFT(O185,5)="Error ▲",LEFT(N185,5)="Error ▲",T185="Error ▲"),"Check Data ⚠",IF(F185&lt;R185,INDEX('G-6 Hedgerow Data'!$S$3:$AE$14,MATCH(C185,'G-6 Hedgerow Data'!$B$3:$B$14,0),MATCH(M185,'G-6 Hedgerow Data'!$S$2:$AE$2,0)),INDEX('G-6 Hedgerow Data'!$K$3:$Q$14,MATCH(M185,'G-6 Hedgerow Data'!$B$3:$B$14,0),MATCH(O185,'G-6 Hedgerow Data'!$K$2:$Q$2,0)))),"")</f>
        <v/>
      </c>
      <c r="Y185" s="195"/>
      <c r="Z185" s="195"/>
      <c r="AA185" s="507" t="str">
        <f t="shared" si="19"/>
        <v/>
      </c>
      <c r="AB185" s="521" t="str">
        <f t="shared" si="20"/>
        <v/>
      </c>
      <c r="AC185" s="522" t="str">
        <f t="shared" si="17"/>
        <v/>
      </c>
      <c r="AD185" s="537" t="str">
        <f>IF(M185="","",VLOOKUP(M185,'G-6 Hedgerow Data'!$B$3:$AG$15,31,FALSE))</f>
        <v/>
      </c>
      <c r="AE185" s="520" t="str">
        <f t="shared" si="21"/>
        <v/>
      </c>
      <c r="AF185" s="520" t="str">
        <f t="shared" si="22"/>
        <v/>
      </c>
      <c r="AG185" s="524" t="str">
        <f>IFERROR(IF(O185="","",VLOOKUP(AD185,'G-3 Multipliers'!$P$3:$Q$6,2,FALSE)),"")</f>
        <v/>
      </c>
      <c r="AH185" s="197"/>
      <c r="AI185" s="499" t="str">
        <f>IF(AH185="","",IF(VLOOKUP(AH185,'G-3 Multipliers'!$S$3:$T$6,2,FALSE)=0,"Spatial Data Missing ⚠",VLOOKUP(AH185,'G-3 Multipliers'!$S$3:$T$6,2,FALSE)))</f>
        <v/>
      </c>
      <c r="AJ185" s="545" t="str">
        <f t="shared" si="23"/>
        <v/>
      </c>
      <c r="AK185" s="149"/>
      <c r="AL185" s="150"/>
      <c r="AP185" s="31" t="str">
        <f>IFERROR(INDEX('G-6 Hedgerow Data'!$BJ$3:$BJ$15,MATCH(M185,'G-6 Hedgerow Data'!$B$3:$B$15,0)),"")</f>
        <v/>
      </c>
    </row>
    <row r="186" spans="2:42" ht="14" x14ac:dyDescent="0.3">
      <c r="B186" s="531" t="str">
        <f>'E-1 Off Site Hedge Baseline'!AK184</f>
        <v/>
      </c>
      <c r="C186" s="520" t="str">
        <f>IF(B186="","",IF(ISNA(VLOOKUP($B186,'E-1 Off Site Hedge Baseline'!$B$1:$L$257,3,FALSE)),"",(VLOOKUP($B186,'E-1 Off Site Hedge Baseline'!$B$1:$L$257,3,FALSE))))</f>
        <v/>
      </c>
      <c r="D186" s="520" t="str">
        <f>IF(B186="","",IF(ISNA(VLOOKUP($B186,'E-1 Off Site Hedge Baseline'!$B$1:$L$258,4,FALSE)),"",(VLOOKUP($B186,'E-1 Off Site Hedge Baseline'!$B$1:$L$258,4,FALSE))))</f>
        <v/>
      </c>
      <c r="E186" s="520" t="str">
        <f>IF(B186="","",IF(ISNA(VLOOKUP($B186,'E-1 Off Site Hedge Baseline'!$B$1:$L$257,5,FALSE)),"",(VLOOKUP($B186,'E-1 Off Site Hedge Baseline'!$B$1:$L$257,5,FALSE))))</f>
        <v/>
      </c>
      <c r="F186" s="520" t="str">
        <f>IF(B186="","",IF(ISNA(VLOOKUP($B186,'E-1 Off Site Hedge Baseline'!$B$1:$L$257,6,FALSE)),"",(VLOOKUP($B186,'E-1 Off Site Hedge Baseline'!$B$1:$L$257,6,FALSE))))</f>
        <v/>
      </c>
      <c r="G186" s="520" t="str">
        <f>IF(B186="","",IF(ISNA(VLOOKUP($B186,'E-1 Off Site Hedge Baseline'!$B$1:$L$257,7,FALSE)),"",(VLOOKUP($B186,'E-1 Off Site Hedge Baseline'!$B$1:$L$257,7,FALSE))))</f>
        <v/>
      </c>
      <c r="H186" s="520" t="str">
        <f>IF(B186="","",IF(ISNA(VLOOKUP($B186,'E-1 Off Site Hedge Baseline'!$B$1:$L$257,8,FALSE)),"",(VLOOKUP($B186,'E-1 Off Site Hedge Baseline'!$B$1:$L$257,8,FALSE))))</f>
        <v/>
      </c>
      <c r="I186" s="520" t="str">
        <f>IF(B186="","",IF(ISNA(VLOOKUP($B186,'E-1 Off Site Hedge Baseline'!$B$1:$L$257,10,FALSE)),"",(VLOOKUP($B186,'E-1 Off Site Hedge Baseline'!$B$1:$L$257,10,FALSE))))</f>
        <v/>
      </c>
      <c r="J186" s="520" t="str">
        <f>IF(B186="","",IF(ISNA(VLOOKUP($B186,'E-1 Off Site Hedge Baseline'!$B$1:$L$257,11,FALSE)),"",(VLOOKUP($B186,'E-1 Off Site Hedge Baseline'!$B$1:$L$257,11,FALSE))))</f>
        <v/>
      </c>
      <c r="K186" s="520" t="str">
        <f>IF(B186="","",IF(ISNA(VLOOKUP($B186,'E-1 Off Site Hedge Baseline'!$B$1:$U$257,113,FALSE)),"",(VLOOKUP($B186,'E-1 Off Site Hedge Baseline'!$B$1:$U$257,13,FALSE))))</f>
        <v/>
      </c>
      <c r="L186" s="507" t="str">
        <f>IF(B186="","",IF(ISNA(VLOOKUP($B186,'E-1 Off Site Hedge Baseline'!$B$1:$U$257,12,FALSE)),"",(VLOOKUP($B186,'E-1 Off Site Hedge Baseline'!$B$1:$U$257,12,FALSE))))</f>
        <v/>
      </c>
      <c r="M186" s="418" t="str">
        <f t="shared" si="24"/>
        <v/>
      </c>
      <c r="N186" s="498" t="str">
        <f>IFERROR(IF(B186="","",INDEX('G-6 Hedgerow Data'!$AN$3:$AZ$15,MATCH(C186,'G-6 Hedgerow Data'!$AM$3:$AM$15,0),MATCH(M186,'G-6 Hedgerow Data'!$AN$2:$AZ$2,0))),"")</f>
        <v/>
      </c>
      <c r="O186" s="499" t="str">
        <f t="shared" si="18"/>
        <v/>
      </c>
      <c r="P186" s="505" t="str">
        <f>IF(B186="","",VLOOKUP(B186,'E-1 Off Site Hedge Baseline'!$B$10:T431,16,FALSE))</f>
        <v/>
      </c>
      <c r="Q186" s="498" t="str">
        <f>IF(M186="","",VLOOKUP(M186,'G-6 Hedgerow Data'!$B$2:$AG$15,2,FALSE))</f>
        <v/>
      </c>
      <c r="R186" s="499" t="str">
        <f>IF(M186="","",VLOOKUP(M186,'G-6 Hedgerow Data'!$B$2:$AG$15,3,FALSE))</f>
        <v/>
      </c>
      <c r="S186" s="145"/>
      <c r="T186" s="499" t="str">
        <f>IFERROR(IF(AND(Q186="V.Low",OR(S186="Good",S186="Moderate")),"Error ▲",VLOOKUP(S186,'G-1 All Habitats'!$Z$2:$AA$9,2,FALSE)),"")</f>
        <v/>
      </c>
      <c r="U186" s="145"/>
      <c r="V186" s="507" t="str">
        <f>IF(U186="","",IF(VLOOKUP(U186,'G-3 Multipliers'!$L$3:$N$6,2,FALSE)=0,"Spatial Data Missing ⚠",VLOOKUP(U186,'G-3 Multipliers'!$L$3:$N$6,2,FALSE)))</f>
        <v/>
      </c>
      <c r="W186" s="505" t="str">
        <f>IF(U186="","",IF(VLOOKUP(U186,'G-3 Multipliers'!$L$3:$N$6,3,FALSE)=0,"Spatial Data Missing ⚠",VLOOKUP(U186,'G-3 Multipliers'!$L$3:$N$6,3,FALSE)))</f>
        <v/>
      </c>
      <c r="X186" s="498" t="str">
        <f>IFERROR(IF(OR(LEFT(O186,5)="Error ▲",LEFT(N186,5)="Error ▲",T186="Error ▲"),"Check Data ⚠",IF(F186&lt;R186,INDEX('G-6 Hedgerow Data'!$S$3:$AE$14,MATCH(C186,'G-6 Hedgerow Data'!$B$3:$B$14,0),MATCH(M186,'G-6 Hedgerow Data'!$S$2:$AE$2,0)),INDEX('G-6 Hedgerow Data'!$K$3:$Q$14,MATCH(M186,'G-6 Hedgerow Data'!$B$3:$B$14,0),MATCH(O186,'G-6 Hedgerow Data'!$K$2:$Q$2,0)))),"")</f>
        <v/>
      </c>
      <c r="Y186" s="195"/>
      <c r="Z186" s="195"/>
      <c r="AA186" s="507" t="str">
        <f t="shared" si="19"/>
        <v/>
      </c>
      <c r="AB186" s="521" t="str">
        <f t="shared" si="20"/>
        <v/>
      </c>
      <c r="AC186" s="522" t="str">
        <f t="shared" si="17"/>
        <v/>
      </c>
      <c r="AD186" s="537" t="str">
        <f>IF(M186="","",VLOOKUP(M186,'G-6 Hedgerow Data'!$B$3:$AG$15,31,FALSE))</f>
        <v/>
      </c>
      <c r="AE186" s="520" t="str">
        <f t="shared" si="21"/>
        <v/>
      </c>
      <c r="AF186" s="520" t="str">
        <f t="shared" si="22"/>
        <v/>
      </c>
      <c r="AG186" s="524" t="str">
        <f>IFERROR(IF(O186="","",VLOOKUP(AD186,'G-3 Multipliers'!$P$3:$Q$6,2,FALSE)),"")</f>
        <v/>
      </c>
      <c r="AH186" s="197"/>
      <c r="AI186" s="499" t="str">
        <f>IF(AH186="","",IF(VLOOKUP(AH186,'G-3 Multipliers'!$S$3:$T$6,2,FALSE)=0,"Spatial Data Missing ⚠",VLOOKUP(AH186,'G-3 Multipliers'!$S$3:$T$6,2,FALSE)))</f>
        <v/>
      </c>
      <c r="AJ186" s="545" t="str">
        <f t="shared" si="23"/>
        <v/>
      </c>
      <c r="AK186" s="149"/>
      <c r="AL186" s="150"/>
      <c r="AP186" s="31" t="str">
        <f>IFERROR(INDEX('G-6 Hedgerow Data'!$BJ$3:$BJ$15,MATCH(M186,'G-6 Hedgerow Data'!$B$3:$B$15,0)),"")</f>
        <v/>
      </c>
    </row>
    <row r="187" spans="2:42" ht="14" x14ac:dyDescent="0.3">
      <c r="B187" s="531" t="str">
        <f>'E-1 Off Site Hedge Baseline'!AK185</f>
        <v/>
      </c>
      <c r="C187" s="520" t="str">
        <f>IF(B187="","",IF(ISNA(VLOOKUP($B187,'E-1 Off Site Hedge Baseline'!$B$1:$L$257,3,FALSE)),"",(VLOOKUP($B187,'E-1 Off Site Hedge Baseline'!$B$1:$L$257,3,FALSE))))</f>
        <v/>
      </c>
      <c r="D187" s="520" t="str">
        <f>IF(B187="","",IF(ISNA(VLOOKUP($B187,'E-1 Off Site Hedge Baseline'!$B$1:$L$258,4,FALSE)),"",(VLOOKUP($B187,'E-1 Off Site Hedge Baseline'!$B$1:$L$258,4,FALSE))))</f>
        <v/>
      </c>
      <c r="E187" s="520" t="str">
        <f>IF(B187="","",IF(ISNA(VLOOKUP($B187,'E-1 Off Site Hedge Baseline'!$B$1:$L$257,5,FALSE)),"",(VLOOKUP($B187,'E-1 Off Site Hedge Baseline'!$B$1:$L$257,5,FALSE))))</f>
        <v/>
      </c>
      <c r="F187" s="520" t="str">
        <f>IF(B187="","",IF(ISNA(VLOOKUP($B187,'E-1 Off Site Hedge Baseline'!$B$1:$L$257,6,FALSE)),"",(VLOOKUP($B187,'E-1 Off Site Hedge Baseline'!$B$1:$L$257,6,FALSE))))</f>
        <v/>
      </c>
      <c r="G187" s="520" t="str">
        <f>IF(B187="","",IF(ISNA(VLOOKUP($B187,'E-1 Off Site Hedge Baseline'!$B$1:$L$257,7,FALSE)),"",(VLOOKUP($B187,'E-1 Off Site Hedge Baseline'!$B$1:$L$257,7,FALSE))))</f>
        <v/>
      </c>
      <c r="H187" s="520" t="str">
        <f>IF(B187="","",IF(ISNA(VLOOKUP($B187,'E-1 Off Site Hedge Baseline'!$B$1:$L$257,8,FALSE)),"",(VLOOKUP($B187,'E-1 Off Site Hedge Baseline'!$B$1:$L$257,8,FALSE))))</f>
        <v/>
      </c>
      <c r="I187" s="520" t="str">
        <f>IF(B187="","",IF(ISNA(VLOOKUP($B187,'E-1 Off Site Hedge Baseline'!$B$1:$L$257,10,FALSE)),"",(VLOOKUP($B187,'E-1 Off Site Hedge Baseline'!$B$1:$L$257,10,FALSE))))</f>
        <v/>
      </c>
      <c r="J187" s="520" t="str">
        <f>IF(B187="","",IF(ISNA(VLOOKUP($B187,'E-1 Off Site Hedge Baseline'!$B$1:$L$257,11,FALSE)),"",(VLOOKUP($B187,'E-1 Off Site Hedge Baseline'!$B$1:$L$257,11,FALSE))))</f>
        <v/>
      </c>
      <c r="K187" s="520" t="str">
        <f>IF(B187="","",IF(ISNA(VLOOKUP($B187,'E-1 Off Site Hedge Baseline'!$B$1:$U$257,113,FALSE)),"",(VLOOKUP($B187,'E-1 Off Site Hedge Baseline'!$B$1:$U$257,13,FALSE))))</f>
        <v/>
      </c>
      <c r="L187" s="507" t="str">
        <f>IF(B187="","",IF(ISNA(VLOOKUP($B187,'E-1 Off Site Hedge Baseline'!$B$1:$U$257,12,FALSE)),"",(VLOOKUP($B187,'E-1 Off Site Hedge Baseline'!$B$1:$U$257,12,FALSE))))</f>
        <v/>
      </c>
      <c r="M187" s="418" t="str">
        <f t="shared" si="24"/>
        <v/>
      </c>
      <c r="N187" s="498" t="str">
        <f>IFERROR(IF(B187="","",INDEX('G-6 Hedgerow Data'!$AN$3:$AZ$15,MATCH(C187,'G-6 Hedgerow Data'!$AM$3:$AM$15,0),MATCH(M187,'G-6 Hedgerow Data'!$AN$2:$AZ$2,0))),"")</f>
        <v/>
      </c>
      <c r="O187" s="499" t="str">
        <f t="shared" si="18"/>
        <v/>
      </c>
      <c r="P187" s="505" t="str">
        <f>IF(B187="","",VLOOKUP(B187,'E-1 Off Site Hedge Baseline'!$B$10:T432,16,FALSE))</f>
        <v/>
      </c>
      <c r="Q187" s="498" t="str">
        <f>IF(M187="","",VLOOKUP(M187,'G-6 Hedgerow Data'!$B$2:$AG$15,2,FALSE))</f>
        <v/>
      </c>
      <c r="R187" s="499" t="str">
        <f>IF(M187="","",VLOOKUP(M187,'G-6 Hedgerow Data'!$B$2:$AG$15,3,FALSE))</f>
        <v/>
      </c>
      <c r="S187" s="145"/>
      <c r="T187" s="499" t="str">
        <f>IFERROR(IF(AND(Q187="V.Low",OR(S187="Good",S187="Moderate")),"Error ▲",VLOOKUP(S187,'G-1 All Habitats'!$Z$2:$AA$9,2,FALSE)),"")</f>
        <v/>
      </c>
      <c r="U187" s="145"/>
      <c r="V187" s="507" t="str">
        <f>IF(U187="","",IF(VLOOKUP(U187,'G-3 Multipliers'!$L$3:$N$6,2,FALSE)=0,"Spatial Data Missing ⚠",VLOOKUP(U187,'G-3 Multipliers'!$L$3:$N$6,2,FALSE)))</f>
        <v/>
      </c>
      <c r="W187" s="505" t="str">
        <f>IF(U187="","",IF(VLOOKUP(U187,'G-3 Multipliers'!$L$3:$N$6,3,FALSE)=0,"Spatial Data Missing ⚠",VLOOKUP(U187,'G-3 Multipliers'!$L$3:$N$6,3,FALSE)))</f>
        <v/>
      </c>
      <c r="X187" s="498" t="str">
        <f>IFERROR(IF(OR(LEFT(O187,5)="Error ▲",LEFT(N187,5)="Error ▲",T187="Error ▲"),"Check Data ⚠",IF(F187&lt;R187,INDEX('G-6 Hedgerow Data'!$S$3:$AE$14,MATCH(C187,'G-6 Hedgerow Data'!$B$3:$B$14,0),MATCH(M187,'G-6 Hedgerow Data'!$S$2:$AE$2,0)),INDEX('G-6 Hedgerow Data'!$K$3:$Q$14,MATCH(M187,'G-6 Hedgerow Data'!$B$3:$B$14,0),MATCH(O187,'G-6 Hedgerow Data'!$K$2:$Q$2,0)))),"")</f>
        <v/>
      </c>
      <c r="Y187" s="195"/>
      <c r="Z187" s="195"/>
      <c r="AA187" s="507" t="str">
        <f t="shared" si="19"/>
        <v/>
      </c>
      <c r="AB187" s="521" t="str">
        <f t="shared" si="20"/>
        <v/>
      </c>
      <c r="AC187" s="522" t="str">
        <f t="shared" si="17"/>
        <v/>
      </c>
      <c r="AD187" s="537" t="str">
        <f>IF(M187="","",VLOOKUP(M187,'G-6 Hedgerow Data'!$B$3:$AG$15,31,FALSE))</f>
        <v/>
      </c>
      <c r="AE187" s="520" t="str">
        <f t="shared" si="21"/>
        <v/>
      </c>
      <c r="AF187" s="520" t="str">
        <f t="shared" si="22"/>
        <v/>
      </c>
      <c r="AG187" s="524" t="str">
        <f>IFERROR(IF(O187="","",VLOOKUP(AD187,'G-3 Multipliers'!$P$3:$Q$6,2,FALSE)),"")</f>
        <v/>
      </c>
      <c r="AH187" s="197"/>
      <c r="AI187" s="499" t="str">
        <f>IF(AH187="","",IF(VLOOKUP(AH187,'G-3 Multipliers'!$S$3:$T$6,2,FALSE)=0,"Spatial Data Missing ⚠",VLOOKUP(AH187,'G-3 Multipliers'!$S$3:$T$6,2,FALSE)))</f>
        <v/>
      </c>
      <c r="AJ187" s="545" t="str">
        <f t="shared" si="23"/>
        <v/>
      </c>
      <c r="AK187" s="149"/>
      <c r="AL187" s="150"/>
      <c r="AP187" s="31" t="str">
        <f>IFERROR(INDEX('G-6 Hedgerow Data'!$BJ$3:$BJ$15,MATCH(M187,'G-6 Hedgerow Data'!$B$3:$B$15,0)),"")</f>
        <v/>
      </c>
    </row>
    <row r="188" spans="2:42" ht="14" x14ac:dyDescent="0.3">
      <c r="B188" s="531" t="str">
        <f>'E-1 Off Site Hedge Baseline'!AK186</f>
        <v/>
      </c>
      <c r="C188" s="520" t="str">
        <f>IF(B188="","",IF(ISNA(VLOOKUP($B188,'E-1 Off Site Hedge Baseline'!$B$1:$L$257,3,FALSE)),"",(VLOOKUP($B188,'E-1 Off Site Hedge Baseline'!$B$1:$L$257,3,FALSE))))</f>
        <v/>
      </c>
      <c r="D188" s="520" t="str">
        <f>IF(B188="","",IF(ISNA(VLOOKUP($B188,'E-1 Off Site Hedge Baseline'!$B$1:$L$258,4,FALSE)),"",(VLOOKUP($B188,'E-1 Off Site Hedge Baseline'!$B$1:$L$258,4,FALSE))))</f>
        <v/>
      </c>
      <c r="E188" s="520" t="str">
        <f>IF(B188="","",IF(ISNA(VLOOKUP($B188,'E-1 Off Site Hedge Baseline'!$B$1:$L$257,5,FALSE)),"",(VLOOKUP($B188,'E-1 Off Site Hedge Baseline'!$B$1:$L$257,5,FALSE))))</f>
        <v/>
      </c>
      <c r="F188" s="520" t="str">
        <f>IF(B188="","",IF(ISNA(VLOOKUP($B188,'E-1 Off Site Hedge Baseline'!$B$1:$L$257,6,FALSE)),"",(VLOOKUP($B188,'E-1 Off Site Hedge Baseline'!$B$1:$L$257,6,FALSE))))</f>
        <v/>
      </c>
      <c r="G188" s="520" t="str">
        <f>IF(B188="","",IF(ISNA(VLOOKUP($B188,'E-1 Off Site Hedge Baseline'!$B$1:$L$257,7,FALSE)),"",(VLOOKUP($B188,'E-1 Off Site Hedge Baseline'!$B$1:$L$257,7,FALSE))))</f>
        <v/>
      </c>
      <c r="H188" s="520" t="str">
        <f>IF(B188="","",IF(ISNA(VLOOKUP($B188,'E-1 Off Site Hedge Baseline'!$B$1:$L$257,8,FALSE)),"",(VLOOKUP($B188,'E-1 Off Site Hedge Baseline'!$B$1:$L$257,8,FALSE))))</f>
        <v/>
      </c>
      <c r="I188" s="520" t="str">
        <f>IF(B188="","",IF(ISNA(VLOOKUP($B188,'E-1 Off Site Hedge Baseline'!$B$1:$L$257,10,FALSE)),"",(VLOOKUP($B188,'E-1 Off Site Hedge Baseline'!$B$1:$L$257,10,FALSE))))</f>
        <v/>
      </c>
      <c r="J188" s="520" t="str">
        <f>IF(B188="","",IF(ISNA(VLOOKUP($B188,'E-1 Off Site Hedge Baseline'!$B$1:$L$257,11,FALSE)),"",(VLOOKUP($B188,'E-1 Off Site Hedge Baseline'!$B$1:$L$257,11,FALSE))))</f>
        <v/>
      </c>
      <c r="K188" s="520" t="str">
        <f>IF(B188="","",IF(ISNA(VLOOKUP($B188,'E-1 Off Site Hedge Baseline'!$B$1:$U$257,113,FALSE)),"",(VLOOKUP($B188,'E-1 Off Site Hedge Baseline'!$B$1:$U$257,13,FALSE))))</f>
        <v/>
      </c>
      <c r="L188" s="507" t="str">
        <f>IF(B188="","",IF(ISNA(VLOOKUP($B188,'E-1 Off Site Hedge Baseline'!$B$1:$U$257,12,FALSE)),"",(VLOOKUP($B188,'E-1 Off Site Hedge Baseline'!$B$1:$U$257,12,FALSE))))</f>
        <v/>
      </c>
      <c r="M188" s="418" t="str">
        <f t="shared" si="24"/>
        <v/>
      </c>
      <c r="N188" s="498" t="str">
        <f>IFERROR(IF(B188="","",INDEX('G-6 Hedgerow Data'!$AN$3:$AZ$15,MATCH(C188,'G-6 Hedgerow Data'!$AM$3:$AM$15,0),MATCH(M188,'G-6 Hedgerow Data'!$AN$2:$AZ$2,0))),"")</f>
        <v/>
      </c>
      <c r="O188" s="499" t="str">
        <f t="shared" si="18"/>
        <v/>
      </c>
      <c r="P188" s="505" t="str">
        <f>IF(B188="","",VLOOKUP(B188,'E-1 Off Site Hedge Baseline'!$B$10:T433,16,FALSE))</f>
        <v/>
      </c>
      <c r="Q188" s="498" t="str">
        <f>IF(M188="","",VLOOKUP(M188,'G-6 Hedgerow Data'!$B$2:$AG$15,2,FALSE))</f>
        <v/>
      </c>
      <c r="R188" s="499" t="str">
        <f>IF(M188="","",VLOOKUP(M188,'G-6 Hedgerow Data'!$B$2:$AG$15,3,FALSE))</f>
        <v/>
      </c>
      <c r="S188" s="145"/>
      <c r="T188" s="499" t="str">
        <f>IFERROR(IF(AND(Q188="V.Low",OR(S188="Good",S188="Moderate")),"Error ▲",VLOOKUP(S188,'G-1 All Habitats'!$Z$2:$AA$9,2,FALSE)),"")</f>
        <v/>
      </c>
      <c r="U188" s="145"/>
      <c r="V188" s="507" t="str">
        <f>IF(U188="","",IF(VLOOKUP(U188,'G-3 Multipliers'!$L$3:$N$6,2,FALSE)=0,"Spatial Data Missing ⚠",VLOOKUP(U188,'G-3 Multipliers'!$L$3:$N$6,2,FALSE)))</f>
        <v/>
      </c>
      <c r="W188" s="505" t="str">
        <f>IF(U188="","",IF(VLOOKUP(U188,'G-3 Multipliers'!$L$3:$N$6,3,FALSE)=0,"Spatial Data Missing ⚠",VLOOKUP(U188,'G-3 Multipliers'!$L$3:$N$6,3,FALSE)))</f>
        <v/>
      </c>
      <c r="X188" s="498" t="str">
        <f>IFERROR(IF(OR(LEFT(O188,5)="Error ▲",LEFT(N188,5)="Error ▲",T188="Error ▲"),"Check Data ⚠",IF(F188&lt;R188,INDEX('G-6 Hedgerow Data'!$S$3:$AE$14,MATCH(C188,'G-6 Hedgerow Data'!$B$3:$B$14,0),MATCH(M188,'G-6 Hedgerow Data'!$S$2:$AE$2,0)),INDEX('G-6 Hedgerow Data'!$K$3:$Q$14,MATCH(M188,'G-6 Hedgerow Data'!$B$3:$B$14,0),MATCH(O188,'G-6 Hedgerow Data'!$K$2:$Q$2,0)))),"")</f>
        <v/>
      </c>
      <c r="Y188" s="195"/>
      <c r="Z188" s="195"/>
      <c r="AA188" s="507" t="str">
        <f t="shared" si="19"/>
        <v/>
      </c>
      <c r="AB188" s="521" t="str">
        <f t="shared" si="20"/>
        <v/>
      </c>
      <c r="AC188" s="522" t="str">
        <f t="shared" si="17"/>
        <v/>
      </c>
      <c r="AD188" s="537" t="str">
        <f>IF(M188="","",VLOOKUP(M188,'G-6 Hedgerow Data'!$B$3:$AG$15,31,FALSE))</f>
        <v/>
      </c>
      <c r="AE188" s="520" t="str">
        <f t="shared" si="21"/>
        <v/>
      </c>
      <c r="AF188" s="520" t="str">
        <f t="shared" si="22"/>
        <v/>
      </c>
      <c r="AG188" s="524" t="str">
        <f>IFERROR(IF(O188="","",VLOOKUP(AD188,'G-3 Multipliers'!$P$3:$Q$6,2,FALSE)),"")</f>
        <v/>
      </c>
      <c r="AH188" s="197"/>
      <c r="AI188" s="499" t="str">
        <f>IF(AH188="","",IF(VLOOKUP(AH188,'G-3 Multipliers'!$S$3:$T$6,2,FALSE)=0,"Spatial Data Missing ⚠",VLOOKUP(AH188,'G-3 Multipliers'!$S$3:$T$6,2,FALSE)))</f>
        <v/>
      </c>
      <c r="AJ188" s="545" t="str">
        <f t="shared" si="23"/>
        <v/>
      </c>
      <c r="AK188" s="149"/>
      <c r="AL188" s="150"/>
      <c r="AP188" s="31" t="str">
        <f>IFERROR(INDEX('G-6 Hedgerow Data'!$BJ$3:$BJ$15,MATCH(M188,'G-6 Hedgerow Data'!$B$3:$B$15,0)),"")</f>
        <v/>
      </c>
    </row>
    <row r="189" spans="2:42" ht="14" x14ac:dyDescent="0.3">
      <c r="B189" s="531" t="str">
        <f>'E-1 Off Site Hedge Baseline'!AK187</f>
        <v/>
      </c>
      <c r="C189" s="520" t="str">
        <f>IF(B189="","",IF(ISNA(VLOOKUP($B189,'E-1 Off Site Hedge Baseline'!$B$1:$L$257,3,FALSE)),"",(VLOOKUP($B189,'E-1 Off Site Hedge Baseline'!$B$1:$L$257,3,FALSE))))</f>
        <v/>
      </c>
      <c r="D189" s="520" t="str">
        <f>IF(B189="","",IF(ISNA(VLOOKUP($B189,'E-1 Off Site Hedge Baseline'!$B$1:$L$258,4,FALSE)),"",(VLOOKUP($B189,'E-1 Off Site Hedge Baseline'!$B$1:$L$258,4,FALSE))))</f>
        <v/>
      </c>
      <c r="E189" s="520" t="str">
        <f>IF(B189="","",IF(ISNA(VLOOKUP($B189,'E-1 Off Site Hedge Baseline'!$B$1:$L$257,5,FALSE)),"",(VLOOKUP($B189,'E-1 Off Site Hedge Baseline'!$B$1:$L$257,5,FALSE))))</f>
        <v/>
      </c>
      <c r="F189" s="520" t="str">
        <f>IF(B189="","",IF(ISNA(VLOOKUP($B189,'E-1 Off Site Hedge Baseline'!$B$1:$L$257,6,FALSE)),"",(VLOOKUP($B189,'E-1 Off Site Hedge Baseline'!$B$1:$L$257,6,FALSE))))</f>
        <v/>
      </c>
      <c r="G189" s="520" t="str">
        <f>IF(B189="","",IF(ISNA(VLOOKUP($B189,'E-1 Off Site Hedge Baseline'!$B$1:$L$257,7,FALSE)),"",(VLOOKUP($B189,'E-1 Off Site Hedge Baseline'!$B$1:$L$257,7,FALSE))))</f>
        <v/>
      </c>
      <c r="H189" s="520" t="str">
        <f>IF(B189="","",IF(ISNA(VLOOKUP($B189,'E-1 Off Site Hedge Baseline'!$B$1:$L$257,8,FALSE)),"",(VLOOKUP($B189,'E-1 Off Site Hedge Baseline'!$B$1:$L$257,8,FALSE))))</f>
        <v/>
      </c>
      <c r="I189" s="520" t="str">
        <f>IF(B189="","",IF(ISNA(VLOOKUP($B189,'E-1 Off Site Hedge Baseline'!$B$1:$L$257,10,FALSE)),"",(VLOOKUP($B189,'E-1 Off Site Hedge Baseline'!$B$1:$L$257,10,FALSE))))</f>
        <v/>
      </c>
      <c r="J189" s="520" t="str">
        <f>IF(B189="","",IF(ISNA(VLOOKUP($B189,'E-1 Off Site Hedge Baseline'!$B$1:$L$257,11,FALSE)),"",(VLOOKUP($B189,'E-1 Off Site Hedge Baseline'!$B$1:$L$257,11,FALSE))))</f>
        <v/>
      </c>
      <c r="K189" s="520" t="str">
        <f>IF(B189="","",IF(ISNA(VLOOKUP($B189,'E-1 Off Site Hedge Baseline'!$B$1:$U$257,113,FALSE)),"",(VLOOKUP($B189,'E-1 Off Site Hedge Baseline'!$B$1:$U$257,13,FALSE))))</f>
        <v/>
      </c>
      <c r="L189" s="507" t="str">
        <f>IF(B189="","",IF(ISNA(VLOOKUP($B189,'E-1 Off Site Hedge Baseline'!$B$1:$U$257,12,FALSE)),"",(VLOOKUP($B189,'E-1 Off Site Hedge Baseline'!$B$1:$U$257,12,FALSE))))</f>
        <v/>
      </c>
      <c r="M189" s="418" t="str">
        <f t="shared" si="24"/>
        <v/>
      </c>
      <c r="N189" s="498" t="str">
        <f>IFERROR(IF(B189="","",INDEX('G-6 Hedgerow Data'!$AN$3:$AZ$15,MATCH(C189,'G-6 Hedgerow Data'!$AM$3:$AM$15,0),MATCH(M189,'G-6 Hedgerow Data'!$AN$2:$AZ$2,0))),"")</f>
        <v/>
      </c>
      <c r="O189" s="499" t="str">
        <f t="shared" si="18"/>
        <v/>
      </c>
      <c r="P189" s="505" t="str">
        <f>IF(B189="","",VLOOKUP(B189,'E-1 Off Site Hedge Baseline'!$B$10:T434,16,FALSE))</f>
        <v/>
      </c>
      <c r="Q189" s="498" t="str">
        <f>IF(M189="","",VLOOKUP(M189,'G-6 Hedgerow Data'!$B$2:$AG$15,2,FALSE))</f>
        <v/>
      </c>
      <c r="R189" s="499" t="str">
        <f>IF(M189="","",VLOOKUP(M189,'G-6 Hedgerow Data'!$B$2:$AG$15,3,FALSE))</f>
        <v/>
      </c>
      <c r="S189" s="145"/>
      <c r="T189" s="499" t="str">
        <f>IFERROR(IF(AND(Q189="V.Low",OR(S189="Good",S189="Moderate")),"Error ▲",VLOOKUP(S189,'G-1 All Habitats'!$Z$2:$AA$9,2,FALSE)),"")</f>
        <v/>
      </c>
      <c r="U189" s="145"/>
      <c r="V189" s="507" t="str">
        <f>IF(U189="","",IF(VLOOKUP(U189,'G-3 Multipliers'!$L$3:$N$6,2,FALSE)=0,"Spatial Data Missing ⚠",VLOOKUP(U189,'G-3 Multipliers'!$L$3:$N$6,2,FALSE)))</f>
        <v/>
      </c>
      <c r="W189" s="505" t="str">
        <f>IF(U189="","",IF(VLOOKUP(U189,'G-3 Multipliers'!$L$3:$N$6,3,FALSE)=0,"Spatial Data Missing ⚠",VLOOKUP(U189,'G-3 Multipliers'!$L$3:$N$6,3,FALSE)))</f>
        <v/>
      </c>
      <c r="X189" s="498" t="str">
        <f>IFERROR(IF(OR(LEFT(O189,5)="Error ▲",LEFT(N189,5)="Error ▲",T189="Error ▲"),"Check Data ⚠",IF(F189&lt;R189,INDEX('G-6 Hedgerow Data'!$S$3:$AE$14,MATCH(C189,'G-6 Hedgerow Data'!$B$3:$B$14,0),MATCH(M189,'G-6 Hedgerow Data'!$S$2:$AE$2,0)),INDEX('G-6 Hedgerow Data'!$K$3:$Q$14,MATCH(M189,'G-6 Hedgerow Data'!$B$3:$B$14,0),MATCH(O189,'G-6 Hedgerow Data'!$K$2:$Q$2,0)))),"")</f>
        <v/>
      </c>
      <c r="Y189" s="195"/>
      <c r="Z189" s="195"/>
      <c r="AA189" s="507" t="str">
        <f t="shared" si="19"/>
        <v/>
      </c>
      <c r="AB189" s="521" t="str">
        <f t="shared" si="20"/>
        <v/>
      </c>
      <c r="AC189" s="522" t="str">
        <f t="shared" si="17"/>
        <v/>
      </c>
      <c r="AD189" s="537" t="str">
        <f>IF(M189="","",VLOOKUP(M189,'G-6 Hedgerow Data'!$B$3:$AG$15,31,FALSE))</f>
        <v/>
      </c>
      <c r="AE189" s="520" t="str">
        <f t="shared" si="21"/>
        <v/>
      </c>
      <c r="AF189" s="520" t="str">
        <f t="shared" si="22"/>
        <v/>
      </c>
      <c r="AG189" s="524" t="str">
        <f>IFERROR(IF(O189="","",VLOOKUP(AD189,'G-3 Multipliers'!$P$3:$Q$6,2,FALSE)),"")</f>
        <v/>
      </c>
      <c r="AH189" s="197"/>
      <c r="AI189" s="499" t="str">
        <f>IF(AH189="","",IF(VLOOKUP(AH189,'G-3 Multipliers'!$S$3:$T$6,2,FALSE)=0,"Spatial Data Missing ⚠",VLOOKUP(AH189,'G-3 Multipliers'!$S$3:$T$6,2,FALSE)))</f>
        <v/>
      </c>
      <c r="AJ189" s="545" t="str">
        <f t="shared" si="23"/>
        <v/>
      </c>
      <c r="AK189" s="149"/>
      <c r="AL189" s="150"/>
      <c r="AP189" s="31" t="str">
        <f>IFERROR(INDEX('G-6 Hedgerow Data'!$BJ$3:$BJ$15,MATCH(M189,'G-6 Hedgerow Data'!$B$3:$B$15,0)),"")</f>
        <v/>
      </c>
    </row>
    <row r="190" spans="2:42" ht="14" x14ac:dyDescent="0.3">
      <c r="B190" s="531" t="str">
        <f>'E-1 Off Site Hedge Baseline'!AK188</f>
        <v/>
      </c>
      <c r="C190" s="520" t="str">
        <f>IF(B190="","",IF(ISNA(VLOOKUP($B190,'E-1 Off Site Hedge Baseline'!$B$1:$L$257,3,FALSE)),"",(VLOOKUP($B190,'E-1 Off Site Hedge Baseline'!$B$1:$L$257,3,FALSE))))</f>
        <v/>
      </c>
      <c r="D190" s="520" t="str">
        <f>IF(B190="","",IF(ISNA(VLOOKUP($B190,'E-1 Off Site Hedge Baseline'!$B$1:$L$258,4,FALSE)),"",(VLOOKUP($B190,'E-1 Off Site Hedge Baseline'!$B$1:$L$258,4,FALSE))))</f>
        <v/>
      </c>
      <c r="E190" s="520" t="str">
        <f>IF(B190="","",IF(ISNA(VLOOKUP($B190,'E-1 Off Site Hedge Baseline'!$B$1:$L$257,5,FALSE)),"",(VLOOKUP($B190,'E-1 Off Site Hedge Baseline'!$B$1:$L$257,5,FALSE))))</f>
        <v/>
      </c>
      <c r="F190" s="520" t="str">
        <f>IF(B190="","",IF(ISNA(VLOOKUP($B190,'E-1 Off Site Hedge Baseline'!$B$1:$L$257,6,FALSE)),"",(VLOOKUP($B190,'E-1 Off Site Hedge Baseline'!$B$1:$L$257,6,FALSE))))</f>
        <v/>
      </c>
      <c r="G190" s="520" t="str">
        <f>IF(B190="","",IF(ISNA(VLOOKUP($B190,'E-1 Off Site Hedge Baseline'!$B$1:$L$257,7,FALSE)),"",(VLOOKUP($B190,'E-1 Off Site Hedge Baseline'!$B$1:$L$257,7,FALSE))))</f>
        <v/>
      </c>
      <c r="H190" s="520" t="str">
        <f>IF(B190="","",IF(ISNA(VLOOKUP($B190,'E-1 Off Site Hedge Baseline'!$B$1:$L$257,8,FALSE)),"",(VLOOKUP($B190,'E-1 Off Site Hedge Baseline'!$B$1:$L$257,8,FALSE))))</f>
        <v/>
      </c>
      <c r="I190" s="520" t="str">
        <f>IF(B190="","",IF(ISNA(VLOOKUP($B190,'E-1 Off Site Hedge Baseline'!$B$1:$L$257,10,FALSE)),"",(VLOOKUP($B190,'E-1 Off Site Hedge Baseline'!$B$1:$L$257,10,FALSE))))</f>
        <v/>
      </c>
      <c r="J190" s="520" t="str">
        <f>IF(B190="","",IF(ISNA(VLOOKUP($B190,'E-1 Off Site Hedge Baseline'!$B$1:$L$257,11,FALSE)),"",(VLOOKUP($B190,'E-1 Off Site Hedge Baseline'!$B$1:$L$257,11,FALSE))))</f>
        <v/>
      </c>
      <c r="K190" s="520" t="str">
        <f>IF(B190="","",IF(ISNA(VLOOKUP($B190,'E-1 Off Site Hedge Baseline'!$B$1:$U$257,113,FALSE)),"",(VLOOKUP($B190,'E-1 Off Site Hedge Baseline'!$B$1:$U$257,13,FALSE))))</f>
        <v/>
      </c>
      <c r="L190" s="507" t="str">
        <f>IF(B190="","",IF(ISNA(VLOOKUP($B190,'E-1 Off Site Hedge Baseline'!$B$1:$U$257,12,FALSE)),"",(VLOOKUP($B190,'E-1 Off Site Hedge Baseline'!$B$1:$U$257,12,FALSE))))</f>
        <v/>
      </c>
      <c r="M190" s="418" t="str">
        <f t="shared" si="24"/>
        <v/>
      </c>
      <c r="N190" s="498" t="str">
        <f>IFERROR(IF(B190="","",INDEX('G-6 Hedgerow Data'!$AN$3:$AZ$15,MATCH(C190,'G-6 Hedgerow Data'!$AM$3:$AM$15,0),MATCH(M190,'G-6 Hedgerow Data'!$AN$2:$AZ$2,0))),"")</f>
        <v/>
      </c>
      <c r="O190" s="499" t="str">
        <f t="shared" si="18"/>
        <v/>
      </c>
      <c r="P190" s="505" t="str">
        <f>IF(B190="","",VLOOKUP(B190,'E-1 Off Site Hedge Baseline'!$B$10:T435,16,FALSE))</f>
        <v/>
      </c>
      <c r="Q190" s="498" t="str">
        <f>IF(M190="","",VLOOKUP(M190,'G-6 Hedgerow Data'!$B$2:$AG$15,2,FALSE))</f>
        <v/>
      </c>
      <c r="R190" s="499" t="str">
        <f>IF(M190="","",VLOOKUP(M190,'G-6 Hedgerow Data'!$B$2:$AG$15,3,FALSE))</f>
        <v/>
      </c>
      <c r="S190" s="145"/>
      <c r="T190" s="499" t="str">
        <f>IFERROR(IF(AND(Q190="V.Low",OR(S190="Good",S190="Moderate")),"Error ▲",VLOOKUP(S190,'G-1 All Habitats'!$Z$2:$AA$9,2,FALSE)),"")</f>
        <v/>
      </c>
      <c r="U190" s="145"/>
      <c r="V190" s="507" t="str">
        <f>IF(U190="","",IF(VLOOKUP(U190,'G-3 Multipliers'!$L$3:$N$6,2,FALSE)=0,"Spatial Data Missing ⚠",VLOOKUP(U190,'G-3 Multipliers'!$L$3:$N$6,2,FALSE)))</f>
        <v/>
      </c>
      <c r="W190" s="505" t="str">
        <f>IF(U190="","",IF(VLOOKUP(U190,'G-3 Multipliers'!$L$3:$N$6,3,FALSE)=0,"Spatial Data Missing ⚠",VLOOKUP(U190,'G-3 Multipliers'!$L$3:$N$6,3,FALSE)))</f>
        <v/>
      </c>
      <c r="X190" s="498" t="str">
        <f>IFERROR(IF(OR(LEFT(O190,5)="Error ▲",LEFT(N190,5)="Error ▲",T190="Error ▲"),"Check Data ⚠",IF(F190&lt;R190,INDEX('G-6 Hedgerow Data'!$S$3:$AE$14,MATCH(C190,'G-6 Hedgerow Data'!$B$3:$B$14,0),MATCH(M190,'G-6 Hedgerow Data'!$S$2:$AE$2,0)),INDEX('G-6 Hedgerow Data'!$K$3:$Q$14,MATCH(M190,'G-6 Hedgerow Data'!$B$3:$B$14,0),MATCH(O190,'G-6 Hedgerow Data'!$K$2:$Q$2,0)))),"")</f>
        <v/>
      </c>
      <c r="Y190" s="195"/>
      <c r="Z190" s="195"/>
      <c r="AA190" s="507" t="str">
        <f t="shared" si="19"/>
        <v/>
      </c>
      <c r="AB190" s="521" t="str">
        <f t="shared" si="20"/>
        <v/>
      </c>
      <c r="AC190" s="522" t="str">
        <f t="shared" si="17"/>
        <v/>
      </c>
      <c r="AD190" s="537" t="str">
        <f>IF(M190="","",VLOOKUP(M190,'G-6 Hedgerow Data'!$B$3:$AG$15,31,FALSE))</f>
        <v/>
      </c>
      <c r="AE190" s="520" t="str">
        <f t="shared" si="21"/>
        <v/>
      </c>
      <c r="AF190" s="520" t="str">
        <f t="shared" si="22"/>
        <v/>
      </c>
      <c r="AG190" s="524" t="str">
        <f>IFERROR(IF(O190="","",VLOOKUP(AD190,'G-3 Multipliers'!$P$3:$Q$6,2,FALSE)),"")</f>
        <v/>
      </c>
      <c r="AH190" s="197"/>
      <c r="AI190" s="499" t="str">
        <f>IF(AH190="","",IF(VLOOKUP(AH190,'G-3 Multipliers'!$S$3:$T$6,2,FALSE)=0,"Spatial Data Missing ⚠",VLOOKUP(AH190,'G-3 Multipliers'!$S$3:$T$6,2,FALSE)))</f>
        <v/>
      </c>
      <c r="AJ190" s="545" t="str">
        <f t="shared" si="23"/>
        <v/>
      </c>
      <c r="AK190" s="149"/>
      <c r="AL190" s="150"/>
      <c r="AP190" s="31" t="str">
        <f>IFERROR(INDEX('G-6 Hedgerow Data'!$BJ$3:$BJ$15,MATCH(M190,'G-6 Hedgerow Data'!$B$3:$B$15,0)),"")</f>
        <v/>
      </c>
    </row>
    <row r="191" spans="2:42" ht="14" x14ac:dyDescent="0.3">
      <c r="B191" s="531" t="str">
        <f>'E-1 Off Site Hedge Baseline'!AK189</f>
        <v/>
      </c>
      <c r="C191" s="520" t="str">
        <f>IF(B191="","",IF(ISNA(VLOOKUP($B191,'E-1 Off Site Hedge Baseline'!$B$1:$L$257,3,FALSE)),"",(VLOOKUP($B191,'E-1 Off Site Hedge Baseline'!$B$1:$L$257,3,FALSE))))</f>
        <v/>
      </c>
      <c r="D191" s="520" t="str">
        <f>IF(B191="","",IF(ISNA(VLOOKUP($B191,'E-1 Off Site Hedge Baseline'!$B$1:$L$258,4,FALSE)),"",(VLOOKUP($B191,'E-1 Off Site Hedge Baseline'!$B$1:$L$258,4,FALSE))))</f>
        <v/>
      </c>
      <c r="E191" s="520" t="str">
        <f>IF(B191="","",IF(ISNA(VLOOKUP($B191,'E-1 Off Site Hedge Baseline'!$B$1:$L$257,5,FALSE)),"",(VLOOKUP($B191,'E-1 Off Site Hedge Baseline'!$B$1:$L$257,5,FALSE))))</f>
        <v/>
      </c>
      <c r="F191" s="520" t="str">
        <f>IF(B191="","",IF(ISNA(VLOOKUP($B191,'E-1 Off Site Hedge Baseline'!$B$1:$L$257,6,FALSE)),"",(VLOOKUP($B191,'E-1 Off Site Hedge Baseline'!$B$1:$L$257,6,FALSE))))</f>
        <v/>
      </c>
      <c r="G191" s="520" t="str">
        <f>IF(B191="","",IF(ISNA(VLOOKUP($B191,'E-1 Off Site Hedge Baseline'!$B$1:$L$257,7,FALSE)),"",(VLOOKUP($B191,'E-1 Off Site Hedge Baseline'!$B$1:$L$257,7,FALSE))))</f>
        <v/>
      </c>
      <c r="H191" s="520" t="str">
        <f>IF(B191="","",IF(ISNA(VLOOKUP($B191,'E-1 Off Site Hedge Baseline'!$B$1:$L$257,8,FALSE)),"",(VLOOKUP($B191,'E-1 Off Site Hedge Baseline'!$B$1:$L$257,8,FALSE))))</f>
        <v/>
      </c>
      <c r="I191" s="520" t="str">
        <f>IF(B191="","",IF(ISNA(VLOOKUP($B191,'E-1 Off Site Hedge Baseline'!$B$1:$L$257,10,FALSE)),"",(VLOOKUP($B191,'E-1 Off Site Hedge Baseline'!$B$1:$L$257,10,FALSE))))</f>
        <v/>
      </c>
      <c r="J191" s="520" t="str">
        <f>IF(B191="","",IF(ISNA(VLOOKUP($B191,'E-1 Off Site Hedge Baseline'!$B$1:$L$257,11,FALSE)),"",(VLOOKUP($B191,'E-1 Off Site Hedge Baseline'!$B$1:$L$257,11,FALSE))))</f>
        <v/>
      </c>
      <c r="K191" s="520" t="str">
        <f>IF(B191="","",IF(ISNA(VLOOKUP($B191,'E-1 Off Site Hedge Baseline'!$B$1:$U$257,113,FALSE)),"",(VLOOKUP($B191,'E-1 Off Site Hedge Baseline'!$B$1:$U$257,13,FALSE))))</f>
        <v/>
      </c>
      <c r="L191" s="507" t="str">
        <f>IF(B191="","",IF(ISNA(VLOOKUP($B191,'E-1 Off Site Hedge Baseline'!$B$1:$U$257,12,FALSE)),"",(VLOOKUP($B191,'E-1 Off Site Hedge Baseline'!$B$1:$U$257,12,FALSE))))</f>
        <v/>
      </c>
      <c r="M191" s="418" t="str">
        <f t="shared" si="24"/>
        <v/>
      </c>
      <c r="N191" s="498" t="str">
        <f>IFERROR(IF(B191="","",INDEX('G-6 Hedgerow Data'!$AN$3:$AZ$15,MATCH(C191,'G-6 Hedgerow Data'!$AM$3:$AM$15,0),MATCH(M191,'G-6 Hedgerow Data'!$AN$2:$AZ$2,0))),"")</f>
        <v/>
      </c>
      <c r="O191" s="499" t="str">
        <f t="shared" si="18"/>
        <v/>
      </c>
      <c r="P191" s="505" t="str">
        <f>IF(B191="","",VLOOKUP(B191,'E-1 Off Site Hedge Baseline'!$B$10:T436,16,FALSE))</f>
        <v/>
      </c>
      <c r="Q191" s="498" t="str">
        <f>IF(M191="","",VLOOKUP(M191,'G-6 Hedgerow Data'!$B$2:$AG$15,2,FALSE))</f>
        <v/>
      </c>
      <c r="R191" s="499" t="str">
        <f>IF(M191="","",VLOOKUP(M191,'G-6 Hedgerow Data'!$B$2:$AG$15,3,FALSE))</f>
        <v/>
      </c>
      <c r="S191" s="145"/>
      <c r="T191" s="499" t="str">
        <f>IFERROR(IF(AND(Q191="V.Low",OR(S191="Good",S191="Moderate")),"Error ▲",VLOOKUP(S191,'G-1 All Habitats'!$Z$2:$AA$9,2,FALSE)),"")</f>
        <v/>
      </c>
      <c r="U191" s="145"/>
      <c r="V191" s="507" t="str">
        <f>IF(U191="","",IF(VLOOKUP(U191,'G-3 Multipliers'!$L$3:$N$6,2,FALSE)=0,"Spatial Data Missing ⚠",VLOOKUP(U191,'G-3 Multipliers'!$L$3:$N$6,2,FALSE)))</f>
        <v/>
      </c>
      <c r="W191" s="505" t="str">
        <f>IF(U191="","",IF(VLOOKUP(U191,'G-3 Multipliers'!$L$3:$N$6,3,FALSE)=0,"Spatial Data Missing ⚠",VLOOKUP(U191,'G-3 Multipliers'!$L$3:$N$6,3,FALSE)))</f>
        <v/>
      </c>
      <c r="X191" s="498" t="str">
        <f>IFERROR(IF(OR(LEFT(O191,5)="Error ▲",LEFT(N191,5)="Error ▲",T191="Error ▲"),"Check Data ⚠",IF(F191&lt;R191,INDEX('G-6 Hedgerow Data'!$S$3:$AE$14,MATCH(C191,'G-6 Hedgerow Data'!$B$3:$B$14,0),MATCH(M191,'G-6 Hedgerow Data'!$S$2:$AE$2,0)),INDEX('G-6 Hedgerow Data'!$K$3:$Q$14,MATCH(M191,'G-6 Hedgerow Data'!$B$3:$B$14,0),MATCH(O191,'G-6 Hedgerow Data'!$K$2:$Q$2,0)))),"")</f>
        <v/>
      </c>
      <c r="Y191" s="195"/>
      <c r="Z191" s="195"/>
      <c r="AA191" s="507" t="str">
        <f t="shared" si="19"/>
        <v/>
      </c>
      <c r="AB191" s="521" t="str">
        <f t="shared" si="20"/>
        <v/>
      </c>
      <c r="AC191" s="522" t="str">
        <f t="shared" si="17"/>
        <v/>
      </c>
      <c r="AD191" s="537" t="str">
        <f>IF(M191="","",VLOOKUP(M191,'G-6 Hedgerow Data'!$B$3:$AG$15,31,FALSE))</f>
        <v/>
      </c>
      <c r="AE191" s="520" t="str">
        <f t="shared" si="21"/>
        <v/>
      </c>
      <c r="AF191" s="520" t="str">
        <f t="shared" si="22"/>
        <v/>
      </c>
      <c r="AG191" s="524" t="str">
        <f>IFERROR(IF(O191="","",VLOOKUP(AD191,'G-3 Multipliers'!$P$3:$Q$6,2,FALSE)),"")</f>
        <v/>
      </c>
      <c r="AH191" s="197"/>
      <c r="AI191" s="499" t="str">
        <f>IF(AH191="","",IF(VLOOKUP(AH191,'G-3 Multipliers'!$S$3:$T$6,2,FALSE)=0,"Spatial Data Missing ⚠",VLOOKUP(AH191,'G-3 Multipliers'!$S$3:$T$6,2,FALSE)))</f>
        <v/>
      </c>
      <c r="AJ191" s="545" t="str">
        <f t="shared" si="23"/>
        <v/>
      </c>
      <c r="AK191" s="149"/>
      <c r="AL191" s="150"/>
      <c r="AP191" s="31" t="str">
        <f>IFERROR(INDEX('G-6 Hedgerow Data'!$BJ$3:$BJ$15,MATCH(M191,'G-6 Hedgerow Data'!$B$3:$B$15,0)),"")</f>
        <v/>
      </c>
    </row>
    <row r="192" spans="2:42" ht="14" x14ac:dyDescent="0.3">
      <c r="B192" s="531" t="str">
        <f>'E-1 Off Site Hedge Baseline'!AK190</f>
        <v/>
      </c>
      <c r="C192" s="520" t="str">
        <f>IF(B192="","",IF(ISNA(VLOOKUP($B192,'E-1 Off Site Hedge Baseline'!$B$1:$L$257,3,FALSE)),"",(VLOOKUP($B192,'E-1 Off Site Hedge Baseline'!$B$1:$L$257,3,FALSE))))</f>
        <v/>
      </c>
      <c r="D192" s="520" t="str">
        <f>IF(B192="","",IF(ISNA(VLOOKUP($B192,'E-1 Off Site Hedge Baseline'!$B$1:$L$258,4,FALSE)),"",(VLOOKUP($B192,'E-1 Off Site Hedge Baseline'!$B$1:$L$258,4,FALSE))))</f>
        <v/>
      </c>
      <c r="E192" s="520" t="str">
        <f>IF(B192="","",IF(ISNA(VLOOKUP($B192,'E-1 Off Site Hedge Baseline'!$B$1:$L$257,5,FALSE)),"",(VLOOKUP($B192,'E-1 Off Site Hedge Baseline'!$B$1:$L$257,5,FALSE))))</f>
        <v/>
      </c>
      <c r="F192" s="520" t="str">
        <f>IF(B192="","",IF(ISNA(VLOOKUP($B192,'E-1 Off Site Hedge Baseline'!$B$1:$L$257,6,FALSE)),"",(VLOOKUP($B192,'E-1 Off Site Hedge Baseline'!$B$1:$L$257,6,FALSE))))</f>
        <v/>
      </c>
      <c r="G192" s="520" t="str">
        <f>IF(B192="","",IF(ISNA(VLOOKUP($B192,'E-1 Off Site Hedge Baseline'!$B$1:$L$257,7,FALSE)),"",(VLOOKUP($B192,'E-1 Off Site Hedge Baseline'!$B$1:$L$257,7,FALSE))))</f>
        <v/>
      </c>
      <c r="H192" s="520" t="str">
        <f>IF(B192="","",IF(ISNA(VLOOKUP($B192,'E-1 Off Site Hedge Baseline'!$B$1:$L$257,8,FALSE)),"",(VLOOKUP($B192,'E-1 Off Site Hedge Baseline'!$B$1:$L$257,8,FALSE))))</f>
        <v/>
      </c>
      <c r="I192" s="520" t="str">
        <f>IF(B192="","",IF(ISNA(VLOOKUP($B192,'E-1 Off Site Hedge Baseline'!$B$1:$L$257,10,FALSE)),"",(VLOOKUP($B192,'E-1 Off Site Hedge Baseline'!$B$1:$L$257,10,FALSE))))</f>
        <v/>
      </c>
      <c r="J192" s="520" t="str">
        <f>IF(B192="","",IF(ISNA(VLOOKUP($B192,'E-1 Off Site Hedge Baseline'!$B$1:$L$257,11,FALSE)),"",(VLOOKUP($B192,'E-1 Off Site Hedge Baseline'!$B$1:$L$257,11,FALSE))))</f>
        <v/>
      </c>
      <c r="K192" s="520" t="str">
        <f>IF(B192="","",IF(ISNA(VLOOKUP($B192,'E-1 Off Site Hedge Baseline'!$B$1:$U$257,113,FALSE)),"",(VLOOKUP($B192,'E-1 Off Site Hedge Baseline'!$B$1:$U$257,13,FALSE))))</f>
        <v/>
      </c>
      <c r="L192" s="507" t="str">
        <f>IF(B192="","",IF(ISNA(VLOOKUP($B192,'E-1 Off Site Hedge Baseline'!$B$1:$U$257,12,FALSE)),"",(VLOOKUP($B192,'E-1 Off Site Hedge Baseline'!$B$1:$U$257,12,FALSE))))</f>
        <v/>
      </c>
      <c r="M192" s="418" t="str">
        <f t="shared" si="24"/>
        <v/>
      </c>
      <c r="N192" s="498" t="str">
        <f>IFERROR(IF(B192="","",INDEX('G-6 Hedgerow Data'!$AN$3:$AZ$15,MATCH(C192,'G-6 Hedgerow Data'!$AM$3:$AM$15,0),MATCH(M192,'G-6 Hedgerow Data'!$AN$2:$AZ$2,0))),"")</f>
        <v/>
      </c>
      <c r="O192" s="499" t="str">
        <f t="shared" si="18"/>
        <v/>
      </c>
      <c r="P192" s="505" t="str">
        <f>IF(B192="","",VLOOKUP(B192,'E-1 Off Site Hedge Baseline'!$B$10:T437,16,FALSE))</f>
        <v/>
      </c>
      <c r="Q192" s="498" t="str">
        <f>IF(M192="","",VLOOKUP(M192,'G-6 Hedgerow Data'!$B$2:$AG$15,2,FALSE))</f>
        <v/>
      </c>
      <c r="R192" s="499" t="str">
        <f>IF(M192="","",VLOOKUP(M192,'G-6 Hedgerow Data'!$B$2:$AG$15,3,FALSE))</f>
        <v/>
      </c>
      <c r="S192" s="145"/>
      <c r="T192" s="499" t="str">
        <f>IFERROR(IF(AND(Q192="V.Low",OR(S192="Good",S192="Moderate")),"Error ▲",VLOOKUP(S192,'G-1 All Habitats'!$Z$2:$AA$9,2,FALSE)),"")</f>
        <v/>
      </c>
      <c r="U192" s="145"/>
      <c r="V192" s="507" t="str">
        <f>IF(U192="","",IF(VLOOKUP(U192,'G-3 Multipliers'!$L$3:$N$6,2,FALSE)=0,"Spatial Data Missing ⚠",VLOOKUP(U192,'G-3 Multipliers'!$L$3:$N$6,2,FALSE)))</f>
        <v/>
      </c>
      <c r="W192" s="505" t="str">
        <f>IF(U192="","",IF(VLOOKUP(U192,'G-3 Multipliers'!$L$3:$N$6,3,FALSE)=0,"Spatial Data Missing ⚠",VLOOKUP(U192,'G-3 Multipliers'!$L$3:$N$6,3,FALSE)))</f>
        <v/>
      </c>
      <c r="X192" s="498" t="str">
        <f>IFERROR(IF(OR(LEFT(O192,5)="Error ▲",LEFT(N192,5)="Error ▲",T192="Error ▲"),"Check Data ⚠",IF(F192&lt;R192,INDEX('G-6 Hedgerow Data'!$S$3:$AE$14,MATCH(C192,'G-6 Hedgerow Data'!$B$3:$B$14,0),MATCH(M192,'G-6 Hedgerow Data'!$S$2:$AE$2,0)),INDEX('G-6 Hedgerow Data'!$K$3:$Q$14,MATCH(M192,'G-6 Hedgerow Data'!$B$3:$B$14,0),MATCH(O192,'G-6 Hedgerow Data'!$K$2:$Q$2,0)))),"")</f>
        <v/>
      </c>
      <c r="Y192" s="195"/>
      <c r="Z192" s="195"/>
      <c r="AA192" s="507" t="str">
        <f t="shared" si="19"/>
        <v/>
      </c>
      <c r="AB192" s="521" t="str">
        <f t="shared" si="20"/>
        <v/>
      </c>
      <c r="AC192" s="522" t="str">
        <f t="shared" si="17"/>
        <v/>
      </c>
      <c r="AD192" s="537" t="str">
        <f>IF(M192="","",VLOOKUP(M192,'G-6 Hedgerow Data'!$B$3:$AG$15,31,FALSE))</f>
        <v/>
      </c>
      <c r="AE192" s="520" t="str">
        <f t="shared" si="21"/>
        <v/>
      </c>
      <c r="AF192" s="520" t="str">
        <f t="shared" si="22"/>
        <v/>
      </c>
      <c r="AG192" s="524" t="str">
        <f>IFERROR(IF(O192="","",VLOOKUP(AD192,'G-3 Multipliers'!$P$3:$Q$6,2,FALSE)),"")</f>
        <v/>
      </c>
      <c r="AH192" s="197"/>
      <c r="AI192" s="499" t="str">
        <f>IF(AH192="","",IF(VLOOKUP(AH192,'G-3 Multipliers'!$S$3:$T$6,2,FALSE)=0,"Spatial Data Missing ⚠",VLOOKUP(AH192,'G-3 Multipliers'!$S$3:$T$6,2,FALSE)))</f>
        <v/>
      </c>
      <c r="AJ192" s="545" t="str">
        <f t="shared" si="23"/>
        <v/>
      </c>
      <c r="AK192" s="149"/>
      <c r="AL192" s="150"/>
      <c r="AP192" s="31" t="str">
        <f>IFERROR(INDEX('G-6 Hedgerow Data'!$BJ$3:$BJ$15,MATCH(M192,'G-6 Hedgerow Data'!$B$3:$B$15,0)),"")</f>
        <v/>
      </c>
    </row>
    <row r="193" spans="2:42" ht="14" x14ac:dyDescent="0.3">
      <c r="B193" s="531" t="str">
        <f>'E-1 Off Site Hedge Baseline'!AK191</f>
        <v/>
      </c>
      <c r="C193" s="520" t="str">
        <f>IF(B193="","",IF(ISNA(VLOOKUP($B193,'E-1 Off Site Hedge Baseline'!$B$1:$L$257,3,FALSE)),"",(VLOOKUP($B193,'E-1 Off Site Hedge Baseline'!$B$1:$L$257,3,FALSE))))</f>
        <v/>
      </c>
      <c r="D193" s="520" t="str">
        <f>IF(B193="","",IF(ISNA(VLOOKUP($B193,'E-1 Off Site Hedge Baseline'!$B$1:$L$258,4,FALSE)),"",(VLOOKUP($B193,'E-1 Off Site Hedge Baseline'!$B$1:$L$258,4,FALSE))))</f>
        <v/>
      </c>
      <c r="E193" s="520" t="str">
        <f>IF(B193="","",IF(ISNA(VLOOKUP($B193,'E-1 Off Site Hedge Baseline'!$B$1:$L$257,5,FALSE)),"",(VLOOKUP($B193,'E-1 Off Site Hedge Baseline'!$B$1:$L$257,5,FALSE))))</f>
        <v/>
      </c>
      <c r="F193" s="520" t="str">
        <f>IF(B193="","",IF(ISNA(VLOOKUP($B193,'E-1 Off Site Hedge Baseline'!$B$1:$L$257,6,FALSE)),"",(VLOOKUP($B193,'E-1 Off Site Hedge Baseline'!$B$1:$L$257,6,FALSE))))</f>
        <v/>
      </c>
      <c r="G193" s="520" t="str">
        <f>IF(B193="","",IF(ISNA(VLOOKUP($B193,'E-1 Off Site Hedge Baseline'!$B$1:$L$257,7,FALSE)),"",(VLOOKUP($B193,'E-1 Off Site Hedge Baseline'!$B$1:$L$257,7,FALSE))))</f>
        <v/>
      </c>
      <c r="H193" s="520" t="str">
        <f>IF(B193="","",IF(ISNA(VLOOKUP($B193,'E-1 Off Site Hedge Baseline'!$B$1:$L$257,8,FALSE)),"",(VLOOKUP($B193,'E-1 Off Site Hedge Baseline'!$B$1:$L$257,8,FALSE))))</f>
        <v/>
      </c>
      <c r="I193" s="520" t="str">
        <f>IF(B193="","",IF(ISNA(VLOOKUP($B193,'E-1 Off Site Hedge Baseline'!$B$1:$L$257,10,FALSE)),"",(VLOOKUP($B193,'E-1 Off Site Hedge Baseline'!$B$1:$L$257,10,FALSE))))</f>
        <v/>
      </c>
      <c r="J193" s="520" t="str">
        <f>IF(B193="","",IF(ISNA(VLOOKUP($B193,'E-1 Off Site Hedge Baseline'!$B$1:$L$257,11,FALSE)),"",(VLOOKUP($B193,'E-1 Off Site Hedge Baseline'!$B$1:$L$257,11,FALSE))))</f>
        <v/>
      </c>
      <c r="K193" s="520" t="str">
        <f>IF(B193="","",IF(ISNA(VLOOKUP($B193,'E-1 Off Site Hedge Baseline'!$B$1:$U$257,113,FALSE)),"",(VLOOKUP($B193,'E-1 Off Site Hedge Baseline'!$B$1:$U$257,13,FALSE))))</f>
        <v/>
      </c>
      <c r="L193" s="507" t="str">
        <f>IF(B193="","",IF(ISNA(VLOOKUP($B193,'E-1 Off Site Hedge Baseline'!$B$1:$U$257,12,FALSE)),"",(VLOOKUP($B193,'E-1 Off Site Hedge Baseline'!$B$1:$U$257,12,FALSE))))</f>
        <v/>
      </c>
      <c r="M193" s="418" t="str">
        <f t="shared" si="24"/>
        <v/>
      </c>
      <c r="N193" s="498" t="str">
        <f>IFERROR(IF(B193="","",INDEX('G-6 Hedgerow Data'!$AN$3:$AZ$15,MATCH(C193,'G-6 Hedgerow Data'!$AM$3:$AM$15,0),MATCH(M193,'G-6 Hedgerow Data'!$AN$2:$AZ$2,0))),"")</f>
        <v/>
      </c>
      <c r="O193" s="499" t="str">
        <f t="shared" si="18"/>
        <v/>
      </c>
      <c r="P193" s="505" t="str">
        <f>IF(B193="","",VLOOKUP(B193,'E-1 Off Site Hedge Baseline'!$B$10:T438,16,FALSE))</f>
        <v/>
      </c>
      <c r="Q193" s="498" t="str">
        <f>IF(M193="","",VLOOKUP(M193,'G-6 Hedgerow Data'!$B$2:$AG$15,2,FALSE))</f>
        <v/>
      </c>
      <c r="R193" s="499" t="str">
        <f>IF(M193="","",VLOOKUP(M193,'G-6 Hedgerow Data'!$B$2:$AG$15,3,FALSE))</f>
        <v/>
      </c>
      <c r="S193" s="145"/>
      <c r="T193" s="499" t="str">
        <f>IFERROR(IF(AND(Q193="V.Low",OR(S193="Good",S193="Moderate")),"Error ▲",VLOOKUP(S193,'G-1 All Habitats'!$Z$2:$AA$9,2,FALSE)),"")</f>
        <v/>
      </c>
      <c r="U193" s="145"/>
      <c r="V193" s="507" t="str">
        <f>IF(U193="","",IF(VLOOKUP(U193,'G-3 Multipliers'!$L$3:$N$6,2,FALSE)=0,"Spatial Data Missing ⚠",VLOOKUP(U193,'G-3 Multipliers'!$L$3:$N$6,2,FALSE)))</f>
        <v/>
      </c>
      <c r="W193" s="505" t="str">
        <f>IF(U193="","",IF(VLOOKUP(U193,'G-3 Multipliers'!$L$3:$N$6,3,FALSE)=0,"Spatial Data Missing ⚠",VLOOKUP(U193,'G-3 Multipliers'!$L$3:$N$6,3,FALSE)))</f>
        <v/>
      </c>
      <c r="X193" s="498" t="str">
        <f>IFERROR(IF(OR(LEFT(O193,5)="Error ▲",LEFT(N193,5)="Error ▲",T193="Error ▲"),"Check Data ⚠",IF(F193&lt;R193,INDEX('G-6 Hedgerow Data'!$S$3:$AE$14,MATCH(C193,'G-6 Hedgerow Data'!$B$3:$B$14,0),MATCH(M193,'G-6 Hedgerow Data'!$S$2:$AE$2,0)),INDEX('G-6 Hedgerow Data'!$K$3:$Q$14,MATCH(M193,'G-6 Hedgerow Data'!$B$3:$B$14,0),MATCH(O193,'G-6 Hedgerow Data'!$K$2:$Q$2,0)))),"")</f>
        <v/>
      </c>
      <c r="Y193" s="195"/>
      <c r="Z193" s="195"/>
      <c r="AA193" s="507" t="str">
        <f t="shared" si="19"/>
        <v/>
      </c>
      <c r="AB193" s="521" t="str">
        <f t="shared" si="20"/>
        <v/>
      </c>
      <c r="AC193" s="522" t="str">
        <f t="shared" si="17"/>
        <v/>
      </c>
      <c r="AD193" s="537" t="str">
        <f>IF(M193="","",VLOOKUP(M193,'G-6 Hedgerow Data'!$B$3:$AG$15,31,FALSE))</f>
        <v/>
      </c>
      <c r="AE193" s="520" t="str">
        <f t="shared" si="21"/>
        <v/>
      </c>
      <c r="AF193" s="520" t="str">
        <f t="shared" si="22"/>
        <v/>
      </c>
      <c r="AG193" s="524" t="str">
        <f>IFERROR(IF(O193="","",VLOOKUP(AD193,'G-3 Multipliers'!$P$3:$Q$6,2,FALSE)),"")</f>
        <v/>
      </c>
      <c r="AH193" s="197"/>
      <c r="AI193" s="499" t="str">
        <f>IF(AH193="","",IF(VLOOKUP(AH193,'G-3 Multipliers'!$S$3:$T$6,2,FALSE)=0,"Spatial Data Missing ⚠",VLOOKUP(AH193,'G-3 Multipliers'!$S$3:$T$6,2,FALSE)))</f>
        <v/>
      </c>
      <c r="AJ193" s="545" t="str">
        <f t="shared" si="23"/>
        <v/>
      </c>
      <c r="AK193" s="149"/>
      <c r="AL193" s="150"/>
      <c r="AP193" s="31" t="str">
        <f>IFERROR(INDEX('G-6 Hedgerow Data'!$BJ$3:$BJ$15,MATCH(M193,'G-6 Hedgerow Data'!$B$3:$B$15,0)),"")</f>
        <v/>
      </c>
    </row>
    <row r="194" spans="2:42" ht="14" x14ac:dyDescent="0.3">
      <c r="B194" s="531" t="str">
        <f>'E-1 Off Site Hedge Baseline'!AK192</f>
        <v/>
      </c>
      <c r="C194" s="520" t="str">
        <f>IF(B194="","",IF(ISNA(VLOOKUP($B194,'E-1 Off Site Hedge Baseline'!$B$1:$L$257,3,FALSE)),"",(VLOOKUP($B194,'E-1 Off Site Hedge Baseline'!$B$1:$L$257,3,FALSE))))</f>
        <v/>
      </c>
      <c r="D194" s="520" t="str">
        <f>IF(B194="","",IF(ISNA(VLOOKUP($B194,'E-1 Off Site Hedge Baseline'!$B$1:$L$258,4,FALSE)),"",(VLOOKUP($B194,'E-1 Off Site Hedge Baseline'!$B$1:$L$258,4,FALSE))))</f>
        <v/>
      </c>
      <c r="E194" s="520" t="str">
        <f>IF(B194="","",IF(ISNA(VLOOKUP($B194,'E-1 Off Site Hedge Baseline'!$B$1:$L$257,5,FALSE)),"",(VLOOKUP($B194,'E-1 Off Site Hedge Baseline'!$B$1:$L$257,5,FALSE))))</f>
        <v/>
      </c>
      <c r="F194" s="520" t="str">
        <f>IF(B194="","",IF(ISNA(VLOOKUP($B194,'E-1 Off Site Hedge Baseline'!$B$1:$L$257,6,FALSE)),"",(VLOOKUP($B194,'E-1 Off Site Hedge Baseline'!$B$1:$L$257,6,FALSE))))</f>
        <v/>
      </c>
      <c r="G194" s="520" t="str">
        <f>IF(B194="","",IF(ISNA(VLOOKUP($B194,'E-1 Off Site Hedge Baseline'!$B$1:$L$257,7,FALSE)),"",(VLOOKUP($B194,'E-1 Off Site Hedge Baseline'!$B$1:$L$257,7,FALSE))))</f>
        <v/>
      </c>
      <c r="H194" s="520" t="str">
        <f>IF(B194="","",IF(ISNA(VLOOKUP($B194,'E-1 Off Site Hedge Baseline'!$B$1:$L$257,8,FALSE)),"",(VLOOKUP($B194,'E-1 Off Site Hedge Baseline'!$B$1:$L$257,8,FALSE))))</f>
        <v/>
      </c>
      <c r="I194" s="520" t="str">
        <f>IF(B194="","",IF(ISNA(VLOOKUP($B194,'E-1 Off Site Hedge Baseline'!$B$1:$L$257,10,FALSE)),"",(VLOOKUP($B194,'E-1 Off Site Hedge Baseline'!$B$1:$L$257,10,FALSE))))</f>
        <v/>
      </c>
      <c r="J194" s="520" t="str">
        <f>IF(B194="","",IF(ISNA(VLOOKUP($B194,'E-1 Off Site Hedge Baseline'!$B$1:$L$257,11,FALSE)),"",(VLOOKUP($B194,'E-1 Off Site Hedge Baseline'!$B$1:$L$257,11,FALSE))))</f>
        <v/>
      </c>
      <c r="K194" s="520" t="str">
        <f>IF(B194="","",IF(ISNA(VLOOKUP($B194,'E-1 Off Site Hedge Baseline'!$B$1:$U$257,113,FALSE)),"",(VLOOKUP($B194,'E-1 Off Site Hedge Baseline'!$B$1:$U$257,13,FALSE))))</f>
        <v/>
      </c>
      <c r="L194" s="507" t="str">
        <f>IF(B194="","",IF(ISNA(VLOOKUP($B194,'E-1 Off Site Hedge Baseline'!$B$1:$U$257,12,FALSE)),"",(VLOOKUP($B194,'E-1 Off Site Hedge Baseline'!$B$1:$U$257,12,FALSE))))</f>
        <v/>
      </c>
      <c r="M194" s="418" t="str">
        <f t="shared" si="24"/>
        <v/>
      </c>
      <c r="N194" s="498" t="str">
        <f>IFERROR(IF(B194="","",INDEX('G-6 Hedgerow Data'!$AN$3:$AZ$15,MATCH(C194,'G-6 Hedgerow Data'!$AM$3:$AM$15,0),MATCH(M194,'G-6 Hedgerow Data'!$AN$2:$AZ$2,0))),"")</f>
        <v/>
      </c>
      <c r="O194" s="499" t="str">
        <f t="shared" si="18"/>
        <v/>
      </c>
      <c r="P194" s="505" t="str">
        <f>IF(B194="","",VLOOKUP(B194,'E-1 Off Site Hedge Baseline'!$B$10:T439,16,FALSE))</f>
        <v/>
      </c>
      <c r="Q194" s="498" t="str">
        <f>IF(M194="","",VLOOKUP(M194,'G-6 Hedgerow Data'!$B$2:$AG$15,2,FALSE))</f>
        <v/>
      </c>
      <c r="R194" s="499" t="str">
        <f>IF(M194="","",VLOOKUP(M194,'G-6 Hedgerow Data'!$B$2:$AG$15,3,FALSE))</f>
        <v/>
      </c>
      <c r="S194" s="145"/>
      <c r="T194" s="499" t="str">
        <f>IFERROR(IF(AND(Q194="V.Low",OR(S194="Good",S194="Moderate")),"Error ▲",VLOOKUP(S194,'G-1 All Habitats'!$Z$2:$AA$9,2,FALSE)),"")</f>
        <v/>
      </c>
      <c r="U194" s="145"/>
      <c r="V194" s="507" t="str">
        <f>IF(U194="","",IF(VLOOKUP(U194,'G-3 Multipliers'!$L$3:$N$6,2,FALSE)=0,"Spatial Data Missing ⚠",VLOOKUP(U194,'G-3 Multipliers'!$L$3:$N$6,2,FALSE)))</f>
        <v/>
      </c>
      <c r="W194" s="505" t="str">
        <f>IF(U194="","",IF(VLOOKUP(U194,'G-3 Multipliers'!$L$3:$N$6,3,FALSE)=0,"Spatial Data Missing ⚠",VLOOKUP(U194,'G-3 Multipliers'!$L$3:$N$6,3,FALSE)))</f>
        <v/>
      </c>
      <c r="X194" s="498" t="str">
        <f>IFERROR(IF(OR(LEFT(O194,5)="Error ▲",LEFT(N194,5)="Error ▲",T194="Error ▲"),"Check Data ⚠",IF(F194&lt;R194,INDEX('G-6 Hedgerow Data'!$S$3:$AE$14,MATCH(C194,'G-6 Hedgerow Data'!$B$3:$B$14,0),MATCH(M194,'G-6 Hedgerow Data'!$S$2:$AE$2,0)),INDEX('G-6 Hedgerow Data'!$K$3:$Q$14,MATCH(M194,'G-6 Hedgerow Data'!$B$3:$B$14,0),MATCH(O194,'G-6 Hedgerow Data'!$K$2:$Q$2,0)))),"")</f>
        <v/>
      </c>
      <c r="Y194" s="195"/>
      <c r="Z194" s="195"/>
      <c r="AA194" s="507" t="str">
        <f t="shared" si="19"/>
        <v/>
      </c>
      <c r="AB194" s="521" t="str">
        <f t="shared" si="20"/>
        <v/>
      </c>
      <c r="AC194" s="522" t="str">
        <f t="shared" si="17"/>
        <v/>
      </c>
      <c r="AD194" s="537" t="str">
        <f>IF(M194="","",VLOOKUP(M194,'G-6 Hedgerow Data'!$B$3:$AG$15,31,FALSE))</f>
        <v/>
      </c>
      <c r="AE194" s="520" t="str">
        <f t="shared" si="21"/>
        <v/>
      </c>
      <c r="AF194" s="520" t="str">
        <f t="shared" si="22"/>
        <v/>
      </c>
      <c r="AG194" s="524" t="str">
        <f>IFERROR(IF(O194="","",VLOOKUP(AD194,'G-3 Multipliers'!$P$3:$Q$6,2,FALSE)),"")</f>
        <v/>
      </c>
      <c r="AH194" s="197"/>
      <c r="AI194" s="499" t="str">
        <f>IF(AH194="","",IF(VLOOKUP(AH194,'G-3 Multipliers'!$S$3:$T$6,2,FALSE)=0,"Spatial Data Missing ⚠",VLOOKUP(AH194,'G-3 Multipliers'!$S$3:$T$6,2,FALSE)))</f>
        <v/>
      </c>
      <c r="AJ194" s="545" t="str">
        <f t="shared" si="23"/>
        <v/>
      </c>
      <c r="AK194" s="149"/>
      <c r="AL194" s="150"/>
      <c r="AP194" s="31" t="str">
        <f>IFERROR(INDEX('G-6 Hedgerow Data'!$BJ$3:$BJ$15,MATCH(M194,'G-6 Hedgerow Data'!$B$3:$B$15,0)),"")</f>
        <v/>
      </c>
    </row>
    <row r="195" spans="2:42" ht="14" x14ac:dyDescent="0.3">
      <c r="B195" s="531" t="str">
        <f>'E-1 Off Site Hedge Baseline'!AK193</f>
        <v/>
      </c>
      <c r="C195" s="520" t="str">
        <f>IF(B195="","",IF(ISNA(VLOOKUP($B195,'E-1 Off Site Hedge Baseline'!$B$1:$L$257,3,FALSE)),"",(VLOOKUP($B195,'E-1 Off Site Hedge Baseline'!$B$1:$L$257,3,FALSE))))</f>
        <v/>
      </c>
      <c r="D195" s="520" t="str">
        <f>IF(B195="","",IF(ISNA(VLOOKUP($B195,'E-1 Off Site Hedge Baseline'!$B$1:$L$258,4,FALSE)),"",(VLOOKUP($B195,'E-1 Off Site Hedge Baseline'!$B$1:$L$258,4,FALSE))))</f>
        <v/>
      </c>
      <c r="E195" s="520" t="str">
        <f>IF(B195="","",IF(ISNA(VLOOKUP($B195,'E-1 Off Site Hedge Baseline'!$B$1:$L$257,5,FALSE)),"",(VLOOKUP($B195,'E-1 Off Site Hedge Baseline'!$B$1:$L$257,5,FALSE))))</f>
        <v/>
      </c>
      <c r="F195" s="520" t="str">
        <f>IF(B195="","",IF(ISNA(VLOOKUP($B195,'E-1 Off Site Hedge Baseline'!$B$1:$L$257,6,FALSE)),"",(VLOOKUP($B195,'E-1 Off Site Hedge Baseline'!$B$1:$L$257,6,FALSE))))</f>
        <v/>
      </c>
      <c r="G195" s="520" t="str">
        <f>IF(B195="","",IF(ISNA(VLOOKUP($B195,'E-1 Off Site Hedge Baseline'!$B$1:$L$257,7,FALSE)),"",(VLOOKUP($B195,'E-1 Off Site Hedge Baseline'!$B$1:$L$257,7,FALSE))))</f>
        <v/>
      </c>
      <c r="H195" s="520" t="str">
        <f>IF(B195="","",IF(ISNA(VLOOKUP($B195,'E-1 Off Site Hedge Baseline'!$B$1:$L$257,8,FALSE)),"",(VLOOKUP($B195,'E-1 Off Site Hedge Baseline'!$B$1:$L$257,8,FALSE))))</f>
        <v/>
      </c>
      <c r="I195" s="520" t="str">
        <f>IF(B195="","",IF(ISNA(VLOOKUP($B195,'E-1 Off Site Hedge Baseline'!$B$1:$L$257,10,FALSE)),"",(VLOOKUP($B195,'E-1 Off Site Hedge Baseline'!$B$1:$L$257,10,FALSE))))</f>
        <v/>
      </c>
      <c r="J195" s="520" t="str">
        <f>IF(B195="","",IF(ISNA(VLOOKUP($B195,'E-1 Off Site Hedge Baseline'!$B$1:$L$257,11,FALSE)),"",(VLOOKUP($B195,'E-1 Off Site Hedge Baseline'!$B$1:$L$257,11,FALSE))))</f>
        <v/>
      </c>
      <c r="K195" s="520" t="str">
        <f>IF(B195="","",IF(ISNA(VLOOKUP($B195,'E-1 Off Site Hedge Baseline'!$B$1:$U$257,113,FALSE)),"",(VLOOKUP($B195,'E-1 Off Site Hedge Baseline'!$B$1:$U$257,13,FALSE))))</f>
        <v/>
      </c>
      <c r="L195" s="507" t="str">
        <f>IF(B195="","",IF(ISNA(VLOOKUP($B195,'E-1 Off Site Hedge Baseline'!$B$1:$U$257,12,FALSE)),"",(VLOOKUP($B195,'E-1 Off Site Hedge Baseline'!$B$1:$U$257,12,FALSE))))</f>
        <v/>
      </c>
      <c r="M195" s="418" t="str">
        <f t="shared" si="24"/>
        <v/>
      </c>
      <c r="N195" s="498" t="str">
        <f>IFERROR(IF(B195="","",INDEX('G-6 Hedgerow Data'!$AN$3:$AZ$15,MATCH(C195,'G-6 Hedgerow Data'!$AM$3:$AM$15,0),MATCH(M195,'G-6 Hedgerow Data'!$AN$2:$AZ$2,0))),"")</f>
        <v/>
      </c>
      <c r="O195" s="499" t="str">
        <f t="shared" si="18"/>
        <v/>
      </c>
      <c r="P195" s="505" t="str">
        <f>IF(B195="","",VLOOKUP(B195,'E-1 Off Site Hedge Baseline'!$B$10:T440,16,FALSE))</f>
        <v/>
      </c>
      <c r="Q195" s="498" t="str">
        <f>IF(M195="","",VLOOKUP(M195,'G-6 Hedgerow Data'!$B$2:$AG$15,2,FALSE))</f>
        <v/>
      </c>
      <c r="R195" s="499" t="str">
        <f>IF(M195="","",VLOOKUP(M195,'G-6 Hedgerow Data'!$B$2:$AG$15,3,FALSE))</f>
        <v/>
      </c>
      <c r="S195" s="145"/>
      <c r="T195" s="499" t="str">
        <f>IFERROR(IF(AND(Q195="V.Low",OR(S195="Good",S195="Moderate")),"Error ▲",VLOOKUP(S195,'G-1 All Habitats'!$Z$2:$AA$9,2,FALSE)),"")</f>
        <v/>
      </c>
      <c r="U195" s="145"/>
      <c r="V195" s="507" t="str">
        <f>IF(U195="","",IF(VLOOKUP(U195,'G-3 Multipliers'!$L$3:$N$6,2,FALSE)=0,"Spatial Data Missing ⚠",VLOOKUP(U195,'G-3 Multipliers'!$L$3:$N$6,2,FALSE)))</f>
        <v/>
      </c>
      <c r="W195" s="505" t="str">
        <f>IF(U195="","",IF(VLOOKUP(U195,'G-3 Multipliers'!$L$3:$N$6,3,FALSE)=0,"Spatial Data Missing ⚠",VLOOKUP(U195,'G-3 Multipliers'!$L$3:$N$6,3,FALSE)))</f>
        <v/>
      </c>
      <c r="X195" s="498" t="str">
        <f>IFERROR(IF(OR(LEFT(O195,5)="Error ▲",LEFT(N195,5)="Error ▲",T195="Error ▲"),"Check Data ⚠",IF(F195&lt;R195,INDEX('G-6 Hedgerow Data'!$S$3:$AE$14,MATCH(C195,'G-6 Hedgerow Data'!$B$3:$B$14,0),MATCH(M195,'G-6 Hedgerow Data'!$S$2:$AE$2,0)),INDEX('G-6 Hedgerow Data'!$K$3:$Q$14,MATCH(M195,'G-6 Hedgerow Data'!$B$3:$B$14,0),MATCH(O195,'G-6 Hedgerow Data'!$K$2:$Q$2,0)))),"")</f>
        <v/>
      </c>
      <c r="Y195" s="195"/>
      <c r="Z195" s="195"/>
      <c r="AA195" s="507" t="str">
        <f t="shared" si="19"/>
        <v/>
      </c>
      <c r="AB195" s="521" t="str">
        <f t="shared" si="20"/>
        <v/>
      </c>
      <c r="AC195" s="522" t="str">
        <f t="shared" si="17"/>
        <v/>
      </c>
      <c r="AD195" s="537" t="str">
        <f>IF(M195="","",VLOOKUP(M195,'G-6 Hedgerow Data'!$B$3:$AG$15,31,FALSE))</f>
        <v/>
      </c>
      <c r="AE195" s="520" t="str">
        <f t="shared" si="21"/>
        <v/>
      </c>
      <c r="AF195" s="520" t="str">
        <f t="shared" si="22"/>
        <v/>
      </c>
      <c r="AG195" s="524" t="str">
        <f>IFERROR(IF(O195="","",VLOOKUP(AD195,'G-3 Multipliers'!$P$3:$Q$6,2,FALSE)),"")</f>
        <v/>
      </c>
      <c r="AH195" s="197"/>
      <c r="AI195" s="499" t="str">
        <f>IF(AH195="","",IF(VLOOKUP(AH195,'G-3 Multipliers'!$S$3:$T$6,2,FALSE)=0,"Spatial Data Missing ⚠",VLOOKUP(AH195,'G-3 Multipliers'!$S$3:$T$6,2,FALSE)))</f>
        <v/>
      </c>
      <c r="AJ195" s="545" t="str">
        <f t="shared" si="23"/>
        <v/>
      </c>
      <c r="AK195" s="149"/>
      <c r="AL195" s="150"/>
      <c r="AP195" s="31" t="str">
        <f>IFERROR(INDEX('G-6 Hedgerow Data'!$BJ$3:$BJ$15,MATCH(M195,'G-6 Hedgerow Data'!$B$3:$B$15,0)),"")</f>
        <v/>
      </c>
    </row>
    <row r="196" spans="2:42" ht="14" x14ac:dyDescent="0.3">
      <c r="B196" s="531" t="str">
        <f>'E-1 Off Site Hedge Baseline'!AK194</f>
        <v/>
      </c>
      <c r="C196" s="520" t="str">
        <f>IF(B196="","",IF(ISNA(VLOOKUP($B196,'E-1 Off Site Hedge Baseline'!$B$1:$L$257,3,FALSE)),"",(VLOOKUP($B196,'E-1 Off Site Hedge Baseline'!$B$1:$L$257,3,FALSE))))</f>
        <v/>
      </c>
      <c r="D196" s="520" t="str">
        <f>IF(B196="","",IF(ISNA(VLOOKUP($B196,'E-1 Off Site Hedge Baseline'!$B$1:$L$258,4,FALSE)),"",(VLOOKUP($B196,'E-1 Off Site Hedge Baseline'!$B$1:$L$258,4,FALSE))))</f>
        <v/>
      </c>
      <c r="E196" s="520" t="str">
        <f>IF(B196="","",IF(ISNA(VLOOKUP($B196,'E-1 Off Site Hedge Baseline'!$B$1:$L$257,5,FALSE)),"",(VLOOKUP($B196,'E-1 Off Site Hedge Baseline'!$B$1:$L$257,5,FALSE))))</f>
        <v/>
      </c>
      <c r="F196" s="520" t="str">
        <f>IF(B196="","",IF(ISNA(VLOOKUP($B196,'E-1 Off Site Hedge Baseline'!$B$1:$L$257,6,FALSE)),"",(VLOOKUP($B196,'E-1 Off Site Hedge Baseline'!$B$1:$L$257,6,FALSE))))</f>
        <v/>
      </c>
      <c r="G196" s="520" t="str">
        <f>IF(B196="","",IF(ISNA(VLOOKUP($B196,'E-1 Off Site Hedge Baseline'!$B$1:$L$257,7,FALSE)),"",(VLOOKUP($B196,'E-1 Off Site Hedge Baseline'!$B$1:$L$257,7,FALSE))))</f>
        <v/>
      </c>
      <c r="H196" s="520" t="str">
        <f>IF(B196="","",IF(ISNA(VLOOKUP($B196,'E-1 Off Site Hedge Baseline'!$B$1:$L$257,8,FALSE)),"",(VLOOKUP($B196,'E-1 Off Site Hedge Baseline'!$B$1:$L$257,8,FALSE))))</f>
        <v/>
      </c>
      <c r="I196" s="520" t="str">
        <f>IF(B196="","",IF(ISNA(VLOOKUP($B196,'E-1 Off Site Hedge Baseline'!$B$1:$L$257,10,FALSE)),"",(VLOOKUP($B196,'E-1 Off Site Hedge Baseline'!$B$1:$L$257,10,FALSE))))</f>
        <v/>
      </c>
      <c r="J196" s="520" t="str">
        <f>IF(B196="","",IF(ISNA(VLOOKUP($B196,'E-1 Off Site Hedge Baseline'!$B$1:$L$257,11,FALSE)),"",(VLOOKUP($B196,'E-1 Off Site Hedge Baseline'!$B$1:$L$257,11,FALSE))))</f>
        <v/>
      </c>
      <c r="K196" s="520" t="str">
        <f>IF(B196="","",IF(ISNA(VLOOKUP($B196,'E-1 Off Site Hedge Baseline'!$B$1:$U$257,113,FALSE)),"",(VLOOKUP($B196,'E-1 Off Site Hedge Baseline'!$B$1:$U$257,13,FALSE))))</f>
        <v/>
      </c>
      <c r="L196" s="507" t="str">
        <f>IF(B196="","",IF(ISNA(VLOOKUP($B196,'E-1 Off Site Hedge Baseline'!$B$1:$U$257,12,FALSE)),"",(VLOOKUP($B196,'E-1 Off Site Hedge Baseline'!$B$1:$U$257,12,FALSE))))</f>
        <v/>
      </c>
      <c r="M196" s="418" t="str">
        <f t="shared" si="24"/>
        <v/>
      </c>
      <c r="N196" s="498" t="str">
        <f>IFERROR(IF(B196="","",INDEX('G-6 Hedgerow Data'!$AN$3:$AZ$15,MATCH(C196,'G-6 Hedgerow Data'!$AM$3:$AM$15,0),MATCH(M196,'G-6 Hedgerow Data'!$AN$2:$AZ$2,0))),"")</f>
        <v/>
      </c>
      <c r="O196" s="499" t="str">
        <f t="shared" si="18"/>
        <v/>
      </c>
      <c r="P196" s="505" t="str">
        <f>IF(B196="","",VLOOKUP(B196,'E-1 Off Site Hedge Baseline'!$B$10:T441,16,FALSE))</f>
        <v/>
      </c>
      <c r="Q196" s="498" t="str">
        <f>IF(M196="","",VLOOKUP(M196,'G-6 Hedgerow Data'!$B$2:$AG$15,2,FALSE))</f>
        <v/>
      </c>
      <c r="R196" s="499" t="str">
        <f>IF(M196="","",VLOOKUP(M196,'G-6 Hedgerow Data'!$B$2:$AG$15,3,FALSE))</f>
        <v/>
      </c>
      <c r="S196" s="145"/>
      <c r="T196" s="499" t="str">
        <f>IFERROR(IF(AND(Q196="V.Low",OR(S196="Good",S196="Moderate")),"Error ▲",VLOOKUP(S196,'G-1 All Habitats'!$Z$2:$AA$9,2,FALSE)),"")</f>
        <v/>
      </c>
      <c r="U196" s="145"/>
      <c r="V196" s="507" t="str">
        <f>IF(U196="","",IF(VLOOKUP(U196,'G-3 Multipliers'!$L$3:$N$6,2,FALSE)=0,"Spatial Data Missing ⚠",VLOOKUP(U196,'G-3 Multipliers'!$L$3:$N$6,2,FALSE)))</f>
        <v/>
      </c>
      <c r="W196" s="505" t="str">
        <f>IF(U196="","",IF(VLOOKUP(U196,'G-3 Multipliers'!$L$3:$N$6,3,FALSE)=0,"Spatial Data Missing ⚠",VLOOKUP(U196,'G-3 Multipliers'!$L$3:$N$6,3,FALSE)))</f>
        <v/>
      </c>
      <c r="X196" s="498" t="str">
        <f>IFERROR(IF(OR(LEFT(O196,5)="Error ▲",LEFT(N196,5)="Error ▲",T196="Error ▲"),"Check Data ⚠",IF(F196&lt;R196,INDEX('G-6 Hedgerow Data'!$S$3:$AE$14,MATCH(C196,'G-6 Hedgerow Data'!$B$3:$B$14,0),MATCH(M196,'G-6 Hedgerow Data'!$S$2:$AE$2,0)),INDEX('G-6 Hedgerow Data'!$K$3:$Q$14,MATCH(M196,'G-6 Hedgerow Data'!$B$3:$B$14,0),MATCH(O196,'G-6 Hedgerow Data'!$K$2:$Q$2,0)))),"")</f>
        <v/>
      </c>
      <c r="Y196" s="195"/>
      <c r="Z196" s="195"/>
      <c r="AA196" s="507" t="str">
        <f t="shared" si="19"/>
        <v/>
      </c>
      <c r="AB196" s="521" t="str">
        <f t="shared" si="20"/>
        <v/>
      </c>
      <c r="AC196" s="522" t="str">
        <f t="shared" si="17"/>
        <v/>
      </c>
      <c r="AD196" s="537" t="str">
        <f>IF(M196="","",VLOOKUP(M196,'G-6 Hedgerow Data'!$B$3:$AG$15,31,FALSE))</f>
        <v/>
      </c>
      <c r="AE196" s="520" t="str">
        <f t="shared" si="21"/>
        <v/>
      </c>
      <c r="AF196" s="520" t="str">
        <f t="shared" si="22"/>
        <v/>
      </c>
      <c r="AG196" s="524" t="str">
        <f>IFERROR(IF(O196="","",VLOOKUP(AD196,'G-3 Multipliers'!$P$3:$Q$6,2,FALSE)),"")</f>
        <v/>
      </c>
      <c r="AH196" s="197"/>
      <c r="AI196" s="499" t="str">
        <f>IF(AH196="","",IF(VLOOKUP(AH196,'G-3 Multipliers'!$S$3:$T$6,2,FALSE)=0,"Spatial Data Missing ⚠",VLOOKUP(AH196,'G-3 Multipliers'!$S$3:$T$6,2,FALSE)))</f>
        <v/>
      </c>
      <c r="AJ196" s="545" t="str">
        <f t="shared" si="23"/>
        <v/>
      </c>
      <c r="AK196" s="149"/>
      <c r="AL196" s="150"/>
      <c r="AP196" s="31" t="str">
        <f>IFERROR(INDEX('G-6 Hedgerow Data'!$BJ$3:$BJ$15,MATCH(M196,'G-6 Hedgerow Data'!$B$3:$B$15,0)),"")</f>
        <v/>
      </c>
    </row>
    <row r="197" spans="2:42" ht="14" x14ac:dyDescent="0.3">
      <c r="B197" s="531" t="str">
        <f>'E-1 Off Site Hedge Baseline'!AK195</f>
        <v/>
      </c>
      <c r="C197" s="520" t="str">
        <f>IF(B197="","",IF(ISNA(VLOOKUP($B197,'E-1 Off Site Hedge Baseline'!$B$1:$L$257,3,FALSE)),"",(VLOOKUP($B197,'E-1 Off Site Hedge Baseline'!$B$1:$L$257,3,FALSE))))</f>
        <v/>
      </c>
      <c r="D197" s="520" t="str">
        <f>IF(B197="","",IF(ISNA(VLOOKUP($B197,'E-1 Off Site Hedge Baseline'!$B$1:$L$258,4,FALSE)),"",(VLOOKUP($B197,'E-1 Off Site Hedge Baseline'!$B$1:$L$258,4,FALSE))))</f>
        <v/>
      </c>
      <c r="E197" s="520" t="str">
        <f>IF(B197="","",IF(ISNA(VLOOKUP($B197,'E-1 Off Site Hedge Baseline'!$B$1:$L$257,5,FALSE)),"",(VLOOKUP($B197,'E-1 Off Site Hedge Baseline'!$B$1:$L$257,5,FALSE))))</f>
        <v/>
      </c>
      <c r="F197" s="520" t="str">
        <f>IF(B197="","",IF(ISNA(VLOOKUP($B197,'E-1 Off Site Hedge Baseline'!$B$1:$L$257,6,FALSE)),"",(VLOOKUP($B197,'E-1 Off Site Hedge Baseline'!$B$1:$L$257,6,FALSE))))</f>
        <v/>
      </c>
      <c r="G197" s="520" t="str">
        <f>IF(B197="","",IF(ISNA(VLOOKUP($B197,'E-1 Off Site Hedge Baseline'!$B$1:$L$257,7,FALSE)),"",(VLOOKUP($B197,'E-1 Off Site Hedge Baseline'!$B$1:$L$257,7,FALSE))))</f>
        <v/>
      </c>
      <c r="H197" s="520" t="str">
        <f>IF(B197="","",IF(ISNA(VLOOKUP($B197,'E-1 Off Site Hedge Baseline'!$B$1:$L$257,8,FALSE)),"",(VLOOKUP($B197,'E-1 Off Site Hedge Baseline'!$B$1:$L$257,8,FALSE))))</f>
        <v/>
      </c>
      <c r="I197" s="520" t="str">
        <f>IF(B197="","",IF(ISNA(VLOOKUP($B197,'E-1 Off Site Hedge Baseline'!$B$1:$L$257,10,FALSE)),"",(VLOOKUP($B197,'E-1 Off Site Hedge Baseline'!$B$1:$L$257,10,FALSE))))</f>
        <v/>
      </c>
      <c r="J197" s="520" t="str">
        <f>IF(B197="","",IF(ISNA(VLOOKUP($B197,'E-1 Off Site Hedge Baseline'!$B$1:$L$257,11,FALSE)),"",(VLOOKUP($B197,'E-1 Off Site Hedge Baseline'!$B$1:$L$257,11,FALSE))))</f>
        <v/>
      </c>
      <c r="K197" s="520" t="str">
        <f>IF(B197="","",IF(ISNA(VLOOKUP($B197,'E-1 Off Site Hedge Baseline'!$B$1:$U$257,113,FALSE)),"",(VLOOKUP($B197,'E-1 Off Site Hedge Baseline'!$B$1:$U$257,13,FALSE))))</f>
        <v/>
      </c>
      <c r="L197" s="507" t="str">
        <f>IF(B197="","",IF(ISNA(VLOOKUP($B197,'E-1 Off Site Hedge Baseline'!$B$1:$U$257,12,FALSE)),"",(VLOOKUP($B197,'E-1 Off Site Hedge Baseline'!$B$1:$U$257,12,FALSE))))</f>
        <v/>
      </c>
      <c r="M197" s="418" t="str">
        <f t="shared" si="24"/>
        <v/>
      </c>
      <c r="N197" s="498" t="str">
        <f>IFERROR(IF(B197="","",INDEX('G-6 Hedgerow Data'!$AN$3:$AZ$15,MATCH(C197,'G-6 Hedgerow Data'!$AM$3:$AM$15,0),MATCH(M197,'G-6 Hedgerow Data'!$AN$2:$AZ$2,0))),"")</f>
        <v/>
      </c>
      <c r="O197" s="499" t="str">
        <f t="shared" si="18"/>
        <v/>
      </c>
      <c r="P197" s="505" t="str">
        <f>IF(B197="","",VLOOKUP(B197,'E-1 Off Site Hedge Baseline'!$B$10:T442,16,FALSE))</f>
        <v/>
      </c>
      <c r="Q197" s="498" t="str">
        <f>IF(M197="","",VLOOKUP(M197,'G-6 Hedgerow Data'!$B$2:$AG$15,2,FALSE))</f>
        <v/>
      </c>
      <c r="R197" s="499" t="str">
        <f>IF(M197="","",VLOOKUP(M197,'G-6 Hedgerow Data'!$B$2:$AG$15,3,FALSE))</f>
        <v/>
      </c>
      <c r="S197" s="145"/>
      <c r="T197" s="499" t="str">
        <f>IFERROR(IF(AND(Q197="V.Low",OR(S197="Good",S197="Moderate")),"Error ▲",VLOOKUP(S197,'G-1 All Habitats'!$Z$2:$AA$9,2,FALSE)),"")</f>
        <v/>
      </c>
      <c r="U197" s="145"/>
      <c r="V197" s="507" t="str">
        <f>IF(U197="","",IF(VLOOKUP(U197,'G-3 Multipliers'!$L$3:$N$6,2,FALSE)=0,"Spatial Data Missing ⚠",VLOOKUP(U197,'G-3 Multipliers'!$L$3:$N$6,2,FALSE)))</f>
        <v/>
      </c>
      <c r="W197" s="505" t="str">
        <f>IF(U197="","",IF(VLOOKUP(U197,'G-3 Multipliers'!$L$3:$N$6,3,FALSE)=0,"Spatial Data Missing ⚠",VLOOKUP(U197,'G-3 Multipliers'!$L$3:$N$6,3,FALSE)))</f>
        <v/>
      </c>
      <c r="X197" s="498" t="str">
        <f>IFERROR(IF(OR(LEFT(O197,5)="Error ▲",LEFT(N197,5)="Error ▲",T197="Error ▲"),"Check Data ⚠",IF(F197&lt;R197,INDEX('G-6 Hedgerow Data'!$S$3:$AE$14,MATCH(C197,'G-6 Hedgerow Data'!$B$3:$B$14,0),MATCH(M197,'G-6 Hedgerow Data'!$S$2:$AE$2,0)),INDEX('G-6 Hedgerow Data'!$K$3:$Q$14,MATCH(M197,'G-6 Hedgerow Data'!$B$3:$B$14,0),MATCH(O197,'G-6 Hedgerow Data'!$K$2:$Q$2,0)))),"")</f>
        <v/>
      </c>
      <c r="Y197" s="195"/>
      <c r="Z197" s="195"/>
      <c r="AA197" s="507" t="str">
        <f t="shared" si="19"/>
        <v/>
      </c>
      <c r="AB197" s="521" t="str">
        <f t="shared" si="20"/>
        <v/>
      </c>
      <c r="AC197" s="522" t="str">
        <f t="shared" si="17"/>
        <v/>
      </c>
      <c r="AD197" s="537" t="str">
        <f>IF(M197="","",VLOOKUP(M197,'G-6 Hedgerow Data'!$B$3:$AG$15,31,FALSE))</f>
        <v/>
      </c>
      <c r="AE197" s="520" t="str">
        <f t="shared" si="21"/>
        <v/>
      </c>
      <c r="AF197" s="520" t="str">
        <f t="shared" si="22"/>
        <v/>
      </c>
      <c r="AG197" s="524" t="str">
        <f>IFERROR(IF(O197="","",VLOOKUP(AD197,'G-3 Multipliers'!$P$3:$Q$6,2,FALSE)),"")</f>
        <v/>
      </c>
      <c r="AH197" s="197"/>
      <c r="AI197" s="499" t="str">
        <f>IF(AH197="","",IF(VLOOKUP(AH197,'G-3 Multipliers'!$S$3:$T$6,2,FALSE)=0,"Spatial Data Missing ⚠",VLOOKUP(AH197,'G-3 Multipliers'!$S$3:$T$6,2,FALSE)))</f>
        <v/>
      </c>
      <c r="AJ197" s="545" t="str">
        <f t="shared" si="23"/>
        <v/>
      </c>
      <c r="AK197" s="149"/>
      <c r="AL197" s="150"/>
      <c r="AP197" s="31" t="str">
        <f>IFERROR(INDEX('G-6 Hedgerow Data'!$BJ$3:$BJ$15,MATCH(M197,'G-6 Hedgerow Data'!$B$3:$B$15,0)),"")</f>
        <v/>
      </c>
    </row>
    <row r="198" spans="2:42" ht="14" x14ac:dyDescent="0.3">
      <c r="B198" s="531" t="str">
        <f>'E-1 Off Site Hedge Baseline'!AK196</f>
        <v/>
      </c>
      <c r="C198" s="520" t="str">
        <f>IF(B198="","",IF(ISNA(VLOOKUP($B198,'E-1 Off Site Hedge Baseline'!$B$1:$L$257,3,FALSE)),"",(VLOOKUP($B198,'E-1 Off Site Hedge Baseline'!$B$1:$L$257,3,FALSE))))</f>
        <v/>
      </c>
      <c r="D198" s="520" t="str">
        <f>IF(B198="","",IF(ISNA(VLOOKUP($B198,'E-1 Off Site Hedge Baseline'!$B$1:$L$258,4,FALSE)),"",(VLOOKUP($B198,'E-1 Off Site Hedge Baseline'!$B$1:$L$258,4,FALSE))))</f>
        <v/>
      </c>
      <c r="E198" s="520" t="str">
        <f>IF(B198="","",IF(ISNA(VLOOKUP($B198,'E-1 Off Site Hedge Baseline'!$B$1:$L$257,5,FALSE)),"",(VLOOKUP($B198,'E-1 Off Site Hedge Baseline'!$B$1:$L$257,5,FALSE))))</f>
        <v/>
      </c>
      <c r="F198" s="520" t="str">
        <f>IF(B198="","",IF(ISNA(VLOOKUP($B198,'E-1 Off Site Hedge Baseline'!$B$1:$L$257,6,FALSE)),"",(VLOOKUP($B198,'E-1 Off Site Hedge Baseline'!$B$1:$L$257,6,FALSE))))</f>
        <v/>
      </c>
      <c r="G198" s="520" t="str">
        <f>IF(B198="","",IF(ISNA(VLOOKUP($B198,'E-1 Off Site Hedge Baseline'!$B$1:$L$257,7,FALSE)),"",(VLOOKUP($B198,'E-1 Off Site Hedge Baseline'!$B$1:$L$257,7,FALSE))))</f>
        <v/>
      </c>
      <c r="H198" s="520" t="str">
        <f>IF(B198="","",IF(ISNA(VLOOKUP($B198,'E-1 Off Site Hedge Baseline'!$B$1:$L$257,8,FALSE)),"",(VLOOKUP($B198,'E-1 Off Site Hedge Baseline'!$B$1:$L$257,8,FALSE))))</f>
        <v/>
      </c>
      <c r="I198" s="520" t="str">
        <f>IF(B198="","",IF(ISNA(VLOOKUP($B198,'E-1 Off Site Hedge Baseline'!$B$1:$L$257,10,FALSE)),"",(VLOOKUP($B198,'E-1 Off Site Hedge Baseline'!$B$1:$L$257,10,FALSE))))</f>
        <v/>
      </c>
      <c r="J198" s="520" t="str">
        <f>IF(B198="","",IF(ISNA(VLOOKUP($B198,'E-1 Off Site Hedge Baseline'!$B$1:$L$257,11,FALSE)),"",(VLOOKUP($B198,'E-1 Off Site Hedge Baseline'!$B$1:$L$257,11,FALSE))))</f>
        <v/>
      </c>
      <c r="K198" s="520" t="str">
        <f>IF(B198="","",IF(ISNA(VLOOKUP($B198,'E-1 Off Site Hedge Baseline'!$B$1:$U$257,113,FALSE)),"",(VLOOKUP($B198,'E-1 Off Site Hedge Baseline'!$B$1:$U$257,13,FALSE))))</f>
        <v/>
      </c>
      <c r="L198" s="507" t="str">
        <f>IF(B198="","",IF(ISNA(VLOOKUP($B198,'E-1 Off Site Hedge Baseline'!$B$1:$U$257,12,FALSE)),"",(VLOOKUP($B198,'E-1 Off Site Hedge Baseline'!$B$1:$U$257,12,FALSE))))</f>
        <v/>
      </c>
      <c r="M198" s="418" t="str">
        <f t="shared" si="24"/>
        <v/>
      </c>
      <c r="N198" s="498" t="str">
        <f>IFERROR(IF(B198="","",INDEX('G-6 Hedgerow Data'!$AN$3:$AZ$15,MATCH(C198,'G-6 Hedgerow Data'!$AM$3:$AM$15,0),MATCH(M198,'G-6 Hedgerow Data'!$AN$2:$AZ$2,0))),"")</f>
        <v/>
      </c>
      <c r="O198" s="499" t="str">
        <f t="shared" si="18"/>
        <v/>
      </c>
      <c r="P198" s="505" t="str">
        <f>IF(B198="","",VLOOKUP(B198,'E-1 Off Site Hedge Baseline'!$B$10:T443,16,FALSE))</f>
        <v/>
      </c>
      <c r="Q198" s="498" t="str">
        <f>IF(M198="","",VLOOKUP(M198,'G-6 Hedgerow Data'!$B$2:$AG$15,2,FALSE))</f>
        <v/>
      </c>
      <c r="R198" s="499" t="str">
        <f>IF(M198="","",VLOOKUP(M198,'G-6 Hedgerow Data'!$B$2:$AG$15,3,FALSE))</f>
        <v/>
      </c>
      <c r="S198" s="145"/>
      <c r="T198" s="499" t="str">
        <f>IFERROR(IF(AND(Q198="V.Low",OR(S198="Good",S198="Moderate")),"Error ▲",VLOOKUP(S198,'G-1 All Habitats'!$Z$2:$AA$9,2,FALSE)),"")</f>
        <v/>
      </c>
      <c r="U198" s="145"/>
      <c r="V198" s="507" t="str">
        <f>IF(U198="","",IF(VLOOKUP(U198,'G-3 Multipliers'!$L$3:$N$6,2,FALSE)=0,"Spatial Data Missing ⚠",VLOOKUP(U198,'G-3 Multipliers'!$L$3:$N$6,2,FALSE)))</f>
        <v/>
      </c>
      <c r="W198" s="505" t="str">
        <f>IF(U198="","",IF(VLOOKUP(U198,'G-3 Multipliers'!$L$3:$N$6,3,FALSE)=0,"Spatial Data Missing ⚠",VLOOKUP(U198,'G-3 Multipliers'!$L$3:$N$6,3,FALSE)))</f>
        <v/>
      </c>
      <c r="X198" s="498" t="str">
        <f>IFERROR(IF(OR(LEFT(O198,5)="Error ▲",LEFT(N198,5)="Error ▲",T198="Error ▲"),"Check Data ⚠",IF(F198&lt;R198,INDEX('G-6 Hedgerow Data'!$S$3:$AE$14,MATCH(C198,'G-6 Hedgerow Data'!$B$3:$B$14,0),MATCH(M198,'G-6 Hedgerow Data'!$S$2:$AE$2,0)),INDEX('G-6 Hedgerow Data'!$K$3:$Q$14,MATCH(M198,'G-6 Hedgerow Data'!$B$3:$B$14,0),MATCH(O198,'G-6 Hedgerow Data'!$K$2:$Q$2,0)))),"")</f>
        <v/>
      </c>
      <c r="Y198" s="195"/>
      <c r="Z198" s="195"/>
      <c r="AA198" s="507" t="str">
        <f t="shared" si="19"/>
        <v/>
      </c>
      <c r="AB198" s="521" t="str">
        <f t="shared" si="20"/>
        <v/>
      </c>
      <c r="AC198" s="522" t="str">
        <f t="shared" si="17"/>
        <v/>
      </c>
      <c r="AD198" s="537" t="str">
        <f>IF(M198="","",VLOOKUP(M198,'G-6 Hedgerow Data'!$B$3:$AG$15,31,FALSE))</f>
        <v/>
      </c>
      <c r="AE198" s="520" t="str">
        <f t="shared" si="21"/>
        <v/>
      </c>
      <c r="AF198" s="520" t="str">
        <f t="shared" si="22"/>
        <v/>
      </c>
      <c r="AG198" s="524" t="str">
        <f>IFERROR(IF(O198="","",VLOOKUP(AD198,'G-3 Multipliers'!$P$3:$Q$6,2,FALSE)),"")</f>
        <v/>
      </c>
      <c r="AH198" s="197"/>
      <c r="AI198" s="499" t="str">
        <f>IF(AH198="","",IF(VLOOKUP(AH198,'G-3 Multipliers'!$S$3:$T$6,2,FALSE)=0,"Spatial Data Missing ⚠",VLOOKUP(AH198,'G-3 Multipliers'!$S$3:$T$6,2,FALSE)))</f>
        <v/>
      </c>
      <c r="AJ198" s="545" t="str">
        <f t="shared" si="23"/>
        <v/>
      </c>
      <c r="AK198" s="149"/>
      <c r="AL198" s="150"/>
      <c r="AP198" s="31" t="str">
        <f>IFERROR(INDEX('G-6 Hedgerow Data'!$BJ$3:$BJ$15,MATCH(M198,'G-6 Hedgerow Data'!$B$3:$B$15,0)),"")</f>
        <v/>
      </c>
    </row>
    <row r="199" spans="2:42" ht="14" x14ac:dyDescent="0.3">
      <c r="B199" s="531" t="str">
        <f>'E-1 Off Site Hedge Baseline'!AK197</f>
        <v/>
      </c>
      <c r="C199" s="520" t="str">
        <f>IF(B199="","",IF(ISNA(VLOOKUP($B199,'E-1 Off Site Hedge Baseline'!$B$1:$L$257,3,FALSE)),"",(VLOOKUP($B199,'E-1 Off Site Hedge Baseline'!$B$1:$L$257,3,FALSE))))</f>
        <v/>
      </c>
      <c r="D199" s="520" t="str">
        <f>IF(B199="","",IF(ISNA(VLOOKUP($B199,'E-1 Off Site Hedge Baseline'!$B$1:$L$258,4,FALSE)),"",(VLOOKUP($B199,'E-1 Off Site Hedge Baseline'!$B$1:$L$258,4,FALSE))))</f>
        <v/>
      </c>
      <c r="E199" s="520" t="str">
        <f>IF(B199="","",IF(ISNA(VLOOKUP($B199,'E-1 Off Site Hedge Baseline'!$B$1:$L$257,5,FALSE)),"",(VLOOKUP($B199,'E-1 Off Site Hedge Baseline'!$B$1:$L$257,5,FALSE))))</f>
        <v/>
      </c>
      <c r="F199" s="520" t="str">
        <f>IF(B199="","",IF(ISNA(VLOOKUP($B199,'E-1 Off Site Hedge Baseline'!$B$1:$L$257,6,FALSE)),"",(VLOOKUP($B199,'E-1 Off Site Hedge Baseline'!$B$1:$L$257,6,FALSE))))</f>
        <v/>
      </c>
      <c r="G199" s="520" t="str">
        <f>IF(B199="","",IF(ISNA(VLOOKUP($B199,'E-1 Off Site Hedge Baseline'!$B$1:$L$257,7,FALSE)),"",(VLOOKUP($B199,'E-1 Off Site Hedge Baseline'!$B$1:$L$257,7,FALSE))))</f>
        <v/>
      </c>
      <c r="H199" s="520" t="str">
        <f>IF(B199="","",IF(ISNA(VLOOKUP($B199,'E-1 Off Site Hedge Baseline'!$B$1:$L$257,8,FALSE)),"",(VLOOKUP($B199,'E-1 Off Site Hedge Baseline'!$B$1:$L$257,8,FALSE))))</f>
        <v/>
      </c>
      <c r="I199" s="520" t="str">
        <f>IF(B199="","",IF(ISNA(VLOOKUP($B199,'E-1 Off Site Hedge Baseline'!$B$1:$L$257,10,FALSE)),"",(VLOOKUP($B199,'E-1 Off Site Hedge Baseline'!$B$1:$L$257,10,FALSE))))</f>
        <v/>
      </c>
      <c r="J199" s="520" t="str">
        <f>IF(B199="","",IF(ISNA(VLOOKUP($B199,'E-1 Off Site Hedge Baseline'!$B$1:$L$257,11,FALSE)),"",(VLOOKUP($B199,'E-1 Off Site Hedge Baseline'!$B$1:$L$257,11,FALSE))))</f>
        <v/>
      </c>
      <c r="K199" s="520" t="str">
        <f>IF(B199="","",IF(ISNA(VLOOKUP($B199,'E-1 Off Site Hedge Baseline'!$B$1:$U$257,113,FALSE)),"",(VLOOKUP($B199,'E-1 Off Site Hedge Baseline'!$B$1:$U$257,13,FALSE))))</f>
        <v/>
      </c>
      <c r="L199" s="507" t="str">
        <f>IF(B199="","",IF(ISNA(VLOOKUP($B199,'E-1 Off Site Hedge Baseline'!$B$1:$U$257,12,FALSE)),"",(VLOOKUP($B199,'E-1 Off Site Hedge Baseline'!$B$1:$U$257,12,FALSE))))</f>
        <v/>
      </c>
      <c r="M199" s="418" t="str">
        <f t="shared" si="24"/>
        <v/>
      </c>
      <c r="N199" s="498" t="str">
        <f>IFERROR(IF(B199="","",INDEX('G-6 Hedgerow Data'!$AN$3:$AZ$15,MATCH(C199,'G-6 Hedgerow Data'!$AM$3:$AM$15,0),MATCH(M199,'G-6 Hedgerow Data'!$AN$2:$AZ$2,0))),"")</f>
        <v/>
      </c>
      <c r="O199" s="499" t="str">
        <f t="shared" si="18"/>
        <v/>
      </c>
      <c r="P199" s="505" t="str">
        <f>IF(B199="","",VLOOKUP(B199,'E-1 Off Site Hedge Baseline'!$B$10:T444,16,FALSE))</f>
        <v/>
      </c>
      <c r="Q199" s="498" t="str">
        <f>IF(M199="","",VLOOKUP(M199,'G-6 Hedgerow Data'!$B$2:$AG$15,2,FALSE))</f>
        <v/>
      </c>
      <c r="R199" s="499" t="str">
        <f>IF(M199="","",VLOOKUP(M199,'G-6 Hedgerow Data'!$B$2:$AG$15,3,FALSE))</f>
        <v/>
      </c>
      <c r="S199" s="145"/>
      <c r="T199" s="499" t="str">
        <f>IFERROR(IF(AND(Q199="V.Low",OR(S199="Good",S199="Moderate")),"Error ▲",VLOOKUP(S199,'G-1 All Habitats'!$Z$2:$AA$9,2,FALSE)),"")</f>
        <v/>
      </c>
      <c r="U199" s="145"/>
      <c r="V199" s="507" t="str">
        <f>IF(U199="","",IF(VLOOKUP(U199,'G-3 Multipliers'!$L$3:$N$6,2,FALSE)=0,"Spatial Data Missing ⚠",VLOOKUP(U199,'G-3 Multipliers'!$L$3:$N$6,2,FALSE)))</f>
        <v/>
      </c>
      <c r="W199" s="505" t="str">
        <f>IF(U199="","",IF(VLOOKUP(U199,'G-3 Multipliers'!$L$3:$N$6,3,FALSE)=0,"Spatial Data Missing ⚠",VLOOKUP(U199,'G-3 Multipliers'!$L$3:$N$6,3,FALSE)))</f>
        <v/>
      </c>
      <c r="X199" s="498" t="str">
        <f>IFERROR(IF(OR(LEFT(O199,5)="Error ▲",LEFT(N199,5)="Error ▲",T199="Error ▲"),"Check Data ⚠",IF(F199&lt;R199,INDEX('G-6 Hedgerow Data'!$S$3:$AE$14,MATCH(C199,'G-6 Hedgerow Data'!$B$3:$B$14,0),MATCH(M199,'G-6 Hedgerow Data'!$S$2:$AE$2,0)),INDEX('G-6 Hedgerow Data'!$K$3:$Q$14,MATCH(M199,'G-6 Hedgerow Data'!$B$3:$B$14,0),MATCH(O199,'G-6 Hedgerow Data'!$K$2:$Q$2,0)))),"")</f>
        <v/>
      </c>
      <c r="Y199" s="195"/>
      <c r="Z199" s="195"/>
      <c r="AA199" s="507" t="str">
        <f t="shared" si="19"/>
        <v/>
      </c>
      <c r="AB199" s="521" t="str">
        <f t="shared" si="20"/>
        <v/>
      </c>
      <c r="AC199" s="522" t="str">
        <f t="shared" si="17"/>
        <v/>
      </c>
      <c r="AD199" s="537" t="str">
        <f>IF(M199="","",VLOOKUP(M199,'G-6 Hedgerow Data'!$B$3:$AG$15,31,FALSE))</f>
        <v/>
      </c>
      <c r="AE199" s="520" t="str">
        <f t="shared" si="21"/>
        <v/>
      </c>
      <c r="AF199" s="520" t="str">
        <f t="shared" si="22"/>
        <v/>
      </c>
      <c r="AG199" s="524" t="str">
        <f>IFERROR(IF(O199="","",VLOOKUP(AD199,'G-3 Multipliers'!$P$3:$Q$6,2,FALSE)),"")</f>
        <v/>
      </c>
      <c r="AH199" s="197"/>
      <c r="AI199" s="499" t="str">
        <f>IF(AH199="","",IF(VLOOKUP(AH199,'G-3 Multipliers'!$S$3:$T$6,2,FALSE)=0,"Spatial Data Missing ⚠",VLOOKUP(AH199,'G-3 Multipliers'!$S$3:$T$6,2,FALSE)))</f>
        <v/>
      </c>
      <c r="AJ199" s="545" t="str">
        <f t="shared" si="23"/>
        <v/>
      </c>
      <c r="AK199" s="149"/>
      <c r="AL199" s="150"/>
      <c r="AP199" s="31" t="str">
        <f>IFERROR(INDEX('G-6 Hedgerow Data'!$BJ$3:$BJ$15,MATCH(M199,'G-6 Hedgerow Data'!$B$3:$B$15,0)),"")</f>
        <v/>
      </c>
    </row>
    <row r="200" spans="2:42" ht="14" x14ac:dyDescent="0.3">
      <c r="B200" s="531" t="str">
        <f>'E-1 Off Site Hedge Baseline'!AK198</f>
        <v/>
      </c>
      <c r="C200" s="520" t="str">
        <f>IF(B200="","",IF(ISNA(VLOOKUP($B200,'E-1 Off Site Hedge Baseline'!$B$1:$L$257,3,FALSE)),"",(VLOOKUP($B200,'E-1 Off Site Hedge Baseline'!$B$1:$L$257,3,FALSE))))</f>
        <v/>
      </c>
      <c r="D200" s="520" t="str">
        <f>IF(B200="","",IF(ISNA(VLOOKUP($B200,'E-1 Off Site Hedge Baseline'!$B$1:$L$258,4,FALSE)),"",(VLOOKUP($B200,'E-1 Off Site Hedge Baseline'!$B$1:$L$258,4,FALSE))))</f>
        <v/>
      </c>
      <c r="E200" s="520" t="str">
        <f>IF(B200="","",IF(ISNA(VLOOKUP($B200,'E-1 Off Site Hedge Baseline'!$B$1:$L$257,5,FALSE)),"",(VLOOKUP($B200,'E-1 Off Site Hedge Baseline'!$B$1:$L$257,5,FALSE))))</f>
        <v/>
      </c>
      <c r="F200" s="520" t="str">
        <f>IF(B200="","",IF(ISNA(VLOOKUP($B200,'E-1 Off Site Hedge Baseline'!$B$1:$L$257,6,FALSE)),"",(VLOOKUP($B200,'E-1 Off Site Hedge Baseline'!$B$1:$L$257,6,FALSE))))</f>
        <v/>
      </c>
      <c r="G200" s="520" t="str">
        <f>IF(B200="","",IF(ISNA(VLOOKUP($B200,'E-1 Off Site Hedge Baseline'!$B$1:$L$257,7,FALSE)),"",(VLOOKUP($B200,'E-1 Off Site Hedge Baseline'!$B$1:$L$257,7,FALSE))))</f>
        <v/>
      </c>
      <c r="H200" s="520" t="str">
        <f>IF(B200="","",IF(ISNA(VLOOKUP($B200,'E-1 Off Site Hedge Baseline'!$B$1:$L$257,8,FALSE)),"",(VLOOKUP($B200,'E-1 Off Site Hedge Baseline'!$B$1:$L$257,8,FALSE))))</f>
        <v/>
      </c>
      <c r="I200" s="520" t="str">
        <f>IF(B200="","",IF(ISNA(VLOOKUP($B200,'E-1 Off Site Hedge Baseline'!$B$1:$L$257,10,FALSE)),"",(VLOOKUP($B200,'E-1 Off Site Hedge Baseline'!$B$1:$L$257,10,FALSE))))</f>
        <v/>
      </c>
      <c r="J200" s="520" t="str">
        <f>IF(B200="","",IF(ISNA(VLOOKUP($B200,'E-1 Off Site Hedge Baseline'!$B$1:$L$257,11,FALSE)),"",(VLOOKUP($B200,'E-1 Off Site Hedge Baseline'!$B$1:$L$257,11,FALSE))))</f>
        <v/>
      </c>
      <c r="K200" s="520" t="str">
        <f>IF(B200="","",IF(ISNA(VLOOKUP($B200,'E-1 Off Site Hedge Baseline'!$B$1:$U$257,113,FALSE)),"",(VLOOKUP($B200,'E-1 Off Site Hedge Baseline'!$B$1:$U$257,13,FALSE))))</f>
        <v/>
      </c>
      <c r="L200" s="507" t="str">
        <f>IF(B200="","",IF(ISNA(VLOOKUP($B200,'E-1 Off Site Hedge Baseline'!$B$1:$U$257,12,FALSE)),"",(VLOOKUP($B200,'E-1 Off Site Hedge Baseline'!$B$1:$U$257,12,FALSE))))</f>
        <v/>
      </c>
      <c r="M200" s="418" t="str">
        <f t="shared" si="24"/>
        <v/>
      </c>
      <c r="N200" s="498" t="str">
        <f>IFERROR(IF(B200="","",INDEX('G-6 Hedgerow Data'!$AN$3:$AZ$15,MATCH(C200,'G-6 Hedgerow Data'!$AM$3:$AM$15,0),MATCH(M200,'G-6 Hedgerow Data'!$AN$2:$AZ$2,0))),"")</f>
        <v/>
      </c>
      <c r="O200" s="499" t="str">
        <f t="shared" si="18"/>
        <v/>
      </c>
      <c r="P200" s="505" t="str">
        <f>IF(B200="","",VLOOKUP(B200,'E-1 Off Site Hedge Baseline'!$B$10:T445,16,FALSE))</f>
        <v/>
      </c>
      <c r="Q200" s="498" t="str">
        <f>IF(M200="","",VLOOKUP(M200,'G-6 Hedgerow Data'!$B$2:$AG$15,2,FALSE))</f>
        <v/>
      </c>
      <c r="R200" s="499" t="str">
        <f>IF(M200="","",VLOOKUP(M200,'G-6 Hedgerow Data'!$B$2:$AG$15,3,FALSE))</f>
        <v/>
      </c>
      <c r="S200" s="145"/>
      <c r="T200" s="499" t="str">
        <f>IFERROR(IF(AND(Q200="V.Low",OR(S200="Good",S200="Moderate")),"Error ▲",VLOOKUP(S200,'G-1 All Habitats'!$Z$2:$AA$9,2,FALSE)),"")</f>
        <v/>
      </c>
      <c r="U200" s="145"/>
      <c r="V200" s="507" t="str">
        <f>IF(U200="","",IF(VLOOKUP(U200,'G-3 Multipliers'!$L$3:$N$6,2,FALSE)=0,"Spatial Data Missing ⚠",VLOOKUP(U200,'G-3 Multipliers'!$L$3:$N$6,2,FALSE)))</f>
        <v/>
      </c>
      <c r="W200" s="505" t="str">
        <f>IF(U200="","",IF(VLOOKUP(U200,'G-3 Multipliers'!$L$3:$N$6,3,FALSE)=0,"Spatial Data Missing ⚠",VLOOKUP(U200,'G-3 Multipliers'!$L$3:$N$6,3,FALSE)))</f>
        <v/>
      </c>
      <c r="X200" s="498" t="str">
        <f>IFERROR(IF(OR(LEFT(O200,5)="Error ▲",LEFT(N200,5)="Error ▲",T200="Error ▲"),"Check Data ⚠",IF(F200&lt;R200,INDEX('G-6 Hedgerow Data'!$S$3:$AE$14,MATCH(C200,'G-6 Hedgerow Data'!$B$3:$B$14,0),MATCH(M200,'G-6 Hedgerow Data'!$S$2:$AE$2,0)),INDEX('G-6 Hedgerow Data'!$K$3:$Q$14,MATCH(M200,'G-6 Hedgerow Data'!$B$3:$B$14,0),MATCH(O200,'G-6 Hedgerow Data'!$K$2:$Q$2,0)))),"")</f>
        <v/>
      </c>
      <c r="Y200" s="195"/>
      <c r="Z200" s="195"/>
      <c r="AA200" s="507" t="str">
        <f t="shared" si="19"/>
        <v/>
      </c>
      <c r="AB200" s="521" t="str">
        <f t="shared" si="20"/>
        <v/>
      </c>
      <c r="AC200" s="522" t="str">
        <f t="shared" si="17"/>
        <v/>
      </c>
      <c r="AD200" s="537" t="str">
        <f>IF(M200="","",VLOOKUP(M200,'G-6 Hedgerow Data'!$B$3:$AG$15,31,FALSE))</f>
        <v/>
      </c>
      <c r="AE200" s="520" t="str">
        <f t="shared" si="21"/>
        <v/>
      </c>
      <c r="AF200" s="520" t="str">
        <f t="shared" si="22"/>
        <v/>
      </c>
      <c r="AG200" s="524" t="str">
        <f>IFERROR(IF(O200="","",VLOOKUP(AD200,'G-3 Multipliers'!$P$3:$Q$6,2,FALSE)),"")</f>
        <v/>
      </c>
      <c r="AH200" s="197"/>
      <c r="AI200" s="499" t="str">
        <f>IF(AH200="","",IF(VLOOKUP(AH200,'G-3 Multipliers'!$S$3:$T$6,2,FALSE)=0,"Spatial Data Missing ⚠",VLOOKUP(AH200,'G-3 Multipliers'!$S$3:$T$6,2,FALSE)))</f>
        <v/>
      </c>
      <c r="AJ200" s="545" t="str">
        <f t="shared" si="23"/>
        <v/>
      </c>
      <c r="AK200" s="149"/>
      <c r="AL200" s="150"/>
      <c r="AP200" s="31" t="str">
        <f>IFERROR(INDEX('G-6 Hedgerow Data'!$BJ$3:$BJ$15,MATCH(M200,'G-6 Hedgerow Data'!$B$3:$B$15,0)),"")</f>
        <v/>
      </c>
    </row>
    <row r="201" spans="2:42" ht="14" x14ac:dyDescent="0.3">
      <c r="B201" s="531" t="str">
        <f>'E-1 Off Site Hedge Baseline'!AK199</f>
        <v/>
      </c>
      <c r="C201" s="520" t="str">
        <f>IF(B201="","",IF(ISNA(VLOOKUP($B201,'E-1 Off Site Hedge Baseline'!$B$1:$L$257,3,FALSE)),"",(VLOOKUP($B201,'E-1 Off Site Hedge Baseline'!$B$1:$L$257,3,FALSE))))</f>
        <v/>
      </c>
      <c r="D201" s="520" t="str">
        <f>IF(B201="","",IF(ISNA(VLOOKUP($B201,'E-1 Off Site Hedge Baseline'!$B$1:$L$258,4,FALSE)),"",(VLOOKUP($B201,'E-1 Off Site Hedge Baseline'!$B$1:$L$258,4,FALSE))))</f>
        <v/>
      </c>
      <c r="E201" s="520" t="str">
        <f>IF(B201="","",IF(ISNA(VLOOKUP($B201,'E-1 Off Site Hedge Baseline'!$B$1:$L$257,5,FALSE)),"",(VLOOKUP($B201,'E-1 Off Site Hedge Baseline'!$B$1:$L$257,5,FALSE))))</f>
        <v/>
      </c>
      <c r="F201" s="520" t="str">
        <f>IF(B201="","",IF(ISNA(VLOOKUP($B201,'E-1 Off Site Hedge Baseline'!$B$1:$L$257,6,FALSE)),"",(VLOOKUP($B201,'E-1 Off Site Hedge Baseline'!$B$1:$L$257,6,FALSE))))</f>
        <v/>
      </c>
      <c r="G201" s="520" t="str">
        <f>IF(B201="","",IF(ISNA(VLOOKUP($B201,'E-1 Off Site Hedge Baseline'!$B$1:$L$257,7,FALSE)),"",(VLOOKUP($B201,'E-1 Off Site Hedge Baseline'!$B$1:$L$257,7,FALSE))))</f>
        <v/>
      </c>
      <c r="H201" s="520" t="str">
        <f>IF(B201="","",IF(ISNA(VLOOKUP($B201,'E-1 Off Site Hedge Baseline'!$B$1:$L$257,8,FALSE)),"",(VLOOKUP($B201,'E-1 Off Site Hedge Baseline'!$B$1:$L$257,8,FALSE))))</f>
        <v/>
      </c>
      <c r="I201" s="520" t="str">
        <f>IF(B201="","",IF(ISNA(VLOOKUP($B201,'E-1 Off Site Hedge Baseline'!$B$1:$L$257,10,FALSE)),"",(VLOOKUP($B201,'E-1 Off Site Hedge Baseline'!$B$1:$L$257,10,FALSE))))</f>
        <v/>
      </c>
      <c r="J201" s="520" t="str">
        <f>IF(B201="","",IF(ISNA(VLOOKUP($B201,'E-1 Off Site Hedge Baseline'!$B$1:$L$257,11,FALSE)),"",(VLOOKUP($B201,'E-1 Off Site Hedge Baseline'!$B$1:$L$257,11,FALSE))))</f>
        <v/>
      </c>
      <c r="K201" s="520" t="str">
        <f>IF(B201="","",IF(ISNA(VLOOKUP($B201,'E-1 Off Site Hedge Baseline'!$B$1:$U$257,113,FALSE)),"",(VLOOKUP($B201,'E-1 Off Site Hedge Baseline'!$B$1:$U$257,13,FALSE))))</f>
        <v/>
      </c>
      <c r="L201" s="507" t="str">
        <f>IF(B201="","",IF(ISNA(VLOOKUP($B201,'E-1 Off Site Hedge Baseline'!$B$1:$U$257,12,FALSE)),"",(VLOOKUP($B201,'E-1 Off Site Hedge Baseline'!$B$1:$U$257,12,FALSE))))</f>
        <v/>
      </c>
      <c r="M201" s="418" t="str">
        <f t="shared" si="24"/>
        <v/>
      </c>
      <c r="N201" s="498" t="str">
        <f>IFERROR(IF(B201="","",INDEX('G-6 Hedgerow Data'!$AN$3:$AZ$15,MATCH(C201,'G-6 Hedgerow Data'!$AM$3:$AM$15,0),MATCH(M201,'G-6 Hedgerow Data'!$AN$2:$AZ$2,0))),"")</f>
        <v/>
      </c>
      <c r="O201" s="499" t="str">
        <f t="shared" si="18"/>
        <v/>
      </c>
      <c r="P201" s="505" t="str">
        <f>IF(B201="","",VLOOKUP(B201,'E-1 Off Site Hedge Baseline'!$B$10:T446,16,FALSE))</f>
        <v/>
      </c>
      <c r="Q201" s="498" t="str">
        <f>IF(M201="","",VLOOKUP(M201,'G-6 Hedgerow Data'!$B$2:$AG$15,2,FALSE))</f>
        <v/>
      </c>
      <c r="R201" s="499" t="str">
        <f>IF(M201="","",VLOOKUP(M201,'G-6 Hedgerow Data'!$B$2:$AG$15,3,FALSE))</f>
        <v/>
      </c>
      <c r="S201" s="145"/>
      <c r="T201" s="499" t="str">
        <f>IFERROR(IF(AND(Q201="V.Low",OR(S201="Good",S201="Moderate")),"Error ▲",VLOOKUP(S201,'G-1 All Habitats'!$Z$2:$AA$9,2,FALSE)),"")</f>
        <v/>
      </c>
      <c r="U201" s="145"/>
      <c r="V201" s="507" t="str">
        <f>IF(U201="","",IF(VLOOKUP(U201,'G-3 Multipliers'!$L$3:$N$6,2,FALSE)=0,"Spatial Data Missing ⚠",VLOOKUP(U201,'G-3 Multipliers'!$L$3:$N$6,2,FALSE)))</f>
        <v/>
      </c>
      <c r="W201" s="505" t="str">
        <f>IF(U201="","",IF(VLOOKUP(U201,'G-3 Multipliers'!$L$3:$N$6,3,FALSE)=0,"Spatial Data Missing ⚠",VLOOKUP(U201,'G-3 Multipliers'!$L$3:$N$6,3,FALSE)))</f>
        <v/>
      </c>
      <c r="X201" s="498" t="str">
        <f>IFERROR(IF(OR(LEFT(O201,5)="Error ▲",LEFT(N201,5)="Error ▲",T201="Error ▲"),"Check Data ⚠",IF(F201&lt;R201,INDEX('G-6 Hedgerow Data'!$S$3:$AE$14,MATCH(C201,'G-6 Hedgerow Data'!$B$3:$B$14,0),MATCH(M201,'G-6 Hedgerow Data'!$S$2:$AE$2,0)),INDEX('G-6 Hedgerow Data'!$K$3:$Q$14,MATCH(M201,'G-6 Hedgerow Data'!$B$3:$B$14,0),MATCH(O201,'G-6 Hedgerow Data'!$K$2:$Q$2,0)))),"")</f>
        <v/>
      </c>
      <c r="Y201" s="195"/>
      <c r="Z201" s="195"/>
      <c r="AA201" s="507" t="str">
        <f t="shared" si="19"/>
        <v/>
      </c>
      <c r="AB201" s="521" t="str">
        <f t="shared" si="20"/>
        <v/>
      </c>
      <c r="AC201" s="522" t="str">
        <f t="shared" si="17"/>
        <v/>
      </c>
      <c r="AD201" s="537" t="str">
        <f>IF(M201="","",VLOOKUP(M201,'G-6 Hedgerow Data'!$B$3:$AG$15,31,FALSE))</f>
        <v/>
      </c>
      <c r="AE201" s="520" t="str">
        <f t="shared" si="21"/>
        <v/>
      </c>
      <c r="AF201" s="520" t="str">
        <f t="shared" si="22"/>
        <v/>
      </c>
      <c r="AG201" s="524" t="str">
        <f>IFERROR(IF(O201="","",VLOOKUP(AD201,'G-3 Multipliers'!$P$3:$Q$6,2,FALSE)),"")</f>
        <v/>
      </c>
      <c r="AH201" s="197"/>
      <c r="AI201" s="499" t="str">
        <f>IF(AH201="","",IF(VLOOKUP(AH201,'G-3 Multipliers'!$S$3:$T$6,2,FALSE)=0,"Spatial Data Missing ⚠",VLOOKUP(AH201,'G-3 Multipliers'!$S$3:$T$6,2,FALSE)))</f>
        <v/>
      </c>
      <c r="AJ201" s="545" t="str">
        <f t="shared" si="23"/>
        <v/>
      </c>
      <c r="AK201" s="149"/>
      <c r="AL201" s="150"/>
      <c r="AP201" s="31" t="str">
        <f>IFERROR(INDEX('G-6 Hedgerow Data'!$BJ$3:$BJ$15,MATCH(M201,'G-6 Hedgerow Data'!$B$3:$B$15,0)),"")</f>
        <v/>
      </c>
    </row>
    <row r="202" spans="2:42" ht="14" x14ac:dyDescent="0.3">
      <c r="B202" s="531" t="str">
        <f>'E-1 Off Site Hedge Baseline'!AK200</f>
        <v/>
      </c>
      <c r="C202" s="520" t="str">
        <f>IF(B202="","",IF(ISNA(VLOOKUP($B202,'E-1 Off Site Hedge Baseline'!$B$1:$L$257,3,FALSE)),"",(VLOOKUP($B202,'E-1 Off Site Hedge Baseline'!$B$1:$L$257,3,FALSE))))</f>
        <v/>
      </c>
      <c r="D202" s="520" t="str">
        <f>IF(B202="","",IF(ISNA(VLOOKUP($B202,'E-1 Off Site Hedge Baseline'!$B$1:$L$258,4,FALSE)),"",(VLOOKUP($B202,'E-1 Off Site Hedge Baseline'!$B$1:$L$258,4,FALSE))))</f>
        <v/>
      </c>
      <c r="E202" s="520" t="str">
        <f>IF(B202="","",IF(ISNA(VLOOKUP($B202,'E-1 Off Site Hedge Baseline'!$B$1:$L$257,5,FALSE)),"",(VLOOKUP($B202,'E-1 Off Site Hedge Baseline'!$B$1:$L$257,5,FALSE))))</f>
        <v/>
      </c>
      <c r="F202" s="520" t="str">
        <f>IF(B202="","",IF(ISNA(VLOOKUP($B202,'E-1 Off Site Hedge Baseline'!$B$1:$L$257,6,FALSE)),"",(VLOOKUP($B202,'E-1 Off Site Hedge Baseline'!$B$1:$L$257,6,FALSE))))</f>
        <v/>
      </c>
      <c r="G202" s="520" t="str">
        <f>IF(B202="","",IF(ISNA(VLOOKUP($B202,'E-1 Off Site Hedge Baseline'!$B$1:$L$257,7,FALSE)),"",(VLOOKUP($B202,'E-1 Off Site Hedge Baseline'!$B$1:$L$257,7,FALSE))))</f>
        <v/>
      </c>
      <c r="H202" s="520" t="str">
        <f>IF(B202="","",IF(ISNA(VLOOKUP($B202,'E-1 Off Site Hedge Baseline'!$B$1:$L$257,8,FALSE)),"",(VLOOKUP($B202,'E-1 Off Site Hedge Baseline'!$B$1:$L$257,8,FALSE))))</f>
        <v/>
      </c>
      <c r="I202" s="520" t="str">
        <f>IF(B202="","",IF(ISNA(VLOOKUP($B202,'E-1 Off Site Hedge Baseline'!$B$1:$L$257,10,FALSE)),"",(VLOOKUP($B202,'E-1 Off Site Hedge Baseline'!$B$1:$L$257,10,FALSE))))</f>
        <v/>
      </c>
      <c r="J202" s="520" t="str">
        <f>IF(B202="","",IF(ISNA(VLOOKUP($B202,'E-1 Off Site Hedge Baseline'!$B$1:$L$257,11,FALSE)),"",(VLOOKUP($B202,'E-1 Off Site Hedge Baseline'!$B$1:$L$257,11,FALSE))))</f>
        <v/>
      </c>
      <c r="K202" s="520" t="str">
        <f>IF(B202="","",IF(ISNA(VLOOKUP($B202,'E-1 Off Site Hedge Baseline'!$B$1:$U$257,113,FALSE)),"",(VLOOKUP($B202,'E-1 Off Site Hedge Baseline'!$B$1:$U$257,13,FALSE))))</f>
        <v/>
      </c>
      <c r="L202" s="507" t="str">
        <f>IF(B202="","",IF(ISNA(VLOOKUP($B202,'E-1 Off Site Hedge Baseline'!$B$1:$U$257,12,FALSE)),"",(VLOOKUP($B202,'E-1 Off Site Hedge Baseline'!$B$1:$U$257,12,FALSE))))</f>
        <v/>
      </c>
      <c r="M202" s="418" t="str">
        <f t="shared" si="24"/>
        <v/>
      </c>
      <c r="N202" s="498" t="str">
        <f>IFERROR(IF(B202="","",INDEX('G-6 Hedgerow Data'!$AN$3:$AZ$15,MATCH(C202,'G-6 Hedgerow Data'!$AM$3:$AM$15,0),MATCH(M202,'G-6 Hedgerow Data'!$AN$2:$AZ$2,0))),"")</f>
        <v/>
      </c>
      <c r="O202" s="499" t="str">
        <f t="shared" si="18"/>
        <v/>
      </c>
      <c r="P202" s="505" t="str">
        <f>IF(B202="","",VLOOKUP(B202,'E-1 Off Site Hedge Baseline'!$B$10:T447,16,FALSE))</f>
        <v/>
      </c>
      <c r="Q202" s="498" t="str">
        <f>IF(M202="","",VLOOKUP(M202,'G-6 Hedgerow Data'!$B$2:$AG$15,2,FALSE))</f>
        <v/>
      </c>
      <c r="R202" s="499" t="str">
        <f>IF(M202="","",VLOOKUP(M202,'G-6 Hedgerow Data'!$B$2:$AG$15,3,FALSE))</f>
        <v/>
      </c>
      <c r="S202" s="145"/>
      <c r="T202" s="499" t="str">
        <f>IFERROR(IF(AND(Q202="V.Low",OR(S202="Good",S202="Moderate")),"Error ▲",VLOOKUP(S202,'G-1 All Habitats'!$Z$2:$AA$9,2,FALSE)),"")</f>
        <v/>
      </c>
      <c r="U202" s="145"/>
      <c r="V202" s="507" t="str">
        <f>IF(U202="","",IF(VLOOKUP(U202,'G-3 Multipliers'!$L$3:$N$6,2,FALSE)=0,"Spatial Data Missing ⚠",VLOOKUP(U202,'G-3 Multipliers'!$L$3:$N$6,2,FALSE)))</f>
        <v/>
      </c>
      <c r="W202" s="505" t="str">
        <f>IF(U202="","",IF(VLOOKUP(U202,'G-3 Multipliers'!$L$3:$N$6,3,FALSE)=0,"Spatial Data Missing ⚠",VLOOKUP(U202,'G-3 Multipliers'!$L$3:$N$6,3,FALSE)))</f>
        <v/>
      </c>
      <c r="X202" s="498" t="str">
        <f>IFERROR(IF(OR(LEFT(O202,5)="Error ▲",LEFT(N202,5)="Error ▲",T202="Error ▲"),"Check Data ⚠",IF(F202&lt;R202,INDEX('G-6 Hedgerow Data'!$S$3:$AE$14,MATCH(C202,'G-6 Hedgerow Data'!$B$3:$B$14,0),MATCH(M202,'G-6 Hedgerow Data'!$S$2:$AE$2,0)),INDEX('G-6 Hedgerow Data'!$K$3:$Q$14,MATCH(M202,'G-6 Hedgerow Data'!$B$3:$B$14,0),MATCH(O202,'G-6 Hedgerow Data'!$K$2:$Q$2,0)))),"")</f>
        <v/>
      </c>
      <c r="Y202" s="195"/>
      <c r="Z202" s="195"/>
      <c r="AA202" s="507" t="str">
        <f t="shared" si="19"/>
        <v/>
      </c>
      <c r="AB202" s="521" t="str">
        <f t="shared" si="20"/>
        <v/>
      </c>
      <c r="AC202" s="522" t="str">
        <f t="shared" si="17"/>
        <v/>
      </c>
      <c r="AD202" s="537" t="str">
        <f>IF(M202="","",VLOOKUP(M202,'G-6 Hedgerow Data'!$B$3:$AG$15,31,FALSE))</f>
        <v/>
      </c>
      <c r="AE202" s="520" t="str">
        <f t="shared" si="21"/>
        <v/>
      </c>
      <c r="AF202" s="520" t="str">
        <f t="shared" si="22"/>
        <v/>
      </c>
      <c r="AG202" s="524" t="str">
        <f>IFERROR(IF(O202="","",VLOOKUP(AD202,'G-3 Multipliers'!$P$3:$Q$6,2,FALSE)),"")</f>
        <v/>
      </c>
      <c r="AH202" s="197"/>
      <c r="AI202" s="499" t="str">
        <f>IF(AH202="","",IF(VLOOKUP(AH202,'G-3 Multipliers'!$S$3:$T$6,2,FALSE)=0,"Spatial Data Missing ⚠",VLOOKUP(AH202,'G-3 Multipliers'!$S$3:$T$6,2,FALSE)))</f>
        <v/>
      </c>
      <c r="AJ202" s="545" t="str">
        <f t="shared" si="23"/>
        <v/>
      </c>
      <c r="AK202" s="149"/>
      <c r="AL202" s="150"/>
      <c r="AP202" s="31" t="str">
        <f>IFERROR(INDEX('G-6 Hedgerow Data'!$BJ$3:$BJ$15,MATCH(M202,'G-6 Hedgerow Data'!$B$3:$B$15,0)),"")</f>
        <v/>
      </c>
    </row>
    <row r="203" spans="2:42" ht="14" x14ac:dyDescent="0.3">
      <c r="B203" s="531" t="str">
        <f>'E-1 Off Site Hedge Baseline'!AK201</f>
        <v/>
      </c>
      <c r="C203" s="520" t="str">
        <f>IF(B203="","",IF(ISNA(VLOOKUP($B203,'E-1 Off Site Hedge Baseline'!$B$1:$L$257,3,FALSE)),"",(VLOOKUP($B203,'E-1 Off Site Hedge Baseline'!$B$1:$L$257,3,FALSE))))</f>
        <v/>
      </c>
      <c r="D203" s="520" t="str">
        <f>IF(B203="","",IF(ISNA(VLOOKUP($B203,'E-1 Off Site Hedge Baseline'!$B$1:$L$258,4,FALSE)),"",(VLOOKUP($B203,'E-1 Off Site Hedge Baseline'!$B$1:$L$258,4,FALSE))))</f>
        <v/>
      </c>
      <c r="E203" s="520" t="str">
        <f>IF(B203="","",IF(ISNA(VLOOKUP($B203,'E-1 Off Site Hedge Baseline'!$B$1:$L$257,5,FALSE)),"",(VLOOKUP($B203,'E-1 Off Site Hedge Baseline'!$B$1:$L$257,5,FALSE))))</f>
        <v/>
      </c>
      <c r="F203" s="520" t="str">
        <f>IF(B203="","",IF(ISNA(VLOOKUP($B203,'E-1 Off Site Hedge Baseline'!$B$1:$L$257,6,FALSE)),"",(VLOOKUP($B203,'E-1 Off Site Hedge Baseline'!$B$1:$L$257,6,FALSE))))</f>
        <v/>
      </c>
      <c r="G203" s="520" t="str">
        <f>IF(B203="","",IF(ISNA(VLOOKUP($B203,'E-1 Off Site Hedge Baseline'!$B$1:$L$257,7,FALSE)),"",(VLOOKUP($B203,'E-1 Off Site Hedge Baseline'!$B$1:$L$257,7,FALSE))))</f>
        <v/>
      </c>
      <c r="H203" s="520" t="str">
        <f>IF(B203="","",IF(ISNA(VLOOKUP($B203,'E-1 Off Site Hedge Baseline'!$B$1:$L$257,8,FALSE)),"",(VLOOKUP($B203,'E-1 Off Site Hedge Baseline'!$B$1:$L$257,8,FALSE))))</f>
        <v/>
      </c>
      <c r="I203" s="520" t="str">
        <f>IF(B203="","",IF(ISNA(VLOOKUP($B203,'E-1 Off Site Hedge Baseline'!$B$1:$L$257,10,FALSE)),"",(VLOOKUP($B203,'E-1 Off Site Hedge Baseline'!$B$1:$L$257,10,FALSE))))</f>
        <v/>
      </c>
      <c r="J203" s="520" t="str">
        <f>IF(B203="","",IF(ISNA(VLOOKUP($B203,'E-1 Off Site Hedge Baseline'!$B$1:$L$257,11,FALSE)),"",(VLOOKUP($B203,'E-1 Off Site Hedge Baseline'!$B$1:$L$257,11,FALSE))))</f>
        <v/>
      </c>
      <c r="K203" s="520" t="str">
        <f>IF(B203="","",IF(ISNA(VLOOKUP($B203,'E-1 Off Site Hedge Baseline'!$B$1:$U$257,113,FALSE)),"",(VLOOKUP($B203,'E-1 Off Site Hedge Baseline'!$B$1:$U$257,13,FALSE))))</f>
        <v/>
      </c>
      <c r="L203" s="507" t="str">
        <f>IF(B203="","",IF(ISNA(VLOOKUP($B203,'E-1 Off Site Hedge Baseline'!$B$1:$U$257,12,FALSE)),"",(VLOOKUP($B203,'E-1 Off Site Hedge Baseline'!$B$1:$U$257,12,FALSE))))</f>
        <v/>
      </c>
      <c r="M203" s="418" t="str">
        <f t="shared" si="24"/>
        <v/>
      </c>
      <c r="N203" s="498" t="str">
        <f>IFERROR(IF(B203="","",INDEX('G-6 Hedgerow Data'!$AN$3:$AZ$15,MATCH(C203,'G-6 Hedgerow Data'!$AM$3:$AM$15,0),MATCH(M203,'G-6 Hedgerow Data'!$AN$2:$AZ$2,0))),"")</f>
        <v/>
      </c>
      <c r="O203" s="499" t="str">
        <f t="shared" si="18"/>
        <v/>
      </c>
      <c r="P203" s="505" t="str">
        <f>IF(B203="","",VLOOKUP(B203,'E-1 Off Site Hedge Baseline'!$B$10:T448,16,FALSE))</f>
        <v/>
      </c>
      <c r="Q203" s="498" t="str">
        <f>IF(M203="","",VLOOKUP(M203,'G-6 Hedgerow Data'!$B$2:$AG$15,2,FALSE))</f>
        <v/>
      </c>
      <c r="R203" s="499" t="str">
        <f>IF(M203="","",VLOOKUP(M203,'G-6 Hedgerow Data'!$B$2:$AG$15,3,FALSE))</f>
        <v/>
      </c>
      <c r="S203" s="145"/>
      <c r="T203" s="499" t="str">
        <f>IFERROR(IF(AND(Q203="V.Low",OR(S203="Good",S203="Moderate")),"Error ▲",VLOOKUP(S203,'G-1 All Habitats'!$Z$2:$AA$9,2,FALSE)),"")</f>
        <v/>
      </c>
      <c r="U203" s="145"/>
      <c r="V203" s="507" t="str">
        <f>IF(U203="","",IF(VLOOKUP(U203,'G-3 Multipliers'!$L$3:$N$6,2,FALSE)=0,"Spatial Data Missing ⚠",VLOOKUP(U203,'G-3 Multipliers'!$L$3:$N$6,2,FALSE)))</f>
        <v/>
      </c>
      <c r="W203" s="505" t="str">
        <f>IF(U203="","",IF(VLOOKUP(U203,'G-3 Multipliers'!$L$3:$N$6,3,FALSE)=0,"Spatial Data Missing ⚠",VLOOKUP(U203,'G-3 Multipliers'!$L$3:$N$6,3,FALSE)))</f>
        <v/>
      </c>
      <c r="X203" s="498" t="str">
        <f>IFERROR(IF(OR(LEFT(O203,5)="Error ▲",LEFT(N203,5)="Error ▲",T203="Error ▲"),"Check Data ⚠",IF(F203&lt;R203,INDEX('G-6 Hedgerow Data'!$S$3:$AE$14,MATCH(C203,'G-6 Hedgerow Data'!$B$3:$B$14,0),MATCH(M203,'G-6 Hedgerow Data'!$S$2:$AE$2,0)),INDEX('G-6 Hedgerow Data'!$K$3:$Q$14,MATCH(M203,'G-6 Hedgerow Data'!$B$3:$B$14,0),MATCH(O203,'G-6 Hedgerow Data'!$K$2:$Q$2,0)))),"")</f>
        <v/>
      </c>
      <c r="Y203" s="195"/>
      <c r="Z203" s="195"/>
      <c r="AA203" s="507" t="str">
        <f t="shared" si="19"/>
        <v/>
      </c>
      <c r="AB203" s="521" t="str">
        <f t="shared" si="20"/>
        <v/>
      </c>
      <c r="AC203" s="522" t="str">
        <f t="shared" si="17"/>
        <v/>
      </c>
      <c r="AD203" s="537" t="str">
        <f>IF(M203="","",VLOOKUP(M203,'G-6 Hedgerow Data'!$B$3:$AG$15,31,FALSE))</f>
        <v/>
      </c>
      <c r="AE203" s="520" t="str">
        <f t="shared" si="21"/>
        <v/>
      </c>
      <c r="AF203" s="520" t="str">
        <f t="shared" si="22"/>
        <v/>
      </c>
      <c r="AG203" s="524" t="str">
        <f>IFERROR(IF(O203="","",VLOOKUP(AD203,'G-3 Multipliers'!$P$3:$Q$6,2,FALSE)),"")</f>
        <v/>
      </c>
      <c r="AH203" s="197"/>
      <c r="AI203" s="499" t="str">
        <f>IF(AH203="","",IF(VLOOKUP(AH203,'G-3 Multipliers'!$S$3:$T$6,2,FALSE)=0,"Spatial Data Missing ⚠",VLOOKUP(AH203,'G-3 Multipliers'!$S$3:$T$6,2,FALSE)))</f>
        <v/>
      </c>
      <c r="AJ203" s="545" t="str">
        <f t="shared" si="23"/>
        <v/>
      </c>
      <c r="AK203" s="149"/>
      <c r="AL203" s="150"/>
      <c r="AP203" s="31" t="str">
        <f>IFERROR(INDEX('G-6 Hedgerow Data'!$BJ$3:$BJ$15,MATCH(M203,'G-6 Hedgerow Data'!$B$3:$B$15,0)),"")</f>
        <v/>
      </c>
    </row>
    <row r="204" spans="2:42" ht="14" x14ac:dyDescent="0.3">
      <c r="B204" s="531" t="str">
        <f>'E-1 Off Site Hedge Baseline'!AK202</f>
        <v/>
      </c>
      <c r="C204" s="520" t="str">
        <f>IF(B204="","",IF(ISNA(VLOOKUP($B204,'E-1 Off Site Hedge Baseline'!$B$1:$L$257,3,FALSE)),"",(VLOOKUP($B204,'E-1 Off Site Hedge Baseline'!$B$1:$L$257,3,FALSE))))</f>
        <v/>
      </c>
      <c r="D204" s="520" t="str">
        <f>IF(B204="","",IF(ISNA(VLOOKUP($B204,'E-1 Off Site Hedge Baseline'!$B$1:$L$258,4,FALSE)),"",(VLOOKUP($B204,'E-1 Off Site Hedge Baseline'!$B$1:$L$258,4,FALSE))))</f>
        <v/>
      </c>
      <c r="E204" s="520" t="str">
        <f>IF(B204="","",IF(ISNA(VLOOKUP($B204,'E-1 Off Site Hedge Baseline'!$B$1:$L$257,5,FALSE)),"",(VLOOKUP($B204,'E-1 Off Site Hedge Baseline'!$B$1:$L$257,5,FALSE))))</f>
        <v/>
      </c>
      <c r="F204" s="520" t="str">
        <f>IF(B204="","",IF(ISNA(VLOOKUP($B204,'E-1 Off Site Hedge Baseline'!$B$1:$L$257,6,FALSE)),"",(VLOOKUP($B204,'E-1 Off Site Hedge Baseline'!$B$1:$L$257,6,FALSE))))</f>
        <v/>
      </c>
      <c r="G204" s="520" t="str">
        <f>IF(B204="","",IF(ISNA(VLOOKUP($B204,'E-1 Off Site Hedge Baseline'!$B$1:$L$257,7,FALSE)),"",(VLOOKUP($B204,'E-1 Off Site Hedge Baseline'!$B$1:$L$257,7,FALSE))))</f>
        <v/>
      </c>
      <c r="H204" s="520" t="str">
        <f>IF(B204="","",IF(ISNA(VLOOKUP($B204,'E-1 Off Site Hedge Baseline'!$B$1:$L$257,8,FALSE)),"",(VLOOKUP($B204,'E-1 Off Site Hedge Baseline'!$B$1:$L$257,8,FALSE))))</f>
        <v/>
      </c>
      <c r="I204" s="520" t="str">
        <f>IF(B204="","",IF(ISNA(VLOOKUP($B204,'E-1 Off Site Hedge Baseline'!$B$1:$L$257,10,FALSE)),"",(VLOOKUP($B204,'E-1 Off Site Hedge Baseline'!$B$1:$L$257,10,FALSE))))</f>
        <v/>
      </c>
      <c r="J204" s="520" t="str">
        <f>IF(B204="","",IF(ISNA(VLOOKUP($B204,'E-1 Off Site Hedge Baseline'!$B$1:$L$257,11,FALSE)),"",(VLOOKUP($B204,'E-1 Off Site Hedge Baseline'!$B$1:$L$257,11,FALSE))))</f>
        <v/>
      </c>
      <c r="K204" s="520" t="str">
        <f>IF(B204="","",IF(ISNA(VLOOKUP($B204,'E-1 Off Site Hedge Baseline'!$B$1:$U$257,113,FALSE)),"",(VLOOKUP($B204,'E-1 Off Site Hedge Baseline'!$B$1:$U$257,13,FALSE))))</f>
        <v/>
      </c>
      <c r="L204" s="507" t="str">
        <f>IF(B204="","",IF(ISNA(VLOOKUP($B204,'E-1 Off Site Hedge Baseline'!$B$1:$U$257,12,FALSE)),"",(VLOOKUP($B204,'E-1 Off Site Hedge Baseline'!$B$1:$U$257,12,FALSE))))</f>
        <v/>
      </c>
      <c r="M204" s="418" t="str">
        <f t="shared" si="24"/>
        <v/>
      </c>
      <c r="N204" s="498" t="str">
        <f>IFERROR(IF(B204="","",INDEX('G-6 Hedgerow Data'!$AN$3:$AZ$15,MATCH(C204,'G-6 Hedgerow Data'!$AM$3:$AM$15,0),MATCH(M204,'G-6 Hedgerow Data'!$AN$2:$AZ$2,0))),"")</f>
        <v/>
      </c>
      <c r="O204" s="499" t="str">
        <f t="shared" si="18"/>
        <v/>
      </c>
      <c r="P204" s="505" t="str">
        <f>IF(B204="","",VLOOKUP(B204,'E-1 Off Site Hedge Baseline'!$B$10:T449,16,FALSE))</f>
        <v/>
      </c>
      <c r="Q204" s="498" t="str">
        <f>IF(M204="","",VLOOKUP(M204,'G-6 Hedgerow Data'!$B$2:$AG$15,2,FALSE))</f>
        <v/>
      </c>
      <c r="R204" s="499" t="str">
        <f>IF(M204="","",VLOOKUP(M204,'G-6 Hedgerow Data'!$B$2:$AG$15,3,FALSE))</f>
        <v/>
      </c>
      <c r="S204" s="145"/>
      <c r="T204" s="499" t="str">
        <f>IFERROR(IF(AND(Q204="V.Low",OR(S204="Good",S204="Moderate")),"Error ▲",VLOOKUP(S204,'G-1 All Habitats'!$Z$2:$AA$9,2,FALSE)),"")</f>
        <v/>
      </c>
      <c r="U204" s="145"/>
      <c r="V204" s="507" t="str">
        <f>IF(U204="","",IF(VLOOKUP(U204,'G-3 Multipliers'!$L$3:$N$6,2,FALSE)=0,"Spatial Data Missing ⚠",VLOOKUP(U204,'G-3 Multipliers'!$L$3:$N$6,2,FALSE)))</f>
        <v/>
      </c>
      <c r="W204" s="505" t="str">
        <f>IF(U204="","",IF(VLOOKUP(U204,'G-3 Multipliers'!$L$3:$N$6,3,FALSE)=0,"Spatial Data Missing ⚠",VLOOKUP(U204,'G-3 Multipliers'!$L$3:$N$6,3,FALSE)))</f>
        <v/>
      </c>
      <c r="X204" s="498" t="str">
        <f>IFERROR(IF(OR(LEFT(O204,5)="Error ▲",LEFT(N204,5)="Error ▲",T204="Error ▲"),"Check Data ⚠",IF(F204&lt;R204,INDEX('G-6 Hedgerow Data'!$S$3:$AE$14,MATCH(C204,'G-6 Hedgerow Data'!$B$3:$B$14,0),MATCH(M204,'G-6 Hedgerow Data'!$S$2:$AE$2,0)),INDEX('G-6 Hedgerow Data'!$K$3:$Q$14,MATCH(M204,'G-6 Hedgerow Data'!$B$3:$B$14,0),MATCH(O204,'G-6 Hedgerow Data'!$K$2:$Q$2,0)))),"")</f>
        <v/>
      </c>
      <c r="Y204" s="195"/>
      <c r="Z204" s="195"/>
      <c r="AA204" s="507" t="str">
        <f t="shared" si="19"/>
        <v/>
      </c>
      <c r="AB204" s="521" t="str">
        <f t="shared" si="20"/>
        <v/>
      </c>
      <c r="AC204" s="522" t="str">
        <f t="shared" ref="AC204:AC257" si="25">IF(OR(S204="",M204=""),"",IF(LEFT(AB204,5)="Error ▲","Check Data ⚠",IF(AB204="Check Data ⚠","Check Data ⚠",VLOOKUP(AB204,TemporalMultipliers,3,FALSE))))</f>
        <v/>
      </c>
      <c r="AD204" s="537" t="str">
        <f>IF(M204="","",VLOOKUP(M204,'G-6 Hedgerow Data'!$B$3:$AG$15,31,FALSE))</f>
        <v/>
      </c>
      <c r="AE204" s="520" t="str">
        <f t="shared" si="21"/>
        <v/>
      </c>
      <c r="AF204" s="520" t="str">
        <f t="shared" si="22"/>
        <v/>
      </c>
      <c r="AG204" s="524" t="str">
        <f>IFERROR(IF(O204="","",VLOOKUP(AD204,'G-3 Multipliers'!$P$3:$Q$6,2,FALSE)),"")</f>
        <v/>
      </c>
      <c r="AH204" s="197"/>
      <c r="AI204" s="499" t="str">
        <f>IF(AH204="","",IF(VLOOKUP(AH204,'G-3 Multipliers'!$S$3:$T$6,2,FALSE)=0,"Spatial Data Missing ⚠",VLOOKUP(AH204,'G-3 Multipliers'!$S$3:$T$6,2,FALSE)))</f>
        <v/>
      </c>
      <c r="AJ204" s="545" t="str">
        <f t="shared" si="23"/>
        <v/>
      </c>
      <c r="AK204" s="149"/>
      <c r="AL204" s="150"/>
      <c r="AP204" s="31" t="str">
        <f>IFERROR(INDEX('G-6 Hedgerow Data'!$BJ$3:$BJ$15,MATCH(M204,'G-6 Hedgerow Data'!$B$3:$B$15,0)),"")</f>
        <v/>
      </c>
    </row>
    <row r="205" spans="2:42" ht="14" x14ac:dyDescent="0.3">
      <c r="B205" s="531" t="str">
        <f>'E-1 Off Site Hedge Baseline'!AK203</f>
        <v/>
      </c>
      <c r="C205" s="520" t="str">
        <f>IF(B205="","",IF(ISNA(VLOOKUP($B205,'E-1 Off Site Hedge Baseline'!$B$1:$L$257,3,FALSE)),"",(VLOOKUP($B205,'E-1 Off Site Hedge Baseline'!$B$1:$L$257,3,FALSE))))</f>
        <v/>
      </c>
      <c r="D205" s="520" t="str">
        <f>IF(B205="","",IF(ISNA(VLOOKUP($B205,'E-1 Off Site Hedge Baseline'!$B$1:$L$258,4,FALSE)),"",(VLOOKUP($B205,'E-1 Off Site Hedge Baseline'!$B$1:$L$258,4,FALSE))))</f>
        <v/>
      </c>
      <c r="E205" s="520" t="str">
        <f>IF(B205="","",IF(ISNA(VLOOKUP($B205,'E-1 Off Site Hedge Baseline'!$B$1:$L$257,5,FALSE)),"",(VLOOKUP($B205,'E-1 Off Site Hedge Baseline'!$B$1:$L$257,5,FALSE))))</f>
        <v/>
      </c>
      <c r="F205" s="520" t="str">
        <f>IF(B205="","",IF(ISNA(VLOOKUP($B205,'E-1 Off Site Hedge Baseline'!$B$1:$L$257,6,FALSE)),"",(VLOOKUP($B205,'E-1 Off Site Hedge Baseline'!$B$1:$L$257,6,FALSE))))</f>
        <v/>
      </c>
      <c r="G205" s="520" t="str">
        <f>IF(B205="","",IF(ISNA(VLOOKUP($B205,'E-1 Off Site Hedge Baseline'!$B$1:$L$257,7,FALSE)),"",(VLOOKUP($B205,'E-1 Off Site Hedge Baseline'!$B$1:$L$257,7,FALSE))))</f>
        <v/>
      </c>
      <c r="H205" s="520" t="str">
        <f>IF(B205="","",IF(ISNA(VLOOKUP($B205,'E-1 Off Site Hedge Baseline'!$B$1:$L$257,8,FALSE)),"",(VLOOKUP($B205,'E-1 Off Site Hedge Baseline'!$B$1:$L$257,8,FALSE))))</f>
        <v/>
      </c>
      <c r="I205" s="520" t="str">
        <f>IF(B205="","",IF(ISNA(VLOOKUP($B205,'E-1 Off Site Hedge Baseline'!$B$1:$L$257,10,FALSE)),"",(VLOOKUP($B205,'E-1 Off Site Hedge Baseline'!$B$1:$L$257,10,FALSE))))</f>
        <v/>
      </c>
      <c r="J205" s="520" t="str">
        <f>IF(B205="","",IF(ISNA(VLOOKUP($B205,'E-1 Off Site Hedge Baseline'!$B$1:$L$257,11,FALSE)),"",(VLOOKUP($B205,'E-1 Off Site Hedge Baseline'!$B$1:$L$257,11,FALSE))))</f>
        <v/>
      </c>
      <c r="K205" s="520" t="str">
        <f>IF(B205="","",IF(ISNA(VLOOKUP($B205,'E-1 Off Site Hedge Baseline'!$B$1:$U$257,113,FALSE)),"",(VLOOKUP($B205,'E-1 Off Site Hedge Baseline'!$B$1:$U$257,13,FALSE))))</f>
        <v/>
      </c>
      <c r="L205" s="507" t="str">
        <f>IF(B205="","",IF(ISNA(VLOOKUP($B205,'E-1 Off Site Hedge Baseline'!$B$1:$U$257,12,FALSE)),"",(VLOOKUP($B205,'E-1 Off Site Hedge Baseline'!$B$1:$U$257,12,FALSE))))</f>
        <v/>
      </c>
      <c r="M205" s="418" t="str">
        <f t="shared" si="24"/>
        <v/>
      </c>
      <c r="N205" s="498" t="str">
        <f>IFERROR(IF(B205="","",INDEX('G-6 Hedgerow Data'!$AN$3:$AZ$15,MATCH(C205,'G-6 Hedgerow Data'!$AM$3:$AM$15,0),MATCH(M205,'G-6 Hedgerow Data'!$AN$2:$AZ$2,0))),"")</f>
        <v/>
      </c>
      <c r="O205" s="499" t="str">
        <f t="shared" ref="O205:O257" si="26">IFERROR(IF(B205="","",IF(AND(LEFT(C205,55)&lt;&gt;LEFT(M205,55),N205="High - High"),"Error - Not like for like ▲",IF(AND(LEFT(C205,55)&lt;&gt;LEFT(M205,55),N205="Medium - Medium"),"Error - Not like for like ▲",IF(H205&gt;T205,"Error - Can not reduce condition ▲",IF(AND(F205=R205,H205=T205),"Error - No enhancement ▲",IF(AND(C205&lt;&gt;M205,F205&lt;R205),"Lower Distinctiveness Habitat"&amp;" - "&amp;S205,G205&amp;" - "&amp;S205)))))),"")</f>
        <v/>
      </c>
      <c r="P205" s="505" t="str">
        <f>IF(B205="","",VLOOKUP(B205,'E-1 Off Site Hedge Baseline'!$B$10:T450,16,FALSE))</f>
        <v/>
      </c>
      <c r="Q205" s="498" t="str">
        <f>IF(M205="","",VLOOKUP(M205,'G-6 Hedgerow Data'!$B$2:$AG$15,2,FALSE))</f>
        <v/>
      </c>
      <c r="R205" s="499" t="str">
        <f>IF(M205="","",VLOOKUP(M205,'G-6 Hedgerow Data'!$B$2:$AG$15,3,FALSE))</f>
        <v/>
      </c>
      <c r="S205" s="145"/>
      <c r="T205" s="499" t="str">
        <f>IFERROR(IF(AND(Q205="V.Low",OR(S205="Good",S205="Moderate")),"Error ▲",VLOOKUP(S205,'G-1 All Habitats'!$Z$2:$AA$9,2,FALSE)),"")</f>
        <v/>
      </c>
      <c r="U205" s="145"/>
      <c r="V205" s="507" t="str">
        <f>IF(U205="","",IF(VLOOKUP(U205,'G-3 Multipliers'!$L$3:$N$6,2,FALSE)=0,"Spatial Data Missing ⚠",VLOOKUP(U205,'G-3 Multipliers'!$L$3:$N$6,2,FALSE)))</f>
        <v/>
      </c>
      <c r="W205" s="505" t="str">
        <f>IF(U205="","",IF(VLOOKUP(U205,'G-3 Multipliers'!$L$3:$N$6,3,FALSE)=0,"Spatial Data Missing ⚠",VLOOKUP(U205,'G-3 Multipliers'!$L$3:$N$6,3,FALSE)))</f>
        <v/>
      </c>
      <c r="X205" s="498" t="str">
        <f>IFERROR(IF(OR(LEFT(O205,5)="Error ▲",LEFT(N205,5)="Error ▲",T205="Error ▲"),"Check Data ⚠",IF(F205&lt;R205,INDEX('G-6 Hedgerow Data'!$S$3:$AE$14,MATCH(C205,'G-6 Hedgerow Data'!$B$3:$B$14,0),MATCH(M205,'G-6 Hedgerow Data'!$S$2:$AE$2,0)),INDEX('G-6 Hedgerow Data'!$K$3:$Q$14,MATCH(M205,'G-6 Hedgerow Data'!$B$3:$B$14,0),MATCH(O205,'G-6 Hedgerow Data'!$K$2:$Q$2,0)))),"")</f>
        <v/>
      </c>
      <c r="Y205" s="195"/>
      <c r="Z205" s="195"/>
      <c r="AA205" s="507" t="str">
        <f t="shared" ref="AA205:AA257" si="27">IF(X205="Check Data ⚠","Check Data ⚠",IF(M205="","",IF(AND(Y205&gt;0,Z205&gt;0),"Error -both advance and delayed habitat creation ▲",IF(AND(OR(Y205="Habitat already in target condition",X205&lt;=Y205),Z205=0),"Check details - Is there evidence that habitat has reached target condition? ⚠",IF(X205="","",IF(Y205&gt;0,"Check details - Is there evidence habitat creation started/in place? ⚠",IF(Z205&gt;0,"Check details- Delay in starting habitat in required condition? ⚠","Standard time to target condition applied")))))))</f>
        <v/>
      </c>
      <c r="AB205" s="521" t="str">
        <f t="shared" ref="AB205:AB257" si="28">IF(X205="","",IF(AA205="Check Data ⚠","Check Data ⚠",IF(Y205="30+ ⚠",0,IF(Z205="30+","30+ ⚠",IF(X205+Z205&gt;30,"30+ ⚠",IF(LEFT(AA205,5)="Error ▲","Check Data ⚠",IF(X205+Z205-Y205&gt;0,X205+Z205-Y205,IF(X205-Y205&lt;=0,0,))))))))</f>
        <v/>
      </c>
      <c r="AC205" s="522" t="str">
        <f t="shared" si="25"/>
        <v/>
      </c>
      <c r="AD205" s="537" t="str">
        <f>IF(M205="","",VLOOKUP(M205,'G-6 Hedgerow Data'!$B$3:$AG$15,31,FALSE))</f>
        <v/>
      </c>
      <c r="AE205" s="520" t="str">
        <f t="shared" ref="AE205:AE257" si="29">IF(M205="","",IF(OR(LEFT(AA205,5)="Error ▲",AA205="Check Data ⚠"),"Check Data ⚠",IF(X205="","",IF($AA205="Check details - Is there evidence that habitat has reached target condition? ⚠","Low Difficulty - only applicable if all habitat created before losses ⚠","Standard difficulty applied"))))</f>
        <v/>
      </c>
      <c r="AF205" s="520" t="str">
        <f t="shared" ref="AF205:AF257" si="30">(IF(AND(AE205="Yes",X205&gt;Y205),AD205,IF(AND(AE205="Low Difficulty - only applicable if all habitat created before losses ⚠",Y205&gt;=X205),"Low",AD205)))</f>
        <v/>
      </c>
      <c r="AG205" s="524" t="str">
        <f>IFERROR(IF(O205="","",VLOOKUP(AD205,'G-3 Multipliers'!$P$3:$Q$6,2,FALSE)),"")</f>
        <v/>
      </c>
      <c r="AH205" s="197"/>
      <c r="AI205" s="499" t="str">
        <f>IF(AH205="","",IF(VLOOKUP(AH205,'G-3 Multipliers'!$S$3:$T$6,2,FALSE)=0,"Spatial Data Missing ⚠",VLOOKUP(AH205,'G-3 Multipliers'!$S$3:$T$6,2,FALSE)))</f>
        <v/>
      </c>
      <c r="AJ205" s="545" t="str">
        <f t="shared" ref="AJ205:AJ257" si="31">IFERROR(IF(OR(M205="",S205="",U205="",AH205=""),"",(((((P205*R205*T205)-(P205*F205*H205))*(AG205*AC205))+(P205*F205*H205))*(W205)*AI205)),"")</f>
        <v/>
      </c>
      <c r="AK205" s="149"/>
      <c r="AL205" s="150"/>
      <c r="AP205" s="31" t="str">
        <f>IFERROR(INDEX('G-6 Hedgerow Data'!$BJ$3:$BJ$15,MATCH(M205,'G-6 Hedgerow Data'!$B$3:$B$15,0)),"")</f>
        <v/>
      </c>
    </row>
    <row r="206" spans="2:42" ht="14" x14ac:dyDescent="0.3">
      <c r="B206" s="531" t="str">
        <f>'E-1 Off Site Hedge Baseline'!AK204</f>
        <v/>
      </c>
      <c r="C206" s="520" t="str">
        <f>IF(B206="","",IF(ISNA(VLOOKUP($B206,'E-1 Off Site Hedge Baseline'!$B$1:$L$257,3,FALSE)),"",(VLOOKUP($B206,'E-1 Off Site Hedge Baseline'!$B$1:$L$257,3,FALSE))))</f>
        <v/>
      </c>
      <c r="D206" s="520" t="str">
        <f>IF(B206="","",IF(ISNA(VLOOKUP($B206,'E-1 Off Site Hedge Baseline'!$B$1:$L$258,4,FALSE)),"",(VLOOKUP($B206,'E-1 Off Site Hedge Baseline'!$B$1:$L$258,4,FALSE))))</f>
        <v/>
      </c>
      <c r="E206" s="520" t="str">
        <f>IF(B206="","",IF(ISNA(VLOOKUP($B206,'E-1 Off Site Hedge Baseline'!$B$1:$L$257,5,FALSE)),"",(VLOOKUP($B206,'E-1 Off Site Hedge Baseline'!$B$1:$L$257,5,FALSE))))</f>
        <v/>
      </c>
      <c r="F206" s="520" t="str">
        <f>IF(B206="","",IF(ISNA(VLOOKUP($B206,'E-1 Off Site Hedge Baseline'!$B$1:$L$257,6,FALSE)),"",(VLOOKUP($B206,'E-1 Off Site Hedge Baseline'!$B$1:$L$257,6,FALSE))))</f>
        <v/>
      </c>
      <c r="G206" s="520" t="str">
        <f>IF(B206="","",IF(ISNA(VLOOKUP($B206,'E-1 Off Site Hedge Baseline'!$B$1:$L$257,7,FALSE)),"",(VLOOKUP($B206,'E-1 Off Site Hedge Baseline'!$B$1:$L$257,7,FALSE))))</f>
        <v/>
      </c>
      <c r="H206" s="520" t="str">
        <f>IF(B206="","",IF(ISNA(VLOOKUP($B206,'E-1 Off Site Hedge Baseline'!$B$1:$L$257,8,FALSE)),"",(VLOOKUP($B206,'E-1 Off Site Hedge Baseline'!$B$1:$L$257,8,FALSE))))</f>
        <v/>
      </c>
      <c r="I206" s="520" t="str">
        <f>IF(B206="","",IF(ISNA(VLOOKUP($B206,'E-1 Off Site Hedge Baseline'!$B$1:$L$257,10,FALSE)),"",(VLOOKUP($B206,'E-1 Off Site Hedge Baseline'!$B$1:$L$257,10,FALSE))))</f>
        <v/>
      </c>
      <c r="J206" s="520" t="str">
        <f>IF(B206="","",IF(ISNA(VLOOKUP($B206,'E-1 Off Site Hedge Baseline'!$B$1:$L$257,11,FALSE)),"",(VLOOKUP($B206,'E-1 Off Site Hedge Baseline'!$B$1:$L$257,11,FALSE))))</f>
        <v/>
      </c>
      <c r="K206" s="520" t="str">
        <f>IF(B206="","",IF(ISNA(VLOOKUP($B206,'E-1 Off Site Hedge Baseline'!$B$1:$U$257,113,FALSE)),"",(VLOOKUP($B206,'E-1 Off Site Hedge Baseline'!$B$1:$U$257,13,FALSE))))</f>
        <v/>
      </c>
      <c r="L206" s="507" t="str">
        <f>IF(B206="","",IF(ISNA(VLOOKUP($B206,'E-1 Off Site Hedge Baseline'!$B$1:$U$257,12,FALSE)),"",(VLOOKUP($B206,'E-1 Off Site Hedge Baseline'!$B$1:$U$257,12,FALSE))))</f>
        <v/>
      </c>
      <c r="M206" s="418" t="str">
        <f t="shared" ref="M206:M257" si="32">C206</f>
        <v/>
      </c>
      <c r="N206" s="498" t="str">
        <f>IFERROR(IF(B206="","",INDEX('G-6 Hedgerow Data'!$AN$3:$AZ$15,MATCH(C206,'G-6 Hedgerow Data'!$AM$3:$AM$15,0),MATCH(M206,'G-6 Hedgerow Data'!$AN$2:$AZ$2,0))),"")</f>
        <v/>
      </c>
      <c r="O206" s="499" t="str">
        <f t="shared" si="26"/>
        <v/>
      </c>
      <c r="P206" s="505" t="str">
        <f>IF(B206="","",VLOOKUP(B206,'E-1 Off Site Hedge Baseline'!$B$10:T451,16,FALSE))</f>
        <v/>
      </c>
      <c r="Q206" s="498" t="str">
        <f>IF(M206="","",VLOOKUP(M206,'G-6 Hedgerow Data'!$B$2:$AG$15,2,FALSE))</f>
        <v/>
      </c>
      <c r="R206" s="499" t="str">
        <f>IF(M206="","",VLOOKUP(M206,'G-6 Hedgerow Data'!$B$2:$AG$15,3,FALSE))</f>
        <v/>
      </c>
      <c r="S206" s="145"/>
      <c r="T206" s="499" t="str">
        <f>IFERROR(IF(AND(Q206="V.Low",OR(S206="Good",S206="Moderate")),"Error ▲",VLOOKUP(S206,'G-1 All Habitats'!$Z$2:$AA$9,2,FALSE)),"")</f>
        <v/>
      </c>
      <c r="U206" s="145"/>
      <c r="V206" s="507" t="str">
        <f>IF(U206="","",IF(VLOOKUP(U206,'G-3 Multipliers'!$L$3:$N$6,2,FALSE)=0,"Spatial Data Missing ⚠",VLOOKUP(U206,'G-3 Multipliers'!$L$3:$N$6,2,FALSE)))</f>
        <v/>
      </c>
      <c r="W206" s="505" t="str">
        <f>IF(U206="","",IF(VLOOKUP(U206,'G-3 Multipliers'!$L$3:$N$6,3,FALSE)=0,"Spatial Data Missing ⚠",VLOOKUP(U206,'G-3 Multipliers'!$L$3:$N$6,3,FALSE)))</f>
        <v/>
      </c>
      <c r="X206" s="498" t="str">
        <f>IFERROR(IF(OR(LEFT(O206,5)="Error ▲",LEFT(N206,5)="Error ▲",T206="Error ▲"),"Check Data ⚠",IF(F206&lt;R206,INDEX('G-6 Hedgerow Data'!$S$3:$AE$14,MATCH(C206,'G-6 Hedgerow Data'!$B$3:$B$14,0),MATCH(M206,'G-6 Hedgerow Data'!$S$2:$AE$2,0)),INDEX('G-6 Hedgerow Data'!$K$3:$Q$14,MATCH(M206,'G-6 Hedgerow Data'!$B$3:$B$14,0),MATCH(O206,'G-6 Hedgerow Data'!$K$2:$Q$2,0)))),"")</f>
        <v/>
      </c>
      <c r="Y206" s="195"/>
      <c r="Z206" s="195"/>
      <c r="AA206" s="507" t="str">
        <f t="shared" si="27"/>
        <v/>
      </c>
      <c r="AB206" s="521" t="str">
        <f t="shared" si="28"/>
        <v/>
      </c>
      <c r="AC206" s="522" t="str">
        <f t="shared" si="25"/>
        <v/>
      </c>
      <c r="AD206" s="537" t="str">
        <f>IF(M206="","",VLOOKUP(M206,'G-6 Hedgerow Data'!$B$3:$AG$15,31,FALSE))</f>
        <v/>
      </c>
      <c r="AE206" s="520" t="str">
        <f t="shared" si="29"/>
        <v/>
      </c>
      <c r="AF206" s="520" t="str">
        <f t="shared" si="30"/>
        <v/>
      </c>
      <c r="AG206" s="524" t="str">
        <f>IFERROR(IF(O206="","",VLOOKUP(AD206,'G-3 Multipliers'!$P$3:$Q$6,2,FALSE)),"")</f>
        <v/>
      </c>
      <c r="AH206" s="197"/>
      <c r="AI206" s="499" t="str">
        <f>IF(AH206="","",IF(VLOOKUP(AH206,'G-3 Multipliers'!$S$3:$T$6,2,FALSE)=0,"Spatial Data Missing ⚠",VLOOKUP(AH206,'G-3 Multipliers'!$S$3:$T$6,2,FALSE)))</f>
        <v/>
      </c>
      <c r="AJ206" s="545" t="str">
        <f t="shared" si="31"/>
        <v/>
      </c>
      <c r="AK206" s="149"/>
      <c r="AL206" s="150"/>
      <c r="AP206" s="31" t="str">
        <f>IFERROR(INDEX('G-6 Hedgerow Data'!$BJ$3:$BJ$15,MATCH(M206,'G-6 Hedgerow Data'!$B$3:$B$15,0)),"")</f>
        <v/>
      </c>
    </row>
    <row r="207" spans="2:42" ht="14" x14ac:dyDescent="0.3">
      <c r="B207" s="531" t="str">
        <f>'E-1 Off Site Hedge Baseline'!AK205</f>
        <v/>
      </c>
      <c r="C207" s="520" t="str">
        <f>IF(B207="","",IF(ISNA(VLOOKUP($B207,'E-1 Off Site Hedge Baseline'!$B$1:$L$257,3,FALSE)),"",(VLOOKUP($B207,'E-1 Off Site Hedge Baseline'!$B$1:$L$257,3,FALSE))))</f>
        <v/>
      </c>
      <c r="D207" s="520" t="str">
        <f>IF(B207="","",IF(ISNA(VLOOKUP($B207,'E-1 Off Site Hedge Baseline'!$B$1:$L$258,4,FALSE)),"",(VLOOKUP($B207,'E-1 Off Site Hedge Baseline'!$B$1:$L$258,4,FALSE))))</f>
        <v/>
      </c>
      <c r="E207" s="520" t="str">
        <f>IF(B207="","",IF(ISNA(VLOOKUP($B207,'E-1 Off Site Hedge Baseline'!$B$1:$L$257,5,FALSE)),"",(VLOOKUP($B207,'E-1 Off Site Hedge Baseline'!$B$1:$L$257,5,FALSE))))</f>
        <v/>
      </c>
      <c r="F207" s="520" t="str">
        <f>IF(B207="","",IF(ISNA(VLOOKUP($B207,'E-1 Off Site Hedge Baseline'!$B$1:$L$257,6,FALSE)),"",(VLOOKUP($B207,'E-1 Off Site Hedge Baseline'!$B$1:$L$257,6,FALSE))))</f>
        <v/>
      </c>
      <c r="G207" s="520" t="str">
        <f>IF(B207="","",IF(ISNA(VLOOKUP($B207,'E-1 Off Site Hedge Baseline'!$B$1:$L$257,7,FALSE)),"",(VLOOKUP($B207,'E-1 Off Site Hedge Baseline'!$B$1:$L$257,7,FALSE))))</f>
        <v/>
      </c>
      <c r="H207" s="520" t="str">
        <f>IF(B207="","",IF(ISNA(VLOOKUP($B207,'E-1 Off Site Hedge Baseline'!$B$1:$L$257,8,FALSE)),"",(VLOOKUP($B207,'E-1 Off Site Hedge Baseline'!$B$1:$L$257,8,FALSE))))</f>
        <v/>
      </c>
      <c r="I207" s="520" t="str">
        <f>IF(B207="","",IF(ISNA(VLOOKUP($B207,'E-1 Off Site Hedge Baseline'!$B$1:$L$257,10,FALSE)),"",(VLOOKUP($B207,'E-1 Off Site Hedge Baseline'!$B$1:$L$257,10,FALSE))))</f>
        <v/>
      </c>
      <c r="J207" s="520" t="str">
        <f>IF(B207="","",IF(ISNA(VLOOKUP($B207,'E-1 Off Site Hedge Baseline'!$B$1:$L$257,11,FALSE)),"",(VLOOKUP($B207,'E-1 Off Site Hedge Baseline'!$B$1:$L$257,11,FALSE))))</f>
        <v/>
      </c>
      <c r="K207" s="520" t="str">
        <f>IF(B207="","",IF(ISNA(VLOOKUP($B207,'E-1 Off Site Hedge Baseline'!$B$1:$U$257,113,FALSE)),"",(VLOOKUP($B207,'E-1 Off Site Hedge Baseline'!$B$1:$U$257,13,FALSE))))</f>
        <v/>
      </c>
      <c r="L207" s="507" t="str">
        <f>IF(B207="","",IF(ISNA(VLOOKUP($B207,'E-1 Off Site Hedge Baseline'!$B$1:$U$257,12,FALSE)),"",(VLOOKUP($B207,'E-1 Off Site Hedge Baseline'!$B$1:$U$257,12,FALSE))))</f>
        <v/>
      </c>
      <c r="M207" s="418" t="str">
        <f t="shared" si="32"/>
        <v/>
      </c>
      <c r="N207" s="498" t="str">
        <f>IFERROR(IF(B207="","",INDEX('G-6 Hedgerow Data'!$AN$3:$AZ$15,MATCH(C207,'G-6 Hedgerow Data'!$AM$3:$AM$15,0),MATCH(M207,'G-6 Hedgerow Data'!$AN$2:$AZ$2,0))),"")</f>
        <v/>
      </c>
      <c r="O207" s="499" t="str">
        <f t="shared" si="26"/>
        <v/>
      </c>
      <c r="P207" s="505" t="str">
        <f>IF(B207="","",VLOOKUP(B207,'E-1 Off Site Hedge Baseline'!$B$10:T452,16,FALSE))</f>
        <v/>
      </c>
      <c r="Q207" s="498" t="str">
        <f>IF(M207="","",VLOOKUP(M207,'G-6 Hedgerow Data'!$B$2:$AG$15,2,FALSE))</f>
        <v/>
      </c>
      <c r="R207" s="499" t="str">
        <f>IF(M207="","",VLOOKUP(M207,'G-6 Hedgerow Data'!$B$2:$AG$15,3,FALSE))</f>
        <v/>
      </c>
      <c r="S207" s="145"/>
      <c r="T207" s="499" t="str">
        <f>IFERROR(IF(AND(Q207="V.Low",OR(S207="Good",S207="Moderate")),"Error ▲",VLOOKUP(S207,'G-1 All Habitats'!$Z$2:$AA$9,2,FALSE)),"")</f>
        <v/>
      </c>
      <c r="U207" s="145"/>
      <c r="V207" s="507" t="str">
        <f>IF(U207="","",IF(VLOOKUP(U207,'G-3 Multipliers'!$L$3:$N$6,2,FALSE)=0,"Spatial Data Missing ⚠",VLOOKUP(U207,'G-3 Multipliers'!$L$3:$N$6,2,FALSE)))</f>
        <v/>
      </c>
      <c r="W207" s="505" t="str">
        <f>IF(U207="","",IF(VLOOKUP(U207,'G-3 Multipliers'!$L$3:$N$6,3,FALSE)=0,"Spatial Data Missing ⚠",VLOOKUP(U207,'G-3 Multipliers'!$L$3:$N$6,3,FALSE)))</f>
        <v/>
      </c>
      <c r="X207" s="498" t="str">
        <f>IFERROR(IF(OR(LEFT(O207,5)="Error ▲",LEFT(N207,5)="Error ▲",T207="Error ▲"),"Check Data ⚠",IF(F207&lt;R207,INDEX('G-6 Hedgerow Data'!$S$3:$AE$14,MATCH(C207,'G-6 Hedgerow Data'!$B$3:$B$14,0),MATCH(M207,'G-6 Hedgerow Data'!$S$2:$AE$2,0)),INDEX('G-6 Hedgerow Data'!$K$3:$Q$14,MATCH(M207,'G-6 Hedgerow Data'!$B$3:$B$14,0),MATCH(O207,'G-6 Hedgerow Data'!$K$2:$Q$2,0)))),"")</f>
        <v/>
      </c>
      <c r="Y207" s="195"/>
      <c r="Z207" s="195"/>
      <c r="AA207" s="507" t="str">
        <f t="shared" si="27"/>
        <v/>
      </c>
      <c r="AB207" s="521" t="str">
        <f t="shared" si="28"/>
        <v/>
      </c>
      <c r="AC207" s="522" t="str">
        <f t="shared" si="25"/>
        <v/>
      </c>
      <c r="AD207" s="537" t="str">
        <f>IF(M207="","",VLOOKUP(M207,'G-6 Hedgerow Data'!$B$3:$AG$15,31,FALSE))</f>
        <v/>
      </c>
      <c r="AE207" s="520" t="str">
        <f t="shared" si="29"/>
        <v/>
      </c>
      <c r="AF207" s="520" t="str">
        <f t="shared" si="30"/>
        <v/>
      </c>
      <c r="AG207" s="524" t="str">
        <f>IFERROR(IF(O207="","",VLOOKUP(AD207,'G-3 Multipliers'!$P$3:$Q$6,2,FALSE)),"")</f>
        <v/>
      </c>
      <c r="AH207" s="197"/>
      <c r="AI207" s="499" t="str">
        <f>IF(AH207="","",IF(VLOOKUP(AH207,'G-3 Multipliers'!$S$3:$T$6,2,FALSE)=0,"Spatial Data Missing ⚠",VLOOKUP(AH207,'G-3 Multipliers'!$S$3:$T$6,2,FALSE)))</f>
        <v/>
      </c>
      <c r="AJ207" s="545" t="str">
        <f t="shared" si="31"/>
        <v/>
      </c>
      <c r="AK207" s="149"/>
      <c r="AL207" s="150"/>
      <c r="AP207" s="31" t="str">
        <f>IFERROR(INDEX('G-6 Hedgerow Data'!$BJ$3:$BJ$15,MATCH(M207,'G-6 Hedgerow Data'!$B$3:$B$15,0)),"")</f>
        <v/>
      </c>
    </row>
    <row r="208" spans="2:42" ht="14" x14ac:dyDescent="0.3">
      <c r="B208" s="531" t="str">
        <f>'E-1 Off Site Hedge Baseline'!AK206</f>
        <v/>
      </c>
      <c r="C208" s="520" t="str">
        <f>IF(B208="","",IF(ISNA(VLOOKUP($B208,'E-1 Off Site Hedge Baseline'!$B$1:$L$257,3,FALSE)),"",(VLOOKUP($B208,'E-1 Off Site Hedge Baseline'!$B$1:$L$257,3,FALSE))))</f>
        <v/>
      </c>
      <c r="D208" s="520" t="str">
        <f>IF(B208="","",IF(ISNA(VLOOKUP($B208,'E-1 Off Site Hedge Baseline'!$B$1:$L$258,4,FALSE)),"",(VLOOKUP($B208,'E-1 Off Site Hedge Baseline'!$B$1:$L$258,4,FALSE))))</f>
        <v/>
      </c>
      <c r="E208" s="520" t="str">
        <f>IF(B208="","",IF(ISNA(VLOOKUP($B208,'E-1 Off Site Hedge Baseline'!$B$1:$L$257,5,FALSE)),"",(VLOOKUP($B208,'E-1 Off Site Hedge Baseline'!$B$1:$L$257,5,FALSE))))</f>
        <v/>
      </c>
      <c r="F208" s="520" t="str">
        <f>IF(B208="","",IF(ISNA(VLOOKUP($B208,'E-1 Off Site Hedge Baseline'!$B$1:$L$257,6,FALSE)),"",(VLOOKUP($B208,'E-1 Off Site Hedge Baseline'!$B$1:$L$257,6,FALSE))))</f>
        <v/>
      </c>
      <c r="G208" s="520" t="str">
        <f>IF(B208="","",IF(ISNA(VLOOKUP($B208,'E-1 Off Site Hedge Baseline'!$B$1:$L$257,7,FALSE)),"",(VLOOKUP($B208,'E-1 Off Site Hedge Baseline'!$B$1:$L$257,7,FALSE))))</f>
        <v/>
      </c>
      <c r="H208" s="520" t="str">
        <f>IF(B208="","",IF(ISNA(VLOOKUP($B208,'E-1 Off Site Hedge Baseline'!$B$1:$L$257,8,FALSE)),"",(VLOOKUP($B208,'E-1 Off Site Hedge Baseline'!$B$1:$L$257,8,FALSE))))</f>
        <v/>
      </c>
      <c r="I208" s="520" t="str">
        <f>IF(B208="","",IF(ISNA(VLOOKUP($B208,'E-1 Off Site Hedge Baseline'!$B$1:$L$257,10,FALSE)),"",(VLOOKUP($B208,'E-1 Off Site Hedge Baseline'!$B$1:$L$257,10,FALSE))))</f>
        <v/>
      </c>
      <c r="J208" s="520" t="str">
        <f>IF(B208="","",IF(ISNA(VLOOKUP($B208,'E-1 Off Site Hedge Baseline'!$B$1:$L$257,11,FALSE)),"",(VLOOKUP($B208,'E-1 Off Site Hedge Baseline'!$B$1:$L$257,11,FALSE))))</f>
        <v/>
      </c>
      <c r="K208" s="520" t="str">
        <f>IF(B208="","",IF(ISNA(VLOOKUP($B208,'E-1 Off Site Hedge Baseline'!$B$1:$U$257,113,FALSE)),"",(VLOOKUP($B208,'E-1 Off Site Hedge Baseline'!$B$1:$U$257,13,FALSE))))</f>
        <v/>
      </c>
      <c r="L208" s="507" t="str">
        <f>IF(B208="","",IF(ISNA(VLOOKUP($B208,'E-1 Off Site Hedge Baseline'!$B$1:$U$257,12,FALSE)),"",(VLOOKUP($B208,'E-1 Off Site Hedge Baseline'!$B$1:$U$257,12,FALSE))))</f>
        <v/>
      </c>
      <c r="M208" s="418" t="str">
        <f t="shared" si="32"/>
        <v/>
      </c>
      <c r="N208" s="498" t="str">
        <f>IFERROR(IF(B208="","",INDEX('G-6 Hedgerow Data'!$AN$3:$AZ$15,MATCH(C208,'G-6 Hedgerow Data'!$AM$3:$AM$15,0),MATCH(M208,'G-6 Hedgerow Data'!$AN$2:$AZ$2,0))),"")</f>
        <v/>
      </c>
      <c r="O208" s="499" t="str">
        <f t="shared" si="26"/>
        <v/>
      </c>
      <c r="P208" s="505" t="str">
        <f>IF(B208="","",VLOOKUP(B208,'E-1 Off Site Hedge Baseline'!$B$10:T453,16,FALSE))</f>
        <v/>
      </c>
      <c r="Q208" s="498" t="str">
        <f>IF(M208="","",VLOOKUP(M208,'G-6 Hedgerow Data'!$B$2:$AG$15,2,FALSE))</f>
        <v/>
      </c>
      <c r="R208" s="499" t="str">
        <f>IF(M208="","",VLOOKUP(M208,'G-6 Hedgerow Data'!$B$2:$AG$15,3,FALSE))</f>
        <v/>
      </c>
      <c r="S208" s="145"/>
      <c r="T208" s="499" t="str">
        <f>IFERROR(IF(AND(Q208="V.Low",OR(S208="Good",S208="Moderate")),"Error ▲",VLOOKUP(S208,'G-1 All Habitats'!$Z$2:$AA$9,2,FALSE)),"")</f>
        <v/>
      </c>
      <c r="U208" s="145"/>
      <c r="V208" s="507" t="str">
        <f>IF(U208="","",IF(VLOOKUP(U208,'G-3 Multipliers'!$L$3:$N$6,2,FALSE)=0,"Spatial Data Missing ⚠",VLOOKUP(U208,'G-3 Multipliers'!$L$3:$N$6,2,FALSE)))</f>
        <v/>
      </c>
      <c r="W208" s="505" t="str">
        <f>IF(U208="","",IF(VLOOKUP(U208,'G-3 Multipliers'!$L$3:$N$6,3,FALSE)=0,"Spatial Data Missing ⚠",VLOOKUP(U208,'G-3 Multipliers'!$L$3:$N$6,3,FALSE)))</f>
        <v/>
      </c>
      <c r="X208" s="498" t="str">
        <f>IFERROR(IF(OR(LEFT(O208,5)="Error ▲",LEFT(N208,5)="Error ▲",T208="Error ▲"),"Check Data ⚠",IF(F208&lt;R208,INDEX('G-6 Hedgerow Data'!$S$3:$AE$14,MATCH(C208,'G-6 Hedgerow Data'!$B$3:$B$14,0),MATCH(M208,'G-6 Hedgerow Data'!$S$2:$AE$2,0)),INDEX('G-6 Hedgerow Data'!$K$3:$Q$14,MATCH(M208,'G-6 Hedgerow Data'!$B$3:$B$14,0),MATCH(O208,'G-6 Hedgerow Data'!$K$2:$Q$2,0)))),"")</f>
        <v/>
      </c>
      <c r="Y208" s="195"/>
      <c r="Z208" s="195"/>
      <c r="AA208" s="507" t="str">
        <f t="shared" si="27"/>
        <v/>
      </c>
      <c r="AB208" s="521" t="str">
        <f t="shared" si="28"/>
        <v/>
      </c>
      <c r="AC208" s="522" t="str">
        <f t="shared" si="25"/>
        <v/>
      </c>
      <c r="AD208" s="537" t="str">
        <f>IF(M208="","",VLOOKUP(M208,'G-6 Hedgerow Data'!$B$3:$AG$15,31,FALSE))</f>
        <v/>
      </c>
      <c r="AE208" s="520" t="str">
        <f t="shared" si="29"/>
        <v/>
      </c>
      <c r="AF208" s="520" t="str">
        <f t="shared" si="30"/>
        <v/>
      </c>
      <c r="AG208" s="524" t="str">
        <f>IFERROR(IF(O208="","",VLOOKUP(AD208,'G-3 Multipliers'!$P$3:$Q$6,2,FALSE)),"")</f>
        <v/>
      </c>
      <c r="AH208" s="197"/>
      <c r="AI208" s="499" t="str">
        <f>IF(AH208="","",IF(VLOOKUP(AH208,'G-3 Multipliers'!$S$3:$T$6,2,FALSE)=0,"Spatial Data Missing ⚠",VLOOKUP(AH208,'G-3 Multipliers'!$S$3:$T$6,2,FALSE)))</f>
        <v/>
      </c>
      <c r="AJ208" s="545" t="str">
        <f t="shared" si="31"/>
        <v/>
      </c>
      <c r="AK208" s="149"/>
      <c r="AL208" s="150"/>
      <c r="AP208" s="31" t="str">
        <f>IFERROR(INDEX('G-6 Hedgerow Data'!$BJ$3:$BJ$15,MATCH(M208,'G-6 Hedgerow Data'!$B$3:$B$15,0)),"")</f>
        <v/>
      </c>
    </row>
    <row r="209" spans="2:42" ht="14" x14ac:dyDescent="0.3">
      <c r="B209" s="531" t="str">
        <f>'E-1 Off Site Hedge Baseline'!AK207</f>
        <v/>
      </c>
      <c r="C209" s="520" t="str">
        <f>IF(B209="","",IF(ISNA(VLOOKUP($B209,'E-1 Off Site Hedge Baseline'!$B$1:$L$257,3,FALSE)),"",(VLOOKUP($B209,'E-1 Off Site Hedge Baseline'!$B$1:$L$257,3,FALSE))))</f>
        <v/>
      </c>
      <c r="D209" s="520" t="str">
        <f>IF(B209="","",IF(ISNA(VLOOKUP($B209,'E-1 Off Site Hedge Baseline'!$B$1:$L$258,4,FALSE)),"",(VLOOKUP($B209,'E-1 Off Site Hedge Baseline'!$B$1:$L$258,4,FALSE))))</f>
        <v/>
      </c>
      <c r="E209" s="520" t="str">
        <f>IF(B209="","",IF(ISNA(VLOOKUP($B209,'E-1 Off Site Hedge Baseline'!$B$1:$L$257,5,FALSE)),"",(VLOOKUP($B209,'E-1 Off Site Hedge Baseline'!$B$1:$L$257,5,FALSE))))</f>
        <v/>
      </c>
      <c r="F209" s="520" t="str">
        <f>IF(B209="","",IF(ISNA(VLOOKUP($B209,'E-1 Off Site Hedge Baseline'!$B$1:$L$257,6,FALSE)),"",(VLOOKUP($B209,'E-1 Off Site Hedge Baseline'!$B$1:$L$257,6,FALSE))))</f>
        <v/>
      </c>
      <c r="G209" s="520" t="str">
        <f>IF(B209="","",IF(ISNA(VLOOKUP($B209,'E-1 Off Site Hedge Baseline'!$B$1:$L$257,7,FALSE)),"",(VLOOKUP($B209,'E-1 Off Site Hedge Baseline'!$B$1:$L$257,7,FALSE))))</f>
        <v/>
      </c>
      <c r="H209" s="520" t="str">
        <f>IF(B209="","",IF(ISNA(VLOOKUP($B209,'E-1 Off Site Hedge Baseline'!$B$1:$L$257,8,FALSE)),"",(VLOOKUP($B209,'E-1 Off Site Hedge Baseline'!$B$1:$L$257,8,FALSE))))</f>
        <v/>
      </c>
      <c r="I209" s="520" t="str">
        <f>IF(B209="","",IF(ISNA(VLOOKUP($B209,'E-1 Off Site Hedge Baseline'!$B$1:$L$257,10,FALSE)),"",(VLOOKUP($B209,'E-1 Off Site Hedge Baseline'!$B$1:$L$257,10,FALSE))))</f>
        <v/>
      </c>
      <c r="J209" s="520" t="str">
        <f>IF(B209="","",IF(ISNA(VLOOKUP($B209,'E-1 Off Site Hedge Baseline'!$B$1:$L$257,11,FALSE)),"",(VLOOKUP($B209,'E-1 Off Site Hedge Baseline'!$B$1:$L$257,11,FALSE))))</f>
        <v/>
      </c>
      <c r="K209" s="520" t="str">
        <f>IF(B209="","",IF(ISNA(VLOOKUP($B209,'E-1 Off Site Hedge Baseline'!$B$1:$U$257,113,FALSE)),"",(VLOOKUP($B209,'E-1 Off Site Hedge Baseline'!$B$1:$U$257,13,FALSE))))</f>
        <v/>
      </c>
      <c r="L209" s="507" t="str">
        <f>IF(B209="","",IF(ISNA(VLOOKUP($B209,'E-1 Off Site Hedge Baseline'!$B$1:$U$257,12,FALSE)),"",(VLOOKUP($B209,'E-1 Off Site Hedge Baseline'!$B$1:$U$257,12,FALSE))))</f>
        <v/>
      </c>
      <c r="M209" s="418" t="str">
        <f t="shared" si="32"/>
        <v/>
      </c>
      <c r="N209" s="498" t="str">
        <f>IFERROR(IF(B209="","",INDEX('G-6 Hedgerow Data'!$AN$3:$AZ$15,MATCH(C209,'G-6 Hedgerow Data'!$AM$3:$AM$15,0),MATCH(M209,'G-6 Hedgerow Data'!$AN$2:$AZ$2,0))),"")</f>
        <v/>
      </c>
      <c r="O209" s="499" t="str">
        <f t="shared" si="26"/>
        <v/>
      </c>
      <c r="P209" s="505" t="str">
        <f>IF(B209="","",VLOOKUP(B209,'E-1 Off Site Hedge Baseline'!$B$10:T454,16,FALSE))</f>
        <v/>
      </c>
      <c r="Q209" s="498" t="str">
        <f>IF(M209="","",VLOOKUP(M209,'G-6 Hedgerow Data'!$B$2:$AG$15,2,FALSE))</f>
        <v/>
      </c>
      <c r="R209" s="499" t="str">
        <f>IF(M209="","",VLOOKUP(M209,'G-6 Hedgerow Data'!$B$2:$AG$15,3,FALSE))</f>
        <v/>
      </c>
      <c r="S209" s="145"/>
      <c r="T209" s="499" t="str">
        <f>IFERROR(IF(AND(Q209="V.Low",OR(S209="Good",S209="Moderate")),"Error ▲",VLOOKUP(S209,'G-1 All Habitats'!$Z$2:$AA$9,2,FALSE)),"")</f>
        <v/>
      </c>
      <c r="U209" s="145"/>
      <c r="V209" s="507" t="str">
        <f>IF(U209="","",IF(VLOOKUP(U209,'G-3 Multipliers'!$L$3:$N$6,2,FALSE)=0,"Spatial Data Missing ⚠",VLOOKUP(U209,'G-3 Multipliers'!$L$3:$N$6,2,FALSE)))</f>
        <v/>
      </c>
      <c r="W209" s="505" t="str">
        <f>IF(U209="","",IF(VLOOKUP(U209,'G-3 Multipliers'!$L$3:$N$6,3,FALSE)=0,"Spatial Data Missing ⚠",VLOOKUP(U209,'G-3 Multipliers'!$L$3:$N$6,3,FALSE)))</f>
        <v/>
      </c>
      <c r="X209" s="498" t="str">
        <f>IFERROR(IF(OR(LEFT(O209,5)="Error ▲",LEFT(N209,5)="Error ▲",T209="Error ▲"),"Check Data ⚠",IF(F209&lt;R209,INDEX('G-6 Hedgerow Data'!$S$3:$AE$14,MATCH(C209,'G-6 Hedgerow Data'!$B$3:$B$14,0),MATCH(M209,'G-6 Hedgerow Data'!$S$2:$AE$2,0)),INDEX('G-6 Hedgerow Data'!$K$3:$Q$14,MATCH(M209,'G-6 Hedgerow Data'!$B$3:$B$14,0),MATCH(O209,'G-6 Hedgerow Data'!$K$2:$Q$2,0)))),"")</f>
        <v/>
      </c>
      <c r="Y209" s="195"/>
      <c r="Z209" s="195"/>
      <c r="AA209" s="507" t="str">
        <f t="shared" si="27"/>
        <v/>
      </c>
      <c r="AB209" s="521" t="str">
        <f t="shared" si="28"/>
        <v/>
      </c>
      <c r="AC209" s="522" t="str">
        <f t="shared" si="25"/>
        <v/>
      </c>
      <c r="AD209" s="537" t="str">
        <f>IF(M209="","",VLOOKUP(M209,'G-6 Hedgerow Data'!$B$3:$AG$15,31,FALSE))</f>
        <v/>
      </c>
      <c r="AE209" s="520" t="str">
        <f t="shared" si="29"/>
        <v/>
      </c>
      <c r="AF209" s="520" t="str">
        <f t="shared" si="30"/>
        <v/>
      </c>
      <c r="AG209" s="524" t="str">
        <f>IFERROR(IF(O209="","",VLOOKUP(AD209,'G-3 Multipliers'!$P$3:$Q$6,2,FALSE)),"")</f>
        <v/>
      </c>
      <c r="AH209" s="197"/>
      <c r="AI209" s="499" t="str">
        <f>IF(AH209="","",IF(VLOOKUP(AH209,'G-3 Multipliers'!$S$3:$T$6,2,FALSE)=0,"Spatial Data Missing ⚠",VLOOKUP(AH209,'G-3 Multipliers'!$S$3:$T$6,2,FALSE)))</f>
        <v/>
      </c>
      <c r="AJ209" s="545" t="str">
        <f t="shared" si="31"/>
        <v/>
      </c>
      <c r="AK209" s="149"/>
      <c r="AL209" s="150"/>
      <c r="AP209" s="31" t="str">
        <f>IFERROR(INDEX('G-6 Hedgerow Data'!$BJ$3:$BJ$15,MATCH(M209,'G-6 Hedgerow Data'!$B$3:$B$15,0)),"")</f>
        <v/>
      </c>
    </row>
    <row r="210" spans="2:42" ht="14" x14ac:dyDescent="0.3">
      <c r="B210" s="531" t="str">
        <f>'E-1 Off Site Hedge Baseline'!AK208</f>
        <v/>
      </c>
      <c r="C210" s="520" t="str">
        <f>IF(B210="","",IF(ISNA(VLOOKUP($B210,'E-1 Off Site Hedge Baseline'!$B$1:$L$257,3,FALSE)),"",(VLOOKUP($B210,'E-1 Off Site Hedge Baseline'!$B$1:$L$257,3,FALSE))))</f>
        <v/>
      </c>
      <c r="D210" s="520" t="str">
        <f>IF(B210="","",IF(ISNA(VLOOKUP($B210,'E-1 Off Site Hedge Baseline'!$B$1:$L$258,4,FALSE)),"",(VLOOKUP($B210,'E-1 Off Site Hedge Baseline'!$B$1:$L$258,4,FALSE))))</f>
        <v/>
      </c>
      <c r="E210" s="520" t="str">
        <f>IF(B210="","",IF(ISNA(VLOOKUP($B210,'E-1 Off Site Hedge Baseline'!$B$1:$L$257,5,FALSE)),"",(VLOOKUP($B210,'E-1 Off Site Hedge Baseline'!$B$1:$L$257,5,FALSE))))</f>
        <v/>
      </c>
      <c r="F210" s="520" t="str">
        <f>IF(B210="","",IF(ISNA(VLOOKUP($B210,'E-1 Off Site Hedge Baseline'!$B$1:$L$257,6,FALSE)),"",(VLOOKUP($B210,'E-1 Off Site Hedge Baseline'!$B$1:$L$257,6,FALSE))))</f>
        <v/>
      </c>
      <c r="G210" s="520" t="str">
        <f>IF(B210="","",IF(ISNA(VLOOKUP($B210,'E-1 Off Site Hedge Baseline'!$B$1:$L$257,7,FALSE)),"",(VLOOKUP($B210,'E-1 Off Site Hedge Baseline'!$B$1:$L$257,7,FALSE))))</f>
        <v/>
      </c>
      <c r="H210" s="520" t="str">
        <f>IF(B210="","",IF(ISNA(VLOOKUP($B210,'E-1 Off Site Hedge Baseline'!$B$1:$L$257,8,FALSE)),"",(VLOOKUP($B210,'E-1 Off Site Hedge Baseline'!$B$1:$L$257,8,FALSE))))</f>
        <v/>
      </c>
      <c r="I210" s="520" t="str">
        <f>IF(B210="","",IF(ISNA(VLOOKUP($B210,'E-1 Off Site Hedge Baseline'!$B$1:$L$257,10,FALSE)),"",(VLOOKUP($B210,'E-1 Off Site Hedge Baseline'!$B$1:$L$257,10,FALSE))))</f>
        <v/>
      </c>
      <c r="J210" s="520" t="str">
        <f>IF(B210="","",IF(ISNA(VLOOKUP($B210,'E-1 Off Site Hedge Baseline'!$B$1:$L$257,11,FALSE)),"",(VLOOKUP($B210,'E-1 Off Site Hedge Baseline'!$B$1:$L$257,11,FALSE))))</f>
        <v/>
      </c>
      <c r="K210" s="520" t="str">
        <f>IF(B210="","",IF(ISNA(VLOOKUP($B210,'E-1 Off Site Hedge Baseline'!$B$1:$U$257,113,FALSE)),"",(VLOOKUP($B210,'E-1 Off Site Hedge Baseline'!$B$1:$U$257,13,FALSE))))</f>
        <v/>
      </c>
      <c r="L210" s="507" t="str">
        <f>IF(B210="","",IF(ISNA(VLOOKUP($B210,'E-1 Off Site Hedge Baseline'!$B$1:$U$257,12,FALSE)),"",(VLOOKUP($B210,'E-1 Off Site Hedge Baseline'!$B$1:$U$257,12,FALSE))))</f>
        <v/>
      </c>
      <c r="M210" s="418" t="str">
        <f t="shared" si="32"/>
        <v/>
      </c>
      <c r="N210" s="498" t="str">
        <f>IFERROR(IF(B210="","",INDEX('G-6 Hedgerow Data'!$AN$3:$AZ$15,MATCH(C210,'G-6 Hedgerow Data'!$AM$3:$AM$15,0),MATCH(M210,'G-6 Hedgerow Data'!$AN$2:$AZ$2,0))),"")</f>
        <v/>
      </c>
      <c r="O210" s="499" t="str">
        <f t="shared" si="26"/>
        <v/>
      </c>
      <c r="P210" s="505" t="str">
        <f>IF(B210="","",VLOOKUP(B210,'E-1 Off Site Hedge Baseline'!$B$10:T455,16,FALSE))</f>
        <v/>
      </c>
      <c r="Q210" s="498" t="str">
        <f>IF(M210="","",VLOOKUP(M210,'G-6 Hedgerow Data'!$B$2:$AG$15,2,FALSE))</f>
        <v/>
      </c>
      <c r="R210" s="499" t="str">
        <f>IF(M210="","",VLOOKUP(M210,'G-6 Hedgerow Data'!$B$2:$AG$15,3,FALSE))</f>
        <v/>
      </c>
      <c r="S210" s="145"/>
      <c r="T210" s="499" t="str">
        <f>IFERROR(IF(AND(Q210="V.Low",OR(S210="Good",S210="Moderate")),"Error ▲",VLOOKUP(S210,'G-1 All Habitats'!$Z$2:$AA$9,2,FALSE)),"")</f>
        <v/>
      </c>
      <c r="U210" s="145"/>
      <c r="V210" s="507" t="str">
        <f>IF(U210="","",IF(VLOOKUP(U210,'G-3 Multipliers'!$L$3:$N$6,2,FALSE)=0,"Spatial Data Missing ⚠",VLOOKUP(U210,'G-3 Multipliers'!$L$3:$N$6,2,FALSE)))</f>
        <v/>
      </c>
      <c r="W210" s="505" t="str">
        <f>IF(U210="","",IF(VLOOKUP(U210,'G-3 Multipliers'!$L$3:$N$6,3,FALSE)=0,"Spatial Data Missing ⚠",VLOOKUP(U210,'G-3 Multipliers'!$L$3:$N$6,3,FALSE)))</f>
        <v/>
      </c>
      <c r="X210" s="498" t="str">
        <f>IFERROR(IF(OR(LEFT(O210,5)="Error ▲",LEFT(N210,5)="Error ▲",T210="Error ▲"),"Check Data ⚠",IF(F210&lt;R210,INDEX('G-6 Hedgerow Data'!$S$3:$AE$14,MATCH(C210,'G-6 Hedgerow Data'!$B$3:$B$14,0),MATCH(M210,'G-6 Hedgerow Data'!$S$2:$AE$2,0)),INDEX('G-6 Hedgerow Data'!$K$3:$Q$14,MATCH(M210,'G-6 Hedgerow Data'!$B$3:$B$14,0),MATCH(O210,'G-6 Hedgerow Data'!$K$2:$Q$2,0)))),"")</f>
        <v/>
      </c>
      <c r="Y210" s="195"/>
      <c r="Z210" s="195"/>
      <c r="AA210" s="507" t="str">
        <f t="shared" si="27"/>
        <v/>
      </c>
      <c r="AB210" s="521" t="str">
        <f t="shared" si="28"/>
        <v/>
      </c>
      <c r="AC210" s="522" t="str">
        <f t="shared" si="25"/>
        <v/>
      </c>
      <c r="AD210" s="537" t="str">
        <f>IF(M210="","",VLOOKUP(M210,'G-6 Hedgerow Data'!$B$3:$AG$15,31,FALSE))</f>
        <v/>
      </c>
      <c r="AE210" s="520" t="str">
        <f t="shared" si="29"/>
        <v/>
      </c>
      <c r="AF210" s="520" t="str">
        <f t="shared" si="30"/>
        <v/>
      </c>
      <c r="AG210" s="524" t="str">
        <f>IFERROR(IF(O210="","",VLOOKUP(AD210,'G-3 Multipliers'!$P$3:$Q$6,2,FALSE)),"")</f>
        <v/>
      </c>
      <c r="AH210" s="197"/>
      <c r="AI210" s="499" t="str">
        <f>IF(AH210="","",IF(VLOOKUP(AH210,'G-3 Multipliers'!$S$3:$T$6,2,FALSE)=0,"Spatial Data Missing ⚠",VLOOKUP(AH210,'G-3 Multipliers'!$S$3:$T$6,2,FALSE)))</f>
        <v/>
      </c>
      <c r="AJ210" s="545" t="str">
        <f t="shared" si="31"/>
        <v/>
      </c>
      <c r="AK210" s="149"/>
      <c r="AL210" s="150"/>
      <c r="AP210" s="31" t="str">
        <f>IFERROR(INDEX('G-6 Hedgerow Data'!$BJ$3:$BJ$15,MATCH(M210,'G-6 Hedgerow Data'!$B$3:$B$15,0)),"")</f>
        <v/>
      </c>
    </row>
    <row r="211" spans="2:42" ht="14" x14ac:dyDescent="0.3">
      <c r="B211" s="531" t="str">
        <f>'E-1 Off Site Hedge Baseline'!AK209</f>
        <v/>
      </c>
      <c r="C211" s="520" t="str">
        <f>IF(B211="","",IF(ISNA(VLOOKUP($B211,'E-1 Off Site Hedge Baseline'!$B$1:$L$257,3,FALSE)),"",(VLOOKUP($B211,'E-1 Off Site Hedge Baseline'!$B$1:$L$257,3,FALSE))))</f>
        <v/>
      </c>
      <c r="D211" s="520" t="str">
        <f>IF(B211="","",IF(ISNA(VLOOKUP($B211,'E-1 Off Site Hedge Baseline'!$B$1:$L$258,4,FALSE)),"",(VLOOKUP($B211,'E-1 Off Site Hedge Baseline'!$B$1:$L$258,4,FALSE))))</f>
        <v/>
      </c>
      <c r="E211" s="520" t="str">
        <f>IF(B211="","",IF(ISNA(VLOOKUP($B211,'E-1 Off Site Hedge Baseline'!$B$1:$L$257,5,FALSE)),"",(VLOOKUP($B211,'E-1 Off Site Hedge Baseline'!$B$1:$L$257,5,FALSE))))</f>
        <v/>
      </c>
      <c r="F211" s="520" t="str">
        <f>IF(B211="","",IF(ISNA(VLOOKUP($B211,'E-1 Off Site Hedge Baseline'!$B$1:$L$257,6,FALSE)),"",(VLOOKUP($B211,'E-1 Off Site Hedge Baseline'!$B$1:$L$257,6,FALSE))))</f>
        <v/>
      </c>
      <c r="G211" s="520" t="str">
        <f>IF(B211="","",IF(ISNA(VLOOKUP($B211,'E-1 Off Site Hedge Baseline'!$B$1:$L$257,7,FALSE)),"",(VLOOKUP($B211,'E-1 Off Site Hedge Baseline'!$B$1:$L$257,7,FALSE))))</f>
        <v/>
      </c>
      <c r="H211" s="520" t="str">
        <f>IF(B211="","",IF(ISNA(VLOOKUP($B211,'E-1 Off Site Hedge Baseline'!$B$1:$L$257,8,FALSE)),"",(VLOOKUP($B211,'E-1 Off Site Hedge Baseline'!$B$1:$L$257,8,FALSE))))</f>
        <v/>
      </c>
      <c r="I211" s="520" t="str">
        <f>IF(B211="","",IF(ISNA(VLOOKUP($B211,'E-1 Off Site Hedge Baseline'!$B$1:$L$257,10,FALSE)),"",(VLOOKUP($B211,'E-1 Off Site Hedge Baseline'!$B$1:$L$257,10,FALSE))))</f>
        <v/>
      </c>
      <c r="J211" s="520" t="str">
        <f>IF(B211="","",IF(ISNA(VLOOKUP($B211,'E-1 Off Site Hedge Baseline'!$B$1:$L$257,11,FALSE)),"",(VLOOKUP($B211,'E-1 Off Site Hedge Baseline'!$B$1:$L$257,11,FALSE))))</f>
        <v/>
      </c>
      <c r="K211" s="520" t="str">
        <f>IF(B211="","",IF(ISNA(VLOOKUP($B211,'E-1 Off Site Hedge Baseline'!$B$1:$U$257,113,FALSE)),"",(VLOOKUP($B211,'E-1 Off Site Hedge Baseline'!$B$1:$U$257,13,FALSE))))</f>
        <v/>
      </c>
      <c r="L211" s="507" t="str">
        <f>IF(B211="","",IF(ISNA(VLOOKUP($B211,'E-1 Off Site Hedge Baseline'!$B$1:$U$257,12,FALSE)),"",(VLOOKUP($B211,'E-1 Off Site Hedge Baseline'!$B$1:$U$257,12,FALSE))))</f>
        <v/>
      </c>
      <c r="M211" s="418" t="str">
        <f t="shared" si="32"/>
        <v/>
      </c>
      <c r="N211" s="498" t="str">
        <f>IFERROR(IF(B211="","",INDEX('G-6 Hedgerow Data'!$AN$3:$AZ$15,MATCH(C211,'G-6 Hedgerow Data'!$AM$3:$AM$15,0),MATCH(M211,'G-6 Hedgerow Data'!$AN$2:$AZ$2,0))),"")</f>
        <v/>
      </c>
      <c r="O211" s="499" t="str">
        <f t="shared" si="26"/>
        <v/>
      </c>
      <c r="P211" s="505" t="str">
        <f>IF(B211="","",VLOOKUP(B211,'E-1 Off Site Hedge Baseline'!$B$10:T456,16,FALSE))</f>
        <v/>
      </c>
      <c r="Q211" s="498" t="str">
        <f>IF(M211="","",VLOOKUP(M211,'G-6 Hedgerow Data'!$B$2:$AG$15,2,FALSE))</f>
        <v/>
      </c>
      <c r="R211" s="499" t="str">
        <f>IF(M211="","",VLOOKUP(M211,'G-6 Hedgerow Data'!$B$2:$AG$15,3,FALSE))</f>
        <v/>
      </c>
      <c r="S211" s="145"/>
      <c r="T211" s="499" t="str">
        <f>IFERROR(IF(AND(Q211="V.Low",OR(S211="Good",S211="Moderate")),"Error ▲",VLOOKUP(S211,'G-1 All Habitats'!$Z$2:$AA$9,2,FALSE)),"")</f>
        <v/>
      </c>
      <c r="U211" s="145"/>
      <c r="V211" s="507" t="str">
        <f>IF(U211="","",IF(VLOOKUP(U211,'G-3 Multipliers'!$L$3:$N$6,2,FALSE)=0,"Spatial Data Missing ⚠",VLOOKUP(U211,'G-3 Multipliers'!$L$3:$N$6,2,FALSE)))</f>
        <v/>
      </c>
      <c r="W211" s="505" t="str">
        <f>IF(U211="","",IF(VLOOKUP(U211,'G-3 Multipliers'!$L$3:$N$6,3,FALSE)=0,"Spatial Data Missing ⚠",VLOOKUP(U211,'G-3 Multipliers'!$L$3:$N$6,3,FALSE)))</f>
        <v/>
      </c>
      <c r="X211" s="498" t="str">
        <f>IFERROR(IF(OR(LEFT(O211,5)="Error ▲",LEFT(N211,5)="Error ▲",T211="Error ▲"),"Check Data ⚠",IF(F211&lt;R211,INDEX('G-6 Hedgerow Data'!$S$3:$AE$14,MATCH(C211,'G-6 Hedgerow Data'!$B$3:$B$14,0),MATCH(M211,'G-6 Hedgerow Data'!$S$2:$AE$2,0)),INDEX('G-6 Hedgerow Data'!$K$3:$Q$14,MATCH(M211,'G-6 Hedgerow Data'!$B$3:$B$14,0),MATCH(O211,'G-6 Hedgerow Data'!$K$2:$Q$2,0)))),"")</f>
        <v/>
      </c>
      <c r="Y211" s="195"/>
      <c r="Z211" s="195"/>
      <c r="AA211" s="507" t="str">
        <f t="shared" si="27"/>
        <v/>
      </c>
      <c r="AB211" s="521" t="str">
        <f t="shared" si="28"/>
        <v/>
      </c>
      <c r="AC211" s="522" t="str">
        <f t="shared" si="25"/>
        <v/>
      </c>
      <c r="AD211" s="537" t="str">
        <f>IF(M211="","",VLOOKUP(M211,'G-6 Hedgerow Data'!$B$3:$AG$15,31,FALSE))</f>
        <v/>
      </c>
      <c r="AE211" s="520" t="str">
        <f t="shared" si="29"/>
        <v/>
      </c>
      <c r="AF211" s="520" t="str">
        <f t="shared" si="30"/>
        <v/>
      </c>
      <c r="AG211" s="524" t="str">
        <f>IFERROR(IF(O211="","",VLOOKUP(AD211,'G-3 Multipliers'!$P$3:$Q$6,2,FALSE)),"")</f>
        <v/>
      </c>
      <c r="AH211" s="197"/>
      <c r="AI211" s="499" t="str">
        <f>IF(AH211="","",IF(VLOOKUP(AH211,'G-3 Multipliers'!$S$3:$T$6,2,FALSE)=0,"Spatial Data Missing ⚠",VLOOKUP(AH211,'G-3 Multipliers'!$S$3:$T$6,2,FALSE)))</f>
        <v/>
      </c>
      <c r="AJ211" s="545" t="str">
        <f t="shared" si="31"/>
        <v/>
      </c>
      <c r="AK211" s="149"/>
      <c r="AL211" s="150"/>
      <c r="AP211" s="31" t="str">
        <f>IFERROR(INDEX('G-6 Hedgerow Data'!$BJ$3:$BJ$15,MATCH(M211,'G-6 Hedgerow Data'!$B$3:$B$15,0)),"")</f>
        <v/>
      </c>
    </row>
    <row r="212" spans="2:42" ht="14" x14ac:dyDescent="0.3">
      <c r="B212" s="531" t="str">
        <f>'E-1 Off Site Hedge Baseline'!AK210</f>
        <v/>
      </c>
      <c r="C212" s="520" t="str">
        <f>IF(B212="","",IF(ISNA(VLOOKUP($B212,'E-1 Off Site Hedge Baseline'!$B$1:$L$257,3,FALSE)),"",(VLOOKUP($B212,'E-1 Off Site Hedge Baseline'!$B$1:$L$257,3,FALSE))))</f>
        <v/>
      </c>
      <c r="D212" s="520" t="str">
        <f>IF(B212="","",IF(ISNA(VLOOKUP($B212,'E-1 Off Site Hedge Baseline'!$B$1:$L$258,4,FALSE)),"",(VLOOKUP($B212,'E-1 Off Site Hedge Baseline'!$B$1:$L$258,4,FALSE))))</f>
        <v/>
      </c>
      <c r="E212" s="520" t="str">
        <f>IF(B212="","",IF(ISNA(VLOOKUP($B212,'E-1 Off Site Hedge Baseline'!$B$1:$L$257,5,FALSE)),"",(VLOOKUP($B212,'E-1 Off Site Hedge Baseline'!$B$1:$L$257,5,FALSE))))</f>
        <v/>
      </c>
      <c r="F212" s="520" t="str">
        <f>IF(B212="","",IF(ISNA(VLOOKUP($B212,'E-1 Off Site Hedge Baseline'!$B$1:$L$257,6,FALSE)),"",(VLOOKUP($B212,'E-1 Off Site Hedge Baseline'!$B$1:$L$257,6,FALSE))))</f>
        <v/>
      </c>
      <c r="G212" s="520" t="str">
        <f>IF(B212="","",IF(ISNA(VLOOKUP($B212,'E-1 Off Site Hedge Baseline'!$B$1:$L$257,7,FALSE)),"",(VLOOKUP($B212,'E-1 Off Site Hedge Baseline'!$B$1:$L$257,7,FALSE))))</f>
        <v/>
      </c>
      <c r="H212" s="520" t="str">
        <f>IF(B212="","",IF(ISNA(VLOOKUP($B212,'E-1 Off Site Hedge Baseline'!$B$1:$L$257,8,FALSE)),"",(VLOOKUP($B212,'E-1 Off Site Hedge Baseline'!$B$1:$L$257,8,FALSE))))</f>
        <v/>
      </c>
      <c r="I212" s="520" t="str">
        <f>IF(B212="","",IF(ISNA(VLOOKUP($B212,'E-1 Off Site Hedge Baseline'!$B$1:$L$257,10,FALSE)),"",(VLOOKUP($B212,'E-1 Off Site Hedge Baseline'!$B$1:$L$257,10,FALSE))))</f>
        <v/>
      </c>
      <c r="J212" s="520" t="str">
        <f>IF(B212="","",IF(ISNA(VLOOKUP($B212,'E-1 Off Site Hedge Baseline'!$B$1:$L$257,11,FALSE)),"",(VLOOKUP($B212,'E-1 Off Site Hedge Baseline'!$B$1:$L$257,11,FALSE))))</f>
        <v/>
      </c>
      <c r="K212" s="520" t="str">
        <f>IF(B212="","",IF(ISNA(VLOOKUP($B212,'E-1 Off Site Hedge Baseline'!$B$1:$U$257,113,FALSE)),"",(VLOOKUP($B212,'E-1 Off Site Hedge Baseline'!$B$1:$U$257,13,FALSE))))</f>
        <v/>
      </c>
      <c r="L212" s="507" t="str">
        <f>IF(B212="","",IF(ISNA(VLOOKUP($B212,'E-1 Off Site Hedge Baseline'!$B$1:$U$257,12,FALSE)),"",(VLOOKUP($B212,'E-1 Off Site Hedge Baseline'!$B$1:$U$257,12,FALSE))))</f>
        <v/>
      </c>
      <c r="M212" s="418" t="str">
        <f t="shared" si="32"/>
        <v/>
      </c>
      <c r="N212" s="498" t="str">
        <f>IFERROR(IF(B212="","",INDEX('G-6 Hedgerow Data'!$AN$3:$AZ$15,MATCH(C212,'G-6 Hedgerow Data'!$AM$3:$AM$15,0),MATCH(M212,'G-6 Hedgerow Data'!$AN$2:$AZ$2,0))),"")</f>
        <v/>
      </c>
      <c r="O212" s="499" t="str">
        <f t="shared" si="26"/>
        <v/>
      </c>
      <c r="P212" s="505" t="str">
        <f>IF(B212="","",VLOOKUP(B212,'E-1 Off Site Hedge Baseline'!$B$10:T457,16,FALSE))</f>
        <v/>
      </c>
      <c r="Q212" s="498" t="str">
        <f>IF(M212="","",VLOOKUP(M212,'G-6 Hedgerow Data'!$B$2:$AG$15,2,FALSE))</f>
        <v/>
      </c>
      <c r="R212" s="499" t="str">
        <f>IF(M212="","",VLOOKUP(M212,'G-6 Hedgerow Data'!$B$2:$AG$15,3,FALSE))</f>
        <v/>
      </c>
      <c r="S212" s="145"/>
      <c r="T212" s="499" t="str">
        <f>IFERROR(IF(AND(Q212="V.Low",OR(S212="Good",S212="Moderate")),"Error ▲",VLOOKUP(S212,'G-1 All Habitats'!$Z$2:$AA$9,2,FALSE)),"")</f>
        <v/>
      </c>
      <c r="U212" s="145"/>
      <c r="V212" s="507" t="str">
        <f>IF(U212="","",IF(VLOOKUP(U212,'G-3 Multipliers'!$L$3:$N$6,2,FALSE)=0,"Spatial Data Missing ⚠",VLOOKUP(U212,'G-3 Multipliers'!$L$3:$N$6,2,FALSE)))</f>
        <v/>
      </c>
      <c r="W212" s="505" t="str">
        <f>IF(U212="","",IF(VLOOKUP(U212,'G-3 Multipliers'!$L$3:$N$6,3,FALSE)=0,"Spatial Data Missing ⚠",VLOOKUP(U212,'G-3 Multipliers'!$L$3:$N$6,3,FALSE)))</f>
        <v/>
      </c>
      <c r="X212" s="498" t="str">
        <f>IFERROR(IF(OR(LEFT(O212,5)="Error ▲",LEFT(N212,5)="Error ▲",T212="Error ▲"),"Check Data ⚠",IF(F212&lt;R212,INDEX('G-6 Hedgerow Data'!$S$3:$AE$14,MATCH(C212,'G-6 Hedgerow Data'!$B$3:$B$14,0),MATCH(M212,'G-6 Hedgerow Data'!$S$2:$AE$2,0)),INDEX('G-6 Hedgerow Data'!$K$3:$Q$14,MATCH(M212,'G-6 Hedgerow Data'!$B$3:$B$14,0),MATCH(O212,'G-6 Hedgerow Data'!$K$2:$Q$2,0)))),"")</f>
        <v/>
      </c>
      <c r="Y212" s="195"/>
      <c r="Z212" s="195"/>
      <c r="AA212" s="507" t="str">
        <f t="shared" si="27"/>
        <v/>
      </c>
      <c r="AB212" s="521" t="str">
        <f t="shared" si="28"/>
        <v/>
      </c>
      <c r="AC212" s="522" t="str">
        <f t="shared" si="25"/>
        <v/>
      </c>
      <c r="AD212" s="537" t="str">
        <f>IF(M212="","",VLOOKUP(M212,'G-6 Hedgerow Data'!$B$3:$AG$15,31,FALSE))</f>
        <v/>
      </c>
      <c r="AE212" s="520" t="str">
        <f t="shared" si="29"/>
        <v/>
      </c>
      <c r="AF212" s="520" t="str">
        <f t="shared" si="30"/>
        <v/>
      </c>
      <c r="AG212" s="524" t="str">
        <f>IFERROR(IF(O212="","",VLOOKUP(AD212,'G-3 Multipliers'!$P$3:$Q$6,2,FALSE)),"")</f>
        <v/>
      </c>
      <c r="AH212" s="197"/>
      <c r="AI212" s="499" t="str">
        <f>IF(AH212="","",IF(VLOOKUP(AH212,'G-3 Multipliers'!$S$3:$T$6,2,FALSE)=0,"Spatial Data Missing ⚠",VLOOKUP(AH212,'G-3 Multipliers'!$S$3:$T$6,2,FALSE)))</f>
        <v/>
      </c>
      <c r="AJ212" s="545" t="str">
        <f t="shared" si="31"/>
        <v/>
      </c>
      <c r="AK212" s="149"/>
      <c r="AL212" s="150"/>
      <c r="AP212" s="31" t="str">
        <f>IFERROR(INDEX('G-6 Hedgerow Data'!$BJ$3:$BJ$15,MATCH(M212,'G-6 Hedgerow Data'!$B$3:$B$15,0)),"")</f>
        <v/>
      </c>
    </row>
    <row r="213" spans="2:42" ht="14" x14ac:dyDescent="0.3">
      <c r="B213" s="531" t="str">
        <f>'E-1 Off Site Hedge Baseline'!AK211</f>
        <v/>
      </c>
      <c r="C213" s="520" t="str">
        <f>IF(B213="","",IF(ISNA(VLOOKUP($B213,'E-1 Off Site Hedge Baseline'!$B$1:$L$257,3,FALSE)),"",(VLOOKUP($B213,'E-1 Off Site Hedge Baseline'!$B$1:$L$257,3,FALSE))))</f>
        <v/>
      </c>
      <c r="D213" s="520" t="str">
        <f>IF(B213="","",IF(ISNA(VLOOKUP($B213,'E-1 Off Site Hedge Baseline'!$B$1:$L$258,4,FALSE)),"",(VLOOKUP($B213,'E-1 Off Site Hedge Baseline'!$B$1:$L$258,4,FALSE))))</f>
        <v/>
      </c>
      <c r="E213" s="520" t="str">
        <f>IF(B213="","",IF(ISNA(VLOOKUP($B213,'E-1 Off Site Hedge Baseline'!$B$1:$L$257,5,FALSE)),"",(VLOOKUP($B213,'E-1 Off Site Hedge Baseline'!$B$1:$L$257,5,FALSE))))</f>
        <v/>
      </c>
      <c r="F213" s="520" t="str">
        <f>IF(B213="","",IF(ISNA(VLOOKUP($B213,'E-1 Off Site Hedge Baseline'!$B$1:$L$257,6,FALSE)),"",(VLOOKUP($B213,'E-1 Off Site Hedge Baseline'!$B$1:$L$257,6,FALSE))))</f>
        <v/>
      </c>
      <c r="G213" s="520" t="str">
        <f>IF(B213="","",IF(ISNA(VLOOKUP($B213,'E-1 Off Site Hedge Baseline'!$B$1:$L$257,7,FALSE)),"",(VLOOKUP($B213,'E-1 Off Site Hedge Baseline'!$B$1:$L$257,7,FALSE))))</f>
        <v/>
      </c>
      <c r="H213" s="520" t="str">
        <f>IF(B213="","",IF(ISNA(VLOOKUP($B213,'E-1 Off Site Hedge Baseline'!$B$1:$L$257,8,FALSE)),"",(VLOOKUP($B213,'E-1 Off Site Hedge Baseline'!$B$1:$L$257,8,FALSE))))</f>
        <v/>
      </c>
      <c r="I213" s="520" t="str">
        <f>IF(B213="","",IF(ISNA(VLOOKUP($B213,'E-1 Off Site Hedge Baseline'!$B$1:$L$257,10,FALSE)),"",(VLOOKUP($B213,'E-1 Off Site Hedge Baseline'!$B$1:$L$257,10,FALSE))))</f>
        <v/>
      </c>
      <c r="J213" s="520" t="str">
        <f>IF(B213="","",IF(ISNA(VLOOKUP($B213,'E-1 Off Site Hedge Baseline'!$B$1:$L$257,11,FALSE)),"",(VLOOKUP($B213,'E-1 Off Site Hedge Baseline'!$B$1:$L$257,11,FALSE))))</f>
        <v/>
      </c>
      <c r="K213" s="520" t="str">
        <f>IF(B213="","",IF(ISNA(VLOOKUP($B213,'E-1 Off Site Hedge Baseline'!$B$1:$U$257,113,FALSE)),"",(VLOOKUP($B213,'E-1 Off Site Hedge Baseline'!$B$1:$U$257,13,FALSE))))</f>
        <v/>
      </c>
      <c r="L213" s="507" t="str">
        <f>IF(B213="","",IF(ISNA(VLOOKUP($B213,'E-1 Off Site Hedge Baseline'!$B$1:$U$257,12,FALSE)),"",(VLOOKUP($B213,'E-1 Off Site Hedge Baseline'!$B$1:$U$257,12,FALSE))))</f>
        <v/>
      </c>
      <c r="M213" s="418" t="str">
        <f t="shared" si="32"/>
        <v/>
      </c>
      <c r="N213" s="498" t="str">
        <f>IFERROR(IF(B213="","",INDEX('G-6 Hedgerow Data'!$AN$3:$AZ$15,MATCH(C213,'G-6 Hedgerow Data'!$AM$3:$AM$15,0),MATCH(M213,'G-6 Hedgerow Data'!$AN$2:$AZ$2,0))),"")</f>
        <v/>
      </c>
      <c r="O213" s="499" t="str">
        <f t="shared" si="26"/>
        <v/>
      </c>
      <c r="P213" s="505" t="str">
        <f>IF(B213="","",VLOOKUP(B213,'E-1 Off Site Hedge Baseline'!$B$10:T458,16,FALSE))</f>
        <v/>
      </c>
      <c r="Q213" s="498" t="str">
        <f>IF(M213="","",VLOOKUP(M213,'G-6 Hedgerow Data'!$B$2:$AG$15,2,FALSE))</f>
        <v/>
      </c>
      <c r="R213" s="499" t="str">
        <f>IF(M213="","",VLOOKUP(M213,'G-6 Hedgerow Data'!$B$2:$AG$15,3,FALSE))</f>
        <v/>
      </c>
      <c r="S213" s="145"/>
      <c r="T213" s="499" t="str">
        <f>IFERROR(IF(AND(Q213="V.Low",OR(S213="Good",S213="Moderate")),"Error ▲",VLOOKUP(S213,'G-1 All Habitats'!$Z$2:$AA$9,2,FALSE)),"")</f>
        <v/>
      </c>
      <c r="U213" s="145"/>
      <c r="V213" s="507" t="str">
        <f>IF(U213="","",IF(VLOOKUP(U213,'G-3 Multipliers'!$L$3:$N$6,2,FALSE)=0,"Spatial Data Missing ⚠",VLOOKUP(U213,'G-3 Multipliers'!$L$3:$N$6,2,FALSE)))</f>
        <v/>
      </c>
      <c r="W213" s="505" t="str">
        <f>IF(U213="","",IF(VLOOKUP(U213,'G-3 Multipliers'!$L$3:$N$6,3,FALSE)=0,"Spatial Data Missing ⚠",VLOOKUP(U213,'G-3 Multipliers'!$L$3:$N$6,3,FALSE)))</f>
        <v/>
      </c>
      <c r="X213" s="498" t="str">
        <f>IFERROR(IF(OR(LEFT(O213,5)="Error ▲",LEFT(N213,5)="Error ▲",T213="Error ▲"),"Check Data ⚠",IF(F213&lt;R213,INDEX('G-6 Hedgerow Data'!$S$3:$AE$14,MATCH(C213,'G-6 Hedgerow Data'!$B$3:$B$14,0),MATCH(M213,'G-6 Hedgerow Data'!$S$2:$AE$2,0)),INDEX('G-6 Hedgerow Data'!$K$3:$Q$14,MATCH(M213,'G-6 Hedgerow Data'!$B$3:$B$14,0),MATCH(O213,'G-6 Hedgerow Data'!$K$2:$Q$2,0)))),"")</f>
        <v/>
      </c>
      <c r="Y213" s="195"/>
      <c r="Z213" s="195"/>
      <c r="AA213" s="507" t="str">
        <f t="shared" si="27"/>
        <v/>
      </c>
      <c r="AB213" s="521" t="str">
        <f t="shared" si="28"/>
        <v/>
      </c>
      <c r="AC213" s="522" t="str">
        <f t="shared" si="25"/>
        <v/>
      </c>
      <c r="AD213" s="537" t="str">
        <f>IF(M213="","",VLOOKUP(M213,'G-6 Hedgerow Data'!$B$3:$AG$15,31,FALSE))</f>
        <v/>
      </c>
      <c r="AE213" s="520" t="str">
        <f t="shared" si="29"/>
        <v/>
      </c>
      <c r="AF213" s="520" t="str">
        <f t="shared" si="30"/>
        <v/>
      </c>
      <c r="AG213" s="524" t="str">
        <f>IFERROR(IF(O213="","",VLOOKUP(AD213,'G-3 Multipliers'!$P$3:$Q$6,2,FALSE)),"")</f>
        <v/>
      </c>
      <c r="AH213" s="197"/>
      <c r="AI213" s="499" t="str">
        <f>IF(AH213="","",IF(VLOOKUP(AH213,'G-3 Multipliers'!$S$3:$T$6,2,FALSE)=0,"Spatial Data Missing ⚠",VLOOKUP(AH213,'G-3 Multipliers'!$S$3:$T$6,2,FALSE)))</f>
        <v/>
      </c>
      <c r="AJ213" s="545" t="str">
        <f t="shared" si="31"/>
        <v/>
      </c>
      <c r="AK213" s="149"/>
      <c r="AL213" s="150"/>
      <c r="AP213" s="31" t="str">
        <f>IFERROR(INDEX('G-6 Hedgerow Data'!$BJ$3:$BJ$15,MATCH(M213,'G-6 Hedgerow Data'!$B$3:$B$15,0)),"")</f>
        <v/>
      </c>
    </row>
    <row r="214" spans="2:42" ht="14" x14ac:dyDescent="0.3">
      <c r="B214" s="531" t="str">
        <f>'E-1 Off Site Hedge Baseline'!AK212</f>
        <v/>
      </c>
      <c r="C214" s="520" t="str">
        <f>IF(B214="","",IF(ISNA(VLOOKUP($B214,'E-1 Off Site Hedge Baseline'!$B$1:$L$257,3,FALSE)),"",(VLOOKUP($B214,'E-1 Off Site Hedge Baseline'!$B$1:$L$257,3,FALSE))))</f>
        <v/>
      </c>
      <c r="D214" s="520" t="str">
        <f>IF(B214="","",IF(ISNA(VLOOKUP($B214,'E-1 Off Site Hedge Baseline'!$B$1:$L$258,4,FALSE)),"",(VLOOKUP($B214,'E-1 Off Site Hedge Baseline'!$B$1:$L$258,4,FALSE))))</f>
        <v/>
      </c>
      <c r="E214" s="520" t="str">
        <f>IF(B214="","",IF(ISNA(VLOOKUP($B214,'E-1 Off Site Hedge Baseline'!$B$1:$L$257,5,FALSE)),"",(VLOOKUP($B214,'E-1 Off Site Hedge Baseline'!$B$1:$L$257,5,FALSE))))</f>
        <v/>
      </c>
      <c r="F214" s="520" t="str">
        <f>IF(B214="","",IF(ISNA(VLOOKUP($B214,'E-1 Off Site Hedge Baseline'!$B$1:$L$257,6,FALSE)),"",(VLOOKUP($B214,'E-1 Off Site Hedge Baseline'!$B$1:$L$257,6,FALSE))))</f>
        <v/>
      </c>
      <c r="G214" s="520" t="str">
        <f>IF(B214="","",IF(ISNA(VLOOKUP($B214,'E-1 Off Site Hedge Baseline'!$B$1:$L$257,7,FALSE)),"",(VLOOKUP($B214,'E-1 Off Site Hedge Baseline'!$B$1:$L$257,7,FALSE))))</f>
        <v/>
      </c>
      <c r="H214" s="520" t="str">
        <f>IF(B214="","",IF(ISNA(VLOOKUP($B214,'E-1 Off Site Hedge Baseline'!$B$1:$L$257,8,FALSE)),"",(VLOOKUP($B214,'E-1 Off Site Hedge Baseline'!$B$1:$L$257,8,FALSE))))</f>
        <v/>
      </c>
      <c r="I214" s="520" t="str">
        <f>IF(B214="","",IF(ISNA(VLOOKUP($B214,'E-1 Off Site Hedge Baseline'!$B$1:$L$257,10,FALSE)),"",(VLOOKUP($B214,'E-1 Off Site Hedge Baseline'!$B$1:$L$257,10,FALSE))))</f>
        <v/>
      </c>
      <c r="J214" s="520" t="str">
        <f>IF(B214="","",IF(ISNA(VLOOKUP($B214,'E-1 Off Site Hedge Baseline'!$B$1:$L$257,11,FALSE)),"",(VLOOKUP($B214,'E-1 Off Site Hedge Baseline'!$B$1:$L$257,11,FALSE))))</f>
        <v/>
      </c>
      <c r="K214" s="520" t="str">
        <f>IF(B214="","",IF(ISNA(VLOOKUP($B214,'E-1 Off Site Hedge Baseline'!$B$1:$U$257,113,FALSE)),"",(VLOOKUP($B214,'E-1 Off Site Hedge Baseline'!$B$1:$U$257,13,FALSE))))</f>
        <v/>
      </c>
      <c r="L214" s="507" t="str">
        <f>IF(B214="","",IF(ISNA(VLOOKUP($B214,'E-1 Off Site Hedge Baseline'!$B$1:$U$257,12,FALSE)),"",(VLOOKUP($B214,'E-1 Off Site Hedge Baseline'!$B$1:$U$257,12,FALSE))))</f>
        <v/>
      </c>
      <c r="M214" s="418" t="str">
        <f t="shared" si="32"/>
        <v/>
      </c>
      <c r="N214" s="498" t="str">
        <f>IFERROR(IF(B214="","",INDEX('G-6 Hedgerow Data'!$AN$3:$AZ$15,MATCH(C214,'G-6 Hedgerow Data'!$AM$3:$AM$15,0),MATCH(M214,'G-6 Hedgerow Data'!$AN$2:$AZ$2,0))),"")</f>
        <v/>
      </c>
      <c r="O214" s="499" t="str">
        <f t="shared" si="26"/>
        <v/>
      </c>
      <c r="P214" s="505" t="str">
        <f>IF(B214="","",VLOOKUP(B214,'E-1 Off Site Hedge Baseline'!$B$10:T459,16,FALSE))</f>
        <v/>
      </c>
      <c r="Q214" s="498" t="str">
        <f>IF(M214="","",VLOOKUP(M214,'G-6 Hedgerow Data'!$B$2:$AG$15,2,FALSE))</f>
        <v/>
      </c>
      <c r="R214" s="499" t="str">
        <f>IF(M214="","",VLOOKUP(M214,'G-6 Hedgerow Data'!$B$2:$AG$15,3,FALSE))</f>
        <v/>
      </c>
      <c r="S214" s="145"/>
      <c r="T214" s="499" t="str">
        <f>IFERROR(IF(AND(Q214="V.Low",OR(S214="Good",S214="Moderate")),"Error ▲",VLOOKUP(S214,'G-1 All Habitats'!$Z$2:$AA$9,2,FALSE)),"")</f>
        <v/>
      </c>
      <c r="U214" s="145"/>
      <c r="V214" s="507" t="str">
        <f>IF(U214="","",IF(VLOOKUP(U214,'G-3 Multipliers'!$L$3:$N$6,2,FALSE)=0,"Spatial Data Missing ⚠",VLOOKUP(U214,'G-3 Multipliers'!$L$3:$N$6,2,FALSE)))</f>
        <v/>
      </c>
      <c r="W214" s="505" t="str">
        <f>IF(U214="","",IF(VLOOKUP(U214,'G-3 Multipliers'!$L$3:$N$6,3,FALSE)=0,"Spatial Data Missing ⚠",VLOOKUP(U214,'G-3 Multipliers'!$L$3:$N$6,3,FALSE)))</f>
        <v/>
      </c>
      <c r="X214" s="498" t="str">
        <f>IFERROR(IF(OR(LEFT(O214,5)="Error ▲",LEFT(N214,5)="Error ▲",T214="Error ▲"),"Check Data ⚠",IF(F214&lt;R214,INDEX('G-6 Hedgerow Data'!$S$3:$AE$14,MATCH(C214,'G-6 Hedgerow Data'!$B$3:$B$14,0),MATCH(M214,'G-6 Hedgerow Data'!$S$2:$AE$2,0)),INDEX('G-6 Hedgerow Data'!$K$3:$Q$14,MATCH(M214,'G-6 Hedgerow Data'!$B$3:$B$14,0),MATCH(O214,'G-6 Hedgerow Data'!$K$2:$Q$2,0)))),"")</f>
        <v/>
      </c>
      <c r="Y214" s="195"/>
      <c r="Z214" s="195"/>
      <c r="AA214" s="507" t="str">
        <f t="shared" si="27"/>
        <v/>
      </c>
      <c r="AB214" s="521" t="str">
        <f t="shared" si="28"/>
        <v/>
      </c>
      <c r="AC214" s="522" t="str">
        <f t="shared" si="25"/>
        <v/>
      </c>
      <c r="AD214" s="537" t="str">
        <f>IF(M214="","",VLOOKUP(M214,'G-6 Hedgerow Data'!$B$3:$AG$15,31,FALSE))</f>
        <v/>
      </c>
      <c r="AE214" s="520" t="str">
        <f t="shared" si="29"/>
        <v/>
      </c>
      <c r="AF214" s="520" t="str">
        <f t="shared" si="30"/>
        <v/>
      </c>
      <c r="AG214" s="524" t="str">
        <f>IFERROR(IF(O214="","",VLOOKUP(AD214,'G-3 Multipliers'!$P$3:$Q$6,2,FALSE)),"")</f>
        <v/>
      </c>
      <c r="AH214" s="197"/>
      <c r="AI214" s="499" t="str">
        <f>IF(AH214="","",IF(VLOOKUP(AH214,'G-3 Multipliers'!$S$3:$T$6,2,FALSE)=0,"Spatial Data Missing ⚠",VLOOKUP(AH214,'G-3 Multipliers'!$S$3:$T$6,2,FALSE)))</f>
        <v/>
      </c>
      <c r="AJ214" s="545" t="str">
        <f t="shared" si="31"/>
        <v/>
      </c>
      <c r="AK214" s="149"/>
      <c r="AL214" s="150"/>
      <c r="AP214" s="31" t="str">
        <f>IFERROR(INDEX('G-6 Hedgerow Data'!$BJ$3:$BJ$15,MATCH(M214,'G-6 Hedgerow Data'!$B$3:$B$15,0)),"")</f>
        <v/>
      </c>
    </row>
    <row r="215" spans="2:42" ht="14" x14ac:dyDescent="0.3">
      <c r="B215" s="531" t="str">
        <f>'E-1 Off Site Hedge Baseline'!AK213</f>
        <v/>
      </c>
      <c r="C215" s="520" t="str">
        <f>IF(B215="","",IF(ISNA(VLOOKUP($B215,'E-1 Off Site Hedge Baseline'!$B$1:$L$257,3,FALSE)),"",(VLOOKUP($B215,'E-1 Off Site Hedge Baseline'!$B$1:$L$257,3,FALSE))))</f>
        <v/>
      </c>
      <c r="D215" s="520" t="str">
        <f>IF(B215="","",IF(ISNA(VLOOKUP($B215,'E-1 Off Site Hedge Baseline'!$B$1:$L$258,4,FALSE)),"",(VLOOKUP($B215,'E-1 Off Site Hedge Baseline'!$B$1:$L$258,4,FALSE))))</f>
        <v/>
      </c>
      <c r="E215" s="520" t="str">
        <f>IF(B215="","",IF(ISNA(VLOOKUP($B215,'E-1 Off Site Hedge Baseline'!$B$1:$L$257,5,FALSE)),"",(VLOOKUP($B215,'E-1 Off Site Hedge Baseline'!$B$1:$L$257,5,FALSE))))</f>
        <v/>
      </c>
      <c r="F215" s="520" t="str">
        <f>IF(B215="","",IF(ISNA(VLOOKUP($B215,'E-1 Off Site Hedge Baseline'!$B$1:$L$257,6,FALSE)),"",(VLOOKUP($B215,'E-1 Off Site Hedge Baseline'!$B$1:$L$257,6,FALSE))))</f>
        <v/>
      </c>
      <c r="G215" s="520" t="str">
        <f>IF(B215="","",IF(ISNA(VLOOKUP($B215,'E-1 Off Site Hedge Baseline'!$B$1:$L$257,7,FALSE)),"",(VLOOKUP($B215,'E-1 Off Site Hedge Baseline'!$B$1:$L$257,7,FALSE))))</f>
        <v/>
      </c>
      <c r="H215" s="520" t="str">
        <f>IF(B215="","",IF(ISNA(VLOOKUP($B215,'E-1 Off Site Hedge Baseline'!$B$1:$L$257,8,FALSE)),"",(VLOOKUP($B215,'E-1 Off Site Hedge Baseline'!$B$1:$L$257,8,FALSE))))</f>
        <v/>
      </c>
      <c r="I215" s="520" t="str">
        <f>IF(B215="","",IF(ISNA(VLOOKUP($B215,'E-1 Off Site Hedge Baseline'!$B$1:$L$257,10,FALSE)),"",(VLOOKUP($B215,'E-1 Off Site Hedge Baseline'!$B$1:$L$257,10,FALSE))))</f>
        <v/>
      </c>
      <c r="J215" s="520" t="str">
        <f>IF(B215="","",IF(ISNA(VLOOKUP($B215,'E-1 Off Site Hedge Baseline'!$B$1:$L$257,11,FALSE)),"",(VLOOKUP($B215,'E-1 Off Site Hedge Baseline'!$B$1:$L$257,11,FALSE))))</f>
        <v/>
      </c>
      <c r="K215" s="520" t="str">
        <f>IF(B215="","",IF(ISNA(VLOOKUP($B215,'E-1 Off Site Hedge Baseline'!$B$1:$U$257,113,FALSE)),"",(VLOOKUP($B215,'E-1 Off Site Hedge Baseline'!$B$1:$U$257,13,FALSE))))</f>
        <v/>
      </c>
      <c r="L215" s="507" t="str">
        <f>IF(B215="","",IF(ISNA(VLOOKUP($B215,'E-1 Off Site Hedge Baseline'!$B$1:$U$257,12,FALSE)),"",(VLOOKUP($B215,'E-1 Off Site Hedge Baseline'!$B$1:$U$257,12,FALSE))))</f>
        <v/>
      </c>
      <c r="M215" s="418" t="str">
        <f t="shared" si="32"/>
        <v/>
      </c>
      <c r="N215" s="498" t="str">
        <f>IFERROR(IF(B215="","",INDEX('G-6 Hedgerow Data'!$AN$3:$AZ$15,MATCH(C215,'G-6 Hedgerow Data'!$AM$3:$AM$15,0),MATCH(M215,'G-6 Hedgerow Data'!$AN$2:$AZ$2,0))),"")</f>
        <v/>
      </c>
      <c r="O215" s="499" t="str">
        <f t="shared" si="26"/>
        <v/>
      </c>
      <c r="P215" s="505" t="str">
        <f>IF(B215="","",VLOOKUP(B215,'E-1 Off Site Hedge Baseline'!$B$10:T460,16,FALSE))</f>
        <v/>
      </c>
      <c r="Q215" s="498" t="str">
        <f>IF(M215="","",VLOOKUP(M215,'G-6 Hedgerow Data'!$B$2:$AG$15,2,FALSE))</f>
        <v/>
      </c>
      <c r="R215" s="499" t="str">
        <f>IF(M215="","",VLOOKUP(M215,'G-6 Hedgerow Data'!$B$2:$AG$15,3,FALSE))</f>
        <v/>
      </c>
      <c r="S215" s="145"/>
      <c r="T215" s="499" t="str">
        <f>IFERROR(IF(AND(Q215="V.Low",OR(S215="Good",S215="Moderate")),"Error ▲",VLOOKUP(S215,'G-1 All Habitats'!$Z$2:$AA$9,2,FALSE)),"")</f>
        <v/>
      </c>
      <c r="U215" s="145"/>
      <c r="V215" s="507" t="str">
        <f>IF(U215="","",IF(VLOOKUP(U215,'G-3 Multipliers'!$L$3:$N$6,2,FALSE)=0,"Spatial Data Missing ⚠",VLOOKUP(U215,'G-3 Multipliers'!$L$3:$N$6,2,FALSE)))</f>
        <v/>
      </c>
      <c r="W215" s="505" t="str">
        <f>IF(U215="","",IF(VLOOKUP(U215,'G-3 Multipliers'!$L$3:$N$6,3,FALSE)=0,"Spatial Data Missing ⚠",VLOOKUP(U215,'G-3 Multipliers'!$L$3:$N$6,3,FALSE)))</f>
        <v/>
      </c>
      <c r="X215" s="498" t="str">
        <f>IFERROR(IF(OR(LEFT(O215,5)="Error ▲",LEFT(N215,5)="Error ▲",T215="Error ▲"),"Check Data ⚠",IF(F215&lt;R215,INDEX('G-6 Hedgerow Data'!$S$3:$AE$14,MATCH(C215,'G-6 Hedgerow Data'!$B$3:$B$14,0),MATCH(M215,'G-6 Hedgerow Data'!$S$2:$AE$2,0)),INDEX('G-6 Hedgerow Data'!$K$3:$Q$14,MATCH(M215,'G-6 Hedgerow Data'!$B$3:$B$14,0),MATCH(O215,'G-6 Hedgerow Data'!$K$2:$Q$2,0)))),"")</f>
        <v/>
      </c>
      <c r="Y215" s="195"/>
      <c r="Z215" s="195"/>
      <c r="AA215" s="507" t="str">
        <f t="shared" si="27"/>
        <v/>
      </c>
      <c r="AB215" s="521" t="str">
        <f t="shared" si="28"/>
        <v/>
      </c>
      <c r="AC215" s="522" t="str">
        <f t="shared" si="25"/>
        <v/>
      </c>
      <c r="AD215" s="537" t="str">
        <f>IF(M215="","",VLOOKUP(M215,'G-6 Hedgerow Data'!$B$3:$AG$15,31,FALSE))</f>
        <v/>
      </c>
      <c r="AE215" s="520" t="str">
        <f t="shared" si="29"/>
        <v/>
      </c>
      <c r="AF215" s="520" t="str">
        <f t="shared" si="30"/>
        <v/>
      </c>
      <c r="AG215" s="524" t="str">
        <f>IFERROR(IF(O215="","",VLOOKUP(AD215,'G-3 Multipliers'!$P$3:$Q$6,2,FALSE)),"")</f>
        <v/>
      </c>
      <c r="AH215" s="197"/>
      <c r="AI215" s="499" t="str">
        <f>IF(AH215="","",IF(VLOOKUP(AH215,'G-3 Multipliers'!$S$3:$T$6,2,FALSE)=0,"Spatial Data Missing ⚠",VLOOKUP(AH215,'G-3 Multipliers'!$S$3:$T$6,2,FALSE)))</f>
        <v/>
      </c>
      <c r="AJ215" s="545" t="str">
        <f t="shared" si="31"/>
        <v/>
      </c>
      <c r="AK215" s="149"/>
      <c r="AL215" s="150"/>
      <c r="AP215" s="31" t="str">
        <f>IFERROR(INDEX('G-6 Hedgerow Data'!$BJ$3:$BJ$15,MATCH(M215,'G-6 Hedgerow Data'!$B$3:$B$15,0)),"")</f>
        <v/>
      </c>
    </row>
    <row r="216" spans="2:42" ht="14" x14ac:dyDescent="0.3">
      <c r="B216" s="531" t="str">
        <f>'E-1 Off Site Hedge Baseline'!AK214</f>
        <v/>
      </c>
      <c r="C216" s="520" t="str">
        <f>IF(B216="","",IF(ISNA(VLOOKUP($B216,'E-1 Off Site Hedge Baseline'!$B$1:$L$257,3,FALSE)),"",(VLOOKUP($B216,'E-1 Off Site Hedge Baseline'!$B$1:$L$257,3,FALSE))))</f>
        <v/>
      </c>
      <c r="D216" s="520" t="str">
        <f>IF(B216="","",IF(ISNA(VLOOKUP($B216,'E-1 Off Site Hedge Baseline'!$B$1:$L$258,4,FALSE)),"",(VLOOKUP($B216,'E-1 Off Site Hedge Baseline'!$B$1:$L$258,4,FALSE))))</f>
        <v/>
      </c>
      <c r="E216" s="520" t="str">
        <f>IF(B216="","",IF(ISNA(VLOOKUP($B216,'E-1 Off Site Hedge Baseline'!$B$1:$L$257,5,FALSE)),"",(VLOOKUP($B216,'E-1 Off Site Hedge Baseline'!$B$1:$L$257,5,FALSE))))</f>
        <v/>
      </c>
      <c r="F216" s="520" t="str">
        <f>IF(B216="","",IF(ISNA(VLOOKUP($B216,'E-1 Off Site Hedge Baseline'!$B$1:$L$257,6,FALSE)),"",(VLOOKUP($B216,'E-1 Off Site Hedge Baseline'!$B$1:$L$257,6,FALSE))))</f>
        <v/>
      </c>
      <c r="G216" s="520" t="str">
        <f>IF(B216="","",IF(ISNA(VLOOKUP($B216,'E-1 Off Site Hedge Baseline'!$B$1:$L$257,7,FALSE)),"",(VLOOKUP($B216,'E-1 Off Site Hedge Baseline'!$B$1:$L$257,7,FALSE))))</f>
        <v/>
      </c>
      <c r="H216" s="520" t="str">
        <f>IF(B216="","",IF(ISNA(VLOOKUP($B216,'E-1 Off Site Hedge Baseline'!$B$1:$L$257,8,FALSE)),"",(VLOOKUP($B216,'E-1 Off Site Hedge Baseline'!$B$1:$L$257,8,FALSE))))</f>
        <v/>
      </c>
      <c r="I216" s="520" t="str">
        <f>IF(B216="","",IF(ISNA(VLOOKUP($B216,'E-1 Off Site Hedge Baseline'!$B$1:$L$257,10,FALSE)),"",(VLOOKUP($B216,'E-1 Off Site Hedge Baseline'!$B$1:$L$257,10,FALSE))))</f>
        <v/>
      </c>
      <c r="J216" s="520" t="str">
        <f>IF(B216="","",IF(ISNA(VLOOKUP($B216,'E-1 Off Site Hedge Baseline'!$B$1:$L$257,11,FALSE)),"",(VLOOKUP($B216,'E-1 Off Site Hedge Baseline'!$B$1:$L$257,11,FALSE))))</f>
        <v/>
      </c>
      <c r="K216" s="520" t="str">
        <f>IF(B216="","",IF(ISNA(VLOOKUP($B216,'E-1 Off Site Hedge Baseline'!$B$1:$U$257,113,FALSE)),"",(VLOOKUP($B216,'E-1 Off Site Hedge Baseline'!$B$1:$U$257,13,FALSE))))</f>
        <v/>
      </c>
      <c r="L216" s="507" t="str">
        <f>IF(B216="","",IF(ISNA(VLOOKUP($B216,'E-1 Off Site Hedge Baseline'!$B$1:$U$257,12,FALSE)),"",(VLOOKUP($B216,'E-1 Off Site Hedge Baseline'!$B$1:$U$257,12,FALSE))))</f>
        <v/>
      </c>
      <c r="M216" s="418" t="str">
        <f t="shared" si="32"/>
        <v/>
      </c>
      <c r="N216" s="498" t="str">
        <f>IFERROR(IF(B216="","",INDEX('G-6 Hedgerow Data'!$AN$3:$AZ$15,MATCH(C216,'G-6 Hedgerow Data'!$AM$3:$AM$15,0),MATCH(M216,'G-6 Hedgerow Data'!$AN$2:$AZ$2,0))),"")</f>
        <v/>
      </c>
      <c r="O216" s="499" t="str">
        <f t="shared" si="26"/>
        <v/>
      </c>
      <c r="P216" s="505" t="str">
        <f>IF(B216="","",VLOOKUP(B216,'E-1 Off Site Hedge Baseline'!$B$10:T461,16,FALSE))</f>
        <v/>
      </c>
      <c r="Q216" s="498" t="str">
        <f>IF(M216="","",VLOOKUP(M216,'G-6 Hedgerow Data'!$B$2:$AG$15,2,FALSE))</f>
        <v/>
      </c>
      <c r="R216" s="499" t="str">
        <f>IF(M216="","",VLOOKUP(M216,'G-6 Hedgerow Data'!$B$2:$AG$15,3,FALSE))</f>
        <v/>
      </c>
      <c r="S216" s="145"/>
      <c r="T216" s="499" t="str">
        <f>IFERROR(IF(AND(Q216="V.Low",OR(S216="Good",S216="Moderate")),"Error ▲",VLOOKUP(S216,'G-1 All Habitats'!$Z$2:$AA$9,2,FALSE)),"")</f>
        <v/>
      </c>
      <c r="U216" s="145"/>
      <c r="V216" s="507" t="str">
        <f>IF(U216="","",IF(VLOOKUP(U216,'G-3 Multipliers'!$L$3:$N$6,2,FALSE)=0,"Spatial Data Missing ⚠",VLOOKUP(U216,'G-3 Multipliers'!$L$3:$N$6,2,FALSE)))</f>
        <v/>
      </c>
      <c r="W216" s="505" t="str">
        <f>IF(U216="","",IF(VLOOKUP(U216,'G-3 Multipliers'!$L$3:$N$6,3,FALSE)=0,"Spatial Data Missing ⚠",VLOOKUP(U216,'G-3 Multipliers'!$L$3:$N$6,3,FALSE)))</f>
        <v/>
      </c>
      <c r="X216" s="498" t="str">
        <f>IFERROR(IF(OR(LEFT(O216,5)="Error ▲",LEFT(N216,5)="Error ▲",T216="Error ▲"),"Check Data ⚠",IF(F216&lt;R216,INDEX('G-6 Hedgerow Data'!$S$3:$AE$14,MATCH(C216,'G-6 Hedgerow Data'!$B$3:$B$14,0),MATCH(M216,'G-6 Hedgerow Data'!$S$2:$AE$2,0)),INDEX('G-6 Hedgerow Data'!$K$3:$Q$14,MATCH(M216,'G-6 Hedgerow Data'!$B$3:$B$14,0),MATCH(O216,'G-6 Hedgerow Data'!$K$2:$Q$2,0)))),"")</f>
        <v/>
      </c>
      <c r="Y216" s="195"/>
      <c r="Z216" s="195"/>
      <c r="AA216" s="507" t="str">
        <f t="shared" si="27"/>
        <v/>
      </c>
      <c r="AB216" s="521" t="str">
        <f t="shared" si="28"/>
        <v/>
      </c>
      <c r="AC216" s="522" t="str">
        <f t="shared" si="25"/>
        <v/>
      </c>
      <c r="AD216" s="537" t="str">
        <f>IF(M216="","",VLOOKUP(M216,'G-6 Hedgerow Data'!$B$3:$AG$15,31,FALSE))</f>
        <v/>
      </c>
      <c r="AE216" s="520" t="str">
        <f t="shared" si="29"/>
        <v/>
      </c>
      <c r="AF216" s="520" t="str">
        <f t="shared" si="30"/>
        <v/>
      </c>
      <c r="AG216" s="524" t="str">
        <f>IFERROR(IF(O216="","",VLOOKUP(AD216,'G-3 Multipliers'!$P$3:$Q$6,2,FALSE)),"")</f>
        <v/>
      </c>
      <c r="AH216" s="197"/>
      <c r="AI216" s="499" t="str">
        <f>IF(AH216="","",IF(VLOOKUP(AH216,'G-3 Multipliers'!$S$3:$T$6,2,FALSE)=0,"Spatial Data Missing ⚠",VLOOKUP(AH216,'G-3 Multipliers'!$S$3:$T$6,2,FALSE)))</f>
        <v/>
      </c>
      <c r="AJ216" s="545" t="str">
        <f t="shared" si="31"/>
        <v/>
      </c>
      <c r="AK216" s="149"/>
      <c r="AL216" s="150"/>
      <c r="AP216" s="31" t="str">
        <f>IFERROR(INDEX('G-6 Hedgerow Data'!$BJ$3:$BJ$15,MATCH(M216,'G-6 Hedgerow Data'!$B$3:$B$15,0)),"")</f>
        <v/>
      </c>
    </row>
    <row r="217" spans="2:42" ht="14" x14ac:dyDescent="0.3">
      <c r="B217" s="531" t="str">
        <f>'E-1 Off Site Hedge Baseline'!AK215</f>
        <v/>
      </c>
      <c r="C217" s="520" t="str">
        <f>IF(B217="","",IF(ISNA(VLOOKUP($B217,'E-1 Off Site Hedge Baseline'!$B$1:$L$257,3,FALSE)),"",(VLOOKUP($B217,'E-1 Off Site Hedge Baseline'!$B$1:$L$257,3,FALSE))))</f>
        <v/>
      </c>
      <c r="D217" s="520" t="str">
        <f>IF(B217="","",IF(ISNA(VLOOKUP($B217,'E-1 Off Site Hedge Baseline'!$B$1:$L$258,4,FALSE)),"",(VLOOKUP($B217,'E-1 Off Site Hedge Baseline'!$B$1:$L$258,4,FALSE))))</f>
        <v/>
      </c>
      <c r="E217" s="520" t="str">
        <f>IF(B217="","",IF(ISNA(VLOOKUP($B217,'E-1 Off Site Hedge Baseline'!$B$1:$L$257,5,FALSE)),"",(VLOOKUP($B217,'E-1 Off Site Hedge Baseline'!$B$1:$L$257,5,FALSE))))</f>
        <v/>
      </c>
      <c r="F217" s="520" t="str">
        <f>IF(B217="","",IF(ISNA(VLOOKUP($B217,'E-1 Off Site Hedge Baseline'!$B$1:$L$257,6,FALSE)),"",(VLOOKUP($B217,'E-1 Off Site Hedge Baseline'!$B$1:$L$257,6,FALSE))))</f>
        <v/>
      </c>
      <c r="G217" s="520" t="str">
        <f>IF(B217="","",IF(ISNA(VLOOKUP($B217,'E-1 Off Site Hedge Baseline'!$B$1:$L$257,7,FALSE)),"",(VLOOKUP($B217,'E-1 Off Site Hedge Baseline'!$B$1:$L$257,7,FALSE))))</f>
        <v/>
      </c>
      <c r="H217" s="520" t="str">
        <f>IF(B217="","",IF(ISNA(VLOOKUP($B217,'E-1 Off Site Hedge Baseline'!$B$1:$L$257,8,FALSE)),"",(VLOOKUP($B217,'E-1 Off Site Hedge Baseline'!$B$1:$L$257,8,FALSE))))</f>
        <v/>
      </c>
      <c r="I217" s="520" t="str">
        <f>IF(B217="","",IF(ISNA(VLOOKUP($B217,'E-1 Off Site Hedge Baseline'!$B$1:$L$257,10,FALSE)),"",(VLOOKUP($B217,'E-1 Off Site Hedge Baseline'!$B$1:$L$257,10,FALSE))))</f>
        <v/>
      </c>
      <c r="J217" s="520" t="str">
        <f>IF(B217="","",IF(ISNA(VLOOKUP($B217,'E-1 Off Site Hedge Baseline'!$B$1:$L$257,11,FALSE)),"",(VLOOKUP($B217,'E-1 Off Site Hedge Baseline'!$B$1:$L$257,11,FALSE))))</f>
        <v/>
      </c>
      <c r="K217" s="520" t="str">
        <f>IF(B217="","",IF(ISNA(VLOOKUP($B217,'E-1 Off Site Hedge Baseline'!$B$1:$U$257,113,FALSE)),"",(VLOOKUP($B217,'E-1 Off Site Hedge Baseline'!$B$1:$U$257,13,FALSE))))</f>
        <v/>
      </c>
      <c r="L217" s="507" t="str">
        <f>IF(B217="","",IF(ISNA(VLOOKUP($B217,'E-1 Off Site Hedge Baseline'!$B$1:$U$257,12,FALSE)),"",(VLOOKUP($B217,'E-1 Off Site Hedge Baseline'!$B$1:$U$257,12,FALSE))))</f>
        <v/>
      </c>
      <c r="M217" s="418" t="str">
        <f t="shared" si="32"/>
        <v/>
      </c>
      <c r="N217" s="498" t="str">
        <f>IFERROR(IF(B217="","",INDEX('G-6 Hedgerow Data'!$AN$3:$AZ$15,MATCH(C217,'G-6 Hedgerow Data'!$AM$3:$AM$15,0),MATCH(M217,'G-6 Hedgerow Data'!$AN$2:$AZ$2,0))),"")</f>
        <v/>
      </c>
      <c r="O217" s="499" t="str">
        <f t="shared" si="26"/>
        <v/>
      </c>
      <c r="P217" s="505" t="str">
        <f>IF(B217="","",VLOOKUP(B217,'E-1 Off Site Hedge Baseline'!$B$10:T462,16,FALSE))</f>
        <v/>
      </c>
      <c r="Q217" s="498" t="str">
        <f>IF(M217="","",VLOOKUP(M217,'G-6 Hedgerow Data'!$B$2:$AG$15,2,FALSE))</f>
        <v/>
      </c>
      <c r="R217" s="499" t="str">
        <f>IF(M217="","",VLOOKUP(M217,'G-6 Hedgerow Data'!$B$2:$AG$15,3,FALSE))</f>
        <v/>
      </c>
      <c r="S217" s="145"/>
      <c r="T217" s="499" t="str">
        <f>IFERROR(IF(AND(Q217="V.Low",OR(S217="Good",S217="Moderate")),"Error ▲",VLOOKUP(S217,'G-1 All Habitats'!$Z$2:$AA$9,2,FALSE)),"")</f>
        <v/>
      </c>
      <c r="U217" s="145"/>
      <c r="V217" s="507" t="str">
        <f>IF(U217="","",IF(VLOOKUP(U217,'G-3 Multipliers'!$L$3:$N$6,2,FALSE)=0,"Spatial Data Missing ⚠",VLOOKUP(U217,'G-3 Multipliers'!$L$3:$N$6,2,FALSE)))</f>
        <v/>
      </c>
      <c r="W217" s="505" t="str">
        <f>IF(U217="","",IF(VLOOKUP(U217,'G-3 Multipliers'!$L$3:$N$6,3,FALSE)=0,"Spatial Data Missing ⚠",VLOOKUP(U217,'G-3 Multipliers'!$L$3:$N$6,3,FALSE)))</f>
        <v/>
      </c>
      <c r="X217" s="498" t="str">
        <f>IFERROR(IF(OR(LEFT(O217,5)="Error ▲",LEFT(N217,5)="Error ▲",T217="Error ▲"),"Check Data ⚠",IF(F217&lt;R217,INDEX('G-6 Hedgerow Data'!$S$3:$AE$14,MATCH(C217,'G-6 Hedgerow Data'!$B$3:$B$14,0),MATCH(M217,'G-6 Hedgerow Data'!$S$2:$AE$2,0)),INDEX('G-6 Hedgerow Data'!$K$3:$Q$14,MATCH(M217,'G-6 Hedgerow Data'!$B$3:$B$14,0),MATCH(O217,'G-6 Hedgerow Data'!$K$2:$Q$2,0)))),"")</f>
        <v/>
      </c>
      <c r="Y217" s="195"/>
      <c r="Z217" s="195"/>
      <c r="AA217" s="507" t="str">
        <f t="shared" si="27"/>
        <v/>
      </c>
      <c r="AB217" s="521" t="str">
        <f t="shared" si="28"/>
        <v/>
      </c>
      <c r="AC217" s="522" t="str">
        <f t="shared" si="25"/>
        <v/>
      </c>
      <c r="AD217" s="537" t="str">
        <f>IF(M217="","",VLOOKUP(M217,'G-6 Hedgerow Data'!$B$3:$AG$15,31,FALSE))</f>
        <v/>
      </c>
      <c r="AE217" s="520" t="str">
        <f t="shared" si="29"/>
        <v/>
      </c>
      <c r="AF217" s="520" t="str">
        <f t="shared" si="30"/>
        <v/>
      </c>
      <c r="AG217" s="524" t="str">
        <f>IFERROR(IF(O217="","",VLOOKUP(AD217,'G-3 Multipliers'!$P$3:$Q$6,2,FALSE)),"")</f>
        <v/>
      </c>
      <c r="AH217" s="197"/>
      <c r="AI217" s="499" t="str">
        <f>IF(AH217="","",IF(VLOOKUP(AH217,'G-3 Multipliers'!$S$3:$T$6,2,FALSE)=0,"Spatial Data Missing ⚠",VLOOKUP(AH217,'G-3 Multipliers'!$S$3:$T$6,2,FALSE)))</f>
        <v/>
      </c>
      <c r="AJ217" s="545" t="str">
        <f t="shared" si="31"/>
        <v/>
      </c>
      <c r="AK217" s="149"/>
      <c r="AL217" s="150"/>
      <c r="AP217" s="31" t="str">
        <f>IFERROR(INDEX('G-6 Hedgerow Data'!$BJ$3:$BJ$15,MATCH(M217,'G-6 Hedgerow Data'!$B$3:$B$15,0)),"")</f>
        <v/>
      </c>
    </row>
    <row r="218" spans="2:42" ht="14" x14ac:dyDescent="0.3">
      <c r="B218" s="531" t="str">
        <f>'E-1 Off Site Hedge Baseline'!AK216</f>
        <v/>
      </c>
      <c r="C218" s="520" t="str">
        <f>IF(B218="","",IF(ISNA(VLOOKUP($B218,'E-1 Off Site Hedge Baseline'!$B$1:$L$257,3,FALSE)),"",(VLOOKUP($B218,'E-1 Off Site Hedge Baseline'!$B$1:$L$257,3,FALSE))))</f>
        <v/>
      </c>
      <c r="D218" s="520" t="str">
        <f>IF(B218="","",IF(ISNA(VLOOKUP($B218,'E-1 Off Site Hedge Baseline'!$B$1:$L$258,4,FALSE)),"",(VLOOKUP($B218,'E-1 Off Site Hedge Baseline'!$B$1:$L$258,4,FALSE))))</f>
        <v/>
      </c>
      <c r="E218" s="520" t="str">
        <f>IF(B218="","",IF(ISNA(VLOOKUP($B218,'E-1 Off Site Hedge Baseline'!$B$1:$L$257,5,FALSE)),"",(VLOOKUP($B218,'E-1 Off Site Hedge Baseline'!$B$1:$L$257,5,FALSE))))</f>
        <v/>
      </c>
      <c r="F218" s="520" t="str">
        <f>IF(B218="","",IF(ISNA(VLOOKUP($B218,'E-1 Off Site Hedge Baseline'!$B$1:$L$257,6,FALSE)),"",(VLOOKUP($B218,'E-1 Off Site Hedge Baseline'!$B$1:$L$257,6,FALSE))))</f>
        <v/>
      </c>
      <c r="G218" s="520" t="str">
        <f>IF(B218="","",IF(ISNA(VLOOKUP($B218,'E-1 Off Site Hedge Baseline'!$B$1:$L$257,7,FALSE)),"",(VLOOKUP($B218,'E-1 Off Site Hedge Baseline'!$B$1:$L$257,7,FALSE))))</f>
        <v/>
      </c>
      <c r="H218" s="520" t="str">
        <f>IF(B218="","",IF(ISNA(VLOOKUP($B218,'E-1 Off Site Hedge Baseline'!$B$1:$L$257,8,FALSE)),"",(VLOOKUP($B218,'E-1 Off Site Hedge Baseline'!$B$1:$L$257,8,FALSE))))</f>
        <v/>
      </c>
      <c r="I218" s="520" t="str">
        <f>IF(B218="","",IF(ISNA(VLOOKUP($B218,'E-1 Off Site Hedge Baseline'!$B$1:$L$257,10,FALSE)),"",(VLOOKUP($B218,'E-1 Off Site Hedge Baseline'!$B$1:$L$257,10,FALSE))))</f>
        <v/>
      </c>
      <c r="J218" s="520" t="str">
        <f>IF(B218="","",IF(ISNA(VLOOKUP($B218,'E-1 Off Site Hedge Baseline'!$B$1:$L$257,11,FALSE)),"",(VLOOKUP($B218,'E-1 Off Site Hedge Baseline'!$B$1:$L$257,11,FALSE))))</f>
        <v/>
      </c>
      <c r="K218" s="520" t="str">
        <f>IF(B218="","",IF(ISNA(VLOOKUP($B218,'E-1 Off Site Hedge Baseline'!$B$1:$U$257,113,FALSE)),"",(VLOOKUP($B218,'E-1 Off Site Hedge Baseline'!$B$1:$U$257,13,FALSE))))</f>
        <v/>
      </c>
      <c r="L218" s="507" t="str">
        <f>IF(B218="","",IF(ISNA(VLOOKUP($B218,'E-1 Off Site Hedge Baseline'!$B$1:$U$257,12,FALSE)),"",(VLOOKUP($B218,'E-1 Off Site Hedge Baseline'!$B$1:$U$257,12,FALSE))))</f>
        <v/>
      </c>
      <c r="M218" s="418" t="str">
        <f t="shared" si="32"/>
        <v/>
      </c>
      <c r="N218" s="498" t="str">
        <f>IFERROR(IF(B218="","",INDEX('G-6 Hedgerow Data'!$AN$3:$AZ$15,MATCH(C218,'G-6 Hedgerow Data'!$AM$3:$AM$15,0),MATCH(M218,'G-6 Hedgerow Data'!$AN$2:$AZ$2,0))),"")</f>
        <v/>
      </c>
      <c r="O218" s="499" t="str">
        <f t="shared" si="26"/>
        <v/>
      </c>
      <c r="P218" s="505" t="str">
        <f>IF(B218="","",VLOOKUP(B218,'E-1 Off Site Hedge Baseline'!$B$10:T463,16,FALSE))</f>
        <v/>
      </c>
      <c r="Q218" s="498" t="str">
        <f>IF(M218="","",VLOOKUP(M218,'G-6 Hedgerow Data'!$B$2:$AG$15,2,FALSE))</f>
        <v/>
      </c>
      <c r="R218" s="499" t="str">
        <f>IF(M218="","",VLOOKUP(M218,'G-6 Hedgerow Data'!$B$2:$AG$15,3,FALSE))</f>
        <v/>
      </c>
      <c r="S218" s="145"/>
      <c r="T218" s="499" t="str">
        <f>IFERROR(IF(AND(Q218="V.Low",OR(S218="Good",S218="Moderate")),"Error ▲",VLOOKUP(S218,'G-1 All Habitats'!$Z$2:$AA$9,2,FALSE)),"")</f>
        <v/>
      </c>
      <c r="U218" s="145"/>
      <c r="V218" s="507" t="str">
        <f>IF(U218="","",IF(VLOOKUP(U218,'G-3 Multipliers'!$L$3:$N$6,2,FALSE)=0,"Spatial Data Missing ⚠",VLOOKUP(U218,'G-3 Multipliers'!$L$3:$N$6,2,FALSE)))</f>
        <v/>
      </c>
      <c r="W218" s="505" t="str">
        <f>IF(U218="","",IF(VLOOKUP(U218,'G-3 Multipliers'!$L$3:$N$6,3,FALSE)=0,"Spatial Data Missing ⚠",VLOOKUP(U218,'G-3 Multipliers'!$L$3:$N$6,3,FALSE)))</f>
        <v/>
      </c>
      <c r="X218" s="498" t="str">
        <f>IFERROR(IF(OR(LEFT(O218,5)="Error ▲",LEFT(N218,5)="Error ▲",T218="Error ▲"),"Check Data ⚠",IF(F218&lt;R218,INDEX('G-6 Hedgerow Data'!$S$3:$AE$14,MATCH(C218,'G-6 Hedgerow Data'!$B$3:$B$14,0),MATCH(M218,'G-6 Hedgerow Data'!$S$2:$AE$2,0)),INDEX('G-6 Hedgerow Data'!$K$3:$Q$14,MATCH(M218,'G-6 Hedgerow Data'!$B$3:$B$14,0),MATCH(O218,'G-6 Hedgerow Data'!$K$2:$Q$2,0)))),"")</f>
        <v/>
      </c>
      <c r="Y218" s="195"/>
      <c r="Z218" s="195"/>
      <c r="AA218" s="507" t="str">
        <f t="shared" si="27"/>
        <v/>
      </c>
      <c r="AB218" s="521" t="str">
        <f t="shared" si="28"/>
        <v/>
      </c>
      <c r="AC218" s="522" t="str">
        <f t="shared" si="25"/>
        <v/>
      </c>
      <c r="AD218" s="537" t="str">
        <f>IF(M218="","",VLOOKUP(M218,'G-6 Hedgerow Data'!$B$3:$AG$15,31,FALSE))</f>
        <v/>
      </c>
      <c r="AE218" s="520" t="str">
        <f t="shared" si="29"/>
        <v/>
      </c>
      <c r="AF218" s="520" t="str">
        <f t="shared" si="30"/>
        <v/>
      </c>
      <c r="AG218" s="524" t="str">
        <f>IFERROR(IF(O218="","",VLOOKUP(AD218,'G-3 Multipliers'!$P$3:$Q$6,2,FALSE)),"")</f>
        <v/>
      </c>
      <c r="AH218" s="197"/>
      <c r="AI218" s="499" t="str">
        <f>IF(AH218="","",IF(VLOOKUP(AH218,'G-3 Multipliers'!$S$3:$T$6,2,FALSE)=0,"Spatial Data Missing ⚠",VLOOKUP(AH218,'G-3 Multipliers'!$S$3:$T$6,2,FALSE)))</f>
        <v/>
      </c>
      <c r="AJ218" s="545" t="str">
        <f t="shared" si="31"/>
        <v/>
      </c>
      <c r="AK218" s="149"/>
      <c r="AL218" s="150"/>
      <c r="AP218" s="31" t="str">
        <f>IFERROR(INDEX('G-6 Hedgerow Data'!$BJ$3:$BJ$15,MATCH(M218,'G-6 Hedgerow Data'!$B$3:$B$15,0)),"")</f>
        <v/>
      </c>
    </row>
    <row r="219" spans="2:42" ht="14" x14ac:dyDescent="0.3">
      <c r="B219" s="531" t="str">
        <f>'E-1 Off Site Hedge Baseline'!AK217</f>
        <v/>
      </c>
      <c r="C219" s="520" t="str">
        <f>IF(B219="","",IF(ISNA(VLOOKUP($B219,'E-1 Off Site Hedge Baseline'!$B$1:$L$257,3,FALSE)),"",(VLOOKUP($B219,'E-1 Off Site Hedge Baseline'!$B$1:$L$257,3,FALSE))))</f>
        <v/>
      </c>
      <c r="D219" s="520" t="str">
        <f>IF(B219="","",IF(ISNA(VLOOKUP($B219,'E-1 Off Site Hedge Baseline'!$B$1:$L$258,4,FALSE)),"",(VLOOKUP($B219,'E-1 Off Site Hedge Baseline'!$B$1:$L$258,4,FALSE))))</f>
        <v/>
      </c>
      <c r="E219" s="520" t="str">
        <f>IF(B219="","",IF(ISNA(VLOOKUP($B219,'E-1 Off Site Hedge Baseline'!$B$1:$L$257,5,FALSE)),"",(VLOOKUP($B219,'E-1 Off Site Hedge Baseline'!$B$1:$L$257,5,FALSE))))</f>
        <v/>
      </c>
      <c r="F219" s="520" t="str">
        <f>IF(B219="","",IF(ISNA(VLOOKUP($B219,'E-1 Off Site Hedge Baseline'!$B$1:$L$257,6,FALSE)),"",(VLOOKUP($B219,'E-1 Off Site Hedge Baseline'!$B$1:$L$257,6,FALSE))))</f>
        <v/>
      </c>
      <c r="G219" s="520" t="str">
        <f>IF(B219="","",IF(ISNA(VLOOKUP($B219,'E-1 Off Site Hedge Baseline'!$B$1:$L$257,7,FALSE)),"",(VLOOKUP($B219,'E-1 Off Site Hedge Baseline'!$B$1:$L$257,7,FALSE))))</f>
        <v/>
      </c>
      <c r="H219" s="520" t="str">
        <f>IF(B219="","",IF(ISNA(VLOOKUP($B219,'E-1 Off Site Hedge Baseline'!$B$1:$L$257,8,FALSE)),"",(VLOOKUP($B219,'E-1 Off Site Hedge Baseline'!$B$1:$L$257,8,FALSE))))</f>
        <v/>
      </c>
      <c r="I219" s="520" t="str">
        <f>IF(B219="","",IF(ISNA(VLOOKUP($B219,'E-1 Off Site Hedge Baseline'!$B$1:$L$257,10,FALSE)),"",(VLOOKUP($B219,'E-1 Off Site Hedge Baseline'!$B$1:$L$257,10,FALSE))))</f>
        <v/>
      </c>
      <c r="J219" s="520" t="str">
        <f>IF(B219="","",IF(ISNA(VLOOKUP($B219,'E-1 Off Site Hedge Baseline'!$B$1:$L$257,11,FALSE)),"",(VLOOKUP($B219,'E-1 Off Site Hedge Baseline'!$B$1:$L$257,11,FALSE))))</f>
        <v/>
      </c>
      <c r="K219" s="520" t="str">
        <f>IF(B219="","",IF(ISNA(VLOOKUP($B219,'E-1 Off Site Hedge Baseline'!$B$1:$U$257,113,FALSE)),"",(VLOOKUP($B219,'E-1 Off Site Hedge Baseline'!$B$1:$U$257,13,FALSE))))</f>
        <v/>
      </c>
      <c r="L219" s="507" t="str">
        <f>IF(B219="","",IF(ISNA(VLOOKUP($B219,'E-1 Off Site Hedge Baseline'!$B$1:$U$257,12,FALSE)),"",(VLOOKUP($B219,'E-1 Off Site Hedge Baseline'!$B$1:$U$257,12,FALSE))))</f>
        <v/>
      </c>
      <c r="M219" s="418" t="str">
        <f t="shared" si="32"/>
        <v/>
      </c>
      <c r="N219" s="498" t="str">
        <f>IFERROR(IF(B219="","",INDEX('G-6 Hedgerow Data'!$AN$3:$AZ$15,MATCH(C219,'G-6 Hedgerow Data'!$AM$3:$AM$15,0),MATCH(M219,'G-6 Hedgerow Data'!$AN$2:$AZ$2,0))),"")</f>
        <v/>
      </c>
      <c r="O219" s="499" t="str">
        <f t="shared" si="26"/>
        <v/>
      </c>
      <c r="P219" s="505" t="str">
        <f>IF(B219="","",VLOOKUP(B219,'E-1 Off Site Hedge Baseline'!$B$10:T464,16,FALSE))</f>
        <v/>
      </c>
      <c r="Q219" s="498" t="str">
        <f>IF(M219="","",VLOOKUP(M219,'G-6 Hedgerow Data'!$B$2:$AG$15,2,FALSE))</f>
        <v/>
      </c>
      <c r="R219" s="499" t="str">
        <f>IF(M219="","",VLOOKUP(M219,'G-6 Hedgerow Data'!$B$2:$AG$15,3,FALSE))</f>
        <v/>
      </c>
      <c r="S219" s="145"/>
      <c r="T219" s="499" t="str">
        <f>IFERROR(IF(AND(Q219="V.Low",OR(S219="Good",S219="Moderate")),"Error ▲",VLOOKUP(S219,'G-1 All Habitats'!$Z$2:$AA$9,2,FALSE)),"")</f>
        <v/>
      </c>
      <c r="U219" s="145"/>
      <c r="V219" s="507" t="str">
        <f>IF(U219="","",IF(VLOOKUP(U219,'G-3 Multipliers'!$L$3:$N$6,2,FALSE)=0,"Spatial Data Missing ⚠",VLOOKUP(U219,'G-3 Multipliers'!$L$3:$N$6,2,FALSE)))</f>
        <v/>
      </c>
      <c r="W219" s="505" t="str">
        <f>IF(U219="","",IF(VLOOKUP(U219,'G-3 Multipliers'!$L$3:$N$6,3,FALSE)=0,"Spatial Data Missing ⚠",VLOOKUP(U219,'G-3 Multipliers'!$L$3:$N$6,3,FALSE)))</f>
        <v/>
      </c>
      <c r="X219" s="498" t="str">
        <f>IFERROR(IF(OR(LEFT(O219,5)="Error ▲",LEFT(N219,5)="Error ▲",T219="Error ▲"),"Check Data ⚠",IF(F219&lt;R219,INDEX('G-6 Hedgerow Data'!$S$3:$AE$14,MATCH(C219,'G-6 Hedgerow Data'!$B$3:$B$14,0),MATCH(M219,'G-6 Hedgerow Data'!$S$2:$AE$2,0)),INDEX('G-6 Hedgerow Data'!$K$3:$Q$14,MATCH(M219,'G-6 Hedgerow Data'!$B$3:$B$14,0),MATCH(O219,'G-6 Hedgerow Data'!$K$2:$Q$2,0)))),"")</f>
        <v/>
      </c>
      <c r="Y219" s="195"/>
      <c r="Z219" s="195"/>
      <c r="AA219" s="507" t="str">
        <f t="shared" si="27"/>
        <v/>
      </c>
      <c r="AB219" s="521" t="str">
        <f t="shared" si="28"/>
        <v/>
      </c>
      <c r="AC219" s="522" t="str">
        <f t="shared" si="25"/>
        <v/>
      </c>
      <c r="AD219" s="537" t="str">
        <f>IF(M219="","",VLOOKUP(M219,'G-6 Hedgerow Data'!$B$3:$AG$15,31,FALSE))</f>
        <v/>
      </c>
      <c r="AE219" s="520" t="str">
        <f t="shared" si="29"/>
        <v/>
      </c>
      <c r="AF219" s="520" t="str">
        <f t="shared" si="30"/>
        <v/>
      </c>
      <c r="AG219" s="524" t="str">
        <f>IFERROR(IF(O219="","",VLOOKUP(AD219,'G-3 Multipliers'!$P$3:$Q$6,2,FALSE)),"")</f>
        <v/>
      </c>
      <c r="AH219" s="197"/>
      <c r="AI219" s="499" t="str">
        <f>IF(AH219="","",IF(VLOOKUP(AH219,'G-3 Multipliers'!$S$3:$T$6,2,FALSE)=0,"Spatial Data Missing ⚠",VLOOKUP(AH219,'G-3 Multipliers'!$S$3:$T$6,2,FALSE)))</f>
        <v/>
      </c>
      <c r="AJ219" s="545" t="str">
        <f t="shared" si="31"/>
        <v/>
      </c>
      <c r="AK219" s="149"/>
      <c r="AL219" s="150"/>
      <c r="AP219" s="31" t="str">
        <f>IFERROR(INDEX('G-6 Hedgerow Data'!$BJ$3:$BJ$15,MATCH(M219,'G-6 Hedgerow Data'!$B$3:$B$15,0)),"")</f>
        <v/>
      </c>
    </row>
    <row r="220" spans="2:42" ht="14" x14ac:dyDescent="0.3">
      <c r="B220" s="531" t="str">
        <f>'E-1 Off Site Hedge Baseline'!AK218</f>
        <v/>
      </c>
      <c r="C220" s="520" t="str">
        <f>IF(B220="","",IF(ISNA(VLOOKUP($B220,'E-1 Off Site Hedge Baseline'!$B$1:$L$257,3,FALSE)),"",(VLOOKUP($B220,'E-1 Off Site Hedge Baseline'!$B$1:$L$257,3,FALSE))))</f>
        <v/>
      </c>
      <c r="D220" s="520" t="str">
        <f>IF(B220="","",IF(ISNA(VLOOKUP($B220,'E-1 Off Site Hedge Baseline'!$B$1:$L$258,4,FALSE)),"",(VLOOKUP($B220,'E-1 Off Site Hedge Baseline'!$B$1:$L$258,4,FALSE))))</f>
        <v/>
      </c>
      <c r="E220" s="520" t="str">
        <f>IF(B220="","",IF(ISNA(VLOOKUP($B220,'E-1 Off Site Hedge Baseline'!$B$1:$L$257,5,FALSE)),"",(VLOOKUP($B220,'E-1 Off Site Hedge Baseline'!$B$1:$L$257,5,FALSE))))</f>
        <v/>
      </c>
      <c r="F220" s="520" t="str">
        <f>IF(B220="","",IF(ISNA(VLOOKUP($B220,'E-1 Off Site Hedge Baseline'!$B$1:$L$257,6,FALSE)),"",(VLOOKUP($B220,'E-1 Off Site Hedge Baseline'!$B$1:$L$257,6,FALSE))))</f>
        <v/>
      </c>
      <c r="G220" s="520" t="str">
        <f>IF(B220="","",IF(ISNA(VLOOKUP($B220,'E-1 Off Site Hedge Baseline'!$B$1:$L$257,7,FALSE)),"",(VLOOKUP($B220,'E-1 Off Site Hedge Baseline'!$B$1:$L$257,7,FALSE))))</f>
        <v/>
      </c>
      <c r="H220" s="520" t="str">
        <f>IF(B220="","",IF(ISNA(VLOOKUP($B220,'E-1 Off Site Hedge Baseline'!$B$1:$L$257,8,FALSE)),"",(VLOOKUP($B220,'E-1 Off Site Hedge Baseline'!$B$1:$L$257,8,FALSE))))</f>
        <v/>
      </c>
      <c r="I220" s="520" t="str">
        <f>IF(B220="","",IF(ISNA(VLOOKUP($B220,'E-1 Off Site Hedge Baseline'!$B$1:$L$257,10,FALSE)),"",(VLOOKUP($B220,'E-1 Off Site Hedge Baseline'!$B$1:$L$257,10,FALSE))))</f>
        <v/>
      </c>
      <c r="J220" s="520" t="str">
        <f>IF(B220="","",IF(ISNA(VLOOKUP($B220,'E-1 Off Site Hedge Baseline'!$B$1:$L$257,11,FALSE)),"",(VLOOKUP($B220,'E-1 Off Site Hedge Baseline'!$B$1:$L$257,11,FALSE))))</f>
        <v/>
      </c>
      <c r="K220" s="520" t="str">
        <f>IF(B220="","",IF(ISNA(VLOOKUP($B220,'E-1 Off Site Hedge Baseline'!$B$1:$U$257,113,FALSE)),"",(VLOOKUP($B220,'E-1 Off Site Hedge Baseline'!$B$1:$U$257,13,FALSE))))</f>
        <v/>
      </c>
      <c r="L220" s="507" t="str">
        <f>IF(B220="","",IF(ISNA(VLOOKUP($B220,'E-1 Off Site Hedge Baseline'!$B$1:$U$257,12,FALSE)),"",(VLOOKUP($B220,'E-1 Off Site Hedge Baseline'!$B$1:$U$257,12,FALSE))))</f>
        <v/>
      </c>
      <c r="M220" s="418" t="str">
        <f t="shared" si="32"/>
        <v/>
      </c>
      <c r="N220" s="498" t="str">
        <f>IFERROR(IF(B220="","",INDEX('G-6 Hedgerow Data'!$AN$3:$AZ$15,MATCH(C220,'G-6 Hedgerow Data'!$AM$3:$AM$15,0),MATCH(M220,'G-6 Hedgerow Data'!$AN$2:$AZ$2,0))),"")</f>
        <v/>
      </c>
      <c r="O220" s="499" t="str">
        <f t="shared" si="26"/>
        <v/>
      </c>
      <c r="P220" s="505" t="str">
        <f>IF(B220="","",VLOOKUP(B220,'E-1 Off Site Hedge Baseline'!$B$10:T465,16,FALSE))</f>
        <v/>
      </c>
      <c r="Q220" s="498" t="str">
        <f>IF(M220="","",VLOOKUP(M220,'G-6 Hedgerow Data'!$B$2:$AG$15,2,FALSE))</f>
        <v/>
      </c>
      <c r="R220" s="499" t="str">
        <f>IF(M220="","",VLOOKUP(M220,'G-6 Hedgerow Data'!$B$2:$AG$15,3,FALSE))</f>
        <v/>
      </c>
      <c r="S220" s="145"/>
      <c r="T220" s="499" t="str">
        <f>IFERROR(IF(AND(Q220="V.Low",OR(S220="Good",S220="Moderate")),"Error ▲",VLOOKUP(S220,'G-1 All Habitats'!$Z$2:$AA$9,2,FALSE)),"")</f>
        <v/>
      </c>
      <c r="U220" s="145"/>
      <c r="V220" s="507" t="str">
        <f>IF(U220="","",IF(VLOOKUP(U220,'G-3 Multipliers'!$L$3:$N$6,2,FALSE)=0,"Spatial Data Missing ⚠",VLOOKUP(U220,'G-3 Multipliers'!$L$3:$N$6,2,FALSE)))</f>
        <v/>
      </c>
      <c r="W220" s="505" t="str">
        <f>IF(U220="","",IF(VLOOKUP(U220,'G-3 Multipliers'!$L$3:$N$6,3,FALSE)=0,"Spatial Data Missing ⚠",VLOOKUP(U220,'G-3 Multipliers'!$L$3:$N$6,3,FALSE)))</f>
        <v/>
      </c>
      <c r="X220" s="498" t="str">
        <f>IFERROR(IF(OR(LEFT(O220,5)="Error ▲",LEFT(N220,5)="Error ▲",T220="Error ▲"),"Check Data ⚠",IF(F220&lt;R220,INDEX('G-6 Hedgerow Data'!$S$3:$AE$14,MATCH(C220,'G-6 Hedgerow Data'!$B$3:$B$14,0),MATCH(M220,'G-6 Hedgerow Data'!$S$2:$AE$2,0)),INDEX('G-6 Hedgerow Data'!$K$3:$Q$14,MATCH(M220,'G-6 Hedgerow Data'!$B$3:$B$14,0),MATCH(O220,'G-6 Hedgerow Data'!$K$2:$Q$2,0)))),"")</f>
        <v/>
      </c>
      <c r="Y220" s="195"/>
      <c r="Z220" s="195"/>
      <c r="AA220" s="507" t="str">
        <f t="shared" si="27"/>
        <v/>
      </c>
      <c r="AB220" s="521" t="str">
        <f t="shared" si="28"/>
        <v/>
      </c>
      <c r="AC220" s="522" t="str">
        <f t="shared" si="25"/>
        <v/>
      </c>
      <c r="AD220" s="537" t="str">
        <f>IF(M220="","",VLOOKUP(M220,'G-6 Hedgerow Data'!$B$3:$AG$15,31,FALSE))</f>
        <v/>
      </c>
      <c r="AE220" s="520" t="str">
        <f t="shared" si="29"/>
        <v/>
      </c>
      <c r="AF220" s="520" t="str">
        <f t="shared" si="30"/>
        <v/>
      </c>
      <c r="AG220" s="524" t="str">
        <f>IFERROR(IF(O220="","",VLOOKUP(AD220,'G-3 Multipliers'!$P$3:$Q$6,2,FALSE)),"")</f>
        <v/>
      </c>
      <c r="AH220" s="197"/>
      <c r="AI220" s="499" t="str">
        <f>IF(AH220="","",IF(VLOOKUP(AH220,'G-3 Multipliers'!$S$3:$T$6,2,FALSE)=0,"Spatial Data Missing ⚠",VLOOKUP(AH220,'G-3 Multipliers'!$S$3:$T$6,2,FALSE)))</f>
        <v/>
      </c>
      <c r="AJ220" s="545" t="str">
        <f t="shared" si="31"/>
        <v/>
      </c>
      <c r="AK220" s="149"/>
      <c r="AL220" s="150"/>
      <c r="AP220" s="31" t="str">
        <f>IFERROR(INDEX('G-6 Hedgerow Data'!$BJ$3:$BJ$15,MATCH(M220,'G-6 Hedgerow Data'!$B$3:$B$15,0)),"")</f>
        <v/>
      </c>
    </row>
    <row r="221" spans="2:42" ht="14" x14ac:dyDescent="0.3">
      <c r="B221" s="531" t="str">
        <f>'E-1 Off Site Hedge Baseline'!AK219</f>
        <v/>
      </c>
      <c r="C221" s="520" t="str">
        <f>IF(B221="","",IF(ISNA(VLOOKUP($B221,'E-1 Off Site Hedge Baseline'!$B$1:$L$257,3,FALSE)),"",(VLOOKUP($B221,'E-1 Off Site Hedge Baseline'!$B$1:$L$257,3,FALSE))))</f>
        <v/>
      </c>
      <c r="D221" s="520" t="str">
        <f>IF(B221="","",IF(ISNA(VLOOKUP($B221,'E-1 Off Site Hedge Baseline'!$B$1:$L$258,4,FALSE)),"",(VLOOKUP($B221,'E-1 Off Site Hedge Baseline'!$B$1:$L$258,4,FALSE))))</f>
        <v/>
      </c>
      <c r="E221" s="520" t="str">
        <f>IF(B221="","",IF(ISNA(VLOOKUP($B221,'E-1 Off Site Hedge Baseline'!$B$1:$L$257,5,FALSE)),"",(VLOOKUP($B221,'E-1 Off Site Hedge Baseline'!$B$1:$L$257,5,FALSE))))</f>
        <v/>
      </c>
      <c r="F221" s="520" t="str">
        <f>IF(B221="","",IF(ISNA(VLOOKUP($B221,'E-1 Off Site Hedge Baseline'!$B$1:$L$257,6,FALSE)),"",(VLOOKUP($B221,'E-1 Off Site Hedge Baseline'!$B$1:$L$257,6,FALSE))))</f>
        <v/>
      </c>
      <c r="G221" s="520" t="str">
        <f>IF(B221="","",IF(ISNA(VLOOKUP($B221,'E-1 Off Site Hedge Baseline'!$B$1:$L$257,7,FALSE)),"",(VLOOKUP($B221,'E-1 Off Site Hedge Baseline'!$B$1:$L$257,7,FALSE))))</f>
        <v/>
      </c>
      <c r="H221" s="520" t="str">
        <f>IF(B221="","",IF(ISNA(VLOOKUP($B221,'E-1 Off Site Hedge Baseline'!$B$1:$L$257,8,FALSE)),"",(VLOOKUP($B221,'E-1 Off Site Hedge Baseline'!$B$1:$L$257,8,FALSE))))</f>
        <v/>
      </c>
      <c r="I221" s="520" t="str">
        <f>IF(B221="","",IF(ISNA(VLOOKUP($B221,'E-1 Off Site Hedge Baseline'!$B$1:$L$257,10,FALSE)),"",(VLOOKUP($B221,'E-1 Off Site Hedge Baseline'!$B$1:$L$257,10,FALSE))))</f>
        <v/>
      </c>
      <c r="J221" s="520" t="str">
        <f>IF(B221="","",IF(ISNA(VLOOKUP($B221,'E-1 Off Site Hedge Baseline'!$B$1:$L$257,11,FALSE)),"",(VLOOKUP($B221,'E-1 Off Site Hedge Baseline'!$B$1:$L$257,11,FALSE))))</f>
        <v/>
      </c>
      <c r="K221" s="520" t="str">
        <f>IF(B221="","",IF(ISNA(VLOOKUP($B221,'E-1 Off Site Hedge Baseline'!$B$1:$U$257,113,FALSE)),"",(VLOOKUP($B221,'E-1 Off Site Hedge Baseline'!$B$1:$U$257,13,FALSE))))</f>
        <v/>
      </c>
      <c r="L221" s="507" t="str">
        <f>IF(B221="","",IF(ISNA(VLOOKUP($B221,'E-1 Off Site Hedge Baseline'!$B$1:$U$257,12,FALSE)),"",(VLOOKUP($B221,'E-1 Off Site Hedge Baseline'!$B$1:$U$257,12,FALSE))))</f>
        <v/>
      </c>
      <c r="M221" s="418" t="str">
        <f t="shared" si="32"/>
        <v/>
      </c>
      <c r="N221" s="498" t="str">
        <f>IFERROR(IF(B221="","",INDEX('G-6 Hedgerow Data'!$AN$3:$AZ$15,MATCH(C221,'G-6 Hedgerow Data'!$AM$3:$AM$15,0),MATCH(M221,'G-6 Hedgerow Data'!$AN$2:$AZ$2,0))),"")</f>
        <v/>
      </c>
      <c r="O221" s="499" t="str">
        <f t="shared" si="26"/>
        <v/>
      </c>
      <c r="P221" s="505" t="str">
        <f>IF(B221="","",VLOOKUP(B221,'E-1 Off Site Hedge Baseline'!$B$10:T466,16,FALSE))</f>
        <v/>
      </c>
      <c r="Q221" s="498" t="str">
        <f>IF(M221="","",VLOOKUP(M221,'G-6 Hedgerow Data'!$B$2:$AG$15,2,FALSE))</f>
        <v/>
      </c>
      <c r="R221" s="499" t="str">
        <f>IF(M221="","",VLOOKUP(M221,'G-6 Hedgerow Data'!$B$2:$AG$15,3,FALSE))</f>
        <v/>
      </c>
      <c r="S221" s="145"/>
      <c r="T221" s="499" t="str">
        <f>IFERROR(IF(AND(Q221="V.Low",OR(S221="Good",S221="Moderate")),"Error ▲",VLOOKUP(S221,'G-1 All Habitats'!$Z$2:$AA$9,2,FALSE)),"")</f>
        <v/>
      </c>
      <c r="U221" s="145"/>
      <c r="V221" s="507" t="str">
        <f>IF(U221="","",IF(VLOOKUP(U221,'G-3 Multipliers'!$L$3:$N$6,2,FALSE)=0,"Spatial Data Missing ⚠",VLOOKUP(U221,'G-3 Multipliers'!$L$3:$N$6,2,FALSE)))</f>
        <v/>
      </c>
      <c r="W221" s="505" t="str">
        <f>IF(U221="","",IF(VLOOKUP(U221,'G-3 Multipliers'!$L$3:$N$6,3,FALSE)=0,"Spatial Data Missing ⚠",VLOOKUP(U221,'G-3 Multipliers'!$L$3:$N$6,3,FALSE)))</f>
        <v/>
      </c>
      <c r="X221" s="498" t="str">
        <f>IFERROR(IF(OR(LEFT(O221,5)="Error ▲",LEFT(N221,5)="Error ▲",T221="Error ▲"),"Check Data ⚠",IF(F221&lt;R221,INDEX('G-6 Hedgerow Data'!$S$3:$AE$14,MATCH(C221,'G-6 Hedgerow Data'!$B$3:$B$14,0),MATCH(M221,'G-6 Hedgerow Data'!$S$2:$AE$2,0)),INDEX('G-6 Hedgerow Data'!$K$3:$Q$14,MATCH(M221,'G-6 Hedgerow Data'!$B$3:$B$14,0),MATCH(O221,'G-6 Hedgerow Data'!$K$2:$Q$2,0)))),"")</f>
        <v/>
      </c>
      <c r="Y221" s="195"/>
      <c r="Z221" s="195"/>
      <c r="AA221" s="507" t="str">
        <f t="shared" si="27"/>
        <v/>
      </c>
      <c r="AB221" s="521" t="str">
        <f t="shared" si="28"/>
        <v/>
      </c>
      <c r="AC221" s="522" t="str">
        <f t="shared" si="25"/>
        <v/>
      </c>
      <c r="AD221" s="537" t="str">
        <f>IF(M221="","",VLOOKUP(M221,'G-6 Hedgerow Data'!$B$3:$AG$15,31,FALSE))</f>
        <v/>
      </c>
      <c r="AE221" s="520" t="str">
        <f t="shared" si="29"/>
        <v/>
      </c>
      <c r="AF221" s="520" t="str">
        <f t="shared" si="30"/>
        <v/>
      </c>
      <c r="AG221" s="524" t="str">
        <f>IFERROR(IF(O221="","",VLOOKUP(AD221,'G-3 Multipliers'!$P$3:$Q$6,2,FALSE)),"")</f>
        <v/>
      </c>
      <c r="AH221" s="197"/>
      <c r="AI221" s="499" t="str">
        <f>IF(AH221="","",IF(VLOOKUP(AH221,'G-3 Multipliers'!$S$3:$T$6,2,FALSE)=0,"Spatial Data Missing ⚠",VLOOKUP(AH221,'G-3 Multipliers'!$S$3:$T$6,2,FALSE)))</f>
        <v/>
      </c>
      <c r="AJ221" s="545" t="str">
        <f t="shared" si="31"/>
        <v/>
      </c>
      <c r="AK221" s="149"/>
      <c r="AL221" s="150"/>
      <c r="AP221" s="31" t="str">
        <f>IFERROR(INDEX('G-6 Hedgerow Data'!$BJ$3:$BJ$15,MATCH(M221,'G-6 Hedgerow Data'!$B$3:$B$15,0)),"")</f>
        <v/>
      </c>
    </row>
    <row r="222" spans="2:42" ht="14" x14ac:dyDescent="0.3">
      <c r="B222" s="531" t="str">
        <f>'E-1 Off Site Hedge Baseline'!AK220</f>
        <v/>
      </c>
      <c r="C222" s="520" t="str">
        <f>IF(B222="","",IF(ISNA(VLOOKUP($B222,'E-1 Off Site Hedge Baseline'!$B$1:$L$257,3,FALSE)),"",(VLOOKUP($B222,'E-1 Off Site Hedge Baseline'!$B$1:$L$257,3,FALSE))))</f>
        <v/>
      </c>
      <c r="D222" s="520" t="str">
        <f>IF(B222="","",IF(ISNA(VLOOKUP($B222,'E-1 Off Site Hedge Baseline'!$B$1:$L$258,4,FALSE)),"",(VLOOKUP($B222,'E-1 Off Site Hedge Baseline'!$B$1:$L$258,4,FALSE))))</f>
        <v/>
      </c>
      <c r="E222" s="520" t="str">
        <f>IF(B222="","",IF(ISNA(VLOOKUP($B222,'E-1 Off Site Hedge Baseline'!$B$1:$L$257,5,FALSE)),"",(VLOOKUP($B222,'E-1 Off Site Hedge Baseline'!$B$1:$L$257,5,FALSE))))</f>
        <v/>
      </c>
      <c r="F222" s="520" t="str">
        <f>IF(B222="","",IF(ISNA(VLOOKUP($B222,'E-1 Off Site Hedge Baseline'!$B$1:$L$257,6,FALSE)),"",(VLOOKUP($B222,'E-1 Off Site Hedge Baseline'!$B$1:$L$257,6,FALSE))))</f>
        <v/>
      </c>
      <c r="G222" s="520" t="str">
        <f>IF(B222="","",IF(ISNA(VLOOKUP($B222,'E-1 Off Site Hedge Baseline'!$B$1:$L$257,7,FALSE)),"",(VLOOKUP($B222,'E-1 Off Site Hedge Baseline'!$B$1:$L$257,7,FALSE))))</f>
        <v/>
      </c>
      <c r="H222" s="520" t="str">
        <f>IF(B222="","",IF(ISNA(VLOOKUP($B222,'E-1 Off Site Hedge Baseline'!$B$1:$L$257,8,FALSE)),"",(VLOOKUP($B222,'E-1 Off Site Hedge Baseline'!$B$1:$L$257,8,FALSE))))</f>
        <v/>
      </c>
      <c r="I222" s="520" t="str">
        <f>IF(B222="","",IF(ISNA(VLOOKUP($B222,'E-1 Off Site Hedge Baseline'!$B$1:$L$257,10,FALSE)),"",(VLOOKUP($B222,'E-1 Off Site Hedge Baseline'!$B$1:$L$257,10,FALSE))))</f>
        <v/>
      </c>
      <c r="J222" s="520" t="str">
        <f>IF(B222="","",IF(ISNA(VLOOKUP($B222,'E-1 Off Site Hedge Baseline'!$B$1:$L$257,11,FALSE)),"",(VLOOKUP($B222,'E-1 Off Site Hedge Baseline'!$B$1:$L$257,11,FALSE))))</f>
        <v/>
      </c>
      <c r="K222" s="520" t="str">
        <f>IF(B222="","",IF(ISNA(VLOOKUP($B222,'E-1 Off Site Hedge Baseline'!$B$1:$U$257,113,FALSE)),"",(VLOOKUP($B222,'E-1 Off Site Hedge Baseline'!$B$1:$U$257,13,FALSE))))</f>
        <v/>
      </c>
      <c r="L222" s="507" t="str">
        <f>IF(B222="","",IF(ISNA(VLOOKUP($B222,'E-1 Off Site Hedge Baseline'!$B$1:$U$257,12,FALSE)),"",(VLOOKUP($B222,'E-1 Off Site Hedge Baseline'!$B$1:$U$257,12,FALSE))))</f>
        <v/>
      </c>
      <c r="M222" s="418" t="str">
        <f t="shared" si="32"/>
        <v/>
      </c>
      <c r="N222" s="498" t="str">
        <f>IFERROR(IF(B222="","",INDEX('G-6 Hedgerow Data'!$AN$3:$AZ$15,MATCH(C222,'G-6 Hedgerow Data'!$AM$3:$AM$15,0),MATCH(M222,'G-6 Hedgerow Data'!$AN$2:$AZ$2,0))),"")</f>
        <v/>
      </c>
      <c r="O222" s="499" t="str">
        <f t="shared" si="26"/>
        <v/>
      </c>
      <c r="P222" s="505" t="str">
        <f>IF(B222="","",VLOOKUP(B222,'E-1 Off Site Hedge Baseline'!$B$10:T467,16,FALSE))</f>
        <v/>
      </c>
      <c r="Q222" s="498" t="str">
        <f>IF(M222="","",VLOOKUP(M222,'G-6 Hedgerow Data'!$B$2:$AG$15,2,FALSE))</f>
        <v/>
      </c>
      <c r="R222" s="499" t="str">
        <f>IF(M222="","",VLOOKUP(M222,'G-6 Hedgerow Data'!$B$2:$AG$15,3,FALSE))</f>
        <v/>
      </c>
      <c r="S222" s="145"/>
      <c r="T222" s="499" t="str">
        <f>IFERROR(IF(AND(Q222="V.Low",OR(S222="Good",S222="Moderate")),"Error ▲",VLOOKUP(S222,'G-1 All Habitats'!$Z$2:$AA$9,2,FALSE)),"")</f>
        <v/>
      </c>
      <c r="U222" s="145"/>
      <c r="V222" s="507" t="str">
        <f>IF(U222="","",IF(VLOOKUP(U222,'G-3 Multipliers'!$L$3:$N$6,2,FALSE)=0,"Spatial Data Missing ⚠",VLOOKUP(U222,'G-3 Multipliers'!$L$3:$N$6,2,FALSE)))</f>
        <v/>
      </c>
      <c r="W222" s="505" t="str">
        <f>IF(U222="","",IF(VLOOKUP(U222,'G-3 Multipliers'!$L$3:$N$6,3,FALSE)=0,"Spatial Data Missing ⚠",VLOOKUP(U222,'G-3 Multipliers'!$L$3:$N$6,3,FALSE)))</f>
        <v/>
      </c>
      <c r="X222" s="498" t="str">
        <f>IFERROR(IF(OR(LEFT(O222,5)="Error ▲",LEFT(N222,5)="Error ▲",T222="Error ▲"),"Check Data ⚠",IF(F222&lt;R222,INDEX('G-6 Hedgerow Data'!$S$3:$AE$14,MATCH(C222,'G-6 Hedgerow Data'!$B$3:$B$14,0),MATCH(M222,'G-6 Hedgerow Data'!$S$2:$AE$2,0)),INDEX('G-6 Hedgerow Data'!$K$3:$Q$14,MATCH(M222,'G-6 Hedgerow Data'!$B$3:$B$14,0),MATCH(O222,'G-6 Hedgerow Data'!$K$2:$Q$2,0)))),"")</f>
        <v/>
      </c>
      <c r="Y222" s="195"/>
      <c r="Z222" s="195"/>
      <c r="AA222" s="507" t="str">
        <f t="shared" si="27"/>
        <v/>
      </c>
      <c r="AB222" s="521" t="str">
        <f t="shared" si="28"/>
        <v/>
      </c>
      <c r="AC222" s="522" t="str">
        <f t="shared" si="25"/>
        <v/>
      </c>
      <c r="AD222" s="537" t="str">
        <f>IF(M222="","",VLOOKUP(M222,'G-6 Hedgerow Data'!$B$3:$AG$15,31,FALSE))</f>
        <v/>
      </c>
      <c r="AE222" s="520" t="str">
        <f t="shared" si="29"/>
        <v/>
      </c>
      <c r="AF222" s="520" t="str">
        <f t="shared" si="30"/>
        <v/>
      </c>
      <c r="AG222" s="524" t="str">
        <f>IFERROR(IF(O222="","",VLOOKUP(AD222,'G-3 Multipliers'!$P$3:$Q$6,2,FALSE)),"")</f>
        <v/>
      </c>
      <c r="AH222" s="197"/>
      <c r="AI222" s="499" t="str">
        <f>IF(AH222="","",IF(VLOOKUP(AH222,'G-3 Multipliers'!$S$3:$T$6,2,FALSE)=0,"Spatial Data Missing ⚠",VLOOKUP(AH222,'G-3 Multipliers'!$S$3:$T$6,2,FALSE)))</f>
        <v/>
      </c>
      <c r="AJ222" s="545" t="str">
        <f t="shared" si="31"/>
        <v/>
      </c>
      <c r="AK222" s="149"/>
      <c r="AL222" s="150"/>
      <c r="AP222" s="31" t="str">
        <f>IFERROR(INDEX('G-6 Hedgerow Data'!$BJ$3:$BJ$15,MATCH(M222,'G-6 Hedgerow Data'!$B$3:$B$15,0)),"")</f>
        <v/>
      </c>
    </row>
    <row r="223" spans="2:42" ht="14" x14ac:dyDescent="0.3">
      <c r="B223" s="531" t="str">
        <f>'E-1 Off Site Hedge Baseline'!AK221</f>
        <v/>
      </c>
      <c r="C223" s="520" t="str">
        <f>IF(B223="","",IF(ISNA(VLOOKUP($B223,'E-1 Off Site Hedge Baseline'!$B$1:$L$257,3,FALSE)),"",(VLOOKUP($B223,'E-1 Off Site Hedge Baseline'!$B$1:$L$257,3,FALSE))))</f>
        <v/>
      </c>
      <c r="D223" s="520" t="str">
        <f>IF(B223="","",IF(ISNA(VLOOKUP($B223,'E-1 Off Site Hedge Baseline'!$B$1:$L$258,4,FALSE)),"",(VLOOKUP($B223,'E-1 Off Site Hedge Baseline'!$B$1:$L$258,4,FALSE))))</f>
        <v/>
      </c>
      <c r="E223" s="520" t="str">
        <f>IF(B223="","",IF(ISNA(VLOOKUP($B223,'E-1 Off Site Hedge Baseline'!$B$1:$L$257,5,FALSE)),"",(VLOOKUP($B223,'E-1 Off Site Hedge Baseline'!$B$1:$L$257,5,FALSE))))</f>
        <v/>
      </c>
      <c r="F223" s="520" t="str">
        <f>IF(B223="","",IF(ISNA(VLOOKUP($B223,'E-1 Off Site Hedge Baseline'!$B$1:$L$257,6,FALSE)),"",(VLOOKUP($B223,'E-1 Off Site Hedge Baseline'!$B$1:$L$257,6,FALSE))))</f>
        <v/>
      </c>
      <c r="G223" s="520" t="str">
        <f>IF(B223="","",IF(ISNA(VLOOKUP($B223,'E-1 Off Site Hedge Baseline'!$B$1:$L$257,7,FALSE)),"",(VLOOKUP($B223,'E-1 Off Site Hedge Baseline'!$B$1:$L$257,7,FALSE))))</f>
        <v/>
      </c>
      <c r="H223" s="520" t="str">
        <f>IF(B223="","",IF(ISNA(VLOOKUP($B223,'E-1 Off Site Hedge Baseline'!$B$1:$L$257,8,FALSE)),"",(VLOOKUP($B223,'E-1 Off Site Hedge Baseline'!$B$1:$L$257,8,FALSE))))</f>
        <v/>
      </c>
      <c r="I223" s="520" t="str">
        <f>IF(B223="","",IF(ISNA(VLOOKUP($B223,'E-1 Off Site Hedge Baseline'!$B$1:$L$257,10,FALSE)),"",(VLOOKUP($B223,'E-1 Off Site Hedge Baseline'!$B$1:$L$257,10,FALSE))))</f>
        <v/>
      </c>
      <c r="J223" s="520" t="str">
        <f>IF(B223="","",IF(ISNA(VLOOKUP($B223,'E-1 Off Site Hedge Baseline'!$B$1:$L$257,11,FALSE)),"",(VLOOKUP($B223,'E-1 Off Site Hedge Baseline'!$B$1:$L$257,11,FALSE))))</f>
        <v/>
      </c>
      <c r="K223" s="520" t="str">
        <f>IF(B223="","",IF(ISNA(VLOOKUP($B223,'E-1 Off Site Hedge Baseline'!$B$1:$U$257,113,FALSE)),"",(VLOOKUP($B223,'E-1 Off Site Hedge Baseline'!$B$1:$U$257,13,FALSE))))</f>
        <v/>
      </c>
      <c r="L223" s="507" t="str">
        <f>IF(B223="","",IF(ISNA(VLOOKUP($B223,'E-1 Off Site Hedge Baseline'!$B$1:$U$257,12,FALSE)),"",(VLOOKUP($B223,'E-1 Off Site Hedge Baseline'!$B$1:$U$257,12,FALSE))))</f>
        <v/>
      </c>
      <c r="M223" s="418" t="str">
        <f t="shared" si="32"/>
        <v/>
      </c>
      <c r="N223" s="498" t="str">
        <f>IFERROR(IF(B223="","",INDEX('G-6 Hedgerow Data'!$AN$3:$AZ$15,MATCH(C223,'G-6 Hedgerow Data'!$AM$3:$AM$15,0),MATCH(M223,'G-6 Hedgerow Data'!$AN$2:$AZ$2,0))),"")</f>
        <v/>
      </c>
      <c r="O223" s="499" t="str">
        <f t="shared" si="26"/>
        <v/>
      </c>
      <c r="P223" s="505" t="str">
        <f>IF(B223="","",VLOOKUP(B223,'E-1 Off Site Hedge Baseline'!$B$10:T468,16,FALSE))</f>
        <v/>
      </c>
      <c r="Q223" s="498" t="str">
        <f>IF(M223="","",VLOOKUP(M223,'G-6 Hedgerow Data'!$B$2:$AG$15,2,FALSE))</f>
        <v/>
      </c>
      <c r="R223" s="499" t="str">
        <f>IF(M223="","",VLOOKUP(M223,'G-6 Hedgerow Data'!$B$2:$AG$15,3,FALSE))</f>
        <v/>
      </c>
      <c r="S223" s="145"/>
      <c r="T223" s="499" t="str">
        <f>IFERROR(IF(AND(Q223="V.Low",OR(S223="Good",S223="Moderate")),"Error ▲",VLOOKUP(S223,'G-1 All Habitats'!$Z$2:$AA$9,2,FALSE)),"")</f>
        <v/>
      </c>
      <c r="U223" s="145"/>
      <c r="V223" s="507" t="str">
        <f>IF(U223="","",IF(VLOOKUP(U223,'G-3 Multipliers'!$L$3:$N$6,2,FALSE)=0,"Spatial Data Missing ⚠",VLOOKUP(U223,'G-3 Multipliers'!$L$3:$N$6,2,FALSE)))</f>
        <v/>
      </c>
      <c r="W223" s="505" t="str">
        <f>IF(U223="","",IF(VLOOKUP(U223,'G-3 Multipliers'!$L$3:$N$6,3,FALSE)=0,"Spatial Data Missing ⚠",VLOOKUP(U223,'G-3 Multipliers'!$L$3:$N$6,3,FALSE)))</f>
        <v/>
      </c>
      <c r="X223" s="498" t="str">
        <f>IFERROR(IF(OR(LEFT(O223,5)="Error ▲",LEFT(N223,5)="Error ▲",T223="Error ▲"),"Check Data ⚠",IF(F223&lt;R223,INDEX('G-6 Hedgerow Data'!$S$3:$AE$14,MATCH(C223,'G-6 Hedgerow Data'!$B$3:$B$14,0),MATCH(M223,'G-6 Hedgerow Data'!$S$2:$AE$2,0)),INDEX('G-6 Hedgerow Data'!$K$3:$Q$14,MATCH(M223,'G-6 Hedgerow Data'!$B$3:$B$14,0),MATCH(O223,'G-6 Hedgerow Data'!$K$2:$Q$2,0)))),"")</f>
        <v/>
      </c>
      <c r="Y223" s="195"/>
      <c r="Z223" s="195"/>
      <c r="AA223" s="507" t="str">
        <f t="shared" si="27"/>
        <v/>
      </c>
      <c r="AB223" s="521" t="str">
        <f t="shared" si="28"/>
        <v/>
      </c>
      <c r="AC223" s="522" t="str">
        <f t="shared" si="25"/>
        <v/>
      </c>
      <c r="AD223" s="537" t="str">
        <f>IF(M223="","",VLOOKUP(M223,'G-6 Hedgerow Data'!$B$3:$AG$15,31,FALSE))</f>
        <v/>
      </c>
      <c r="AE223" s="520" t="str">
        <f t="shared" si="29"/>
        <v/>
      </c>
      <c r="AF223" s="520" t="str">
        <f t="shared" si="30"/>
        <v/>
      </c>
      <c r="AG223" s="524" t="str">
        <f>IFERROR(IF(O223="","",VLOOKUP(AD223,'G-3 Multipliers'!$P$3:$Q$6,2,FALSE)),"")</f>
        <v/>
      </c>
      <c r="AH223" s="197"/>
      <c r="AI223" s="499" t="str">
        <f>IF(AH223="","",IF(VLOOKUP(AH223,'G-3 Multipliers'!$S$3:$T$6,2,FALSE)=0,"Spatial Data Missing ⚠",VLOOKUP(AH223,'G-3 Multipliers'!$S$3:$T$6,2,FALSE)))</f>
        <v/>
      </c>
      <c r="AJ223" s="545" t="str">
        <f t="shared" si="31"/>
        <v/>
      </c>
      <c r="AK223" s="149"/>
      <c r="AL223" s="150"/>
      <c r="AP223" s="31" t="str">
        <f>IFERROR(INDEX('G-6 Hedgerow Data'!$BJ$3:$BJ$15,MATCH(M223,'G-6 Hedgerow Data'!$B$3:$B$15,0)),"")</f>
        <v/>
      </c>
    </row>
    <row r="224" spans="2:42" ht="14" x14ac:dyDescent="0.3">
      <c r="B224" s="531" t="str">
        <f>'E-1 Off Site Hedge Baseline'!AK222</f>
        <v/>
      </c>
      <c r="C224" s="520" t="str">
        <f>IF(B224="","",IF(ISNA(VLOOKUP($B224,'E-1 Off Site Hedge Baseline'!$B$1:$L$257,3,FALSE)),"",(VLOOKUP($B224,'E-1 Off Site Hedge Baseline'!$B$1:$L$257,3,FALSE))))</f>
        <v/>
      </c>
      <c r="D224" s="520" t="str">
        <f>IF(B224="","",IF(ISNA(VLOOKUP($B224,'E-1 Off Site Hedge Baseline'!$B$1:$L$258,4,FALSE)),"",(VLOOKUP($B224,'E-1 Off Site Hedge Baseline'!$B$1:$L$258,4,FALSE))))</f>
        <v/>
      </c>
      <c r="E224" s="520" t="str">
        <f>IF(B224="","",IF(ISNA(VLOOKUP($B224,'E-1 Off Site Hedge Baseline'!$B$1:$L$257,5,FALSE)),"",(VLOOKUP($B224,'E-1 Off Site Hedge Baseline'!$B$1:$L$257,5,FALSE))))</f>
        <v/>
      </c>
      <c r="F224" s="520" t="str">
        <f>IF(B224="","",IF(ISNA(VLOOKUP($B224,'E-1 Off Site Hedge Baseline'!$B$1:$L$257,6,FALSE)),"",(VLOOKUP($B224,'E-1 Off Site Hedge Baseline'!$B$1:$L$257,6,FALSE))))</f>
        <v/>
      </c>
      <c r="G224" s="520" t="str">
        <f>IF(B224="","",IF(ISNA(VLOOKUP($B224,'E-1 Off Site Hedge Baseline'!$B$1:$L$257,7,FALSE)),"",(VLOOKUP($B224,'E-1 Off Site Hedge Baseline'!$B$1:$L$257,7,FALSE))))</f>
        <v/>
      </c>
      <c r="H224" s="520" t="str">
        <f>IF(B224="","",IF(ISNA(VLOOKUP($B224,'E-1 Off Site Hedge Baseline'!$B$1:$L$257,8,FALSE)),"",(VLOOKUP($B224,'E-1 Off Site Hedge Baseline'!$B$1:$L$257,8,FALSE))))</f>
        <v/>
      </c>
      <c r="I224" s="520" t="str">
        <f>IF(B224="","",IF(ISNA(VLOOKUP($B224,'E-1 Off Site Hedge Baseline'!$B$1:$L$257,10,FALSE)),"",(VLOOKUP($B224,'E-1 Off Site Hedge Baseline'!$B$1:$L$257,10,FALSE))))</f>
        <v/>
      </c>
      <c r="J224" s="520" t="str">
        <f>IF(B224="","",IF(ISNA(VLOOKUP($B224,'E-1 Off Site Hedge Baseline'!$B$1:$L$257,11,FALSE)),"",(VLOOKUP($B224,'E-1 Off Site Hedge Baseline'!$B$1:$L$257,11,FALSE))))</f>
        <v/>
      </c>
      <c r="K224" s="520" t="str">
        <f>IF(B224="","",IF(ISNA(VLOOKUP($B224,'E-1 Off Site Hedge Baseline'!$B$1:$U$257,113,FALSE)),"",(VLOOKUP($B224,'E-1 Off Site Hedge Baseline'!$B$1:$U$257,13,FALSE))))</f>
        <v/>
      </c>
      <c r="L224" s="507" t="str">
        <f>IF(B224="","",IF(ISNA(VLOOKUP($B224,'E-1 Off Site Hedge Baseline'!$B$1:$U$257,12,FALSE)),"",(VLOOKUP($B224,'E-1 Off Site Hedge Baseline'!$B$1:$U$257,12,FALSE))))</f>
        <v/>
      </c>
      <c r="M224" s="418" t="str">
        <f t="shared" si="32"/>
        <v/>
      </c>
      <c r="N224" s="498" t="str">
        <f>IFERROR(IF(B224="","",INDEX('G-6 Hedgerow Data'!$AN$3:$AZ$15,MATCH(C224,'G-6 Hedgerow Data'!$AM$3:$AM$15,0),MATCH(M224,'G-6 Hedgerow Data'!$AN$2:$AZ$2,0))),"")</f>
        <v/>
      </c>
      <c r="O224" s="499" t="str">
        <f t="shared" si="26"/>
        <v/>
      </c>
      <c r="P224" s="505" t="str">
        <f>IF(B224="","",VLOOKUP(B224,'E-1 Off Site Hedge Baseline'!$B$10:T469,16,FALSE))</f>
        <v/>
      </c>
      <c r="Q224" s="498" t="str">
        <f>IF(M224="","",VLOOKUP(M224,'G-6 Hedgerow Data'!$B$2:$AG$15,2,FALSE))</f>
        <v/>
      </c>
      <c r="R224" s="499" t="str">
        <f>IF(M224="","",VLOOKUP(M224,'G-6 Hedgerow Data'!$B$2:$AG$15,3,FALSE))</f>
        <v/>
      </c>
      <c r="S224" s="145"/>
      <c r="T224" s="499" t="str">
        <f>IFERROR(IF(AND(Q224="V.Low",OR(S224="Good",S224="Moderate")),"Error ▲",VLOOKUP(S224,'G-1 All Habitats'!$Z$2:$AA$9,2,FALSE)),"")</f>
        <v/>
      </c>
      <c r="U224" s="145"/>
      <c r="V224" s="507" t="str">
        <f>IF(U224="","",IF(VLOOKUP(U224,'G-3 Multipliers'!$L$3:$N$6,2,FALSE)=0,"Spatial Data Missing ⚠",VLOOKUP(U224,'G-3 Multipliers'!$L$3:$N$6,2,FALSE)))</f>
        <v/>
      </c>
      <c r="W224" s="505" t="str">
        <f>IF(U224="","",IF(VLOOKUP(U224,'G-3 Multipliers'!$L$3:$N$6,3,FALSE)=0,"Spatial Data Missing ⚠",VLOOKUP(U224,'G-3 Multipliers'!$L$3:$N$6,3,FALSE)))</f>
        <v/>
      </c>
      <c r="X224" s="498" t="str">
        <f>IFERROR(IF(OR(LEFT(O224,5)="Error ▲",LEFT(N224,5)="Error ▲",T224="Error ▲"),"Check Data ⚠",IF(F224&lt;R224,INDEX('G-6 Hedgerow Data'!$S$3:$AE$14,MATCH(C224,'G-6 Hedgerow Data'!$B$3:$B$14,0),MATCH(M224,'G-6 Hedgerow Data'!$S$2:$AE$2,0)),INDEX('G-6 Hedgerow Data'!$K$3:$Q$14,MATCH(M224,'G-6 Hedgerow Data'!$B$3:$B$14,0),MATCH(O224,'G-6 Hedgerow Data'!$K$2:$Q$2,0)))),"")</f>
        <v/>
      </c>
      <c r="Y224" s="195"/>
      <c r="Z224" s="195"/>
      <c r="AA224" s="507" t="str">
        <f t="shared" si="27"/>
        <v/>
      </c>
      <c r="AB224" s="521" t="str">
        <f t="shared" si="28"/>
        <v/>
      </c>
      <c r="AC224" s="522" t="str">
        <f t="shared" si="25"/>
        <v/>
      </c>
      <c r="AD224" s="537" t="str">
        <f>IF(M224="","",VLOOKUP(M224,'G-6 Hedgerow Data'!$B$3:$AG$15,31,FALSE))</f>
        <v/>
      </c>
      <c r="AE224" s="520" t="str">
        <f t="shared" si="29"/>
        <v/>
      </c>
      <c r="AF224" s="520" t="str">
        <f t="shared" si="30"/>
        <v/>
      </c>
      <c r="AG224" s="524" t="str">
        <f>IFERROR(IF(O224="","",VLOOKUP(AD224,'G-3 Multipliers'!$P$3:$Q$6,2,FALSE)),"")</f>
        <v/>
      </c>
      <c r="AH224" s="197"/>
      <c r="AI224" s="499" t="str">
        <f>IF(AH224="","",IF(VLOOKUP(AH224,'G-3 Multipliers'!$S$3:$T$6,2,FALSE)=0,"Spatial Data Missing ⚠",VLOOKUP(AH224,'G-3 Multipliers'!$S$3:$T$6,2,FALSE)))</f>
        <v/>
      </c>
      <c r="AJ224" s="545" t="str">
        <f t="shared" si="31"/>
        <v/>
      </c>
      <c r="AK224" s="149"/>
      <c r="AL224" s="150"/>
      <c r="AP224" s="31" t="str">
        <f>IFERROR(INDEX('G-6 Hedgerow Data'!$BJ$3:$BJ$15,MATCH(M224,'G-6 Hedgerow Data'!$B$3:$B$15,0)),"")</f>
        <v/>
      </c>
    </row>
    <row r="225" spans="2:42" ht="14" x14ac:dyDescent="0.3">
      <c r="B225" s="531" t="str">
        <f>'E-1 Off Site Hedge Baseline'!AK223</f>
        <v/>
      </c>
      <c r="C225" s="520" t="str">
        <f>IF(B225="","",IF(ISNA(VLOOKUP($B225,'E-1 Off Site Hedge Baseline'!$B$1:$L$257,3,FALSE)),"",(VLOOKUP($B225,'E-1 Off Site Hedge Baseline'!$B$1:$L$257,3,FALSE))))</f>
        <v/>
      </c>
      <c r="D225" s="520" t="str">
        <f>IF(B225="","",IF(ISNA(VLOOKUP($B225,'E-1 Off Site Hedge Baseline'!$B$1:$L$258,4,FALSE)),"",(VLOOKUP($B225,'E-1 Off Site Hedge Baseline'!$B$1:$L$258,4,FALSE))))</f>
        <v/>
      </c>
      <c r="E225" s="520" t="str">
        <f>IF(B225="","",IF(ISNA(VLOOKUP($B225,'E-1 Off Site Hedge Baseline'!$B$1:$L$257,5,FALSE)),"",(VLOOKUP($B225,'E-1 Off Site Hedge Baseline'!$B$1:$L$257,5,FALSE))))</f>
        <v/>
      </c>
      <c r="F225" s="520" t="str">
        <f>IF(B225="","",IF(ISNA(VLOOKUP($B225,'E-1 Off Site Hedge Baseline'!$B$1:$L$257,6,FALSE)),"",(VLOOKUP($B225,'E-1 Off Site Hedge Baseline'!$B$1:$L$257,6,FALSE))))</f>
        <v/>
      </c>
      <c r="G225" s="520" t="str">
        <f>IF(B225="","",IF(ISNA(VLOOKUP($B225,'E-1 Off Site Hedge Baseline'!$B$1:$L$257,7,FALSE)),"",(VLOOKUP($B225,'E-1 Off Site Hedge Baseline'!$B$1:$L$257,7,FALSE))))</f>
        <v/>
      </c>
      <c r="H225" s="520" t="str">
        <f>IF(B225="","",IF(ISNA(VLOOKUP($B225,'E-1 Off Site Hedge Baseline'!$B$1:$L$257,8,FALSE)),"",(VLOOKUP($B225,'E-1 Off Site Hedge Baseline'!$B$1:$L$257,8,FALSE))))</f>
        <v/>
      </c>
      <c r="I225" s="520" t="str">
        <f>IF(B225="","",IF(ISNA(VLOOKUP($B225,'E-1 Off Site Hedge Baseline'!$B$1:$L$257,10,FALSE)),"",(VLOOKUP($B225,'E-1 Off Site Hedge Baseline'!$B$1:$L$257,10,FALSE))))</f>
        <v/>
      </c>
      <c r="J225" s="520" t="str">
        <f>IF(B225="","",IF(ISNA(VLOOKUP($B225,'E-1 Off Site Hedge Baseline'!$B$1:$L$257,11,FALSE)),"",(VLOOKUP($B225,'E-1 Off Site Hedge Baseline'!$B$1:$L$257,11,FALSE))))</f>
        <v/>
      </c>
      <c r="K225" s="520" t="str">
        <f>IF(B225="","",IF(ISNA(VLOOKUP($B225,'E-1 Off Site Hedge Baseline'!$B$1:$U$257,113,FALSE)),"",(VLOOKUP($B225,'E-1 Off Site Hedge Baseline'!$B$1:$U$257,13,FALSE))))</f>
        <v/>
      </c>
      <c r="L225" s="507" t="str">
        <f>IF(B225="","",IF(ISNA(VLOOKUP($B225,'E-1 Off Site Hedge Baseline'!$B$1:$U$257,12,FALSE)),"",(VLOOKUP($B225,'E-1 Off Site Hedge Baseline'!$B$1:$U$257,12,FALSE))))</f>
        <v/>
      </c>
      <c r="M225" s="418" t="str">
        <f t="shared" si="32"/>
        <v/>
      </c>
      <c r="N225" s="498" t="str">
        <f>IFERROR(IF(B225="","",INDEX('G-6 Hedgerow Data'!$AN$3:$AZ$15,MATCH(C225,'G-6 Hedgerow Data'!$AM$3:$AM$15,0),MATCH(M225,'G-6 Hedgerow Data'!$AN$2:$AZ$2,0))),"")</f>
        <v/>
      </c>
      <c r="O225" s="499" t="str">
        <f t="shared" si="26"/>
        <v/>
      </c>
      <c r="P225" s="505" t="str">
        <f>IF(B225="","",VLOOKUP(B225,'E-1 Off Site Hedge Baseline'!$B$10:T470,16,FALSE))</f>
        <v/>
      </c>
      <c r="Q225" s="498" t="str">
        <f>IF(M225="","",VLOOKUP(M225,'G-6 Hedgerow Data'!$B$2:$AG$15,2,FALSE))</f>
        <v/>
      </c>
      <c r="R225" s="499" t="str">
        <f>IF(M225="","",VLOOKUP(M225,'G-6 Hedgerow Data'!$B$2:$AG$15,3,FALSE))</f>
        <v/>
      </c>
      <c r="S225" s="145"/>
      <c r="T225" s="499" t="str">
        <f>IFERROR(IF(AND(Q225="V.Low",OR(S225="Good",S225="Moderate")),"Error ▲",VLOOKUP(S225,'G-1 All Habitats'!$Z$2:$AA$9,2,FALSE)),"")</f>
        <v/>
      </c>
      <c r="U225" s="145"/>
      <c r="V225" s="507" t="str">
        <f>IF(U225="","",IF(VLOOKUP(U225,'G-3 Multipliers'!$L$3:$N$6,2,FALSE)=0,"Spatial Data Missing ⚠",VLOOKUP(U225,'G-3 Multipliers'!$L$3:$N$6,2,FALSE)))</f>
        <v/>
      </c>
      <c r="W225" s="505" t="str">
        <f>IF(U225="","",IF(VLOOKUP(U225,'G-3 Multipliers'!$L$3:$N$6,3,FALSE)=0,"Spatial Data Missing ⚠",VLOOKUP(U225,'G-3 Multipliers'!$L$3:$N$6,3,FALSE)))</f>
        <v/>
      </c>
      <c r="X225" s="498" t="str">
        <f>IFERROR(IF(OR(LEFT(O225,5)="Error ▲",LEFT(N225,5)="Error ▲",T225="Error ▲"),"Check Data ⚠",IF(F225&lt;R225,INDEX('G-6 Hedgerow Data'!$S$3:$AE$14,MATCH(C225,'G-6 Hedgerow Data'!$B$3:$B$14,0),MATCH(M225,'G-6 Hedgerow Data'!$S$2:$AE$2,0)),INDEX('G-6 Hedgerow Data'!$K$3:$Q$14,MATCH(M225,'G-6 Hedgerow Data'!$B$3:$B$14,0),MATCH(O225,'G-6 Hedgerow Data'!$K$2:$Q$2,0)))),"")</f>
        <v/>
      </c>
      <c r="Y225" s="195"/>
      <c r="Z225" s="195"/>
      <c r="AA225" s="507" t="str">
        <f t="shared" si="27"/>
        <v/>
      </c>
      <c r="AB225" s="521" t="str">
        <f t="shared" si="28"/>
        <v/>
      </c>
      <c r="AC225" s="522" t="str">
        <f t="shared" si="25"/>
        <v/>
      </c>
      <c r="AD225" s="537" t="str">
        <f>IF(M225="","",VLOOKUP(M225,'G-6 Hedgerow Data'!$B$3:$AG$15,31,FALSE))</f>
        <v/>
      </c>
      <c r="AE225" s="520" t="str">
        <f t="shared" si="29"/>
        <v/>
      </c>
      <c r="AF225" s="520" t="str">
        <f t="shared" si="30"/>
        <v/>
      </c>
      <c r="AG225" s="524" t="str">
        <f>IFERROR(IF(O225="","",VLOOKUP(AD225,'G-3 Multipliers'!$P$3:$Q$6,2,FALSE)),"")</f>
        <v/>
      </c>
      <c r="AH225" s="197"/>
      <c r="AI225" s="499" t="str">
        <f>IF(AH225="","",IF(VLOOKUP(AH225,'G-3 Multipliers'!$S$3:$T$6,2,FALSE)=0,"Spatial Data Missing ⚠",VLOOKUP(AH225,'G-3 Multipliers'!$S$3:$T$6,2,FALSE)))</f>
        <v/>
      </c>
      <c r="AJ225" s="545" t="str">
        <f t="shared" si="31"/>
        <v/>
      </c>
      <c r="AK225" s="149"/>
      <c r="AL225" s="150"/>
      <c r="AP225" s="31" t="str">
        <f>IFERROR(INDEX('G-6 Hedgerow Data'!$BJ$3:$BJ$15,MATCH(M225,'G-6 Hedgerow Data'!$B$3:$B$15,0)),"")</f>
        <v/>
      </c>
    </row>
    <row r="226" spans="2:42" ht="14" x14ac:dyDescent="0.3">
      <c r="B226" s="531" t="str">
        <f>'E-1 Off Site Hedge Baseline'!AK224</f>
        <v/>
      </c>
      <c r="C226" s="520" t="str">
        <f>IF(B226="","",IF(ISNA(VLOOKUP($B226,'E-1 Off Site Hedge Baseline'!$B$1:$L$257,3,FALSE)),"",(VLOOKUP($B226,'E-1 Off Site Hedge Baseline'!$B$1:$L$257,3,FALSE))))</f>
        <v/>
      </c>
      <c r="D226" s="520" t="str">
        <f>IF(B226="","",IF(ISNA(VLOOKUP($B226,'E-1 Off Site Hedge Baseline'!$B$1:$L$258,4,FALSE)),"",(VLOOKUP($B226,'E-1 Off Site Hedge Baseline'!$B$1:$L$258,4,FALSE))))</f>
        <v/>
      </c>
      <c r="E226" s="520" t="str">
        <f>IF(B226="","",IF(ISNA(VLOOKUP($B226,'E-1 Off Site Hedge Baseline'!$B$1:$L$257,5,FALSE)),"",(VLOOKUP($B226,'E-1 Off Site Hedge Baseline'!$B$1:$L$257,5,FALSE))))</f>
        <v/>
      </c>
      <c r="F226" s="520" t="str">
        <f>IF(B226="","",IF(ISNA(VLOOKUP($B226,'E-1 Off Site Hedge Baseline'!$B$1:$L$257,6,FALSE)),"",(VLOOKUP($B226,'E-1 Off Site Hedge Baseline'!$B$1:$L$257,6,FALSE))))</f>
        <v/>
      </c>
      <c r="G226" s="520" t="str">
        <f>IF(B226="","",IF(ISNA(VLOOKUP($B226,'E-1 Off Site Hedge Baseline'!$B$1:$L$257,7,FALSE)),"",(VLOOKUP($B226,'E-1 Off Site Hedge Baseline'!$B$1:$L$257,7,FALSE))))</f>
        <v/>
      </c>
      <c r="H226" s="520" t="str">
        <f>IF(B226="","",IF(ISNA(VLOOKUP($B226,'E-1 Off Site Hedge Baseline'!$B$1:$L$257,8,FALSE)),"",(VLOOKUP($B226,'E-1 Off Site Hedge Baseline'!$B$1:$L$257,8,FALSE))))</f>
        <v/>
      </c>
      <c r="I226" s="520" t="str">
        <f>IF(B226="","",IF(ISNA(VLOOKUP($B226,'E-1 Off Site Hedge Baseline'!$B$1:$L$257,10,FALSE)),"",(VLOOKUP($B226,'E-1 Off Site Hedge Baseline'!$B$1:$L$257,10,FALSE))))</f>
        <v/>
      </c>
      <c r="J226" s="520" t="str">
        <f>IF(B226="","",IF(ISNA(VLOOKUP($B226,'E-1 Off Site Hedge Baseline'!$B$1:$L$257,11,FALSE)),"",(VLOOKUP($B226,'E-1 Off Site Hedge Baseline'!$B$1:$L$257,11,FALSE))))</f>
        <v/>
      </c>
      <c r="K226" s="520" t="str">
        <f>IF(B226="","",IF(ISNA(VLOOKUP($B226,'E-1 Off Site Hedge Baseline'!$B$1:$U$257,113,FALSE)),"",(VLOOKUP($B226,'E-1 Off Site Hedge Baseline'!$B$1:$U$257,13,FALSE))))</f>
        <v/>
      </c>
      <c r="L226" s="507" t="str">
        <f>IF(B226="","",IF(ISNA(VLOOKUP($B226,'E-1 Off Site Hedge Baseline'!$B$1:$U$257,12,FALSE)),"",(VLOOKUP($B226,'E-1 Off Site Hedge Baseline'!$B$1:$U$257,12,FALSE))))</f>
        <v/>
      </c>
      <c r="M226" s="418" t="str">
        <f t="shared" si="32"/>
        <v/>
      </c>
      <c r="N226" s="498" t="str">
        <f>IFERROR(IF(B226="","",INDEX('G-6 Hedgerow Data'!$AN$3:$AZ$15,MATCH(C226,'G-6 Hedgerow Data'!$AM$3:$AM$15,0),MATCH(M226,'G-6 Hedgerow Data'!$AN$2:$AZ$2,0))),"")</f>
        <v/>
      </c>
      <c r="O226" s="499" t="str">
        <f t="shared" si="26"/>
        <v/>
      </c>
      <c r="P226" s="505" t="str">
        <f>IF(B226="","",VLOOKUP(B226,'E-1 Off Site Hedge Baseline'!$B$10:T471,16,FALSE))</f>
        <v/>
      </c>
      <c r="Q226" s="498" t="str">
        <f>IF(M226="","",VLOOKUP(M226,'G-6 Hedgerow Data'!$B$2:$AG$15,2,FALSE))</f>
        <v/>
      </c>
      <c r="R226" s="499" t="str">
        <f>IF(M226="","",VLOOKUP(M226,'G-6 Hedgerow Data'!$B$2:$AG$15,3,FALSE))</f>
        <v/>
      </c>
      <c r="S226" s="145"/>
      <c r="T226" s="499" t="str">
        <f>IFERROR(IF(AND(Q226="V.Low",OR(S226="Good",S226="Moderate")),"Error ▲",VLOOKUP(S226,'G-1 All Habitats'!$Z$2:$AA$9,2,FALSE)),"")</f>
        <v/>
      </c>
      <c r="U226" s="145"/>
      <c r="V226" s="507" t="str">
        <f>IF(U226="","",IF(VLOOKUP(U226,'G-3 Multipliers'!$L$3:$N$6,2,FALSE)=0,"Spatial Data Missing ⚠",VLOOKUP(U226,'G-3 Multipliers'!$L$3:$N$6,2,FALSE)))</f>
        <v/>
      </c>
      <c r="W226" s="505" t="str">
        <f>IF(U226="","",IF(VLOOKUP(U226,'G-3 Multipliers'!$L$3:$N$6,3,FALSE)=0,"Spatial Data Missing ⚠",VLOOKUP(U226,'G-3 Multipliers'!$L$3:$N$6,3,FALSE)))</f>
        <v/>
      </c>
      <c r="X226" s="498" t="str">
        <f>IFERROR(IF(OR(LEFT(O226,5)="Error ▲",LEFT(N226,5)="Error ▲",T226="Error ▲"),"Check Data ⚠",IF(F226&lt;R226,INDEX('G-6 Hedgerow Data'!$S$3:$AE$14,MATCH(C226,'G-6 Hedgerow Data'!$B$3:$B$14,0),MATCH(M226,'G-6 Hedgerow Data'!$S$2:$AE$2,0)),INDEX('G-6 Hedgerow Data'!$K$3:$Q$14,MATCH(M226,'G-6 Hedgerow Data'!$B$3:$B$14,0),MATCH(O226,'G-6 Hedgerow Data'!$K$2:$Q$2,0)))),"")</f>
        <v/>
      </c>
      <c r="Y226" s="195"/>
      <c r="Z226" s="195"/>
      <c r="AA226" s="507" t="str">
        <f t="shared" si="27"/>
        <v/>
      </c>
      <c r="AB226" s="521" t="str">
        <f t="shared" si="28"/>
        <v/>
      </c>
      <c r="AC226" s="522" t="str">
        <f t="shared" si="25"/>
        <v/>
      </c>
      <c r="AD226" s="537" t="str">
        <f>IF(M226="","",VLOOKUP(M226,'G-6 Hedgerow Data'!$B$3:$AG$15,31,FALSE))</f>
        <v/>
      </c>
      <c r="AE226" s="520" t="str">
        <f t="shared" si="29"/>
        <v/>
      </c>
      <c r="AF226" s="520" t="str">
        <f t="shared" si="30"/>
        <v/>
      </c>
      <c r="AG226" s="524" t="str">
        <f>IFERROR(IF(O226="","",VLOOKUP(AD226,'G-3 Multipliers'!$P$3:$Q$6,2,FALSE)),"")</f>
        <v/>
      </c>
      <c r="AH226" s="197"/>
      <c r="AI226" s="499" t="str">
        <f>IF(AH226="","",IF(VLOOKUP(AH226,'G-3 Multipliers'!$S$3:$T$6,2,FALSE)=0,"Spatial Data Missing ⚠",VLOOKUP(AH226,'G-3 Multipliers'!$S$3:$T$6,2,FALSE)))</f>
        <v/>
      </c>
      <c r="AJ226" s="545" t="str">
        <f t="shared" si="31"/>
        <v/>
      </c>
      <c r="AK226" s="149"/>
      <c r="AL226" s="150"/>
      <c r="AP226" s="31" t="str">
        <f>IFERROR(INDEX('G-6 Hedgerow Data'!$BJ$3:$BJ$15,MATCH(M226,'G-6 Hedgerow Data'!$B$3:$B$15,0)),"")</f>
        <v/>
      </c>
    </row>
    <row r="227" spans="2:42" ht="14" x14ac:dyDescent="0.3">
      <c r="B227" s="531" t="str">
        <f>'E-1 Off Site Hedge Baseline'!AK225</f>
        <v/>
      </c>
      <c r="C227" s="520" t="str">
        <f>IF(B227="","",IF(ISNA(VLOOKUP($B227,'E-1 Off Site Hedge Baseline'!$B$1:$L$257,3,FALSE)),"",(VLOOKUP($B227,'E-1 Off Site Hedge Baseline'!$B$1:$L$257,3,FALSE))))</f>
        <v/>
      </c>
      <c r="D227" s="520" t="str">
        <f>IF(B227="","",IF(ISNA(VLOOKUP($B227,'E-1 Off Site Hedge Baseline'!$B$1:$L$258,4,FALSE)),"",(VLOOKUP($B227,'E-1 Off Site Hedge Baseline'!$B$1:$L$258,4,FALSE))))</f>
        <v/>
      </c>
      <c r="E227" s="520" t="str">
        <f>IF(B227="","",IF(ISNA(VLOOKUP($B227,'E-1 Off Site Hedge Baseline'!$B$1:$L$257,5,FALSE)),"",(VLOOKUP($B227,'E-1 Off Site Hedge Baseline'!$B$1:$L$257,5,FALSE))))</f>
        <v/>
      </c>
      <c r="F227" s="520" t="str">
        <f>IF(B227="","",IF(ISNA(VLOOKUP($B227,'E-1 Off Site Hedge Baseline'!$B$1:$L$257,6,FALSE)),"",(VLOOKUP($B227,'E-1 Off Site Hedge Baseline'!$B$1:$L$257,6,FALSE))))</f>
        <v/>
      </c>
      <c r="G227" s="520" t="str">
        <f>IF(B227="","",IF(ISNA(VLOOKUP($B227,'E-1 Off Site Hedge Baseline'!$B$1:$L$257,7,FALSE)),"",(VLOOKUP($B227,'E-1 Off Site Hedge Baseline'!$B$1:$L$257,7,FALSE))))</f>
        <v/>
      </c>
      <c r="H227" s="520" t="str">
        <f>IF(B227="","",IF(ISNA(VLOOKUP($B227,'E-1 Off Site Hedge Baseline'!$B$1:$L$257,8,FALSE)),"",(VLOOKUP($B227,'E-1 Off Site Hedge Baseline'!$B$1:$L$257,8,FALSE))))</f>
        <v/>
      </c>
      <c r="I227" s="520" t="str">
        <f>IF(B227="","",IF(ISNA(VLOOKUP($B227,'E-1 Off Site Hedge Baseline'!$B$1:$L$257,10,FALSE)),"",(VLOOKUP($B227,'E-1 Off Site Hedge Baseline'!$B$1:$L$257,10,FALSE))))</f>
        <v/>
      </c>
      <c r="J227" s="520" t="str">
        <f>IF(B227="","",IF(ISNA(VLOOKUP($B227,'E-1 Off Site Hedge Baseline'!$B$1:$L$257,11,FALSE)),"",(VLOOKUP($B227,'E-1 Off Site Hedge Baseline'!$B$1:$L$257,11,FALSE))))</f>
        <v/>
      </c>
      <c r="K227" s="520" t="str">
        <f>IF(B227="","",IF(ISNA(VLOOKUP($B227,'E-1 Off Site Hedge Baseline'!$B$1:$U$257,113,FALSE)),"",(VLOOKUP($B227,'E-1 Off Site Hedge Baseline'!$B$1:$U$257,13,FALSE))))</f>
        <v/>
      </c>
      <c r="L227" s="507" t="str">
        <f>IF(B227="","",IF(ISNA(VLOOKUP($B227,'E-1 Off Site Hedge Baseline'!$B$1:$U$257,12,FALSE)),"",(VLOOKUP($B227,'E-1 Off Site Hedge Baseline'!$B$1:$U$257,12,FALSE))))</f>
        <v/>
      </c>
      <c r="M227" s="418" t="str">
        <f t="shared" si="32"/>
        <v/>
      </c>
      <c r="N227" s="498" t="str">
        <f>IFERROR(IF(B227="","",INDEX('G-6 Hedgerow Data'!$AN$3:$AZ$15,MATCH(C227,'G-6 Hedgerow Data'!$AM$3:$AM$15,0),MATCH(M227,'G-6 Hedgerow Data'!$AN$2:$AZ$2,0))),"")</f>
        <v/>
      </c>
      <c r="O227" s="499" t="str">
        <f t="shared" si="26"/>
        <v/>
      </c>
      <c r="P227" s="505" t="str">
        <f>IF(B227="","",VLOOKUP(B227,'E-1 Off Site Hedge Baseline'!$B$10:T472,16,FALSE))</f>
        <v/>
      </c>
      <c r="Q227" s="498" t="str">
        <f>IF(M227="","",VLOOKUP(M227,'G-6 Hedgerow Data'!$B$2:$AG$15,2,FALSE))</f>
        <v/>
      </c>
      <c r="R227" s="499" t="str">
        <f>IF(M227="","",VLOOKUP(M227,'G-6 Hedgerow Data'!$B$2:$AG$15,3,FALSE))</f>
        <v/>
      </c>
      <c r="S227" s="145"/>
      <c r="T227" s="499" t="str">
        <f>IFERROR(IF(AND(Q227="V.Low",OR(S227="Good",S227="Moderate")),"Error ▲",VLOOKUP(S227,'G-1 All Habitats'!$Z$2:$AA$9,2,FALSE)),"")</f>
        <v/>
      </c>
      <c r="U227" s="145"/>
      <c r="V227" s="507" t="str">
        <f>IF(U227="","",IF(VLOOKUP(U227,'G-3 Multipliers'!$L$3:$N$6,2,FALSE)=0,"Spatial Data Missing ⚠",VLOOKUP(U227,'G-3 Multipliers'!$L$3:$N$6,2,FALSE)))</f>
        <v/>
      </c>
      <c r="W227" s="505" t="str">
        <f>IF(U227="","",IF(VLOOKUP(U227,'G-3 Multipliers'!$L$3:$N$6,3,FALSE)=0,"Spatial Data Missing ⚠",VLOOKUP(U227,'G-3 Multipliers'!$L$3:$N$6,3,FALSE)))</f>
        <v/>
      </c>
      <c r="X227" s="498" t="str">
        <f>IFERROR(IF(OR(LEFT(O227,5)="Error ▲",LEFT(N227,5)="Error ▲",T227="Error ▲"),"Check Data ⚠",IF(F227&lt;R227,INDEX('G-6 Hedgerow Data'!$S$3:$AE$14,MATCH(C227,'G-6 Hedgerow Data'!$B$3:$B$14,0),MATCH(M227,'G-6 Hedgerow Data'!$S$2:$AE$2,0)),INDEX('G-6 Hedgerow Data'!$K$3:$Q$14,MATCH(M227,'G-6 Hedgerow Data'!$B$3:$B$14,0),MATCH(O227,'G-6 Hedgerow Data'!$K$2:$Q$2,0)))),"")</f>
        <v/>
      </c>
      <c r="Y227" s="195"/>
      <c r="Z227" s="195"/>
      <c r="AA227" s="507" t="str">
        <f t="shared" si="27"/>
        <v/>
      </c>
      <c r="AB227" s="521" t="str">
        <f t="shared" si="28"/>
        <v/>
      </c>
      <c r="AC227" s="522" t="str">
        <f t="shared" si="25"/>
        <v/>
      </c>
      <c r="AD227" s="537" t="str">
        <f>IF(M227="","",VLOOKUP(M227,'G-6 Hedgerow Data'!$B$3:$AG$15,31,FALSE))</f>
        <v/>
      </c>
      <c r="AE227" s="520" t="str">
        <f t="shared" si="29"/>
        <v/>
      </c>
      <c r="AF227" s="520" t="str">
        <f t="shared" si="30"/>
        <v/>
      </c>
      <c r="AG227" s="524" t="str">
        <f>IFERROR(IF(O227="","",VLOOKUP(AD227,'G-3 Multipliers'!$P$3:$Q$6,2,FALSE)),"")</f>
        <v/>
      </c>
      <c r="AH227" s="197"/>
      <c r="AI227" s="499" t="str">
        <f>IF(AH227="","",IF(VLOOKUP(AH227,'G-3 Multipliers'!$S$3:$T$6,2,FALSE)=0,"Spatial Data Missing ⚠",VLOOKUP(AH227,'G-3 Multipliers'!$S$3:$T$6,2,FALSE)))</f>
        <v/>
      </c>
      <c r="AJ227" s="545" t="str">
        <f t="shared" si="31"/>
        <v/>
      </c>
      <c r="AK227" s="149"/>
      <c r="AL227" s="150"/>
      <c r="AP227" s="31" t="str">
        <f>IFERROR(INDEX('G-6 Hedgerow Data'!$BJ$3:$BJ$15,MATCH(M227,'G-6 Hedgerow Data'!$B$3:$B$15,0)),"")</f>
        <v/>
      </c>
    </row>
    <row r="228" spans="2:42" ht="14" x14ac:dyDescent="0.3">
      <c r="B228" s="531" t="str">
        <f>'E-1 Off Site Hedge Baseline'!AK226</f>
        <v/>
      </c>
      <c r="C228" s="520" t="str">
        <f>IF(B228="","",IF(ISNA(VLOOKUP($B228,'E-1 Off Site Hedge Baseline'!$B$1:$L$257,3,FALSE)),"",(VLOOKUP($B228,'E-1 Off Site Hedge Baseline'!$B$1:$L$257,3,FALSE))))</f>
        <v/>
      </c>
      <c r="D228" s="520" t="str">
        <f>IF(B228="","",IF(ISNA(VLOOKUP($B228,'E-1 Off Site Hedge Baseline'!$B$1:$L$258,4,FALSE)),"",(VLOOKUP($B228,'E-1 Off Site Hedge Baseline'!$B$1:$L$258,4,FALSE))))</f>
        <v/>
      </c>
      <c r="E228" s="520" t="str">
        <f>IF(B228="","",IF(ISNA(VLOOKUP($B228,'E-1 Off Site Hedge Baseline'!$B$1:$L$257,5,FALSE)),"",(VLOOKUP($B228,'E-1 Off Site Hedge Baseline'!$B$1:$L$257,5,FALSE))))</f>
        <v/>
      </c>
      <c r="F228" s="520" t="str">
        <f>IF(B228="","",IF(ISNA(VLOOKUP($B228,'E-1 Off Site Hedge Baseline'!$B$1:$L$257,6,FALSE)),"",(VLOOKUP($B228,'E-1 Off Site Hedge Baseline'!$B$1:$L$257,6,FALSE))))</f>
        <v/>
      </c>
      <c r="G228" s="520" t="str">
        <f>IF(B228="","",IF(ISNA(VLOOKUP($B228,'E-1 Off Site Hedge Baseline'!$B$1:$L$257,7,FALSE)),"",(VLOOKUP($B228,'E-1 Off Site Hedge Baseline'!$B$1:$L$257,7,FALSE))))</f>
        <v/>
      </c>
      <c r="H228" s="520" t="str">
        <f>IF(B228="","",IF(ISNA(VLOOKUP($B228,'E-1 Off Site Hedge Baseline'!$B$1:$L$257,8,FALSE)),"",(VLOOKUP($B228,'E-1 Off Site Hedge Baseline'!$B$1:$L$257,8,FALSE))))</f>
        <v/>
      </c>
      <c r="I228" s="520" t="str">
        <f>IF(B228="","",IF(ISNA(VLOOKUP($B228,'E-1 Off Site Hedge Baseline'!$B$1:$L$257,10,FALSE)),"",(VLOOKUP($B228,'E-1 Off Site Hedge Baseline'!$B$1:$L$257,10,FALSE))))</f>
        <v/>
      </c>
      <c r="J228" s="520" t="str">
        <f>IF(B228="","",IF(ISNA(VLOOKUP($B228,'E-1 Off Site Hedge Baseline'!$B$1:$L$257,11,FALSE)),"",(VLOOKUP($B228,'E-1 Off Site Hedge Baseline'!$B$1:$L$257,11,FALSE))))</f>
        <v/>
      </c>
      <c r="K228" s="520" t="str">
        <f>IF(B228="","",IF(ISNA(VLOOKUP($B228,'E-1 Off Site Hedge Baseline'!$B$1:$U$257,113,FALSE)),"",(VLOOKUP($B228,'E-1 Off Site Hedge Baseline'!$B$1:$U$257,13,FALSE))))</f>
        <v/>
      </c>
      <c r="L228" s="507" t="str">
        <f>IF(B228="","",IF(ISNA(VLOOKUP($B228,'E-1 Off Site Hedge Baseline'!$B$1:$U$257,12,FALSE)),"",(VLOOKUP($B228,'E-1 Off Site Hedge Baseline'!$B$1:$U$257,12,FALSE))))</f>
        <v/>
      </c>
      <c r="M228" s="418" t="str">
        <f t="shared" si="32"/>
        <v/>
      </c>
      <c r="N228" s="498" t="str">
        <f>IFERROR(IF(B228="","",INDEX('G-6 Hedgerow Data'!$AN$3:$AZ$15,MATCH(C228,'G-6 Hedgerow Data'!$AM$3:$AM$15,0),MATCH(M228,'G-6 Hedgerow Data'!$AN$2:$AZ$2,0))),"")</f>
        <v/>
      </c>
      <c r="O228" s="499" t="str">
        <f t="shared" si="26"/>
        <v/>
      </c>
      <c r="P228" s="505" t="str">
        <f>IF(B228="","",VLOOKUP(B228,'E-1 Off Site Hedge Baseline'!$B$10:T473,16,FALSE))</f>
        <v/>
      </c>
      <c r="Q228" s="498" t="str">
        <f>IF(M228="","",VLOOKUP(M228,'G-6 Hedgerow Data'!$B$2:$AG$15,2,FALSE))</f>
        <v/>
      </c>
      <c r="R228" s="499" t="str">
        <f>IF(M228="","",VLOOKUP(M228,'G-6 Hedgerow Data'!$B$2:$AG$15,3,FALSE))</f>
        <v/>
      </c>
      <c r="S228" s="145"/>
      <c r="T228" s="499" t="str">
        <f>IFERROR(IF(AND(Q228="V.Low",OR(S228="Good",S228="Moderate")),"Error ▲",VLOOKUP(S228,'G-1 All Habitats'!$Z$2:$AA$9,2,FALSE)),"")</f>
        <v/>
      </c>
      <c r="U228" s="145"/>
      <c r="V228" s="507" t="str">
        <f>IF(U228="","",IF(VLOOKUP(U228,'G-3 Multipliers'!$L$3:$N$6,2,FALSE)=0,"Spatial Data Missing ⚠",VLOOKUP(U228,'G-3 Multipliers'!$L$3:$N$6,2,FALSE)))</f>
        <v/>
      </c>
      <c r="W228" s="505" t="str">
        <f>IF(U228="","",IF(VLOOKUP(U228,'G-3 Multipliers'!$L$3:$N$6,3,FALSE)=0,"Spatial Data Missing ⚠",VLOOKUP(U228,'G-3 Multipliers'!$L$3:$N$6,3,FALSE)))</f>
        <v/>
      </c>
      <c r="X228" s="498" t="str">
        <f>IFERROR(IF(OR(LEFT(O228,5)="Error ▲",LEFT(N228,5)="Error ▲",T228="Error ▲"),"Check Data ⚠",IF(F228&lt;R228,INDEX('G-6 Hedgerow Data'!$S$3:$AE$14,MATCH(C228,'G-6 Hedgerow Data'!$B$3:$B$14,0),MATCH(M228,'G-6 Hedgerow Data'!$S$2:$AE$2,0)),INDEX('G-6 Hedgerow Data'!$K$3:$Q$14,MATCH(M228,'G-6 Hedgerow Data'!$B$3:$B$14,0),MATCH(O228,'G-6 Hedgerow Data'!$K$2:$Q$2,0)))),"")</f>
        <v/>
      </c>
      <c r="Y228" s="195"/>
      <c r="Z228" s="195"/>
      <c r="AA228" s="507" t="str">
        <f t="shared" si="27"/>
        <v/>
      </c>
      <c r="AB228" s="521" t="str">
        <f t="shared" si="28"/>
        <v/>
      </c>
      <c r="AC228" s="522" t="str">
        <f t="shared" si="25"/>
        <v/>
      </c>
      <c r="AD228" s="537" t="str">
        <f>IF(M228="","",VLOOKUP(M228,'G-6 Hedgerow Data'!$B$3:$AG$15,31,FALSE))</f>
        <v/>
      </c>
      <c r="AE228" s="520" t="str">
        <f t="shared" si="29"/>
        <v/>
      </c>
      <c r="AF228" s="520" t="str">
        <f t="shared" si="30"/>
        <v/>
      </c>
      <c r="AG228" s="524" t="str">
        <f>IFERROR(IF(O228="","",VLOOKUP(AD228,'G-3 Multipliers'!$P$3:$Q$6,2,FALSE)),"")</f>
        <v/>
      </c>
      <c r="AH228" s="197"/>
      <c r="AI228" s="499" t="str">
        <f>IF(AH228="","",IF(VLOOKUP(AH228,'G-3 Multipliers'!$S$3:$T$6,2,FALSE)=0,"Spatial Data Missing ⚠",VLOOKUP(AH228,'G-3 Multipliers'!$S$3:$T$6,2,FALSE)))</f>
        <v/>
      </c>
      <c r="AJ228" s="545" t="str">
        <f t="shared" si="31"/>
        <v/>
      </c>
      <c r="AK228" s="149"/>
      <c r="AL228" s="150"/>
      <c r="AP228" s="31" t="str">
        <f>IFERROR(INDEX('G-6 Hedgerow Data'!$BJ$3:$BJ$15,MATCH(M228,'G-6 Hedgerow Data'!$B$3:$B$15,0)),"")</f>
        <v/>
      </c>
    </row>
    <row r="229" spans="2:42" ht="14" x14ac:dyDescent="0.3">
      <c r="B229" s="531" t="str">
        <f>'E-1 Off Site Hedge Baseline'!AK227</f>
        <v/>
      </c>
      <c r="C229" s="520" t="str">
        <f>IF(B229="","",IF(ISNA(VLOOKUP($B229,'E-1 Off Site Hedge Baseline'!$B$1:$L$257,3,FALSE)),"",(VLOOKUP($B229,'E-1 Off Site Hedge Baseline'!$B$1:$L$257,3,FALSE))))</f>
        <v/>
      </c>
      <c r="D229" s="520" t="str">
        <f>IF(B229="","",IF(ISNA(VLOOKUP($B229,'E-1 Off Site Hedge Baseline'!$B$1:$L$258,4,FALSE)),"",(VLOOKUP($B229,'E-1 Off Site Hedge Baseline'!$B$1:$L$258,4,FALSE))))</f>
        <v/>
      </c>
      <c r="E229" s="520" t="str">
        <f>IF(B229="","",IF(ISNA(VLOOKUP($B229,'E-1 Off Site Hedge Baseline'!$B$1:$L$257,5,FALSE)),"",(VLOOKUP($B229,'E-1 Off Site Hedge Baseline'!$B$1:$L$257,5,FALSE))))</f>
        <v/>
      </c>
      <c r="F229" s="520" t="str">
        <f>IF(B229="","",IF(ISNA(VLOOKUP($B229,'E-1 Off Site Hedge Baseline'!$B$1:$L$257,6,FALSE)),"",(VLOOKUP($B229,'E-1 Off Site Hedge Baseline'!$B$1:$L$257,6,FALSE))))</f>
        <v/>
      </c>
      <c r="G229" s="520" t="str">
        <f>IF(B229="","",IF(ISNA(VLOOKUP($B229,'E-1 Off Site Hedge Baseline'!$B$1:$L$257,7,FALSE)),"",(VLOOKUP($B229,'E-1 Off Site Hedge Baseline'!$B$1:$L$257,7,FALSE))))</f>
        <v/>
      </c>
      <c r="H229" s="520" t="str">
        <f>IF(B229="","",IF(ISNA(VLOOKUP($B229,'E-1 Off Site Hedge Baseline'!$B$1:$L$257,8,FALSE)),"",(VLOOKUP($B229,'E-1 Off Site Hedge Baseline'!$B$1:$L$257,8,FALSE))))</f>
        <v/>
      </c>
      <c r="I229" s="520" t="str">
        <f>IF(B229="","",IF(ISNA(VLOOKUP($B229,'E-1 Off Site Hedge Baseline'!$B$1:$L$257,10,FALSE)),"",(VLOOKUP($B229,'E-1 Off Site Hedge Baseline'!$B$1:$L$257,10,FALSE))))</f>
        <v/>
      </c>
      <c r="J229" s="520" t="str">
        <f>IF(B229="","",IF(ISNA(VLOOKUP($B229,'E-1 Off Site Hedge Baseline'!$B$1:$L$257,11,FALSE)),"",(VLOOKUP($B229,'E-1 Off Site Hedge Baseline'!$B$1:$L$257,11,FALSE))))</f>
        <v/>
      </c>
      <c r="K229" s="520" t="str">
        <f>IF(B229="","",IF(ISNA(VLOOKUP($B229,'E-1 Off Site Hedge Baseline'!$B$1:$U$257,113,FALSE)),"",(VLOOKUP($B229,'E-1 Off Site Hedge Baseline'!$B$1:$U$257,13,FALSE))))</f>
        <v/>
      </c>
      <c r="L229" s="507" t="str">
        <f>IF(B229="","",IF(ISNA(VLOOKUP($B229,'E-1 Off Site Hedge Baseline'!$B$1:$U$257,12,FALSE)),"",(VLOOKUP($B229,'E-1 Off Site Hedge Baseline'!$B$1:$U$257,12,FALSE))))</f>
        <v/>
      </c>
      <c r="M229" s="418" t="str">
        <f t="shared" si="32"/>
        <v/>
      </c>
      <c r="N229" s="498" t="str">
        <f>IFERROR(IF(B229="","",INDEX('G-6 Hedgerow Data'!$AN$3:$AZ$15,MATCH(C229,'G-6 Hedgerow Data'!$AM$3:$AM$15,0),MATCH(M229,'G-6 Hedgerow Data'!$AN$2:$AZ$2,0))),"")</f>
        <v/>
      </c>
      <c r="O229" s="499" t="str">
        <f t="shared" si="26"/>
        <v/>
      </c>
      <c r="P229" s="505" t="str">
        <f>IF(B229="","",VLOOKUP(B229,'E-1 Off Site Hedge Baseline'!$B$10:T474,16,FALSE))</f>
        <v/>
      </c>
      <c r="Q229" s="498" t="str">
        <f>IF(M229="","",VLOOKUP(M229,'G-6 Hedgerow Data'!$B$2:$AG$15,2,FALSE))</f>
        <v/>
      </c>
      <c r="R229" s="499" t="str">
        <f>IF(M229="","",VLOOKUP(M229,'G-6 Hedgerow Data'!$B$2:$AG$15,3,FALSE))</f>
        <v/>
      </c>
      <c r="S229" s="145"/>
      <c r="T229" s="499" t="str">
        <f>IFERROR(IF(AND(Q229="V.Low",OR(S229="Good",S229="Moderate")),"Error ▲",VLOOKUP(S229,'G-1 All Habitats'!$Z$2:$AA$9,2,FALSE)),"")</f>
        <v/>
      </c>
      <c r="U229" s="145"/>
      <c r="V229" s="507" t="str">
        <f>IF(U229="","",IF(VLOOKUP(U229,'G-3 Multipliers'!$L$3:$N$6,2,FALSE)=0,"Spatial Data Missing ⚠",VLOOKUP(U229,'G-3 Multipliers'!$L$3:$N$6,2,FALSE)))</f>
        <v/>
      </c>
      <c r="W229" s="505" t="str">
        <f>IF(U229="","",IF(VLOOKUP(U229,'G-3 Multipliers'!$L$3:$N$6,3,FALSE)=0,"Spatial Data Missing ⚠",VLOOKUP(U229,'G-3 Multipliers'!$L$3:$N$6,3,FALSE)))</f>
        <v/>
      </c>
      <c r="X229" s="498" t="str">
        <f>IFERROR(IF(OR(LEFT(O229,5)="Error ▲",LEFT(N229,5)="Error ▲",T229="Error ▲"),"Check Data ⚠",IF(F229&lt;R229,INDEX('G-6 Hedgerow Data'!$S$3:$AE$14,MATCH(C229,'G-6 Hedgerow Data'!$B$3:$B$14,0),MATCH(M229,'G-6 Hedgerow Data'!$S$2:$AE$2,0)),INDEX('G-6 Hedgerow Data'!$K$3:$Q$14,MATCH(M229,'G-6 Hedgerow Data'!$B$3:$B$14,0),MATCH(O229,'G-6 Hedgerow Data'!$K$2:$Q$2,0)))),"")</f>
        <v/>
      </c>
      <c r="Y229" s="195"/>
      <c r="Z229" s="195"/>
      <c r="AA229" s="507" t="str">
        <f t="shared" si="27"/>
        <v/>
      </c>
      <c r="AB229" s="521" t="str">
        <f t="shared" si="28"/>
        <v/>
      </c>
      <c r="AC229" s="522" t="str">
        <f t="shared" si="25"/>
        <v/>
      </c>
      <c r="AD229" s="537" t="str">
        <f>IF(M229="","",VLOOKUP(M229,'G-6 Hedgerow Data'!$B$3:$AG$15,31,FALSE))</f>
        <v/>
      </c>
      <c r="AE229" s="520" t="str">
        <f t="shared" si="29"/>
        <v/>
      </c>
      <c r="AF229" s="520" t="str">
        <f t="shared" si="30"/>
        <v/>
      </c>
      <c r="AG229" s="524" t="str">
        <f>IFERROR(IF(O229="","",VLOOKUP(AD229,'G-3 Multipliers'!$P$3:$Q$6,2,FALSE)),"")</f>
        <v/>
      </c>
      <c r="AH229" s="197"/>
      <c r="AI229" s="499" t="str">
        <f>IF(AH229="","",IF(VLOOKUP(AH229,'G-3 Multipliers'!$S$3:$T$6,2,FALSE)=0,"Spatial Data Missing ⚠",VLOOKUP(AH229,'G-3 Multipliers'!$S$3:$T$6,2,FALSE)))</f>
        <v/>
      </c>
      <c r="AJ229" s="545" t="str">
        <f t="shared" si="31"/>
        <v/>
      </c>
      <c r="AK229" s="149"/>
      <c r="AL229" s="150"/>
      <c r="AP229" s="31" t="str">
        <f>IFERROR(INDEX('G-6 Hedgerow Data'!$BJ$3:$BJ$15,MATCH(M229,'G-6 Hedgerow Data'!$B$3:$B$15,0)),"")</f>
        <v/>
      </c>
    </row>
    <row r="230" spans="2:42" ht="14" x14ac:dyDescent="0.3">
      <c r="B230" s="531" t="str">
        <f>'E-1 Off Site Hedge Baseline'!AK228</f>
        <v/>
      </c>
      <c r="C230" s="520" t="str">
        <f>IF(B230="","",IF(ISNA(VLOOKUP($B230,'E-1 Off Site Hedge Baseline'!$B$1:$L$257,3,FALSE)),"",(VLOOKUP($B230,'E-1 Off Site Hedge Baseline'!$B$1:$L$257,3,FALSE))))</f>
        <v/>
      </c>
      <c r="D230" s="520" t="str">
        <f>IF(B230="","",IF(ISNA(VLOOKUP($B230,'E-1 Off Site Hedge Baseline'!$B$1:$L$258,4,FALSE)),"",(VLOOKUP($B230,'E-1 Off Site Hedge Baseline'!$B$1:$L$258,4,FALSE))))</f>
        <v/>
      </c>
      <c r="E230" s="520" t="str">
        <f>IF(B230="","",IF(ISNA(VLOOKUP($B230,'E-1 Off Site Hedge Baseline'!$B$1:$L$257,5,FALSE)),"",(VLOOKUP($B230,'E-1 Off Site Hedge Baseline'!$B$1:$L$257,5,FALSE))))</f>
        <v/>
      </c>
      <c r="F230" s="520" t="str">
        <f>IF(B230="","",IF(ISNA(VLOOKUP($B230,'E-1 Off Site Hedge Baseline'!$B$1:$L$257,6,FALSE)),"",(VLOOKUP($B230,'E-1 Off Site Hedge Baseline'!$B$1:$L$257,6,FALSE))))</f>
        <v/>
      </c>
      <c r="G230" s="520" t="str">
        <f>IF(B230="","",IF(ISNA(VLOOKUP($B230,'E-1 Off Site Hedge Baseline'!$B$1:$L$257,7,FALSE)),"",(VLOOKUP($B230,'E-1 Off Site Hedge Baseline'!$B$1:$L$257,7,FALSE))))</f>
        <v/>
      </c>
      <c r="H230" s="520" t="str">
        <f>IF(B230="","",IF(ISNA(VLOOKUP($B230,'E-1 Off Site Hedge Baseline'!$B$1:$L$257,8,FALSE)),"",(VLOOKUP($B230,'E-1 Off Site Hedge Baseline'!$B$1:$L$257,8,FALSE))))</f>
        <v/>
      </c>
      <c r="I230" s="520" t="str">
        <f>IF(B230="","",IF(ISNA(VLOOKUP($B230,'E-1 Off Site Hedge Baseline'!$B$1:$L$257,10,FALSE)),"",(VLOOKUP($B230,'E-1 Off Site Hedge Baseline'!$B$1:$L$257,10,FALSE))))</f>
        <v/>
      </c>
      <c r="J230" s="520" t="str">
        <f>IF(B230="","",IF(ISNA(VLOOKUP($B230,'E-1 Off Site Hedge Baseline'!$B$1:$L$257,11,FALSE)),"",(VLOOKUP($B230,'E-1 Off Site Hedge Baseline'!$B$1:$L$257,11,FALSE))))</f>
        <v/>
      </c>
      <c r="K230" s="520" t="str">
        <f>IF(B230="","",IF(ISNA(VLOOKUP($B230,'E-1 Off Site Hedge Baseline'!$B$1:$U$257,113,FALSE)),"",(VLOOKUP($B230,'E-1 Off Site Hedge Baseline'!$B$1:$U$257,13,FALSE))))</f>
        <v/>
      </c>
      <c r="L230" s="507" t="str">
        <f>IF(B230="","",IF(ISNA(VLOOKUP($B230,'E-1 Off Site Hedge Baseline'!$B$1:$U$257,12,FALSE)),"",(VLOOKUP($B230,'E-1 Off Site Hedge Baseline'!$B$1:$U$257,12,FALSE))))</f>
        <v/>
      </c>
      <c r="M230" s="418" t="str">
        <f t="shared" si="32"/>
        <v/>
      </c>
      <c r="N230" s="498" t="str">
        <f>IFERROR(IF(B230="","",INDEX('G-6 Hedgerow Data'!$AN$3:$AZ$15,MATCH(C230,'G-6 Hedgerow Data'!$AM$3:$AM$15,0),MATCH(M230,'G-6 Hedgerow Data'!$AN$2:$AZ$2,0))),"")</f>
        <v/>
      </c>
      <c r="O230" s="499" t="str">
        <f t="shared" si="26"/>
        <v/>
      </c>
      <c r="P230" s="505" t="str">
        <f>IF(B230="","",VLOOKUP(B230,'E-1 Off Site Hedge Baseline'!$B$10:T475,16,FALSE))</f>
        <v/>
      </c>
      <c r="Q230" s="498" t="str">
        <f>IF(M230="","",VLOOKUP(M230,'G-6 Hedgerow Data'!$B$2:$AG$15,2,FALSE))</f>
        <v/>
      </c>
      <c r="R230" s="499" t="str">
        <f>IF(M230="","",VLOOKUP(M230,'G-6 Hedgerow Data'!$B$2:$AG$15,3,FALSE))</f>
        <v/>
      </c>
      <c r="S230" s="145"/>
      <c r="T230" s="499" t="str">
        <f>IFERROR(IF(AND(Q230="V.Low",OR(S230="Good",S230="Moderate")),"Error ▲",VLOOKUP(S230,'G-1 All Habitats'!$Z$2:$AA$9,2,FALSE)),"")</f>
        <v/>
      </c>
      <c r="U230" s="145"/>
      <c r="V230" s="507" t="str">
        <f>IF(U230="","",IF(VLOOKUP(U230,'G-3 Multipliers'!$L$3:$N$6,2,FALSE)=0,"Spatial Data Missing ⚠",VLOOKUP(U230,'G-3 Multipliers'!$L$3:$N$6,2,FALSE)))</f>
        <v/>
      </c>
      <c r="W230" s="505" t="str">
        <f>IF(U230="","",IF(VLOOKUP(U230,'G-3 Multipliers'!$L$3:$N$6,3,FALSE)=0,"Spatial Data Missing ⚠",VLOOKUP(U230,'G-3 Multipliers'!$L$3:$N$6,3,FALSE)))</f>
        <v/>
      </c>
      <c r="X230" s="498" t="str">
        <f>IFERROR(IF(OR(LEFT(O230,5)="Error ▲",LEFT(N230,5)="Error ▲",T230="Error ▲"),"Check Data ⚠",IF(F230&lt;R230,INDEX('G-6 Hedgerow Data'!$S$3:$AE$14,MATCH(C230,'G-6 Hedgerow Data'!$B$3:$B$14,0),MATCH(M230,'G-6 Hedgerow Data'!$S$2:$AE$2,0)),INDEX('G-6 Hedgerow Data'!$K$3:$Q$14,MATCH(M230,'G-6 Hedgerow Data'!$B$3:$B$14,0),MATCH(O230,'G-6 Hedgerow Data'!$K$2:$Q$2,0)))),"")</f>
        <v/>
      </c>
      <c r="Y230" s="195"/>
      <c r="Z230" s="195"/>
      <c r="AA230" s="507" t="str">
        <f t="shared" si="27"/>
        <v/>
      </c>
      <c r="AB230" s="521" t="str">
        <f t="shared" si="28"/>
        <v/>
      </c>
      <c r="AC230" s="522" t="str">
        <f t="shared" si="25"/>
        <v/>
      </c>
      <c r="AD230" s="537" t="str">
        <f>IF(M230="","",VLOOKUP(M230,'G-6 Hedgerow Data'!$B$3:$AG$15,31,FALSE))</f>
        <v/>
      </c>
      <c r="AE230" s="520" t="str">
        <f t="shared" si="29"/>
        <v/>
      </c>
      <c r="AF230" s="520" t="str">
        <f t="shared" si="30"/>
        <v/>
      </c>
      <c r="AG230" s="524" t="str">
        <f>IFERROR(IF(O230="","",VLOOKUP(AD230,'G-3 Multipliers'!$P$3:$Q$6,2,FALSE)),"")</f>
        <v/>
      </c>
      <c r="AH230" s="197"/>
      <c r="AI230" s="499" t="str">
        <f>IF(AH230="","",IF(VLOOKUP(AH230,'G-3 Multipliers'!$S$3:$T$6,2,FALSE)=0,"Spatial Data Missing ⚠",VLOOKUP(AH230,'G-3 Multipliers'!$S$3:$T$6,2,FALSE)))</f>
        <v/>
      </c>
      <c r="AJ230" s="545" t="str">
        <f t="shared" si="31"/>
        <v/>
      </c>
      <c r="AK230" s="149"/>
      <c r="AL230" s="150"/>
      <c r="AP230" s="31" t="str">
        <f>IFERROR(INDEX('G-6 Hedgerow Data'!$BJ$3:$BJ$15,MATCH(M230,'G-6 Hedgerow Data'!$B$3:$B$15,0)),"")</f>
        <v/>
      </c>
    </row>
    <row r="231" spans="2:42" ht="14" x14ac:dyDescent="0.3">
      <c r="B231" s="531" t="str">
        <f>'E-1 Off Site Hedge Baseline'!AK229</f>
        <v/>
      </c>
      <c r="C231" s="520" t="str">
        <f>IF(B231="","",IF(ISNA(VLOOKUP($B231,'E-1 Off Site Hedge Baseline'!$B$1:$L$257,3,FALSE)),"",(VLOOKUP($B231,'E-1 Off Site Hedge Baseline'!$B$1:$L$257,3,FALSE))))</f>
        <v/>
      </c>
      <c r="D231" s="520" t="str">
        <f>IF(B231="","",IF(ISNA(VLOOKUP($B231,'E-1 Off Site Hedge Baseline'!$B$1:$L$258,4,FALSE)),"",(VLOOKUP($B231,'E-1 Off Site Hedge Baseline'!$B$1:$L$258,4,FALSE))))</f>
        <v/>
      </c>
      <c r="E231" s="520" t="str">
        <f>IF(B231="","",IF(ISNA(VLOOKUP($B231,'E-1 Off Site Hedge Baseline'!$B$1:$L$257,5,FALSE)),"",(VLOOKUP($B231,'E-1 Off Site Hedge Baseline'!$B$1:$L$257,5,FALSE))))</f>
        <v/>
      </c>
      <c r="F231" s="520" t="str">
        <f>IF(B231="","",IF(ISNA(VLOOKUP($B231,'E-1 Off Site Hedge Baseline'!$B$1:$L$257,6,FALSE)),"",(VLOOKUP($B231,'E-1 Off Site Hedge Baseline'!$B$1:$L$257,6,FALSE))))</f>
        <v/>
      </c>
      <c r="G231" s="520" t="str">
        <f>IF(B231="","",IF(ISNA(VLOOKUP($B231,'E-1 Off Site Hedge Baseline'!$B$1:$L$257,7,FALSE)),"",(VLOOKUP($B231,'E-1 Off Site Hedge Baseline'!$B$1:$L$257,7,FALSE))))</f>
        <v/>
      </c>
      <c r="H231" s="520" t="str">
        <f>IF(B231="","",IF(ISNA(VLOOKUP($B231,'E-1 Off Site Hedge Baseline'!$B$1:$L$257,8,FALSE)),"",(VLOOKUP($B231,'E-1 Off Site Hedge Baseline'!$B$1:$L$257,8,FALSE))))</f>
        <v/>
      </c>
      <c r="I231" s="520" t="str">
        <f>IF(B231="","",IF(ISNA(VLOOKUP($B231,'E-1 Off Site Hedge Baseline'!$B$1:$L$257,10,FALSE)),"",(VLOOKUP($B231,'E-1 Off Site Hedge Baseline'!$B$1:$L$257,10,FALSE))))</f>
        <v/>
      </c>
      <c r="J231" s="520" t="str">
        <f>IF(B231="","",IF(ISNA(VLOOKUP($B231,'E-1 Off Site Hedge Baseline'!$B$1:$L$257,11,FALSE)),"",(VLOOKUP($B231,'E-1 Off Site Hedge Baseline'!$B$1:$L$257,11,FALSE))))</f>
        <v/>
      </c>
      <c r="K231" s="520" t="str">
        <f>IF(B231="","",IF(ISNA(VLOOKUP($B231,'E-1 Off Site Hedge Baseline'!$B$1:$U$257,113,FALSE)),"",(VLOOKUP($B231,'E-1 Off Site Hedge Baseline'!$B$1:$U$257,13,FALSE))))</f>
        <v/>
      </c>
      <c r="L231" s="507" t="str">
        <f>IF(B231="","",IF(ISNA(VLOOKUP($B231,'E-1 Off Site Hedge Baseline'!$B$1:$U$257,12,FALSE)),"",(VLOOKUP($B231,'E-1 Off Site Hedge Baseline'!$B$1:$U$257,12,FALSE))))</f>
        <v/>
      </c>
      <c r="M231" s="418" t="str">
        <f t="shared" si="32"/>
        <v/>
      </c>
      <c r="N231" s="498" t="str">
        <f>IFERROR(IF(B231="","",INDEX('G-6 Hedgerow Data'!$AN$3:$AZ$15,MATCH(C231,'G-6 Hedgerow Data'!$AM$3:$AM$15,0),MATCH(M231,'G-6 Hedgerow Data'!$AN$2:$AZ$2,0))),"")</f>
        <v/>
      </c>
      <c r="O231" s="499" t="str">
        <f t="shared" si="26"/>
        <v/>
      </c>
      <c r="P231" s="505" t="str">
        <f>IF(B231="","",VLOOKUP(B231,'E-1 Off Site Hedge Baseline'!$B$10:T476,16,FALSE))</f>
        <v/>
      </c>
      <c r="Q231" s="498" t="str">
        <f>IF(M231="","",VLOOKUP(M231,'G-6 Hedgerow Data'!$B$2:$AG$15,2,FALSE))</f>
        <v/>
      </c>
      <c r="R231" s="499" t="str">
        <f>IF(M231="","",VLOOKUP(M231,'G-6 Hedgerow Data'!$B$2:$AG$15,3,FALSE))</f>
        <v/>
      </c>
      <c r="S231" s="145"/>
      <c r="T231" s="499" t="str">
        <f>IFERROR(IF(AND(Q231="V.Low",OR(S231="Good",S231="Moderate")),"Error ▲",VLOOKUP(S231,'G-1 All Habitats'!$Z$2:$AA$9,2,FALSE)),"")</f>
        <v/>
      </c>
      <c r="U231" s="145"/>
      <c r="V231" s="507" t="str">
        <f>IF(U231="","",IF(VLOOKUP(U231,'G-3 Multipliers'!$L$3:$N$6,2,FALSE)=0,"Spatial Data Missing ⚠",VLOOKUP(U231,'G-3 Multipliers'!$L$3:$N$6,2,FALSE)))</f>
        <v/>
      </c>
      <c r="W231" s="505" t="str">
        <f>IF(U231="","",IF(VLOOKUP(U231,'G-3 Multipliers'!$L$3:$N$6,3,FALSE)=0,"Spatial Data Missing ⚠",VLOOKUP(U231,'G-3 Multipliers'!$L$3:$N$6,3,FALSE)))</f>
        <v/>
      </c>
      <c r="X231" s="498" t="str">
        <f>IFERROR(IF(OR(LEFT(O231,5)="Error ▲",LEFT(N231,5)="Error ▲",T231="Error ▲"),"Check Data ⚠",IF(F231&lt;R231,INDEX('G-6 Hedgerow Data'!$S$3:$AE$14,MATCH(C231,'G-6 Hedgerow Data'!$B$3:$B$14,0),MATCH(M231,'G-6 Hedgerow Data'!$S$2:$AE$2,0)),INDEX('G-6 Hedgerow Data'!$K$3:$Q$14,MATCH(M231,'G-6 Hedgerow Data'!$B$3:$B$14,0),MATCH(O231,'G-6 Hedgerow Data'!$K$2:$Q$2,0)))),"")</f>
        <v/>
      </c>
      <c r="Y231" s="195"/>
      <c r="Z231" s="195"/>
      <c r="AA231" s="507" t="str">
        <f t="shared" si="27"/>
        <v/>
      </c>
      <c r="AB231" s="521" t="str">
        <f t="shared" si="28"/>
        <v/>
      </c>
      <c r="AC231" s="522" t="str">
        <f t="shared" si="25"/>
        <v/>
      </c>
      <c r="AD231" s="537" t="str">
        <f>IF(M231="","",VLOOKUP(M231,'G-6 Hedgerow Data'!$B$3:$AG$15,31,FALSE))</f>
        <v/>
      </c>
      <c r="AE231" s="520" t="str">
        <f t="shared" si="29"/>
        <v/>
      </c>
      <c r="AF231" s="520" t="str">
        <f t="shared" si="30"/>
        <v/>
      </c>
      <c r="AG231" s="524" t="str">
        <f>IFERROR(IF(O231="","",VLOOKUP(AD231,'G-3 Multipliers'!$P$3:$Q$6,2,FALSE)),"")</f>
        <v/>
      </c>
      <c r="AH231" s="197"/>
      <c r="AI231" s="499" t="str">
        <f>IF(AH231="","",IF(VLOOKUP(AH231,'G-3 Multipliers'!$S$3:$T$6,2,FALSE)=0,"Spatial Data Missing ⚠",VLOOKUP(AH231,'G-3 Multipliers'!$S$3:$T$6,2,FALSE)))</f>
        <v/>
      </c>
      <c r="AJ231" s="545" t="str">
        <f t="shared" si="31"/>
        <v/>
      </c>
      <c r="AK231" s="149"/>
      <c r="AL231" s="150"/>
      <c r="AP231" s="31" t="str">
        <f>IFERROR(INDEX('G-6 Hedgerow Data'!$BJ$3:$BJ$15,MATCH(M231,'G-6 Hedgerow Data'!$B$3:$B$15,0)),"")</f>
        <v/>
      </c>
    </row>
    <row r="232" spans="2:42" ht="14" x14ac:dyDescent="0.3">
      <c r="B232" s="531" t="str">
        <f>'E-1 Off Site Hedge Baseline'!AK230</f>
        <v/>
      </c>
      <c r="C232" s="520" t="str">
        <f>IF(B232="","",IF(ISNA(VLOOKUP($B232,'E-1 Off Site Hedge Baseline'!$B$1:$L$257,3,FALSE)),"",(VLOOKUP($B232,'E-1 Off Site Hedge Baseline'!$B$1:$L$257,3,FALSE))))</f>
        <v/>
      </c>
      <c r="D232" s="520" t="str">
        <f>IF(B232="","",IF(ISNA(VLOOKUP($B232,'E-1 Off Site Hedge Baseline'!$B$1:$L$258,4,FALSE)),"",(VLOOKUP($B232,'E-1 Off Site Hedge Baseline'!$B$1:$L$258,4,FALSE))))</f>
        <v/>
      </c>
      <c r="E232" s="520" t="str">
        <f>IF(B232="","",IF(ISNA(VLOOKUP($B232,'E-1 Off Site Hedge Baseline'!$B$1:$L$257,5,FALSE)),"",(VLOOKUP($B232,'E-1 Off Site Hedge Baseline'!$B$1:$L$257,5,FALSE))))</f>
        <v/>
      </c>
      <c r="F232" s="520" t="str">
        <f>IF(B232="","",IF(ISNA(VLOOKUP($B232,'E-1 Off Site Hedge Baseline'!$B$1:$L$257,6,FALSE)),"",(VLOOKUP($B232,'E-1 Off Site Hedge Baseline'!$B$1:$L$257,6,FALSE))))</f>
        <v/>
      </c>
      <c r="G232" s="520" t="str">
        <f>IF(B232="","",IF(ISNA(VLOOKUP($B232,'E-1 Off Site Hedge Baseline'!$B$1:$L$257,7,FALSE)),"",(VLOOKUP($B232,'E-1 Off Site Hedge Baseline'!$B$1:$L$257,7,FALSE))))</f>
        <v/>
      </c>
      <c r="H232" s="520" t="str">
        <f>IF(B232="","",IF(ISNA(VLOOKUP($B232,'E-1 Off Site Hedge Baseline'!$B$1:$L$257,8,FALSE)),"",(VLOOKUP($B232,'E-1 Off Site Hedge Baseline'!$B$1:$L$257,8,FALSE))))</f>
        <v/>
      </c>
      <c r="I232" s="520" t="str">
        <f>IF(B232="","",IF(ISNA(VLOOKUP($B232,'E-1 Off Site Hedge Baseline'!$B$1:$L$257,10,FALSE)),"",(VLOOKUP($B232,'E-1 Off Site Hedge Baseline'!$B$1:$L$257,10,FALSE))))</f>
        <v/>
      </c>
      <c r="J232" s="520" t="str">
        <f>IF(B232="","",IF(ISNA(VLOOKUP($B232,'E-1 Off Site Hedge Baseline'!$B$1:$L$257,11,FALSE)),"",(VLOOKUP($B232,'E-1 Off Site Hedge Baseline'!$B$1:$L$257,11,FALSE))))</f>
        <v/>
      </c>
      <c r="K232" s="520" t="str">
        <f>IF(B232="","",IF(ISNA(VLOOKUP($B232,'E-1 Off Site Hedge Baseline'!$B$1:$U$257,113,FALSE)),"",(VLOOKUP($B232,'E-1 Off Site Hedge Baseline'!$B$1:$U$257,13,FALSE))))</f>
        <v/>
      </c>
      <c r="L232" s="507" t="str">
        <f>IF(B232="","",IF(ISNA(VLOOKUP($B232,'E-1 Off Site Hedge Baseline'!$B$1:$U$257,12,FALSE)),"",(VLOOKUP($B232,'E-1 Off Site Hedge Baseline'!$B$1:$U$257,12,FALSE))))</f>
        <v/>
      </c>
      <c r="M232" s="418" t="str">
        <f t="shared" si="32"/>
        <v/>
      </c>
      <c r="N232" s="498" t="str">
        <f>IFERROR(IF(B232="","",INDEX('G-6 Hedgerow Data'!$AN$3:$AZ$15,MATCH(C232,'G-6 Hedgerow Data'!$AM$3:$AM$15,0),MATCH(M232,'G-6 Hedgerow Data'!$AN$2:$AZ$2,0))),"")</f>
        <v/>
      </c>
      <c r="O232" s="499" t="str">
        <f t="shared" si="26"/>
        <v/>
      </c>
      <c r="P232" s="505" t="str">
        <f>IF(B232="","",VLOOKUP(B232,'E-1 Off Site Hedge Baseline'!$B$10:T477,16,FALSE))</f>
        <v/>
      </c>
      <c r="Q232" s="498" t="str">
        <f>IF(M232="","",VLOOKUP(M232,'G-6 Hedgerow Data'!$B$2:$AG$15,2,FALSE))</f>
        <v/>
      </c>
      <c r="R232" s="499" t="str">
        <f>IF(M232="","",VLOOKUP(M232,'G-6 Hedgerow Data'!$B$2:$AG$15,3,FALSE))</f>
        <v/>
      </c>
      <c r="S232" s="145"/>
      <c r="T232" s="499" t="str">
        <f>IFERROR(IF(AND(Q232="V.Low",OR(S232="Good",S232="Moderate")),"Error ▲",VLOOKUP(S232,'G-1 All Habitats'!$Z$2:$AA$9,2,FALSE)),"")</f>
        <v/>
      </c>
      <c r="U232" s="145"/>
      <c r="V232" s="507" t="str">
        <f>IF(U232="","",IF(VLOOKUP(U232,'G-3 Multipliers'!$L$3:$N$6,2,FALSE)=0,"Spatial Data Missing ⚠",VLOOKUP(U232,'G-3 Multipliers'!$L$3:$N$6,2,FALSE)))</f>
        <v/>
      </c>
      <c r="W232" s="505" t="str">
        <f>IF(U232="","",IF(VLOOKUP(U232,'G-3 Multipliers'!$L$3:$N$6,3,FALSE)=0,"Spatial Data Missing ⚠",VLOOKUP(U232,'G-3 Multipliers'!$L$3:$N$6,3,FALSE)))</f>
        <v/>
      </c>
      <c r="X232" s="498" t="str">
        <f>IFERROR(IF(OR(LEFT(O232,5)="Error ▲",LEFT(N232,5)="Error ▲",T232="Error ▲"),"Check Data ⚠",IF(F232&lt;R232,INDEX('G-6 Hedgerow Data'!$S$3:$AE$14,MATCH(C232,'G-6 Hedgerow Data'!$B$3:$B$14,0),MATCH(M232,'G-6 Hedgerow Data'!$S$2:$AE$2,0)),INDEX('G-6 Hedgerow Data'!$K$3:$Q$14,MATCH(M232,'G-6 Hedgerow Data'!$B$3:$B$14,0),MATCH(O232,'G-6 Hedgerow Data'!$K$2:$Q$2,0)))),"")</f>
        <v/>
      </c>
      <c r="Y232" s="195"/>
      <c r="Z232" s="195"/>
      <c r="AA232" s="507" t="str">
        <f t="shared" si="27"/>
        <v/>
      </c>
      <c r="AB232" s="521" t="str">
        <f t="shared" si="28"/>
        <v/>
      </c>
      <c r="AC232" s="522" t="str">
        <f t="shared" si="25"/>
        <v/>
      </c>
      <c r="AD232" s="537" t="str">
        <f>IF(M232="","",VLOOKUP(M232,'G-6 Hedgerow Data'!$B$3:$AG$15,31,FALSE))</f>
        <v/>
      </c>
      <c r="AE232" s="520" t="str">
        <f t="shared" si="29"/>
        <v/>
      </c>
      <c r="AF232" s="520" t="str">
        <f t="shared" si="30"/>
        <v/>
      </c>
      <c r="AG232" s="524" t="str">
        <f>IFERROR(IF(O232="","",VLOOKUP(AD232,'G-3 Multipliers'!$P$3:$Q$6,2,FALSE)),"")</f>
        <v/>
      </c>
      <c r="AH232" s="197"/>
      <c r="AI232" s="499" t="str">
        <f>IF(AH232="","",IF(VLOOKUP(AH232,'G-3 Multipliers'!$S$3:$T$6,2,FALSE)=0,"Spatial Data Missing ⚠",VLOOKUP(AH232,'G-3 Multipliers'!$S$3:$T$6,2,FALSE)))</f>
        <v/>
      </c>
      <c r="AJ232" s="545" t="str">
        <f t="shared" si="31"/>
        <v/>
      </c>
      <c r="AK232" s="149"/>
      <c r="AL232" s="150"/>
      <c r="AP232" s="31" t="str">
        <f>IFERROR(INDEX('G-6 Hedgerow Data'!$BJ$3:$BJ$15,MATCH(M232,'G-6 Hedgerow Data'!$B$3:$B$15,0)),"")</f>
        <v/>
      </c>
    </row>
    <row r="233" spans="2:42" ht="14" x14ac:dyDescent="0.3">
      <c r="B233" s="531" t="str">
        <f>'E-1 Off Site Hedge Baseline'!AK231</f>
        <v/>
      </c>
      <c r="C233" s="520" t="str">
        <f>IF(B233="","",IF(ISNA(VLOOKUP($B233,'E-1 Off Site Hedge Baseline'!$B$1:$L$257,3,FALSE)),"",(VLOOKUP($B233,'E-1 Off Site Hedge Baseline'!$B$1:$L$257,3,FALSE))))</f>
        <v/>
      </c>
      <c r="D233" s="520" t="str">
        <f>IF(B233="","",IF(ISNA(VLOOKUP($B233,'E-1 Off Site Hedge Baseline'!$B$1:$L$258,4,FALSE)),"",(VLOOKUP($B233,'E-1 Off Site Hedge Baseline'!$B$1:$L$258,4,FALSE))))</f>
        <v/>
      </c>
      <c r="E233" s="520" t="str">
        <f>IF(B233="","",IF(ISNA(VLOOKUP($B233,'E-1 Off Site Hedge Baseline'!$B$1:$L$257,5,FALSE)),"",(VLOOKUP($B233,'E-1 Off Site Hedge Baseline'!$B$1:$L$257,5,FALSE))))</f>
        <v/>
      </c>
      <c r="F233" s="520" t="str">
        <f>IF(B233="","",IF(ISNA(VLOOKUP($B233,'E-1 Off Site Hedge Baseline'!$B$1:$L$257,6,FALSE)),"",(VLOOKUP($B233,'E-1 Off Site Hedge Baseline'!$B$1:$L$257,6,FALSE))))</f>
        <v/>
      </c>
      <c r="G233" s="520" t="str">
        <f>IF(B233="","",IF(ISNA(VLOOKUP($B233,'E-1 Off Site Hedge Baseline'!$B$1:$L$257,7,FALSE)),"",(VLOOKUP($B233,'E-1 Off Site Hedge Baseline'!$B$1:$L$257,7,FALSE))))</f>
        <v/>
      </c>
      <c r="H233" s="520" t="str">
        <f>IF(B233="","",IF(ISNA(VLOOKUP($B233,'E-1 Off Site Hedge Baseline'!$B$1:$L$257,8,FALSE)),"",(VLOOKUP($B233,'E-1 Off Site Hedge Baseline'!$B$1:$L$257,8,FALSE))))</f>
        <v/>
      </c>
      <c r="I233" s="520" t="str">
        <f>IF(B233="","",IF(ISNA(VLOOKUP($B233,'E-1 Off Site Hedge Baseline'!$B$1:$L$257,10,FALSE)),"",(VLOOKUP($B233,'E-1 Off Site Hedge Baseline'!$B$1:$L$257,10,FALSE))))</f>
        <v/>
      </c>
      <c r="J233" s="520" t="str">
        <f>IF(B233="","",IF(ISNA(VLOOKUP($B233,'E-1 Off Site Hedge Baseline'!$B$1:$L$257,11,FALSE)),"",(VLOOKUP($B233,'E-1 Off Site Hedge Baseline'!$B$1:$L$257,11,FALSE))))</f>
        <v/>
      </c>
      <c r="K233" s="520" t="str">
        <f>IF(B233="","",IF(ISNA(VLOOKUP($B233,'E-1 Off Site Hedge Baseline'!$B$1:$U$257,113,FALSE)),"",(VLOOKUP($B233,'E-1 Off Site Hedge Baseline'!$B$1:$U$257,13,FALSE))))</f>
        <v/>
      </c>
      <c r="L233" s="507" t="str">
        <f>IF(B233="","",IF(ISNA(VLOOKUP($B233,'E-1 Off Site Hedge Baseline'!$B$1:$U$257,12,FALSE)),"",(VLOOKUP($B233,'E-1 Off Site Hedge Baseline'!$B$1:$U$257,12,FALSE))))</f>
        <v/>
      </c>
      <c r="M233" s="418" t="str">
        <f t="shared" si="32"/>
        <v/>
      </c>
      <c r="N233" s="498" t="str">
        <f>IFERROR(IF(B233="","",INDEX('G-6 Hedgerow Data'!$AN$3:$AZ$15,MATCH(C233,'G-6 Hedgerow Data'!$AM$3:$AM$15,0),MATCH(M233,'G-6 Hedgerow Data'!$AN$2:$AZ$2,0))),"")</f>
        <v/>
      </c>
      <c r="O233" s="499" t="str">
        <f t="shared" si="26"/>
        <v/>
      </c>
      <c r="P233" s="505" t="str">
        <f>IF(B233="","",VLOOKUP(B233,'E-1 Off Site Hedge Baseline'!$B$10:T478,16,FALSE))</f>
        <v/>
      </c>
      <c r="Q233" s="498" t="str">
        <f>IF(M233="","",VLOOKUP(M233,'G-6 Hedgerow Data'!$B$2:$AG$15,2,FALSE))</f>
        <v/>
      </c>
      <c r="R233" s="499" t="str">
        <f>IF(M233="","",VLOOKUP(M233,'G-6 Hedgerow Data'!$B$2:$AG$15,3,FALSE))</f>
        <v/>
      </c>
      <c r="S233" s="145"/>
      <c r="T233" s="499" t="str">
        <f>IFERROR(IF(AND(Q233="V.Low",OR(S233="Good",S233="Moderate")),"Error ▲",VLOOKUP(S233,'G-1 All Habitats'!$Z$2:$AA$9,2,FALSE)),"")</f>
        <v/>
      </c>
      <c r="U233" s="145"/>
      <c r="V233" s="507" t="str">
        <f>IF(U233="","",IF(VLOOKUP(U233,'G-3 Multipliers'!$L$3:$N$6,2,FALSE)=0,"Spatial Data Missing ⚠",VLOOKUP(U233,'G-3 Multipliers'!$L$3:$N$6,2,FALSE)))</f>
        <v/>
      </c>
      <c r="W233" s="505" t="str">
        <f>IF(U233="","",IF(VLOOKUP(U233,'G-3 Multipliers'!$L$3:$N$6,3,FALSE)=0,"Spatial Data Missing ⚠",VLOOKUP(U233,'G-3 Multipliers'!$L$3:$N$6,3,FALSE)))</f>
        <v/>
      </c>
      <c r="X233" s="498" t="str">
        <f>IFERROR(IF(OR(LEFT(O233,5)="Error ▲",LEFT(N233,5)="Error ▲",T233="Error ▲"),"Check Data ⚠",IF(F233&lt;R233,INDEX('G-6 Hedgerow Data'!$S$3:$AE$14,MATCH(C233,'G-6 Hedgerow Data'!$B$3:$B$14,0),MATCH(M233,'G-6 Hedgerow Data'!$S$2:$AE$2,0)),INDEX('G-6 Hedgerow Data'!$K$3:$Q$14,MATCH(M233,'G-6 Hedgerow Data'!$B$3:$B$14,0),MATCH(O233,'G-6 Hedgerow Data'!$K$2:$Q$2,0)))),"")</f>
        <v/>
      </c>
      <c r="Y233" s="195"/>
      <c r="Z233" s="195"/>
      <c r="AA233" s="507" t="str">
        <f t="shared" si="27"/>
        <v/>
      </c>
      <c r="AB233" s="521" t="str">
        <f t="shared" si="28"/>
        <v/>
      </c>
      <c r="AC233" s="522" t="str">
        <f t="shared" si="25"/>
        <v/>
      </c>
      <c r="AD233" s="537" t="str">
        <f>IF(M233="","",VLOOKUP(M233,'G-6 Hedgerow Data'!$B$3:$AG$15,31,FALSE))</f>
        <v/>
      </c>
      <c r="AE233" s="520" t="str">
        <f t="shared" si="29"/>
        <v/>
      </c>
      <c r="AF233" s="520" t="str">
        <f t="shared" si="30"/>
        <v/>
      </c>
      <c r="AG233" s="524" t="str">
        <f>IFERROR(IF(O233="","",VLOOKUP(AD233,'G-3 Multipliers'!$P$3:$Q$6,2,FALSE)),"")</f>
        <v/>
      </c>
      <c r="AH233" s="197"/>
      <c r="AI233" s="499" t="str">
        <f>IF(AH233="","",IF(VLOOKUP(AH233,'G-3 Multipliers'!$S$3:$T$6,2,FALSE)=0,"Spatial Data Missing ⚠",VLOOKUP(AH233,'G-3 Multipliers'!$S$3:$T$6,2,FALSE)))</f>
        <v/>
      </c>
      <c r="AJ233" s="545" t="str">
        <f t="shared" si="31"/>
        <v/>
      </c>
      <c r="AK233" s="149"/>
      <c r="AL233" s="150"/>
      <c r="AP233" s="31" t="str">
        <f>IFERROR(INDEX('G-6 Hedgerow Data'!$BJ$3:$BJ$15,MATCH(M233,'G-6 Hedgerow Data'!$B$3:$B$15,0)),"")</f>
        <v/>
      </c>
    </row>
    <row r="234" spans="2:42" ht="14" x14ac:dyDescent="0.3">
      <c r="B234" s="531" t="str">
        <f>'E-1 Off Site Hedge Baseline'!AK232</f>
        <v/>
      </c>
      <c r="C234" s="520" t="str">
        <f>IF(B234="","",IF(ISNA(VLOOKUP($B234,'E-1 Off Site Hedge Baseline'!$B$1:$L$257,3,FALSE)),"",(VLOOKUP($B234,'E-1 Off Site Hedge Baseline'!$B$1:$L$257,3,FALSE))))</f>
        <v/>
      </c>
      <c r="D234" s="520" t="str">
        <f>IF(B234="","",IF(ISNA(VLOOKUP($B234,'E-1 Off Site Hedge Baseline'!$B$1:$L$258,4,FALSE)),"",(VLOOKUP($B234,'E-1 Off Site Hedge Baseline'!$B$1:$L$258,4,FALSE))))</f>
        <v/>
      </c>
      <c r="E234" s="520" t="str">
        <f>IF(B234="","",IF(ISNA(VLOOKUP($B234,'E-1 Off Site Hedge Baseline'!$B$1:$L$257,5,FALSE)),"",(VLOOKUP($B234,'E-1 Off Site Hedge Baseline'!$B$1:$L$257,5,FALSE))))</f>
        <v/>
      </c>
      <c r="F234" s="520" t="str">
        <f>IF(B234="","",IF(ISNA(VLOOKUP($B234,'E-1 Off Site Hedge Baseline'!$B$1:$L$257,6,FALSE)),"",(VLOOKUP($B234,'E-1 Off Site Hedge Baseline'!$B$1:$L$257,6,FALSE))))</f>
        <v/>
      </c>
      <c r="G234" s="520" t="str">
        <f>IF(B234="","",IF(ISNA(VLOOKUP($B234,'E-1 Off Site Hedge Baseline'!$B$1:$L$257,7,FALSE)),"",(VLOOKUP($B234,'E-1 Off Site Hedge Baseline'!$B$1:$L$257,7,FALSE))))</f>
        <v/>
      </c>
      <c r="H234" s="520" t="str">
        <f>IF(B234="","",IF(ISNA(VLOOKUP($B234,'E-1 Off Site Hedge Baseline'!$B$1:$L$257,8,FALSE)),"",(VLOOKUP($B234,'E-1 Off Site Hedge Baseline'!$B$1:$L$257,8,FALSE))))</f>
        <v/>
      </c>
      <c r="I234" s="520" t="str">
        <f>IF(B234="","",IF(ISNA(VLOOKUP($B234,'E-1 Off Site Hedge Baseline'!$B$1:$L$257,10,FALSE)),"",(VLOOKUP($B234,'E-1 Off Site Hedge Baseline'!$B$1:$L$257,10,FALSE))))</f>
        <v/>
      </c>
      <c r="J234" s="520" t="str">
        <f>IF(B234="","",IF(ISNA(VLOOKUP($B234,'E-1 Off Site Hedge Baseline'!$B$1:$L$257,11,FALSE)),"",(VLOOKUP($B234,'E-1 Off Site Hedge Baseline'!$B$1:$L$257,11,FALSE))))</f>
        <v/>
      </c>
      <c r="K234" s="520" t="str">
        <f>IF(B234="","",IF(ISNA(VLOOKUP($B234,'E-1 Off Site Hedge Baseline'!$B$1:$U$257,113,FALSE)),"",(VLOOKUP($B234,'E-1 Off Site Hedge Baseline'!$B$1:$U$257,13,FALSE))))</f>
        <v/>
      </c>
      <c r="L234" s="507" t="str">
        <f>IF(B234="","",IF(ISNA(VLOOKUP($B234,'E-1 Off Site Hedge Baseline'!$B$1:$U$257,12,FALSE)),"",(VLOOKUP($B234,'E-1 Off Site Hedge Baseline'!$B$1:$U$257,12,FALSE))))</f>
        <v/>
      </c>
      <c r="M234" s="418" t="str">
        <f t="shared" si="32"/>
        <v/>
      </c>
      <c r="N234" s="498" t="str">
        <f>IFERROR(IF(B234="","",INDEX('G-6 Hedgerow Data'!$AN$3:$AZ$15,MATCH(C234,'G-6 Hedgerow Data'!$AM$3:$AM$15,0),MATCH(M234,'G-6 Hedgerow Data'!$AN$2:$AZ$2,0))),"")</f>
        <v/>
      </c>
      <c r="O234" s="499" t="str">
        <f t="shared" si="26"/>
        <v/>
      </c>
      <c r="P234" s="505" t="str">
        <f>IF(B234="","",VLOOKUP(B234,'E-1 Off Site Hedge Baseline'!$B$10:T479,16,FALSE))</f>
        <v/>
      </c>
      <c r="Q234" s="498" t="str">
        <f>IF(M234="","",VLOOKUP(M234,'G-6 Hedgerow Data'!$B$2:$AG$15,2,FALSE))</f>
        <v/>
      </c>
      <c r="R234" s="499" t="str">
        <f>IF(M234="","",VLOOKUP(M234,'G-6 Hedgerow Data'!$B$2:$AG$15,3,FALSE))</f>
        <v/>
      </c>
      <c r="S234" s="145"/>
      <c r="T234" s="499" t="str">
        <f>IFERROR(IF(AND(Q234="V.Low",OR(S234="Good",S234="Moderate")),"Error ▲",VLOOKUP(S234,'G-1 All Habitats'!$Z$2:$AA$9,2,FALSE)),"")</f>
        <v/>
      </c>
      <c r="U234" s="145"/>
      <c r="V234" s="507" t="str">
        <f>IF(U234="","",IF(VLOOKUP(U234,'G-3 Multipliers'!$L$3:$N$6,2,FALSE)=0,"Spatial Data Missing ⚠",VLOOKUP(U234,'G-3 Multipliers'!$L$3:$N$6,2,FALSE)))</f>
        <v/>
      </c>
      <c r="W234" s="505" t="str">
        <f>IF(U234="","",IF(VLOOKUP(U234,'G-3 Multipliers'!$L$3:$N$6,3,FALSE)=0,"Spatial Data Missing ⚠",VLOOKUP(U234,'G-3 Multipliers'!$L$3:$N$6,3,FALSE)))</f>
        <v/>
      </c>
      <c r="X234" s="498" t="str">
        <f>IFERROR(IF(OR(LEFT(O234,5)="Error ▲",LEFT(N234,5)="Error ▲",T234="Error ▲"),"Check Data ⚠",IF(F234&lt;R234,INDEX('G-6 Hedgerow Data'!$S$3:$AE$14,MATCH(C234,'G-6 Hedgerow Data'!$B$3:$B$14,0),MATCH(M234,'G-6 Hedgerow Data'!$S$2:$AE$2,0)),INDEX('G-6 Hedgerow Data'!$K$3:$Q$14,MATCH(M234,'G-6 Hedgerow Data'!$B$3:$B$14,0),MATCH(O234,'G-6 Hedgerow Data'!$K$2:$Q$2,0)))),"")</f>
        <v/>
      </c>
      <c r="Y234" s="195"/>
      <c r="Z234" s="195"/>
      <c r="AA234" s="507" t="str">
        <f t="shared" si="27"/>
        <v/>
      </c>
      <c r="AB234" s="521" t="str">
        <f t="shared" si="28"/>
        <v/>
      </c>
      <c r="AC234" s="522" t="str">
        <f t="shared" si="25"/>
        <v/>
      </c>
      <c r="AD234" s="537" t="str">
        <f>IF(M234="","",VLOOKUP(M234,'G-6 Hedgerow Data'!$B$3:$AG$15,31,FALSE))</f>
        <v/>
      </c>
      <c r="AE234" s="520" t="str">
        <f t="shared" si="29"/>
        <v/>
      </c>
      <c r="AF234" s="520" t="str">
        <f t="shared" si="30"/>
        <v/>
      </c>
      <c r="AG234" s="524" t="str">
        <f>IFERROR(IF(O234="","",VLOOKUP(AD234,'G-3 Multipliers'!$P$3:$Q$6,2,FALSE)),"")</f>
        <v/>
      </c>
      <c r="AH234" s="197"/>
      <c r="AI234" s="499" t="str">
        <f>IF(AH234="","",IF(VLOOKUP(AH234,'G-3 Multipliers'!$S$3:$T$6,2,FALSE)=0,"Spatial Data Missing ⚠",VLOOKUP(AH234,'G-3 Multipliers'!$S$3:$T$6,2,FALSE)))</f>
        <v/>
      </c>
      <c r="AJ234" s="545" t="str">
        <f t="shared" si="31"/>
        <v/>
      </c>
      <c r="AK234" s="149"/>
      <c r="AL234" s="150"/>
      <c r="AP234" s="31" t="str">
        <f>IFERROR(INDEX('G-6 Hedgerow Data'!$BJ$3:$BJ$15,MATCH(M234,'G-6 Hedgerow Data'!$B$3:$B$15,0)),"")</f>
        <v/>
      </c>
    </row>
    <row r="235" spans="2:42" ht="14" x14ac:dyDescent="0.3">
      <c r="B235" s="531" t="str">
        <f>'E-1 Off Site Hedge Baseline'!AK233</f>
        <v/>
      </c>
      <c r="C235" s="520" t="str">
        <f>IF(B235="","",IF(ISNA(VLOOKUP($B235,'E-1 Off Site Hedge Baseline'!$B$1:$L$257,3,FALSE)),"",(VLOOKUP($B235,'E-1 Off Site Hedge Baseline'!$B$1:$L$257,3,FALSE))))</f>
        <v/>
      </c>
      <c r="D235" s="520" t="str">
        <f>IF(B235="","",IF(ISNA(VLOOKUP($B235,'E-1 Off Site Hedge Baseline'!$B$1:$L$258,4,FALSE)),"",(VLOOKUP($B235,'E-1 Off Site Hedge Baseline'!$B$1:$L$258,4,FALSE))))</f>
        <v/>
      </c>
      <c r="E235" s="520" t="str">
        <f>IF(B235="","",IF(ISNA(VLOOKUP($B235,'E-1 Off Site Hedge Baseline'!$B$1:$L$257,5,FALSE)),"",(VLOOKUP($B235,'E-1 Off Site Hedge Baseline'!$B$1:$L$257,5,FALSE))))</f>
        <v/>
      </c>
      <c r="F235" s="520" t="str">
        <f>IF(B235="","",IF(ISNA(VLOOKUP($B235,'E-1 Off Site Hedge Baseline'!$B$1:$L$257,6,FALSE)),"",(VLOOKUP($B235,'E-1 Off Site Hedge Baseline'!$B$1:$L$257,6,FALSE))))</f>
        <v/>
      </c>
      <c r="G235" s="520" t="str">
        <f>IF(B235="","",IF(ISNA(VLOOKUP($B235,'E-1 Off Site Hedge Baseline'!$B$1:$L$257,7,FALSE)),"",(VLOOKUP($B235,'E-1 Off Site Hedge Baseline'!$B$1:$L$257,7,FALSE))))</f>
        <v/>
      </c>
      <c r="H235" s="520" t="str">
        <f>IF(B235="","",IF(ISNA(VLOOKUP($B235,'E-1 Off Site Hedge Baseline'!$B$1:$L$257,8,FALSE)),"",(VLOOKUP($B235,'E-1 Off Site Hedge Baseline'!$B$1:$L$257,8,FALSE))))</f>
        <v/>
      </c>
      <c r="I235" s="520" t="str">
        <f>IF(B235="","",IF(ISNA(VLOOKUP($B235,'E-1 Off Site Hedge Baseline'!$B$1:$L$257,10,FALSE)),"",(VLOOKUP($B235,'E-1 Off Site Hedge Baseline'!$B$1:$L$257,10,FALSE))))</f>
        <v/>
      </c>
      <c r="J235" s="520" t="str">
        <f>IF(B235="","",IF(ISNA(VLOOKUP($B235,'E-1 Off Site Hedge Baseline'!$B$1:$L$257,11,FALSE)),"",(VLOOKUP($B235,'E-1 Off Site Hedge Baseline'!$B$1:$L$257,11,FALSE))))</f>
        <v/>
      </c>
      <c r="K235" s="520" t="str">
        <f>IF(B235="","",IF(ISNA(VLOOKUP($B235,'E-1 Off Site Hedge Baseline'!$B$1:$U$257,113,FALSE)),"",(VLOOKUP($B235,'E-1 Off Site Hedge Baseline'!$B$1:$U$257,13,FALSE))))</f>
        <v/>
      </c>
      <c r="L235" s="507" t="str">
        <f>IF(B235="","",IF(ISNA(VLOOKUP($B235,'E-1 Off Site Hedge Baseline'!$B$1:$U$257,12,FALSE)),"",(VLOOKUP($B235,'E-1 Off Site Hedge Baseline'!$B$1:$U$257,12,FALSE))))</f>
        <v/>
      </c>
      <c r="M235" s="418" t="str">
        <f t="shared" si="32"/>
        <v/>
      </c>
      <c r="N235" s="498" t="str">
        <f>IFERROR(IF(B235="","",INDEX('G-6 Hedgerow Data'!$AN$3:$AZ$15,MATCH(C235,'G-6 Hedgerow Data'!$AM$3:$AM$15,0),MATCH(M235,'G-6 Hedgerow Data'!$AN$2:$AZ$2,0))),"")</f>
        <v/>
      </c>
      <c r="O235" s="499" t="str">
        <f t="shared" si="26"/>
        <v/>
      </c>
      <c r="P235" s="505" t="str">
        <f>IF(B235="","",VLOOKUP(B235,'E-1 Off Site Hedge Baseline'!$B$10:T480,16,FALSE))</f>
        <v/>
      </c>
      <c r="Q235" s="498" t="str">
        <f>IF(M235="","",VLOOKUP(M235,'G-6 Hedgerow Data'!$B$2:$AG$15,2,FALSE))</f>
        <v/>
      </c>
      <c r="R235" s="499" t="str">
        <f>IF(M235="","",VLOOKUP(M235,'G-6 Hedgerow Data'!$B$2:$AG$15,3,FALSE))</f>
        <v/>
      </c>
      <c r="S235" s="145"/>
      <c r="T235" s="499" t="str">
        <f>IFERROR(IF(AND(Q235="V.Low",OR(S235="Good",S235="Moderate")),"Error ▲",VLOOKUP(S235,'G-1 All Habitats'!$Z$2:$AA$9,2,FALSE)),"")</f>
        <v/>
      </c>
      <c r="U235" s="145"/>
      <c r="V235" s="507" t="str">
        <f>IF(U235="","",IF(VLOOKUP(U235,'G-3 Multipliers'!$L$3:$N$6,2,FALSE)=0,"Spatial Data Missing ⚠",VLOOKUP(U235,'G-3 Multipliers'!$L$3:$N$6,2,FALSE)))</f>
        <v/>
      </c>
      <c r="W235" s="505" t="str">
        <f>IF(U235="","",IF(VLOOKUP(U235,'G-3 Multipliers'!$L$3:$N$6,3,FALSE)=0,"Spatial Data Missing ⚠",VLOOKUP(U235,'G-3 Multipliers'!$L$3:$N$6,3,FALSE)))</f>
        <v/>
      </c>
      <c r="X235" s="498" t="str">
        <f>IFERROR(IF(OR(LEFT(O235,5)="Error ▲",LEFT(N235,5)="Error ▲",T235="Error ▲"),"Check Data ⚠",IF(F235&lt;R235,INDEX('G-6 Hedgerow Data'!$S$3:$AE$14,MATCH(C235,'G-6 Hedgerow Data'!$B$3:$B$14,0),MATCH(M235,'G-6 Hedgerow Data'!$S$2:$AE$2,0)),INDEX('G-6 Hedgerow Data'!$K$3:$Q$14,MATCH(M235,'G-6 Hedgerow Data'!$B$3:$B$14,0),MATCH(O235,'G-6 Hedgerow Data'!$K$2:$Q$2,0)))),"")</f>
        <v/>
      </c>
      <c r="Y235" s="195"/>
      <c r="Z235" s="195"/>
      <c r="AA235" s="507" t="str">
        <f t="shared" si="27"/>
        <v/>
      </c>
      <c r="AB235" s="521" t="str">
        <f t="shared" si="28"/>
        <v/>
      </c>
      <c r="AC235" s="522" t="str">
        <f t="shared" si="25"/>
        <v/>
      </c>
      <c r="AD235" s="537" t="str">
        <f>IF(M235="","",VLOOKUP(M235,'G-6 Hedgerow Data'!$B$3:$AG$15,31,FALSE))</f>
        <v/>
      </c>
      <c r="AE235" s="520" t="str">
        <f t="shared" si="29"/>
        <v/>
      </c>
      <c r="AF235" s="520" t="str">
        <f t="shared" si="30"/>
        <v/>
      </c>
      <c r="AG235" s="524" t="str">
        <f>IFERROR(IF(O235="","",VLOOKUP(AD235,'G-3 Multipliers'!$P$3:$Q$6,2,FALSE)),"")</f>
        <v/>
      </c>
      <c r="AH235" s="197"/>
      <c r="AI235" s="499" t="str">
        <f>IF(AH235="","",IF(VLOOKUP(AH235,'G-3 Multipliers'!$S$3:$T$6,2,FALSE)=0,"Spatial Data Missing ⚠",VLOOKUP(AH235,'G-3 Multipliers'!$S$3:$T$6,2,FALSE)))</f>
        <v/>
      </c>
      <c r="AJ235" s="545" t="str">
        <f t="shared" si="31"/>
        <v/>
      </c>
      <c r="AK235" s="149"/>
      <c r="AL235" s="150"/>
      <c r="AP235" s="31" t="str">
        <f>IFERROR(INDEX('G-6 Hedgerow Data'!$BJ$3:$BJ$15,MATCH(M235,'G-6 Hedgerow Data'!$B$3:$B$15,0)),"")</f>
        <v/>
      </c>
    </row>
    <row r="236" spans="2:42" ht="14" x14ac:dyDescent="0.3">
      <c r="B236" s="531" t="str">
        <f>'E-1 Off Site Hedge Baseline'!AK234</f>
        <v/>
      </c>
      <c r="C236" s="520" t="str">
        <f>IF(B236="","",IF(ISNA(VLOOKUP($B236,'E-1 Off Site Hedge Baseline'!$B$1:$L$257,3,FALSE)),"",(VLOOKUP($B236,'E-1 Off Site Hedge Baseline'!$B$1:$L$257,3,FALSE))))</f>
        <v/>
      </c>
      <c r="D236" s="520" t="str">
        <f>IF(B236="","",IF(ISNA(VLOOKUP($B236,'E-1 Off Site Hedge Baseline'!$B$1:$L$258,4,FALSE)),"",(VLOOKUP($B236,'E-1 Off Site Hedge Baseline'!$B$1:$L$258,4,FALSE))))</f>
        <v/>
      </c>
      <c r="E236" s="520" t="str">
        <f>IF(B236="","",IF(ISNA(VLOOKUP($B236,'E-1 Off Site Hedge Baseline'!$B$1:$L$257,5,FALSE)),"",(VLOOKUP($B236,'E-1 Off Site Hedge Baseline'!$B$1:$L$257,5,FALSE))))</f>
        <v/>
      </c>
      <c r="F236" s="520" t="str">
        <f>IF(B236="","",IF(ISNA(VLOOKUP($B236,'E-1 Off Site Hedge Baseline'!$B$1:$L$257,6,FALSE)),"",(VLOOKUP($B236,'E-1 Off Site Hedge Baseline'!$B$1:$L$257,6,FALSE))))</f>
        <v/>
      </c>
      <c r="G236" s="520" t="str">
        <f>IF(B236="","",IF(ISNA(VLOOKUP($B236,'E-1 Off Site Hedge Baseline'!$B$1:$L$257,7,FALSE)),"",(VLOOKUP($B236,'E-1 Off Site Hedge Baseline'!$B$1:$L$257,7,FALSE))))</f>
        <v/>
      </c>
      <c r="H236" s="520" t="str">
        <f>IF(B236="","",IF(ISNA(VLOOKUP($B236,'E-1 Off Site Hedge Baseline'!$B$1:$L$257,8,FALSE)),"",(VLOOKUP($B236,'E-1 Off Site Hedge Baseline'!$B$1:$L$257,8,FALSE))))</f>
        <v/>
      </c>
      <c r="I236" s="520" t="str">
        <f>IF(B236="","",IF(ISNA(VLOOKUP($B236,'E-1 Off Site Hedge Baseline'!$B$1:$L$257,10,FALSE)),"",(VLOOKUP($B236,'E-1 Off Site Hedge Baseline'!$B$1:$L$257,10,FALSE))))</f>
        <v/>
      </c>
      <c r="J236" s="520" t="str">
        <f>IF(B236="","",IF(ISNA(VLOOKUP($B236,'E-1 Off Site Hedge Baseline'!$B$1:$L$257,11,FALSE)),"",(VLOOKUP($B236,'E-1 Off Site Hedge Baseline'!$B$1:$L$257,11,FALSE))))</f>
        <v/>
      </c>
      <c r="K236" s="520" t="str">
        <f>IF(B236="","",IF(ISNA(VLOOKUP($B236,'E-1 Off Site Hedge Baseline'!$B$1:$U$257,113,FALSE)),"",(VLOOKUP($B236,'E-1 Off Site Hedge Baseline'!$B$1:$U$257,13,FALSE))))</f>
        <v/>
      </c>
      <c r="L236" s="507" t="str">
        <f>IF(B236="","",IF(ISNA(VLOOKUP($B236,'E-1 Off Site Hedge Baseline'!$B$1:$U$257,12,FALSE)),"",(VLOOKUP($B236,'E-1 Off Site Hedge Baseline'!$B$1:$U$257,12,FALSE))))</f>
        <v/>
      </c>
      <c r="M236" s="418" t="str">
        <f t="shared" si="32"/>
        <v/>
      </c>
      <c r="N236" s="498" t="str">
        <f>IFERROR(IF(B236="","",INDEX('G-6 Hedgerow Data'!$AN$3:$AZ$15,MATCH(C236,'G-6 Hedgerow Data'!$AM$3:$AM$15,0),MATCH(M236,'G-6 Hedgerow Data'!$AN$2:$AZ$2,0))),"")</f>
        <v/>
      </c>
      <c r="O236" s="499" t="str">
        <f t="shared" si="26"/>
        <v/>
      </c>
      <c r="P236" s="505" t="str">
        <f>IF(B236="","",VLOOKUP(B236,'E-1 Off Site Hedge Baseline'!$B$10:T481,16,FALSE))</f>
        <v/>
      </c>
      <c r="Q236" s="498" t="str">
        <f>IF(M236="","",VLOOKUP(M236,'G-6 Hedgerow Data'!$B$2:$AG$15,2,FALSE))</f>
        <v/>
      </c>
      <c r="R236" s="499" t="str">
        <f>IF(M236="","",VLOOKUP(M236,'G-6 Hedgerow Data'!$B$2:$AG$15,3,FALSE))</f>
        <v/>
      </c>
      <c r="S236" s="145"/>
      <c r="T236" s="499" t="str">
        <f>IFERROR(IF(AND(Q236="V.Low",OR(S236="Good",S236="Moderate")),"Error ▲",VLOOKUP(S236,'G-1 All Habitats'!$Z$2:$AA$9,2,FALSE)),"")</f>
        <v/>
      </c>
      <c r="U236" s="145"/>
      <c r="V236" s="507" t="str">
        <f>IF(U236="","",IF(VLOOKUP(U236,'G-3 Multipliers'!$L$3:$N$6,2,FALSE)=0,"Spatial Data Missing ⚠",VLOOKUP(U236,'G-3 Multipliers'!$L$3:$N$6,2,FALSE)))</f>
        <v/>
      </c>
      <c r="W236" s="505" t="str">
        <f>IF(U236="","",IF(VLOOKUP(U236,'G-3 Multipliers'!$L$3:$N$6,3,FALSE)=0,"Spatial Data Missing ⚠",VLOOKUP(U236,'G-3 Multipliers'!$L$3:$N$6,3,FALSE)))</f>
        <v/>
      </c>
      <c r="X236" s="498" t="str">
        <f>IFERROR(IF(OR(LEFT(O236,5)="Error ▲",LEFT(N236,5)="Error ▲",T236="Error ▲"),"Check Data ⚠",IF(F236&lt;R236,INDEX('G-6 Hedgerow Data'!$S$3:$AE$14,MATCH(C236,'G-6 Hedgerow Data'!$B$3:$B$14,0),MATCH(M236,'G-6 Hedgerow Data'!$S$2:$AE$2,0)),INDEX('G-6 Hedgerow Data'!$K$3:$Q$14,MATCH(M236,'G-6 Hedgerow Data'!$B$3:$B$14,0),MATCH(O236,'G-6 Hedgerow Data'!$K$2:$Q$2,0)))),"")</f>
        <v/>
      </c>
      <c r="Y236" s="195"/>
      <c r="Z236" s="195"/>
      <c r="AA236" s="507" t="str">
        <f t="shared" si="27"/>
        <v/>
      </c>
      <c r="AB236" s="521" t="str">
        <f t="shared" si="28"/>
        <v/>
      </c>
      <c r="AC236" s="522" t="str">
        <f t="shared" si="25"/>
        <v/>
      </c>
      <c r="AD236" s="537" t="str">
        <f>IF(M236="","",VLOOKUP(M236,'G-6 Hedgerow Data'!$B$3:$AG$15,31,FALSE))</f>
        <v/>
      </c>
      <c r="AE236" s="520" t="str">
        <f t="shared" si="29"/>
        <v/>
      </c>
      <c r="AF236" s="520" t="str">
        <f t="shared" si="30"/>
        <v/>
      </c>
      <c r="AG236" s="524" t="str">
        <f>IFERROR(IF(O236="","",VLOOKUP(AD236,'G-3 Multipliers'!$P$3:$Q$6,2,FALSE)),"")</f>
        <v/>
      </c>
      <c r="AH236" s="197"/>
      <c r="AI236" s="499" t="str">
        <f>IF(AH236="","",IF(VLOOKUP(AH236,'G-3 Multipliers'!$S$3:$T$6,2,FALSE)=0,"Spatial Data Missing ⚠",VLOOKUP(AH236,'G-3 Multipliers'!$S$3:$T$6,2,FALSE)))</f>
        <v/>
      </c>
      <c r="AJ236" s="545" t="str">
        <f t="shared" si="31"/>
        <v/>
      </c>
      <c r="AK236" s="149"/>
      <c r="AL236" s="150"/>
      <c r="AP236" s="31" t="str">
        <f>IFERROR(INDEX('G-6 Hedgerow Data'!$BJ$3:$BJ$15,MATCH(M236,'G-6 Hedgerow Data'!$B$3:$B$15,0)),"")</f>
        <v/>
      </c>
    </row>
    <row r="237" spans="2:42" ht="14" x14ac:dyDescent="0.3">
      <c r="B237" s="531" t="str">
        <f>'E-1 Off Site Hedge Baseline'!AK235</f>
        <v/>
      </c>
      <c r="C237" s="520" t="str">
        <f>IF(B237="","",IF(ISNA(VLOOKUP($B237,'E-1 Off Site Hedge Baseline'!$B$1:$L$257,3,FALSE)),"",(VLOOKUP($B237,'E-1 Off Site Hedge Baseline'!$B$1:$L$257,3,FALSE))))</f>
        <v/>
      </c>
      <c r="D237" s="520" t="str">
        <f>IF(B237="","",IF(ISNA(VLOOKUP($B237,'E-1 Off Site Hedge Baseline'!$B$1:$L$258,4,FALSE)),"",(VLOOKUP($B237,'E-1 Off Site Hedge Baseline'!$B$1:$L$258,4,FALSE))))</f>
        <v/>
      </c>
      <c r="E237" s="520" t="str">
        <f>IF(B237="","",IF(ISNA(VLOOKUP($B237,'E-1 Off Site Hedge Baseline'!$B$1:$L$257,5,FALSE)),"",(VLOOKUP($B237,'E-1 Off Site Hedge Baseline'!$B$1:$L$257,5,FALSE))))</f>
        <v/>
      </c>
      <c r="F237" s="520" t="str">
        <f>IF(B237="","",IF(ISNA(VLOOKUP($B237,'E-1 Off Site Hedge Baseline'!$B$1:$L$257,6,FALSE)),"",(VLOOKUP($B237,'E-1 Off Site Hedge Baseline'!$B$1:$L$257,6,FALSE))))</f>
        <v/>
      </c>
      <c r="G237" s="520" t="str">
        <f>IF(B237="","",IF(ISNA(VLOOKUP($B237,'E-1 Off Site Hedge Baseline'!$B$1:$L$257,7,FALSE)),"",(VLOOKUP($B237,'E-1 Off Site Hedge Baseline'!$B$1:$L$257,7,FALSE))))</f>
        <v/>
      </c>
      <c r="H237" s="520" t="str">
        <f>IF(B237="","",IF(ISNA(VLOOKUP($B237,'E-1 Off Site Hedge Baseline'!$B$1:$L$257,8,FALSE)),"",(VLOOKUP($B237,'E-1 Off Site Hedge Baseline'!$B$1:$L$257,8,FALSE))))</f>
        <v/>
      </c>
      <c r="I237" s="520" t="str">
        <f>IF(B237="","",IF(ISNA(VLOOKUP($B237,'E-1 Off Site Hedge Baseline'!$B$1:$L$257,10,FALSE)),"",(VLOOKUP($B237,'E-1 Off Site Hedge Baseline'!$B$1:$L$257,10,FALSE))))</f>
        <v/>
      </c>
      <c r="J237" s="520" t="str">
        <f>IF(B237="","",IF(ISNA(VLOOKUP($B237,'E-1 Off Site Hedge Baseline'!$B$1:$L$257,11,FALSE)),"",(VLOOKUP($B237,'E-1 Off Site Hedge Baseline'!$B$1:$L$257,11,FALSE))))</f>
        <v/>
      </c>
      <c r="K237" s="520" t="str">
        <f>IF(B237="","",IF(ISNA(VLOOKUP($B237,'E-1 Off Site Hedge Baseline'!$B$1:$U$257,113,FALSE)),"",(VLOOKUP($B237,'E-1 Off Site Hedge Baseline'!$B$1:$U$257,13,FALSE))))</f>
        <v/>
      </c>
      <c r="L237" s="507" t="str">
        <f>IF(B237="","",IF(ISNA(VLOOKUP($B237,'E-1 Off Site Hedge Baseline'!$B$1:$U$257,12,FALSE)),"",(VLOOKUP($B237,'E-1 Off Site Hedge Baseline'!$B$1:$U$257,12,FALSE))))</f>
        <v/>
      </c>
      <c r="M237" s="418" t="str">
        <f t="shared" si="32"/>
        <v/>
      </c>
      <c r="N237" s="498" t="str">
        <f>IFERROR(IF(B237="","",INDEX('G-6 Hedgerow Data'!$AN$3:$AZ$15,MATCH(C237,'G-6 Hedgerow Data'!$AM$3:$AM$15,0),MATCH(M237,'G-6 Hedgerow Data'!$AN$2:$AZ$2,0))),"")</f>
        <v/>
      </c>
      <c r="O237" s="499" t="str">
        <f t="shared" si="26"/>
        <v/>
      </c>
      <c r="P237" s="505" t="str">
        <f>IF(B237="","",VLOOKUP(B237,'E-1 Off Site Hedge Baseline'!$B$10:T482,16,FALSE))</f>
        <v/>
      </c>
      <c r="Q237" s="498" t="str">
        <f>IF(M237="","",VLOOKUP(M237,'G-6 Hedgerow Data'!$B$2:$AG$15,2,FALSE))</f>
        <v/>
      </c>
      <c r="R237" s="499" t="str">
        <f>IF(M237="","",VLOOKUP(M237,'G-6 Hedgerow Data'!$B$2:$AG$15,3,FALSE))</f>
        <v/>
      </c>
      <c r="S237" s="145"/>
      <c r="T237" s="499" t="str">
        <f>IFERROR(IF(AND(Q237="V.Low",OR(S237="Good",S237="Moderate")),"Error ▲",VLOOKUP(S237,'G-1 All Habitats'!$Z$2:$AA$9,2,FALSE)),"")</f>
        <v/>
      </c>
      <c r="U237" s="145"/>
      <c r="V237" s="507" t="str">
        <f>IF(U237="","",IF(VLOOKUP(U237,'G-3 Multipliers'!$L$3:$N$6,2,FALSE)=0,"Spatial Data Missing ⚠",VLOOKUP(U237,'G-3 Multipliers'!$L$3:$N$6,2,FALSE)))</f>
        <v/>
      </c>
      <c r="W237" s="505" t="str">
        <f>IF(U237="","",IF(VLOOKUP(U237,'G-3 Multipliers'!$L$3:$N$6,3,FALSE)=0,"Spatial Data Missing ⚠",VLOOKUP(U237,'G-3 Multipliers'!$L$3:$N$6,3,FALSE)))</f>
        <v/>
      </c>
      <c r="X237" s="498" t="str">
        <f>IFERROR(IF(OR(LEFT(O237,5)="Error ▲",LEFT(N237,5)="Error ▲",T237="Error ▲"),"Check Data ⚠",IF(F237&lt;R237,INDEX('G-6 Hedgerow Data'!$S$3:$AE$14,MATCH(C237,'G-6 Hedgerow Data'!$B$3:$B$14,0),MATCH(M237,'G-6 Hedgerow Data'!$S$2:$AE$2,0)),INDEX('G-6 Hedgerow Data'!$K$3:$Q$14,MATCH(M237,'G-6 Hedgerow Data'!$B$3:$B$14,0),MATCH(O237,'G-6 Hedgerow Data'!$K$2:$Q$2,0)))),"")</f>
        <v/>
      </c>
      <c r="Y237" s="195"/>
      <c r="Z237" s="195"/>
      <c r="AA237" s="507" t="str">
        <f t="shared" si="27"/>
        <v/>
      </c>
      <c r="AB237" s="521" t="str">
        <f t="shared" si="28"/>
        <v/>
      </c>
      <c r="AC237" s="522" t="str">
        <f t="shared" si="25"/>
        <v/>
      </c>
      <c r="AD237" s="537" t="str">
        <f>IF(M237="","",VLOOKUP(M237,'G-6 Hedgerow Data'!$B$3:$AG$15,31,FALSE))</f>
        <v/>
      </c>
      <c r="AE237" s="520" t="str">
        <f t="shared" si="29"/>
        <v/>
      </c>
      <c r="AF237" s="520" t="str">
        <f t="shared" si="30"/>
        <v/>
      </c>
      <c r="AG237" s="524" t="str">
        <f>IFERROR(IF(O237="","",VLOOKUP(AD237,'G-3 Multipliers'!$P$3:$Q$6,2,FALSE)),"")</f>
        <v/>
      </c>
      <c r="AH237" s="197"/>
      <c r="AI237" s="499" t="str">
        <f>IF(AH237="","",IF(VLOOKUP(AH237,'G-3 Multipliers'!$S$3:$T$6,2,FALSE)=0,"Spatial Data Missing ⚠",VLOOKUP(AH237,'G-3 Multipliers'!$S$3:$T$6,2,FALSE)))</f>
        <v/>
      </c>
      <c r="AJ237" s="545" t="str">
        <f t="shared" si="31"/>
        <v/>
      </c>
      <c r="AK237" s="149"/>
      <c r="AL237" s="150"/>
      <c r="AP237" s="31" t="str">
        <f>IFERROR(INDEX('G-6 Hedgerow Data'!$BJ$3:$BJ$15,MATCH(M237,'G-6 Hedgerow Data'!$B$3:$B$15,0)),"")</f>
        <v/>
      </c>
    </row>
    <row r="238" spans="2:42" ht="14" x14ac:dyDescent="0.3">
      <c r="B238" s="531" t="str">
        <f>'E-1 Off Site Hedge Baseline'!AK236</f>
        <v/>
      </c>
      <c r="C238" s="520" t="str">
        <f>IF(B238="","",IF(ISNA(VLOOKUP($B238,'E-1 Off Site Hedge Baseline'!$B$1:$L$257,3,FALSE)),"",(VLOOKUP($B238,'E-1 Off Site Hedge Baseline'!$B$1:$L$257,3,FALSE))))</f>
        <v/>
      </c>
      <c r="D238" s="520" t="str">
        <f>IF(B238="","",IF(ISNA(VLOOKUP($B238,'E-1 Off Site Hedge Baseline'!$B$1:$L$258,4,FALSE)),"",(VLOOKUP($B238,'E-1 Off Site Hedge Baseline'!$B$1:$L$258,4,FALSE))))</f>
        <v/>
      </c>
      <c r="E238" s="520" t="str">
        <f>IF(B238="","",IF(ISNA(VLOOKUP($B238,'E-1 Off Site Hedge Baseline'!$B$1:$L$257,5,FALSE)),"",(VLOOKUP($B238,'E-1 Off Site Hedge Baseline'!$B$1:$L$257,5,FALSE))))</f>
        <v/>
      </c>
      <c r="F238" s="520" t="str">
        <f>IF(B238="","",IF(ISNA(VLOOKUP($B238,'E-1 Off Site Hedge Baseline'!$B$1:$L$257,6,FALSE)),"",(VLOOKUP($B238,'E-1 Off Site Hedge Baseline'!$B$1:$L$257,6,FALSE))))</f>
        <v/>
      </c>
      <c r="G238" s="520" t="str">
        <f>IF(B238="","",IF(ISNA(VLOOKUP($B238,'E-1 Off Site Hedge Baseline'!$B$1:$L$257,7,FALSE)),"",(VLOOKUP($B238,'E-1 Off Site Hedge Baseline'!$B$1:$L$257,7,FALSE))))</f>
        <v/>
      </c>
      <c r="H238" s="520" t="str">
        <f>IF(B238="","",IF(ISNA(VLOOKUP($B238,'E-1 Off Site Hedge Baseline'!$B$1:$L$257,8,FALSE)),"",(VLOOKUP($B238,'E-1 Off Site Hedge Baseline'!$B$1:$L$257,8,FALSE))))</f>
        <v/>
      </c>
      <c r="I238" s="520" t="str">
        <f>IF(B238="","",IF(ISNA(VLOOKUP($B238,'E-1 Off Site Hedge Baseline'!$B$1:$L$257,10,FALSE)),"",(VLOOKUP($B238,'E-1 Off Site Hedge Baseline'!$B$1:$L$257,10,FALSE))))</f>
        <v/>
      </c>
      <c r="J238" s="520" t="str">
        <f>IF(B238="","",IF(ISNA(VLOOKUP($B238,'E-1 Off Site Hedge Baseline'!$B$1:$L$257,11,FALSE)),"",(VLOOKUP($B238,'E-1 Off Site Hedge Baseline'!$B$1:$L$257,11,FALSE))))</f>
        <v/>
      </c>
      <c r="K238" s="520" t="str">
        <f>IF(B238="","",IF(ISNA(VLOOKUP($B238,'E-1 Off Site Hedge Baseline'!$B$1:$U$257,113,FALSE)),"",(VLOOKUP($B238,'E-1 Off Site Hedge Baseline'!$B$1:$U$257,13,FALSE))))</f>
        <v/>
      </c>
      <c r="L238" s="507" t="str">
        <f>IF(B238="","",IF(ISNA(VLOOKUP($B238,'E-1 Off Site Hedge Baseline'!$B$1:$U$257,12,FALSE)),"",(VLOOKUP($B238,'E-1 Off Site Hedge Baseline'!$B$1:$U$257,12,FALSE))))</f>
        <v/>
      </c>
      <c r="M238" s="418" t="str">
        <f t="shared" si="32"/>
        <v/>
      </c>
      <c r="N238" s="498" t="str">
        <f>IFERROR(IF(B238="","",INDEX('G-6 Hedgerow Data'!$AN$3:$AZ$15,MATCH(C238,'G-6 Hedgerow Data'!$AM$3:$AM$15,0),MATCH(M238,'G-6 Hedgerow Data'!$AN$2:$AZ$2,0))),"")</f>
        <v/>
      </c>
      <c r="O238" s="499" t="str">
        <f t="shared" si="26"/>
        <v/>
      </c>
      <c r="P238" s="505" t="str">
        <f>IF(B238="","",VLOOKUP(B238,'E-1 Off Site Hedge Baseline'!$B$10:T483,16,FALSE))</f>
        <v/>
      </c>
      <c r="Q238" s="498" t="str">
        <f>IF(M238="","",VLOOKUP(M238,'G-6 Hedgerow Data'!$B$2:$AG$15,2,FALSE))</f>
        <v/>
      </c>
      <c r="R238" s="499" t="str">
        <f>IF(M238="","",VLOOKUP(M238,'G-6 Hedgerow Data'!$B$2:$AG$15,3,FALSE))</f>
        <v/>
      </c>
      <c r="S238" s="145"/>
      <c r="T238" s="499" t="str">
        <f>IFERROR(IF(AND(Q238="V.Low",OR(S238="Good",S238="Moderate")),"Error ▲",VLOOKUP(S238,'G-1 All Habitats'!$Z$2:$AA$9,2,FALSE)),"")</f>
        <v/>
      </c>
      <c r="U238" s="145"/>
      <c r="V238" s="507" t="str">
        <f>IF(U238="","",IF(VLOOKUP(U238,'G-3 Multipliers'!$L$3:$N$6,2,FALSE)=0,"Spatial Data Missing ⚠",VLOOKUP(U238,'G-3 Multipliers'!$L$3:$N$6,2,FALSE)))</f>
        <v/>
      </c>
      <c r="W238" s="505" t="str">
        <f>IF(U238="","",IF(VLOOKUP(U238,'G-3 Multipliers'!$L$3:$N$6,3,FALSE)=0,"Spatial Data Missing ⚠",VLOOKUP(U238,'G-3 Multipliers'!$L$3:$N$6,3,FALSE)))</f>
        <v/>
      </c>
      <c r="X238" s="498" t="str">
        <f>IFERROR(IF(OR(LEFT(O238,5)="Error ▲",LEFT(N238,5)="Error ▲",T238="Error ▲"),"Check Data ⚠",IF(F238&lt;R238,INDEX('G-6 Hedgerow Data'!$S$3:$AE$14,MATCH(C238,'G-6 Hedgerow Data'!$B$3:$B$14,0),MATCH(M238,'G-6 Hedgerow Data'!$S$2:$AE$2,0)),INDEX('G-6 Hedgerow Data'!$K$3:$Q$14,MATCH(M238,'G-6 Hedgerow Data'!$B$3:$B$14,0),MATCH(O238,'G-6 Hedgerow Data'!$K$2:$Q$2,0)))),"")</f>
        <v/>
      </c>
      <c r="Y238" s="195"/>
      <c r="Z238" s="195"/>
      <c r="AA238" s="507" t="str">
        <f t="shared" si="27"/>
        <v/>
      </c>
      <c r="AB238" s="521" t="str">
        <f t="shared" si="28"/>
        <v/>
      </c>
      <c r="AC238" s="522" t="str">
        <f t="shared" si="25"/>
        <v/>
      </c>
      <c r="AD238" s="537" t="str">
        <f>IF(M238="","",VLOOKUP(M238,'G-6 Hedgerow Data'!$B$3:$AG$15,31,FALSE))</f>
        <v/>
      </c>
      <c r="AE238" s="520" t="str">
        <f t="shared" si="29"/>
        <v/>
      </c>
      <c r="AF238" s="520" t="str">
        <f t="shared" si="30"/>
        <v/>
      </c>
      <c r="AG238" s="524" t="str">
        <f>IFERROR(IF(O238="","",VLOOKUP(AD238,'G-3 Multipliers'!$P$3:$Q$6,2,FALSE)),"")</f>
        <v/>
      </c>
      <c r="AH238" s="197"/>
      <c r="AI238" s="499" t="str">
        <f>IF(AH238="","",IF(VLOOKUP(AH238,'G-3 Multipliers'!$S$3:$T$6,2,FALSE)=0,"Spatial Data Missing ⚠",VLOOKUP(AH238,'G-3 Multipliers'!$S$3:$T$6,2,FALSE)))</f>
        <v/>
      </c>
      <c r="AJ238" s="545" t="str">
        <f t="shared" si="31"/>
        <v/>
      </c>
      <c r="AK238" s="149"/>
      <c r="AL238" s="150"/>
      <c r="AP238" s="31" t="str">
        <f>IFERROR(INDEX('G-6 Hedgerow Data'!$BJ$3:$BJ$15,MATCH(M238,'G-6 Hedgerow Data'!$B$3:$B$15,0)),"")</f>
        <v/>
      </c>
    </row>
    <row r="239" spans="2:42" ht="14" x14ac:dyDescent="0.3">
      <c r="B239" s="531" t="str">
        <f>'E-1 Off Site Hedge Baseline'!AK237</f>
        <v/>
      </c>
      <c r="C239" s="520" t="str">
        <f>IF(B239="","",IF(ISNA(VLOOKUP($B239,'E-1 Off Site Hedge Baseline'!$B$1:$L$257,3,FALSE)),"",(VLOOKUP($B239,'E-1 Off Site Hedge Baseline'!$B$1:$L$257,3,FALSE))))</f>
        <v/>
      </c>
      <c r="D239" s="520" t="str">
        <f>IF(B239="","",IF(ISNA(VLOOKUP($B239,'E-1 Off Site Hedge Baseline'!$B$1:$L$258,4,FALSE)),"",(VLOOKUP($B239,'E-1 Off Site Hedge Baseline'!$B$1:$L$258,4,FALSE))))</f>
        <v/>
      </c>
      <c r="E239" s="520" t="str">
        <f>IF(B239="","",IF(ISNA(VLOOKUP($B239,'E-1 Off Site Hedge Baseline'!$B$1:$L$257,5,FALSE)),"",(VLOOKUP($B239,'E-1 Off Site Hedge Baseline'!$B$1:$L$257,5,FALSE))))</f>
        <v/>
      </c>
      <c r="F239" s="520" t="str">
        <f>IF(B239="","",IF(ISNA(VLOOKUP($B239,'E-1 Off Site Hedge Baseline'!$B$1:$L$257,6,FALSE)),"",(VLOOKUP($B239,'E-1 Off Site Hedge Baseline'!$B$1:$L$257,6,FALSE))))</f>
        <v/>
      </c>
      <c r="G239" s="520" t="str">
        <f>IF(B239="","",IF(ISNA(VLOOKUP($B239,'E-1 Off Site Hedge Baseline'!$B$1:$L$257,7,FALSE)),"",(VLOOKUP($B239,'E-1 Off Site Hedge Baseline'!$B$1:$L$257,7,FALSE))))</f>
        <v/>
      </c>
      <c r="H239" s="520" t="str">
        <f>IF(B239="","",IF(ISNA(VLOOKUP($B239,'E-1 Off Site Hedge Baseline'!$B$1:$L$257,8,FALSE)),"",(VLOOKUP($B239,'E-1 Off Site Hedge Baseline'!$B$1:$L$257,8,FALSE))))</f>
        <v/>
      </c>
      <c r="I239" s="520" t="str">
        <f>IF(B239="","",IF(ISNA(VLOOKUP($B239,'E-1 Off Site Hedge Baseline'!$B$1:$L$257,10,FALSE)),"",(VLOOKUP($B239,'E-1 Off Site Hedge Baseline'!$B$1:$L$257,10,FALSE))))</f>
        <v/>
      </c>
      <c r="J239" s="520" t="str">
        <f>IF(B239="","",IF(ISNA(VLOOKUP($B239,'E-1 Off Site Hedge Baseline'!$B$1:$L$257,11,FALSE)),"",(VLOOKUP($B239,'E-1 Off Site Hedge Baseline'!$B$1:$L$257,11,FALSE))))</f>
        <v/>
      </c>
      <c r="K239" s="520" t="str">
        <f>IF(B239="","",IF(ISNA(VLOOKUP($B239,'E-1 Off Site Hedge Baseline'!$B$1:$U$257,113,FALSE)),"",(VLOOKUP($B239,'E-1 Off Site Hedge Baseline'!$B$1:$U$257,13,FALSE))))</f>
        <v/>
      </c>
      <c r="L239" s="507" t="str">
        <f>IF(B239="","",IF(ISNA(VLOOKUP($B239,'E-1 Off Site Hedge Baseline'!$B$1:$U$257,12,FALSE)),"",(VLOOKUP($B239,'E-1 Off Site Hedge Baseline'!$B$1:$U$257,12,FALSE))))</f>
        <v/>
      </c>
      <c r="M239" s="418" t="str">
        <f t="shared" si="32"/>
        <v/>
      </c>
      <c r="N239" s="498" t="str">
        <f>IFERROR(IF(B239="","",INDEX('G-6 Hedgerow Data'!$AN$3:$AZ$15,MATCH(C239,'G-6 Hedgerow Data'!$AM$3:$AM$15,0),MATCH(M239,'G-6 Hedgerow Data'!$AN$2:$AZ$2,0))),"")</f>
        <v/>
      </c>
      <c r="O239" s="499" t="str">
        <f t="shared" si="26"/>
        <v/>
      </c>
      <c r="P239" s="505" t="str">
        <f>IF(B239="","",VLOOKUP(B239,'E-1 Off Site Hedge Baseline'!$B$10:T484,16,FALSE))</f>
        <v/>
      </c>
      <c r="Q239" s="498" t="str">
        <f>IF(M239="","",VLOOKUP(M239,'G-6 Hedgerow Data'!$B$2:$AG$15,2,FALSE))</f>
        <v/>
      </c>
      <c r="R239" s="499" t="str">
        <f>IF(M239="","",VLOOKUP(M239,'G-6 Hedgerow Data'!$B$2:$AG$15,3,FALSE))</f>
        <v/>
      </c>
      <c r="S239" s="145"/>
      <c r="T239" s="499" t="str">
        <f>IFERROR(IF(AND(Q239="V.Low",OR(S239="Good",S239="Moderate")),"Error ▲",VLOOKUP(S239,'G-1 All Habitats'!$Z$2:$AA$9,2,FALSE)),"")</f>
        <v/>
      </c>
      <c r="U239" s="145"/>
      <c r="V239" s="507" t="str">
        <f>IF(U239="","",IF(VLOOKUP(U239,'G-3 Multipliers'!$L$3:$N$6,2,FALSE)=0,"Spatial Data Missing ⚠",VLOOKUP(U239,'G-3 Multipliers'!$L$3:$N$6,2,FALSE)))</f>
        <v/>
      </c>
      <c r="W239" s="505" t="str">
        <f>IF(U239="","",IF(VLOOKUP(U239,'G-3 Multipliers'!$L$3:$N$6,3,FALSE)=0,"Spatial Data Missing ⚠",VLOOKUP(U239,'G-3 Multipliers'!$L$3:$N$6,3,FALSE)))</f>
        <v/>
      </c>
      <c r="X239" s="498" t="str">
        <f>IFERROR(IF(OR(LEFT(O239,5)="Error ▲",LEFT(N239,5)="Error ▲",T239="Error ▲"),"Check Data ⚠",IF(F239&lt;R239,INDEX('G-6 Hedgerow Data'!$S$3:$AE$14,MATCH(C239,'G-6 Hedgerow Data'!$B$3:$B$14,0),MATCH(M239,'G-6 Hedgerow Data'!$S$2:$AE$2,0)),INDEX('G-6 Hedgerow Data'!$K$3:$Q$14,MATCH(M239,'G-6 Hedgerow Data'!$B$3:$B$14,0),MATCH(O239,'G-6 Hedgerow Data'!$K$2:$Q$2,0)))),"")</f>
        <v/>
      </c>
      <c r="Y239" s="195"/>
      <c r="Z239" s="195"/>
      <c r="AA239" s="507" t="str">
        <f t="shared" si="27"/>
        <v/>
      </c>
      <c r="AB239" s="521" t="str">
        <f t="shared" si="28"/>
        <v/>
      </c>
      <c r="AC239" s="522" t="str">
        <f t="shared" si="25"/>
        <v/>
      </c>
      <c r="AD239" s="537" t="str">
        <f>IF(M239="","",VLOOKUP(M239,'G-6 Hedgerow Data'!$B$3:$AG$15,31,FALSE))</f>
        <v/>
      </c>
      <c r="AE239" s="520" t="str">
        <f t="shared" si="29"/>
        <v/>
      </c>
      <c r="AF239" s="520" t="str">
        <f t="shared" si="30"/>
        <v/>
      </c>
      <c r="AG239" s="524" t="str">
        <f>IFERROR(IF(O239="","",VLOOKUP(AD239,'G-3 Multipliers'!$P$3:$Q$6,2,FALSE)),"")</f>
        <v/>
      </c>
      <c r="AH239" s="197"/>
      <c r="AI239" s="499" t="str">
        <f>IF(AH239="","",IF(VLOOKUP(AH239,'G-3 Multipliers'!$S$3:$T$6,2,FALSE)=0,"Spatial Data Missing ⚠",VLOOKUP(AH239,'G-3 Multipliers'!$S$3:$T$6,2,FALSE)))</f>
        <v/>
      </c>
      <c r="AJ239" s="545" t="str">
        <f t="shared" si="31"/>
        <v/>
      </c>
      <c r="AK239" s="149"/>
      <c r="AL239" s="150"/>
      <c r="AP239" s="31" t="str">
        <f>IFERROR(INDEX('G-6 Hedgerow Data'!$BJ$3:$BJ$15,MATCH(M239,'G-6 Hedgerow Data'!$B$3:$B$15,0)),"")</f>
        <v/>
      </c>
    </row>
    <row r="240" spans="2:42" ht="14" x14ac:dyDescent="0.3">
      <c r="B240" s="531" t="str">
        <f>'E-1 Off Site Hedge Baseline'!AK238</f>
        <v/>
      </c>
      <c r="C240" s="520" t="str">
        <f>IF(B240="","",IF(ISNA(VLOOKUP($B240,'E-1 Off Site Hedge Baseline'!$B$1:$L$257,3,FALSE)),"",(VLOOKUP($B240,'E-1 Off Site Hedge Baseline'!$B$1:$L$257,3,FALSE))))</f>
        <v/>
      </c>
      <c r="D240" s="520" t="str">
        <f>IF(B240="","",IF(ISNA(VLOOKUP($B240,'E-1 Off Site Hedge Baseline'!$B$1:$L$258,4,FALSE)),"",(VLOOKUP($B240,'E-1 Off Site Hedge Baseline'!$B$1:$L$258,4,FALSE))))</f>
        <v/>
      </c>
      <c r="E240" s="520" t="str">
        <f>IF(B240="","",IF(ISNA(VLOOKUP($B240,'E-1 Off Site Hedge Baseline'!$B$1:$L$257,5,FALSE)),"",(VLOOKUP($B240,'E-1 Off Site Hedge Baseline'!$B$1:$L$257,5,FALSE))))</f>
        <v/>
      </c>
      <c r="F240" s="520" t="str">
        <f>IF(B240="","",IF(ISNA(VLOOKUP($B240,'E-1 Off Site Hedge Baseline'!$B$1:$L$257,6,FALSE)),"",(VLOOKUP($B240,'E-1 Off Site Hedge Baseline'!$B$1:$L$257,6,FALSE))))</f>
        <v/>
      </c>
      <c r="G240" s="520" t="str">
        <f>IF(B240="","",IF(ISNA(VLOOKUP($B240,'E-1 Off Site Hedge Baseline'!$B$1:$L$257,7,FALSE)),"",(VLOOKUP($B240,'E-1 Off Site Hedge Baseline'!$B$1:$L$257,7,FALSE))))</f>
        <v/>
      </c>
      <c r="H240" s="520" t="str">
        <f>IF(B240="","",IF(ISNA(VLOOKUP($B240,'E-1 Off Site Hedge Baseline'!$B$1:$L$257,8,FALSE)),"",(VLOOKUP($B240,'E-1 Off Site Hedge Baseline'!$B$1:$L$257,8,FALSE))))</f>
        <v/>
      </c>
      <c r="I240" s="520" t="str">
        <f>IF(B240="","",IF(ISNA(VLOOKUP($B240,'E-1 Off Site Hedge Baseline'!$B$1:$L$257,10,FALSE)),"",(VLOOKUP($B240,'E-1 Off Site Hedge Baseline'!$B$1:$L$257,10,FALSE))))</f>
        <v/>
      </c>
      <c r="J240" s="520" t="str">
        <f>IF(B240="","",IF(ISNA(VLOOKUP($B240,'E-1 Off Site Hedge Baseline'!$B$1:$L$257,11,FALSE)),"",(VLOOKUP($B240,'E-1 Off Site Hedge Baseline'!$B$1:$L$257,11,FALSE))))</f>
        <v/>
      </c>
      <c r="K240" s="520" t="str">
        <f>IF(B240="","",IF(ISNA(VLOOKUP($B240,'E-1 Off Site Hedge Baseline'!$B$1:$U$257,113,FALSE)),"",(VLOOKUP($B240,'E-1 Off Site Hedge Baseline'!$B$1:$U$257,13,FALSE))))</f>
        <v/>
      </c>
      <c r="L240" s="507" t="str">
        <f>IF(B240="","",IF(ISNA(VLOOKUP($B240,'E-1 Off Site Hedge Baseline'!$B$1:$U$257,12,FALSE)),"",(VLOOKUP($B240,'E-1 Off Site Hedge Baseline'!$B$1:$U$257,12,FALSE))))</f>
        <v/>
      </c>
      <c r="M240" s="418" t="str">
        <f t="shared" si="32"/>
        <v/>
      </c>
      <c r="N240" s="498" t="str">
        <f>IFERROR(IF(B240="","",INDEX('G-6 Hedgerow Data'!$AN$3:$AZ$15,MATCH(C240,'G-6 Hedgerow Data'!$AM$3:$AM$15,0),MATCH(M240,'G-6 Hedgerow Data'!$AN$2:$AZ$2,0))),"")</f>
        <v/>
      </c>
      <c r="O240" s="499" t="str">
        <f t="shared" si="26"/>
        <v/>
      </c>
      <c r="P240" s="505" t="str">
        <f>IF(B240="","",VLOOKUP(B240,'E-1 Off Site Hedge Baseline'!$B$10:T485,16,FALSE))</f>
        <v/>
      </c>
      <c r="Q240" s="498" t="str">
        <f>IF(M240="","",VLOOKUP(M240,'G-6 Hedgerow Data'!$B$2:$AG$15,2,FALSE))</f>
        <v/>
      </c>
      <c r="R240" s="499" t="str">
        <f>IF(M240="","",VLOOKUP(M240,'G-6 Hedgerow Data'!$B$2:$AG$15,3,FALSE))</f>
        <v/>
      </c>
      <c r="S240" s="145"/>
      <c r="T240" s="499" t="str">
        <f>IFERROR(IF(AND(Q240="V.Low",OR(S240="Good",S240="Moderate")),"Error ▲",VLOOKUP(S240,'G-1 All Habitats'!$Z$2:$AA$9,2,FALSE)),"")</f>
        <v/>
      </c>
      <c r="U240" s="145"/>
      <c r="V240" s="507" t="str">
        <f>IF(U240="","",IF(VLOOKUP(U240,'G-3 Multipliers'!$L$3:$N$6,2,FALSE)=0,"Spatial Data Missing ⚠",VLOOKUP(U240,'G-3 Multipliers'!$L$3:$N$6,2,FALSE)))</f>
        <v/>
      </c>
      <c r="W240" s="505" t="str">
        <f>IF(U240="","",IF(VLOOKUP(U240,'G-3 Multipliers'!$L$3:$N$6,3,FALSE)=0,"Spatial Data Missing ⚠",VLOOKUP(U240,'G-3 Multipliers'!$L$3:$N$6,3,FALSE)))</f>
        <v/>
      </c>
      <c r="X240" s="498" t="str">
        <f>IFERROR(IF(OR(LEFT(O240,5)="Error ▲",LEFT(N240,5)="Error ▲",T240="Error ▲"),"Check Data ⚠",IF(F240&lt;R240,INDEX('G-6 Hedgerow Data'!$S$3:$AE$14,MATCH(C240,'G-6 Hedgerow Data'!$B$3:$B$14,0),MATCH(M240,'G-6 Hedgerow Data'!$S$2:$AE$2,0)),INDEX('G-6 Hedgerow Data'!$K$3:$Q$14,MATCH(M240,'G-6 Hedgerow Data'!$B$3:$B$14,0),MATCH(O240,'G-6 Hedgerow Data'!$K$2:$Q$2,0)))),"")</f>
        <v/>
      </c>
      <c r="Y240" s="195"/>
      <c r="Z240" s="195"/>
      <c r="AA240" s="507" t="str">
        <f t="shared" si="27"/>
        <v/>
      </c>
      <c r="AB240" s="521" t="str">
        <f t="shared" si="28"/>
        <v/>
      </c>
      <c r="AC240" s="522" t="str">
        <f t="shared" si="25"/>
        <v/>
      </c>
      <c r="AD240" s="537" t="str">
        <f>IF(M240="","",VLOOKUP(M240,'G-6 Hedgerow Data'!$B$3:$AG$15,31,FALSE))</f>
        <v/>
      </c>
      <c r="AE240" s="520" t="str">
        <f t="shared" si="29"/>
        <v/>
      </c>
      <c r="AF240" s="520" t="str">
        <f t="shared" si="30"/>
        <v/>
      </c>
      <c r="AG240" s="524" t="str">
        <f>IFERROR(IF(O240="","",VLOOKUP(AD240,'G-3 Multipliers'!$P$3:$Q$6,2,FALSE)),"")</f>
        <v/>
      </c>
      <c r="AH240" s="197"/>
      <c r="AI240" s="499" t="str">
        <f>IF(AH240="","",IF(VLOOKUP(AH240,'G-3 Multipliers'!$S$3:$T$6,2,FALSE)=0,"Spatial Data Missing ⚠",VLOOKUP(AH240,'G-3 Multipliers'!$S$3:$T$6,2,FALSE)))</f>
        <v/>
      </c>
      <c r="AJ240" s="545" t="str">
        <f t="shared" si="31"/>
        <v/>
      </c>
      <c r="AK240" s="149"/>
      <c r="AL240" s="150"/>
      <c r="AP240" s="31" t="str">
        <f>IFERROR(INDEX('G-6 Hedgerow Data'!$BJ$3:$BJ$15,MATCH(M240,'G-6 Hedgerow Data'!$B$3:$B$15,0)),"")</f>
        <v/>
      </c>
    </row>
    <row r="241" spans="2:42" ht="14" x14ac:dyDescent="0.3">
      <c r="B241" s="531" t="str">
        <f>'E-1 Off Site Hedge Baseline'!AK239</f>
        <v/>
      </c>
      <c r="C241" s="520" t="str">
        <f>IF(B241="","",IF(ISNA(VLOOKUP($B241,'E-1 Off Site Hedge Baseline'!$B$1:$L$257,3,FALSE)),"",(VLOOKUP($B241,'E-1 Off Site Hedge Baseline'!$B$1:$L$257,3,FALSE))))</f>
        <v/>
      </c>
      <c r="D241" s="520" t="str">
        <f>IF(B241="","",IF(ISNA(VLOOKUP($B241,'E-1 Off Site Hedge Baseline'!$B$1:$L$258,4,FALSE)),"",(VLOOKUP($B241,'E-1 Off Site Hedge Baseline'!$B$1:$L$258,4,FALSE))))</f>
        <v/>
      </c>
      <c r="E241" s="520" t="str">
        <f>IF(B241="","",IF(ISNA(VLOOKUP($B241,'E-1 Off Site Hedge Baseline'!$B$1:$L$257,5,FALSE)),"",(VLOOKUP($B241,'E-1 Off Site Hedge Baseline'!$B$1:$L$257,5,FALSE))))</f>
        <v/>
      </c>
      <c r="F241" s="520" t="str">
        <f>IF(B241="","",IF(ISNA(VLOOKUP($B241,'E-1 Off Site Hedge Baseline'!$B$1:$L$257,6,FALSE)),"",(VLOOKUP($B241,'E-1 Off Site Hedge Baseline'!$B$1:$L$257,6,FALSE))))</f>
        <v/>
      </c>
      <c r="G241" s="520" t="str">
        <f>IF(B241="","",IF(ISNA(VLOOKUP($B241,'E-1 Off Site Hedge Baseline'!$B$1:$L$257,7,FALSE)),"",(VLOOKUP($B241,'E-1 Off Site Hedge Baseline'!$B$1:$L$257,7,FALSE))))</f>
        <v/>
      </c>
      <c r="H241" s="520" t="str">
        <f>IF(B241="","",IF(ISNA(VLOOKUP($B241,'E-1 Off Site Hedge Baseline'!$B$1:$L$257,8,FALSE)),"",(VLOOKUP($B241,'E-1 Off Site Hedge Baseline'!$B$1:$L$257,8,FALSE))))</f>
        <v/>
      </c>
      <c r="I241" s="520" t="str">
        <f>IF(B241="","",IF(ISNA(VLOOKUP($B241,'E-1 Off Site Hedge Baseline'!$B$1:$L$257,10,FALSE)),"",(VLOOKUP($B241,'E-1 Off Site Hedge Baseline'!$B$1:$L$257,10,FALSE))))</f>
        <v/>
      </c>
      <c r="J241" s="520" t="str">
        <f>IF(B241="","",IF(ISNA(VLOOKUP($B241,'E-1 Off Site Hedge Baseline'!$B$1:$L$257,11,FALSE)),"",(VLOOKUP($B241,'E-1 Off Site Hedge Baseline'!$B$1:$L$257,11,FALSE))))</f>
        <v/>
      </c>
      <c r="K241" s="520" t="str">
        <f>IF(B241="","",IF(ISNA(VLOOKUP($B241,'E-1 Off Site Hedge Baseline'!$B$1:$U$257,113,FALSE)),"",(VLOOKUP($B241,'E-1 Off Site Hedge Baseline'!$B$1:$U$257,13,FALSE))))</f>
        <v/>
      </c>
      <c r="L241" s="507" t="str">
        <f>IF(B241="","",IF(ISNA(VLOOKUP($B241,'E-1 Off Site Hedge Baseline'!$B$1:$U$257,12,FALSE)),"",(VLOOKUP($B241,'E-1 Off Site Hedge Baseline'!$B$1:$U$257,12,FALSE))))</f>
        <v/>
      </c>
      <c r="M241" s="418" t="str">
        <f t="shared" si="32"/>
        <v/>
      </c>
      <c r="N241" s="498" t="str">
        <f>IFERROR(IF(B241="","",INDEX('G-6 Hedgerow Data'!$AN$3:$AZ$15,MATCH(C241,'G-6 Hedgerow Data'!$AM$3:$AM$15,0),MATCH(M241,'G-6 Hedgerow Data'!$AN$2:$AZ$2,0))),"")</f>
        <v/>
      </c>
      <c r="O241" s="499" t="str">
        <f t="shared" si="26"/>
        <v/>
      </c>
      <c r="P241" s="505" t="str">
        <f>IF(B241="","",VLOOKUP(B241,'E-1 Off Site Hedge Baseline'!$B$10:T486,16,FALSE))</f>
        <v/>
      </c>
      <c r="Q241" s="498" t="str">
        <f>IF(M241="","",VLOOKUP(M241,'G-6 Hedgerow Data'!$B$2:$AG$15,2,FALSE))</f>
        <v/>
      </c>
      <c r="R241" s="499" t="str">
        <f>IF(M241="","",VLOOKUP(M241,'G-6 Hedgerow Data'!$B$2:$AG$15,3,FALSE))</f>
        <v/>
      </c>
      <c r="S241" s="145"/>
      <c r="T241" s="499" t="str">
        <f>IFERROR(IF(AND(Q241="V.Low",OR(S241="Good",S241="Moderate")),"Error ▲",VLOOKUP(S241,'G-1 All Habitats'!$Z$2:$AA$9,2,FALSE)),"")</f>
        <v/>
      </c>
      <c r="U241" s="145"/>
      <c r="V241" s="507" t="str">
        <f>IF(U241="","",IF(VLOOKUP(U241,'G-3 Multipliers'!$L$3:$N$6,2,FALSE)=0,"Spatial Data Missing ⚠",VLOOKUP(U241,'G-3 Multipliers'!$L$3:$N$6,2,FALSE)))</f>
        <v/>
      </c>
      <c r="W241" s="505" t="str">
        <f>IF(U241="","",IF(VLOOKUP(U241,'G-3 Multipliers'!$L$3:$N$6,3,FALSE)=0,"Spatial Data Missing ⚠",VLOOKUP(U241,'G-3 Multipliers'!$L$3:$N$6,3,FALSE)))</f>
        <v/>
      </c>
      <c r="X241" s="498" t="str">
        <f>IFERROR(IF(OR(LEFT(O241,5)="Error ▲",LEFT(N241,5)="Error ▲",T241="Error ▲"),"Check Data ⚠",IF(F241&lt;R241,INDEX('G-6 Hedgerow Data'!$S$3:$AE$14,MATCH(C241,'G-6 Hedgerow Data'!$B$3:$B$14,0),MATCH(M241,'G-6 Hedgerow Data'!$S$2:$AE$2,0)),INDEX('G-6 Hedgerow Data'!$K$3:$Q$14,MATCH(M241,'G-6 Hedgerow Data'!$B$3:$B$14,0),MATCH(O241,'G-6 Hedgerow Data'!$K$2:$Q$2,0)))),"")</f>
        <v/>
      </c>
      <c r="Y241" s="195"/>
      <c r="Z241" s="195"/>
      <c r="AA241" s="507" t="str">
        <f t="shared" si="27"/>
        <v/>
      </c>
      <c r="AB241" s="521" t="str">
        <f t="shared" si="28"/>
        <v/>
      </c>
      <c r="AC241" s="522" t="str">
        <f t="shared" si="25"/>
        <v/>
      </c>
      <c r="AD241" s="537" t="str">
        <f>IF(M241="","",VLOOKUP(M241,'G-6 Hedgerow Data'!$B$3:$AG$15,31,FALSE))</f>
        <v/>
      </c>
      <c r="AE241" s="520" t="str">
        <f t="shared" si="29"/>
        <v/>
      </c>
      <c r="AF241" s="520" t="str">
        <f t="shared" si="30"/>
        <v/>
      </c>
      <c r="AG241" s="524" t="str">
        <f>IFERROR(IF(O241="","",VLOOKUP(AD241,'G-3 Multipliers'!$P$3:$Q$6,2,FALSE)),"")</f>
        <v/>
      </c>
      <c r="AH241" s="197"/>
      <c r="AI241" s="499" t="str">
        <f>IF(AH241="","",IF(VLOOKUP(AH241,'G-3 Multipliers'!$S$3:$T$6,2,FALSE)=0,"Spatial Data Missing ⚠",VLOOKUP(AH241,'G-3 Multipliers'!$S$3:$T$6,2,FALSE)))</f>
        <v/>
      </c>
      <c r="AJ241" s="545" t="str">
        <f t="shared" si="31"/>
        <v/>
      </c>
      <c r="AK241" s="149"/>
      <c r="AL241" s="150"/>
      <c r="AP241" s="31" t="str">
        <f>IFERROR(INDEX('G-6 Hedgerow Data'!$BJ$3:$BJ$15,MATCH(M241,'G-6 Hedgerow Data'!$B$3:$B$15,0)),"")</f>
        <v/>
      </c>
    </row>
    <row r="242" spans="2:42" ht="14" x14ac:dyDescent="0.3">
      <c r="B242" s="531" t="str">
        <f>'E-1 Off Site Hedge Baseline'!AK240</f>
        <v/>
      </c>
      <c r="C242" s="520" t="str">
        <f>IF(B242="","",IF(ISNA(VLOOKUP($B242,'E-1 Off Site Hedge Baseline'!$B$1:$L$257,3,FALSE)),"",(VLOOKUP($B242,'E-1 Off Site Hedge Baseline'!$B$1:$L$257,3,FALSE))))</f>
        <v/>
      </c>
      <c r="D242" s="520" t="str">
        <f>IF(B242="","",IF(ISNA(VLOOKUP($B242,'E-1 Off Site Hedge Baseline'!$B$1:$L$258,4,FALSE)),"",(VLOOKUP($B242,'E-1 Off Site Hedge Baseline'!$B$1:$L$258,4,FALSE))))</f>
        <v/>
      </c>
      <c r="E242" s="520" t="str">
        <f>IF(B242="","",IF(ISNA(VLOOKUP($B242,'E-1 Off Site Hedge Baseline'!$B$1:$L$257,5,FALSE)),"",(VLOOKUP($B242,'E-1 Off Site Hedge Baseline'!$B$1:$L$257,5,FALSE))))</f>
        <v/>
      </c>
      <c r="F242" s="520" t="str">
        <f>IF(B242="","",IF(ISNA(VLOOKUP($B242,'E-1 Off Site Hedge Baseline'!$B$1:$L$257,6,FALSE)),"",(VLOOKUP($B242,'E-1 Off Site Hedge Baseline'!$B$1:$L$257,6,FALSE))))</f>
        <v/>
      </c>
      <c r="G242" s="520" t="str">
        <f>IF(B242="","",IF(ISNA(VLOOKUP($B242,'E-1 Off Site Hedge Baseline'!$B$1:$L$257,7,FALSE)),"",(VLOOKUP($B242,'E-1 Off Site Hedge Baseline'!$B$1:$L$257,7,FALSE))))</f>
        <v/>
      </c>
      <c r="H242" s="520" t="str">
        <f>IF(B242="","",IF(ISNA(VLOOKUP($B242,'E-1 Off Site Hedge Baseline'!$B$1:$L$257,8,FALSE)),"",(VLOOKUP($B242,'E-1 Off Site Hedge Baseline'!$B$1:$L$257,8,FALSE))))</f>
        <v/>
      </c>
      <c r="I242" s="520" t="str">
        <f>IF(B242="","",IF(ISNA(VLOOKUP($B242,'E-1 Off Site Hedge Baseline'!$B$1:$L$257,10,FALSE)),"",(VLOOKUP($B242,'E-1 Off Site Hedge Baseline'!$B$1:$L$257,10,FALSE))))</f>
        <v/>
      </c>
      <c r="J242" s="520" t="str">
        <f>IF(B242="","",IF(ISNA(VLOOKUP($B242,'E-1 Off Site Hedge Baseline'!$B$1:$L$257,11,FALSE)),"",(VLOOKUP($B242,'E-1 Off Site Hedge Baseline'!$B$1:$L$257,11,FALSE))))</f>
        <v/>
      </c>
      <c r="K242" s="520" t="str">
        <f>IF(B242="","",IF(ISNA(VLOOKUP($B242,'E-1 Off Site Hedge Baseline'!$B$1:$U$257,113,FALSE)),"",(VLOOKUP($B242,'E-1 Off Site Hedge Baseline'!$B$1:$U$257,13,FALSE))))</f>
        <v/>
      </c>
      <c r="L242" s="507" t="str">
        <f>IF(B242="","",IF(ISNA(VLOOKUP($B242,'E-1 Off Site Hedge Baseline'!$B$1:$U$257,12,FALSE)),"",(VLOOKUP($B242,'E-1 Off Site Hedge Baseline'!$B$1:$U$257,12,FALSE))))</f>
        <v/>
      </c>
      <c r="M242" s="418" t="str">
        <f t="shared" si="32"/>
        <v/>
      </c>
      <c r="N242" s="498" t="str">
        <f>IFERROR(IF(B242="","",INDEX('G-6 Hedgerow Data'!$AN$3:$AZ$15,MATCH(C242,'G-6 Hedgerow Data'!$AM$3:$AM$15,0),MATCH(M242,'G-6 Hedgerow Data'!$AN$2:$AZ$2,0))),"")</f>
        <v/>
      </c>
      <c r="O242" s="499" t="str">
        <f t="shared" si="26"/>
        <v/>
      </c>
      <c r="P242" s="505" t="str">
        <f>IF(B242="","",VLOOKUP(B242,'E-1 Off Site Hedge Baseline'!$B$10:T487,16,FALSE))</f>
        <v/>
      </c>
      <c r="Q242" s="498" t="str">
        <f>IF(M242="","",VLOOKUP(M242,'G-6 Hedgerow Data'!$B$2:$AG$15,2,FALSE))</f>
        <v/>
      </c>
      <c r="R242" s="499" t="str">
        <f>IF(M242="","",VLOOKUP(M242,'G-6 Hedgerow Data'!$B$2:$AG$15,3,FALSE))</f>
        <v/>
      </c>
      <c r="S242" s="145"/>
      <c r="T242" s="499" t="str">
        <f>IFERROR(IF(AND(Q242="V.Low",OR(S242="Good",S242="Moderate")),"Error ▲",VLOOKUP(S242,'G-1 All Habitats'!$Z$2:$AA$9,2,FALSE)),"")</f>
        <v/>
      </c>
      <c r="U242" s="145"/>
      <c r="V242" s="507" t="str">
        <f>IF(U242="","",IF(VLOOKUP(U242,'G-3 Multipliers'!$L$3:$N$6,2,FALSE)=0,"Spatial Data Missing ⚠",VLOOKUP(U242,'G-3 Multipliers'!$L$3:$N$6,2,FALSE)))</f>
        <v/>
      </c>
      <c r="W242" s="505" t="str">
        <f>IF(U242="","",IF(VLOOKUP(U242,'G-3 Multipliers'!$L$3:$N$6,3,FALSE)=0,"Spatial Data Missing ⚠",VLOOKUP(U242,'G-3 Multipliers'!$L$3:$N$6,3,FALSE)))</f>
        <v/>
      </c>
      <c r="X242" s="498" t="str">
        <f>IFERROR(IF(OR(LEFT(O242,5)="Error ▲",LEFT(N242,5)="Error ▲",T242="Error ▲"),"Check Data ⚠",IF(F242&lt;R242,INDEX('G-6 Hedgerow Data'!$S$3:$AE$14,MATCH(C242,'G-6 Hedgerow Data'!$B$3:$B$14,0),MATCH(M242,'G-6 Hedgerow Data'!$S$2:$AE$2,0)),INDEX('G-6 Hedgerow Data'!$K$3:$Q$14,MATCH(M242,'G-6 Hedgerow Data'!$B$3:$B$14,0),MATCH(O242,'G-6 Hedgerow Data'!$K$2:$Q$2,0)))),"")</f>
        <v/>
      </c>
      <c r="Y242" s="195"/>
      <c r="Z242" s="195"/>
      <c r="AA242" s="507" t="str">
        <f t="shared" si="27"/>
        <v/>
      </c>
      <c r="AB242" s="521" t="str">
        <f t="shared" si="28"/>
        <v/>
      </c>
      <c r="AC242" s="522" t="str">
        <f t="shared" si="25"/>
        <v/>
      </c>
      <c r="AD242" s="537" t="str">
        <f>IF(M242="","",VLOOKUP(M242,'G-6 Hedgerow Data'!$B$3:$AG$15,31,FALSE))</f>
        <v/>
      </c>
      <c r="AE242" s="520" t="str">
        <f t="shared" si="29"/>
        <v/>
      </c>
      <c r="AF242" s="520" t="str">
        <f t="shared" si="30"/>
        <v/>
      </c>
      <c r="AG242" s="524" t="str">
        <f>IFERROR(IF(O242="","",VLOOKUP(AD242,'G-3 Multipliers'!$P$3:$Q$6,2,FALSE)),"")</f>
        <v/>
      </c>
      <c r="AH242" s="197"/>
      <c r="AI242" s="499" t="str">
        <f>IF(AH242="","",IF(VLOOKUP(AH242,'G-3 Multipliers'!$S$3:$T$6,2,FALSE)=0,"Spatial Data Missing ⚠",VLOOKUP(AH242,'G-3 Multipliers'!$S$3:$T$6,2,FALSE)))</f>
        <v/>
      </c>
      <c r="AJ242" s="545" t="str">
        <f t="shared" si="31"/>
        <v/>
      </c>
      <c r="AK242" s="149"/>
      <c r="AL242" s="150"/>
      <c r="AP242" s="31" t="str">
        <f>IFERROR(INDEX('G-6 Hedgerow Data'!$BJ$3:$BJ$15,MATCH(M242,'G-6 Hedgerow Data'!$B$3:$B$15,0)),"")</f>
        <v/>
      </c>
    </row>
    <row r="243" spans="2:42" ht="14" x14ac:dyDescent="0.3">
      <c r="B243" s="531" t="str">
        <f>'E-1 Off Site Hedge Baseline'!AK241</f>
        <v/>
      </c>
      <c r="C243" s="520" t="str">
        <f>IF(B243="","",IF(ISNA(VLOOKUP($B243,'E-1 Off Site Hedge Baseline'!$B$1:$L$257,3,FALSE)),"",(VLOOKUP($B243,'E-1 Off Site Hedge Baseline'!$B$1:$L$257,3,FALSE))))</f>
        <v/>
      </c>
      <c r="D243" s="520" t="str">
        <f>IF(B243="","",IF(ISNA(VLOOKUP($B243,'E-1 Off Site Hedge Baseline'!$B$1:$L$258,4,FALSE)),"",(VLOOKUP($B243,'E-1 Off Site Hedge Baseline'!$B$1:$L$258,4,FALSE))))</f>
        <v/>
      </c>
      <c r="E243" s="520" t="str">
        <f>IF(B243="","",IF(ISNA(VLOOKUP($B243,'E-1 Off Site Hedge Baseline'!$B$1:$L$257,5,FALSE)),"",(VLOOKUP($B243,'E-1 Off Site Hedge Baseline'!$B$1:$L$257,5,FALSE))))</f>
        <v/>
      </c>
      <c r="F243" s="520" t="str">
        <f>IF(B243="","",IF(ISNA(VLOOKUP($B243,'E-1 Off Site Hedge Baseline'!$B$1:$L$257,6,FALSE)),"",(VLOOKUP($B243,'E-1 Off Site Hedge Baseline'!$B$1:$L$257,6,FALSE))))</f>
        <v/>
      </c>
      <c r="G243" s="520" t="str">
        <f>IF(B243="","",IF(ISNA(VLOOKUP($B243,'E-1 Off Site Hedge Baseline'!$B$1:$L$257,7,FALSE)),"",(VLOOKUP($B243,'E-1 Off Site Hedge Baseline'!$B$1:$L$257,7,FALSE))))</f>
        <v/>
      </c>
      <c r="H243" s="520" t="str">
        <f>IF(B243="","",IF(ISNA(VLOOKUP($B243,'E-1 Off Site Hedge Baseline'!$B$1:$L$257,8,FALSE)),"",(VLOOKUP($B243,'E-1 Off Site Hedge Baseline'!$B$1:$L$257,8,FALSE))))</f>
        <v/>
      </c>
      <c r="I243" s="520" t="str">
        <f>IF(B243="","",IF(ISNA(VLOOKUP($B243,'E-1 Off Site Hedge Baseline'!$B$1:$L$257,10,FALSE)),"",(VLOOKUP($B243,'E-1 Off Site Hedge Baseline'!$B$1:$L$257,10,FALSE))))</f>
        <v/>
      </c>
      <c r="J243" s="520" t="str">
        <f>IF(B243="","",IF(ISNA(VLOOKUP($B243,'E-1 Off Site Hedge Baseline'!$B$1:$L$257,11,FALSE)),"",(VLOOKUP($B243,'E-1 Off Site Hedge Baseline'!$B$1:$L$257,11,FALSE))))</f>
        <v/>
      </c>
      <c r="K243" s="520" t="str">
        <f>IF(B243="","",IF(ISNA(VLOOKUP($B243,'E-1 Off Site Hedge Baseline'!$B$1:$U$257,113,FALSE)),"",(VLOOKUP($B243,'E-1 Off Site Hedge Baseline'!$B$1:$U$257,13,FALSE))))</f>
        <v/>
      </c>
      <c r="L243" s="507" t="str">
        <f>IF(B243="","",IF(ISNA(VLOOKUP($B243,'E-1 Off Site Hedge Baseline'!$B$1:$U$257,12,FALSE)),"",(VLOOKUP($B243,'E-1 Off Site Hedge Baseline'!$B$1:$U$257,12,FALSE))))</f>
        <v/>
      </c>
      <c r="M243" s="418" t="str">
        <f t="shared" si="32"/>
        <v/>
      </c>
      <c r="N243" s="498" t="str">
        <f>IFERROR(IF(B243="","",INDEX('G-6 Hedgerow Data'!$AN$3:$AZ$15,MATCH(C243,'G-6 Hedgerow Data'!$AM$3:$AM$15,0),MATCH(M243,'G-6 Hedgerow Data'!$AN$2:$AZ$2,0))),"")</f>
        <v/>
      </c>
      <c r="O243" s="499" t="str">
        <f t="shared" si="26"/>
        <v/>
      </c>
      <c r="P243" s="505" t="str">
        <f>IF(B243="","",VLOOKUP(B243,'E-1 Off Site Hedge Baseline'!$B$10:T488,16,FALSE))</f>
        <v/>
      </c>
      <c r="Q243" s="498" t="str">
        <f>IF(M243="","",VLOOKUP(M243,'G-6 Hedgerow Data'!$B$2:$AG$15,2,FALSE))</f>
        <v/>
      </c>
      <c r="R243" s="499" t="str">
        <f>IF(M243="","",VLOOKUP(M243,'G-6 Hedgerow Data'!$B$2:$AG$15,3,FALSE))</f>
        <v/>
      </c>
      <c r="S243" s="145"/>
      <c r="T243" s="499" t="str">
        <f>IFERROR(IF(AND(Q243="V.Low",OR(S243="Good",S243="Moderate")),"Error ▲",VLOOKUP(S243,'G-1 All Habitats'!$Z$2:$AA$9,2,FALSE)),"")</f>
        <v/>
      </c>
      <c r="U243" s="145"/>
      <c r="V243" s="507" t="str">
        <f>IF(U243="","",IF(VLOOKUP(U243,'G-3 Multipliers'!$L$3:$N$6,2,FALSE)=0,"Spatial Data Missing ⚠",VLOOKUP(U243,'G-3 Multipliers'!$L$3:$N$6,2,FALSE)))</f>
        <v/>
      </c>
      <c r="W243" s="505" t="str">
        <f>IF(U243="","",IF(VLOOKUP(U243,'G-3 Multipliers'!$L$3:$N$6,3,FALSE)=0,"Spatial Data Missing ⚠",VLOOKUP(U243,'G-3 Multipliers'!$L$3:$N$6,3,FALSE)))</f>
        <v/>
      </c>
      <c r="X243" s="498" t="str">
        <f>IFERROR(IF(OR(LEFT(O243,5)="Error ▲",LEFT(N243,5)="Error ▲",T243="Error ▲"),"Check Data ⚠",IF(F243&lt;R243,INDEX('G-6 Hedgerow Data'!$S$3:$AE$14,MATCH(C243,'G-6 Hedgerow Data'!$B$3:$B$14,0),MATCH(M243,'G-6 Hedgerow Data'!$S$2:$AE$2,0)),INDEX('G-6 Hedgerow Data'!$K$3:$Q$14,MATCH(M243,'G-6 Hedgerow Data'!$B$3:$B$14,0),MATCH(O243,'G-6 Hedgerow Data'!$K$2:$Q$2,0)))),"")</f>
        <v/>
      </c>
      <c r="Y243" s="195"/>
      <c r="Z243" s="195"/>
      <c r="AA243" s="507" t="str">
        <f t="shared" si="27"/>
        <v/>
      </c>
      <c r="AB243" s="521" t="str">
        <f t="shared" si="28"/>
        <v/>
      </c>
      <c r="AC243" s="522" t="str">
        <f t="shared" si="25"/>
        <v/>
      </c>
      <c r="AD243" s="537" t="str">
        <f>IF(M243="","",VLOOKUP(M243,'G-6 Hedgerow Data'!$B$3:$AG$15,31,FALSE))</f>
        <v/>
      </c>
      <c r="AE243" s="520" t="str">
        <f t="shared" si="29"/>
        <v/>
      </c>
      <c r="AF243" s="520" t="str">
        <f t="shared" si="30"/>
        <v/>
      </c>
      <c r="AG243" s="524" t="str">
        <f>IFERROR(IF(O243="","",VLOOKUP(AD243,'G-3 Multipliers'!$P$3:$Q$6,2,FALSE)),"")</f>
        <v/>
      </c>
      <c r="AH243" s="197"/>
      <c r="AI243" s="499" t="str">
        <f>IF(AH243="","",IF(VLOOKUP(AH243,'G-3 Multipliers'!$S$3:$T$6,2,FALSE)=0,"Spatial Data Missing ⚠",VLOOKUP(AH243,'G-3 Multipliers'!$S$3:$T$6,2,FALSE)))</f>
        <v/>
      </c>
      <c r="AJ243" s="545" t="str">
        <f t="shared" si="31"/>
        <v/>
      </c>
      <c r="AK243" s="149"/>
      <c r="AL243" s="150"/>
      <c r="AP243" s="31" t="str">
        <f>IFERROR(INDEX('G-6 Hedgerow Data'!$BJ$3:$BJ$15,MATCH(M243,'G-6 Hedgerow Data'!$B$3:$B$15,0)),"")</f>
        <v/>
      </c>
    </row>
    <row r="244" spans="2:42" ht="14" x14ac:dyDescent="0.3">
      <c r="B244" s="531" t="str">
        <f>'E-1 Off Site Hedge Baseline'!AK242</f>
        <v/>
      </c>
      <c r="C244" s="520" t="str">
        <f>IF(B244="","",IF(ISNA(VLOOKUP($B244,'E-1 Off Site Hedge Baseline'!$B$1:$L$257,3,FALSE)),"",(VLOOKUP($B244,'E-1 Off Site Hedge Baseline'!$B$1:$L$257,3,FALSE))))</f>
        <v/>
      </c>
      <c r="D244" s="520" t="str">
        <f>IF(B244="","",IF(ISNA(VLOOKUP($B244,'E-1 Off Site Hedge Baseline'!$B$1:$L$258,4,FALSE)),"",(VLOOKUP($B244,'E-1 Off Site Hedge Baseline'!$B$1:$L$258,4,FALSE))))</f>
        <v/>
      </c>
      <c r="E244" s="520" t="str">
        <f>IF(B244="","",IF(ISNA(VLOOKUP($B244,'E-1 Off Site Hedge Baseline'!$B$1:$L$257,5,FALSE)),"",(VLOOKUP($B244,'E-1 Off Site Hedge Baseline'!$B$1:$L$257,5,FALSE))))</f>
        <v/>
      </c>
      <c r="F244" s="520" t="str">
        <f>IF(B244="","",IF(ISNA(VLOOKUP($B244,'E-1 Off Site Hedge Baseline'!$B$1:$L$257,6,FALSE)),"",(VLOOKUP($B244,'E-1 Off Site Hedge Baseline'!$B$1:$L$257,6,FALSE))))</f>
        <v/>
      </c>
      <c r="G244" s="520" t="str">
        <f>IF(B244="","",IF(ISNA(VLOOKUP($B244,'E-1 Off Site Hedge Baseline'!$B$1:$L$257,7,FALSE)),"",(VLOOKUP($B244,'E-1 Off Site Hedge Baseline'!$B$1:$L$257,7,FALSE))))</f>
        <v/>
      </c>
      <c r="H244" s="520" t="str">
        <f>IF(B244="","",IF(ISNA(VLOOKUP($B244,'E-1 Off Site Hedge Baseline'!$B$1:$L$257,8,FALSE)),"",(VLOOKUP($B244,'E-1 Off Site Hedge Baseline'!$B$1:$L$257,8,FALSE))))</f>
        <v/>
      </c>
      <c r="I244" s="520" t="str">
        <f>IF(B244="","",IF(ISNA(VLOOKUP($B244,'E-1 Off Site Hedge Baseline'!$B$1:$L$257,10,FALSE)),"",(VLOOKUP($B244,'E-1 Off Site Hedge Baseline'!$B$1:$L$257,10,FALSE))))</f>
        <v/>
      </c>
      <c r="J244" s="520" t="str">
        <f>IF(B244="","",IF(ISNA(VLOOKUP($B244,'E-1 Off Site Hedge Baseline'!$B$1:$L$257,11,FALSE)),"",(VLOOKUP($B244,'E-1 Off Site Hedge Baseline'!$B$1:$L$257,11,FALSE))))</f>
        <v/>
      </c>
      <c r="K244" s="520" t="str">
        <f>IF(B244="","",IF(ISNA(VLOOKUP($B244,'E-1 Off Site Hedge Baseline'!$B$1:$U$257,113,FALSE)),"",(VLOOKUP($B244,'E-1 Off Site Hedge Baseline'!$B$1:$U$257,13,FALSE))))</f>
        <v/>
      </c>
      <c r="L244" s="507" t="str">
        <f>IF(B244="","",IF(ISNA(VLOOKUP($B244,'E-1 Off Site Hedge Baseline'!$B$1:$U$257,12,FALSE)),"",(VLOOKUP($B244,'E-1 Off Site Hedge Baseline'!$B$1:$U$257,12,FALSE))))</f>
        <v/>
      </c>
      <c r="M244" s="418" t="str">
        <f t="shared" si="32"/>
        <v/>
      </c>
      <c r="N244" s="498" t="str">
        <f>IFERROR(IF(B244="","",INDEX('G-6 Hedgerow Data'!$AN$3:$AZ$15,MATCH(C244,'G-6 Hedgerow Data'!$AM$3:$AM$15,0),MATCH(M244,'G-6 Hedgerow Data'!$AN$2:$AZ$2,0))),"")</f>
        <v/>
      </c>
      <c r="O244" s="499" t="str">
        <f t="shared" si="26"/>
        <v/>
      </c>
      <c r="P244" s="505" t="str">
        <f>IF(B244="","",VLOOKUP(B244,'E-1 Off Site Hedge Baseline'!$B$10:T489,16,FALSE))</f>
        <v/>
      </c>
      <c r="Q244" s="498" t="str">
        <f>IF(M244="","",VLOOKUP(M244,'G-6 Hedgerow Data'!$B$2:$AG$15,2,FALSE))</f>
        <v/>
      </c>
      <c r="R244" s="499" t="str">
        <f>IF(M244="","",VLOOKUP(M244,'G-6 Hedgerow Data'!$B$2:$AG$15,3,FALSE))</f>
        <v/>
      </c>
      <c r="S244" s="145"/>
      <c r="T244" s="499" t="str">
        <f>IFERROR(IF(AND(Q244="V.Low",OR(S244="Good",S244="Moderate")),"Error ▲",VLOOKUP(S244,'G-1 All Habitats'!$Z$2:$AA$9,2,FALSE)),"")</f>
        <v/>
      </c>
      <c r="U244" s="145"/>
      <c r="V244" s="507" t="str">
        <f>IF(U244="","",IF(VLOOKUP(U244,'G-3 Multipliers'!$L$3:$N$6,2,FALSE)=0,"Spatial Data Missing ⚠",VLOOKUP(U244,'G-3 Multipliers'!$L$3:$N$6,2,FALSE)))</f>
        <v/>
      </c>
      <c r="W244" s="505" t="str">
        <f>IF(U244="","",IF(VLOOKUP(U244,'G-3 Multipliers'!$L$3:$N$6,3,FALSE)=0,"Spatial Data Missing ⚠",VLOOKUP(U244,'G-3 Multipliers'!$L$3:$N$6,3,FALSE)))</f>
        <v/>
      </c>
      <c r="X244" s="498" t="str">
        <f>IFERROR(IF(OR(LEFT(O244,5)="Error ▲",LEFT(N244,5)="Error ▲",T244="Error ▲"),"Check Data ⚠",IF(F244&lt;R244,INDEX('G-6 Hedgerow Data'!$S$3:$AE$14,MATCH(C244,'G-6 Hedgerow Data'!$B$3:$B$14,0),MATCH(M244,'G-6 Hedgerow Data'!$S$2:$AE$2,0)),INDEX('G-6 Hedgerow Data'!$K$3:$Q$14,MATCH(M244,'G-6 Hedgerow Data'!$B$3:$B$14,0),MATCH(O244,'G-6 Hedgerow Data'!$K$2:$Q$2,0)))),"")</f>
        <v/>
      </c>
      <c r="Y244" s="195"/>
      <c r="Z244" s="195"/>
      <c r="AA244" s="507" t="str">
        <f t="shared" si="27"/>
        <v/>
      </c>
      <c r="AB244" s="521" t="str">
        <f t="shared" si="28"/>
        <v/>
      </c>
      <c r="AC244" s="522" t="str">
        <f t="shared" si="25"/>
        <v/>
      </c>
      <c r="AD244" s="537" t="str">
        <f>IF(M244="","",VLOOKUP(M244,'G-6 Hedgerow Data'!$B$3:$AG$15,31,FALSE))</f>
        <v/>
      </c>
      <c r="AE244" s="520" t="str">
        <f t="shared" si="29"/>
        <v/>
      </c>
      <c r="AF244" s="520" t="str">
        <f t="shared" si="30"/>
        <v/>
      </c>
      <c r="AG244" s="524" t="str">
        <f>IFERROR(IF(O244="","",VLOOKUP(AD244,'G-3 Multipliers'!$P$3:$Q$6,2,FALSE)),"")</f>
        <v/>
      </c>
      <c r="AH244" s="197"/>
      <c r="AI244" s="499" t="str">
        <f>IF(AH244="","",IF(VLOOKUP(AH244,'G-3 Multipliers'!$S$3:$T$6,2,FALSE)=0,"Spatial Data Missing ⚠",VLOOKUP(AH244,'G-3 Multipliers'!$S$3:$T$6,2,FALSE)))</f>
        <v/>
      </c>
      <c r="AJ244" s="545" t="str">
        <f t="shared" si="31"/>
        <v/>
      </c>
      <c r="AK244" s="149"/>
      <c r="AL244" s="150"/>
      <c r="AP244" s="31" t="str">
        <f>IFERROR(INDEX('G-6 Hedgerow Data'!$BJ$3:$BJ$15,MATCH(M244,'G-6 Hedgerow Data'!$B$3:$B$15,0)),"")</f>
        <v/>
      </c>
    </row>
    <row r="245" spans="2:42" ht="14" x14ac:dyDescent="0.3">
      <c r="B245" s="531" t="str">
        <f>'E-1 Off Site Hedge Baseline'!AK243</f>
        <v/>
      </c>
      <c r="C245" s="520" t="str">
        <f>IF(B245="","",IF(ISNA(VLOOKUP($B245,'E-1 Off Site Hedge Baseline'!$B$1:$L$257,3,FALSE)),"",(VLOOKUP($B245,'E-1 Off Site Hedge Baseline'!$B$1:$L$257,3,FALSE))))</f>
        <v/>
      </c>
      <c r="D245" s="520" t="str">
        <f>IF(B245="","",IF(ISNA(VLOOKUP($B245,'E-1 Off Site Hedge Baseline'!$B$1:$L$258,4,FALSE)),"",(VLOOKUP($B245,'E-1 Off Site Hedge Baseline'!$B$1:$L$258,4,FALSE))))</f>
        <v/>
      </c>
      <c r="E245" s="520" t="str">
        <f>IF(B245="","",IF(ISNA(VLOOKUP($B245,'E-1 Off Site Hedge Baseline'!$B$1:$L$257,5,FALSE)),"",(VLOOKUP($B245,'E-1 Off Site Hedge Baseline'!$B$1:$L$257,5,FALSE))))</f>
        <v/>
      </c>
      <c r="F245" s="520" t="str">
        <f>IF(B245="","",IF(ISNA(VLOOKUP($B245,'E-1 Off Site Hedge Baseline'!$B$1:$L$257,6,FALSE)),"",(VLOOKUP($B245,'E-1 Off Site Hedge Baseline'!$B$1:$L$257,6,FALSE))))</f>
        <v/>
      </c>
      <c r="G245" s="520" t="str">
        <f>IF(B245="","",IF(ISNA(VLOOKUP($B245,'E-1 Off Site Hedge Baseline'!$B$1:$L$257,7,FALSE)),"",(VLOOKUP($B245,'E-1 Off Site Hedge Baseline'!$B$1:$L$257,7,FALSE))))</f>
        <v/>
      </c>
      <c r="H245" s="520" t="str">
        <f>IF(B245="","",IF(ISNA(VLOOKUP($B245,'E-1 Off Site Hedge Baseline'!$B$1:$L$257,8,FALSE)),"",(VLOOKUP($B245,'E-1 Off Site Hedge Baseline'!$B$1:$L$257,8,FALSE))))</f>
        <v/>
      </c>
      <c r="I245" s="520" t="str">
        <f>IF(B245="","",IF(ISNA(VLOOKUP($B245,'E-1 Off Site Hedge Baseline'!$B$1:$L$257,10,FALSE)),"",(VLOOKUP($B245,'E-1 Off Site Hedge Baseline'!$B$1:$L$257,10,FALSE))))</f>
        <v/>
      </c>
      <c r="J245" s="520" t="str">
        <f>IF(B245="","",IF(ISNA(VLOOKUP($B245,'E-1 Off Site Hedge Baseline'!$B$1:$L$257,11,FALSE)),"",(VLOOKUP($B245,'E-1 Off Site Hedge Baseline'!$B$1:$L$257,11,FALSE))))</f>
        <v/>
      </c>
      <c r="K245" s="520" t="str">
        <f>IF(B245="","",IF(ISNA(VLOOKUP($B245,'E-1 Off Site Hedge Baseline'!$B$1:$U$257,113,FALSE)),"",(VLOOKUP($B245,'E-1 Off Site Hedge Baseline'!$B$1:$U$257,13,FALSE))))</f>
        <v/>
      </c>
      <c r="L245" s="507" t="str">
        <f>IF(B245="","",IF(ISNA(VLOOKUP($B245,'E-1 Off Site Hedge Baseline'!$B$1:$U$257,12,FALSE)),"",(VLOOKUP($B245,'E-1 Off Site Hedge Baseline'!$B$1:$U$257,12,FALSE))))</f>
        <v/>
      </c>
      <c r="M245" s="418" t="str">
        <f t="shared" si="32"/>
        <v/>
      </c>
      <c r="N245" s="498" t="str">
        <f>IFERROR(IF(B245="","",INDEX('G-6 Hedgerow Data'!$AN$3:$AZ$15,MATCH(C245,'G-6 Hedgerow Data'!$AM$3:$AM$15,0),MATCH(M245,'G-6 Hedgerow Data'!$AN$2:$AZ$2,0))),"")</f>
        <v/>
      </c>
      <c r="O245" s="499" t="str">
        <f t="shared" si="26"/>
        <v/>
      </c>
      <c r="P245" s="505" t="str">
        <f>IF(B245="","",VLOOKUP(B245,'E-1 Off Site Hedge Baseline'!$B$10:T490,16,FALSE))</f>
        <v/>
      </c>
      <c r="Q245" s="498" t="str">
        <f>IF(M245="","",VLOOKUP(M245,'G-6 Hedgerow Data'!$B$2:$AG$15,2,FALSE))</f>
        <v/>
      </c>
      <c r="R245" s="499" t="str">
        <f>IF(M245="","",VLOOKUP(M245,'G-6 Hedgerow Data'!$B$2:$AG$15,3,FALSE))</f>
        <v/>
      </c>
      <c r="S245" s="145"/>
      <c r="T245" s="499" t="str">
        <f>IFERROR(IF(AND(Q245="V.Low",OR(S245="Good",S245="Moderate")),"Error ▲",VLOOKUP(S245,'G-1 All Habitats'!$Z$2:$AA$9,2,FALSE)),"")</f>
        <v/>
      </c>
      <c r="U245" s="145"/>
      <c r="V245" s="507" t="str">
        <f>IF(U245="","",IF(VLOOKUP(U245,'G-3 Multipliers'!$L$3:$N$6,2,FALSE)=0,"Spatial Data Missing ⚠",VLOOKUP(U245,'G-3 Multipliers'!$L$3:$N$6,2,FALSE)))</f>
        <v/>
      </c>
      <c r="W245" s="505" t="str">
        <f>IF(U245="","",IF(VLOOKUP(U245,'G-3 Multipliers'!$L$3:$N$6,3,FALSE)=0,"Spatial Data Missing ⚠",VLOOKUP(U245,'G-3 Multipliers'!$L$3:$N$6,3,FALSE)))</f>
        <v/>
      </c>
      <c r="X245" s="498" t="str">
        <f>IFERROR(IF(OR(LEFT(O245,5)="Error ▲",LEFT(N245,5)="Error ▲",T245="Error ▲"),"Check Data ⚠",IF(F245&lt;R245,INDEX('G-6 Hedgerow Data'!$S$3:$AE$14,MATCH(C245,'G-6 Hedgerow Data'!$B$3:$B$14,0),MATCH(M245,'G-6 Hedgerow Data'!$S$2:$AE$2,0)),INDEX('G-6 Hedgerow Data'!$K$3:$Q$14,MATCH(M245,'G-6 Hedgerow Data'!$B$3:$B$14,0),MATCH(O245,'G-6 Hedgerow Data'!$K$2:$Q$2,0)))),"")</f>
        <v/>
      </c>
      <c r="Y245" s="195"/>
      <c r="Z245" s="195"/>
      <c r="AA245" s="507" t="str">
        <f t="shared" si="27"/>
        <v/>
      </c>
      <c r="AB245" s="521" t="str">
        <f t="shared" si="28"/>
        <v/>
      </c>
      <c r="AC245" s="522" t="str">
        <f t="shared" si="25"/>
        <v/>
      </c>
      <c r="AD245" s="537" t="str">
        <f>IF(M245="","",VLOOKUP(M245,'G-6 Hedgerow Data'!$B$3:$AG$15,31,FALSE))</f>
        <v/>
      </c>
      <c r="AE245" s="520" t="str">
        <f t="shared" si="29"/>
        <v/>
      </c>
      <c r="AF245" s="520" t="str">
        <f t="shared" si="30"/>
        <v/>
      </c>
      <c r="AG245" s="524" t="str">
        <f>IFERROR(IF(O245="","",VLOOKUP(AD245,'G-3 Multipliers'!$P$3:$Q$6,2,FALSE)),"")</f>
        <v/>
      </c>
      <c r="AH245" s="197"/>
      <c r="AI245" s="499" t="str">
        <f>IF(AH245="","",IF(VLOOKUP(AH245,'G-3 Multipliers'!$S$3:$T$6,2,FALSE)=0,"Spatial Data Missing ⚠",VLOOKUP(AH245,'G-3 Multipliers'!$S$3:$T$6,2,FALSE)))</f>
        <v/>
      </c>
      <c r="AJ245" s="545" t="str">
        <f t="shared" si="31"/>
        <v/>
      </c>
      <c r="AK245" s="149"/>
      <c r="AL245" s="150"/>
      <c r="AP245" s="31" t="str">
        <f>IFERROR(INDEX('G-6 Hedgerow Data'!$BJ$3:$BJ$15,MATCH(M245,'G-6 Hedgerow Data'!$B$3:$B$15,0)),"")</f>
        <v/>
      </c>
    </row>
    <row r="246" spans="2:42" ht="14" x14ac:dyDescent="0.3">
      <c r="B246" s="531" t="str">
        <f>'E-1 Off Site Hedge Baseline'!AK244</f>
        <v/>
      </c>
      <c r="C246" s="520" t="str">
        <f>IF(B246="","",IF(ISNA(VLOOKUP($B246,'E-1 Off Site Hedge Baseline'!$B$1:$L$257,3,FALSE)),"",(VLOOKUP($B246,'E-1 Off Site Hedge Baseline'!$B$1:$L$257,3,FALSE))))</f>
        <v/>
      </c>
      <c r="D246" s="520" t="str">
        <f>IF(B246="","",IF(ISNA(VLOOKUP($B246,'E-1 Off Site Hedge Baseline'!$B$1:$L$258,4,FALSE)),"",(VLOOKUP($B246,'E-1 Off Site Hedge Baseline'!$B$1:$L$258,4,FALSE))))</f>
        <v/>
      </c>
      <c r="E246" s="520" t="str">
        <f>IF(B246="","",IF(ISNA(VLOOKUP($B246,'E-1 Off Site Hedge Baseline'!$B$1:$L$257,5,FALSE)),"",(VLOOKUP($B246,'E-1 Off Site Hedge Baseline'!$B$1:$L$257,5,FALSE))))</f>
        <v/>
      </c>
      <c r="F246" s="520" t="str">
        <f>IF(B246="","",IF(ISNA(VLOOKUP($B246,'E-1 Off Site Hedge Baseline'!$B$1:$L$257,6,FALSE)),"",(VLOOKUP($B246,'E-1 Off Site Hedge Baseline'!$B$1:$L$257,6,FALSE))))</f>
        <v/>
      </c>
      <c r="G246" s="520" t="str">
        <f>IF(B246="","",IF(ISNA(VLOOKUP($B246,'E-1 Off Site Hedge Baseline'!$B$1:$L$257,7,FALSE)),"",(VLOOKUP($B246,'E-1 Off Site Hedge Baseline'!$B$1:$L$257,7,FALSE))))</f>
        <v/>
      </c>
      <c r="H246" s="520" t="str">
        <f>IF(B246="","",IF(ISNA(VLOOKUP($B246,'E-1 Off Site Hedge Baseline'!$B$1:$L$257,8,FALSE)),"",(VLOOKUP($B246,'E-1 Off Site Hedge Baseline'!$B$1:$L$257,8,FALSE))))</f>
        <v/>
      </c>
      <c r="I246" s="520" t="str">
        <f>IF(B246="","",IF(ISNA(VLOOKUP($B246,'E-1 Off Site Hedge Baseline'!$B$1:$L$257,10,FALSE)),"",(VLOOKUP($B246,'E-1 Off Site Hedge Baseline'!$B$1:$L$257,10,FALSE))))</f>
        <v/>
      </c>
      <c r="J246" s="520" t="str">
        <f>IF(B246="","",IF(ISNA(VLOOKUP($B246,'E-1 Off Site Hedge Baseline'!$B$1:$L$257,11,FALSE)),"",(VLOOKUP($B246,'E-1 Off Site Hedge Baseline'!$B$1:$L$257,11,FALSE))))</f>
        <v/>
      </c>
      <c r="K246" s="520" t="str">
        <f>IF(B246="","",IF(ISNA(VLOOKUP($B246,'E-1 Off Site Hedge Baseline'!$B$1:$U$257,113,FALSE)),"",(VLOOKUP($B246,'E-1 Off Site Hedge Baseline'!$B$1:$U$257,13,FALSE))))</f>
        <v/>
      </c>
      <c r="L246" s="507" t="str">
        <f>IF(B246="","",IF(ISNA(VLOOKUP($B246,'E-1 Off Site Hedge Baseline'!$B$1:$U$257,12,FALSE)),"",(VLOOKUP($B246,'E-1 Off Site Hedge Baseline'!$B$1:$U$257,12,FALSE))))</f>
        <v/>
      </c>
      <c r="M246" s="418" t="str">
        <f t="shared" si="32"/>
        <v/>
      </c>
      <c r="N246" s="498" t="str">
        <f>IFERROR(IF(B246="","",INDEX('G-6 Hedgerow Data'!$AN$3:$AZ$15,MATCH(C246,'G-6 Hedgerow Data'!$AM$3:$AM$15,0),MATCH(M246,'G-6 Hedgerow Data'!$AN$2:$AZ$2,0))),"")</f>
        <v/>
      </c>
      <c r="O246" s="499" t="str">
        <f t="shared" si="26"/>
        <v/>
      </c>
      <c r="P246" s="505" t="str">
        <f>IF(B246="","",VLOOKUP(B246,'E-1 Off Site Hedge Baseline'!$B$10:T491,16,FALSE))</f>
        <v/>
      </c>
      <c r="Q246" s="498" t="str">
        <f>IF(M246="","",VLOOKUP(M246,'G-6 Hedgerow Data'!$B$2:$AG$15,2,FALSE))</f>
        <v/>
      </c>
      <c r="R246" s="499" t="str">
        <f>IF(M246="","",VLOOKUP(M246,'G-6 Hedgerow Data'!$B$2:$AG$15,3,FALSE))</f>
        <v/>
      </c>
      <c r="S246" s="145"/>
      <c r="T246" s="499" t="str">
        <f>IFERROR(IF(AND(Q246="V.Low",OR(S246="Good",S246="Moderate")),"Error ▲",VLOOKUP(S246,'G-1 All Habitats'!$Z$2:$AA$9,2,FALSE)),"")</f>
        <v/>
      </c>
      <c r="U246" s="145"/>
      <c r="V246" s="507" t="str">
        <f>IF(U246="","",IF(VLOOKUP(U246,'G-3 Multipliers'!$L$3:$N$6,2,FALSE)=0,"Spatial Data Missing ⚠",VLOOKUP(U246,'G-3 Multipliers'!$L$3:$N$6,2,FALSE)))</f>
        <v/>
      </c>
      <c r="W246" s="505" t="str">
        <f>IF(U246="","",IF(VLOOKUP(U246,'G-3 Multipliers'!$L$3:$N$6,3,FALSE)=0,"Spatial Data Missing ⚠",VLOOKUP(U246,'G-3 Multipliers'!$L$3:$N$6,3,FALSE)))</f>
        <v/>
      </c>
      <c r="X246" s="498" t="str">
        <f>IFERROR(IF(OR(LEFT(O246,5)="Error ▲",LEFT(N246,5)="Error ▲",T246="Error ▲"),"Check Data ⚠",IF(F246&lt;R246,INDEX('G-6 Hedgerow Data'!$S$3:$AE$14,MATCH(C246,'G-6 Hedgerow Data'!$B$3:$B$14,0),MATCH(M246,'G-6 Hedgerow Data'!$S$2:$AE$2,0)),INDEX('G-6 Hedgerow Data'!$K$3:$Q$14,MATCH(M246,'G-6 Hedgerow Data'!$B$3:$B$14,0),MATCH(O246,'G-6 Hedgerow Data'!$K$2:$Q$2,0)))),"")</f>
        <v/>
      </c>
      <c r="Y246" s="195"/>
      <c r="Z246" s="195"/>
      <c r="AA246" s="507" t="str">
        <f t="shared" si="27"/>
        <v/>
      </c>
      <c r="AB246" s="521" t="str">
        <f t="shared" si="28"/>
        <v/>
      </c>
      <c r="AC246" s="522" t="str">
        <f t="shared" si="25"/>
        <v/>
      </c>
      <c r="AD246" s="537" t="str">
        <f>IF(M246="","",VLOOKUP(M246,'G-6 Hedgerow Data'!$B$3:$AG$15,31,FALSE))</f>
        <v/>
      </c>
      <c r="AE246" s="520" t="str">
        <f t="shared" si="29"/>
        <v/>
      </c>
      <c r="AF246" s="520" t="str">
        <f t="shared" si="30"/>
        <v/>
      </c>
      <c r="AG246" s="524" t="str">
        <f>IFERROR(IF(O246="","",VLOOKUP(AD246,'G-3 Multipliers'!$P$3:$Q$6,2,FALSE)),"")</f>
        <v/>
      </c>
      <c r="AH246" s="197"/>
      <c r="AI246" s="499" t="str">
        <f>IF(AH246="","",IF(VLOOKUP(AH246,'G-3 Multipliers'!$S$3:$T$6,2,FALSE)=0,"Spatial Data Missing ⚠",VLOOKUP(AH246,'G-3 Multipliers'!$S$3:$T$6,2,FALSE)))</f>
        <v/>
      </c>
      <c r="AJ246" s="545" t="str">
        <f t="shared" si="31"/>
        <v/>
      </c>
      <c r="AK246" s="149"/>
      <c r="AL246" s="150"/>
      <c r="AP246" s="31" t="str">
        <f>IFERROR(INDEX('G-6 Hedgerow Data'!$BJ$3:$BJ$15,MATCH(M246,'G-6 Hedgerow Data'!$B$3:$B$15,0)),"")</f>
        <v/>
      </c>
    </row>
    <row r="247" spans="2:42" ht="14" x14ac:dyDescent="0.3">
      <c r="B247" s="531" t="str">
        <f>'E-1 Off Site Hedge Baseline'!AK245</f>
        <v/>
      </c>
      <c r="C247" s="520" t="str">
        <f>IF(B247="","",IF(ISNA(VLOOKUP($B247,'E-1 Off Site Hedge Baseline'!$B$1:$L$257,3,FALSE)),"",(VLOOKUP($B247,'E-1 Off Site Hedge Baseline'!$B$1:$L$257,3,FALSE))))</f>
        <v/>
      </c>
      <c r="D247" s="520" t="str">
        <f>IF(B247="","",IF(ISNA(VLOOKUP($B247,'E-1 Off Site Hedge Baseline'!$B$1:$L$258,4,FALSE)),"",(VLOOKUP($B247,'E-1 Off Site Hedge Baseline'!$B$1:$L$258,4,FALSE))))</f>
        <v/>
      </c>
      <c r="E247" s="520" t="str">
        <f>IF(B247="","",IF(ISNA(VLOOKUP($B247,'E-1 Off Site Hedge Baseline'!$B$1:$L$257,5,FALSE)),"",(VLOOKUP($B247,'E-1 Off Site Hedge Baseline'!$B$1:$L$257,5,FALSE))))</f>
        <v/>
      </c>
      <c r="F247" s="520" t="str">
        <f>IF(B247="","",IF(ISNA(VLOOKUP($B247,'E-1 Off Site Hedge Baseline'!$B$1:$L$257,6,FALSE)),"",(VLOOKUP($B247,'E-1 Off Site Hedge Baseline'!$B$1:$L$257,6,FALSE))))</f>
        <v/>
      </c>
      <c r="G247" s="520" t="str">
        <f>IF(B247="","",IF(ISNA(VLOOKUP($B247,'E-1 Off Site Hedge Baseline'!$B$1:$L$257,7,FALSE)),"",(VLOOKUP($B247,'E-1 Off Site Hedge Baseline'!$B$1:$L$257,7,FALSE))))</f>
        <v/>
      </c>
      <c r="H247" s="520" t="str">
        <f>IF(B247="","",IF(ISNA(VLOOKUP($B247,'E-1 Off Site Hedge Baseline'!$B$1:$L$257,8,FALSE)),"",(VLOOKUP($B247,'E-1 Off Site Hedge Baseline'!$B$1:$L$257,8,FALSE))))</f>
        <v/>
      </c>
      <c r="I247" s="520" t="str">
        <f>IF(B247="","",IF(ISNA(VLOOKUP($B247,'E-1 Off Site Hedge Baseline'!$B$1:$L$257,10,FALSE)),"",(VLOOKUP($B247,'E-1 Off Site Hedge Baseline'!$B$1:$L$257,10,FALSE))))</f>
        <v/>
      </c>
      <c r="J247" s="520" t="str">
        <f>IF(B247="","",IF(ISNA(VLOOKUP($B247,'E-1 Off Site Hedge Baseline'!$B$1:$L$257,11,FALSE)),"",(VLOOKUP($B247,'E-1 Off Site Hedge Baseline'!$B$1:$L$257,11,FALSE))))</f>
        <v/>
      </c>
      <c r="K247" s="520" t="str">
        <f>IF(B247="","",IF(ISNA(VLOOKUP($B247,'E-1 Off Site Hedge Baseline'!$B$1:$U$257,113,FALSE)),"",(VLOOKUP($B247,'E-1 Off Site Hedge Baseline'!$B$1:$U$257,13,FALSE))))</f>
        <v/>
      </c>
      <c r="L247" s="507" t="str">
        <f>IF(B247="","",IF(ISNA(VLOOKUP($B247,'E-1 Off Site Hedge Baseline'!$B$1:$U$257,12,FALSE)),"",(VLOOKUP($B247,'E-1 Off Site Hedge Baseline'!$B$1:$U$257,12,FALSE))))</f>
        <v/>
      </c>
      <c r="M247" s="418" t="str">
        <f t="shared" si="32"/>
        <v/>
      </c>
      <c r="N247" s="498" t="str">
        <f>IFERROR(IF(B247="","",INDEX('G-6 Hedgerow Data'!$AN$3:$AZ$15,MATCH(C247,'G-6 Hedgerow Data'!$AM$3:$AM$15,0),MATCH(M247,'G-6 Hedgerow Data'!$AN$2:$AZ$2,0))),"")</f>
        <v/>
      </c>
      <c r="O247" s="499" t="str">
        <f t="shared" si="26"/>
        <v/>
      </c>
      <c r="P247" s="505" t="str">
        <f>IF(B247="","",VLOOKUP(B247,'E-1 Off Site Hedge Baseline'!$B$10:T492,16,FALSE))</f>
        <v/>
      </c>
      <c r="Q247" s="498" t="str">
        <f>IF(M247="","",VLOOKUP(M247,'G-6 Hedgerow Data'!$B$2:$AG$15,2,FALSE))</f>
        <v/>
      </c>
      <c r="R247" s="499" t="str">
        <f>IF(M247="","",VLOOKUP(M247,'G-6 Hedgerow Data'!$B$2:$AG$15,3,FALSE))</f>
        <v/>
      </c>
      <c r="S247" s="145"/>
      <c r="T247" s="499" t="str">
        <f>IFERROR(IF(AND(Q247="V.Low",OR(S247="Good",S247="Moderate")),"Error ▲",VLOOKUP(S247,'G-1 All Habitats'!$Z$2:$AA$9,2,FALSE)),"")</f>
        <v/>
      </c>
      <c r="U247" s="145"/>
      <c r="V247" s="507" t="str">
        <f>IF(U247="","",IF(VLOOKUP(U247,'G-3 Multipliers'!$L$3:$N$6,2,FALSE)=0,"Spatial Data Missing ⚠",VLOOKUP(U247,'G-3 Multipliers'!$L$3:$N$6,2,FALSE)))</f>
        <v/>
      </c>
      <c r="W247" s="505" t="str">
        <f>IF(U247="","",IF(VLOOKUP(U247,'G-3 Multipliers'!$L$3:$N$6,3,FALSE)=0,"Spatial Data Missing ⚠",VLOOKUP(U247,'G-3 Multipliers'!$L$3:$N$6,3,FALSE)))</f>
        <v/>
      </c>
      <c r="X247" s="498" t="str">
        <f>IFERROR(IF(OR(LEFT(O247,5)="Error ▲",LEFT(N247,5)="Error ▲",T247="Error ▲"),"Check Data ⚠",IF(F247&lt;R247,INDEX('G-6 Hedgerow Data'!$S$3:$AE$14,MATCH(C247,'G-6 Hedgerow Data'!$B$3:$B$14,0),MATCH(M247,'G-6 Hedgerow Data'!$S$2:$AE$2,0)),INDEX('G-6 Hedgerow Data'!$K$3:$Q$14,MATCH(M247,'G-6 Hedgerow Data'!$B$3:$B$14,0),MATCH(O247,'G-6 Hedgerow Data'!$K$2:$Q$2,0)))),"")</f>
        <v/>
      </c>
      <c r="Y247" s="195"/>
      <c r="Z247" s="195"/>
      <c r="AA247" s="507" t="str">
        <f t="shared" si="27"/>
        <v/>
      </c>
      <c r="AB247" s="521" t="str">
        <f t="shared" si="28"/>
        <v/>
      </c>
      <c r="AC247" s="522" t="str">
        <f t="shared" si="25"/>
        <v/>
      </c>
      <c r="AD247" s="537" t="str">
        <f>IF(M247="","",VLOOKUP(M247,'G-6 Hedgerow Data'!$B$3:$AG$15,31,FALSE))</f>
        <v/>
      </c>
      <c r="AE247" s="520" t="str">
        <f t="shared" si="29"/>
        <v/>
      </c>
      <c r="AF247" s="520" t="str">
        <f t="shared" si="30"/>
        <v/>
      </c>
      <c r="AG247" s="524" t="str">
        <f>IFERROR(IF(O247="","",VLOOKUP(AD247,'G-3 Multipliers'!$P$3:$Q$6,2,FALSE)),"")</f>
        <v/>
      </c>
      <c r="AH247" s="197"/>
      <c r="AI247" s="499" t="str">
        <f>IF(AH247="","",IF(VLOOKUP(AH247,'G-3 Multipliers'!$S$3:$T$6,2,FALSE)=0,"Spatial Data Missing ⚠",VLOOKUP(AH247,'G-3 Multipliers'!$S$3:$T$6,2,FALSE)))</f>
        <v/>
      </c>
      <c r="AJ247" s="545" t="str">
        <f t="shared" si="31"/>
        <v/>
      </c>
      <c r="AK247" s="149"/>
      <c r="AL247" s="150"/>
      <c r="AP247" s="31" t="str">
        <f>IFERROR(INDEX('G-6 Hedgerow Data'!$BJ$3:$BJ$15,MATCH(M247,'G-6 Hedgerow Data'!$B$3:$B$15,0)),"")</f>
        <v/>
      </c>
    </row>
    <row r="248" spans="2:42" ht="14" x14ac:dyDescent="0.3">
      <c r="B248" s="531" t="str">
        <f>'E-1 Off Site Hedge Baseline'!AK246</f>
        <v/>
      </c>
      <c r="C248" s="520" t="str">
        <f>IF(B248="","",IF(ISNA(VLOOKUP($B248,'E-1 Off Site Hedge Baseline'!$B$1:$L$257,3,FALSE)),"",(VLOOKUP($B248,'E-1 Off Site Hedge Baseline'!$B$1:$L$257,3,FALSE))))</f>
        <v/>
      </c>
      <c r="D248" s="520" t="str">
        <f>IF(B248="","",IF(ISNA(VLOOKUP($B248,'E-1 Off Site Hedge Baseline'!$B$1:$L$258,4,FALSE)),"",(VLOOKUP($B248,'E-1 Off Site Hedge Baseline'!$B$1:$L$258,4,FALSE))))</f>
        <v/>
      </c>
      <c r="E248" s="520" t="str">
        <f>IF(B248="","",IF(ISNA(VLOOKUP($B248,'E-1 Off Site Hedge Baseline'!$B$1:$L$257,5,FALSE)),"",(VLOOKUP($B248,'E-1 Off Site Hedge Baseline'!$B$1:$L$257,5,FALSE))))</f>
        <v/>
      </c>
      <c r="F248" s="520" t="str">
        <f>IF(B248="","",IF(ISNA(VLOOKUP($B248,'E-1 Off Site Hedge Baseline'!$B$1:$L$257,6,FALSE)),"",(VLOOKUP($B248,'E-1 Off Site Hedge Baseline'!$B$1:$L$257,6,FALSE))))</f>
        <v/>
      </c>
      <c r="G248" s="520" t="str">
        <f>IF(B248="","",IF(ISNA(VLOOKUP($B248,'E-1 Off Site Hedge Baseline'!$B$1:$L$257,7,FALSE)),"",(VLOOKUP($B248,'E-1 Off Site Hedge Baseline'!$B$1:$L$257,7,FALSE))))</f>
        <v/>
      </c>
      <c r="H248" s="520" t="str">
        <f>IF(B248="","",IF(ISNA(VLOOKUP($B248,'E-1 Off Site Hedge Baseline'!$B$1:$L$257,8,FALSE)),"",(VLOOKUP($B248,'E-1 Off Site Hedge Baseline'!$B$1:$L$257,8,FALSE))))</f>
        <v/>
      </c>
      <c r="I248" s="520" t="str">
        <f>IF(B248="","",IF(ISNA(VLOOKUP($B248,'E-1 Off Site Hedge Baseline'!$B$1:$L$257,10,FALSE)),"",(VLOOKUP($B248,'E-1 Off Site Hedge Baseline'!$B$1:$L$257,10,FALSE))))</f>
        <v/>
      </c>
      <c r="J248" s="520" t="str">
        <f>IF(B248="","",IF(ISNA(VLOOKUP($B248,'E-1 Off Site Hedge Baseline'!$B$1:$L$257,11,FALSE)),"",(VLOOKUP($B248,'E-1 Off Site Hedge Baseline'!$B$1:$L$257,11,FALSE))))</f>
        <v/>
      </c>
      <c r="K248" s="520" t="str">
        <f>IF(B248="","",IF(ISNA(VLOOKUP($B248,'E-1 Off Site Hedge Baseline'!$B$1:$U$257,113,FALSE)),"",(VLOOKUP($B248,'E-1 Off Site Hedge Baseline'!$B$1:$U$257,13,FALSE))))</f>
        <v/>
      </c>
      <c r="L248" s="507" t="str">
        <f>IF(B248="","",IF(ISNA(VLOOKUP($B248,'E-1 Off Site Hedge Baseline'!$B$1:$U$257,12,FALSE)),"",(VLOOKUP($B248,'E-1 Off Site Hedge Baseline'!$B$1:$U$257,12,FALSE))))</f>
        <v/>
      </c>
      <c r="M248" s="418" t="str">
        <f t="shared" si="32"/>
        <v/>
      </c>
      <c r="N248" s="498" t="str">
        <f>IFERROR(IF(B248="","",INDEX('G-6 Hedgerow Data'!$AN$3:$AZ$15,MATCH(C248,'G-6 Hedgerow Data'!$AM$3:$AM$15,0),MATCH(M248,'G-6 Hedgerow Data'!$AN$2:$AZ$2,0))),"")</f>
        <v/>
      </c>
      <c r="O248" s="499" t="str">
        <f t="shared" si="26"/>
        <v/>
      </c>
      <c r="P248" s="505" t="str">
        <f>IF(B248="","",VLOOKUP(B248,'E-1 Off Site Hedge Baseline'!$B$10:T493,16,FALSE))</f>
        <v/>
      </c>
      <c r="Q248" s="498" t="str">
        <f>IF(M248="","",VLOOKUP(M248,'G-6 Hedgerow Data'!$B$2:$AG$15,2,FALSE))</f>
        <v/>
      </c>
      <c r="R248" s="499" t="str">
        <f>IF(M248="","",VLOOKUP(M248,'G-6 Hedgerow Data'!$B$2:$AG$15,3,FALSE))</f>
        <v/>
      </c>
      <c r="S248" s="145"/>
      <c r="T248" s="499" t="str">
        <f>IFERROR(IF(AND(Q248="V.Low",OR(S248="Good",S248="Moderate")),"Error ▲",VLOOKUP(S248,'G-1 All Habitats'!$Z$2:$AA$9,2,FALSE)),"")</f>
        <v/>
      </c>
      <c r="U248" s="145"/>
      <c r="V248" s="507" t="str">
        <f>IF(U248="","",IF(VLOOKUP(U248,'G-3 Multipliers'!$L$3:$N$6,2,FALSE)=0,"Spatial Data Missing ⚠",VLOOKUP(U248,'G-3 Multipliers'!$L$3:$N$6,2,FALSE)))</f>
        <v/>
      </c>
      <c r="W248" s="505" t="str">
        <f>IF(U248="","",IF(VLOOKUP(U248,'G-3 Multipliers'!$L$3:$N$6,3,FALSE)=0,"Spatial Data Missing ⚠",VLOOKUP(U248,'G-3 Multipliers'!$L$3:$N$6,3,FALSE)))</f>
        <v/>
      </c>
      <c r="X248" s="498" t="str">
        <f>IFERROR(IF(OR(LEFT(O248,5)="Error ▲",LEFT(N248,5)="Error ▲",T248="Error ▲"),"Check Data ⚠",IF(F248&lt;R248,INDEX('G-6 Hedgerow Data'!$S$3:$AE$14,MATCH(C248,'G-6 Hedgerow Data'!$B$3:$B$14,0),MATCH(M248,'G-6 Hedgerow Data'!$S$2:$AE$2,0)),INDEX('G-6 Hedgerow Data'!$K$3:$Q$14,MATCH(M248,'G-6 Hedgerow Data'!$B$3:$B$14,0),MATCH(O248,'G-6 Hedgerow Data'!$K$2:$Q$2,0)))),"")</f>
        <v/>
      </c>
      <c r="Y248" s="195"/>
      <c r="Z248" s="195"/>
      <c r="AA248" s="507" t="str">
        <f t="shared" si="27"/>
        <v/>
      </c>
      <c r="AB248" s="521" t="str">
        <f t="shared" si="28"/>
        <v/>
      </c>
      <c r="AC248" s="522" t="str">
        <f t="shared" si="25"/>
        <v/>
      </c>
      <c r="AD248" s="537" t="str">
        <f>IF(M248="","",VLOOKUP(M248,'G-6 Hedgerow Data'!$B$3:$AG$15,31,FALSE))</f>
        <v/>
      </c>
      <c r="AE248" s="520" t="str">
        <f t="shared" si="29"/>
        <v/>
      </c>
      <c r="AF248" s="520" t="str">
        <f t="shared" si="30"/>
        <v/>
      </c>
      <c r="AG248" s="524" t="str">
        <f>IFERROR(IF(O248="","",VLOOKUP(AD248,'G-3 Multipliers'!$P$3:$Q$6,2,FALSE)),"")</f>
        <v/>
      </c>
      <c r="AH248" s="197"/>
      <c r="AI248" s="499" t="str">
        <f>IF(AH248="","",IF(VLOOKUP(AH248,'G-3 Multipliers'!$S$3:$T$6,2,FALSE)=0,"Spatial Data Missing ⚠",VLOOKUP(AH248,'G-3 Multipliers'!$S$3:$T$6,2,FALSE)))</f>
        <v/>
      </c>
      <c r="AJ248" s="545" t="str">
        <f t="shared" si="31"/>
        <v/>
      </c>
      <c r="AK248" s="149"/>
      <c r="AL248" s="150"/>
      <c r="AP248" s="31" t="str">
        <f>IFERROR(INDEX('G-6 Hedgerow Data'!$BJ$3:$BJ$15,MATCH(M248,'G-6 Hedgerow Data'!$B$3:$B$15,0)),"")</f>
        <v/>
      </c>
    </row>
    <row r="249" spans="2:42" ht="14" x14ac:dyDescent="0.3">
      <c r="B249" s="531" t="str">
        <f>'E-1 Off Site Hedge Baseline'!AK247</f>
        <v/>
      </c>
      <c r="C249" s="520" t="str">
        <f>IF(B249="","",IF(ISNA(VLOOKUP($B249,'E-1 Off Site Hedge Baseline'!$B$1:$L$257,3,FALSE)),"",(VLOOKUP($B249,'E-1 Off Site Hedge Baseline'!$B$1:$L$257,3,FALSE))))</f>
        <v/>
      </c>
      <c r="D249" s="520" t="str">
        <f>IF(B249="","",IF(ISNA(VLOOKUP($B249,'E-1 Off Site Hedge Baseline'!$B$1:$L$258,4,FALSE)),"",(VLOOKUP($B249,'E-1 Off Site Hedge Baseline'!$B$1:$L$258,4,FALSE))))</f>
        <v/>
      </c>
      <c r="E249" s="520" t="str">
        <f>IF(B249="","",IF(ISNA(VLOOKUP($B249,'E-1 Off Site Hedge Baseline'!$B$1:$L$257,5,FALSE)),"",(VLOOKUP($B249,'E-1 Off Site Hedge Baseline'!$B$1:$L$257,5,FALSE))))</f>
        <v/>
      </c>
      <c r="F249" s="520" t="str">
        <f>IF(B249="","",IF(ISNA(VLOOKUP($B249,'E-1 Off Site Hedge Baseline'!$B$1:$L$257,6,FALSE)),"",(VLOOKUP($B249,'E-1 Off Site Hedge Baseline'!$B$1:$L$257,6,FALSE))))</f>
        <v/>
      </c>
      <c r="G249" s="520" t="str">
        <f>IF(B249="","",IF(ISNA(VLOOKUP($B249,'E-1 Off Site Hedge Baseline'!$B$1:$L$257,7,FALSE)),"",(VLOOKUP($B249,'E-1 Off Site Hedge Baseline'!$B$1:$L$257,7,FALSE))))</f>
        <v/>
      </c>
      <c r="H249" s="520" t="str">
        <f>IF(B249="","",IF(ISNA(VLOOKUP($B249,'E-1 Off Site Hedge Baseline'!$B$1:$L$257,8,FALSE)),"",(VLOOKUP($B249,'E-1 Off Site Hedge Baseline'!$B$1:$L$257,8,FALSE))))</f>
        <v/>
      </c>
      <c r="I249" s="520" t="str">
        <f>IF(B249="","",IF(ISNA(VLOOKUP($B249,'E-1 Off Site Hedge Baseline'!$B$1:$L$257,10,FALSE)),"",(VLOOKUP($B249,'E-1 Off Site Hedge Baseline'!$B$1:$L$257,10,FALSE))))</f>
        <v/>
      </c>
      <c r="J249" s="520" t="str">
        <f>IF(B249="","",IF(ISNA(VLOOKUP($B249,'E-1 Off Site Hedge Baseline'!$B$1:$L$257,11,FALSE)),"",(VLOOKUP($B249,'E-1 Off Site Hedge Baseline'!$B$1:$L$257,11,FALSE))))</f>
        <v/>
      </c>
      <c r="K249" s="520" t="str">
        <f>IF(B249="","",IF(ISNA(VLOOKUP($B249,'E-1 Off Site Hedge Baseline'!$B$1:$U$257,113,FALSE)),"",(VLOOKUP($B249,'E-1 Off Site Hedge Baseline'!$B$1:$U$257,13,FALSE))))</f>
        <v/>
      </c>
      <c r="L249" s="507" t="str">
        <f>IF(B249="","",IF(ISNA(VLOOKUP($B249,'E-1 Off Site Hedge Baseline'!$B$1:$U$257,12,FALSE)),"",(VLOOKUP($B249,'E-1 Off Site Hedge Baseline'!$B$1:$U$257,12,FALSE))))</f>
        <v/>
      </c>
      <c r="M249" s="418" t="str">
        <f t="shared" si="32"/>
        <v/>
      </c>
      <c r="N249" s="498" t="str">
        <f>IFERROR(IF(B249="","",INDEX('G-6 Hedgerow Data'!$AN$3:$AZ$15,MATCH(C249,'G-6 Hedgerow Data'!$AM$3:$AM$15,0),MATCH(M249,'G-6 Hedgerow Data'!$AN$2:$AZ$2,0))),"")</f>
        <v/>
      </c>
      <c r="O249" s="499" t="str">
        <f t="shared" si="26"/>
        <v/>
      </c>
      <c r="P249" s="505" t="str">
        <f>IF(B249="","",VLOOKUP(B249,'E-1 Off Site Hedge Baseline'!$B$10:T494,16,FALSE))</f>
        <v/>
      </c>
      <c r="Q249" s="498" t="str">
        <f>IF(M249="","",VLOOKUP(M249,'G-6 Hedgerow Data'!$B$2:$AG$15,2,FALSE))</f>
        <v/>
      </c>
      <c r="R249" s="499" t="str">
        <f>IF(M249="","",VLOOKUP(M249,'G-6 Hedgerow Data'!$B$2:$AG$15,3,FALSE))</f>
        <v/>
      </c>
      <c r="S249" s="145"/>
      <c r="T249" s="499" t="str">
        <f>IFERROR(IF(AND(Q249="V.Low",OR(S249="Good",S249="Moderate")),"Error ▲",VLOOKUP(S249,'G-1 All Habitats'!$Z$2:$AA$9,2,FALSE)),"")</f>
        <v/>
      </c>
      <c r="U249" s="145"/>
      <c r="V249" s="507" t="str">
        <f>IF(U249="","",IF(VLOOKUP(U249,'G-3 Multipliers'!$L$3:$N$6,2,FALSE)=0,"Spatial Data Missing ⚠",VLOOKUP(U249,'G-3 Multipliers'!$L$3:$N$6,2,FALSE)))</f>
        <v/>
      </c>
      <c r="W249" s="505" t="str">
        <f>IF(U249="","",IF(VLOOKUP(U249,'G-3 Multipliers'!$L$3:$N$6,3,FALSE)=0,"Spatial Data Missing ⚠",VLOOKUP(U249,'G-3 Multipliers'!$L$3:$N$6,3,FALSE)))</f>
        <v/>
      </c>
      <c r="X249" s="498" t="str">
        <f>IFERROR(IF(OR(LEFT(O249,5)="Error ▲",LEFT(N249,5)="Error ▲",T249="Error ▲"),"Check Data ⚠",IF(F249&lt;R249,INDEX('G-6 Hedgerow Data'!$S$3:$AE$14,MATCH(C249,'G-6 Hedgerow Data'!$B$3:$B$14,0),MATCH(M249,'G-6 Hedgerow Data'!$S$2:$AE$2,0)),INDEX('G-6 Hedgerow Data'!$K$3:$Q$14,MATCH(M249,'G-6 Hedgerow Data'!$B$3:$B$14,0),MATCH(O249,'G-6 Hedgerow Data'!$K$2:$Q$2,0)))),"")</f>
        <v/>
      </c>
      <c r="Y249" s="195"/>
      <c r="Z249" s="195"/>
      <c r="AA249" s="507" t="str">
        <f t="shared" si="27"/>
        <v/>
      </c>
      <c r="AB249" s="521" t="str">
        <f t="shared" si="28"/>
        <v/>
      </c>
      <c r="AC249" s="522" t="str">
        <f t="shared" si="25"/>
        <v/>
      </c>
      <c r="AD249" s="537" t="str">
        <f>IF(M249="","",VLOOKUP(M249,'G-6 Hedgerow Data'!$B$3:$AG$15,31,FALSE))</f>
        <v/>
      </c>
      <c r="AE249" s="520" t="str">
        <f t="shared" si="29"/>
        <v/>
      </c>
      <c r="AF249" s="520" t="str">
        <f t="shared" si="30"/>
        <v/>
      </c>
      <c r="AG249" s="524" t="str">
        <f>IFERROR(IF(O249="","",VLOOKUP(AD249,'G-3 Multipliers'!$P$3:$Q$6,2,FALSE)),"")</f>
        <v/>
      </c>
      <c r="AH249" s="197"/>
      <c r="AI249" s="499" t="str">
        <f>IF(AH249="","",IF(VLOOKUP(AH249,'G-3 Multipliers'!$S$3:$T$6,2,FALSE)=0,"Spatial Data Missing ⚠",VLOOKUP(AH249,'G-3 Multipliers'!$S$3:$T$6,2,FALSE)))</f>
        <v/>
      </c>
      <c r="AJ249" s="545" t="str">
        <f t="shared" si="31"/>
        <v/>
      </c>
      <c r="AK249" s="149"/>
      <c r="AL249" s="150"/>
      <c r="AP249" s="31" t="str">
        <f>IFERROR(INDEX('G-6 Hedgerow Data'!$BJ$3:$BJ$15,MATCH(M249,'G-6 Hedgerow Data'!$B$3:$B$15,0)),"")</f>
        <v/>
      </c>
    </row>
    <row r="250" spans="2:42" ht="14" x14ac:dyDescent="0.3">
      <c r="B250" s="531" t="str">
        <f>'E-1 Off Site Hedge Baseline'!AK248</f>
        <v/>
      </c>
      <c r="C250" s="520" t="str">
        <f>IF(B250="","",IF(ISNA(VLOOKUP($B250,'E-1 Off Site Hedge Baseline'!$B$1:$L$257,3,FALSE)),"",(VLOOKUP($B250,'E-1 Off Site Hedge Baseline'!$B$1:$L$257,3,FALSE))))</f>
        <v/>
      </c>
      <c r="D250" s="520" t="str">
        <f>IF(B250="","",IF(ISNA(VLOOKUP($B250,'E-1 Off Site Hedge Baseline'!$B$1:$L$258,4,FALSE)),"",(VLOOKUP($B250,'E-1 Off Site Hedge Baseline'!$B$1:$L$258,4,FALSE))))</f>
        <v/>
      </c>
      <c r="E250" s="520" t="str">
        <f>IF(B250="","",IF(ISNA(VLOOKUP($B250,'E-1 Off Site Hedge Baseline'!$B$1:$L$257,5,FALSE)),"",(VLOOKUP($B250,'E-1 Off Site Hedge Baseline'!$B$1:$L$257,5,FALSE))))</f>
        <v/>
      </c>
      <c r="F250" s="520" t="str">
        <f>IF(B250="","",IF(ISNA(VLOOKUP($B250,'E-1 Off Site Hedge Baseline'!$B$1:$L$257,6,FALSE)),"",(VLOOKUP($B250,'E-1 Off Site Hedge Baseline'!$B$1:$L$257,6,FALSE))))</f>
        <v/>
      </c>
      <c r="G250" s="520" t="str">
        <f>IF(B250="","",IF(ISNA(VLOOKUP($B250,'E-1 Off Site Hedge Baseline'!$B$1:$L$257,7,FALSE)),"",(VLOOKUP($B250,'E-1 Off Site Hedge Baseline'!$B$1:$L$257,7,FALSE))))</f>
        <v/>
      </c>
      <c r="H250" s="520" t="str">
        <f>IF(B250="","",IF(ISNA(VLOOKUP($B250,'E-1 Off Site Hedge Baseline'!$B$1:$L$257,8,FALSE)),"",(VLOOKUP($B250,'E-1 Off Site Hedge Baseline'!$B$1:$L$257,8,FALSE))))</f>
        <v/>
      </c>
      <c r="I250" s="520" t="str">
        <f>IF(B250="","",IF(ISNA(VLOOKUP($B250,'E-1 Off Site Hedge Baseline'!$B$1:$L$257,10,FALSE)),"",(VLOOKUP($B250,'E-1 Off Site Hedge Baseline'!$B$1:$L$257,10,FALSE))))</f>
        <v/>
      </c>
      <c r="J250" s="520" t="str">
        <f>IF(B250="","",IF(ISNA(VLOOKUP($B250,'E-1 Off Site Hedge Baseline'!$B$1:$L$257,11,FALSE)),"",(VLOOKUP($B250,'E-1 Off Site Hedge Baseline'!$B$1:$L$257,11,FALSE))))</f>
        <v/>
      </c>
      <c r="K250" s="520" t="str">
        <f>IF(B250="","",IF(ISNA(VLOOKUP($B250,'E-1 Off Site Hedge Baseline'!$B$1:$U$257,113,FALSE)),"",(VLOOKUP($B250,'E-1 Off Site Hedge Baseline'!$B$1:$U$257,13,FALSE))))</f>
        <v/>
      </c>
      <c r="L250" s="507" t="str">
        <f>IF(B250="","",IF(ISNA(VLOOKUP($B250,'E-1 Off Site Hedge Baseline'!$B$1:$U$257,12,FALSE)),"",(VLOOKUP($B250,'E-1 Off Site Hedge Baseline'!$B$1:$U$257,12,FALSE))))</f>
        <v/>
      </c>
      <c r="M250" s="418" t="str">
        <f t="shared" si="32"/>
        <v/>
      </c>
      <c r="N250" s="498" t="str">
        <f>IFERROR(IF(B250="","",INDEX('G-6 Hedgerow Data'!$AN$3:$AZ$15,MATCH(C250,'G-6 Hedgerow Data'!$AM$3:$AM$15,0),MATCH(M250,'G-6 Hedgerow Data'!$AN$2:$AZ$2,0))),"")</f>
        <v/>
      </c>
      <c r="O250" s="499" t="str">
        <f t="shared" si="26"/>
        <v/>
      </c>
      <c r="P250" s="505" t="str">
        <f>IF(B250="","",VLOOKUP(B250,'E-1 Off Site Hedge Baseline'!$B$10:T495,16,FALSE))</f>
        <v/>
      </c>
      <c r="Q250" s="498" t="str">
        <f>IF(M250="","",VLOOKUP(M250,'G-6 Hedgerow Data'!$B$2:$AG$15,2,FALSE))</f>
        <v/>
      </c>
      <c r="R250" s="499" t="str">
        <f>IF(M250="","",VLOOKUP(M250,'G-6 Hedgerow Data'!$B$2:$AG$15,3,FALSE))</f>
        <v/>
      </c>
      <c r="S250" s="145"/>
      <c r="T250" s="499" t="str">
        <f>IFERROR(IF(AND(Q250="V.Low",OR(S250="Good",S250="Moderate")),"Error ▲",VLOOKUP(S250,'G-1 All Habitats'!$Z$2:$AA$9,2,FALSE)),"")</f>
        <v/>
      </c>
      <c r="U250" s="145"/>
      <c r="V250" s="507" t="str">
        <f>IF(U250="","",IF(VLOOKUP(U250,'G-3 Multipliers'!$L$3:$N$6,2,FALSE)=0,"Spatial Data Missing ⚠",VLOOKUP(U250,'G-3 Multipliers'!$L$3:$N$6,2,FALSE)))</f>
        <v/>
      </c>
      <c r="W250" s="505" t="str">
        <f>IF(U250="","",IF(VLOOKUP(U250,'G-3 Multipliers'!$L$3:$N$6,3,FALSE)=0,"Spatial Data Missing ⚠",VLOOKUP(U250,'G-3 Multipliers'!$L$3:$N$6,3,FALSE)))</f>
        <v/>
      </c>
      <c r="X250" s="498" t="str">
        <f>IFERROR(IF(OR(LEFT(O250,5)="Error ▲",LEFT(N250,5)="Error ▲",T250="Error ▲"),"Check Data ⚠",IF(F250&lt;R250,INDEX('G-6 Hedgerow Data'!$S$3:$AE$14,MATCH(C250,'G-6 Hedgerow Data'!$B$3:$B$14,0),MATCH(M250,'G-6 Hedgerow Data'!$S$2:$AE$2,0)),INDEX('G-6 Hedgerow Data'!$K$3:$Q$14,MATCH(M250,'G-6 Hedgerow Data'!$B$3:$B$14,0),MATCH(O250,'G-6 Hedgerow Data'!$K$2:$Q$2,0)))),"")</f>
        <v/>
      </c>
      <c r="Y250" s="195"/>
      <c r="Z250" s="195"/>
      <c r="AA250" s="507" t="str">
        <f t="shared" si="27"/>
        <v/>
      </c>
      <c r="AB250" s="521" t="str">
        <f t="shared" si="28"/>
        <v/>
      </c>
      <c r="AC250" s="522" t="str">
        <f t="shared" si="25"/>
        <v/>
      </c>
      <c r="AD250" s="537" t="str">
        <f>IF(M250="","",VLOOKUP(M250,'G-6 Hedgerow Data'!$B$3:$AG$15,31,FALSE))</f>
        <v/>
      </c>
      <c r="AE250" s="520" t="str">
        <f t="shared" si="29"/>
        <v/>
      </c>
      <c r="AF250" s="520" t="str">
        <f t="shared" si="30"/>
        <v/>
      </c>
      <c r="AG250" s="524" t="str">
        <f>IFERROR(IF(O250="","",VLOOKUP(AD250,'G-3 Multipliers'!$P$3:$Q$6,2,FALSE)),"")</f>
        <v/>
      </c>
      <c r="AH250" s="197"/>
      <c r="AI250" s="499" t="str">
        <f>IF(AH250="","",IF(VLOOKUP(AH250,'G-3 Multipliers'!$S$3:$T$6,2,FALSE)=0,"Spatial Data Missing ⚠",VLOOKUP(AH250,'G-3 Multipliers'!$S$3:$T$6,2,FALSE)))</f>
        <v/>
      </c>
      <c r="AJ250" s="545" t="str">
        <f t="shared" si="31"/>
        <v/>
      </c>
      <c r="AK250" s="149"/>
      <c r="AL250" s="150"/>
      <c r="AP250" s="31" t="str">
        <f>IFERROR(INDEX('G-6 Hedgerow Data'!$BJ$3:$BJ$15,MATCH(M250,'G-6 Hedgerow Data'!$B$3:$B$15,0)),"")</f>
        <v/>
      </c>
    </row>
    <row r="251" spans="2:42" ht="14" x14ac:dyDescent="0.3">
      <c r="B251" s="531" t="str">
        <f>'E-1 Off Site Hedge Baseline'!AK249</f>
        <v/>
      </c>
      <c r="C251" s="520" t="str">
        <f>IF(B251="","",IF(ISNA(VLOOKUP($B251,'E-1 Off Site Hedge Baseline'!$B$1:$L$257,3,FALSE)),"",(VLOOKUP($B251,'E-1 Off Site Hedge Baseline'!$B$1:$L$257,3,FALSE))))</f>
        <v/>
      </c>
      <c r="D251" s="520" t="str">
        <f>IF(B251="","",IF(ISNA(VLOOKUP($B251,'E-1 Off Site Hedge Baseline'!$B$1:$L$258,4,FALSE)),"",(VLOOKUP($B251,'E-1 Off Site Hedge Baseline'!$B$1:$L$258,4,FALSE))))</f>
        <v/>
      </c>
      <c r="E251" s="520" t="str">
        <f>IF(B251="","",IF(ISNA(VLOOKUP($B251,'E-1 Off Site Hedge Baseline'!$B$1:$L$257,5,FALSE)),"",(VLOOKUP($B251,'E-1 Off Site Hedge Baseline'!$B$1:$L$257,5,FALSE))))</f>
        <v/>
      </c>
      <c r="F251" s="520" t="str">
        <f>IF(B251="","",IF(ISNA(VLOOKUP($B251,'E-1 Off Site Hedge Baseline'!$B$1:$L$257,6,FALSE)),"",(VLOOKUP($B251,'E-1 Off Site Hedge Baseline'!$B$1:$L$257,6,FALSE))))</f>
        <v/>
      </c>
      <c r="G251" s="520" t="str">
        <f>IF(B251="","",IF(ISNA(VLOOKUP($B251,'E-1 Off Site Hedge Baseline'!$B$1:$L$257,7,FALSE)),"",(VLOOKUP($B251,'E-1 Off Site Hedge Baseline'!$B$1:$L$257,7,FALSE))))</f>
        <v/>
      </c>
      <c r="H251" s="520" t="str">
        <f>IF(B251="","",IF(ISNA(VLOOKUP($B251,'E-1 Off Site Hedge Baseline'!$B$1:$L$257,8,FALSE)),"",(VLOOKUP($B251,'E-1 Off Site Hedge Baseline'!$B$1:$L$257,8,FALSE))))</f>
        <v/>
      </c>
      <c r="I251" s="520" t="str">
        <f>IF(B251="","",IF(ISNA(VLOOKUP($B251,'E-1 Off Site Hedge Baseline'!$B$1:$L$257,10,FALSE)),"",(VLOOKUP($B251,'E-1 Off Site Hedge Baseline'!$B$1:$L$257,10,FALSE))))</f>
        <v/>
      </c>
      <c r="J251" s="520" t="str">
        <f>IF(B251="","",IF(ISNA(VLOOKUP($B251,'E-1 Off Site Hedge Baseline'!$B$1:$L$257,11,FALSE)),"",(VLOOKUP($B251,'E-1 Off Site Hedge Baseline'!$B$1:$L$257,11,FALSE))))</f>
        <v/>
      </c>
      <c r="K251" s="520" t="str">
        <f>IF(B251="","",IF(ISNA(VLOOKUP($B251,'E-1 Off Site Hedge Baseline'!$B$1:$U$257,113,FALSE)),"",(VLOOKUP($B251,'E-1 Off Site Hedge Baseline'!$B$1:$U$257,13,FALSE))))</f>
        <v/>
      </c>
      <c r="L251" s="507" t="str">
        <f>IF(B251="","",IF(ISNA(VLOOKUP($B251,'E-1 Off Site Hedge Baseline'!$B$1:$U$257,12,FALSE)),"",(VLOOKUP($B251,'E-1 Off Site Hedge Baseline'!$B$1:$U$257,12,FALSE))))</f>
        <v/>
      </c>
      <c r="M251" s="418" t="str">
        <f t="shared" si="32"/>
        <v/>
      </c>
      <c r="N251" s="498" t="str">
        <f>IFERROR(IF(B251="","",INDEX('G-6 Hedgerow Data'!$AN$3:$AZ$15,MATCH(C251,'G-6 Hedgerow Data'!$AM$3:$AM$15,0),MATCH(M251,'G-6 Hedgerow Data'!$AN$2:$AZ$2,0))),"")</f>
        <v/>
      </c>
      <c r="O251" s="499" t="str">
        <f t="shared" si="26"/>
        <v/>
      </c>
      <c r="P251" s="505" t="str">
        <f>IF(B251="","",VLOOKUP(B251,'E-1 Off Site Hedge Baseline'!$B$10:T496,16,FALSE))</f>
        <v/>
      </c>
      <c r="Q251" s="498" t="str">
        <f>IF(M251="","",VLOOKUP(M251,'G-6 Hedgerow Data'!$B$2:$AG$15,2,FALSE))</f>
        <v/>
      </c>
      <c r="R251" s="499" t="str">
        <f>IF(M251="","",VLOOKUP(M251,'G-6 Hedgerow Data'!$B$2:$AG$15,3,FALSE))</f>
        <v/>
      </c>
      <c r="S251" s="145"/>
      <c r="T251" s="499" t="str">
        <f>IFERROR(IF(AND(Q251="V.Low",OR(S251="Good",S251="Moderate")),"Error ▲",VLOOKUP(S251,'G-1 All Habitats'!$Z$2:$AA$9,2,FALSE)),"")</f>
        <v/>
      </c>
      <c r="U251" s="145"/>
      <c r="V251" s="507" t="str">
        <f>IF(U251="","",IF(VLOOKUP(U251,'G-3 Multipliers'!$L$3:$N$6,2,FALSE)=0,"Spatial Data Missing ⚠",VLOOKUP(U251,'G-3 Multipliers'!$L$3:$N$6,2,FALSE)))</f>
        <v/>
      </c>
      <c r="W251" s="505" t="str">
        <f>IF(U251="","",IF(VLOOKUP(U251,'G-3 Multipliers'!$L$3:$N$6,3,FALSE)=0,"Spatial Data Missing ⚠",VLOOKUP(U251,'G-3 Multipliers'!$L$3:$N$6,3,FALSE)))</f>
        <v/>
      </c>
      <c r="X251" s="498" t="str">
        <f>IFERROR(IF(OR(LEFT(O251,5)="Error ▲",LEFT(N251,5)="Error ▲",T251="Error ▲"),"Check Data ⚠",IF(F251&lt;R251,INDEX('G-6 Hedgerow Data'!$S$3:$AE$14,MATCH(C251,'G-6 Hedgerow Data'!$B$3:$B$14,0),MATCH(M251,'G-6 Hedgerow Data'!$S$2:$AE$2,0)),INDEX('G-6 Hedgerow Data'!$K$3:$Q$14,MATCH(M251,'G-6 Hedgerow Data'!$B$3:$B$14,0),MATCH(O251,'G-6 Hedgerow Data'!$K$2:$Q$2,0)))),"")</f>
        <v/>
      </c>
      <c r="Y251" s="195"/>
      <c r="Z251" s="195"/>
      <c r="AA251" s="507" t="str">
        <f t="shared" si="27"/>
        <v/>
      </c>
      <c r="AB251" s="521" t="str">
        <f t="shared" si="28"/>
        <v/>
      </c>
      <c r="AC251" s="522" t="str">
        <f t="shared" si="25"/>
        <v/>
      </c>
      <c r="AD251" s="537" t="str">
        <f>IF(M251="","",VLOOKUP(M251,'G-6 Hedgerow Data'!$B$3:$AG$15,31,FALSE))</f>
        <v/>
      </c>
      <c r="AE251" s="520" t="str">
        <f t="shared" si="29"/>
        <v/>
      </c>
      <c r="AF251" s="520" t="str">
        <f t="shared" si="30"/>
        <v/>
      </c>
      <c r="AG251" s="524" t="str">
        <f>IFERROR(IF(O251="","",VLOOKUP(AD251,'G-3 Multipliers'!$P$3:$Q$6,2,FALSE)),"")</f>
        <v/>
      </c>
      <c r="AH251" s="197"/>
      <c r="AI251" s="499" t="str">
        <f>IF(AH251="","",IF(VLOOKUP(AH251,'G-3 Multipliers'!$S$3:$T$6,2,FALSE)=0,"Spatial Data Missing ⚠",VLOOKUP(AH251,'G-3 Multipliers'!$S$3:$T$6,2,FALSE)))</f>
        <v/>
      </c>
      <c r="AJ251" s="545" t="str">
        <f t="shared" si="31"/>
        <v/>
      </c>
      <c r="AK251" s="149"/>
      <c r="AL251" s="150"/>
      <c r="AP251" s="31" t="str">
        <f>IFERROR(INDEX('G-6 Hedgerow Data'!$BJ$3:$BJ$15,MATCH(M251,'G-6 Hedgerow Data'!$B$3:$B$15,0)),"")</f>
        <v/>
      </c>
    </row>
    <row r="252" spans="2:42" ht="14" x14ac:dyDescent="0.3">
      <c r="B252" s="531" t="str">
        <f>'E-1 Off Site Hedge Baseline'!AK250</f>
        <v/>
      </c>
      <c r="C252" s="520" t="str">
        <f>IF(B252="","",IF(ISNA(VLOOKUP($B252,'E-1 Off Site Hedge Baseline'!$B$1:$L$257,3,FALSE)),"",(VLOOKUP($B252,'E-1 Off Site Hedge Baseline'!$B$1:$L$257,3,FALSE))))</f>
        <v/>
      </c>
      <c r="D252" s="520" t="str">
        <f>IF(B252="","",IF(ISNA(VLOOKUP($B252,'E-1 Off Site Hedge Baseline'!$B$1:$L$258,4,FALSE)),"",(VLOOKUP($B252,'E-1 Off Site Hedge Baseline'!$B$1:$L$258,4,FALSE))))</f>
        <v/>
      </c>
      <c r="E252" s="520" t="str">
        <f>IF(B252="","",IF(ISNA(VLOOKUP($B252,'E-1 Off Site Hedge Baseline'!$B$1:$L$257,5,FALSE)),"",(VLOOKUP($B252,'E-1 Off Site Hedge Baseline'!$B$1:$L$257,5,FALSE))))</f>
        <v/>
      </c>
      <c r="F252" s="520" t="str">
        <f>IF(B252="","",IF(ISNA(VLOOKUP($B252,'E-1 Off Site Hedge Baseline'!$B$1:$L$257,6,FALSE)),"",(VLOOKUP($B252,'E-1 Off Site Hedge Baseline'!$B$1:$L$257,6,FALSE))))</f>
        <v/>
      </c>
      <c r="G252" s="520" t="str">
        <f>IF(B252="","",IF(ISNA(VLOOKUP($B252,'E-1 Off Site Hedge Baseline'!$B$1:$L$257,7,FALSE)),"",(VLOOKUP($B252,'E-1 Off Site Hedge Baseline'!$B$1:$L$257,7,FALSE))))</f>
        <v/>
      </c>
      <c r="H252" s="520" t="str">
        <f>IF(B252="","",IF(ISNA(VLOOKUP($B252,'E-1 Off Site Hedge Baseline'!$B$1:$L$257,8,FALSE)),"",(VLOOKUP($B252,'E-1 Off Site Hedge Baseline'!$B$1:$L$257,8,FALSE))))</f>
        <v/>
      </c>
      <c r="I252" s="520" t="str">
        <f>IF(B252="","",IF(ISNA(VLOOKUP($B252,'E-1 Off Site Hedge Baseline'!$B$1:$L$257,10,FALSE)),"",(VLOOKUP($B252,'E-1 Off Site Hedge Baseline'!$B$1:$L$257,10,FALSE))))</f>
        <v/>
      </c>
      <c r="J252" s="520" t="str">
        <f>IF(B252="","",IF(ISNA(VLOOKUP($B252,'E-1 Off Site Hedge Baseline'!$B$1:$L$257,11,FALSE)),"",(VLOOKUP($B252,'E-1 Off Site Hedge Baseline'!$B$1:$L$257,11,FALSE))))</f>
        <v/>
      </c>
      <c r="K252" s="520" t="str">
        <f>IF(B252="","",IF(ISNA(VLOOKUP($B252,'E-1 Off Site Hedge Baseline'!$B$1:$U$257,113,FALSE)),"",(VLOOKUP($B252,'E-1 Off Site Hedge Baseline'!$B$1:$U$257,13,FALSE))))</f>
        <v/>
      </c>
      <c r="L252" s="507" t="str">
        <f>IF(B252="","",IF(ISNA(VLOOKUP($B252,'E-1 Off Site Hedge Baseline'!$B$1:$U$257,12,FALSE)),"",(VLOOKUP($B252,'E-1 Off Site Hedge Baseline'!$B$1:$U$257,12,FALSE))))</f>
        <v/>
      </c>
      <c r="M252" s="418" t="str">
        <f t="shared" si="32"/>
        <v/>
      </c>
      <c r="N252" s="498" t="str">
        <f>IFERROR(IF(B252="","",INDEX('G-6 Hedgerow Data'!$AN$3:$AZ$15,MATCH(C252,'G-6 Hedgerow Data'!$AM$3:$AM$15,0),MATCH(M252,'G-6 Hedgerow Data'!$AN$2:$AZ$2,0))),"")</f>
        <v/>
      </c>
      <c r="O252" s="499" t="str">
        <f t="shared" si="26"/>
        <v/>
      </c>
      <c r="P252" s="505" t="str">
        <f>IF(B252="","",VLOOKUP(B252,'E-1 Off Site Hedge Baseline'!$B$10:T497,16,FALSE))</f>
        <v/>
      </c>
      <c r="Q252" s="498" t="str">
        <f>IF(M252="","",VLOOKUP(M252,'G-6 Hedgerow Data'!$B$2:$AG$15,2,FALSE))</f>
        <v/>
      </c>
      <c r="R252" s="499" t="str">
        <f>IF(M252="","",VLOOKUP(M252,'G-6 Hedgerow Data'!$B$2:$AG$15,3,FALSE))</f>
        <v/>
      </c>
      <c r="S252" s="145"/>
      <c r="T252" s="499" t="str">
        <f>IFERROR(IF(AND(Q252="V.Low",OR(S252="Good",S252="Moderate")),"Error ▲",VLOOKUP(S252,'G-1 All Habitats'!$Z$2:$AA$9,2,FALSE)),"")</f>
        <v/>
      </c>
      <c r="U252" s="145"/>
      <c r="V252" s="507" t="str">
        <f>IF(U252="","",IF(VLOOKUP(U252,'G-3 Multipliers'!$L$3:$N$6,2,FALSE)=0,"Spatial Data Missing ⚠",VLOOKUP(U252,'G-3 Multipliers'!$L$3:$N$6,2,FALSE)))</f>
        <v/>
      </c>
      <c r="W252" s="505" t="str">
        <f>IF(U252="","",IF(VLOOKUP(U252,'G-3 Multipliers'!$L$3:$N$6,3,FALSE)=0,"Spatial Data Missing ⚠",VLOOKUP(U252,'G-3 Multipliers'!$L$3:$N$6,3,FALSE)))</f>
        <v/>
      </c>
      <c r="X252" s="498" t="str">
        <f>IFERROR(IF(OR(LEFT(O252,5)="Error ▲",LEFT(N252,5)="Error ▲",T252="Error ▲"),"Check Data ⚠",IF(F252&lt;R252,INDEX('G-6 Hedgerow Data'!$S$3:$AE$14,MATCH(C252,'G-6 Hedgerow Data'!$B$3:$B$14,0),MATCH(M252,'G-6 Hedgerow Data'!$S$2:$AE$2,0)),INDEX('G-6 Hedgerow Data'!$K$3:$Q$14,MATCH(M252,'G-6 Hedgerow Data'!$B$3:$B$14,0),MATCH(O252,'G-6 Hedgerow Data'!$K$2:$Q$2,0)))),"")</f>
        <v/>
      </c>
      <c r="Y252" s="195"/>
      <c r="Z252" s="195"/>
      <c r="AA252" s="507" t="str">
        <f t="shared" si="27"/>
        <v/>
      </c>
      <c r="AB252" s="521" t="str">
        <f t="shared" si="28"/>
        <v/>
      </c>
      <c r="AC252" s="522" t="str">
        <f t="shared" si="25"/>
        <v/>
      </c>
      <c r="AD252" s="537" t="str">
        <f>IF(M252="","",VLOOKUP(M252,'G-6 Hedgerow Data'!$B$3:$AG$15,31,FALSE))</f>
        <v/>
      </c>
      <c r="AE252" s="520" t="str">
        <f t="shared" si="29"/>
        <v/>
      </c>
      <c r="AF252" s="520" t="str">
        <f t="shared" si="30"/>
        <v/>
      </c>
      <c r="AG252" s="524" t="str">
        <f>IFERROR(IF(O252="","",VLOOKUP(AD252,'G-3 Multipliers'!$P$3:$Q$6,2,FALSE)),"")</f>
        <v/>
      </c>
      <c r="AH252" s="197"/>
      <c r="AI252" s="499" t="str">
        <f>IF(AH252="","",IF(VLOOKUP(AH252,'G-3 Multipliers'!$S$3:$T$6,2,FALSE)=0,"Spatial Data Missing ⚠",VLOOKUP(AH252,'G-3 Multipliers'!$S$3:$T$6,2,FALSE)))</f>
        <v/>
      </c>
      <c r="AJ252" s="545" t="str">
        <f t="shared" si="31"/>
        <v/>
      </c>
      <c r="AK252" s="149"/>
      <c r="AL252" s="150"/>
      <c r="AP252" s="31" t="str">
        <f>IFERROR(INDEX('G-6 Hedgerow Data'!$BJ$3:$BJ$15,MATCH(M252,'G-6 Hedgerow Data'!$B$3:$B$15,0)),"")</f>
        <v/>
      </c>
    </row>
    <row r="253" spans="2:42" ht="14" x14ac:dyDescent="0.3">
      <c r="B253" s="531" t="str">
        <f>'E-1 Off Site Hedge Baseline'!AK251</f>
        <v/>
      </c>
      <c r="C253" s="520" t="str">
        <f>IF(B253="","",IF(ISNA(VLOOKUP($B253,'E-1 Off Site Hedge Baseline'!$B$1:$L$257,3,FALSE)),"",(VLOOKUP($B253,'E-1 Off Site Hedge Baseline'!$B$1:$L$257,3,FALSE))))</f>
        <v/>
      </c>
      <c r="D253" s="520" t="str">
        <f>IF(B253="","",IF(ISNA(VLOOKUP($B253,'E-1 Off Site Hedge Baseline'!$B$1:$L$258,4,FALSE)),"",(VLOOKUP($B253,'E-1 Off Site Hedge Baseline'!$B$1:$L$258,4,FALSE))))</f>
        <v/>
      </c>
      <c r="E253" s="520" t="str">
        <f>IF(B253="","",IF(ISNA(VLOOKUP($B253,'E-1 Off Site Hedge Baseline'!$B$1:$L$257,5,FALSE)),"",(VLOOKUP($B253,'E-1 Off Site Hedge Baseline'!$B$1:$L$257,5,FALSE))))</f>
        <v/>
      </c>
      <c r="F253" s="520" t="str">
        <f>IF(B253="","",IF(ISNA(VLOOKUP($B253,'E-1 Off Site Hedge Baseline'!$B$1:$L$257,6,FALSE)),"",(VLOOKUP($B253,'E-1 Off Site Hedge Baseline'!$B$1:$L$257,6,FALSE))))</f>
        <v/>
      </c>
      <c r="G253" s="520" t="str">
        <f>IF(B253="","",IF(ISNA(VLOOKUP($B253,'E-1 Off Site Hedge Baseline'!$B$1:$L$257,7,FALSE)),"",(VLOOKUP($B253,'E-1 Off Site Hedge Baseline'!$B$1:$L$257,7,FALSE))))</f>
        <v/>
      </c>
      <c r="H253" s="520" t="str">
        <f>IF(B253="","",IF(ISNA(VLOOKUP($B253,'E-1 Off Site Hedge Baseline'!$B$1:$L$257,8,FALSE)),"",(VLOOKUP($B253,'E-1 Off Site Hedge Baseline'!$B$1:$L$257,8,FALSE))))</f>
        <v/>
      </c>
      <c r="I253" s="520" t="str">
        <f>IF(B253="","",IF(ISNA(VLOOKUP($B253,'E-1 Off Site Hedge Baseline'!$B$1:$L$257,10,FALSE)),"",(VLOOKUP($B253,'E-1 Off Site Hedge Baseline'!$B$1:$L$257,10,FALSE))))</f>
        <v/>
      </c>
      <c r="J253" s="520" t="str">
        <f>IF(B253="","",IF(ISNA(VLOOKUP($B253,'E-1 Off Site Hedge Baseline'!$B$1:$L$257,11,FALSE)),"",(VLOOKUP($B253,'E-1 Off Site Hedge Baseline'!$B$1:$L$257,11,FALSE))))</f>
        <v/>
      </c>
      <c r="K253" s="520" t="str">
        <f>IF(B253="","",IF(ISNA(VLOOKUP($B253,'E-1 Off Site Hedge Baseline'!$B$1:$U$257,113,FALSE)),"",(VLOOKUP($B253,'E-1 Off Site Hedge Baseline'!$B$1:$U$257,13,FALSE))))</f>
        <v/>
      </c>
      <c r="L253" s="507" t="str">
        <f>IF(B253="","",IF(ISNA(VLOOKUP($B253,'E-1 Off Site Hedge Baseline'!$B$1:$U$257,12,FALSE)),"",(VLOOKUP($B253,'E-1 Off Site Hedge Baseline'!$B$1:$U$257,12,FALSE))))</f>
        <v/>
      </c>
      <c r="M253" s="418" t="str">
        <f t="shared" si="32"/>
        <v/>
      </c>
      <c r="N253" s="498" t="str">
        <f>IFERROR(IF(B253="","",INDEX('G-6 Hedgerow Data'!$AN$3:$AZ$15,MATCH(C253,'G-6 Hedgerow Data'!$AM$3:$AM$15,0),MATCH(M253,'G-6 Hedgerow Data'!$AN$2:$AZ$2,0))),"")</f>
        <v/>
      </c>
      <c r="O253" s="499" t="str">
        <f t="shared" si="26"/>
        <v/>
      </c>
      <c r="P253" s="505" t="str">
        <f>IF(B253="","",VLOOKUP(B253,'E-1 Off Site Hedge Baseline'!$B$10:T498,16,FALSE))</f>
        <v/>
      </c>
      <c r="Q253" s="498" t="str">
        <f>IF(M253="","",VLOOKUP(M253,'G-6 Hedgerow Data'!$B$2:$AG$15,2,FALSE))</f>
        <v/>
      </c>
      <c r="R253" s="499" t="str">
        <f>IF(M253="","",VLOOKUP(M253,'G-6 Hedgerow Data'!$B$2:$AG$15,3,FALSE))</f>
        <v/>
      </c>
      <c r="S253" s="145"/>
      <c r="T253" s="499" t="str">
        <f>IFERROR(IF(AND(Q253="V.Low",OR(S253="Good",S253="Moderate")),"Error ▲",VLOOKUP(S253,'G-1 All Habitats'!$Z$2:$AA$9,2,FALSE)),"")</f>
        <v/>
      </c>
      <c r="U253" s="145"/>
      <c r="V253" s="507" t="str">
        <f>IF(U253="","",IF(VLOOKUP(U253,'G-3 Multipliers'!$L$3:$N$6,2,FALSE)=0,"Spatial Data Missing ⚠",VLOOKUP(U253,'G-3 Multipliers'!$L$3:$N$6,2,FALSE)))</f>
        <v/>
      </c>
      <c r="W253" s="505" t="str">
        <f>IF(U253="","",IF(VLOOKUP(U253,'G-3 Multipliers'!$L$3:$N$6,3,FALSE)=0,"Spatial Data Missing ⚠",VLOOKUP(U253,'G-3 Multipliers'!$L$3:$N$6,3,FALSE)))</f>
        <v/>
      </c>
      <c r="X253" s="498" t="str">
        <f>IFERROR(IF(OR(LEFT(O253,5)="Error ▲",LEFT(N253,5)="Error ▲",T253="Error ▲"),"Check Data ⚠",IF(F253&lt;R253,INDEX('G-6 Hedgerow Data'!$S$3:$AE$14,MATCH(C253,'G-6 Hedgerow Data'!$B$3:$B$14,0),MATCH(M253,'G-6 Hedgerow Data'!$S$2:$AE$2,0)),INDEX('G-6 Hedgerow Data'!$K$3:$Q$14,MATCH(M253,'G-6 Hedgerow Data'!$B$3:$B$14,0),MATCH(O253,'G-6 Hedgerow Data'!$K$2:$Q$2,0)))),"")</f>
        <v/>
      </c>
      <c r="Y253" s="195"/>
      <c r="Z253" s="195"/>
      <c r="AA253" s="507" t="str">
        <f t="shared" si="27"/>
        <v/>
      </c>
      <c r="AB253" s="521" t="str">
        <f t="shared" si="28"/>
        <v/>
      </c>
      <c r="AC253" s="522" t="str">
        <f t="shared" si="25"/>
        <v/>
      </c>
      <c r="AD253" s="537" t="str">
        <f>IF(M253="","",VLOOKUP(M253,'G-6 Hedgerow Data'!$B$3:$AG$15,31,FALSE))</f>
        <v/>
      </c>
      <c r="AE253" s="520" t="str">
        <f t="shared" si="29"/>
        <v/>
      </c>
      <c r="AF253" s="520" t="str">
        <f t="shared" si="30"/>
        <v/>
      </c>
      <c r="AG253" s="524" t="str">
        <f>IFERROR(IF(O253="","",VLOOKUP(AD253,'G-3 Multipliers'!$P$3:$Q$6,2,FALSE)),"")</f>
        <v/>
      </c>
      <c r="AH253" s="197"/>
      <c r="AI253" s="499" t="str">
        <f>IF(AH253="","",IF(VLOOKUP(AH253,'G-3 Multipliers'!$S$3:$T$6,2,FALSE)=0,"Spatial Data Missing ⚠",VLOOKUP(AH253,'G-3 Multipliers'!$S$3:$T$6,2,FALSE)))</f>
        <v/>
      </c>
      <c r="AJ253" s="545" t="str">
        <f t="shared" si="31"/>
        <v/>
      </c>
      <c r="AK253" s="149"/>
      <c r="AL253" s="150"/>
      <c r="AP253" s="31" t="str">
        <f>IFERROR(INDEX('G-6 Hedgerow Data'!$BJ$3:$BJ$15,MATCH(M253,'G-6 Hedgerow Data'!$B$3:$B$15,0)),"")</f>
        <v/>
      </c>
    </row>
    <row r="254" spans="2:42" ht="14" x14ac:dyDescent="0.3">
      <c r="B254" s="531" t="str">
        <f>'E-1 Off Site Hedge Baseline'!AK252</f>
        <v/>
      </c>
      <c r="C254" s="520" t="str">
        <f>IF(B254="","",IF(ISNA(VLOOKUP($B254,'E-1 Off Site Hedge Baseline'!$B$1:$L$257,3,FALSE)),"",(VLOOKUP($B254,'E-1 Off Site Hedge Baseline'!$B$1:$L$257,3,FALSE))))</f>
        <v/>
      </c>
      <c r="D254" s="520" t="str">
        <f>IF(B254="","",IF(ISNA(VLOOKUP($B254,'E-1 Off Site Hedge Baseline'!$B$1:$L$258,4,FALSE)),"",(VLOOKUP($B254,'E-1 Off Site Hedge Baseline'!$B$1:$L$258,4,FALSE))))</f>
        <v/>
      </c>
      <c r="E254" s="520" t="str">
        <f>IF(B254="","",IF(ISNA(VLOOKUP($B254,'E-1 Off Site Hedge Baseline'!$B$1:$L$257,5,FALSE)),"",(VLOOKUP($B254,'E-1 Off Site Hedge Baseline'!$B$1:$L$257,5,FALSE))))</f>
        <v/>
      </c>
      <c r="F254" s="520" t="str">
        <f>IF(B254="","",IF(ISNA(VLOOKUP($B254,'E-1 Off Site Hedge Baseline'!$B$1:$L$257,6,FALSE)),"",(VLOOKUP($B254,'E-1 Off Site Hedge Baseline'!$B$1:$L$257,6,FALSE))))</f>
        <v/>
      </c>
      <c r="G254" s="520" t="str">
        <f>IF(B254="","",IF(ISNA(VLOOKUP($B254,'E-1 Off Site Hedge Baseline'!$B$1:$L$257,7,FALSE)),"",(VLOOKUP($B254,'E-1 Off Site Hedge Baseline'!$B$1:$L$257,7,FALSE))))</f>
        <v/>
      </c>
      <c r="H254" s="520" t="str">
        <f>IF(B254="","",IF(ISNA(VLOOKUP($B254,'E-1 Off Site Hedge Baseline'!$B$1:$L$257,8,FALSE)),"",(VLOOKUP($B254,'E-1 Off Site Hedge Baseline'!$B$1:$L$257,8,FALSE))))</f>
        <v/>
      </c>
      <c r="I254" s="520" t="str">
        <f>IF(B254="","",IF(ISNA(VLOOKUP($B254,'E-1 Off Site Hedge Baseline'!$B$1:$L$257,10,FALSE)),"",(VLOOKUP($B254,'E-1 Off Site Hedge Baseline'!$B$1:$L$257,10,FALSE))))</f>
        <v/>
      </c>
      <c r="J254" s="520" t="str">
        <f>IF(B254="","",IF(ISNA(VLOOKUP($B254,'E-1 Off Site Hedge Baseline'!$B$1:$L$257,11,FALSE)),"",(VLOOKUP($B254,'E-1 Off Site Hedge Baseline'!$B$1:$L$257,11,FALSE))))</f>
        <v/>
      </c>
      <c r="K254" s="520" t="str">
        <f>IF(B254="","",IF(ISNA(VLOOKUP($B254,'E-1 Off Site Hedge Baseline'!$B$1:$U$257,113,FALSE)),"",(VLOOKUP($B254,'E-1 Off Site Hedge Baseline'!$B$1:$U$257,13,FALSE))))</f>
        <v/>
      </c>
      <c r="L254" s="507" t="str">
        <f>IF(B254="","",IF(ISNA(VLOOKUP($B254,'E-1 Off Site Hedge Baseline'!$B$1:$U$257,12,FALSE)),"",(VLOOKUP($B254,'E-1 Off Site Hedge Baseline'!$B$1:$U$257,12,FALSE))))</f>
        <v/>
      </c>
      <c r="M254" s="418" t="str">
        <f t="shared" si="32"/>
        <v/>
      </c>
      <c r="N254" s="498" t="str">
        <f>IFERROR(IF(B254="","",INDEX('G-6 Hedgerow Data'!$AN$3:$AZ$15,MATCH(C254,'G-6 Hedgerow Data'!$AM$3:$AM$15,0),MATCH(M254,'G-6 Hedgerow Data'!$AN$2:$AZ$2,0))),"")</f>
        <v/>
      </c>
      <c r="O254" s="499" t="str">
        <f t="shared" si="26"/>
        <v/>
      </c>
      <c r="P254" s="505" t="str">
        <f>IF(B254="","",VLOOKUP(B254,'E-1 Off Site Hedge Baseline'!$B$10:T499,16,FALSE))</f>
        <v/>
      </c>
      <c r="Q254" s="498" t="str">
        <f>IF(M254="","",VLOOKUP(M254,'G-6 Hedgerow Data'!$B$2:$AG$15,2,FALSE))</f>
        <v/>
      </c>
      <c r="R254" s="499" t="str">
        <f>IF(M254="","",VLOOKUP(M254,'G-6 Hedgerow Data'!$B$2:$AG$15,3,FALSE))</f>
        <v/>
      </c>
      <c r="S254" s="145"/>
      <c r="T254" s="499" t="str">
        <f>IFERROR(IF(AND(Q254="V.Low",OR(S254="Good",S254="Moderate")),"Error ▲",VLOOKUP(S254,'G-1 All Habitats'!$Z$2:$AA$9,2,FALSE)),"")</f>
        <v/>
      </c>
      <c r="U254" s="145"/>
      <c r="V254" s="507" t="str">
        <f>IF(U254="","",IF(VLOOKUP(U254,'G-3 Multipliers'!$L$3:$N$6,2,FALSE)=0,"Spatial Data Missing ⚠",VLOOKUP(U254,'G-3 Multipliers'!$L$3:$N$6,2,FALSE)))</f>
        <v/>
      </c>
      <c r="W254" s="505" t="str">
        <f>IF(U254="","",IF(VLOOKUP(U254,'G-3 Multipliers'!$L$3:$N$6,3,FALSE)=0,"Spatial Data Missing ⚠",VLOOKUP(U254,'G-3 Multipliers'!$L$3:$N$6,3,FALSE)))</f>
        <v/>
      </c>
      <c r="X254" s="498" t="str">
        <f>IFERROR(IF(OR(LEFT(O254,5)="Error ▲",LEFT(N254,5)="Error ▲",T254="Error ▲"),"Check Data ⚠",IF(F254&lt;R254,INDEX('G-6 Hedgerow Data'!$S$3:$AE$14,MATCH(C254,'G-6 Hedgerow Data'!$B$3:$B$14,0),MATCH(M254,'G-6 Hedgerow Data'!$S$2:$AE$2,0)),INDEX('G-6 Hedgerow Data'!$K$3:$Q$14,MATCH(M254,'G-6 Hedgerow Data'!$B$3:$B$14,0),MATCH(O254,'G-6 Hedgerow Data'!$K$2:$Q$2,0)))),"")</f>
        <v/>
      </c>
      <c r="Y254" s="195"/>
      <c r="Z254" s="195"/>
      <c r="AA254" s="507" t="str">
        <f t="shared" si="27"/>
        <v/>
      </c>
      <c r="AB254" s="521" t="str">
        <f t="shared" si="28"/>
        <v/>
      </c>
      <c r="AC254" s="522" t="str">
        <f t="shared" si="25"/>
        <v/>
      </c>
      <c r="AD254" s="537" t="str">
        <f>IF(M254="","",VLOOKUP(M254,'G-6 Hedgerow Data'!$B$3:$AG$15,31,FALSE))</f>
        <v/>
      </c>
      <c r="AE254" s="520" t="str">
        <f t="shared" si="29"/>
        <v/>
      </c>
      <c r="AF254" s="520" t="str">
        <f t="shared" si="30"/>
        <v/>
      </c>
      <c r="AG254" s="524" t="str">
        <f>IFERROR(IF(O254="","",VLOOKUP(AD254,'G-3 Multipliers'!$P$3:$Q$6,2,FALSE)),"")</f>
        <v/>
      </c>
      <c r="AH254" s="197"/>
      <c r="AI254" s="499" t="str">
        <f>IF(AH254="","",IF(VLOOKUP(AH254,'G-3 Multipliers'!$S$3:$T$6,2,FALSE)=0,"Spatial Data Missing ⚠",VLOOKUP(AH254,'G-3 Multipliers'!$S$3:$T$6,2,FALSE)))</f>
        <v/>
      </c>
      <c r="AJ254" s="545" t="str">
        <f t="shared" si="31"/>
        <v/>
      </c>
      <c r="AK254" s="149"/>
      <c r="AL254" s="150"/>
      <c r="AP254" s="31" t="str">
        <f>IFERROR(INDEX('G-6 Hedgerow Data'!$BJ$3:$BJ$15,MATCH(M254,'G-6 Hedgerow Data'!$B$3:$B$15,0)),"")</f>
        <v/>
      </c>
    </row>
    <row r="255" spans="2:42" ht="14" x14ac:dyDescent="0.3">
      <c r="B255" s="531" t="str">
        <f>'E-1 Off Site Hedge Baseline'!AK253</f>
        <v/>
      </c>
      <c r="C255" s="520" t="str">
        <f>IF(B255="","",IF(ISNA(VLOOKUP($B255,'E-1 Off Site Hedge Baseline'!$B$1:$L$257,3,FALSE)),"",(VLOOKUP($B255,'E-1 Off Site Hedge Baseline'!$B$1:$L$257,3,FALSE))))</f>
        <v/>
      </c>
      <c r="D255" s="520" t="str">
        <f>IF(B255="","",IF(ISNA(VLOOKUP($B255,'E-1 Off Site Hedge Baseline'!$B$1:$L$258,4,FALSE)),"",(VLOOKUP($B255,'E-1 Off Site Hedge Baseline'!$B$1:$L$258,4,FALSE))))</f>
        <v/>
      </c>
      <c r="E255" s="520" t="str">
        <f>IF(B255="","",IF(ISNA(VLOOKUP($B255,'E-1 Off Site Hedge Baseline'!$B$1:$L$257,5,FALSE)),"",(VLOOKUP($B255,'E-1 Off Site Hedge Baseline'!$B$1:$L$257,5,FALSE))))</f>
        <v/>
      </c>
      <c r="F255" s="520" t="str">
        <f>IF(B255="","",IF(ISNA(VLOOKUP($B255,'E-1 Off Site Hedge Baseline'!$B$1:$L$257,6,FALSE)),"",(VLOOKUP($B255,'E-1 Off Site Hedge Baseline'!$B$1:$L$257,6,FALSE))))</f>
        <v/>
      </c>
      <c r="G255" s="520" t="str">
        <f>IF(B255="","",IF(ISNA(VLOOKUP($B255,'E-1 Off Site Hedge Baseline'!$B$1:$L$257,7,FALSE)),"",(VLOOKUP($B255,'E-1 Off Site Hedge Baseline'!$B$1:$L$257,7,FALSE))))</f>
        <v/>
      </c>
      <c r="H255" s="520" t="str">
        <f>IF(B255="","",IF(ISNA(VLOOKUP($B255,'E-1 Off Site Hedge Baseline'!$B$1:$L$257,8,FALSE)),"",(VLOOKUP($B255,'E-1 Off Site Hedge Baseline'!$B$1:$L$257,8,FALSE))))</f>
        <v/>
      </c>
      <c r="I255" s="520" t="str">
        <f>IF(B255="","",IF(ISNA(VLOOKUP($B255,'E-1 Off Site Hedge Baseline'!$B$1:$L$257,10,FALSE)),"",(VLOOKUP($B255,'E-1 Off Site Hedge Baseline'!$B$1:$L$257,10,FALSE))))</f>
        <v/>
      </c>
      <c r="J255" s="520" t="str">
        <f>IF(B255="","",IF(ISNA(VLOOKUP($B255,'E-1 Off Site Hedge Baseline'!$B$1:$L$257,11,FALSE)),"",(VLOOKUP($B255,'E-1 Off Site Hedge Baseline'!$B$1:$L$257,11,FALSE))))</f>
        <v/>
      </c>
      <c r="K255" s="520" t="str">
        <f>IF(B255="","",IF(ISNA(VLOOKUP($B255,'E-1 Off Site Hedge Baseline'!$B$1:$U$257,113,FALSE)),"",(VLOOKUP($B255,'E-1 Off Site Hedge Baseline'!$B$1:$U$257,13,FALSE))))</f>
        <v/>
      </c>
      <c r="L255" s="507" t="str">
        <f>IF(B255="","",IF(ISNA(VLOOKUP($B255,'E-1 Off Site Hedge Baseline'!$B$1:$U$257,12,FALSE)),"",(VLOOKUP($B255,'E-1 Off Site Hedge Baseline'!$B$1:$U$257,12,FALSE))))</f>
        <v/>
      </c>
      <c r="M255" s="418" t="str">
        <f t="shared" si="32"/>
        <v/>
      </c>
      <c r="N255" s="498" t="str">
        <f>IFERROR(IF(B255="","",INDEX('G-6 Hedgerow Data'!$AN$3:$AZ$15,MATCH(C255,'G-6 Hedgerow Data'!$AM$3:$AM$15,0),MATCH(M255,'G-6 Hedgerow Data'!$AN$2:$AZ$2,0))),"")</f>
        <v/>
      </c>
      <c r="O255" s="499" t="str">
        <f t="shared" si="26"/>
        <v/>
      </c>
      <c r="P255" s="505" t="str">
        <f>IF(B255="","",VLOOKUP(B255,'E-1 Off Site Hedge Baseline'!$B$10:T500,16,FALSE))</f>
        <v/>
      </c>
      <c r="Q255" s="498" t="str">
        <f>IF(M255="","",VLOOKUP(M255,'G-6 Hedgerow Data'!$B$2:$AG$15,2,FALSE))</f>
        <v/>
      </c>
      <c r="R255" s="499" t="str">
        <f>IF(M255="","",VLOOKUP(M255,'G-6 Hedgerow Data'!$B$2:$AG$15,3,FALSE))</f>
        <v/>
      </c>
      <c r="S255" s="145"/>
      <c r="T255" s="499" t="str">
        <f>IFERROR(IF(AND(Q255="V.Low",OR(S255="Good",S255="Moderate")),"Error ▲",VLOOKUP(S255,'G-1 All Habitats'!$Z$2:$AA$9,2,FALSE)),"")</f>
        <v/>
      </c>
      <c r="U255" s="145"/>
      <c r="V255" s="507" t="str">
        <f>IF(U255="","",IF(VLOOKUP(U255,'G-3 Multipliers'!$L$3:$N$6,2,FALSE)=0,"Spatial Data Missing ⚠",VLOOKUP(U255,'G-3 Multipliers'!$L$3:$N$6,2,FALSE)))</f>
        <v/>
      </c>
      <c r="W255" s="505" t="str">
        <f>IF(U255="","",IF(VLOOKUP(U255,'G-3 Multipliers'!$L$3:$N$6,3,FALSE)=0,"Spatial Data Missing ⚠",VLOOKUP(U255,'G-3 Multipliers'!$L$3:$N$6,3,FALSE)))</f>
        <v/>
      </c>
      <c r="X255" s="498" t="str">
        <f>IFERROR(IF(OR(LEFT(O255,5)="Error ▲",LEFT(N255,5)="Error ▲",T255="Error ▲"),"Check Data ⚠",IF(F255&lt;R255,INDEX('G-6 Hedgerow Data'!$S$3:$AE$14,MATCH(C255,'G-6 Hedgerow Data'!$B$3:$B$14,0),MATCH(M255,'G-6 Hedgerow Data'!$S$2:$AE$2,0)),INDEX('G-6 Hedgerow Data'!$K$3:$Q$14,MATCH(M255,'G-6 Hedgerow Data'!$B$3:$B$14,0),MATCH(O255,'G-6 Hedgerow Data'!$K$2:$Q$2,0)))),"")</f>
        <v/>
      </c>
      <c r="Y255" s="195"/>
      <c r="Z255" s="195"/>
      <c r="AA255" s="507" t="str">
        <f t="shared" si="27"/>
        <v/>
      </c>
      <c r="AB255" s="521" t="str">
        <f t="shared" si="28"/>
        <v/>
      </c>
      <c r="AC255" s="522" t="str">
        <f t="shared" si="25"/>
        <v/>
      </c>
      <c r="AD255" s="537" t="str">
        <f>IF(M255="","",VLOOKUP(M255,'G-6 Hedgerow Data'!$B$3:$AG$15,31,FALSE))</f>
        <v/>
      </c>
      <c r="AE255" s="520" t="str">
        <f t="shared" si="29"/>
        <v/>
      </c>
      <c r="AF255" s="520" t="str">
        <f t="shared" si="30"/>
        <v/>
      </c>
      <c r="AG255" s="524" t="str">
        <f>IFERROR(IF(O255="","",VLOOKUP(AD255,'G-3 Multipliers'!$P$3:$Q$6,2,FALSE)),"")</f>
        <v/>
      </c>
      <c r="AH255" s="197"/>
      <c r="AI255" s="499" t="str">
        <f>IF(AH255="","",IF(VLOOKUP(AH255,'G-3 Multipliers'!$S$3:$T$6,2,FALSE)=0,"Spatial Data Missing ⚠",VLOOKUP(AH255,'G-3 Multipliers'!$S$3:$T$6,2,FALSE)))</f>
        <v/>
      </c>
      <c r="AJ255" s="545" t="str">
        <f t="shared" si="31"/>
        <v/>
      </c>
      <c r="AK255" s="149"/>
      <c r="AL255" s="150"/>
      <c r="AP255" s="31" t="str">
        <f>IFERROR(INDEX('G-6 Hedgerow Data'!$BJ$3:$BJ$15,MATCH(M255,'G-6 Hedgerow Data'!$B$3:$B$15,0)),"")</f>
        <v/>
      </c>
    </row>
    <row r="256" spans="2:42" ht="14" x14ac:dyDescent="0.3">
      <c r="B256" s="531" t="str">
        <f>'E-1 Off Site Hedge Baseline'!AK254</f>
        <v/>
      </c>
      <c r="C256" s="520" t="str">
        <f>IF(B256="","",IF(ISNA(VLOOKUP($B256,'E-1 Off Site Hedge Baseline'!$B$1:$L$257,3,FALSE)),"",(VLOOKUP($B256,'E-1 Off Site Hedge Baseline'!$B$1:$L$257,3,FALSE))))</f>
        <v/>
      </c>
      <c r="D256" s="520" t="str">
        <f>IF(B256="","",IF(ISNA(VLOOKUP($B256,'E-1 Off Site Hedge Baseline'!$B$1:$L$258,4,FALSE)),"",(VLOOKUP($B256,'E-1 Off Site Hedge Baseline'!$B$1:$L$258,4,FALSE))))</f>
        <v/>
      </c>
      <c r="E256" s="520" t="str">
        <f>IF(B256="","",IF(ISNA(VLOOKUP($B256,'E-1 Off Site Hedge Baseline'!$B$1:$L$257,5,FALSE)),"",(VLOOKUP($B256,'E-1 Off Site Hedge Baseline'!$B$1:$L$257,5,FALSE))))</f>
        <v/>
      </c>
      <c r="F256" s="520" t="str">
        <f>IF(B256="","",IF(ISNA(VLOOKUP($B256,'E-1 Off Site Hedge Baseline'!$B$1:$L$257,6,FALSE)),"",(VLOOKUP($B256,'E-1 Off Site Hedge Baseline'!$B$1:$L$257,6,FALSE))))</f>
        <v/>
      </c>
      <c r="G256" s="520" t="str">
        <f>IF(B256="","",IF(ISNA(VLOOKUP($B256,'E-1 Off Site Hedge Baseline'!$B$1:$L$257,7,FALSE)),"",(VLOOKUP($B256,'E-1 Off Site Hedge Baseline'!$B$1:$L$257,7,FALSE))))</f>
        <v/>
      </c>
      <c r="H256" s="520" t="str">
        <f>IF(B256="","",IF(ISNA(VLOOKUP($B256,'E-1 Off Site Hedge Baseline'!$B$1:$L$257,8,FALSE)),"",(VLOOKUP($B256,'E-1 Off Site Hedge Baseline'!$B$1:$L$257,8,FALSE))))</f>
        <v/>
      </c>
      <c r="I256" s="520" t="str">
        <f>IF(B256="","",IF(ISNA(VLOOKUP($B256,'E-1 Off Site Hedge Baseline'!$B$1:$L$257,10,FALSE)),"",(VLOOKUP($B256,'E-1 Off Site Hedge Baseline'!$B$1:$L$257,10,FALSE))))</f>
        <v/>
      </c>
      <c r="J256" s="520" t="str">
        <f>IF(B256="","",IF(ISNA(VLOOKUP($B256,'E-1 Off Site Hedge Baseline'!$B$1:$L$257,11,FALSE)),"",(VLOOKUP($B256,'E-1 Off Site Hedge Baseline'!$B$1:$L$257,11,FALSE))))</f>
        <v/>
      </c>
      <c r="K256" s="520" t="str">
        <f>IF(B256="","",IF(ISNA(VLOOKUP($B256,'E-1 Off Site Hedge Baseline'!$B$1:$U$257,113,FALSE)),"",(VLOOKUP($B256,'E-1 Off Site Hedge Baseline'!$B$1:$U$257,13,FALSE))))</f>
        <v/>
      </c>
      <c r="L256" s="507" t="str">
        <f>IF(B256="","",IF(ISNA(VLOOKUP($B256,'E-1 Off Site Hedge Baseline'!$B$1:$U$257,12,FALSE)),"",(VLOOKUP($B256,'E-1 Off Site Hedge Baseline'!$B$1:$U$257,12,FALSE))))</f>
        <v/>
      </c>
      <c r="M256" s="418" t="str">
        <f t="shared" si="32"/>
        <v/>
      </c>
      <c r="N256" s="498" t="str">
        <f>IFERROR(IF(B256="","",INDEX('G-6 Hedgerow Data'!$AN$3:$AZ$15,MATCH(C256,'G-6 Hedgerow Data'!$AM$3:$AM$15,0),MATCH(M256,'G-6 Hedgerow Data'!$AN$2:$AZ$2,0))),"")</f>
        <v/>
      </c>
      <c r="O256" s="499" t="str">
        <f t="shared" si="26"/>
        <v/>
      </c>
      <c r="P256" s="505" t="str">
        <f>IF(B256="","",VLOOKUP(B256,'E-1 Off Site Hedge Baseline'!$B$10:T501,16,FALSE))</f>
        <v/>
      </c>
      <c r="Q256" s="498" t="str">
        <f>IF(M256="","",VLOOKUP(M256,'G-6 Hedgerow Data'!$B$2:$AG$15,2,FALSE))</f>
        <v/>
      </c>
      <c r="R256" s="499" t="str">
        <f>IF(M256="","",VLOOKUP(M256,'G-6 Hedgerow Data'!$B$2:$AG$15,3,FALSE))</f>
        <v/>
      </c>
      <c r="S256" s="145"/>
      <c r="T256" s="499" t="str">
        <f>IFERROR(IF(AND(Q256="V.Low",OR(S256="Good",S256="Moderate")),"Error ▲",VLOOKUP(S256,'G-1 All Habitats'!$Z$2:$AA$9,2,FALSE)),"")</f>
        <v/>
      </c>
      <c r="U256" s="145"/>
      <c r="V256" s="507" t="str">
        <f>IF(U256="","",IF(VLOOKUP(U256,'G-3 Multipliers'!$L$3:$N$6,2,FALSE)=0,"Spatial Data Missing ⚠",VLOOKUP(U256,'G-3 Multipliers'!$L$3:$N$6,2,FALSE)))</f>
        <v/>
      </c>
      <c r="W256" s="505" t="str">
        <f>IF(U256="","",IF(VLOOKUP(U256,'G-3 Multipliers'!$L$3:$N$6,3,FALSE)=0,"Spatial Data Missing ⚠",VLOOKUP(U256,'G-3 Multipliers'!$L$3:$N$6,3,FALSE)))</f>
        <v/>
      </c>
      <c r="X256" s="498" t="str">
        <f>IFERROR(IF(OR(LEFT(O256,5)="Error ▲",LEFT(N256,5)="Error ▲",T256="Error ▲"),"Check Data ⚠",IF(F256&lt;R256,INDEX('G-6 Hedgerow Data'!$S$3:$AE$14,MATCH(C256,'G-6 Hedgerow Data'!$B$3:$B$14,0),MATCH(M256,'G-6 Hedgerow Data'!$S$2:$AE$2,0)),INDEX('G-6 Hedgerow Data'!$K$3:$Q$14,MATCH(M256,'G-6 Hedgerow Data'!$B$3:$B$14,0),MATCH(O256,'G-6 Hedgerow Data'!$K$2:$Q$2,0)))),"")</f>
        <v/>
      </c>
      <c r="Y256" s="195"/>
      <c r="Z256" s="195"/>
      <c r="AA256" s="507" t="str">
        <f t="shared" si="27"/>
        <v/>
      </c>
      <c r="AB256" s="521" t="str">
        <f t="shared" si="28"/>
        <v/>
      </c>
      <c r="AC256" s="522" t="str">
        <f t="shared" si="25"/>
        <v/>
      </c>
      <c r="AD256" s="537" t="str">
        <f>IF(M256="","",VLOOKUP(M256,'G-6 Hedgerow Data'!$B$3:$AG$15,31,FALSE))</f>
        <v/>
      </c>
      <c r="AE256" s="520" t="str">
        <f t="shared" si="29"/>
        <v/>
      </c>
      <c r="AF256" s="520" t="str">
        <f t="shared" si="30"/>
        <v/>
      </c>
      <c r="AG256" s="524" t="str">
        <f>IFERROR(IF(O256="","",VLOOKUP(AD256,'G-3 Multipliers'!$P$3:$Q$6,2,FALSE)),"")</f>
        <v/>
      </c>
      <c r="AH256" s="197"/>
      <c r="AI256" s="499" t="str">
        <f>IF(AH256="","",IF(VLOOKUP(AH256,'G-3 Multipliers'!$S$3:$T$6,2,FALSE)=0,"Spatial Data Missing ⚠",VLOOKUP(AH256,'G-3 Multipliers'!$S$3:$T$6,2,FALSE)))</f>
        <v/>
      </c>
      <c r="AJ256" s="545" t="str">
        <f t="shared" si="31"/>
        <v/>
      </c>
      <c r="AK256" s="149"/>
      <c r="AL256" s="150"/>
      <c r="AP256" s="31" t="str">
        <f>IFERROR(INDEX('G-6 Hedgerow Data'!$BJ$3:$BJ$15,MATCH(M256,'G-6 Hedgerow Data'!$B$3:$B$15,0)),"")</f>
        <v/>
      </c>
    </row>
    <row r="257" spans="2:42" ht="14.5" thickBot="1" x14ac:dyDescent="0.35">
      <c r="B257" s="558" t="str">
        <f>'E-1 Off Site Hedge Baseline'!AK255</f>
        <v/>
      </c>
      <c r="C257" s="508" t="str">
        <f>IF(B257="","",IF(ISNA(VLOOKUP($B257,'E-1 Off Site Hedge Baseline'!$B$1:$L$257,3,FALSE)),"",(VLOOKUP($B257,'E-1 Off Site Hedge Baseline'!$B$1:$L$257,3,FALSE))))</f>
        <v/>
      </c>
      <c r="D257" s="508" t="str">
        <f>IF(B257="","",IF(ISNA(VLOOKUP($B257,'E-1 Off Site Hedge Baseline'!$B$1:$L$258,4,FALSE)),"",(VLOOKUP($B257,'E-1 Off Site Hedge Baseline'!$B$1:$L$258,4,FALSE))))</f>
        <v/>
      </c>
      <c r="E257" s="508" t="str">
        <f>IF(B257="","",IF(ISNA(VLOOKUP($B257,'E-1 Off Site Hedge Baseline'!$B$1:$L$257,5,FALSE)),"",(VLOOKUP($B257,'E-1 Off Site Hedge Baseline'!$B$1:$L$257,5,FALSE))))</f>
        <v/>
      </c>
      <c r="F257" s="508" t="str">
        <f>IF(B257="","",IF(ISNA(VLOOKUP($B257,'E-1 Off Site Hedge Baseline'!$B$1:$L$257,6,FALSE)),"",(VLOOKUP($B257,'E-1 Off Site Hedge Baseline'!$B$1:$L$257,6,FALSE))))</f>
        <v/>
      </c>
      <c r="G257" s="508" t="str">
        <f>IF(B257="","",IF(ISNA(VLOOKUP($B257,'E-1 Off Site Hedge Baseline'!$B$1:$L$257,7,FALSE)),"",(VLOOKUP($B257,'E-1 Off Site Hedge Baseline'!$B$1:$L$257,7,FALSE))))</f>
        <v/>
      </c>
      <c r="H257" s="508" t="str">
        <f>IF(B257="","",IF(ISNA(VLOOKUP($B257,'E-1 Off Site Hedge Baseline'!$B$1:$L$257,8,FALSE)),"",(VLOOKUP($B257,'E-1 Off Site Hedge Baseline'!$B$1:$L$257,8,FALSE))))</f>
        <v/>
      </c>
      <c r="I257" s="508" t="str">
        <f>IF(B257="","",IF(ISNA(VLOOKUP($B257,'E-1 Off Site Hedge Baseline'!$B$1:$L$257,10,FALSE)),"",(VLOOKUP($B257,'E-1 Off Site Hedge Baseline'!$B$1:$L$257,10,FALSE))))</f>
        <v/>
      </c>
      <c r="J257" s="508" t="str">
        <f>IF(B257="","",IF(ISNA(VLOOKUP($B257,'E-1 Off Site Hedge Baseline'!$B$1:$L$257,11,FALSE)),"",(VLOOKUP($B257,'E-1 Off Site Hedge Baseline'!$B$1:$L$257,11,FALSE))))</f>
        <v/>
      </c>
      <c r="K257" s="508" t="str">
        <f>IF(B257="","",IF(ISNA(VLOOKUP($B257,'E-1 Off Site Hedge Baseline'!$B$1:$U$257,113,FALSE)),"",(VLOOKUP($B257,'E-1 Off Site Hedge Baseline'!$B$1:$U$257,13,FALSE))))</f>
        <v/>
      </c>
      <c r="L257" s="508" t="str">
        <f>IF(B257="","",IF(ISNA(VLOOKUP($B257,'E-1 Off Site Hedge Baseline'!$B$1:$U$257,12,FALSE)),"",(VLOOKUP($B257,'E-1 Off Site Hedge Baseline'!$B$1:$U$257,12,FALSE))))</f>
        <v/>
      </c>
      <c r="M257" s="420" t="str">
        <f t="shared" si="32"/>
        <v/>
      </c>
      <c r="N257" s="500" t="str">
        <f>IFERROR(IF(B257="","",INDEX('G-6 Hedgerow Data'!$AN$3:$AZ$15,MATCH(C257,'G-6 Hedgerow Data'!$AM$3:$AM$15,0),MATCH(M257,'G-6 Hedgerow Data'!$AN$2:$AZ$2,0))),"")</f>
        <v/>
      </c>
      <c r="O257" s="499" t="str">
        <f t="shared" si="26"/>
        <v/>
      </c>
      <c r="P257" s="509" t="str">
        <f>IF(B257="","",VLOOKUP(B257,'E-1 Off Site Hedge Baseline'!$B$10:T502,16,FALSE))</f>
        <v/>
      </c>
      <c r="Q257" s="500" t="str">
        <f>IF(M257="","",VLOOKUP(M257,'G-6 Hedgerow Data'!$B$2:$AG$15,2,FALSE))</f>
        <v/>
      </c>
      <c r="R257" s="499" t="str">
        <f>IF(M257="","",VLOOKUP(M257,'G-6 Hedgerow Data'!$B$2:$AG$15,3,FALSE))</f>
        <v/>
      </c>
      <c r="S257" s="161"/>
      <c r="T257" s="499" t="str">
        <f>IFERROR(IF(AND(Q257="V.Low",OR(S257="Good",S257="Moderate")),"Error ▲",VLOOKUP(S257,'G-1 All Habitats'!$Z$2:$AA$9,2,FALSE)),"")</f>
        <v/>
      </c>
      <c r="U257" s="161"/>
      <c r="V257" s="507" t="str">
        <f>IF(U257="","",IF(VLOOKUP(U257,'G-3 Multipliers'!$L$3:$N$6,2,FALSE)=0,"Spatial Data Missing ⚠",VLOOKUP(U257,'G-3 Multipliers'!$L$3:$N$6,2,FALSE)))</f>
        <v/>
      </c>
      <c r="W257" s="505" t="str">
        <f>IF(U257="","",IF(VLOOKUP(U257,'G-3 Multipliers'!$L$3:$N$6,3,FALSE)=0,"Spatial Data Missing ⚠",VLOOKUP(U257,'G-3 Multipliers'!$L$3:$N$6,3,FALSE)))</f>
        <v/>
      </c>
      <c r="X257" s="498" t="str">
        <f>IFERROR(IF(OR(LEFT(O257,5)="Error ▲",LEFT(N257,5)="Error ▲",T257="Error ▲"),"Check Data ⚠",IF(F257&lt;R257,INDEX('G-6 Hedgerow Data'!$S$3:$AE$14,MATCH(C257,'G-6 Hedgerow Data'!$B$3:$B$14,0),MATCH(M257,'G-6 Hedgerow Data'!$S$2:$AE$2,0)),INDEX('G-6 Hedgerow Data'!$K$3:$Q$14,MATCH(M257,'G-6 Hedgerow Data'!$B$3:$B$14,0),MATCH(O257,'G-6 Hedgerow Data'!$K$2:$Q$2,0)))),"")</f>
        <v/>
      </c>
      <c r="Y257" s="206"/>
      <c r="Z257" s="206"/>
      <c r="AA257" s="507" t="str">
        <f t="shared" si="27"/>
        <v/>
      </c>
      <c r="AB257" s="521" t="str">
        <f t="shared" si="28"/>
        <v/>
      </c>
      <c r="AC257" s="522" t="str">
        <f t="shared" si="25"/>
        <v/>
      </c>
      <c r="AD257" s="500" t="str">
        <f>IF(M257="","",VLOOKUP(M257,'G-6 Hedgerow Data'!$B$3:$AG$15,31,FALSE))</f>
        <v/>
      </c>
      <c r="AE257" s="520" t="str">
        <f t="shared" si="29"/>
        <v/>
      </c>
      <c r="AF257" s="520" t="str">
        <f t="shared" si="30"/>
        <v/>
      </c>
      <c r="AG257" s="501" t="str">
        <f>IFERROR(IF(O257="","",VLOOKUP(AD257,'G-3 Multipliers'!$P$3:$Q$6,2,FALSE)),"")</f>
        <v/>
      </c>
      <c r="AH257" s="271"/>
      <c r="AI257" s="499" t="str">
        <f>IF(AH257="","",IF(VLOOKUP(AH257,'G-3 Multipliers'!$S$3:$T$6,2,FALSE)=0,"Spatial Data Missing ⚠",VLOOKUP(AH257,'G-3 Multipliers'!$S$3:$T$6,2,FALSE)))</f>
        <v/>
      </c>
      <c r="AJ257" s="546" t="str">
        <f t="shared" si="31"/>
        <v/>
      </c>
      <c r="AK257" s="163"/>
      <c r="AL257" s="164"/>
      <c r="AP257" s="31" t="str">
        <f>IFERROR(INDEX('G-6 Hedgerow Data'!$BJ$3:$BJ$15,MATCH(M257,'G-6 Hedgerow Data'!$B$3:$B$15,0)),"")</f>
        <v/>
      </c>
    </row>
    <row r="258" spans="2:42" ht="14.5" thickBot="1" x14ac:dyDescent="0.35">
      <c r="B258" s="46"/>
      <c r="C258" s="46"/>
      <c r="D258" s="46"/>
      <c r="E258" s="46"/>
      <c r="F258" s="46"/>
      <c r="G258" s="46"/>
      <c r="H258" s="46"/>
      <c r="I258" s="46"/>
      <c r="J258" s="46"/>
      <c r="K258" s="46"/>
      <c r="L258" s="46"/>
      <c r="M258" s="46"/>
      <c r="N258" s="46"/>
      <c r="O258" s="277"/>
      <c r="P258" s="503">
        <f>SUM(P12:P257)</f>
        <v>0</v>
      </c>
      <c r="Q258" s="46"/>
      <c r="R258" s="46"/>
      <c r="S258" s="46"/>
      <c r="T258" s="46"/>
      <c r="U258" s="46"/>
      <c r="V258" s="46"/>
      <c r="W258" s="46"/>
      <c r="X258" s="46"/>
      <c r="Y258" s="46"/>
      <c r="Z258" s="46"/>
      <c r="AA258" s="46"/>
      <c r="AB258" s="46"/>
      <c r="AC258" s="46"/>
      <c r="AD258" s="46"/>
      <c r="AE258" s="46"/>
      <c r="AF258" s="46"/>
      <c r="AG258" s="46"/>
      <c r="AH258" s="427"/>
      <c r="AI258" s="427"/>
      <c r="AJ258" s="503">
        <f>SUM(AJ12:AJ257)</f>
        <v>0</v>
      </c>
      <c r="AK258" s="46"/>
      <c r="AL258" s="46"/>
    </row>
    <row r="259" spans="2:42" ht="14" x14ac:dyDescent="0.3"/>
    <row r="260" spans="2:42" ht="14" x14ac:dyDescent="0.3"/>
    <row r="261" spans="2:42" ht="14" x14ac:dyDescent="0.3"/>
    <row r="262" spans="2:42" ht="14" x14ac:dyDescent="0.3"/>
    <row r="263" spans="2:42" ht="14" x14ac:dyDescent="0.3"/>
    <row r="264" spans="2:42" ht="14" x14ac:dyDescent="0.3"/>
    <row r="265" spans="2:42" ht="14" x14ac:dyDescent="0.3"/>
    <row r="266" spans="2:42" ht="14" x14ac:dyDescent="0.3"/>
    <row r="267" spans="2:42" ht="15" hidden="1" customHeight="1" x14ac:dyDescent="0.3"/>
    <row r="268" spans="2:42" ht="15" hidden="1" customHeight="1" x14ac:dyDescent="0.3"/>
    <row r="269" spans="2:42" ht="15" hidden="1" customHeight="1" x14ac:dyDescent="0.3"/>
    <row r="270" spans="2:42" ht="15" hidden="1" customHeight="1" x14ac:dyDescent="0.3"/>
    <row r="271" spans="2:42" ht="15" hidden="1" customHeight="1" x14ac:dyDescent="0.3"/>
    <row r="272" spans="2:42" ht="15" hidden="1" customHeight="1" x14ac:dyDescent="0.3"/>
    <row r="273" ht="15" hidden="1" customHeight="1" x14ac:dyDescent="0.3"/>
    <row r="274" ht="15" hidden="1" customHeight="1" x14ac:dyDescent="0.3"/>
    <row r="275" ht="15" hidden="1" customHeight="1" x14ac:dyDescent="0.3"/>
    <row r="276" ht="15" hidden="1" customHeight="1" x14ac:dyDescent="0.3"/>
    <row r="277" ht="15" hidden="1" customHeight="1" x14ac:dyDescent="0.3"/>
    <row r="278" ht="15" hidden="1" customHeight="1" x14ac:dyDescent="0.3"/>
    <row r="279" ht="15" hidden="1" customHeight="1" x14ac:dyDescent="0.3"/>
    <row r="280" ht="15" hidden="1" customHeight="1" x14ac:dyDescent="0.3"/>
    <row r="281" ht="15" hidden="1" customHeight="1" x14ac:dyDescent="0.3"/>
    <row r="282" ht="15" hidden="1" customHeight="1" x14ac:dyDescent="0.3"/>
    <row r="283" ht="15" hidden="1" customHeight="1" x14ac:dyDescent="0.3"/>
    <row r="284" ht="15" hidden="1" customHeight="1" x14ac:dyDescent="0.3"/>
    <row r="285" ht="15" hidden="1" customHeight="1" x14ac:dyDescent="0.3"/>
    <row r="286" ht="15" hidden="1" customHeight="1" x14ac:dyDescent="0.3"/>
    <row r="287" ht="15" hidden="1" customHeight="1" x14ac:dyDescent="0.3"/>
    <row r="288" ht="15" hidden="1" customHeight="1" x14ac:dyDescent="0.3"/>
    <row r="289" ht="15" hidden="1" customHeight="1" x14ac:dyDescent="0.3"/>
    <row r="290" ht="15" hidden="1" customHeight="1" x14ac:dyDescent="0.3"/>
    <row r="291" ht="15" hidden="1" customHeight="1" x14ac:dyDescent="0.3"/>
    <row r="292" ht="15" hidden="1" customHeight="1" x14ac:dyDescent="0.3"/>
    <row r="293" ht="15" hidden="1" customHeight="1" x14ac:dyDescent="0.3"/>
    <row r="294" ht="15" hidden="1" customHeight="1" x14ac:dyDescent="0.3"/>
    <row r="295" ht="15" hidden="1" customHeight="1" x14ac:dyDescent="0.3"/>
    <row r="296" ht="15" hidden="1" customHeight="1" x14ac:dyDescent="0.3"/>
    <row r="297" ht="15" hidden="1" customHeight="1" x14ac:dyDescent="0.3"/>
    <row r="298" ht="15" hidden="1" customHeight="1" x14ac:dyDescent="0.3"/>
    <row r="299" ht="15" hidden="1" customHeight="1" x14ac:dyDescent="0.3"/>
    <row r="300" ht="15" hidden="1" customHeight="1" x14ac:dyDescent="0.3"/>
    <row r="301" ht="15" hidden="1" customHeight="1" x14ac:dyDescent="0.3"/>
    <row r="302" ht="15" hidden="1" customHeight="1" x14ac:dyDescent="0.3"/>
    <row r="303" ht="15" hidden="1" customHeight="1" x14ac:dyDescent="0.3"/>
    <row r="304" ht="15" hidden="1" customHeight="1" x14ac:dyDescent="0.3"/>
    <row r="305" ht="15" hidden="1" customHeight="1" x14ac:dyDescent="0.3"/>
    <row r="306" ht="15" hidden="1" customHeight="1" x14ac:dyDescent="0.3"/>
    <row r="307" ht="15" hidden="1" customHeight="1" x14ac:dyDescent="0.3"/>
    <row r="308" ht="15" hidden="1" customHeight="1" x14ac:dyDescent="0.3"/>
    <row r="309" ht="15" hidden="1" customHeight="1" x14ac:dyDescent="0.3"/>
    <row r="310" ht="15" hidden="1" customHeight="1" x14ac:dyDescent="0.3"/>
    <row r="311" ht="15" hidden="1" customHeight="1" x14ac:dyDescent="0.3"/>
    <row r="312" ht="15" hidden="1" customHeight="1" x14ac:dyDescent="0.3"/>
    <row r="313" ht="15" hidden="1" customHeight="1" x14ac:dyDescent="0.3"/>
    <row r="314" ht="15" hidden="1" customHeight="1" x14ac:dyDescent="0.3"/>
    <row r="315" ht="15" hidden="1" customHeight="1" x14ac:dyDescent="0.3"/>
    <row r="316" ht="15" hidden="1" customHeight="1" x14ac:dyDescent="0.3"/>
    <row r="317" ht="15" hidden="1" customHeight="1" x14ac:dyDescent="0.3"/>
    <row r="318" ht="15" hidden="1" customHeight="1" x14ac:dyDescent="0.3"/>
    <row r="319" ht="15" hidden="1" customHeight="1" x14ac:dyDescent="0.3"/>
    <row r="320" ht="15" hidden="1" customHeight="1" x14ac:dyDescent="0.3"/>
    <row r="321" ht="15" hidden="1" customHeight="1" x14ac:dyDescent="0.3"/>
    <row r="322" ht="15" hidden="1" customHeight="1" x14ac:dyDescent="0.3"/>
    <row r="323" ht="15" hidden="1" customHeight="1" x14ac:dyDescent="0.3"/>
    <row r="324" ht="15" hidden="1" customHeight="1" x14ac:dyDescent="0.3"/>
    <row r="325" ht="15" hidden="1" customHeight="1" x14ac:dyDescent="0.3"/>
    <row r="326" ht="15" hidden="1" customHeight="1" x14ac:dyDescent="0.3"/>
    <row r="327" ht="15" hidden="1" customHeight="1" x14ac:dyDescent="0.3"/>
    <row r="328" ht="15" hidden="1" customHeight="1" x14ac:dyDescent="0.3"/>
    <row r="329" ht="15" hidden="1" customHeight="1" x14ac:dyDescent="0.3"/>
    <row r="330" ht="15" hidden="1" customHeight="1" x14ac:dyDescent="0.3"/>
    <row r="331" ht="15" hidden="1" customHeight="1" x14ac:dyDescent="0.3"/>
    <row r="332" ht="15" hidden="1" customHeight="1" x14ac:dyDescent="0.3"/>
    <row r="333" ht="15" hidden="1" customHeight="1" x14ac:dyDescent="0.3"/>
    <row r="334" ht="15" hidden="1" customHeight="1" x14ac:dyDescent="0.3"/>
    <row r="335" ht="15" hidden="1" customHeight="1" x14ac:dyDescent="0.3"/>
    <row r="336" ht="15" hidden="1" customHeight="1" x14ac:dyDescent="0.3"/>
    <row r="337" ht="15" hidden="1" customHeight="1" x14ac:dyDescent="0.3"/>
    <row r="338" ht="15" hidden="1" customHeight="1" x14ac:dyDescent="0.3"/>
    <row r="339" ht="15" hidden="1" customHeight="1" x14ac:dyDescent="0.3"/>
    <row r="340" ht="15" hidden="1" customHeight="1" x14ac:dyDescent="0.3"/>
    <row r="341" ht="15" hidden="1" customHeight="1" x14ac:dyDescent="0.3"/>
    <row r="342" ht="15" hidden="1" customHeight="1" x14ac:dyDescent="0.3"/>
    <row r="343" ht="15" hidden="1" customHeight="1" x14ac:dyDescent="0.3"/>
    <row r="344" ht="15" hidden="1" customHeight="1" x14ac:dyDescent="0.3"/>
    <row r="345" ht="15" hidden="1" customHeight="1" x14ac:dyDescent="0.3"/>
    <row r="346" ht="15" hidden="1" customHeight="1" x14ac:dyDescent="0.3"/>
    <row r="347" ht="15" hidden="1" customHeight="1" x14ac:dyDescent="0.3"/>
    <row r="348" ht="15" hidden="1" customHeight="1" x14ac:dyDescent="0.3"/>
    <row r="349" ht="15" hidden="1" customHeight="1" x14ac:dyDescent="0.3"/>
    <row r="350" ht="15" hidden="1" customHeight="1" x14ac:dyDescent="0.3"/>
    <row r="351" ht="15" hidden="1" customHeight="1" x14ac:dyDescent="0.3"/>
    <row r="352" ht="15" hidden="1" customHeight="1" x14ac:dyDescent="0.3"/>
    <row r="353" ht="15" hidden="1" customHeight="1" x14ac:dyDescent="0.3"/>
    <row r="354" ht="15" hidden="1" customHeight="1" x14ac:dyDescent="0.3"/>
    <row r="355" ht="15" hidden="1" customHeight="1" x14ac:dyDescent="0.3"/>
    <row r="356" ht="15" hidden="1" customHeight="1" x14ac:dyDescent="0.3"/>
    <row r="357" ht="15" hidden="1" customHeight="1" x14ac:dyDescent="0.3"/>
    <row r="358" ht="15" hidden="1" customHeight="1" x14ac:dyDescent="0.3"/>
    <row r="359" ht="15" hidden="1" customHeight="1" x14ac:dyDescent="0.3"/>
    <row r="360" ht="15" hidden="1" customHeight="1" x14ac:dyDescent="0.3"/>
    <row r="361" ht="15" hidden="1" customHeight="1" x14ac:dyDescent="0.3"/>
    <row r="362" ht="15" hidden="1" customHeight="1" x14ac:dyDescent="0.3"/>
    <row r="363" ht="15" hidden="1" customHeight="1" x14ac:dyDescent="0.3"/>
    <row r="364" ht="15" hidden="1" customHeight="1" x14ac:dyDescent="0.3"/>
    <row r="365" ht="15" hidden="1" customHeight="1" x14ac:dyDescent="0.3"/>
    <row r="366" ht="15" hidden="1" customHeight="1" x14ac:dyDescent="0.3"/>
    <row r="367" ht="15" hidden="1" customHeight="1" x14ac:dyDescent="0.3"/>
    <row r="368" ht="15" hidden="1" customHeight="1" x14ac:dyDescent="0.3"/>
    <row r="369" ht="15" hidden="1" customHeight="1" x14ac:dyDescent="0.3"/>
    <row r="370" ht="15" hidden="1" customHeight="1" x14ac:dyDescent="0.3"/>
    <row r="371" ht="15" hidden="1" customHeight="1" x14ac:dyDescent="0.3"/>
    <row r="372" ht="15" hidden="1" customHeight="1" x14ac:dyDescent="0.3"/>
    <row r="373" ht="15" hidden="1" customHeight="1" x14ac:dyDescent="0.3"/>
    <row r="374" ht="15" hidden="1" customHeight="1" x14ac:dyDescent="0.3"/>
    <row r="375" ht="15" hidden="1" customHeight="1" x14ac:dyDescent="0.3"/>
    <row r="376" ht="15" hidden="1" customHeight="1" x14ac:dyDescent="0.3"/>
    <row r="377" ht="15" hidden="1" customHeight="1" x14ac:dyDescent="0.3"/>
    <row r="378" ht="15" hidden="1" customHeight="1" x14ac:dyDescent="0.3"/>
    <row r="379" ht="15" hidden="1" customHeight="1" x14ac:dyDescent="0.3"/>
    <row r="380" ht="15" hidden="1" customHeight="1" x14ac:dyDescent="0.3"/>
    <row r="381" ht="15" hidden="1" customHeight="1" x14ac:dyDescent="0.3"/>
    <row r="382" ht="15" hidden="1" customHeight="1" x14ac:dyDescent="0.3"/>
    <row r="383" ht="15" hidden="1" customHeight="1" x14ac:dyDescent="0.3"/>
    <row r="384" ht="15" hidden="1" customHeight="1" x14ac:dyDescent="0.3"/>
    <row r="385" ht="15" hidden="1" customHeight="1" x14ac:dyDescent="0.3"/>
    <row r="386" ht="15" hidden="1" customHeight="1" x14ac:dyDescent="0.3"/>
    <row r="387" ht="15" hidden="1" customHeight="1" x14ac:dyDescent="0.3"/>
    <row r="388" ht="15" hidden="1" customHeight="1" x14ac:dyDescent="0.3"/>
    <row r="389" ht="15" hidden="1" customHeight="1" x14ac:dyDescent="0.3"/>
    <row r="390" ht="15" hidden="1" customHeight="1" x14ac:dyDescent="0.3"/>
    <row r="391" ht="15" hidden="1" customHeight="1" x14ac:dyDescent="0.3"/>
    <row r="392" ht="15" hidden="1" customHeight="1" x14ac:dyDescent="0.3"/>
    <row r="393" ht="15" hidden="1" customHeight="1" x14ac:dyDescent="0.3"/>
    <row r="394" ht="15" hidden="1" customHeight="1" x14ac:dyDescent="0.3"/>
    <row r="395" ht="15" hidden="1" customHeight="1" x14ac:dyDescent="0.3"/>
    <row r="396" ht="15" hidden="1" customHeight="1" x14ac:dyDescent="0.3"/>
    <row r="397" ht="15" hidden="1" customHeight="1" x14ac:dyDescent="0.3"/>
    <row r="398" ht="15" hidden="1" customHeight="1" x14ac:dyDescent="0.3"/>
    <row r="399" ht="15" hidden="1" customHeight="1" x14ac:dyDescent="0.3"/>
    <row r="400" ht="15" hidden="1" customHeight="1" x14ac:dyDescent="0.3"/>
    <row r="401" ht="15" hidden="1" customHeight="1" x14ac:dyDescent="0.3"/>
    <row r="402" ht="15" hidden="1" customHeight="1" x14ac:dyDescent="0.3"/>
    <row r="403" ht="15" hidden="1" customHeight="1" x14ac:dyDescent="0.3"/>
    <row r="404" ht="15" hidden="1" customHeight="1" x14ac:dyDescent="0.3"/>
    <row r="405" ht="15" hidden="1" customHeight="1" x14ac:dyDescent="0.3"/>
    <row r="406" ht="15" hidden="1" customHeight="1" x14ac:dyDescent="0.3"/>
    <row r="407" ht="15" hidden="1" customHeight="1" x14ac:dyDescent="0.3"/>
    <row r="408" ht="15" hidden="1" customHeight="1" x14ac:dyDescent="0.3"/>
    <row r="409" ht="15" hidden="1" customHeight="1" x14ac:dyDescent="0.3"/>
    <row r="410" ht="15" hidden="1" customHeight="1" x14ac:dyDescent="0.3"/>
    <row r="411" ht="15" hidden="1" customHeight="1" x14ac:dyDescent="0.3"/>
    <row r="412" ht="15" hidden="1" customHeight="1" x14ac:dyDescent="0.3"/>
    <row r="413" ht="15" hidden="1" customHeight="1" x14ac:dyDescent="0.3"/>
    <row r="414" ht="15" hidden="1" customHeight="1" x14ac:dyDescent="0.3"/>
    <row r="415" ht="15" hidden="1" customHeight="1" x14ac:dyDescent="0.3"/>
    <row r="416" ht="15" hidden="1" customHeight="1" x14ac:dyDescent="0.3"/>
    <row r="417" ht="15" hidden="1" customHeight="1" x14ac:dyDescent="0.3"/>
    <row r="418" ht="15" hidden="1" customHeight="1" x14ac:dyDescent="0.3"/>
    <row r="419" ht="15" hidden="1" customHeight="1" x14ac:dyDescent="0.3"/>
    <row r="420" ht="15" hidden="1" customHeight="1" x14ac:dyDescent="0.3"/>
    <row r="421" ht="15" hidden="1" customHeight="1" x14ac:dyDescent="0.3"/>
    <row r="422" ht="15" hidden="1" customHeight="1" x14ac:dyDescent="0.3"/>
    <row r="423" ht="15" hidden="1" customHeight="1" x14ac:dyDescent="0.3"/>
    <row r="424" ht="15" hidden="1" customHeight="1" x14ac:dyDescent="0.3"/>
    <row r="425" ht="15" hidden="1" customHeight="1" x14ac:dyDescent="0.3"/>
    <row r="426" ht="15" hidden="1" customHeight="1" x14ac:dyDescent="0.3"/>
    <row r="427" ht="15" hidden="1" customHeight="1" x14ac:dyDescent="0.3"/>
    <row r="428" ht="15" hidden="1" customHeight="1" x14ac:dyDescent="0.3"/>
    <row r="429" ht="15" hidden="1" customHeight="1" x14ac:dyDescent="0.3"/>
    <row r="430" ht="15" hidden="1" customHeight="1" x14ac:dyDescent="0.3"/>
    <row r="431" ht="15" hidden="1" customHeight="1" x14ac:dyDescent="0.3"/>
    <row r="432" ht="15" hidden="1" customHeight="1" x14ac:dyDescent="0.3"/>
    <row r="433" ht="15" hidden="1" customHeight="1" x14ac:dyDescent="0.3"/>
    <row r="434" ht="15" hidden="1" customHeight="1" x14ac:dyDescent="0.3"/>
    <row r="435" ht="15" hidden="1" customHeight="1" x14ac:dyDescent="0.3"/>
    <row r="436" ht="15" hidden="1" customHeight="1" x14ac:dyDescent="0.3"/>
    <row r="437" ht="15" hidden="1" customHeight="1" x14ac:dyDescent="0.3"/>
    <row r="438" ht="15" hidden="1" customHeight="1" x14ac:dyDescent="0.3"/>
    <row r="439" ht="15" hidden="1" customHeight="1" x14ac:dyDescent="0.3"/>
    <row r="440" ht="15" hidden="1" customHeight="1" x14ac:dyDescent="0.3"/>
    <row r="441" ht="15" hidden="1" customHeight="1" x14ac:dyDescent="0.3"/>
    <row r="442" ht="15" hidden="1" customHeight="1" x14ac:dyDescent="0.3"/>
    <row r="443" ht="15" hidden="1" customHeight="1" x14ac:dyDescent="0.3"/>
    <row r="444" ht="15" hidden="1" customHeight="1" x14ac:dyDescent="0.3"/>
    <row r="445" ht="15" hidden="1" customHeight="1" x14ac:dyDescent="0.3"/>
    <row r="446" ht="15" hidden="1" customHeight="1" x14ac:dyDescent="0.3"/>
    <row r="447" ht="15" hidden="1" customHeight="1" x14ac:dyDescent="0.3"/>
    <row r="448" ht="15" hidden="1" customHeight="1" x14ac:dyDescent="0.3"/>
    <row r="449" ht="15" hidden="1" customHeight="1" x14ac:dyDescent="0.3"/>
    <row r="450" ht="15" hidden="1" customHeight="1" x14ac:dyDescent="0.3"/>
    <row r="451" ht="15" hidden="1" customHeight="1" x14ac:dyDescent="0.3"/>
    <row r="452" ht="15" hidden="1" customHeight="1" x14ac:dyDescent="0.3"/>
    <row r="453" ht="15" hidden="1" customHeight="1" x14ac:dyDescent="0.3"/>
    <row r="454" ht="15" hidden="1" customHeight="1" x14ac:dyDescent="0.3"/>
    <row r="455" ht="15" hidden="1" customHeight="1" x14ac:dyDescent="0.3"/>
    <row r="456" ht="15" hidden="1" customHeight="1" x14ac:dyDescent="0.3"/>
    <row r="457" ht="15" hidden="1" customHeight="1" x14ac:dyDescent="0.3"/>
    <row r="458" ht="15" hidden="1" customHeight="1" x14ac:dyDescent="0.3"/>
    <row r="459" ht="15" hidden="1" customHeight="1" x14ac:dyDescent="0.3"/>
    <row r="460" ht="15" hidden="1" customHeight="1" x14ac:dyDescent="0.3"/>
    <row r="461" ht="15" hidden="1" customHeight="1" x14ac:dyDescent="0.3"/>
    <row r="462" ht="15" hidden="1" customHeight="1" x14ac:dyDescent="0.3"/>
    <row r="463" ht="15" hidden="1" customHeight="1" x14ac:dyDescent="0.3"/>
    <row r="464" ht="15" hidden="1" customHeight="1" x14ac:dyDescent="0.3"/>
    <row r="465" ht="15" hidden="1" customHeight="1" x14ac:dyDescent="0.3"/>
    <row r="466" ht="15" hidden="1" customHeight="1" x14ac:dyDescent="0.3"/>
    <row r="467" ht="15" hidden="1" customHeight="1" x14ac:dyDescent="0.3"/>
    <row r="468" ht="15" hidden="1" customHeight="1" x14ac:dyDescent="0.3"/>
    <row r="469" ht="15" hidden="1" customHeight="1" x14ac:dyDescent="0.3"/>
    <row r="470" ht="15" hidden="1" customHeight="1" x14ac:dyDescent="0.3"/>
    <row r="471" ht="15" hidden="1" customHeight="1" x14ac:dyDescent="0.3"/>
    <row r="472" ht="15" hidden="1" customHeight="1" x14ac:dyDescent="0.3"/>
    <row r="473" ht="15" hidden="1" customHeight="1" x14ac:dyDescent="0.3"/>
    <row r="474" ht="15" hidden="1" customHeight="1" x14ac:dyDescent="0.3"/>
    <row r="475" ht="15" hidden="1" customHeight="1" x14ac:dyDescent="0.3"/>
    <row r="476" ht="15" hidden="1" customHeight="1" x14ac:dyDescent="0.3"/>
    <row r="477" ht="15" hidden="1" customHeight="1" x14ac:dyDescent="0.3"/>
    <row r="478" ht="15" hidden="1" customHeight="1" x14ac:dyDescent="0.3"/>
    <row r="479" ht="15" hidden="1" customHeight="1" x14ac:dyDescent="0.3"/>
    <row r="480" ht="15" hidden="1" customHeight="1" x14ac:dyDescent="0.3"/>
    <row r="481" ht="15" hidden="1" customHeight="1" x14ac:dyDescent="0.3"/>
    <row r="482" ht="15" hidden="1" customHeight="1" x14ac:dyDescent="0.3"/>
    <row r="483" ht="15" hidden="1" customHeight="1" x14ac:dyDescent="0.3"/>
    <row r="484" ht="15" hidden="1" customHeight="1" x14ac:dyDescent="0.3"/>
    <row r="485" ht="15" hidden="1" customHeight="1" x14ac:dyDescent="0.3"/>
    <row r="486" ht="15" hidden="1" customHeight="1" x14ac:dyDescent="0.3"/>
    <row r="487" ht="15" hidden="1" customHeight="1" x14ac:dyDescent="0.3"/>
    <row r="488" ht="15" hidden="1" customHeight="1" x14ac:dyDescent="0.3"/>
    <row r="489" ht="15" hidden="1" customHeight="1" x14ac:dyDescent="0.3"/>
    <row r="490" ht="15" hidden="1" customHeight="1" x14ac:dyDescent="0.3"/>
    <row r="491" ht="15" hidden="1" customHeight="1" x14ac:dyDescent="0.3"/>
    <row r="492" ht="15" hidden="1" customHeight="1" x14ac:dyDescent="0.3"/>
    <row r="493" ht="15" hidden="1" customHeight="1" x14ac:dyDescent="0.3"/>
    <row r="494" ht="15" hidden="1" customHeight="1" x14ac:dyDescent="0.3"/>
    <row r="495" ht="15" hidden="1" customHeight="1" x14ac:dyDescent="0.3"/>
    <row r="496" ht="15" hidden="1" customHeight="1" x14ac:dyDescent="0.3"/>
    <row r="497" ht="15" hidden="1" customHeight="1" x14ac:dyDescent="0.3"/>
    <row r="498" ht="15" hidden="1" customHeight="1" x14ac:dyDescent="0.3"/>
    <row r="499" ht="15" hidden="1" customHeight="1" x14ac:dyDescent="0.3"/>
    <row r="500" ht="15" hidden="1" customHeight="1" x14ac:dyDescent="0.3"/>
    <row r="501" ht="15" hidden="1" customHeight="1" x14ac:dyDescent="0.3"/>
    <row r="502" ht="15" hidden="1" customHeight="1" x14ac:dyDescent="0.3"/>
    <row r="503" ht="15" hidden="1" customHeight="1" x14ac:dyDescent="0.3"/>
  </sheetData>
  <sheetProtection algorithmName="SHA-512" hashValue="K9ytJJdmvB/r742R3tqoOeTykW/UVKEBW06AKVr+qsttA4f6cyUH0wzDnB++LDBrPzEwsG1H3vtYxtE5D/6M/Q==" saltValue="gkk+KHzS0r6y6EiRgNSVew=="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16">
    <mergeCell ref="AJ10:AJ11"/>
    <mergeCell ref="AK10:AL10"/>
    <mergeCell ref="C10:L10"/>
    <mergeCell ref="U10:W10"/>
    <mergeCell ref="P10:P11"/>
    <mergeCell ref="M8:AI8"/>
    <mergeCell ref="M9:AI9"/>
    <mergeCell ref="M10:M11"/>
    <mergeCell ref="B3:C4"/>
    <mergeCell ref="X10:AC10"/>
    <mergeCell ref="AD10:AG10"/>
    <mergeCell ref="AI10:AI11"/>
    <mergeCell ref="N10:O10"/>
    <mergeCell ref="Q10:R10"/>
    <mergeCell ref="S10:T10"/>
    <mergeCell ref="X2:AC4"/>
  </mergeCells>
  <conditionalFormatting sqref="L12:L257">
    <cfRule type="cellIs" dxfId="68" priority="7" operator="equal">
      <formula>"Same distinctiveness band or better"</formula>
    </cfRule>
    <cfRule type="cellIs" dxfId="67" priority="8" operator="equal">
      <formula>"Like for like or better"</formula>
    </cfRule>
    <cfRule type="cellIs" dxfId="66" priority="9" operator="equal">
      <formula>"Like for Like"</formula>
    </cfRule>
  </conditionalFormatting>
  <conditionalFormatting sqref="N12:AJ257">
    <cfRule type="containsText" dxfId="65" priority="2" operator="containsText" text="30+">
      <formula>NOT(ISERROR(SEARCH("30+",N12)))</formula>
    </cfRule>
    <cfRule type="beginsWith" dxfId="64" priority="3" operator="beginsWith" text="No">
      <formula>LEFT(N12,LEN("No"))="No"</formula>
    </cfRule>
    <cfRule type="containsText" dxfId="63" priority="4" operator="containsText" text="Spatial">
      <formula>NOT(ISERROR(SEARCH("Spatial",N12)))</formula>
    </cfRule>
    <cfRule type="containsText" dxfId="62" priority="5" operator="containsText" text="Check">
      <formula>NOT(ISERROR(SEARCH("Check",N12)))</formula>
    </cfRule>
    <cfRule type="containsText" dxfId="61" priority="6" operator="containsText" text="Error">
      <formula>NOT(ISERROR(SEARCH("Error",N12)))</formula>
    </cfRule>
  </conditionalFormatting>
  <conditionalFormatting sqref="X2">
    <cfRule type="containsText" dxfId="60" priority="1" operator="containsText" text="Note">
      <formula>NOT(ISERROR(SEARCH("Note",X2)))</formula>
    </cfRule>
  </conditionalFormatting>
  <dataValidations count="1">
    <dataValidation type="list" allowBlank="1" showInputMessage="1" showErrorMessage="1" sqref="S12:S257" xr:uid="{00000000-0002-0000-1500-000000000000}">
      <formula1>INDIRECT(AP12)</formula1>
    </dataValidation>
  </dataValidations>
  <pageMargins left="0.7" right="0.7" top="0.75" bottom="0.75" header="0.3" footer="0.3"/>
  <pageSetup paperSize="9" orientation="portrait" horizontalDpi="90" verticalDpi="90" r:id="rId1"/>
  <drawing r:id="rId2"/>
  <extLst>
    <ext xmlns:x14="http://schemas.microsoft.com/office/spreadsheetml/2009/9/main" uri="{CCE6A557-97BC-4b89-ADB6-D9C93CAAB3DF}">
      <x14:dataValidations xmlns:xm="http://schemas.microsoft.com/office/excel/2006/main" count="4">
        <x14:dataValidation type="list" errorStyle="warning" allowBlank="1" showInputMessage="1" showErrorMessage="1" xr:uid="{00000000-0002-0000-1500-000001000000}">
          <x14:formula1>
            <xm:f>'G-6 Hedgerow Data'!$B$3:$B$15</xm:f>
          </x14:formula1>
          <xm:sqref>M12:M257</xm:sqref>
        </x14:dataValidation>
        <x14:dataValidation type="list" allowBlank="1" showInputMessage="1" showErrorMessage="1" xr:uid="{00000000-0002-0000-1500-000002000000}">
          <x14:formula1>
            <xm:f>'G-3 Multipliers'!$L$4:$L$6</xm:f>
          </x14:formula1>
          <xm:sqref>U12:U257</xm:sqref>
        </x14:dataValidation>
        <x14:dataValidation type="list" allowBlank="1" showInputMessage="1" showErrorMessage="1" xr:uid="{00000000-0002-0000-1500-000003000000}">
          <x14:formula1>
            <xm:f>'G-3 Multipliers'!$S$4:$S$6</xm:f>
          </x14:formula1>
          <xm:sqref>AH12:AH257</xm:sqref>
        </x14:dataValidation>
        <x14:dataValidation type="list" allowBlank="1" showInputMessage="1" showErrorMessage="1" xr:uid="{00000000-0002-0000-1500-000004000000}">
          <x14:formula1>
            <xm:f>'G-4 Temporal multipliers'!$A$4:$A$36</xm:f>
          </x14:formula1>
          <xm:sqref>Y12:Z257</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6">
    <tabColor rgb="FF0033CC"/>
  </sheetPr>
  <dimension ref="A1:AQ272"/>
  <sheetViews>
    <sheetView workbookViewId="0"/>
  </sheetViews>
  <sheetFormatPr defaultColWidth="0" defaultRowHeight="0" customHeight="1" zeroHeight="1" x14ac:dyDescent="0.3"/>
  <cols>
    <col min="1" max="1" width="3" style="31" customWidth="1"/>
    <col min="2" max="2" width="3.26953125" style="132" customWidth="1"/>
    <col min="3" max="3" width="12.7265625" style="132" customWidth="1"/>
    <col min="4" max="4" width="55" style="31" customWidth="1"/>
    <col min="5" max="5" width="8.54296875" style="31" customWidth="1"/>
    <col min="6" max="6" width="17.7265625" style="31" customWidth="1"/>
    <col min="7" max="7" width="8.7265625" style="31" customWidth="1"/>
    <col min="8" max="8" width="14.26953125" style="31" bestFit="1" customWidth="1"/>
    <col min="9" max="9" width="13.1796875" style="31" customWidth="1"/>
    <col min="10" max="10" width="33.7265625" style="31" customWidth="1"/>
    <col min="11" max="11" width="14.81640625" style="31" customWidth="1"/>
    <col min="12" max="12" width="13.1796875" style="31" customWidth="1"/>
    <col min="13" max="13" width="17.26953125" style="31" customWidth="1"/>
    <col min="14" max="14" width="13.54296875" style="31" customWidth="1"/>
    <col min="15" max="15" width="16.26953125" style="31" customWidth="1"/>
    <col min="16" max="16" width="14.453125" style="31" customWidth="1"/>
    <col min="17" max="17" width="14.26953125" style="31" customWidth="1"/>
    <col min="18" max="18" width="15" style="31" customWidth="1"/>
    <col min="19" max="19" width="3.7265625" style="31" customWidth="1"/>
    <col min="20" max="21" width="12.26953125" style="31" customWidth="1"/>
    <col min="22" max="22" width="13.453125" style="31" customWidth="1"/>
    <col min="23" max="23" width="12.1796875" style="31" customWidth="1"/>
    <col min="24" max="24" width="10.453125" style="31" customWidth="1"/>
    <col min="25" max="25" width="11" style="31" customWidth="1"/>
    <col min="26" max="27" width="50.1796875" style="31" customWidth="1"/>
    <col min="28" max="30" width="8.81640625" style="31" customWidth="1"/>
    <col min="31" max="36" width="8.81640625" style="31" hidden="1" customWidth="1"/>
    <col min="37" max="37" width="11.81640625" style="31" hidden="1" customWidth="1"/>
    <col min="38" max="41" width="8.81640625" style="31" hidden="1" customWidth="1"/>
    <col min="42" max="42" width="19.54296875" style="31" hidden="1" customWidth="1"/>
    <col min="43" max="43" width="35" style="31" hidden="1" customWidth="1"/>
    <col min="44" max="16384" width="8.81640625" style="31" hidden="1"/>
  </cols>
  <sheetData>
    <row r="1" spans="2:42" ht="12.75" customHeight="1" thickBot="1" x14ac:dyDescent="0.35">
      <c r="B1" s="31"/>
      <c r="C1" s="31"/>
    </row>
    <row r="2" spans="2:42" ht="19.5" customHeight="1" thickBot="1" x14ac:dyDescent="0.35">
      <c r="B2" s="987" t="str">
        <f>IF([2]Start!F12="","",[2]Start!F12)</f>
        <v/>
      </c>
      <c r="C2" s="988"/>
      <c r="D2" s="989"/>
    </row>
    <row r="3" spans="2:42" ht="15" customHeight="1" x14ac:dyDescent="0.3">
      <c r="B3" s="1016" t="str">
        <f ca="1">MID(CELL("filename",A1),FIND("]",CELL("filename",A1))+1,256)</f>
        <v>C-1 Site River Baseline</v>
      </c>
      <c r="C3" s="1017"/>
      <c r="D3" s="1018"/>
    </row>
    <row r="4" spans="2:42" ht="19.899999999999999" customHeight="1" thickBot="1" x14ac:dyDescent="0.35">
      <c r="B4" s="944"/>
      <c r="C4" s="945"/>
      <c r="D4" s="946"/>
    </row>
    <row r="5" spans="2:42" ht="19.149999999999999" customHeight="1" x14ac:dyDescent="0.3">
      <c r="B5" s="31"/>
      <c r="C5" s="31"/>
      <c r="F5" s="131"/>
      <c r="T5" s="1019" t="str">
        <f>IF(SUM(AG10:AG257)&gt;0,"Check Lengths ⚠","")</f>
        <v/>
      </c>
      <c r="U5" s="1019"/>
      <c r="V5" s="1019"/>
      <c r="W5" s="1019"/>
      <c r="X5" s="1019"/>
      <c r="Y5" s="1019"/>
    </row>
    <row r="6" spans="2:42" ht="15.75" customHeight="1" x14ac:dyDescent="0.3">
      <c r="B6" s="31"/>
      <c r="C6" s="31"/>
      <c r="T6" s="1019"/>
      <c r="U6" s="1019"/>
      <c r="V6" s="1019"/>
      <c r="W6" s="1019"/>
      <c r="X6" s="1019"/>
      <c r="Y6" s="1019"/>
    </row>
    <row r="7" spans="2:42" ht="46.15" customHeight="1" thickBot="1" x14ac:dyDescent="0.35"/>
    <row r="8" spans="2:42" ht="28.5" thickBot="1" x14ac:dyDescent="0.35">
      <c r="C8" s="950" t="s">
        <v>318</v>
      </c>
      <c r="D8" s="950"/>
      <c r="E8" s="950"/>
      <c r="F8" s="940" t="s">
        <v>272</v>
      </c>
      <c r="G8" s="940"/>
      <c r="H8" s="940" t="s">
        <v>273</v>
      </c>
      <c r="I8" s="940"/>
      <c r="J8" s="950" t="s">
        <v>191</v>
      </c>
      <c r="K8" s="950"/>
      <c r="L8" s="950"/>
      <c r="M8" s="940" t="s">
        <v>319</v>
      </c>
      <c r="N8" s="940"/>
      <c r="O8" s="940" t="s">
        <v>320</v>
      </c>
      <c r="P8" s="940"/>
      <c r="Q8" s="939" t="s">
        <v>309</v>
      </c>
      <c r="R8" s="167" t="s">
        <v>193</v>
      </c>
      <c r="S8" s="134"/>
      <c r="T8" s="950" t="s">
        <v>194</v>
      </c>
      <c r="U8" s="950"/>
      <c r="V8" s="950"/>
      <c r="W8" s="950"/>
      <c r="X8" s="950"/>
      <c r="Y8" s="950"/>
      <c r="Z8" s="986" t="s">
        <v>196</v>
      </c>
      <c r="AA8" s="986"/>
    </row>
    <row r="9" spans="2:42" ht="42.5" thickBot="1" x14ac:dyDescent="0.35">
      <c r="C9" s="368" t="s">
        <v>254</v>
      </c>
      <c r="D9" s="201" t="s">
        <v>138</v>
      </c>
      <c r="E9" s="202" t="s">
        <v>294</v>
      </c>
      <c r="F9" s="368" t="s">
        <v>189</v>
      </c>
      <c r="G9" s="202" t="s">
        <v>206</v>
      </c>
      <c r="H9" s="368" t="s">
        <v>190</v>
      </c>
      <c r="I9" s="202" t="s">
        <v>206</v>
      </c>
      <c r="J9" s="368" t="s">
        <v>191</v>
      </c>
      <c r="K9" s="201" t="s">
        <v>191</v>
      </c>
      <c r="L9" s="202" t="s">
        <v>321</v>
      </c>
      <c r="M9" s="368" t="s">
        <v>322</v>
      </c>
      <c r="N9" s="202" t="s">
        <v>323</v>
      </c>
      <c r="O9" s="368" t="s">
        <v>322</v>
      </c>
      <c r="P9" s="202" t="s">
        <v>323</v>
      </c>
      <c r="Q9" s="940"/>
      <c r="R9" s="421" t="s">
        <v>324</v>
      </c>
      <c r="S9" s="138"/>
      <c r="T9" s="368" t="s">
        <v>296</v>
      </c>
      <c r="U9" s="201" t="s">
        <v>297</v>
      </c>
      <c r="V9" s="201" t="s">
        <v>298</v>
      </c>
      <c r="W9" s="201" t="s">
        <v>299</v>
      </c>
      <c r="X9" s="201" t="s">
        <v>325</v>
      </c>
      <c r="Y9" s="202" t="s">
        <v>326</v>
      </c>
      <c r="Z9" s="133" t="s">
        <v>327</v>
      </c>
      <c r="AA9" s="133" t="s">
        <v>216</v>
      </c>
      <c r="AG9" s="42" t="s">
        <v>328</v>
      </c>
      <c r="AH9" s="156" t="s">
        <v>219</v>
      </c>
      <c r="AI9" s="156" t="s">
        <v>220</v>
      </c>
      <c r="AK9" s="156" t="s">
        <v>222</v>
      </c>
      <c r="AM9" s="156" t="s">
        <v>219</v>
      </c>
      <c r="AN9" s="156" t="s">
        <v>220</v>
      </c>
      <c r="AP9" s="131" t="s">
        <v>200</v>
      </c>
    </row>
    <row r="10" spans="2:42" ht="14" x14ac:dyDescent="0.3">
      <c r="C10" s="141">
        <v>1</v>
      </c>
      <c r="D10" s="459"/>
      <c r="E10" s="70"/>
      <c r="F10" s="498" t="str">
        <f>IF(D10="","",VLOOKUP(D10,'G-7 Rivers Data'!$B$2:$G$8,2,FALSE))</f>
        <v/>
      </c>
      <c r="G10" s="499" t="str">
        <f>IFERROR(VLOOKUP(F10,'G-7 Rivers Data'!$C$4:$D$8,2,FALSE),"")</f>
        <v/>
      </c>
      <c r="H10" s="71"/>
      <c r="I10" s="499" t="str">
        <f>IFERROR(INDEX('G-7 Rivers Data'!$H$4:$L$8,MATCH(D10,'G-7 Rivers Data'!$B$4:$B$8,0),MATCH(H10,'G-7 Rivers Data'!$H$3:$L$3,0)),"")</f>
        <v/>
      </c>
      <c r="J10" s="426"/>
      <c r="K10" s="537" t="str">
        <f>IF(J10="","",IF(VLOOKUP(J10,'G-7 Rivers Data'!$AK$4:$AM$9,2,FALSE)=0,"Spatial Data Missing ⚠",VLOOKUP(J10,'G-7 Rivers Data'!$AK$4:$AM$9,2,FALSE)))</f>
        <v/>
      </c>
      <c r="L10" s="505" t="str">
        <f>IF(J10="","",IF(VLOOKUP(J10,'G-7 Rivers Data'!$AK$4:$AM$9,3,FALSE)=0,"Spatial Data Missing ⚠",VLOOKUP(J10,'G-7 Rivers Data'!$AK$4:$AM$9,3,FALSE)))</f>
        <v/>
      </c>
      <c r="M10" s="146"/>
      <c r="N10" s="499" t="str">
        <f>IF(M10="","",IF(VLOOKUP(M10,'G-7 Rivers Data'!$AA$4:$AB$7,2,FALSE)=0,"Spatial Data Missing ⚠",VLOOKUP(M10,'G-7 Rivers Data'!$AA$4:$AB$7,2,FALSE)))</f>
        <v/>
      </c>
      <c r="O10" s="78"/>
      <c r="P10" s="499" t="str">
        <f>IF(O10="","",IF(VLOOKUP(O10,'G-7 Rivers Data'!$AD$4:$AE$8,2,FALSE)=0,"Spatial Data Missing ⚠",VLOOKUP(O10,'G-7 Rivers Data'!$AD$4:$AE$8,2,FALSE)))</f>
        <v/>
      </c>
      <c r="Q10" s="506" t="str">
        <f>IF(D10="","",VLOOKUP(D10,'G-7 Rivers Data'!$B$2:$G$8,6,FALSE))</f>
        <v/>
      </c>
      <c r="R10" s="513" t="str">
        <f>IFERROR(IF(D10="","",E10*G10*I10*L10*N10*P10),"")</f>
        <v/>
      </c>
      <c r="S10" s="40"/>
      <c r="T10" s="71"/>
      <c r="U10" s="72"/>
      <c r="V10" s="511" t="str">
        <f>IFERROR(IF(T10&gt;E10,"Check Lengths",T10*G10*I10*L10*N10*P10),"")</f>
        <v/>
      </c>
      <c r="W10" s="511" t="str">
        <f>IFERROR(IF(D10="","",U10*G10*I10*L10*N10*P10),"")</f>
        <v/>
      </c>
      <c r="X10" s="511" t="str">
        <f>IFERROR(IF(D10="","",IF(E10&gt;(T10+U10),E10-T10-U10,0)),"")</f>
        <v/>
      </c>
      <c r="Y10" s="515" t="str">
        <f>IFERROR(IF(E10="","",IF((V10+W10)&gt;R10,0,R10-V10-W10)),"Check Data ⚠")</f>
        <v/>
      </c>
      <c r="Z10" s="169"/>
      <c r="AA10" s="170"/>
      <c r="AG10" s="31">
        <f>IFERROR(IF(T10+U10&gt;E10,1,0),"")</f>
        <v>0</v>
      </c>
      <c r="AH10" s="156" t="str">
        <f>IF(D10="","",IF(T10&gt;0,TRUE,FALSE))</f>
        <v/>
      </c>
      <c r="AI10" s="156" t="str">
        <f>IF(D10="","",IF(U10&gt;0,TRUE,FALSE))</f>
        <v/>
      </c>
      <c r="AK10" s="156">
        <v>1</v>
      </c>
      <c r="AM10" s="156" t="str">
        <f t="array" ref="AM10">IFERROR(INDEX($AK$10:$AK$258, MATCH(0, IF(TRUE=$AH$10:$AH$258, COUNTIF($AM9:$AM$9, $AK$10:$AK$258), ""), 0)),"")</f>
        <v/>
      </c>
      <c r="AN10" s="156" t="str">
        <f t="array" ref="AN10">IFERROR(INDEX($AK$10:$AK$258, MATCH(0, IF(TRUE=$AI$10:$AI$258, COUNTIF($AN9:$AN$9, $AK$10:$AK$258), ""), 0)),"")</f>
        <v/>
      </c>
      <c r="AP10" s="31" t="str">
        <f>IFERROR(INDEX('G-7 Rivers Data'!$AZ$3:$AZ$7,MATCH(D10,'G-7 Rivers Data'!$AY$3:$AY$7,0)),"")</f>
        <v/>
      </c>
    </row>
    <row r="11" spans="2:42" ht="14" x14ac:dyDescent="0.3">
      <c r="C11" s="141">
        <v>2</v>
      </c>
      <c r="D11" s="459"/>
      <c r="E11" s="70"/>
      <c r="F11" s="498" t="str">
        <f>IF(D11="","",VLOOKUP(D11,'G-7 Rivers Data'!$B$2:$G$8,2,FALSE))</f>
        <v/>
      </c>
      <c r="G11" s="499" t="str">
        <f>IFERROR(VLOOKUP(F11,'G-7 Rivers Data'!$C$4:$D$8,2,FALSE),"")</f>
        <v/>
      </c>
      <c r="H11" s="71"/>
      <c r="I11" s="499" t="str">
        <f>IFERROR(INDEX('G-7 Rivers Data'!$H$4:$L$8,MATCH(D11,'G-7 Rivers Data'!$B$4:$B$8,0),MATCH(H11,'G-7 Rivers Data'!$H$3:$L$3,0)),"")</f>
        <v/>
      </c>
      <c r="J11" s="426"/>
      <c r="K11" s="498" t="str">
        <f>IF(J11="","",IF(VLOOKUP(J11,'G-7 Rivers Data'!$AK$4:$AM$9,2,FALSE)=0,"Spatial Data Missing ⚠",VLOOKUP(J11,'G-7 Rivers Data'!$AK$4:$AM$9,2,FALSE)))</f>
        <v/>
      </c>
      <c r="L11" s="505" t="str">
        <f>IF(J11="","",IF(VLOOKUP(J11,'G-7 Rivers Data'!$AK$4:$AM$9,3,FALSE)=0,"Spatial Data Missing ⚠",VLOOKUP(J11,'G-7 Rivers Data'!$AK$4:$AM$9,3,FALSE)))</f>
        <v/>
      </c>
      <c r="M11" s="71"/>
      <c r="N11" s="499" t="str">
        <f>IF(M11="","",IF(VLOOKUP(M11,'G-7 Rivers Data'!$AA$4:$AB$7,2,FALSE)=0,"Spatial Data Missing ⚠",VLOOKUP(M11,'G-7 Rivers Data'!$AA$4:$AB$7,2,FALSE)))</f>
        <v/>
      </c>
      <c r="O11" s="78"/>
      <c r="P11" s="499" t="str">
        <f>IF(O11="","",IF(VLOOKUP(O11,'G-7 Rivers Data'!$AD$4:$AE$8,2,FALSE)=0,"Spatial Data Missing ⚠",VLOOKUP(O11,'G-7 Rivers Data'!$AD$4:$AE$8,2,FALSE)))</f>
        <v/>
      </c>
      <c r="Q11" s="506" t="str">
        <f>IF(D11="","",VLOOKUP(D11,'G-7 Rivers Data'!$B$2:$G$8,6,FALSE))</f>
        <v/>
      </c>
      <c r="R11" s="513" t="str">
        <f t="shared" ref="R11:R74" si="0">IFERROR(IF(D11="","",E11*G11*I11*L11*N11*P11),"")</f>
        <v/>
      </c>
      <c r="S11" s="40"/>
      <c r="T11" s="71"/>
      <c r="U11" s="157"/>
      <c r="V11" s="511" t="str">
        <f t="shared" ref="V11:V74" si="1">IFERROR(IF(T11&gt;E11,"Check Lengths",T11*G11*I11*L11*N11*P11),"")</f>
        <v/>
      </c>
      <c r="W11" s="511" t="str">
        <f t="shared" ref="W11:W74" si="2">IFERROR(IF(D11="","",U11*G11*I11*L11*N11*P11),"")</f>
        <v/>
      </c>
      <c r="X11" s="511" t="str">
        <f t="shared" ref="X11:X74" si="3">IFERROR(IF(D11="","",IF(E11&gt;(T11+U11),E11-T11-U11,0)),"")</f>
        <v/>
      </c>
      <c r="Y11" s="515" t="str">
        <f t="shared" ref="Y11:Y74" si="4">IFERROR(IF(E11="","",IF((V11+W11)&gt;R11,0,R11-V11-W11)),"Check Data ⚠")</f>
        <v/>
      </c>
      <c r="Z11" s="151"/>
      <c r="AA11" s="152"/>
      <c r="AG11" s="31">
        <f t="shared" ref="AG11:AG74" si="5">IFERROR(IF(T11+U11&gt;E11,1,0),"")</f>
        <v>0</v>
      </c>
      <c r="AH11" s="156" t="str">
        <f t="shared" ref="AH11:AH74" si="6">IF(D11="","",IF(T11&gt;0,TRUE,FALSE))</f>
        <v/>
      </c>
      <c r="AI11" s="156" t="str">
        <f t="shared" ref="AI11:AI74" si="7">IF(D11="","",IF(U11&gt;0,TRUE,FALSE))</f>
        <v/>
      </c>
      <c r="AK11" s="156">
        <v>2</v>
      </c>
      <c r="AM11" s="156" t="str">
        <f t="array" ref="AM11">IFERROR(INDEX($AK$10:$AK$258, MATCH(0, IF(TRUE=$AH$10:$AH$258, COUNTIF($AM$9:$AM10, $AK$10:$AK$258), ""), 0)),"")</f>
        <v/>
      </c>
      <c r="AN11" s="156" t="str">
        <f t="array" ref="AN11">IFERROR(INDEX($AK$10:$AK$258, MATCH(0, IF(TRUE=$AI$10:$AI$258, COUNTIF($AN$9:$AN10, $AK$10:$AK$258), ""), 0)),"")</f>
        <v/>
      </c>
      <c r="AP11" s="31" t="str">
        <f>IFERROR(INDEX('G-7 Rivers Data'!$AZ$3:$AZ$7,MATCH(D11,'G-7 Rivers Data'!$AY$3:$AY$7,0)),"")</f>
        <v/>
      </c>
    </row>
    <row r="12" spans="2:42" ht="14" x14ac:dyDescent="0.3">
      <c r="C12" s="141">
        <v>3</v>
      </c>
      <c r="D12" s="459"/>
      <c r="E12" s="70"/>
      <c r="F12" s="498" t="str">
        <f>IF(D12="","",VLOOKUP(D12,'G-7 Rivers Data'!$B$2:$G$8,2,FALSE))</f>
        <v/>
      </c>
      <c r="G12" s="499" t="str">
        <f>IFERROR(VLOOKUP(F12,'G-7 Rivers Data'!$C$4:$D$8,2,FALSE),"")</f>
        <v/>
      </c>
      <c r="H12" s="71"/>
      <c r="I12" s="499" t="str">
        <f>IFERROR(INDEX('G-7 Rivers Data'!$H$4:$L$8,MATCH(D12,'G-7 Rivers Data'!$B$4:$B$8,0),MATCH(H12,'G-7 Rivers Data'!$H$3:$L$3,0)),"")</f>
        <v/>
      </c>
      <c r="J12" s="426"/>
      <c r="K12" s="498" t="str">
        <f>IF(J12="","",IF(VLOOKUP(J12,'G-7 Rivers Data'!$AK$4:$AM$9,2,FALSE)=0,"Spatial Data Missing ⚠",VLOOKUP(J12,'G-7 Rivers Data'!$AK$4:$AM$9,2,FALSE)))</f>
        <v/>
      </c>
      <c r="L12" s="505" t="str">
        <f>IF(J12="","",IF(VLOOKUP(J12,'G-7 Rivers Data'!$AK$4:$AM$9,3,FALSE)=0,"Spatial Data Missing ⚠",VLOOKUP(J12,'G-7 Rivers Data'!$AK$4:$AM$9,3,FALSE)))</f>
        <v/>
      </c>
      <c r="M12" s="71"/>
      <c r="N12" s="499" t="str">
        <f>IF(M12="","",IF(VLOOKUP(M12,'G-7 Rivers Data'!$AA$4:$AB$7,2,FALSE)=0,"Spatial Data Missing ⚠",VLOOKUP(M12,'G-7 Rivers Data'!$AA$4:$AB$7,2,FALSE)))</f>
        <v/>
      </c>
      <c r="O12" s="78"/>
      <c r="P12" s="499" t="str">
        <f>IF(O12="","",IF(VLOOKUP(O12,'G-7 Rivers Data'!$AD$4:$AE$8,2,FALSE)=0,"Spatial Data Missing ⚠",VLOOKUP(O12,'G-7 Rivers Data'!$AD$4:$AE$8,2,FALSE)))</f>
        <v/>
      </c>
      <c r="Q12" s="506" t="str">
        <f>IF(D12="","",VLOOKUP(D12,'G-7 Rivers Data'!$B$2:$G$8,6,FALSE))</f>
        <v/>
      </c>
      <c r="R12" s="513" t="str">
        <f t="shared" si="0"/>
        <v/>
      </c>
      <c r="S12" s="40"/>
      <c r="T12" s="71"/>
      <c r="U12" s="157"/>
      <c r="V12" s="511" t="str">
        <f t="shared" si="1"/>
        <v/>
      </c>
      <c r="W12" s="511" t="str">
        <f t="shared" si="2"/>
        <v/>
      </c>
      <c r="X12" s="511" t="str">
        <f t="shared" si="3"/>
        <v/>
      </c>
      <c r="Y12" s="515" t="str">
        <f t="shared" si="4"/>
        <v/>
      </c>
      <c r="Z12" s="151"/>
      <c r="AA12" s="152"/>
      <c r="AG12" s="31">
        <f t="shared" si="5"/>
        <v>0</v>
      </c>
      <c r="AH12" s="156" t="str">
        <f t="shared" si="6"/>
        <v/>
      </c>
      <c r="AI12" s="156" t="str">
        <f t="shared" si="7"/>
        <v/>
      </c>
      <c r="AK12" s="156">
        <v>3</v>
      </c>
      <c r="AM12" s="156" t="str">
        <f t="array" ref="AM12">IFERROR(INDEX($AK$10:$AK$258, MATCH(0, IF(TRUE=$AH$10:$AH$258, COUNTIF($AM$9:$AM11, $AK$10:$AK$258), ""), 0)),"")</f>
        <v/>
      </c>
      <c r="AN12" s="156" t="str">
        <f t="array" ref="AN12">IFERROR(INDEX($AK$10:$AK$258, MATCH(0, IF(TRUE=$AI$10:$AI$258, COUNTIF($AN$9:$AN11, $AK$10:$AK$258), ""), 0)),"")</f>
        <v/>
      </c>
      <c r="AP12" s="31" t="str">
        <f>IFERROR(INDEX('G-7 Rivers Data'!$AZ$3:$AZ$7,MATCH(D12,'G-7 Rivers Data'!$AY$3:$AY$7,0)),"")</f>
        <v/>
      </c>
    </row>
    <row r="13" spans="2:42" ht="14" x14ac:dyDescent="0.3">
      <c r="C13" s="141">
        <v>4</v>
      </c>
      <c r="D13" s="459"/>
      <c r="E13" s="70"/>
      <c r="F13" s="498" t="str">
        <f>IF(D13="","",VLOOKUP(D13,'G-7 Rivers Data'!$B$2:$G$8,2,FALSE))</f>
        <v/>
      </c>
      <c r="G13" s="499" t="str">
        <f>IFERROR(VLOOKUP(F13,'G-7 Rivers Data'!$C$4:$D$8,2,FALSE),"")</f>
        <v/>
      </c>
      <c r="H13" s="71"/>
      <c r="I13" s="499" t="str">
        <f>IFERROR(INDEX('G-7 Rivers Data'!$H$4:$L$8,MATCH(D13,'G-7 Rivers Data'!$B$4:$B$8,0),MATCH(H13,'G-7 Rivers Data'!$H$3:$L$3,0)),"")</f>
        <v/>
      </c>
      <c r="J13" s="426"/>
      <c r="K13" s="498" t="str">
        <f>IF(J13="","",IF(VLOOKUP(J13,'G-7 Rivers Data'!$AK$4:$AM$9,2,FALSE)=0,"Spatial Data Missing ⚠",VLOOKUP(J13,'G-7 Rivers Data'!$AK$4:$AM$9,2,FALSE)))</f>
        <v/>
      </c>
      <c r="L13" s="505" t="str">
        <f>IF(J13="","",IF(VLOOKUP(J13,'G-7 Rivers Data'!$AK$4:$AM$9,3,FALSE)=0,"Spatial Data Missing ⚠",VLOOKUP(J13,'G-7 Rivers Data'!$AK$4:$AM$9,3,FALSE)))</f>
        <v/>
      </c>
      <c r="M13" s="71"/>
      <c r="N13" s="499" t="str">
        <f>IF(M13="","",IF(VLOOKUP(M13,'G-7 Rivers Data'!$AA$4:$AB$7,2,FALSE)=0,"Spatial Data Missing ⚠",VLOOKUP(M13,'G-7 Rivers Data'!$AA$4:$AB$7,2,FALSE)))</f>
        <v/>
      </c>
      <c r="O13" s="78"/>
      <c r="P13" s="499" t="str">
        <f>IF(O13="","",IF(VLOOKUP(O13,'G-7 Rivers Data'!$AD$4:$AE$8,2,FALSE)=0,"Spatial Data Missing ⚠",VLOOKUP(O13,'G-7 Rivers Data'!$AD$4:$AE$8,2,FALSE)))</f>
        <v/>
      </c>
      <c r="Q13" s="506" t="str">
        <f>IF(D13="","",VLOOKUP(D13,'G-7 Rivers Data'!$B$2:$G$8,6,FALSE))</f>
        <v/>
      </c>
      <c r="R13" s="513" t="str">
        <f t="shared" si="0"/>
        <v/>
      </c>
      <c r="S13" s="40"/>
      <c r="T13" s="71"/>
      <c r="U13" s="157"/>
      <c r="V13" s="511" t="str">
        <f t="shared" si="1"/>
        <v/>
      </c>
      <c r="W13" s="511" t="str">
        <f t="shared" si="2"/>
        <v/>
      </c>
      <c r="X13" s="511" t="str">
        <f t="shared" si="3"/>
        <v/>
      </c>
      <c r="Y13" s="515" t="str">
        <f t="shared" si="4"/>
        <v/>
      </c>
      <c r="Z13" s="151"/>
      <c r="AA13" s="152"/>
      <c r="AG13" s="31">
        <f t="shared" si="5"/>
        <v>0</v>
      </c>
      <c r="AH13" s="156" t="str">
        <f t="shared" si="6"/>
        <v/>
      </c>
      <c r="AI13" s="156" t="str">
        <f t="shared" si="7"/>
        <v/>
      </c>
      <c r="AK13" s="156">
        <v>4</v>
      </c>
      <c r="AM13" s="156" t="str">
        <f t="array" ref="AM13">IFERROR(INDEX($AK$10:$AK$258, MATCH(0, IF(TRUE=$AH$10:$AH$258, COUNTIF($AM$9:$AM12, $AK$10:$AK$258), ""), 0)),"")</f>
        <v/>
      </c>
      <c r="AN13" s="156" t="str">
        <f t="array" ref="AN13">IFERROR(INDEX($AK$10:$AK$258, MATCH(0, IF(TRUE=$AI$10:$AI$258, COUNTIF($AN$9:$AN12, $AK$10:$AK$258), ""), 0)),"")</f>
        <v/>
      </c>
      <c r="AP13" s="31" t="str">
        <f>IFERROR(INDEX('G-7 Rivers Data'!$AZ$3:$AZ$7,MATCH(D13,'G-7 Rivers Data'!$AY$3:$AY$7,0)),"")</f>
        <v/>
      </c>
    </row>
    <row r="14" spans="2:42" ht="14" x14ac:dyDescent="0.3">
      <c r="C14" s="141">
        <v>5</v>
      </c>
      <c r="D14" s="459"/>
      <c r="E14" s="172"/>
      <c r="F14" s="498" t="str">
        <f>IF(D14="","",VLOOKUP(D14,'G-7 Rivers Data'!$B$2:$G$8,2,FALSE))</f>
        <v/>
      </c>
      <c r="G14" s="499" t="str">
        <f>IFERROR(VLOOKUP(F14,'G-7 Rivers Data'!$C$4:$D$8,2,FALSE),"")</f>
        <v/>
      </c>
      <c r="H14" s="145"/>
      <c r="I14" s="499" t="str">
        <f>IFERROR(INDEX('G-7 Rivers Data'!$H$4:$L$8,MATCH(D14,'G-7 Rivers Data'!$B$4:$B$8,0),MATCH(H14,'G-7 Rivers Data'!$H$3:$L$3,0)),"")</f>
        <v/>
      </c>
      <c r="J14" s="426"/>
      <c r="K14" s="498" t="str">
        <f>IF(J14="","",IF(VLOOKUP(J14,'G-7 Rivers Data'!$AK$4:$AM$9,2,FALSE)=0,"Spatial Data Missing ⚠",VLOOKUP(J14,'G-7 Rivers Data'!$AK$4:$AM$9,2,FALSE)))</f>
        <v/>
      </c>
      <c r="L14" s="505" t="str">
        <f>IF(J14="","",IF(VLOOKUP(J14,'G-7 Rivers Data'!$AK$4:$AM$9,3,FALSE)=0,"Spatial Data Missing ⚠",VLOOKUP(J14,'G-7 Rivers Data'!$AK$4:$AM$9,3,FALSE)))</f>
        <v/>
      </c>
      <c r="M14" s="71"/>
      <c r="N14" s="499" t="str">
        <f>IF(M14="","",IF(VLOOKUP(M14,'G-7 Rivers Data'!$AA$4:$AB$7,2,FALSE)=0,"Spatial Data Missing ⚠",VLOOKUP(M14,'G-7 Rivers Data'!$AA$4:$AB$7,2,FALSE)))</f>
        <v/>
      </c>
      <c r="O14" s="78"/>
      <c r="P14" s="499" t="str">
        <f>IF(O14="","",IF(VLOOKUP(O14,'G-7 Rivers Data'!$AD$4:$AE$8,2,FALSE)=0,"Spatial Data Missing ⚠",VLOOKUP(O14,'G-7 Rivers Data'!$AD$4:$AE$8,2,FALSE)))</f>
        <v/>
      </c>
      <c r="Q14" s="506" t="str">
        <f>IF(D14="","",VLOOKUP(D14,'G-7 Rivers Data'!$B$2:$G$8,6,FALSE))</f>
        <v/>
      </c>
      <c r="R14" s="513" t="str">
        <f t="shared" si="0"/>
        <v/>
      </c>
      <c r="S14" s="40"/>
      <c r="T14" s="71"/>
      <c r="U14" s="157"/>
      <c r="V14" s="511" t="str">
        <f t="shared" si="1"/>
        <v/>
      </c>
      <c r="W14" s="511" t="str">
        <f t="shared" si="2"/>
        <v/>
      </c>
      <c r="X14" s="511" t="str">
        <f t="shared" si="3"/>
        <v/>
      </c>
      <c r="Y14" s="515" t="str">
        <f t="shared" si="4"/>
        <v/>
      </c>
      <c r="Z14" s="151"/>
      <c r="AA14" s="152"/>
      <c r="AG14" s="31">
        <f t="shared" si="5"/>
        <v>0</v>
      </c>
      <c r="AH14" s="156" t="str">
        <f t="shared" si="6"/>
        <v/>
      </c>
      <c r="AI14" s="156" t="str">
        <f t="shared" si="7"/>
        <v/>
      </c>
      <c r="AK14" s="156">
        <v>5</v>
      </c>
      <c r="AM14" s="156" t="str">
        <f t="array" ref="AM14">IFERROR(INDEX($AK$10:$AK$258, MATCH(0, IF(TRUE=$AH$10:$AH$258, COUNTIF($AM$9:$AM13, $AK$10:$AK$258), ""), 0)),"")</f>
        <v/>
      </c>
      <c r="AN14" s="156" t="str">
        <f t="array" ref="AN14">IFERROR(INDEX($AK$10:$AK$258, MATCH(0, IF(TRUE=$AI$10:$AI$258, COUNTIF($AN$9:$AN13, $AK$10:$AK$258), ""), 0)),"")</f>
        <v/>
      </c>
      <c r="AP14" s="31" t="str">
        <f>IFERROR(INDEX('G-7 Rivers Data'!$AZ$3:$AZ$7,MATCH(D14,'G-7 Rivers Data'!$AY$3:$AY$7,0)),"")</f>
        <v/>
      </c>
    </row>
    <row r="15" spans="2:42" ht="14" x14ac:dyDescent="0.3">
      <c r="C15" s="141">
        <v>6</v>
      </c>
      <c r="D15" s="459"/>
      <c r="E15" s="172"/>
      <c r="F15" s="498" t="str">
        <f>IF(D15="","",VLOOKUP(D15,'G-7 Rivers Data'!$B$2:$G$8,2,FALSE))</f>
        <v/>
      </c>
      <c r="G15" s="499" t="str">
        <f>IFERROR(VLOOKUP(F15,'G-7 Rivers Data'!$C$4:$D$8,2,FALSE),"")</f>
        <v/>
      </c>
      <c r="H15" s="145"/>
      <c r="I15" s="499" t="str">
        <f>IFERROR(INDEX('G-7 Rivers Data'!$H$4:$L$8,MATCH(D15,'G-7 Rivers Data'!$B$4:$B$8,0),MATCH(H15,'G-7 Rivers Data'!$H$3:$L$3,0)),"")</f>
        <v/>
      </c>
      <c r="J15" s="418"/>
      <c r="K15" s="498" t="str">
        <f>IF(J15="","",IF(VLOOKUP(J15,'G-7 Rivers Data'!$AK$4:$AM$9,2,FALSE)=0,"Spatial Data Missing ⚠",VLOOKUP(J15,'G-7 Rivers Data'!$AK$4:$AM$9,2,FALSE)))</f>
        <v/>
      </c>
      <c r="L15" s="505" t="str">
        <f>IF(J15="","",IF(VLOOKUP(J15,'G-7 Rivers Data'!$AK$4:$AM$9,3,FALSE)=0,"Spatial Data Missing ⚠",VLOOKUP(J15,'G-7 Rivers Data'!$AK$4:$AM$9,3,FALSE)))</f>
        <v/>
      </c>
      <c r="M15" s="71"/>
      <c r="N15" s="499" t="str">
        <f>IF(M15="","",IF(VLOOKUP(M15,'G-7 Rivers Data'!$AA$4:$AB$7,2,FALSE)=0,"Spatial Data Missing ⚠",VLOOKUP(M15,'G-7 Rivers Data'!$AA$4:$AB$7,2,FALSE)))</f>
        <v/>
      </c>
      <c r="O15" s="155"/>
      <c r="P15" s="499" t="str">
        <f>IF(O15="","",IF(VLOOKUP(O15,'G-7 Rivers Data'!$AD$4:$AE$8,2,FALSE)=0,"Spatial Data Missing ⚠",VLOOKUP(O15,'G-7 Rivers Data'!$AD$4:$AE$8,2,FALSE)))</f>
        <v/>
      </c>
      <c r="Q15" s="506" t="str">
        <f>IF(D15="","",VLOOKUP(D15,'G-7 Rivers Data'!$B$2:$G$8,6,FALSE))</f>
        <v/>
      </c>
      <c r="R15" s="513" t="str">
        <f t="shared" si="0"/>
        <v/>
      </c>
      <c r="S15" s="40"/>
      <c r="T15" s="145"/>
      <c r="U15" s="157"/>
      <c r="V15" s="511" t="str">
        <f t="shared" si="1"/>
        <v/>
      </c>
      <c r="W15" s="511" t="str">
        <f t="shared" si="2"/>
        <v/>
      </c>
      <c r="X15" s="511" t="str">
        <f t="shared" si="3"/>
        <v/>
      </c>
      <c r="Y15" s="515" t="str">
        <f t="shared" si="4"/>
        <v/>
      </c>
      <c r="Z15" s="151"/>
      <c r="AA15" s="152"/>
      <c r="AG15" s="31">
        <f t="shared" si="5"/>
        <v>0</v>
      </c>
      <c r="AH15" s="156" t="str">
        <f t="shared" si="6"/>
        <v/>
      </c>
      <c r="AI15" s="156" t="str">
        <f t="shared" si="7"/>
        <v/>
      </c>
      <c r="AK15" s="156">
        <v>6</v>
      </c>
      <c r="AM15" s="156" t="str">
        <f t="array" ref="AM15">IFERROR(INDEX($AK$10:$AK$258, MATCH(0, IF(TRUE=$AH$10:$AH$258, COUNTIF($AM$9:$AM14, $AK$10:$AK$258), ""), 0)),"")</f>
        <v/>
      </c>
      <c r="AN15" s="156" t="str">
        <f t="array" ref="AN15">IFERROR(INDEX($AK$10:$AK$258, MATCH(0, IF(TRUE=$AI$10:$AI$258, COUNTIF($AN$9:$AN14, $AK$10:$AK$258), ""), 0)),"")</f>
        <v/>
      </c>
      <c r="AP15" s="31" t="str">
        <f>IFERROR(INDEX('G-7 Rivers Data'!$AZ$3:$AZ$7,MATCH(D15,'G-7 Rivers Data'!$AY$3:$AY$7,0)),"")</f>
        <v/>
      </c>
    </row>
    <row r="16" spans="2:42" ht="14.5" customHeight="1" x14ac:dyDescent="0.3">
      <c r="C16" s="141">
        <v>7</v>
      </c>
      <c r="D16" s="459"/>
      <c r="E16" s="172"/>
      <c r="F16" s="498" t="str">
        <f>IF(D16="","",VLOOKUP(D16,'G-7 Rivers Data'!$B$2:$G$8,2,FALSE))</f>
        <v/>
      </c>
      <c r="G16" s="499" t="str">
        <f>IFERROR(VLOOKUP(F16,'G-7 Rivers Data'!$C$4:$D$8,2,FALSE),"")</f>
        <v/>
      </c>
      <c r="H16" s="145"/>
      <c r="I16" s="499" t="str">
        <f>IFERROR(INDEX('G-7 Rivers Data'!$H$4:$L$8,MATCH(D16,'G-7 Rivers Data'!$B$4:$B$8,0),MATCH(H16,'G-7 Rivers Data'!$H$3:$L$3,0)),"")</f>
        <v/>
      </c>
      <c r="J16" s="418"/>
      <c r="K16" s="498" t="str">
        <f>IF(J16="","",IF(VLOOKUP(J16,'G-7 Rivers Data'!$AK$4:$AM$9,2,FALSE)=0,"Spatial Data Missing ⚠",VLOOKUP(J16,'G-7 Rivers Data'!$AK$4:$AM$9,2,FALSE)))</f>
        <v/>
      </c>
      <c r="L16" s="505" t="str">
        <f>IF(J16="","",IF(VLOOKUP(J16,'G-7 Rivers Data'!$AK$4:$AM$9,3,FALSE)=0,"Spatial Data Missing ⚠",VLOOKUP(J16,'G-7 Rivers Data'!$AK$4:$AM$9,3,FALSE)))</f>
        <v/>
      </c>
      <c r="M16" s="71"/>
      <c r="N16" s="499" t="str">
        <f>IF(M16="","",IF(VLOOKUP(M16,'G-7 Rivers Data'!$AA$4:$AB$7,2,FALSE)=0,"Spatial Data Missing ⚠",VLOOKUP(M16,'G-7 Rivers Data'!$AA$4:$AB$7,2,FALSE)))</f>
        <v/>
      </c>
      <c r="O16" s="155"/>
      <c r="P16" s="499" t="str">
        <f>IF(O16="","",IF(VLOOKUP(O16,'G-7 Rivers Data'!$AD$4:$AE$8,2,FALSE)=0,"Spatial Data Missing ⚠",VLOOKUP(O16,'G-7 Rivers Data'!$AD$4:$AE$8,2,FALSE)))</f>
        <v/>
      </c>
      <c r="Q16" s="506" t="str">
        <f>IF(D16="","",VLOOKUP(D16,'G-7 Rivers Data'!$B$2:$G$8,6,FALSE))</f>
        <v/>
      </c>
      <c r="R16" s="513" t="str">
        <f t="shared" si="0"/>
        <v/>
      </c>
      <c r="S16" s="40"/>
      <c r="T16" s="145"/>
      <c r="U16" s="157"/>
      <c r="V16" s="511" t="str">
        <f t="shared" si="1"/>
        <v/>
      </c>
      <c r="W16" s="511" t="str">
        <f t="shared" si="2"/>
        <v/>
      </c>
      <c r="X16" s="511" t="str">
        <f t="shared" si="3"/>
        <v/>
      </c>
      <c r="Y16" s="515" t="str">
        <f t="shared" si="4"/>
        <v/>
      </c>
      <c r="Z16" s="151"/>
      <c r="AA16" s="152"/>
      <c r="AG16" s="31">
        <f t="shared" si="5"/>
        <v>0</v>
      </c>
      <c r="AH16" s="156" t="str">
        <f t="shared" si="6"/>
        <v/>
      </c>
      <c r="AI16" s="156" t="str">
        <f t="shared" si="7"/>
        <v/>
      </c>
      <c r="AK16" s="156">
        <v>7</v>
      </c>
      <c r="AM16" s="156" t="str">
        <f t="array" ref="AM16">IFERROR(INDEX($AK$10:$AK$258, MATCH(0, IF(TRUE=$AH$10:$AH$258, COUNTIF($AM$9:$AM15, $AK$10:$AK$258), ""), 0)),"")</f>
        <v/>
      </c>
      <c r="AN16" s="156" t="str">
        <f t="array" ref="AN16">IFERROR(INDEX($AK$10:$AK$258, MATCH(0, IF(TRUE=$AI$10:$AI$258, COUNTIF($AN$9:$AN15, $AK$10:$AK$258), ""), 0)),"")</f>
        <v/>
      </c>
      <c r="AP16" s="31" t="str">
        <f>IFERROR(INDEX('G-7 Rivers Data'!$AZ$3:$AZ$7,MATCH(D16,'G-7 Rivers Data'!$AY$3:$AY$7,0)),"")</f>
        <v/>
      </c>
    </row>
    <row r="17" spans="3:42" ht="14" x14ac:dyDescent="0.3">
      <c r="C17" s="141">
        <v>8</v>
      </c>
      <c r="D17" s="459"/>
      <c r="E17" s="172"/>
      <c r="F17" s="498" t="str">
        <f>IF(D17="","",VLOOKUP(D17,'G-7 Rivers Data'!$B$2:$G$8,2,FALSE))</f>
        <v/>
      </c>
      <c r="G17" s="499" t="str">
        <f>IFERROR(VLOOKUP(F17,'G-7 Rivers Data'!$C$4:$D$8,2,FALSE),"")</f>
        <v/>
      </c>
      <c r="H17" s="145"/>
      <c r="I17" s="499" t="str">
        <f>IFERROR(INDEX('G-7 Rivers Data'!$H$4:$L$8,MATCH(D17,'G-7 Rivers Data'!$B$4:$B$8,0),MATCH(H17,'G-7 Rivers Data'!$H$3:$L$3,0)),"")</f>
        <v/>
      </c>
      <c r="J17" s="418"/>
      <c r="K17" s="498" t="str">
        <f>IF(J17="","",IF(VLOOKUP(J17,'G-7 Rivers Data'!$AK$4:$AM$9,2,FALSE)=0,"Spatial Data Missing ⚠",VLOOKUP(J17,'G-7 Rivers Data'!$AK$4:$AM$9,2,FALSE)))</f>
        <v/>
      </c>
      <c r="L17" s="505" t="str">
        <f>IF(J17="","",IF(VLOOKUP(J17,'G-7 Rivers Data'!$AK$4:$AM$9,3,FALSE)=0,"Spatial Data Missing ⚠",VLOOKUP(J17,'G-7 Rivers Data'!$AK$4:$AM$9,3,FALSE)))</f>
        <v/>
      </c>
      <c r="M17" s="71"/>
      <c r="N17" s="499" t="str">
        <f>IF(M17="","",IF(VLOOKUP(M17,'G-7 Rivers Data'!$AA$4:$AB$7,2,FALSE)=0,"Spatial Data Missing ⚠",VLOOKUP(M17,'G-7 Rivers Data'!$AA$4:$AB$7,2,FALSE)))</f>
        <v/>
      </c>
      <c r="O17" s="155"/>
      <c r="P17" s="499" t="str">
        <f>IF(O17="","",IF(VLOOKUP(O17,'G-7 Rivers Data'!$AD$4:$AE$8,2,FALSE)=0,"Spatial Data Missing ⚠",VLOOKUP(O17,'G-7 Rivers Data'!$AD$4:$AE$8,2,FALSE)))</f>
        <v/>
      </c>
      <c r="Q17" s="506" t="str">
        <f>IF(D17="","",VLOOKUP(D17,'G-7 Rivers Data'!$B$2:$G$8,6,FALSE))</f>
        <v/>
      </c>
      <c r="R17" s="513" t="str">
        <f t="shared" si="0"/>
        <v/>
      </c>
      <c r="S17" s="40"/>
      <c r="T17" s="145"/>
      <c r="U17" s="157"/>
      <c r="V17" s="511" t="str">
        <f t="shared" si="1"/>
        <v/>
      </c>
      <c r="W17" s="511" t="str">
        <f t="shared" si="2"/>
        <v/>
      </c>
      <c r="X17" s="511" t="str">
        <f t="shared" si="3"/>
        <v/>
      </c>
      <c r="Y17" s="515" t="str">
        <f t="shared" si="4"/>
        <v/>
      </c>
      <c r="Z17" s="151"/>
      <c r="AA17" s="152"/>
      <c r="AG17" s="31">
        <f t="shared" si="5"/>
        <v>0</v>
      </c>
      <c r="AH17" s="156" t="str">
        <f t="shared" si="6"/>
        <v/>
      </c>
      <c r="AI17" s="156" t="str">
        <f t="shared" si="7"/>
        <v/>
      </c>
      <c r="AK17" s="156">
        <v>8</v>
      </c>
      <c r="AM17" s="156" t="str">
        <f t="array" ref="AM17">IFERROR(INDEX($AK$10:$AK$258, MATCH(0, IF(TRUE=$AH$10:$AH$258, COUNTIF($AM$9:$AM16, $AK$10:$AK$258), ""), 0)),"")</f>
        <v/>
      </c>
      <c r="AN17" s="156" t="str">
        <f t="array" ref="AN17">IFERROR(INDEX($AK$10:$AK$258, MATCH(0, IF(TRUE=$AI$10:$AI$258, COUNTIF($AN$9:$AN16, $AK$10:$AK$258), ""), 0)),"")</f>
        <v/>
      </c>
      <c r="AP17" s="31" t="str">
        <f>IFERROR(INDEX('G-7 Rivers Data'!$AZ$3:$AZ$7,MATCH(D17,'G-7 Rivers Data'!$AY$3:$AY$7,0)),"")</f>
        <v/>
      </c>
    </row>
    <row r="18" spans="3:42" ht="14" x14ac:dyDescent="0.3">
      <c r="C18" s="141">
        <v>9</v>
      </c>
      <c r="D18" s="459"/>
      <c r="E18" s="172"/>
      <c r="F18" s="498" t="str">
        <f>IF(D18="","",VLOOKUP(D18,'G-7 Rivers Data'!$B$2:$G$8,2,FALSE))</f>
        <v/>
      </c>
      <c r="G18" s="499" t="str">
        <f>IFERROR(VLOOKUP(F18,'G-7 Rivers Data'!$C$4:$D$8,2,FALSE),"")</f>
        <v/>
      </c>
      <c r="H18" s="145"/>
      <c r="I18" s="499" t="str">
        <f>IFERROR(INDEX('G-7 Rivers Data'!$H$4:$L$8,MATCH(D18,'G-7 Rivers Data'!$B$4:$B$8,0),MATCH(H18,'G-7 Rivers Data'!$H$3:$L$3,0)),"")</f>
        <v/>
      </c>
      <c r="J18" s="418"/>
      <c r="K18" s="498" t="str">
        <f>IF(J18="","",IF(VLOOKUP(J18,'G-7 Rivers Data'!$AK$4:$AM$9,2,FALSE)=0,"Spatial Data Missing ⚠",VLOOKUP(J18,'G-7 Rivers Data'!$AK$4:$AM$9,2,FALSE)))</f>
        <v/>
      </c>
      <c r="L18" s="505" t="str">
        <f>IF(J18="","",IF(VLOOKUP(J18,'G-7 Rivers Data'!$AK$4:$AM$9,3,FALSE)=0,"Spatial Data Missing ⚠",VLOOKUP(J18,'G-7 Rivers Data'!$AK$4:$AM$9,3,FALSE)))</f>
        <v/>
      </c>
      <c r="M18" s="71"/>
      <c r="N18" s="499" t="str">
        <f>IF(M18="","",IF(VLOOKUP(M18,'G-7 Rivers Data'!$AA$4:$AB$7,2,FALSE)=0,"Spatial Data Missing ⚠",VLOOKUP(M18,'G-7 Rivers Data'!$AA$4:$AB$7,2,FALSE)))</f>
        <v/>
      </c>
      <c r="O18" s="155"/>
      <c r="P18" s="499" t="str">
        <f>IF(O18="","",IF(VLOOKUP(O18,'G-7 Rivers Data'!$AD$4:$AE$8,2,FALSE)=0,"Spatial Data Missing ⚠",VLOOKUP(O18,'G-7 Rivers Data'!$AD$4:$AE$8,2,FALSE)))</f>
        <v/>
      </c>
      <c r="Q18" s="506" t="str">
        <f>IF(D18="","",VLOOKUP(D18,'G-7 Rivers Data'!$B$2:$G$8,6,FALSE))</f>
        <v/>
      </c>
      <c r="R18" s="513" t="str">
        <f t="shared" si="0"/>
        <v/>
      </c>
      <c r="S18" s="40"/>
      <c r="T18" s="145"/>
      <c r="U18" s="157"/>
      <c r="V18" s="511" t="str">
        <f t="shared" si="1"/>
        <v/>
      </c>
      <c r="W18" s="511" t="str">
        <f t="shared" si="2"/>
        <v/>
      </c>
      <c r="X18" s="511" t="str">
        <f t="shared" si="3"/>
        <v/>
      </c>
      <c r="Y18" s="515" t="str">
        <f t="shared" si="4"/>
        <v/>
      </c>
      <c r="Z18" s="151"/>
      <c r="AA18" s="152"/>
      <c r="AG18" s="31">
        <f t="shared" si="5"/>
        <v>0</v>
      </c>
      <c r="AH18" s="156" t="str">
        <f t="shared" si="6"/>
        <v/>
      </c>
      <c r="AI18" s="156" t="str">
        <f t="shared" si="7"/>
        <v/>
      </c>
      <c r="AK18" s="156">
        <v>9</v>
      </c>
      <c r="AM18" s="156" t="str">
        <f t="array" ref="AM18">IFERROR(INDEX($AK$10:$AK$258, MATCH(0, IF(TRUE=$AH$10:$AH$258, COUNTIF($AM$9:$AM17, $AK$10:$AK$258), ""), 0)),"")</f>
        <v/>
      </c>
      <c r="AN18" s="156" t="str">
        <f t="array" ref="AN18">IFERROR(INDEX($AK$10:$AK$258, MATCH(0, IF(TRUE=$AI$10:$AI$258, COUNTIF($AN$9:$AN17, $AK$10:$AK$258), ""), 0)),"")</f>
        <v/>
      </c>
      <c r="AP18" s="31" t="str">
        <f>IFERROR(INDEX('G-7 Rivers Data'!$AZ$3:$AZ$7,MATCH(D18,'G-7 Rivers Data'!$AY$3:$AY$7,0)),"")</f>
        <v/>
      </c>
    </row>
    <row r="19" spans="3:42" ht="15" customHeight="1" x14ac:dyDescent="0.3">
      <c r="C19" s="141">
        <v>10</v>
      </c>
      <c r="D19" s="459"/>
      <c r="E19" s="172"/>
      <c r="F19" s="498" t="str">
        <f>IF(D19="","",VLOOKUP(D19,'G-7 Rivers Data'!$B$2:$G$8,2,FALSE))</f>
        <v/>
      </c>
      <c r="G19" s="499" t="str">
        <f>IFERROR(VLOOKUP(F19,'G-7 Rivers Data'!$C$4:$D$8,2,FALSE),"")</f>
        <v/>
      </c>
      <c r="H19" s="145"/>
      <c r="I19" s="499" t="str">
        <f>IFERROR(INDEX('G-7 Rivers Data'!$H$4:$L$8,MATCH(D19,'G-7 Rivers Data'!$B$4:$B$8,0),MATCH(H19,'G-7 Rivers Data'!$H$3:$L$3,0)),"")</f>
        <v/>
      </c>
      <c r="J19" s="418"/>
      <c r="K19" s="498" t="str">
        <f>IF(J19="","",IF(VLOOKUP(J19,'G-7 Rivers Data'!$AK$4:$AM$9,2,FALSE)=0,"Spatial Data Missing ⚠",VLOOKUP(J19,'G-7 Rivers Data'!$AK$4:$AM$9,2,FALSE)))</f>
        <v/>
      </c>
      <c r="L19" s="505" t="str">
        <f>IF(J19="","",IF(VLOOKUP(J19,'G-7 Rivers Data'!$AK$4:$AM$9,3,FALSE)=0,"Spatial Data Missing ⚠",VLOOKUP(J19,'G-7 Rivers Data'!$AK$4:$AM$9,3,FALSE)))</f>
        <v/>
      </c>
      <c r="M19" s="71"/>
      <c r="N19" s="499" t="str">
        <f>IF(M19="","",IF(VLOOKUP(M19,'G-7 Rivers Data'!$AA$4:$AB$7,2,FALSE)=0,"Spatial Data Missing ⚠",VLOOKUP(M19,'G-7 Rivers Data'!$AA$4:$AB$7,2,FALSE)))</f>
        <v/>
      </c>
      <c r="O19" s="155"/>
      <c r="P19" s="499" t="str">
        <f>IF(O19="","",IF(VLOOKUP(O19,'G-7 Rivers Data'!$AD$4:$AE$8,2,FALSE)=0,"Spatial Data Missing ⚠",VLOOKUP(O19,'G-7 Rivers Data'!$AD$4:$AE$8,2,FALSE)))</f>
        <v/>
      </c>
      <c r="Q19" s="506" t="str">
        <f>IF(D19="","",VLOOKUP(D19,'G-7 Rivers Data'!$B$2:$G$8,6,FALSE))</f>
        <v/>
      </c>
      <c r="R19" s="513" t="str">
        <f t="shared" si="0"/>
        <v/>
      </c>
      <c r="S19" s="40"/>
      <c r="T19" s="145"/>
      <c r="U19" s="157"/>
      <c r="V19" s="511" t="str">
        <f t="shared" si="1"/>
        <v/>
      </c>
      <c r="W19" s="511" t="str">
        <f t="shared" si="2"/>
        <v/>
      </c>
      <c r="X19" s="511" t="str">
        <f t="shared" si="3"/>
        <v/>
      </c>
      <c r="Y19" s="515" t="str">
        <f t="shared" si="4"/>
        <v/>
      </c>
      <c r="Z19" s="151"/>
      <c r="AA19" s="152"/>
      <c r="AG19" s="31">
        <f t="shared" si="5"/>
        <v>0</v>
      </c>
      <c r="AH19" s="156" t="str">
        <f t="shared" si="6"/>
        <v/>
      </c>
      <c r="AI19" s="156" t="str">
        <f t="shared" si="7"/>
        <v/>
      </c>
      <c r="AK19" s="156">
        <v>10</v>
      </c>
      <c r="AM19" s="156" t="str">
        <f t="array" ref="AM19">IFERROR(INDEX($AK$10:$AK$258, MATCH(0, IF(TRUE=$AH$10:$AH$258, COUNTIF($AM$9:$AM18, $AK$10:$AK$258), ""), 0)),"")</f>
        <v/>
      </c>
      <c r="AN19" s="156" t="str">
        <f t="array" ref="AN19">IFERROR(INDEX($AK$10:$AK$258, MATCH(0, IF(TRUE=$AI$10:$AI$258, COUNTIF($AN$9:$AN18, $AK$10:$AK$258), ""), 0)),"")</f>
        <v/>
      </c>
      <c r="AP19" s="31" t="str">
        <f>IFERROR(INDEX('G-7 Rivers Data'!$AZ$3:$AZ$7,MATCH(D19,'G-7 Rivers Data'!$AY$3:$AY$7,0)),"")</f>
        <v/>
      </c>
    </row>
    <row r="20" spans="3:42" ht="14" x14ac:dyDescent="0.3">
      <c r="C20" s="141">
        <v>11</v>
      </c>
      <c r="D20" s="459"/>
      <c r="E20" s="172"/>
      <c r="F20" s="498" t="str">
        <f>IF(D20="","",VLOOKUP(D20,'G-7 Rivers Data'!$B$2:$G$8,2,FALSE))</f>
        <v/>
      </c>
      <c r="G20" s="499" t="str">
        <f>IFERROR(VLOOKUP(F20,'G-7 Rivers Data'!$C$4:$D$8,2,FALSE),"")</f>
        <v/>
      </c>
      <c r="H20" s="145"/>
      <c r="I20" s="499" t="str">
        <f>IFERROR(INDEX('G-7 Rivers Data'!$H$4:$L$8,MATCH(D20,'G-7 Rivers Data'!$B$4:$B$8,0),MATCH(H20,'G-7 Rivers Data'!$H$3:$L$3,0)),"")</f>
        <v/>
      </c>
      <c r="J20" s="418"/>
      <c r="K20" s="498" t="str">
        <f>IF(J20="","",IF(VLOOKUP(J20,'G-7 Rivers Data'!$AK$4:$AM$9,2,FALSE)=0,"Spatial Data Missing ⚠",VLOOKUP(J20,'G-7 Rivers Data'!$AK$4:$AM$9,2,FALSE)))</f>
        <v/>
      </c>
      <c r="L20" s="505" t="str">
        <f>IF(J20="","",IF(VLOOKUP(J20,'G-7 Rivers Data'!$AK$4:$AM$9,3,FALSE)=0,"Spatial Data Missing ⚠",VLOOKUP(J20,'G-7 Rivers Data'!$AK$4:$AM$9,3,FALSE)))</f>
        <v/>
      </c>
      <c r="M20" s="71"/>
      <c r="N20" s="499" t="str">
        <f>IF(M20="","",IF(VLOOKUP(M20,'G-7 Rivers Data'!$AA$4:$AB$7,2,FALSE)=0,"Spatial Data Missing ⚠",VLOOKUP(M20,'G-7 Rivers Data'!$AA$4:$AB$7,2,FALSE)))</f>
        <v/>
      </c>
      <c r="O20" s="155"/>
      <c r="P20" s="499" t="str">
        <f>IF(O20="","",IF(VLOOKUP(O20,'G-7 Rivers Data'!$AD$4:$AE$8,2,FALSE)=0,"Spatial Data Missing ⚠",VLOOKUP(O20,'G-7 Rivers Data'!$AD$4:$AE$8,2,FALSE)))</f>
        <v/>
      </c>
      <c r="Q20" s="506" t="str">
        <f>IF(D20="","",VLOOKUP(D20,'G-7 Rivers Data'!$B$2:$G$8,6,FALSE))</f>
        <v/>
      </c>
      <c r="R20" s="513" t="str">
        <f t="shared" si="0"/>
        <v/>
      </c>
      <c r="S20" s="40"/>
      <c r="T20" s="145"/>
      <c r="U20" s="157"/>
      <c r="V20" s="511" t="str">
        <f t="shared" si="1"/>
        <v/>
      </c>
      <c r="W20" s="511" t="str">
        <f t="shared" si="2"/>
        <v/>
      </c>
      <c r="X20" s="511" t="str">
        <f t="shared" si="3"/>
        <v/>
      </c>
      <c r="Y20" s="515" t="str">
        <f t="shared" si="4"/>
        <v/>
      </c>
      <c r="Z20" s="151"/>
      <c r="AA20" s="152"/>
      <c r="AG20" s="31">
        <f t="shared" si="5"/>
        <v>0</v>
      </c>
      <c r="AH20" s="156" t="str">
        <f t="shared" si="6"/>
        <v/>
      </c>
      <c r="AI20" s="156" t="str">
        <f t="shared" si="7"/>
        <v/>
      </c>
      <c r="AK20" s="156">
        <v>11</v>
      </c>
      <c r="AM20" s="156" t="str">
        <f t="array" ref="AM20">IFERROR(INDEX($AK$10:$AK$258, MATCH(0, IF(TRUE=$AH$10:$AH$258, COUNTIF($AM$9:$AM19, $AK$10:$AK$258), ""), 0)),"")</f>
        <v/>
      </c>
      <c r="AN20" s="156" t="str">
        <f t="array" ref="AN20">IFERROR(INDEX($AK$10:$AK$258, MATCH(0, IF(TRUE=$AI$10:$AI$258, COUNTIF($AN$9:$AN19, $AK$10:$AK$258), ""), 0)),"")</f>
        <v/>
      </c>
      <c r="AP20" s="31" t="str">
        <f>IFERROR(INDEX('G-7 Rivers Data'!$AZ$3:$AZ$7,MATCH(D20,'G-7 Rivers Data'!$AY$3:$AY$7,0)),"")</f>
        <v/>
      </c>
    </row>
    <row r="21" spans="3:42" ht="14" x14ac:dyDescent="0.3">
      <c r="C21" s="141">
        <v>12</v>
      </c>
      <c r="D21" s="459"/>
      <c r="E21" s="172"/>
      <c r="F21" s="498" t="str">
        <f>IF(D21="","",VLOOKUP(D21,'G-7 Rivers Data'!$B$2:$G$8,2,FALSE))</f>
        <v/>
      </c>
      <c r="G21" s="499" t="str">
        <f>IFERROR(VLOOKUP(F21,'G-7 Rivers Data'!$C$4:$D$8,2,FALSE),"")</f>
        <v/>
      </c>
      <c r="H21" s="145"/>
      <c r="I21" s="499" t="str">
        <f>IFERROR(INDEX('G-7 Rivers Data'!$H$4:$L$8,MATCH(D21,'G-7 Rivers Data'!$B$4:$B$8,0),MATCH(H21,'G-7 Rivers Data'!$H$3:$L$3,0)),"")</f>
        <v/>
      </c>
      <c r="J21" s="418"/>
      <c r="K21" s="498" t="str">
        <f>IF(J21="","",IF(VLOOKUP(J21,'G-7 Rivers Data'!$AK$4:$AM$9,2,FALSE)=0,"Spatial Data Missing ⚠",VLOOKUP(J21,'G-7 Rivers Data'!$AK$4:$AM$9,2,FALSE)))</f>
        <v/>
      </c>
      <c r="L21" s="505" t="str">
        <f>IF(J21="","",IF(VLOOKUP(J21,'G-7 Rivers Data'!$AK$4:$AM$9,3,FALSE)=0,"Spatial Data Missing ⚠",VLOOKUP(J21,'G-7 Rivers Data'!$AK$4:$AM$9,3,FALSE)))</f>
        <v/>
      </c>
      <c r="M21" s="71"/>
      <c r="N21" s="499" t="str">
        <f>IF(M21="","",IF(VLOOKUP(M21,'G-7 Rivers Data'!$AA$4:$AB$7,2,FALSE)=0,"Spatial Data Missing ⚠",VLOOKUP(M21,'G-7 Rivers Data'!$AA$4:$AB$7,2,FALSE)))</f>
        <v/>
      </c>
      <c r="O21" s="155"/>
      <c r="P21" s="499" t="str">
        <f>IF(O21="","",IF(VLOOKUP(O21,'G-7 Rivers Data'!$AD$4:$AE$8,2,FALSE)=0,"Spatial Data Missing ⚠",VLOOKUP(O21,'G-7 Rivers Data'!$AD$4:$AE$8,2,FALSE)))</f>
        <v/>
      </c>
      <c r="Q21" s="506" t="str">
        <f>IF(D21="","",VLOOKUP(D21,'G-7 Rivers Data'!$B$2:$G$8,6,FALSE))</f>
        <v/>
      </c>
      <c r="R21" s="513" t="str">
        <f t="shared" si="0"/>
        <v/>
      </c>
      <c r="S21" s="40"/>
      <c r="T21" s="145"/>
      <c r="U21" s="157"/>
      <c r="V21" s="511" t="str">
        <f t="shared" si="1"/>
        <v/>
      </c>
      <c r="W21" s="511" t="str">
        <f t="shared" si="2"/>
        <v/>
      </c>
      <c r="X21" s="511" t="str">
        <f t="shared" si="3"/>
        <v/>
      </c>
      <c r="Y21" s="515" t="str">
        <f t="shared" si="4"/>
        <v/>
      </c>
      <c r="Z21" s="151"/>
      <c r="AA21" s="152"/>
      <c r="AG21" s="31">
        <f t="shared" si="5"/>
        <v>0</v>
      </c>
      <c r="AH21" s="156" t="str">
        <f t="shared" si="6"/>
        <v/>
      </c>
      <c r="AI21" s="156" t="str">
        <f t="shared" si="7"/>
        <v/>
      </c>
      <c r="AK21" s="156">
        <v>12</v>
      </c>
      <c r="AM21" s="156" t="str">
        <f t="array" ref="AM21">IFERROR(INDEX($AK$10:$AK$258, MATCH(0, IF(TRUE=$AH$10:$AH$258, COUNTIF($AM$9:$AM20, $AK$10:$AK$258), ""), 0)),"")</f>
        <v/>
      </c>
      <c r="AN21" s="156" t="str">
        <f t="array" ref="AN21">IFERROR(INDEX($AK$10:$AK$258, MATCH(0, IF(TRUE=$AI$10:$AI$258, COUNTIF($AN$9:$AN20, $AK$10:$AK$258), ""), 0)),"")</f>
        <v/>
      </c>
      <c r="AP21" s="31" t="str">
        <f>IFERROR(INDEX('G-7 Rivers Data'!$AZ$3:$AZ$7,MATCH(D21,'G-7 Rivers Data'!$AY$3:$AY$7,0)),"")</f>
        <v/>
      </c>
    </row>
    <row r="22" spans="3:42" ht="14" x14ac:dyDescent="0.3">
      <c r="C22" s="141">
        <v>13</v>
      </c>
      <c r="D22" s="459"/>
      <c r="E22" s="172"/>
      <c r="F22" s="498" t="str">
        <f>IF(D22="","",VLOOKUP(D22,'G-7 Rivers Data'!$B$2:$G$8,2,FALSE))</f>
        <v/>
      </c>
      <c r="G22" s="499" t="str">
        <f>IFERROR(VLOOKUP(F22,'G-7 Rivers Data'!$C$4:$D$8,2,FALSE),"")</f>
        <v/>
      </c>
      <c r="H22" s="145"/>
      <c r="I22" s="499" t="str">
        <f>IFERROR(INDEX('G-7 Rivers Data'!$H$4:$L$8,MATCH(D22,'G-7 Rivers Data'!$B$4:$B$8,0),MATCH(H22,'G-7 Rivers Data'!$H$3:$L$3,0)),"")</f>
        <v/>
      </c>
      <c r="J22" s="418"/>
      <c r="K22" s="498" t="str">
        <f>IF(J22="","",IF(VLOOKUP(J22,'G-7 Rivers Data'!$AK$4:$AM$9,2,FALSE)=0,"Spatial Data Missing ⚠",VLOOKUP(J22,'G-7 Rivers Data'!$AK$4:$AM$9,2,FALSE)))</f>
        <v/>
      </c>
      <c r="L22" s="505" t="str">
        <f>IF(J22="","",IF(VLOOKUP(J22,'G-7 Rivers Data'!$AK$4:$AM$9,3,FALSE)=0,"Spatial Data Missing ⚠",VLOOKUP(J22,'G-7 Rivers Data'!$AK$4:$AM$9,3,FALSE)))</f>
        <v/>
      </c>
      <c r="M22" s="71"/>
      <c r="N22" s="499" t="str">
        <f>IF(M22="","",IF(VLOOKUP(M22,'G-7 Rivers Data'!$AA$4:$AB$7,2,FALSE)=0,"Spatial Data Missing ⚠",VLOOKUP(M22,'G-7 Rivers Data'!$AA$4:$AB$7,2,FALSE)))</f>
        <v/>
      </c>
      <c r="O22" s="155"/>
      <c r="P22" s="499" t="str">
        <f>IF(O22="","",IF(VLOOKUP(O22,'G-7 Rivers Data'!$AD$4:$AE$8,2,FALSE)=0,"Spatial Data Missing ⚠",VLOOKUP(O22,'G-7 Rivers Data'!$AD$4:$AE$8,2,FALSE)))</f>
        <v/>
      </c>
      <c r="Q22" s="506" t="str">
        <f>IF(D22="","",VLOOKUP(D22,'G-7 Rivers Data'!$B$2:$G$8,6,FALSE))</f>
        <v/>
      </c>
      <c r="R22" s="513" t="str">
        <f t="shared" si="0"/>
        <v/>
      </c>
      <c r="S22" s="40"/>
      <c r="T22" s="145"/>
      <c r="U22" s="157"/>
      <c r="V22" s="511" t="str">
        <f t="shared" si="1"/>
        <v/>
      </c>
      <c r="W22" s="511" t="str">
        <f t="shared" si="2"/>
        <v/>
      </c>
      <c r="X22" s="511" t="str">
        <f t="shared" si="3"/>
        <v/>
      </c>
      <c r="Y22" s="515" t="str">
        <f t="shared" si="4"/>
        <v/>
      </c>
      <c r="Z22" s="151"/>
      <c r="AA22" s="152"/>
      <c r="AG22" s="31">
        <f t="shared" si="5"/>
        <v>0</v>
      </c>
      <c r="AH22" s="156" t="str">
        <f t="shared" si="6"/>
        <v/>
      </c>
      <c r="AI22" s="156" t="str">
        <f t="shared" si="7"/>
        <v/>
      </c>
      <c r="AK22" s="156">
        <v>13</v>
      </c>
      <c r="AM22" s="156" t="str">
        <f t="array" ref="AM22">IFERROR(INDEX($AK$10:$AK$258, MATCH(0, IF(TRUE=$AH$10:$AH$258, COUNTIF($AM$9:$AM21, $AK$10:$AK$258), ""), 0)),"")</f>
        <v/>
      </c>
      <c r="AN22" s="156" t="str">
        <f t="array" ref="AN22">IFERROR(INDEX($AK$10:$AK$258, MATCH(0, IF(TRUE=$AI$10:$AI$258, COUNTIF($AN$9:$AN21, $AK$10:$AK$258), ""), 0)),"")</f>
        <v/>
      </c>
      <c r="AP22" s="31" t="str">
        <f>IFERROR(INDEX('G-7 Rivers Data'!$AZ$3:$AZ$7,MATCH(D22,'G-7 Rivers Data'!$AY$3:$AY$7,0)),"")</f>
        <v/>
      </c>
    </row>
    <row r="23" spans="3:42" ht="14" x14ac:dyDescent="0.3">
      <c r="C23" s="141">
        <v>14</v>
      </c>
      <c r="D23" s="459"/>
      <c r="E23" s="172"/>
      <c r="F23" s="498" t="str">
        <f>IF(D23="","",VLOOKUP(D23,'G-7 Rivers Data'!$B$2:$G$8,2,FALSE))</f>
        <v/>
      </c>
      <c r="G23" s="499" t="str">
        <f>IFERROR(VLOOKUP(F23,'G-7 Rivers Data'!$C$4:$D$8,2,FALSE),"")</f>
        <v/>
      </c>
      <c r="H23" s="145"/>
      <c r="I23" s="499" t="str">
        <f>IFERROR(INDEX('G-7 Rivers Data'!$H$4:$L$8,MATCH(D23,'G-7 Rivers Data'!$B$4:$B$8,0),MATCH(H23,'G-7 Rivers Data'!$H$3:$L$3,0)),"")</f>
        <v/>
      </c>
      <c r="J23" s="418"/>
      <c r="K23" s="498" t="str">
        <f>IF(J23="","",IF(VLOOKUP(J23,'G-7 Rivers Data'!$AK$4:$AM$9,2,FALSE)=0,"Spatial Data Missing ⚠",VLOOKUP(J23,'G-7 Rivers Data'!$AK$4:$AM$9,2,FALSE)))</f>
        <v/>
      </c>
      <c r="L23" s="505" t="str">
        <f>IF(J23="","",IF(VLOOKUP(J23,'G-7 Rivers Data'!$AK$4:$AM$9,3,FALSE)=0,"Spatial Data Missing ⚠",VLOOKUP(J23,'G-7 Rivers Data'!$AK$4:$AM$9,3,FALSE)))</f>
        <v/>
      </c>
      <c r="M23" s="71"/>
      <c r="N23" s="499" t="str">
        <f>IF(M23="","",IF(VLOOKUP(M23,'G-7 Rivers Data'!$AA$4:$AB$7,2,FALSE)=0,"Spatial Data Missing ⚠",VLOOKUP(M23,'G-7 Rivers Data'!$AA$4:$AB$7,2,FALSE)))</f>
        <v/>
      </c>
      <c r="O23" s="155"/>
      <c r="P23" s="499" t="str">
        <f>IF(O23="","",IF(VLOOKUP(O23,'G-7 Rivers Data'!$AD$4:$AE$8,2,FALSE)=0,"Spatial Data Missing ⚠",VLOOKUP(O23,'G-7 Rivers Data'!$AD$4:$AE$8,2,FALSE)))</f>
        <v/>
      </c>
      <c r="Q23" s="506" t="str">
        <f>IF(D23="","",VLOOKUP(D23,'G-7 Rivers Data'!$B$2:$G$8,6,FALSE))</f>
        <v/>
      </c>
      <c r="R23" s="513" t="str">
        <f t="shared" si="0"/>
        <v/>
      </c>
      <c r="S23" s="40"/>
      <c r="T23" s="145"/>
      <c r="U23" s="157"/>
      <c r="V23" s="511" t="str">
        <f t="shared" si="1"/>
        <v/>
      </c>
      <c r="W23" s="511" t="str">
        <f t="shared" si="2"/>
        <v/>
      </c>
      <c r="X23" s="511" t="str">
        <f t="shared" si="3"/>
        <v/>
      </c>
      <c r="Y23" s="515" t="str">
        <f t="shared" si="4"/>
        <v/>
      </c>
      <c r="Z23" s="151"/>
      <c r="AA23" s="152"/>
      <c r="AG23" s="31">
        <f t="shared" si="5"/>
        <v>0</v>
      </c>
      <c r="AH23" s="156" t="str">
        <f t="shared" si="6"/>
        <v/>
      </c>
      <c r="AI23" s="156" t="str">
        <f t="shared" si="7"/>
        <v/>
      </c>
      <c r="AK23" s="156">
        <v>14</v>
      </c>
      <c r="AM23" s="156" t="str">
        <f t="array" ref="AM23">IFERROR(INDEX($AK$10:$AK$258, MATCH(0, IF(TRUE=$AH$10:$AH$258, COUNTIF($AM$9:$AM22, $AK$10:$AK$258), ""), 0)),"")</f>
        <v/>
      </c>
      <c r="AN23" s="156" t="str">
        <f t="array" ref="AN23">IFERROR(INDEX($AK$10:$AK$258, MATCH(0, IF(TRUE=$AI$10:$AI$258, COUNTIF($AN$9:$AN22, $AK$10:$AK$258), ""), 0)),"")</f>
        <v/>
      </c>
      <c r="AP23" s="31" t="str">
        <f>IFERROR(INDEX('G-7 Rivers Data'!$AZ$3:$AZ$7,MATCH(D23,'G-7 Rivers Data'!$AY$3:$AY$7,0)),"")</f>
        <v/>
      </c>
    </row>
    <row r="24" spans="3:42" ht="14" x14ac:dyDescent="0.3">
      <c r="C24" s="141">
        <v>15</v>
      </c>
      <c r="D24" s="459"/>
      <c r="E24" s="172"/>
      <c r="F24" s="498" t="str">
        <f>IF(D24="","",VLOOKUP(D24,'G-7 Rivers Data'!$B$2:$G$8,2,FALSE))</f>
        <v/>
      </c>
      <c r="G24" s="499" t="str">
        <f>IFERROR(VLOOKUP(F24,'G-7 Rivers Data'!$C$4:$D$8,2,FALSE),"")</f>
        <v/>
      </c>
      <c r="H24" s="145"/>
      <c r="I24" s="499" t="str">
        <f>IFERROR(INDEX('G-7 Rivers Data'!$H$4:$L$8,MATCH(D24,'G-7 Rivers Data'!$B$4:$B$8,0),MATCH(H24,'G-7 Rivers Data'!$H$3:$L$3,0)),"")</f>
        <v/>
      </c>
      <c r="J24" s="418"/>
      <c r="K24" s="498" t="str">
        <f>IF(J24="","",IF(VLOOKUP(J24,'G-7 Rivers Data'!$AK$4:$AM$9,2,FALSE)=0,"Spatial Data Missing ⚠",VLOOKUP(J24,'G-7 Rivers Data'!$AK$4:$AM$9,2,FALSE)))</f>
        <v/>
      </c>
      <c r="L24" s="505" t="str">
        <f>IF(J24="","",IF(VLOOKUP(J24,'G-7 Rivers Data'!$AK$4:$AM$9,3,FALSE)=0,"Spatial Data Missing ⚠",VLOOKUP(J24,'G-7 Rivers Data'!$AK$4:$AM$9,3,FALSE)))</f>
        <v/>
      </c>
      <c r="M24" s="71"/>
      <c r="N24" s="499" t="str">
        <f>IF(M24="","",IF(VLOOKUP(M24,'G-7 Rivers Data'!$AA$4:$AB$7,2,FALSE)=0,"Spatial Data Missing ⚠",VLOOKUP(M24,'G-7 Rivers Data'!$AA$4:$AB$7,2,FALSE)))</f>
        <v/>
      </c>
      <c r="O24" s="155"/>
      <c r="P24" s="499" t="str">
        <f>IF(O24="","",IF(VLOOKUP(O24,'G-7 Rivers Data'!$AD$4:$AE$8,2,FALSE)=0,"Spatial Data Missing ⚠",VLOOKUP(O24,'G-7 Rivers Data'!$AD$4:$AE$8,2,FALSE)))</f>
        <v/>
      </c>
      <c r="Q24" s="506" t="str">
        <f>IF(D24="","",VLOOKUP(D24,'G-7 Rivers Data'!$B$2:$G$8,6,FALSE))</f>
        <v/>
      </c>
      <c r="R24" s="513" t="str">
        <f t="shared" si="0"/>
        <v/>
      </c>
      <c r="S24" s="40"/>
      <c r="T24" s="145"/>
      <c r="U24" s="157"/>
      <c r="V24" s="511" t="str">
        <f t="shared" si="1"/>
        <v/>
      </c>
      <c r="W24" s="511" t="str">
        <f t="shared" si="2"/>
        <v/>
      </c>
      <c r="X24" s="511" t="str">
        <f t="shared" si="3"/>
        <v/>
      </c>
      <c r="Y24" s="515" t="str">
        <f t="shared" si="4"/>
        <v/>
      </c>
      <c r="Z24" s="151"/>
      <c r="AA24" s="152"/>
      <c r="AG24" s="31">
        <f t="shared" si="5"/>
        <v>0</v>
      </c>
      <c r="AH24" s="156" t="str">
        <f t="shared" si="6"/>
        <v/>
      </c>
      <c r="AI24" s="156" t="str">
        <f t="shared" si="7"/>
        <v/>
      </c>
      <c r="AK24" s="156">
        <v>15</v>
      </c>
      <c r="AM24" s="156" t="str">
        <f t="array" ref="AM24">IFERROR(INDEX($AK$10:$AK$258, MATCH(0, IF(TRUE=$AH$10:$AH$258, COUNTIF($AM$9:$AM23, $AK$10:$AK$258), ""), 0)),"")</f>
        <v/>
      </c>
      <c r="AN24" s="156" t="str">
        <f t="array" ref="AN24">IFERROR(INDEX($AK$10:$AK$258, MATCH(0, IF(TRUE=$AI$10:$AI$258, COUNTIF($AN$9:$AN23, $AK$10:$AK$258), ""), 0)),"")</f>
        <v/>
      </c>
      <c r="AP24" s="31" t="str">
        <f>IFERROR(INDEX('G-7 Rivers Data'!$AZ$3:$AZ$7,MATCH(D24,'G-7 Rivers Data'!$AY$3:$AY$7,0)),"")</f>
        <v/>
      </c>
    </row>
    <row r="25" spans="3:42" ht="14" x14ac:dyDescent="0.3">
      <c r="C25" s="141">
        <v>16</v>
      </c>
      <c r="D25" s="459"/>
      <c r="E25" s="172"/>
      <c r="F25" s="498" t="str">
        <f>IF(D25="","",VLOOKUP(D25,'G-7 Rivers Data'!$B$2:$G$8,2,FALSE))</f>
        <v/>
      </c>
      <c r="G25" s="499" t="str">
        <f>IFERROR(VLOOKUP(F25,'G-7 Rivers Data'!$C$4:$D$8,2,FALSE),"")</f>
        <v/>
      </c>
      <c r="H25" s="145"/>
      <c r="I25" s="499" t="str">
        <f>IFERROR(INDEX('G-7 Rivers Data'!$H$4:$L$8,MATCH(D25,'G-7 Rivers Data'!$B$4:$B$8,0),MATCH(H25,'G-7 Rivers Data'!$H$3:$L$3,0)),"")</f>
        <v/>
      </c>
      <c r="J25" s="418"/>
      <c r="K25" s="498" t="str">
        <f>IF(J25="","",IF(VLOOKUP(J25,'G-7 Rivers Data'!$AK$4:$AM$9,2,FALSE)=0,"Spatial Data Missing ⚠",VLOOKUP(J25,'G-7 Rivers Data'!$AK$4:$AM$9,2,FALSE)))</f>
        <v/>
      </c>
      <c r="L25" s="505" t="str">
        <f>IF(J25="","",IF(VLOOKUP(J25,'G-7 Rivers Data'!$AK$4:$AM$9,3,FALSE)=0,"Spatial Data Missing ⚠",VLOOKUP(J25,'G-7 Rivers Data'!$AK$4:$AM$9,3,FALSE)))</f>
        <v/>
      </c>
      <c r="M25" s="71"/>
      <c r="N25" s="499" t="str">
        <f>IF(M25="","",IF(VLOOKUP(M25,'G-7 Rivers Data'!$AA$4:$AB$7,2,FALSE)=0,"Spatial Data Missing ⚠",VLOOKUP(M25,'G-7 Rivers Data'!$AA$4:$AB$7,2,FALSE)))</f>
        <v/>
      </c>
      <c r="O25" s="155"/>
      <c r="P25" s="499" t="str">
        <f>IF(O25="","",IF(VLOOKUP(O25,'G-7 Rivers Data'!$AD$4:$AE$8,2,FALSE)=0,"Spatial Data Missing ⚠",VLOOKUP(O25,'G-7 Rivers Data'!$AD$4:$AE$8,2,FALSE)))</f>
        <v/>
      </c>
      <c r="Q25" s="506" t="str">
        <f>IF(D25="","",VLOOKUP(D25,'G-7 Rivers Data'!$B$2:$G$8,6,FALSE))</f>
        <v/>
      </c>
      <c r="R25" s="513" t="str">
        <f t="shared" si="0"/>
        <v/>
      </c>
      <c r="S25" s="40"/>
      <c r="T25" s="145"/>
      <c r="U25" s="157"/>
      <c r="V25" s="511" t="str">
        <f t="shared" si="1"/>
        <v/>
      </c>
      <c r="W25" s="511" t="str">
        <f t="shared" si="2"/>
        <v/>
      </c>
      <c r="X25" s="511" t="str">
        <f t="shared" si="3"/>
        <v/>
      </c>
      <c r="Y25" s="515" t="str">
        <f t="shared" si="4"/>
        <v/>
      </c>
      <c r="Z25" s="151"/>
      <c r="AA25" s="152"/>
      <c r="AG25" s="31">
        <f t="shared" si="5"/>
        <v>0</v>
      </c>
      <c r="AH25" s="156" t="str">
        <f t="shared" si="6"/>
        <v/>
      </c>
      <c r="AI25" s="156" t="str">
        <f t="shared" si="7"/>
        <v/>
      </c>
      <c r="AK25" s="156">
        <v>16</v>
      </c>
      <c r="AM25" s="156" t="str">
        <f t="array" ref="AM25">IFERROR(INDEX($AK$10:$AK$258, MATCH(0, IF(TRUE=$AH$10:$AH$258, COUNTIF($AM$9:$AM24, $AK$10:$AK$258), ""), 0)),"")</f>
        <v/>
      </c>
      <c r="AN25" s="156" t="str">
        <f t="array" ref="AN25">IFERROR(INDEX($AK$10:$AK$258, MATCH(0, IF(TRUE=$AI$10:$AI$258, COUNTIF($AN$9:$AN24, $AK$10:$AK$258), ""), 0)),"")</f>
        <v/>
      </c>
      <c r="AP25" s="31" t="str">
        <f>IFERROR(INDEX('G-7 Rivers Data'!$AZ$3:$AZ$7,MATCH(D25,'G-7 Rivers Data'!$AY$3:$AY$7,0)),"")</f>
        <v/>
      </c>
    </row>
    <row r="26" spans="3:42" ht="14" x14ac:dyDescent="0.3">
      <c r="C26" s="141">
        <v>17</v>
      </c>
      <c r="D26" s="459"/>
      <c r="E26" s="172"/>
      <c r="F26" s="498" t="str">
        <f>IF(D26="","",VLOOKUP(D26,'G-7 Rivers Data'!$B$2:$G$8,2,FALSE))</f>
        <v/>
      </c>
      <c r="G26" s="499" t="str">
        <f>IFERROR(VLOOKUP(F26,'G-7 Rivers Data'!$C$4:$D$8,2,FALSE),"")</f>
        <v/>
      </c>
      <c r="H26" s="145"/>
      <c r="I26" s="499" t="str">
        <f>IFERROR(INDEX('G-7 Rivers Data'!$H$4:$L$8,MATCH(D26,'G-7 Rivers Data'!$B$4:$B$8,0),MATCH(H26,'G-7 Rivers Data'!$H$3:$L$3,0)),"")</f>
        <v/>
      </c>
      <c r="J26" s="418"/>
      <c r="K26" s="498" t="str">
        <f>IF(J26="","",IF(VLOOKUP(J26,'G-7 Rivers Data'!$AK$4:$AM$9,2,FALSE)=0,"Spatial Data Missing ⚠",VLOOKUP(J26,'G-7 Rivers Data'!$AK$4:$AM$9,2,FALSE)))</f>
        <v/>
      </c>
      <c r="L26" s="505" t="str">
        <f>IF(J26="","",IF(VLOOKUP(J26,'G-7 Rivers Data'!$AK$4:$AM$9,3,FALSE)=0,"Spatial Data Missing ⚠",VLOOKUP(J26,'G-7 Rivers Data'!$AK$4:$AM$9,3,FALSE)))</f>
        <v/>
      </c>
      <c r="M26" s="71"/>
      <c r="N26" s="499" t="str">
        <f>IF(M26="","",IF(VLOOKUP(M26,'G-7 Rivers Data'!$AA$4:$AB$7,2,FALSE)=0,"Spatial Data Missing ⚠",VLOOKUP(M26,'G-7 Rivers Data'!$AA$4:$AB$7,2,FALSE)))</f>
        <v/>
      </c>
      <c r="O26" s="155"/>
      <c r="P26" s="499" t="str">
        <f>IF(O26="","",IF(VLOOKUP(O26,'G-7 Rivers Data'!$AD$4:$AE$8,2,FALSE)=0,"Spatial Data Missing ⚠",VLOOKUP(O26,'G-7 Rivers Data'!$AD$4:$AE$8,2,FALSE)))</f>
        <v/>
      </c>
      <c r="Q26" s="506" t="str">
        <f>IF(D26="","",VLOOKUP(D26,'G-7 Rivers Data'!$B$2:$G$8,6,FALSE))</f>
        <v/>
      </c>
      <c r="R26" s="513" t="str">
        <f t="shared" si="0"/>
        <v/>
      </c>
      <c r="S26" s="40"/>
      <c r="T26" s="145"/>
      <c r="U26" s="157"/>
      <c r="V26" s="511" t="str">
        <f t="shared" si="1"/>
        <v/>
      </c>
      <c r="W26" s="511" t="str">
        <f t="shared" si="2"/>
        <v/>
      </c>
      <c r="X26" s="511" t="str">
        <f t="shared" si="3"/>
        <v/>
      </c>
      <c r="Y26" s="515" t="str">
        <f t="shared" si="4"/>
        <v/>
      </c>
      <c r="Z26" s="151"/>
      <c r="AA26" s="152"/>
      <c r="AG26" s="31">
        <f t="shared" si="5"/>
        <v>0</v>
      </c>
      <c r="AH26" s="156" t="str">
        <f t="shared" si="6"/>
        <v/>
      </c>
      <c r="AI26" s="156" t="str">
        <f t="shared" si="7"/>
        <v/>
      </c>
      <c r="AK26" s="156">
        <v>17</v>
      </c>
      <c r="AM26" s="156" t="str">
        <f t="array" ref="AM26">IFERROR(INDEX($AK$10:$AK$258, MATCH(0, IF(TRUE=$AH$10:$AH$258, COUNTIF($AM$9:$AM25, $AK$10:$AK$258), ""), 0)),"")</f>
        <v/>
      </c>
      <c r="AN26" s="156" t="str">
        <f t="array" ref="AN26">IFERROR(INDEX($AK$10:$AK$258, MATCH(0, IF(TRUE=$AI$10:$AI$258, COUNTIF($AN$9:$AN25, $AK$10:$AK$258), ""), 0)),"")</f>
        <v/>
      </c>
      <c r="AP26" s="31" t="str">
        <f>IFERROR(INDEX('G-7 Rivers Data'!$AZ$3:$AZ$7,MATCH(D26,'G-7 Rivers Data'!$AY$3:$AY$7,0)),"")</f>
        <v/>
      </c>
    </row>
    <row r="27" spans="3:42" ht="14" x14ac:dyDescent="0.3">
      <c r="C27" s="141">
        <v>18</v>
      </c>
      <c r="D27" s="459"/>
      <c r="E27" s="172"/>
      <c r="F27" s="498" t="str">
        <f>IF(D27="","",VLOOKUP(D27,'G-7 Rivers Data'!$B$2:$G$8,2,FALSE))</f>
        <v/>
      </c>
      <c r="G27" s="499" t="str">
        <f>IFERROR(VLOOKUP(F27,'G-7 Rivers Data'!$C$4:$D$8,2,FALSE),"")</f>
        <v/>
      </c>
      <c r="H27" s="145"/>
      <c r="I27" s="499" t="str">
        <f>IFERROR(INDEX('G-7 Rivers Data'!$H$4:$L$8,MATCH(D27,'G-7 Rivers Data'!$B$4:$B$8,0),MATCH(H27,'G-7 Rivers Data'!$H$3:$L$3,0)),"")</f>
        <v/>
      </c>
      <c r="J27" s="418"/>
      <c r="K27" s="498" t="str">
        <f>IF(J27="","",IF(VLOOKUP(J27,'G-7 Rivers Data'!$AK$4:$AM$9,2,FALSE)=0,"Spatial Data Missing ⚠",VLOOKUP(J27,'G-7 Rivers Data'!$AK$4:$AM$9,2,FALSE)))</f>
        <v/>
      </c>
      <c r="L27" s="505" t="str">
        <f>IF(J27="","",IF(VLOOKUP(J27,'G-7 Rivers Data'!$AK$4:$AM$9,3,FALSE)=0,"Spatial Data Missing ⚠",VLOOKUP(J27,'G-7 Rivers Data'!$AK$4:$AM$9,3,FALSE)))</f>
        <v/>
      </c>
      <c r="M27" s="71"/>
      <c r="N27" s="499" t="str">
        <f>IF(M27="","",IF(VLOOKUP(M27,'G-7 Rivers Data'!$AA$4:$AB$7,2,FALSE)=0,"Spatial Data Missing ⚠",VLOOKUP(M27,'G-7 Rivers Data'!$AA$4:$AB$7,2,FALSE)))</f>
        <v/>
      </c>
      <c r="O27" s="155"/>
      <c r="P27" s="499" t="str">
        <f>IF(O27="","",IF(VLOOKUP(O27,'G-7 Rivers Data'!$AD$4:$AE$8,2,FALSE)=0,"Spatial Data Missing ⚠",VLOOKUP(O27,'G-7 Rivers Data'!$AD$4:$AE$8,2,FALSE)))</f>
        <v/>
      </c>
      <c r="Q27" s="506" t="str">
        <f>IF(D27="","",VLOOKUP(D27,'G-7 Rivers Data'!$B$2:$G$8,6,FALSE))</f>
        <v/>
      </c>
      <c r="R27" s="513" t="str">
        <f t="shared" si="0"/>
        <v/>
      </c>
      <c r="S27" s="40"/>
      <c r="T27" s="145"/>
      <c r="U27" s="157"/>
      <c r="V27" s="511" t="str">
        <f t="shared" si="1"/>
        <v/>
      </c>
      <c r="W27" s="511" t="str">
        <f t="shared" si="2"/>
        <v/>
      </c>
      <c r="X27" s="511" t="str">
        <f t="shared" si="3"/>
        <v/>
      </c>
      <c r="Y27" s="515" t="str">
        <f t="shared" si="4"/>
        <v/>
      </c>
      <c r="Z27" s="151"/>
      <c r="AA27" s="152"/>
      <c r="AG27" s="31">
        <f t="shared" si="5"/>
        <v>0</v>
      </c>
      <c r="AH27" s="156" t="str">
        <f t="shared" si="6"/>
        <v/>
      </c>
      <c r="AI27" s="156" t="str">
        <f t="shared" si="7"/>
        <v/>
      </c>
      <c r="AK27" s="156">
        <v>18</v>
      </c>
      <c r="AM27" s="156" t="str">
        <f t="array" ref="AM27">IFERROR(INDEX($AK$10:$AK$258, MATCH(0, IF(TRUE=$AH$10:$AH$258, COUNTIF($AM$9:$AM26, $AK$10:$AK$258), ""), 0)),"")</f>
        <v/>
      </c>
      <c r="AN27" s="156" t="str">
        <f t="array" ref="AN27">IFERROR(INDEX($AK$10:$AK$258, MATCH(0, IF(TRUE=$AI$10:$AI$258, COUNTIF($AN$9:$AN26, $AK$10:$AK$258), ""), 0)),"")</f>
        <v/>
      </c>
      <c r="AP27" s="31" t="str">
        <f>IFERROR(INDEX('G-7 Rivers Data'!$AZ$3:$AZ$7,MATCH(D27,'G-7 Rivers Data'!$AY$3:$AY$7,0)),"")</f>
        <v/>
      </c>
    </row>
    <row r="28" spans="3:42" ht="14" x14ac:dyDescent="0.3">
      <c r="C28" s="141">
        <v>19</v>
      </c>
      <c r="D28" s="459"/>
      <c r="E28" s="172"/>
      <c r="F28" s="498" t="str">
        <f>IF(D28="","",VLOOKUP(D28,'G-7 Rivers Data'!$B$2:$G$8,2,FALSE))</f>
        <v/>
      </c>
      <c r="G28" s="499" t="str">
        <f>IFERROR(VLOOKUP(F28,'G-7 Rivers Data'!$C$4:$D$8,2,FALSE),"")</f>
        <v/>
      </c>
      <c r="H28" s="145"/>
      <c r="I28" s="499" t="str">
        <f>IFERROR(INDEX('G-7 Rivers Data'!$H$4:$L$8,MATCH(D28,'G-7 Rivers Data'!$B$4:$B$8,0),MATCH(H28,'G-7 Rivers Data'!$H$3:$L$3,0)),"")</f>
        <v/>
      </c>
      <c r="J28" s="418"/>
      <c r="K28" s="498" t="str">
        <f>IF(J28="","",IF(VLOOKUP(J28,'G-7 Rivers Data'!$AK$4:$AM$9,2,FALSE)=0,"Spatial Data Missing ⚠",VLOOKUP(J28,'G-7 Rivers Data'!$AK$4:$AM$9,2,FALSE)))</f>
        <v/>
      </c>
      <c r="L28" s="505" t="str">
        <f>IF(J28="","",IF(VLOOKUP(J28,'G-7 Rivers Data'!$AK$4:$AM$9,3,FALSE)=0,"Spatial Data Missing ⚠",VLOOKUP(J28,'G-7 Rivers Data'!$AK$4:$AM$9,3,FALSE)))</f>
        <v/>
      </c>
      <c r="M28" s="71"/>
      <c r="N28" s="499" t="str">
        <f>IF(M28="","",IF(VLOOKUP(M28,'G-7 Rivers Data'!$AA$4:$AB$7,2,FALSE)=0,"Spatial Data Missing ⚠",VLOOKUP(M28,'G-7 Rivers Data'!$AA$4:$AB$7,2,FALSE)))</f>
        <v/>
      </c>
      <c r="O28" s="155"/>
      <c r="P28" s="499" t="str">
        <f>IF(O28="","",IF(VLOOKUP(O28,'G-7 Rivers Data'!$AD$4:$AE$8,2,FALSE)=0,"Spatial Data Missing ⚠",VLOOKUP(O28,'G-7 Rivers Data'!$AD$4:$AE$8,2,FALSE)))</f>
        <v/>
      </c>
      <c r="Q28" s="506" t="str">
        <f>IF(D28="","",VLOOKUP(D28,'G-7 Rivers Data'!$B$2:$G$8,6,FALSE))</f>
        <v/>
      </c>
      <c r="R28" s="513" t="str">
        <f t="shared" si="0"/>
        <v/>
      </c>
      <c r="S28" s="40"/>
      <c r="T28" s="145"/>
      <c r="U28" s="157"/>
      <c r="V28" s="511" t="str">
        <f t="shared" si="1"/>
        <v/>
      </c>
      <c r="W28" s="511" t="str">
        <f t="shared" si="2"/>
        <v/>
      </c>
      <c r="X28" s="511" t="str">
        <f t="shared" si="3"/>
        <v/>
      </c>
      <c r="Y28" s="515" t="str">
        <f t="shared" si="4"/>
        <v/>
      </c>
      <c r="Z28" s="151"/>
      <c r="AA28" s="152"/>
      <c r="AG28" s="31">
        <f t="shared" si="5"/>
        <v>0</v>
      </c>
      <c r="AH28" s="156" t="str">
        <f t="shared" si="6"/>
        <v/>
      </c>
      <c r="AI28" s="156" t="str">
        <f t="shared" si="7"/>
        <v/>
      </c>
      <c r="AK28" s="156">
        <v>19</v>
      </c>
      <c r="AM28" s="156" t="str">
        <f t="array" ref="AM28">IFERROR(INDEX($AK$10:$AK$258, MATCH(0, IF(TRUE=$AH$10:$AH$258, COUNTIF($AM$9:$AM27, $AK$10:$AK$258), ""), 0)),"")</f>
        <v/>
      </c>
      <c r="AN28" s="156" t="str">
        <f t="array" ref="AN28">IFERROR(INDEX($AK$10:$AK$258, MATCH(0, IF(TRUE=$AI$10:$AI$258, COUNTIF($AN$9:$AN27, $AK$10:$AK$258), ""), 0)),"")</f>
        <v/>
      </c>
      <c r="AP28" s="31" t="str">
        <f>IFERROR(INDEX('G-7 Rivers Data'!$AZ$3:$AZ$7,MATCH(D28,'G-7 Rivers Data'!$AY$3:$AY$7,0)),"")</f>
        <v/>
      </c>
    </row>
    <row r="29" spans="3:42" ht="14" x14ac:dyDescent="0.3">
      <c r="C29" s="141">
        <v>20</v>
      </c>
      <c r="D29" s="459"/>
      <c r="E29" s="172"/>
      <c r="F29" s="498" t="str">
        <f>IF(D29="","",VLOOKUP(D29,'G-7 Rivers Data'!$B$2:$G$8,2,FALSE))</f>
        <v/>
      </c>
      <c r="G29" s="499" t="str">
        <f>IFERROR(VLOOKUP(F29,'G-7 Rivers Data'!$C$4:$D$8,2,FALSE),"")</f>
        <v/>
      </c>
      <c r="H29" s="145"/>
      <c r="I29" s="499" t="str">
        <f>IFERROR(INDEX('G-7 Rivers Data'!$H$4:$L$8,MATCH(D29,'G-7 Rivers Data'!$B$4:$B$8,0),MATCH(H29,'G-7 Rivers Data'!$H$3:$L$3,0)),"")</f>
        <v/>
      </c>
      <c r="J29" s="418"/>
      <c r="K29" s="498" t="str">
        <f>IF(J29="","",IF(VLOOKUP(J29,'G-7 Rivers Data'!$AK$4:$AM$9,2,FALSE)=0,"Spatial Data Missing ⚠",VLOOKUP(J29,'G-7 Rivers Data'!$AK$4:$AM$9,2,FALSE)))</f>
        <v/>
      </c>
      <c r="L29" s="505" t="str">
        <f>IF(J29="","",IF(VLOOKUP(J29,'G-7 Rivers Data'!$AK$4:$AM$9,3,FALSE)=0,"Spatial Data Missing ⚠",VLOOKUP(J29,'G-7 Rivers Data'!$AK$4:$AM$9,3,FALSE)))</f>
        <v/>
      </c>
      <c r="M29" s="71"/>
      <c r="N29" s="499" t="str">
        <f>IF(M29="","",IF(VLOOKUP(M29,'G-7 Rivers Data'!$AA$4:$AB$7,2,FALSE)=0,"Spatial Data Missing ⚠",VLOOKUP(M29,'G-7 Rivers Data'!$AA$4:$AB$7,2,FALSE)))</f>
        <v/>
      </c>
      <c r="O29" s="155"/>
      <c r="P29" s="499" t="str">
        <f>IF(O29="","",IF(VLOOKUP(O29,'G-7 Rivers Data'!$AD$4:$AE$8,2,FALSE)=0,"Spatial Data Missing ⚠",VLOOKUP(O29,'G-7 Rivers Data'!$AD$4:$AE$8,2,FALSE)))</f>
        <v/>
      </c>
      <c r="Q29" s="506" t="str">
        <f>IF(D29="","",VLOOKUP(D29,'G-7 Rivers Data'!$B$2:$G$8,6,FALSE))</f>
        <v/>
      </c>
      <c r="R29" s="513" t="str">
        <f t="shared" si="0"/>
        <v/>
      </c>
      <c r="S29" s="40"/>
      <c r="T29" s="145"/>
      <c r="U29" s="157"/>
      <c r="V29" s="511" t="str">
        <f t="shared" si="1"/>
        <v/>
      </c>
      <c r="W29" s="511" t="str">
        <f t="shared" si="2"/>
        <v/>
      </c>
      <c r="X29" s="511" t="str">
        <f t="shared" si="3"/>
        <v/>
      </c>
      <c r="Y29" s="515" t="str">
        <f t="shared" si="4"/>
        <v/>
      </c>
      <c r="Z29" s="151"/>
      <c r="AA29" s="152"/>
      <c r="AG29" s="31">
        <f t="shared" si="5"/>
        <v>0</v>
      </c>
      <c r="AH29" s="156" t="str">
        <f t="shared" si="6"/>
        <v/>
      </c>
      <c r="AI29" s="156" t="str">
        <f t="shared" si="7"/>
        <v/>
      </c>
      <c r="AK29" s="156">
        <v>20</v>
      </c>
      <c r="AM29" s="156" t="str">
        <f t="array" ref="AM29">IFERROR(INDEX($AK$10:$AK$258, MATCH(0, IF(TRUE=$AH$10:$AH$258, COUNTIF($AM$9:$AM28, $AK$10:$AK$258), ""), 0)),"")</f>
        <v/>
      </c>
      <c r="AN29" s="156" t="str">
        <f t="array" ref="AN29">IFERROR(INDEX($AK$10:$AK$258, MATCH(0, IF(TRUE=$AI$10:$AI$258, COUNTIF($AN$9:$AN28, $AK$10:$AK$258), ""), 0)),"")</f>
        <v/>
      </c>
      <c r="AP29" s="31" t="str">
        <f>IFERROR(INDEX('G-7 Rivers Data'!$AZ$3:$AZ$7,MATCH(D29,'G-7 Rivers Data'!$AY$3:$AY$7,0)),"")</f>
        <v/>
      </c>
    </row>
    <row r="30" spans="3:42" ht="14" x14ac:dyDescent="0.3">
      <c r="C30" s="141">
        <v>21</v>
      </c>
      <c r="D30" s="459"/>
      <c r="E30" s="172"/>
      <c r="F30" s="498" t="str">
        <f>IF(D30="","",VLOOKUP(D30,'G-7 Rivers Data'!$B$2:$G$8,2,FALSE))</f>
        <v/>
      </c>
      <c r="G30" s="499" t="str">
        <f>IFERROR(VLOOKUP(F30,'G-7 Rivers Data'!$C$4:$D$8,2,FALSE),"")</f>
        <v/>
      </c>
      <c r="H30" s="145"/>
      <c r="I30" s="499" t="str">
        <f>IFERROR(INDEX('G-7 Rivers Data'!$H$4:$L$8,MATCH(D30,'G-7 Rivers Data'!$B$4:$B$8,0),MATCH(H30,'G-7 Rivers Data'!$H$3:$L$3,0)),"")</f>
        <v/>
      </c>
      <c r="J30" s="418"/>
      <c r="K30" s="498" t="str">
        <f>IF(J30="","",IF(VLOOKUP(J30,'G-7 Rivers Data'!$AK$4:$AM$9,2,FALSE)=0,"Spatial Data Missing ⚠",VLOOKUP(J30,'G-7 Rivers Data'!$AK$4:$AM$9,2,FALSE)))</f>
        <v/>
      </c>
      <c r="L30" s="505" t="str">
        <f>IF(J30="","",IF(VLOOKUP(J30,'G-7 Rivers Data'!$AK$4:$AM$9,3,FALSE)=0,"Spatial Data Missing ⚠",VLOOKUP(J30,'G-7 Rivers Data'!$AK$4:$AM$9,3,FALSE)))</f>
        <v/>
      </c>
      <c r="M30" s="71"/>
      <c r="N30" s="499" t="str">
        <f>IF(M30="","",IF(VLOOKUP(M30,'G-7 Rivers Data'!$AA$4:$AB$7,2,FALSE)=0,"Spatial Data Missing ⚠",VLOOKUP(M30,'G-7 Rivers Data'!$AA$4:$AB$7,2,FALSE)))</f>
        <v/>
      </c>
      <c r="O30" s="155"/>
      <c r="P30" s="499" t="str">
        <f>IF(O30="","",IF(VLOOKUP(O30,'G-7 Rivers Data'!$AD$4:$AE$8,2,FALSE)=0,"Spatial Data Missing ⚠",VLOOKUP(O30,'G-7 Rivers Data'!$AD$4:$AE$8,2,FALSE)))</f>
        <v/>
      </c>
      <c r="Q30" s="506" t="str">
        <f>IF(D30="","",VLOOKUP(D30,'G-7 Rivers Data'!$B$2:$G$8,6,FALSE))</f>
        <v/>
      </c>
      <c r="R30" s="513" t="str">
        <f t="shared" si="0"/>
        <v/>
      </c>
      <c r="S30" s="40"/>
      <c r="T30" s="145"/>
      <c r="U30" s="157"/>
      <c r="V30" s="511" t="str">
        <f t="shared" si="1"/>
        <v/>
      </c>
      <c r="W30" s="511" t="str">
        <f t="shared" si="2"/>
        <v/>
      </c>
      <c r="X30" s="511" t="str">
        <f t="shared" si="3"/>
        <v/>
      </c>
      <c r="Y30" s="515" t="str">
        <f t="shared" si="4"/>
        <v/>
      </c>
      <c r="Z30" s="151"/>
      <c r="AA30" s="152"/>
      <c r="AG30" s="31">
        <f t="shared" si="5"/>
        <v>0</v>
      </c>
      <c r="AH30" s="156" t="str">
        <f t="shared" si="6"/>
        <v/>
      </c>
      <c r="AI30" s="156" t="str">
        <f t="shared" si="7"/>
        <v/>
      </c>
      <c r="AK30" s="156">
        <v>21</v>
      </c>
      <c r="AM30" s="156" t="str">
        <f t="array" ref="AM30">IFERROR(INDEX($AK$10:$AK$258, MATCH(0, IF(TRUE=$AH$10:$AH$258, COUNTIF($AM$9:$AM29, $AK$10:$AK$258), ""), 0)),"")</f>
        <v/>
      </c>
      <c r="AN30" s="156" t="str">
        <f t="array" ref="AN30">IFERROR(INDEX($AK$10:$AK$258, MATCH(0, IF(TRUE=$AI$10:$AI$258, COUNTIF($AN$9:$AN29, $AK$10:$AK$258), ""), 0)),"")</f>
        <v/>
      </c>
      <c r="AP30" s="31" t="str">
        <f>IFERROR(INDEX('G-7 Rivers Data'!$AZ$3:$AZ$7,MATCH(D30,'G-7 Rivers Data'!$AY$3:$AY$7,0)),"")</f>
        <v/>
      </c>
    </row>
    <row r="31" spans="3:42" ht="14" x14ac:dyDescent="0.3">
      <c r="C31" s="141">
        <v>22</v>
      </c>
      <c r="D31" s="459"/>
      <c r="E31" s="172"/>
      <c r="F31" s="498" t="str">
        <f>IF(D31="","",VLOOKUP(D31,'G-7 Rivers Data'!$B$2:$G$8,2,FALSE))</f>
        <v/>
      </c>
      <c r="G31" s="499" t="str">
        <f>IFERROR(VLOOKUP(F31,'G-7 Rivers Data'!$C$4:$D$8,2,FALSE),"")</f>
        <v/>
      </c>
      <c r="H31" s="145"/>
      <c r="I31" s="499" t="str">
        <f>IFERROR(INDEX('G-7 Rivers Data'!$H$4:$L$8,MATCH(D31,'G-7 Rivers Data'!$B$4:$B$8,0),MATCH(H31,'G-7 Rivers Data'!$H$3:$L$3,0)),"")</f>
        <v/>
      </c>
      <c r="J31" s="418"/>
      <c r="K31" s="498" t="str">
        <f>IF(J31="","",IF(VLOOKUP(J31,'G-7 Rivers Data'!$AK$4:$AM$9,2,FALSE)=0,"Spatial Data Missing ⚠",VLOOKUP(J31,'G-7 Rivers Data'!$AK$4:$AM$9,2,FALSE)))</f>
        <v/>
      </c>
      <c r="L31" s="505" t="str">
        <f>IF(J31="","",IF(VLOOKUP(J31,'G-7 Rivers Data'!$AK$4:$AM$9,3,FALSE)=0,"Spatial Data Missing ⚠",VLOOKUP(J31,'G-7 Rivers Data'!$AK$4:$AM$9,3,FALSE)))</f>
        <v/>
      </c>
      <c r="M31" s="71"/>
      <c r="N31" s="499" t="str">
        <f>IF(M31="","",IF(VLOOKUP(M31,'G-7 Rivers Data'!$AA$4:$AB$7,2,FALSE)=0,"Spatial Data Missing ⚠",VLOOKUP(M31,'G-7 Rivers Data'!$AA$4:$AB$7,2,FALSE)))</f>
        <v/>
      </c>
      <c r="O31" s="155"/>
      <c r="P31" s="499" t="str">
        <f>IF(O31="","",IF(VLOOKUP(O31,'G-7 Rivers Data'!$AD$4:$AE$8,2,FALSE)=0,"Spatial Data Missing ⚠",VLOOKUP(O31,'G-7 Rivers Data'!$AD$4:$AE$8,2,FALSE)))</f>
        <v/>
      </c>
      <c r="Q31" s="506" t="str">
        <f>IF(D31="","",VLOOKUP(D31,'G-7 Rivers Data'!$B$2:$G$8,6,FALSE))</f>
        <v/>
      </c>
      <c r="R31" s="513" t="str">
        <f t="shared" si="0"/>
        <v/>
      </c>
      <c r="S31" s="40"/>
      <c r="T31" s="145"/>
      <c r="U31" s="157"/>
      <c r="V31" s="511" t="str">
        <f t="shared" si="1"/>
        <v/>
      </c>
      <c r="W31" s="511" t="str">
        <f t="shared" si="2"/>
        <v/>
      </c>
      <c r="X31" s="511" t="str">
        <f t="shared" si="3"/>
        <v/>
      </c>
      <c r="Y31" s="515" t="str">
        <f t="shared" si="4"/>
        <v/>
      </c>
      <c r="Z31" s="151"/>
      <c r="AA31" s="152"/>
      <c r="AG31" s="31">
        <f t="shared" si="5"/>
        <v>0</v>
      </c>
      <c r="AH31" s="156" t="str">
        <f t="shared" si="6"/>
        <v/>
      </c>
      <c r="AI31" s="156" t="str">
        <f t="shared" si="7"/>
        <v/>
      </c>
      <c r="AK31" s="156">
        <v>22</v>
      </c>
      <c r="AM31" s="156" t="str">
        <f t="array" ref="AM31">IFERROR(INDEX($AK$10:$AK$258, MATCH(0, IF(TRUE=$AH$10:$AH$258, COUNTIF($AM$9:$AM30, $AK$10:$AK$258), ""), 0)),"")</f>
        <v/>
      </c>
      <c r="AN31" s="156" t="str">
        <f t="array" ref="AN31">IFERROR(INDEX($AK$10:$AK$258, MATCH(0, IF(TRUE=$AI$10:$AI$258, COUNTIF($AN$9:$AN30, $AK$10:$AK$258), ""), 0)),"")</f>
        <v/>
      </c>
      <c r="AP31" s="31" t="str">
        <f>IFERROR(INDEX('G-7 Rivers Data'!$AZ$3:$AZ$7,MATCH(D31,'G-7 Rivers Data'!$AY$3:$AY$7,0)),"")</f>
        <v/>
      </c>
    </row>
    <row r="32" spans="3:42" ht="14" x14ac:dyDescent="0.3">
      <c r="C32" s="141">
        <v>23</v>
      </c>
      <c r="D32" s="459"/>
      <c r="E32" s="172"/>
      <c r="F32" s="498" t="str">
        <f>IF(D32="","",VLOOKUP(D32,'G-7 Rivers Data'!$B$2:$G$8,2,FALSE))</f>
        <v/>
      </c>
      <c r="G32" s="499" t="str">
        <f>IFERROR(VLOOKUP(F32,'G-7 Rivers Data'!$C$4:$D$8,2,FALSE),"")</f>
        <v/>
      </c>
      <c r="H32" s="145"/>
      <c r="I32" s="499" t="str">
        <f>IFERROR(INDEX('G-7 Rivers Data'!$H$4:$L$8,MATCH(D32,'G-7 Rivers Data'!$B$4:$B$8,0),MATCH(H32,'G-7 Rivers Data'!$H$3:$L$3,0)),"")</f>
        <v/>
      </c>
      <c r="J32" s="418"/>
      <c r="K32" s="498" t="str">
        <f>IF(J32="","",IF(VLOOKUP(J32,'G-7 Rivers Data'!$AK$4:$AM$9,2,FALSE)=0,"Spatial Data Missing ⚠",VLOOKUP(J32,'G-7 Rivers Data'!$AK$4:$AM$9,2,FALSE)))</f>
        <v/>
      </c>
      <c r="L32" s="505" t="str">
        <f>IF(J32="","",IF(VLOOKUP(J32,'G-7 Rivers Data'!$AK$4:$AM$9,3,FALSE)=0,"Spatial Data Missing ⚠",VLOOKUP(J32,'G-7 Rivers Data'!$AK$4:$AM$9,3,FALSE)))</f>
        <v/>
      </c>
      <c r="M32" s="71"/>
      <c r="N32" s="499" t="str">
        <f>IF(M32="","",IF(VLOOKUP(M32,'G-7 Rivers Data'!$AA$4:$AB$7,2,FALSE)=0,"Spatial Data Missing ⚠",VLOOKUP(M32,'G-7 Rivers Data'!$AA$4:$AB$7,2,FALSE)))</f>
        <v/>
      </c>
      <c r="O32" s="155"/>
      <c r="P32" s="499" t="str">
        <f>IF(O32="","",IF(VLOOKUP(O32,'G-7 Rivers Data'!$AD$4:$AE$8,2,FALSE)=0,"Spatial Data Missing ⚠",VLOOKUP(O32,'G-7 Rivers Data'!$AD$4:$AE$8,2,FALSE)))</f>
        <v/>
      </c>
      <c r="Q32" s="506" t="str">
        <f>IF(D32="","",VLOOKUP(D32,'G-7 Rivers Data'!$B$2:$G$8,6,FALSE))</f>
        <v/>
      </c>
      <c r="R32" s="513" t="str">
        <f t="shared" si="0"/>
        <v/>
      </c>
      <c r="S32" s="40"/>
      <c r="T32" s="145"/>
      <c r="U32" s="157"/>
      <c r="V32" s="511" t="str">
        <f t="shared" si="1"/>
        <v/>
      </c>
      <c r="W32" s="511" t="str">
        <f t="shared" si="2"/>
        <v/>
      </c>
      <c r="X32" s="511" t="str">
        <f t="shared" si="3"/>
        <v/>
      </c>
      <c r="Y32" s="515" t="str">
        <f t="shared" si="4"/>
        <v/>
      </c>
      <c r="Z32" s="151"/>
      <c r="AA32" s="152"/>
      <c r="AG32" s="31">
        <f t="shared" si="5"/>
        <v>0</v>
      </c>
      <c r="AH32" s="156" t="str">
        <f t="shared" si="6"/>
        <v/>
      </c>
      <c r="AI32" s="156" t="str">
        <f t="shared" si="7"/>
        <v/>
      </c>
      <c r="AK32" s="156">
        <v>23</v>
      </c>
      <c r="AM32" s="156" t="str">
        <f t="array" ref="AM32">IFERROR(INDEX($AK$10:$AK$258, MATCH(0, IF(TRUE=$AH$10:$AH$258, COUNTIF($AM$9:$AM31, $AK$10:$AK$258), ""), 0)),"")</f>
        <v/>
      </c>
      <c r="AN32" s="156" t="str">
        <f t="array" ref="AN32">IFERROR(INDEX($AK$10:$AK$258, MATCH(0, IF(TRUE=$AI$10:$AI$258, COUNTIF($AN$9:$AN31, $AK$10:$AK$258), ""), 0)),"")</f>
        <v/>
      </c>
      <c r="AP32" s="31" t="str">
        <f>IFERROR(INDEX('G-7 Rivers Data'!$AZ$3:$AZ$7,MATCH(D32,'G-7 Rivers Data'!$AY$3:$AY$7,0)),"")</f>
        <v/>
      </c>
    </row>
    <row r="33" spans="3:42" ht="14" x14ac:dyDescent="0.3">
      <c r="C33" s="141">
        <v>24</v>
      </c>
      <c r="D33" s="460"/>
      <c r="E33" s="172"/>
      <c r="F33" s="498" t="str">
        <f>IF(D33="","",VLOOKUP(D33,'G-7 Rivers Data'!$B$2:$G$8,2,FALSE))</f>
        <v/>
      </c>
      <c r="G33" s="499" t="str">
        <f>IFERROR(VLOOKUP(F33,'G-7 Rivers Data'!$C$4:$D$8,2,FALSE),"")</f>
        <v/>
      </c>
      <c r="H33" s="145"/>
      <c r="I33" s="499" t="str">
        <f>IFERROR(INDEX('G-7 Rivers Data'!$H$4:$L$8,MATCH(D33,'G-7 Rivers Data'!$B$4:$B$8,0),MATCH(H33,'G-7 Rivers Data'!$H$3:$L$3,0)),"")</f>
        <v/>
      </c>
      <c r="J33" s="418"/>
      <c r="K33" s="498" t="str">
        <f>IF(J33="","",IF(VLOOKUP(J33,'G-7 Rivers Data'!$AK$4:$AM$9,2,FALSE)=0,"Spatial Data Missing ⚠",VLOOKUP(J33,'G-7 Rivers Data'!$AK$4:$AM$9,2,FALSE)))</f>
        <v/>
      </c>
      <c r="L33" s="505" t="str">
        <f>IF(J33="","",IF(VLOOKUP(J33,'G-7 Rivers Data'!$AK$4:$AM$9,3,FALSE)=0,"Spatial Data Missing ⚠",VLOOKUP(J33,'G-7 Rivers Data'!$AK$4:$AM$9,3,FALSE)))</f>
        <v/>
      </c>
      <c r="M33" s="71"/>
      <c r="N33" s="499" t="str">
        <f>IF(M33="","",IF(VLOOKUP(M33,'G-7 Rivers Data'!$AA$4:$AB$7,2,FALSE)=0,"Spatial Data Missing ⚠",VLOOKUP(M33,'G-7 Rivers Data'!$AA$4:$AB$7,2,FALSE)))</f>
        <v/>
      </c>
      <c r="O33" s="155"/>
      <c r="P33" s="499" t="str">
        <f>IF(O33="","",IF(VLOOKUP(O33,'G-7 Rivers Data'!$AD$4:$AE$8,2,FALSE)=0,"Spatial Data Missing ⚠",VLOOKUP(O33,'G-7 Rivers Data'!$AD$4:$AE$8,2,FALSE)))</f>
        <v/>
      </c>
      <c r="Q33" s="506" t="str">
        <f>IF(D33="","",VLOOKUP(D33,'G-7 Rivers Data'!$B$2:$G$8,6,FALSE))</f>
        <v/>
      </c>
      <c r="R33" s="513" t="str">
        <f t="shared" si="0"/>
        <v/>
      </c>
      <c r="S33" s="40"/>
      <c r="T33" s="145"/>
      <c r="U33" s="157"/>
      <c r="V33" s="511" t="str">
        <f t="shared" si="1"/>
        <v/>
      </c>
      <c r="W33" s="511" t="str">
        <f t="shared" si="2"/>
        <v/>
      </c>
      <c r="X33" s="511" t="str">
        <f t="shared" si="3"/>
        <v/>
      </c>
      <c r="Y33" s="515" t="str">
        <f t="shared" si="4"/>
        <v/>
      </c>
      <c r="Z33" s="151"/>
      <c r="AA33" s="152"/>
      <c r="AG33" s="31">
        <f t="shared" si="5"/>
        <v>0</v>
      </c>
      <c r="AH33" s="156" t="str">
        <f t="shared" si="6"/>
        <v/>
      </c>
      <c r="AI33" s="156" t="str">
        <f t="shared" si="7"/>
        <v/>
      </c>
      <c r="AK33" s="156">
        <v>24</v>
      </c>
      <c r="AM33" s="156" t="str">
        <f t="array" ref="AM33">IFERROR(INDEX($AK$10:$AK$258, MATCH(0, IF(TRUE=$AH$10:$AH$258, COUNTIF($AM$9:$AM32, $AK$10:$AK$258), ""), 0)),"")</f>
        <v/>
      </c>
      <c r="AN33" s="156" t="str">
        <f t="array" ref="AN33">IFERROR(INDEX($AK$10:$AK$258, MATCH(0, IF(TRUE=$AI$10:$AI$258, COUNTIF($AN$9:$AN32, $AK$10:$AK$258), ""), 0)),"")</f>
        <v/>
      </c>
      <c r="AP33" s="31" t="str">
        <f>IFERROR(INDEX('G-7 Rivers Data'!$AZ$3:$AZ$7,MATCH(D33,'G-7 Rivers Data'!$AY$3:$AY$7,0)),"")</f>
        <v/>
      </c>
    </row>
    <row r="34" spans="3:42" ht="14" x14ac:dyDescent="0.3">
      <c r="C34" s="141">
        <v>25</v>
      </c>
      <c r="D34" s="460"/>
      <c r="E34" s="172"/>
      <c r="F34" s="498" t="str">
        <f>IF(D34="","",VLOOKUP(D34,'G-7 Rivers Data'!$B$2:$G$8,2,FALSE))</f>
        <v/>
      </c>
      <c r="G34" s="499" t="str">
        <f>IFERROR(VLOOKUP(F34,'G-7 Rivers Data'!$C$4:$D$8,2,FALSE),"")</f>
        <v/>
      </c>
      <c r="H34" s="145"/>
      <c r="I34" s="499" t="str">
        <f>IFERROR(INDEX('G-7 Rivers Data'!$H$4:$L$8,MATCH(D34,'G-7 Rivers Data'!$B$4:$B$8,0),MATCH(H34,'G-7 Rivers Data'!$H$3:$L$3,0)),"")</f>
        <v/>
      </c>
      <c r="J34" s="418"/>
      <c r="K34" s="498" t="str">
        <f>IF(J34="","",IF(VLOOKUP(J34,'G-7 Rivers Data'!$AK$4:$AM$9,2,FALSE)=0,"Spatial Data Missing ⚠",VLOOKUP(J34,'G-7 Rivers Data'!$AK$4:$AM$9,2,FALSE)))</f>
        <v/>
      </c>
      <c r="L34" s="505" t="str">
        <f>IF(J34="","",IF(VLOOKUP(J34,'G-7 Rivers Data'!$AK$4:$AM$9,3,FALSE)=0,"Spatial Data Missing ⚠",VLOOKUP(J34,'G-7 Rivers Data'!$AK$4:$AM$9,3,FALSE)))</f>
        <v/>
      </c>
      <c r="M34" s="71"/>
      <c r="N34" s="499" t="str">
        <f>IF(M34="","",IF(VLOOKUP(M34,'G-7 Rivers Data'!$AA$4:$AB$7,2,FALSE)=0,"Spatial Data Missing ⚠",VLOOKUP(M34,'G-7 Rivers Data'!$AA$4:$AB$7,2,FALSE)))</f>
        <v/>
      </c>
      <c r="O34" s="155"/>
      <c r="P34" s="499" t="str">
        <f>IF(O34="","",IF(VLOOKUP(O34,'G-7 Rivers Data'!$AD$4:$AE$8,2,FALSE)=0,"Spatial Data Missing ⚠",VLOOKUP(O34,'G-7 Rivers Data'!$AD$4:$AE$8,2,FALSE)))</f>
        <v/>
      </c>
      <c r="Q34" s="506" t="str">
        <f>IF(D34="","",VLOOKUP(D34,'G-7 Rivers Data'!$B$2:$G$8,6,FALSE))</f>
        <v/>
      </c>
      <c r="R34" s="513" t="str">
        <f t="shared" si="0"/>
        <v/>
      </c>
      <c r="S34" s="40"/>
      <c r="T34" s="145"/>
      <c r="U34" s="157"/>
      <c r="V34" s="511" t="str">
        <f t="shared" si="1"/>
        <v/>
      </c>
      <c r="W34" s="511" t="str">
        <f t="shared" si="2"/>
        <v/>
      </c>
      <c r="X34" s="511" t="str">
        <f t="shared" si="3"/>
        <v/>
      </c>
      <c r="Y34" s="515" t="str">
        <f t="shared" si="4"/>
        <v/>
      </c>
      <c r="Z34" s="151"/>
      <c r="AA34" s="152"/>
      <c r="AG34" s="31">
        <f t="shared" si="5"/>
        <v>0</v>
      </c>
      <c r="AH34" s="156" t="str">
        <f t="shared" si="6"/>
        <v/>
      </c>
      <c r="AI34" s="156" t="str">
        <f t="shared" si="7"/>
        <v/>
      </c>
      <c r="AK34" s="156">
        <v>25</v>
      </c>
      <c r="AM34" s="156" t="str">
        <f t="array" ref="AM34">IFERROR(INDEX($AK$10:$AK$258, MATCH(0, IF(TRUE=$AH$10:$AH$258, COUNTIF($AM$9:$AM33, $AK$10:$AK$258), ""), 0)),"")</f>
        <v/>
      </c>
      <c r="AN34" s="156" t="str">
        <f t="array" ref="AN34">IFERROR(INDEX($AK$10:$AK$258, MATCH(0, IF(TRUE=$AI$10:$AI$258, COUNTIF($AN$9:$AN33, $AK$10:$AK$258), ""), 0)),"")</f>
        <v/>
      </c>
      <c r="AP34" s="31" t="str">
        <f>IFERROR(INDEX('G-7 Rivers Data'!$AZ$3:$AZ$7,MATCH(D34,'G-7 Rivers Data'!$AY$3:$AY$7,0)),"")</f>
        <v/>
      </c>
    </row>
    <row r="35" spans="3:42" ht="14" x14ac:dyDescent="0.3">
      <c r="C35" s="141">
        <v>26</v>
      </c>
      <c r="D35" s="460"/>
      <c r="E35" s="172"/>
      <c r="F35" s="498" t="str">
        <f>IF(D35="","",VLOOKUP(D35,'G-7 Rivers Data'!$B$2:$G$8,2,FALSE))</f>
        <v/>
      </c>
      <c r="G35" s="499" t="str">
        <f>IFERROR(VLOOKUP(F35,'G-7 Rivers Data'!$C$4:$D$8,2,FALSE),"")</f>
        <v/>
      </c>
      <c r="H35" s="145"/>
      <c r="I35" s="499" t="str">
        <f>IFERROR(INDEX('G-7 Rivers Data'!$H$4:$L$8,MATCH(D35,'G-7 Rivers Data'!$B$4:$B$8,0),MATCH(H35,'G-7 Rivers Data'!$H$3:$L$3,0)),"")</f>
        <v/>
      </c>
      <c r="J35" s="418"/>
      <c r="K35" s="498" t="str">
        <f>IF(J35="","",IF(VLOOKUP(J35,'G-7 Rivers Data'!$AK$4:$AM$9,2,FALSE)=0,"Spatial Data Missing ⚠",VLOOKUP(J35,'G-7 Rivers Data'!$AK$4:$AM$9,2,FALSE)))</f>
        <v/>
      </c>
      <c r="L35" s="505" t="str">
        <f>IF(J35="","",IF(VLOOKUP(J35,'G-7 Rivers Data'!$AK$4:$AM$9,3,FALSE)=0,"Spatial Data Missing ⚠",VLOOKUP(J35,'G-7 Rivers Data'!$AK$4:$AM$9,3,FALSE)))</f>
        <v/>
      </c>
      <c r="M35" s="71"/>
      <c r="N35" s="499" t="str">
        <f>IF(M35="","",IF(VLOOKUP(M35,'G-7 Rivers Data'!$AA$4:$AB$7,2,FALSE)=0,"Spatial Data Missing ⚠",VLOOKUP(M35,'G-7 Rivers Data'!$AA$4:$AB$7,2,FALSE)))</f>
        <v/>
      </c>
      <c r="O35" s="155"/>
      <c r="P35" s="499" t="str">
        <f>IF(O35="","",IF(VLOOKUP(O35,'G-7 Rivers Data'!$AD$4:$AE$8,2,FALSE)=0,"Spatial Data Missing ⚠",VLOOKUP(O35,'G-7 Rivers Data'!$AD$4:$AE$8,2,FALSE)))</f>
        <v/>
      </c>
      <c r="Q35" s="506" t="str">
        <f>IF(D35="","",VLOOKUP(D35,'G-7 Rivers Data'!$B$2:$G$8,6,FALSE))</f>
        <v/>
      </c>
      <c r="R35" s="513" t="str">
        <f t="shared" si="0"/>
        <v/>
      </c>
      <c r="S35" s="40"/>
      <c r="T35" s="145"/>
      <c r="U35" s="157"/>
      <c r="V35" s="511" t="str">
        <f t="shared" si="1"/>
        <v/>
      </c>
      <c r="W35" s="511" t="str">
        <f t="shared" si="2"/>
        <v/>
      </c>
      <c r="X35" s="511" t="str">
        <f t="shared" si="3"/>
        <v/>
      </c>
      <c r="Y35" s="515" t="str">
        <f t="shared" si="4"/>
        <v/>
      </c>
      <c r="Z35" s="151"/>
      <c r="AA35" s="152"/>
      <c r="AG35" s="31">
        <f t="shared" si="5"/>
        <v>0</v>
      </c>
      <c r="AH35" s="156" t="str">
        <f t="shared" si="6"/>
        <v/>
      </c>
      <c r="AI35" s="156" t="str">
        <f t="shared" si="7"/>
        <v/>
      </c>
      <c r="AK35" s="156">
        <v>26</v>
      </c>
      <c r="AM35" s="156" t="str">
        <f t="array" ref="AM35">IFERROR(INDEX($AK$10:$AK$258, MATCH(0, IF(TRUE=$AH$10:$AH$258, COUNTIF($AM$9:$AM34, $AK$10:$AK$258), ""), 0)),"")</f>
        <v/>
      </c>
      <c r="AN35" s="156" t="str">
        <f t="array" ref="AN35">IFERROR(INDEX($AK$10:$AK$258, MATCH(0, IF(TRUE=$AI$10:$AI$258, COUNTIF($AN$9:$AN34, $AK$10:$AK$258), ""), 0)),"")</f>
        <v/>
      </c>
      <c r="AP35" s="31" t="str">
        <f>IFERROR(INDEX('G-7 Rivers Data'!$AZ$3:$AZ$7,MATCH(D35,'G-7 Rivers Data'!$AY$3:$AY$7,0)),"")</f>
        <v/>
      </c>
    </row>
    <row r="36" spans="3:42" ht="14" x14ac:dyDescent="0.3">
      <c r="C36" s="141">
        <v>27</v>
      </c>
      <c r="D36" s="460"/>
      <c r="E36" s="172"/>
      <c r="F36" s="498" t="str">
        <f>IF(D36="","",VLOOKUP(D36,'G-7 Rivers Data'!$B$2:$G$8,2,FALSE))</f>
        <v/>
      </c>
      <c r="G36" s="499" t="str">
        <f>IFERROR(VLOOKUP(F36,'G-7 Rivers Data'!$C$4:$D$8,2,FALSE),"")</f>
        <v/>
      </c>
      <c r="H36" s="145"/>
      <c r="I36" s="499" t="str">
        <f>IFERROR(INDEX('G-7 Rivers Data'!$H$4:$L$8,MATCH(D36,'G-7 Rivers Data'!$B$4:$B$8,0),MATCH(H36,'G-7 Rivers Data'!$H$3:$L$3,0)),"")</f>
        <v/>
      </c>
      <c r="J36" s="418"/>
      <c r="K36" s="498" t="str">
        <f>IF(J36="","",IF(VLOOKUP(J36,'G-7 Rivers Data'!$AK$4:$AM$9,2,FALSE)=0,"Spatial Data Missing ⚠",VLOOKUP(J36,'G-7 Rivers Data'!$AK$4:$AM$9,2,FALSE)))</f>
        <v/>
      </c>
      <c r="L36" s="505" t="str">
        <f>IF(J36="","",IF(VLOOKUP(J36,'G-7 Rivers Data'!$AK$4:$AM$9,3,FALSE)=0,"Spatial Data Missing ⚠",VLOOKUP(J36,'G-7 Rivers Data'!$AK$4:$AM$9,3,FALSE)))</f>
        <v/>
      </c>
      <c r="M36" s="71"/>
      <c r="N36" s="499" t="str">
        <f>IF(M36="","",IF(VLOOKUP(M36,'G-7 Rivers Data'!$AA$4:$AB$7,2,FALSE)=0,"Spatial Data Missing ⚠",VLOOKUP(M36,'G-7 Rivers Data'!$AA$4:$AB$7,2,FALSE)))</f>
        <v/>
      </c>
      <c r="O36" s="155"/>
      <c r="P36" s="499" t="str">
        <f>IF(O36="","",IF(VLOOKUP(O36,'G-7 Rivers Data'!$AD$4:$AE$8,2,FALSE)=0,"Spatial Data Missing ⚠",VLOOKUP(O36,'G-7 Rivers Data'!$AD$4:$AE$8,2,FALSE)))</f>
        <v/>
      </c>
      <c r="Q36" s="506" t="str">
        <f>IF(D36="","",VLOOKUP(D36,'G-7 Rivers Data'!$B$2:$G$8,6,FALSE))</f>
        <v/>
      </c>
      <c r="R36" s="513" t="str">
        <f t="shared" si="0"/>
        <v/>
      </c>
      <c r="S36" s="40"/>
      <c r="T36" s="145"/>
      <c r="U36" s="157"/>
      <c r="V36" s="511" t="str">
        <f t="shared" si="1"/>
        <v/>
      </c>
      <c r="W36" s="511" t="str">
        <f t="shared" si="2"/>
        <v/>
      </c>
      <c r="X36" s="511" t="str">
        <f t="shared" si="3"/>
        <v/>
      </c>
      <c r="Y36" s="515" t="str">
        <f t="shared" si="4"/>
        <v/>
      </c>
      <c r="Z36" s="151"/>
      <c r="AA36" s="152"/>
      <c r="AG36" s="31">
        <f t="shared" si="5"/>
        <v>0</v>
      </c>
      <c r="AH36" s="156" t="str">
        <f t="shared" si="6"/>
        <v/>
      </c>
      <c r="AI36" s="156" t="str">
        <f t="shared" si="7"/>
        <v/>
      </c>
      <c r="AK36" s="156">
        <v>27</v>
      </c>
      <c r="AM36" s="156" t="str">
        <f t="array" ref="AM36">IFERROR(INDEX($AK$10:$AK$258, MATCH(0, IF(TRUE=$AH$10:$AH$258, COUNTIF($AM$9:$AM35, $AK$10:$AK$258), ""), 0)),"")</f>
        <v/>
      </c>
      <c r="AN36" s="156" t="str">
        <f t="array" ref="AN36">IFERROR(INDEX($AK$10:$AK$258, MATCH(0, IF(TRUE=$AI$10:$AI$258, COUNTIF($AN$9:$AN35, $AK$10:$AK$258), ""), 0)),"")</f>
        <v/>
      </c>
      <c r="AP36" s="31" t="str">
        <f>IFERROR(INDEX('G-7 Rivers Data'!$AZ$3:$AZ$7,MATCH(D36,'G-7 Rivers Data'!$AY$3:$AY$7,0)),"")</f>
        <v/>
      </c>
    </row>
    <row r="37" spans="3:42" ht="14" x14ac:dyDescent="0.3">
      <c r="C37" s="141">
        <v>28</v>
      </c>
      <c r="D37" s="460"/>
      <c r="E37" s="172"/>
      <c r="F37" s="498" t="str">
        <f>IF(D37="","",VLOOKUP(D37,'G-7 Rivers Data'!$B$2:$G$8,2,FALSE))</f>
        <v/>
      </c>
      <c r="G37" s="499" t="str">
        <f>IFERROR(VLOOKUP(F37,'G-7 Rivers Data'!$C$4:$D$8,2,FALSE),"")</f>
        <v/>
      </c>
      <c r="H37" s="145"/>
      <c r="I37" s="499" t="str">
        <f>IFERROR(INDEX('G-7 Rivers Data'!$H$4:$L$8,MATCH(D37,'G-7 Rivers Data'!$B$4:$B$8,0),MATCH(H37,'G-7 Rivers Data'!$H$3:$L$3,0)),"")</f>
        <v/>
      </c>
      <c r="J37" s="418"/>
      <c r="K37" s="498" t="str">
        <f>IF(J37="","",IF(VLOOKUP(J37,'G-7 Rivers Data'!$AK$4:$AM$9,2,FALSE)=0,"Spatial Data Missing ⚠",VLOOKUP(J37,'G-7 Rivers Data'!$AK$4:$AM$9,2,FALSE)))</f>
        <v/>
      </c>
      <c r="L37" s="505" t="str">
        <f>IF(J37="","",IF(VLOOKUP(J37,'G-7 Rivers Data'!$AK$4:$AM$9,3,FALSE)=0,"Spatial Data Missing ⚠",VLOOKUP(J37,'G-7 Rivers Data'!$AK$4:$AM$9,3,FALSE)))</f>
        <v/>
      </c>
      <c r="M37" s="71"/>
      <c r="N37" s="499" t="str">
        <f>IF(M37="","",IF(VLOOKUP(M37,'G-7 Rivers Data'!$AA$4:$AB$7,2,FALSE)=0,"Spatial Data Missing ⚠",VLOOKUP(M37,'G-7 Rivers Data'!$AA$4:$AB$7,2,FALSE)))</f>
        <v/>
      </c>
      <c r="O37" s="155"/>
      <c r="P37" s="499" t="str">
        <f>IF(O37="","",IF(VLOOKUP(O37,'G-7 Rivers Data'!$AD$4:$AE$8,2,FALSE)=0,"Spatial Data Missing ⚠",VLOOKUP(O37,'G-7 Rivers Data'!$AD$4:$AE$8,2,FALSE)))</f>
        <v/>
      </c>
      <c r="Q37" s="506" t="str">
        <f>IF(D37="","",VLOOKUP(D37,'G-7 Rivers Data'!$B$2:$G$8,6,FALSE))</f>
        <v/>
      </c>
      <c r="R37" s="513" t="str">
        <f t="shared" si="0"/>
        <v/>
      </c>
      <c r="S37" s="40"/>
      <c r="T37" s="145"/>
      <c r="U37" s="157"/>
      <c r="V37" s="511" t="str">
        <f t="shared" si="1"/>
        <v/>
      </c>
      <c r="W37" s="511" t="str">
        <f t="shared" si="2"/>
        <v/>
      </c>
      <c r="X37" s="511" t="str">
        <f t="shared" si="3"/>
        <v/>
      </c>
      <c r="Y37" s="515" t="str">
        <f t="shared" si="4"/>
        <v/>
      </c>
      <c r="Z37" s="151"/>
      <c r="AA37" s="152"/>
      <c r="AG37" s="31">
        <f t="shared" si="5"/>
        <v>0</v>
      </c>
      <c r="AH37" s="156" t="str">
        <f t="shared" si="6"/>
        <v/>
      </c>
      <c r="AI37" s="156" t="str">
        <f t="shared" si="7"/>
        <v/>
      </c>
      <c r="AK37" s="156">
        <v>28</v>
      </c>
      <c r="AM37" s="156" t="str">
        <f t="array" ref="AM37">IFERROR(INDEX($AK$10:$AK$258, MATCH(0, IF(TRUE=$AH$10:$AH$258, COUNTIF($AM$9:$AM36, $AK$10:$AK$258), ""), 0)),"")</f>
        <v/>
      </c>
      <c r="AN37" s="156" t="str">
        <f t="array" ref="AN37">IFERROR(INDEX($AK$10:$AK$258, MATCH(0, IF(TRUE=$AI$10:$AI$258, COUNTIF($AN$9:$AN36, $AK$10:$AK$258), ""), 0)),"")</f>
        <v/>
      </c>
      <c r="AP37" s="31" t="str">
        <f>IFERROR(INDEX('G-7 Rivers Data'!$AZ$3:$AZ$7,MATCH(D37,'G-7 Rivers Data'!$AY$3:$AY$7,0)),"")</f>
        <v/>
      </c>
    </row>
    <row r="38" spans="3:42" ht="14" x14ac:dyDescent="0.3">
      <c r="C38" s="141">
        <v>29</v>
      </c>
      <c r="D38" s="460"/>
      <c r="E38" s="172"/>
      <c r="F38" s="498" t="str">
        <f>IF(D38="","",VLOOKUP(D38,'G-7 Rivers Data'!$B$2:$G$8,2,FALSE))</f>
        <v/>
      </c>
      <c r="G38" s="499" t="str">
        <f>IFERROR(VLOOKUP(F38,'G-7 Rivers Data'!$C$4:$D$8,2,FALSE),"")</f>
        <v/>
      </c>
      <c r="H38" s="145"/>
      <c r="I38" s="499" t="str">
        <f>IFERROR(INDEX('G-7 Rivers Data'!$H$4:$L$8,MATCH(D38,'G-7 Rivers Data'!$B$4:$B$8,0),MATCH(H38,'G-7 Rivers Data'!$H$3:$L$3,0)),"")</f>
        <v/>
      </c>
      <c r="J38" s="418"/>
      <c r="K38" s="498" t="str">
        <f>IF(J38="","",IF(VLOOKUP(J38,'G-7 Rivers Data'!$AK$4:$AM$9,2,FALSE)=0,"Spatial Data Missing ⚠",VLOOKUP(J38,'G-7 Rivers Data'!$AK$4:$AM$9,2,FALSE)))</f>
        <v/>
      </c>
      <c r="L38" s="505" t="str">
        <f>IF(J38="","",IF(VLOOKUP(J38,'G-7 Rivers Data'!$AK$4:$AM$9,3,FALSE)=0,"Spatial Data Missing ⚠",VLOOKUP(J38,'G-7 Rivers Data'!$AK$4:$AM$9,3,FALSE)))</f>
        <v/>
      </c>
      <c r="M38" s="71"/>
      <c r="N38" s="499" t="str">
        <f>IF(M38="","",IF(VLOOKUP(M38,'G-7 Rivers Data'!$AA$4:$AB$7,2,FALSE)=0,"Spatial Data Missing ⚠",VLOOKUP(M38,'G-7 Rivers Data'!$AA$4:$AB$7,2,FALSE)))</f>
        <v/>
      </c>
      <c r="O38" s="155"/>
      <c r="P38" s="499" t="str">
        <f>IF(O38="","",IF(VLOOKUP(O38,'G-7 Rivers Data'!$AD$4:$AE$8,2,FALSE)=0,"Spatial Data Missing ⚠",VLOOKUP(O38,'G-7 Rivers Data'!$AD$4:$AE$8,2,FALSE)))</f>
        <v/>
      </c>
      <c r="Q38" s="506" t="str">
        <f>IF(D38="","",VLOOKUP(D38,'G-7 Rivers Data'!$B$2:$G$8,6,FALSE))</f>
        <v/>
      </c>
      <c r="R38" s="513" t="str">
        <f t="shared" si="0"/>
        <v/>
      </c>
      <c r="S38" s="40"/>
      <c r="T38" s="145"/>
      <c r="U38" s="157"/>
      <c r="V38" s="511" t="str">
        <f t="shared" si="1"/>
        <v/>
      </c>
      <c r="W38" s="511" t="str">
        <f t="shared" si="2"/>
        <v/>
      </c>
      <c r="X38" s="511" t="str">
        <f t="shared" si="3"/>
        <v/>
      </c>
      <c r="Y38" s="515" t="str">
        <f t="shared" si="4"/>
        <v/>
      </c>
      <c r="Z38" s="151"/>
      <c r="AA38" s="152"/>
      <c r="AG38" s="31">
        <f t="shared" si="5"/>
        <v>0</v>
      </c>
      <c r="AH38" s="156" t="str">
        <f t="shared" si="6"/>
        <v/>
      </c>
      <c r="AI38" s="156" t="str">
        <f t="shared" si="7"/>
        <v/>
      </c>
      <c r="AK38" s="156">
        <v>29</v>
      </c>
      <c r="AM38" s="156" t="str">
        <f t="array" ref="AM38">IFERROR(INDEX($AK$10:$AK$258, MATCH(0, IF(TRUE=$AH$10:$AH$258, COUNTIF($AM$9:$AM37, $AK$10:$AK$258), ""), 0)),"")</f>
        <v/>
      </c>
      <c r="AN38" s="156" t="str">
        <f t="array" ref="AN38">IFERROR(INDEX($AK$10:$AK$258, MATCH(0, IF(TRUE=$AI$10:$AI$258, COUNTIF($AN$9:$AN37, $AK$10:$AK$258), ""), 0)),"")</f>
        <v/>
      </c>
      <c r="AP38" s="31" t="str">
        <f>IFERROR(INDEX('G-7 Rivers Data'!$AZ$3:$AZ$7,MATCH(D38,'G-7 Rivers Data'!$AY$3:$AY$7,0)),"")</f>
        <v/>
      </c>
    </row>
    <row r="39" spans="3:42" ht="14" x14ac:dyDescent="0.3">
      <c r="C39" s="141">
        <v>30</v>
      </c>
      <c r="D39" s="460"/>
      <c r="E39" s="172"/>
      <c r="F39" s="498" t="str">
        <f>IF(D39="","",VLOOKUP(D39,'G-7 Rivers Data'!$B$2:$G$8,2,FALSE))</f>
        <v/>
      </c>
      <c r="G39" s="499" t="str">
        <f>IFERROR(VLOOKUP(F39,'G-7 Rivers Data'!$C$4:$D$8,2,FALSE),"")</f>
        <v/>
      </c>
      <c r="H39" s="145"/>
      <c r="I39" s="499" t="str">
        <f>IFERROR(INDEX('G-7 Rivers Data'!$H$4:$L$8,MATCH(D39,'G-7 Rivers Data'!$B$4:$B$8,0),MATCH(H39,'G-7 Rivers Data'!$H$3:$L$3,0)),"")</f>
        <v/>
      </c>
      <c r="J39" s="418"/>
      <c r="K39" s="498" t="str">
        <f>IF(J39="","",IF(VLOOKUP(J39,'G-7 Rivers Data'!$AK$4:$AM$9,2,FALSE)=0,"Spatial Data Missing ⚠",VLOOKUP(J39,'G-7 Rivers Data'!$AK$4:$AM$9,2,FALSE)))</f>
        <v/>
      </c>
      <c r="L39" s="505" t="str">
        <f>IF(J39="","",IF(VLOOKUP(J39,'G-7 Rivers Data'!$AK$4:$AM$9,3,FALSE)=0,"Spatial Data Missing ⚠",VLOOKUP(J39,'G-7 Rivers Data'!$AK$4:$AM$9,3,FALSE)))</f>
        <v/>
      </c>
      <c r="M39" s="71"/>
      <c r="N39" s="499" t="str">
        <f>IF(M39="","",IF(VLOOKUP(M39,'G-7 Rivers Data'!$AA$4:$AB$7,2,FALSE)=0,"Spatial Data Missing ⚠",VLOOKUP(M39,'G-7 Rivers Data'!$AA$4:$AB$7,2,FALSE)))</f>
        <v/>
      </c>
      <c r="O39" s="155"/>
      <c r="P39" s="499" t="str">
        <f>IF(O39="","",IF(VLOOKUP(O39,'G-7 Rivers Data'!$AD$4:$AE$8,2,FALSE)=0,"Spatial Data Missing ⚠",VLOOKUP(O39,'G-7 Rivers Data'!$AD$4:$AE$8,2,FALSE)))</f>
        <v/>
      </c>
      <c r="Q39" s="506" t="str">
        <f>IF(D39="","",VLOOKUP(D39,'G-7 Rivers Data'!$B$2:$G$8,6,FALSE))</f>
        <v/>
      </c>
      <c r="R39" s="513" t="str">
        <f t="shared" si="0"/>
        <v/>
      </c>
      <c r="S39" s="40"/>
      <c r="T39" s="145"/>
      <c r="U39" s="157"/>
      <c r="V39" s="511" t="str">
        <f t="shared" si="1"/>
        <v/>
      </c>
      <c r="W39" s="511" t="str">
        <f t="shared" si="2"/>
        <v/>
      </c>
      <c r="X39" s="511" t="str">
        <f t="shared" si="3"/>
        <v/>
      </c>
      <c r="Y39" s="515" t="str">
        <f t="shared" si="4"/>
        <v/>
      </c>
      <c r="Z39" s="151"/>
      <c r="AA39" s="152"/>
      <c r="AG39" s="31">
        <f t="shared" si="5"/>
        <v>0</v>
      </c>
      <c r="AH39" s="156" t="str">
        <f t="shared" si="6"/>
        <v/>
      </c>
      <c r="AI39" s="156" t="str">
        <f t="shared" si="7"/>
        <v/>
      </c>
      <c r="AK39" s="156">
        <v>30</v>
      </c>
      <c r="AM39" s="156" t="str">
        <f t="array" ref="AM39">IFERROR(INDEX($AK$10:$AK$258, MATCH(0, IF(TRUE=$AH$10:$AH$258, COUNTIF($AM$9:$AM38, $AK$10:$AK$258), ""), 0)),"")</f>
        <v/>
      </c>
      <c r="AN39" s="156" t="str">
        <f t="array" ref="AN39">IFERROR(INDEX($AK$10:$AK$258, MATCH(0, IF(TRUE=$AI$10:$AI$258, COUNTIF($AN$9:$AN38, $AK$10:$AK$258), ""), 0)),"")</f>
        <v/>
      </c>
      <c r="AP39" s="31" t="str">
        <f>IFERROR(INDEX('G-7 Rivers Data'!$AZ$3:$AZ$7,MATCH(D39,'G-7 Rivers Data'!$AY$3:$AY$7,0)),"")</f>
        <v/>
      </c>
    </row>
    <row r="40" spans="3:42" ht="14" x14ac:dyDescent="0.3">
      <c r="C40" s="141">
        <v>31</v>
      </c>
      <c r="D40" s="460"/>
      <c r="E40" s="172"/>
      <c r="F40" s="498" t="str">
        <f>IF(D40="","",VLOOKUP(D40,'G-7 Rivers Data'!$B$2:$G$8,2,FALSE))</f>
        <v/>
      </c>
      <c r="G40" s="499" t="str">
        <f>IFERROR(VLOOKUP(F40,'G-7 Rivers Data'!$C$4:$D$8,2,FALSE),"")</f>
        <v/>
      </c>
      <c r="H40" s="145"/>
      <c r="I40" s="499" t="str">
        <f>IFERROR(INDEX('G-7 Rivers Data'!$H$4:$L$8,MATCH(D40,'G-7 Rivers Data'!$B$4:$B$8,0),MATCH(H40,'G-7 Rivers Data'!$H$3:$L$3,0)),"")</f>
        <v/>
      </c>
      <c r="J40" s="418"/>
      <c r="K40" s="498" t="str">
        <f>IF(J40="","",IF(VLOOKUP(J40,'G-7 Rivers Data'!$AK$4:$AM$9,2,FALSE)=0,"Spatial Data Missing ⚠",VLOOKUP(J40,'G-7 Rivers Data'!$AK$4:$AM$9,2,FALSE)))</f>
        <v/>
      </c>
      <c r="L40" s="505" t="str">
        <f>IF(J40="","",IF(VLOOKUP(J40,'G-7 Rivers Data'!$AK$4:$AM$9,3,FALSE)=0,"Spatial Data Missing ⚠",VLOOKUP(J40,'G-7 Rivers Data'!$AK$4:$AM$9,3,FALSE)))</f>
        <v/>
      </c>
      <c r="M40" s="71"/>
      <c r="N40" s="499" t="str">
        <f>IF(M40="","",IF(VLOOKUP(M40,'G-7 Rivers Data'!$AA$4:$AB$7,2,FALSE)=0,"Spatial Data Missing ⚠",VLOOKUP(M40,'G-7 Rivers Data'!$AA$4:$AB$7,2,FALSE)))</f>
        <v/>
      </c>
      <c r="O40" s="155"/>
      <c r="P40" s="499" t="str">
        <f>IF(O40="","",IF(VLOOKUP(O40,'G-7 Rivers Data'!$AD$4:$AE$8,2,FALSE)=0,"Spatial Data Missing ⚠",VLOOKUP(O40,'G-7 Rivers Data'!$AD$4:$AE$8,2,FALSE)))</f>
        <v/>
      </c>
      <c r="Q40" s="506" t="str">
        <f>IF(D40="","",VLOOKUP(D40,'G-7 Rivers Data'!$B$2:$G$8,6,FALSE))</f>
        <v/>
      </c>
      <c r="R40" s="513" t="str">
        <f t="shared" si="0"/>
        <v/>
      </c>
      <c r="S40" s="40"/>
      <c r="T40" s="145"/>
      <c r="U40" s="157"/>
      <c r="V40" s="511" t="str">
        <f t="shared" si="1"/>
        <v/>
      </c>
      <c r="W40" s="511" t="str">
        <f t="shared" si="2"/>
        <v/>
      </c>
      <c r="X40" s="511" t="str">
        <f t="shared" si="3"/>
        <v/>
      </c>
      <c r="Y40" s="515" t="str">
        <f t="shared" si="4"/>
        <v/>
      </c>
      <c r="Z40" s="151"/>
      <c r="AA40" s="152"/>
      <c r="AG40" s="31">
        <f t="shared" si="5"/>
        <v>0</v>
      </c>
      <c r="AH40" s="156" t="str">
        <f t="shared" si="6"/>
        <v/>
      </c>
      <c r="AI40" s="156" t="str">
        <f t="shared" si="7"/>
        <v/>
      </c>
      <c r="AK40" s="156">
        <v>31</v>
      </c>
      <c r="AM40" s="156" t="str">
        <f t="array" ref="AM40">IFERROR(INDEX($AK$10:$AK$258, MATCH(0, IF(TRUE=$AH$10:$AH$258, COUNTIF($AM$9:$AM39, $AK$10:$AK$258), ""), 0)),"")</f>
        <v/>
      </c>
      <c r="AN40" s="156" t="str">
        <f t="array" ref="AN40">IFERROR(INDEX($AK$10:$AK$258, MATCH(0, IF(TRUE=$AI$10:$AI$258, COUNTIF($AN$9:$AN39, $AK$10:$AK$258), ""), 0)),"")</f>
        <v/>
      </c>
      <c r="AP40" s="31" t="str">
        <f>IFERROR(INDEX('G-7 Rivers Data'!$AZ$3:$AZ$7,MATCH(D40,'G-7 Rivers Data'!$AY$3:$AY$7,0)),"")</f>
        <v/>
      </c>
    </row>
    <row r="41" spans="3:42" ht="14" x14ac:dyDescent="0.3">
      <c r="C41" s="141">
        <v>32</v>
      </c>
      <c r="D41" s="460"/>
      <c r="E41" s="172"/>
      <c r="F41" s="498" t="str">
        <f>IF(D41="","",VLOOKUP(D41,'G-7 Rivers Data'!$B$2:$G$8,2,FALSE))</f>
        <v/>
      </c>
      <c r="G41" s="499" t="str">
        <f>IFERROR(VLOOKUP(F41,'G-7 Rivers Data'!$C$4:$D$8,2,FALSE),"")</f>
        <v/>
      </c>
      <c r="H41" s="145"/>
      <c r="I41" s="499" t="str">
        <f>IFERROR(INDEX('G-7 Rivers Data'!$H$4:$L$8,MATCH(D41,'G-7 Rivers Data'!$B$4:$B$8,0),MATCH(H41,'G-7 Rivers Data'!$H$3:$L$3,0)),"")</f>
        <v/>
      </c>
      <c r="J41" s="418"/>
      <c r="K41" s="498" t="str">
        <f>IF(J41="","",IF(VLOOKUP(J41,'G-7 Rivers Data'!$AK$4:$AM$9,2,FALSE)=0,"Spatial Data Missing ⚠",VLOOKUP(J41,'G-7 Rivers Data'!$AK$4:$AM$9,2,FALSE)))</f>
        <v/>
      </c>
      <c r="L41" s="505" t="str">
        <f>IF(J41="","",IF(VLOOKUP(J41,'G-7 Rivers Data'!$AK$4:$AM$9,3,FALSE)=0,"Spatial Data Missing ⚠",VLOOKUP(J41,'G-7 Rivers Data'!$AK$4:$AM$9,3,FALSE)))</f>
        <v/>
      </c>
      <c r="M41" s="71"/>
      <c r="N41" s="499" t="str">
        <f>IF(M41="","",IF(VLOOKUP(M41,'G-7 Rivers Data'!$AA$4:$AB$7,2,FALSE)=0,"Spatial Data Missing ⚠",VLOOKUP(M41,'G-7 Rivers Data'!$AA$4:$AB$7,2,FALSE)))</f>
        <v/>
      </c>
      <c r="O41" s="155"/>
      <c r="P41" s="499" t="str">
        <f>IF(O41="","",IF(VLOOKUP(O41,'G-7 Rivers Data'!$AD$4:$AE$8,2,FALSE)=0,"Spatial Data Missing ⚠",VLOOKUP(O41,'G-7 Rivers Data'!$AD$4:$AE$8,2,FALSE)))</f>
        <v/>
      </c>
      <c r="Q41" s="506" t="str">
        <f>IF(D41="","",VLOOKUP(D41,'G-7 Rivers Data'!$B$2:$G$8,6,FALSE))</f>
        <v/>
      </c>
      <c r="R41" s="513" t="str">
        <f t="shared" si="0"/>
        <v/>
      </c>
      <c r="S41" s="40"/>
      <c r="T41" s="145"/>
      <c r="U41" s="157"/>
      <c r="V41" s="511" t="str">
        <f t="shared" si="1"/>
        <v/>
      </c>
      <c r="W41" s="511" t="str">
        <f t="shared" si="2"/>
        <v/>
      </c>
      <c r="X41" s="511" t="str">
        <f t="shared" si="3"/>
        <v/>
      </c>
      <c r="Y41" s="515" t="str">
        <f t="shared" si="4"/>
        <v/>
      </c>
      <c r="Z41" s="151"/>
      <c r="AA41" s="152"/>
      <c r="AG41" s="31">
        <f t="shared" si="5"/>
        <v>0</v>
      </c>
      <c r="AH41" s="156" t="str">
        <f t="shared" si="6"/>
        <v/>
      </c>
      <c r="AI41" s="156" t="str">
        <f t="shared" si="7"/>
        <v/>
      </c>
      <c r="AK41" s="156">
        <v>32</v>
      </c>
      <c r="AM41" s="156" t="str">
        <f t="array" ref="AM41">IFERROR(INDEX($AK$10:$AK$258, MATCH(0, IF(TRUE=$AH$10:$AH$258, COUNTIF($AM$9:$AM40, $AK$10:$AK$258), ""), 0)),"")</f>
        <v/>
      </c>
      <c r="AN41" s="156" t="str">
        <f t="array" ref="AN41">IFERROR(INDEX($AK$10:$AK$258, MATCH(0, IF(TRUE=$AI$10:$AI$258, COUNTIF($AN$9:$AN40, $AK$10:$AK$258), ""), 0)),"")</f>
        <v/>
      </c>
      <c r="AP41" s="31" t="str">
        <f>IFERROR(INDEX('G-7 Rivers Data'!$AZ$3:$AZ$7,MATCH(D41,'G-7 Rivers Data'!$AY$3:$AY$7,0)),"")</f>
        <v/>
      </c>
    </row>
    <row r="42" spans="3:42" ht="14" x14ac:dyDescent="0.3">
      <c r="C42" s="141">
        <v>33</v>
      </c>
      <c r="D42" s="460"/>
      <c r="E42" s="172"/>
      <c r="F42" s="498" t="str">
        <f>IF(D42="","",VLOOKUP(D42,'G-7 Rivers Data'!$B$2:$G$8,2,FALSE))</f>
        <v/>
      </c>
      <c r="G42" s="499" t="str">
        <f>IFERROR(VLOOKUP(F42,'G-7 Rivers Data'!$C$4:$D$8,2,FALSE),"")</f>
        <v/>
      </c>
      <c r="H42" s="145"/>
      <c r="I42" s="499" t="str">
        <f>IFERROR(INDEX('G-7 Rivers Data'!$H$4:$L$8,MATCH(D42,'G-7 Rivers Data'!$B$4:$B$8,0),MATCH(H42,'G-7 Rivers Data'!$H$3:$L$3,0)),"")</f>
        <v/>
      </c>
      <c r="J42" s="418"/>
      <c r="K42" s="498" t="str">
        <f>IF(J42="","",IF(VLOOKUP(J42,'G-7 Rivers Data'!$AK$4:$AM$9,2,FALSE)=0,"Spatial Data Missing ⚠",VLOOKUP(J42,'G-7 Rivers Data'!$AK$4:$AM$9,2,FALSE)))</f>
        <v/>
      </c>
      <c r="L42" s="505" t="str">
        <f>IF(J42="","",IF(VLOOKUP(J42,'G-7 Rivers Data'!$AK$4:$AM$9,3,FALSE)=0,"Spatial Data Missing ⚠",VLOOKUP(J42,'G-7 Rivers Data'!$AK$4:$AM$9,3,FALSE)))</f>
        <v/>
      </c>
      <c r="M42" s="71"/>
      <c r="N42" s="499" t="str">
        <f>IF(M42="","",IF(VLOOKUP(M42,'G-7 Rivers Data'!$AA$4:$AB$7,2,FALSE)=0,"Spatial Data Missing ⚠",VLOOKUP(M42,'G-7 Rivers Data'!$AA$4:$AB$7,2,FALSE)))</f>
        <v/>
      </c>
      <c r="O42" s="155"/>
      <c r="P42" s="499" t="str">
        <f>IF(O42="","",IF(VLOOKUP(O42,'G-7 Rivers Data'!$AD$4:$AE$8,2,FALSE)=0,"Spatial Data Missing ⚠",VLOOKUP(O42,'G-7 Rivers Data'!$AD$4:$AE$8,2,FALSE)))</f>
        <v/>
      </c>
      <c r="Q42" s="506" t="str">
        <f>IF(D42="","",VLOOKUP(D42,'G-7 Rivers Data'!$B$2:$G$8,6,FALSE))</f>
        <v/>
      </c>
      <c r="R42" s="513" t="str">
        <f t="shared" si="0"/>
        <v/>
      </c>
      <c r="S42" s="40"/>
      <c r="T42" s="145"/>
      <c r="U42" s="157"/>
      <c r="V42" s="511" t="str">
        <f t="shared" si="1"/>
        <v/>
      </c>
      <c r="W42" s="511" t="str">
        <f t="shared" si="2"/>
        <v/>
      </c>
      <c r="X42" s="511" t="str">
        <f t="shared" si="3"/>
        <v/>
      </c>
      <c r="Y42" s="515" t="str">
        <f t="shared" si="4"/>
        <v/>
      </c>
      <c r="Z42" s="151"/>
      <c r="AA42" s="152"/>
      <c r="AG42" s="31">
        <f t="shared" si="5"/>
        <v>0</v>
      </c>
      <c r="AH42" s="156" t="str">
        <f t="shared" si="6"/>
        <v/>
      </c>
      <c r="AI42" s="156" t="str">
        <f t="shared" si="7"/>
        <v/>
      </c>
      <c r="AK42" s="156">
        <v>33</v>
      </c>
      <c r="AM42" s="156" t="str">
        <f t="array" ref="AM42">IFERROR(INDEX($AK$10:$AK$258, MATCH(0, IF(TRUE=$AH$10:$AH$258, COUNTIF($AM$9:$AM41, $AK$10:$AK$258), ""), 0)),"")</f>
        <v/>
      </c>
      <c r="AN42" s="156" t="str">
        <f t="array" ref="AN42">IFERROR(INDEX($AK$10:$AK$258, MATCH(0, IF(TRUE=$AI$10:$AI$258, COUNTIF($AN$9:$AN41, $AK$10:$AK$258), ""), 0)),"")</f>
        <v/>
      </c>
      <c r="AP42" s="31" t="str">
        <f>IFERROR(INDEX('G-7 Rivers Data'!$AZ$3:$AZ$7,MATCH(D42,'G-7 Rivers Data'!$AY$3:$AY$7,0)),"")</f>
        <v/>
      </c>
    </row>
    <row r="43" spans="3:42" ht="14" x14ac:dyDescent="0.3">
      <c r="C43" s="141">
        <v>34</v>
      </c>
      <c r="D43" s="460"/>
      <c r="E43" s="172"/>
      <c r="F43" s="498" t="str">
        <f>IF(D43="","",VLOOKUP(D43,'G-7 Rivers Data'!$B$2:$G$8,2,FALSE))</f>
        <v/>
      </c>
      <c r="G43" s="499" t="str">
        <f>IFERROR(VLOOKUP(F43,'G-7 Rivers Data'!$C$4:$D$8,2,FALSE),"")</f>
        <v/>
      </c>
      <c r="H43" s="145"/>
      <c r="I43" s="499" t="str">
        <f>IFERROR(INDEX('G-7 Rivers Data'!$H$4:$L$8,MATCH(D43,'G-7 Rivers Data'!$B$4:$B$8,0),MATCH(H43,'G-7 Rivers Data'!$H$3:$L$3,0)),"")</f>
        <v/>
      </c>
      <c r="J43" s="418"/>
      <c r="K43" s="498" t="str">
        <f>IF(J43="","",IF(VLOOKUP(J43,'G-7 Rivers Data'!$AK$4:$AM$9,2,FALSE)=0,"Spatial Data Missing ⚠",VLOOKUP(J43,'G-7 Rivers Data'!$AK$4:$AM$9,2,FALSE)))</f>
        <v/>
      </c>
      <c r="L43" s="505" t="str">
        <f>IF(J43="","",IF(VLOOKUP(J43,'G-7 Rivers Data'!$AK$4:$AM$9,3,FALSE)=0,"Spatial Data Missing ⚠",VLOOKUP(J43,'G-7 Rivers Data'!$AK$4:$AM$9,3,FALSE)))</f>
        <v/>
      </c>
      <c r="M43" s="71"/>
      <c r="N43" s="499" t="str">
        <f>IF(M43="","",IF(VLOOKUP(M43,'G-7 Rivers Data'!$AA$4:$AB$7,2,FALSE)=0,"Spatial Data Missing ⚠",VLOOKUP(M43,'G-7 Rivers Data'!$AA$4:$AB$7,2,FALSE)))</f>
        <v/>
      </c>
      <c r="O43" s="155"/>
      <c r="P43" s="499" t="str">
        <f>IF(O43="","",IF(VLOOKUP(O43,'G-7 Rivers Data'!$AD$4:$AE$8,2,FALSE)=0,"Spatial Data Missing ⚠",VLOOKUP(O43,'G-7 Rivers Data'!$AD$4:$AE$8,2,FALSE)))</f>
        <v/>
      </c>
      <c r="Q43" s="506" t="str">
        <f>IF(D43="","",VLOOKUP(D43,'G-7 Rivers Data'!$B$2:$G$8,6,FALSE))</f>
        <v/>
      </c>
      <c r="R43" s="513" t="str">
        <f t="shared" si="0"/>
        <v/>
      </c>
      <c r="S43" s="40"/>
      <c r="T43" s="145"/>
      <c r="U43" s="157"/>
      <c r="V43" s="511" t="str">
        <f t="shared" si="1"/>
        <v/>
      </c>
      <c r="W43" s="511" t="str">
        <f t="shared" si="2"/>
        <v/>
      </c>
      <c r="X43" s="511" t="str">
        <f t="shared" si="3"/>
        <v/>
      </c>
      <c r="Y43" s="515" t="str">
        <f t="shared" si="4"/>
        <v/>
      </c>
      <c r="Z43" s="151"/>
      <c r="AA43" s="152"/>
      <c r="AG43" s="31">
        <f t="shared" si="5"/>
        <v>0</v>
      </c>
      <c r="AH43" s="156" t="str">
        <f t="shared" si="6"/>
        <v/>
      </c>
      <c r="AI43" s="156" t="str">
        <f t="shared" si="7"/>
        <v/>
      </c>
      <c r="AK43" s="156">
        <v>34</v>
      </c>
      <c r="AM43" s="156" t="str">
        <f t="array" ref="AM43">IFERROR(INDEX($AK$10:$AK$258, MATCH(0, IF(TRUE=$AH$10:$AH$258, COUNTIF($AM$9:$AM42, $AK$10:$AK$258), ""), 0)),"")</f>
        <v/>
      </c>
      <c r="AN43" s="156" t="str">
        <f t="array" ref="AN43">IFERROR(INDEX($AK$10:$AK$258, MATCH(0, IF(TRUE=$AI$10:$AI$258, COUNTIF($AN$9:$AN42, $AK$10:$AK$258), ""), 0)),"")</f>
        <v/>
      </c>
      <c r="AP43" s="31" t="str">
        <f>IFERROR(INDEX('G-7 Rivers Data'!$AZ$3:$AZ$7,MATCH(D43,'G-7 Rivers Data'!$AY$3:$AY$7,0)),"")</f>
        <v/>
      </c>
    </row>
    <row r="44" spans="3:42" ht="14" x14ac:dyDescent="0.3">
      <c r="C44" s="141">
        <v>35</v>
      </c>
      <c r="D44" s="460"/>
      <c r="E44" s="172"/>
      <c r="F44" s="498" t="str">
        <f>IF(D44="","",VLOOKUP(D44,'G-7 Rivers Data'!$B$2:$G$8,2,FALSE))</f>
        <v/>
      </c>
      <c r="G44" s="499" t="str">
        <f>IFERROR(VLOOKUP(F44,'G-7 Rivers Data'!$C$4:$D$8,2,FALSE),"")</f>
        <v/>
      </c>
      <c r="H44" s="145"/>
      <c r="I44" s="499" t="str">
        <f>IFERROR(INDEX('G-7 Rivers Data'!$H$4:$L$8,MATCH(D44,'G-7 Rivers Data'!$B$4:$B$8,0),MATCH(H44,'G-7 Rivers Data'!$H$3:$L$3,0)),"")</f>
        <v/>
      </c>
      <c r="J44" s="418"/>
      <c r="K44" s="498" t="str">
        <f>IF(J44="","",IF(VLOOKUP(J44,'G-7 Rivers Data'!$AK$4:$AM$9,2,FALSE)=0,"Spatial Data Missing ⚠",VLOOKUP(J44,'G-7 Rivers Data'!$AK$4:$AM$9,2,FALSE)))</f>
        <v/>
      </c>
      <c r="L44" s="505" t="str">
        <f>IF(J44="","",IF(VLOOKUP(J44,'G-7 Rivers Data'!$AK$4:$AM$9,3,FALSE)=0,"Spatial Data Missing ⚠",VLOOKUP(J44,'G-7 Rivers Data'!$AK$4:$AM$9,3,FALSE)))</f>
        <v/>
      </c>
      <c r="M44" s="71"/>
      <c r="N44" s="499" t="str">
        <f>IF(M44="","",IF(VLOOKUP(M44,'G-7 Rivers Data'!$AA$4:$AB$7,2,FALSE)=0,"Spatial Data Missing ⚠",VLOOKUP(M44,'G-7 Rivers Data'!$AA$4:$AB$7,2,FALSE)))</f>
        <v/>
      </c>
      <c r="O44" s="155"/>
      <c r="P44" s="499" t="str">
        <f>IF(O44="","",IF(VLOOKUP(O44,'G-7 Rivers Data'!$AD$4:$AE$8,2,FALSE)=0,"Spatial Data Missing ⚠",VLOOKUP(O44,'G-7 Rivers Data'!$AD$4:$AE$8,2,FALSE)))</f>
        <v/>
      </c>
      <c r="Q44" s="506" t="str">
        <f>IF(D44="","",VLOOKUP(D44,'G-7 Rivers Data'!$B$2:$G$8,6,FALSE))</f>
        <v/>
      </c>
      <c r="R44" s="513" t="str">
        <f t="shared" si="0"/>
        <v/>
      </c>
      <c r="S44" s="40"/>
      <c r="T44" s="145"/>
      <c r="U44" s="157"/>
      <c r="V44" s="511" t="str">
        <f t="shared" si="1"/>
        <v/>
      </c>
      <c r="W44" s="511" t="str">
        <f t="shared" si="2"/>
        <v/>
      </c>
      <c r="X44" s="511" t="str">
        <f t="shared" si="3"/>
        <v/>
      </c>
      <c r="Y44" s="515" t="str">
        <f t="shared" si="4"/>
        <v/>
      </c>
      <c r="Z44" s="151"/>
      <c r="AA44" s="152"/>
      <c r="AG44" s="31">
        <f t="shared" si="5"/>
        <v>0</v>
      </c>
      <c r="AH44" s="156" t="str">
        <f t="shared" si="6"/>
        <v/>
      </c>
      <c r="AI44" s="156" t="str">
        <f t="shared" si="7"/>
        <v/>
      </c>
      <c r="AK44" s="156">
        <v>35</v>
      </c>
      <c r="AM44" s="156" t="str">
        <f t="array" ref="AM44">IFERROR(INDEX($AK$10:$AK$258, MATCH(0, IF(TRUE=$AH$10:$AH$258, COUNTIF($AM$9:$AM43, $AK$10:$AK$258), ""), 0)),"")</f>
        <v/>
      </c>
      <c r="AN44" s="156" t="str">
        <f t="array" ref="AN44">IFERROR(INDEX($AK$10:$AK$258, MATCH(0, IF(TRUE=$AI$10:$AI$258, COUNTIF($AN$9:$AN43, $AK$10:$AK$258), ""), 0)),"")</f>
        <v/>
      </c>
      <c r="AP44" s="31" t="str">
        <f>IFERROR(INDEX('G-7 Rivers Data'!$AZ$3:$AZ$7,MATCH(D44,'G-7 Rivers Data'!$AY$3:$AY$7,0)),"")</f>
        <v/>
      </c>
    </row>
    <row r="45" spans="3:42" ht="14" x14ac:dyDescent="0.3">
      <c r="C45" s="141">
        <v>36</v>
      </c>
      <c r="D45" s="460"/>
      <c r="E45" s="172"/>
      <c r="F45" s="498" t="str">
        <f>IF(D45="","",VLOOKUP(D45,'G-7 Rivers Data'!$B$2:$G$8,2,FALSE))</f>
        <v/>
      </c>
      <c r="G45" s="499" t="str">
        <f>IFERROR(VLOOKUP(F45,'G-7 Rivers Data'!$C$4:$D$8,2,FALSE),"")</f>
        <v/>
      </c>
      <c r="H45" s="145"/>
      <c r="I45" s="499" t="str">
        <f>IFERROR(INDEX('G-7 Rivers Data'!$H$4:$L$8,MATCH(D45,'G-7 Rivers Data'!$B$4:$B$8,0),MATCH(H45,'G-7 Rivers Data'!$H$3:$L$3,0)),"")</f>
        <v/>
      </c>
      <c r="J45" s="418"/>
      <c r="K45" s="498" t="str">
        <f>IF(J45="","",IF(VLOOKUP(J45,'G-7 Rivers Data'!$AK$4:$AM$9,2,FALSE)=0,"Spatial Data Missing ⚠",VLOOKUP(J45,'G-7 Rivers Data'!$AK$4:$AM$9,2,FALSE)))</f>
        <v/>
      </c>
      <c r="L45" s="505" t="str">
        <f>IF(J45="","",IF(VLOOKUP(J45,'G-7 Rivers Data'!$AK$4:$AM$9,3,FALSE)=0,"Spatial Data Missing ⚠",VLOOKUP(J45,'G-7 Rivers Data'!$AK$4:$AM$9,3,FALSE)))</f>
        <v/>
      </c>
      <c r="M45" s="71"/>
      <c r="N45" s="499" t="str">
        <f>IF(M45="","",IF(VLOOKUP(M45,'G-7 Rivers Data'!$AA$4:$AB$7,2,FALSE)=0,"Spatial Data Missing ⚠",VLOOKUP(M45,'G-7 Rivers Data'!$AA$4:$AB$7,2,FALSE)))</f>
        <v/>
      </c>
      <c r="O45" s="155"/>
      <c r="P45" s="499" t="str">
        <f>IF(O45="","",IF(VLOOKUP(O45,'G-7 Rivers Data'!$AD$4:$AE$8,2,FALSE)=0,"Spatial Data Missing ⚠",VLOOKUP(O45,'G-7 Rivers Data'!$AD$4:$AE$8,2,FALSE)))</f>
        <v/>
      </c>
      <c r="Q45" s="506" t="str">
        <f>IF(D45="","",VLOOKUP(D45,'G-7 Rivers Data'!$B$2:$G$8,6,FALSE))</f>
        <v/>
      </c>
      <c r="R45" s="513" t="str">
        <f t="shared" si="0"/>
        <v/>
      </c>
      <c r="S45" s="40"/>
      <c r="T45" s="145"/>
      <c r="U45" s="157"/>
      <c r="V45" s="511" t="str">
        <f t="shared" si="1"/>
        <v/>
      </c>
      <c r="W45" s="511" t="str">
        <f t="shared" si="2"/>
        <v/>
      </c>
      <c r="X45" s="511" t="str">
        <f t="shared" si="3"/>
        <v/>
      </c>
      <c r="Y45" s="515" t="str">
        <f t="shared" si="4"/>
        <v/>
      </c>
      <c r="Z45" s="151"/>
      <c r="AA45" s="152"/>
      <c r="AG45" s="31">
        <f t="shared" si="5"/>
        <v>0</v>
      </c>
      <c r="AH45" s="156" t="str">
        <f t="shared" si="6"/>
        <v/>
      </c>
      <c r="AI45" s="156" t="str">
        <f t="shared" si="7"/>
        <v/>
      </c>
      <c r="AK45" s="156">
        <v>36</v>
      </c>
      <c r="AM45" s="156" t="str">
        <f t="array" ref="AM45">IFERROR(INDEX($AK$10:$AK$258, MATCH(0, IF(TRUE=$AH$10:$AH$258, COUNTIF($AM$9:$AM44, $AK$10:$AK$258), ""), 0)),"")</f>
        <v/>
      </c>
      <c r="AN45" s="156" t="str">
        <f t="array" ref="AN45">IFERROR(INDEX($AK$10:$AK$258, MATCH(0, IF(TRUE=$AI$10:$AI$258, COUNTIF($AN$9:$AN44, $AK$10:$AK$258), ""), 0)),"")</f>
        <v/>
      </c>
      <c r="AP45" s="31" t="str">
        <f>IFERROR(INDEX('G-7 Rivers Data'!$AZ$3:$AZ$7,MATCH(D45,'G-7 Rivers Data'!$AY$3:$AY$7,0)),"")</f>
        <v/>
      </c>
    </row>
    <row r="46" spans="3:42" ht="14" x14ac:dyDescent="0.3">
      <c r="C46" s="141">
        <v>37</v>
      </c>
      <c r="D46" s="460"/>
      <c r="E46" s="172"/>
      <c r="F46" s="498" t="str">
        <f>IF(D46="","",VLOOKUP(D46,'G-7 Rivers Data'!$B$2:$G$8,2,FALSE))</f>
        <v/>
      </c>
      <c r="G46" s="499" t="str">
        <f>IFERROR(VLOOKUP(F46,'G-7 Rivers Data'!$C$4:$D$8,2,FALSE),"")</f>
        <v/>
      </c>
      <c r="H46" s="145"/>
      <c r="I46" s="499" t="str">
        <f>IFERROR(INDEX('G-7 Rivers Data'!$H$4:$L$8,MATCH(D46,'G-7 Rivers Data'!$B$4:$B$8,0),MATCH(H46,'G-7 Rivers Data'!$H$3:$L$3,0)),"")</f>
        <v/>
      </c>
      <c r="J46" s="418"/>
      <c r="K46" s="498" t="str">
        <f>IF(J46="","",IF(VLOOKUP(J46,'G-7 Rivers Data'!$AK$4:$AM$9,2,FALSE)=0,"Spatial Data Missing ⚠",VLOOKUP(J46,'G-7 Rivers Data'!$AK$4:$AM$9,2,FALSE)))</f>
        <v/>
      </c>
      <c r="L46" s="505" t="str">
        <f>IF(J46="","",IF(VLOOKUP(J46,'G-7 Rivers Data'!$AK$4:$AM$9,3,FALSE)=0,"Spatial Data Missing ⚠",VLOOKUP(J46,'G-7 Rivers Data'!$AK$4:$AM$9,3,FALSE)))</f>
        <v/>
      </c>
      <c r="M46" s="71"/>
      <c r="N46" s="499" t="str">
        <f>IF(M46="","",IF(VLOOKUP(M46,'G-7 Rivers Data'!$AA$4:$AB$7,2,FALSE)=0,"Spatial Data Missing ⚠",VLOOKUP(M46,'G-7 Rivers Data'!$AA$4:$AB$7,2,FALSE)))</f>
        <v/>
      </c>
      <c r="O46" s="155"/>
      <c r="P46" s="499" t="str">
        <f>IF(O46="","",IF(VLOOKUP(O46,'G-7 Rivers Data'!$AD$4:$AE$8,2,FALSE)=0,"Spatial Data Missing ⚠",VLOOKUP(O46,'G-7 Rivers Data'!$AD$4:$AE$8,2,FALSE)))</f>
        <v/>
      </c>
      <c r="Q46" s="506" t="str">
        <f>IF(D46="","",VLOOKUP(D46,'G-7 Rivers Data'!$B$2:$G$8,6,FALSE))</f>
        <v/>
      </c>
      <c r="R46" s="513" t="str">
        <f t="shared" si="0"/>
        <v/>
      </c>
      <c r="S46" s="40"/>
      <c r="T46" s="145"/>
      <c r="U46" s="157"/>
      <c r="V46" s="511" t="str">
        <f t="shared" si="1"/>
        <v/>
      </c>
      <c r="W46" s="511" t="str">
        <f t="shared" si="2"/>
        <v/>
      </c>
      <c r="X46" s="511" t="str">
        <f t="shared" si="3"/>
        <v/>
      </c>
      <c r="Y46" s="515" t="str">
        <f t="shared" si="4"/>
        <v/>
      </c>
      <c r="Z46" s="151"/>
      <c r="AA46" s="152"/>
      <c r="AG46" s="31">
        <f t="shared" si="5"/>
        <v>0</v>
      </c>
      <c r="AH46" s="156" t="str">
        <f t="shared" si="6"/>
        <v/>
      </c>
      <c r="AI46" s="156" t="str">
        <f t="shared" si="7"/>
        <v/>
      </c>
      <c r="AK46" s="156">
        <v>37</v>
      </c>
      <c r="AM46" s="156" t="str">
        <f t="array" ref="AM46">IFERROR(INDEX($AK$10:$AK$258, MATCH(0, IF(TRUE=$AH$10:$AH$258, COUNTIF($AM$9:$AM45, $AK$10:$AK$258), ""), 0)),"")</f>
        <v/>
      </c>
      <c r="AN46" s="156" t="str">
        <f t="array" ref="AN46">IFERROR(INDEX($AK$10:$AK$258, MATCH(0, IF(TRUE=$AI$10:$AI$258, COUNTIF($AN$9:$AN45, $AK$10:$AK$258), ""), 0)),"")</f>
        <v/>
      </c>
      <c r="AP46" s="31" t="str">
        <f>IFERROR(INDEX('G-7 Rivers Data'!$AZ$3:$AZ$7,MATCH(D46,'G-7 Rivers Data'!$AY$3:$AY$7,0)),"")</f>
        <v/>
      </c>
    </row>
    <row r="47" spans="3:42" ht="14" x14ac:dyDescent="0.3">
      <c r="C47" s="141">
        <v>38</v>
      </c>
      <c r="D47" s="460"/>
      <c r="E47" s="172"/>
      <c r="F47" s="498" t="str">
        <f>IF(D47="","",VLOOKUP(D47,'G-7 Rivers Data'!$B$2:$G$8,2,FALSE))</f>
        <v/>
      </c>
      <c r="G47" s="499" t="str">
        <f>IFERROR(VLOOKUP(F47,'G-7 Rivers Data'!$C$4:$D$8,2,FALSE),"")</f>
        <v/>
      </c>
      <c r="H47" s="145"/>
      <c r="I47" s="499" t="str">
        <f>IFERROR(INDEX('G-7 Rivers Data'!$H$4:$L$8,MATCH(D47,'G-7 Rivers Data'!$B$4:$B$8,0),MATCH(H47,'G-7 Rivers Data'!$H$3:$L$3,0)),"")</f>
        <v/>
      </c>
      <c r="J47" s="418"/>
      <c r="K47" s="498" t="str">
        <f>IF(J47="","",IF(VLOOKUP(J47,'G-7 Rivers Data'!$AK$4:$AM$9,2,FALSE)=0,"Spatial Data Missing ⚠",VLOOKUP(J47,'G-7 Rivers Data'!$AK$4:$AM$9,2,FALSE)))</f>
        <v/>
      </c>
      <c r="L47" s="505" t="str">
        <f>IF(J47="","",IF(VLOOKUP(J47,'G-7 Rivers Data'!$AK$4:$AM$9,3,FALSE)=0,"Spatial Data Missing ⚠",VLOOKUP(J47,'G-7 Rivers Data'!$AK$4:$AM$9,3,FALSE)))</f>
        <v/>
      </c>
      <c r="M47" s="71"/>
      <c r="N47" s="499" t="str">
        <f>IF(M47="","",IF(VLOOKUP(M47,'G-7 Rivers Data'!$AA$4:$AB$7,2,FALSE)=0,"Spatial Data Missing ⚠",VLOOKUP(M47,'G-7 Rivers Data'!$AA$4:$AB$7,2,FALSE)))</f>
        <v/>
      </c>
      <c r="O47" s="155"/>
      <c r="P47" s="499" t="str">
        <f>IF(O47="","",IF(VLOOKUP(O47,'G-7 Rivers Data'!$AD$4:$AE$8,2,FALSE)=0,"Spatial Data Missing ⚠",VLOOKUP(O47,'G-7 Rivers Data'!$AD$4:$AE$8,2,FALSE)))</f>
        <v/>
      </c>
      <c r="Q47" s="506" t="str">
        <f>IF(D47="","",VLOOKUP(D47,'G-7 Rivers Data'!$B$2:$G$8,6,FALSE))</f>
        <v/>
      </c>
      <c r="R47" s="513" t="str">
        <f t="shared" si="0"/>
        <v/>
      </c>
      <c r="S47" s="40"/>
      <c r="T47" s="145"/>
      <c r="U47" s="157"/>
      <c r="V47" s="511" t="str">
        <f t="shared" si="1"/>
        <v/>
      </c>
      <c r="W47" s="511" t="str">
        <f t="shared" si="2"/>
        <v/>
      </c>
      <c r="X47" s="511" t="str">
        <f t="shared" si="3"/>
        <v/>
      </c>
      <c r="Y47" s="515" t="str">
        <f t="shared" si="4"/>
        <v/>
      </c>
      <c r="Z47" s="151"/>
      <c r="AA47" s="152"/>
      <c r="AG47" s="31">
        <f t="shared" si="5"/>
        <v>0</v>
      </c>
      <c r="AH47" s="156" t="str">
        <f t="shared" si="6"/>
        <v/>
      </c>
      <c r="AI47" s="156" t="str">
        <f t="shared" si="7"/>
        <v/>
      </c>
      <c r="AK47" s="156">
        <v>38</v>
      </c>
      <c r="AM47" s="156" t="str">
        <f t="array" ref="AM47">IFERROR(INDEX($AK$10:$AK$258, MATCH(0, IF(TRUE=$AH$10:$AH$258, COUNTIF($AM$9:$AM46, $AK$10:$AK$258), ""), 0)),"")</f>
        <v/>
      </c>
      <c r="AN47" s="156" t="str">
        <f t="array" ref="AN47">IFERROR(INDEX($AK$10:$AK$258, MATCH(0, IF(TRUE=$AI$10:$AI$258, COUNTIF($AN$9:$AN46, $AK$10:$AK$258), ""), 0)),"")</f>
        <v/>
      </c>
      <c r="AP47" s="31" t="str">
        <f>IFERROR(INDEX('G-7 Rivers Data'!$AZ$3:$AZ$7,MATCH(D47,'G-7 Rivers Data'!$AY$3:$AY$7,0)),"")</f>
        <v/>
      </c>
    </row>
    <row r="48" spans="3:42" ht="14" x14ac:dyDescent="0.3">
      <c r="C48" s="141">
        <v>39</v>
      </c>
      <c r="D48" s="460"/>
      <c r="E48" s="172"/>
      <c r="F48" s="498" t="str">
        <f>IF(D48="","",VLOOKUP(D48,'G-7 Rivers Data'!$B$2:$G$8,2,FALSE))</f>
        <v/>
      </c>
      <c r="G48" s="499" t="str">
        <f>IFERROR(VLOOKUP(F48,'G-7 Rivers Data'!$C$4:$D$8,2,FALSE),"")</f>
        <v/>
      </c>
      <c r="H48" s="145"/>
      <c r="I48" s="499" t="str">
        <f>IFERROR(INDEX('G-7 Rivers Data'!$H$4:$L$8,MATCH(D48,'G-7 Rivers Data'!$B$4:$B$8,0),MATCH(H48,'G-7 Rivers Data'!$H$3:$L$3,0)),"")</f>
        <v/>
      </c>
      <c r="J48" s="418"/>
      <c r="K48" s="498" t="str">
        <f>IF(J48="","",IF(VLOOKUP(J48,'G-7 Rivers Data'!$AK$4:$AM$9,2,FALSE)=0,"Spatial Data Missing ⚠",VLOOKUP(J48,'G-7 Rivers Data'!$AK$4:$AM$9,2,FALSE)))</f>
        <v/>
      </c>
      <c r="L48" s="505" t="str">
        <f>IF(J48="","",IF(VLOOKUP(J48,'G-7 Rivers Data'!$AK$4:$AM$9,3,FALSE)=0,"Spatial Data Missing ⚠",VLOOKUP(J48,'G-7 Rivers Data'!$AK$4:$AM$9,3,FALSE)))</f>
        <v/>
      </c>
      <c r="M48" s="71"/>
      <c r="N48" s="499" t="str">
        <f>IF(M48="","",IF(VLOOKUP(M48,'G-7 Rivers Data'!$AA$4:$AB$7,2,FALSE)=0,"Spatial Data Missing ⚠",VLOOKUP(M48,'G-7 Rivers Data'!$AA$4:$AB$7,2,FALSE)))</f>
        <v/>
      </c>
      <c r="O48" s="155"/>
      <c r="P48" s="499" t="str">
        <f>IF(O48="","",IF(VLOOKUP(O48,'G-7 Rivers Data'!$AD$4:$AE$8,2,FALSE)=0,"Spatial Data Missing ⚠",VLOOKUP(O48,'G-7 Rivers Data'!$AD$4:$AE$8,2,FALSE)))</f>
        <v/>
      </c>
      <c r="Q48" s="506" t="str">
        <f>IF(D48="","",VLOOKUP(D48,'G-7 Rivers Data'!$B$2:$G$8,6,FALSE))</f>
        <v/>
      </c>
      <c r="R48" s="513" t="str">
        <f t="shared" si="0"/>
        <v/>
      </c>
      <c r="S48" s="40"/>
      <c r="T48" s="145"/>
      <c r="U48" s="157"/>
      <c r="V48" s="511" t="str">
        <f t="shared" si="1"/>
        <v/>
      </c>
      <c r="W48" s="511" t="str">
        <f t="shared" si="2"/>
        <v/>
      </c>
      <c r="X48" s="511" t="str">
        <f t="shared" si="3"/>
        <v/>
      </c>
      <c r="Y48" s="515" t="str">
        <f t="shared" si="4"/>
        <v/>
      </c>
      <c r="Z48" s="151"/>
      <c r="AA48" s="152"/>
      <c r="AG48" s="31">
        <f t="shared" si="5"/>
        <v>0</v>
      </c>
      <c r="AH48" s="156" t="str">
        <f t="shared" si="6"/>
        <v/>
      </c>
      <c r="AI48" s="156" t="str">
        <f t="shared" si="7"/>
        <v/>
      </c>
      <c r="AK48" s="156">
        <v>39</v>
      </c>
      <c r="AM48" s="156" t="str">
        <f t="array" ref="AM48">IFERROR(INDEX($AK$10:$AK$258, MATCH(0, IF(TRUE=$AH$10:$AH$258, COUNTIF($AM$9:$AM47, $AK$10:$AK$258), ""), 0)),"")</f>
        <v/>
      </c>
      <c r="AN48" s="156" t="str">
        <f t="array" ref="AN48">IFERROR(INDEX($AK$10:$AK$258, MATCH(0, IF(TRUE=$AI$10:$AI$258, COUNTIF($AN$9:$AN47, $AK$10:$AK$258), ""), 0)),"")</f>
        <v/>
      </c>
      <c r="AP48" s="31" t="str">
        <f>IFERROR(INDEX('G-7 Rivers Data'!$AZ$3:$AZ$7,MATCH(D48,'G-7 Rivers Data'!$AY$3:$AY$7,0)),"")</f>
        <v/>
      </c>
    </row>
    <row r="49" spans="3:42" ht="14" x14ac:dyDescent="0.3">
      <c r="C49" s="141">
        <v>40</v>
      </c>
      <c r="D49" s="460"/>
      <c r="E49" s="172"/>
      <c r="F49" s="498" t="str">
        <f>IF(D49="","",VLOOKUP(D49,'G-7 Rivers Data'!$B$2:$G$8,2,FALSE))</f>
        <v/>
      </c>
      <c r="G49" s="499" t="str">
        <f>IFERROR(VLOOKUP(F49,'G-7 Rivers Data'!$C$4:$D$8,2,FALSE),"")</f>
        <v/>
      </c>
      <c r="H49" s="145"/>
      <c r="I49" s="499" t="str">
        <f>IFERROR(INDEX('G-7 Rivers Data'!$H$4:$L$8,MATCH(D49,'G-7 Rivers Data'!$B$4:$B$8,0),MATCH(H49,'G-7 Rivers Data'!$H$3:$L$3,0)),"")</f>
        <v/>
      </c>
      <c r="J49" s="418"/>
      <c r="K49" s="498" t="str">
        <f>IF(J49="","",IF(VLOOKUP(J49,'G-7 Rivers Data'!$AK$4:$AM$9,2,FALSE)=0,"Spatial Data Missing ⚠",VLOOKUP(J49,'G-7 Rivers Data'!$AK$4:$AM$9,2,FALSE)))</f>
        <v/>
      </c>
      <c r="L49" s="505" t="str">
        <f>IF(J49="","",IF(VLOOKUP(J49,'G-7 Rivers Data'!$AK$4:$AM$9,3,FALSE)=0,"Spatial Data Missing ⚠",VLOOKUP(J49,'G-7 Rivers Data'!$AK$4:$AM$9,3,FALSE)))</f>
        <v/>
      </c>
      <c r="M49" s="71"/>
      <c r="N49" s="499" t="str">
        <f>IF(M49="","",IF(VLOOKUP(M49,'G-7 Rivers Data'!$AA$4:$AB$7,2,FALSE)=0,"Spatial Data Missing ⚠",VLOOKUP(M49,'G-7 Rivers Data'!$AA$4:$AB$7,2,FALSE)))</f>
        <v/>
      </c>
      <c r="O49" s="155"/>
      <c r="P49" s="499" t="str">
        <f>IF(O49="","",IF(VLOOKUP(O49,'G-7 Rivers Data'!$AD$4:$AE$8,2,FALSE)=0,"Spatial Data Missing ⚠",VLOOKUP(O49,'G-7 Rivers Data'!$AD$4:$AE$8,2,FALSE)))</f>
        <v/>
      </c>
      <c r="Q49" s="506" t="str">
        <f>IF(D49="","",VLOOKUP(D49,'G-7 Rivers Data'!$B$2:$G$8,6,FALSE))</f>
        <v/>
      </c>
      <c r="R49" s="513" t="str">
        <f t="shared" si="0"/>
        <v/>
      </c>
      <c r="S49" s="40"/>
      <c r="T49" s="145"/>
      <c r="U49" s="157"/>
      <c r="V49" s="511" t="str">
        <f t="shared" si="1"/>
        <v/>
      </c>
      <c r="W49" s="511" t="str">
        <f t="shared" si="2"/>
        <v/>
      </c>
      <c r="X49" s="511" t="str">
        <f t="shared" si="3"/>
        <v/>
      </c>
      <c r="Y49" s="515" t="str">
        <f t="shared" si="4"/>
        <v/>
      </c>
      <c r="Z49" s="151"/>
      <c r="AA49" s="152"/>
      <c r="AG49" s="31">
        <f t="shared" si="5"/>
        <v>0</v>
      </c>
      <c r="AH49" s="156" t="str">
        <f t="shared" si="6"/>
        <v/>
      </c>
      <c r="AI49" s="156" t="str">
        <f t="shared" si="7"/>
        <v/>
      </c>
      <c r="AK49" s="156">
        <v>40</v>
      </c>
      <c r="AM49" s="156" t="str">
        <f t="array" ref="AM49">IFERROR(INDEX($AK$10:$AK$258, MATCH(0, IF(TRUE=$AH$10:$AH$258, COUNTIF($AM$9:$AM48, $AK$10:$AK$258), ""), 0)),"")</f>
        <v/>
      </c>
      <c r="AN49" s="156" t="str">
        <f t="array" ref="AN49">IFERROR(INDEX($AK$10:$AK$258, MATCH(0, IF(TRUE=$AI$10:$AI$258, COUNTIF($AN$9:$AN48, $AK$10:$AK$258), ""), 0)),"")</f>
        <v/>
      </c>
      <c r="AP49" s="31" t="str">
        <f>IFERROR(INDEX('G-7 Rivers Data'!$AZ$3:$AZ$7,MATCH(D49,'G-7 Rivers Data'!$AY$3:$AY$7,0)),"")</f>
        <v/>
      </c>
    </row>
    <row r="50" spans="3:42" ht="14" x14ac:dyDescent="0.3">
      <c r="C50" s="141">
        <v>41</v>
      </c>
      <c r="D50" s="460"/>
      <c r="E50" s="172"/>
      <c r="F50" s="498" t="str">
        <f>IF(D50="","",VLOOKUP(D50,'G-7 Rivers Data'!$B$2:$G$8,2,FALSE))</f>
        <v/>
      </c>
      <c r="G50" s="499" t="str">
        <f>IFERROR(VLOOKUP(F50,'G-7 Rivers Data'!$C$4:$D$8,2,FALSE),"")</f>
        <v/>
      </c>
      <c r="H50" s="145"/>
      <c r="I50" s="499" t="str">
        <f>IFERROR(INDEX('G-7 Rivers Data'!$H$4:$L$8,MATCH(D50,'G-7 Rivers Data'!$B$4:$B$8,0),MATCH(H50,'G-7 Rivers Data'!$H$3:$L$3,0)),"")</f>
        <v/>
      </c>
      <c r="J50" s="418"/>
      <c r="K50" s="498" t="str">
        <f>IF(J50="","",IF(VLOOKUP(J50,'G-7 Rivers Data'!$AK$4:$AM$9,2,FALSE)=0,"Spatial Data Missing ⚠",VLOOKUP(J50,'G-7 Rivers Data'!$AK$4:$AM$9,2,FALSE)))</f>
        <v/>
      </c>
      <c r="L50" s="505" t="str">
        <f>IF(J50="","",IF(VLOOKUP(J50,'G-7 Rivers Data'!$AK$4:$AM$9,3,FALSE)=0,"Spatial Data Missing ⚠",VLOOKUP(J50,'G-7 Rivers Data'!$AK$4:$AM$9,3,FALSE)))</f>
        <v/>
      </c>
      <c r="M50" s="71"/>
      <c r="N50" s="499" t="str">
        <f>IF(M50="","",IF(VLOOKUP(M50,'G-7 Rivers Data'!$AA$4:$AB$7,2,FALSE)=0,"Spatial Data Missing ⚠",VLOOKUP(M50,'G-7 Rivers Data'!$AA$4:$AB$7,2,FALSE)))</f>
        <v/>
      </c>
      <c r="O50" s="155"/>
      <c r="P50" s="499" t="str">
        <f>IF(O50="","",IF(VLOOKUP(O50,'G-7 Rivers Data'!$AD$4:$AE$8,2,FALSE)=0,"Spatial Data Missing ⚠",VLOOKUP(O50,'G-7 Rivers Data'!$AD$4:$AE$8,2,FALSE)))</f>
        <v/>
      </c>
      <c r="Q50" s="506" t="str">
        <f>IF(D50="","",VLOOKUP(D50,'G-7 Rivers Data'!$B$2:$G$8,6,FALSE))</f>
        <v/>
      </c>
      <c r="R50" s="513" t="str">
        <f t="shared" si="0"/>
        <v/>
      </c>
      <c r="S50" s="40"/>
      <c r="T50" s="145"/>
      <c r="U50" s="157"/>
      <c r="V50" s="511" t="str">
        <f t="shared" si="1"/>
        <v/>
      </c>
      <c r="W50" s="511" t="str">
        <f t="shared" si="2"/>
        <v/>
      </c>
      <c r="X50" s="511" t="str">
        <f t="shared" si="3"/>
        <v/>
      </c>
      <c r="Y50" s="515" t="str">
        <f t="shared" si="4"/>
        <v/>
      </c>
      <c r="Z50" s="151"/>
      <c r="AA50" s="152"/>
      <c r="AG50" s="31">
        <f t="shared" si="5"/>
        <v>0</v>
      </c>
      <c r="AH50" s="156" t="str">
        <f t="shared" si="6"/>
        <v/>
      </c>
      <c r="AI50" s="156" t="str">
        <f t="shared" si="7"/>
        <v/>
      </c>
      <c r="AK50" s="156">
        <v>41</v>
      </c>
      <c r="AM50" s="156" t="str">
        <f t="array" ref="AM50">IFERROR(INDEX($AK$10:$AK$258, MATCH(0, IF(TRUE=$AH$10:$AH$258, COUNTIF($AM$9:$AM49, $AK$10:$AK$258), ""), 0)),"")</f>
        <v/>
      </c>
      <c r="AN50" s="156" t="str">
        <f t="array" ref="AN50">IFERROR(INDEX($AK$10:$AK$258, MATCH(0, IF(TRUE=$AI$10:$AI$258, COUNTIF($AN$9:$AN49, $AK$10:$AK$258), ""), 0)),"")</f>
        <v/>
      </c>
      <c r="AP50" s="31" t="str">
        <f>IFERROR(INDEX('G-7 Rivers Data'!$AZ$3:$AZ$7,MATCH(D50,'G-7 Rivers Data'!$AY$3:$AY$7,0)),"")</f>
        <v/>
      </c>
    </row>
    <row r="51" spans="3:42" ht="14" x14ac:dyDescent="0.3">
      <c r="C51" s="141">
        <v>42</v>
      </c>
      <c r="D51" s="460"/>
      <c r="E51" s="172"/>
      <c r="F51" s="498" t="str">
        <f>IF(D51="","",VLOOKUP(D51,'G-7 Rivers Data'!$B$2:$G$8,2,FALSE))</f>
        <v/>
      </c>
      <c r="G51" s="499" t="str">
        <f>IFERROR(VLOOKUP(F51,'G-7 Rivers Data'!$C$4:$D$8,2,FALSE),"")</f>
        <v/>
      </c>
      <c r="H51" s="145"/>
      <c r="I51" s="499" t="str">
        <f>IFERROR(INDEX('G-7 Rivers Data'!$H$4:$L$8,MATCH(D51,'G-7 Rivers Data'!$B$4:$B$8,0),MATCH(H51,'G-7 Rivers Data'!$H$3:$L$3,0)),"")</f>
        <v/>
      </c>
      <c r="J51" s="418"/>
      <c r="K51" s="498" t="str">
        <f>IF(J51="","",IF(VLOOKUP(J51,'G-7 Rivers Data'!$AK$4:$AM$9,2,FALSE)=0,"Spatial Data Missing ⚠",VLOOKUP(J51,'G-7 Rivers Data'!$AK$4:$AM$9,2,FALSE)))</f>
        <v/>
      </c>
      <c r="L51" s="505" t="str">
        <f>IF(J51="","",IF(VLOOKUP(J51,'G-7 Rivers Data'!$AK$4:$AM$9,3,FALSE)=0,"Spatial Data Missing ⚠",VLOOKUP(J51,'G-7 Rivers Data'!$AK$4:$AM$9,3,FALSE)))</f>
        <v/>
      </c>
      <c r="M51" s="71"/>
      <c r="N51" s="499" t="str">
        <f>IF(M51="","",IF(VLOOKUP(M51,'G-7 Rivers Data'!$AA$4:$AB$7,2,FALSE)=0,"Spatial Data Missing ⚠",VLOOKUP(M51,'G-7 Rivers Data'!$AA$4:$AB$7,2,FALSE)))</f>
        <v/>
      </c>
      <c r="O51" s="155"/>
      <c r="P51" s="499" t="str">
        <f>IF(O51="","",IF(VLOOKUP(O51,'G-7 Rivers Data'!$AD$4:$AE$8,2,FALSE)=0,"Spatial Data Missing ⚠",VLOOKUP(O51,'G-7 Rivers Data'!$AD$4:$AE$8,2,FALSE)))</f>
        <v/>
      </c>
      <c r="Q51" s="506" t="str">
        <f>IF(D51="","",VLOOKUP(D51,'G-7 Rivers Data'!$B$2:$G$8,6,FALSE))</f>
        <v/>
      </c>
      <c r="R51" s="513" t="str">
        <f t="shared" si="0"/>
        <v/>
      </c>
      <c r="S51" s="40"/>
      <c r="T51" s="145"/>
      <c r="U51" s="157"/>
      <c r="V51" s="511" t="str">
        <f t="shared" si="1"/>
        <v/>
      </c>
      <c r="W51" s="511" t="str">
        <f t="shared" si="2"/>
        <v/>
      </c>
      <c r="X51" s="511" t="str">
        <f t="shared" si="3"/>
        <v/>
      </c>
      <c r="Y51" s="515" t="str">
        <f t="shared" si="4"/>
        <v/>
      </c>
      <c r="Z51" s="151"/>
      <c r="AA51" s="152"/>
      <c r="AG51" s="31">
        <f t="shared" si="5"/>
        <v>0</v>
      </c>
      <c r="AH51" s="156" t="str">
        <f t="shared" si="6"/>
        <v/>
      </c>
      <c r="AI51" s="156" t="str">
        <f t="shared" si="7"/>
        <v/>
      </c>
      <c r="AK51" s="156">
        <v>42</v>
      </c>
      <c r="AM51" s="156" t="str">
        <f t="array" ref="AM51">IFERROR(INDEX($AK$10:$AK$258, MATCH(0, IF(TRUE=$AH$10:$AH$258, COUNTIF($AM$9:$AM50, $AK$10:$AK$258), ""), 0)),"")</f>
        <v/>
      </c>
      <c r="AN51" s="156" t="str">
        <f t="array" ref="AN51">IFERROR(INDEX($AK$10:$AK$258, MATCH(0, IF(TRUE=$AI$10:$AI$258, COUNTIF($AN$9:$AN50, $AK$10:$AK$258), ""), 0)),"")</f>
        <v/>
      </c>
      <c r="AP51" s="31" t="str">
        <f>IFERROR(INDEX('G-7 Rivers Data'!$AZ$3:$AZ$7,MATCH(D51,'G-7 Rivers Data'!$AY$3:$AY$7,0)),"")</f>
        <v/>
      </c>
    </row>
    <row r="52" spans="3:42" ht="14" x14ac:dyDescent="0.3">
      <c r="C52" s="141">
        <v>43</v>
      </c>
      <c r="D52" s="460"/>
      <c r="E52" s="172"/>
      <c r="F52" s="498" t="str">
        <f>IF(D52="","",VLOOKUP(D52,'G-7 Rivers Data'!$B$2:$G$8,2,FALSE))</f>
        <v/>
      </c>
      <c r="G52" s="499" t="str">
        <f>IFERROR(VLOOKUP(F52,'G-7 Rivers Data'!$C$4:$D$8,2,FALSE),"")</f>
        <v/>
      </c>
      <c r="H52" s="145"/>
      <c r="I52" s="499" t="str">
        <f>IFERROR(INDEX('G-7 Rivers Data'!$H$4:$L$8,MATCH(D52,'G-7 Rivers Data'!$B$4:$B$8,0),MATCH(H52,'G-7 Rivers Data'!$H$3:$L$3,0)),"")</f>
        <v/>
      </c>
      <c r="J52" s="418"/>
      <c r="K52" s="498" t="str">
        <f>IF(J52="","",IF(VLOOKUP(J52,'G-7 Rivers Data'!$AK$4:$AM$9,2,FALSE)=0,"Spatial Data Missing ⚠",VLOOKUP(J52,'G-7 Rivers Data'!$AK$4:$AM$9,2,FALSE)))</f>
        <v/>
      </c>
      <c r="L52" s="505" t="str">
        <f>IF(J52="","",IF(VLOOKUP(J52,'G-7 Rivers Data'!$AK$4:$AM$9,3,FALSE)=0,"Spatial Data Missing ⚠",VLOOKUP(J52,'G-7 Rivers Data'!$AK$4:$AM$9,3,FALSE)))</f>
        <v/>
      </c>
      <c r="M52" s="71"/>
      <c r="N52" s="499" t="str">
        <f>IF(M52="","",IF(VLOOKUP(M52,'G-7 Rivers Data'!$AA$4:$AB$7,2,FALSE)=0,"Spatial Data Missing ⚠",VLOOKUP(M52,'G-7 Rivers Data'!$AA$4:$AB$7,2,FALSE)))</f>
        <v/>
      </c>
      <c r="O52" s="155"/>
      <c r="P52" s="499" t="str">
        <f>IF(O52="","",IF(VLOOKUP(O52,'G-7 Rivers Data'!$AD$4:$AE$8,2,FALSE)=0,"Spatial Data Missing ⚠",VLOOKUP(O52,'G-7 Rivers Data'!$AD$4:$AE$8,2,FALSE)))</f>
        <v/>
      </c>
      <c r="Q52" s="506" t="str">
        <f>IF(D52="","",VLOOKUP(D52,'G-7 Rivers Data'!$B$2:$G$8,6,FALSE))</f>
        <v/>
      </c>
      <c r="R52" s="513" t="str">
        <f t="shared" si="0"/>
        <v/>
      </c>
      <c r="S52" s="40"/>
      <c r="T52" s="145"/>
      <c r="U52" s="157"/>
      <c r="V52" s="511" t="str">
        <f t="shared" si="1"/>
        <v/>
      </c>
      <c r="W52" s="511" t="str">
        <f t="shared" si="2"/>
        <v/>
      </c>
      <c r="X52" s="511" t="str">
        <f t="shared" si="3"/>
        <v/>
      </c>
      <c r="Y52" s="515" t="str">
        <f t="shared" si="4"/>
        <v/>
      </c>
      <c r="Z52" s="151"/>
      <c r="AA52" s="152"/>
      <c r="AG52" s="31">
        <f t="shared" si="5"/>
        <v>0</v>
      </c>
      <c r="AH52" s="156" t="str">
        <f t="shared" si="6"/>
        <v/>
      </c>
      <c r="AI52" s="156" t="str">
        <f t="shared" si="7"/>
        <v/>
      </c>
      <c r="AK52" s="156">
        <v>43</v>
      </c>
      <c r="AM52" s="156" t="str">
        <f t="array" ref="AM52">IFERROR(INDEX($AK$10:$AK$258, MATCH(0, IF(TRUE=$AH$10:$AH$258, COUNTIF($AM$9:$AM51, $AK$10:$AK$258), ""), 0)),"")</f>
        <v/>
      </c>
      <c r="AN52" s="156" t="str">
        <f t="array" ref="AN52">IFERROR(INDEX($AK$10:$AK$258, MATCH(0, IF(TRUE=$AI$10:$AI$258, COUNTIF($AN$9:$AN51, $AK$10:$AK$258), ""), 0)),"")</f>
        <v/>
      </c>
      <c r="AP52" s="31" t="str">
        <f>IFERROR(INDEX('G-7 Rivers Data'!$AZ$3:$AZ$7,MATCH(D52,'G-7 Rivers Data'!$AY$3:$AY$7,0)),"")</f>
        <v/>
      </c>
    </row>
    <row r="53" spans="3:42" ht="14" x14ac:dyDescent="0.3">
      <c r="C53" s="141">
        <v>44</v>
      </c>
      <c r="D53" s="460"/>
      <c r="E53" s="172"/>
      <c r="F53" s="498" t="str">
        <f>IF(D53="","",VLOOKUP(D53,'G-7 Rivers Data'!$B$2:$G$8,2,FALSE))</f>
        <v/>
      </c>
      <c r="G53" s="499" t="str">
        <f>IFERROR(VLOOKUP(F53,'G-7 Rivers Data'!$C$4:$D$8,2,FALSE),"")</f>
        <v/>
      </c>
      <c r="H53" s="145"/>
      <c r="I53" s="499" t="str">
        <f>IFERROR(INDEX('G-7 Rivers Data'!$H$4:$L$8,MATCH(D53,'G-7 Rivers Data'!$B$4:$B$8,0),MATCH(H53,'G-7 Rivers Data'!$H$3:$L$3,0)),"")</f>
        <v/>
      </c>
      <c r="J53" s="418"/>
      <c r="K53" s="498" t="str">
        <f>IF(J53="","",IF(VLOOKUP(J53,'G-7 Rivers Data'!$AK$4:$AM$9,2,FALSE)=0,"Spatial Data Missing ⚠",VLOOKUP(J53,'G-7 Rivers Data'!$AK$4:$AM$9,2,FALSE)))</f>
        <v/>
      </c>
      <c r="L53" s="505" t="str">
        <f>IF(J53="","",IF(VLOOKUP(J53,'G-7 Rivers Data'!$AK$4:$AM$9,3,FALSE)=0,"Spatial Data Missing ⚠",VLOOKUP(J53,'G-7 Rivers Data'!$AK$4:$AM$9,3,FALSE)))</f>
        <v/>
      </c>
      <c r="M53" s="71"/>
      <c r="N53" s="499" t="str">
        <f>IF(M53="","",IF(VLOOKUP(M53,'G-7 Rivers Data'!$AA$4:$AB$7,2,FALSE)=0,"Spatial Data Missing ⚠",VLOOKUP(M53,'G-7 Rivers Data'!$AA$4:$AB$7,2,FALSE)))</f>
        <v/>
      </c>
      <c r="O53" s="155"/>
      <c r="P53" s="499" t="str">
        <f>IF(O53="","",IF(VLOOKUP(O53,'G-7 Rivers Data'!$AD$4:$AE$8,2,FALSE)=0,"Spatial Data Missing ⚠",VLOOKUP(O53,'G-7 Rivers Data'!$AD$4:$AE$8,2,FALSE)))</f>
        <v/>
      </c>
      <c r="Q53" s="506" t="str">
        <f>IF(D53="","",VLOOKUP(D53,'G-7 Rivers Data'!$B$2:$G$8,6,FALSE))</f>
        <v/>
      </c>
      <c r="R53" s="513" t="str">
        <f t="shared" si="0"/>
        <v/>
      </c>
      <c r="S53" s="40"/>
      <c r="T53" s="145"/>
      <c r="U53" s="157"/>
      <c r="V53" s="511" t="str">
        <f t="shared" si="1"/>
        <v/>
      </c>
      <c r="W53" s="511" t="str">
        <f t="shared" si="2"/>
        <v/>
      </c>
      <c r="X53" s="511" t="str">
        <f t="shared" si="3"/>
        <v/>
      </c>
      <c r="Y53" s="515" t="str">
        <f t="shared" si="4"/>
        <v/>
      </c>
      <c r="Z53" s="151"/>
      <c r="AA53" s="152"/>
      <c r="AG53" s="31">
        <f t="shared" si="5"/>
        <v>0</v>
      </c>
      <c r="AH53" s="156" t="str">
        <f t="shared" si="6"/>
        <v/>
      </c>
      <c r="AI53" s="156" t="str">
        <f t="shared" si="7"/>
        <v/>
      </c>
      <c r="AK53" s="156">
        <v>44</v>
      </c>
      <c r="AM53" s="156" t="str">
        <f t="array" ref="AM53">IFERROR(INDEX($AK$10:$AK$258, MATCH(0, IF(TRUE=$AH$10:$AH$258, COUNTIF($AM$9:$AM52, $AK$10:$AK$258), ""), 0)),"")</f>
        <v/>
      </c>
      <c r="AN53" s="156" t="str">
        <f t="array" ref="AN53">IFERROR(INDEX($AK$10:$AK$258, MATCH(0, IF(TRUE=$AI$10:$AI$258, COUNTIF($AN$9:$AN52, $AK$10:$AK$258), ""), 0)),"")</f>
        <v/>
      </c>
      <c r="AP53" s="31" t="str">
        <f>IFERROR(INDEX('G-7 Rivers Data'!$AZ$3:$AZ$7,MATCH(D53,'G-7 Rivers Data'!$AY$3:$AY$7,0)),"")</f>
        <v/>
      </c>
    </row>
    <row r="54" spans="3:42" ht="14" x14ac:dyDescent="0.3">
      <c r="C54" s="141">
        <v>45</v>
      </c>
      <c r="D54" s="460"/>
      <c r="E54" s="172"/>
      <c r="F54" s="498" t="str">
        <f>IF(D54="","",VLOOKUP(D54,'G-7 Rivers Data'!$B$2:$G$8,2,FALSE))</f>
        <v/>
      </c>
      <c r="G54" s="499" t="str">
        <f>IFERROR(VLOOKUP(F54,'G-7 Rivers Data'!$C$4:$D$8,2,FALSE),"")</f>
        <v/>
      </c>
      <c r="H54" s="145"/>
      <c r="I54" s="499" t="str">
        <f>IFERROR(INDEX('G-7 Rivers Data'!$H$4:$L$8,MATCH(D54,'G-7 Rivers Data'!$B$4:$B$8,0),MATCH(H54,'G-7 Rivers Data'!$H$3:$L$3,0)),"")</f>
        <v/>
      </c>
      <c r="J54" s="418"/>
      <c r="K54" s="498" t="str">
        <f>IF(J54="","",IF(VLOOKUP(J54,'G-7 Rivers Data'!$AK$4:$AM$9,2,FALSE)=0,"Spatial Data Missing ⚠",VLOOKUP(J54,'G-7 Rivers Data'!$AK$4:$AM$9,2,FALSE)))</f>
        <v/>
      </c>
      <c r="L54" s="505" t="str">
        <f>IF(J54="","",IF(VLOOKUP(J54,'G-7 Rivers Data'!$AK$4:$AM$9,3,FALSE)=0,"Spatial Data Missing ⚠",VLOOKUP(J54,'G-7 Rivers Data'!$AK$4:$AM$9,3,FALSE)))</f>
        <v/>
      </c>
      <c r="M54" s="71"/>
      <c r="N54" s="499" t="str">
        <f>IF(M54="","",IF(VLOOKUP(M54,'G-7 Rivers Data'!$AA$4:$AB$7,2,FALSE)=0,"Spatial Data Missing ⚠",VLOOKUP(M54,'G-7 Rivers Data'!$AA$4:$AB$7,2,FALSE)))</f>
        <v/>
      </c>
      <c r="O54" s="155"/>
      <c r="P54" s="499" t="str">
        <f>IF(O54="","",IF(VLOOKUP(O54,'G-7 Rivers Data'!$AD$4:$AE$8,2,FALSE)=0,"Spatial Data Missing ⚠",VLOOKUP(O54,'G-7 Rivers Data'!$AD$4:$AE$8,2,FALSE)))</f>
        <v/>
      </c>
      <c r="Q54" s="506" t="str">
        <f>IF(D54="","",VLOOKUP(D54,'G-7 Rivers Data'!$B$2:$G$8,6,FALSE))</f>
        <v/>
      </c>
      <c r="R54" s="513" t="str">
        <f t="shared" si="0"/>
        <v/>
      </c>
      <c r="S54" s="40"/>
      <c r="T54" s="145"/>
      <c r="U54" s="157"/>
      <c r="V54" s="511" t="str">
        <f t="shared" si="1"/>
        <v/>
      </c>
      <c r="W54" s="511" t="str">
        <f t="shared" si="2"/>
        <v/>
      </c>
      <c r="X54" s="511" t="str">
        <f t="shared" si="3"/>
        <v/>
      </c>
      <c r="Y54" s="515" t="str">
        <f t="shared" si="4"/>
        <v/>
      </c>
      <c r="Z54" s="151"/>
      <c r="AA54" s="152"/>
      <c r="AG54" s="31">
        <f t="shared" si="5"/>
        <v>0</v>
      </c>
      <c r="AH54" s="156" t="str">
        <f t="shared" si="6"/>
        <v/>
      </c>
      <c r="AI54" s="156" t="str">
        <f t="shared" si="7"/>
        <v/>
      </c>
      <c r="AK54" s="156">
        <v>45</v>
      </c>
      <c r="AM54" s="156" t="str">
        <f t="array" ref="AM54">IFERROR(INDEX($AK$10:$AK$258, MATCH(0, IF(TRUE=$AH$10:$AH$258, COUNTIF($AM$9:$AM53, $AK$10:$AK$258), ""), 0)),"")</f>
        <v/>
      </c>
      <c r="AN54" s="156" t="str">
        <f t="array" ref="AN54">IFERROR(INDEX($AK$10:$AK$258, MATCH(0, IF(TRUE=$AI$10:$AI$258, COUNTIF($AN$9:$AN53, $AK$10:$AK$258), ""), 0)),"")</f>
        <v/>
      </c>
      <c r="AP54" s="31" t="str">
        <f>IFERROR(INDEX('G-7 Rivers Data'!$AZ$3:$AZ$7,MATCH(D54,'G-7 Rivers Data'!$AY$3:$AY$7,0)),"")</f>
        <v/>
      </c>
    </row>
    <row r="55" spans="3:42" ht="14" x14ac:dyDescent="0.3">
      <c r="C55" s="141">
        <v>46</v>
      </c>
      <c r="D55" s="460"/>
      <c r="E55" s="172"/>
      <c r="F55" s="498" t="str">
        <f>IF(D55="","",VLOOKUP(D55,'G-7 Rivers Data'!$B$2:$G$8,2,FALSE))</f>
        <v/>
      </c>
      <c r="G55" s="499" t="str">
        <f>IFERROR(VLOOKUP(F55,'G-7 Rivers Data'!$C$4:$D$8,2,FALSE),"")</f>
        <v/>
      </c>
      <c r="H55" s="145"/>
      <c r="I55" s="499" t="str">
        <f>IFERROR(INDEX('G-7 Rivers Data'!$H$4:$L$8,MATCH(D55,'G-7 Rivers Data'!$B$4:$B$8,0),MATCH(H55,'G-7 Rivers Data'!$H$3:$L$3,0)),"")</f>
        <v/>
      </c>
      <c r="J55" s="418"/>
      <c r="K55" s="498" t="str">
        <f>IF(J55="","",IF(VLOOKUP(J55,'G-7 Rivers Data'!$AK$4:$AM$9,2,FALSE)=0,"Spatial Data Missing ⚠",VLOOKUP(J55,'G-7 Rivers Data'!$AK$4:$AM$9,2,FALSE)))</f>
        <v/>
      </c>
      <c r="L55" s="505" t="str">
        <f>IF(J55="","",IF(VLOOKUP(J55,'G-7 Rivers Data'!$AK$4:$AM$9,3,FALSE)=0,"Spatial Data Missing ⚠",VLOOKUP(J55,'G-7 Rivers Data'!$AK$4:$AM$9,3,FALSE)))</f>
        <v/>
      </c>
      <c r="M55" s="71"/>
      <c r="N55" s="499" t="str">
        <f>IF(M55="","",IF(VLOOKUP(M55,'G-7 Rivers Data'!$AA$4:$AB$7,2,FALSE)=0,"Spatial Data Missing ⚠",VLOOKUP(M55,'G-7 Rivers Data'!$AA$4:$AB$7,2,FALSE)))</f>
        <v/>
      </c>
      <c r="O55" s="155"/>
      <c r="P55" s="499" t="str">
        <f>IF(O55="","",IF(VLOOKUP(O55,'G-7 Rivers Data'!$AD$4:$AE$8,2,FALSE)=0,"Spatial Data Missing ⚠",VLOOKUP(O55,'G-7 Rivers Data'!$AD$4:$AE$8,2,FALSE)))</f>
        <v/>
      </c>
      <c r="Q55" s="506" t="str">
        <f>IF(D55="","",VLOOKUP(D55,'G-7 Rivers Data'!$B$2:$G$8,6,FALSE))</f>
        <v/>
      </c>
      <c r="R55" s="513" t="str">
        <f t="shared" si="0"/>
        <v/>
      </c>
      <c r="S55" s="40"/>
      <c r="T55" s="145"/>
      <c r="U55" s="157"/>
      <c r="V55" s="511" t="str">
        <f t="shared" si="1"/>
        <v/>
      </c>
      <c r="W55" s="511" t="str">
        <f t="shared" si="2"/>
        <v/>
      </c>
      <c r="X55" s="511" t="str">
        <f t="shared" si="3"/>
        <v/>
      </c>
      <c r="Y55" s="515" t="str">
        <f t="shared" si="4"/>
        <v/>
      </c>
      <c r="Z55" s="151"/>
      <c r="AA55" s="152"/>
      <c r="AG55" s="31">
        <f t="shared" si="5"/>
        <v>0</v>
      </c>
      <c r="AH55" s="156" t="str">
        <f t="shared" si="6"/>
        <v/>
      </c>
      <c r="AI55" s="156" t="str">
        <f t="shared" si="7"/>
        <v/>
      </c>
      <c r="AK55" s="156">
        <v>46</v>
      </c>
      <c r="AM55" s="156" t="str">
        <f t="array" ref="AM55">IFERROR(INDEX($AK$10:$AK$258, MATCH(0, IF(TRUE=$AH$10:$AH$258, COUNTIF($AM$9:$AM54, $AK$10:$AK$258), ""), 0)),"")</f>
        <v/>
      </c>
      <c r="AN55" s="156" t="str">
        <f t="array" ref="AN55">IFERROR(INDEX($AK$10:$AK$258, MATCH(0, IF(TRUE=$AI$10:$AI$258, COUNTIF($AN$9:$AN54, $AK$10:$AK$258), ""), 0)),"")</f>
        <v/>
      </c>
      <c r="AP55" s="31" t="str">
        <f>IFERROR(INDEX('G-7 Rivers Data'!$AZ$3:$AZ$7,MATCH(D55,'G-7 Rivers Data'!$AY$3:$AY$7,0)),"")</f>
        <v/>
      </c>
    </row>
    <row r="56" spans="3:42" ht="14" x14ac:dyDescent="0.3">
      <c r="C56" s="141">
        <v>47</v>
      </c>
      <c r="D56" s="460"/>
      <c r="E56" s="172"/>
      <c r="F56" s="498" t="str">
        <f>IF(D56="","",VLOOKUP(D56,'G-7 Rivers Data'!$B$2:$G$8,2,FALSE))</f>
        <v/>
      </c>
      <c r="G56" s="499" t="str">
        <f>IFERROR(VLOOKUP(F56,'G-7 Rivers Data'!$C$4:$D$8,2,FALSE),"")</f>
        <v/>
      </c>
      <c r="H56" s="145"/>
      <c r="I56" s="499" t="str">
        <f>IFERROR(INDEX('G-7 Rivers Data'!$H$4:$L$8,MATCH(D56,'G-7 Rivers Data'!$B$4:$B$8,0),MATCH(H56,'G-7 Rivers Data'!$H$3:$L$3,0)),"")</f>
        <v/>
      </c>
      <c r="J56" s="418"/>
      <c r="K56" s="498" t="str">
        <f>IF(J56="","",IF(VLOOKUP(J56,'G-7 Rivers Data'!$AK$4:$AM$9,2,FALSE)=0,"Spatial Data Missing ⚠",VLOOKUP(J56,'G-7 Rivers Data'!$AK$4:$AM$9,2,FALSE)))</f>
        <v/>
      </c>
      <c r="L56" s="505" t="str">
        <f>IF(J56="","",IF(VLOOKUP(J56,'G-7 Rivers Data'!$AK$4:$AM$9,3,FALSE)=0,"Spatial Data Missing ⚠",VLOOKUP(J56,'G-7 Rivers Data'!$AK$4:$AM$9,3,FALSE)))</f>
        <v/>
      </c>
      <c r="M56" s="71"/>
      <c r="N56" s="499" t="str">
        <f>IF(M56="","",IF(VLOOKUP(M56,'G-7 Rivers Data'!$AA$4:$AB$7,2,FALSE)=0,"Spatial Data Missing ⚠",VLOOKUP(M56,'G-7 Rivers Data'!$AA$4:$AB$7,2,FALSE)))</f>
        <v/>
      </c>
      <c r="O56" s="155"/>
      <c r="P56" s="499" t="str">
        <f>IF(O56="","",IF(VLOOKUP(O56,'G-7 Rivers Data'!$AD$4:$AE$8,2,FALSE)=0,"Spatial Data Missing ⚠",VLOOKUP(O56,'G-7 Rivers Data'!$AD$4:$AE$8,2,FALSE)))</f>
        <v/>
      </c>
      <c r="Q56" s="506" t="str">
        <f>IF(D56="","",VLOOKUP(D56,'G-7 Rivers Data'!$B$2:$G$8,6,FALSE))</f>
        <v/>
      </c>
      <c r="R56" s="513" t="str">
        <f t="shared" si="0"/>
        <v/>
      </c>
      <c r="S56" s="40"/>
      <c r="T56" s="145"/>
      <c r="U56" s="157"/>
      <c r="V56" s="511" t="str">
        <f t="shared" si="1"/>
        <v/>
      </c>
      <c r="W56" s="511" t="str">
        <f t="shared" si="2"/>
        <v/>
      </c>
      <c r="X56" s="511" t="str">
        <f t="shared" si="3"/>
        <v/>
      </c>
      <c r="Y56" s="515" t="str">
        <f t="shared" si="4"/>
        <v/>
      </c>
      <c r="Z56" s="151"/>
      <c r="AA56" s="152"/>
      <c r="AG56" s="31">
        <f t="shared" si="5"/>
        <v>0</v>
      </c>
      <c r="AH56" s="156" t="str">
        <f t="shared" si="6"/>
        <v/>
      </c>
      <c r="AI56" s="156" t="str">
        <f t="shared" si="7"/>
        <v/>
      </c>
      <c r="AK56" s="156">
        <v>47</v>
      </c>
      <c r="AM56" s="156" t="str">
        <f t="array" ref="AM56">IFERROR(INDEX($AK$10:$AK$258, MATCH(0, IF(TRUE=$AH$10:$AH$258, COUNTIF($AM$9:$AM55, $AK$10:$AK$258), ""), 0)),"")</f>
        <v/>
      </c>
      <c r="AN56" s="156" t="str">
        <f t="array" ref="AN56">IFERROR(INDEX($AK$10:$AK$258, MATCH(0, IF(TRUE=$AI$10:$AI$258, COUNTIF($AN$9:$AN55, $AK$10:$AK$258), ""), 0)),"")</f>
        <v/>
      </c>
      <c r="AP56" s="31" t="str">
        <f>IFERROR(INDEX('G-7 Rivers Data'!$AZ$3:$AZ$7,MATCH(D56,'G-7 Rivers Data'!$AY$3:$AY$7,0)),"")</f>
        <v/>
      </c>
    </row>
    <row r="57" spans="3:42" ht="14" x14ac:dyDescent="0.3">
      <c r="C57" s="141">
        <v>48</v>
      </c>
      <c r="D57" s="460"/>
      <c r="E57" s="172"/>
      <c r="F57" s="498" t="str">
        <f>IF(D57="","",VLOOKUP(D57,'G-7 Rivers Data'!$B$2:$G$8,2,FALSE))</f>
        <v/>
      </c>
      <c r="G57" s="499" t="str">
        <f>IFERROR(VLOOKUP(F57,'G-7 Rivers Data'!$C$4:$D$8,2,FALSE),"")</f>
        <v/>
      </c>
      <c r="H57" s="145"/>
      <c r="I57" s="499" t="str">
        <f>IFERROR(INDEX('G-7 Rivers Data'!$H$4:$L$8,MATCH(D57,'G-7 Rivers Data'!$B$4:$B$8,0),MATCH(H57,'G-7 Rivers Data'!$H$3:$L$3,0)),"")</f>
        <v/>
      </c>
      <c r="J57" s="418"/>
      <c r="K57" s="498" t="str">
        <f>IF(J57="","",IF(VLOOKUP(J57,'G-7 Rivers Data'!$AK$4:$AM$9,2,FALSE)=0,"Spatial Data Missing ⚠",VLOOKUP(J57,'G-7 Rivers Data'!$AK$4:$AM$9,2,FALSE)))</f>
        <v/>
      </c>
      <c r="L57" s="505" t="str">
        <f>IF(J57="","",IF(VLOOKUP(J57,'G-7 Rivers Data'!$AK$4:$AM$9,3,FALSE)=0,"Spatial Data Missing ⚠",VLOOKUP(J57,'G-7 Rivers Data'!$AK$4:$AM$9,3,FALSE)))</f>
        <v/>
      </c>
      <c r="M57" s="71"/>
      <c r="N57" s="499" t="str">
        <f>IF(M57="","",IF(VLOOKUP(M57,'G-7 Rivers Data'!$AA$4:$AB$7,2,FALSE)=0,"Spatial Data Missing ⚠",VLOOKUP(M57,'G-7 Rivers Data'!$AA$4:$AB$7,2,FALSE)))</f>
        <v/>
      </c>
      <c r="O57" s="155"/>
      <c r="P57" s="499" t="str">
        <f>IF(O57="","",IF(VLOOKUP(O57,'G-7 Rivers Data'!$AD$4:$AE$8,2,FALSE)=0,"Spatial Data Missing ⚠",VLOOKUP(O57,'G-7 Rivers Data'!$AD$4:$AE$8,2,FALSE)))</f>
        <v/>
      </c>
      <c r="Q57" s="506" t="str">
        <f>IF(D57="","",VLOOKUP(D57,'G-7 Rivers Data'!$B$2:$G$8,6,FALSE))</f>
        <v/>
      </c>
      <c r="R57" s="513" t="str">
        <f t="shared" si="0"/>
        <v/>
      </c>
      <c r="S57" s="40"/>
      <c r="T57" s="145"/>
      <c r="U57" s="157"/>
      <c r="V57" s="511" t="str">
        <f t="shared" si="1"/>
        <v/>
      </c>
      <c r="W57" s="511" t="str">
        <f t="shared" si="2"/>
        <v/>
      </c>
      <c r="X57" s="511" t="str">
        <f t="shared" si="3"/>
        <v/>
      </c>
      <c r="Y57" s="515" t="str">
        <f t="shared" si="4"/>
        <v/>
      </c>
      <c r="Z57" s="151"/>
      <c r="AA57" s="152"/>
      <c r="AG57" s="31">
        <f t="shared" si="5"/>
        <v>0</v>
      </c>
      <c r="AH57" s="156" t="str">
        <f t="shared" si="6"/>
        <v/>
      </c>
      <c r="AI57" s="156" t="str">
        <f t="shared" si="7"/>
        <v/>
      </c>
      <c r="AK57" s="156">
        <v>48</v>
      </c>
      <c r="AM57" s="156" t="str">
        <f t="array" ref="AM57">IFERROR(INDEX($AK$10:$AK$258, MATCH(0, IF(TRUE=$AH$10:$AH$258, COUNTIF($AM$9:$AM56, $AK$10:$AK$258), ""), 0)),"")</f>
        <v/>
      </c>
      <c r="AN57" s="156" t="str">
        <f t="array" ref="AN57">IFERROR(INDEX($AK$10:$AK$258, MATCH(0, IF(TRUE=$AI$10:$AI$258, COUNTIF($AN$9:$AN56, $AK$10:$AK$258), ""), 0)),"")</f>
        <v/>
      </c>
      <c r="AP57" s="31" t="str">
        <f>IFERROR(INDEX('G-7 Rivers Data'!$AZ$3:$AZ$7,MATCH(D57,'G-7 Rivers Data'!$AY$3:$AY$7,0)),"")</f>
        <v/>
      </c>
    </row>
    <row r="58" spans="3:42" ht="14" x14ac:dyDescent="0.3">
      <c r="C58" s="141">
        <v>49</v>
      </c>
      <c r="D58" s="460"/>
      <c r="E58" s="172"/>
      <c r="F58" s="498" t="str">
        <f>IF(D58="","",VLOOKUP(D58,'G-7 Rivers Data'!$B$2:$G$8,2,FALSE))</f>
        <v/>
      </c>
      <c r="G58" s="499" t="str">
        <f>IFERROR(VLOOKUP(F58,'G-7 Rivers Data'!$C$4:$D$8,2,FALSE),"")</f>
        <v/>
      </c>
      <c r="H58" s="145"/>
      <c r="I58" s="499" t="str">
        <f>IFERROR(INDEX('G-7 Rivers Data'!$H$4:$L$8,MATCH(D58,'G-7 Rivers Data'!$B$4:$B$8,0),MATCH(H58,'G-7 Rivers Data'!$H$3:$L$3,0)),"")</f>
        <v/>
      </c>
      <c r="J58" s="418"/>
      <c r="K58" s="498" t="str">
        <f>IF(J58="","",IF(VLOOKUP(J58,'G-7 Rivers Data'!$AK$4:$AM$9,2,FALSE)=0,"Spatial Data Missing ⚠",VLOOKUP(J58,'G-7 Rivers Data'!$AK$4:$AM$9,2,FALSE)))</f>
        <v/>
      </c>
      <c r="L58" s="505" t="str">
        <f>IF(J58="","",IF(VLOOKUP(J58,'G-7 Rivers Data'!$AK$4:$AM$9,3,FALSE)=0,"Spatial Data Missing ⚠",VLOOKUP(J58,'G-7 Rivers Data'!$AK$4:$AM$9,3,FALSE)))</f>
        <v/>
      </c>
      <c r="M58" s="71"/>
      <c r="N58" s="499" t="str">
        <f>IF(M58="","",IF(VLOOKUP(M58,'G-7 Rivers Data'!$AA$4:$AB$7,2,FALSE)=0,"Spatial Data Missing ⚠",VLOOKUP(M58,'G-7 Rivers Data'!$AA$4:$AB$7,2,FALSE)))</f>
        <v/>
      </c>
      <c r="O58" s="155"/>
      <c r="P58" s="499" t="str">
        <f>IF(O58="","",IF(VLOOKUP(O58,'G-7 Rivers Data'!$AD$4:$AE$8,2,FALSE)=0,"Spatial Data Missing ⚠",VLOOKUP(O58,'G-7 Rivers Data'!$AD$4:$AE$8,2,FALSE)))</f>
        <v/>
      </c>
      <c r="Q58" s="506" t="str">
        <f>IF(D58="","",VLOOKUP(D58,'G-7 Rivers Data'!$B$2:$G$8,6,FALSE))</f>
        <v/>
      </c>
      <c r="R58" s="513" t="str">
        <f t="shared" si="0"/>
        <v/>
      </c>
      <c r="S58" s="40"/>
      <c r="T58" s="145"/>
      <c r="U58" s="157"/>
      <c r="V58" s="511" t="str">
        <f t="shared" si="1"/>
        <v/>
      </c>
      <c r="W58" s="511" t="str">
        <f t="shared" si="2"/>
        <v/>
      </c>
      <c r="X58" s="511" t="str">
        <f t="shared" si="3"/>
        <v/>
      </c>
      <c r="Y58" s="515" t="str">
        <f t="shared" si="4"/>
        <v/>
      </c>
      <c r="Z58" s="151"/>
      <c r="AA58" s="152"/>
      <c r="AG58" s="31">
        <f t="shared" si="5"/>
        <v>0</v>
      </c>
      <c r="AH58" s="156" t="str">
        <f t="shared" si="6"/>
        <v/>
      </c>
      <c r="AI58" s="156" t="str">
        <f t="shared" si="7"/>
        <v/>
      </c>
      <c r="AK58" s="156">
        <v>49</v>
      </c>
      <c r="AM58" s="156" t="str">
        <f t="array" ref="AM58">IFERROR(INDEX($AK$10:$AK$258, MATCH(0, IF(TRUE=$AH$10:$AH$258, COUNTIF($AM$9:$AM57, $AK$10:$AK$258), ""), 0)),"")</f>
        <v/>
      </c>
      <c r="AN58" s="156" t="str">
        <f t="array" ref="AN58">IFERROR(INDEX($AK$10:$AK$258, MATCH(0, IF(TRUE=$AI$10:$AI$258, COUNTIF($AN$9:$AN57, $AK$10:$AK$258), ""), 0)),"")</f>
        <v/>
      </c>
      <c r="AP58" s="31" t="str">
        <f>IFERROR(INDEX('G-7 Rivers Data'!$AZ$3:$AZ$7,MATCH(D58,'G-7 Rivers Data'!$AY$3:$AY$7,0)),"")</f>
        <v/>
      </c>
    </row>
    <row r="59" spans="3:42" ht="14" x14ac:dyDescent="0.3">
      <c r="C59" s="141">
        <v>50</v>
      </c>
      <c r="D59" s="460"/>
      <c r="E59" s="172"/>
      <c r="F59" s="498" t="str">
        <f>IF(D59="","",VLOOKUP(D59,'G-7 Rivers Data'!$B$2:$G$8,2,FALSE))</f>
        <v/>
      </c>
      <c r="G59" s="499" t="str">
        <f>IFERROR(VLOOKUP(F59,'G-7 Rivers Data'!$C$4:$D$8,2,FALSE),"")</f>
        <v/>
      </c>
      <c r="H59" s="145"/>
      <c r="I59" s="499" t="str">
        <f>IFERROR(INDEX('G-7 Rivers Data'!$H$4:$L$8,MATCH(D59,'G-7 Rivers Data'!$B$4:$B$8,0),MATCH(H59,'G-7 Rivers Data'!$H$3:$L$3,0)),"")</f>
        <v/>
      </c>
      <c r="J59" s="418"/>
      <c r="K59" s="498" t="str">
        <f>IF(J59="","",IF(VLOOKUP(J59,'G-7 Rivers Data'!$AK$4:$AM$9,2,FALSE)=0,"Spatial Data Missing ⚠",VLOOKUP(J59,'G-7 Rivers Data'!$AK$4:$AM$9,2,FALSE)))</f>
        <v/>
      </c>
      <c r="L59" s="505" t="str">
        <f>IF(J59="","",IF(VLOOKUP(J59,'G-7 Rivers Data'!$AK$4:$AM$9,3,FALSE)=0,"Spatial Data Missing ⚠",VLOOKUP(J59,'G-7 Rivers Data'!$AK$4:$AM$9,3,FALSE)))</f>
        <v/>
      </c>
      <c r="M59" s="71"/>
      <c r="N59" s="499" t="str">
        <f>IF(M59="","",IF(VLOOKUP(M59,'G-7 Rivers Data'!$AA$4:$AB$7,2,FALSE)=0,"Spatial Data Missing ⚠",VLOOKUP(M59,'G-7 Rivers Data'!$AA$4:$AB$7,2,FALSE)))</f>
        <v/>
      </c>
      <c r="O59" s="155"/>
      <c r="P59" s="499" t="str">
        <f>IF(O59="","",IF(VLOOKUP(O59,'G-7 Rivers Data'!$AD$4:$AE$8,2,FALSE)=0,"Spatial Data Missing ⚠",VLOOKUP(O59,'G-7 Rivers Data'!$AD$4:$AE$8,2,FALSE)))</f>
        <v/>
      </c>
      <c r="Q59" s="506" t="str">
        <f>IF(D59="","",VLOOKUP(D59,'G-7 Rivers Data'!$B$2:$G$8,6,FALSE))</f>
        <v/>
      </c>
      <c r="R59" s="513" t="str">
        <f t="shared" si="0"/>
        <v/>
      </c>
      <c r="S59" s="40"/>
      <c r="T59" s="145"/>
      <c r="U59" s="157"/>
      <c r="V59" s="511" t="str">
        <f t="shared" si="1"/>
        <v/>
      </c>
      <c r="W59" s="511" t="str">
        <f t="shared" si="2"/>
        <v/>
      </c>
      <c r="X59" s="511" t="str">
        <f t="shared" si="3"/>
        <v/>
      </c>
      <c r="Y59" s="515" t="str">
        <f t="shared" si="4"/>
        <v/>
      </c>
      <c r="Z59" s="151"/>
      <c r="AA59" s="152"/>
      <c r="AG59" s="31">
        <f t="shared" si="5"/>
        <v>0</v>
      </c>
      <c r="AH59" s="156" t="str">
        <f t="shared" si="6"/>
        <v/>
      </c>
      <c r="AI59" s="156" t="str">
        <f t="shared" si="7"/>
        <v/>
      </c>
      <c r="AK59" s="156">
        <v>50</v>
      </c>
      <c r="AM59" s="156" t="str">
        <f t="array" ref="AM59">IFERROR(INDEX($AK$10:$AK$258, MATCH(0, IF(TRUE=$AH$10:$AH$258, COUNTIF($AM$9:$AM58, $AK$10:$AK$258), ""), 0)),"")</f>
        <v/>
      </c>
      <c r="AN59" s="156" t="str">
        <f t="array" ref="AN59">IFERROR(INDEX($AK$10:$AK$258, MATCH(0, IF(TRUE=$AI$10:$AI$258, COUNTIF($AN$9:$AN58, $AK$10:$AK$258), ""), 0)),"")</f>
        <v/>
      </c>
      <c r="AP59" s="31" t="str">
        <f>IFERROR(INDEX('G-7 Rivers Data'!$AZ$3:$AZ$7,MATCH(D59,'G-7 Rivers Data'!$AY$3:$AY$7,0)),"")</f>
        <v/>
      </c>
    </row>
    <row r="60" spans="3:42" ht="14" x14ac:dyDescent="0.3">
      <c r="C60" s="141">
        <v>51</v>
      </c>
      <c r="D60" s="460"/>
      <c r="E60" s="172"/>
      <c r="F60" s="498" t="str">
        <f>IF(D60="","",VLOOKUP(D60,'G-7 Rivers Data'!$B$2:$G$8,2,FALSE))</f>
        <v/>
      </c>
      <c r="G60" s="499" t="str">
        <f>IFERROR(VLOOKUP(F60,'G-7 Rivers Data'!$C$4:$D$8,2,FALSE),"")</f>
        <v/>
      </c>
      <c r="H60" s="145"/>
      <c r="I60" s="499" t="str">
        <f>IFERROR(INDEX('G-7 Rivers Data'!$H$4:$L$8,MATCH(D60,'G-7 Rivers Data'!$B$4:$B$8,0),MATCH(H60,'G-7 Rivers Data'!$H$3:$L$3,0)),"")</f>
        <v/>
      </c>
      <c r="J60" s="418"/>
      <c r="K60" s="498" t="str">
        <f>IF(J60="","",IF(VLOOKUP(J60,'G-7 Rivers Data'!$AK$4:$AM$9,2,FALSE)=0,"Spatial Data Missing ⚠",VLOOKUP(J60,'G-7 Rivers Data'!$AK$4:$AM$9,2,FALSE)))</f>
        <v/>
      </c>
      <c r="L60" s="505" t="str">
        <f>IF(J60="","",IF(VLOOKUP(J60,'G-7 Rivers Data'!$AK$4:$AM$9,3,FALSE)=0,"Spatial Data Missing ⚠",VLOOKUP(J60,'G-7 Rivers Data'!$AK$4:$AM$9,3,FALSE)))</f>
        <v/>
      </c>
      <c r="M60" s="71"/>
      <c r="N60" s="499" t="str">
        <f>IF(M60="","",IF(VLOOKUP(M60,'G-7 Rivers Data'!$AA$4:$AB$7,2,FALSE)=0,"Spatial Data Missing ⚠",VLOOKUP(M60,'G-7 Rivers Data'!$AA$4:$AB$7,2,FALSE)))</f>
        <v/>
      </c>
      <c r="O60" s="155"/>
      <c r="P60" s="499" t="str">
        <f>IF(O60="","",IF(VLOOKUP(O60,'G-7 Rivers Data'!$AD$4:$AE$8,2,FALSE)=0,"Spatial Data Missing ⚠",VLOOKUP(O60,'G-7 Rivers Data'!$AD$4:$AE$8,2,FALSE)))</f>
        <v/>
      </c>
      <c r="Q60" s="506" t="str">
        <f>IF(D60="","",VLOOKUP(D60,'G-7 Rivers Data'!$B$2:$G$8,6,FALSE))</f>
        <v/>
      </c>
      <c r="R60" s="513" t="str">
        <f t="shared" si="0"/>
        <v/>
      </c>
      <c r="S60" s="40"/>
      <c r="T60" s="145"/>
      <c r="U60" s="157"/>
      <c r="V60" s="511" t="str">
        <f t="shared" si="1"/>
        <v/>
      </c>
      <c r="W60" s="511" t="str">
        <f t="shared" si="2"/>
        <v/>
      </c>
      <c r="X60" s="511" t="str">
        <f t="shared" si="3"/>
        <v/>
      </c>
      <c r="Y60" s="515" t="str">
        <f t="shared" si="4"/>
        <v/>
      </c>
      <c r="Z60" s="151"/>
      <c r="AA60" s="152"/>
      <c r="AG60" s="31">
        <f t="shared" si="5"/>
        <v>0</v>
      </c>
      <c r="AH60" s="156" t="str">
        <f t="shared" si="6"/>
        <v/>
      </c>
      <c r="AI60" s="156" t="str">
        <f t="shared" si="7"/>
        <v/>
      </c>
      <c r="AK60" s="156">
        <v>51</v>
      </c>
      <c r="AM60" s="156" t="str">
        <f t="array" ref="AM60">IFERROR(INDEX($AK$10:$AK$258, MATCH(0, IF(TRUE=$AH$10:$AH$258, COUNTIF($AM$9:$AM59, $AK$10:$AK$258), ""), 0)),"")</f>
        <v/>
      </c>
      <c r="AN60" s="156" t="str">
        <f t="array" ref="AN60">IFERROR(INDEX($AK$10:$AK$258, MATCH(0, IF(TRUE=$AI$10:$AI$258, COUNTIF($AN$9:$AN59, $AK$10:$AK$258), ""), 0)),"")</f>
        <v/>
      </c>
      <c r="AP60" s="31" t="str">
        <f>IFERROR(INDEX('G-7 Rivers Data'!$AZ$3:$AZ$7,MATCH(D60,'G-7 Rivers Data'!$AY$3:$AY$7,0)),"")</f>
        <v/>
      </c>
    </row>
    <row r="61" spans="3:42" ht="14" x14ac:dyDescent="0.3">
      <c r="C61" s="141">
        <v>52</v>
      </c>
      <c r="D61" s="460"/>
      <c r="E61" s="172"/>
      <c r="F61" s="498" t="str">
        <f>IF(D61="","",VLOOKUP(D61,'G-7 Rivers Data'!$B$2:$G$8,2,FALSE))</f>
        <v/>
      </c>
      <c r="G61" s="499" t="str">
        <f>IFERROR(VLOOKUP(F61,'G-7 Rivers Data'!$C$4:$D$8,2,FALSE),"")</f>
        <v/>
      </c>
      <c r="H61" s="145"/>
      <c r="I61" s="499" t="str">
        <f>IFERROR(INDEX('G-7 Rivers Data'!$H$4:$L$8,MATCH(D61,'G-7 Rivers Data'!$B$4:$B$8,0),MATCH(H61,'G-7 Rivers Data'!$H$3:$L$3,0)),"")</f>
        <v/>
      </c>
      <c r="J61" s="418"/>
      <c r="K61" s="498" t="str">
        <f>IF(J61="","",IF(VLOOKUP(J61,'G-7 Rivers Data'!$AK$4:$AM$9,2,FALSE)=0,"Spatial Data Missing ⚠",VLOOKUP(J61,'G-7 Rivers Data'!$AK$4:$AM$9,2,FALSE)))</f>
        <v/>
      </c>
      <c r="L61" s="505" t="str">
        <f>IF(J61="","",IF(VLOOKUP(J61,'G-7 Rivers Data'!$AK$4:$AM$9,3,FALSE)=0,"Spatial Data Missing ⚠",VLOOKUP(J61,'G-7 Rivers Data'!$AK$4:$AM$9,3,FALSE)))</f>
        <v/>
      </c>
      <c r="M61" s="71"/>
      <c r="N61" s="499" t="str">
        <f>IF(M61="","",IF(VLOOKUP(M61,'G-7 Rivers Data'!$AA$4:$AB$7,2,FALSE)=0,"Spatial Data Missing ⚠",VLOOKUP(M61,'G-7 Rivers Data'!$AA$4:$AB$7,2,FALSE)))</f>
        <v/>
      </c>
      <c r="O61" s="155"/>
      <c r="P61" s="499" t="str">
        <f>IF(O61="","",IF(VLOOKUP(O61,'G-7 Rivers Data'!$AD$4:$AE$8,2,FALSE)=0,"Spatial Data Missing ⚠",VLOOKUP(O61,'G-7 Rivers Data'!$AD$4:$AE$8,2,FALSE)))</f>
        <v/>
      </c>
      <c r="Q61" s="506" t="str">
        <f>IF(D61="","",VLOOKUP(D61,'G-7 Rivers Data'!$B$2:$G$8,6,FALSE))</f>
        <v/>
      </c>
      <c r="R61" s="513" t="str">
        <f t="shared" si="0"/>
        <v/>
      </c>
      <c r="S61" s="40"/>
      <c r="T61" s="145"/>
      <c r="U61" s="157"/>
      <c r="V61" s="511" t="str">
        <f t="shared" si="1"/>
        <v/>
      </c>
      <c r="W61" s="511" t="str">
        <f t="shared" si="2"/>
        <v/>
      </c>
      <c r="X61" s="511" t="str">
        <f t="shared" si="3"/>
        <v/>
      </c>
      <c r="Y61" s="515" t="str">
        <f t="shared" si="4"/>
        <v/>
      </c>
      <c r="Z61" s="151"/>
      <c r="AA61" s="152"/>
      <c r="AG61" s="31">
        <f t="shared" si="5"/>
        <v>0</v>
      </c>
      <c r="AH61" s="156" t="str">
        <f t="shared" si="6"/>
        <v/>
      </c>
      <c r="AI61" s="156" t="str">
        <f t="shared" si="7"/>
        <v/>
      </c>
      <c r="AK61" s="156">
        <v>52</v>
      </c>
      <c r="AM61" s="156" t="str">
        <f t="array" ref="AM61">IFERROR(INDEX($AK$10:$AK$258, MATCH(0, IF(TRUE=$AH$10:$AH$258, COUNTIF($AM$9:$AM60, $AK$10:$AK$258), ""), 0)),"")</f>
        <v/>
      </c>
      <c r="AN61" s="156" t="str">
        <f t="array" ref="AN61">IFERROR(INDEX($AK$10:$AK$258, MATCH(0, IF(TRUE=$AI$10:$AI$258, COUNTIF($AN$9:$AN60, $AK$10:$AK$258), ""), 0)),"")</f>
        <v/>
      </c>
      <c r="AP61" s="31" t="str">
        <f>IFERROR(INDEX('G-7 Rivers Data'!$AZ$3:$AZ$7,MATCH(D61,'G-7 Rivers Data'!$AY$3:$AY$7,0)),"")</f>
        <v/>
      </c>
    </row>
    <row r="62" spans="3:42" ht="14" x14ac:dyDescent="0.3">
      <c r="C62" s="141">
        <v>53</v>
      </c>
      <c r="D62" s="460"/>
      <c r="E62" s="172"/>
      <c r="F62" s="498" t="str">
        <f>IF(D62="","",VLOOKUP(D62,'G-7 Rivers Data'!$B$2:$G$8,2,FALSE))</f>
        <v/>
      </c>
      <c r="G62" s="499" t="str">
        <f>IFERROR(VLOOKUP(F62,'G-7 Rivers Data'!$C$4:$D$8,2,FALSE),"")</f>
        <v/>
      </c>
      <c r="H62" s="145"/>
      <c r="I62" s="499" t="str">
        <f>IFERROR(INDEX('G-7 Rivers Data'!$H$4:$L$8,MATCH(D62,'G-7 Rivers Data'!$B$4:$B$8,0),MATCH(H62,'G-7 Rivers Data'!$H$3:$L$3,0)),"")</f>
        <v/>
      </c>
      <c r="J62" s="418"/>
      <c r="K62" s="498" t="str">
        <f>IF(J62="","",IF(VLOOKUP(J62,'G-7 Rivers Data'!$AK$4:$AM$9,2,FALSE)=0,"Spatial Data Missing ⚠",VLOOKUP(J62,'G-7 Rivers Data'!$AK$4:$AM$9,2,FALSE)))</f>
        <v/>
      </c>
      <c r="L62" s="505" t="str">
        <f>IF(J62="","",IF(VLOOKUP(J62,'G-7 Rivers Data'!$AK$4:$AM$9,3,FALSE)=0,"Spatial Data Missing ⚠",VLOOKUP(J62,'G-7 Rivers Data'!$AK$4:$AM$9,3,FALSE)))</f>
        <v/>
      </c>
      <c r="M62" s="71"/>
      <c r="N62" s="499" t="str">
        <f>IF(M62="","",IF(VLOOKUP(M62,'G-7 Rivers Data'!$AA$4:$AB$7,2,FALSE)=0,"Spatial Data Missing ⚠",VLOOKUP(M62,'G-7 Rivers Data'!$AA$4:$AB$7,2,FALSE)))</f>
        <v/>
      </c>
      <c r="O62" s="155"/>
      <c r="P62" s="499" t="str">
        <f>IF(O62="","",IF(VLOOKUP(O62,'G-7 Rivers Data'!$AD$4:$AE$8,2,FALSE)=0,"Spatial Data Missing ⚠",VLOOKUP(O62,'G-7 Rivers Data'!$AD$4:$AE$8,2,FALSE)))</f>
        <v/>
      </c>
      <c r="Q62" s="506" t="str">
        <f>IF(D62="","",VLOOKUP(D62,'G-7 Rivers Data'!$B$2:$G$8,6,FALSE))</f>
        <v/>
      </c>
      <c r="R62" s="513" t="str">
        <f t="shared" si="0"/>
        <v/>
      </c>
      <c r="S62" s="40"/>
      <c r="T62" s="145"/>
      <c r="U62" s="157"/>
      <c r="V62" s="511" t="str">
        <f t="shared" si="1"/>
        <v/>
      </c>
      <c r="W62" s="511" t="str">
        <f t="shared" si="2"/>
        <v/>
      </c>
      <c r="X62" s="511" t="str">
        <f t="shared" si="3"/>
        <v/>
      </c>
      <c r="Y62" s="515" t="str">
        <f t="shared" si="4"/>
        <v/>
      </c>
      <c r="Z62" s="151"/>
      <c r="AA62" s="152"/>
      <c r="AG62" s="31">
        <f t="shared" si="5"/>
        <v>0</v>
      </c>
      <c r="AH62" s="156" t="str">
        <f t="shared" si="6"/>
        <v/>
      </c>
      <c r="AI62" s="156" t="str">
        <f t="shared" si="7"/>
        <v/>
      </c>
      <c r="AK62" s="156">
        <v>53</v>
      </c>
      <c r="AM62" s="156" t="str">
        <f t="array" ref="AM62">IFERROR(INDEX($AK$10:$AK$258, MATCH(0, IF(TRUE=$AH$10:$AH$258, COUNTIF($AM$9:$AM61, $AK$10:$AK$258), ""), 0)),"")</f>
        <v/>
      </c>
      <c r="AN62" s="156" t="str">
        <f t="array" ref="AN62">IFERROR(INDEX($AK$10:$AK$258, MATCH(0, IF(TRUE=$AI$10:$AI$258, COUNTIF($AN$9:$AN61, $AK$10:$AK$258), ""), 0)),"")</f>
        <v/>
      </c>
      <c r="AP62" s="31" t="str">
        <f>IFERROR(INDEX('G-7 Rivers Data'!$AZ$3:$AZ$7,MATCH(D62,'G-7 Rivers Data'!$AY$3:$AY$7,0)),"")</f>
        <v/>
      </c>
    </row>
    <row r="63" spans="3:42" ht="14" x14ac:dyDescent="0.3">
      <c r="C63" s="141">
        <v>54</v>
      </c>
      <c r="D63" s="460"/>
      <c r="E63" s="172"/>
      <c r="F63" s="498" t="str">
        <f>IF(D63="","",VLOOKUP(D63,'G-7 Rivers Data'!$B$2:$G$8,2,FALSE))</f>
        <v/>
      </c>
      <c r="G63" s="499" t="str">
        <f>IFERROR(VLOOKUP(F63,'G-7 Rivers Data'!$C$4:$D$8,2,FALSE),"")</f>
        <v/>
      </c>
      <c r="H63" s="145"/>
      <c r="I63" s="499" t="str">
        <f>IFERROR(INDEX('G-7 Rivers Data'!$H$4:$L$8,MATCH(D63,'G-7 Rivers Data'!$B$4:$B$8,0),MATCH(H63,'G-7 Rivers Data'!$H$3:$L$3,0)),"")</f>
        <v/>
      </c>
      <c r="J63" s="418"/>
      <c r="K63" s="498" t="str">
        <f>IF(J63="","",IF(VLOOKUP(J63,'G-7 Rivers Data'!$AK$4:$AM$9,2,FALSE)=0,"Spatial Data Missing ⚠",VLOOKUP(J63,'G-7 Rivers Data'!$AK$4:$AM$9,2,FALSE)))</f>
        <v/>
      </c>
      <c r="L63" s="505" t="str">
        <f>IF(J63="","",IF(VLOOKUP(J63,'G-7 Rivers Data'!$AK$4:$AM$9,3,FALSE)=0,"Spatial Data Missing ⚠",VLOOKUP(J63,'G-7 Rivers Data'!$AK$4:$AM$9,3,FALSE)))</f>
        <v/>
      </c>
      <c r="M63" s="71"/>
      <c r="N63" s="499" t="str">
        <f>IF(M63="","",IF(VLOOKUP(M63,'G-7 Rivers Data'!$AA$4:$AB$7,2,FALSE)=0,"Spatial Data Missing ⚠",VLOOKUP(M63,'G-7 Rivers Data'!$AA$4:$AB$7,2,FALSE)))</f>
        <v/>
      </c>
      <c r="O63" s="155"/>
      <c r="P63" s="499" t="str">
        <f>IF(O63="","",IF(VLOOKUP(O63,'G-7 Rivers Data'!$AD$4:$AE$8,2,FALSE)=0,"Spatial Data Missing ⚠",VLOOKUP(O63,'G-7 Rivers Data'!$AD$4:$AE$8,2,FALSE)))</f>
        <v/>
      </c>
      <c r="Q63" s="506" t="str">
        <f>IF(D63="","",VLOOKUP(D63,'G-7 Rivers Data'!$B$2:$G$8,6,FALSE))</f>
        <v/>
      </c>
      <c r="R63" s="513" t="str">
        <f t="shared" si="0"/>
        <v/>
      </c>
      <c r="S63" s="40"/>
      <c r="T63" s="145"/>
      <c r="U63" s="157"/>
      <c r="V63" s="511" t="str">
        <f t="shared" si="1"/>
        <v/>
      </c>
      <c r="W63" s="511" t="str">
        <f t="shared" si="2"/>
        <v/>
      </c>
      <c r="X63" s="511" t="str">
        <f t="shared" si="3"/>
        <v/>
      </c>
      <c r="Y63" s="515" t="str">
        <f t="shared" si="4"/>
        <v/>
      </c>
      <c r="Z63" s="151"/>
      <c r="AA63" s="152"/>
      <c r="AG63" s="31">
        <f t="shared" si="5"/>
        <v>0</v>
      </c>
      <c r="AH63" s="156" t="str">
        <f t="shared" si="6"/>
        <v/>
      </c>
      <c r="AI63" s="156" t="str">
        <f t="shared" si="7"/>
        <v/>
      </c>
      <c r="AK63" s="156">
        <v>54</v>
      </c>
      <c r="AM63" s="156" t="str">
        <f t="array" ref="AM63">IFERROR(INDEX($AK$10:$AK$258, MATCH(0, IF(TRUE=$AH$10:$AH$258, COUNTIF($AM$9:$AM62, $AK$10:$AK$258), ""), 0)),"")</f>
        <v/>
      </c>
      <c r="AN63" s="156" t="str">
        <f t="array" ref="AN63">IFERROR(INDEX($AK$10:$AK$258, MATCH(0, IF(TRUE=$AI$10:$AI$258, COUNTIF($AN$9:$AN62, $AK$10:$AK$258), ""), 0)),"")</f>
        <v/>
      </c>
      <c r="AP63" s="31" t="str">
        <f>IFERROR(INDEX('G-7 Rivers Data'!$AZ$3:$AZ$7,MATCH(D63,'G-7 Rivers Data'!$AY$3:$AY$7,0)),"")</f>
        <v/>
      </c>
    </row>
    <row r="64" spans="3:42" ht="14" x14ac:dyDescent="0.3">
      <c r="C64" s="141">
        <v>55</v>
      </c>
      <c r="D64" s="460"/>
      <c r="E64" s="172"/>
      <c r="F64" s="498" t="str">
        <f>IF(D64="","",VLOOKUP(D64,'G-7 Rivers Data'!$B$2:$G$8,2,FALSE))</f>
        <v/>
      </c>
      <c r="G64" s="499" t="str">
        <f>IFERROR(VLOOKUP(F64,'G-7 Rivers Data'!$C$4:$D$8,2,FALSE),"")</f>
        <v/>
      </c>
      <c r="H64" s="145"/>
      <c r="I64" s="499" t="str">
        <f>IFERROR(INDEX('G-7 Rivers Data'!$H$4:$L$8,MATCH(D64,'G-7 Rivers Data'!$B$4:$B$8,0),MATCH(H64,'G-7 Rivers Data'!$H$3:$L$3,0)),"")</f>
        <v/>
      </c>
      <c r="J64" s="418"/>
      <c r="K64" s="498" t="str">
        <f>IF(J64="","",IF(VLOOKUP(J64,'G-7 Rivers Data'!$AK$4:$AM$9,2,FALSE)=0,"Spatial Data Missing ⚠",VLOOKUP(J64,'G-7 Rivers Data'!$AK$4:$AM$9,2,FALSE)))</f>
        <v/>
      </c>
      <c r="L64" s="505" t="str">
        <f>IF(J64="","",IF(VLOOKUP(J64,'G-7 Rivers Data'!$AK$4:$AM$9,3,FALSE)=0,"Spatial Data Missing ⚠",VLOOKUP(J64,'G-7 Rivers Data'!$AK$4:$AM$9,3,FALSE)))</f>
        <v/>
      </c>
      <c r="M64" s="71"/>
      <c r="N64" s="499" t="str">
        <f>IF(M64="","",IF(VLOOKUP(M64,'G-7 Rivers Data'!$AA$4:$AB$7,2,FALSE)=0,"Spatial Data Missing ⚠",VLOOKUP(M64,'G-7 Rivers Data'!$AA$4:$AB$7,2,FALSE)))</f>
        <v/>
      </c>
      <c r="O64" s="155"/>
      <c r="P64" s="499" t="str">
        <f>IF(O64="","",IF(VLOOKUP(O64,'G-7 Rivers Data'!$AD$4:$AE$8,2,FALSE)=0,"Spatial Data Missing ⚠",VLOOKUP(O64,'G-7 Rivers Data'!$AD$4:$AE$8,2,FALSE)))</f>
        <v/>
      </c>
      <c r="Q64" s="506" t="str">
        <f>IF(D64="","",VLOOKUP(D64,'G-7 Rivers Data'!$B$2:$G$8,6,FALSE))</f>
        <v/>
      </c>
      <c r="R64" s="513" t="str">
        <f t="shared" si="0"/>
        <v/>
      </c>
      <c r="S64" s="40"/>
      <c r="T64" s="145"/>
      <c r="U64" s="157"/>
      <c r="V64" s="511" t="str">
        <f t="shared" si="1"/>
        <v/>
      </c>
      <c r="W64" s="511" t="str">
        <f t="shared" si="2"/>
        <v/>
      </c>
      <c r="X64" s="511" t="str">
        <f t="shared" si="3"/>
        <v/>
      </c>
      <c r="Y64" s="515" t="str">
        <f t="shared" si="4"/>
        <v/>
      </c>
      <c r="Z64" s="151"/>
      <c r="AA64" s="152"/>
      <c r="AG64" s="31">
        <f t="shared" si="5"/>
        <v>0</v>
      </c>
      <c r="AH64" s="156" t="str">
        <f t="shared" si="6"/>
        <v/>
      </c>
      <c r="AI64" s="156" t="str">
        <f t="shared" si="7"/>
        <v/>
      </c>
      <c r="AK64" s="156">
        <v>55</v>
      </c>
      <c r="AM64" s="156" t="str">
        <f t="array" ref="AM64">IFERROR(INDEX($AK$10:$AK$258, MATCH(0, IF(TRUE=$AH$10:$AH$258, COUNTIF($AM$9:$AM63, $AK$10:$AK$258), ""), 0)),"")</f>
        <v/>
      </c>
      <c r="AN64" s="156" t="str">
        <f t="array" ref="AN64">IFERROR(INDEX($AK$10:$AK$258, MATCH(0, IF(TRUE=$AI$10:$AI$258, COUNTIF($AN$9:$AN63, $AK$10:$AK$258), ""), 0)),"")</f>
        <v/>
      </c>
      <c r="AP64" s="31" t="str">
        <f>IFERROR(INDEX('G-7 Rivers Data'!$AZ$3:$AZ$7,MATCH(D64,'G-7 Rivers Data'!$AY$3:$AY$7,0)),"")</f>
        <v/>
      </c>
    </row>
    <row r="65" spans="3:42" ht="14" x14ac:dyDescent="0.3">
      <c r="C65" s="141">
        <v>56</v>
      </c>
      <c r="D65" s="460"/>
      <c r="E65" s="172"/>
      <c r="F65" s="498" t="str">
        <f>IF(D65="","",VLOOKUP(D65,'G-7 Rivers Data'!$B$2:$G$8,2,FALSE))</f>
        <v/>
      </c>
      <c r="G65" s="499" t="str">
        <f>IFERROR(VLOOKUP(F65,'G-7 Rivers Data'!$C$4:$D$8,2,FALSE),"")</f>
        <v/>
      </c>
      <c r="H65" s="145"/>
      <c r="I65" s="499" t="str">
        <f>IFERROR(INDEX('G-7 Rivers Data'!$H$4:$L$8,MATCH(D65,'G-7 Rivers Data'!$B$4:$B$8,0),MATCH(H65,'G-7 Rivers Data'!$H$3:$L$3,0)),"")</f>
        <v/>
      </c>
      <c r="J65" s="418"/>
      <c r="K65" s="498" t="str">
        <f>IF(J65="","",IF(VLOOKUP(J65,'G-7 Rivers Data'!$AK$4:$AM$9,2,FALSE)=0,"Spatial Data Missing ⚠",VLOOKUP(J65,'G-7 Rivers Data'!$AK$4:$AM$9,2,FALSE)))</f>
        <v/>
      </c>
      <c r="L65" s="505" t="str">
        <f>IF(J65="","",IF(VLOOKUP(J65,'G-7 Rivers Data'!$AK$4:$AM$9,3,FALSE)=0,"Spatial Data Missing ⚠",VLOOKUP(J65,'G-7 Rivers Data'!$AK$4:$AM$9,3,FALSE)))</f>
        <v/>
      </c>
      <c r="M65" s="71"/>
      <c r="N65" s="499" t="str">
        <f>IF(M65="","",IF(VLOOKUP(M65,'G-7 Rivers Data'!$AA$4:$AB$7,2,FALSE)=0,"Spatial Data Missing ⚠",VLOOKUP(M65,'G-7 Rivers Data'!$AA$4:$AB$7,2,FALSE)))</f>
        <v/>
      </c>
      <c r="O65" s="155"/>
      <c r="P65" s="499" t="str">
        <f>IF(O65="","",IF(VLOOKUP(O65,'G-7 Rivers Data'!$AD$4:$AE$8,2,FALSE)=0,"Spatial Data Missing ⚠",VLOOKUP(O65,'G-7 Rivers Data'!$AD$4:$AE$8,2,FALSE)))</f>
        <v/>
      </c>
      <c r="Q65" s="506" t="str">
        <f>IF(D65="","",VLOOKUP(D65,'G-7 Rivers Data'!$B$2:$G$8,6,FALSE))</f>
        <v/>
      </c>
      <c r="R65" s="513" t="str">
        <f t="shared" si="0"/>
        <v/>
      </c>
      <c r="S65" s="40"/>
      <c r="T65" s="145"/>
      <c r="U65" s="157"/>
      <c r="V65" s="511" t="str">
        <f t="shared" si="1"/>
        <v/>
      </c>
      <c r="W65" s="511" t="str">
        <f t="shared" si="2"/>
        <v/>
      </c>
      <c r="X65" s="511" t="str">
        <f t="shared" si="3"/>
        <v/>
      </c>
      <c r="Y65" s="515" t="str">
        <f t="shared" si="4"/>
        <v/>
      </c>
      <c r="Z65" s="151"/>
      <c r="AA65" s="152"/>
      <c r="AG65" s="31">
        <f t="shared" si="5"/>
        <v>0</v>
      </c>
      <c r="AH65" s="156" t="str">
        <f t="shared" si="6"/>
        <v/>
      </c>
      <c r="AI65" s="156" t="str">
        <f t="shared" si="7"/>
        <v/>
      </c>
      <c r="AK65" s="156">
        <v>56</v>
      </c>
      <c r="AM65" s="156" t="str">
        <f t="array" ref="AM65">IFERROR(INDEX($AK$10:$AK$258, MATCH(0, IF(TRUE=$AH$10:$AH$258, COUNTIF($AM$9:$AM64, $AK$10:$AK$258), ""), 0)),"")</f>
        <v/>
      </c>
      <c r="AN65" s="156" t="str">
        <f t="array" ref="AN65">IFERROR(INDEX($AK$10:$AK$258, MATCH(0, IF(TRUE=$AI$10:$AI$258, COUNTIF($AN$9:$AN64, $AK$10:$AK$258), ""), 0)),"")</f>
        <v/>
      </c>
      <c r="AP65" s="31" t="str">
        <f>IFERROR(INDEX('G-7 Rivers Data'!$AZ$3:$AZ$7,MATCH(D65,'G-7 Rivers Data'!$AY$3:$AY$7,0)),"")</f>
        <v/>
      </c>
    </row>
    <row r="66" spans="3:42" ht="14" x14ac:dyDescent="0.3">
      <c r="C66" s="141">
        <v>57</v>
      </c>
      <c r="D66" s="460"/>
      <c r="E66" s="172"/>
      <c r="F66" s="498" t="str">
        <f>IF(D66="","",VLOOKUP(D66,'G-7 Rivers Data'!$B$2:$G$8,2,FALSE))</f>
        <v/>
      </c>
      <c r="G66" s="499" t="str">
        <f>IFERROR(VLOOKUP(F66,'G-7 Rivers Data'!$C$4:$D$8,2,FALSE),"")</f>
        <v/>
      </c>
      <c r="H66" s="145"/>
      <c r="I66" s="499" t="str">
        <f>IFERROR(INDEX('G-7 Rivers Data'!$H$4:$L$8,MATCH(D66,'G-7 Rivers Data'!$B$4:$B$8,0),MATCH(H66,'G-7 Rivers Data'!$H$3:$L$3,0)),"")</f>
        <v/>
      </c>
      <c r="J66" s="418"/>
      <c r="K66" s="498" t="str">
        <f>IF(J66="","",IF(VLOOKUP(J66,'G-7 Rivers Data'!$AK$4:$AM$9,2,FALSE)=0,"Spatial Data Missing ⚠",VLOOKUP(J66,'G-7 Rivers Data'!$AK$4:$AM$9,2,FALSE)))</f>
        <v/>
      </c>
      <c r="L66" s="505" t="str">
        <f>IF(J66="","",IF(VLOOKUP(J66,'G-7 Rivers Data'!$AK$4:$AM$9,3,FALSE)=0,"Spatial Data Missing ⚠",VLOOKUP(J66,'G-7 Rivers Data'!$AK$4:$AM$9,3,FALSE)))</f>
        <v/>
      </c>
      <c r="M66" s="71"/>
      <c r="N66" s="499" t="str">
        <f>IF(M66="","",IF(VLOOKUP(M66,'G-7 Rivers Data'!$AA$4:$AB$7,2,FALSE)=0,"Spatial Data Missing ⚠",VLOOKUP(M66,'G-7 Rivers Data'!$AA$4:$AB$7,2,FALSE)))</f>
        <v/>
      </c>
      <c r="O66" s="155"/>
      <c r="P66" s="499" t="str">
        <f>IF(O66="","",IF(VLOOKUP(O66,'G-7 Rivers Data'!$AD$4:$AE$8,2,FALSE)=0,"Spatial Data Missing ⚠",VLOOKUP(O66,'G-7 Rivers Data'!$AD$4:$AE$8,2,FALSE)))</f>
        <v/>
      </c>
      <c r="Q66" s="506" t="str">
        <f>IF(D66="","",VLOOKUP(D66,'G-7 Rivers Data'!$B$2:$G$8,6,FALSE))</f>
        <v/>
      </c>
      <c r="R66" s="513" t="str">
        <f t="shared" si="0"/>
        <v/>
      </c>
      <c r="S66" s="40"/>
      <c r="T66" s="145"/>
      <c r="U66" s="157"/>
      <c r="V66" s="511" t="str">
        <f t="shared" si="1"/>
        <v/>
      </c>
      <c r="W66" s="511" t="str">
        <f t="shared" si="2"/>
        <v/>
      </c>
      <c r="X66" s="511" t="str">
        <f t="shared" si="3"/>
        <v/>
      </c>
      <c r="Y66" s="515" t="str">
        <f t="shared" si="4"/>
        <v/>
      </c>
      <c r="Z66" s="151"/>
      <c r="AA66" s="152"/>
      <c r="AG66" s="31">
        <f t="shared" si="5"/>
        <v>0</v>
      </c>
      <c r="AH66" s="156" t="str">
        <f t="shared" si="6"/>
        <v/>
      </c>
      <c r="AI66" s="156" t="str">
        <f t="shared" si="7"/>
        <v/>
      </c>
      <c r="AK66" s="156">
        <v>57</v>
      </c>
      <c r="AM66" s="156" t="str">
        <f t="array" ref="AM66">IFERROR(INDEX($AK$10:$AK$258, MATCH(0, IF(TRUE=$AH$10:$AH$258, COUNTIF($AM$9:$AM65, $AK$10:$AK$258), ""), 0)),"")</f>
        <v/>
      </c>
      <c r="AN66" s="156" t="str">
        <f t="array" ref="AN66">IFERROR(INDEX($AK$10:$AK$258, MATCH(0, IF(TRUE=$AI$10:$AI$258, COUNTIF($AN$9:$AN65, $AK$10:$AK$258), ""), 0)),"")</f>
        <v/>
      </c>
      <c r="AP66" s="31" t="str">
        <f>IFERROR(INDEX('G-7 Rivers Data'!$AZ$3:$AZ$7,MATCH(D66,'G-7 Rivers Data'!$AY$3:$AY$7,0)),"")</f>
        <v/>
      </c>
    </row>
    <row r="67" spans="3:42" ht="14" x14ac:dyDescent="0.3">
      <c r="C67" s="141">
        <v>58</v>
      </c>
      <c r="D67" s="460"/>
      <c r="E67" s="172"/>
      <c r="F67" s="498" t="str">
        <f>IF(D67="","",VLOOKUP(D67,'G-7 Rivers Data'!$B$2:$G$8,2,FALSE))</f>
        <v/>
      </c>
      <c r="G67" s="499" t="str">
        <f>IFERROR(VLOOKUP(F67,'G-7 Rivers Data'!$C$4:$D$8,2,FALSE),"")</f>
        <v/>
      </c>
      <c r="H67" s="145"/>
      <c r="I67" s="499" t="str">
        <f>IFERROR(INDEX('G-7 Rivers Data'!$H$4:$L$8,MATCH(D67,'G-7 Rivers Data'!$B$4:$B$8,0),MATCH(H67,'G-7 Rivers Data'!$H$3:$L$3,0)),"")</f>
        <v/>
      </c>
      <c r="J67" s="418"/>
      <c r="K67" s="498" t="str">
        <f>IF(J67="","",IF(VLOOKUP(J67,'G-7 Rivers Data'!$AK$4:$AM$9,2,FALSE)=0,"Spatial Data Missing ⚠",VLOOKUP(J67,'G-7 Rivers Data'!$AK$4:$AM$9,2,FALSE)))</f>
        <v/>
      </c>
      <c r="L67" s="505" t="str">
        <f>IF(J67="","",IF(VLOOKUP(J67,'G-7 Rivers Data'!$AK$4:$AM$9,3,FALSE)=0,"Spatial Data Missing ⚠",VLOOKUP(J67,'G-7 Rivers Data'!$AK$4:$AM$9,3,FALSE)))</f>
        <v/>
      </c>
      <c r="M67" s="71"/>
      <c r="N67" s="499" t="str">
        <f>IF(M67="","",IF(VLOOKUP(M67,'G-7 Rivers Data'!$AA$4:$AB$7,2,FALSE)=0,"Spatial Data Missing ⚠",VLOOKUP(M67,'G-7 Rivers Data'!$AA$4:$AB$7,2,FALSE)))</f>
        <v/>
      </c>
      <c r="O67" s="155"/>
      <c r="P67" s="499" t="str">
        <f>IF(O67="","",IF(VLOOKUP(O67,'G-7 Rivers Data'!$AD$4:$AE$8,2,FALSE)=0,"Spatial Data Missing ⚠",VLOOKUP(O67,'G-7 Rivers Data'!$AD$4:$AE$8,2,FALSE)))</f>
        <v/>
      </c>
      <c r="Q67" s="506" t="str">
        <f>IF(D67="","",VLOOKUP(D67,'G-7 Rivers Data'!$B$2:$G$8,6,FALSE))</f>
        <v/>
      </c>
      <c r="R67" s="513" t="str">
        <f t="shared" si="0"/>
        <v/>
      </c>
      <c r="S67" s="40"/>
      <c r="T67" s="145"/>
      <c r="U67" s="157"/>
      <c r="V67" s="511" t="str">
        <f t="shared" si="1"/>
        <v/>
      </c>
      <c r="W67" s="511" t="str">
        <f t="shared" si="2"/>
        <v/>
      </c>
      <c r="X67" s="511" t="str">
        <f t="shared" si="3"/>
        <v/>
      </c>
      <c r="Y67" s="515" t="str">
        <f t="shared" si="4"/>
        <v/>
      </c>
      <c r="Z67" s="151"/>
      <c r="AA67" s="152"/>
      <c r="AG67" s="31">
        <f t="shared" si="5"/>
        <v>0</v>
      </c>
      <c r="AH67" s="156" t="str">
        <f t="shared" si="6"/>
        <v/>
      </c>
      <c r="AI67" s="156" t="str">
        <f t="shared" si="7"/>
        <v/>
      </c>
      <c r="AK67" s="156">
        <v>58</v>
      </c>
      <c r="AM67" s="156" t="str">
        <f t="array" ref="AM67">IFERROR(INDEX($AK$10:$AK$258, MATCH(0, IF(TRUE=$AH$10:$AH$258, COUNTIF($AM$9:$AM66, $AK$10:$AK$258), ""), 0)),"")</f>
        <v/>
      </c>
      <c r="AN67" s="156" t="str">
        <f t="array" ref="AN67">IFERROR(INDEX($AK$10:$AK$258, MATCH(0, IF(TRUE=$AI$10:$AI$258, COUNTIF($AN$9:$AN66, $AK$10:$AK$258), ""), 0)),"")</f>
        <v/>
      </c>
      <c r="AP67" s="31" t="str">
        <f>IFERROR(INDEX('G-7 Rivers Data'!$AZ$3:$AZ$7,MATCH(D67,'G-7 Rivers Data'!$AY$3:$AY$7,0)),"")</f>
        <v/>
      </c>
    </row>
    <row r="68" spans="3:42" ht="14" x14ac:dyDescent="0.3">
      <c r="C68" s="141">
        <v>59</v>
      </c>
      <c r="D68" s="460"/>
      <c r="E68" s="172"/>
      <c r="F68" s="498" t="str">
        <f>IF(D68="","",VLOOKUP(D68,'G-7 Rivers Data'!$B$2:$G$8,2,FALSE))</f>
        <v/>
      </c>
      <c r="G68" s="499" t="str">
        <f>IFERROR(VLOOKUP(F68,'G-7 Rivers Data'!$C$4:$D$8,2,FALSE),"")</f>
        <v/>
      </c>
      <c r="H68" s="145"/>
      <c r="I68" s="499" t="str">
        <f>IFERROR(INDEX('G-7 Rivers Data'!$H$4:$L$8,MATCH(D68,'G-7 Rivers Data'!$B$4:$B$8,0),MATCH(H68,'G-7 Rivers Data'!$H$3:$L$3,0)),"")</f>
        <v/>
      </c>
      <c r="J68" s="418"/>
      <c r="K68" s="498" t="str">
        <f>IF(J68="","",IF(VLOOKUP(J68,'G-7 Rivers Data'!$AK$4:$AM$9,2,FALSE)=0,"Spatial Data Missing ⚠",VLOOKUP(J68,'G-7 Rivers Data'!$AK$4:$AM$9,2,FALSE)))</f>
        <v/>
      </c>
      <c r="L68" s="505" t="str">
        <f>IF(J68="","",IF(VLOOKUP(J68,'G-7 Rivers Data'!$AK$4:$AM$9,3,FALSE)=0,"Spatial Data Missing ⚠",VLOOKUP(J68,'G-7 Rivers Data'!$AK$4:$AM$9,3,FALSE)))</f>
        <v/>
      </c>
      <c r="M68" s="71"/>
      <c r="N68" s="499" t="str">
        <f>IF(M68="","",IF(VLOOKUP(M68,'G-7 Rivers Data'!$AA$4:$AB$7,2,FALSE)=0,"Spatial Data Missing ⚠",VLOOKUP(M68,'G-7 Rivers Data'!$AA$4:$AB$7,2,FALSE)))</f>
        <v/>
      </c>
      <c r="O68" s="155"/>
      <c r="P68" s="499" t="str">
        <f>IF(O68="","",IF(VLOOKUP(O68,'G-7 Rivers Data'!$AD$4:$AE$8,2,FALSE)=0,"Spatial Data Missing ⚠",VLOOKUP(O68,'G-7 Rivers Data'!$AD$4:$AE$8,2,FALSE)))</f>
        <v/>
      </c>
      <c r="Q68" s="506" t="str">
        <f>IF(D68="","",VLOOKUP(D68,'G-7 Rivers Data'!$B$2:$G$8,6,FALSE))</f>
        <v/>
      </c>
      <c r="R68" s="513" t="str">
        <f t="shared" si="0"/>
        <v/>
      </c>
      <c r="S68" s="40"/>
      <c r="T68" s="145"/>
      <c r="U68" s="157"/>
      <c r="V68" s="511" t="str">
        <f t="shared" si="1"/>
        <v/>
      </c>
      <c r="W68" s="511" t="str">
        <f t="shared" si="2"/>
        <v/>
      </c>
      <c r="X68" s="511" t="str">
        <f t="shared" si="3"/>
        <v/>
      </c>
      <c r="Y68" s="515" t="str">
        <f t="shared" si="4"/>
        <v/>
      </c>
      <c r="Z68" s="151"/>
      <c r="AA68" s="152"/>
      <c r="AG68" s="31">
        <f t="shared" si="5"/>
        <v>0</v>
      </c>
      <c r="AH68" s="156" t="str">
        <f t="shared" si="6"/>
        <v/>
      </c>
      <c r="AI68" s="156" t="str">
        <f t="shared" si="7"/>
        <v/>
      </c>
      <c r="AK68" s="156">
        <v>59</v>
      </c>
      <c r="AM68" s="156" t="str">
        <f t="array" ref="AM68">IFERROR(INDEX($AK$10:$AK$258, MATCH(0, IF(TRUE=$AH$10:$AH$258, COUNTIF($AM$9:$AM67, $AK$10:$AK$258), ""), 0)),"")</f>
        <v/>
      </c>
      <c r="AN68" s="156" t="str">
        <f t="array" ref="AN68">IFERROR(INDEX($AK$10:$AK$258, MATCH(0, IF(TRUE=$AI$10:$AI$258, COUNTIF($AN$9:$AN67, $AK$10:$AK$258), ""), 0)),"")</f>
        <v/>
      </c>
      <c r="AP68" s="31" t="str">
        <f>IFERROR(INDEX('G-7 Rivers Data'!$AZ$3:$AZ$7,MATCH(D68,'G-7 Rivers Data'!$AY$3:$AY$7,0)),"")</f>
        <v/>
      </c>
    </row>
    <row r="69" spans="3:42" ht="14" x14ac:dyDescent="0.3">
      <c r="C69" s="141">
        <v>60</v>
      </c>
      <c r="D69" s="460"/>
      <c r="E69" s="172"/>
      <c r="F69" s="498" t="str">
        <f>IF(D69="","",VLOOKUP(D69,'G-7 Rivers Data'!$B$2:$G$8,2,FALSE))</f>
        <v/>
      </c>
      <c r="G69" s="499" t="str">
        <f>IFERROR(VLOOKUP(F69,'G-7 Rivers Data'!$C$4:$D$8,2,FALSE),"")</f>
        <v/>
      </c>
      <c r="H69" s="145"/>
      <c r="I69" s="499" t="str">
        <f>IFERROR(INDEX('G-7 Rivers Data'!$H$4:$L$8,MATCH(D69,'G-7 Rivers Data'!$B$4:$B$8,0),MATCH(H69,'G-7 Rivers Data'!$H$3:$L$3,0)),"")</f>
        <v/>
      </c>
      <c r="J69" s="418"/>
      <c r="K69" s="498" t="str">
        <f>IF(J69="","",IF(VLOOKUP(J69,'G-7 Rivers Data'!$AK$4:$AM$9,2,FALSE)=0,"Spatial Data Missing ⚠",VLOOKUP(J69,'G-7 Rivers Data'!$AK$4:$AM$9,2,FALSE)))</f>
        <v/>
      </c>
      <c r="L69" s="505" t="str">
        <f>IF(J69="","",IF(VLOOKUP(J69,'G-7 Rivers Data'!$AK$4:$AM$9,3,FALSE)=0,"Spatial Data Missing ⚠",VLOOKUP(J69,'G-7 Rivers Data'!$AK$4:$AM$9,3,FALSE)))</f>
        <v/>
      </c>
      <c r="M69" s="71"/>
      <c r="N69" s="499" t="str">
        <f>IF(M69="","",IF(VLOOKUP(M69,'G-7 Rivers Data'!$AA$4:$AB$7,2,FALSE)=0,"Spatial Data Missing ⚠",VLOOKUP(M69,'G-7 Rivers Data'!$AA$4:$AB$7,2,FALSE)))</f>
        <v/>
      </c>
      <c r="O69" s="155"/>
      <c r="P69" s="499" t="str">
        <f>IF(O69="","",IF(VLOOKUP(O69,'G-7 Rivers Data'!$AD$4:$AE$8,2,FALSE)=0,"Spatial Data Missing ⚠",VLOOKUP(O69,'G-7 Rivers Data'!$AD$4:$AE$8,2,FALSE)))</f>
        <v/>
      </c>
      <c r="Q69" s="506" t="str">
        <f>IF(D69="","",VLOOKUP(D69,'G-7 Rivers Data'!$B$2:$G$8,6,FALSE))</f>
        <v/>
      </c>
      <c r="R69" s="513" t="str">
        <f t="shared" si="0"/>
        <v/>
      </c>
      <c r="S69" s="40"/>
      <c r="T69" s="145"/>
      <c r="U69" s="157"/>
      <c r="V69" s="511" t="str">
        <f t="shared" si="1"/>
        <v/>
      </c>
      <c r="W69" s="511" t="str">
        <f t="shared" si="2"/>
        <v/>
      </c>
      <c r="X69" s="511" t="str">
        <f t="shared" si="3"/>
        <v/>
      </c>
      <c r="Y69" s="515" t="str">
        <f t="shared" si="4"/>
        <v/>
      </c>
      <c r="Z69" s="151"/>
      <c r="AA69" s="152"/>
      <c r="AG69" s="31">
        <f t="shared" si="5"/>
        <v>0</v>
      </c>
      <c r="AH69" s="156" t="str">
        <f t="shared" si="6"/>
        <v/>
      </c>
      <c r="AI69" s="156" t="str">
        <f t="shared" si="7"/>
        <v/>
      </c>
      <c r="AK69" s="156">
        <v>60</v>
      </c>
      <c r="AM69" s="156" t="str">
        <f t="array" ref="AM69">IFERROR(INDEX($AK$10:$AK$258, MATCH(0, IF(TRUE=$AH$10:$AH$258, COUNTIF($AM$9:$AM68, $AK$10:$AK$258), ""), 0)),"")</f>
        <v/>
      </c>
      <c r="AN69" s="156" t="str">
        <f t="array" ref="AN69">IFERROR(INDEX($AK$10:$AK$258, MATCH(0, IF(TRUE=$AI$10:$AI$258, COUNTIF($AN$9:$AN68, $AK$10:$AK$258), ""), 0)),"")</f>
        <v/>
      </c>
      <c r="AP69" s="31" t="str">
        <f>IFERROR(INDEX('G-7 Rivers Data'!$AZ$3:$AZ$7,MATCH(D69,'G-7 Rivers Data'!$AY$3:$AY$7,0)),"")</f>
        <v/>
      </c>
    </row>
    <row r="70" spans="3:42" ht="14" x14ac:dyDescent="0.3">
      <c r="C70" s="141">
        <v>61</v>
      </c>
      <c r="D70" s="460"/>
      <c r="E70" s="172"/>
      <c r="F70" s="498" t="str">
        <f>IF(D70="","",VLOOKUP(D70,'G-7 Rivers Data'!$B$2:$G$8,2,FALSE))</f>
        <v/>
      </c>
      <c r="G70" s="499" t="str">
        <f>IFERROR(VLOOKUP(F70,'G-7 Rivers Data'!$C$4:$D$8,2,FALSE),"")</f>
        <v/>
      </c>
      <c r="H70" s="145"/>
      <c r="I70" s="499" t="str">
        <f>IFERROR(INDEX('G-7 Rivers Data'!$H$4:$L$8,MATCH(D70,'G-7 Rivers Data'!$B$4:$B$8,0),MATCH(H70,'G-7 Rivers Data'!$H$3:$L$3,0)),"")</f>
        <v/>
      </c>
      <c r="J70" s="418"/>
      <c r="K70" s="498" t="str">
        <f>IF(J70="","",IF(VLOOKUP(J70,'G-7 Rivers Data'!$AK$4:$AM$9,2,FALSE)=0,"Spatial Data Missing ⚠",VLOOKUP(J70,'G-7 Rivers Data'!$AK$4:$AM$9,2,FALSE)))</f>
        <v/>
      </c>
      <c r="L70" s="505" t="str">
        <f>IF(J70="","",IF(VLOOKUP(J70,'G-7 Rivers Data'!$AK$4:$AM$9,3,FALSE)=0,"Spatial Data Missing ⚠",VLOOKUP(J70,'G-7 Rivers Data'!$AK$4:$AM$9,3,FALSE)))</f>
        <v/>
      </c>
      <c r="M70" s="71"/>
      <c r="N70" s="499" t="str">
        <f>IF(M70="","",IF(VLOOKUP(M70,'G-7 Rivers Data'!$AA$4:$AB$7,2,FALSE)=0,"Spatial Data Missing ⚠",VLOOKUP(M70,'G-7 Rivers Data'!$AA$4:$AB$7,2,FALSE)))</f>
        <v/>
      </c>
      <c r="O70" s="155"/>
      <c r="P70" s="499" t="str">
        <f>IF(O70="","",IF(VLOOKUP(O70,'G-7 Rivers Data'!$AD$4:$AE$8,2,FALSE)=0,"Spatial Data Missing ⚠",VLOOKUP(O70,'G-7 Rivers Data'!$AD$4:$AE$8,2,FALSE)))</f>
        <v/>
      </c>
      <c r="Q70" s="506" t="str">
        <f>IF(D70="","",VLOOKUP(D70,'G-7 Rivers Data'!$B$2:$G$8,6,FALSE))</f>
        <v/>
      </c>
      <c r="R70" s="513" t="str">
        <f t="shared" si="0"/>
        <v/>
      </c>
      <c r="S70" s="40"/>
      <c r="T70" s="145"/>
      <c r="U70" s="157"/>
      <c r="V70" s="511" t="str">
        <f t="shared" si="1"/>
        <v/>
      </c>
      <c r="W70" s="511" t="str">
        <f t="shared" si="2"/>
        <v/>
      </c>
      <c r="X70" s="511" t="str">
        <f t="shared" si="3"/>
        <v/>
      </c>
      <c r="Y70" s="515" t="str">
        <f t="shared" si="4"/>
        <v/>
      </c>
      <c r="Z70" s="151"/>
      <c r="AA70" s="152"/>
      <c r="AG70" s="31">
        <f t="shared" si="5"/>
        <v>0</v>
      </c>
      <c r="AH70" s="156" t="str">
        <f t="shared" si="6"/>
        <v/>
      </c>
      <c r="AI70" s="156" t="str">
        <f t="shared" si="7"/>
        <v/>
      </c>
      <c r="AK70" s="156">
        <v>61</v>
      </c>
      <c r="AM70" s="156" t="str">
        <f t="array" ref="AM70">IFERROR(INDEX($AK$10:$AK$258, MATCH(0, IF(TRUE=$AH$10:$AH$258, COUNTIF($AM$9:$AM69, $AK$10:$AK$258), ""), 0)),"")</f>
        <v/>
      </c>
      <c r="AN70" s="156" t="str">
        <f t="array" ref="AN70">IFERROR(INDEX($AK$10:$AK$258, MATCH(0, IF(TRUE=$AI$10:$AI$258, COUNTIF($AN$9:$AN69, $AK$10:$AK$258), ""), 0)),"")</f>
        <v/>
      </c>
      <c r="AP70" s="31" t="str">
        <f>IFERROR(INDEX('G-7 Rivers Data'!$AZ$3:$AZ$7,MATCH(D70,'G-7 Rivers Data'!$AY$3:$AY$7,0)),"")</f>
        <v/>
      </c>
    </row>
    <row r="71" spans="3:42" ht="14" x14ac:dyDescent="0.3">
      <c r="C71" s="141">
        <v>62</v>
      </c>
      <c r="D71" s="460"/>
      <c r="E71" s="172"/>
      <c r="F71" s="498" t="str">
        <f>IF(D71="","",VLOOKUP(D71,'G-7 Rivers Data'!$B$2:$G$8,2,FALSE))</f>
        <v/>
      </c>
      <c r="G71" s="499" t="str">
        <f>IFERROR(VLOOKUP(F71,'G-7 Rivers Data'!$C$4:$D$8,2,FALSE),"")</f>
        <v/>
      </c>
      <c r="H71" s="145"/>
      <c r="I71" s="499" t="str">
        <f>IFERROR(INDEX('G-7 Rivers Data'!$H$4:$L$8,MATCH(D71,'G-7 Rivers Data'!$B$4:$B$8,0),MATCH(H71,'G-7 Rivers Data'!$H$3:$L$3,0)),"")</f>
        <v/>
      </c>
      <c r="J71" s="418"/>
      <c r="K71" s="498" t="str">
        <f>IF(J71="","",IF(VLOOKUP(J71,'G-7 Rivers Data'!$AK$4:$AM$9,2,FALSE)=0,"Spatial Data Missing ⚠",VLOOKUP(J71,'G-7 Rivers Data'!$AK$4:$AM$9,2,FALSE)))</f>
        <v/>
      </c>
      <c r="L71" s="505" t="str">
        <f>IF(J71="","",IF(VLOOKUP(J71,'G-7 Rivers Data'!$AK$4:$AM$9,3,FALSE)=0,"Spatial Data Missing ⚠",VLOOKUP(J71,'G-7 Rivers Data'!$AK$4:$AM$9,3,FALSE)))</f>
        <v/>
      </c>
      <c r="M71" s="71"/>
      <c r="N71" s="499" t="str">
        <f>IF(M71="","",IF(VLOOKUP(M71,'G-7 Rivers Data'!$AA$4:$AB$7,2,FALSE)=0,"Spatial Data Missing ⚠",VLOOKUP(M71,'G-7 Rivers Data'!$AA$4:$AB$7,2,FALSE)))</f>
        <v/>
      </c>
      <c r="O71" s="155"/>
      <c r="P71" s="499" t="str">
        <f>IF(O71="","",IF(VLOOKUP(O71,'G-7 Rivers Data'!$AD$4:$AE$8,2,FALSE)=0,"Spatial Data Missing ⚠",VLOOKUP(O71,'G-7 Rivers Data'!$AD$4:$AE$8,2,FALSE)))</f>
        <v/>
      </c>
      <c r="Q71" s="506" t="str">
        <f>IF(D71="","",VLOOKUP(D71,'G-7 Rivers Data'!$B$2:$G$8,6,FALSE))</f>
        <v/>
      </c>
      <c r="R71" s="513" t="str">
        <f t="shared" si="0"/>
        <v/>
      </c>
      <c r="S71" s="40"/>
      <c r="T71" s="145"/>
      <c r="U71" s="157"/>
      <c r="V71" s="511" t="str">
        <f t="shared" si="1"/>
        <v/>
      </c>
      <c r="W71" s="511" t="str">
        <f t="shared" si="2"/>
        <v/>
      </c>
      <c r="X71" s="511" t="str">
        <f t="shared" si="3"/>
        <v/>
      </c>
      <c r="Y71" s="515" t="str">
        <f t="shared" si="4"/>
        <v/>
      </c>
      <c r="Z71" s="151"/>
      <c r="AA71" s="152"/>
      <c r="AG71" s="31">
        <f t="shared" si="5"/>
        <v>0</v>
      </c>
      <c r="AH71" s="156" t="str">
        <f t="shared" si="6"/>
        <v/>
      </c>
      <c r="AI71" s="156" t="str">
        <f t="shared" si="7"/>
        <v/>
      </c>
      <c r="AK71" s="156">
        <v>62</v>
      </c>
      <c r="AM71" s="156" t="str">
        <f t="array" ref="AM71">IFERROR(INDEX($AK$10:$AK$258, MATCH(0, IF(TRUE=$AH$10:$AH$258, COUNTIF($AM$9:$AM70, $AK$10:$AK$258), ""), 0)),"")</f>
        <v/>
      </c>
      <c r="AN71" s="156" t="str">
        <f t="array" ref="AN71">IFERROR(INDEX($AK$10:$AK$258, MATCH(0, IF(TRUE=$AI$10:$AI$258, COUNTIF($AN$9:$AN70, $AK$10:$AK$258), ""), 0)),"")</f>
        <v/>
      </c>
      <c r="AP71" s="31" t="str">
        <f>IFERROR(INDEX('G-7 Rivers Data'!$AZ$3:$AZ$7,MATCH(D71,'G-7 Rivers Data'!$AY$3:$AY$7,0)),"")</f>
        <v/>
      </c>
    </row>
    <row r="72" spans="3:42" ht="14" x14ac:dyDescent="0.3">
      <c r="C72" s="141">
        <v>63</v>
      </c>
      <c r="D72" s="460"/>
      <c r="E72" s="172"/>
      <c r="F72" s="498" t="str">
        <f>IF(D72="","",VLOOKUP(D72,'G-7 Rivers Data'!$B$2:$G$8,2,FALSE))</f>
        <v/>
      </c>
      <c r="G72" s="499" t="str">
        <f>IFERROR(VLOOKUP(F72,'G-7 Rivers Data'!$C$4:$D$8,2,FALSE),"")</f>
        <v/>
      </c>
      <c r="H72" s="145"/>
      <c r="I72" s="499" t="str">
        <f>IFERROR(INDEX('G-7 Rivers Data'!$H$4:$L$8,MATCH(D72,'G-7 Rivers Data'!$B$4:$B$8,0),MATCH(H72,'G-7 Rivers Data'!$H$3:$L$3,0)),"")</f>
        <v/>
      </c>
      <c r="J72" s="418"/>
      <c r="K72" s="498" t="str">
        <f>IF(J72="","",IF(VLOOKUP(J72,'G-7 Rivers Data'!$AK$4:$AM$9,2,FALSE)=0,"Spatial Data Missing ⚠",VLOOKUP(J72,'G-7 Rivers Data'!$AK$4:$AM$9,2,FALSE)))</f>
        <v/>
      </c>
      <c r="L72" s="505" t="str">
        <f>IF(J72="","",IF(VLOOKUP(J72,'G-7 Rivers Data'!$AK$4:$AM$9,3,FALSE)=0,"Spatial Data Missing ⚠",VLOOKUP(J72,'G-7 Rivers Data'!$AK$4:$AM$9,3,FALSE)))</f>
        <v/>
      </c>
      <c r="M72" s="71"/>
      <c r="N72" s="499" t="str">
        <f>IF(M72="","",IF(VLOOKUP(M72,'G-7 Rivers Data'!$AA$4:$AB$7,2,FALSE)=0,"Spatial Data Missing ⚠",VLOOKUP(M72,'G-7 Rivers Data'!$AA$4:$AB$7,2,FALSE)))</f>
        <v/>
      </c>
      <c r="O72" s="155"/>
      <c r="P72" s="499" t="str">
        <f>IF(O72="","",IF(VLOOKUP(O72,'G-7 Rivers Data'!$AD$4:$AE$8,2,FALSE)=0,"Spatial Data Missing ⚠",VLOOKUP(O72,'G-7 Rivers Data'!$AD$4:$AE$8,2,FALSE)))</f>
        <v/>
      </c>
      <c r="Q72" s="506" t="str">
        <f>IF(D72="","",VLOOKUP(D72,'G-7 Rivers Data'!$B$2:$G$8,6,FALSE))</f>
        <v/>
      </c>
      <c r="R72" s="513" t="str">
        <f t="shared" si="0"/>
        <v/>
      </c>
      <c r="S72" s="40"/>
      <c r="T72" s="145"/>
      <c r="U72" s="157"/>
      <c r="V72" s="511" t="str">
        <f t="shared" si="1"/>
        <v/>
      </c>
      <c r="W72" s="511" t="str">
        <f t="shared" si="2"/>
        <v/>
      </c>
      <c r="X72" s="511" t="str">
        <f t="shared" si="3"/>
        <v/>
      </c>
      <c r="Y72" s="515" t="str">
        <f t="shared" si="4"/>
        <v/>
      </c>
      <c r="Z72" s="151"/>
      <c r="AA72" s="152"/>
      <c r="AG72" s="31">
        <f t="shared" si="5"/>
        <v>0</v>
      </c>
      <c r="AH72" s="156" t="str">
        <f t="shared" si="6"/>
        <v/>
      </c>
      <c r="AI72" s="156" t="str">
        <f t="shared" si="7"/>
        <v/>
      </c>
      <c r="AK72" s="156">
        <v>63</v>
      </c>
      <c r="AM72" s="156" t="str">
        <f t="array" ref="AM72">IFERROR(INDEX($AK$10:$AK$258, MATCH(0, IF(TRUE=$AH$10:$AH$258, COUNTIF($AM$9:$AM71, $AK$10:$AK$258), ""), 0)),"")</f>
        <v/>
      </c>
      <c r="AN72" s="156" t="str">
        <f t="array" ref="AN72">IFERROR(INDEX($AK$10:$AK$258, MATCH(0, IF(TRUE=$AI$10:$AI$258, COUNTIF($AN$9:$AN71, $AK$10:$AK$258), ""), 0)),"")</f>
        <v/>
      </c>
      <c r="AP72" s="31" t="str">
        <f>IFERROR(INDEX('G-7 Rivers Data'!$AZ$3:$AZ$7,MATCH(D72,'G-7 Rivers Data'!$AY$3:$AY$7,0)),"")</f>
        <v/>
      </c>
    </row>
    <row r="73" spans="3:42" ht="14" x14ac:dyDescent="0.3">
      <c r="C73" s="141">
        <v>64</v>
      </c>
      <c r="D73" s="460"/>
      <c r="E73" s="172"/>
      <c r="F73" s="498" t="str">
        <f>IF(D73="","",VLOOKUP(D73,'G-7 Rivers Data'!$B$2:$G$8,2,FALSE))</f>
        <v/>
      </c>
      <c r="G73" s="499" t="str">
        <f>IFERROR(VLOOKUP(F73,'G-7 Rivers Data'!$C$4:$D$8,2,FALSE),"")</f>
        <v/>
      </c>
      <c r="H73" s="145"/>
      <c r="I73" s="499" t="str">
        <f>IFERROR(INDEX('G-7 Rivers Data'!$H$4:$L$8,MATCH(D73,'G-7 Rivers Data'!$B$4:$B$8,0),MATCH(H73,'G-7 Rivers Data'!$H$3:$L$3,0)),"")</f>
        <v/>
      </c>
      <c r="J73" s="418"/>
      <c r="K73" s="498" t="str">
        <f>IF(J73="","",IF(VLOOKUP(J73,'G-7 Rivers Data'!$AK$4:$AM$9,2,FALSE)=0,"Spatial Data Missing ⚠",VLOOKUP(J73,'G-7 Rivers Data'!$AK$4:$AM$9,2,FALSE)))</f>
        <v/>
      </c>
      <c r="L73" s="505" t="str">
        <f>IF(J73="","",IF(VLOOKUP(J73,'G-7 Rivers Data'!$AK$4:$AM$9,3,FALSE)=0,"Spatial Data Missing ⚠",VLOOKUP(J73,'G-7 Rivers Data'!$AK$4:$AM$9,3,FALSE)))</f>
        <v/>
      </c>
      <c r="M73" s="71"/>
      <c r="N73" s="499" t="str">
        <f>IF(M73="","",IF(VLOOKUP(M73,'G-7 Rivers Data'!$AA$4:$AB$7,2,FALSE)=0,"Spatial Data Missing ⚠",VLOOKUP(M73,'G-7 Rivers Data'!$AA$4:$AB$7,2,FALSE)))</f>
        <v/>
      </c>
      <c r="O73" s="155"/>
      <c r="P73" s="499" t="str">
        <f>IF(O73="","",IF(VLOOKUP(O73,'G-7 Rivers Data'!$AD$4:$AE$8,2,FALSE)=0,"Spatial Data Missing ⚠",VLOOKUP(O73,'G-7 Rivers Data'!$AD$4:$AE$8,2,FALSE)))</f>
        <v/>
      </c>
      <c r="Q73" s="506" t="str">
        <f>IF(D73="","",VLOOKUP(D73,'G-7 Rivers Data'!$B$2:$G$8,6,FALSE))</f>
        <v/>
      </c>
      <c r="R73" s="513" t="str">
        <f t="shared" si="0"/>
        <v/>
      </c>
      <c r="S73" s="40"/>
      <c r="T73" s="145"/>
      <c r="U73" s="157"/>
      <c r="V73" s="511" t="str">
        <f t="shared" si="1"/>
        <v/>
      </c>
      <c r="W73" s="511" t="str">
        <f t="shared" si="2"/>
        <v/>
      </c>
      <c r="X73" s="511" t="str">
        <f t="shared" si="3"/>
        <v/>
      </c>
      <c r="Y73" s="515" t="str">
        <f t="shared" si="4"/>
        <v/>
      </c>
      <c r="Z73" s="151"/>
      <c r="AA73" s="152"/>
      <c r="AG73" s="31">
        <f t="shared" si="5"/>
        <v>0</v>
      </c>
      <c r="AH73" s="156" t="str">
        <f t="shared" si="6"/>
        <v/>
      </c>
      <c r="AI73" s="156" t="str">
        <f t="shared" si="7"/>
        <v/>
      </c>
      <c r="AK73" s="156">
        <v>64</v>
      </c>
      <c r="AM73" s="156" t="str">
        <f t="array" ref="AM73">IFERROR(INDEX($AK$10:$AK$258, MATCH(0, IF(TRUE=$AH$10:$AH$258, COUNTIF($AM$9:$AM72, $AK$10:$AK$258), ""), 0)),"")</f>
        <v/>
      </c>
      <c r="AN73" s="156" t="str">
        <f t="array" ref="AN73">IFERROR(INDEX($AK$10:$AK$258, MATCH(0, IF(TRUE=$AI$10:$AI$258, COUNTIF($AN$9:$AN72, $AK$10:$AK$258), ""), 0)),"")</f>
        <v/>
      </c>
      <c r="AP73" s="31" t="str">
        <f>IFERROR(INDEX('G-7 Rivers Data'!$AZ$3:$AZ$7,MATCH(D73,'G-7 Rivers Data'!$AY$3:$AY$7,0)),"")</f>
        <v/>
      </c>
    </row>
    <row r="74" spans="3:42" ht="14" x14ac:dyDescent="0.3">
      <c r="C74" s="141">
        <v>65</v>
      </c>
      <c r="D74" s="460"/>
      <c r="E74" s="172"/>
      <c r="F74" s="498" t="str">
        <f>IF(D74="","",VLOOKUP(D74,'G-7 Rivers Data'!$B$2:$G$8,2,FALSE))</f>
        <v/>
      </c>
      <c r="G74" s="499" t="str">
        <f>IFERROR(VLOOKUP(F74,'G-7 Rivers Data'!$C$4:$D$8,2,FALSE),"")</f>
        <v/>
      </c>
      <c r="H74" s="145"/>
      <c r="I74" s="499" t="str">
        <f>IFERROR(INDEX('G-7 Rivers Data'!$H$4:$L$8,MATCH(D74,'G-7 Rivers Data'!$B$4:$B$8,0),MATCH(H74,'G-7 Rivers Data'!$H$3:$L$3,0)),"")</f>
        <v/>
      </c>
      <c r="J74" s="418"/>
      <c r="K74" s="498" t="str">
        <f>IF(J74="","",IF(VLOOKUP(J74,'G-7 Rivers Data'!$AK$4:$AM$9,2,FALSE)=0,"Spatial Data Missing ⚠",VLOOKUP(J74,'G-7 Rivers Data'!$AK$4:$AM$9,2,FALSE)))</f>
        <v/>
      </c>
      <c r="L74" s="505" t="str">
        <f>IF(J74="","",IF(VLOOKUP(J74,'G-7 Rivers Data'!$AK$4:$AM$9,3,FALSE)=0,"Spatial Data Missing ⚠",VLOOKUP(J74,'G-7 Rivers Data'!$AK$4:$AM$9,3,FALSE)))</f>
        <v/>
      </c>
      <c r="M74" s="71"/>
      <c r="N74" s="499" t="str">
        <f>IF(M74="","",IF(VLOOKUP(M74,'G-7 Rivers Data'!$AA$4:$AB$7,2,FALSE)=0,"Spatial Data Missing ⚠",VLOOKUP(M74,'G-7 Rivers Data'!$AA$4:$AB$7,2,FALSE)))</f>
        <v/>
      </c>
      <c r="O74" s="155"/>
      <c r="P74" s="499" t="str">
        <f>IF(O74="","",IF(VLOOKUP(O74,'G-7 Rivers Data'!$AD$4:$AE$8,2,FALSE)=0,"Spatial Data Missing ⚠",VLOOKUP(O74,'G-7 Rivers Data'!$AD$4:$AE$8,2,FALSE)))</f>
        <v/>
      </c>
      <c r="Q74" s="506" t="str">
        <f>IF(D74="","",VLOOKUP(D74,'G-7 Rivers Data'!$B$2:$G$8,6,FALSE))</f>
        <v/>
      </c>
      <c r="R74" s="513" t="str">
        <f t="shared" si="0"/>
        <v/>
      </c>
      <c r="S74" s="40"/>
      <c r="T74" s="145"/>
      <c r="U74" s="157"/>
      <c r="V74" s="511" t="str">
        <f t="shared" si="1"/>
        <v/>
      </c>
      <c r="W74" s="511" t="str">
        <f t="shared" si="2"/>
        <v/>
      </c>
      <c r="X74" s="511" t="str">
        <f t="shared" si="3"/>
        <v/>
      </c>
      <c r="Y74" s="515" t="str">
        <f t="shared" si="4"/>
        <v/>
      </c>
      <c r="Z74" s="151"/>
      <c r="AA74" s="152"/>
      <c r="AG74" s="31">
        <f t="shared" si="5"/>
        <v>0</v>
      </c>
      <c r="AH74" s="156" t="str">
        <f t="shared" si="6"/>
        <v/>
      </c>
      <c r="AI74" s="156" t="str">
        <f t="shared" si="7"/>
        <v/>
      </c>
      <c r="AK74" s="156">
        <v>65</v>
      </c>
      <c r="AM74" s="156" t="str">
        <f t="array" ref="AM74">IFERROR(INDEX($AK$10:$AK$258, MATCH(0, IF(TRUE=$AH$10:$AH$258, COUNTIF($AM$9:$AM73, $AK$10:$AK$258), ""), 0)),"")</f>
        <v/>
      </c>
      <c r="AN74" s="156" t="str">
        <f t="array" ref="AN74">IFERROR(INDEX($AK$10:$AK$258, MATCH(0, IF(TRUE=$AI$10:$AI$258, COUNTIF($AN$9:$AN73, $AK$10:$AK$258), ""), 0)),"")</f>
        <v/>
      </c>
      <c r="AP74" s="31" t="str">
        <f>IFERROR(INDEX('G-7 Rivers Data'!$AZ$3:$AZ$7,MATCH(D74,'G-7 Rivers Data'!$AY$3:$AY$7,0)),"")</f>
        <v/>
      </c>
    </row>
    <row r="75" spans="3:42" ht="14" x14ac:dyDescent="0.3">
      <c r="C75" s="141">
        <v>66</v>
      </c>
      <c r="D75" s="460"/>
      <c r="E75" s="172"/>
      <c r="F75" s="498" t="str">
        <f>IF(D75="","",VLOOKUP(D75,'G-7 Rivers Data'!$B$2:$G$8,2,FALSE))</f>
        <v/>
      </c>
      <c r="G75" s="499" t="str">
        <f>IFERROR(VLOOKUP(F75,'G-7 Rivers Data'!$C$4:$D$8,2,FALSE),"")</f>
        <v/>
      </c>
      <c r="H75" s="145"/>
      <c r="I75" s="499" t="str">
        <f>IFERROR(INDEX('G-7 Rivers Data'!$H$4:$L$8,MATCH(D75,'G-7 Rivers Data'!$B$4:$B$8,0),MATCH(H75,'G-7 Rivers Data'!$H$3:$L$3,0)),"")</f>
        <v/>
      </c>
      <c r="J75" s="418"/>
      <c r="K75" s="498" t="str">
        <f>IF(J75="","",IF(VLOOKUP(J75,'G-7 Rivers Data'!$AK$4:$AM$9,2,FALSE)=0,"Spatial Data Missing ⚠",VLOOKUP(J75,'G-7 Rivers Data'!$AK$4:$AM$9,2,FALSE)))</f>
        <v/>
      </c>
      <c r="L75" s="505" t="str">
        <f>IF(J75="","",IF(VLOOKUP(J75,'G-7 Rivers Data'!$AK$4:$AM$9,3,FALSE)=0,"Spatial Data Missing ⚠",VLOOKUP(J75,'G-7 Rivers Data'!$AK$4:$AM$9,3,FALSE)))</f>
        <v/>
      </c>
      <c r="M75" s="71"/>
      <c r="N75" s="499" t="str">
        <f>IF(M75="","",IF(VLOOKUP(M75,'G-7 Rivers Data'!$AA$4:$AB$7,2,FALSE)=0,"Spatial Data Missing ⚠",VLOOKUP(M75,'G-7 Rivers Data'!$AA$4:$AB$7,2,FALSE)))</f>
        <v/>
      </c>
      <c r="O75" s="155"/>
      <c r="P75" s="499" t="str">
        <f>IF(O75="","",IF(VLOOKUP(O75,'G-7 Rivers Data'!$AD$4:$AE$8,2,FALSE)=0,"Spatial Data Missing ⚠",VLOOKUP(O75,'G-7 Rivers Data'!$AD$4:$AE$8,2,FALSE)))</f>
        <v/>
      </c>
      <c r="Q75" s="506" t="str">
        <f>IF(D75="","",VLOOKUP(D75,'G-7 Rivers Data'!$B$2:$G$8,6,FALSE))</f>
        <v/>
      </c>
      <c r="R75" s="513" t="str">
        <f t="shared" ref="R75:R138" si="8">IFERROR(IF(D75="","",E75*G75*I75*L75*N75*P75),"")</f>
        <v/>
      </c>
      <c r="S75" s="40"/>
      <c r="T75" s="145"/>
      <c r="U75" s="157"/>
      <c r="V75" s="511" t="str">
        <f t="shared" ref="V75:V138" si="9">IFERROR(IF(T75&gt;E75,"Check Lengths",T75*G75*I75*L75*N75*P75),"")</f>
        <v/>
      </c>
      <c r="W75" s="511" t="str">
        <f t="shared" ref="W75:W138" si="10">IFERROR(IF(D75="","",U75*G75*I75*L75*N75*P75),"")</f>
        <v/>
      </c>
      <c r="X75" s="511" t="str">
        <f t="shared" ref="X75:X138" si="11">IFERROR(IF(D75="","",IF(E75&gt;(T75+U75),E75-T75-U75,0)),"")</f>
        <v/>
      </c>
      <c r="Y75" s="515" t="str">
        <f t="shared" ref="Y75:Y138" si="12">IFERROR(IF(E75="","",IF((V75+W75)&gt;R75,0,R75-V75-W75)),"Check Data ⚠")</f>
        <v/>
      </c>
      <c r="Z75" s="151"/>
      <c r="AA75" s="152"/>
      <c r="AG75" s="31">
        <f t="shared" ref="AG75:AG138" si="13">IFERROR(IF(T75+U75&gt;E75,1,0),"")</f>
        <v>0</v>
      </c>
      <c r="AH75" s="156" t="str">
        <f t="shared" ref="AH75:AH138" si="14">IF(D75="","",IF(T75&gt;0,TRUE,FALSE))</f>
        <v/>
      </c>
      <c r="AI75" s="156" t="str">
        <f t="shared" ref="AI75:AI138" si="15">IF(D75="","",IF(U75&gt;0,TRUE,FALSE))</f>
        <v/>
      </c>
      <c r="AK75" s="156">
        <v>66</v>
      </c>
      <c r="AM75" s="156" t="str">
        <f t="array" ref="AM75">IFERROR(INDEX($AK$10:$AK$258, MATCH(0, IF(TRUE=$AH$10:$AH$258, COUNTIF($AM$9:$AM74, $AK$10:$AK$258), ""), 0)),"")</f>
        <v/>
      </c>
      <c r="AN75" s="156" t="str">
        <f t="array" ref="AN75">IFERROR(INDEX($AK$10:$AK$258, MATCH(0, IF(TRUE=$AI$10:$AI$258, COUNTIF($AN$9:$AN74, $AK$10:$AK$258), ""), 0)),"")</f>
        <v/>
      </c>
      <c r="AP75" s="31" t="str">
        <f>IFERROR(INDEX('G-7 Rivers Data'!$AZ$3:$AZ$7,MATCH(D75,'G-7 Rivers Data'!$AY$3:$AY$7,0)),"")</f>
        <v/>
      </c>
    </row>
    <row r="76" spans="3:42" ht="14" x14ac:dyDescent="0.3">
      <c r="C76" s="141">
        <v>67</v>
      </c>
      <c r="D76" s="460"/>
      <c r="E76" s="172"/>
      <c r="F76" s="498" t="str">
        <f>IF(D76="","",VLOOKUP(D76,'G-7 Rivers Data'!$B$2:$G$8,2,FALSE))</f>
        <v/>
      </c>
      <c r="G76" s="499" t="str">
        <f>IFERROR(VLOOKUP(F76,'G-7 Rivers Data'!$C$4:$D$8,2,FALSE),"")</f>
        <v/>
      </c>
      <c r="H76" s="145"/>
      <c r="I76" s="499" t="str">
        <f>IFERROR(INDEX('G-7 Rivers Data'!$H$4:$L$8,MATCH(D76,'G-7 Rivers Data'!$B$4:$B$8,0),MATCH(H76,'G-7 Rivers Data'!$H$3:$L$3,0)),"")</f>
        <v/>
      </c>
      <c r="J76" s="418"/>
      <c r="K76" s="498" t="str">
        <f>IF(J76="","",IF(VLOOKUP(J76,'G-7 Rivers Data'!$AK$4:$AM$9,2,FALSE)=0,"Spatial Data Missing ⚠",VLOOKUP(J76,'G-7 Rivers Data'!$AK$4:$AM$9,2,FALSE)))</f>
        <v/>
      </c>
      <c r="L76" s="505" t="str">
        <f>IF(J76="","",IF(VLOOKUP(J76,'G-7 Rivers Data'!$AK$4:$AM$9,3,FALSE)=0,"Spatial Data Missing ⚠",VLOOKUP(J76,'G-7 Rivers Data'!$AK$4:$AM$9,3,FALSE)))</f>
        <v/>
      </c>
      <c r="M76" s="71"/>
      <c r="N76" s="499" t="str">
        <f>IF(M76="","",IF(VLOOKUP(M76,'G-7 Rivers Data'!$AA$4:$AB$7,2,FALSE)=0,"Spatial Data Missing ⚠",VLOOKUP(M76,'G-7 Rivers Data'!$AA$4:$AB$7,2,FALSE)))</f>
        <v/>
      </c>
      <c r="O76" s="155"/>
      <c r="P76" s="499" t="str">
        <f>IF(O76="","",IF(VLOOKUP(O76,'G-7 Rivers Data'!$AD$4:$AE$8,2,FALSE)=0,"Spatial Data Missing ⚠",VLOOKUP(O76,'G-7 Rivers Data'!$AD$4:$AE$8,2,FALSE)))</f>
        <v/>
      </c>
      <c r="Q76" s="506" t="str">
        <f>IF(D76="","",VLOOKUP(D76,'G-7 Rivers Data'!$B$2:$G$8,6,FALSE))</f>
        <v/>
      </c>
      <c r="R76" s="513" t="str">
        <f t="shared" si="8"/>
        <v/>
      </c>
      <c r="S76" s="40"/>
      <c r="T76" s="145"/>
      <c r="U76" s="157"/>
      <c r="V76" s="511" t="str">
        <f t="shared" si="9"/>
        <v/>
      </c>
      <c r="W76" s="511" t="str">
        <f t="shared" si="10"/>
        <v/>
      </c>
      <c r="X76" s="511" t="str">
        <f t="shared" si="11"/>
        <v/>
      </c>
      <c r="Y76" s="515" t="str">
        <f t="shared" si="12"/>
        <v/>
      </c>
      <c r="Z76" s="151"/>
      <c r="AA76" s="152"/>
      <c r="AG76" s="31">
        <f t="shared" si="13"/>
        <v>0</v>
      </c>
      <c r="AH76" s="156" t="str">
        <f t="shared" si="14"/>
        <v/>
      </c>
      <c r="AI76" s="156" t="str">
        <f t="shared" si="15"/>
        <v/>
      </c>
      <c r="AK76" s="156">
        <v>67</v>
      </c>
      <c r="AM76" s="156" t="str">
        <f t="array" ref="AM76">IFERROR(INDEX($AK$10:$AK$258, MATCH(0, IF(TRUE=$AH$10:$AH$258, COUNTIF($AM$9:$AM75, $AK$10:$AK$258), ""), 0)),"")</f>
        <v/>
      </c>
      <c r="AN76" s="156" t="str">
        <f t="array" ref="AN76">IFERROR(INDEX($AK$10:$AK$258, MATCH(0, IF(TRUE=$AI$10:$AI$258, COUNTIF($AN$9:$AN75, $AK$10:$AK$258), ""), 0)),"")</f>
        <v/>
      </c>
      <c r="AP76" s="31" t="str">
        <f>IFERROR(INDEX('G-7 Rivers Data'!$AZ$3:$AZ$7,MATCH(D76,'G-7 Rivers Data'!$AY$3:$AY$7,0)),"")</f>
        <v/>
      </c>
    </row>
    <row r="77" spans="3:42" ht="14" x14ac:dyDescent="0.3">
      <c r="C77" s="141">
        <v>68</v>
      </c>
      <c r="D77" s="460"/>
      <c r="E77" s="172"/>
      <c r="F77" s="498" t="str">
        <f>IF(D77="","",VLOOKUP(D77,'G-7 Rivers Data'!$B$2:$G$8,2,FALSE))</f>
        <v/>
      </c>
      <c r="G77" s="499" t="str">
        <f>IFERROR(VLOOKUP(F77,'G-7 Rivers Data'!$C$4:$D$8,2,FALSE),"")</f>
        <v/>
      </c>
      <c r="H77" s="145"/>
      <c r="I77" s="499" t="str">
        <f>IFERROR(INDEX('G-7 Rivers Data'!$H$4:$L$8,MATCH(D77,'G-7 Rivers Data'!$B$4:$B$8,0),MATCH(H77,'G-7 Rivers Data'!$H$3:$L$3,0)),"")</f>
        <v/>
      </c>
      <c r="J77" s="418"/>
      <c r="K77" s="498" t="str">
        <f>IF(J77="","",IF(VLOOKUP(J77,'G-7 Rivers Data'!$AK$4:$AM$9,2,FALSE)=0,"Spatial Data Missing ⚠",VLOOKUP(J77,'G-7 Rivers Data'!$AK$4:$AM$9,2,FALSE)))</f>
        <v/>
      </c>
      <c r="L77" s="505" t="str">
        <f>IF(J77="","",IF(VLOOKUP(J77,'G-7 Rivers Data'!$AK$4:$AM$9,3,FALSE)=0,"Spatial Data Missing ⚠",VLOOKUP(J77,'G-7 Rivers Data'!$AK$4:$AM$9,3,FALSE)))</f>
        <v/>
      </c>
      <c r="M77" s="71"/>
      <c r="N77" s="499" t="str">
        <f>IF(M77="","",IF(VLOOKUP(M77,'G-7 Rivers Data'!$AA$4:$AB$7,2,FALSE)=0,"Spatial Data Missing ⚠",VLOOKUP(M77,'G-7 Rivers Data'!$AA$4:$AB$7,2,FALSE)))</f>
        <v/>
      </c>
      <c r="O77" s="155"/>
      <c r="P77" s="499" t="str">
        <f>IF(O77="","",IF(VLOOKUP(O77,'G-7 Rivers Data'!$AD$4:$AE$8,2,FALSE)=0,"Spatial Data Missing ⚠",VLOOKUP(O77,'G-7 Rivers Data'!$AD$4:$AE$8,2,FALSE)))</f>
        <v/>
      </c>
      <c r="Q77" s="506" t="str">
        <f>IF(D77="","",VLOOKUP(D77,'G-7 Rivers Data'!$B$2:$G$8,6,FALSE))</f>
        <v/>
      </c>
      <c r="R77" s="513" t="str">
        <f t="shared" si="8"/>
        <v/>
      </c>
      <c r="S77" s="40"/>
      <c r="T77" s="145"/>
      <c r="U77" s="157"/>
      <c r="V77" s="511" t="str">
        <f t="shared" si="9"/>
        <v/>
      </c>
      <c r="W77" s="511" t="str">
        <f t="shared" si="10"/>
        <v/>
      </c>
      <c r="X77" s="511" t="str">
        <f t="shared" si="11"/>
        <v/>
      </c>
      <c r="Y77" s="515" t="str">
        <f t="shared" si="12"/>
        <v/>
      </c>
      <c r="Z77" s="151"/>
      <c r="AA77" s="152"/>
      <c r="AG77" s="31">
        <f t="shared" si="13"/>
        <v>0</v>
      </c>
      <c r="AH77" s="156" t="str">
        <f t="shared" si="14"/>
        <v/>
      </c>
      <c r="AI77" s="156" t="str">
        <f t="shared" si="15"/>
        <v/>
      </c>
      <c r="AK77" s="156">
        <v>68</v>
      </c>
      <c r="AM77" s="156" t="str">
        <f t="array" ref="AM77">IFERROR(INDEX($AK$10:$AK$258, MATCH(0, IF(TRUE=$AH$10:$AH$258, COUNTIF($AM$9:$AM76, $AK$10:$AK$258), ""), 0)),"")</f>
        <v/>
      </c>
      <c r="AN77" s="156" t="str">
        <f t="array" ref="AN77">IFERROR(INDEX($AK$10:$AK$258, MATCH(0, IF(TRUE=$AI$10:$AI$258, COUNTIF($AN$9:$AN76, $AK$10:$AK$258), ""), 0)),"")</f>
        <v/>
      </c>
      <c r="AP77" s="31" t="str">
        <f>IFERROR(INDEX('G-7 Rivers Data'!$AZ$3:$AZ$7,MATCH(D77,'G-7 Rivers Data'!$AY$3:$AY$7,0)),"")</f>
        <v/>
      </c>
    </row>
    <row r="78" spans="3:42" ht="14" x14ac:dyDescent="0.3">
      <c r="C78" s="141">
        <v>69</v>
      </c>
      <c r="D78" s="460"/>
      <c r="E78" s="172"/>
      <c r="F78" s="498" t="str">
        <f>IF(D78="","",VLOOKUP(D78,'G-7 Rivers Data'!$B$2:$G$8,2,FALSE))</f>
        <v/>
      </c>
      <c r="G78" s="499" t="str">
        <f>IFERROR(VLOOKUP(F78,'G-7 Rivers Data'!$C$4:$D$8,2,FALSE),"")</f>
        <v/>
      </c>
      <c r="H78" s="145"/>
      <c r="I78" s="499" t="str">
        <f>IFERROR(INDEX('G-7 Rivers Data'!$H$4:$L$8,MATCH(D78,'G-7 Rivers Data'!$B$4:$B$8,0),MATCH(H78,'G-7 Rivers Data'!$H$3:$L$3,0)),"")</f>
        <v/>
      </c>
      <c r="J78" s="418"/>
      <c r="K78" s="498" t="str">
        <f>IF(J78="","",IF(VLOOKUP(J78,'G-7 Rivers Data'!$AK$4:$AM$9,2,FALSE)=0,"Spatial Data Missing ⚠",VLOOKUP(J78,'G-7 Rivers Data'!$AK$4:$AM$9,2,FALSE)))</f>
        <v/>
      </c>
      <c r="L78" s="505" t="str">
        <f>IF(J78="","",IF(VLOOKUP(J78,'G-7 Rivers Data'!$AK$4:$AM$9,3,FALSE)=0,"Spatial Data Missing ⚠",VLOOKUP(J78,'G-7 Rivers Data'!$AK$4:$AM$9,3,FALSE)))</f>
        <v/>
      </c>
      <c r="M78" s="71"/>
      <c r="N78" s="499" t="str">
        <f>IF(M78="","",IF(VLOOKUP(M78,'G-7 Rivers Data'!$AA$4:$AB$7,2,FALSE)=0,"Spatial Data Missing ⚠",VLOOKUP(M78,'G-7 Rivers Data'!$AA$4:$AB$7,2,FALSE)))</f>
        <v/>
      </c>
      <c r="O78" s="155"/>
      <c r="P78" s="499" t="str">
        <f>IF(O78="","",IF(VLOOKUP(O78,'G-7 Rivers Data'!$AD$4:$AE$8,2,FALSE)=0,"Spatial Data Missing ⚠",VLOOKUP(O78,'G-7 Rivers Data'!$AD$4:$AE$8,2,FALSE)))</f>
        <v/>
      </c>
      <c r="Q78" s="506" t="str">
        <f>IF(D78="","",VLOOKUP(D78,'G-7 Rivers Data'!$B$2:$G$8,6,FALSE))</f>
        <v/>
      </c>
      <c r="R78" s="513" t="str">
        <f t="shared" si="8"/>
        <v/>
      </c>
      <c r="S78" s="40"/>
      <c r="T78" s="145"/>
      <c r="U78" s="157"/>
      <c r="V78" s="511" t="str">
        <f t="shared" si="9"/>
        <v/>
      </c>
      <c r="W78" s="511" t="str">
        <f t="shared" si="10"/>
        <v/>
      </c>
      <c r="X78" s="511" t="str">
        <f t="shared" si="11"/>
        <v/>
      </c>
      <c r="Y78" s="515" t="str">
        <f t="shared" si="12"/>
        <v/>
      </c>
      <c r="Z78" s="151"/>
      <c r="AA78" s="152"/>
      <c r="AG78" s="31">
        <f t="shared" si="13"/>
        <v>0</v>
      </c>
      <c r="AH78" s="156" t="str">
        <f t="shared" si="14"/>
        <v/>
      </c>
      <c r="AI78" s="156" t="str">
        <f t="shared" si="15"/>
        <v/>
      </c>
      <c r="AK78" s="156">
        <v>69</v>
      </c>
      <c r="AM78" s="156" t="str">
        <f t="array" ref="AM78">IFERROR(INDEX($AK$10:$AK$258, MATCH(0, IF(TRUE=$AH$10:$AH$258, COUNTIF($AM$9:$AM77, $AK$10:$AK$258), ""), 0)),"")</f>
        <v/>
      </c>
      <c r="AN78" s="156" t="str">
        <f t="array" ref="AN78">IFERROR(INDEX($AK$10:$AK$258, MATCH(0, IF(TRUE=$AI$10:$AI$258, COUNTIF($AN$9:$AN77, $AK$10:$AK$258), ""), 0)),"")</f>
        <v/>
      </c>
      <c r="AP78" s="31" t="str">
        <f>IFERROR(INDEX('G-7 Rivers Data'!$AZ$3:$AZ$7,MATCH(D78,'G-7 Rivers Data'!$AY$3:$AY$7,0)),"")</f>
        <v/>
      </c>
    </row>
    <row r="79" spans="3:42" ht="14" x14ac:dyDescent="0.3">
      <c r="C79" s="141">
        <v>70</v>
      </c>
      <c r="D79" s="460"/>
      <c r="E79" s="172"/>
      <c r="F79" s="498" t="str">
        <f>IF(D79="","",VLOOKUP(D79,'G-7 Rivers Data'!$B$2:$G$8,2,FALSE))</f>
        <v/>
      </c>
      <c r="G79" s="499" t="str">
        <f>IFERROR(VLOOKUP(F79,'G-7 Rivers Data'!$C$4:$D$8,2,FALSE),"")</f>
        <v/>
      </c>
      <c r="H79" s="145"/>
      <c r="I79" s="499" t="str">
        <f>IFERROR(INDEX('G-7 Rivers Data'!$H$4:$L$8,MATCH(D79,'G-7 Rivers Data'!$B$4:$B$8,0),MATCH(H79,'G-7 Rivers Data'!$H$3:$L$3,0)),"")</f>
        <v/>
      </c>
      <c r="J79" s="418"/>
      <c r="K79" s="498" t="str">
        <f>IF(J79="","",IF(VLOOKUP(J79,'G-7 Rivers Data'!$AK$4:$AM$9,2,FALSE)=0,"Spatial Data Missing ⚠",VLOOKUP(J79,'G-7 Rivers Data'!$AK$4:$AM$9,2,FALSE)))</f>
        <v/>
      </c>
      <c r="L79" s="505" t="str">
        <f>IF(J79="","",IF(VLOOKUP(J79,'G-7 Rivers Data'!$AK$4:$AM$9,3,FALSE)=0,"Spatial Data Missing ⚠",VLOOKUP(J79,'G-7 Rivers Data'!$AK$4:$AM$9,3,FALSE)))</f>
        <v/>
      </c>
      <c r="M79" s="71"/>
      <c r="N79" s="499" t="str">
        <f>IF(M79="","",IF(VLOOKUP(M79,'G-7 Rivers Data'!$AA$4:$AB$7,2,FALSE)=0,"Spatial Data Missing ⚠",VLOOKUP(M79,'G-7 Rivers Data'!$AA$4:$AB$7,2,FALSE)))</f>
        <v/>
      </c>
      <c r="O79" s="155"/>
      <c r="P79" s="499" t="str">
        <f>IF(O79="","",IF(VLOOKUP(O79,'G-7 Rivers Data'!$AD$4:$AE$8,2,FALSE)=0,"Spatial Data Missing ⚠",VLOOKUP(O79,'G-7 Rivers Data'!$AD$4:$AE$8,2,FALSE)))</f>
        <v/>
      </c>
      <c r="Q79" s="506" t="str">
        <f>IF(D79="","",VLOOKUP(D79,'G-7 Rivers Data'!$B$2:$G$8,6,FALSE))</f>
        <v/>
      </c>
      <c r="R79" s="513" t="str">
        <f t="shared" si="8"/>
        <v/>
      </c>
      <c r="S79" s="40"/>
      <c r="T79" s="145"/>
      <c r="U79" s="157"/>
      <c r="V79" s="511" t="str">
        <f t="shared" si="9"/>
        <v/>
      </c>
      <c r="W79" s="511" t="str">
        <f t="shared" si="10"/>
        <v/>
      </c>
      <c r="X79" s="511" t="str">
        <f t="shared" si="11"/>
        <v/>
      </c>
      <c r="Y79" s="515" t="str">
        <f t="shared" si="12"/>
        <v/>
      </c>
      <c r="Z79" s="151"/>
      <c r="AA79" s="152"/>
      <c r="AG79" s="31">
        <f t="shared" si="13"/>
        <v>0</v>
      </c>
      <c r="AH79" s="156" t="str">
        <f t="shared" si="14"/>
        <v/>
      </c>
      <c r="AI79" s="156" t="str">
        <f t="shared" si="15"/>
        <v/>
      </c>
      <c r="AK79" s="156">
        <v>70</v>
      </c>
      <c r="AM79" s="156" t="str">
        <f t="array" ref="AM79">IFERROR(INDEX($AK$10:$AK$258, MATCH(0, IF(TRUE=$AH$10:$AH$258, COUNTIF($AM$9:$AM78, $AK$10:$AK$258), ""), 0)),"")</f>
        <v/>
      </c>
      <c r="AN79" s="156" t="str">
        <f t="array" ref="AN79">IFERROR(INDEX($AK$10:$AK$258, MATCH(0, IF(TRUE=$AI$10:$AI$258, COUNTIF($AN$9:$AN78, $AK$10:$AK$258), ""), 0)),"")</f>
        <v/>
      </c>
      <c r="AP79" s="31" t="str">
        <f>IFERROR(INDEX('G-7 Rivers Data'!$AZ$3:$AZ$7,MATCH(D79,'G-7 Rivers Data'!$AY$3:$AY$7,0)),"")</f>
        <v/>
      </c>
    </row>
    <row r="80" spans="3:42" ht="14" x14ac:dyDescent="0.3">
      <c r="C80" s="141">
        <v>71</v>
      </c>
      <c r="D80" s="460"/>
      <c r="E80" s="172"/>
      <c r="F80" s="498" t="str">
        <f>IF(D80="","",VLOOKUP(D80,'G-7 Rivers Data'!$B$2:$G$8,2,FALSE))</f>
        <v/>
      </c>
      <c r="G80" s="499" t="str">
        <f>IFERROR(VLOOKUP(F80,'G-7 Rivers Data'!$C$4:$D$8,2,FALSE),"")</f>
        <v/>
      </c>
      <c r="H80" s="145"/>
      <c r="I80" s="499" t="str">
        <f>IFERROR(INDEX('G-7 Rivers Data'!$H$4:$L$8,MATCH(D80,'G-7 Rivers Data'!$B$4:$B$8,0),MATCH(H80,'G-7 Rivers Data'!$H$3:$L$3,0)),"")</f>
        <v/>
      </c>
      <c r="J80" s="418"/>
      <c r="K80" s="498" t="str">
        <f>IF(J80="","",IF(VLOOKUP(J80,'G-7 Rivers Data'!$AK$4:$AM$9,2,FALSE)=0,"Spatial Data Missing ⚠",VLOOKUP(J80,'G-7 Rivers Data'!$AK$4:$AM$9,2,FALSE)))</f>
        <v/>
      </c>
      <c r="L80" s="505" t="str">
        <f>IF(J80="","",IF(VLOOKUP(J80,'G-7 Rivers Data'!$AK$4:$AM$9,3,FALSE)=0,"Spatial Data Missing ⚠",VLOOKUP(J80,'G-7 Rivers Data'!$AK$4:$AM$9,3,FALSE)))</f>
        <v/>
      </c>
      <c r="M80" s="71"/>
      <c r="N80" s="499" t="str">
        <f>IF(M80="","",IF(VLOOKUP(M80,'G-7 Rivers Data'!$AA$4:$AB$7,2,FALSE)=0,"Spatial Data Missing ⚠",VLOOKUP(M80,'G-7 Rivers Data'!$AA$4:$AB$7,2,FALSE)))</f>
        <v/>
      </c>
      <c r="O80" s="155"/>
      <c r="P80" s="499" t="str">
        <f>IF(O80="","",IF(VLOOKUP(O80,'G-7 Rivers Data'!$AD$4:$AE$8,2,FALSE)=0,"Spatial Data Missing ⚠",VLOOKUP(O80,'G-7 Rivers Data'!$AD$4:$AE$8,2,FALSE)))</f>
        <v/>
      </c>
      <c r="Q80" s="506" t="str">
        <f>IF(D80="","",VLOOKUP(D80,'G-7 Rivers Data'!$B$2:$G$8,6,FALSE))</f>
        <v/>
      </c>
      <c r="R80" s="513" t="str">
        <f t="shared" si="8"/>
        <v/>
      </c>
      <c r="S80" s="40"/>
      <c r="T80" s="145"/>
      <c r="U80" s="157"/>
      <c r="V80" s="511" t="str">
        <f t="shared" si="9"/>
        <v/>
      </c>
      <c r="W80" s="511" t="str">
        <f t="shared" si="10"/>
        <v/>
      </c>
      <c r="X80" s="511" t="str">
        <f t="shared" si="11"/>
        <v/>
      </c>
      <c r="Y80" s="515" t="str">
        <f t="shared" si="12"/>
        <v/>
      </c>
      <c r="Z80" s="151"/>
      <c r="AA80" s="152"/>
      <c r="AG80" s="31">
        <f t="shared" si="13"/>
        <v>0</v>
      </c>
      <c r="AH80" s="156" t="str">
        <f t="shared" si="14"/>
        <v/>
      </c>
      <c r="AI80" s="156" t="str">
        <f t="shared" si="15"/>
        <v/>
      </c>
      <c r="AK80" s="156">
        <v>71</v>
      </c>
      <c r="AM80" s="156" t="str">
        <f t="array" ref="AM80">IFERROR(INDEX($AK$10:$AK$258, MATCH(0, IF(TRUE=$AH$10:$AH$258, COUNTIF($AM$9:$AM79, $AK$10:$AK$258), ""), 0)),"")</f>
        <v/>
      </c>
      <c r="AN80" s="156" t="str">
        <f t="array" ref="AN80">IFERROR(INDEX($AK$10:$AK$258, MATCH(0, IF(TRUE=$AI$10:$AI$258, COUNTIF($AN$9:$AN79, $AK$10:$AK$258), ""), 0)),"")</f>
        <v/>
      </c>
      <c r="AP80" s="31" t="str">
        <f>IFERROR(INDEX('G-7 Rivers Data'!$AZ$3:$AZ$7,MATCH(D80,'G-7 Rivers Data'!$AY$3:$AY$7,0)),"")</f>
        <v/>
      </c>
    </row>
    <row r="81" spans="3:42" ht="14" x14ac:dyDescent="0.3">
      <c r="C81" s="141">
        <v>72</v>
      </c>
      <c r="D81" s="460"/>
      <c r="E81" s="172"/>
      <c r="F81" s="498" t="str">
        <f>IF(D81="","",VLOOKUP(D81,'G-7 Rivers Data'!$B$2:$G$8,2,FALSE))</f>
        <v/>
      </c>
      <c r="G81" s="499" t="str">
        <f>IFERROR(VLOOKUP(F81,'G-7 Rivers Data'!$C$4:$D$8,2,FALSE),"")</f>
        <v/>
      </c>
      <c r="H81" s="145"/>
      <c r="I81" s="499" t="str">
        <f>IFERROR(INDEX('G-7 Rivers Data'!$H$4:$L$8,MATCH(D81,'G-7 Rivers Data'!$B$4:$B$8,0),MATCH(H81,'G-7 Rivers Data'!$H$3:$L$3,0)),"")</f>
        <v/>
      </c>
      <c r="J81" s="418"/>
      <c r="K81" s="498" t="str">
        <f>IF(J81="","",IF(VLOOKUP(J81,'G-7 Rivers Data'!$AK$4:$AM$9,2,FALSE)=0,"Spatial Data Missing ⚠",VLOOKUP(J81,'G-7 Rivers Data'!$AK$4:$AM$9,2,FALSE)))</f>
        <v/>
      </c>
      <c r="L81" s="505" t="str">
        <f>IF(J81="","",IF(VLOOKUP(J81,'G-7 Rivers Data'!$AK$4:$AM$9,3,FALSE)=0,"Spatial Data Missing ⚠",VLOOKUP(J81,'G-7 Rivers Data'!$AK$4:$AM$9,3,FALSE)))</f>
        <v/>
      </c>
      <c r="M81" s="71"/>
      <c r="N81" s="499" t="str">
        <f>IF(M81="","",IF(VLOOKUP(M81,'G-7 Rivers Data'!$AA$4:$AB$7,2,FALSE)=0,"Spatial Data Missing ⚠",VLOOKUP(M81,'G-7 Rivers Data'!$AA$4:$AB$7,2,FALSE)))</f>
        <v/>
      </c>
      <c r="O81" s="155"/>
      <c r="P81" s="499" t="str">
        <f>IF(O81="","",IF(VLOOKUP(O81,'G-7 Rivers Data'!$AD$4:$AE$8,2,FALSE)=0,"Spatial Data Missing ⚠",VLOOKUP(O81,'G-7 Rivers Data'!$AD$4:$AE$8,2,FALSE)))</f>
        <v/>
      </c>
      <c r="Q81" s="506" t="str">
        <f>IF(D81="","",VLOOKUP(D81,'G-7 Rivers Data'!$B$2:$G$8,6,FALSE))</f>
        <v/>
      </c>
      <c r="R81" s="513" t="str">
        <f t="shared" si="8"/>
        <v/>
      </c>
      <c r="S81" s="40"/>
      <c r="T81" s="145"/>
      <c r="U81" s="157"/>
      <c r="V81" s="511" t="str">
        <f t="shared" si="9"/>
        <v/>
      </c>
      <c r="W81" s="511" t="str">
        <f t="shared" si="10"/>
        <v/>
      </c>
      <c r="X81" s="511" t="str">
        <f t="shared" si="11"/>
        <v/>
      </c>
      <c r="Y81" s="515" t="str">
        <f t="shared" si="12"/>
        <v/>
      </c>
      <c r="Z81" s="151"/>
      <c r="AA81" s="152"/>
      <c r="AG81" s="31">
        <f t="shared" si="13"/>
        <v>0</v>
      </c>
      <c r="AH81" s="156" t="str">
        <f t="shared" si="14"/>
        <v/>
      </c>
      <c r="AI81" s="156" t="str">
        <f t="shared" si="15"/>
        <v/>
      </c>
      <c r="AK81" s="156">
        <v>72</v>
      </c>
      <c r="AM81" s="156" t="str">
        <f t="array" ref="AM81">IFERROR(INDEX($AK$10:$AK$258, MATCH(0, IF(TRUE=$AH$10:$AH$258, COUNTIF($AM$9:$AM80, $AK$10:$AK$258), ""), 0)),"")</f>
        <v/>
      </c>
      <c r="AN81" s="156" t="str">
        <f t="array" ref="AN81">IFERROR(INDEX($AK$10:$AK$258, MATCH(0, IF(TRUE=$AI$10:$AI$258, COUNTIF($AN$9:$AN80, $AK$10:$AK$258), ""), 0)),"")</f>
        <v/>
      </c>
      <c r="AP81" s="31" t="str">
        <f>IFERROR(INDEX('G-7 Rivers Data'!$AZ$3:$AZ$7,MATCH(D81,'G-7 Rivers Data'!$AY$3:$AY$7,0)),"")</f>
        <v/>
      </c>
    </row>
    <row r="82" spans="3:42" ht="14" x14ac:dyDescent="0.3">
      <c r="C82" s="141">
        <v>73</v>
      </c>
      <c r="D82" s="460"/>
      <c r="E82" s="172"/>
      <c r="F82" s="498" t="str">
        <f>IF(D82="","",VLOOKUP(D82,'G-7 Rivers Data'!$B$2:$G$8,2,FALSE))</f>
        <v/>
      </c>
      <c r="G82" s="499" t="str">
        <f>IFERROR(VLOOKUP(F82,'G-7 Rivers Data'!$C$4:$D$8,2,FALSE),"")</f>
        <v/>
      </c>
      <c r="H82" s="145"/>
      <c r="I82" s="499" t="str">
        <f>IFERROR(INDEX('G-7 Rivers Data'!$H$4:$L$8,MATCH(D82,'G-7 Rivers Data'!$B$4:$B$8,0),MATCH(H82,'G-7 Rivers Data'!$H$3:$L$3,0)),"")</f>
        <v/>
      </c>
      <c r="J82" s="418"/>
      <c r="K82" s="498" t="str">
        <f>IF(J82="","",IF(VLOOKUP(J82,'G-7 Rivers Data'!$AK$4:$AM$9,2,FALSE)=0,"Spatial Data Missing ⚠",VLOOKUP(J82,'G-7 Rivers Data'!$AK$4:$AM$9,2,FALSE)))</f>
        <v/>
      </c>
      <c r="L82" s="505" t="str">
        <f>IF(J82="","",IF(VLOOKUP(J82,'G-7 Rivers Data'!$AK$4:$AM$9,3,FALSE)=0,"Spatial Data Missing ⚠",VLOOKUP(J82,'G-7 Rivers Data'!$AK$4:$AM$9,3,FALSE)))</f>
        <v/>
      </c>
      <c r="M82" s="71"/>
      <c r="N82" s="499" t="str">
        <f>IF(M82="","",IF(VLOOKUP(M82,'G-7 Rivers Data'!$AA$4:$AB$7,2,FALSE)=0,"Spatial Data Missing ⚠",VLOOKUP(M82,'G-7 Rivers Data'!$AA$4:$AB$7,2,FALSE)))</f>
        <v/>
      </c>
      <c r="O82" s="155"/>
      <c r="P82" s="499" t="str">
        <f>IF(O82="","",IF(VLOOKUP(O82,'G-7 Rivers Data'!$AD$4:$AE$8,2,FALSE)=0,"Spatial Data Missing ⚠",VLOOKUP(O82,'G-7 Rivers Data'!$AD$4:$AE$8,2,FALSE)))</f>
        <v/>
      </c>
      <c r="Q82" s="506" t="str">
        <f>IF(D82="","",VLOOKUP(D82,'G-7 Rivers Data'!$B$2:$G$8,6,FALSE))</f>
        <v/>
      </c>
      <c r="R82" s="513" t="str">
        <f t="shared" si="8"/>
        <v/>
      </c>
      <c r="S82" s="40"/>
      <c r="T82" s="145"/>
      <c r="U82" s="157"/>
      <c r="V82" s="511" t="str">
        <f t="shared" si="9"/>
        <v/>
      </c>
      <c r="W82" s="511" t="str">
        <f t="shared" si="10"/>
        <v/>
      </c>
      <c r="X82" s="511" t="str">
        <f t="shared" si="11"/>
        <v/>
      </c>
      <c r="Y82" s="515" t="str">
        <f t="shared" si="12"/>
        <v/>
      </c>
      <c r="Z82" s="151"/>
      <c r="AA82" s="152"/>
      <c r="AG82" s="31">
        <f t="shared" si="13"/>
        <v>0</v>
      </c>
      <c r="AH82" s="156" t="str">
        <f t="shared" si="14"/>
        <v/>
      </c>
      <c r="AI82" s="156" t="str">
        <f t="shared" si="15"/>
        <v/>
      </c>
      <c r="AK82" s="156">
        <v>73</v>
      </c>
      <c r="AM82" s="156" t="str">
        <f t="array" ref="AM82">IFERROR(INDEX($AK$10:$AK$258, MATCH(0, IF(TRUE=$AH$10:$AH$258, COUNTIF($AM$9:$AM81, $AK$10:$AK$258), ""), 0)),"")</f>
        <v/>
      </c>
      <c r="AN82" s="156" t="str">
        <f t="array" ref="AN82">IFERROR(INDEX($AK$10:$AK$258, MATCH(0, IF(TRUE=$AI$10:$AI$258, COUNTIF($AN$9:$AN81, $AK$10:$AK$258), ""), 0)),"")</f>
        <v/>
      </c>
      <c r="AP82" s="31" t="str">
        <f>IFERROR(INDEX('G-7 Rivers Data'!$AZ$3:$AZ$7,MATCH(D82,'G-7 Rivers Data'!$AY$3:$AY$7,0)),"")</f>
        <v/>
      </c>
    </row>
    <row r="83" spans="3:42" ht="14" x14ac:dyDescent="0.3">
      <c r="C83" s="141">
        <v>74</v>
      </c>
      <c r="D83" s="460"/>
      <c r="E83" s="172"/>
      <c r="F83" s="498" t="str">
        <f>IF(D83="","",VLOOKUP(D83,'G-7 Rivers Data'!$B$2:$G$8,2,FALSE))</f>
        <v/>
      </c>
      <c r="G83" s="499" t="str">
        <f>IFERROR(VLOOKUP(F83,'G-7 Rivers Data'!$C$4:$D$8,2,FALSE),"")</f>
        <v/>
      </c>
      <c r="H83" s="145"/>
      <c r="I83" s="499" t="str">
        <f>IFERROR(INDEX('G-7 Rivers Data'!$H$4:$L$8,MATCH(D83,'G-7 Rivers Data'!$B$4:$B$8,0),MATCH(H83,'G-7 Rivers Data'!$H$3:$L$3,0)),"")</f>
        <v/>
      </c>
      <c r="J83" s="418"/>
      <c r="K83" s="498" t="str">
        <f>IF(J83="","",IF(VLOOKUP(J83,'G-7 Rivers Data'!$AK$4:$AM$9,2,FALSE)=0,"Spatial Data Missing ⚠",VLOOKUP(J83,'G-7 Rivers Data'!$AK$4:$AM$9,2,FALSE)))</f>
        <v/>
      </c>
      <c r="L83" s="505" t="str">
        <f>IF(J83="","",IF(VLOOKUP(J83,'G-7 Rivers Data'!$AK$4:$AM$9,3,FALSE)=0,"Spatial Data Missing ⚠",VLOOKUP(J83,'G-7 Rivers Data'!$AK$4:$AM$9,3,FALSE)))</f>
        <v/>
      </c>
      <c r="M83" s="71"/>
      <c r="N83" s="499" t="str">
        <f>IF(M83="","",IF(VLOOKUP(M83,'G-7 Rivers Data'!$AA$4:$AB$7,2,FALSE)=0,"Spatial Data Missing ⚠",VLOOKUP(M83,'G-7 Rivers Data'!$AA$4:$AB$7,2,FALSE)))</f>
        <v/>
      </c>
      <c r="O83" s="155"/>
      <c r="P83" s="499" t="str">
        <f>IF(O83="","",IF(VLOOKUP(O83,'G-7 Rivers Data'!$AD$4:$AE$8,2,FALSE)=0,"Spatial Data Missing ⚠",VLOOKUP(O83,'G-7 Rivers Data'!$AD$4:$AE$8,2,FALSE)))</f>
        <v/>
      </c>
      <c r="Q83" s="506" t="str">
        <f>IF(D83="","",VLOOKUP(D83,'G-7 Rivers Data'!$B$2:$G$8,6,FALSE))</f>
        <v/>
      </c>
      <c r="R83" s="513" t="str">
        <f t="shared" si="8"/>
        <v/>
      </c>
      <c r="S83" s="40"/>
      <c r="T83" s="145"/>
      <c r="U83" s="157"/>
      <c r="V83" s="511" t="str">
        <f t="shared" si="9"/>
        <v/>
      </c>
      <c r="W83" s="511" t="str">
        <f t="shared" si="10"/>
        <v/>
      </c>
      <c r="X83" s="511" t="str">
        <f t="shared" si="11"/>
        <v/>
      </c>
      <c r="Y83" s="515" t="str">
        <f t="shared" si="12"/>
        <v/>
      </c>
      <c r="Z83" s="151"/>
      <c r="AA83" s="152"/>
      <c r="AG83" s="31">
        <f t="shared" si="13"/>
        <v>0</v>
      </c>
      <c r="AH83" s="156" t="str">
        <f t="shared" si="14"/>
        <v/>
      </c>
      <c r="AI83" s="156" t="str">
        <f t="shared" si="15"/>
        <v/>
      </c>
      <c r="AK83" s="156">
        <v>74</v>
      </c>
      <c r="AM83" s="156" t="str">
        <f t="array" ref="AM83">IFERROR(INDEX($AK$10:$AK$258, MATCH(0, IF(TRUE=$AH$10:$AH$258, COUNTIF($AM$9:$AM82, $AK$10:$AK$258), ""), 0)),"")</f>
        <v/>
      </c>
      <c r="AN83" s="156" t="str">
        <f t="array" ref="AN83">IFERROR(INDEX($AK$10:$AK$258, MATCH(0, IF(TRUE=$AI$10:$AI$258, COUNTIF($AN$9:$AN82, $AK$10:$AK$258), ""), 0)),"")</f>
        <v/>
      </c>
      <c r="AP83" s="31" t="str">
        <f>IFERROR(INDEX('G-7 Rivers Data'!$AZ$3:$AZ$7,MATCH(D83,'G-7 Rivers Data'!$AY$3:$AY$7,0)),"")</f>
        <v/>
      </c>
    </row>
    <row r="84" spans="3:42" ht="14" x14ac:dyDescent="0.3">
      <c r="C84" s="141">
        <v>75</v>
      </c>
      <c r="D84" s="460"/>
      <c r="E84" s="172"/>
      <c r="F84" s="498" t="str">
        <f>IF(D84="","",VLOOKUP(D84,'G-7 Rivers Data'!$B$2:$G$8,2,FALSE))</f>
        <v/>
      </c>
      <c r="G84" s="499" t="str">
        <f>IFERROR(VLOOKUP(F84,'G-7 Rivers Data'!$C$4:$D$8,2,FALSE),"")</f>
        <v/>
      </c>
      <c r="H84" s="145"/>
      <c r="I84" s="499" t="str">
        <f>IFERROR(INDEX('G-7 Rivers Data'!$H$4:$L$8,MATCH(D84,'G-7 Rivers Data'!$B$4:$B$8,0),MATCH(H84,'G-7 Rivers Data'!$H$3:$L$3,0)),"")</f>
        <v/>
      </c>
      <c r="J84" s="418"/>
      <c r="K84" s="498" t="str">
        <f>IF(J84="","",IF(VLOOKUP(J84,'G-7 Rivers Data'!$AK$4:$AM$9,2,FALSE)=0,"Spatial Data Missing ⚠",VLOOKUP(J84,'G-7 Rivers Data'!$AK$4:$AM$9,2,FALSE)))</f>
        <v/>
      </c>
      <c r="L84" s="505" t="str">
        <f>IF(J84="","",IF(VLOOKUP(J84,'G-7 Rivers Data'!$AK$4:$AM$9,3,FALSE)=0,"Spatial Data Missing ⚠",VLOOKUP(J84,'G-7 Rivers Data'!$AK$4:$AM$9,3,FALSE)))</f>
        <v/>
      </c>
      <c r="M84" s="71"/>
      <c r="N84" s="499" t="str">
        <f>IF(M84="","",IF(VLOOKUP(M84,'G-7 Rivers Data'!$AA$4:$AB$7,2,FALSE)=0,"Spatial Data Missing ⚠",VLOOKUP(M84,'G-7 Rivers Data'!$AA$4:$AB$7,2,FALSE)))</f>
        <v/>
      </c>
      <c r="O84" s="155"/>
      <c r="P84" s="499" t="str">
        <f>IF(O84="","",IF(VLOOKUP(O84,'G-7 Rivers Data'!$AD$4:$AE$8,2,FALSE)=0,"Spatial Data Missing ⚠",VLOOKUP(O84,'G-7 Rivers Data'!$AD$4:$AE$8,2,FALSE)))</f>
        <v/>
      </c>
      <c r="Q84" s="506" t="str">
        <f>IF(D84="","",VLOOKUP(D84,'G-7 Rivers Data'!$B$2:$G$8,6,FALSE))</f>
        <v/>
      </c>
      <c r="R84" s="513" t="str">
        <f t="shared" si="8"/>
        <v/>
      </c>
      <c r="S84" s="40"/>
      <c r="T84" s="145"/>
      <c r="U84" s="157"/>
      <c r="V84" s="511" t="str">
        <f t="shared" si="9"/>
        <v/>
      </c>
      <c r="W84" s="511" t="str">
        <f t="shared" si="10"/>
        <v/>
      </c>
      <c r="X84" s="511" t="str">
        <f t="shared" si="11"/>
        <v/>
      </c>
      <c r="Y84" s="515" t="str">
        <f t="shared" si="12"/>
        <v/>
      </c>
      <c r="Z84" s="151"/>
      <c r="AA84" s="152"/>
      <c r="AG84" s="31">
        <f t="shared" si="13"/>
        <v>0</v>
      </c>
      <c r="AH84" s="156" t="str">
        <f t="shared" si="14"/>
        <v/>
      </c>
      <c r="AI84" s="156" t="str">
        <f t="shared" si="15"/>
        <v/>
      </c>
      <c r="AK84" s="156">
        <v>75</v>
      </c>
      <c r="AM84" s="156" t="str">
        <f t="array" ref="AM84">IFERROR(INDEX($AK$10:$AK$258, MATCH(0, IF(TRUE=$AH$10:$AH$258, COUNTIF($AM$9:$AM83, $AK$10:$AK$258), ""), 0)),"")</f>
        <v/>
      </c>
      <c r="AN84" s="156" t="str">
        <f t="array" ref="AN84">IFERROR(INDEX($AK$10:$AK$258, MATCH(0, IF(TRUE=$AI$10:$AI$258, COUNTIF($AN$9:$AN83, $AK$10:$AK$258), ""), 0)),"")</f>
        <v/>
      </c>
      <c r="AP84" s="31" t="str">
        <f>IFERROR(INDEX('G-7 Rivers Data'!$AZ$3:$AZ$7,MATCH(D84,'G-7 Rivers Data'!$AY$3:$AY$7,0)),"")</f>
        <v/>
      </c>
    </row>
    <row r="85" spans="3:42" ht="14" x14ac:dyDescent="0.3">
      <c r="C85" s="141">
        <v>76</v>
      </c>
      <c r="D85" s="460"/>
      <c r="E85" s="172"/>
      <c r="F85" s="498" t="str">
        <f>IF(D85="","",VLOOKUP(D85,'G-7 Rivers Data'!$B$2:$G$8,2,FALSE))</f>
        <v/>
      </c>
      <c r="G85" s="499" t="str">
        <f>IFERROR(VLOOKUP(F85,'G-7 Rivers Data'!$C$4:$D$8,2,FALSE),"")</f>
        <v/>
      </c>
      <c r="H85" s="145"/>
      <c r="I85" s="499" t="str">
        <f>IFERROR(INDEX('G-7 Rivers Data'!$H$4:$L$8,MATCH(D85,'G-7 Rivers Data'!$B$4:$B$8,0),MATCH(H85,'G-7 Rivers Data'!$H$3:$L$3,0)),"")</f>
        <v/>
      </c>
      <c r="J85" s="418"/>
      <c r="K85" s="498" t="str">
        <f>IF(J85="","",IF(VLOOKUP(J85,'G-7 Rivers Data'!$AK$4:$AM$9,2,FALSE)=0,"Spatial Data Missing ⚠",VLOOKUP(J85,'G-7 Rivers Data'!$AK$4:$AM$9,2,FALSE)))</f>
        <v/>
      </c>
      <c r="L85" s="505" t="str">
        <f>IF(J85="","",IF(VLOOKUP(J85,'G-7 Rivers Data'!$AK$4:$AM$9,3,FALSE)=0,"Spatial Data Missing ⚠",VLOOKUP(J85,'G-7 Rivers Data'!$AK$4:$AM$9,3,FALSE)))</f>
        <v/>
      </c>
      <c r="M85" s="71"/>
      <c r="N85" s="499" t="str">
        <f>IF(M85="","",IF(VLOOKUP(M85,'G-7 Rivers Data'!$AA$4:$AB$7,2,FALSE)=0,"Spatial Data Missing ⚠",VLOOKUP(M85,'G-7 Rivers Data'!$AA$4:$AB$7,2,FALSE)))</f>
        <v/>
      </c>
      <c r="O85" s="155"/>
      <c r="P85" s="499" t="str">
        <f>IF(O85="","",IF(VLOOKUP(O85,'G-7 Rivers Data'!$AD$4:$AE$8,2,FALSE)=0,"Spatial Data Missing ⚠",VLOOKUP(O85,'G-7 Rivers Data'!$AD$4:$AE$8,2,FALSE)))</f>
        <v/>
      </c>
      <c r="Q85" s="506" t="str">
        <f>IF(D85="","",VLOOKUP(D85,'G-7 Rivers Data'!$B$2:$G$8,6,FALSE))</f>
        <v/>
      </c>
      <c r="R85" s="513" t="str">
        <f t="shared" si="8"/>
        <v/>
      </c>
      <c r="S85" s="40"/>
      <c r="T85" s="145"/>
      <c r="U85" s="157"/>
      <c r="V85" s="511" t="str">
        <f t="shared" si="9"/>
        <v/>
      </c>
      <c r="W85" s="511" t="str">
        <f t="shared" si="10"/>
        <v/>
      </c>
      <c r="X85" s="511" t="str">
        <f t="shared" si="11"/>
        <v/>
      </c>
      <c r="Y85" s="515" t="str">
        <f t="shared" si="12"/>
        <v/>
      </c>
      <c r="Z85" s="151"/>
      <c r="AA85" s="152"/>
      <c r="AG85" s="31">
        <f t="shared" si="13"/>
        <v>0</v>
      </c>
      <c r="AH85" s="156" t="str">
        <f t="shared" si="14"/>
        <v/>
      </c>
      <c r="AI85" s="156" t="str">
        <f t="shared" si="15"/>
        <v/>
      </c>
      <c r="AK85" s="156">
        <v>76</v>
      </c>
      <c r="AM85" s="156" t="str">
        <f t="array" ref="AM85">IFERROR(INDEX($AK$10:$AK$258, MATCH(0, IF(TRUE=$AH$10:$AH$258, COUNTIF($AM$9:$AM84, $AK$10:$AK$258), ""), 0)),"")</f>
        <v/>
      </c>
      <c r="AN85" s="156" t="str">
        <f t="array" ref="AN85">IFERROR(INDEX($AK$10:$AK$258, MATCH(0, IF(TRUE=$AI$10:$AI$258, COUNTIF($AN$9:$AN84, $AK$10:$AK$258), ""), 0)),"")</f>
        <v/>
      </c>
      <c r="AP85" s="31" t="str">
        <f>IFERROR(INDEX('G-7 Rivers Data'!$AZ$3:$AZ$7,MATCH(D85,'G-7 Rivers Data'!$AY$3:$AY$7,0)),"")</f>
        <v/>
      </c>
    </row>
    <row r="86" spans="3:42" ht="14" x14ac:dyDescent="0.3">
      <c r="C86" s="141">
        <v>77</v>
      </c>
      <c r="D86" s="460"/>
      <c r="E86" s="172"/>
      <c r="F86" s="498" t="str">
        <f>IF(D86="","",VLOOKUP(D86,'G-7 Rivers Data'!$B$2:$G$8,2,FALSE))</f>
        <v/>
      </c>
      <c r="G86" s="499" t="str">
        <f>IFERROR(VLOOKUP(F86,'G-7 Rivers Data'!$C$4:$D$8,2,FALSE),"")</f>
        <v/>
      </c>
      <c r="H86" s="145"/>
      <c r="I86" s="499" t="str">
        <f>IFERROR(INDEX('G-7 Rivers Data'!$H$4:$L$8,MATCH(D86,'G-7 Rivers Data'!$B$4:$B$8,0),MATCH(H86,'G-7 Rivers Data'!$H$3:$L$3,0)),"")</f>
        <v/>
      </c>
      <c r="J86" s="418"/>
      <c r="K86" s="498" t="str">
        <f>IF(J86="","",IF(VLOOKUP(J86,'G-7 Rivers Data'!$AK$4:$AM$9,2,FALSE)=0,"Spatial Data Missing ⚠",VLOOKUP(J86,'G-7 Rivers Data'!$AK$4:$AM$9,2,FALSE)))</f>
        <v/>
      </c>
      <c r="L86" s="505" t="str">
        <f>IF(J86="","",IF(VLOOKUP(J86,'G-7 Rivers Data'!$AK$4:$AM$9,3,FALSE)=0,"Spatial Data Missing ⚠",VLOOKUP(J86,'G-7 Rivers Data'!$AK$4:$AM$9,3,FALSE)))</f>
        <v/>
      </c>
      <c r="M86" s="71"/>
      <c r="N86" s="499" t="str">
        <f>IF(M86="","",IF(VLOOKUP(M86,'G-7 Rivers Data'!$AA$4:$AB$7,2,FALSE)=0,"Spatial Data Missing ⚠",VLOOKUP(M86,'G-7 Rivers Data'!$AA$4:$AB$7,2,FALSE)))</f>
        <v/>
      </c>
      <c r="O86" s="155"/>
      <c r="P86" s="499" t="str">
        <f>IF(O86="","",IF(VLOOKUP(O86,'G-7 Rivers Data'!$AD$4:$AE$8,2,FALSE)=0,"Spatial Data Missing ⚠",VLOOKUP(O86,'G-7 Rivers Data'!$AD$4:$AE$8,2,FALSE)))</f>
        <v/>
      </c>
      <c r="Q86" s="506" t="str">
        <f>IF(D86="","",VLOOKUP(D86,'G-7 Rivers Data'!$B$2:$G$8,6,FALSE))</f>
        <v/>
      </c>
      <c r="R86" s="513" t="str">
        <f t="shared" si="8"/>
        <v/>
      </c>
      <c r="S86" s="40"/>
      <c r="T86" s="145"/>
      <c r="U86" s="157"/>
      <c r="V86" s="511" t="str">
        <f t="shared" si="9"/>
        <v/>
      </c>
      <c r="W86" s="511" t="str">
        <f t="shared" si="10"/>
        <v/>
      </c>
      <c r="X86" s="511" t="str">
        <f t="shared" si="11"/>
        <v/>
      </c>
      <c r="Y86" s="515" t="str">
        <f t="shared" si="12"/>
        <v/>
      </c>
      <c r="Z86" s="151"/>
      <c r="AA86" s="152"/>
      <c r="AG86" s="31">
        <f t="shared" si="13"/>
        <v>0</v>
      </c>
      <c r="AH86" s="156" t="str">
        <f t="shared" si="14"/>
        <v/>
      </c>
      <c r="AI86" s="156" t="str">
        <f t="shared" si="15"/>
        <v/>
      </c>
      <c r="AK86" s="156">
        <v>77</v>
      </c>
      <c r="AM86" s="156" t="str">
        <f t="array" ref="AM86">IFERROR(INDEX($AK$10:$AK$258, MATCH(0, IF(TRUE=$AH$10:$AH$258, COUNTIF($AM$9:$AM85, $AK$10:$AK$258), ""), 0)),"")</f>
        <v/>
      </c>
      <c r="AN86" s="156" t="str">
        <f t="array" ref="AN86">IFERROR(INDEX($AK$10:$AK$258, MATCH(0, IF(TRUE=$AI$10:$AI$258, COUNTIF($AN$9:$AN85, $AK$10:$AK$258), ""), 0)),"")</f>
        <v/>
      </c>
      <c r="AP86" s="31" t="str">
        <f>IFERROR(INDEX('G-7 Rivers Data'!$AZ$3:$AZ$7,MATCH(D86,'G-7 Rivers Data'!$AY$3:$AY$7,0)),"")</f>
        <v/>
      </c>
    </row>
    <row r="87" spans="3:42" ht="14" x14ac:dyDescent="0.3">
      <c r="C87" s="141">
        <v>78</v>
      </c>
      <c r="D87" s="460"/>
      <c r="E87" s="172"/>
      <c r="F87" s="498" t="str">
        <f>IF(D87="","",VLOOKUP(D87,'G-7 Rivers Data'!$B$2:$G$8,2,FALSE))</f>
        <v/>
      </c>
      <c r="G87" s="499" t="str">
        <f>IFERROR(VLOOKUP(F87,'G-7 Rivers Data'!$C$4:$D$8,2,FALSE),"")</f>
        <v/>
      </c>
      <c r="H87" s="145"/>
      <c r="I87" s="499" t="str">
        <f>IFERROR(INDEX('G-7 Rivers Data'!$H$4:$L$8,MATCH(D87,'G-7 Rivers Data'!$B$4:$B$8,0),MATCH(H87,'G-7 Rivers Data'!$H$3:$L$3,0)),"")</f>
        <v/>
      </c>
      <c r="J87" s="418"/>
      <c r="K87" s="498" t="str">
        <f>IF(J87="","",IF(VLOOKUP(J87,'G-7 Rivers Data'!$AK$4:$AM$9,2,FALSE)=0,"Spatial Data Missing ⚠",VLOOKUP(J87,'G-7 Rivers Data'!$AK$4:$AM$9,2,FALSE)))</f>
        <v/>
      </c>
      <c r="L87" s="505" t="str">
        <f>IF(J87="","",IF(VLOOKUP(J87,'G-7 Rivers Data'!$AK$4:$AM$9,3,FALSE)=0,"Spatial Data Missing ⚠",VLOOKUP(J87,'G-7 Rivers Data'!$AK$4:$AM$9,3,FALSE)))</f>
        <v/>
      </c>
      <c r="M87" s="71"/>
      <c r="N87" s="499" t="str">
        <f>IF(M87="","",IF(VLOOKUP(M87,'G-7 Rivers Data'!$AA$4:$AB$7,2,FALSE)=0,"Spatial Data Missing ⚠",VLOOKUP(M87,'G-7 Rivers Data'!$AA$4:$AB$7,2,FALSE)))</f>
        <v/>
      </c>
      <c r="O87" s="155"/>
      <c r="P87" s="499" t="str">
        <f>IF(O87="","",IF(VLOOKUP(O87,'G-7 Rivers Data'!$AD$4:$AE$8,2,FALSE)=0,"Spatial Data Missing ⚠",VLOOKUP(O87,'G-7 Rivers Data'!$AD$4:$AE$8,2,FALSE)))</f>
        <v/>
      </c>
      <c r="Q87" s="506" t="str">
        <f>IF(D87="","",VLOOKUP(D87,'G-7 Rivers Data'!$B$2:$G$8,6,FALSE))</f>
        <v/>
      </c>
      <c r="R87" s="513" t="str">
        <f t="shared" si="8"/>
        <v/>
      </c>
      <c r="S87" s="40"/>
      <c r="T87" s="145"/>
      <c r="U87" s="157"/>
      <c r="V87" s="511" t="str">
        <f t="shared" si="9"/>
        <v/>
      </c>
      <c r="W87" s="511" t="str">
        <f t="shared" si="10"/>
        <v/>
      </c>
      <c r="X87" s="511" t="str">
        <f t="shared" si="11"/>
        <v/>
      </c>
      <c r="Y87" s="515" t="str">
        <f t="shared" si="12"/>
        <v/>
      </c>
      <c r="Z87" s="151"/>
      <c r="AA87" s="152"/>
      <c r="AG87" s="31">
        <f t="shared" si="13"/>
        <v>0</v>
      </c>
      <c r="AH87" s="156" t="str">
        <f t="shared" si="14"/>
        <v/>
      </c>
      <c r="AI87" s="156" t="str">
        <f t="shared" si="15"/>
        <v/>
      </c>
      <c r="AK87" s="156">
        <v>78</v>
      </c>
      <c r="AM87" s="156" t="str">
        <f t="array" ref="AM87">IFERROR(INDEX($AK$10:$AK$258, MATCH(0, IF(TRUE=$AH$10:$AH$258, COUNTIF($AM$9:$AM86, $AK$10:$AK$258), ""), 0)),"")</f>
        <v/>
      </c>
      <c r="AN87" s="156" t="str">
        <f t="array" ref="AN87">IFERROR(INDEX($AK$10:$AK$258, MATCH(0, IF(TRUE=$AI$10:$AI$258, COUNTIF($AN$9:$AN86, $AK$10:$AK$258), ""), 0)),"")</f>
        <v/>
      </c>
      <c r="AP87" s="31" t="str">
        <f>IFERROR(INDEX('G-7 Rivers Data'!$AZ$3:$AZ$7,MATCH(D87,'G-7 Rivers Data'!$AY$3:$AY$7,0)),"")</f>
        <v/>
      </c>
    </row>
    <row r="88" spans="3:42" ht="14" x14ac:dyDescent="0.3">
      <c r="C88" s="141">
        <v>79</v>
      </c>
      <c r="D88" s="460"/>
      <c r="E88" s="172"/>
      <c r="F88" s="498" t="str">
        <f>IF(D88="","",VLOOKUP(D88,'G-7 Rivers Data'!$B$2:$G$8,2,FALSE))</f>
        <v/>
      </c>
      <c r="G88" s="499" t="str">
        <f>IFERROR(VLOOKUP(F88,'G-7 Rivers Data'!$C$4:$D$8,2,FALSE),"")</f>
        <v/>
      </c>
      <c r="H88" s="145"/>
      <c r="I88" s="499" t="str">
        <f>IFERROR(INDEX('G-7 Rivers Data'!$H$4:$L$8,MATCH(D88,'G-7 Rivers Data'!$B$4:$B$8,0),MATCH(H88,'G-7 Rivers Data'!$H$3:$L$3,0)),"")</f>
        <v/>
      </c>
      <c r="J88" s="418"/>
      <c r="K88" s="498" t="str">
        <f>IF(J88="","",IF(VLOOKUP(J88,'G-7 Rivers Data'!$AK$4:$AM$9,2,FALSE)=0,"Spatial Data Missing ⚠",VLOOKUP(J88,'G-7 Rivers Data'!$AK$4:$AM$9,2,FALSE)))</f>
        <v/>
      </c>
      <c r="L88" s="505" t="str">
        <f>IF(J88="","",IF(VLOOKUP(J88,'G-7 Rivers Data'!$AK$4:$AM$9,3,FALSE)=0,"Spatial Data Missing ⚠",VLOOKUP(J88,'G-7 Rivers Data'!$AK$4:$AM$9,3,FALSE)))</f>
        <v/>
      </c>
      <c r="M88" s="71"/>
      <c r="N88" s="499" t="str">
        <f>IF(M88="","",IF(VLOOKUP(M88,'G-7 Rivers Data'!$AA$4:$AB$7,2,FALSE)=0,"Spatial Data Missing ⚠",VLOOKUP(M88,'G-7 Rivers Data'!$AA$4:$AB$7,2,FALSE)))</f>
        <v/>
      </c>
      <c r="O88" s="155"/>
      <c r="P88" s="499" t="str">
        <f>IF(O88="","",IF(VLOOKUP(O88,'G-7 Rivers Data'!$AD$4:$AE$8,2,FALSE)=0,"Spatial Data Missing ⚠",VLOOKUP(O88,'G-7 Rivers Data'!$AD$4:$AE$8,2,FALSE)))</f>
        <v/>
      </c>
      <c r="Q88" s="506" t="str">
        <f>IF(D88="","",VLOOKUP(D88,'G-7 Rivers Data'!$B$2:$G$8,6,FALSE))</f>
        <v/>
      </c>
      <c r="R88" s="513" t="str">
        <f t="shared" si="8"/>
        <v/>
      </c>
      <c r="S88" s="40"/>
      <c r="T88" s="145"/>
      <c r="U88" s="157"/>
      <c r="V88" s="511" t="str">
        <f t="shared" si="9"/>
        <v/>
      </c>
      <c r="W88" s="511" t="str">
        <f t="shared" si="10"/>
        <v/>
      </c>
      <c r="X88" s="511" t="str">
        <f t="shared" si="11"/>
        <v/>
      </c>
      <c r="Y88" s="515" t="str">
        <f t="shared" si="12"/>
        <v/>
      </c>
      <c r="Z88" s="151"/>
      <c r="AA88" s="152"/>
      <c r="AG88" s="31">
        <f t="shared" si="13"/>
        <v>0</v>
      </c>
      <c r="AH88" s="156" t="str">
        <f t="shared" si="14"/>
        <v/>
      </c>
      <c r="AI88" s="156" t="str">
        <f t="shared" si="15"/>
        <v/>
      </c>
      <c r="AK88" s="156">
        <v>79</v>
      </c>
      <c r="AM88" s="156" t="str">
        <f t="array" ref="AM88">IFERROR(INDEX($AK$10:$AK$258, MATCH(0, IF(TRUE=$AH$10:$AH$258, COUNTIF($AM$9:$AM87, $AK$10:$AK$258), ""), 0)),"")</f>
        <v/>
      </c>
      <c r="AN88" s="156" t="str">
        <f t="array" ref="AN88">IFERROR(INDEX($AK$10:$AK$258, MATCH(0, IF(TRUE=$AI$10:$AI$258, COUNTIF($AN$9:$AN87, $AK$10:$AK$258), ""), 0)),"")</f>
        <v/>
      </c>
      <c r="AP88" s="31" t="str">
        <f>IFERROR(INDEX('G-7 Rivers Data'!$AZ$3:$AZ$7,MATCH(D88,'G-7 Rivers Data'!$AY$3:$AY$7,0)),"")</f>
        <v/>
      </c>
    </row>
    <row r="89" spans="3:42" ht="14" x14ac:dyDescent="0.3">
      <c r="C89" s="141">
        <v>80</v>
      </c>
      <c r="D89" s="460"/>
      <c r="E89" s="172"/>
      <c r="F89" s="498" t="str">
        <f>IF(D89="","",VLOOKUP(D89,'G-7 Rivers Data'!$B$2:$G$8,2,FALSE))</f>
        <v/>
      </c>
      <c r="G89" s="499" t="str">
        <f>IFERROR(VLOOKUP(F89,'G-7 Rivers Data'!$C$4:$D$8,2,FALSE),"")</f>
        <v/>
      </c>
      <c r="H89" s="145"/>
      <c r="I89" s="499" t="str">
        <f>IFERROR(INDEX('G-7 Rivers Data'!$H$4:$L$8,MATCH(D89,'G-7 Rivers Data'!$B$4:$B$8,0),MATCH(H89,'G-7 Rivers Data'!$H$3:$L$3,0)),"")</f>
        <v/>
      </c>
      <c r="J89" s="418"/>
      <c r="K89" s="498" t="str">
        <f>IF(J89="","",IF(VLOOKUP(J89,'G-7 Rivers Data'!$AK$4:$AM$9,2,FALSE)=0,"Spatial Data Missing ⚠",VLOOKUP(J89,'G-7 Rivers Data'!$AK$4:$AM$9,2,FALSE)))</f>
        <v/>
      </c>
      <c r="L89" s="505" t="str">
        <f>IF(J89="","",IF(VLOOKUP(J89,'G-7 Rivers Data'!$AK$4:$AM$9,3,FALSE)=0,"Spatial Data Missing ⚠",VLOOKUP(J89,'G-7 Rivers Data'!$AK$4:$AM$9,3,FALSE)))</f>
        <v/>
      </c>
      <c r="M89" s="71"/>
      <c r="N89" s="499" t="str">
        <f>IF(M89="","",IF(VLOOKUP(M89,'G-7 Rivers Data'!$AA$4:$AB$7,2,FALSE)=0,"Spatial Data Missing ⚠",VLOOKUP(M89,'G-7 Rivers Data'!$AA$4:$AB$7,2,FALSE)))</f>
        <v/>
      </c>
      <c r="O89" s="155"/>
      <c r="P89" s="499" t="str">
        <f>IF(O89="","",IF(VLOOKUP(O89,'G-7 Rivers Data'!$AD$4:$AE$8,2,FALSE)=0,"Spatial Data Missing ⚠",VLOOKUP(O89,'G-7 Rivers Data'!$AD$4:$AE$8,2,FALSE)))</f>
        <v/>
      </c>
      <c r="Q89" s="506" t="str">
        <f>IF(D89="","",VLOOKUP(D89,'G-7 Rivers Data'!$B$2:$G$8,6,FALSE))</f>
        <v/>
      </c>
      <c r="R89" s="513" t="str">
        <f t="shared" si="8"/>
        <v/>
      </c>
      <c r="S89" s="40"/>
      <c r="T89" s="145"/>
      <c r="U89" s="157"/>
      <c r="V89" s="511" t="str">
        <f t="shared" si="9"/>
        <v/>
      </c>
      <c r="W89" s="511" t="str">
        <f t="shared" si="10"/>
        <v/>
      </c>
      <c r="X89" s="511" t="str">
        <f t="shared" si="11"/>
        <v/>
      </c>
      <c r="Y89" s="515" t="str">
        <f t="shared" si="12"/>
        <v/>
      </c>
      <c r="Z89" s="151"/>
      <c r="AA89" s="152"/>
      <c r="AG89" s="31">
        <f t="shared" si="13"/>
        <v>0</v>
      </c>
      <c r="AH89" s="156" t="str">
        <f t="shared" si="14"/>
        <v/>
      </c>
      <c r="AI89" s="156" t="str">
        <f t="shared" si="15"/>
        <v/>
      </c>
      <c r="AK89" s="156">
        <v>80</v>
      </c>
      <c r="AM89" s="156" t="str">
        <f t="array" ref="AM89">IFERROR(INDEX($AK$10:$AK$258, MATCH(0, IF(TRUE=$AH$10:$AH$258, COUNTIF($AM$9:$AM88, $AK$10:$AK$258), ""), 0)),"")</f>
        <v/>
      </c>
      <c r="AN89" s="156" t="str">
        <f t="array" ref="AN89">IFERROR(INDEX($AK$10:$AK$258, MATCH(0, IF(TRUE=$AI$10:$AI$258, COUNTIF($AN$9:$AN88, $AK$10:$AK$258), ""), 0)),"")</f>
        <v/>
      </c>
      <c r="AP89" s="31" t="str">
        <f>IFERROR(INDEX('G-7 Rivers Data'!$AZ$3:$AZ$7,MATCH(D89,'G-7 Rivers Data'!$AY$3:$AY$7,0)),"")</f>
        <v/>
      </c>
    </row>
    <row r="90" spans="3:42" ht="14" x14ac:dyDescent="0.3">
      <c r="C90" s="141">
        <v>81</v>
      </c>
      <c r="D90" s="460"/>
      <c r="E90" s="172"/>
      <c r="F90" s="498" t="str">
        <f>IF(D90="","",VLOOKUP(D90,'G-7 Rivers Data'!$B$2:$G$8,2,FALSE))</f>
        <v/>
      </c>
      <c r="G90" s="499" t="str">
        <f>IFERROR(VLOOKUP(F90,'G-7 Rivers Data'!$C$4:$D$8,2,FALSE),"")</f>
        <v/>
      </c>
      <c r="H90" s="145"/>
      <c r="I90" s="499" t="str">
        <f>IFERROR(INDEX('G-7 Rivers Data'!$H$4:$L$8,MATCH(D90,'G-7 Rivers Data'!$B$4:$B$8,0),MATCH(H90,'G-7 Rivers Data'!$H$3:$L$3,0)),"")</f>
        <v/>
      </c>
      <c r="J90" s="418"/>
      <c r="K90" s="498" t="str">
        <f>IF(J90="","",IF(VLOOKUP(J90,'G-7 Rivers Data'!$AK$4:$AM$9,2,FALSE)=0,"Spatial Data Missing ⚠",VLOOKUP(J90,'G-7 Rivers Data'!$AK$4:$AM$9,2,FALSE)))</f>
        <v/>
      </c>
      <c r="L90" s="505" t="str">
        <f>IF(J90="","",IF(VLOOKUP(J90,'G-7 Rivers Data'!$AK$4:$AM$9,3,FALSE)=0,"Spatial Data Missing ⚠",VLOOKUP(J90,'G-7 Rivers Data'!$AK$4:$AM$9,3,FALSE)))</f>
        <v/>
      </c>
      <c r="M90" s="71"/>
      <c r="N90" s="499" t="str">
        <f>IF(M90="","",IF(VLOOKUP(M90,'G-7 Rivers Data'!$AA$4:$AB$7,2,FALSE)=0,"Spatial Data Missing ⚠",VLOOKUP(M90,'G-7 Rivers Data'!$AA$4:$AB$7,2,FALSE)))</f>
        <v/>
      </c>
      <c r="O90" s="155"/>
      <c r="P90" s="499" t="str">
        <f>IF(O90="","",IF(VLOOKUP(O90,'G-7 Rivers Data'!$AD$4:$AE$8,2,FALSE)=0,"Spatial Data Missing ⚠",VLOOKUP(O90,'G-7 Rivers Data'!$AD$4:$AE$8,2,FALSE)))</f>
        <v/>
      </c>
      <c r="Q90" s="506" t="str">
        <f>IF(D90="","",VLOOKUP(D90,'G-7 Rivers Data'!$B$2:$G$8,6,FALSE))</f>
        <v/>
      </c>
      <c r="R90" s="513" t="str">
        <f t="shared" si="8"/>
        <v/>
      </c>
      <c r="S90" s="40"/>
      <c r="T90" s="145"/>
      <c r="U90" s="157"/>
      <c r="V90" s="511" t="str">
        <f t="shared" si="9"/>
        <v/>
      </c>
      <c r="W90" s="511" t="str">
        <f t="shared" si="10"/>
        <v/>
      </c>
      <c r="X90" s="511" t="str">
        <f t="shared" si="11"/>
        <v/>
      </c>
      <c r="Y90" s="515" t="str">
        <f t="shared" si="12"/>
        <v/>
      </c>
      <c r="Z90" s="151"/>
      <c r="AA90" s="152"/>
      <c r="AG90" s="31">
        <f t="shared" si="13"/>
        <v>0</v>
      </c>
      <c r="AH90" s="156" t="str">
        <f t="shared" si="14"/>
        <v/>
      </c>
      <c r="AI90" s="156" t="str">
        <f t="shared" si="15"/>
        <v/>
      </c>
      <c r="AK90" s="156">
        <v>81</v>
      </c>
      <c r="AM90" s="156" t="str">
        <f t="array" ref="AM90">IFERROR(INDEX($AK$10:$AK$258, MATCH(0, IF(TRUE=$AH$10:$AH$258, COUNTIF($AM$9:$AM89, $AK$10:$AK$258), ""), 0)),"")</f>
        <v/>
      </c>
      <c r="AN90" s="156" t="str">
        <f t="array" ref="AN90">IFERROR(INDEX($AK$10:$AK$258, MATCH(0, IF(TRUE=$AI$10:$AI$258, COUNTIF($AN$9:$AN89, $AK$10:$AK$258), ""), 0)),"")</f>
        <v/>
      </c>
      <c r="AP90" s="31" t="str">
        <f>IFERROR(INDEX('G-7 Rivers Data'!$AZ$3:$AZ$7,MATCH(D90,'G-7 Rivers Data'!$AY$3:$AY$7,0)),"")</f>
        <v/>
      </c>
    </row>
    <row r="91" spans="3:42" ht="14" x14ac:dyDescent="0.3">
      <c r="C91" s="141">
        <v>82</v>
      </c>
      <c r="D91" s="460"/>
      <c r="E91" s="172"/>
      <c r="F91" s="498" t="str">
        <f>IF(D91="","",VLOOKUP(D91,'G-7 Rivers Data'!$B$2:$G$8,2,FALSE))</f>
        <v/>
      </c>
      <c r="G91" s="499" t="str">
        <f>IFERROR(VLOOKUP(F91,'G-7 Rivers Data'!$C$4:$D$8,2,FALSE),"")</f>
        <v/>
      </c>
      <c r="H91" s="145"/>
      <c r="I91" s="499" t="str">
        <f>IFERROR(INDEX('G-7 Rivers Data'!$H$4:$L$8,MATCH(D91,'G-7 Rivers Data'!$B$4:$B$8,0),MATCH(H91,'G-7 Rivers Data'!$H$3:$L$3,0)),"")</f>
        <v/>
      </c>
      <c r="J91" s="418"/>
      <c r="K91" s="498" t="str">
        <f>IF(J91="","",IF(VLOOKUP(J91,'G-7 Rivers Data'!$AK$4:$AM$9,2,FALSE)=0,"Spatial Data Missing ⚠",VLOOKUP(J91,'G-7 Rivers Data'!$AK$4:$AM$9,2,FALSE)))</f>
        <v/>
      </c>
      <c r="L91" s="505" t="str">
        <f>IF(J91="","",IF(VLOOKUP(J91,'G-7 Rivers Data'!$AK$4:$AM$9,3,FALSE)=0,"Spatial Data Missing ⚠",VLOOKUP(J91,'G-7 Rivers Data'!$AK$4:$AM$9,3,FALSE)))</f>
        <v/>
      </c>
      <c r="M91" s="71"/>
      <c r="N91" s="499" t="str">
        <f>IF(M91="","",IF(VLOOKUP(M91,'G-7 Rivers Data'!$AA$4:$AB$7,2,FALSE)=0,"Spatial Data Missing ⚠",VLOOKUP(M91,'G-7 Rivers Data'!$AA$4:$AB$7,2,FALSE)))</f>
        <v/>
      </c>
      <c r="O91" s="155"/>
      <c r="P91" s="499" t="str">
        <f>IF(O91="","",IF(VLOOKUP(O91,'G-7 Rivers Data'!$AD$4:$AE$8,2,FALSE)=0,"Spatial Data Missing ⚠",VLOOKUP(O91,'G-7 Rivers Data'!$AD$4:$AE$8,2,FALSE)))</f>
        <v/>
      </c>
      <c r="Q91" s="506" t="str">
        <f>IF(D91="","",VLOOKUP(D91,'G-7 Rivers Data'!$B$2:$G$8,6,FALSE))</f>
        <v/>
      </c>
      <c r="R91" s="513" t="str">
        <f t="shared" si="8"/>
        <v/>
      </c>
      <c r="S91" s="40"/>
      <c r="T91" s="145"/>
      <c r="U91" s="157"/>
      <c r="V91" s="511" t="str">
        <f t="shared" si="9"/>
        <v/>
      </c>
      <c r="W91" s="511" t="str">
        <f t="shared" si="10"/>
        <v/>
      </c>
      <c r="X91" s="511" t="str">
        <f t="shared" si="11"/>
        <v/>
      </c>
      <c r="Y91" s="515" t="str">
        <f t="shared" si="12"/>
        <v/>
      </c>
      <c r="Z91" s="151"/>
      <c r="AA91" s="152"/>
      <c r="AG91" s="31">
        <f t="shared" si="13"/>
        <v>0</v>
      </c>
      <c r="AH91" s="156" t="str">
        <f t="shared" si="14"/>
        <v/>
      </c>
      <c r="AI91" s="156" t="str">
        <f t="shared" si="15"/>
        <v/>
      </c>
      <c r="AK91" s="156">
        <v>82</v>
      </c>
      <c r="AM91" s="156" t="str">
        <f t="array" ref="AM91">IFERROR(INDEX($AK$10:$AK$258, MATCH(0, IF(TRUE=$AH$10:$AH$258, COUNTIF($AM$9:$AM90, $AK$10:$AK$258), ""), 0)),"")</f>
        <v/>
      </c>
      <c r="AN91" s="156" t="str">
        <f t="array" ref="AN91">IFERROR(INDEX($AK$10:$AK$258, MATCH(0, IF(TRUE=$AI$10:$AI$258, COUNTIF($AN$9:$AN90, $AK$10:$AK$258), ""), 0)),"")</f>
        <v/>
      </c>
      <c r="AP91" s="31" t="str">
        <f>IFERROR(INDEX('G-7 Rivers Data'!$AZ$3:$AZ$7,MATCH(D91,'G-7 Rivers Data'!$AY$3:$AY$7,0)),"")</f>
        <v/>
      </c>
    </row>
    <row r="92" spans="3:42" ht="14" x14ac:dyDescent="0.3">
      <c r="C92" s="141">
        <v>83</v>
      </c>
      <c r="D92" s="460"/>
      <c r="E92" s="172"/>
      <c r="F92" s="498" t="str">
        <f>IF(D92="","",VLOOKUP(D92,'G-7 Rivers Data'!$B$2:$G$8,2,FALSE))</f>
        <v/>
      </c>
      <c r="G92" s="499" t="str">
        <f>IFERROR(VLOOKUP(F92,'G-7 Rivers Data'!$C$4:$D$8,2,FALSE),"")</f>
        <v/>
      </c>
      <c r="H92" s="145"/>
      <c r="I92" s="499" t="str">
        <f>IFERROR(INDEX('G-7 Rivers Data'!$H$4:$L$8,MATCH(D92,'G-7 Rivers Data'!$B$4:$B$8,0),MATCH(H92,'G-7 Rivers Data'!$H$3:$L$3,0)),"")</f>
        <v/>
      </c>
      <c r="J92" s="418"/>
      <c r="K92" s="498" t="str">
        <f>IF(J92="","",IF(VLOOKUP(J92,'G-7 Rivers Data'!$AK$4:$AM$9,2,FALSE)=0,"Spatial Data Missing ⚠",VLOOKUP(J92,'G-7 Rivers Data'!$AK$4:$AM$9,2,FALSE)))</f>
        <v/>
      </c>
      <c r="L92" s="505" t="str">
        <f>IF(J92="","",IF(VLOOKUP(J92,'G-7 Rivers Data'!$AK$4:$AM$9,3,FALSE)=0,"Spatial Data Missing ⚠",VLOOKUP(J92,'G-7 Rivers Data'!$AK$4:$AM$9,3,FALSE)))</f>
        <v/>
      </c>
      <c r="M92" s="71"/>
      <c r="N92" s="499" t="str">
        <f>IF(M92="","",IF(VLOOKUP(M92,'G-7 Rivers Data'!$AA$4:$AB$7,2,FALSE)=0,"Spatial Data Missing ⚠",VLOOKUP(M92,'G-7 Rivers Data'!$AA$4:$AB$7,2,FALSE)))</f>
        <v/>
      </c>
      <c r="O92" s="155"/>
      <c r="P92" s="499" t="str">
        <f>IF(O92="","",IF(VLOOKUP(O92,'G-7 Rivers Data'!$AD$4:$AE$8,2,FALSE)=0,"Spatial Data Missing ⚠",VLOOKUP(O92,'G-7 Rivers Data'!$AD$4:$AE$8,2,FALSE)))</f>
        <v/>
      </c>
      <c r="Q92" s="506" t="str">
        <f>IF(D92="","",VLOOKUP(D92,'G-7 Rivers Data'!$B$2:$G$8,6,FALSE))</f>
        <v/>
      </c>
      <c r="R92" s="513" t="str">
        <f t="shared" si="8"/>
        <v/>
      </c>
      <c r="S92" s="40"/>
      <c r="T92" s="145"/>
      <c r="U92" s="157"/>
      <c r="V92" s="511" t="str">
        <f t="shared" si="9"/>
        <v/>
      </c>
      <c r="W92" s="511" t="str">
        <f t="shared" si="10"/>
        <v/>
      </c>
      <c r="X92" s="511" t="str">
        <f t="shared" si="11"/>
        <v/>
      </c>
      <c r="Y92" s="515" t="str">
        <f t="shared" si="12"/>
        <v/>
      </c>
      <c r="Z92" s="151"/>
      <c r="AA92" s="152"/>
      <c r="AG92" s="31">
        <f t="shared" si="13"/>
        <v>0</v>
      </c>
      <c r="AH92" s="156" t="str">
        <f t="shared" si="14"/>
        <v/>
      </c>
      <c r="AI92" s="156" t="str">
        <f t="shared" si="15"/>
        <v/>
      </c>
      <c r="AK92" s="156">
        <v>83</v>
      </c>
      <c r="AM92" s="156" t="str">
        <f t="array" ref="AM92">IFERROR(INDEX($AK$10:$AK$258, MATCH(0, IF(TRUE=$AH$10:$AH$258, COUNTIF($AM$9:$AM91, $AK$10:$AK$258), ""), 0)),"")</f>
        <v/>
      </c>
      <c r="AN92" s="156" t="str">
        <f t="array" ref="AN92">IFERROR(INDEX($AK$10:$AK$258, MATCH(0, IF(TRUE=$AI$10:$AI$258, COUNTIF($AN$9:$AN91, $AK$10:$AK$258), ""), 0)),"")</f>
        <v/>
      </c>
      <c r="AP92" s="31" t="str">
        <f>IFERROR(INDEX('G-7 Rivers Data'!$AZ$3:$AZ$7,MATCH(D92,'G-7 Rivers Data'!$AY$3:$AY$7,0)),"")</f>
        <v/>
      </c>
    </row>
    <row r="93" spans="3:42" ht="14" x14ac:dyDescent="0.3">
      <c r="C93" s="141">
        <v>84</v>
      </c>
      <c r="D93" s="460"/>
      <c r="E93" s="172"/>
      <c r="F93" s="498" t="str">
        <f>IF(D93="","",VLOOKUP(D93,'G-7 Rivers Data'!$B$2:$G$8,2,FALSE))</f>
        <v/>
      </c>
      <c r="G93" s="499" t="str">
        <f>IFERROR(VLOOKUP(F93,'G-7 Rivers Data'!$C$4:$D$8,2,FALSE),"")</f>
        <v/>
      </c>
      <c r="H93" s="145"/>
      <c r="I93" s="499" t="str">
        <f>IFERROR(INDEX('G-7 Rivers Data'!$H$4:$L$8,MATCH(D93,'G-7 Rivers Data'!$B$4:$B$8,0),MATCH(H93,'G-7 Rivers Data'!$H$3:$L$3,0)),"")</f>
        <v/>
      </c>
      <c r="J93" s="418"/>
      <c r="K93" s="498" t="str">
        <f>IF(J93="","",IF(VLOOKUP(J93,'G-7 Rivers Data'!$AK$4:$AM$9,2,FALSE)=0,"Spatial Data Missing ⚠",VLOOKUP(J93,'G-7 Rivers Data'!$AK$4:$AM$9,2,FALSE)))</f>
        <v/>
      </c>
      <c r="L93" s="505" t="str">
        <f>IF(J93="","",IF(VLOOKUP(J93,'G-7 Rivers Data'!$AK$4:$AM$9,3,FALSE)=0,"Spatial Data Missing ⚠",VLOOKUP(J93,'G-7 Rivers Data'!$AK$4:$AM$9,3,FALSE)))</f>
        <v/>
      </c>
      <c r="M93" s="71"/>
      <c r="N93" s="499" t="str">
        <f>IF(M93="","",IF(VLOOKUP(M93,'G-7 Rivers Data'!$AA$4:$AB$7,2,FALSE)=0,"Spatial Data Missing ⚠",VLOOKUP(M93,'G-7 Rivers Data'!$AA$4:$AB$7,2,FALSE)))</f>
        <v/>
      </c>
      <c r="O93" s="155"/>
      <c r="P93" s="499" t="str">
        <f>IF(O93="","",IF(VLOOKUP(O93,'G-7 Rivers Data'!$AD$4:$AE$8,2,FALSE)=0,"Spatial Data Missing ⚠",VLOOKUP(O93,'G-7 Rivers Data'!$AD$4:$AE$8,2,FALSE)))</f>
        <v/>
      </c>
      <c r="Q93" s="506" t="str">
        <f>IF(D93="","",VLOOKUP(D93,'G-7 Rivers Data'!$B$2:$G$8,6,FALSE))</f>
        <v/>
      </c>
      <c r="R93" s="513" t="str">
        <f t="shared" si="8"/>
        <v/>
      </c>
      <c r="S93" s="40"/>
      <c r="T93" s="145"/>
      <c r="U93" s="157"/>
      <c r="V93" s="511" t="str">
        <f t="shared" si="9"/>
        <v/>
      </c>
      <c r="W93" s="511" t="str">
        <f t="shared" si="10"/>
        <v/>
      </c>
      <c r="X93" s="511" t="str">
        <f t="shared" si="11"/>
        <v/>
      </c>
      <c r="Y93" s="515" t="str">
        <f t="shared" si="12"/>
        <v/>
      </c>
      <c r="Z93" s="151"/>
      <c r="AA93" s="152"/>
      <c r="AG93" s="31">
        <f t="shared" si="13"/>
        <v>0</v>
      </c>
      <c r="AH93" s="156" t="str">
        <f t="shared" si="14"/>
        <v/>
      </c>
      <c r="AI93" s="156" t="str">
        <f t="shared" si="15"/>
        <v/>
      </c>
      <c r="AK93" s="156">
        <v>84</v>
      </c>
      <c r="AM93" s="156" t="str">
        <f t="array" ref="AM93">IFERROR(INDEX($AK$10:$AK$258, MATCH(0, IF(TRUE=$AH$10:$AH$258, COUNTIF($AM$9:$AM92, $AK$10:$AK$258), ""), 0)),"")</f>
        <v/>
      </c>
      <c r="AN93" s="156" t="str">
        <f t="array" ref="AN93">IFERROR(INDEX($AK$10:$AK$258, MATCH(0, IF(TRUE=$AI$10:$AI$258, COUNTIF($AN$9:$AN92, $AK$10:$AK$258), ""), 0)),"")</f>
        <v/>
      </c>
      <c r="AP93" s="31" t="str">
        <f>IFERROR(INDEX('G-7 Rivers Data'!$AZ$3:$AZ$7,MATCH(D93,'G-7 Rivers Data'!$AY$3:$AY$7,0)),"")</f>
        <v/>
      </c>
    </row>
    <row r="94" spans="3:42" ht="14" x14ac:dyDescent="0.3">
      <c r="C94" s="141">
        <v>85</v>
      </c>
      <c r="D94" s="460"/>
      <c r="E94" s="172"/>
      <c r="F94" s="498" t="str">
        <f>IF(D94="","",VLOOKUP(D94,'G-7 Rivers Data'!$B$2:$G$8,2,FALSE))</f>
        <v/>
      </c>
      <c r="G94" s="499" t="str">
        <f>IFERROR(VLOOKUP(F94,'G-7 Rivers Data'!$C$4:$D$8,2,FALSE),"")</f>
        <v/>
      </c>
      <c r="H94" s="145"/>
      <c r="I94" s="499" t="str">
        <f>IFERROR(INDEX('G-7 Rivers Data'!$H$4:$L$8,MATCH(D94,'G-7 Rivers Data'!$B$4:$B$8,0),MATCH(H94,'G-7 Rivers Data'!$H$3:$L$3,0)),"")</f>
        <v/>
      </c>
      <c r="J94" s="418"/>
      <c r="K94" s="498" t="str">
        <f>IF(J94="","",IF(VLOOKUP(J94,'G-7 Rivers Data'!$AK$4:$AM$9,2,FALSE)=0,"Spatial Data Missing ⚠",VLOOKUP(J94,'G-7 Rivers Data'!$AK$4:$AM$9,2,FALSE)))</f>
        <v/>
      </c>
      <c r="L94" s="505" t="str">
        <f>IF(J94="","",IF(VLOOKUP(J94,'G-7 Rivers Data'!$AK$4:$AM$9,3,FALSE)=0,"Spatial Data Missing ⚠",VLOOKUP(J94,'G-7 Rivers Data'!$AK$4:$AM$9,3,FALSE)))</f>
        <v/>
      </c>
      <c r="M94" s="71"/>
      <c r="N94" s="499" t="str">
        <f>IF(M94="","",IF(VLOOKUP(M94,'G-7 Rivers Data'!$AA$4:$AB$7,2,FALSE)=0,"Spatial Data Missing ⚠",VLOOKUP(M94,'G-7 Rivers Data'!$AA$4:$AB$7,2,FALSE)))</f>
        <v/>
      </c>
      <c r="O94" s="155"/>
      <c r="P94" s="499" t="str">
        <f>IF(O94="","",IF(VLOOKUP(O94,'G-7 Rivers Data'!$AD$4:$AE$8,2,FALSE)=0,"Spatial Data Missing ⚠",VLOOKUP(O94,'G-7 Rivers Data'!$AD$4:$AE$8,2,FALSE)))</f>
        <v/>
      </c>
      <c r="Q94" s="506" t="str">
        <f>IF(D94="","",VLOOKUP(D94,'G-7 Rivers Data'!$B$2:$G$8,6,FALSE))</f>
        <v/>
      </c>
      <c r="R94" s="513" t="str">
        <f t="shared" si="8"/>
        <v/>
      </c>
      <c r="S94" s="40"/>
      <c r="T94" s="145"/>
      <c r="U94" s="157"/>
      <c r="V94" s="511" t="str">
        <f t="shared" si="9"/>
        <v/>
      </c>
      <c r="W94" s="511" t="str">
        <f t="shared" si="10"/>
        <v/>
      </c>
      <c r="X94" s="511" t="str">
        <f t="shared" si="11"/>
        <v/>
      </c>
      <c r="Y94" s="515" t="str">
        <f t="shared" si="12"/>
        <v/>
      </c>
      <c r="Z94" s="151"/>
      <c r="AA94" s="152"/>
      <c r="AG94" s="31">
        <f t="shared" si="13"/>
        <v>0</v>
      </c>
      <c r="AH94" s="156" t="str">
        <f t="shared" si="14"/>
        <v/>
      </c>
      <c r="AI94" s="156" t="str">
        <f t="shared" si="15"/>
        <v/>
      </c>
      <c r="AK94" s="156">
        <v>85</v>
      </c>
      <c r="AM94" s="156" t="str">
        <f t="array" ref="AM94">IFERROR(INDEX($AK$10:$AK$258, MATCH(0, IF(TRUE=$AH$10:$AH$258, COUNTIF($AM$9:$AM93, $AK$10:$AK$258), ""), 0)),"")</f>
        <v/>
      </c>
      <c r="AN94" s="156" t="str">
        <f t="array" ref="AN94">IFERROR(INDEX($AK$10:$AK$258, MATCH(0, IF(TRUE=$AI$10:$AI$258, COUNTIF($AN$9:$AN93, $AK$10:$AK$258), ""), 0)),"")</f>
        <v/>
      </c>
      <c r="AP94" s="31" t="str">
        <f>IFERROR(INDEX('G-7 Rivers Data'!$AZ$3:$AZ$7,MATCH(D94,'G-7 Rivers Data'!$AY$3:$AY$7,0)),"")</f>
        <v/>
      </c>
    </row>
    <row r="95" spans="3:42" ht="14" x14ac:dyDescent="0.3">
      <c r="C95" s="141">
        <v>86</v>
      </c>
      <c r="D95" s="460"/>
      <c r="E95" s="172"/>
      <c r="F95" s="498" t="str">
        <f>IF(D95="","",VLOOKUP(D95,'G-7 Rivers Data'!$B$2:$G$8,2,FALSE))</f>
        <v/>
      </c>
      <c r="G95" s="499" t="str">
        <f>IFERROR(VLOOKUP(F95,'G-7 Rivers Data'!$C$4:$D$8,2,FALSE),"")</f>
        <v/>
      </c>
      <c r="H95" s="145"/>
      <c r="I95" s="499" t="str">
        <f>IFERROR(INDEX('G-7 Rivers Data'!$H$4:$L$8,MATCH(D95,'G-7 Rivers Data'!$B$4:$B$8,0),MATCH(H95,'G-7 Rivers Data'!$H$3:$L$3,0)),"")</f>
        <v/>
      </c>
      <c r="J95" s="418"/>
      <c r="K95" s="498" t="str">
        <f>IF(J95="","",IF(VLOOKUP(J95,'G-7 Rivers Data'!$AK$4:$AM$9,2,FALSE)=0,"Spatial Data Missing ⚠",VLOOKUP(J95,'G-7 Rivers Data'!$AK$4:$AM$9,2,FALSE)))</f>
        <v/>
      </c>
      <c r="L95" s="505" t="str">
        <f>IF(J95="","",IF(VLOOKUP(J95,'G-7 Rivers Data'!$AK$4:$AM$9,3,FALSE)=0,"Spatial Data Missing ⚠",VLOOKUP(J95,'G-7 Rivers Data'!$AK$4:$AM$9,3,FALSE)))</f>
        <v/>
      </c>
      <c r="M95" s="71"/>
      <c r="N95" s="499" t="str">
        <f>IF(M95="","",IF(VLOOKUP(M95,'G-7 Rivers Data'!$AA$4:$AB$7,2,FALSE)=0,"Spatial Data Missing ⚠",VLOOKUP(M95,'G-7 Rivers Data'!$AA$4:$AB$7,2,FALSE)))</f>
        <v/>
      </c>
      <c r="O95" s="155"/>
      <c r="P95" s="499" t="str">
        <f>IF(O95="","",IF(VLOOKUP(O95,'G-7 Rivers Data'!$AD$4:$AE$8,2,FALSE)=0,"Spatial Data Missing ⚠",VLOOKUP(O95,'G-7 Rivers Data'!$AD$4:$AE$8,2,FALSE)))</f>
        <v/>
      </c>
      <c r="Q95" s="506" t="str">
        <f>IF(D95="","",VLOOKUP(D95,'G-7 Rivers Data'!$B$2:$G$8,6,FALSE))</f>
        <v/>
      </c>
      <c r="R95" s="513" t="str">
        <f t="shared" si="8"/>
        <v/>
      </c>
      <c r="S95" s="40"/>
      <c r="T95" s="145"/>
      <c r="U95" s="157"/>
      <c r="V95" s="511" t="str">
        <f t="shared" si="9"/>
        <v/>
      </c>
      <c r="W95" s="511" t="str">
        <f t="shared" si="10"/>
        <v/>
      </c>
      <c r="X95" s="511" t="str">
        <f t="shared" si="11"/>
        <v/>
      </c>
      <c r="Y95" s="515" t="str">
        <f t="shared" si="12"/>
        <v/>
      </c>
      <c r="Z95" s="151"/>
      <c r="AA95" s="152"/>
      <c r="AG95" s="31">
        <f t="shared" si="13"/>
        <v>0</v>
      </c>
      <c r="AH95" s="156" t="str">
        <f t="shared" si="14"/>
        <v/>
      </c>
      <c r="AI95" s="156" t="str">
        <f t="shared" si="15"/>
        <v/>
      </c>
      <c r="AK95" s="156">
        <v>86</v>
      </c>
      <c r="AM95" s="156" t="str">
        <f t="array" ref="AM95">IFERROR(INDEX($AK$10:$AK$258, MATCH(0, IF(TRUE=$AH$10:$AH$258, COUNTIF($AM$9:$AM94, $AK$10:$AK$258), ""), 0)),"")</f>
        <v/>
      </c>
      <c r="AN95" s="156" t="str">
        <f t="array" ref="AN95">IFERROR(INDEX($AK$10:$AK$258, MATCH(0, IF(TRUE=$AI$10:$AI$258, COUNTIF($AN$9:$AN94, $AK$10:$AK$258), ""), 0)),"")</f>
        <v/>
      </c>
      <c r="AP95" s="31" t="str">
        <f>IFERROR(INDEX('G-7 Rivers Data'!$AZ$3:$AZ$7,MATCH(D95,'G-7 Rivers Data'!$AY$3:$AY$7,0)),"")</f>
        <v/>
      </c>
    </row>
    <row r="96" spans="3:42" ht="14" x14ac:dyDescent="0.3">
      <c r="C96" s="141">
        <v>87</v>
      </c>
      <c r="D96" s="460"/>
      <c r="E96" s="172"/>
      <c r="F96" s="498" t="str">
        <f>IF(D96="","",VLOOKUP(D96,'G-7 Rivers Data'!$B$2:$G$8,2,FALSE))</f>
        <v/>
      </c>
      <c r="G96" s="499" t="str">
        <f>IFERROR(VLOOKUP(F96,'G-7 Rivers Data'!$C$4:$D$8,2,FALSE),"")</f>
        <v/>
      </c>
      <c r="H96" s="145"/>
      <c r="I96" s="499" t="str">
        <f>IFERROR(INDEX('G-7 Rivers Data'!$H$4:$L$8,MATCH(D96,'G-7 Rivers Data'!$B$4:$B$8,0),MATCH(H96,'G-7 Rivers Data'!$H$3:$L$3,0)),"")</f>
        <v/>
      </c>
      <c r="J96" s="418"/>
      <c r="K96" s="498" t="str">
        <f>IF(J96="","",IF(VLOOKUP(J96,'G-7 Rivers Data'!$AK$4:$AM$9,2,FALSE)=0,"Spatial Data Missing ⚠",VLOOKUP(J96,'G-7 Rivers Data'!$AK$4:$AM$9,2,FALSE)))</f>
        <v/>
      </c>
      <c r="L96" s="505" t="str">
        <f>IF(J96="","",IF(VLOOKUP(J96,'G-7 Rivers Data'!$AK$4:$AM$9,3,FALSE)=0,"Spatial Data Missing ⚠",VLOOKUP(J96,'G-7 Rivers Data'!$AK$4:$AM$9,3,FALSE)))</f>
        <v/>
      </c>
      <c r="M96" s="71"/>
      <c r="N96" s="499" t="str">
        <f>IF(M96="","",IF(VLOOKUP(M96,'G-7 Rivers Data'!$AA$4:$AB$7,2,FALSE)=0,"Spatial Data Missing ⚠",VLOOKUP(M96,'G-7 Rivers Data'!$AA$4:$AB$7,2,FALSE)))</f>
        <v/>
      </c>
      <c r="O96" s="155"/>
      <c r="P96" s="499" t="str">
        <f>IF(O96="","",IF(VLOOKUP(O96,'G-7 Rivers Data'!$AD$4:$AE$8,2,FALSE)=0,"Spatial Data Missing ⚠",VLOOKUP(O96,'G-7 Rivers Data'!$AD$4:$AE$8,2,FALSE)))</f>
        <v/>
      </c>
      <c r="Q96" s="506" t="str">
        <f>IF(D96="","",VLOOKUP(D96,'G-7 Rivers Data'!$B$2:$G$8,6,FALSE))</f>
        <v/>
      </c>
      <c r="R96" s="513" t="str">
        <f t="shared" si="8"/>
        <v/>
      </c>
      <c r="S96" s="40"/>
      <c r="T96" s="145"/>
      <c r="U96" s="157"/>
      <c r="V96" s="511" t="str">
        <f t="shared" si="9"/>
        <v/>
      </c>
      <c r="W96" s="511" t="str">
        <f t="shared" si="10"/>
        <v/>
      </c>
      <c r="X96" s="511" t="str">
        <f t="shared" si="11"/>
        <v/>
      </c>
      <c r="Y96" s="515" t="str">
        <f t="shared" si="12"/>
        <v/>
      </c>
      <c r="Z96" s="151"/>
      <c r="AA96" s="152"/>
      <c r="AG96" s="31">
        <f t="shared" si="13"/>
        <v>0</v>
      </c>
      <c r="AH96" s="156" t="str">
        <f t="shared" si="14"/>
        <v/>
      </c>
      <c r="AI96" s="156" t="str">
        <f t="shared" si="15"/>
        <v/>
      </c>
      <c r="AK96" s="156">
        <v>87</v>
      </c>
      <c r="AM96" s="156" t="str">
        <f t="array" ref="AM96">IFERROR(INDEX($AK$10:$AK$258, MATCH(0, IF(TRUE=$AH$10:$AH$258, COUNTIF($AM$9:$AM95, $AK$10:$AK$258), ""), 0)),"")</f>
        <v/>
      </c>
      <c r="AN96" s="156" t="str">
        <f t="array" ref="AN96">IFERROR(INDEX($AK$10:$AK$258, MATCH(0, IF(TRUE=$AI$10:$AI$258, COUNTIF($AN$9:$AN95, $AK$10:$AK$258), ""), 0)),"")</f>
        <v/>
      </c>
      <c r="AP96" s="31" t="str">
        <f>IFERROR(INDEX('G-7 Rivers Data'!$AZ$3:$AZ$7,MATCH(D96,'G-7 Rivers Data'!$AY$3:$AY$7,0)),"")</f>
        <v/>
      </c>
    </row>
    <row r="97" spans="3:42" ht="14" x14ac:dyDescent="0.3">
      <c r="C97" s="141">
        <v>88</v>
      </c>
      <c r="D97" s="460"/>
      <c r="E97" s="172"/>
      <c r="F97" s="498" t="str">
        <f>IF(D97="","",VLOOKUP(D97,'G-7 Rivers Data'!$B$2:$G$8,2,FALSE))</f>
        <v/>
      </c>
      <c r="G97" s="499" t="str">
        <f>IFERROR(VLOOKUP(F97,'G-7 Rivers Data'!$C$4:$D$8,2,FALSE),"")</f>
        <v/>
      </c>
      <c r="H97" s="145"/>
      <c r="I97" s="499" t="str">
        <f>IFERROR(INDEX('G-7 Rivers Data'!$H$4:$L$8,MATCH(D97,'G-7 Rivers Data'!$B$4:$B$8,0),MATCH(H97,'G-7 Rivers Data'!$H$3:$L$3,0)),"")</f>
        <v/>
      </c>
      <c r="J97" s="418"/>
      <c r="K97" s="498" t="str">
        <f>IF(J97="","",IF(VLOOKUP(J97,'G-7 Rivers Data'!$AK$4:$AM$9,2,FALSE)=0,"Spatial Data Missing ⚠",VLOOKUP(J97,'G-7 Rivers Data'!$AK$4:$AM$9,2,FALSE)))</f>
        <v/>
      </c>
      <c r="L97" s="505" t="str">
        <f>IF(J97="","",IF(VLOOKUP(J97,'G-7 Rivers Data'!$AK$4:$AM$9,3,FALSE)=0,"Spatial Data Missing ⚠",VLOOKUP(J97,'G-7 Rivers Data'!$AK$4:$AM$9,3,FALSE)))</f>
        <v/>
      </c>
      <c r="M97" s="71"/>
      <c r="N97" s="499" t="str">
        <f>IF(M97="","",IF(VLOOKUP(M97,'G-7 Rivers Data'!$AA$4:$AB$7,2,FALSE)=0,"Spatial Data Missing ⚠",VLOOKUP(M97,'G-7 Rivers Data'!$AA$4:$AB$7,2,FALSE)))</f>
        <v/>
      </c>
      <c r="O97" s="155"/>
      <c r="P97" s="499" t="str">
        <f>IF(O97="","",IF(VLOOKUP(O97,'G-7 Rivers Data'!$AD$4:$AE$8,2,FALSE)=0,"Spatial Data Missing ⚠",VLOOKUP(O97,'G-7 Rivers Data'!$AD$4:$AE$8,2,FALSE)))</f>
        <v/>
      </c>
      <c r="Q97" s="506" t="str">
        <f>IF(D97="","",VLOOKUP(D97,'G-7 Rivers Data'!$B$2:$G$8,6,FALSE))</f>
        <v/>
      </c>
      <c r="R97" s="513" t="str">
        <f t="shared" si="8"/>
        <v/>
      </c>
      <c r="S97" s="40"/>
      <c r="T97" s="145"/>
      <c r="U97" s="157"/>
      <c r="V97" s="511" t="str">
        <f t="shared" si="9"/>
        <v/>
      </c>
      <c r="W97" s="511" t="str">
        <f t="shared" si="10"/>
        <v/>
      </c>
      <c r="X97" s="511" t="str">
        <f t="shared" si="11"/>
        <v/>
      </c>
      <c r="Y97" s="515" t="str">
        <f t="shared" si="12"/>
        <v/>
      </c>
      <c r="Z97" s="151"/>
      <c r="AA97" s="152"/>
      <c r="AG97" s="31">
        <f t="shared" si="13"/>
        <v>0</v>
      </c>
      <c r="AH97" s="156" t="str">
        <f t="shared" si="14"/>
        <v/>
      </c>
      <c r="AI97" s="156" t="str">
        <f t="shared" si="15"/>
        <v/>
      </c>
      <c r="AK97" s="156">
        <v>88</v>
      </c>
      <c r="AM97" s="156" t="str">
        <f t="array" ref="AM97">IFERROR(INDEX($AK$10:$AK$258, MATCH(0, IF(TRUE=$AH$10:$AH$258, COUNTIF($AM$9:$AM96, $AK$10:$AK$258), ""), 0)),"")</f>
        <v/>
      </c>
      <c r="AN97" s="156" t="str">
        <f t="array" ref="AN97">IFERROR(INDEX($AK$10:$AK$258, MATCH(0, IF(TRUE=$AI$10:$AI$258, COUNTIF($AN$9:$AN96, $AK$10:$AK$258), ""), 0)),"")</f>
        <v/>
      </c>
      <c r="AP97" s="31" t="str">
        <f>IFERROR(INDEX('G-7 Rivers Data'!$AZ$3:$AZ$7,MATCH(D97,'G-7 Rivers Data'!$AY$3:$AY$7,0)),"")</f>
        <v/>
      </c>
    </row>
    <row r="98" spans="3:42" ht="14" x14ac:dyDescent="0.3">
      <c r="C98" s="141">
        <v>89</v>
      </c>
      <c r="D98" s="460"/>
      <c r="E98" s="172"/>
      <c r="F98" s="498" t="str">
        <f>IF(D98="","",VLOOKUP(D98,'G-7 Rivers Data'!$B$2:$G$8,2,FALSE))</f>
        <v/>
      </c>
      <c r="G98" s="499" t="str">
        <f>IFERROR(VLOOKUP(F98,'G-7 Rivers Data'!$C$4:$D$8,2,FALSE),"")</f>
        <v/>
      </c>
      <c r="H98" s="145"/>
      <c r="I98" s="499" t="str">
        <f>IFERROR(INDEX('G-7 Rivers Data'!$H$4:$L$8,MATCH(D98,'G-7 Rivers Data'!$B$4:$B$8,0),MATCH(H98,'G-7 Rivers Data'!$H$3:$L$3,0)),"")</f>
        <v/>
      </c>
      <c r="J98" s="418"/>
      <c r="K98" s="498" t="str">
        <f>IF(J98="","",IF(VLOOKUP(J98,'G-7 Rivers Data'!$AK$4:$AM$9,2,FALSE)=0,"Spatial Data Missing ⚠",VLOOKUP(J98,'G-7 Rivers Data'!$AK$4:$AM$9,2,FALSE)))</f>
        <v/>
      </c>
      <c r="L98" s="505" t="str">
        <f>IF(J98="","",IF(VLOOKUP(J98,'G-7 Rivers Data'!$AK$4:$AM$9,3,FALSE)=0,"Spatial Data Missing ⚠",VLOOKUP(J98,'G-7 Rivers Data'!$AK$4:$AM$9,3,FALSE)))</f>
        <v/>
      </c>
      <c r="M98" s="71"/>
      <c r="N98" s="499" t="str">
        <f>IF(M98="","",IF(VLOOKUP(M98,'G-7 Rivers Data'!$AA$4:$AB$7,2,FALSE)=0,"Spatial Data Missing ⚠",VLOOKUP(M98,'G-7 Rivers Data'!$AA$4:$AB$7,2,FALSE)))</f>
        <v/>
      </c>
      <c r="O98" s="155"/>
      <c r="P98" s="499" t="str">
        <f>IF(O98="","",IF(VLOOKUP(O98,'G-7 Rivers Data'!$AD$4:$AE$8,2,FALSE)=0,"Spatial Data Missing ⚠",VLOOKUP(O98,'G-7 Rivers Data'!$AD$4:$AE$8,2,FALSE)))</f>
        <v/>
      </c>
      <c r="Q98" s="506" t="str">
        <f>IF(D98="","",VLOOKUP(D98,'G-7 Rivers Data'!$B$2:$G$8,6,FALSE))</f>
        <v/>
      </c>
      <c r="R98" s="513" t="str">
        <f t="shared" si="8"/>
        <v/>
      </c>
      <c r="S98" s="40"/>
      <c r="T98" s="145"/>
      <c r="U98" s="157"/>
      <c r="V98" s="511" t="str">
        <f t="shared" si="9"/>
        <v/>
      </c>
      <c r="W98" s="511" t="str">
        <f t="shared" si="10"/>
        <v/>
      </c>
      <c r="X98" s="511" t="str">
        <f t="shared" si="11"/>
        <v/>
      </c>
      <c r="Y98" s="515" t="str">
        <f t="shared" si="12"/>
        <v/>
      </c>
      <c r="Z98" s="151"/>
      <c r="AA98" s="152"/>
      <c r="AG98" s="31">
        <f t="shared" si="13"/>
        <v>0</v>
      </c>
      <c r="AH98" s="156" t="str">
        <f t="shared" si="14"/>
        <v/>
      </c>
      <c r="AI98" s="156" t="str">
        <f t="shared" si="15"/>
        <v/>
      </c>
      <c r="AK98" s="156">
        <v>89</v>
      </c>
      <c r="AM98" s="156" t="str">
        <f t="array" ref="AM98">IFERROR(INDEX($AK$10:$AK$258, MATCH(0, IF(TRUE=$AH$10:$AH$258, COUNTIF($AM$9:$AM97, $AK$10:$AK$258), ""), 0)),"")</f>
        <v/>
      </c>
      <c r="AN98" s="156" t="str">
        <f t="array" ref="AN98">IFERROR(INDEX($AK$10:$AK$258, MATCH(0, IF(TRUE=$AI$10:$AI$258, COUNTIF($AN$9:$AN97, $AK$10:$AK$258), ""), 0)),"")</f>
        <v/>
      </c>
      <c r="AP98" s="31" t="str">
        <f>IFERROR(INDEX('G-7 Rivers Data'!$AZ$3:$AZ$7,MATCH(D98,'G-7 Rivers Data'!$AY$3:$AY$7,0)),"")</f>
        <v/>
      </c>
    </row>
    <row r="99" spans="3:42" ht="14" x14ac:dyDescent="0.3">
      <c r="C99" s="141">
        <v>90</v>
      </c>
      <c r="D99" s="460"/>
      <c r="E99" s="172"/>
      <c r="F99" s="498" t="str">
        <f>IF(D99="","",VLOOKUP(D99,'G-7 Rivers Data'!$B$2:$G$8,2,FALSE))</f>
        <v/>
      </c>
      <c r="G99" s="499" t="str">
        <f>IFERROR(VLOOKUP(F99,'G-7 Rivers Data'!$C$4:$D$8,2,FALSE),"")</f>
        <v/>
      </c>
      <c r="H99" s="145"/>
      <c r="I99" s="499" t="str">
        <f>IFERROR(INDEX('G-7 Rivers Data'!$H$4:$L$8,MATCH(D99,'G-7 Rivers Data'!$B$4:$B$8,0),MATCH(H99,'G-7 Rivers Data'!$H$3:$L$3,0)),"")</f>
        <v/>
      </c>
      <c r="J99" s="418"/>
      <c r="K99" s="498" t="str">
        <f>IF(J99="","",IF(VLOOKUP(J99,'G-7 Rivers Data'!$AK$4:$AM$9,2,FALSE)=0,"Spatial Data Missing ⚠",VLOOKUP(J99,'G-7 Rivers Data'!$AK$4:$AM$9,2,FALSE)))</f>
        <v/>
      </c>
      <c r="L99" s="505" t="str">
        <f>IF(J99="","",IF(VLOOKUP(J99,'G-7 Rivers Data'!$AK$4:$AM$9,3,FALSE)=0,"Spatial Data Missing ⚠",VLOOKUP(J99,'G-7 Rivers Data'!$AK$4:$AM$9,3,FALSE)))</f>
        <v/>
      </c>
      <c r="M99" s="71"/>
      <c r="N99" s="499" t="str">
        <f>IF(M99="","",IF(VLOOKUP(M99,'G-7 Rivers Data'!$AA$4:$AB$7,2,FALSE)=0,"Spatial Data Missing ⚠",VLOOKUP(M99,'G-7 Rivers Data'!$AA$4:$AB$7,2,FALSE)))</f>
        <v/>
      </c>
      <c r="O99" s="155"/>
      <c r="P99" s="499" t="str">
        <f>IF(O99="","",IF(VLOOKUP(O99,'G-7 Rivers Data'!$AD$4:$AE$8,2,FALSE)=0,"Spatial Data Missing ⚠",VLOOKUP(O99,'G-7 Rivers Data'!$AD$4:$AE$8,2,FALSE)))</f>
        <v/>
      </c>
      <c r="Q99" s="506" t="str">
        <f>IF(D99="","",VLOOKUP(D99,'G-7 Rivers Data'!$B$2:$G$8,6,FALSE))</f>
        <v/>
      </c>
      <c r="R99" s="513" t="str">
        <f t="shared" si="8"/>
        <v/>
      </c>
      <c r="S99" s="40"/>
      <c r="T99" s="145"/>
      <c r="U99" s="157"/>
      <c r="V99" s="511" t="str">
        <f t="shared" si="9"/>
        <v/>
      </c>
      <c r="W99" s="511" t="str">
        <f t="shared" si="10"/>
        <v/>
      </c>
      <c r="X99" s="511" t="str">
        <f t="shared" si="11"/>
        <v/>
      </c>
      <c r="Y99" s="515" t="str">
        <f t="shared" si="12"/>
        <v/>
      </c>
      <c r="Z99" s="151"/>
      <c r="AA99" s="152"/>
      <c r="AG99" s="31">
        <f t="shared" si="13"/>
        <v>0</v>
      </c>
      <c r="AH99" s="156" t="str">
        <f t="shared" si="14"/>
        <v/>
      </c>
      <c r="AI99" s="156" t="str">
        <f t="shared" si="15"/>
        <v/>
      </c>
      <c r="AK99" s="156">
        <v>90</v>
      </c>
      <c r="AM99" s="156" t="str">
        <f t="array" ref="AM99">IFERROR(INDEX($AK$10:$AK$258, MATCH(0, IF(TRUE=$AH$10:$AH$258, COUNTIF($AM$9:$AM98, $AK$10:$AK$258), ""), 0)),"")</f>
        <v/>
      </c>
      <c r="AN99" s="156" t="str">
        <f t="array" ref="AN99">IFERROR(INDEX($AK$10:$AK$258, MATCH(0, IF(TRUE=$AI$10:$AI$258, COUNTIF($AN$9:$AN98, $AK$10:$AK$258), ""), 0)),"")</f>
        <v/>
      </c>
      <c r="AP99" s="31" t="str">
        <f>IFERROR(INDEX('G-7 Rivers Data'!$AZ$3:$AZ$7,MATCH(D99,'G-7 Rivers Data'!$AY$3:$AY$7,0)),"")</f>
        <v/>
      </c>
    </row>
    <row r="100" spans="3:42" ht="14" x14ac:dyDescent="0.3">
      <c r="C100" s="141">
        <v>91</v>
      </c>
      <c r="D100" s="460"/>
      <c r="E100" s="172"/>
      <c r="F100" s="498" t="str">
        <f>IF(D100="","",VLOOKUP(D100,'G-7 Rivers Data'!$B$2:$G$8,2,FALSE))</f>
        <v/>
      </c>
      <c r="G100" s="499" t="str">
        <f>IFERROR(VLOOKUP(F100,'G-7 Rivers Data'!$C$4:$D$8,2,FALSE),"")</f>
        <v/>
      </c>
      <c r="H100" s="145"/>
      <c r="I100" s="499" t="str">
        <f>IFERROR(INDEX('G-7 Rivers Data'!$H$4:$L$8,MATCH(D100,'G-7 Rivers Data'!$B$4:$B$8,0),MATCH(H100,'G-7 Rivers Data'!$H$3:$L$3,0)),"")</f>
        <v/>
      </c>
      <c r="J100" s="418"/>
      <c r="K100" s="498" t="str">
        <f>IF(J100="","",IF(VLOOKUP(J100,'G-7 Rivers Data'!$AK$4:$AM$9,2,FALSE)=0,"Spatial Data Missing ⚠",VLOOKUP(J100,'G-7 Rivers Data'!$AK$4:$AM$9,2,FALSE)))</f>
        <v/>
      </c>
      <c r="L100" s="505" t="str">
        <f>IF(J100="","",IF(VLOOKUP(J100,'G-7 Rivers Data'!$AK$4:$AM$9,3,FALSE)=0,"Spatial Data Missing ⚠",VLOOKUP(J100,'G-7 Rivers Data'!$AK$4:$AM$9,3,FALSE)))</f>
        <v/>
      </c>
      <c r="M100" s="71"/>
      <c r="N100" s="499" t="str">
        <f>IF(M100="","",IF(VLOOKUP(M100,'G-7 Rivers Data'!$AA$4:$AB$7,2,FALSE)=0,"Spatial Data Missing ⚠",VLOOKUP(M100,'G-7 Rivers Data'!$AA$4:$AB$7,2,FALSE)))</f>
        <v/>
      </c>
      <c r="O100" s="155"/>
      <c r="P100" s="499" t="str">
        <f>IF(O100="","",IF(VLOOKUP(O100,'G-7 Rivers Data'!$AD$4:$AE$8,2,FALSE)=0,"Spatial Data Missing ⚠",VLOOKUP(O100,'G-7 Rivers Data'!$AD$4:$AE$8,2,FALSE)))</f>
        <v/>
      </c>
      <c r="Q100" s="506" t="str">
        <f>IF(D100="","",VLOOKUP(D100,'G-7 Rivers Data'!$B$2:$G$8,6,FALSE))</f>
        <v/>
      </c>
      <c r="R100" s="513" t="str">
        <f t="shared" si="8"/>
        <v/>
      </c>
      <c r="S100" s="40"/>
      <c r="T100" s="145"/>
      <c r="U100" s="157"/>
      <c r="V100" s="511" t="str">
        <f t="shared" si="9"/>
        <v/>
      </c>
      <c r="W100" s="511" t="str">
        <f t="shared" si="10"/>
        <v/>
      </c>
      <c r="X100" s="511" t="str">
        <f t="shared" si="11"/>
        <v/>
      </c>
      <c r="Y100" s="515" t="str">
        <f t="shared" si="12"/>
        <v/>
      </c>
      <c r="Z100" s="151"/>
      <c r="AA100" s="152"/>
      <c r="AG100" s="31">
        <f t="shared" si="13"/>
        <v>0</v>
      </c>
      <c r="AH100" s="156" t="str">
        <f t="shared" si="14"/>
        <v/>
      </c>
      <c r="AI100" s="156" t="str">
        <f t="shared" si="15"/>
        <v/>
      </c>
      <c r="AK100" s="156">
        <v>91</v>
      </c>
      <c r="AM100" s="156" t="str">
        <f t="array" ref="AM100">IFERROR(INDEX($AK$10:$AK$258, MATCH(0, IF(TRUE=$AH$10:$AH$258, COUNTIF($AM$9:$AM99, $AK$10:$AK$258), ""), 0)),"")</f>
        <v/>
      </c>
      <c r="AN100" s="156" t="str">
        <f t="array" ref="AN100">IFERROR(INDEX($AK$10:$AK$258, MATCH(0, IF(TRUE=$AI$10:$AI$258, COUNTIF($AN$9:$AN99, $AK$10:$AK$258), ""), 0)),"")</f>
        <v/>
      </c>
      <c r="AP100" s="31" t="str">
        <f>IFERROR(INDEX('G-7 Rivers Data'!$AZ$3:$AZ$7,MATCH(D100,'G-7 Rivers Data'!$AY$3:$AY$7,0)),"")</f>
        <v/>
      </c>
    </row>
    <row r="101" spans="3:42" ht="14" x14ac:dyDescent="0.3">
      <c r="C101" s="141">
        <v>92</v>
      </c>
      <c r="D101" s="460"/>
      <c r="E101" s="172"/>
      <c r="F101" s="498" t="str">
        <f>IF(D101="","",VLOOKUP(D101,'G-7 Rivers Data'!$B$2:$G$8,2,FALSE))</f>
        <v/>
      </c>
      <c r="G101" s="499" t="str">
        <f>IFERROR(VLOOKUP(F101,'G-7 Rivers Data'!$C$4:$D$8,2,FALSE),"")</f>
        <v/>
      </c>
      <c r="H101" s="145"/>
      <c r="I101" s="499" t="str">
        <f>IFERROR(INDEX('G-7 Rivers Data'!$H$4:$L$8,MATCH(D101,'G-7 Rivers Data'!$B$4:$B$8,0),MATCH(H101,'G-7 Rivers Data'!$H$3:$L$3,0)),"")</f>
        <v/>
      </c>
      <c r="J101" s="418"/>
      <c r="K101" s="498" t="str">
        <f>IF(J101="","",IF(VLOOKUP(J101,'G-7 Rivers Data'!$AK$4:$AM$9,2,FALSE)=0,"Spatial Data Missing ⚠",VLOOKUP(J101,'G-7 Rivers Data'!$AK$4:$AM$9,2,FALSE)))</f>
        <v/>
      </c>
      <c r="L101" s="505" t="str">
        <f>IF(J101="","",IF(VLOOKUP(J101,'G-7 Rivers Data'!$AK$4:$AM$9,3,FALSE)=0,"Spatial Data Missing ⚠",VLOOKUP(J101,'G-7 Rivers Data'!$AK$4:$AM$9,3,FALSE)))</f>
        <v/>
      </c>
      <c r="M101" s="71"/>
      <c r="N101" s="499" t="str">
        <f>IF(M101="","",IF(VLOOKUP(M101,'G-7 Rivers Data'!$AA$4:$AB$7,2,FALSE)=0,"Spatial Data Missing ⚠",VLOOKUP(M101,'G-7 Rivers Data'!$AA$4:$AB$7,2,FALSE)))</f>
        <v/>
      </c>
      <c r="O101" s="155"/>
      <c r="P101" s="499" t="str">
        <f>IF(O101="","",IF(VLOOKUP(O101,'G-7 Rivers Data'!$AD$4:$AE$8,2,FALSE)=0,"Spatial Data Missing ⚠",VLOOKUP(O101,'G-7 Rivers Data'!$AD$4:$AE$8,2,FALSE)))</f>
        <v/>
      </c>
      <c r="Q101" s="506" t="str">
        <f>IF(D101="","",VLOOKUP(D101,'G-7 Rivers Data'!$B$2:$G$8,6,FALSE))</f>
        <v/>
      </c>
      <c r="R101" s="513" t="str">
        <f t="shared" si="8"/>
        <v/>
      </c>
      <c r="S101" s="40"/>
      <c r="T101" s="145"/>
      <c r="U101" s="157"/>
      <c r="V101" s="511" t="str">
        <f t="shared" si="9"/>
        <v/>
      </c>
      <c r="W101" s="511" t="str">
        <f t="shared" si="10"/>
        <v/>
      </c>
      <c r="X101" s="511" t="str">
        <f t="shared" si="11"/>
        <v/>
      </c>
      <c r="Y101" s="515" t="str">
        <f t="shared" si="12"/>
        <v/>
      </c>
      <c r="Z101" s="151"/>
      <c r="AA101" s="152"/>
      <c r="AG101" s="31">
        <f t="shared" si="13"/>
        <v>0</v>
      </c>
      <c r="AH101" s="156" t="str">
        <f t="shared" si="14"/>
        <v/>
      </c>
      <c r="AI101" s="156" t="str">
        <f t="shared" si="15"/>
        <v/>
      </c>
      <c r="AK101" s="156">
        <v>92</v>
      </c>
      <c r="AM101" s="156" t="str">
        <f t="array" ref="AM101">IFERROR(INDEX($AK$10:$AK$258, MATCH(0, IF(TRUE=$AH$10:$AH$258, COUNTIF($AM$9:$AM100, $AK$10:$AK$258), ""), 0)),"")</f>
        <v/>
      </c>
      <c r="AN101" s="156" t="str">
        <f t="array" ref="AN101">IFERROR(INDEX($AK$10:$AK$258, MATCH(0, IF(TRUE=$AI$10:$AI$258, COUNTIF($AN$9:$AN100, $AK$10:$AK$258), ""), 0)),"")</f>
        <v/>
      </c>
      <c r="AP101" s="31" t="str">
        <f>IFERROR(INDEX('G-7 Rivers Data'!$AZ$3:$AZ$7,MATCH(D101,'G-7 Rivers Data'!$AY$3:$AY$7,0)),"")</f>
        <v/>
      </c>
    </row>
    <row r="102" spans="3:42" ht="14" x14ac:dyDescent="0.3">
      <c r="C102" s="141">
        <v>93</v>
      </c>
      <c r="D102" s="460"/>
      <c r="E102" s="172"/>
      <c r="F102" s="498" t="str">
        <f>IF(D102="","",VLOOKUP(D102,'G-7 Rivers Data'!$B$2:$G$8,2,FALSE))</f>
        <v/>
      </c>
      <c r="G102" s="499" t="str">
        <f>IFERROR(VLOOKUP(F102,'G-7 Rivers Data'!$C$4:$D$8,2,FALSE),"")</f>
        <v/>
      </c>
      <c r="H102" s="145"/>
      <c r="I102" s="499" t="str">
        <f>IFERROR(INDEX('G-7 Rivers Data'!$H$4:$L$8,MATCH(D102,'G-7 Rivers Data'!$B$4:$B$8,0),MATCH(H102,'G-7 Rivers Data'!$H$3:$L$3,0)),"")</f>
        <v/>
      </c>
      <c r="J102" s="418"/>
      <c r="K102" s="498" t="str">
        <f>IF(J102="","",IF(VLOOKUP(J102,'G-7 Rivers Data'!$AK$4:$AM$9,2,FALSE)=0,"Spatial Data Missing ⚠",VLOOKUP(J102,'G-7 Rivers Data'!$AK$4:$AM$9,2,FALSE)))</f>
        <v/>
      </c>
      <c r="L102" s="505" t="str">
        <f>IF(J102="","",IF(VLOOKUP(J102,'G-7 Rivers Data'!$AK$4:$AM$9,3,FALSE)=0,"Spatial Data Missing ⚠",VLOOKUP(J102,'G-7 Rivers Data'!$AK$4:$AM$9,3,FALSE)))</f>
        <v/>
      </c>
      <c r="M102" s="71"/>
      <c r="N102" s="499" t="str">
        <f>IF(M102="","",IF(VLOOKUP(M102,'G-7 Rivers Data'!$AA$4:$AB$7,2,FALSE)=0,"Spatial Data Missing ⚠",VLOOKUP(M102,'G-7 Rivers Data'!$AA$4:$AB$7,2,FALSE)))</f>
        <v/>
      </c>
      <c r="O102" s="155"/>
      <c r="P102" s="499" t="str">
        <f>IF(O102="","",IF(VLOOKUP(O102,'G-7 Rivers Data'!$AD$4:$AE$8,2,FALSE)=0,"Spatial Data Missing ⚠",VLOOKUP(O102,'G-7 Rivers Data'!$AD$4:$AE$8,2,FALSE)))</f>
        <v/>
      </c>
      <c r="Q102" s="506" t="str">
        <f>IF(D102="","",VLOOKUP(D102,'G-7 Rivers Data'!$B$2:$G$8,6,FALSE))</f>
        <v/>
      </c>
      <c r="R102" s="513" t="str">
        <f t="shared" si="8"/>
        <v/>
      </c>
      <c r="S102" s="40"/>
      <c r="T102" s="145"/>
      <c r="U102" s="157"/>
      <c r="V102" s="511" t="str">
        <f t="shared" si="9"/>
        <v/>
      </c>
      <c r="W102" s="511" t="str">
        <f t="shared" si="10"/>
        <v/>
      </c>
      <c r="X102" s="511" t="str">
        <f t="shared" si="11"/>
        <v/>
      </c>
      <c r="Y102" s="515" t="str">
        <f t="shared" si="12"/>
        <v/>
      </c>
      <c r="Z102" s="151"/>
      <c r="AA102" s="152"/>
      <c r="AG102" s="31">
        <f t="shared" si="13"/>
        <v>0</v>
      </c>
      <c r="AH102" s="156" t="str">
        <f t="shared" si="14"/>
        <v/>
      </c>
      <c r="AI102" s="156" t="str">
        <f t="shared" si="15"/>
        <v/>
      </c>
      <c r="AK102" s="156">
        <v>93</v>
      </c>
      <c r="AM102" s="156" t="str">
        <f t="array" ref="AM102">IFERROR(INDEX($AK$10:$AK$258, MATCH(0, IF(TRUE=$AH$10:$AH$258, COUNTIF($AM$9:$AM101, $AK$10:$AK$258), ""), 0)),"")</f>
        <v/>
      </c>
      <c r="AN102" s="156" t="str">
        <f t="array" ref="AN102">IFERROR(INDEX($AK$10:$AK$258, MATCH(0, IF(TRUE=$AI$10:$AI$258, COUNTIF($AN$9:$AN101, $AK$10:$AK$258), ""), 0)),"")</f>
        <v/>
      </c>
      <c r="AP102" s="31" t="str">
        <f>IFERROR(INDEX('G-7 Rivers Data'!$AZ$3:$AZ$7,MATCH(D102,'G-7 Rivers Data'!$AY$3:$AY$7,0)),"")</f>
        <v/>
      </c>
    </row>
    <row r="103" spans="3:42" ht="14" x14ac:dyDescent="0.3">
      <c r="C103" s="141">
        <v>94</v>
      </c>
      <c r="D103" s="460"/>
      <c r="E103" s="172"/>
      <c r="F103" s="498" t="str">
        <f>IF(D103="","",VLOOKUP(D103,'G-7 Rivers Data'!$B$2:$G$8,2,FALSE))</f>
        <v/>
      </c>
      <c r="G103" s="499" t="str">
        <f>IFERROR(VLOOKUP(F103,'G-7 Rivers Data'!$C$4:$D$8,2,FALSE),"")</f>
        <v/>
      </c>
      <c r="H103" s="145"/>
      <c r="I103" s="499" t="str">
        <f>IFERROR(INDEX('G-7 Rivers Data'!$H$4:$L$8,MATCH(D103,'G-7 Rivers Data'!$B$4:$B$8,0),MATCH(H103,'G-7 Rivers Data'!$H$3:$L$3,0)),"")</f>
        <v/>
      </c>
      <c r="J103" s="418"/>
      <c r="K103" s="498" t="str">
        <f>IF(J103="","",IF(VLOOKUP(J103,'G-7 Rivers Data'!$AK$4:$AM$9,2,FALSE)=0,"Spatial Data Missing ⚠",VLOOKUP(J103,'G-7 Rivers Data'!$AK$4:$AM$9,2,FALSE)))</f>
        <v/>
      </c>
      <c r="L103" s="505" t="str">
        <f>IF(J103="","",IF(VLOOKUP(J103,'G-7 Rivers Data'!$AK$4:$AM$9,3,FALSE)=0,"Spatial Data Missing ⚠",VLOOKUP(J103,'G-7 Rivers Data'!$AK$4:$AM$9,3,FALSE)))</f>
        <v/>
      </c>
      <c r="M103" s="71"/>
      <c r="N103" s="499" t="str">
        <f>IF(M103="","",IF(VLOOKUP(M103,'G-7 Rivers Data'!$AA$4:$AB$7,2,FALSE)=0,"Spatial Data Missing ⚠",VLOOKUP(M103,'G-7 Rivers Data'!$AA$4:$AB$7,2,FALSE)))</f>
        <v/>
      </c>
      <c r="O103" s="155"/>
      <c r="P103" s="499" t="str">
        <f>IF(O103="","",IF(VLOOKUP(O103,'G-7 Rivers Data'!$AD$4:$AE$8,2,FALSE)=0,"Spatial Data Missing ⚠",VLOOKUP(O103,'G-7 Rivers Data'!$AD$4:$AE$8,2,FALSE)))</f>
        <v/>
      </c>
      <c r="Q103" s="506" t="str">
        <f>IF(D103="","",VLOOKUP(D103,'G-7 Rivers Data'!$B$2:$G$8,6,FALSE))</f>
        <v/>
      </c>
      <c r="R103" s="513" t="str">
        <f t="shared" si="8"/>
        <v/>
      </c>
      <c r="S103" s="40"/>
      <c r="T103" s="145"/>
      <c r="U103" s="157"/>
      <c r="V103" s="511" t="str">
        <f t="shared" si="9"/>
        <v/>
      </c>
      <c r="W103" s="511" t="str">
        <f t="shared" si="10"/>
        <v/>
      </c>
      <c r="X103" s="511" t="str">
        <f t="shared" si="11"/>
        <v/>
      </c>
      <c r="Y103" s="515" t="str">
        <f t="shared" si="12"/>
        <v/>
      </c>
      <c r="Z103" s="151"/>
      <c r="AA103" s="152"/>
      <c r="AG103" s="31">
        <f t="shared" si="13"/>
        <v>0</v>
      </c>
      <c r="AH103" s="156" t="str">
        <f t="shared" si="14"/>
        <v/>
      </c>
      <c r="AI103" s="156" t="str">
        <f t="shared" si="15"/>
        <v/>
      </c>
      <c r="AK103" s="156">
        <v>94</v>
      </c>
      <c r="AM103" s="156" t="str">
        <f t="array" ref="AM103">IFERROR(INDEX($AK$10:$AK$258, MATCH(0, IF(TRUE=$AH$10:$AH$258, COUNTIF($AM$9:$AM102, $AK$10:$AK$258), ""), 0)),"")</f>
        <v/>
      </c>
      <c r="AN103" s="156" t="str">
        <f t="array" ref="AN103">IFERROR(INDEX($AK$10:$AK$258, MATCH(0, IF(TRUE=$AI$10:$AI$258, COUNTIF($AN$9:$AN102, $AK$10:$AK$258), ""), 0)),"")</f>
        <v/>
      </c>
      <c r="AP103" s="31" t="str">
        <f>IFERROR(INDEX('G-7 Rivers Data'!$AZ$3:$AZ$7,MATCH(D103,'G-7 Rivers Data'!$AY$3:$AY$7,0)),"")</f>
        <v/>
      </c>
    </row>
    <row r="104" spans="3:42" ht="14" x14ac:dyDescent="0.3">
      <c r="C104" s="141">
        <v>95</v>
      </c>
      <c r="D104" s="460"/>
      <c r="E104" s="172"/>
      <c r="F104" s="498" t="str">
        <f>IF(D104="","",VLOOKUP(D104,'G-7 Rivers Data'!$B$2:$G$8,2,FALSE))</f>
        <v/>
      </c>
      <c r="G104" s="499" t="str">
        <f>IFERROR(VLOOKUP(F104,'G-7 Rivers Data'!$C$4:$D$8,2,FALSE),"")</f>
        <v/>
      </c>
      <c r="H104" s="145"/>
      <c r="I104" s="499" t="str">
        <f>IFERROR(INDEX('G-7 Rivers Data'!$H$4:$L$8,MATCH(D104,'G-7 Rivers Data'!$B$4:$B$8,0),MATCH(H104,'G-7 Rivers Data'!$H$3:$L$3,0)),"")</f>
        <v/>
      </c>
      <c r="J104" s="418"/>
      <c r="K104" s="498" t="str">
        <f>IF(J104="","",IF(VLOOKUP(J104,'G-7 Rivers Data'!$AK$4:$AM$9,2,FALSE)=0,"Spatial Data Missing ⚠",VLOOKUP(J104,'G-7 Rivers Data'!$AK$4:$AM$9,2,FALSE)))</f>
        <v/>
      </c>
      <c r="L104" s="505" t="str">
        <f>IF(J104="","",IF(VLOOKUP(J104,'G-7 Rivers Data'!$AK$4:$AM$9,3,FALSE)=0,"Spatial Data Missing ⚠",VLOOKUP(J104,'G-7 Rivers Data'!$AK$4:$AM$9,3,FALSE)))</f>
        <v/>
      </c>
      <c r="M104" s="71"/>
      <c r="N104" s="499" t="str">
        <f>IF(M104="","",IF(VLOOKUP(M104,'G-7 Rivers Data'!$AA$4:$AB$7,2,FALSE)=0,"Spatial Data Missing ⚠",VLOOKUP(M104,'G-7 Rivers Data'!$AA$4:$AB$7,2,FALSE)))</f>
        <v/>
      </c>
      <c r="O104" s="155"/>
      <c r="P104" s="499" t="str">
        <f>IF(O104="","",IF(VLOOKUP(O104,'G-7 Rivers Data'!$AD$4:$AE$8,2,FALSE)=0,"Spatial Data Missing ⚠",VLOOKUP(O104,'G-7 Rivers Data'!$AD$4:$AE$8,2,FALSE)))</f>
        <v/>
      </c>
      <c r="Q104" s="506" t="str">
        <f>IF(D104="","",VLOOKUP(D104,'G-7 Rivers Data'!$B$2:$G$8,6,FALSE))</f>
        <v/>
      </c>
      <c r="R104" s="513" t="str">
        <f t="shared" si="8"/>
        <v/>
      </c>
      <c r="S104" s="40"/>
      <c r="T104" s="145"/>
      <c r="U104" s="157"/>
      <c r="V104" s="511" t="str">
        <f t="shared" si="9"/>
        <v/>
      </c>
      <c r="W104" s="511" t="str">
        <f t="shared" si="10"/>
        <v/>
      </c>
      <c r="X104" s="511" t="str">
        <f t="shared" si="11"/>
        <v/>
      </c>
      <c r="Y104" s="515" t="str">
        <f t="shared" si="12"/>
        <v/>
      </c>
      <c r="Z104" s="151"/>
      <c r="AA104" s="152"/>
      <c r="AG104" s="31">
        <f t="shared" si="13"/>
        <v>0</v>
      </c>
      <c r="AH104" s="156" t="str">
        <f t="shared" si="14"/>
        <v/>
      </c>
      <c r="AI104" s="156" t="str">
        <f t="shared" si="15"/>
        <v/>
      </c>
      <c r="AK104" s="156">
        <v>95</v>
      </c>
      <c r="AM104" s="156" t="str">
        <f t="array" ref="AM104">IFERROR(INDEX($AK$10:$AK$258, MATCH(0, IF(TRUE=$AH$10:$AH$258, COUNTIF($AM$9:$AM103, $AK$10:$AK$258), ""), 0)),"")</f>
        <v/>
      </c>
      <c r="AN104" s="156" t="str">
        <f t="array" ref="AN104">IFERROR(INDEX($AK$10:$AK$258, MATCH(0, IF(TRUE=$AI$10:$AI$258, COUNTIF($AN$9:$AN103, $AK$10:$AK$258), ""), 0)),"")</f>
        <v/>
      </c>
      <c r="AP104" s="31" t="str">
        <f>IFERROR(INDEX('G-7 Rivers Data'!$AZ$3:$AZ$7,MATCH(D104,'G-7 Rivers Data'!$AY$3:$AY$7,0)),"")</f>
        <v/>
      </c>
    </row>
    <row r="105" spans="3:42" ht="14" x14ac:dyDescent="0.3">
      <c r="C105" s="141">
        <v>96</v>
      </c>
      <c r="D105" s="460"/>
      <c r="E105" s="172"/>
      <c r="F105" s="498" t="str">
        <f>IF(D105="","",VLOOKUP(D105,'G-7 Rivers Data'!$B$2:$G$8,2,FALSE))</f>
        <v/>
      </c>
      <c r="G105" s="499" t="str">
        <f>IFERROR(VLOOKUP(F105,'G-7 Rivers Data'!$C$4:$D$8,2,FALSE),"")</f>
        <v/>
      </c>
      <c r="H105" s="145"/>
      <c r="I105" s="499" t="str">
        <f>IFERROR(INDEX('G-7 Rivers Data'!$H$4:$L$8,MATCH(D105,'G-7 Rivers Data'!$B$4:$B$8,0),MATCH(H105,'G-7 Rivers Data'!$H$3:$L$3,0)),"")</f>
        <v/>
      </c>
      <c r="J105" s="418"/>
      <c r="K105" s="498" t="str">
        <f>IF(J105="","",IF(VLOOKUP(J105,'G-7 Rivers Data'!$AK$4:$AM$9,2,FALSE)=0,"Spatial Data Missing ⚠",VLOOKUP(J105,'G-7 Rivers Data'!$AK$4:$AM$9,2,FALSE)))</f>
        <v/>
      </c>
      <c r="L105" s="505" t="str">
        <f>IF(J105="","",IF(VLOOKUP(J105,'G-7 Rivers Data'!$AK$4:$AM$9,3,FALSE)=0,"Spatial Data Missing ⚠",VLOOKUP(J105,'G-7 Rivers Data'!$AK$4:$AM$9,3,FALSE)))</f>
        <v/>
      </c>
      <c r="M105" s="71"/>
      <c r="N105" s="499" t="str">
        <f>IF(M105="","",IF(VLOOKUP(M105,'G-7 Rivers Data'!$AA$4:$AB$7,2,FALSE)=0,"Spatial Data Missing ⚠",VLOOKUP(M105,'G-7 Rivers Data'!$AA$4:$AB$7,2,FALSE)))</f>
        <v/>
      </c>
      <c r="O105" s="155"/>
      <c r="P105" s="499" t="str">
        <f>IF(O105="","",IF(VLOOKUP(O105,'G-7 Rivers Data'!$AD$4:$AE$8,2,FALSE)=0,"Spatial Data Missing ⚠",VLOOKUP(O105,'G-7 Rivers Data'!$AD$4:$AE$8,2,FALSE)))</f>
        <v/>
      </c>
      <c r="Q105" s="506" t="str">
        <f>IF(D105="","",VLOOKUP(D105,'G-7 Rivers Data'!$B$2:$G$8,6,FALSE))</f>
        <v/>
      </c>
      <c r="R105" s="513" t="str">
        <f t="shared" si="8"/>
        <v/>
      </c>
      <c r="S105" s="40"/>
      <c r="T105" s="145"/>
      <c r="U105" s="157"/>
      <c r="V105" s="511" t="str">
        <f t="shared" si="9"/>
        <v/>
      </c>
      <c r="W105" s="511" t="str">
        <f t="shared" si="10"/>
        <v/>
      </c>
      <c r="X105" s="511" t="str">
        <f t="shared" si="11"/>
        <v/>
      </c>
      <c r="Y105" s="515" t="str">
        <f t="shared" si="12"/>
        <v/>
      </c>
      <c r="Z105" s="151"/>
      <c r="AA105" s="152"/>
      <c r="AG105" s="31">
        <f t="shared" si="13"/>
        <v>0</v>
      </c>
      <c r="AH105" s="156" t="str">
        <f t="shared" si="14"/>
        <v/>
      </c>
      <c r="AI105" s="156" t="str">
        <f t="shared" si="15"/>
        <v/>
      </c>
      <c r="AK105" s="156">
        <v>96</v>
      </c>
      <c r="AM105" s="156" t="str">
        <f t="array" ref="AM105">IFERROR(INDEX($AK$10:$AK$258, MATCH(0, IF(TRUE=$AH$10:$AH$258, COUNTIF($AM$9:$AM104, $AK$10:$AK$258), ""), 0)),"")</f>
        <v/>
      </c>
      <c r="AN105" s="156" t="str">
        <f t="array" ref="AN105">IFERROR(INDEX($AK$10:$AK$258, MATCH(0, IF(TRUE=$AI$10:$AI$258, COUNTIF($AN$9:$AN104, $AK$10:$AK$258), ""), 0)),"")</f>
        <v/>
      </c>
      <c r="AP105" s="31" t="str">
        <f>IFERROR(INDEX('G-7 Rivers Data'!$AZ$3:$AZ$7,MATCH(D105,'G-7 Rivers Data'!$AY$3:$AY$7,0)),"")</f>
        <v/>
      </c>
    </row>
    <row r="106" spans="3:42" ht="14" x14ac:dyDescent="0.3">
      <c r="C106" s="141">
        <v>97</v>
      </c>
      <c r="D106" s="460"/>
      <c r="E106" s="172"/>
      <c r="F106" s="498" t="str">
        <f>IF(D106="","",VLOOKUP(D106,'G-7 Rivers Data'!$B$2:$G$8,2,FALSE))</f>
        <v/>
      </c>
      <c r="G106" s="499" t="str">
        <f>IFERROR(VLOOKUP(F106,'G-7 Rivers Data'!$C$4:$D$8,2,FALSE),"")</f>
        <v/>
      </c>
      <c r="H106" s="145"/>
      <c r="I106" s="499" t="str">
        <f>IFERROR(INDEX('G-7 Rivers Data'!$H$4:$L$8,MATCH(D106,'G-7 Rivers Data'!$B$4:$B$8,0),MATCH(H106,'G-7 Rivers Data'!$H$3:$L$3,0)),"")</f>
        <v/>
      </c>
      <c r="J106" s="418"/>
      <c r="K106" s="498" t="str">
        <f>IF(J106="","",IF(VLOOKUP(J106,'G-7 Rivers Data'!$AK$4:$AM$9,2,FALSE)=0,"Spatial Data Missing ⚠",VLOOKUP(J106,'G-7 Rivers Data'!$AK$4:$AM$9,2,FALSE)))</f>
        <v/>
      </c>
      <c r="L106" s="505" t="str">
        <f>IF(J106="","",IF(VLOOKUP(J106,'G-7 Rivers Data'!$AK$4:$AM$9,3,FALSE)=0,"Spatial Data Missing ⚠",VLOOKUP(J106,'G-7 Rivers Data'!$AK$4:$AM$9,3,FALSE)))</f>
        <v/>
      </c>
      <c r="M106" s="71"/>
      <c r="N106" s="499" t="str">
        <f>IF(M106="","",IF(VLOOKUP(M106,'G-7 Rivers Data'!$AA$4:$AB$7,2,FALSE)=0,"Spatial Data Missing ⚠",VLOOKUP(M106,'G-7 Rivers Data'!$AA$4:$AB$7,2,FALSE)))</f>
        <v/>
      </c>
      <c r="O106" s="155"/>
      <c r="P106" s="499" t="str">
        <f>IF(O106="","",IF(VLOOKUP(O106,'G-7 Rivers Data'!$AD$4:$AE$8,2,FALSE)=0,"Spatial Data Missing ⚠",VLOOKUP(O106,'G-7 Rivers Data'!$AD$4:$AE$8,2,FALSE)))</f>
        <v/>
      </c>
      <c r="Q106" s="506" t="str">
        <f>IF(D106="","",VLOOKUP(D106,'G-7 Rivers Data'!$B$2:$G$8,6,FALSE))</f>
        <v/>
      </c>
      <c r="R106" s="513" t="str">
        <f t="shared" si="8"/>
        <v/>
      </c>
      <c r="S106" s="40"/>
      <c r="T106" s="145"/>
      <c r="U106" s="157"/>
      <c r="V106" s="511" t="str">
        <f t="shared" si="9"/>
        <v/>
      </c>
      <c r="W106" s="511" t="str">
        <f t="shared" si="10"/>
        <v/>
      </c>
      <c r="X106" s="511" t="str">
        <f t="shared" si="11"/>
        <v/>
      </c>
      <c r="Y106" s="515" t="str">
        <f t="shared" si="12"/>
        <v/>
      </c>
      <c r="Z106" s="151"/>
      <c r="AA106" s="152"/>
      <c r="AG106" s="31">
        <f t="shared" si="13"/>
        <v>0</v>
      </c>
      <c r="AH106" s="156" t="str">
        <f t="shared" si="14"/>
        <v/>
      </c>
      <c r="AI106" s="156" t="str">
        <f t="shared" si="15"/>
        <v/>
      </c>
      <c r="AK106" s="156">
        <v>97</v>
      </c>
      <c r="AM106" s="156" t="str">
        <f t="array" ref="AM106">IFERROR(INDEX($AK$10:$AK$258, MATCH(0, IF(TRUE=$AH$10:$AH$258, COUNTIF($AM$9:$AM105, $AK$10:$AK$258), ""), 0)),"")</f>
        <v/>
      </c>
      <c r="AN106" s="156" t="str">
        <f t="array" ref="AN106">IFERROR(INDEX($AK$10:$AK$258, MATCH(0, IF(TRUE=$AI$10:$AI$258, COUNTIF($AN$9:$AN105, $AK$10:$AK$258), ""), 0)),"")</f>
        <v/>
      </c>
      <c r="AP106" s="31" t="str">
        <f>IFERROR(INDEX('G-7 Rivers Data'!$AZ$3:$AZ$7,MATCH(D106,'G-7 Rivers Data'!$AY$3:$AY$7,0)),"")</f>
        <v/>
      </c>
    </row>
    <row r="107" spans="3:42" ht="14" x14ac:dyDescent="0.3">
      <c r="C107" s="141">
        <v>98</v>
      </c>
      <c r="D107" s="460"/>
      <c r="E107" s="172"/>
      <c r="F107" s="498" t="str">
        <f>IF(D107="","",VLOOKUP(D107,'G-7 Rivers Data'!$B$2:$G$8,2,FALSE))</f>
        <v/>
      </c>
      <c r="G107" s="499" t="str">
        <f>IFERROR(VLOOKUP(F107,'G-7 Rivers Data'!$C$4:$D$8,2,FALSE),"")</f>
        <v/>
      </c>
      <c r="H107" s="145"/>
      <c r="I107" s="499" t="str">
        <f>IFERROR(INDEX('G-7 Rivers Data'!$H$4:$L$8,MATCH(D107,'G-7 Rivers Data'!$B$4:$B$8,0),MATCH(H107,'G-7 Rivers Data'!$H$3:$L$3,0)),"")</f>
        <v/>
      </c>
      <c r="J107" s="418"/>
      <c r="K107" s="498" t="str">
        <f>IF(J107="","",IF(VLOOKUP(J107,'G-7 Rivers Data'!$AK$4:$AM$9,2,FALSE)=0,"Spatial Data Missing ⚠",VLOOKUP(J107,'G-7 Rivers Data'!$AK$4:$AM$9,2,FALSE)))</f>
        <v/>
      </c>
      <c r="L107" s="505" t="str">
        <f>IF(J107="","",IF(VLOOKUP(J107,'G-7 Rivers Data'!$AK$4:$AM$9,3,FALSE)=0,"Spatial Data Missing ⚠",VLOOKUP(J107,'G-7 Rivers Data'!$AK$4:$AM$9,3,FALSE)))</f>
        <v/>
      </c>
      <c r="M107" s="71"/>
      <c r="N107" s="499" t="str">
        <f>IF(M107="","",IF(VLOOKUP(M107,'G-7 Rivers Data'!$AA$4:$AB$7,2,FALSE)=0,"Spatial Data Missing ⚠",VLOOKUP(M107,'G-7 Rivers Data'!$AA$4:$AB$7,2,FALSE)))</f>
        <v/>
      </c>
      <c r="O107" s="155"/>
      <c r="P107" s="499" t="str">
        <f>IF(O107="","",IF(VLOOKUP(O107,'G-7 Rivers Data'!$AD$4:$AE$8,2,FALSE)=0,"Spatial Data Missing ⚠",VLOOKUP(O107,'G-7 Rivers Data'!$AD$4:$AE$8,2,FALSE)))</f>
        <v/>
      </c>
      <c r="Q107" s="506" t="str">
        <f>IF(D107="","",VLOOKUP(D107,'G-7 Rivers Data'!$B$2:$G$8,6,FALSE))</f>
        <v/>
      </c>
      <c r="R107" s="513" t="str">
        <f t="shared" si="8"/>
        <v/>
      </c>
      <c r="S107" s="40"/>
      <c r="T107" s="145"/>
      <c r="U107" s="157"/>
      <c r="V107" s="511" t="str">
        <f t="shared" si="9"/>
        <v/>
      </c>
      <c r="W107" s="511" t="str">
        <f t="shared" si="10"/>
        <v/>
      </c>
      <c r="X107" s="511" t="str">
        <f t="shared" si="11"/>
        <v/>
      </c>
      <c r="Y107" s="515" t="str">
        <f t="shared" si="12"/>
        <v/>
      </c>
      <c r="Z107" s="151"/>
      <c r="AA107" s="152"/>
      <c r="AG107" s="31">
        <f t="shared" si="13"/>
        <v>0</v>
      </c>
      <c r="AH107" s="156" t="str">
        <f t="shared" si="14"/>
        <v/>
      </c>
      <c r="AI107" s="156" t="str">
        <f t="shared" si="15"/>
        <v/>
      </c>
      <c r="AK107" s="156">
        <v>98</v>
      </c>
      <c r="AM107" s="156" t="str">
        <f t="array" ref="AM107">IFERROR(INDEX($AK$10:$AK$258, MATCH(0, IF(TRUE=$AH$10:$AH$258, COUNTIF($AM$9:$AM106, $AK$10:$AK$258), ""), 0)),"")</f>
        <v/>
      </c>
      <c r="AN107" s="156" t="str">
        <f t="array" ref="AN107">IFERROR(INDEX($AK$10:$AK$258, MATCH(0, IF(TRUE=$AI$10:$AI$258, COUNTIF($AN$9:$AN106, $AK$10:$AK$258), ""), 0)),"")</f>
        <v/>
      </c>
      <c r="AP107" s="31" t="str">
        <f>IFERROR(INDEX('G-7 Rivers Data'!$AZ$3:$AZ$7,MATCH(D107,'G-7 Rivers Data'!$AY$3:$AY$7,0)),"")</f>
        <v/>
      </c>
    </row>
    <row r="108" spans="3:42" ht="14" x14ac:dyDescent="0.3">
      <c r="C108" s="141">
        <v>99</v>
      </c>
      <c r="D108" s="460"/>
      <c r="E108" s="172"/>
      <c r="F108" s="498" t="str">
        <f>IF(D108="","",VLOOKUP(D108,'G-7 Rivers Data'!$B$2:$G$8,2,FALSE))</f>
        <v/>
      </c>
      <c r="G108" s="499" t="str">
        <f>IFERROR(VLOOKUP(F108,'G-7 Rivers Data'!$C$4:$D$8,2,FALSE),"")</f>
        <v/>
      </c>
      <c r="H108" s="145"/>
      <c r="I108" s="499" t="str">
        <f>IFERROR(INDEX('G-7 Rivers Data'!$H$4:$L$8,MATCH(D108,'G-7 Rivers Data'!$B$4:$B$8,0),MATCH(H108,'G-7 Rivers Data'!$H$3:$L$3,0)),"")</f>
        <v/>
      </c>
      <c r="J108" s="418"/>
      <c r="K108" s="498" t="str">
        <f>IF(J108="","",IF(VLOOKUP(J108,'G-7 Rivers Data'!$AK$4:$AM$9,2,FALSE)=0,"Spatial Data Missing ⚠",VLOOKUP(J108,'G-7 Rivers Data'!$AK$4:$AM$9,2,FALSE)))</f>
        <v/>
      </c>
      <c r="L108" s="505" t="str">
        <f>IF(J108="","",IF(VLOOKUP(J108,'G-7 Rivers Data'!$AK$4:$AM$9,3,FALSE)=0,"Spatial Data Missing ⚠",VLOOKUP(J108,'G-7 Rivers Data'!$AK$4:$AM$9,3,FALSE)))</f>
        <v/>
      </c>
      <c r="M108" s="71"/>
      <c r="N108" s="499" t="str">
        <f>IF(M108="","",IF(VLOOKUP(M108,'G-7 Rivers Data'!$AA$4:$AB$7,2,FALSE)=0,"Spatial Data Missing ⚠",VLOOKUP(M108,'G-7 Rivers Data'!$AA$4:$AB$7,2,FALSE)))</f>
        <v/>
      </c>
      <c r="O108" s="155"/>
      <c r="P108" s="499" t="str">
        <f>IF(O108="","",IF(VLOOKUP(O108,'G-7 Rivers Data'!$AD$4:$AE$8,2,FALSE)=0,"Spatial Data Missing ⚠",VLOOKUP(O108,'G-7 Rivers Data'!$AD$4:$AE$8,2,FALSE)))</f>
        <v/>
      </c>
      <c r="Q108" s="506" t="str">
        <f>IF(D108="","",VLOOKUP(D108,'G-7 Rivers Data'!$B$2:$G$8,6,FALSE))</f>
        <v/>
      </c>
      <c r="R108" s="513" t="str">
        <f t="shared" si="8"/>
        <v/>
      </c>
      <c r="S108" s="40"/>
      <c r="T108" s="145"/>
      <c r="U108" s="157"/>
      <c r="V108" s="511" t="str">
        <f t="shared" si="9"/>
        <v/>
      </c>
      <c r="W108" s="511" t="str">
        <f t="shared" si="10"/>
        <v/>
      </c>
      <c r="X108" s="511" t="str">
        <f t="shared" si="11"/>
        <v/>
      </c>
      <c r="Y108" s="515" t="str">
        <f t="shared" si="12"/>
        <v/>
      </c>
      <c r="Z108" s="151"/>
      <c r="AA108" s="152"/>
      <c r="AG108" s="31">
        <f t="shared" si="13"/>
        <v>0</v>
      </c>
      <c r="AH108" s="156" t="str">
        <f t="shared" si="14"/>
        <v/>
      </c>
      <c r="AI108" s="156" t="str">
        <f t="shared" si="15"/>
        <v/>
      </c>
      <c r="AK108" s="156">
        <v>99</v>
      </c>
      <c r="AM108" s="156" t="str">
        <f t="array" ref="AM108">IFERROR(INDEX($AK$10:$AK$258, MATCH(0, IF(TRUE=$AH$10:$AH$258, COUNTIF($AM$9:$AM107, $AK$10:$AK$258), ""), 0)),"")</f>
        <v/>
      </c>
      <c r="AN108" s="156" t="str">
        <f t="array" ref="AN108">IFERROR(INDEX($AK$10:$AK$258, MATCH(0, IF(TRUE=$AI$10:$AI$258, COUNTIF($AN$9:$AN107, $AK$10:$AK$258), ""), 0)),"")</f>
        <v/>
      </c>
      <c r="AP108" s="31" t="str">
        <f>IFERROR(INDEX('G-7 Rivers Data'!$AZ$3:$AZ$7,MATCH(D108,'G-7 Rivers Data'!$AY$3:$AY$7,0)),"")</f>
        <v/>
      </c>
    </row>
    <row r="109" spans="3:42" ht="14" x14ac:dyDescent="0.3">
      <c r="C109" s="141">
        <v>100</v>
      </c>
      <c r="D109" s="460"/>
      <c r="E109" s="172"/>
      <c r="F109" s="498" t="str">
        <f>IF(D109="","",VLOOKUP(D109,'G-7 Rivers Data'!$B$2:$G$8,2,FALSE))</f>
        <v/>
      </c>
      <c r="G109" s="499" t="str">
        <f>IFERROR(VLOOKUP(F109,'G-7 Rivers Data'!$C$4:$D$8,2,FALSE),"")</f>
        <v/>
      </c>
      <c r="H109" s="145"/>
      <c r="I109" s="499" t="str">
        <f>IFERROR(INDEX('G-7 Rivers Data'!$H$4:$L$8,MATCH(D109,'G-7 Rivers Data'!$B$4:$B$8,0),MATCH(H109,'G-7 Rivers Data'!$H$3:$L$3,0)),"")</f>
        <v/>
      </c>
      <c r="J109" s="418"/>
      <c r="K109" s="498" t="str">
        <f>IF(J109="","",IF(VLOOKUP(J109,'G-7 Rivers Data'!$AK$4:$AM$9,2,FALSE)=0,"Spatial Data Missing ⚠",VLOOKUP(J109,'G-7 Rivers Data'!$AK$4:$AM$9,2,FALSE)))</f>
        <v/>
      </c>
      <c r="L109" s="505" t="str">
        <f>IF(J109="","",IF(VLOOKUP(J109,'G-7 Rivers Data'!$AK$4:$AM$9,3,FALSE)=0,"Spatial Data Missing ⚠",VLOOKUP(J109,'G-7 Rivers Data'!$AK$4:$AM$9,3,FALSE)))</f>
        <v/>
      </c>
      <c r="M109" s="71"/>
      <c r="N109" s="499" t="str">
        <f>IF(M109="","",IF(VLOOKUP(M109,'G-7 Rivers Data'!$AA$4:$AB$7,2,FALSE)=0,"Spatial Data Missing ⚠",VLOOKUP(M109,'G-7 Rivers Data'!$AA$4:$AB$7,2,FALSE)))</f>
        <v/>
      </c>
      <c r="O109" s="155"/>
      <c r="P109" s="499" t="str">
        <f>IF(O109="","",IF(VLOOKUP(O109,'G-7 Rivers Data'!$AD$4:$AE$8,2,FALSE)=0,"Spatial Data Missing ⚠",VLOOKUP(O109,'G-7 Rivers Data'!$AD$4:$AE$8,2,FALSE)))</f>
        <v/>
      </c>
      <c r="Q109" s="506" t="str">
        <f>IF(D109="","",VLOOKUP(D109,'G-7 Rivers Data'!$B$2:$G$8,6,FALSE))</f>
        <v/>
      </c>
      <c r="R109" s="513" t="str">
        <f t="shared" si="8"/>
        <v/>
      </c>
      <c r="S109" s="40"/>
      <c r="T109" s="145"/>
      <c r="U109" s="157"/>
      <c r="V109" s="511" t="str">
        <f t="shared" si="9"/>
        <v/>
      </c>
      <c r="W109" s="511" t="str">
        <f t="shared" si="10"/>
        <v/>
      </c>
      <c r="X109" s="511" t="str">
        <f t="shared" si="11"/>
        <v/>
      </c>
      <c r="Y109" s="515" t="str">
        <f t="shared" si="12"/>
        <v/>
      </c>
      <c r="Z109" s="151"/>
      <c r="AA109" s="152"/>
      <c r="AG109" s="31">
        <f t="shared" si="13"/>
        <v>0</v>
      </c>
      <c r="AH109" s="156" t="str">
        <f t="shared" si="14"/>
        <v/>
      </c>
      <c r="AI109" s="156" t="str">
        <f t="shared" si="15"/>
        <v/>
      </c>
      <c r="AK109" s="156">
        <v>100</v>
      </c>
      <c r="AM109" s="156" t="str">
        <f t="array" ref="AM109">IFERROR(INDEX($AK$10:$AK$258, MATCH(0, IF(TRUE=$AH$10:$AH$258, COUNTIF($AM$9:$AM108, $AK$10:$AK$258), ""), 0)),"")</f>
        <v/>
      </c>
      <c r="AN109" s="156" t="str">
        <f t="array" ref="AN109">IFERROR(INDEX($AK$10:$AK$258, MATCH(0, IF(TRUE=$AI$10:$AI$258, COUNTIF($AN$9:$AN108, $AK$10:$AK$258), ""), 0)),"")</f>
        <v/>
      </c>
      <c r="AP109" s="31" t="str">
        <f>IFERROR(INDEX('G-7 Rivers Data'!$AZ$3:$AZ$7,MATCH(D109,'G-7 Rivers Data'!$AY$3:$AY$7,0)),"")</f>
        <v/>
      </c>
    </row>
    <row r="110" spans="3:42" ht="14" x14ac:dyDescent="0.3">
      <c r="C110" s="141">
        <v>101</v>
      </c>
      <c r="D110" s="460"/>
      <c r="E110" s="172"/>
      <c r="F110" s="498" t="str">
        <f>IF(D110="","",VLOOKUP(D110,'G-7 Rivers Data'!$B$2:$G$8,2,FALSE))</f>
        <v/>
      </c>
      <c r="G110" s="499" t="str">
        <f>IFERROR(VLOOKUP(F110,'G-7 Rivers Data'!$C$4:$D$8,2,FALSE),"")</f>
        <v/>
      </c>
      <c r="H110" s="145"/>
      <c r="I110" s="499" t="str">
        <f>IFERROR(INDEX('G-7 Rivers Data'!$H$4:$L$8,MATCH(D110,'G-7 Rivers Data'!$B$4:$B$8,0),MATCH(H110,'G-7 Rivers Data'!$H$3:$L$3,0)),"")</f>
        <v/>
      </c>
      <c r="J110" s="418"/>
      <c r="K110" s="498" t="str">
        <f>IF(J110="","",IF(VLOOKUP(J110,'G-7 Rivers Data'!$AK$4:$AM$9,2,FALSE)=0,"Spatial Data Missing ⚠",VLOOKUP(J110,'G-7 Rivers Data'!$AK$4:$AM$9,2,FALSE)))</f>
        <v/>
      </c>
      <c r="L110" s="505" t="str">
        <f>IF(J110="","",IF(VLOOKUP(J110,'G-7 Rivers Data'!$AK$4:$AM$9,3,FALSE)=0,"Spatial Data Missing ⚠",VLOOKUP(J110,'G-7 Rivers Data'!$AK$4:$AM$9,3,FALSE)))</f>
        <v/>
      </c>
      <c r="M110" s="71"/>
      <c r="N110" s="499" t="str">
        <f>IF(M110="","",IF(VLOOKUP(M110,'G-7 Rivers Data'!$AA$4:$AB$7,2,FALSE)=0,"Spatial Data Missing ⚠",VLOOKUP(M110,'G-7 Rivers Data'!$AA$4:$AB$7,2,FALSE)))</f>
        <v/>
      </c>
      <c r="O110" s="155"/>
      <c r="P110" s="499" t="str">
        <f>IF(O110="","",IF(VLOOKUP(O110,'G-7 Rivers Data'!$AD$4:$AE$8,2,FALSE)=0,"Spatial Data Missing ⚠",VLOOKUP(O110,'G-7 Rivers Data'!$AD$4:$AE$8,2,FALSE)))</f>
        <v/>
      </c>
      <c r="Q110" s="506" t="str">
        <f>IF(D110="","",VLOOKUP(D110,'G-7 Rivers Data'!$B$2:$G$8,6,FALSE))</f>
        <v/>
      </c>
      <c r="R110" s="513" t="str">
        <f t="shared" si="8"/>
        <v/>
      </c>
      <c r="S110" s="40"/>
      <c r="T110" s="145"/>
      <c r="U110" s="157"/>
      <c r="V110" s="511" t="str">
        <f t="shared" si="9"/>
        <v/>
      </c>
      <c r="W110" s="511" t="str">
        <f t="shared" si="10"/>
        <v/>
      </c>
      <c r="X110" s="511" t="str">
        <f t="shared" si="11"/>
        <v/>
      </c>
      <c r="Y110" s="515" t="str">
        <f t="shared" si="12"/>
        <v/>
      </c>
      <c r="Z110" s="151"/>
      <c r="AA110" s="152"/>
      <c r="AG110" s="31">
        <f t="shared" si="13"/>
        <v>0</v>
      </c>
      <c r="AH110" s="156" t="str">
        <f t="shared" si="14"/>
        <v/>
      </c>
      <c r="AI110" s="156" t="str">
        <f t="shared" si="15"/>
        <v/>
      </c>
      <c r="AK110" s="156">
        <v>101</v>
      </c>
      <c r="AM110" s="156" t="str">
        <f t="array" ref="AM110">IFERROR(INDEX($AK$10:$AK$258, MATCH(0, IF(TRUE=$AH$10:$AH$258, COUNTIF($AM$9:$AM109, $AK$10:$AK$258), ""), 0)),"")</f>
        <v/>
      </c>
      <c r="AN110" s="156" t="str">
        <f t="array" ref="AN110">IFERROR(INDEX($AK$10:$AK$258, MATCH(0, IF(TRUE=$AI$10:$AI$258, COUNTIF($AN$9:$AN109, $AK$10:$AK$258), ""), 0)),"")</f>
        <v/>
      </c>
      <c r="AP110" s="31" t="str">
        <f>IFERROR(INDEX('G-7 Rivers Data'!$AZ$3:$AZ$7,MATCH(D110,'G-7 Rivers Data'!$AY$3:$AY$7,0)),"")</f>
        <v/>
      </c>
    </row>
    <row r="111" spans="3:42" ht="14" x14ac:dyDescent="0.3">
      <c r="C111" s="141">
        <v>102</v>
      </c>
      <c r="D111" s="460"/>
      <c r="E111" s="172"/>
      <c r="F111" s="498" t="str">
        <f>IF(D111="","",VLOOKUP(D111,'G-7 Rivers Data'!$B$2:$G$8,2,FALSE))</f>
        <v/>
      </c>
      <c r="G111" s="499" t="str">
        <f>IFERROR(VLOOKUP(F111,'G-7 Rivers Data'!$C$4:$D$8,2,FALSE),"")</f>
        <v/>
      </c>
      <c r="H111" s="145"/>
      <c r="I111" s="499" t="str">
        <f>IFERROR(INDEX('G-7 Rivers Data'!$H$4:$L$8,MATCH(D111,'G-7 Rivers Data'!$B$4:$B$8,0),MATCH(H111,'G-7 Rivers Data'!$H$3:$L$3,0)),"")</f>
        <v/>
      </c>
      <c r="J111" s="418"/>
      <c r="K111" s="498" t="str">
        <f>IF(J111="","",IF(VLOOKUP(J111,'G-7 Rivers Data'!$AK$4:$AM$9,2,FALSE)=0,"Spatial Data Missing ⚠",VLOOKUP(J111,'G-7 Rivers Data'!$AK$4:$AM$9,2,FALSE)))</f>
        <v/>
      </c>
      <c r="L111" s="505" t="str">
        <f>IF(J111="","",IF(VLOOKUP(J111,'G-7 Rivers Data'!$AK$4:$AM$9,3,FALSE)=0,"Spatial Data Missing ⚠",VLOOKUP(J111,'G-7 Rivers Data'!$AK$4:$AM$9,3,FALSE)))</f>
        <v/>
      </c>
      <c r="M111" s="71"/>
      <c r="N111" s="499" t="str">
        <f>IF(M111="","",IF(VLOOKUP(M111,'G-7 Rivers Data'!$AA$4:$AB$7,2,FALSE)=0,"Spatial Data Missing ⚠",VLOOKUP(M111,'G-7 Rivers Data'!$AA$4:$AB$7,2,FALSE)))</f>
        <v/>
      </c>
      <c r="O111" s="155"/>
      <c r="P111" s="499" t="str">
        <f>IF(O111="","",IF(VLOOKUP(O111,'G-7 Rivers Data'!$AD$4:$AE$8,2,FALSE)=0,"Spatial Data Missing ⚠",VLOOKUP(O111,'G-7 Rivers Data'!$AD$4:$AE$8,2,FALSE)))</f>
        <v/>
      </c>
      <c r="Q111" s="506" t="str">
        <f>IF(D111="","",VLOOKUP(D111,'G-7 Rivers Data'!$B$2:$G$8,6,FALSE))</f>
        <v/>
      </c>
      <c r="R111" s="513" t="str">
        <f t="shared" si="8"/>
        <v/>
      </c>
      <c r="S111" s="40"/>
      <c r="T111" s="145"/>
      <c r="U111" s="157"/>
      <c r="V111" s="511" t="str">
        <f t="shared" si="9"/>
        <v/>
      </c>
      <c r="W111" s="511" t="str">
        <f t="shared" si="10"/>
        <v/>
      </c>
      <c r="X111" s="511" t="str">
        <f t="shared" si="11"/>
        <v/>
      </c>
      <c r="Y111" s="515" t="str">
        <f t="shared" si="12"/>
        <v/>
      </c>
      <c r="Z111" s="151"/>
      <c r="AA111" s="152"/>
      <c r="AG111" s="31">
        <f t="shared" si="13"/>
        <v>0</v>
      </c>
      <c r="AH111" s="156" t="str">
        <f t="shared" si="14"/>
        <v/>
      </c>
      <c r="AI111" s="156" t="str">
        <f t="shared" si="15"/>
        <v/>
      </c>
      <c r="AK111" s="156">
        <v>102</v>
      </c>
      <c r="AM111" s="156" t="str">
        <f t="array" ref="AM111">IFERROR(INDEX($AK$10:$AK$258, MATCH(0, IF(TRUE=$AH$10:$AH$258, COUNTIF($AM$9:$AM110, $AK$10:$AK$258), ""), 0)),"")</f>
        <v/>
      </c>
      <c r="AN111" s="156" t="str">
        <f t="array" ref="AN111">IFERROR(INDEX($AK$10:$AK$258, MATCH(0, IF(TRUE=$AI$10:$AI$258, COUNTIF($AN$9:$AN110, $AK$10:$AK$258), ""), 0)),"")</f>
        <v/>
      </c>
      <c r="AP111" s="31" t="str">
        <f>IFERROR(INDEX('G-7 Rivers Data'!$AZ$3:$AZ$7,MATCH(D111,'G-7 Rivers Data'!$AY$3:$AY$7,0)),"")</f>
        <v/>
      </c>
    </row>
    <row r="112" spans="3:42" ht="14" x14ac:dyDescent="0.3">
      <c r="C112" s="141">
        <v>103</v>
      </c>
      <c r="D112" s="460"/>
      <c r="E112" s="172"/>
      <c r="F112" s="498" t="str">
        <f>IF(D112="","",VLOOKUP(D112,'G-7 Rivers Data'!$B$2:$G$8,2,FALSE))</f>
        <v/>
      </c>
      <c r="G112" s="499" t="str">
        <f>IFERROR(VLOOKUP(F112,'G-7 Rivers Data'!$C$4:$D$8,2,FALSE),"")</f>
        <v/>
      </c>
      <c r="H112" s="145"/>
      <c r="I112" s="499" t="str">
        <f>IFERROR(INDEX('G-7 Rivers Data'!$H$4:$L$8,MATCH(D112,'G-7 Rivers Data'!$B$4:$B$8,0),MATCH(H112,'G-7 Rivers Data'!$H$3:$L$3,0)),"")</f>
        <v/>
      </c>
      <c r="J112" s="418"/>
      <c r="K112" s="498" t="str">
        <f>IF(J112="","",IF(VLOOKUP(J112,'G-7 Rivers Data'!$AK$4:$AM$9,2,FALSE)=0,"Spatial Data Missing ⚠",VLOOKUP(J112,'G-7 Rivers Data'!$AK$4:$AM$9,2,FALSE)))</f>
        <v/>
      </c>
      <c r="L112" s="505" t="str">
        <f>IF(J112="","",IF(VLOOKUP(J112,'G-7 Rivers Data'!$AK$4:$AM$9,3,FALSE)=0,"Spatial Data Missing ⚠",VLOOKUP(J112,'G-7 Rivers Data'!$AK$4:$AM$9,3,FALSE)))</f>
        <v/>
      </c>
      <c r="M112" s="71"/>
      <c r="N112" s="499" t="str">
        <f>IF(M112="","",IF(VLOOKUP(M112,'G-7 Rivers Data'!$AA$4:$AB$7,2,FALSE)=0,"Spatial Data Missing ⚠",VLOOKUP(M112,'G-7 Rivers Data'!$AA$4:$AB$7,2,FALSE)))</f>
        <v/>
      </c>
      <c r="O112" s="155"/>
      <c r="P112" s="499" t="str">
        <f>IF(O112="","",IF(VLOOKUP(O112,'G-7 Rivers Data'!$AD$4:$AE$8,2,FALSE)=0,"Spatial Data Missing ⚠",VLOOKUP(O112,'G-7 Rivers Data'!$AD$4:$AE$8,2,FALSE)))</f>
        <v/>
      </c>
      <c r="Q112" s="506" t="str">
        <f>IF(D112="","",VLOOKUP(D112,'G-7 Rivers Data'!$B$2:$G$8,6,FALSE))</f>
        <v/>
      </c>
      <c r="R112" s="513" t="str">
        <f t="shared" si="8"/>
        <v/>
      </c>
      <c r="S112" s="40"/>
      <c r="T112" s="145"/>
      <c r="U112" s="157"/>
      <c r="V112" s="511" t="str">
        <f t="shared" si="9"/>
        <v/>
      </c>
      <c r="W112" s="511" t="str">
        <f t="shared" si="10"/>
        <v/>
      </c>
      <c r="X112" s="511" t="str">
        <f t="shared" si="11"/>
        <v/>
      </c>
      <c r="Y112" s="515" t="str">
        <f t="shared" si="12"/>
        <v/>
      </c>
      <c r="Z112" s="151"/>
      <c r="AA112" s="152"/>
      <c r="AG112" s="31">
        <f t="shared" si="13"/>
        <v>0</v>
      </c>
      <c r="AH112" s="156" t="str">
        <f t="shared" si="14"/>
        <v/>
      </c>
      <c r="AI112" s="156" t="str">
        <f t="shared" si="15"/>
        <v/>
      </c>
      <c r="AK112" s="156">
        <v>103</v>
      </c>
      <c r="AM112" s="156" t="str">
        <f t="array" ref="AM112">IFERROR(INDEX($AK$10:$AK$258, MATCH(0, IF(TRUE=$AH$10:$AH$258, COUNTIF($AM$9:$AM111, $AK$10:$AK$258), ""), 0)),"")</f>
        <v/>
      </c>
      <c r="AN112" s="156" t="str">
        <f t="array" ref="AN112">IFERROR(INDEX($AK$10:$AK$258, MATCH(0, IF(TRUE=$AI$10:$AI$258, COUNTIF($AN$9:$AN111, $AK$10:$AK$258), ""), 0)),"")</f>
        <v/>
      </c>
      <c r="AP112" s="31" t="str">
        <f>IFERROR(INDEX('G-7 Rivers Data'!$AZ$3:$AZ$7,MATCH(D112,'G-7 Rivers Data'!$AY$3:$AY$7,0)),"")</f>
        <v/>
      </c>
    </row>
    <row r="113" spans="3:42" ht="14" x14ac:dyDescent="0.3">
      <c r="C113" s="141">
        <v>104</v>
      </c>
      <c r="D113" s="460"/>
      <c r="E113" s="172"/>
      <c r="F113" s="498" t="str">
        <f>IF(D113="","",VLOOKUP(D113,'G-7 Rivers Data'!$B$2:$G$8,2,FALSE))</f>
        <v/>
      </c>
      <c r="G113" s="499" t="str">
        <f>IFERROR(VLOOKUP(F113,'G-7 Rivers Data'!$C$4:$D$8,2,FALSE),"")</f>
        <v/>
      </c>
      <c r="H113" s="145"/>
      <c r="I113" s="499" t="str">
        <f>IFERROR(INDEX('G-7 Rivers Data'!$H$4:$L$8,MATCH(D113,'G-7 Rivers Data'!$B$4:$B$8,0),MATCH(H113,'G-7 Rivers Data'!$H$3:$L$3,0)),"")</f>
        <v/>
      </c>
      <c r="J113" s="418"/>
      <c r="K113" s="498" t="str">
        <f>IF(J113="","",IF(VLOOKUP(J113,'G-7 Rivers Data'!$AK$4:$AM$9,2,FALSE)=0,"Spatial Data Missing ⚠",VLOOKUP(J113,'G-7 Rivers Data'!$AK$4:$AM$9,2,FALSE)))</f>
        <v/>
      </c>
      <c r="L113" s="505" t="str">
        <f>IF(J113="","",IF(VLOOKUP(J113,'G-7 Rivers Data'!$AK$4:$AM$9,3,FALSE)=0,"Spatial Data Missing ⚠",VLOOKUP(J113,'G-7 Rivers Data'!$AK$4:$AM$9,3,FALSE)))</f>
        <v/>
      </c>
      <c r="M113" s="71"/>
      <c r="N113" s="499" t="str">
        <f>IF(M113="","",IF(VLOOKUP(M113,'G-7 Rivers Data'!$AA$4:$AB$7,2,FALSE)=0,"Spatial Data Missing ⚠",VLOOKUP(M113,'G-7 Rivers Data'!$AA$4:$AB$7,2,FALSE)))</f>
        <v/>
      </c>
      <c r="O113" s="155"/>
      <c r="P113" s="499" t="str">
        <f>IF(O113="","",IF(VLOOKUP(O113,'G-7 Rivers Data'!$AD$4:$AE$8,2,FALSE)=0,"Spatial Data Missing ⚠",VLOOKUP(O113,'G-7 Rivers Data'!$AD$4:$AE$8,2,FALSE)))</f>
        <v/>
      </c>
      <c r="Q113" s="506" t="str">
        <f>IF(D113="","",VLOOKUP(D113,'G-7 Rivers Data'!$B$2:$G$8,6,FALSE))</f>
        <v/>
      </c>
      <c r="R113" s="513" t="str">
        <f t="shared" si="8"/>
        <v/>
      </c>
      <c r="S113" s="40"/>
      <c r="T113" s="145"/>
      <c r="U113" s="157"/>
      <c r="V113" s="511" t="str">
        <f t="shared" si="9"/>
        <v/>
      </c>
      <c r="W113" s="511" t="str">
        <f t="shared" si="10"/>
        <v/>
      </c>
      <c r="X113" s="511" t="str">
        <f t="shared" si="11"/>
        <v/>
      </c>
      <c r="Y113" s="515" t="str">
        <f t="shared" si="12"/>
        <v/>
      </c>
      <c r="Z113" s="151"/>
      <c r="AA113" s="152"/>
      <c r="AG113" s="31">
        <f t="shared" si="13"/>
        <v>0</v>
      </c>
      <c r="AH113" s="156" t="str">
        <f t="shared" si="14"/>
        <v/>
      </c>
      <c r="AI113" s="156" t="str">
        <f t="shared" si="15"/>
        <v/>
      </c>
      <c r="AK113" s="156">
        <v>104</v>
      </c>
      <c r="AM113" s="156" t="str">
        <f t="array" ref="AM113">IFERROR(INDEX($AK$10:$AK$258, MATCH(0, IF(TRUE=$AH$10:$AH$258, COUNTIF($AM$9:$AM112, $AK$10:$AK$258), ""), 0)),"")</f>
        <v/>
      </c>
      <c r="AN113" s="156" t="str">
        <f t="array" ref="AN113">IFERROR(INDEX($AK$10:$AK$258, MATCH(0, IF(TRUE=$AI$10:$AI$258, COUNTIF($AN$9:$AN112, $AK$10:$AK$258), ""), 0)),"")</f>
        <v/>
      </c>
      <c r="AP113" s="31" t="str">
        <f>IFERROR(INDEX('G-7 Rivers Data'!$AZ$3:$AZ$7,MATCH(D113,'G-7 Rivers Data'!$AY$3:$AY$7,0)),"")</f>
        <v/>
      </c>
    </row>
    <row r="114" spans="3:42" ht="14" x14ac:dyDescent="0.3">
      <c r="C114" s="141">
        <v>105</v>
      </c>
      <c r="D114" s="460"/>
      <c r="E114" s="172"/>
      <c r="F114" s="498" t="str">
        <f>IF(D114="","",VLOOKUP(D114,'G-7 Rivers Data'!$B$2:$G$8,2,FALSE))</f>
        <v/>
      </c>
      <c r="G114" s="499" t="str">
        <f>IFERROR(VLOOKUP(F114,'G-7 Rivers Data'!$C$4:$D$8,2,FALSE),"")</f>
        <v/>
      </c>
      <c r="H114" s="145"/>
      <c r="I114" s="499" t="str">
        <f>IFERROR(INDEX('G-7 Rivers Data'!$H$4:$L$8,MATCH(D114,'G-7 Rivers Data'!$B$4:$B$8,0),MATCH(H114,'G-7 Rivers Data'!$H$3:$L$3,0)),"")</f>
        <v/>
      </c>
      <c r="J114" s="418"/>
      <c r="K114" s="498" t="str">
        <f>IF(J114="","",IF(VLOOKUP(J114,'G-7 Rivers Data'!$AK$4:$AM$9,2,FALSE)=0,"Spatial Data Missing ⚠",VLOOKUP(J114,'G-7 Rivers Data'!$AK$4:$AM$9,2,FALSE)))</f>
        <v/>
      </c>
      <c r="L114" s="505" t="str">
        <f>IF(J114="","",IF(VLOOKUP(J114,'G-7 Rivers Data'!$AK$4:$AM$9,3,FALSE)=0,"Spatial Data Missing ⚠",VLOOKUP(J114,'G-7 Rivers Data'!$AK$4:$AM$9,3,FALSE)))</f>
        <v/>
      </c>
      <c r="M114" s="71"/>
      <c r="N114" s="499" t="str">
        <f>IF(M114="","",IF(VLOOKUP(M114,'G-7 Rivers Data'!$AA$4:$AB$7,2,FALSE)=0,"Spatial Data Missing ⚠",VLOOKUP(M114,'G-7 Rivers Data'!$AA$4:$AB$7,2,FALSE)))</f>
        <v/>
      </c>
      <c r="O114" s="155"/>
      <c r="P114" s="499" t="str">
        <f>IF(O114="","",IF(VLOOKUP(O114,'G-7 Rivers Data'!$AD$4:$AE$8,2,FALSE)=0,"Spatial Data Missing ⚠",VLOOKUP(O114,'G-7 Rivers Data'!$AD$4:$AE$8,2,FALSE)))</f>
        <v/>
      </c>
      <c r="Q114" s="506" t="str">
        <f>IF(D114="","",VLOOKUP(D114,'G-7 Rivers Data'!$B$2:$G$8,6,FALSE))</f>
        <v/>
      </c>
      <c r="R114" s="513" t="str">
        <f t="shared" si="8"/>
        <v/>
      </c>
      <c r="S114" s="40"/>
      <c r="T114" s="145"/>
      <c r="U114" s="157"/>
      <c r="V114" s="511" t="str">
        <f t="shared" si="9"/>
        <v/>
      </c>
      <c r="W114" s="511" t="str">
        <f t="shared" si="10"/>
        <v/>
      </c>
      <c r="X114" s="511" t="str">
        <f t="shared" si="11"/>
        <v/>
      </c>
      <c r="Y114" s="515" t="str">
        <f t="shared" si="12"/>
        <v/>
      </c>
      <c r="Z114" s="151"/>
      <c r="AA114" s="152"/>
      <c r="AG114" s="31">
        <f t="shared" si="13"/>
        <v>0</v>
      </c>
      <c r="AH114" s="156" t="str">
        <f t="shared" si="14"/>
        <v/>
      </c>
      <c r="AI114" s="156" t="str">
        <f t="shared" si="15"/>
        <v/>
      </c>
      <c r="AK114" s="156">
        <v>105</v>
      </c>
      <c r="AM114" s="156" t="str">
        <f t="array" ref="AM114">IFERROR(INDEX($AK$10:$AK$258, MATCH(0, IF(TRUE=$AH$10:$AH$258, COUNTIF($AM$9:$AM113, $AK$10:$AK$258), ""), 0)),"")</f>
        <v/>
      </c>
      <c r="AN114" s="156" t="str">
        <f t="array" ref="AN114">IFERROR(INDEX($AK$10:$AK$258, MATCH(0, IF(TRUE=$AI$10:$AI$258, COUNTIF($AN$9:$AN113, $AK$10:$AK$258), ""), 0)),"")</f>
        <v/>
      </c>
      <c r="AP114" s="31" t="str">
        <f>IFERROR(INDEX('G-7 Rivers Data'!$AZ$3:$AZ$7,MATCH(D114,'G-7 Rivers Data'!$AY$3:$AY$7,0)),"")</f>
        <v/>
      </c>
    </row>
    <row r="115" spans="3:42" ht="14" x14ac:dyDescent="0.3">
      <c r="C115" s="141">
        <v>106</v>
      </c>
      <c r="D115" s="460"/>
      <c r="E115" s="172"/>
      <c r="F115" s="498" t="str">
        <f>IF(D115="","",VLOOKUP(D115,'G-7 Rivers Data'!$B$2:$G$8,2,FALSE))</f>
        <v/>
      </c>
      <c r="G115" s="499" t="str">
        <f>IFERROR(VLOOKUP(F115,'G-7 Rivers Data'!$C$4:$D$8,2,FALSE),"")</f>
        <v/>
      </c>
      <c r="H115" s="145"/>
      <c r="I115" s="499" t="str">
        <f>IFERROR(INDEX('G-7 Rivers Data'!$H$4:$L$8,MATCH(D115,'G-7 Rivers Data'!$B$4:$B$8,0),MATCH(H115,'G-7 Rivers Data'!$H$3:$L$3,0)),"")</f>
        <v/>
      </c>
      <c r="J115" s="418"/>
      <c r="K115" s="498" t="str">
        <f>IF(J115="","",IF(VLOOKUP(J115,'G-7 Rivers Data'!$AK$4:$AM$9,2,FALSE)=0,"Spatial Data Missing ⚠",VLOOKUP(J115,'G-7 Rivers Data'!$AK$4:$AM$9,2,FALSE)))</f>
        <v/>
      </c>
      <c r="L115" s="505" t="str">
        <f>IF(J115="","",IF(VLOOKUP(J115,'G-7 Rivers Data'!$AK$4:$AM$9,3,FALSE)=0,"Spatial Data Missing ⚠",VLOOKUP(J115,'G-7 Rivers Data'!$AK$4:$AM$9,3,FALSE)))</f>
        <v/>
      </c>
      <c r="M115" s="71"/>
      <c r="N115" s="499" t="str">
        <f>IF(M115="","",IF(VLOOKUP(M115,'G-7 Rivers Data'!$AA$4:$AB$7,2,FALSE)=0,"Spatial Data Missing ⚠",VLOOKUP(M115,'G-7 Rivers Data'!$AA$4:$AB$7,2,FALSE)))</f>
        <v/>
      </c>
      <c r="O115" s="155"/>
      <c r="P115" s="499" t="str">
        <f>IF(O115="","",IF(VLOOKUP(O115,'G-7 Rivers Data'!$AD$4:$AE$8,2,FALSE)=0,"Spatial Data Missing ⚠",VLOOKUP(O115,'G-7 Rivers Data'!$AD$4:$AE$8,2,FALSE)))</f>
        <v/>
      </c>
      <c r="Q115" s="506" t="str">
        <f>IF(D115="","",VLOOKUP(D115,'G-7 Rivers Data'!$B$2:$G$8,6,FALSE))</f>
        <v/>
      </c>
      <c r="R115" s="513" t="str">
        <f t="shared" si="8"/>
        <v/>
      </c>
      <c r="S115" s="40"/>
      <c r="T115" s="145"/>
      <c r="U115" s="157"/>
      <c r="V115" s="511" t="str">
        <f t="shared" si="9"/>
        <v/>
      </c>
      <c r="W115" s="511" t="str">
        <f t="shared" si="10"/>
        <v/>
      </c>
      <c r="X115" s="511" t="str">
        <f t="shared" si="11"/>
        <v/>
      </c>
      <c r="Y115" s="515" t="str">
        <f t="shared" si="12"/>
        <v/>
      </c>
      <c r="Z115" s="151"/>
      <c r="AA115" s="152"/>
      <c r="AG115" s="31">
        <f t="shared" si="13"/>
        <v>0</v>
      </c>
      <c r="AH115" s="156" t="str">
        <f t="shared" si="14"/>
        <v/>
      </c>
      <c r="AI115" s="156" t="str">
        <f t="shared" si="15"/>
        <v/>
      </c>
      <c r="AK115" s="156">
        <v>106</v>
      </c>
      <c r="AM115" s="156" t="str">
        <f t="array" ref="AM115">IFERROR(INDEX($AK$10:$AK$258, MATCH(0, IF(TRUE=$AH$10:$AH$258, COUNTIF($AM$9:$AM114, $AK$10:$AK$258), ""), 0)),"")</f>
        <v/>
      </c>
      <c r="AN115" s="156" t="str">
        <f t="array" ref="AN115">IFERROR(INDEX($AK$10:$AK$258, MATCH(0, IF(TRUE=$AI$10:$AI$258, COUNTIF($AN$9:$AN114, $AK$10:$AK$258), ""), 0)),"")</f>
        <v/>
      </c>
      <c r="AP115" s="31" t="str">
        <f>IFERROR(INDEX('G-7 Rivers Data'!$AZ$3:$AZ$7,MATCH(D115,'G-7 Rivers Data'!$AY$3:$AY$7,0)),"")</f>
        <v/>
      </c>
    </row>
    <row r="116" spans="3:42" ht="14" x14ac:dyDescent="0.3">
      <c r="C116" s="141">
        <v>107</v>
      </c>
      <c r="D116" s="460"/>
      <c r="E116" s="172"/>
      <c r="F116" s="498" t="str">
        <f>IF(D116="","",VLOOKUP(D116,'G-7 Rivers Data'!$B$2:$G$8,2,FALSE))</f>
        <v/>
      </c>
      <c r="G116" s="499" t="str">
        <f>IFERROR(VLOOKUP(F116,'G-7 Rivers Data'!$C$4:$D$8,2,FALSE),"")</f>
        <v/>
      </c>
      <c r="H116" s="145"/>
      <c r="I116" s="499" t="str">
        <f>IFERROR(INDEX('G-7 Rivers Data'!$H$4:$L$8,MATCH(D116,'G-7 Rivers Data'!$B$4:$B$8,0),MATCH(H116,'G-7 Rivers Data'!$H$3:$L$3,0)),"")</f>
        <v/>
      </c>
      <c r="J116" s="418"/>
      <c r="K116" s="498" t="str">
        <f>IF(J116="","",IF(VLOOKUP(J116,'G-7 Rivers Data'!$AK$4:$AM$9,2,FALSE)=0,"Spatial Data Missing ⚠",VLOOKUP(J116,'G-7 Rivers Data'!$AK$4:$AM$9,2,FALSE)))</f>
        <v/>
      </c>
      <c r="L116" s="505" t="str">
        <f>IF(J116="","",IF(VLOOKUP(J116,'G-7 Rivers Data'!$AK$4:$AM$9,3,FALSE)=0,"Spatial Data Missing ⚠",VLOOKUP(J116,'G-7 Rivers Data'!$AK$4:$AM$9,3,FALSE)))</f>
        <v/>
      </c>
      <c r="M116" s="71"/>
      <c r="N116" s="499" t="str">
        <f>IF(M116="","",IF(VLOOKUP(M116,'G-7 Rivers Data'!$AA$4:$AB$7,2,FALSE)=0,"Spatial Data Missing ⚠",VLOOKUP(M116,'G-7 Rivers Data'!$AA$4:$AB$7,2,FALSE)))</f>
        <v/>
      </c>
      <c r="O116" s="155"/>
      <c r="P116" s="499" t="str">
        <f>IF(O116="","",IF(VLOOKUP(O116,'G-7 Rivers Data'!$AD$4:$AE$8,2,FALSE)=0,"Spatial Data Missing ⚠",VLOOKUP(O116,'G-7 Rivers Data'!$AD$4:$AE$8,2,FALSE)))</f>
        <v/>
      </c>
      <c r="Q116" s="506" t="str">
        <f>IF(D116="","",VLOOKUP(D116,'G-7 Rivers Data'!$B$2:$G$8,6,FALSE))</f>
        <v/>
      </c>
      <c r="R116" s="513" t="str">
        <f t="shared" si="8"/>
        <v/>
      </c>
      <c r="S116" s="40"/>
      <c r="T116" s="145"/>
      <c r="U116" s="157"/>
      <c r="V116" s="511" t="str">
        <f t="shared" si="9"/>
        <v/>
      </c>
      <c r="W116" s="511" t="str">
        <f t="shared" si="10"/>
        <v/>
      </c>
      <c r="X116" s="511" t="str">
        <f t="shared" si="11"/>
        <v/>
      </c>
      <c r="Y116" s="515" t="str">
        <f t="shared" si="12"/>
        <v/>
      </c>
      <c r="Z116" s="151"/>
      <c r="AA116" s="152"/>
      <c r="AG116" s="31">
        <f t="shared" si="13"/>
        <v>0</v>
      </c>
      <c r="AH116" s="156" t="str">
        <f t="shared" si="14"/>
        <v/>
      </c>
      <c r="AI116" s="156" t="str">
        <f t="shared" si="15"/>
        <v/>
      </c>
      <c r="AK116" s="156">
        <v>107</v>
      </c>
      <c r="AM116" s="156" t="str">
        <f t="array" ref="AM116">IFERROR(INDEX($AK$10:$AK$258, MATCH(0, IF(TRUE=$AH$10:$AH$258, COUNTIF($AM$9:$AM115, $AK$10:$AK$258), ""), 0)),"")</f>
        <v/>
      </c>
      <c r="AN116" s="156" t="str">
        <f t="array" ref="AN116">IFERROR(INDEX($AK$10:$AK$258, MATCH(0, IF(TRUE=$AI$10:$AI$258, COUNTIF($AN$9:$AN115, $AK$10:$AK$258), ""), 0)),"")</f>
        <v/>
      </c>
      <c r="AP116" s="31" t="str">
        <f>IFERROR(INDEX('G-7 Rivers Data'!$AZ$3:$AZ$7,MATCH(D116,'G-7 Rivers Data'!$AY$3:$AY$7,0)),"")</f>
        <v/>
      </c>
    </row>
    <row r="117" spans="3:42" ht="14" x14ac:dyDescent="0.3">
      <c r="C117" s="141">
        <v>108</v>
      </c>
      <c r="D117" s="460"/>
      <c r="E117" s="172"/>
      <c r="F117" s="498" t="str">
        <f>IF(D117="","",VLOOKUP(D117,'G-7 Rivers Data'!$B$2:$G$8,2,FALSE))</f>
        <v/>
      </c>
      <c r="G117" s="499" t="str">
        <f>IFERROR(VLOOKUP(F117,'G-7 Rivers Data'!$C$4:$D$8,2,FALSE),"")</f>
        <v/>
      </c>
      <c r="H117" s="145"/>
      <c r="I117" s="499" t="str">
        <f>IFERROR(INDEX('G-7 Rivers Data'!$H$4:$L$8,MATCH(D117,'G-7 Rivers Data'!$B$4:$B$8,0),MATCH(H117,'G-7 Rivers Data'!$H$3:$L$3,0)),"")</f>
        <v/>
      </c>
      <c r="J117" s="418"/>
      <c r="K117" s="498" t="str">
        <f>IF(J117="","",IF(VLOOKUP(J117,'G-7 Rivers Data'!$AK$4:$AM$9,2,FALSE)=0,"Spatial Data Missing ⚠",VLOOKUP(J117,'G-7 Rivers Data'!$AK$4:$AM$9,2,FALSE)))</f>
        <v/>
      </c>
      <c r="L117" s="505" t="str">
        <f>IF(J117="","",IF(VLOOKUP(J117,'G-7 Rivers Data'!$AK$4:$AM$9,3,FALSE)=0,"Spatial Data Missing ⚠",VLOOKUP(J117,'G-7 Rivers Data'!$AK$4:$AM$9,3,FALSE)))</f>
        <v/>
      </c>
      <c r="M117" s="71"/>
      <c r="N117" s="499" t="str">
        <f>IF(M117="","",IF(VLOOKUP(M117,'G-7 Rivers Data'!$AA$4:$AB$7,2,FALSE)=0,"Spatial Data Missing ⚠",VLOOKUP(M117,'G-7 Rivers Data'!$AA$4:$AB$7,2,FALSE)))</f>
        <v/>
      </c>
      <c r="O117" s="155"/>
      <c r="P117" s="499" t="str">
        <f>IF(O117="","",IF(VLOOKUP(O117,'G-7 Rivers Data'!$AD$4:$AE$8,2,FALSE)=0,"Spatial Data Missing ⚠",VLOOKUP(O117,'G-7 Rivers Data'!$AD$4:$AE$8,2,FALSE)))</f>
        <v/>
      </c>
      <c r="Q117" s="506" t="str">
        <f>IF(D117="","",VLOOKUP(D117,'G-7 Rivers Data'!$B$2:$G$8,6,FALSE))</f>
        <v/>
      </c>
      <c r="R117" s="513" t="str">
        <f t="shared" si="8"/>
        <v/>
      </c>
      <c r="S117" s="40"/>
      <c r="T117" s="145"/>
      <c r="U117" s="157"/>
      <c r="V117" s="511" t="str">
        <f t="shared" si="9"/>
        <v/>
      </c>
      <c r="W117" s="511" t="str">
        <f t="shared" si="10"/>
        <v/>
      </c>
      <c r="X117" s="511" t="str">
        <f t="shared" si="11"/>
        <v/>
      </c>
      <c r="Y117" s="515" t="str">
        <f t="shared" si="12"/>
        <v/>
      </c>
      <c r="Z117" s="151"/>
      <c r="AA117" s="152"/>
      <c r="AG117" s="31">
        <f t="shared" si="13"/>
        <v>0</v>
      </c>
      <c r="AH117" s="156" t="str">
        <f t="shared" si="14"/>
        <v/>
      </c>
      <c r="AI117" s="156" t="str">
        <f t="shared" si="15"/>
        <v/>
      </c>
      <c r="AK117" s="156">
        <v>108</v>
      </c>
      <c r="AM117" s="156" t="str">
        <f t="array" ref="AM117">IFERROR(INDEX($AK$10:$AK$258, MATCH(0, IF(TRUE=$AH$10:$AH$258, COUNTIF($AM$9:$AM116, $AK$10:$AK$258), ""), 0)),"")</f>
        <v/>
      </c>
      <c r="AN117" s="156" t="str">
        <f t="array" ref="AN117">IFERROR(INDEX($AK$10:$AK$258, MATCH(0, IF(TRUE=$AI$10:$AI$258, COUNTIF($AN$9:$AN116, $AK$10:$AK$258), ""), 0)),"")</f>
        <v/>
      </c>
      <c r="AP117" s="31" t="str">
        <f>IFERROR(INDEX('G-7 Rivers Data'!$AZ$3:$AZ$7,MATCH(D117,'G-7 Rivers Data'!$AY$3:$AY$7,0)),"")</f>
        <v/>
      </c>
    </row>
    <row r="118" spans="3:42" ht="14" x14ac:dyDescent="0.3">
      <c r="C118" s="141">
        <v>109</v>
      </c>
      <c r="D118" s="460"/>
      <c r="E118" s="172"/>
      <c r="F118" s="498" t="str">
        <f>IF(D118="","",VLOOKUP(D118,'G-7 Rivers Data'!$B$2:$G$8,2,FALSE))</f>
        <v/>
      </c>
      <c r="G118" s="499" t="str">
        <f>IFERROR(VLOOKUP(F118,'G-7 Rivers Data'!$C$4:$D$8,2,FALSE),"")</f>
        <v/>
      </c>
      <c r="H118" s="145"/>
      <c r="I118" s="499" t="str">
        <f>IFERROR(INDEX('G-7 Rivers Data'!$H$4:$L$8,MATCH(D118,'G-7 Rivers Data'!$B$4:$B$8,0),MATCH(H118,'G-7 Rivers Data'!$H$3:$L$3,0)),"")</f>
        <v/>
      </c>
      <c r="J118" s="418"/>
      <c r="K118" s="498" t="str">
        <f>IF(J118="","",IF(VLOOKUP(J118,'G-7 Rivers Data'!$AK$4:$AM$9,2,FALSE)=0,"Spatial Data Missing ⚠",VLOOKUP(J118,'G-7 Rivers Data'!$AK$4:$AM$9,2,FALSE)))</f>
        <v/>
      </c>
      <c r="L118" s="505" t="str">
        <f>IF(J118="","",IF(VLOOKUP(J118,'G-7 Rivers Data'!$AK$4:$AM$9,3,FALSE)=0,"Spatial Data Missing ⚠",VLOOKUP(J118,'G-7 Rivers Data'!$AK$4:$AM$9,3,FALSE)))</f>
        <v/>
      </c>
      <c r="M118" s="71"/>
      <c r="N118" s="499" t="str">
        <f>IF(M118="","",IF(VLOOKUP(M118,'G-7 Rivers Data'!$AA$4:$AB$7,2,FALSE)=0,"Spatial Data Missing ⚠",VLOOKUP(M118,'G-7 Rivers Data'!$AA$4:$AB$7,2,FALSE)))</f>
        <v/>
      </c>
      <c r="O118" s="155"/>
      <c r="P118" s="499" t="str">
        <f>IF(O118="","",IF(VLOOKUP(O118,'G-7 Rivers Data'!$AD$4:$AE$8,2,FALSE)=0,"Spatial Data Missing ⚠",VLOOKUP(O118,'G-7 Rivers Data'!$AD$4:$AE$8,2,FALSE)))</f>
        <v/>
      </c>
      <c r="Q118" s="506" t="str">
        <f>IF(D118="","",VLOOKUP(D118,'G-7 Rivers Data'!$B$2:$G$8,6,FALSE))</f>
        <v/>
      </c>
      <c r="R118" s="513" t="str">
        <f t="shared" si="8"/>
        <v/>
      </c>
      <c r="S118" s="40"/>
      <c r="T118" s="145"/>
      <c r="U118" s="157"/>
      <c r="V118" s="511" t="str">
        <f t="shared" si="9"/>
        <v/>
      </c>
      <c r="W118" s="511" t="str">
        <f t="shared" si="10"/>
        <v/>
      </c>
      <c r="X118" s="511" t="str">
        <f t="shared" si="11"/>
        <v/>
      </c>
      <c r="Y118" s="515" t="str">
        <f t="shared" si="12"/>
        <v/>
      </c>
      <c r="Z118" s="151"/>
      <c r="AA118" s="152"/>
      <c r="AG118" s="31">
        <f t="shared" si="13"/>
        <v>0</v>
      </c>
      <c r="AH118" s="156" t="str">
        <f t="shared" si="14"/>
        <v/>
      </c>
      <c r="AI118" s="156" t="str">
        <f t="shared" si="15"/>
        <v/>
      </c>
      <c r="AK118" s="156">
        <v>109</v>
      </c>
      <c r="AM118" s="156" t="str">
        <f t="array" ref="AM118">IFERROR(INDEX($AK$10:$AK$258, MATCH(0, IF(TRUE=$AH$10:$AH$258, COUNTIF($AM$9:$AM117, $AK$10:$AK$258), ""), 0)),"")</f>
        <v/>
      </c>
      <c r="AN118" s="156" t="str">
        <f t="array" ref="AN118">IFERROR(INDEX($AK$10:$AK$258, MATCH(0, IF(TRUE=$AI$10:$AI$258, COUNTIF($AN$9:$AN117, $AK$10:$AK$258), ""), 0)),"")</f>
        <v/>
      </c>
      <c r="AP118" s="31" t="str">
        <f>IFERROR(INDEX('G-7 Rivers Data'!$AZ$3:$AZ$7,MATCH(D118,'G-7 Rivers Data'!$AY$3:$AY$7,0)),"")</f>
        <v/>
      </c>
    </row>
    <row r="119" spans="3:42" ht="14" x14ac:dyDescent="0.3">
      <c r="C119" s="141">
        <v>110</v>
      </c>
      <c r="D119" s="460"/>
      <c r="E119" s="172"/>
      <c r="F119" s="498" t="str">
        <f>IF(D119="","",VLOOKUP(D119,'G-7 Rivers Data'!$B$2:$G$8,2,FALSE))</f>
        <v/>
      </c>
      <c r="G119" s="499" t="str">
        <f>IFERROR(VLOOKUP(F119,'G-7 Rivers Data'!$C$4:$D$8,2,FALSE),"")</f>
        <v/>
      </c>
      <c r="H119" s="145"/>
      <c r="I119" s="499" t="str">
        <f>IFERROR(INDEX('G-7 Rivers Data'!$H$4:$L$8,MATCH(D119,'G-7 Rivers Data'!$B$4:$B$8,0),MATCH(H119,'G-7 Rivers Data'!$H$3:$L$3,0)),"")</f>
        <v/>
      </c>
      <c r="J119" s="418"/>
      <c r="K119" s="498" t="str">
        <f>IF(J119="","",IF(VLOOKUP(J119,'G-7 Rivers Data'!$AK$4:$AM$9,2,FALSE)=0,"Spatial Data Missing ⚠",VLOOKUP(J119,'G-7 Rivers Data'!$AK$4:$AM$9,2,FALSE)))</f>
        <v/>
      </c>
      <c r="L119" s="505" t="str">
        <f>IF(J119="","",IF(VLOOKUP(J119,'G-7 Rivers Data'!$AK$4:$AM$9,3,FALSE)=0,"Spatial Data Missing ⚠",VLOOKUP(J119,'G-7 Rivers Data'!$AK$4:$AM$9,3,FALSE)))</f>
        <v/>
      </c>
      <c r="M119" s="71"/>
      <c r="N119" s="499" t="str">
        <f>IF(M119="","",IF(VLOOKUP(M119,'G-7 Rivers Data'!$AA$4:$AB$7,2,FALSE)=0,"Spatial Data Missing ⚠",VLOOKUP(M119,'G-7 Rivers Data'!$AA$4:$AB$7,2,FALSE)))</f>
        <v/>
      </c>
      <c r="O119" s="155"/>
      <c r="P119" s="499" t="str">
        <f>IF(O119="","",IF(VLOOKUP(O119,'G-7 Rivers Data'!$AD$4:$AE$8,2,FALSE)=0,"Spatial Data Missing ⚠",VLOOKUP(O119,'G-7 Rivers Data'!$AD$4:$AE$8,2,FALSE)))</f>
        <v/>
      </c>
      <c r="Q119" s="506" t="str">
        <f>IF(D119="","",VLOOKUP(D119,'G-7 Rivers Data'!$B$2:$G$8,6,FALSE))</f>
        <v/>
      </c>
      <c r="R119" s="513" t="str">
        <f t="shared" si="8"/>
        <v/>
      </c>
      <c r="S119" s="40"/>
      <c r="T119" s="145"/>
      <c r="U119" s="157"/>
      <c r="V119" s="511" t="str">
        <f t="shared" si="9"/>
        <v/>
      </c>
      <c r="W119" s="511" t="str">
        <f t="shared" si="10"/>
        <v/>
      </c>
      <c r="X119" s="511" t="str">
        <f t="shared" si="11"/>
        <v/>
      </c>
      <c r="Y119" s="515" t="str">
        <f t="shared" si="12"/>
        <v/>
      </c>
      <c r="Z119" s="151"/>
      <c r="AA119" s="152"/>
      <c r="AG119" s="31">
        <f t="shared" si="13"/>
        <v>0</v>
      </c>
      <c r="AH119" s="156" t="str">
        <f t="shared" si="14"/>
        <v/>
      </c>
      <c r="AI119" s="156" t="str">
        <f t="shared" si="15"/>
        <v/>
      </c>
      <c r="AK119" s="156">
        <v>110</v>
      </c>
      <c r="AM119" s="156" t="str">
        <f t="array" ref="AM119">IFERROR(INDEX($AK$10:$AK$258, MATCH(0, IF(TRUE=$AH$10:$AH$258, COUNTIF($AM$9:$AM118, $AK$10:$AK$258), ""), 0)),"")</f>
        <v/>
      </c>
      <c r="AN119" s="156" t="str">
        <f t="array" ref="AN119">IFERROR(INDEX($AK$10:$AK$258, MATCH(0, IF(TRUE=$AI$10:$AI$258, COUNTIF($AN$9:$AN118, $AK$10:$AK$258), ""), 0)),"")</f>
        <v/>
      </c>
      <c r="AP119" s="31" t="str">
        <f>IFERROR(INDEX('G-7 Rivers Data'!$AZ$3:$AZ$7,MATCH(D119,'G-7 Rivers Data'!$AY$3:$AY$7,0)),"")</f>
        <v/>
      </c>
    </row>
    <row r="120" spans="3:42" ht="14" x14ac:dyDescent="0.3">
      <c r="C120" s="141">
        <v>111</v>
      </c>
      <c r="D120" s="460"/>
      <c r="E120" s="172"/>
      <c r="F120" s="498" t="str">
        <f>IF(D120="","",VLOOKUP(D120,'G-7 Rivers Data'!$B$2:$G$8,2,FALSE))</f>
        <v/>
      </c>
      <c r="G120" s="499" t="str">
        <f>IFERROR(VLOOKUP(F120,'G-7 Rivers Data'!$C$4:$D$8,2,FALSE),"")</f>
        <v/>
      </c>
      <c r="H120" s="145"/>
      <c r="I120" s="499" t="str">
        <f>IFERROR(INDEX('G-7 Rivers Data'!$H$4:$L$8,MATCH(D120,'G-7 Rivers Data'!$B$4:$B$8,0),MATCH(H120,'G-7 Rivers Data'!$H$3:$L$3,0)),"")</f>
        <v/>
      </c>
      <c r="J120" s="418"/>
      <c r="K120" s="498" t="str">
        <f>IF(J120="","",IF(VLOOKUP(J120,'G-7 Rivers Data'!$AK$4:$AM$9,2,FALSE)=0,"Spatial Data Missing ⚠",VLOOKUP(J120,'G-7 Rivers Data'!$AK$4:$AM$9,2,FALSE)))</f>
        <v/>
      </c>
      <c r="L120" s="505" t="str">
        <f>IF(J120="","",IF(VLOOKUP(J120,'G-7 Rivers Data'!$AK$4:$AM$9,3,FALSE)=0,"Spatial Data Missing ⚠",VLOOKUP(J120,'G-7 Rivers Data'!$AK$4:$AM$9,3,FALSE)))</f>
        <v/>
      </c>
      <c r="M120" s="71"/>
      <c r="N120" s="499" t="str">
        <f>IF(M120="","",IF(VLOOKUP(M120,'G-7 Rivers Data'!$AA$4:$AB$7,2,FALSE)=0,"Spatial Data Missing ⚠",VLOOKUP(M120,'G-7 Rivers Data'!$AA$4:$AB$7,2,FALSE)))</f>
        <v/>
      </c>
      <c r="O120" s="155"/>
      <c r="P120" s="499" t="str">
        <f>IF(O120="","",IF(VLOOKUP(O120,'G-7 Rivers Data'!$AD$4:$AE$8,2,FALSE)=0,"Spatial Data Missing ⚠",VLOOKUP(O120,'G-7 Rivers Data'!$AD$4:$AE$8,2,FALSE)))</f>
        <v/>
      </c>
      <c r="Q120" s="506" t="str">
        <f>IF(D120="","",VLOOKUP(D120,'G-7 Rivers Data'!$B$2:$G$8,6,FALSE))</f>
        <v/>
      </c>
      <c r="R120" s="513" t="str">
        <f t="shared" si="8"/>
        <v/>
      </c>
      <c r="S120" s="40"/>
      <c r="T120" s="145"/>
      <c r="U120" s="157"/>
      <c r="V120" s="511" t="str">
        <f t="shared" si="9"/>
        <v/>
      </c>
      <c r="W120" s="511" t="str">
        <f t="shared" si="10"/>
        <v/>
      </c>
      <c r="X120" s="511" t="str">
        <f t="shared" si="11"/>
        <v/>
      </c>
      <c r="Y120" s="515" t="str">
        <f t="shared" si="12"/>
        <v/>
      </c>
      <c r="Z120" s="151"/>
      <c r="AA120" s="152"/>
      <c r="AG120" s="31">
        <f t="shared" si="13"/>
        <v>0</v>
      </c>
      <c r="AH120" s="156" t="str">
        <f t="shared" si="14"/>
        <v/>
      </c>
      <c r="AI120" s="156" t="str">
        <f t="shared" si="15"/>
        <v/>
      </c>
      <c r="AK120" s="156">
        <v>111</v>
      </c>
      <c r="AM120" s="156" t="str">
        <f t="array" ref="AM120">IFERROR(INDEX($AK$10:$AK$258, MATCH(0, IF(TRUE=$AH$10:$AH$258, COUNTIF($AM$9:$AM119, $AK$10:$AK$258), ""), 0)),"")</f>
        <v/>
      </c>
      <c r="AN120" s="156" t="str">
        <f t="array" ref="AN120">IFERROR(INDEX($AK$10:$AK$258, MATCH(0, IF(TRUE=$AI$10:$AI$258, COUNTIF($AN$9:$AN119, $AK$10:$AK$258), ""), 0)),"")</f>
        <v/>
      </c>
      <c r="AP120" s="31" t="str">
        <f>IFERROR(INDEX('G-7 Rivers Data'!$AZ$3:$AZ$7,MATCH(D120,'G-7 Rivers Data'!$AY$3:$AY$7,0)),"")</f>
        <v/>
      </c>
    </row>
    <row r="121" spans="3:42" ht="14" x14ac:dyDescent="0.3">
      <c r="C121" s="141">
        <v>112</v>
      </c>
      <c r="D121" s="460"/>
      <c r="E121" s="172"/>
      <c r="F121" s="498" t="str">
        <f>IF(D121="","",VLOOKUP(D121,'G-7 Rivers Data'!$B$2:$G$8,2,FALSE))</f>
        <v/>
      </c>
      <c r="G121" s="499" t="str">
        <f>IFERROR(VLOOKUP(F121,'G-7 Rivers Data'!$C$4:$D$8,2,FALSE),"")</f>
        <v/>
      </c>
      <c r="H121" s="145"/>
      <c r="I121" s="499" t="str">
        <f>IFERROR(INDEX('G-7 Rivers Data'!$H$4:$L$8,MATCH(D121,'G-7 Rivers Data'!$B$4:$B$8,0),MATCH(H121,'G-7 Rivers Data'!$H$3:$L$3,0)),"")</f>
        <v/>
      </c>
      <c r="J121" s="418"/>
      <c r="K121" s="498" t="str">
        <f>IF(J121="","",IF(VLOOKUP(J121,'G-7 Rivers Data'!$AK$4:$AM$9,2,FALSE)=0,"Spatial Data Missing ⚠",VLOOKUP(J121,'G-7 Rivers Data'!$AK$4:$AM$9,2,FALSE)))</f>
        <v/>
      </c>
      <c r="L121" s="505" t="str">
        <f>IF(J121="","",IF(VLOOKUP(J121,'G-7 Rivers Data'!$AK$4:$AM$9,3,FALSE)=0,"Spatial Data Missing ⚠",VLOOKUP(J121,'G-7 Rivers Data'!$AK$4:$AM$9,3,FALSE)))</f>
        <v/>
      </c>
      <c r="M121" s="71"/>
      <c r="N121" s="499" t="str">
        <f>IF(M121="","",IF(VLOOKUP(M121,'G-7 Rivers Data'!$AA$4:$AB$7,2,FALSE)=0,"Spatial Data Missing ⚠",VLOOKUP(M121,'G-7 Rivers Data'!$AA$4:$AB$7,2,FALSE)))</f>
        <v/>
      </c>
      <c r="O121" s="155"/>
      <c r="P121" s="499" t="str">
        <f>IF(O121="","",IF(VLOOKUP(O121,'G-7 Rivers Data'!$AD$4:$AE$8,2,FALSE)=0,"Spatial Data Missing ⚠",VLOOKUP(O121,'G-7 Rivers Data'!$AD$4:$AE$8,2,FALSE)))</f>
        <v/>
      </c>
      <c r="Q121" s="506" t="str">
        <f>IF(D121="","",VLOOKUP(D121,'G-7 Rivers Data'!$B$2:$G$8,6,FALSE))</f>
        <v/>
      </c>
      <c r="R121" s="513" t="str">
        <f t="shared" si="8"/>
        <v/>
      </c>
      <c r="S121" s="40"/>
      <c r="T121" s="145"/>
      <c r="U121" s="157"/>
      <c r="V121" s="511" t="str">
        <f t="shared" si="9"/>
        <v/>
      </c>
      <c r="W121" s="511" t="str">
        <f t="shared" si="10"/>
        <v/>
      </c>
      <c r="X121" s="511" t="str">
        <f t="shared" si="11"/>
        <v/>
      </c>
      <c r="Y121" s="515" t="str">
        <f t="shared" si="12"/>
        <v/>
      </c>
      <c r="Z121" s="151"/>
      <c r="AA121" s="152"/>
      <c r="AG121" s="31">
        <f t="shared" si="13"/>
        <v>0</v>
      </c>
      <c r="AH121" s="156" t="str">
        <f t="shared" si="14"/>
        <v/>
      </c>
      <c r="AI121" s="156" t="str">
        <f t="shared" si="15"/>
        <v/>
      </c>
      <c r="AK121" s="156">
        <v>112</v>
      </c>
      <c r="AM121" s="156" t="str">
        <f t="array" ref="AM121">IFERROR(INDEX($AK$10:$AK$258, MATCH(0, IF(TRUE=$AH$10:$AH$258, COUNTIF($AM$9:$AM120, $AK$10:$AK$258), ""), 0)),"")</f>
        <v/>
      </c>
      <c r="AN121" s="156" t="str">
        <f t="array" ref="AN121">IFERROR(INDEX($AK$10:$AK$258, MATCH(0, IF(TRUE=$AI$10:$AI$258, COUNTIF($AN$9:$AN120, $AK$10:$AK$258), ""), 0)),"")</f>
        <v/>
      </c>
      <c r="AP121" s="31" t="str">
        <f>IFERROR(INDEX('G-7 Rivers Data'!$AZ$3:$AZ$7,MATCH(D121,'G-7 Rivers Data'!$AY$3:$AY$7,0)),"")</f>
        <v/>
      </c>
    </row>
    <row r="122" spans="3:42" ht="14" x14ac:dyDescent="0.3">
      <c r="C122" s="141">
        <v>113</v>
      </c>
      <c r="D122" s="460"/>
      <c r="E122" s="172"/>
      <c r="F122" s="498" t="str">
        <f>IF(D122="","",VLOOKUP(D122,'G-7 Rivers Data'!$B$2:$G$8,2,FALSE))</f>
        <v/>
      </c>
      <c r="G122" s="499" t="str">
        <f>IFERROR(VLOOKUP(F122,'G-7 Rivers Data'!$C$4:$D$8,2,FALSE),"")</f>
        <v/>
      </c>
      <c r="H122" s="145"/>
      <c r="I122" s="499" t="str">
        <f>IFERROR(INDEX('G-7 Rivers Data'!$H$4:$L$8,MATCH(D122,'G-7 Rivers Data'!$B$4:$B$8,0),MATCH(H122,'G-7 Rivers Data'!$H$3:$L$3,0)),"")</f>
        <v/>
      </c>
      <c r="J122" s="418"/>
      <c r="K122" s="498" t="str">
        <f>IF(J122="","",IF(VLOOKUP(J122,'G-7 Rivers Data'!$AK$4:$AM$9,2,FALSE)=0,"Spatial Data Missing ⚠",VLOOKUP(J122,'G-7 Rivers Data'!$AK$4:$AM$9,2,FALSE)))</f>
        <v/>
      </c>
      <c r="L122" s="505" t="str">
        <f>IF(J122="","",IF(VLOOKUP(J122,'G-7 Rivers Data'!$AK$4:$AM$9,3,FALSE)=0,"Spatial Data Missing ⚠",VLOOKUP(J122,'G-7 Rivers Data'!$AK$4:$AM$9,3,FALSE)))</f>
        <v/>
      </c>
      <c r="M122" s="71"/>
      <c r="N122" s="499" t="str">
        <f>IF(M122="","",IF(VLOOKUP(M122,'G-7 Rivers Data'!$AA$4:$AB$7,2,FALSE)=0,"Spatial Data Missing ⚠",VLOOKUP(M122,'G-7 Rivers Data'!$AA$4:$AB$7,2,FALSE)))</f>
        <v/>
      </c>
      <c r="O122" s="155"/>
      <c r="P122" s="499" t="str">
        <f>IF(O122="","",IF(VLOOKUP(O122,'G-7 Rivers Data'!$AD$4:$AE$8,2,FALSE)=0,"Spatial Data Missing ⚠",VLOOKUP(O122,'G-7 Rivers Data'!$AD$4:$AE$8,2,FALSE)))</f>
        <v/>
      </c>
      <c r="Q122" s="506" t="str">
        <f>IF(D122="","",VLOOKUP(D122,'G-7 Rivers Data'!$B$2:$G$8,6,FALSE))</f>
        <v/>
      </c>
      <c r="R122" s="513" t="str">
        <f t="shared" si="8"/>
        <v/>
      </c>
      <c r="S122" s="40"/>
      <c r="T122" s="145"/>
      <c r="U122" s="157"/>
      <c r="V122" s="511" t="str">
        <f t="shared" si="9"/>
        <v/>
      </c>
      <c r="W122" s="511" t="str">
        <f t="shared" si="10"/>
        <v/>
      </c>
      <c r="X122" s="511" t="str">
        <f t="shared" si="11"/>
        <v/>
      </c>
      <c r="Y122" s="515" t="str">
        <f t="shared" si="12"/>
        <v/>
      </c>
      <c r="Z122" s="151"/>
      <c r="AA122" s="152"/>
      <c r="AG122" s="31">
        <f t="shared" si="13"/>
        <v>0</v>
      </c>
      <c r="AH122" s="156" t="str">
        <f t="shared" si="14"/>
        <v/>
      </c>
      <c r="AI122" s="156" t="str">
        <f t="shared" si="15"/>
        <v/>
      </c>
      <c r="AK122" s="156">
        <v>113</v>
      </c>
      <c r="AM122" s="156" t="str">
        <f t="array" ref="AM122">IFERROR(INDEX($AK$10:$AK$258, MATCH(0, IF(TRUE=$AH$10:$AH$258, COUNTIF($AM$9:$AM121, $AK$10:$AK$258), ""), 0)),"")</f>
        <v/>
      </c>
      <c r="AN122" s="156" t="str">
        <f t="array" ref="AN122">IFERROR(INDEX($AK$10:$AK$258, MATCH(0, IF(TRUE=$AI$10:$AI$258, COUNTIF($AN$9:$AN121, $AK$10:$AK$258), ""), 0)),"")</f>
        <v/>
      </c>
      <c r="AP122" s="31" t="str">
        <f>IFERROR(INDEX('G-7 Rivers Data'!$AZ$3:$AZ$7,MATCH(D122,'G-7 Rivers Data'!$AY$3:$AY$7,0)),"")</f>
        <v/>
      </c>
    </row>
    <row r="123" spans="3:42" ht="14" x14ac:dyDescent="0.3">
      <c r="C123" s="141">
        <v>114</v>
      </c>
      <c r="D123" s="460"/>
      <c r="E123" s="172"/>
      <c r="F123" s="498" t="str">
        <f>IF(D123="","",VLOOKUP(D123,'G-7 Rivers Data'!$B$2:$G$8,2,FALSE))</f>
        <v/>
      </c>
      <c r="G123" s="499" t="str">
        <f>IFERROR(VLOOKUP(F123,'G-7 Rivers Data'!$C$4:$D$8,2,FALSE),"")</f>
        <v/>
      </c>
      <c r="H123" s="145"/>
      <c r="I123" s="499" t="str">
        <f>IFERROR(INDEX('G-7 Rivers Data'!$H$4:$L$8,MATCH(D123,'G-7 Rivers Data'!$B$4:$B$8,0),MATCH(H123,'G-7 Rivers Data'!$H$3:$L$3,0)),"")</f>
        <v/>
      </c>
      <c r="J123" s="418"/>
      <c r="K123" s="498" t="str">
        <f>IF(J123="","",IF(VLOOKUP(J123,'G-7 Rivers Data'!$AK$4:$AM$9,2,FALSE)=0,"Spatial Data Missing ⚠",VLOOKUP(J123,'G-7 Rivers Data'!$AK$4:$AM$9,2,FALSE)))</f>
        <v/>
      </c>
      <c r="L123" s="505" t="str">
        <f>IF(J123="","",IF(VLOOKUP(J123,'G-7 Rivers Data'!$AK$4:$AM$9,3,FALSE)=0,"Spatial Data Missing ⚠",VLOOKUP(J123,'G-7 Rivers Data'!$AK$4:$AM$9,3,FALSE)))</f>
        <v/>
      </c>
      <c r="M123" s="71"/>
      <c r="N123" s="499" t="str">
        <f>IF(M123="","",IF(VLOOKUP(M123,'G-7 Rivers Data'!$AA$4:$AB$7,2,FALSE)=0,"Spatial Data Missing ⚠",VLOOKUP(M123,'G-7 Rivers Data'!$AA$4:$AB$7,2,FALSE)))</f>
        <v/>
      </c>
      <c r="O123" s="155"/>
      <c r="P123" s="499" t="str">
        <f>IF(O123="","",IF(VLOOKUP(O123,'G-7 Rivers Data'!$AD$4:$AE$8,2,FALSE)=0,"Spatial Data Missing ⚠",VLOOKUP(O123,'G-7 Rivers Data'!$AD$4:$AE$8,2,FALSE)))</f>
        <v/>
      </c>
      <c r="Q123" s="506" t="str">
        <f>IF(D123="","",VLOOKUP(D123,'G-7 Rivers Data'!$B$2:$G$8,6,FALSE))</f>
        <v/>
      </c>
      <c r="R123" s="513" t="str">
        <f t="shared" si="8"/>
        <v/>
      </c>
      <c r="S123" s="40"/>
      <c r="T123" s="145"/>
      <c r="U123" s="157"/>
      <c r="V123" s="511" t="str">
        <f t="shared" si="9"/>
        <v/>
      </c>
      <c r="W123" s="511" t="str">
        <f t="shared" si="10"/>
        <v/>
      </c>
      <c r="X123" s="511" t="str">
        <f t="shared" si="11"/>
        <v/>
      </c>
      <c r="Y123" s="515" t="str">
        <f t="shared" si="12"/>
        <v/>
      </c>
      <c r="Z123" s="151"/>
      <c r="AA123" s="152"/>
      <c r="AG123" s="31">
        <f t="shared" si="13"/>
        <v>0</v>
      </c>
      <c r="AH123" s="156" t="str">
        <f t="shared" si="14"/>
        <v/>
      </c>
      <c r="AI123" s="156" t="str">
        <f t="shared" si="15"/>
        <v/>
      </c>
      <c r="AK123" s="156">
        <v>114</v>
      </c>
      <c r="AM123" s="156" t="str">
        <f t="array" ref="AM123">IFERROR(INDEX($AK$10:$AK$258, MATCH(0, IF(TRUE=$AH$10:$AH$258, COUNTIF($AM$9:$AM122, $AK$10:$AK$258), ""), 0)),"")</f>
        <v/>
      </c>
      <c r="AN123" s="156" t="str">
        <f t="array" ref="AN123">IFERROR(INDEX($AK$10:$AK$258, MATCH(0, IF(TRUE=$AI$10:$AI$258, COUNTIF($AN$9:$AN122, $AK$10:$AK$258), ""), 0)),"")</f>
        <v/>
      </c>
      <c r="AP123" s="31" t="str">
        <f>IFERROR(INDEX('G-7 Rivers Data'!$AZ$3:$AZ$7,MATCH(D123,'G-7 Rivers Data'!$AY$3:$AY$7,0)),"")</f>
        <v/>
      </c>
    </row>
    <row r="124" spans="3:42" ht="14" x14ac:dyDescent="0.3">
      <c r="C124" s="141">
        <v>115</v>
      </c>
      <c r="D124" s="460"/>
      <c r="E124" s="172"/>
      <c r="F124" s="498" t="str">
        <f>IF(D124="","",VLOOKUP(D124,'G-7 Rivers Data'!$B$2:$G$8,2,FALSE))</f>
        <v/>
      </c>
      <c r="G124" s="499" t="str">
        <f>IFERROR(VLOOKUP(F124,'G-7 Rivers Data'!$C$4:$D$8,2,FALSE),"")</f>
        <v/>
      </c>
      <c r="H124" s="145"/>
      <c r="I124" s="499" t="str">
        <f>IFERROR(INDEX('G-7 Rivers Data'!$H$4:$L$8,MATCH(D124,'G-7 Rivers Data'!$B$4:$B$8,0),MATCH(H124,'G-7 Rivers Data'!$H$3:$L$3,0)),"")</f>
        <v/>
      </c>
      <c r="J124" s="418"/>
      <c r="K124" s="498" t="str">
        <f>IF(J124="","",IF(VLOOKUP(J124,'G-7 Rivers Data'!$AK$4:$AM$9,2,FALSE)=0,"Spatial Data Missing ⚠",VLOOKUP(J124,'G-7 Rivers Data'!$AK$4:$AM$9,2,FALSE)))</f>
        <v/>
      </c>
      <c r="L124" s="505" t="str">
        <f>IF(J124="","",IF(VLOOKUP(J124,'G-7 Rivers Data'!$AK$4:$AM$9,3,FALSE)=0,"Spatial Data Missing ⚠",VLOOKUP(J124,'G-7 Rivers Data'!$AK$4:$AM$9,3,FALSE)))</f>
        <v/>
      </c>
      <c r="M124" s="71"/>
      <c r="N124" s="499" t="str">
        <f>IF(M124="","",IF(VLOOKUP(M124,'G-7 Rivers Data'!$AA$4:$AB$7,2,FALSE)=0,"Spatial Data Missing ⚠",VLOOKUP(M124,'G-7 Rivers Data'!$AA$4:$AB$7,2,FALSE)))</f>
        <v/>
      </c>
      <c r="O124" s="155"/>
      <c r="P124" s="499" t="str">
        <f>IF(O124="","",IF(VLOOKUP(O124,'G-7 Rivers Data'!$AD$4:$AE$8,2,FALSE)=0,"Spatial Data Missing ⚠",VLOOKUP(O124,'G-7 Rivers Data'!$AD$4:$AE$8,2,FALSE)))</f>
        <v/>
      </c>
      <c r="Q124" s="506" t="str">
        <f>IF(D124="","",VLOOKUP(D124,'G-7 Rivers Data'!$B$2:$G$8,6,FALSE))</f>
        <v/>
      </c>
      <c r="R124" s="513" t="str">
        <f t="shared" si="8"/>
        <v/>
      </c>
      <c r="S124" s="40"/>
      <c r="T124" s="145"/>
      <c r="U124" s="157"/>
      <c r="V124" s="511" t="str">
        <f t="shared" si="9"/>
        <v/>
      </c>
      <c r="W124" s="511" t="str">
        <f t="shared" si="10"/>
        <v/>
      </c>
      <c r="X124" s="511" t="str">
        <f t="shared" si="11"/>
        <v/>
      </c>
      <c r="Y124" s="515" t="str">
        <f t="shared" si="12"/>
        <v/>
      </c>
      <c r="Z124" s="151"/>
      <c r="AA124" s="152"/>
      <c r="AG124" s="31">
        <f t="shared" si="13"/>
        <v>0</v>
      </c>
      <c r="AH124" s="156" t="str">
        <f t="shared" si="14"/>
        <v/>
      </c>
      <c r="AI124" s="156" t="str">
        <f t="shared" si="15"/>
        <v/>
      </c>
      <c r="AK124" s="156">
        <v>115</v>
      </c>
      <c r="AM124" s="156" t="str">
        <f t="array" ref="AM124">IFERROR(INDEX($AK$10:$AK$258, MATCH(0, IF(TRUE=$AH$10:$AH$258, COUNTIF($AM$9:$AM123, $AK$10:$AK$258), ""), 0)),"")</f>
        <v/>
      </c>
      <c r="AN124" s="156" t="str">
        <f t="array" ref="AN124">IFERROR(INDEX($AK$10:$AK$258, MATCH(0, IF(TRUE=$AI$10:$AI$258, COUNTIF($AN$9:$AN123, $AK$10:$AK$258), ""), 0)),"")</f>
        <v/>
      </c>
      <c r="AP124" s="31" t="str">
        <f>IFERROR(INDEX('G-7 Rivers Data'!$AZ$3:$AZ$7,MATCH(D124,'G-7 Rivers Data'!$AY$3:$AY$7,0)),"")</f>
        <v/>
      </c>
    </row>
    <row r="125" spans="3:42" ht="14" x14ac:dyDescent="0.3">
      <c r="C125" s="141">
        <v>116</v>
      </c>
      <c r="D125" s="460"/>
      <c r="E125" s="172"/>
      <c r="F125" s="498" t="str">
        <f>IF(D125="","",VLOOKUP(D125,'G-7 Rivers Data'!$B$2:$G$8,2,FALSE))</f>
        <v/>
      </c>
      <c r="G125" s="499" t="str">
        <f>IFERROR(VLOOKUP(F125,'G-7 Rivers Data'!$C$4:$D$8,2,FALSE),"")</f>
        <v/>
      </c>
      <c r="H125" s="145"/>
      <c r="I125" s="499" t="str">
        <f>IFERROR(INDEX('G-7 Rivers Data'!$H$4:$L$8,MATCH(D125,'G-7 Rivers Data'!$B$4:$B$8,0),MATCH(H125,'G-7 Rivers Data'!$H$3:$L$3,0)),"")</f>
        <v/>
      </c>
      <c r="J125" s="418"/>
      <c r="K125" s="498" t="str">
        <f>IF(J125="","",IF(VLOOKUP(J125,'G-7 Rivers Data'!$AK$4:$AM$9,2,FALSE)=0,"Spatial Data Missing ⚠",VLOOKUP(J125,'G-7 Rivers Data'!$AK$4:$AM$9,2,FALSE)))</f>
        <v/>
      </c>
      <c r="L125" s="505" t="str">
        <f>IF(J125="","",IF(VLOOKUP(J125,'G-7 Rivers Data'!$AK$4:$AM$9,3,FALSE)=0,"Spatial Data Missing ⚠",VLOOKUP(J125,'G-7 Rivers Data'!$AK$4:$AM$9,3,FALSE)))</f>
        <v/>
      </c>
      <c r="M125" s="71"/>
      <c r="N125" s="499" t="str">
        <f>IF(M125="","",IF(VLOOKUP(M125,'G-7 Rivers Data'!$AA$4:$AB$7,2,FALSE)=0,"Spatial Data Missing ⚠",VLOOKUP(M125,'G-7 Rivers Data'!$AA$4:$AB$7,2,FALSE)))</f>
        <v/>
      </c>
      <c r="O125" s="155"/>
      <c r="P125" s="499" t="str">
        <f>IF(O125="","",IF(VLOOKUP(O125,'G-7 Rivers Data'!$AD$4:$AE$8,2,FALSE)=0,"Spatial Data Missing ⚠",VLOOKUP(O125,'G-7 Rivers Data'!$AD$4:$AE$8,2,FALSE)))</f>
        <v/>
      </c>
      <c r="Q125" s="506" t="str">
        <f>IF(D125="","",VLOOKUP(D125,'G-7 Rivers Data'!$B$2:$G$8,6,FALSE))</f>
        <v/>
      </c>
      <c r="R125" s="513" t="str">
        <f t="shared" si="8"/>
        <v/>
      </c>
      <c r="S125" s="40"/>
      <c r="T125" s="145"/>
      <c r="U125" s="157"/>
      <c r="V125" s="511" t="str">
        <f t="shared" si="9"/>
        <v/>
      </c>
      <c r="W125" s="511" t="str">
        <f t="shared" si="10"/>
        <v/>
      </c>
      <c r="X125" s="511" t="str">
        <f t="shared" si="11"/>
        <v/>
      </c>
      <c r="Y125" s="515" t="str">
        <f t="shared" si="12"/>
        <v/>
      </c>
      <c r="Z125" s="151"/>
      <c r="AA125" s="152"/>
      <c r="AG125" s="31">
        <f t="shared" si="13"/>
        <v>0</v>
      </c>
      <c r="AH125" s="156" t="str">
        <f t="shared" si="14"/>
        <v/>
      </c>
      <c r="AI125" s="156" t="str">
        <f t="shared" si="15"/>
        <v/>
      </c>
      <c r="AK125" s="156">
        <v>116</v>
      </c>
      <c r="AM125" s="156" t="str">
        <f t="array" ref="AM125">IFERROR(INDEX($AK$10:$AK$258, MATCH(0, IF(TRUE=$AH$10:$AH$258, COUNTIF($AM$9:$AM124, $AK$10:$AK$258), ""), 0)),"")</f>
        <v/>
      </c>
      <c r="AN125" s="156" t="str">
        <f t="array" ref="AN125">IFERROR(INDEX($AK$10:$AK$258, MATCH(0, IF(TRUE=$AI$10:$AI$258, COUNTIF($AN$9:$AN124, $AK$10:$AK$258), ""), 0)),"")</f>
        <v/>
      </c>
      <c r="AP125" s="31" t="str">
        <f>IFERROR(INDEX('G-7 Rivers Data'!$AZ$3:$AZ$7,MATCH(D125,'G-7 Rivers Data'!$AY$3:$AY$7,0)),"")</f>
        <v/>
      </c>
    </row>
    <row r="126" spans="3:42" ht="14" x14ac:dyDescent="0.3">
      <c r="C126" s="141">
        <v>117</v>
      </c>
      <c r="D126" s="460"/>
      <c r="E126" s="172"/>
      <c r="F126" s="498" t="str">
        <f>IF(D126="","",VLOOKUP(D126,'G-7 Rivers Data'!$B$2:$G$8,2,FALSE))</f>
        <v/>
      </c>
      <c r="G126" s="499" t="str">
        <f>IFERROR(VLOOKUP(F126,'G-7 Rivers Data'!$C$4:$D$8,2,FALSE),"")</f>
        <v/>
      </c>
      <c r="H126" s="145"/>
      <c r="I126" s="499" t="str">
        <f>IFERROR(INDEX('G-7 Rivers Data'!$H$4:$L$8,MATCH(D126,'G-7 Rivers Data'!$B$4:$B$8,0),MATCH(H126,'G-7 Rivers Data'!$H$3:$L$3,0)),"")</f>
        <v/>
      </c>
      <c r="J126" s="418"/>
      <c r="K126" s="498" t="str">
        <f>IF(J126="","",IF(VLOOKUP(J126,'G-7 Rivers Data'!$AK$4:$AM$9,2,FALSE)=0,"Spatial Data Missing ⚠",VLOOKUP(J126,'G-7 Rivers Data'!$AK$4:$AM$9,2,FALSE)))</f>
        <v/>
      </c>
      <c r="L126" s="505" t="str">
        <f>IF(J126="","",IF(VLOOKUP(J126,'G-7 Rivers Data'!$AK$4:$AM$9,3,FALSE)=0,"Spatial Data Missing ⚠",VLOOKUP(J126,'G-7 Rivers Data'!$AK$4:$AM$9,3,FALSE)))</f>
        <v/>
      </c>
      <c r="M126" s="71"/>
      <c r="N126" s="499" t="str">
        <f>IF(M126="","",IF(VLOOKUP(M126,'G-7 Rivers Data'!$AA$4:$AB$7,2,FALSE)=0,"Spatial Data Missing ⚠",VLOOKUP(M126,'G-7 Rivers Data'!$AA$4:$AB$7,2,FALSE)))</f>
        <v/>
      </c>
      <c r="O126" s="155"/>
      <c r="P126" s="499" t="str">
        <f>IF(O126="","",IF(VLOOKUP(O126,'G-7 Rivers Data'!$AD$4:$AE$8,2,FALSE)=0,"Spatial Data Missing ⚠",VLOOKUP(O126,'G-7 Rivers Data'!$AD$4:$AE$8,2,FALSE)))</f>
        <v/>
      </c>
      <c r="Q126" s="506" t="str">
        <f>IF(D126="","",VLOOKUP(D126,'G-7 Rivers Data'!$B$2:$G$8,6,FALSE))</f>
        <v/>
      </c>
      <c r="R126" s="513" t="str">
        <f t="shared" si="8"/>
        <v/>
      </c>
      <c r="S126" s="40"/>
      <c r="T126" s="145"/>
      <c r="U126" s="157"/>
      <c r="V126" s="511" t="str">
        <f t="shared" si="9"/>
        <v/>
      </c>
      <c r="W126" s="511" t="str">
        <f t="shared" si="10"/>
        <v/>
      </c>
      <c r="X126" s="511" t="str">
        <f t="shared" si="11"/>
        <v/>
      </c>
      <c r="Y126" s="515" t="str">
        <f t="shared" si="12"/>
        <v/>
      </c>
      <c r="Z126" s="151"/>
      <c r="AA126" s="152"/>
      <c r="AG126" s="31">
        <f t="shared" si="13"/>
        <v>0</v>
      </c>
      <c r="AH126" s="156" t="str">
        <f t="shared" si="14"/>
        <v/>
      </c>
      <c r="AI126" s="156" t="str">
        <f t="shared" si="15"/>
        <v/>
      </c>
      <c r="AK126" s="156">
        <v>117</v>
      </c>
      <c r="AM126" s="156" t="str">
        <f t="array" ref="AM126">IFERROR(INDEX($AK$10:$AK$258, MATCH(0, IF(TRUE=$AH$10:$AH$258, COUNTIF($AM$9:$AM125, $AK$10:$AK$258), ""), 0)),"")</f>
        <v/>
      </c>
      <c r="AN126" s="156" t="str">
        <f t="array" ref="AN126">IFERROR(INDEX($AK$10:$AK$258, MATCH(0, IF(TRUE=$AI$10:$AI$258, COUNTIF($AN$9:$AN125, $AK$10:$AK$258), ""), 0)),"")</f>
        <v/>
      </c>
      <c r="AP126" s="31" t="str">
        <f>IFERROR(INDEX('G-7 Rivers Data'!$AZ$3:$AZ$7,MATCH(D126,'G-7 Rivers Data'!$AY$3:$AY$7,0)),"")</f>
        <v/>
      </c>
    </row>
    <row r="127" spans="3:42" ht="14" x14ac:dyDescent="0.3">
      <c r="C127" s="141">
        <v>118</v>
      </c>
      <c r="D127" s="460"/>
      <c r="E127" s="172"/>
      <c r="F127" s="498" t="str">
        <f>IF(D127="","",VLOOKUP(D127,'G-7 Rivers Data'!$B$2:$G$8,2,FALSE))</f>
        <v/>
      </c>
      <c r="G127" s="499" t="str">
        <f>IFERROR(VLOOKUP(F127,'G-7 Rivers Data'!$C$4:$D$8,2,FALSE),"")</f>
        <v/>
      </c>
      <c r="H127" s="145"/>
      <c r="I127" s="499" t="str">
        <f>IFERROR(INDEX('G-7 Rivers Data'!$H$4:$L$8,MATCH(D127,'G-7 Rivers Data'!$B$4:$B$8,0),MATCH(H127,'G-7 Rivers Data'!$H$3:$L$3,0)),"")</f>
        <v/>
      </c>
      <c r="J127" s="418"/>
      <c r="K127" s="498" t="str">
        <f>IF(J127="","",IF(VLOOKUP(J127,'G-7 Rivers Data'!$AK$4:$AM$9,2,FALSE)=0,"Spatial Data Missing ⚠",VLOOKUP(J127,'G-7 Rivers Data'!$AK$4:$AM$9,2,FALSE)))</f>
        <v/>
      </c>
      <c r="L127" s="505" t="str">
        <f>IF(J127="","",IF(VLOOKUP(J127,'G-7 Rivers Data'!$AK$4:$AM$9,3,FALSE)=0,"Spatial Data Missing ⚠",VLOOKUP(J127,'G-7 Rivers Data'!$AK$4:$AM$9,3,FALSE)))</f>
        <v/>
      </c>
      <c r="M127" s="71"/>
      <c r="N127" s="499" t="str">
        <f>IF(M127="","",IF(VLOOKUP(M127,'G-7 Rivers Data'!$AA$4:$AB$7,2,FALSE)=0,"Spatial Data Missing ⚠",VLOOKUP(M127,'G-7 Rivers Data'!$AA$4:$AB$7,2,FALSE)))</f>
        <v/>
      </c>
      <c r="O127" s="155"/>
      <c r="P127" s="499" t="str">
        <f>IF(O127="","",IF(VLOOKUP(O127,'G-7 Rivers Data'!$AD$4:$AE$8,2,FALSE)=0,"Spatial Data Missing ⚠",VLOOKUP(O127,'G-7 Rivers Data'!$AD$4:$AE$8,2,FALSE)))</f>
        <v/>
      </c>
      <c r="Q127" s="506" t="str">
        <f>IF(D127="","",VLOOKUP(D127,'G-7 Rivers Data'!$B$2:$G$8,6,FALSE))</f>
        <v/>
      </c>
      <c r="R127" s="513" t="str">
        <f t="shared" si="8"/>
        <v/>
      </c>
      <c r="S127" s="40"/>
      <c r="T127" s="145"/>
      <c r="U127" s="157"/>
      <c r="V127" s="511" t="str">
        <f t="shared" si="9"/>
        <v/>
      </c>
      <c r="W127" s="511" t="str">
        <f t="shared" si="10"/>
        <v/>
      </c>
      <c r="X127" s="511" t="str">
        <f t="shared" si="11"/>
        <v/>
      </c>
      <c r="Y127" s="515" t="str">
        <f t="shared" si="12"/>
        <v/>
      </c>
      <c r="Z127" s="151"/>
      <c r="AA127" s="152"/>
      <c r="AG127" s="31">
        <f t="shared" si="13"/>
        <v>0</v>
      </c>
      <c r="AH127" s="156" t="str">
        <f t="shared" si="14"/>
        <v/>
      </c>
      <c r="AI127" s="156" t="str">
        <f t="shared" si="15"/>
        <v/>
      </c>
      <c r="AK127" s="156">
        <v>118</v>
      </c>
      <c r="AM127" s="156" t="str">
        <f t="array" ref="AM127">IFERROR(INDEX($AK$10:$AK$258, MATCH(0, IF(TRUE=$AH$10:$AH$258, COUNTIF($AM$9:$AM126, $AK$10:$AK$258), ""), 0)),"")</f>
        <v/>
      </c>
      <c r="AN127" s="156" t="str">
        <f t="array" ref="AN127">IFERROR(INDEX($AK$10:$AK$258, MATCH(0, IF(TRUE=$AI$10:$AI$258, COUNTIF($AN$9:$AN126, $AK$10:$AK$258), ""), 0)),"")</f>
        <v/>
      </c>
      <c r="AP127" s="31" t="str">
        <f>IFERROR(INDEX('G-7 Rivers Data'!$AZ$3:$AZ$7,MATCH(D127,'G-7 Rivers Data'!$AY$3:$AY$7,0)),"")</f>
        <v/>
      </c>
    </row>
    <row r="128" spans="3:42" ht="14" x14ac:dyDescent="0.3">
      <c r="C128" s="141">
        <v>119</v>
      </c>
      <c r="D128" s="460"/>
      <c r="E128" s="172"/>
      <c r="F128" s="498" t="str">
        <f>IF(D128="","",VLOOKUP(D128,'G-7 Rivers Data'!$B$2:$G$8,2,FALSE))</f>
        <v/>
      </c>
      <c r="G128" s="499" t="str">
        <f>IFERROR(VLOOKUP(F128,'G-7 Rivers Data'!$C$4:$D$8,2,FALSE),"")</f>
        <v/>
      </c>
      <c r="H128" s="145"/>
      <c r="I128" s="499" t="str">
        <f>IFERROR(INDEX('G-7 Rivers Data'!$H$4:$L$8,MATCH(D128,'G-7 Rivers Data'!$B$4:$B$8,0),MATCH(H128,'G-7 Rivers Data'!$H$3:$L$3,0)),"")</f>
        <v/>
      </c>
      <c r="J128" s="418"/>
      <c r="K128" s="498" t="str">
        <f>IF(J128="","",IF(VLOOKUP(J128,'G-7 Rivers Data'!$AK$4:$AM$9,2,FALSE)=0,"Spatial Data Missing ⚠",VLOOKUP(J128,'G-7 Rivers Data'!$AK$4:$AM$9,2,FALSE)))</f>
        <v/>
      </c>
      <c r="L128" s="505" t="str">
        <f>IF(J128="","",IF(VLOOKUP(J128,'G-7 Rivers Data'!$AK$4:$AM$9,3,FALSE)=0,"Spatial Data Missing ⚠",VLOOKUP(J128,'G-7 Rivers Data'!$AK$4:$AM$9,3,FALSE)))</f>
        <v/>
      </c>
      <c r="M128" s="71"/>
      <c r="N128" s="499" t="str">
        <f>IF(M128="","",IF(VLOOKUP(M128,'G-7 Rivers Data'!$AA$4:$AB$7,2,FALSE)=0,"Spatial Data Missing ⚠",VLOOKUP(M128,'G-7 Rivers Data'!$AA$4:$AB$7,2,FALSE)))</f>
        <v/>
      </c>
      <c r="O128" s="155"/>
      <c r="P128" s="499" t="str">
        <f>IF(O128="","",IF(VLOOKUP(O128,'G-7 Rivers Data'!$AD$4:$AE$8,2,FALSE)=0,"Spatial Data Missing ⚠",VLOOKUP(O128,'G-7 Rivers Data'!$AD$4:$AE$8,2,FALSE)))</f>
        <v/>
      </c>
      <c r="Q128" s="506" t="str">
        <f>IF(D128="","",VLOOKUP(D128,'G-7 Rivers Data'!$B$2:$G$8,6,FALSE))</f>
        <v/>
      </c>
      <c r="R128" s="513" t="str">
        <f t="shared" si="8"/>
        <v/>
      </c>
      <c r="S128" s="40"/>
      <c r="T128" s="145"/>
      <c r="U128" s="157"/>
      <c r="V128" s="511" t="str">
        <f t="shared" si="9"/>
        <v/>
      </c>
      <c r="W128" s="511" t="str">
        <f t="shared" si="10"/>
        <v/>
      </c>
      <c r="X128" s="511" t="str">
        <f t="shared" si="11"/>
        <v/>
      </c>
      <c r="Y128" s="515" t="str">
        <f t="shared" si="12"/>
        <v/>
      </c>
      <c r="Z128" s="151"/>
      <c r="AA128" s="152"/>
      <c r="AG128" s="31">
        <f t="shared" si="13"/>
        <v>0</v>
      </c>
      <c r="AH128" s="156" t="str">
        <f t="shared" si="14"/>
        <v/>
      </c>
      <c r="AI128" s="156" t="str">
        <f t="shared" si="15"/>
        <v/>
      </c>
      <c r="AK128" s="156">
        <v>119</v>
      </c>
      <c r="AM128" s="156" t="str">
        <f t="array" ref="AM128">IFERROR(INDEX($AK$10:$AK$258, MATCH(0, IF(TRUE=$AH$10:$AH$258, COUNTIF($AM$9:$AM127, $AK$10:$AK$258), ""), 0)),"")</f>
        <v/>
      </c>
      <c r="AN128" s="156" t="str">
        <f t="array" ref="AN128">IFERROR(INDEX($AK$10:$AK$258, MATCH(0, IF(TRUE=$AI$10:$AI$258, COUNTIF($AN$9:$AN127, $AK$10:$AK$258), ""), 0)),"")</f>
        <v/>
      </c>
      <c r="AP128" s="31" t="str">
        <f>IFERROR(INDEX('G-7 Rivers Data'!$AZ$3:$AZ$7,MATCH(D128,'G-7 Rivers Data'!$AY$3:$AY$7,0)),"")</f>
        <v/>
      </c>
    </row>
    <row r="129" spans="3:42" ht="14" x14ac:dyDescent="0.3">
      <c r="C129" s="141">
        <v>120</v>
      </c>
      <c r="D129" s="460"/>
      <c r="E129" s="172"/>
      <c r="F129" s="498" t="str">
        <f>IF(D129="","",VLOOKUP(D129,'G-7 Rivers Data'!$B$2:$G$8,2,FALSE))</f>
        <v/>
      </c>
      <c r="G129" s="499" t="str">
        <f>IFERROR(VLOOKUP(F129,'G-7 Rivers Data'!$C$4:$D$8,2,FALSE),"")</f>
        <v/>
      </c>
      <c r="H129" s="145"/>
      <c r="I129" s="499" t="str">
        <f>IFERROR(INDEX('G-7 Rivers Data'!$H$4:$L$8,MATCH(D129,'G-7 Rivers Data'!$B$4:$B$8,0),MATCH(H129,'G-7 Rivers Data'!$H$3:$L$3,0)),"")</f>
        <v/>
      </c>
      <c r="J129" s="418"/>
      <c r="K129" s="498" t="str">
        <f>IF(J129="","",IF(VLOOKUP(J129,'G-7 Rivers Data'!$AK$4:$AM$9,2,FALSE)=0,"Spatial Data Missing ⚠",VLOOKUP(J129,'G-7 Rivers Data'!$AK$4:$AM$9,2,FALSE)))</f>
        <v/>
      </c>
      <c r="L129" s="505" t="str">
        <f>IF(J129="","",IF(VLOOKUP(J129,'G-7 Rivers Data'!$AK$4:$AM$9,3,FALSE)=0,"Spatial Data Missing ⚠",VLOOKUP(J129,'G-7 Rivers Data'!$AK$4:$AM$9,3,FALSE)))</f>
        <v/>
      </c>
      <c r="M129" s="71"/>
      <c r="N129" s="499" t="str">
        <f>IF(M129="","",IF(VLOOKUP(M129,'G-7 Rivers Data'!$AA$4:$AB$7,2,FALSE)=0,"Spatial Data Missing ⚠",VLOOKUP(M129,'G-7 Rivers Data'!$AA$4:$AB$7,2,FALSE)))</f>
        <v/>
      </c>
      <c r="O129" s="155"/>
      <c r="P129" s="499" t="str">
        <f>IF(O129="","",IF(VLOOKUP(O129,'G-7 Rivers Data'!$AD$4:$AE$8,2,FALSE)=0,"Spatial Data Missing ⚠",VLOOKUP(O129,'G-7 Rivers Data'!$AD$4:$AE$8,2,FALSE)))</f>
        <v/>
      </c>
      <c r="Q129" s="506" t="str">
        <f>IF(D129="","",VLOOKUP(D129,'G-7 Rivers Data'!$B$2:$G$8,6,FALSE))</f>
        <v/>
      </c>
      <c r="R129" s="513" t="str">
        <f t="shared" si="8"/>
        <v/>
      </c>
      <c r="S129" s="40"/>
      <c r="T129" s="145"/>
      <c r="U129" s="157"/>
      <c r="V129" s="511" t="str">
        <f t="shared" si="9"/>
        <v/>
      </c>
      <c r="W129" s="511" t="str">
        <f t="shared" si="10"/>
        <v/>
      </c>
      <c r="X129" s="511" t="str">
        <f t="shared" si="11"/>
        <v/>
      </c>
      <c r="Y129" s="515" t="str">
        <f t="shared" si="12"/>
        <v/>
      </c>
      <c r="Z129" s="151"/>
      <c r="AA129" s="152"/>
      <c r="AG129" s="31">
        <f t="shared" si="13"/>
        <v>0</v>
      </c>
      <c r="AH129" s="156" t="str">
        <f t="shared" si="14"/>
        <v/>
      </c>
      <c r="AI129" s="156" t="str">
        <f t="shared" si="15"/>
        <v/>
      </c>
      <c r="AK129" s="156">
        <v>120</v>
      </c>
      <c r="AM129" s="156" t="str">
        <f t="array" ref="AM129">IFERROR(INDEX($AK$10:$AK$258, MATCH(0, IF(TRUE=$AH$10:$AH$258, COUNTIF($AM$9:$AM128, $AK$10:$AK$258), ""), 0)),"")</f>
        <v/>
      </c>
      <c r="AN129" s="156" t="str">
        <f t="array" ref="AN129">IFERROR(INDEX($AK$10:$AK$258, MATCH(0, IF(TRUE=$AI$10:$AI$258, COUNTIF($AN$9:$AN128, $AK$10:$AK$258), ""), 0)),"")</f>
        <v/>
      </c>
      <c r="AP129" s="31" t="str">
        <f>IFERROR(INDEX('G-7 Rivers Data'!$AZ$3:$AZ$7,MATCH(D129,'G-7 Rivers Data'!$AY$3:$AY$7,0)),"")</f>
        <v/>
      </c>
    </row>
    <row r="130" spans="3:42" ht="14" x14ac:dyDescent="0.3">
      <c r="C130" s="141">
        <v>121</v>
      </c>
      <c r="D130" s="460"/>
      <c r="E130" s="172"/>
      <c r="F130" s="498" t="str">
        <f>IF(D130="","",VLOOKUP(D130,'G-7 Rivers Data'!$B$2:$G$8,2,FALSE))</f>
        <v/>
      </c>
      <c r="G130" s="499" t="str">
        <f>IFERROR(VLOOKUP(F130,'G-7 Rivers Data'!$C$4:$D$8,2,FALSE),"")</f>
        <v/>
      </c>
      <c r="H130" s="145"/>
      <c r="I130" s="499" t="str">
        <f>IFERROR(INDEX('G-7 Rivers Data'!$H$4:$L$8,MATCH(D130,'G-7 Rivers Data'!$B$4:$B$8,0),MATCH(H130,'G-7 Rivers Data'!$H$3:$L$3,0)),"")</f>
        <v/>
      </c>
      <c r="J130" s="418"/>
      <c r="K130" s="498" t="str">
        <f>IF(J130="","",IF(VLOOKUP(J130,'G-7 Rivers Data'!$AK$4:$AM$9,2,FALSE)=0,"Spatial Data Missing ⚠",VLOOKUP(J130,'G-7 Rivers Data'!$AK$4:$AM$9,2,FALSE)))</f>
        <v/>
      </c>
      <c r="L130" s="505" t="str">
        <f>IF(J130="","",IF(VLOOKUP(J130,'G-7 Rivers Data'!$AK$4:$AM$9,3,FALSE)=0,"Spatial Data Missing ⚠",VLOOKUP(J130,'G-7 Rivers Data'!$AK$4:$AM$9,3,FALSE)))</f>
        <v/>
      </c>
      <c r="M130" s="71"/>
      <c r="N130" s="499" t="str">
        <f>IF(M130="","",IF(VLOOKUP(M130,'G-7 Rivers Data'!$AA$4:$AB$7,2,FALSE)=0,"Spatial Data Missing ⚠",VLOOKUP(M130,'G-7 Rivers Data'!$AA$4:$AB$7,2,FALSE)))</f>
        <v/>
      </c>
      <c r="O130" s="155"/>
      <c r="P130" s="499" t="str">
        <f>IF(O130="","",IF(VLOOKUP(O130,'G-7 Rivers Data'!$AD$4:$AE$8,2,FALSE)=0,"Spatial Data Missing ⚠",VLOOKUP(O130,'G-7 Rivers Data'!$AD$4:$AE$8,2,FALSE)))</f>
        <v/>
      </c>
      <c r="Q130" s="506" t="str">
        <f>IF(D130="","",VLOOKUP(D130,'G-7 Rivers Data'!$B$2:$G$8,6,FALSE))</f>
        <v/>
      </c>
      <c r="R130" s="513" t="str">
        <f t="shared" si="8"/>
        <v/>
      </c>
      <c r="S130" s="40"/>
      <c r="T130" s="145"/>
      <c r="U130" s="157"/>
      <c r="V130" s="511" t="str">
        <f t="shared" si="9"/>
        <v/>
      </c>
      <c r="W130" s="511" t="str">
        <f t="shared" si="10"/>
        <v/>
      </c>
      <c r="X130" s="511" t="str">
        <f t="shared" si="11"/>
        <v/>
      </c>
      <c r="Y130" s="515" t="str">
        <f t="shared" si="12"/>
        <v/>
      </c>
      <c r="Z130" s="151"/>
      <c r="AA130" s="152"/>
      <c r="AG130" s="31">
        <f t="shared" si="13"/>
        <v>0</v>
      </c>
      <c r="AH130" s="156" t="str">
        <f t="shared" si="14"/>
        <v/>
      </c>
      <c r="AI130" s="156" t="str">
        <f t="shared" si="15"/>
        <v/>
      </c>
      <c r="AK130" s="156">
        <v>121</v>
      </c>
      <c r="AM130" s="156" t="str">
        <f t="array" ref="AM130">IFERROR(INDEX($AK$10:$AK$258, MATCH(0, IF(TRUE=$AH$10:$AH$258, COUNTIF($AM$9:$AM129, $AK$10:$AK$258), ""), 0)),"")</f>
        <v/>
      </c>
      <c r="AN130" s="156" t="str">
        <f t="array" ref="AN130">IFERROR(INDEX($AK$10:$AK$258, MATCH(0, IF(TRUE=$AI$10:$AI$258, COUNTIF($AN$9:$AN129, $AK$10:$AK$258), ""), 0)),"")</f>
        <v/>
      </c>
      <c r="AP130" s="31" t="str">
        <f>IFERROR(INDEX('G-7 Rivers Data'!$AZ$3:$AZ$7,MATCH(D130,'G-7 Rivers Data'!$AY$3:$AY$7,0)),"")</f>
        <v/>
      </c>
    </row>
    <row r="131" spans="3:42" ht="14" x14ac:dyDescent="0.3">
      <c r="C131" s="141">
        <v>122</v>
      </c>
      <c r="D131" s="460"/>
      <c r="E131" s="172"/>
      <c r="F131" s="498" t="str">
        <f>IF(D131="","",VLOOKUP(D131,'G-7 Rivers Data'!$B$2:$G$8,2,FALSE))</f>
        <v/>
      </c>
      <c r="G131" s="499" t="str">
        <f>IFERROR(VLOOKUP(F131,'G-7 Rivers Data'!$C$4:$D$8,2,FALSE),"")</f>
        <v/>
      </c>
      <c r="H131" s="145"/>
      <c r="I131" s="499" t="str">
        <f>IFERROR(INDEX('G-7 Rivers Data'!$H$4:$L$8,MATCH(D131,'G-7 Rivers Data'!$B$4:$B$8,0),MATCH(H131,'G-7 Rivers Data'!$H$3:$L$3,0)),"")</f>
        <v/>
      </c>
      <c r="J131" s="418"/>
      <c r="K131" s="498" t="str">
        <f>IF(J131="","",IF(VLOOKUP(J131,'G-7 Rivers Data'!$AK$4:$AM$9,2,FALSE)=0,"Spatial Data Missing ⚠",VLOOKUP(J131,'G-7 Rivers Data'!$AK$4:$AM$9,2,FALSE)))</f>
        <v/>
      </c>
      <c r="L131" s="505" t="str">
        <f>IF(J131="","",IF(VLOOKUP(J131,'G-7 Rivers Data'!$AK$4:$AM$9,3,FALSE)=0,"Spatial Data Missing ⚠",VLOOKUP(J131,'G-7 Rivers Data'!$AK$4:$AM$9,3,FALSE)))</f>
        <v/>
      </c>
      <c r="M131" s="71"/>
      <c r="N131" s="499" t="str">
        <f>IF(M131="","",IF(VLOOKUP(M131,'G-7 Rivers Data'!$AA$4:$AB$7,2,FALSE)=0,"Spatial Data Missing ⚠",VLOOKUP(M131,'G-7 Rivers Data'!$AA$4:$AB$7,2,FALSE)))</f>
        <v/>
      </c>
      <c r="O131" s="155"/>
      <c r="P131" s="499" t="str">
        <f>IF(O131="","",IF(VLOOKUP(O131,'G-7 Rivers Data'!$AD$4:$AE$8,2,FALSE)=0,"Spatial Data Missing ⚠",VLOOKUP(O131,'G-7 Rivers Data'!$AD$4:$AE$8,2,FALSE)))</f>
        <v/>
      </c>
      <c r="Q131" s="506" t="str">
        <f>IF(D131="","",VLOOKUP(D131,'G-7 Rivers Data'!$B$2:$G$8,6,FALSE))</f>
        <v/>
      </c>
      <c r="R131" s="513" t="str">
        <f t="shared" si="8"/>
        <v/>
      </c>
      <c r="S131" s="40"/>
      <c r="T131" s="145"/>
      <c r="U131" s="157"/>
      <c r="V131" s="511" t="str">
        <f t="shared" si="9"/>
        <v/>
      </c>
      <c r="W131" s="511" t="str">
        <f t="shared" si="10"/>
        <v/>
      </c>
      <c r="X131" s="511" t="str">
        <f t="shared" si="11"/>
        <v/>
      </c>
      <c r="Y131" s="515" t="str">
        <f t="shared" si="12"/>
        <v/>
      </c>
      <c r="Z131" s="151"/>
      <c r="AA131" s="152"/>
      <c r="AG131" s="31">
        <f t="shared" si="13"/>
        <v>0</v>
      </c>
      <c r="AH131" s="156" t="str">
        <f t="shared" si="14"/>
        <v/>
      </c>
      <c r="AI131" s="156" t="str">
        <f t="shared" si="15"/>
        <v/>
      </c>
      <c r="AK131" s="156">
        <v>122</v>
      </c>
      <c r="AM131" s="156" t="str">
        <f t="array" ref="AM131">IFERROR(INDEX($AK$10:$AK$258, MATCH(0, IF(TRUE=$AH$10:$AH$258, COUNTIF($AM$9:$AM130, $AK$10:$AK$258), ""), 0)),"")</f>
        <v/>
      </c>
      <c r="AN131" s="156" t="str">
        <f t="array" ref="AN131">IFERROR(INDEX($AK$10:$AK$258, MATCH(0, IF(TRUE=$AI$10:$AI$258, COUNTIF($AN$9:$AN130, $AK$10:$AK$258), ""), 0)),"")</f>
        <v/>
      </c>
      <c r="AP131" s="31" t="str">
        <f>IFERROR(INDEX('G-7 Rivers Data'!$AZ$3:$AZ$7,MATCH(D131,'G-7 Rivers Data'!$AY$3:$AY$7,0)),"")</f>
        <v/>
      </c>
    </row>
    <row r="132" spans="3:42" ht="14" x14ac:dyDescent="0.3">
      <c r="C132" s="141">
        <v>123</v>
      </c>
      <c r="D132" s="460"/>
      <c r="E132" s="172"/>
      <c r="F132" s="498" t="str">
        <f>IF(D132="","",VLOOKUP(D132,'G-7 Rivers Data'!$B$2:$G$8,2,FALSE))</f>
        <v/>
      </c>
      <c r="G132" s="499" t="str">
        <f>IFERROR(VLOOKUP(F132,'G-7 Rivers Data'!$C$4:$D$8,2,FALSE),"")</f>
        <v/>
      </c>
      <c r="H132" s="145"/>
      <c r="I132" s="499" t="str">
        <f>IFERROR(INDEX('G-7 Rivers Data'!$H$4:$L$8,MATCH(D132,'G-7 Rivers Data'!$B$4:$B$8,0),MATCH(H132,'G-7 Rivers Data'!$H$3:$L$3,0)),"")</f>
        <v/>
      </c>
      <c r="J132" s="418"/>
      <c r="K132" s="498" t="str">
        <f>IF(J132="","",IF(VLOOKUP(J132,'G-7 Rivers Data'!$AK$4:$AM$9,2,FALSE)=0,"Spatial Data Missing ⚠",VLOOKUP(J132,'G-7 Rivers Data'!$AK$4:$AM$9,2,FALSE)))</f>
        <v/>
      </c>
      <c r="L132" s="505" t="str">
        <f>IF(J132="","",IF(VLOOKUP(J132,'G-7 Rivers Data'!$AK$4:$AM$9,3,FALSE)=0,"Spatial Data Missing ⚠",VLOOKUP(J132,'G-7 Rivers Data'!$AK$4:$AM$9,3,FALSE)))</f>
        <v/>
      </c>
      <c r="M132" s="71"/>
      <c r="N132" s="499" t="str">
        <f>IF(M132="","",IF(VLOOKUP(M132,'G-7 Rivers Data'!$AA$4:$AB$7,2,FALSE)=0,"Spatial Data Missing ⚠",VLOOKUP(M132,'G-7 Rivers Data'!$AA$4:$AB$7,2,FALSE)))</f>
        <v/>
      </c>
      <c r="O132" s="155"/>
      <c r="P132" s="499" t="str">
        <f>IF(O132="","",IF(VLOOKUP(O132,'G-7 Rivers Data'!$AD$4:$AE$8,2,FALSE)=0,"Spatial Data Missing ⚠",VLOOKUP(O132,'G-7 Rivers Data'!$AD$4:$AE$8,2,FALSE)))</f>
        <v/>
      </c>
      <c r="Q132" s="506" t="str">
        <f>IF(D132="","",VLOOKUP(D132,'G-7 Rivers Data'!$B$2:$G$8,6,FALSE))</f>
        <v/>
      </c>
      <c r="R132" s="513" t="str">
        <f t="shared" si="8"/>
        <v/>
      </c>
      <c r="S132" s="40"/>
      <c r="T132" s="145"/>
      <c r="U132" s="157"/>
      <c r="V132" s="511" t="str">
        <f t="shared" si="9"/>
        <v/>
      </c>
      <c r="W132" s="511" t="str">
        <f t="shared" si="10"/>
        <v/>
      </c>
      <c r="X132" s="511" t="str">
        <f t="shared" si="11"/>
        <v/>
      </c>
      <c r="Y132" s="515" t="str">
        <f t="shared" si="12"/>
        <v/>
      </c>
      <c r="Z132" s="151"/>
      <c r="AA132" s="152"/>
      <c r="AG132" s="31">
        <f t="shared" si="13"/>
        <v>0</v>
      </c>
      <c r="AH132" s="156" t="str">
        <f t="shared" si="14"/>
        <v/>
      </c>
      <c r="AI132" s="156" t="str">
        <f t="shared" si="15"/>
        <v/>
      </c>
      <c r="AK132" s="156">
        <v>123</v>
      </c>
      <c r="AM132" s="156" t="str">
        <f t="array" ref="AM132">IFERROR(INDEX($AK$10:$AK$258, MATCH(0, IF(TRUE=$AH$10:$AH$258, COUNTIF($AM$9:$AM131, $AK$10:$AK$258), ""), 0)),"")</f>
        <v/>
      </c>
      <c r="AN132" s="156" t="str">
        <f t="array" ref="AN132">IFERROR(INDEX($AK$10:$AK$258, MATCH(0, IF(TRUE=$AI$10:$AI$258, COUNTIF($AN$9:$AN131, $AK$10:$AK$258), ""), 0)),"")</f>
        <v/>
      </c>
      <c r="AP132" s="31" t="str">
        <f>IFERROR(INDEX('G-7 Rivers Data'!$AZ$3:$AZ$7,MATCH(D132,'G-7 Rivers Data'!$AY$3:$AY$7,0)),"")</f>
        <v/>
      </c>
    </row>
    <row r="133" spans="3:42" ht="14" x14ac:dyDescent="0.3">
      <c r="C133" s="141">
        <v>124</v>
      </c>
      <c r="D133" s="460"/>
      <c r="E133" s="172"/>
      <c r="F133" s="498" t="str">
        <f>IF(D133="","",VLOOKUP(D133,'G-7 Rivers Data'!$B$2:$G$8,2,FALSE))</f>
        <v/>
      </c>
      <c r="G133" s="499" t="str">
        <f>IFERROR(VLOOKUP(F133,'G-7 Rivers Data'!$C$4:$D$8,2,FALSE),"")</f>
        <v/>
      </c>
      <c r="H133" s="145"/>
      <c r="I133" s="499" t="str">
        <f>IFERROR(INDEX('G-7 Rivers Data'!$H$4:$L$8,MATCH(D133,'G-7 Rivers Data'!$B$4:$B$8,0),MATCH(H133,'G-7 Rivers Data'!$H$3:$L$3,0)),"")</f>
        <v/>
      </c>
      <c r="J133" s="418"/>
      <c r="K133" s="498" t="str">
        <f>IF(J133="","",IF(VLOOKUP(J133,'G-7 Rivers Data'!$AK$4:$AM$9,2,FALSE)=0,"Spatial Data Missing ⚠",VLOOKUP(J133,'G-7 Rivers Data'!$AK$4:$AM$9,2,FALSE)))</f>
        <v/>
      </c>
      <c r="L133" s="505" t="str">
        <f>IF(J133="","",IF(VLOOKUP(J133,'G-7 Rivers Data'!$AK$4:$AM$9,3,FALSE)=0,"Spatial Data Missing ⚠",VLOOKUP(J133,'G-7 Rivers Data'!$AK$4:$AM$9,3,FALSE)))</f>
        <v/>
      </c>
      <c r="M133" s="71"/>
      <c r="N133" s="499" t="str">
        <f>IF(M133="","",IF(VLOOKUP(M133,'G-7 Rivers Data'!$AA$4:$AB$7,2,FALSE)=0,"Spatial Data Missing ⚠",VLOOKUP(M133,'G-7 Rivers Data'!$AA$4:$AB$7,2,FALSE)))</f>
        <v/>
      </c>
      <c r="O133" s="155"/>
      <c r="P133" s="499" t="str">
        <f>IF(O133="","",IF(VLOOKUP(O133,'G-7 Rivers Data'!$AD$4:$AE$8,2,FALSE)=0,"Spatial Data Missing ⚠",VLOOKUP(O133,'G-7 Rivers Data'!$AD$4:$AE$8,2,FALSE)))</f>
        <v/>
      </c>
      <c r="Q133" s="506" t="str">
        <f>IF(D133="","",VLOOKUP(D133,'G-7 Rivers Data'!$B$2:$G$8,6,FALSE))</f>
        <v/>
      </c>
      <c r="R133" s="513" t="str">
        <f t="shared" si="8"/>
        <v/>
      </c>
      <c r="S133" s="40"/>
      <c r="T133" s="145"/>
      <c r="U133" s="157"/>
      <c r="V133" s="511" t="str">
        <f t="shared" si="9"/>
        <v/>
      </c>
      <c r="W133" s="511" t="str">
        <f t="shared" si="10"/>
        <v/>
      </c>
      <c r="X133" s="511" t="str">
        <f t="shared" si="11"/>
        <v/>
      </c>
      <c r="Y133" s="515" t="str">
        <f t="shared" si="12"/>
        <v/>
      </c>
      <c r="Z133" s="151"/>
      <c r="AA133" s="152"/>
      <c r="AG133" s="31">
        <f t="shared" si="13"/>
        <v>0</v>
      </c>
      <c r="AH133" s="156" t="str">
        <f t="shared" si="14"/>
        <v/>
      </c>
      <c r="AI133" s="156" t="str">
        <f t="shared" si="15"/>
        <v/>
      </c>
      <c r="AK133" s="156">
        <v>124</v>
      </c>
      <c r="AM133" s="156" t="str">
        <f t="array" ref="AM133">IFERROR(INDEX($AK$10:$AK$258, MATCH(0, IF(TRUE=$AH$10:$AH$258, COUNTIF($AM$9:$AM132, $AK$10:$AK$258), ""), 0)),"")</f>
        <v/>
      </c>
      <c r="AN133" s="156" t="str">
        <f t="array" ref="AN133">IFERROR(INDEX($AK$10:$AK$258, MATCH(0, IF(TRUE=$AI$10:$AI$258, COUNTIF($AN$9:$AN132, $AK$10:$AK$258), ""), 0)),"")</f>
        <v/>
      </c>
      <c r="AP133" s="31" t="str">
        <f>IFERROR(INDEX('G-7 Rivers Data'!$AZ$3:$AZ$7,MATCH(D133,'G-7 Rivers Data'!$AY$3:$AY$7,0)),"")</f>
        <v/>
      </c>
    </row>
    <row r="134" spans="3:42" ht="14" x14ac:dyDescent="0.3">
      <c r="C134" s="141">
        <v>125</v>
      </c>
      <c r="D134" s="460"/>
      <c r="E134" s="172"/>
      <c r="F134" s="498" t="str">
        <f>IF(D134="","",VLOOKUP(D134,'G-7 Rivers Data'!$B$2:$G$8,2,FALSE))</f>
        <v/>
      </c>
      <c r="G134" s="499" t="str">
        <f>IFERROR(VLOOKUP(F134,'G-7 Rivers Data'!$C$4:$D$8,2,FALSE),"")</f>
        <v/>
      </c>
      <c r="H134" s="145"/>
      <c r="I134" s="499" t="str">
        <f>IFERROR(INDEX('G-7 Rivers Data'!$H$4:$L$8,MATCH(D134,'G-7 Rivers Data'!$B$4:$B$8,0),MATCH(H134,'G-7 Rivers Data'!$H$3:$L$3,0)),"")</f>
        <v/>
      </c>
      <c r="J134" s="418"/>
      <c r="K134" s="498" t="str">
        <f>IF(J134="","",IF(VLOOKUP(J134,'G-7 Rivers Data'!$AK$4:$AM$9,2,FALSE)=0,"Spatial Data Missing ⚠",VLOOKUP(J134,'G-7 Rivers Data'!$AK$4:$AM$9,2,FALSE)))</f>
        <v/>
      </c>
      <c r="L134" s="505" t="str">
        <f>IF(J134="","",IF(VLOOKUP(J134,'G-7 Rivers Data'!$AK$4:$AM$9,3,FALSE)=0,"Spatial Data Missing ⚠",VLOOKUP(J134,'G-7 Rivers Data'!$AK$4:$AM$9,3,FALSE)))</f>
        <v/>
      </c>
      <c r="M134" s="71"/>
      <c r="N134" s="499" t="str">
        <f>IF(M134="","",IF(VLOOKUP(M134,'G-7 Rivers Data'!$AA$4:$AB$7,2,FALSE)=0,"Spatial Data Missing ⚠",VLOOKUP(M134,'G-7 Rivers Data'!$AA$4:$AB$7,2,FALSE)))</f>
        <v/>
      </c>
      <c r="O134" s="155"/>
      <c r="P134" s="499" t="str">
        <f>IF(O134="","",IF(VLOOKUP(O134,'G-7 Rivers Data'!$AD$4:$AE$8,2,FALSE)=0,"Spatial Data Missing ⚠",VLOOKUP(O134,'G-7 Rivers Data'!$AD$4:$AE$8,2,FALSE)))</f>
        <v/>
      </c>
      <c r="Q134" s="506" t="str">
        <f>IF(D134="","",VLOOKUP(D134,'G-7 Rivers Data'!$B$2:$G$8,6,FALSE))</f>
        <v/>
      </c>
      <c r="R134" s="513" t="str">
        <f t="shared" si="8"/>
        <v/>
      </c>
      <c r="S134" s="40"/>
      <c r="T134" s="145"/>
      <c r="U134" s="157"/>
      <c r="V134" s="511" t="str">
        <f t="shared" si="9"/>
        <v/>
      </c>
      <c r="W134" s="511" t="str">
        <f t="shared" si="10"/>
        <v/>
      </c>
      <c r="X134" s="511" t="str">
        <f t="shared" si="11"/>
        <v/>
      </c>
      <c r="Y134" s="515" t="str">
        <f t="shared" si="12"/>
        <v/>
      </c>
      <c r="Z134" s="151"/>
      <c r="AA134" s="152"/>
      <c r="AG134" s="31">
        <f t="shared" si="13"/>
        <v>0</v>
      </c>
      <c r="AH134" s="156" t="str">
        <f t="shared" si="14"/>
        <v/>
      </c>
      <c r="AI134" s="156" t="str">
        <f t="shared" si="15"/>
        <v/>
      </c>
      <c r="AK134" s="156">
        <v>125</v>
      </c>
      <c r="AM134" s="156" t="str">
        <f t="array" ref="AM134">IFERROR(INDEX($AK$10:$AK$258, MATCH(0, IF(TRUE=$AH$10:$AH$258, COUNTIF($AM$9:$AM133, $AK$10:$AK$258), ""), 0)),"")</f>
        <v/>
      </c>
      <c r="AN134" s="156" t="str">
        <f t="array" ref="AN134">IFERROR(INDEX($AK$10:$AK$258, MATCH(0, IF(TRUE=$AI$10:$AI$258, COUNTIF($AN$9:$AN133, $AK$10:$AK$258), ""), 0)),"")</f>
        <v/>
      </c>
      <c r="AP134" s="31" t="str">
        <f>IFERROR(INDEX('G-7 Rivers Data'!$AZ$3:$AZ$7,MATCH(D134,'G-7 Rivers Data'!$AY$3:$AY$7,0)),"")</f>
        <v/>
      </c>
    </row>
    <row r="135" spans="3:42" ht="14" x14ac:dyDescent="0.3">
      <c r="C135" s="141">
        <v>126</v>
      </c>
      <c r="D135" s="460"/>
      <c r="E135" s="172"/>
      <c r="F135" s="498" t="str">
        <f>IF(D135="","",VLOOKUP(D135,'G-7 Rivers Data'!$B$2:$G$8,2,FALSE))</f>
        <v/>
      </c>
      <c r="G135" s="499" t="str">
        <f>IFERROR(VLOOKUP(F135,'G-7 Rivers Data'!$C$4:$D$8,2,FALSE),"")</f>
        <v/>
      </c>
      <c r="H135" s="145"/>
      <c r="I135" s="499" t="str">
        <f>IFERROR(INDEX('G-7 Rivers Data'!$H$4:$L$8,MATCH(D135,'G-7 Rivers Data'!$B$4:$B$8,0),MATCH(H135,'G-7 Rivers Data'!$H$3:$L$3,0)),"")</f>
        <v/>
      </c>
      <c r="J135" s="418"/>
      <c r="K135" s="498" t="str">
        <f>IF(J135="","",IF(VLOOKUP(J135,'G-7 Rivers Data'!$AK$4:$AM$9,2,FALSE)=0,"Spatial Data Missing ⚠",VLOOKUP(J135,'G-7 Rivers Data'!$AK$4:$AM$9,2,FALSE)))</f>
        <v/>
      </c>
      <c r="L135" s="505" t="str">
        <f>IF(J135="","",IF(VLOOKUP(J135,'G-7 Rivers Data'!$AK$4:$AM$9,3,FALSE)=0,"Spatial Data Missing ⚠",VLOOKUP(J135,'G-7 Rivers Data'!$AK$4:$AM$9,3,FALSE)))</f>
        <v/>
      </c>
      <c r="M135" s="71"/>
      <c r="N135" s="499" t="str">
        <f>IF(M135="","",IF(VLOOKUP(M135,'G-7 Rivers Data'!$AA$4:$AB$7,2,FALSE)=0,"Spatial Data Missing ⚠",VLOOKUP(M135,'G-7 Rivers Data'!$AA$4:$AB$7,2,FALSE)))</f>
        <v/>
      </c>
      <c r="O135" s="155"/>
      <c r="P135" s="499" t="str">
        <f>IF(O135="","",IF(VLOOKUP(O135,'G-7 Rivers Data'!$AD$4:$AE$8,2,FALSE)=0,"Spatial Data Missing ⚠",VLOOKUP(O135,'G-7 Rivers Data'!$AD$4:$AE$8,2,FALSE)))</f>
        <v/>
      </c>
      <c r="Q135" s="506" t="str">
        <f>IF(D135="","",VLOOKUP(D135,'G-7 Rivers Data'!$B$2:$G$8,6,FALSE))</f>
        <v/>
      </c>
      <c r="R135" s="513" t="str">
        <f t="shared" si="8"/>
        <v/>
      </c>
      <c r="S135" s="40"/>
      <c r="T135" s="145"/>
      <c r="U135" s="157"/>
      <c r="V135" s="511" t="str">
        <f t="shared" si="9"/>
        <v/>
      </c>
      <c r="W135" s="511" t="str">
        <f t="shared" si="10"/>
        <v/>
      </c>
      <c r="X135" s="511" t="str">
        <f t="shared" si="11"/>
        <v/>
      </c>
      <c r="Y135" s="515" t="str">
        <f t="shared" si="12"/>
        <v/>
      </c>
      <c r="Z135" s="151"/>
      <c r="AA135" s="152"/>
      <c r="AG135" s="31">
        <f t="shared" si="13"/>
        <v>0</v>
      </c>
      <c r="AH135" s="156" t="str">
        <f t="shared" si="14"/>
        <v/>
      </c>
      <c r="AI135" s="156" t="str">
        <f t="shared" si="15"/>
        <v/>
      </c>
      <c r="AK135" s="156">
        <v>126</v>
      </c>
      <c r="AM135" s="156" t="str">
        <f t="array" ref="AM135">IFERROR(INDEX($AK$10:$AK$258, MATCH(0, IF(TRUE=$AH$10:$AH$258, COUNTIF($AM$9:$AM134, $AK$10:$AK$258), ""), 0)),"")</f>
        <v/>
      </c>
      <c r="AN135" s="156" t="str">
        <f t="array" ref="AN135">IFERROR(INDEX($AK$10:$AK$258, MATCH(0, IF(TRUE=$AI$10:$AI$258, COUNTIF($AN$9:$AN134, $AK$10:$AK$258), ""), 0)),"")</f>
        <v/>
      </c>
      <c r="AP135" s="31" t="str">
        <f>IFERROR(INDEX('G-7 Rivers Data'!$AZ$3:$AZ$7,MATCH(D135,'G-7 Rivers Data'!$AY$3:$AY$7,0)),"")</f>
        <v/>
      </c>
    </row>
    <row r="136" spans="3:42" ht="14" x14ac:dyDescent="0.3">
      <c r="C136" s="141">
        <v>127</v>
      </c>
      <c r="D136" s="460"/>
      <c r="E136" s="172"/>
      <c r="F136" s="498" t="str">
        <f>IF(D136="","",VLOOKUP(D136,'G-7 Rivers Data'!$B$2:$G$8,2,FALSE))</f>
        <v/>
      </c>
      <c r="G136" s="499" t="str">
        <f>IFERROR(VLOOKUP(F136,'G-7 Rivers Data'!$C$4:$D$8,2,FALSE),"")</f>
        <v/>
      </c>
      <c r="H136" s="145"/>
      <c r="I136" s="499" t="str">
        <f>IFERROR(INDEX('G-7 Rivers Data'!$H$4:$L$8,MATCH(D136,'G-7 Rivers Data'!$B$4:$B$8,0),MATCH(H136,'G-7 Rivers Data'!$H$3:$L$3,0)),"")</f>
        <v/>
      </c>
      <c r="J136" s="418"/>
      <c r="K136" s="498" t="str">
        <f>IF(J136="","",IF(VLOOKUP(J136,'G-7 Rivers Data'!$AK$4:$AM$9,2,FALSE)=0,"Spatial Data Missing ⚠",VLOOKUP(J136,'G-7 Rivers Data'!$AK$4:$AM$9,2,FALSE)))</f>
        <v/>
      </c>
      <c r="L136" s="505" t="str">
        <f>IF(J136="","",IF(VLOOKUP(J136,'G-7 Rivers Data'!$AK$4:$AM$9,3,FALSE)=0,"Spatial Data Missing ⚠",VLOOKUP(J136,'G-7 Rivers Data'!$AK$4:$AM$9,3,FALSE)))</f>
        <v/>
      </c>
      <c r="M136" s="71"/>
      <c r="N136" s="499" t="str">
        <f>IF(M136="","",IF(VLOOKUP(M136,'G-7 Rivers Data'!$AA$4:$AB$7,2,FALSE)=0,"Spatial Data Missing ⚠",VLOOKUP(M136,'G-7 Rivers Data'!$AA$4:$AB$7,2,FALSE)))</f>
        <v/>
      </c>
      <c r="O136" s="155"/>
      <c r="P136" s="499" t="str">
        <f>IF(O136="","",IF(VLOOKUP(O136,'G-7 Rivers Data'!$AD$4:$AE$8,2,FALSE)=0,"Spatial Data Missing ⚠",VLOOKUP(O136,'G-7 Rivers Data'!$AD$4:$AE$8,2,FALSE)))</f>
        <v/>
      </c>
      <c r="Q136" s="506" t="str">
        <f>IF(D136="","",VLOOKUP(D136,'G-7 Rivers Data'!$B$2:$G$8,6,FALSE))</f>
        <v/>
      </c>
      <c r="R136" s="513" t="str">
        <f t="shared" si="8"/>
        <v/>
      </c>
      <c r="S136" s="40"/>
      <c r="T136" s="145"/>
      <c r="U136" s="157"/>
      <c r="V136" s="511" t="str">
        <f t="shared" si="9"/>
        <v/>
      </c>
      <c r="W136" s="511" t="str">
        <f t="shared" si="10"/>
        <v/>
      </c>
      <c r="X136" s="511" t="str">
        <f t="shared" si="11"/>
        <v/>
      </c>
      <c r="Y136" s="515" t="str">
        <f t="shared" si="12"/>
        <v/>
      </c>
      <c r="Z136" s="151"/>
      <c r="AA136" s="152"/>
      <c r="AG136" s="31">
        <f t="shared" si="13"/>
        <v>0</v>
      </c>
      <c r="AH136" s="156" t="str">
        <f t="shared" si="14"/>
        <v/>
      </c>
      <c r="AI136" s="156" t="str">
        <f t="shared" si="15"/>
        <v/>
      </c>
      <c r="AK136" s="156">
        <v>127</v>
      </c>
      <c r="AM136" s="156" t="str">
        <f t="array" ref="AM136">IFERROR(INDEX($AK$10:$AK$258, MATCH(0, IF(TRUE=$AH$10:$AH$258, COUNTIF($AM$9:$AM135, $AK$10:$AK$258), ""), 0)),"")</f>
        <v/>
      </c>
      <c r="AN136" s="156" t="str">
        <f t="array" ref="AN136">IFERROR(INDEX($AK$10:$AK$258, MATCH(0, IF(TRUE=$AI$10:$AI$258, COUNTIF($AN$9:$AN135, $AK$10:$AK$258), ""), 0)),"")</f>
        <v/>
      </c>
      <c r="AP136" s="31" t="str">
        <f>IFERROR(INDEX('G-7 Rivers Data'!$AZ$3:$AZ$7,MATCH(D136,'G-7 Rivers Data'!$AY$3:$AY$7,0)),"")</f>
        <v/>
      </c>
    </row>
    <row r="137" spans="3:42" ht="14" x14ac:dyDescent="0.3">
      <c r="C137" s="141">
        <v>128</v>
      </c>
      <c r="D137" s="460"/>
      <c r="E137" s="172"/>
      <c r="F137" s="498" t="str">
        <f>IF(D137="","",VLOOKUP(D137,'G-7 Rivers Data'!$B$2:$G$8,2,FALSE))</f>
        <v/>
      </c>
      <c r="G137" s="499" t="str">
        <f>IFERROR(VLOOKUP(F137,'G-7 Rivers Data'!$C$4:$D$8,2,FALSE),"")</f>
        <v/>
      </c>
      <c r="H137" s="145"/>
      <c r="I137" s="499" t="str">
        <f>IFERROR(INDEX('G-7 Rivers Data'!$H$4:$L$8,MATCH(D137,'G-7 Rivers Data'!$B$4:$B$8,0),MATCH(H137,'G-7 Rivers Data'!$H$3:$L$3,0)),"")</f>
        <v/>
      </c>
      <c r="J137" s="418"/>
      <c r="K137" s="498" t="str">
        <f>IF(J137="","",IF(VLOOKUP(J137,'G-7 Rivers Data'!$AK$4:$AM$9,2,FALSE)=0,"Spatial Data Missing ⚠",VLOOKUP(J137,'G-7 Rivers Data'!$AK$4:$AM$9,2,FALSE)))</f>
        <v/>
      </c>
      <c r="L137" s="505" t="str">
        <f>IF(J137="","",IF(VLOOKUP(J137,'G-7 Rivers Data'!$AK$4:$AM$9,3,FALSE)=0,"Spatial Data Missing ⚠",VLOOKUP(J137,'G-7 Rivers Data'!$AK$4:$AM$9,3,FALSE)))</f>
        <v/>
      </c>
      <c r="M137" s="71"/>
      <c r="N137" s="499" t="str">
        <f>IF(M137="","",IF(VLOOKUP(M137,'G-7 Rivers Data'!$AA$4:$AB$7,2,FALSE)=0,"Spatial Data Missing ⚠",VLOOKUP(M137,'G-7 Rivers Data'!$AA$4:$AB$7,2,FALSE)))</f>
        <v/>
      </c>
      <c r="O137" s="155"/>
      <c r="P137" s="499" t="str">
        <f>IF(O137="","",IF(VLOOKUP(O137,'G-7 Rivers Data'!$AD$4:$AE$8,2,FALSE)=0,"Spatial Data Missing ⚠",VLOOKUP(O137,'G-7 Rivers Data'!$AD$4:$AE$8,2,FALSE)))</f>
        <v/>
      </c>
      <c r="Q137" s="506" t="str">
        <f>IF(D137="","",VLOOKUP(D137,'G-7 Rivers Data'!$B$2:$G$8,6,FALSE))</f>
        <v/>
      </c>
      <c r="R137" s="513" t="str">
        <f t="shared" si="8"/>
        <v/>
      </c>
      <c r="S137" s="40"/>
      <c r="T137" s="145"/>
      <c r="U137" s="157"/>
      <c r="V137" s="511" t="str">
        <f t="shared" si="9"/>
        <v/>
      </c>
      <c r="W137" s="511" t="str">
        <f t="shared" si="10"/>
        <v/>
      </c>
      <c r="X137" s="511" t="str">
        <f t="shared" si="11"/>
        <v/>
      </c>
      <c r="Y137" s="515" t="str">
        <f t="shared" si="12"/>
        <v/>
      </c>
      <c r="Z137" s="151"/>
      <c r="AA137" s="152"/>
      <c r="AG137" s="31">
        <f t="shared" si="13"/>
        <v>0</v>
      </c>
      <c r="AH137" s="156" t="str">
        <f t="shared" si="14"/>
        <v/>
      </c>
      <c r="AI137" s="156" t="str">
        <f t="shared" si="15"/>
        <v/>
      </c>
      <c r="AK137" s="156">
        <v>128</v>
      </c>
      <c r="AM137" s="156" t="str">
        <f t="array" ref="AM137">IFERROR(INDEX($AK$10:$AK$258, MATCH(0, IF(TRUE=$AH$10:$AH$258, COUNTIF($AM$9:$AM136, $AK$10:$AK$258), ""), 0)),"")</f>
        <v/>
      </c>
      <c r="AN137" s="156" t="str">
        <f t="array" ref="AN137">IFERROR(INDEX($AK$10:$AK$258, MATCH(0, IF(TRUE=$AI$10:$AI$258, COUNTIF($AN$9:$AN136, $AK$10:$AK$258), ""), 0)),"")</f>
        <v/>
      </c>
      <c r="AP137" s="31" t="str">
        <f>IFERROR(INDEX('G-7 Rivers Data'!$AZ$3:$AZ$7,MATCH(D137,'G-7 Rivers Data'!$AY$3:$AY$7,0)),"")</f>
        <v/>
      </c>
    </row>
    <row r="138" spans="3:42" ht="14" x14ac:dyDescent="0.3">
      <c r="C138" s="141">
        <v>129</v>
      </c>
      <c r="D138" s="460"/>
      <c r="E138" s="172"/>
      <c r="F138" s="498" t="str">
        <f>IF(D138="","",VLOOKUP(D138,'G-7 Rivers Data'!$B$2:$G$8,2,FALSE))</f>
        <v/>
      </c>
      <c r="G138" s="499" t="str">
        <f>IFERROR(VLOOKUP(F138,'G-7 Rivers Data'!$C$4:$D$8,2,FALSE),"")</f>
        <v/>
      </c>
      <c r="H138" s="145"/>
      <c r="I138" s="499" t="str">
        <f>IFERROR(INDEX('G-7 Rivers Data'!$H$4:$L$8,MATCH(D138,'G-7 Rivers Data'!$B$4:$B$8,0),MATCH(H138,'G-7 Rivers Data'!$H$3:$L$3,0)),"")</f>
        <v/>
      </c>
      <c r="J138" s="418"/>
      <c r="K138" s="498" t="str">
        <f>IF(J138="","",IF(VLOOKUP(J138,'G-7 Rivers Data'!$AK$4:$AM$9,2,FALSE)=0,"Spatial Data Missing ⚠",VLOOKUP(J138,'G-7 Rivers Data'!$AK$4:$AM$9,2,FALSE)))</f>
        <v/>
      </c>
      <c r="L138" s="505" t="str">
        <f>IF(J138="","",IF(VLOOKUP(J138,'G-7 Rivers Data'!$AK$4:$AM$9,3,FALSE)=0,"Spatial Data Missing ⚠",VLOOKUP(J138,'G-7 Rivers Data'!$AK$4:$AM$9,3,FALSE)))</f>
        <v/>
      </c>
      <c r="M138" s="71"/>
      <c r="N138" s="499" t="str">
        <f>IF(M138="","",IF(VLOOKUP(M138,'G-7 Rivers Data'!$AA$4:$AB$7,2,FALSE)=0,"Spatial Data Missing ⚠",VLOOKUP(M138,'G-7 Rivers Data'!$AA$4:$AB$7,2,FALSE)))</f>
        <v/>
      </c>
      <c r="O138" s="155"/>
      <c r="P138" s="499" t="str">
        <f>IF(O138="","",IF(VLOOKUP(O138,'G-7 Rivers Data'!$AD$4:$AE$8,2,FALSE)=0,"Spatial Data Missing ⚠",VLOOKUP(O138,'G-7 Rivers Data'!$AD$4:$AE$8,2,FALSE)))</f>
        <v/>
      </c>
      <c r="Q138" s="506" t="str">
        <f>IF(D138="","",VLOOKUP(D138,'G-7 Rivers Data'!$B$2:$G$8,6,FALSE))</f>
        <v/>
      </c>
      <c r="R138" s="513" t="str">
        <f t="shared" si="8"/>
        <v/>
      </c>
      <c r="S138" s="40"/>
      <c r="T138" s="145"/>
      <c r="U138" s="157"/>
      <c r="V138" s="511" t="str">
        <f t="shared" si="9"/>
        <v/>
      </c>
      <c r="W138" s="511" t="str">
        <f t="shared" si="10"/>
        <v/>
      </c>
      <c r="X138" s="511" t="str">
        <f t="shared" si="11"/>
        <v/>
      </c>
      <c r="Y138" s="515" t="str">
        <f t="shared" si="12"/>
        <v/>
      </c>
      <c r="Z138" s="151"/>
      <c r="AA138" s="152"/>
      <c r="AG138" s="31">
        <f t="shared" si="13"/>
        <v>0</v>
      </c>
      <c r="AH138" s="156" t="str">
        <f t="shared" si="14"/>
        <v/>
      </c>
      <c r="AI138" s="156" t="str">
        <f t="shared" si="15"/>
        <v/>
      </c>
      <c r="AK138" s="156">
        <v>129</v>
      </c>
      <c r="AM138" s="156" t="str">
        <f t="array" ref="AM138">IFERROR(INDEX($AK$10:$AK$258, MATCH(0, IF(TRUE=$AH$10:$AH$258, COUNTIF($AM$9:$AM137, $AK$10:$AK$258), ""), 0)),"")</f>
        <v/>
      </c>
      <c r="AN138" s="156" t="str">
        <f t="array" ref="AN138">IFERROR(INDEX($AK$10:$AK$258, MATCH(0, IF(TRUE=$AI$10:$AI$258, COUNTIF($AN$9:$AN137, $AK$10:$AK$258), ""), 0)),"")</f>
        <v/>
      </c>
      <c r="AP138" s="31" t="str">
        <f>IFERROR(INDEX('G-7 Rivers Data'!$AZ$3:$AZ$7,MATCH(D138,'G-7 Rivers Data'!$AY$3:$AY$7,0)),"")</f>
        <v/>
      </c>
    </row>
    <row r="139" spans="3:42" ht="14" x14ac:dyDescent="0.3">
      <c r="C139" s="141">
        <v>130</v>
      </c>
      <c r="D139" s="460"/>
      <c r="E139" s="172"/>
      <c r="F139" s="498" t="str">
        <f>IF(D139="","",VLOOKUP(D139,'G-7 Rivers Data'!$B$2:$G$8,2,FALSE))</f>
        <v/>
      </c>
      <c r="G139" s="499" t="str">
        <f>IFERROR(VLOOKUP(F139,'G-7 Rivers Data'!$C$4:$D$8,2,FALSE),"")</f>
        <v/>
      </c>
      <c r="H139" s="145"/>
      <c r="I139" s="499" t="str">
        <f>IFERROR(INDEX('G-7 Rivers Data'!$H$4:$L$8,MATCH(D139,'G-7 Rivers Data'!$B$4:$B$8,0),MATCH(H139,'G-7 Rivers Data'!$H$3:$L$3,0)),"")</f>
        <v/>
      </c>
      <c r="J139" s="418"/>
      <c r="K139" s="498" t="str">
        <f>IF(J139="","",IF(VLOOKUP(J139,'G-7 Rivers Data'!$AK$4:$AM$9,2,FALSE)=0,"Spatial Data Missing ⚠",VLOOKUP(J139,'G-7 Rivers Data'!$AK$4:$AM$9,2,FALSE)))</f>
        <v/>
      </c>
      <c r="L139" s="505" t="str">
        <f>IF(J139="","",IF(VLOOKUP(J139,'G-7 Rivers Data'!$AK$4:$AM$9,3,FALSE)=0,"Spatial Data Missing ⚠",VLOOKUP(J139,'G-7 Rivers Data'!$AK$4:$AM$9,3,FALSE)))</f>
        <v/>
      </c>
      <c r="M139" s="71"/>
      <c r="N139" s="499" t="str">
        <f>IF(M139="","",IF(VLOOKUP(M139,'G-7 Rivers Data'!$AA$4:$AB$7,2,FALSE)=0,"Spatial Data Missing ⚠",VLOOKUP(M139,'G-7 Rivers Data'!$AA$4:$AB$7,2,FALSE)))</f>
        <v/>
      </c>
      <c r="O139" s="155"/>
      <c r="P139" s="499" t="str">
        <f>IF(O139="","",IF(VLOOKUP(O139,'G-7 Rivers Data'!$AD$4:$AE$8,2,FALSE)=0,"Spatial Data Missing ⚠",VLOOKUP(O139,'G-7 Rivers Data'!$AD$4:$AE$8,2,FALSE)))</f>
        <v/>
      </c>
      <c r="Q139" s="506" t="str">
        <f>IF(D139="","",VLOOKUP(D139,'G-7 Rivers Data'!$B$2:$G$8,6,FALSE))</f>
        <v/>
      </c>
      <c r="R139" s="513" t="str">
        <f t="shared" ref="R139:R202" si="16">IFERROR(IF(D139="","",E139*G139*I139*L139*N139*P139),"")</f>
        <v/>
      </c>
      <c r="S139" s="40"/>
      <c r="T139" s="145"/>
      <c r="U139" s="157"/>
      <c r="V139" s="511" t="str">
        <f t="shared" ref="V139:V202" si="17">IFERROR(IF(T139&gt;E139,"Check Lengths",T139*G139*I139*L139*N139*P139),"")</f>
        <v/>
      </c>
      <c r="W139" s="511" t="str">
        <f t="shared" ref="W139:W202" si="18">IFERROR(IF(D139="","",U139*G139*I139*L139*N139*P139),"")</f>
        <v/>
      </c>
      <c r="X139" s="511" t="str">
        <f t="shared" ref="X139:X202" si="19">IFERROR(IF(D139="","",IF(E139&gt;(T139+U139),E139-T139-U139,0)),"")</f>
        <v/>
      </c>
      <c r="Y139" s="515" t="str">
        <f t="shared" ref="Y139:Y202" si="20">IFERROR(IF(E139="","",IF((V139+W139)&gt;R139,0,R139-V139-W139)),"Check Data ⚠")</f>
        <v/>
      </c>
      <c r="Z139" s="151"/>
      <c r="AA139" s="152"/>
      <c r="AG139" s="31">
        <f t="shared" ref="AG139:AG202" si="21">IFERROR(IF(T139+U139&gt;E139,1,0),"")</f>
        <v>0</v>
      </c>
      <c r="AH139" s="156" t="str">
        <f t="shared" ref="AH139:AH202" si="22">IF(D139="","",IF(T139&gt;0,TRUE,FALSE))</f>
        <v/>
      </c>
      <c r="AI139" s="156" t="str">
        <f t="shared" ref="AI139:AI202" si="23">IF(D139="","",IF(U139&gt;0,TRUE,FALSE))</f>
        <v/>
      </c>
      <c r="AK139" s="156">
        <v>130</v>
      </c>
      <c r="AM139" s="156" t="str">
        <f t="array" ref="AM139">IFERROR(INDEX($AK$10:$AK$258, MATCH(0, IF(TRUE=$AH$10:$AH$258, COUNTIF($AM$9:$AM138, $AK$10:$AK$258), ""), 0)),"")</f>
        <v/>
      </c>
      <c r="AN139" s="156" t="str">
        <f t="array" ref="AN139">IFERROR(INDEX($AK$10:$AK$258, MATCH(0, IF(TRUE=$AI$10:$AI$258, COUNTIF($AN$9:$AN138, $AK$10:$AK$258), ""), 0)),"")</f>
        <v/>
      </c>
      <c r="AP139" s="31" t="str">
        <f>IFERROR(INDEX('G-7 Rivers Data'!$AZ$3:$AZ$7,MATCH(D139,'G-7 Rivers Data'!$AY$3:$AY$7,0)),"")</f>
        <v/>
      </c>
    </row>
    <row r="140" spans="3:42" ht="14" x14ac:dyDescent="0.3">
      <c r="C140" s="141">
        <v>131</v>
      </c>
      <c r="D140" s="460"/>
      <c r="E140" s="172"/>
      <c r="F140" s="498" t="str">
        <f>IF(D140="","",VLOOKUP(D140,'G-7 Rivers Data'!$B$2:$G$8,2,FALSE))</f>
        <v/>
      </c>
      <c r="G140" s="499" t="str">
        <f>IFERROR(VLOOKUP(F140,'G-7 Rivers Data'!$C$4:$D$8,2,FALSE),"")</f>
        <v/>
      </c>
      <c r="H140" s="145"/>
      <c r="I140" s="499" t="str">
        <f>IFERROR(INDEX('G-7 Rivers Data'!$H$4:$L$8,MATCH(D140,'G-7 Rivers Data'!$B$4:$B$8,0),MATCH(H140,'G-7 Rivers Data'!$H$3:$L$3,0)),"")</f>
        <v/>
      </c>
      <c r="J140" s="418"/>
      <c r="K140" s="498" t="str">
        <f>IF(J140="","",IF(VLOOKUP(J140,'G-7 Rivers Data'!$AK$4:$AM$9,2,FALSE)=0,"Spatial Data Missing ⚠",VLOOKUP(J140,'G-7 Rivers Data'!$AK$4:$AM$9,2,FALSE)))</f>
        <v/>
      </c>
      <c r="L140" s="505" t="str">
        <f>IF(J140="","",IF(VLOOKUP(J140,'G-7 Rivers Data'!$AK$4:$AM$9,3,FALSE)=0,"Spatial Data Missing ⚠",VLOOKUP(J140,'G-7 Rivers Data'!$AK$4:$AM$9,3,FALSE)))</f>
        <v/>
      </c>
      <c r="M140" s="71"/>
      <c r="N140" s="499" t="str">
        <f>IF(M140="","",IF(VLOOKUP(M140,'G-7 Rivers Data'!$AA$4:$AB$7,2,FALSE)=0,"Spatial Data Missing ⚠",VLOOKUP(M140,'G-7 Rivers Data'!$AA$4:$AB$7,2,FALSE)))</f>
        <v/>
      </c>
      <c r="O140" s="155"/>
      <c r="P140" s="499" t="str">
        <f>IF(O140="","",IF(VLOOKUP(O140,'G-7 Rivers Data'!$AD$4:$AE$8,2,FALSE)=0,"Spatial Data Missing ⚠",VLOOKUP(O140,'G-7 Rivers Data'!$AD$4:$AE$8,2,FALSE)))</f>
        <v/>
      </c>
      <c r="Q140" s="506" t="str">
        <f>IF(D140="","",VLOOKUP(D140,'G-7 Rivers Data'!$B$2:$G$8,6,FALSE))</f>
        <v/>
      </c>
      <c r="R140" s="513" t="str">
        <f t="shared" si="16"/>
        <v/>
      </c>
      <c r="S140" s="40"/>
      <c r="T140" s="145"/>
      <c r="U140" s="157"/>
      <c r="V140" s="511" t="str">
        <f t="shared" si="17"/>
        <v/>
      </c>
      <c r="W140" s="511" t="str">
        <f t="shared" si="18"/>
        <v/>
      </c>
      <c r="X140" s="511" t="str">
        <f t="shared" si="19"/>
        <v/>
      </c>
      <c r="Y140" s="515" t="str">
        <f t="shared" si="20"/>
        <v/>
      </c>
      <c r="Z140" s="151"/>
      <c r="AA140" s="152"/>
      <c r="AG140" s="31">
        <f t="shared" si="21"/>
        <v>0</v>
      </c>
      <c r="AH140" s="156" t="str">
        <f t="shared" si="22"/>
        <v/>
      </c>
      <c r="AI140" s="156" t="str">
        <f t="shared" si="23"/>
        <v/>
      </c>
      <c r="AK140" s="156">
        <v>131</v>
      </c>
      <c r="AM140" s="156" t="str">
        <f t="array" ref="AM140">IFERROR(INDEX($AK$10:$AK$258, MATCH(0, IF(TRUE=$AH$10:$AH$258, COUNTIF($AM$9:$AM139, $AK$10:$AK$258), ""), 0)),"")</f>
        <v/>
      </c>
      <c r="AN140" s="156" t="str">
        <f t="array" ref="AN140">IFERROR(INDEX($AK$10:$AK$258, MATCH(0, IF(TRUE=$AI$10:$AI$258, COUNTIF($AN$9:$AN139, $AK$10:$AK$258), ""), 0)),"")</f>
        <v/>
      </c>
      <c r="AP140" s="31" t="str">
        <f>IFERROR(INDEX('G-7 Rivers Data'!$AZ$3:$AZ$7,MATCH(D140,'G-7 Rivers Data'!$AY$3:$AY$7,0)),"")</f>
        <v/>
      </c>
    </row>
    <row r="141" spans="3:42" ht="14" x14ac:dyDescent="0.3">
      <c r="C141" s="141">
        <v>132</v>
      </c>
      <c r="D141" s="460"/>
      <c r="E141" s="172"/>
      <c r="F141" s="498" t="str">
        <f>IF(D141="","",VLOOKUP(D141,'G-7 Rivers Data'!$B$2:$G$8,2,FALSE))</f>
        <v/>
      </c>
      <c r="G141" s="499" t="str">
        <f>IFERROR(VLOOKUP(F141,'G-7 Rivers Data'!$C$4:$D$8,2,FALSE),"")</f>
        <v/>
      </c>
      <c r="H141" s="145"/>
      <c r="I141" s="499" t="str">
        <f>IFERROR(INDEX('G-7 Rivers Data'!$H$4:$L$8,MATCH(D141,'G-7 Rivers Data'!$B$4:$B$8,0),MATCH(H141,'G-7 Rivers Data'!$H$3:$L$3,0)),"")</f>
        <v/>
      </c>
      <c r="J141" s="418"/>
      <c r="K141" s="498" t="str">
        <f>IF(J141="","",IF(VLOOKUP(J141,'G-7 Rivers Data'!$AK$4:$AM$9,2,FALSE)=0,"Spatial Data Missing ⚠",VLOOKUP(J141,'G-7 Rivers Data'!$AK$4:$AM$9,2,FALSE)))</f>
        <v/>
      </c>
      <c r="L141" s="505" t="str">
        <f>IF(J141="","",IF(VLOOKUP(J141,'G-7 Rivers Data'!$AK$4:$AM$9,3,FALSE)=0,"Spatial Data Missing ⚠",VLOOKUP(J141,'G-7 Rivers Data'!$AK$4:$AM$9,3,FALSE)))</f>
        <v/>
      </c>
      <c r="M141" s="71"/>
      <c r="N141" s="499" t="str">
        <f>IF(M141="","",IF(VLOOKUP(M141,'G-7 Rivers Data'!$AA$4:$AB$7,2,FALSE)=0,"Spatial Data Missing ⚠",VLOOKUP(M141,'G-7 Rivers Data'!$AA$4:$AB$7,2,FALSE)))</f>
        <v/>
      </c>
      <c r="O141" s="155"/>
      <c r="P141" s="499" t="str">
        <f>IF(O141="","",IF(VLOOKUP(O141,'G-7 Rivers Data'!$AD$4:$AE$8,2,FALSE)=0,"Spatial Data Missing ⚠",VLOOKUP(O141,'G-7 Rivers Data'!$AD$4:$AE$8,2,FALSE)))</f>
        <v/>
      </c>
      <c r="Q141" s="506" t="str">
        <f>IF(D141="","",VLOOKUP(D141,'G-7 Rivers Data'!$B$2:$G$8,6,FALSE))</f>
        <v/>
      </c>
      <c r="R141" s="513" t="str">
        <f t="shared" si="16"/>
        <v/>
      </c>
      <c r="S141" s="40"/>
      <c r="T141" s="145"/>
      <c r="U141" s="157"/>
      <c r="V141" s="511" t="str">
        <f t="shared" si="17"/>
        <v/>
      </c>
      <c r="W141" s="511" t="str">
        <f t="shared" si="18"/>
        <v/>
      </c>
      <c r="X141" s="511" t="str">
        <f t="shared" si="19"/>
        <v/>
      </c>
      <c r="Y141" s="515" t="str">
        <f t="shared" si="20"/>
        <v/>
      </c>
      <c r="Z141" s="151"/>
      <c r="AA141" s="152"/>
      <c r="AG141" s="31">
        <f t="shared" si="21"/>
        <v>0</v>
      </c>
      <c r="AH141" s="156" t="str">
        <f t="shared" si="22"/>
        <v/>
      </c>
      <c r="AI141" s="156" t="str">
        <f t="shared" si="23"/>
        <v/>
      </c>
      <c r="AK141" s="156">
        <v>132</v>
      </c>
      <c r="AM141" s="156" t="str">
        <f t="array" ref="AM141">IFERROR(INDEX($AK$10:$AK$258, MATCH(0, IF(TRUE=$AH$10:$AH$258, COUNTIF($AM$9:$AM140, $AK$10:$AK$258), ""), 0)),"")</f>
        <v/>
      </c>
      <c r="AN141" s="156" t="str">
        <f t="array" ref="AN141">IFERROR(INDEX($AK$10:$AK$258, MATCH(0, IF(TRUE=$AI$10:$AI$258, COUNTIF($AN$9:$AN140, $AK$10:$AK$258), ""), 0)),"")</f>
        <v/>
      </c>
      <c r="AP141" s="31" t="str">
        <f>IFERROR(INDEX('G-7 Rivers Data'!$AZ$3:$AZ$7,MATCH(D141,'G-7 Rivers Data'!$AY$3:$AY$7,0)),"")</f>
        <v/>
      </c>
    </row>
    <row r="142" spans="3:42" ht="14" x14ac:dyDescent="0.3">
      <c r="C142" s="141">
        <v>133</v>
      </c>
      <c r="D142" s="460"/>
      <c r="E142" s="172"/>
      <c r="F142" s="498" t="str">
        <f>IF(D142="","",VLOOKUP(D142,'G-7 Rivers Data'!$B$2:$G$8,2,FALSE))</f>
        <v/>
      </c>
      <c r="G142" s="499" t="str">
        <f>IFERROR(VLOOKUP(F142,'G-7 Rivers Data'!$C$4:$D$8,2,FALSE),"")</f>
        <v/>
      </c>
      <c r="H142" s="145"/>
      <c r="I142" s="499" t="str">
        <f>IFERROR(INDEX('G-7 Rivers Data'!$H$4:$L$8,MATCH(D142,'G-7 Rivers Data'!$B$4:$B$8,0),MATCH(H142,'G-7 Rivers Data'!$H$3:$L$3,0)),"")</f>
        <v/>
      </c>
      <c r="J142" s="418"/>
      <c r="K142" s="498" t="str">
        <f>IF(J142="","",IF(VLOOKUP(J142,'G-7 Rivers Data'!$AK$4:$AM$9,2,FALSE)=0,"Spatial Data Missing ⚠",VLOOKUP(J142,'G-7 Rivers Data'!$AK$4:$AM$9,2,FALSE)))</f>
        <v/>
      </c>
      <c r="L142" s="505" t="str">
        <f>IF(J142="","",IF(VLOOKUP(J142,'G-7 Rivers Data'!$AK$4:$AM$9,3,FALSE)=0,"Spatial Data Missing ⚠",VLOOKUP(J142,'G-7 Rivers Data'!$AK$4:$AM$9,3,FALSE)))</f>
        <v/>
      </c>
      <c r="M142" s="71"/>
      <c r="N142" s="499" t="str">
        <f>IF(M142="","",IF(VLOOKUP(M142,'G-7 Rivers Data'!$AA$4:$AB$7,2,FALSE)=0,"Spatial Data Missing ⚠",VLOOKUP(M142,'G-7 Rivers Data'!$AA$4:$AB$7,2,FALSE)))</f>
        <v/>
      </c>
      <c r="O142" s="155"/>
      <c r="P142" s="499" t="str">
        <f>IF(O142="","",IF(VLOOKUP(O142,'G-7 Rivers Data'!$AD$4:$AE$8,2,FALSE)=0,"Spatial Data Missing ⚠",VLOOKUP(O142,'G-7 Rivers Data'!$AD$4:$AE$8,2,FALSE)))</f>
        <v/>
      </c>
      <c r="Q142" s="506" t="str">
        <f>IF(D142="","",VLOOKUP(D142,'G-7 Rivers Data'!$B$2:$G$8,6,FALSE))</f>
        <v/>
      </c>
      <c r="R142" s="513" t="str">
        <f t="shared" si="16"/>
        <v/>
      </c>
      <c r="S142" s="40"/>
      <c r="T142" s="145"/>
      <c r="U142" s="157"/>
      <c r="V142" s="511" t="str">
        <f t="shared" si="17"/>
        <v/>
      </c>
      <c r="W142" s="511" t="str">
        <f t="shared" si="18"/>
        <v/>
      </c>
      <c r="X142" s="511" t="str">
        <f t="shared" si="19"/>
        <v/>
      </c>
      <c r="Y142" s="515" t="str">
        <f t="shared" si="20"/>
        <v/>
      </c>
      <c r="Z142" s="151"/>
      <c r="AA142" s="152"/>
      <c r="AG142" s="31">
        <f t="shared" si="21"/>
        <v>0</v>
      </c>
      <c r="AH142" s="156" t="str">
        <f t="shared" si="22"/>
        <v/>
      </c>
      <c r="AI142" s="156" t="str">
        <f t="shared" si="23"/>
        <v/>
      </c>
      <c r="AK142" s="156">
        <v>133</v>
      </c>
      <c r="AM142" s="156" t="str">
        <f t="array" ref="AM142">IFERROR(INDEX($AK$10:$AK$258, MATCH(0, IF(TRUE=$AH$10:$AH$258, COUNTIF($AM$9:$AM141, $AK$10:$AK$258), ""), 0)),"")</f>
        <v/>
      </c>
      <c r="AN142" s="156" t="str">
        <f t="array" ref="AN142">IFERROR(INDEX($AK$10:$AK$258, MATCH(0, IF(TRUE=$AI$10:$AI$258, COUNTIF($AN$9:$AN141, $AK$10:$AK$258), ""), 0)),"")</f>
        <v/>
      </c>
      <c r="AP142" s="31" t="str">
        <f>IFERROR(INDEX('G-7 Rivers Data'!$AZ$3:$AZ$7,MATCH(D142,'G-7 Rivers Data'!$AY$3:$AY$7,0)),"")</f>
        <v/>
      </c>
    </row>
    <row r="143" spans="3:42" ht="14" x14ac:dyDescent="0.3">
      <c r="C143" s="141">
        <v>134</v>
      </c>
      <c r="D143" s="460"/>
      <c r="E143" s="172"/>
      <c r="F143" s="498" t="str">
        <f>IF(D143="","",VLOOKUP(D143,'G-7 Rivers Data'!$B$2:$G$8,2,FALSE))</f>
        <v/>
      </c>
      <c r="G143" s="499" t="str">
        <f>IFERROR(VLOOKUP(F143,'G-7 Rivers Data'!$C$4:$D$8,2,FALSE),"")</f>
        <v/>
      </c>
      <c r="H143" s="145"/>
      <c r="I143" s="499" t="str">
        <f>IFERROR(INDEX('G-7 Rivers Data'!$H$4:$L$8,MATCH(D143,'G-7 Rivers Data'!$B$4:$B$8,0),MATCH(H143,'G-7 Rivers Data'!$H$3:$L$3,0)),"")</f>
        <v/>
      </c>
      <c r="J143" s="418"/>
      <c r="K143" s="498" t="str">
        <f>IF(J143="","",IF(VLOOKUP(J143,'G-7 Rivers Data'!$AK$4:$AM$9,2,FALSE)=0,"Spatial Data Missing ⚠",VLOOKUP(J143,'G-7 Rivers Data'!$AK$4:$AM$9,2,FALSE)))</f>
        <v/>
      </c>
      <c r="L143" s="505" t="str">
        <f>IF(J143="","",IF(VLOOKUP(J143,'G-7 Rivers Data'!$AK$4:$AM$9,3,FALSE)=0,"Spatial Data Missing ⚠",VLOOKUP(J143,'G-7 Rivers Data'!$AK$4:$AM$9,3,FALSE)))</f>
        <v/>
      </c>
      <c r="M143" s="71"/>
      <c r="N143" s="499" t="str">
        <f>IF(M143="","",IF(VLOOKUP(M143,'G-7 Rivers Data'!$AA$4:$AB$7,2,FALSE)=0,"Spatial Data Missing ⚠",VLOOKUP(M143,'G-7 Rivers Data'!$AA$4:$AB$7,2,FALSE)))</f>
        <v/>
      </c>
      <c r="O143" s="155"/>
      <c r="P143" s="499" t="str">
        <f>IF(O143="","",IF(VLOOKUP(O143,'G-7 Rivers Data'!$AD$4:$AE$8,2,FALSE)=0,"Spatial Data Missing ⚠",VLOOKUP(O143,'G-7 Rivers Data'!$AD$4:$AE$8,2,FALSE)))</f>
        <v/>
      </c>
      <c r="Q143" s="506" t="str">
        <f>IF(D143="","",VLOOKUP(D143,'G-7 Rivers Data'!$B$2:$G$8,6,FALSE))</f>
        <v/>
      </c>
      <c r="R143" s="513" t="str">
        <f t="shared" si="16"/>
        <v/>
      </c>
      <c r="S143" s="40"/>
      <c r="T143" s="145"/>
      <c r="U143" s="157"/>
      <c r="V143" s="511" t="str">
        <f t="shared" si="17"/>
        <v/>
      </c>
      <c r="W143" s="511" t="str">
        <f t="shared" si="18"/>
        <v/>
      </c>
      <c r="X143" s="511" t="str">
        <f t="shared" si="19"/>
        <v/>
      </c>
      <c r="Y143" s="515" t="str">
        <f t="shared" si="20"/>
        <v/>
      </c>
      <c r="Z143" s="151"/>
      <c r="AA143" s="152"/>
      <c r="AG143" s="31">
        <f t="shared" si="21"/>
        <v>0</v>
      </c>
      <c r="AH143" s="156" t="str">
        <f t="shared" si="22"/>
        <v/>
      </c>
      <c r="AI143" s="156" t="str">
        <f t="shared" si="23"/>
        <v/>
      </c>
      <c r="AK143" s="156">
        <v>134</v>
      </c>
      <c r="AM143" s="156" t="str">
        <f t="array" ref="AM143">IFERROR(INDEX($AK$10:$AK$258, MATCH(0, IF(TRUE=$AH$10:$AH$258, COUNTIF($AM$9:$AM142, $AK$10:$AK$258), ""), 0)),"")</f>
        <v/>
      </c>
      <c r="AN143" s="156" t="str">
        <f t="array" ref="AN143">IFERROR(INDEX($AK$10:$AK$258, MATCH(0, IF(TRUE=$AI$10:$AI$258, COUNTIF($AN$9:$AN142, $AK$10:$AK$258), ""), 0)),"")</f>
        <v/>
      </c>
      <c r="AP143" s="31" t="str">
        <f>IFERROR(INDEX('G-7 Rivers Data'!$AZ$3:$AZ$7,MATCH(D143,'G-7 Rivers Data'!$AY$3:$AY$7,0)),"")</f>
        <v/>
      </c>
    </row>
    <row r="144" spans="3:42" ht="14" x14ac:dyDescent="0.3">
      <c r="C144" s="141">
        <v>135</v>
      </c>
      <c r="D144" s="460"/>
      <c r="E144" s="172"/>
      <c r="F144" s="498" t="str">
        <f>IF(D144="","",VLOOKUP(D144,'G-7 Rivers Data'!$B$2:$G$8,2,FALSE))</f>
        <v/>
      </c>
      <c r="G144" s="499" t="str">
        <f>IFERROR(VLOOKUP(F144,'G-7 Rivers Data'!$C$4:$D$8,2,FALSE),"")</f>
        <v/>
      </c>
      <c r="H144" s="145"/>
      <c r="I144" s="499" t="str">
        <f>IFERROR(INDEX('G-7 Rivers Data'!$H$4:$L$8,MATCH(D144,'G-7 Rivers Data'!$B$4:$B$8,0),MATCH(H144,'G-7 Rivers Data'!$H$3:$L$3,0)),"")</f>
        <v/>
      </c>
      <c r="J144" s="418"/>
      <c r="K144" s="498" t="str">
        <f>IF(J144="","",IF(VLOOKUP(J144,'G-7 Rivers Data'!$AK$4:$AM$9,2,FALSE)=0,"Spatial Data Missing ⚠",VLOOKUP(J144,'G-7 Rivers Data'!$AK$4:$AM$9,2,FALSE)))</f>
        <v/>
      </c>
      <c r="L144" s="505" t="str">
        <f>IF(J144="","",IF(VLOOKUP(J144,'G-7 Rivers Data'!$AK$4:$AM$9,3,FALSE)=0,"Spatial Data Missing ⚠",VLOOKUP(J144,'G-7 Rivers Data'!$AK$4:$AM$9,3,FALSE)))</f>
        <v/>
      </c>
      <c r="M144" s="71"/>
      <c r="N144" s="499" t="str">
        <f>IF(M144="","",IF(VLOOKUP(M144,'G-7 Rivers Data'!$AA$4:$AB$7,2,FALSE)=0,"Spatial Data Missing ⚠",VLOOKUP(M144,'G-7 Rivers Data'!$AA$4:$AB$7,2,FALSE)))</f>
        <v/>
      </c>
      <c r="O144" s="155"/>
      <c r="P144" s="499" t="str">
        <f>IF(O144="","",IF(VLOOKUP(O144,'G-7 Rivers Data'!$AD$4:$AE$8,2,FALSE)=0,"Spatial Data Missing ⚠",VLOOKUP(O144,'G-7 Rivers Data'!$AD$4:$AE$8,2,FALSE)))</f>
        <v/>
      </c>
      <c r="Q144" s="506" t="str">
        <f>IF(D144="","",VLOOKUP(D144,'G-7 Rivers Data'!$B$2:$G$8,6,FALSE))</f>
        <v/>
      </c>
      <c r="R144" s="513" t="str">
        <f t="shared" si="16"/>
        <v/>
      </c>
      <c r="S144" s="40"/>
      <c r="T144" s="145"/>
      <c r="U144" s="157"/>
      <c r="V144" s="511" t="str">
        <f t="shared" si="17"/>
        <v/>
      </c>
      <c r="W144" s="511" t="str">
        <f t="shared" si="18"/>
        <v/>
      </c>
      <c r="X144" s="511" t="str">
        <f t="shared" si="19"/>
        <v/>
      </c>
      <c r="Y144" s="515" t="str">
        <f t="shared" si="20"/>
        <v/>
      </c>
      <c r="Z144" s="151"/>
      <c r="AA144" s="152"/>
      <c r="AG144" s="31">
        <f t="shared" si="21"/>
        <v>0</v>
      </c>
      <c r="AH144" s="156" t="str">
        <f t="shared" si="22"/>
        <v/>
      </c>
      <c r="AI144" s="156" t="str">
        <f t="shared" si="23"/>
        <v/>
      </c>
      <c r="AK144" s="156">
        <v>135</v>
      </c>
      <c r="AM144" s="156" t="str">
        <f t="array" ref="AM144">IFERROR(INDEX($AK$10:$AK$258, MATCH(0, IF(TRUE=$AH$10:$AH$258, COUNTIF($AM$9:$AM143, $AK$10:$AK$258), ""), 0)),"")</f>
        <v/>
      </c>
      <c r="AN144" s="156" t="str">
        <f t="array" ref="AN144">IFERROR(INDEX($AK$10:$AK$258, MATCH(0, IF(TRUE=$AI$10:$AI$258, COUNTIF($AN$9:$AN143, $AK$10:$AK$258), ""), 0)),"")</f>
        <v/>
      </c>
      <c r="AP144" s="31" t="str">
        <f>IFERROR(INDEX('G-7 Rivers Data'!$AZ$3:$AZ$7,MATCH(D144,'G-7 Rivers Data'!$AY$3:$AY$7,0)),"")</f>
        <v/>
      </c>
    </row>
    <row r="145" spans="3:42" ht="14" x14ac:dyDescent="0.3">
      <c r="C145" s="141">
        <v>136</v>
      </c>
      <c r="D145" s="460"/>
      <c r="E145" s="172"/>
      <c r="F145" s="498" t="str">
        <f>IF(D145="","",VLOOKUP(D145,'G-7 Rivers Data'!$B$2:$G$8,2,FALSE))</f>
        <v/>
      </c>
      <c r="G145" s="499" t="str">
        <f>IFERROR(VLOOKUP(F145,'G-7 Rivers Data'!$C$4:$D$8,2,FALSE),"")</f>
        <v/>
      </c>
      <c r="H145" s="145"/>
      <c r="I145" s="499" t="str">
        <f>IFERROR(INDEX('G-7 Rivers Data'!$H$4:$L$8,MATCH(D145,'G-7 Rivers Data'!$B$4:$B$8,0),MATCH(H145,'G-7 Rivers Data'!$H$3:$L$3,0)),"")</f>
        <v/>
      </c>
      <c r="J145" s="418"/>
      <c r="K145" s="498" t="str">
        <f>IF(J145="","",IF(VLOOKUP(J145,'G-7 Rivers Data'!$AK$4:$AM$9,2,FALSE)=0,"Spatial Data Missing ⚠",VLOOKUP(J145,'G-7 Rivers Data'!$AK$4:$AM$9,2,FALSE)))</f>
        <v/>
      </c>
      <c r="L145" s="505" t="str">
        <f>IF(J145="","",IF(VLOOKUP(J145,'G-7 Rivers Data'!$AK$4:$AM$9,3,FALSE)=0,"Spatial Data Missing ⚠",VLOOKUP(J145,'G-7 Rivers Data'!$AK$4:$AM$9,3,FALSE)))</f>
        <v/>
      </c>
      <c r="M145" s="71"/>
      <c r="N145" s="499" t="str">
        <f>IF(M145="","",IF(VLOOKUP(M145,'G-7 Rivers Data'!$AA$4:$AB$7,2,FALSE)=0,"Spatial Data Missing ⚠",VLOOKUP(M145,'G-7 Rivers Data'!$AA$4:$AB$7,2,FALSE)))</f>
        <v/>
      </c>
      <c r="O145" s="155"/>
      <c r="P145" s="499" t="str">
        <f>IF(O145="","",IF(VLOOKUP(O145,'G-7 Rivers Data'!$AD$4:$AE$8,2,FALSE)=0,"Spatial Data Missing ⚠",VLOOKUP(O145,'G-7 Rivers Data'!$AD$4:$AE$8,2,FALSE)))</f>
        <v/>
      </c>
      <c r="Q145" s="506" t="str">
        <f>IF(D145="","",VLOOKUP(D145,'G-7 Rivers Data'!$B$2:$G$8,6,FALSE))</f>
        <v/>
      </c>
      <c r="R145" s="513" t="str">
        <f t="shared" si="16"/>
        <v/>
      </c>
      <c r="S145" s="40"/>
      <c r="T145" s="145"/>
      <c r="U145" s="157"/>
      <c r="V145" s="511" t="str">
        <f t="shared" si="17"/>
        <v/>
      </c>
      <c r="W145" s="511" t="str">
        <f t="shared" si="18"/>
        <v/>
      </c>
      <c r="X145" s="511" t="str">
        <f t="shared" si="19"/>
        <v/>
      </c>
      <c r="Y145" s="515" t="str">
        <f t="shared" si="20"/>
        <v/>
      </c>
      <c r="Z145" s="151"/>
      <c r="AA145" s="152"/>
      <c r="AG145" s="31">
        <f t="shared" si="21"/>
        <v>0</v>
      </c>
      <c r="AH145" s="156" t="str">
        <f t="shared" si="22"/>
        <v/>
      </c>
      <c r="AI145" s="156" t="str">
        <f t="shared" si="23"/>
        <v/>
      </c>
      <c r="AK145" s="156">
        <v>136</v>
      </c>
      <c r="AM145" s="156" t="str">
        <f t="array" ref="AM145">IFERROR(INDEX($AK$10:$AK$258, MATCH(0, IF(TRUE=$AH$10:$AH$258, COUNTIF($AM$9:$AM144, $AK$10:$AK$258), ""), 0)),"")</f>
        <v/>
      </c>
      <c r="AN145" s="156" t="str">
        <f t="array" ref="AN145">IFERROR(INDEX($AK$10:$AK$258, MATCH(0, IF(TRUE=$AI$10:$AI$258, COUNTIF($AN$9:$AN144, $AK$10:$AK$258), ""), 0)),"")</f>
        <v/>
      </c>
      <c r="AP145" s="31" t="str">
        <f>IFERROR(INDEX('G-7 Rivers Data'!$AZ$3:$AZ$7,MATCH(D145,'G-7 Rivers Data'!$AY$3:$AY$7,0)),"")</f>
        <v/>
      </c>
    </row>
    <row r="146" spans="3:42" ht="14" x14ac:dyDescent="0.3">
      <c r="C146" s="141">
        <v>137</v>
      </c>
      <c r="D146" s="460"/>
      <c r="E146" s="172"/>
      <c r="F146" s="498" t="str">
        <f>IF(D146="","",VLOOKUP(D146,'G-7 Rivers Data'!$B$2:$G$8,2,FALSE))</f>
        <v/>
      </c>
      <c r="G146" s="499" t="str">
        <f>IFERROR(VLOOKUP(F146,'G-7 Rivers Data'!$C$4:$D$8,2,FALSE),"")</f>
        <v/>
      </c>
      <c r="H146" s="145"/>
      <c r="I146" s="499" t="str">
        <f>IFERROR(INDEX('G-7 Rivers Data'!$H$4:$L$8,MATCH(D146,'G-7 Rivers Data'!$B$4:$B$8,0),MATCH(H146,'G-7 Rivers Data'!$H$3:$L$3,0)),"")</f>
        <v/>
      </c>
      <c r="J146" s="418"/>
      <c r="K146" s="498" t="str">
        <f>IF(J146="","",IF(VLOOKUP(J146,'G-7 Rivers Data'!$AK$4:$AM$9,2,FALSE)=0,"Spatial Data Missing ⚠",VLOOKUP(J146,'G-7 Rivers Data'!$AK$4:$AM$9,2,FALSE)))</f>
        <v/>
      </c>
      <c r="L146" s="505" t="str">
        <f>IF(J146="","",IF(VLOOKUP(J146,'G-7 Rivers Data'!$AK$4:$AM$9,3,FALSE)=0,"Spatial Data Missing ⚠",VLOOKUP(J146,'G-7 Rivers Data'!$AK$4:$AM$9,3,FALSE)))</f>
        <v/>
      </c>
      <c r="M146" s="71"/>
      <c r="N146" s="499" t="str">
        <f>IF(M146="","",IF(VLOOKUP(M146,'G-7 Rivers Data'!$AA$4:$AB$7,2,FALSE)=0,"Spatial Data Missing ⚠",VLOOKUP(M146,'G-7 Rivers Data'!$AA$4:$AB$7,2,FALSE)))</f>
        <v/>
      </c>
      <c r="O146" s="155"/>
      <c r="P146" s="499" t="str">
        <f>IF(O146="","",IF(VLOOKUP(O146,'G-7 Rivers Data'!$AD$4:$AE$8,2,FALSE)=0,"Spatial Data Missing ⚠",VLOOKUP(O146,'G-7 Rivers Data'!$AD$4:$AE$8,2,FALSE)))</f>
        <v/>
      </c>
      <c r="Q146" s="506" t="str">
        <f>IF(D146="","",VLOOKUP(D146,'G-7 Rivers Data'!$B$2:$G$8,6,FALSE))</f>
        <v/>
      </c>
      <c r="R146" s="513" t="str">
        <f t="shared" si="16"/>
        <v/>
      </c>
      <c r="S146" s="40"/>
      <c r="T146" s="145"/>
      <c r="U146" s="157"/>
      <c r="V146" s="511" t="str">
        <f t="shared" si="17"/>
        <v/>
      </c>
      <c r="W146" s="511" t="str">
        <f t="shared" si="18"/>
        <v/>
      </c>
      <c r="X146" s="511" t="str">
        <f t="shared" si="19"/>
        <v/>
      </c>
      <c r="Y146" s="515" t="str">
        <f t="shared" si="20"/>
        <v/>
      </c>
      <c r="Z146" s="151"/>
      <c r="AA146" s="152"/>
      <c r="AG146" s="31">
        <f t="shared" si="21"/>
        <v>0</v>
      </c>
      <c r="AH146" s="156" t="str">
        <f t="shared" si="22"/>
        <v/>
      </c>
      <c r="AI146" s="156" t="str">
        <f t="shared" si="23"/>
        <v/>
      </c>
      <c r="AK146" s="156">
        <v>137</v>
      </c>
      <c r="AM146" s="156" t="str">
        <f t="array" ref="AM146">IFERROR(INDEX($AK$10:$AK$258, MATCH(0, IF(TRUE=$AH$10:$AH$258, COUNTIF($AM$9:$AM145, $AK$10:$AK$258), ""), 0)),"")</f>
        <v/>
      </c>
      <c r="AN146" s="156" t="str">
        <f t="array" ref="AN146">IFERROR(INDEX($AK$10:$AK$258, MATCH(0, IF(TRUE=$AI$10:$AI$258, COUNTIF($AN$9:$AN145, $AK$10:$AK$258), ""), 0)),"")</f>
        <v/>
      </c>
      <c r="AP146" s="31" t="str">
        <f>IFERROR(INDEX('G-7 Rivers Data'!$AZ$3:$AZ$7,MATCH(D146,'G-7 Rivers Data'!$AY$3:$AY$7,0)),"")</f>
        <v/>
      </c>
    </row>
    <row r="147" spans="3:42" ht="14" x14ac:dyDescent="0.3">
      <c r="C147" s="141">
        <v>138</v>
      </c>
      <c r="D147" s="460"/>
      <c r="E147" s="172"/>
      <c r="F147" s="498" t="str">
        <f>IF(D147="","",VLOOKUP(D147,'G-7 Rivers Data'!$B$2:$G$8,2,FALSE))</f>
        <v/>
      </c>
      <c r="G147" s="499" t="str">
        <f>IFERROR(VLOOKUP(F147,'G-7 Rivers Data'!$C$4:$D$8,2,FALSE),"")</f>
        <v/>
      </c>
      <c r="H147" s="145"/>
      <c r="I147" s="499" t="str">
        <f>IFERROR(INDEX('G-7 Rivers Data'!$H$4:$L$8,MATCH(D147,'G-7 Rivers Data'!$B$4:$B$8,0),MATCH(H147,'G-7 Rivers Data'!$H$3:$L$3,0)),"")</f>
        <v/>
      </c>
      <c r="J147" s="418"/>
      <c r="K147" s="498" t="str">
        <f>IF(J147="","",IF(VLOOKUP(J147,'G-7 Rivers Data'!$AK$4:$AM$9,2,FALSE)=0,"Spatial Data Missing ⚠",VLOOKUP(J147,'G-7 Rivers Data'!$AK$4:$AM$9,2,FALSE)))</f>
        <v/>
      </c>
      <c r="L147" s="505" t="str">
        <f>IF(J147="","",IF(VLOOKUP(J147,'G-7 Rivers Data'!$AK$4:$AM$9,3,FALSE)=0,"Spatial Data Missing ⚠",VLOOKUP(J147,'G-7 Rivers Data'!$AK$4:$AM$9,3,FALSE)))</f>
        <v/>
      </c>
      <c r="M147" s="71"/>
      <c r="N147" s="499" t="str">
        <f>IF(M147="","",IF(VLOOKUP(M147,'G-7 Rivers Data'!$AA$4:$AB$7,2,FALSE)=0,"Spatial Data Missing ⚠",VLOOKUP(M147,'G-7 Rivers Data'!$AA$4:$AB$7,2,FALSE)))</f>
        <v/>
      </c>
      <c r="O147" s="155"/>
      <c r="P147" s="499" t="str">
        <f>IF(O147="","",IF(VLOOKUP(O147,'G-7 Rivers Data'!$AD$4:$AE$8,2,FALSE)=0,"Spatial Data Missing ⚠",VLOOKUP(O147,'G-7 Rivers Data'!$AD$4:$AE$8,2,FALSE)))</f>
        <v/>
      </c>
      <c r="Q147" s="506" t="str">
        <f>IF(D147="","",VLOOKUP(D147,'G-7 Rivers Data'!$B$2:$G$8,6,FALSE))</f>
        <v/>
      </c>
      <c r="R147" s="513" t="str">
        <f t="shared" si="16"/>
        <v/>
      </c>
      <c r="S147" s="40"/>
      <c r="T147" s="145"/>
      <c r="U147" s="157"/>
      <c r="V147" s="511" t="str">
        <f t="shared" si="17"/>
        <v/>
      </c>
      <c r="W147" s="511" t="str">
        <f t="shared" si="18"/>
        <v/>
      </c>
      <c r="X147" s="511" t="str">
        <f t="shared" si="19"/>
        <v/>
      </c>
      <c r="Y147" s="515" t="str">
        <f t="shared" si="20"/>
        <v/>
      </c>
      <c r="Z147" s="151"/>
      <c r="AA147" s="152"/>
      <c r="AG147" s="31">
        <f t="shared" si="21"/>
        <v>0</v>
      </c>
      <c r="AH147" s="156" t="str">
        <f t="shared" si="22"/>
        <v/>
      </c>
      <c r="AI147" s="156" t="str">
        <f t="shared" si="23"/>
        <v/>
      </c>
      <c r="AK147" s="156">
        <v>138</v>
      </c>
      <c r="AM147" s="156" t="str">
        <f t="array" ref="AM147">IFERROR(INDEX($AK$10:$AK$258, MATCH(0, IF(TRUE=$AH$10:$AH$258, COUNTIF($AM$9:$AM146, $AK$10:$AK$258), ""), 0)),"")</f>
        <v/>
      </c>
      <c r="AN147" s="156" t="str">
        <f t="array" ref="AN147">IFERROR(INDEX($AK$10:$AK$258, MATCH(0, IF(TRUE=$AI$10:$AI$258, COUNTIF($AN$9:$AN146, $AK$10:$AK$258), ""), 0)),"")</f>
        <v/>
      </c>
      <c r="AP147" s="31" t="str">
        <f>IFERROR(INDEX('G-7 Rivers Data'!$AZ$3:$AZ$7,MATCH(D147,'G-7 Rivers Data'!$AY$3:$AY$7,0)),"")</f>
        <v/>
      </c>
    </row>
    <row r="148" spans="3:42" ht="14" x14ac:dyDescent="0.3">
      <c r="C148" s="141">
        <v>139</v>
      </c>
      <c r="D148" s="460"/>
      <c r="E148" s="172"/>
      <c r="F148" s="498" t="str">
        <f>IF(D148="","",VLOOKUP(D148,'G-7 Rivers Data'!$B$2:$G$8,2,FALSE))</f>
        <v/>
      </c>
      <c r="G148" s="499" t="str">
        <f>IFERROR(VLOOKUP(F148,'G-7 Rivers Data'!$C$4:$D$8,2,FALSE),"")</f>
        <v/>
      </c>
      <c r="H148" s="145"/>
      <c r="I148" s="499" t="str">
        <f>IFERROR(INDEX('G-7 Rivers Data'!$H$4:$L$8,MATCH(D148,'G-7 Rivers Data'!$B$4:$B$8,0),MATCH(H148,'G-7 Rivers Data'!$H$3:$L$3,0)),"")</f>
        <v/>
      </c>
      <c r="J148" s="418"/>
      <c r="K148" s="498" t="str">
        <f>IF(J148="","",IF(VLOOKUP(J148,'G-7 Rivers Data'!$AK$4:$AM$9,2,FALSE)=0,"Spatial Data Missing ⚠",VLOOKUP(J148,'G-7 Rivers Data'!$AK$4:$AM$9,2,FALSE)))</f>
        <v/>
      </c>
      <c r="L148" s="505" t="str">
        <f>IF(J148="","",IF(VLOOKUP(J148,'G-7 Rivers Data'!$AK$4:$AM$9,3,FALSE)=0,"Spatial Data Missing ⚠",VLOOKUP(J148,'G-7 Rivers Data'!$AK$4:$AM$9,3,FALSE)))</f>
        <v/>
      </c>
      <c r="M148" s="71"/>
      <c r="N148" s="499" t="str">
        <f>IF(M148="","",IF(VLOOKUP(M148,'G-7 Rivers Data'!$AA$4:$AB$7,2,FALSE)=0,"Spatial Data Missing ⚠",VLOOKUP(M148,'G-7 Rivers Data'!$AA$4:$AB$7,2,FALSE)))</f>
        <v/>
      </c>
      <c r="O148" s="155"/>
      <c r="P148" s="499" t="str">
        <f>IF(O148="","",IF(VLOOKUP(O148,'G-7 Rivers Data'!$AD$4:$AE$8,2,FALSE)=0,"Spatial Data Missing ⚠",VLOOKUP(O148,'G-7 Rivers Data'!$AD$4:$AE$8,2,FALSE)))</f>
        <v/>
      </c>
      <c r="Q148" s="506" t="str">
        <f>IF(D148="","",VLOOKUP(D148,'G-7 Rivers Data'!$B$2:$G$8,6,FALSE))</f>
        <v/>
      </c>
      <c r="R148" s="513" t="str">
        <f t="shared" si="16"/>
        <v/>
      </c>
      <c r="S148" s="40"/>
      <c r="T148" s="145"/>
      <c r="U148" s="157"/>
      <c r="V148" s="511" t="str">
        <f t="shared" si="17"/>
        <v/>
      </c>
      <c r="W148" s="511" t="str">
        <f t="shared" si="18"/>
        <v/>
      </c>
      <c r="X148" s="511" t="str">
        <f t="shared" si="19"/>
        <v/>
      </c>
      <c r="Y148" s="515" t="str">
        <f t="shared" si="20"/>
        <v/>
      </c>
      <c r="Z148" s="151"/>
      <c r="AA148" s="152"/>
      <c r="AG148" s="31">
        <f t="shared" si="21"/>
        <v>0</v>
      </c>
      <c r="AH148" s="156" t="str">
        <f t="shared" si="22"/>
        <v/>
      </c>
      <c r="AI148" s="156" t="str">
        <f t="shared" si="23"/>
        <v/>
      </c>
      <c r="AK148" s="156">
        <v>139</v>
      </c>
      <c r="AM148" s="156" t="str">
        <f t="array" ref="AM148">IFERROR(INDEX($AK$10:$AK$258, MATCH(0, IF(TRUE=$AH$10:$AH$258, COUNTIF($AM$9:$AM147, $AK$10:$AK$258), ""), 0)),"")</f>
        <v/>
      </c>
      <c r="AN148" s="156" t="str">
        <f t="array" ref="AN148">IFERROR(INDEX($AK$10:$AK$258, MATCH(0, IF(TRUE=$AI$10:$AI$258, COUNTIF($AN$9:$AN147, $AK$10:$AK$258), ""), 0)),"")</f>
        <v/>
      </c>
      <c r="AP148" s="31" t="str">
        <f>IFERROR(INDEX('G-7 Rivers Data'!$AZ$3:$AZ$7,MATCH(D148,'G-7 Rivers Data'!$AY$3:$AY$7,0)),"")</f>
        <v/>
      </c>
    </row>
    <row r="149" spans="3:42" ht="14" x14ac:dyDescent="0.3">
      <c r="C149" s="141">
        <v>140</v>
      </c>
      <c r="D149" s="460"/>
      <c r="E149" s="172"/>
      <c r="F149" s="498" t="str">
        <f>IF(D149="","",VLOOKUP(D149,'G-7 Rivers Data'!$B$2:$G$8,2,FALSE))</f>
        <v/>
      </c>
      <c r="G149" s="499" t="str">
        <f>IFERROR(VLOOKUP(F149,'G-7 Rivers Data'!$C$4:$D$8,2,FALSE),"")</f>
        <v/>
      </c>
      <c r="H149" s="145"/>
      <c r="I149" s="499" t="str">
        <f>IFERROR(INDEX('G-7 Rivers Data'!$H$4:$L$8,MATCH(D149,'G-7 Rivers Data'!$B$4:$B$8,0),MATCH(H149,'G-7 Rivers Data'!$H$3:$L$3,0)),"")</f>
        <v/>
      </c>
      <c r="J149" s="418"/>
      <c r="K149" s="498" t="str">
        <f>IF(J149="","",IF(VLOOKUP(J149,'G-7 Rivers Data'!$AK$4:$AM$9,2,FALSE)=0,"Spatial Data Missing ⚠",VLOOKUP(J149,'G-7 Rivers Data'!$AK$4:$AM$9,2,FALSE)))</f>
        <v/>
      </c>
      <c r="L149" s="505" t="str">
        <f>IF(J149="","",IF(VLOOKUP(J149,'G-7 Rivers Data'!$AK$4:$AM$9,3,FALSE)=0,"Spatial Data Missing ⚠",VLOOKUP(J149,'G-7 Rivers Data'!$AK$4:$AM$9,3,FALSE)))</f>
        <v/>
      </c>
      <c r="M149" s="71"/>
      <c r="N149" s="499" t="str">
        <f>IF(M149="","",IF(VLOOKUP(M149,'G-7 Rivers Data'!$AA$4:$AB$7,2,FALSE)=0,"Spatial Data Missing ⚠",VLOOKUP(M149,'G-7 Rivers Data'!$AA$4:$AB$7,2,FALSE)))</f>
        <v/>
      </c>
      <c r="O149" s="155"/>
      <c r="P149" s="499" t="str">
        <f>IF(O149="","",IF(VLOOKUP(O149,'G-7 Rivers Data'!$AD$4:$AE$8,2,FALSE)=0,"Spatial Data Missing ⚠",VLOOKUP(O149,'G-7 Rivers Data'!$AD$4:$AE$8,2,FALSE)))</f>
        <v/>
      </c>
      <c r="Q149" s="506" t="str">
        <f>IF(D149="","",VLOOKUP(D149,'G-7 Rivers Data'!$B$2:$G$8,6,FALSE))</f>
        <v/>
      </c>
      <c r="R149" s="513" t="str">
        <f t="shared" si="16"/>
        <v/>
      </c>
      <c r="S149" s="40"/>
      <c r="T149" s="145"/>
      <c r="U149" s="157"/>
      <c r="V149" s="511" t="str">
        <f t="shared" si="17"/>
        <v/>
      </c>
      <c r="W149" s="511" t="str">
        <f t="shared" si="18"/>
        <v/>
      </c>
      <c r="X149" s="511" t="str">
        <f t="shared" si="19"/>
        <v/>
      </c>
      <c r="Y149" s="515" t="str">
        <f t="shared" si="20"/>
        <v/>
      </c>
      <c r="Z149" s="151"/>
      <c r="AA149" s="152"/>
      <c r="AG149" s="31">
        <f t="shared" si="21"/>
        <v>0</v>
      </c>
      <c r="AH149" s="156" t="str">
        <f t="shared" si="22"/>
        <v/>
      </c>
      <c r="AI149" s="156" t="str">
        <f t="shared" si="23"/>
        <v/>
      </c>
      <c r="AK149" s="156">
        <v>140</v>
      </c>
      <c r="AM149" s="156" t="str">
        <f t="array" ref="AM149">IFERROR(INDEX($AK$10:$AK$258, MATCH(0, IF(TRUE=$AH$10:$AH$258, COUNTIF($AM$9:$AM148, $AK$10:$AK$258), ""), 0)),"")</f>
        <v/>
      </c>
      <c r="AN149" s="156" t="str">
        <f t="array" ref="AN149">IFERROR(INDEX($AK$10:$AK$258, MATCH(0, IF(TRUE=$AI$10:$AI$258, COUNTIF($AN$9:$AN148, $AK$10:$AK$258), ""), 0)),"")</f>
        <v/>
      </c>
      <c r="AP149" s="31" t="str">
        <f>IFERROR(INDEX('G-7 Rivers Data'!$AZ$3:$AZ$7,MATCH(D149,'G-7 Rivers Data'!$AY$3:$AY$7,0)),"")</f>
        <v/>
      </c>
    </row>
    <row r="150" spans="3:42" ht="14" x14ac:dyDescent="0.3">
      <c r="C150" s="141">
        <v>141</v>
      </c>
      <c r="D150" s="460"/>
      <c r="E150" s="172"/>
      <c r="F150" s="498" t="str">
        <f>IF(D150="","",VLOOKUP(D150,'G-7 Rivers Data'!$B$2:$G$8,2,FALSE))</f>
        <v/>
      </c>
      <c r="G150" s="499" t="str">
        <f>IFERROR(VLOOKUP(F150,'G-7 Rivers Data'!$C$4:$D$8,2,FALSE),"")</f>
        <v/>
      </c>
      <c r="H150" s="145"/>
      <c r="I150" s="499" t="str">
        <f>IFERROR(INDEX('G-7 Rivers Data'!$H$4:$L$8,MATCH(D150,'G-7 Rivers Data'!$B$4:$B$8,0),MATCH(H150,'G-7 Rivers Data'!$H$3:$L$3,0)),"")</f>
        <v/>
      </c>
      <c r="J150" s="418"/>
      <c r="K150" s="498" t="str">
        <f>IF(J150="","",IF(VLOOKUP(J150,'G-7 Rivers Data'!$AK$4:$AM$9,2,FALSE)=0,"Spatial Data Missing ⚠",VLOOKUP(J150,'G-7 Rivers Data'!$AK$4:$AM$9,2,FALSE)))</f>
        <v/>
      </c>
      <c r="L150" s="505" t="str">
        <f>IF(J150="","",IF(VLOOKUP(J150,'G-7 Rivers Data'!$AK$4:$AM$9,3,FALSE)=0,"Spatial Data Missing ⚠",VLOOKUP(J150,'G-7 Rivers Data'!$AK$4:$AM$9,3,FALSE)))</f>
        <v/>
      </c>
      <c r="M150" s="71"/>
      <c r="N150" s="499" t="str">
        <f>IF(M150="","",IF(VLOOKUP(M150,'G-7 Rivers Data'!$AA$4:$AB$7,2,FALSE)=0,"Spatial Data Missing ⚠",VLOOKUP(M150,'G-7 Rivers Data'!$AA$4:$AB$7,2,FALSE)))</f>
        <v/>
      </c>
      <c r="O150" s="155"/>
      <c r="P150" s="499" t="str">
        <f>IF(O150="","",IF(VLOOKUP(O150,'G-7 Rivers Data'!$AD$4:$AE$8,2,FALSE)=0,"Spatial Data Missing ⚠",VLOOKUP(O150,'G-7 Rivers Data'!$AD$4:$AE$8,2,FALSE)))</f>
        <v/>
      </c>
      <c r="Q150" s="506" t="str">
        <f>IF(D150="","",VLOOKUP(D150,'G-7 Rivers Data'!$B$2:$G$8,6,FALSE))</f>
        <v/>
      </c>
      <c r="R150" s="513" t="str">
        <f t="shared" si="16"/>
        <v/>
      </c>
      <c r="S150" s="40"/>
      <c r="T150" s="145"/>
      <c r="U150" s="157"/>
      <c r="V150" s="511" t="str">
        <f t="shared" si="17"/>
        <v/>
      </c>
      <c r="W150" s="511" t="str">
        <f t="shared" si="18"/>
        <v/>
      </c>
      <c r="X150" s="511" t="str">
        <f t="shared" si="19"/>
        <v/>
      </c>
      <c r="Y150" s="515" t="str">
        <f t="shared" si="20"/>
        <v/>
      </c>
      <c r="Z150" s="151"/>
      <c r="AA150" s="152"/>
      <c r="AG150" s="31">
        <f t="shared" si="21"/>
        <v>0</v>
      </c>
      <c r="AH150" s="156" t="str">
        <f t="shared" si="22"/>
        <v/>
      </c>
      <c r="AI150" s="156" t="str">
        <f t="shared" si="23"/>
        <v/>
      </c>
      <c r="AK150" s="156">
        <v>141</v>
      </c>
      <c r="AM150" s="156" t="str">
        <f t="array" ref="AM150">IFERROR(INDEX($AK$10:$AK$258, MATCH(0, IF(TRUE=$AH$10:$AH$258, COUNTIF($AM$9:$AM149, $AK$10:$AK$258), ""), 0)),"")</f>
        <v/>
      </c>
      <c r="AN150" s="156" t="str">
        <f t="array" ref="AN150">IFERROR(INDEX($AK$10:$AK$258, MATCH(0, IF(TRUE=$AI$10:$AI$258, COUNTIF($AN$9:$AN149, $AK$10:$AK$258), ""), 0)),"")</f>
        <v/>
      </c>
      <c r="AP150" s="31" t="str">
        <f>IFERROR(INDEX('G-7 Rivers Data'!$AZ$3:$AZ$7,MATCH(D150,'G-7 Rivers Data'!$AY$3:$AY$7,0)),"")</f>
        <v/>
      </c>
    </row>
    <row r="151" spans="3:42" ht="14" x14ac:dyDescent="0.3">
      <c r="C151" s="141">
        <v>142</v>
      </c>
      <c r="D151" s="460"/>
      <c r="E151" s="172"/>
      <c r="F151" s="498" t="str">
        <f>IF(D151="","",VLOOKUP(D151,'G-7 Rivers Data'!$B$2:$G$8,2,FALSE))</f>
        <v/>
      </c>
      <c r="G151" s="499" t="str">
        <f>IFERROR(VLOOKUP(F151,'G-7 Rivers Data'!$C$4:$D$8,2,FALSE),"")</f>
        <v/>
      </c>
      <c r="H151" s="145"/>
      <c r="I151" s="499" t="str">
        <f>IFERROR(INDEX('G-7 Rivers Data'!$H$4:$L$8,MATCH(D151,'G-7 Rivers Data'!$B$4:$B$8,0),MATCH(H151,'G-7 Rivers Data'!$H$3:$L$3,0)),"")</f>
        <v/>
      </c>
      <c r="J151" s="418"/>
      <c r="K151" s="498" t="str">
        <f>IF(J151="","",IF(VLOOKUP(J151,'G-7 Rivers Data'!$AK$4:$AM$9,2,FALSE)=0,"Spatial Data Missing ⚠",VLOOKUP(J151,'G-7 Rivers Data'!$AK$4:$AM$9,2,FALSE)))</f>
        <v/>
      </c>
      <c r="L151" s="505" t="str">
        <f>IF(J151="","",IF(VLOOKUP(J151,'G-7 Rivers Data'!$AK$4:$AM$9,3,FALSE)=0,"Spatial Data Missing ⚠",VLOOKUP(J151,'G-7 Rivers Data'!$AK$4:$AM$9,3,FALSE)))</f>
        <v/>
      </c>
      <c r="M151" s="71"/>
      <c r="N151" s="499" t="str">
        <f>IF(M151="","",IF(VLOOKUP(M151,'G-7 Rivers Data'!$AA$4:$AB$7,2,FALSE)=0,"Spatial Data Missing ⚠",VLOOKUP(M151,'G-7 Rivers Data'!$AA$4:$AB$7,2,FALSE)))</f>
        <v/>
      </c>
      <c r="O151" s="155"/>
      <c r="P151" s="499" t="str">
        <f>IF(O151="","",IF(VLOOKUP(O151,'G-7 Rivers Data'!$AD$4:$AE$8,2,FALSE)=0,"Spatial Data Missing ⚠",VLOOKUP(O151,'G-7 Rivers Data'!$AD$4:$AE$8,2,FALSE)))</f>
        <v/>
      </c>
      <c r="Q151" s="506" t="str">
        <f>IF(D151="","",VLOOKUP(D151,'G-7 Rivers Data'!$B$2:$G$8,6,FALSE))</f>
        <v/>
      </c>
      <c r="R151" s="513" t="str">
        <f t="shared" si="16"/>
        <v/>
      </c>
      <c r="S151" s="40"/>
      <c r="T151" s="145"/>
      <c r="U151" s="157"/>
      <c r="V151" s="511" t="str">
        <f t="shared" si="17"/>
        <v/>
      </c>
      <c r="W151" s="511" t="str">
        <f t="shared" si="18"/>
        <v/>
      </c>
      <c r="X151" s="511" t="str">
        <f t="shared" si="19"/>
        <v/>
      </c>
      <c r="Y151" s="515" t="str">
        <f t="shared" si="20"/>
        <v/>
      </c>
      <c r="Z151" s="151"/>
      <c r="AA151" s="152"/>
      <c r="AG151" s="31">
        <f t="shared" si="21"/>
        <v>0</v>
      </c>
      <c r="AH151" s="156" t="str">
        <f t="shared" si="22"/>
        <v/>
      </c>
      <c r="AI151" s="156" t="str">
        <f t="shared" si="23"/>
        <v/>
      </c>
      <c r="AK151" s="156">
        <v>142</v>
      </c>
      <c r="AM151" s="156" t="str">
        <f t="array" ref="AM151">IFERROR(INDEX($AK$10:$AK$258, MATCH(0, IF(TRUE=$AH$10:$AH$258, COUNTIF($AM$9:$AM150, $AK$10:$AK$258), ""), 0)),"")</f>
        <v/>
      </c>
      <c r="AN151" s="156" t="str">
        <f t="array" ref="AN151">IFERROR(INDEX($AK$10:$AK$258, MATCH(0, IF(TRUE=$AI$10:$AI$258, COUNTIF($AN$9:$AN150, $AK$10:$AK$258), ""), 0)),"")</f>
        <v/>
      </c>
      <c r="AP151" s="31" t="str">
        <f>IFERROR(INDEX('G-7 Rivers Data'!$AZ$3:$AZ$7,MATCH(D151,'G-7 Rivers Data'!$AY$3:$AY$7,0)),"")</f>
        <v/>
      </c>
    </row>
    <row r="152" spans="3:42" ht="14" x14ac:dyDescent="0.3">
      <c r="C152" s="141">
        <v>143</v>
      </c>
      <c r="D152" s="460"/>
      <c r="E152" s="172"/>
      <c r="F152" s="498" t="str">
        <f>IF(D152="","",VLOOKUP(D152,'G-7 Rivers Data'!$B$2:$G$8,2,FALSE))</f>
        <v/>
      </c>
      <c r="G152" s="499" t="str">
        <f>IFERROR(VLOOKUP(F152,'G-7 Rivers Data'!$C$4:$D$8,2,FALSE),"")</f>
        <v/>
      </c>
      <c r="H152" s="145"/>
      <c r="I152" s="499" t="str">
        <f>IFERROR(INDEX('G-7 Rivers Data'!$H$4:$L$8,MATCH(D152,'G-7 Rivers Data'!$B$4:$B$8,0),MATCH(H152,'G-7 Rivers Data'!$H$3:$L$3,0)),"")</f>
        <v/>
      </c>
      <c r="J152" s="418"/>
      <c r="K152" s="498" t="str">
        <f>IF(J152="","",IF(VLOOKUP(J152,'G-7 Rivers Data'!$AK$4:$AM$9,2,FALSE)=0,"Spatial Data Missing ⚠",VLOOKUP(J152,'G-7 Rivers Data'!$AK$4:$AM$9,2,FALSE)))</f>
        <v/>
      </c>
      <c r="L152" s="505" t="str">
        <f>IF(J152="","",IF(VLOOKUP(J152,'G-7 Rivers Data'!$AK$4:$AM$9,3,FALSE)=0,"Spatial Data Missing ⚠",VLOOKUP(J152,'G-7 Rivers Data'!$AK$4:$AM$9,3,FALSE)))</f>
        <v/>
      </c>
      <c r="M152" s="71"/>
      <c r="N152" s="499" t="str">
        <f>IF(M152="","",IF(VLOOKUP(M152,'G-7 Rivers Data'!$AA$4:$AB$7,2,FALSE)=0,"Spatial Data Missing ⚠",VLOOKUP(M152,'G-7 Rivers Data'!$AA$4:$AB$7,2,FALSE)))</f>
        <v/>
      </c>
      <c r="O152" s="155"/>
      <c r="P152" s="499" t="str">
        <f>IF(O152="","",IF(VLOOKUP(O152,'G-7 Rivers Data'!$AD$4:$AE$8,2,FALSE)=0,"Spatial Data Missing ⚠",VLOOKUP(O152,'G-7 Rivers Data'!$AD$4:$AE$8,2,FALSE)))</f>
        <v/>
      </c>
      <c r="Q152" s="506" t="str">
        <f>IF(D152="","",VLOOKUP(D152,'G-7 Rivers Data'!$B$2:$G$8,6,FALSE))</f>
        <v/>
      </c>
      <c r="R152" s="513" t="str">
        <f t="shared" si="16"/>
        <v/>
      </c>
      <c r="S152" s="40"/>
      <c r="T152" s="145"/>
      <c r="U152" s="157"/>
      <c r="V152" s="511" t="str">
        <f t="shared" si="17"/>
        <v/>
      </c>
      <c r="W152" s="511" t="str">
        <f t="shared" si="18"/>
        <v/>
      </c>
      <c r="X152" s="511" t="str">
        <f t="shared" si="19"/>
        <v/>
      </c>
      <c r="Y152" s="515" t="str">
        <f t="shared" si="20"/>
        <v/>
      </c>
      <c r="Z152" s="151"/>
      <c r="AA152" s="152"/>
      <c r="AG152" s="31">
        <f t="shared" si="21"/>
        <v>0</v>
      </c>
      <c r="AH152" s="156" t="str">
        <f t="shared" si="22"/>
        <v/>
      </c>
      <c r="AI152" s="156" t="str">
        <f t="shared" si="23"/>
        <v/>
      </c>
      <c r="AK152" s="156">
        <v>143</v>
      </c>
      <c r="AM152" s="156" t="str">
        <f t="array" ref="AM152">IFERROR(INDEX($AK$10:$AK$258, MATCH(0, IF(TRUE=$AH$10:$AH$258, COUNTIF($AM$9:$AM151, $AK$10:$AK$258), ""), 0)),"")</f>
        <v/>
      </c>
      <c r="AN152" s="156" t="str">
        <f t="array" ref="AN152">IFERROR(INDEX($AK$10:$AK$258, MATCH(0, IF(TRUE=$AI$10:$AI$258, COUNTIF($AN$9:$AN151, $AK$10:$AK$258), ""), 0)),"")</f>
        <v/>
      </c>
      <c r="AP152" s="31" t="str">
        <f>IFERROR(INDEX('G-7 Rivers Data'!$AZ$3:$AZ$7,MATCH(D152,'G-7 Rivers Data'!$AY$3:$AY$7,0)),"")</f>
        <v/>
      </c>
    </row>
    <row r="153" spans="3:42" ht="14" x14ac:dyDescent="0.3">
      <c r="C153" s="141">
        <v>144</v>
      </c>
      <c r="D153" s="460"/>
      <c r="E153" s="172"/>
      <c r="F153" s="498" t="str">
        <f>IF(D153="","",VLOOKUP(D153,'G-7 Rivers Data'!$B$2:$G$8,2,FALSE))</f>
        <v/>
      </c>
      <c r="G153" s="499" t="str">
        <f>IFERROR(VLOOKUP(F153,'G-7 Rivers Data'!$C$4:$D$8,2,FALSE),"")</f>
        <v/>
      </c>
      <c r="H153" s="145"/>
      <c r="I153" s="499" t="str">
        <f>IFERROR(INDEX('G-7 Rivers Data'!$H$4:$L$8,MATCH(D153,'G-7 Rivers Data'!$B$4:$B$8,0),MATCH(H153,'G-7 Rivers Data'!$H$3:$L$3,0)),"")</f>
        <v/>
      </c>
      <c r="J153" s="418"/>
      <c r="K153" s="498" t="str">
        <f>IF(J153="","",IF(VLOOKUP(J153,'G-7 Rivers Data'!$AK$4:$AM$9,2,FALSE)=0,"Spatial Data Missing ⚠",VLOOKUP(J153,'G-7 Rivers Data'!$AK$4:$AM$9,2,FALSE)))</f>
        <v/>
      </c>
      <c r="L153" s="505" t="str">
        <f>IF(J153="","",IF(VLOOKUP(J153,'G-7 Rivers Data'!$AK$4:$AM$9,3,FALSE)=0,"Spatial Data Missing ⚠",VLOOKUP(J153,'G-7 Rivers Data'!$AK$4:$AM$9,3,FALSE)))</f>
        <v/>
      </c>
      <c r="M153" s="71"/>
      <c r="N153" s="499" t="str">
        <f>IF(M153="","",IF(VLOOKUP(M153,'G-7 Rivers Data'!$AA$4:$AB$7,2,FALSE)=0,"Spatial Data Missing ⚠",VLOOKUP(M153,'G-7 Rivers Data'!$AA$4:$AB$7,2,FALSE)))</f>
        <v/>
      </c>
      <c r="O153" s="155"/>
      <c r="P153" s="499" t="str">
        <f>IF(O153="","",IF(VLOOKUP(O153,'G-7 Rivers Data'!$AD$4:$AE$8,2,FALSE)=0,"Spatial Data Missing ⚠",VLOOKUP(O153,'G-7 Rivers Data'!$AD$4:$AE$8,2,FALSE)))</f>
        <v/>
      </c>
      <c r="Q153" s="506" t="str">
        <f>IF(D153="","",VLOOKUP(D153,'G-7 Rivers Data'!$B$2:$G$8,6,FALSE))</f>
        <v/>
      </c>
      <c r="R153" s="513" t="str">
        <f t="shared" si="16"/>
        <v/>
      </c>
      <c r="S153" s="40"/>
      <c r="T153" s="145"/>
      <c r="U153" s="157"/>
      <c r="V153" s="511" t="str">
        <f t="shared" si="17"/>
        <v/>
      </c>
      <c r="W153" s="511" t="str">
        <f t="shared" si="18"/>
        <v/>
      </c>
      <c r="X153" s="511" t="str">
        <f t="shared" si="19"/>
        <v/>
      </c>
      <c r="Y153" s="515" t="str">
        <f t="shared" si="20"/>
        <v/>
      </c>
      <c r="Z153" s="151"/>
      <c r="AA153" s="152"/>
      <c r="AG153" s="31">
        <f t="shared" si="21"/>
        <v>0</v>
      </c>
      <c r="AH153" s="156" t="str">
        <f t="shared" si="22"/>
        <v/>
      </c>
      <c r="AI153" s="156" t="str">
        <f t="shared" si="23"/>
        <v/>
      </c>
      <c r="AK153" s="156">
        <v>144</v>
      </c>
      <c r="AM153" s="156" t="str">
        <f t="array" ref="AM153">IFERROR(INDEX($AK$10:$AK$258, MATCH(0, IF(TRUE=$AH$10:$AH$258, COUNTIF($AM$9:$AM152, $AK$10:$AK$258), ""), 0)),"")</f>
        <v/>
      </c>
      <c r="AN153" s="156" t="str">
        <f t="array" ref="AN153">IFERROR(INDEX($AK$10:$AK$258, MATCH(0, IF(TRUE=$AI$10:$AI$258, COUNTIF($AN$9:$AN152, $AK$10:$AK$258), ""), 0)),"")</f>
        <v/>
      </c>
      <c r="AP153" s="31" t="str">
        <f>IFERROR(INDEX('G-7 Rivers Data'!$AZ$3:$AZ$7,MATCH(D153,'G-7 Rivers Data'!$AY$3:$AY$7,0)),"")</f>
        <v/>
      </c>
    </row>
    <row r="154" spans="3:42" ht="14" x14ac:dyDescent="0.3">
      <c r="C154" s="141">
        <v>145</v>
      </c>
      <c r="D154" s="460"/>
      <c r="E154" s="172"/>
      <c r="F154" s="498" t="str">
        <f>IF(D154="","",VLOOKUP(D154,'G-7 Rivers Data'!$B$2:$G$8,2,FALSE))</f>
        <v/>
      </c>
      <c r="G154" s="499" t="str">
        <f>IFERROR(VLOOKUP(F154,'G-7 Rivers Data'!$C$4:$D$8,2,FALSE),"")</f>
        <v/>
      </c>
      <c r="H154" s="145"/>
      <c r="I154" s="499" t="str">
        <f>IFERROR(INDEX('G-7 Rivers Data'!$H$4:$L$8,MATCH(D154,'G-7 Rivers Data'!$B$4:$B$8,0),MATCH(H154,'G-7 Rivers Data'!$H$3:$L$3,0)),"")</f>
        <v/>
      </c>
      <c r="J154" s="418"/>
      <c r="K154" s="498" t="str">
        <f>IF(J154="","",IF(VLOOKUP(J154,'G-7 Rivers Data'!$AK$4:$AM$9,2,FALSE)=0,"Spatial Data Missing ⚠",VLOOKUP(J154,'G-7 Rivers Data'!$AK$4:$AM$9,2,FALSE)))</f>
        <v/>
      </c>
      <c r="L154" s="505" t="str">
        <f>IF(J154="","",IF(VLOOKUP(J154,'G-7 Rivers Data'!$AK$4:$AM$9,3,FALSE)=0,"Spatial Data Missing ⚠",VLOOKUP(J154,'G-7 Rivers Data'!$AK$4:$AM$9,3,FALSE)))</f>
        <v/>
      </c>
      <c r="M154" s="71"/>
      <c r="N154" s="499" t="str">
        <f>IF(M154="","",IF(VLOOKUP(M154,'G-7 Rivers Data'!$AA$4:$AB$7,2,FALSE)=0,"Spatial Data Missing ⚠",VLOOKUP(M154,'G-7 Rivers Data'!$AA$4:$AB$7,2,FALSE)))</f>
        <v/>
      </c>
      <c r="O154" s="155"/>
      <c r="P154" s="499" t="str">
        <f>IF(O154="","",IF(VLOOKUP(O154,'G-7 Rivers Data'!$AD$4:$AE$8,2,FALSE)=0,"Spatial Data Missing ⚠",VLOOKUP(O154,'G-7 Rivers Data'!$AD$4:$AE$8,2,FALSE)))</f>
        <v/>
      </c>
      <c r="Q154" s="506" t="str">
        <f>IF(D154="","",VLOOKUP(D154,'G-7 Rivers Data'!$B$2:$G$8,6,FALSE))</f>
        <v/>
      </c>
      <c r="R154" s="513" t="str">
        <f t="shared" si="16"/>
        <v/>
      </c>
      <c r="S154" s="40"/>
      <c r="T154" s="145"/>
      <c r="U154" s="157"/>
      <c r="V154" s="511" t="str">
        <f t="shared" si="17"/>
        <v/>
      </c>
      <c r="W154" s="511" t="str">
        <f t="shared" si="18"/>
        <v/>
      </c>
      <c r="X154" s="511" t="str">
        <f t="shared" si="19"/>
        <v/>
      </c>
      <c r="Y154" s="515" t="str">
        <f t="shared" si="20"/>
        <v/>
      </c>
      <c r="Z154" s="151"/>
      <c r="AA154" s="152"/>
      <c r="AG154" s="31">
        <f t="shared" si="21"/>
        <v>0</v>
      </c>
      <c r="AH154" s="156" t="str">
        <f t="shared" si="22"/>
        <v/>
      </c>
      <c r="AI154" s="156" t="str">
        <f t="shared" si="23"/>
        <v/>
      </c>
      <c r="AK154" s="156">
        <v>145</v>
      </c>
      <c r="AM154" s="156" t="str">
        <f t="array" ref="AM154">IFERROR(INDEX($AK$10:$AK$258, MATCH(0, IF(TRUE=$AH$10:$AH$258, COUNTIF($AM$9:$AM153, $AK$10:$AK$258), ""), 0)),"")</f>
        <v/>
      </c>
      <c r="AN154" s="156" t="str">
        <f t="array" ref="AN154">IFERROR(INDEX($AK$10:$AK$258, MATCH(0, IF(TRUE=$AI$10:$AI$258, COUNTIF($AN$9:$AN153, $AK$10:$AK$258), ""), 0)),"")</f>
        <v/>
      </c>
      <c r="AP154" s="31" t="str">
        <f>IFERROR(INDEX('G-7 Rivers Data'!$AZ$3:$AZ$7,MATCH(D154,'G-7 Rivers Data'!$AY$3:$AY$7,0)),"")</f>
        <v/>
      </c>
    </row>
    <row r="155" spans="3:42" ht="14" x14ac:dyDescent="0.3">
      <c r="C155" s="141">
        <v>146</v>
      </c>
      <c r="D155" s="460"/>
      <c r="E155" s="172"/>
      <c r="F155" s="498" t="str">
        <f>IF(D155="","",VLOOKUP(D155,'G-7 Rivers Data'!$B$2:$G$8,2,FALSE))</f>
        <v/>
      </c>
      <c r="G155" s="499" t="str">
        <f>IFERROR(VLOOKUP(F155,'G-7 Rivers Data'!$C$4:$D$8,2,FALSE),"")</f>
        <v/>
      </c>
      <c r="H155" s="145"/>
      <c r="I155" s="499" t="str">
        <f>IFERROR(INDEX('G-7 Rivers Data'!$H$4:$L$8,MATCH(D155,'G-7 Rivers Data'!$B$4:$B$8,0),MATCH(H155,'G-7 Rivers Data'!$H$3:$L$3,0)),"")</f>
        <v/>
      </c>
      <c r="J155" s="418"/>
      <c r="K155" s="498" t="str">
        <f>IF(J155="","",IF(VLOOKUP(J155,'G-7 Rivers Data'!$AK$4:$AM$9,2,FALSE)=0,"Spatial Data Missing ⚠",VLOOKUP(J155,'G-7 Rivers Data'!$AK$4:$AM$9,2,FALSE)))</f>
        <v/>
      </c>
      <c r="L155" s="505" t="str">
        <f>IF(J155="","",IF(VLOOKUP(J155,'G-7 Rivers Data'!$AK$4:$AM$9,3,FALSE)=0,"Spatial Data Missing ⚠",VLOOKUP(J155,'G-7 Rivers Data'!$AK$4:$AM$9,3,FALSE)))</f>
        <v/>
      </c>
      <c r="M155" s="71"/>
      <c r="N155" s="499" t="str">
        <f>IF(M155="","",IF(VLOOKUP(M155,'G-7 Rivers Data'!$AA$4:$AB$7,2,FALSE)=0,"Spatial Data Missing ⚠",VLOOKUP(M155,'G-7 Rivers Data'!$AA$4:$AB$7,2,FALSE)))</f>
        <v/>
      </c>
      <c r="O155" s="155"/>
      <c r="P155" s="499" t="str">
        <f>IF(O155="","",IF(VLOOKUP(O155,'G-7 Rivers Data'!$AD$4:$AE$8,2,FALSE)=0,"Spatial Data Missing ⚠",VLOOKUP(O155,'G-7 Rivers Data'!$AD$4:$AE$8,2,FALSE)))</f>
        <v/>
      </c>
      <c r="Q155" s="506" t="str">
        <f>IF(D155="","",VLOOKUP(D155,'G-7 Rivers Data'!$B$2:$G$8,6,FALSE))</f>
        <v/>
      </c>
      <c r="R155" s="513" t="str">
        <f t="shared" si="16"/>
        <v/>
      </c>
      <c r="S155" s="40"/>
      <c r="T155" s="145"/>
      <c r="U155" s="157"/>
      <c r="V155" s="511" t="str">
        <f t="shared" si="17"/>
        <v/>
      </c>
      <c r="W155" s="511" t="str">
        <f t="shared" si="18"/>
        <v/>
      </c>
      <c r="X155" s="511" t="str">
        <f t="shared" si="19"/>
        <v/>
      </c>
      <c r="Y155" s="515" t="str">
        <f t="shared" si="20"/>
        <v/>
      </c>
      <c r="Z155" s="151"/>
      <c r="AA155" s="152"/>
      <c r="AG155" s="31">
        <f t="shared" si="21"/>
        <v>0</v>
      </c>
      <c r="AH155" s="156" t="str">
        <f t="shared" si="22"/>
        <v/>
      </c>
      <c r="AI155" s="156" t="str">
        <f t="shared" si="23"/>
        <v/>
      </c>
      <c r="AK155" s="156">
        <v>146</v>
      </c>
      <c r="AM155" s="156" t="str">
        <f t="array" ref="AM155">IFERROR(INDEX($AK$10:$AK$258, MATCH(0, IF(TRUE=$AH$10:$AH$258, COUNTIF($AM$9:$AM154, $AK$10:$AK$258), ""), 0)),"")</f>
        <v/>
      </c>
      <c r="AN155" s="156" t="str">
        <f t="array" ref="AN155">IFERROR(INDEX($AK$10:$AK$258, MATCH(0, IF(TRUE=$AI$10:$AI$258, COUNTIF($AN$9:$AN154, $AK$10:$AK$258), ""), 0)),"")</f>
        <v/>
      </c>
      <c r="AP155" s="31" t="str">
        <f>IFERROR(INDEX('G-7 Rivers Data'!$AZ$3:$AZ$7,MATCH(D155,'G-7 Rivers Data'!$AY$3:$AY$7,0)),"")</f>
        <v/>
      </c>
    </row>
    <row r="156" spans="3:42" ht="14" x14ac:dyDescent="0.3">
      <c r="C156" s="141">
        <v>147</v>
      </c>
      <c r="D156" s="460"/>
      <c r="E156" s="172"/>
      <c r="F156" s="498" t="str">
        <f>IF(D156="","",VLOOKUP(D156,'G-7 Rivers Data'!$B$2:$G$8,2,FALSE))</f>
        <v/>
      </c>
      <c r="G156" s="499" t="str">
        <f>IFERROR(VLOOKUP(F156,'G-7 Rivers Data'!$C$4:$D$8,2,FALSE),"")</f>
        <v/>
      </c>
      <c r="H156" s="145"/>
      <c r="I156" s="499" t="str">
        <f>IFERROR(INDEX('G-7 Rivers Data'!$H$4:$L$8,MATCH(D156,'G-7 Rivers Data'!$B$4:$B$8,0),MATCH(H156,'G-7 Rivers Data'!$H$3:$L$3,0)),"")</f>
        <v/>
      </c>
      <c r="J156" s="418"/>
      <c r="K156" s="498" t="str">
        <f>IF(J156="","",IF(VLOOKUP(J156,'G-7 Rivers Data'!$AK$4:$AM$9,2,FALSE)=0,"Spatial Data Missing ⚠",VLOOKUP(J156,'G-7 Rivers Data'!$AK$4:$AM$9,2,FALSE)))</f>
        <v/>
      </c>
      <c r="L156" s="505" t="str">
        <f>IF(J156="","",IF(VLOOKUP(J156,'G-7 Rivers Data'!$AK$4:$AM$9,3,FALSE)=0,"Spatial Data Missing ⚠",VLOOKUP(J156,'G-7 Rivers Data'!$AK$4:$AM$9,3,FALSE)))</f>
        <v/>
      </c>
      <c r="M156" s="71"/>
      <c r="N156" s="499" t="str">
        <f>IF(M156="","",IF(VLOOKUP(M156,'G-7 Rivers Data'!$AA$4:$AB$7,2,FALSE)=0,"Spatial Data Missing ⚠",VLOOKUP(M156,'G-7 Rivers Data'!$AA$4:$AB$7,2,FALSE)))</f>
        <v/>
      </c>
      <c r="O156" s="155"/>
      <c r="P156" s="499" t="str">
        <f>IF(O156="","",IF(VLOOKUP(O156,'G-7 Rivers Data'!$AD$4:$AE$8,2,FALSE)=0,"Spatial Data Missing ⚠",VLOOKUP(O156,'G-7 Rivers Data'!$AD$4:$AE$8,2,FALSE)))</f>
        <v/>
      </c>
      <c r="Q156" s="506" t="str">
        <f>IF(D156="","",VLOOKUP(D156,'G-7 Rivers Data'!$B$2:$G$8,6,FALSE))</f>
        <v/>
      </c>
      <c r="R156" s="513" t="str">
        <f t="shared" si="16"/>
        <v/>
      </c>
      <c r="S156" s="40"/>
      <c r="T156" s="145"/>
      <c r="U156" s="157"/>
      <c r="V156" s="511" t="str">
        <f t="shared" si="17"/>
        <v/>
      </c>
      <c r="W156" s="511" t="str">
        <f t="shared" si="18"/>
        <v/>
      </c>
      <c r="X156" s="511" t="str">
        <f t="shared" si="19"/>
        <v/>
      </c>
      <c r="Y156" s="515" t="str">
        <f t="shared" si="20"/>
        <v/>
      </c>
      <c r="Z156" s="151"/>
      <c r="AA156" s="152"/>
      <c r="AG156" s="31">
        <f t="shared" si="21"/>
        <v>0</v>
      </c>
      <c r="AH156" s="156" t="str">
        <f t="shared" si="22"/>
        <v/>
      </c>
      <c r="AI156" s="156" t="str">
        <f t="shared" si="23"/>
        <v/>
      </c>
      <c r="AK156" s="156">
        <v>147</v>
      </c>
      <c r="AM156" s="156" t="str">
        <f t="array" ref="AM156">IFERROR(INDEX($AK$10:$AK$258, MATCH(0, IF(TRUE=$AH$10:$AH$258, COUNTIF($AM$9:$AM155, $AK$10:$AK$258), ""), 0)),"")</f>
        <v/>
      </c>
      <c r="AN156" s="156" t="str">
        <f t="array" ref="AN156">IFERROR(INDEX($AK$10:$AK$258, MATCH(0, IF(TRUE=$AI$10:$AI$258, COUNTIF($AN$9:$AN155, $AK$10:$AK$258), ""), 0)),"")</f>
        <v/>
      </c>
      <c r="AP156" s="31" t="str">
        <f>IFERROR(INDEX('G-7 Rivers Data'!$AZ$3:$AZ$7,MATCH(D156,'G-7 Rivers Data'!$AY$3:$AY$7,0)),"")</f>
        <v/>
      </c>
    </row>
    <row r="157" spans="3:42" ht="14" x14ac:dyDescent="0.3">
      <c r="C157" s="141">
        <v>148</v>
      </c>
      <c r="D157" s="460"/>
      <c r="E157" s="172"/>
      <c r="F157" s="498" t="str">
        <f>IF(D157="","",VLOOKUP(D157,'G-7 Rivers Data'!$B$2:$G$8,2,FALSE))</f>
        <v/>
      </c>
      <c r="G157" s="499" t="str">
        <f>IFERROR(VLOOKUP(F157,'G-7 Rivers Data'!$C$4:$D$8,2,FALSE),"")</f>
        <v/>
      </c>
      <c r="H157" s="145"/>
      <c r="I157" s="499" t="str">
        <f>IFERROR(INDEX('G-7 Rivers Data'!$H$4:$L$8,MATCH(D157,'G-7 Rivers Data'!$B$4:$B$8,0),MATCH(H157,'G-7 Rivers Data'!$H$3:$L$3,0)),"")</f>
        <v/>
      </c>
      <c r="J157" s="418"/>
      <c r="K157" s="498" t="str">
        <f>IF(J157="","",IF(VLOOKUP(J157,'G-7 Rivers Data'!$AK$4:$AM$9,2,FALSE)=0,"Spatial Data Missing ⚠",VLOOKUP(J157,'G-7 Rivers Data'!$AK$4:$AM$9,2,FALSE)))</f>
        <v/>
      </c>
      <c r="L157" s="505" t="str">
        <f>IF(J157="","",IF(VLOOKUP(J157,'G-7 Rivers Data'!$AK$4:$AM$9,3,FALSE)=0,"Spatial Data Missing ⚠",VLOOKUP(J157,'G-7 Rivers Data'!$AK$4:$AM$9,3,FALSE)))</f>
        <v/>
      </c>
      <c r="M157" s="71"/>
      <c r="N157" s="499" t="str">
        <f>IF(M157="","",IF(VLOOKUP(M157,'G-7 Rivers Data'!$AA$4:$AB$7,2,FALSE)=0,"Spatial Data Missing ⚠",VLOOKUP(M157,'G-7 Rivers Data'!$AA$4:$AB$7,2,FALSE)))</f>
        <v/>
      </c>
      <c r="O157" s="155"/>
      <c r="P157" s="499" t="str">
        <f>IF(O157="","",IF(VLOOKUP(O157,'G-7 Rivers Data'!$AD$4:$AE$8,2,FALSE)=0,"Spatial Data Missing ⚠",VLOOKUP(O157,'G-7 Rivers Data'!$AD$4:$AE$8,2,FALSE)))</f>
        <v/>
      </c>
      <c r="Q157" s="506" t="str">
        <f>IF(D157="","",VLOOKUP(D157,'G-7 Rivers Data'!$B$2:$G$8,6,FALSE))</f>
        <v/>
      </c>
      <c r="R157" s="513" t="str">
        <f t="shared" si="16"/>
        <v/>
      </c>
      <c r="S157" s="40"/>
      <c r="T157" s="145"/>
      <c r="U157" s="157"/>
      <c r="V157" s="511" t="str">
        <f t="shared" si="17"/>
        <v/>
      </c>
      <c r="W157" s="511" t="str">
        <f t="shared" si="18"/>
        <v/>
      </c>
      <c r="X157" s="511" t="str">
        <f t="shared" si="19"/>
        <v/>
      </c>
      <c r="Y157" s="515" t="str">
        <f t="shared" si="20"/>
        <v/>
      </c>
      <c r="Z157" s="151"/>
      <c r="AA157" s="152"/>
      <c r="AG157" s="31">
        <f t="shared" si="21"/>
        <v>0</v>
      </c>
      <c r="AH157" s="156" t="str">
        <f t="shared" si="22"/>
        <v/>
      </c>
      <c r="AI157" s="156" t="str">
        <f t="shared" si="23"/>
        <v/>
      </c>
      <c r="AK157" s="156">
        <v>148</v>
      </c>
      <c r="AM157" s="156" t="str">
        <f t="array" ref="AM157">IFERROR(INDEX($AK$10:$AK$258, MATCH(0, IF(TRUE=$AH$10:$AH$258, COUNTIF($AM$9:$AM156, $AK$10:$AK$258), ""), 0)),"")</f>
        <v/>
      </c>
      <c r="AN157" s="156" t="str">
        <f t="array" ref="AN157">IFERROR(INDEX($AK$10:$AK$258, MATCH(0, IF(TRUE=$AI$10:$AI$258, COUNTIF($AN$9:$AN156, $AK$10:$AK$258), ""), 0)),"")</f>
        <v/>
      </c>
      <c r="AP157" s="31" t="str">
        <f>IFERROR(INDEX('G-7 Rivers Data'!$AZ$3:$AZ$7,MATCH(D157,'G-7 Rivers Data'!$AY$3:$AY$7,0)),"")</f>
        <v/>
      </c>
    </row>
    <row r="158" spans="3:42" ht="14" x14ac:dyDescent="0.3">
      <c r="C158" s="141">
        <v>149</v>
      </c>
      <c r="D158" s="460"/>
      <c r="E158" s="172"/>
      <c r="F158" s="498" t="str">
        <f>IF(D158="","",VLOOKUP(D158,'G-7 Rivers Data'!$B$2:$G$8,2,FALSE))</f>
        <v/>
      </c>
      <c r="G158" s="499" t="str">
        <f>IFERROR(VLOOKUP(F158,'G-7 Rivers Data'!$C$4:$D$8,2,FALSE),"")</f>
        <v/>
      </c>
      <c r="H158" s="145"/>
      <c r="I158" s="499" t="str">
        <f>IFERROR(INDEX('G-7 Rivers Data'!$H$4:$L$8,MATCH(D158,'G-7 Rivers Data'!$B$4:$B$8,0),MATCH(H158,'G-7 Rivers Data'!$H$3:$L$3,0)),"")</f>
        <v/>
      </c>
      <c r="J158" s="418"/>
      <c r="K158" s="498" t="str">
        <f>IF(J158="","",IF(VLOOKUP(J158,'G-7 Rivers Data'!$AK$4:$AM$9,2,FALSE)=0,"Spatial Data Missing ⚠",VLOOKUP(J158,'G-7 Rivers Data'!$AK$4:$AM$9,2,FALSE)))</f>
        <v/>
      </c>
      <c r="L158" s="505" t="str">
        <f>IF(J158="","",IF(VLOOKUP(J158,'G-7 Rivers Data'!$AK$4:$AM$9,3,FALSE)=0,"Spatial Data Missing ⚠",VLOOKUP(J158,'G-7 Rivers Data'!$AK$4:$AM$9,3,FALSE)))</f>
        <v/>
      </c>
      <c r="M158" s="71"/>
      <c r="N158" s="499" t="str">
        <f>IF(M158="","",IF(VLOOKUP(M158,'G-7 Rivers Data'!$AA$4:$AB$7,2,FALSE)=0,"Spatial Data Missing ⚠",VLOOKUP(M158,'G-7 Rivers Data'!$AA$4:$AB$7,2,FALSE)))</f>
        <v/>
      </c>
      <c r="O158" s="155"/>
      <c r="P158" s="499" t="str">
        <f>IF(O158="","",IF(VLOOKUP(O158,'G-7 Rivers Data'!$AD$4:$AE$8,2,FALSE)=0,"Spatial Data Missing ⚠",VLOOKUP(O158,'G-7 Rivers Data'!$AD$4:$AE$8,2,FALSE)))</f>
        <v/>
      </c>
      <c r="Q158" s="506" t="str">
        <f>IF(D158="","",VLOOKUP(D158,'G-7 Rivers Data'!$B$2:$G$8,6,FALSE))</f>
        <v/>
      </c>
      <c r="R158" s="513" t="str">
        <f t="shared" si="16"/>
        <v/>
      </c>
      <c r="S158" s="40"/>
      <c r="T158" s="145"/>
      <c r="U158" s="157"/>
      <c r="V158" s="511" t="str">
        <f t="shared" si="17"/>
        <v/>
      </c>
      <c r="W158" s="511" t="str">
        <f t="shared" si="18"/>
        <v/>
      </c>
      <c r="X158" s="511" t="str">
        <f t="shared" si="19"/>
        <v/>
      </c>
      <c r="Y158" s="515" t="str">
        <f t="shared" si="20"/>
        <v/>
      </c>
      <c r="Z158" s="151"/>
      <c r="AA158" s="152"/>
      <c r="AG158" s="31">
        <f t="shared" si="21"/>
        <v>0</v>
      </c>
      <c r="AH158" s="156" t="str">
        <f t="shared" si="22"/>
        <v/>
      </c>
      <c r="AI158" s="156" t="str">
        <f t="shared" si="23"/>
        <v/>
      </c>
      <c r="AK158" s="156">
        <v>149</v>
      </c>
      <c r="AM158" s="156" t="str">
        <f t="array" ref="AM158">IFERROR(INDEX($AK$10:$AK$258, MATCH(0, IF(TRUE=$AH$10:$AH$258, COUNTIF($AM$9:$AM157, $AK$10:$AK$258), ""), 0)),"")</f>
        <v/>
      </c>
      <c r="AN158" s="156" t="str">
        <f t="array" ref="AN158">IFERROR(INDEX($AK$10:$AK$258, MATCH(0, IF(TRUE=$AI$10:$AI$258, COUNTIF($AN$9:$AN157, $AK$10:$AK$258), ""), 0)),"")</f>
        <v/>
      </c>
      <c r="AP158" s="31" t="str">
        <f>IFERROR(INDEX('G-7 Rivers Data'!$AZ$3:$AZ$7,MATCH(D158,'G-7 Rivers Data'!$AY$3:$AY$7,0)),"")</f>
        <v/>
      </c>
    </row>
    <row r="159" spans="3:42" ht="14" x14ac:dyDescent="0.3">
      <c r="C159" s="141">
        <v>150</v>
      </c>
      <c r="D159" s="460"/>
      <c r="E159" s="172"/>
      <c r="F159" s="498" t="str">
        <f>IF(D159="","",VLOOKUP(D159,'G-7 Rivers Data'!$B$2:$G$8,2,FALSE))</f>
        <v/>
      </c>
      <c r="G159" s="499" t="str">
        <f>IFERROR(VLOOKUP(F159,'G-7 Rivers Data'!$C$4:$D$8,2,FALSE),"")</f>
        <v/>
      </c>
      <c r="H159" s="145"/>
      <c r="I159" s="499" t="str">
        <f>IFERROR(INDEX('G-7 Rivers Data'!$H$4:$L$8,MATCH(D159,'G-7 Rivers Data'!$B$4:$B$8,0),MATCH(H159,'G-7 Rivers Data'!$H$3:$L$3,0)),"")</f>
        <v/>
      </c>
      <c r="J159" s="418"/>
      <c r="K159" s="498" t="str">
        <f>IF(J159="","",IF(VLOOKUP(J159,'G-7 Rivers Data'!$AK$4:$AM$9,2,FALSE)=0,"Spatial Data Missing ⚠",VLOOKUP(J159,'G-7 Rivers Data'!$AK$4:$AM$9,2,FALSE)))</f>
        <v/>
      </c>
      <c r="L159" s="505" t="str">
        <f>IF(J159="","",IF(VLOOKUP(J159,'G-7 Rivers Data'!$AK$4:$AM$9,3,FALSE)=0,"Spatial Data Missing ⚠",VLOOKUP(J159,'G-7 Rivers Data'!$AK$4:$AM$9,3,FALSE)))</f>
        <v/>
      </c>
      <c r="M159" s="71"/>
      <c r="N159" s="499" t="str">
        <f>IF(M159="","",IF(VLOOKUP(M159,'G-7 Rivers Data'!$AA$4:$AB$7,2,FALSE)=0,"Spatial Data Missing ⚠",VLOOKUP(M159,'G-7 Rivers Data'!$AA$4:$AB$7,2,FALSE)))</f>
        <v/>
      </c>
      <c r="O159" s="155"/>
      <c r="P159" s="499" t="str">
        <f>IF(O159="","",IF(VLOOKUP(O159,'G-7 Rivers Data'!$AD$4:$AE$8,2,FALSE)=0,"Spatial Data Missing ⚠",VLOOKUP(O159,'G-7 Rivers Data'!$AD$4:$AE$8,2,FALSE)))</f>
        <v/>
      </c>
      <c r="Q159" s="506" t="str">
        <f>IF(D159="","",VLOOKUP(D159,'G-7 Rivers Data'!$B$2:$G$8,6,FALSE))</f>
        <v/>
      </c>
      <c r="R159" s="513" t="str">
        <f t="shared" si="16"/>
        <v/>
      </c>
      <c r="S159" s="40"/>
      <c r="T159" s="145"/>
      <c r="U159" s="157"/>
      <c r="V159" s="511" t="str">
        <f t="shared" si="17"/>
        <v/>
      </c>
      <c r="W159" s="511" t="str">
        <f t="shared" si="18"/>
        <v/>
      </c>
      <c r="X159" s="511" t="str">
        <f t="shared" si="19"/>
        <v/>
      </c>
      <c r="Y159" s="515" t="str">
        <f t="shared" si="20"/>
        <v/>
      </c>
      <c r="Z159" s="151"/>
      <c r="AA159" s="152"/>
      <c r="AG159" s="31">
        <f t="shared" si="21"/>
        <v>0</v>
      </c>
      <c r="AH159" s="156" t="str">
        <f t="shared" si="22"/>
        <v/>
      </c>
      <c r="AI159" s="156" t="str">
        <f t="shared" si="23"/>
        <v/>
      </c>
      <c r="AK159" s="156">
        <v>150</v>
      </c>
      <c r="AM159" s="156" t="str">
        <f t="array" ref="AM159">IFERROR(INDEX($AK$10:$AK$258, MATCH(0, IF(TRUE=$AH$10:$AH$258, COUNTIF($AM$9:$AM158, $AK$10:$AK$258), ""), 0)),"")</f>
        <v/>
      </c>
      <c r="AN159" s="156" t="str">
        <f t="array" ref="AN159">IFERROR(INDEX($AK$10:$AK$258, MATCH(0, IF(TRUE=$AI$10:$AI$258, COUNTIF($AN$9:$AN158, $AK$10:$AK$258), ""), 0)),"")</f>
        <v/>
      </c>
      <c r="AP159" s="31" t="str">
        <f>IFERROR(INDEX('G-7 Rivers Data'!$AZ$3:$AZ$7,MATCH(D159,'G-7 Rivers Data'!$AY$3:$AY$7,0)),"")</f>
        <v/>
      </c>
    </row>
    <row r="160" spans="3:42" ht="14" x14ac:dyDescent="0.3">
      <c r="C160" s="141">
        <v>151</v>
      </c>
      <c r="D160" s="460"/>
      <c r="E160" s="172"/>
      <c r="F160" s="498" t="str">
        <f>IF(D160="","",VLOOKUP(D160,'G-7 Rivers Data'!$B$2:$G$8,2,FALSE))</f>
        <v/>
      </c>
      <c r="G160" s="499" t="str">
        <f>IFERROR(VLOOKUP(F160,'G-7 Rivers Data'!$C$4:$D$8,2,FALSE),"")</f>
        <v/>
      </c>
      <c r="H160" s="145"/>
      <c r="I160" s="499" t="str">
        <f>IFERROR(INDEX('G-7 Rivers Data'!$H$4:$L$8,MATCH(D160,'G-7 Rivers Data'!$B$4:$B$8,0),MATCH(H160,'G-7 Rivers Data'!$H$3:$L$3,0)),"")</f>
        <v/>
      </c>
      <c r="J160" s="418"/>
      <c r="K160" s="498" t="str">
        <f>IF(J160="","",IF(VLOOKUP(J160,'G-7 Rivers Data'!$AK$4:$AM$9,2,FALSE)=0,"Spatial Data Missing ⚠",VLOOKUP(J160,'G-7 Rivers Data'!$AK$4:$AM$9,2,FALSE)))</f>
        <v/>
      </c>
      <c r="L160" s="505" t="str">
        <f>IF(J160="","",IF(VLOOKUP(J160,'G-7 Rivers Data'!$AK$4:$AM$9,3,FALSE)=0,"Spatial Data Missing ⚠",VLOOKUP(J160,'G-7 Rivers Data'!$AK$4:$AM$9,3,FALSE)))</f>
        <v/>
      </c>
      <c r="M160" s="71"/>
      <c r="N160" s="499" t="str">
        <f>IF(M160="","",IF(VLOOKUP(M160,'G-7 Rivers Data'!$AA$4:$AB$7,2,FALSE)=0,"Spatial Data Missing ⚠",VLOOKUP(M160,'G-7 Rivers Data'!$AA$4:$AB$7,2,FALSE)))</f>
        <v/>
      </c>
      <c r="O160" s="155"/>
      <c r="P160" s="499" t="str">
        <f>IF(O160="","",IF(VLOOKUP(O160,'G-7 Rivers Data'!$AD$4:$AE$8,2,FALSE)=0,"Spatial Data Missing ⚠",VLOOKUP(O160,'G-7 Rivers Data'!$AD$4:$AE$8,2,FALSE)))</f>
        <v/>
      </c>
      <c r="Q160" s="506" t="str">
        <f>IF(D160="","",VLOOKUP(D160,'G-7 Rivers Data'!$B$2:$G$8,6,FALSE))</f>
        <v/>
      </c>
      <c r="R160" s="513" t="str">
        <f t="shared" si="16"/>
        <v/>
      </c>
      <c r="S160" s="40"/>
      <c r="T160" s="145"/>
      <c r="U160" s="157"/>
      <c r="V160" s="511" t="str">
        <f t="shared" si="17"/>
        <v/>
      </c>
      <c r="W160" s="511" t="str">
        <f t="shared" si="18"/>
        <v/>
      </c>
      <c r="X160" s="511" t="str">
        <f t="shared" si="19"/>
        <v/>
      </c>
      <c r="Y160" s="515" t="str">
        <f t="shared" si="20"/>
        <v/>
      </c>
      <c r="Z160" s="151"/>
      <c r="AA160" s="152"/>
      <c r="AG160" s="31">
        <f t="shared" si="21"/>
        <v>0</v>
      </c>
      <c r="AH160" s="156" t="str">
        <f t="shared" si="22"/>
        <v/>
      </c>
      <c r="AI160" s="156" t="str">
        <f t="shared" si="23"/>
        <v/>
      </c>
      <c r="AK160" s="156">
        <v>151</v>
      </c>
      <c r="AM160" s="156" t="str">
        <f t="array" ref="AM160">IFERROR(INDEX($AK$10:$AK$258, MATCH(0, IF(TRUE=$AH$10:$AH$258, COUNTIF($AM$9:$AM159, $AK$10:$AK$258), ""), 0)),"")</f>
        <v/>
      </c>
      <c r="AN160" s="156" t="str">
        <f t="array" ref="AN160">IFERROR(INDEX($AK$10:$AK$258, MATCH(0, IF(TRUE=$AI$10:$AI$258, COUNTIF($AN$9:$AN159, $AK$10:$AK$258), ""), 0)),"")</f>
        <v/>
      </c>
      <c r="AP160" s="31" t="str">
        <f>IFERROR(INDEX('G-7 Rivers Data'!$AZ$3:$AZ$7,MATCH(D160,'G-7 Rivers Data'!$AY$3:$AY$7,0)),"")</f>
        <v/>
      </c>
    </row>
    <row r="161" spans="3:42" ht="14" x14ac:dyDescent="0.3">
      <c r="C161" s="141">
        <v>152</v>
      </c>
      <c r="D161" s="460"/>
      <c r="E161" s="172"/>
      <c r="F161" s="498" t="str">
        <f>IF(D161="","",VLOOKUP(D161,'G-7 Rivers Data'!$B$2:$G$8,2,FALSE))</f>
        <v/>
      </c>
      <c r="G161" s="499" t="str">
        <f>IFERROR(VLOOKUP(F161,'G-7 Rivers Data'!$C$4:$D$8,2,FALSE),"")</f>
        <v/>
      </c>
      <c r="H161" s="145"/>
      <c r="I161" s="499" t="str">
        <f>IFERROR(INDEX('G-7 Rivers Data'!$H$4:$L$8,MATCH(D161,'G-7 Rivers Data'!$B$4:$B$8,0),MATCH(H161,'G-7 Rivers Data'!$H$3:$L$3,0)),"")</f>
        <v/>
      </c>
      <c r="J161" s="418"/>
      <c r="K161" s="498" t="str">
        <f>IF(J161="","",IF(VLOOKUP(J161,'G-7 Rivers Data'!$AK$4:$AM$9,2,FALSE)=0,"Spatial Data Missing ⚠",VLOOKUP(J161,'G-7 Rivers Data'!$AK$4:$AM$9,2,FALSE)))</f>
        <v/>
      </c>
      <c r="L161" s="505" t="str">
        <f>IF(J161="","",IF(VLOOKUP(J161,'G-7 Rivers Data'!$AK$4:$AM$9,3,FALSE)=0,"Spatial Data Missing ⚠",VLOOKUP(J161,'G-7 Rivers Data'!$AK$4:$AM$9,3,FALSE)))</f>
        <v/>
      </c>
      <c r="M161" s="71"/>
      <c r="N161" s="499" t="str">
        <f>IF(M161="","",IF(VLOOKUP(M161,'G-7 Rivers Data'!$AA$4:$AB$7,2,FALSE)=0,"Spatial Data Missing ⚠",VLOOKUP(M161,'G-7 Rivers Data'!$AA$4:$AB$7,2,FALSE)))</f>
        <v/>
      </c>
      <c r="O161" s="155"/>
      <c r="P161" s="499" t="str">
        <f>IF(O161="","",IF(VLOOKUP(O161,'G-7 Rivers Data'!$AD$4:$AE$8,2,FALSE)=0,"Spatial Data Missing ⚠",VLOOKUP(O161,'G-7 Rivers Data'!$AD$4:$AE$8,2,FALSE)))</f>
        <v/>
      </c>
      <c r="Q161" s="506" t="str">
        <f>IF(D161="","",VLOOKUP(D161,'G-7 Rivers Data'!$B$2:$G$8,6,FALSE))</f>
        <v/>
      </c>
      <c r="R161" s="513" t="str">
        <f t="shared" si="16"/>
        <v/>
      </c>
      <c r="S161" s="40"/>
      <c r="T161" s="145"/>
      <c r="U161" s="157"/>
      <c r="V161" s="511" t="str">
        <f t="shared" si="17"/>
        <v/>
      </c>
      <c r="W161" s="511" t="str">
        <f t="shared" si="18"/>
        <v/>
      </c>
      <c r="X161" s="511" t="str">
        <f t="shared" si="19"/>
        <v/>
      </c>
      <c r="Y161" s="515" t="str">
        <f t="shared" si="20"/>
        <v/>
      </c>
      <c r="Z161" s="151"/>
      <c r="AA161" s="152"/>
      <c r="AG161" s="31">
        <f t="shared" si="21"/>
        <v>0</v>
      </c>
      <c r="AH161" s="156" t="str">
        <f t="shared" si="22"/>
        <v/>
      </c>
      <c r="AI161" s="156" t="str">
        <f t="shared" si="23"/>
        <v/>
      </c>
      <c r="AK161" s="156">
        <v>152</v>
      </c>
      <c r="AM161" s="156" t="str">
        <f t="array" ref="AM161">IFERROR(INDEX($AK$10:$AK$258, MATCH(0, IF(TRUE=$AH$10:$AH$258, COUNTIF($AM$9:$AM160, $AK$10:$AK$258), ""), 0)),"")</f>
        <v/>
      </c>
      <c r="AN161" s="156" t="str">
        <f t="array" ref="AN161">IFERROR(INDEX($AK$10:$AK$258, MATCH(0, IF(TRUE=$AI$10:$AI$258, COUNTIF($AN$9:$AN160, $AK$10:$AK$258), ""), 0)),"")</f>
        <v/>
      </c>
      <c r="AP161" s="31" t="str">
        <f>IFERROR(INDEX('G-7 Rivers Data'!$AZ$3:$AZ$7,MATCH(D161,'G-7 Rivers Data'!$AY$3:$AY$7,0)),"")</f>
        <v/>
      </c>
    </row>
    <row r="162" spans="3:42" ht="14" x14ac:dyDescent="0.3">
      <c r="C162" s="141">
        <v>153</v>
      </c>
      <c r="D162" s="460"/>
      <c r="E162" s="172"/>
      <c r="F162" s="498" t="str">
        <f>IF(D162="","",VLOOKUP(D162,'G-7 Rivers Data'!$B$2:$G$8,2,FALSE))</f>
        <v/>
      </c>
      <c r="G162" s="499" t="str">
        <f>IFERROR(VLOOKUP(F162,'G-7 Rivers Data'!$C$4:$D$8,2,FALSE),"")</f>
        <v/>
      </c>
      <c r="H162" s="145"/>
      <c r="I162" s="499" t="str">
        <f>IFERROR(INDEX('G-7 Rivers Data'!$H$4:$L$8,MATCH(D162,'G-7 Rivers Data'!$B$4:$B$8,0),MATCH(H162,'G-7 Rivers Data'!$H$3:$L$3,0)),"")</f>
        <v/>
      </c>
      <c r="J162" s="418"/>
      <c r="K162" s="498" t="str">
        <f>IF(J162="","",IF(VLOOKUP(J162,'G-7 Rivers Data'!$AK$4:$AM$9,2,FALSE)=0,"Spatial Data Missing ⚠",VLOOKUP(J162,'G-7 Rivers Data'!$AK$4:$AM$9,2,FALSE)))</f>
        <v/>
      </c>
      <c r="L162" s="505" t="str">
        <f>IF(J162="","",IF(VLOOKUP(J162,'G-7 Rivers Data'!$AK$4:$AM$9,3,FALSE)=0,"Spatial Data Missing ⚠",VLOOKUP(J162,'G-7 Rivers Data'!$AK$4:$AM$9,3,FALSE)))</f>
        <v/>
      </c>
      <c r="M162" s="71"/>
      <c r="N162" s="499" t="str">
        <f>IF(M162="","",IF(VLOOKUP(M162,'G-7 Rivers Data'!$AA$4:$AB$7,2,FALSE)=0,"Spatial Data Missing ⚠",VLOOKUP(M162,'G-7 Rivers Data'!$AA$4:$AB$7,2,FALSE)))</f>
        <v/>
      </c>
      <c r="O162" s="155"/>
      <c r="P162" s="499" t="str">
        <f>IF(O162="","",IF(VLOOKUP(O162,'G-7 Rivers Data'!$AD$4:$AE$8,2,FALSE)=0,"Spatial Data Missing ⚠",VLOOKUP(O162,'G-7 Rivers Data'!$AD$4:$AE$8,2,FALSE)))</f>
        <v/>
      </c>
      <c r="Q162" s="506" t="str">
        <f>IF(D162="","",VLOOKUP(D162,'G-7 Rivers Data'!$B$2:$G$8,6,FALSE))</f>
        <v/>
      </c>
      <c r="R162" s="513" t="str">
        <f t="shared" si="16"/>
        <v/>
      </c>
      <c r="S162" s="40"/>
      <c r="T162" s="145"/>
      <c r="U162" s="157"/>
      <c r="V162" s="511" t="str">
        <f t="shared" si="17"/>
        <v/>
      </c>
      <c r="W162" s="511" t="str">
        <f t="shared" si="18"/>
        <v/>
      </c>
      <c r="X162" s="511" t="str">
        <f t="shared" si="19"/>
        <v/>
      </c>
      <c r="Y162" s="515" t="str">
        <f t="shared" si="20"/>
        <v/>
      </c>
      <c r="Z162" s="151"/>
      <c r="AA162" s="152"/>
      <c r="AG162" s="31">
        <f t="shared" si="21"/>
        <v>0</v>
      </c>
      <c r="AH162" s="156" t="str">
        <f t="shared" si="22"/>
        <v/>
      </c>
      <c r="AI162" s="156" t="str">
        <f t="shared" si="23"/>
        <v/>
      </c>
      <c r="AK162" s="156">
        <v>153</v>
      </c>
      <c r="AM162" s="156" t="str">
        <f t="array" ref="AM162">IFERROR(INDEX($AK$10:$AK$258, MATCH(0, IF(TRUE=$AH$10:$AH$258, COUNTIF($AM$9:$AM161, $AK$10:$AK$258), ""), 0)),"")</f>
        <v/>
      </c>
      <c r="AN162" s="156" t="str">
        <f t="array" ref="AN162">IFERROR(INDEX($AK$10:$AK$258, MATCH(0, IF(TRUE=$AI$10:$AI$258, COUNTIF($AN$9:$AN161, $AK$10:$AK$258), ""), 0)),"")</f>
        <v/>
      </c>
      <c r="AP162" s="31" t="str">
        <f>IFERROR(INDEX('G-7 Rivers Data'!$AZ$3:$AZ$7,MATCH(D162,'G-7 Rivers Data'!$AY$3:$AY$7,0)),"")</f>
        <v/>
      </c>
    </row>
    <row r="163" spans="3:42" ht="14" x14ac:dyDescent="0.3">
      <c r="C163" s="141">
        <v>154</v>
      </c>
      <c r="D163" s="460"/>
      <c r="E163" s="172"/>
      <c r="F163" s="498" t="str">
        <f>IF(D163="","",VLOOKUP(D163,'G-7 Rivers Data'!$B$2:$G$8,2,FALSE))</f>
        <v/>
      </c>
      <c r="G163" s="499" t="str">
        <f>IFERROR(VLOOKUP(F163,'G-7 Rivers Data'!$C$4:$D$8,2,FALSE),"")</f>
        <v/>
      </c>
      <c r="H163" s="145"/>
      <c r="I163" s="499" t="str">
        <f>IFERROR(INDEX('G-7 Rivers Data'!$H$4:$L$8,MATCH(D163,'G-7 Rivers Data'!$B$4:$B$8,0),MATCH(H163,'G-7 Rivers Data'!$H$3:$L$3,0)),"")</f>
        <v/>
      </c>
      <c r="J163" s="418"/>
      <c r="K163" s="498" t="str">
        <f>IF(J163="","",IF(VLOOKUP(J163,'G-7 Rivers Data'!$AK$4:$AM$9,2,FALSE)=0,"Spatial Data Missing ⚠",VLOOKUP(J163,'G-7 Rivers Data'!$AK$4:$AM$9,2,FALSE)))</f>
        <v/>
      </c>
      <c r="L163" s="505" t="str">
        <f>IF(J163="","",IF(VLOOKUP(J163,'G-7 Rivers Data'!$AK$4:$AM$9,3,FALSE)=0,"Spatial Data Missing ⚠",VLOOKUP(J163,'G-7 Rivers Data'!$AK$4:$AM$9,3,FALSE)))</f>
        <v/>
      </c>
      <c r="M163" s="71"/>
      <c r="N163" s="499" t="str">
        <f>IF(M163="","",IF(VLOOKUP(M163,'G-7 Rivers Data'!$AA$4:$AB$7,2,FALSE)=0,"Spatial Data Missing ⚠",VLOOKUP(M163,'G-7 Rivers Data'!$AA$4:$AB$7,2,FALSE)))</f>
        <v/>
      </c>
      <c r="O163" s="155"/>
      <c r="P163" s="499" t="str">
        <f>IF(O163="","",IF(VLOOKUP(O163,'G-7 Rivers Data'!$AD$4:$AE$8,2,FALSE)=0,"Spatial Data Missing ⚠",VLOOKUP(O163,'G-7 Rivers Data'!$AD$4:$AE$8,2,FALSE)))</f>
        <v/>
      </c>
      <c r="Q163" s="506" t="str">
        <f>IF(D163="","",VLOOKUP(D163,'G-7 Rivers Data'!$B$2:$G$8,6,FALSE))</f>
        <v/>
      </c>
      <c r="R163" s="513" t="str">
        <f t="shared" si="16"/>
        <v/>
      </c>
      <c r="S163" s="40"/>
      <c r="T163" s="145"/>
      <c r="U163" s="157"/>
      <c r="V163" s="511" t="str">
        <f t="shared" si="17"/>
        <v/>
      </c>
      <c r="W163" s="511" t="str">
        <f t="shared" si="18"/>
        <v/>
      </c>
      <c r="X163" s="511" t="str">
        <f t="shared" si="19"/>
        <v/>
      </c>
      <c r="Y163" s="515" t="str">
        <f t="shared" si="20"/>
        <v/>
      </c>
      <c r="Z163" s="151"/>
      <c r="AA163" s="152"/>
      <c r="AG163" s="31">
        <f t="shared" si="21"/>
        <v>0</v>
      </c>
      <c r="AH163" s="156" t="str">
        <f t="shared" si="22"/>
        <v/>
      </c>
      <c r="AI163" s="156" t="str">
        <f t="shared" si="23"/>
        <v/>
      </c>
      <c r="AK163" s="156">
        <v>154</v>
      </c>
      <c r="AM163" s="156" t="str">
        <f t="array" ref="AM163">IFERROR(INDEX($AK$10:$AK$258, MATCH(0, IF(TRUE=$AH$10:$AH$258, COUNTIF($AM$9:$AM162, $AK$10:$AK$258), ""), 0)),"")</f>
        <v/>
      </c>
      <c r="AN163" s="156" t="str">
        <f t="array" ref="AN163">IFERROR(INDEX($AK$10:$AK$258, MATCH(0, IF(TRUE=$AI$10:$AI$258, COUNTIF($AN$9:$AN162, $AK$10:$AK$258), ""), 0)),"")</f>
        <v/>
      </c>
      <c r="AP163" s="31" t="str">
        <f>IFERROR(INDEX('G-7 Rivers Data'!$AZ$3:$AZ$7,MATCH(D163,'G-7 Rivers Data'!$AY$3:$AY$7,0)),"")</f>
        <v/>
      </c>
    </row>
    <row r="164" spans="3:42" ht="14" x14ac:dyDescent="0.3">
      <c r="C164" s="141">
        <v>155</v>
      </c>
      <c r="D164" s="460"/>
      <c r="E164" s="172"/>
      <c r="F164" s="498" t="str">
        <f>IF(D164="","",VLOOKUP(D164,'G-7 Rivers Data'!$B$2:$G$8,2,FALSE))</f>
        <v/>
      </c>
      <c r="G164" s="499" t="str">
        <f>IFERROR(VLOOKUP(F164,'G-7 Rivers Data'!$C$4:$D$8,2,FALSE),"")</f>
        <v/>
      </c>
      <c r="H164" s="145"/>
      <c r="I164" s="499" t="str">
        <f>IFERROR(INDEX('G-7 Rivers Data'!$H$4:$L$8,MATCH(D164,'G-7 Rivers Data'!$B$4:$B$8,0),MATCH(H164,'G-7 Rivers Data'!$H$3:$L$3,0)),"")</f>
        <v/>
      </c>
      <c r="J164" s="418"/>
      <c r="K164" s="498" t="str">
        <f>IF(J164="","",IF(VLOOKUP(J164,'G-7 Rivers Data'!$AK$4:$AM$9,2,FALSE)=0,"Spatial Data Missing ⚠",VLOOKUP(J164,'G-7 Rivers Data'!$AK$4:$AM$9,2,FALSE)))</f>
        <v/>
      </c>
      <c r="L164" s="505" t="str">
        <f>IF(J164="","",IF(VLOOKUP(J164,'G-7 Rivers Data'!$AK$4:$AM$9,3,FALSE)=0,"Spatial Data Missing ⚠",VLOOKUP(J164,'G-7 Rivers Data'!$AK$4:$AM$9,3,FALSE)))</f>
        <v/>
      </c>
      <c r="M164" s="71"/>
      <c r="N164" s="499" t="str">
        <f>IF(M164="","",IF(VLOOKUP(M164,'G-7 Rivers Data'!$AA$4:$AB$7,2,FALSE)=0,"Spatial Data Missing ⚠",VLOOKUP(M164,'G-7 Rivers Data'!$AA$4:$AB$7,2,FALSE)))</f>
        <v/>
      </c>
      <c r="O164" s="155"/>
      <c r="P164" s="499" t="str">
        <f>IF(O164="","",IF(VLOOKUP(O164,'G-7 Rivers Data'!$AD$4:$AE$8,2,FALSE)=0,"Spatial Data Missing ⚠",VLOOKUP(O164,'G-7 Rivers Data'!$AD$4:$AE$8,2,FALSE)))</f>
        <v/>
      </c>
      <c r="Q164" s="506" t="str">
        <f>IF(D164="","",VLOOKUP(D164,'G-7 Rivers Data'!$B$2:$G$8,6,FALSE))</f>
        <v/>
      </c>
      <c r="R164" s="513" t="str">
        <f t="shared" si="16"/>
        <v/>
      </c>
      <c r="S164" s="40"/>
      <c r="T164" s="145"/>
      <c r="U164" s="157"/>
      <c r="V164" s="511" t="str">
        <f t="shared" si="17"/>
        <v/>
      </c>
      <c r="W164" s="511" t="str">
        <f t="shared" si="18"/>
        <v/>
      </c>
      <c r="X164" s="511" t="str">
        <f t="shared" si="19"/>
        <v/>
      </c>
      <c r="Y164" s="515" t="str">
        <f t="shared" si="20"/>
        <v/>
      </c>
      <c r="Z164" s="151"/>
      <c r="AA164" s="152"/>
      <c r="AG164" s="31">
        <f t="shared" si="21"/>
        <v>0</v>
      </c>
      <c r="AH164" s="156" t="str">
        <f t="shared" si="22"/>
        <v/>
      </c>
      <c r="AI164" s="156" t="str">
        <f t="shared" si="23"/>
        <v/>
      </c>
      <c r="AK164" s="156">
        <v>155</v>
      </c>
      <c r="AM164" s="156" t="str">
        <f t="array" ref="AM164">IFERROR(INDEX($AK$10:$AK$258, MATCH(0, IF(TRUE=$AH$10:$AH$258, COUNTIF($AM$9:$AM163, $AK$10:$AK$258), ""), 0)),"")</f>
        <v/>
      </c>
      <c r="AN164" s="156" t="str">
        <f t="array" ref="AN164">IFERROR(INDEX($AK$10:$AK$258, MATCH(0, IF(TRUE=$AI$10:$AI$258, COUNTIF($AN$9:$AN163, $AK$10:$AK$258), ""), 0)),"")</f>
        <v/>
      </c>
      <c r="AP164" s="31" t="str">
        <f>IFERROR(INDEX('G-7 Rivers Data'!$AZ$3:$AZ$7,MATCH(D164,'G-7 Rivers Data'!$AY$3:$AY$7,0)),"")</f>
        <v/>
      </c>
    </row>
    <row r="165" spans="3:42" ht="14" x14ac:dyDescent="0.3">
      <c r="C165" s="141">
        <v>156</v>
      </c>
      <c r="D165" s="460"/>
      <c r="E165" s="172"/>
      <c r="F165" s="498" t="str">
        <f>IF(D165="","",VLOOKUP(D165,'G-7 Rivers Data'!$B$2:$G$8,2,FALSE))</f>
        <v/>
      </c>
      <c r="G165" s="499" t="str">
        <f>IFERROR(VLOOKUP(F165,'G-7 Rivers Data'!$C$4:$D$8,2,FALSE),"")</f>
        <v/>
      </c>
      <c r="H165" s="145"/>
      <c r="I165" s="499" t="str">
        <f>IFERROR(INDEX('G-7 Rivers Data'!$H$4:$L$8,MATCH(D165,'G-7 Rivers Data'!$B$4:$B$8,0),MATCH(H165,'G-7 Rivers Data'!$H$3:$L$3,0)),"")</f>
        <v/>
      </c>
      <c r="J165" s="418"/>
      <c r="K165" s="498" t="str">
        <f>IF(J165="","",IF(VLOOKUP(J165,'G-7 Rivers Data'!$AK$4:$AM$9,2,FALSE)=0,"Spatial Data Missing ⚠",VLOOKUP(J165,'G-7 Rivers Data'!$AK$4:$AM$9,2,FALSE)))</f>
        <v/>
      </c>
      <c r="L165" s="505" t="str">
        <f>IF(J165="","",IF(VLOOKUP(J165,'G-7 Rivers Data'!$AK$4:$AM$9,3,FALSE)=0,"Spatial Data Missing ⚠",VLOOKUP(J165,'G-7 Rivers Data'!$AK$4:$AM$9,3,FALSE)))</f>
        <v/>
      </c>
      <c r="M165" s="71"/>
      <c r="N165" s="499" t="str">
        <f>IF(M165="","",IF(VLOOKUP(M165,'G-7 Rivers Data'!$AA$4:$AB$7,2,FALSE)=0,"Spatial Data Missing ⚠",VLOOKUP(M165,'G-7 Rivers Data'!$AA$4:$AB$7,2,FALSE)))</f>
        <v/>
      </c>
      <c r="O165" s="155"/>
      <c r="P165" s="499" t="str">
        <f>IF(O165="","",IF(VLOOKUP(O165,'G-7 Rivers Data'!$AD$4:$AE$8,2,FALSE)=0,"Spatial Data Missing ⚠",VLOOKUP(O165,'G-7 Rivers Data'!$AD$4:$AE$8,2,FALSE)))</f>
        <v/>
      </c>
      <c r="Q165" s="506" t="str">
        <f>IF(D165="","",VLOOKUP(D165,'G-7 Rivers Data'!$B$2:$G$8,6,FALSE))</f>
        <v/>
      </c>
      <c r="R165" s="513" t="str">
        <f t="shared" si="16"/>
        <v/>
      </c>
      <c r="S165" s="40"/>
      <c r="T165" s="145"/>
      <c r="U165" s="157"/>
      <c r="V165" s="511" t="str">
        <f t="shared" si="17"/>
        <v/>
      </c>
      <c r="W165" s="511" t="str">
        <f t="shared" si="18"/>
        <v/>
      </c>
      <c r="X165" s="511" t="str">
        <f t="shared" si="19"/>
        <v/>
      </c>
      <c r="Y165" s="515" t="str">
        <f t="shared" si="20"/>
        <v/>
      </c>
      <c r="Z165" s="151"/>
      <c r="AA165" s="152"/>
      <c r="AG165" s="31">
        <f t="shared" si="21"/>
        <v>0</v>
      </c>
      <c r="AH165" s="156" t="str">
        <f t="shared" si="22"/>
        <v/>
      </c>
      <c r="AI165" s="156" t="str">
        <f t="shared" si="23"/>
        <v/>
      </c>
      <c r="AK165" s="156">
        <v>156</v>
      </c>
      <c r="AM165" s="156" t="str">
        <f t="array" ref="AM165">IFERROR(INDEX($AK$10:$AK$258, MATCH(0, IF(TRUE=$AH$10:$AH$258, COUNTIF($AM$9:$AM164, $AK$10:$AK$258), ""), 0)),"")</f>
        <v/>
      </c>
      <c r="AN165" s="156" t="str">
        <f t="array" ref="AN165">IFERROR(INDEX($AK$10:$AK$258, MATCH(0, IF(TRUE=$AI$10:$AI$258, COUNTIF($AN$9:$AN164, $AK$10:$AK$258), ""), 0)),"")</f>
        <v/>
      </c>
      <c r="AP165" s="31" t="str">
        <f>IFERROR(INDEX('G-7 Rivers Data'!$AZ$3:$AZ$7,MATCH(D165,'G-7 Rivers Data'!$AY$3:$AY$7,0)),"")</f>
        <v/>
      </c>
    </row>
    <row r="166" spans="3:42" ht="14" x14ac:dyDescent="0.3">
      <c r="C166" s="141">
        <v>157</v>
      </c>
      <c r="D166" s="460"/>
      <c r="E166" s="172"/>
      <c r="F166" s="498" t="str">
        <f>IF(D166="","",VLOOKUP(D166,'G-7 Rivers Data'!$B$2:$G$8,2,FALSE))</f>
        <v/>
      </c>
      <c r="G166" s="499" t="str">
        <f>IFERROR(VLOOKUP(F166,'G-7 Rivers Data'!$C$4:$D$8,2,FALSE),"")</f>
        <v/>
      </c>
      <c r="H166" s="145"/>
      <c r="I166" s="499" t="str">
        <f>IFERROR(INDEX('G-7 Rivers Data'!$H$4:$L$8,MATCH(D166,'G-7 Rivers Data'!$B$4:$B$8,0),MATCH(H166,'G-7 Rivers Data'!$H$3:$L$3,0)),"")</f>
        <v/>
      </c>
      <c r="J166" s="418"/>
      <c r="K166" s="498" t="str">
        <f>IF(J166="","",IF(VLOOKUP(J166,'G-7 Rivers Data'!$AK$4:$AM$9,2,FALSE)=0,"Spatial Data Missing ⚠",VLOOKUP(J166,'G-7 Rivers Data'!$AK$4:$AM$9,2,FALSE)))</f>
        <v/>
      </c>
      <c r="L166" s="505" t="str">
        <f>IF(J166="","",IF(VLOOKUP(J166,'G-7 Rivers Data'!$AK$4:$AM$9,3,FALSE)=0,"Spatial Data Missing ⚠",VLOOKUP(J166,'G-7 Rivers Data'!$AK$4:$AM$9,3,FALSE)))</f>
        <v/>
      </c>
      <c r="M166" s="71"/>
      <c r="N166" s="499" t="str">
        <f>IF(M166="","",IF(VLOOKUP(M166,'G-7 Rivers Data'!$AA$4:$AB$7,2,FALSE)=0,"Spatial Data Missing ⚠",VLOOKUP(M166,'G-7 Rivers Data'!$AA$4:$AB$7,2,FALSE)))</f>
        <v/>
      </c>
      <c r="O166" s="155"/>
      <c r="P166" s="499" t="str">
        <f>IF(O166="","",IF(VLOOKUP(O166,'G-7 Rivers Data'!$AD$4:$AE$8,2,FALSE)=0,"Spatial Data Missing ⚠",VLOOKUP(O166,'G-7 Rivers Data'!$AD$4:$AE$8,2,FALSE)))</f>
        <v/>
      </c>
      <c r="Q166" s="506" t="str">
        <f>IF(D166="","",VLOOKUP(D166,'G-7 Rivers Data'!$B$2:$G$8,6,FALSE))</f>
        <v/>
      </c>
      <c r="R166" s="513" t="str">
        <f t="shared" si="16"/>
        <v/>
      </c>
      <c r="S166" s="40"/>
      <c r="T166" s="145"/>
      <c r="U166" s="157"/>
      <c r="V166" s="511" t="str">
        <f t="shared" si="17"/>
        <v/>
      </c>
      <c r="W166" s="511" t="str">
        <f t="shared" si="18"/>
        <v/>
      </c>
      <c r="X166" s="511" t="str">
        <f t="shared" si="19"/>
        <v/>
      </c>
      <c r="Y166" s="515" t="str">
        <f t="shared" si="20"/>
        <v/>
      </c>
      <c r="Z166" s="151"/>
      <c r="AA166" s="152"/>
      <c r="AG166" s="31">
        <f t="shared" si="21"/>
        <v>0</v>
      </c>
      <c r="AH166" s="156" t="str">
        <f t="shared" si="22"/>
        <v/>
      </c>
      <c r="AI166" s="156" t="str">
        <f t="shared" si="23"/>
        <v/>
      </c>
      <c r="AK166" s="156">
        <v>157</v>
      </c>
      <c r="AM166" s="156" t="str">
        <f t="array" ref="AM166">IFERROR(INDEX($AK$10:$AK$258, MATCH(0, IF(TRUE=$AH$10:$AH$258, COUNTIF($AM$9:$AM165, $AK$10:$AK$258), ""), 0)),"")</f>
        <v/>
      </c>
      <c r="AN166" s="156" t="str">
        <f t="array" ref="AN166">IFERROR(INDEX($AK$10:$AK$258, MATCH(0, IF(TRUE=$AI$10:$AI$258, COUNTIF($AN$9:$AN165, $AK$10:$AK$258), ""), 0)),"")</f>
        <v/>
      </c>
      <c r="AP166" s="31" t="str">
        <f>IFERROR(INDEX('G-7 Rivers Data'!$AZ$3:$AZ$7,MATCH(D166,'G-7 Rivers Data'!$AY$3:$AY$7,0)),"")</f>
        <v/>
      </c>
    </row>
    <row r="167" spans="3:42" ht="14" x14ac:dyDescent="0.3">
      <c r="C167" s="141">
        <v>158</v>
      </c>
      <c r="D167" s="460"/>
      <c r="E167" s="172"/>
      <c r="F167" s="498" t="str">
        <f>IF(D167="","",VLOOKUP(D167,'G-7 Rivers Data'!$B$2:$G$8,2,FALSE))</f>
        <v/>
      </c>
      <c r="G167" s="499" t="str">
        <f>IFERROR(VLOOKUP(F167,'G-7 Rivers Data'!$C$4:$D$8,2,FALSE),"")</f>
        <v/>
      </c>
      <c r="H167" s="145"/>
      <c r="I167" s="499" t="str">
        <f>IFERROR(INDEX('G-7 Rivers Data'!$H$4:$L$8,MATCH(D167,'G-7 Rivers Data'!$B$4:$B$8,0),MATCH(H167,'G-7 Rivers Data'!$H$3:$L$3,0)),"")</f>
        <v/>
      </c>
      <c r="J167" s="418"/>
      <c r="K167" s="498" t="str">
        <f>IF(J167="","",IF(VLOOKUP(J167,'G-7 Rivers Data'!$AK$4:$AM$9,2,FALSE)=0,"Spatial Data Missing ⚠",VLOOKUP(J167,'G-7 Rivers Data'!$AK$4:$AM$9,2,FALSE)))</f>
        <v/>
      </c>
      <c r="L167" s="505" t="str">
        <f>IF(J167="","",IF(VLOOKUP(J167,'G-7 Rivers Data'!$AK$4:$AM$9,3,FALSE)=0,"Spatial Data Missing ⚠",VLOOKUP(J167,'G-7 Rivers Data'!$AK$4:$AM$9,3,FALSE)))</f>
        <v/>
      </c>
      <c r="M167" s="71"/>
      <c r="N167" s="499" t="str">
        <f>IF(M167="","",IF(VLOOKUP(M167,'G-7 Rivers Data'!$AA$4:$AB$7,2,FALSE)=0,"Spatial Data Missing ⚠",VLOOKUP(M167,'G-7 Rivers Data'!$AA$4:$AB$7,2,FALSE)))</f>
        <v/>
      </c>
      <c r="O167" s="155"/>
      <c r="P167" s="499" t="str">
        <f>IF(O167="","",IF(VLOOKUP(O167,'G-7 Rivers Data'!$AD$4:$AE$8,2,FALSE)=0,"Spatial Data Missing ⚠",VLOOKUP(O167,'G-7 Rivers Data'!$AD$4:$AE$8,2,FALSE)))</f>
        <v/>
      </c>
      <c r="Q167" s="506" t="str">
        <f>IF(D167="","",VLOOKUP(D167,'G-7 Rivers Data'!$B$2:$G$8,6,FALSE))</f>
        <v/>
      </c>
      <c r="R167" s="513" t="str">
        <f t="shared" si="16"/>
        <v/>
      </c>
      <c r="S167" s="40"/>
      <c r="T167" s="145"/>
      <c r="U167" s="157"/>
      <c r="V167" s="511" t="str">
        <f t="shared" si="17"/>
        <v/>
      </c>
      <c r="W167" s="511" t="str">
        <f t="shared" si="18"/>
        <v/>
      </c>
      <c r="X167" s="511" t="str">
        <f t="shared" si="19"/>
        <v/>
      </c>
      <c r="Y167" s="515" t="str">
        <f t="shared" si="20"/>
        <v/>
      </c>
      <c r="Z167" s="151"/>
      <c r="AA167" s="152"/>
      <c r="AG167" s="31">
        <f t="shared" si="21"/>
        <v>0</v>
      </c>
      <c r="AH167" s="156" t="str">
        <f t="shared" si="22"/>
        <v/>
      </c>
      <c r="AI167" s="156" t="str">
        <f t="shared" si="23"/>
        <v/>
      </c>
      <c r="AK167" s="156">
        <v>158</v>
      </c>
      <c r="AM167" s="156" t="str">
        <f t="array" ref="AM167">IFERROR(INDEX($AK$10:$AK$258, MATCH(0, IF(TRUE=$AH$10:$AH$258, COUNTIF($AM$9:$AM166, $AK$10:$AK$258), ""), 0)),"")</f>
        <v/>
      </c>
      <c r="AN167" s="156" t="str">
        <f t="array" ref="AN167">IFERROR(INDEX($AK$10:$AK$258, MATCH(0, IF(TRUE=$AI$10:$AI$258, COUNTIF($AN$9:$AN166, $AK$10:$AK$258), ""), 0)),"")</f>
        <v/>
      </c>
      <c r="AP167" s="31" t="str">
        <f>IFERROR(INDEX('G-7 Rivers Data'!$AZ$3:$AZ$7,MATCH(D167,'G-7 Rivers Data'!$AY$3:$AY$7,0)),"")</f>
        <v/>
      </c>
    </row>
    <row r="168" spans="3:42" ht="14" x14ac:dyDescent="0.3">
      <c r="C168" s="141">
        <v>159</v>
      </c>
      <c r="D168" s="460"/>
      <c r="E168" s="172"/>
      <c r="F168" s="498" t="str">
        <f>IF(D168="","",VLOOKUP(D168,'G-7 Rivers Data'!$B$2:$G$8,2,FALSE))</f>
        <v/>
      </c>
      <c r="G168" s="499" t="str">
        <f>IFERROR(VLOOKUP(F168,'G-7 Rivers Data'!$C$4:$D$8,2,FALSE),"")</f>
        <v/>
      </c>
      <c r="H168" s="145"/>
      <c r="I168" s="499" t="str">
        <f>IFERROR(INDEX('G-7 Rivers Data'!$H$4:$L$8,MATCH(D168,'G-7 Rivers Data'!$B$4:$B$8,0),MATCH(H168,'G-7 Rivers Data'!$H$3:$L$3,0)),"")</f>
        <v/>
      </c>
      <c r="J168" s="418"/>
      <c r="K168" s="498" t="str">
        <f>IF(J168="","",IF(VLOOKUP(J168,'G-7 Rivers Data'!$AK$4:$AM$9,2,FALSE)=0,"Spatial Data Missing ⚠",VLOOKUP(J168,'G-7 Rivers Data'!$AK$4:$AM$9,2,FALSE)))</f>
        <v/>
      </c>
      <c r="L168" s="505" t="str">
        <f>IF(J168="","",IF(VLOOKUP(J168,'G-7 Rivers Data'!$AK$4:$AM$9,3,FALSE)=0,"Spatial Data Missing ⚠",VLOOKUP(J168,'G-7 Rivers Data'!$AK$4:$AM$9,3,FALSE)))</f>
        <v/>
      </c>
      <c r="M168" s="71"/>
      <c r="N168" s="499" t="str">
        <f>IF(M168="","",IF(VLOOKUP(M168,'G-7 Rivers Data'!$AA$4:$AB$7,2,FALSE)=0,"Spatial Data Missing ⚠",VLOOKUP(M168,'G-7 Rivers Data'!$AA$4:$AB$7,2,FALSE)))</f>
        <v/>
      </c>
      <c r="O168" s="155"/>
      <c r="P168" s="499" t="str">
        <f>IF(O168="","",IF(VLOOKUP(O168,'G-7 Rivers Data'!$AD$4:$AE$8,2,FALSE)=0,"Spatial Data Missing ⚠",VLOOKUP(O168,'G-7 Rivers Data'!$AD$4:$AE$8,2,FALSE)))</f>
        <v/>
      </c>
      <c r="Q168" s="506" t="str">
        <f>IF(D168="","",VLOOKUP(D168,'G-7 Rivers Data'!$B$2:$G$8,6,FALSE))</f>
        <v/>
      </c>
      <c r="R168" s="513" t="str">
        <f t="shared" si="16"/>
        <v/>
      </c>
      <c r="S168" s="40"/>
      <c r="T168" s="145"/>
      <c r="U168" s="157"/>
      <c r="V168" s="511" t="str">
        <f t="shared" si="17"/>
        <v/>
      </c>
      <c r="W168" s="511" t="str">
        <f t="shared" si="18"/>
        <v/>
      </c>
      <c r="X168" s="511" t="str">
        <f t="shared" si="19"/>
        <v/>
      </c>
      <c r="Y168" s="515" t="str">
        <f t="shared" si="20"/>
        <v/>
      </c>
      <c r="Z168" s="151"/>
      <c r="AA168" s="152"/>
      <c r="AG168" s="31">
        <f t="shared" si="21"/>
        <v>0</v>
      </c>
      <c r="AH168" s="156" t="str">
        <f t="shared" si="22"/>
        <v/>
      </c>
      <c r="AI168" s="156" t="str">
        <f t="shared" si="23"/>
        <v/>
      </c>
      <c r="AK168" s="156">
        <v>159</v>
      </c>
      <c r="AM168" s="156" t="str">
        <f t="array" ref="AM168">IFERROR(INDEX($AK$10:$AK$258, MATCH(0, IF(TRUE=$AH$10:$AH$258, COUNTIF($AM$9:$AM167, $AK$10:$AK$258), ""), 0)),"")</f>
        <v/>
      </c>
      <c r="AN168" s="156" t="str">
        <f t="array" ref="AN168">IFERROR(INDEX($AK$10:$AK$258, MATCH(0, IF(TRUE=$AI$10:$AI$258, COUNTIF($AN$9:$AN167, $AK$10:$AK$258), ""), 0)),"")</f>
        <v/>
      </c>
      <c r="AP168" s="31" t="str">
        <f>IFERROR(INDEX('G-7 Rivers Data'!$AZ$3:$AZ$7,MATCH(D168,'G-7 Rivers Data'!$AY$3:$AY$7,0)),"")</f>
        <v/>
      </c>
    </row>
    <row r="169" spans="3:42" ht="14" x14ac:dyDescent="0.3">
      <c r="C169" s="141">
        <v>160</v>
      </c>
      <c r="D169" s="460"/>
      <c r="E169" s="172"/>
      <c r="F169" s="498" t="str">
        <f>IF(D169="","",VLOOKUP(D169,'G-7 Rivers Data'!$B$2:$G$8,2,FALSE))</f>
        <v/>
      </c>
      <c r="G169" s="499" t="str">
        <f>IFERROR(VLOOKUP(F169,'G-7 Rivers Data'!$C$4:$D$8,2,FALSE),"")</f>
        <v/>
      </c>
      <c r="H169" s="145"/>
      <c r="I169" s="499" t="str">
        <f>IFERROR(INDEX('G-7 Rivers Data'!$H$4:$L$8,MATCH(D169,'G-7 Rivers Data'!$B$4:$B$8,0),MATCH(H169,'G-7 Rivers Data'!$H$3:$L$3,0)),"")</f>
        <v/>
      </c>
      <c r="J169" s="418"/>
      <c r="K169" s="498" t="str">
        <f>IF(J169="","",IF(VLOOKUP(J169,'G-7 Rivers Data'!$AK$4:$AM$9,2,FALSE)=0,"Spatial Data Missing ⚠",VLOOKUP(J169,'G-7 Rivers Data'!$AK$4:$AM$9,2,FALSE)))</f>
        <v/>
      </c>
      <c r="L169" s="505" t="str">
        <f>IF(J169="","",IF(VLOOKUP(J169,'G-7 Rivers Data'!$AK$4:$AM$9,3,FALSE)=0,"Spatial Data Missing ⚠",VLOOKUP(J169,'G-7 Rivers Data'!$AK$4:$AM$9,3,FALSE)))</f>
        <v/>
      </c>
      <c r="M169" s="71"/>
      <c r="N169" s="499" t="str">
        <f>IF(M169="","",IF(VLOOKUP(M169,'G-7 Rivers Data'!$AA$4:$AB$7,2,FALSE)=0,"Spatial Data Missing ⚠",VLOOKUP(M169,'G-7 Rivers Data'!$AA$4:$AB$7,2,FALSE)))</f>
        <v/>
      </c>
      <c r="O169" s="155"/>
      <c r="P169" s="499" t="str">
        <f>IF(O169="","",IF(VLOOKUP(O169,'G-7 Rivers Data'!$AD$4:$AE$8,2,FALSE)=0,"Spatial Data Missing ⚠",VLOOKUP(O169,'G-7 Rivers Data'!$AD$4:$AE$8,2,FALSE)))</f>
        <v/>
      </c>
      <c r="Q169" s="506" t="str">
        <f>IF(D169="","",VLOOKUP(D169,'G-7 Rivers Data'!$B$2:$G$8,6,FALSE))</f>
        <v/>
      </c>
      <c r="R169" s="513" t="str">
        <f t="shared" si="16"/>
        <v/>
      </c>
      <c r="S169" s="40"/>
      <c r="T169" s="145"/>
      <c r="U169" s="157"/>
      <c r="V169" s="511" t="str">
        <f t="shared" si="17"/>
        <v/>
      </c>
      <c r="W169" s="511" t="str">
        <f t="shared" si="18"/>
        <v/>
      </c>
      <c r="X169" s="511" t="str">
        <f t="shared" si="19"/>
        <v/>
      </c>
      <c r="Y169" s="515" t="str">
        <f t="shared" si="20"/>
        <v/>
      </c>
      <c r="Z169" s="151"/>
      <c r="AA169" s="152"/>
      <c r="AG169" s="31">
        <f t="shared" si="21"/>
        <v>0</v>
      </c>
      <c r="AH169" s="156" t="str">
        <f t="shared" si="22"/>
        <v/>
      </c>
      <c r="AI169" s="156" t="str">
        <f t="shared" si="23"/>
        <v/>
      </c>
      <c r="AK169" s="156">
        <v>160</v>
      </c>
      <c r="AM169" s="156" t="str">
        <f t="array" ref="AM169">IFERROR(INDEX($AK$10:$AK$258, MATCH(0, IF(TRUE=$AH$10:$AH$258, COUNTIF($AM$9:$AM168, $AK$10:$AK$258), ""), 0)),"")</f>
        <v/>
      </c>
      <c r="AN169" s="156" t="str">
        <f t="array" ref="AN169">IFERROR(INDEX($AK$10:$AK$258, MATCH(0, IF(TRUE=$AI$10:$AI$258, COUNTIF($AN$9:$AN168, $AK$10:$AK$258), ""), 0)),"")</f>
        <v/>
      </c>
      <c r="AP169" s="31" t="str">
        <f>IFERROR(INDEX('G-7 Rivers Data'!$AZ$3:$AZ$7,MATCH(D169,'G-7 Rivers Data'!$AY$3:$AY$7,0)),"")</f>
        <v/>
      </c>
    </row>
    <row r="170" spans="3:42" ht="14" x14ac:dyDescent="0.3">
      <c r="C170" s="141">
        <v>161</v>
      </c>
      <c r="D170" s="460"/>
      <c r="E170" s="172"/>
      <c r="F170" s="498" t="str">
        <f>IF(D170="","",VLOOKUP(D170,'G-7 Rivers Data'!$B$2:$G$8,2,FALSE))</f>
        <v/>
      </c>
      <c r="G170" s="499" t="str">
        <f>IFERROR(VLOOKUP(F170,'G-7 Rivers Data'!$C$4:$D$8,2,FALSE),"")</f>
        <v/>
      </c>
      <c r="H170" s="145"/>
      <c r="I170" s="499" t="str">
        <f>IFERROR(INDEX('G-7 Rivers Data'!$H$4:$L$8,MATCH(D170,'G-7 Rivers Data'!$B$4:$B$8,0),MATCH(H170,'G-7 Rivers Data'!$H$3:$L$3,0)),"")</f>
        <v/>
      </c>
      <c r="J170" s="418"/>
      <c r="K170" s="498" t="str">
        <f>IF(J170="","",IF(VLOOKUP(J170,'G-7 Rivers Data'!$AK$4:$AM$9,2,FALSE)=0,"Spatial Data Missing ⚠",VLOOKUP(J170,'G-7 Rivers Data'!$AK$4:$AM$9,2,FALSE)))</f>
        <v/>
      </c>
      <c r="L170" s="505" t="str">
        <f>IF(J170="","",IF(VLOOKUP(J170,'G-7 Rivers Data'!$AK$4:$AM$9,3,FALSE)=0,"Spatial Data Missing ⚠",VLOOKUP(J170,'G-7 Rivers Data'!$AK$4:$AM$9,3,FALSE)))</f>
        <v/>
      </c>
      <c r="M170" s="71"/>
      <c r="N170" s="499" t="str">
        <f>IF(M170="","",IF(VLOOKUP(M170,'G-7 Rivers Data'!$AA$4:$AB$7,2,FALSE)=0,"Spatial Data Missing ⚠",VLOOKUP(M170,'G-7 Rivers Data'!$AA$4:$AB$7,2,FALSE)))</f>
        <v/>
      </c>
      <c r="O170" s="155"/>
      <c r="P170" s="499" t="str">
        <f>IF(O170="","",IF(VLOOKUP(O170,'G-7 Rivers Data'!$AD$4:$AE$8,2,FALSE)=0,"Spatial Data Missing ⚠",VLOOKUP(O170,'G-7 Rivers Data'!$AD$4:$AE$8,2,FALSE)))</f>
        <v/>
      </c>
      <c r="Q170" s="506" t="str">
        <f>IF(D170="","",VLOOKUP(D170,'G-7 Rivers Data'!$B$2:$G$8,6,FALSE))</f>
        <v/>
      </c>
      <c r="R170" s="513" t="str">
        <f t="shared" si="16"/>
        <v/>
      </c>
      <c r="S170" s="40"/>
      <c r="T170" s="145"/>
      <c r="U170" s="157"/>
      <c r="V170" s="511" t="str">
        <f t="shared" si="17"/>
        <v/>
      </c>
      <c r="W170" s="511" t="str">
        <f t="shared" si="18"/>
        <v/>
      </c>
      <c r="X170" s="511" t="str">
        <f t="shared" si="19"/>
        <v/>
      </c>
      <c r="Y170" s="515" t="str">
        <f t="shared" si="20"/>
        <v/>
      </c>
      <c r="Z170" s="151"/>
      <c r="AA170" s="152"/>
      <c r="AG170" s="31">
        <f t="shared" si="21"/>
        <v>0</v>
      </c>
      <c r="AH170" s="156" t="str">
        <f t="shared" si="22"/>
        <v/>
      </c>
      <c r="AI170" s="156" t="str">
        <f t="shared" si="23"/>
        <v/>
      </c>
      <c r="AK170" s="156">
        <v>161</v>
      </c>
      <c r="AM170" s="156" t="str">
        <f t="array" ref="AM170">IFERROR(INDEX($AK$10:$AK$258, MATCH(0, IF(TRUE=$AH$10:$AH$258, COUNTIF($AM$9:$AM169, $AK$10:$AK$258), ""), 0)),"")</f>
        <v/>
      </c>
      <c r="AN170" s="156" t="str">
        <f t="array" ref="AN170">IFERROR(INDEX($AK$10:$AK$258, MATCH(0, IF(TRUE=$AI$10:$AI$258, COUNTIF($AN$9:$AN169, $AK$10:$AK$258), ""), 0)),"")</f>
        <v/>
      </c>
      <c r="AP170" s="31" t="str">
        <f>IFERROR(INDEX('G-7 Rivers Data'!$AZ$3:$AZ$7,MATCH(D170,'G-7 Rivers Data'!$AY$3:$AY$7,0)),"")</f>
        <v/>
      </c>
    </row>
    <row r="171" spans="3:42" ht="14" x14ac:dyDescent="0.3">
      <c r="C171" s="141">
        <v>162</v>
      </c>
      <c r="D171" s="460"/>
      <c r="E171" s="172"/>
      <c r="F171" s="498" t="str">
        <f>IF(D171="","",VLOOKUP(D171,'G-7 Rivers Data'!$B$2:$G$8,2,FALSE))</f>
        <v/>
      </c>
      <c r="G171" s="499" t="str">
        <f>IFERROR(VLOOKUP(F171,'G-7 Rivers Data'!$C$4:$D$8,2,FALSE),"")</f>
        <v/>
      </c>
      <c r="H171" s="145"/>
      <c r="I171" s="499" t="str">
        <f>IFERROR(INDEX('G-7 Rivers Data'!$H$4:$L$8,MATCH(D171,'G-7 Rivers Data'!$B$4:$B$8,0),MATCH(H171,'G-7 Rivers Data'!$H$3:$L$3,0)),"")</f>
        <v/>
      </c>
      <c r="J171" s="418"/>
      <c r="K171" s="498" t="str">
        <f>IF(J171="","",IF(VLOOKUP(J171,'G-7 Rivers Data'!$AK$4:$AM$9,2,FALSE)=0,"Spatial Data Missing ⚠",VLOOKUP(J171,'G-7 Rivers Data'!$AK$4:$AM$9,2,FALSE)))</f>
        <v/>
      </c>
      <c r="L171" s="505" t="str">
        <f>IF(J171="","",IF(VLOOKUP(J171,'G-7 Rivers Data'!$AK$4:$AM$9,3,FALSE)=0,"Spatial Data Missing ⚠",VLOOKUP(J171,'G-7 Rivers Data'!$AK$4:$AM$9,3,FALSE)))</f>
        <v/>
      </c>
      <c r="M171" s="71"/>
      <c r="N171" s="499" t="str">
        <f>IF(M171="","",IF(VLOOKUP(M171,'G-7 Rivers Data'!$AA$4:$AB$7,2,FALSE)=0,"Spatial Data Missing ⚠",VLOOKUP(M171,'G-7 Rivers Data'!$AA$4:$AB$7,2,FALSE)))</f>
        <v/>
      </c>
      <c r="O171" s="155"/>
      <c r="P171" s="499" t="str">
        <f>IF(O171="","",IF(VLOOKUP(O171,'G-7 Rivers Data'!$AD$4:$AE$8,2,FALSE)=0,"Spatial Data Missing ⚠",VLOOKUP(O171,'G-7 Rivers Data'!$AD$4:$AE$8,2,FALSE)))</f>
        <v/>
      </c>
      <c r="Q171" s="506" t="str">
        <f>IF(D171="","",VLOOKUP(D171,'G-7 Rivers Data'!$B$2:$G$8,6,FALSE))</f>
        <v/>
      </c>
      <c r="R171" s="513" t="str">
        <f t="shared" si="16"/>
        <v/>
      </c>
      <c r="S171" s="40"/>
      <c r="T171" s="145"/>
      <c r="U171" s="157"/>
      <c r="V171" s="511" t="str">
        <f t="shared" si="17"/>
        <v/>
      </c>
      <c r="W171" s="511" t="str">
        <f t="shared" si="18"/>
        <v/>
      </c>
      <c r="X171" s="511" t="str">
        <f t="shared" si="19"/>
        <v/>
      </c>
      <c r="Y171" s="515" t="str">
        <f t="shared" si="20"/>
        <v/>
      </c>
      <c r="Z171" s="151"/>
      <c r="AA171" s="152"/>
      <c r="AG171" s="31">
        <f t="shared" si="21"/>
        <v>0</v>
      </c>
      <c r="AH171" s="156" t="str">
        <f t="shared" si="22"/>
        <v/>
      </c>
      <c r="AI171" s="156" t="str">
        <f t="shared" si="23"/>
        <v/>
      </c>
      <c r="AK171" s="156">
        <v>162</v>
      </c>
      <c r="AM171" s="156" t="str">
        <f t="array" ref="AM171">IFERROR(INDEX($AK$10:$AK$258, MATCH(0, IF(TRUE=$AH$10:$AH$258, COUNTIF($AM$9:$AM170, $AK$10:$AK$258), ""), 0)),"")</f>
        <v/>
      </c>
      <c r="AN171" s="156" t="str">
        <f t="array" ref="AN171">IFERROR(INDEX($AK$10:$AK$258, MATCH(0, IF(TRUE=$AI$10:$AI$258, COUNTIF($AN$9:$AN170, $AK$10:$AK$258), ""), 0)),"")</f>
        <v/>
      </c>
      <c r="AP171" s="31" t="str">
        <f>IFERROR(INDEX('G-7 Rivers Data'!$AZ$3:$AZ$7,MATCH(D171,'G-7 Rivers Data'!$AY$3:$AY$7,0)),"")</f>
        <v/>
      </c>
    </row>
    <row r="172" spans="3:42" ht="14" x14ac:dyDescent="0.3">
      <c r="C172" s="141">
        <v>163</v>
      </c>
      <c r="D172" s="460"/>
      <c r="E172" s="172"/>
      <c r="F172" s="498" t="str">
        <f>IF(D172="","",VLOOKUP(D172,'G-7 Rivers Data'!$B$2:$G$8,2,FALSE))</f>
        <v/>
      </c>
      <c r="G172" s="499" t="str">
        <f>IFERROR(VLOOKUP(F172,'G-7 Rivers Data'!$C$4:$D$8,2,FALSE),"")</f>
        <v/>
      </c>
      <c r="H172" s="145"/>
      <c r="I172" s="499" t="str">
        <f>IFERROR(INDEX('G-7 Rivers Data'!$H$4:$L$8,MATCH(D172,'G-7 Rivers Data'!$B$4:$B$8,0),MATCH(H172,'G-7 Rivers Data'!$H$3:$L$3,0)),"")</f>
        <v/>
      </c>
      <c r="J172" s="418"/>
      <c r="K172" s="498" t="str">
        <f>IF(J172="","",IF(VLOOKUP(J172,'G-7 Rivers Data'!$AK$4:$AM$9,2,FALSE)=0,"Spatial Data Missing ⚠",VLOOKUP(J172,'G-7 Rivers Data'!$AK$4:$AM$9,2,FALSE)))</f>
        <v/>
      </c>
      <c r="L172" s="505" t="str">
        <f>IF(J172="","",IF(VLOOKUP(J172,'G-7 Rivers Data'!$AK$4:$AM$9,3,FALSE)=0,"Spatial Data Missing ⚠",VLOOKUP(J172,'G-7 Rivers Data'!$AK$4:$AM$9,3,FALSE)))</f>
        <v/>
      </c>
      <c r="M172" s="71"/>
      <c r="N172" s="499" t="str">
        <f>IF(M172="","",IF(VLOOKUP(M172,'G-7 Rivers Data'!$AA$4:$AB$7,2,FALSE)=0,"Spatial Data Missing ⚠",VLOOKUP(M172,'G-7 Rivers Data'!$AA$4:$AB$7,2,FALSE)))</f>
        <v/>
      </c>
      <c r="O172" s="155"/>
      <c r="P172" s="499" t="str">
        <f>IF(O172="","",IF(VLOOKUP(O172,'G-7 Rivers Data'!$AD$4:$AE$8,2,FALSE)=0,"Spatial Data Missing ⚠",VLOOKUP(O172,'G-7 Rivers Data'!$AD$4:$AE$8,2,FALSE)))</f>
        <v/>
      </c>
      <c r="Q172" s="506" t="str">
        <f>IF(D172="","",VLOOKUP(D172,'G-7 Rivers Data'!$B$2:$G$8,6,FALSE))</f>
        <v/>
      </c>
      <c r="R172" s="513" t="str">
        <f t="shared" si="16"/>
        <v/>
      </c>
      <c r="S172" s="40"/>
      <c r="T172" s="145"/>
      <c r="U172" s="157"/>
      <c r="V172" s="511" t="str">
        <f t="shared" si="17"/>
        <v/>
      </c>
      <c r="W172" s="511" t="str">
        <f t="shared" si="18"/>
        <v/>
      </c>
      <c r="X172" s="511" t="str">
        <f t="shared" si="19"/>
        <v/>
      </c>
      <c r="Y172" s="515" t="str">
        <f t="shared" si="20"/>
        <v/>
      </c>
      <c r="Z172" s="151"/>
      <c r="AA172" s="152"/>
      <c r="AG172" s="31">
        <f t="shared" si="21"/>
        <v>0</v>
      </c>
      <c r="AH172" s="156" t="str">
        <f t="shared" si="22"/>
        <v/>
      </c>
      <c r="AI172" s="156" t="str">
        <f t="shared" si="23"/>
        <v/>
      </c>
      <c r="AK172" s="156">
        <v>163</v>
      </c>
      <c r="AM172" s="156" t="str">
        <f t="array" ref="AM172">IFERROR(INDEX($AK$10:$AK$258, MATCH(0, IF(TRUE=$AH$10:$AH$258, COUNTIF($AM$9:$AM171, $AK$10:$AK$258), ""), 0)),"")</f>
        <v/>
      </c>
      <c r="AN172" s="156" t="str">
        <f t="array" ref="AN172">IFERROR(INDEX($AK$10:$AK$258, MATCH(0, IF(TRUE=$AI$10:$AI$258, COUNTIF($AN$9:$AN171, $AK$10:$AK$258), ""), 0)),"")</f>
        <v/>
      </c>
      <c r="AP172" s="31" t="str">
        <f>IFERROR(INDEX('G-7 Rivers Data'!$AZ$3:$AZ$7,MATCH(D172,'G-7 Rivers Data'!$AY$3:$AY$7,0)),"")</f>
        <v/>
      </c>
    </row>
    <row r="173" spans="3:42" ht="14" x14ac:dyDescent="0.3">
      <c r="C173" s="141">
        <v>164</v>
      </c>
      <c r="D173" s="460"/>
      <c r="E173" s="172"/>
      <c r="F173" s="498" t="str">
        <f>IF(D173="","",VLOOKUP(D173,'G-7 Rivers Data'!$B$2:$G$8,2,FALSE))</f>
        <v/>
      </c>
      <c r="G173" s="499" t="str">
        <f>IFERROR(VLOOKUP(F173,'G-7 Rivers Data'!$C$4:$D$8,2,FALSE),"")</f>
        <v/>
      </c>
      <c r="H173" s="145"/>
      <c r="I173" s="499" t="str">
        <f>IFERROR(INDEX('G-7 Rivers Data'!$H$4:$L$8,MATCH(D173,'G-7 Rivers Data'!$B$4:$B$8,0),MATCH(H173,'G-7 Rivers Data'!$H$3:$L$3,0)),"")</f>
        <v/>
      </c>
      <c r="J173" s="418"/>
      <c r="K173" s="498" t="str">
        <f>IF(J173="","",IF(VLOOKUP(J173,'G-7 Rivers Data'!$AK$4:$AM$9,2,FALSE)=0,"Spatial Data Missing ⚠",VLOOKUP(J173,'G-7 Rivers Data'!$AK$4:$AM$9,2,FALSE)))</f>
        <v/>
      </c>
      <c r="L173" s="505" t="str">
        <f>IF(J173="","",IF(VLOOKUP(J173,'G-7 Rivers Data'!$AK$4:$AM$9,3,FALSE)=0,"Spatial Data Missing ⚠",VLOOKUP(J173,'G-7 Rivers Data'!$AK$4:$AM$9,3,FALSE)))</f>
        <v/>
      </c>
      <c r="M173" s="71"/>
      <c r="N173" s="499" t="str">
        <f>IF(M173="","",IF(VLOOKUP(M173,'G-7 Rivers Data'!$AA$4:$AB$7,2,FALSE)=0,"Spatial Data Missing ⚠",VLOOKUP(M173,'G-7 Rivers Data'!$AA$4:$AB$7,2,FALSE)))</f>
        <v/>
      </c>
      <c r="O173" s="155"/>
      <c r="P173" s="499" t="str">
        <f>IF(O173="","",IF(VLOOKUP(O173,'G-7 Rivers Data'!$AD$4:$AE$8,2,FALSE)=0,"Spatial Data Missing ⚠",VLOOKUP(O173,'G-7 Rivers Data'!$AD$4:$AE$8,2,FALSE)))</f>
        <v/>
      </c>
      <c r="Q173" s="506" t="str">
        <f>IF(D173="","",VLOOKUP(D173,'G-7 Rivers Data'!$B$2:$G$8,6,FALSE))</f>
        <v/>
      </c>
      <c r="R173" s="513" t="str">
        <f t="shared" si="16"/>
        <v/>
      </c>
      <c r="S173" s="40"/>
      <c r="T173" s="145"/>
      <c r="U173" s="157"/>
      <c r="V173" s="511" t="str">
        <f t="shared" si="17"/>
        <v/>
      </c>
      <c r="W173" s="511" t="str">
        <f t="shared" si="18"/>
        <v/>
      </c>
      <c r="X173" s="511" t="str">
        <f t="shared" si="19"/>
        <v/>
      </c>
      <c r="Y173" s="515" t="str">
        <f t="shared" si="20"/>
        <v/>
      </c>
      <c r="Z173" s="151"/>
      <c r="AA173" s="152"/>
      <c r="AG173" s="31">
        <f t="shared" si="21"/>
        <v>0</v>
      </c>
      <c r="AH173" s="156" t="str">
        <f t="shared" si="22"/>
        <v/>
      </c>
      <c r="AI173" s="156" t="str">
        <f t="shared" si="23"/>
        <v/>
      </c>
      <c r="AK173" s="156">
        <v>164</v>
      </c>
      <c r="AM173" s="156" t="str">
        <f t="array" ref="AM173">IFERROR(INDEX($AK$10:$AK$258, MATCH(0, IF(TRUE=$AH$10:$AH$258, COUNTIF($AM$9:$AM172, $AK$10:$AK$258), ""), 0)),"")</f>
        <v/>
      </c>
      <c r="AN173" s="156" t="str">
        <f t="array" ref="AN173">IFERROR(INDEX($AK$10:$AK$258, MATCH(0, IF(TRUE=$AI$10:$AI$258, COUNTIF($AN$9:$AN172, $AK$10:$AK$258), ""), 0)),"")</f>
        <v/>
      </c>
      <c r="AP173" s="31" t="str">
        <f>IFERROR(INDEX('G-7 Rivers Data'!$AZ$3:$AZ$7,MATCH(D173,'G-7 Rivers Data'!$AY$3:$AY$7,0)),"")</f>
        <v/>
      </c>
    </row>
    <row r="174" spans="3:42" ht="14" x14ac:dyDescent="0.3">
      <c r="C174" s="141">
        <v>165</v>
      </c>
      <c r="D174" s="460"/>
      <c r="E174" s="172"/>
      <c r="F174" s="498" t="str">
        <f>IF(D174="","",VLOOKUP(D174,'G-7 Rivers Data'!$B$2:$G$8,2,FALSE))</f>
        <v/>
      </c>
      <c r="G174" s="499" t="str">
        <f>IFERROR(VLOOKUP(F174,'G-7 Rivers Data'!$C$4:$D$8,2,FALSE),"")</f>
        <v/>
      </c>
      <c r="H174" s="145"/>
      <c r="I174" s="499" t="str">
        <f>IFERROR(INDEX('G-7 Rivers Data'!$H$4:$L$8,MATCH(D174,'G-7 Rivers Data'!$B$4:$B$8,0),MATCH(H174,'G-7 Rivers Data'!$H$3:$L$3,0)),"")</f>
        <v/>
      </c>
      <c r="J174" s="418"/>
      <c r="K174" s="498" t="str">
        <f>IF(J174="","",IF(VLOOKUP(J174,'G-7 Rivers Data'!$AK$4:$AM$9,2,FALSE)=0,"Spatial Data Missing ⚠",VLOOKUP(J174,'G-7 Rivers Data'!$AK$4:$AM$9,2,FALSE)))</f>
        <v/>
      </c>
      <c r="L174" s="505" t="str">
        <f>IF(J174="","",IF(VLOOKUP(J174,'G-7 Rivers Data'!$AK$4:$AM$9,3,FALSE)=0,"Spatial Data Missing ⚠",VLOOKUP(J174,'G-7 Rivers Data'!$AK$4:$AM$9,3,FALSE)))</f>
        <v/>
      </c>
      <c r="M174" s="71"/>
      <c r="N174" s="499" t="str">
        <f>IF(M174="","",IF(VLOOKUP(M174,'G-7 Rivers Data'!$AA$4:$AB$7,2,FALSE)=0,"Spatial Data Missing ⚠",VLOOKUP(M174,'G-7 Rivers Data'!$AA$4:$AB$7,2,FALSE)))</f>
        <v/>
      </c>
      <c r="O174" s="155"/>
      <c r="P174" s="499" t="str">
        <f>IF(O174="","",IF(VLOOKUP(O174,'G-7 Rivers Data'!$AD$4:$AE$8,2,FALSE)=0,"Spatial Data Missing ⚠",VLOOKUP(O174,'G-7 Rivers Data'!$AD$4:$AE$8,2,FALSE)))</f>
        <v/>
      </c>
      <c r="Q174" s="506" t="str">
        <f>IF(D174="","",VLOOKUP(D174,'G-7 Rivers Data'!$B$2:$G$8,6,FALSE))</f>
        <v/>
      </c>
      <c r="R174" s="513" t="str">
        <f t="shared" si="16"/>
        <v/>
      </c>
      <c r="S174" s="40"/>
      <c r="T174" s="145"/>
      <c r="U174" s="157"/>
      <c r="V174" s="511" t="str">
        <f t="shared" si="17"/>
        <v/>
      </c>
      <c r="W174" s="511" t="str">
        <f t="shared" si="18"/>
        <v/>
      </c>
      <c r="X174" s="511" t="str">
        <f t="shared" si="19"/>
        <v/>
      </c>
      <c r="Y174" s="515" t="str">
        <f t="shared" si="20"/>
        <v/>
      </c>
      <c r="Z174" s="151"/>
      <c r="AA174" s="152"/>
      <c r="AG174" s="31">
        <f t="shared" si="21"/>
        <v>0</v>
      </c>
      <c r="AH174" s="156" t="str">
        <f t="shared" si="22"/>
        <v/>
      </c>
      <c r="AI174" s="156" t="str">
        <f t="shared" si="23"/>
        <v/>
      </c>
      <c r="AK174" s="156">
        <v>165</v>
      </c>
      <c r="AM174" s="156" t="str">
        <f t="array" ref="AM174">IFERROR(INDEX($AK$10:$AK$258, MATCH(0, IF(TRUE=$AH$10:$AH$258, COUNTIF($AM$9:$AM173, $AK$10:$AK$258), ""), 0)),"")</f>
        <v/>
      </c>
      <c r="AN174" s="156" t="str">
        <f t="array" ref="AN174">IFERROR(INDEX($AK$10:$AK$258, MATCH(0, IF(TRUE=$AI$10:$AI$258, COUNTIF($AN$9:$AN173, $AK$10:$AK$258), ""), 0)),"")</f>
        <v/>
      </c>
      <c r="AP174" s="31" t="str">
        <f>IFERROR(INDEX('G-7 Rivers Data'!$AZ$3:$AZ$7,MATCH(D174,'G-7 Rivers Data'!$AY$3:$AY$7,0)),"")</f>
        <v/>
      </c>
    </row>
    <row r="175" spans="3:42" ht="14" x14ac:dyDescent="0.3">
      <c r="C175" s="141">
        <v>166</v>
      </c>
      <c r="D175" s="460"/>
      <c r="E175" s="172"/>
      <c r="F175" s="498" t="str">
        <f>IF(D175="","",VLOOKUP(D175,'G-7 Rivers Data'!$B$2:$G$8,2,FALSE))</f>
        <v/>
      </c>
      <c r="G175" s="499" t="str">
        <f>IFERROR(VLOOKUP(F175,'G-7 Rivers Data'!$C$4:$D$8,2,FALSE),"")</f>
        <v/>
      </c>
      <c r="H175" s="145"/>
      <c r="I175" s="499" t="str">
        <f>IFERROR(INDEX('G-7 Rivers Data'!$H$4:$L$8,MATCH(D175,'G-7 Rivers Data'!$B$4:$B$8,0),MATCH(H175,'G-7 Rivers Data'!$H$3:$L$3,0)),"")</f>
        <v/>
      </c>
      <c r="J175" s="418"/>
      <c r="K175" s="498" t="str">
        <f>IF(J175="","",IF(VLOOKUP(J175,'G-7 Rivers Data'!$AK$4:$AM$9,2,FALSE)=0,"Spatial Data Missing ⚠",VLOOKUP(J175,'G-7 Rivers Data'!$AK$4:$AM$9,2,FALSE)))</f>
        <v/>
      </c>
      <c r="L175" s="505" t="str">
        <f>IF(J175="","",IF(VLOOKUP(J175,'G-7 Rivers Data'!$AK$4:$AM$9,3,FALSE)=0,"Spatial Data Missing ⚠",VLOOKUP(J175,'G-7 Rivers Data'!$AK$4:$AM$9,3,FALSE)))</f>
        <v/>
      </c>
      <c r="M175" s="71"/>
      <c r="N175" s="499" t="str">
        <f>IF(M175="","",IF(VLOOKUP(M175,'G-7 Rivers Data'!$AA$4:$AB$7,2,FALSE)=0,"Spatial Data Missing ⚠",VLOOKUP(M175,'G-7 Rivers Data'!$AA$4:$AB$7,2,FALSE)))</f>
        <v/>
      </c>
      <c r="O175" s="155"/>
      <c r="P175" s="499" t="str">
        <f>IF(O175="","",IF(VLOOKUP(O175,'G-7 Rivers Data'!$AD$4:$AE$8,2,FALSE)=0,"Spatial Data Missing ⚠",VLOOKUP(O175,'G-7 Rivers Data'!$AD$4:$AE$8,2,FALSE)))</f>
        <v/>
      </c>
      <c r="Q175" s="506" t="str">
        <f>IF(D175="","",VLOOKUP(D175,'G-7 Rivers Data'!$B$2:$G$8,6,FALSE))</f>
        <v/>
      </c>
      <c r="R175" s="513" t="str">
        <f t="shared" si="16"/>
        <v/>
      </c>
      <c r="S175" s="40"/>
      <c r="T175" s="145"/>
      <c r="U175" s="157"/>
      <c r="V175" s="511" t="str">
        <f t="shared" si="17"/>
        <v/>
      </c>
      <c r="W175" s="511" t="str">
        <f t="shared" si="18"/>
        <v/>
      </c>
      <c r="X175" s="511" t="str">
        <f t="shared" si="19"/>
        <v/>
      </c>
      <c r="Y175" s="515" t="str">
        <f t="shared" si="20"/>
        <v/>
      </c>
      <c r="Z175" s="151"/>
      <c r="AA175" s="152"/>
      <c r="AG175" s="31">
        <f t="shared" si="21"/>
        <v>0</v>
      </c>
      <c r="AH175" s="156" t="str">
        <f t="shared" si="22"/>
        <v/>
      </c>
      <c r="AI175" s="156" t="str">
        <f t="shared" si="23"/>
        <v/>
      </c>
      <c r="AK175" s="156">
        <v>166</v>
      </c>
      <c r="AM175" s="156" t="str">
        <f t="array" ref="AM175">IFERROR(INDEX($AK$10:$AK$258, MATCH(0, IF(TRUE=$AH$10:$AH$258, COUNTIF($AM$9:$AM174, $AK$10:$AK$258), ""), 0)),"")</f>
        <v/>
      </c>
      <c r="AN175" s="156" t="str">
        <f t="array" ref="AN175">IFERROR(INDEX($AK$10:$AK$258, MATCH(0, IF(TRUE=$AI$10:$AI$258, COUNTIF($AN$9:$AN174, $AK$10:$AK$258), ""), 0)),"")</f>
        <v/>
      </c>
      <c r="AP175" s="31" t="str">
        <f>IFERROR(INDEX('G-7 Rivers Data'!$AZ$3:$AZ$7,MATCH(D175,'G-7 Rivers Data'!$AY$3:$AY$7,0)),"")</f>
        <v/>
      </c>
    </row>
    <row r="176" spans="3:42" ht="14" x14ac:dyDescent="0.3">
      <c r="C176" s="141">
        <v>167</v>
      </c>
      <c r="D176" s="460"/>
      <c r="E176" s="172"/>
      <c r="F176" s="498" t="str">
        <f>IF(D176="","",VLOOKUP(D176,'G-7 Rivers Data'!$B$2:$G$8,2,FALSE))</f>
        <v/>
      </c>
      <c r="G176" s="499" t="str">
        <f>IFERROR(VLOOKUP(F176,'G-7 Rivers Data'!$C$4:$D$8,2,FALSE),"")</f>
        <v/>
      </c>
      <c r="H176" s="145"/>
      <c r="I176" s="499" t="str">
        <f>IFERROR(INDEX('G-7 Rivers Data'!$H$4:$L$8,MATCH(D176,'G-7 Rivers Data'!$B$4:$B$8,0),MATCH(H176,'G-7 Rivers Data'!$H$3:$L$3,0)),"")</f>
        <v/>
      </c>
      <c r="J176" s="418"/>
      <c r="K176" s="498" t="str">
        <f>IF(J176="","",IF(VLOOKUP(J176,'G-7 Rivers Data'!$AK$4:$AM$9,2,FALSE)=0,"Spatial Data Missing ⚠",VLOOKUP(J176,'G-7 Rivers Data'!$AK$4:$AM$9,2,FALSE)))</f>
        <v/>
      </c>
      <c r="L176" s="505" t="str">
        <f>IF(J176="","",IF(VLOOKUP(J176,'G-7 Rivers Data'!$AK$4:$AM$9,3,FALSE)=0,"Spatial Data Missing ⚠",VLOOKUP(J176,'G-7 Rivers Data'!$AK$4:$AM$9,3,FALSE)))</f>
        <v/>
      </c>
      <c r="M176" s="71"/>
      <c r="N176" s="499" t="str">
        <f>IF(M176="","",IF(VLOOKUP(M176,'G-7 Rivers Data'!$AA$4:$AB$7,2,FALSE)=0,"Spatial Data Missing ⚠",VLOOKUP(M176,'G-7 Rivers Data'!$AA$4:$AB$7,2,FALSE)))</f>
        <v/>
      </c>
      <c r="O176" s="155"/>
      <c r="P176" s="499" t="str">
        <f>IF(O176="","",IF(VLOOKUP(O176,'G-7 Rivers Data'!$AD$4:$AE$8,2,FALSE)=0,"Spatial Data Missing ⚠",VLOOKUP(O176,'G-7 Rivers Data'!$AD$4:$AE$8,2,FALSE)))</f>
        <v/>
      </c>
      <c r="Q176" s="506" t="str">
        <f>IF(D176="","",VLOOKUP(D176,'G-7 Rivers Data'!$B$2:$G$8,6,FALSE))</f>
        <v/>
      </c>
      <c r="R176" s="513" t="str">
        <f t="shared" si="16"/>
        <v/>
      </c>
      <c r="S176" s="40"/>
      <c r="T176" s="145"/>
      <c r="U176" s="157"/>
      <c r="V176" s="511" t="str">
        <f t="shared" si="17"/>
        <v/>
      </c>
      <c r="W176" s="511" t="str">
        <f t="shared" si="18"/>
        <v/>
      </c>
      <c r="X176" s="511" t="str">
        <f t="shared" si="19"/>
        <v/>
      </c>
      <c r="Y176" s="515" t="str">
        <f t="shared" si="20"/>
        <v/>
      </c>
      <c r="Z176" s="151"/>
      <c r="AA176" s="152"/>
      <c r="AG176" s="31">
        <f t="shared" si="21"/>
        <v>0</v>
      </c>
      <c r="AH176" s="156" t="str">
        <f t="shared" si="22"/>
        <v/>
      </c>
      <c r="AI176" s="156" t="str">
        <f t="shared" si="23"/>
        <v/>
      </c>
      <c r="AK176" s="156">
        <v>167</v>
      </c>
      <c r="AM176" s="156" t="str">
        <f t="array" ref="AM176">IFERROR(INDEX($AK$10:$AK$258, MATCH(0, IF(TRUE=$AH$10:$AH$258, COUNTIF($AM$9:$AM175, $AK$10:$AK$258), ""), 0)),"")</f>
        <v/>
      </c>
      <c r="AN176" s="156" t="str">
        <f t="array" ref="AN176">IFERROR(INDEX($AK$10:$AK$258, MATCH(0, IF(TRUE=$AI$10:$AI$258, COUNTIF($AN$9:$AN175, $AK$10:$AK$258), ""), 0)),"")</f>
        <v/>
      </c>
      <c r="AP176" s="31" t="str">
        <f>IFERROR(INDEX('G-7 Rivers Data'!$AZ$3:$AZ$7,MATCH(D176,'G-7 Rivers Data'!$AY$3:$AY$7,0)),"")</f>
        <v/>
      </c>
    </row>
    <row r="177" spans="3:42" ht="14" x14ac:dyDescent="0.3">
      <c r="C177" s="141">
        <v>168</v>
      </c>
      <c r="D177" s="460"/>
      <c r="E177" s="172"/>
      <c r="F177" s="498" t="str">
        <f>IF(D177="","",VLOOKUP(D177,'G-7 Rivers Data'!$B$2:$G$8,2,FALSE))</f>
        <v/>
      </c>
      <c r="G177" s="499" t="str">
        <f>IFERROR(VLOOKUP(F177,'G-7 Rivers Data'!$C$4:$D$8,2,FALSE),"")</f>
        <v/>
      </c>
      <c r="H177" s="145"/>
      <c r="I177" s="499" t="str">
        <f>IFERROR(INDEX('G-7 Rivers Data'!$H$4:$L$8,MATCH(D177,'G-7 Rivers Data'!$B$4:$B$8,0),MATCH(H177,'G-7 Rivers Data'!$H$3:$L$3,0)),"")</f>
        <v/>
      </c>
      <c r="J177" s="418"/>
      <c r="K177" s="498" t="str">
        <f>IF(J177="","",IF(VLOOKUP(J177,'G-7 Rivers Data'!$AK$4:$AM$9,2,FALSE)=0,"Spatial Data Missing ⚠",VLOOKUP(J177,'G-7 Rivers Data'!$AK$4:$AM$9,2,FALSE)))</f>
        <v/>
      </c>
      <c r="L177" s="505" t="str">
        <f>IF(J177="","",IF(VLOOKUP(J177,'G-7 Rivers Data'!$AK$4:$AM$9,3,FALSE)=0,"Spatial Data Missing ⚠",VLOOKUP(J177,'G-7 Rivers Data'!$AK$4:$AM$9,3,FALSE)))</f>
        <v/>
      </c>
      <c r="M177" s="71"/>
      <c r="N177" s="499" t="str">
        <f>IF(M177="","",IF(VLOOKUP(M177,'G-7 Rivers Data'!$AA$4:$AB$7,2,FALSE)=0,"Spatial Data Missing ⚠",VLOOKUP(M177,'G-7 Rivers Data'!$AA$4:$AB$7,2,FALSE)))</f>
        <v/>
      </c>
      <c r="O177" s="155"/>
      <c r="P177" s="499" t="str">
        <f>IF(O177="","",IF(VLOOKUP(O177,'G-7 Rivers Data'!$AD$4:$AE$8,2,FALSE)=0,"Spatial Data Missing ⚠",VLOOKUP(O177,'G-7 Rivers Data'!$AD$4:$AE$8,2,FALSE)))</f>
        <v/>
      </c>
      <c r="Q177" s="506" t="str">
        <f>IF(D177="","",VLOOKUP(D177,'G-7 Rivers Data'!$B$2:$G$8,6,FALSE))</f>
        <v/>
      </c>
      <c r="R177" s="513" t="str">
        <f t="shared" si="16"/>
        <v/>
      </c>
      <c r="S177" s="40"/>
      <c r="T177" s="145"/>
      <c r="U177" s="157"/>
      <c r="V177" s="511" t="str">
        <f t="shared" si="17"/>
        <v/>
      </c>
      <c r="W177" s="511" t="str">
        <f t="shared" si="18"/>
        <v/>
      </c>
      <c r="X177" s="511" t="str">
        <f t="shared" si="19"/>
        <v/>
      </c>
      <c r="Y177" s="515" t="str">
        <f t="shared" si="20"/>
        <v/>
      </c>
      <c r="Z177" s="151"/>
      <c r="AA177" s="152"/>
      <c r="AG177" s="31">
        <f t="shared" si="21"/>
        <v>0</v>
      </c>
      <c r="AH177" s="156" t="str">
        <f t="shared" si="22"/>
        <v/>
      </c>
      <c r="AI177" s="156" t="str">
        <f t="shared" si="23"/>
        <v/>
      </c>
      <c r="AK177" s="156">
        <v>168</v>
      </c>
      <c r="AM177" s="156" t="str">
        <f t="array" ref="AM177">IFERROR(INDEX($AK$10:$AK$258, MATCH(0, IF(TRUE=$AH$10:$AH$258, COUNTIF($AM$9:$AM176, $AK$10:$AK$258), ""), 0)),"")</f>
        <v/>
      </c>
      <c r="AN177" s="156" t="str">
        <f t="array" ref="AN177">IFERROR(INDEX($AK$10:$AK$258, MATCH(0, IF(TRUE=$AI$10:$AI$258, COUNTIF($AN$9:$AN176, $AK$10:$AK$258), ""), 0)),"")</f>
        <v/>
      </c>
      <c r="AP177" s="31" t="str">
        <f>IFERROR(INDEX('G-7 Rivers Data'!$AZ$3:$AZ$7,MATCH(D177,'G-7 Rivers Data'!$AY$3:$AY$7,0)),"")</f>
        <v/>
      </c>
    </row>
    <row r="178" spans="3:42" ht="14" x14ac:dyDescent="0.3">
      <c r="C178" s="141">
        <v>169</v>
      </c>
      <c r="D178" s="460"/>
      <c r="E178" s="172"/>
      <c r="F178" s="498" t="str">
        <f>IF(D178="","",VLOOKUP(D178,'G-7 Rivers Data'!$B$2:$G$8,2,FALSE))</f>
        <v/>
      </c>
      <c r="G178" s="499" t="str">
        <f>IFERROR(VLOOKUP(F178,'G-7 Rivers Data'!$C$4:$D$8,2,FALSE),"")</f>
        <v/>
      </c>
      <c r="H178" s="145"/>
      <c r="I178" s="499" t="str">
        <f>IFERROR(INDEX('G-7 Rivers Data'!$H$4:$L$8,MATCH(D178,'G-7 Rivers Data'!$B$4:$B$8,0),MATCH(H178,'G-7 Rivers Data'!$H$3:$L$3,0)),"")</f>
        <v/>
      </c>
      <c r="J178" s="418"/>
      <c r="K178" s="498" t="str">
        <f>IF(J178="","",IF(VLOOKUP(J178,'G-7 Rivers Data'!$AK$4:$AM$9,2,FALSE)=0,"Spatial Data Missing ⚠",VLOOKUP(J178,'G-7 Rivers Data'!$AK$4:$AM$9,2,FALSE)))</f>
        <v/>
      </c>
      <c r="L178" s="505" t="str">
        <f>IF(J178="","",IF(VLOOKUP(J178,'G-7 Rivers Data'!$AK$4:$AM$9,3,FALSE)=0,"Spatial Data Missing ⚠",VLOOKUP(J178,'G-7 Rivers Data'!$AK$4:$AM$9,3,FALSE)))</f>
        <v/>
      </c>
      <c r="M178" s="71"/>
      <c r="N178" s="499" t="str">
        <f>IF(M178="","",IF(VLOOKUP(M178,'G-7 Rivers Data'!$AA$4:$AB$7,2,FALSE)=0,"Spatial Data Missing ⚠",VLOOKUP(M178,'G-7 Rivers Data'!$AA$4:$AB$7,2,FALSE)))</f>
        <v/>
      </c>
      <c r="O178" s="155"/>
      <c r="P178" s="499" t="str">
        <f>IF(O178="","",IF(VLOOKUP(O178,'G-7 Rivers Data'!$AD$4:$AE$8,2,FALSE)=0,"Spatial Data Missing ⚠",VLOOKUP(O178,'G-7 Rivers Data'!$AD$4:$AE$8,2,FALSE)))</f>
        <v/>
      </c>
      <c r="Q178" s="506" t="str">
        <f>IF(D178="","",VLOOKUP(D178,'G-7 Rivers Data'!$B$2:$G$8,6,FALSE))</f>
        <v/>
      </c>
      <c r="R178" s="513" t="str">
        <f t="shared" si="16"/>
        <v/>
      </c>
      <c r="S178" s="40"/>
      <c r="T178" s="145"/>
      <c r="U178" s="157"/>
      <c r="V178" s="511" t="str">
        <f t="shared" si="17"/>
        <v/>
      </c>
      <c r="W178" s="511" t="str">
        <f t="shared" si="18"/>
        <v/>
      </c>
      <c r="X178" s="511" t="str">
        <f t="shared" si="19"/>
        <v/>
      </c>
      <c r="Y178" s="515" t="str">
        <f t="shared" si="20"/>
        <v/>
      </c>
      <c r="Z178" s="151"/>
      <c r="AA178" s="152"/>
      <c r="AG178" s="31">
        <f t="shared" si="21"/>
        <v>0</v>
      </c>
      <c r="AH178" s="156" t="str">
        <f t="shared" si="22"/>
        <v/>
      </c>
      <c r="AI178" s="156" t="str">
        <f t="shared" si="23"/>
        <v/>
      </c>
      <c r="AK178" s="156">
        <v>169</v>
      </c>
      <c r="AM178" s="156" t="str">
        <f t="array" ref="AM178">IFERROR(INDEX($AK$10:$AK$258, MATCH(0, IF(TRUE=$AH$10:$AH$258, COUNTIF($AM$9:$AM177, $AK$10:$AK$258), ""), 0)),"")</f>
        <v/>
      </c>
      <c r="AN178" s="156" t="str">
        <f t="array" ref="AN178">IFERROR(INDEX($AK$10:$AK$258, MATCH(0, IF(TRUE=$AI$10:$AI$258, COUNTIF($AN$9:$AN177, $AK$10:$AK$258), ""), 0)),"")</f>
        <v/>
      </c>
      <c r="AP178" s="31" t="str">
        <f>IFERROR(INDEX('G-7 Rivers Data'!$AZ$3:$AZ$7,MATCH(D178,'G-7 Rivers Data'!$AY$3:$AY$7,0)),"")</f>
        <v/>
      </c>
    </row>
    <row r="179" spans="3:42" ht="14" x14ac:dyDescent="0.3">
      <c r="C179" s="141">
        <v>170</v>
      </c>
      <c r="D179" s="460"/>
      <c r="E179" s="172"/>
      <c r="F179" s="498" t="str">
        <f>IF(D179="","",VLOOKUP(D179,'G-7 Rivers Data'!$B$2:$G$8,2,FALSE))</f>
        <v/>
      </c>
      <c r="G179" s="499" t="str">
        <f>IFERROR(VLOOKUP(F179,'G-7 Rivers Data'!$C$4:$D$8,2,FALSE),"")</f>
        <v/>
      </c>
      <c r="H179" s="145"/>
      <c r="I179" s="499" t="str">
        <f>IFERROR(INDEX('G-7 Rivers Data'!$H$4:$L$8,MATCH(D179,'G-7 Rivers Data'!$B$4:$B$8,0),MATCH(H179,'G-7 Rivers Data'!$H$3:$L$3,0)),"")</f>
        <v/>
      </c>
      <c r="J179" s="418"/>
      <c r="K179" s="498" t="str">
        <f>IF(J179="","",IF(VLOOKUP(J179,'G-7 Rivers Data'!$AK$4:$AM$9,2,FALSE)=0,"Spatial Data Missing ⚠",VLOOKUP(J179,'G-7 Rivers Data'!$AK$4:$AM$9,2,FALSE)))</f>
        <v/>
      </c>
      <c r="L179" s="505" t="str">
        <f>IF(J179="","",IF(VLOOKUP(J179,'G-7 Rivers Data'!$AK$4:$AM$9,3,FALSE)=0,"Spatial Data Missing ⚠",VLOOKUP(J179,'G-7 Rivers Data'!$AK$4:$AM$9,3,FALSE)))</f>
        <v/>
      </c>
      <c r="M179" s="71"/>
      <c r="N179" s="499" t="str">
        <f>IF(M179="","",IF(VLOOKUP(M179,'G-7 Rivers Data'!$AA$4:$AB$7,2,FALSE)=0,"Spatial Data Missing ⚠",VLOOKUP(M179,'G-7 Rivers Data'!$AA$4:$AB$7,2,FALSE)))</f>
        <v/>
      </c>
      <c r="O179" s="155"/>
      <c r="P179" s="499" t="str">
        <f>IF(O179="","",IF(VLOOKUP(O179,'G-7 Rivers Data'!$AD$4:$AE$8,2,FALSE)=0,"Spatial Data Missing ⚠",VLOOKUP(O179,'G-7 Rivers Data'!$AD$4:$AE$8,2,FALSE)))</f>
        <v/>
      </c>
      <c r="Q179" s="506" t="str">
        <f>IF(D179="","",VLOOKUP(D179,'G-7 Rivers Data'!$B$2:$G$8,6,FALSE))</f>
        <v/>
      </c>
      <c r="R179" s="513" t="str">
        <f t="shared" si="16"/>
        <v/>
      </c>
      <c r="S179" s="40"/>
      <c r="T179" s="145"/>
      <c r="U179" s="157"/>
      <c r="V179" s="511" t="str">
        <f t="shared" si="17"/>
        <v/>
      </c>
      <c r="W179" s="511" t="str">
        <f t="shared" si="18"/>
        <v/>
      </c>
      <c r="X179" s="511" t="str">
        <f t="shared" si="19"/>
        <v/>
      </c>
      <c r="Y179" s="515" t="str">
        <f t="shared" si="20"/>
        <v/>
      </c>
      <c r="Z179" s="151"/>
      <c r="AA179" s="152"/>
      <c r="AG179" s="31">
        <f t="shared" si="21"/>
        <v>0</v>
      </c>
      <c r="AH179" s="156" t="str">
        <f t="shared" si="22"/>
        <v/>
      </c>
      <c r="AI179" s="156" t="str">
        <f t="shared" si="23"/>
        <v/>
      </c>
      <c r="AK179" s="156">
        <v>170</v>
      </c>
      <c r="AM179" s="156" t="str">
        <f t="array" ref="AM179">IFERROR(INDEX($AK$10:$AK$258, MATCH(0, IF(TRUE=$AH$10:$AH$258, COUNTIF($AM$9:$AM178, $AK$10:$AK$258), ""), 0)),"")</f>
        <v/>
      </c>
      <c r="AN179" s="156" t="str">
        <f t="array" ref="AN179">IFERROR(INDEX($AK$10:$AK$258, MATCH(0, IF(TRUE=$AI$10:$AI$258, COUNTIF($AN$9:$AN178, $AK$10:$AK$258), ""), 0)),"")</f>
        <v/>
      </c>
      <c r="AP179" s="31" t="str">
        <f>IFERROR(INDEX('G-7 Rivers Data'!$AZ$3:$AZ$7,MATCH(D179,'G-7 Rivers Data'!$AY$3:$AY$7,0)),"")</f>
        <v/>
      </c>
    </row>
    <row r="180" spans="3:42" ht="14" x14ac:dyDescent="0.3">
      <c r="C180" s="141">
        <v>171</v>
      </c>
      <c r="D180" s="460"/>
      <c r="E180" s="172"/>
      <c r="F180" s="498" t="str">
        <f>IF(D180="","",VLOOKUP(D180,'G-7 Rivers Data'!$B$2:$G$8,2,FALSE))</f>
        <v/>
      </c>
      <c r="G180" s="499" t="str">
        <f>IFERROR(VLOOKUP(F180,'G-7 Rivers Data'!$C$4:$D$8,2,FALSE),"")</f>
        <v/>
      </c>
      <c r="H180" s="145"/>
      <c r="I180" s="499" t="str">
        <f>IFERROR(INDEX('G-7 Rivers Data'!$H$4:$L$8,MATCH(D180,'G-7 Rivers Data'!$B$4:$B$8,0),MATCH(H180,'G-7 Rivers Data'!$H$3:$L$3,0)),"")</f>
        <v/>
      </c>
      <c r="J180" s="418"/>
      <c r="K180" s="498" t="str">
        <f>IF(J180="","",IF(VLOOKUP(J180,'G-7 Rivers Data'!$AK$4:$AM$9,2,FALSE)=0,"Spatial Data Missing ⚠",VLOOKUP(J180,'G-7 Rivers Data'!$AK$4:$AM$9,2,FALSE)))</f>
        <v/>
      </c>
      <c r="L180" s="505" t="str">
        <f>IF(J180="","",IF(VLOOKUP(J180,'G-7 Rivers Data'!$AK$4:$AM$9,3,FALSE)=0,"Spatial Data Missing ⚠",VLOOKUP(J180,'G-7 Rivers Data'!$AK$4:$AM$9,3,FALSE)))</f>
        <v/>
      </c>
      <c r="M180" s="71"/>
      <c r="N180" s="499" t="str">
        <f>IF(M180="","",IF(VLOOKUP(M180,'G-7 Rivers Data'!$AA$4:$AB$7,2,FALSE)=0,"Spatial Data Missing ⚠",VLOOKUP(M180,'G-7 Rivers Data'!$AA$4:$AB$7,2,FALSE)))</f>
        <v/>
      </c>
      <c r="O180" s="155"/>
      <c r="P180" s="499" t="str">
        <f>IF(O180="","",IF(VLOOKUP(O180,'G-7 Rivers Data'!$AD$4:$AE$8,2,FALSE)=0,"Spatial Data Missing ⚠",VLOOKUP(O180,'G-7 Rivers Data'!$AD$4:$AE$8,2,FALSE)))</f>
        <v/>
      </c>
      <c r="Q180" s="506" t="str">
        <f>IF(D180="","",VLOOKUP(D180,'G-7 Rivers Data'!$B$2:$G$8,6,FALSE))</f>
        <v/>
      </c>
      <c r="R180" s="513" t="str">
        <f t="shared" si="16"/>
        <v/>
      </c>
      <c r="S180" s="40"/>
      <c r="T180" s="145"/>
      <c r="U180" s="157"/>
      <c r="V180" s="511" t="str">
        <f t="shared" si="17"/>
        <v/>
      </c>
      <c r="W180" s="511" t="str">
        <f t="shared" si="18"/>
        <v/>
      </c>
      <c r="X180" s="511" t="str">
        <f t="shared" si="19"/>
        <v/>
      </c>
      <c r="Y180" s="515" t="str">
        <f t="shared" si="20"/>
        <v/>
      </c>
      <c r="Z180" s="151"/>
      <c r="AA180" s="152"/>
      <c r="AG180" s="31">
        <f t="shared" si="21"/>
        <v>0</v>
      </c>
      <c r="AH180" s="156" t="str">
        <f t="shared" si="22"/>
        <v/>
      </c>
      <c r="AI180" s="156" t="str">
        <f t="shared" si="23"/>
        <v/>
      </c>
      <c r="AK180" s="156">
        <v>171</v>
      </c>
      <c r="AM180" s="156" t="str">
        <f t="array" ref="AM180">IFERROR(INDEX($AK$10:$AK$258, MATCH(0, IF(TRUE=$AH$10:$AH$258, COUNTIF($AM$9:$AM179, $AK$10:$AK$258), ""), 0)),"")</f>
        <v/>
      </c>
      <c r="AN180" s="156" t="str">
        <f t="array" ref="AN180">IFERROR(INDEX($AK$10:$AK$258, MATCH(0, IF(TRUE=$AI$10:$AI$258, COUNTIF($AN$9:$AN179, $AK$10:$AK$258), ""), 0)),"")</f>
        <v/>
      </c>
      <c r="AP180" s="31" t="str">
        <f>IFERROR(INDEX('G-7 Rivers Data'!$AZ$3:$AZ$7,MATCH(D180,'G-7 Rivers Data'!$AY$3:$AY$7,0)),"")</f>
        <v/>
      </c>
    </row>
    <row r="181" spans="3:42" ht="14" x14ac:dyDescent="0.3">
      <c r="C181" s="141">
        <v>172</v>
      </c>
      <c r="D181" s="460"/>
      <c r="E181" s="172"/>
      <c r="F181" s="498" t="str">
        <f>IF(D181="","",VLOOKUP(D181,'G-7 Rivers Data'!$B$2:$G$8,2,FALSE))</f>
        <v/>
      </c>
      <c r="G181" s="499" t="str">
        <f>IFERROR(VLOOKUP(F181,'G-7 Rivers Data'!$C$4:$D$8,2,FALSE),"")</f>
        <v/>
      </c>
      <c r="H181" s="145"/>
      <c r="I181" s="499" t="str">
        <f>IFERROR(INDEX('G-7 Rivers Data'!$H$4:$L$8,MATCH(D181,'G-7 Rivers Data'!$B$4:$B$8,0),MATCH(H181,'G-7 Rivers Data'!$H$3:$L$3,0)),"")</f>
        <v/>
      </c>
      <c r="J181" s="418"/>
      <c r="K181" s="498" t="str">
        <f>IF(J181="","",IF(VLOOKUP(J181,'G-7 Rivers Data'!$AK$4:$AM$9,2,FALSE)=0,"Spatial Data Missing ⚠",VLOOKUP(J181,'G-7 Rivers Data'!$AK$4:$AM$9,2,FALSE)))</f>
        <v/>
      </c>
      <c r="L181" s="505" t="str">
        <f>IF(J181="","",IF(VLOOKUP(J181,'G-7 Rivers Data'!$AK$4:$AM$9,3,FALSE)=0,"Spatial Data Missing ⚠",VLOOKUP(J181,'G-7 Rivers Data'!$AK$4:$AM$9,3,FALSE)))</f>
        <v/>
      </c>
      <c r="M181" s="71"/>
      <c r="N181" s="499" t="str">
        <f>IF(M181="","",IF(VLOOKUP(M181,'G-7 Rivers Data'!$AA$4:$AB$7,2,FALSE)=0,"Spatial Data Missing ⚠",VLOOKUP(M181,'G-7 Rivers Data'!$AA$4:$AB$7,2,FALSE)))</f>
        <v/>
      </c>
      <c r="O181" s="155"/>
      <c r="P181" s="499" t="str">
        <f>IF(O181="","",IF(VLOOKUP(O181,'G-7 Rivers Data'!$AD$4:$AE$8,2,FALSE)=0,"Spatial Data Missing ⚠",VLOOKUP(O181,'G-7 Rivers Data'!$AD$4:$AE$8,2,FALSE)))</f>
        <v/>
      </c>
      <c r="Q181" s="506" t="str">
        <f>IF(D181="","",VLOOKUP(D181,'G-7 Rivers Data'!$B$2:$G$8,6,FALSE))</f>
        <v/>
      </c>
      <c r="R181" s="513" t="str">
        <f t="shared" si="16"/>
        <v/>
      </c>
      <c r="S181" s="40"/>
      <c r="T181" s="145"/>
      <c r="U181" s="157"/>
      <c r="V181" s="511" t="str">
        <f t="shared" si="17"/>
        <v/>
      </c>
      <c r="W181" s="511" t="str">
        <f t="shared" si="18"/>
        <v/>
      </c>
      <c r="X181" s="511" t="str">
        <f t="shared" si="19"/>
        <v/>
      </c>
      <c r="Y181" s="515" t="str">
        <f t="shared" si="20"/>
        <v/>
      </c>
      <c r="Z181" s="151"/>
      <c r="AA181" s="152"/>
      <c r="AG181" s="31">
        <f t="shared" si="21"/>
        <v>0</v>
      </c>
      <c r="AH181" s="156" t="str">
        <f t="shared" si="22"/>
        <v/>
      </c>
      <c r="AI181" s="156" t="str">
        <f t="shared" si="23"/>
        <v/>
      </c>
      <c r="AK181" s="156">
        <v>172</v>
      </c>
      <c r="AM181" s="156" t="str">
        <f t="array" ref="AM181">IFERROR(INDEX($AK$10:$AK$258, MATCH(0, IF(TRUE=$AH$10:$AH$258, COUNTIF($AM$9:$AM180, $AK$10:$AK$258), ""), 0)),"")</f>
        <v/>
      </c>
      <c r="AN181" s="156" t="str">
        <f t="array" ref="AN181">IFERROR(INDEX($AK$10:$AK$258, MATCH(0, IF(TRUE=$AI$10:$AI$258, COUNTIF($AN$9:$AN180, $AK$10:$AK$258), ""), 0)),"")</f>
        <v/>
      </c>
      <c r="AP181" s="31" t="str">
        <f>IFERROR(INDEX('G-7 Rivers Data'!$AZ$3:$AZ$7,MATCH(D181,'G-7 Rivers Data'!$AY$3:$AY$7,0)),"")</f>
        <v/>
      </c>
    </row>
    <row r="182" spans="3:42" ht="14" x14ac:dyDescent="0.3">
      <c r="C182" s="141">
        <v>173</v>
      </c>
      <c r="D182" s="460"/>
      <c r="E182" s="172"/>
      <c r="F182" s="498" t="str">
        <f>IF(D182="","",VLOOKUP(D182,'G-7 Rivers Data'!$B$2:$G$8,2,FALSE))</f>
        <v/>
      </c>
      <c r="G182" s="499" t="str">
        <f>IFERROR(VLOOKUP(F182,'G-7 Rivers Data'!$C$4:$D$8,2,FALSE),"")</f>
        <v/>
      </c>
      <c r="H182" s="145"/>
      <c r="I182" s="499" t="str">
        <f>IFERROR(INDEX('G-7 Rivers Data'!$H$4:$L$8,MATCH(D182,'G-7 Rivers Data'!$B$4:$B$8,0),MATCH(H182,'G-7 Rivers Data'!$H$3:$L$3,0)),"")</f>
        <v/>
      </c>
      <c r="J182" s="418"/>
      <c r="K182" s="498" t="str">
        <f>IF(J182="","",IF(VLOOKUP(J182,'G-7 Rivers Data'!$AK$4:$AM$9,2,FALSE)=0,"Spatial Data Missing ⚠",VLOOKUP(J182,'G-7 Rivers Data'!$AK$4:$AM$9,2,FALSE)))</f>
        <v/>
      </c>
      <c r="L182" s="505" t="str">
        <f>IF(J182="","",IF(VLOOKUP(J182,'G-7 Rivers Data'!$AK$4:$AM$9,3,FALSE)=0,"Spatial Data Missing ⚠",VLOOKUP(J182,'G-7 Rivers Data'!$AK$4:$AM$9,3,FALSE)))</f>
        <v/>
      </c>
      <c r="M182" s="71"/>
      <c r="N182" s="499" t="str">
        <f>IF(M182="","",IF(VLOOKUP(M182,'G-7 Rivers Data'!$AA$4:$AB$7,2,FALSE)=0,"Spatial Data Missing ⚠",VLOOKUP(M182,'G-7 Rivers Data'!$AA$4:$AB$7,2,FALSE)))</f>
        <v/>
      </c>
      <c r="O182" s="155"/>
      <c r="P182" s="499" t="str">
        <f>IF(O182="","",IF(VLOOKUP(O182,'G-7 Rivers Data'!$AD$4:$AE$8,2,FALSE)=0,"Spatial Data Missing ⚠",VLOOKUP(O182,'G-7 Rivers Data'!$AD$4:$AE$8,2,FALSE)))</f>
        <v/>
      </c>
      <c r="Q182" s="506" t="str">
        <f>IF(D182="","",VLOOKUP(D182,'G-7 Rivers Data'!$B$2:$G$8,6,FALSE))</f>
        <v/>
      </c>
      <c r="R182" s="513" t="str">
        <f t="shared" si="16"/>
        <v/>
      </c>
      <c r="S182" s="40"/>
      <c r="T182" s="145"/>
      <c r="U182" s="157"/>
      <c r="V182" s="511" t="str">
        <f t="shared" si="17"/>
        <v/>
      </c>
      <c r="W182" s="511" t="str">
        <f t="shared" si="18"/>
        <v/>
      </c>
      <c r="X182" s="511" t="str">
        <f t="shared" si="19"/>
        <v/>
      </c>
      <c r="Y182" s="515" t="str">
        <f t="shared" si="20"/>
        <v/>
      </c>
      <c r="Z182" s="151"/>
      <c r="AA182" s="152"/>
      <c r="AG182" s="31">
        <f t="shared" si="21"/>
        <v>0</v>
      </c>
      <c r="AH182" s="156" t="str">
        <f t="shared" si="22"/>
        <v/>
      </c>
      <c r="AI182" s="156" t="str">
        <f t="shared" si="23"/>
        <v/>
      </c>
      <c r="AK182" s="156">
        <v>173</v>
      </c>
      <c r="AM182" s="156" t="str">
        <f t="array" ref="AM182">IFERROR(INDEX($AK$10:$AK$258, MATCH(0, IF(TRUE=$AH$10:$AH$258, COUNTIF($AM$9:$AM181, $AK$10:$AK$258), ""), 0)),"")</f>
        <v/>
      </c>
      <c r="AN182" s="156" t="str">
        <f t="array" ref="AN182">IFERROR(INDEX($AK$10:$AK$258, MATCH(0, IF(TRUE=$AI$10:$AI$258, COUNTIF($AN$9:$AN181, $AK$10:$AK$258), ""), 0)),"")</f>
        <v/>
      </c>
      <c r="AP182" s="31" t="str">
        <f>IFERROR(INDEX('G-7 Rivers Data'!$AZ$3:$AZ$7,MATCH(D182,'G-7 Rivers Data'!$AY$3:$AY$7,0)),"")</f>
        <v/>
      </c>
    </row>
    <row r="183" spans="3:42" ht="14" x14ac:dyDescent="0.3">
      <c r="C183" s="141">
        <v>174</v>
      </c>
      <c r="D183" s="460"/>
      <c r="E183" s="172"/>
      <c r="F183" s="498" t="str">
        <f>IF(D183="","",VLOOKUP(D183,'G-7 Rivers Data'!$B$2:$G$8,2,FALSE))</f>
        <v/>
      </c>
      <c r="G183" s="499" t="str">
        <f>IFERROR(VLOOKUP(F183,'G-7 Rivers Data'!$C$4:$D$8,2,FALSE),"")</f>
        <v/>
      </c>
      <c r="H183" s="145"/>
      <c r="I183" s="499" t="str">
        <f>IFERROR(INDEX('G-7 Rivers Data'!$H$4:$L$8,MATCH(D183,'G-7 Rivers Data'!$B$4:$B$8,0),MATCH(H183,'G-7 Rivers Data'!$H$3:$L$3,0)),"")</f>
        <v/>
      </c>
      <c r="J183" s="418"/>
      <c r="K183" s="498" t="str">
        <f>IF(J183="","",IF(VLOOKUP(J183,'G-7 Rivers Data'!$AK$4:$AM$9,2,FALSE)=0,"Spatial Data Missing ⚠",VLOOKUP(J183,'G-7 Rivers Data'!$AK$4:$AM$9,2,FALSE)))</f>
        <v/>
      </c>
      <c r="L183" s="505" t="str">
        <f>IF(J183="","",IF(VLOOKUP(J183,'G-7 Rivers Data'!$AK$4:$AM$9,3,FALSE)=0,"Spatial Data Missing ⚠",VLOOKUP(J183,'G-7 Rivers Data'!$AK$4:$AM$9,3,FALSE)))</f>
        <v/>
      </c>
      <c r="M183" s="71"/>
      <c r="N183" s="499" t="str">
        <f>IF(M183="","",IF(VLOOKUP(M183,'G-7 Rivers Data'!$AA$4:$AB$7,2,FALSE)=0,"Spatial Data Missing ⚠",VLOOKUP(M183,'G-7 Rivers Data'!$AA$4:$AB$7,2,FALSE)))</f>
        <v/>
      </c>
      <c r="O183" s="155"/>
      <c r="P183" s="499" t="str">
        <f>IF(O183="","",IF(VLOOKUP(O183,'G-7 Rivers Data'!$AD$4:$AE$8,2,FALSE)=0,"Spatial Data Missing ⚠",VLOOKUP(O183,'G-7 Rivers Data'!$AD$4:$AE$8,2,FALSE)))</f>
        <v/>
      </c>
      <c r="Q183" s="506" t="str">
        <f>IF(D183="","",VLOOKUP(D183,'G-7 Rivers Data'!$B$2:$G$8,6,FALSE))</f>
        <v/>
      </c>
      <c r="R183" s="513" t="str">
        <f t="shared" si="16"/>
        <v/>
      </c>
      <c r="S183" s="40"/>
      <c r="T183" s="145"/>
      <c r="U183" s="157"/>
      <c r="V183" s="511" t="str">
        <f t="shared" si="17"/>
        <v/>
      </c>
      <c r="W183" s="511" t="str">
        <f t="shared" si="18"/>
        <v/>
      </c>
      <c r="X183" s="511" t="str">
        <f t="shared" si="19"/>
        <v/>
      </c>
      <c r="Y183" s="515" t="str">
        <f t="shared" si="20"/>
        <v/>
      </c>
      <c r="Z183" s="151"/>
      <c r="AA183" s="152"/>
      <c r="AG183" s="31">
        <f t="shared" si="21"/>
        <v>0</v>
      </c>
      <c r="AH183" s="156" t="str">
        <f t="shared" si="22"/>
        <v/>
      </c>
      <c r="AI183" s="156" t="str">
        <f t="shared" si="23"/>
        <v/>
      </c>
      <c r="AK183" s="156">
        <v>174</v>
      </c>
      <c r="AM183" s="156" t="str">
        <f t="array" ref="AM183">IFERROR(INDEX($AK$10:$AK$258, MATCH(0, IF(TRUE=$AH$10:$AH$258, COUNTIF($AM$9:$AM182, $AK$10:$AK$258), ""), 0)),"")</f>
        <v/>
      </c>
      <c r="AN183" s="156" t="str">
        <f t="array" ref="AN183">IFERROR(INDEX($AK$10:$AK$258, MATCH(0, IF(TRUE=$AI$10:$AI$258, COUNTIF($AN$9:$AN182, $AK$10:$AK$258), ""), 0)),"")</f>
        <v/>
      </c>
      <c r="AP183" s="31" t="str">
        <f>IFERROR(INDEX('G-7 Rivers Data'!$AZ$3:$AZ$7,MATCH(D183,'G-7 Rivers Data'!$AY$3:$AY$7,0)),"")</f>
        <v/>
      </c>
    </row>
    <row r="184" spans="3:42" ht="14" x14ac:dyDescent="0.3">
      <c r="C184" s="141">
        <v>175</v>
      </c>
      <c r="D184" s="460"/>
      <c r="E184" s="172"/>
      <c r="F184" s="498" t="str">
        <f>IF(D184="","",VLOOKUP(D184,'G-7 Rivers Data'!$B$2:$G$8,2,FALSE))</f>
        <v/>
      </c>
      <c r="G184" s="499" t="str">
        <f>IFERROR(VLOOKUP(F184,'G-7 Rivers Data'!$C$4:$D$8,2,FALSE),"")</f>
        <v/>
      </c>
      <c r="H184" s="145"/>
      <c r="I184" s="499" t="str">
        <f>IFERROR(INDEX('G-7 Rivers Data'!$H$4:$L$8,MATCH(D184,'G-7 Rivers Data'!$B$4:$B$8,0),MATCH(H184,'G-7 Rivers Data'!$H$3:$L$3,0)),"")</f>
        <v/>
      </c>
      <c r="J184" s="418"/>
      <c r="K184" s="498" t="str">
        <f>IF(J184="","",IF(VLOOKUP(J184,'G-7 Rivers Data'!$AK$4:$AM$9,2,FALSE)=0,"Spatial Data Missing ⚠",VLOOKUP(J184,'G-7 Rivers Data'!$AK$4:$AM$9,2,FALSE)))</f>
        <v/>
      </c>
      <c r="L184" s="505" t="str">
        <f>IF(J184="","",IF(VLOOKUP(J184,'G-7 Rivers Data'!$AK$4:$AM$9,3,FALSE)=0,"Spatial Data Missing ⚠",VLOOKUP(J184,'G-7 Rivers Data'!$AK$4:$AM$9,3,FALSE)))</f>
        <v/>
      </c>
      <c r="M184" s="71"/>
      <c r="N184" s="499" t="str">
        <f>IF(M184="","",IF(VLOOKUP(M184,'G-7 Rivers Data'!$AA$4:$AB$7,2,FALSE)=0,"Spatial Data Missing ⚠",VLOOKUP(M184,'G-7 Rivers Data'!$AA$4:$AB$7,2,FALSE)))</f>
        <v/>
      </c>
      <c r="O184" s="155"/>
      <c r="P184" s="499" t="str">
        <f>IF(O184="","",IF(VLOOKUP(O184,'G-7 Rivers Data'!$AD$4:$AE$8,2,FALSE)=0,"Spatial Data Missing ⚠",VLOOKUP(O184,'G-7 Rivers Data'!$AD$4:$AE$8,2,FALSE)))</f>
        <v/>
      </c>
      <c r="Q184" s="506" t="str">
        <f>IF(D184="","",VLOOKUP(D184,'G-7 Rivers Data'!$B$2:$G$8,6,FALSE))</f>
        <v/>
      </c>
      <c r="R184" s="513" t="str">
        <f t="shared" si="16"/>
        <v/>
      </c>
      <c r="S184" s="40"/>
      <c r="T184" s="145"/>
      <c r="U184" s="157"/>
      <c r="V184" s="511" t="str">
        <f t="shared" si="17"/>
        <v/>
      </c>
      <c r="W184" s="511" t="str">
        <f t="shared" si="18"/>
        <v/>
      </c>
      <c r="X184" s="511" t="str">
        <f t="shared" si="19"/>
        <v/>
      </c>
      <c r="Y184" s="515" t="str">
        <f t="shared" si="20"/>
        <v/>
      </c>
      <c r="Z184" s="151"/>
      <c r="AA184" s="152"/>
      <c r="AG184" s="31">
        <f t="shared" si="21"/>
        <v>0</v>
      </c>
      <c r="AH184" s="156" t="str">
        <f t="shared" si="22"/>
        <v/>
      </c>
      <c r="AI184" s="156" t="str">
        <f t="shared" si="23"/>
        <v/>
      </c>
      <c r="AK184" s="156">
        <v>175</v>
      </c>
      <c r="AM184" s="156" t="str">
        <f t="array" ref="AM184">IFERROR(INDEX($AK$10:$AK$258, MATCH(0, IF(TRUE=$AH$10:$AH$258, COUNTIF($AM$9:$AM183, $AK$10:$AK$258), ""), 0)),"")</f>
        <v/>
      </c>
      <c r="AN184" s="156" t="str">
        <f t="array" ref="AN184">IFERROR(INDEX($AK$10:$AK$258, MATCH(0, IF(TRUE=$AI$10:$AI$258, COUNTIF($AN$9:$AN183, $AK$10:$AK$258), ""), 0)),"")</f>
        <v/>
      </c>
      <c r="AP184" s="31" t="str">
        <f>IFERROR(INDEX('G-7 Rivers Data'!$AZ$3:$AZ$7,MATCH(D184,'G-7 Rivers Data'!$AY$3:$AY$7,0)),"")</f>
        <v/>
      </c>
    </row>
    <row r="185" spans="3:42" ht="14" x14ac:dyDescent="0.3">
      <c r="C185" s="141">
        <v>176</v>
      </c>
      <c r="D185" s="460"/>
      <c r="E185" s="172"/>
      <c r="F185" s="498" t="str">
        <f>IF(D185="","",VLOOKUP(D185,'G-7 Rivers Data'!$B$2:$G$8,2,FALSE))</f>
        <v/>
      </c>
      <c r="G185" s="499" t="str">
        <f>IFERROR(VLOOKUP(F185,'G-7 Rivers Data'!$C$4:$D$8,2,FALSE),"")</f>
        <v/>
      </c>
      <c r="H185" s="145"/>
      <c r="I185" s="499" t="str">
        <f>IFERROR(INDEX('G-7 Rivers Data'!$H$4:$L$8,MATCH(D185,'G-7 Rivers Data'!$B$4:$B$8,0),MATCH(H185,'G-7 Rivers Data'!$H$3:$L$3,0)),"")</f>
        <v/>
      </c>
      <c r="J185" s="418"/>
      <c r="K185" s="498" t="str">
        <f>IF(J185="","",IF(VLOOKUP(J185,'G-7 Rivers Data'!$AK$4:$AM$9,2,FALSE)=0,"Spatial Data Missing ⚠",VLOOKUP(J185,'G-7 Rivers Data'!$AK$4:$AM$9,2,FALSE)))</f>
        <v/>
      </c>
      <c r="L185" s="505" t="str">
        <f>IF(J185="","",IF(VLOOKUP(J185,'G-7 Rivers Data'!$AK$4:$AM$9,3,FALSE)=0,"Spatial Data Missing ⚠",VLOOKUP(J185,'G-7 Rivers Data'!$AK$4:$AM$9,3,FALSE)))</f>
        <v/>
      </c>
      <c r="M185" s="71"/>
      <c r="N185" s="499" t="str">
        <f>IF(M185="","",IF(VLOOKUP(M185,'G-7 Rivers Data'!$AA$4:$AB$7,2,FALSE)=0,"Spatial Data Missing ⚠",VLOOKUP(M185,'G-7 Rivers Data'!$AA$4:$AB$7,2,FALSE)))</f>
        <v/>
      </c>
      <c r="O185" s="155"/>
      <c r="P185" s="499" t="str">
        <f>IF(O185="","",IF(VLOOKUP(O185,'G-7 Rivers Data'!$AD$4:$AE$8,2,FALSE)=0,"Spatial Data Missing ⚠",VLOOKUP(O185,'G-7 Rivers Data'!$AD$4:$AE$8,2,FALSE)))</f>
        <v/>
      </c>
      <c r="Q185" s="506" t="str">
        <f>IF(D185="","",VLOOKUP(D185,'G-7 Rivers Data'!$B$2:$G$8,6,FALSE))</f>
        <v/>
      </c>
      <c r="R185" s="513" t="str">
        <f t="shared" si="16"/>
        <v/>
      </c>
      <c r="S185" s="40"/>
      <c r="T185" s="145"/>
      <c r="U185" s="157"/>
      <c r="V185" s="511" t="str">
        <f t="shared" si="17"/>
        <v/>
      </c>
      <c r="W185" s="511" t="str">
        <f t="shared" si="18"/>
        <v/>
      </c>
      <c r="X185" s="511" t="str">
        <f t="shared" si="19"/>
        <v/>
      </c>
      <c r="Y185" s="515" t="str">
        <f t="shared" si="20"/>
        <v/>
      </c>
      <c r="Z185" s="151"/>
      <c r="AA185" s="152"/>
      <c r="AG185" s="31">
        <f t="shared" si="21"/>
        <v>0</v>
      </c>
      <c r="AH185" s="156" t="str">
        <f t="shared" si="22"/>
        <v/>
      </c>
      <c r="AI185" s="156" t="str">
        <f t="shared" si="23"/>
        <v/>
      </c>
      <c r="AK185" s="156">
        <v>176</v>
      </c>
      <c r="AM185" s="156" t="str">
        <f t="array" ref="AM185">IFERROR(INDEX($AK$10:$AK$258, MATCH(0, IF(TRUE=$AH$10:$AH$258, COUNTIF($AM$9:$AM184, $AK$10:$AK$258), ""), 0)),"")</f>
        <v/>
      </c>
      <c r="AN185" s="156" t="str">
        <f t="array" ref="AN185">IFERROR(INDEX($AK$10:$AK$258, MATCH(0, IF(TRUE=$AI$10:$AI$258, COUNTIF($AN$9:$AN184, $AK$10:$AK$258), ""), 0)),"")</f>
        <v/>
      </c>
      <c r="AP185" s="31" t="str">
        <f>IFERROR(INDEX('G-7 Rivers Data'!$AZ$3:$AZ$7,MATCH(D185,'G-7 Rivers Data'!$AY$3:$AY$7,0)),"")</f>
        <v/>
      </c>
    </row>
    <row r="186" spans="3:42" ht="14" x14ac:dyDescent="0.3">
      <c r="C186" s="141">
        <v>177</v>
      </c>
      <c r="D186" s="460"/>
      <c r="E186" s="172"/>
      <c r="F186" s="498" t="str">
        <f>IF(D186="","",VLOOKUP(D186,'G-7 Rivers Data'!$B$2:$G$8,2,FALSE))</f>
        <v/>
      </c>
      <c r="G186" s="499" t="str">
        <f>IFERROR(VLOOKUP(F186,'G-7 Rivers Data'!$C$4:$D$8,2,FALSE),"")</f>
        <v/>
      </c>
      <c r="H186" s="145"/>
      <c r="I186" s="499" t="str">
        <f>IFERROR(INDEX('G-7 Rivers Data'!$H$4:$L$8,MATCH(D186,'G-7 Rivers Data'!$B$4:$B$8,0),MATCH(H186,'G-7 Rivers Data'!$H$3:$L$3,0)),"")</f>
        <v/>
      </c>
      <c r="J186" s="418"/>
      <c r="K186" s="498" t="str">
        <f>IF(J186="","",IF(VLOOKUP(J186,'G-7 Rivers Data'!$AK$4:$AM$9,2,FALSE)=0,"Spatial Data Missing ⚠",VLOOKUP(J186,'G-7 Rivers Data'!$AK$4:$AM$9,2,FALSE)))</f>
        <v/>
      </c>
      <c r="L186" s="505" t="str">
        <f>IF(J186="","",IF(VLOOKUP(J186,'G-7 Rivers Data'!$AK$4:$AM$9,3,FALSE)=0,"Spatial Data Missing ⚠",VLOOKUP(J186,'G-7 Rivers Data'!$AK$4:$AM$9,3,FALSE)))</f>
        <v/>
      </c>
      <c r="M186" s="71"/>
      <c r="N186" s="499" t="str">
        <f>IF(M186="","",IF(VLOOKUP(M186,'G-7 Rivers Data'!$AA$4:$AB$7,2,FALSE)=0,"Spatial Data Missing ⚠",VLOOKUP(M186,'G-7 Rivers Data'!$AA$4:$AB$7,2,FALSE)))</f>
        <v/>
      </c>
      <c r="O186" s="155"/>
      <c r="P186" s="499" t="str">
        <f>IF(O186="","",IF(VLOOKUP(O186,'G-7 Rivers Data'!$AD$4:$AE$8,2,FALSE)=0,"Spatial Data Missing ⚠",VLOOKUP(O186,'G-7 Rivers Data'!$AD$4:$AE$8,2,FALSE)))</f>
        <v/>
      </c>
      <c r="Q186" s="506" t="str">
        <f>IF(D186="","",VLOOKUP(D186,'G-7 Rivers Data'!$B$2:$G$8,6,FALSE))</f>
        <v/>
      </c>
      <c r="R186" s="513" t="str">
        <f t="shared" si="16"/>
        <v/>
      </c>
      <c r="S186" s="40"/>
      <c r="T186" s="145"/>
      <c r="U186" s="157"/>
      <c r="V186" s="511" t="str">
        <f t="shared" si="17"/>
        <v/>
      </c>
      <c r="W186" s="511" t="str">
        <f t="shared" si="18"/>
        <v/>
      </c>
      <c r="X186" s="511" t="str">
        <f t="shared" si="19"/>
        <v/>
      </c>
      <c r="Y186" s="515" t="str">
        <f t="shared" si="20"/>
        <v/>
      </c>
      <c r="Z186" s="151"/>
      <c r="AA186" s="152"/>
      <c r="AG186" s="31">
        <f t="shared" si="21"/>
        <v>0</v>
      </c>
      <c r="AH186" s="156" t="str">
        <f t="shared" si="22"/>
        <v/>
      </c>
      <c r="AI186" s="156" t="str">
        <f t="shared" si="23"/>
        <v/>
      </c>
      <c r="AK186" s="156">
        <v>177</v>
      </c>
      <c r="AM186" s="156" t="str">
        <f t="array" ref="AM186">IFERROR(INDEX($AK$10:$AK$258, MATCH(0, IF(TRUE=$AH$10:$AH$258, COUNTIF($AM$9:$AM185, $AK$10:$AK$258), ""), 0)),"")</f>
        <v/>
      </c>
      <c r="AN186" s="156" t="str">
        <f t="array" ref="AN186">IFERROR(INDEX($AK$10:$AK$258, MATCH(0, IF(TRUE=$AI$10:$AI$258, COUNTIF($AN$9:$AN185, $AK$10:$AK$258), ""), 0)),"")</f>
        <v/>
      </c>
      <c r="AP186" s="31" t="str">
        <f>IFERROR(INDEX('G-7 Rivers Data'!$AZ$3:$AZ$7,MATCH(D186,'G-7 Rivers Data'!$AY$3:$AY$7,0)),"")</f>
        <v/>
      </c>
    </row>
    <row r="187" spans="3:42" ht="14" x14ac:dyDescent="0.3">
      <c r="C187" s="141">
        <v>178</v>
      </c>
      <c r="D187" s="460"/>
      <c r="E187" s="172"/>
      <c r="F187" s="498" t="str">
        <f>IF(D187="","",VLOOKUP(D187,'G-7 Rivers Data'!$B$2:$G$8,2,FALSE))</f>
        <v/>
      </c>
      <c r="G187" s="499" t="str">
        <f>IFERROR(VLOOKUP(F187,'G-7 Rivers Data'!$C$4:$D$8,2,FALSE),"")</f>
        <v/>
      </c>
      <c r="H187" s="145"/>
      <c r="I187" s="499" t="str">
        <f>IFERROR(INDEX('G-7 Rivers Data'!$H$4:$L$8,MATCH(D187,'G-7 Rivers Data'!$B$4:$B$8,0),MATCH(H187,'G-7 Rivers Data'!$H$3:$L$3,0)),"")</f>
        <v/>
      </c>
      <c r="J187" s="418"/>
      <c r="K187" s="498" t="str">
        <f>IF(J187="","",IF(VLOOKUP(J187,'G-7 Rivers Data'!$AK$4:$AM$9,2,FALSE)=0,"Spatial Data Missing ⚠",VLOOKUP(J187,'G-7 Rivers Data'!$AK$4:$AM$9,2,FALSE)))</f>
        <v/>
      </c>
      <c r="L187" s="505" t="str">
        <f>IF(J187="","",IF(VLOOKUP(J187,'G-7 Rivers Data'!$AK$4:$AM$9,3,FALSE)=0,"Spatial Data Missing ⚠",VLOOKUP(J187,'G-7 Rivers Data'!$AK$4:$AM$9,3,FALSE)))</f>
        <v/>
      </c>
      <c r="M187" s="71"/>
      <c r="N187" s="499" t="str">
        <f>IF(M187="","",IF(VLOOKUP(M187,'G-7 Rivers Data'!$AA$4:$AB$7,2,FALSE)=0,"Spatial Data Missing ⚠",VLOOKUP(M187,'G-7 Rivers Data'!$AA$4:$AB$7,2,FALSE)))</f>
        <v/>
      </c>
      <c r="O187" s="155"/>
      <c r="P187" s="499" t="str">
        <f>IF(O187="","",IF(VLOOKUP(O187,'G-7 Rivers Data'!$AD$4:$AE$8,2,FALSE)=0,"Spatial Data Missing ⚠",VLOOKUP(O187,'G-7 Rivers Data'!$AD$4:$AE$8,2,FALSE)))</f>
        <v/>
      </c>
      <c r="Q187" s="506" t="str">
        <f>IF(D187="","",VLOOKUP(D187,'G-7 Rivers Data'!$B$2:$G$8,6,FALSE))</f>
        <v/>
      </c>
      <c r="R187" s="513" t="str">
        <f t="shared" si="16"/>
        <v/>
      </c>
      <c r="S187" s="40"/>
      <c r="T187" s="145"/>
      <c r="U187" s="157"/>
      <c r="V187" s="511" t="str">
        <f t="shared" si="17"/>
        <v/>
      </c>
      <c r="W187" s="511" t="str">
        <f t="shared" si="18"/>
        <v/>
      </c>
      <c r="X187" s="511" t="str">
        <f t="shared" si="19"/>
        <v/>
      </c>
      <c r="Y187" s="515" t="str">
        <f t="shared" si="20"/>
        <v/>
      </c>
      <c r="Z187" s="151"/>
      <c r="AA187" s="152"/>
      <c r="AG187" s="31">
        <f t="shared" si="21"/>
        <v>0</v>
      </c>
      <c r="AH187" s="156" t="str">
        <f t="shared" si="22"/>
        <v/>
      </c>
      <c r="AI187" s="156" t="str">
        <f t="shared" si="23"/>
        <v/>
      </c>
      <c r="AK187" s="156">
        <v>178</v>
      </c>
      <c r="AM187" s="156" t="str">
        <f t="array" ref="AM187">IFERROR(INDEX($AK$10:$AK$258, MATCH(0, IF(TRUE=$AH$10:$AH$258, COUNTIF($AM$9:$AM186, $AK$10:$AK$258), ""), 0)),"")</f>
        <v/>
      </c>
      <c r="AN187" s="156" t="str">
        <f t="array" ref="AN187">IFERROR(INDEX($AK$10:$AK$258, MATCH(0, IF(TRUE=$AI$10:$AI$258, COUNTIF($AN$9:$AN186, $AK$10:$AK$258), ""), 0)),"")</f>
        <v/>
      </c>
      <c r="AP187" s="31" t="str">
        <f>IFERROR(INDEX('G-7 Rivers Data'!$AZ$3:$AZ$7,MATCH(D187,'G-7 Rivers Data'!$AY$3:$AY$7,0)),"")</f>
        <v/>
      </c>
    </row>
    <row r="188" spans="3:42" ht="14" x14ac:dyDescent="0.3">
      <c r="C188" s="141">
        <v>179</v>
      </c>
      <c r="D188" s="460"/>
      <c r="E188" s="172"/>
      <c r="F188" s="498" t="str">
        <f>IF(D188="","",VLOOKUP(D188,'G-7 Rivers Data'!$B$2:$G$8,2,FALSE))</f>
        <v/>
      </c>
      <c r="G188" s="499" t="str">
        <f>IFERROR(VLOOKUP(F188,'G-7 Rivers Data'!$C$4:$D$8,2,FALSE),"")</f>
        <v/>
      </c>
      <c r="H188" s="145"/>
      <c r="I188" s="499" t="str">
        <f>IFERROR(INDEX('G-7 Rivers Data'!$H$4:$L$8,MATCH(D188,'G-7 Rivers Data'!$B$4:$B$8,0),MATCH(H188,'G-7 Rivers Data'!$H$3:$L$3,0)),"")</f>
        <v/>
      </c>
      <c r="J188" s="418"/>
      <c r="K188" s="498" t="str">
        <f>IF(J188="","",IF(VLOOKUP(J188,'G-7 Rivers Data'!$AK$4:$AM$9,2,FALSE)=0,"Spatial Data Missing ⚠",VLOOKUP(J188,'G-7 Rivers Data'!$AK$4:$AM$9,2,FALSE)))</f>
        <v/>
      </c>
      <c r="L188" s="505" t="str">
        <f>IF(J188="","",IF(VLOOKUP(J188,'G-7 Rivers Data'!$AK$4:$AM$9,3,FALSE)=0,"Spatial Data Missing ⚠",VLOOKUP(J188,'G-7 Rivers Data'!$AK$4:$AM$9,3,FALSE)))</f>
        <v/>
      </c>
      <c r="M188" s="71"/>
      <c r="N188" s="499" t="str">
        <f>IF(M188="","",IF(VLOOKUP(M188,'G-7 Rivers Data'!$AA$4:$AB$7,2,FALSE)=0,"Spatial Data Missing ⚠",VLOOKUP(M188,'G-7 Rivers Data'!$AA$4:$AB$7,2,FALSE)))</f>
        <v/>
      </c>
      <c r="O188" s="155"/>
      <c r="P188" s="499" t="str">
        <f>IF(O188="","",IF(VLOOKUP(O188,'G-7 Rivers Data'!$AD$4:$AE$8,2,FALSE)=0,"Spatial Data Missing ⚠",VLOOKUP(O188,'G-7 Rivers Data'!$AD$4:$AE$8,2,FALSE)))</f>
        <v/>
      </c>
      <c r="Q188" s="506" t="str">
        <f>IF(D188="","",VLOOKUP(D188,'G-7 Rivers Data'!$B$2:$G$8,6,FALSE))</f>
        <v/>
      </c>
      <c r="R188" s="513" t="str">
        <f t="shared" si="16"/>
        <v/>
      </c>
      <c r="S188" s="40"/>
      <c r="T188" s="145"/>
      <c r="U188" s="157"/>
      <c r="V188" s="511" t="str">
        <f t="shared" si="17"/>
        <v/>
      </c>
      <c r="W188" s="511" t="str">
        <f t="shared" si="18"/>
        <v/>
      </c>
      <c r="X188" s="511" t="str">
        <f t="shared" si="19"/>
        <v/>
      </c>
      <c r="Y188" s="515" t="str">
        <f t="shared" si="20"/>
        <v/>
      </c>
      <c r="Z188" s="151"/>
      <c r="AA188" s="152"/>
      <c r="AG188" s="31">
        <f t="shared" si="21"/>
        <v>0</v>
      </c>
      <c r="AH188" s="156" t="str">
        <f t="shared" si="22"/>
        <v/>
      </c>
      <c r="AI188" s="156" t="str">
        <f t="shared" si="23"/>
        <v/>
      </c>
      <c r="AK188" s="156">
        <v>179</v>
      </c>
      <c r="AM188" s="156" t="str">
        <f t="array" ref="AM188">IFERROR(INDEX($AK$10:$AK$258, MATCH(0, IF(TRUE=$AH$10:$AH$258, COUNTIF($AM$9:$AM187, $AK$10:$AK$258), ""), 0)),"")</f>
        <v/>
      </c>
      <c r="AN188" s="156" t="str">
        <f t="array" ref="AN188">IFERROR(INDEX($AK$10:$AK$258, MATCH(0, IF(TRUE=$AI$10:$AI$258, COUNTIF($AN$9:$AN187, $AK$10:$AK$258), ""), 0)),"")</f>
        <v/>
      </c>
      <c r="AP188" s="31" t="str">
        <f>IFERROR(INDEX('G-7 Rivers Data'!$AZ$3:$AZ$7,MATCH(D188,'G-7 Rivers Data'!$AY$3:$AY$7,0)),"")</f>
        <v/>
      </c>
    </row>
    <row r="189" spans="3:42" ht="14" x14ac:dyDescent="0.3">
      <c r="C189" s="141">
        <v>180</v>
      </c>
      <c r="D189" s="460"/>
      <c r="E189" s="172"/>
      <c r="F189" s="498" t="str">
        <f>IF(D189="","",VLOOKUP(D189,'G-7 Rivers Data'!$B$2:$G$8,2,FALSE))</f>
        <v/>
      </c>
      <c r="G189" s="499" t="str">
        <f>IFERROR(VLOOKUP(F189,'G-7 Rivers Data'!$C$4:$D$8,2,FALSE),"")</f>
        <v/>
      </c>
      <c r="H189" s="145"/>
      <c r="I189" s="499" t="str">
        <f>IFERROR(INDEX('G-7 Rivers Data'!$H$4:$L$8,MATCH(D189,'G-7 Rivers Data'!$B$4:$B$8,0),MATCH(H189,'G-7 Rivers Data'!$H$3:$L$3,0)),"")</f>
        <v/>
      </c>
      <c r="J189" s="418"/>
      <c r="K189" s="498" t="str">
        <f>IF(J189="","",IF(VLOOKUP(J189,'G-7 Rivers Data'!$AK$4:$AM$9,2,FALSE)=0,"Spatial Data Missing ⚠",VLOOKUP(J189,'G-7 Rivers Data'!$AK$4:$AM$9,2,FALSE)))</f>
        <v/>
      </c>
      <c r="L189" s="505" t="str">
        <f>IF(J189="","",IF(VLOOKUP(J189,'G-7 Rivers Data'!$AK$4:$AM$9,3,FALSE)=0,"Spatial Data Missing ⚠",VLOOKUP(J189,'G-7 Rivers Data'!$AK$4:$AM$9,3,FALSE)))</f>
        <v/>
      </c>
      <c r="M189" s="71"/>
      <c r="N189" s="499" t="str">
        <f>IF(M189="","",IF(VLOOKUP(M189,'G-7 Rivers Data'!$AA$4:$AB$7,2,FALSE)=0,"Spatial Data Missing ⚠",VLOOKUP(M189,'G-7 Rivers Data'!$AA$4:$AB$7,2,FALSE)))</f>
        <v/>
      </c>
      <c r="O189" s="155"/>
      <c r="P189" s="499" t="str">
        <f>IF(O189="","",IF(VLOOKUP(O189,'G-7 Rivers Data'!$AD$4:$AE$8,2,FALSE)=0,"Spatial Data Missing ⚠",VLOOKUP(O189,'G-7 Rivers Data'!$AD$4:$AE$8,2,FALSE)))</f>
        <v/>
      </c>
      <c r="Q189" s="506" t="str">
        <f>IF(D189="","",VLOOKUP(D189,'G-7 Rivers Data'!$B$2:$G$8,6,FALSE))</f>
        <v/>
      </c>
      <c r="R189" s="513" t="str">
        <f t="shared" si="16"/>
        <v/>
      </c>
      <c r="S189" s="40"/>
      <c r="T189" s="145"/>
      <c r="U189" s="157"/>
      <c r="V189" s="511" t="str">
        <f t="shared" si="17"/>
        <v/>
      </c>
      <c r="W189" s="511" t="str">
        <f t="shared" si="18"/>
        <v/>
      </c>
      <c r="X189" s="511" t="str">
        <f t="shared" si="19"/>
        <v/>
      </c>
      <c r="Y189" s="515" t="str">
        <f t="shared" si="20"/>
        <v/>
      </c>
      <c r="Z189" s="151"/>
      <c r="AA189" s="152"/>
      <c r="AG189" s="31">
        <f t="shared" si="21"/>
        <v>0</v>
      </c>
      <c r="AH189" s="156" t="str">
        <f t="shared" si="22"/>
        <v/>
      </c>
      <c r="AI189" s="156" t="str">
        <f t="shared" si="23"/>
        <v/>
      </c>
      <c r="AK189" s="156">
        <v>180</v>
      </c>
      <c r="AM189" s="156" t="str">
        <f t="array" ref="AM189">IFERROR(INDEX($AK$10:$AK$258, MATCH(0, IF(TRUE=$AH$10:$AH$258, COUNTIF($AM$9:$AM188, $AK$10:$AK$258), ""), 0)),"")</f>
        <v/>
      </c>
      <c r="AN189" s="156" t="str">
        <f t="array" ref="AN189">IFERROR(INDEX($AK$10:$AK$258, MATCH(0, IF(TRUE=$AI$10:$AI$258, COUNTIF($AN$9:$AN188, $AK$10:$AK$258), ""), 0)),"")</f>
        <v/>
      </c>
      <c r="AP189" s="31" t="str">
        <f>IFERROR(INDEX('G-7 Rivers Data'!$AZ$3:$AZ$7,MATCH(D189,'G-7 Rivers Data'!$AY$3:$AY$7,0)),"")</f>
        <v/>
      </c>
    </row>
    <row r="190" spans="3:42" ht="14" x14ac:dyDescent="0.3">
      <c r="C190" s="141">
        <v>181</v>
      </c>
      <c r="D190" s="460"/>
      <c r="E190" s="172"/>
      <c r="F190" s="498" t="str">
        <f>IF(D190="","",VLOOKUP(D190,'G-7 Rivers Data'!$B$2:$G$8,2,FALSE))</f>
        <v/>
      </c>
      <c r="G190" s="499" t="str">
        <f>IFERROR(VLOOKUP(F190,'G-7 Rivers Data'!$C$4:$D$8,2,FALSE),"")</f>
        <v/>
      </c>
      <c r="H190" s="145"/>
      <c r="I190" s="499" t="str">
        <f>IFERROR(INDEX('G-7 Rivers Data'!$H$4:$L$8,MATCH(D190,'G-7 Rivers Data'!$B$4:$B$8,0),MATCH(H190,'G-7 Rivers Data'!$H$3:$L$3,0)),"")</f>
        <v/>
      </c>
      <c r="J190" s="418"/>
      <c r="K190" s="498" t="str">
        <f>IF(J190="","",IF(VLOOKUP(J190,'G-7 Rivers Data'!$AK$4:$AM$9,2,FALSE)=0,"Spatial Data Missing ⚠",VLOOKUP(J190,'G-7 Rivers Data'!$AK$4:$AM$9,2,FALSE)))</f>
        <v/>
      </c>
      <c r="L190" s="505" t="str">
        <f>IF(J190="","",IF(VLOOKUP(J190,'G-7 Rivers Data'!$AK$4:$AM$9,3,FALSE)=0,"Spatial Data Missing ⚠",VLOOKUP(J190,'G-7 Rivers Data'!$AK$4:$AM$9,3,FALSE)))</f>
        <v/>
      </c>
      <c r="M190" s="71"/>
      <c r="N190" s="499" t="str">
        <f>IF(M190="","",IF(VLOOKUP(M190,'G-7 Rivers Data'!$AA$4:$AB$7,2,FALSE)=0,"Spatial Data Missing ⚠",VLOOKUP(M190,'G-7 Rivers Data'!$AA$4:$AB$7,2,FALSE)))</f>
        <v/>
      </c>
      <c r="O190" s="155"/>
      <c r="P190" s="499" t="str">
        <f>IF(O190="","",IF(VLOOKUP(O190,'G-7 Rivers Data'!$AD$4:$AE$8,2,FALSE)=0,"Spatial Data Missing ⚠",VLOOKUP(O190,'G-7 Rivers Data'!$AD$4:$AE$8,2,FALSE)))</f>
        <v/>
      </c>
      <c r="Q190" s="506" t="str">
        <f>IF(D190="","",VLOOKUP(D190,'G-7 Rivers Data'!$B$2:$G$8,6,FALSE))</f>
        <v/>
      </c>
      <c r="R190" s="513" t="str">
        <f t="shared" si="16"/>
        <v/>
      </c>
      <c r="S190" s="40"/>
      <c r="T190" s="145"/>
      <c r="U190" s="157"/>
      <c r="V190" s="511" t="str">
        <f t="shared" si="17"/>
        <v/>
      </c>
      <c r="W190" s="511" t="str">
        <f t="shared" si="18"/>
        <v/>
      </c>
      <c r="X190" s="511" t="str">
        <f t="shared" si="19"/>
        <v/>
      </c>
      <c r="Y190" s="515" t="str">
        <f t="shared" si="20"/>
        <v/>
      </c>
      <c r="Z190" s="151"/>
      <c r="AA190" s="152"/>
      <c r="AG190" s="31">
        <f t="shared" si="21"/>
        <v>0</v>
      </c>
      <c r="AH190" s="156" t="str">
        <f t="shared" si="22"/>
        <v/>
      </c>
      <c r="AI190" s="156" t="str">
        <f t="shared" si="23"/>
        <v/>
      </c>
      <c r="AK190" s="156">
        <v>181</v>
      </c>
      <c r="AM190" s="156" t="str">
        <f t="array" ref="AM190">IFERROR(INDEX($AK$10:$AK$258, MATCH(0, IF(TRUE=$AH$10:$AH$258, COUNTIF($AM$9:$AM189, $AK$10:$AK$258), ""), 0)),"")</f>
        <v/>
      </c>
      <c r="AN190" s="156" t="str">
        <f t="array" ref="AN190">IFERROR(INDEX($AK$10:$AK$258, MATCH(0, IF(TRUE=$AI$10:$AI$258, COUNTIF($AN$9:$AN189, $AK$10:$AK$258), ""), 0)),"")</f>
        <v/>
      </c>
      <c r="AP190" s="31" t="str">
        <f>IFERROR(INDEX('G-7 Rivers Data'!$AZ$3:$AZ$7,MATCH(D190,'G-7 Rivers Data'!$AY$3:$AY$7,0)),"")</f>
        <v/>
      </c>
    </row>
    <row r="191" spans="3:42" ht="14" x14ac:dyDescent="0.3">
      <c r="C191" s="141">
        <v>182</v>
      </c>
      <c r="D191" s="460"/>
      <c r="E191" s="172"/>
      <c r="F191" s="498" t="str">
        <f>IF(D191="","",VLOOKUP(D191,'G-7 Rivers Data'!$B$2:$G$8,2,FALSE))</f>
        <v/>
      </c>
      <c r="G191" s="499" t="str">
        <f>IFERROR(VLOOKUP(F191,'G-7 Rivers Data'!$C$4:$D$8,2,FALSE),"")</f>
        <v/>
      </c>
      <c r="H191" s="145"/>
      <c r="I191" s="499" t="str">
        <f>IFERROR(INDEX('G-7 Rivers Data'!$H$4:$L$8,MATCH(D191,'G-7 Rivers Data'!$B$4:$B$8,0),MATCH(H191,'G-7 Rivers Data'!$H$3:$L$3,0)),"")</f>
        <v/>
      </c>
      <c r="J191" s="418"/>
      <c r="K191" s="498" t="str">
        <f>IF(J191="","",IF(VLOOKUP(J191,'G-7 Rivers Data'!$AK$4:$AM$9,2,FALSE)=0,"Spatial Data Missing ⚠",VLOOKUP(J191,'G-7 Rivers Data'!$AK$4:$AM$9,2,FALSE)))</f>
        <v/>
      </c>
      <c r="L191" s="505" t="str">
        <f>IF(J191="","",IF(VLOOKUP(J191,'G-7 Rivers Data'!$AK$4:$AM$9,3,FALSE)=0,"Spatial Data Missing ⚠",VLOOKUP(J191,'G-7 Rivers Data'!$AK$4:$AM$9,3,FALSE)))</f>
        <v/>
      </c>
      <c r="M191" s="71"/>
      <c r="N191" s="499" t="str">
        <f>IF(M191="","",IF(VLOOKUP(M191,'G-7 Rivers Data'!$AA$4:$AB$7,2,FALSE)=0,"Spatial Data Missing ⚠",VLOOKUP(M191,'G-7 Rivers Data'!$AA$4:$AB$7,2,FALSE)))</f>
        <v/>
      </c>
      <c r="O191" s="155"/>
      <c r="P191" s="499" t="str">
        <f>IF(O191="","",IF(VLOOKUP(O191,'G-7 Rivers Data'!$AD$4:$AE$8,2,FALSE)=0,"Spatial Data Missing ⚠",VLOOKUP(O191,'G-7 Rivers Data'!$AD$4:$AE$8,2,FALSE)))</f>
        <v/>
      </c>
      <c r="Q191" s="506" t="str">
        <f>IF(D191="","",VLOOKUP(D191,'G-7 Rivers Data'!$B$2:$G$8,6,FALSE))</f>
        <v/>
      </c>
      <c r="R191" s="513" t="str">
        <f t="shared" si="16"/>
        <v/>
      </c>
      <c r="S191" s="40"/>
      <c r="T191" s="145"/>
      <c r="U191" s="157"/>
      <c r="V191" s="511" t="str">
        <f t="shared" si="17"/>
        <v/>
      </c>
      <c r="W191" s="511" t="str">
        <f t="shared" si="18"/>
        <v/>
      </c>
      <c r="X191" s="511" t="str">
        <f t="shared" si="19"/>
        <v/>
      </c>
      <c r="Y191" s="515" t="str">
        <f t="shared" si="20"/>
        <v/>
      </c>
      <c r="Z191" s="151"/>
      <c r="AA191" s="152"/>
      <c r="AG191" s="31">
        <f t="shared" si="21"/>
        <v>0</v>
      </c>
      <c r="AH191" s="156" t="str">
        <f t="shared" si="22"/>
        <v/>
      </c>
      <c r="AI191" s="156" t="str">
        <f t="shared" si="23"/>
        <v/>
      </c>
      <c r="AK191" s="156">
        <v>182</v>
      </c>
      <c r="AM191" s="156" t="str">
        <f t="array" ref="AM191">IFERROR(INDEX($AK$10:$AK$258, MATCH(0, IF(TRUE=$AH$10:$AH$258, COUNTIF($AM$9:$AM190, $AK$10:$AK$258), ""), 0)),"")</f>
        <v/>
      </c>
      <c r="AN191" s="156" t="str">
        <f t="array" ref="AN191">IFERROR(INDEX($AK$10:$AK$258, MATCH(0, IF(TRUE=$AI$10:$AI$258, COUNTIF($AN$9:$AN190, $AK$10:$AK$258), ""), 0)),"")</f>
        <v/>
      </c>
      <c r="AP191" s="31" t="str">
        <f>IFERROR(INDEX('G-7 Rivers Data'!$AZ$3:$AZ$7,MATCH(D191,'G-7 Rivers Data'!$AY$3:$AY$7,0)),"")</f>
        <v/>
      </c>
    </row>
    <row r="192" spans="3:42" ht="14" x14ac:dyDescent="0.3">
      <c r="C192" s="141">
        <v>183</v>
      </c>
      <c r="D192" s="460"/>
      <c r="E192" s="172"/>
      <c r="F192" s="498" t="str">
        <f>IF(D192="","",VLOOKUP(D192,'G-7 Rivers Data'!$B$2:$G$8,2,FALSE))</f>
        <v/>
      </c>
      <c r="G192" s="499" t="str">
        <f>IFERROR(VLOOKUP(F192,'G-7 Rivers Data'!$C$4:$D$8,2,FALSE),"")</f>
        <v/>
      </c>
      <c r="H192" s="145"/>
      <c r="I192" s="499" t="str">
        <f>IFERROR(INDEX('G-7 Rivers Data'!$H$4:$L$8,MATCH(D192,'G-7 Rivers Data'!$B$4:$B$8,0),MATCH(H192,'G-7 Rivers Data'!$H$3:$L$3,0)),"")</f>
        <v/>
      </c>
      <c r="J192" s="418"/>
      <c r="K192" s="498" t="str">
        <f>IF(J192="","",IF(VLOOKUP(J192,'G-7 Rivers Data'!$AK$4:$AM$9,2,FALSE)=0,"Spatial Data Missing ⚠",VLOOKUP(J192,'G-7 Rivers Data'!$AK$4:$AM$9,2,FALSE)))</f>
        <v/>
      </c>
      <c r="L192" s="505" t="str">
        <f>IF(J192="","",IF(VLOOKUP(J192,'G-7 Rivers Data'!$AK$4:$AM$9,3,FALSE)=0,"Spatial Data Missing ⚠",VLOOKUP(J192,'G-7 Rivers Data'!$AK$4:$AM$9,3,FALSE)))</f>
        <v/>
      </c>
      <c r="M192" s="71"/>
      <c r="N192" s="499" t="str">
        <f>IF(M192="","",IF(VLOOKUP(M192,'G-7 Rivers Data'!$AA$4:$AB$7,2,FALSE)=0,"Spatial Data Missing ⚠",VLOOKUP(M192,'G-7 Rivers Data'!$AA$4:$AB$7,2,FALSE)))</f>
        <v/>
      </c>
      <c r="O192" s="155"/>
      <c r="P192" s="499" t="str">
        <f>IF(O192="","",IF(VLOOKUP(O192,'G-7 Rivers Data'!$AD$4:$AE$8,2,FALSE)=0,"Spatial Data Missing ⚠",VLOOKUP(O192,'G-7 Rivers Data'!$AD$4:$AE$8,2,FALSE)))</f>
        <v/>
      </c>
      <c r="Q192" s="506" t="str">
        <f>IF(D192="","",VLOOKUP(D192,'G-7 Rivers Data'!$B$2:$G$8,6,FALSE))</f>
        <v/>
      </c>
      <c r="R192" s="513" t="str">
        <f t="shared" si="16"/>
        <v/>
      </c>
      <c r="S192" s="40"/>
      <c r="T192" s="145"/>
      <c r="U192" s="157"/>
      <c r="V192" s="511" t="str">
        <f t="shared" si="17"/>
        <v/>
      </c>
      <c r="W192" s="511" t="str">
        <f t="shared" si="18"/>
        <v/>
      </c>
      <c r="X192" s="511" t="str">
        <f t="shared" si="19"/>
        <v/>
      </c>
      <c r="Y192" s="515" t="str">
        <f t="shared" si="20"/>
        <v/>
      </c>
      <c r="Z192" s="151"/>
      <c r="AA192" s="152"/>
      <c r="AG192" s="31">
        <f t="shared" si="21"/>
        <v>0</v>
      </c>
      <c r="AH192" s="156" t="str">
        <f t="shared" si="22"/>
        <v/>
      </c>
      <c r="AI192" s="156" t="str">
        <f t="shared" si="23"/>
        <v/>
      </c>
      <c r="AK192" s="156">
        <v>183</v>
      </c>
      <c r="AM192" s="156" t="str">
        <f t="array" ref="AM192">IFERROR(INDEX($AK$10:$AK$258, MATCH(0, IF(TRUE=$AH$10:$AH$258, COUNTIF($AM$9:$AM191, $AK$10:$AK$258), ""), 0)),"")</f>
        <v/>
      </c>
      <c r="AN192" s="156" t="str">
        <f t="array" ref="AN192">IFERROR(INDEX($AK$10:$AK$258, MATCH(0, IF(TRUE=$AI$10:$AI$258, COUNTIF($AN$9:$AN191, $AK$10:$AK$258), ""), 0)),"")</f>
        <v/>
      </c>
      <c r="AP192" s="31" t="str">
        <f>IFERROR(INDEX('G-7 Rivers Data'!$AZ$3:$AZ$7,MATCH(D192,'G-7 Rivers Data'!$AY$3:$AY$7,0)),"")</f>
        <v/>
      </c>
    </row>
    <row r="193" spans="3:42" ht="14" x14ac:dyDescent="0.3">
      <c r="C193" s="141">
        <v>184</v>
      </c>
      <c r="D193" s="460"/>
      <c r="E193" s="172"/>
      <c r="F193" s="498" t="str">
        <f>IF(D193="","",VLOOKUP(D193,'G-7 Rivers Data'!$B$2:$G$8,2,FALSE))</f>
        <v/>
      </c>
      <c r="G193" s="499" t="str">
        <f>IFERROR(VLOOKUP(F193,'G-7 Rivers Data'!$C$4:$D$8,2,FALSE),"")</f>
        <v/>
      </c>
      <c r="H193" s="145"/>
      <c r="I193" s="499" t="str">
        <f>IFERROR(INDEX('G-7 Rivers Data'!$H$4:$L$8,MATCH(D193,'G-7 Rivers Data'!$B$4:$B$8,0),MATCH(H193,'G-7 Rivers Data'!$H$3:$L$3,0)),"")</f>
        <v/>
      </c>
      <c r="J193" s="418"/>
      <c r="K193" s="498" t="str">
        <f>IF(J193="","",IF(VLOOKUP(J193,'G-7 Rivers Data'!$AK$4:$AM$9,2,FALSE)=0,"Spatial Data Missing ⚠",VLOOKUP(J193,'G-7 Rivers Data'!$AK$4:$AM$9,2,FALSE)))</f>
        <v/>
      </c>
      <c r="L193" s="505" t="str">
        <f>IF(J193="","",IF(VLOOKUP(J193,'G-7 Rivers Data'!$AK$4:$AM$9,3,FALSE)=0,"Spatial Data Missing ⚠",VLOOKUP(J193,'G-7 Rivers Data'!$AK$4:$AM$9,3,FALSE)))</f>
        <v/>
      </c>
      <c r="M193" s="71"/>
      <c r="N193" s="499" t="str">
        <f>IF(M193="","",IF(VLOOKUP(M193,'G-7 Rivers Data'!$AA$4:$AB$7,2,FALSE)=0,"Spatial Data Missing ⚠",VLOOKUP(M193,'G-7 Rivers Data'!$AA$4:$AB$7,2,FALSE)))</f>
        <v/>
      </c>
      <c r="O193" s="155"/>
      <c r="P193" s="499" t="str">
        <f>IF(O193="","",IF(VLOOKUP(O193,'G-7 Rivers Data'!$AD$4:$AE$8,2,FALSE)=0,"Spatial Data Missing ⚠",VLOOKUP(O193,'G-7 Rivers Data'!$AD$4:$AE$8,2,FALSE)))</f>
        <v/>
      </c>
      <c r="Q193" s="506" t="str">
        <f>IF(D193="","",VLOOKUP(D193,'G-7 Rivers Data'!$B$2:$G$8,6,FALSE))</f>
        <v/>
      </c>
      <c r="R193" s="513" t="str">
        <f t="shared" si="16"/>
        <v/>
      </c>
      <c r="S193" s="40"/>
      <c r="T193" s="145"/>
      <c r="U193" s="157"/>
      <c r="V193" s="511" t="str">
        <f t="shared" si="17"/>
        <v/>
      </c>
      <c r="W193" s="511" t="str">
        <f t="shared" si="18"/>
        <v/>
      </c>
      <c r="X193" s="511" t="str">
        <f t="shared" si="19"/>
        <v/>
      </c>
      <c r="Y193" s="515" t="str">
        <f t="shared" si="20"/>
        <v/>
      </c>
      <c r="Z193" s="151"/>
      <c r="AA193" s="152"/>
      <c r="AG193" s="31">
        <f t="shared" si="21"/>
        <v>0</v>
      </c>
      <c r="AH193" s="156" t="str">
        <f t="shared" si="22"/>
        <v/>
      </c>
      <c r="AI193" s="156" t="str">
        <f t="shared" si="23"/>
        <v/>
      </c>
      <c r="AK193" s="156">
        <v>184</v>
      </c>
      <c r="AM193" s="156" t="str">
        <f t="array" ref="AM193">IFERROR(INDEX($AK$10:$AK$258, MATCH(0, IF(TRUE=$AH$10:$AH$258, COUNTIF($AM$9:$AM192, $AK$10:$AK$258), ""), 0)),"")</f>
        <v/>
      </c>
      <c r="AN193" s="156" t="str">
        <f t="array" ref="AN193">IFERROR(INDEX($AK$10:$AK$258, MATCH(0, IF(TRUE=$AI$10:$AI$258, COUNTIF($AN$9:$AN192, $AK$10:$AK$258), ""), 0)),"")</f>
        <v/>
      </c>
      <c r="AP193" s="31" t="str">
        <f>IFERROR(INDEX('G-7 Rivers Data'!$AZ$3:$AZ$7,MATCH(D193,'G-7 Rivers Data'!$AY$3:$AY$7,0)),"")</f>
        <v/>
      </c>
    </row>
    <row r="194" spans="3:42" ht="14" x14ac:dyDescent="0.3">
      <c r="C194" s="141">
        <v>185</v>
      </c>
      <c r="D194" s="460"/>
      <c r="E194" s="172"/>
      <c r="F194" s="498" t="str">
        <f>IF(D194="","",VLOOKUP(D194,'G-7 Rivers Data'!$B$2:$G$8,2,FALSE))</f>
        <v/>
      </c>
      <c r="G194" s="499" t="str">
        <f>IFERROR(VLOOKUP(F194,'G-7 Rivers Data'!$C$4:$D$8,2,FALSE),"")</f>
        <v/>
      </c>
      <c r="H194" s="145"/>
      <c r="I194" s="499" t="str">
        <f>IFERROR(INDEX('G-7 Rivers Data'!$H$4:$L$8,MATCH(D194,'G-7 Rivers Data'!$B$4:$B$8,0),MATCH(H194,'G-7 Rivers Data'!$H$3:$L$3,0)),"")</f>
        <v/>
      </c>
      <c r="J194" s="418"/>
      <c r="K194" s="498" t="str">
        <f>IF(J194="","",IF(VLOOKUP(J194,'G-7 Rivers Data'!$AK$4:$AM$9,2,FALSE)=0,"Spatial Data Missing ⚠",VLOOKUP(J194,'G-7 Rivers Data'!$AK$4:$AM$9,2,FALSE)))</f>
        <v/>
      </c>
      <c r="L194" s="505" t="str">
        <f>IF(J194="","",IF(VLOOKUP(J194,'G-7 Rivers Data'!$AK$4:$AM$9,3,FALSE)=0,"Spatial Data Missing ⚠",VLOOKUP(J194,'G-7 Rivers Data'!$AK$4:$AM$9,3,FALSE)))</f>
        <v/>
      </c>
      <c r="M194" s="71"/>
      <c r="N194" s="499" t="str">
        <f>IF(M194="","",IF(VLOOKUP(M194,'G-7 Rivers Data'!$AA$4:$AB$7,2,FALSE)=0,"Spatial Data Missing ⚠",VLOOKUP(M194,'G-7 Rivers Data'!$AA$4:$AB$7,2,FALSE)))</f>
        <v/>
      </c>
      <c r="O194" s="155"/>
      <c r="P194" s="499" t="str">
        <f>IF(O194="","",IF(VLOOKUP(O194,'G-7 Rivers Data'!$AD$4:$AE$8,2,FALSE)=0,"Spatial Data Missing ⚠",VLOOKUP(O194,'G-7 Rivers Data'!$AD$4:$AE$8,2,FALSE)))</f>
        <v/>
      </c>
      <c r="Q194" s="506" t="str">
        <f>IF(D194="","",VLOOKUP(D194,'G-7 Rivers Data'!$B$2:$G$8,6,FALSE))</f>
        <v/>
      </c>
      <c r="R194" s="513" t="str">
        <f t="shared" si="16"/>
        <v/>
      </c>
      <c r="S194" s="40"/>
      <c r="T194" s="145"/>
      <c r="U194" s="157"/>
      <c r="V194" s="511" t="str">
        <f t="shared" si="17"/>
        <v/>
      </c>
      <c r="W194" s="511" t="str">
        <f t="shared" si="18"/>
        <v/>
      </c>
      <c r="X194" s="511" t="str">
        <f t="shared" si="19"/>
        <v/>
      </c>
      <c r="Y194" s="515" t="str">
        <f t="shared" si="20"/>
        <v/>
      </c>
      <c r="Z194" s="151"/>
      <c r="AA194" s="152"/>
      <c r="AG194" s="31">
        <f t="shared" si="21"/>
        <v>0</v>
      </c>
      <c r="AH194" s="156" t="str">
        <f t="shared" si="22"/>
        <v/>
      </c>
      <c r="AI194" s="156" t="str">
        <f t="shared" si="23"/>
        <v/>
      </c>
      <c r="AK194" s="156">
        <v>185</v>
      </c>
      <c r="AM194" s="156" t="str">
        <f t="array" ref="AM194">IFERROR(INDEX($AK$10:$AK$258, MATCH(0, IF(TRUE=$AH$10:$AH$258, COUNTIF($AM$9:$AM193, $AK$10:$AK$258), ""), 0)),"")</f>
        <v/>
      </c>
      <c r="AN194" s="156" t="str">
        <f t="array" ref="AN194">IFERROR(INDEX($AK$10:$AK$258, MATCH(0, IF(TRUE=$AI$10:$AI$258, COUNTIF($AN$9:$AN193, $AK$10:$AK$258), ""), 0)),"")</f>
        <v/>
      </c>
      <c r="AP194" s="31" t="str">
        <f>IFERROR(INDEX('G-7 Rivers Data'!$AZ$3:$AZ$7,MATCH(D194,'G-7 Rivers Data'!$AY$3:$AY$7,0)),"")</f>
        <v/>
      </c>
    </row>
    <row r="195" spans="3:42" ht="14" x14ac:dyDescent="0.3">
      <c r="C195" s="141">
        <v>186</v>
      </c>
      <c r="D195" s="460"/>
      <c r="E195" s="172"/>
      <c r="F195" s="498" t="str">
        <f>IF(D195="","",VLOOKUP(D195,'G-7 Rivers Data'!$B$2:$G$8,2,FALSE))</f>
        <v/>
      </c>
      <c r="G195" s="499" t="str">
        <f>IFERROR(VLOOKUP(F195,'G-7 Rivers Data'!$C$4:$D$8,2,FALSE),"")</f>
        <v/>
      </c>
      <c r="H195" s="145"/>
      <c r="I195" s="499" t="str">
        <f>IFERROR(INDEX('G-7 Rivers Data'!$H$4:$L$8,MATCH(D195,'G-7 Rivers Data'!$B$4:$B$8,0),MATCH(H195,'G-7 Rivers Data'!$H$3:$L$3,0)),"")</f>
        <v/>
      </c>
      <c r="J195" s="418"/>
      <c r="K195" s="498" t="str">
        <f>IF(J195="","",IF(VLOOKUP(J195,'G-7 Rivers Data'!$AK$4:$AM$9,2,FALSE)=0,"Spatial Data Missing ⚠",VLOOKUP(J195,'G-7 Rivers Data'!$AK$4:$AM$9,2,FALSE)))</f>
        <v/>
      </c>
      <c r="L195" s="505" t="str">
        <f>IF(J195="","",IF(VLOOKUP(J195,'G-7 Rivers Data'!$AK$4:$AM$9,3,FALSE)=0,"Spatial Data Missing ⚠",VLOOKUP(J195,'G-7 Rivers Data'!$AK$4:$AM$9,3,FALSE)))</f>
        <v/>
      </c>
      <c r="M195" s="71"/>
      <c r="N195" s="499" t="str">
        <f>IF(M195="","",IF(VLOOKUP(M195,'G-7 Rivers Data'!$AA$4:$AB$7,2,FALSE)=0,"Spatial Data Missing ⚠",VLOOKUP(M195,'G-7 Rivers Data'!$AA$4:$AB$7,2,FALSE)))</f>
        <v/>
      </c>
      <c r="O195" s="155"/>
      <c r="P195" s="499" t="str">
        <f>IF(O195="","",IF(VLOOKUP(O195,'G-7 Rivers Data'!$AD$4:$AE$8,2,FALSE)=0,"Spatial Data Missing ⚠",VLOOKUP(O195,'G-7 Rivers Data'!$AD$4:$AE$8,2,FALSE)))</f>
        <v/>
      </c>
      <c r="Q195" s="506" t="str">
        <f>IF(D195="","",VLOOKUP(D195,'G-7 Rivers Data'!$B$2:$G$8,6,FALSE))</f>
        <v/>
      </c>
      <c r="R195" s="513" t="str">
        <f t="shared" si="16"/>
        <v/>
      </c>
      <c r="S195" s="40"/>
      <c r="T195" s="145"/>
      <c r="U195" s="157"/>
      <c r="V195" s="511" t="str">
        <f t="shared" si="17"/>
        <v/>
      </c>
      <c r="W195" s="511" t="str">
        <f t="shared" si="18"/>
        <v/>
      </c>
      <c r="X195" s="511" t="str">
        <f t="shared" si="19"/>
        <v/>
      </c>
      <c r="Y195" s="515" t="str">
        <f t="shared" si="20"/>
        <v/>
      </c>
      <c r="Z195" s="151"/>
      <c r="AA195" s="152"/>
      <c r="AG195" s="31">
        <f t="shared" si="21"/>
        <v>0</v>
      </c>
      <c r="AH195" s="156" t="str">
        <f t="shared" si="22"/>
        <v/>
      </c>
      <c r="AI195" s="156" t="str">
        <f t="shared" si="23"/>
        <v/>
      </c>
      <c r="AK195" s="156">
        <v>186</v>
      </c>
      <c r="AM195" s="156" t="str">
        <f t="array" ref="AM195">IFERROR(INDEX($AK$10:$AK$258, MATCH(0, IF(TRUE=$AH$10:$AH$258, COUNTIF($AM$9:$AM194, $AK$10:$AK$258), ""), 0)),"")</f>
        <v/>
      </c>
      <c r="AN195" s="156" t="str">
        <f t="array" ref="AN195">IFERROR(INDEX($AK$10:$AK$258, MATCH(0, IF(TRUE=$AI$10:$AI$258, COUNTIF($AN$9:$AN194, $AK$10:$AK$258), ""), 0)),"")</f>
        <v/>
      </c>
      <c r="AP195" s="31" t="str">
        <f>IFERROR(INDEX('G-7 Rivers Data'!$AZ$3:$AZ$7,MATCH(D195,'G-7 Rivers Data'!$AY$3:$AY$7,0)),"")</f>
        <v/>
      </c>
    </row>
    <row r="196" spans="3:42" ht="14" x14ac:dyDescent="0.3">
      <c r="C196" s="141">
        <v>187</v>
      </c>
      <c r="D196" s="460"/>
      <c r="E196" s="172"/>
      <c r="F196" s="498" t="str">
        <f>IF(D196="","",VLOOKUP(D196,'G-7 Rivers Data'!$B$2:$G$8,2,FALSE))</f>
        <v/>
      </c>
      <c r="G196" s="499" t="str">
        <f>IFERROR(VLOOKUP(F196,'G-7 Rivers Data'!$C$4:$D$8,2,FALSE),"")</f>
        <v/>
      </c>
      <c r="H196" s="145"/>
      <c r="I196" s="499" t="str">
        <f>IFERROR(INDEX('G-7 Rivers Data'!$H$4:$L$8,MATCH(D196,'G-7 Rivers Data'!$B$4:$B$8,0),MATCH(H196,'G-7 Rivers Data'!$H$3:$L$3,0)),"")</f>
        <v/>
      </c>
      <c r="J196" s="418"/>
      <c r="K196" s="498" t="str">
        <f>IF(J196="","",IF(VLOOKUP(J196,'G-7 Rivers Data'!$AK$4:$AM$9,2,FALSE)=0,"Spatial Data Missing ⚠",VLOOKUP(J196,'G-7 Rivers Data'!$AK$4:$AM$9,2,FALSE)))</f>
        <v/>
      </c>
      <c r="L196" s="505" t="str">
        <f>IF(J196="","",IF(VLOOKUP(J196,'G-7 Rivers Data'!$AK$4:$AM$9,3,FALSE)=0,"Spatial Data Missing ⚠",VLOOKUP(J196,'G-7 Rivers Data'!$AK$4:$AM$9,3,FALSE)))</f>
        <v/>
      </c>
      <c r="M196" s="71"/>
      <c r="N196" s="499" t="str">
        <f>IF(M196="","",IF(VLOOKUP(M196,'G-7 Rivers Data'!$AA$4:$AB$7,2,FALSE)=0,"Spatial Data Missing ⚠",VLOOKUP(M196,'G-7 Rivers Data'!$AA$4:$AB$7,2,FALSE)))</f>
        <v/>
      </c>
      <c r="O196" s="155"/>
      <c r="P196" s="499" t="str">
        <f>IF(O196="","",IF(VLOOKUP(O196,'G-7 Rivers Data'!$AD$4:$AE$8,2,FALSE)=0,"Spatial Data Missing ⚠",VLOOKUP(O196,'G-7 Rivers Data'!$AD$4:$AE$8,2,FALSE)))</f>
        <v/>
      </c>
      <c r="Q196" s="506" t="str">
        <f>IF(D196="","",VLOOKUP(D196,'G-7 Rivers Data'!$B$2:$G$8,6,FALSE))</f>
        <v/>
      </c>
      <c r="R196" s="513" t="str">
        <f t="shared" si="16"/>
        <v/>
      </c>
      <c r="S196" s="40"/>
      <c r="T196" s="145"/>
      <c r="U196" s="157"/>
      <c r="V196" s="511" t="str">
        <f t="shared" si="17"/>
        <v/>
      </c>
      <c r="W196" s="511" t="str">
        <f t="shared" si="18"/>
        <v/>
      </c>
      <c r="X196" s="511" t="str">
        <f t="shared" si="19"/>
        <v/>
      </c>
      <c r="Y196" s="515" t="str">
        <f t="shared" si="20"/>
        <v/>
      </c>
      <c r="Z196" s="151"/>
      <c r="AA196" s="152"/>
      <c r="AG196" s="31">
        <f t="shared" si="21"/>
        <v>0</v>
      </c>
      <c r="AH196" s="156" t="str">
        <f t="shared" si="22"/>
        <v/>
      </c>
      <c r="AI196" s="156" t="str">
        <f t="shared" si="23"/>
        <v/>
      </c>
      <c r="AK196" s="156">
        <v>187</v>
      </c>
      <c r="AM196" s="156" t="str">
        <f t="array" ref="AM196">IFERROR(INDEX($AK$10:$AK$258, MATCH(0, IF(TRUE=$AH$10:$AH$258, COUNTIF($AM$9:$AM195, $AK$10:$AK$258), ""), 0)),"")</f>
        <v/>
      </c>
      <c r="AN196" s="156" t="str">
        <f t="array" ref="AN196">IFERROR(INDEX($AK$10:$AK$258, MATCH(0, IF(TRUE=$AI$10:$AI$258, COUNTIF($AN$9:$AN195, $AK$10:$AK$258), ""), 0)),"")</f>
        <v/>
      </c>
      <c r="AP196" s="31" t="str">
        <f>IFERROR(INDEX('G-7 Rivers Data'!$AZ$3:$AZ$7,MATCH(D196,'G-7 Rivers Data'!$AY$3:$AY$7,0)),"")</f>
        <v/>
      </c>
    </row>
    <row r="197" spans="3:42" ht="14" x14ac:dyDescent="0.3">
      <c r="C197" s="141">
        <v>188</v>
      </c>
      <c r="D197" s="460"/>
      <c r="E197" s="172"/>
      <c r="F197" s="498" t="str">
        <f>IF(D197="","",VLOOKUP(D197,'G-7 Rivers Data'!$B$2:$G$8,2,FALSE))</f>
        <v/>
      </c>
      <c r="G197" s="499" t="str">
        <f>IFERROR(VLOOKUP(F197,'G-7 Rivers Data'!$C$4:$D$8,2,FALSE),"")</f>
        <v/>
      </c>
      <c r="H197" s="145"/>
      <c r="I197" s="499" t="str">
        <f>IFERROR(INDEX('G-7 Rivers Data'!$H$4:$L$8,MATCH(D197,'G-7 Rivers Data'!$B$4:$B$8,0),MATCH(H197,'G-7 Rivers Data'!$H$3:$L$3,0)),"")</f>
        <v/>
      </c>
      <c r="J197" s="418"/>
      <c r="K197" s="498" t="str">
        <f>IF(J197="","",IF(VLOOKUP(J197,'G-7 Rivers Data'!$AK$4:$AM$9,2,FALSE)=0,"Spatial Data Missing ⚠",VLOOKUP(J197,'G-7 Rivers Data'!$AK$4:$AM$9,2,FALSE)))</f>
        <v/>
      </c>
      <c r="L197" s="505" t="str">
        <f>IF(J197="","",IF(VLOOKUP(J197,'G-7 Rivers Data'!$AK$4:$AM$9,3,FALSE)=0,"Spatial Data Missing ⚠",VLOOKUP(J197,'G-7 Rivers Data'!$AK$4:$AM$9,3,FALSE)))</f>
        <v/>
      </c>
      <c r="M197" s="71"/>
      <c r="N197" s="499" t="str">
        <f>IF(M197="","",IF(VLOOKUP(M197,'G-7 Rivers Data'!$AA$4:$AB$7,2,FALSE)=0,"Spatial Data Missing ⚠",VLOOKUP(M197,'G-7 Rivers Data'!$AA$4:$AB$7,2,FALSE)))</f>
        <v/>
      </c>
      <c r="O197" s="155"/>
      <c r="P197" s="499" t="str">
        <f>IF(O197="","",IF(VLOOKUP(O197,'G-7 Rivers Data'!$AD$4:$AE$8,2,FALSE)=0,"Spatial Data Missing ⚠",VLOOKUP(O197,'G-7 Rivers Data'!$AD$4:$AE$8,2,FALSE)))</f>
        <v/>
      </c>
      <c r="Q197" s="506" t="str">
        <f>IF(D197="","",VLOOKUP(D197,'G-7 Rivers Data'!$B$2:$G$8,6,FALSE))</f>
        <v/>
      </c>
      <c r="R197" s="513" t="str">
        <f t="shared" si="16"/>
        <v/>
      </c>
      <c r="S197" s="40"/>
      <c r="T197" s="145"/>
      <c r="U197" s="157"/>
      <c r="V197" s="511" t="str">
        <f t="shared" si="17"/>
        <v/>
      </c>
      <c r="W197" s="511" t="str">
        <f t="shared" si="18"/>
        <v/>
      </c>
      <c r="X197" s="511" t="str">
        <f t="shared" si="19"/>
        <v/>
      </c>
      <c r="Y197" s="515" t="str">
        <f t="shared" si="20"/>
        <v/>
      </c>
      <c r="Z197" s="151"/>
      <c r="AA197" s="152"/>
      <c r="AG197" s="31">
        <f t="shared" si="21"/>
        <v>0</v>
      </c>
      <c r="AH197" s="156" t="str">
        <f t="shared" si="22"/>
        <v/>
      </c>
      <c r="AI197" s="156" t="str">
        <f t="shared" si="23"/>
        <v/>
      </c>
      <c r="AK197" s="156">
        <v>188</v>
      </c>
      <c r="AM197" s="156" t="str">
        <f t="array" ref="AM197">IFERROR(INDEX($AK$10:$AK$258, MATCH(0, IF(TRUE=$AH$10:$AH$258, COUNTIF($AM$9:$AM196, $AK$10:$AK$258), ""), 0)),"")</f>
        <v/>
      </c>
      <c r="AN197" s="156" t="str">
        <f t="array" ref="AN197">IFERROR(INDEX($AK$10:$AK$258, MATCH(0, IF(TRUE=$AI$10:$AI$258, COUNTIF($AN$9:$AN196, $AK$10:$AK$258), ""), 0)),"")</f>
        <v/>
      </c>
      <c r="AP197" s="31" t="str">
        <f>IFERROR(INDEX('G-7 Rivers Data'!$AZ$3:$AZ$7,MATCH(D197,'G-7 Rivers Data'!$AY$3:$AY$7,0)),"")</f>
        <v/>
      </c>
    </row>
    <row r="198" spans="3:42" ht="14" x14ac:dyDescent="0.3">
      <c r="C198" s="141">
        <v>189</v>
      </c>
      <c r="D198" s="460"/>
      <c r="E198" s="172"/>
      <c r="F198" s="498" t="str">
        <f>IF(D198="","",VLOOKUP(D198,'G-7 Rivers Data'!$B$2:$G$8,2,FALSE))</f>
        <v/>
      </c>
      <c r="G198" s="499" t="str">
        <f>IFERROR(VLOOKUP(F198,'G-7 Rivers Data'!$C$4:$D$8,2,FALSE),"")</f>
        <v/>
      </c>
      <c r="H198" s="145"/>
      <c r="I198" s="499" t="str">
        <f>IFERROR(INDEX('G-7 Rivers Data'!$H$4:$L$8,MATCH(D198,'G-7 Rivers Data'!$B$4:$B$8,0),MATCH(H198,'G-7 Rivers Data'!$H$3:$L$3,0)),"")</f>
        <v/>
      </c>
      <c r="J198" s="418"/>
      <c r="K198" s="498" t="str">
        <f>IF(J198="","",IF(VLOOKUP(J198,'G-7 Rivers Data'!$AK$4:$AM$9,2,FALSE)=0,"Spatial Data Missing ⚠",VLOOKUP(J198,'G-7 Rivers Data'!$AK$4:$AM$9,2,FALSE)))</f>
        <v/>
      </c>
      <c r="L198" s="505" t="str">
        <f>IF(J198="","",IF(VLOOKUP(J198,'G-7 Rivers Data'!$AK$4:$AM$9,3,FALSE)=0,"Spatial Data Missing ⚠",VLOOKUP(J198,'G-7 Rivers Data'!$AK$4:$AM$9,3,FALSE)))</f>
        <v/>
      </c>
      <c r="M198" s="71"/>
      <c r="N198" s="499" t="str">
        <f>IF(M198="","",IF(VLOOKUP(M198,'G-7 Rivers Data'!$AA$4:$AB$7,2,FALSE)=0,"Spatial Data Missing ⚠",VLOOKUP(M198,'G-7 Rivers Data'!$AA$4:$AB$7,2,FALSE)))</f>
        <v/>
      </c>
      <c r="O198" s="155"/>
      <c r="P198" s="499" t="str">
        <f>IF(O198="","",IF(VLOOKUP(O198,'G-7 Rivers Data'!$AD$4:$AE$8,2,FALSE)=0,"Spatial Data Missing ⚠",VLOOKUP(O198,'G-7 Rivers Data'!$AD$4:$AE$8,2,FALSE)))</f>
        <v/>
      </c>
      <c r="Q198" s="506" t="str">
        <f>IF(D198="","",VLOOKUP(D198,'G-7 Rivers Data'!$B$2:$G$8,6,FALSE))</f>
        <v/>
      </c>
      <c r="R198" s="513" t="str">
        <f t="shared" si="16"/>
        <v/>
      </c>
      <c r="S198" s="40"/>
      <c r="T198" s="145"/>
      <c r="U198" s="157"/>
      <c r="V198" s="511" t="str">
        <f t="shared" si="17"/>
        <v/>
      </c>
      <c r="W198" s="511" t="str">
        <f t="shared" si="18"/>
        <v/>
      </c>
      <c r="X198" s="511" t="str">
        <f t="shared" si="19"/>
        <v/>
      </c>
      <c r="Y198" s="515" t="str">
        <f t="shared" si="20"/>
        <v/>
      </c>
      <c r="Z198" s="151"/>
      <c r="AA198" s="152"/>
      <c r="AG198" s="31">
        <f t="shared" si="21"/>
        <v>0</v>
      </c>
      <c r="AH198" s="156" t="str">
        <f t="shared" si="22"/>
        <v/>
      </c>
      <c r="AI198" s="156" t="str">
        <f t="shared" si="23"/>
        <v/>
      </c>
      <c r="AK198" s="156">
        <v>189</v>
      </c>
      <c r="AM198" s="156" t="str">
        <f t="array" ref="AM198">IFERROR(INDEX($AK$10:$AK$258, MATCH(0, IF(TRUE=$AH$10:$AH$258, COUNTIF($AM$9:$AM197, $AK$10:$AK$258), ""), 0)),"")</f>
        <v/>
      </c>
      <c r="AN198" s="156" t="str">
        <f t="array" ref="AN198">IFERROR(INDEX($AK$10:$AK$258, MATCH(0, IF(TRUE=$AI$10:$AI$258, COUNTIF($AN$9:$AN197, $AK$10:$AK$258), ""), 0)),"")</f>
        <v/>
      </c>
      <c r="AP198" s="31" t="str">
        <f>IFERROR(INDEX('G-7 Rivers Data'!$AZ$3:$AZ$7,MATCH(D198,'G-7 Rivers Data'!$AY$3:$AY$7,0)),"")</f>
        <v/>
      </c>
    </row>
    <row r="199" spans="3:42" ht="14" x14ac:dyDescent="0.3">
      <c r="C199" s="141">
        <v>190</v>
      </c>
      <c r="D199" s="460"/>
      <c r="E199" s="172"/>
      <c r="F199" s="498" t="str">
        <f>IF(D199="","",VLOOKUP(D199,'G-7 Rivers Data'!$B$2:$G$8,2,FALSE))</f>
        <v/>
      </c>
      <c r="G199" s="499" t="str">
        <f>IFERROR(VLOOKUP(F199,'G-7 Rivers Data'!$C$4:$D$8,2,FALSE),"")</f>
        <v/>
      </c>
      <c r="H199" s="145"/>
      <c r="I199" s="499" t="str">
        <f>IFERROR(INDEX('G-7 Rivers Data'!$H$4:$L$8,MATCH(D199,'G-7 Rivers Data'!$B$4:$B$8,0),MATCH(H199,'G-7 Rivers Data'!$H$3:$L$3,0)),"")</f>
        <v/>
      </c>
      <c r="J199" s="418"/>
      <c r="K199" s="498" t="str">
        <f>IF(J199="","",IF(VLOOKUP(J199,'G-7 Rivers Data'!$AK$4:$AM$9,2,FALSE)=0,"Spatial Data Missing ⚠",VLOOKUP(J199,'G-7 Rivers Data'!$AK$4:$AM$9,2,FALSE)))</f>
        <v/>
      </c>
      <c r="L199" s="505" t="str">
        <f>IF(J199="","",IF(VLOOKUP(J199,'G-7 Rivers Data'!$AK$4:$AM$9,3,FALSE)=0,"Spatial Data Missing ⚠",VLOOKUP(J199,'G-7 Rivers Data'!$AK$4:$AM$9,3,FALSE)))</f>
        <v/>
      </c>
      <c r="M199" s="71"/>
      <c r="N199" s="499" t="str">
        <f>IF(M199="","",IF(VLOOKUP(M199,'G-7 Rivers Data'!$AA$4:$AB$7,2,FALSE)=0,"Spatial Data Missing ⚠",VLOOKUP(M199,'G-7 Rivers Data'!$AA$4:$AB$7,2,FALSE)))</f>
        <v/>
      </c>
      <c r="O199" s="155"/>
      <c r="P199" s="499" t="str">
        <f>IF(O199="","",IF(VLOOKUP(O199,'G-7 Rivers Data'!$AD$4:$AE$8,2,FALSE)=0,"Spatial Data Missing ⚠",VLOOKUP(O199,'G-7 Rivers Data'!$AD$4:$AE$8,2,FALSE)))</f>
        <v/>
      </c>
      <c r="Q199" s="506" t="str">
        <f>IF(D199="","",VLOOKUP(D199,'G-7 Rivers Data'!$B$2:$G$8,6,FALSE))</f>
        <v/>
      </c>
      <c r="R199" s="513" t="str">
        <f t="shared" si="16"/>
        <v/>
      </c>
      <c r="S199" s="40"/>
      <c r="T199" s="145"/>
      <c r="U199" s="157"/>
      <c r="V199" s="511" t="str">
        <f t="shared" si="17"/>
        <v/>
      </c>
      <c r="W199" s="511" t="str">
        <f t="shared" si="18"/>
        <v/>
      </c>
      <c r="X199" s="511" t="str">
        <f t="shared" si="19"/>
        <v/>
      </c>
      <c r="Y199" s="515" t="str">
        <f t="shared" si="20"/>
        <v/>
      </c>
      <c r="Z199" s="151"/>
      <c r="AA199" s="152"/>
      <c r="AG199" s="31">
        <f t="shared" si="21"/>
        <v>0</v>
      </c>
      <c r="AH199" s="156" t="str">
        <f t="shared" si="22"/>
        <v/>
      </c>
      <c r="AI199" s="156" t="str">
        <f t="shared" si="23"/>
        <v/>
      </c>
      <c r="AK199" s="156">
        <v>190</v>
      </c>
      <c r="AM199" s="156" t="str">
        <f t="array" ref="AM199">IFERROR(INDEX($AK$10:$AK$258, MATCH(0, IF(TRUE=$AH$10:$AH$258, COUNTIF($AM$9:$AM198, $AK$10:$AK$258), ""), 0)),"")</f>
        <v/>
      </c>
      <c r="AN199" s="156" t="str">
        <f t="array" ref="AN199">IFERROR(INDEX($AK$10:$AK$258, MATCH(0, IF(TRUE=$AI$10:$AI$258, COUNTIF($AN$9:$AN198, $AK$10:$AK$258), ""), 0)),"")</f>
        <v/>
      </c>
      <c r="AP199" s="31" t="str">
        <f>IFERROR(INDEX('G-7 Rivers Data'!$AZ$3:$AZ$7,MATCH(D199,'G-7 Rivers Data'!$AY$3:$AY$7,0)),"")</f>
        <v/>
      </c>
    </row>
    <row r="200" spans="3:42" ht="14" x14ac:dyDescent="0.3">
      <c r="C200" s="141">
        <v>191</v>
      </c>
      <c r="D200" s="460"/>
      <c r="E200" s="172"/>
      <c r="F200" s="498" t="str">
        <f>IF(D200="","",VLOOKUP(D200,'G-7 Rivers Data'!$B$2:$G$8,2,FALSE))</f>
        <v/>
      </c>
      <c r="G200" s="499" t="str">
        <f>IFERROR(VLOOKUP(F200,'G-7 Rivers Data'!$C$4:$D$8,2,FALSE),"")</f>
        <v/>
      </c>
      <c r="H200" s="145"/>
      <c r="I200" s="499" t="str">
        <f>IFERROR(INDEX('G-7 Rivers Data'!$H$4:$L$8,MATCH(D200,'G-7 Rivers Data'!$B$4:$B$8,0),MATCH(H200,'G-7 Rivers Data'!$H$3:$L$3,0)),"")</f>
        <v/>
      </c>
      <c r="J200" s="418"/>
      <c r="K200" s="498" t="str">
        <f>IF(J200="","",IF(VLOOKUP(J200,'G-7 Rivers Data'!$AK$4:$AM$9,2,FALSE)=0,"Spatial Data Missing ⚠",VLOOKUP(J200,'G-7 Rivers Data'!$AK$4:$AM$9,2,FALSE)))</f>
        <v/>
      </c>
      <c r="L200" s="505" t="str">
        <f>IF(J200="","",IF(VLOOKUP(J200,'G-7 Rivers Data'!$AK$4:$AM$9,3,FALSE)=0,"Spatial Data Missing ⚠",VLOOKUP(J200,'G-7 Rivers Data'!$AK$4:$AM$9,3,FALSE)))</f>
        <v/>
      </c>
      <c r="M200" s="71"/>
      <c r="N200" s="499" t="str">
        <f>IF(M200="","",IF(VLOOKUP(M200,'G-7 Rivers Data'!$AA$4:$AB$7,2,FALSE)=0,"Spatial Data Missing ⚠",VLOOKUP(M200,'G-7 Rivers Data'!$AA$4:$AB$7,2,FALSE)))</f>
        <v/>
      </c>
      <c r="O200" s="155"/>
      <c r="P200" s="499" t="str">
        <f>IF(O200="","",IF(VLOOKUP(O200,'G-7 Rivers Data'!$AD$4:$AE$8,2,FALSE)=0,"Spatial Data Missing ⚠",VLOOKUP(O200,'G-7 Rivers Data'!$AD$4:$AE$8,2,FALSE)))</f>
        <v/>
      </c>
      <c r="Q200" s="506" t="str">
        <f>IF(D200="","",VLOOKUP(D200,'G-7 Rivers Data'!$B$2:$G$8,6,FALSE))</f>
        <v/>
      </c>
      <c r="R200" s="513" t="str">
        <f t="shared" si="16"/>
        <v/>
      </c>
      <c r="S200" s="40"/>
      <c r="T200" s="145"/>
      <c r="U200" s="157"/>
      <c r="V200" s="511" t="str">
        <f t="shared" si="17"/>
        <v/>
      </c>
      <c r="W200" s="511" t="str">
        <f t="shared" si="18"/>
        <v/>
      </c>
      <c r="X200" s="511" t="str">
        <f t="shared" si="19"/>
        <v/>
      </c>
      <c r="Y200" s="515" t="str">
        <f t="shared" si="20"/>
        <v/>
      </c>
      <c r="Z200" s="151"/>
      <c r="AA200" s="152"/>
      <c r="AG200" s="31">
        <f t="shared" si="21"/>
        <v>0</v>
      </c>
      <c r="AH200" s="156" t="str">
        <f t="shared" si="22"/>
        <v/>
      </c>
      <c r="AI200" s="156" t="str">
        <f t="shared" si="23"/>
        <v/>
      </c>
      <c r="AK200" s="156">
        <v>191</v>
      </c>
      <c r="AM200" s="156" t="str">
        <f t="array" ref="AM200">IFERROR(INDEX($AK$10:$AK$258, MATCH(0, IF(TRUE=$AH$10:$AH$258, COUNTIF($AM$9:$AM199, $AK$10:$AK$258), ""), 0)),"")</f>
        <v/>
      </c>
      <c r="AN200" s="156" t="str">
        <f t="array" ref="AN200">IFERROR(INDEX($AK$10:$AK$258, MATCH(0, IF(TRUE=$AI$10:$AI$258, COUNTIF($AN$9:$AN199, $AK$10:$AK$258), ""), 0)),"")</f>
        <v/>
      </c>
      <c r="AP200" s="31" t="str">
        <f>IFERROR(INDEX('G-7 Rivers Data'!$AZ$3:$AZ$7,MATCH(D200,'G-7 Rivers Data'!$AY$3:$AY$7,0)),"")</f>
        <v/>
      </c>
    </row>
    <row r="201" spans="3:42" ht="14" x14ac:dyDescent="0.3">
      <c r="C201" s="141">
        <v>192</v>
      </c>
      <c r="D201" s="460"/>
      <c r="E201" s="172"/>
      <c r="F201" s="498" t="str">
        <f>IF(D201="","",VLOOKUP(D201,'G-7 Rivers Data'!$B$2:$G$8,2,FALSE))</f>
        <v/>
      </c>
      <c r="G201" s="499" t="str">
        <f>IFERROR(VLOOKUP(F201,'G-7 Rivers Data'!$C$4:$D$8,2,FALSE),"")</f>
        <v/>
      </c>
      <c r="H201" s="145"/>
      <c r="I201" s="499" t="str">
        <f>IFERROR(INDEX('G-7 Rivers Data'!$H$4:$L$8,MATCH(D201,'G-7 Rivers Data'!$B$4:$B$8,0),MATCH(H201,'G-7 Rivers Data'!$H$3:$L$3,0)),"")</f>
        <v/>
      </c>
      <c r="J201" s="418"/>
      <c r="K201" s="498" t="str">
        <f>IF(J201="","",IF(VLOOKUP(J201,'G-7 Rivers Data'!$AK$4:$AM$9,2,FALSE)=0,"Spatial Data Missing ⚠",VLOOKUP(J201,'G-7 Rivers Data'!$AK$4:$AM$9,2,FALSE)))</f>
        <v/>
      </c>
      <c r="L201" s="505" t="str">
        <f>IF(J201="","",IF(VLOOKUP(J201,'G-7 Rivers Data'!$AK$4:$AM$9,3,FALSE)=0,"Spatial Data Missing ⚠",VLOOKUP(J201,'G-7 Rivers Data'!$AK$4:$AM$9,3,FALSE)))</f>
        <v/>
      </c>
      <c r="M201" s="71"/>
      <c r="N201" s="499" t="str">
        <f>IF(M201="","",IF(VLOOKUP(M201,'G-7 Rivers Data'!$AA$4:$AB$7,2,FALSE)=0,"Spatial Data Missing ⚠",VLOOKUP(M201,'G-7 Rivers Data'!$AA$4:$AB$7,2,FALSE)))</f>
        <v/>
      </c>
      <c r="O201" s="155"/>
      <c r="P201" s="499" t="str">
        <f>IF(O201="","",IF(VLOOKUP(O201,'G-7 Rivers Data'!$AD$4:$AE$8,2,FALSE)=0,"Spatial Data Missing ⚠",VLOOKUP(O201,'G-7 Rivers Data'!$AD$4:$AE$8,2,FALSE)))</f>
        <v/>
      </c>
      <c r="Q201" s="506" t="str">
        <f>IF(D201="","",VLOOKUP(D201,'G-7 Rivers Data'!$B$2:$G$8,6,FALSE))</f>
        <v/>
      </c>
      <c r="R201" s="513" t="str">
        <f t="shared" si="16"/>
        <v/>
      </c>
      <c r="S201" s="40"/>
      <c r="T201" s="145"/>
      <c r="U201" s="157"/>
      <c r="V201" s="511" t="str">
        <f t="shared" si="17"/>
        <v/>
      </c>
      <c r="W201" s="511" t="str">
        <f t="shared" si="18"/>
        <v/>
      </c>
      <c r="X201" s="511" t="str">
        <f t="shared" si="19"/>
        <v/>
      </c>
      <c r="Y201" s="515" t="str">
        <f t="shared" si="20"/>
        <v/>
      </c>
      <c r="Z201" s="151"/>
      <c r="AA201" s="152"/>
      <c r="AG201" s="31">
        <f t="shared" si="21"/>
        <v>0</v>
      </c>
      <c r="AH201" s="156" t="str">
        <f t="shared" si="22"/>
        <v/>
      </c>
      <c r="AI201" s="156" t="str">
        <f t="shared" si="23"/>
        <v/>
      </c>
      <c r="AK201" s="156">
        <v>192</v>
      </c>
      <c r="AM201" s="156" t="str">
        <f t="array" ref="AM201">IFERROR(INDEX($AK$10:$AK$258, MATCH(0, IF(TRUE=$AH$10:$AH$258, COUNTIF($AM$9:$AM200, $AK$10:$AK$258), ""), 0)),"")</f>
        <v/>
      </c>
      <c r="AN201" s="156" t="str">
        <f t="array" ref="AN201">IFERROR(INDEX($AK$10:$AK$258, MATCH(0, IF(TRUE=$AI$10:$AI$258, COUNTIF($AN$9:$AN200, $AK$10:$AK$258), ""), 0)),"")</f>
        <v/>
      </c>
      <c r="AP201" s="31" t="str">
        <f>IFERROR(INDEX('G-7 Rivers Data'!$AZ$3:$AZ$7,MATCH(D201,'G-7 Rivers Data'!$AY$3:$AY$7,0)),"")</f>
        <v/>
      </c>
    </row>
    <row r="202" spans="3:42" ht="14" x14ac:dyDescent="0.3">
      <c r="C202" s="141">
        <v>193</v>
      </c>
      <c r="D202" s="460"/>
      <c r="E202" s="172"/>
      <c r="F202" s="498" t="str">
        <f>IF(D202="","",VLOOKUP(D202,'G-7 Rivers Data'!$B$2:$G$8,2,FALSE))</f>
        <v/>
      </c>
      <c r="G202" s="499" t="str">
        <f>IFERROR(VLOOKUP(F202,'G-7 Rivers Data'!$C$4:$D$8,2,FALSE),"")</f>
        <v/>
      </c>
      <c r="H202" s="145"/>
      <c r="I202" s="499" t="str">
        <f>IFERROR(INDEX('G-7 Rivers Data'!$H$4:$L$8,MATCH(D202,'G-7 Rivers Data'!$B$4:$B$8,0),MATCH(H202,'G-7 Rivers Data'!$H$3:$L$3,0)),"")</f>
        <v/>
      </c>
      <c r="J202" s="418"/>
      <c r="K202" s="498" t="str">
        <f>IF(J202="","",IF(VLOOKUP(J202,'G-7 Rivers Data'!$AK$4:$AM$9,2,FALSE)=0,"Spatial Data Missing ⚠",VLOOKUP(J202,'G-7 Rivers Data'!$AK$4:$AM$9,2,FALSE)))</f>
        <v/>
      </c>
      <c r="L202" s="505" t="str">
        <f>IF(J202="","",IF(VLOOKUP(J202,'G-7 Rivers Data'!$AK$4:$AM$9,3,FALSE)=0,"Spatial Data Missing ⚠",VLOOKUP(J202,'G-7 Rivers Data'!$AK$4:$AM$9,3,FALSE)))</f>
        <v/>
      </c>
      <c r="M202" s="71"/>
      <c r="N202" s="499" t="str">
        <f>IF(M202="","",IF(VLOOKUP(M202,'G-7 Rivers Data'!$AA$4:$AB$7,2,FALSE)=0,"Spatial Data Missing ⚠",VLOOKUP(M202,'G-7 Rivers Data'!$AA$4:$AB$7,2,FALSE)))</f>
        <v/>
      </c>
      <c r="O202" s="155"/>
      <c r="P202" s="499" t="str">
        <f>IF(O202="","",IF(VLOOKUP(O202,'G-7 Rivers Data'!$AD$4:$AE$8,2,FALSE)=0,"Spatial Data Missing ⚠",VLOOKUP(O202,'G-7 Rivers Data'!$AD$4:$AE$8,2,FALSE)))</f>
        <v/>
      </c>
      <c r="Q202" s="506" t="str">
        <f>IF(D202="","",VLOOKUP(D202,'G-7 Rivers Data'!$B$2:$G$8,6,FALSE))</f>
        <v/>
      </c>
      <c r="R202" s="513" t="str">
        <f t="shared" si="16"/>
        <v/>
      </c>
      <c r="S202" s="40"/>
      <c r="T202" s="145"/>
      <c r="U202" s="157"/>
      <c r="V202" s="511" t="str">
        <f t="shared" si="17"/>
        <v/>
      </c>
      <c r="W202" s="511" t="str">
        <f t="shared" si="18"/>
        <v/>
      </c>
      <c r="X202" s="511" t="str">
        <f t="shared" si="19"/>
        <v/>
      </c>
      <c r="Y202" s="515" t="str">
        <f t="shared" si="20"/>
        <v/>
      </c>
      <c r="Z202" s="151"/>
      <c r="AA202" s="152"/>
      <c r="AG202" s="31">
        <f t="shared" si="21"/>
        <v>0</v>
      </c>
      <c r="AH202" s="156" t="str">
        <f t="shared" si="22"/>
        <v/>
      </c>
      <c r="AI202" s="156" t="str">
        <f t="shared" si="23"/>
        <v/>
      </c>
      <c r="AK202" s="156">
        <v>193</v>
      </c>
      <c r="AM202" s="156" t="str">
        <f t="array" ref="AM202">IFERROR(INDEX($AK$10:$AK$258, MATCH(0, IF(TRUE=$AH$10:$AH$258, COUNTIF($AM$9:$AM201, $AK$10:$AK$258), ""), 0)),"")</f>
        <v/>
      </c>
      <c r="AN202" s="156" t="str">
        <f t="array" ref="AN202">IFERROR(INDEX($AK$10:$AK$258, MATCH(0, IF(TRUE=$AI$10:$AI$258, COUNTIF($AN$9:$AN201, $AK$10:$AK$258), ""), 0)),"")</f>
        <v/>
      </c>
      <c r="AP202" s="31" t="str">
        <f>IFERROR(INDEX('G-7 Rivers Data'!$AZ$3:$AZ$7,MATCH(D202,'G-7 Rivers Data'!$AY$3:$AY$7,0)),"")</f>
        <v/>
      </c>
    </row>
    <row r="203" spans="3:42" ht="14" x14ac:dyDescent="0.3">
      <c r="C203" s="141">
        <v>194</v>
      </c>
      <c r="D203" s="460"/>
      <c r="E203" s="172"/>
      <c r="F203" s="498" t="str">
        <f>IF(D203="","",VLOOKUP(D203,'G-7 Rivers Data'!$B$2:$G$8,2,FALSE))</f>
        <v/>
      </c>
      <c r="G203" s="499" t="str">
        <f>IFERROR(VLOOKUP(F203,'G-7 Rivers Data'!$C$4:$D$8,2,FALSE),"")</f>
        <v/>
      </c>
      <c r="H203" s="145"/>
      <c r="I203" s="499" t="str">
        <f>IFERROR(INDEX('G-7 Rivers Data'!$H$4:$L$8,MATCH(D203,'G-7 Rivers Data'!$B$4:$B$8,0),MATCH(H203,'G-7 Rivers Data'!$H$3:$L$3,0)),"")</f>
        <v/>
      </c>
      <c r="J203" s="418"/>
      <c r="K203" s="498" t="str">
        <f>IF(J203="","",IF(VLOOKUP(J203,'G-7 Rivers Data'!$AK$4:$AM$9,2,FALSE)=0,"Spatial Data Missing ⚠",VLOOKUP(J203,'G-7 Rivers Data'!$AK$4:$AM$9,2,FALSE)))</f>
        <v/>
      </c>
      <c r="L203" s="505" t="str">
        <f>IF(J203="","",IF(VLOOKUP(J203,'G-7 Rivers Data'!$AK$4:$AM$9,3,FALSE)=0,"Spatial Data Missing ⚠",VLOOKUP(J203,'G-7 Rivers Data'!$AK$4:$AM$9,3,FALSE)))</f>
        <v/>
      </c>
      <c r="M203" s="71"/>
      <c r="N203" s="499" t="str">
        <f>IF(M203="","",IF(VLOOKUP(M203,'G-7 Rivers Data'!$AA$4:$AB$7,2,FALSE)=0,"Spatial Data Missing ⚠",VLOOKUP(M203,'G-7 Rivers Data'!$AA$4:$AB$7,2,FALSE)))</f>
        <v/>
      </c>
      <c r="O203" s="155"/>
      <c r="P203" s="499" t="str">
        <f>IF(O203="","",IF(VLOOKUP(O203,'G-7 Rivers Data'!$AD$4:$AE$8,2,FALSE)=0,"Spatial Data Missing ⚠",VLOOKUP(O203,'G-7 Rivers Data'!$AD$4:$AE$8,2,FALSE)))</f>
        <v/>
      </c>
      <c r="Q203" s="506" t="str">
        <f>IF(D203="","",VLOOKUP(D203,'G-7 Rivers Data'!$B$2:$G$8,6,FALSE))</f>
        <v/>
      </c>
      <c r="R203" s="513" t="str">
        <f t="shared" ref="R203:R257" si="24">IFERROR(IF(D203="","",E203*G203*I203*L203*N203*P203),"")</f>
        <v/>
      </c>
      <c r="S203" s="40"/>
      <c r="T203" s="145"/>
      <c r="U203" s="157"/>
      <c r="V203" s="511" t="str">
        <f t="shared" ref="V203:V257" si="25">IFERROR(IF(T203&gt;E203,"Check Lengths",T203*G203*I203*L203*N203*P203),"")</f>
        <v/>
      </c>
      <c r="W203" s="511" t="str">
        <f t="shared" ref="W203:W257" si="26">IFERROR(IF(D203="","",U203*G203*I203*L203*N203*P203),"")</f>
        <v/>
      </c>
      <c r="X203" s="511" t="str">
        <f t="shared" ref="X203:X257" si="27">IFERROR(IF(D203="","",IF(E203&gt;(T203+U203),E203-T203-U203,0)),"")</f>
        <v/>
      </c>
      <c r="Y203" s="515" t="str">
        <f t="shared" ref="Y203:Y258" si="28">IFERROR(IF(E203="","",IF((V203+W203)&gt;R203,0,R203-V203-W203)),"Check Data ⚠")</f>
        <v/>
      </c>
      <c r="Z203" s="151"/>
      <c r="AA203" s="152"/>
      <c r="AG203" s="31">
        <f t="shared" ref="AG203:AG257" si="29">IFERROR(IF(T203+U203&gt;E203,1,0),"")</f>
        <v>0</v>
      </c>
      <c r="AH203" s="156" t="str">
        <f t="shared" ref="AH203:AH257" si="30">IF(D203="","",IF(T203&gt;0,TRUE,FALSE))</f>
        <v/>
      </c>
      <c r="AI203" s="156" t="str">
        <f t="shared" ref="AI203:AI257" si="31">IF(D203="","",IF(U203&gt;0,TRUE,FALSE))</f>
        <v/>
      </c>
      <c r="AK203" s="156">
        <v>194</v>
      </c>
      <c r="AM203" s="156" t="str">
        <f t="array" ref="AM203">IFERROR(INDEX($AK$10:$AK$258, MATCH(0, IF(TRUE=$AH$10:$AH$258, COUNTIF($AM$9:$AM202, $AK$10:$AK$258), ""), 0)),"")</f>
        <v/>
      </c>
      <c r="AN203" s="156" t="str">
        <f t="array" ref="AN203">IFERROR(INDEX($AK$10:$AK$258, MATCH(0, IF(TRUE=$AI$10:$AI$258, COUNTIF($AN$9:$AN202, $AK$10:$AK$258), ""), 0)),"")</f>
        <v/>
      </c>
      <c r="AP203" s="31" t="str">
        <f>IFERROR(INDEX('G-7 Rivers Data'!$AZ$3:$AZ$7,MATCH(D203,'G-7 Rivers Data'!$AY$3:$AY$7,0)),"")</f>
        <v/>
      </c>
    </row>
    <row r="204" spans="3:42" ht="14" x14ac:dyDescent="0.3">
      <c r="C204" s="141">
        <v>195</v>
      </c>
      <c r="D204" s="460"/>
      <c r="E204" s="172"/>
      <c r="F204" s="498" t="str">
        <f>IF(D204="","",VLOOKUP(D204,'G-7 Rivers Data'!$B$2:$G$8,2,FALSE))</f>
        <v/>
      </c>
      <c r="G204" s="499" t="str">
        <f>IFERROR(VLOOKUP(F204,'G-7 Rivers Data'!$C$4:$D$8,2,FALSE),"")</f>
        <v/>
      </c>
      <c r="H204" s="145"/>
      <c r="I204" s="499" t="str">
        <f>IFERROR(INDEX('G-7 Rivers Data'!$H$4:$L$8,MATCH(D204,'G-7 Rivers Data'!$B$4:$B$8,0),MATCH(H204,'G-7 Rivers Data'!$H$3:$L$3,0)),"")</f>
        <v/>
      </c>
      <c r="J204" s="418"/>
      <c r="K204" s="498" t="str">
        <f>IF(J204="","",IF(VLOOKUP(J204,'G-7 Rivers Data'!$AK$4:$AM$9,2,FALSE)=0,"Spatial Data Missing ⚠",VLOOKUP(J204,'G-7 Rivers Data'!$AK$4:$AM$9,2,FALSE)))</f>
        <v/>
      </c>
      <c r="L204" s="505" t="str">
        <f>IF(J204="","",IF(VLOOKUP(J204,'G-7 Rivers Data'!$AK$4:$AM$9,3,FALSE)=0,"Spatial Data Missing ⚠",VLOOKUP(J204,'G-7 Rivers Data'!$AK$4:$AM$9,3,FALSE)))</f>
        <v/>
      </c>
      <c r="M204" s="71"/>
      <c r="N204" s="499" t="str">
        <f>IF(M204="","",IF(VLOOKUP(M204,'G-7 Rivers Data'!$AA$4:$AB$7,2,FALSE)=0,"Spatial Data Missing ⚠",VLOOKUP(M204,'G-7 Rivers Data'!$AA$4:$AB$7,2,FALSE)))</f>
        <v/>
      </c>
      <c r="O204" s="155"/>
      <c r="P204" s="499" t="str">
        <f>IF(O204="","",IF(VLOOKUP(O204,'G-7 Rivers Data'!$AD$4:$AE$8,2,FALSE)=0,"Spatial Data Missing ⚠",VLOOKUP(O204,'G-7 Rivers Data'!$AD$4:$AE$8,2,FALSE)))</f>
        <v/>
      </c>
      <c r="Q204" s="506" t="str">
        <f>IF(D204="","",VLOOKUP(D204,'G-7 Rivers Data'!$B$2:$G$8,6,FALSE))</f>
        <v/>
      </c>
      <c r="R204" s="513" t="str">
        <f t="shared" si="24"/>
        <v/>
      </c>
      <c r="S204" s="40"/>
      <c r="T204" s="145"/>
      <c r="U204" s="157"/>
      <c r="V204" s="511" t="str">
        <f t="shared" si="25"/>
        <v/>
      </c>
      <c r="W204" s="511" t="str">
        <f t="shared" si="26"/>
        <v/>
      </c>
      <c r="X204" s="511" t="str">
        <f t="shared" si="27"/>
        <v/>
      </c>
      <c r="Y204" s="515" t="str">
        <f t="shared" si="28"/>
        <v/>
      </c>
      <c r="Z204" s="151"/>
      <c r="AA204" s="152"/>
      <c r="AG204" s="31">
        <f t="shared" si="29"/>
        <v>0</v>
      </c>
      <c r="AH204" s="156" t="str">
        <f t="shared" si="30"/>
        <v/>
      </c>
      <c r="AI204" s="156" t="str">
        <f t="shared" si="31"/>
        <v/>
      </c>
      <c r="AK204" s="156">
        <v>195</v>
      </c>
      <c r="AM204" s="156" t="str">
        <f t="array" ref="AM204">IFERROR(INDEX($AK$10:$AK$258, MATCH(0, IF(TRUE=$AH$10:$AH$258, COUNTIF($AM$9:$AM203, $AK$10:$AK$258), ""), 0)),"")</f>
        <v/>
      </c>
      <c r="AN204" s="156" t="str">
        <f t="array" ref="AN204">IFERROR(INDEX($AK$10:$AK$258, MATCH(0, IF(TRUE=$AI$10:$AI$258, COUNTIF($AN$9:$AN203, $AK$10:$AK$258), ""), 0)),"")</f>
        <v/>
      </c>
      <c r="AP204" s="31" t="str">
        <f>IFERROR(INDEX('G-7 Rivers Data'!$AZ$3:$AZ$7,MATCH(D204,'G-7 Rivers Data'!$AY$3:$AY$7,0)),"")</f>
        <v/>
      </c>
    </row>
    <row r="205" spans="3:42" ht="14" x14ac:dyDescent="0.3">
      <c r="C205" s="141">
        <v>196</v>
      </c>
      <c r="D205" s="460"/>
      <c r="E205" s="172"/>
      <c r="F205" s="498" t="str">
        <f>IF(D205="","",VLOOKUP(D205,'G-7 Rivers Data'!$B$2:$G$8,2,FALSE))</f>
        <v/>
      </c>
      <c r="G205" s="499" t="str">
        <f>IFERROR(VLOOKUP(F205,'G-7 Rivers Data'!$C$4:$D$8,2,FALSE),"")</f>
        <v/>
      </c>
      <c r="H205" s="145"/>
      <c r="I205" s="499" t="str">
        <f>IFERROR(INDEX('G-7 Rivers Data'!$H$4:$L$8,MATCH(D205,'G-7 Rivers Data'!$B$4:$B$8,0),MATCH(H205,'G-7 Rivers Data'!$H$3:$L$3,0)),"")</f>
        <v/>
      </c>
      <c r="J205" s="418"/>
      <c r="K205" s="498" t="str">
        <f>IF(J205="","",IF(VLOOKUP(J205,'G-7 Rivers Data'!$AK$4:$AM$9,2,FALSE)=0,"Spatial Data Missing ⚠",VLOOKUP(J205,'G-7 Rivers Data'!$AK$4:$AM$9,2,FALSE)))</f>
        <v/>
      </c>
      <c r="L205" s="505" t="str">
        <f>IF(J205="","",IF(VLOOKUP(J205,'G-7 Rivers Data'!$AK$4:$AM$9,3,FALSE)=0,"Spatial Data Missing ⚠",VLOOKUP(J205,'G-7 Rivers Data'!$AK$4:$AM$9,3,FALSE)))</f>
        <v/>
      </c>
      <c r="M205" s="71"/>
      <c r="N205" s="499" t="str">
        <f>IF(M205="","",IF(VLOOKUP(M205,'G-7 Rivers Data'!$AA$4:$AB$7,2,FALSE)=0,"Spatial Data Missing ⚠",VLOOKUP(M205,'G-7 Rivers Data'!$AA$4:$AB$7,2,FALSE)))</f>
        <v/>
      </c>
      <c r="O205" s="155"/>
      <c r="P205" s="499" t="str">
        <f>IF(O205="","",IF(VLOOKUP(O205,'G-7 Rivers Data'!$AD$4:$AE$8,2,FALSE)=0,"Spatial Data Missing ⚠",VLOOKUP(O205,'G-7 Rivers Data'!$AD$4:$AE$8,2,FALSE)))</f>
        <v/>
      </c>
      <c r="Q205" s="506" t="str">
        <f>IF(D205="","",VLOOKUP(D205,'G-7 Rivers Data'!$B$2:$G$8,6,FALSE))</f>
        <v/>
      </c>
      <c r="R205" s="513" t="str">
        <f t="shared" si="24"/>
        <v/>
      </c>
      <c r="S205" s="40"/>
      <c r="T205" s="145"/>
      <c r="U205" s="157"/>
      <c r="V205" s="511" t="str">
        <f t="shared" si="25"/>
        <v/>
      </c>
      <c r="W205" s="511" t="str">
        <f t="shared" si="26"/>
        <v/>
      </c>
      <c r="X205" s="511" t="str">
        <f t="shared" si="27"/>
        <v/>
      </c>
      <c r="Y205" s="515" t="str">
        <f t="shared" si="28"/>
        <v/>
      </c>
      <c r="Z205" s="151"/>
      <c r="AA205" s="152"/>
      <c r="AG205" s="31">
        <f t="shared" si="29"/>
        <v>0</v>
      </c>
      <c r="AH205" s="156" t="str">
        <f t="shared" si="30"/>
        <v/>
      </c>
      <c r="AI205" s="156" t="str">
        <f t="shared" si="31"/>
        <v/>
      </c>
      <c r="AK205" s="156">
        <v>196</v>
      </c>
      <c r="AM205" s="156" t="str">
        <f t="array" ref="AM205">IFERROR(INDEX($AK$10:$AK$258, MATCH(0, IF(TRUE=$AH$10:$AH$258, COUNTIF($AM$9:$AM204, $AK$10:$AK$258), ""), 0)),"")</f>
        <v/>
      </c>
      <c r="AN205" s="156" t="str">
        <f t="array" ref="AN205">IFERROR(INDEX($AK$10:$AK$258, MATCH(0, IF(TRUE=$AI$10:$AI$258, COUNTIF($AN$9:$AN204, $AK$10:$AK$258), ""), 0)),"")</f>
        <v/>
      </c>
      <c r="AP205" s="31" t="str">
        <f>IFERROR(INDEX('G-7 Rivers Data'!$AZ$3:$AZ$7,MATCH(D205,'G-7 Rivers Data'!$AY$3:$AY$7,0)),"")</f>
        <v/>
      </c>
    </row>
    <row r="206" spans="3:42" ht="14" x14ac:dyDescent="0.3">
      <c r="C206" s="141">
        <v>197</v>
      </c>
      <c r="D206" s="460"/>
      <c r="E206" s="172"/>
      <c r="F206" s="498" t="str">
        <f>IF(D206="","",VLOOKUP(D206,'G-7 Rivers Data'!$B$2:$G$8,2,FALSE))</f>
        <v/>
      </c>
      <c r="G206" s="499" t="str">
        <f>IFERROR(VLOOKUP(F206,'G-7 Rivers Data'!$C$4:$D$8,2,FALSE),"")</f>
        <v/>
      </c>
      <c r="H206" s="145"/>
      <c r="I206" s="499" t="str">
        <f>IFERROR(INDEX('G-7 Rivers Data'!$H$4:$L$8,MATCH(D206,'G-7 Rivers Data'!$B$4:$B$8,0),MATCH(H206,'G-7 Rivers Data'!$H$3:$L$3,0)),"")</f>
        <v/>
      </c>
      <c r="J206" s="418"/>
      <c r="K206" s="498" t="str">
        <f>IF(J206="","",IF(VLOOKUP(J206,'G-7 Rivers Data'!$AK$4:$AM$9,2,FALSE)=0,"Spatial Data Missing ⚠",VLOOKUP(J206,'G-7 Rivers Data'!$AK$4:$AM$9,2,FALSE)))</f>
        <v/>
      </c>
      <c r="L206" s="505" t="str">
        <f>IF(J206="","",IF(VLOOKUP(J206,'G-7 Rivers Data'!$AK$4:$AM$9,3,FALSE)=0,"Spatial Data Missing ⚠",VLOOKUP(J206,'G-7 Rivers Data'!$AK$4:$AM$9,3,FALSE)))</f>
        <v/>
      </c>
      <c r="M206" s="71"/>
      <c r="N206" s="499" t="str">
        <f>IF(M206="","",IF(VLOOKUP(M206,'G-7 Rivers Data'!$AA$4:$AB$7,2,FALSE)=0,"Spatial Data Missing ⚠",VLOOKUP(M206,'G-7 Rivers Data'!$AA$4:$AB$7,2,FALSE)))</f>
        <v/>
      </c>
      <c r="O206" s="155"/>
      <c r="P206" s="499" t="str">
        <f>IF(O206="","",IF(VLOOKUP(O206,'G-7 Rivers Data'!$AD$4:$AE$8,2,FALSE)=0,"Spatial Data Missing ⚠",VLOOKUP(O206,'G-7 Rivers Data'!$AD$4:$AE$8,2,FALSE)))</f>
        <v/>
      </c>
      <c r="Q206" s="506" t="str">
        <f>IF(D206="","",VLOOKUP(D206,'G-7 Rivers Data'!$B$2:$G$8,6,FALSE))</f>
        <v/>
      </c>
      <c r="R206" s="513" t="str">
        <f t="shared" si="24"/>
        <v/>
      </c>
      <c r="S206" s="40"/>
      <c r="T206" s="145"/>
      <c r="U206" s="157"/>
      <c r="V206" s="511" t="str">
        <f t="shared" si="25"/>
        <v/>
      </c>
      <c r="W206" s="511" t="str">
        <f t="shared" si="26"/>
        <v/>
      </c>
      <c r="X206" s="511" t="str">
        <f t="shared" si="27"/>
        <v/>
      </c>
      <c r="Y206" s="515" t="str">
        <f t="shared" si="28"/>
        <v/>
      </c>
      <c r="Z206" s="151"/>
      <c r="AA206" s="152"/>
      <c r="AG206" s="31">
        <f t="shared" si="29"/>
        <v>0</v>
      </c>
      <c r="AH206" s="156" t="str">
        <f t="shared" si="30"/>
        <v/>
      </c>
      <c r="AI206" s="156" t="str">
        <f t="shared" si="31"/>
        <v/>
      </c>
      <c r="AK206" s="156">
        <v>197</v>
      </c>
      <c r="AM206" s="156" t="str">
        <f t="array" ref="AM206">IFERROR(INDEX($AK$10:$AK$258, MATCH(0, IF(TRUE=$AH$10:$AH$258, COUNTIF($AM$9:$AM205, $AK$10:$AK$258), ""), 0)),"")</f>
        <v/>
      </c>
      <c r="AN206" s="156" t="str">
        <f t="array" ref="AN206">IFERROR(INDEX($AK$10:$AK$258, MATCH(0, IF(TRUE=$AI$10:$AI$258, COUNTIF($AN$9:$AN205, $AK$10:$AK$258), ""), 0)),"")</f>
        <v/>
      </c>
      <c r="AP206" s="31" t="str">
        <f>IFERROR(INDEX('G-7 Rivers Data'!$AZ$3:$AZ$7,MATCH(D206,'G-7 Rivers Data'!$AY$3:$AY$7,0)),"")</f>
        <v/>
      </c>
    </row>
    <row r="207" spans="3:42" ht="14" x14ac:dyDescent="0.3">
      <c r="C207" s="141">
        <v>198</v>
      </c>
      <c r="D207" s="460"/>
      <c r="E207" s="172"/>
      <c r="F207" s="498" t="str">
        <f>IF(D207="","",VLOOKUP(D207,'G-7 Rivers Data'!$B$2:$G$8,2,FALSE))</f>
        <v/>
      </c>
      <c r="G207" s="499" t="str">
        <f>IFERROR(VLOOKUP(F207,'G-7 Rivers Data'!$C$4:$D$8,2,FALSE),"")</f>
        <v/>
      </c>
      <c r="H207" s="145"/>
      <c r="I207" s="499" t="str">
        <f>IFERROR(INDEX('G-7 Rivers Data'!$H$4:$L$8,MATCH(D207,'G-7 Rivers Data'!$B$4:$B$8,0),MATCH(H207,'G-7 Rivers Data'!$H$3:$L$3,0)),"")</f>
        <v/>
      </c>
      <c r="J207" s="418"/>
      <c r="K207" s="498" t="str">
        <f>IF(J207="","",IF(VLOOKUP(J207,'G-7 Rivers Data'!$AK$4:$AM$9,2,FALSE)=0,"Spatial Data Missing ⚠",VLOOKUP(J207,'G-7 Rivers Data'!$AK$4:$AM$9,2,FALSE)))</f>
        <v/>
      </c>
      <c r="L207" s="505" t="str">
        <f>IF(J207="","",IF(VLOOKUP(J207,'G-7 Rivers Data'!$AK$4:$AM$9,3,FALSE)=0,"Spatial Data Missing ⚠",VLOOKUP(J207,'G-7 Rivers Data'!$AK$4:$AM$9,3,FALSE)))</f>
        <v/>
      </c>
      <c r="M207" s="71"/>
      <c r="N207" s="499" t="str">
        <f>IF(M207="","",IF(VLOOKUP(M207,'G-7 Rivers Data'!$AA$4:$AB$7,2,FALSE)=0,"Spatial Data Missing ⚠",VLOOKUP(M207,'G-7 Rivers Data'!$AA$4:$AB$7,2,FALSE)))</f>
        <v/>
      </c>
      <c r="O207" s="155"/>
      <c r="P207" s="499" t="str">
        <f>IF(O207="","",IF(VLOOKUP(O207,'G-7 Rivers Data'!$AD$4:$AE$8,2,FALSE)=0,"Spatial Data Missing ⚠",VLOOKUP(O207,'G-7 Rivers Data'!$AD$4:$AE$8,2,FALSE)))</f>
        <v/>
      </c>
      <c r="Q207" s="506" t="str">
        <f>IF(D207="","",VLOOKUP(D207,'G-7 Rivers Data'!$B$2:$G$8,6,FALSE))</f>
        <v/>
      </c>
      <c r="R207" s="513" t="str">
        <f t="shared" si="24"/>
        <v/>
      </c>
      <c r="S207" s="40"/>
      <c r="T207" s="145"/>
      <c r="U207" s="157"/>
      <c r="V207" s="511" t="str">
        <f t="shared" si="25"/>
        <v/>
      </c>
      <c r="W207" s="511" t="str">
        <f t="shared" si="26"/>
        <v/>
      </c>
      <c r="X207" s="511" t="str">
        <f t="shared" si="27"/>
        <v/>
      </c>
      <c r="Y207" s="515" t="str">
        <f t="shared" si="28"/>
        <v/>
      </c>
      <c r="Z207" s="151"/>
      <c r="AA207" s="152"/>
      <c r="AG207" s="31">
        <f t="shared" si="29"/>
        <v>0</v>
      </c>
      <c r="AH207" s="156" t="str">
        <f t="shared" si="30"/>
        <v/>
      </c>
      <c r="AI207" s="156" t="str">
        <f t="shared" si="31"/>
        <v/>
      </c>
      <c r="AK207" s="156">
        <v>198</v>
      </c>
      <c r="AM207" s="156" t="str">
        <f t="array" ref="AM207">IFERROR(INDEX($AK$10:$AK$258, MATCH(0, IF(TRUE=$AH$10:$AH$258, COUNTIF($AM$9:$AM206, $AK$10:$AK$258), ""), 0)),"")</f>
        <v/>
      </c>
      <c r="AN207" s="156" t="str">
        <f t="array" ref="AN207">IFERROR(INDEX($AK$10:$AK$258, MATCH(0, IF(TRUE=$AI$10:$AI$258, COUNTIF($AN$9:$AN206, $AK$10:$AK$258), ""), 0)),"")</f>
        <v/>
      </c>
      <c r="AP207" s="31" t="str">
        <f>IFERROR(INDEX('G-7 Rivers Data'!$AZ$3:$AZ$7,MATCH(D207,'G-7 Rivers Data'!$AY$3:$AY$7,0)),"")</f>
        <v/>
      </c>
    </row>
    <row r="208" spans="3:42" ht="14" x14ac:dyDescent="0.3">
      <c r="C208" s="141">
        <v>199</v>
      </c>
      <c r="D208" s="460"/>
      <c r="E208" s="172"/>
      <c r="F208" s="498" t="str">
        <f>IF(D208="","",VLOOKUP(D208,'G-7 Rivers Data'!$B$2:$G$8,2,FALSE))</f>
        <v/>
      </c>
      <c r="G208" s="499" t="str">
        <f>IFERROR(VLOOKUP(F208,'G-7 Rivers Data'!$C$4:$D$8,2,FALSE),"")</f>
        <v/>
      </c>
      <c r="H208" s="145"/>
      <c r="I208" s="499" t="str">
        <f>IFERROR(INDEX('G-7 Rivers Data'!$H$4:$L$8,MATCH(D208,'G-7 Rivers Data'!$B$4:$B$8,0),MATCH(H208,'G-7 Rivers Data'!$H$3:$L$3,0)),"")</f>
        <v/>
      </c>
      <c r="J208" s="418"/>
      <c r="K208" s="498" t="str">
        <f>IF(J208="","",IF(VLOOKUP(J208,'G-7 Rivers Data'!$AK$4:$AM$9,2,FALSE)=0,"Spatial Data Missing ⚠",VLOOKUP(J208,'G-7 Rivers Data'!$AK$4:$AM$9,2,FALSE)))</f>
        <v/>
      </c>
      <c r="L208" s="505" t="str">
        <f>IF(J208="","",IF(VLOOKUP(J208,'G-7 Rivers Data'!$AK$4:$AM$9,3,FALSE)=0,"Spatial Data Missing ⚠",VLOOKUP(J208,'G-7 Rivers Data'!$AK$4:$AM$9,3,FALSE)))</f>
        <v/>
      </c>
      <c r="M208" s="71"/>
      <c r="N208" s="499" t="str">
        <f>IF(M208="","",IF(VLOOKUP(M208,'G-7 Rivers Data'!$AA$4:$AB$7,2,FALSE)=0,"Spatial Data Missing ⚠",VLOOKUP(M208,'G-7 Rivers Data'!$AA$4:$AB$7,2,FALSE)))</f>
        <v/>
      </c>
      <c r="O208" s="155"/>
      <c r="P208" s="499" t="str">
        <f>IF(O208="","",IF(VLOOKUP(O208,'G-7 Rivers Data'!$AD$4:$AE$8,2,FALSE)=0,"Spatial Data Missing ⚠",VLOOKUP(O208,'G-7 Rivers Data'!$AD$4:$AE$8,2,FALSE)))</f>
        <v/>
      </c>
      <c r="Q208" s="506" t="str">
        <f>IF(D208="","",VLOOKUP(D208,'G-7 Rivers Data'!$B$2:$G$8,6,FALSE))</f>
        <v/>
      </c>
      <c r="R208" s="513" t="str">
        <f t="shared" si="24"/>
        <v/>
      </c>
      <c r="S208" s="40"/>
      <c r="T208" s="145"/>
      <c r="U208" s="157"/>
      <c r="V208" s="511" t="str">
        <f t="shared" si="25"/>
        <v/>
      </c>
      <c r="W208" s="511" t="str">
        <f t="shared" si="26"/>
        <v/>
      </c>
      <c r="X208" s="511" t="str">
        <f t="shared" si="27"/>
        <v/>
      </c>
      <c r="Y208" s="515" t="str">
        <f t="shared" si="28"/>
        <v/>
      </c>
      <c r="Z208" s="151"/>
      <c r="AA208" s="152"/>
      <c r="AG208" s="31">
        <f t="shared" si="29"/>
        <v>0</v>
      </c>
      <c r="AH208" s="156" t="str">
        <f t="shared" si="30"/>
        <v/>
      </c>
      <c r="AI208" s="156" t="str">
        <f t="shared" si="31"/>
        <v/>
      </c>
      <c r="AK208" s="156">
        <v>199</v>
      </c>
      <c r="AM208" s="156" t="str">
        <f t="array" ref="AM208">IFERROR(INDEX($AK$10:$AK$258, MATCH(0, IF(TRUE=$AH$10:$AH$258, COUNTIF($AM$9:$AM207, $AK$10:$AK$258), ""), 0)),"")</f>
        <v/>
      </c>
      <c r="AN208" s="156" t="str">
        <f t="array" ref="AN208">IFERROR(INDEX($AK$10:$AK$258, MATCH(0, IF(TRUE=$AI$10:$AI$258, COUNTIF($AN$9:$AN207, $AK$10:$AK$258), ""), 0)),"")</f>
        <v/>
      </c>
      <c r="AP208" s="31" t="str">
        <f>IFERROR(INDEX('G-7 Rivers Data'!$AZ$3:$AZ$7,MATCH(D208,'G-7 Rivers Data'!$AY$3:$AY$7,0)),"")</f>
        <v/>
      </c>
    </row>
    <row r="209" spans="3:42" ht="14" x14ac:dyDescent="0.3">
      <c r="C209" s="141">
        <v>200</v>
      </c>
      <c r="D209" s="460"/>
      <c r="E209" s="172"/>
      <c r="F209" s="498" t="str">
        <f>IF(D209="","",VLOOKUP(D209,'G-7 Rivers Data'!$B$2:$G$8,2,FALSE))</f>
        <v/>
      </c>
      <c r="G209" s="499" t="str">
        <f>IFERROR(VLOOKUP(F209,'G-7 Rivers Data'!$C$4:$D$8,2,FALSE),"")</f>
        <v/>
      </c>
      <c r="H209" s="145"/>
      <c r="I209" s="499" t="str">
        <f>IFERROR(INDEX('G-7 Rivers Data'!$H$4:$L$8,MATCH(D209,'G-7 Rivers Data'!$B$4:$B$8,0),MATCH(H209,'G-7 Rivers Data'!$H$3:$L$3,0)),"")</f>
        <v/>
      </c>
      <c r="J209" s="418"/>
      <c r="K209" s="498" t="str">
        <f>IF(J209="","",IF(VLOOKUP(J209,'G-7 Rivers Data'!$AK$4:$AM$9,2,FALSE)=0,"Spatial Data Missing ⚠",VLOOKUP(J209,'G-7 Rivers Data'!$AK$4:$AM$9,2,FALSE)))</f>
        <v/>
      </c>
      <c r="L209" s="505" t="str">
        <f>IF(J209="","",IF(VLOOKUP(J209,'G-7 Rivers Data'!$AK$4:$AM$9,3,FALSE)=0,"Spatial Data Missing ⚠",VLOOKUP(J209,'G-7 Rivers Data'!$AK$4:$AM$9,3,FALSE)))</f>
        <v/>
      </c>
      <c r="M209" s="71"/>
      <c r="N209" s="499" t="str">
        <f>IF(M209="","",IF(VLOOKUP(M209,'G-7 Rivers Data'!$AA$4:$AB$7,2,FALSE)=0,"Spatial Data Missing ⚠",VLOOKUP(M209,'G-7 Rivers Data'!$AA$4:$AB$7,2,FALSE)))</f>
        <v/>
      </c>
      <c r="O209" s="155"/>
      <c r="P209" s="499" t="str">
        <f>IF(O209="","",IF(VLOOKUP(O209,'G-7 Rivers Data'!$AD$4:$AE$8,2,FALSE)=0,"Spatial Data Missing ⚠",VLOOKUP(O209,'G-7 Rivers Data'!$AD$4:$AE$8,2,FALSE)))</f>
        <v/>
      </c>
      <c r="Q209" s="506" t="str">
        <f>IF(D209="","",VLOOKUP(D209,'G-7 Rivers Data'!$B$2:$G$8,6,FALSE))</f>
        <v/>
      </c>
      <c r="R209" s="513" t="str">
        <f t="shared" si="24"/>
        <v/>
      </c>
      <c r="S209" s="40"/>
      <c r="T209" s="145"/>
      <c r="U209" s="157"/>
      <c r="V209" s="511" t="str">
        <f t="shared" si="25"/>
        <v/>
      </c>
      <c r="W209" s="511" t="str">
        <f t="shared" si="26"/>
        <v/>
      </c>
      <c r="X209" s="511" t="str">
        <f t="shared" si="27"/>
        <v/>
      </c>
      <c r="Y209" s="515" t="str">
        <f t="shared" si="28"/>
        <v/>
      </c>
      <c r="Z209" s="151"/>
      <c r="AA209" s="152"/>
      <c r="AG209" s="31">
        <f t="shared" si="29"/>
        <v>0</v>
      </c>
      <c r="AH209" s="156" t="str">
        <f t="shared" si="30"/>
        <v/>
      </c>
      <c r="AI209" s="156" t="str">
        <f t="shared" si="31"/>
        <v/>
      </c>
      <c r="AK209" s="156">
        <v>200</v>
      </c>
      <c r="AM209" s="156" t="str">
        <f t="array" ref="AM209">IFERROR(INDEX($AK$10:$AK$258, MATCH(0, IF(TRUE=$AH$10:$AH$258, COUNTIF($AM$9:$AM208, $AK$10:$AK$258), ""), 0)),"")</f>
        <v/>
      </c>
      <c r="AN209" s="156" t="str">
        <f t="array" ref="AN209">IFERROR(INDEX($AK$10:$AK$258, MATCH(0, IF(TRUE=$AI$10:$AI$258, COUNTIF($AN$9:$AN208, $AK$10:$AK$258), ""), 0)),"")</f>
        <v/>
      </c>
      <c r="AP209" s="31" t="str">
        <f>IFERROR(INDEX('G-7 Rivers Data'!$AZ$3:$AZ$7,MATCH(D209,'G-7 Rivers Data'!$AY$3:$AY$7,0)),"")</f>
        <v/>
      </c>
    </row>
    <row r="210" spans="3:42" ht="14" x14ac:dyDescent="0.3">
      <c r="C210" s="141">
        <v>201</v>
      </c>
      <c r="D210" s="460"/>
      <c r="E210" s="172"/>
      <c r="F210" s="498" t="str">
        <f>IF(D210="","",VLOOKUP(D210,'G-7 Rivers Data'!$B$2:$G$8,2,FALSE))</f>
        <v/>
      </c>
      <c r="G210" s="499" t="str">
        <f>IFERROR(VLOOKUP(F210,'G-7 Rivers Data'!$C$4:$D$8,2,FALSE),"")</f>
        <v/>
      </c>
      <c r="H210" s="145"/>
      <c r="I210" s="499" t="str">
        <f>IFERROR(INDEX('G-7 Rivers Data'!$H$4:$L$8,MATCH(D210,'G-7 Rivers Data'!$B$4:$B$8,0),MATCH(H210,'G-7 Rivers Data'!$H$3:$L$3,0)),"")</f>
        <v/>
      </c>
      <c r="J210" s="418"/>
      <c r="K210" s="498" t="str">
        <f>IF(J210="","",IF(VLOOKUP(J210,'G-7 Rivers Data'!$AK$4:$AM$9,2,FALSE)=0,"Spatial Data Missing ⚠",VLOOKUP(J210,'G-7 Rivers Data'!$AK$4:$AM$9,2,FALSE)))</f>
        <v/>
      </c>
      <c r="L210" s="505" t="str">
        <f>IF(J210="","",IF(VLOOKUP(J210,'G-7 Rivers Data'!$AK$4:$AM$9,3,FALSE)=0,"Spatial Data Missing ⚠",VLOOKUP(J210,'G-7 Rivers Data'!$AK$4:$AM$9,3,FALSE)))</f>
        <v/>
      </c>
      <c r="M210" s="71"/>
      <c r="N210" s="499" t="str">
        <f>IF(M210="","",IF(VLOOKUP(M210,'G-7 Rivers Data'!$AA$4:$AB$7,2,FALSE)=0,"Spatial Data Missing ⚠",VLOOKUP(M210,'G-7 Rivers Data'!$AA$4:$AB$7,2,FALSE)))</f>
        <v/>
      </c>
      <c r="O210" s="155"/>
      <c r="P210" s="499" t="str">
        <f>IF(O210="","",IF(VLOOKUP(O210,'G-7 Rivers Data'!$AD$4:$AE$8,2,FALSE)=0,"Spatial Data Missing ⚠",VLOOKUP(O210,'G-7 Rivers Data'!$AD$4:$AE$8,2,FALSE)))</f>
        <v/>
      </c>
      <c r="Q210" s="506" t="str">
        <f>IF(D210="","",VLOOKUP(D210,'G-7 Rivers Data'!$B$2:$G$8,6,FALSE))</f>
        <v/>
      </c>
      <c r="R210" s="513" t="str">
        <f t="shared" si="24"/>
        <v/>
      </c>
      <c r="S210" s="40"/>
      <c r="T210" s="145"/>
      <c r="U210" s="157"/>
      <c r="V210" s="511" t="str">
        <f t="shared" si="25"/>
        <v/>
      </c>
      <c r="W210" s="511" t="str">
        <f t="shared" si="26"/>
        <v/>
      </c>
      <c r="X210" s="511" t="str">
        <f t="shared" si="27"/>
        <v/>
      </c>
      <c r="Y210" s="515" t="str">
        <f t="shared" si="28"/>
        <v/>
      </c>
      <c r="Z210" s="151"/>
      <c r="AA210" s="152"/>
      <c r="AG210" s="31">
        <f t="shared" si="29"/>
        <v>0</v>
      </c>
      <c r="AH210" s="156" t="str">
        <f t="shared" si="30"/>
        <v/>
      </c>
      <c r="AI210" s="156" t="str">
        <f t="shared" si="31"/>
        <v/>
      </c>
      <c r="AK210" s="156">
        <v>201</v>
      </c>
      <c r="AM210" s="156" t="str">
        <f t="array" ref="AM210">IFERROR(INDEX($AK$10:$AK$258, MATCH(0, IF(TRUE=$AH$10:$AH$258, COUNTIF($AM$9:$AM209, $AK$10:$AK$258), ""), 0)),"")</f>
        <v/>
      </c>
      <c r="AN210" s="156" t="str">
        <f t="array" ref="AN210">IFERROR(INDEX($AK$10:$AK$258, MATCH(0, IF(TRUE=$AI$10:$AI$258, COUNTIF($AN$9:$AN209, $AK$10:$AK$258), ""), 0)),"")</f>
        <v/>
      </c>
      <c r="AP210" s="31" t="str">
        <f>IFERROR(INDEX('G-7 Rivers Data'!$AZ$3:$AZ$7,MATCH(D210,'G-7 Rivers Data'!$AY$3:$AY$7,0)),"")</f>
        <v/>
      </c>
    </row>
    <row r="211" spans="3:42" ht="14" x14ac:dyDescent="0.3">
      <c r="C211" s="141">
        <v>202</v>
      </c>
      <c r="D211" s="460"/>
      <c r="E211" s="172"/>
      <c r="F211" s="498" t="str">
        <f>IF(D211="","",VLOOKUP(D211,'G-7 Rivers Data'!$B$2:$G$8,2,FALSE))</f>
        <v/>
      </c>
      <c r="G211" s="499" t="str">
        <f>IFERROR(VLOOKUP(F211,'G-7 Rivers Data'!$C$4:$D$8,2,FALSE),"")</f>
        <v/>
      </c>
      <c r="H211" s="145"/>
      <c r="I211" s="499" t="str">
        <f>IFERROR(INDEX('G-7 Rivers Data'!$H$4:$L$8,MATCH(D211,'G-7 Rivers Data'!$B$4:$B$8,0),MATCH(H211,'G-7 Rivers Data'!$H$3:$L$3,0)),"")</f>
        <v/>
      </c>
      <c r="J211" s="418"/>
      <c r="K211" s="498" t="str">
        <f>IF(J211="","",IF(VLOOKUP(J211,'G-7 Rivers Data'!$AK$4:$AM$9,2,FALSE)=0,"Spatial Data Missing ⚠",VLOOKUP(J211,'G-7 Rivers Data'!$AK$4:$AM$9,2,FALSE)))</f>
        <v/>
      </c>
      <c r="L211" s="505" t="str">
        <f>IF(J211="","",IF(VLOOKUP(J211,'G-7 Rivers Data'!$AK$4:$AM$9,3,FALSE)=0,"Spatial Data Missing ⚠",VLOOKUP(J211,'G-7 Rivers Data'!$AK$4:$AM$9,3,FALSE)))</f>
        <v/>
      </c>
      <c r="M211" s="71"/>
      <c r="N211" s="499" t="str">
        <f>IF(M211="","",IF(VLOOKUP(M211,'G-7 Rivers Data'!$AA$4:$AB$7,2,FALSE)=0,"Spatial Data Missing ⚠",VLOOKUP(M211,'G-7 Rivers Data'!$AA$4:$AB$7,2,FALSE)))</f>
        <v/>
      </c>
      <c r="O211" s="155"/>
      <c r="P211" s="499" t="str">
        <f>IF(O211="","",IF(VLOOKUP(O211,'G-7 Rivers Data'!$AD$4:$AE$8,2,FALSE)=0,"Spatial Data Missing ⚠",VLOOKUP(O211,'G-7 Rivers Data'!$AD$4:$AE$8,2,FALSE)))</f>
        <v/>
      </c>
      <c r="Q211" s="506" t="str">
        <f>IF(D211="","",VLOOKUP(D211,'G-7 Rivers Data'!$B$2:$G$8,6,FALSE))</f>
        <v/>
      </c>
      <c r="R211" s="513" t="str">
        <f t="shared" si="24"/>
        <v/>
      </c>
      <c r="S211" s="40"/>
      <c r="T211" s="145"/>
      <c r="U211" s="157"/>
      <c r="V211" s="511" t="str">
        <f t="shared" si="25"/>
        <v/>
      </c>
      <c r="W211" s="511" t="str">
        <f t="shared" si="26"/>
        <v/>
      </c>
      <c r="X211" s="511" t="str">
        <f t="shared" si="27"/>
        <v/>
      </c>
      <c r="Y211" s="515" t="str">
        <f t="shared" si="28"/>
        <v/>
      </c>
      <c r="Z211" s="151"/>
      <c r="AA211" s="152"/>
      <c r="AG211" s="31">
        <f t="shared" si="29"/>
        <v>0</v>
      </c>
      <c r="AH211" s="156" t="str">
        <f t="shared" si="30"/>
        <v/>
      </c>
      <c r="AI211" s="156" t="str">
        <f t="shared" si="31"/>
        <v/>
      </c>
      <c r="AK211" s="156">
        <v>202</v>
      </c>
      <c r="AM211" s="156" t="str">
        <f t="array" ref="AM211">IFERROR(INDEX($AK$10:$AK$258, MATCH(0, IF(TRUE=$AH$10:$AH$258, COUNTIF($AM$9:$AM210, $AK$10:$AK$258), ""), 0)),"")</f>
        <v/>
      </c>
      <c r="AN211" s="156" t="str">
        <f t="array" ref="AN211">IFERROR(INDEX($AK$10:$AK$258, MATCH(0, IF(TRUE=$AI$10:$AI$258, COUNTIF($AN$9:$AN210, $AK$10:$AK$258), ""), 0)),"")</f>
        <v/>
      </c>
      <c r="AP211" s="31" t="str">
        <f>IFERROR(INDEX('G-7 Rivers Data'!$AZ$3:$AZ$7,MATCH(D211,'G-7 Rivers Data'!$AY$3:$AY$7,0)),"")</f>
        <v/>
      </c>
    </row>
    <row r="212" spans="3:42" ht="14" x14ac:dyDescent="0.3">
      <c r="C212" s="141">
        <v>203</v>
      </c>
      <c r="D212" s="460"/>
      <c r="E212" s="172"/>
      <c r="F212" s="498" t="str">
        <f>IF(D212="","",VLOOKUP(D212,'G-7 Rivers Data'!$B$2:$G$8,2,FALSE))</f>
        <v/>
      </c>
      <c r="G212" s="499" t="str">
        <f>IFERROR(VLOOKUP(F212,'G-7 Rivers Data'!$C$4:$D$8,2,FALSE),"")</f>
        <v/>
      </c>
      <c r="H212" s="145"/>
      <c r="I212" s="499" t="str">
        <f>IFERROR(INDEX('G-7 Rivers Data'!$H$4:$L$8,MATCH(D212,'G-7 Rivers Data'!$B$4:$B$8,0),MATCH(H212,'G-7 Rivers Data'!$H$3:$L$3,0)),"")</f>
        <v/>
      </c>
      <c r="J212" s="418"/>
      <c r="K212" s="498" t="str">
        <f>IF(J212="","",IF(VLOOKUP(J212,'G-7 Rivers Data'!$AK$4:$AM$9,2,FALSE)=0,"Spatial Data Missing ⚠",VLOOKUP(J212,'G-7 Rivers Data'!$AK$4:$AM$9,2,FALSE)))</f>
        <v/>
      </c>
      <c r="L212" s="505" t="str">
        <f>IF(J212="","",IF(VLOOKUP(J212,'G-7 Rivers Data'!$AK$4:$AM$9,3,FALSE)=0,"Spatial Data Missing ⚠",VLOOKUP(J212,'G-7 Rivers Data'!$AK$4:$AM$9,3,FALSE)))</f>
        <v/>
      </c>
      <c r="M212" s="71"/>
      <c r="N212" s="499" t="str">
        <f>IF(M212="","",IF(VLOOKUP(M212,'G-7 Rivers Data'!$AA$4:$AB$7,2,FALSE)=0,"Spatial Data Missing ⚠",VLOOKUP(M212,'G-7 Rivers Data'!$AA$4:$AB$7,2,FALSE)))</f>
        <v/>
      </c>
      <c r="O212" s="155"/>
      <c r="P212" s="499" t="str">
        <f>IF(O212="","",IF(VLOOKUP(O212,'G-7 Rivers Data'!$AD$4:$AE$8,2,FALSE)=0,"Spatial Data Missing ⚠",VLOOKUP(O212,'G-7 Rivers Data'!$AD$4:$AE$8,2,FALSE)))</f>
        <v/>
      </c>
      <c r="Q212" s="506" t="str">
        <f>IF(D212="","",VLOOKUP(D212,'G-7 Rivers Data'!$B$2:$G$8,6,FALSE))</f>
        <v/>
      </c>
      <c r="R212" s="513" t="str">
        <f t="shared" si="24"/>
        <v/>
      </c>
      <c r="S212" s="40"/>
      <c r="T212" s="145"/>
      <c r="U212" s="157"/>
      <c r="V212" s="511" t="str">
        <f t="shared" si="25"/>
        <v/>
      </c>
      <c r="W212" s="511" t="str">
        <f t="shared" si="26"/>
        <v/>
      </c>
      <c r="X212" s="511" t="str">
        <f t="shared" si="27"/>
        <v/>
      </c>
      <c r="Y212" s="515" t="str">
        <f t="shared" si="28"/>
        <v/>
      </c>
      <c r="Z212" s="151"/>
      <c r="AA212" s="152"/>
      <c r="AG212" s="31">
        <f t="shared" si="29"/>
        <v>0</v>
      </c>
      <c r="AH212" s="156" t="str">
        <f t="shared" si="30"/>
        <v/>
      </c>
      <c r="AI212" s="156" t="str">
        <f t="shared" si="31"/>
        <v/>
      </c>
      <c r="AK212" s="156">
        <v>203</v>
      </c>
      <c r="AM212" s="156" t="str">
        <f t="array" ref="AM212">IFERROR(INDEX($AK$10:$AK$258, MATCH(0, IF(TRUE=$AH$10:$AH$258, COUNTIF($AM$9:$AM211, $AK$10:$AK$258), ""), 0)),"")</f>
        <v/>
      </c>
      <c r="AN212" s="156" t="str">
        <f t="array" ref="AN212">IFERROR(INDEX($AK$10:$AK$258, MATCH(0, IF(TRUE=$AI$10:$AI$258, COUNTIF($AN$9:$AN211, $AK$10:$AK$258), ""), 0)),"")</f>
        <v/>
      </c>
      <c r="AP212" s="31" t="str">
        <f>IFERROR(INDEX('G-7 Rivers Data'!$AZ$3:$AZ$7,MATCH(D212,'G-7 Rivers Data'!$AY$3:$AY$7,0)),"")</f>
        <v/>
      </c>
    </row>
    <row r="213" spans="3:42" ht="14" x14ac:dyDescent="0.3">
      <c r="C213" s="141">
        <v>204</v>
      </c>
      <c r="D213" s="460"/>
      <c r="E213" s="172"/>
      <c r="F213" s="498" t="str">
        <f>IF(D213="","",VLOOKUP(D213,'G-7 Rivers Data'!$B$2:$G$8,2,FALSE))</f>
        <v/>
      </c>
      <c r="G213" s="499" t="str">
        <f>IFERROR(VLOOKUP(F213,'G-7 Rivers Data'!$C$4:$D$8,2,FALSE),"")</f>
        <v/>
      </c>
      <c r="H213" s="145"/>
      <c r="I213" s="499" t="str">
        <f>IFERROR(INDEX('G-7 Rivers Data'!$H$4:$L$8,MATCH(D213,'G-7 Rivers Data'!$B$4:$B$8,0),MATCH(H213,'G-7 Rivers Data'!$H$3:$L$3,0)),"")</f>
        <v/>
      </c>
      <c r="J213" s="418"/>
      <c r="K213" s="498" t="str">
        <f>IF(J213="","",IF(VLOOKUP(J213,'G-7 Rivers Data'!$AK$4:$AM$9,2,FALSE)=0,"Spatial Data Missing ⚠",VLOOKUP(J213,'G-7 Rivers Data'!$AK$4:$AM$9,2,FALSE)))</f>
        <v/>
      </c>
      <c r="L213" s="505" t="str">
        <f>IF(J213="","",IF(VLOOKUP(J213,'G-7 Rivers Data'!$AK$4:$AM$9,3,FALSE)=0,"Spatial Data Missing ⚠",VLOOKUP(J213,'G-7 Rivers Data'!$AK$4:$AM$9,3,FALSE)))</f>
        <v/>
      </c>
      <c r="M213" s="71"/>
      <c r="N213" s="499" t="str">
        <f>IF(M213="","",IF(VLOOKUP(M213,'G-7 Rivers Data'!$AA$4:$AB$7,2,FALSE)=0,"Spatial Data Missing ⚠",VLOOKUP(M213,'G-7 Rivers Data'!$AA$4:$AB$7,2,FALSE)))</f>
        <v/>
      </c>
      <c r="O213" s="155"/>
      <c r="P213" s="499" t="str">
        <f>IF(O213="","",IF(VLOOKUP(O213,'G-7 Rivers Data'!$AD$4:$AE$8,2,FALSE)=0,"Spatial Data Missing ⚠",VLOOKUP(O213,'G-7 Rivers Data'!$AD$4:$AE$8,2,FALSE)))</f>
        <v/>
      </c>
      <c r="Q213" s="506" t="str">
        <f>IF(D213="","",VLOOKUP(D213,'G-7 Rivers Data'!$B$2:$G$8,6,FALSE))</f>
        <v/>
      </c>
      <c r="R213" s="513" t="str">
        <f t="shared" si="24"/>
        <v/>
      </c>
      <c r="S213" s="40"/>
      <c r="T213" s="145"/>
      <c r="U213" s="157"/>
      <c r="V213" s="511" t="str">
        <f t="shared" si="25"/>
        <v/>
      </c>
      <c r="W213" s="511" t="str">
        <f t="shared" si="26"/>
        <v/>
      </c>
      <c r="X213" s="511" t="str">
        <f t="shared" si="27"/>
        <v/>
      </c>
      <c r="Y213" s="515" t="str">
        <f t="shared" si="28"/>
        <v/>
      </c>
      <c r="Z213" s="151"/>
      <c r="AA213" s="152"/>
      <c r="AG213" s="31">
        <f t="shared" si="29"/>
        <v>0</v>
      </c>
      <c r="AH213" s="156" t="str">
        <f t="shared" si="30"/>
        <v/>
      </c>
      <c r="AI213" s="156" t="str">
        <f t="shared" si="31"/>
        <v/>
      </c>
      <c r="AK213" s="156">
        <v>204</v>
      </c>
      <c r="AM213" s="156" t="str">
        <f t="array" ref="AM213">IFERROR(INDEX($AK$10:$AK$258, MATCH(0, IF(TRUE=$AH$10:$AH$258, COUNTIF($AM$9:$AM212, $AK$10:$AK$258), ""), 0)),"")</f>
        <v/>
      </c>
      <c r="AN213" s="156" t="str">
        <f t="array" ref="AN213">IFERROR(INDEX($AK$10:$AK$258, MATCH(0, IF(TRUE=$AI$10:$AI$258, COUNTIF($AN$9:$AN212, $AK$10:$AK$258), ""), 0)),"")</f>
        <v/>
      </c>
      <c r="AP213" s="31" t="str">
        <f>IFERROR(INDEX('G-7 Rivers Data'!$AZ$3:$AZ$7,MATCH(D213,'G-7 Rivers Data'!$AY$3:$AY$7,0)),"")</f>
        <v/>
      </c>
    </row>
    <row r="214" spans="3:42" ht="14" x14ac:dyDescent="0.3">
      <c r="C214" s="141">
        <v>205</v>
      </c>
      <c r="D214" s="460"/>
      <c r="E214" s="172"/>
      <c r="F214" s="498" t="str">
        <f>IF(D214="","",VLOOKUP(D214,'G-7 Rivers Data'!$B$2:$G$8,2,FALSE))</f>
        <v/>
      </c>
      <c r="G214" s="499" t="str">
        <f>IFERROR(VLOOKUP(F214,'G-7 Rivers Data'!$C$4:$D$8,2,FALSE),"")</f>
        <v/>
      </c>
      <c r="H214" s="145"/>
      <c r="I214" s="499" t="str">
        <f>IFERROR(INDEX('G-7 Rivers Data'!$H$4:$L$8,MATCH(D214,'G-7 Rivers Data'!$B$4:$B$8,0),MATCH(H214,'G-7 Rivers Data'!$H$3:$L$3,0)),"")</f>
        <v/>
      </c>
      <c r="J214" s="418"/>
      <c r="K214" s="498" t="str">
        <f>IF(J214="","",IF(VLOOKUP(J214,'G-7 Rivers Data'!$AK$4:$AM$9,2,FALSE)=0,"Spatial Data Missing ⚠",VLOOKUP(J214,'G-7 Rivers Data'!$AK$4:$AM$9,2,FALSE)))</f>
        <v/>
      </c>
      <c r="L214" s="505" t="str">
        <f>IF(J214="","",IF(VLOOKUP(J214,'G-7 Rivers Data'!$AK$4:$AM$9,3,FALSE)=0,"Spatial Data Missing ⚠",VLOOKUP(J214,'G-7 Rivers Data'!$AK$4:$AM$9,3,FALSE)))</f>
        <v/>
      </c>
      <c r="M214" s="71"/>
      <c r="N214" s="499" t="str">
        <f>IF(M214="","",IF(VLOOKUP(M214,'G-7 Rivers Data'!$AA$4:$AB$7,2,FALSE)=0,"Spatial Data Missing ⚠",VLOOKUP(M214,'G-7 Rivers Data'!$AA$4:$AB$7,2,FALSE)))</f>
        <v/>
      </c>
      <c r="O214" s="155"/>
      <c r="P214" s="499" t="str">
        <f>IF(O214="","",IF(VLOOKUP(O214,'G-7 Rivers Data'!$AD$4:$AE$8,2,FALSE)=0,"Spatial Data Missing ⚠",VLOOKUP(O214,'G-7 Rivers Data'!$AD$4:$AE$8,2,FALSE)))</f>
        <v/>
      </c>
      <c r="Q214" s="506" t="str">
        <f>IF(D214="","",VLOOKUP(D214,'G-7 Rivers Data'!$B$2:$G$8,6,FALSE))</f>
        <v/>
      </c>
      <c r="R214" s="513" t="str">
        <f t="shared" si="24"/>
        <v/>
      </c>
      <c r="S214" s="40"/>
      <c r="T214" s="145"/>
      <c r="U214" s="157"/>
      <c r="V214" s="511" t="str">
        <f t="shared" si="25"/>
        <v/>
      </c>
      <c r="W214" s="511" t="str">
        <f t="shared" si="26"/>
        <v/>
      </c>
      <c r="X214" s="511" t="str">
        <f t="shared" si="27"/>
        <v/>
      </c>
      <c r="Y214" s="515" t="str">
        <f t="shared" si="28"/>
        <v/>
      </c>
      <c r="Z214" s="151"/>
      <c r="AA214" s="152"/>
      <c r="AG214" s="31">
        <f t="shared" si="29"/>
        <v>0</v>
      </c>
      <c r="AH214" s="156" t="str">
        <f t="shared" si="30"/>
        <v/>
      </c>
      <c r="AI214" s="156" t="str">
        <f t="shared" si="31"/>
        <v/>
      </c>
      <c r="AK214" s="156">
        <v>205</v>
      </c>
      <c r="AM214" s="156" t="str">
        <f t="array" ref="AM214">IFERROR(INDEX($AK$10:$AK$258, MATCH(0, IF(TRUE=$AH$10:$AH$258, COUNTIF($AM$9:$AM213, $AK$10:$AK$258), ""), 0)),"")</f>
        <v/>
      </c>
      <c r="AN214" s="156" t="str">
        <f t="array" ref="AN214">IFERROR(INDEX($AK$10:$AK$258, MATCH(0, IF(TRUE=$AI$10:$AI$258, COUNTIF($AN$9:$AN213, $AK$10:$AK$258), ""), 0)),"")</f>
        <v/>
      </c>
      <c r="AP214" s="31" t="str">
        <f>IFERROR(INDEX('G-7 Rivers Data'!$AZ$3:$AZ$7,MATCH(D214,'G-7 Rivers Data'!$AY$3:$AY$7,0)),"")</f>
        <v/>
      </c>
    </row>
    <row r="215" spans="3:42" ht="14" x14ac:dyDescent="0.3">
      <c r="C215" s="141">
        <v>206</v>
      </c>
      <c r="D215" s="460"/>
      <c r="E215" s="172"/>
      <c r="F215" s="498" t="str">
        <f>IF(D215="","",VLOOKUP(D215,'G-7 Rivers Data'!$B$2:$G$8,2,FALSE))</f>
        <v/>
      </c>
      <c r="G215" s="499" t="str">
        <f>IFERROR(VLOOKUP(F215,'G-7 Rivers Data'!$C$4:$D$8,2,FALSE),"")</f>
        <v/>
      </c>
      <c r="H215" s="145"/>
      <c r="I215" s="499" t="str">
        <f>IFERROR(INDEX('G-7 Rivers Data'!$H$4:$L$8,MATCH(D215,'G-7 Rivers Data'!$B$4:$B$8,0),MATCH(H215,'G-7 Rivers Data'!$H$3:$L$3,0)),"")</f>
        <v/>
      </c>
      <c r="J215" s="418"/>
      <c r="K215" s="498" t="str">
        <f>IF(J215="","",IF(VLOOKUP(J215,'G-7 Rivers Data'!$AK$4:$AM$9,2,FALSE)=0,"Spatial Data Missing ⚠",VLOOKUP(J215,'G-7 Rivers Data'!$AK$4:$AM$9,2,FALSE)))</f>
        <v/>
      </c>
      <c r="L215" s="505" t="str">
        <f>IF(J215="","",IF(VLOOKUP(J215,'G-7 Rivers Data'!$AK$4:$AM$9,3,FALSE)=0,"Spatial Data Missing ⚠",VLOOKUP(J215,'G-7 Rivers Data'!$AK$4:$AM$9,3,FALSE)))</f>
        <v/>
      </c>
      <c r="M215" s="71"/>
      <c r="N215" s="499" t="str">
        <f>IF(M215="","",IF(VLOOKUP(M215,'G-7 Rivers Data'!$AA$4:$AB$7,2,FALSE)=0,"Spatial Data Missing ⚠",VLOOKUP(M215,'G-7 Rivers Data'!$AA$4:$AB$7,2,FALSE)))</f>
        <v/>
      </c>
      <c r="O215" s="155"/>
      <c r="P215" s="499" t="str">
        <f>IF(O215="","",IF(VLOOKUP(O215,'G-7 Rivers Data'!$AD$4:$AE$8,2,FALSE)=0,"Spatial Data Missing ⚠",VLOOKUP(O215,'G-7 Rivers Data'!$AD$4:$AE$8,2,FALSE)))</f>
        <v/>
      </c>
      <c r="Q215" s="506" t="str">
        <f>IF(D215="","",VLOOKUP(D215,'G-7 Rivers Data'!$B$2:$G$8,6,FALSE))</f>
        <v/>
      </c>
      <c r="R215" s="513" t="str">
        <f t="shared" si="24"/>
        <v/>
      </c>
      <c r="S215" s="40"/>
      <c r="T215" s="145"/>
      <c r="U215" s="157"/>
      <c r="V215" s="511" t="str">
        <f t="shared" si="25"/>
        <v/>
      </c>
      <c r="W215" s="511" t="str">
        <f t="shared" si="26"/>
        <v/>
      </c>
      <c r="X215" s="511" t="str">
        <f t="shared" si="27"/>
        <v/>
      </c>
      <c r="Y215" s="515" t="str">
        <f t="shared" si="28"/>
        <v/>
      </c>
      <c r="Z215" s="151"/>
      <c r="AA215" s="152"/>
      <c r="AG215" s="31">
        <f t="shared" si="29"/>
        <v>0</v>
      </c>
      <c r="AH215" s="156" t="str">
        <f t="shared" si="30"/>
        <v/>
      </c>
      <c r="AI215" s="156" t="str">
        <f t="shared" si="31"/>
        <v/>
      </c>
      <c r="AK215" s="156">
        <v>206</v>
      </c>
      <c r="AM215" s="156" t="str">
        <f t="array" ref="AM215">IFERROR(INDEX($AK$10:$AK$258, MATCH(0, IF(TRUE=$AH$10:$AH$258, COUNTIF($AM$9:$AM214, $AK$10:$AK$258), ""), 0)),"")</f>
        <v/>
      </c>
      <c r="AN215" s="156" t="str">
        <f t="array" ref="AN215">IFERROR(INDEX($AK$10:$AK$258, MATCH(0, IF(TRUE=$AI$10:$AI$258, COUNTIF($AN$9:$AN214, $AK$10:$AK$258), ""), 0)),"")</f>
        <v/>
      </c>
      <c r="AP215" s="31" t="str">
        <f>IFERROR(INDEX('G-7 Rivers Data'!$AZ$3:$AZ$7,MATCH(D215,'G-7 Rivers Data'!$AY$3:$AY$7,0)),"")</f>
        <v/>
      </c>
    </row>
    <row r="216" spans="3:42" ht="14" x14ac:dyDescent="0.3">
      <c r="C216" s="141">
        <v>207</v>
      </c>
      <c r="D216" s="460"/>
      <c r="E216" s="172"/>
      <c r="F216" s="498" t="str">
        <f>IF(D216="","",VLOOKUP(D216,'G-7 Rivers Data'!$B$2:$G$8,2,FALSE))</f>
        <v/>
      </c>
      <c r="G216" s="499" t="str">
        <f>IFERROR(VLOOKUP(F216,'G-7 Rivers Data'!$C$4:$D$8,2,FALSE),"")</f>
        <v/>
      </c>
      <c r="H216" s="145"/>
      <c r="I216" s="499" t="str">
        <f>IFERROR(INDEX('G-7 Rivers Data'!$H$4:$L$8,MATCH(D216,'G-7 Rivers Data'!$B$4:$B$8,0),MATCH(H216,'G-7 Rivers Data'!$H$3:$L$3,0)),"")</f>
        <v/>
      </c>
      <c r="J216" s="418"/>
      <c r="K216" s="498" t="str">
        <f>IF(J216="","",IF(VLOOKUP(J216,'G-7 Rivers Data'!$AK$4:$AM$9,2,FALSE)=0,"Spatial Data Missing ⚠",VLOOKUP(J216,'G-7 Rivers Data'!$AK$4:$AM$9,2,FALSE)))</f>
        <v/>
      </c>
      <c r="L216" s="505" t="str">
        <f>IF(J216="","",IF(VLOOKUP(J216,'G-7 Rivers Data'!$AK$4:$AM$9,3,FALSE)=0,"Spatial Data Missing ⚠",VLOOKUP(J216,'G-7 Rivers Data'!$AK$4:$AM$9,3,FALSE)))</f>
        <v/>
      </c>
      <c r="M216" s="71"/>
      <c r="N216" s="499" t="str">
        <f>IF(M216="","",IF(VLOOKUP(M216,'G-7 Rivers Data'!$AA$4:$AB$7,2,FALSE)=0,"Spatial Data Missing ⚠",VLOOKUP(M216,'G-7 Rivers Data'!$AA$4:$AB$7,2,FALSE)))</f>
        <v/>
      </c>
      <c r="O216" s="155"/>
      <c r="P216" s="499" t="str">
        <f>IF(O216="","",IF(VLOOKUP(O216,'G-7 Rivers Data'!$AD$4:$AE$8,2,FALSE)=0,"Spatial Data Missing ⚠",VLOOKUP(O216,'G-7 Rivers Data'!$AD$4:$AE$8,2,FALSE)))</f>
        <v/>
      </c>
      <c r="Q216" s="506" t="str">
        <f>IF(D216="","",VLOOKUP(D216,'G-7 Rivers Data'!$B$2:$G$8,6,FALSE))</f>
        <v/>
      </c>
      <c r="R216" s="513" t="str">
        <f t="shared" si="24"/>
        <v/>
      </c>
      <c r="S216" s="40"/>
      <c r="T216" s="145"/>
      <c r="U216" s="157"/>
      <c r="V216" s="511" t="str">
        <f t="shared" si="25"/>
        <v/>
      </c>
      <c r="W216" s="511" t="str">
        <f t="shared" si="26"/>
        <v/>
      </c>
      <c r="X216" s="511" t="str">
        <f t="shared" si="27"/>
        <v/>
      </c>
      <c r="Y216" s="515" t="str">
        <f t="shared" si="28"/>
        <v/>
      </c>
      <c r="Z216" s="151"/>
      <c r="AA216" s="152"/>
      <c r="AG216" s="31">
        <f t="shared" si="29"/>
        <v>0</v>
      </c>
      <c r="AH216" s="156" t="str">
        <f t="shared" si="30"/>
        <v/>
      </c>
      <c r="AI216" s="156" t="str">
        <f t="shared" si="31"/>
        <v/>
      </c>
      <c r="AK216" s="156">
        <v>207</v>
      </c>
      <c r="AM216" s="156" t="str">
        <f t="array" ref="AM216">IFERROR(INDEX($AK$10:$AK$258, MATCH(0, IF(TRUE=$AH$10:$AH$258, COUNTIF($AM$9:$AM215, $AK$10:$AK$258), ""), 0)),"")</f>
        <v/>
      </c>
      <c r="AN216" s="156" t="str">
        <f t="array" ref="AN216">IFERROR(INDEX($AK$10:$AK$258, MATCH(0, IF(TRUE=$AI$10:$AI$258, COUNTIF($AN$9:$AN215, $AK$10:$AK$258), ""), 0)),"")</f>
        <v/>
      </c>
      <c r="AP216" s="31" t="str">
        <f>IFERROR(INDEX('G-7 Rivers Data'!$AZ$3:$AZ$7,MATCH(D216,'G-7 Rivers Data'!$AY$3:$AY$7,0)),"")</f>
        <v/>
      </c>
    </row>
    <row r="217" spans="3:42" ht="14" x14ac:dyDescent="0.3">
      <c r="C217" s="141">
        <v>208</v>
      </c>
      <c r="D217" s="460"/>
      <c r="E217" s="172"/>
      <c r="F217" s="498" t="str">
        <f>IF(D217="","",VLOOKUP(D217,'G-7 Rivers Data'!$B$2:$G$8,2,FALSE))</f>
        <v/>
      </c>
      <c r="G217" s="499" t="str">
        <f>IFERROR(VLOOKUP(F217,'G-7 Rivers Data'!$C$4:$D$8,2,FALSE),"")</f>
        <v/>
      </c>
      <c r="H217" s="145"/>
      <c r="I217" s="499" t="str">
        <f>IFERROR(INDEX('G-7 Rivers Data'!$H$4:$L$8,MATCH(D217,'G-7 Rivers Data'!$B$4:$B$8,0),MATCH(H217,'G-7 Rivers Data'!$H$3:$L$3,0)),"")</f>
        <v/>
      </c>
      <c r="J217" s="418"/>
      <c r="K217" s="498" t="str">
        <f>IF(J217="","",IF(VLOOKUP(J217,'G-7 Rivers Data'!$AK$4:$AM$9,2,FALSE)=0,"Spatial Data Missing ⚠",VLOOKUP(J217,'G-7 Rivers Data'!$AK$4:$AM$9,2,FALSE)))</f>
        <v/>
      </c>
      <c r="L217" s="505" t="str">
        <f>IF(J217="","",IF(VLOOKUP(J217,'G-7 Rivers Data'!$AK$4:$AM$9,3,FALSE)=0,"Spatial Data Missing ⚠",VLOOKUP(J217,'G-7 Rivers Data'!$AK$4:$AM$9,3,FALSE)))</f>
        <v/>
      </c>
      <c r="M217" s="71"/>
      <c r="N217" s="499" t="str">
        <f>IF(M217="","",IF(VLOOKUP(M217,'G-7 Rivers Data'!$AA$4:$AB$7,2,FALSE)=0,"Spatial Data Missing ⚠",VLOOKUP(M217,'G-7 Rivers Data'!$AA$4:$AB$7,2,FALSE)))</f>
        <v/>
      </c>
      <c r="O217" s="155"/>
      <c r="P217" s="499" t="str">
        <f>IF(O217="","",IF(VLOOKUP(O217,'G-7 Rivers Data'!$AD$4:$AE$8,2,FALSE)=0,"Spatial Data Missing ⚠",VLOOKUP(O217,'G-7 Rivers Data'!$AD$4:$AE$8,2,FALSE)))</f>
        <v/>
      </c>
      <c r="Q217" s="506" t="str">
        <f>IF(D217="","",VLOOKUP(D217,'G-7 Rivers Data'!$B$2:$G$8,6,FALSE))</f>
        <v/>
      </c>
      <c r="R217" s="513" t="str">
        <f t="shared" si="24"/>
        <v/>
      </c>
      <c r="S217" s="40"/>
      <c r="T217" s="145"/>
      <c r="U217" s="157"/>
      <c r="V217" s="511" t="str">
        <f t="shared" si="25"/>
        <v/>
      </c>
      <c r="W217" s="511" t="str">
        <f t="shared" si="26"/>
        <v/>
      </c>
      <c r="X217" s="511" t="str">
        <f t="shared" si="27"/>
        <v/>
      </c>
      <c r="Y217" s="515" t="str">
        <f t="shared" si="28"/>
        <v/>
      </c>
      <c r="Z217" s="151"/>
      <c r="AA217" s="152"/>
      <c r="AG217" s="31">
        <f t="shared" si="29"/>
        <v>0</v>
      </c>
      <c r="AH217" s="156" t="str">
        <f t="shared" si="30"/>
        <v/>
      </c>
      <c r="AI217" s="156" t="str">
        <f t="shared" si="31"/>
        <v/>
      </c>
      <c r="AK217" s="156">
        <v>208</v>
      </c>
      <c r="AM217" s="156" t="str">
        <f t="array" ref="AM217">IFERROR(INDEX($AK$10:$AK$258, MATCH(0, IF(TRUE=$AH$10:$AH$258, COUNTIF($AM$9:$AM216, $AK$10:$AK$258), ""), 0)),"")</f>
        <v/>
      </c>
      <c r="AN217" s="156" t="str">
        <f t="array" ref="AN217">IFERROR(INDEX($AK$10:$AK$258, MATCH(0, IF(TRUE=$AI$10:$AI$258, COUNTIF($AN$9:$AN216, $AK$10:$AK$258), ""), 0)),"")</f>
        <v/>
      </c>
      <c r="AP217" s="31" t="str">
        <f>IFERROR(INDEX('G-7 Rivers Data'!$AZ$3:$AZ$7,MATCH(D217,'G-7 Rivers Data'!$AY$3:$AY$7,0)),"")</f>
        <v/>
      </c>
    </row>
    <row r="218" spans="3:42" ht="14" x14ac:dyDescent="0.3">
      <c r="C218" s="141">
        <v>209</v>
      </c>
      <c r="D218" s="460"/>
      <c r="E218" s="172"/>
      <c r="F218" s="498" t="str">
        <f>IF(D218="","",VLOOKUP(D218,'G-7 Rivers Data'!$B$2:$G$8,2,FALSE))</f>
        <v/>
      </c>
      <c r="G218" s="499" t="str">
        <f>IFERROR(VLOOKUP(F218,'G-7 Rivers Data'!$C$4:$D$8,2,FALSE),"")</f>
        <v/>
      </c>
      <c r="H218" s="145"/>
      <c r="I218" s="499" t="str">
        <f>IFERROR(INDEX('G-7 Rivers Data'!$H$4:$L$8,MATCH(D218,'G-7 Rivers Data'!$B$4:$B$8,0),MATCH(H218,'G-7 Rivers Data'!$H$3:$L$3,0)),"")</f>
        <v/>
      </c>
      <c r="J218" s="418"/>
      <c r="K218" s="498" t="str">
        <f>IF(J218="","",IF(VLOOKUP(J218,'G-7 Rivers Data'!$AK$4:$AM$9,2,FALSE)=0,"Spatial Data Missing ⚠",VLOOKUP(J218,'G-7 Rivers Data'!$AK$4:$AM$9,2,FALSE)))</f>
        <v/>
      </c>
      <c r="L218" s="505" t="str">
        <f>IF(J218="","",IF(VLOOKUP(J218,'G-7 Rivers Data'!$AK$4:$AM$9,3,FALSE)=0,"Spatial Data Missing ⚠",VLOOKUP(J218,'G-7 Rivers Data'!$AK$4:$AM$9,3,FALSE)))</f>
        <v/>
      </c>
      <c r="M218" s="71"/>
      <c r="N218" s="499" t="str">
        <f>IF(M218="","",IF(VLOOKUP(M218,'G-7 Rivers Data'!$AA$4:$AB$7,2,FALSE)=0,"Spatial Data Missing ⚠",VLOOKUP(M218,'G-7 Rivers Data'!$AA$4:$AB$7,2,FALSE)))</f>
        <v/>
      </c>
      <c r="O218" s="155"/>
      <c r="P218" s="499" t="str">
        <f>IF(O218="","",IF(VLOOKUP(O218,'G-7 Rivers Data'!$AD$4:$AE$8,2,FALSE)=0,"Spatial Data Missing ⚠",VLOOKUP(O218,'G-7 Rivers Data'!$AD$4:$AE$8,2,FALSE)))</f>
        <v/>
      </c>
      <c r="Q218" s="506" t="str">
        <f>IF(D218="","",VLOOKUP(D218,'G-7 Rivers Data'!$B$2:$G$8,6,FALSE))</f>
        <v/>
      </c>
      <c r="R218" s="513" t="str">
        <f t="shared" si="24"/>
        <v/>
      </c>
      <c r="S218" s="40"/>
      <c r="T218" s="145"/>
      <c r="U218" s="157"/>
      <c r="V218" s="511" t="str">
        <f t="shared" si="25"/>
        <v/>
      </c>
      <c r="W218" s="511" t="str">
        <f t="shared" si="26"/>
        <v/>
      </c>
      <c r="X218" s="511" t="str">
        <f t="shared" si="27"/>
        <v/>
      </c>
      <c r="Y218" s="515" t="str">
        <f t="shared" si="28"/>
        <v/>
      </c>
      <c r="Z218" s="151"/>
      <c r="AA218" s="152"/>
      <c r="AG218" s="31">
        <f t="shared" si="29"/>
        <v>0</v>
      </c>
      <c r="AH218" s="156" t="str">
        <f t="shared" si="30"/>
        <v/>
      </c>
      <c r="AI218" s="156" t="str">
        <f t="shared" si="31"/>
        <v/>
      </c>
      <c r="AK218" s="156">
        <v>209</v>
      </c>
      <c r="AM218" s="156" t="str">
        <f t="array" ref="AM218">IFERROR(INDEX($AK$10:$AK$258, MATCH(0, IF(TRUE=$AH$10:$AH$258, COUNTIF($AM$9:$AM217, $AK$10:$AK$258), ""), 0)),"")</f>
        <v/>
      </c>
      <c r="AN218" s="156" t="str">
        <f t="array" ref="AN218">IFERROR(INDEX($AK$10:$AK$258, MATCH(0, IF(TRUE=$AI$10:$AI$258, COUNTIF($AN$9:$AN217, $AK$10:$AK$258), ""), 0)),"")</f>
        <v/>
      </c>
      <c r="AP218" s="31" t="str">
        <f>IFERROR(INDEX('G-7 Rivers Data'!$AZ$3:$AZ$7,MATCH(D218,'G-7 Rivers Data'!$AY$3:$AY$7,0)),"")</f>
        <v/>
      </c>
    </row>
    <row r="219" spans="3:42" ht="14" x14ac:dyDescent="0.3">
      <c r="C219" s="141">
        <v>210</v>
      </c>
      <c r="D219" s="460"/>
      <c r="E219" s="172"/>
      <c r="F219" s="498" t="str">
        <f>IF(D219="","",VLOOKUP(D219,'G-7 Rivers Data'!$B$2:$G$8,2,FALSE))</f>
        <v/>
      </c>
      <c r="G219" s="499" t="str">
        <f>IFERROR(VLOOKUP(F219,'G-7 Rivers Data'!$C$4:$D$8,2,FALSE),"")</f>
        <v/>
      </c>
      <c r="H219" s="145"/>
      <c r="I219" s="499" t="str">
        <f>IFERROR(INDEX('G-7 Rivers Data'!$H$4:$L$8,MATCH(D219,'G-7 Rivers Data'!$B$4:$B$8,0),MATCH(H219,'G-7 Rivers Data'!$H$3:$L$3,0)),"")</f>
        <v/>
      </c>
      <c r="J219" s="418"/>
      <c r="K219" s="498" t="str">
        <f>IF(J219="","",IF(VLOOKUP(J219,'G-7 Rivers Data'!$AK$4:$AM$9,2,FALSE)=0,"Spatial Data Missing ⚠",VLOOKUP(J219,'G-7 Rivers Data'!$AK$4:$AM$9,2,FALSE)))</f>
        <v/>
      </c>
      <c r="L219" s="505" t="str">
        <f>IF(J219="","",IF(VLOOKUP(J219,'G-7 Rivers Data'!$AK$4:$AM$9,3,FALSE)=0,"Spatial Data Missing ⚠",VLOOKUP(J219,'G-7 Rivers Data'!$AK$4:$AM$9,3,FALSE)))</f>
        <v/>
      </c>
      <c r="M219" s="71"/>
      <c r="N219" s="499" t="str">
        <f>IF(M219="","",IF(VLOOKUP(M219,'G-7 Rivers Data'!$AA$4:$AB$7,2,FALSE)=0,"Spatial Data Missing ⚠",VLOOKUP(M219,'G-7 Rivers Data'!$AA$4:$AB$7,2,FALSE)))</f>
        <v/>
      </c>
      <c r="O219" s="155"/>
      <c r="P219" s="499" t="str">
        <f>IF(O219="","",IF(VLOOKUP(O219,'G-7 Rivers Data'!$AD$4:$AE$8,2,FALSE)=0,"Spatial Data Missing ⚠",VLOOKUP(O219,'G-7 Rivers Data'!$AD$4:$AE$8,2,FALSE)))</f>
        <v/>
      </c>
      <c r="Q219" s="506" t="str">
        <f>IF(D219="","",VLOOKUP(D219,'G-7 Rivers Data'!$B$2:$G$8,6,FALSE))</f>
        <v/>
      </c>
      <c r="R219" s="513" t="str">
        <f t="shared" si="24"/>
        <v/>
      </c>
      <c r="S219" s="40"/>
      <c r="T219" s="145"/>
      <c r="U219" s="157"/>
      <c r="V219" s="511" t="str">
        <f t="shared" si="25"/>
        <v/>
      </c>
      <c r="W219" s="511" t="str">
        <f t="shared" si="26"/>
        <v/>
      </c>
      <c r="X219" s="511" t="str">
        <f t="shared" si="27"/>
        <v/>
      </c>
      <c r="Y219" s="515" t="str">
        <f t="shared" si="28"/>
        <v/>
      </c>
      <c r="Z219" s="151"/>
      <c r="AA219" s="152"/>
      <c r="AG219" s="31">
        <f t="shared" si="29"/>
        <v>0</v>
      </c>
      <c r="AH219" s="156" t="str">
        <f t="shared" si="30"/>
        <v/>
      </c>
      <c r="AI219" s="156" t="str">
        <f t="shared" si="31"/>
        <v/>
      </c>
      <c r="AK219" s="156">
        <v>210</v>
      </c>
      <c r="AM219" s="156" t="str">
        <f t="array" ref="AM219">IFERROR(INDEX($AK$10:$AK$258, MATCH(0, IF(TRUE=$AH$10:$AH$258, COUNTIF($AM$9:$AM218, $AK$10:$AK$258), ""), 0)),"")</f>
        <v/>
      </c>
      <c r="AN219" s="156" t="str">
        <f t="array" ref="AN219">IFERROR(INDEX($AK$10:$AK$258, MATCH(0, IF(TRUE=$AI$10:$AI$258, COUNTIF($AN$9:$AN218, $AK$10:$AK$258), ""), 0)),"")</f>
        <v/>
      </c>
      <c r="AP219" s="31" t="str">
        <f>IFERROR(INDEX('G-7 Rivers Data'!$AZ$3:$AZ$7,MATCH(D219,'G-7 Rivers Data'!$AY$3:$AY$7,0)),"")</f>
        <v/>
      </c>
    </row>
    <row r="220" spans="3:42" ht="14" x14ac:dyDescent="0.3">
      <c r="C220" s="141">
        <v>211</v>
      </c>
      <c r="D220" s="460"/>
      <c r="E220" s="172"/>
      <c r="F220" s="498" t="str">
        <f>IF(D220="","",VLOOKUP(D220,'G-7 Rivers Data'!$B$2:$G$8,2,FALSE))</f>
        <v/>
      </c>
      <c r="G220" s="499" t="str">
        <f>IFERROR(VLOOKUP(F220,'G-7 Rivers Data'!$C$4:$D$8,2,FALSE),"")</f>
        <v/>
      </c>
      <c r="H220" s="145"/>
      <c r="I220" s="499" t="str">
        <f>IFERROR(INDEX('G-7 Rivers Data'!$H$4:$L$8,MATCH(D220,'G-7 Rivers Data'!$B$4:$B$8,0),MATCH(H220,'G-7 Rivers Data'!$H$3:$L$3,0)),"")</f>
        <v/>
      </c>
      <c r="J220" s="418"/>
      <c r="K220" s="498" t="str">
        <f>IF(J220="","",IF(VLOOKUP(J220,'G-7 Rivers Data'!$AK$4:$AM$9,2,FALSE)=0,"Spatial Data Missing ⚠",VLOOKUP(J220,'G-7 Rivers Data'!$AK$4:$AM$9,2,FALSE)))</f>
        <v/>
      </c>
      <c r="L220" s="505" t="str">
        <f>IF(J220="","",IF(VLOOKUP(J220,'G-7 Rivers Data'!$AK$4:$AM$9,3,FALSE)=0,"Spatial Data Missing ⚠",VLOOKUP(J220,'G-7 Rivers Data'!$AK$4:$AM$9,3,FALSE)))</f>
        <v/>
      </c>
      <c r="M220" s="71"/>
      <c r="N220" s="499" t="str">
        <f>IF(M220="","",IF(VLOOKUP(M220,'G-7 Rivers Data'!$AA$4:$AB$7,2,FALSE)=0,"Spatial Data Missing ⚠",VLOOKUP(M220,'G-7 Rivers Data'!$AA$4:$AB$7,2,FALSE)))</f>
        <v/>
      </c>
      <c r="O220" s="155"/>
      <c r="P220" s="499" t="str">
        <f>IF(O220="","",IF(VLOOKUP(O220,'G-7 Rivers Data'!$AD$4:$AE$8,2,FALSE)=0,"Spatial Data Missing ⚠",VLOOKUP(O220,'G-7 Rivers Data'!$AD$4:$AE$8,2,FALSE)))</f>
        <v/>
      </c>
      <c r="Q220" s="506" t="str">
        <f>IF(D220="","",VLOOKUP(D220,'G-7 Rivers Data'!$B$2:$G$8,6,FALSE))</f>
        <v/>
      </c>
      <c r="R220" s="513" t="str">
        <f t="shared" si="24"/>
        <v/>
      </c>
      <c r="S220" s="40"/>
      <c r="T220" s="145"/>
      <c r="U220" s="157"/>
      <c r="V220" s="511" t="str">
        <f t="shared" si="25"/>
        <v/>
      </c>
      <c r="W220" s="511" t="str">
        <f t="shared" si="26"/>
        <v/>
      </c>
      <c r="X220" s="511" t="str">
        <f t="shared" si="27"/>
        <v/>
      </c>
      <c r="Y220" s="515" t="str">
        <f t="shared" si="28"/>
        <v/>
      </c>
      <c r="Z220" s="151"/>
      <c r="AA220" s="152"/>
      <c r="AG220" s="31">
        <f t="shared" si="29"/>
        <v>0</v>
      </c>
      <c r="AH220" s="156" t="str">
        <f t="shared" si="30"/>
        <v/>
      </c>
      <c r="AI220" s="156" t="str">
        <f t="shared" si="31"/>
        <v/>
      </c>
      <c r="AK220" s="156">
        <v>211</v>
      </c>
      <c r="AM220" s="156" t="str">
        <f t="array" ref="AM220">IFERROR(INDEX($AK$10:$AK$258, MATCH(0, IF(TRUE=$AH$10:$AH$258, COUNTIF($AM$9:$AM219, $AK$10:$AK$258), ""), 0)),"")</f>
        <v/>
      </c>
      <c r="AN220" s="156" t="str">
        <f t="array" ref="AN220">IFERROR(INDEX($AK$10:$AK$258, MATCH(0, IF(TRUE=$AI$10:$AI$258, COUNTIF($AN$9:$AN219, $AK$10:$AK$258), ""), 0)),"")</f>
        <v/>
      </c>
      <c r="AP220" s="31" t="str">
        <f>IFERROR(INDEX('G-7 Rivers Data'!$AZ$3:$AZ$7,MATCH(D220,'G-7 Rivers Data'!$AY$3:$AY$7,0)),"")</f>
        <v/>
      </c>
    </row>
    <row r="221" spans="3:42" ht="14" x14ac:dyDescent="0.3">
      <c r="C221" s="141">
        <v>212</v>
      </c>
      <c r="D221" s="460"/>
      <c r="E221" s="172"/>
      <c r="F221" s="498" t="str">
        <f>IF(D221="","",VLOOKUP(D221,'G-7 Rivers Data'!$B$2:$G$8,2,FALSE))</f>
        <v/>
      </c>
      <c r="G221" s="499" t="str">
        <f>IFERROR(VLOOKUP(F221,'G-7 Rivers Data'!$C$4:$D$8,2,FALSE),"")</f>
        <v/>
      </c>
      <c r="H221" s="145"/>
      <c r="I221" s="499" t="str">
        <f>IFERROR(INDEX('G-7 Rivers Data'!$H$4:$L$8,MATCH(D221,'G-7 Rivers Data'!$B$4:$B$8,0),MATCH(H221,'G-7 Rivers Data'!$H$3:$L$3,0)),"")</f>
        <v/>
      </c>
      <c r="J221" s="418"/>
      <c r="K221" s="498" t="str">
        <f>IF(J221="","",IF(VLOOKUP(J221,'G-7 Rivers Data'!$AK$4:$AM$9,2,FALSE)=0,"Spatial Data Missing ⚠",VLOOKUP(J221,'G-7 Rivers Data'!$AK$4:$AM$9,2,FALSE)))</f>
        <v/>
      </c>
      <c r="L221" s="505" t="str">
        <f>IF(J221="","",IF(VLOOKUP(J221,'G-7 Rivers Data'!$AK$4:$AM$9,3,FALSE)=0,"Spatial Data Missing ⚠",VLOOKUP(J221,'G-7 Rivers Data'!$AK$4:$AM$9,3,FALSE)))</f>
        <v/>
      </c>
      <c r="M221" s="71"/>
      <c r="N221" s="499" t="str">
        <f>IF(M221="","",IF(VLOOKUP(M221,'G-7 Rivers Data'!$AA$4:$AB$7,2,FALSE)=0,"Spatial Data Missing ⚠",VLOOKUP(M221,'G-7 Rivers Data'!$AA$4:$AB$7,2,FALSE)))</f>
        <v/>
      </c>
      <c r="O221" s="155"/>
      <c r="P221" s="499" t="str">
        <f>IF(O221="","",IF(VLOOKUP(O221,'G-7 Rivers Data'!$AD$4:$AE$8,2,FALSE)=0,"Spatial Data Missing ⚠",VLOOKUP(O221,'G-7 Rivers Data'!$AD$4:$AE$8,2,FALSE)))</f>
        <v/>
      </c>
      <c r="Q221" s="506" t="str">
        <f>IF(D221="","",VLOOKUP(D221,'G-7 Rivers Data'!$B$2:$G$8,6,FALSE))</f>
        <v/>
      </c>
      <c r="R221" s="513" t="str">
        <f t="shared" si="24"/>
        <v/>
      </c>
      <c r="S221" s="40"/>
      <c r="T221" s="145"/>
      <c r="U221" s="157"/>
      <c r="V221" s="511" t="str">
        <f t="shared" si="25"/>
        <v/>
      </c>
      <c r="W221" s="511" t="str">
        <f t="shared" si="26"/>
        <v/>
      </c>
      <c r="X221" s="511" t="str">
        <f t="shared" si="27"/>
        <v/>
      </c>
      <c r="Y221" s="515" t="str">
        <f t="shared" si="28"/>
        <v/>
      </c>
      <c r="Z221" s="151"/>
      <c r="AA221" s="152"/>
      <c r="AG221" s="31">
        <f t="shared" si="29"/>
        <v>0</v>
      </c>
      <c r="AH221" s="156" t="str">
        <f t="shared" si="30"/>
        <v/>
      </c>
      <c r="AI221" s="156" t="str">
        <f t="shared" si="31"/>
        <v/>
      </c>
      <c r="AK221" s="156">
        <v>212</v>
      </c>
      <c r="AM221" s="156" t="str">
        <f t="array" ref="AM221">IFERROR(INDEX($AK$10:$AK$258, MATCH(0, IF(TRUE=$AH$10:$AH$258, COUNTIF($AM$9:$AM220, $AK$10:$AK$258), ""), 0)),"")</f>
        <v/>
      </c>
      <c r="AN221" s="156" t="str">
        <f t="array" ref="AN221">IFERROR(INDEX($AK$10:$AK$258, MATCH(0, IF(TRUE=$AI$10:$AI$258, COUNTIF($AN$9:$AN220, $AK$10:$AK$258), ""), 0)),"")</f>
        <v/>
      </c>
      <c r="AP221" s="31" t="str">
        <f>IFERROR(INDEX('G-7 Rivers Data'!$AZ$3:$AZ$7,MATCH(D221,'G-7 Rivers Data'!$AY$3:$AY$7,0)),"")</f>
        <v/>
      </c>
    </row>
    <row r="222" spans="3:42" ht="14" x14ac:dyDescent="0.3">
      <c r="C222" s="141">
        <v>213</v>
      </c>
      <c r="D222" s="460"/>
      <c r="E222" s="172"/>
      <c r="F222" s="498" t="str">
        <f>IF(D222="","",VLOOKUP(D222,'G-7 Rivers Data'!$B$2:$G$8,2,FALSE))</f>
        <v/>
      </c>
      <c r="G222" s="499" t="str">
        <f>IFERROR(VLOOKUP(F222,'G-7 Rivers Data'!$C$4:$D$8,2,FALSE),"")</f>
        <v/>
      </c>
      <c r="H222" s="145"/>
      <c r="I222" s="499" t="str">
        <f>IFERROR(INDEX('G-7 Rivers Data'!$H$4:$L$8,MATCH(D222,'G-7 Rivers Data'!$B$4:$B$8,0),MATCH(H222,'G-7 Rivers Data'!$H$3:$L$3,0)),"")</f>
        <v/>
      </c>
      <c r="J222" s="418"/>
      <c r="K222" s="498" t="str">
        <f>IF(J222="","",IF(VLOOKUP(J222,'G-7 Rivers Data'!$AK$4:$AM$9,2,FALSE)=0,"Spatial Data Missing ⚠",VLOOKUP(J222,'G-7 Rivers Data'!$AK$4:$AM$9,2,FALSE)))</f>
        <v/>
      </c>
      <c r="L222" s="505" t="str">
        <f>IF(J222="","",IF(VLOOKUP(J222,'G-7 Rivers Data'!$AK$4:$AM$9,3,FALSE)=0,"Spatial Data Missing ⚠",VLOOKUP(J222,'G-7 Rivers Data'!$AK$4:$AM$9,3,FALSE)))</f>
        <v/>
      </c>
      <c r="M222" s="71"/>
      <c r="N222" s="499" t="str">
        <f>IF(M222="","",IF(VLOOKUP(M222,'G-7 Rivers Data'!$AA$4:$AB$7,2,FALSE)=0,"Spatial Data Missing ⚠",VLOOKUP(M222,'G-7 Rivers Data'!$AA$4:$AB$7,2,FALSE)))</f>
        <v/>
      </c>
      <c r="O222" s="155"/>
      <c r="P222" s="499" t="str">
        <f>IF(O222="","",IF(VLOOKUP(O222,'G-7 Rivers Data'!$AD$4:$AE$8,2,FALSE)=0,"Spatial Data Missing ⚠",VLOOKUP(O222,'G-7 Rivers Data'!$AD$4:$AE$8,2,FALSE)))</f>
        <v/>
      </c>
      <c r="Q222" s="506" t="str">
        <f>IF(D222="","",VLOOKUP(D222,'G-7 Rivers Data'!$B$2:$G$8,6,FALSE))</f>
        <v/>
      </c>
      <c r="R222" s="513" t="str">
        <f t="shared" si="24"/>
        <v/>
      </c>
      <c r="S222" s="40"/>
      <c r="T222" s="145"/>
      <c r="U222" s="157"/>
      <c r="V222" s="511" t="str">
        <f t="shared" si="25"/>
        <v/>
      </c>
      <c r="W222" s="511" t="str">
        <f t="shared" si="26"/>
        <v/>
      </c>
      <c r="X222" s="511" t="str">
        <f t="shared" si="27"/>
        <v/>
      </c>
      <c r="Y222" s="515" t="str">
        <f t="shared" si="28"/>
        <v/>
      </c>
      <c r="Z222" s="151"/>
      <c r="AA222" s="152"/>
      <c r="AG222" s="31">
        <f t="shared" si="29"/>
        <v>0</v>
      </c>
      <c r="AH222" s="156" t="str">
        <f t="shared" si="30"/>
        <v/>
      </c>
      <c r="AI222" s="156" t="str">
        <f t="shared" si="31"/>
        <v/>
      </c>
      <c r="AK222" s="156">
        <v>213</v>
      </c>
      <c r="AM222" s="156" t="str">
        <f t="array" ref="AM222">IFERROR(INDEX($AK$10:$AK$258, MATCH(0, IF(TRUE=$AH$10:$AH$258, COUNTIF($AM$9:$AM221, $AK$10:$AK$258), ""), 0)),"")</f>
        <v/>
      </c>
      <c r="AN222" s="156" t="str">
        <f t="array" ref="AN222">IFERROR(INDEX($AK$10:$AK$258, MATCH(0, IF(TRUE=$AI$10:$AI$258, COUNTIF($AN$9:$AN221, $AK$10:$AK$258), ""), 0)),"")</f>
        <v/>
      </c>
      <c r="AP222" s="31" t="str">
        <f>IFERROR(INDEX('G-7 Rivers Data'!$AZ$3:$AZ$7,MATCH(D222,'G-7 Rivers Data'!$AY$3:$AY$7,0)),"")</f>
        <v/>
      </c>
    </row>
    <row r="223" spans="3:42" ht="14" x14ac:dyDescent="0.3">
      <c r="C223" s="141">
        <v>214</v>
      </c>
      <c r="D223" s="460"/>
      <c r="E223" s="172"/>
      <c r="F223" s="498" t="str">
        <f>IF(D223="","",VLOOKUP(D223,'G-7 Rivers Data'!$B$2:$G$8,2,FALSE))</f>
        <v/>
      </c>
      <c r="G223" s="499" t="str">
        <f>IFERROR(VLOOKUP(F223,'G-7 Rivers Data'!$C$4:$D$8,2,FALSE),"")</f>
        <v/>
      </c>
      <c r="H223" s="145"/>
      <c r="I223" s="499" t="str">
        <f>IFERROR(INDEX('G-7 Rivers Data'!$H$4:$L$8,MATCH(D223,'G-7 Rivers Data'!$B$4:$B$8,0),MATCH(H223,'G-7 Rivers Data'!$H$3:$L$3,0)),"")</f>
        <v/>
      </c>
      <c r="J223" s="418"/>
      <c r="K223" s="498" t="str">
        <f>IF(J223="","",IF(VLOOKUP(J223,'G-7 Rivers Data'!$AK$4:$AM$9,2,FALSE)=0,"Spatial Data Missing ⚠",VLOOKUP(J223,'G-7 Rivers Data'!$AK$4:$AM$9,2,FALSE)))</f>
        <v/>
      </c>
      <c r="L223" s="505" t="str">
        <f>IF(J223="","",IF(VLOOKUP(J223,'G-7 Rivers Data'!$AK$4:$AM$9,3,FALSE)=0,"Spatial Data Missing ⚠",VLOOKUP(J223,'G-7 Rivers Data'!$AK$4:$AM$9,3,FALSE)))</f>
        <v/>
      </c>
      <c r="M223" s="71"/>
      <c r="N223" s="499" t="str">
        <f>IF(M223="","",IF(VLOOKUP(M223,'G-7 Rivers Data'!$AA$4:$AB$7,2,FALSE)=0,"Spatial Data Missing ⚠",VLOOKUP(M223,'G-7 Rivers Data'!$AA$4:$AB$7,2,FALSE)))</f>
        <v/>
      </c>
      <c r="O223" s="155"/>
      <c r="P223" s="499" t="str">
        <f>IF(O223="","",IF(VLOOKUP(O223,'G-7 Rivers Data'!$AD$4:$AE$8,2,FALSE)=0,"Spatial Data Missing ⚠",VLOOKUP(O223,'G-7 Rivers Data'!$AD$4:$AE$8,2,FALSE)))</f>
        <v/>
      </c>
      <c r="Q223" s="506" t="str">
        <f>IF(D223="","",VLOOKUP(D223,'G-7 Rivers Data'!$B$2:$G$8,6,FALSE))</f>
        <v/>
      </c>
      <c r="R223" s="513" t="str">
        <f t="shared" si="24"/>
        <v/>
      </c>
      <c r="S223" s="40"/>
      <c r="T223" s="145"/>
      <c r="U223" s="157"/>
      <c r="V223" s="511" t="str">
        <f t="shared" si="25"/>
        <v/>
      </c>
      <c r="W223" s="511" t="str">
        <f t="shared" si="26"/>
        <v/>
      </c>
      <c r="X223" s="511" t="str">
        <f t="shared" si="27"/>
        <v/>
      </c>
      <c r="Y223" s="515" t="str">
        <f t="shared" si="28"/>
        <v/>
      </c>
      <c r="Z223" s="151"/>
      <c r="AA223" s="152"/>
      <c r="AG223" s="31">
        <f t="shared" si="29"/>
        <v>0</v>
      </c>
      <c r="AH223" s="156" t="str">
        <f t="shared" si="30"/>
        <v/>
      </c>
      <c r="AI223" s="156" t="str">
        <f t="shared" si="31"/>
        <v/>
      </c>
      <c r="AK223" s="156">
        <v>214</v>
      </c>
      <c r="AM223" s="156" t="str">
        <f t="array" ref="AM223">IFERROR(INDEX($AK$10:$AK$258, MATCH(0, IF(TRUE=$AH$10:$AH$258, COUNTIF($AM$9:$AM222, $AK$10:$AK$258), ""), 0)),"")</f>
        <v/>
      </c>
      <c r="AN223" s="156" t="str">
        <f t="array" ref="AN223">IFERROR(INDEX($AK$10:$AK$258, MATCH(0, IF(TRUE=$AI$10:$AI$258, COUNTIF($AN$9:$AN222, $AK$10:$AK$258), ""), 0)),"")</f>
        <v/>
      </c>
      <c r="AP223" s="31" t="str">
        <f>IFERROR(INDEX('G-7 Rivers Data'!$AZ$3:$AZ$7,MATCH(D223,'G-7 Rivers Data'!$AY$3:$AY$7,0)),"")</f>
        <v/>
      </c>
    </row>
    <row r="224" spans="3:42" ht="14" x14ac:dyDescent="0.3">
      <c r="C224" s="141">
        <v>215</v>
      </c>
      <c r="D224" s="460"/>
      <c r="E224" s="172"/>
      <c r="F224" s="498" t="str">
        <f>IF(D224="","",VLOOKUP(D224,'G-7 Rivers Data'!$B$2:$G$8,2,FALSE))</f>
        <v/>
      </c>
      <c r="G224" s="499" t="str">
        <f>IFERROR(VLOOKUP(F224,'G-7 Rivers Data'!$C$4:$D$8,2,FALSE),"")</f>
        <v/>
      </c>
      <c r="H224" s="145"/>
      <c r="I224" s="499" t="str">
        <f>IFERROR(INDEX('G-7 Rivers Data'!$H$4:$L$8,MATCH(D224,'G-7 Rivers Data'!$B$4:$B$8,0),MATCH(H224,'G-7 Rivers Data'!$H$3:$L$3,0)),"")</f>
        <v/>
      </c>
      <c r="J224" s="418"/>
      <c r="K224" s="498" t="str">
        <f>IF(J224="","",IF(VLOOKUP(J224,'G-7 Rivers Data'!$AK$4:$AM$9,2,FALSE)=0,"Spatial Data Missing ⚠",VLOOKUP(J224,'G-7 Rivers Data'!$AK$4:$AM$9,2,FALSE)))</f>
        <v/>
      </c>
      <c r="L224" s="505" t="str">
        <f>IF(J224="","",IF(VLOOKUP(J224,'G-7 Rivers Data'!$AK$4:$AM$9,3,FALSE)=0,"Spatial Data Missing ⚠",VLOOKUP(J224,'G-7 Rivers Data'!$AK$4:$AM$9,3,FALSE)))</f>
        <v/>
      </c>
      <c r="M224" s="71"/>
      <c r="N224" s="499" t="str">
        <f>IF(M224="","",IF(VLOOKUP(M224,'G-7 Rivers Data'!$AA$4:$AB$7,2,FALSE)=0,"Spatial Data Missing ⚠",VLOOKUP(M224,'G-7 Rivers Data'!$AA$4:$AB$7,2,FALSE)))</f>
        <v/>
      </c>
      <c r="O224" s="155"/>
      <c r="P224" s="499" t="str">
        <f>IF(O224="","",IF(VLOOKUP(O224,'G-7 Rivers Data'!$AD$4:$AE$8,2,FALSE)=0,"Spatial Data Missing ⚠",VLOOKUP(O224,'G-7 Rivers Data'!$AD$4:$AE$8,2,FALSE)))</f>
        <v/>
      </c>
      <c r="Q224" s="506" t="str">
        <f>IF(D224="","",VLOOKUP(D224,'G-7 Rivers Data'!$B$2:$G$8,6,FALSE))</f>
        <v/>
      </c>
      <c r="R224" s="513" t="str">
        <f t="shared" si="24"/>
        <v/>
      </c>
      <c r="S224" s="40"/>
      <c r="T224" s="145"/>
      <c r="U224" s="157"/>
      <c r="V224" s="511" t="str">
        <f t="shared" si="25"/>
        <v/>
      </c>
      <c r="W224" s="511" t="str">
        <f t="shared" si="26"/>
        <v/>
      </c>
      <c r="X224" s="511" t="str">
        <f t="shared" si="27"/>
        <v/>
      </c>
      <c r="Y224" s="515" t="str">
        <f t="shared" si="28"/>
        <v/>
      </c>
      <c r="Z224" s="151"/>
      <c r="AA224" s="152"/>
      <c r="AG224" s="31">
        <f t="shared" si="29"/>
        <v>0</v>
      </c>
      <c r="AH224" s="156" t="str">
        <f t="shared" si="30"/>
        <v/>
      </c>
      <c r="AI224" s="156" t="str">
        <f t="shared" si="31"/>
        <v/>
      </c>
      <c r="AK224" s="156">
        <v>215</v>
      </c>
      <c r="AM224" s="156" t="str">
        <f t="array" ref="AM224">IFERROR(INDEX($AK$10:$AK$258, MATCH(0, IF(TRUE=$AH$10:$AH$258, COUNTIF($AM$9:$AM223, $AK$10:$AK$258), ""), 0)),"")</f>
        <v/>
      </c>
      <c r="AN224" s="156" t="str">
        <f t="array" ref="AN224">IFERROR(INDEX($AK$10:$AK$258, MATCH(0, IF(TRUE=$AI$10:$AI$258, COUNTIF($AN$9:$AN223, $AK$10:$AK$258), ""), 0)),"")</f>
        <v/>
      </c>
      <c r="AP224" s="31" t="str">
        <f>IFERROR(INDEX('G-7 Rivers Data'!$AZ$3:$AZ$7,MATCH(D224,'G-7 Rivers Data'!$AY$3:$AY$7,0)),"")</f>
        <v/>
      </c>
    </row>
    <row r="225" spans="3:42" ht="14" x14ac:dyDescent="0.3">
      <c r="C225" s="141">
        <v>216</v>
      </c>
      <c r="D225" s="460"/>
      <c r="E225" s="172"/>
      <c r="F225" s="498" t="str">
        <f>IF(D225="","",VLOOKUP(D225,'G-7 Rivers Data'!$B$2:$G$8,2,FALSE))</f>
        <v/>
      </c>
      <c r="G225" s="499" t="str">
        <f>IFERROR(VLOOKUP(F225,'G-7 Rivers Data'!$C$4:$D$8,2,FALSE),"")</f>
        <v/>
      </c>
      <c r="H225" s="145"/>
      <c r="I225" s="499" t="str">
        <f>IFERROR(INDEX('G-7 Rivers Data'!$H$4:$L$8,MATCH(D225,'G-7 Rivers Data'!$B$4:$B$8,0),MATCH(H225,'G-7 Rivers Data'!$H$3:$L$3,0)),"")</f>
        <v/>
      </c>
      <c r="J225" s="418"/>
      <c r="K225" s="498" t="str">
        <f>IF(J225="","",IF(VLOOKUP(J225,'G-7 Rivers Data'!$AK$4:$AM$9,2,FALSE)=0,"Spatial Data Missing ⚠",VLOOKUP(J225,'G-7 Rivers Data'!$AK$4:$AM$9,2,FALSE)))</f>
        <v/>
      </c>
      <c r="L225" s="505" t="str">
        <f>IF(J225="","",IF(VLOOKUP(J225,'G-7 Rivers Data'!$AK$4:$AM$9,3,FALSE)=0,"Spatial Data Missing ⚠",VLOOKUP(J225,'G-7 Rivers Data'!$AK$4:$AM$9,3,FALSE)))</f>
        <v/>
      </c>
      <c r="M225" s="71"/>
      <c r="N225" s="499" t="str">
        <f>IF(M225="","",IF(VLOOKUP(M225,'G-7 Rivers Data'!$AA$4:$AB$7,2,FALSE)=0,"Spatial Data Missing ⚠",VLOOKUP(M225,'G-7 Rivers Data'!$AA$4:$AB$7,2,FALSE)))</f>
        <v/>
      </c>
      <c r="O225" s="155"/>
      <c r="P225" s="499" t="str">
        <f>IF(O225="","",IF(VLOOKUP(O225,'G-7 Rivers Data'!$AD$4:$AE$8,2,FALSE)=0,"Spatial Data Missing ⚠",VLOOKUP(O225,'G-7 Rivers Data'!$AD$4:$AE$8,2,FALSE)))</f>
        <v/>
      </c>
      <c r="Q225" s="506" t="str">
        <f>IF(D225="","",VLOOKUP(D225,'G-7 Rivers Data'!$B$2:$G$8,6,FALSE))</f>
        <v/>
      </c>
      <c r="R225" s="513" t="str">
        <f t="shared" si="24"/>
        <v/>
      </c>
      <c r="S225" s="40"/>
      <c r="T225" s="145"/>
      <c r="U225" s="157"/>
      <c r="V225" s="511" t="str">
        <f t="shared" si="25"/>
        <v/>
      </c>
      <c r="W225" s="511" t="str">
        <f t="shared" si="26"/>
        <v/>
      </c>
      <c r="X225" s="511" t="str">
        <f t="shared" si="27"/>
        <v/>
      </c>
      <c r="Y225" s="515" t="str">
        <f t="shared" si="28"/>
        <v/>
      </c>
      <c r="Z225" s="151"/>
      <c r="AA225" s="152"/>
      <c r="AG225" s="31">
        <f t="shared" si="29"/>
        <v>0</v>
      </c>
      <c r="AH225" s="156" t="str">
        <f t="shared" si="30"/>
        <v/>
      </c>
      <c r="AI225" s="156" t="str">
        <f t="shared" si="31"/>
        <v/>
      </c>
      <c r="AK225" s="156">
        <v>216</v>
      </c>
      <c r="AM225" s="156" t="str">
        <f t="array" ref="AM225">IFERROR(INDEX($AK$10:$AK$258, MATCH(0, IF(TRUE=$AH$10:$AH$258, COUNTIF($AM$9:$AM224, $AK$10:$AK$258), ""), 0)),"")</f>
        <v/>
      </c>
      <c r="AN225" s="156" t="str">
        <f t="array" ref="AN225">IFERROR(INDEX($AK$10:$AK$258, MATCH(0, IF(TRUE=$AI$10:$AI$258, COUNTIF($AN$9:$AN224, $AK$10:$AK$258), ""), 0)),"")</f>
        <v/>
      </c>
      <c r="AP225" s="31" t="str">
        <f>IFERROR(INDEX('G-7 Rivers Data'!$AZ$3:$AZ$7,MATCH(D225,'G-7 Rivers Data'!$AY$3:$AY$7,0)),"")</f>
        <v/>
      </c>
    </row>
    <row r="226" spans="3:42" ht="14" x14ac:dyDescent="0.3">
      <c r="C226" s="141">
        <v>217</v>
      </c>
      <c r="D226" s="460"/>
      <c r="E226" s="172"/>
      <c r="F226" s="498" t="str">
        <f>IF(D226="","",VLOOKUP(D226,'G-7 Rivers Data'!$B$2:$G$8,2,FALSE))</f>
        <v/>
      </c>
      <c r="G226" s="499" t="str">
        <f>IFERROR(VLOOKUP(F226,'G-7 Rivers Data'!$C$4:$D$8,2,FALSE),"")</f>
        <v/>
      </c>
      <c r="H226" s="145"/>
      <c r="I226" s="499" t="str">
        <f>IFERROR(INDEX('G-7 Rivers Data'!$H$4:$L$8,MATCH(D226,'G-7 Rivers Data'!$B$4:$B$8,0),MATCH(H226,'G-7 Rivers Data'!$H$3:$L$3,0)),"")</f>
        <v/>
      </c>
      <c r="J226" s="418"/>
      <c r="K226" s="498" t="str">
        <f>IF(J226="","",IF(VLOOKUP(J226,'G-7 Rivers Data'!$AK$4:$AM$9,2,FALSE)=0,"Spatial Data Missing ⚠",VLOOKUP(J226,'G-7 Rivers Data'!$AK$4:$AM$9,2,FALSE)))</f>
        <v/>
      </c>
      <c r="L226" s="505" t="str">
        <f>IF(J226="","",IF(VLOOKUP(J226,'G-7 Rivers Data'!$AK$4:$AM$9,3,FALSE)=0,"Spatial Data Missing ⚠",VLOOKUP(J226,'G-7 Rivers Data'!$AK$4:$AM$9,3,FALSE)))</f>
        <v/>
      </c>
      <c r="M226" s="71"/>
      <c r="N226" s="499" t="str">
        <f>IF(M226="","",IF(VLOOKUP(M226,'G-7 Rivers Data'!$AA$4:$AB$7,2,FALSE)=0,"Spatial Data Missing ⚠",VLOOKUP(M226,'G-7 Rivers Data'!$AA$4:$AB$7,2,FALSE)))</f>
        <v/>
      </c>
      <c r="O226" s="155"/>
      <c r="P226" s="499" t="str">
        <f>IF(O226="","",IF(VLOOKUP(O226,'G-7 Rivers Data'!$AD$4:$AE$8,2,FALSE)=0,"Spatial Data Missing ⚠",VLOOKUP(O226,'G-7 Rivers Data'!$AD$4:$AE$8,2,FALSE)))</f>
        <v/>
      </c>
      <c r="Q226" s="506" t="str">
        <f>IF(D226="","",VLOOKUP(D226,'G-7 Rivers Data'!$B$2:$G$8,6,FALSE))</f>
        <v/>
      </c>
      <c r="R226" s="513" t="str">
        <f t="shared" si="24"/>
        <v/>
      </c>
      <c r="S226" s="40"/>
      <c r="T226" s="145"/>
      <c r="U226" s="157"/>
      <c r="V226" s="511" t="str">
        <f t="shared" si="25"/>
        <v/>
      </c>
      <c r="W226" s="511" t="str">
        <f t="shared" si="26"/>
        <v/>
      </c>
      <c r="X226" s="511" t="str">
        <f t="shared" si="27"/>
        <v/>
      </c>
      <c r="Y226" s="515" t="str">
        <f t="shared" si="28"/>
        <v/>
      </c>
      <c r="Z226" s="151"/>
      <c r="AA226" s="152"/>
      <c r="AG226" s="31">
        <f t="shared" si="29"/>
        <v>0</v>
      </c>
      <c r="AH226" s="156" t="str">
        <f t="shared" si="30"/>
        <v/>
      </c>
      <c r="AI226" s="156" t="str">
        <f t="shared" si="31"/>
        <v/>
      </c>
      <c r="AK226" s="156">
        <v>217</v>
      </c>
      <c r="AM226" s="156" t="str">
        <f t="array" ref="AM226">IFERROR(INDEX($AK$10:$AK$258, MATCH(0, IF(TRUE=$AH$10:$AH$258, COUNTIF($AM$9:$AM225, $AK$10:$AK$258), ""), 0)),"")</f>
        <v/>
      </c>
      <c r="AN226" s="156" t="str">
        <f t="array" ref="AN226">IFERROR(INDEX($AK$10:$AK$258, MATCH(0, IF(TRUE=$AI$10:$AI$258, COUNTIF($AN$9:$AN225, $AK$10:$AK$258), ""), 0)),"")</f>
        <v/>
      </c>
      <c r="AP226" s="31" t="str">
        <f>IFERROR(INDEX('G-7 Rivers Data'!$AZ$3:$AZ$7,MATCH(D226,'G-7 Rivers Data'!$AY$3:$AY$7,0)),"")</f>
        <v/>
      </c>
    </row>
    <row r="227" spans="3:42" ht="14" x14ac:dyDescent="0.3">
      <c r="C227" s="141">
        <v>218</v>
      </c>
      <c r="D227" s="460"/>
      <c r="E227" s="172"/>
      <c r="F227" s="498" t="str">
        <f>IF(D227="","",VLOOKUP(D227,'G-7 Rivers Data'!$B$2:$G$8,2,FALSE))</f>
        <v/>
      </c>
      <c r="G227" s="499" t="str">
        <f>IFERROR(VLOOKUP(F227,'G-7 Rivers Data'!$C$4:$D$8,2,FALSE),"")</f>
        <v/>
      </c>
      <c r="H227" s="145"/>
      <c r="I227" s="499" t="str">
        <f>IFERROR(INDEX('G-7 Rivers Data'!$H$4:$L$8,MATCH(D227,'G-7 Rivers Data'!$B$4:$B$8,0),MATCH(H227,'G-7 Rivers Data'!$H$3:$L$3,0)),"")</f>
        <v/>
      </c>
      <c r="J227" s="418"/>
      <c r="K227" s="498" t="str">
        <f>IF(J227="","",IF(VLOOKUP(J227,'G-7 Rivers Data'!$AK$4:$AM$9,2,FALSE)=0,"Spatial Data Missing ⚠",VLOOKUP(J227,'G-7 Rivers Data'!$AK$4:$AM$9,2,FALSE)))</f>
        <v/>
      </c>
      <c r="L227" s="505" t="str">
        <f>IF(J227="","",IF(VLOOKUP(J227,'G-7 Rivers Data'!$AK$4:$AM$9,3,FALSE)=0,"Spatial Data Missing ⚠",VLOOKUP(J227,'G-7 Rivers Data'!$AK$4:$AM$9,3,FALSE)))</f>
        <v/>
      </c>
      <c r="M227" s="71"/>
      <c r="N227" s="499" t="str">
        <f>IF(M227="","",IF(VLOOKUP(M227,'G-7 Rivers Data'!$AA$4:$AB$7,2,FALSE)=0,"Spatial Data Missing ⚠",VLOOKUP(M227,'G-7 Rivers Data'!$AA$4:$AB$7,2,FALSE)))</f>
        <v/>
      </c>
      <c r="O227" s="155"/>
      <c r="P227" s="499" t="str">
        <f>IF(O227="","",IF(VLOOKUP(O227,'G-7 Rivers Data'!$AD$4:$AE$8,2,FALSE)=0,"Spatial Data Missing ⚠",VLOOKUP(O227,'G-7 Rivers Data'!$AD$4:$AE$8,2,FALSE)))</f>
        <v/>
      </c>
      <c r="Q227" s="506" t="str">
        <f>IF(D227="","",VLOOKUP(D227,'G-7 Rivers Data'!$B$2:$G$8,6,FALSE))</f>
        <v/>
      </c>
      <c r="R227" s="513" t="str">
        <f t="shared" si="24"/>
        <v/>
      </c>
      <c r="S227" s="40"/>
      <c r="T227" s="145"/>
      <c r="U227" s="157"/>
      <c r="V227" s="511" t="str">
        <f t="shared" si="25"/>
        <v/>
      </c>
      <c r="W227" s="511" t="str">
        <f t="shared" si="26"/>
        <v/>
      </c>
      <c r="X227" s="511" t="str">
        <f t="shared" si="27"/>
        <v/>
      </c>
      <c r="Y227" s="515" t="str">
        <f t="shared" si="28"/>
        <v/>
      </c>
      <c r="Z227" s="151"/>
      <c r="AA227" s="152"/>
      <c r="AG227" s="31">
        <f t="shared" si="29"/>
        <v>0</v>
      </c>
      <c r="AH227" s="156" t="str">
        <f t="shared" si="30"/>
        <v/>
      </c>
      <c r="AI227" s="156" t="str">
        <f t="shared" si="31"/>
        <v/>
      </c>
      <c r="AK227" s="156">
        <v>218</v>
      </c>
      <c r="AM227" s="156" t="str">
        <f t="array" ref="AM227">IFERROR(INDEX($AK$10:$AK$258, MATCH(0, IF(TRUE=$AH$10:$AH$258, COUNTIF($AM$9:$AM226, $AK$10:$AK$258), ""), 0)),"")</f>
        <v/>
      </c>
      <c r="AN227" s="156" t="str">
        <f t="array" ref="AN227">IFERROR(INDEX($AK$10:$AK$258, MATCH(0, IF(TRUE=$AI$10:$AI$258, COUNTIF($AN$9:$AN226, $AK$10:$AK$258), ""), 0)),"")</f>
        <v/>
      </c>
      <c r="AP227" s="31" t="str">
        <f>IFERROR(INDEX('G-7 Rivers Data'!$AZ$3:$AZ$7,MATCH(D227,'G-7 Rivers Data'!$AY$3:$AY$7,0)),"")</f>
        <v/>
      </c>
    </row>
    <row r="228" spans="3:42" ht="14" x14ac:dyDescent="0.3">
      <c r="C228" s="141">
        <v>219</v>
      </c>
      <c r="D228" s="460"/>
      <c r="E228" s="172"/>
      <c r="F228" s="498" t="str">
        <f>IF(D228="","",VLOOKUP(D228,'G-7 Rivers Data'!$B$2:$G$8,2,FALSE))</f>
        <v/>
      </c>
      <c r="G228" s="499" t="str">
        <f>IFERROR(VLOOKUP(F228,'G-7 Rivers Data'!$C$4:$D$8,2,FALSE),"")</f>
        <v/>
      </c>
      <c r="H228" s="145"/>
      <c r="I228" s="499" t="str">
        <f>IFERROR(INDEX('G-7 Rivers Data'!$H$4:$L$8,MATCH(D228,'G-7 Rivers Data'!$B$4:$B$8,0),MATCH(H228,'G-7 Rivers Data'!$H$3:$L$3,0)),"")</f>
        <v/>
      </c>
      <c r="J228" s="418"/>
      <c r="K228" s="498" t="str">
        <f>IF(J228="","",IF(VLOOKUP(J228,'G-7 Rivers Data'!$AK$4:$AM$9,2,FALSE)=0,"Spatial Data Missing ⚠",VLOOKUP(J228,'G-7 Rivers Data'!$AK$4:$AM$9,2,FALSE)))</f>
        <v/>
      </c>
      <c r="L228" s="505" t="str">
        <f>IF(J228="","",IF(VLOOKUP(J228,'G-7 Rivers Data'!$AK$4:$AM$9,3,FALSE)=0,"Spatial Data Missing ⚠",VLOOKUP(J228,'G-7 Rivers Data'!$AK$4:$AM$9,3,FALSE)))</f>
        <v/>
      </c>
      <c r="M228" s="71"/>
      <c r="N228" s="499" t="str">
        <f>IF(M228="","",IF(VLOOKUP(M228,'G-7 Rivers Data'!$AA$4:$AB$7,2,FALSE)=0,"Spatial Data Missing ⚠",VLOOKUP(M228,'G-7 Rivers Data'!$AA$4:$AB$7,2,FALSE)))</f>
        <v/>
      </c>
      <c r="O228" s="155"/>
      <c r="P228" s="499" t="str">
        <f>IF(O228="","",IF(VLOOKUP(O228,'G-7 Rivers Data'!$AD$4:$AE$8,2,FALSE)=0,"Spatial Data Missing ⚠",VLOOKUP(O228,'G-7 Rivers Data'!$AD$4:$AE$8,2,FALSE)))</f>
        <v/>
      </c>
      <c r="Q228" s="506" t="str">
        <f>IF(D228="","",VLOOKUP(D228,'G-7 Rivers Data'!$B$2:$G$8,6,FALSE))</f>
        <v/>
      </c>
      <c r="R228" s="513" t="str">
        <f t="shared" si="24"/>
        <v/>
      </c>
      <c r="S228" s="40"/>
      <c r="T228" s="145"/>
      <c r="U228" s="157"/>
      <c r="V228" s="511" t="str">
        <f t="shared" si="25"/>
        <v/>
      </c>
      <c r="W228" s="511" t="str">
        <f t="shared" si="26"/>
        <v/>
      </c>
      <c r="X228" s="511" t="str">
        <f t="shared" si="27"/>
        <v/>
      </c>
      <c r="Y228" s="515" t="str">
        <f t="shared" si="28"/>
        <v/>
      </c>
      <c r="Z228" s="151"/>
      <c r="AA228" s="152"/>
      <c r="AG228" s="31">
        <f t="shared" si="29"/>
        <v>0</v>
      </c>
      <c r="AH228" s="156" t="str">
        <f t="shared" si="30"/>
        <v/>
      </c>
      <c r="AI228" s="156" t="str">
        <f t="shared" si="31"/>
        <v/>
      </c>
      <c r="AK228" s="156">
        <v>219</v>
      </c>
      <c r="AM228" s="156" t="str">
        <f t="array" ref="AM228">IFERROR(INDEX($AK$10:$AK$258, MATCH(0, IF(TRUE=$AH$10:$AH$258, COUNTIF($AM$9:$AM227, $AK$10:$AK$258), ""), 0)),"")</f>
        <v/>
      </c>
      <c r="AN228" s="156" t="str">
        <f t="array" ref="AN228">IFERROR(INDEX($AK$10:$AK$258, MATCH(0, IF(TRUE=$AI$10:$AI$258, COUNTIF($AN$9:$AN227, $AK$10:$AK$258), ""), 0)),"")</f>
        <v/>
      </c>
      <c r="AP228" s="31" t="str">
        <f>IFERROR(INDEX('G-7 Rivers Data'!$AZ$3:$AZ$7,MATCH(D228,'G-7 Rivers Data'!$AY$3:$AY$7,0)),"")</f>
        <v/>
      </c>
    </row>
    <row r="229" spans="3:42" ht="14" x14ac:dyDescent="0.3">
      <c r="C229" s="141">
        <v>220</v>
      </c>
      <c r="D229" s="460"/>
      <c r="E229" s="172"/>
      <c r="F229" s="498" t="str">
        <f>IF(D229="","",VLOOKUP(D229,'G-7 Rivers Data'!$B$2:$G$8,2,FALSE))</f>
        <v/>
      </c>
      <c r="G229" s="499" t="str">
        <f>IFERROR(VLOOKUP(F229,'G-7 Rivers Data'!$C$4:$D$8,2,FALSE),"")</f>
        <v/>
      </c>
      <c r="H229" s="145"/>
      <c r="I229" s="499" t="str">
        <f>IFERROR(INDEX('G-7 Rivers Data'!$H$4:$L$8,MATCH(D229,'G-7 Rivers Data'!$B$4:$B$8,0),MATCH(H229,'G-7 Rivers Data'!$H$3:$L$3,0)),"")</f>
        <v/>
      </c>
      <c r="J229" s="418"/>
      <c r="K229" s="498" t="str">
        <f>IF(J229="","",IF(VLOOKUP(J229,'G-7 Rivers Data'!$AK$4:$AM$9,2,FALSE)=0,"Spatial Data Missing ⚠",VLOOKUP(J229,'G-7 Rivers Data'!$AK$4:$AM$9,2,FALSE)))</f>
        <v/>
      </c>
      <c r="L229" s="505" t="str">
        <f>IF(J229="","",IF(VLOOKUP(J229,'G-7 Rivers Data'!$AK$4:$AM$9,3,FALSE)=0,"Spatial Data Missing ⚠",VLOOKUP(J229,'G-7 Rivers Data'!$AK$4:$AM$9,3,FALSE)))</f>
        <v/>
      </c>
      <c r="M229" s="71"/>
      <c r="N229" s="499" t="str">
        <f>IF(M229="","",IF(VLOOKUP(M229,'G-7 Rivers Data'!$AA$4:$AB$7,2,FALSE)=0,"Spatial Data Missing ⚠",VLOOKUP(M229,'G-7 Rivers Data'!$AA$4:$AB$7,2,FALSE)))</f>
        <v/>
      </c>
      <c r="O229" s="155"/>
      <c r="P229" s="499" t="str">
        <f>IF(O229="","",IF(VLOOKUP(O229,'G-7 Rivers Data'!$AD$4:$AE$8,2,FALSE)=0,"Spatial Data Missing ⚠",VLOOKUP(O229,'G-7 Rivers Data'!$AD$4:$AE$8,2,FALSE)))</f>
        <v/>
      </c>
      <c r="Q229" s="506" t="str">
        <f>IF(D229="","",VLOOKUP(D229,'G-7 Rivers Data'!$B$2:$G$8,6,FALSE))</f>
        <v/>
      </c>
      <c r="R229" s="513" t="str">
        <f t="shared" si="24"/>
        <v/>
      </c>
      <c r="S229" s="40"/>
      <c r="T229" s="145"/>
      <c r="U229" s="157"/>
      <c r="V229" s="511" t="str">
        <f t="shared" si="25"/>
        <v/>
      </c>
      <c r="W229" s="511" t="str">
        <f t="shared" si="26"/>
        <v/>
      </c>
      <c r="X229" s="511" t="str">
        <f t="shared" si="27"/>
        <v/>
      </c>
      <c r="Y229" s="515" t="str">
        <f t="shared" si="28"/>
        <v/>
      </c>
      <c r="Z229" s="151"/>
      <c r="AA229" s="152"/>
      <c r="AG229" s="31">
        <f t="shared" si="29"/>
        <v>0</v>
      </c>
      <c r="AH229" s="156" t="str">
        <f t="shared" si="30"/>
        <v/>
      </c>
      <c r="AI229" s="156" t="str">
        <f t="shared" si="31"/>
        <v/>
      </c>
      <c r="AK229" s="156">
        <v>220</v>
      </c>
      <c r="AM229" s="156" t="str">
        <f t="array" ref="AM229">IFERROR(INDEX($AK$10:$AK$258, MATCH(0, IF(TRUE=$AH$10:$AH$258, COUNTIF($AM$9:$AM228, $AK$10:$AK$258), ""), 0)),"")</f>
        <v/>
      </c>
      <c r="AN229" s="156" t="str">
        <f t="array" ref="AN229">IFERROR(INDEX($AK$10:$AK$258, MATCH(0, IF(TRUE=$AI$10:$AI$258, COUNTIF($AN$9:$AN228, $AK$10:$AK$258), ""), 0)),"")</f>
        <v/>
      </c>
      <c r="AP229" s="31" t="str">
        <f>IFERROR(INDEX('G-7 Rivers Data'!$AZ$3:$AZ$7,MATCH(D229,'G-7 Rivers Data'!$AY$3:$AY$7,0)),"")</f>
        <v/>
      </c>
    </row>
    <row r="230" spans="3:42" ht="14" x14ac:dyDescent="0.3">
      <c r="C230" s="141">
        <v>221</v>
      </c>
      <c r="D230" s="460"/>
      <c r="E230" s="172"/>
      <c r="F230" s="498" t="str">
        <f>IF(D230="","",VLOOKUP(D230,'G-7 Rivers Data'!$B$2:$G$8,2,FALSE))</f>
        <v/>
      </c>
      <c r="G230" s="499" t="str">
        <f>IFERROR(VLOOKUP(F230,'G-7 Rivers Data'!$C$4:$D$8,2,FALSE),"")</f>
        <v/>
      </c>
      <c r="H230" s="145"/>
      <c r="I230" s="499" t="str">
        <f>IFERROR(INDEX('G-7 Rivers Data'!$H$4:$L$8,MATCH(D230,'G-7 Rivers Data'!$B$4:$B$8,0),MATCH(H230,'G-7 Rivers Data'!$H$3:$L$3,0)),"")</f>
        <v/>
      </c>
      <c r="J230" s="418"/>
      <c r="K230" s="498" t="str">
        <f>IF(J230="","",IF(VLOOKUP(J230,'G-7 Rivers Data'!$AK$4:$AM$9,2,FALSE)=0,"Spatial Data Missing ⚠",VLOOKUP(J230,'G-7 Rivers Data'!$AK$4:$AM$9,2,FALSE)))</f>
        <v/>
      </c>
      <c r="L230" s="505" t="str">
        <f>IF(J230="","",IF(VLOOKUP(J230,'G-7 Rivers Data'!$AK$4:$AM$9,3,FALSE)=0,"Spatial Data Missing ⚠",VLOOKUP(J230,'G-7 Rivers Data'!$AK$4:$AM$9,3,FALSE)))</f>
        <v/>
      </c>
      <c r="M230" s="71"/>
      <c r="N230" s="499" t="str">
        <f>IF(M230="","",IF(VLOOKUP(M230,'G-7 Rivers Data'!$AA$4:$AB$7,2,FALSE)=0,"Spatial Data Missing ⚠",VLOOKUP(M230,'G-7 Rivers Data'!$AA$4:$AB$7,2,FALSE)))</f>
        <v/>
      </c>
      <c r="O230" s="155"/>
      <c r="P230" s="499" t="str">
        <f>IF(O230="","",IF(VLOOKUP(O230,'G-7 Rivers Data'!$AD$4:$AE$8,2,FALSE)=0,"Spatial Data Missing ⚠",VLOOKUP(O230,'G-7 Rivers Data'!$AD$4:$AE$8,2,FALSE)))</f>
        <v/>
      </c>
      <c r="Q230" s="506" t="str">
        <f>IF(D230="","",VLOOKUP(D230,'G-7 Rivers Data'!$B$2:$G$8,6,FALSE))</f>
        <v/>
      </c>
      <c r="R230" s="513" t="str">
        <f t="shared" si="24"/>
        <v/>
      </c>
      <c r="S230" s="40"/>
      <c r="T230" s="145"/>
      <c r="U230" s="157"/>
      <c r="V230" s="511" t="str">
        <f t="shared" si="25"/>
        <v/>
      </c>
      <c r="W230" s="511" t="str">
        <f t="shared" si="26"/>
        <v/>
      </c>
      <c r="X230" s="511" t="str">
        <f t="shared" si="27"/>
        <v/>
      </c>
      <c r="Y230" s="515" t="str">
        <f t="shared" si="28"/>
        <v/>
      </c>
      <c r="Z230" s="151"/>
      <c r="AA230" s="152"/>
      <c r="AG230" s="31">
        <f t="shared" si="29"/>
        <v>0</v>
      </c>
      <c r="AH230" s="156" t="str">
        <f t="shared" si="30"/>
        <v/>
      </c>
      <c r="AI230" s="156" t="str">
        <f t="shared" si="31"/>
        <v/>
      </c>
      <c r="AK230" s="156">
        <v>221</v>
      </c>
      <c r="AM230" s="156" t="str">
        <f t="array" ref="AM230">IFERROR(INDEX($AK$10:$AK$258, MATCH(0, IF(TRUE=$AH$10:$AH$258, COUNTIF($AM$9:$AM229, $AK$10:$AK$258), ""), 0)),"")</f>
        <v/>
      </c>
      <c r="AN230" s="156" t="str">
        <f t="array" ref="AN230">IFERROR(INDEX($AK$10:$AK$258, MATCH(0, IF(TRUE=$AI$10:$AI$258, COUNTIF($AN$9:$AN229, $AK$10:$AK$258), ""), 0)),"")</f>
        <v/>
      </c>
      <c r="AP230" s="31" t="str">
        <f>IFERROR(INDEX('G-7 Rivers Data'!$AZ$3:$AZ$7,MATCH(D230,'G-7 Rivers Data'!$AY$3:$AY$7,0)),"")</f>
        <v/>
      </c>
    </row>
    <row r="231" spans="3:42" ht="14" x14ac:dyDescent="0.3">
      <c r="C231" s="141">
        <v>222</v>
      </c>
      <c r="D231" s="460"/>
      <c r="E231" s="172"/>
      <c r="F231" s="498" t="str">
        <f>IF(D231="","",VLOOKUP(D231,'G-7 Rivers Data'!$B$2:$G$8,2,FALSE))</f>
        <v/>
      </c>
      <c r="G231" s="499" t="str">
        <f>IFERROR(VLOOKUP(F231,'G-7 Rivers Data'!$C$4:$D$8,2,FALSE),"")</f>
        <v/>
      </c>
      <c r="H231" s="145"/>
      <c r="I231" s="499" t="str">
        <f>IFERROR(INDEX('G-7 Rivers Data'!$H$4:$L$8,MATCH(D231,'G-7 Rivers Data'!$B$4:$B$8,0),MATCH(H231,'G-7 Rivers Data'!$H$3:$L$3,0)),"")</f>
        <v/>
      </c>
      <c r="J231" s="418"/>
      <c r="K231" s="498" t="str">
        <f>IF(J231="","",IF(VLOOKUP(J231,'G-7 Rivers Data'!$AK$4:$AM$9,2,FALSE)=0,"Spatial Data Missing ⚠",VLOOKUP(J231,'G-7 Rivers Data'!$AK$4:$AM$9,2,FALSE)))</f>
        <v/>
      </c>
      <c r="L231" s="505" t="str">
        <f>IF(J231="","",IF(VLOOKUP(J231,'G-7 Rivers Data'!$AK$4:$AM$9,3,FALSE)=0,"Spatial Data Missing ⚠",VLOOKUP(J231,'G-7 Rivers Data'!$AK$4:$AM$9,3,FALSE)))</f>
        <v/>
      </c>
      <c r="M231" s="71"/>
      <c r="N231" s="499" t="str">
        <f>IF(M231="","",IF(VLOOKUP(M231,'G-7 Rivers Data'!$AA$4:$AB$7,2,FALSE)=0,"Spatial Data Missing ⚠",VLOOKUP(M231,'G-7 Rivers Data'!$AA$4:$AB$7,2,FALSE)))</f>
        <v/>
      </c>
      <c r="O231" s="155"/>
      <c r="P231" s="499" t="str">
        <f>IF(O231="","",IF(VLOOKUP(O231,'G-7 Rivers Data'!$AD$4:$AE$8,2,FALSE)=0,"Spatial Data Missing ⚠",VLOOKUP(O231,'G-7 Rivers Data'!$AD$4:$AE$8,2,FALSE)))</f>
        <v/>
      </c>
      <c r="Q231" s="506" t="str">
        <f>IF(D231="","",VLOOKUP(D231,'G-7 Rivers Data'!$B$2:$G$8,6,FALSE))</f>
        <v/>
      </c>
      <c r="R231" s="513" t="str">
        <f t="shared" si="24"/>
        <v/>
      </c>
      <c r="S231" s="40"/>
      <c r="T231" s="145"/>
      <c r="U231" s="157"/>
      <c r="V231" s="511" t="str">
        <f t="shared" si="25"/>
        <v/>
      </c>
      <c r="W231" s="511" t="str">
        <f t="shared" si="26"/>
        <v/>
      </c>
      <c r="X231" s="511" t="str">
        <f t="shared" si="27"/>
        <v/>
      </c>
      <c r="Y231" s="515" t="str">
        <f t="shared" si="28"/>
        <v/>
      </c>
      <c r="Z231" s="151"/>
      <c r="AA231" s="152"/>
      <c r="AG231" s="31">
        <f t="shared" si="29"/>
        <v>0</v>
      </c>
      <c r="AH231" s="156" t="str">
        <f t="shared" si="30"/>
        <v/>
      </c>
      <c r="AI231" s="156" t="str">
        <f t="shared" si="31"/>
        <v/>
      </c>
      <c r="AK231" s="156">
        <v>222</v>
      </c>
      <c r="AM231" s="156" t="str">
        <f t="array" ref="AM231">IFERROR(INDEX($AK$10:$AK$258, MATCH(0, IF(TRUE=$AH$10:$AH$258, COUNTIF($AM$9:$AM230, $AK$10:$AK$258), ""), 0)),"")</f>
        <v/>
      </c>
      <c r="AN231" s="156" t="str">
        <f t="array" ref="AN231">IFERROR(INDEX($AK$10:$AK$258, MATCH(0, IF(TRUE=$AI$10:$AI$258, COUNTIF($AN$9:$AN230, $AK$10:$AK$258), ""), 0)),"")</f>
        <v/>
      </c>
      <c r="AP231" s="31" t="str">
        <f>IFERROR(INDEX('G-7 Rivers Data'!$AZ$3:$AZ$7,MATCH(D231,'G-7 Rivers Data'!$AY$3:$AY$7,0)),"")</f>
        <v/>
      </c>
    </row>
    <row r="232" spans="3:42" ht="14" x14ac:dyDescent="0.3">
      <c r="C232" s="141">
        <v>223</v>
      </c>
      <c r="D232" s="460"/>
      <c r="E232" s="172"/>
      <c r="F232" s="498" t="str">
        <f>IF(D232="","",VLOOKUP(D232,'G-7 Rivers Data'!$B$2:$G$8,2,FALSE))</f>
        <v/>
      </c>
      <c r="G232" s="499" t="str">
        <f>IFERROR(VLOOKUP(F232,'G-7 Rivers Data'!$C$4:$D$8,2,FALSE),"")</f>
        <v/>
      </c>
      <c r="H232" s="145"/>
      <c r="I232" s="499" t="str">
        <f>IFERROR(INDEX('G-7 Rivers Data'!$H$4:$L$8,MATCH(D232,'G-7 Rivers Data'!$B$4:$B$8,0),MATCH(H232,'G-7 Rivers Data'!$H$3:$L$3,0)),"")</f>
        <v/>
      </c>
      <c r="J232" s="418"/>
      <c r="K232" s="498" t="str">
        <f>IF(J232="","",IF(VLOOKUP(J232,'G-7 Rivers Data'!$AK$4:$AM$9,2,FALSE)=0,"Spatial Data Missing ⚠",VLOOKUP(J232,'G-7 Rivers Data'!$AK$4:$AM$9,2,FALSE)))</f>
        <v/>
      </c>
      <c r="L232" s="505" t="str">
        <f>IF(J232="","",IF(VLOOKUP(J232,'G-7 Rivers Data'!$AK$4:$AM$9,3,FALSE)=0,"Spatial Data Missing ⚠",VLOOKUP(J232,'G-7 Rivers Data'!$AK$4:$AM$9,3,FALSE)))</f>
        <v/>
      </c>
      <c r="M232" s="71"/>
      <c r="N232" s="499" t="str">
        <f>IF(M232="","",IF(VLOOKUP(M232,'G-7 Rivers Data'!$AA$4:$AB$7,2,FALSE)=0,"Spatial Data Missing ⚠",VLOOKUP(M232,'G-7 Rivers Data'!$AA$4:$AB$7,2,FALSE)))</f>
        <v/>
      </c>
      <c r="O232" s="155"/>
      <c r="P232" s="499" t="str">
        <f>IF(O232="","",IF(VLOOKUP(O232,'G-7 Rivers Data'!$AD$4:$AE$8,2,FALSE)=0,"Spatial Data Missing ⚠",VLOOKUP(O232,'G-7 Rivers Data'!$AD$4:$AE$8,2,FALSE)))</f>
        <v/>
      </c>
      <c r="Q232" s="506" t="str">
        <f>IF(D232="","",VLOOKUP(D232,'G-7 Rivers Data'!$B$2:$G$8,6,FALSE))</f>
        <v/>
      </c>
      <c r="R232" s="513" t="str">
        <f t="shared" si="24"/>
        <v/>
      </c>
      <c r="S232" s="40"/>
      <c r="T232" s="145"/>
      <c r="U232" s="157"/>
      <c r="V232" s="511" t="str">
        <f t="shared" si="25"/>
        <v/>
      </c>
      <c r="W232" s="511" t="str">
        <f t="shared" si="26"/>
        <v/>
      </c>
      <c r="X232" s="511" t="str">
        <f t="shared" si="27"/>
        <v/>
      </c>
      <c r="Y232" s="515" t="str">
        <f t="shared" si="28"/>
        <v/>
      </c>
      <c r="Z232" s="151"/>
      <c r="AA232" s="152"/>
      <c r="AG232" s="31">
        <f t="shared" si="29"/>
        <v>0</v>
      </c>
      <c r="AH232" s="156" t="str">
        <f t="shared" si="30"/>
        <v/>
      </c>
      <c r="AI232" s="156" t="str">
        <f t="shared" si="31"/>
        <v/>
      </c>
      <c r="AK232" s="156">
        <v>223</v>
      </c>
      <c r="AM232" s="156" t="str">
        <f t="array" ref="AM232">IFERROR(INDEX($AK$10:$AK$258, MATCH(0, IF(TRUE=$AH$10:$AH$258, COUNTIF($AM$9:$AM231, $AK$10:$AK$258), ""), 0)),"")</f>
        <v/>
      </c>
      <c r="AN232" s="156" t="str">
        <f t="array" ref="AN232">IFERROR(INDEX($AK$10:$AK$258, MATCH(0, IF(TRUE=$AI$10:$AI$258, COUNTIF($AN$9:$AN231, $AK$10:$AK$258), ""), 0)),"")</f>
        <v/>
      </c>
      <c r="AP232" s="31" t="str">
        <f>IFERROR(INDEX('G-7 Rivers Data'!$AZ$3:$AZ$7,MATCH(D232,'G-7 Rivers Data'!$AY$3:$AY$7,0)),"")</f>
        <v/>
      </c>
    </row>
    <row r="233" spans="3:42" ht="14" x14ac:dyDescent="0.3">
      <c r="C233" s="141">
        <v>224</v>
      </c>
      <c r="D233" s="460"/>
      <c r="E233" s="172"/>
      <c r="F233" s="498" t="str">
        <f>IF(D233="","",VLOOKUP(D233,'G-7 Rivers Data'!$B$2:$G$8,2,FALSE))</f>
        <v/>
      </c>
      <c r="G233" s="499" t="str">
        <f>IFERROR(VLOOKUP(F233,'G-7 Rivers Data'!$C$4:$D$8,2,FALSE),"")</f>
        <v/>
      </c>
      <c r="H233" s="145"/>
      <c r="I233" s="499" t="str">
        <f>IFERROR(INDEX('G-7 Rivers Data'!$H$4:$L$8,MATCH(D233,'G-7 Rivers Data'!$B$4:$B$8,0),MATCH(H233,'G-7 Rivers Data'!$H$3:$L$3,0)),"")</f>
        <v/>
      </c>
      <c r="J233" s="418"/>
      <c r="K233" s="498" t="str">
        <f>IF(J233="","",IF(VLOOKUP(J233,'G-7 Rivers Data'!$AK$4:$AM$9,2,FALSE)=0,"Spatial Data Missing ⚠",VLOOKUP(J233,'G-7 Rivers Data'!$AK$4:$AM$9,2,FALSE)))</f>
        <v/>
      </c>
      <c r="L233" s="505" t="str">
        <f>IF(J233="","",IF(VLOOKUP(J233,'G-7 Rivers Data'!$AK$4:$AM$9,3,FALSE)=0,"Spatial Data Missing ⚠",VLOOKUP(J233,'G-7 Rivers Data'!$AK$4:$AM$9,3,FALSE)))</f>
        <v/>
      </c>
      <c r="M233" s="71"/>
      <c r="N233" s="499" t="str">
        <f>IF(M233="","",IF(VLOOKUP(M233,'G-7 Rivers Data'!$AA$4:$AB$7,2,FALSE)=0,"Spatial Data Missing ⚠",VLOOKUP(M233,'G-7 Rivers Data'!$AA$4:$AB$7,2,FALSE)))</f>
        <v/>
      </c>
      <c r="O233" s="155"/>
      <c r="P233" s="499" t="str">
        <f>IF(O233="","",IF(VLOOKUP(O233,'G-7 Rivers Data'!$AD$4:$AE$8,2,FALSE)=0,"Spatial Data Missing ⚠",VLOOKUP(O233,'G-7 Rivers Data'!$AD$4:$AE$8,2,FALSE)))</f>
        <v/>
      </c>
      <c r="Q233" s="506" t="str">
        <f>IF(D233="","",VLOOKUP(D233,'G-7 Rivers Data'!$B$2:$G$8,6,FALSE))</f>
        <v/>
      </c>
      <c r="R233" s="513" t="str">
        <f t="shared" si="24"/>
        <v/>
      </c>
      <c r="S233" s="40"/>
      <c r="T233" s="145"/>
      <c r="U233" s="157"/>
      <c r="V233" s="511" t="str">
        <f t="shared" si="25"/>
        <v/>
      </c>
      <c r="W233" s="511" t="str">
        <f t="shared" si="26"/>
        <v/>
      </c>
      <c r="X233" s="511" t="str">
        <f t="shared" si="27"/>
        <v/>
      </c>
      <c r="Y233" s="515" t="str">
        <f t="shared" si="28"/>
        <v/>
      </c>
      <c r="Z233" s="151"/>
      <c r="AA233" s="152"/>
      <c r="AG233" s="31">
        <f t="shared" si="29"/>
        <v>0</v>
      </c>
      <c r="AH233" s="156" t="str">
        <f t="shared" si="30"/>
        <v/>
      </c>
      <c r="AI233" s="156" t="str">
        <f t="shared" si="31"/>
        <v/>
      </c>
      <c r="AK233" s="156">
        <v>224</v>
      </c>
      <c r="AM233" s="156" t="str">
        <f t="array" ref="AM233">IFERROR(INDEX($AK$10:$AK$258, MATCH(0, IF(TRUE=$AH$10:$AH$258, COUNTIF($AM$9:$AM232, $AK$10:$AK$258), ""), 0)),"")</f>
        <v/>
      </c>
      <c r="AN233" s="156" t="str">
        <f t="array" ref="AN233">IFERROR(INDEX($AK$10:$AK$258, MATCH(0, IF(TRUE=$AI$10:$AI$258, COUNTIF($AN$9:$AN232, $AK$10:$AK$258), ""), 0)),"")</f>
        <v/>
      </c>
      <c r="AP233" s="31" t="str">
        <f>IFERROR(INDEX('G-7 Rivers Data'!$AZ$3:$AZ$7,MATCH(D233,'G-7 Rivers Data'!$AY$3:$AY$7,0)),"")</f>
        <v/>
      </c>
    </row>
    <row r="234" spans="3:42" ht="14" x14ac:dyDescent="0.3">
      <c r="C234" s="141">
        <v>225</v>
      </c>
      <c r="D234" s="460"/>
      <c r="E234" s="172"/>
      <c r="F234" s="498" t="str">
        <f>IF(D234="","",VLOOKUP(D234,'G-7 Rivers Data'!$B$2:$G$8,2,FALSE))</f>
        <v/>
      </c>
      <c r="G234" s="499" t="str">
        <f>IFERROR(VLOOKUP(F234,'G-7 Rivers Data'!$C$4:$D$8,2,FALSE),"")</f>
        <v/>
      </c>
      <c r="H234" s="145"/>
      <c r="I234" s="499" t="str">
        <f>IFERROR(INDEX('G-7 Rivers Data'!$H$4:$L$8,MATCH(D234,'G-7 Rivers Data'!$B$4:$B$8,0),MATCH(H234,'G-7 Rivers Data'!$H$3:$L$3,0)),"")</f>
        <v/>
      </c>
      <c r="J234" s="418"/>
      <c r="K234" s="498" t="str">
        <f>IF(J234="","",IF(VLOOKUP(J234,'G-7 Rivers Data'!$AK$4:$AM$9,2,FALSE)=0,"Spatial Data Missing ⚠",VLOOKUP(J234,'G-7 Rivers Data'!$AK$4:$AM$9,2,FALSE)))</f>
        <v/>
      </c>
      <c r="L234" s="505" t="str">
        <f>IF(J234="","",IF(VLOOKUP(J234,'G-7 Rivers Data'!$AK$4:$AM$9,3,FALSE)=0,"Spatial Data Missing ⚠",VLOOKUP(J234,'G-7 Rivers Data'!$AK$4:$AM$9,3,FALSE)))</f>
        <v/>
      </c>
      <c r="M234" s="71"/>
      <c r="N234" s="499" t="str">
        <f>IF(M234="","",IF(VLOOKUP(M234,'G-7 Rivers Data'!$AA$4:$AB$7,2,FALSE)=0,"Spatial Data Missing ⚠",VLOOKUP(M234,'G-7 Rivers Data'!$AA$4:$AB$7,2,FALSE)))</f>
        <v/>
      </c>
      <c r="O234" s="155"/>
      <c r="P234" s="499" t="str">
        <f>IF(O234="","",IF(VLOOKUP(O234,'G-7 Rivers Data'!$AD$4:$AE$8,2,FALSE)=0,"Spatial Data Missing ⚠",VLOOKUP(O234,'G-7 Rivers Data'!$AD$4:$AE$8,2,FALSE)))</f>
        <v/>
      </c>
      <c r="Q234" s="506" t="str">
        <f>IF(D234="","",VLOOKUP(D234,'G-7 Rivers Data'!$B$2:$G$8,6,FALSE))</f>
        <v/>
      </c>
      <c r="R234" s="513" t="str">
        <f t="shared" si="24"/>
        <v/>
      </c>
      <c r="S234" s="40"/>
      <c r="T234" s="145"/>
      <c r="U234" s="157"/>
      <c r="V234" s="511" t="str">
        <f t="shared" si="25"/>
        <v/>
      </c>
      <c r="W234" s="511" t="str">
        <f t="shared" si="26"/>
        <v/>
      </c>
      <c r="X234" s="511" t="str">
        <f t="shared" si="27"/>
        <v/>
      </c>
      <c r="Y234" s="515" t="str">
        <f t="shared" si="28"/>
        <v/>
      </c>
      <c r="Z234" s="151"/>
      <c r="AA234" s="152"/>
      <c r="AG234" s="31">
        <f t="shared" si="29"/>
        <v>0</v>
      </c>
      <c r="AH234" s="156" t="str">
        <f t="shared" si="30"/>
        <v/>
      </c>
      <c r="AI234" s="156" t="str">
        <f t="shared" si="31"/>
        <v/>
      </c>
      <c r="AK234" s="156">
        <v>225</v>
      </c>
      <c r="AM234" s="156" t="str">
        <f t="array" ref="AM234">IFERROR(INDEX($AK$10:$AK$258, MATCH(0, IF(TRUE=$AH$10:$AH$258, COUNTIF($AM$9:$AM233, $AK$10:$AK$258), ""), 0)),"")</f>
        <v/>
      </c>
      <c r="AN234" s="156" t="str">
        <f t="array" ref="AN234">IFERROR(INDEX($AK$10:$AK$258, MATCH(0, IF(TRUE=$AI$10:$AI$258, COUNTIF($AN$9:$AN233, $AK$10:$AK$258), ""), 0)),"")</f>
        <v/>
      </c>
      <c r="AP234" s="31" t="str">
        <f>IFERROR(INDEX('G-7 Rivers Data'!$AZ$3:$AZ$7,MATCH(D234,'G-7 Rivers Data'!$AY$3:$AY$7,0)),"")</f>
        <v/>
      </c>
    </row>
    <row r="235" spans="3:42" ht="14" x14ac:dyDescent="0.3">
      <c r="C235" s="141">
        <v>226</v>
      </c>
      <c r="D235" s="460"/>
      <c r="E235" s="172"/>
      <c r="F235" s="498" t="str">
        <f>IF(D235="","",VLOOKUP(D235,'G-7 Rivers Data'!$B$2:$G$8,2,FALSE))</f>
        <v/>
      </c>
      <c r="G235" s="499" t="str">
        <f>IFERROR(VLOOKUP(F235,'G-7 Rivers Data'!$C$4:$D$8,2,FALSE),"")</f>
        <v/>
      </c>
      <c r="H235" s="145"/>
      <c r="I235" s="499" t="str">
        <f>IFERROR(INDEX('G-7 Rivers Data'!$H$4:$L$8,MATCH(D235,'G-7 Rivers Data'!$B$4:$B$8,0),MATCH(H235,'G-7 Rivers Data'!$H$3:$L$3,0)),"")</f>
        <v/>
      </c>
      <c r="J235" s="418"/>
      <c r="K235" s="498" t="str">
        <f>IF(J235="","",IF(VLOOKUP(J235,'G-7 Rivers Data'!$AK$4:$AM$9,2,FALSE)=0,"Spatial Data Missing ⚠",VLOOKUP(J235,'G-7 Rivers Data'!$AK$4:$AM$9,2,FALSE)))</f>
        <v/>
      </c>
      <c r="L235" s="505" t="str">
        <f>IF(J235="","",IF(VLOOKUP(J235,'G-7 Rivers Data'!$AK$4:$AM$9,3,FALSE)=0,"Spatial Data Missing ⚠",VLOOKUP(J235,'G-7 Rivers Data'!$AK$4:$AM$9,3,FALSE)))</f>
        <v/>
      </c>
      <c r="M235" s="71"/>
      <c r="N235" s="499" t="str">
        <f>IF(M235="","",IF(VLOOKUP(M235,'G-7 Rivers Data'!$AA$4:$AB$7,2,FALSE)=0,"Spatial Data Missing ⚠",VLOOKUP(M235,'G-7 Rivers Data'!$AA$4:$AB$7,2,FALSE)))</f>
        <v/>
      </c>
      <c r="O235" s="155"/>
      <c r="P235" s="499" t="str">
        <f>IF(O235="","",IF(VLOOKUP(O235,'G-7 Rivers Data'!$AD$4:$AE$8,2,FALSE)=0,"Spatial Data Missing ⚠",VLOOKUP(O235,'G-7 Rivers Data'!$AD$4:$AE$8,2,FALSE)))</f>
        <v/>
      </c>
      <c r="Q235" s="506" t="str">
        <f>IF(D235="","",VLOOKUP(D235,'G-7 Rivers Data'!$B$2:$G$8,6,FALSE))</f>
        <v/>
      </c>
      <c r="R235" s="513" t="str">
        <f t="shared" si="24"/>
        <v/>
      </c>
      <c r="S235" s="40"/>
      <c r="T235" s="145"/>
      <c r="U235" s="157"/>
      <c r="V235" s="511" t="str">
        <f t="shared" si="25"/>
        <v/>
      </c>
      <c r="W235" s="511" t="str">
        <f t="shared" si="26"/>
        <v/>
      </c>
      <c r="X235" s="511" t="str">
        <f t="shared" si="27"/>
        <v/>
      </c>
      <c r="Y235" s="515" t="str">
        <f t="shared" si="28"/>
        <v/>
      </c>
      <c r="Z235" s="151"/>
      <c r="AA235" s="152"/>
      <c r="AG235" s="31">
        <f t="shared" si="29"/>
        <v>0</v>
      </c>
      <c r="AH235" s="156" t="str">
        <f t="shared" si="30"/>
        <v/>
      </c>
      <c r="AI235" s="156" t="str">
        <f t="shared" si="31"/>
        <v/>
      </c>
      <c r="AK235" s="156">
        <v>226</v>
      </c>
      <c r="AM235" s="156" t="str">
        <f t="array" ref="AM235">IFERROR(INDEX($AK$10:$AK$258, MATCH(0, IF(TRUE=$AH$10:$AH$258, COUNTIF($AM$9:$AM234, $AK$10:$AK$258), ""), 0)),"")</f>
        <v/>
      </c>
      <c r="AN235" s="156" t="str">
        <f t="array" ref="AN235">IFERROR(INDEX($AK$10:$AK$258, MATCH(0, IF(TRUE=$AI$10:$AI$258, COUNTIF($AN$9:$AN234, $AK$10:$AK$258), ""), 0)),"")</f>
        <v/>
      </c>
      <c r="AP235" s="31" t="str">
        <f>IFERROR(INDEX('G-7 Rivers Data'!$AZ$3:$AZ$7,MATCH(D235,'G-7 Rivers Data'!$AY$3:$AY$7,0)),"")</f>
        <v/>
      </c>
    </row>
    <row r="236" spans="3:42" ht="14" x14ac:dyDescent="0.3">
      <c r="C236" s="141">
        <v>227</v>
      </c>
      <c r="D236" s="460"/>
      <c r="E236" s="172"/>
      <c r="F236" s="498" t="str">
        <f>IF(D236="","",VLOOKUP(D236,'G-7 Rivers Data'!$B$2:$G$8,2,FALSE))</f>
        <v/>
      </c>
      <c r="G236" s="499" t="str">
        <f>IFERROR(VLOOKUP(F236,'G-7 Rivers Data'!$C$4:$D$8,2,FALSE),"")</f>
        <v/>
      </c>
      <c r="H236" s="145"/>
      <c r="I236" s="499" t="str">
        <f>IFERROR(INDEX('G-7 Rivers Data'!$H$4:$L$8,MATCH(D236,'G-7 Rivers Data'!$B$4:$B$8,0),MATCH(H236,'G-7 Rivers Data'!$H$3:$L$3,0)),"")</f>
        <v/>
      </c>
      <c r="J236" s="418"/>
      <c r="K236" s="498" t="str">
        <f>IF(J236="","",IF(VLOOKUP(J236,'G-7 Rivers Data'!$AK$4:$AM$9,2,FALSE)=0,"Spatial Data Missing ⚠",VLOOKUP(J236,'G-7 Rivers Data'!$AK$4:$AM$9,2,FALSE)))</f>
        <v/>
      </c>
      <c r="L236" s="505" t="str">
        <f>IF(J236="","",IF(VLOOKUP(J236,'G-7 Rivers Data'!$AK$4:$AM$9,3,FALSE)=0,"Spatial Data Missing ⚠",VLOOKUP(J236,'G-7 Rivers Data'!$AK$4:$AM$9,3,FALSE)))</f>
        <v/>
      </c>
      <c r="M236" s="71"/>
      <c r="N236" s="499" t="str">
        <f>IF(M236="","",IF(VLOOKUP(M236,'G-7 Rivers Data'!$AA$4:$AB$7,2,FALSE)=0,"Spatial Data Missing ⚠",VLOOKUP(M236,'G-7 Rivers Data'!$AA$4:$AB$7,2,FALSE)))</f>
        <v/>
      </c>
      <c r="O236" s="155"/>
      <c r="P236" s="499" t="str">
        <f>IF(O236="","",IF(VLOOKUP(O236,'G-7 Rivers Data'!$AD$4:$AE$8,2,FALSE)=0,"Spatial Data Missing ⚠",VLOOKUP(O236,'G-7 Rivers Data'!$AD$4:$AE$8,2,FALSE)))</f>
        <v/>
      </c>
      <c r="Q236" s="506" t="str">
        <f>IF(D236="","",VLOOKUP(D236,'G-7 Rivers Data'!$B$2:$G$8,6,FALSE))</f>
        <v/>
      </c>
      <c r="R236" s="513" t="str">
        <f t="shared" si="24"/>
        <v/>
      </c>
      <c r="S236" s="40"/>
      <c r="T236" s="145"/>
      <c r="U236" s="157"/>
      <c r="V236" s="511" t="str">
        <f t="shared" si="25"/>
        <v/>
      </c>
      <c r="W236" s="511" t="str">
        <f t="shared" si="26"/>
        <v/>
      </c>
      <c r="X236" s="511" t="str">
        <f t="shared" si="27"/>
        <v/>
      </c>
      <c r="Y236" s="515" t="str">
        <f t="shared" si="28"/>
        <v/>
      </c>
      <c r="Z236" s="151"/>
      <c r="AA236" s="152"/>
      <c r="AG236" s="31">
        <f t="shared" si="29"/>
        <v>0</v>
      </c>
      <c r="AH236" s="156" t="str">
        <f t="shared" si="30"/>
        <v/>
      </c>
      <c r="AI236" s="156" t="str">
        <f t="shared" si="31"/>
        <v/>
      </c>
      <c r="AK236" s="156">
        <v>227</v>
      </c>
      <c r="AM236" s="156" t="str">
        <f t="array" ref="AM236">IFERROR(INDEX($AK$10:$AK$258, MATCH(0, IF(TRUE=$AH$10:$AH$258, COUNTIF($AM$9:$AM235, $AK$10:$AK$258), ""), 0)),"")</f>
        <v/>
      </c>
      <c r="AN236" s="156" t="str">
        <f t="array" ref="AN236">IFERROR(INDEX($AK$10:$AK$258, MATCH(0, IF(TRUE=$AI$10:$AI$258, COUNTIF($AN$9:$AN235, $AK$10:$AK$258), ""), 0)),"")</f>
        <v/>
      </c>
      <c r="AP236" s="31" t="str">
        <f>IFERROR(INDEX('G-7 Rivers Data'!$AZ$3:$AZ$7,MATCH(D236,'G-7 Rivers Data'!$AY$3:$AY$7,0)),"")</f>
        <v/>
      </c>
    </row>
    <row r="237" spans="3:42" ht="14" x14ac:dyDescent="0.3">
      <c r="C237" s="141">
        <v>228</v>
      </c>
      <c r="D237" s="460"/>
      <c r="E237" s="172"/>
      <c r="F237" s="498" t="str">
        <f>IF(D237="","",VLOOKUP(D237,'G-7 Rivers Data'!$B$2:$G$8,2,FALSE))</f>
        <v/>
      </c>
      <c r="G237" s="499" t="str">
        <f>IFERROR(VLOOKUP(F237,'G-7 Rivers Data'!$C$4:$D$8,2,FALSE),"")</f>
        <v/>
      </c>
      <c r="H237" s="145"/>
      <c r="I237" s="499" t="str">
        <f>IFERROR(INDEX('G-7 Rivers Data'!$H$4:$L$8,MATCH(D237,'G-7 Rivers Data'!$B$4:$B$8,0),MATCH(H237,'G-7 Rivers Data'!$H$3:$L$3,0)),"")</f>
        <v/>
      </c>
      <c r="J237" s="418"/>
      <c r="K237" s="498" t="str">
        <f>IF(J237="","",IF(VLOOKUP(J237,'G-7 Rivers Data'!$AK$4:$AM$9,2,FALSE)=0,"Spatial Data Missing ⚠",VLOOKUP(J237,'G-7 Rivers Data'!$AK$4:$AM$9,2,FALSE)))</f>
        <v/>
      </c>
      <c r="L237" s="505" t="str">
        <f>IF(J237="","",IF(VLOOKUP(J237,'G-7 Rivers Data'!$AK$4:$AM$9,3,FALSE)=0,"Spatial Data Missing ⚠",VLOOKUP(J237,'G-7 Rivers Data'!$AK$4:$AM$9,3,FALSE)))</f>
        <v/>
      </c>
      <c r="M237" s="71"/>
      <c r="N237" s="499" t="str">
        <f>IF(M237="","",IF(VLOOKUP(M237,'G-7 Rivers Data'!$AA$4:$AB$7,2,FALSE)=0,"Spatial Data Missing ⚠",VLOOKUP(M237,'G-7 Rivers Data'!$AA$4:$AB$7,2,FALSE)))</f>
        <v/>
      </c>
      <c r="O237" s="155"/>
      <c r="P237" s="499" t="str">
        <f>IF(O237="","",IF(VLOOKUP(O237,'G-7 Rivers Data'!$AD$4:$AE$8,2,FALSE)=0,"Spatial Data Missing ⚠",VLOOKUP(O237,'G-7 Rivers Data'!$AD$4:$AE$8,2,FALSE)))</f>
        <v/>
      </c>
      <c r="Q237" s="506" t="str">
        <f>IF(D237="","",VLOOKUP(D237,'G-7 Rivers Data'!$B$2:$G$8,6,FALSE))</f>
        <v/>
      </c>
      <c r="R237" s="513" t="str">
        <f t="shared" si="24"/>
        <v/>
      </c>
      <c r="S237" s="40"/>
      <c r="T237" s="145"/>
      <c r="U237" s="157"/>
      <c r="V237" s="511" t="str">
        <f t="shared" si="25"/>
        <v/>
      </c>
      <c r="W237" s="511" t="str">
        <f t="shared" si="26"/>
        <v/>
      </c>
      <c r="X237" s="511" t="str">
        <f t="shared" si="27"/>
        <v/>
      </c>
      <c r="Y237" s="515" t="str">
        <f t="shared" si="28"/>
        <v/>
      </c>
      <c r="Z237" s="151"/>
      <c r="AA237" s="152"/>
      <c r="AG237" s="31">
        <f t="shared" si="29"/>
        <v>0</v>
      </c>
      <c r="AH237" s="156" t="str">
        <f t="shared" si="30"/>
        <v/>
      </c>
      <c r="AI237" s="156" t="str">
        <f t="shared" si="31"/>
        <v/>
      </c>
      <c r="AK237" s="156">
        <v>228</v>
      </c>
      <c r="AM237" s="156" t="str">
        <f t="array" ref="AM237">IFERROR(INDEX($AK$10:$AK$258, MATCH(0, IF(TRUE=$AH$10:$AH$258, COUNTIF($AM$9:$AM236, $AK$10:$AK$258), ""), 0)),"")</f>
        <v/>
      </c>
      <c r="AN237" s="156" t="str">
        <f t="array" ref="AN237">IFERROR(INDEX($AK$10:$AK$258, MATCH(0, IF(TRUE=$AI$10:$AI$258, COUNTIF($AN$9:$AN236, $AK$10:$AK$258), ""), 0)),"")</f>
        <v/>
      </c>
      <c r="AP237" s="31" t="str">
        <f>IFERROR(INDEX('G-7 Rivers Data'!$AZ$3:$AZ$7,MATCH(D237,'G-7 Rivers Data'!$AY$3:$AY$7,0)),"")</f>
        <v/>
      </c>
    </row>
    <row r="238" spans="3:42" ht="14" x14ac:dyDescent="0.3">
      <c r="C238" s="141">
        <v>229</v>
      </c>
      <c r="D238" s="460"/>
      <c r="E238" s="172"/>
      <c r="F238" s="498" t="str">
        <f>IF(D238="","",VLOOKUP(D238,'G-7 Rivers Data'!$B$2:$G$8,2,FALSE))</f>
        <v/>
      </c>
      <c r="G238" s="499" t="str">
        <f>IFERROR(VLOOKUP(F238,'G-7 Rivers Data'!$C$4:$D$8,2,FALSE),"")</f>
        <v/>
      </c>
      <c r="H238" s="145"/>
      <c r="I238" s="499" t="str">
        <f>IFERROR(INDEX('G-7 Rivers Data'!$H$4:$L$8,MATCH(D238,'G-7 Rivers Data'!$B$4:$B$8,0),MATCH(H238,'G-7 Rivers Data'!$H$3:$L$3,0)),"")</f>
        <v/>
      </c>
      <c r="J238" s="418"/>
      <c r="K238" s="498" t="str">
        <f>IF(J238="","",IF(VLOOKUP(J238,'G-7 Rivers Data'!$AK$4:$AM$9,2,FALSE)=0,"Spatial Data Missing ⚠",VLOOKUP(J238,'G-7 Rivers Data'!$AK$4:$AM$9,2,FALSE)))</f>
        <v/>
      </c>
      <c r="L238" s="505" t="str">
        <f>IF(J238="","",IF(VLOOKUP(J238,'G-7 Rivers Data'!$AK$4:$AM$9,3,FALSE)=0,"Spatial Data Missing ⚠",VLOOKUP(J238,'G-7 Rivers Data'!$AK$4:$AM$9,3,FALSE)))</f>
        <v/>
      </c>
      <c r="M238" s="71"/>
      <c r="N238" s="499" t="str">
        <f>IF(M238="","",IF(VLOOKUP(M238,'G-7 Rivers Data'!$AA$4:$AB$7,2,FALSE)=0,"Spatial Data Missing ⚠",VLOOKUP(M238,'G-7 Rivers Data'!$AA$4:$AB$7,2,FALSE)))</f>
        <v/>
      </c>
      <c r="O238" s="155"/>
      <c r="P238" s="499" t="str">
        <f>IF(O238="","",IF(VLOOKUP(O238,'G-7 Rivers Data'!$AD$4:$AE$8,2,FALSE)=0,"Spatial Data Missing ⚠",VLOOKUP(O238,'G-7 Rivers Data'!$AD$4:$AE$8,2,FALSE)))</f>
        <v/>
      </c>
      <c r="Q238" s="506" t="str">
        <f>IF(D238="","",VLOOKUP(D238,'G-7 Rivers Data'!$B$2:$G$8,6,FALSE))</f>
        <v/>
      </c>
      <c r="R238" s="513" t="str">
        <f t="shared" si="24"/>
        <v/>
      </c>
      <c r="S238" s="40"/>
      <c r="T238" s="145"/>
      <c r="U238" s="157"/>
      <c r="V238" s="511" t="str">
        <f t="shared" si="25"/>
        <v/>
      </c>
      <c r="W238" s="511" t="str">
        <f t="shared" si="26"/>
        <v/>
      </c>
      <c r="X238" s="511" t="str">
        <f t="shared" si="27"/>
        <v/>
      </c>
      <c r="Y238" s="515" t="str">
        <f t="shared" si="28"/>
        <v/>
      </c>
      <c r="Z238" s="151"/>
      <c r="AA238" s="152"/>
      <c r="AG238" s="31">
        <f t="shared" si="29"/>
        <v>0</v>
      </c>
      <c r="AH238" s="156" t="str">
        <f t="shared" si="30"/>
        <v/>
      </c>
      <c r="AI238" s="156" t="str">
        <f t="shared" si="31"/>
        <v/>
      </c>
      <c r="AK238" s="156">
        <v>229</v>
      </c>
      <c r="AM238" s="156" t="str">
        <f t="array" ref="AM238">IFERROR(INDEX($AK$10:$AK$258, MATCH(0, IF(TRUE=$AH$10:$AH$258, COUNTIF($AM$9:$AM237, $AK$10:$AK$258), ""), 0)),"")</f>
        <v/>
      </c>
      <c r="AN238" s="156" t="str">
        <f t="array" ref="AN238">IFERROR(INDEX($AK$10:$AK$258, MATCH(0, IF(TRUE=$AI$10:$AI$258, COUNTIF($AN$9:$AN237, $AK$10:$AK$258), ""), 0)),"")</f>
        <v/>
      </c>
      <c r="AP238" s="31" t="str">
        <f>IFERROR(INDEX('G-7 Rivers Data'!$AZ$3:$AZ$7,MATCH(D238,'G-7 Rivers Data'!$AY$3:$AY$7,0)),"")</f>
        <v/>
      </c>
    </row>
    <row r="239" spans="3:42" ht="14" x14ac:dyDescent="0.3">
      <c r="C239" s="141">
        <v>230</v>
      </c>
      <c r="D239" s="460"/>
      <c r="E239" s="172"/>
      <c r="F239" s="498" t="str">
        <f>IF(D239="","",VLOOKUP(D239,'G-7 Rivers Data'!$B$2:$G$8,2,FALSE))</f>
        <v/>
      </c>
      <c r="G239" s="499" t="str">
        <f>IFERROR(VLOOKUP(F239,'G-7 Rivers Data'!$C$4:$D$8,2,FALSE),"")</f>
        <v/>
      </c>
      <c r="H239" s="145"/>
      <c r="I239" s="499" t="str">
        <f>IFERROR(INDEX('G-7 Rivers Data'!$H$4:$L$8,MATCH(D239,'G-7 Rivers Data'!$B$4:$B$8,0),MATCH(H239,'G-7 Rivers Data'!$H$3:$L$3,0)),"")</f>
        <v/>
      </c>
      <c r="J239" s="418"/>
      <c r="K239" s="498" t="str">
        <f>IF(J239="","",IF(VLOOKUP(J239,'G-7 Rivers Data'!$AK$4:$AM$9,2,FALSE)=0,"Spatial Data Missing ⚠",VLOOKUP(J239,'G-7 Rivers Data'!$AK$4:$AM$9,2,FALSE)))</f>
        <v/>
      </c>
      <c r="L239" s="505" t="str">
        <f>IF(J239="","",IF(VLOOKUP(J239,'G-7 Rivers Data'!$AK$4:$AM$9,3,FALSE)=0,"Spatial Data Missing ⚠",VLOOKUP(J239,'G-7 Rivers Data'!$AK$4:$AM$9,3,FALSE)))</f>
        <v/>
      </c>
      <c r="M239" s="71"/>
      <c r="N239" s="499" t="str">
        <f>IF(M239="","",IF(VLOOKUP(M239,'G-7 Rivers Data'!$AA$4:$AB$7,2,FALSE)=0,"Spatial Data Missing ⚠",VLOOKUP(M239,'G-7 Rivers Data'!$AA$4:$AB$7,2,FALSE)))</f>
        <v/>
      </c>
      <c r="O239" s="155"/>
      <c r="P239" s="499" t="str">
        <f>IF(O239="","",IF(VLOOKUP(O239,'G-7 Rivers Data'!$AD$4:$AE$8,2,FALSE)=0,"Spatial Data Missing ⚠",VLOOKUP(O239,'G-7 Rivers Data'!$AD$4:$AE$8,2,FALSE)))</f>
        <v/>
      </c>
      <c r="Q239" s="506" t="str">
        <f>IF(D239="","",VLOOKUP(D239,'G-7 Rivers Data'!$B$2:$G$8,6,FALSE))</f>
        <v/>
      </c>
      <c r="R239" s="513" t="str">
        <f t="shared" si="24"/>
        <v/>
      </c>
      <c r="S239" s="40"/>
      <c r="T239" s="145"/>
      <c r="U239" s="157"/>
      <c r="V239" s="511" t="str">
        <f t="shared" si="25"/>
        <v/>
      </c>
      <c r="W239" s="511" t="str">
        <f t="shared" si="26"/>
        <v/>
      </c>
      <c r="X239" s="511" t="str">
        <f t="shared" si="27"/>
        <v/>
      </c>
      <c r="Y239" s="515" t="str">
        <f t="shared" si="28"/>
        <v/>
      </c>
      <c r="Z239" s="151"/>
      <c r="AA239" s="152"/>
      <c r="AG239" s="31">
        <f t="shared" si="29"/>
        <v>0</v>
      </c>
      <c r="AH239" s="156" t="str">
        <f t="shared" si="30"/>
        <v/>
      </c>
      <c r="AI239" s="156" t="str">
        <f t="shared" si="31"/>
        <v/>
      </c>
      <c r="AK239" s="156">
        <v>230</v>
      </c>
      <c r="AM239" s="156" t="str">
        <f t="array" ref="AM239">IFERROR(INDEX($AK$10:$AK$258, MATCH(0, IF(TRUE=$AH$10:$AH$258, COUNTIF($AM$9:$AM238, $AK$10:$AK$258), ""), 0)),"")</f>
        <v/>
      </c>
      <c r="AN239" s="156" t="str">
        <f t="array" ref="AN239">IFERROR(INDEX($AK$10:$AK$258, MATCH(0, IF(TRUE=$AI$10:$AI$258, COUNTIF($AN$9:$AN238, $AK$10:$AK$258), ""), 0)),"")</f>
        <v/>
      </c>
      <c r="AP239" s="31" t="str">
        <f>IFERROR(INDEX('G-7 Rivers Data'!$AZ$3:$AZ$7,MATCH(D239,'G-7 Rivers Data'!$AY$3:$AY$7,0)),"")</f>
        <v/>
      </c>
    </row>
    <row r="240" spans="3:42" ht="14" x14ac:dyDescent="0.3">
      <c r="C240" s="141">
        <v>231</v>
      </c>
      <c r="D240" s="460"/>
      <c r="E240" s="172"/>
      <c r="F240" s="498" t="str">
        <f>IF(D240="","",VLOOKUP(D240,'G-7 Rivers Data'!$B$2:$G$8,2,FALSE))</f>
        <v/>
      </c>
      <c r="G240" s="499" t="str">
        <f>IFERROR(VLOOKUP(F240,'G-7 Rivers Data'!$C$4:$D$8,2,FALSE),"")</f>
        <v/>
      </c>
      <c r="H240" s="145"/>
      <c r="I240" s="499" t="str">
        <f>IFERROR(INDEX('G-7 Rivers Data'!$H$4:$L$8,MATCH(D240,'G-7 Rivers Data'!$B$4:$B$8,0),MATCH(H240,'G-7 Rivers Data'!$H$3:$L$3,0)),"")</f>
        <v/>
      </c>
      <c r="J240" s="418"/>
      <c r="K240" s="498" t="str">
        <f>IF(J240="","",IF(VLOOKUP(J240,'G-7 Rivers Data'!$AK$4:$AM$9,2,FALSE)=0,"Spatial Data Missing ⚠",VLOOKUP(J240,'G-7 Rivers Data'!$AK$4:$AM$9,2,FALSE)))</f>
        <v/>
      </c>
      <c r="L240" s="505" t="str">
        <f>IF(J240="","",IF(VLOOKUP(J240,'G-7 Rivers Data'!$AK$4:$AM$9,3,FALSE)=0,"Spatial Data Missing ⚠",VLOOKUP(J240,'G-7 Rivers Data'!$AK$4:$AM$9,3,FALSE)))</f>
        <v/>
      </c>
      <c r="M240" s="71"/>
      <c r="N240" s="499" t="str">
        <f>IF(M240="","",IF(VLOOKUP(M240,'G-7 Rivers Data'!$AA$4:$AB$7,2,FALSE)=0,"Spatial Data Missing ⚠",VLOOKUP(M240,'G-7 Rivers Data'!$AA$4:$AB$7,2,FALSE)))</f>
        <v/>
      </c>
      <c r="O240" s="155"/>
      <c r="P240" s="499" t="str">
        <f>IF(O240="","",IF(VLOOKUP(O240,'G-7 Rivers Data'!$AD$4:$AE$8,2,FALSE)=0,"Spatial Data Missing ⚠",VLOOKUP(O240,'G-7 Rivers Data'!$AD$4:$AE$8,2,FALSE)))</f>
        <v/>
      </c>
      <c r="Q240" s="506" t="str">
        <f>IF(D240="","",VLOOKUP(D240,'G-7 Rivers Data'!$B$2:$G$8,6,FALSE))</f>
        <v/>
      </c>
      <c r="R240" s="513" t="str">
        <f t="shared" si="24"/>
        <v/>
      </c>
      <c r="S240" s="40"/>
      <c r="T240" s="145"/>
      <c r="U240" s="157"/>
      <c r="V240" s="511" t="str">
        <f t="shared" si="25"/>
        <v/>
      </c>
      <c r="W240" s="511" t="str">
        <f t="shared" si="26"/>
        <v/>
      </c>
      <c r="X240" s="511" t="str">
        <f t="shared" si="27"/>
        <v/>
      </c>
      <c r="Y240" s="515" t="str">
        <f t="shared" si="28"/>
        <v/>
      </c>
      <c r="Z240" s="151"/>
      <c r="AA240" s="152"/>
      <c r="AG240" s="31">
        <f t="shared" si="29"/>
        <v>0</v>
      </c>
      <c r="AH240" s="156" t="str">
        <f t="shared" si="30"/>
        <v/>
      </c>
      <c r="AI240" s="156" t="str">
        <f t="shared" si="31"/>
        <v/>
      </c>
      <c r="AK240" s="156">
        <v>231</v>
      </c>
      <c r="AM240" s="156" t="str">
        <f t="array" ref="AM240">IFERROR(INDEX($AK$10:$AK$258, MATCH(0, IF(TRUE=$AH$10:$AH$258, COUNTIF($AM$9:$AM239, $AK$10:$AK$258), ""), 0)),"")</f>
        <v/>
      </c>
      <c r="AN240" s="156" t="str">
        <f t="array" ref="AN240">IFERROR(INDEX($AK$10:$AK$258, MATCH(0, IF(TRUE=$AI$10:$AI$258, COUNTIF($AN$9:$AN239, $AK$10:$AK$258), ""), 0)),"")</f>
        <v/>
      </c>
      <c r="AP240" s="31" t="str">
        <f>IFERROR(INDEX('G-7 Rivers Data'!$AZ$3:$AZ$7,MATCH(D240,'G-7 Rivers Data'!$AY$3:$AY$7,0)),"")</f>
        <v/>
      </c>
    </row>
    <row r="241" spans="3:42" ht="14" x14ac:dyDescent="0.3">
      <c r="C241" s="141">
        <v>232</v>
      </c>
      <c r="D241" s="460"/>
      <c r="E241" s="172"/>
      <c r="F241" s="498" t="str">
        <f>IF(D241="","",VLOOKUP(D241,'G-7 Rivers Data'!$B$2:$G$8,2,FALSE))</f>
        <v/>
      </c>
      <c r="G241" s="499" t="str">
        <f>IFERROR(VLOOKUP(F241,'G-7 Rivers Data'!$C$4:$D$8,2,FALSE),"")</f>
        <v/>
      </c>
      <c r="H241" s="145"/>
      <c r="I241" s="499" t="str">
        <f>IFERROR(INDEX('G-7 Rivers Data'!$H$4:$L$8,MATCH(D241,'G-7 Rivers Data'!$B$4:$B$8,0),MATCH(H241,'G-7 Rivers Data'!$H$3:$L$3,0)),"")</f>
        <v/>
      </c>
      <c r="J241" s="418"/>
      <c r="K241" s="498" t="str">
        <f>IF(J241="","",IF(VLOOKUP(J241,'G-7 Rivers Data'!$AK$4:$AM$9,2,FALSE)=0,"Spatial Data Missing ⚠",VLOOKUP(J241,'G-7 Rivers Data'!$AK$4:$AM$9,2,FALSE)))</f>
        <v/>
      </c>
      <c r="L241" s="505" t="str">
        <f>IF(J241="","",IF(VLOOKUP(J241,'G-7 Rivers Data'!$AK$4:$AM$9,3,FALSE)=0,"Spatial Data Missing ⚠",VLOOKUP(J241,'G-7 Rivers Data'!$AK$4:$AM$9,3,FALSE)))</f>
        <v/>
      </c>
      <c r="M241" s="71"/>
      <c r="N241" s="499" t="str">
        <f>IF(M241="","",IF(VLOOKUP(M241,'G-7 Rivers Data'!$AA$4:$AB$7,2,FALSE)=0,"Spatial Data Missing ⚠",VLOOKUP(M241,'G-7 Rivers Data'!$AA$4:$AB$7,2,FALSE)))</f>
        <v/>
      </c>
      <c r="O241" s="155"/>
      <c r="P241" s="499" t="str">
        <f>IF(O241="","",IF(VLOOKUP(O241,'G-7 Rivers Data'!$AD$4:$AE$8,2,FALSE)=0,"Spatial Data Missing ⚠",VLOOKUP(O241,'G-7 Rivers Data'!$AD$4:$AE$8,2,FALSE)))</f>
        <v/>
      </c>
      <c r="Q241" s="506" t="str">
        <f>IF(D241="","",VLOOKUP(D241,'G-7 Rivers Data'!$B$2:$G$8,6,FALSE))</f>
        <v/>
      </c>
      <c r="R241" s="513" t="str">
        <f t="shared" si="24"/>
        <v/>
      </c>
      <c r="S241" s="40"/>
      <c r="T241" s="145"/>
      <c r="U241" s="157"/>
      <c r="V241" s="511" t="str">
        <f t="shared" si="25"/>
        <v/>
      </c>
      <c r="W241" s="511" t="str">
        <f t="shared" si="26"/>
        <v/>
      </c>
      <c r="X241" s="511" t="str">
        <f t="shared" si="27"/>
        <v/>
      </c>
      <c r="Y241" s="515" t="str">
        <f t="shared" si="28"/>
        <v/>
      </c>
      <c r="Z241" s="151"/>
      <c r="AA241" s="152"/>
      <c r="AG241" s="31">
        <f t="shared" si="29"/>
        <v>0</v>
      </c>
      <c r="AH241" s="156" t="str">
        <f t="shared" si="30"/>
        <v/>
      </c>
      <c r="AI241" s="156" t="str">
        <f t="shared" si="31"/>
        <v/>
      </c>
      <c r="AK241" s="156">
        <v>232</v>
      </c>
      <c r="AM241" s="156" t="str">
        <f t="array" ref="AM241">IFERROR(INDEX($AK$10:$AK$258, MATCH(0, IF(TRUE=$AH$10:$AH$258, COUNTIF($AM$9:$AM240, $AK$10:$AK$258), ""), 0)),"")</f>
        <v/>
      </c>
      <c r="AN241" s="156" t="str">
        <f t="array" ref="AN241">IFERROR(INDEX($AK$10:$AK$258, MATCH(0, IF(TRUE=$AI$10:$AI$258, COUNTIF($AN$9:$AN240, $AK$10:$AK$258), ""), 0)),"")</f>
        <v/>
      </c>
      <c r="AP241" s="31" t="str">
        <f>IFERROR(INDEX('G-7 Rivers Data'!$AZ$3:$AZ$7,MATCH(D241,'G-7 Rivers Data'!$AY$3:$AY$7,0)),"")</f>
        <v/>
      </c>
    </row>
    <row r="242" spans="3:42" ht="14" x14ac:dyDescent="0.3">
      <c r="C242" s="141">
        <v>233</v>
      </c>
      <c r="D242" s="460"/>
      <c r="E242" s="172"/>
      <c r="F242" s="498" t="str">
        <f>IF(D242="","",VLOOKUP(D242,'G-7 Rivers Data'!$B$2:$G$8,2,FALSE))</f>
        <v/>
      </c>
      <c r="G242" s="499" t="str">
        <f>IFERROR(VLOOKUP(F242,'G-7 Rivers Data'!$C$4:$D$8,2,FALSE),"")</f>
        <v/>
      </c>
      <c r="H242" s="145"/>
      <c r="I242" s="499" t="str">
        <f>IFERROR(INDEX('G-7 Rivers Data'!$H$4:$L$8,MATCH(D242,'G-7 Rivers Data'!$B$4:$B$8,0),MATCH(H242,'G-7 Rivers Data'!$H$3:$L$3,0)),"")</f>
        <v/>
      </c>
      <c r="J242" s="418"/>
      <c r="K242" s="498" t="str">
        <f>IF(J242="","",IF(VLOOKUP(J242,'G-7 Rivers Data'!$AK$4:$AM$9,2,FALSE)=0,"Spatial Data Missing ⚠",VLOOKUP(J242,'G-7 Rivers Data'!$AK$4:$AM$9,2,FALSE)))</f>
        <v/>
      </c>
      <c r="L242" s="505" t="str">
        <f>IF(J242="","",IF(VLOOKUP(J242,'G-7 Rivers Data'!$AK$4:$AM$9,3,FALSE)=0,"Spatial Data Missing ⚠",VLOOKUP(J242,'G-7 Rivers Data'!$AK$4:$AM$9,3,FALSE)))</f>
        <v/>
      </c>
      <c r="M242" s="71"/>
      <c r="N242" s="499" t="str">
        <f>IF(M242="","",IF(VLOOKUP(M242,'G-7 Rivers Data'!$AA$4:$AB$7,2,FALSE)=0,"Spatial Data Missing ⚠",VLOOKUP(M242,'G-7 Rivers Data'!$AA$4:$AB$7,2,FALSE)))</f>
        <v/>
      </c>
      <c r="O242" s="155"/>
      <c r="P242" s="499" t="str">
        <f>IF(O242="","",IF(VLOOKUP(O242,'G-7 Rivers Data'!$AD$4:$AE$8,2,FALSE)=0,"Spatial Data Missing ⚠",VLOOKUP(O242,'G-7 Rivers Data'!$AD$4:$AE$8,2,FALSE)))</f>
        <v/>
      </c>
      <c r="Q242" s="506" t="str">
        <f>IF(D242="","",VLOOKUP(D242,'G-7 Rivers Data'!$B$2:$G$8,6,FALSE))</f>
        <v/>
      </c>
      <c r="R242" s="513" t="str">
        <f t="shared" si="24"/>
        <v/>
      </c>
      <c r="S242" s="40"/>
      <c r="T242" s="145"/>
      <c r="U242" s="157"/>
      <c r="V242" s="511" t="str">
        <f t="shared" si="25"/>
        <v/>
      </c>
      <c r="W242" s="511" t="str">
        <f t="shared" si="26"/>
        <v/>
      </c>
      <c r="X242" s="511" t="str">
        <f t="shared" si="27"/>
        <v/>
      </c>
      <c r="Y242" s="515" t="str">
        <f t="shared" si="28"/>
        <v/>
      </c>
      <c r="Z242" s="151"/>
      <c r="AA242" s="152"/>
      <c r="AG242" s="31">
        <f t="shared" si="29"/>
        <v>0</v>
      </c>
      <c r="AH242" s="156" t="str">
        <f t="shared" si="30"/>
        <v/>
      </c>
      <c r="AI242" s="156" t="str">
        <f t="shared" si="31"/>
        <v/>
      </c>
      <c r="AK242" s="156">
        <v>233</v>
      </c>
      <c r="AM242" s="156" t="str">
        <f t="array" ref="AM242">IFERROR(INDEX($AK$10:$AK$258, MATCH(0, IF(TRUE=$AH$10:$AH$258, COUNTIF($AM$9:$AM241, $AK$10:$AK$258), ""), 0)),"")</f>
        <v/>
      </c>
      <c r="AN242" s="156" t="str">
        <f t="array" ref="AN242">IFERROR(INDEX($AK$10:$AK$258, MATCH(0, IF(TRUE=$AI$10:$AI$258, COUNTIF($AN$9:$AN241, $AK$10:$AK$258), ""), 0)),"")</f>
        <v/>
      </c>
      <c r="AP242" s="31" t="str">
        <f>IFERROR(INDEX('G-7 Rivers Data'!$AZ$3:$AZ$7,MATCH(D242,'G-7 Rivers Data'!$AY$3:$AY$7,0)),"")</f>
        <v/>
      </c>
    </row>
    <row r="243" spans="3:42" ht="14" x14ac:dyDescent="0.3">
      <c r="C243" s="141">
        <v>234</v>
      </c>
      <c r="D243" s="460"/>
      <c r="E243" s="172"/>
      <c r="F243" s="498" t="str">
        <f>IF(D243="","",VLOOKUP(D243,'G-7 Rivers Data'!$B$2:$G$8,2,FALSE))</f>
        <v/>
      </c>
      <c r="G243" s="499" t="str">
        <f>IFERROR(VLOOKUP(F243,'G-7 Rivers Data'!$C$4:$D$8,2,FALSE),"")</f>
        <v/>
      </c>
      <c r="H243" s="145"/>
      <c r="I243" s="499" t="str">
        <f>IFERROR(INDEX('G-7 Rivers Data'!$H$4:$L$8,MATCH(D243,'G-7 Rivers Data'!$B$4:$B$8,0),MATCH(H243,'G-7 Rivers Data'!$H$3:$L$3,0)),"")</f>
        <v/>
      </c>
      <c r="J243" s="418"/>
      <c r="K243" s="498" t="str">
        <f>IF(J243="","",IF(VLOOKUP(J243,'G-7 Rivers Data'!$AK$4:$AM$9,2,FALSE)=0,"Spatial Data Missing ⚠",VLOOKUP(J243,'G-7 Rivers Data'!$AK$4:$AM$9,2,FALSE)))</f>
        <v/>
      </c>
      <c r="L243" s="505" t="str">
        <f>IF(J243="","",IF(VLOOKUP(J243,'G-7 Rivers Data'!$AK$4:$AM$9,3,FALSE)=0,"Spatial Data Missing ⚠",VLOOKUP(J243,'G-7 Rivers Data'!$AK$4:$AM$9,3,FALSE)))</f>
        <v/>
      </c>
      <c r="M243" s="71"/>
      <c r="N243" s="499" t="str">
        <f>IF(M243="","",IF(VLOOKUP(M243,'G-7 Rivers Data'!$AA$4:$AB$7,2,FALSE)=0,"Spatial Data Missing ⚠",VLOOKUP(M243,'G-7 Rivers Data'!$AA$4:$AB$7,2,FALSE)))</f>
        <v/>
      </c>
      <c r="O243" s="155"/>
      <c r="P243" s="499" t="str">
        <f>IF(O243="","",IF(VLOOKUP(O243,'G-7 Rivers Data'!$AD$4:$AE$8,2,FALSE)=0,"Spatial Data Missing ⚠",VLOOKUP(O243,'G-7 Rivers Data'!$AD$4:$AE$8,2,FALSE)))</f>
        <v/>
      </c>
      <c r="Q243" s="506" t="str">
        <f>IF(D243="","",VLOOKUP(D243,'G-7 Rivers Data'!$B$2:$G$8,6,FALSE))</f>
        <v/>
      </c>
      <c r="R243" s="513" t="str">
        <f t="shared" si="24"/>
        <v/>
      </c>
      <c r="S243" s="40"/>
      <c r="T243" s="145"/>
      <c r="U243" s="157"/>
      <c r="V243" s="511" t="str">
        <f t="shared" si="25"/>
        <v/>
      </c>
      <c r="W243" s="511" t="str">
        <f t="shared" si="26"/>
        <v/>
      </c>
      <c r="X243" s="511" t="str">
        <f t="shared" si="27"/>
        <v/>
      </c>
      <c r="Y243" s="515" t="str">
        <f t="shared" si="28"/>
        <v/>
      </c>
      <c r="Z243" s="151"/>
      <c r="AA243" s="152"/>
      <c r="AG243" s="31">
        <f t="shared" si="29"/>
        <v>0</v>
      </c>
      <c r="AH243" s="156" t="str">
        <f t="shared" si="30"/>
        <v/>
      </c>
      <c r="AI243" s="156" t="str">
        <f t="shared" si="31"/>
        <v/>
      </c>
      <c r="AK243" s="156">
        <v>234</v>
      </c>
      <c r="AM243" s="156" t="str">
        <f t="array" ref="AM243">IFERROR(INDEX($AK$10:$AK$258, MATCH(0, IF(TRUE=$AH$10:$AH$258, COUNTIF($AM$9:$AM242, $AK$10:$AK$258), ""), 0)),"")</f>
        <v/>
      </c>
      <c r="AN243" s="156" t="str">
        <f t="array" ref="AN243">IFERROR(INDEX($AK$10:$AK$258, MATCH(0, IF(TRUE=$AI$10:$AI$258, COUNTIF($AN$9:$AN242, $AK$10:$AK$258), ""), 0)),"")</f>
        <v/>
      </c>
      <c r="AP243" s="31" t="str">
        <f>IFERROR(INDEX('G-7 Rivers Data'!$AZ$3:$AZ$7,MATCH(D243,'G-7 Rivers Data'!$AY$3:$AY$7,0)),"")</f>
        <v/>
      </c>
    </row>
    <row r="244" spans="3:42" ht="14" x14ac:dyDescent="0.3">
      <c r="C244" s="141">
        <v>235</v>
      </c>
      <c r="D244" s="460"/>
      <c r="E244" s="172"/>
      <c r="F244" s="498" t="str">
        <f>IF(D244="","",VLOOKUP(D244,'G-7 Rivers Data'!$B$2:$G$8,2,FALSE))</f>
        <v/>
      </c>
      <c r="G244" s="499" t="str">
        <f>IFERROR(VLOOKUP(F244,'G-7 Rivers Data'!$C$4:$D$8,2,FALSE),"")</f>
        <v/>
      </c>
      <c r="H244" s="145"/>
      <c r="I244" s="499" t="str">
        <f>IFERROR(INDEX('G-7 Rivers Data'!$H$4:$L$8,MATCH(D244,'G-7 Rivers Data'!$B$4:$B$8,0),MATCH(H244,'G-7 Rivers Data'!$H$3:$L$3,0)),"")</f>
        <v/>
      </c>
      <c r="J244" s="418"/>
      <c r="K244" s="498" t="str">
        <f>IF(J244="","",IF(VLOOKUP(J244,'G-7 Rivers Data'!$AK$4:$AM$9,2,FALSE)=0,"Spatial Data Missing ⚠",VLOOKUP(J244,'G-7 Rivers Data'!$AK$4:$AM$9,2,FALSE)))</f>
        <v/>
      </c>
      <c r="L244" s="505" t="str">
        <f>IF(J244="","",IF(VLOOKUP(J244,'G-7 Rivers Data'!$AK$4:$AM$9,3,FALSE)=0,"Spatial Data Missing ⚠",VLOOKUP(J244,'G-7 Rivers Data'!$AK$4:$AM$9,3,FALSE)))</f>
        <v/>
      </c>
      <c r="M244" s="71"/>
      <c r="N244" s="499" t="str">
        <f>IF(M244="","",IF(VLOOKUP(M244,'G-7 Rivers Data'!$AA$4:$AB$7,2,FALSE)=0,"Spatial Data Missing ⚠",VLOOKUP(M244,'G-7 Rivers Data'!$AA$4:$AB$7,2,FALSE)))</f>
        <v/>
      </c>
      <c r="O244" s="155"/>
      <c r="P244" s="499" t="str">
        <f>IF(O244="","",IF(VLOOKUP(O244,'G-7 Rivers Data'!$AD$4:$AE$8,2,FALSE)=0,"Spatial Data Missing ⚠",VLOOKUP(O244,'G-7 Rivers Data'!$AD$4:$AE$8,2,FALSE)))</f>
        <v/>
      </c>
      <c r="Q244" s="506" t="str">
        <f>IF(D244="","",VLOOKUP(D244,'G-7 Rivers Data'!$B$2:$G$8,6,FALSE))</f>
        <v/>
      </c>
      <c r="R244" s="513" t="str">
        <f t="shared" si="24"/>
        <v/>
      </c>
      <c r="S244" s="40"/>
      <c r="T244" s="145"/>
      <c r="U244" s="157"/>
      <c r="V244" s="511" t="str">
        <f t="shared" si="25"/>
        <v/>
      </c>
      <c r="W244" s="511" t="str">
        <f t="shared" si="26"/>
        <v/>
      </c>
      <c r="X244" s="511" t="str">
        <f t="shared" si="27"/>
        <v/>
      </c>
      <c r="Y244" s="515" t="str">
        <f t="shared" si="28"/>
        <v/>
      </c>
      <c r="Z244" s="151"/>
      <c r="AA244" s="152"/>
      <c r="AG244" s="31">
        <f t="shared" si="29"/>
        <v>0</v>
      </c>
      <c r="AH244" s="156" t="str">
        <f t="shared" si="30"/>
        <v/>
      </c>
      <c r="AI244" s="156" t="str">
        <f t="shared" si="31"/>
        <v/>
      </c>
      <c r="AK244" s="156">
        <v>235</v>
      </c>
      <c r="AM244" s="156" t="str">
        <f t="array" ref="AM244">IFERROR(INDEX($AK$10:$AK$258, MATCH(0, IF(TRUE=$AH$10:$AH$258, COUNTIF($AM$9:$AM243, $AK$10:$AK$258), ""), 0)),"")</f>
        <v/>
      </c>
      <c r="AN244" s="156" t="str">
        <f t="array" ref="AN244">IFERROR(INDEX($AK$10:$AK$258, MATCH(0, IF(TRUE=$AI$10:$AI$258, COUNTIF($AN$9:$AN243, $AK$10:$AK$258), ""), 0)),"")</f>
        <v/>
      </c>
      <c r="AP244" s="31" t="str">
        <f>IFERROR(INDEX('G-7 Rivers Data'!$AZ$3:$AZ$7,MATCH(D244,'G-7 Rivers Data'!$AY$3:$AY$7,0)),"")</f>
        <v/>
      </c>
    </row>
    <row r="245" spans="3:42" ht="14" x14ac:dyDescent="0.3">
      <c r="C245" s="141">
        <v>236</v>
      </c>
      <c r="D245" s="460"/>
      <c r="E245" s="172"/>
      <c r="F245" s="498" t="str">
        <f>IF(D245="","",VLOOKUP(D245,'G-7 Rivers Data'!$B$2:$G$8,2,FALSE))</f>
        <v/>
      </c>
      <c r="G245" s="499" t="str">
        <f>IFERROR(VLOOKUP(F245,'G-7 Rivers Data'!$C$4:$D$8,2,FALSE),"")</f>
        <v/>
      </c>
      <c r="H245" s="145"/>
      <c r="I245" s="499" t="str">
        <f>IFERROR(INDEX('G-7 Rivers Data'!$H$4:$L$8,MATCH(D245,'G-7 Rivers Data'!$B$4:$B$8,0),MATCH(H245,'G-7 Rivers Data'!$H$3:$L$3,0)),"")</f>
        <v/>
      </c>
      <c r="J245" s="418"/>
      <c r="K245" s="498" t="str">
        <f>IF(J245="","",IF(VLOOKUP(J245,'G-7 Rivers Data'!$AK$4:$AM$9,2,FALSE)=0,"Spatial Data Missing ⚠",VLOOKUP(J245,'G-7 Rivers Data'!$AK$4:$AM$9,2,FALSE)))</f>
        <v/>
      </c>
      <c r="L245" s="505" t="str">
        <f>IF(J245="","",IF(VLOOKUP(J245,'G-7 Rivers Data'!$AK$4:$AM$9,3,FALSE)=0,"Spatial Data Missing ⚠",VLOOKUP(J245,'G-7 Rivers Data'!$AK$4:$AM$9,3,FALSE)))</f>
        <v/>
      </c>
      <c r="M245" s="71"/>
      <c r="N245" s="499" t="str">
        <f>IF(M245="","",IF(VLOOKUP(M245,'G-7 Rivers Data'!$AA$4:$AB$7,2,FALSE)=0,"Spatial Data Missing ⚠",VLOOKUP(M245,'G-7 Rivers Data'!$AA$4:$AB$7,2,FALSE)))</f>
        <v/>
      </c>
      <c r="O245" s="155"/>
      <c r="P245" s="499" t="str">
        <f>IF(O245="","",IF(VLOOKUP(O245,'G-7 Rivers Data'!$AD$4:$AE$8,2,FALSE)=0,"Spatial Data Missing ⚠",VLOOKUP(O245,'G-7 Rivers Data'!$AD$4:$AE$8,2,FALSE)))</f>
        <v/>
      </c>
      <c r="Q245" s="506" t="str">
        <f>IF(D245="","",VLOOKUP(D245,'G-7 Rivers Data'!$B$2:$G$8,6,FALSE))</f>
        <v/>
      </c>
      <c r="R245" s="513" t="str">
        <f t="shared" si="24"/>
        <v/>
      </c>
      <c r="S245" s="40"/>
      <c r="T245" s="145"/>
      <c r="U245" s="157"/>
      <c r="V245" s="511" t="str">
        <f t="shared" si="25"/>
        <v/>
      </c>
      <c r="W245" s="511" t="str">
        <f t="shared" si="26"/>
        <v/>
      </c>
      <c r="X245" s="511" t="str">
        <f t="shared" si="27"/>
        <v/>
      </c>
      <c r="Y245" s="515" t="str">
        <f t="shared" si="28"/>
        <v/>
      </c>
      <c r="Z245" s="151"/>
      <c r="AA245" s="152"/>
      <c r="AG245" s="31">
        <f t="shared" si="29"/>
        <v>0</v>
      </c>
      <c r="AH245" s="156" t="str">
        <f t="shared" si="30"/>
        <v/>
      </c>
      <c r="AI245" s="156" t="str">
        <f t="shared" si="31"/>
        <v/>
      </c>
      <c r="AK245" s="156">
        <v>236</v>
      </c>
      <c r="AM245" s="156" t="str">
        <f t="array" ref="AM245">IFERROR(INDEX($AK$10:$AK$258, MATCH(0, IF(TRUE=$AH$10:$AH$258, COUNTIF($AM$9:$AM244, $AK$10:$AK$258), ""), 0)),"")</f>
        <v/>
      </c>
      <c r="AN245" s="156" t="str">
        <f t="array" ref="AN245">IFERROR(INDEX($AK$10:$AK$258, MATCH(0, IF(TRUE=$AI$10:$AI$258, COUNTIF($AN$9:$AN244, $AK$10:$AK$258), ""), 0)),"")</f>
        <v/>
      </c>
      <c r="AP245" s="31" t="str">
        <f>IFERROR(INDEX('G-7 Rivers Data'!$AZ$3:$AZ$7,MATCH(D245,'G-7 Rivers Data'!$AY$3:$AY$7,0)),"")</f>
        <v/>
      </c>
    </row>
    <row r="246" spans="3:42" ht="14" x14ac:dyDescent="0.3">
      <c r="C246" s="141">
        <v>237</v>
      </c>
      <c r="D246" s="460"/>
      <c r="E246" s="172"/>
      <c r="F246" s="498" t="str">
        <f>IF(D246="","",VLOOKUP(D246,'G-7 Rivers Data'!$B$2:$G$8,2,FALSE))</f>
        <v/>
      </c>
      <c r="G246" s="499" t="str">
        <f>IFERROR(VLOOKUP(F246,'G-7 Rivers Data'!$C$4:$D$8,2,FALSE),"")</f>
        <v/>
      </c>
      <c r="H246" s="145"/>
      <c r="I246" s="499" t="str">
        <f>IFERROR(INDEX('G-7 Rivers Data'!$H$4:$L$8,MATCH(D246,'G-7 Rivers Data'!$B$4:$B$8,0),MATCH(H246,'G-7 Rivers Data'!$H$3:$L$3,0)),"")</f>
        <v/>
      </c>
      <c r="J246" s="418"/>
      <c r="K246" s="498" t="str">
        <f>IF(J246="","",IF(VLOOKUP(J246,'G-7 Rivers Data'!$AK$4:$AM$9,2,FALSE)=0,"Spatial Data Missing ⚠",VLOOKUP(J246,'G-7 Rivers Data'!$AK$4:$AM$9,2,FALSE)))</f>
        <v/>
      </c>
      <c r="L246" s="505" t="str">
        <f>IF(J246="","",IF(VLOOKUP(J246,'G-7 Rivers Data'!$AK$4:$AM$9,3,FALSE)=0,"Spatial Data Missing ⚠",VLOOKUP(J246,'G-7 Rivers Data'!$AK$4:$AM$9,3,FALSE)))</f>
        <v/>
      </c>
      <c r="M246" s="71"/>
      <c r="N246" s="499" t="str">
        <f>IF(M246="","",IF(VLOOKUP(M246,'G-7 Rivers Data'!$AA$4:$AB$7,2,FALSE)=0,"Spatial Data Missing ⚠",VLOOKUP(M246,'G-7 Rivers Data'!$AA$4:$AB$7,2,FALSE)))</f>
        <v/>
      </c>
      <c r="O246" s="155"/>
      <c r="P246" s="499" t="str">
        <f>IF(O246="","",IF(VLOOKUP(O246,'G-7 Rivers Data'!$AD$4:$AE$8,2,FALSE)=0,"Spatial Data Missing ⚠",VLOOKUP(O246,'G-7 Rivers Data'!$AD$4:$AE$8,2,FALSE)))</f>
        <v/>
      </c>
      <c r="Q246" s="506" t="str">
        <f>IF(D246="","",VLOOKUP(D246,'G-7 Rivers Data'!$B$2:$G$8,6,FALSE))</f>
        <v/>
      </c>
      <c r="R246" s="513" t="str">
        <f t="shared" si="24"/>
        <v/>
      </c>
      <c r="S246" s="40"/>
      <c r="T246" s="145"/>
      <c r="U246" s="157"/>
      <c r="V246" s="511" t="str">
        <f t="shared" si="25"/>
        <v/>
      </c>
      <c r="W246" s="511" t="str">
        <f t="shared" si="26"/>
        <v/>
      </c>
      <c r="X246" s="511" t="str">
        <f t="shared" si="27"/>
        <v/>
      </c>
      <c r="Y246" s="515" t="str">
        <f t="shared" si="28"/>
        <v/>
      </c>
      <c r="Z246" s="151"/>
      <c r="AA246" s="152"/>
      <c r="AG246" s="31">
        <f t="shared" si="29"/>
        <v>0</v>
      </c>
      <c r="AH246" s="156" t="str">
        <f t="shared" si="30"/>
        <v/>
      </c>
      <c r="AI246" s="156" t="str">
        <f t="shared" si="31"/>
        <v/>
      </c>
      <c r="AK246" s="156">
        <v>237</v>
      </c>
      <c r="AM246" s="156" t="str">
        <f t="array" ref="AM246">IFERROR(INDEX($AK$10:$AK$258, MATCH(0, IF(TRUE=$AH$10:$AH$258, COUNTIF($AM$9:$AM245, $AK$10:$AK$258), ""), 0)),"")</f>
        <v/>
      </c>
      <c r="AN246" s="156" t="str">
        <f t="array" ref="AN246">IFERROR(INDEX($AK$10:$AK$258, MATCH(0, IF(TRUE=$AI$10:$AI$258, COUNTIF($AN$9:$AN245, $AK$10:$AK$258), ""), 0)),"")</f>
        <v/>
      </c>
      <c r="AP246" s="31" t="str">
        <f>IFERROR(INDEX('G-7 Rivers Data'!$AZ$3:$AZ$7,MATCH(D246,'G-7 Rivers Data'!$AY$3:$AY$7,0)),"")</f>
        <v/>
      </c>
    </row>
    <row r="247" spans="3:42" ht="14" x14ac:dyDescent="0.3">
      <c r="C247" s="141">
        <v>238</v>
      </c>
      <c r="D247" s="460"/>
      <c r="E247" s="172"/>
      <c r="F247" s="498" t="str">
        <f>IF(D247="","",VLOOKUP(D247,'G-7 Rivers Data'!$B$2:$G$8,2,FALSE))</f>
        <v/>
      </c>
      <c r="G247" s="499" t="str">
        <f>IFERROR(VLOOKUP(F247,'G-7 Rivers Data'!$C$4:$D$8,2,FALSE),"")</f>
        <v/>
      </c>
      <c r="H247" s="145"/>
      <c r="I247" s="499" t="str">
        <f>IFERROR(INDEX('G-7 Rivers Data'!$H$4:$L$8,MATCH(D247,'G-7 Rivers Data'!$B$4:$B$8,0),MATCH(H247,'G-7 Rivers Data'!$H$3:$L$3,0)),"")</f>
        <v/>
      </c>
      <c r="J247" s="418"/>
      <c r="K247" s="498" t="str">
        <f>IF(J247="","",IF(VLOOKUP(J247,'G-7 Rivers Data'!$AK$4:$AM$9,2,FALSE)=0,"Spatial Data Missing ⚠",VLOOKUP(J247,'G-7 Rivers Data'!$AK$4:$AM$9,2,FALSE)))</f>
        <v/>
      </c>
      <c r="L247" s="505" t="str">
        <f>IF(J247="","",IF(VLOOKUP(J247,'G-7 Rivers Data'!$AK$4:$AM$9,3,FALSE)=0,"Spatial Data Missing ⚠",VLOOKUP(J247,'G-7 Rivers Data'!$AK$4:$AM$9,3,FALSE)))</f>
        <v/>
      </c>
      <c r="M247" s="71"/>
      <c r="N247" s="499" t="str">
        <f>IF(M247="","",IF(VLOOKUP(M247,'G-7 Rivers Data'!$AA$4:$AB$7,2,FALSE)=0,"Spatial Data Missing ⚠",VLOOKUP(M247,'G-7 Rivers Data'!$AA$4:$AB$7,2,FALSE)))</f>
        <v/>
      </c>
      <c r="O247" s="155"/>
      <c r="P247" s="499" t="str">
        <f>IF(O247="","",IF(VLOOKUP(O247,'G-7 Rivers Data'!$AD$4:$AE$8,2,FALSE)=0,"Spatial Data Missing ⚠",VLOOKUP(O247,'G-7 Rivers Data'!$AD$4:$AE$8,2,FALSE)))</f>
        <v/>
      </c>
      <c r="Q247" s="506" t="str">
        <f>IF(D247="","",VLOOKUP(D247,'G-7 Rivers Data'!$B$2:$G$8,6,FALSE))</f>
        <v/>
      </c>
      <c r="R247" s="513" t="str">
        <f t="shared" si="24"/>
        <v/>
      </c>
      <c r="S247" s="40"/>
      <c r="T247" s="145"/>
      <c r="U247" s="157"/>
      <c r="V247" s="511" t="str">
        <f t="shared" si="25"/>
        <v/>
      </c>
      <c r="W247" s="511" t="str">
        <f t="shared" si="26"/>
        <v/>
      </c>
      <c r="X247" s="511" t="str">
        <f t="shared" si="27"/>
        <v/>
      </c>
      <c r="Y247" s="515" t="str">
        <f t="shared" si="28"/>
        <v/>
      </c>
      <c r="Z247" s="151"/>
      <c r="AA247" s="152"/>
      <c r="AG247" s="31">
        <f t="shared" si="29"/>
        <v>0</v>
      </c>
      <c r="AH247" s="156" t="str">
        <f t="shared" si="30"/>
        <v/>
      </c>
      <c r="AI247" s="156" t="str">
        <f t="shared" si="31"/>
        <v/>
      </c>
      <c r="AK247" s="156">
        <v>238</v>
      </c>
      <c r="AM247" s="156" t="str">
        <f t="array" ref="AM247">IFERROR(INDEX($AK$10:$AK$258, MATCH(0, IF(TRUE=$AH$10:$AH$258, COUNTIF($AM$9:$AM246, $AK$10:$AK$258), ""), 0)),"")</f>
        <v/>
      </c>
      <c r="AN247" s="156" t="str">
        <f t="array" ref="AN247">IFERROR(INDEX($AK$10:$AK$258, MATCH(0, IF(TRUE=$AI$10:$AI$258, COUNTIF($AN$9:$AN246, $AK$10:$AK$258), ""), 0)),"")</f>
        <v/>
      </c>
      <c r="AP247" s="31" t="str">
        <f>IFERROR(INDEX('G-7 Rivers Data'!$AZ$3:$AZ$7,MATCH(D247,'G-7 Rivers Data'!$AY$3:$AY$7,0)),"")</f>
        <v/>
      </c>
    </row>
    <row r="248" spans="3:42" ht="14" x14ac:dyDescent="0.3">
      <c r="C248" s="141">
        <v>239</v>
      </c>
      <c r="D248" s="460"/>
      <c r="E248" s="172"/>
      <c r="F248" s="498" t="str">
        <f>IF(D248="","",VLOOKUP(D248,'G-7 Rivers Data'!$B$2:$G$8,2,FALSE))</f>
        <v/>
      </c>
      <c r="G248" s="499" t="str">
        <f>IFERROR(VLOOKUP(F248,'G-7 Rivers Data'!$C$4:$D$8,2,FALSE),"")</f>
        <v/>
      </c>
      <c r="H248" s="145"/>
      <c r="I248" s="499" t="str">
        <f>IFERROR(INDEX('G-7 Rivers Data'!$H$4:$L$8,MATCH(D248,'G-7 Rivers Data'!$B$4:$B$8,0),MATCH(H248,'G-7 Rivers Data'!$H$3:$L$3,0)),"")</f>
        <v/>
      </c>
      <c r="J248" s="418"/>
      <c r="K248" s="498" t="str">
        <f>IF(J248="","",IF(VLOOKUP(J248,'G-7 Rivers Data'!$AK$4:$AM$9,2,FALSE)=0,"Spatial Data Missing ⚠",VLOOKUP(J248,'G-7 Rivers Data'!$AK$4:$AM$9,2,FALSE)))</f>
        <v/>
      </c>
      <c r="L248" s="505" t="str">
        <f>IF(J248="","",IF(VLOOKUP(J248,'G-7 Rivers Data'!$AK$4:$AM$9,3,FALSE)=0,"Spatial Data Missing ⚠",VLOOKUP(J248,'G-7 Rivers Data'!$AK$4:$AM$9,3,FALSE)))</f>
        <v/>
      </c>
      <c r="M248" s="71"/>
      <c r="N248" s="499" t="str">
        <f>IF(M248="","",IF(VLOOKUP(M248,'G-7 Rivers Data'!$AA$4:$AB$7,2,FALSE)=0,"Spatial Data Missing ⚠",VLOOKUP(M248,'G-7 Rivers Data'!$AA$4:$AB$7,2,FALSE)))</f>
        <v/>
      </c>
      <c r="O248" s="155"/>
      <c r="P248" s="499" t="str">
        <f>IF(O248="","",IF(VLOOKUP(O248,'G-7 Rivers Data'!$AD$4:$AE$8,2,FALSE)=0,"Spatial Data Missing ⚠",VLOOKUP(O248,'G-7 Rivers Data'!$AD$4:$AE$8,2,FALSE)))</f>
        <v/>
      </c>
      <c r="Q248" s="506" t="str">
        <f>IF(D248="","",VLOOKUP(D248,'G-7 Rivers Data'!$B$2:$G$8,6,FALSE))</f>
        <v/>
      </c>
      <c r="R248" s="513" t="str">
        <f t="shared" si="24"/>
        <v/>
      </c>
      <c r="S248" s="40"/>
      <c r="T248" s="145"/>
      <c r="U248" s="157"/>
      <c r="V248" s="511" t="str">
        <f t="shared" si="25"/>
        <v/>
      </c>
      <c r="W248" s="511" t="str">
        <f t="shared" si="26"/>
        <v/>
      </c>
      <c r="X248" s="511" t="str">
        <f t="shared" si="27"/>
        <v/>
      </c>
      <c r="Y248" s="515" t="str">
        <f t="shared" si="28"/>
        <v/>
      </c>
      <c r="Z248" s="151"/>
      <c r="AA248" s="152"/>
      <c r="AG248" s="31">
        <f t="shared" si="29"/>
        <v>0</v>
      </c>
      <c r="AH248" s="156" t="str">
        <f t="shared" si="30"/>
        <v/>
      </c>
      <c r="AI248" s="156" t="str">
        <f t="shared" si="31"/>
        <v/>
      </c>
      <c r="AK248" s="156">
        <v>239</v>
      </c>
      <c r="AM248" s="156" t="str">
        <f t="array" ref="AM248">IFERROR(INDEX($AK$10:$AK$258, MATCH(0, IF(TRUE=$AH$10:$AH$258, COUNTIF($AM$9:$AM247, $AK$10:$AK$258), ""), 0)),"")</f>
        <v/>
      </c>
      <c r="AN248" s="156" t="str">
        <f t="array" ref="AN248">IFERROR(INDEX($AK$10:$AK$258, MATCH(0, IF(TRUE=$AI$10:$AI$258, COUNTIF($AN$9:$AN247, $AK$10:$AK$258), ""), 0)),"")</f>
        <v/>
      </c>
      <c r="AP248" s="31" t="str">
        <f>IFERROR(INDEX('G-7 Rivers Data'!$AZ$3:$AZ$7,MATCH(D248,'G-7 Rivers Data'!$AY$3:$AY$7,0)),"")</f>
        <v/>
      </c>
    </row>
    <row r="249" spans="3:42" ht="14" x14ac:dyDescent="0.3">
      <c r="C249" s="141">
        <v>240</v>
      </c>
      <c r="D249" s="460"/>
      <c r="E249" s="172"/>
      <c r="F249" s="498" t="str">
        <f>IF(D249="","",VLOOKUP(D249,'G-7 Rivers Data'!$B$2:$G$8,2,FALSE))</f>
        <v/>
      </c>
      <c r="G249" s="499" t="str">
        <f>IFERROR(VLOOKUP(F249,'G-7 Rivers Data'!$C$4:$D$8,2,FALSE),"")</f>
        <v/>
      </c>
      <c r="H249" s="145"/>
      <c r="I249" s="499" t="str">
        <f>IFERROR(INDEX('G-7 Rivers Data'!$H$4:$L$8,MATCH(D249,'G-7 Rivers Data'!$B$4:$B$8,0),MATCH(H249,'G-7 Rivers Data'!$H$3:$L$3,0)),"")</f>
        <v/>
      </c>
      <c r="J249" s="418"/>
      <c r="K249" s="498" t="str">
        <f>IF(J249="","",IF(VLOOKUP(J249,'G-7 Rivers Data'!$AK$4:$AM$9,2,FALSE)=0,"Spatial Data Missing ⚠",VLOOKUP(J249,'G-7 Rivers Data'!$AK$4:$AM$9,2,FALSE)))</f>
        <v/>
      </c>
      <c r="L249" s="505" t="str">
        <f>IF(J249="","",IF(VLOOKUP(J249,'G-7 Rivers Data'!$AK$4:$AM$9,3,FALSE)=0,"Spatial Data Missing ⚠",VLOOKUP(J249,'G-7 Rivers Data'!$AK$4:$AM$9,3,FALSE)))</f>
        <v/>
      </c>
      <c r="M249" s="71"/>
      <c r="N249" s="499" t="str">
        <f>IF(M249="","",IF(VLOOKUP(M249,'G-7 Rivers Data'!$AA$4:$AB$7,2,FALSE)=0,"Spatial Data Missing ⚠",VLOOKUP(M249,'G-7 Rivers Data'!$AA$4:$AB$7,2,FALSE)))</f>
        <v/>
      </c>
      <c r="O249" s="155"/>
      <c r="P249" s="499" t="str">
        <f>IF(O249="","",IF(VLOOKUP(O249,'G-7 Rivers Data'!$AD$4:$AE$8,2,FALSE)=0,"Spatial Data Missing ⚠",VLOOKUP(O249,'G-7 Rivers Data'!$AD$4:$AE$8,2,FALSE)))</f>
        <v/>
      </c>
      <c r="Q249" s="506" t="str">
        <f>IF(D249="","",VLOOKUP(D249,'G-7 Rivers Data'!$B$2:$G$8,6,FALSE))</f>
        <v/>
      </c>
      <c r="R249" s="513" t="str">
        <f t="shared" si="24"/>
        <v/>
      </c>
      <c r="S249" s="40"/>
      <c r="T249" s="145"/>
      <c r="U249" s="157"/>
      <c r="V249" s="511" t="str">
        <f t="shared" si="25"/>
        <v/>
      </c>
      <c r="W249" s="511" t="str">
        <f t="shared" si="26"/>
        <v/>
      </c>
      <c r="X249" s="511" t="str">
        <f t="shared" si="27"/>
        <v/>
      </c>
      <c r="Y249" s="515" t="str">
        <f t="shared" si="28"/>
        <v/>
      </c>
      <c r="Z249" s="151"/>
      <c r="AA249" s="152"/>
      <c r="AG249" s="31">
        <f t="shared" si="29"/>
        <v>0</v>
      </c>
      <c r="AH249" s="156" t="str">
        <f t="shared" si="30"/>
        <v/>
      </c>
      <c r="AI249" s="156" t="str">
        <f t="shared" si="31"/>
        <v/>
      </c>
      <c r="AK249" s="156">
        <v>240</v>
      </c>
      <c r="AM249" s="156" t="str">
        <f t="array" ref="AM249">IFERROR(INDEX($AK$10:$AK$258, MATCH(0, IF(TRUE=$AH$10:$AH$258, COUNTIF($AM$9:$AM248, $AK$10:$AK$258), ""), 0)),"")</f>
        <v/>
      </c>
      <c r="AN249" s="156" t="str">
        <f t="array" ref="AN249">IFERROR(INDEX($AK$10:$AK$258, MATCH(0, IF(TRUE=$AI$10:$AI$258, COUNTIF($AN$9:$AN248, $AK$10:$AK$258), ""), 0)),"")</f>
        <v/>
      </c>
      <c r="AP249" s="31" t="str">
        <f>IFERROR(INDEX('G-7 Rivers Data'!$AZ$3:$AZ$7,MATCH(D249,'G-7 Rivers Data'!$AY$3:$AY$7,0)),"")</f>
        <v/>
      </c>
    </row>
    <row r="250" spans="3:42" ht="14" x14ac:dyDescent="0.3">
      <c r="C250" s="141">
        <v>241</v>
      </c>
      <c r="D250" s="460"/>
      <c r="E250" s="172"/>
      <c r="F250" s="498" t="str">
        <f>IF(D250="","",VLOOKUP(D250,'G-7 Rivers Data'!$B$2:$G$8,2,FALSE))</f>
        <v/>
      </c>
      <c r="G250" s="499" t="str">
        <f>IFERROR(VLOOKUP(F250,'G-7 Rivers Data'!$C$4:$D$8,2,FALSE),"")</f>
        <v/>
      </c>
      <c r="H250" s="145"/>
      <c r="I250" s="499" t="str">
        <f>IFERROR(INDEX('G-7 Rivers Data'!$H$4:$L$8,MATCH(D250,'G-7 Rivers Data'!$B$4:$B$8,0),MATCH(H250,'G-7 Rivers Data'!$H$3:$L$3,0)),"")</f>
        <v/>
      </c>
      <c r="J250" s="418"/>
      <c r="K250" s="498" t="str">
        <f>IF(J250="","",IF(VLOOKUP(J250,'G-7 Rivers Data'!$AK$4:$AM$9,2,FALSE)=0,"Spatial Data Missing ⚠",VLOOKUP(J250,'G-7 Rivers Data'!$AK$4:$AM$9,2,FALSE)))</f>
        <v/>
      </c>
      <c r="L250" s="505" t="str">
        <f>IF(J250="","",IF(VLOOKUP(J250,'G-7 Rivers Data'!$AK$4:$AM$9,3,FALSE)=0,"Spatial Data Missing ⚠",VLOOKUP(J250,'G-7 Rivers Data'!$AK$4:$AM$9,3,FALSE)))</f>
        <v/>
      </c>
      <c r="M250" s="71"/>
      <c r="N250" s="499" t="str">
        <f>IF(M250="","",IF(VLOOKUP(M250,'G-7 Rivers Data'!$AA$4:$AB$7,2,FALSE)=0,"Spatial Data Missing ⚠",VLOOKUP(M250,'G-7 Rivers Data'!$AA$4:$AB$7,2,FALSE)))</f>
        <v/>
      </c>
      <c r="O250" s="155"/>
      <c r="P250" s="499" t="str">
        <f>IF(O250="","",IF(VLOOKUP(O250,'G-7 Rivers Data'!$AD$4:$AE$8,2,FALSE)=0,"Spatial Data Missing ⚠",VLOOKUP(O250,'G-7 Rivers Data'!$AD$4:$AE$8,2,FALSE)))</f>
        <v/>
      </c>
      <c r="Q250" s="506" t="str">
        <f>IF(D250="","",VLOOKUP(D250,'G-7 Rivers Data'!$B$2:$G$8,6,FALSE))</f>
        <v/>
      </c>
      <c r="R250" s="513" t="str">
        <f t="shared" si="24"/>
        <v/>
      </c>
      <c r="S250" s="40"/>
      <c r="T250" s="145"/>
      <c r="U250" s="157"/>
      <c r="V250" s="511" t="str">
        <f t="shared" si="25"/>
        <v/>
      </c>
      <c r="W250" s="511" t="str">
        <f t="shared" si="26"/>
        <v/>
      </c>
      <c r="X250" s="511" t="str">
        <f t="shared" si="27"/>
        <v/>
      </c>
      <c r="Y250" s="515" t="str">
        <f t="shared" si="28"/>
        <v/>
      </c>
      <c r="Z250" s="151"/>
      <c r="AA250" s="152"/>
      <c r="AG250" s="31">
        <f t="shared" si="29"/>
        <v>0</v>
      </c>
      <c r="AH250" s="156" t="str">
        <f t="shared" si="30"/>
        <v/>
      </c>
      <c r="AI250" s="156" t="str">
        <f t="shared" si="31"/>
        <v/>
      </c>
      <c r="AK250" s="156">
        <v>241</v>
      </c>
      <c r="AM250" s="156" t="str">
        <f t="array" ref="AM250">IFERROR(INDEX($AK$10:$AK$258, MATCH(0, IF(TRUE=$AH$10:$AH$258, COUNTIF($AM$9:$AM249, $AK$10:$AK$258), ""), 0)),"")</f>
        <v/>
      </c>
      <c r="AN250" s="156" t="str">
        <f t="array" ref="AN250">IFERROR(INDEX($AK$10:$AK$258, MATCH(0, IF(TRUE=$AI$10:$AI$258, COUNTIF($AN$9:$AN249, $AK$10:$AK$258), ""), 0)),"")</f>
        <v/>
      </c>
      <c r="AP250" s="31" t="str">
        <f>IFERROR(INDEX('G-7 Rivers Data'!$AZ$3:$AZ$7,MATCH(D250,'G-7 Rivers Data'!$AY$3:$AY$7,0)),"")</f>
        <v/>
      </c>
    </row>
    <row r="251" spans="3:42" ht="14" x14ac:dyDescent="0.3">
      <c r="C251" s="141">
        <v>242</v>
      </c>
      <c r="D251" s="460"/>
      <c r="E251" s="172"/>
      <c r="F251" s="498" t="str">
        <f>IF(D251="","",VLOOKUP(D251,'G-7 Rivers Data'!$B$2:$G$8,2,FALSE))</f>
        <v/>
      </c>
      <c r="G251" s="499" t="str">
        <f>IFERROR(VLOOKUP(F251,'G-7 Rivers Data'!$C$4:$D$8,2,FALSE),"")</f>
        <v/>
      </c>
      <c r="H251" s="145"/>
      <c r="I251" s="499" t="str">
        <f>IFERROR(INDEX('G-7 Rivers Data'!$H$4:$L$8,MATCH(D251,'G-7 Rivers Data'!$B$4:$B$8,0),MATCH(H251,'G-7 Rivers Data'!$H$3:$L$3,0)),"")</f>
        <v/>
      </c>
      <c r="J251" s="418"/>
      <c r="K251" s="498" t="str">
        <f>IF(J251="","",IF(VLOOKUP(J251,'G-7 Rivers Data'!$AK$4:$AM$9,2,FALSE)=0,"Spatial Data Missing ⚠",VLOOKUP(J251,'G-7 Rivers Data'!$AK$4:$AM$9,2,FALSE)))</f>
        <v/>
      </c>
      <c r="L251" s="505" t="str">
        <f>IF(J251="","",IF(VLOOKUP(J251,'G-7 Rivers Data'!$AK$4:$AM$9,3,FALSE)=0,"Spatial Data Missing ⚠",VLOOKUP(J251,'G-7 Rivers Data'!$AK$4:$AM$9,3,FALSE)))</f>
        <v/>
      </c>
      <c r="M251" s="71"/>
      <c r="N251" s="499" t="str">
        <f>IF(M251="","",IF(VLOOKUP(M251,'G-7 Rivers Data'!$AA$4:$AB$7,2,FALSE)=0,"Spatial Data Missing ⚠",VLOOKUP(M251,'G-7 Rivers Data'!$AA$4:$AB$7,2,FALSE)))</f>
        <v/>
      </c>
      <c r="O251" s="155"/>
      <c r="P251" s="499" t="str">
        <f>IF(O251="","",IF(VLOOKUP(O251,'G-7 Rivers Data'!$AD$4:$AE$8,2,FALSE)=0,"Spatial Data Missing ⚠",VLOOKUP(O251,'G-7 Rivers Data'!$AD$4:$AE$8,2,FALSE)))</f>
        <v/>
      </c>
      <c r="Q251" s="506" t="str">
        <f>IF(D251="","",VLOOKUP(D251,'G-7 Rivers Data'!$B$2:$G$8,6,FALSE))</f>
        <v/>
      </c>
      <c r="R251" s="513" t="str">
        <f t="shared" si="24"/>
        <v/>
      </c>
      <c r="S251" s="40"/>
      <c r="T251" s="145"/>
      <c r="U251" s="157"/>
      <c r="V251" s="511" t="str">
        <f t="shared" si="25"/>
        <v/>
      </c>
      <c r="W251" s="511" t="str">
        <f t="shared" si="26"/>
        <v/>
      </c>
      <c r="X251" s="511" t="str">
        <f t="shared" si="27"/>
        <v/>
      </c>
      <c r="Y251" s="515" t="str">
        <f t="shared" si="28"/>
        <v/>
      </c>
      <c r="Z251" s="151"/>
      <c r="AA251" s="152"/>
      <c r="AG251" s="31">
        <f t="shared" si="29"/>
        <v>0</v>
      </c>
      <c r="AH251" s="156" t="str">
        <f t="shared" si="30"/>
        <v/>
      </c>
      <c r="AI251" s="156" t="str">
        <f t="shared" si="31"/>
        <v/>
      </c>
      <c r="AK251" s="156">
        <v>242</v>
      </c>
      <c r="AM251" s="156" t="str">
        <f t="array" ref="AM251">IFERROR(INDEX($AK$10:$AK$258, MATCH(0, IF(TRUE=$AH$10:$AH$258, COUNTIF($AM$9:$AM250, $AK$10:$AK$258), ""), 0)),"")</f>
        <v/>
      </c>
      <c r="AN251" s="156" t="str">
        <f t="array" ref="AN251">IFERROR(INDEX($AK$10:$AK$258, MATCH(0, IF(TRUE=$AI$10:$AI$258, COUNTIF($AN$9:$AN250, $AK$10:$AK$258), ""), 0)),"")</f>
        <v/>
      </c>
      <c r="AP251" s="31" t="str">
        <f>IFERROR(INDEX('G-7 Rivers Data'!$AZ$3:$AZ$7,MATCH(D251,'G-7 Rivers Data'!$AY$3:$AY$7,0)),"")</f>
        <v/>
      </c>
    </row>
    <row r="252" spans="3:42" ht="14" x14ac:dyDescent="0.3">
      <c r="C252" s="141">
        <v>243</v>
      </c>
      <c r="D252" s="460"/>
      <c r="E252" s="172"/>
      <c r="F252" s="498" t="str">
        <f>IF(D252="","",VLOOKUP(D252,'G-7 Rivers Data'!$B$2:$G$8,2,FALSE))</f>
        <v/>
      </c>
      <c r="G252" s="499" t="str">
        <f>IFERROR(VLOOKUP(F252,'G-7 Rivers Data'!$C$4:$D$8,2,FALSE),"")</f>
        <v/>
      </c>
      <c r="H252" s="145"/>
      <c r="I252" s="499" t="str">
        <f>IFERROR(INDEX('G-7 Rivers Data'!$H$4:$L$8,MATCH(D252,'G-7 Rivers Data'!$B$4:$B$8,0),MATCH(H252,'G-7 Rivers Data'!$H$3:$L$3,0)),"")</f>
        <v/>
      </c>
      <c r="J252" s="418"/>
      <c r="K252" s="498" t="str">
        <f>IF(J252="","",IF(VLOOKUP(J252,'G-7 Rivers Data'!$AK$4:$AM$9,2,FALSE)=0,"Spatial Data Missing ⚠",VLOOKUP(J252,'G-7 Rivers Data'!$AK$4:$AM$9,2,FALSE)))</f>
        <v/>
      </c>
      <c r="L252" s="505" t="str">
        <f>IF(J252="","",IF(VLOOKUP(J252,'G-7 Rivers Data'!$AK$4:$AM$9,3,FALSE)=0,"Spatial Data Missing ⚠",VLOOKUP(J252,'G-7 Rivers Data'!$AK$4:$AM$9,3,FALSE)))</f>
        <v/>
      </c>
      <c r="M252" s="71"/>
      <c r="N252" s="499" t="str">
        <f>IF(M252="","",IF(VLOOKUP(M252,'G-7 Rivers Data'!$AA$4:$AB$7,2,FALSE)=0,"Spatial Data Missing ⚠",VLOOKUP(M252,'G-7 Rivers Data'!$AA$4:$AB$7,2,FALSE)))</f>
        <v/>
      </c>
      <c r="O252" s="155"/>
      <c r="P252" s="499" t="str">
        <f>IF(O252="","",IF(VLOOKUP(O252,'G-7 Rivers Data'!$AD$4:$AE$8,2,FALSE)=0,"Spatial Data Missing ⚠",VLOOKUP(O252,'G-7 Rivers Data'!$AD$4:$AE$8,2,FALSE)))</f>
        <v/>
      </c>
      <c r="Q252" s="506" t="str">
        <f>IF(D252="","",VLOOKUP(D252,'G-7 Rivers Data'!$B$2:$G$8,6,FALSE))</f>
        <v/>
      </c>
      <c r="R252" s="513" t="str">
        <f t="shared" si="24"/>
        <v/>
      </c>
      <c r="S252" s="40"/>
      <c r="T252" s="145"/>
      <c r="U252" s="157"/>
      <c r="V252" s="511" t="str">
        <f t="shared" si="25"/>
        <v/>
      </c>
      <c r="W252" s="511" t="str">
        <f t="shared" si="26"/>
        <v/>
      </c>
      <c r="X252" s="511" t="str">
        <f t="shared" si="27"/>
        <v/>
      </c>
      <c r="Y252" s="515" t="str">
        <f t="shared" si="28"/>
        <v/>
      </c>
      <c r="Z252" s="151"/>
      <c r="AA252" s="152"/>
      <c r="AG252" s="31">
        <f t="shared" si="29"/>
        <v>0</v>
      </c>
      <c r="AH252" s="156" t="str">
        <f t="shared" si="30"/>
        <v/>
      </c>
      <c r="AI252" s="156" t="str">
        <f t="shared" si="31"/>
        <v/>
      </c>
      <c r="AK252" s="156">
        <v>243</v>
      </c>
      <c r="AM252" s="156" t="str">
        <f t="array" ref="AM252">IFERROR(INDEX($AK$10:$AK$258, MATCH(0, IF(TRUE=$AH$10:$AH$258, COUNTIF($AM$9:$AM251, $AK$10:$AK$258), ""), 0)),"")</f>
        <v/>
      </c>
      <c r="AN252" s="156" t="str">
        <f t="array" ref="AN252">IFERROR(INDEX($AK$10:$AK$258, MATCH(0, IF(TRUE=$AI$10:$AI$258, COUNTIF($AN$9:$AN251, $AK$10:$AK$258), ""), 0)),"")</f>
        <v/>
      </c>
      <c r="AP252" s="31" t="str">
        <f>IFERROR(INDEX('G-7 Rivers Data'!$AZ$3:$AZ$7,MATCH(D252,'G-7 Rivers Data'!$AY$3:$AY$7,0)),"")</f>
        <v/>
      </c>
    </row>
    <row r="253" spans="3:42" ht="14" x14ac:dyDescent="0.3">
      <c r="C253" s="141">
        <v>244</v>
      </c>
      <c r="D253" s="460"/>
      <c r="E253" s="172"/>
      <c r="F253" s="498" t="str">
        <f>IF(D253="","",VLOOKUP(D253,'G-7 Rivers Data'!$B$2:$G$8,2,FALSE))</f>
        <v/>
      </c>
      <c r="G253" s="499" t="str">
        <f>IFERROR(VLOOKUP(F253,'G-7 Rivers Data'!$C$4:$D$8,2,FALSE),"")</f>
        <v/>
      </c>
      <c r="H253" s="145"/>
      <c r="I253" s="499" t="str">
        <f>IFERROR(INDEX('G-7 Rivers Data'!$H$4:$L$8,MATCH(D253,'G-7 Rivers Data'!$B$4:$B$8,0),MATCH(H253,'G-7 Rivers Data'!$H$3:$L$3,0)),"")</f>
        <v/>
      </c>
      <c r="J253" s="418"/>
      <c r="K253" s="498" t="str">
        <f>IF(J253="","",IF(VLOOKUP(J253,'G-7 Rivers Data'!$AK$4:$AM$9,2,FALSE)=0,"Spatial Data Missing ⚠",VLOOKUP(J253,'G-7 Rivers Data'!$AK$4:$AM$9,2,FALSE)))</f>
        <v/>
      </c>
      <c r="L253" s="505" t="str">
        <f>IF(J253="","",IF(VLOOKUP(J253,'G-7 Rivers Data'!$AK$4:$AM$9,3,FALSE)=0,"Spatial Data Missing ⚠",VLOOKUP(J253,'G-7 Rivers Data'!$AK$4:$AM$9,3,FALSE)))</f>
        <v/>
      </c>
      <c r="M253" s="71"/>
      <c r="N253" s="499" t="str">
        <f>IF(M253="","",IF(VLOOKUP(M253,'G-7 Rivers Data'!$AA$4:$AB$7,2,FALSE)=0,"Spatial Data Missing ⚠",VLOOKUP(M253,'G-7 Rivers Data'!$AA$4:$AB$7,2,FALSE)))</f>
        <v/>
      </c>
      <c r="O253" s="155"/>
      <c r="P253" s="499" t="str">
        <f>IF(O253="","",IF(VLOOKUP(O253,'G-7 Rivers Data'!$AD$4:$AE$8,2,FALSE)=0,"Spatial Data Missing ⚠",VLOOKUP(O253,'G-7 Rivers Data'!$AD$4:$AE$8,2,FALSE)))</f>
        <v/>
      </c>
      <c r="Q253" s="506" t="str">
        <f>IF(D253="","",VLOOKUP(D253,'G-7 Rivers Data'!$B$2:$G$8,6,FALSE))</f>
        <v/>
      </c>
      <c r="R253" s="513" t="str">
        <f t="shared" si="24"/>
        <v/>
      </c>
      <c r="S253" s="40"/>
      <c r="T253" s="145"/>
      <c r="U253" s="157"/>
      <c r="V253" s="511" t="str">
        <f t="shared" si="25"/>
        <v/>
      </c>
      <c r="W253" s="511" t="str">
        <f t="shared" si="26"/>
        <v/>
      </c>
      <c r="X253" s="511" t="str">
        <f t="shared" si="27"/>
        <v/>
      </c>
      <c r="Y253" s="515" t="str">
        <f t="shared" si="28"/>
        <v/>
      </c>
      <c r="Z253" s="151"/>
      <c r="AA253" s="152"/>
      <c r="AG253" s="31">
        <f t="shared" si="29"/>
        <v>0</v>
      </c>
      <c r="AH253" s="156" t="str">
        <f t="shared" si="30"/>
        <v/>
      </c>
      <c r="AI253" s="156" t="str">
        <f t="shared" si="31"/>
        <v/>
      </c>
      <c r="AK253" s="156">
        <v>244</v>
      </c>
      <c r="AM253" s="156" t="str">
        <f t="array" ref="AM253">IFERROR(INDEX($AK$10:$AK$258, MATCH(0, IF(TRUE=$AH$10:$AH$258, COUNTIF($AM$9:$AM252, $AK$10:$AK$258), ""), 0)),"")</f>
        <v/>
      </c>
      <c r="AN253" s="156" t="str">
        <f t="array" ref="AN253">IFERROR(INDEX($AK$10:$AK$258, MATCH(0, IF(TRUE=$AI$10:$AI$258, COUNTIF($AN$9:$AN252, $AK$10:$AK$258), ""), 0)),"")</f>
        <v/>
      </c>
      <c r="AP253" s="31" t="str">
        <f>IFERROR(INDEX('G-7 Rivers Data'!$AZ$3:$AZ$7,MATCH(D253,'G-7 Rivers Data'!$AY$3:$AY$7,0)),"")</f>
        <v/>
      </c>
    </row>
    <row r="254" spans="3:42" ht="14" x14ac:dyDescent="0.3">
      <c r="C254" s="141">
        <v>245</v>
      </c>
      <c r="D254" s="460"/>
      <c r="E254" s="172"/>
      <c r="F254" s="498" t="str">
        <f>IF(D254="","",VLOOKUP(D254,'G-7 Rivers Data'!$B$2:$G$8,2,FALSE))</f>
        <v/>
      </c>
      <c r="G254" s="499" t="str">
        <f>IFERROR(VLOOKUP(F254,'G-7 Rivers Data'!$C$4:$D$8,2,FALSE),"")</f>
        <v/>
      </c>
      <c r="H254" s="145"/>
      <c r="I254" s="499" t="str">
        <f>IFERROR(INDEX('G-7 Rivers Data'!$H$4:$L$8,MATCH(D254,'G-7 Rivers Data'!$B$4:$B$8,0),MATCH(H254,'G-7 Rivers Data'!$H$3:$L$3,0)),"")</f>
        <v/>
      </c>
      <c r="J254" s="418"/>
      <c r="K254" s="498" t="str">
        <f>IF(J254="","",IF(VLOOKUP(J254,'G-7 Rivers Data'!$AK$4:$AM$9,2,FALSE)=0,"Spatial Data Missing ⚠",VLOOKUP(J254,'G-7 Rivers Data'!$AK$4:$AM$9,2,FALSE)))</f>
        <v/>
      </c>
      <c r="L254" s="505" t="str">
        <f>IF(J254="","",IF(VLOOKUP(J254,'G-7 Rivers Data'!$AK$4:$AM$9,3,FALSE)=0,"Spatial Data Missing ⚠",VLOOKUP(J254,'G-7 Rivers Data'!$AK$4:$AM$9,3,FALSE)))</f>
        <v/>
      </c>
      <c r="M254" s="71"/>
      <c r="N254" s="499" t="str">
        <f>IF(M254="","",IF(VLOOKUP(M254,'G-7 Rivers Data'!$AA$4:$AB$7,2,FALSE)=0,"Spatial Data Missing ⚠",VLOOKUP(M254,'G-7 Rivers Data'!$AA$4:$AB$7,2,FALSE)))</f>
        <v/>
      </c>
      <c r="O254" s="155"/>
      <c r="P254" s="499" t="str">
        <f>IF(O254="","",IF(VLOOKUP(O254,'G-7 Rivers Data'!$AD$4:$AE$8,2,FALSE)=0,"Spatial Data Missing ⚠",VLOOKUP(O254,'G-7 Rivers Data'!$AD$4:$AE$8,2,FALSE)))</f>
        <v/>
      </c>
      <c r="Q254" s="506" t="str">
        <f>IF(D254="","",VLOOKUP(D254,'G-7 Rivers Data'!$B$2:$G$8,6,FALSE))</f>
        <v/>
      </c>
      <c r="R254" s="513" t="str">
        <f t="shared" si="24"/>
        <v/>
      </c>
      <c r="S254" s="40"/>
      <c r="T254" s="145"/>
      <c r="U254" s="157"/>
      <c r="V254" s="511" t="str">
        <f t="shared" si="25"/>
        <v/>
      </c>
      <c r="W254" s="511" t="str">
        <f t="shared" si="26"/>
        <v/>
      </c>
      <c r="X254" s="511" t="str">
        <f t="shared" si="27"/>
        <v/>
      </c>
      <c r="Y254" s="515" t="str">
        <f t="shared" si="28"/>
        <v/>
      </c>
      <c r="Z254" s="151"/>
      <c r="AA254" s="152"/>
      <c r="AG254" s="31">
        <f t="shared" si="29"/>
        <v>0</v>
      </c>
      <c r="AH254" s="156" t="str">
        <f t="shared" si="30"/>
        <v/>
      </c>
      <c r="AI254" s="156" t="str">
        <f t="shared" si="31"/>
        <v/>
      </c>
      <c r="AK254" s="156">
        <v>245</v>
      </c>
      <c r="AM254" s="156" t="str">
        <f t="array" ref="AM254">IFERROR(INDEX($AK$10:$AK$258, MATCH(0, IF(TRUE=$AH$10:$AH$258, COUNTIF($AM$9:$AM253, $AK$10:$AK$258), ""), 0)),"")</f>
        <v/>
      </c>
      <c r="AN254" s="156" t="str">
        <f t="array" ref="AN254">IFERROR(INDEX($AK$10:$AK$258, MATCH(0, IF(TRUE=$AI$10:$AI$258, COUNTIF($AN$9:$AN253, $AK$10:$AK$258), ""), 0)),"")</f>
        <v/>
      </c>
      <c r="AP254" s="31" t="str">
        <f>IFERROR(INDEX('G-7 Rivers Data'!$AZ$3:$AZ$7,MATCH(D254,'G-7 Rivers Data'!$AY$3:$AY$7,0)),"")</f>
        <v/>
      </c>
    </row>
    <row r="255" spans="3:42" ht="14" x14ac:dyDescent="0.3">
      <c r="C255" s="141">
        <v>246</v>
      </c>
      <c r="D255" s="460"/>
      <c r="E255" s="172"/>
      <c r="F255" s="498" t="str">
        <f>IF(D255="","",VLOOKUP(D255,'G-7 Rivers Data'!$B$2:$G$8,2,FALSE))</f>
        <v/>
      </c>
      <c r="G255" s="499" t="str">
        <f>IFERROR(VLOOKUP(F255,'G-7 Rivers Data'!$C$4:$D$8,2,FALSE),"")</f>
        <v/>
      </c>
      <c r="H255" s="145"/>
      <c r="I255" s="499" t="str">
        <f>IFERROR(INDEX('G-7 Rivers Data'!$H$4:$L$8,MATCH(D255,'G-7 Rivers Data'!$B$4:$B$8,0),MATCH(H255,'G-7 Rivers Data'!$H$3:$L$3,0)),"")</f>
        <v/>
      </c>
      <c r="J255" s="418"/>
      <c r="K255" s="498" t="str">
        <f>IF(J255="","",IF(VLOOKUP(J255,'G-7 Rivers Data'!$AK$4:$AM$9,2,FALSE)=0,"Spatial Data Missing ⚠",VLOOKUP(J255,'G-7 Rivers Data'!$AK$4:$AM$9,2,FALSE)))</f>
        <v/>
      </c>
      <c r="L255" s="505" t="str">
        <f>IF(J255="","",IF(VLOOKUP(J255,'G-7 Rivers Data'!$AK$4:$AM$9,3,FALSE)=0,"Spatial Data Missing ⚠",VLOOKUP(J255,'G-7 Rivers Data'!$AK$4:$AM$9,3,FALSE)))</f>
        <v/>
      </c>
      <c r="M255" s="71"/>
      <c r="N255" s="499" t="str">
        <f>IF(M255="","",IF(VLOOKUP(M255,'G-7 Rivers Data'!$AA$4:$AB$7,2,FALSE)=0,"Spatial Data Missing ⚠",VLOOKUP(M255,'G-7 Rivers Data'!$AA$4:$AB$7,2,FALSE)))</f>
        <v/>
      </c>
      <c r="O255" s="155"/>
      <c r="P255" s="499" t="str">
        <f>IF(O255="","",IF(VLOOKUP(O255,'G-7 Rivers Data'!$AD$4:$AE$8,2,FALSE)=0,"Spatial Data Missing ⚠",VLOOKUP(O255,'G-7 Rivers Data'!$AD$4:$AE$8,2,FALSE)))</f>
        <v/>
      </c>
      <c r="Q255" s="506" t="str">
        <f>IF(D255="","",VLOOKUP(D255,'G-7 Rivers Data'!$B$2:$G$8,6,FALSE))</f>
        <v/>
      </c>
      <c r="R255" s="513" t="str">
        <f t="shared" si="24"/>
        <v/>
      </c>
      <c r="S255" s="40"/>
      <c r="T255" s="145"/>
      <c r="U255" s="157"/>
      <c r="V255" s="511" t="str">
        <f t="shared" si="25"/>
        <v/>
      </c>
      <c r="W255" s="511" t="str">
        <f t="shared" si="26"/>
        <v/>
      </c>
      <c r="X255" s="511" t="str">
        <f t="shared" si="27"/>
        <v/>
      </c>
      <c r="Y255" s="515" t="str">
        <f t="shared" si="28"/>
        <v/>
      </c>
      <c r="Z255" s="151"/>
      <c r="AA255" s="152"/>
      <c r="AG255" s="31">
        <f t="shared" si="29"/>
        <v>0</v>
      </c>
      <c r="AH255" s="156" t="str">
        <f t="shared" si="30"/>
        <v/>
      </c>
      <c r="AI255" s="156" t="str">
        <f t="shared" si="31"/>
        <v/>
      </c>
      <c r="AK255" s="156">
        <v>246</v>
      </c>
      <c r="AM255" s="156" t="str">
        <f t="array" ref="AM255">IFERROR(INDEX($AK$10:$AK$258, MATCH(0, IF(TRUE=$AH$10:$AH$258, COUNTIF($AM$9:$AM254, $AK$10:$AK$258), ""), 0)),"")</f>
        <v/>
      </c>
      <c r="AN255" s="156" t="str">
        <f t="array" ref="AN255">IFERROR(INDEX($AK$10:$AK$258, MATCH(0, IF(TRUE=$AI$10:$AI$258, COUNTIF($AN$9:$AN254, $AK$10:$AK$258), ""), 0)),"")</f>
        <v/>
      </c>
      <c r="AP255" s="31" t="str">
        <f>IFERROR(INDEX('G-7 Rivers Data'!$AZ$3:$AZ$7,MATCH(D255,'G-7 Rivers Data'!$AY$3:$AY$7,0)),"")</f>
        <v/>
      </c>
    </row>
    <row r="256" spans="3:42" ht="13.9" customHeight="1" x14ac:dyDescent="0.3">
      <c r="C256" s="141">
        <v>247</v>
      </c>
      <c r="D256" s="460"/>
      <c r="E256" s="172"/>
      <c r="F256" s="498" t="str">
        <f>IF(D256="","",VLOOKUP(D256,'G-7 Rivers Data'!$B$2:$G$8,2,FALSE))</f>
        <v/>
      </c>
      <c r="G256" s="499" t="str">
        <f>IFERROR(VLOOKUP(F256,'G-7 Rivers Data'!$C$4:$D$8,2,FALSE),"")</f>
        <v/>
      </c>
      <c r="H256" s="145"/>
      <c r="I256" s="499" t="str">
        <f>IFERROR(INDEX('G-7 Rivers Data'!$H$4:$L$8,MATCH(D256,'G-7 Rivers Data'!$B$4:$B$8,0),MATCH(H256,'G-7 Rivers Data'!$H$3:$L$3,0)),"")</f>
        <v/>
      </c>
      <c r="J256" s="418"/>
      <c r="K256" s="498" t="str">
        <f>IF(J256="","",IF(VLOOKUP(J256,'G-7 Rivers Data'!$AK$4:$AM$9,2,FALSE)=0,"Spatial Data Missing ⚠",VLOOKUP(J256,'G-7 Rivers Data'!$AK$4:$AM$9,2,FALSE)))</f>
        <v/>
      </c>
      <c r="L256" s="505" t="str">
        <f>IF(J256="","",IF(VLOOKUP(J256,'G-7 Rivers Data'!$AK$4:$AM$9,3,FALSE)=0,"Spatial Data Missing ⚠",VLOOKUP(J256,'G-7 Rivers Data'!$AK$4:$AM$9,3,FALSE)))</f>
        <v/>
      </c>
      <c r="M256" s="71"/>
      <c r="N256" s="499" t="str">
        <f>IF(M256="","",IF(VLOOKUP(M256,'G-7 Rivers Data'!$AA$4:$AB$7,2,FALSE)=0,"Spatial Data Missing ⚠",VLOOKUP(M256,'G-7 Rivers Data'!$AA$4:$AB$7,2,FALSE)))</f>
        <v/>
      </c>
      <c r="O256" s="155"/>
      <c r="P256" s="499" t="str">
        <f>IF(O256="","",IF(VLOOKUP(O256,'G-7 Rivers Data'!$AD$4:$AE$8,2,FALSE)=0,"Spatial Data Missing ⚠",VLOOKUP(O256,'G-7 Rivers Data'!$AD$4:$AE$8,2,FALSE)))</f>
        <v/>
      </c>
      <c r="Q256" s="506" t="str">
        <f>IF(D256="","",VLOOKUP(D256,'G-7 Rivers Data'!$B$2:$G$8,6,FALSE))</f>
        <v/>
      </c>
      <c r="R256" s="513" t="str">
        <f t="shared" si="24"/>
        <v/>
      </c>
      <c r="S256" s="40"/>
      <c r="T256" s="145"/>
      <c r="U256" s="157"/>
      <c r="V256" s="511" t="str">
        <f t="shared" si="25"/>
        <v/>
      </c>
      <c r="W256" s="511" t="str">
        <f t="shared" si="26"/>
        <v/>
      </c>
      <c r="X256" s="511" t="str">
        <f t="shared" si="27"/>
        <v/>
      </c>
      <c r="Y256" s="515" t="str">
        <f t="shared" si="28"/>
        <v/>
      </c>
      <c r="Z256" s="151"/>
      <c r="AA256" s="152"/>
      <c r="AG256" s="31">
        <f t="shared" si="29"/>
        <v>0</v>
      </c>
      <c r="AH256" s="156" t="str">
        <f t="shared" si="30"/>
        <v/>
      </c>
      <c r="AI256" s="156" t="str">
        <f t="shared" si="31"/>
        <v/>
      </c>
      <c r="AK256" s="156">
        <v>247</v>
      </c>
      <c r="AM256" s="156" t="str">
        <f t="array" ref="AM256">IFERROR(INDEX($AK$10:$AK$258, MATCH(0, IF(TRUE=$AH$10:$AH$258, COUNTIF($AM$9:$AM255, $AK$10:$AK$258), ""), 0)),"")</f>
        <v/>
      </c>
      <c r="AN256" s="156" t="str">
        <f t="array" ref="AN256">IFERROR(INDEX($AK$10:$AK$258, MATCH(0, IF(TRUE=$AI$10:$AI$258, COUNTIF($AN$9:$AN255, $AK$10:$AK$258), ""), 0)),"")</f>
        <v/>
      </c>
      <c r="AP256" s="31" t="str">
        <f>IFERROR(INDEX('G-7 Rivers Data'!$AZ$3:$AZ$7,MATCH(D256,'G-7 Rivers Data'!$AY$3:$AY$7,0)),"")</f>
        <v/>
      </c>
    </row>
    <row r="257" spans="2:42" ht="13.9" customHeight="1" thickBot="1" x14ac:dyDescent="0.35">
      <c r="C257" s="158">
        <v>248</v>
      </c>
      <c r="D257" s="460"/>
      <c r="E257" s="172"/>
      <c r="F257" s="500" t="str">
        <f>IF(D257="","",VLOOKUP(D257,'G-7 Rivers Data'!$B$2:$G$8,2,FALSE))</f>
        <v/>
      </c>
      <c r="G257" s="501" t="str">
        <f>IFERROR(VLOOKUP(F257,'G-7 Rivers Data'!$C$4:$D$8,2,FALSE),"")</f>
        <v/>
      </c>
      <c r="H257" s="161"/>
      <c r="I257" s="501" t="str">
        <f>IFERROR(INDEX('G-7 Rivers Data'!$H$4:$L$8,MATCH(D257,'G-7 Rivers Data'!$B$4:$B$8,0),MATCH(H257,'G-7 Rivers Data'!$H$3:$L$3,0)),"")</f>
        <v/>
      </c>
      <c r="J257" s="420"/>
      <c r="K257" s="634" t="str">
        <f>IF(J257="","",IF(VLOOKUP(J257,'G-7 Rivers Data'!$AK$4:$AM$9,2,FALSE)=0,"Spatial Data Missing ⚠",VLOOKUP(J257,'G-7 Rivers Data'!$AK$4:$AM$9,2,FALSE)))</f>
        <v/>
      </c>
      <c r="L257" s="505" t="str">
        <f>IF(J257="","",IF(VLOOKUP(J257,'G-7 Rivers Data'!$AK$4:$AM$9,3,FALSE)=0,"Spatial Data Missing ⚠",VLOOKUP(J257,'G-7 Rivers Data'!$AK$4:$AM$9,3,FALSE)))</f>
        <v/>
      </c>
      <c r="M257" s="452"/>
      <c r="N257" s="499" t="str">
        <f>IF(M257="","",IF(VLOOKUP(M257,'G-7 Rivers Data'!$AA$4:$AB$7,2,FALSE)=0,"Spatial Data Missing ⚠",VLOOKUP(M257,'G-7 Rivers Data'!$AA$4:$AB$7,2,FALSE)))</f>
        <v/>
      </c>
      <c r="O257" s="273"/>
      <c r="P257" s="499" t="str">
        <f>IF(O257="","",IF(VLOOKUP(O257,'G-7 Rivers Data'!$AD$4:$AE$8,2,FALSE)=0,"Spatial Data Missing ⚠",VLOOKUP(O257,'G-7 Rivers Data'!$AD$4:$AE$8,2,FALSE)))</f>
        <v/>
      </c>
      <c r="Q257" s="510" t="str">
        <f>IF(D257="","",VLOOKUP(D257,'G-7 Rivers Data'!$B$2:$G$8,6,FALSE))</f>
        <v/>
      </c>
      <c r="R257" s="555" t="str">
        <f t="shared" si="24"/>
        <v/>
      </c>
      <c r="S257" s="40"/>
      <c r="T257" s="410"/>
      <c r="U257" s="411"/>
      <c r="V257" s="511" t="str">
        <f t="shared" si="25"/>
        <v/>
      </c>
      <c r="W257" s="511" t="str">
        <f t="shared" si="26"/>
        <v/>
      </c>
      <c r="X257" s="511" t="str">
        <f t="shared" si="27"/>
        <v/>
      </c>
      <c r="Y257" s="515" t="str">
        <f t="shared" si="28"/>
        <v/>
      </c>
      <c r="Z257" s="163"/>
      <c r="AA257" s="164"/>
      <c r="AG257" s="31">
        <f t="shared" si="29"/>
        <v>0</v>
      </c>
      <c r="AH257" s="156" t="str">
        <f t="shared" si="30"/>
        <v/>
      </c>
      <c r="AI257" s="156" t="str">
        <f t="shared" si="31"/>
        <v/>
      </c>
      <c r="AK257" s="156">
        <v>248</v>
      </c>
      <c r="AM257" s="156" t="str">
        <f t="array" ref="AM257">IFERROR(INDEX($AK$10:$AK$258, MATCH(0, IF(TRUE=$AH$10:$AH$258, COUNTIF($AM$9:$AM256, $AK$10:$AK$258), ""), 0)),"")</f>
        <v/>
      </c>
      <c r="AN257" s="156" t="str">
        <f t="array" ref="AN257">IFERROR(INDEX($AK$10:$AK$258, MATCH(0, IF(TRUE=$AI$10:$AI$258, COUNTIF($AN$9:$AN256, $AK$10:$AK$258), ""), 0)),"")</f>
        <v/>
      </c>
      <c r="AP257" s="31" t="str">
        <f>IFERROR(INDEX('G-7 Rivers Data'!$AZ$3:$AZ$7,MATCH(D257,'G-7 Rivers Data'!$AY$3:$AY$7,0)),"")</f>
        <v/>
      </c>
    </row>
    <row r="258" spans="2:42" ht="13.9" customHeight="1" thickBot="1" x14ac:dyDescent="0.35">
      <c r="B258" s="31"/>
      <c r="C258" s="46"/>
      <c r="D258" s="443"/>
      <c r="E258" s="563">
        <f>SUM(E10:E257)</f>
        <v>0</v>
      </c>
      <c r="F258" s="46"/>
      <c r="G258" s="46"/>
      <c r="H258" s="46"/>
      <c r="I258" s="46"/>
      <c r="J258" s="46"/>
      <c r="K258" s="46"/>
      <c r="L258" s="46"/>
      <c r="M258" s="46"/>
      <c r="N258" s="46"/>
      <c r="O258" s="46"/>
      <c r="P258" s="1014"/>
      <c r="Q258" s="1015"/>
      <c r="R258" s="563">
        <f>SUM(R10:R257)</f>
        <v>0</v>
      </c>
      <c r="S258" s="166"/>
      <c r="T258" s="517">
        <f>SUM(T10:T257)</f>
        <v>0</v>
      </c>
      <c r="U258" s="518">
        <f>SUM(U10:U257)</f>
        <v>0</v>
      </c>
      <c r="V258" s="518">
        <f>SUM(V10:V257)</f>
        <v>0</v>
      </c>
      <c r="W258" s="518">
        <f t="shared" ref="W258:X258" si="32">SUM(W10:W257)</f>
        <v>0</v>
      </c>
      <c r="X258" s="518">
        <f t="shared" si="32"/>
        <v>0</v>
      </c>
      <c r="Y258" s="515">
        <f t="shared" si="28"/>
        <v>0</v>
      </c>
    </row>
    <row r="259" spans="2:42" ht="14" x14ac:dyDescent="0.3">
      <c r="B259" s="31"/>
      <c r="C259" s="31"/>
      <c r="S259" s="166"/>
      <c r="T259" s="166"/>
      <c r="U259" s="166"/>
      <c r="V259" s="166"/>
      <c r="W259" s="166"/>
      <c r="X259" s="166"/>
      <c r="Y259" s="166"/>
    </row>
    <row r="260" spans="2:42" ht="14" x14ac:dyDescent="0.3"/>
    <row r="261" spans="2:42" ht="14" x14ac:dyDescent="0.3"/>
    <row r="262" spans="2:42" ht="14" x14ac:dyDescent="0.3"/>
    <row r="263" spans="2:42" ht="14" x14ac:dyDescent="0.3"/>
    <row r="264" spans="2:42" ht="14" x14ac:dyDescent="0.3"/>
    <row r="265" spans="2:42" ht="14" x14ac:dyDescent="0.3"/>
    <row r="266" spans="2:42" ht="14" x14ac:dyDescent="0.3"/>
    <row r="267" spans="2:42" ht="14" x14ac:dyDescent="0.3"/>
    <row r="268" spans="2:42" ht="14" x14ac:dyDescent="0.3"/>
    <row r="269" spans="2:42" ht="14" x14ac:dyDescent="0.3"/>
    <row r="270" spans="2:42" ht="14" x14ac:dyDescent="0.3"/>
    <row r="271" spans="2:42" ht="14" x14ac:dyDescent="0.3"/>
    <row r="272" spans="2:42" ht="14" x14ac:dyDescent="0.3"/>
  </sheetData>
  <sheetProtection algorithmName="SHA-512" hashValue="RPH6/hYvcnhbH9aj1SIgJhUpYlBnFWyc9rs6RjzvLdvN4vXEGzJceSVasooGwnibYrIIdyuTLcYMv2zuXg97uQ==" saltValue="3v5XhrtD5G1c0cdH+ol3uQ==" spinCount="100000" sheet="1" objects="1" scenarios="1"/>
  <customSheetViews>
    <customSheetView guid="{8BDA793C-C9C5-4FC6-A0A5-F1109F6D4F22}" state="hidden">
      <pane ySplit="9" topLeftCell="A10" activePane="bottomLeft" state="frozen"/>
      <selection pane="bottomLeft" activeCell="D14" sqref="D14"/>
    </customSheetView>
  </customSheetViews>
  <mergeCells count="13">
    <mergeCell ref="P258:Q258"/>
    <mergeCell ref="Z8:AA8"/>
    <mergeCell ref="B2:D2"/>
    <mergeCell ref="B3:D4"/>
    <mergeCell ref="C8:E8"/>
    <mergeCell ref="F8:G8"/>
    <mergeCell ref="H8:I8"/>
    <mergeCell ref="J8:L8"/>
    <mergeCell ref="M8:N8"/>
    <mergeCell ref="O8:P8"/>
    <mergeCell ref="Q8:Q9"/>
    <mergeCell ref="T8:Y8"/>
    <mergeCell ref="T5:Y6"/>
  </mergeCells>
  <conditionalFormatting sqref="Q10:Q257">
    <cfRule type="containsText" dxfId="59" priority="19" operator="containsText" text="Restore">
      <formula>NOT(ISERROR(SEARCH("Restore",Q10)))</formula>
    </cfRule>
  </conditionalFormatting>
  <conditionalFormatting sqref="K10:L257">
    <cfRule type="containsText" dxfId="58" priority="14" operator="containsText" text="Spatial">
      <formula>NOT(ISERROR(SEARCH("Spatial",K10)))</formula>
    </cfRule>
  </conditionalFormatting>
  <conditionalFormatting sqref="P10:P257">
    <cfRule type="containsText" dxfId="57" priority="13" operator="containsText" text="Spatial">
      <formula>NOT(ISERROR(SEARCH("Spatial",P10)))</formula>
    </cfRule>
  </conditionalFormatting>
  <conditionalFormatting sqref="X10:X257">
    <cfRule type="containsText" dxfId="56" priority="12" operator="containsText" text="Error">
      <formula>NOT(ISERROR(SEARCH("Error",X10)))</formula>
    </cfRule>
  </conditionalFormatting>
  <conditionalFormatting sqref="Y10:Y258">
    <cfRule type="containsText" dxfId="55" priority="10" operator="containsText" text="Check">
      <formula>NOT(ISERROR(SEARCH("Check",Y10)))</formula>
    </cfRule>
    <cfRule type="containsText" dxfId="54" priority="11" operator="containsText" text="Error">
      <formula>NOT(ISERROR(SEARCH("Error",Y10)))</formula>
    </cfRule>
  </conditionalFormatting>
  <conditionalFormatting sqref="T5:Y6">
    <cfRule type="containsText" dxfId="53" priority="1" operator="containsText" text="Check">
      <formula>NOT(ISERROR(SEARCH("Check",T5)))</formula>
    </cfRule>
  </conditionalFormatting>
  <dataValidations count="1">
    <dataValidation type="list" allowBlank="1" showInputMessage="1" showErrorMessage="1" sqref="H10:H14" xr:uid="{00000000-0002-0000-1700-000000000000}">
      <formula1>INDIRECT(AP10)</formula1>
    </dataValidation>
  </dataValidations>
  <pageMargins left="0.7" right="0.7" top="0.75" bottom="0.75" header="0.3" footer="0.3"/>
  <pageSetup paperSize="9" orientation="portrait" horizontalDpi="90" verticalDpi="9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1700-000001000000}">
          <x14:formula1>
            <xm:f>'G-7 Rivers Data'!$H$3:$L$3</xm:f>
          </x14:formula1>
          <xm:sqref>H15:H257</xm:sqref>
        </x14:dataValidation>
        <x14:dataValidation type="list" allowBlank="1" showInputMessage="1" showErrorMessage="1" xr:uid="{00000000-0002-0000-1700-000002000000}">
          <x14:formula1>
            <xm:f>'G-7 Rivers Data'!$AK$4:$AK$9</xm:f>
          </x14:formula1>
          <xm:sqref>J10:J257</xm:sqref>
        </x14:dataValidation>
        <x14:dataValidation type="list" allowBlank="1" showInputMessage="1" showErrorMessage="1" xr:uid="{00000000-0002-0000-1700-000004000000}">
          <x14:formula1>
            <xm:f>'G-7 Rivers Data'!$AD$4:$AD$7</xm:f>
          </x14:formula1>
          <xm:sqref>O10:O257</xm:sqref>
        </x14:dataValidation>
        <x14:dataValidation type="list" allowBlank="1" showInputMessage="1" showErrorMessage="1" xr:uid="{00000000-0002-0000-1700-000005000000}">
          <x14:formula1>
            <xm:f>'G-7 Rivers Data'!$B$4:$B$8</xm:f>
          </x14:formula1>
          <xm:sqref>D10:D257</xm:sqref>
        </x14:dataValidation>
        <x14:dataValidation type="list" allowBlank="1" showInputMessage="1" showErrorMessage="1" xr:uid="{EA200A12-2AB4-41A2-8065-78EBD76ED851}">
          <x14:formula1>
            <xm:f>'G-7 Rivers Data'!$AA$4:$AA$7</xm:f>
          </x14:formula1>
          <xm:sqref>M10:M257</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
    <tabColor rgb="FF0033CC"/>
  </sheetPr>
  <dimension ref="A1:AH268"/>
  <sheetViews>
    <sheetView topLeftCell="A2" workbookViewId="0"/>
  </sheetViews>
  <sheetFormatPr defaultColWidth="0" defaultRowHeight="0" customHeight="1" zeroHeight="1" x14ac:dyDescent="0.3"/>
  <cols>
    <col min="1" max="1" width="2.81640625" style="31" customWidth="1"/>
    <col min="2" max="2" width="10.7265625" style="31" customWidth="1"/>
    <col min="3" max="3" width="41" style="31" customWidth="1"/>
    <col min="4" max="4" width="10" style="31" customWidth="1"/>
    <col min="5" max="5" width="18.26953125" style="31" customWidth="1"/>
    <col min="6" max="6" width="13.1796875" style="31" customWidth="1"/>
    <col min="7" max="7" width="12.54296875" style="31" bestFit="1" customWidth="1"/>
    <col min="8" max="8" width="12.54296875" style="31" customWidth="1"/>
    <col min="9" max="9" width="33.7265625" style="31" customWidth="1"/>
    <col min="10" max="10" width="22.26953125" style="31" customWidth="1"/>
    <col min="11" max="11" width="12.26953125" style="31" customWidth="1"/>
    <col min="12" max="14" width="17.7265625" style="31" customWidth="1"/>
    <col min="15" max="15" width="23.54296875" style="31" customWidth="1"/>
    <col min="16" max="16" width="17.7265625" style="31" customWidth="1"/>
    <col min="17" max="17" width="15.26953125" style="31" customWidth="1"/>
    <col min="18" max="18" width="10.7265625" style="31" customWidth="1"/>
    <col min="19" max="19" width="21.81640625" style="31" customWidth="1"/>
    <col min="20" max="20" width="15.54296875" style="31" customWidth="1"/>
    <col min="21" max="21" width="13.81640625" style="31" customWidth="1"/>
    <col min="22" max="22" width="17.81640625" style="31" customWidth="1"/>
    <col min="23" max="23" width="12.26953125" style="31" customWidth="1"/>
    <col min="24" max="24" width="21.26953125" style="31" customWidth="1"/>
    <col min="25" max="25" width="13.26953125" style="31" customWidth="1"/>
    <col min="26" max="26" width="17.26953125" style="31" customWidth="1"/>
    <col min="27" max="28" width="34.81640625" style="31" customWidth="1"/>
    <col min="29" max="32" width="8.81640625" style="31" customWidth="1"/>
    <col min="33" max="33" width="8.81640625" style="31" hidden="1" customWidth="1"/>
    <col min="34" max="34" width="10.81640625" style="31" hidden="1" customWidth="1"/>
    <col min="35" max="16384" width="8.81640625" style="31" hidden="1"/>
  </cols>
  <sheetData>
    <row r="1" spans="2:34" ht="14.5" hidden="1" thickBot="1" x14ac:dyDescent="0.35"/>
    <row r="2" spans="2:34" ht="24.65" customHeight="1" thickBot="1" x14ac:dyDescent="0.35">
      <c r="B2" s="987" t="str">
        <f>IF([2]Start!F12="","",[2]Start!F12)</f>
        <v/>
      </c>
      <c r="C2" s="988"/>
      <c r="D2" s="988"/>
      <c r="E2" s="989"/>
    </row>
    <row r="3" spans="2:34" ht="15.65" customHeight="1" thickBot="1" x14ac:dyDescent="0.35">
      <c r="B3" s="1020" t="str">
        <f ca="1">MID(CELL("filename",A1),FIND("]",CELL("filename",A1))+1,256)</f>
        <v>C-2 Site River Creation</v>
      </c>
      <c r="C3" s="1021"/>
      <c r="D3" s="1021"/>
      <c r="E3" s="1022"/>
      <c r="L3" s="921" t="str">
        <f>IF(OR(COUNTIF(L$12:$L260,"*30+*")&gt;0,COUNTIF(P$12:$P260,"*30+*")&gt;0),"Note; Habitat selected has a time to target condition greater than 30 years. Non standard agreement may be required. ⚠","")</f>
        <v/>
      </c>
      <c r="M3" s="921"/>
      <c r="N3" s="921"/>
      <c r="O3" s="921"/>
      <c r="P3" s="921"/>
      <c r="Q3" s="921"/>
    </row>
    <row r="4" spans="2:34" ht="15" customHeight="1" thickBot="1" x14ac:dyDescent="0.35">
      <c r="B4" s="1020"/>
      <c r="C4" s="1021"/>
      <c r="D4" s="1021"/>
      <c r="E4" s="1022"/>
      <c r="L4" s="921"/>
      <c r="M4" s="921"/>
      <c r="N4" s="921"/>
      <c r="O4" s="921"/>
      <c r="P4" s="921"/>
      <c r="Q4" s="921"/>
    </row>
    <row r="5" spans="2:34" ht="26.5" customHeight="1" x14ac:dyDescent="0.3">
      <c r="L5" s="921"/>
      <c r="M5" s="921"/>
      <c r="N5" s="921"/>
      <c r="O5" s="921"/>
      <c r="P5" s="921"/>
      <c r="Q5" s="921"/>
    </row>
    <row r="6" spans="2:34" ht="23.25" customHeight="1" x14ac:dyDescent="0.3">
      <c r="L6" s="403"/>
      <c r="M6" s="403"/>
      <c r="N6" s="403"/>
      <c r="O6" s="403"/>
      <c r="P6" s="403"/>
    </row>
    <row r="7" spans="2:34" ht="6" customHeight="1" x14ac:dyDescent="0.3">
      <c r="L7" s="403"/>
      <c r="M7" s="403"/>
      <c r="N7" s="403"/>
      <c r="O7" s="403"/>
      <c r="P7" s="403"/>
    </row>
    <row r="8" spans="2:34" ht="6" customHeight="1" x14ac:dyDescent="0.3"/>
    <row r="9" spans="2:34" ht="15.75" customHeight="1" thickBot="1" x14ac:dyDescent="0.35"/>
    <row r="10" spans="2:34" s="42" customFormat="1" ht="29.25" customHeight="1" thickBot="1" x14ac:dyDescent="0.35">
      <c r="B10" s="247"/>
      <c r="C10" s="940" t="s">
        <v>301</v>
      </c>
      <c r="D10" s="940"/>
      <c r="E10" s="940" t="s">
        <v>272</v>
      </c>
      <c r="F10" s="940"/>
      <c r="G10" s="940" t="s">
        <v>273</v>
      </c>
      <c r="H10" s="940"/>
      <c r="I10" s="940" t="s">
        <v>191</v>
      </c>
      <c r="J10" s="940"/>
      <c r="K10" s="940"/>
      <c r="L10" s="967" t="s">
        <v>228</v>
      </c>
      <c r="M10" s="968"/>
      <c r="N10" s="968"/>
      <c r="O10" s="968"/>
      <c r="P10" s="968"/>
      <c r="Q10" s="969"/>
      <c r="R10" s="967" t="s">
        <v>229</v>
      </c>
      <c r="S10" s="968"/>
      <c r="T10" s="968"/>
      <c r="U10" s="969"/>
      <c r="V10" s="940" t="s">
        <v>319</v>
      </c>
      <c r="W10" s="940"/>
      <c r="X10" s="940" t="s">
        <v>320</v>
      </c>
      <c r="Y10" s="940"/>
      <c r="Z10" s="939" t="s">
        <v>329</v>
      </c>
      <c r="AA10" s="880" t="s">
        <v>196</v>
      </c>
      <c r="AB10" s="878"/>
    </row>
    <row r="11" spans="2:34" s="42" customFormat="1" ht="42" x14ac:dyDescent="0.3">
      <c r="B11" s="135" t="s">
        <v>254</v>
      </c>
      <c r="C11" s="201" t="s">
        <v>138</v>
      </c>
      <c r="D11" s="202" t="s">
        <v>294</v>
      </c>
      <c r="E11" s="368" t="s">
        <v>189</v>
      </c>
      <c r="F11" s="202" t="s">
        <v>206</v>
      </c>
      <c r="G11" s="368" t="s">
        <v>190</v>
      </c>
      <c r="H11" s="202" t="s">
        <v>206</v>
      </c>
      <c r="I11" s="368" t="s">
        <v>191</v>
      </c>
      <c r="J11" s="201" t="s">
        <v>191</v>
      </c>
      <c r="K11" s="202" t="s">
        <v>231</v>
      </c>
      <c r="L11" s="368" t="s">
        <v>304</v>
      </c>
      <c r="M11" s="201" t="s">
        <v>233</v>
      </c>
      <c r="N11" s="201" t="s">
        <v>234</v>
      </c>
      <c r="O11" s="201" t="s">
        <v>235</v>
      </c>
      <c r="P11" s="201" t="s">
        <v>236</v>
      </c>
      <c r="Q11" s="202" t="s">
        <v>312</v>
      </c>
      <c r="R11" s="368" t="s">
        <v>238</v>
      </c>
      <c r="S11" s="201" t="s">
        <v>330</v>
      </c>
      <c r="T11" s="201" t="s">
        <v>240</v>
      </c>
      <c r="U11" s="202" t="s">
        <v>241</v>
      </c>
      <c r="V11" s="141" t="s">
        <v>322</v>
      </c>
      <c r="W11" s="359" t="s">
        <v>323</v>
      </c>
      <c r="X11" s="141" t="s">
        <v>322</v>
      </c>
      <c r="Y11" s="359" t="s">
        <v>323</v>
      </c>
      <c r="Z11" s="940"/>
      <c r="AA11" s="141" t="s">
        <v>215</v>
      </c>
      <c r="AB11" s="359" t="s">
        <v>216</v>
      </c>
      <c r="AH11" s="261" t="s">
        <v>200</v>
      </c>
    </row>
    <row r="12" spans="2:34" ht="76" customHeight="1" x14ac:dyDescent="0.3">
      <c r="B12" s="368">
        <v>1</v>
      </c>
      <c r="C12" s="260"/>
      <c r="D12" s="70"/>
      <c r="E12" s="498" t="str">
        <f>IF(C12="","",VLOOKUP(C12,'G-7 Rivers Data'!$B$2:$G$8,2,FALSE))</f>
        <v/>
      </c>
      <c r="F12" s="499" t="str">
        <f>IFERROR(VLOOKUP(E12,'G-7 Rivers Data'!$C$4:$D$8,2,FALSE),"")</f>
        <v/>
      </c>
      <c r="G12" s="145"/>
      <c r="H12" s="499" t="str">
        <f>IFERROR(INDEX('G-7 Rivers Data'!$H$4:$L$8,MATCH(C12,'G-7 Rivers Data'!$B$4:$B$8,0),MATCH(G12,'G-7 Rivers Data'!$H$3:$L$3,0)),"")</f>
        <v/>
      </c>
      <c r="I12" s="71"/>
      <c r="J12" s="507" t="str">
        <f>IF(I12="","",IF(VLOOKUP(I12,'G-7 Rivers Data'!$AG$4:$AI$9,2,FALSE)=0,"Spatial Data Missing ⚠",VLOOKUP(I12,'G-7 Rivers Data'!$AG$4:$AI$9,2,FALSE)))</f>
        <v/>
      </c>
      <c r="K12" s="499" t="str">
        <f>IF(I12="","",IF(VLOOKUP(I12,'G-7 Rivers Data'!$AG$4:$AI$9,3,FALSE)=0,"Spatial Data Missing ⚠",VLOOKUP(I12,'G-7 Rivers Data'!$AG$4:$AI$9,3,FALSE)))</f>
        <v/>
      </c>
      <c r="L12" s="498" t="str">
        <f>IFERROR(INDEX('G-7 Rivers Data'!$O$3:$O$7,MATCH(G12,'G-7 Rivers Data'!$N$3:$N$7,0)),"")</f>
        <v/>
      </c>
      <c r="M12" s="82"/>
      <c r="N12" s="82"/>
      <c r="O12" s="507" t="str">
        <f>IF(L12="","",IF(AND(M12&gt;0,N12&gt;0),"Error -both advance and delayed habitat creation ▲",IF(AND(OR(M12="Habitat already in target condition",L12&lt;=M12),N12=0),"Check details - Is there evidence that habitat has reached target condition? ⚠",IF(M12&gt;0,"Check details - Is there evidence habitat creation started/in place? ⚠",IF(N12&gt;0,"Check details- Delay in starting habitat in required condition? ⚠","Standard time to target condition applied")))))</f>
        <v/>
      </c>
      <c r="P12" s="521" t="str">
        <f>IF(LEFT(O12,5)="Error ▲","Check Data ⚠",IF(L12="","",IF(M12="30+",0,IF(N12="30+","30+ ⚠",IF(L12+N12&gt;30,"30+ ⚠",IF(L12+N12-M12&gt;0,L12+N12-M12,IF(L12-M12&lt;0,0,L12+N12-M12)))))))</f>
        <v/>
      </c>
      <c r="Q12" s="564" t="str">
        <f>IFERROR(IF(P12="Check Data ⚠","Check Data ⚠",VLOOKUP(P12,'G-4 Temporal multipliers'!$A$4:$C$37,3,FALSE)),"")</f>
        <v/>
      </c>
      <c r="R12" s="498" t="str">
        <f>IF(C12="","",VLOOKUP(C12,'G-7 Rivers Data'!$B$4:$G$8,4,FALSE))</f>
        <v/>
      </c>
      <c r="S12" s="507" t="str">
        <f>IF(C12="","",IF(P12="Check Data ⚠","Check Data ⚠",IF(G12="","",IF($O12="Check details - Is there evidence that habitat has reached target condition? ⚠","Low Difficulty - only applicable if all habitat created before losses ⚠","Standard difficulty applied"))))</f>
        <v/>
      </c>
      <c r="T12" s="540" t="str">
        <f>(IF(AND(S12="Standard difficulty applied",L12&gt;M12),R12,IF(AND(S12="Low Difficulty - only applicable if all habitat created before losses ⚠",M12&gt;=L12),"Low",R12)))</f>
        <v/>
      </c>
      <c r="U12" s="499" t="str">
        <f t="shared" ref="U12" si="0">IF(C12="","",VLOOKUP(R12,Difficulty,2,FALSE))</f>
        <v/>
      </c>
      <c r="V12" s="146"/>
      <c r="W12" s="499" t="str">
        <f>IF(V12="","",IF(VLOOKUP(V12,'G-7 Rivers Data'!$AA$4:$AB$7,2,FALSE)=0,"Spatial Data Missing ⚠",VLOOKUP(V12,'G-7 Rivers Data'!$AA$4:$AB$7,2,FALSE)))</f>
        <v/>
      </c>
      <c r="X12" s="78"/>
      <c r="Y12" s="499" t="str">
        <f>IF(X12="","",IF(VLOOKUP(X12,'G-7 Rivers Data'!$AD$4:$AE$8,2,FALSE)=0,"Enrcoachment Data Missing ⚠",VLOOKUP(X12,'G-7 Rivers Data'!$AD$4:$AE$8,2,FALSE)))</f>
        <v/>
      </c>
      <c r="Z12" s="565" t="str">
        <f>IFERROR(IF(C12="","",D12*F12*H12*K12*Q12*U12*Y12*W12),"")</f>
        <v/>
      </c>
      <c r="AA12" s="149"/>
      <c r="AB12" s="150"/>
      <c r="AH12" s="31" t="str">
        <f>IFERROR(INDEX('G-7 Rivers Data'!$AZ$3:$AZ$7,MATCH(C12,'G-7 Rivers Data'!$AY$3:$AY$7,0)),"")</f>
        <v/>
      </c>
    </row>
    <row r="13" spans="2:34" ht="14" x14ac:dyDescent="0.3">
      <c r="B13" s="141">
        <v>2</v>
      </c>
      <c r="C13" s="168"/>
      <c r="D13" s="70"/>
      <c r="E13" s="498" t="str">
        <f>IF(C13="","",VLOOKUP(C13,'G-7 Rivers Data'!$B$2:$G$8,2,FALSE))</f>
        <v/>
      </c>
      <c r="F13" s="499" t="str">
        <f>IFERROR(VLOOKUP(E13,'G-7 Rivers Data'!$C$4:$D$8,2,FALSE),"")</f>
        <v/>
      </c>
      <c r="G13" s="145"/>
      <c r="H13" s="499" t="str">
        <f>IFERROR(INDEX('G-7 Rivers Data'!$H$4:$L$8,MATCH(C13,'G-7 Rivers Data'!$B$4:$B$8,0),MATCH(G13,'G-7 Rivers Data'!$H$3:$L$3,0)),"")</f>
        <v/>
      </c>
      <c r="I13" s="146"/>
      <c r="J13" s="507" t="str">
        <f>IF(I13="","",IF(VLOOKUP(I13,'G-7 Rivers Data'!$AG$4:$AI$9,2,FALSE)=0,"Spatial Data Missing ⚠",VLOOKUP(I13,'G-7 Rivers Data'!$AG$4:$AI$9,2,FALSE)))</f>
        <v/>
      </c>
      <c r="K13" s="499" t="str">
        <f>IF(I13="","",IF(VLOOKUP(I13,'G-7 Rivers Data'!$AG$4:$AI$9,3,FALSE)=0,"Spatial Data Missing ⚠",VLOOKUP(I13,'G-7 Rivers Data'!$AG$4:$AI$9,3,FALSE)))</f>
        <v/>
      </c>
      <c r="L13" s="498" t="str">
        <f>IFERROR(INDEX('G-7 Rivers Data'!$O$3:$O$7,MATCH(G13,'G-7 Rivers Data'!$N$3:$N$7,0)),"")</f>
        <v/>
      </c>
      <c r="M13" s="82"/>
      <c r="N13" s="82"/>
      <c r="O13" s="507" t="str">
        <f t="shared" ref="O13:O76" si="1">IF(L13="","",IF(AND(M13&gt;0,N13&gt;0),"Error -both advance and delayed habitat creation ▲",IF(AND(OR(M13="Habitat already in target condition",L13&lt;=M13),N13=0),"Check details - Is there evidence that habitat has reached target condition? ⚠",IF(M13&gt;0,"Check details - Is there evidence habitat creation started/in place? ⚠",IF(N13&gt;0,"Check details- Delay in starting habitat in required condition? ⚠","Standard time to target condition applied")))))</f>
        <v/>
      </c>
      <c r="P13" s="521" t="str">
        <f t="shared" ref="P13:P76" si="2">IF(LEFT(O13,5)="Error ▲","Check Data ⚠",IF(L13="","",IF(M13="30+",0,IF(N13="30+","30+ ⚠",IF(L13+N13&gt;30,"30+ ⚠",IF(L13+N13-M13&gt;0,L13+N13-M13,IF(L13-M13&lt;0,0,L13+N13-M13)))))))</f>
        <v/>
      </c>
      <c r="Q13" s="564" t="str">
        <f>IFERROR(IF(P13="Check Data ⚠","Check Data ⚠",VLOOKUP(P13,'G-4 Temporal multipliers'!$A$4:$C$37,3,FALSE)),"")</f>
        <v/>
      </c>
      <c r="R13" s="498" t="str">
        <f>IF(C13="","",VLOOKUP(C13,'G-7 Rivers Data'!$B$4:$G$8,4,FALSE))</f>
        <v/>
      </c>
      <c r="S13" s="507" t="str">
        <f t="shared" ref="S13:S76" si="3">IF(C13="","",IF(P13="Check Data ⚠","Check Data ⚠",IF(G13="","",IF($O13="Check details - Is there evidence that habitat has reached target condition? ⚠","Low Difficulty - only applicable if all habitat created before losses ⚠","Standard difficulty applied"))))</f>
        <v/>
      </c>
      <c r="T13" s="540" t="str">
        <f t="shared" ref="T13:T76" si="4">(IF(AND(S13="Standard difficulty applied",L13&gt;M13),R13,IF(AND(S13="Low Difficulty - only applicable if all habitat created before losses ⚠",M13&gt;=L13),"Low",R13)))</f>
        <v/>
      </c>
      <c r="U13" s="499" t="str">
        <f t="shared" ref="U13:U76" si="5">IF(C13="","",VLOOKUP(R13,Difficulty,2,FALSE))</f>
        <v/>
      </c>
      <c r="V13" s="71"/>
      <c r="W13" s="499" t="str">
        <f>IF(V13="","",IF(VLOOKUP(V13,'G-7 Rivers Data'!$AA$4:$AB$7,2,FALSE)=0,"Spatial Data Missing ⚠",VLOOKUP(V13,'G-7 Rivers Data'!$AA$4:$AB$7,2,FALSE)))</f>
        <v/>
      </c>
      <c r="X13" s="78"/>
      <c r="Y13" s="499" t="str">
        <f>IF(X13="","",IF(VLOOKUP(X13,'G-7 Rivers Data'!$AD$4:$AE$8,2,FALSE)=0,"Enrcoachment Data Missing ⚠",VLOOKUP(X13,'G-7 Rivers Data'!$AD$4:$AE$8,2,FALSE)))</f>
        <v/>
      </c>
      <c r="Z13" s="565" t="str">
        <f t="shared" ref="Z13:Z76" si="6">IFERROR(IF(C13="","",D13*F13*H13*K13*Q13*U13*Y13*W13),"")</f>
        <v/>
      </c>
      <c r="AA13" s="149"/>
      <c r="AB13" s="150"/>
      <c r="AH13" s="31" t="str">
        <f>IFERROR(INDEX('G-7 Rivers Data'!$AZ$3:$AZ$7,MATCH(C13,'G-7 Rivers Data'!$AY$3:$AY$7,0)),"")</f>
        <v/>
      </c>
    </row>
    <row r="14" spans="2:34" ht="14" x14ac:dyDescent="0.3">
      <c r="B14" s="141">
        <v>3</v>
      </c>
      <c r="C14" s="168"/>
      <c r="D14" s="70"/>
      <c r="E14" s="498" t="str">
        <f>IF(C14="","",VLOOKUP(C14,'G-7 Rivers Data'!$B$2:$G$8,2,FALSE))</f>
        <v/>
      </c>
      <c r="F14" s="499" t="str">
        <f>IFERROR(VLOOKUP(E14,'G-7 Rivers Data'!$C$4:$D$8,2,FALSE),"")</f>
        <v/>
      </c>
      <c r="G14" s="145"/>
      <c r="H14" s="499" t="str">
        <f>IFERROR(INDEX('G-7 Rivers Data'!$H$4:$L$8,MATCH(C14,'G-7 Rivers Data'!$B$4:$B$8,0),MATCH(G14,'G-7 Rivers Data'!$H$3:$L$3,0)),"")</f>
        <v/>
      </c>
      <c r="I14" s="146"/>
      <c r="J14" s="507" t="str">
        <f>IF(I14="","",IF(VLOOKUP(I14,'G-7 Rivers Data'!$AG$4:$AI$9,2,FALSE)=0,"Spatial Data Missing ⚠",VLOOKUP(I14,'G-7 Rivers Data'!$AG$4:$AI$9,2,FALSE)))</f>
        <v/>
      </c>
      <c r="K14" s="499" t="str">
        <f>IF(I14="","",IF(VLOOKUP(I14,'G-7 Rivers Data'!$AG$4:$AI$9,3,FALSE)=0,"Spatial Data Missing ⚠",VLOOKUP(I14,'G-7 Rivers Data'!$AG$4:$AI$9,3,FALSE)))</f>
        <v/>
      </c>
      <c r="L14" s="498" t="str">
        <f>IFERROR(INDEX('G-7 Rivers Data'!$O$3:$O$7,MATCH(G14,'G-7 Rivers Data'!$N$3:$N$7,0)),"")</f>
        <v/>
      </c>
      <c r="M14" s="82"/>
      <c r="N14" s="82"/>
      <c r="O14" s="507" t="str">
        <f t="shared" si="1"/>
        <v/>
      </c>
      <c r="P14" s="521" t="str">
        <f t="shared" si="2"/>
        <v/>
      </c>
      <c r="Q14" s="564" t="str">
        <f>IFERROR(IF(P14="Check Data ⚠","Check Data ⚠",VLOOKUP(P14,'G-4 Temporal multipliers'!$A$4:$C$37,3,FALSE)),"")</f>
        <v/>
      </c>
      <c r="R14" s="498" t="str">
        <f>IF(C14="","",VLOOKUP(C14,'G-7 Rivers Data'!$B$4:$G$8,4,FALSE))</f>
        <v/>
      </c>
      <c r="S14" s="507" t="str">
        <f t="shared" si="3"/>
        <v/>
      </c>
      <c r="T14" s="540" t="str">
        <f t="shared" si="4"/>
        <v/>
      </c>
      <c r="U14" s="499" t="str">
        <f t="shared" si="5"/>
        <v/>
      </c>
      <c r="V14" s="71"/>
      <c r="W14" s="499" t="str">
        <f>IF(V14="","",IF(VLOOKUP(V14,'G-7 Rivers Data'!$AA$4:$AB$7,2,FALSE)=0,"Spatial Data Missing ⚠",VLOOKUP(V14,'G-7 Rivers Data'!$AA$4:$AB$7,2,FALSE)))</f>
        <v/>
      </c>
      <c r="X14" s="78"/>
      <c r="Y14" s="499" t="str">
        <f>IF(X14="","",IF(VLOOKUP(X14,'G-7 Rivers Data'!$AD$4:$AE$8,2,FALSE)=0,"Enrcoachment Data Missing ⚠",VLOOKUP(X14,'G-7 Rivers Data'!$AD$4:$AE$8,2,FALSE)))</f>
        <v/>
      </c>
      <c r="Z14" s="565" t="str">
        <f t="shared" si="6"/>
        <v/>
      </c>
      <c r="AA14" s="149"/>
      <c r="AB14" s="150"/>
      <c r="AH14" s="31" t="str">
        <f>IFERROR(INDEX('G-7 Rivers Data'!$AZ$3:$AZ$7,MATCH(C14,'G-7 Rivers Data'!$AY$3:$AY$7,0)),"")</f>
        <v/>
      </c>
    </row>
    <row r="15" spans="2:34" ht="14" x14ac:dyDescent="0.3">
      <c r="B15" s="141">
        <v>4</v>
      </c>
      <c r="C15" s="168"/>
      <c r="D15" s="70"/>
      <c r="E15" s="498" t="str">
        <f>IF(C15="","",VLOOKUP(C15,'G-7 Rivers Data'!$B$2:$G$8,2,FALSE))</f>
        <v/>
      </c>
      <c r="F15" s="499" t="str">
        <f>IFERROR(VLOOKUP(E15,'G-7 Rivers Data'!$C$4:$D$8,2,FALSE),"")</f>
        <v/>
      </c>
      <c r="G15" s="145"/>
      <c r="H15" s="499" t="str">
        <f>IFERROR(INDEX('G-7 Rivers Data'!$H$4:$L$8,MATCH(C15,'G-7 Rivers Data'!$B$4:$B$8,0),MATCH(G15,'G-7 Rivers Data'!$H$3:$L$3,0)),"")</f>
        <v/>
      </c>
      <c r="I15" s="146"/>
      <c r="J15" s="507" t="str">
        <f>IF(I15="","",IF(VLOOKUP(I15,'G-7 Rivers Data'!$AG$4:$AI$9,2,FALSE)=0,"Spatial Data Missing ⚠",VLOOKUP(I15,'G-7 Rivers Data'!$AG$4:$AI$9,2,FALSE)))</f>
        <v/>
      </c>
      <c r="K15" s="499" t="str">
        <f>IF(I15="","",IF(VLOOKUP(I15,'G-7 Rivers Data'!$AG$4:$AI$9,3,FALSE)=0,"Spatial Data Missing ⚠",VLOOKUP(I15,'G-7 Rivers Data'!$AG$4:$AI$9,3,FALSE)))</f>
        <v/>
      </c>
      <c r="L15" s="498" t="str">
        <f>IFERROR(INDEX('G-7 Rivers Data'!$O$3:$O$7,MATCH(G15,'G-7 Rivers Data'!$N$3:$N$7,0)),"")</f>
        <v/>
      </c>
      <c r="M15" s="82"/>
      <c r="N15" s="82"/>
      <c r="O15" s="507" t="str">
        <f t="shared" si="1"/>
        <v/>
      </c>
      <c r="P15" s="521" t="str">
        <f t="shared" si="2"/>
        <v/>
      </c>
      <c r="Q15" s="564" t="str">
        <f>IFERROR(IF(P15="Check Data ⚠","Check Data ⚠",VLOOKUP(P15,'G-4 Temporal multipliers'!$A$4:$C$37,3,FALSE)),"")</f>
        <v/>
      </c>
      <c r="R15" s="498" t="str">
        <f>IF(C15="","",VLOOKUP(C15,'G-7 Rivers Data'!$B$4:$G$8,4,FALSE))</f>
        <v/>
      </c>
      <c r="S15" s="507" t="str">
        <f t="shared" si="3"/>
        <v/>
      </c>
      <c r="T15" s="540" t="str">
        <f t="shared" si="4"/>
        <v/>
      </c>
      <c r="U15" s="499" t="str">
        <f t="shared" si="5"/>
        <v/>
      </c>
      <c r="V15" s="71"/>
      <c r="W15" s="499" t="str">
        <f>IF(V15="","",IF(VLOOKUP(V15,'G-7 Rivers Data'!$AA$4:$AB$7,2,FALSE)=0,"Spatial Data Missing ⚠",VLOOKUP(V15,'G-7 Rivers Data'!$AA$4:$AB$7,2,FALSE)))</f>
        <v/>
      </c>
      <c r="X15" s="78"/>
      <c r="Y15" s="499" t="str">
        <f>IF(X15="","",IF(VLOOKUP(X15,'G-7 Rivers Data'!$AD$4:$AE$8,2,FALSE)=0,"Enrcoachment Data Missing ⚠",VLOOKUP(X15,'G-7 Rivers Data'!$AD$4:$AE$8,2,FALSE)))</f>
        <v/>
      </c>
      <c r="Z15" s="565" t="str">
        <f t="shared" si="6"/>
        <v/>
      </c>
      <c r="AA15" s="149"/>
      <c r="AB15" s="150"/>
      <c r="AH15" s="31" t="str">
        <f>IFERROR(INDEX('G-7 Rivers Data'!$AZ$3:$AZ$7,MATCH(C15,'G-7 Rivers Data'!$AY$3:$AY$7,0)),"")</f>
        <v/>
      </c>
    </row>
    <row r="16" spans="2:34" ht="14" x14ac:dyDescent="0.3">
      <c r="B16" s="141">
        <v>5</v>
      </c>
      <c r="C16" s="171"/>
      <c r="D16" s="172"/>
      <c r="E16" s="498" t="str">
        <f>IF(C16="","",VLOOKUP(C16,'G-7 Rivers Data'!$B$2:$G$8,2,FALSE))</f>
        <v/>
      </c>
      <c r="F16" s="499" t="str">
        <f>IFERROR(VLOOKUP(E16,'G-7 Rivers Data'!$C$4:$D$8,2,FALSE),"")</f>
        <v/>
      </c>
      <c r="G16" s="145"/>
      <c r="H16" s="499" t="str">
        <f>IFERROR(INDEX('G-7 Rivers Data'!$H$4:$L$8,MATCH(C16,'G-7 Rivers Data'!$B$4:$B$8,0),MATCH(G16,'G-7 Rivers Data'!$H$3:$L$3,0)),"")</f>
        <v/>
      </c>
      <c r="I16" s="146"/>
      <c r="J16" s="507" t="str">
        <f>IF(I16="","",IF(VLOOKUP(I16,'G-7 Rivers Data'!$AG$4:$AI$9,2,FALSE)=0,"Spatial Data Missing ⚠",VLOOKUP(I16,'G-7 Rivers Data'!$AG$4:$AI$9,2,FALSE)))</f>
        <v/>
      </c>
      <c r="K16" s="499" t="str">
        <f>IF(I16="","",IF(VLOOKUP(I16,'G-7 Rivers Data'!$AG$4:$AI$9,3,FALSE)=0,"Spatial Data Missing ⚠",VLOOKUP(I16,'G-7 Rivers Data'!$AG$4:$AI$9,3,FALSE)))</f>
        <v/>
      </c>
      <c r="L16" s="498" t="str">
        <f>IFERROR(INDEX('G-7 Rivers Data'!$O$3:$O$7,MATCH(G16,'G-7 Rivers Data'!$N$3:$N$7,0)),"")</f>
        <v/>
      </c>
      <c r="M16" s="82"/>
      <c r="N16" s="195"/>
      <c r="O16" s="507" t="str">
        <f t="shared" si="1"/>
        <v/>
      </c>
      <c r="P16" s="521" t="str">
        <f t="shared" si="2"/>
        <v/>
      </c>
      <c r="Q16" s="564" t="str">
        <f>IFERROR(IF(P16="Check Data ⚠","Check Data ⚠",VLOOKUP(P16,'G-4 Temporal multipliers'!$A$4:$C$37,3,FALSE)),"")</f>
        <v/>
      </c>
      <c r="R16" s="498" t="str">
        <f>IF(C16="","",VLOOKUP(C16,'G-7 Rivers Data'!$B$4:$G$8,4,FALSE))</f>
        <v/>
      </c>
      <c r="S16" s="507" t="str">
        <f t="shared" si="3"/>
        <v/>
      </c>
      <c r="T16" s="540" t="str">
        <f t="shared" si="4"/>
        <v/>
      </c>
      <c r="U16" s="499" t="str">
        <f t="shared" si="5"/>
        <v/>
      </c>
      <c r="V16" s="71"/>
      <c r="W16" s="499" t="str">
        <f>IF(V16="","",IF(VLOOKUP(V16,'G-7 Rivers Data'!$AA$4:$AB$7,2,FALSE)=0,"Spatial Data Missing ⚠",VLOOKUP(V16,'G-7 Rivers Data'!$AA$4:$AB$7,2,FALSE)))</f>
        <v/>
      </c>
      <c r="X16" s="78"/>
      <c r="Y16" s="499" t="str">
        <f>IF(X16="","",IF(VLOOKUP(X16,'G-7 Rivers Data'!$AD$4:$AE$8,2,FALSE)=0,"Enrcoachment Data Missing ⚠",VLOOKUP(X16,'G-7 Rivers Data'!$AD$4:$AE$8,2,FALSE)))</f>
        <v/>
      </c>
      <c r="Z16" s="565" t="str">
        <f t="shared" si="6"/>
        <v/>
      </c>
      <c r="AA16" s="149"/>
      <c r="AB16" s="150"/>
      <c r="AH16" s="31" t="str">
        <f>IFERROR(INDEX('G-7 Rivers Data'!$AZ$3:$AZ$7,MATCH(C16,'G-7 Rivers Data'!$AY$3:$AY$7,0)),"")</f>
        <v/>
      </c>
    </row>
    <row r="17" spans="2:34" ht="14" x14ac:dyDescent="0.3">
      <c r="B17" s="141">
        <v>6</v>
      </c>
      <c r="C17" s="171"/>
      <c r="D17" s="172"/>
      <c r="E17" s="498" t="str">
        <f>IF(C17="","",VLOOKUP(C17,'G-7 Rivers Data'!$B$2:$G$8,2,FALSE))</f>
        <v/>
      </c>
      <c r="F17" s="499" t="str">
        <f>IFERROR(VLOOKUP(E17,'G-7 Rivers Data'!$C$4:$D$8,2,FALSE),"")</f>
        <v/>
      </c>
      <c r="G17" s="145"/>
      <c r="H17" s="499" t="str">
        <f>IFERROR(INDEX('G-7 Rivers Data'!$H$4:$L$8,MATCH(C17,'G-7 Rivers Data'!$B$4:$B$8,0),MATCH(G17,'G-7 Rivers Data'!$H$3:$L$3,0)),"")</f>
        <v/>
      </c>
      <c r="I17" s="154"/>
      <c r="J17" s="507" t="str">
        <f>IF(I17="","",IF(VLOOKUP(I17,'G-7 Rivers Data'!$AG$4:$AI$9,2,FALSE)=0,"Spatial Data Missing ⚠",VLOOKUP(I17,'G-7 Rivers Data'!$AG$4:$AI$9,2,FALSE)))</f>
        <v/>
      </c>
      <c r="K17" s="499" t="str">
        <f>IF(I17="","",IF(VLOOKUP(I17,'G-7 Rivers Data'!$AG$4:$AI$9,3,FALSE)=0,"Spatial Data Missing ⚠",VLOOKUP(I17,'G-7 Rivers Data'!$AG$4:$AI$9,3,FALSE)))</f>
        <v/>
      </c>
      <c r="L17" s="498" t="str">
        <f>IFERROR(INDEX('G-7 Rivers Data'!$O$3:$O$7,MATCH(G17,'G-7 Rivers Data'!$N$3:$N$7,0)),"")</f>
        <v/>
      </c>
      <c r="M17" s="82"/>
      <c r="N17" s="195"/>
      <c r="O17" s="507" t="str">
        <f t="shared" si="1"/>
        <v/>
      </c>
      <c r="P17" s="521" t="str">
        <f t="shared" si="2"/>
        <v/>
      </c>
      <c r="Q17" s="564" t="str">
        <f>IFERROR(IF(P17="Check Data ⚠","Check Data ⚠",VLOOKUP(P17,'G-4 Temporal multipliers'!$A$4:$C$37,3,FALSE)),"")</f>
        <v/>
      </c>
      <c r="R17" s="498" t="str">
        <f>IF(C17="","",VLOOKUP(C17,'G-7 Rivers Data'!$B$4:$G$8,4,FALSE))</f>
        <v/>
      </c>
      <c r="S17" s="507" t="str">
        <f t="shared" si="3"/>
        <v/>
      </c>
      <c r="T17" s="540" t="str">
        <f t="shared" si="4"/>
        <v/>
      </c>
      <c r="U17" s="499" t="str">
        <f t="shared" si="5"/>
        <v/>
      </c>
      <c r="V17" s="71"/>
      <c r="W17" s="499" t="str">
        <f>IF(V17="","",IF(VLOOKUP(V17,'G-7 Rivers Data'!$AA$4:$AB$7,2,FALSE)=0,"Spatial Data Missing ⚠",VLOOKUP(V17,'G-7 Rivers Data'!$AA$4:$AB$7,2,FALSE)))</f>
        <v/>
      </c>
      <c r="X17" s="155"/>
      <c r="Y17" s="499" t="str">
        <f>IF(X17="","",IF(VLOOKUP(X17,'G-7 Rivers Data'!$AD$4:$AE$8,2,FALSE)=0,"Enrcoachment Data Missing ⚠",VLOOKUP(X17,'G-7 Rivers Data'!$AD$4:$AE$8,2,FALSE)))</f>
        <v/>
      </c>
      <c r="Z17" s="565" t="str">
        <f t="shared" si="6"/>
        <v/>
      </c>
      <c r="AA17" s="149"/>
      <c r="AB17" s="150"/>
      <c r="AH17" s="31" t="str">
        <f>IFERROR(INDEX('G-7 Rivers Data'!$AZ$3:$AZ$7,MATCH(C17,'G-7 Rivers Data'!$AY$3:$AY$7,0)),"")</f>
        <v/>
      </c>
    </row>
    <row r="18" spans="2:34" ht="14" x14ac:dyDescent="0.3">
      <c r="B18" s="141">
        <v>7</v>
      </c>
      <c r="C18" s="171"/>
      <c r="D18" s="172"/>
      <c r="E18" s="498" t="str">
        <f>IF(C18="","",VLOOKUP(C18,'G-7 Rivers Data'!$B$2:$G$8,2,FALSE))</f>
        <v/>
      </c>
      <c r="F18" s="499" t="str">
        <f>IFERROR(VLOOKUP(E18,'G-7 Rivers Data'!$C$4:$D$8,2,FALSE),"")</f>
        <v/>
      </c>
      <c r="G18" s="145"/>
      <c r="H18" s="499" t="str">
        <f>IFERROR(INDEX('G-7 Rivers Data'!$H$4:$L$8,MATCH(C18,'G-7 Rivers Data'!$B$4:$B$8,0),MATCH(G18,'G-7 Rivers Data'!$H$3:$L$3,0)),"")</f>
        <v/>
      </c>
      <c r="I18" s="154"/>
      <c r="J18" s="507" t="str">
        <f>IF(I18="","",IF(VLOOKUP(I18,'G-7 Rivers Data'!$AG$4:$AI$9,2,FALSE)=0,"Spatial Data Missing ⚠",VLOOKUP(I18,'G-7 Rivers Data'!$AG$4:$AI$9,2,FALSE)))</f>
        <v/>
      </c>
      <c r="K18" s="499" t="str">
        <f>IF(I18="","",IF(VLOOKUP(I18,'G-7 Rivers Data'!$AG$4:$AI$9,3,FALSE)=0,"Spatial Data Missing ⚠",VLOOKUP(I18,'G-7 Rivers Data'!$AG$4:$AI$9,3,FALSE)))</f>
        <v/>
      </c>
      <c r="L18" s="498" t="str">
        <f>IFERROR(INDEX('G-7 Rivers Data'!$O$3:$O$7,MATCH(G18,'G-7 Rivers Data'!$N$3:$N$7,0)),"")</f>
        <v/>
      </c>
      <c r="M18" s="82"/>
      <c r="N18" s="195"/>
      <c r="O18" s="507" t="str">
        <f t="shared" si="1"/>
        <v/>
      </c>
      <c r="P18" s="521" t="str">
        <f t="shared" si="2"/>
        <v/>
      </c>
      <c r="Q18" s="564" t="str">
        <f>IFERROR(IF(P18="Check Data ⚠","Check Data ⚠",VLOOKUP(P18,'G-4 Temporal multipliers'!$A$4:$C$37,3,FALSE)),"")</f>
        <v/>
      </c>
      <c r="R18" s="498" t="str">
        <f>IF(C18="","",VLOOKUP(C18,'G-7 Rivers Data'!$B$4:$G$8,4,FALSE))</f>
        <v/>
      </c>
      <c r="S18" s="507" t="str">
        <f t="shared" si="3"/>
        <v/>
      </c>
      <c r="T18" s="540" t="str">
        <f t="shared" si="4"/>
        <v/>
      </c>
      <c r="U18" s="499" t="str">
        <f t="shared" si="5"/>
        <v/>
      </c>
      <c r="V18" s="71"/>
      <c r="W18" s="499" t="str">
        <f>IF(V18="","",IF(VLOOKUP(V18,'G-7 Rivers Data'!$AA$4:$AB$7,2,FALSE)=0,"Spatial Data Missing ⚠",VLOOKUP(V18,'G-7 Rivers Data'!$AA$4:$AB$7,2,FALSE)))</f>
        <v/>
      </c>
      <c r="X18" s="155"/>
      <c r="Y18" s="499" t="str">
        <f>IF(X18="","",IF(VLOOKUP(X18,'G-7 Rivers Data'!$AD$4:$AE$8,2,FALSE)=0,"Enrcoachment Data Missing ⚠",VLOOKUP(X18,'G-7 Rivers Data'!$AD$4:$AE$8,2,FALSE)))</f>
        <v/>
      </c>
      <c r="Z18" s="565" t="str">
        <f t="shared" si="6"/>
        <v/>
      </c>
      <c r="AA18" s="149"/>
      <c r="AB18" s="150"/>
      <c r="AH18" s="31" t="str">
        <f>IFERROR(INDEX('G-7 Rivers Data'!$AZ$3:$AZ$7,MATCH(C18,'G-7 Rivers Data'!$AY$3:$AY$7,0)),"")</f>
        <v/>
      </c>
    </row>
    <row r="19" spans="2:34" ht="14" x14ac:dyDescent="0.3">
      <c r="B19" s="141">
        <v>8</v>
      </c>
      <c r="C19" s="171"/>
      <c r="D19" s="172"/>
      <c r="E19" s="498" t="str">
        <f>IF(C19="","",VLOOKUP(C19,'G-7 Rivers Data'!$B$2:$G$8,2,FALSE))</f>
        <v/>
      </c>
      <c r="F19" s="499" t="str">
        <f>IFERROR(VLOOKUP(E19,'G-7 Rivers Data'!$C$4:$D$8,2,FALSE),"")</f>
        <v/>
      </c>
      <c r="G19" s="145"/>
      <c r="H19" s="499" t="str">
        <f>IFERROR(INDEX('G-7 Rivers Data'!$H$4:$L$8,MATCH(C19,'G-7 Rivers Data'!$B$4:$B$8,0),MATCH(G19,'G-7 Rivers Data'!$H$3:$L$3,0)),"")</f>
        <v/>
      </c>
      <c r="I19" s="154"/>
      <c r="J19" s="507" t="str">
        <f>IF(I19="","",IF(VLOOKUP(I19,'G-7 Rivers Data'!$AG$4:$AI$9,2,FALSE)=0,"Spatial Data Missing ⚠",VLOOKUP(I19,'G-7 Rivers Data'!$AG$4:$AI$9,2,FALSE)))</f>
        <v/>
      </c>
      <c r="K19" s="499" t="str">
        <f>IF(I19="","",IF(VLOOKUP(I19,'G-7 Rivers Data'!$AG$4:$AI$9,3,FALSE)=0,"Spatial Data Missing ⚠",VLOOKUP(I19,'G-7 Rivers Data'!$AG$4:$AI$9,3,FALSE)))</f>
        <v/>
      </c>
      <c r="L19" s="498" t="str">
        <f>IFERROR(INDEX('G-7 Rivers Data'!$O$3:$O$7,MATCH(G19,'G-7 Rivers Data'!$N$3:$N$7,0)),"")</f>
        <v/>
      </c>
      <c r="M19" s="82"/>
      <c r="N19" s="195"/>
      <c r="O19" s="507" t="str">
        <f t="shared" si="1"/>
        <v/>
      </c>
      <c r="P19" s="521" t="str">
        <f t="shared" si="2"/>
        <v/>
      </c>
      <c r="Q19" s="564" t="str">
        <f>IFERROR(IF(P19="Check Data ⚠","Check Data ⚠",VLOOKUP(P19,'G-4 Temporal multipliers'!$A$4:$C$37,3,FALSE)),"")</f>
        <v/>
      </c>
      <c r="R19" s="498" t="str">
        <f>IF(C19="","",VLOOKUP(C19,'G-7 Rivers Data'!$B$4:$G$8,4,FALSE))</f>
        <v/>
      </c>
      <c r="S19" s="507" t="str">
        <f t="shared" si="3"/>
        <v/>
      </c>
      <c r="T19" s="540" t="str">
        <f t="shared" si="4"/>
        <v/>
      </c>
      <c r="U19" s="499" t="str">
        <f t="shared" si="5"/>
        <v/>
      </c>
      <c r="V19" s="71"/>
      <c r="W19" s="499" t="str">
        <f>IF(V19="","",IF(VLOOKUP(V19,'G-7 Rivers Data'!$AA$4:$AB$7,2,FALSE)=0,"Spatial Data Missing ⚠",VLOOKUP(V19,'G-7 Rivers Data'!$AA$4:$AB$7,2,FALSE)))</f>
        <v/>
      </c>
      <c r="X19" s="155"/>
      <c r="Y19" s="499" t="str">
        <f>IF(X19="","",IF(VLOOKUP(X19,'G-7 Rivers Data'!$AD$4:$AE$8,2,FALSE)=0,"Enrcoachment Data Missing ⚠",VLOOKUP(X19,'G-7 Rivers Data'!$AD$4:$AE$8,2,FALSE)))</f>
        <v/>
      </c>
      <c r="Z19" s="565" t="str">
        <f t="shared" si="6"/>
        <v/>
      </c>
      <c r="AA19" s="149"/>
      <c r="AB19" s="150"/>
      <c r="AH19" s="31" t="str">
        <f>IFERROR(INDEX('G-7 Rivers Data'!$AZ$3:$AZ$7,MATCH(C19,'G-7 Rivers Data'!$AY$3:$AY$7,0)),"")</f>
        <v/>
      </c>
    </row>
    <row r="20" spans="2:34" ht="14" x14ac:dyDescent="0.3">
      <c r="B20" s="141">
        <v>9</v>
      </c>
      <c r="C20" s="171"/>
      <c r="D20" s="172"/>
      <c r="E20" s="498" t="str">
        <f>IF(C20="","",VLOOKUP(C20,'G-7 Rivers Data'!$B$2:$G$8,2,FALSE))</f>
        <v/>
      </c>
      <c r="F20" s="499" t="str">
        <f>IFERROR(VLOOKUP(E20,'G-7 Rivers Data'!$C$4:$D$8,2,FALSE),"")</f>
        <v/>
      </c>
      <c r="G20" s="145"/>
      <c r="H20" s="499" t="str">
        <f>IFERROR(INDEX('G-7 Rivers Data'!$H$4:$L$8,MATCH(C20,'G-7 Rivers Data'!$B$4:$B$8,0),MATCH(G20,'G-7 Rivers Data'!$H$3:$L$3,0)),"")</f>
        <v/>
      </c>
      <c r="I20" s="154"/>
      <c r="J20" s="507" t="str">
        <f>IF(I20="","",IF(VLOOKUP(I20,'G-7 Rivers Data'!$AG$4:$AI$9,2,FALSE)=0,"Spatial Data Missing ⚠",VLOOKUP(I20,'G-7 Rivers Data'!$AG$4:$AI$9,2,FALSE)))</f>
        <v/>
      </c>
      <c r="K20" s="499" t="str">
        <f>IF(I20="","",IF(VLOOKUP(I20,'G-7 Rivers Data'!$AG$4:$AI$9,3,FALSE)=0,"Spatial Data Missing ⚠",VLOOKUP(I20,'G-7 Rivers Data'!$AG$4:$AI$9,3,FALSE)))</f>
        <v/>
      </c>
      <c r="L20" s="498" t="str">
        <f>IFERROR(INDEX('G-7 Rivers Data'!$O$3:$O$7,MATCH(G20,'G-7 Rivers Data'!$N$3:$N$7,0)),"")</f>
        <v/>
      </c>
      <c r="M20" s="82"/>
      <c r="N20" s="195"/>
      <c r="O20" s="507" t="str">
        <f t="shared" si="1"/>
        <v/>
      </c>
      <c r="P20" s="521" t="str">
        <f t="shared" si="2"/>
        <v/>
      </c>
      <c r="Q20" s="564" t="str">
        <f>IFERROR(IF(P20="Check Data ⚠","Check Data ⚠",VLOOKUP(P20,'G-4 Temporal multipliers'!$A$4:$C$37,3,FALSE)),"")</f>
        <v/>
      </c>
      <c r="R20" s="498" t="str">
        <f>IF(C20="","",VLOOKUP(C20,'G-7 Rivers Data'!$B$4:$G$8,4,FALSE))</f>
        <v/>
      </c>
      <c r="S20" s="507" t="str">
        <f t="shared" si="3"/>
        <v/>
      </c>
      <c r="T20" s="540" t="str">
        <f t="shared" si="4"/>
        <v/>
      </c>
      <c r="U20" s="499" t="str">
        <f t="shared" si="5"/>
        <v/>
      </c>
      <c r="V20" s="71"/>
      <c r="W20" s="499" t="str">
        <f>IF(V20="","",IF(VLOOKUP(V20,'G-7 Rivers Data'!$AA$4:$AB$7,2,FALSE)=0,"Spatial Data Missing ⚠",VLOOKUP(V20,'G-7 Rivers Data'!$AA$4:$AB$7,2,FALSE)))</f>
        <v/>
      </c>
      <c r="X20" s="155"/>
      <c r="Y20" s="499" t="str">
        <f>IF(X20="","",IF(VLOOKUP(X20,'G-7 Rivers Data'!$AD$4:$AE$8,2,FALSE)=0,"Enrcoachment Data Missing ⚠",VLOOKUP(X20,'G-7 Rivers Data'!$AD$4:$AE$8,2,FALSE)))</f>
        <v/>
      </c>
      <c r="Z20" s="565" t="str">
        <f t="shared" si="6"/>
        <v/>
      </c>
      <c r="AA20" s="149"/>
      <c r="AB20" s="150"/>
      <c r="AH20" s="31" t="str">
        <f>IFERROR(INDEX('G-7 Rivers Data'!$AZ$3:$AZ$7,MATCH(C20,'G-7 Rivers Data'!$AY$3:$AY$7,0)),"")</f>
        <v/>
      </c>
    </row>
    <row r="21" spans="2:34" ht="14" x14ac:dyDescent="0.3">
      <c r="B21" s="141">
        <v>10</v>
      </c>
      <c r="C21" s="171"/>
      <c r="D21" s="172"/>
      <c r="E21" s="498" t="str">
        <f>IF(C21="","",VLOOKUP(C21,'G-7 Rivers Data'!$B$2:$G$8,2,FALSE))</f>
        <v/>
      </c>
      <c r="F21" s="499" t="str">
        <f>IFERROR(VLOOKUP(E21,'G-7 Rivers Data'!$C$4:$D$8,2,FALSE),"")</f>
        <v/>
      </c>
      <c r="G21" s="145"/>
      <c r="H21" s="499" t="str">
        <f>IFERROR(INDEX('G-7 Rivers Data'!$H$4:$L$8,MATCH(C21,'G-7 Rivers Data'!$B$4:$B$8,0),MATCH(G21,'G-7 Rivers Data'!$H$3:$L$3,0)),"")</f>
        <v/>
      </c>
      <c r="I21" s="154"/>
      <c r="J21" s="507" t="str">
        <f>IF(I21="","",IF(VLOOKUP(I21,'G-7 Rivers Data'!$AG$4:$AI$9,2,FALSE)=0,"Spatial Data Missing ⚠",VLOOKUP(I21,'G-7 Rivers Data'!$AG$4:$AI$9,2,FALSE)))</f>
        <v/>
      </c>
      <c r="K21" s="499" t="str">
        <f>IF(I21="","",IF(VLOOKUP(I21,'G-7 Rivers Data'!$AG$4:$AI$9,3,FALSE)=0,"Spatial Data Missing ⚠",VLOOKUP(I21,'G-7 Rivers Data'!$AG$4:$AI$9,3,FALSE)))</f>
        <v/>
      </c>
      <c r="L21" s="498" t="str">
        <f>IFERROR(INDEX('G-7 Rivers Data'!$O$3:$O$7,MATCH(G21,'G-7 Rivers Data'!$N$3:$N$7,0)),"")</f>
        <v/>
      </c>
      <c r="M21" s="82"/>
      <c r="N21" s="195"/>
      <c r="O21" s="507" t="str">
        <f t="shared" si="1"/>
        <v/>
      </c>
      <c r="P21" s="521" t="str">
        <f t="shared" si="2"/>
        <v/>
      </c>
      <c r="Q21" s="564" t="str">
        <f>IFERROR(IF(P21="Check Data ⚠","Check Data ⚠",VLOOKUP(P21,'G-4 Temporal multipliers'!$A$4:$C$37,3,FALSE)),"")</f>
        <v/>
      </c>
      <c r="R21" s="498" t="str">
        <f>IF(C21="","",VLOOKUP(C21,'G-7 Rivers Data'!$B$4:$G$8,4,FALSE))</f>
        <v/>
      </c>
      <c r="S21" s="507" t="str">
        <f t="shared" si="3"/>
        <v/>
      </c>
      <c r="T21" s="540" t="str">
        <f t="shared" si="4"/>
        <v/>
      </c>
      <c r="U21" s="499" t="str">
        <f t="shared" si="5"/>
        <v/>
      </c>
      <c r="V21" s="71"/>
      <c r="W21" s="499" t="str">
        <f>IF(V21="","",IF(VLOOKUP(V21,'G-7 Rivers Data'!$AA$4:$AB$7,2,FALSE)=0,"Spatial Data Missing ⚠",VLOOKUP(V21,'G-7 Rivers Data'!$AA$4:$AB$7,2,FALSE)))</f>
        <v/>
      </c>
      <c r="X21" s="155"/>
      <c r="Y21" s="499" t="str">
        <f>IF(X21="","",IF(VLOOKUP(X21,'G-7 Rivers Data'!$AD$4:$AE$8,2,FALSE)=0,"Enrcoachment Data Missing ⚠",VLOOKUP(X21,'G-7 Rivers Data'!$AD$4:$AE$8,2,FALSE)))</f>
        <v/>
      </c>
      <c r="Z21" s="565" t="str">
        <f t="shared" si="6"/>
        <v/>
      </c>
      <c r="AA21" s="149"/>
      <c r="AB21" s="150"/>
      <c r="AH21" s="31" t="str">
        <f>IFERROR(INDEX('G-7 Rivers Data'!$AZ$3:$AZ$7,MATCH(C21,'G-7 Rivers Data'!$AY$3:$AY$7,0)),"")</f>
        <v/>
      </c>
    </row>
    <row r="22" spans="2:34" ht="14" x14ac:dyDescent="0.3">
      <c r="B22" s="141">
        <v>11</v>
      </c>
      <c r="C22" s="171"/>
      <c r="D22" s="172"/>
      <c r="E22" s="498" t="str">
        <f>IF(C22="","",VLOOKUP(C22,'G-7 Rivers Data'!$B$2:$G$8,2,FALSE))</f>
        <v/>
      </c>
      <c r="F22" s="499" t="str">
        <f>IFERROR(VLOOKUP(E22,'G-7 Rivers Data'!$C$4:$D$8,2,FALSE),"")</f>
        <v/>
      </c>
      <c r="G22" s="145"/>
      <c r="H22" s="499" t="str">
        <f>IFERROR(INDEX('G-7 Rivers Data'!$H$4:$L$8,MATCH(C22,'G-7 Rivers Data'!$B$4:$B$8,0),MATCH(G22,'G-7 Rivers Data'!$H$3:$L$3,0)),"")</f>
        <v/>
      </c>
      <c r="I22" s="154"/>
      <c r="J22" s="507" t="str">
        <f>IF(I22="","",IF(VLOOKUP(I22,'G-7 Rivers Data'!$AG$4:$AI$9,2,FALSE)=0,"Spatial Data Missing ⚠",VLOOKUP(I22,'G-7 Rivers Data'!$AG$4:$AI$9,2,FALSE)))</f>
        <v/>
      </c>
      <c r="K22" s="499" t="str">
        <f>IF(I22="","",IF(VLOOKUP(I22,'G-7 Rivers Data'!$AG$4:$AI$9,3,FALSE)=0,"Spatial Data Missing ⚠",VLOOKUP(I22,'G-7 Rivers Data'!$AG$4:$AI$9,3,FALSE)))</f>
        <v/>
      </c>
      <c r="L22" s="498" t="str">
        <f>IFERROR(INDEX('G-7 Rivers Data'!$O$3:$O$7,MATCH(G22,'G-7 Rivers Data'!$N$3:$N$7,0)),"")</f>
        <v/>
      </c>
      <c r="M22" s="82"/>
      <c r="N22" s="195"/>
      <c r="O22" s="507" t="str">
        <f t="shared" si="1"/>
        <v/>
      </c>
      <c r="P22" s="521" t="str">
        <f t="shared" si="2"/>
        <v/>
      </c>
      <c r="Q22" s="564" t="str">
        <f>IFERROR(IF(P22="Check Data ⚠","Check Data ⚠",VLOOKUP(P22,'G-4 Temporal multipliers'!$A$4:$C$37,3,FALSE)),"")</f>
        <v/>
      </c>
      <c r="R22" s="498" t="str">
        <f>IF(C22="","",VLOOKUP(C22,'G-7 Rivers Data'!$B$4:$G$8,4,FALSE))</f>
        <v/>
      </c>
      <c r="S22" s="507" t="str">
        <f t="shared" si="3"/>
        <v/>
      </c>
      <c r="T22" s="540" t="str">
        <f t="shared" si="4"/>
        <v/>
      </c>
      <c r="U22" s="499" t="str">
        <f t="shared" si="5"/>
        <v/>
      </c>
      <c r="V22" s="71"/>
      <c r="W22" s="499" t="str">
        <f>IF(V22="","",IF(VLOOKUP(V22,'G-7 Rivers Data'!$AA$4:$AB$7,2,FALSE)=0,"Spatial Data Missing ⚠",VLOOKUP(V22,'G-7 Rivers Data'!$AA$4:$AB$7,2,FALSE)))</f>
        <v/>
      </c>
      <c r="X22" s="155"/>
      <c r="Y22" s="499" t="str">
        <f>IF(X22="","",IF(VLOOKUP(X22,'G-7 Rivers Data'!$AD$4:$AE$8,2,FALSE)=0,"Enrcoachment Data Missing ⚠",VLOOKUP(X22,'G-7 Rivers Data'!$AD$4:$AE$8,2,FALSE)))</f>
        <v/>
      </c>
      <c r="Z22" s="565" t="str">
        <f t="shared" si="6"/>
        <v/>
      </c>
      <c r="AA22" s="149"/>
      <c r="AB22" s="150"/>
      <c r="AH22" s="31" t="str">
        <f>IFERROR(INDEX('G-7 Rivers Data'!$AZ$3:$AZ$7,MATCH(C22,'G-7 Rivers Data'!$AY$3:$AY$7,0)),"")</f>
        <v/>
      </c>
    </row>
    <row r="23" spans="2:34" ht="14" x14ac:dyDescent="0.3">
      <c r="B23" s="141">
        <v>12</v>
      </c>
      <c r="C23" s="171"/>
      <c r="D23" s="172"/>
      <c r="E23" s="498" t="str">
        <f>IF(C23="","",VLOOKUP(C23,'G-7 Rivers Data'!$B$2:$G$8,2,FALSE))</f>
        <v/>
      </c>
      <c r="F23" s="499" t="str">
        <f>IFERROR(VLOOKUP(E23,'G-7 Rivers Data'!$C$4:$D$8,2,FALSE),"")</f>
        <v/>
      </c>
      <c r="G23" s="145"/>
      <c r="H23" s="499" t="str">
        <f>IFERROR(INDEX('G-7 Rivers Data'!$H$4:$L$8,MATCH(C23,'G-7 Rivers Data'!$B$4:$B$8,0),MATCH(G23,'G-7 Rivers Data'!$H$3:$L$3,0)),"")</f>
        <v/>
      </c>
      <c r="I23" s="154"/>
      <c r="J23" s="507" t="str">
        <f>IF(I23="","",IF(VLOOKUP(I23,'G-7 Rivers Data'!$AG$4:$AI$9,2,FALSE)=0,"Spatial Data Missing ⚠",VLOOKUP(I23,'G-7 Rivers Data'!$AG$4:$AI$9,2,FALSE)))</f>
        <v/>
      </c>
      <c r="K23" s="499" t="str">
        <f>IF(I23="","",IF(VLOOKUP(I23,'G-7 Rivers Data'!$AG$4:$AI$9,3,FALSE)=0,"Spatial Data Missing ⚠",VLOOKUP(I23,'G-7 Rivers Data'!$AG$4:$AI$9,3,FALSE)))</f>
        <v/>
      </c>
      <c r="L23" s="498" t="str">
        <f>IFERROR(INDEX('G-7 Rivers Data'!$O$3:$O$7,MATCH(G23,'G-7 Rivers Data'!$N$3:$N$7,0)),"")</f>
        <v/>
      </c>
      <c r="M23" s="82"/>
      <c r="N23" s="195"/>
      <c r="O23" s="507" t="str">
        <f t="shared" si="1"/>
        <v/>
      </c>
      <c r="P23" s="521" t="str">
        <f t="shared" si="2"/>
        <v/>
      </c>
      <c r="Q23" s="564" t="str">
        <f>IFERROR(IF(P23="Check Data ⚠","Check Data ⚠",VLOOKUP(P23,'G-4 Temporal multipliers'!$A$4:$C$37,3,FALSE)),"")</f>
        <v/>
      </c>
      <c r="R23" s="498" t="str">
        <f>IF(C23="","",VLOOKUP(C23,'G-7 Rivers Data'!$B$4:$G$8,4,FALSE))</f>
        <v/>
      </c>
      <c r="S23" s="507" t="str">
        <f t="shared" si="3"/>
        <v/>
      </c>
      <c r="T23" s="540" t="str">
        <f t="shared" si="4"/>
        <v/>
      </c>
      <c r="U23" s="499" t="str">
        <f t="shared" si="5"/>
        <v/>
      </c>
      <c r="V23" s="71"/>
      <c r="W23" s="499" t="str">
        <f>IF(V23="","",IF(VLOOKUP(V23,'G-7 Rivers Data'!$AA$4:$AB$7,2,FALSE)=0,"Spatial Data Missing ⚠",VLOOKUP(V23,'G-7 Rivers Data'!$AA$4:$AB$7,2,FALSE)))</f>
        <v/>
      </c>
      <c r="X23" s="155"/>
      <c r="Y23" s="499" t="str">
        <f>IF(X23="","",IF(VLOOKUP(X23,'G-7 Rivers Data'!$AD$4:$AE$8,2,FALSE)=0,"Enrcoachment Data Missing ⚠",VLOOKUP(X23,'G-7 Rivers Data'!$AD$4:$AE$8,2,FALSE)))</f>
        <v/>
      </c>
      <c r="Z23" s="565" t="str">
        <f t="shared" si="6"/>
        <v/>
      </c>
      <c r="AA23" s="149"/>
      <c r="AB23" s="150"/>
      <c r="AH23" s="31" t="str">
        <f>IFERROR(INDEX('G-7 Rivers Data'!$AZ$3:$AZ$7,MATCH(C23,'G-7 Rivers Data'!$AY$3:$AY$7,0)),"")</f>
        <v/>
      </c>
    </row>
    <row r="24" spans="2:34" ht="14" x14ac:dyDescent="0.3">
      <c r="B24" s="141">
        <v>13</v>
      </c>
      <c r="C24" s="171"/>
      <c r="D24" s="172"/>
      <c r="E24" s="498" t="str">
        <f>IF(C24="","",VLOOKUP(C24,'G-7 Rivers Data'!$B$2:$G$8,2,FALSE))</f>
        <v/>
      </c>
      <c r="F24" s="499" t="str">
        <f>IFERROR(VLOOKUP(E24,'G-7 Rivers Data'!$C$4:$D$8,2,FALSE),"")</f>
        <v/>
      </c>
      <c r="G24" s="145"/>
      <c r="H24" s="499" t="str">
        <f>IFERROR(INDEX('G-7 Rivers Data'!$H$4:$L$8,MATCH(C24,'G-7 Rivers Data'!$B$4:$B$8,0),MATCH(G24,'G-7 Rivers Data'!$H$3:$L$3,0)),"")</f>
        <v/>
      </c>
      <c r="I24" s="154"/>
      <c r="J24" s="507" t="str">
        <f>IF(I24="","",IF(VLOOKUP(I24,'G-7 Rivers Data'!$AG$4:$AI$9,2,FALSE)=0,"Spatial Data Missing ⚠",VLOOKUP(I24,'G-7 Rivers Data'!$AG$4:$AI$9,2,FALSE)))</f>
        <v/>
      </c>
      <c r="K24" s="499" t="str">
        <f>IF(I24="","",IF(VLOOKUP(I24,'G-7 Rivers Data'!$AG$4:$AI$9,3,FALSE)=0,"Spatial Data Missing ⚠",VLOOKUP(I24,'G-7 Rivers Data'!$AG$4:$AI$9,3,FALSE)))</f>
        <v/>
      </c>
      <c r="L24" s="498" t="str">
        <f>IFERROR(INDEX('G-7 Rivers Data'!$O$3:$O$7,MATCH(G24,'G-7 Rivers Data'!$N$3:$N$7,0)),"")</f>
        <v/>
      </c>
      <c r="M24" s="82"/>
      <c r="N24" s="195"/>
      <c r="O24" s="507" t="str">
        <f t="shared" si="1"/>
        <v/>
      </c>
      <c r="P24" s="521" t="str">
        <f t="shared" si="2"/>
        <v/>
      </c>
      <c r="Q24" s="564" t="str">
        <f>IFERROR(IF(P24="Check Data ⚠","Check Data ⚠",VLOOKUP(P24,'G-4 Temporal multipliers'!$A$4:$C$37,3,FALSE)),"")</f>
        <v/>
      </c>
      <c r="R24" s="498" t="str">
        <f>IF(C24="","",VLOOKUP(C24,'G-7 Rivers Data'!$B$4:$G$8,4,FALSE))</f>
        <v/>
      </c>
      <c r="S24" s="507" t="str">
        <f t="shared" si="3"/>
        <v/>
      </c>
      <c r="T24" s="540" t="str">
        <f t="shared" si="4"/>
        <v/>
      </c>
      <c r="U24" s="499" t="str">
        <f t="shared" si="5"/>
        <v/>
      </c>
      <c r="V24" s="71"/>
      <c r="W24" s="499" t="str">
        <f>IF(V24="","",IF(VLOOKUP(V24,'G-7 Rivers Data'!$AA$4:$AB$7,2,FALSE)=0,"Spatial Data Missing ⚠",VLOOKUP(V24,'G-7 Rivers Data'!$AA$4:$AB$7,2,FALSE)))</f>
        <v/>
      </c>
      <c r="X24" s="155"/>
      <c r="Y24" s="499" t="str">
        <f>IF(X24="","",IF(VLOOKUP(X24,'G-7 Rivers Data'!$AD$4:$AE$8,2,FALSE)=0,"Enrcoachment Data Missing ⚠",VLOOKUP(X24,'G-7 Rivers Data'!$AD$4:$AE$8,2,FALSE)))</f>
        <v/>
      </c>
      <c r="Z24" s="565" t="str">
        <f t="shared" si="6"/>
        <v/>
      </c>
      <c r="AA24" s="149"/>
      <c r="AB24" s="150"/>
      <c r="AH24" s="31" t="str">
        <f>IFERROR(INDEX('G-7 Rivers Data'!$AZ$3:$AZ$7,MATCH(C24,'G-7 Rivers Data'!$AY$3:$AY$7,0)),"")</f>
        <v/>
      </c>
    </row>
    <row r="25" spans="2:34" ht="14" x14ac:dyDescent="0.3">
      <c r="B25" s="141">
        <v>14</v>
      </c>
      <c r="C25" s="171"/>
      <c r="D25" s="172"/>
      <c r="E25" s="498" t="str">
        <f>IF(C25="","",VLOOKUP(C25,'G-7 Rivers Data'!$B$2:$G$8,2,FALSE))</f>
        <v/>
      </c>
      <c r="F25" s="499" t="str">
        <f>IFERROR(VLOOKUP(E25,'G-7 Rivers Data'!$C$4:$D$8,2,FALSE),"")</f>
        <v/>
      </c>
      <c r="G25" s="145"/>
      <c r="H25" s="499" t="str">
        <f>IFERROR(INDEX('G-7 Rivers Data'!$H$4:$L$8,MATCH(C25,'G-7 Rivers Data'!$B$4:$B$8,0),MATCH(G25,'G-7 Rivers Data'!$H$3:$L$3,0)),"")</f>
        <v/>
      </c>
      <c r="I25" s="154"/>
      <c r="J25" s="507" t="str">
        <f>IF(I25="","",IF(VLOOKUP(I25,'G-7 Rivers Data'!$AG$4:$AI$9,2,FALSE)=0,"Spatial Data Missing ⚠",VLOOKUP(I25,'G-7 Rivers Data'!$AG$4:$AI$9,2,FALSE)))</f>
        <v/>
      </c>
      <c r="K25" s="499" t="str">
        <f>IF(I25="","",IF(VLOOKUP(I25,'G-7 Rivers Data'!$AG$4:$AI$9,3,FALSE)=0,"Spatial Data Missing ⚠",VLOOKUP(I25,'G-7 Rivers Data'!$AG$4:$AI$9,3,FALSE)))</f>
        <v/>
      </c>
      <c r="L25" s="498" t="str">
        <f>IFERROR(INDEX('G-7 Rivers Data'!$O$3:$O$7,MATCH(G25,'G-7 Rivers Data'!$N$3:$N$7,0)),"")</f>
        <v/>
      </c>
      <c r="M25" s="82"/>
      <c r="N25" s="195"/>
      <c r="O25" s="507" t="str">
        <f t="shared" si="1"/>
        <v/>
      </c>
      <c r="P25" s="521" t="str">
        <f t="shared" si="2"/>
        <v/>
      </c>
      <c r="Q25" s="564" t="str">
        <f>IFERROR(IF(P25="Check Data ⚠","Check Data ⚠",VLOOKUP(P25,'G-4 Temporal multipliers'!$A$4:$C$37,3,FALSE)),"")</f>
        <v/>
      </c>
      <c r="R25" s="498" t="str">
        <f>IF(C25="","",VLOOKUP(C25,'G-7 Rivers Data'!$B$4:$G$8,4,FALSE))</f>
        <v/>
      </c>
      <c r="S25" s="507" t="str">
        <f t="shared" si="3"/>
        <v/>
      </c>
      <c r="T25" s="540" t="str">
        <f t="shared" si="4"/>
        <v/>
      </c>
      <c r="U25" s="499" t="str">
        <f t="shared" si="5"/>
        <v/>
      </c>
      <c r="V25" s="71"/>
      <c r="W25" s="499" t="str">
        <f>IF(V25="","",IF(VLOOKUP(V25,'G-7 Rivers Data'!$AA$4:$AB$7,2,FALSE)=0,"Spatial Data Missing ⚠",VLOOKUP(V25,'G-7 Rivers Data'!$AA$4:$AB$7,2,FALSE)))</f>
        <v/>
      </c>
      <c r="X25" s="155"/>
      <c r="Y25" s="499" t="str">
        <f>IF(X25="","",IF(VLOOKUP(X25,'G-7 Rivers Data'!$AD$4:$AE$8,2,FALSE)=0,"Enrcoachment Data Missing ⚠",VLOOKUP(X25,'G-7 Rivers Data'!$AD$4:$AE$8,2,FALSE)))</f>
        <v/>
      </c>
      <c r="Z25" s="565" t="str">
        <f t="shared" si="6"/>
        <v/>
      </c>
      <c r="AA25" s="149"/>
      <c r="AB25" s="150"/>
      <c r="AH25" s="31" t="str">
        <f>IFERROR(INDEX('G-7 Rivers Data'!$AZ$3:$AZ$7,MATCH(C25,'G-7 Rivers Data'!$AY$3:$AY$7,0)),"")</f>
        <v/>
      </c>
    </row>
    <row r="26" spans="2:34" ht="14" x14ac:dyDescent="0.3">
      <c r="B26" s="141">
        <v>15</v>
      </c>
      <c r="C26" s="171"/>
      <c r="D26" s="172"/>
      <c r="E26" s="498" t="str">
        <f>IF(C26="","",VLOOKUP(C26,'G-7 Rivers Data'!$B$2:$G$8,2,FALSE))</f>
        <v/>
      </c>
      <c r="F26" s="499" t="str">
        <f>IFERROR(VLOOKUP(E26,'G-7 Rivers Data'!$C$4:$D$8,2,FALSE),"")</f>
        <v/>
      </c>
      <c r="G26" s="145"/>
      <c r="H26" s="499" t="str">
        <f>IFERROR(INDEX('G-7 Rivers Data'!$H$4:$L$8,MATCH(C26,'G-7 Rivers Data'!$B$4:$B$8,0),MATCH(G26,'G-7 Rivers Data'!$H$3:$L$3,0)),"")</f>
        <v/>
      </c>
      <c r="I26" s="154"/>
      <c r="J26" s="507" t="str">
        <f>IF(I26="","",IF(VLOOKUP(I26,'G-7 Rivers Data'!$AG$4:$AI$9,2,FALSE)=0,"Spatial Data Missing ⚠",VLOOKUP(I26,'G-7 Rivers Data'!$AG$4:$AI$9,2,FALSE)))</f>
        <v/>
      </c>
      <c r="K26" s="499" t="str">
        <f>IF(I26="","",IF(VLOOKUP(I26,'G-7 Rivers Data'!$AG$4:$AI$9,3,FALSE)=0,"Spatial Data Missing ⚠",VLOOKUP(I26,'G-7 Rivers Data'!$AG$4:$AI$9,3,FALSE)))</f>
        <v/>
      </c>
      <c r="L26" s="498" t="str">
        <f>IFERROR(INDEX('G-7 Rivers Data'!$O$3:$O$7,MATCH(G26,'G-7 Rivers Data'!$N$3:$N$7,0)),"")</f>
        <v/>
      </c>
      <c r="M26" s="82"/>
      <c r="N26" s="195"/>
      <c r="O26" s="507" t="str">
        <f t="shared" si="1"/>
        <v/>
      </c>
      <c r="P26" s="521" t="str">
        <f t="shared" si="2"/>
        <v/>
      </c>
      <c r="Q26" s="564" t="str">
        <f>IFERROR(IF(P26="Check Data ⚠","Check Data ⚠",VLOOKUP(P26,'G-4 Temporal multipliers'!$A$4:$C$37,3,FALSE)),"")</f>
        <v/>
      </c>
      <c r="R26" s="498" t="str">
        <f>IF(C26="","",VLOOKUP(C26,'G-7 Rivers Data'!$B$4:$G$8,4,FALSE))</f>
        <v/>
      </c>
      <c r="S26" s="507" t="str">
        <f t="shared" si="3"/>
        <v/>
      </c>
      <c r="T26" s="540" t="str">
        <f t="shared" si="4"/>
        <v/>
      </c>
      <c r="U26" s="499" t="str">
        <f t="shared" si="5"/>
        <v/>
      </c>
      <c r="V26" s="71"/>
      <c r="W26" s="499" t="str">
        <f>IF(V26="","",IF(VLOOKUP(V26,'G-7 Rivers Data'!$AA$4:$AB$7,2,FALSE)=0,"Spatial Data Missing ⚠",VLOOKUP(V26,'G-7 Rivers Data'!$AA$4:$AB$7,2,FALSE)))</f>
        <v/>
      </c>
      <c r="X26" s="155"/>
      <c r="Y26" s="499" t="str">
        <f>IF(X26="","",IF(VLOOKUP(X26,'G-7 Rivers Data'!$AD$4:$AE$8,2,FALSE)=0,"Enrcoachment Data Missing ⚠",VLOOKUP(X26,'G-7 Rivers Data'!$AD$4:$AE$8,2,FALSE)))</f>
        <v/>
      </c>
      <c r="Z26" s="565" t="str">
        <f t="shared" si="6"/>
        <v/>
      </c>
      <c r="AA26" s="149"/>
      <c r="AB26" s="150"/>
      <c r="AH26" s="31" t="str">
        <f>IFERROR(INDEX('G-7 Rivers Data'!$AZ$3:$AZ$7,MATCH(C26,'G-7 Rivers Data'!$AY$3:$AY$7,0)),"")</f>
        <v/>
      </c>
    </row>
    <row r="27" spans="2:34" ht="14" x14ac:dyDescent="0.3">
      <c r="B27" s="141">
        <v>16</v>
      </c>
      <c r="C27" s="171"/>
      <c r="D27" s="172"/>
      <c r="E27" s="498" t="str">
        <f>IF(C27="","",VLOOKUP(C27,'G-7 Rivers Data'!$B$2:$G$8,2,FALSE))</f>
        <v/>
      </c>
      <c r="F27" s="499" t="str">
        <f>IFERROR(VLOOKUP(E27,'G-7 Rivers Data'!$C$4:$D$8,2,FALSE),"")</f>
        <v/>
      </c>
      <c r="G27" s="145"/>
      <c r="H27" s="499" t="str">
        <f>IFERROR(INDEX('G-7 Rivers Data'!$H$4:$L$8,MATCH(C27,'G-7 Rivers Data'!$B$4:$B$8,0),MATCH(G27,'G-7 Rivers Data'!$H$3:$L$3,0)),"")</f>
        <v/>
      </c>
      <c r="I27" s="154"/>
      <c r="J27" s="507" t="str">
        <f>IF(I27="","",IF(VLOOKUP(I27,'G-7 Rivers Data'!$AG$4:$AI$9,2,FALSE)=0,"Spatial Data Missing ⚠",VLOOKUP(I27,'G-7 Rivers Data'!$AG$4:$AI$9,2,FALSE)))</f>
        <v/>
      </c>
      <c r="K27" s="499" t="str">
        <f>IF(I27="","",IF(VLOOKUP(I27,'G-7 Rivers Data'!$AG$4:$AI$9,3,FALSE)=0,"Spatial Data Missing ⚠",VLOOKUP(I27,'G-7 Rivers Data'!$AG$4:$AI$9,3,FALSE)))</f>
        <v/>
      </c>
      <c r="L27" s="498" t="str">
        <f>IFERROR(INDEX('G-7 Rivers Data'!$O$3:$O$7,MATCH(G27,'G-7 Rivers Data'!$N$3:$N$7,0)),"")</f>
        <v/>
      </c>
      <c r="M27" s="82"/>
      <c r="N27" s="195"/>
      <c r="O27" s="507" t="str">
        <f t="shared" si="1"/>
        <v/>
      </c>
      <c r="P27" s="521" t="str">
        <f t="shared" si="2"/>
        <v/>
      </c>
      <c r="Q27" s="564" t="str">
        <f>IFERROR(IF(P27="Check Data ⚠","Check Data ⚠",VLOOKUP(P27,'G-4 Temporal multipliers'!$A$4:$C$37,3,FALSE)),"")</f>
        <v/>
      </c>
      <c r="R27" s="498" t="str">
        <f>IF(C27="","",VLOOKUP(C27,'G-7 Rivers Data'!$B$4:$G$8,4,FALSE))</f>
        <v/>
      </c>
      <c r="S27" s="507" t="str">
        <f t="shared" si="3"/>
        <v/>
      </c>
      <c r="T27" s="540" t="str">
        <f t="shared" si="4"/>
        <v/>
      </c>
      <c r="U27" s="499" t="str">
        <f t="shared" si="5"/>
        <v/>
      </c>
      <c r="V27" s="71"/>
      <c r="W27" s="499" t="str">
        <f>IF(V27="","",IF(VLOOKUP(V27,'G-7 Rivers Data'!$AA$4:$AB$7,2,FALSE)=0,"Spatial Data Missing ⚠",VLOOKUP(V27,'G-7 Rivers Data'!$AA$4:$AB$7,2,FALSE)))</f>
        <v/>
      </c>
      <c r="X27" s="155"/>
      <c r="Y27" s="499" t="str">
        <f>IF(X27="","",IF(VLOOKUP(X27,'G-7 Rivers Data'!$AD$4:$AE$8,2,FALSE)=0,"Enrcoachment Data Missing ⚠",VLOOKUP(X27,'G-7 Rivers Data'!$AD$4:$AE$8,2,FALSE)))</f>
        <v/>
      </c>
      <c r="Z27" s="565" t="str">
        <f t="shared" si="6"/>
        <v/>
      </c>
      <c r="AA27" s="149"/>
      <c r="AB27" s="150"/>
      <c r="AH27" s="31" t="str">
        <f>IFERROR(INDEX('G-7 Rivers Data'!$AZ$3:$AZ$7,MATCH(C27,'G-7 Rivers Data'!$AY$3:$AY$7,0)),"")</f>
        <v/>
      </c>
    </row>
    <row r="28" spans="2:34" ht="14" x14ac:dyDescent="0.3">
      <c r="B28" s="141">
        <v>17</v>
      </c>
      <c r="C28" s="171"/>
      <c r="D28" s="172"/>
      <c r="E28" s="498" t="str">
        <f>IF(C28="","",VLOOKUP(C28,'G-7 Rivers Data'!$B$2:$G$8,2,FALSE))</f>
        <v/>
      </c>
      <c r="F28" s="499" t="str">
        <f>IFERROR(VLOOKUP(E28,'G-7 Rivers Data'!$C$4:$D$8,2,FALSE),"")</f>
        <v/>
      </c>
      <c r="G28" s="145"/>
      <c r="H28" s="499" t="str">
        <f>IFERROR(INDEX('G-7 Rivers Data'!$H$4:$L$8,MATCH(C28,'G-7 Rivers Data'!$B$4:$B$8,0),MATCH(G28,'G-7 Rivers Data'!$H$3:$L$3,0)),"")</f>
        <v/>
      </c>
      <c r="I28" s="154"/>
      <c r="J28" s="507" t="str">
        <f>IF(I28="","",IF(VLOOKUP(I28,'G-7 Rivers Data'!$AG$4:$AI$9,2,FALSE)=0,"Spatial Data Missing ⚠",VLOOKUP(I28,'G-7 Rivers Data'!$AG$4:$AI$9,2,FALSE)))</f>
        <v/>
      </c>
      <c r="K28" s="499" t="str">
        <f>IF(I28="","",IF(VLOOKUP(I28,'G-7 Rivers Data'!$AG$4:$AI$9,3,FALSE)=0,"Spatial Data Missing ⚠",VLOOKUP(I28,'G-7 Rivers Data'!$AG$4:$AI$9,3,FALSE)))</f>
        <v/>
      </c>
      <c r="L28" s="498" t="str">
        <f>IFERROR(INDEX('G-7 Rivers Data'!$O$3:$O$7,MATCH(G28,'G-7 Rivers Data'!$N$3:$N$7,0)),"")</f>
        <v/>
      </c>
      <c r="M28" s="82"/>
      <c r="N28" s="195"/>
      <c r="O28" s="507" t="str">
        <f t="shared" si="1"/>
        <v/>
      </c>
      <c r="P28" s="521" t="str">
        <f t="shared" si="2"/>
        <v/>
      </c>
      <c r="Q28" s="564" t="str">
        <f>IFERROR(IF(P28="Check Data ⚠","Check Data ⚠",VLOOKUP(P28,'G-4 Temporal multipliers'!$A$4:$C$37,3,FALSE)),"")</f>
        <v/>
      </c>
      <c r="R28" s="498" t="str">
        <f>IF(C28="","",VLOOKUP(C28,'G-7 Rivers Data'!$B$4:$G$8,4,FALSE))</f>
        <v/>
      </c>
      <c r="S28" s="507" t="str">
        <f t="shared" si="3"/>
        <v/>
      </c>
      <c r="T28" s="540" t="str">
        <f t="shared" si="4"/>
        <v/>
      </c>
      <c r="U28" s="499" t="str">
        <f t="shared" si="5"/>
        <v/>
      </c>
      <c r="V28" s="71"/>
      <c r="W28" s="499" t="str">
        <f>IF(V28="","",IF(VLOOKUP(V28,'G-7 Rivers Data'!$AA$4:$AB$7,2,FALSE)=0,"Spatial Data Missing ⚠",VLOOKUP(V28,'G-7 Rivers Data'!$AA$4:$AB$7,2,FALSE)))</f>
        <v/>
      </c>
      <c r="X28" s="155"/>
      <c r="Y28" s="499" t="str">
        <f>IF(X28="","",IF(VLOOKUP(X28,'G-7 Rivers Data'!$AD$4:$AE$8,2,FALSE)=0,"Enrcoachment Data Missing ⚠",VLOOKUP(X28,'G-7 Rivers Data'!$AD$4:$AE$8,2,FALSE)))</f>
        <v/>
      </c>
      <c r="Z28" s="565" t="str">
        <f t="shared" si="6"/>
        <v/>
      </c>
      <c r="AA28" s="149"/>
      <c r="AB28" s="150"/>
      <c r="AH28" s="31" t="str">
        <f>IFERROR(INDEX('G-7 Rivers Data'!$AZ$3:$AZ$7,MATCH(C28,'G-7 Rivers Data'!$AY$3:$AY$7,0)),"")</f>
        <v/>
      </c>
    </row>
    <row r="29" spans="2:34" ht="14" x14ac:dyDescent="0.3">
      <c r="B29" s="141">
        <v>18</v>
      </c>
      <c r="C29" s="171"/>
      <c r="D29" s="172"/>
      <c r="E29" s="498" t="str">
        <f>IF(C29="","",VLOOKUP(C29,'G-7 Rivers Data'!$B$2:$G$8,2,FALSE))</f>
        <v/>
      </c>
      <c r="F29" s="499" t="str">
        <f>IFERROR(VLOOKUP(E29,'G-7 Rivers Data'!$C$4:$D$8,2,FALSE),"")</f>
        <v/>
      </c>
      <c r="G29" s="145"/>
      <c r="H29" s="499" t="str">
        <f>IFERROR(INDEX('G-7 Rivers Data'!$H$4:$L$8,MATCH(C29,'G-7 Rivers Data'!$B$4:$B$8,0),MATCH(G29,'G-7 Rivers Data'!$H$3:$L$3,0)),"")</f>
        <v/>
      </c>
      <c r="I29" s="154"/>
      <c r="J29" s="507" t="str">
        <f>IF(I29="","",IF(VLOOKUP(I29,'G-7 Rivers Data'!$AG$4:$AI$9,2,FALSE)=0,"Spatial Data Missing ⚠",VLOOKUP(I29,'G-7 Rivers Data'!$AG$4:$AI$9,2,FALSE)))</f>
        <v/>
      </c>
      <c r="K29" s="499" t="str">
        <f>IF(I29="","",IF(VLOOKUP(I29,'G-7 Rivers Data'!$AG$4:$AI$9,3,FALSE)=0,"Spatial Data Missing ⚠",VLOOKUP(I29,'G-7 Rivers Data'!$AG$4:$AI$9,3,FALSE)))</f>
        <v/>
      </c>
      <c r="L29" s="498" t="str">
        <f>IFERROR(INDEX('G-7 Rivers Data'!$O$3:$O$7,MATCH(G29,'G-7 Rivers Data'!$N$3:$N$7,0)),"")</f>
        <v/>
      </c>
      <c r="M29" s="82"/>
      <c r="N29" s="195"/>
      <c r="O29" s="507" t="str">
        <f t="shared" si="1"/>
        <v/>
      </c>
      <c r="P29" s="521" t="str">
        <f t="shared" si="2"/>
        <v/>
      </c>
      <c r="Q29" s="564" t="str">
        <f>IFERROR(IF(P29="Check Data ⚠","Check Data ⚠",VLOOKUP(P29,'G-4 Temporal multipliers'!$A$4:$C$37,3,FALSE)),"")</f>
        <v/>
      </c>
      <c r="R29" s="498" t="str">
        <f>IF(C29="","",VLOOKUP(C29,'G-7 Rivers Data'!$B$4:$G$8,4,FALSE))</f>
        <v/>
      </c>
      <c r="S29" s="507" t="str">
        <f t="shared" si="3"/>
        <v/>
      </c>
      <c r="T29" s="540" t="str">
        <f t="shared" si="4"/>
        <v/>
      </c>
      <c r="U29" s="499" t="str">
        <f t="shared" si="5"/>
        <v/>
      </c>
      <c r="V29" s="71"/>
      <c r="W29" s="499" t="str">
        <f>IF(V29="","",IF(VLOOKUP(V29,'G-7 Rivers Data'!$AA$4:$AB$7,2,FALSE)=0,"Spatial Data Missing ⚠",VLOOKUP(V29,'G-7 Rivers Data'!$AA$4:$AB$7,2,FALSE)))</f>
        <v/>
      </c>
      <c r="X29" s="155"/>
      <c r="Y29" s="499" t="str">
        <f>IF(X29="","",IF(VLOOKUP(X29,'G-7 Rivers Data'!$AD$4:$AE$8,2,FALSE)=0,"Enrcoachment Data Missing ⚠",VLOOKUP(X29,'G-7 Rivers Data'!$AD$4:$AE$8,2,FALSE)))</f>
        <v/>
      </c>
      <c r="Z29" s="565" t="str">
        <f t="shared" si="6"/>
        <v/>
      </c>
      <c r="AA29" s="149"/>
      <c r="AB29" s="150"/>
      <c r="AH29" s="31" t="str">
        <f>IFERROR(INDEX('G-7 Rivers Data'!$AZ$3:$AZ$7,MATCH(C29,'G-7 Rivers Data'!$AY$3:$AY$7,0)),"")</f>
        <v/>
      </c>
    </row>
    <row r="30" spans="2:34" ht="14" x14ac:dyDescent="0.3">
      <c r="B30" s="141">
        <v>19</v>
      </c>
      <c r="C30" s="171"/>
      <c r="D30" s="172"/>
      <c r="E30" s="498" t="str">
        <f>IF(C30="","",VLOOKUP(C30,'G-7 Rivers Data'!$B$2:$G$8,2,FALSE))</f>
        <v/>
      </c>
      <c r="F30" s="499" t="str">
        <f>IFERROR(VLOOKUP(E30,'G-7 Rivers Data'!$C$4:$D$8,2,FALSE),"")</f>
        <v/>
      </c>
      <c r="G30" s="145"/>
      <c r="H30" s="499" t="str">
        <f>IFERROR(INDEX('G-7 Rivers Data'!$H$4:$L$8,MATCH(C30,'G-7 Rivers Data'!$B$4:$B$8,0),MATCH(G30,'G-7 Rivers Data'!$H$3:$L$3,0)),"")</f>
        <v/>
      </c>
      <c r="I30" s="154"/>
      <c r="J30" s="507" t="str">
        <f>IF(I30="","",IF(VLOOKUP(I30,'G-7 Rivers Data'!$AG$4:$AI$9,2,FALSE)=0,"Spatial Data Missing ⚠",VLOOKUP(I30,'G-7 Rivers Data'!$AG$4:$AI$9,2,FALSE)))</f>
        <v/>
      </c>
      <c r="K30" s="499" t="str">
        <f>IF(I30="","",IF(VLOOKUP(I30,'G-7 Rivers Data'!$AG$4:$AI$9,3,FALSE)=0,"Spatial Data Missing ⚠",VLOOKUP(I30,'G-7 Rivers Data'!$AG$4:$AI$9,3,FALSE)))</f>
        <v/>
      </c>
      <c r="L30" s="498" t="str">
        <f>IFERROR(INDEX('G-7 Rivers Data'!$O$3:$O$7,MATCH(G30,'G-7 Rivers Data'!$N$3:$N$7,0)),"")</f>
        <v/>
      </c>
      <c r="M30" s="82"/>
      <c r="N30" s="195"/>
      <c r="O30" s="507" t="str">
        <f t="shared" si="1"/>
        <v/>
      </c>
      <c r="P30" s="521" t="str">
        <f t="shared" si="2"/>
        <v/>
      </c>
      <c r="Q30" s="564" t="str">
        <f>IFERROR(IF(P30="Check Data ⚠","Check Data ⚠",VLOOKUP(P30,'G-4 Temporal multipliers'!$A$4:$C$37,3,FALSE)),"")</f>
        <v/>
      </c>
      <c r="R30" s="498" t="str">
        <f>IF(C30="","",VLOOKUP(C30,'G-7 Rivers Data'!$B$4:$G$8,4,FALSE))</f>
        <v/>
      </c>
      <c r="S30" s="507" t="str">
        <f t="shared" si="3"/>
        <v/>
      </c>
      <c r="T30" s="540" t="str">
        <f t="shared" si="4"/>
        <v/>
      </c>
      <c r="U30" s="499" t="str">
        <f t="shared" si="5"/>
        <v/>
      </c>
      <c r="V30" s="71"/>
      <c r="W30" s="499" t="str">
        <f>IF(V30="","",IF(VLOOKUP(V30,'G-7 Rivers Data'!$AA$4:$AB$7,2,FALSE)=0,"Spatial Data Missing ⚠",VLOOKUP(V30,'G-7 Rivers Data'!$AA$4:$AB$7,2,FALSE)))</f>
        <v/>
      </c>
      <c r="X30" s="155"/>
      <c r="Y30" s="499" t="str">
        <f>IF(X30="","",IF(VLOOKUP(X30,'G-7 Rivers Data'!$AD$4:$AE$8,2,FALSE)=0,"Enrcoachment Data Missing ⚠",VLOOKUP(X30,'G-7 Rivers Data'!$AD$4:$AE$8,2,FALSE)))</f>
        <v/>
      </c>
      <c r="Z30" s="565" t="str">
        <f t="shared" si="6"/>
        <v/>
      </c>
      <c r="AA30" s="149"/>
      <c r="AB30" s="150"/>
      <c r="AH30" s="31" t="str">
        <f>IFERROR(INDEX('G-7 Rivers Data'!$AZ$3:$AZ$7,MATCH(C30,'G-7 Rivers Data'!$AY$3:$AY$7,0)),"")</f>
        <v/>
      </c>
    </row>
    <row r="31" spans="2:34" ht="14" x14ac:dyDescent="0.3">
      <c r="B31" s="141">
        <v>20</v>
      </c>
      <c r="C31" s="171"/>
      <c r="D31" s="172"/>
      <c r="E31" s="498" t="str">
        <f>IF(C31="","",VLOOKUP(C31,'G-7 Rivers Data'!$B$2:$G$8,2,FALSE))</f>
        <v/>
      </c>
      <c r="F31" s="499" t="str">
        <f>IFERROR(VLOOKUP(E31,'G-7 Rivers Data'!$C$4:$D$8,2,FALSE),"")</f>
        <v/>
      </c>
      <c r="G31" s="145"/>
      <c r="H31" s="499" t="str">
        <f>IFERROR(INDEX('G-7 Rivers Data'!$H$4:$L$8,MATCH(C31,'G-7 Rivers Data'!$B$4:$B$8,0),MATCH(G31,'G-7 Rivers Data'!$H$3:$L$3,0)),"")</f>
        <v/>
      </c>
      <c r="I31" s="154"/>
      <c r="J31" s="507" t="str">
        <f>IF(I31="","",IF(VLOOKUP(I31,'G-7 Rivers Data'!$AG$4:$AI$9,2,FALSE)=0,"Spatial Data Missing ⚠",VLOOKUP(I31,'G-7 Rivers Data'!$AG$4:$AI$9,2,FALSE)))</f>
        <v/>
      </c>
      <c r="K31" s="499" t="str">
        <f>IF(I31="","",IF(VLOOKUP(I31,'G-7 Rivers Data'!$AG$4:$AI$9,3,FALSE)=0,"Spatial Data Missing ⚠",VLOOKUP(I31,'G-7 Rivers Data'!$AG$4:$AI$9,3,FALSE)))</f>
        <v/>
      </c>
      <c r="L31" s="498" t="str">
        <f>IFERROR(INDEX('G-7 Rivers Data'!$O$3:$O$7,MATCH(G31,'G-7 Rivers Data'!$N$3:$N$7,0)),"")</f>
        <v/>
      </c>
      <c r="M31" s="82"/>
      <c r="N31" s="195"/>
      <c r="O31" s="507" t="str">
        <f t="shared" si="1"/>
        <v/>
      </c>
      <c r="P31" s="521" t="str">
        <f t="shared" si="2"/>
        <v/>
      </c>
      <c r="Q31" s="564" t="str">
        <f>IFERROR(IF(P31="Check Data ⚠","Check Data ⚠",VLOOKUP(P31,'G-4 Temporal multipliers'!$A$4:$C$37,3,FALSE)),"")</f>
        <v/>
      </c>
      <c r="R31" s="498" t="str">
        <f>IF(C31="","",VLOOKUP(C31,'G-7 Rivers Data'!$B$4:$G$8,4,FALSE))</f>
        <v/>
      </c>
      <c r="S31" s="507" t="str">
        <f t="shared" si="3"/>
        <v/>
      </c>
      <c r="T31" s="540" t="str">
        <f t="shared" si="4"/>
        <v/>
      </c>
      <c r="U31" s="499" t="str">
        <f t="shared" si="5"/>
        <v/>
      </c>
      <c r="V31" s="71"/>
      <c r="W31" s="499" t="str">
        <f>IF(V31="","",IF(VLOOKUP(V31,'G-7 Rivers Data'!$AA$4:$AB$7,2,FALSE)=0,"Spatial Data Missing ⚠",VLOOKUP(V31,'G-7 Rivers Data'!$AA$4:$AB$7,2,FALSE)))</f>
        <v/>
      </c>
      <c r="X31" s="155"/>
      <c r="Y31" s="499" t="str">
        <f>IF(X31="","",IF(VLOOKUP(X31,'G-7 Rivers Data'!$AD$4:$AE$8,2,FALSE)=0,"Enrcoachment Data Missing ⚠",VLOOKUP(X31,'G-7 Rivers Data'!$AD$4:$AE$8,2,FALSE)))</f>
        <v/>
      </c>
      <c r="Z31" s="565" t="str">
        <f t="shared" si="6"/>
        <v/>
      </c>
      <c r="AA31" s="149"/>
      <c r="AB31" s="150"/>
      <c r="AH31" s="31" t="str">
        <f>IFERROR(INDEX('G-7 Rivers Data'!$AZ$3:$AZ$7,MATCH(C31,'G-7 Rivers Data'!$AY$3:$AY$7,0)),"")</f>
        <v/>
      </c>
    </row>
    <row r="32" spans="2:34" ht="14" x14ac:dyDescent="0.3">
      <c r="B32" s="141">
        <v>21</v>
      </c>
      <c r="C32" s="171"/>
      <c r="D32" s="172"/>
      <c r="E32" s="498" t="str">
        <f>IF(C32="","",VLOOKUP(C32,'G-7 Rivers Data'!$B$2:$G$8,2,FALSE))</f>
        <v/>
      </c>
      <c r="F32" s="499" t="str">
        <f>IFERROR(VLOOKUP(E32,'G-7 Rivers Data'!$C$4:$D$8,2,FALSE),"")</f>
        <v/>
      </c>
      <c r="G32" s="145"/>
      <c r="H32" s="499" t="str">
        <f>IFERROR(INDEX('G-7 Rivers Data'!$H$4:$L$8,MATCH(C32,'G-7 Rivers Data'!$B$4:$B$8,0),MATCH(G32,'G-7 Rivers Data'!$H$3:$L$3,0)),"")</f>
        <v/>
      </c>
      <c r="I32" s="154"/>
      <c r="J32" s="507" t="str">
        <f>IF(I32="","",IF(VLOOKUP(I32,'G-7 Rivers Data'!$AG$4:$AI$9,2,FALSE)=0,"Spatial Data Missing ⚠",VLOOKUP(I32,'G-7 Rivers Data'!$AG$4:$AI$9,2,FALSE)))</f>
        <v/>
      </c>
      <c r="K32" s="499" t="str">
        <f>IF(I32="","",IF(VLOOKUP(I32,'G-7 Rivers Data'!$AG$4:$AI$9,3,FALSE)=0,"Spatial Data Missing ⚠",VLOOKUP(I32,'G-7 Rivers Data'!$AG$4:$AI$9,3,FALSE)))</f>
        <v/>
      </c>
      <c r="L32" s="498" t="str">
        <f>IFERROR(INDEX('G-7 Rivers Data'!$O$3:$O$7,MATCH(G32,'G-7 Rivers Data'!$N$3:$N$7,0)),"")</f>
        <v/>
      </c>
      <c r="M32" s="82"/>
      <c r="N32" s="195"/>
      <c r="O32" s="507" t="str">
        <f t="shared" si="1"/>
        <v/>
      </c>
      <c r="P32" s="521" t="str">
        <f t="shared" si="2"/>
        <v/>
      </c>
      <c r="Q32" s="564" t="str">
        <f>IFERROR(IF(P32="Check Data ⚠","Check Data ⚠",VLOOKUP(P32,'G-4 Temporal multipliers'!$A$4:$C$37,3,FALSE)),"")</f>
        <v/>
      </c>
      <c r="R32" s="498" t="str">
        <f>IF(C32="","",VLOOKUP(C32,'G-7 Rivers Data'!$B$4:$G$8,4,FALSE))</f>
        <v/>
      </c>
      <c r="S32" s="507" t="str">
        <f t="shared" si="3"/>
        <v/>
      </c>
      <c r="T32" s="540" t="str">
        <f t="shared" si="4"/>
        <v/>
      </c>
      <c r="U32" s="499" t="str">
        <f t="shared" si="5"/>
        <v/>
      </c>
      <c r="V32" s="71"/>
      <c r="W32" s="499" t="str">
        <f>IF(V32="","",IF(VLOOKUP(V32,'G-7 Rivers Data'!$AA$4:$AB$7,2,FALSE)=0,"Spatial Data Missing ⚠",VLOOKUP(V32,'G-7 Rivers Data'!$AA$4:$AB$7,2,FALSE)))</f>
        <v/>
      </c>
      <c r="X32" s="155"/>
      <c r="Y32" s="499" t="str">
        <f>IF(X32="","",IF(VLOOKUP(X32,'G-7 Rivers Data'!$AD$4:$AE$8,2,FALSE)=0,"Enrcoachment Data Missing ⚠",VLOOKUP(X32,'G-7 Rivers Data'!$AD$4:$AE$8,2,FALSE)))</f>
        <v/>
      </c>
      <c r="Z32" s="565" t="str">
        <f t="shared" si="6"/>
        <v/>
      </c>
      <c r="AA32" s="149"/>
      <c r="AB32" s="150"/>
      <c r="AH32" s="31" t="str">
        <f>IFERROR(INDEX('G-7 Rivers Data'!$AZ$3:$AZ$7,MATCH(C32,'G-7 Rivers Data'!$AY$3:$AY$7,0)),"")</f>
        <v/>
      </c>
    </row>
    <row r="33" spans="2:34" ht="14" x14ac:dyDescent="0.3">
      <c r="B33" s="141">
        <v>22</v>
      </c>
      <c r="C33" s="171"/>
      <c r="D33" s="172"/>
      <c r="E33" s="498" t="str">
        <f>IF(C33="","",VLOOKUP(C33,'G-7 Rivers Data'!$B$2:$G$8,2,FALSE))</f>
        <v/>
      </c>
      <c r="F33" s="499" t="str">
        <f>IFERROR(VLOOKUP(E33,'G-7 Rivers Data'!$C$4:$D$8,2,FALSE),"")</f>
        <v/>
      </c>
      <c r="G33" s="145"/>
      <c r="H33" s="499" t="str">
        <f>IFERROR(INDEX('G-7 Rivers Data'!$H$4:$L$8,MATCH(C33,'G-7 Rivers Data'!$B$4:$B$8,0),MATCH(G33,'G-7 Rivers Data'!$H$3:$L$3,0)),"")</f>
        <v/>
      </c>
      <c r="I33" s="154"/>
      <c r="J33" s="507" t="str">
        <f>IF(I33="","",IF(VLOOKUP(I33,'G-7 Rivers Data'!$AG$4:$AI$9,2,FALSE)=0,"Spatial Data Missing ⚠",VLOOKUP(I33,'G-7 Rivers Data'!$AG$4:$AI$9,2,FALSE)))</f>
        <v/>
      </c>
      <c r="K33" s="499" t="str">
        <f>IF(I33="","",IF(VLOOKUP(I33,'G-7 Rivers Data'!$AG$4:$AI$9,3,FALSE)=0,"Spatial Data Missing ⚠",VLOOKUP(I33,'G-7 Rivers Data'!$AG$4:$AI$9,3,FALSE)))</f>
        <v/>
      </c>
      <c r="L33" s="498" t="str">
        <f>IFERROR(INDEX('G-7 Rivers Data'!$O$3:$O$7,MATCH(G33,'G-7 Rivers Data'!$N$3:$N$7,0)),"")</f>
        <v/>
      </c>
      <c r="M33" s="82"/>
      <c r="N33" s="195"/>
      <c r="O33" s="507" t="str">
        <f t="shared" si="1"/>
        <v/>
      </c>
      <c r="P33" s="521" t="str">
        <f t="shared" si="2"/>
        <v/>
      </c>
      <c r="Q33" s="564" t="str">
        <f>IFERROR(IF(P33="Check Data ⚠","Check Data ⚠",VLOOKUP(P33,'G-4 Temporal multipliers'!$A$4:$C$37,3,FALSE)),"")</f>
        <v/>
      </c>
      <c r="R33" s="498" t="str">
        <f>IF(C33="","",VLOOKUP(C33,'G-7 Rivers Data'!$B$4:$G$8,4,FALSE))</f>
        <v/>
      </c>
      <c r="S33" s="507" t="str">
        <f t="shared" si="3"/>
        <v/>
      </c>
      <c r="T33" s="540" t="str">
        <f t="shared" si="4"/>
        <v/>
      </c>
      <c r="U33" s="499" t="str">
        <f t="shared" si="5"/>
        <v/>
      </c>
      <c r="V33" s="71"/>
      <c r="W33" s="499" t="str">
        <f>IF(V33="","",IF(VLOOKUP(V33,'G-7 Rivers Data'!$AA$4:$AB$7,2,FALSE)=0,"Spatial Data Missing ⚠",VLOOKUP(V33,'G-7 Rivers Data'!$AA$4:$AB$7,2,FALSE)))</f>
        <v/>
      </c>
      <c r="X33" s="155"/>
      <c r="Y33" s="499" t="str">
        <f>IF(X33="","",IF(VLOOKUP(X33,'G-7 Rivers Data'!$AD$4:$AE$8,2,FALSE)=0,"Enrcoachment Data Missing ⚠",VLOOKUP(X33,'G-7 Rivers Data'!$AD$4:$AE$8,2,FALSE)))</f>
        <v/>
      </c>
      <c r="Z33" s="565" t="str">
        <f t="shared" si="6"/>
        <v/>
      </c>
      <c r="AA33" s="149"/>
      <c r="AB33" s="150"/>
      <c r="AH33" s="31" t="str">
        <f>IFERROR(INDEX('G-7 Rivers Data'!$AZ$3:$AZ$7,MATCH(C33,'G-7 Rivers Data'!$AY$3:$AY$7,0)),"")</f>
        <v/>
      </c>
    </row>
    <row r="34" spans="2:34" ht="14" x14ac:dyDescent="0.3">
      <c r="B34" s="141">
        <v>23</v>
      </c>
      <c r="C34" s="171"/>
      <c r="D34" s="172"/>
      <c r="E34" s="498" t="str">
        <f>IF(C34="","",VLOOKUP(C34,'G-7 Rivers Data'!$B$2:$G$8,2,FALSE))</f>
        <v/>
      </c>
      <c r="F34" s="499" t="str">
        <f>IFERROR(VLOOKUP(E34,'G-7 Rivers Data'!$C$4:$D$8,2,FALSE),"")</f>
        <v/>
      </c>
      <c r="G34" s="145"/>
      <c r="H34" s="499" t="str">
        <f>IFERROR(INDEX('G-7 Rivers Data'!$H$4:$L$8,MATCH(C34,'G-7 Rivers Data'!$B$4:$B$8,0),MATCH(G34,'G-7 Rivers Data'!$H$3:$L$3,0)),"")</f>
        <v/>
      </c>
      <c r="I34" s="154"/>
      <c r="J34" s="507" t="str">
        <f>IF(I34="","",IF(VLOOKUP(I34,'G-7 Rivers Data'!$AG$4:$AI$9,2,FALSE)=0,"Spatial Data Missing ⚠",VLOOKUP(I34,'G-7 Rivers Data'!$AG$4:$AI$9,2,FALSE)))</f>
        <v/>
      </c>
      <c r="K34" s="499" t="str">
        <f>IF(I34="","",IF(VLOOKUP(I34,'G-7 Rivers Data'!$AG$4:$AI$9,3,FALSE)=0,"Spatial Data Missing ⚠",VLOOKUP(I34,'G-7 Rivers Data'!$AG$4:$AI$9,3,FALSE)))</f>
        <v/>
      </c>
      <c r="L34" s="498" t="str">
        <f>IFERROR(INDEX('G-7 Rivers Data'!$O$3:$O$7,MATCH(G34,'G-7 Rivers Data'!$N$3:$N$7,0)),"")</f>
        <v/>
      </c>
      <c r="M34" s="82"/>
      <c r="N34" s="195"/>
      <c r="O34" s="507" t="str">
        <f t="shared" si="1"/>
        <v/>
      </c>
      <c r="P34" s="521" t="str">
        <f t="shared" si="2"/>
        <v/>
      </c>
      <c r="Q34" s="564" t="str">
        <f>IFERROR(IF(P34="Check Data ⚠","Check Data ⚠",VLOOKUP(P34,'G-4 Temporal multipliers'!$A$4:$C$37,3,FALSE)),"")</f>
        <v/>
      </c>
      <c r="R34" s="498" t="str">
        <f>IF(C34="","",VLOOKUP(C34,'G-7 Rivers Data'!$B$4:$G$8,4,FALSE))</f>
        <v/>
      </c>
      <c r="S34" s="507" t="str">
        <f t="shared" si="3"/>
        <v/>
      </c>
      <c r="T34" s="540" t="str">
        <f t="shared" si="4"/>
        <v/>
      </c>
      <c r="U34" s="499" t="str">
        <f t="shared" si="5"/>
        <v/>
      </c>
      <c r="V34" s="71"/>
      <c r="W34" s="499" t="str">
        <f>IF(V34="","",IF(VLOOKUP(V34,'G-7 Rivers Data'!$AA$4:$AB$7,2,FALSE)=0,"Spatial Data Missing ⚠",VLOOKUP(V34,'G-7 Rivers Data'!$AA$4:$AB$7,2,FALSE)))</f>
        <v/>
      </c>
      <c r="X34" s="155"/>
      <c r="Y34" s="499" t="str">
        <f>IF(X34="","",IF(VLOOKUP(X34,'G-7 Rivers Data'!$AD$4:$AE$8,2,FALSE)=0,"Enrcoachment Data Missing ⚠",VLOOKUP(X34,'G-7 Rivers Data'!$AD$4:$AE$8,2,FALSE)))</f>
        <v/>
      </c>
      <c r="Z34" s="565" t="str">
        <f t="shared" si="6"/>
        <v/>
      </c>
      <c r="AA34" s="149"/>
      <c r="AB34" s="150"/>
      <c r="AH34" s="31" t="str">
        <f>IFERROR(INDEX('G-7 Rivers Data'!$AZ$3:$AZ$7,MATCH(C34,'G-7 Rivers Data'!$AY$3:$AY$7,0)),"")</f>
        <v/>
      </c>
    </row>
    <row r="35" spans="2:34" ht="14" x14ac:dyDescent="0.3">
      <c r="B35" s="141">
        <v>24</v>
      </c>
      <c r="C35" s="171"/>
      <c r="D35" s="172"/>
      <c r="E35" s="498" t="str">
        <f>IF(C35="","",VLOOKUP(C35,'G-7 Rivers Data'!$B$2:$G$8,2,FALSE))</f>
        <v/>
      </c>
      <c r="F35" s="499" t="str">
        <f>IFERROR(VLOOKUP(E35,'G-7 Rivers Data'!$C$4:$D$8,2,FALSE),"")</f>
        <v/>
      </c>
      <c r="G35" s="145"/>
      <c r="H35" s="499" t="str">
        <f>IFERROR(INDEX('G-7 Rivers Data'!$H$4:$L$8,MATCH(C35,'G-7 Rivers Data'!$B$4:$B$8,0),MATCH(G35,'G-7 Rivers Data'!$H$3:$L$3,0)),"")</f>
        <v/>
      </c>
      <c r="I35" s="154"/>
      <c r="J35" s="507" t="str">
        <f>IF(I35="","",IF(VLOOKUP(I35,'G-7 Rivers Data'!$AG$4:$AI$9,2,FALSE)=0,"Spatial Data Missing ⚠",VLOOKUP(I35,'G-7 Rivers Data'!$AG$4:$AI$9,2,FALSE)))</f>
        <v/>
      </c>
      <c r="K35" s="499" t="str">
        <f>IF(I35="","",IF(VLOOKUP(I35,'G-7 Rivers Data'!$AG$4:$AI$9,3,FALSE)=0,"Spatial Data Missing ⚠",VLOOKUP(I35,'G-7 Rivers Data'!$AG$4:$AI$9,3,FALSE)))</f>
        <v/>
      </c>
      <c r="L35" s="498" t="str">
        <f>IFERROR(INDEX('G-7 Rivers Data'!$O$3:$O$7,MATCH(G35,'G-7 Rivers Data'!$N$3:$N$7,0)),"")</f>
        <v/>
      </c>
      <c r="M35" s="82"/>
      <c r="N35" s="195"/>
      <c r="O35" s="507" t="str">
        <f t="shared" si="1"/>
        <v/>
      </c>
      <c r="P35" s="521" t="str">
        <f t="shared" si="2"/>
        <v/>
      </c>
      <c r="Q35" s="564" t="str">
        <f>IFERROR(IF(P35="Check Data ⚠","Check Data ⚠",VLOOKUP(P35,'G-4 Temporal multipliers'!$A$4:$C$37,3,FALSE)),"")</f>
        <v/>
      </c>
      <c r="R35" s="498" t="str">
        <f>IF(C35="","",VLOOKUP(C35,'G-7 Rivers Data'!$B$4:$G$8,4,FALSE))</f>
        <v/>
      </c>
      <c r="S35" s="507" t="str">
        <f t="shared" si="3"/>
        <v/>
      </c>
      <c r="T35" s="540" t="str">
        <f t="shared" si="4"/>
        <v/>
      </c>
      <c r="U35" s="499" t="str">
        <f t="shared" si="5"/>
        <v/>
      </c>
      <c r="V35" s="71"/>
      <c r="W35" s="499" t="str">
        <f>IF(V35="","",IF(VLOOKUP(V35,'G-7 Rivers Data'!$AA$4:$AB$7,2,FALSE)=0,"Spatial Data Missing ⚠",VLOOKUP(V35,'G-7 Rivers Data'!$AA$4:$AB$7,2,FALSE)))</f>
        <v/>
      </c>
      <c r="X35" s="155"/>
      <c r="Y35" s="499" t="str">
        <f>IF(X35="","",IF(VLOOKUP(X35,'G-7 Rivers Data'!$AD$4:$AE$8,2,FALSE)=0,"Enrcoachment Data Missing ⚠",VLOOKUP(X35,'G-7 Rivers Data'!$AD$4:$AE$8,2,FALSE)))</f>
        <v/>
      </c>
      <c r="Z35" s="565" t="str">
        <f t="shared" si="6"/>
        <v/>
      </c>
      <c r="AA35" s="149"/>
      <c r="AB35" s="150"/>
      <c r="AH35" s="31" t="str">
        <f>IFERROR(INDEX('G-7 Rivers Data'!$AZ$3:$AZ$7,MATCH(C35,'G-7 Rivers Data'!$AY$3:$AY$7,0)),"")</f>
        <v/>
      </c>
    </row>
    <row r="36" spans="2:34" ht="14" x14ac:dyDescent="0.3">
      <c r="B36" s="141">
        <v>25</v>
      </c>
      <c r="C36" s="171"/>
      <c r="D36" s="172"/>
      <c r="E36" s="498" t="str">
        <f>IF(C36="","",VLOOKUP(C36,'G-7 Rivers Data'!$B$2:$G$8,2,FALSE))</f>
        <v/>
      </c>
      <c r="F36" s="499" t="str">
        <f>IFERROR(VLOOKUP(E36,'G-7 Rivers Data'!$C$4:$D$8,2,FALSE),"")</f>
        <v/>
      </c>
      <c r="G36" s="145"/>
      <c r="H36" s="499" t="str">
        <f>IFERROR(INDEX('G-7 Rivers Data'!$H$4:$L$8,MATCH(C36,'G-7 Rivers Data'!$B$4:$B$8,0),MATCH(G36,'G-7 Rivers Data'!$H$3:$L$3,0)),"")</f>
        <v/>
      </c>
      <c r="I36" s="154"/>
      <c r="J36" s="507" t="str">
        <f>IF(I36="","",IF(VLOOKUP(I36,'G-7 Rivers Data'!$AG$4:$AI$9,2,FALSE)=0,"Spatial Data Missing ⚠",VLOOKUP(I36,'G-7 Rivers Data'!$AG$4:$AI$9,2,FALSE)))</f>
        <v/>
      </c>
      <c r="K36" s="499" t="str">
        <f>IF(I36="","",IF(VLOOKUP(I36,'G-7 Rivers Data'!$AG$4:$AI$9,3,FALSE)=0,"Spatial Data Missing ⚠",VLOOKUP(I36,'G-7 Rivers Data'!$AG$4:$AI$9,3,FALSE)))</f>
        <v/>
      </c>
      <c r="L36" s="498" t="str">
        <f>IFERROR(INDEX('G-7 Rivers Data'!$O$3:$O$7,MATCH(G36,'G-7 Rivers Data'!$N$3:$N$7,0)),"")</f>
        <v/>
      </c>
      <c r="M36" s="82"/>
      <c r="N36" s="195"/>
      <c r="O36" s="507" t="str">
        <f t="shared" si="1"/>
        <v/>
      </c>
      <c r="P36" s="521" t="str">
        <f t="shared" si="2"/>
        <v/>
      </c>
      <c r="Q36" s="564" t="str">
        <f>IFERROR(IF(P36="Check Data ⚠","Check Data ⚠",VLOOKUP(P36,'G-4 Temporal multipliers'!$A$4:$C$37,3,FALSE)),"")</f>
        <v/>
      </c>
      <c r="R36" s="498" t="str">
        <f>IF(C36="","",VLOOKUP(C36,'G-7 Rivers Data'!$B$4:$G$8,4,FALSE))</f>
        <v/>
      </c>
      <c r="S36" s="507" t="str">
        <f t="shared" si="3"/>
        <v/>
      </c>
      <c r="T36" s="540" t="str">
        <f t="shared" si="4"/>
        <v/>
      </c>
      <c r="U36" s="499" t="str">
        <f t="shared" si="5"/>
        <v/>
      </c>
      <c r="V36" s="71"/>
      <c r="W36" s="499" t="str">
        <f>IF(V36="","",IF(VLOOKUP(V36,'G-7 Rivers Data'!$AA$4:$AB$7,2,FALSE)=0,"Spatial Data Missing ⚠",VLOOKUP(V36,'G-7 Rivers Data'!$AA$4:$AB$7,2,FALSE)))</f>
        <v/>
      </c>
      <c r="X36" s="155"/>
      <c r="Y36" s="499" t="str">
        <f>IF(X36="","",IF(VLOOKUP(X36,'G-7 Rivers Data'!$AD$4:$AE$8,2,FALSE)=0,"Enrcoachment Data Missing ⚠",VLOOKUP(X36,'G-7 Rivers Data'!$AD$4:$AE$8,2,FALSE)))</f>
        <v/>
      </c>
      <c r="Z36" s="565" t="str">
        <f t="shared" si="6"/>
        <v/>
      </c>
      <c r="AA36" s="149"/>
      <c r="AB36" s="150"/>
      <c r="AH36" s="31" t="str">
        <f>IFERROR(INDEX('G-7 Rivers Data'!$AZ$3:$AZ$7,MATCH(C36,'G-7 Rivers Data'!$AY$3:$AY$7,0)),"")</f>
        <v/>
      </c>
    </row>
    <row r="37" spans="2:34" ht="14" x14ac:dyDescent="0.3">
      <c r="B37" s="141">
        <v>26</v>
      </c>
      <c r="C37" s="171"/>
      <c r="D37" s="172"/>
      <c r="E37" s="498" t="str">
        <f>IF(C37="","",VLOOKUP(C37,'G-7 Rivers Data'!$B$2:$G$8,2,FALSE))</f>
        <v/>
      </c>
      <c r="F37" s="499" t="str">
        <f>IFERROR(VLOOKUP(E37,'G-7 Rivers Data'!$C$4:$D$8,2,FALSE),"")</f>
        <v/>
      </c>
      <c r="G37" s="145"/>
      <c r="H37" s="499" t="str">
        <f>IFERROR(INDEX('G-7 Rivers Data'!$H$4:$L$8,MATCH(C37,'G-7 Rivers Data'!$B$4:$B$8,0),MATCH(G37,'G-7 Rivers Data'!$H$3:$L$3,0)),"")</f>
        <v/>
      </c>
      <c r="I37" s="154"/>
      <c r="J37" s="507" t="str">
        <f>IF(I37="","",IF(VLOOKUP(I37,'G-7 Rivers Data'!$AG$4:$AI$9,2,FALSE)=0,"Spatial Data Missing ⚠",VLOOKUP(I37,'G-7 Rivers Data'!$AG$4:$AI$9,2,FALSE)))</f>
        <v/>
      </c>
      <c r="K37" s="499" t="str">
        <f>IF(I37="","",IF(VLOOKUP(I37,'G-7 Rivers Data'!$AG$4:$AI$9,3,FALSE)=0,"Spatial Data Missing ⚠",VLOOKUP(I37,'G-7 Rivers Data'!$AG$4:$AI$9,3,FALSE)))</f>
        <v/>
      </c>
      <c r="L37" s="498" t="str">
        <f>IFERROR(INDEX('G-7 Rivers Data'!$O$3:$O$7,MATCH(G37,'G-7 Rivers Data'!$N$3:$N$7,0)),"")</f>
        <v/>
      </c>
      <c r="M37" s="82"/>
      <c r="N37" s="195"/>
      <c r="O37" s="507" t="str">
        <f t="shared" si="1"/>
        <v/>
      </c>
      <c r="P37" s="521" t="str">
        <f t="shared" si="2"/>
        <v/>
      </c>
      <c r="Q37" s="564" t="str">
        <f>IFERROR(IF(P37="Check Data ⚠","Check Data ⚠",VLOOKUP(P37,'G-4 Temporal multipliers'!$A$4:$C$37,3,FALSE)),"")</f>
        <v/>
      </c>
      <c r="R37" s="498" t="str">
        <f>IF(C37="","",VLOOKUP(C37,'G-7 Rivers Data'!$B$4:$G$8,4,FALSE))</f>
        <v/>
      </c>
      <c r="S37" s="507" t="str">
        <f t="shared" si="3"/>
        <v/>
      </c>
      <c r="T37" s="540" t="str">
        <f t="shared" si="4"/>
        <v/>
      </c>
      <c r="U37" s="499" t="str">
        <f t="shared" si="5"/>
        <v/>
      </c>
      <c r="V37" s="71"/>
      <c r="W37" s="499" t="str">
        <f>IF(V37="","",IF(VLOOKUP(V37,'G-7 Rivers Data'!$AA$4:$AB$7,2,FALSE)=0,"Spatial Data Missing ⚠",VLOOKUP(V37,'G-7 Rivers Data'!$AA$4:$AB$7,2,FALSE)))</f>
        <v/>
      </c>
      <c r="X37" s="155"/>
      <c r="Y37" s="499" t="str">
        <f>IF(X37="","",IF(VLOOKUP(X37,'G-7 Rivers Data'!$AD$4:$AE$8,2,FALSE)=0,"Enrcoachment Data Missing ⚠",VLOOKUP(X37,'G-7 Rivers Data'!$AD$4:$AE$8,2,FALSE)))</f>
        <v/>
      </c>
      <c r="Z37" s="565" t="str">
        <f t="shared" si="6"/>
        <v/>
      </c>
      <c r="AA37" s="149"/>
      <c r="AB37" s="150"/>
      <c r="AH37" s="31" t="str">
        <f>IFERROR(INDEX('G-7 Rivers Data'!$AZ$3:$AZ$7,MATCH(C37,'G-7 Rivers Data'!$AY$3:$AY$7,0)),"")</f>
        <v/>
      </c>
    </row>
    <row r="38" spans="2:34" ht="14" x14ac:dyDescent="0.3">
      <c r="B38" s="141">
        <v>27</v>
      </c>
      <c r="C38" s="171"/>
      <c r="D38" s="172"/>
      <c r="E38" s="498" t="str">
        <f>IF(C38="","",VLOOKUP(C38,'G-7 Rivers Data'!$B$2:$G$8,2,FALSE))</f>
        <v/>
      </c>
      <c r="F38" s="499" t="str">
        <f>IFERROR(VLOOKUP(E38,'G-7 Rivers Data'!$C$4:$D$8,2,FALSE),"")</f>
        <v/>
      </c>
      <c r="G38" s="145"/>
      <c r="H38" s="499" t="str">
        <f>IFERROR(INDEX('G-7 Rivers Data'!$H$4:$L$8,MATCH(C38,'G-7 Rivers Data'!$B$4:$B$8,0),MATCH(G38,'G-7 Rivers Data'!$H$3:$L$3,0)),"")</f>
        <v/>
      </c>
      <c r="I38" s="154"/>
      <c r="J38" s="507" t="str">
        <f>IF(I38="","",IF(VLOOKUP(I38,'G-7 Rivers Data'!$AG$4:$AI$9,2,FALSE)=0,"Spatial Data Missing ⚠",VLOOKUP(I38,'G-7 Rivers Data'!$AG$4:$AI$9,2,FALSE)))</f>
        <v/>
      </c>
      <c r="K38" s="499" t="str">
        <f>IF(I38="","",IF(VLOOKUP(I38,'G-7 Rivers Data'!$AG$4:$AI$9,3,FALSE)=0,"Spatial Data Missing ⚠",VLOOKUP(I38,'G-7 Rivers Data'!$AG$4:$AI$9,3,FALSE)))</f>
        <v/>
      </c>
      <c r="L38" s="498" t="str">
        <f>IFERROR(INDEX('G-7 Rivers Data'!$O$3:$O$7,MATCH(G38,'G-7 Rivers Data'!$N$3:$N$7,0)),"")</f>
        <v/>
      </c>
      <c r="M38" s="82"/>
      <c r="N38" s="195"/>
      <c r="O38" s="507" t="str">
        <f t="shared" si="1"/>
        <v/>
      </c>
      <c r="P38" s="521" t="str">
        <f t="shared" si="2"/>
        <v/>
      </c>
      <c r="Q38" s="564" t="str">
        <f>IFERROR(IF(P38="Check Data ⚠","Check Data ⚠",VLOOKUP(P38,'G-4 Temporal multipliers'!$A$4:$C$37,3,FALSE)),"")</f>
        <v/>
      </c>
      <c r="R38" s="498" t="str">
        <f>IF(C38="","",VLOOKUP(C38,'G-7 Rivers Data'!$B$4:$G$8,4,FALSE))</f>
        <v/>
      </c>
      <c r="S38" s="507" t="str">
        <f t="shared" si="3"/>
        <v/>
      </c>
      <c r="T38" s="540" t="str">
        <f t="shared" si="4"/>
        <v/>
      </c>
      <c r="U38" s="499" t="str">
        <f t="shared" si="5"/>
        <v/>
      </c>
      <c r="V38" s="71"/>
      <c r="W38" s="499" t="str">
        <f>IF(V38="","",IF(VLOOKUP(V38,'G-7 Rivers Data'!$AA$4:$AB$7,2,FALSE)=0,"Spatial Data Missing ⚠",VLOOKUP(V38,'G-7 Rivers Data'!$AA$4:$AB$7,2,FALSE)))</f>
        <v/>
      </c>
      <c r="X38" s="155"/>
      <c r="Y38" s="499" t="str">
        <f>IF(X38="","",IF(VLOOKUP(X38,'G-7 Rivers Data'!$AD$4:$AE$8,2,FALSE)=0,"Enrcoachment Data Missing ⚠",VLOOKUP(X38,'G-7 Rivers Data'!$AD$4:$AE$8,2,FALSE)))</f>
        <v/>
      </c>
      <c r="Z38" s="565" t="str">
        <f t="shared" si="6"/>
        <v/>
      </c>
      <c r="AA38" s="149"/>
      <c r="AB38" s="150"/>
      <c r="AH38" s="31" t="str">
        <f>IFERROR(INDEX('G-7 Rivers Data'!$AZ$3:$AZ$7,MATCH(C38,'G-7 Rivers Data'!$AY$3:$AY$7,0)),"")</f>
        <v/>
      </c>
    </row>
    <row r="39" spans="2:34" ht="14" x14ac:dyDescent="0.3">
      <c r="B39" s="141">
        <v>28</v>
      </c>
      <c r="C39" s="171"/>
      <c r="D39" s="172"/>
      <c r="E39" s="498" t="str">
        <f>IF(C39="","",VLOOKUP(C39,'G-7 Rivers Data'!$B$2:$G$8,2,FALSE))</f>
        <v/>
      </c>
      <c r="F39" s="499" t="str">
        <f>IFERROR(VLOOKUP(E39,'G-7 Rivers Data'!$C$4:$D$8,2,FALSE),"")</f>
        <v/>
      </c>
      <c r="G39" s="145"/>
      <c r="H39" s="499" t="str">
        <f>IFERROR(INDEX('G-7 Rivers Data'!$H$4:$L$8,MATCH(C39,'G-7 Rivers Data'!$B$4:$B$8,0),MATCH(G39,'G-7 Rivers Data'!$H$3:$L$3,0)),"")</f>
        <v/>
      </c>
      <c r="I39" s="154"/>
      <c r="J39" s="507" t="str">
        <f>IF(I39="","",IF(VLOOKUP(I39,'G-7 Rivers Data'!$AG$4:$AI$9,2,FALSE)=0,"Spatial Data Missing ⚠",VLOOKUP(I39,'G-7 Rivers Data'!$AG$4:$AI$9,2,FALSE)))</f>
        <v/>
      </c>
      <c r="K39" s="499" t="str">
        <f>IF(I39="","",IF(VLOOKUP(I39,'G-7 Rivers Data'!$AG$4:$AI$9,3,FALSE)=0,"Spatial Data Missing ⚠",VLOOKUP(I39,'G-7 Rivers Data'!$AG$4:$AI$9,3,FALSE)))</f>
        <v/>
      </c>
      <c r="L39" s="498" t="str">
        <f>IFERROR(INDEX('G-7 Rivers Data'!$O$3:$O$7,MATCH(G39,'G-7 Rivers Data'!$N$3:$N$7,0)),"")</f>
        <v/>
      </c>
      <c r="M39" s="82"/>
      <c r="N39" s="195"/>
      <c r="O39" s="507" t="str">
        <f t="shared" si="1"/>
        <v/>
      </c>
      <c r="P39" s="521" t="str">
        <f t="shared" si="2"/>
        <v/>
      </c>
      <c r="Q39" s="564" t="str">
        <f>IFERROR(IF(P39="Check Data ⚠","Check Data ⚠",VLOOKUP(P39,'G-4 Temporal multipliers'!$A$4:$C$37,3,FALSE)),"")</f>
        <v/>
      </c>
      <c r="R39" s="498" t="str">
        <f>IF(C39="","",VLOOKUP(C39,'G-7 Rivers Data'!$B$4:$G$8,4,FALSE))</f>
        <v/>
      </c>
      <c r="S39" s="507" t="str">
        <f t="shared" si="3"/>
        <v/>
      </c>
      <c r="T39" s="540" t="str">
        <f t="shared" si="4"/>
        <v/>
      </c>
      <c r="U39" s="499" t="str">
        <f t="shared" si="5"/>
        <v/>
      </c>
      <c r="V39" s="71"/>
      <c r="W39" s="499" t="str">
        <f>IF(V39="","",IF(VLOOKUP(V39,'G-7 Rivers Data'!$AA$4:$AB$7,2,FALSE)=0,"Spatial Data Missing ⚠",VLOOKUP(V39,'G-7 Rivers Data'!$AA$4:$AB$7,2,FALSE)))</f>
        <v/>
      </c>
      <c r="X39" s="155"/>
      <c r="Y39" s="499" t="str">
        <f>IF(X39="","",IF(VLOOKUP(X39,'G-7 Rivers Data'!$AD$4:$AE$8,2,FALSE)=0,"Enrcoachment Data Missing ⚠",VLOOKUP(X39,'G-7 Rivers Data'!$AD$4:$AE$8,2,FALSE)))</f>
        <v/>
      </c>
      <c r="Z39" s="565" t="str">
        <f t="shared" si="6"/>
        <v/>
      </c>
      <c r="AA39" s="149"/>
      <c r="AB39" s="150"/>
      <c r="AH39" s="31" t="str">
        <f>IFERROR(INDEX('G-7 Rivers Data'!$AZ$3:$AZ$7,MATCH(C39,'G-7 Rivers Data'!$AY$3:$AY$7,0)),"")</f>
        <v/>
      </c>
    </row>
    <row r="40" spans="2:34" ht="14" x14ac:dyDescent="0.3">
      <c r="B40" s="141">
        <v>29</v>
      </c>
      <c r="C40" s="171"/>
      <c r="D40" s="172"/>
      <c r="E40" s="498" t="str">
        <f>IF(C40="","",VLOOKUP(C40,'G-7 Rivers Data'!$B$2:$G$8,2,FALSE))</f>
        <v/>
      </c>
      <c r="F40" s="499" t="str">
        <f>IFERROR(VLOOKUP(E40,'G-7 Rivers Data'!$C$4:$D$8,2,FALSE),"")</f>
        <v/>
      </c>
      <c r="G40" s="145"/>
      <c r="H40" s="499" t="str">
        <f>IFERROR(INDEX('G-7 Rivers Data'!$H$4:$L$8,MATCH(C40,'G-7 Rivers Data'!$B$4:$B$8,0),MATCH(G40,'G-7 Rivers Data'!$H$3:$L$3,0)),"")</f>
        <v/>
      </c>
      <c r="I40" s="154"/>
      <c r="J40" s="507" t="str">
        <f>IF(I40="","",IF(VLOOKUP(I40,'G-7 Rivers Data'!$AG$4:$AI$9,2,FALSE)=0,"Spatial Data Missing ⚠",VLOOKUP(I40,'G-7 Rivers Data'!$AG$4:$AI$9,2,FALSE)))</f>
        <v/>
      </c>
      <c r="K40" s="499" t="str">
        <f>IF(I40="","",IF(VLOOKUP(I40,'G-7 Rivers Data'!$AG$4:$AI$9,3,FALSE)=0,"Spatial Data Missing ⚠",VLOOKUP(I40,'G-7 Rivers Data'!$AG$4:$AI$9,3,FALSE)))</f>
        <v/>
      </c>
      <c r="L40" s="498" t="str">
        <f>IFERROR(INDEX('G-7 Rivers Data'!$O$3:$O$7,MATCH(G40,'G-7 Rivers Data'!$N$3:$N$7,0)),"")</f>
        <v/>
      </c>
      <c r="M40" s="82"/>
      <c r="N40" s="195"/>
      <c r="O40" s="507" t="str">
        <f t="shared" si="1"/>
        <v/>
      </c>
      <c r="P40" s="521" t="str">
        <f t="shared" si="2"/>
        <v/>
      </c>
      <c r="Q40" s="564" t="str">
        <f>IFERROR(IF(P40="Check Data ⚠","Check Data ⚠",VLOOKUP(P40,'G-4 Temporal multipliers'!$A$4:$C$37,3,FALSE)),"")</f>
        <v/>
      </c>
      <c r="R40" s="498" t="str">
        <f>IF(C40="","",VLOOKUP(C40,'G-7 Rivers Data'!$B$4:$G$8,4,FALSE))</f>
        <v/>
      </c>
      <c r="S40" s="507" t="str">
        <f t="shared" si="3"/>
        <v/>
      </c>
      <c r="T40" s="540" t="str">
        <f t="shared" si="4"/>
        <v/>
      </c>
      <c r="U40" s="499" t="str">
        <f t="shared" si="5"/>
        <v/>
      </c>
      <c r="V40" s="71"/>
      <c r="W40" s="499" t="str">
        <f>IF(V40="","",IF(VLOOKUP(V40,'G-7 Rivers Data'!$AA$4:$AB$7,2,FALSE)=0,"Spatial Data Missing ⚠",VLOOKUP(V40,'G-7 Rivers Data'!$AA$4:$AB$7,2,FALSE)))</f>
        <v/>
      </c>
      <c r="X40" s="155"/>
      <c r="Y40" s="499" t="str">
        <f>IF(X40="","",IF(VLOOKUP(X40,'G-7 Rivers Data'!$AD$4:$AE$8,2,FALSE)=0,"Enrcoachment Data Missing ⚠",VLOOKUP(X40,'G-7 Rivers Data'!$AD$4:$AE$8,2,FALSE)))</f>
        <v/>
      </c>
      <c r="Z40" s="565" t="str">
        <f t="shared" si="6"/>
        <v/>
      </c>
      <c r="AA40" s="149"/>
      <c r="AB40" s="150"/>
      <c r="AH40" s="31" t="str">
        <f>IFERROR(INDEX('G-7 Rivers Data'!$AZ$3:$AZ$7,MATCH(C40,'G-7 Rivers Data'!$AY$3:$AY$7,0)),"")</f>
        <v/>
      </c>
    </row>
    <row r="41" spans="2:34" ht="14" x14ac:dyDescent="0.3">
      <c r="B41" s="141">
        <v>30</v>
      </c>
      <c r="C41" s="171"/>
      <c r="D41" s="172"/>
      <c r="E41" s="498" t="str">
        <f>IF(C41="","",VLOOKUP(C41,'G-7 Rivers Data'!$B$2:$G$8,2,FALSE))</f>
        <v/>
      </c>
      <c r="F41" s="499" t="str">
        <f>IFERROR(VLOOKUP(E41,'G-7 Rivers Data'!$C$4:$D$8,2,FALSE),"")</f>
        <v/>
      </c>
      <c r="G41" s="145"/>
      <c r="H41" s="499" t="str">
        <f>IFERROR(INDEX('G-7 Rivers Data'!$H$4:$L$8,MATCH(C41,'G-7 Rivers Data'!$B$4:$B$8,0),MATCH(G41,'G-7 Rivers Data'!$H$3:$L$3,0)),"")</f>
        <v/>
      </c>
      <c r="I41" s="154"/>
      <c r="J41" s="507" t="str">
        <f>IF(I41="","",IF(VLOOKUP(I41,'G-7 Rivers Data'!$AG$4:$AI$9,2,FALSE)=0,"Spatial Data Missing ⚠",VLOOKUP(I41,'G-7 Rivers Data'!$AG$4:$AI$9,2,FALSE)))</f>
        <v/>
      </c>
      <c r="K41" s="499" t="str">
        <f>IF(I41="","",IF(VLOOKUP(I41,'G-7 Rivers Data'!$AG$4:$AI$9,3,FALSE)=0,"Spatial Data Missing ⚠",VLOOKUP(I41,'G-7 Rivers Data'!$AG$4:$AI$9,3,FALSE)))</f>
        <v/>
      </c>
      <c r="L41" s="498" t="str">
        <f>IFERROR(INDEX('G-7 Rivers Data'!$O$3:$O$7,MATCH(G41,'G-7 Rivers Data'!$N$3:$N$7,0)),"")</f>
        <v/>
      </c>
      <c r="M41" s="82"/>
      <c r="N41" s="195"/>
      <c r="O41" s="507" t="str">
        <f t="shared" si="1"/>
        <v/>
      </c>
      <c r="P41" s="521" t="str">
        <f t="shared" si="2"/>
        <v/>
      </c>
      <c r="Q41" s="564" t="str">
        <f>IFERROR(IF(P41="Check Data ⚠","Check Data ⚠",VLOOKUP(P41,'G-4 Temporal multipliers'!$A$4:$C$37,3,FALSE)),"")</f>
        <v/>
      </c>
      <c r="R41" s="498" t="str">
        <f>IF(C41="","",VLOOKUP(C41,'G-7 Rivers Data'!$B$4:$G$8,4,FALSE))</f>
        <v/>
      </c>
      <c r="S41" s="507" t="str">
        <f t="shared" si="3"/>
        <v/>
      </c>
      <c r="T41" s="540" t="str">
        <f t="shared" si="4"/>
        <v/>
      </c>
      <c r="U41" s="499" t="str">
        <f t="shared" si="5"/>
        <v/>
      </c>
      <c r="V41" s="71"/>
      <c r="W41" s="499" t="str">
        <f>IF(V41="","",IF(VLOOKUP(V41,'G-7 Rivers Data'!$AA$4:$AB$7,2,FALSE)=0,"Spatial Data Missing ⚠",VLOOKUP(V41,'G-7 Rivers Data'!$AA$4:$AB$7,2,FALSE)))</f>
        <v/>
      </c>
      <c r="X41" s="155"/>
      <c r="Y41" s="499" t="str">
        <f>IF(X41="","",IF(VLOOKUP(X41,'G-7 Rivers Data'!$AD$4:$AE$8,2,FALSE)=0,"Enrcoachment Data Missing ⚠",VLOOKUP(X41,'G-7 Rivers Data'!$AD$4:$AE$8,2,FALSE)))</f>
        <v/>
      </c>
      <c r="Z41" s="565" t="str">
        <f t="shared" si="6"/>
        <v/>
      </c>
      <c r="AA41" s="149"/>
      <c r="AB41" s="150"/>
      <c r="AH41" s="31" t="str">
        <f>IFERROR(INDEX('G-7 Rivers Data'!$AZ$3:$AZ$7,MATCH(C41,'G-7 Rivers Data'!$AY$3:$AY$7,0)),"")</f>
        <v/>
      </c>
    </row>
    <row r="42" spans="2:34" ht="14" x14ac:dyDescent="0.3">
      <c r="B42" s="141">
        <v>31</v>
      </c>
      <c r="C42" s="171"/>
      <c r="D42" s="172"/>
      <c r="E42" s="498" t="str">
        <f>IF(C42="","",VLOOKUP(C42,'G-7 Rivers Data'!$B$2:$G$8,2,FALSE))</f>
        <v/>
      </c>
      <c r="F42" s="499" t="str">
        <f>IFERROR(VLOOKUP(E42,'G-7 Rivers Data'!$C$4:$D$8,2,FALSE),"")</f>
        <v/>
      </c>
      <c r="G42" s="145"/>
      <c r="H42" s="499" t="str">
        <f>IFERROR(INDEX('G-7 Rivers Data'!$H$4:$L$8,MATCH(C42,'G-7 Rivers Data'!$B$4:$B$8,0),MATCH(G42,'G-7 Rivers Data'!$H$3:$L$3,0)),"")</f>
        <v/>
      </c>
      <c r="I42" s="154"/>
      <c r="J42" s="507" t="str">
        <f>IF(I42="","",IF(VLOOKUP(I42,'G-7 Rivers Data'!$AG$4:$AI$9,2,FALSE)=0,"Spatial Data Missing ⚠",VLOOKUP(I42,'G-7 Rivers Data'!$AG$4:$AI$9,2,FALSE)))</f>
        <v/>
      </c>
      <c r="K42" s="499" t="str">
        <f>IF(I42="","",IF(VLOOKUP(I42,'G-7 Rivers Data'!$AG$4:$AI$9,3,FALSE)=0,"Spatial Data Missing ⚠",VLOOKUP(I42,'G-7 Rivers Data'!$AG$4:$AI$9,3,FALSE)))</f>
        <v/>
      </c>
      <c r="L42" s="498" t="str">
        <f>IFERROR(INDEX('G-7 Rivers Data'!$O$3:$O$7,MATCH(G42,'G-7 Rivers Data'!$N$3:$N$7,0)),"")</f>
        <v/>
      </c>
      <c r="M42" s="82"/>
      <c r="N42" s="195"/>
      <c r="O42" s="507" t="str">
        <f t="shared" si="1"/>
        <v/>
      </c>
      <c r="P42" s="521" t="str">
        <f t="shared" si="2"/>
        <v/>
      </c>
      <c r="Q42" s="564" t="str">
        <f>IFERROR(IF(P42="Check Data ⚠","Check Data ⚠",VLOOKUP(P42,'G-4 Temporal multipliers'!$A$4:$C$37,3,FALSE)),"")</f>
        <v/>
      </c>
      <c r="R42" s="498" t="str">
        <f>IF(C42="","",VLOOKUP(C42,'G-7 Rivers Data'!$B$4:$G$8,4,FALSE))</f>
        <v/>
      </c>
      <c r="S42" s="507" t="str">
        <f t="shared" si="3"/>
        <v/>
      </c>
      <c r="T42" s="540" t="str">
        <f t="shared" si="4"/>
        <v/>
      </c>
      <c r="U42" s="499" t="str">
        <f t="shared" si="5"/>
        <v/>
      </c>
      <c r="V42" s="71"/>
      <c r="W42" s="499" t="str">
        <f>IF(V42="","",IF(VLOOKUP(V42,'G-7 Rivers Data'!$AA$4:$AB$7,2,FALSE)=0,"Spatial Data Missing ⚠",VLOOKUP(V42,'G-7 Rivers Data'!$AA$4:$AB$7,2,FALSE)))</f>
        <v/>
      </c>
      <c r="X42" s="155"/>
      <c r="Y42" s="499" t="str">
        <f>IF(X42="","",IF(VLOOKUP(X42,'G-7 Rivers Data'!$AD$4:$AE$8,2,FALSE)=0,"Enrcoachment Data Missing ⚠",VLOOKUP(X42,'G-7 Rivers Data'!$AD$4:$AE$8,2,FALSE)))</f>
        <v/>
      </c>
      <c r="Z42" s="565" t="str">
        <f t="shared" si="6"/>
        <v/>
      </c>
      <c r="AA42" s="149"/>
      <c r="AB42" s="150"/>
      <c r="AH42" s="31" t="str">
        <f>IFERROR(INDEX('G-7 Rivers Data'!$AZ$3:$AZ$7,MATCH(C42,'G-7 Rivers Data'!$AY$3:$AY$7,0)),"")</f>
        <v/>
      </c>
    </row>
    <row r="43" spans="2:34" ht="14" x14ac:dyDescent="0.3">
      <c r="B43" s="141">
        <v>32</v>
      </c>
      <c r="C43" s="171"/>
      <c r="D43" s="172"/>
      <c r="E43" s="498" t="str">
        <f>IF(C43="","",VLOOKUP(C43,'G-7 Rivers Data'!$B$2:$G$8,2,FALSE))</f>
        <v/>
      </c>
      <c r="F43" s="499" t="str">
        <f>IFERROR(VLOOKUP(E43,'G-7 Rivers Data'!$C$4:$D$8,2,FALSE),"")</f>
        <v/>
      </c>
      <c r="G43" s="145"/>
      <c r="H43" s="499" t="str">
        <f>IFERROR(INDEX('G-7 Rivers Data'!$H$4:$L$8,MATCH(C43,'G-7 Rivers Data'!$B$4:$B$8,0),MATCH(G43,'G-7 Rivers Data'!$H$3:$L$3,0)),"")</f>
        <v/>
      </c>
      <c r="I43" s="154"/>
      <c r="J43" s="507" t="str">
        <f>IF(I43="","",IF(VLOOKUP(I43,'G-7 Rivers Data'!$AG$4:$AI$9,2,FALSE)=0,"Spatial Data Missing ⚠",VLOOKUP(I43,'G-7 Rivers Data'!$AG$4:$AI$9,2,FALSE)))</f>
        <v/>
      </c>
      <c r="K43" s="499" t="str">
        <f>IF(I43="","",IF(VLOOKUP(I43,'G-7 Rivers Data'!$AG$4:$AI$9,3,FALSE)=0,"Spatial Data Missing ⚠",VLOOKUP(I43,'G-7 Rivers Data'!$AG$4:$AI$9,3,FALSE)))</f>
        <v/>
      </c>
      <c r="L43" s="498" t="str">
        <f>IFERROR(INDEX('G-7 Rivers Data'!$O$3:$O$7,MATCH(G43,'G-7 Rivers Data'!$N$3:$N$7,0)),"")</f>
        <v/>
      </c>
      <c r="M43" s="82"/>
      <c r="N43" s="195"/>
      <c r="O43" s="507" t="str">
        <f t="shared" si="1"/>
        <v/>
      </c>
      <c r="P43" s="521" t="str">
        <f t="shared" si="2"/>
        <v/>
      </c>
      <c r="Q43" s="564" t="str">
        <f>IFERROR(IF(P43="Check Data ⚠","Check Data ⚠",VLOOKUP(P43,'G-4 Temporal multipliers'!$A$4:$C$37,3,FALSE)),"")</f>
        <v/>
      </c>
      <c r="R43" s="498" t="str">
        <f>IF(C43="","",VLOOKUP(C43,'G-7 Rivers Data'!$B$4:$G$8,4,FALSE))</f>
        <v/>
      </c>
      <c r="S43" s="507" t="str">
        <f t="shared" si="3"/>
        <v/>
      </c>
      <c r="T43" s="540" t="str">
        <f t="shared" si="4"/>
        <v/>
      </c>
      <c r="U43" s="499" t="str">
        <f t="shared" si="5"/>
        <v/>
      </c>
      <c r="V43" s="71"/>
      <c r="W43" s="499" t="str">
        <f>IF(V43="","",IF(VLOOKUP(V43,'G-7 Rivers Data'!$AA$4:$AB$7,2,FALSE)=0,"Spatial Data Missing ⚠",VLOOKUP(V43,'G-7 Rivers Data'!$AA$4:$AB$7,2,FALSE)))</f>
        <v/>
      </c>
      <c r="X43" s="155"/>
      <c r="Y43" s="499" t="str">
        <f>IF(X43="","",IF(VLOOKUP(X43,'G-7 Rivers Data'!$AD$4:$AE$8,2,FALSE)=0,"Enrcoachment Data Missing ⚠",VLOOKUP(X43,'G-7 Rivers Data'!$AD$4:$AE$8,2,FALSE)))</f>
        <v/>
      </c>
      <c r="Z43" s="565" t="str">
        <f t="shared" si="6"/>
        <v/>
      </c>
      <c r="AA43" s="149"/>
      <c r="AB43" s="150"/>
      <c r="AH43" s="31" t="str">
        <f>IFERROR(INDEX('G-7 Rivers Data'!$AZ$3:$AZ$7,MATCH(C43,'G-7 Rivers Data'!$AY$3:$AY$7,0)),"")</f>
        <v/>
      </c>
    </row>
    <row r="44" spans="2:34" ht="14" x14ac:dyDescent="0.3">
      <c r="B44" s="141">
        <v>33</v>
      </c>
      <c r="C44" s="171"/>
      <c r="D44" s="172"/>
      <c r="E44" s="498" t="str">
        <f>IF(C44="","",VLOOKUP(C44,'G-7 Rivers Data'!$B$2:$G$8,2,FALSE))</f>
        <v/>
      </c>
      <c r="F44" s="499" t="str">
        <f>IFERROR(VLOOKUP(E44,'G-7 Rivers Data'!$C$4:$D$8,2,FALSE),"")</f>
        <v/>
      </c>
      <c r="G44" s="145"/>
      <c r="H44" s="499" t="str">
        <f>IFERROR(INDEX('G-7 Rivers Data'!$H$4:$L$8,MATCH(C44,'G-7 Rivers Data'!$B$4:$B$8,0),MATCH(G44,'G-7 Rivers Data'!$H$3:$L$3,0)),"")</f>
        <v/>
      </c>
      <c r="I44" s="154"/>
      <c r="J44" s="507" t="str">
        <f>IF(I44="","",IF(VLOOKUP(I44,'G-7 Rivers Data'!$AG$4:$AI$9,2,FALSE)=0,"Spatial Data Missing ⚠",VLOOKUP(I44,'G-7 Rivers Data'!$AG$4:$AI$9,2,FALSE)))</f>
        <v/>
      </c>
      <c r="K44" s="499" t="str">
        <f>IF(I44="","",IF(VLOOKUP(I44,'G-7 Rivers Data'!$AG$4:$AI$9,3,FALSE)=0,"Spatial Data Missing ⚠",VLOOKUP(I44,'G-7 Rivers Data'!$AG$4:$AI$9,3,FALSE)))</f>
        <v/>
      </c>
      <c r="L44" s="498" t="str">
        <f>IFERROR(INDEX('G-7 Rivers Data'!$O$3:$O$7,MATCH(G44,'G-7 Rivers Data'!$N$3:$N$7,0)),"")</f>
        <v/>
      </c>
      <c r="M44" s="82"/>
      <c r="N44" s="195"/>
      <c r="O44" s="507" t="str">
        <f t="shared" si="1"/>
        <v/>
      </c>
      <c r="P44" s="521" t="str">
        <f t="shared" si="2"/>
        <v/>
      </c>
      <c r="Q44" s="564" t="str">
        <f>IFERROR(IF(P44="Check Data ⚠","Check Data ⚠",VLOOKUP(P44,'G-4 Temporal multipliers'!$A$4:$C$37,3,FALSE)),"")</f>
        <v/>
      </c>
      <c r="R44" s="498" t="str">
        <f>IF(C44="","",VLOOKUP(C44,'G-7 Rivers Data'!$B$4:$G$8,4,FALSE))</f>
        <v/>
      </c>
      <c r="S44" s="507" t="str">
        <f t="shared" si="3"/>
        <v/>
      </c>
      <c r="T44" s="540" t="str">
        <f t="shared" si="4"/>
        <v/>
      </c>
      <c r="U44" s="499" t="str">
        <f t="shared" si="5"/>
        <v/>
      </c>
      <c r="V44" s="71"/>
      <c r="W44" s="499" t="str">
        <f>IF(V44="","",IF(VLOOKUP(V44,'G-7 Rivers Data'!$AA$4:$AB$7,2,FALSE)=0,"Spatial Data Missing ⚠",VLOOKUP(V44,'G-7 Rivers Data'!$AA$4:$AB$7,2,FALSE)))</f>
        <v/>
      </c>
      <c r="X44" s="155"/>
      <c r="Y44" s="499" t="str">
        <f>IF(X44="","",IF(VLOOKUP(X44,'G-7 Rivers Data'!$AD$4:$AE$8,2,FALSE)=0,"Enrcoachment Data Missing ⚠",VLOOKUP(X44,'G-7 Rivers Data'!$AD$4:$AE$8,2,FALSE)))</f>
        <v/>
      </c>
      <c r="Z44" s="565" t="str">
        <f t="shared" si="6"/>
        <v/>
      </c>
      <c r="AA44" s="149"/>
      <c r="AB44" s="150"/>
      <c r="AH44" s="31" t="str">
        <f>IFERROR(INDEX('G-7 Rivers Data'!$AZ$3:$AZ$7,MATCH(C44,'G-7 Rivers Data'!$AY$3:$AY$7,0)),"")</f>
        <v/>
      </c>
    </row>
    <row r="45" spans="2:34" ht="14" x14ac:dyDescent="0.3">
      <c r="B45" s="141">
        <v>34</v>
      </c>
      <c r="C45" s="171"/>
      <c r="D45" s="172"/>
      <c r="E45" s="498" t="str">
        <f>IF(C45="","",VLOOKUP(C45,'G-7 Rivers Data'!$B$2:$G$8,2,FALSE))</f>
        <v/>
      </c>
      <c r="F45" s="499" t="str">
        <f>IFERROR(VLOOKUP(E45,'G-7 Rivers Data'!$C$4:$D$8,2,FALSE),"")</f>
        <v/>
      </c>
      <c r="G45" s="145"/>
      <c r="H45" s="499" t="str">
        <f>IFERROR(INDEX('G-7 Rivers Data'!$H$4:$L$8,MATCH(C45,'G-7 Rivers Data'!$B$4:$B$8,0),MATCH(G45,'G-7 Rivers Data'!$H$3:$L$3,0)),"")</f>
        <v/>
      </c>
      <c r="I45" s="154"/>
      <c r="J45" s="507" t="str">
        <f>IF(I45="","",IF(VLOOKUP(I45,'G-7 Rivers Data'!$AG$4:$AI$9,2,FALSE)=0,"Spatial Data Missing ⚠",VLOOKUP(I45,'G-7 Rivers Data'!$AG$4:$AI$9,2,FALSE)))</f>
        <v/>
      </c>
      <c r="K45" s="499" t="str">
        <f>IF(I45="","",IF(VLOOKUP(I45,'G-7 Rivers Data'!$AG$4:$AI$9,3,FALSE)=0,"Spatial Data Missing ⚠",VLOOKUP(I45,'G-7 Rivers Data'!$AG$4:$AI$9,3,FALSE)))</f>
        <v/>
      </c>
      <c r="L45" s="498" t="str">
        <f>IFERROR(INDEX('G-7 Rivers Data'!$O$3:$O$7,MATCH(G45,'G-7 Rivers Data'!$N$3:$N$7,0)),"")</f>
        <v/>
      </c>
      <c r="M45" s="82"/>
      <c r="N45" s="195"/>
      <c r="O45" s="507" t="str">
        <f t="shared" si="1"/>
        <v/>
      </c>
      <c r="P45" s="521" t="str">
        <f t="shared" si="2"/>
        <v/>
      </c>
      <c r="Q45" s="564" t="str">
        <f>IFERROR(IF(P45="Check Data ⚠","Check Data ⚠",VLOOKUP(P45,'G-4 Temporal multipliers'!$A$4:$C$37,3,FALSE)),"")</f>
        <v/>
      </c>
      <c r="R45" s="498" t="str">
        <f>IF(C45="","",VLOOKUP(C45,'G-7 Rivers Data'!$B$4:$G$8,4,FALSE))</f>
        <v/>
      </c>
      <c r="S45" s="507" t="str">
        <f t="shared" si="3"/>
        <v/>
      </c>
      <c r="T45" s="540" t="str">
        <f t="shared" si="4"/>
        <v/>
      </c>
      <c r="U45" s="499" t="str">
        <f t="shared" si="5"/>
        <v/>
      </c>
      <c r="V45" s="71"/>
      <c r="W45" s="499" t="str">
        <f>IF(V45="","",IF(VLOOKUP(V45,'G-7 Rivers Data'!$AA$4:$AB$7,2,FALSE)=0,"Spatial Data Missing ⚠",VLOOKUP(V45,'G-7 Rivers Data'!$AA$4:$AB$7,2,FALSE)))</f>
        <v/>
      </c>
      <c r="X45" s="155"/>
      <c r="Y45" s="499" t="str">
        <f>IF(X45="","",IF(VLOOKUP(X45,'G-7 Rivers Data'!$AD$4:$AE$8,2,FALSE)=0,"Enrcoachment Data Missing ⚠",VLOOKUP(X45,'G-7 Rivers Data'!$AD$4:$AE$8,2,FALSE)))</f>
        <v/>
      </c>
      <c r="Z45" s="565" t="str">
        <f t="shared" si="6"/>
        <v/>
      </c>
      <c r="AA45" s="149"/>
      <c r="AB45" s="150"/>
      <c r="AH45" s="31" t="str">
        <f>IFERROR(INDEX('G-7 Rivers Data'!$AZ$3:$AZ$7,MATCH(C45,'G-7 Rivers Data'!$AY$3:$AY$7,0)),"")</f>
        <v/>
      </c>
    </row>
    <row r="46" spans="2:34" ht="14" x14ac:dyDescent="0.3">
      <c r="B46" s="141">
        <v>35</v>
      </c>
      <c r="C46" s="171"/>
      <c r="D46" s="172"/>
      <c r="E46" s="498" t="str">
        <f>IF(C46="","",VLOOKUP(C46,'G-7 Rivers Data'!$B$2:$G$8,2,FALSE))</f>
        <v/>
      </c>
      <c r="F46" s="499" t="str">
        <f>IFERROR(VLOOKUP(E46,'G-7 Rivers Data'!$C$4:$D$8,2,FALSE),"")</f>
        <v/>
      </c>
      <c r="G46" s="145"/>
      <c r="H46" s="499" t="str">
        <f>IFERROR(INDEX('G-7 Rivers Data'!$H$4:$L$8,MATCH(C46,'G-7 Rivers Data'!$B$4:$B$8,0),MATCH(G46,'G-7 Rivers Data'!$H$3:$L$3,0)),"")</f>
        <v/>
      </c>
      <c r="I46" s="154"/>
      <c r="J46" s="507" t="str">
        <f>IF(I46="","",IF(VLOOKUP(I46,'G-7 Rivers Data'!$AG$4:$AI$9,2,FALSE)=0,"Spatial Data Missing ⚠",VLOOKUP(I46,'G-7 Rivers Data'!$AG$4:$AI$9,2,FALSE)))</f>
        <v/>
      </c>
      <c r="K46" s="499" t="str">
        <f>IF(I46="","",IF(VLOOKUP(I46,'G-7 Rivers Data'!$AG$4:$AI$9,3,FALSE)=0,"Spatial Data Missing ⚠",VLOOKUP(I46,'G-7 Rivers Data'!$AG$4:$AI$9,3,FALSE)))</f>
        <v/>
      </c>
      <c r="L46" s="498" t="str">
        <f>IFERROR(INDEX('G-7 Rivers Data'!$O$3:$O$7,MATCH(G46,'G-7 Rivers Data'!$N$3:$N$7,0)),"")</f>
        <v/>
      </c>
      <c r="M46" s="82"/>
      <c r="N46" s="195"/>
      <c r="O46" s="507" t="str">
        <f t="shared" si="1"/>
        <v/>
      </c>
      <c r="P46" s="521" t="str">
        <f t="shared" si="2"/>
        <v/>
      </c>
      <c r="Q46" s="564" t="str">
        <f>IFERROR(IF(P46="Check Data ⚠","Check Data ⚠",VLOOKUP(P46,'G-4 Temporal multipliers'!$A$4:$C$37,3,FALSE)),"")</f>
        <v/>
      </c>
      <c r="R46" s="498" t="str">
        <f>IF(C46="","",VLOOKUP(C46,'G-7 Rivers Data'!$B$4:$G$8,4,FALSE))</f>
        <v/>
      </c>
      <c r="S46" s="507" t="str">
        <f t="shared" si="3"/>
        <v/>
      </c>
      <c r="T46" s="540" t="str">
        <f t="shared" si="4"/>
        <v/>
      </c>
      <c r="U46" s="499" t="str">
        <f t="shared" si="5"/>
        <v/>
      </c>
      <c r="V46" s="71"/>
      <c r="W46" s="499" t="str">
        <f>IF(V46="","",IF(VLOOKUP(V46,'G-7 Rivers Data'!$AA$4:$AB$7,2,FALSE)=0,"Spatial Data Missing ⚠",VLOOKUP(V46,'G-7 Rivers Data'!$AA$4:$AB$7,2,FALSE)))</f>
        <v/>
      </c>
      <c r="X46" s="155"/>
      <c r="Y46" s="499" t="str">
        <f>IF(X46="","",IF(VLOOKUP(X46,'G-7 Rivers Data'!$AD$4:$AE$8,2,FALSE)=0,"Enrcoachment Data Missing ⚠",VLOOKUP(X46,'G-7 Rivers Data'!$AD$4:$AE$8,2,FALSE)))</f>
        <v/>
      </c>
      <c r="Z46" s="565" t="str">
        <f t="shared" si="6"/>
        <v/>
      </c>
      <c r="AA46" s="149"/>
      <c r="AB46" s="150"/>
      <c r="AH46" s="31" t="str">
        <f>IFERROR(INDEX('G-7 Rivers Data'!$AZ$3:$AZ$7,MATCH(C46,'G-7 Rivers Data'!$AY$3:$AY$7,0)),"")</f>
        <v/>
      </c>
    </row>
    <row r="47" spans="2:34" ht="14" x14ac:dyDescent="0.3">
      <c r="B47" s="141">
        <v>36</v>
      </c>
      <c r="C47" s="171"/>
      <c r="D47" s="172"/>
      <c r="E47" s="498" t="str">
        <f>IF(C47="","",VLOOKUP(C47,'G-7 Rivers Data'!$B$2:$G$8,2,FALSE))</f>
        <v/>
      </c>
      <c r="F47" s="499" t="str">
        <f>IFERROR(VLOOKUP(E47,'G-7 Rivers Data'!$C$4:$D$8,2,FALSE),"")</f>
        <v/>
      </c>
      <c r="G47" s="145"/>
      <c r="H47" s="499" t="str">
        <f>IFERROR(INDEX('G-7 Rivers Data'!$H$4:$L$8,MATCH(C47,'G-7 Rivers Data'!$B$4:$B$8,0),MATCH(G47,'G-7 Rivers Data'!$H$3:$L$3,0)),"")</f>
        <v/>
      </c>
      <c r="I47" s="154"/>
      <c r="J47" s="507" t="str">
        <f>IF(I47="","",IF(VLOOKUP(I47,'G-7 Rivers Data'!$AG$4:$AI$9,2,FALSE)=0,"Spatial Data Missing ⚠",VLOOKUP(I47,'G-7 Rivers Data'!$AG$4:$AI$9,2,FALSE)))</f>
        <v/>
      </c>
      <c r="K47" s="499" t="str">
        <f>IF(I47="","",IF(VLOOKUP(I47,'G-7 Rivers Data'!$AG$4:$AI$9,3,FALSE)=0,"Spatial Data Missing ⚠",VLOOKUP(I47,'G-7 Rivers Data'!$AG$4:$AI$9,3,FALSE)))</f>
        <v/>
      </c>
      <c r="L47" s="498" t="str">
        <f>IFERROR(INDEX('G-7 Rivers Data'!$O$3:$O$7,MATCH(G47,'G-7 Rivers Data'!$N$3:$N$7,0)),"")</f>
        <v/>
      </c>
      <c r="M47" s="82"/>
      <c r="N47" s="195"/>
      <c r="O47" s="507" t="str">
        <f t="shared" si="1"/>
        <v/>
      </c>
      <c r="P47" s="521" t="str">
        <f t="shared" si="2"/>
        <v/>
      </c>
      <c r="Q47" s="564" t="str">
        <f>IFERROR(IF(P47="Check Data ⚠","Check Data ⚠",VLOOKUP(P47,'G-4 Temporal multipliers'!$A$4:$C$37,3,FALSE)),"")</f>
        <v/>
      </c>
      <c r="R47" s="498" t="str">
        <f>IF(C47="","",VLOOKUP(C47,'G-7 Rivers Data'!$B$4:$G$8,4,FALSE))</f>
        <v/>
      </c>
      <c r="S47" s="507" t="str">
        <f t="shared" si="3"/>
        <v/>
      </c>
      <c r="T47" s="540" t="str">
        <f t="shared" si="4"/>
        <v/>
      </c>
      <c r="U47" s="499" t="str">
        <f t="shared" si="5"/>
        <v/>
      </c>
      <c r="V47" s="71"/>
      <c r="W47" s="499" t="str">
        <f>IF(V47="","",IF(VLOOKUP(V47,'G-7 Rivers Data'!$AA$4:$AB$7,2,FALSE)=0,"Spatial Data Missing ⚠",VLOOKUP(V47,'G-7 Rivers Data'!$AA$4:$AB$7,2,FALSE)))</f>
        <v/>
      </c>
      <c r="X47" s="155"/>
      <c r="Y47" s="499" t="str">
        <f>IF(X47="","",IF(VLOOKUP(X47,'G-7 Rivers Data'!$AD$4:$AE$8,2,FALSE)=0,"Enrcoachment Data Missing ⚠",VLOOKUP(X47,'G-7 Rivers Data'!$AD$4:$AE$8,2,FALSE)))</f>
        <v/>
      </c>
      <c r="Z47" s="565" t="str">
        <f t="shared" si="6"/>
        <v/>
      </c>
      <c r="AA47" s="149"/>
      <c r="AB47" s="150"/>
      <c r="AH47" s="31" t="str">
        <f>IFERROR(INDEX('G-7 Rivers Data'!$AZ$3:$AZ$7,MATCH(C47,'G-7 Rivers Data'!$AY$3:$AY$7,0)),"")</f>
        <v/>
      </c>
    </row>
    <row r="48" spans="2:34" ht="14" x14ac:dyDescent="0.3">
      <c r="B48" s="141">
        <v>37</v>
      </c>
      <c r="C48" s="171"/>
      <c r="D48" s="172"/>
      <c r="E48" s="498" t="str">
        <f>IF(C48="","",VLOOKUP(C48,'G-7 Rivers Data'!$B$2:$G$8,2,FALSE))</f>
        <v/>
      </c>
      <c r="F48" s="499" t="str">
        <f>IFERROR(VLOOKUP(E48,'G-7 Rivers Data'!$C$4:$D$8,2,FALSE),"")</f>
        <v/>
      </c>
      <c r="G48" s="145"/>
      <c r="H48" s="499" t="str">
        <f>IFERROR(INDEX('G-7 Rivers Data'!$H$4:$L$8,MATCH(C48,'G-7 Rivers Data'!$B$4:$B$8,0),MATCH(G48,'G-7 Rivers Data'!$H$3:$L$3,0)),"")</f>
        <v/>
      </c>
      <c r="I48" s="154"/>
      <c r="J48" s="507" t="str">
        <f>IF(I48="","",IF(VLOOKUP(I48,'G-7 Rivers Data'!$AG$4:$AI$9,2,FALSE)=0,"Spatial Data Missing ⚠",VLOOKUP(I48,'G-7 Rivers Data'!$AG$4:$AI$9,2,FALSE)))</f>
        <v/>
      </c>
      <c r="K48" s="499" t="str">
        <f>IF(I48="","",IF(VLOOKUP(I48,'G-7 Rivers Data'!$AG$4:$AI$9,3,FALSE)=0,"Spatial Data Missing ⚠",VLOOKUP(I48,'G-7 Rivers Data'!$AG$4:$AI$9,3,FALSE)))</f>
        <v/>
      </c>
      <c r="L48" s="498" t="str">
        <f>IFERROR(INDEX('G-7 Rivers Data'!$O$3:$O$7,MATCH(G48,'G-7 Rivers Data'!$N$3:$N$7,0)),"")</f>
        <v/>
      </c>
      <c r="M48" s="82"/>
      <c r="N48" s="195"/>
      <c r="O48" s="507" t="str">
        <f t="shared" si="1"/>
        <v/>
      </c>
      <c r="P48" s="521" t="str">
        <f t="shared" si="2"/>
        <v/>
      </c>
      <c r="Q48" s="564" t="str">
        <f>IFERROR(IF(P48="Check Data ⚠","Check Data ⚠",VLOOKUP(P48,'G-4 Temporal multipliers'!$A$4:$C$37,3,FALSE)),"")</f>
        <v/>
      </c>
      <c r="R48" s="498" t="str">
        <f>IF(C48="","",VLOOKUP(C48,'G-7 Rivers Data'!$B$4:$G$8,4,FALSE))</f>
        <v/>
      </c>
      <c r="S48" s="507" t="str">
        <f t="shared" si="3"/>
        <v/>
      </c>
      <c r="T48" s="540" t="str">
        <f t="shared" si="4"/>
        <v/>
      </c>
      <c r="U48" s="499" t="str">
        <f t="shared" si="5"/>
        <v/>
      </c>
      <c r="V48" s="71"/>
      <c r="W48" s="499" t="str">
        <f>IF(V48="","",IF(VLOOKUP(V48,'G-7 Rivers Data'!$AA$4:$AB$7,2,FALSE)=0,"Spatial Data Missing ⚠",VLOOKUP(V48,'G-7 Rivers Data'!$AA$4:$AB$7,2,FALSE)))</f>
        <v/>
      </c>
      <c r="X48" s="155"/>
      <c r="Y48" s="499" t="str">
        <f>IF(X48="","",IF(VLOOKUP(X48,'G-7 Rivers Data'!$AD$4:$AE$8,2,FALSE)=0,"Enrcoachment Data Missing ⚠",VLOOKUP(X48,'G-7 Rivers Data'!$AD$4:$AE$8,2,FALSE)))</f>
        <v/>
      </c>
      <c r="Z48" s="565" t="str">
        <f t="shared" si="6"/>
        <v/>
      </c>
      <c r="AA48" s="149"/>
      <c r="AB48" s="150"/>
      <c r="AH48" s="31" t="str">
        <f>IFERROR(INDEX('G-7 Rivers Data'!$AZ$3:$AZ$7,MATCH(C48,'G-7 Rivers Data'!$AY$3:$AY$7,0)),"")</f>
        <v/>
      </c>
    </row>
    <row r="49" spans="2:34" ht="14" x14ac:dyDescent="0.3">
      <c r="B49" s="141">
        <v>38</v>
      </c>
      <c r="C49" s="171"/>
      <c r="D49" s="172"/>
      <c r="E49" s="498" t="str">
        <f>IF(C49="","",VLOOKUP(C49,'G-7 Rivers Data'!$B$2:$G$8,2,FALSE))</f>
        <v/>
      </c>
      <c r="F49" s="499" t="str">
        <f>IFERROR(VLOOKUP(E49,'G-7 Rivers Data'!$C$4:$D$8,2,FALSE),"")</f>
        <v/>
      </c>
      <c r="G49" s="145"/>
      <c r="H49" s="499" t="str">
        <f>IFERROR(INDEX('G-7 Rivers Data'!$H$4:$L$8,MATCH(C49,'G-7 Rivers Data'!$B$4:$B$8,0),MATCH(G49,'G-7 Rivers Data'!$H$3:$L$3,0)),"")</f>
        <v/>
      </c>
      <c r="I49" s="154"/>
      <c r="J49" s="507" t="str">
        <f>IF(I49="","",IF(VLOOKUP(I49,'G-7 Rivers Data'!$AG$4:$AI$9,2,FALSE)=0,"Spatial Data Missing ⚠",VLOOKUP(I49,'G-7 Rivers Data'!$AG$4:$AI$9,2,FALSE)))</f>
        <v/>
      </c>
      <c r="K49" s="499" t="str">
        <f>IF(I49="","",IF(VLOOKUP(I49,'G-7 Rivers Data'!$AG$4:$AI$9,3,FALSE)=0,"Spatial Data Missing ⚠",VLOOKUP(I49,'G-7 Rivers Data'!$AG$4:$AI$9,3,FALSE)))</f>
        <v/>
      </c>
      <c r="L49" s="498" t="str">
        <f>IFERROR(INDEX('G-7 Rivers Data'!$O$3:$O$7,MATCH(G49,'G-7 Rivers Data'!$N$3:$N$7,0)),"")</f>
        <v/>
      </c>
      <c r="M49" s="82"/>
      <c r="N49" s="195"/>
      <c r="O49" s="507" t="str">
        <f t="shared" si="1"/>
        <v/>
      </c>
      <c r="P49" s="521" t="str">
        <f t="shared" si="2"/>
        <v/>
      </c>
      <c r="Q49" s="564" t="str">
        <f>IFERROR(IF(P49="Check Data ⚠","Check Data ⚠",VLOOKUP(P49,'G-4 Temporal multipliers'!$A$4:$C$37,3,FALSE)),"")</f>
        <v/>
      </c>
      <c r="R49" s="498" t="str">
        <f>IF(C49="","",VLOOKUP(C49,'G-7 Rivers Data'!$B$4:$G$8,4,FALSE))</f>
        <v/>
      </c>
      <c r="S49" s="507" t="str">
        <f t="shared" si="3"/>
        <v/>
      </c>
      <c r="T49" s="540" t="str">
        <f t="shared" si="4"/>
        <v/>
      </c>
      <c r="U49" s="499" t="str">
        <f t="shared" si="5"/>
        <v/>
      </c>
      <c r="V49" s="71"/>
      <c r="W49" s="499" t="str">
        <f>IF(V49="","",IF(VLOOKUP(V49,'G-7 Rivers Data'!$AA$4:$AB$7,2,FALSE)=0,"Spatial Data Missing ⚠",VLOOKUP(V49,'G-7 Rivers Data'!$AA$4:$AB$7,2,FALSE)))</f>
        <v/>
      </c>
      <c r="X49" s="155"/>
      <c r="Y49" s="499" t="str">
        <f>IF(X49="","",IF(VLOOKUP(X49,'G-7 Rivers Data'!$AD$4:$AE$8,2,FALSE)=0,"Enrcoachment Data Missing ⚠",VLOOKUP(X49,'G-7 Rivers Data'!$AD$4:$AE$8,2,FALSE)))</f>
        <v/>
      </c>
      <c r="Z49" s="565" t="str">
        <f t="shared" si="6"/>
        <v/>
      </c>
      <c r="AA49" s="149"/>
      <c r="AB49" s="150"/>
      <c r="AH49" s="31" t="str">
        <f>IFERROR(INDEX('G-7 Rivers Data'!$AZ$3:$AZ$7,MATCH(C49,'G-7 Rivers Data'!$AY$3:$AY$7,0)),"")</f>
        <v/>
      </c>
    </row>
    <row r="50" spans="2:34" ht="14" x14ac:dyDescent="0.3">
      <c r="B50" s="141">
        <v>39</v>
      </c>
      <c r="C50" s="171"/>
      <c r="D50" s="172"/>
      <c r="E50" s="498" t="str">
        <f>IF(C50="","",VLOOKUP(C50,'G-7 Rivers Data'!$B$2:$G$8,2,FALSE))</f>
        <v/>
      </c>
      <c r="F50" s="499" t="str">
        <f>IFERROR(VLOOKUP(E50,'G-7 Rivers Data'!$C$4:$D$8,2,FALSE),"")</f>
        <v/>
      </c>
      <c r="G50" s="145"/>
      <c r="H50" s="499" t="str">
        <f>IFERROR(INDEX('G-7 Rivers Data'!$H$4:$L$8,MATCH(C50,'G-7 Rivers Data'!$B$4:$B$8,0),MATCH(G50,'G-7 Rivers Data'!$H$3:$L$3,0)),"")</f>
        <v/>
      </c>
      <c r="I50" s="154"/>
      <c r="J50" s="507" t="str">
        <f>IF(I50="","",IF(VLOOKUP(I50,'G-7 Rivers Data'!$AG$4:$AI$9,2,FALSE)=0,"Spatial Data Missing ⚠",VLOOKUP(I50,'G-7 Rivers Data'!$AG$4:$AI$9,2,FALSE)))</f>
        <v/>
      </c>
      <c r="K50" s="499" t="str">
        <f>IF(I50="","",IF(VLOOKUP(I50,'G-7 Rivers Data'!$AG$4:$AI$9,3,FALSE)=0,"Spatial Data Missing ⚠",VLOOKUP(I50,'G-7 Rivers Data'!$AG$4:$AI$9,3,FALSE)))</f>
        <v/>
      </c>
      <c r="L50" s="498" t="str">
        <f>IFERROR(INDEX('G-7 Rivers Data'!$O$3:$O$7,MATCH(G50,'G-7 Rivers Data'!$N$3:$N$7,0)),"")</f>
        <v/>
      </c>
      <c r="M50" s="82"/>
      <c r="N50" s="195"/>
      <c r="O50" s="507" t="str">
        <f t="shared" si="1"/>
        <v/>
      </c>
      <c r="P50" s="521" t="str">
        <f t="shared" si="2"/>
        <v/>
      </c>
      <c r="Q50" s="564" t="str">
        <f>IFERROR(IF(P50="Check Data ⚠","Check Data ⚠",VLOOKUP(P50,'G-4 Temporal multipliers'!$A$4:$C$37,3,FALSE)),"")</f>
        <v/>
      </c>
      <c r="R50" s="498" t="str">
        <f>IF(C50="","",VLOOKUP(C50,'G-7 Rivers Data'!$B$4:$G$8,4,FALSE))</f>
        <v/>
      </c>
      <c r="S50" s="507" t="str">
        <f t="shared" si="3"/>
        <v/>
      </c>
      <c r="T50" s="540" t="str">
        <f t="shared" si="4"/>
        <v/>
      </c>
      <c r="U50" s="499" t="str">
        <f t="shared" si="5"/>
        <v/>
      </c>
      <c r="V50" s="71"/>
      <c r="W50" s="499" t="str">
        <f>IF(V50="","",IF(VLOOKUP(V50,'G-7 Rivers Data'!$AA$4:$AB$7,2,FALSE)=0,"Spatial Data Missing ⚠",VLOOKUP(V50,'G-7 Rivers Data'!$AA$4:$AB$7,2,FALSE)))</f>
        <v/>
      </c>
      <c r="X50" s="155"/>
      <c r="Y50" s="499" t="str">
        <f>IF(X50="","",IF(VLOOKUP(X50,'G-7 Rivers Data'!$AD$4:$AE$8,2,FALSE)=0,"Enrcoachment Data Missing ⚠",VLOOKUP(X50,'G-7 Rivers Data'!$AD$4:$AE$8,2,FALSE)))</f>
        <v/>
      </c>
      <c r="Z50" s="565" t="str">
        <f t="shared" si="6"/>
        <v/>
      </c>
      <c r="AA50" s="149"/>
      <c r="AB50" s="150"/>
      <c r="AH50" s="31" t="str">
        <f>IFERROR(INDEX('G-7 Rivers Data'!$AZ$3:$AZ$7,MATCH(C50,'G-7 Rivers Data'!$AY$3:$AY$7,0)),"")</f>
        <v/>
      </c>
    </row>
    <row r="51" spans="2:34" ht="14" x14ac:dyDescent="0.3">
      <c r="B51" s="141">
        <v>40</v>
      </c>
      <c r="C51" s="171"/>
      <c r="D51" s="172"/>
      <c r="E51" s="498" t="str">
        <f>IF(C51="","",VLOOKUP(C51,'G-7 Rivers Data'!$B$2:$G$8,2,FALSE))</f>
        <v/>
      </c>
      <c r="F51" s="499" t="str">
        <f>IFERROR(VLOOKUP(E51,'G-7 Rivers Data'!$C$4:$D$8,2,FALSE),"")</f>
        <v/>
      </c>
      <c r="G51" s="145"/>
      <c r="H51" s="499" t="str">
        <f>IFERROR(INDEX('G-7 Rivers Data'!$H$4:$L$8,MATCH(C51,'G-7 Rivers Data'!$B$4:$B$8,0),MATCH(G51,'G-7 Rivers Data'!$H$3:$L$3,0)),"")</f>
        <v/>
      </c>
      <c r="I51" s="154"/>
      <c r="J51" s="507" t="str">
        <f>IF(I51="","",IF(VLOOKUP(I51,'G-7 Rivers Data'!$AG$4:$AI$9,2,FALSE)=0,"Spatial Data Missing ⚠",VLOOKUP(I51,'G-7 Rivers Data'!$AG$4:$AI$9,2,FALSE)))</f>
        <v/>
      </c>
      <c r="K51" s="499" t="str">
        <f>IF(I51="","",IF(VLOOKUP(I51,'G-7 Rivers Data'!$AG$4:$AI$9,3,FALSE)=0,"Spatial Data Missing ⚠",VLOOKUP(I51,'G-7 Rivers Data'!$AG$4:$AI$9,3,FALSE)))</f>
        <v/>
      </c>
      <c r="L51" s="498" t="str">
        <f>IFERROR(INDEX('G-7 Rivers Data'!$O$3:$O$7,MATCH(G51,'G-7 Rivers Data'!$N$3:$N$7,0)),"")</f>
        <v/>
      </c>
      <c r="M51" s="82"/>
      <c r="N51" s="195"/>
      <c r="O51" s="507" t="str">
        <f t="shared" si="1"/>
        <v/>
      </c>
      <c r="P51" s="521" t="str">
        <f t="shared" si="2"/>
        <v/>
      </c>
      <c r="Q51" s="564" t="str">
        <f>IFERROR(IF(P51="Check Data ⚠","Check Data ⚠",VLOOKUP(P51,'G-4 Temporal multipliers'!$A$4:$C$37,3,FALSE)),"")</f>
        <v/>
      </c>
      <c r="R51" s="498" t="str">
        <f>IF(C51="","",VLOOKUP(C51,'G-7 Rivers Data'!$B$4:$G$8,4,FALSE))</f>
        <v/>
      </c>
      <c r="S51" s="507" t="str">
        <f t="shared" si="3"/>
        <v/>
      </c>
      <c r="T51" s="540" t="str">
        <f t="shared" si="4"/>
        <v/>
      </c>
      <c r="U51" s="499" t="str">
        <f t="shared" si="5"/>
        <v/>
      </c>
      <c r="V51" s="71"/>
      <c r="W51" s="499" t="str">
        <f>IF(V51="","",IF(VLOOKUP(V51,'G-7 Rivers Data'!$AA$4:$AB$7,2,FALSE)=0,"Spatial Data Missing ⚠",VLOOKUP(V51,'G-7 Rivers Data'!$AA$4:$AB$7,2,FALSE)))</f>
        <v/>
      </c>
      <c r="X51" s="155"/>
      <c r="Y51" s="499" t="str">
        <f>IF(X51="","",IF(VLOOKUP(X51,'G-7 Rivers Data'!$AD$4:$AE$8,2,FALSE)=0,"Enrcoachment Data Missing ⚠",VLOOKUP(X51,'G-7 Rivers Data'!$AD$4:$AE$8,2,FALSE)))</f>
        <v/>
      </c>
      <c r="Z51" s="565" t="str">
        <f t="shared" si="6"/>
        <v/>
      </c>
      <c r="AA51" s="149"/>
      <c r="AB51" s="150"/>
      <c r="AH51" s="31" t="str">
        <f>IFERROR(INDEX('G-7 Rivers Data'!$AZ$3:$AZ$7,MATCH(C51,'G-7 Rivers Data'!$AY$3:$AY$7,0)),"")</f>
        <v/>
      </c>
    </row>
    <row r="52" spans="2:34" ht="14" x14ac:dyDescent="0.3">
      <c r="B52" s="141">
        <v>41</v>
      </c>
      <c r="C52" s="171"/>
      <c r="D52" s="172"/>
      <c r="E52" s="498" t="str">
        <f>IF(C52="","",VLOOKUP(C52,'G-7 Rivers Data'!$B$2:$G$8,2,FALSE))</f>
        <v/>
      </c>
      <c r="F52" s="499" t="str">
        <f>IFERROR(VLOOKUP(E52,'G-7 Rivers Data'!$C$4:$D$8,2,FALSE),"")</f>
        <v/>
      </c>
      <c r="G52" s="145"/>
      <c r="H52" s="499" t="str">
        <f>IFERROR(INDEX('G-7 Rivers Data'!$H$4:$L$8,MATCH(C52,'G-7 Rivers Data'!$B$4:$B$8,0),MATCH(G52,'G-7 Rivers Data'!$H$3:$L$3,0)),"")</f>
        <v/>
      </c>
      <c r="I52" s="154"/>
      <c r="J52" s="507" t="str">
        <f>IF(I52="","",IF(VLOOKUP(I52,'G-7 Rivers Data'!$AG$4:$AI$9,2,FALSE)=0,"Spatial Data Missing ⚠",VLOOKUP(I52,'G-7 Rivers Data'!$AG$4:$AI$9,2,FALSE)))</f>
        <v/>
      </c>
      <c r="K52" s="499" t="str">
        <f>IF(I52="","",IF(VLOOKUP(I52,'G-7 Rivers Data'!$AG$4:$AI$9,3,FALSE)=0,"Spatial Data Missing ⚠",VLOOKUP(I52,'G-7 Rivers Data'!$AG$4:$AI$9,3,FALSE)))</f>
        <v/>
      </c>
      <c r="L52" s="498" t="str">
        <f>IFERROR(INDEX('G-7 Rivers Data'!$O$3:$O$7,MATCH(G52,'G-7 Rivers Data'!$N$3:$N$7,0)),"")</f>
        <v/>
      </c>
      <c r="M52" s="82"/>
      <c r="N52" s="195"/>
      <c r="O52" s="507" t="str">
        <f t="shared" si="1"/>
        <v/>
      </c>
      <c r="P52" s="521" t="str">
        <f t="shared" si="2"/>
        <v/>
      </c>
      <c r="Q52" s="564" t="str">
        <f>IFERROR(IF(P52="Check Data ⚠","Check Data ⚠",VLOOKUP(P52,'G-4 Temporal multipliers'!$A$4:$C$37,3,FALSE)),"")</f>
        <v/>
      </c>
      <c r="R52" s="498" t="str">
        <f>IF(C52="","",VLOOKUP(C52,'G-7 Rivers Data'!$B$4:$G$8,4,FALSE))</f>
        <v/>
      </c>
      <c r="S52" s="507" t="str">
        <f t="shared" si="3"/>
        <v/>
      </c>
      <c r="T52" s="540" t="str">
        <f t="shared" si="4"/>
        <v/>
      </c>
      <c r="U52" s="499" t="str">
        <f t="shared" si="5"/>
        <v/>
      </c>
      <c r="V52" s="71"/>
      <c r="W52" s="499" t="str">
        <f>IF(V52="","",IF(VLOOKUP(V52,'G-7 Rivers Data'!$AA$4:$AB$7,2,FALSE)=0,"Spatial Data Missing ⚠",VLOOKUP(V52,'G-7 Rivers Data'!$AA$4:$AB$7,2,FALSE)))</f>
        <v/>
      </c>
      <c r="X52" s="155"/>
      <c r="Y52" s="499" t="str">
        <f>IF(X52="","",IF(VLOOKUP(X52,'G-7 Rivers Data'!$AD$4:$AE$8,2,FALSE)=0,"Enrcoachment Data Missing ⚠",VLOOKUP(X52,'G-7 Rivers Data'!$AD$4:$AE$8,2,FALSE)))</f>
        <v/>
      </c>
      <c r="Z52" s="565" t="str">
        <f t="shared" si="6"/>
        <v/>
      </c>
      <c r="AA52" s="149"/>
      <c r="AB52" s="150"/>
      <c r="AH52" s="31" t="str">
        <f>IFERROR(INDEX('G-7 Rivers Data'!$AZ$3:$AZ$7,MATCH(C52,'G-7 Rivers Data'!$AY$3:$AY$7,0)),"")</f>
        <v/>
      </c>
    </row>
    <row r="53" spans="2:34" ht="14" x14ac:dyDescent="0.3">
      <c r="B53" s="141">
        <v>42</v>
      </c>
      <c r="C53" s="171"/>
      <c r="D53" s="172"/>
      <c r="E53" s="498" t="str">
        <f>IF(C53="","",VLOOKUP(C53,'G-7 Rivers Data'!$B$2:$G$8,2,FALSE))</f>
        <v/>
      </c>
      <c r="F53" s="499" t="str">
        <f>IFERROR(VLOOKUP(E53,'G-7 Rivers Data'!$C$4:$D$8,2,FALSE),"")</f>
        <v/>
      </c>
      <c r="G53" s="145"/>
      <c r="H53" s="499" t="str">
        <f>IFERROR(INDEX('G-7 Rivers Data'!$H$4:$L$8,MATCH(C53,'G-7 Rivers Data'!$B$4:$B$8,0),MATCH(G53,'G-7 Rivers Data'!$H$3:$L$3,0)),"")</f>
        <v/>
      </c>
      <c r="I53" s="154"/>
      <c r="J53" s="507" t="str">
        <f>IF(I53="","",IF(VLOOKUP(I53,'G-7 Rivers Data'!$AG$4:$AI$9,2,FALSE)=0,"Spatial Data Missing ⚠",VLOOKUP(I53,'G-7 Rivers Data'!$AG$4:$AI$9,2,FALSE)))</f>
        <v/>
      </c>
      <c r="K53" s="499" t="str">
        <f>IF(I53="","",IF(VLOOKUP(I53,'G-7 Rivers Data'!$AG$4:$AI$9,3,FALSE)=0,"Spatial Data Missing ⚠",VLOOKUP(I53,'G-7 Rivers Data'!$AG$4:$AI$9,3,FALSE)))</f>
        <v/>
      </c>
      <c r="L53" s="498" t="str">
        <f>IFERROR(INDEX('G-7 Rivers Data'!$O$3:$O$7,MATCH(G53,'G-7 Rivers Data'!$N$3:$N$7,0)),"")</f>
        <v/>
      </c>
      <c r="M53" s="82"/>
      <c r="N53" s="195"/>
      <c r="O53" s="507" t="str">
        <f t="shared" si="1"/>
        <v/>
      </c>
      <c r="P53" s="521" t="str">
        <f t="shared" si="2"/>
        <v/>
      </c>
      <c r="Q53" s="564" t="str">
        <f>IFERROR(IF(P53="Check Data ⚠","Check Data ⚠",VLOOKUP(P53,'G-4 Temporal multipliers'!$A$4:$C$37,3,FALSE)),"")</f>
        <v/>
      </c>
      <c r="R53" s="498" t="str">
        <f>IF(C53="","",VLOOKUP(C53,'G-7 Rivers Data'!$B$4:$G$8,4,FALSE))</f>
        <v/>
      </c>
      <c r="S53" s="507" t="str">
        <f t="shared" si="3"/>
        <v/>
      </c>
      <c r="T53" s="540" t="str">
        <f t="shared" si="4"/>
        <v/>
      </c>
      <c r="U53" s="499" t="str">
        <f t="shared" si="5"/>
        <v/>
      </c>
      <c r="V53" s="71"/>
      <c r="W53" s="499" t="str">
        <f>IF(V53="","",IF(VLOOKUP(V53,'G-7 Rivers Data'!$AA$4:$AB$7,2,FALSE)=0,"Spatial Data Missing ⚠",VLOOKUP(V53,'G-7 Rivers Data'!$AA$4:$AB$7,2,FALSE)))</f>
        <v/>
      </c>
      <c r="X53" s="155"/>
      <c r="Y53" s="499" t="str">
        <f>IF(X53="","",IF(VLOOKUP(X53,'G-7 Rivers Data'!$AD$4:$AE$8,2,FALSE)=0,"Enrcoachment Data Missing ⚠",VLOOKUP(X53,'G-7 Rivers Data'!$AD$4:$AE$8,2,FALSE)))</f>
        <v/>
      </c>
      <c r="Z53" s="565" t="str">
        <f t="shared" si="6"/>
        <v/>
      </c>
      <c r="AA53" s="149"/>
      <c r="AB53" s="150"/>
      <c r="AH53" s="31" t="str">
        <f>IFERROR(INDEX('G-7 Rivers Data'!$AZ$3:$AZ$7,MATCH(C53,'G-7 Rivers Data'!$AY$3:$AY$7,0)),"")</f>
        <v/>
      </c>
    </row>
    <row r="54" spans="2:34" ht="14" x14ac:dyDescent="0.3">
      <c r="B54" s="141">
        <v>43</v>
      </c>
      <c r="C54" s="171"/>
      <c r="D54" s="172"/>
      <c r="E54" s="498" t="str">
        <f>IF(C54="","",VLOOKUP(C54,'G-7 Rivers Data'!$B$2:$G$8,2,FALSE))</f>
        <v/>
      </c>
      <c r="F54" s="499" t="str">
        <f>IFERROR(VLOOKUP(E54,'G-7 Rivers Data'!$C$4:$D$8,2,FALSE),"")</f>
        <v/>
      </c>
      <c r="G54" s="145"/>
      <c r="H54" s="499" t="str">
        <f>IFERROR(INDEX('G-7 Rivers Data'!$H$4:$L$8,MATCH(C54,'G-7 Rivers Data'!$B$4:$B$8,0),MATCH(G54,'G-7 Rivers Data'!$H$3:$L$3,0)),"")</f>
        <v/>
      </c>
      <c r="I54" s="154"/>
      <c r="J54" s="507" t="str">
        <f>IF(I54="","",IF(VLOOKUP(I54,'G-7 Rivers Data'!$AG$4:$AI$9,2,FALSE)=0,"Spatial Data Missing ⚠",VLOOKUP(I54,'G-7 Rivers Data'!$AG$4:$AI$9,2,FALSE)))</f>
        <v/>
      </c>
      <c r="K54" s="499" t="str">
        <f>IF(I54="","",IF(VLOOKUP(I54,'G-7 Rivers Data'!$AG$4:$AI$9,3,FALSE)=0,"Spatial Data Missing ⚠",VLOOKUP(I54,'G-7 Rivers Data'!$AG$4:$AI$9,3,FALSE)))</f>
        <v/>
      </c>
      <c r="L54" s="498" t="str">
        <f>IFERROR(INDEX('G-7 Rivers Data'!$O$3:$O$7,MATCH(G54,'G-7 Rivers Data'!$N$3:$N$7,0)),"")</f>
        <v/>
      </c>
      <c r="M54" s="82"/>
      <c r="N54" s="195"/>
      <c r="O54" s="507" t="str">
        <f t="shared" si="1"/>
        <v/>
      </c>
      <c r="P54" s="521" t="str">
        <f t="shared" si="2"/>
        <v/>
      </c>
      <c r="Q54" s="564" t="str">
        <f>IFERROR(IF(P54="Check Data ⚠","Check Data ⚠",VLOOKUP(P54,'G-4 Temporal multipliers'!$A$4:$C$37,3,FALSE)),"")</f>
        <v/>
      </c>
      <c r="R54" s="498" t="str">
        <f>IF(C54="","",VLOOKUP(C54,'G-7 Rivers Data'!$B$4:$G$8,4,FALSE))</f>
        <v/>
      </c>
      <c r="S54" s="507" t="str">
        <f t="shared" si="3"/>
        <v/>
      </c>
      <c r="T54" s="540" t="str">
        <f t="shared" si="4"/>
        <v/>
      </c>
      <c r="U54" s="499" t="str">
        <f t="shared" si="5"/>
        <v/>
      </c>
      <c r="V54" s="71"/>
      <c r="W54" s="499" t="str">
        <f>IF(V54="","",IF(VLOOKUP(V54,'G-7 Rivers Data'!$AA$4:$AB$7,2,FALSE)=0,"Spatial Data Missing ⚠",VLOOKUP(V54,'G-7 Rivers Data'!$AA$4:$AB$7,2,FALSE)))</f>
        <v/>
      </c>
      <c r="X54" s="155"/>
      <c r="Y54" s="499" t="str">
        <f>IF(X54="","",IF(VLOOKUP(X54,'G-7 Rivers Data'!$AD$4:$AE$8,2,FALSE)=0,"Enrcoachment Data Missing ⚠",VLOOKUP(X54,'G-7 Rivers Data'!$AD$4:$AE$8,2,FALSE)))</f>
        <v/>
      </c>
      <c r="Z54" s="565" t="str">
        <f t="shared" si="6"/>
        <v/>
      </c>
      <c r="AA54" s="149"/>
      <c r="AB54" s="150"/>
      <c r="AH54" s="31" t="str">
        <f>IFERROR(INDEX('G-7 Rivers Data'!$AZ$3:$AZ$7,MATCH(C54,'G-7 Rivers Data'!$AY$3:$AY$7,0)),"")</f>
        <v/>
      </c>
    </row>
    <row r="55" spans="2:34" ht="14" x14ac:dyDescent="0.3">
      <c r="B55" s="141">
        <v>44</v>
      </c>
      <c r="C55" s="171"/>
      <c r="D55" s="172"/>
      <c r="E55" s="498" t="str">
        <f>IF(C55="","",VLOOKUP(C55,'G-7 Rivers Data'!$B$2:$G$8,2,FALSE))</f>
        <v/>
      </c>
      <c r="F55" s="499" t="str">
        <f>IFERROR(VLOOKUP(E55,'G-7 Rivers Data'!$C$4:$D$8,2,FALSE),"")</f>
        <v/>
      </c>
      <c r="G55" s="145"/>
      <c r="H55" s="499" t="str">
        <f>IFERROR(INDEX('G-7 Rivers Data'!$H$4:$L$8,MATCH(C55,'G-7 Rivers Data'!$B$4:$B$8,0),MATCH(G55,'G-7 Rivers Data'!$H$3:$L$3,0)),"")</f>
        <v/>
      </c>
      <c r="I55" s="154"/>
      <c r="J55" s="507" t="str">
        <f>IF(I55="","",IF(VLOOKUP(I55,'G-7 Rivers Data'!$AG$4:$AI$9,2,FALSE)=0,"Spatial Data Missing ⚠",VLOOKUP(I55,'G-7 Rivers Data'!$AG$4:$AI$9,2,FALSE)))</f>
        <v/>
      </c>
      <c r="K55" s="499" t="str">
        <f>IF(I55="","",IF(VLOOKUP(I55,'G-7 Rivers Data'!$AG$4:$AI$9,3,FALSE)=0,"Spatial Data Missing ⚠",VLOOKUP(I55,'G-7 Rivers Data'!$AG$4:$AI$9,3,FALSE)))</f>
        <v/>
      </c>
      <c r="L55" s="498" t="str">
        <f>IFERROR(INDEX('G-7 Rivers Data'!$O$3:$O$7,MATCH(G55,'G-7 Rivers Data'!$N$3:$N$7,0)),"")</f>
        <v/>
      </c>
      <c r="M55" s="82"/>
      <c r="N55" s="195"/>
      <c r="O55" s="507" t="str">
        <f t="shared" si="1"/>
        <v/>
      </c>
      <c r="P55" s="521" t="str">
        <f t="shared" si="2"/>
        <v/>
      </c>
      <c r="Q55" s="564" t="str">
        <f>IFERROR(IF(P55="Check Data ⚠","Check Data ⚠",VLOOKUP(P55,'G-4 Temporal multipliers'!$A$4:$C$37,3,FALSE)),"")</f>
        <v/>
      </c>
      <c r="R55" s="498" t="str">
        <f>IF(C55="","",VLOOKUP(C55,'G-7 Rivers Data'!$B$4:$G$8,4,FALSE))</f>
        <v/>
      </c>
      <c r="S55" s="507" t="str">
        <f t="shared" si="3"/>
        <v/>
      </c>
      <c r="T55" s="540" t="str">
        <f t="shared" si="4"/>
        <v/>
      </c>
      <c r="U55" s="499" t="str">
        <f t="shared" si="5"/>
        <v/>
      </c>
      <c r="V55" s="71"/>
      <c r="W55" s="499" t="str">
        <f>IF(V55="","",IF(VLOOKUP(V55,'G-7 Rivers Data'!$AA$4:$AB$7,2,FALSE)=0,"Spatial Data Missing ⚠",VLOOKUP(V55,'G-7 Rivers Data'!$AA$4:$AB$7,2,FALSE)))</f>
        <v/>
      </c>
      <c r="X55" s="155"/>
      <c r="Y55" s="499" t="str">
        <f>IF(X55="","",IF(VLOOKUP(X55,'G-7 Rivers Data'!$AD$4:$AE$8,2,FALSE)=0,"Enrcoachment Data Missing ⚠",VLOOKUP(X55,'G-7 Rivers Data'!$AD$4:$AE$8,2,FALSE)))</f>
        <v/>
      </c>
      <c r="Z55" s="565" t="str">
        <f t="shared" si="6"/>
        <v/>
      </c>
      <c r="AA55" s="149"/>
      <c r="AB55" s="150"/>
      <c r="AH55" s="31" t="str">
        <f>IFERROR(INDEX('G-7 Rivers Data'!$AZ$3:$AZ$7,MATCH(C55,'G-7 Rivers Data'!$AY$3:$AY$7,0)),"")</f>
        <v/>
      </c>
    </row>
    <row r="56" spans="2:34" ht="14" x14ac:dyDescent="0.3">
      <c r="B56" s="141">
        <v>45</v>
      </c>
      <c r="C56" s="171"/>
      <c r="D56" s="172"/>
      <c r="E56" s="498" t="str">
        <f>IF(C56="","",VLOOKUP(C56,'G-7 Rivers Data'!$B$2:$G$8,2,FALSE))</f>
        <v/>
      </c>
      <c r="F56" s="499" t="str">
        <f>IFERROR(VLOOKUP(E56,'G-7 Rivers Data'!$C$4:$D$8,2,FALSE),"")</f>
        <v/>
      </c>
      <c r="G56" s="145"/>
      <c r="H56" s="499" t="str">
        <f>IFERROR(INDEX('G-7 Rivers Data'!$H$4:$L$8,MATCH(C56,'G-7 Rivers Data'!$B$4:$B$8,0),MATCH(G56,'G-7 Rivers Data'!$H$3:$L$3,0)),"")</f>
        <v/>
      </c>
      <c r="I56" s="154"/>
      <c r="J56" s="507" t="str">
        <f>IF(I56="","",IF(VLOOKUP(I56,'G-7 Rivers Data'!$AG$4:$AI$9,2,FALSE)=0,"Spatial Data Missing ⚠",VLOOKUP(I56,'G-7 Rivers Data'!$AG$4:$AI$9,2,FALSE)))</f>
        <v/>
      </c>
      <c r="K56" s="499" t="str">
        <f>IF(I56="","",IF(VLOOKUP(I56,'G-7 Rivers Data'!$AG$4:$AI$9,3,FALSE)=0,"Spatial Data Missing ⚠",VLOOKUP(I56,'G-7 Rivers Data'!$AG$4:$AI$9,3,FALSE)))</f>
        <v/>
      </c>
      <c r="L56" s="498" t="str">
        <f>IFERROR(INDEX('G-7 Rivers Data'!$O$3:$O$7,MATCH(G56,'G-7 Rivers Data'!$N$3:$N$7,0)),"")</f>
        <v/>
      </c>
      <c r="M56" s="82"/>
      <c r="N56" s="195"/>
      <c r="O56" s="507" t="str">
        <f t="shared" si="1"/>
        <v/>
      </c>
      <c r="P56" s="521" t="str">
        <f t="shared" si="2"/>
        <v/>
      </c>
      <c r="Q56" s="564" t="str">
        <f>IFERROR(IF(P56="Check Data ⚠","Check Data ⚠",VLOOKUP(P56,'G-4 Temporal multipliers'!$A$4:$C$37,3,FALSE)),"")</f>
        <v/>
      </c>
      <c r="R56" s="498" t="str">
        <f>IF(C56="","",VLOOKUP(C56,'G-7 Rivers Data'!$B$4:$G$8,4,FALSE))</f>
        <v/>
      </c>
      <c r="S56" s="507" t="str">
        <f t="shared" si="3"/>
        <v/>
      </c>
      <c r="T56" s="540" t="str">
        <f t="shared" si="4"/>
        <v/>
      </c>
      <c r="U56" s="499" t="str">
        <f t="shared" si="5"/>
        <v/>
      </c>
      <c r="V56" s="71"/>
      <c r="W56" s="499" t="str">
        <f>IF(V56="","",IF(VLOOKUP(V56,'G-7 Rivers Data'!$AA$4:$AB$7,2,FALSE)=0,"Spatial Data Missing ⚠",VLOOKUP(V56,'G-7 Rivers Data'!$AA$4:$AB$7,2,FALSE)))</f>
        <v/>
      </c>
      <c r="X56" s="155"/>
      <c r="Y56" s="499" t="str">
        <f>IF(X56="","",IF(VLOOKUP(X56,'G-7 Rivers Data'!$AD$4:$AE$8,2,FALSE)=0,"Enrcoachment Data Missing ⚠",VLOOKUP(X56,'G-7 Rivers Data'!$AD$4:$AE$8,2,FALSE)))</f>
        <v/>
      </c>
      <c r="Z56" s="565" t="str">
        <f t="shared" si="6"/>
        <v/>
      </c>
      <c r="AA56" s="149"/>
      <c r="AB56" s="150"/>
      <c r="AH56" s="31" t="str">
        <f>IFERROR(INDEX('G-7 Rivers Data'!$AZ$3:$AZ$7,MATCH(C56,'G-7 Rivers Data'!$AY$3:$AY$7,0)),"")</f>
        <v/>
      </c>
    </row>
    <row r="57" spans="2:34" ht="14" x14ac:dyDescent="0.3">
      <c r="B57" s="141">
        <v>46</v>
      </c>
      <c r="C57" s="171"/>
      <c r="D57" s="172"/>
      <c r="E57" s="498" t="str">
        <f>IF(C57="","",VLOOKUP(C57,'G-7 Rivers Data'!$B$2:$G$8,2,FALSE))</f>
        <v/>
      </c>
      <c r="F57" s="499" t="str">
        <f>IFERROR(VLOOKUP(E57,'G-7 Rivers Data'!$C$4:$D$8,2,FALSE),"")</f>
        <v/>
      </c>
      <c r="G57" s="145"/>
      <c r="H57" s="499" t="str">
        <f>IFERROR(INDEX('G-7 Rivers Data'!$H$4:$L$8,MATCH(C57,'G-7 Rivers Data'!$B$4:$B$8,0),MATCH(G57,'G-7 Rivers Data'!$H$3:$L$3,0)),"")</f>
        <v/>
      </c>
      <c r="I57" s="154"/>
      <c r="J57" s="507" t="str">
        <f>IF(I57="","",IF(VLOOKUP(I57,'G-7 Rivers Data'!$AG$4:$AI$9,2,FALSE)=0,"Spatial Data Missing ⚠",VLOOKUP(I57,'G-7 Rivers Data'!$AG$4:$AI$9,2,FALSE)))</f>
        <v/>
      </c>
      <c r="K57" s="499" t="str">
        <f>IF(I57="","",IF(VLOOKUP(I57,'G-7 Rivers Data'!$AG$4:$AI$9,3,FALSE)=0,"Spatial Data Missing ⚠",VLOOKUP(I57,'G-7 Rivers Data'!$AG$4:$AI$9,3,FALSE)))</f>
        <v/>
      </c>
      <c r="L57" s="498" t="str">
        <f>IFERROR(INDEX('G-7 Rivers Data'!$O$3:$O$7,MATCH(G57,'G-7 Rivers Data'!$N$3:$N$7,0)),"")</f>
        <v/>
      </c>
      <c r="M57" s="82"/>
      <c r="N57" s="195"/>
      <c r="O57" s="507" t="str">
        <f t="shared" si="1"/>
        <v/>
      </c>
      <c r="P57" s="521" t="str">
        <f t="shared" si="2"/>
        <v/>
      </c>
      <c r="Q57" s="564" t="str">
        <f>IFERROR(IF(P57="Check Data ⚠","Check Data ⚠",VLOOKUP(P57,'G-4 Temporal multipliers'!$A$4:$C$37,3,FALSE)),"")</f>
        <v/>
      </c>
      <c r="R57" s="498" t="str">
        <f>IF(C57="","",VLOOKUP(C57,'G-7 Rivers Data'!$B$4:$G$8,4,FALSE))</f>
        <v/>
      </c>
      <c r="S57" s="507" t="str">
        <f t="shared" si="3"/>
        <v/>
      </c>
      <c r="T57" s="540" t="str">
        <f t="shared" si="4"/>
        <v/>
      </c>
      <c r="U57" s="499" t="str">
        <f t="shared" si="5"/>
        <v/>
      </c>
      <c r="V57" s="71"/>
      <c r="W57" s="499" t="str">
        <f>IF(V57="","",IF(VLOOKUP(V57,'G-7 Rivers Data'!$AA$4:$AB$7,2,FALSE)=0,"Spatial Data Missing ⚠",VLOOKUP(V57,'G-7 Rivers Data'!$AA$4:$AB$7,2,FALSE)))</f>
        <v/>
      </c>
      <c r="X57" s="155"/>
      <c r="Y57" s="499" t="str">
        <f>IF(X57="","",IF(VLOOKUP(X57,'G-7 Rivers Data'!$AD$4:$AE$8,2,FALSE)=0,"Enrcoachment Data Missing ⚠",VLOOKUP(X57,'G-7 Rivers Data'!$AD$4:$AE$8,2,FALSE)))</f>
        <v/>
      </c>
      <c r="Z57" s="565" t="str">
        <f t="shared" si="6"/>
        <v/>
      </c>
      <c r="AA57" s="149"/>
      <c r="AB57" s="150"/>
      <c r="AH57" s="31" t="str">
        <f>IFERROR(INDEX('G-7 Rivers Data'!$AZ$3:$AZ$7,MATCH(C57,'G-7 Rivers Data'!$AY$3:$AY$7,0)),"")</f>
        <v/>
      </c>
    </row>
    <row r="58" spans="2:34" ht="14" x14ac:dyDescent="0.3">
      <c r="B58" s="141">
        <v>47</v>
      </c>
      <c r="C58" s="171"/>
      <c r="D58" s="172"/>
      <c r="E58" s="498" t="str">
        <f>IF(C58="","",VLOOKUP(C58,'G-7 Rivers Data'!$B$2:$G$8,2,FALSE))</f>
        <v/>
      </c>
      <c r="F58" s="499" t="str">
        <f>IFERROR(VLOOKUP(E58,'G-7 Rivers Data'!$C$4:$D$8,2,FALSE),"")</f>
        <v/>
      </c>
      <c r="G58" s="145"/>
      <c r="H58" s="499" t="str">
        <f>IFERROR(INDEX('G-7 Rivers Data'!$H$4:$L$8,MATCH(C58,'G-7 Rivers Data'!$B$4:$B$8,0),MATCH(G58,'G-7 Rivers Data'!$H$3:$L$3,0)),"")</f>
        <v/>
      </c>
      <c r="I58" s="154"/>
      <c r="J58" s="507" t="str">
        <f>IF(I58="","",IF(VLOOKUP(I58,'G-7 Rivers Data'!$AG$4:$AI$9,2,FALSE)=0,"Spatial Data Missing ⚠",VLOOKUP(I58,'G-7 Rivers Data'!$AG$4:$AI$9,2,FALSE)))</f>
        <v/>
      </c>
      <c r="K58" s="499" t="str">
        <f>IF(I58="","",IF(VLOOKUP(I58,'G-7 Rivers Data'!$AG$4:$AI$9,3,FALSE)=0,"Spatial Data Missing ⚠",VLOOKUP(I58,'G-7 Rivers Data'!$AG$4:$AI$9,3,FALSE)))</f>
        <v/>
      </c>
      <c r="L58" s="498" t="str">
        <f>IFERROR(INDEX('G-7 Rivers Data'!$O$3:$O$7,MATCH(G58,'G-7 Rivers Data'!$N$3:$N$7,0)),"")</f>
        <v/>
      </c>
      <c r="M58" s="82"/>
      <c r="N58" s="195"/>
      <c r="O58" s="507" t="str">
        <f t="shared" si="1"/>
        <v/>
      </c>
      <c r="P58" s="521" t="str">
        <f t="shared" si="2"/>
        <v/>
      </c>
      <c r="Q58" s="564" t="str">
        <f>IFERROR(IF(P58="Check Data ⚠","Check Data ⚠",VLOOKUP(P58,'G-4 Temporal multipliers'!$A$4:$C$37,3,FALSE)),"")</f>
        <v/>
      </c>
      <c r="R58" s="498" t="str">
        <f>IF(C58="","",VLOOKUP(C58,'G-7 Rivers Data'!$B$4:$G$8,4,FALSE))</f>
        <v/>
      </c>
      <c r="S58" s="507" t="str">
        <f t="shared" si="3"/>
        <v/>
      </c>
      <c r="T58" s="540" t="str">
        <f t="shared" si="4"/>
        <v/>
      </c>
      <c r="U58" s="499" t="str">
        <f t="shared" si="5"/>
        <v/>
      </c>
      <c r="V58" s="71"/>
      <c r="W58" s="499" t="str">
        <f>IF(V58="","",IF(VLOOKUP(V58,'G-7 Rivers Data'!$AA$4:$AB$7,2,FALSE)=0,"Spatial Data Missing ⚠",VLOOKUP(V58,'G-7 Rivers Data'!$AA$4:$AB$7,2,FALSE)))</f>
        <v/>
      </c>
      <c r="X58" s="155"/>
      <c r="Y58" s="499" t="str">
        <f>IF(X58="","",IF(VLOOKUP(X58,'G-7 Rivers Data'!$AD$4:$AE$8,2,FALSE)=0,"Enrcoachment Data Missing ⚠",VLOOKUP(X58,'G-7 Rivers Data'!$AD$4:$AE$8,2,FALSE)))</f>
        <v/>
      </c>
      <c r="Z58" s="565" t="str">
        <f t="shared" si="6"/>
        <v/>
      </c>
      <c r="AA58" s="149"/>
      <c r="AB58" s="150"/>
      <c r="AH58" s="31" t="str">
        <f>IFERROR(INDEX('G-7 Rivers Data'!$AZ$3:$AZ$7,MATCH(C58,'G-7 Rivers Data'!$AY$3:$AY$7,0)),"")</f>
        <v/>
      </c>
    </row>
    <row r="59" spans="2:34" ht="14" x14ac:dyDescent="0.3">
      <c r="B59" s="141">
        <v>48</v>
      </c>
      <c r="C59" s="171"/>
      <c r="D59" s="172"/>
      <c r="E59" s="498" t="str">
        <f>IF(C59="","",VLOOKUP(C59,'G-7 Rivers Data'!$B$2:$G$8,2,FALSE))</f>
        <v/>
      </c>
      <c r="F59" s="499" t="str">
        <f>IFERROR(VLOOKUP(E59,'G-7 Rivers Data'!$C$4:$D$8,2,FALSE),"")</f>
        <v/>
      </c>
      <c r="G59" s="145"/>
      <c r="H59" s="499" t="str">
        <f>IFERROR(INDEX('G-7 Rivers Data'!$H$4:$L$8,MATCH(C59,'G-7 Rivers Data'!$B$4:$B$8,0),MATCH(G59,'G-7 Rivers Data'!$H$3:$L$3,0)),"")</f>
        <v/>
      </c>
      <c r="I59" s="154"/>
      <c r="J59" s="507" t="str">
        <f>IF(I59="","",IF(VLOOKUP(I59,'G-7 Rivers Data'!$AG$4:$AI$9,2,FALSE)=0,"Spatial Data Missing ⚠",VLOOKUP(I59,'G-7 Rivers Data'!$AG$4:$AI$9,2,FALSE)))</f>
        <v/>
      </c>
      <c r="K59" s="499" t="str">
        <f>IF(I59="","",IF(VLOOKUP(I59,'G-7 Rivers Data'!$AG$4:$AI$9,3,FALSE)=0,"Spatial Data Missing ⚠",VLOOKUP(I59,'G-7 Rivers Data'!$AG$4:$AI$9,3,FALSE)))</f>
        <v/>
      </c>
      <c r="L59" s="498" t="str">
        <f>IFERROR(INDEX('G-7 Rivers Data'!$O$3:$O$7,MATCH(G59,'G-7 Rivers Data'!$N$3:$N$7,0)),"")</f>
        <v/>
      </c>
      <c r="M59" s="82"/>
      <c r="N59" s="195"/>
      <c r="O59" s="507" t="str">
        <f t="shared" si="1"/>
        <v/>
      </c>
      <c r="P59" s="521" t="str">
        <f t="shared" si="2"/>
        <v/>
      </c>
      <c r="Q59" s="564" t="str">
        <f>IFERROR(IF(P59="Check Data ⚠","Check Data ⚠",VLOOKUP(P59,'G-4 Temporal multipliers'!$A$4:$C$37,3,FALSE)),"")</f>
        <v/>
      </c>
      <c r="R59" s="498" t="str">
        <f>IF(C59="","",VLOOKUP(C59,'G-7 Rivers Data'!$B$4:$G$8,4,FALSE))</f>
        <v/>
      </c>
      <c r="S59" s="507" t="str">
        <f t="shared" si="3"/>
        <v/>
      </c>
      <c r="T59" s="540" t="str">
        <f t="shared" si="4"/>
        <v/>
      </c>
      <c r="U59" s="499" t="str">
        <f t="shared" si="5"/>
        <v/>
      </c>
      <c r="V59" s="71"/>
      <c r="W59" s="499" t="str">
        <f>IF(V59="","",IF(VLOOKUP(V59,'G-7 Rivers Data'!$AA$4:$AB$7,2,FALSE)=0,"Spatial Data Missing ⚠",VLOOKUP(V59,'G-7 Rivers Data'!$AA$4:$AB$7,2,FALSE)))</f>
        <v/>
      </c>
      <c r="X59" s="155"/>
      <c r="Y59" s="499" t="str">
        <f>IF(X59="","",IF(VLOOKUP(X59,'G-7 Rivers Data'!$AD$4:$AE$8,2,FALSE)=0,"Enrcoachment Data Missing ⚠",VLOOKUP(X59,'G-7 Rivers Data'!$AD$4:$AE$8,2,FALSE)))</f>
        <v/>
      </c>
      <c r="Z59" s="565" t="str">
        <f t="shared" si="6"/>
        <v/>
      </c>
      <c r="AA59" s="149"/>
      <c r="AB59" s="150"/>
      <c r="AH59" s="31" t="str">
        <f>IFERROR(INDEX('G-7 Rivers Data'!$AZ$3:$AZ$7,MATCH(C59,'G-7 Rivers Data'!$AY$3:$AY$7,0)),"")</f>
        <v/>
      </c>
    </row>
    <row r="60" spans="2:34" ht="14" x14ac:dyDescent="0.3">
      <c r="B60" s="141">
        <v>49</v>
      </c>
      <c r="C60" s="171"/>
      <c r="D60" s="172"/>
      <c r="E60" s="498" t="str">
        <f>IF(C60="","",VLOOKUP(C60,'G-7 Rivers Data'!$B$2:$G$8,2,FALSE))</f>
        <v/>
      </c>
      <c r="F60" s="499" t="str">
        <f>IFERROR(VLOOKUP(E60,'G-7 Rivers Data'!$C$4:$D$8,2,FALSE),"")</f>
        <v/>
      </c>
      <c r="G60" s="145"/>
      <c r="H60" s="499" t="str">
        <f>IFERROR(INDEX('G-7 Rivers Data'!$H$4:$L$8,MATCH(C60,'G-7 Rivers Data'!$B$4:$B$8,0),MATCH(G60,'G-7 Rivers Data'!$H$3:$L$3,0)),"")</f>
        <v/>
      </c>
      <c r="I60" s="154"/>
      <c r="J60" s="507" t="str">
        <f>IF(I60="","",IF(VLOOKUP(I60,'G-7 Rivers Data'!$AG$4:$AI$9,2,FALSE)=0,"Spatial Data Missing ⚠",VLOOKUP(I60,'G-7 Rivers Data'!$AG$4:$AI$9,2,FALSE)))</f>
        <v/>
      </c>
      <c r="K60" s="499" t="str">
        <f>IF(I60="","",IF(VLOOKUP(I60,'G-7 Rivers Data'!$AG$4:$AI$9,3,FALSE)=0,"Spatial Data Missing ⚠",VLOOKUP(I60,'G-7 Rivers Data'!$AG$4:$AI$9,3,FALSE)))</f>
        <v/>
      </c>
      <c r="L60" s="498" t="str">
        <f>IFERROR(INDEX('G-7 Rivers Data'!$O$3:$O$7,MATCH(G60,'G-7 Rivers Data'!$N$3:$N$7,0)),"")</f>
        <v/>
      </c>
      <c r="M60" s="82"/>
      <c r="N60" s="195"/>
      <c r="O60" s="507" t="str">
        <f t="shared" si="1"/>
        <v/>
      </c>
      <c r="P60" s="521" t="str">
        <f t="shared" si="2"/>
        <v/>
      </c>
      <c r="Q60" s="564" t="str">
        <f>IFERROR(IF(P60="Check Data ⚠","Check Data ⚠",VLOOKUP(P60,'G-4 Temporal multipliers'!$A$4:$C$37,3,FALSE)),"")</f>
        <v/>
      </c>
      <c r="R60" s="498" t="str">
        <f>IF(C60="","",VLOOKUP(C60,'G-7 Rivers Data'!$B$4:$G$8,4,FALSE))</f>
        <v/>
      </c>
      <c r="S60" s="507" t="str">
        <f t="shared" si="3"/>
        <v/>
      </c>
      <c r="T60" s="540" t="str">
        <f t="shared" si="4"/>
        <v/>
      </c>
      <c r="U60" s="499" t="str">
        <f t="shared" si="5"/>
        <v/>
      </c>
      <c r="V60" s="71"/>
      <c r="W60" s="499" t="str">
        <f>IF(V60="","",IF(VLOOKUP(V60,'G-7 Rivers Data'!$AA$4:$AB$7,2,FALSE)=0,"Spatial Data Missing ⚠",VLOOKUP(V60,'G-7 Rivers Data'!$AA$4:$AB$7,2,FALSE)))</f>
        <v/>
      </c>
      <c r="X60" s="155"/>
      <c r="Y60" s="499" t="str">
        <f>IF(X60="","",IF(VLOOKUP(X60,'G-7 Rivers Data'!$AD$4:$AE$8,2,FALSE)=0,"Enrcoachment Data Missing ⚠",VLOOKUP(X60,'G-7 Rivers Data'!$AD$4:$AE$8,2,FALSE)))</f>
        <v/>
      </c>
      <c r="Z60" s="565" t="str">
        <f t="shared" si="6"/>
        <v/>
      </c>
      <c r="AA60" s="149"/>
      <c r="AB60" s="150"/>
      <c r="AH60" s="31" t="str">
        <f>IFERROR(INDEX('G-7 Rivers Data'!$AZ$3:$AZ$7,MATCH(C60,'G-7 Rivers Data'!$AY$3:$AY$7,0)),"")</f>
        <v/>
      </c>
    </row>
    <row r="61" spans="2:34" ht="14" x14ac:dyDescent="0.3">
      <c r="B61" s="141">
        <v>50</v>
      </c>
      <c r="C61" s="171"/>
      <c r="D61" s="172"/>
      <c r="E61" s="498" t="str">
        <f>IF(C61="","",VLOOKUP(C61,'G-7 Rivers Data'!$B$2:$G$8,2,FALSE))</f>
        <v/>
      </c>
      <c r="F61" s="499" t="str">
        <f>IFERROR(VLOOKUP(E61,'G-7 Rivers Data'!$C$4:$D$8,2,FALSE),"")</f>
        <v/>
      </c>
      <c r="G61" s="145"/>
      <c r="H61" s="499" t="str">
        <f>IFERROR(INDEX('G-7 Rivers Data'!$H$4:$L$8,MATCH(C61,'G-7 Rivers Data'!$B$4:$B$8,0),MATCH(G61,'G-7 Rivers Data'!$H$3:$L$3,0)),"")</f>
        <v/>
      </c>
      <c r="I61" s="154"/>
      <c r="J61" s="507" t="str">
        <f>IF(I61="","",IF(VLOOKUP(I61,'G-7 Rivers Data'!$AG$4:$AI$9,2,FALSE)=0,"Spatial Data Missing ⚠",VLOOKUP(I61,'G-7 Rivers Data'!$AG$4:$AI$9,2,FALSE)))</f>
        <v/>
      </c>
      <c r="K61" s="499" t="str">
        <f>IF(I61="","",IF(VLOOKUP(I61,'G-7 Rivers Data'!$AG$4:$AI$9,3,FALSE)=0,"Spatial Data Missing ⚠",VLOOKUP(I61,'G-7 Rivers Data'!$AG$4:$AI$9,3,FALSE)))</f>
        <v/>
      </c>
      <c r="L61" s="498" t="str">
        <f>IFERROR(INDEX('G-7 Rivers Data'!$O$3:$O$7,MATCH(G61,'G-7 Rivers Data'!$N$3:$N$7,0)),"")</f>
        <v/>
      </c>
      <c r="M61" s="82"/>
      <c r="N61" s="195"/>
      <c r="O61" s="507" t="str">
        <f t="shared" si="1"/>
        <v/>
      </c>
      <c r="P61" s="521" t="str">
        <f t="shared" si="2"/>
        <v/>
      </c>
      <c r="Q61" s="564" t="str">
        <f>IFERROR(IF(P61="Check Data ⚠","Check Data ⚠",VLOOKUP(P61,'G-4 Temporal multipliers'!$A$4:$C$37,3,FALSE)),"")</f>
        <v/>
      </c>
      <c r="R61" s="498" t="str">
        <f>IF(C61="","",VLOOKUP(C61,'G-7 Rivers Data'!$B$4:$G$8,4,FALSE))</f>
        <v/>
      </c>
      <c r="S61" s="507" t="str">
        <f t="shared" si="3"/>
        <v/>
      </c>
      <c r="T61" s="540" t="str">
        <f t="shared" si="4"/>
        <v/>
      </c>
      <c r="U61" s="499" t="str">
        <f t="shared" si="5"/>
        <v/>
      </c>
      <c r="V61" s="71"/>
      <c r="W61" s="499" t="str">
        <f>IF(V61="","",IF(VLOOKUP(V61,'G-7 Rivers Data'!$AA$4:$AB$7,2,FALSE)=0,"Spatial Data Missing ⚠",VLOOKUP(V61,'G-7 Rivers Data'!$AA$4:$AB$7,2,FALSE)))</f>
        <v/>
      </c>
      <c r="X61" s="155"/>
      <c r="Y61" s="499" t="str">
        <f>IF(X61="","",IF(VLOOKUP(X61,'G-7 Rivers Data'!$AD$4:$AE$8,2,FALSE)=0,"Enrcoachment Data Missing ⚠",VLOOKUP(X61,'G-7 Rivers Data'!$AD$4:$AE$8,2,FALSE)))</f>
        <v/>
      </c>
      <c r="Z61" s="565" t="str">
        <f t="shared" si="6"/>
        <v/>
      </c>
      <c r="AA61" s="149"/>
      <c r="AB61" s="150"/>
      <c r="AH61" s="31" t="str">
        <f>IFERROR(INDEX('G-7 Rivers Data'!$AZ$3:$AZ$7,MATCH(C61,'G-7 Rivers Data'!$AY$3:$AY$7,0)),"")</f>
        <v/>
      </c>
    </row>
    <row r="62" spans="2:34" ht="14" x14ac:dyDescent="0.3">
      <c r="B62" s="141">
        <v>51</v>
      </c>
      <c r="C62" s="171"/>
      <c r="D62" s="172"/>
      <c r="E62" s="498" t="str">
        <f>IF(C62="","",VLOOKUP(C62,'G-7 Rivers Data'!$B$2:$G$8,2,FALSE))</f>
        <v/>
      </c>
      <c r="F62" s="499" t="str">
        <f>IFERROR(VLOOKUP(E62,'G-7 Rivers Data'!$C$4:$D$8,2,FALSE),"")</f>
        <v/>
      </c>
      <c r="G62" s="145"/>
      <c r="H62" s="499" t="str">
        <f>IFERROR(INDEX('G-7 Rivers Data'!$H$4:$L$8,MATCH(C62,'G-7 Rivers Data'!$B$4:$B$8,0),MATCH(G62,'G-7 Rivers Data'!$H$3:$L$3,0)),"")</f>
        <v/>
      </c>
      <c r="I62" s="154"/>
      <c r="J62" s="507" t="str">
        <f>IF(I62="","",IF(VLOOKUP(I62,'G-7 Rivers Data'!$AG$4:$AI$9,2,FALSE)=0,"Spatial Data Missing ⚠",VLOOKUP(I62,'G-7 Rivers Data'!$AG$4:$AI$9,2,FALSE)))</f>
        <v/>
      </c>
      <c r="K62" s="499" t="str">
        <f>IF(I62="","",IF(VLOOKUP(I62,'G-7 Rivers Data'!$AG$4:$AI$9,3,FALSE)=0,"Spatial Data Missing ⚠",VLOOKUP(I62,'G-7 Rivers Data'!$AG$4:$AI$9,3,FALSE)))</f>
        <v/>
      </c>
      <c r="L62" s="498" t="str">
        <f>IFERROR(INDEX('G-7 Rivers Data'!$O$3:$O$7,MATCH(G62,'G-7 Rivers Data'!$N$3:$N$7,0)),"")</f>
        <v/>
      </c>
      <c r="M62" s="82"/>
      <c r="N62" s="195"/>
      <c r="O62" s="507" t="str">
        <f t="shared" si="1"/>
        <v/>
      </c>
      <c r="P62" s="521" t="str">
        <f t="shared" si="2"/>
        <v/>
      </c>
      <c r="Q62" s="564" t="str">
        <f>IFERROR(IF(P62="Check Data ⚠","Check Data ⚠",VLOOKUP(P62,'G-4 Temporal multipliers'!$A$4:$C$37,3,FALSE)),"")</f>
        <v/>
      </c>
      <c r="R62" s="498" t="str">
        <f>IF(C62="","",VLOOKUP(C62,'G-7 Rivers Data'!$B$4:$G$8,4,FALSE))</f>
        <v/>
      </c>
      <c r="S62" s="507" t="str">
        <f t="shared" si="3"/>
        <v/>
      </c>
      <c r="T62" s="540" t="str">
        <f t="shared" si="4"/>
        <v/>
      </c>
      <c r="U62" s="499" t="str">
        <f t="shared" si="5"/>
        <v/>
      </c>
      <c r="V62" s="71"/>
      <c r="W62" s="499" t="str">
        <f>IF(V62="","",IF(VLOOKUP(V62,'G-7 Rivers Data'!$AA$4:$AB$7,2,FALSE)=0,"Spatial Data Missing ⚠",VLOOKUP(V62,'G-7 Rivers Data'!$AA$4:$AB$7,2,FALSE)))</f>
        <v/>
      </c>
      <c r="X62" s="155"/>
      <c r="Y62" s="499" t="str">
        <f>IF(X62="","",IF(VLOOKUP(X62,'G-7 Rivers Data'!$AD$4:$AE$8,2,FALSE)=0,"Enrcoachment Data Missing ⚠",VLOOKUP(X62,'G-7 Rivers Data'!$AD$4:$AE$8,2,FALSE)))</f>
        <v/>
      </c>
      <c r="Z62" s="565" t="str">
        <f t="shared" si="6"/>
        <v/>
      </c>
      <c r="AA62" s="149"/>
      <c r="AB62" s="150"/>
      <c r="AH62" s="31" t="str">
        <f>IFERROR(INDEX('G-7 Rivers Data'!$AZ$3:$AZ$7,MATCH(C62,'G-7 Rivers Data'!$AY$3:$AY$7,0)),"")</f>
        <v/>
      </c>
    </row>
    <row r="63" spans="2:34" ht="14" x14ac:dyDescent="0.3">
      <c r="B63" s="141">
        <v>52</v>
      </c>
      <c r="C63" s="171"/>
      <c r="D63" s="172"/>
      <c r="E63" s="498" t="str">
        <f>IF(C63="","",VLOOKUP(C63,'G-7 Rivers Data'!$B$2:$G$8,2,FALSE))</f>
        <v/>
      </c>
      <c r="F63" s="499" t="str">
        <f>IFERROR(VLOOKUP(E63,'G-7 Rivers Data'!$C$4:$D$8,2,FALSE),"")</f>
        <v/>
      </c>
      <c r="G63" s="145"/>
      <c r="H63" s="499" t="str">
        <f>IFERROR(INDEX('G-7 Rivers Data'!$H$4:$L$8,MATCH(C63,'G-7 Rivers Data'!$B$4:$B$8,0),MATCH(G63,'G-7 Rivers Data'!$H$3:$L$3,0)),"")</f>
        <v/>
      </c>
      <c r="I63" s="154"/>
      <c r="J63" s="507" t="str">
        <f>IF(I63="","",IF(VLOOKUP(I63,'G-7 Rivers Data'!$AG$4:$AI$9,2,FALSE)=0,"Spatial Data Missing ⚠",VLOOKUP(I63,'G-7 Rivers Data'!$AG$4:$AI$9,2,FALSE)))</f>
        <v/>
      </c>
      <c r="K63" s="499" t="str">
        <f>IF(I63="","",IF(VLOOKUP(I63,'G-7 Rivers Data'!$AG$4:$AI$9,3,FALSE)=0,"Spatial Data Missing ⚠",VLOOKUP(I63,'G-7 Rivers Data'!$AG$4:$AI$9,3,FALSE)))</f>
        <v/>
      </c>
      <c r="L63" s="498" t="str">
        <f>IFERROR(INDEX('G-7 Rivers Data'!$O$3:$O$7,MATCH(G63,'G-7 Rivers Data'!$N$3:$N$7,0)),"")</f>
        <v/>
      </c>
      <c r="M63" s="82"/>
      <c r="N63" s="195"/>
      <c r="O63" s="507" t="str">
        <f t="shared" si="1"/>
        <v/>
      </c>
      <c r="P63" s="521" t="str">
        <f t="shared" si="2"/>
        <v/>
      </c>
      <c r="Q63" s="564" t="str">
        <f>IFERROR(IF(P63="Check Data ⚠","Check Data ⚠",VLOOKUP(P63,'G-4 Temporal multipliers'!$A$4:$C$37,3,FALSE)),"")</f>
        <v/>
      </c>
      <c r="R63" s="498" t="str">
        <f>IF(C63="","",VLOOKUP(C63,'G-7 Rivers Data'!$B$4:$G$8,4,FALSE))</f>
        <v/>
      </c>
      <c r="S63" s="507" t="str">
        <f t="shared" si="3"/>
        <v/>
      </c>
      <c r="T63" s="540" t="str">
        <f t="shared" si="4"/>
        <v/>
      </c>
      <c r="U63" s="499" t="str">
        <f t="shared" si="5"/>
        <v/>
      </c>
      <c r="V63" s="71"/>
      <c r="W63" s="499" t="str">
        <f>IF(V63="","",IF(VLOOKUP(V63,'G-7 Rivers Data'!$AA$4:$AB$7,2,FALSE)=0,"Spatial Data Missing ⚠",VLOOKUP(V63,'G-7 Rivers Data'!$AA$4:$AB$7,2,FALSE)))</f>
        <v/>
      </c>
      <c r="X63" s="155"/>
      <c r="Y63" s="499" t="str">
        <f>IF(X63="","",IF(VLOOKUP(X63,'G-7 Rivers Data'!$AD$4:$AE$8,2,FALSE)=0,"Enrcoachment Data Missing ⚠",VLOOKUP(X63,'G-7 Rivers Data'!$AD$4:$AE$8,2,FALSE)))</f>
        <v/>
      </c>
      <c r="Z63" s="565" t="str">
        <f t="shared" si="6"/>
        <v/>
      </c>
      <c r="AA63" s="149"/>
      <c r="AB63" s="150"/>
      <c r="AH63" s="31" t="str">
        <f>IFERROR(INDEX('G-7 Rivers Data'!$AZ$3:$AZ$7,MATCH(C63,'G-7 Rivers Data'!$AY$3:$AY$7,0)),"")</f>
        <v/>
      </c>
    </row>
    <row r="64" spans="2:34" ht="14" x14ac:dyDescent="0.3">
      <c r="B64" s="141">
        <v>53</v>
      </c>
      <c r="C64" s="171"/>
      <c r="D64" s="172"/>
      <c r="E64" s="498" t="str">
        <f>IF(C64="","",VLOOKUP(C64,'G-7 Rivers Data'!$B$2:$G$8,2,FALSE))</f>
        <v/>
      </c>
      <c r="F64" s="499" t="str">
        <f>IFERROR(VLOOKUP(E64,'G-7 Rivers Data'!$C$4:$D$8,2,FALSE),"")</f>
        <v/>
      </c>
      <c r="G64" s="145"/>
      <c r="H64" s="499" t="str">
        <f>IFERROR(INDEX('G-7 Rivers Data'!$H$4:$L$8,MATCH(C64,'G-7 Rivers Data'!$B$4:$B$8,0),MATCH(G64,'G-7 Rivers Data'!$H$3:$L$3,0)),"")</f>
        <v/>
      </c>
      <c r="I64" s="154"/>
      <c r="J64" s="507" t="str">
        <f>IF(I64="","",IF(VLOOKUP(I64,'G-7 Rivers Data'!$AG$4:$AI$9,2,FALSE)=0,"Spatial Data Missing ⚠",VLOOKUP(I64,'G-7 Rivers Data'!$AG$4:$AI$9,2,FALSE)))</f>
        <v/>
      </c>
      <c r="K64" s="499" t="str">
        <f>IF(I64="","",IF(VLOOKUP(I64,'G-7 Rivers Data'!$AG$4:$AI$9,3,FALSE)=0,"Spatial Data Missing ⚠",VLOOKUP(I64,'G-7 Rivers Data'!$AG$4:$AI$9,3,FALSE)))</f>
        <v/>
      </c>
      <c r="L64" s="498" t="str">
        <f>IFERROR(INDEX('G-7 Rivers Data'!$O$3:$O$7,MATCH(G64,'G-7 Rivers Data'!$N$3:$N$7,0)),"")</f>
        <v/>
      </c>
      <c r="M64" s="82"/>
      <c r="N64" s="195"/>
      <c r="O64" s="507" t="str">
        <f t="shared" si="1"/>
        <v/>
      </c>
      <c r="P64" s="521" t="str">
        <f t="shared" si="2"/>
        <v/>
      </c>
      <c r="Q64" s="564" t="str">
        <f>IFERROR(IF(P64="Check Data ⚠","Check Data ⚠",VLOOKUP(P64,'G-4 Temporal multipliers'!$A$4:$C$37,3,FALSE)),"")</f>
        <v/>
      </c>
      <c r="R64" s="498" t="str">
        <f>IF(C64="","",VLOOKUP(C64,'G-7 Rivers Data'!$B$4:$G$8,4,FALSE))</f>
        <v/>
      </c>
      <c r="S64" s="507" t="str">
        <f t="shared" si="3"/>
        <v/>
      </c>
      <c r="T64" s="540" t="str">
        <f t="shared" si="4"/>
        <v/>
      </c>
      <c r="U64" s="499" t="str">
        <f t="shared" si="5"/>
        <v/>
      </c>
      <c r="V64" s="71"/>
      <c r="W64" s="499" t="str">
        <f>IF(V64="","",IF(VLOOKUP(V64,'G-7 Rivers Data'!$AA$4:$AB$7,2,FALSE)=0,"Spatial Data Missing ⚠",VLOOKUP(V64,'G-7 Rivers Data'!$AA$4:$AB$7,2,FALSE)))</f>
        <v/>
      </c>
      <c r="X64" s="155"/>
      <c r="Y64" s="499" t="str">
        <f>IF(X64="","",IF(VLOOKUP(X64,'G-7 Rivers Data'!$AD$4:$AE$8,2,FALSE)=0,"Enrcoachment Data Missing ⚠",VLOOKUP(X64,'G-7 Rivers Data'!$AD$4:$AE$8,2,FALSE)))</f>
        <v/>
      </c>
      <c r="Z64" s="565" t="str">
        <f t="shared" si="6"/>
        <v/>
      </c>
      <c r="AA64" s="149"/>
      <c r="AB64" s="150"/>
      <c r="AH64" s="31" t="str">
        <f>IFERROR(INDEX('G-7 Rivers Data'!$AZ$3:$AZ$7,MATCH(C64,'G-7 Rivers Data'!$AY$3:$AY$7,0)),"")</f>
        <v/>
      </c>
    </row>
    <row r="65" spans="2:34" ht="14" x14ac:dyDescent="0.3">
      <c r="B65" s="141">
        <v>54</v>
      </c>
      <c r="C65" s="171"/>
      <c r="D65" s="172"/>
      <c r="E65" s="498" t="str">
        <f>IF(C65="","",VLOOKUP(C65,'G-7 Rivers Data'!$B$2:$G$8,2,FALSE))</f>
        <v/>
      </c>
      <c r="F65" s="499" t="str">
        <f>IFERROR(VLOOKUP(E65,'G-7 Rivers Data'!$C$4:$D$8,2,FALSE),"")</f>
        <v/>
      </c>
      <c r="G65" s="145"/>
      <c r="H65" s="499" t="str">
        <f>IFERROR(INDEX('G-7 Rivers Data'!$H$4:$L$8,MATCH(C65,'G-7 Rivers Data'!$B$4:$B$8,0),MATCH(G65,'G-7 Rivers Data'!$H$3:$L$3,0)),"")</f>
        <v/>
      </c>
      <c r="I65" s="154"/>
      <c r="J65" s="507" t="str">
        <f>IF(I65="","",IF(VLOOKUP(I65,'G-7 Rivers Data'!$AG$4:$AI$9,2,FALSE)=0,"Spatial Data Missing ⚠",VLOOKUP(I65,'G-7 Rivers Data'!$AG$4:$AI$9,2,FALSE)))</f>
        <v/>
      </c>
      <c r="K65" s="499" t="str">
        <f>IF(I65="","",IF(VLOOKUP(I65,'G-7 Rivers Data'!$AG$4:$AI$9,3,FALSE)=0,"Spatial Data Missing ⚠",VLOOKUP(I65,'G-7 Rivers Data'!$AG$4:$AI$9,3,FALSE)))</f>
        <v/>
      </c>
      <c r="L65" s="498" t="str">
        <f>IFERROR(INDEX('G-7 Rivers Data'!$O$3:$O$7,MATCH(G65,'G-7 Rivers Data'!$N$3:$N$7,0)),"")</f>
        <v/>
      </c>
      <c r="M65" s="82"/>
      <c r="N65" s="195"/>
      <c r="O65" s="507" t="str">
        <f t="shared" si="1"/>
        <v/>
      </c>
      <c r="P65" s="521" t="str">
        <f t="shared" si="2"/>
        <v/>
      </c>
      <c r="Q65" s="564" t="str">
        <f>IFERROR(IF(P65="Check Data ⚠","Check Data ⚠",VLOOKUP(P65,'G-4 Temporal multipliers'!$A$4:$C$37,3,FALSE)),"")</f>
        <v/>
      </c>
      <c r="R65" s="498" t="str">
        <f>IF(C65="","",VLOOKUP(C65,'G-7 Rivers Data'!$B$4:$G$8,4,FALSE))</f>
        <v/>
      </c>
      <c r="S65" s="507" t="str">
        <f t="shared" si="3"/>
        <v/>
      </c>
      <c r="T65" s="540" t="str">
        <f t="shared" si="4"/>
        <v/>
      </c>
      <c r="U65" s="499" t="str">
        <f t="shared" si="5"/>
        <v/>
      </c>
      <c r="V65" s="71"/>
      <c r="W65" s="499" t="str">
        <f>IF(V65="","",IF(VLOOKUP(V65,'G-7 Rivers Data'!$AA$4:$AB$7,2,FALSE)=0,"Spatial Data Missing ⚠",VLOOKUP(V65,'G-7 Rivers Data'!$AA$4:$AB$7,2,FALSE)))</f>
        <v/>
      </c>
      <c r="X65" s="155"/>
      <c r="Y65" s="499" t="str">
        <f>IF(X65="","",IF(VLOOKUP(X65,'G-7 Rivers Data'!$AD$4:$AE$8,2,FALSE)=0,"Enrcoachment Data Missing ⚠",VLOOKUP(X65,'G-7 Rivers Data'!$AD$4:$AE$8,2,FALSE)))</f>
        <v/>
      </c>
      <c r="Z65" s="565" t="str">
        <f t="shared" si="6"/>
        <v/>
      </c>
      <c r="AA65" s="149"/>
      <c r="AB65" s="150"/>
      <c r="AH65" s="31" t="str">
        <f>IFERROR(INDEX('G-7 Rivers Data'!$AZ$3:$AZ$7,MATCH(C65,'G-7 Rivers Data'!$AY$3:$AY$7,0)),"")</f>
        <v/>
      </c>
    </row>
    <row r="66" spans="2:34" ht="14" x14ac:dyDescent="0.3">
      <c r="B66" s="141">
        <v>55</v>
      </c>
      <c r="C66" s="171"/>
      <c r="D66" s="172"/>
      <c r="E66" s="498" t="str">
        <f>IF(C66="","",VLOOKUP(C66,'G-7 Rivers Data'!$B$2:$G$8,2,FALSE))</f>
        <v/>
      </c>
      <c r="F66" s="499" t="str">
        <f>IFERROR(VLOOKUP(E66,'G-7 Rivers Data'!$C$4:$D$8,2,FALSE),"")</f>
        <v/>
      </c>
      <c r="G66" s="145"/>
      <c r="H66" s="499" t="str">
        <f>IFERROR(INDEX('G-7 Rivers Data'!$H$4:$L$8,MATCH(C66,'G-7 Rivers Data'!$B$4:$B$8,0),MATCH(G66,'G-7 Rivers Data'!$H$3:$L$3,0)),"")</f>
        <v/>
      </c>
      <c r="I66" s="154"/>
      <c r="J66" s="507" t="str">
        <f>IF(I66="","",IF(VLOOKUP(I66,'G-7 Rivers Data'!$AG$4:$AI$9,2,FALSE)=0,"Spatial Data Missing ⚠",VLOOKUP(I66,'G-7 Rivers Data'!$AG$4:$AI$9,2,FALSE)))</f>
        <v/>
      </c>
      <c r="K66" s="499" t="str">
        <f>IF(I66="","",IF(VLOOKUP(I66,'G-7 Rivers Data'!$AG$4:$AI$9,3,FALSE)=0,"Spatial Data Missing ⚠",VLOOKUP(I66,'G-7 Rivers Data'!$AG$4:$AI$9,3,FALSE)))</f>
        <v/>
      </c>
      <c r="L66" s="498" t="str">
        <f>IFERROR(INDEX('G-7 Rivers Data'!$O$3:$O$7,MATCH(G66,'G-7 Rivers Data'!$N$3:$N$7,0)),"")</f>
        <v/>
      </c>
      <c r="M66" s="82"/>
      <c r="N66" s="195"/>
      <c r="O66" s="507" t="str">
        <f t="shared" si="1"/>
        <v/>
      </c>
      <c r="P66" s="521" t="str">
        <f t="shared" si="2"/>
        <v/>
      </c>
      <c r="Q66" s="564" t="str">
        <f>IFERROR(IF(P66="Check Data ⚠","Check Data ⚠",VLOOKUP(P66,'G-4 Temporal multipliers'!$A$4:$C$37,3,FALSE)),"")</f>
        <v/>
      </c>
      <c r="R66" s="498" t="str">
        <f>IF(C66="","",VLOOKUP(C66,'G-7 Rivers Data'!$B$4:$G$8,4,FALSE))</f>
        <v/>
      </c>
      <c r="S66" s="507" t="str">
        <f t="shared" si="3"/>
        <v/>
      </c>
      <c r="T66" s="540" t="str">
        <f t="shared" si="4"/>
        <v/>
      </c>
      <c r="U66" s="499" t="str">
        <f t="shared" si="5"/>
        <v/>
      </c>
      <c r="V66" s="71"/>
      <c r="W66" s="499" t="str">
        <f>IF(V66="","",IF(VLOOKUP(V66,'G-7 Rivers Data'!$AA$4:$AB$7,2,FALSE)=0,"Spatial Data Missing ⚠",VLOOKUP(V66,'G-7 Rivers Data'!$AA$4:$AB$7,2,FALSE)))</f>
        <v/>
      </c>
      <c r="X66" s="155"/>
      <c r="Y66" s="499" t="str">
        <f>IF(X66="","",IF(VLOOKUP(X66,'G-7 Rivers Data'!$AD$4:$AE$8,2,FALSE)=0,"Enrcoachment Data Missing ⚠",VLOOKUP(X66,'G-7 Rivers Data'!$AD$4:$AE$8,2,FALSE)))</f>
        <v/>
      </c>
      <c r="Z66" s="565" t="str">
        <f t="shared" si="6"/>
        <v/>
      </c>
      <c r="AA66" s="149"/>
      <c r="AB66" s="150"/>
      <c r="AH66" s="31" t="str">
        <f>IFERROR(INDEX('G-7 Rivers Data'!$AZ$3:$AZ$7,MATCH(C66,'G-7 Rivers Data'!$AY$3:$AY$7,0)),"")</f>
        <v/>
      </c>
    </row>
    <row r="67" spans="2:34" ht="14" x14ac:dyDescent="0.3">
      <c r="B67" s="141">
        <v>56</v>
      </c>
      <c r="C67" s="171"/>
      <c r="D67" s="172"/>
      <c r="E67" s="498" t="str">
        <f>IF(C67="","",VLOOKUP(C67,'G-7 Rivers Data'!$B$2:$G$8,2,FALSE))</f>
        <v/>
      </c>
      <c r="F67" s="499" t="str">
        <f>IFERROR(VLOOKUP(E67,'G-7 Rivers Data'!$C$4:$D$8,2,FALSE),"")</f>
        <v/>
      </c>
      <c r="G67" s="145"/>
      <c r="H67" s="499" t="str">
        <f>IFERROR(INDEX('G-7 Rivers Data'!$H$4:$L$8,MATCH(C67,'G-7 Rivers Data'!$B$4:$B$8,0),MATCH(G67,'G-7 Rivers Data'!$H$3:$L$3,0)),"")</f>
        <v/>
      </c>
      <c r="I67" s="154"/>
      <c r="J67" s="507" t="str">
        <f>IF(I67="","",IF(VLOOKUP(I67,'G-7 Rivers Data'!$AG$4:$AI$9,2,FALSE)=0,"Spatial Data Missing ⚠",VLOOKUP(I67,'G-7 Rivers Data'!$AG$4:$AI$9,2,FALSE)))</f>
        <v/>
      </c>
      <c r="K67" s="499" t="str">
        <f>IF(I67="","",IF(VLOOKUP(I67,'G-7 Rivers Data'!$AG$4:$AI$9,3,FALSE)=0,"Spatial Data Missing ⚠",VLOOKUP(I67,'G-7 Rivers Data'!$AG$4:$AI$9,3,FALSE)))</f>
        <v/>
      </c>
      <c r="L67" s="498" t="str">
        <f>IFERROR(INDEX('G-7 Rivers Data'!$O$3:$O$7,MATCH(G67,'G-7 Rivers Data'!$N$3:$N$7,0)),"")</f>
        <v/>
      </c>
      <c r="M67" s="82"/>
      <c r="N67" s="195"/>
      <c r="O67" s="507" t="str">
        <f t="shared" si="1"/>
        <v/>
      </c>
      <c r="P67" s="521" t="str">
        <f t="shared" si="2"/>
        <v/>
      </c>
      <c r="Q67" s="564" t="str">
        <f>IFERROR(IF(P67="Check Data ⚠","Check Data ⚠",VLOOKUP(P67,'G-4 Temporal multipliers'!$A$4:$C$37,3,FALSE)),"")</f>
        <v/>
      </c>
      <c r="R67" s="498" t="str">
        <f>IF(C67="","",VLOOKUP(C67,'G-7 Rivers Data'!$B$4:$G$8,4,FALSE))</f>
        <v/>
      </c>
      <c r="S67" s="507" t="str">
        <f t="shared" si="3"/>
        <v/>
      </c>
      <c r="T67" s="540" t="str">
        <f t="shared" si="4"/>
        <v/>
      </c>
      <c r="U67" s="499" t="str">
        <f t="shared" si="5"/>
        <v/>
      </c>
      <c r="V67" s="71"/>
      <c r="W67" s="499" t="str">
        <f>IF(V67="","",IF(VLOOKUP(V67,'G-7 Rivers Data'!$AA$4:$AB$7,2,FALSE)=0,"Spatial Data Missing ⚠",VLOOKUP(V67,'G-7 Rivers Data'!$AA$4:$AB$7,2,FALSE)))</f>
        <v/>
      </c>
      <c r="X67" s="155"/>
      <c r="Y67" s="499" t="str">
        <f>IF(X67="","",IF(VLOOKUP(X67,'G-7 Rivers Data'!$AD$4:$AE$8,2,FALSE)=0,"Enrcoachment Data Missing ⚠",VLOOKUP(X67,'G-7 Rivers Data'!$AD$4:$AE$8,2,FALSE)))</f>
        <v/>
      </c>
      <c r="Z67" s="565" t="str">
        <f t="shared" si="6"/>
        <v/>
      </c>
      <c r="AA67" s="149"/>
      <c r="AB67" s="150"/>
      <c r="AH67" s="31" t="str">
        <f>IFERROR(INDEX('G-7 Rivers Data'!$AZ$3:$AZ$7,MATCH(C67,'G-7 Rivers Data'!$AY$3:$AY$7,0)),"")</f>
        <v/>
      </c>
    </row>
    <row r="68" spans="2:34" ht="14" x14ac:dyDescent="0.3">
      <c r="B68" s="141">
        <v>57</v>
      </c>
      <c r="C68" s="171"/>
      <c r="D68" s="172"/>
      <c r="E68" s="498" t="str">
        <f>IF(C68="","",VLOOKUP(C68,'G-7 Rivers Data'!$B$2:$G$8,2,FALSE))</f>
        <v/>
      </c>
      <c r="F68" s="499" t="str">
        <f>IFERROR(VLOOKUP(E68,'G-7 Rivers Data'!$C$4:$D$8,2,FALSE),"")</f>
        <v/>
      </c>
      <c r="G68" s="145"/>
      <c r="H68" s="499" t="str">
        <f>IFERROR(INDEX('G-7 Rivers Data'!$H$4:$L$8,MATCH(C68,'G-7 Rivers Data'!$B$4:$B$8,0),MATCH(G68,'G-7 Rivers Data'!$H$3:$L$3,0)),"")</f>
        <v/>
      </c>
      <c r="I68" s="154"/>
      <c r="J68" s="507" t="str">
        <f>IF(I68="","",IF(VLOOKUP(I68,'G-7 Rivers Data'!$AG$4:$AI$9,2,FALSE)=0,"Spatial Data Missing ⚠",VLOOKUP(I68,'G-7 Rivers Data'!$AG$4:$AI$9,2,FALSE)))</f>
        <v/>
      </c>
      <c r="K68" s="499" t="str">
        <f>IF(I68="","",IF(VLOOKUP(I68,'G-7 Rivers Data'!$AG$4:$AI$9,3,FALSE)=0,"Spatial Data Missing ⚠",VLOOKUP(I68,'G-7 Rivers Data'!$AG$4:$AI$9,3,FALSE)))</f>
        <v/>
      </c>
      <c r="L68" s="498" t="str">
        <f>IFERROR(INDEX('G-7 Rivers Data'!$O$3:$O$7,MATCH(G68,'G-7 Rivers Data'!$N$3:$N$7,0)),"")</f>
        <v/>
      </c>
      <c r="M68" s="82"/>
      <c r="N68" s="195"/>
      <c r="O68" s="507" t="str">
        <f t="shared" si="1"/>
        <v/>
      </c>
      <c r="P68" s="521" t="str">
        <f t="shared" si="2"/>
        <v/>
      </c>
      <c r="Q68" s="564" t="str">
        <f>IFERROR(IF(P68="Check Data ⚠","Check Data ⚠",VLOOKUP(P68,'G-4 Temporal multipliers'!$A$4:$C$37,3,FALSE)),"")</f>
        <v/>
      </c>
      <c r="R68" s="498" t="str">
        <f>IF(C68="","",VLOOKUP(C68,'G-7 Rivers Data'!$B$4:$G$8,4,FALSE))</f>
        <v/>
      </c>
      <c r="S68" s="507" t="str">
        <f t="shared" si="3"/>
        <v/>
      </c>
      <c r="T68" s="540" t="str">
        <f t="shared" si="4"/>
        <v/>
      </c>
      <c r="U68" s="499" t="str">
        <f t="shared" si="5"/>
        <v/>
      </c>
      <c r="V68" s="71"/>
      <c r="W68" s="499" t="str">
        <f>IF(V68="","",IF(VLOOKUP(V68,'G-7 Rivers Data'!$AA$4:$AB$7,2,FALSE)=0,"Spatial Data Missing ⚠",VLOOKUP(V68,'G-7 Rivers Data'!$AA$4:$AB$7,2,FALSE)))</f>
        <v/>
      </c>
      <c r="X68" s="155"/>
      <c r="Y68" s="499" t="str">
        <f>IF(X68="","",IF(VLOOKUP(X68,'G-7 Rivers Data'!$AD$4:$AE$8,2,FALSE)=0,"Enrcoachment Data Missing ⚠",VLOOKUP(X68,'G-7 Rivers Data'!$AD$4:$AE$8,2,FALSE)))</f>
        <v/>
      </c>
      <c r="Z68" s="565" t="str">
        <f t="shared" si="6"/>
        <v/>
      </c>
      <c r="AA68" s="149"/>
      <c r="AB68" s="150"/>
      <c r="AH68" s="31" t="str">
        <f>IFERROR(INDEX('G-7 Rivers Data'!$AZ$3:$AZ$7,MATCH(C68,'G-7 Rivers Data'!$AY$3:$AY$7,0)),"")</f>
        <v/>
      </c>
    </row>
    <row r="69" spans="2:34" ht="14" x14ac:dyDescent="0.3">
      <c r="B69" s="141">
        <v>58</v>
      </c>
      <c r="C69" s="171"/>
      <c r="D69" s="172"/>
      <c r="E69" s="498" t="str">
        <f>IF(C69="","",VLOOKUP(C69,'G-7 Rivers Data'!$B$2:$G$8,2,FALSE))</f>
        <v/>
      </c>
      <c r="F69" s="499" t="str">
        <f>IFERROR(VLOOKUP(E69,'G-7 Rivers Data'!$C$4:$D$8,2,FALSE),"")</f>
        <v/>
      </c>
      <c r="G69" s="145"/>
      <c r="H69" s="499" t="str">
        <f>IFERROR(INDEX('G-7 Rivers Data'!$H$4:$L$8,MATCH(C69,'G-7 Rivers Data'!$B$4:$B$8,0),MATCH(G69,'G-7 Rivers Data'!$H$3:$L$3,0)),"")</f>
        <v/>
      </c>
      <c r="I69" s="154"/>
      <c r="J69" s="507" t="str">
        <f>IF(I69="","",IF(VLOOKUP(I69,'G-7 Rivers Data'!$AG$4:$AI$9,2,FALSE)=0,"Spatial Data Missing ⚠",VLOOKUP(I69,'G-7 Rivers Data'!$AG$4:$AI$9,2,FALSE)))</f>
        <v/>
      </c>
      <c r="K69" s="499" t="str">
        <f>IF(I69="","",IF(VLOOKUP(I69,'G-7 Rivers Data'!$AG$4:$AI$9,3,FALSE)=0,"Spatial Data Missing ⚠",VLOOKUP(I69,'G-7 Rivers Data'!$AG$4:$AI$9,3,FALSE)))</f>
        <v/>
      </c>
      <c r="L69" s="498" t="str">
        <f>IFERROR(INDEX('G-7 Rivers Data'!$O$3:$O$7,MATCH(G69,'G-7 Rivers Data'!$N$3:$N$7,0)),"")</f>
        <v/>
      </c>
      <c r="M69" s="82"/>
      <c r="N69" s="195"/>
      <c r="O69" s="507" t="str">
        <f t="shared" si="1"/>
        <v/>
      </c>
      <c r="P69" s="521" t="str">
        <f t="shared" si="2"/>
        <v/>
      </c>
      <c r="Q69" s="564" t="str">
        <f>IFERROR(IF(P69="Check Data ⚠","Check Data ⚠",VLOOKUP(P69,'G-4 Temporal multipliers'!$A$4:$C$37,3,FALSE)),"")</f>
        <v/>
      </c>
      <c r="R69" s="498" t="str">
        <f>IF(C69="","",VLOOKUP(C69,'G-7 Rivers Data'!$B$4:$G$8,4,FALSE))</f>
        <v/>
      </c>
      <c r="S69" s="507" t="str">
        <f t="shared" si="3"/>
        <v/>
      </c>
      <c r="T69" s="540" t="str">
        <f t="shared" si="4"/>
        <v/>
      </c>
      <c r="U69" s="499" t="str">
        <f t="shared" si="5"/>
        <v/>
      </c>
      <c r="V69" s="71"/>
      <c r="W69" s="499" t="str">
        <f>IF(V69="","",IF(VLOOKUP(V69,'G-7 Rivers Data'!$AA$4:$AB$7,2,FALSE)=0,"Spatial Data Missing ⚠",VLOOKUP(V69,'G-7 Rivers Data'!$AA$4:$AB$7,2,FALSE)))</f>
        <v/>
      </c>
      <c r="X69" s="155"/>
      <c r="Y69" s="499" t="str">
        <f>IF(X69="","",IF(VLOOKUP(X69,'G-7 Rivers Data'!$AD$4:$AE$8,2,FALSE)=0,"Enrcoachment Data Missing ⚠",VLOOKUP(X69,'G-7 Rivers Data'!$AD$4:$AE$8,2,FALSE)))</f>
        <v/>
      </c>
      <c r="Z69" s="565" t="str">
        <f t="shared" si="6"/>
        <v/>
      </c>
      <c r="AA69" s="149"/>
      <c r="AB69" s="150"/>
      <c r="AH69" s="31" t="str">
        <f>IFERROR(INDEX('G-7 Rivers Data'!$AZ$3:$AZ$7,MATCH(C69,'G-7 Rivers Data'!$AY$3:$AY$7,0)),"")</f>
        <v/>
      </c>
    </row>
    <row r="70" spans="2:34" ht="14" x14ac:dyDescent="0.3">
      <c r="B70" s="141">
        <v>59</v>
      </c>
      <c r="C70" s="171"/>
      <c r="D70" s="172"/>
      <c r="E70" s="498" t="str">
        <f>IF(C70="","",VLOOKUP(C70,'G-7 Rivers Data'!$B$2:$G$8,2,FALSE))</f>
        <v/>
      </c>
      <c r="F70" s="499" t="str">
        <f>IFERROR(VLOOKUP(E70,'G-7 Rivers Data'!$C$4:$D$8,2,FALSE),"")</f>
        <v/>
      </c>
      <c r="G70" s="145"/>
      <c r="H70" s="499" t="str">
        <f>IFERROR(INDEX('G-7 Rivers Data'!$H$4:$L$8,MATCH(C70,'G-7 Rivers Data'!$B$4:$B$8,0),MATCH(G70,'G-7 Rivers Data'!$H$3:$L$3,0)),"")</f>
        <v/>
      </c>
      <c r="I70" s="154"/>
      <c r="J70" s="507" t="str">
        <f>IF(I70="","",IF(VLOOKUP(I70,'G-7 Rivers Data'!$AG$4:$AI$9,2,FALSE)=0,"Spatial Data Missing ⚠",VLOOKUP(I70,'G-7 Rivers Data'!$AG$4:$AI$9,2,FALSE)))</f>
        <v/>
      </c>
      <c r="K70" s="499" t="str">
        <f>IF(I70="","",IF(VLOOKUP(I70,'G-7 Rivers Data'!$AG$4:$AI$9,3,FALSE)=0,"Spatial Data Missing ⚠",VLOOKUP(I70,'G-7 Rivers Data'!$AG$4:$AI$9,3,FALSE)))</f>
        <v/>
      </c>
      <c r="L70" s="498" t="str">
        <f>IFERROR(INDEX('G-7 Rivers Data'!$O$3:$O$7,MATCH(G70,'G-7 Rivers Data'!$N$3:$N$7,0)),"")</f>
        <v/>
      </c>
      <c r="M70" s="82"/>
      <c r="N70" s="195"/>
      <c r="O70" s="507" t="str">
        <f t="shared" si="1"/>
        <v/>
      </c>
      <c r="P70" s="521" t="str">
        <f t="shared" si="2"/>
        <v/>
      </c>
      <c r="Q70" s="564" t="str">
        <f>IFERROR(IF(P70="Check Data ⚠","Check Data ⚠",VLOOKUP(P70,'G-4 Temporal multipliers'!$A$4:$C$37,3,FALSE)),"")</f>
        <v/>
      </c>
      <c r="R70" s="498" t="str">
        <f>IF(C70="","",VLOOKUP(C70,'G-7 Rivers Data'!$B$4:$G$8,4,FALSE))</f>
        <v/>
      </c>
      <c r="S70" s="507" t="str">
        <f t="shared" si="3"/>
        <v/>
      </c>
      <c r="T70" s="540" t="str">
        <f t="shared" si="4"/>
        <v/>
      </c>
      <c r="U70" s="499" t="str">
        <f t="shared" si="5"/>
        <v/>
      </c>
      <c r="V70" s="71"/>
      <c r="W70" s="499" t="str">
        <f>IF(V70="","",IF(VLOOKUP(V70,'G-7 Rivers Data'!$AA$4:$AB$7,2,FALSE)=0,"Spatial Data Missing ⚠",VLOOKUP(V70,'G-7 Rivers Data'!$AA$4:$AB$7,2,FALSE)))</f>
        <v/>
      </c>
      <c r="X70" s="155"/>
      <c r="Y70" s="499" t="str">
        <f>IF(X70="","",IF(VLOOKUP(X70,'G-7 Rivers Data'!$AD$4:$AE$8,2,FALSE)=0,"Enrcoachment Data Missing ⚠",VLOOKUP(X70,'G-7 Rivers Data'!$AD$4:$AE$8,2,FALSE)))</f>
        <v/>
      </c>
      <c r="Z70" s="565" t="str">
        <f t="shared" si="6"/>
        <v/>
      </c>
      <c r="AA70" s="149"/>
      <c r="AB70" s="150"/>
      <c r="AH70" s="31" t="str">
        <f>IFERROR(INDEX('G-7 Rivers Data'!$AZ$3:$AZ$7,MATCH(C70,'G-7 Rivers Data'!$AY$3:$AY$7,0)),"")</f>
        <v/>
      </c>
    </row>
    <row r="71" spans="2:34" ht="14" x14ac:dyDescent="0.3">
      <c r="B71" s="141">
        <v>60</v>
      </c>
      <c r="C71" s="171"/>
      <c r="D71" s="172"/>
      <c r="E71" s="498" t="str">
        <f>IF(C71="","",VLOOKUP(C71,'G-7 Rivers Data'!$B$2:$G$8,2,FALSE))</f>
        <v/>
      </c>
      <c r="F71" s="499" t="str">
        <f>IFERROR(VLOOKUP(E71,'G-7 Rivers Data'!$C$4:$D$8,2,FALSE),"")</f>
        <v/>
      </c>
      <c r="G71" s="145"/>
      <c r="H71" s="499" t="str">
        <f>IFERROR(INDEX('G-7 Rivers Data'!$H$4:$L$8,MATCH(C71,'G-7 Rivers Data'!$B$4:$B$8,0),MATCH(G71,'G-7 Rivers Data'!$H$3:$L$3,0)),"")</f>
        <v/>
      </c>
      <c r="I71" s="154"/>
      <c r="J71" s="507" t="str">
        <f>IF(I71="","",IF(VLOOKUP(I71,'G-7 Rivers Data'!$AG$4:$AI$9,2,FALSE)=0,"Spatial Data Missing ⚠",VLOOKUP(I71,'G-7 Rivers Data'!$AG$4:$AI$9,2,FALSE)))</f>
        <v/>
      </c>
      <c r="K71" s="499" t="str">
        <f>IF(I71="","",IF(VLOOKUP(I71,'G-7 Rivers Data'!$AG$4:$AI$9,3,FALSE)=0,"Spatial Data Missing ⚠",VLOOKUP(I71,'G-7 Rivers Data'!$AG$4:$AI$9,3,FALSE)))</f>
        <v/>
      </c>
      <c r="L71" s="498" t="str">
        <f>IFERROR(INDEX('G-7 Rivers Data'!$O$3:$O$7,MATCH(G71,'G-7 Rivers Data'!$N$3:$N$7,0)),"")</f>
        <v/>
      </c>
      <c r="M71" s="82"/>
      <c r="N71" s="195"/>
      <c r="O71" s="507" t="str">
        <f t="shared" si="1"/>
        <v/>
      </c>
      <c r="P71" s="521" t="str">
        <f t="shared" si="2"/>
        <v/>
      </c>
      <c r="Q71" s="564" t="str">
        <f>IFERROR(IF(P71="Check Data ⚠","Check Data ⚠",VLOOKUP(P71,'G-4 Temporal multipliers'!$A$4:$C$37,3,FALSE)),"")</f>
        <v/>
      </c>
      <c r="R71" s="498" t="str">
        <f>IF(C71="","",VLOOKUP(C71,'G-7 Rivers Data'!$B$4:$G$8,4,FALSE))</f>
        <v/>
      </c>
      <c r="S71" s="507" t="str">
        <f t="shared" si="3"/>
        <v/>
      </c>
      <c r="T71" s="540" t="str">
        <f t="shared" si="4"/>
        <v/>
      </c>
      <c r="U71" s="499" t="str">
        <f t="shared" si="5"/>
        <v/>
      </c>
      <c r="V71" s="71"/>
      <c r="W71" s="499" t="str">
        <f>IF(V71="","",IF(VLOOKUP(V71,'G-7 Rivers Data'!$AA$4:$AB$7,2,FALSE)=0,"Spatial Data Missing ⚠",VLOOKUP(V71,'G-7 Rivers Data'!$AA$4:$AB$7,2,FALSE)))</f>
        <v/>
      </c>
      <c r="X71" s="155"/>
      <c r="Y71" s="499" t="str">
        <f>IF(X71="","",IF(VLOOKUP(X71,'G-7 Rivers Data'!$AD$4:$AE$8,2,FALSE)=0,"Enrcoachment Data Missing ⚠",VLOOKUP(X71,'G-7 Rivers Data'!$AD$4:$AE$8,2,FALSE)))</f>
        <v/>
      </c>
      <c r="Z71" s="565" t="str">
        <f t="shared" si="6"/>
        <v/>
      </c>
      <c r="AA71" s="149"/>
      <c r="AB71" s="150"/>
      <c r="AH71" s="31" t="str">
        <f>IFERROR(INDEX('G-7 Rivers Data'!$AZ$3:$AZ$7,MATCH(C71,'G-7 Rivers Data'!$AY$3:$AY$7,0)),"")</f>
        <v/>
      </c>
    </row>
    <row r="72" spans="2:34" ht="14" x14ac:dyDescent="0.3">
      <c r="B72" s="141">
        <v>61</v>
      </c>
      <c r="C72" s="171"/>
      <c r="D72" s="172"/>
      <c r="E72" s="498" t="str">
        <f>IF(C72="","",VLOOKUP(C72,'G-7 Rivers Data'!$B$2:$G$8,2,FALSE))</f>
        <v/>
      </c>
      <c r="F72" s="499" t="str">
        <f>IFERROR(VLOOKUP(E72,'G-7 Rivers Data'!$C$4:$D$8,2,FALSE),"")</f>
        <v/>
      </c>
      <c r="G72" s="145"/>
      <c r="H72" s="499" t="str">
        <f>IFERROR(INDEX('G-7 Rivers Data'!$H$4:$L$8,MATCH(C72,'G-7 Rivers Data'!$B$4:$B$8,0),MATCH(G72,'G-7 Rivers Data'!$H$3:$L$3,0)),"")</f>
        <v/>
      </c>
      <c r="I72" s="154"/>
      <c r="J72" s="507" t="str">
        <f>IF(I72="","",IF(VLOOKUP(I72,'G-7 Rivers Data'!$AG$4:$AI$9,2,FALSE)=0,"Spatial Data Missing ⚠",VLOOKUP(I72,'G-7 Rivers Data'!$AG$4:$AI$9,2,FALSE)))</f>
        <v/>
      </c>
      <c r="K72" s="499" t="str">
        <f>IF(I72="","",IF(VLOOKUP(I72,'G-7 Rivers Data'!$AG$4:$AI$9,3,FALSE)=0,"Spatial Data Missing ⚠",VLOOKUP(I72,'G-7 Rivers Data'!$AG$4:$AI$9,3,FALSE)))</f>
        <v/>
      </c>
      <c r="L72" s="498" t="str">
        <f>IFERROR(INDEX('G-7 Rivers Data'!$O$3:$O$7,MATCH(G72,'G-7 Rivers Data'!$N$3:$N$7,0)),"")</f>
        <v/>
      </c>
      <c r="M72" s="82"/>
      <c r="N72" s="195"/>
      <c r="O72" s="507" t="str">
        <f t="shared" si="1"/>
        <v/>
      </c>
      <c r="P72" s="521" t="str">
        <f t="shared" si="2"/>
        <v/>
      </c>
      <c r="Q72" s="564" t="str">
        <f>IFERROR(IF(P72="Check Data ⚠","Check Data ⚠",VLOOKUP(P72,'G-4 Temporal multipliers'!$A$4:$C$37,3,FALSE)),"")</f>
        <v/>
      </c>
      <c r="R72" s="498" t="str">
        <f>IF(C72="","",VLOOKUP(C72,'G-7 Rivers Data'!$B$4:$G$8,4,FALSE))</f>
        <v/>
      </c>
      <c r="S72" s="507" t="str">
        <f t="shared" si="3"/>
        <v/>
      </c>
      <c r="T72" s="540" t="str">
        <f t="shared" si="4"/>
        <v/>
      </c>
      <c r="U72" s="499" t="str">
        <f t="shared" si="5"/>
        <v/>
      </c>
      <c r="V72" s="71"/>
      <c r="W72" s="499" t="str">
        <f>IF(V72="","",IF(VLOOKUP(V72,'G-7 Rivers Data'!$AA$4:$AB$7,2,FALSE)=0,"Spatial Data Missing ⚠",VLOOKUP(V72,'G-7 Rivers Data'!$AA$4:$AB$7,2,FALSE)))</f>
        <v/>
      </c>
      <c r="X72" s="155"/>
      <c r="Y72" s="499" t="str">
        <f>IF(X72="","",IF(VLOOKUP(X72,'G-7 Rivers Data'!$AD$4:$AE$8,2,FALSE)=0,"Enrcoachment Data Missing ⚠",VLOOKUP(X72,'G-7 Rivers Data'!$AD$4:$AE$8,2,FALSE)))</f>
        <v/>
      </c>
      <c r="Z72" s="565" t="str">
        <f t="shared" si="6"/>
        <v/>
      </c>
      <c r="AA72" s="149"/>
      <c r="AB72" s="150"/>
      <c r="AH72" s="31" t="str">
        <f>IFERROR(INDEX('G-7 Rivers Data'!$AZ$3:$AZ$7,MATCH(C72,'G-7 Rivers Data'!$AY$3:$AY$7,0)),"")</f>
        <v/>
      </c>
    </row>
    <row r="73" spans="2:34" ht="14" x14ac:dyDescent="0.3">
      <c r="B73" s="141">
        <v>62</v>
      </c>
      <c r="C73" s="171"/>
      <c r="D73" s="172"/>
      <c r="E73" s="498" t="str">
        <f>IF(C73="","",VLOOKUP(C73,'G-7 Rivers Data'!$B$2:$G$8,2,FALSE))</f>
        <v/>
      </c>
      <c r="F73" s="499" t="str">
        <f>IFERROR(VLOOKUP(E73,'G-7 Rivers Data'!$C$4:$D$8,2,FALSE),"")</f>
        <v/>
      </c>
      <c r="G73" s="145"/>
      <c r="H73" s="499" t="str">
        <f>IFERROR(INDEX('G-7 Rivers Data'!$H$4:$L$8,MATCH(C73,'G-7 Rivers Data'!$B$4:$B$8,0),MATCH(G73,'G-7 Rivers Data'!$H$3:$L$3,0)),"")</f>
        <v/>
      </c>
      <c r="I73" s="154"/>
      <c r="J73" s="507" t="str">
        <f>IF(I73="","",IF(VLOOKUP(I73,'G-7 Rivers Data'!$AG$4:$AI$9,2,FALSE)=0,"Spatial Data Missing ⚠",VLOOKUP(I73,'G-7 Rivers Data'!$AG$4:$AI$9,2,FALSE)))</f>
        <v/>
      </c>
      <c r="K73" s="499" t="str">
        <f>IF(I73="","",IF(VLOOKUP(I73,'G-7 Rivers Data'!$AG$4:$AI$9,3,FALSE)=0,"Spatial Data Missing ⚠",VLOOKUP(I73,'G-7 Rivers Data'!$AG$4:$AI$9,3,FALSE)))</f>
        <v/>
      </c>
      <c r="L73" s="498" t="str">
        <f>IFERROR(INDEX('G-7 Rivers Data'!$O$3:$O$7,MATCH(G73,'G-7 Rivers Data'!$N$3:$N$7,0)),"")</f>
        <v/>
      </c>
      <c r="M73" s="82"/>
      <c r="N73" s="195"/>
      <c r="O73" s="507" t="str">
        <f t="shared" si="1"/>
        <v/>
      </c>
      <c r="P73" s="521" t="str">
        <f t="shared" si="2"/>
        <v/>
      </c>
      <c r="Q73" s="564" t="str">
        <f>IFERROR(IF(P73="Check Data ⚠","Check Data ⚠",VLOOKUP(P73,'G-4 Temporal multipliers'!$A$4:$C$37,3,FALSE)),"")</f>
        <v/>
      </c>
      <c r="R73" s="498" t="str">
        <f>IF(C73="","",VLOOKUP(C73,'G-7 Rivers Data'!$B$4:$G$8,4,FALSE))</f>
        <v/>
      </c>
      <c r="S73" s="507" t="str">
        <f t="shared" si="3"/>
        <v/>
      </c>
      <c r="T73" s="540" t="str">
        <f t="shared" si="4"/>
        <v/>
      </c>
      <c r="U73" s="499" t="str">
        <f t="shared" si="5"/>
        <v/>
      </c>
      <c r="V73" s="71"/>
      <c r="W73" s="499" t="str">
        <f>IF(V73="","",IF(VLOOKUP(V73,'G-7 Rivers Data'!$AA$4:$AB$7,2,FALSE)=0,"Spatial Data Missing ⚠",VLOOKUP(V73,'G-7 Rivers Data'!$AA$4:$AB$7,2,FALSE)))</f>
        <v/>
      </c>
      <c r="X73" s="155"/>
      <c r="Y73" s="499" t="str">
        <f>IF(X73="","",IF(VLOOKUP(X73,'G-7 Rivers Data'!$AD$4:$AE$8,2,FALSE)=0,"Enrcoachment Data Missing ⚠",VLOOKUP(X73,'G-7 Rivers Data'!$AD$4:$AE$8,2,FALSE)))</f>
        <v/>
      </c>
      <c r="Z73" s="565" t="str">
        <f t="shared" si="6"/>
        <v/>
      </c>
      <c r="AA73" s="149"/>
      <c r="AB73" s="150"/>
      <c r="AH73" s="31" t="str">
        <f>IFERROR(INDEX('G-7 Rivers Data'!$AZ$3:$AZ$7,MATCH(C73,'G-7 Rivers Data'!$AY$3:$AY$7,0)),"")</f>
        <v/>
      </c>
    </row>
    <row r="74" spans="2:34" ht="14" x14ac:dyDescent="0.3">
      <c r="B74" s="141">
        <v>63</v>
      </c>
      <c r="C74" s="171"/>
      <c r="D74" s="172"/>
      <c r="E74" s="498" t="str">
        <f>IF(C74="","",VLOOKUP(C74,'G-7 Rivers Data'!$B$2:$G$8,2,FALSE))</f>
        <v/>
      </c>
      <c r="F74" s="499" t="str">
        <f>IFERROR(VLOOKUP(E74,'G-7 Rivers Data'!$C$4:$D$8,2,FALSE),"")</f>
        <v/>
      </c>
      <c r="G74" s="145"/>
      <c r="H74" s="499" t="str">
        <f>IFERROR(INDEX('G-7 Rivers Data'!$H$4:$L$8,MATCH(C74,'G-7 Rivers Data'!$B$4:$B$8,0),MATCH(G74,'G-7 Rivers Data'!$H$3:$L$3,0)),"")</f>
        <v/>
      </c>
      <c r="I74" s="154"/>
      <c r="J74" s="507" t="str">
        <f>IF(I74="","",IF(VLOOKUP(I74,'G-7 Rivers Data'!$AG$4:$AI$9,2,FALSE)=0,"Spatial Data Missing ⚠",VLOOKUP(I74,'G-7 Rivers Data'!$AG$4:$AI$9,2,FALSE)))</f>
        <v/>
      </c>
      <c r="K74" s="499" t="str">
        <f>IF(I74="","",IF(VLOOKUP(I74,'G-7 Rivers Data'!$AG$4:$AI$9,3,FALSE)=0,"Spatial Data Missing ⚠",VLOOKUP(I74,'G-7 Rivers Data'!$AG$4:$AI$9,3,FALSE)))</f>
        <v/>
      </c>
      <c r="L74" s="498" t="str">
        <f>IFERROR(INDEX('G-7 Rivers Data'!$O$3:$O$7,MATCH(G74,'G-7 Rivers Data'!$N$3:$N$7,0)),"")</f>
        <v/>
      </c>
      <c r="M74" s="82"/>
      <c r="N74" s="195"/>
      <c r="O74" s="507" t="str">
        <f t="shared" si="1"/>
        <v/>
      </c>
      <c r="P74" s="521" t="str">
        <f t="shared" si="2"/>
        <v/>
      </c>
      <c r="Q74" s="564" t="str">
        <f>IFERROR(IF(P74="Check Data ⚠","Check Data ⚠",VLOOKUP(P74,'G-4 Temporal multipliers'!$A$4:$C$37,3,FALSE)),"")</f>
        <v/>
      </c>
      <c r="R74" s="498" t="str">
        <f>IF(C74="","",VLOOKUP(C74,'G-7 Rivers Data'!$B$4:$G$8,4,FALSE))</f>
        <v/>
      </c>
      <c r="S74" s="507" t="str">
        <f t="shared" si="3"/>
        <v/>
      </c>
      <c r="T74" s="540" t="str">
        <f t="shared" si="4"/>
        <v/>
      </c>
      <c r="U74" s="499" t="str">
        <f t="shared" si="5"/>
        <v/>
      </c>
      <c r="V74" s="71"/>
      <c r="W74" s="499" t="str">
        <f>IF(V74="","",IF(VLOOKUP(V74,'G-7 Rivers Data'!$AA$4:$AB$7,2,FALSE)=0,"Spatial Data Missing ⚠",VLOOKUP(V74,'G-7 Rivers Data'!$AA$4:$AB$7,2,FALSE)))</f>
        <v/>
      </c>
      <c r="X74" s="155"/>
      <c r="Y74" s="499" t="str">
        <f>IF(X74="","",IF(VLOOKUP(X74,'G-7 Rivers Data'!$AD$4:$AE$8,2,FALSE)=0,"Enrcoachment Data Missing ⚠",VLOOKUP(X74,'G-7 Rivers Data'!$AD$4:$AE$8,2,FALSE)))</f>
        <v/>
      </c>
      <c r="Z74" s="565" t="str">
        <f t="shared" si="6"/>
        <v/>
      </c>
      <c r="AA74" s="149"/>
      <c r="AB74" s="150"/>
      <c r="AH74" s="31" t="str">
        <f>IFERROR(INDEX('G-7 Rivers Data'!$AZ$3:$AZ$7,MATCH(C74,'G-7 Rivers Data'!$AY$3:$AY$7,0)),"")</f>
        <v/>
      </c>
    </row>
    <row r="75" spans="2:34" ht="14" x14ac:dyDescent="0.3">
      <c r="B75" s="141">
        <v>64</v>
      </c>
      <c r="C75" s="171"/>
      <c r="D75" s="172"/>
      <c r="E75" s="498" t="str">
        <f>IF(C75="","",VLOOKUP(C75,'G-7 Rivers Data'!$B$2:$G$8,2,FALSE))</f>
        <v/>
      </c>
      <c r="F75" s="499" t="str">
        <f>IFERROR(VLOOKUP(E75,'G-7 Rivers Data'!$C$4:$D$8,2,FALSE),"")</f>
        <v/>
      </c>
      <c r="G75" s="145"/>
      <c r="H75" s="499" t="str">
        <f>IFERROR(INDEX('G-7 Rivers Data'!$H$4:$L$8,MATCH(C75,'G-7 Rivers Data'!$B$4:$B$8,0),MATCH(G75,'G-7 Rivers Data'!$H$3:$L$3,0)),"")</f>
        <v/>
      </c>
      <c r="I75" s="154"/>
      <c r="J75" s="507" t="str">
        <f>IF(I75="","",IF(VLOOKUP(I75,'G-7 Rivers Data'!$AG$4:$AI$9,2,FALSE)=0,"Spatial Data Missing ⚠",VLOOKUP(I75,'G-7 Rivers Data'!$AG$4:$AI$9,2,FALSE)))</f>
        <v/>
      </c>
      <c r="K75" s="499" t="str">
        <f>IF(I75="","",IF(VLOOKUP(I75,'G-7 Rivers Data'!$AG$4:$AI$9,3,FALSE)=0,"Spatial Data Missing ⚠",VLOOKUP(I75,'G-7 Rivers Data'!$AG$4:$AI$9,3,FALSE)))</f>
        <v/>
      </c>
      <c r="L75" s="498" t="str">
        <f>IFERROR(INDEX('G-7 Rivers Data'!$O$3:$O$7,MATCH(G75,'G-7 Rivers Data'!$N$3:$N$7,0)),"")</f>
        <v/>
      </c>
      <c r="M75" s="82"/>
      <c r="N75" s="195"/>
      <c r="O75" s="507" t="str">
        <f t="shared" si="1"/>
        <v/>
      </c>
      <c r="P75" s="521" t="str">
        <f t="shared" si="2"/>
        <v/>
      </c>
      <c r="Q75" s="564" t="str">
        <f>IFERROR(IF(P75="Check Data ⚠","Check Data ⚠",VLOOKUP(P75,'G-4 Temporal multipliers'!$A$4:$C$37,3,FALSE)),"")</f>
        <v/>
      </c>
      <c r="R75" s="498" t="str">
        <f>IF(C75="","",VLOOKUP(C75,'G-7 Rivers Data'!$B$4:$G$8,4,FALSE))</f>
        <v/>
      </c>
      <c r="S75" s="507" t="str">
        <f t="shared" si="3"/>
        <v/>
      </c>
      <c r="T75" s="540" t="str">
        <f t="shared" si="4"/>
        <v/>
      </c>
      <c r="U75" s="499" t="str">
        <f t="shared" si="5"/>
        <v/>
      </c>
      <c r="V75" s="71"/>
      <c r="W75" s="499" t="str">
        <f>IF(V75="","",IF(VLOOKUP(V75,'G-7 Rivers Data'!$AA$4:$AB$7,2,FALSE)=0,"Spatial Data Missing ⚠",VLOOKUP(V75,'G-7 Rivers Data'!$AA$4:$AB$7,2,FALSE)))</f>
        <v/>
      </c>
      <c r="X75" s="155"/>
      <c r="Y75" s="499" t="str">
        <f>IF(X75="","",IF(VLOOKUP(X75,'G-7 Rivers Data'!$AD$4:$AE$8,2,FALSE)=0,"Enrcoachment Data Missing ⚠",VLOOKUP(X75,'G-7 Rivers Data'!$AD$4:$AE$8,2,FALSE)))</f>
        <v/>
      </c>
      <c r="Z75" s="565" t="str">
        <f t="shared" si="6"/>
        <v/>
      </c>
      <c r="AA75" s="149"/>
      <c r="AB75" s="150"/>
      <c r="AH75" s="31" t="str">
        <f>IFERROR(INDEX('G-7 Rivers Data'!$AZ$3:$AZ$7,MATCH(C75,'G-7 Rivers Data'!$AY$3:$AY$7,0)),"")</f>
        <v/>
      </c>
    </row>
    <row r="76" spans="2:34" ht="14" x14ac:dyDescent="0.3">
      <c r="B76" s="141">
        <v>65</v>
      </c>
      <c r="C76" s="171"/>
      <c r="D76" s="172"/>
      <c r="E76" s="498" t="str">
        <f>IF(C76="","",VLOOKUP(C76,'G-7 Rivers Data'!$B$2:$G$8,2,FALSE))</f>
        <v/>
      </c>
      <c r="F76" s="499" t="str">
        <f>IFERROR(VLOOKUP(E76,'G-7 Rivers Data'!$C$4:$D$8,2,FALSE),"")</f>
        <v/>
      </c>
      <c r="G76" s="145"/>
      <c r="H76" s="499" t="str">
        <f>IFERROR(INDEX('G-7 Rivers Data'!$H$4:$L$8,MATCH(C76,'G-7 Rivers Data'!$B$4:$B$8,0),MATCH(G76,'G-7 Rivers Data'!$H$3:$L$3,0)),"")</f>
        <v/>
      </c>
      <c r="I76" s="154"/>
      <c r="J76" s="507" t="str">
        <f>IF(I76="","",IF(VLOOKUP(I76,'G-7 Rivers Data'!$AG$4:$AI$9,2,FALSE)=0,"Spatial Data Missing ⚠",VLOOKUP(I76,'G-7 Rivers Data'!$AG$4:$AI$9,2,FALSE)))</f>
        <v/>
      </c>
      <c r="K76" s="499" t="str">
        <f>IF(I76="","",IF(VLOOKUP(I76,'G-7 Rivers Data'!$AG$4:$AI$9,3,FALSE)=0,"Spatial Data Missing ⚠",VLOOKUP(I76,'G-7 Rivers Data'!$AG$4:$AI$9,3,FALSE)))</f>
        <v/>
      </c>
      <c r="L76" s="498" t="str">
        <f>IFERROR(INDEX('G-7 Rivers Data'!$O$3:$O$7,MATCH(G76,'G-7 Rivers Data'!$N$3:$N$7,0)),"")</f>
        <v/>
      </c>
      <c r="M76" s="82"/>
      <c r="N76" s="195"/>
      <c r="O76" s="507" t="str">
        <f t="shared" si="1"/>
        <v/>
      </c>
      <c r="P76" s="521" t="str">
        <f t="shared" si="2"/>
        <v/>
      </c>
      <c r="Q76" s="564" t="str">
        <f>IFERROR(IF(P76="Check Data ⚠","Check Data ⚠",VLOOKUP(P76,'G-4 Temporal multipliers'!$A$4:$C$37,3,FALSE)),"")</f>
        <v/>
      </c>
      <c r="R76" s="498" t="str">
        <f>IF(C76="","",VLOOKUP(C76,'G-7 Rivers Data'!$B$4:$G$8,4,FALSE))</f>
        <v/>
      </c>
      <c r="S76" s="507" t="str">
        <f t="shared" si="3"/>
        <v/>
      </c>
      <c r="T76" s="540" t="str">
        <f t="shared" si="4"/>
        <v/>
      </c>
      <c r="U76" s="499" t="str">
        <f t="shared" si="5"/>
        <v/>
      </c>
      <c r="V76" s="71"/>
      <c r="W76" s="499" t="str">
        <f>IF(V76="","",IF(VLOOKUP(V76,'G-7 Rivers Data'!$AA$4:$AB$7,2,FALSE)=0,"Spatial Data Missing ⚠",VLOOKUP(V76,'G-7 Rivers Data'!$AA$4:$AB$7,2,FALSE)))</f>
        <v/>
      </c>
      <c r="X76" s="155"/>
      <c r="Y76" s="499" t="str">
        <f>IF(X76="","",IF(VLOOKUP(X76,'G-7 Rivers Data'!$AD$4:$AE$8,2,FALSE)=0,"Enrcoachment Data Missing ⚠",VLOOKUP(X76,'G-7 Rivers Data'!$AD$4:$AE$8,2,FALSE)))</f>
        <v/>
      </c>
      <c r="Z76" s="565" t="str">
        <f t="shared" si="6"/>
        <v/>
      </c>
      <c r="AA76" s="149"/>
      <c r="AB76" s="150"/>
      <c r="AH76" s="31" t="str">
        <f>IFERROR(INDEX('G-7 Rivers Data'!$AZ$3:$AZ$7,MATCH(C76,'G-7 Rivers Data'!$AY$3:$AY$7,0)),"")</f>
        <v/>
      </c>
    </row>
    <row r="77" spans="2:34" ht="14" x14ac:dyDescent="0.3">
      <c r="B77" s="141">
        <v>66</v>
      </c>
      <c r="C77" s="171"/>
      <c r="D77" s="172"/>
      <c r="E77" s="498" t="str">
        <f>IF(C77="","",VLOOKUP(C77,'G-7 Rivers Data'!$B$2:$G$8,2,FALSE))</f>
        <v/>
      </c>
      <c r="F77" s="499" t="str">
        <f>IFERROR(VLOOKUP(E77,'G-7 Rivers Data'!$C$4:$D$8,2,FALSE),"")</f>
        <v/>
      </c>
      <c r="G77" s="145"/>
      <c r="H77" s="499" t="str">
        <f>IFERROR(INDEX('G-7 Rivers Data'!$H$4:$L$8,MATCH(C77,'G-7 Rivers Data'!$B$4:$B$8,0),MATCH(G77,'G-7 Rivers Data'!$H$3:$L$3,0)),"")</f>
        <v/>
      </c>
      <c r="I77" s="154"/>
      <c r="J77" s="507" t="str">
        <f>IF(I77="","",IF(VLOOKUP(I77,'G-7 Rivers Data'!$AG$4:$AI$9,2,FALSE)=0,"Spatial Data Missing ⚠",VLOOKUP(I77,'G-7 Rivers Data'!$AG$4:$AI$9,2,FALSE)))</f>
        <v/>
      </c>
      <c r="K77" s="499" t="str">
        <f>IF(I77="","",IF(VLOOKUP(I77,'G-7 Rivers Data'!$AG$4:$AI$9,3,FALSE)=0,"Spatial Data Missing ⚠",VLOOKUP(I77,'G-7 Rivers Data'!$AG$4:$AI$9,3,FALSE)))</f>
        <v/>
      </c>
      <c r="L77" s="498" t="str">
        <f>IFERROR(INDEX('G-7 Rivers Data'!$O$3:$O$7,MATCH(G77,'G-7 Rivers Data'!$N$3:$N$7,0)),"")</f>
        <v/>
      </c>
      <c r="M77" s="82"/>
      <c r="N77" s="195"/>
      <c r="O77" s="507" t="str">
        <f t="shared" ref="O77:O140" si="7">IF(L77="","",IF(AND(M77&gt;0,N77&gt;0),"Error -both advance and delayed habitat creation ▲",IF(AND(OR(M77="Habitat already in target condition",L77&lt;=M77),N77=0),"Check details - Is there evidence that habitat has reached target condition? ⚠",IF(M77&gt;0,"Check details - Is there evidence habitat creation started/in place? ⚠",IF(N77&gt;0,"Check details- Delay in starting habitat in required condition? ⚠","Standard time to target condition applied")))))</f>
        <v/>
      </c>
      <c r="P77" s="521" t="str">
        <f t="shared" ref="P77:P140" si="8">IF(LEFT(O77,5)="Error ▲","Check Data ⚠",IF(L77="","",IF(M77="30+",0,IF(N77="30+","30+ ⚠",IF(L77+N77&gt;30,"30+ ⚠",IF(L77+N77-M77&gt;0,L77+N77-M77,IF(L77-M77&lt;0,0,L77+N77-M77)))))))</f>
        <v/>
      </c>
      <c r="Q77" s="564" t="str">
        <f>IFERROR(IF(P77="Check Data ⚠","Check Data ⚠",VLOOKUP(P77,'G-4 Temporal multipliers'!$A$4:$C$37,3,FALSE)),"")</f>
        <v/>
      </c>
      <c r="R77" s="498" t="str">
        <f>IF(C77="","",VLOOKUP(C77,'G-7 Rivers Data'!$B$4:$G$8,4,FALSE))</f>
        <v/>
      </c>
      <c r="S77" s="507" t="str">
        <f t="shared" ref="S77:S140" si="9">IF(C77="","",IF(P77="Check Data ⚠","Check Data ⚠",IF(G77="","",IF($O77="Check details - Is there evidence that habitat has reached target condition? ⚠","Low Difficulty - only applicable if all habitat created before losses ⚠","Standard difficulty applied"))))</f>
        <v/>
      </c>
      <c r="T77" s="540" t="str">
        <f t="shared" ref="T77:T140" si="10">(IF(AND(S77="Standard difficulty applied",L77&gt;M77),R77,IF(AND(S77="Low Difficulty - only applicable if all habitat created before losses ⚠",M77&gt;=L77),"Low",R77)))</f>
        <v/>
      </c>
      <c r="U77" s="499" t="str">
        <f t="shared" ref="U77:U140" si="11">IF(C77="","",VLOOKUP(R77,Difficulty,2,FALSE))</f>
        <v/>
      </c>
      <c r="V77" s="71"/>
      <c r="W77" s="499" t="str">
        <f>IF(V77="","",IF(VLOOKUP(V77,'G-7 Rivers Data'!$AA$4:$AB$7,2,FALSE)=0,"Spatial Data Missing ⚠",VLOOKUP(V77,'G-7 Rivers Data'!$AA$4:$AB$7,2,FALSE)))</f>
        <v/>
      </c>
      <c r="X77" s="155"/>
      <c r="Y77" s="499" t="str">
        <f>IF(X77="","",IF(VLOOKUP(X77,'G-7 Rivers Data'!$AD$4:$AE$8,2,FALSE)=0,"Enrcoachment Data Missing ⚠",VLOOKUP(X77,'G-7 Rivers Data'!$AD$4:$AE$8,2,FALSE)))</f>
        <v/>
      </c>
      <c r="Z77" s="565" t="str">
        <f t="shared" ref="Z77:Z140" si="12">IFERROR(IF(C77="","",D77*F77*H77*K77*Q77*U77*Y77*W77),"")</f>
        <v/>
      </c>
      <c r="AA77" s="149"/>
      <c r="AB77" s="150"/>
      <c r="AH77" s="31" t="str">
        <f>IFERROR(INDEX('G-7 Rivers Data'!$AZ$3:$AZ$7,MATCH(C77,'G-7 Rivers Data'!$AY$3:$AY$7,0)),"")</f>
        <v/>
      </c>
    </row>
    <row r="78" spans="2:34" ht="14" x14ac:dyDescent="0.3">
      <c r="B78" s="141">
        <v>67</v>
      </c>
      <c r="C78" s="171"/>
      <c r="D78" s="172"/>
      <c r="E78" s="498" t="str">
        <f>IF(C78="","",VLOOKUP(C78,'G-7 Rivers Data'!$B$2:$G$8,2,FALSE))</f>
        <v/>
      </c>
      <c r="F78" s="499" t="str">
        <f>IFERROR(VLOOKUP(E78,'G-7 Rivers Data'!$C$4:$D$8,2,FALSE),"")</f>
        <v/>
      </c>
      <c r="G78" s="145"/>
      <c r="H78" s="499" t="str">
        <f>IFERROR(INDEX('G-7 Rivers Data'!$H$4:$L$8,MATCH(C78,'G-7 Rivers Data'!$B$4:$B$8,0),MATCH(G78,'G-7 Rivers Data'!$H$3:$L$3,0)),"")</f>
        <v/>
      </c>
      <c r="I78" s="154"/>
      <c r="J78" s="507" t="str">
        <f>IF(I78="","",IF(VLOOKUP(I78,'G-7 Rivers Data'!$AG$4:$AI$9,2,FALSE)=0,"Spatial Data Missing ⚠",VLOOKUP(I78,'G-7 Rivers Data'!$AG$4:$AI$9,2,FALSE)))</f>
        <v/>
      </c>
      <c r="K78" s="499" t="str">
        <f>IF(I78="","",IF(VLOOKUP(I78,'G-7 Rivers Data'!$AG$4:$AI$9,3,FALSE)=0,"Spatial Data Missing ⚠",VLOOKUP(I78,'G-7 Rivers Data'!$AG$4:$AI$9,3,FALSE)))</f>
        <v/>
      </c>
      <c r="L78" s="498" t="str">
        <f>IFERROR(INDEX('G-7 Rivers Data'!$O$3:$O$7,MATCH(G78,'G-7 Rivers Data'!$N$3:$N$7,0)),"")</f>
        <v/>
      </c>
      <c r="M78" s="82"/>
      <c r="N78" s="195"/>
      <c r="O78" s="507" t="str">
        <f t="shared" si="7"/>
        <v/>
      </c>
      <c r="P78" s="521" t="str">
        <f t="shared" si="8"/>
        <v/>
      </c>
      <c r="Q78" s="564" t="str">
        <f>IFERROR(IF(P78="Check Data ⚠","Check Data ⚠",VLOOKUP(P78,'G-4 Temporal multipliers'!$A$4:$C$37,3,FALSE)),"")</f>
        <v/>
      </c>
      <c r="R78" s="498" t="str">
        <f>IF(C78="","",VLOOKUP(C78,'G-7 Rivers Data'!$B$4:$G$8,4,FALSE))</f>
        <v/>
      </c>
      <c r="S78" s="507" t="str">
        <f t="shared" si="9"/>
        <v/>
      </c>
      <c r="T78" s="540" t="str">
        <f t="shared" si="10"/>
        <v/>
      </c>
      <c r="U78" s="499" t="str">
        <f t="shared" si="11"/>
        <v/>
      </c>
      <c r="V78" s="71"/>
      <c r="W78" s="499" t="str">
        <f>IF(V78="","",IF(VLOOKUP(V78,'G-7 Rivers Data'!$AA$4:$AB$7,2,FALSE)=0,"Spatial Data Missing ⚠",VLOOKUP(V78,'G-7 Rivers Data'!$AA$4:$AB$7,2,FALSE)))</f>
        <v/>
      </c>
      <c r="X78" s="155"/>
      <c r="Y78" s="499" t="str">
        <f>IF(X78="","",IF(VLOOKUP(X78,'G-7 Rivers Data'!$AD$4:$AE$8,2,FALSE)=0,"Enrcoachment Data Missing ⚠",VLOOKUP(X78,'G-7 Rivers Data'!$AD$4:$AE$8,2,FALSE)))</f>
        <v/>
      </c>
      <c r="Z78" s="565" t="str">
        <f t="shared" si="12"/>
        <v/>
      </c>
      <c r="AA78" s="149"/>
      <c r="AB78" s="150"/>
      <c r="AH78" s="31" t="str">
        <f>IFERROR(INDEX('G-7 Rivers Data'!$AZ$3:$AZ$7,MATCH(C78,'G-7 Rivers Data'!$AY$3:$AY$7,0)),"")</f>
        <v/>
      </c>
    </row>
    <row r="79" spans="2:34" ht="14" x14ac:dyDescent="0.3">
      <c r="B79" s="141">
        <v>68</v>
      </c>
      <c r="C79" s="171"/>
      <c r="D79" s="172"/>
      <c r="E79" s="498" t="str">
        <f>IF(C79="","",VLOOKUP(C79,'G-7 Rivers Data'!$B$2:$G$8,2,FALSE))</f>
        <v/>
      </c>
      <c r="F79" s="499" t="str">
        <f>IFERROR(VLOOKUP(E79,'G-7 Rivers Data'!$C$4:$D$8,2,FALSE),"")</f>
        <v/>
      </c>
      <c r="G79" s="145"/>
      <c r="H79" s="499" t="str">
        <f>IFERROR(INDEX('G-7 Rivers Data'!$H$4:$L$8,MATCH(C79,'G-7 Rivers Data'!$B$4:$B$8,0),MATCH(G79,'G-7 Rivers Data'!$H$3:$L$3,0)),"")</f>
        <v/>
      </c>
      <c r="I79" s="154"/>
      <c r="J79" s="507" t="str">
        <f>IF(I79="","",IF(VLOOKUP(I79,'G-7 Rivers Data'!$AG$4:$AI$9,2,FALSE)=0,"Spatial Data Missing ⚠",VLOOKUP(I79,'G-7 Rivers Data'!$AG$4:$AI$9,2,FALSE)))</f>
        <v/>
      </c>
      <c r="K79" s="499" t="str">
        <f>IF(I79="","",IF(VLOOKUP(I79,'G-7 Rivers Data'!$AG$4:$AI$9,3,FALSE)=0,"Spatial Data Missing ⚠",VLOOKUP(I79,'G-7 Rivers Data'!$AG$4:$AI$9,3,FALSE)))</f>
        <v/>
      </c>
      <c r="L79" s="498" t="str">
        <f>IFERROR(INDEX('G-7 Rivers Data'!$O$3:$O$7,MATCH(G79,'G-7 Rivers Data'!$N$3:$N$7,0)),"")</f>
        <v/>
      </c>
      <c r="M79" s="82"/>
      <c r="N79" s="195"/>
      <c r="O79" s="507" t="str">
        <f t="shared" si="7"/>
        <v/>
      </c>
      <c r="P79" s="521" t="str">
        <f t="shared" si="8"/>
        <v/>
      </c>
      <c r="Q79" s="564" t="str">
        <f>IFERROR(IF(P79="Check Data ⚠","Check Data ⚠",VLOOKUP(P79,'G-4 Temporal multipliers'!$A$4:$C$37,3,FALSE)),"")</f>
        <v/>
      </c>
      <c r="R79" s="498" t="str">
        <f>IF(C79="","",VLOOKUP(C79,'G-7 Rivers Data'!$B$4:$G$8,4,FALSE))</f>
        <v/>
      </c>
      <c r="S79" s="507" t="str">
        <f t="shared" si="9"/>
        <v/>
      </c>
      <c r="T79" s="540" t="str">
        <f t="shared" si="10"/>
        <v/>
      </c>
      <c r="U79" s="499" t="str">
        <f t="shared" si="11"/>
        <v/>
      </c>
      <c r="V79" s="71"/>
      <c r="W79" s="499" t="str">
        <f>IF(V79="","",IF(VLOOKUP(V79,'G-7 Rivers Data'!$AA$4:$AB$7,2,FALSE)=0,"Spatial Data Missing ⚠",VLOOKUP(V79,'G-7 Rivers Data'!$AA$4:$AB$7,2,FALSE)))</f>
        <v/>
      </c>
      <c r="X79" s="155"/>
      <c r="Y79" s="499" t="str">
        <f>IF(X79="","",IF(VLOOKUP(X79,'G-7 Rivers Data'!$AD$4:$AE$8,2,FALSE)=0,"Enrcoachment Data Missing ⚠",VLOOKUP(X79,'G-7 Rivers Data'!$AD$4:$AE$8,2,FALSE)))</f>
        <v/>
      </c>
      <c r="Z79" s="565" t="str">
        <f t="shared" si="12"/>
        <v/>
      </c>
      <c r="AA79" s="149"/>
      <c r="AB79" s="150"/>
      <c r="AH79" s="31" t="str">
        <f>IFERROR(INDEX('G-7 Rivers Data'!$AZ$3:$AZ$7,MATCH(C79,'G-7 Rivers Data'!$AY$3:$AY$7,0)),"")</f>
        <v/>
      </c>
    </row>
    <row r="80" spans="2:34" ht="14" x14ac:dyDescent="0.3">
      <c r="B80" s="141">
        <v>69</v>
      </c>
      <c r="C80" s="171"/>
      <c r="D80" s="172"/>
      <c r="E80" s="498" t="str">
        <f>IF(C80="","",VLOOKUP(C80,'G-7 Rivers Data'!$B$2:$G$8,2,FALSE))</f>
        <v/>
      </c>
      <c r="F80" s="499" t="str">
        <f>IFERROR(VLOOKUP(E80,'G-7 Rivers Data'!$C$4:$D$8,2,FALSE),"")</f>
        <v/>
      </c>
      <c r="G80" s="145"/>
      <c r="H80" s="499" t="str">
        <f>IFERROR(INDEX('G-7 Rivers Data'!$H$4:$L$8,MATCH(C80,'G-7 Rivers Data'!$B$4:$B$8,0),MATCH(G80,'G-7 Rivers Data'!$H$3:$L$3,0)),"")</f>
        <v/>
      </c>
      <c r="I80" s="154"/>
      <c r="J80" s="507" t="str">
        <f>IF(I80="","",IF(VLOOKUP(I80,'G-7 Rivers Data'!$AG$4:$AI$9,2,FALSE)=0,"Spatial Data Missing ⚠",VLOOKUP(I80,'G-7 Rivers Data'!$AG$4:$AI$9,2,FALSE)))</f>
        <v/>
      </c>
      <c r="K80" s="499" t="str">
        <f>IF(I80="","",IF(VLOOKUP(I80,'G-7 Rivers Data'!$AG$4:$AI$9,3,FALSE)=0,"Spatial Data Missing ⚠",VLOOKUP(I80,'G-7 Rivers Data'!$AG$4:$AI$9,3,FALSE)))</f>
        <v/>
      </c>
      <c r="L80" s="498" t="str">
        <f>IFERROR(INDEX('G-7 Rivers Data'!$O$3:$O$7,MATCH(G80,'G-7 Rivers Data'!$N$3:$N$7,0)),"")</f>
        <v/>
      </c>
      <c r="M80" s="82"/>
      <c r="N80" s="195"/>
      <c r="O80" s="507" t="str">
        <f t="shared" si="7"/>
        <v/>
      </c>
      <c r="P80" s="521" t="str">
        <f t="shared" si="8"/>
        <v/>
      </c>
      <c r="Q80" s="564" t="str">
        <f>IFERROR(IF(P80="Check Data ⚠","Check Data ⚠",VLOOKUP(P80,'G-4 Temporal multipliers'!$A$4:$C$37,3,FALSE)),"")</f>
        <v/>
      </c>
      <c r="R80" s="498" t="str">
        <f>IF(C80="","",VLOOKUP(C80,'G-7 Rivers Data'!$B$4:$G$8,4,FALSE))</f>
        <v/>
      </c>
      <c r="S80" s="507" t="str">
        <f t="shared" si="9"/>
        <v/>
      </c>
      <c r="T80" s="540" t="str">
        <f t="shared" si="10"/>
        <v/>
      </c>
      <c r="U80" s="499" t="str">
        <f t="shared" si="11"/>
        <v/>
      </c>
      <c r="V80" s="71"/>
      <c r="W80" s="499" t="str">
        <f>IF(V80="","",IF(VLOOKUP(V80,'G-7 Rivers Data'!$AA$4:$AB$7,2,FALSE)=0,"Spatial Data Missing ⚠",VLOOKUP(V80,'G-7 Rivers Data'!$AA$4:$AB$7,2,FALSE)))</f>
        <v/>
      </c>
      <c r="X80" s="155"/>
      <c r="Y80" s="499" t="str">
        <f>IF(X80="","",IF(VLOOKUP(X80,'G-7 Rivers Data'!$AD$4:$AE$8,2,FALSE)=0,"Enrcoachment Data Missing ⚠",VLOOKUP(X80,'G-7 Rivers Data'!$AD$4:$AE$8,2,FALSE)))</f>
        <v/>
      </c>
      <c r="Z80" s="565" t="str">
        <f t="shared" si="12"/>
        <v/>
      </c>
      <c r="AA80" s="149"/>
      <c r="AB80" s="150"/>
      <c r="AH80" s="31" t="str">
        <f>IFERROR(INDEX('G-7 Rivers Data'!$AZ$3:$AZ$7,MATCH(C80,'G-7 Rivers Data'!$AY$3:$AY$7,0)),"")</f>
        <v/>
      </c>
    </row>
    <row r="81" spans="2:34" ht="14" x14ac:dyDescent="0.3">
      <c r="B81" s="141">
        <v>70</v>
      </c>
      <c r="C81" s="171"/>
      <c r="D81" s="172"/>
      <c r="E81" s="498" t="str">
        <f>IF(C81="","",VLOOKUP(C81,'G-7 Rivers Data'!$B$2:$G$8,2,FALSE))</f>
        <v/>
      </c>
      <c r="F81" s="499" t="str">
        <f>IFERROR(VLOOKUP(E81,'G-7 Rivers Data'!$C$4:$D$8,2,FALSE),"")</f>
        <v/>
      </c>
      <c r="G81" s="145"/>
      <c r="H81" s="499" t="str">
        <f>IFERROR(INDEX('G-7 Rivers Data'!$H$4:$L$8,MATCH(C81,'G-7 Rivers Data'!$B$4:$B$8,0),MATCH(G81,'G-7 Rivers Data'!$H$3:$L$3,0)),"")</f>
        <v/>
      </c>
      <c r="I81" s="154"/>
      <c r="J81" s="507" t="str">
        <f>IF(I81="","",IF(VLOOKUP(I81,'G-7 Rivers Data'!$AG$4:$AI$9,2,FALSE)=0,"Spatial Data Missing ⚠",VLOOKUP(I81,'G-7 Rivers Data'!$AG$4:$AI$9,2,FALSE)))</f>
        <v/>
      </c>
      <c r="K81" s="499" t="str">
        <f>IF(I81="","",IF(VLOOKUP(I81,'G-7 Rivers Data'!$AG$4:$AI$9,3,FALSE)=0,"Spatial Data Missing ⚠",VLOOKUP(I81,'G-7 Rivers Data'!$AG$4:$AI$9,3,FALSE)))</f>
        <v/>
      </c>
      <c r="L81" s="498" t="str">
        <f>IFERROR(INDEX('G-7 Rivers Data'!$O$3:$O$7,MATCH(G81,'G-7 Rivers Data'!$N$3:$N$7,0)),"")</f>
        <v/>
      </c>
      <c r="M81" s="82"/>
      <c r="N81" s="195"/>
      <c r="O81" s="507" t="str">
        <f t="shared" si="7"/>
        <v/>
      </c>
      <c r="P81" s="521" t="str">
        <f t="shared" si="8"/>
        <v/>
      </c>
      <c r="Q81" s="564" t="str">
        <f>IFERROR(IF(P81="Check Data ⚠","Check Data ⚠",VLOOKUP(P81,'G-4 Temporal multipliers'!$A$4:$C$37,3,FALSE)),"")</f>
        <v/>
      </c>
      <c r="R81" s="498" t="str">
        <f>IF(C81="","",VLOOKUP(C81,'G-7 Rivers Data'!$B$4:$G$8,4,FALSE))</f>
        <v/>
      </c>
      <c r="S81" s="507" t="str">
        <f t="shared" si="9"/>
        <v/>
      </c>
      <c r="T81" s="540" t="str">
        <f t="shared" si="10"/>
        <v/>
      </c>
      <c r="U81" s="499" t="str">
        <f t="shared" si="11"/>
        <v/>
      </c>
      <c r="V81" s="71"/>
      <c r="W81" s="499" t="str">
        <f>IF(V81="","",IF(VLOOKUP(V81,'G-7 Rivers Data'!$AA$4:$AB$7,2,FALSE)=0,"Spatial Data Missing ⚠",VLOOKUP(V81,'G-7 Rivers Data'!$AA$4:$AB$7,2,FALSE)))</f>
        <v/>
      </c>
      <c r="X81" s="155"/>
      <c r="Y81" s="499" t="str">
        <f>IF(X81="","",IF(VLOOKUP(X81,'G-7 Rivers Data'!$AD$4:$AE$8,2,FALSE)=0,"Enrcoachment Data Missing ⚠",VLOOKUP(X81,'G-7 Rivers Data'!$AD$4:$AE$8,2,FALSE)))</f>
        <v/>
      </c>
      <c r="Z81" s="565" t="str">
        <f t="shared" si="12"/>
        <v/>
      </c>
      <c r="AA81" s="149"/>
      <c r="AB81" s="150"/>
      <c r="AH81" s="31" t="str">
        <f>IFERROR(INDEX('G-7 Rivers Data'!$AZ$3:$AZ$7,MATCH(C81,'G-7 Rivers Data'!$AY$3:$AY$7,0)),"")</f>
        <v/>
      </c>
    </row>
    <row r="82" spans="2:34" ht="14" x14ac:dyDescent="0.3">
      <c r="B82" s="141">
        <v>71</v>
      </c>
      <c r="C82" s="171"/>
      <c r="D82" s="172"/>
      <c r="E82" s="498" t="str">
        <f>IF(C82="","",VLOOKUP(C82,'G-7 Rivers Data'!$B$2:$G$8,2,FALSE))</f>
        <v/>
      </c>
      <c r="F82" s="499" t="str">
        <f>IFERROR(VLOOKUP(E82,'G-7 Rivers Data'!$C$4:$D$8,2,FALSE),"")</f>
        <v/>
      </c>
      <c r="G82" s="145"/>
      <c r="H82" s="499" t="str">
        <f>IFERROR(INDEX('G-7 Rivers Data'!$H$4:$L$8,MATCH(C82,'G-7 Rivers Data'!$B$4:$B$8,0),MATCH(G82,'G-7 Rivers Data'!$H$3:$L$3,0)),"")</f>
        <v/>
      </c>
      <c r="I82" s="154"/>
      <c r="J82" s="507" t="str">
        <f>IF(I82="","",IF(VLOOKUP(I82,'G-7 Rivers Data'!$AG$4:$AI$9,2,FALSE)=0,"Spatial Data Missing ⚠",VLOOKUP(I82,'G-7 Rivers Data'!$AG$4:$AI$9,2,FALSE)))</f>
        <v/>
      </c>
      <c r="K82" s="499" t="str">
        <f>IF(I82="","",IF(VLOOKUP(I82,'G-7 Rivers Data'!$AG$4:$AI$9,3,FALSE)=0,"Spatial Data Missing ⚠",VLOOKUP(I82,'G-7 Rivers Data'!$AG$4:$AI$9,3,FALSE)))</f>
        <v/>
      </c>
      <c r="L82" s="498" t="str">
        <f>IFERROR(INDEX('G-7 Rivers Data'!$O$3:$O$7,MATCH(G82,'G-7 Rivers Data'!$N$3:$N$7,0)),"")</f>
        <v/>
      </c>
      <c r="M82" s="82"/>
      <c r="N82" s="195"/>
      <c r="O82" s="507" t="str">
        <f t="shared" si="7"/>
        <v/>
      </c>
      <c r="P82" s="521" t="str">
        <f t="shared" si="8"/>
        <v/>
      </c>
      <c r="Q82" s="564" t="str">
        <f>IFERROR(IF(P82="Check Data ⚠","Check Data ⚠",VLOOKUP(P82,'G-4 Temporal multipliers'!$A$4:$C$37,3,FALSE)),"")</f>
        <v/>
      </c>
      <c r="R82" s="498" t="str">
        <f>IF(C82="","",VLOOKUP(C82,'G-7 Rivers Data'!$B$4:$G$8,4,FALSE))</f>
        <v/>
      </c>
      <c r="S82" s="507" t="str">
        <f t="shared" si="9"/>
        <v/>
      </c>
      <c r="T82" s="540" t="str">
        <f t="shared" si="10"/>
        <v/>
      </c>
      <c r="U82" s="499" t="str">
        <f t="shared" si="11"/>
        <v/>
      </c>
      <c r="V82" s="71"/>
      <c r="W82" s="499" t="str">
        <f>IF(V82="","",IF(VLOOKUP(V82,'G-7 Rivers Data'!$AA$4:$AB$7,2,FALSE)=0,"Spatial Data Missing ⚠",VLOOKUP(V82,'G-7 Rivers Data'!$AA$4:$AB$7,2,FALSE)))</f>
        <v/>
      </c>
      <c r="X82" s="155"/>
      <c r="Y82" s="499" t="str">
        <f>IF(X82="","",IF(VLOOKUP(X82,'G-7 Rivers Data'!$AD$4:$AE$8,2,FALSE)=0,"Enrcoachment Data Missing ⚠",VLOOKUP(X82,'G-7 Rivers Data'!$AD$4:$AE$8,2,FALSE)))</f>
        <v/>
      </c>
      <c r="Z82" s="565" t="str">
        <f t="shared" si="12"/>
        <v/>
      </c>
      <c r="AA82" s="149"/>
      <c r="AB82" s="150"/>
      <c r="AH82" s="31" t="str">
        <f>IFERROR(INDEX('G-7 Rivers Data'!$AZ$3:$AZ$7,MATCH(C82,'G-7 Rivers Data'!$AY$3:$AY$7,0)),"")</f>
        <v/>
      </c>
    </row>
    <row r="83" spans="2:34" ht="14" x14ac:dyDescent="0.3">
      <c r="B83" s="141">
        <v>72</v>
      </c>
      <c r="C83" s="171"/>
      <c r="D83" s="172"/>
      <c r="E83" s="498" t="str">
        <f>IF(C83="","",VLOOKUP(C83,'G-7 Rivers Data'!$B$2:$G$8,2,FALSE))</f>
        <v/>
      </c>
      <c r="F83" s="499" t="str">
        <f>IFERROR(VLOOKUP(E83,'G-7 Rivers Data'!$C$4:$D$8,2,FALSE),"")</f>
        <v/>
      </c>
      <c r="G83" s="145"/>
      <c r="H83" s="499" t="str">
        <f>IFERROR(INDEX('G-7 Rivers Data'!$H$4:$L$8,MATCH(C83,'G-7 Rivers Data'!$B$4:$B$8,0),MATCH(G83,'G-7 Rivers Data'!$H$3:$L$3,0)),"")</f>
        <v/>
      </c>
      <c r="I83" s="154"/>
      <c r="J83" s="507" t="str">
        <f>IF(I83="","",IF(VLOOKUP(I83,'G-7 Rivers Data'!$AG$4:$AI$9,2,FALSE)=0,"Spatial Data Missing ⚠",VLOOKUP(I83,'G-7 Rivers Data'!$AG$4:$AI$9,2,FALSE)))</f>
        <v/>
      </c>
      <c r="K83" s="499" t="str">
        <f>IF(I83="","",IF(VLOOKUP(I83,'G-7 Rivers Data'!$AG$4:$AI$9,3,FALSE)=0,"Spatial Data Missing ⚠",VLOOKUP(I83,'G-7 Rivers Data'!$AG$4:$AI$9,3,FALSE)))</f>
        <v/>
      </c>
      <c r="L83" s="498" t="str">
        <f>IFERROR(INDEX('G-7 Rivers Data'!$O$3:$O$7,MATCH(G83,'G-7 Rivers Data'!$N$3:$N$7,0)),"")</f>
        <v/>
      </c>
      <c r="M83" s="82"/>
      <c r="N83" s="195"/>
      <c r="O83" s="507" t="str">
        <f t="shared" si="7"/>
        <v/>
      </c>
      <c r="P83" s="521" t="str">
        <f t="shared" si="8"/>
        <v/>
      </c>
      <c r="Q83" s="564" t="str">
        <f>IFERROR(IF(P83="Check Data ⚠","Check Data ⚠",VLOOKUP(P83,'G-4 Temporal multipliers'!$A$4:$C$37,3,FALSE)),"")</f>
        <v/>
      </c>
      <c r="R83" s="498" t="str">
        <f>IF(C83="","",VLOOKUP(C83,'G-7 Rivers Data'!$B$4:$G$8,4,FALSE))</f>
        <v/>
      </c>
      <c r="S83" s="507" t="str">
        <f t="shared" si="9"/>
        <v/>
      </c>
      <c r="T83" s="540" t="str">
        <f t="shared" si="10"/>
        <v/>
      </c>
      <c r="U83" s="499" t="str">
        <f t="shared" si="11"/>
        <v/>
      </c>
      <c r="V83" s="71"/>
      <c r="W83" s="499" t="str">
        <f>IF(V83="","",IF(VLOOKUP(V83,'G-7 Rivers Data'!$AA$4:$AB$7,2,FALSE)=0,"Spatial Data Missing ⚠",VLOOKUP(V83,'G-7 Rivers Data'!$AA$4:$AB$7,2,FALSE)))</f>
        <v/>
      </c>
      <c r="X83" s="155"/>
      <c r="Y83" s="499" t="str">
        <f>IF(X83="","",IF(VLOOKUP(X83,'G-7 Rivers Data'!$AD$4:$AE$8,2,FALSE)=0,"Enrcoachment Data Missing ⚠",VLOOKUP(X83,'G-7 Rivers Data'!$AD$4:$AE$8,2,FALSE)))</f>
        <v/>
      </c>
      <c r="Z83" s="565" t="str">
        <f t="shared" si="12"/>
        <v/>
      </c>
      <c r="AA83" s="149"/>
      <c r="AB83" s="150"/>
      <c r="AH83" s="31" t="str">
        <f>IFERROR(INDEX('G-7 Rivers Data'!$AZ$3:$AZ$7,MATCH(C83,'G-7 Rivers Data'!$AY$3:$AY$7,0)),"")</f>
        <v/>
      </c>
    </row>
    <row r="84" spans="2:34" ht="14" x14ac:dyDescent="0.3">
      <c r="B84" s="141">
        <v>73</v>
      </c>
      <c r="C84" s="171"/>
      <c r="D84" s="172"/>
      <c r="E84" s="498" t="str">
        <f>IF(C84="","",VLOOKUP(C84,'G-7 Rivers Data'!$B$2:$G$8,2,FALSE))</f>
        <v/>
      </c>
      <c r="F84" s="499" t="str">
        <f>IFERROR(VLOOKUP(E84,'G-7 Rivers Data'!$C$4:$D$8,2,FALSE),"")</f>
        <v/>
      </c>
      <c r="G84" s="145"/>
      <c r="H84" s="499" t="str">
        <f>IFERROR(INDEX('G-7 Rivers Data'!$H$4:$L$8,MATCH(C84,'G-7 Rivers Data'!$B$4:$B$8,0),MATCH(G84,'G-7 Rivers Data'!$H$3:$L$3,0)),"")</f>
        <v/>
      </c>
      <c r="I84" s="154"/>
      <c r="J84" s="507" t="str">
        <f>IF(I84="","",IF(VLOOKUP(I84,'G-7 Rivers Data'!$AG$4:$AI$9,2,FALSE)=0,"Spatial Data Missing ⚠",VLOOKUP(I84,'G-7 Rivers Data'!$AG$4:$AI$9,2,FALSE)))</f>
        <v/>
      </c>
      <c r="K84" s="499" t="str">
        <f>IF(I84="","",IF(VLOOKUP(I84,'G-7 Rivers Data'!$AG$4:$AI$9,3,FALSE)=0,"Spatial Data Missing ⚠",VLOOKUP(I84,'G-7 Rivers Data'!$AG$4:$AI$9,3,FALSE)))</f>
        <v/>
      </c>
      <c r="L84" s="498" t="str">
        <f>IFERROR(INDEX('G-7 Rivers Data'!$O$3:$O$7,MATCH(G84,'G-7 Rivers Data'!$N$3:$N$7,0)),"")</f>
        <v/>
      </c>
      <c r="M84" s="82"/>
      <c r="N84" s="195"/>
      <c r="O84" s="507" t="str">
        <f t="shared" si="7"/>
        <v/>
      </c>
      <c r="P84" s="521" t="str">
        <f t="shared" si="8"/>
        <v/>
      </c>
      <c r="Q84" s="564" t="str">
        <f>IFERROR(IF(P84="Check Data ⚠","Check Data ⚠",VLOOKUP(P84,'G-4 Temporal multipliers'!$A$4:$C$37,3,FALSE)),"")</f>
        <v/>
      </c>
      <c r="R84" s="498" t="str">
        <f>IF(C84="","",VLOOKUP(C84,'G-7 Rivers Data'!$B$4:$G$8,4,FALSE))</f>
        <v/>
      </c>
      <c r="S84" s="507" t="str">
        <f t="shared" si="9"/>
        <v/>
      </c>
      <c r="T84" s="540" t="str">
        <f t="shared" si="10"/>
        <v/>
      </c>
      <c r="U84" s="499" t="str">
        <f t="shared" si="11"/>
        <v/>
      </c>
      <c r="V84" s="71"/>
      <c r="W84" s="499" t="str">
        <f>IF(V84="","",IF(VLOOKUP(V84,'G-7 Rivers Data'!$AA$4:$AB$7,2,FALSE)=0,"Spatial Data Missing ⚠",VLOOKUP(V84,'G-7 Rivers Data'!$AA$4:$AB$7,2,FALSE)))</f>
        <v/>
      </c>
      <c r="X84" s="155"/>
      <c r="Y84" s="499" t="str">
        <f>IF(X84="","",IF(VLOOKUP(X84,'G-7 Rivers Data'!$AD$4:$AE$8,2,FALSE)=0,"Enrcoachment Data Missing ⚠",VLOOKUP(X84,'G-7 Rivers Data'!$AD$4:$AE$8,2,FALSE)))</f>
        <v/>
      </c>
      <c r="Z84" s="565" t="str">
        <f t="shared" si="12"/>
        <v/>
      </c>
      <c r="AA84" s="149"/>
      <c r="AB84" s="150"/>
      <c r="AH84" s="31" t="str">
        <f>IFERROR(INDEX('G-7 Rivers Data'!$AZ$3:$AZ$7,MATCH(C84,'G-7 Rivers Data'!$AY$3:$AY$7,0)),"")</f>
        <v/>
      </c>
    </row>
    <row r="85" spans="2:34" ht="14" x14ac:dyDescent="0.3">
      <c r="B85" s="141">
        <v>74</v>
      </c>
      <c r="C85" s="171"/>
      <c r="D85" s="172"/>
      <c r="E85" s="498" t="str">
        <f>IF(C85="","",VLOOKUP(C85,'G-7 Rivers Data'!$B$2:$G$8,2,FALSE))</f>
        <v/>
      </c>
      <c r="F85" s="499" t="str">
        <f>IFERROR(VLOOKUP(E85,'G-7 Rivers Data'!$C$4:$D$8,2,FALSE),"")</f>
        <v/>
      </c>
      <c r="G85" s="145"/>
      <c r="H85" s="499" t="str">
        <f>IFERROR(INDEX('G-7 Rivers Data'!$H$4:$L$8,MATCH(C85,'G-7 Rivers Data'!$B$4:$B$8,0),MATCH(G85,'G-7 Rivers Data'!$H$3:$L$3,0)),"")</f>
        <v/>
      </c>
      <c r="I85" s="154"/>
      <c r="J85" s="507" t="str">
        <f>IF(I85="","",IF(VLOOKUP(I85,'G-7 Rivers Data'!$AG$4:$AI$9,2,FALSE)=0,"Spatial Data Missing ⚠",VLOOKUP(I85,'G-7 Rivers Data'!$AG$4:$AI$9,2,FALSE)))</f>
        <v/>
      </c>
      <c r="K85" s="499" t="str">
        <f>IF(I85="","",IF(VLOOKUP(I85,'G-7 Rivers Data'!$AG$4:$AI$9,3,FALSE)=0,"Spatial Data Missing ⚠",VLOOKUP(I85,'G-7 Rivers Data'!$AG$4:$AI$9,3,FALSE)))</f>
        <v/>
      </c>
      <c r="L85" s="498" t="str">
        <f>IFERROR(INDEX('G-7 Rivers Data'!$O$3:$O$7,MATCH(G85,'G-7 Rivers Data'!$N$3:$N$7,0)),"")</f>
        <v/>
      </c>
      <c r="M85" s="82"/>
      <c r="N85" s="195"/>
      <c r="O85" s="507" t="str">
        <f t="shared" si="7"/>
        <v/>
      </c>
      <c r="P85" s="521" t="str">
        <f t="shared" si="8"/>
        <v/>
      </c>
      <c r="Q85" s="564" t="str">
        <f>IFERROR(IF(P85="Check Data ⚠","Check Data ⚠",VLOOKUP(P85,'G-4 Temporal multipliers'!$A$4:$C$37,3,FALSE)),"")</f>
        <v/>
      </c>
      <c r="R85" s="498" t="str">
        <f>IF(C85="","",VLOOKUP(C85,'G-7 Rivers Data'!$B$4:$G$8,4,FALSE))</f>
        <v/>
      </c>
      <c r="S85" s="507" t="str">
        <f t="shared" si="9"/>
        <v/>
      </c>
      <c r="T85" s="540" t="str">
        <f t="shared" si="10"/>
        <v/>
      </c>
      <c r="U85" s="499" t="str">
        <f t="shared" si="11"/>
        <v/>
      </c>
      <c r="V85" s="71"/>
      <c r="W85" s="499" t="str">
        <f>IF(V85="","",IF(VLOOKUP(V85,'G-7 Rivers Data'!$AA$4:$AB$7,2,FALSE)=0,"Spatial Data Missing ⚠",VLOOKUP(V85,'G-7 Rivers Data'!$AA$4:$AB$7,2,FALSE)))</f>
        <v/>
      </c>
      <c r="X85" s="155"/>
      <c r="Y85" s="499" t="str">
        <f>IF(X85="","",IF(VLOOKUP(X85,'G-7 Rivers Data'!$AD$4:$AE$8,2,FALSE)=0,"Enrcoachment Data Missing ⚠",VLOOKUP(X85,'G-7 Rivers Data'!$AD$4:$AE$8,2,FALSE)))</f>
        <v/>
      </c>
      <c r="Z85" s="565" t="str">
        <f t="shared" si="12"/>
        <v/>
      </c>
      <c r="AA85" s="149"/>
      <c r="AB85" s="150"/>
      <c r="AH85" s="31" t="str">
        <f>IFERROR(INDEX('G-7 Rivers Data'!$AZ$3:$AZ$7,MATCH(C85,'G-7 Rivers Data'!$AY$3:$AY$7,0)),"")</f>
        <v/>
      </c>
    </row>
    <row r="86" spans="2:34" ht="14" x14ac:dyDescent="0.3">
      <c r="B86" s="141">
        <v>75</v>
      </c>
      <c r="C86" s="171"/>
      <c r="D86" s="172"/>
      <c r="E86" s="498" t="str">
        <f>IF(C86="","",VLOOKUP(C86,'G-7 Rivers Data'!$B$2:$G$8,2,FALSE))</f>
        <v/>
      </c>
      <c r="F86" s="499" t="str">
        <f>IFERROR(VLOOKUP(E86,'G-7 Rivers Data'!$C$4:$D$8,2,FALSE),"")</f>
        <v/>
      </c>
      <c r="G86" s="145"/>
      <c r="H86" s="499" t="str">
        <f>IFERROR(INDEX('G-7 Rivers Data'!$H$4:$L$8,MATCH(C86,'G-7 Rivers Data'!$B$4:$B$8,0),MATCH(G86,'G-7 Rivers Data'!$H$3:$L$3,0)),"")</f>
        <v/>
      </c>
      <c r="I86" s="154"/>
      <c r="J86" s="507" t="str">
        <f>IF(I86="","",IF(VLOOKUP(I86,'G-7 Rivers Data'!$AG$4:$AI$9,2,FALSE)=0,"Spatial Data Missing ⚠",VLOOKUP(I86,'G-7 Rivers Data'!$AG$4:$AI$9,2,FALSE)))</f>
        <v/>
      </c>
      <c r="K86" s="499" t="str">
        <f>IF(I86="","",IF(VLOOKUP(I86,'G-7 Rivers Data'!$AG$4:$AI$9,3,FALSE)=0,"Spatial Data Missing ⚠",VLOOKUP(I86,'G-7 Rivers Data'!$AG$4:$AI$9,3,FALSE)))</f>
        <v/>
      </c>
      <c r="L86" s="498" t="str">
        <f>IFERROR(INDEX('G-7 Rivers Data'!$O$3:$O$7,MATCH(G86,'G-7 Rivers Data'!$N$3:$N$7,0)),"")</f>
        <v/>
      </c>
      <c r="M86" s="82"/>
      <c r="N86" s="195"/>
      <c r="O86" s="507" t="str">
        <f t="shared" si="7"/>
        <v/>
      </c>
      <c r="P86" s="521" t="str">
        <f t="shared" si="8"/>
        <v/>
      </c>
      <c r="Q86" s="564" t="str">
        <f>IFERROR(IF(P86="Check Data ⚠","Check Data ⚠",VLOOKUP(P86,'G-4 Temporal multipliers'!$A$4:$C$37,3,FALSE)),"")</f>
        <v/>
      </c>
      <c r="R86" s="498" t="str">
        <f>IF(C86="","",VLOOKUP(C86,'G-7 Rivers Data'!$B$4:$G$8,4,FALSE))</f>
        <v/>
      </c>
      <c r="S86" s="507" t="str">
        <f t="shared" si="9"/>
        <v/>
      </c>
      <c r="T86" s="540" t="str">
        <f t="shared" si="10"/>
        <v/>
      </c>
      <c r="U86" s="499" t="str">
        <f t="shared" si="11"/>
        <v/>
      </c>
      <c r="V86" s="71"/>
      <c r="W86" s="499" t="str">
        <f>IF(V86="","",IF(VLOOKUP(V86,'G-7 Rivers Data'!$AA$4:$AB$7,2,FALSE)=0,"Spatial Data Missing ⚠",VLOOKUP(V86,'G-7 Rivers Data'!$AA$4:$AB$7,2,FALSE)))</f>
        <v/>
      </c>
      <c r="X86" s="155"/>
      <c r="Y86" s="499" t="str">
        <f>IF(X86="","",IF(VLOOKUP(X86,'G-7 Rivers Data'!$AD$4:$AE$8,2,FALSE)=0,"Enrcoachment Data Missing ⚠",VLOOKUP(X86,'G-7 Rivers Data'!$AD$4:$AE$8,2,FALSE)))</f>
        <v/>
      </c>
      <c r="Z86" s="565" t="str">
        <f t="shared" si="12"/>
        <v/>
      </c>
      <c r="AA86" s="149"/>
      <c r="AB86" s="150"/>
      <c r="AH86" s="31" t="str">
        <f>IFERROR(INDEX('G-7 Rivers Data'!$AZ$3:$AZ$7,MATCH(C86,'G-7 Rivers Data'!$AY$3:$AY$7,0)),"")</f>
        <v/>
      </c>
    </row>
    <row r="87" spans="2:34" ht="14" x14ac:dyDescent="0.3">
      <c r="B87" s="141">
        <v>76</v>
      </c>
      <c r="C87" s="171"/>
      <c r="D87" s="172"/>
      <c r="E87" s="498" t="str">
        <f>IF(C87="","",VLOOKUP(C87,'G-7 Rivers Data'!$B$2:$G$8,2,FALSE))</f>
        <v/>
      </c>
      <c r="F87" s="499" t="str">
        <f>IFERROR(VLOOKUP(E87,'G-7 Rivers Data'!$C$4:$D$8,2,FALSE),"")</f>
        <v/>
      </c>
      <c r="G87" s="145"/>
      <c r="H87" s="499" t="str">
        <f>IFERROR(INDEX('G-7 Rivers Data'!$H$4:$L$8,MATCH(C87,'G-7 Rivers Data'!$B$4:$B$8,0),MATCH(G87,'G-7 Rivers Data'!$H$3:$L$3,0)),"")</f>
        <v/>
      </c>
      <c r="I87" s="154"/>
      <c r="J87" s="507" t="str">
        <f>IF(I87="","",IF(VLOOKUP(I87,'G-7 Rivers Data'!$AG$4:$AI$9,2,FALSE)=0,"Spatial Data Missing ⚠",VLOOKUP(I87,'G-7 Rivers Data'!$AG$4:$AI$9,2,FALSE)))</f>
        <v/>
      </c>
      <c r="K87" s="499" t="str">
        <f>IF(I87="","",IF(VLOOKUP(I87,'G-7 Rivers Data'!$AG$4:$AI$9,3,FALSE)=0,"Spatial Data Missing ⚠",VLOOKUP(I87,'G-7 Rivers Data'!$AG$4:$AI$9,3,FALSE)))</f>
        <v/>
      </c>
      <c r="L87" s="498" t="str">
        <f>IFERROR(INDEX('G-7 Rivers Data'!$O$3:$O$7,MATCH(G87,'G-7 Rivers Data'!$N$3:$N$7,0)),"")</f>
        <v/>
      </c>
      <c r="M87" s="82"/>
      <c r="N87" s="195"/>
      <c r="O87" s="507" t="str">
        <f t="shared" si="7"/>
        <v/>
      </c>
      <c r="P87" s="521" t="str">
        <f t="shared" si="8"/>
        <v/>
      </c>
      <c r="Q87" s="564" t="str">
        <f>IFERROR(IF(P87="Check Data ⚠","Check Data ⚠",VLOOKUP(P87,'G-4 Temporal multipliers'!$A$4:$C$37,3,FALSE)),"")</f>
        <v/>
      </c>
      <c r="R87" s="498" t="str">
        <f>IF(C87="","",VLOOKUP(C87,'G-7 Rivers Data'!$B$4:$G$8,4,FALSE))</f>
        <v/>
      </c>
      <c r="S87" s="507" t="str">
        <f t="shared" si="9"/>
        <v/>
      </c>
      <c r="T87" s="540" t="str">
        <f t="shared" si="10"/>
        <v/>
      </c>
      <c r="U87" s="499" t="str">
        <f t="shared" si="11"/>
        <v/>
      </c>
      <c r="V87" s="71"/>
      <c r="W87" s="499" t="str">
        <f>IF(V87="","",IF(VLOOKUP(V87,'G-7 Rivers Data'!$AA$4:$AB$7,2,FALSE)=0,"Spatial Data Missing ⚠",VLOOKUP(V87,'G-7 Rivers Data'!$AA$4:$AB$7,2,FALSE)))</f>
        <v/>
      </c>
      <c r="X87" s="155"/>
      <c r="Y87" s="499" t="str">
        <f>IF(X87="","",IF(VLOOKUP(X87,'G-7 Rivers Data'!$AD$4:$AE$8,2,FALSE)=0,"Enrcoachment Data Missing ⚠",VLOOKUP(X87,'G-7 Rivers Data'!$AD$4:$AE$8,2,FALSE)))</f>
        <v/>
      </c>
      <c r="Z87" s="565" t="str">
        <f t="shared" si="12"/>
        <v/>
      </c>
      <c r="AA87" s="149"/>
      <c r="AB87" s="150"/>
      <c r="AH87" s="31" t="str">
        <f>IFERROR(INDEX('G-7 Rivers Data'!$AZ$3:$AZ$7,MATCH(C87,'G-7 Rivers Data'!$AY$3:$AY$7,0)),"")</f>
        <v/>
      </c>
    </row>
    <row r="88" spans="2:34" ht="14" x14ac:dyDescent="0.3">
      <c r="B88" s="141">
        <v>77</v>
      </c>
      <c r="C88" s="171"/>
      <c r="D88" s="172"/>
      <c r="E88" s="498" t="str">
        <f>IF(C88="","",VLOOKUP(C88,'G-7 Rivers Data'!$B$2:$G$8,2,FALSE))</f>
        <v/>
      </c>
      <c r="F88" s="499" t="str">
        <f>IFERROR(VLOOKUP(E88,'G-7 Rivers Data'!$C$4:$D$8,2,FALSE),"")</f>
        <v/>
      </c>
      <c r="G88" s="145"/>
      <c r="H88" s="499" t="str">
        <f>IFERROR(INDEX('G-7 Rivers Data'!$H$4:$L$8,MATCH(C88,'G-7 Rivers Data'!$B$4:$B$8,0),MATCH(G88,'G-7 Rivers Data'!$H$3:$L$3,0)),"")</f>
        <v/>
      </c>
      <c r="I88" s="154"/>
      <c r="J88" s="507" t="str">
        <f>IF(I88="","",IF(VLOOKUP(I88,'G-7 Rivers Data'!$AG$4:$AI$9,2,FALSE)=0,"Spatial Data Missing ⚠",VLOOKUP(I88,'G-7 Rivers Data'!$AG$4:$AI$9,2,FALSE)))</f>
        <v/>
      </c>
      <c r="K88" s="499" t="str">
        <f>IF(I88="","",IF(VLOOKUP(I88,'G-7 Rivers Data'!$AG$4:$AI$9,3,FALSE)=0,"Spatial Data Missing ⚠",VLOOKUP(I88,'G-7 Rivers Data'!$AG$4:$AI$9,3,FALSE)))</f>
        <v/>
      </c>
      <c r="L88" s="498" t="str">
        <f>IFERROR(INDEX('G-7 Rivers Data'!$O$3:$O$7,MATCH(G88,'G-7 Rivers Data'!$N$3:$N$7,0)),"")</f>
        <v/>
      </c>
      <c r="M88" s="82"/>
      <c r="N88" s="195"/>
      <c r="O88" s="507" t="str">
        <f t="shared" si="7"/>
        <v/>
      </c>
      <c r="P88" s="521" t="str">
        <f t="shared" si="8"/>
        <v/>
      </c>
      <c r="Q88" s="564" t="str">
        <f>IFERROR(IF(P88="Check Data ⚠","Check Data ⚠",VLOOKUP(P88,'G-4 Temporal multipliers'!$A$4:$C$37,3,FALSE)),"")</f>
        <v/>
      </c>
      <c r="R88" s="498" t="str">
        <f>IF(C88="","",VLOOKUP(C88,'G-7 Rivers Data'!$B$4:$G$8,4,FALSE))</f>
        <v/>
      </c>
      <c r="S88" s="507" t="str">
        <f t="shared" si="9"/>
        <v/>
      </c>
      <c r="T88" s="540" t="str">
        <f t="shared" si="10"/>
        <v/>
      </c>
      <c r="U88" s="499" t="str">
        <f t="shared" si="11"/>
        <v/>
      </c>
      <c r="V88" s="71"/>
      <c r="W88" s="499" t="str">
        <f>IF(V88="","",IF(VLOOKUP(V88,'G-7 Rivers Data'!$AA$4:$AB$7,2,FALSE)=0,"Spatial Data Missing ⚠",VLOOKUP(V88,'G-7 Rivers Data'!$AA$4:$AB$7,2,FALSE)))</f>
        <v/>
      </c>
      <c r="X88" s="155"/>
      <c r="Y88" s="499" t="str">
        <f>IF(X88="","",IF(VLOOKUP(X88,'G-7 Rivers Data'!$AD$4:$AE$8,2,FALSE)=0,"Enrcoachment Data Missing ⚠",VLOOKUP(X88,'G-7 Rivers Data'!$AD$4:$AE$8,2,FALSE)))</f>
        <v/>
      </c>
      <c r="Z88" s="565" t="str">
        <f t="shared" si="12"/>
        <v/>
      </c>
      <c r="AA88" s="149"/>
      <c r="AB88" s="150"/>
      <c r="AH88" s="31" t="str">
        <f>IFERROR(INDEX('G-7 Rivers Data'!$AZ$3:$AZ$7,MATCH(C88,'G-7 Rivers Data'!$AY$3:$AY$7,0)),"")</f>
        <v/>
      </c>
    </row>
    <row r="89" spans="2:34" ht="14" x14ac:dyDescent="0.3">
      <c r="B89" s="141">
        <v>78</v>
      </c>
      <c r="C89" s="171"/>
      <c r="D89" s="172"/>
      <c r="E89" s="498" t="str">
        <f>IF(C89="","",VLOOKUP(C89,'G-7 Rivers Data'!$B$2:$G$8,2,FALSE))</f>
        <v/>
      </c>
      <c r="F89" s="499" t="str">
        <f>IFERROR(VLOOKUP(E89,'G-7 Rivers Data'!$C$4:$D$8,2,FALSE),"")</f>
        <v/>
      </c>
      <c r="G89" s="145"/>
      <c r="H89" s="499" t="str">
        <f>IFERROR(INDEX('G-7 Rivers Data'!$H$4:$L$8,MATCH(C89,'G-7 Rivers Data'!$B$4:$B$8,0),MATCH(G89,'G-7 Rivers Data'!$H$3:$L$3,0)),"")</f>
        <v/>
      </c>
      <c r="I89" s="154"/>
      <c r="J89" s="507" t="str">
        <f>IF(I89="","",IF(VLOOKUP(I89,'G-7 Rivers Data'!$AG$4:$AI$9,2,FALSE)=0,"Spatial Data Missing ⚠",VLOOKUP(I89,'G-7 Rivers Data'!$AG$4:$AI$9,2,FALSE)))</f>
        <v/>
      </c>
      <c r="K89" s="499" t="str">
        <f>IF(I89="","",IF(VLOOKUP(I89,'G-7 Rivers Data'!$AG$4:$AI$9,3,FALSE)=0,"Spatial Data Missing ⚠",VLOOKUP(I89,'G-7 Rivers Data'!$AG$4:$AI$9,3,FALSE)))</f>
        <v/>
      </c>
      <c r="L89" s="498" t="str">
        <f>IFERROR(INDEX('G-7 Rivers Data'!$O$3:$O$7,MATCH(G89,'G-7 Rivers Data'!$N$3:$N$7,0)),"")</f>
        <v/>
      </c>
      <c r="M89" s="82"/>
      <c r="N89" s="195"/>
      <c r="O89" s="507" t="str">
        <f t="shared" si="7"/>
        <v/>
      </c>
      <c r="P89" s="521" t="str">
        <f t="shared" si="8"/>
        <v/>
      </c>
      <c r="Q89" s="564" t="str">
        <f>IFERROR(IF(P89="Check Data ⚠","Check Data ⚠",VLOOKUP(P89,'G-4 Temporal multipliers'!$A$4:$C$37,3,FALSE)),"")</f>
        <v/>
      </c>
      <c r="R89" s="498" t="str">
        <f>IF(C89="","",VLOOKUP(C89,'G-7 Rivers Data'!$B$4:$G$8,4,FALSE))</f>
        <v/>
      </c>
      <c r="S89" s="507" t="str">
        <f t="shared" si="9"/>
        <v/>
      </c>
      <c r="T89" s="540" t="str">
        <f t="shared" si="10"/>
        <v/>
      </c>
      <c r="U89" s="499" t="str">
        <f t="shared" si="11"/>
        <v/>
      </c>
      <c r="V89" s="71"/>
      <c r="W89" s="499" t="str">
        <f>IF(V89="","",IF(VLOOKUP(V89,'G-7 Rivers Data'!$AA$4:$AB$7,2,FALSE)=0,"Spatial Data Missing ⚠",VLOOKUP(V89,'G-7 Rivers Data'!$AA$4:$AB$7,2,FALSE)))</f>
        <v/>
      </c>
      <c r="X89" s="155"/>
      <c r="Y89" s="499" t="str">
        <f>IF(X89="","",IF(VLOOKUP(X89,'G-7 Rivers Data'!$AD$4:$AE$8,2,FALSE)=0,"Enrcoachment Data Missing ⚠",VLOOKUP(X89,'G-7 Rivers Data'!$AD$4:$AE$8,2,FALSE)))</f>
        <v/>
      </c>
      <c r="Z89" s="565" t="str">
        <f t="shared" si="12"/>
        <v/>
      </c>
      <c r="AA89" s="149"/>
      <c r="AB89" s="150"/>
      <c r="AH89" s="31" t="str">
        <f>IFERROR(INDEX('G-7 Rivers Data'!$AZ$3:$AZ$7,MATCH(C89,'G-7 Rivers Data'!$AY$3:$AY$7,0)),"")</f>
        <v/>
      </c>
    </row>
    <row r="90" spans="2:34" ht="14" x14ac:dyDescent="0.3">
      <c r="B90" s="141">
        <v>79</v>
      </c>
      <c r="C90" s="171"/>
      <c r="D90" s="172"/>
      <c r="E90" s="498" t="str">
        <f>IF(C90="","",VLOOKUP(C90,'G-7 Rivers Data'!$B$2:$G$8,2,FALSE))</f>
        <v/>
      </c>
      <c r="F90" s="499" t="str">
        <f>IFERROR(VLOOKUP(E90,'G-7 Rivers Data'!$C$4:$D$8,2,FALSE),"")</f>
        <v/>
      </c>
      <c r="G90" s="145"/>
      <c r="H90" s="499" t="str">
        <f>IFERROR(INDEX('G-7 Rivers Data'!$H$4:$L$8,MATCH(C90,'G-7 Rivers Data'!$B$4:$B$8,0),MATCH(G90,'G-7 Rivers Data'!$H$3:$L$3,0)),"")</f>
        <v/>
      </c>
      <c r="I90" s="154"/>
      <c r="J90" s="507" t="str">
        <f>IF(I90="","",IF(VLOOKUP(I90,'G-7 Rivers Data'!$AG$4:$AI$9,2,FALSE)=0,"Spatial Data Missing ⚠",VLOOKUP(I90,'G-7 Rivers Data'!$AG$4:$AI$9,2,FALSE)))</f>
        <v/>
      </c>
      <c r="K90" s="499" t="str">
        <f>IF(I90="","",IF(VLOOKUP(I90,'G-7 Rivers Data'!$AG$4:$AI$9,3,FALSE)=0,"Spatial Data Missing ⚠",VLOOKUP(I90,'G-7 Rivers Data'!$AG$4:$AI$9,3,FALSE)))</f>
        <v/>
      </c>
      <c r="L90" s="498" t="str">
        <f>IFERROR(INDEX('G-7 Rivers Data'!$O$3:$O$7,MATCH(G90,'G-7 Rivers Data'!$N$3:$N$7,0)),"")</f>
        <v/>
      </c>
      <c r="M90" s="82"/>
      <c r="N90" s="195"/>
      <c r="O90" s="507" t="str">
        <f t="shared" si="7"/>
        <v/>
      </c>
      <c r="P90" s="521" t="str">
        <f t="shared" si="8"/>
        <v/>
      </c>
      <c r="Q90" s="564" t="str">
        <f>IFERROR(IF(P90="Check Data ⚠","Check Data ⚠",VLOOKUP(P90,'G-4 Temporal multipliers'!$A$4:$C$37,3,FALSE)),"")</f>
        <v/>
      </c>
      <c r="R90" s="498" t="str">
        <f>IF(C90="","",VLOOKUP(C90,'G-7 Rivers Data'!$B$4:$G$8,4,FALSE))</f>
        <v/>
      </c>
      <c r="S90" s="507" t="str">
        <f t="shared" si="9"/>
        <v/>
      </c>
      <c r="T90" s="540" t="str">
        <f t="shared" si="10"/>
        <v/>
      </c>
      <c r="U90" s="499" t="str">
        <f t="shared" si="11"/>
        <v/>
      </c>
      <c r="V90" s="71"/>
      <c r="W90" s="499" t="str">
        <f>IF(V90="","",IF(VLOOKUP(V90,'G-7 Rivers Data'!$AA$4:$AB$7,2,FALSE)=0,"Spatial Data Missing ⚠",VLOOKUP(V90,'G-7 Rivers Data'!$AA$4:$AB$7,2,FALSE)))</f>
        <v/>
      </c>
      <c r="X90" s="155"/>
      <c r="Y90" s="499" t="str">
        <f>IF(X90="","",IF(VLOOKUP(X90,'G-7 Rivers Data'!$AD$4:$AE$8,2,FALSE)=0,"Enrcoachment Data Missing ⚠",VLOOKUP(X90,'G-7 Rivers Data'!$AD$4:$AE$8,2,FALSE)))</f>
        <v/>
      </c>
      <c r="Z90" s="565" t="str">
        <f t="shared" si="12"/>
        <v/>
      </c>
      <c r="AA90" s="149"/>
      <c r="AB90" s="150"/>
      <c r="AH90" s="31" t="str">
        <f>IFERROR(INDEX('G-7 Rivers Data'!$AZ$3:$AZ$7,MATCH(C90,'G-7 Rivers Data'!$AY$3:$AY$7,0)),"")</f>
        <v/>
      </c>
    </row>
    <row r="91" spans="2:34" ht="14" x14ac:dyDescent="0.3">
      <c r="B91" s="141">
        <v>80</v>
      </c>
      <c r="C91" s="171"/>
      <c r="D91" s="172"/>
      <c r="E91" s="498" t="str">
        <f>IF(C91="","",VLOOKUP(C91,'G-7 Rivers Data'!$B$2:$G$8,2,FALSE))</f>
        <v/>
      </c>
      <c r="F91" s="499" t="str">
        <f>IFERROR(VLOOKUP(E91,'G-7 Rivers Data'!$C$4:$D$8,2,FALSE),"")</f>
        <v/>
      </c>
      <c r="G91" s="145"/>
      <c r="H91" s="499" t="str">
        <f>IFERROR(INDEX('G-7 Rivers Data'!$H$4:$L$8,MATCH(C91,'G-7 Rivers Data'!$B$4:$B$8,0),MATCH(G91,'G-7 Rivers Data'!$H$3:$L$3,0)),"")</f>
        <v/>
      </c>
      <c r="I91" s="154"/>
      <c r="J91" s="507" t="str">
        <f>IF(I91="","",IF(VLOOKUP(I91,'G-7 Rivers Data'!$AG$4:$AI$9,2,FALSE)=0,"Spatial Data Missing ⚠",VLOOKUP(I91,'G-7 Rivers Data'!$AG$4:$AI$9,2,FALSE)))</f>
        <v/>
      </c>
      <c r="K91" s="499" t="str">
        <f>IF(I91="","",IF(VLOOKUP(I91,'G-7 Rivers Data'!$AG$4:$AI$9,3,FALSE)=0,"Spatial Data Missing ⚠",VLOOKUP(I91,'G-7 Rivers Data'!$AG$4:$AI$9,3,FALSE)))</f>
        <v/>
      </c>
      <c r="L91" s="498" t="str">
        <f>IFERROR(INDEX('G-7 Rivers Data'!$O$3:$O$7,MATCH(G91,'G-7 Rivers Data'!$N$3:$N$7,0)),"")</f>
        <v/>
      </c>
      <c r="M91" s="82"/>
      <c r="N91" s="195"/>
      <c r="O91" s="507" t="str">
        <f t="shared" si="7"/>
        <v/>
      </c>
      <c r="P91" s="521" t="str">
        <f t="shared" si="8"/>
        <v/>
      </c>
      <c r="Q91" s="564" t="str">
        <f>IFERROR(IF(P91="Check Data ⚠","Check Data ⚠",VLOOKUP(P91,'G-4 Temporal multipliers'!$A$4:$C$37,3,FALSE)),"")</f>
        <v/>
      </c>
      <c r="R91" s="498" t="str">
        <f>IF(C91="","",VLOOKUP(C91,'G-7 Rivers Data'!$B$4:$G$8,4,FALSE))</f>
        <v/>
      </c>
      <c r="S91" s="507" t="str">
        <f t="shared" si="9"/>
        <v/>
      </c>
      <c r="T91" s="540" t="str">
        <f t="shared" si="10"/>
        <v/>
      </c>
      <c r="U91" s="499" t="str">
        <f t="shared" si="11"/>
        <v/>
      </c>
      <c r="V91" s="71"/>
      <c r="W91" s="499" t="str">
        <f>IF(V91="","",IF(VLOOKUP(V91,'G-7 Rivers Data'!$AA$4:$AB$7,2,FALSE)=0,"Spatial Data Missing ⚠",VLOOKUP(V91,'G-7 Rivers Data'!$AA$4:$AB$7,2,FALSE)))</f>
        <v/>
      </c>
      <c r="X91" s="155"/>
      <c r="Y91" s="499" t="str">
        <f>IF(X91="","",IF(VLOOKUP(X91,'G-7 Rivers Data'!$AD$4:$AE$8,2,FALSE)=0,"Enrcoachment Data Missing ⚠",VLOOKUP(X91,'G-7 Rivers Data'!$AD$4:$AE$8,2,FALSE)))</f>
        <v/>
      </c>
      <c r="Z91" s="565" t="str">
        <f t="shared" si="12"/>
        <v/>
      </c>
      <c r="AA91" s="149"/>
      <c r="AB91" s="150"/>
      <c r="AH91" s="31" t="str">
        <f>IFERROR(INDEX('G-7 Rivers Data'!$AZ$3:$AZ$7,MATCH(C91,'G-7 Rivers Data'!$AY$3:$AY$7,0)),"")</f>
        <v/>
      </c>
    </row>
    <row r="92" spans="2:34" ht="14" x14ac:dyDescent="0.3">
      <c r="B92" s="141">
        <v>81</v>
      </c>
      <c r="C92" s="171"/>
      <c r="D92" s="172"/>
      <c r="E92" s="498" t="str">
        <f>IF(C92="","",VLOOKUP(C92,'G-7 Rivers Data'!$B$2:$G$8,2,FALSE))</f>
        <v/>
      </c>
      <c r="F92" s="499" t="str">
        <f>IFERROR(VLOOKUP(E92,'G-7 Rivers Data'!$C$4:$D$8,2,FALSE),"")</f>
        <v/>
      </c>
      <c r="G92" s="145"/>
      <c r="H92" s="499" t="str">
        <f>IFERROR(INDEX('G-7 Rivers Data'!$H$4:$L$8,MATCH(C92,'G-7 Rivers Data'!$B$4:$B$8,0),MATCH(G92,'G-7 Rivers Data'!$H$3:$L$3,0)),"")</f>
        <v/>
      </c>
      <c r="I92" s="154"/>
      <c r="J92" s="507" t="str">
        <f>IF(I92="","",IF(VLOOKUP(I92,'G-7 Rivers Data'!$AG$4:$AI$9,2,FALSE)=0,"Spatial Data Missing ⚠",VLOOKUP(I92,'G-7 Rivers Data'!$AG$4:$AI$9,2,FALSE)))</f>
        <v/>
      </c>
      <c r="K92" s="499" t="str">
        <f>IF(I92="","",IF(VLOOKUP(I92,'G-7 Rivers Data'!$AG$4:$AI$9,3,FALSE)=0,"Spatial Data Missing ⚠",VLOOKUP(I92,'G-7 Rivers Data'!$AG$4:$AI$9,3,FALSE)))</f>
        <v/>
      </c>
      <c r="L92" s="498" t="str">
        <f>IFERROR(INDEX('G-7 Rivers Data'!$O$3:$O$7,MATCH(G92,'G-7 Rivers Data'!$N$3:$N$7,0)),"")</f>
        <v/>
      </c>
      <c r="M92" s="82"/>
      <c r="N92" s="195"/>
      <c r="O92" s="507" t="str">
        <f t="shared" si="7"/>
        <v/>
      </c>
      <c r="P92" s="521" t="str">
        <f t="shared" si="8"/>
        <v/>
      </c>
      <c r="Q92" s="564" t="str">
        <f>IFERROR(IF(P92="Check Data ⚠","Check Data ⚠",VLOOKUP(P92,'G-4 Temporal multipliers'!$A$4:$C$37,3,FALSE)),"")</f>
        <v/>
      </c>
      <c r="R92" s="498" t="str">
        <f>IF(C92="","",VLOOKUP(C92,'G-7 Rivers Data'!$B$4:$G$8,4,FALSE))</f>
        <v/>
      </c>
      <c r="S92" s="507" t="str">
        <f t="shared" si="9"/>
        <v/>
      </c>
      <c r="T92" s="540" t="str">
        <f t="shared" si="10"/>
        <v/>
      </c>
      <c r="U92" s="499" t="str">
        <f t="shared" si="11"/>
        <v/>
      </c>
      <c r="V92" s="71"/>
      <c r="W92" s="499" t="str">
        <f>IF(V92="","",IF(VLOOKUP(V92,'G-7 Rivers Data'!$AA$4:$AB$7,2,FALSE)=0,"Spatial Data Missing ⚠",VLOOKUP(V92,'G-7 Rivers Data'!$AA$4:$AB$7,2,FALSE)))</f>
        <v/>
      </c>
      <c r="X92" s="155"/>
      <c r="Y92" s="499" t="str">
        <f>IF(X92="","",IF(VLOOKUP(X92,'G-7 Rivers Data'!$AD$4:$AE$8,2,FALSE)=0,"Enrcoachment Data Missing ⚠",VLOOKUP(X92,'G-7 Rivers Data'!$AD$4:$AE$8,2,FALSE)))</f>
        <v/>
      </c>
      <c r="Z92" s="565" t="str">
        <f t="shared" si="12"/>
        <v/>
      </c>
      <c r="AA92" s="149"/>
      <c r="AB92" s="150"/>
      <c r="AH92" s="31" t="str">
        <f>IFERROR(INDEX('G-7 Rivers Data'!$AZ$3:$AZ$7,MATCH(C92,'G-7 Rivers Data'!$AY$3:$AY$7,0)),"")</f>
        <v/>
      </c>
    </row>
    <row r="93" spans="2:34" ht="14" x14ac:dyDescent="0.3">
      <c r="B93" s="141">
        <v>82</v>
      </c>
      <c r="C93" s="171"/>
      <c r="D93" s="172"/>
      <c r="E93" s="498" t="str">
        <f>IF(C93="","",VLOOKUP(C93,'G-7 Rivers Data'!$B$2:$G$8,2,FALSE))</f>
        <v/>
      </c>
      <c r="F93" s="499" t="str">
        <f>IFERROR(VLOOKUP(E93,'G-7 Rivers Data'!$C$4:$D$8,2,FALSE),"")</f>
        <v/>
      </c>
      <c r="G93" s="145"/>
      <c r="H93" s="499" t="str">
        <f>IFERROR(INDEX('G-7 Rivers Data'!$H$4:$L$8,MATCH(C93,'G-7 Rivers Data'!$B$4:$B$8,0),MATCH(G93,'G-7 Rivers Data'!$H$3:$L$3,0)),"")</f>
        <v/>
      </c>
      <c r="I93" s="154"/>
      <c r="J93" s="507" t="str">
        <f>IF(I93="","",IF(VLOOKUP(I93,'G-7 Rivers Data'!$AG$4:$AI$9,2,FALSE)=0,"Spatial Data Missing ⚠",VLOOKUP(I93,'G-7 Rivers Data'!$AG$4:$AI$9,2,FALSE)))</f>
        <v/>
      </c>
      <c r="K93" s="499" t="str">
        <f>IF(I93="","",IF(VLOOKUP(I93,'G-7 Rivers Data'!$AG$4:$AI$9,3,FALSE)=0,"Spatial Data Missing ⚠",VLOOKUP(I93,'G-7 Rivers Data'!$AG$4:$AI$9,3,FALSE)))</f>
        <v/>
      </c>
      <c r="L93" s="498" t="str">
        <f>IFERROR(INDEX('G-7 Rivers Data'!$O$3:$O$7,MATCH(G93,'G-7 Rivers Data'!$N$3:$N$7,0)),"")</f>
        <v/>
      </c>
      <c r="M93" s="82"/>
      <c r="N93" s="195"/>
      <c r="O93" s="507" t="str">
        <f t="shared" si="7"/>
        <v/>
      </c>
      <c r="P93" s="521" t="str">
        <f t="shared" si="8"/>
        <v/>
      </c>
      <c r="Q93" s="564" t="str">
        <f>IFERROR(IF(P93="Check Data ⚠","Check Data ⚠",VLOOKUP(P93,'G-4 Temporal multipliers'!$A$4:$C$37,3,FALSE)),"")</f>
        <v/>
      </c>
      <c r="R93" s="498" t="str">
        <f>IF(C93="","",VLOOKUP(C93,'G-7 Rivers Data'!$B$4:$G$8,4,FALSE))</f>
        <v/>
      </c>
      <c r="S93" s="507" t="str">
        <f t="shared" si="9"/>
        <v/>
      </c>
      <c r="T93" s="540" t="str">
        <f t="shared" si="10"/>
        <v/>
      </c>
      <c r="U93" s="499" t="str">
        <f t="shared" si="11"/>
        <v/>
      </c>
      <c r="V93" s="71"/>
      <c r="W93" s="499" t="str">
        <f>IF(V93="","",IF(VLOOKUP(V93,'G-7 Rivers Data'!$AA$4:$AB$7,2,FALSE)=0,"Spatial Data Missing ⚠",VLOOKUP(V93,'G-7 Rivers Data'!$AA$4:$AB$7,2,FALSE)))</f>
        <v/>
      </c>
      <c r="X93" s="155"/>
      <c r="Y93" s="499" t="str">
        <f>IF(X93="","",IF(VLOOKUP(X93,'G-7 Rivers Data'!$AD$4:$AE$8,2,FALSE)=0,"Enrcoachment Data Missing ⚠",VLOOKUP(X93,'G-7 Rivers Data'!$AD$4:$AE$8,2,FALSE)))</f>
        <v/>
      </c>
      <c r="Z93" s="565" t="str">
        <f t="shared" si="12"/>
        <v/>
      </c>
      <c r="AA93" s="149"/>
      <c r="AB93" s="150"/>
      <c r="AH93" s="31" t="str">
        <f>IFERROR(INDEX('G-7 Rivers Data'!$AZ$3:$AZ$7,MATCH(C93,'G-7 Rivers Data'!$AY$3:$AY$7,0)),"")</f>
        <v/>
      </c>
    </row>
    <row r="94" spans="2:34" ht="14" x14ac:dyDescent="0.3">
      <c r="B94" s="141">
        <v>83</v>
      </c>
      <c r="C94" s="171"/>
      <c r="D94" s="172"/>
      <c r="E94" s="498" t="str">
        <f>IF(C94="","",VLOOKUP(C94,'G-7 Rivers Data'!$B$2:$G$8,2,FALSE))</f>
        <v/>
      </c>
      <c r="F94" s="499" t="str">
        <f>IFERROR(VLOOKUP(E94,'G-7 Rivers Data'!$C$4:$D$8,2,FALSE),"")</f>
        <v/>
      </c>
      <c r="G94" s="145"/>
      <c r="H94" s="499" t="str">
        <f>IFERROR(INDEX('G-7 Rivers Data'!$H$4:$L$8,MATCH(C94,'G-7 Rivers Data'!$B$4:$B$8,0),MATCH(G94,'G-7 Rivers Data'!$H$3:$L$3,0)),"")</f>
        <v/>
      </c>
      <c r="I94" s="154"/>
      <c r="J94" s="507" t="str">
        <f>IF(I94="","",IF(VLOOKUP(I94,'G-7 Rivers Data'!$AG$4:$AI$9,2,FALSE)=0,"Spatial Data Missing ⚠",VLOOKUP(I94,'G-7 Rivers Data'!$AG$4:$AI$9,2,FALSE)))</f>
        <v/>
      </c>
      <c r="K94" s="499" t="str">
        <f>IF(I94="","",IF(VLOOKUP(I94,'G-7 Rivers Data'!$AG$4:$AI$9,3,FALSE)=0,"Spatial Data Missing ⚠",VLOOKUP(I94,'G-7 Rivers Data'!$AG$4:$AI$9,3,FALSE)))</f>
        <v/>
      </c>
      <c r="L94" s="498" t="str">
        <f>IFERROR(INDEX('G-7 Rivers Data'!$O$3:$O$7,MATCH(G94,'G-7 Rivers Data'!$N$3:$N$7,0)),"")</f>
        <v/>
      </c>
      <c r="M94" s="82"/>
      <c r="N94" s="195"/>
      <c r="O94" s="507" t="str">
        <f t="shared" si="7"/>
        <v/>
      </c>
      <c r="P94" s="521" t="str">
        <f t="shared" si="8"/>
        <v/>
      </c>
      <c r="Q94" s="564" t="str">
        <f>IFERROR(IF(P94="Check Data ⚠","Check Data ⚠",VLOOKUP(P94,'G-4 Temporal multipliers'!$A$4:$C$37,3,FALSE)),"")</f>
        <v/>
      </c>
      <c r="R94" s="498" t="str">
        <f>IF(C94="","",VLOOKUP(C94,'G-7 Rivers Data'!$B$4:$G$8,4,FALSE))</f>
        <v/>
      </c>
      <c r="S94" s="507" t="str">
        <f t="shared" si="9"/>
        <v/>
      </c>
      <c r="T94" s="540" t="str">
        <f t="shared" si="10"/>
        <v/>
      </c>
      <c r="U94" s="499" t="str">
        <f t="shared" si="11"/>
        <v/>
      </c>
      <c r="V94" s="71"/>
      <c r="W94" s="499" t="str">
        <f>IF(V94="","",IF(VLOOKUP(V94,'G-7 Rivers Data'!$AA$4:$AB$7,2,FALSE)=0,"Spatial Data Missing ⚠",VLOOKUP(V94,'G-7 Rivers Data'!$AA$4:$AB$7,2,FALSE)))</f>
        <v/>
      </c>
      <c r="X94" s="155"/>
      <c r="Y94" s="499" t="str">
        <f>IF(X94="","",IF(VLOOKUP(X94,'G-7 Rivers Data'!$AD$4:$AE$8,2,FALSE)=0,"Enrcoachment Data Missing ⚠",VLOOKUP(X94,'G-7 Rivers Data'!$AD$4:$AE$8,2,FALSE)))</f>
        <v/>
      </c>
      <c r="Z94" s="565" t="str">
        <f t="shared" si="12"/>
        <v/>
      </c>
      <c r="AA94" s="149"/>
      <c r="AB94" s="150"/>
      <c r="AH94" s="31" t="str">
        <f>IFERROR(INDEX('G-7 Rivers Data'!$AZ$3:$AZ$7,MATCH(C94,'G-7 Rivers Data'!$AY$3:$AY$7,0)),"")</f>
        <v/>
      </c>
    </row>
    <row r="95" spans="2:34" ht="14" x14ac:dyDescent="0.3">
      <c r="B95" s="141">
        <v>84</v>
      </c>
      <c r="C95" s="171"/>
      <c r="D95" s="172"/>
      <c r="E95" s="498" t="str">
        <f>IF(C95="","",VLOOKUP(C95,'G-7 Rivers Data'!$B$2:$G$8,2,FALSE))</f>
        <v/>
      </c>
      <c r="F95" s="499" t="str">
        <f>IFERROR(VLOOKUP(E95,'G-7 Rivers Data'!$C$4:$D$8,2,FALSE),"")</f>
        <v/>
      </c>
      <c r="G95" s="145"/>
      <c r="H95" s="499" t="str">
        <f>IFERROR(INDEX('G-7 Rivers Data'!$H$4:$L$8,MATCH(C95,'G-7 Rivers Data'!$B$4:$B$8,0),MATCH(G95,'G-7 Rivers Data'!$H$3:$L$3,0)),"")</f>
        <v/>
      </c>
      <c r="I95" s="154"/>
      <c r="J95" s="507" t="str">
        <f>IF(I95="","",IF(VLOOKUP(I95,'G-7 Rivers Data'!$AG$4:$AI$9,2,FALSE)=0,"Spatial Data Missing ⚠",VLOOKUP(I95,'G-7 Rivers Data'!$AG$4:$AI$9,2,FALSE)))</f>
        <v/>
      </c>
      <c r="K95" s="499" t="str">
        <f>IF(I95="","",IF(VLOOKUP(I95,'G-7 Rivers Data'!$AG$4:$AI$9,3,FALSE)=0,"Spatial Data Missing ⚠",VLOOKUP(I95,'G-7 Rivers Data'!$AG$4:$AI$9,3,FALSE)))</f>
        <v/>
      </c>
      <c r="L95" s="498" t="str">
        <f>IFERROR(INDEX('G-7 Rivers Data'!$O$3:$O$7,MATCH(G95,'G-7 Rivers Data'!$N$3:$N$7,0)),"")</f>
        <v/>
      </c>
      <c r="M95" s="82"/>
      <c r="N95" s="195"/>
      <c r="O95" s="507" t="str">
        <f t="shared" si="7"/>
        <v/>
      </c>
      <c r="P95" s="521" t="str">
        <f t="shared" si="8"/>
        <v/>
      </c>
      <c r="Q95" s="564" t="str">
        <f>IFERROR(IF(P95="Check Data ⚠","Check Data ⚠",VLOOKUP(P95,'G-4 Temporal multipliers'!$A$4:$C$37,3,FALSE)),"")</f>
        <v/>
      </c>
      <c r="R95" s="498" t="str">
        <f>IF(C95="","",VLOOKUP(C95,'G-7 Rivers Data'!$B$4:$G$8,4,FALSE))</f>
        <v/>
      </c>
      <c r="S95" s="507" t="str">
        <f t="shared" si="9"/>
        <v/>
      </c>
      <c r="T95" s="540" t="str">
        <f t="shared" si="10"/>
        <v/>
      </c>
      <c r="U95" s="499" t="str">
        <f t="shared" si="11"/>
        <v/>
      </c>
      <c r="V95" s="71"/>
      <c r="W95" s="499" t="str">
        <f>IF(V95="","",IF(VLOOKUP(V95,'G-7 Rivers Data'!$AA$4:$AB$7,2,FALSE)=0,"Spatial Data Missing ⚠",VLOOKUP(V95,'G-7 Rivers Data'!$AA$4:$AB$7,2,FALSE)))</f>
        <v/>
      </c>
      <c r="X95" s="155"/>
      <c r="Y95" s="499" t="str">
        <f>IF(X95="","",IF(VLOOKUP(X95,'G-7 Rivers Data'!$AD$4:$AE$8,2,FALSE)=0,"Enrcoachment Data Missing ⚠",VLOOKUP(X95,'G-7 Rivers Data'!$AD$4:$AE$8,2,FALSE)))</f>
        <v/>
      </c>
      <c r="Z95" s="565" t="str">
        <f t="shared" si="12"/>
        <v/>
      </c>
      <c r="AA95" s="149"/>
      <c r="AB95" s="150"/>
      <c r="AH95" s="31" t="str">
        <f>IFERROR(INDEX('G-7 Rivers Data'!$AZ$3:$AZ$7,MATCH(C95,'G-7 Rivers Data'!$AY$3:$AY$7,0)),"")</f>
        <v/>
      </c>
    </row>
    <row r="96" spans="2:34" ht="14" x14ac:dyDescent="0.3">
      <c r="B96" s="141">
        <v>85</v>
      </c>
      <c r="C96" s="171"/>
      <c r="D96" s="172"/>
      <c r="E96" s="498" t="str">
        <f>IF(C96="","",VLOOKUP(C96,'G-7 Rivers Data'!$B$2:$G$8,2,FALSE))</f>
        <v/>
      </c>
      <c r="F96" s="499" t="str">
        <f>IFERROR(VLOOKUP(E96,'G-7 Rivers Data'!$C$4:$D$8,2,FALSE),"")</f>
        <v/>
      </c>
      <c r="G96" s="145"/>
      <c r="H96" s="499" t="str">
        <f>IFERROR(INDEX('G-7 Rivers Data'!$H$4:$L$8,MATCH(C96,'G-7 Rivers Data'!$B$4:$B$8,0),MATCH(G96,'G-7 Rivers Data'!$H$3:$L$3,0)),"")</f>
        <v/>
      </c>
      <c r="I96" s="154"/>
      <c r="J96" s="507" t="str">
        <f>IF(I96="","",IF(VLOOKUP(I96,'G-7 Rivers Data'!$AG$4:$AI$9,2,FALSE)=0,"Spatial Data Missing ⚠",VLOOKUP(I96,'G-7 Rivers Data'!$AG$4:$AI$9,2,FALSE)))</f>
        <v/>
      </c>
      <c r="K96" s="499" t="str">
        <f>IF(I96="","",IF(VLOOKUP(I96,'G-7 Rivers Data'!$AG$4:$AI$9,3,FALSE)=0,"Spatial Data Missing ⚠",VLOOKUP(I96,'G-7 Rivers Data'!$AG$4:$AI$9,3,FALSE)))</f>
        <v/>
      </c>
      <c r="L96" s="498" t="str">
        <f>IFERROR(INDEX('G-7 Rivers Data'!$O$3:$O$7,MATCH(G96,'G-7 Rivers Data'!$N$3:$N$7,0)),"")</f>
        <v/>
      </c>
      <c r="M96" s="82"/>
      <c r="N96" s="195"/>
      <c r="O96" s="507" t="str">
        <f t="shared" si="7"/>
        <v/>
      </c>
      <c r="P96" s="521" t="str">
        <f t="shared" si="8"/>
        <v/>
      </c>
      <c r="Q96" s="564" t="str">
        <f>IFERROR(IF(P96="Check Data ⚠","Check Data ⚠",VLOOKUP(P96,'G-4 Temporal multipliers'!$A$4:$C$37,3,FALSE)),"")</f>
        <v/>
      </c>
      <c r="R96" s="498" t="str">
        <f>IF(C96="","",VLOOKUP(C96,'G-7 Rivers Data'!$B$4:$G$8,4,FALSE))</f>
        <v/>
      </c>
      <c r="S96" s="507" t="str">
        <f t="shared" si="9"/>
        <v/>
      </c>
      <c r="T96" s="540" t="str">
        <f t="shared" si="10"/>
        <v/>
      </c>
      <c r="U96" s="499" t="str">
        <f t="shared" si="11"/>
        <v/>
      </c>
      <c r="V96" s="71"/>
      <c r="W96" s="499" t="str">
        <f>IF(V96="","",IF(VLOOKUP(V96,'G-7 Rivers Data'!$AA$4:$AB$7,2,FALSE)=0,"Spatial Data Missing ⚠",VLOOKUP(V96,'G-7 Rivers Data'!$AA$4:$AB$7,2,FALSE)))</f>
        <v/>
      </c>
      <c r="X96" s="155"/>
      <c r="Y96" s="499" t="str">
        <f>IF(X96="","",IF(VLOOKUP(X96,'G-7 Rivers Data'!$AD$4:$AE$8,2,FALSE)=0,"Enrcoachment Data Missing ⚠",VLOOKUP(X96,'G-7 Rivers Data'!$AD$4:$AE$8,2,FALSE)))</f>
        <v/>
      </c>
      <c r="Z96" s="565" t="str">
        <f t="shared" si="12"/>
        <v/>
      </c>
      <c r="AA96" s="149"/>
      <c r="AB96" s="150"/>
      <c r="AH96" s="31" t="str">
        <f>IFERROR(INDEX('G-7 Rivers Data'!$AZ$3:$AZ$7,MATCH(C96,'G-7 Rivers Data'!$AY$3:$AY$7,0)),"")</f>
        <v/>
      </c>
    </row>
    <row r="97" spans="2:34" ht="14" x14ac:dyDescent="0.3">
      <c r="B97" s="141">
        <v>86</v>
      </c>
      <c r="C97" s="171"/>
      <c r="D97" s="172"/>
      <c r="E97" s="498" t="str">
        <f>IF(C97="","",VLOOKUP(C97,'G-7 Rivers Data'!$B$2:$G$8,2,FALSE))</f>
        <v/>
      </c>
      <c r="F97" s="499" t="str">
        <f>IFERROR(VLOOKUP(E97,'G-7 Rivers Data'!$C$4:$D$8,2,FALSE),"")</f>
        <v/>
      </c>
      <c r="G97" s="145"/>
      <c r="H97" s="499" t="str">
        <f>IFERROR(INDEX('G-7 Rivers Data'!$H$4:$L$8,MATCH(C97,'G-7 Rivers Data'!$B$4:$B$8,0),MATCH(G97,'G-7 Rivers Data'!$H$3:$L$3,0)),"")</f>
        <v/>
      </c>
      <c r="I97" s="154"/>
      <c r="J97" s="507" t="str">
        <f>IF(I97="","",IF(VLOOKUP(I97,'G-7 Rivers Data'!$AG$4:$AI$9,2,FALSE)=0,"Spatial Data Missing ⚠",VLOOKUP(I97,'G-7 Rivers Data'!$AG$4:$AI$9,2,FALSE)))</f>
        <v/>
      </c>
      <c r="K97" s="499" t="str">
        <f>IF(I97="","",IF(VLOOKUP(I97,'G-7 Rivers Data'!$AG$4:$AI$9,3,FALSE)=0,"Spatial Data Missing ⚠",VLOOKUP(I97,'G-7 Rivers Data'!$AG$4:$AI$9,3,FALSE)))</f>
        <v/>
      </c>
      <c r="L97" s="498" t="str">
        <f>IFERROR(INDEX('G-7 Rivers Data'!$O$3:$O$7,MATCH(G97,'G-7 Rivers Data'!$N$3:$N$7,0)),"")</f>
        <v/>
      </c>
      <c r="M97" s="82"/>
      <c r="N97" s="195"/>
      <c r="O97" s="507" t="str">
        <f t="shared" si="7"/>
        <v/>
      </c>
      <c r="P97" s="521" t="str">
        <f t="shared" si="8"/>
        <v/>
      </c>
      <c r="Q97" s="564" t="str">
        <f>IFERROR(IF(P97="Check Data ⚠","Check Data ⚠",VLOOKUP(P97,'G-4 Temporal multipliers'!$A$4:$C$37,3,FALSE)),"")</f>
        <v/>
      </c>
      <c r="R97" s="498" t="str">
        <f>IF(C97="","",VLOOKUP(C97,'G-7 Rivers Data'!$B$4:$G$8,4,FALSE))</f>
        <v/>
      </c>
      <c r="S97" s="507" t="str">
        <f t="shared" si="9"/>
        <v/>
      </c>
      <c r="T97" s="540" t="str">
        <f t="shared" si="10"/>
        <v/>
      </c>
      <c r="U97" s="499" t="str">
        <f t="shared" si="11"/>
        <v/>
      </c>
      <c r="V97" s="71"/>
      <c r="W97" s="499" t="str">
        <f>IF(V97="","",IF(VLOOKUP(V97,'G-7 Rivers Data'!$AA$4:$AB$7,2,FALSE)=0,"Spatial Data Missing ⚠",VLOOKUP(V97,'G-7 Rivers Data'!$AA$4:$AB$7,2,FALSE)))</f>
        <v/>
      </c>
      <c r="X97" s="155"/>
      <c r="Y97" s="499" t="str">
        <f>IF(X97="","",IF(VLOOKUP(X97,'G-7 Rivers Data'!$AD$4:$AE$8,2,FALSE)=0,"Enrcoachment Data Missing ⚠",VLOOKUP(X97,'G-7 Rivers Data'!$AD$4:$AE$8,2,FALSE)))</f>
        <v/>
      </c>
      <c r="Z97" s="565" t="str">
        <f t="shared" si="12"/>
        <v/>
      </c>
      <c r="AA97" s="149"/>
      <c r="AB97" s="150"/>
      <c r="AH97" s="31" t="str">
        <f>IFERROR(INDEX('G-7 Rivers Data'!$AZ$3:$AZ$7,MATCH(C97,'G-7 Rivers Data'!$AY$3:$AY$7,0)),"")</f>
        <v/>
      </c>
    </row>
    <row r="98" spans="2:34" ht="14" x14ac:dyDescent="0.3">
      <c r="B98" s="141">
        <v>87</v>
      </c>
      <c r="C98" s="171"/>
      <c r="D98" s="172"/>
      <c r="E98" s="498" t="str">
        <f>IF(C98="","",VLOOKUP(C98,'G-7 Rivers Data'!$B$2:$G$8,2,FALSE))</f>
        <v/>
      </c>
      <c r="F98" s="499" t="str">
        <f>IFERROR(VLOOKUP(E98,'G-7 Rivers Data'!$C$4:$D$8,2,FALSE),"")</f>
        <v/>
      </c>
      <c r="G98" s="145"/>
      <c r="H98" s="499" t="str">
        <f>IFERROR(INDEX('G-7 Rivers Data'!$H$4:$L$8,MATCH(C98,'G-7 Rivers Data'!$B$4:$B$8,0),MATCH(G98,'G-7 Rivers Data'!$H$3:$L$3,0)),"")</f>
        <v/>
      </c>
      <c r="I98" s="154"/>
      <c r="J98" s="507" t="str">
        <f>IF(I98="","",IF(VLOOKUP(I98,'G-7 Rivers Data'!$AG$4:$AI$9,2,FALSE)=0,"Spatial Data Missing ⚠",VLOOKUP(I98,'G-7 Rivers Data'!$AG$4:$AI$9,2,FALSE)))</f>
        <v/>
      </c>
      <c r="K98" s="499" t="str">
        <f>IF(I98="","",IF(VLOOKUP(I98,'G-7 Rivers Data'!$AG$4:$AI$9,3,FALSE)=0,"Spatial Data Missing ⚠",VLOOKUP(I98,'G-7 Rivers Data'!$AG$4:$AI$9,3,FALSE)))</f>
        <v/>
      </c>
      <c r="L98" s="498" t="str">
        <f>IFERROR(INDEX('G-7 Rivers Data'!$O$3:$O$7,MATCH(G98,'G-7 Rivers Data'!$N$3:$N$7,0)),"")</f>
        <v/>
      </c>
      <c r="M98" s="82"/>
      <c r="N98" s="195"/>
      <c r="O98" s="507" t="str">
        <f t="shared" si="7"/>
        <v/>
      </c>
      <c r="P98" s="521" t="str">
        <f t="shared" si="8"/>
        <v/>
      </c>
      <c r="Q98" s="564" t="str">
        <f>IFERROR(IF(P98="Check Data ⚠","Check Data ⚠",VLOOKUP(P98,'G-4 Temporal multipliers'!$A$4:$C$37,3,FALSE)),"")</f>
        <v/>
      </c>
      <c r="R98" s="498" t="str">
        <f>IF(C98="","",VLOOKUP(C98,'G-7 Rivers Data'!$B$4:$G$8,4,FALSE))</f>
        <v/>
      </c>
      <c r="S98" s="507" t="str">
        <f t="shared" si="9"/>
        <v/>
      </c>
      <c r="T98" s="540" t="str">
        <f t="shared" si="10"/>
        <v/>
      </c>
      <c r="U98" s="499" t="str">
        <f t="shared" si="11"/>
        <v/>
      </c>
      <c r="V98" s="71"/>
      <c r="W98" s="499" t="str">
        <f>IF(V98="","",IF(VLOOKUP(V98,'G-7 Rivers Data'!$AA$4:$AB$7,2,FALSE)=0,"Spatial Data Missing ⚠",VLOOKUP(V98,'G-7 Rivers Data'!$AA$4:$AB$7,2,FALSE)))</f>
        <v/>
      </c>
      <c r="X98" s="155"/>
      <c r="Y98" s="499" t="str">
        <f>IF(X98="","",IF(VLOOKUP(X98,'G-7 Rivers Data'!$AD$4:$AE$8,2,FALSE)=0,"Enrcoachment Data Missing ⚠",VLOOKUP(X98,'G-7 Rivers Data'!$AD$4:$AE$8,2,FALSE)))</f>
        <v/>
      </c>
      <c r="Z98" s="565" t="str">
        <f t="shared" si="12"/>
        <v/>
      </c>
      <c r="AA98" s="149"/>
      <c r="AB98" s="150"/>
      <c r="AH98" s="31" t="str">
        <f>IFERROR(INDEX('G-7 Rivers Data'!$AZ$3:$AZ$7,MATCH(C98,'G-7 Rivers Data'!$AY$3:$AY$7,0)),"")</f>
        <v/>
      </c>
    </row>
    <row r="99" spans="2:34" ht="14" x14ac:dyDescent="0.3">
      <c r="B99" s="141">
        <v>88</v>
      </c>
      <c r="C99" s="171"/>
      <c r="D99" s="172"/>
      <c r="E99" s="498" t="str">
        <f>IF(C99="","",VLOOKUP(C99,'G-7 Rivers Data'!$B$2:$G$8,2,FALSE))</f>
        <v/>
      </c>
      <c r="F99" s="499" t="str">
        <f>IFERROR(VLOOKUP(E99,'G-7 Rivers Data'!$C$4:$D$8,2,FALSE),"")</f>
        <v/>
      </c>
      <c r="G99" s="145"/>
      <c r="H99" s="499" t="str">
        <f>IFERROR(INDEX('G-7 Rivers Data'!$H$4:$L$8,MATCH(C99,'G-7 Rivers Data'!$B$4:$B$8,0),MATCH(G99,'G-7 Rivers Data'!$H$3:$L$3,0)),"")</f>
        <v/>
      </c>
      <c r="I99" s="154"/>
      <c r="J99" s="507" t="str">
        <f>IF(I99="","",IF(VLOOKUP(I99,'G-7 Rivers Data'!$AG$4:$AI$9,2,FALSE)=0,"Spatial Data Missing ⚠",VLOOKUP(I99,'G-7 Rivers Data'!$AG$4:$AI$9,2,FALSE)))</f>
        <v/>
      </c>
      <c r="K99" s="499" t="str">
        <f>IF(I99="","",IF(VLOOKUP(I99,'G-7 Rivers Data'!$AG$4:$AI$9,3,FALSE)=0,"Spatial Data Missing ⚠",VLOOKUP(I99,'G-7 Rivers Data'!$AG$4:$AI$9,3,FALSE)))</f>
        <v/>
      </c>
      <c r="L99" s="498" t="str">
        <f>IFERROR(INDEX('G-7 Rivers Data'!$O$3:$O$7,MATCH(G99,'G-7 Rivers Data'!$N$3:$N$7,0)),"")</f>
        <v/>
      </c>
      <c r="M99" s="82"/>
      <c r="N99" s="195"/>
      <c r="O99" s="507" t="str">
        <f t="shared" si="7"/>
        <v/>
      </c>
      <c r="P99" s="521" t="str">
        <f t="shared" si="8"/>
        <v/>
      </c>
      <c r="Q99" s="564" t="str">
        <f>IFERROR(IF(P99="Check Data ⚠","Check Data ⚠",VLOOKUP(P99,'G-4 Temporal multipliers'!$A$4:$C$37,3,FALSE)),"")</f>
        <v/>
      </c>
      <c r="R99" s="498" t="str">
        <f>IF(C99="","",VLOOKUP(C99,'G-7 Rivers Data'!$B$4:$G$8,4,FALSE))</f>
        <v/>
      </c>
      <c r="S99" s="507" t="str">
        <f t="shared" si="9"/>
        <v/>
      </c>
      <c r="T99" s="540" t="str">
        <f t="shared" si="10"/>
        <v/>
      </c>
      <c r="U99" s="499" t="str">
        <f t="shared" si="11"/>
        <v/>
      </c>
      <c r="V99" s="71"/>
      <c r="W99" s="499" t="str">
        <f>IF(V99="","",IF(VLOOKUP(V99,'G-7 Rivers Data'!$AA$4:$AB$7,2,FALSE)=0,"Spatial Data Missing ⚠",VLOOKUP(V99,'G-7 Rivers Data'!$AA$4:$AB$7,2,FALSE)))</f>
        <v/>
      </c>
      <c r="X99" s="155"/>
      <c r="Y99" s="499" t="str">
        <f>IF(X99="","",IF(VLOOKUP(X99,'G-7 Rivers Data'!$AD$4:$AE$8,2,FALSE)=0,"Enrcoachment Data Missing ⚠",VLOOKUP(X99,'G-7 Rivers Data'!$AD$4:$AE$8,2,FALSE)))</f>
        <v/>
      </c>
      <c r="Z99" s="565" t="str">
        <f t="shared" si="12"/>
        <v/>
      </c>
      <c r="AA99" s="149"/>
      <c r="AB99" s="150"/>
      <c r="AH99" s="31" t="str">
        <f>IFERROR(INDEX('G-7 Rivers Data'!$AZ$3:$AZ$7,MATCH(C99,'G-7 Rivers Data'!$AY$3:$AY$7,0)),"")</f>
        <v/>
      </c>
    </row>
    <row r="100" spans="2:34" ht="14" x14ac:dyDescent="0.3">
      <c r="B100" s="141">
        <v>89</v>
      </c>
      <c r="C100" s="171"/>
      <c r="D100" s="172"/>
      <c r="E100" s="498" t="str">
        <f>IF(C100="","",VLOOKUP(C100,'G-7 Rivers Data'!$B$2:$G$8,2,FALSE))</f>
        <v/>
      </c>
      <c r="F100" s="499" t="str">
        <f>IFERROR(VLOOKUP(E100,'G-7 Rivers Data'!$C$4:$D$8,2,FALSE),"")</f>
        <v/>
      </c>
      <c r="G100" s="145"/>
      <c r="H100" s="499" t="str">
        <f>IFERROR(INDEX('G-7 Rivers Data'!$H$4:$L$8,MATCH(C100,'G-7 Rivers Data'!$B$4:$B$8,0),MATCH(G100,'G-7 Rivers Data'!$H$3:$L$3,0)),"")</f>
        <v/>
      </c>
      <c r="I100" s="154"/>
      <c r="J100" s="507" t="str">
        <f>IF(I100="","",IF(VLOOKUP(I100,'G-7 Rivers Data'!$AG$4:$AI$9,2,FALSE)=0,"Spatial Data Missing ⚠",VLOOKUP(I100,'G-7 Rivers Data'!$AG$4:$AI$9,2,FALSE)))</f>
        <v/>
      </c>
      <c r="K100" s="499" t="str">
        <f>IF(I100="","",IF(VLOOKUP(I100,'G-7 Rivers Data'!$AG$4:$AI$9,3,FALSE)=0,"Spatial Data Missing ⚠",VLOOKUP(I100,'G-7 Rivers Data'!$AG$4:$AI$9,3,FALSE)))</f>
        <v/>
      </c>
      <c r="L100" s="498" t="str">
        <f>IFERROR(INDEX('G-7 Rivers Data'!$O$3:$O$7,MATCH(G100,'G-7 Rivers Data'!$N$3:$N$7,0)),"")</f>
        <v/>
      </c>
      <c r="M100" s="82"/>
      <c r="N100" s="195"/>
      <c r="O100" s="507" t="str">
        <f t="shared" si="7"/>
        <v/>
      </c>
      <c r="P100" s="521" t="str">
        <f t="shared" si="8"/>
        <v/>
      </c>
      <c r="Q100" s="564" t="str">
        <f>IFERROR(IF(P100="Check Data ⚠","Check Data ⚠",VLOOKUP(P100,'G-4 Temporal multipliers'!$A$4:$C$37,3,FALSE)),"")</f>
        <v/>
      </c>
      <c r="R100" s="498" t="str">
        <f>IF(C100="","",VLOOKUP(C100,'G-7 Rivers Data'!$B$4:$G$8,4,FALSE))</f>
        <v/>
      </c>
      <c r="S100" s="507" t="str">
        <f t="shared" si="9"/>
        <v/>
      </c>
      <c r="T100" s="540" t="str">
        <f t="shared" si="10"/>
        <v/>
      </c>
      <c r="U100" s="499" t="str">
        <f t="shared" si="11"/>
        <v/>
      </c>
      <c r="V100" s="71"/>
      <c r="W100" s="499" t="str">
        <f>IF(V100="","",IF(VLOOKUP(V100,'G-7 Rivers Data'!$AA$4:$AB$7,2,FALSE)=0,"Spatial Data Missing ⚠",VLOOKUP(V100,'G-7 Rivers Data'!$AA$4:$AB$7,2,FALSE)))</f>
        <v/>
      </c>
      <c r="X100" s="155"/>
      <c r="Y100" s="499" t="str">
        <f>IF(X100="","",IF(VLOOKUP(X100,'G-7 Rivers Data'!$AD$4:$AE$8,2,FALSE)=0,"Enrcoachment Data Missing ⚠",VLOOKUP(X100,'G-7 Rivers Data'!$AD$4:$AE$8,2,FALSE)))</f>
        <v/>
      </c>
      <c r="Z100" s="565" t="str">
        <f t="shared" si="12"/>
        <v/>
      </c>
      <c r="AA100" s="149"/>
      <c r="AB100" s="150"/>
      <c r="AH100" s="31" t="str">
        <f>IFERROR(INDEX('G-7 Rivers Data'!$AZ$3:$AZ$7,MATCH(C100,'G-7 Rivers Data'!$AY$3:$AY$7,0)),"")</f>
        <v/>
      </c>
    </row>
    <row r="101" spans="2:34" ht="14" x14ac:dyDescent="0.3">
      <c r="B101" s="141">
        <v>90</v>
      </c>
      <c r="C101" s="171"/>
      <c r="D101" s="172"/>
      <c r="E101" s="498" t="str">
        <f>IF(C101="","",VLOOKUP(C101,'G-7 Rivers Data'!$B$2:$G$8,2,FALSE))</f>
        <v/>
      </c>
      <c r="F101" s="499" t="str">
        <f>IFERROR(VLOOKUP(E101,'G-7 Rivers Data'!$C$4:$D$8,2,FALSE),"")</f>
        <v/>
      </c>
      <c r="G101" s="145"/>
      <c r="H101" s="499" t="str">
        <f>IFERROR(INDEX('G-7 Rivers Data'!$H$4:$L$8,MATCH(C101,'G-7 Rivers Data'!$B$4:$B$8,0),MATCH(G101,'G-7 Rivers Data'!$H$3:$L$3,0)),"")</f>
        <v/>
      </c>
      <c r="I101" s="154"/>
      <c r="J101" s="507" t="str">
        <f>IF(I101="","",IF(VLOOKUP(I101,'G-7 Rivers Data'!$AG$4:$AI$9,2,FALSE)=0,"Spatial Data Missing ⚠",VLOOKUP(I101,'G-7 Rivers Data'!$AG$4:$AI$9,2,FALSE)))</f>
        <v/>
      </c>
      <c r="K101" s="499" t="str">
        <f>IF(I101="","",IF(VLOOKUP(I101,'G-7 Rivers Data'!$AG$4:$AI$9,3,FALSE)=0,"Spatial Data Missing ⚠",VLOOKUP(I101,'G-7 Rivers Data'!$AG$4:$AI$9,3,FALSE)))</f>
        <v/>
      </c>
      <c r="L101" s="498" t="str">
        <f>IFERROR(INDEX('G-7 Rivers Data'!$O$3:$O$7,MATCH(G101,'G-7 Rivers Data'!$N$3:$N$7,0)),"")</f>
        <v/>
      </c>
      <c r="M101" s="82"/>
      <c r="N101" s="195"/>
      <c r="O101" s="507" t="str">
        <f t="shared" si="7"/>
        <v/>
      </c>
      <c r="P101" s="521" t="str">
        <f t="shared" si="8"/>
        <v/>
      </c>
      <c r="Q101" s="564" t="str">
        <f>IFERROR(IF(P101="Check Data ⚠","Check Data ⚠",VLOOKUP(P101,'G-4 Temporal multipliers'!$A$4:$C$37,3,FALSE)),"")</f>
        <v/>
      </c>
      <c r="R101" s="498" t="str">
        <f>IF(C101="","",VLOOKUP(C101,'G-7 Rivers Data'!$B$4:$G$8,4,FALSE))</f>
        <v/>
      </c>
      <c r="S101" s="507" t="str">
        <f t="shared" si="9"/>
        <v/>
      </c>
      <c r="T101" s="540" t="str">
        <f t="shared" si="10"/>
        <v/>
      </c>
      <c r="U101" s="499" t="str">
        <f t="shared" si="11"/>
        <v/>
      </c>
      <c r="V101" s="71"/>
      <c r="W101" s="499" t="str">
        <f>IF(V101="","",IF(VLOOKUP(V101,'G-7 Rivers Data'!$AA$4:$AB$7,2,FALSE)=0,"Spatial Data Missing ⚠",VLOOKUP(V101,'G-7 Rivers Data'!$AA$4:$AB$7,2,FALSE)))</f>
        <v/>
      </c>
      <c r="X101" s="155"/>
      <c r="Y101" s="499" t="str">
        <f>IF(X101="","",IF(VLOOKUP(X101,'G-7 Rivers Data'!$AD$4:$AE$8,2,FALSE)=0,"Enrcoachment Data Missing ⚠",VLOOKUP(X101,'G-7 Rivers Data'!$AD$4:$AE$8,2,FALSE)))</f>
        <v/>
      </c>
      <c r="Z101" s="565" t="str">
        <f t="shared" si="12"/>
        <v/>
      </c>
      <c r="AA101" s="149"/>
      <c r="AB101" s="150"/>
      <c r="AH101" s="31" t="str">
        <f>IFERROR(INDEX('G-7 Rivers Data'!$AZ$3:$AZ$7,MATCH(C101,'G-7 Rivers Data'!$AY$3:$AY$7,0)),"")</f>
        <v/>
      </c>
    </row>
    <row r="102" spans="2:34" ht="14" x14ac:dyDescent="0.3">
      <c r="B102" s="141">
        <v>91</v>
      </c>
      <c r="C102" s="171"/>
      <c r="D102" s="172"/>
      <c r="E102" s="498" t="str">
        <f>IF(C102="","",VLOOKUP(C102,'G-7 Rivers Data'!$B$2:$G$8,2,FALSE))</f>
        <v/>
      </c>
      <c r="F102" s="499" t="str">
        <f>IFERROR(VLOOKUP(E102,'G-7 Rivers Data'!$C$4:$D$8,2,FALSE),"")</f>
        <v/>
      </c>
      <c r="G102" s="145"/>
      <c r="H102" s="499" t="str">
        <f>IFERROR(INDEX('G-7 Rivers Data'!$H$4:$L$8,MATCH(C102,'G-7 Rivers Data'!$B$4:$B$8,0),MATCH(G102,'G-7 Rivers Data'!$H$3:$L$3,0)),"")</f>
        <v/>
      </c>
      <c r="I102" s="154"/>
      <c r="J102" s="507" t="str">
        <f>IF(I102="","",IF(VLOOKUP(I102,'G-7 Rivers Data'!$AG$4:$AI$9,2,FALSE)=0,"Spatial Data Missing ⚠",VLOOKUP(I102,'G-7 Rivers Data'!$AG$4:$AI$9,2,FALSE)))</f>
        <v/>
      </c>
      <c r="K102" s="499" t="str">
        <f>IF(I102="","",IF(VLOOKUP(I102,'G-7 Rivers Data'!$AG$4:$AI$9,3,FALSE)=0,"Spatial Data Missing ⚠",VLOOKUP(I102,'G-7 Rivers Data'!$AG$4:$AI$9,3,FALSE)))</f>
        <v/>
      </c>
      <c r="L102" s="498" t="str">
        <f>IFERROR(INDEX('G-7 Rivers Data'!$O$3:$O$7,MATCH(G102,'G-7 Rivers Data'!$N$3:$N$7,0)),"")</f>
        <v/>
      </c>
      <c r="M102" s="82"/>
      <c r="N102" s="195"/>
      <c r="O102" s="507" t="str">
        <f t="shared" si="7"/>
        <v/>
      </c>
      <c r="P102" s="521" t="str">
        <f t="shared" si="8"/>
        <v/>
      </c>
      <c r="Q102" s="564" t="str">
        <f>IFERROR(IF(P102="Check Data ⚠","Check Data ⚠",VLOOKUP(P102,'G-4 Temporal multipliers'!$A$4:$C$37,3,FALSE)),"")</f>
        <v/>
      </c>
      <c r="R102" s="498" t="str">
        <f>IF(C102="","",VLOOKUP(C102,'G-7 Rivers Data'!$B$4:$G$8,4,FALSE))</f>
        <v/>
      </c>
      <c r="S102" s="507" t="str">
        <f t="shared" si="9"/>
        <v/>
      </c>
      <c r="T102" s="540" t="str">
        <f t="shared" si="10"/>
        <v/>
      </c>
      <c r="U102" s="499" t="str">
        <f t="shared" si="11"/>
        <v/>
      </c>
      <c r="V102" s="71"/>
      <c r="W102" s="499" t="str">
        <f>IF(V102="","",IF(VLOOKUP(V102,'G-7 Rivers Data'!$AA$4:$AB$7,2,FALSE)=0,"Spatial Data Missing ⚠",VLOOKUP(V102,'G-7 Rivers Data'!$AA$4:$AB$7,2,FALSE)))</f>
        <v/>
      </c>
      <c r="X102" s="155"/>
      <c r="Y102" s="499" t="str">
        <f>IF(X102="","",IF(VLOOKUP(X102,'G-7 Rivers Data'!$AD$4:$AE$8,2,FALSE)=0,"Enrcoachment Data Missing ⚠",VLOOKUP(X102,'G-7 Rivers Data'!$AD$4:$AE$8,2,FALSE)))</f>
        <v/>
      </c>
      <c r="Z102" s="565" t="str">
        <f t="shared" si="12"/>
        <v/>
      </c>
      <c r="AA102" s="149"/>
      <c r="AB102" s="150"/>
      <c r="AH102" s="31" t="str">
        <f>IFERROR(INDEX('G-7 Rivers Data'!$AZ$3:$AZ$7,MATCH(C102,'G-7 Rivers Data'!$AY$3:$AY$7,0)),"")</f>
        <v/>
      </c>
    </row>
    <row r="103" spans="2:34" ht="14" x14ac:dyDescent="0.3">
      <c r="B103" s="141">
        <v>92</v>
      </c>
      <c r="C103" s="171"/>
      <c r="D103" s="172"/>
      <c r="E103" s="498" t="str">
        <f>IF(C103="","",VLOOKUP(C103,'G-7 Rivers Data'!$B$2:$G$8,2,FALSE))</f>
        <v/>
      </c>
      <c r="F103" s="499" t="str">
        <f>IFERROR(VLOOKUP(E103,'G-7 Rivers Data'!$C$4:$D$8,2,FALSE),"")</f>
        <v/>
      </c>
      <c r="G103" s="145"/>
      <c r="H103" s="499" t="str">
        <f>IFERROR(INDEX('G-7 Rivers Data'!$H$4:$L$8,MATCH(C103,'G-7 Rivers Data'!$B$4:$B$8,0),MATCH(G103,'G-7 Rivers Data'!$H$3:$L$3,0)),"")</f>
        <v/>
      </c>
      <c r="I103" s="154"/>
      <c r="J103" s="507" t="str">
        <f>IF(I103="","",IF(VLOOKUP(I103,'G-7 Rivers Data'!$AG$4:$AI$9,2,FALSE)=0,"Spatial Data Missing ⚠",VLOOKUP(I103,'G-7 Rivers Data'!$AG$4:$AI$9,2,FALSE)))</f>
        <v/>
      </c>
      <c r="K103" s="499" t="str">
        <f>IF(I103="","",IF(VLOOKUP(I103,'G-7 Rivers Data'!$AG$4:$AI$9,3,FALSE)=0,"Spatial Data Missing ⚠",VLOOKUP(I103,'G-7 Rivers Data'!$AG$4:$AI$9,3,FALSE)))</f>
        <v/>
      </c>
      <c r="L103" s="498" t="str">
        <f>IFERROR(INDEX('G-7 Rivers Data'!$O$3:$O$7,MATCH(G103,'G-7 Rivers Data'!$N$3:$N$7,0)),"")</f>
        <v/>
      </c>
      <c r="M103" s="82"/>
      <c r="N103" s="195"/>
      <c r="O103" s="507" t="str">
        <f t="shared" si="7"/>
        <v/>
      </c>
      <c r="P103" s="521" t="str">
        <f t="shared" si="8"/>
        <v/>
      </c>
      <c r="Q103" s="564" t="str">
        <f>IFERROR(IF(P103="Check Data ⚠","Check Data ⚠",VLOOKUP(P103,'G-4 Temporal multipliers'!$A$4:$C$37,3,FALSE)),"")</f>
        <v/>
      </c>
      <c r="R103" s="498" t="str">
        <f>IF(C103="","",VLOOKUP(C103,'G-7 Rivers Data'!$B$4:$G$8,4,FALSE))</f>
        <v/>
      </c>
      <c r="S103" s="507" t="str">
        <f t="shared" si="9"/>
        <v/>
      </c>
      <c r="T103" s="540" t="str">
        <f t="shared" si="10"/>
        <v/>
      </c>
      <c r="U103" s="499" t="str">
        <f t="shared" si="11"/>
        <v/>
      </c>
      <c r="V103" s="71"/>
      <c r="W103" s="499" t="str">
        <f>IF(V103="","",IF(VLOOKUP(V103,'G-7 Rivers Data'!$AA$4:$AB$7,2,FALSE)=0,"Spatial Data Missing ⚠",VLOOKUP(V103,'G-7 Rivers Data'!$AA$4:$AB$7,2,FALSE)))</f>
        <v/>
      </c>
      <c r="X103" s="155"/>
      <c r="Y103" s="499" t="str">
        <f>IF(X103="","",IF(VLOOKUP(X103,'G-7 Rivers Data'!$AD$4:$AE$8,2,FALSE)=0,"Enrcoachment Data Missing ⚠",VLOOKUP(X103,'G-7 Rivers Data'!$AD$4:$AE$8,2,FALSE)))</f>
        <v/>
      </c>
      <c r="Z103" s="565" t="str">
        <f t="shared" si="12"/>
        <v/>
      </c>
      <c r="AA103" s="149"/>
      <c r="AB103" s="150"/>
      <c r="AH103" s="31" t="str">
        <f>IFERROR(INDEX('G-7 Rivers Data'!$AZ$3:$AZ$7,MATCH(C103,'G-7 Rivers Data'!$AY$3:$AY$7,0)),"")</f>
        <v/>
      </c>
    </row>
    <row r="104" spans="2:34" ht="14" x14ac:dyDescent="0.3">
      <c r="B104" s="141">
        <v>93</v>
      </c>
      <c r="C104" s="171"/>
      <c r="D104" s="172"/>
      <c r="E104" s="498" t="str">
        <f>IF(C104="","",VLOOKUP(C104,'G-7 Rivers Data'!$B$2:$G$8,2,FALSE))</f>
        <v/>
      </c>
      <c r="F104" s="499" t="str">
        <f>IFERROR(VLOOKUP(E104,'G-7 Rivers Data'!$C$4:$D$8,2,FALSE),"")</f>
        <v/>
      </c>
      <c r="G104" s="145"/>
      <c r="H104" s="499" t="str">
        <f>IFERROR(INDEX('G-7 Rivers Data'!$H$4:$L$8,MATCH(C104,'G-7 Rivers Data'!$B$4:$B$8,0),MATCH(G104,'G-7 Rivers Data'!$H$3:$L$3,0)),"")</f>
        <v/>
      </c>
      <c r="I104" s="154"/>
      <c r="J104" s="507" t="str">
        <f>IF(I104="","",IF(VLOOKUP(I104,'G-7 Rivers Data'!$AG$4:$AI$9,2,FALSE)=0,"Spatial Data Missing ⚠",VLOOKUP(I104,'G-7 Rivers Data'!$AG$4:$AI$9,2,FALSE)))</f>
        <v/>
      </c>
      <c r="K104" s="499" t="str">
        <f>IF(I104="","",IF(VLOOKUP(I104,'G-7 Rivers Data'!$AG$4:$AI$9,3,FALSE)=0,"Spatial Data Missing ⚠",VLOOKUP(I104,'G-7 Rivers Data'!$AG$4:$AI$9,3,FALSE)))</f>
        <v/>
      </c>
      <c r="L104" s="498" t="str">
        <f>IFERROR(INDEX('G-7 Rivers Data'!$O$3:$O$7,MATCH(G104,'G-7 Rivers Data'!$N$3:$N$7,0)),"")</f>
        <v/>
      </c>
      <c r="M104" s="82"/>
      <c r="N104" s="195"/>
      <c r="O104" s="507" t="str">
        <f t="shared" si="7"/>
        <v/>
      </c>
      <c r="P104" s="521" t="str">
        <f t="shared" si="8"/>
        <v/>
      </c>
      <c r="Q104" s="564" t="str">
        <f>IFERROR(IF(P104="Check Data ⚠","Check Data ⚠",VLOOKUP(P104,'G-4 Temporal multipliers'!$A$4:$C$37,3,FALSE)),"")</f>
        <v/>
      </c>
      <c r="R104" s="498" t="str">
        <f>IF(C104="","",VLOOKUP(C104,'G-7 Rivers Data'!$B$4:$G$8,4,FALSE))</f>
        <v/>
      </c>
      <c r="S104" s="507" t="str">
        <f t="shared" si="9"/>
        <v/>
      </c>
      <c r="T104" s="540" t="str">
        <f t="shared" si="10"/>
        <v/>
      </c>
      <c r="U104" s="499" t="str">
        <f t="shared" si="11"/>
        <v/>
      </c>
      <c r="V104" s="71"/>
      <c r="W104" s="499" t="str">
        <f>IF(V104="","",IF(VLOOKUP(V104,'G-7 Rivers Data'!$AA$4:$AB$7,2,FALSE)=0,"Spatial Data Missing ⚠",VLOOKUP(V104,'G-7 Rivers Data'!$AA$4:$AB$7,2,FALSE)))</f>
        <v/>
      </c>
      <c r="X104" s="155"/>
      <c r="Y104" s="499" t="str">
        <f>IF(X104="","",IF(VLOOKUP(X104,'G-7 Rivers Data'!$AD$4:$AE$8,2,FALSE)=0,"Enrcoachment Data Missing ⚠",VLOOKUP(X104,'G-7 Rivers Data'!$AD$4:$AE$8,2,FALSE)))</f>
        <v/>
      </c>
      <c r="Z104" s="565" t="str">
        <f t="shared" si="12"/>
        <v/>
      </c>
      <c r="AA104" s="149"/>
      <c r="AB104" s="150"/>
      <c r="AH104" s="31" t="str">
        <f>IFERROR(INDEX('G-7 Rivers Data'!$AZ$3:$AZ$7,MATCH(C104,'G-7 Rivers Data'!$AY$3:$AY$7,0)),"")</f>
        <v/>
      </c>
    </row>
    <row r="105" spans="2:34" ht="14" x14ac:dyDescent="0.3">
      <c r="B105" s="141">
        <v>94</v>
      </c>
      <c r="C105" s="171"/>
      <c r="D105" s="172"/>
      <c r="E105" s="498" t="str">
        <f>IF(C105="","",VLOOKUP(C105,'G-7 Rivers Data'!$B$2:$G$8,2,FALSE))</f>
        <v/>
      </c>
      <c r="F105" s="499" t="str">
        <f>IFERROR(VLOOKUP(E105,'G-7 Rivers Data'!$C$4:$D$8,2,FALSE),"")</f>
        <v/>
      </c>
      <c r="G105" s="145"/>
      <c r="H105" s="499" t="str">
        <f>IFERROR(INDEX('G-7 Rivers Data'!$H$4:$L$8,MATCH(C105,'G-7 Rivers Data'!$B$4:$B$8,0),MATCH(G105,'G-7 Rivers Data'!$H$3:$L$3,0)),"")</f>
        <v/>
      </c>
      <c r="I105" s="154"/>
      <c r="J105" s="507" t="str">
        <f>IF(I105="","",IF(VLOOKUP(I105,'G-7 Rivers Data'!$AG$4:$AI$9,2,FALSE)=0,"Spatial Data Missing ⚠",VLOOKUP(I105,'G-7 Rivers Data'!$AG$4:$AI$9,2,FALSE)))</f>
        <v/>
      </c>
      <c r="K105" s="499" t="str">
        <f>IF(I105="","",IF(VLOOKUP(I105,'G-7 Rivers Data'!$AG$4:$AI$9,3,FALSE)=0,"Spatial Data Missing ⚠",VLOOKUP(I105,'G-7 Rivers Data'!$AG$4:$AI$9,3,FALSE)))</f>
        <v/>
      </c>
      <c r="L105" s="498" t="str">
        <f>IFERROR(INDEX('G-7 Rivers Data'!$O$3:$O$7,MATCH(G105,'G-7 Rivers Data'!$N$3:$N$7,0)),"")</f>
        <v/>
      </c>
      <c r="M105" s="82"/>
      <c r="N105" s="195"/>
      <c r="O105" s="507" t="str">
        <f t="shared" si="7"/>
        <v/>
      </c>
      <c r="P105" s="521" t="str">
        <f t="shared" si="8"/>
        <v/>
      </c>
      <c r="Q105" s="564" t="str">
        <f>IFERROR(IF(P105="Check Data ⚠","Check Data ⚠",VLOOKUP(P105,'G-4 Temporal multipliers'!$A$4:$C$37,3,FALSE)),"")</f>
        <v/>
      </c>
      <c r="R105" s="498" t="str">
        <f>IF(C105="","",VLOOKUP(C105,'G-7 Rivers Data'!$B$4:$G$8,4,FALSE))</f>
        <v/>
      </c>
      <c r="S105" s="507" t="str">
        <f t="shared" si="9"/>
        <v/>
      </c>
      <c r="T105" s="540" t="str">
        <f t="shared" si="10"/>
        <v/>
      </c>
      <c r="U105" s="499" t="str">
        <f t="shared" si="11"/>
        <v/>
      </c>
      <c r="V105" s="71"/>
      <c r="W105" s="499" t="str">
        <f>IF(V105="","",IF(VLOOKUP(V105,'G-7 Rivers Data'!$AA$4:$AB$7,2,FALSE)=0,"Spatial Data Missing ⚠",VLOOKUP(V105,'G-7 Rivers Data'!$AA$4:$AB$7,2,FALSE)))</f>
        <v/>
      </c>
      <c r="X105" s="155"/>
      <c r="Y105" s="499" t="str">
        <f>IF(X105="","",IF(VLOOKUP(X105,'G-7 Rivers Data'!$AD$4:$AE$8,2,FALSE)=0,"Enrcoachment Data Missing ⚠",VLOOKUP(X105,'G-7 Rivers Data'!$AD$4:$AE$8,2,FALSE)))</f>
        <v/>
      </c>
      <c r="Z105" s="565" t="str">
        <f t="shared" si="12"/>
        <v/>
      </c>
      <c r="AA105" s="149"/>
      <c r="AB105" s="150"/>
      <c r="AH105" s="31" t="str">
        <f>IFERROR(INDEX('G-7 Rivers Data'!$AZ$3:$AZ$7,MATCH(C105,'G-7 Rivers Data'!$AY$3:$AY$7,0)),"")</f>
        <v/>
      </c>
    </row>
    <row r="106" spans="2:34" ht="14" x14ac:dyDescent="0.3">
      <c r="B106" s="141">
        <v>95</v>
      </c>
      <c r="C106" s="171"/>
      <c r="D106" s="172"/>
      <c r="E106" s="498" t="str">
        <f>IF(C106="","",VLOOKUP(C106,'G-7 Rivers Data'!$B$2:$G$8,2,FALSE))</f>
        <v/>
      </c>
      <c r="F106" s="499" t="str">
        <f>IFERROR(VLOOKUP(E106,'G-7 Rivers Data'!$C$4:$D$8,2,FALSE),"")</f>
        <v/>
      </c>
      <c r="G106" s="145"/>
      <c r="H106" s="499" t="str">
        <f>IFERROR(INDEX('G-7 Rivers Data'!$H$4:$L$8,MATCH(C106,'G-7 Rivers Data'!$B$4:$B$8,0),MATCH(G106,'G-7 Rivers Data'!$H$3:$L$3,0)),"")</f>
        <v/>
      </c>
      <c r="I106" s="154"/>
      <c r="J106" s="507" t="str">
        <f>IF(I106="","",IF(VLOOKUP(I106,'G-7 Rivers Data'!$AG$4:$AI$9,2,FALSE)=0,"Spatial Data Missing ⚠",VLOOKUP(I106,'G-7 Rivers Data'!$AG$4:$AI$9,2,FALSE)))</f>
        <v/>
      </c>
      <c r="K106" s="499" t="str">
        <f>IF(I106="","",IF(VLOOKUP(I106,'G-7 Rivers Data'!$AG$4:$AI$9,3,FALSE)=0,"Spatial Data Missing ⚠",VLOOKUP(I106,'G-7 Rivers Data'!$AG$4:$AI$9,3,FALSE)))</f>
        <v/>
      </c>
      <c r="L106" s="498" t="str">
        <f>IFERROR(INDEX('G-7 Rivers Data'!$O$3:$O$7,MATCH(G106,'G-7 Rivers Data'!$N$3:$N$7,0)),"")</f>
        <v/>
      </c>
      <c r="M106" s="82"/>
      <c r="N106" s="195"/>
      <c r="O106" s="507" t="str">
        <f t="shared" si="7"/>
        <v/>
      </c>
      <c r="P106" s="521" t="str">
        <f t="shared" si="8"/>
        <v/>
      </c>
      <c r="Q106" s="564" t="str">
        <f>IFERROR(IF(P106="Check Data ⚠","Check Data ⚠",VLOOKUP(P106,'G-4 Temporal multipliers'!$A$4:$C$37,3,FALSE)),"")</f>
        <v/>
      </c>
      <c r="R106" s="498" t="str">
        <f>IF(C106="","",VLOOKUP(C106,'G-7 Rivers Data'!$B$4:$G$8,4,FALSE))</f>
        <v/>
      </c>
      <c r="S106" s="507" t="str">
        <f t="shared" si="9"/>
        <v/>
      </c>
      <c r="T106" s="540" t="str">
        <f t="shared" si="10"/>
        <v/>
      </c>
      <c r="U106" s="499" t="str">
        <f t="shared" si="11"/>
        <v/>
      </c>
      <c r="V106" s="71"/>
      <c r="W106" s="499" t="str">
        <f>IF(V106="","",IF(VLOOKUP(V106,'G-7 Rivers Data'!$AA$4:$AB$7,2,FALSE)=0,"Spatial Data Missing ⚠",VLOOKUP(V106,'G-7 Rivers Data'!$AA$4:$AB$7,2,FALSE)))</f>
        <v/>
      </c>
      <c r="X106" s="155"/>
      <c r="Y106" s="499" t="str">
        <f>IF(X106="","",IF(VLOOKUP(X106,'G-7 Rivers Data'!$AD$4:$AE$8,2,FALSE)=0,"Enrcoachment Data Missing ⚠",VLOOKUP(X106,'G-7 Rivers Data'!$AD$4:$AE$8,2,FALSE)))</f>
        <v/>
      </c>
      <c r="Z106" s="565" t="str">
        <f t="shared" si="12"/>
        <v/>
      </c>
      <c r="AA106" s="149"/>
      <c r="AB106" s="150"/>
      <c r="AH106" s="31" t="str">
        <f>IFERROR(INDEX('G-7 Rivers Data'!$AZ$3:$AZ$7,MATCH(C106,'G-7 Rivers Data'!$AY$3:$AY$7,0)),"")</f>
        <v/>
      </c>
    </row>
    <row r="107" spans="2:34" ht="14" x14ac:dyDescent="0.3">
      <c r="B107" s="141">
        <v>96</v>
      </c>
      <c r="C107" s="171"/>
      <c r="D107" s="172"/>
      <c r="E107" s="498" t="str">
        <f>IF(C107="","",VLOOKUP(C107,'G-7 Rivers Data'!$B$2:$G$8,2,FALSE))</f>
        <v/>
      </c>
      <c r="F107" s="499" t="str">
        <f>IFERROR(VLOOKUP(E107,'G-7 Rivers Data'!$C$4:$D$8,2,FALSE),"")</f>
        <v/>
      </c>
      <c r="G107" s="145"/>
      <c r="H107" s="499" t="str">
        <f>IFERROR(INDEX('G-7 Rivers Data'!$H$4:$L$8,MATCH(C107,'G-7 Rivers Data'!$B$4:$B$8,0),MATCH(G107,'G-7 Rivers Data'!$H$3:$L$3,0)),"")</f>
        <v/>
      </c>
      <c r="I107" s="154"/>
      <c r="J107" s="507" t="str">
        <f>IF(I107="","",IF(VLOOKUP(I107,'G-7 Rivers Data'!$AG$4:$AI$9,2,FALSE)=0,"Spatial Data Missing ⚠",VLOOKUP(I107,'G-7 Rivers Data'!$AG$4:$AI$9,2,FALSE)))</f>
        <v/>
      </c>
      <c r="K107" s="499" t="str">
        <f>IF(I107="","",IF(VLOOKUP(I107,'G-7 Rivers Data'!$AG$4:$AI$9,3,FALSE)=0,"Spatial Data Missing ⚠",VLOOKUP(I107,'G-7 Rivers Data'!$AG$4:$AI$9,3,FALSE)))</f>
        <v/>
      </c>
      <c r="L107" s="498" t="str">
        <f>IFERROR(INDEX('G-7 Rivers Data'!$O$3:$O$7,MATCH(G107,'G-7 Rivers Data'!$N$3:$N$7,0)),"")</f>
        <v/>
      </c>
      <c r="M107" s="82"/>
      <c r="N107" s="195"/>
      <c r="O107" s="507" t="str">
        <f t="shared" si="7"/>
        <v/>
      </c>
      <c r="P107" s="521" t="str">
        <f t="shared" si="8"/>
        <v/>
      </c>
      <c r="Q107" s="564" t="str">
        <f>IFERROR(IF(P107="Check Data ⚠","Check Data ⚠",VLOOKUP(P107,'G-4 Temporal multipliers'!$A$4:$C$37,3,FALSE)),"")</f>
        <v/>
      </c>
      <c r="R107" s="498" t="str">
        <f>IF(C107="","",VLOOKUP(C107,'G-7 Rivers Data'!$B$4:$G$8,4,FALSE))</f>
        <v/>
      </c>
      <c r="S107" s="507" t="str">
        <f t="shared" si="9"/>
        <v/>
      </c>
      <c r="T107" s="540" t="str">
        <f t="shared" si="10"/>
        <v/>
      </c>
      <c r="U107" s="499" t="str">
        <f t="shared" si="11"/>
        <v/>
      </c>
      <c r="V107" s="71"/>
      <c r="W107" s="499" t="str">
        <f>IF(V107="","",IF(VLOOKUP(V107,'G-7 Rivers Data'!$AA$4:$AB$7,2,FALSE)=0,"Spatial Data Missing ⚠",VLOOKUP(V107,'G-7 Rivers Data'!$AA$4:$AB$7,2,FALSE)))</f>
        <v/>
      </c>
      <c r="X107" s="155"/>
      <c r="Y107" s="499" t="str">
        <f>IF(X107="","",IF(VLOOKUP(X107,'G-7 Rivers Data'!$AD$4:$AE$8,2,FALSE)=0,"Enrcoachment Data Missing ⚠",VLOOKUP(X107,'G-7 Rivers Data'!$AD$4:$AE$8,2,FALSE)))</f>
        <v/>
      </c>
      <c r="Z107" s="565" t="str">
        <f t="shared" si="12"/>
        <v/>
      </c>
      <c r="AA107" s="149"/>
      <c r="AB107" s="150"/>
      <c r="AH107" s="31" t="str">
        <f>IFERROR(INDEX('G-7 Rivers Data'!$AZ$3:$AZ$7,MATCH(C107,'G-7 Rivers Data'!$AY$3:$AY$7,0)),"")</f>
        <v/>
      </c>
    </row>
    <row r="108" spans="2:34" ht="14" x14ac:dyDescent="0.3">
      <c r="B108" s="141">
        <v>97</v>
      </c>
      <c r="C108" s="171"/>
      <c r="D108" s="172"/>
      <c r="E108" s="498" t="str">
        <f>IF(C108="","",VLOOKUP(C108,'G-7 Rivers Data'!$B$2:$G$8,2,FALSE))</f>
        <v/>
      </c>
      <c r="F108" s="499" t="str">
        <f>IFERROR(VLOOKUP(E108,'G-7 Rivers Data'!$C$4:$D$8,2,FALSE),"")</f>
        <v/>
      </c>
      <c r="G108" s="145"/>
      <c r="H108" s="499" t="str">
        <f>IFERROR(INDEX('G-7 Rivers Data'!$H$4:$L$8,MATCH(C108,'G-7 Rivers Data'!$B$4:$B$8,0),MATCH(G108,'G-7 Rivers Data'!$H$3:$L$3,0)),"")</f>
        <v/>
      </c>
      <c r="I108" s="154"/>
      <c r="J108" s="507" t="str">
        <f>IF(I108="","",IF(VLOOKUP(I108,'G-7 Rivers Data'!$AG$4:$AI$9,2,FALSE)=0,"Spatial Data Missing ⚠",VLOOKUP(I108,'G-7 Rivers Data'!$AG$4:$AI$9,2,FALSE)))</f>
        <v/>
      </c>
      <c r="K108" s="499" t="str">
        <f>IF(I108="","",IF(VLOOKUP(I108,'G-7 Rivers Data'!$AG$4:$AI$9,3,FALSE)=0,"Spatial Data Missing ⚠",VLOOKUP(I108,'G-7 Rivers Data'!$AG$4:$AI$9,3,FALSE)))</f>
        <v/>
      </c>
      <c r="L108" s="498" t="str">
        <f>IFERROR(INDEX('G-7 Rivers Data'!$O$3:$O$7,MATCH(G108,'G-7 Rivers Data'!$N$3:$N$7,0)),"")</f>
        <v/>
      </c>
      <c r="M108" s="82"/>
      <c r="N108" s="195"/>
      <c r="O108" s="507" t="str">
        <f t="shared" si="7"/>
        <v/>
      </c>
      <c r="P108" s="521" t="str">
        <f t="shared" si="8"/>
        <v/>
      </c>
      <c r="Q108" s="564" t="str">
        <f>IFERROR(IF(P108="Check Data ⚠","Check Data ⚠",VLOOKUP(P108,'G-4 Temporal multipliers'!$A$4:$C$37,3,FALSE)),"")</f>
        <v/>
      </c>
      <c r="R108" s="498" t="str">
        <f>IF(C108="","",VLOOKUP(C108,'G-7 Rivers Data'!$B$4:$G$8,4,FALSE))</f>
        <v/>
      </c>
      <c r="S108" s="507" t="str">
        <f t="shared" si="9"/>
        <v/>
      </c>
      <c r="T108" s="540" t="str">
        <f t="shared" si="10"/>
        <v/>
      </c>
      <c r="U108" s="499" t="str">
        <f t="shared" si="11"/>
        <v/>
      </c>
      <c r="V108" s="71"/>
      <c r="W108" s="499" t="str">
        <f>IF(V108="","",IF(VLOOKUP(V108,'G-7 Rivers Data'!$AA$4:$AB$7,2,FALSE)=0,"Spatial Data Missing ⚠",VLOOKUP(V108,'G-7 Rivers Data'!$AA$4:$AB$7,2,FALSE)))</f>
        <v/>
      </c>
      <c r="X108" s="155"/>
      <c r="Y108" s="499" t="str">
        <f>IF(X108="","",IF(VLOOKUP(X108,'G-7 Rivers Data'!$AD$4:$AE$8,2,FALSE)=0,"Enrcoachment Data Missing ⚠",VLOOKUP(X108,'G-7 Rivers Data'!$AD$4:$AE$8,2,FALSE)))</f>
        <v/>
      </c>
      <c r="Z108" s="565" t="str">
        <f t="shared" si="12"/>
        <v/>
      </c>
      <c r="AA108" s="149"/>
      <c r="AB108" s="150"/>
      <c r="AH108" s="31" t="str">
        <f>IFERROR(INDEX('G-7 Rivers Data'!$AZ$3:$AZ$7,MATCH(C108,'G-7 Rivers Data'!$AY$3:$AY$7,0)),"")</f>
        <v/>
      </c>
    </row>
    <row r="109" spans="2:34" ht="14" x14ac:dyDescent="0.3">
      <c r="B109" s="141">
        <v>98</v>
      </c>
      <c r="C109" s="171"/>
      <c r="D109" s="172"/>
      <c r="E109" s="498" t="str">
        <f>IF(C109="","",VLOOKUP(C109,'G-7 Rivers Data'!$B$2:$G$8,2,FALSE))</f>
        <v/>
      </c>
      <c r="F109" s="499" t="str">
        <f>IFERROR(VLOOKUP(E109,'G-7 Rivers Data'!$C$4:$D$8,2,FALSE),"")</f>
        <v/>
      </c>
      <c r="G109" s="145"/>
      <c r="H109" s="499" t="str">
        <f>IFERROR(INDEX('G-7 Rivers Data'!$H$4:$L$8,MATCH(C109,'G-7 Rivers Data'!$B$4:$B$8,0),MATCH(G109,'G-7 Rivers Data'!$H$3:$L$3,0)),"")</f>
        <v/>
      </c>
      <c r="I109" s="154"/>
      <c r="J109" s="507" t="str">
        <f>IF(I109="","",IF(VLOOKUP(I109,'G-7 Rivers Data'!$AG$4:$AI$9,2,FALSE)=0,"Spatial Data Missing ⚠",VLOOKUP(I109,'G-7 Rivers Data'!$AG$4:$AI$9,2,FALSE)))</f>
        <v/>
      </c>
      <c r="K109" s="499" t="str">
        <f>IF(I109="","",IF(VLOOKUP(I109,'G-7 Rivers Data'!$AG$4:$AI$9,3,FALSE)=0,"Spatial Data Missing ⚠",VLOOKUP(I109,'G-7 Rivers Data'!$AG$4:$AI$9,3,FALSE)))</f>
        <v/>
      </c>
      <c r="L109" s="498" t="str">
        <f>IFERROR(INDEX('G-7 Rivers Data'!$O$3:$O$7,MATCH(G109,'G-7 Rivers Data'!$N$3:$N$7,0)),"")</f>
        <v/>
      </c>
      <c r="M109" s="82"/>
      <c r="N109" s="195"/>
      <c r="O109" s="507" t="str">
        <f t="shared" si="7"/>
        <v/>
      </c>
      <c r="P109" s="521" t="str">
        <f t="shared" si="8"/>
        <v/>
      </c>
      <c r="Q109" s="564" t="str">
        <f>IFERROR(IF(P109="Check Data ⚠","Check Data ⚠",VLOOKUP(P109,'G-4 Temporal multipliers'!$A$4:$C$37,3,FALSE)),"")</f>
        <v/>
      </c>
      <c r="R109" s="498" t="str">
        <f>IF(C109="","",VLOOKUP(C109,'G-7 Rivers Data'!$B$4:$G$8,4,FALSE))</f>
        <v/>
      </c>
      <c r="S109" s="507" t="str">
        <f t="shared" si="9"/>
        <v/>
      </c>
      <c r="T109" s="540" t="str">
        <f t="shared" si="10"/>
        <v/>
      </c>
      <c r="U109" s="499" t="str">
        <f t="shared" si="11"/>
        <v/>
      </c>
      <c r="V109" s="71"/>
      <c r="W109" s="499" t="str">
        <f>IF(V109="","",IF(VLOOKUP(V109,'G-7 Rivers Data'!$AA$4:$AB$7,2,FALSE)=0,"Spatial Data Missing ⚠",VLOOKUP(V109,'G-7 Rivers Data'!$AA$4:$AB$7,2,FALSE)))</f>
        <v/>
      </c>
      <c r="X109" s="155"/>
      <c r="Y109" s="499" t="str">
        <f>IF(X109="","",IF(VLOOKUP(X109,'G-7 Rivers Data'!$AD$4:$AE$8,2,FALSE)=0,"Enrcoachment Data Missing ⚠",VLOOKUP(X109,'G-7 Rivers Data'!$AD$4:$AE$8,2,FALSE)))</f>
        <v/>
      </c>
      <c r="Z109" s="565" t="str">
        <f t="shared" si="12"/>
        <v/>
      </c>
      <c r="AA109" s="149"/>
      <c r="AB109" s="150"/>
      <c r="AH109" s="31" t="str">
        <f>IFERROR(INDEX('G-7 Rivers Data'!$AZ$3:$AZ$7,MATCH(C109,'G-7 Rivers Data'!$AY$3:$AY$7,0)),"")</f>
        <v/>
      </c>
    </row>
    <row r="110" spans="2:34" ht="14" x14ac:dyDescent="0.3">
      <c r="B110" s="141">
        <v>99</v>
      </c>
      <c r="C110" s="171"/>
      <c r="D110" s="172"/>
      <c r="E110" s="498" t="str">
        <f>IF(C110="","",VLOOKUP(C110,'G-7 Rivers Data'!$B$2:$G$8,2,FALSE))</f>
        <v/>
      </c>
      <c r="F110" s="499" t="str">
        <f>IFERROR(VLOOKUP(E110,'G-7 Rivers Data'!$C$4:$D$8,2,FALSE),"")</f>
        <v/>
      </c>
      <c r="G110" s="145"/>
      <c r="H110" s="499" t="str">
        <f>IFERROR(INDEX('G-7 Rivers Data'!$H$4:$L$8,MATCH(C110,'G-7 Rivers Data'!$B$4:$B$8,0),MATCH(G110,'G-7 Rivers Data'!$H$3:$L$3,0)),"")</f>
        <v/>
      </c>
      <c r="I110" s="154"/>
      <c r="J110" s="507" t="str">
        <f>IF(I110="","",IF(VLOOKUP(I110,'G-7 Rivers Data'!$AG$4:$AI$9,2,FALSE)=0,"Spatial Data Missing ⚠",VLOOKUP(I110,'G-7 Rivers Data'!$AG$4:$AI$9,2,FALSE)))</f>
        <v/>
      </c>
      <c r="K110" s="499" t="str">
        <f>IF(I110="","",IF(VLOOKUP(I110,'G-7 Rivers Data'!$AG$4:$AI$9,3,FALSE)=0,"Spatial Data Missing ⚠",VLOOKUP(I110,'G-7 Rivers Data'!$AG$4:$AI$9,3,FALSE)))</f>
        <v/>
      </c>
      <c r="L110" s="498" t="str">
        <f>IFERROR(INDEX('G-7 Rivers Data'!$O$3:$O$7,MATCH(G110,'G-7 Rivers Data'!$N$3:$N$7,0)),"")</f>
        <v/>
      </c>
      <c r="M110" s="82"/>
      <c r="N110" s="195"/>
      <c r="O110" s="507" t="str">
        <f t="shared" si="7"/>
        <v/>
      </c>
      <c r="P110" s="521" t="str">
        <f t="shared" si="8"/>
        <v/>
      </c>
      <c r="Q110" s="564" t="str">
        <f>IFERROR(IF(P110="Check Data ⚠","Check Data ⚠",VLOOKUP(P110,'G-4 Temporal multipliers'!$A$4:$C$37,3,FALSE)),"")</f>
        <v/>
      </c>
      <c r="R110" s="498" t="str">
        <f>IF(C110="","",VLOOKUP(C110,'G-7 Rivers Data'!$B$4:$G$8,4,FALSE))</f>
        <v/>
      </c>
      <c r="S110" s="507" t="str">
        <f t="shared" si="9"/>
        <v/>
      </c>
      <c r="T110" s="540" t="str">
        <f t="shared" si="10"/>
        <v/>
      </c>
      <c r="U110" s="499" t="str">
        <f t="shared" si="11"/>
        <v/>
      </c>
      <c r="V110" s="71"/>
      <c r="W110" s="499" t="str">
        <f>IF(V110="","",IF(VLOOKUP(V110,'G-7 Rivers Data'!$AA$4:$AB$7,2,FALSE)=0,"Spatial Data Missing ⚠",VLOOKUP(V110,'G-7 Rivers Data'!$AA$4:$AB$7,2,FALSE)))</f>
        <v/>
      </c>
      <c r="X110" s="155"/>
      <c r="Y110" s="499" t="str">
        <f>IF(X110="","",IF(VLOOKUP(X110,'G-7 Rivers Data'!$AD$4:$AE$8,2,FALSE)=0,"Enrcoachment Data Missing ⚠",VLOOKUP(X110,'G-7 Rivers Data'!$AD$4:$AE$8,2,FALSE)))</f>
        <v/>
      </c>
      <c r="Z110" s="565" t="str">
        <f t="shared" si="12"/>
        <v/>
      </c>
      <c r="AA110" s="149"/>
      <c r="AB110" s="150"/>
      <c r="AH110" s="31" t="str">
        <f>IFERROR(INDEX('G-7 Rivers Data'!$AZ$3:$AZ$7,MATCH(C110,'G-7 Rivers Data'!$AY$3:$AY$7,0)),"")</f>
        <v/>
      </c>
    </row>
    <row r="111" spans="2:34" ht="14" x14ac:dyDescent="0.3">
      <c r="B111" s="141">
        <v>100</v>
      </c>
      <c r="C111" s="171"/>
      <c r="D111" s="172"/>
      <c r="E111" s="498" t="str">
        <f>IF(C111="","",VLOOKUP(C111,'G-7 Rivers Data'!$B$2:$G$8,2,FALSE))</f>
        <v/>
      </c>
      <c r="F111" s="499" t="str">
        <f>IFERROR(VLOOKUP(E111,'G-7 Rivers Data'!$C$4:$D$8,2,FALSE),"")</f>
        <v/>
      </c>
      <c r="G111" s="145"/>
      <c r="H111" s="499" t="str">
        <f>IFERROR(INDEX('G-7 Rivers Data'!$H$4:$L$8,MATCH(C111,'G-7 Rivers Data'!$B$4:$B$8,0),MATCH(G111,'G-7 Rivers Data'!$H$3:$L$3,0)),"")</f>
        <v/>
      </c>
      <c r="I111" s="154"/>
      <c r="J111" s="507" t="str">
        <f>IF(I111="","",IF(VLOOKUP(I111,'G-7 Rivers Data'!$AG$4:$AI$9,2,FALSE)=0,"Spatial Data Missing ⚠",VLOOKUP(I111,'G-7 Rivers Data'!$AG$4:$AI$9,2,FALSE)))</f>
        <v/>
      </c>
      <c r="K111" s="499" t="str">
        <f>IF(I111="","",IF(VLOOKUP(I111,'G-7 Rivers Data'!$AG$4:$AI$9,3,FALSE)=0,"Spatial Data Missing ⚠",VLOOKUP(I111,'G-7 Rivers Data'!$AG$4:$AI$9,3,FALSE)))</f>
        <v/>
      </c>
      <c r="L111" s="498" t="str">
        <f>IFERROR(INDEX('G-7 Rivers Data'!$O$3:$O$7,MATCH(G111,'G-7 Rivers Data'!$N$3:$N$7,0)),"")</f>
        <v/>
      </c>
      <c r="M111" s="82"/>
      <c r="N111" s="195"/>
      <c r="O111" s="507" t="str">
        <f t="shared" si="7"/>
        <v/>
      </c>
      <c r="P111" s="521" t="str">
        <f t="shared" si="8"/>
        <v/>
      </c>
      <c r="Q111" s="564" t="str">
        <f>IFERROR(IF(P111="Check Data ⚠","Check Data ⚠",VLOOKUP(P111,'G-4 Temporal multipliers'!$A$4:$C$37,3,FALSE)),"")</f>
        <v/>
      </c>
      <c r="R111" s="498" t="str">
        <f>IF(C111="","",VLOOKUP(C111,'G-7 Rivers Data'!$B$4:$G$8,4,FALSE))</f>
        <v/>
      </c>
      <c r="S111" s="507" t="str">
        <f t="shared" si="9"/>
        <v/>
      </c>
      <c r="T111" s="540" t="str">
        <f t="shared" si="10"/>
        <v/>
      </c>
      <c r="U111" s="499" t="str">
        <f t="shared" si="11"/>
        <v/>
      </c>
      <c r="V111" s="71"/>
      <c r="W111" s="499" t="str">
        <f>IF(V111="","",IF(VLOOKUP(V111,'G-7 Rivers Data'!$AA$4:$AB$7,2,FALSE)=0,"Spatial Data Missing ⚠",VLOOKUP(V111,'G-7 Rivers Data'!$AA$4:$AB$7,2,FALSE)))</f>
        <v/>
      </c>
      <c r="X111" s="155"/>
      <c r="Y111" s="499" t="str">
        <f>IF(X111="","",IF(VLOOKUP(X111,'G-7 Rivers Data'!$AD$4:$AE$8,2,FALSE)=0,"Enrcoachment Data Missing ⚠",VLOOKUP(X111,'G-7 Rivers Data'!$AD$4:$AE$8,2,FALSE)))</f>
        <v/>
      </c>
      <c r="Z111" s="565" t="str">
        <f t="shared" si="12"/>
        <v/>
      </c>
      <c r="AA111" s="149"/>
      <c r="AB111" s="150"/>
      <c r="AH111" s="31" t="str">
        <f>IFERROR(INDEX('G-7 Rivers Data'!$AZ$3:$AZ$7,MATCH(C111,'G-7 Rivers Data'!$AY$3:$AY$7,0)),"")</f>
        <v/>
      </c>
    </row>
    <row r="112" spans="2:34" ht="14" x14ac:dyDescent="0.3">
      <c r="B112" s="141">
        <v>101</v>
      </c>
      <c r="C112" s="171"/>
      <c r="D112" s="172"/>
      <c r="E112" s="498" t="str">
        <f>IF(C112="","",VLOOKUP(C112,'G-7 Rivers Data'!$B$2:$G$8,2,FALSE))</f>
        <v/>
      </c>
      <c r="F112" s="499" t="str">
        <f>IFERROR(VLOOKUP(E112,'G-7 Rivers Data'!$C$4:$D$8,2,FALSE),"")</f>
        <v/>
      </c>
      <c r="G112" s="145"/>
      <c r="H112" s="499" t="str">
        <f>IFERROR(INDEX('G-7 Rivers Data'!$H$4:$L$8,MATCH(C112,'G-7 Rivers Data'!$B$4:$B$8,0),MATCH(G112,'G-7 Rivers Data'!$H$3:$L$3,0)),"")</f>
        <v/>
      </c>
      <c r="I112" s="154"/>
      <c r="J112" s="507" t="str">
        <f>IF(I112="","",IF(VLOOKUP(I112,'G-7 Rivers Data'!$AG$4:$AI$9,2,FALSE)=0,"Spatial Data Missing ⚠",VLOOKUP(I112,'G-7 Rivers Data'!$AG$4:$AI$9,2,FALSE)))</f>
        <v/>
      </c>
      <c r="K112" s="499" t="str">
        <f>IF(I112="","",IF(VLOOKUP(I112,'G-7 Rivers Data'!$AG$4:$AI$9,3,FALSE)=0,"Spatial Data Missing ⚠",VLOOKUP(I112,'G-7 Rivers Data'!$AG$4:$AI$9,3,FALSE)))</f>
        <v/>
      </c>
      <c r="L112" s="498" t="str">
        <f>IFERROR(INDEX('G-7 Rivers Data'!$O$3:$O$7,MATCH(G112,'G-7 Rivers Data'!$N$3:$N$7,0)),"")</f>
        <v/>
      </c>
      <c r="M112" s="82"/>
      <c r="N112" s="195"/>
      <c r="O112" s="507" t="str">
        <f t="shared" si="7"/>
        <v/>
      </c>
      <c r="P112" s="521" t="str">
        <f t="shared" si="8"/>
        <v/>
      </c>
      <c r="Q112" s="564" t="str">
        <f>IFERROR(IF(P112="Check Data ⚠","Check Data ⚠",VLOOKUP(P112,'G-4 Temporal multipliers'!$A$4:$C$37,3,FALSE)),"")</f>
        <v/>
      </c>
      <c r="R112" s="498" t="str">
        <f>IF(C112="","",VLOOKUP(C112,'G-7 Rivers Data'!$B$4:$G$8,4,FALSE))</f>
        <v/>
      </c>
      <c r="S112" s="507" t="str">
        <f t="shared" si="9"/>
        <v/>
      </c>
      <c r="T112" s="540" t="str">
        <f t="shared" si="10"/>
        <v/>
      </c>
      <c r="U112" s="499" t="str">
        <f t="shared" si="11"/>
        <v/>
      </c>
      <c r="V112" s="71"/>
      <c r="W112" s="499" t="str">
        <f>IF(V112="","",IF(VLOOKUP(V112,'G-7 Rivers Data'!$AA$4:$AB$7,2,FALSE)=0,"Spatial Data Missing ⚠",VLOOKUP(V112,'G-7 Rivers Data'!$AA$4:$AB$7,2,FALSE)))</f>
        <v/>
      </c>
      <c r="X112" s="155"/>
      <c r="Y112" s="499" t="str">
        <f>IF(X112="","",IF(VLOOKUP(X112,'G-7 Rivers Data'!$AD$4:$AE$8,2,FALSE)=0,"Enrcoachment Data Missing ⚠",VLOOKUP(X112,'G-7 Rivers Data'!$AD$4:$AE$8,2,FALSE)))</f>
        <v/>
      </c>
      <c r="Z112" s="565" t="str">
        <f t="shared" si="12"/>
        <v/>
      </c>
      <c r="AA112" s="149"/>
      <c r="AB112" s="150"/>
      <c r="AH112" s="31" t="str">
        <f>IFERROR(INDEX('G-7 Rivers Data'!$AZ$3:$AZ$7,MATCH(C112,'G-7 Rivers Data'!$AY$3:$AY$7,0)),"")</f>
        <v/>
      </c>
    </row>
    <row r="113" spans="2:34" ht="14" x14ac:dyDescent="0.3">
      <c r="B113" s="141">
        <v>102</v>
      </c>
      <c r="C113" s="171"/>
      <c r="D113" s="172"/>
      <c r="E113" s="498" t="str">
        <f>IF(C113="","",VLOOKUP(C113,'G-7 Rivers Data'!$B$2:$G$8,2,FALSE))</f>
        <v/>
      </c>
      <c r="F113" s="499" t="str">
        <f>IFERROR(VLOOKUP(E113,'G-7 Rivers Data'!$C$4:$D$8,2,FALSE),"")</f>
        <v/>
      </c>
      <c r="G113" s="145"/>
      <c r="H113" s="499" t="str">
        <f>IFERROR(INDEX('G-7 Rivers Data'!$H$4:$L$8,MATCH(C113,'G-7 Rivers Data'!$B$4:$B$8,0),MATCH(G113,'G-7 Rivers Data'!$H$3:$L$3,0)),"")</f>
        <v/>
      </c>
      <c r="I113" s="154"/>
      <c r="J113" s="507" t="str">
        <f>IF(I113="","",IF(VLOOKUP(I113,'G-7 Rivers Data'!$AG$4:$AI$9,2,FALSE)=0,"Spatial Data Missing ⚠",VLOOKUP(I113,'G-7 Rivers Data'!$AG$4:$AI$9,2,FALSE)))</f>
        <v/>
      </c>
      <c r="K113" s="499" t="str">
        <f>IF(I113="","",IF(VLOOKUP(I113,'G-7 Rivers Data'!$AG$4:$AI$9,3,FALSE)=0,"Spatial Data Missing ⚠",VLOOKUP(I113,'G-7 Rivers Data'!$AG$4:$AI$9,3,FALSE)))</f>
        <v/>
      </c>
      <c r="L113" s="498" t="str">
        <f>IFERROR(INDEX('G-7 Rivers Data'!$O$3:$O$7,MATCH(G113,'G-7 Rivers Data'!$N$3:$N$7,0)),"")</f>
        <v/>
      </c>
      <c r="M113" s="82"/>
      <c r="N113" s="195"/>
      <c r="O113" s="507" t="str">
        <f t="shared" si="7"/>
        <v/>
      </c>
      <c r="P113" s="521" t="str">
        <f t="shared" si="8"/>
        <v/>
      </c>
      <c r="Q113" s="564" t="str">
        <f>IFERROR(IF(P113="Check Data ⚠","Check Data ⚠",VLOOKUP(P113,'G-4 Temporal multipliers'!$A$4:$C$37,3,FALSE)),"")</f>
        <v/>
      </c>
      <c r="R113" s="498" t="str">
        <f>IF(C113="","",VLOOKUP(C113,'G-7 Rivers Data'!$B$4:$G$8,4,FALSE))</f>
        <v/>
      </c>
      <c r="S113" s="507" t="str">
        <f t="shared" si="9"/>
        <v/>
      </c>
      <c r="T113" s="540" t="str">
        <f t="shared" si="10"/>
        <v/>
      </c>
      <c r="U113" s="499" t="str">
        <f t="shared" si="11"/>
        <v/>
      </c>
      <c r="V113" s="71"/>
      <c r="W113" s="499" t="str">
        <f>IF(V113="","",IF(VLOOKUP(V113,'G-7 Rivers Data'!$AA$4:$AB$7,2,FALSE)=0,"Spatial Data Missing ⚠",VLOOKUP(V113,'G-7 Rivers Data'!$AA$4:$AB$7,2,FALSE)))</f>
        <v/>
      </c>
      <c r="X113" s="155"/>
      <c r="Y113" s="499" t="str">
        <f>IF(X113="","",IF(VLOOKUP(X113,'G-7 Rivers Data'!$AD$4:$AE$8,2,FALSE)=0,"Enrcoachment Data Missing ⚠",VLOOKUP(X113,'G-7 Rivers Data'!$AD$4:$AE$8,2,FALSE)))</f>
        <v/>
      </c>
      <c r="Z113" s="565" t="str">
        <f t="shared" si="12"/>
        <v/>
      </c>
      <c r="AA113" s="149"/>
      <c r="AB113" s="150"/>
      <c r="AH113" s="31" t="str">
        <f>IFERROR(INDEX('G-7 Rivers Data'!$AZ$3:$AZ$7,MATCH(C113,'G-7 Rivers Data'!$AY$3:$AY$7,0)),"")</f>
        <v/>
      </c>
    </row>
    <row r="114" spans="2:34" ht="14" x14ac:dyDescent="0.3">
      <c r="B114" s="141">
        <v>103</v>
      </c>
      <c r="C114" s="171"/>
      <c r="D114" s="172"/>
      <c r="E114" s="498" t="str">
        <f>IF(C114="","",VLOOKUP(C114,'G-7 Rivers Data'!$B$2:$G$8,2,FALSE))</f>
        <v/>
      </c>
      <c r="F114" s="499" t="str">
        <f>IFERROR(VLOOKUP(E114,'G-7 Rivers Data'!$C$4:$D$8,2,FALSE),"")</f>
        <v/>
      </c>
      <c r="G114" s="145"/>
      <c r="H114" s="499" t="str">
        <f>IFERROR(INDEX('G-7 Rivers Data'!$H$4:$L$8,MATCH(C114,'G-7 Rivers Data'!$B$4:$B$8,0),MATCH(G114,'G-7 Rivers Data'!$H$3:$L$3,0)),"")</f>
        <v/>
      </c>
      <c r="I114" s="154"/>
      <c r="J114" s="507" t="str">
        <f>IF(I114="","",IF(VLOOKUP(I114,'G-7 Rivers Data'!$AG$4:$AI$9,2,FALSE)=0,"Spatial Data Missing ⚠",VLOOKUP(I114,'G-7 Rivers Data'!$AG$4:$AI$9,2,FALSE)))</f>
        <v/>
      </c>
      <c r="K114" s="499" t="str">
        <f>IF(I114="","",IF(VLOOKUP(I114,'G-7 Rivers Data'!$AG$4:$AI$9,3,FALSE)=0,"Spatial Data Missing ⚠",VLOOKUP(I114,'G-7 Rivers Data'!$AG$4:$AI$9,3,FALSE)))</f>
        <v/>
      </c>
      <c r="L114" s="498" t="str">
        <f>IFERROR(INDEX('G-7 Rivers Data'!$O$3:$O$7,MATCH(G114,'G-7 Rivers Data'!$N$3:$N$7,0)),"")</f>
        <v/>
      </c>
      <c r="M114" s="82"/>
      <c r="N114" s="195"/>
      <c r="O114" s="507" t="str">
        <f t="shared" si="7"/>
        <v/>
      </c>
      <c r="P114" s="521" t="str">
        <f t="shared" si="8"/>
        <v/>
      </c>
      <c r="Q114" s="564" t="str">
        <f>IFERROR(IF(P114="Check Data ⚠","Check Data ⚠",VLOOKUP(P114,'G-4 Temporal multipliers'!$A$4:$C$37,3,FALSE)),"")</f>
        <v/>
      </c>
      <c r="R114" s="498" t="str">
        <f>IF(C114="","",VLOOKUP(C114,'G-7 Rivers Data'!$B$4:$G$8,4,FALSE))</f>
        <v/>
      </c>
      <c r="S114" s="507" t="str">
        <f t="shared" si="9"/>
        <v/>
      </c>
      <c r="T114" s="540" t="str">
        <f t="shared" si="10"/>
        <v/>
      </c>
      <c r="U114" s="499" t="str">
        <f t="shared" si="11"/>
        <v/>
      </c>
      <c r="V114" s="71"/>
      <c r="W114" s="499" t="str">
        <f>IF(V114="","",IF(VLOOKUP(V114,'G-7 Rivers Data'!$AA$4:$AB$7,2,FALSE)=0,"Spatial Data Missing ⚠",VLOOKUP(V114,'G-7 Rivers Data'!$AA$4:$AB$7,2,FALSE)))</f>
        <v/>
      </c>
      <c r="X114" s="155"/>
      <c r="Y114" s="499" t="str">
        <f>IF(X114="","",IF(VLOOKUP(X114,'G-7 Rivers Data'!$AD$4:$AE$8,2,FALSE)=0,"Enrcoachment Data Missing ⚠",VLOOKUP(X114,'G-7 Rivers Data'!$AD$4:$AE$8,2,FALSE)))</f>
        <v/>
      </c>
      <c r="Z114" s="565" t="str">
        <f t="shared" si="12"/>
        <v/>
      </c>
      <c r="AA114" s="149"/>
      <c r="AB114" s="150"/>
      <c r="AH114" s="31" t="str">
        <f>IFERROR(INDEX('G-7 Rivers Data'!$AZ$3:$AZ$7,MATCH(C114,'G-7 Rivers Data'!$AY$3:$AY$7,0)),"")</f>
        <v/>
      </c>
    </row>
    <row r="115" spans="2:34" ht="14" x14ac:dyDescent="0.3">
      <c r="B115" s="141">
        <v>104</v>
      </c>
      <c r="C115" s="171"/>
      <c r="D115" s="172"/>
      <c r="E115" s="498" t="str">
        <f>IF(C115="","",VLOOKUP(C115,'G-7 Rivers Data'!$B$2:$G$8,2,FALSE))</f>
        <v/>
      </c>
      <c r="F115" s="499" t="str">
        <f>IFERROR(VLOOKUP(E115,'G-7 Rivers Data'!$C$4:$D$8,2,FALSE),"")</f>
        <v/>
      </c>
      <c r="G115" s="145"/>
      <c r="H115" s="499" t="str">
        <f>IFERROR(INDEX('G-7 Rivers Data'!$H$4:$L$8,MATCH(C115,'G-7 Rivers Data'!$B$4:$B$8,0),MATCH(G115,'G-7 Rivers Data'!$H$3:$L$3,0)),"")</f>
        <v/>
      </c>
      <c r="I115" s="154"/>
      <c r="J115" s="507" t="str">
        <f>IF(I115="","",IF(VLOOKUP(I115,'G-7 Rivers Data'!$AG$4:$AI$9,2,FALSE)=0,"Spatial Data Missing ⚠",VLOOKUP(I115,'G-7 Rivers Data'!$AG$4:$AI$9,2,FALSE)))</f>
        <v/>
      </c>
      <c r="K115" s="499" t="str">
        <f>IF(I115="","",IF(VLOOKUP(I115,'G-7 Rivers Data'!$AG$4:$AI$9,3,FALSE)=0,"Spatial Data Missing ⚠",VLOOKUP(I115,'G-7 Rivers Data'!$AG$4:$AI$9,3,FALSE)))</f>
        <v/>
      </c>
      <c r="L115" s="498" t="str">
        <f>IFERROR(INDEX('G-7 Rivers Data'!$O$3:$O$7,MATCH(G115,'G-7 Rivers Data'!$N$3:$N$7,0)),"")</f>
        <v/>
      </c>
      <c r="M115" s="82"/>
      <c r="N115" s="195"/>
      <c r="O115" s="507" t="str">
        <f t="shared" si="7"/>
        <v/>
      </c>
      <c r="P115" s="521" t="str">
        <f t="shared" si="8"/>
        <v/>
      </c>
      <c r="Q115" s="564" t="str">
        <f>IFERROR(IF(P115="Check Data ⚠","Check Data ⚠",VLOOKUP(P115,'G-4 Temporal multipliers'!$A$4:$C$37,3,FALSE)),"")</f>
        <v/>
      </c>
      <c r="R115" s="498" t="str">
        <f>IF(C115="","",VLOOKUP(C115,'G-7 Rivers Data'!$B$4:$G$8,4,FALSE))</f>
        <v/>
      </c>
      <c r="S115" s="507" t="str">
        <f t="shared" si="9"/>
        <v/>
      </c>
      <c r="T115" s="540" t="str">
        <f t="shared" si="10"/>
        <v/>
      </c>
      <c r="U115" s="499" t="str">
        <f t="shared" si="11"/>
        <v/>
      </c>
      <c r="V115" s="71"/>
      <c r="W115" s="499" t="str">
        <f>IF(V115="","",IF(VLOOKUP(V115,'G-7 Rivers Data'!$AA$4:$AB$7,2,FALSE)=0,"Spatial Data Missing ⚠",VLOOKUP(V115,'G-7 Rivers Data'!$AA$4:$AB$7,2,FALSE)))</f>
        <v/>
      </c>
      <c r="X115" s="155"/>
      <c r="Y115" s="499" t="str">
        <f>IF(X115="","",IF(VLOOKUP(X115,'G-7 Rivers Data'!$AD$4:$AE$8,2,FALSE)=0,"Enrcoachment Data Missing ⚠",VLOOKUP(X115,'G-7 Rivers Data'!$AD$4:$AE$8,2,FALSE)))</f>
        <v/>
      </c>
      <c r="Z115" s="565" t="str">
        <f t="shared" si="12"/>
        <v/>
      </c>
      <c r="AA115" s="149"/>
      <c r="AB115" s="150"/>
      <c r="AH115" s="31" t="str">
        <f>IFERROR(INDEX('G-7 Rivers Data'!$AZ$3:$AZ$7,MATCH(C115,'G-7 Rivers Data'!$AY$3:$AY$7,0)),"")</f>
        <v/>
      </c>
    </row>
    <row r="116" spans="2:34" ht="14" x14ac:dyDescent="0.3">
      <c r="B116" s="141">
        <v>105</v>
      </c>
      <c r="C116" s="171"/>
      <c r="D116" s="172"/>
      <c r="E116" s="498" t="str">
        <f>IF(C116="","",VLOOKUP(C116,'G-7 Rivers Data'!$B$2:$G$8,2,FALSE))</f>
        <v/>
      </c>
      <c r="F116" s="499" t="str">
        <f>IFERROR(VLOOKUP(E116,'G-7 Rivers Data'!$C$4:$D$8,2,FALSE),"")</f>
        <v/>
      </c>
      <c r="G116" s="145"/>
      <c r="H116" s="499" t="str">
        <f>IFERROR(INDEX('G-7 Rivers Data'!$H$4:$L$8,MATCH(C116,'G-7 Rivers Data'!$B$4:$B$8,0),MATCH(G116,'G-7 Rivers Data'!$H$3:$L$3,0)),"")</f>
        <v/>
      </c>
      <c r="I116" s="154"/>
      <c r="J116" s="507" t="str">
        <f>IF(I116="","",IF(VLOOKUP(I116,'G-7 Rivers Data'!$AG$4:$AI$9,2,FALSE)=0,"Spatial Data Missing ⚠",VLOOKUP(I116,'G-7 Rivers Data'!$AG$4:$AI$9,2,FALSE)))</f>
        <v/>
      </c>
      <c r="K116" s="499" t="str">
        <f>IF(I116="","",IF(VLOOKUP(I116,'G-7 Rivers Data'!$AG$4:$AI$9,3,FALSE)=0,"Spatial Data Missing ⚠",VLOOKUP(I116,'G-7 Rivers Data'!$AG$4:$AI$9,3,FALSE)))</f>
        <v/>
      </c>
      <c r="L116" s="498" t="str">
        <f>IFERROR(INDEX('G-7 Rivers Data'!$O$3:$O$7,MATCH(G116,'G-7 Rivers Data'!$N$3:$N$7,0)),"")</f>
        <v/>
      </c>
      <c r="M116" s="82"/>
      <c r="N116" s="195"/>
      <c r="O116" s="507" t="str">
        <f t="shared" si="7"/>
        <v/>
      </c>
      <c r="P116" s="521" t="str">
        <f t="shared" si="8"/>
        <v/>
      </c>
      <c r="Q116" s="564" t="str">
        <f>IFERROR(IF(P116="Check Data ⚠","Check Data ⚠",VLOOKUP(P116,'G-4 Temporal multipliers'!$A$4:$C$37,3,FALSE)),"")</f>
        <v/>
      </c>
      <c r="R116" s="498" t="str">
        <f>IF(C116="","",VLOOKUP(C116,'G-7 Rivers Data'!$B$4:$G$8,4,FALSE))</f>
        <v/>
      </c>
      <c r="S116" s="507" t="str">
        <f t="shared" si="9"/>
        <v/>
      </c>
      <c r="T116" s="540" t="str">
        <f t="shared" si="10"/>
        <v/>
      </c>
      <c r="U116" s="499" t="str">
        <f t="shared" si="11"/>
        <v/>
      </c>
      <c r="V116" s="71"/>
      <c r="W116" s="499" t="str">
        <f>IF(V116="","",IF(VLOOKUP(V116,'G-7 Rivers Data'!$AA$4:$AB$7,2,FALSE)=0,"Spatial Data Missing ⚠",VLOOKUP(V116,'G-7 Rivers Data'!$AA$4:$AB$7,2,FALSE)))</f>
        <v/>
      </c>
      <c r="X116" s="155"/>
      <c r="Y116" s="499" t="str">
        <f>IF(X116="","",IF(VLOOKUP(X116,'G-7 Rivers Data'!$AD$4:$AE$8,2,FALSE)=0,"Enrcoachment Data Missing ⚠",VLOOKUP(X116,'G-7 Rivers Data'!$AD$4:$AE$8,2,FALSE)))</f>
        <v/>
      </c>
      <c r="Z116" s="565" t="str">
        <f t="shared" si="12"/>
        <v/>
      </c>
      <c r="AA116" s="149"/>
      <c r="AB116" s="150"/>
      <c r="AH116" s="31" t="str">
        <f>IFERROR(INDEX('G-7 Rivers Data'!$AZ$3:$AZ$7,MATCH(C116,'G-7 Rivers Data'!$AY$3:$AY$7,0)),"")</f>
        <v/>
      </c>
    </row>
    <row r="117" spans="2:34" ht="14" x14ac:dyDescent="0.3">
      <c r="B117" s="141">
        <v>106</v>
      </c>
      <c r="C117" s="171"/>
      <c r="D117" s="172"/>
      <c r="E117" s="498" t="str">
        <f>IF(C117="","",VLOOKUP(C117,'G-7 Rivers Data'!$B$2:$G$8,2,FALSE))</f>
        <v/>
      </c>
      <c r="F117" s="499" t="str">
        <f>IFERROR(VLOOKUP(E117,'G-7 Rivers Data'!$C$4:$D$8,2,FALSE),"")</f>
        <v/>
      </c>
      <c r="G117" s="145"/>
      <c r="H117" s="499" t="str">
        <f>IFERROR(INDEX('G-7 Rivers Data'!$H$4:$L$8,MATCH(C117,'G-7 Rivers Data'!$B$4:$B$8,0),MATCH(G117,'G-7 Rivers Data'!$H$3:$L$3,0)),"")</f>
        <v/>
      </c>
      <c r="I117" s="154"/>
      <c r="J117" s="507" t="str">
        <f>IF(I117="","",IF(VLOOKUP(I117,'G-7 Rivers Data'!$AG$4:$AI$9,2,FALSE)=0,"Spatial Data Missing ⚠",VLOOKUP(I117,'G-7 Rivers Data'!$AG$4:$AI$9,2,FALSE)))</f>
        <v/>
      </c>
      <c r="K117" s="499" t="str">
        <f>IF(I117="","",IF(VLOOKUP(I117,'G-7 Rivers Data'!$AG$4:$AI$9,3,FALSE)=0,"Spatial Data Missing ⚠",VLOOKUP(I117,'G-7 Rivers Data'!$AG$4:$AI$9,3,FALSE)))</f>
        <v/>
      </c>
      <c r="L117" s="498" t="str">
        <f>IFERROR(INDEX('G-7 Rivers Data'!$O$3:$O$7,MATCH(G117,'G-7 Rivers Data'!$N$3:$N$7,0)),"")</f>
        <v/>
      </c>
      <c r="M117" s="82"/>
      <c r="N117" s="195"/>
      <c r="O117" s="507" t="str">
        <f t="shared" si="7"/>
        <v/>
      </c>
      <c r="P117" s="521" t="str">
        <f t="shared" si="8"/>
        <v/>
      </c>
      <c r="Q117" s="564" t="str">
        <f>IFERROR(IF(P117="Check Data ⚠","Check Data ⚠",VLOOKUP(P117,'G-4 Temporal multipliers'!$A$4:$C$37,3,FALSE)),"")</f>
        <v/>
      </c>
      <c r="R117" s="498" t="str">
        <f>IF(C117="","",VLOOKUP(C117,'G-7 Rivers Data'!$B$4:$G$8,4,FALSE))</f>
        <v/>
      </c>
      <c r="S117" s="507" t="str">
        <f t="shared" si="9"/>
        <v/>
      </c>
      <c r="T117" s="540" t="str">
        <f t="shared" si="10"/>
        <v/>
      </c>
      <c r="U117" s="499" t="str">
        <f t="shared" si="11"/>
        <v/>
      </c>
      <c r="V117" s="71"/>
      <c r="W117" s="499" t="str">
        <f>IF(V117="","",IF(VLOOKUP(V117,'G-7 Rivers Data'!$AA$4:$AB$7,2,FALSE)=0,"Spatial Data Missing ⚠",VLOOKUP(V117,'G-7 Rivers Data'!$AA$4:$AB$7,2,FALSE)))</f>
        <v/>
      </c>
      <c r="X117" s="155"/>
      <c r="Y117" s="499" t="str">
        <f>IF(X117="","",IF(VLOOKUP(X117,'G-7 Rivers Data'!$AD$4:$AE$8,2,FALSE)=0,"Enrcoachment Data Missing ⚠",VLOOKUP(X117,'G-7 Rivers Data'!$AD$4:$AE$8,2,FALSE)))</f>
        <v/>
      </c>
      <c r="Z117" s="565" t="str">
        <f t="shared" si="12"/>
        <v/>
      </c>
      <c r="AA117" s="149"/>
      <c r="AB117" s="150"/>
      <c r="AH117" s="31" t="str">
        <f>IFERROR(INDEX('G-7 Rivers Data'!$AZ$3:$AZ$7,MATCH(C117,'G-7 Rivers Data'!$AY$3:$AY$7,0)),"")</f>
        <v/>
      </c>
    </row>
    <row r="118" spans="2:34" ht="14" x14ac:dyDescent="0.3">
      <c r="B118" s="141">
        <v>107</v>
      </c>
      <c r="C118" s="171"/>
      <c r="D118" s="172"/>
      <c r="E118" s="498" t="str">
        <f>IF(C118="","",VLOOKUP(C118,'G-7 Rivers Data'!$B$2:$G$8,2,FALSE))</f>
        <v/>
      </c>
      <c r="F118" s="499" t="str">
        <f>IFERROR(VLOOKUP(E118,'G-7 Rivers Data'!$C$4:$D$8,2,FALSE),"")</f>
        <v/>
      </c>
      <c r="G118" s="145"/>
      <c r="H118" s="499" t="str">
        <f>IFERROR(INDEX('G-7 Rivers Data'!$H$4:$L$8,MATCH(C118,'G-7 Rivers Data'!$B$4:$B$8,0),MATCH(G118,'G-7 Rivers Data'!$H$3:$L$3,0)),"")</f>
        <v/>
      </c>
      <c r="I118" s="154"/>
      <c r="J118" s="507" t="str">
        <f>IF(I118="","",IF(VLOOKUP(I118,'G-7 Rivers Data'!$AG$4:$AI$9,2,FALSE)=0,"Spatial Data Missing ⚠",VLOOKUP(I118,'G-7 Rivers Data'!$AG$4:$AI$9,2,FALSE)))</f>
        <v/>
      </c>
      <c r="K118" s="499" t="str">
        <f>IF(I118="","",IF(VLOOKUP(I118,'G-7 Rivers Data'!$AG$4:$AI$9,3,FALSE)=0,"Spatial Data Missing ⚠",VLOOKUP(I118,'G-7 Rivers Data'!$AG$4:$AI$9,3,FALSE)))</f>
        <v/>
      </c>
      <c r="L118" s="498" t="str">
        <f>IFERROR(INDEX('G-7 Rivers Data'!$O$3:$O$7,MATCH(G118,'G-7 Rivers Data'!$N$3:$N$7,0)),"")</f>
        <v/>
      </c>
      <c r="M118" s="82"/>
      <c r="N118" s="195"/>
      <c r="O118" s="507" t="str">
        <f t="shared" si="7"/>
        <v/>
      </c>
      <c r="P118" s="521" t="str">
        <f t="shared" si="8"/>
        <v/>
      </c>
      <c r="Q118" s="564" t="str">
        <f>IFERROR(IF(P118="Check Data ⚠","Check Data ⚠",VLOOKUP(P118,'G-4 Temporal multipliers'!$A$4:$C$37,3,FALSE)),"")</f>
        <v/>
      </c>
      <c r="R118" s="498" t="str">
        <f>IF(C118="","",VLOOKUP(C118,'G-7 Rivers Data'!$B$4:$G$8,4,FALSE))</f>
        <v/>
      </c>
      <c r="S118" s="507" t="str">
        <f t="shared" si="9"/>
        <v/>
      </c>
      <c r="T118" s="540" t="str">
        <f t="shared" si="10"/>
        <v/>
      </c>
      <c r="U118" s="499" t="str">
        <f t="shared" si="11"/>
        <v/>
      </c>
      <c r="V118" s="71"/>
      <c r="W118" s="499" t="str">
        <f>IF(V118="","",IF(VLOOKUP(V118,'G-7 Rivers Data'!$AA$4:$AB$7,2,FALSE)=0,"Spatial Data Missing ⚠",VLOOKUP(V118,'G-7 Rivers Data'!$AA$4:$AB$7,2,FALSE)))</f>
        <v/>
      </c>
      <c r="X118" s="155"/>
      <c r="Y118" s="499" t="str">
        <f>IF(X118="","",IF(VLOOKUP(X118,'G-7 Rivers Data'!$AD$4:$AE$8,2,FALSE)=0,"Enrcoachment Data Missing ⚠",VLOOKUP(X118,'G-7 Rivers Data'!$AD$4:$AE$8,2,FALSE)))</f>
        <v/>
      </c>
      <c r="Z118" s="565" t="str">
        <f t="shared" si="12"/>
        <v/>
      </c>
      <c r="AA118" s="149"/>
      <c r="AB118" s="150"/>
      <c r="AH118" s="31" t="str">
        <f>IFERROR(INDEX('G-7 Rivers Data'!$AZ$3:$AZ$7,MATCH(C118,'G-7 Rivers Data'!$AY$3:$AY$7,0)),"")</f>
        <v/>
      </c>
    </row>
    <row r="119" spans="2:34" ht="14" x14ac:dyDescent="0.3">
      <c r="B119" s="141">
        <v>108</v>
      </c>
      <c r="C119" s="171"/>
      <c r="D119" s="172"/>
      <c r="E119" s="498" t="str">
        <f>IF(C119="","",VLOOKUP(C119,'G-7 Rivers Data'!$B$2:$G$8,2,FALSE))</f>
        <v/>
      </c>
      <c r="F119" s="499" t="str">
        <f>IFERROR(VLOOKUP(E119,'G-7 Rivers Data'!$C$4:$D$8,2,FALSE),"")</f>
        <v/>
      </c>
      <c r="G119" s="145"/>
      <c r="H119" s="499" t="str">
        <f>IFERROR(INDEX('G-7 Rivers Data'!$H$4:$L$8,MATCH(C119,'G-7 Rivers Data'!$B$4:$B$8,0),MATCH(G119,'G-7 Rivers Data'!$H$3:$L$3,0)),"")</f>
        <v/>
      </c>
      <c r="I119" s="154"/>
      <c r="J119" s="507" t="str">
        <f>IF(I119="","",IF(VLOOKUP(I119,'G-7 Rivers Data'!$AG$4:$AI$9,2,FALSE)=0,"Spatial Data Missing ⚠",VLOOKUP(I119,'G-7 Rivers Data'!$AG$4:$AI$9,2,FALSE)))</f>
        <v/>
      </c>
      <c r="K119" s="499" t="str">
        <f>IF(I119="","",IF(VLOOKUP(I119,'G-7 Rivers Data'!$AG$4:$AI$9,3,FALSE)=0,"Spatial Data Missing ⚠",VLOOKUP(I119,'G-7 Rivers Data'!$AG$4:$AI$9,3,FALSE)))</f>
        <v/>
      </c>
      <c r="L119" s="498" t="str">
        <f>IFERROR(INDEX('G-7 Rivers Data'!$O$3:$O$7,MATCH(G119,'G-7 Rivers Data'!$N$3:$N$7,0)),"")</f>
        <v/>
      </c>
      <c r="M119" s="82"/>
      <c r="N119" s="195"/>
      <c r="O119" s="507" t="str">
        <f t="shared" si="7"/>
        <v/>
      </c>
      <c r="P119" s="521" t="str">
        <f t="shared" si="8"/>
        <v/>
      </c>
      <c r="Q119" s="564" t="str">
        <f>IFERROR(IF(P119="Check Data ⚠","Check Data ⚠",VLOOKUP(P119,'G-4 Temporal multipliers'!$A$4:$C$37,3,FALSE)),"")</f>
        <v/>
      </c>
      <c r="R119" s="498" t="str">
        <f>IF(C119="","",VLOOKUP(C119,'G-7 Rivers Data'!$B$4:$G$8,4,FALSE))</f>
        <v/>
      </c>
      <c r="S119" s="507" t="str">
        <f t="shared" si="9"/>
        <v/>
      </c>
      <c r="T119" s="540" t="str">
        <f t="shared" si="10"/>
        <v/>
      </c>
      <c r="U119" s="499" t="str">
        <f t="shared" si="11"/>
        <v/>
      </c>
      <c r="V119" s="71"/>
      <c r="W119" s="499" t="str">
        <f>IF(V119="","",IF(VLOOKUP(V119,'G-7 Rivers Data'!$AA$4:$AB$7,2,FALSE)=0,"Spatial Data Missing ⚠",VLOOKUP(V119,'G-7 Rivers Data'!$AA$4:$AB$7,2,FALSE)))</f>
        <v/>
      </c>
      <c r="X119" s="155"/>
      <c r="Y119" s="499" t="str">
        <f>IF(X119="","",IF(VLOOKUP(X119,'G-7 Rivers Data'!$AD$4:$AE$8,2,FALSE)=0,"Enrcoachment Data Missing ⚠",VLOOKUP(X119,'G-7 Rivers Data'!$AD$4:$AE$8,2,FALSE)))</f>
        <v/>
      </c>
      <c r="Z119" s="565" t="str">
        <f t="shared" si="12"/>
        <v/>
      </c>
      <c r="AA119" s="149"/>
      <c r="AB119" s="150"/>
      <c r="AH119" s="31" t="str">
        <f>IFERROR(INDEX('G-7 Rivers Data'!$AZ$3:$AZ$7,MATCH(C119,'G-7 Rivers Data'!$AY$3:$AY$7,0)),"")</f>
        <v/>
      </c>
    </row>
    <row r="120" spans="2:34" ht="14" x14ac:dyDescent="0.3">
      <c r="B120" s="141">
        <v>109</v>
      </c>
      <c r="C120" s="171"/>
      <c r="D120" s="172"/>
      <c r="E120" s="498" t="str">
        <f>IF(C120="","",VLOOKUP(C120,'G-7 Rivers Data'!$B$2:$G$8,2,FALSE))</f>
        <v/>
      </c>
      <c r="F120" s="499" t="str">
        <f>IFERROR(VLOOKUP(E120,'G-7 Rivers Data'!$C$4:$D$8,2,FALSE),"")</f>
        <v/>
      </c>
      <c r="G120" s="145"/>
      <c r="H120" s="499" t="str">
        <f>IFERROR(INDEX('G-7 Rivers Data'!$H$4:$L$8,MATCH(C120,'G-7 Rivers Data'!$B$4:$B$8,0),MATCH(G120,'G-7 Rivers Data'!$H$3:$L$3,0)),"")</f>
        <v/>
      </c>
      <c r="I120" s="154"/>
      <c r="J120" s="507" t="str">
        <f>IF(I120="","",IF(VLOOKUP(I120,'G-7 Rivers Data'!$AG$4:$AI$9,2,FALSE)=0,"Spatial Data Missing ⚠",VLOOKUP(I120,'G-7 Rivers Data'!$AG$4:$AI$9,2,FALSE)))</f>
        <v/>
      </c>
      <c r="K120" s="499" t="str">
        <f>IF(I120="","",IF(VLOOKUP(I120,'G-7 Rivers Data'!$AG$4:$AI$9,3,FALSE)=0,"Spatial Data Missing ⚠",VLOOKUP(I120,'G-7 Rivers Data'!$AG$4:$AI$9,3,FALSE)))</f>
        <v/>
      </c>
      <c r="L120" s="498" t="str">
        <f>IFERROR(INDEX('G-7 Rivers Data'!$O$3:$O$7,MATCH(G120,'G-7 Rivers Data'!$N$3:$N$7,0)),"")</f>
        <v/>
      </c>
      <c r="M120" s="82"/>
      <c r="N120" s="195"/>
      <c r="O120" s="507" t="str">
        <f t="shared" si="7"/>
        <v/>
      </c>
      <c r="P120" s="521" t="str">
        <f t="shared" si="8"/>
        <v/>
      </c>
      <c r="Q120" s="564" t="str">
        <f>IFERROR(IF(P120="Check Data ⚠","Check Data ⚠",VLOOKUP(P120,'G-4 Temporal multipliers'!$A$4:$C$37,3,FALSE)),"")</f>
        <v/>
      </c>
      <c r="R120" s="498" t="str">
        <f>IF(C120="","",VLOOKUP(C120,'G-7 Rivers Data'!$B$4:$G$8,4,FALSE))</f>
        <v/>
      </c>
      <c r="S120" s="507" t="str">
        <f t="shared" si="9"/>
        <v/>
      </c>
      <c r="T120" s="540" t="str">
        <f t="shared" si="10"/>
        <v/>
      </c>
      <c r="U120" s="499" t="str">
        <f t="shared" si="11"/>
        <v/>
      </c>
      <c r="V120" s="71"/>
      <c r="W120" s="499" t="str">
        <f>IF(V120="","",IF(VLOOKUP(V120,'G-7 Rivers Data'!$AA$4:$AB$7,2,FALSE)=0,"Spatial Data Missing ⚠",VLOOKUP(V120,'G-7 Rivers Data'!$AA$4:$AB$7,2,FALSE)))</f>
        <v/>
      </c>
      <c r="X120" s="155"/>
      <c r="Y120" s="499" t="str">
        <f>IF(X120="","",IF(VLOOKUP(X120,'G-7 Rivers Data'!$AD$4:$AE$8,2,FALSE)=0,"Enrcoachment Data Missing ⚠",VLOOKUP(X120,'G-7 Rivers Data'!$AD$4:$AE$8,2,FALSE)))</f>
        <v/>
      </c>
      <c r="Z120" s="565" t="str">
        <f t="shared" si="12"/>
        <v/>
      </c>
      <c r="AA120" s="149"/>
      <c r="AB120" s="150"/>
      <c r="AH120" s="31" t="str">
        <f>IFERROR(INDEX('G-7 Rivers Data'!$AZ$3:$AZ$7,MATCH(C120,'G-7 Rivers Data'!$AY$3:$AY$7,0)),"")</f>
        <v/>
      </c>
    </row>
    <row r="121" spans="2:34" ht="14" x14ac:dyDescent="0.3">
      <c r="B121" s="141">
        <v>110</v>
      </c>
      <c r="C121" s="171"/>
      <c r="D121" s="172"/>
      <c r="E121" s="498" t="str">
        <f>IF(C121="","",VLOOKUP(C121,'G-7 Rivers Data'!$B$2:$G$8,2,FALSE))</f>
        <v/>
      </c>
      <c r="F121" s="499" t="str">
        <f>IFERROR(VLOOKUP(E121,'G-7 Rivers Data'!$C$4:$D$8,2,FALSE),"")</f>
        <v/>
      </c>
      <c r="G121" s="145"/>
      <c r="H121" s="499" t="str">
        <f>IFERROR(INDEX('G-7 Rivers Data'!$H$4:$L$8,MATCH(C121,'G-7 Rivers Data'!$B$4:$B$8,0),MATCH(G121,'G-7 Rivers Data'!$H$3:$L$3,0)),"")</f>
        <v/>
      </c>
      <c r="I121" s="154"/>
      <c r="J121" s="507" t="str">
        <f>IF(I121="","",IF(VLOOKUP(I121,'G-7 Rivers Data'!$AG$4:$AI$9,2,FALSE)=0,"Spatial Data Missing ⚠",VLOOKUP(I121,'G-7 Rivers Data'!$AG$4:$AI$9,2,FALSE)))</f>
        <v/>
      </c>
      <c r="K121" s="499" t="str">
        <f>IF(I121="","",IF(VLOOKUP(I121,'G-7 Rivers Data'!$AG$4:$AI$9,3,FALSE)=0,"Spatial Data Missing ⚠",VLOOKUP(I121,'G-7 Rivers Data'!$AG$4:$AI$9,3,FALSE)))</f>
        <v/>
      </c>
      <c r="L121" s="498" t="str">
        <f>IFERROR(INDEX('G-7 Rivers Data'!$O$3:$O$7,MATCH(G121,'G-7 Rivers Data'!$N$3:$N$7,0)),"")</f>
        <v/>
      </c>
      <c r="M121" s="82"/>
      <c r="N121" s="195"/>
      <c r="O121" s="507" t="str">
        <f t="shared" si="7"/>
        <v/>
      </c>
      <c r="P121" s="521" t="str">
        <f t="shared" si="8"/>
        <v/>
      </c>
      <c r="Q121" s="564" t="str">
        <f>IFERROR(IF(P121="Check Data ⚠","Check Data ⚠",VLOOKUP(P121,'G-4 Temporal multipliers'!$A$4:$C$37,3,FALSE)),"")</f>
        <v/>
      </c>
      <c r="R121" s="498" t="str">
        <f>IF(C121="","",VLOOKUP(C121,'G-7 Rivers Data'!$B$4:$G$8,4,FALSE))</f>
        <v/>
      </c>
      <c r="S121" s="507" t="str">
        <f t="shared" si="9"/>
        <v/>
      </c>
      <c r="T121" s="540" t="str">
        <f t="shared" si="10"/>
        <v/>
      </c>
      <c r="U121" s="499" t="str">
        <f t="shared" si="11"/>
        <v/>
      </c>
      <c r="V121" s="71"/>
      <c r="W121" s="499" t="str">
        <f>IF(V121="","",IF(VLOOKUP(V121,'G-7 Rivers Data'!$AA$4:$AB$7,2,FALSE)=0,"Spatial Data Missing ⚠",VLOOKUP(V121,'G-7 Rivers Data'!$AA$4:$AB$7,2,FALSE)))</f>
        <v/>
      </c>
      <c r="X121" s="155"/>
      <c r="Y121" s="499" t="str">
        <f>IF(X121="","",IF(VLOOKUP(X121,'G-7 Rivers Data'!$AD$4:$AE$8,2,FALSE)=0,"Enrcoachment Data Missing ⚠",VLOOKUP(X121,'G-7 Rivers Data'!$AD$4:$AE$8,2,FALSE)))</f>
        <v/>
      </c>
      <c r="Z121" s="565" t="str">
        <f t="shared" si="12"/>
        <v/>
      </c>
      <c r="AA121" s="149"/>
      <c r="AB121" s="150"/>
      <c r="AH121" s="31" t="str">
        <f>IFERROR(INDEX('G-7 Rivers Data'!$AZ$3:$AZ$7,MATCH(C121,'G-7 Rivers Data'!$AY$3:$AY$7,0)),"")</f>
        <v/>
      </c>
    </row>
    <row r="122" spans="2:34" ht="14" x14ac:dyDescent="0.3">
      <c r="B122" s="141">
        <v>111</v>
      </c>
      <c r="C122" s="171"/>
      <c r="D122" s="172"/>
      <c r="E122" s="498" t="str">
        <f>IF(C122="","",VLOOKUP(C122,'G-7 Rivers Data'!$B$2:$G$8,2,FALSE))</f>
        <v/>
      </c>
      <c r="F122" s="499" t="str">
        <f>IFERROR(VLOOKUP(E122,'G-7 Rivers Data'!$C$4:$D$8,2,FALSE),"")</f>
        <v/>
      </c>
      <c r="G122" s="145"/>
      <c r="H122" s="499" t="str">
        <f>IFERROR(INDEX('G-7 Rivers Data'!$H$4:$L$8,MATCH(C122,'G-7 Rivers Data'!$B$4:$B$8,0),MATCH(G122,'G-7 Rivers Data'!$H$3:$L$3,0)),"")</f>
        <v/>
      </c>
      <c r="I122" s="154"/>
      <c r="J122" s="507" t="str">
        <f>IF(I122="","",IF(VLOOKUP(I122,'G-7 Rivers Data'!$AG$4:$AI$9,2,FALSE)=0,"Spatial Data Missing ⚠",VLOOKUP(I122,'G-7 Rivers Data'!$AG$4:$AI$9,2,FALSE)))</f>
        <v/>
      </c>
      <c r="K122" s="499" t="str">
        <f>IF(I122="","",IF(VLOOKUP(I122,'G-7 Rivers Data'!$AG$4:$AI$9,3,FALSE)=0,"Spatial Data Missing ⚠",VLOOKUP(I122,'G-7 Rivers Data'!$AG$4:$AI$9,3,FALSE)))</f>
        <v/>
      </c>
      <c r="L122" s="498" t="str">
        <f>IFERROR(INDEX('G-7 Rivers Data'!$O$3:$O$7,MATCH(G122,'G-7 Rivers Data'!$N$3:$N$7,0)),"")</f>
        <v/>
      </c>
      <c r="M122" s="82"/>
      <c r="N122" s="195"/>
      <c r="O122" s="507" t="str">
        <f t="shared" si="7"/>
        <v/>
      </c>
      <c r="P122" s="521" t="str">
        <f t="shared" si="8"/>
        <v/>
      </c>
      <c r="Q122" s="564" t="str">
        <f>IFERROR(IF(P122="Check Data ⚠","Check Data ⚠",VLOOKUP(P122,'G-4 Temporal multipliers'!$A$4:$C$37,3,FALSE)),"")</f>
        <v/>
      </c>
      <c r="R122" s="498" t="str">
        <f>IF(C122="","",VLOOKUP(C122,'G-7 Rivers Data'!$B$4:$G$8,4,FALSE))</f>
        <v/>
      </c>
      <c r="S122" s="507" t="str">
        <f t="shared" si="9"/>
        <v/>
      </c>
      <c r="T122" s="540" t="str">
        <f t="shared" si="10"/>
        <v/>
      </c>
      <c r="U122" s="499" t="str">
        <f t="shared" si="11"/>
        <v/>
      </c>
      <c r="V122" s="71"/>
      <c r="W122" s="499" t="str">
        <f>IF(V122="","",IF(VLOOKUP(V122,'G-7 Rivers Data'!$AA$4:$AB$7,2,FALSE)=0,"Spatial Data Missing ⚠",VLOOKUP(V122,'G-7 Rivers Data'!$AA$4:$AB$7,2,FALSE)))</f>
        <v/>
      </c>
      <c r="X122" s="155"/>
      <c r="Y122" s="499" t="str">
        <f>IF(X122="","",IF(VLOOKUP(X122,'G-7 Rivers Data'!$AD$4:$AE$8,2,FALSE)=0,"Enrcoachment Data Missing ⚠",VLOOKUP(X122,'G-7 Rivers Data'!$AD$4:$AE$8,2,FALSE)))</f>
        <v/>
      </c>
      <c r="Z122" s="565" t="str">
        <f t="shared" si="12"/>
        <v/>
      </c>
      <c r="AA122" s="149"/>
      <c r="AB122" s="150"/>
      <c r="AH122" s="31" t="str">
        <f>IFERROR(INDEX('G-7 Rivers Data'!$AZ$3:$AZ$7,MATCH(C122,'G-7 Rivers Data'!$AY$3:$AY$7,0)),"")</f>
        <v/>
      </c>
    </row>
    <row r="123" spans="2:34" ht="14" x14ac:dyDescent="0.3">
      <c r="B123" s="141">
        <v>112</v>
      </c>
      <c r="C123" s="171"/>
      <c r="D123" s="172"/>
      <c r="E123" s="498" t="str">
        <f>IF(C123="","",VLOOKUP(C123,'G-7 Rivers Data'!$B$2:$G$8,2,FALSE))</f>
        <v/>
      </c>
      <c r="F123" s="499" t="str">
        <f>IFERROR(VLOOKUP(E123,'G-7 Rivers Data'!$C$4:$D$8,2,FALSE),"")</f>
        <v/>
      </c>
      <c r="G123" s="145"/>
      <c r="H123" s="499" t="str">
        <f>IFERROR(INDEX('G-7 Rivers Data'!$H$4:$L$8,MATCH(C123,'G-7 Rivers Data'!$B$4:$B$8,0),MATCH(G123,'G-7 Rivers Data'!$H$3:$L$3,0)),"")</f>
        <v/>
      </c>
      <c r="I123" s="154"/>
      <c r="J123" s="507" t="str">
        <f>IF(I123="","",IF(VLOOKUP(I123,'G-7 Rivers Data'!$AG$4:$AI$9,2,FALSE)=0,"Spatial Data Missing ⚠",VLOOKUP(I123,'G-7 Rivers Data'!$AG$4:$AI$9,2,FALSE)))</f>
        <v/>
      </c>
      <c r="K123" s="499" t="str">
        <f>IF(I123="","",IF(VLOOKUP(I123,'G-7 Rivers Data'!$AG$4:$AI$9,3,FALSE)=0,"Spatial Data Missing ⚠",VLOOKUP(I123,'G-7 Rivers Data'!$AG$4:$AI$9,3,FALSE)))</f>
        <v/>
      </c>
      <c r="L123" s="498" t="str">
        <f>IFERROR(INDEX('G-7 Rivers Data'!$O$3:$O$7,MATCH(G123,'G-7 Rivers Data'!$N$3:$N$7,0)),"")</f>
        <v/>
      </c>
      <c r="M123" s="82"/>
      <c r="N123" s="195"/>
      <c r="O123" s="507" t="str">
        <f t="shared" si="7"/>
        <v/>
      </c>
      <c r="P123" s="521" t="str">
        <f t="shared" si="8"/>
        <v/>
      </c>
      <c r="Q123" s="564" t="str">
        <f>IFERROR(IF(P123="Check Data ⚠","Check Data ⚠",VLOOKUP(P123,'G-4 Temporal multipliers'!$A$4:$C$37,3,FALSE)),"")</f>
        <v/>
      </c>
      <c r="R123" s="498" t="str">
        <f>IF(C123="","",VLOOKUP(C123,'G-7 Rivers Data'!$B$4:$G$8,4,FALSE))</f>
        <v/>
      </c>
      <c r="S123" s="507" t="str">
        <f t="shared" si="9"/>
        <v/>
      </c>
      <c r="T123" s="540" t="str">
        <f t="shared" si="10"/>
        <v/>
      </c>
      <c r="U123" s="499" t="str">
        <f t="shared" si="11"/>
        <v/>
      </c>
      <c r="V123" s="71"/>
      <c r="W123" s="499" t="str">
        <f>IF(V123="","",IF(VLOOKUP(V123,'G-7 Rivers Data'!$AA$4:$AB$7,2,FALSE)=0,"Spatial Data Missing ⚠",VLOOKUP(V123,'G-7 Rivers Data'!$AA$4:$AB$7,2,FALSE)))</f>
        <v/>
      </c>
      <c r="X123" s="155"/>
      <c r="Y123" s="499" t="str">
        <f>IF(X123="","",IF(VLOOKUP(X123,'G-7 Rivers Data'!$AD$4:$AE$8,2,FALSE)=0,"Enrcoachment Data Missing ⚠",VLOOKUP(X123,'G-7 Rivers Data'!$AD$4:$AE$8,2,FALSE)))</f>
        <v/>
      </c>
      <c r="Z123" s="565" t="str">
        <f t="shared" si="12"/>
        <v/>
      </c>
      <c r="AA123" s="149"/>
      <c r="AB123" s="150"/>
      <c r="AH123" s="31" t="str">
        <f>IFERROR(INDEX('G-7 Rivers Data'!$AZ$3:$AZ$7,MATCH(C123,'G-7 Rivers Data'!$AY$3:$AY$7,0)),"")</f>
        <v/>
      </c>
    </row>
    <row r="124" spans="2:34" ht="14" x14ac:dyDescent="0.3">
      <c r="B124" s="141">
        <v>113</v>
      </c>
      <c r="C124" s="171"/>
      <c r="D124" s="172"/>
      <c r="E124" s="498" t="str">
        <f>IF(C124="","",VLOOKUP(C124,'G-7 Rivers Data'!$B$2:$G$8,2,FALSE))</f>
        <v/>
      </c>
      <c r="F124" s="499" t="str">
        <f>IFERROR(VLOOKUP(E124,'G-7 Rivers Data'!$C$4:$D$8,2,FALSE),"")</f>
        <v/>
      </c>
      <c r="G124" s="145"/>
      <c r="H124" s="499" t="str">
        <f>IFERROR(INDEX('G-7 Rivers Data'!$H$4:$L$8,MATCH(C124,'G-7 Rivers Data'!$B$4:$B$8,0),MATCH(G124,'G-7 Rivers Data'!$H$3:$L$3,0)),"")</f>
        <v/>
      </c>
      <c r="I124" s="154"/>
      <c r="J124" s="507" t="str">
        <f>IF(I124="","",IF(VLOOKUP(I124,'G-7 Rivers Data'!$AG$4:$AI$9,2,FALSE)=0,"Spatial Data Missing ⚠",VLOOKUP(I124,'G-7 Rivers Data'!$AG$4:$AI$9,2,FALSE)))</f>
        <v/>
      </c>
      <c r="K124" s="499" t="str">
        <f>IF(I124="","",IF(VLOOKUP(I124,'G-7 Rivers Data'!$AG$4:$AI$9,3,FALSE)=0,"Spatial Data Missing ⚠",VLOOKUP(I124,'G-7 Rivers Data'!$AG$4:$AI$9,3,FALSE)))</f>
        <v/>
      </c>
      <c r="L124" s="498" t="str">
        <f>IFERROR(INDEX('G-7 Rivers Data'!$O$3:$O$7,MATCH(G124,'G-7 Rivers Data'!$N$3:$N$7,0)),"")</f>
        <v/>
      </c>
      <c r="M124" s="82"/>
      <c r="N124" s="195"/>
      <c r="O124" s="507" t="str">
        <f t="shared" si="7"/>
        <v/>
      </c>
      <c r="P124" s="521" t="str">
        <f t="shared" si="8"/>
        <v/>
      </c>
      <c r="Q124" s="564" t="str">
        <f>IFERROR(IF(P124="Check Data ⚠","Check Data ⚠",VLOOKUP(P124,'G-4 Temporal multipliers'!$A$4:$C$37,3,FALSE)),"")</f>
        <v/>
      </c>
      <c r="R124" s="498" t="str">
        <f>IF(C124="","",VLOOKUP(C124,'G-7 Rivers Data'!$B$4:$G$8,4,FALSE))</f>
        <v/>
      </c>
      <c r="S124" s="507" t="str">
        <f t="shared" si="9"/>
        <v/>
      </c>
      <c r="T124" s="540" t="str">
        <f t="shared" si="10"/>
        <v/>
      </c>
      <c r="U124" s="499" t="str">
        <f t="shared" si="11"/>
        <v/>
      </c>
      <c r="V124" s="71"/>
      <c r="W124" s="499" t="str">
        <f>IF(V124="","",IF(VLOOKUP(V124,'G-7 Rivers Data'!$AA$4:$AB$7,2,FALSE)=0,"Spatial Data Missing ⚠",VLOOKUP(V124,'G-7 Rivers Data'!$AA$4:$AB$7,2,FALSE)))</f>
        <v/>
      </c>
      <c r="X124" s="155"/>
      <c r="Y124" s="499" t="str">
        <f>IF(X124="","",IF(VLOOKUP(X124,'G-7 Rivers Data'!$AD$4:$AE$8,2,FALSE)=0,"Enrcoachment Data Missing ⚠",VLOOKUP(X124,'G-7 Rivers Data'!$AD$4:$AE$8,2,FALSE)))</f>
        <v/>
      </c>
      <c r="Z124" s="565" t="str">
        <f t="shared" si="12"/>
        <v/>
      </c>
      <c r="AA124" s="149"/>
      <c r="AB124" s="150"/>
      <c r="AH124" s="31" t="str">
        <f>IFERROR(INDEX('G-7 Rivers Data'!$AZ$3:$AZ$7,MATCH(C124,'G-7 Rivers Data'!$AY$3:$AY$7,0)),"")</f>
        <v/>
      </c>
    </row>
    <row r="125" spans="2:34" ht="14" x14ac:dyDescent="0.3">
      <c r="B125" s="141">
        <v>114</v>
      </c>
      <c r="C125" s="171"/>
      <c r="D125" s="172"/>
      <c r="E125" s="498" t="str">
        <f>IF(C125="","",VLOOKUP(C125,'G-7 Rivers Data'!$B$2:$G$8,2,FALSE))</f>
        <v/>
      </c>
      <c r="F125" s="499" t="str">
        <f>IFERROR(VLOOKUP(E125,'G-7 Rivers Data'!$C$4:$D$8,2,FALSE),"")</f>
        <v/>
      </c>
      <c r="G125" s="145"/>
      <c r="H125" s="499" t="str">
        <f>IFERROR(INDEX('G-7 Rivers Data'!$H$4:$L$8,MATCH(C125,'G-7 Rivers Data'!$B$4:$B$8,0),MATCH(G125,'G-7 Rivers Data'!$H$3:$L$3,0)),"")</f>
        <v/>
      </c>
      <c r="I125" s="154"/>
      <c r="J125" s="507" t="str">
        <f>IF(I125="","",IF(VLOOKUP(I125,'G-7 Rivers Data'!$AG$4:$AI$9,2,FALSE)=0,"Spatial Data Missing ⚠",VLOOKUP(I125,'G-7 Rivers Data'!$AG$4:$AI$9,2,FALSE)))</f>
        <v/>
      </c>
      <c r="K125" s="499" t="str">
        <f>IF(I125="","",IF(VLOOKUP(I125,'G-7 Rivers Data'!$AG$4:$AI$9,3,FALSE)=0,"Spatial Data Missing ⚠",VLOOKUP(I125,'G-7 Rivers Data'!$AG$4:$AI$9,3,FALSE)))</f>
        <v/>
      </c>
      <c r="L125" s="498" t="str">
        <f>IFERROR(INDEX('G-7 Rivers Data'!$O$3:$O$7,MATCH(G125,'G-7 Rivers Data'!$N$3:$N$7,0)),"")</f>
        <v/>
      </c>
      <c r="M125" s="82"/>
      <c r="N125" s="195"/>
      <c r="O125" s="507" t="str">
        <f t="shared" si="7"/>
        <v/>
      </c>
      <c r="P125" s="521" t="str">
        <f t="shared" si="8"/>
        <v/>
      </c>
      <c r="Q125" s="564" t="str">
        <f>IFERROR(IF(P125="Check Data ⚠","Check Data ⚠",VLOOKUP(P125,'G-4 Temporal multipliers'!$A$4:$C$37,3,FALSE)),"")</f>
        <v/>
      </c>
      <c r="R125" s="498" t="str">
        <f>IF(C125="","",VLOOKUP(C125,'G-7 Rivers Data'!$B$4:$G$8,4,FALSE))</f>
        <v/>
      </c>
      <c r="S125" s="507" t="str">
        <f t="shared" si="9"/>
        <v/>
      </c>
      <c r="T125" s="540" t="str">
        <f t="shared" si="10"/>
        <v/>
      </c>
      <c r="U125" s="499" t="str">
        <f t="shared" si="11"/>
        <v/>
      </c>
      <c r="V125" s="71"/>
      <c r="W125" s="499" t="str">
        <f>IF(V125="","",IF(VLOOKUP(V125,'G-7 Rivers Data'!$AA$4:$AB$7,2,FALSE)=0,"Spatial Data Missing ⚠",VLOOKUP(V125,'G-7 Rivers Data'!$AA$4:$AB$7,2,FALSE)))</f>
        <v/>
      </c>
      <c r="X125" s="155"/>
      <c r="Y125" s="499" t="str">
        <f>IF(X125="","",IF(VLOOKUP(X125,'G-7 Rivers Data'!$AD$4:$AE$8,2,FALSE)=0,"Enrcoachment Data Missing ⚠",VLOOKUP(X125,'G-7 Rivers Data'!$AD$4:$AE$8,2,FALSE)))</f>
        <v/>
      </c>
      <c r="Z125" s="565" t="str">
        <f t="shared" si="12"/>
        <v/>
      </c>
      <c r="AA125" s="149"/>
      <c r="AB125" s="150"/>
      <c r="AH125" s="31" t="str">
        <f>IFERROR(INDEX('G-7 Rivers Data'!$AZ$3:$AZ$7,MATCH(C125,'G-7 Rivers Data'!$AY$3:$AY$7,0)),"")</f>
        <v/>
      </c>
    </row>
    <row r="126" spans="2:34" ht="14" x14ac:dyDescent="0.3">
      <c r="B126" s="141">
        <v>115</v>
      </c>
      <c r="C126" s="171"/>
      <c r="D126" s="172"/>
      <c r="E126" s="498" t="str">
        <f>IF(C126="","",VLOOKUP(C126,'G-7 Rivers Data'!$B$2:$G$8,2,FALSE))</f>
        <v/>
      </c>
      <c r="F126" s="499" t="str">
        <f>IFERROR(VLOOKUP(E126,'G-7 Rivers Data'!$C$4:$D$8,2,FALSE),"")</f>
        <v/>
      </c>
      <c r="G126" s="145"/>
      <c r="H126" s="499" t="str">
        <f>IFERROR(INDEX('G-7 Rivers Data'!$H$4:$L$8,MATCH(C126,'G-7 Rivers Data'!$B$4:$B$8,0),MATCH(G126,'G-7 Rivers Data'!$H$3:$L$3,0)),"")</f>
        <v/>
      </c>
      <c r="I126" s="154"/>
      <c r="J126" s="507" t="str">
        <f>IF(I126="","",IF(VLOOKUP(I126,'G-7 Rivers Data'!$AG$4:$AI$9,2,FALSE)=0,"Spatial Data Missing ⚠",VLOOKUP(I126,'G-7 Rivers Data'!$AG$4:$AI$9,2,FALSE)))</f>
        <v/>
      </c>
      <c r="K126" s="499" t="str">
        <f>IF(I126="","",IF(VLOOKUP(I126,'G-7 Rivers Data'!$AG$4:$AI$9,3,FALSE)=0,"Spatial Data Missing ⚠",VLOOKUP(I126,'G-7 Rivers Data'!$AG$4:$AI$9,3,FALSE)))</f>
        <v/>
      </c>
      <c r="L126" s="498" t="str">
        <f>IFERROR(INDEX('G-7 Rivers Data'!$O$3:$O$7,MATCH(G126,'G-7 Rivers Data'!$N$3:$N$7,0)),"")</f>
        <v/>
      </c>
      <c r="M126" s="82"/>
      <c r="N126" s="195"/>
      <c r="O126" s="507" t="str">
        <f t="shared" si="7"/>
        <v/>
      </c>
      <c r="P126" s="521" t="str">
        <f t="shared" si="8"/>
        <v/>
      </c>
      <c r="Q126" s="564" t="str">
        <f>IFERROR(IF(P126="Check Data ⚠","Check Data ⚠",VLOOKUP(P126,'G-4 Temporal multipliers'!$A$4:$C$37,3,FALSE)),"")</f>
        <v/>
      </c>
      <c r="R126" s="498" t="str">
        <f>IF(C126="","",VLOOKUP(C126,'G-7 Rivers Data'!$B$4:$G$8,4,FALSE))</f>
        <v/>
      </c>
      <c r="S126" s="507" t="str">
        <f t="shared" si="9"/>
        <v/>
      </c>
      <c r="T126" s="540" t="str">
        <f t="shared" si="10"/>
        <v/>
      </c>
      <c r="U126" s="499" t="str">
        <f t="shared" si="11"/>
        <v/>
      </c>
      <c r="V126" s="71"/>
      <c r="W126" s="499" t="str">
        <f>IF(V126="","",IF(VLOOKUP(V126,'G-7 Rivers Data'!$AA$4:$AB$7,2,FALSE)=0,"Spatial Data Missing ⚠",VLOOKUP(V126,'G-7 Rivers Data'!$AA$4:$AB$7,2,FALSE)))</f>
        <v/>
      </c>
      <c r="X126" s="155"/>
      <c r="Y126" s="499" t="str">
        <f>IF(X126="","",IF(VLOOKUP(X126,'G-7 Rivers Data'!$AD$4:$AE$8,2,FALSE)=0,"Enrcoachment Data Missing ⚠",VLOOKUP(X126,'G-7 Rivers Data'!$AD$4:$AE$8,2,FALSE)))</f>
        <v/>
      </c>
      <c r="Z126" s="565" t="str">
        <f t="shared" si="12"/>
        <v/>
      </c>
      <c r="AA126" s="149"/>
      <c r="AB126" s="150"/>
      <c r="AH126" s="31" t="str">
        <f>IFERROR(INDEX('G-7 Rivers Data'!$AZ$3:$AZ$7,MATCH(C126,'G-7 Rivers Data'!$AY$3:$AY$7,0)),"")</f>
        <v/>
      </c>
    </row>
    <row r="127" spans="2:34" ht="14" x14ac:dyDescent="0.3">
      <c r="B127" s="141">
        <v>116</v>
      </c>
      <c r="C127" s="171"/>
      <c r="D127" s="172"/>
      <c r="E127" s="498" t="str">
        <f>IF(C127="","",VLOOKUP(C127,'G-7 Rivers Data'!$B$2:$G$8,2,FALSE))</f>
        <v/>
      </c>
      <c r="F127" s="499" t="str">
        <f>IFERROR(VLOOKUP(E127,'G-7 Rivers Data'!$C$4:$D$8,2,FALSE),"")</f>
        <v/>
      </c>
      <c r="G127" s="145"/>
      <c r="H127" s="499" t="str">
        <f>IFERROR(INDEX('G-7 Rivers Data'!$H$4:$L$8,MATCH(C127,'G-7 Rivers Data'!$B$4:$B$8,0),MATCH(G127,'G-7 Rivers Data'!$H$3:$L$3,0)),"")</f>
        <v/>
      </c>
      <c r="I127" s="154"/>
      <c r="J127" s="507" t="str">
        <f>IF(I127="","",IF(VLOOKUP(I127,'G-7 Rivers Data'!$AG$4:$AI$9,2,FALSE)=0,"Spatial Data Missing ⚠",VLOOKUP(I127,'G-7 Rivers Data'!$AG$4:$AI$9,2,FALSE)))</f>
        <v/>
      </c>
      <c r="K127" s="499" t="str">
        <f>IF(I127="","",IF(VLOOKUP(I127,'G-7 Rivers Data'!$AG$4:$AI$9,3,FALSE)=0,"Spatial Data Missing ⚠",VLOOKUP(I127,'G-7 Rivers Data'!$AG$4:$AI$9,3,FALSE)))</f>
        <v/>
      </c>
      <c r="L127" s="498" t="str">
        <f>IFERROR(INDEX('G-7 Rivers Data'!$O$3:$O$7,MATCH(G127,'G-7 Rivers Data'!$N$3:$N$7,0)),"")</f>
        <v/>
      </c>
      <c r="M127" s="82"/>
      <c r="N127" s="195"/>
      <c r="O127" s="507" t="str">
        <f t="shared" si="7"/>
        <v/>
      </c>
      <c r="P127" s="521" t="str">
        <f t="shared" si="8"/>
        <v/>
      </c>
      <c r="Q127" s="564" t="str">
        <f>IFERROR(IF(P127="Check Data ⚠","Check Data ⚠",VLOOKUP(P127,'G-4 Temporal multipliers'!$A$4:$C$37,3,FALSE)),"")</f>
        <v/>
      </c>
      <c r="R127" s="498" t="str">
        <f>IF(C127="","",VLOOKUP(C127,'G-7 Rivers Data'!$B$4:$G$8,4,FALSE))</f>
        <v/>
      </c>
      <c r="S127" s="507" t="str">
        <f t="shared" si="9"/>
        <v/>
      </c>
      <c r="T127" s="540" t="str">
        <f t="shared" si="10"/>
        <v/>
      </c>
      <c r="U127" s="499" t="str">
        <f t="shared" si="11"/>
        <v/>
      </c>
      <c r="V127" s="71"/>
      <c r="W127" s="499" t="str">
        <f>IF(V127="","",IF(VLOOKUP(V127,'G-7 Rivers Data'!$AA$4:$AB$7,2,FALSE)=0,"Spatial Data Missing ⚠",VLOOKUP(V127,'G-7 Rivers Data'!$AA$4:$AB$7,2,FALSE)))</f>
        <v/>
      </c>
      <c r="X127" s="155"/>
      <c r="Y127" s="499" t="str">
        <f>IF(X127="","",IF(VLOOKUP(X127,'G-7 Rivers Data'!$AD$4:$AE$8,2,FALSE)=0,"Enrcoachment Data Missing ⚠",VLOOKUP(X127,'G-7 Rivers Data'!$AD$4:$AE$8,2,FALSE)))</f>
        <v/>
      </c>
      <c r="Z127" s="565" t="str">
        <f t="shared" si="12"/>
        <v/>
      </c>
      <c r="AA127" s="149"/>
      <c r="AB127" s="150"/>
      <c r="AH127" s="31" t="str">
        <f>IFERROR(INDEX('G-7 Rivers Data'!$AZ$3:$AZ$7,MATCH(C127,'G-7 Rivers Data'!$AY$3:$AY$7,0)),"")</f>
        <v/>
      </c>
    </row>
    <row r="128" spans="2:34" ht="14" x14ac:dyDescent="0.3">
      <c r="B128" s="141">
        <v>117</v>
      </c>
      <c r="C128" s="171"/>
      <c r="D128" s="172"/>
      <c r="E128" s="498" t="str">
        <f>IF(C128="","",VLOOKUP(C128,'G-7 Rivers Data'!$B$2:$G$8,2,FALSE))</f>
        <v/>
      </c>
      <c r="F128" s="499" t="str">
        <f>IFERROR(VLOOKUP(E128,'G-7 Rivers Data'!$C$4:$D$8,2,FALSE),"")</f>
        <v/>
      </c>
      <c r="G128" s="145"/>
      <c r="H128" s="499" t="str">
        <f>IFERROR(INDEX('G-7 Rivers Data'!$H$4:$L$8,MATCH(C128,'G-7 Rivers Data'!$B$4:$B$8,0),MATCH(G128,'G-7 Rivers Data'!$H$3:$L$3,0)),"")</f>
        <v/>
      </c>
      <c r="I128" s="154"/>
      <c r="J128" s="507" t="str">
        <f>IF(I128="","",IF(VLOOKUP(I128,'G-7 Rivers Data'!$AG$4:$AI$9,2,FALSE)=0,"Spatial Data Missing ⚠",VLOOKUP(I128,'G-7 Rivers Data'!$AG$4:$AI$9,2,FALSE)))</f>
        <v/>
      </c>
      <c r="K128" s="499" t="str">
        <f>IF(I128="","",IF(VLOOKUP(I128,'G-7 Rivers Data'!$AG$4:$AI$9,3,FALSE)=0,"Spatial Data Missing ⚠",VLOOKUP(I128,'G-7 Rivers Data'!$AG$4:$AI$9,3,FALSE)))</f>
        <v/>
      </c>
      <c r="L128" s="498" t="str">
        <f>IFERROR(INDEX('G-7 Rivers Data'!$O$3:$O$7,MATCH(G128,'G-7 Rivers Data'!$N$3:$N$7,0)),"")</f>
        <v/>
      </c>
      <c r="M128" s="82"/>
      <c r="N128" s="195"/>
      <c r="O128" s="507" t="str">
        <f t="shared" si="7"/>
        <v/>
      </c>
      <c r="P128" s="521" t="str">
        <f t="shared" si="8"/>
        <v/>
      </c>
      <c r="Q128" s="564" t="str">
        <f>IFERROR(IF(P128="Check Data ⚠","Check Data ⚠",VLOOKUP(P128,'G-4 Temporal multipliers'!$A$4:$C$37,3,FALSE)),"")</f>
        <v/>
      </c>
      <c r="R128" s="498" t="str">
        <f>IF(C128="","",VLOOKUP(C128,'G-7 Rivers Data'!$B$4:$G$8,4,FALSE))</f>
        <v/>
      </c>
      <c r="S128" s="507" t="str">
        <f t="shared" si="9"/>
        <v/>
      </c>
      <c r="T128" s="540" t="str">
        <f t="shared" si="10"/>
        <v/>
      </c>
      <c r="U128" s="499" t="str">
        <f t="shared" si="11"/>
        <v/>
      </c>
      <c r="V128" s="71"/>
      <c r="W128" s="499" t="str">
        <f>IF(V128="","",IF(VLOOKUP(V128,'G-7 Rivers Data'!$AA$4:$AB$7,2,FALSE)=0,"Spatial Data Missing ⚠",VLOOKUP(V128,'G-7 Rivers Data'!$AA$4:$AB$7,2,FALSE)))</f>
        <v/>
      </c>
      <c r="X128" s="155"/>
      <c r="Y128" s="499" t="str">
        <f>IF(X128="","",IF(VLOOKUP(X128,'G-7 Rivers Data'!$AD$4:$AE$8,2,FALSE)=0,"Enrcoachment Data Missing ⚠",VLOOKUP(X128,'G-7 Rivers Data'!$AD$4:$AE$8,2,FALSE)))</f>
        <v/>
      </c>
      <c r="Z128" s="565" t="str">
        <f t="shared" si="12"/>
        <v/>
      </c>
      <c r="AA128" s="149"/>
      <c r="AB128" s="150"/>
      <c r="AH128" s="31" t="str">
        <f>IFERROR(INDEX('G-7 Rivers Data'!$AZ$3:$AZ$7,MATCH(C128,'G-7 Rivers Data'!$AY$3:$AY$7,0)),"")</f>
        <v/>
      </c>
    </row>
    <row r="129" spans="2:34" ht="14" x14ac:dyDescent="0.3">
      <c r="B129" s="141">
        <v>118</v>
      </c>
      <c r="C129" s="171"/>
      <c r="D129" s="172"/>
      <c r="E129" s="498" t="str">
        <f>IF(C129="","",VLOOKUP(C129,'G-7 Rivers Data'!$B$2:$G$8,2,FALSE))</f>
        <v/>
      </c>
      <c r="F129" s="499" t="str">
        <f>IFERROR(VLOOKUP(E129,'G-7 Rivers Data'!$C$4:$D$8,2,FALSE),"")</f>
        <v/>
      </c>
      <c r="G129" s="145"/>
      <c r="H129" s="499" t="str">
        <f>IFERROR(INDEX('G-7 Rivers Data'!$H$4:$L$8,MATCH(C129,'G-7 Rivers Data'!$B$4:$B$8,0),MATCH(G129,'G-7 Rivers Data'!$H$3:$L$3,0)),"")</f>
        <v/>
      </c>
      <c r="I129" s="154"/>
      <c r="J129" s="507" t="str">
        <f>IF(I129="","",IF(VLOOKUP(I129,'G-7 Rivers Data'!$AG$4:$AI$9,2,FALSE)=0,"Spatial Data Missing ⚠",VLOOKUP(I129,'G-7 Rivers Data'!$AG$4:$AI$9,2,FALSE)))</f>
        <v/>
      </c>
      <c r="K129" s="499" t="str">
        <f>IF(I129="","",IF(VLOOKUP(I129,'G-7 Rivers Data'!$AG$4:$AI$9,3,FALSE)=0,"Spatial Data Missing ⚠",VLOOKUP(I129,'G-7 Rivers Data'!$AG$4:$AI$9,3,FALSE)))</f>
        <v/>
      </c>
      <c r="L129" s="498" t="str">
        <f>IFERROR(INDEX('G-7 Rivers Data'!$O$3:$O$7,MATCH(G129,'G-7 Rivers Data'!$N$3:$N$7,0)),"")</f>
        <v/>
      </c>
      <c r="M129" s="82"/>
      <c r="N129" s="195"/>
      <c r="O129" s="507" t="str">
        <f t="shared" si="7"/>
        <v/>
      </c>
      <c r="P129" s="521" t="str">
        <f t="shared" si="8"/>
        <v/>
      </c>
      <c r="Q129" s="564" t="str">
        <f>IFERROR(IF(P129="Check Data ⚠","Check Data ⚠",VLOOKUP(P129,'G-4 Temporal multipliers'!$A$4:$C$37,3,FALSE)),"")</f>
        <v/>
      </c>
      <c r="R129" s="498" t="str">
        <f>IF(C129="","",VLOOKUP(C129,'G-7 Rivers Data'!$B$4:$G$8,4,FALSE))</f>
        <v/>
      </c>
      <c r="S129" s="507" t="str">
        <f t="shared" si="9"/>
        <v/>
      </c>
      <c r="T129" s="540" t="str">
        <f t="shared" si="10"/>
        <v/>
      </c>
      <c r="U129" s="499" t="str">
        <f t="shared" si="11"/>
        <v/>
      </c>
      <c r="V129" s="71"/>
      <c r="W129" s="499" t="str">
        <f>IF(V129="","",IF(VLOOKUP(V129,'G-7 Rivers Data'!$AA$4:$AB$7,2,FALSE)=0,"Spatial Data Missing ⚠",VLOOKUP(V129,'G-7 Rivers Data'!$AA$4:$AB$7,2,FALSE)))</f>
        <v/>
      </c>
      <c r="X129" s="155"/>
      <c r="Y129" s="499" t="str">
        <f>IF(X129="","",IF(VLOOKUP(X129,'G-7 Rivers Data'!$AD$4:$AE$8,2,FALSE)=0,"Enrcoachment Data Missing ⚠",VLOOKUP(X129,'G-7 Rivers Data'!$AD$4:$AE$8,2,FALSE)))</f>
        <v/>
      </c>
      <c r="Z129" s="565" t="str">
        <f t="shared" si="12"/>
        <v/>
      </c>
      <c r="AA129" s="149"/>
      <c r="AB129" s="150"/>
      <c r="AH129" s="31" t="str">
        <f>IFERROR(INDEX('G-7 Rivers Data'!$AZ$3:$AZ$7,MATCH(C129,'G-7 Rivers Data'!$AY$3:$AY$7,0)),"")</f>
        <v/>
      </c>
    </row>
    <row r="130" spans="2:34" ht="14" x14ac:dyDescent="0.3">
      <c r="B130" s="141">
        <v>119</v>
      </c>
      <c r="C130" s="171"/>
      <c r="D130" s="172"/>
      <c r="E130" s="498" t="str">
        <f>IF(C130="","",VLOOKUP(C130,'G-7 Rivers Data'!$B$2:$G$8,2,FALSE))</f>
        <v/>
      </c>
      <c r="F130" s="499" t="str">
        <f>IFERROR(VLOOKUP(E130,'G-7 Rivers Data'!$C$4:$D$8,2,FALSE),"")</f>
        <v/>
      </c>
      <c r="G130" s="145"/>
      <c r="H130" s="499" t="str">
        <f>IFERROR(INDEX('G-7 Rivers Data'!$H$4:$L$8,MATCH(C130,'G-7 Rivers Data'!$B$4:$B$8,0),MATCH(G130,'G-7 Rivers Data'!$H$3:$L$3,0)),"")</f>
        <v/>
      </c>
      <c r="I130" s="154"/>
      <c r="J130" s="507" t="str">
        <f>IF(I130="","",IF(VLOOKUP(I130,'G-7 Rivers Data'!$AG$4:$AI$9,2,FALSE)=0,"Spatial Data Missing ⚠",VLOOKUP(I130,'G-7 Rivers Data'!$AG$4:$AI$9,2,FALSE)))</f>
        <v/>
      </c>
      <c r="K130" s="499" t="str">
        <f>IF(I130="","",IF(VLOOKUP(I130,'G-7 Rivers Data'!$AG$4:$AI$9,3,FALSE)=0,"Spatial Data Missing ⚠",VLOOKUP(I130,'G-7 Rivers Data'!$AG$4:$AI$9,3,FALSE)))</f>
        <v/>
      </c>
      <c r="L130" s="498" t="str">
        <f>IFERROR(INDEX('G-7 Rivers Data'!$O$3:$O$7,MATCH(G130,'G-7 Rivers Data'!$N$3:$N$7,0)),"")</f>
        <v/>
      </c>
      <c r="M130" s="82"/>
      <c r="N130" s="195"/>
      <c r="O130" s="507" t="str">
        <f t="shared" si="7"/>
        <v/>
      </c>
      <c r="P130" s="521" t="str">
        <f t="shared" si="8"/>
        <v/>
      </c>
      <c r="Q130" s="564" t="str">
        <f>IFERROR(IF(P130="Check Data ⚠","Check Data ⚠",VLOOKUP(P130,'G-4 Temporal multipliers'!$A$4:$C$37,3,FALSE)),"")</f>
        <v/>
      </c>
      <c r="R130" s="498" t="str">
        <f>IF(C130="","",VLOOKUP(C130,'G-7 Rivers Data'!$B$4:$G$8,4,FALSE))</f>
        <v/>
      </c>
      <c r="S130" s="507" t="str">
        <f t="shared" si="9"/>
        <v/>
      </c>
      <c r="T130" s="540" t="str">
        <f t="shared" si="10"/>
        <v/>
      </c>
      <c r="U130" s="499" t="str">
        <f t="shared" si="11"/>
        <v/>
      </c>
      <c r="V130" s="71"/>
      <c r="W130" s="499" t="str">
        <f>IF(V130="","",IF(VLOOKUP(V130,'G-7 Rivers Data'!$AA$4:$AB$7,2,FALSE)=0,"Spatial Data Missing ⚠",VLOOKUP(V130,'G-7 Rivers Data'!$AA$4:$AB$7,2,FALSE)))</f>
        <v/>
      </c>
      <c r="X130" s="155"/>
      <c r="Y130" s="499" t="str">
        <f>IF(X130="","",IF(VLOOKUP(X130,'G-7 Rivers Data'!$AD$4:$AE$8,2,FALSE)=0,"Enrcoachment Data Missing ⚠",VLOOKUP(X130,'G-7 Rivers Data'!$AD$4:$AE$8,2,FALSE)))</f>
        <v/>
      </c>
      <c r="Z130" s="565" t="str">
        <f t="shared" si="12"/>
        <v/>
      </c>
      <c r="AA130" s="149"/>
      <c r="AB130" s="150"/>
      <c r="AH130" s="31" t="str">
        <f>IFERROR(INDEX('G-7 Rivers Data'!$AZ$3:$AZ$7,MATCH(C130,'G-7 Rivers Data'!$AY$3:$AY$7,0)),"")</f>
        <v/>
      </c>
    </row>
    <row r="131" spans="2:34" ht="14" x14ac:dyDescent="0.3">
      <c r="B131" s="141">
        <v>120</v>
      </c>
      <c r="C131" s="171"/>
      <c r="D131" s="172"/>
      <c r="E131" s="498" t="str">
        <f>IF(C131="","",VLOOKUP(C131,'G-7 Rivers Data'!$B$2:$G$8,2,FALSE))</f>
        <v/>
      </c>
      <c r="F131" s="499" t="str">
        <f>IFERROR(VLOOKUP(E131,'G-7 Rivers Data'!$C$4:$D$8,2,FALSE),"")</f>
        <v/>
      </c>
      <c r="G131" s="145"/>
      <c r="H131" s="499" t="str">
        <f>IFERROR(INDEX('G-7 Rivers Data'!$H$4:$L$8,MATCH(C131,'G-7 Rivers Data'!$B$4:$B$8,0),MATCH(G131,'G-7 Rivers Data'!$H$3:$L$3,0)),"")</f>
        <v/>
      </c>
      <c r="I131" s="154"/>
      <c r="J131" s="507" t="str">
        <f>IF(I131="","",IF(VLOOKUP(I131,'G-7 Rivers Data'!$AG$4:$AI$9,2,FALSE)=0,"Spatial Data Missing ⚠",VLOOKUP(I131,'G-7 Rivers Data'!$AG$4:$AI$9,2,FALSE)))</f>
        <v/>
      </c>
      <c r="K131" s="499" t="str">
        <f>IF(I131="","",IF(VLOOKUP(I131,'G-7 Rivers Data'!$AG$4:$AI$9,3,FALSE)=0,"Spatial Data Missing ⚠",VLOOKUP(I131,'G-7 Rivers Data'!$AG$4:$AI$9,3,FALSE)))</f>
        <v/>
      </c>
      <c r="L131" s="498" t="str">
        <f>IFERROR(INDEX('G-7 Rivers Data'!$O$3:$O$7,MATCH(G131,'G-7 Rivers Data'!$N$3:$N$7,0)),"")</f>
        <v/>
      </c>
      <c r="M131" s="82"/>
      <c r="N131" s="195"/>
      <c r="O131" s="507" t="str">
        <f t="shared" si="7"/>
        <v/>
      </c>
      <c r="P131" s="521" t="str">
        <f t="shared" si="8"/>
        <v/>
      </c>
      <c r="Q131" s="564" t="str">
        <f>IFERROR(IF(P131="Check Data ⚠","Check Data ⚠",VLOOKUP(P131,'G-4 Temporal multipliers'!$A$4:$C$37,3,FALSE)),"")</f>
        <v/>
      </c>
      <c r="R131" s="498" t="str">
        <f>IF(C131="","",VLOOKUP(C131,'G-7 Rivers Data'!$B$4:$G$8,4,FALSE))</f>
        <v/>
      </c>
      <c r="S131" s="507" t="str">
        <f t="shared" si="9"/>
        <v/>
      </c>
      <c r="T131" s="540" t="str">
        <f t="shared" si="10"/>
        <v/>
      </c>
      <c r="U131" s="499" t="str">
        <f t="shared" si="11"/>
        <v/>
      </c>
      <c r="V131" s="71"/>
      <c r="W131" s="499" t="str">
        <f>IF(V131="","",IF(VLOOKUP(V131,'G-7 Rivers Data'!$AA$4:$AB$7,2,FALSE)=0,"Spatial Data Missing ⚠",VLOOKUP(V131,'G-7 Rivers Data'!$AA$4:$AB$7,2,FALSE)))</f>
        <v/>
      </c>
      <c r="X131" s="155"/>
      <c r="Y131" s="499" t="str">
        <f>IF(X131="","",IF(VLOOKUP(X131,'G-7 Rivers Data'!$AD$4:$AE$8,2,FALSE)=0,"Enrcoachment Data Missing ⚠",VLOOKUP(X131,'G-7 Rivers Data'!$AD$4:$AE$8,2,FALSE)))</f>
        <v/>
      </c>
      <c r="Z131" s="565" t="str">
        <f t="shared" si="12"/>
        <v/>
      </c>
      <c r="AA131" s="149"/>
      <c r="AB131" s="150"/>
      <c r="AH131" s="31" t="str">
        <f>IFERROR(INDEX('G-7 Rivers Data'!$AZ$3:$AZ$7,MATCH(C131,'G-7 Rivers Data'!$AY$3:$AY$7,0)),"")</f>
        <v/>
      </c>
    </row>
    <row r="132" spans="2:34" ht="14" x14ac:dyDescent="0.3">
      <c r="B132" s="141">
        <v>121</v>
      </c>
      <c r="C132" s="171"/>
      <c r="D132" s="172"/>
      <c r="E132" s="498" t="str">
        <f>IF(C132="","",VLOOKUP(C132,'G-7 Rivers Data'!$B$2:$G$8,2,FALSE))</f>
        <v/>
      </c>
      <c r="F132" s="499" t="str">
        <f>IFERROR(VLOOKUP(E132,'G-7 Rivers Data'!$C$4:$D$8,2,FALSE),"")</f>
        <v/>
      </c>
      <c r="G132" s="145"/>
      <c r="H132" s="499" t="str">
        <f>IFERROR(INDEX('G-7 Rivers Data'!$H$4:$L$8,MATCH(C132,'G-7 Rivers Data'!$B$4:$B$8,0),MATCH(G132,'G-7 Rivers Data'!$H$3:$L$3,0)),"")</f>
        <v/>
      </c>
      <c r="I132" s="154"/>
      <c r="J132" s="507" t="str">
        <f>IF(I132="","",IF(VLOOKUP(I132,'G-7 Rivers Data'!$AG$4:$AI$9,2,FALSE)=0,"Spatial Data Missing ⚠",VLOOKUP(I132,'G-7 Rivers Data'!$AG$4:$AI$9,2,FALSE)))</f>
        <v/>
      </c>
      <c r="K132" s="499" t="str">
        <f>IF(I132="","",IF(VLOOKUP(I132,'G-7 Rivers Data'!$AG$4:$AI$9,3,FALSE)=0,"Spatial Data Missing ⚠",VLOOKUP(I132,'G-7 Rivers Data'!$AG$4:$AI$9,3,FALSE)))</f>
        <v/>
      </c>
      <c r="L132" s="498" t="str">
        <f>IFERROR(INDEX('G-7 Rivers Data'!$O$3:$O$7,MATCH(G132,'G-7 Rivers Data'!$N$3:$N$7,0)),"")</f>
        <v/>
      </c>
      <c r="M132" s="82"/>
      <c r="N132" s="195"/>
      <c r="O132" s="507" t="str">
        <f t="shared" si="7"/>
        <v/>
      </c>
      <c r="P132" s="521" t="str">
        <f t="shared" si="8"/>
        <v/>
      </c>
      <c r="Q132" s="564" t="str">
        <f>IFERROR(IF(P132="Check Data ⚠","Check Data ⚠",VLOOKUP(P132,'G-4 Temporal multipliers'!$A$4:$C$37,3,FALSE)),"")</f>
        <v/>
      </c>
      <c r="R132" s="498" t="str">
        <f>IF(C132="","",VLOOKUP(C132,'G-7 Rivers Data'!$B$4:$G$8,4,FALSE))</f>
        <v/>
      </c>
      <c r="S132" s="507" t="str">
        <f t="shared" si="9"/>
        <v/>
      </c>
      <c r="T132" s="540" t="str">
        <f t="shared" si="10"/>
        <v/>
      </c>
      <c r="U132" s="499" t="str">
        <f t="shared" si="11"/>
        <v/>
      </c>
      <c r="V132" s="71"/>
      <c r="W132" s="499" t="str">
        <f>IF(V132="","",IF(VLOOKUP(V132,'G-7 Rivers Data'!$AA$4:$AB$7,2,FALSE)=0,"Spatial Data Missing ⚠",VLOOKUP(V132,'G-7 Rivers Data'!$AA$4:$AB$7,2,FALSE)))</f>
        <v/>
      </c>
      <c r="X132" s="155"/>
      <c r="Y132" s="499" t="str">
        <f>IF(X132="","",IF(VLOOKUP(X132,'G-7 Rivers Data'!$AD$4:$AE$8,2,FALSE)=0,"Enrcoachment Data Missing ⚠",VLOOKUP(X132,'G-7 Rivers Data'!$AD$4:$AE$8,2,FALSE)))</f>
        <v/>
      </c>
      <c r="Z132" s="565" t="str">
        <f t="shared" si="12"/>
        <v/>
      </c>
      <c r="AA132" s="149"/>
      <c r="AB132" s="150"/>
      <c r="AH132" s="31" t="str">
        <f>IFERROR(INDEX('G-7 Rivers Data'!$AZ$3:$AZ$7,MATCH(C132,'G-7 Rivers Data'!$AY$3:$AY$7,0)),"")</f>
        <v/>
      </c>
    </row>
    <row r="133" spans="2:34" ht="14" x14ac:dyDescent="0.3">
      <c r="B133" s="141">
        <v>122</v>
      </c>
      <c r="C133" s="171"/>
      <c r="D133" s="172"/>
      <c r="E133" s="498" t="str">
        <f>IF(C133="","",VLOOKUP(C133,'G-7 Rivers Data'!$B$2:$G$8,2,FALSE))</f>
        <v/>
      </c>
      <c r="F133" s="499" t="str">
        <f>IFERROR(VLOOKUP(E133,'G-7 Rivers Data'!$C$4:$D$8,2,FALSE),"")</f>
        <v/>
      </c>
      <c r="G133" s="145"/>
      <c r="H133" s="499" t="str">
        <f>IFERROR(INDEX('G-7 Rivers Data'!$H$4:$L$8,MATCH(C133,'G-7 Rivers Data'!$B$4:$B$8,0),MATCH(G133,'G-7 Rivers Data'!$H$3:$L$3,0)),"")</f>
        <v/>
      </c>
      <c r="I133" s="154"/>
      <c r="J133" s="507" t="str">
        <f>IF(I133="","",IF(VLOOKUP(I133,'G-7 Rivers Data'!$AG$4:$AI$9,2,FALSE)=0,"Spatial Data Missing ⚠",VLOOKUP(I133,'G-7 Rivers Data'!$AG$4:$AI$9,2,FALSE)))</f>
        <v/>
      </c>
      <c r="K133" s="499" t="str">
        <f>IF(I133="","",IF(VLOOKUP(I133,'G-7 Rivers Data'!$AG$4:$AI$9,3,FALSE)=0,"Spatial Data Missing ⚠",VLOOKUP(I133,'G-7 Rivers Data'!$AG$4:$AI$9,3,FALSE)))</f>
        <v/>
      </c>
      <c r="L133" s="498" t="str">
        <f>IFERROR(INDEX('G-7 Rivers Data'!$O$3:$O$7,MATCH(G133,'G-7 Rivers Data'!$N$3:$N$7,0)),"")</f>
        <v/>
      </c>
      <c r="M133" s="82"/>
      <c r="N133" s="195"/>
      <c r="O133" s="507" t="str">
        <f t="shared" si="7"/>
        <v/>
      </c>
      <c r="P133" s="521" t="str">
        <f t="shared" si="8"/>
        <v/>
      </c>
      <c r="Q133" s="564" t="str">
        <f>IFERROR(IF(P133="Check Data ⚠","Check Data ⚠",VLOOKUP(P133,'G-4 Temporal multipliers'!$A$4:$C$37,3,FALSE)),"")</f>
        <v/>
      </c>
      <c r="R133" s="498" t="str">
        <f>IF(C133="","",VLOOKUP(C133,'G-7 Rivers Data'!$B$4:$G$8,4,FALSE))</f>
        <v/>
      </c>
      <c r="S133" s="507" t="str">
        <f t="shared" si="9"/>
        <v/>
      </c>
      <c r="T133" s="540" t="str">
        <f t="shared" si="10"/>
        <v/>
      </c>
      <c r="U133" s="499" t="str">
        <f t="shared" si="11"/>
        <v/>
      </c>
      <c r="V133" s="71"/>
      <c r="W133" s="499" t="str">
        <f>IF(V133="","",IF(VLOOKUP(V133,'G-7 Rivers Data'!$AA$4:$AB$7,2,FALSE)=0,"Spatial Data Missing ⚠",VLOOKUP(V133,'G-7 Rivers Data'!$AA$4:$AB$7,2,FALSE)))</f>
        <v/>
      </c>
      <c r="X133" s="155"/>
      <c r="Y133" s="499" t="str">
        <f>IF(X133="","",IF(VLOOKUP(X133,'G-7 Rivers Data'!$AD$4:$AE$8,2,FALSE)=0,"Enrcoachment Data Missing ⚠",VLOOKUP(X133,'G-7 Rivers Data'!$AD$4:$AE$8,2,FALSE)))</f>
        <v/>
      </c>
      <c r="Z133" s="565" t="str">
        <f t="shared" si="12"/>
        <v/>
      </c>
      <c r="AA133" s="149"/>
      <c r="AB133" s="150"/>
      <c r="AH133" s="31" t="str">
        <f>IFERROR(INDEX('G-7 Rivers Data'!$AZ$3:$AZ$7,MATCH(C133,'G-7 Rivers Data'!$AY$3:$AY$7,0)),"")</f>
        <v/>
      </c>
    </row>
    <row r="134" spans="2:34" ht="14" x14ac:dyDescent="0.3">
      <c r="B134" s="141">
        <v>123</v>
      </c>
      <c r="C134" s="171"/>
      <c r="D134" s="172"/>
      <c r="E134" s="498" t="str">
        <f>IF(C134="","",VLOOKUP(C134,'G-7 Rivers Data'!$B$2:$G$8,2,FALSE))</f>
        <v/>
      </c>
      <c r="F134" s="499" t="str">
        <f>IFERROR(VLOOKUP(E134,'G-7 Rivers Data'!$C$4:$D$8,2,FALSE),"")</f>
        <v/>
      </c>
      <c r="G134" s="145"/>
      <c r="H134" s="499" t="str">
        <f>IFERROR(INDEX('G-7 Rivers Data'!$H$4:$L$8,MATCH(C134,'G-7 Rivers Data'!$B$4:$B$8,0),MATCH(G134,'G-7 Rivers Data'!$H$3:$L$3,0)),"")</f>
        <v/>
      </c>
      <c r="I134" s="154"/>
      <c r="J134" s="507" t="str">
        <f>IF(I134="","",IF(VLOOKUP(I134,'G-7 Rivers Data'!$AG$4:$AI$9,2,FALSE)=0,"Spatial Data Missing ⚠",VLOOKUP(I134,'G-7 Rivers Data'!$AG$4:$AI$9,2,FALSE)))</f>
        <v/>
      </c>
      <c r="K134" s="499" t="str">
        <f>IF(I134="","",IF(VLOOKUP(I134,'G-7 Rivers Data'!$AG$4:$AI$9,3,FALSE)=0,"Spatial Data Missing ⚠",VLOOKUP(I134,'G-7 Rivers Data'!$AG$4:$AI$9,3,FALSE)))</f>
        <v/>
      </c>
      <c r="L134" s="498" t="str">
        <f>IFERROR(INDEX('G-7 Rivers Data'!$O$3:$O$7,MATCH(G134,'G-7 Rivers Data'!$N$3:$N$7,0)),"")</f>
        <v/>
      </c>
      <c r="M134" s="82"/>
      <c r="N134" s="195"/>
      <c r="O134" s="507" t="str">
        <f t="shared" si="7"/>
        <v/>
      </c>
      <c r="P134" s="521" t="str">
        <f t="shared" si="8"/>
        <v/>
      </c>
      <c r="Q134" s="564" t="str">
        <f>IFERROR(IF(P134="Check Data ⚠","Check Data ⚠",VLOOKUP(P134,'G-4 Temporal multipliers'!$A$4:$C$37,3,FALSE)),"")</f>
        <v/>
      </c>
      <c r="R134" s="498" t="str">
        <f>IF(C134="","",VLOOKUP(C134,'G-7 Rivers Data'!$B$4:$G$8,4,FALSE))</f>
        <v/>
      </c>
      <c r="S134" s="507" t="str">
        <f t="shared" si="9"/>
        <v/>
      </c>
      <c r="T134" s="540" t="str">
        <f t="shared" si="10"/>
        <v/>
      </c>
      <c r="U134" s="499" t="str">
        <f t="shared" si="11"/>
        <v/>
      </c>
      <c r="V134" s="71"/>
      <c r="W134" s="499" t="str">
        <f>IF(V134="","",IF(VLOOKUP(V134,'G-7 Rivers Data'!$AA$4:$AB$7,2,FALSE)=0,"Spatial Data Missing ⚠",VLOOKUP(V134,'G-7 Rivers Data'!$AA$4:$AB$7,2,FALSE)))</f>
        <v/>
      </c>
      <c r="X134" s="155"/>
      <c r="Y134" s="499" t="str">
        <f>IF(X134="","",IF(VLOOKUP(X134,'G-7 Rivers Data'!$AD$4:$AE$8,2,FALSE)=0,"Enrcoachment Data Missing ⚠",VLOOKUP(X134,'G-7 Rivers Data'!$AD$4:$AE$8,2,FALSE)))</f>
        <v/>
      </c>
      <c r="Z134" s="565" t="str">
        <f t="shared" si="12"/>
        <v/>
      </c>
      <c r="AA134" s="149"/>
      <c r="AB134" s="150"/>
      <c r="AH134" s="31" t="str">
        <f>IFERROR(INDEX('G-7 Rivers Data'!$AZ$3:$AZ$7,MATCH(C134,'G-7 Rivers Data'!$AY$3:$AY$7,0)),"")</f>
        <v/>
      </c>
    </row>
    <row r="135" spans="2:34" ht="14" x14ac:dyDescent="0.3">
      <c r="B135" s="141">
        <v>124</v>
      </c>
      <c r="C135" s="171"/>
      <c r="D135" s="172"/>
      <c r="E135" s="498" t="str">
        <f>IF(C135="","",VLOOKUP(C135,'G-7 Rivers Data'!$B$2:$G$8,2,FALSE))</f>
        <v/>
      </c>
      <c r="F135" s="499" t="str">
        <f>IFERROR(VLOOKUP(E135,'G-7 Rivers Data'!$C$4:$D$8,2,FALSE),"")</f>
        <v/>
      </c>
      <c r="G135" s="145"/>
      <c r="H135" s="499" t="str">
        <f>IFERROR(INDEX('G-7 Rivers Data'!$H$4:$L$8,MATCH(C135,'G-7 Rivers Data'!$B$4:$B$8,0),MATCH(G135,'G-7 Rivers Data'!$H$3:$L$3,0)),"")</f>
        <v/>
      </c>
      <c r="I135" s="154"/>
      <c r="J135" s="507" t="str">
        <f>IF(I135="","",IF(VLOOKUP(I135,'G-7 Rivers Data'!$AG$4:$AI$9,2,FALSE)=0,"Spatial Data Missing ⚠",VLOOKUP(I135,'G-7 Rivers Data'!$AG$4:$AI$9,2,FALSE)))</f>
        <v/>
      </c>
      <c r="K135" s="499" t="str">
        <f>IF(I135="","",IF(VLOOKUP(I135,'G-7 Rivers Data'!$AG$4:$AI$9,3,FALSE)=0,"Spatial Data Missing ⚠",VLOOKUP(I135,'G-7 Rivers Data'!$AG$4:$AI$9,3,FALSE)))</f>
        <v/>
      </c>
      <c r="L135" s="498" t="str">
        <f>IFERROR(INDEX('G-7 Rivers Data'!$O$3:$O$7,MATCH(G135,'G-7 Rivers Data'!$N$3:$N$7,0)),"")</f>
        <v/>
      </c>
      <c r="M135" s="82"/>
      <c r="N135" s="195"/>
      <c r="O135" s="507" t="str">
        <f t="shared" si="7"/>
        <v/>
      </c>
      <c r="P135" s="521" t="str">
        <f t="shared" si="8"/>
        <v/>
      </c>
      <c r="Q135" s="564" t="str">
        <f>IFERROR(IF(P135="Check Data ⚠","Check Data ⚠",VLOOKUP(P135,'G-4 Temporal multipliers'!$A$4:$C$37,3,FALSE)),"")</f>
        <v/>
      </c>
      <c r="R135" s="498" t="str">
        <f>IF(C135="","",VLOOKUP(C135,'G-7 Rivers Data'!$B$4:$G$8,4,FALSE))</f>
        <v/>
      </c>
      <c r="S135" s="507" t="str">
        <f t="shared" si="9"/>
        <v/>
      </c>
      <c r="T135" s="540" t="str">
        <f t="shared" si="10"/>
        <v/>
      </c>
      <c r="U135" s="499" t="str">
        <f t="shared" si="11"/>
        <v/>
      </c>
      <c r="V135" s="71"/>
      <c r="W135" s="499" t="str">
        <f>IF(V135="","",IF(VLOOKUP(V135,'G-7 Rivers Data'!$AA$4:$AB$7,2,FALSE)=0,"Spatial Data Missing ⚠",VLOOKUP(V135,'G-7 Rivers Data'!$AA$4:$AB$7,2,FALSE)))</f>
        <v/>
      </c>
      <c r="X135" s="155"/>
      <c r="Y135" s="499" t="str">
        <f>IF(X135="","",IF(VLOOKUP(X135,'G-7 Rivers Data'!$AD$4:$AE$8,2,FALSE)=0,"Enrcoachment Data Missing ⚠",VLOOKUP(X135,'G-7 Rivers Data'!$AD$4:$AE$8,2,FALSE)))</f>
        <v/>
      </c>
      <c r="Z135" s="565" t="str">
        <f t="shared" si="12"/>
        <v/>
      </c>
      <c r="AA135" s="149"/>
      <c r="AB135" s="150"/>
      <c r="AH135" s="31" t="str">
        <f>IFERROR(INDEX('G-7 Rivers Data'!$AZ$3:$AZ$7,MATCH(C135,'G-7 Rivers Data'!$AY$3:$AY$7,0)),"")</f>
        <v/>
      </c>
    </row>
    <row r="136" spans="2:34" ht="14" x14ac:dyDescent="0.3">
      <c r="B136" s="141">
        <v>125</v>
      </c>
      <c r="C136" s="171"/>
      <c r="D136" s="172"/>
      <c r="E136" s="498" t="str">
        <f>IF(C136="","",VLOOKUP(C136,'G-7 Rivers Data'!$B$2:$G$8,2,FALSE))</f>
        <v/>
      </c>
      <c r="F136" s="499" t="str">
        <f>IFERROR(VLOOKUP(E136,'G-7 Rivers Data'!$C$4:$D$8,2,FALSE),"")</f>
        <v/>
      </c>
      <c r="G136" s="145"/>
      <c r="H136" s="499" t="str">
        <f>IFERROR(INDEX('G-7 Rivers Data'!$H$4:$L$8,MATCH(C136,'G-7 Rivers Data'!$B$4:$B$8,0),MATCH(G136,'G-7 Rivers Data'!$H$3:$L$3,0)),"")</f>
        <v/>
      </c>
      <c r="I136" s="154"/>
      <c r="J136" s="507" t="str">
        <f>IF(I136="","",IF(VLOOKUP(I136,'G-7 Rivers Data'!$AG$4:$AI$9,2,FALSE)=0,"Spatial Data Missing ⚠",VLOOKUP(I136,'G-7 Rivers Data'!$AG$4:$AI$9,2,FALSE)))</f>
        <v/>
      </c>
      <c r="K136" s="499" t="str">
        <f>IF(I136="","",IF(VLOOKUP(I136,'G-7 Rivers Data'!$AG$4:$AI$9,3,FALSE)=0,"Spatial Data Missing ⚠",VLOOKUP(I136,'G-7 Rivers Data'!$AG$4:$AI$9,3,FALSE)))</f>
        <v/>
      </c>
      <c r="L136" s="498" t="str">
        <f>IFERROR(INDEX('G-7 Rivers Data'!$O$3:$O$7,MATCH(G136,'G-7 Rivers Data'!$N$3:$N$7,0)),"")</f>
        <v/>
      </c>
      <c r="M136" s="82"/>
      <c r="N136" s="195"/>
      <c r="O136" s="507" t="str">
        <f t="shared" si="7"/>
        <v/>
      </c>
      <c r="P136" s="521" t="str">
        <f t="shared" si="8"/>
        <v/>
      </c>
      <c r="Q136" s="564" t="str">
        <f>IFERROR(IF(P136="Check Data ⚠","Check Data ⚠",VLOOKUP(P136,'G-4 Temporal multipliers'!$A$4:$C$37,3,FALSE)),"")</f>
        <v/>
      </c>
      <c r="R136" s="498" t="str">
        <f>IF(C136="","",VLOOKUP(C136,'G-7 Rivers Data'!$B$4:$G$8,4,FALSE))</f>
        <v/>
      </c>
      <c r="S136" s="507" t="str">
        <f t="shared" si="9"/>
        <v/>
      </c>
      <c r="T136" s="540" t="str">
        <f t="shared" si="10"/>
        <v/>
      </c>
      <c r="U136" s="499" t="str">
        <f t="shared" si="11"/>
        <v/>
      </c>
      <c r="V136" s="71"/>
      <c r="W136" s="499" t="str">
        <f>IF(V136="","",IF(VLOOKUP(V136,'G-7 Rivers Data'!$AA$4:$AB$7,2,FALSE)=0,"Spatial Data Missing ⚠",VLOOKUP(V136,'G-7 Rivers Data'!$AA$4:$AB$7,2,FALSE)))</f>
        <v/>
      </c>
      <c r="X136" s="155"/>
      <c r="Y136" s="499" t="str">
        <f>IF(X136="","",IF(VLOOKUP(X136,'G-7 Rivers Data'!$AD$4:$AE$8,2,FALSE)=0,"Enrcoachment Data Missing ⚠",VLOOKUP(X136,'G-7 Rivers Data'!$AD$4:$AE$8,2,FALSE)))</f>
        <v/>
      </c>
      <c r="Z136" s="565" t="str">
        <f t="shared" si="12"/>
        <v/>
      </c>
      <c r="AA136" s="149"/>
      <c r="AB136" s="150"/>
      <c r="AH136" s="31" t="str">
        <f>IFERROR(INDEX('G-7 Rivers Data'!$AZ$3:$AZ$7,MATCH(C136,'G-7 Rivers Data'!$AY$3:$AY$7,0)),"")</f>
        <v/>
      </c>
    </row>
    <row r="137" spans="2:34" ht="14" x14ac:dyDescent="0.3">
      <c r="B137" s="141">
        <v>126</v>
      </c>
      <c r="C137" s="171"/>
      <c r="D137" s="172"/>
      <c r="E137" s="498" t="str">
        <f>IF(C137="","",VLOOKUP(C137,'G-7 Rivers Data'!$B$2:$G$8,2,FALSE))</f>
        <v/>
      </c>
      <c r="F137" s="499" t="str">
        <f>IFERROR(VLOOKUP(E137,'G-7 Rivers Data'!$C$4:$D$8,2,FALSE),"")</f>
        <v/>
      </c>
      <c r="G137" s="145"/>
      <c r="H137" s="499" t="str">
        <f>IFERROR(INDEX('G-7 Rivers Data'!$H$4:$L$8,MATCH(C137,'G-7 Rivers Data'!$B$4:$B$8,0),MATCH(G137,'G-7 Rivers Data'!$H$3:$L$3,0)),"")</f>
        <v/>
      </c>
      <c r="I137" s="154"/>
      <c r="J137" s="507" t="str">
        <f>IF(I137="","",IF(VLOOKUP(I137,'G-7 Rivers Data'!$AG$4:$AI$9,2,FALSE)=0,"Spatial Data Missing ⚠",VLOOKUP(I137,'G-7 Rivers Data'!$AG$4:$AI$9,2,FALSE)))</f>
        <v/>
      </c>
      <c r="K137" s="499" t="str">
        <f>IF(I137="","",IF(VLOOKUP(I137,'G-7 Rivers Data'!$AG$4:$AI$9,3,FALSE)=0,"Spatial Data Missing ⚠",VLOOKUP(I137,'G-7 Rivers Data'!$AG$4:$AI$9,3,FALSE)))</f>
        <v/>
      </c>
      <c r="L137" s="498" t="str">
        <f>IFERROR(INDEX('G-7 Rivers Data'!$O$3:$O$7,MATCH(G137,'G-7 Rivers Data'!$N$3:$N$7,0)),"")</f>
        <v/>
      </c>
      <c r="M137" s="82"/>
      <c r="N137" s="195"/>
      <c r="O137" s="507" t="str">
        <f t="shared" si="7"/>
        <v/>
      </c>
      <c r="P137" s="521" t="str">
        <f t="shared" si="8"/>
        <v/>
      </c>
      <c r="Q137" s="564" t="str">
        <f>IFERROR(IF(P137="Check Data ⚠","Check Data ⚠",VLOOKUP(P137,'G-4 Temporal multipliers'!$A$4:$C$37,3,FALSE)),"")</f>
        <v/>
      </c>
      <c r="R137" s="498" t="str">
        <f>IF(C137="","",VLOOKUP(C137,'G-7 Rivers Data'!$B$4:$G$8,4,FALSE))</f>
        <v/>
      </c>
      <c r="S137" s="507" t="str">
        <f t="shared" si="9"/>
        <v/>
      </c>
      <c r="T137" s="540" t="str">
        <f t="shared" si="10"/>
        <v/>
      </c>
      <c r="U137" s="499" t="str">
        <f t="shared" si="11"/>
        <v/>
      </c>
      <c r="V137" s="71"/>
      <c r="W137" s="499" t="str">
        <f>IF(V137="","",IF(VLOOKUP(V137,'G-7 Rivers Data'!$AA$4:$AB$7,2,FALSE)=0,"Spatial Data Missing ⚠",VLOOKUP(V137,'G-7 Rivers Data'!$AA$4:$AB$7,2,FALSE)))</f>
        <v/>
      </c>
      <c r="X137" s="155"/>
      <c r="Y137" s="499" t="str">
        <f>IF(X137="","",IF(VLOOKUP(X137,'G-7 Rivers Data'!$AD$4:$AE$8,2,FALSE)=0,"Enrcoachment Data Missing ⚠",VLOOKUP(X137,'G-7 Rivers Data'!$AD$4:$AE$8,2,FALSE)))</f>
        <v/>
      </c>
      <c r="Z137" s="565" t="str">
        <f t="shared" si="12"/>
        <v/>
      </c>
      <c r="AA137" s="149"/>
      <c r="AB137" s="150"/>
      <c r="AH137" s="31" t="str">
        <f>IFERROR(INDEX('G-7 Rivers Data'!$AZ$3:$AZ$7,MATCH(C137,'G-7 Rivers Data'!$AY$3:$AY$7,0)),"")</f>
        <v/>
      </c>
    </row>
    <row r="138" spans="2:34" ht="14" x14ac:dyDescent="0.3">
      <c r="B138" s="141">
        <v>127</v>
      </c>
      <c r="C138" s="171"/>
      <c r="D138" s="172"/>
      <c r="E138" s="498" t="str">
        <f>IF(C138="","",VLOOKUP(C138,'G-7 Rivers Data'!$B$2:$G$8,2,FALSE))</f>
        <v/>
      </c>
      <c r="F138" s="499" t="str">
        <f>IFERROR(VLOOKUP(E138,'G-7 Rivers Data'!$C$4:$D$8,2,FALSE),"")</f>
        <v/>
      </c>
      <c r="G138" s="145"/>
      <c r="H138" s="499" t="str">
        <f>IFERROR(INDEX('G-7 Rivers Data'!$H$4:$L$8,MATCH(C138,'G-7 Rivers Data'!$B$4:$B$8,0),MATCH(G138,'G-7 Rivers Data'!$H$3:$L$3,0)),"")</f>
        <v/>
      </c>
      <c r="I138" s="154"/>
      <c r="J138" s="507" t="str">
        <f>IF(I138="","",IF(VLOOKUP(I138,'G-7 Rivers Data'!$AG$4:$AI$9,2,FALSE)=0,"Spatial Data Missing ⚠",VLOOKUP(I138,'G-7 Rivers Data'!$AG$4:$AI$9,2,FALSE)))</f>
        <v/>
      </c>
      <c r="K138" s="499" t="str">
        <f>IF(I138="","",IF(VLOOKUP(I138,'G-7 Rivers Data'!$AG$4:$AI$9,3,FALSE)=0,"Spatial Data Missing ⚠",VLOOKUP(I138,'G-7 Rivers Data'!$AG$4:$AI$9,3,FALSE)))</f>
        <v/>
      </c>
      <c r="L138" s="498" t="str">
        <f>IFERROR(INDEX('G-7 Rivers Data'!$O$3:$O$7,MATCH(G138,'G-7 Rivers Data'!$N$3:$N$7,0)),"")</f>
        <v/>
      </c>
      <c r="M138" s="82"/>
      <c r="N138" s="195"/>
      <c r="O138" s="507" t="str">
        <f t="shared" si="7"/>
        <v/>
      </c>
      <c r="P138" s="521" t="str">
        <f t="shared" si="8"/>
        <v/>
      </c>
      <c r="Q138" s="564" t="str">
        <f>IFERROR(IF(P138="Check Data ⚠","Check Data ⚠",VLOOKUP(P138,'G-4 Temporal multipliers'!$A$4:$C$37,3,FALSE)),"")</f>
        <v/>
      </c>
      <c r="R138" s="498" t="str">
        <f>IF(C138="","",VLOOKUP(C138,'G-7 Rivers Data'!$B$4:$G$8,4,FALSE))</f>
        <v/>
      </c>
      <c r="S138" s="507" t="str">
        <f t="shared" si="9"/>
        <v/>
      </c>
      <c r="T138" s="540" t="str">
        <f t="shared" si="10"/>
        <v/>
      </c>
      <c r="U138" s="499" t="str">
        <f t="shared" si="11"/>
        <v/>
      </c>
      <c r="V138" s="71"/>
      <c r="W138" s="499" t="str">
        <f>IF(V138="","",IF(VLOOKUP(V138,'G-7 Rivers Data'!$AA$4:$AB$7,2,FALSE)=0,"Spatial Data Missing ⚠",VLOOKUP(V138,'G-7 Rivers Data'!$AA$4:$AB$7,2,FALSE)))</f>
        <v/>
      </c>
      <c r="X138" s="155"/>
      <c r="Y138" s="499" t="str">
        <f>IF(X138="","",IF(VLOOKUP(X138,'G-7 Rivers Data'!$AD$4:$AE$8,2,FALSE)=0,"Enrcoachment Data Missing ⚠",VLOOKUP(X138,'G-7 Rivers Data'!$AD$4:$AE$8,2,FALSE)))</f>
        <v/>
      </c>
      <c r="Z138" s="565" t="str">
        <f t="shared" si="12"/>
        <v/>
      </c>
      <c r="AA138" s="149"/>
      <c r="AB138" s="150"/>
      <c r="AH138" s="31" t="str">
        <f>IFERROR(INDEX('G-7 Rivers Data'!$AZ$3:$AZ$7,MATCH(C138,'G-7 Rivers Data'!$AY$3:$AY$7,0)),"")</f>
        <v/>
      </c>
    </row>
    <row r="139" spans="2:34" ht="14" x14ac:dyDescent="0.3">
      <c r="B139" s="141">
        <v>128</v>
      </c>
      <c r="C139" s="171"/>
      <c r="D139" s="172"/>
      <c r="E139" s="498" t="str">
        <f>IF(C139="","",VLOOKUP(C139,'G-7 Rivers Data'!$B$2:$G$8,2,FALSE))</f>
        <v/>
      </c>
      <c r="F139" s="499" t="str">
        <f>IFERROR(VLOOKUP(E139,'G-7 Rivers Data'!$C$4:$D$8,2,FALSE),"")</f>
        <v/>
      </c>
      <c r="G139" s="145"/>
      <c r="H139" s="499" t="str">
        <f>IFERROR(INDEX('G-7 Rivers Data'!$H$4:$L$8,MATCH(C139,'G-7 Rivers Data'!$B$4:$B$8,0),MATCH(G139,'G-7 Rivers Data'!$H$3:$L$3,0)),"")</f>
        <v/>
      </c>
      <c r="I139" s="154"/>
      <c r="J139" s="507" t="str">
        <f>IF(I139="","",IF(VLOOKUP(I139,'G-7 Rivers Data'!$AG$4:$AI$9,2,FALSE)=0,"Spatial Data Missing ⚠",VLOOKUP(I139,'G-7 Rivers Data'!$AG$4:$AI$9,2,FALSE)))</f>
        <v/>
      </c>
      <c r="K139" s="499" t="str">
        <f>IF(I139="","",IF(VLOOKUP(I139,'G-7 Rivers Data'!$AG$4:$AI$9,3,FALSE)=0,"Spatial Data Missing ⚠",VLOOKUP(I139,'G-7 Rivers Data'!$AG$4:$AI$9,3,FALSE)))</f>
        <v/>
      </c>
      <c r="L139" s="498" t="str">
        <f>IFERROR(INDEX('G-7 Rivers Data'!$O$3:$O$7,MATCH(G139,'G-7 Rivers Data'!$N$3:$N$7,0)),"")</f>
        <v/>
      </c>
      <c r="M139" s="82"/>
      <c r="N139" s="195"/>
      <c r="O139" s="507" t="str">
        <f t="shared" si="7"/>
        <v/>
      </c>
      <c r="P139" s="521" t="str">
        <f t="shared" si="8"/>
        <v/>
      </c>
      <c r="Q139" s="564" t="str">
        <f>IFERROR(IF(P139="Check Data ⚠","Check Data ⚠",VLOOKUP(P139,'G-4 Temporal multipliers'!$A$4:$C$37,3,FALSE)),"")</f>
        <v/>
      </c>
      <c r="R139" s="498" t="str">
        <f>IF(C139="","",VLOOKUP(C139,'G-7 Rivers Data'!$B$4:$G$8,4,FALSE))</f>
        <v/>
      </c>
      <c r="S139" s="507" t="str">
        <f t="shared" si="9"/>
        <v/>
      </c>
      <c r="T139" s="540" t="str">
        <f t="shared" si="10"/>
        <v/>
      </c>
      <c r="U139" s="499" t="str">
        <f t="shared" si="11"/>
        <v/>
      </c>
      <c r="V139" s="71"/>
      <c r="W139" s="499" t="str">
        <f>IF(V139="","",IF(VLOOKUP(V139,'G-7 Rivers Data'!$AA$4:$AB$7,2,FALSE)=0,"Spatial Data Missing ⚠",VLOOKUP(V139,'G-7 Rivers Data'!$AA$4:$AB$7,2,FALSE)))</f>
        <v/>
      </c>
      <c r="X139" s="155"/>
      <c r="Y139" s="499" t="str">
        <f>IF(X139="","",IF(VLOOKUP(X139,'G-7 Rivers Data'!$AD$4:$AE$8,2,FALSE)=0,"Enrcoachment Data Missing ⚠",VLOOKUP(X139,'G-7 Rivers Data'!$AD$4:$AE$8,2,FALSE)))</f>
        <v/>
      </c>
      <c r="Z139" s="565" t="str">
        <f t="shared" si="12"/>
        <v/>
      </c>
      <c r="AA139" s="149"/>
      <c r="AB139" s="150"/>
      <c r="AH139" s="31" t="str">
        <f>IFERROR(INDEX('G-7 Rivers Data'!$AZ$3:$AZ$7,MATCH(C139,'G-7 Rivers Data'!$AY$3:$AY$7,0)),"")</f>
        <v/>
      </c>
    </row>
    <row r="140" spans="2:34" ht="14" x14ac:dyDescent="0.3">
      <c r="B140" s="141">
        <v>129</v>
      </c>
      <c r="C140" s="171"/>
      <c r="D140" s="172"/>
      <c r="E140" s="498" t="str">
        <f>IF(C140="","",VLOOKUP(C140,'G-7 Rivers Data'!$B$2:$G$8,2,FALSE))</f>
        <v/>
      </c>
      <c r="F140" s="499" t="str">
        <f>IFERROR(VLOOKUP(E140,'G-7 Rivers Data'!$C$4:$D$8,2,FALSE),"")</f>
        <v/>
      </c>
      <c r="G140" s="145"/>
      <c r="H140" s="499" t="str">
        <f>IFERROR(INDEX('G-7 Rivers Data'!$H$4:$L$8,MATCH(C140,'G-7 Rivers Data'!$B$4:$B$8,0),MATCH(G140,'G-7 Rivers Data'!$H$3:$L$3,0)),"")</f>
        <v/>
      </c>
      <c r="I140" s="154"/>
      <c r="J140" s="507" t="str">
        <f>IF(I140="","",IF(VLOOKUP(I140,'G-7 Rivers Data'!$AG$4:$AI$9,2,FALSE)=0,"Spatial Data Missing ⚠",VLOOKUP(I140,'G-7 Rivers Data'!$AG$4:$AI$9,2,FALSE)))</f>
        <v/>
      </c>
      <c r="K140" s="499" t="str">
        <f>IF(I140="","",IF(VLOOKUP(I140,'G-7 Rivers Data'!$AG$4:$AI$9,3,FALSE)=0,"Spatial Data Missing ⚠",VLOOKUP(I140,'G-7 Rivers Data'!$AG$4:$AI$9,3,FALSE)))</f>
        <v/>
      </c>
      <c r="L140" s="498" t="str">
        <f>IFERROR(INDEX('G-7 Rivers Data'!$O$3:$O$7,MATCH(G140,'G-7 Rivers Data'!$N$3:$N$7,0)),"")</f>
        <v/>
      </c>
      <c r="M140" s="82"/>
      <c r="N140" s="195"/>
      <c r="O140" s="507" t="str">
        <f t="shared" si="7"/>
        <v/>
      </c>
      <c r="P140" s="521" t="str">
        <f t="shared" si="8"/>
        <v/>
      </c>
      <c r="Q140" s="564" t="str">
        <f>IFERROR(IF(P140="Check Data ⚠","Check Data ⚠",VLOOKUP(P140,'G-4 Temporal multipliers'!$A$4:$C$37,3,FALSE)),"")</f>
        <v/>
      </c>
      <c r="R140" s="498" t="str">
        <f>IF(C140="","",VLOOKUP(C140,'G-7 Rivers Data'!$B$4:$G$8,4,FALSE))</f>
        <v/>
      </c>
      <c r="S140" s="507" t="str">
        <f t="shared" si="9"/>
        <v/>
      </c>
      <c r="T140" s="540" t="str">
        <f t="shared" si="10"/>
        <v/>
      </c>
      <c r="U140" s="499" t="str">
        <f t="shared" si="11"/>
        <v/>
      </c>
      <c r="V140" s="71"/>
      <c r="W140" s="499" t="str">
        <f>IF(V140="","",IF(VLOOKUP(V140,'G-7 Rivers Data'!$AA$4:$AB$7,2,FALSE)=0,"Spatial Data Missing ⚠",VLOOKUP(V140,'G-7 Rivers Data'!$AA$4:$AB$7,2,FALSE)))</f>
        <v/>
      </c>
      <c r="X140" s="155"/>
      <c r="Y140" s="499" t="str">
        <f>IF(X140="","",IF(VLOOKUP(X140,'G-7 Rivers Data'!$AD$4:$AE$8,2,FALSE)=0,"Enrcoachment Data Missing ⚠",VLOOKUP(X140,'G-7 Rivers Data'!$AD$4:$AE$8,2,FALSE)))</f>
        <v/>
      </c>
      <c r="Z140" s="565" t="str">
        <f t="shared" si="12"/>
        <v/>
      </c>
      <c r="AA140" s="149"/>
      <c r="AB140" s="150"/>
      <c r="AH140" s="31" t="str">
        <f>IFERROR(INDEX('G-7 Rivers Data'!$AZ$3:$AZ$7,MATCH(C140,'G-7 Rivers Data'!$AY$3:$AY$7,0)),"")</f>
        <v/>
      </c>
    </row>
    <row r="141" spans="2:34" ht="14" x14ac:dyDescent="0.3">
      <c r="B141" s="141">
        <v>130</v>
      </c>
      <c r="C141" s="171"/>
      <c r="D141" s="172"/>
      <c r="E141" s="498" t="str">
        <f>IF(C141="","",VLOOKUP(C141,'G-7 Rivers Data'!$B$2:$G$8,2,FALSE))</f>
        <v/>
      </c>
      <c r="F141" s="499" t="str">
        <f>IFERROR(VLOOKUP(E141,'G-7 Rivers Data'!$C$4:$D$8,2,FALSE),"")</f>
        <v/>
      </c>
      <c r="G141" s="145"/>
      <c r="H141" s="499" t="str">
        <f>IFERROR(INDEX('G-7 Rivers Data'!$H$4:$L$8,MATCH(C141,'G-7 Rivers Data'!$B$4:$B$8,0),MATCH(G141,'G-7 Rivers Data'!$H$3:$L$3,0)),"")</f>
        <v/>
      </c>
      <c r="I141" s="154"/>
      <c r="J141" s="507" t="str">
        <f>IF(I141="","",IF(VLOOKUP(I141,'G-7 Rivers Data'!$AG$4:$AI$9,2,FALSE)=0,"Spatial Data Missing ⚠",VLOOKUP(I141,'G-7 Rivers Data'!$AG$4:$AI$9,2,FALSE)))</f>
        <v/>
      </c>
      <c r="K141" s="499" t="str">
        <f>IF(I141="","",IF(VLOOKUP(I141,'G-7 Rivers Data'!$AG$4:$AI$9,3,FALSE)=0,"Spatial Data Missing ⚠",VLOOKUP(I141,'G-7 Rivers Data'!$AG$4:$AI$9,3,FALSE)))</f>
        <v/>
      </c>
      <c r="L141" s="498" t="str">
        <f>IFERROR(INDEX('G-7 Rivers Data'!$O$3:$O$7,MATCH(G141,'G-7 Rivers Data'!$N$3:$N$7,0)),"")</f>
        <v/>
      </c>
      <c r="M141" s="82"/>
      <c r="N141" s="195"/>
      <c r="O141" s="507" t="str">
        <f t="shared" ref="O141:O204" si="13">IF(L141="","",IF(AND(M141&gt;0,N141&gt;0),"Error -both advance and delayed habitat creation ▲",IF(AND(OR(M141="Habitat already in target condition",L141&lt;=M141),N141=0),"Check details - Is there evidence that habitat has reached target condition? ⚠",IF(M141&gt;0,"Check details - Is there evidence habitat creation started/in place? ⚠",IF(N141&gt;0,"Check details- Delay in starting habitat in required condition? ⚠","Standard time to target condition applied")))))</f>
        <v/>
      </c>
      <c r="P141" s="521" t="str">
        <f t="shared" ref="P141:P204" si="14">IF(LEFT(O141,5)="Error ▲","Check Data ⚠",IF(L141="","",IF(M141="30+",0,IF(N141="30+","30+ ⚠",IF(L141+N141&gt;30,"30+ ⚠",IF(L141+N141-M141&gt;0,L141+N141-M141,IF(L141-M141&lt;0,0,L141+N141-M141)))))))</f>
        <v/>
      </c>
      <c r="Q141" s="564" t="str">
        <f>IFERROR(IF(P141="Check Data ⚠","Check Data ⚠",VLOOKUP(P141,'G-4 Temporal multipliers'!$A$4:$C$37,3,FALSE)),"")</f>
        <v/>
      </c>
      <c r="R141" s="498" t="str">
        <f>IF(C141="","",VLOOKUP(C141,'G-7 Rivers Data'!$B$4:$G$8,4,FALSE))</f>
        <v/>
      </c>
      <c r="S141" s="507" t="str">
        <f t="shared" ref="S141:S204" si="15">IF(C141="","",IF(P141="Check Data ⚠","Check Data ⚠",IF(G141="","",IF($O141="Check details - Is there evidence that habitat has reached target condition? ⚠","Low Difficulty - only applicable if all habitat created before losses ⚠","Standard difficulty applied"))))</f>
        <v/>
      </c>
      <c r="T141" s="540" t="str">
        <f t="shared" ref="T141:T204" si="16">(IF(AND(S141="Standard difficulty applied",L141&gt;M141),R141,IF(AND(S141="Low Difficulty - only applicable if all habitat created before losses ⚠",M141&gt;=L141),"Low",R141)))</f>
        <v/>
      </c>
      <c r="U141" s="499" t="str">
        <f t="shared" ref="U141:U204" si="17">IF(C141="","",VLOOKUP(R141,Difficulty,2,FALSE))</f>
        <v/>
      </c>
      <c r="V141" s="71"/>
      <c r="W141" s="499" t="str">
        <f>IF(V141="","",IF(VLOOKUP(V141,'G-7 Rivers Data'!$AA$4:$AB$7,2,FALSE)=0,"Spatial Data Missing ⚠",VLOOKUP(V141,'G-7 Rivers Data'!$AA$4:$AB$7,2,FALSE)))</f>
        <v/>
      </c>
      <c r="X141" s="155"/>
      <c r="Y141" s="499" t="str">
        <f>IF(X141="","",IF(VLOOKUP(X141,'G-7 Rivers Data'!$AD$4:$AE$8,2,FALSE)=0,"Enrcoachment Data Missing ⚠",VLOOKUP(X141,'G-7 Rivers Data'!$AD$4:$AE$8,2,FALSE)))</f>
        <v/>
      </c>
      <c r="Z141" s="565" t="str">
        <f t="shared" ref="Z141:Z204" si="18">IFERROR(IF(C141="","",D141*F141*H141*K141*Q141*U141*Y141*W141),"")</f>
        <v/>
      </c>
      <c r="AA141" s="149"/>
      <c r="AB141" s="150"/>
      <c r="AH141" s="31" t="str">
        <f>IFERROR(INDEX('G-7 Rivers Data'!$AZ$3:$AZ$7,MATCH(C141,'G-7 Rivers Data'!$AY$3:$AY$7,0)),"")</f>
        <v/>
      </c>
    </row>
    <row r="142" spans="2:34" ht="14" x14ac:dyDescent="0.3">
      <c r="B142" s="141">
        <v>131</v>
      </c>
      <c r="C142" s="171"/>
      <c r="D142" s="172"/>
      <c r="E142" s="498" t="str">
        <f>IF(C142="","",VLOOKUP(C142,'G-7 Rivers Data'!$B$2:$G$8,2,FALSE))</f>
        <v/>
      </c>
      <c r="F142" s="499" t="str">
        <f>IFERROR(VLOOKUP(E142,'G-7 Rivers Data'!$C$4:$D$8,2,FALSE),"")</f>
        <v/>
      </c>
      <c r="G142" s="145"/>
      <c r="H142" s="499" t="str">
        <f>IFERROR(INDEX('G-7 Rivers Data'!$H$4:$L$8,MATCH(C142,'G-7 Rivers Data'!$B$4:$B$8,0),MATCH(G142,'G-7 Rivers Data'!$H$3:$L$3,0)),"")</f>
        <v/>
      </c>
      <c r="I142" s="154"/>
      <c r="J142" s="507" t="str">
        <f>IF(I142="","",IF(VLOOKUP(I142,'G-7 Rivers Data'!$AG$4:$AI$9,2,FALSE)=0,"Spatial Data Missing ⚠",VLOOKUP(I142,'G-7 Rivers Data'!$AG$4:$AI$9,2,FALSE)))</f>
        <v/>
      </c>
      <c r="K142" s="499" t="str">
        <f>IF(I142="","",IF(VLOOKUP(I142,'G-7 Rivers Data'!$AG$4:$AI$9,3,FALSE)=0,"Spatial Data Missing ⚠",VLOOKUP(I142,'G-7 Rivers Data'!$AG$4:$AI$9,3,FALSE)))</f>
        <v/>
      </c>
      <c r="L142" s="498" t="str">
        <f>IFERROR(INDEX('G-7 Rivers Data'!$O$3:$O$7,MATCH(G142,'G-7 Rivers Data'!$N$3:$N$7,0)),"")</f>
        <v/>
      </c>
      <c r="M142" s="82"/>
      <c r="N142" s="195"/>
      <c r="O142" s="507" t="str">
        <f t="shared" si="13"/>
        <v/>
      </c>
      <c r="P142" s="521" t="str">
        <f t="shared" si="14"/>
        <v/>
      </c>
      <c r="Q142" s="564" t="str">
        <f>IFERROR(IF(P142="Check Data ⚠","Check Data ⚠",VLOOKUP(P142,'G-4 Temporal multipliers'!$A$4:$C$37,3,FALSE)),"")</f>
        <v/>
      </c>
      <c r="R142" s="498" t="str">
        <f>IF(C142="","",VLOOKUP(C142,'G-7 Rivers Data'!$B$4:$G$8,4,FALSE))</f>
        <v/>
      </c>
      <c r="S142" s="507" t="str">
        <f t="shared" si="15"/>
        <v/>
      </c>
      <c r="T142" s="540" t="str">
        <f t="shared" si="16"/>
        <v/>
      </c>
      <c r="U142" s="499" t="str">
        <f t="shared" si="17"/>
        <v/>
      </c>
      <c r="V142" s="71"/>
      <c r="W142" s="499" t="str">
        <f>IF(V142="","",IF(VLOOKUP(V142,'G-7 Rivers Data'!$AA$4:$AB$7,2,FALSE)=0,"Spatial Data Missing ⚠",VLOOKUP(V142,'G-7 Rivers Data'!$AA$4:$AB$7,2,FALSE)))</f>
        <v/>
      </c>
      <c r="X142" s="155"/>
      <c r="Y142" s="499" t="str">
        <f>IF(X142="","",IF(VLOOKUP(X142,'G-7 Rivers Data'!$AD$4:$AE$8,2,FALSE)=0,"Enrcoachment Data Missing ⚠",VLOOKUP(X142,'G-7 Rivers Data'!$AD$4:$AE$8,2,FALSE)))</f>
        <v/>
      </c>
      <c r="Z142" s="565" t="str">
        <f t="shared" si="18"/>
        <v/>
      </c>
      <c r="AA142" s="149"/>
      <c r="AB142" s="150"/>
      <c r="AH142" s="31" t="str">
        <f>IFERROR(INDEX('G-7 Rivers Data'!$AZ$3:$AZ$7,MATCH(C142,'G-7 Rivers Data'!$AY$3:$AY$7,0)),"")</f>
        <v/>
      </c>
    </row>
    <row r="143" spans="2:34" ht="14" x14ac:dyDescent="0.3">
      <c r="B143" s="141">
        <v>132</v>
      </c>
      <c r="C143" s="171"/>
      <c r="D143" s="172"/>
      <c r="E143" s="498" t="str">
        <f>IF(C143="","",VLOOKUP(C143,'G-7 Rivers Data'!$B$2:$G$8,2,FALSE))</f>
        <v/>
      </c>
      <c r="F143" s="499" t="str">
        <f>IFERROR(VLOOKUP(E143,'G-7 Rivers Data'!$C$4:$D$8,2,FALSE),"")</f>
        <v/>
      </c>
      <c r="G143" s="145"/>
      <c r="H143" s="499" t="str">
        <f>IFERROR(INDEX('G-7 Rivers Data'!$H$4:$L$8,MATCH(C143,'G-7 Rivers Data'!$B$4:$B$8,0),MATCH(G143,'G-7 Rivers Data'!$H$3:$L$3,0)),"")</f>
        <v/>
      </c>
      <c r="I143" s="154"/>
      <c r="J143" s="507" t="str">
        <f>IF(I143="","",IF(VLOOKUP(I143,'G-7 Rivers Data'!$AG$4:$AI$9,2,FALSE)=0,"Spatial Data Missing ⚠",VLOOKUP(I143,'G-7 Rivers Data'!$AG$4:$AI$9,2,FALSE)))</f>
        <v/>
      </c>
      <c r="K143" s="499" t="str">
        <f>IF(I143="","",IF(VLOOKUP(I143,'G-7 Rivers Data'!$AG$4:$AI$9,3,FALSE)=0,"Spatial Data Missing ⚠",VLOOKUP(I143,'G-7 Rivers Data'!$AG$4:$AI$9,3,FALSE)))</f>
        <v/>
      </c>
      <c r="L143" s="498" t="str">
        <f>IFERROR(INDEX('G-7 Rivers Data'!$O$3:$O$7,MATCH(G143,'G-7 Rivers Data'!$N$3:$N$7,0)),"")</f>
        <v/>
      </c>
      <c r="M143" s="82"/>
      <c r="N143" s="195"/>
      <c r="O143" s="507" t="str">
        <f t="shared" si="13"/>
        <v/>
      </c>
      <c r="P143" s="521" t="str">
        <f t="shared" si="14"/>
        <v/>
      </c>
      <c r="Q143" s="564" t="str">
        <f>IFERROR(IF(P143="Check Data ⚠","Check Data ⚠",VLOOKUP(P143,'G-4 Temporal multipliers'!$A$4:$C$37,3,FALSE)),"")</f>
        <v/>
      </c>
      <c r="R143" s="498" t="str">
        <f>IF(C143="","",VLOOKUP(C143,'G-7 Rivers Data'!$B$4:$G$8,4,FALSE))</f>
        <v/>
      </c>
      <c r="S143" s="507" t="str">
        <f t="shared" si="15"/>
        <v/>
      </c>
      <c r="T143" s="540" t="str">
        <f t="shared" si="16"/>
        <v/>
      </c>
      <c r="U143" s="499" t="str">
        <f t="shared" si="17"/>
        <v/>
      </c>
      <c r="V143" s="71"/>
      <c r="W143" s="499" t="str">
        <f>IF(V143="","",IF(VLOOKUP(V143,'G-7 Rivers Data'!$AA$4:$AB$7,2,FALSE)=0,"Spatial Data Missing ⚠",VLOOKUP(V143,'G-7 Rivers Data'!$AA$4:$AB$7,2,FALSE)))</f>
        <v/>
      </c>
      <c r="X143" s="155"/>
      <c r="Y143" s="499" t="str">
        <f>IF(X143="","",IF(VLOOKUP(X143,'G-7 Rivers Data'!$AD$4:$AE$8,2,FALSE)=0,"Enrcoachment Data Missing ⚠",VLOOKUP(X143,'G-7 Rivers Data'!$AD$4:$AE$8,2,FALSE)))</f>
        <v/>
      </c>
      <c r="Z143" s="565" t="str">
        <f t="shared" si="18"/>
        <v/>
      </c>
      <c r="AA143" s="149"/>
      <c r="AB143" s="150"/>
      <c r="AH143" s="31" t="str">
        <f>IFERROR(INDEX('G-7 Rivers Data'!$AZ$3:$AZ$7,MATCH(C143,'G-7 Rivers Data'!$AY$3:$AY$7,0)),"")</f>
        <v/>
      </c>
    </row>
    <row r="144" spans="2:34" ht="14" x14ac:dyDescent="0.3">
      <c r="B144" s="141">
        <v>133</v>
      </c>
      <c r="C144" s="171"/>
      <c r="D144" s="172"/>
      <c r="E144" s="498" t="str">
        <f>IF(C144="","",VLOOKUP(C144,'G-7 Rivers Data'!$B$2:$G$8,2,FALSE))</f>
        <v/>
      </c>
      <c r="F144" s="499" t="str">
        <f>IFERROR(VLOOKUP(E144,'G-7 Rivers Data'!$C$4:$D$8,2,FALSE),"")</f>
        <v/>
      </c>
      <c r="G144" s="145"/>
      <c r="H144" s="499" t="str">
        <f>IFERROR(INDEX('G-7 Rivers Data'!$H$4:$L$8,MATCH(C144,'G-7 Rivers Data'!$B$4:$B$8,0),MATCH(G144,'G-7 Rivers Data'!$H$3:$L$3,0)),"")</f>
        <v/>
      </c>
      <c r="I144" s="154"/>
      <c r="J144" s="507" t="str">
        <f>IF(I144="","",IF(VLOOKUP(I144,'G-7 Rivers Data'!$AG$4:$AI$9,2,FALSE)=0,"Spatial Data Missing ⚠",VLOOKUP(I144,'G-7 Rivers Data'!$AG$4:$AI$9,2,FALSE)))</f>
        <v/>
      </c>
      <c r="K144" s="499" t="str">
        <f>IF(I144="","",IF(VLOOKUP(I144,'G-7 Rivers Data'!$AG$4:$AI$9,3,FALSE)=0,"Spatial Data Missing ⚠",VLOOKUP(I144,'G-7 Rivers Data'!$AG$4:$AI$9,3,FALSE)))</f>
        <v/>
      </c>
      <c r="L144" s="498" t="str">
        <f>IFERROR(INDEX('G-7 Rivers Data'!$O$3:$O$7,MATCH(G144,'G-7 Rivers Data'!$N$3:$N$7,0)),"")</f>
        <v/>
      </c>
      <c r="M144" s="82"/>
      <c r="N144" s="195"/>
      <c r="O144" s="507" t="str">
        <f t="shared" si="13"/>
        <v/>
      </c>
      <c r="P144" s="521" t="str">
        <f t="shared" si="14"/>
        <v/>
      </c>
      <c r="Q144" s="564" t="str">
        <f>IFERROR(IF(P144="Check Data ⚠","Check Data ⚠",VLOOKUP(P144,'G-4 Temporal multipliers'!$A$4:$C$37,3,FALSE)),"")</f>
        <v/>
      </c>
      <c r="R144" s="498" t="str">
        <f>IF(C144="","",VLOOKUP(C144,'G-7 Rivers Data'!$B$4:$G$8,4,FALSE))</f>
        <v/>
      </c>
      <c r="S144" s="507" t="str">
        <f t="shared" si="15"/>
        <v/>
      </c>
      <c r="T144" s="540" t="str">
        <f t="shared" si="16"/>
        <v/>
      </c>
      <c r="U144" s="499" t="str">
        <f t="shared" si="17"/>
        <v/>
      </c>
      <c r="V144" s="71"/>
      <c r="W144" s="499" t="str">
        <f>IF(V144="","",IF(VLOOKUP(V144,'G-7 Rivers Data'!$AA$4:$AB$7,2,FALSE)=0,"Spatial Data Missing ⚠",VLOOKUP(V144,'G-7 Rivers Data'!$AA$4:$AB$7,2,FALSE)))</f>
        <v/>
      </c>
      <c r="X144" s="155"/>
      <c r="Y144" s="499" t="str">
        <f>IF(X144="","",IF(VLOOKUP(X144,'G-7 Rivers Data'!$AD$4:$AE$8,2,FALSE)=0,"Enrcoachment Data Missing ⚠",VLOOKUP(X144,'G-7 Rivers Data'!$AD$4:$AE$8,2,FALSE)))</f>
        <v/>
      </c>
      <c r="Z144" s="565" t="str">
        <f t="shared" si="18"/>
        <v/>
      </c>
      <c r="AA144" s="149"/>
      <c r="AB144" s="150"/>
      <c r="AH144" s="31" t="str">
        <f>IFERROR(INDEX('G-7 Rivers Data'!$AZ$3:$AZ$7,MATCH(C144,'G-7 Rivers Data'!$AY$3:$AY$7,0)),"")</f>
        <v/>
      </c>
    </row>
    <row r="145" spans="2:34" ht="14" x14ac:dyDescent="0.3">
      <c r="B145" s="141">
        <v>134</v>
      </c>
      <c r="C145" s="171"/>
      <c r="D145" s="172"/>
      <c r="E145" s="498" t="str">
        <f>IF(C145="","",VLOOKUP(C145,'G-7 Rivers Data'!$B$2:$G$8,2,FALSE))</f>
        <v/>
      </c>
      <c r="F145" s="499" t="str">
        <f>IFERROR(VLOOKUP(E145,'G-7 Rivers Data'!$C$4:$D$8,2,FALSE),"")</f>
        <v/>
      </c>
      <c r="G145" s="145"/>
      <c r="H145" s="499" t="str">
        <f>IFERROR(INDEX('G-7 Rivers Data'!$H$4:$L$8,MATCH(C145,'G-7 Rivers Data'!$B$4:$B$8,0),MATCH(G145,'G-7 Rivers Data'!$H$3:$L$3,0)),"")</f>
        <v/>
      </c>
      <c r="I145" s="154"/>
      <c r="J145" s="507" t="str">
        <f>IF(I145="","",IF(VLOOKUP(I145,'G-7 Rivers Data'!$AG$4:$AI$9,2,FALSE)=0,"Spatial Data Missing ⚠",VLOOKUP(I145,'G-7 Rivers Data'!$AG$4:$AI$9,2,FALSE)))</f>
        <v/>
      </c>
      <c r="K145" s="499" t="str">
        <f>IF(I145="","",IF(VLOOKUP(I145,'G-7 Rivers Data'!$AG$4:$AI$9,3,FALSE)=0,"Spatial Data Missing ⚠",VLOOKUP(I145,'G-7 Rivers Data'!$AG$4:$AI$9,3,FALSE)))</f>
        <v/>
      </c>
      <c r="L145" s="498" t="str">
        <f>IFERROR(INDEX('G-7 Rivers Data'!$O$3:$O$7,MATCH(G145,'G-7 Rivers Data'!$N$3:$N$7,0)),"")</f>
        <v/>
      </c>
      <c r="M145" s="82"/>
      <c r="N145" s="195"/>
      <c r="O145" s="507" t="str">
        <f t="shared" si="13"/>
        <v/>
      </c>
      <c r="P145" s="521" t="str">
        <f t="shared" si="14"/>
        <v/>
      </c>
      <c r="Q145" s="564" t="str">
        <f>IFERROR(IF(P145="Check Data ⚠","Check Data ⚠",VLOOKUP(P145,'G-4 Temporal multipliers'!$A$4:$C$37,3,FALSE)),"")</f>
        <v/>
      </c>
      <c r="R145" s="498" t="str">
        <f>IF(C145="","",VLOOKUP(C145,'G-7 Rivers Data'!$B$4:$G$8,4,FALSE))</f>
        <v/>
      </c>
      <c r="S145" s="507" t="str">
        <f t="shared" si="15"/>
        <v/>
      </c>
      <c r="T145" s="540" t="str">
        <f t="shared" si="16"/>
        <v/>
      </c>
      <c r="U145" s="499" t="str">
        <f t="shared" si="17"/>
        <v/>
      </c>
      <c r="V145" s="71"/>
      <c r="W145" s="499" t="str">
        <f>IF(V145="","",IF(VLOOKUP(V145,'G-7 Rivers Data'!$AA$4:$AB$7,2,FALSE)=0,"Spatial Data Missing ⚠",VLOOKUP(V145,'G-7 Rivers Data'!$AA$4:$AB$7,2,FALSE)))</f>
        <v/>
      </c>
      <c r="X145" s="155"/>
      <c r="Y145" s="499" t="str">
        <f>IF(X145="","",IF(VLOOKUP(X145,'G-7 Rivers Data'!$AD$4:$AE$8,2,FALSE)=0,"Enrcoachment Data Missing ⚠",VLOOKUP(X145,'G-7 Rivers Data'!$AD$4:$AE$8,2,FALSE)))</f>
        <v/>
      </c>
      <c r="Z145" s="565" t="str">
        <f t="shared" si="18"/>
        <v/>
      </c>
      <c r="AA145" s="149"/>
      <c r="AB145" s="150"/>
      <c r="AH145" s="31" t="str">
        <f>IFERROR(INDEX('G-7 Rivers Data'!$AZ$3:$AZ$7,MATCH(C145,'G-7 Rivers Data'!$AY$3:$AY$7,0)),"")</f>
        <v/>
      </c>
    </row>
    <row r="146" spans="2:34" ht="14" x14ac:dyDescent="0.3">
      <c r="B146" s="141">
        <v>135</v>
      </c>
      <c r="C146" s="171"/>
      <c r="D146" s="172"/>
      <c r="E146" s="498" t="str">
        <f>IF(C146="","",VLOOKUP(C146,'G-7 Rivers Data'!$B$2:$G$8,2,FALSE))</f>
        <v/>
      </c>
      <c r="F146" s="499" t="str">
        <f>IFERROR(VLOOKUP(E146,'G-7 Rivers Data'!$C$4:$D$8,2,FALSE),"")</f>
        <v/>
      </c>
      <c r="G146" s="145"/>
      <c r="H146" s="499" t="str">
        <f>IFERROR(INDEX('G-7 Rivers Data'!$H$4:$L$8,MATCH(C146,'G-7 Rivers Data'!$B$4:$B$8,0),MATCH(G146,'G-7 Rivers Data'!$H$3:$L$3,0)),"")</f>
        <v/>
      </c>
      <c r="I146" s="154"/>
      <c r="J146" s="507" t="str">
        <f>IF(I146="","",IF(VLOOKUP(I146,'G-7 Rivers Data'!$AG$4:$AI$9,2,FALSE)=0,"Spatial Data Missing ⚠",VLOOKUP(I146,'G-7 Rivers Data'!$AG$4:$AI$9,2,FALSE)))</f>
        <v/>
      </c>
      <c r="K146" s="499" t="str">
        <f>IF(I146="","",IF(VLOOKUP(I146,'G-7 Rivers Data'!$AG$4:$AI$9,3,FALSE)=0,"Spatial Data Missing ⚠",VLOOKUP(I146,'G-7 Rivers Data'!$AG$4:$AI$9,3,FALSE)))</f>
        <v/>
      </c>
      <c r="L146" s="498" t="str">
        <f>IFERROR(INDEX('G-7 Rivers Data'!$O$3:$O$7,MATCH(G146,'G-7 Rivers Data'!$N$3:$N$7,0)),"")</f>
        <v/>
      </c>
      <c r="M146" s="82"/>
      <c r="N146" s="195"/>
      <c r="O146" s="507" t="str">
        <f t="shared" si="13"/>
        <v/>
      </c>
      <c r="P146" s="521" t="str">
        <f t="shared" si="14"/>
        <v/>
      </c>
      <c r="Q146" s="564" t="str">
        <f>IFERROR(IF(P146="Check Data ⚠","Check Data ⚠",VLOOKUP(P146,'G-4 Temporal multipliers'!$A$4:$C$37,3,FALSE)),"")</f>
        <v/>
      </c>
      <c r="R146" s="498" t="str">
        <f>IF(C146="","",VLOOKUP(C146,'G-7 Rivers Data'!$B$4:$G$8,4,FALSE))</f>
        <v/>
      </c>
      <c r="S146" s="507" t="str">
        <f t="shared" si="15"/>
        <v/>
      </c>
      <c r="T146" s="540" t="str">
        <f t="shared" si="16"/>
        <v/>
      </c>
      <c r="U146" s="499" t="str">
        <f t="shared" si="17"/>
        <v/>
      </c>
      <c r="V146" s="71"/>
      <c r="W146" s="499" t="str">
        <f>IF(V146="","",IF(VLOOKUP(V146,'G-7 Rivers Data'!$AA$4:$AB$7,2,FALSE)=0,"Spatial Data Missing ⚠",VLOOKUP(V146,'G-7 Rivers Data'!$AA$4:$AB$7,2,FALSE)))</f>
        <v/>
      </c>
      <c r="X146" s="155"/>
      <c r="Y146" s="499" t="str">
        <f>IF(X146="","",IF(VLOOKUP(X146,'G-7 Rivers Data'!$AD$4:$AE$8,2,FALSE)=0,"Enrcoachment Data Missing ⚠",VLOOKUP(X146,'G-7 Rivers Data'!$AD$4:$AE$8,2,FALSE)))</f>
        <v/>
      </c>
      <c r="Z146" s="565" t="str">
        <f t="shared" si="18"/>
        <v/>
      </c>
      <c r="AA146" s="149"/>
      <c r="AB146" s="150"/>
      <c r="AH146" s="31" t="str">
        <f>IFERROR(INDEX('G-7 Rivers Data'!$AZ$3:$AZ$7,MATCH(C146,'G-7 Rivers Data'!$AY$3:$AY$7,0)),"")</f>
        <v/>
      </c>
    </row>
    <row r="147" spans="2:34" ht="14" x14ac:dyDescent="0.3">
      <c r="B147" s="141">
        <v>136</v>
      </c>
      <c r="C147" s="171"/>
      <c r="D147" s="172"/>
      <c r="E147" s="498" t="str">
        <f>IF(C147="","",VLOOKUP(C147,'G-7 Rivers Data'!$B$2:$G$8,2,FALSE))</f>
        <v/>
      </c>
      <c r="F147" s="499" t="str">
        <f>IFERROR(VLOOKUP(E147,'G-7 Rivers Data'!$C$4:$D$8,2,FALSE),"")</f>
        <v/>
      </c>
      <c r="G147" s="145"/>
      <c r="H147" s="499" t="str">
        <f>IFERROR(INDEX('G-7 Rivers Data'!$H$4:$L$8,MATCH(C147,'G-7 Rivers Data'!$B$4:$B$8,0),MATCH(G147,'G-7 Rivers Data'!$H$3:$L$3,0)),"")</f>
        <v/>
      </c>
      <c r="I147" s="154"/>
      <c r="J147" s="507" t="str">
        <f>IF(I147="","",IF(VLOOKUP(I147,'G-7 Rivers Data'!$AG$4:$AI$9,2,FALSE)=0,"Spatial Data Missing ⚠",VLOOKUP(I147,'G-7 Rivers Data'!$AG$4:$AI$9,2,FALSE)))</f>
        <v/>
      </c>
      <c r="K147" s="499" t="str">
        <f>IF(I147="","",IF(VLOOKUP(I147,'G-7 Rivers Data'!$AG$4:$AI$9,3,FALSE)=0,"Spatial Data Missing ⚠",VLOOKUP(I147,'G-7 Rivers Data'!$AG$4:$AI$9,3,FALSE)))</f>
        <v/>
      </c>
      <c r="L147" s="498" t="str">
        <f>IFERROR(INDEX('G-7 Rivers Data'!$O$3:$O$7,MATCH(G147,'G-7 Rivers Data'!$N$3:$N$7,0)),"")</f>
        <v/>
      </c>
      <c r="M147" s="82"/>
      <c r="N147" s="195"/>
      <c r="O147" s="507" t="str">
        <f t="shared" si="13"/>
        <v/>
      </c>
      <c r="P147" s="521" t="str">
        <f t="shared" si="14"/>
        <v/>
      </c>
      <c r="Q147" s="564" t="str">
        <f>IFERROR(IF(P147="Check Data ⚠","Check Data ⚠",VLOOKUP(P147,'G-4 Temporal multipliers'!$A$4:$C$37,3,FALSE)),"")</f>
        <v/>
      </c>
      <c r="R147" s="498" t="str">
        <f>IF(C147="","",VLOOKUP(C147,'G-7 Rivers Data'!$B$4:$G$8,4,FALSE))</f>
        <v/>
      </c>
      <c r="S147" s="507" t="str">
        <f t="shared" si="15"/>
        <v/>
      </c>
      <c r="T147" s="540" t="str">
        <f t="shared" si="16"/>
        <v/>
      </c>
      <c r="U147" s="499" t="str">
        <f t="shared" si="17"/>
        <v/>
      </c>
      <c r="V147" s="71"/>
      <c r="W147" s="499" t="str">
        <f>IF(V147="","",IF(VLOOKUP(V147,'G-7 Rivers Data'!$AA$4:$AB$7,2,FALSE)=0,"Spatial Data Missing ⚠",VLOOKUP(V147,'G-7 Rivers Data'!$AA$4:$AB$7,2,FALSE)))</f>
        <v/>
      </c>
      <c r="X147" s="155"/>
      <c r="Y147" s="499" t="str">
        <f>IF(X147="","",IF(VLOOKUP(X147,'G-7 Rivers Data'!$AD$4:$AE$8,2,FALSE)=0,"Enrcoachment Data Missing ⚠",VLOOKUP(X147,'G-7 Rivers Data'!$AD$4:$AE$8,2,FALSE)))</f>
        <v/>
      </c>
      <c r="Z147" s="565" t="str">
        <f t="shared" si="18"/>
        <v/>
      </c>
      <c r="AA147" s="149"/>
      <c r="AB147" s="150"/>
      <c r="AH147" s="31" t="str">
        <f>IFERROR(INDEX('G-7 Rivers Data'!$AZ$3:$AZ$7,MATCH(C147,'G-7 Rivers Data'!$AY$3:$AY$7,0)),"")</f>
        <v/>
      </c>
    </row>
    <row r="148" spans="2:34" ht="14" x14ac:dyDescent="0.3">
      <c r="B148" s="141">
        <v>137</v>
      </c>
      <c r="C148" s="171"/>
      <c r="D148" s="172"/>
      <c r="E148" s="498" t="str">
        <f>IF(C148="","",VLOOKUP(C148,'G-7 Rivers Data'!$B$2:$G$8,2,FALSE))</f>
        <v/>
      </c>
      <c r="F148" s="499" t="str">
        <f>IFERROR(VLOOKUP(E148,'G-7 Rivers Data'!$C$4:$D$8,2,FALSE),"")</f>
        <v/>
      </c>
      <c r="G148" s="145"/>
      <c r="H148" s="499" t="str">
        <f>IFERROR(INDEX('G-7 Rivers Data'!$H$4:$L$8,MATCH(C148,'G-7 Rivers Data'!$B$4:$B$8,0),MATCH(G148,'G-7 Rivers Data'!$H$3:$L$3,0)),"")</f>
        <v/>
      </c>
      <c r="I148" s="154"/>
      <c r="J148" s="507" t="str">
        <f>IF(I148="","",IF(VLOOKUP(I148,'G-7 Rivers Data'!$AG$4:$AI$9,2,FALSE)=0,"Spatial Data Missing ⚠",VLOOKUP(I148,'G-7 Rivers Data'!$AG$4:$AI$9,2,FALSE)))</f>
        <v/>
      </c>
      <c r="K148" s="499" t="str">
        <f>IF(I148="","",IF(VLOOKUP(I148,'G-7 Rivers Data'!$AG$4:$AI$9,3,FALSE)=0,"Spatial Data Missing ⚠",VLOOKUP(I148,'G-7 Rivers Data'!$AG$4:$AI$9,3,FALSE)))</f>
        <v/>
      </c>
      <c r="L148" s="498" t="str">
        <f>IFERROR(INDEX('G-7 Rivers Data'!$O$3:$O$7,MATCH(G148,'G-7 Rivers Data'!$N$3:$N$7,0)),"")</f>
        <v/>
      </c>
      <c r="M148" s="82"/>
      <c r="N148" s="195"/>
      <c r="O148" s="507" t="str">
        <f t="shared" si="13"/>
        <v/>
      </c>
      <c r="P148" s="521" t="str">
        <f t="shared" si="14"/>
        <v/>
      </c>
      <c r="Q148" s="564" t="str">
        <f>IFERROR(IF(P148="Check Data ⚠","Check Data ⚠",VLOOKUP(P148,'G-4 Temporal multipliers'!$A$4:$C$37,3,FALSE)),"")</f>
        <v/>
      </c>
      <c r="R148" s="498" t="str">
        <f>IF(C148="","",VLOOKUP(C148,'G-7 Rivers Data'!$B$4:$G$8,4,FALSE))</f>
        <v/>
      </c>
      <c r="S148" s="507" t="str">
        <f t="shared" si="15"/>
        <v/>
      </c>
      <c r="T148" s="540" t="str">
        <f t="shared" si="16"/>
        <v/>
      </c>
      <c r="U148" s="499" t="str">
        <f t="shared" si="17"/>
        <v/>
      </c>
      <c r="V148" s="71"/>
      <c r="W148" s="499" t="str">
        <f>IF(V148="","",IF(VLOOKUP(V148,'G-7 Rivers Data'!$AA$4:$AB$7,2,FALSE)=0,"Spatial Data Missing ⚠",VLOOKUP(V148,'G-7 Rivers Data'!$AA$4:$AB$7,2,FALSE)))</f>
        <v/>
      </c>
      <c r="X148" s="155"/>
      <c r="Y148" s="499" t="str">
        <f>IF(X148="","",IF(VLOOKUP(X148,'G-7 Rivers Data'!$AD$4:$AE$8,2,FALSE)=0,"Enrcoachment Data Missing ⚠",VLOOKUP(X148,'G-7 Rivers Data'!$AD$4:$AE$8,2,FALSE)))</f>
        <v/>
      </c>
      <c r="Z148" s="565" t="str">
        <f t="shared" si="18"/>
        <v/>
      </c>
      <c r="AA148" s="149"/>
      <c r="AB148" s="150"/>
      <c r="AH148" s="31" t="str">
        <f>IFERROR(INDEX('G-7 Rivers Data'!$AZ$3:$AZ$7,MATCH(C148,'G-7 Rivers Data'!$AY$3:$AY$7,0)),"")</f>
        <v/>
      </c>
    </row>
    <row r="149" spans="2:34" ht="14" x14ac:dyDescent="0.3">
      <c r="B149" s="141">
        <v>138</v>
      </c>
      <c r="C149" s="171"/>
      <c r="D149" s="172"/>
      <c r="E149" s="498" t="str">
        <f>IF(C149="","",VLOOKUP(C149,'G-7 Rivers Data'!$B$2:$G$8,2,FALSE))</f>
        <v/>
      </c>
      <c r="F149" s="499" t="str">
        <f>IFERROR(VLOOKUP(E149,'G-7 Rivers Data'!$C$4:$D$8,2,FALSE),"")</f>
        <v/>
      </c>
      <c r="G149" s="145"/>
      <c r="H149" s="499" t="str">
        <f>IFERROR(INDEX('G-7 Rivers Data'!$H$4:$L$8,MATCH(C149,'G-7 Rivers Data'!$B$4:$B$8,0),MATCH(G149,'G-7 Rivers Data'!$H$3:$L$3,0)),"")</f>
        <v/>
      </c>
      <c r="I149" s="154"/>
      <c r="J149" s="507" t="str">
        <f>IF(I149="","",IF(VLOOKUP(I149,'G-7 Rivers Data'!$AG$4:$AI$9,2,FALSE)=0,"Spatial Data Missing ⚠",VLOOKUP(I149,'G-7 Rivers Data'!$AG$4:$AI$9,2,FALSE)))</f>
        <v/>
      </c>
      <c r="K149" s="499" t="str">
        <f>IF(I149="","",IF(VLOOKUP(I149,'G-7 Rivers Data'!$AG$4:$AI$9,3,FALSE)=0,"Spatial Data Missing ⚠",VLOOKUP(I149,'G-7 Rivers Data'!$AG$4:$AI$9,3,FALSE)))</f>
        <v/>
      </c>
      <c r="L149" s="498" t="str">
        <f>IFERROR(INDEX('G-7 Rivers Data'!$O$3:$O$7,MATCH(G149,'G-7 Rivers Data'!$N$3:$N$7,0)),"")</f>
        <v/>
      </c>
      <c r="M149" s="82"/>
      <c r="N149" s="195"/>
      <c r="O149" s="507" t="str">
        <f t="shared" si="13"/>
        <v/>
      </c>
      <c r="P149" s="521" t="str">
        <f t="shared" si="14"/>
        <v/>
      </c>
      <c r="Q149" s="564" t="str">
        <f>IFERROR(IF(P149="Check Data ⚠","Check Data ⚠",VLOOKUP(P149,'G-4 Temporal multipliers'!$A$4:$C$37,3,FALSE)),"")</f>
        <v/>
      </c>
      <c r="R149" s="498" t="str">
        <f>IF(C149="","",VLOOKUP(C149,'G-7 Rivers Data'!$B$4:$G$8,4,FALSE))</f>
        <v/>
      </c>
      <c r="S149" s="507" t="str">
        <f t="shared" si="15"/>
        <v/>
      </c>
      <c r="T149" s="540" t="str">
        <f t="shared" si="16"/>
        <v/>
      </c>
      <c r="U149" s="499" t="str">
        <f t="shared" si="17"/>
        <v/>
      </c>
      <c r="V149" s="71"/>
      <c r="W149" s="499" t="str">
        <f>IF(V149="","",IF(VLOOKUP(V149,'G-7 Rivers Data'!$AA$4:$AB$7,2,FALSE)=0,"Spatial Data Missing ⚠",VLOOKUP(V149,'G-7 Rivers Data'!$AA$4:$AB$7,2,FALSE)))</f>
        <v/>
      </c>
      <c r="X149" s="155"/>
      <c r="Y149" s="499" t="str">
        <f>IF(X149="","",IF(VLOOKUP(X149,'G-7 Rivers Data'!$AD$4:$AE$8,2,FALSE)=0,"Enrcoachment Data Missing ⚠",VLOOKUP(X149,'G-7 Rivers Data'!$AD$4:$AE$8,2,FALSE)))</f>
        <v/>
      </c>
      <c r="Z149" s="565" t="str">
        <f t="shared" si="18"/>
        <v/>
      </c>
      <c r="AA149" s="149"/>
      <c r="AB149" s="150"/>
      <c r="AH149" s="31" t="str">
        <f>IFERROR(INDEX('G-7 Rivers Data'!$AZ$3:$AZ$7,MATCH(C149,'G-7 Rivers Data'!$AY$3:$AY$7,0)),"")</f>
        <v/>
      </c>
    </row>
    <row r="150" spans="2:34" ht="14" x14ac:dyDescent="0.3">
      <c r="B150" s="141">
        <v>139</v>
      </c>
      <c r="C150" s="171"/>
      <c r="D150" s="172"/>
      <c r="E150" s="498" t="str">
        <f>IF(C150="","",VLOOKUP(C150,'G-7 Rivers Data'!$B$2:$G$8,2,FALSE))</f>
        <v/>
      </c>
      <c r="F150" s="499" t="str">
        <f>IFERROR(VLOOKUP(E150,'G-7 Rivers Data'!$C$4:$D$8,2,FALSE),"")</f>
        <v/>
      </c>
      <c r="G150" s="145"/>
      <c r="H150" s="499" t="str">
        <f>IFERROR(INDEX('G-7 Rivers Data'!$H$4:$L$8,MATCH(C150,'G-7 Rivers Data'!$B$4:$B$8,0),MATCH(G150,'G-7 Rivers Data'!$H$3:$L$3,0)),"")</f>
        <v/>
      </c>
      <c r="I150" s="154"/>
      <c r="J150" s="507" t="str">
        <f>IF(I150="","",IF(VLOOKUP(I150,'G-7 Rivers Data'!$AG$4:$AI$9,2,FALSE)=0,"Spatial Data Missing ⚠",VLOOKUP(I150,'G-7 Rivers Data'!$AG$4:$AI$9,2,FALSE)))</f>
        <v/>
      </c>
      <c r="K150" s="499" t="str">
        <f>IF(I150="","",IF(VLOOKUP(I150,'G-7 Rivers Data'!$AG$4:$AI$9,3,FALSE)=0,"Spatial Data Missing ⚠",VLOOKUP(I150,'G-7 Rivers Data'!$AG$4:$AI$9,3,FALSE)))</f>
        <v/>
      </c>
      <c r="L150" s="498" t="str">
        <f>IFERROR(INDEX('G-7 Rivers Data'!$O$3:$O$7,MATCH(G150,'G-7 Rivers Data'!$N$3:$N$7,0)),"")</f>
        <v/>
      </c>
      <c r="M150" s="82"/>
      <c r="N150" s="195"/>
      <c r="O150" s="507" t="str">
        <f t="shared" si="13"/>
        <v/>
      </c>
      <c r="P150" s="521" t="str">
        <f t="shared" si="14"/>
        <v/>
      </c>
      <c r="Q150" s="564" t="str">
        <f>IFERROR(IF(P150="Check Data ⚠","Check Data ⚠",VLOOKUP(P150,'G-4 Temporal multipliers'!$A$4:$C$37,3,FALSE)),"")</f>
        <v/>
      </c>
      <c r="R150" s="498" t="str">
        <f>IF(C150="","",VLOOKUP(C150,'G-7 Rivers Data'!$B$4:$G$8,4,FALSE))</f>
        <v/>
      </c>
      <c r="S150" s="507" t="str">
        <f t="shared" si="15"/>
        <v/>
      </c>
      <c r="T150" s="540" t="str">
        <f t="shared" si="16"/>
        <v/>
      </c>
      <c r="U150" s="499" t="str">
        <f t="shared" si="17"/>
        <v/>
      </c>
      <c r="V150" s="71"/>
      <c r="W150" s="499" t="str">
        <f>IF(V150="","",IF(VLOOKUP(V150,'G-7 Rivers Data'!$AA$4:$AB$7,2,FALSE)=0,"Spatial Data Missing ⚠",VLOOKUP(V150,'G-7 Rivers Data'!$AA$4:$AB$7,2,FALSE)))</f>
        <v/>
      </c>
      <c r="X150" s="155"/>
      <c r="Y150" s="499" t="str">
        <f>IF(X150="","",IF(VLOOKUP(X150,'G-7 Rivers Data'!$AD$4:$AE$8,2,FALSE)=0,"Enrcoachment Data Missing ⚠",VLOOKUP(X150,'G-7 Rivers Data'!$AD$4:$AE$8,2,FALSE)))</f>
        <v/>
      </c>
      <c r="Z150" s="565" t="str">
        <f t="shared" si="18"/>
        <v/>
      </c>
      <c r="AA150" s="149"/>
      <c r="AB150" s="150"/>
      <c r="AH150" s="31" t="str">
        <f>IFERROR(INDEX('G-7 Rivers Data'!$AZ$3:$AZ$7,MATCH(C150,'G-7 Rivers Data'!$AY$3:$AY$7,0)),"")</f>
        <v/>
      </c>
    </row>
    <row r="151" spans="2:34" ht="14" x14ac:dyDescent="0.3">
      <c r="B151" s="141">
        <v>140</v>
      </c>
      <c r="C151" s="171"/>
      <c r="D151" s="172"/>
      <c r="E151" s="498" t="str">
        <f>IF(C151="","",VLOOKUP(C151,'G-7 Rivers Data'!$B$2:$G$8,2,FALSE))</f>
        <v/>
      </c>
      <c r="F151" s="499" t="str">
        <f>IFERROR(VLOOKUP(E151,'G-7 Rivers Data'!$C$4:$D$8,2,FALSE),"")</f>
        <v/>
      </c>
      <c r="G151" s="145"/>
      <c r="H151" s="499" t="str">
        <f>IFERROR(INDEX('G-7 Rivers Data'!$H$4:$L$8,MATCH(C151,'G-7 Rivers Data'!$B$4:$B$8,0),MATCH(G151,'G-7 Rivers Data'!$H$3:$L$3,0)),"")</f>
        <v/>
      </c>
      <c r="I151" s="154"/>
      <c r="J151" s="507" t="str">
        <f>IF(I151="","",IF(VLOOKUP(I151,'G-7 Rivers Data'!$AG$4:$AI$9,2,FALSE)=0,"Spatial Data Missing ⚠",VLOOKUP(I151,'G-7 Rivers Data'!$AG$4:$AI$9,2,FALSE)))</f>
        <v/>
      </c>
      <c r="K151" s="499" t="str">
        <f>IF(I151="","",IF(VLOOKUP(I151,'G-7 Rivers Data'!$AG$4:$AI$9,3,FALSE)=0,"Spatial Data Missing ⚠",VLOOKUP(I151,'G-7 Rivers Data'!$AG$4:$AI$9,3,FALSE)))</f>
        <v/>
      </c>
      <c r="L151" s="498" t="str">
        <f>IFERROR(INDEX('G-7 Rivers Data'!$O$3:$O$7,MATCH(G151,'G-7 Rivers Data'!$N$3:$N$7,0)),"")</f>
        <v/>
      </c>
      <c r="M151" s="82"/>
      <c r="N151" s="195"/>
      <c r="O151" s="507" t="str">
        <f t="shared" si="13"/>
        <v/>
      </c>
      <c r="P151" s="521" t="str">
        <f t="shared" si="14"/>
        <v/>
      </c>
      <c r="Q151" s="564" t="str">
        <f>IFERROR(IF(P151="Check Data ⚠","Check Data ⚠",VLOOKUP(P151,'G-4 Temporal multipliers'!$A$4:$C$37,3,FALSE)),"")</f>
        <v/>
      </c>
      <c r="R151" s="498" t="str">
        <f>IF(C151="","",VLOOKUP(C151,'G-7 Rivers Data'!$B$4:$G$8,4,FALSE))</f>
        <v/>
      </c>
      <c r="S151" s="507" t="str">
        <f t="shared" si="15"/>
        <v/>
      </c>
      <c r="T151" s="540" t="str">
        <f t="shared" si="16"/>
        <v/>
      </c>
      <c r="U151" s="499" t="str">
        <f t="shared" si="17"/>
        <v/>
      </c>
      <c r="V151" s="71"/>
      <c r="W151" s="499" t="str">
        <f>IF(V151="","",IF(VLOOKUP(V151,'G-7 Rivers Data'!$AA$4:$AB$7,2,FALSE)=0,"Spatial Data Missing ⚠",VLOOKUP(V151,'G-7 Rivers Data'!$AA$4:$AB$7,2,FALSE)))</f>
        <v/>
      </c>
      <c r="X151" s="155"/>
      <c r="Y151" s="499" t="str">
        <f>IF(X151="","",IF(VLOOKUP(X151,'G-7 Rivers Data'!$AD$4:$AE$8,2,FALSE)=0,"Enrcoachment Data Missing ⚠",VLOOKUP(X151,'G-7 Rivers Data'!$AD$4:$AE$8,2,FALSE)))</f>
        <v/>
      </c>
      <c r="Z151" s="565" t="str">
        <f t="shared" si="18"/>
        <v/>
      </c>
      <c r="AA151" s="149"/>
      <c r="AB151" s="150"/>
      <c r="AH151" s="31" t="str">
        <f>IFERROR(INDEX('G-7 Rivers Data'!$AZ$3:$AZ$7,MATCH(C151,'G-7 Rivers Data'!$AY$3:$AY$7,0)),"")</f>
        <v/>
      </c>
    </row>
    <row r="152" spans="2:34" ht="14" x14ac:dyDescent="0.3">
      <c r="B152" s="141">
        <v>141</v>
      </c>
      <c r="C152" s="171"/>
      <c r="D152" s="172"/>
      <c r="E152" s="498" t="str">
        <f>IF(C152="","",VLOOKUP(C152,'G-7 Rivers Data'!$B$2:$G$8,2,FALSE))</f>
        <v/>
      </c>
      <c r="F152" s="499" t="str">
        <f>IFERROR(VLOOKUP(E152,'G-7 Rivers Data'!$C$4:$D$8,2,FALSE),"")</f>
        <v/>
      </c>
      <c r="G152" s="145"/>
      <c r="H152" s="499" t="str">
        <f>IFERROR(INDEX('G-7 Rivers Data'!$H$4:$L$8,MATCH(C152,'G-7 Rivers Data'!$B$4:$B$8,0),MATCH(G152,'G-7 Rivers Data'!$H$3:$L$3,0)),"")</f>
        <v/>
      </c>
      <c r="I152" s="154"/>
      <c r="J152" s="507" t="str">
        <f>IF(I152="","",IF(VLOOKUP(I152,'G-7 Rivers Data'!$AG$4:$AI$9,2,FALSE)=0,"Spatial Data Missing ⚠",VLOOKUP(I152,'G-7 Rivers Data'!$AG$4:$AI$9,2,FALSE)))</f>
        <v/>
      </c>
      <c r="K152" s="499" t="str">
        <f>IF(I152="","",IF(VLOOKUP(I152,'G-7 Rivers Data'!$AG$4:$AI$9,3,FALSE)=0,"Spatial Data Missing ⚠",VLOOKUP(I152,'G-7 Rivers Data'!$AG$4:$AI$9,3,FALSE)))</f>
        <v/>
      </c>
      <c r="L152" s="498" t="str">
        <f>IFERROR(INDEX('G-7 Rivers Data'!$O$3:$O$7,MATCH(G152,'G-7 Rivers Data'!$N$3:$N$7,0)),"")</f>
        <v/>
      </c>
      <c r="M152" s="82"/>
      <c r="N152" s="195"/>
      <c r="O152" s="507" t="str">
        <f t="shared" si="13"/>
        <v/>
      </c>
      <c r="P152" s="521" t="str">
        <f t="shared" si="14"/>
        <v/>
      </c>
      <c r="Q152" s="564" t="str">
        <f>IFERROR(IF(P152="Check Data ⚠","Check Data ⚠",VLOOKUP(P152,'G-4 Temporal multipliers'!$A$4:$C$37,3,FALSE)),"")</f>
        <v/>
      </c>
      <c r="R152" s="498" t="str">
        <f>IF(C152="","",VLOOKUP(C152,'G-7 Rivers Data'!$B$4:$G$8,4,FALSE))</f>
        <v/>
      </c>
      <c r="S152" s="507" t="str">
        <f t="shared" si="15"/>
        <v/>
      </c>
      <c r="T152" s="540" t="str">
        <f t="shared" si="16"/>
        <v/>
      </c>
      <c r="U152" s="499" t="str">
        <f t="shared" si="17"/>
        <v/>
      </c>
      <c r="V152" s="71"/>
      <c r="W152" s="499" t="str">
        <f>IF(V152="","",IF(VLOOKUP(V152,'G-7 Rivers Data'!$AA$4:$AB$7,2,FALSE)=0,"Spatial Data Missing ⚠",VLOOKUP(V152,'G-7 Rivers Data'!$AA$4:$AB$7,2,FALSE)))</f>
        <v/>
      </c>
      <c r="X152" s="155"/>
      <c r="Y152" s="499" t="str">
        <f>IF(X152="","",IF(VLOOKUP(X152,'G-7 Rivers Data'!$AD$4:$AE$8,2,FALSE)=0,"Enrcoachment Data Missing ⚠",VLOOKUP(X152,'G-7 Rivers Data'!$AD$4:$AE$8,2,FALSE)))</f>
        <v/>
      </c>
      <c r="Z152" s="565" t="str">
        <f t="shared" si="18"/>
        <v/>
      </c>
      <c r="AA152" s="149"/>
      <c r="AB152" s="150"/>
      <c r="AH152" s="31" t="str">
        <f>IFERROR(INDEX('G-7 Rivers Data'!$AZ$3:$AZ$7,MATCH(C152,'G-7 Rivers Data'!$AY$3:$AY$7,0)),"")</f>
        <v/>
      </c>
    </row>
    <row r="153" spans="2:34" ht="14" x14ac:dyDescent="0.3">
      <c r="B153" s="141">
        <v>142</v>
      </c>
      <c r="C153" s="171"/>
      <c r="D153" s="172"/>
      <c r="E153" s="498" t="str">
        <f>IF(C153="","",VLOOKUP(C153,'G-7 Rivers Data'!$B$2:$G$8,2,FALSE))</f>
        <v/>
      </c>
      <c r="F153" s="499" t="str">
        <f>IFERROR(VLOOKUP(E153,'G-7 Rivers Data'!$C$4:$D$8,2,FALSE),"")</f>
        <v/>
      </c>
      <c r="G153" s="145"/>
      <c r="H153" s="499" t="str">
        <f>IFERROR(INDEX('G-7 Rivers Data'!$H$4:$L$8,MATCH(C153,'G-7 Rivers Data'!$B$4:$B$8,0),MATCH(G153,'G-7 Rivers Data'!$H$3:$L$3,0)),"")</f>
        <v/>
      </c>
      <c r="I153" s="154"/>
      <c r="J153" s="507" t="str">
        <f>IF(I153="","",IF(VLOOKUP(I153,'G-7 Rivers Data'!$AG$4:$AI$9,2,FALSE)=0,"Spatial Data Missing ⚠",VLOOKUP(I153,'G-7 Rivers Data'!$AG$4:$AI$9,2,FALSE)))</f>
        <v/>
      </c>
      <c r="K153" s="499" t="str">
        <f>IF(I153="","",IF(VLOOKUP(I153,'G-7 Rivers Data'!$AG$4:$AI$9,3,FALSE)=0,"Spatial Data Missing ⚠",VLOOKUP(I153,'G-7 Rivers Data'!$AG$4:$AI$9,3,FALSE)))</f>
        <v/>
      </c>
      <c r="L153" s="498" t="str">
        <f>IFERROR(INDEX('G-7 Rivers Data'!$O$3:$O$7,MATCH(G153,'G-7 Rivers Data'!$N$3:$N$7,0)),"")</f>
        <v/>
      </c>
      <c r="M153" s="82"/>
      <c r="N153" s="195"/>
      <c r="O153" s="507" t="str">
        <f t="shared" si="13"/>
        <v/>
      </c>
      <c r="P153" s="521" t="str">
        <f t="shared" si="14"/>
        <v/>
      </c>
      <c r="Q153" s="564" t="str">
        <f>IFERROR(IF(P153="Check Data ⚠","Check Data ⚠",VLOOKUP(P153,'G-4 Temporal multipliers'!$A$4:$C$37,3,FALSE)),"")</f>
        <v/>
      </c>
      <c r="R153" s="498" t="str">
        <f>IF(C153="","",VLOOKUP(C153,'G-7 Rivers Data'!$B$4:$G$8,4,FALSE))</f>
        <v/>
      </c>
      <c r="S153" s="507" t="str">
        <f t="shared" si="15"/>
        <v/>
      </c>
      <c r="T153" s="540" t="str">
        <f t="shared" si="16"/>
        <v/>
      </c>
      <c r="U153" s="499" t="str">
        <f t="shared" si="17"/>
        <v/>
      </c>
      <c r="V153" s="71"/>
      <c r="W153" s="499" t="str">
        <f>IF(V153="","",IF(VLOOKUP(V153,'G-7 Rivers Data'!$AA$4:$AB$7,2,FALSE)=0,"Spatial Data Missing ⚠",VLOOKUP(V153,'G-7 Rivers Data'!$AA$4:$AB$7,2,FALSE)))</f>
        <v/>
      </c>
      <c r="X153" s="155"/>
      <c r="Y153" s="499" t="str">
        <f>IF(X153="","",IF(VLOOKUP(X153,'G-7 Rivers Data'!$AD$4:$AE$8,2,FALSE)=0,"Enrcoachment Data Missing ⚠",VLOOKUP(X153,'G-7 Rivers Data'!$AD$4:$AE$8,2,FALSE)))</f>
        <v/>
      </c>
      <c r="Z153" s="565" t="str">
        <f t="shared" si="18"/>
        <v/>
      </c>
      <c r="AA153" s="149"/>
      <c r="AB153" s="150"/>
      <c r="AH153" s="31" t="str">
        <f>IFERROR(INDEX('G-7 Rivers Data'!$AZ$3:$AZ$7,MATCH(C153,'G-7 Rivers Data'!$AY$3:$AY$7,0)),"")</f>
        <v/>
      </c>
    </row>
    <row r="154" spans="2:34" ht="14" x14ac:dyDescent="0.3">
      <c r="B154" s="141">
        <v>143</v>
      </c>
      <c r="C154" s="171"/>
      <c r="D154" s="172"/>
      <c r="E154" s="498" t="str">
        <f>IF(C154="","",VLOOKUP(C154,'G-7 Rivers Data'!$B$2:$G$8,2,FALSE))</f>
        <v/>
      </c>
      <c r="F154" s="499" t="str">
        <f>IFERROR(VLOOKUP(E154,'G-7 Rivers Data'!$C$4:$D$8,2,FALSE),"")</f>
        <v/>
      </c>
      <c r="G154" s="145"/>
      <c r="H154" s="499" t="str">
        <f>IFERROR(INDEX('G-7 Rivers Data'!$H$4:$L$8,MATCH(C154,'G-7 Rivers Data'!$B$4:$B$8,0),MATCH(G154,'G-7 Rivers Data'!$H$3:$L$3,0)),"")</f>
        <v/>
      </c>
      <c r="I154" s="154"/>
      <c r="J154" s="507" t="str">
        <f>IF(I154="","",IF(VLOOKUP(I154,'G-7 Rivers Data'!$AG$4:$AI$9,2,FALSE)=0,"Spatial Data Missing ⚠",VLOOKUP(I154,'G-7 Rivers Data'!$AG$4:$AI$9,2,FALSE)))</f>
        <v/>
      </c>
      <c r="K154" s="499" t="str">
        <f>IF(I154="","",IF(VLOOKUP(I154,'G-7 Rivers Data'!$AG$4:$AI$9,3,FALSE)=0,"Spatial Data Missing ⚠",VLOOKUP(I154,'G-7 Rivers Data'!$AG$4:$AI$9,3,FALSE)))</f>
        <v/>
      </c>
      <c r="L154" s="498" t="str">
        <f>IFERROR(INDEX('G-7 Rivers Data'!$O$3:$O$7,MATCH(G154,'G-7 Rivers Data'!$N$3:$N$7,0)),"")</f>
        <v/>
      </c>
      <c r="M154" s="82"/>
      <c r="N154" s="195"/>
      <c r="O154" s="507" t="str">
        <f t="shared" si="13"/>
        <v/>
      </c>
      <c r="P154" s="521" t="str">
        <f t="shared" si="14"/>
        <v/>
      </c>
      <c r="Q154" s="564" t="str">
        <f>IFERROR(IF(P154="Check Data ⚠","Check Data ⚠",VLOOKUP(P154,'G-4 Temporal multipliers'!$A$4:$C$37,3,FALSE)),"")</f>
        <v/>
      </c>
      <c r="R154" s="498" t="str">
        <f>IF(C154="","",VLOOKUP(C154,'G-7 Rivers Data'!$B$4:$G$8,4,FALSE))</f>
        <v/>
      </c>
      <c r="S154" s="507" t="str">
        <f t="shared" si="15"/>
        <v/>
      </c>
      <c r="T154" s="540" t="str">
        <f t="shared" si="16"/>
        <v/>
      </c>
      <c r="U154" s="499" t="str">
        <f t="shared" si="17"/>
        <v/>
      </c>
      <c r="V154" s="71"/>
      <c r="W154" s="499" t="str">
        <f>IF(V154="","",IF(VLOOKUP(V154,'G-7 Rivers Data'!$AA$4:$AB$7,2,FALSE)=0,"Spatial Data Missing ⚠",VLOOKUP(V154,'G-7 Rivers Data'!$AA$4:$AB$7,2,FALSE)))</f>
        <v/>
      </c>
      <c r="X154" s="155"/>
      <c r="Y154" s="499" t="str">
        <f>IF(X154="","",IF(VLOOKUP(X154,'G-7 Rivers Data'!$AD$4:$AE$8,2,FALSE)=0,"Enrcoachment Data Missing ⚠",VLOOKUP(X154,'G-7 Rivers Data'!$AD$4:$AE$8,2,FALSE)))</f>
        <v/>
      </c>
      <c r="Z154" s="565" t="str">
        <f t="shared" si="18"/>
        <v/>
      </c>
      <c r="AA154" s="149"/>
      <c r="AB154" s="150"/>
      <c r="AH154" s="31" t="str">
        <f>IFERROR(INDEX('G-7 Rivers Data'!$AZ$3:$AZ$7,MATCH(C154,'G-7 Rivers Data'!$AY$3:$AY$7,0)),"")</f>
        <v/>
      </c>
    </row>
    <row r="155" spans="2:34" ht="14" x14ac:dyDescent="0.3">
      <c r="B155" s="141">
        <v>144</v>
      </c>
      <c r="C155" s="171"/>
      <c r="D155" s="172"/>
      <c r="E155" s="498" t="str">
        <f>IF(C155="","",VLOOKUP(C155,'G-7 Rivers Data'!$B$2:$G$8,2,FALSE))</f>
        <v/>
      </c>
      <c r="F155" s="499" t="str">
        <f>IFERROR(VLOOKUP(E155,'G-7 Rivers Data'!$C$4:$D$8,2,FALSE),"")</f>
        <v/>
      </c>
      <c r="G155" s="145"/>
      <c r="H155" s="499" t="str">
        <f>IFERROR(INDEX('G-7 Rivers Data'!$H$4:$L$8,MATCH(C155,'G-7 Rivers Data'!$B$4:$B$8,0),MATCH(G155,'G-7 Rivers Data'!$H$3:$L$3,0)),"")</f>
        <v/>
      </c>
      <c r="I155" s="154"/>
      <c r="J155" s="507" t="str">
        <f>IF(I155="","",IF(VLOOKUP(I155,'G-7 Rivers Data'!$AG$4:$AI$9,2,FALSE)=0,"Spatial Data Missing ⚠",VLOOKUP(I155,'G-7 Rivers Data'!$AG$4:$AI$9,2,FALSE)))</f>
        <v/>
      </c>
      <c r="K155" s="499" t="str">
        <f>IF(I155="","",IF(VLOOKUP(I155,'G-7 Rivers Data'!$AG$4:$AI$9,3,FALSE)=0,"Spatial Data Missing ⚠",VLOOKUP(I155,'G-7 Rivers Data'!$AG$4:$AI$9,3,FALSE)))</f>
        <v/>
      </c>
      <c r="L155" s="498" t="str">
        <f>IFERROR(INDEX('G-7 Rivers Data'!$O$3:$O$7,MATCH(G155,'G-7 Rivers Data'!$N$3:$N$7,0)),"")</f>
        <v/>
      </c>
      <c r="M155" s="82"/>
      <c r="N155" s="195"/>
      <c r="O155" s="507" t="str">
        <f t="shared" si="13"/>
        <v/>
      </c>
      <c r="P155" s="521" t="str">
        <f t="shared" si="14"/>
        <v/>
      </c>
      <c r="Q155" s="564" t="str">
        <f>IFERROR(IF(P155="Check Data ⚠","Check Data ⚠",VLOOKUP(P155,'G-4 Temporal multipliers'!$A$4:$C$37,3,FALSE)),"")</f>
        <v/>
      </c>
      <c r="R155" s="498" t="str">
        <f>IF(C155="","",VLOOKUP(C155,'G-7 Rivers Data'!$B$4:$G$8,4,FALSE))</f>
        <v/>
      </c>
      <c r="S155" s="507" t="str">
        <f t="shared" si="15"/>
        <v/>
      </c>
      <c r="T155" s="540" t="str">
        <f t="shared" si="16"/>
        <v/>
      </c>
      <c r="U155" s="499" t="str">
        <f t="shared" si="17"/>
        <v/>
      </c>
      <c r="V155" s="71"/>
      <c r="W155" s="499" t="str">
        <f>IF(V155="","",IF(VLOOKUP(V155,'G-7 Rivers Data'!$AA$4:$AB$7,2,FALSE)=0,"Spatial Data Missing ⚠",VLOOKUP(V155,'G-7 Rivers Data'!$AA$4:$AB$7,2,FALSE)))</f>
        <v/>
      </c>
      <c r="X155" s="155"/>
      <c r="Y155" s="499" t="str">
        <f>IF(X155="","",IF(VLOOKUP(X155,'G-7 Rivers Data'!$AD$4:$AE$8,2,FALSE)=0,"Enrcoachment Data Missing ⚠",VLOOKUP(X155,'G-7 Rivers Data'!$AD$4:$AE$8,2,FALSE)))</f>
        <v/>
      </c>
      <c r="Z155" s="565" t="str">
        <f t="shared" si="18"/>
        <v/>
      </c>
      <c r="AA155" s="149"/>
      <c r="AB155" s="150"/>
      <c r="AH155" s="31" t="str">
        <f>IFERROR(INDEX('G-7 Rivers Data'!$AZ$3:$AZ$7,MATCH(C155,'G-7 Rivers Data'!$AY$3:$AY$7,0)),"")</f>
        <v/>
      </c>
    </row>
    <row r="156" spans="2:34" ht="14" x14ac:dyDescent="0.3">
      <c r="B156" s="141">
        <v>145</v>
      </c>
      <c r="C156" s="171"/>
      <c r="D156" s="172"/>
      <c r="E156" s="498" t="str">
        <f>IF(C156="","",VLOOKUP(C156,'G-7 Rivers Data'!$B$2:$G$8,2,FALSE))</f>
        <v/>
      </c>
      <c r="F156" s="499" t="str">
        <f>IFERROR(VLOOKUP(E156,'G-7 Rivers Data'!$C$4:$D$8,2,FALSE),"")</f>
        <v/>
      </c>
      <c r="G156" s="145"/>
      <c r="H156" s="499" t="str">
        <f>IFERROR(INDEX('G-7 Rivers Data'!$H$4:$L$8,MATCH(C156,'G-7 Rivers Data'!$B$4:$B$8,0),MATCH(G156,'G-7 Rivers Data'!$H$3:$L$3,0)),"")</f>
        <v/>
      </c>
      <c r="I156" s="154"/>
      <c r="J156" s="507" t="str">
        <f>IF(I156="","",IF(VLOOKUP(I156,'G-7 Rivers Data'!$AG$4:$AI$9,2,FALSE)=0,"Spatial Data Missing ⚠",VLOOKUP(I156,'G-7 Rivers Data'!$AG$4:$AI$9,2,FALSE)))</f>
        <v/>
      </c>
      <c r="K156" s="499" t="str">
        <f>IF(I156="","",IF(VLOOKUP(I156,'G-7 Rivers Data'!$AG$4:$AI$9,3,FALSE)=0,"Spatial Data Missing ⚠",VLOOKUP(I156,'G-7 Rivers Data'!$AG$4:$AI$9,3,FALSE)))</f>
        <v/>
      </c>
      <c r="L156" s="498" t="str">
        <f>IFERROR(INDEX('G-7 Rivers Data'!$O$3:$O$7,MATCH(G156,'G-7 Rivers Data'!$N$3:$N$7,0)),"")</f>
        <v/>
      </c>
      <c r="M156" s="82"/>
      <c r="N156" s="195"/>
      <c r="O156" s="507" t="str">
        <f t="shared" si="13"/>
        <v/>
      </c>
      <c r="P156" s="521" t="str">
        <f t="shared" si="14"/>
        <v/>
      </c>
      <c r="Q156" s="564" t="str">
        <f>IFERROR(IF(P156="Check Data ⚠","Check Data ⚠",VLOOKUP(P156,'G-4 Temporal multipliers'!$A$4:$C$37,3,FALSE)),"")</f>
        <v/>
      </c>
      <c r="R156" s="498" t="str">
        <f>IF(C156="","",VLOOKUP(C156,'G-7 Rivers Data'!$B$4:$G$8,4,FALSE))</f>
        <v/>
      </c>
      <c r="S156" s="507" t="str">
        <f t="shared" si="15"/>
        <v/>
      </c>
      <c r="T156" s="540" t="str">
        <f t="shared" si="16"/>
        <v/>
      </c>
      <c r="U156" s="499" t="str">
        <f t="shared" si="17"/>
        <v/>
      </c>
      <c r="V156" s="71"/>
      <c r="W156" s="499" t="str">
        <f>IF(V156="","",IF(VLOOKUP(V156,'G-7 Rivers Data'!$AA$4:$AB$7,2,FALSE)=0,"Spatial Data Missing ⚠",VLOOKUP(V156,'G-7 Rivers Data'!$AA$4:$AB$7,2,FALSE)))</f>
        <v/>
      </c>
      <c r="X156" s="155"/>
      <c r="Y156" s="499" t="str">
        <f>IF(X156="","",IF(VLOOKUP(X156,'G-7 Rivers Data'!$AD$4:$AE$8,2,FALSE)=0,"Enrcoachment Data Missing ⚠",VLOOKUP(X156,'G-7 Rivers Data'!$AD$4:$AE$8,2,FALSE)))</f>
        <v/>
      </c>
      <c r="Z156" s="565" t="str">
        <f t="shared" si="18"/>
        <v/>
      </c>
      <c r="AA156" s="149"/>
      <c r="AB156" s="150"/>
      <c r="AH156" s="31" t="str">
        <f>IFERROR(INDEX('G-7 Rivers Data'!$AZ$3:$AZ$7,MATCH(C156,'G-7 Rivers Data'!$AY$3:$AY$7,0)),"")</f>
        <v/>
      </c>
    </row>
    <row r="157" spans="2:34" ht="14" x14ac:dyDescent="0.3">
      <c r="B157" s="141">
        <v>146</v>
      </c>
      <c r="C157" s="171"/>
      <c r="D157" s="172"/>
      <c r="E157" s="498" t="str">
        <f>IF(C157="","",VLOOKUP(C157,'G-7 Rivers Data'!$B$2:$G$8,2,FALSE))</f>
        <v/>
      </c>
      <c r="F157" s="499" t="str">
        <f>IFERROR(VLOOKUP(E157,'G-7 Rivers Data'!$C$4:$D$8,2,FALSE),"")</f>
        <v/>
      </c>
      <c r="G157" s="145"/>
      <c r="H157" s="499" t="str">
        <f>IFERROR(INDEX('G-7 Rivers Data'!$H$4:$L$8,MATCH(C157,'G-7 Rivers Data'!$B$4:$B$8,0),MATCH(G157,'G-7 Rivers Data'!$H$3:$L$3,0)),"")</f>
        <v/>
      </c>
      <c r="I157" s="154"/>
      <c r="J157" s="507" t="str">
        <f>IF(I157="","",IF(VLOOKUP(I157,'G-7 Rivers Data'!$AG$4:$AI$9,2,FALSE)=0,"Spatial Data Missing ⚠",VLOOKUP(I157,'G-7 Rivers Data'!$AG$4:$AI$9,2,FALSE)))</f>
        <v/>
      </c>
      <c r="K157" s="499" t="str">
        <f>IF(I157="","",IF(VLOOKUP(I157,'G-7 Rivers Data'!$AG$4:$AI$9,3,FALSE)=0,"Spatial Data Missing ⚠",VLOOKUP(I157,'G-7 Rivers Data'!$AG$4:$AI$9,3,FALSE)))</f>
        <v/>
      </c>
      <c r="L157" s="498" t="str">
        <f>IFERROR(INDEX('G-7 Rivers Data'!$O$3:$O$7,MATCH(G157,'G-7 Rivers Data'!$N$3:$N$7,0)),"")</f>
        <v/>
      </c>
      <c r="M157" s="82"/>
      <c r="N157" s="195"/>
      <c r="O157" s="507" t="str">
        <f t="shared" si="13"/>
        <v/>
      </c>
      <c r="P157" s="521" t="str">
        <f t="shared" si="14"/>
        <v/>
      </c>
      <c r="Q157" s="564" t="str">
        <f>IFERROR(IF(P157="Check Data ⚠","Check Data ⚠",VLOOKUP(P157,'G-4 Temporal multipliers'!$A$4:$C$37,3,FALSE)),"")</f>
        <v/>
      </c>
      <c r="R157" s="498" t="str">
        <f>IF(C157="","",VLOOKUP(C157,'G-7 Rivers Data'!$B$4:$G$8,4,FALSE))</f>
        <v/>
      </c>
      <c r="S157" s="507" t="str">
        <f t="shared" si="15"/>
        <v/>
      </c>
      <c r="T157" s="540" t="str">
        <f t="shared" si="16"/>
        <v/>
      </c>
      <c r="U157" s="499" t="str">
        <f t="shared" si="17"/>
        <v/>
      </c>
      <c r="V157" s="71"/>
      <c r="W157" s="499" t="str">
        <f>IF(V157="","",IF(VLOOKUP(V157,'G-7 Rivers Data'!$AA$4:$AB$7,2,FALSE)=0,"Spatial Data Missing ⚠",VLOOKUP(V157,'G-7 Rivers Data'!$AA$4:$AB$7,2,FALSE)))</f>
        <v/>
      </c>
      <c r="X157" s="155"/>
      <c r="Y157" s="499" t="str">
        <f>IF(X157="","",IF(VLOOKUP(X157,'G-7 Rivers Data'!$AD$4:$AE$8,2,FALSE)=0,"Enrcoachment Data Missing ⚠",VLOOKUP(X157,'G-7 Rivers Data'!$AD$4:$AE$8,2,FALSE)))</f>
        <v/>
      </c>
      <c r="Z157" s="565" t="str">
        <f t="shared" si="18"/>
        <v/>
      </c>
      <c r="AA157" s="149"/>
      <c r="AB157" s="150"/>
      <c r="AH157" s="31" t="str">
        <f>IFERROR(INDEX('G-7 Rivers Data'!$AZ$3:$AZ$7,MATCH(C157,'G-7 Rivers Data'!$AY$3:$AY$7,0)),"")</f>
        <v/>
      </c>
    </row>
    <row r="158" spans="2:34" ht="14" x14ac:dyDescent="0.3">
      <c r="B158" s="141">
        <v>147</v>
      </c>
      <c r="C158" s="171"/>
      <c r="D158" s="172"/>
      <c r="E158" s="498" t="str">
        <f>IF(C158="","",VLOOKUP(C158,'G-7 Rivers Data'!$B$2:$G$8,2,FALSE))</f>
        <v/>
      </c>
      <c r="F158" s="499" t="str">
        <f>IFERROR(VLOOKUP(E158,'G-7 Rivers Data'!$C$4:$D$8,2,FALSE),"")</f>
        <v/>
      </c>
      <c r="G158" s="145"/>
      <c r="H158" s="499" t="str">
        <f>IFERROR(INDEX('G-7 Rivers Data'!$H$4:$L$8,MATCH(C158,'G-7 Rivers Data'!$B$4:$B$8,0),MATCH(G158,'G-7 Rivers Data'!$H$3:$L$3,0)),"")</f>
        <v/>
      </c>
      <c r="I158" s="154"/>
      <c r="J158" s="507" t="str">
        <f>IF(I158="","",IF(VLOOKUP(I158,'G-7 Rivers Data'!$AG$4:$AI$9,2,FALSE)=0,"Spatial Data Missing ⚠",VLOOKUP(I158,'G-7 Rivers Data'!$AG$4:$AI$9,2,FALSE)))</f>
        <v/>
      </c>
      <c r="K158" s="499" t="str">
        <f>IF(I158="","",IF(VLOOKUP(I158,'G-7 Rivers Data'!$AG$4:$AI$9,3,FALSE)=0,"Spatial Data Missing ⚠",VLOOKUP(I158,'G-7 Rivers Data'!$AG$4:$AI$9,3,FALSE)))</f>
        <v/>
      </c>
      <c r="L158" s="498" t="str">
        <f>IFERROR(INDEX('G-7 Rivers Data'!$O$3:$O$7,MATCH(G158,'G-7 Rivers Data'!$N$3:$N$7,0)),"")</f>
        <v/>
      </c>
      <c r="M158" s="82"/>
      <c r="N158" s="195"/>
      <c r="O158" s="507" t="str">
        <f t="shared" si="13"/>
        <v/>
      </c>
      <c r="P158" s="521" t="str">
        <f t="shared" si="14"/>
        <v/>
      </c>
      <c r="Q158" s="564" t="str">
        <f>IFERROR(IF(P158="Check Data ⚠","Check Data ⚠",VLOOKUP(P158,'G-4 Temporal multipliers'!$A$4:$C$37,3,FALSE)),"")</f>
        <v/>
      </c>
      <c r="R158" s="498" t="str">
        <f>IF(C158="","",VLOOKUP(C158,'G-7 Rivers Data'!$B$4:$G$8,4,FALSE))</f>
        <v/>
      </c>
      <c r="S158" s="507" t="str">
        <f t="shared" si="15"/>
        <v/>
      </c>
      <c r="T158" s="540" t="str">
        <f t="shared" si="16"/>
        <v/>
      </c>
      <c r="U158" s="499" t="str">
        <f t="shared" si="17"/>
        <v/>
      </c>
      <c r="V158" s="71"/>
      <c r="W158" s="499" t="str">
        <f>IF(V158="","",IF(VLOOKUP(V158,'G-7 Rivers Data'!$AA$4:$AB$7,2,FALSE)=0,"Spatial Data Missing ⚠",VLOOKUP(V158,'G-7 Rivers Data'!$AA$4:$AB$7,2,FALSE)))</f>
        <v/>
      </c>
      <c r="X158" s="155"/>
      <c r="Y158" s="499" t="str">
        <f>IF(X158="","",IF(VLOOKUP(X158,'G-7 Rivers Data'!$AD$4:$AE$8,2,FALSE)=0,"Enrcoachment Data Missing ⚠",VLOOKUP(X158,'G-7 Rivers Data'!$AD$4:$AE$8,2,FALSE)))</f>
        <v/>
      </c>
      <c r="Z158" s="565" t="str">
        <f t="shared" si="18"/>
        <v/>
      </c>
      <c r="AA158" s="149"/>
      <c r="AB158" s="150"/>
      <c r="AH158" s="31" t="str">
        <f>IFERROR(INDEX('G-7 Rivers Data'!$AZ$3:$AZ$7,MATCH(C158,'G-7 Rivers Data'!$AY$3:$AY$7,0)),"")</f>
        <v/>
      </c>
    </row>
    <row r="159" spans="2:34" ht="14" x14ac:dyDescent="0.3">
      <c r="B159" s="141">
        <v>148</v>
      </c>
      <c r="C159" s="171"/>
      <c r="D159" s="172"/>
      <c r="E159" s="498" t="str">
        <f>IF(C159="","",VLOOKUP(C159,'G-7 Rivers Data'!$B$2:$G$8,2,FALSE))</f>
        <v/>
      </c>
      <c r="F159" s="499" t="str">
        <f>IFERROR(VLOOKUP(E159,'G-7 Rivers Data'!$C$4:$D$8,2,FALSE),"")</f>
        <v/>
      </c>
      <c r="G159" s="145"/>
      <c r="H159" s="499" t="str">
        <f>IFERROR(INDEX('G-7 Rivers Data'!$H$4:$L$8,MATCH(C159,'G-7 Rivers Data'!$B$4:$B$8,0),MATCH(G159,'G-7 Rivers Data'!$H$3:$L$3,0)),"")</f>
        <v/>
      </c>
      <c r="I159" s="154"/>
      <c r="J159" s="507" t="str">
        <f>IF(I159="","",IF(VLOOKUP(I159,'G-7 Rivers Data'!$AG$4:$AI$9,2,FALSE)=0,"Spatial Data Missing ⚠",VLOOKUP(I159,'G-7 Rivers Data'!$AG$4:$AI$9,2,FALSE)))</f>
        <v/>
      </c>
      <c r="K159" s="499" t="str">
        <f>IF(I159="","",IF(VLOOKUP(I159,'G-7 Rivers Data'!$AG$4:$AI$9,3,FALSE)=0,"Spatial Data Missing ⚠",VLOOKUP(I159,'G-7 Rivers Data'!$AG$4:$AI$9,3,FALSE)))</f>
        <v/>
      </c>
      <c r="L159" s="498" t="str">
        <f>IFERROR(INDEX('G-7 Rivers Data'!$O$3:$O$7,MATCH(G159,'G-7 Rivers Data'!$N$3:$N$7,0)),"")</f>
        <v/>
      </c>
      <c r="M159" s="82"/>
      <c r="N159" s="195"/>
      <c r="O159" s="507" t="str">
        <f t="shared" si="13"/>
        <v/>
      </c>
      <c r="P159" s="521" t="str">
        <f t="shared" si="14"/>
        <v/>
      </c>
      <c r="Q159" s="564" t="str">
        <f>IFERROR(IF(P159="Check Data ⚠","Check Data ⚠",VLOOKUP(P159,'G-4 Temporal multipliers'!$A$4:$C$37,3,FALSE)),"")</f>
        <v/>
      </c>
      <c r="R159" s="498" t="str">
        <f>IF(C159="","",VLOOKUP(C159,'G-7 Rivers Data'!$B$4:$G$8,4,FALSE))</f>
        <v/>
      </c>
      <c r="S159" s="507" t="str">
        <f t="shared" si="15"/>
        <v/>
      </c>
      <c r="T159" s="540" t="str">
        <f t="shared" si="16"/>
        <v/>
      </c>
      <c r="U159" s="499" t="str">
        <f t="shared" si="17"/>
        <v/>
      </c>
      <c r="V159" s="71"/>
      <c r="W159" s="499" t="str">
        <f>IF(V159="","",IF(VLOOKUP(V159,'G-7 Rivers Data'!$AA$4:$AB$7,2,FALSE)=0,"Spatial Data Missing ⚠",VLOOKUP(V159,'G-7 Rivers Data'!$AA$4:$AB$7,2,FALSE)))</f>
        <v/>
      </c>
      <c r="X159" s="155"/>
      <c r="Y159" s="499" t="str">
        <f>IF(X159="","",IF(VLOOKUP(X159,'G-7 Rivers Data'!$AD$4:$AE$8,2,FALSE)=0,"Enrcoachment Data Missing ⚠",VLOOKUP(X159,'G-7 Rivers Data'!$AD$4:$AE$8,2,FALSE)))</f>
        <v/>
      </c>
      <c r="Z159" s="565" t="str">
        <f t="shared" si="18"/>
        <v/>
      </c>
      <c r="AA159" s="149"/>
      <c r="AB159" s="150"/>
      <c r="AH159" s="31" t="str">
        <f>IFERROR(INDEX('G-7 Rivers Data'!$AZ$3:$AZ$7,MATCH(C159,'G-7 Rivers Data'!$AY$3:$AY$7,0)),"")</f>
        <v/>
      </c>
    </row>
    <row r="160" spans="2:34" ht="14" x14ac:dyDescent="0.3">
      <c r="B160" s="141">
        <v>149</v>
      </c>
      <c r="C160" s="171"/>
      <c r="D160" s="172"/>
      <c r="E160" s="498" t="str">
        <f>IF(C160="","",VLOOKUP(C160,'G-7 Rivers Data'!$B$2:$G$8,2,FALSE))</f>
        <v/>
      </c>
      <c r="F160" s="499" t="str">
        <f>IFERROR(VLOOKUP(E160,'G-7 Rivers Data'!$C$4:$D$8,2,FALSE),"")</f>
        <v/>
      </c>
      <c r="G160" s="145"/>
      <c r="H160" s="499" t="str">
        <f>IFERROR(INDEX('G-7 Rivers Data'!$H$4:$L$8,MATCH(C160,'G-7 Rivers Data'!$B$4:$B$8,0),MATCH(G160,'G-7 Rivers Data'!$H$3:$L$3,0)),"")</f>
        <v/>
      </c>
      <c r="I160" s="154"/>
      <c r="J160" s="507" t="str">
        <f>IF(I160="","",IF(VLOOKUP(I160,'G-7 Rivers Data'!$AG$4:$AI$9,2,FALSE)=0,"Spatial Data Missing ⚠",VLOOKUP(I160,'G-7 Rivers Data'!$AG$4:$AI$9,2,FALSE)))</f>
        <v/>
      </c>
      <c r="K160" s="499" t="str">
        <f>IF(I160="","",IF(VLOOKUP(I160,'G-7 Rivers Data'!$AG$4:$AI$9,3,FALSE)=0,"Spatial Data Missing ⚠",VLOOKUP(I160,'G-7 Rivers Data'!$AG$4:$AI$9,3,FALSE)))</f>
        <v/>
      </c>
      <c r="L160" s="498" t="str">
        <f>IFERROR(INDEX('G-7 Rivers Data'!$O$3:$O$7,MATCH(G160,'G-7 Rivers Data'!$N$3:$N$7,0)),"")</f>
        <v/>
      </c>
      <c r="M160" s="82"/>
      <c r="N160" s="195"/>
      <c r="O160" s="507" t="str">
        <f t="shared" si="13"/>
        <v/>
      </c>
      <c r="P160" s="521" t="str">
        <f t="shared" si="14"/>
        <v/>
      </c>
      <c r="Q160" s="564" t="str">
        <f>IFERROR(IF(P160="Check Data ⚠","Check Data ⚠",VLOOKUP(P160,'G-4 Temporal multipliers'!$A$4:$C$37,3,FALSE)),"")</f>
        <v/>
      </c>
      <c r="R160" s="498" t="str">
        <f>IF(C160="","",VLOOKUP(C160,'G-7 Rivers Data'!$B$4:$G$8,4,FALSE))</f>
        <v/>
      </c>
      <c r="S160" s="507" t="str">
        <f t="shared" si="15"/>
        <v/>
      </c>
      <c r="T160" s="540" t="str">
        <f t="shared" si="16"/>
        <v/>
      </c>
      <c r="U160" s="499" t="str">
        <f t="shared" si="17"/>
        <v/>
      </c>
      <c r="V160" s="71"/>
      <c r="W160" s="499" t="str">
        <f>IF(V160="","",IF(VLOOKUP(V160,'G-7 Rivers Data'!$AA$4:$AB$7,2,FALSE)=0,"Spatial Data Missing ⚠",VLOOKUP(V160,'G-7 Rivers Data'!$AA$4:$AB$7,2,FALSE)))</f>
        <v/>
      </c>
      <c r="X160" s="155"/>
      <c r="Y160" s="499" t="str">
        <f>IF(X160="","",IF(VLOOKUP(X160,'G-7 Rivers Data'!$AD$4:$AE$8,2,FALSE)=0,"Enrcoachment Data Missing ⚠",VLOOKUP(X160,'G-7 Rivers Data'!$AD$4:$AE$8,2,FALSE)))</f>
        <v/>
      </c>
      <c r="Z160" s="565" t="str">
        <f t="shared" si="18"/>
        <v/>
      </c>
      <c r="AA160" s="149"/>
      <c r="AB160" s="150"/>
      <c r="AH160" s="31" t="str">
        <f>IFERROR(INDEX('G-7 Rivers Data'!$AZ$3:$AZ$7,MATCH(C160,'G-7 Rivers Data'!$AY$3:$AY$7,0)),"")</f>
        <v/>
      </c>
    </row>
    <row r="161" spans="2:34" ht="14" x14ac:dyDescent="0.3">
      <c r="B161" s="141">
        <v>150</v>
      </c>
      <c r="C161" s="171"/>
      <c r="D161" s="172"/>
      <c r="E161" s="498" t="str">
        <f>IF(C161="","",VLOOKUP(C161,'G-7 Rivers Data'!$B$2:$G$8,2,FALSE))</f>
        <v/>
      </c>
      <c r="F161" s="499" t="str">
        <f>IFERROR(VLOOKUP(E161,'G-7 Rivers Data'!$C$4:$D$8,2,FALSE),"")</f>
        <v/>
      </c>
      <c r="G161" s="145"/>
      <c r="H161" s="499" t="str">
        <f>IFERROR(INDEX('G-7 Rivers Data'!$H$4:$L$8,MATCH(C161,'G-7 Rivers Data'!$B$4:$B$8,0),MATCH(G161,'G-7 Rivers Data'!$H$3:$L$3,0)),"")</f>
        <v/>
      </c>
      <c r="I161" s="154"/>
      <c r="J161" s="507" t="str">
        <f>IF(I161="","",IF(VLOOKUP(I161,'G-7 Rivers Data'!$AG$4:$AI$9,2,FALSE)=0,"Spatial Data Missing ⚠",VLOOKUP(I161,'G-7 Rivers Data'!$AG$4:$AI$9,2,FALSE)))</f>
        <v/>
      </c>
      <c r="K161" s="499" t="str">
        <f>IF(I161="","",IF(VLOOKUP(I161,'G-7 Rivers Data'!$AG$4:$AI$9,3,FALSE)=0,"Spatial Data Missing ⚠",VLOOKUP(I161,'G-7 Rivers Data'!$AG$4:$AI$9,3,FALSE)))</f>
        <v/>
      </c>
      <c r="L161" s="498" t="str">
        <f>IFERROR(INDEX('G-7 Rivers Data'!$O$3:$O$7,MATCH(G161,'G-7 Rivers Data'!$N$3:$N$7,0)),"")</f>
        <v/>
      </c>
      <c r="M161" s="82"/>
      <c r="N161" s="195"/>
      <c r="O161" s="507" t="str">
        <f t="shared" si="13"/>
        <v/>
      </c>
      <c r="P161" s="521" t="str">
        <f t="shared" si="14"/>
        <v/>
      </c>
      <c r="Q161" s="564" t="str">
        <f>IFERROR(IF(P161="Check Data ⚠","Check Data ⚠",VLOOKUP(P161,'G-4 Temporal multipliers'!$A$4:$C$37,3,FALSE)),"")</f>
        <v/>
      </c>
      <c r="R161" s="498" t="str">
        <f>IF(C161="","",VLOOKUP(C161,'G-7 Rivers Data'!$B$4:$G$8,4,FALSE))</f>
        <v/>
      </c>
      <c r="S161" s="507" t="str">
        <f t="shared" si="15"/>
        <v/>
      </c>
      <c r="T161" s="540" t="str">
        <f t="shared" si="16"/>
        <v/>
      </c>
      <c r="U161" s="499" t="str">
        <f t="shared" si="17"/>
        <v/>
      </c>
      <c r="V161" s="71"/>
      <c r="W161" s="499" t="str">
        <f>IF(V161="","",IF(VLOOKUP(V161,'G-7 Rivers Data'!$AA$4:$AB$7,2,FALSE)=0,"Spatial Data Missing ⚠",VLOOKUP(V161,'G-7 Rivers Data'!$AA$4:$AB$7,2,FALSE)))</f>
        <v/>
      </c>
      <c r="X161" s="155"/>
      <c r="Y161" s="499" t="str">
        <f>IF(X161="","",IF(VLOOKUP(X161,'G-7 Rivers Data'!$AD$4:$AE$8,2,FALSE)=0,"Enrcoachment Data Missing ⚠",VLOOKUP(X161,'G-7 Rivers Data'!$AD$4:$AE$8,2,FALSE)))</f>
        <v/>
      </c>
      <c r="Z161" s="565" t="str">
        <f t="shared" si="18"/>
        <v/>
      </c>
      <c r="AA161" s="149"/>
      <c r="AB161" s="150"/>
      <c r="AH161" s="31" t="str">
        <f>IFERROR(INDEX('G-7 Rivers Data'!$AZ$3:$AZ$7,MATCH(C161,'G-7 Rivers Data'!$AY$3:$AY$7,0)),"")</f>
        <v/>
      </c>
    </row>
    <row r="162" spans="2:34" ht="14" x14ac:dyDescent="0.3">
      <c r="B162" s="141">
        <v>151</v>
      </c>
      <c r="C162" s="171"/>
      <c r="D162" s="172"/>
      <c r="E162" s="498" t="str">
        <f>IF(C162="","",VLOOKUP(C162,'G-7 Rivers Data'!$B$2:$G$8,2,FALSE))</f>
        <v/>
      </c>
      <c r="F162" s="499" t="str">
        <f>IFERROR(VLOOKUP(E162,'G-7 Rivers Data'!$C$4:$D$8,2,FALSE),"")</f>
        <v/>
      </c>
      <c r="G162" s="145"/>
      <c r="H162" s="499" t="str">
        <f>IFERROR(INDEX('G-7 Rivers Data'!$H$4:$L$8,MATCH(C162,'G-7 Rivers Data'!$B$4:$B$8,0),MATCH(G162,'G-7 Rivers Data'!$H$3:$L$3,0)),"")</f>
        <v/>
      </c>
      <c r="I162" s="154"/>
      <c r="J162" s="507" t="str">
        <f>IF(I162="","",IF(VLOOKUP(I162,'G-7 Rivers Data'!$AG$4:$AI$9,2,FALSE)=0,"Spatial Data Missing ⚠",VLOOKUP(I162,'G-7 Rivers Data'!$AG$4:$AI$9,2,FALSE)))</f>
        <v/>
      </c>
      <c r="K162" s="499" t="str">
        <f>IF(I162="","",IF(VLOOKUP(I162,'G-7 Rivers Data'!$AG$4:$AI$9,3,FALSE)=0,"Spatial Data Missing ⚠",VLOOKUP(I162,'G-7 Rivers Data'!$AG$4:$AI$9,3,FALSE)))</f>
        <v/>
      </c>
      <c r="L162" s="498" t="str">
        <f>IFERROR(INDEX('G-7 Rivers Data'!$O$3:$O$7,MATCH(G162,'G-7 Rivers Data'!$N$3:$N$7,0)),"")</f>
        <v/>
      </c>
      <c r="M162" s="82"/>
      <c r="N162" s="195"/>
      <c r="O162" s="507" t="str">
        <f t="shared" si="13"/>
        <v/>
      </c>
      <c r="P162" s="521" t="str">
        <f t="shared" si="14"/>
        <v/>
      </c>
      <c r="Q162" s="564" t="str">
        <f>IFERROR(IF(P162="Check Data ⚠","Check Data ⚠",VLOOKUP(P162,'G-4 Temporal multipliers'!$A$4:$C$37,3,FALSE)),"")</f>
        <v/>
      </c>
      <c r="R162" s="498" t="str">
        <f>IF(C162="","",VLOOKUP(C162,'G-7 Rivers Data'!$B$4:$G$8,4,FALSE))</f>
        <v/>
      </c>
      <c r="S162" s="507" t="str">
        <f t="shared" si="15"/>
        <v/>
      </c>
      <c r="T162" s="540" t="str">
        <f t="shared" si="16"/>
        <v/>
      </c>
      <c r="U162" s="499" t="str">
        <f t="shared" si="17"/>
        <v/>
      </c>
      <c r="V162" s="71"/>
      <c r="W162" s="499" t="str">
        <f>IF(V162="","",IF(VLOOKUP(V162,'G-7 Rivers Data'!$AA$4:$AB$7,2,FALSE)=0,"Spatial Data Missing ⚠",VLOOKUP(V162,'G-7 Rivers Data'!$AA$4:$AB$7,2,FALSE)))</f>
        <v/>
      </c>
      <c r="X162" s="155"/>
      <c r="Y162" s="499" t="str">
        <f>IF(X162="","",IF(VLOOKUP(X162,'G-7 Rivers Data'!$AD$4:$AE$8,2,FALSE)=0,"Enrcoachment Data Missing ⚠",VLOOKUP(X162,'G-7 Rivers Data'!$AD$4:$AE$8,2,FALSE)))</f>
        <v/>
      </c>
      <c r="Z162" s="565" t="str">
        <f t="shared" si="18"/>
        <v/>
      </c>
      <c r="AA162" s="149"/>
      <c r="AB162" s="150"/>
      <c r="AH162" s="31" t="str">
        <f>IFERROR(INDEX('G-7 Rivers Data'!$AZ$3:$AZ$7,MATCH(C162,'G-7 Rivers Data'!$AY$3:$AY$7,0)),"")</f>
        <v/>
      </c>
    </row>
    <row r="163" spans="2:34" ht="14" x14ac:dyDescent="0.3">
      <c r="B163" s="141">
        <v>152</v>
      </c>
      <c r="C163" s="171"/>
      <c r="D163" s="172"/>
      <c r="E163" s="498" t="str">
        <f>IF(C163="","",VLOOKUP(C163,'G-7 Rivers Data'!$B$2:$G$8,2,FALSE))</f>
        <v/>
      </c>
      <c r="F163" s="499" t="str">
        <f>IFERROR(VLOOKUP(E163,'G-7 Rivers Data'!$C$4:$D$8,2,FALSE),"")</f>
        <v/>
      </c>
      <c r="G163" s="145"/>
      <c r="H163" s="499" t="str">
        <f>IFERROR(INDEX('G-7 Rivers Data'!$H$4:$L$8,MATCH(C163,'G-7 Rivers Data'!$B$4:$B$8,0),MATCH(G163,'G-7 Rivers Data'!$H$3:$L$3,0)),"")</f>
        <v/>
      </c>
      <c r="I163" s="154"/>
      <c r="J163" s="507" t="str">
        <f>IF(I163="","",IF(VLOOKUP(I163,'G-7 Rivers Data'!$AG$4:$AI$9,2,FALSE)=0,"Spatial Data Missing ⚠",VLOOKUP(I163,'G-7 Rivers Data'!$AG$4:$AI$9,2,FALSE)))</f>
        <v/>
      </c>
      <c r="K163" s="499" t="str">
        <f>IF(I163="","",IF(VLOOKUP(I163,'G-7 Rivers Data'!$AG$4:$AI$9,3,FALSE)=0,"Spatial Data Missing ⚠",VLOOKUP(I163,'G-7 Rivers Data'!$AG$4:$AI$9,3,FALSE)))</f>
        <v/>
      </c>
      <c r="L163" s="498" t="str">
        <f>IFERROR(INDEX('G-7 Rivers Data'!$O$3:$O$7,MATCH(G163,'G-7 Rivers Data'!$N$3:$N$7,0)),"")</f>
        <v/>
      </c>
      <c r="M163" s="82"/>
      <c r="N163" s="195"/>
      <c r="O163" s="507" t="str">
        <f t="shared" si="13"/>
        <v/>
      </c>
      <c r="P163" s="521" t="str">
        <f t="shared" si="14"/>
        <v/>
      </c>
      <c r="Q163" s="564" t="str">
        <f>IFERROR(IF(P163="Check Data ⚠","Check Data ⚠",VLOOKUP(P163,'G-4 Temporal multipliers'!$A$4:$C$37,3,FALSE)),"")</f>
        <v/>
      </c>
      <c r="R163" s="498" t="str">
        <f>IF(C163="","",VLOOKUP(C163,'G-7 Rivers Data'!$B$4:$G$8,4,FALSE))</f>
        <v/>
      </c>
      <c r="S163" s="507" t="str">
        <f t="shared" si="15"/>
        <v/>
      </c>
      <c r="T163" s="540" t="str">
        <f t="shared" si="16"/>
        <v/>
      </c>
      <c r="U163" s="499" t="str">
        <f t="shared" si="17"/>
        <v/>
      </c>
      <c r="V163" s="71"/>
      <c r="W163" s="499" t="str">
        <f>IF(V163="","",IF(VLOOKUP(V163,'G-7 Rivers Data'!$AA$4:$AB$7,2,FALSE)=0,"Spatial Data Missing ⚠",VLOOKUP(V163,'G-7 Rivers Data'!$AA$4:$AB$7,2,FALSE)))</f>
        <v/>
      </c>
      <c r="X163" s="155"/>
      <c r="Y163" s="499" t="str">
        <f>IF(X163="","",IF(VLOOKUP(X163,'G-7 Rivers Data'!$AD$4:$AE$8,2,FALSE)=0,"Enrcoachment Data Missing ⚠",VLOOKUP(X163,'G-7 Rivers Data'!$AD$4:$AE$8,2,FALSE)))</f>
        <v/>
      </c>
      <c r="Z163" s="565" t="str">
        <f t="shared" si="18"/>
        <v/>
      </c>
      <c r="AA163" s="149"/>
      <c r="AB163" s="150"/>
      <c r="AH163" s="31" t="str">
        <f>IFERROR(INDEX('G-7 Rivers Data'!$AZ$3:$AZ$7,MATCH(C163,'G-7 Rivers Data'!$AY$3:$AY$7,0)),"")</f>
        <v/>
      </c>
    </row>
    <row r="164" spans="2:34" ht="14" x14ac:dyDescent="0.3">
      <c r="B164" s="141">
        <v>153</v>
      </c>
      <c r="C164" s="171"/>
      <c r="D164" s="172"/>
      <c r="E164" s="498" t="str">
        <f>IF(C164="","",VLOOKUP(C164,'G-7 Rivers Data'!$B$2:$G$8,2,FALSE))</f>
        <v/>
      </c>
      <c r="F164" s="499" t="str">
        <f>IFERROR(VLOOKUP(E164,'G-7 Rivers Data'!$C$4:$D$8,2,FALSE),"")</f>
        <v/>
      </c>
      <c r="G164" s="145"/>
      <c r="H164" s="499" t="str">
        <f>IFERROR(INDEX('G-7 Rivers Data'!$H$4:$L$8,MATCH(C164,'G-7 Rivers Data'!$B$4:$B$8,0),MATCH(G164,'G-7 Rivers Data'!$H$3:$L$3,0)),"")</f>
        <v/>
      </c>
      <c r="I164" s="154"/>
      <c r="J164" s="507" t="str">
        <f>IF(I164="","",IF(VLOOKUP(I164,'G-7 Rivers Data'!$AG$4:$AI$9,2,FALSE)=0,"Spatial Data Missing ⚠",VLOOKUP(I164,'G-7 Rivers Data'!$AG$4:$AI$9,2,FALSE)))</f>
        <v/>
      </c>
      <c r="K164" s="499" t="str">
        <f>IF(I164="","",IF(VLOOKUP(I164,'G-7 Rivers Data'!$AG$4:$AI$9,3,FALSE)=0,"Spatial Data Missing ⚠",VLOOKUP(I164,'G-7 Rivers Data'!$AG$4:$AI$9,3,FALSE)))</f>
        <v/>
      </c>
      <c r="L164" s="498" t="str">
        <f>IFERROR(INDEX('G-7 Rivers Data'!$O$3:$O$7,MATCH(G164,'G-7 Rivers Data'!$N$3:$N$7,0)),"")</f>
        <v/>
      </c>
      <c r="M164" s="82"/>
      <c r="N164" s="195"/>
      <c r="O164" s="507" t="str">
        <f t="shared" si="13"/>
        <v/>
      </c>
      <c r="P164" s="521" t="str">
        <f t="shared" si="14"/>
        <v/>
      </c>
      <c r="Q164" s="564" t="str">
        <f>IFERROR(IF(P164="Check Data ⚠","Check Data ⚠",VLOOKUP(P164,'G-4 Temporal multipliers'!$A$4:$C$37,3,FALSE)),"")</f>
        <v/>
      </c>
      <c r="R164" s="498" t="str">
        <f>IF(C164="","",VLOOKUP(C164,'G-7 Rivers Data'!$B$4:$G$8,4,FALSE))</f>
        <v/>
      </c>
      <c r="S164" s="507" t="str">
        <f t="shared" si="15"/>
        <v/>
      </c>
      <c r="T164" s="540" t="str">
        <f t="shared" si="16"/>
        <v/>
      </c>
      <c r="U164" s="499" t="str">
        <f t="shared" si="17"/>
        <v/>
      </c>
      <c r="V164" s="71"/>
      <c r="W164" s="499" t="str">
        <f>IF(V164="","",IF(VLOOKUP(V164,'G-7 Rivers Data'!$AA$4:$AB$7,2,FALSE)=0,"Spatial Data Missing ⚠",VLOOKUP(V164,'G-7 Rivers Data'!$AA$4:$AB$7,2,FALSE)))</f>
        <v/>
      </c>
      <c r="X164" s="155"/>
      <c r="Y164" s="499" t="str">
        <f>IF(X164="","",IF(VLOOKUP(X164,'G-7 Rivers Data'!$AD$4:$AE$8,2,FALSE)=0,"Enrcoachment Data Missing ⚠",VLOOKUP(X164,'G-7 Rivers Data'!$AD$4:$AE$8,2,FALSE)))</f>
        <v/>
      </c>
      <c r="Z164" s="565" t="str">
        <f t="shared" si="18"/>
        <v/>
      </c>
      <c r="AA164" s="149"/>
      <c r="AB164" s="150"/>
      <c r="AH164" s="31" t="str">
        <f>IFERROR(INDEX('G-7 Rivers Data'!$AZ$3:$AZ$7,MATCH(C164,'G-7 Rivers Data'!$AY$3:$AY$7,0)),"")</f>
        <v/>
      </c>
    </row>
    <row r="165" spans="2:34" ht="14" x14ac:dyDescent="0.3">
      <c r="B165" s="141">
        <v>154</v>
      </c>
      <c r="C165" s="171"/>
      <c r="D165" s="172"/>
      <c r="E165" s="498" t="str">
        <f>IF(C165="","",VLOOKUP(C165,'G-7 Rivers Data'!$B$2:$G$8,2,FALSE))</f>
        <v/>
      </c>
      <c r="F165" s="499" t="str">
        <f>IFERROR(VLOOKUP(E165,'G-7 Rivers Data'!$C$4:$D$8,2,FALSE),"")</f>
        <v/>
      </c>
      <c r="G165" s="145"/>
      <c r="H165" s="499" t="str">
        <f>IFERROR(INDEX('G-7 Rivers Data'!$H$4:$L$8,MATCH(C165,'G-7 Rivers Data'!$B$4:$B$8,0),MATCH(G165,'G-7 Rivers Data'!$H$3:$L$3,0)),"")</f>
        <v/>
      </c>
      <c r="I165" s="154"/>
      <c r="J165" s="507" t="str">
        <f>IF(I165="","",IF(VLOOKUP(I165,'G-7 Rivers Data'!$AG$4:$AI$9,2,FALSE)=0,"Spatial Data Missing ⚠",VLOOKUP(I165,'G-7 Rivers Data'!$AG$4:$AI$9,2,FALSE)))</f>
        <v/>
      </c>
      <c r="K165" s="499" t="str">
        <f>IF(I165="","",IF(VLOOKUP(I165,'G-7 Rivers Data'!$AG$4:$AI$9,3,FALSE)=0,"Spatial Data Missing ⚠",VLOOKUP(I165,'G-7 Rivers Data'!$AG$4:$AI$9,3,FALSE)))</f>
        <v/>
      </c>
      <c r="L165" s="498" t="str">
        <f>IFERROR(INDEX('G-7 Rivers Data'!$O$3:$O$7,MATCH(G165,'G-7 Rivers Data'!$N$3:$N$7,0)),"")</f>
        <v/>
      </c>
      <c r="M165" s="82"/>
      <c r="N165" s="195"/>
      <c r="O165" s="507" t="str">
        <f t="shared" si="13"/>
        <v/>
      </c>
      <c r="P165" s="521" t="str">
        <f t="shared" si="14"/>
        <v/>
      </c>
      <c r="Q165" s="564" t="str">
        <f>IFERROR(IF(P165="Check Data ⚠","Check Data ⚠",VLOOKUP(P165,'G-4 Temporal multipliers'!$A$4:$C$37,3,FALSE)),"")</f>
        <v/>
      </c>
      <c r="R165" s="498" t="str">
        <f>IF(C165="","",VLOOKUP(C165,'G-7 Rivers Data'!$B$4:$G$8,4,FALSE))</f>
        <v/>
      </c>
      <c r="S165" s="507" t="str">
        <f t="shared" si="15"/>
        <v/>
      </c>
      <c r="T165" s="540" t="str">
        <f t="shared" si="16"/>
        <v/>
      </c>
      <c r="U165" s="499" t="str">
        <f t="shared" si="17"/>
        <v/>
      </c>
      <c r="V165" s="71"/>
      <c r="W165" s="499" t="str">
        <f>IF(V165="","",IF(VLOOKUP(V165,'G-7 Rivers Data'!$AA$4:$AB$7,2,FALSE)=0,"Spatial Data Missing ⚠",VLOOKUP(V165,'G-7 Rivers Data'!$AA$4:$AB$7,2,FALSE)))</f>
        <v/>
      </c>
      <c r="X165" s="155"/>
      <c r="Y165" s="499" t="str">
        <f>IF(X165="","",IF(VLOOKUP(X165,'G-7 Rivers Data'!$AD$4:$AE$8,2,FALSE)=0,"Enrcoachment Data Missing ⚠",VLOOKUP(X165,'G-7 Rivers Data'!$AD$4:$AE$8,2,FALSE)))</f>
        <v/>
      </c>
      <c r="Z165" s="565" t="str">
        <f t="shared" si="18"/>
        <v/>
      </c>
      <c r="AA165" s="149"/>
      <c r="AB165" s="150"/>
      <c r="AH165" s="31" t="str">
        <f>IFERROR(INDEX('G-7 Rivers Data'!$AZ$3:$AZ$7,MATCH(C165,'G-7 Rivers Data'!$AY$3:$AY$7,0)),"")</f>
        <v/>
      </c>
    </row>
    <row r="166" spans="2:34" ht="14" x14ac:dyDescent="0.3">
      <c r="B166" s="141">
        <v>155</v>
      </c>
      <c r="C166" s="171"/>
      <c r="D166" s="172"/>
      <c r="E166" s="498" t="str">
        <f>IF(C166="","",VLOOKUP(C166,'G-7 Rivers Data'!$B$2:$G$8,2,FALSE))</f>
        <v/>
      </c>
      <c r="F166" s="499" t="str">
        <f>IFERROR(VLOOKUP(E166,'G-7 Rivers Data'!$C$4:$D$8,2,FALSE),"")</f>
        <v/>
      </c>
      <c r="G166" s="145"/>
      <c r="H166" s="499" t="str">
        <f>IFERROR(INDEX('G-7 Rivers Data'!$H$4:$L$8,MATCH(C166,'G-7 Rivers Data'!$B$4:$B$8,0),MATCH(G166,'G-7 Rivers Data'!$H$3:$L$3,0)),"")</f>
        <v/>
      </c>
      <c r="I166" s="154"/>
      <c r="J166" s="507" t="str">
        <f>IF(I166="","",IF(VLOOKUP(I166,'G-7 Rivers Data'!$AG$4:$AI$9,2,FALSE)=0,"Spatial Data Missing ⚠",VLOOKUP(I166,'G-7 Rivers Data'!$AG$4:$AI$9,2,FALSE)))</f>
        <v/>
      </c>
      <c r="K166" s="499" t="str">
        <f>IF(I166="","",IF(VLOOKUP(I166,'G-7 Rivers Data'!$AG$4:$AI$9,3,FALSE)=0,"Spatial Data Missing ⚠",VLOOKUP(I166,'G-7 Rivers Data'!$AG$4:$AI$9,3,FALSE)))</f>
        <v/>
      </c>
      <c r="L166" s="498" t="str">
        <f>IFERROR(INDEX('G-7 Rivers Data'!$O$3:$O$7,MATCH(G166,'G-7 Rivers Data'!$N$3:$N$7,0)),"")</f>
        <v/>
      </c>
      <c r="M166" s="82"/>
      <c r="N166" s="195"/>
      <c r="O166" s="507" t="str">
        <f t="shared" si="13"/>
        <v/>
      </c>
      <c r="P166" s="521" t="str">
        <f t="shared" si="14"/>
        <v/>
      </c>
      <c r="Q166" s="564" t="str">
        <f>IFERROR(IF(P166="Check Data ⚠","Check Data ⚠",VLOOKUP(P166,'G-4 Temporal multipliers'!$A$4:$C$37,3,FALSE)),"")</f>
        <v/>
      </c>
      <c r="R166" s="498" t="str">
        <f>IF(C166="","",VLOOKUP(C166,'G-7 Rivers Data'!$B$4:$G$8,4,FALSE))</f>
        <v/>
      </c>
      <c r="S166" s="507" t="str">
        <f t="shared" si="15"/>
        <v/>
      </c>
      <c r="T166" s="540" t="str">
        <f t="shared" si="16"/>
        <v/>
      </c>
      <c r="U166" s="499" t="str">
        <f t="shared" si="17"/>
        <v/>
      </c>
      <c r="V166" s="71"/>
      <c r="W166" s="499" t="str">
        <f>IF(V166="","",IF(VLOOKUP(V166,'G-7 Rivers Data'!$AA$4:$AB$7,2,FALSE)=0,"Spatial Data Missing ⚠",VLOOKUP(V166,'G-7 Rivers Data'!$AA$4:$AB$7,2,FALSE)))</f>
        <v/>
      </c>
      <c r="X166" s="155"/>
      <c r="Y166" s="499" t="str">
        <f>IF(X166="","",IF(VLOOKUP(X166,'G-7 Rivers Data'!$AD$4:$AE$8,2,FALSE)=0,"Enrcoachment Data Missing ⚠",VLOOKUP(X166,'G-7 Rivers Data'!$AD$4:$AE$8,2,FALSE)))</f>
        <v/>
      </c>
      <c r="Z166" s="565" t="str">
        <f t="shared" si="18"/>
        <v/>
      </c>
      <c r="AA166" s="149"/>
      <c r="AB166" s="150"/>
      <c r="AH166" s="31" t="str">
        <f>IFERROR(INDEX('G-7 Rivers Data'!$AZ$3:$AZ$7,MATCH(C166,'G-7 Rivers Data'!$AY$3:$AY$7,0)),"")</f>
        <v/>
      </c>
    </row>
    <row r="167" spans="2:34" ht="14" x14ac:dyDescent="0.3">
      <c r="B167" s="141">
        <v>156</v>
      </c>
      <c r="C167" s="171"/>
      <c r="D167" s="172"/>
      <c r="E167" s="498" t="str">
        <f>IF(C167="","",VLOOKUP(C167,'G-7 Rivers Data'!$B$2:$G$8,2,FALSE))</f>
        <v/>
      </c>
      <c r="F167" s="499" t="str">
        <f>IFERROR(VLOOKUP(E167,'G-7 Rivers Data'!$C$4:$D$8,2,FALSE),"")</f>
        <v/>
      </c>
      <c r="G167" s="145"/>
      <c r="H167" s="499" t="str">
        <f>IFERROR(INDEX('G-7 Rivers Data'!$H$4:$L$8,MATCH(C167,'G-7 Rivers Data'!$B$4:$B$8,0),MATCH(G167,'G-7 Rivers Data'!$H$3:$L$3,0)),"")</f>
        <v/>
      </c>
      <c r="I167" s="154"/>
      <c r="J167" s="507" t="str">
        <f>IF(I167="","",IF(VLOOKUP(I167,'G-7 Rivers Data'!$AG$4:$AI$9,2,FALSE)=0,"Spatial Data Missing ⚠",VLOOKUP(I167,'G-7 Rivers Data'!$AG$4:$AI$9,2,FALSE)))</f>
        <v/>
      </c>
      <c r="K167" s="499" t="str">
        <f>IF(I167="","",IF(VLOOKUP(I167,'G-7 Rivers Data'!$AG$4:$AI$9,3,FALSE)=0,"Spatial Data Missing ⚠",VLOOKUP(I167,'G-7 Rivers Data'!$AG$4:$AI$9,3,FALSE)))</f>
        <v/>
      </c>
      <c r="L167" s="498" t="str">
        <f>IFERROR(INDEX('G-7 Rivers Data'!$O$3:$O$7,MATCH(G167,'G-7 Rivers Data'!$N$3:$N$7,0)),"")</f>
        <v/>
      </c>
      <c r="M167" s="82"/>
      <c r="N167" s="195"/>
      <c r="O167" s="507" t="str">
        <f t="shared" si="13"/>
        <v/>
      </c>
      <c r="P167" s="521" t="str">
        <f t="shared" si="14"/>
        <v/>
      </c>
      <c r="Q167" s="564" t="str">
        <f>IFERROR(IF(P167="Check Data ⚠","Check Data ⚠",VLOOKUP(P167,'G-4 Temporal multipliers'!$A$4:$C$37,3,FALSE)),"")</f>
        <v/>
      </c>
      <c r="R167" s="498" t="str">
        <f>IF(C167="","",VLOOKUP(C167,'G-7 Rivers Data'!$B$4:$G$8,4,FALSE))</f>
        <v/>
      </c>
      <c r="S167" s="507" t="str">
        <f t="shared" si="15"/>
        <v/>
      </c>
      <c r="T167" s="540" t="str">
        <f t="shared" si="16"/>
        <v/>
      </c>
      <c r="U167" s="499" t="str">
        <f t="shared" si="17"/>
        <v/>
      </c>
      <c r="V167" s="71"/>
      <c r="W167" s="499" t="str">
        <f>IF(V167="","",IF(VLOOKUP(V167,'G-7 Rivers Data'!$AA$4:$AB$7,2,FALSE)=0,"Spatial Data Missing ⚠",VLOOKUP(V167,'G-7 Rivers Data'!$AA$4:$AB$7,2,FALSE)))</f>
        <v/>
      </c>
      <c r="X167" s="155"/>
      <c r="Y167" s="499" t="str">
        <f>IF(X167="","",IF(VLOOKUP(X167,'G-7 Rivers Data'!$AD$4:$AE$8,2,FALSE)=0,"Enrcoachment Data Missing ⚠",VLOOKUP(X167,'G-7 Rivers Data'!$AD$4:$AE$8,2,FALSE)))</f>
        <v/>
      </c>
      <c r="Z167" s="565" t="str">
        <f t="shared" si="18"/>
        <v/>
      </c>
      <c r="AA167" s="149"/>
      <c r="AB167" s="150"/>
      <c r="AH167" s="31" t="str">
        <f>IFERROR(INDEX('G-7 Rivers Data'!$AZ$3:$AZ$7,MATCH(C167,'G-7 Rivers Data'!$AY$3:$AY$7,0)),"")</f>
        <v/>
      </c>
    </row>
    <row r="168" spans="2:34" ht="14" x14ac:dyDescent="0.3">
      <c r="B168" s="141">
        <v>157</v>
      </c>
      <c r="C168" s="171"/>
      <c r="D168" s="172"/>
      <c r="E168" s="498" t="str">
        <f>IF(C168="","",VLOOKUP(C168,'G-7 Rivers Data'!$B$2:$G$8,2,FALSE))</f>
        <v/>
      </c>
      <c r="F168" s="499" t="str">
        <f>IFERROR(VLOOKUP(E168,'G-7 Rivers Data'!$C$4:$D$8,2,FALSE),"")</f>
        <v/>
      </c>
      <c r="G168" s="145"/>
      <c r="H168" s="499" t="str">
        <f>IFERROR(INDEX('G-7 Rivers Data'!$H$4:$L$8,MATCH(C168,'G-7 Rivers Data'!$B$4:$B$8,0),MATCH(G168,'G-7 Rivers Data'!$H$3:$L$3,0)),"")</f>
        <v/>
      </c>
      <c r="I168" s="154"/>
      <c r="J168" s="507" t="str">
        <f>IF(I168="","",IF(VLOOKUP(I168,'G-7 Rivers Data'!$AG$4:$AI$9,2,FALSE)=0,"Spatial Data Missing ⚠",VLOOKUP(I168,'G-7 Rivers Data'!$AG$4:$AI$9,2,FALSE)))</f>
        <v/>
      </c>
      <c r="K168" s="499" t="str">
        <f>IF(I168="","",IF(VLOOKUP(I168,'G-7 Rivers Data'!$AG$4:$AI$9,3,FALSE)=0,"Spatial Data Missing ⚠",VLOOKUP(I168,'G-7 Rivers Data'!$AG$4:$AI$9,3,FALSE)))</f>
        <v/>
      </c>
      <c r="L168" s="498" t="str">
        <f>IFERROR(INDEX('G-7 Rivers Data'!$O$3:$O$7,MATCH(G168,'G-7 Rivers Data'!$N$3:$N$7,0)),"")</f>
        <v/>
      </c>
      <c r="M168" s="82"/>
      <c r="N168" s="195"/>
      <c r="O168" s="507" t="str">
        <f t="shared" si="13"/>
        <v/>
      </c>
      <c r="P168" s="521" t="str">
        <f t="shared" si="14"/>
        <v/>
      </c>
      <c r="Q168" s="564" t="str">
        <f>IFERROR(IF(P168="Check Data ⚠","Check Data ⚠",VLOOKUP(P168,'G-4 Temporal multipliers'!$A$4:$C$37,3,FALSE)),"")</f>
        <v/>
      </c>
      <c r="R168" s="498" t="str">
        <f>IF(C168="","",VLOOKUP(C168,'G-7 Rivers Data'!$B$4:$G$8,4,FALSE))</f>
        <v/>
      </c>
      <c r="S168" s="507" t="str">
        <f t="shared" si="15"/>
        <v/>
      </c>
      <c r="T168" s="540" t="str">
        <f t="shared" si="16"/>
        <v/>
      </c>
      <c r="U168" s="499" t="str">
        <f t="shared" si="17"/>
        <v/>
      </c>
      <c r="V168" s="71"/>
      <c r="W168" s="499" t="str">
        <f>IF(V168="","",IF(VLOOKUP(V168,'G-7 Rivers Data'!$AA$4:$AB$7,2,FALSE)=0,"Spatial Data Missing ⚠",VLOOKUP(V168,'G-7 Rivers Data'!$AA$4:$AB$7,2,FALSE)))</f>
        <v/>
      </c>
      <c r="X168" s="155"/>
      <c r="Y168" s="499" t="str">
        <f>IF(X168="","",IF(VLOOKUP(X168,'G-7 Rivers Data'!$AD$4:$AE$8,2,FALSE)=0,"Enrcoachment Data Missing ⚠",VLOOKUP(X168,'G-7 Rivers Data'!$AD$4:$AE$8,2,FALSE)))</f>
        <v/>
      </c>
      <c r="Z168" s="565" t="str">
        <f t="shared" si="18"/>
        <v/>
      </c>
      <c r="AA168" s="149"/>
      <c r="AB168" s="150"/>
      <c r="AH168" s="31" t="str">
        <f>IFERROR(INDEX('G-7 Rivers Data'!$AZ$3:$AZ$7,MATCH(C168,'G-7 Rivers Data'!$AY$3:$AY$7,0)),"")</f>
        <v/>
      </c>
    </row>
    <row r="169" spans="2:34" ht="14" x14ac:dyDescent="0.3">
      <c r="B169" s="141">
        <v>158</v>
      </c>
      <c r="C169" s="171"/>
      <c r="D169" s="172"/>
      <c r="E169" s="498" t="str">
        <f>IF(C169="","",VLOOKUP(C169,'G-7 Rivers Data'!$B$2:$G$8,2,FALSE))</f>
        <v/>
      </c>
      <c r="F169" s="499" t="str">
        <f>IFERROR(VLOOKUP(E169,'G-7 Rivers Data'!$C$4:$D$8,2,FALSE),"")</f>
        <v/>
      </c>
      <c r="G169" s="145"/>
      <c r="H169" s="499" t="str">
        <f>IFERROR(INDEX('G-7 Rivers Data'!$H$4:$L$8,MATCH(C169,'G-7 Rivers Data'!$B$4:$B$8,0),MATCH(G169,'G-7 Rivers Data'!$H$3:$L$3,0)),"")</f>
        <v/>
      </c>
      <c r="I169" s="154"/>
      <c r="J169" s="507" t="str">
        <f>IF(I169="","",IF(VLOOKUP(I169,'G-7 Rivers Data'!$AG$4:$AI$9,2,FALSE)=0,"Spatial Data Missing ⚠",VLOOKUP(I169,'G-7 Rivers Data'!$AG$4:$AI$9,2,FALSE)))</f>
        <v/>
      </c>
      <c r="K169" s="499" t="str">
        <f>IF(I169="","",IF(VLOOKUP(I169,'G-7 Rivers Data'!$AG$4:$AI$9,3,FALSE)=0,"Spatial Data Missing ⚠",VLOOKUP(I169,'G-7 Rivers Data'!$AG$4:$AI$9,3,FALSE)))</f>
        <v/>
      </c>
      <c r="L169" s="498" t="str">
        <f>IFERROR(INDEX('G-7 Rivers Data'!$O$3:$O$7,MATCH(G169,'G-7 Rivers Data'!$N$3:$N$7,0)),"")</f>
        <v/>
      </c>
      <c r="M169" s="82"/>
      <c r="N169" s="195"/>
      <c r="O169" s="507" t="str">
        <f t="shared" si="13"/>
        <v/>
      </c>
      <c r="P169" s="521" t="str">
        <f t="shared" si="14"/>
        <v/>
      </c>
      <c r="Q169" s="564" t="str">
        <f>IFERROR(IF(P169="Check Data ⚠","Check Data ⚠",VLOOKUP(P169,'G-4 Temporal multipliers'!$A$4:$C$37,3,FALSE)),"")</f>
        <v/>
      </c>
      <c r="R169" s="498" t="str">
        <f>IF(C169="","",VLOOKUP(C169,'G-7 Rivers Data'!$B$4:$G$8,4,FALSE))</f>
        <v/>
      </c>
      <c r="S169" s="507" t="str">
        <f t="shared" si="15"/>
        <v/>
      </c>
      <c r="T169" s="540" t="str">
        <f t="shared" si="16"/>
        <v/>
      </c>
      <c r="U169" s="499" t="str">
        <f t="shared" si="17"/>
        <v/>
      </c>
      <c r="V169" s="71"/>
      <c r="W169" s="499" t="str">
        <f>IF(V169="","",IF(VLOOKUP(V169,'G-7 Rivers Data'!$AA$4:$AB$7,2,FALSE)=0,"Spatial Data Missing ⚠",VLOOKUP(V169,'G-7 Rivers Data'!$AA$4:$AB$7,2,FALSE)))</f>
        <v/>
      </c>
      <c r="X169" s="155"/>
      <c r="Y169" s="499" t="str">
        <f>IF(X169="","",IF(VLOOKUP(X169,'G-7 Rivers Data'!$AD$4:$AE$8,2,FALSE)=0,"Enrcoachment Data Missing ⚠",VLOOKUP(X169,'G-7 Rivers Data'!$AD$4:$AE$8,2,FALSE)))</f>
        <v/>
      </c>
      <c r="Z169" s="565" t="str">
        <f t="shared" si="18"/>
        <v/>
      </c>
      <c r="AA169" s="149"/>
      <c r="AB169" s="150"/>
      <c r="AH169" s="31" t="str">
        <f>IFERROR(INDEX('G-7 Rivers Data'!$AZ$3:$AZ$7,MATCH(C169,'G-7 Rivers Data'!$AY$3:$AY$7,0)),"")</f>
        <v/>
      </c>
    </row>
    <row r="170" spans="2:34" ht="14" x14ac:dyDescent="0.3">
      <c r="B170" s="141">
        <v>159</v>
      </c>
      <c r="C170" s="171"/>
      <c r="D170" s="172"/>
      <c r="E170" s="498" t="str">
        <f>IF(C170="","",VLOOKUP(C170,'G-7 Rivers Data'!$B$2:$G$8,2,FALSE))</f>
        <v/>
      </c>
      <c r="F170" s="499" t="str">
        <f>IFERROR(VLOOKUP(E170,'G-7 Rivers Data'!$C$4:$D$8,2,FALSE),"")</f>
        <v/>
      </c>
      <c r="G170" s="145"/>
      <c r="H170" s="499" t="str">
        <f>IFERROR(INDEX('G-7 Rivers Data'!$H$4:$L$8,MATCH(C170,'G-7 Rivers Data'!$B$4:$B$8,0),MATCH(G170,'G-7 Rivers Data'!$H$3:$L$3,0)),"")</f>
        <v/>
      </c>
      <c r="I170" s="154"/>
      <c r="J170" s="507" t="str">
        <f>IF(I170="","",IF(VLOOKUP(I170,'G-7 Rivers Data'!$AG$4:$AI$9,2,FALSE)=0,"Spatial Data Missing ⚠",VLOOKUP(I170,'G-7 Rivers Data'!$AG$4:$AI$9,2,FALSE)))</f>
        <v/>
      </c>
      <c r="K170" s="499" t="str">
        <f>IF(I170="","",IF(VLOOKUP(I170,'G-7 Rivers Data'!$AG$4:$AI$9,3,FALSE)=0,"Spatial Data Missing ⚠",VLOOKUP(I170,'G-7 Rivers Data'!$AG$4:$AI$9,3,FALSE)))</f>
        <v/>
      </c>
      <c r="L170" s="498" t="str">
        <f>IFERROR(INDEX('G-7 Rivers Data'!$O$3:$O$7,MATCH(G170,'G-7 Rivers Data'!$N$3:$N$7,0)),"")</f>
        <v/>
      </c>
      <c r="M170" s="82"/>
      <c r="N170" s="195"/>
      <c r="O170" s="507" t="str">
        <f t="shared" si="13"/>
        <v/>
      </c>
      <c r="P170" s="521" t="str">
        <f t="shared" si="14"/>
        <v/>
      </c>
      <c r="Q170" s="564" t="str">
        <f>IFERROR(IF(P170="Check Data ⚠","Check Data ⚠",VLOOKUP(P170,'G-4 Temporal multipliers'!$A$4:$C$37,3,FALSE)),"")</f>
        <v/>
      </c>
      <c r="R170" s="498" t="str">
        <f>IF(C170="","",VLOOKUP(C170,'G-7 Rivers Data'!$B$4:$G$8,4,FALSE))</f>
        <v/>
      </c>
      <c r="S170" s="507" t="str">
        <f t="shared" si="15"/>
        <v/>
      </c>
      <c r="T170" s="540" t="str">
        <f t="shared" si="16"/>
        <v/>
      </c>
      <c r="U170" s="499" t="str">
        <f t="shared" si="17"/>
        <v/>
      </c>
      <c r="V170" s="71"/>
      <c r="W170" s="499" t="str">
        <f>IF(V170="","",IF(VLOOKUP(V170,'G-7 Rivers Data'!$AA$4:$AB$7,2,FALSE)=0,"Spatial Data Missing ⚠",VLOOKUP(V170,'G-7 Rivers Data'!$AA$4:$AB$7,2,FALSE)))</f>
        <v/>
      </c>
      <c r="X170" s="155"/>
      <c r="Y170" s="499" t="str">
        <f>IF(X170="","",IF(VLOOKUP(X170,'G-7 Rivers Data'!$AD$4:$AE$8,2,FALSE)=0,"Enrcoachment Data Missing ⚠",VLOOKUP(X170,'G-7 Rivers Data'!$AD$4:$AE$8,2,FALSE)))</f>
        <v/>
      </c>
      <c r="Z170" s="565" t="str">
        <f t="shared" si="18"/>
        <v/>
      </c>
      <c r="AA170" s="149"/>
      <c r="AB170" s="150"/>
      <c r="AH170" s="31" t="str">
        <f>IFERROR(INDEX('G-7 Rivers Data'!$AZ$3:$AZ$7,MATCH(C170,'G-7 Rivers Data'!$AY$3:$AY$7,0)),"")</f>
        <v/>
      </c>
    </row>
    <row r="171" spans="2:34" ht="14" x14ac:dyDescent="0.3">
      <c r="B171" s="141">
        <v>160</v>
      </c>
      <c r="C171" s="171"/>
      <c r="D171" s="172"/>
      <c r="E171" s="498" t="str">
        <f>IF(C171="","",VLOOKUP(C171,'G-7 Rivers Data'!$B$2:$G$8,2,FALSE))</f>
        <v/>
      </c>
      <c r="F171" s="499" t="str">
        <f>IFERROR(VLOOKUP(E171,'G-7 Rivers Data'!$C$4:$D$8,2,FALSE),"")</f>
        <v/>
      </c>
      <c r="G171" s="145"/>
      <c r="H171" s="499" t="str">
        <f>IFERROR(INDEX('G-7 Rivers Data'!$H$4:$L$8,MATCH(C171,'G-7 Rivers Data'!$B$4:$B$8,0),MATCH(G171,'G-7 Rivers Data'!$H$3:$L$3,0)),"")</f>
        <v/>
      </c>
      <c r="I171" s="154"/>
      <c r="J171" s="507" t="str">
        <f>IF(I171="","",IF(VLOOKUP(I171,'G-7 Rivers Data'!$AG$4:$AI$9,2,FALSE)=0,"Spatial Data Missing ⚠",VLOOKUP(I171,'G-7 Rivers Data'!$AG$4:$AI$9,2,FALSE)))</f>
        <v/>
      </c>
      <c r="K171" s="499" t="str">
        <f>IF(I171="","",IF(VLOOKUP(I171,'G-7 Rivers Data'!$AG$4:$AI$9,3,FALSE)=0,"Spatial Data Missing ⚠",VLOOKUP(I171,'G-7 Rivers Data'!$AG$4:$AI$9,3,FALSE)))</f>
        <v/>
      </c>
      <c r="L171" s="498" t="str">
        <f>IFERROR(INDEX('G-7 Rivers Data'!$O$3:$O$7,MATCH(G171,'G-7 Rivers Data'!$N$3:$N$7,0)),"")</f>
        <v/>
      </c>
      <c r="M171" s="82"/>
      <c r="N171" s="195"/>
      <c r="O171" s="507" t="str">
        <f t="shared" si="13"/>
        <v/>
      </c>
      <c r="P171" s="521" t="str">
        <f t="shared" si="14"/>
        <v/>
      </c>
      <c r="Q171" s="564" t="str">
        <f>IFERROR(IF(P171="Check Data ⚠","Check Data ⚠",VLOOKUP(P171,'G-4 Temporal multipliers'!$A$4:$C$37,3,FALSE)),"")</f>
        <v/>
      </c>
      <c r="R171" s="498" t="str">
        <f>IF(C171="","",VLOOKUP(C171,'G-7 Rivers Data'!$B$4:$G$8,4,FALSE))</f>
        <v/>
      </c>
      <c r="S171" s="507" t="str">
        <f t="shared" si="15"/>
        <v/>
      </c>
      <c r="T171" s="540" t="str">
        <f t="shared" si="16"/>
        <v/>
      </c>
      <c r="U171" s="499" t="str">
        <f t="shared" si="17"/>
        <v/>
      </c>
      <c r="V171" s="71"/>
      <c r="W171" s="499" t="str">
        <f>IF(V171="","",IF(VLOOKUP(V171,'G-7 Rivers Data'!$AA$4:$AB$7,2,FALSE)=0,"Spatial Data Missing ⚠",VLOOKUP(V171,'G-7 Rivers Data'!$AA$4:$AB$7,2,FALSE)))</f>
        <v/>
      </c>
      <c r="X171" s="155"/>
      <c r="Y171" s="499" t="str">
        <f>IF(X171="","",IF(VLOOKUP(X171,'G-7 Rivers Data'!$AD$4:$AE$8,2,FALSE)=0,"Enrcoachment Data Missing ⚠",VLOOKUP(X171,'G-7 Rivers Data'!$AD$4:$AE$8,2,FALSE)))</f>
        <v/>
      </c>
      <c r="Z171" s="565" t="str">
        <f t="shared" si="18"/>
        <v/>
      </c>
      <c r="AA171" s="149"/>
      <c r="AB171" s="150"/>
      <c r="AH171" s="31" t="str">
        <f>IFERROR(INDEX('G-7 Rivers Data'!$AZ$3:$AZ$7,MATCH(C171,'G-7 Rivers Data'!$AY$3:$AY$7,0)),"")</f>
        <v/>
      </c>
    </row>
    <row r="172" spans="2:34" ht="14" x14ac:dyDescent="0.3">
      <c r="B172" s="141">
        <v>161</v>
      </c>
      <c r="C172" s="171"/>
      <c r="D172" s="172"/>
      <c r="E172" s="498" t="str">
        <f>IF(C172="","",VLOOKUP(C172,'G-7 Rivers Data'!$B$2:$G$8,2,FALSE))</f>
        <v/>
      </c>
      <c r="F172" s="499" t="str">
        <f>IFERROR(VLOOKUP(E172,'G-7 Rivers Data'!$C$4:$D$8,2,FALSE),"")</f>
        <v/>
      </c>
      <c r="G172" s="145"/>
      <c r="H172" s="499" t="str">
        <f>IFERROR(INDEX('G-7 Rivers Data'!$H$4:$L$8,MATCH(C172,'G-7 Rivers Data'!$B$4:$B$8,0),MATCH(G172,'G-7 Rivers Data'!$H$3:$L$3,0)),"")</f>
        <v/>
      </c>
      <c r="I172" s="154"/>
      <c r="J172" s="507" t="str">
        <f>IF(I172="","",IF(VLOOKUP(I172,'G-7 Rivers Data'!$AG$4:$AI$9,2,FALSE)=0,"Spatial Data Missing ⚠",VLOOKUP(I172,'G-7 Rivers Data'!$AG$4:$AI$9,2,FALSE)))</f>
        <v/>
      </c>
      <c r="K172" s="499" t="str">
        <f>IF(I172="","",IF(VLOOKUP(I172,'G-7 Rivers Data'!$AG$4:$AI$9,3,FALSE)=0,"Spatial Data Missing ⚠",VLOOKUP(I172,'G-7 Rivers Data'!$AG$4:$AI$9,3,FALSE)))</f>
        <v/>
      </c>
      <c r="L172" s="498" t="str">
        <f>IFERROR(INDEX('G-7 Rivers Data'!$O$3:$O$7,MATCH(G172,'G-7 Rivers Data'!$N$3:$N$7,0)),"")</f>
        <v/>
      </c>
      <c r="M172" s="82"/>
      <c r="N172" s="195"/>
      <c r="O172" s="507" t="str">
        <f t="shared" si="13"/>
        <v/>
      </c>
      <c r="P172" s="521" t="str">
        <f t="shared" si="14"/>
        <v/>
      </c>
      <c r="Q172" s="564" t="str">
        <f>IFERROR(IF(P172="Check Data ⚠","Check Data ⚠",VLOOKUP(P172,'G-4 Temporal multipliers'!$A$4:$C$37,3,FALSE)),"")</f>
        <v/>
      </c>
      <c r="R172" s="498" t="str">
        <f>IF(C172="","",VLOOKUP(C172,'G-7 Rivers Data'!$B$4:$G$8,4,FALSE))</f>
        <v/>
      </c>
      <c r="S172" s="507" t="str">
        <f t="shared" si="15"/>
        <v/>
      </c>
      <c r="T172" s="540" t="str">
        <f t="shared" si="16"/>
        <v/>
      </c>
      <c r="U172" s="499" t="str">
        <f t="shared" si="17"/>
        <v/>
      </c>
      <c r="V172" s="71"/>
      <c r="W172" s="499" t="str">
        <f>IF(V172="","",IF(VLOOKUP(V172,'G-7 Rivers Data'!$AA$4:$AB$7,2,FALSE)=0,"Spatial Data Missing ⚠",VLOOKUP(V172,'G-7 Rivers Data'!$AA$4:$AB$7,2,FALSE)))</f>
        <v/>
      </c>
      <c r="X172" s="155"/>
      <c r="Y172" s="499" t="str">
        <f>IF(X172="","",IF(VLOOKUP(X172,'G-7 Rivers Data'!$AD$4:$AE$8,2,FALSE)=0,"Enrcoachment Data Missing ⚠",VLOOKUP(X172,'G-7 Rivers Data'!$AD$4:$AE$8,2,FALSE)))</f>
        <v/>
      </c>
      <c r="Z172" s="565" t="str">
        <f t="shared" si="18"/>
        <v/>
      </c>
      <c r="AA172" s="149"/>
      <c r="AB172" s="150"/>
      <c r="AH172" s="31" t="str">
        <f>IFERROR(INDEX('G-7 Rivers Data'!$AZ$3:$AZ$7,MATCH(C172,'G-7 Rivers Data'!$AY$3:$AY$7,0)),"")</f>
        <v/>
      </c>
    </row>
    <row r="173" spans="2:34" ht="14" x14ac:dyDescent="0.3">
      <c r="B173" s="141">
        <v>162</v>
      </c>
      <c r="C173" s="171"/>
      <c r="D173" s="172"/>
      <c r="E173" s="498" t="str">
        <f>IF(C173="","",VLOOKUP(C173,'G-7 Rivers Data'!$B$2:$G$8,2,FALSE))</f>
        <v/>
      </c>
      <c r="F173" s="499" t="str">
        <f>IFERROR(VLOOKUP(E173,'G-7 Rivers Data'!$C$4:$D$8,2,FALSE),"")</f>
        <v/>
      </c>
      <c r="G173" s="145"/>
      <c r="H173" s="499" t="str">
        <f>IFERROR(INDEX('G-7 Rivers Data'!$H$4:$L$8,MATCH(C173,'G-7 Rivers Data'!$B$4:$B$8,0),MATCH(G173,'G-7 Rivers Data'!$H$3:$L$3,0)),"")</f>
        <v/>
      </c>
      <c r="I173" s="154"/>
      <c r="J173" s="507" t="str">
        <f>IF(I173="","",IF(VLOOKUP(I173,'G-7 Rivers Data'!$AG$4:$AI$9,2,FALSE)=0,"Spatial Data Missing ⚠",VLOOKUP(I173,'G-7 Rivers Data'!$AG$4:$AI$9,2,FALSE)))</f>
        <v/>
      </c>
      <c r="K173" s="499" t="str">
        <f>IF(I173="","",IF(VLOOKUP(I173,'G-7 Rivers Data'!$AG$4:$AI$9,3,FALSE)=0,"Spatial Data Missing ⚠",VLOOKUP(I173,'G-7 Rivers Data'!$AG$4:$AI$9,3,FALSE)))</f>
        <v/>
      </c>
      <c r="L173" s="498" t="str">
        <f>IFERROR(INDEX('G-7 Rivers Data'!$O$3:$O$7,MATCH(G173,'G-7 Rivers Data'!$N$3:$N$7,0)),"")</f>
        <v/>
      </c>
      <c r="M173" s="82"/>
      <c r="N173" s="195"/>
      <c r="O173" s="507" t="str">
        <f t="shared" si="13"/>
        <v/>
      </c>
      <c r="P173" s="521" t="str">
        <f t="shared" si="14"/>
        <v/>
      </c>
      <c r="Q173" s="564" t="str">
        <f>IFERROR(IF(P173="Check Data ⚠","Check Data ⚠",VLOOKUP(P173,'G-4 Temporal multipliers'!$A$4:$C$37,3,FALSE)),"")</f>
        <v/>
      </c>
      <c r="R173" s="498" t="str">
        <f>IF(C173="","",VLOOKUP(C173,'G-7 Rivers Data'!$B$4:$G$8,4,FALSE))</f>
        <v/>
      </c>
      <c r="S173" s="507" t="str">
        <f t="shared" si="15"/>
        <v/>
      </c>
      <c r="T173" s="540" t="str">
        <f t="shared" si="16"/>
        <v/>
      </c>
      <c r="U173" s="499" t="str">
        <f t="shared" si="17"/>
        <v/>
      </c>
      <c r="V173" s="71"/>
      <c r="W173" s="499" t="str">
        <f>IF(V173="","",IF(VLOOKUP(V173,'G-7 Rivers Data'!$AA$4:$AB$7,2,FALSE)=0,"Spatial Data Missing ⚠",VLOOKUP(V173,'G-7 Rivers Data'!$AA$4:$AB$7,2,FALSE)))</f>
        <v/>
      </c>
      <c r="X173" s="155"/>
      <c r="Y173" s="499" t="str">
        <f>IF(X173="","",IF(VLOOKUP(X173,'G-7 Rivers Data'!$AD$4:$AE$8,2,FALSE)=0,"Enrcoachment Data Missing ⚠",VLOOKUP(X173,'G-7 Rivers Data'!$AD$4:$AE$8,2,FALSE)))</f>
        <v/>
      </c>
      <c r="Z173" s="565" t="str">
        <f t="shared" si="18"/>
        <v/>
      </c>
      <c r="AA173" s="149"/>
      <c r="AB173" s="150"/>
      <c r="AH173" s="31" t="str">
        <f>IFERROR(INDEX('G-7 Rivers Data'!$AZ$3:$AZ$7,MATCH(C173,'G-7 Rivers Data'!$AY$3:$AY$7,0)),"")</f>
        <v/>
      </c>
    </row>
    <row r="174" spans="2:34" ht="14" x14ac:dyDescent="0.3">
      <c r="B174" s="141">
        <v>163</v>
      </c>
      <c r="C174" s="171"/>
      <c r="D174" s="172"/>
      <c r="E174" s="498" t="str">
        <f>IF(C174="","",VLOOKUP(C174,'G-7 Rivers Data'!$B$2:$G$8,2,FALSE))</f>
        <v/>
      </c>
      <c r="F174" s="499" t="str">
        <f>IFERROR(VLOOKUP(E174,'G-7 Rivers Data'!$C$4:$D$8,2,FALSE),"")</f>
        <v/>
      </c>
      <c r="G174" s="145"/>
      <c r="H174" s="499" t="str">
        <f>IFERROR(INDEX('G-7 Rivers Data'!$H$4:$L$8,MATCH(C174,'G-7 Rivers Data'!$B$4:$B$8,0),MATCH(G174,'G-7 Rivers Data'!$H$3:$L$3,0)),"")</f>
        <v/>
      </c>
      <c r="I174" s="154"/>
      <c r="J174" s="507" t="str">
        <f>IF(I174="","",IF(VLOOKUP(I174,'G-7 Rivers Data'!$AG$4:$AI$9,2,FALSE)=0,"Spatial Data Missing ⚠",VLOOKUP(I174,'G-7 Rivers Data'!$AG$4:$AI$9,2,FALSE)))</f>
        <v/>
      </c>
      <c r="K174" s="499" t="str">
        <f>IF(I174="","",IF(VLOOKUP(I174,'G-7 Rivers Data'!$AG$4:$AI$9,3,FALSE)=0,"Spatial Data Missing ⚠",VLOOKUP(I174,'G-7 Rivers Data'!$AG$4:$AI$9,3,FALSE)))</f>
        <v/>
      </c>
      <c r="L174" s="498" t="str">
        <f>IFERROR(INDEX('G-7 Rivers Data'!$O$3:$O$7,MATCH(G174,'G-7 Rivers Data'!$N$3:$N$7,0)),"")</f>
        <v/>
      </c>
      <c r="M174" s="82"/>
      <c r="N174" s="195"/>
      <c r="O174" s="507" t="str">
        <f t="shared" si="13"/>
        <v/>
      </c>
      <c r="P174" s="521" t="str">
        <f t="shared" si="14"/>
        <v/>
      </c>
      <c r="Q174" s="564" t="str">
        <f>IFERROR(IF(P174="Check Data ⚠","Check Data ⚠",VLOOKUP(P174,'G-4 Temporal multipliers'!$A$4:$C$37,3,FALSE)),"")</f>
        <v/>
      </c>
      <c r="R174" s="498" t="str">
        <f>IF(C174="","",VLOOKUP(C174,'G-7 Rivers Data'!$B$4:$G$8,4,FALSE))</f>
        <v/>
      </c>
      <c r="S174" s="507" t="str">
        <f t="shared" si="15"/>
        <v/>
      </c>
      <c r="T174" s="540" t="str">
        <f t="shared" si="16"/>
        <v/>
      </c>
      <c r="U174" s="499" t="str">
        <f t="shared" si="17"/>
        <v/>
      </c>
      <c r="V174" s="71"/>
      <c r="W174" s="499" t="str">
        <f>IF(V174="","",IF(VLOOKUP(V174,'G-7 Rivers Data'!$AA$4:$AB$7,2,FALSE)=0,"Spatial Data Missing ⚠",VLOOKUP(V174,'G-7 Rivers Data'!$AA$4:$AB$7,2,FALSE)))</f>
        <v/>
      </c>
      <c r="X174" s="155"/>
      <c r="Y174" s="499" t="str">
        <f>IF(X174="","",IF(VLOOKUP(X174,'G-7 Rivers Data'!$AD$4:$AE$8,2,FALSE)=0,"Enrcoachment Data Missing ⚠",VLOOKUP(X174,'G-7 Rivers Data'!$AD$4:$AE$8,2,FALSE)))</f>
        <v/>
      </c>
      <c r="Z174" s="565" t="str">
        <f t="shared" si="18"/>
        <v/>
      </c>
      <c r="AA174" s="149"/>
      <c r="AB174" s="150"/>
      <c r="AH174" s="31" t="str">
        <f>IFERROR(INDEX('G-7 Rivers Data'!$AZ$3:$AZ$7,MATCH(C174,'G-7 Rivers Data'!$AY$3:$AY$7,0)),"")</f>
        <v/>
      </c>
    </row>
    <row r="175" spans="2:34" ht="14" x14ac:dyDescent="0.3">
      <c r="B175" s="141">
        <v>164</v>
      </c>
      <c r="C175" s="171"/>
      <c r="D175" s="172"/>
      <c r="E175" s="498" t="str">
        <f>IF(C175="","",VLOOKUP(C175,'G-7 Rivers Data'!$B$2:$G$8,2,FALSE))</f>
        <v/>
      </c>
      <c r="F175" s="499" t="str">
        <f>IFERROR(VLOOKUP(E175,'G-7 Rivers Data'!$C$4:$D$8,2,FALSE),"")</f>
        <v/>
      </c>
      <c r="G175" s="145"/>
      <c r="H175" s="499" t="str">
        <f>IFERROR(INDEX('G-7 Rivers Data'!$H$4:$L$8,MATCH(C175,'G-7 Rivers Data'!$B$4:$B$8,0),MATCH(G175,'G-7 Rivers Data'!$H$3:$L$3,0)),"")</f>
        <v/>
      </c>
      <c r="I175" s="154"/>
      <c r="J175" s="507" t="str">
        <f>IF(I175="","",IF(VLOOKUP(I175,'G-7 Rivers Data'!$AG$4:$AI$9,2,FALSE)=0,"Spatial Data Missing ⚠",VLOOKUP(I175,'G-7 Rivers Data'!$AG$4:$AI$9,2,FALSE)))</f>
        <v/>
      </c>
      <c r="K175" s="499" t="str">
        <f>IF(I175="","",IF(VLOOKUP(I175,'G-7 Rivers Data'!$AG$4:$AI$9,3,FALSE)=0,"Spatial Data Missing ⚠",VLOOKUP(I175,'G-7 Rivers Data'!$AG$4:$AI$9,3,FALSE)))</f>
        <v/>
      </c>
      <c r="L175" s="498" t="str">
        <f>IFERROR(INDEX('G-7 Rivers Data'!$O$3:$O$7,MATCH(G175,'G-7 Rivers Data'!$N$3:$N$7,0)),"")</f>
        <v/>
      </c>
      <c r="M175" s="82"/>
      <c r="N175" s="195"/>
      <c r="O175" s="507" t="str">
        <f t="shared" si="13"/>
        <v/>
      </c>
      <c r="P175" s="521" t="str">
        <f t="shared" si="14"/>
        <v/>
      </c>
      <c r="Q175" s="564" t="str">
        <f>IFERROR(IF(P175="Check Data ⚠","Check Data ⚠",VLOOKUP(P175,'G-4 Temporal multipliers'!$A$4:$C$37,3,FALSE)),"")</f>
        <v/>
      </c>
      <c r="R175" s="498" t="str">
        <f>IF(C175="","",VLOOKUP(C175,'G-7 Rivers Data'!$B$4:$G$8,4,FALSE))</f>
        <v/>
      </c>
      <c r="S175" s="507" t="str">
        <f t="shared" si="15"/>
        <v/>
      </c>
      <c r="T175" s="540" t="str">
        <f t="shared" si="16"/>
        <v/>
      </c>
      <c r="U175" s="499" t="str">
        <f t="shared" si="17"/>
        <v/>
      </c>
      <c r="V175" s="71"/>
      <c r="W175" s="499" t="str">
        <f>IF(V175="","",IF(VLOOKUP(V175,'G-7 Rivers Data'!$AA$4:$AB$7,2,FALSE)=0,"Spatial Data Missing ⚠",VLOOKUP(V175,'G-7 Rivers Data'!$AA$4:$AB$7,2,FALSE)))</f>
        <v/>
      </c>
      <c r="X175" s="155"/>
      <c r="Y175" s="499" t="str">
        <f>IF(X175="","",IF(VLOOKUP(X175,'G-7 Rivers Data'!$AD$4:$AE$8,2,FALSE)=0,"Enrcoachment Data Missing ⚠",VLOOKUP(X175,'G-7 Rivers Data'!$AD$4:$AE$8,2,FALSE)))</f>
        <v/>
      </c>
      <c r="Z175" s="565" t="str">
        <f t="shared" si="18"/>
        <v/>
      </c>
      <c r="AA175" s="149"/>
      <c r="AB175" s="150"/>
      <c r="AH175" s="31" t="str">
        <f>IFERROR(INDEX('G-7 Rivers Data'!$AZ$3:$AZ$7,MATCH(C175,'G-7 Rivers Data'!$AY$3:$AY$7,0)),"")</f>
        <v/>
      </c>
    </row>
    <row r="176" spans="2:34" ht="14" x14ac:dyDescent="0.3">
      <c r="B176" s="141">
        <v>165</v>
      </c>
      <c r="C176" s="171"/>
      <c r="D176" s="172"/>
      <c r="E176" s="498" t="str">
        <f>IF(C176="","",VLOOKUP(C176,'G-7 Rivers Data'!$B$2:$G$8,2,FALSE))</f>
        <v/>
      </c>
      <c r="F176" s="499" t="str">
        <f>IFERROR(VLOOKUP(E176,'G-7 Rivers Data'!$C$4:$D$8,2,FALSE),"")</f>
        <v/>
      </c>
      <c r="G176" s="145"/>
      <c r="H176" s="499" t="str">
        <f>IFERROR(INDEX('G-7 Rivers Data'!$H$4:$L$8,MATCH(C176,'G-7 Rivers Data'!$B$4:$B$8,0),MATCH(G176,'G-7 Rivers Data'!$H$3:$L$3,0)),"")</f>
        <v/>
      </c>
      <c r="I176" s="154"/>
      <c r="J176" s="507" t="str">
        <f>IF(I176="","",IF(VLOOKUP(I176,'G-7 Rivers Data'!$AG$4:$AI$9,2,FALSE)=0,"Spatial Data Missing ⚠",VLOOKUP(I176,'G-7 Rivers Data'!$AG$4:$AI$9,2,FALSE)))</f>
        <v/>
      </c>
      <c r="K176" s="499" t="str">
        <f>IF(I176="","",IF(VLOOKUP(I176,'G-7 Rivers Data'!$AG$4:$AI$9,3,FALSE)=0,"Spatial Data Missing ⚠",VLOOKUP(I176,'G-7 Rivers Data'!$AG$4:$AI$9,3,FALSE)))</f>
        <v/>
      </c>
      <c r="L176" s="498" t="str">
        <f>IFERROR(INDEX('G-7 Rivers Data'!$O$3:$O$7,MATCH(G176,'G-7 Rivers Data'!$N$3:$N$7,0)),"")</f>
        <v/>
      </c>
      <c r="M176" s="82"/>
      <c r="N176" s="195"/>
      <c r="O176" s="507" t="str">
        <f t="shared" si="13"/>
        <v/>
      </c>
      <c r="P176" s="521" t="str">
        <f t="shared" si="14"/>
        <v/>
      </c>
      <c r="Q176" s="564" t="str">
        <f>IFERROR(IF(P176="Check Data ⚠","Check Data ⚠",VLOOKUP(P176,'G-4 Temporal multipliers'!$A$4:$C$37,3,FALSE)),"")</f>
        <v/>
      </c>
      <c r="R176" s="498" t="str">
        <f>IF(C176="","",VLOOKUP(C176,'G-7 Rivers Data'!$B$4:$G$8,4,FALSE))</f>
        <v/>
      </c>
      <c r="S176" s="507" t="str">
        <f t="shared" si="15"/>
        <v/>
      </c>
      <c r="T176" s="540" t="str">
        <f t="shared" si="16"/>
        <v/>
      </c>
      <c r="U176" s="499" t="str">
        <f t="shared" si="17"/>
        <v/>
      </c>
      <c r="V176" s="71"/>
      <c r="W176" s="499" t="str">
        <f>IF(V176="","",IF(VLOOKUP(V176,'G-7 Rivers Data'!$AA$4:$AB$7,2,FALSE)=0,"Spatial Data Missing ⚠",VLOOKUP(V176,'G-7 Rivers Data'!$AA$4:$AB$7,2,FALSE)))</f>
        <v/>
      </c>
      <c r="X176" s="155"/>
      <c r="Y176" s="499" t="str">
        <f>IF(X176="","",IF(VLOOKUP(X176,'G-7 Rivers Data'!$AD$4:$AE$8,2,FALSE)=0,"Enrcoachment Data Missing ⚠",VLOOKUP(X176,'G-7 Rivers Data'!$AD$4:$AE$8,2,FALSE)))</f>
        <v/>
      </c>
      <c r="Z176" s="565" t="str">
        <f t="shared" si="18"/>
        <v/>
      </c>
      <c r="AA176" s="149"/>
      <c r="AB176" s="150"/>
      <c r="AH176" s="31" t="str">
        <f>IFERROR(INDEX('G-7 Rivers Data'!$AZ$3:$AZ$7,MATCH(C176,'G-7 Rivers Data'!$AY$3:$AY$7,0)),"")</f>
        <v/>
      </c>
    </row>
    <row r="177" spans="2:34" ht="14" x14ac:dyDescent="0.3">
      <c r="B177" s="141">
        <v>166</v>
      </c>
      <c r="C177" s="171"/>
      <c r="D177" s="172"/>
      <c r="E177" s="498" t="str">
        <f>IF(C177="","",VLOOKUP(C177,'G-7 Rivers Data'!$B$2:$G$8,2,FALSE))</f>
        <v/>
      </c>
      <c r="F177" s="499" t="str">
        <f>IFERROR(VLOOKUP(E177,'G-7 Rivers Data'!$C$4:$D$8,2,FALSE),"")</f>
        <v/>
      </c>
      <c r="G177" s="145"/>
      <c r="H177" s="499" t="str">
        <f>IFERROR(INDEX('G-7 Rivers Data'!$H$4:$L$8,MATCH(C177,'G-7 Rivers Data'!$B$4:$B$8,0),MATCH(G177,'G-7 Rivers Data'!$H$3:$L$3,0)),"")</f>
        <v/>
      </c>
      <c r="I177" s="154"/>
      <c r="J177" s="507" t="str">
        <f>IF(I177="","",IF(VLOOKUP(I177,'G-7 Rivers Data'!$AG$4:$AI$9,2,FALSE)=0,"Spatial Data Missing ⚠",VLOOKUP(I177,'G-7 Rivers Data'!$AG$4:$AI$9,2,FALSE)))</f>
        <v/>
      </c>
      <c r="K177" s="499" t="str">
        <f>IF(I177="","",IF(VLOOKUP(I177,'G-7 Rivers Data'!$AG$4:$AI$9,3,FALSE)=0,"Spatial Data Missing ⚠",VLOOKUP(I177,'G-7 Rivers Data'!$AG$4:$AI$9,3,FALSE)))</f>
        <v/>
      </c>
      <c r="L177" s="498" t="str">
        <f>IFERROR(INDEX('G-7 Rivers Data'!$O$3:$O$7,MATCH(G177,'G-7 Rivers Data'!$N$3:$N$7,0)),"")</f>
        <v/>
      </c>
      <c r="M177" s="82"/>
      <c r="N177" s="195"/>
      <c r="O177" s="507" t="str">
        <f t="shared" si="13"/>
        <v/>
      </c>
      <c r="P177" s="521" t="str">
        <f t="shared" si="14"/>
        <v/>
      </c>
      <c r="Q177" s="564" t="str">
        <f>IFERROR(IF(P177="Check Data ⚠","Check Data ⚠",VLOOKUP(P177,'G-4 Temporal multipliers'!$A$4:$C$37,3,FALSE)),"")</f>
        <v/>
      </c>
      <c r="R177" s="498" t="str">
        <f>IF(C177="","",VLOOKUP(C177,'G-7 Rivers Data'!$B$4:$G$8,4,FALSE))</f>
        <v/>
      </c>
      <c r="S177" s="507" t="str">
        <f t="shared" si="15"/>
        <v/>
      </c>
      <c r="T177" s="540" t="str">
        <f t="shared" si="16"/>
        <v/>
      </c>
      <c r="U177" s="499" t="str">
        <f t="shared" si="17"/>
        <v/>
      </c>
      <c r="V177" s="71"/>
      <c r="W177" s="499" t="str">
        <f>IF(V177="","",IF(VLOOKUP(V177,'G-7 Rivers Data'!$AA$4:$AB$7,2,FALSE)=0,"Spatial Data Missing ⚠",VLOOKUP(V177,'G-7 Rivers Data'!$AA$4:$AB$7,2,FALSE)))</f>
        <v/>
      </c>
      <c r="X177" s="155"/>
      <c r="Y177" s="499" t="str">
        <f>IF(X177="","",IF(VLOOKUP(X177,'G-7 Rivers Data'!$AD$4:$AE$8,2,FALSE)=0,"Enrcoachment Data Missing ⚠",VLOOKUP(X177,'G-7 Rivers Data'!$AD$4:$AE$8,2,FALSE)))</f>
        <v/>
      </c>
      <c r="Z177" s="565" t="str">
        <f t="shared" si="18"/>
        <v/>
      </c>
      <c r="AA177" s="149"/>
      <c r="AB177" s="150"/>
      <c r="AH177" s="31" t="str">
        <f>IFERROR(INDEX('G-7 Rivers Data'!$AZ$3:$AZ$7,MATCH(C177,'G-7 Rivers Data'!$AY$3:$AY$7,0)),"")</f>
        <v/>
      </c>
    </row>
    <row r="178" spans="2:34" ht="14" x14ac:dyDescent="0.3">
      <c r="B178" s="141">
        <v>167</v>
      </c>
      <c r="C178" s="171"/>
      <c r="D178" s="172"/>
      <c r="E178" s="498" t="str">
        <f>IF(C178="","",VLOOKUP(C178,'G-7 Rivers Data'!$B$2:$G$8,2,FALSE))</f>
        <v/>
      </c>
      <c r="F178" s="499" t="str">
        <f>IFERROR(VLOOKUP(E178,'G-7 Rivers Data'!$C$4:$D$8,2,FALSE),"")</f>
        <v/>
      </c>
      <c r="G178" s="145"/>
      <c r="H178" s="499" t="str">
        <f>IFERROR(INDEX('G-7 Rivers Data'!$H$4:$L$8,MATCH(C178,'G-7 Rivers Data'!$B$4:$B$8,0),MATCH(G178,'G-7 Rivers Data'!$H$3:$L$3,0)),"")</f>
        <v/>
      </c>
      <c r="I178" s="154"/>
      <c r="J178" s="507" t="str">
        <f>IF(I178="","",IF(VLOOKUP(I178,'G-7 Rivers Data'!$AG$4:$AI$9,2,FALSE)=0,"Spatial Data Missing ⚠",VLOOKUP(I178,'G-7 Rivers Data'!$AG$4:$AI$9,2,FALSE)))</f>
        <v/>
      </c>
      <c r="K178" s="499" t="str">
        <f>IF(I178="","",IF(VLOOKUP(I178,'G-7 Rivers Data'!$AG$4:$AI$9,3,FALSE)=0,"Spatial Data Missing ⚠",VLOOKUP(I178,'G-7 Rivers Data'!$AG$4:$AI$9,3,FALSE)))</f>
        <v/>
      </c>
      <c r="L178" s="498" t="str">
        <f>IFERROR(INDEX('G-7 Rivers Data'!$O$3:$O$7,MATCH(G178,'G-7 Rivers Data'!$N$3:$N$7,0)),"")</f>
        <v/>
      </c>
      <c r="M178" s="82"/>
      <c r="N178" s="195"/>
      <c r="O178" s="507" t="str">
        <f t="shared" si="13"/>
        <v/>
      </c>
      <c r="P178" s="521" t="str">
        <f t="shared" si="14"/>
        <v/>
      </c>
      <c r="Q178" s="564" t="str">
        <f>IFERROR(IF(P178="Check Data ⚠","Check Data ⚠",VLOOKUP(P178,'G-4 Temporal multipliers'!$A$4:$C$37,3,FALSE)),"")</f>
        <v/>
      </c>
      <c r="R178" s="498" t="str">
        <f>IF(C178="","",VLOOKUP(C178,'G-7 Rivers Data'!$B$4:$G$8,4,FALSE))</f>
        <v/>
      </c>
      <c r="S178" s="507" t="str">
        <f t="shared" si="15"/>
        <v/>
      </c>
      <c r="T178" s="540" t="str">
        <f t="shared" si="16"/>
        <v/>
      </c>
      <c r="U178" s="499" t="str">
        <f t="shared" si="17"/>
        <v/>
      </c>
      <c r="V178" s="71"/>
      <c r="W178" s="499" t="str">
        <f>IF(V178="","",IF(VLOOKUP(V178,'G-7 Rivers Data'!$AA$4:$AB$7,2,FALSE)=0,"Spatial Data Missing ⚠",VLOOKUP(V178,'G-7 Rivers Data'!$AA$4:$AB$7,2,FALSE)))</f>
        <v/>
      </c>
      <c r="X178" s="155"/>
      <c r="Y178" s="499" t="str">
        <f>IF(X178="","",IF(VLOOKUP(X178,'G-7 Rivers Data'!$AD$4:$AE$8,2,FALSE)=0,"Enrcoachment Data Missing ⚠",VLOOKUP(X178,'G-7 Rivers Data'!$AD$4:$AE$8,2,FALSE)))</f>
        <v/>
      </c>
      <c r="Z178" s="565" t="str">
        <f t="shared" si="18"/>
        <v/>
      </c>
      <c r="AA178" s="149"/>
      <c r="AB178" s="150"/>
      <c r="AH178" s="31" t="str">
        <f>IFERROR(INDEX('G-7 Rivers Data'!$AZ$3:$AZ$7,MATCH(C178,'G-7 Rivers Data'!$AY$3:$AY$7,0)),"")</f>
        <v/>
      </c>
    </row>
    <row r="179" spans="2:34" ht="14" x14ac:dyDescent="0.3">
      <c r="B179" s="141">
        <v>168</v>
      </c>
      <c r="C179" s="171"/>
      <c r="D179" s="172"/>
      <c r="E179" s="498" t="str">
        <f>IF(C179="","",VLOOKUP(C179,'G-7 Rivers Data'!$B$2:$G$8,2,FALSE))</f>
        <v/>
      </c>
      <c r="F179" s="499" t="str">
        <f>IFERROR(VLOOKUP(E179,'G-7 Rivers Data'!$C$4:$D$8,2,FALSE),"")</f>
        <v/>
      </c>
      <c r="G179" s="145"/>
      <c r="H179" s="499" t="str">
        <f>IFERROR(INDEX('G-7 Rivers Data'!$H$4:$L$8,MATCH(C179,'G-7 Rivers Data'!$B$4:$B$8,0),MATCH(G179,'G-7 Rivers Data'!$H$3:$L$3,0)),"")</f>
        <v/>
      </c>
      <c r="I179" s="154"/>
      <c r="J179" s="507" t="str">
        <f>IF(I179="","",IF(VLOOKUP(I179,'G-7 Rivers Data'!$AG$4:$AI$9,2,FALSE)=0,"Spatial Data Missing ⚠",VLOOKUP(I179,'G-7 Rivers Data'!$AG$4:$AI$9,2,FALSE)))</f>
        <v/>
      </c>
      <c r="K179" s="499" t="str">
        <f>IF(I179="","",IF(VLOOKUP(I179,'G-7 Rivers Data'!$AG$4:$AI$9,3,FALSE)=0,"Spatial Data Missing ⚠",VLOOKUP(I179,'G-7 Rivers Data'!$AG$4:$AI$9,3,FALSE)))</f>
        <v/>
      </c>
      <c r="L179" s="498" t="str">
        <f>IFERROR(INDEX('G-7 Rivers Data'!$O$3:$O$7,MATCH(G179,'G-7 Rivers Data'!$N$3:$N$7,0)),"")</f>
        <v/>
      </c>
      <c r="M179" s="82"/>
      <c r="N179" s="195"/>
      <c r="O179" s="507" t="str">
        <f t="shared" si="13"/>
        <v/>
      </c>
      <c r="P179" s="521" t="str">
        <f t="shared" si="14"/>
        <v/>
      </c>
      <c r="Q179" s="564" t="str">
        <f>IFERROR(IF(P179="Check Data ⚠","Check Data ⚠",VLOOKUP(P179,'G-4 Temporal multipliers'!$A$4:$C$37,3,FALSE)),"")</f>
        <v/>
      </c>
      <c r="R179" s="498" t="str">
        <f>IF(C179="","",VLOOKUP(C179,'G-7 Rivers Data'!$B$4:$G$8,4,FALSE))</f>
        <v/>
      </c>
      <c r="S179" s="507" t="str">
        <f t="shared" si="15"/>
        <v/>
      </c>
      <c r="T179" s="540" t="str">
        <f t="shared" si="16"/>
        <v/>
      </c>
      <c r="U179" s="499" t="str">
        <f t="shared" si="17"/>
        <v/>
      </c>
      <c r="V179" s="71"/>
      <c r="W179" s="499" t="str">
        <f>IF(V179="","",IF(VLOOKUP(V179,'G-7 Rivers Data'!$AA$4:$AB$7,2,FALSE)=0,"Spatial Data Missing ⚠",VLOOKUP(V179,'G-7 Rivers Data'!$AA$4:$AB$7,2,FALSE)))</f>
        <v/>
      </c>
      <c r="X179" s="155"/>
      <c r="Y179" s="499" t="str">
        <f>IF(X179="","",IF(VLOOKUP(X179,'G-7 Rivers Data'!$AD$4:$AE$8,2,FALSE)=0,"Enrcoachment Data Missing ⚠",VLOOKUP(X179,'G-7 Rivers Data'!$AD$4:$AE$8,2,FALSE)))</f>
        <v/>
      </c>
      <c r="Z179" s="565" t="str">
        <f t="shared" si="18"/>
        <v/>
      </c>
      <c r="AA179" s="149"/>
      <c r="AB179" s="150"/>
      <c r="AH179" s="31" t="str">
        <f>IFERROR(INDEX('G-7 Rivers Data'!$AZ$3:$AZ$7,MATCH(C179,'G-7 Rivers Data'!$AY$3:$AY$7,0)),"")</f>
        <v/>
      </c>
    </row>
    <row r="180" spans="2:34" ht="14" x14ac:dyDescent="0.3">
      <c r="B180" s="141">
        <v>169</v>
      </c>
      <c r="C180" s="171"/>
      <c r="D180" s="172"/>
      <c r="E180" s="498" t="str">
        <f>IF(C180="","",VLOOKUP(C180,'G-7 Rivers Data'!$B$2:$G$8,2,FALSE))</f>
        <v/>
      </c>
      <c r="F180" s="499" t="str">
        <f>IFERROR(VLOOKUP(E180,'G-7 Rivers Data'!$C$4:$D$8,2,FALSE),"")</f>
        <v/>
      </c>
      <c r="G180" s="145"/>
      <c r="H180" s="499" t="str">
        <f>IFERROR(INDEX('G-7 Rivers Data'!$H$4:$L$8,MATCH(C180,'G-7 Rivers Data'!$B$4:$B$8,0),MATCH(G180,'G-7 Rivers Data'!$H$3:$L$3,0)),"")</f>
        <v/>
      </c>
      <c r="I180" s="154"/>
      <c r="J180" s="507" t="str">
        <f>IF(I180="","",IF(VLOOKUP(I180,'G-7 Rivers Data'!$AG$4:$AI$9,2,FALSE)=0,"Spatial Data Missing ⚠",VLOOKUP(I180,'G-7 Rivers Data'!$AG$4:$AI$9,2,FALSE)))</f>
        <v/>
      </c>
      <c r="K180" s="499" t="str">
        <f>IF(I180="","",IF(VLOOKUP(I180,'G-7 Rivers Data'!$AG$4:$AI$9,3,FALSE)=0,"Spatial Data Missing ⚠",VLOOKUP(I180,'G-7 Rivers Data'!$AG$4:$AI$9,3,FALSE)))</f>
        <v/>
      </c>
      <c r="L180" s="498" t="str">
        <f>IFERROR(INDEX('G-7 Rivers Data'!$O$3:$O$7,MATCH(G180,'G-7 Rivers Data'!$N$3:$N$7,0)),"")</f>
        <v/>
      </c>
      <c r="M180" s="82"/>
      <c r="N180" s="195"/>
      <c r="O180" s="507" t="str">
        <f t="shared" si="13"/>
        <v/>
      </c>
      <c r="P180" s="521" t="str">
        <f t="shared" si="14"/>
        <v/>
      </c>
      <c r="Q180" s="564" t="str">
        <f>IFERROR(IF(P180="Check Data ⚠","Check Data ⚠",VLOOKUP(P180,'G-4 Temporal multipliers'!$A$4:$C$37,3,FALSE)),"")</f>
        <v/>
      </c>
      <c r="R180" s="498" t="str">
        <f>IF(C180="","",VLOOKUP(C180,'G-7 Rivers Data'!$B$4:$G$8,4,FALSE))</f>
        <v/>
      </c>
      <c r="S180" s="507" t="str">
        <f t="shared" si="15"/>
        <v/>
      </c>
      <c r="T180" s="540" t="str">
        <f t="shared" si="16"/>
        <v/>
      </c>
      <c r="U180" s="499" t="str">
        <f t="shared" si="17"/>
        <v/>
      </c>
      <c r="V180" s="71"/>
      <c r="W180" s="499" t="str">
        <f>IF(V180="","",IF(VLOOKUP(V180,'G-7 Rivers Data'!$AA$4:$AB$7,2,FALSE)=0,"Spatial Data Missing ⚠",VLOOKUP(V180,'G-7 Rivers Data'!$AA$4:$AB$7,2,FALSE)))</f>
        <v/>
      </c>
      <c r="X180" s="155"/>
      <c r="Y180" s="499" t="str">
        <f>IF(X180="","",IF(VLOOKUP(X180,'G-7 Rivers Data'!$AD$4:$AE$8,2,FALSE)=0,"Enrcoachment Data Missing ⚠",VLOOKUP(X180,'G-7 Rivers Data'!$AD$4:$AE$8,2,FALSE)))</f>
        <v/>
      </c>
      <c r="Z180" s="565" t="str">
        <f t="shared" si="18"/>
        <v/>
      </c>
      <c r="AA180" s="149"/>
      <c r="AB180" s="150"/>
      <c r="AH180" s="31" t="str">
        <f>IFERROR(INDEX('G-7 Rivers Data'!$AZ$3:$AZ$7,MATCH(C180,'G-7 Rivers Data'!$AY$3:$AY$7,0)),"")</f>
        <v/>
      </c>
    </row>
    <row r="181" spans="2:34" ht="14" x14ac:dyDescent="0.3">
      <c r="B181" s="141">
        <v>170</v>
      </c>
      <c r="C181" s="171"/>
      <c r="D181" s="172"/>
      <c r="E181" s="498" t="str">
        <f>IF(C181="","",VLOOKUP(C181,'G-7 Rivers Data'!$B$2:$G$8,2,FALSE))</f>
        <v/>
      </c>
      <c r="F181" s="499" t="str">
        <f>IFERROR(VLOOKUP(E181,'G-7 Rivers Data'!$C$4:$D$8,2,FALSE),"")</f>
        <v/>
      </c>
      <c r="G181" s="145"/>
      <c r="H181" s="499" t="str">
        <f>IFERROR(INDEX('G-7 Rivers Data'!$H$4:$L$8,MATCH(C181,'G-7 Rivers Data'!$B$4:$B$8,0),MATCH(G181,'G-7 Rivers Data'!$H$3:$L$3,0)),"")</f>
        <v/>
      </c>
      <c r="I181" s="154"/>
      <c r="J181" s="507" t="str">
        <f>IF(I181="","",IF(VLOOKUP(I181,'G-7 Rivers Data'!$AG$4:$AI$9,2,FALSE)=0,"Spatial Data Missing ⚠",VLOOKUP(I181,'G-7 Rivers Data'!$AG$4:$AI$9,2,FALSE)))</f>
        <v/>
      </c>
      <c r="K181" s="499" t="str">
        <f>IF(I181="","",IF(VLOOKUP(I181,'G-7 Rivers Data'!$AG$4:$AI$9,3,FALSE)=0,"Spatial Data Missing ⚠",VLOOKUP(I181,'G-7 Rivers Data'!$AG$4:$AI$9,3,FALSE)))</f>
        <v/>
      </c>
      <c r="L181" s="498" t="str">
        <f>IFERROR(INDEX('G-7 Rivers Data'!$O$3:$O$7,MATCH(G181,'G-7 Rivers Data'!$N$3:$N$7,0)),"")</f>
        <v/>
      </c>
      <c r="M181" s="82"/>
      <c r="N181" s="195"/>
      <c r="O181" s="507" t="str">
        <f t="shared" si="13"/>
        <v/>
      </c>
      <c r="P181" s="521" t="str">
        <f t="shared" si="14"/>
        <v/>
      </c>
      <c r="Q181" s="564" t="str">
        <f>IFERROR(IF(P181="Check Data ⚠","Check Data ⚠",VLOOKUP(P181,'G-4 Temporal multipliers'!$A$4:$C$37,3,FALSE)),"")</f>
        <v/>
      </c>
      <c r="R181" s="498" t="str">
        <f>IF(C181="","",VLOOKUP(C181,'G-7 Rivers Data'!$B$4:$G$8,4,FALSE))</f>
        <v/>
      </c>
      <c r="S181" s="507" t="str">
        <f t="shared" si="15"/>
        <v/>
      </c>
      <c r="T181" s="540" t="str">
        <f t="shared" si="16"/>
        <v/>
      </c>
      <c r="U181" s="499" t="str">
        <f t="shared" si="17"/>
        <v/>
      </c>
      <c r="V181" s="71"/>
      <c r="W181" s="499" t="str">
        <f>IF(V181="","",IF(VLOOKUP(V181,'G-7 Rivers Data'!$AA$4:$AB$7,2,FALSE)=0,"Spatial Data Missing ⚠",VLOOKUP(V181,'G-7 Rivers Data'!$AA$4:$AB$7,2,FALSE)))</f>
        <v/>
      </c>
      <c r="X181" s="155"/>
      <c r="Y181" s="499" t="str">
        <f>IF(X181="","",IF(VLOOKUP(X181,'G-7 Rivers Data'!$AD$4:$AE$8,2,FALSE)=0,"Enrcoachment Data Missing ⚠",VLOOKUP(X181,'G-7 Rivers Data'!$AD$4:$AE$8,2,FALSE)))</f>
        <v/>
      </c>
      <c r="Z181" s="565" t="str">
        <f t="shared" si="18"/>
        <v/>
      </c>
      <c r="AA181" s="149"/>
      <c r="AB181" s="150"/>
      <c r="AH181" s="31" t="str">
        <f>IFERROR(INDEX('G-7 Rivers Data'!$AZ$3:$AZ$7,MATCH(C181,'G-7 Rivers Data'!$AY$3:$AY$7,0)),"")</f>
        <v/>
      </c>
    </row>
    <row r="182" spans="2:34" ht="14" x14ac:dyDescent="0.3">
      <c r="B182" s="141">
        <v>171</v>
      </c>
      <c r="C182" s="171"/>
      <c r="D182" s="172"/>
      <c r="E182" s="498" t="str">
        <f>IF(C182="","",VLOOKUP(C182,'G-7 Rivers Data'!$B$2:$G$8,2,FALSE))</f>
        <v/>
      </c>
      <c r="F182" s="499" t="str">
        <f>IFERROR(VLOOKUP(E182,'G-7 Rivers Data'!$C$4:$D$8,2,FALSE),"")</f>
        <v/>
      </c>
      <c r="G182" s="145"/>
      <c r="H182" s="499" t="str">
        <f>IFERROR(INDEX('G-7 Rivers Data'!$H$4:$L$8,MATCH(C182,'G-7 Rivers Data'!$B$4:$B$8,0),MATCH(G182,'G-7 Rivers Data'!$H$3:$L$3,0)),"")</f>
        <v/>
      </c>
      <c r="I182" s="154"/>
      <c r="J182" s="507" t="str">
        <f>IF(I182="","",IF(VLOOKUP(I182,'G-7 Rivers Data'!$AG$4:$AI$9,2,FALSE)=0,"Spatial Data Missing ⚠",VLOOKUP(I182,'G-7 Rivers Data'!$AG$4:$AI$9,2,FALSE)))</f>
        <v/>
      </c>
      <c r="K182" s="499" t="str">
        <f>IF(I182="","",IF(VLOOKUP(I182,'G-7 Rivers Data'!$AG$4:$AI$9,3,FALSE)=0,"Spatial Data Missing ⚠",VLOOKUP(I182,'G-7 Rivers Data'!$AG$4:$AI$9,3,FALSE)))</f>
        <v/>
      </c>
      <c r="L182" s="498" t="str">
        <f>IFERROR(INDEX('G-7 Rivers Data'!$O$3:$O$7,MATCH(G182,'G-7 Rivers Data'!$N$3:$N$7,0)),"")</f>
        <v/>
      </c>
      <c r="M182" s="82"/>
      <c r="N182" s="195"/>
      <c r="O182" s="507" t="str">
        <f t="shared" si="13"/>
        <v/>
      </c>
      <c r="P182" s="521" t="str">
        <f t="shared" si="14"/>
        <v/>
      </c>
      <c r="Q182" s="564" t="str">
        <f>IFERROR(IF(P182="Check Data ⚠","Check Data ⚠",VLOOKUP(P182,'G-4 Temporal multipliers'!$A$4:$C$37,3,FALSE)),"")</f>
        <v/>
      </c>
      <c r="R182" s="498" t="str">
        <f>IF(C182="","",VLOOKUP(C182,'G-7 Rivers Data'!$B$4:$G$8,4,FALSE))</f>
        <v/>
      </c>
      <c r="S182" s="507" t="str">
        <f t="shared" si="15"/>
        <v/>
      </c>
      <c r="T182" s="540" t="str">
        <f t="shared" si="16"/>
        <v/>
      </c>
      <c r="U182" s="499" t="str">
        <f t="shared" si="17"/>
        <v/>
      </c>
      <c r="V182" s="71"/>
      <c r="W182" s="499" t="str">
        <f>IF(V182="","",IF(VLOOKUP(V182,'G-7 Rivers Data'!$AA$4:$AB$7,2,FALSE)=0,"Spatial Data Missing ⚠",VLOOKUP(V182,'G-7 Rivers Data'!$AA$4:$AB$7,2,FALSE)))</f>
        <v/>
      </c>
      <c r="X182" s="155"/>
      <c r="Y182" s="499" t="str">
        <f>IF(X182="","",IF(VLOOKUP(X182,'G-7 Rivers Data'!$AD$4:$AE$8,2,FALSE)=0,"Enrcoachment Data Missing ⚠",VLOOKUP(X182,'G-7 Rivers Data'!$AD$4:$AE$8,2,FALSE)))</f>
        <v/>
      </c>
      <c r="Z182" s="565" t="str">
        <f t="shared" si="18"/>
        <v/>
      </c>
      <c r="AA182" s="149"/>
      <c r="AB182" s="150"/>
      <c r="AH182" s="31" t="str">
        <f>IFERROR(INDEX('G-7 Rivers Data'!$AZ$3:$AZ$7,MATCH(C182,'G-7 Rivers Data'!$AY$3:$AY$7,0)),"")</f>
        <v/>
      </c>
    </row>
    <row r="183" spans="2:34" ht="14" x14ac:dyDescent="0.3">
      <c r="B183" s="141">
        <v>172</v>
      </c>
      <c r="C183" s="171"/>
      <c r="D183" s="172"/>
      <c r="E183" s="498" t="str">
        <f>IF(C183="","",VLOOKUP(C183,'G-7 Rivers Data'!$B$2:$G$8,2,FALSE))</f>
        <v/>
      </c>
      <c r="F183" s="499" t="str">
        <f>IFERROR(VLOOKUP(E183,'G-7 Rivers Data'!$C$4:$D$8,2,FALSE),"")</f>
        <v/>
      </c>
      <c r="G183" s="145"/>
      <c r="H183" s="499" t="str">
        <f>IFERROR(INDEX('G-7 Rivers Data'!$H$4:$L$8,MATCH(C183,'G-7 Rivers Data'!$B$4:$B$8,0),MATCH(G183,'G-7 Rivers Data'!$H$3:$L$3,0)),"")</f>
        <v/>
      </c>
      <c r="I183" s="154"/>
      <c r="J183" s="507" t="str">
        <f>IF(I183="","",IF(VLOOKUP(I183,'G-7 Rivers Data'!$AG$4:$AI$9,2,FALSE)=0,"Spatial Data Missing ⚠",VLOOKUP(I183,'G-7 Rivers Data'!$AG$4:$AI$9,2,FALSE)))</f>
        <v/>
      </c>
      <c r="K183" s="499" t="str">
        <f>IF(I183="","",IF(VLOOKUP(I183,'G-7 Rivers Data'!$AG$4:$AI$9,3,FALSE)=0,"Spatial Data Missing ⚠",VLOOKUP(I183,'G-7 Rivers Data'!$AG$4:$AI$9,3,FALSE)))</f>
        <v/>
      </c>
      <c r="L183" s="498" t="str">
        <f>IFERROR(INDEX('G-7 Rivers Data'!$O$3:$O$7,MATCH(G183,'G-7 Rivers Data'!$N$3:$N$7,0)),"")</f>
        <v/>
      </c>
      <c r="M183" s="82"/>
      <c r="N183" s="195"/>
      <c r="O183" s="507" t="str">
        <f t="shared" si="13"/>
        <v/>
      </c>
      <c r="P183" s="521" t="str">
        <f t="shared" si="14"/>
        <v/>
      </c>
      <c r="Q183" s="564" t="str">
        <f>IFERROR(IF(P183="Check Data ⚠","Check Data ⚠",VLOOKUP(P183,'G-4 Temporal multipliers'!$A$4:$C$37,3,FALSE)),"")</f>
        <v/>
      </c>
      <c r="R183" s="498" t="str">
        <f>IF(C183="","",VLOOKUP(C183,'G-7 Rivers Data'!$B$4:$G$8,4,FALSE))</f>
        <v/>
      </c>
      <c r="S183" s="507" t="str">
        <f t="shared" si="15"/>
        <v/>
      </c>
      <c r="T183" s="540" t="str">
        <f t="shared" si="16"/>
        <v/>
      </c>
      <c r="U183" s="499" t="str">
        <f t="shared" si="17"/>
        <v/>
      </c>
      <c r="V183" s="71"/>
      <c r="W183" s="499" t="str">
        <f>IF(V183="","",IF(VLOOKUP(V183,'G-7 Rivers Data'!$AA$4:$AB$7,2,FALSE)=0,"Spatial Data Missing ⚠",VLOOKUP(V183,'G-7 Rivers Data'!$AA$4:$AB$7,2,FALSE)))</f>
        <v/>
      </c>
      <c r="X183" s="155"/>
      <c r="Y183" s="499" t="str">
        <f>IF(X183="","",IF(VLOOKUP(X183,'G-7 Rivers Data'!$AD$4:$AE$8,2,FALSE)=0,"Enrcoachment Data Missing ⚠",VLOOKUP(X183,'G-7 Rivers Data'!$AD$4:$AE$8,2,FALSE)))</f>
        <v/>
      </c>
      <c r="Z183" s="565" t="str">
        <f t="shared" si="18"/>
        <v/>
      </c>
      <c r="AA183" s="149"/>
      <c r="AB183" s="150"/>
      <c r="AH183" s="31" t="str">
        <f>IFERROR(INDEX('G-7 Rivers Data'!$AZ$3:$AZ$7,MATCH(C183,'G-7 Rivers Data'!$AY$3:$AY$7,0)),"")</f>
        <v/>
      </c>
    </row>
    <row r="184" spans="2:34" ht="14" x14ac:dyDescent="0.3">
      <c r="B184" s="141">
        <v>173</v>
      </c>
      <c r="C184" s="171"/>
      <c r="D184" s="172"/>
      <c r="E184" s="498" t="str">
        <f>IF(C184="","",VLOOKUP(C184,'G-7 Rivers Data'!$B$2:$G$8,2,FALSE))</f>
        <v/>
      </c>
      <c r="F184" s="499" t="str">
        <f>IFERROR(VLOOKUP(E184,'G-7 Rivers Data'!$C$4:$D$8,2,FALSE),"")</f>
        <v/>
      </c>
      <c r="G184" s="145"/>
      <c r="H184" s="499" t="str">
        <f>IFERROR(INDEX('G-7 Rivers Data'!$H$4:$L$8,MATCH(C184,'G-7 Rivers Data'!$B$4:$B$8,0),MATCH(G184,'G-7 Rivers Data'!$H$3:$L$3,0)),"")</f>
        <v/>
      </c>
      <c r="I184" s="154"/>
      <c r="J184" s="507" t="str">
        <f>IF(I184="","",IF(VLOOKUP(I184,'G-7 Rivers Data'!$AG$4:$AI$9,2,FALSE)=0,"Spatial Data Missing ⚠",VLOOKUP(I184,'G-7 Rivers Data'!$AG$4:$AI$9,2,FALSE)))</f>
        <v/>
      </c>
      <c r="K184" s="499" t="str">
        <f>IF(I184="","",IF(VLOOKUP(I184,'G-7 Rivers Data'!$AG$4:$AI$9,3,FALSE)=0,"Spatial Data Missing ⚠",VLOOKUP(I184,'G-7 Rivers Data'!$AG$4:$AI$9,3,FALSE)))</f>
        <v/>
      </c>
      <c r="L184" s="498" t="str">
        <f>IFERROR(INDEX('G-7 Rivers Data'!$O$3:$O$7,MATCH(G184,'G-7 Rivers Data'!$N$3:$N$7,0)),"")</f>
        <v/>
      </c>
      <c r="M184" s="82"/>
      <c r="N184" s="195"/>
      <c r="O184" s="507" t="str">
        <f t="shared" si="13"/>
        <v/>
      </c>
      <c r="P184" s="521" t="str">
        <f t="shared" si="14"/>
        <v/>
      </c>
      <c r="Q184" s="564" t="str">
        <f>IFERROR(IF(P184="Check Data ⚠","Check Data ⚠",VLOOKUP(P184,'G-4 Temporal multipliers'!$A$4:$C$37,3,FALSE)),"")</f>
        <v/>
      </c>
      <c r="R184" s="498" t="str">
        <f>IF(C184="","",VLOOKUP(C184,'G-7 Rivers Data'!$B$4:$G$8,4,FALSE))</f>
        <v/>
      </c>
      <c r="S184" s="507" t="str">
        <f t="shared" si="15"/>
        <v/>
      </c>
      <c r="T184" s="540" t="str">
        <f t="shared" si="16"/>
        <v/>
      </c>
      <c r="U184" s="499" t="str">
        <f t="shared" si="17"/>
        <v/>
      </c>
      <c r="V184" s="71"/>
      <c r="W184" s="499" t="str">
        <f>IF(V184="","",IF(VLOOKUP(V184,'G-7 Rivers Data'!$AA$4:$AB$7,2,FALSE)=0,"Spatial Data Missing ⚠",VLOOKUP(V184,'G-7 Rivers Data'!$AA$4:$AB$7,2,FALSE)))</f>
        <v/>
      </c>
      <c r="X184" s="155"/>
      <c r="Y184" s="499" t="str">
        <f>IF(X184="","",IF(VLOOKUP(X184,'G-7 Rivers Data'!$AD$4:$AE$8,2,FALSE)=0,"Enrcoachment Data Missing ⚠",VLOOKUP(X184,'G-7 Rivers Data'!$AD$4:$AE$8,2,FALSE)))</f>
        <v/>
      </c>
      <c r="Z184" s="565" t="str">
        <f t="shared" si="18"/>
        <v/>
      </c>
      <c r="AA184" s="149"/>
      <c r="AB184" s="150"/>
      <c r="AH184" s="31" t="str">
        <f>IFERROR(INDEX('G-7 Rivers Data'!$AZ$3:$AZ$7,MATCH(C184,'G-7 Rivers Data'!$AY$3:$AY$7,0)),"")</f>
        <v/>
      </c>
    </row>
    <row r="185" spans="2:34" ht="14" x14ac:dyDescent="0.3">
      <c r="B185" s="141">
        <v>174</v>
      </c>
      <c r="C185" s="171"/>
      <c r="D185" s="172"/>
      <c r="E185" s="498" t="str">
        <f>IF(C185="","",VLOOKUP(C185,'G-7 Rivers Data'!$B$2:$G$8,2,FALSE))</f>
        <v/>
      </c>
      <c r="F185" s="499" t="str">
        <f>IFERROR(VLOOKUP(E185,'G-7 Rivers Data'!$C$4:$D$8,2,FALSE),"")</f>
        <v/>
      </c>
      <c r="G185" s="145"/>
      <c r="H185" s="499" t="str">
        <f>IFERROR(INDEX('G-7 Rivers Data'!$H$4:$L$8,MATCH(C185,'G-7 Rivers Data'!$B$4:$B$8,0),MATCH(G185,'G-7 Rivers Data'!$H$3:$L$3,0)),"")</f>
        <v/>
      </c>
      <c r="I185" s="154"/>
      <c r="J185" s="507" t="str">
        <f>IF(I185="","",IF(VLOOKUP(I185,'G-7 Rivers Data'!$AG$4:$AI$9,2,FALSE)=0,"Spatial Data Missing ⚠",VLOOKUP(I185,'G-7 Rivers Data'!$AG$4:$AI$9,2,FALSE)))</f>
        <v/>
      </c>
      <c r="K185" s="499" t="str">
        <f>IF(I185="","",IF(VLOOKUP(I185,'G-7 Rivers Data'!$AG$4:$AI$9,3,FALSE)=0,"Spatial Data Missing ⚠",VLOOKUP(I185,'G-7 Rivers Data'!$AG$4:$AI$9,3,FALSE)))</f>
        <v/>
      </c>
      <c r="L185" s="498" t="str">
        <f>IFERROR(INDEX('G-7 Rivers Data'!$O$3:$O$7,MATCH(G185,'G-7 Rivers Data'!$N$3:$N$7,0)),"")</f>
        <v/>
      </c>
      <c r="M185" s="82"/>
      <c r="N185" s="195"/>
      <c r="O185" s="507" t="str">
        <f t="shared" si="13"/>
        <v/>
      </c>
      <c r="P185" s="521" t="str">
        <f t="shared" si="14"/>
        <v/>
      </c>
      <c r="Q185" s="564" t="str">
        <f>IFERROR(IF(P185="Check Data ⚠","Check Data ⚠",VLOOKUP(P185,'G-4 Temporal multipliers'!$A$4:$C$37,3,FALSE)),"")</f>
        <v/>
      </c>
      <c r="R185" s="498" t="str">
        <f>IF(C185="","",VLOOKUP(C185,'G-7 Rivers Data'!$B$4:$G$8,4,FALSE))</f>
        <v/>
      </c>
      <c r="S185" s="507" t="str">
        <f t="shared" si="15"/>
        <v/>
      </c>
      <c r="T185" s="540" t="str">
        <f t="shared" si="16"/>
        <v/>
      </c>
      <c r="U185" s="499" t="str">
        <f t="shared" si="17"/>
        <v/>
      </c>
      <c r="V185" s="71"/>
      <c r="W185" s="499" t="str">
        <f>IF(V185="","",IF(VLOOKUP(V185,'G-7 Rivers Data'!$AA$4:$AB$7,2,FALSE)=0,"Spatial Data Missing ⚠",VLOOKUP(V185,'G-7 Rivers Data'!$AA$4:$AB$7,2,FALSE)))</f>
        <v/>
      </c>
      <c r="X185" s="155"/>
      <c r="Y185" s="499" t="str">
        <f>IF(X185="","",IF(VLOOKUP(X185,'G-7 Rivers Data'!$AD$4:$AE$8,2,FALSE)=0,"Enrcoachment Data Missing ⚠",VLOOKUP(X185,'G-7 Rivers Data'!$AD$4:$AE$8,2,FALSE)))</f>
        <v/>
      </c>
      <c r="Z185" s="565" t="str">
        <f t="shared" si="18"/>
        <v/>
      </c>
      <c r="AA185" s="149"/>
      <c r="AB185" s="150"/>
      <c r="AH185" s="31" t="str">
        <f>IFERROR(INDEX('G-7 Rivers Data'!$AZ$3:$AZ$7,MATCH(C185,'G-7 Rivers Data'!$AY$3:$AY$7,0)),"")</f>
        <v/>
      </c>
    </row>
    <row r="186" spans="2:34" ht="14" x14ac:dyDescent="0.3">
      <c r="B186" s="141">
        <v>175</v>
      </c>
      <c r="C186" s="171"/>
      <c r="D186" s="172"/>
      <c r="E186" s="498" t="str">
        <f>IF(C186="","",VLOOKUP(C186,'G-7 Rivers Data'!$B$2:$G$8,2,FALSE))</f>
        <v/>
      </c>
      <c r="F186" s="499" t="str">
        <f>IFERROR(VLOOKUP(E186,'G-7 Rivers Data'!$C$4:$D$8,2,FALSE),"")</f>
        <v/>
      </c>
      <c r="G186" s="145"/>
      <c r="H186" s="499" t="str">
        <f>IFERROR(INDEX('G-7 Rivers Data'!$H$4:$L$8,MATCH(C186,'G-7 Rivers Data'!$B$4:$B$8,0),MATCH(G186,'G-7 Rivers Data'!$H$3:$L$3,0)),"")</f>
        <v/>
      </c>
      <c r="I186" s="154"/>
      <c r="J186" s="507" t="str">
        <f>IF(I186="","",IF(VLOOKUP(I186,'G-7 Rivers Data'!$AG$4:$AI$9,2,FALSE)=0,"Spatial Data Missing ⚠",VLOOKUP(I186,'G-7 Rivers Data'!$AG$4:$AI$9,2,FALSE)))</f>
        <v/>
      </c>
      <c r="K186" s="499" t="str">
        <f>IF(I186="","",IF(VLOOKUP(I186,'G-7 Rivers Data'!$AG$4:$AI$9,3,FALSE)=0,"Spatial Data Missing ⚠",VLOOKUP(I186,'G-7 Rivers Data'!$AG$4:$AI$9,3,FALSE)))</f>
        <v/>
      </c>
      <c r="L186" s="498" t="str">
        <f>IFERROR(INDEX('G-7 Rivers Data'!$O$3:$O$7,MATCH(G186,'G-7 Rivers Data'!$N$3:$N$7,0)),"")</f>
        <v/>
      </c>
      <c r="M186" s="82"/>
      <c r="N186" s="195"/>
      <c r="O186" s="507" t="str">
        <f t="shared" si="13"/>
        <v/>
      </c>
      <c r="P186" s="521" t="str">
        <f t="shared" si="14"/>
        <v/>
      </c>
      <c r="Q186" s="564" t="str">
        <f>IFERROR(IF(P186="Check Data ⚠","Check Data ⚠",VLOOKUP(P186,'G-4 Temporal multipliers'!$A$4:$C$37,3,FALSE)),"")</f>
        <v/>
      </c>
      <c r="R186" s="498" t="str">
        <f>IF(C186="","",VLOOKUP(C186,'G-7 Rivers Data'!$B$4:$G$8,4,FALSE))</f>
        <v/>
      </c>
      <c r="S186" s="507" t="str">
        <f t="shared" si="15"/>
        <v/>
      </c>
      <c r="T186" s="540" t="str">
        <f t="shared" si="16"/>
        <v/>
      </c>
      <c r="U186" s="499" t="str">
        <f t="shared" si="17"/>
        <v/>
      </c>
      <c r="V186" s="71"/>
      <c r="W186" s="499" t="str">
        <f>IF(V186="","",IF(VLOOKUP(V186,'G-7 Rivers Data'!$AA$4:$AB$7,2,FALSE)=0,"Spatial Data Missing ⚠",VLOOKUP(V186,'G-7 Rivers Data'!$AA$4:$AB$7,2,FALSE)))</f>
        <v/>
      </c>
      <c r="X186" s="155"/>
      <c r="Y186" s="499" t="str">
        <f>IF(X186="","",IF(VLOOKUP(X186,'G-7 Rivers Data'!$AD$4:$AE$8,2,FALSE)=0,"Enrcoachment Data Missing ⚠",VLOOKUP(X186,'G-7 Rivers Data'!$AD$4:$AE$8,2,FALSE)))</f>
        <v/>
      </c>
      <c r="Z186" s="565" t="str">
        <f t="shared" si="18"/>
        <v/>
      </c>
      <c r="AA186" s="149"/>
      <c r="AB186" s="150"/>
      <c r="AH186" s="31" t="str">
        <f>IFERROR(INDEX('G-7 Rivers Data'!$AZ$3:$AZ$7,MATCH(C186,'G-7 Rivers Data'!$AY$3:$AY$7,0)),"")</f>
        <v/>
      </c>
    </row>
    <row r="187" spans="2:34" ht="14" x14ac:dyDescent="0.3">
      <c r="B187" s="141">
        <v>176</v>
      </c>
      <c r="C187" s="171"/>
      <c r="D187" s="172"/>
      <c r="E187" s="498" t="str">
        <f>IF(C187="","",VLOOKUP(C187,'G-7 Rivers Data'!$B$2:$G$8,2,FALSE))</f>
        <v/>
      </c>
      <c r="F187" s="499" t="str">
        <f>IFERROR(VLOOKUP(E187,'G-7 Rivers Data'!$C$4:$D$8,2,FALSE),"")</f>
        <v/>
      </c>
      <c r="G187" s="145"/>
      <c r="H187" s="499" t="str">
        <f>IFERROR(INDEX('G-7 Rivers Data'!$H$4:$L$8,MATCH(C187,'G-7 Rivers Data'!$B$4:$B$8,0),MATCH(G187,'G-7 Rivers Data'!$H$3:$L$3,0)),"")</f>
        <v/>
      </c>
      <c r="I187" s="154"/>
      <c r="J187" s="507" t="str">
        <f>IF(I187="","",IF(VLOOKUP(I187,'G-7 Rivers Data'!$AG$4:$AI$9,2,FALSE)=0,"Spatial Data Missing ⚠",VLOOKUP(I187,'G-7 Rivers Data'!$AG$4:$AI$9,2,FALSE)))</f>
        <v/>
      </c>
      <c r="K187" s="499" t="str">
        <f>IF(I187="","",IF(VLOOKUP(I187,'G-7 Rivers Data'!$AG$4:$AI$9,3,FALSE)=0,"Spatial Data Missing ⚠",VLOOKUP(I187,'G-7 Rivers Data'!$AG$4:$AI$9,3,FALSE)))</f>
        <v/>
      </c>
      <c r="L187" s="498" t="str">
        <f>IFERROR(INDEX('G-7 Rivers Data'!$O$3:$O$7,MATCH(G187,'G-7 Rivers Data'!$N$3:$N$7,0)),"")</f>
        <v/>
      </c>
      <c r="M187" s="82"/>
      <c r="N187" s="195"/>
      <c r="O187" s="507" t="str">
        <f t="shared" si="13"/>
        <v/>
      </c>
      <c r="P187" s="521" t="str">
        <f t="shared" si="14"/>
        <v/>
      </c>
      <c r="Q187" s="564" t="str">
        <f>IFERROR(IF(P187="Check Data ⚠","Check Data ⚠",VLOOKUP(P187,'G-4 Temporal multipliers'!$A$4:$C$37,3,FALSE)),"")</f>
        <v/>
      </c>
      <c r="R187" s="498" t="str">
        <f>IF(C187="","",VLOOKUP(C187,'G-7 Rivers Data'!$B$4:$G$8,4,FALSE))</f>
        <v/>
      </c>
      <c r="S187" s="507" t="str">
        <f t="shared" si="15"/>
        <v/>
      </c>
      <c r="T187" s="540" t="str">
        <f t="shared" si="16"/>
        <v/>
      </c>
      <c r="U187" s="499" t="str">
        <f t="shared" si="17"/>
        <v/>
      </c>
      <c r="V187" s="71"/>
      <c r="W187" s="499" t="str">
        <f>IF(V187="","",IF(VLOOKUP(V187,'G-7 Rivers Data'!$AA$4:$AB$7,2,FALSE)=0,"Spatial Data Missing ⚠",VLOOKUP(V187,'G-7 Rivers Data'!$AA$4:$AB$7,2,FALSE)))</f>
        <v/>
      </c>
      <c r="X187" s="155"/>
      <c r="Y187" s="499" t="str">
        <f>IF(X187="","",IF(VLOOKUP(X187,'G-7 Rivers Data'!$AD$4:$AE$8,2,FALSE)=0,"Enrcoachment Data Missing ⚠",VLOOKUP(X187,'G-7 Rivers Data'!$AD$4:$AE$8,2,FALSE)))</f>
        <v/>
      </c>
      <c r="Z187" s="565" t="str">
        <f t="shared" si="18"/>
        <v/>
      </c>
      <c r="AA187" s="149"/>
      <c r="AB187" s="150"/>
      <c r="AH187" s="31" t="str">
        <f>IFERROR(INDEX('G-7 Rivers Data'!$AZ$3:$AZ$7,MATCH(C187,'G-7 Rivers Data'!$AY$3:$AY$7,0)),"")</f>
        <v/>
      </c>
    </row>
    <row r="188" spans="2:34" ht="14" x14ac:dyDescent="0.3">
      <c r="B188" s="141">
        <v>177</v>
      </c>
      <c r="C188" s="171"/>
      <c r="D188" s="172"/>
      <c r="E188" s="498" t="str">
        <f>IF(C188="","",VLOOKUP(C188,'G-7 Rivers Data'!$B$2:$G$8,2,FALSE))</f>
        <v/>
      </c>
      <c r="F188" s="499" t="str">
        <f>IFERROR(VLOOKUP(E188,'G-7 Rivers Data'!$C$4:$D$8,2,FALSE),"")</f>
        <v/>
      </c>
      <c r="G188" s="145"/>
      <c r="H188" s="499" t="str">
        <f>IFERROR(INDEX('G-7 Rivers Data'!$H$4:$L$8,MATCH(C188,'G-7 Rivers Data'!$B$4:$B$8,0),MATCH(G188,'G-7 Rivers Data'!$H$3:$L$3,0)),"")</f>
        <v/>
      </c>
      <c r="I188" s="154"/>
      <c r="J188" s="507" t="str">
        <f>IF(I188="","",IF(VLOOKUP(I188,'G-7 Rivers Data'!$AG$4:$AI$9,2,FALSE)=0,"Spatial Data Missing ⚠",VLOOKUP(I188,'G-7 Rivers Data'!$AG$4:$AI$9,2,FALSE)))</f>
        <v/>
      </c>
      <c r="K188" s="499" t="str">
        <f>IF(I188="","",IF(VLOOKUP(I188,'G-7 Rivers Data'!$AG$4:$AI$9,3,FALSE)=0,"Spatial Data Missing ⚠",VLOOKUP(I188,'G-7 Rivers Data'!$AG$4:$AI$9,3,FALSE)))</f>
        <v/>
      </c>
      <c r="L188" s="498" t="str">
        <f>IFERROR(INDEX('G-7 Rivers Data'!$O$3:$O$7,MATCH(G188,'G-7 Rivers Data'!$N$3:$N$7,0)),"")</f>
        <v/>
      </c>
      <c r="M188" s="82"/>
      <c r="N188" s="195"/>
      <c r="O188" s="507" t="str">
        <f t="shared" si="13"/>
        <v/>
      </c>
      <c r="P188" s="521" t="str">
        <f t="shared" si="14"/>
        <v/>
      </c>
      <c r="Q188" s="564" t="str">
        <f>IFERROR(IF(P188="Check Data ⚠","Check Data ⚠",VLOOKUP(P188,'G-4 Temporal multipliers'!$A$4:$C$37,3,FALSE)),"")</f>
        <v/>
      </c>
      <c r="R188" s="498" t="str">
        <f>IF(C188="","",VLOOKUP(C188,'G-7 Rivers Data'!$B$4:$G$8,4,FALSE))</f>
        <v/>
      </c>
      <c r="S188" s="507" t="str">
        <f t="shared" si="15"/>
        <v/>
      </c>
      <c r="T188" s="540" t="str">
        <f t="shared" si="16"/>
        <v/>
      </c>
      <c r="U188" s="499" t="str">
        <f t="shared" si="17"/>
        <v/>
      </c>
      <c r="V188" s="71"/>
      <c r="W188" s="499" t="str">
        <f>IF(V188="","",IF(VLOOKUP(V188,'G-7 Rivers Data'!$AA$4:$AB$7,2,FALSE)=0,"Spatial Data Missing ⚠",VLOOKUP(V188,'G-7 Rivers Data'!$AA$4:$AB$7,2,FALSE)))</f>
        <v/>
      </c>
      <c r="X188" s="155"/>
      <c r="Y188" s="499" t="str">
        <f>IF(X188="","",IF(VLOOKUP(X188,'G-7 Rivers Data'!$AD$4:$AE$8,2,FALSE)=0,"Enrcoachment Data Missing ⚠",VLOOKUP(X188,'G-7 Rivers Data'!$AD$4:$AE$8,2,FALSE)))</f>
        <v/>
      </c>
      <c r="Z188" s="565" t="str">
        <f t="shared" si="18"/>
        <v/>
      </c>
      <c r="AA188" s="149"/>
      <c r="AB188" s="150"/>
      <c r="AH188" s="31" t="str">
        <f>IFERROR(INDEX('G-7 Rivers Data'!$AZ$3:$AZ$7,MATCH(C188,'G-7 Rivers Data'!$AY$3:$AY$7,0)),"")</f>
        <v/>
      </c>
    </row>
    <row r="189" spans="2:34" ht="14" x14ac:dyDescent="0.3">
      <c r="B189" s="141">
        <v>178</v>
      </c>
      <c r="C189" s="171"/>
      <c r="D189" s="172"/>
      <c r="E189" s="498" t="str">
        <f>IF(C189="","",VLOOKUP(C189,'G-7 Rivers Data'!$B$2:$G$8,2,FALSE))</f>
        <v/>
      </c>
      <c r="F189" s="499" t="str">
        <f>IFERROR(VLOOKUP(E189,'G-7 Rivers Data'!$C$4:$D$8,2,FALSE),"")</f>
        <v/>
      </c>
      <c r="G189" s="145"/>
      <c r="H189" s="499" t="str">
        <f>IFERROR(INDEX('G-7 Rivers Data'!$H$4:$L$8,MATCH(C189,'G-7 Rivers Data'!$B$4:$B$8,0),MATCH(G189,'G-7 Rivers Data'!$H$3:$L$3,0)),"")</f>
        <v/>
      </c>
      <c r="I189" s="154"/>
      <c r="J189" s="507" t="str">
        <f>IF(I189="","",IF(VLOOKUP(I189,'G-7 Rivers Data'!$AG$4:$AI$9,2,FALSE)=0,"Spatial Data Missing ⚠",VLOOKUP(I189,'G-7 Rivers Data'!$AG$4:$AI$9,2,FALSE)))</f>
        <v/>
      </c>
      <c r="K189" s="499" t="str">
        <f>IF(I189="","",IF(VLOOKUP(I189,'G-7 Rivers Data'!$AG$4:$AI$9,3,FALSE)=0,"Spatial Data Missing ⚠",VLOOKUP(I189,'G-7 Rivers Data'!$AG$4:$AI$9,3,FALSE)))</f>
        <v/>
      </c>
      <c r="L189" s="498" t="str">
        <f>IFERROR(INDEX('G-7 Rivers Data'!$O$3:$O$7,MATCH(G189,'G-7 Rivers Data'!$N$3:$N$7,0)),"")</f>
        <v/>
      </c>
      <c r="M189" s="82"/>
      <c r="N189" s="195"/>
      <c r="O189" s="507" t="str">
        <f t="shared" si="13"/>
        <v/>
      </c>
      <c r="P189" s="521" t="str">
        <f t="shared" si="14"/>
        <v/>
      </c>
      <c r="Q189" s="564" t="str">
        <f>IFERROR(IF(P189="Check Data ⚠","Check Data ⚠",VLOOKUP(P189,'G-4 Temporal multipliers'!$A$4:$C$37,3,FALSE)),"")</f>
        <v/>
      </c>
      <c r="R189" s="498" t="str">
        <f>IF(C189="","",VLOOKUP(C189,'G-7 Rivers Data'!$B$4:$G$8,4,FALSE))</f>
        <v/>
      </c>
      <c r="S189" s="507" t="str">
        <f t="shared" si="15"/>
        <v/>
      </c>
      <c r="T189" s="540" t="str">
        <f t="shared" si="16"/>
        <v/>
      </c>
      <c r="U189" s="499" t="str">
        <f t="shared" si="17"/>
        <v/>
      </c>
      <c r="V189" s="71"/>
      <c r="W189" s="499" t="str">
        <f>IF(V189="","",IF(VLOOKUP(V189,'G-7 Rivers Data'!$AA$4:$AB$7,2,FALSE)=0,"Spatial Data Missing ⚠",VLOOKUP(V189,'G-7 Rivers Data'!$AA$4:$AB$7,2,FALSE)))</f>
        <v/>
      </c>
      <c r="X189" s="155"/>
      <c r="Y189" s="499" t="str">
        <f>IF(X189="","",IF(VLOOKUP(X189,'G-7 Rivers Data'!$AD$4:$AE$8,2,FALSE)=0,"Enrcoachment Data Missing ⚠",VLOOKUP(X189,'G-7 Rivers Data'!$AD$4:$AE$8,2,FALSE)))</f>
        <v/>
      </c>
      <c r="Z189" s="565" t="str">
        <f t="shared" si="18"/>
        <v/>
      </c>
      <c r="AA189" s="149"/>
      <c r="AB189" s="150"/>
      <c r="AH189" s="31" t="str">
        <f>IFERROR(INDEX('G-7 Rivers Data'!$AZ$3:$AZ$7,MATCH(C189,'G-7 Rivers Data'!$AY$3:$AY$7,0)),"")</f>
        <v/>
      </c>
    </row>
    <row r="190" spans="2:34" ht="14" x14ac:dyDescent="0.3">
      <c r="B190" s="141">
        <v>179</v>
      </c>
      <c r="C190" s="171"/>
      <c r="D190" s="172"/>
      <c r="E190" s="498" t="str">
        <f>IF(C190="","",VLOOKUP(C190,'G-7 Rivers Data'!$B$2:$G$8,2,FALSE))</f>
        <v/>
      </c>
      <c r="F190" s="499" t="str">
        <f>IFERROR(VLOOKUP(E190,'G-7 Rivers Data'!$C$4:$D$8,2,FALSE),"")</f>
        <v/>
      </c>
      <c r="G190" s="145"/>
      <c r="H190" s="499" t="str">
        <f>IFERROR(INDEX('G-7 Rivers Data'!$H$4:$L$8,MATCH(C190,'G-7 Rivers Data'!$B$4:$B$8,0),MATCH(G190,'G-7 Rivers Data'!$H$3:$L$3,0)),"")</f>
        <v/>
      </c>
      <c r="I190" s="154"/>
      <c r="J190" s="507" t="str">
        <f>IF(I190="","",IF(VLOOKUP(I190,'G-7 Rivers Data'!$AG$4:$AI$9,2,FALSE)=0,"Spatial Data Missing ⚠",VLOOKUP(I190,'G-7 Rivers Data'!$AG$4:$AI$9,2,FALSE)))</f>
        <v/>
      </c>
      <c r="K190" s="499" t="str">
        <f>IF(I190="","",IF(VLOOKUP(I190,'G-7 Rivers Data'!$AG$4:$AI$9,3,FALSE)=0,"Spatial Data Missing ⚠",VLOOKUP(I190,'G-7 Rivers Data'!$AG$4:$AI$9,3,FALSE)))</f>
        <v/>
      </c>
      <c r="L190" s="498" t="str">
        <f>IFERROR(INDEX('G-7 Rivers Data'!$O$3:$O$7,MATCH(G190,'G-7 Rivers Data'!$N$3:$N$7,0)),"")</f>
        <v/>
      </c>
      <c r="M190" s="82"/>
      <c r="N190" s="195"/>
      <c r="O190" s="507" t="str">
        <f t="shared" si="13"/>
        <v/>
      </c>
      <c r="P190" s="521" t="str">
        <f t="shared" si="14"/>
        <v/>
      </c>
      <c r="Q190" s="564" t="str">
        <f>IFERROR(IF(P190="Check Data ⚠","Check Data ⚠",VLOOKUP(P190,'G-4 Temporal multipliers'!$A$4:$C$37,3,FALSE)),"")</f>
        <v/>
      </c>
      <c r="R190" s="498" t="str">
        <f>IF(C190="","",VLOOKUP(C190,'G-7 Rivers Data'!$B$4:$G$8,4,FALSE))</f>
        <v/>
      </c>
      <c r="S190" s="507" t="str">
        <f t="shared" si="15"/>
        <v/>
      </c>
      <c r="T190" s="540" t="str">
        <f t="shared" si="16"/>
        <v/>
      </c>
      <c r="U190" s="499" t="str">
        <f t="shared" si="17"/>
        <v/>
      </c>
      <c r="V190" s="71"/>
      <c r="W190" s="499" t="str">
        <f>IF(V190="","",IF(VLOOKUP(V190,'G-7 Rivers Data'!$AA$4:$AB$7,2,FALSE)=0,"Spatial Data Missing ⚠",VLOOKUP(V190,'G-7 Rivers Data'!$AA$4:$AB$7,2,FALSE)))</f>
        <v/>
      </c>
      <c r="X190" s="155"/>
      <c r="Y190" s="499" t="str">
        <f>IF(X190="","",IF(VLOOKUP(X190,'G-7 Rivers Data'!$AD$4:$AE$8,2,FALSE)=0,"Enrcoachment Data Missing ⚠",VLOOKUP(X190,'G-7 Rivers Data'!$AD$4:$AE$8,2,FALSE)))</f>
        <v/>
      </c>
      <c r="Z190" s="565" t="str">
        <f t="shared" si="18"/>
        <v/>
      </c>
      <c r="AA190" s="149"/>
      <c r="AB190" s="150"/>
      <c r="AH190" s="31" t="str">
        <f>IFERROR(INDEX('G-7 Rivers Data'!$AZ$3:$AZ$7,MATCH(C190,'G-7 Rivers Data'!$AY$3:$AY$7,0)),"")</f>
        <v/>
      </c>
    </row>
    <row r="191" spans="2:34" ht="14" x14ac:dyDescent="0.3">
      <c r="B191" s="141">
        <v>180</v>
      </c>
      <c r="C191" s="171"/>
      <c r="D191" s="172"/>
      <c r="E191" s="498" t="str">
        <f>IF(C191="","",VLOOKUP(C191,'G-7 Rivers Data'!$B$2:$G$8,2,FALSE))</f>
        <v/>
      </c>
      <c r="F191" s="499" t="str">
        <f>IFERROR(VLOOKUP(E191,'G-7 Rivers Data'!$C$4:$D$8,2,FALSE),"")</f>
        <v/>
      </c>
      <c r="G191" s="145"/>
      <c r="H191" s="499" t="str">
        <f>IFERROR(INDEX('G-7 Rivers Data'!$H$4:$L$8,MATCH(C191,'G-7 Rivers Data'!$B$4:$B$8,0),MATCH(G191,'G-7 Rivers Data'!$H$3:$L$3,0)),"")</f>
        <v/>
      </c>
      <c r="I191" s="154"/>
      <c r="J191" s="507" t="str">
        <f>IF(I191="","",IF(VLOOKUP(I191,'G-7 Rivers Data'!$AG$4:$AI$9,2,FALSE)=0,"Spatial Data Missing ⚠",VLOOKUP(I191,'G-7 Rivers Data'!$AG$4:$AI$9,2,FALSE)))</f>
        <v/>
      </c>
      <c r="K191" s="499" t="str">
        <f>IF(I191="","",IF(VLOOKUP(I191,'G-7 Rivers Data'!$AG$4:$AI$9,3,FALSE)=0,"Spatial Data Missing ⚠",VLOOKUP(I191,'G-7 Rivers Data'!$AG$4:$AI$9,3,FALSE)))</f>
        <v/>
      </c>
      <c r="L191" s="498" t="str">
        <f>IFERROR(INDEX('G-7 Rivers Data'!$O$3:$O$7,MATCH(G191,'G-7 Rivers Data'!$N$3:$N$7,0)),"")</f>
        <v/>
      </c>
      <c r="M191" s="82"/>
      <c r="N191" s="195"/>
      <c r="O191" s="507" t="str">
        <f t="shared" si="13"/>
        <v/>
      </c>
      <c r="P191" s="521" t="str">
        <f t="shared" si="14"/>
        <v/>
      </c>
      <c r="Q191" s="564" t="str">
        <f>IFERROR(IF(P191="Check Data ⚠","Check Data ⚠",VLOOKUP(P191,'G-4 Temporal multipliers'!$A$4:$C$37,3,FALSE)),"")</f>
        <v/>
      </c>
      <c r="R191" s="498" t="str">
        <f>IF(C191="","",VLOOKUP(C191,'G-7 Rivers Data'!$B$4:$G$8,4,FALSE))</f>
        <v/>
      </c>
      <c r="S191" s="507" t="str">
        <f t="shared" si="15"/>
        <v/>
      </c>
      <c r="T191" s="540" t="str">
        <f t="shared" si="16"/>
        <v/>
      </c>
      <c r="U191" s="499" t="str">
        <f t="shared" si="17"/>
        <v/>
      </c>
      <c r="V191" s="71"/>
      <c r="W191" s="499" t="str">
        <f>IF(V191="","",IF(VLOOKUP(V191,'G-7 Rivers Data'!$AA$4:$AB$7,2,FALSE)=0,"Spatial Data Missing ⚠",VLOOKUP(V191,'G-7 Rivers Data'!$AA$4:$AB$7,2,FALSE)))</f>
        <v/>
      </c>
      <c r="X191" s="155"/>
      <c r="Y191" s="499" t="str">
        <f>IF(X191="","",IF(VLOOKUP(X191,'G-7 Rivers Data'!$AD$4:$AE$8,2,FALSE)=0,"Enrcoachment Data Missing ⚠",VLOOKUP(X191,'G-7 Rivers Data'!$AD$4:$AE$8,2,FALSE)))</f>
        <v/>
      </c>
      <c r="Z191" s="565" t="str">
        <f t="shared" si="18"/>
        <v/>
      </c>
      <c r="AA191" s="149"/>
      <c r="AB191" s="150"/>
      <c r="AH191" s="31" t="str">
        <f>IFERROR(INDEX('G-7 Rivers Data'!$AZ$3:$AZ$7,MATCH(C191,'G-7 Rivers Data'!$AY$3:$AY$7,0)),"")</f>
        <v/>
      </c>
    </row>
    <row r="192" spans="2:34" ht="14" x14ac:dyDescent="0.3">
      <c r="B192" s="141">
        <v>181</v>
      </c>
      <c r="C192" s="171"/>
      <c r="D192" s="172"/>
      <c r="E192" s="498" t="str">
        <f>IF(C192="","",VLOOKUP(C192,'G-7 Rivers Data'!$B$2:$G$8,2,FALSE))</f>
        <v/>
      </c>
      <c r="F192" s="499" t="str">
        <f>IFERROR(VLOOKUP(E192,'G-7 Rivers Data'!$C$4:$D$8,2,FALSE),"")</f>
        <v/>
      </c>
      <c r="G192" s="145"/>
      <c r="H192" s="499" t="str">
        <f>IFERROR(INDEX('G-7 Rivers Data'!$H$4:$L$8,MATCH(C192,'G-7 Rivers Data'!$B$4:$B$8,0),MATCH(G192,'G-7 Rivers Data'!$H$3:$L$3,0)),"")</f>
        <v/>
      </c>
      <c r="I192" s="154"/>
      <c r="J192" s="507" t="str">
        <f>IF(I192="","",IF(VLOOKUP(I192,'G-7 Rivers Data'!$AG$4:$AI$9,2,FALSE)=0,"Spatial Data Missing ⚠",VLOOKUP(I192,'G-7 Rivers Data'!$AG$4:$AI$9,2,FALSE)))</f>
        <v/>
      </c>
      <c r="K192" s="499" t="str">
        <f>IF(I192="","",IF(VLOOKUP(I192,'G-7 Rivers Data'!$AG$4:$AI$9,3,FALSE)=0,"Spatial Data Missing ⚠",VLOOKUP(I192,'G-7 Rivers Data'!$AG$4:$AI$9,3,FALSE)))</f>
        <v/>
      </c>
      <c r="L192" s="498" t="str">
        <f>IFERROR(INDEX('G-7 Rivers Data'!$O$3:$O$7,MATCH(G192,'G-7 Rivers Data'!$N$3:$N$7,0)),"")</f>
        <v/>
      </c>
      <c r="M192" s="82"/>
      <c r="N192" s="195"/>
      <c r="O192" s="507" t="str">
        <f t="shared" si="13"/>
        <v/>
      </c>
      <c r="P192" s="521" t="str">
        <f t="shared" si="14"/>
        <v/>
      </c>
      <c r="Q192" s="564" t="str">
        <f>IFERROR(IF(P192="Check Data ⚠","Check Data ⚠",VLOOKUP(P192,'G-4 Temporal multipliers'!$A$4:$C$37,3,FALSE)),"")</f>
        <v/>
      </c>
      <c r="R192" s="498" t="str">
        <f>IF(C192="","",VLOOKUP(C192,'G-7 Rivers Data'!$B$4:$G$8,4,FALSE))</f>
        <v/>
      </c>
      <c r="S192" s="507" t="str">
        <f t="shared" si="15"/>
        <v/>
      </c>
      <c r="T192" s="540" t="str">
        <f t="shared" si="16"/>
        <v/>
      </c>
      <c r="U192" s="499" t="str">
        <f t="shared" si="17"/>
        <v/>
      </c>
      <c r="V192" s="71"/>
      <c r="W192" s="499" t="str">
        <f>IF(V192="","",IF(VLOOKUP(V192,'G-7 Rivers Data'!$AA$4:$AB$7,2,FALSE)=0,"Spatial Data Missing ⚠",VLOOKUP(V192,'G-7 Rivers Data'!$AA$4:$AB$7,2,FALSE)))</f>
        <v/>
      </c>
      <c r="X192" s="155"/>
      <c r="Y192" s="499" t="str">
        <f>IF(X192="","",IF(VLOOKUP(X192,'G-7 Rivers Data'!$AD$4:$AE$8,2,FALSE)=0,"Enrcoachment Data Missing ⚠",VLOOKUP(X192,'G-7 Rivers Data'!$AD$4:$AE$8,2,FALSE)))</f>
        <v/>
      </c>
      <c r="Z192" s="565" t="str">
        <f t="shared" si="18"/>
        <v/>
      </c>
      <c r="AA192" s="149"/>
      <c r="AB192" s="150"/>
      <c r="AH192" s="31" t="str">
        <f>IFERROR(INDEX('G-7 Rivers Data'!$AZ$3:$AZ$7,MATCH(C192,'G-7 Rivers Data'!$AY$3:$AY$7,0)),"")</f>
        <v/>
      </c>
    </row>
    <row r="193" spans="2:34" ht="14" x14ac:dyDescent="0.3">
      <c r="B193" s="141">
        <v>182</v>
      </c>
      <c r="C193" s="171"/>
      <c r="D193" s="172"/>
      <c r="E193" s="498" t="str">
        <f>IF(C193="","",VLOOKUP(C193,'G-7 Rivers Data'!$B$2:$G$8,2,FALSE))</f>
        <v/>
      </c>
      <c r="F193" s="499" t="str">
        <f>IFERROR(VLOOKUP(E193,'G-7 Rivers Data'!$C$4:$D$8,2,FALSE),"")</f>
        <v/>
      </c>
      <c r="G193" s="145"/>
      <c r="H193" s="499" t="str">
        <f>IFERROR(INDEX('G-7 Rivers Data'!$H$4:$L$8,MATCH(C193,'G-7 Rivers Data'!$B$4:$B$8,0),MATCH(G193,'G-7 Rivers Data'!$H$3:$L$3,0)),"")</f>
        <v/>
      </c>
      <c r="I193" s="154"/>
      <c r="J193" s="507" t="str">
        <f>IF(I193="","",IF(VLOOKUP(I193,'G-7 Rivers Data'!$AG$4:$AI$9,2,FALSE)=0,"Spatial Data Missing ⚠",VLOOKUP(I193,'G-7 Rivers Data'!$AG$4:$AI$9,2,FALSE)))</f>
        <v/>
      </c>
      <c r="K193" s="499" t="str">
        <f>IF(I193="","",IF(VLOOKUP(I193,'G-7 Rivers Data'!$AG$4:$AI$9,3,FALSE)=0,"Spatial Data Missing ⚠",VLOOKUP(I193,'G-7 Rivers Data'!$AG$4:$AI$9,3,FALSE)))</f>
        <v/>
      </c>
      <c r="L193" s="498" t="str">
        <f>IFERROR(INDEX('G-7 Rivers Data'!$O$3:$O$7,MATCH(G193,'G-7 Rivers Data'!$N$3:$N$7,0)),"")</f>
        <v/>
      </c>
      <c r="M193" s="82"/>
      <c r="N193" s="195"/>
      <c r="O193" s="507" t="str">
        <f t="shared" si="13"/>
        <v/>
      </c>
      <c r="P193" s="521" t="str">
        <f t="shared" si="14"/>
        <v/>
      </c>
      <c r="Q193" s="564" t="str">
        <f>IFERROR(IF(P193="Check Data ⚠","Check Data ⚠",VLOOKUP(P193,'G-4 Temporal multipliers'!$A$4:$C$37,3,FALSE)),"")</f>
        <v/>
      </c>
      <c r="R193" s="498" t="str">
        <f>IF(C193="","",VLOOKUP(C193,'G-7 Rivers Data'!$B$4:$G$8,4,FALSE))</f>
        <v/>
      </c>
      <c r="S193" s="507" t="str">
        <f t="shared" si="15"/>
        <v/>
      </c>
      <c r="T193" s="540" t="str">
        <f t="shared" si="16"/>
        <v/>
      </c>
      <c r="U193" s="499" t="str">
        <f t="shared" si="17"/>
        <v/>
      </c>
      <c r="V193" s="71"/>
      <c r="W193" s="499" t="str">
        <f>IF(V193="","",IF(VLOOKUP(V193,'G-7 Rivers Data'!$AA$4:$AB$7,2,FALSE)=0,"Spatial Data Missing ⚠",VLOOKUP(V193,'G-7 Rivers Data'!$AA$4:$AB$7,2,FALSE)))</f>
        <v/>
      </c>
      <c r="X193" s="155"/>
      <c r="Y193" s="499" t="str">
        <f>IF(X193="","",IF(VLOOKUP(X193,'G-7 Rivers Data'!$AD$4:$AE$8,2,FALSE)=0,"Enrcoachment Data Missing ⚠",VLOOKUP(X193,'G-7 Rivers Data'!$AD$4:$AE$8,2,FALSE)))</f>
        <v/>
      </c>
      <c r="Z193" s="565" t="str">
        <f t="shared" si="18"/>
        <v/>
      </c>
      <c r="AA193" s="149"/>
      <c r="AB193" s="150"/>
      <c r="AH193" s="31" t="str">
        <f>IFERROR(INDEX('G-7 Rivers Data'!$AZ$3:$AZ$7,MATCH(C193,'G-7 Rivers Data'!$AY$3:$AY$7,0)),"")</f>
        <v/>
      </c>
    </row>
    <row r="194" spans="2:34" ht="14" x14ac:dyDescent="0.3">
      <c r="B194" s="141">
        <v>183</v>
      </c>
      <c r="C194" s="171"/>
      <c r="D194" s="172"/>
      <c r="E194" s="498" t="str">
        <f>IF(C194="","",VLOOKUP(C194,'G-7 Rivers Data'!$B$2:$G$8,2,FALSE))</f>
        <v/>
      </c>
      <c r="F194" s="499" t="str">
        <f>IFERROR(VLOOKUP(E194,'G-7 Rivers Data'!$C$4:$D$8,2,FALSE),"")</f>
        <v/>
      </c>
      <c r="G194" s="145"/>
      <c r="H194" s="499" t="str">
        <f>IFERROR(INDEX('G-7 Rivers Data'!$H$4:$L$8,MATCH(C194,'G-7 Rivers Data'!$B$4:$B$8,0),MATCH(G194,'G-7 Rivers Data'!$H$3:$L$3,0)),"")</f>
        <v/>
      </c>
      <c r="I194" s="154"/>
      <c r="J194" s="507" t="str">
        <f>IF(I194="","",IF(VLOOKUP(I194,'G-7 Rivers Data'!$AG$4:$AI$9,2,FALSE)=0,"Spatial Data Missing ⚠",VLOOKUP(I194,'G-7 Rivers Data'!$AG$4:$AI$9,2,FALSE)))</f>
        <v/>
      </c>
      <c r="K194" s="499" t="str">
        <f>IF(I194="","",IF(VLOOKUP(I194,'G-7 Rivers Data'!$AG$4:$AI$9,3,FALSE)=0,"Spatial Data Missing ⚠",VLOOKUP(I194,'G-7 Rivers Data'!$AG$4:$AI$9,3,FALSE)))</f>
        <v/>
      </c>
      <c r="L194" s="498" t="str">
        <f>IFERROR(INDEX('G-7 Rivers Data'!$O$3:$O$7,MATCH(G194,'G-7 Rivers Data'!$N$3:$N$7,0)),"")</f>
        <v/>
      </c>
      <c r="M194" s="82"/>
      <c r="N194" s="195"/>
      <c r="O194" s="507" t="str">
        <f t="shared" si="13"/>
        <v/>
      </c>
      <c r="P194" s="521" t="str">
        <f t="shared" si="14"/>
        <v/>
      </c>
      <c r="Q194" s="564" t="str">
        <f>IFERROR(IF(P194="Check Data ⚠","Check Data ⚠",VLOOKUP(P194,'G-4 Temporal multipliers'!$A$4:$C$37,3,FALSE)),"")</f>
        <v/>
      </c>
      <c r="R194" s="498" t="str">
        <f>IF(C194="","",VLOOKUP(C194,'G-7 Rivers Data'!$B$4:$G$8,4,FALSE))</f>
        <v/>
      </c>
      <c r="S194" s="507" t="str">
        <f t="shared" si="15"/>
        <v/>
      </c>
      <c r="T194" s="540" t="str">
        <f t="shared" si="16"/>
        <v/>
      </c>
      <c r="U194" s="499" t="str">
        <f t="shared" si="17"/>
        <v/>
      </c>
      <c r="V194" s="71"/>
      <c r="W194" s="499" t="str">
        <f>IF(V194="","",IF(VLOOKUP(V194,'G-7 Rivers Data'!$AA$4:$AB$7,2,FALSE)=0,"Spatial Data Missing ⚠",VLOOKUP(V194,'G-7 Rivers Data'!$AA$4:$AB$7,2,FALSE)))</f>
        <v/>
      </c>
      <c r="X194" s="155"/>
      <c r="Y194" s="499" t="str">
        <f>IF(X194="","",IF(VLOOKUP(X194,'G-7 Rivers Data'!$AD$4:$AE$8,2,FALSE)=0,"Enrcoachment Data Missing ⚠",VLOOKUP(X194,'G-7 Rivers Data'!$AD$4:$AE$8,2,FALSE)))</f>
        <v/>
      </c>
      <c r="Z194" s="565" t="str">
        <f t="shared" si="18"/>
        <v/>
      </c>
      <c r="AA194" s="149"/>
      <c r="AB194" s="150"/>
      <c r="AH194" s="31" t="str">
        <f>IFERROR(INDEX('G-7 Rivers Data'!$AZ$3:$AZ$7,MATCH(C194,'G-7 Rivers Data'!$AY$3:$AY$7,0)),"")</f>
        <v/>
      </c>
    </row>
    <row r="195" spans="2:34" ht="14" x14ac:dyDescent="0.3">
      <c r="B195" s="141">
        <v>184</v>
      </c>
      <c r="C195" s="171"/>
      <c r="D195" s="172"/>
      <c r="E195" s="498" t="str">
        <f>IF(C195="","",VLOOKUP(C195,'G-7 Rivers Data'!$B$2:$G$8,2,FALSE))</f>
        <v/>
      </c>
      <c r="F195" s="499" t="str">
        <f>IFERROR(VLOOKUP(E195,'G-7 Rivers Data'!$C$4:$D$8,2,FALSE),"")</f>
        <v/>
      </c>
      <c r="G195" s="145"/>
      <c r="H195" s="499" t="str">
        <f>IFERROR(INDEX('G-7 Rivers Data'!$H$4:$L$8,MATCH(C195,'G-7 Rivers Data'!$B$4:$B$8,0),MATCH(G195,'G-7 Rivers Data'!$H$3:$L$3,0)),"")</f>
        <v/>
      </c>
      <c r="I195" s="154"/>
      <c r="J195" s="507" t="str">
        <f>IF(I195="","",IF(VLOOKUP(I195,'G-7 Rivers Data'!$AG$4:$AI$9,2,FALSE)=0,"Spatial Data Missing ⚠",VLOOKUP(I195,'G-7 Rivers Data'!$AG$4:$AI$9,2,FALSE)))</f>
        <v/>
      </c>
      <c r="K195" s="499" t="str">
        <f>IF(I195="","",IF(VLOOKUP(I195,'G-7 Rivers Data'!$AG$4:$AI$9,3,FALSE)=0,"Spatial Data Missing ⚠",VLOOKUP(I195,'G-7 Rivers Data'!$AG$4:$AI$9,3,FALSE)))</f>
        <v/>
      </c>
      <c r="L195" s="498" t="str">
        <f>IFERROR(INDEX('G-7 Rivers Data'!$O$3:$O$7,MATCH(G195,'G-7 Rivers Data'!$N$3:$N$7,0)),"")</f>
        <v/>
      </c>
      <c r="M195" s="82"/>
      <c r="N195" s="195"/>
      <c r="O195" s="507" t="str">
        <f t="shared" si="13"/>
        <v/>
      </c>
      <c r="P195" s="521" t="str">
        <f t="shared" si="14"/>
        <v/>
      </c>
      <c r="Q195" s="564" t="str">
        <f>IFERROR(IF(P195="Check Data ⚠","Check Data ⚠",VLOOKUP(P195,'G-4 Temporal multipliers'!$A$4:$C$37,3,FALSE)),"")</f>
        <v/>
      </c>
      <c r="R195" s="498" t="str">
        <f>IF(C195="","",VLOOKUP(C195,'G-7 Rivers Data'!$B$4:$G$8,4,FALSE))</f>
        <v/>
      </c>
      <c r="S195" s="507" t="str">
        <f t="shared" si="15"/>
        <v/>
      </c>
      <c r="T195" s="540" t="str">
        <f t="shared" si="16"/>
        <v/>
      </c>
      <c r="U195" s="499" t="str">
        <f t="shared" si="17"/>
        <v/>
      </c>
      <c r="V195" s="71"/>
      <c r="W195" s="499" t="str">
        <f>IF(V195="","",IF(VLOOKUP(V195,'G-7 Rivers Data'!$AA$4:$AB$7,2,FALSE)=0,"Spatial Data Missing ⚠",VLOOKUP(V195,'G-7 Rivers Data'!$AA$4:$AB$7,2,FALSE)))</f>
        <v/>
      </c>
      <c r="X195" s="155"/>
      <c r="Y195" s="499" t="str">
        <f>IF(X195="","",IF(VLOOKUP(X195,'G-7 Rivers Data'!$AD$4:$AE$8,2,FALSE)=0,"Enrcoachment Data Missing ⚠",VLOOKUP(X195,'G-7 Rivers Data'!$AD$4:$AE$8,2,FALSE)))</f>
        <v/>
      </c>
      <c r="Z195" s="565" t="str">
        <f t="shared" si="18"/>
        <v/>
      </c>
      <c r="AA195" s="149"/>
      <c r="AB195" s="150"/>
      <c r="AH195" s="31" t="str">
        <f>IFERROR(INDEX('G-7 Rivers Data'!$AZ$3:$AZ$7,MATCH(C195,'G-7 Rivers Data'!$AY$3:$AY$7,0)),"")</f>
        <v/>
      </c>
    </row>
    <row r="196" spans="2:34" ht="14" x14ac:dyDescent="0.3">
      <c r="B196" s="141">
        <v>185</v>
      </c>
      <c r="C196" s="171"/>
      <c r="D196" s="172"/>
      <c r="E196" s="498" t="str">
        <f>IF(C196="","",VLOOKUP(C196,'G-7 Rivers Data'!$B$2:$G$8,2,FALSE))</f>
        <v/>
      </c>
      <c r="F196" s="499" t="str">
        <f>IFERROR(VLOOKUP(E196,'G-7 Rivers Data'!$C$4:$D$8,2,FALSE),"")</f>
        <v/>
      </c>
      <c r="G196" s="145"/>
      <c r="H196" s="499" t="str">
        <f>IFERROR(INDEX('G-7 Rivers Data'!$H$4:$L$8,MATCH(C196,'G-7 Rivers Data'!$B$4:$B$8,0),MATCH(G196,'G-7 Rivers Data'!$H$3:$L$3,0)),"")</f>
        <v/>
      </c>
      <c r="I196" s="154"/>
      <c r="J196" s="507" t="str">
        <f>IF(I196="","",IF(VLOOKUP(I196,'G-7 Rivers Data'!$AG$4:$AI$9,2,FALSE)=0,"Spatial Data Missing ⚠",VLOOKUP(I196,'G-7 Rivers Data'!$AG$4:$AI$9,2,FALSE)))</f>
        <v/>
      </c>
      <c r="K196" s="499" t="str">
        <f>IF(I196="","",IF(VLOOKUP(I196,'G-7 Rivers Data'!$AG$4:$AI$9,3,FALSE)=0,"Spatial Data Missing ⚠",VLOOKUP(I196,'G-7 Rivers Data'!$AG$4:$AI$9,3,FALSE)))</f>
        <v/>
      </c>
      <c r="L196" s="498" t="str">
        <f>IFERROR(INDEX('G-7 Rivers Data'!$O$3:$O$7,MATCH(G196,'G-7 Rivers Data'!$N$3:$N$7,0)),"")</f>
        <v/>
      </c>
      <c r="M196" s="82"/>
      <c r="N196" s="195"/>
      <c r="O196" s="507" t="str">
        <f t="shared" si="13"/>
        <v/>
      </c>
      <c r="P196" s="521" t="str">
        <f t="shared" si="14"/>
        <v/>
      </c>
      <c r="Q196" s="564" t="str">
        <f>IFERROR(IF(P196="Check Data ⚠","Check Data ⚠",VLOOKUP(P196,'G-4 Temporal multipliers'!$A$4:$C$37,3,FALSE)),"")</f>
        <v/>
      </c>
      <c r="R196" s="498" t="str">
        <f>IF(C196="","",VLOOKUP(C196,'G-7 Rivers Data'!$B$4:$G$8,4,FALSE))</f>
        <v/>
      </c>
      <c r="S196" s="507" t="str">
        <f t="shared" si="15"/>
        <v/>
      </c>
      <c r="T196" s="540" t="str">
        <f t="shared" si="16"/>
        <v/>
      </c>
      <c r="U196" s="499" t="str">
        <f t="shared" si="17"/>
        <v/>
      </c>
      <c r="V196" s="71"/>
      <c r="W196" s="499" t="str">
        <f>IF(V196="","",IF(VLOOKUP(V196,'G-7 Rivers Data'!$AA$4:$AB$7,2,FALSE)=0,"Spatial Data Missing ⚠",VLOOKUP(V196,'G-7 Rivers Data'!$AA$4:$AB$7,2,FALSE)))</f>
        <v/>
      </c>
      <c r="X196" s="155"/>
      <c r="Y196" s="499" t="str">
        <f>IF(X196="","",IF(VLOOKUP(X196,'G-7 Rivers Data'!$AD$4:$AE$8,2,FALSE)=0,"Enrcoachment Data Missing ⚠",VLOOKUP(X196,'G-7 Rivers Data'!$AD$4:$AE$8,2,FALSE)))</f>
        <v/>
      </c>
      <c r="Z196" s="565" t="str">
        <f t="shared" si="18"/>
        <v/>
      </c>
      <c r="AA196" s="149"/>
      <c r="AB196" s="150"/>
      <c r="AH196" s="31" t="str">
        <f>IFERROR(INDEX('G-7 Rivers Data'!$AZ$3:$AZ$7,MATCH(C196,'G-7 Rivers Data'!$AY$3:$AY$7,0)),"")</f>
        <v/>
      </c>
    </row>
    <row r="197" spans="2:34" ht="14" x14ac:dyDescent="0.3">
      <c r="B197" s="141">
        <v>186</v>
      </c>
      <c r="C197" s="171"/>
      <c r="D197" s="172"/>
      <c r="E197" s="498" t="str">
        <f>IF(C197="","",VLOOKUP(C197,'G-7 Rivers Data'!$B$2:$G$8,2,FALSE))</f>
        <v/>
      </c>
      <c r="F197" s="499" t="str">
        <f>IFERROR(VLOOKUP(E197,'G-7 Rivers Data'!$C$4:$D$8,2,FALSE),"")</f>
        <v/>
      </c>
      <c r="G197" s="145"/>
      <c r="H197" s="499" t="str">
        <f>IFERROR(INDEX('G-7 Rivers Data'!$H$4:$L$8,MATCH(C197,'G-7 Rivers Data'!$B$4:$B$8,0),MATCH(G197,'G-7 Rivers Data'!$H$3:$L$3,0)),"")</f>
        <v/>
      </c>
      <c r="I197" s="154"/>
      <c r="J197" s="507" t="str">
        <f>IF(I197="","",IF(VLOOKUP(I197,'G-7 Rivers Data'!$AG$4:$AI$9,2,FALSE)=0,"Spatial Data Missing ⚠",VLOOKUP(I197,'G-7 Rivers Data'!$AG$4:$AI$9,2,FALSE)))</f>
        <v/>
      </c>
      <c r="K197" s="499" t="str">
        <f>IF(I197="","",IF(VLOOKUP(I197,'G-7 Rivers Data'!$AG$4:$AI$9,3,FALSE)=0,"Spatial Data Missing ⚠",VLOOKUP(I197,'G-7 Rivers Data'!$AG$4:$AI$9,3,FALSE)))</f>
        <v/>
      </c>
      <c r="L197" s="498" t="str">
        <f>IFERROR(INDEX('G-7 Rivers Data'!$O$3:$O$7,MATCH(G197,'G-7 Rivers Data'!$N$3:$N$7,0)),"")</f>
        <v/>
      </c>
      <c r="M197" s="82"/>
      <c r="N197" s="195"/>
      <c r="O197" s="507" t="str">
        <f t="shared" si="13"/>
        <v/>
      </c>
      <c r="P197" s="521" t="str">
        <f t="shared" si="14"/>
        <v/>
      </c>
      <c r="Q197" s="564" t="str">
        <f>IFERROR(IF(P197="Check Data ⚠","Check Data ⚠",VLOOKUP(P197,'G-4 Temporal multipliers'!$A$4:$C$37,3,FALSE)),"")</f>
        <v/>
      </c>
      <c r="R197" s="498" t="str">
        <f>IF(C197="","",VLOOKUP(C197,'G-7 Rivers Data'!$B$4:$G$8,4,FALSE))</f>
        <v/>
      </c>
      <c r="S197" s="507" t="str">
        <f t="shared" si="15"/>
        <v/>
      </c>
      <c r="T197" s="540" t="str">
        <f t="shared" si="16"/>
        <v/>
      </c>
      <c r="U197" s="499" t="str">
        <f t="shared" si="17"/>
        <v/>
      </c>
      <c r="V197" s="71"/>
      <c r="W197" s="499" t="str">
        <f>IF(V197="","",IF(VLOOKUP(V197,'G-7 Rivers Data'!$AA$4:$AB$7,2,FALSE)=0,"Spatial Data Missing ⚠",VLOOKUP(V197,'G-7 Rivers Data'!$AA$4:$AB$7,2,FALSE)))</f>
        <v/>
      </c>
      <c r="X197" s="155"/>
      <c r="Y197" s="499" t="str">
        <f>IF(X197="","",IF(VLOOKUP(X197,'G-7 Rivers Data'!$AD$4:$AE$8,2,FALSE)=0,"Enrcoachment Data Missing ⚠",VLOOKUP(X197,'G-7 Rivers Data'!$AD$4:$AE$8,2,FALSE)))</f>
        <v/>
      </c>
      <c r="Z197" s="565" t="str">
        <f t="shared" si="18"/>
        <v/>
      </c>
      <c r="AA197" s="149"/>
      <c r="AB197" s="150"/>
      <c r="AH197" s="31" t="str">
        <f>IFERROR(INDEX('G-7 Rivers Data'!$AZ$3:$AZ$7,MATCH(C197,'G-7 Rivers Data'!$AY$3:$AY$7,0)),"")</f>
        <v/>
      </c>
    </row>
    <row r="198" spans="2:34" ht="14" x14ac:dyDescent="0.3">
      <c r="B198" s="141">
        <v>187</v>
      </c>
      <c r="C198" s="171"/>
      <c r="D198" s="172"/>
      <c r="E198" s="498" t="str">
        <f>IF(C198="","",VLOOKUP(C198,'G-7 Rivers Data'!$B$2:$G$8,2,FALSE))</f>
        <v/>
      </c>
      <c r="F198" s="499" t="str">
        <f>IFERROR(VLOOKUP(E198,'G-7 Rivers Data'!$C$4:$D$8,2,FALSE),"")</f>
        <v/>
      </c>
      <c r="G198" s="145"/>
      <c r="H198" s="499" t="str">
        <f>IFERROR(INDEX('G-7 Rivers Data'!$H$4:$L$8,MATCH(C198,'G-7 Rivers Data'!$B$4:$B$8,0),MATCH(G198,'G-7 Rivers Data'!$H$3:$L$3,0)),"")</f>
        <v/>
      </c>
      <c r="I198" s="154"/>
      <c r="J198" s="507" t="str">
        <f>IF(I198="","",IF(VLOOKUP(I198,'G-7 Rivers Data'!$AG$4:$AI$9,2,FALSE)=0,"Spatial Data Missing ⚠",VLOOKUP(I198,'G-7 Rivers Data'!$AG$4:$AI$9,2,FALSE)))</f>
        <v/>
      </c>
      <c r="K198" s="499" t="str">
        <f>IF(I198="","",IF(VLOOKUP(I198,'G-7 Rivers Data'!$AG$4:$AI$9,3,FALSE)=0,"Spatial Data Missing ⚠",VLOOKUP(I198,'G-7 Rivers Data'!$AG$4:$AI$9,3,FALSE)))</f>
        <v/>
      </c>
      <c r="L198" s="498" t="str">
        <f>IFERROR(INDEX('G-7 Rivers Data'!$O$3:$O$7,MATCH(G198,'G-7 Rivers Data'!$N$3:$N$7,0)),"")</f>
        <v/>
      </c>
      <c r="M198" s="82"/>
      <c r="N198" s="195"/>
      <c r="O198" s="507" t="str">
        <f t="shared" si="13"/>
        <v/>
      </c>
      <c r="P198" s="521" t="str">
        <f t="shared" si="14"/>
        <v/>
      </c>
      <c r="Q198" s="564" t="str">
        <f>IFERROR(IF(P198="Check Data ⚠","Check Data ⚠",VLOOKUP(P198,'G-4 Temporal multipliers'!$A$4:$C$37,3,FALSE)),"")</f>
        <v/>
      </c>
      <c r="R198" s="498" t="str">
        <f>IF(C198="","",VLOOKUP(C198,'G-7 Rivers Data'!$B$4:$G$8,4,FALSE))</f>
        <v/>
      </c>
      <c r="S198" s="507" t="str">
        <f t="shared" si="15"/>
        <v/>
      </c>
      <c r="T198" s="540" t="str">
        <f t="shared" si="16"/>
        <v/>
      </c>
      <c r="U198" s="499" t="str">
        <f t="shared" si="17"/>
        <v/>
      </c>
      <c r="V198" s="71"/>
      <c r="W198" s="499" t="str">
        <f>IF(V198="","",IF(VLOOKUP(V198,'G-7 Rivers Data'!$AA$4:$AB$7,2,FALSE)=0,"Spatial Data Missing ⚠",VLOOKUP(V198,'G-7 Rivers Data'!$AA$4:$AB$7,2,FALSE)))</f>
        <v/>
      </c>
      <c r="X198" s="155"/>
      <c r="Y198" s="499" t="str">
        <f>IF(X198="","",IF(VLOOKUP(X198,'G-7 Rivers Data'!$AD$4:$AE$8,2,FALSE)=0,"Enrcoachment Data Missing ⚠",VLOOKUP(X198,'G-7 Rivers Data'!$AD$4:$AE$8,2,FALSE)))</f>
        <v/>
      </c>
      <c r="Z198" s="565" t="str">
        <f t="shared" si="18"/>
        <v/>
      </c>
      <c r="AA198" s="149"/>
      <c r="AB198" s="150"/>
      <c r="AH198" s="31" t="str">
        <f>IFERROR(INDEX('G-7 Rivers Data'!$AZ$3:$AZ$7,MATCH(C198,'G-7 Rivers Data'!$AY$3:$AY$7,0)),"")</f>
        <v/>
      </c>
    </row>
    <row r="199" spans="2:34" ht="14" x14ac:dyDescent="0.3">
      <c r="B199" s="141">
        <v>188</v>
      </c>
      <c r="C199" s="171"/>
      <c r="D199" s="172"/>
      <c r="E199" s="498" t="str">
        <f>IF(C199="","",VLOOKUP(C199,'G-7 Rivers Data'!$B$2:$G$8,2,FALSE))</f>
        <v/>
      </c>
      <c r="F199" s="499" t="str">
        <f>IFERROR(VLOOKUP(E199,'G-7 Rivers Data'!$C$4:$D$8,2,FALSE),"")</f>
        <v/>
      </c>
      <c r="G199" s="145"/>
      <c r="H199" s="499" t="str">
        <f>IFERROR(INDEX('G-7 Rivers Data'!$H$4:$L$8,MATCH(C199,'G-7 Rivers Data'!$B$4:$B$8,0),MATCH(G199,'G-7 Rivers Data'!$H$3:$L$3,0)),"")</f>
        <v/>
      </c>
      <c r="I199" s="154"/>
      <c r="J199" s="507" t="str">
        <f>IF(I199="","",IF(VLOOKUP(I199,'G-7 Rivers Data'!$AG$4:$AI$9,2,FALSE)=0,"Spatial Data Missing ⚠",VLOOKUP(I199,'G-7 Rivers Data'!$AG$4:$AI$9,2,FALSE)))</f>
        <v/>
      </c>
      <c r="K199" s="499" t="str">
        <f>IF(I199="","",IF(VLOOKUP(I199,'G-7 Rivers Data'!$AG$4:$AI$9,3,FALSE)=0,"Spatial Data Missing ⚠",VLOOKUP(I199,'G-7 Rivers Data'!$AG$4:$AI$9,3,FALSE)))</f>
        <v/>
      </c>
      <c r="L199" s="498" t="str">
        <f>IFERROR(INDEX('G-7 Rivers Data'!$O$3:$O$7,MATCH(G199,'G-7 Rivers Data'!$N$3:$N$7,0)),"")</f>
        <v/>
      </c>
      <c r="M199" s="82"/>
      <c r="N199" s="195"/>
      <c r="O199" s="507" t="str">
        <f t="shared" si="13"/>
        <v/>
      </c>
      <c r="P199" s="521" t="str">
        <f t="shared" si="14"/>
        <v/>
      </c>
      <c r="Q199" s="564" t="str">
        <f>IFERROR(IF(P199="Check Data ⚠","Check Data ⚠",VLOOKUP(P199,'G-4 Temporal multipliers'!$A$4:$C$37,3,FALSE)),"")</f>
        <v/>
      </c>
      <c r="R199" s="498" t="str">
        <f>IF(C199="","",VLOOKUP(C199,'G-7 Rivers Data'!$B$4:$G$8,4,FALSE))</f>
        <v/>
      </c>
      <c r="S199" s="507" t="str">
        <f t="shared" si="15"/>
        <v/>
      </c>
      <c r="T199" s="540" t="str">
        <f t="shared" si="16"/>
        <v/>
      </c>
      <c r="U199" s="499" t="str">
        <f t="shared" si="17"/>
        <v/>
      </c>
      <c r="V199" s="71"/>
      <c r="W199" s="499" t="str">
        <f>IF(V199="","",IF(VLOOKUP(V199,'G-7 Rivers Data'!$AA$4:$AB$7,2,FALSE)=0,"Spatial Data Missing ⚠",VLOOKUP(V199,'G-7 Rivers Data'!$AA$4:$AB$7,2,FALSE)))</f>
        <v/>
      </c>
      <c r="X199" s="155"/>
      <c r="Y199" s="499" t="str">
        <f>IF(X199="","",IF(VLOOKUP(X199,'G-7 Rivers Data'!$AD$4:$AE$8,2,FALSE)=0,"Enrcoachment Data Missing ⚠",VLOOKUP(X199,'G-7 Rivers Data'!$AD$4:$AE$8,2,FALSE)))</f>
        <v/>
      </c>
      <c r="Z199" s="565" t="str">
        <f t="shared" si="18"/>
        <v/>
      </c>
      <c r="AA199" s="149"/>
      <c r="AB199" s="150"/>
      <c r="AH199" s="31" t="str">
        <f>IFERROR(INDEX('G-7 Rivers Data'!$AZ$3:$AZ$7,MATCH(C199,'G-7 Rivers Data'!$AY$3:$AY$7,0)),"")</f>
        <v/>
      </c>
    </row>
    <row r="200" spans="2:34" ht="14" x14ac:dyDescent="0.3">
      <c r="B200" s="141">
        <v>189</v>
      </c>
      <c r="C200" s="171"/>
      <c r="D200" s="172"/>
      <c r="E200" s="498" t="str">
        <f>IF(C200="","",VLOOKUP(C200,'G-7 Rivers Data'!$B$2:$G$8,2,FALSE))</f>
        <v/>
      </c>
      <c r="F200" s="499" t="str">
        <f>IFERROR(VLOOKUP(E200,'G-7 Rivers Data'!$C$4:$D$8,2,FALSE),"")</f>
        <v/>
      </c>
      <c r="G200" s="145"/>
      <c r="H200" s="499" t="str">
        <f>IFERROR(INDEX('G-7 Rivers Data'!$H$4:$L$8,MATCH(C200,'G-7 Rivers Data'!$B$4:$B$8,0),MATCH(G200,'G-7 Rivers Data'!$H$3:$L$3,0)),"")</f>
        <v/>
      </c>
      <c r="I200" s="154"/>
      <c r="J200" s="507" t="str">
        <f>IF(I200="","",IF(VLOOKUP(I200,'G-7 Rivers Data'!$AG$4:$AI$9,2,FALSE)=0,"Spatial Data Missing ⚠",VLOOKUP(I200,'G-7 Rivers Data'!$AG$4:$AI$9,2,FALSE)))</f>
        <v/>
      </c>
      <c r="K200" s="499" t="str">
        <f>IF(I200="","",IF(VLOOKUP(I200,'G-7 Rivers Data'!$AG$4:$AI$9,3,FALSE)=0,"Spatial Data Missing ⚠",VLOOKUP(I200,'G-7 Rivers Data'!$AG$4:$AI$9,3,FALSE)))</f>
        <v/>
      </c>
      <c r="L200" s="498" t="str">
        <f>IFERROR(INDEX('G-7 Rivers Data'!$O$3:$O$7,MATCH(G200,'G-7 Rivers Data'!$N$3:$N$7,0)),"")</f>
        <v/>
      </c>
      <c r="M200" s="82"/>
      <c r="N200" s="195"/>
      <c r="O200" s="507" t="str">
        <f t="shared" si="13"/>
        <v/>
      </c>
      <c r="P200" s="521" t="str">
        <f t="shared" si="14"/>
        <v/>
      </c>
      <c r="Q200" s="564" t="str">
        <f>IFERROR(IF(P200="Check Data ⚠","Check Data ⚠",VLOOKUP(P200,'G-4 Temporal multipliers'!$A$4:$C$37,3,FALSE)),"")</f>
        <v/>
      </c>
      <c r="R200" s="498" t="str">
        <f>IF(C200="","",VLOOKUP(C200,'G-7 Rivers Data'!$B$4:$G$8,4,FALSE))</f>
        <v/>
      </c>
      <c r="S200" s="507" t="str">
        <f t="shared" si="15"/>
        <v/>
      </c>
      <c r="T200" s="540" t="str">
        <f t="shared" si="16"/>
        <v/>
      </c>
      <c r="U200" s="499" t="str">
        <f t="shared" si="17"/>
        <v/>
      </c>
      <c r="V200" s="71"/>
      <c r="W200" s="499" t="str">
        <f>IF(V200="","",IF(VLOOKUP(V200,'G-7 Rivers Data'!$AA$4:$AB$7,2,FALSE)=0,"Spatial Data Missing ⚠",VLOOKUP(V200,'G-7 Rivers Data'!$AA$4:$AB$7,2,FALSE)))</f>
        <v/>
      </c>
      <c r="X200" s="155"/>
      <c r="Y200" s="499" t="str">
        <f>IF(X200="","",IF(VLOOKUP(X200,'G-7 Rivers Data'!$AD$4:$AE$8,2,FALSE)=0,"Enrcoachment Data Missing ⚠",VLOOKUP(X200,'G-7 Rivers Data'!$AD$4:$AE$8,2,FALSE)))</f>
        <v/>
      </c>
      <c r="Z200" s="565" t="str">
        <f t="shared" si="18"/>
        <v/>
      </c>
      <c r="AA200" s="149"/>
      <c r="AB200" s="150"/>
      <c r="AH200" s="31" t="str">
        <f>IFERROR(INDEX('G-7 Rivers Data'!$AZ$3:$AZ$7,MATCH(C200,'G-7 Rivers Data'!$AY$3:$AY$7,0)),"")</f>
        <v/>
      </c>
    </row>
    <row r="201" spans="2:34" ht="14" x14ac:dyDescent="0.3">
      <c r="B201" s="141">
        <v>190</v>
      </c>
      <c r="C201" s="171"/>
      <c r="D201" s="172"/>
      <c r="E201" s="498" t="str">
        <f>IF(C201="","",VLOOKUP(C201,'G-7 Rivers Data'!$B$2:$G$8,2,FALSE))</f>
        <v/>
      </c>
      <c r="F201" s="499" t="str">
        <f>IFERROR(VLOOKUP(E201,'G-7 Rivers Data'!$C$4:$D$8,2,FALSE),"")</f>
        <v/>
      </c>
      <c r="G201" s="145"/>
      <c r="H201" s="499" t="str">
        <f>IFERROR(INDEX('G-7 Rivers Data'!$H$4:$L$8,MATCH(C201,'G-7 Rivers Data'!$B$4:$B$8,0),MATCH(G201,'G-7 Rivers Data'!$H$3:$L$3,0)),"")</f>
        <v/>
      </c>
      <c r="I201" s="154"/>
      <c r="J201" s="507" t="str">
        <f>IF(I201="","",IF(VLOOKUP(I201,'G-7 Rivers Data'!$AG$4:$AI$9,2,FALSE)=0,"Spatial Data Missing ⚠",VLOOKUP(I201,'G-7 Rivers Data'!$AG$4:$AI$9,2,FALSE)))</f>
        <v/>
      </c>
      <c r="K201" s="499" t="str">
        <f>IF(I201="","",IF(VLOOKUP(I201,'G-7 Rivers Data'!$AG$4:$AI$9,3,FALSE)=0,"Spatial Data Missing ⚠",VLOOKUP(I201,'G-7 Rivers Data'!$AG$4:$AI$9,3,FALSE)))</f>
        <v/>
      </c>
      <c r="L201" s="498" t="str">
        <f>IFERROR(INDEX('G-7 Rivers Data'!$O$3:$O$7,MATCH(G201,'G-7 Rivers Data'!$N$3:$N$7,0)),"")</f>
        <v/>
      </c>
      <c r="M201" s="82"/>
      <c r="N201" s="195"/>
      <c r="O201" s="507" t="str">
        <f t="shared" si="13"/>
        <v/>
      </c>
      <c r="P201" s="521" t="str">
        <f t="shared" si="14"/>
        <v/>
      </c>
      <c r="Q201" s="564" t="str">
        <f>IFERROR(IF(P201="Check Data ⚠","Check Data ⚠",VLOOKUP(P201,'G-4 Temporal multipliers'!$A$4:$C$37,3,FALSE)),"")</f>
        <v/>
      </c>
      <c r="R201" s="498" t="str">
        <f>IF(C201="","",VLOOKUP(C201,'G-7 Rivers Data'!$B$4:$G$8,4,FALSE))</f>
        <v/>
      </c>
      <c r="S201" s="507" t="str">
        <f t="shared" si="15"/>
        <v/>
      </c>
      <c r="T201" s="540" t="str">
        <f t="shared" si="16"/>
        <v/>
      </c>
      <c r="U201" s="499" t="str">
        <f t="shared" si="17"/>
        <v/>
      </c>
      <c r="V201" s="71"/>
      <c r="W201" s="499" t="str">
        <f>IF(V201="","",IF(VLOOKUP(V201,'G-7 Rivers Data'!$AA$4:$AB$7,2,FALSE)=0,"Spatial Data Missing ⚠",VLOOKUP(V201,'G-7 Rivers Data'!$AA$4:$AB$7,2,FALSE)))</f>
        <v/>
      </c>
      <c r="X201" s="155"/>
      <c r="Y201" s="499" t="str">
        <f>IF(X201="","",IF(VLOOKUP(X201,'G-7 Rivers Data'!$AD$4:$AE$8,2,FALSE)=0,"Enrcoachment Data Missing ⚠",VLOOKUP(X201,'G-7 Rivers Data'!$AD$4:$AE$8,2,FALSE)))</f>
        <v/>
      </c>
      <c r="Z201" s="565" t="str">
        <f t="shared" si="18"/>
        <v/>
      </c>
      <c r="AA201" s="149"/>
      <c r="AB201" s="150"/>
      <c r="AH201" s="31" t="str">
        <f>IFERROR(INDEX('G-7 Rivers Data'!$AZ$3:$AZ$7,MATCH(C201,'G-7 Rivers Data'!$AY$3:$AY$7,0)),"")</f>
        <v/>
      </c>
    </row>
    <row r="202" spans="2:34" ht="14" x14ac:dyDescent="0.3">
      <c r="B202" s="141">
        <v>191</v>
      </c>
      <c r="C202" s="171"/>
      <c r="D202" s="172"/>
      <c r="E202" s="498" t="str">
        <f>IF(C202="","",VLOOKUP(C202,'G-7 Rivers Data'!$B$2:$G$8,2,FALSE))</f>
        <v/>
      </c>
      <c r="F202" s="499" t="str">
        <f>IFERROR(VLOOKUP(E202,'G-7 Rivers Data'!$C$4:$D$8,2,FALSE),"")</f>
        <v/>
      </c>
      <c r="G202" s="145"/>
      <c r="H202" s="499" t="str">
        <f>IFERROR(INDEX('G-7 Rivers Data'!$H$4:$L$8,MATCH(C202,'G-7 Rivers Data'!$B$4:$B$8,0),MATCH(G202,'G-7 Rivers Data'!$H$3:$L$3,0)),"")</f>
        <v/>
      </c>
      <c r="I202" s="154"/>
      <c r="J202" s="507" t="str">
        <f>IF(I202="","",IF(VLOOKUP(I202,'G-7 Rivers Data'!$AG$4:$AI$9,2,FALSE)=0,"Spatial Data Missing ⚠",VLOOKUP(I202,'G-7 Rivers Data'!$AG$4:$AI$9,2,FALSE)))</f>
        <v/>
      </c>
      <c r="K202" s="499" t="str">
        <f>IF(I202="","",IF(VLOOKUP(I202,'G-7 Rivers Data'!$AG$4:$AI$9,3,FALSE)=0,"Spatial Data Missing ⚠",VLOOKUP(I202,'G-7 Rivers Data'!$AG$4:$AI$9,3,FALSE)))</f>
        <v/>
      </c>
      <c r="L202" s="498" t="str">
        <f>IFERROR(INDEX('G-7 Rivers Data'!$O$3:$O$7,MATCH(G202,'G-7 Rivers Data'!$N$3:$N$7,0)),"")</f>
        <v/>
      </c>
      <c r="M202" s="82"/>
      <c r="N202" s="195"/>
      <c r="O202" s="507" t="str">
        <f t="shared" si="13"/>
        <v/>
      </c>
      <c r="P202" s="521" t="str">
        <f t="shared" si="14"/>
        <v/>
      </c>
      <c r="Q202" s="564" t="str">
        <f>IFERROR(IF(P202="Check Data ⚠","Check Data ⚠",VLOOKUP(P202,'G-4 Temporal multipliers'!$A$4:$C$37,3,FALSE)),"")</f>
        <v/>
      </c>
      <c r="R202" s="498" t="str">
        <f>IF(C202="","",VLOOKUP(C202,'G-7 Rivers Data'!$B$4:$G$8,4,FALSE))</f>
        <v/>
      </c>
      <c r="S202" s="507" t="str">
        <f t="shared" si="15"/>
        <v/>
      </c>
      <c r="T202" s="540" t="str">
        <f t="shared" si="16"/>
        <v/>
      </c>
      <c r="U202" s="499" t="str">
        <f t="shared" si="17"/>
        <v/>
      </c>
      <c r="V202" s="71"/>
      <c r="W202" s="499" t="str">
        <f>IF(V202="","",IF(VLOOKUP(V202,'G-7 Rivers Data'!$AA$4:$AB$7,2,FALSE)=0,"Spatial Data Missing ⚠",VLOOKUP(V202,'G-7 Rivers Data'!$AA$4:$AB$7,2,FALSE)))</f>
        <v/>
      </c>
      <c r="X202" s="155"/>
      <c r="Y202" s="499" t="str">
        <f>IF(X202="","",IF(VLOOKUP(X202,'G-7 Rivers Data'!$AD$4:$AE$8,2,FALSE)=0,"Enrcoachment Data Missing ⚠",VLOOKUP(X202,'G-7 Rivers Data'!$AD$4:$AE$8,2,FALSE)))</f>
        <v/>
      </c>
      <c r="Z202" s="565" t="str">
        <f t="shared" si="18"/>
        <v/>
      </c>
      <c r="AA202" s="149"/>
      <c r="AB202" s="150"/>
      <c r="AH202" s="31" t="str">
        <f>IFERROR(INDEX('G-7 Rivers Data'!$AZ$3:$AZ$7,MATCH(C202,'G-7 Rivers Data'!$AY$3:$AY$7,0)),"")</f>
        <v/>
      </c>
    </row>
    <row r="203" spans="2:34" ht="14" x14ac:dyDescent="0.3">
      <c r="B203" s="141">
        <v>192</v>
      </c>
      <c r="C203" s="171"/>
      <c r="D203" s="172"/>
      <c r="E203" s="498" t="str">
        <f>IF(C203="","",VLOOKUP(C203,'G-7 Rivers Data'!$B$2:$G$8,2,FALSE))</f>
        <v/>
      </c>
      <c r="F203" s="499" t="str">
        <f>IFERROR(VLOOKUP(E203,'G-7 Rivers Data'!$C$4:$D$8,2,FALSE),"")</f>
        <v/>
      </c>
      <c r="G203" s="145"/>
      <c r="H203" s="499" t="str">
        <f>IFERROR(INDEX('G-7 Rivers Data'!$H$4:$L$8,MATCH(C203,'G-7 Rivers Data'!$B$4:$B$8,0),MATCH(G203,'G-7 Rivers Data'!$H$3:$L$3,0)),"")</f>
        <v/>
      </c>
      <c r="I203" s="154"/>
      <c r="J203" s="507" t="str">
        <f>IF(I203="","",IF(VLOOKUP(I203,'G-7 Rivers Data'!$AG$4:$AI$9,2,FALSE)=0,"Spatial Data Missing ⚠",VLOOKUP(I203,'G-7 Rivers Data'!$AG$4:$AI$9,2,FALSE)))</f>
        <v/>
      </c>
      <c r="K203" s="499" t="str">
        <f>IF(I203="","",IF(VLOOKUP(I203,'G-7 Rivers Data'!$AG$4:$AI$9,3,FALSE)=0,"Spatial Data Missing ⚠",VLOOKUP(I203,'G-7 Rivers Data'!$AG$4:$AI$9,3,FALSE)))</f>
        <v/>
      </c>
      <c r="L203" s="498" t="str">
        <f>IFERROR(INDEX('G-7 Rivers Data'!$O$3:$O$7,MATCH(G203,'G-7 Rivers Data'!$N$3:$N$7,0)),"")</f>
        <v/>
      </c>
      <c r="M203" s="82"/>
      <c r="N203" s="195"/>
      <c r="O203" s="507" t="str">
        <f t="shared" si="13"/>
        <v/>
      </c>
      <c r="P203" s="521" t="str">
        <f t="shared" si="14"/>
        <v/>
      </c>
      <c r="Q203" s="564" t="str">
        <f>IFERROR(IF(P203="Check Data ⚠","Check Data ⚠",VLOOKUP(P203,'G-4 Temporal multipliers'!$A$4:$C$37,3,FALSE)),"")</f>
        <v/>
      </c>
      <c r="R203" s="498" t="str">
        <f>IF(C203="","",VLOOKUP(C203,'G-7 Rivers Data'!$B$4:$G$8,4,FALSE))</f>
        <v/>
      </c>
      <c r="S203" s="507" t="str">
        <f t="shared" si="15"/>
        <v/>
      </c>
      <c r="T203" s="540" t="str">
        <f t="shared" si="16"/>
        <v/>
      </c>
      <c r="U203" s="499" t="str">
        <f t="shared" si="17"/>
        <v/>
      </c>
      <c r="V203" s="71"/>
      <c r="W203" s="499" t="str">
        <f>IF(V203="","",IF(VLOOKUP(V203,'G-7 Rivers Data'!$AA$4:$AB$7,2,FALSE)=0,"Spatial Data Missing ⚠",VLOOKUP(V203,'G-7 Rivers Data'!$AA$4:$AB$7,2,FALSE)))</f>
        <v/>
      </c>
      <c r="X203" s="155"/>
      <c r="Y203" s="499" t="str">
        <f>IF(X203="","",IF(VLOOKUP(X203,'G-7 Rivers Data'!$AD$4:$AE$8,2,FALSE)=0,"Enrcoachment Data Missing ⚠",VLOOKUP(X203,'G-7 Rivers Data'!$AD$4:$AE$8,2,FALSE)))</f>
        <v/>
      </c>
      <c r="Z203" s="565" t="str">
        <f t="shared" si="18"/>
        <v/>
      </c>
      <c r="AA203" s="149"/>
      <c r="AB203" s="150"/>
      <c r="AH203" s="31" t="str">
        <f>IFERROR(INDEX('G-7 Rivers Data'!$AZ$3:$AZ$7,MATCH(C203,'G-7 Rivers Data'!$AY$3:$AY$7,0)),"")</f>
        <v/>
      </c>
    </row>
    <row r="204" spans="2:34" ht="14" x14ac:dyDescent="0.3">
      <c r="B204" s="141">
        <v>193</v>
      </c>
      <c r="C204" s="171"/>
      <c r="D204" s="172"/>
      <c r="E204" s="498" t="str">
        <f>IF(C204="","",VLOOKUP(C204,'G-7 Rivers Data'!$B$2:$G$8,2,FALSE))</f>
        <v/>
      </c>
      <c r="F204" s="499" t="str">
        <f>IFERROR(VLOOKUP(E204,'G-7 Rivers Data'!$C$4:$D$8,2,FALSE),"")</f>
        <v/>
      </c>
      <c r="G204" s="145"/>
      <c r="H204" s="499" t="str">
        <f>IFERROR(INDEX('G-7 Rivers Data'!$H$4:$L$8,MATCH(C204,'G-7 Rivers Data'!$B$4:$B$8,0),MATCH(G204,'G-7 Rivers Data'!$H$3:$L$3,0)),"")</f>
        <v/>
      </c>
      <c r="I204" s="154"/>
      <c r="J204" s="507" t="str">
        <f>IF(I204="","",IF(VLOOKUP(I204,'G-7 Rivers Data'!$AG$4:$AI$9,2,FALSE)=0,"Spatial Data Missing ⚠",VLOOKUP(I204,'G-7 Rivers Data'!$AG$4:$AI$9,2,FALSE)))</f>
        <v/>
      </c>
      <c r="K204" s="499" t="str">
        <f>IF(I204="","",IF(VLOOKUP(I204,'G-7 Rivers Data'!$AG$4:$AI$9,3,FALSE)=0,"Spatial Data Missing ⚠",VLOOKUP(I204,'G-7 Rivers Data'!$AG$4:$AI$9,3,FALSE)))</f>
        <v/>
      </c>
      <c r="L204" s="498" t="str">
        <f>IFERROR(INDEX('G-7 Rivers Data'!$O$3:$O$7,MATCH(G204,'G-7 Rivers Data'!$N$3:$N$7,0)),"")</f>
        <v/>
      </c>
      <c r="M204" s="82"/>
      <c r="N204" s="195"/>
      <c r="O204" s="507" t="str">
        <f t="shared" si="13"/>
        <v/>
      </c>
      <c r="P204" s="521" t="str">
        <f t="shared" si="14"/>
        <v/>
      </c>
      <c r="Q204" s="564" t="str">
        <f>IFERROR(IF(P204="Check Data ⚠","Check Data ⚠",VLOOKUP(P204,'G-4 Temporal multipliers'!$A$4:$C$37,3,FALSE)),"")</f>
        <v/>
      </c>
      <c r="R204" s="498" t="str">
        <f>IF(C204="","",VLOOKUP(C204,'G-7 Rivers Data'!$B$4:$G$8,4,FALSE))</f>
        <v/>
      </c>
      <c r="S204" s="507" t="str">
        <f t="shared" si="15"/>
        <v/>
      </c>
      <c r="T204" s="540" t="str">
        <f t="shared" si="16"/>
        <v/>
      </c>
      <c r="U204" s="499" t="str">
        <f t="shared" si="17"/>
        <v/>
      </c>
      <c r="V204" s="71"/>
      <c r="W204" s="499" t="str">
        <f>IF(V204="","",IF(VLOOKUP(V204,'G-7 Rivers Data'!$AA$4:$AB$7,2,FALSE)=0,"Spatial Data Missing ⚠",VLOOKUP(V204,'G-7 Rivers Data'!$AA$4:$AB$7,2,FALSE)))</f>
        <v/>
      </c>
      <c r="X204" s="155"/>
      <c r="Y204" s="499" t="str">
        <f>IF(X204="","",IF(VLOOKUP(X204,'G-7 Rivers Data'!$AD$4:$AE$8,2,FALSE)=0,"Enrcoachment Data Missing ⚠",VLOOKUP(X204,'G-7 Rivers Data'!$AD$4:$AE$8,2,FALSE)))</f>
        <v/>
      </c>
      <c r="Z204" s="565" t="str">
        <f t="shared" si="18"/>
        <v/>
      </c>
      <c r="AA204" s="149"/>
      <c r="AB204" s="150"/>
      <c r="AH204" s="31" t="str">
        <f>IFERROR(INDEX('G-7 Rivers Data'!$AZ$3:$AZ$7,MATCH(C204,'G-7 Rivers Data'!$AY$3:$AY$7,0)),"")</f>
        <v/>
      </c>
    </row>
    <row r="205" spans="2:34" ht="14" x14ac:dyDescent="0.3">
      <c r="B205" s="141">
        <v>194</v>
      </c>
      <c r="C205" s="171"/>
      <c r="D205" s="172"/>
      <c r="E205" s="498" t="str">
        <f>IF(C205="","",VLOOKUP(C205,'G-7 Rivers Data'!$B$2:$G$8,2,FALSE))</f>
        <v/>
      </c>
      <c r="F205" s="499" t="str">
        <f>IFERROR(VLOOKUP(E205,'G-7 Rivers Data'!$C$4:$D$8,2,FALSE),"")</f>
        <v/>
      </c>
      <c r="G205" s="145"/>
      <c r="H205" s="499" t="str">
        <f>IFERROR(INDEX('G-7 Rivers Data'!$H$4:$L$8,MATCH(C205,'G-7 Rivers Data'!$B$4:$B$8,0),MATCH(G205,'G-7 Rivers Data'!$H$3:$L$3,0)),"")</f>
        <v/>
      </c>
      <c r="I205" s="154"/>
      <c r="J205" s="507" t="str">
        <f>IF(I205="","",IF(VLOOKUP(I205,'G-7 Rivers Data'!$AG$4:$AI$9,2,FALSE)=0,"Spatial Data Missing ⚠",VLOOKUP(I205,'G-7 Rivers Data'!$AG$4:$AI$9,2,FALSE)))</f>
        <v/>
      </c>
      <c r="K205" s="499" t="str">
        <f>IF(I205="","",IF(VLOOKUP(I205,'G-7 Rivers Data'!$AG$4:$AI$9,3,FALSE)=0,"Spatial Data Missing ⚠",VLOOKUP(I205,'G-7 Rivers Data'!$AG$4:$AI$9,3,FALSE)))</f>
        <v/>
      </c>
      <c r="L205" s="498" t="str">
        <f>IFERROR(INDEX('G-7 Rivers Data'!$O$3:$O$7,MATCH(G205,'G-7 Rivers Data'!$N$3:$N$7,0)),"")</f>
        <v/>
      </c>
      <c r="M205" s="82"/>
      <c r="N205" s="195"/>
      <c r="O205" s="507" t="str">
        <f t="shared" ref="O205:O259" si="19">IF(L205="","",IF(AND(M205&gt;0,N205&gt;0),"Error -both advance and delayed habitat creation ▲",IF(AND(OR(M205="Habitat already in target condition",L205&lt;=M205),N205=0),"Check details - Is there evidence that habitat has reached target condition? ⚠",IF(M205&gt;0,"Check details - Is there evidence habitat creation started/in place? ⚠",IF(N205&gt;0,"Check details- Delay in starting habitat in required condition? ⚠","Standard time to target condition applied")))))</f>
        <v/>
      </c>
      <c r="P205" s="521" t="str">
        <f t="shared" ref="P205:P259" si="20">IF(LEFT(O205,5)="Error ▲","Check Data ⚠",IF(L205="","",IF(M205="30+",0,IF(N205="30+","30+ ⚠",IF(L205+N205&gt;30,"30+ ⚠",IF(L205+N205-M205&gt;0,L205+N205-M205,IF(L205-M205&lt;0,0,L205+N205-M205)))))))</f>
        <v/>
      </c>
      <c r="Q205" s="564" t="str">
        <f>IFERROR(IF(P205="Check Data ⚠","Check Data ⚠",VLOOKUP(P205,'G-4 Temporal multipliers'!$A$4:$C$37,3,FALSE)),"")</f>
        <v/>
      </c>
      <c r="R205" s="498" t="str">
        <f>IF(C205="","",VLOOKUP(C205,'G-7 Rivers Data'!$B$4:$G$8,4,FALSE))</f>
        <v/>
      </c>
      <c r="S205" s="507" t="str">
        <f t="shared" ref="S205:S259" si="21">IF(C205="","",IF(P205="Check Data ⚠","Check Data ⚠",IF(G205="","",IF($O205="Check details - Is there evidence that habitat has reached target condition? ⚠","Low Difficulty - only applicable if all habitat created before losses ⚠","Standard difficulty applied"))))</f>
        <v/>
      </c>
      <c r="T205" s="540" t="str">
        <f t="shared" ref="T205:T259" si="22">(IF(AND(S205="Standard difficulty applied",L205&gt;M205),R205,IF(AND(S205="Low Difficulty - only applicable if all habitat created before losses ⚠",M205&gt;=L205),"Low",R205)))</f>
        <v/>
      </c>
      <c r="U205" s="499" t="str">
        <f t="shared" ref="U205:U259" si="23">IF(C205="","",VLOOKUP(R205,Difficulty,2,FALSE))</f>
        <v/>
      </c>
      <c r="V205" s="71"/>
      <c r="W205" s="499" t="str">
        <f>IF(V205="","",IF(VLOOKUP(V205,'G-7 Rivers Data'!$AA$4:$AB$7,2,FALSE)=0,"Spatial Data Missing ⚠",VLOOKUP(V205,'G-7 Rivers Data'!$AA$4:$AB$7,2,FALSE)))</f>
        <v/>
      </c>
      <c r="X205" s="155"/>
      <c r="Y205" s="499" t="str">
        <f>IF(X205="","",IF(VLOOKUP(X205,'G-7 Rivers Data'!$AD$4:$AE$8,2,FALSE)=0,"Enrcoachment Data Missing ⚠",VLOOKUP(X205,'G-7 Rivers Data'!$AD$4:$AE$8,2,FALSE)))</f>
        <v/>
      </c>
      <c r="Z205" s="565" t="str">
        <f t="shared" ref="Z205:Z259" si="24">IFERROR(IF(C205="","",D205*F205*H205*K205*Q205*U205*Y205*W205),"")</f>
        <v/>
      </c>
      <c r="AA205" s="149"/>
      <c r="AB205" s="150"/>
      <c r="AH205" s="31" t="str">
        <f>IFERROR(INDEX('G-7 Rivers Data'!$AZ$3:$AZ$7,MATCH(C205,'G-7 Rivers Data'!$AY$3:$AY$7,0)),"")</f>
        <v/>
      </c>
    </row>
    <row r="206" spans="2:34" ht="14" x14ac:dyDescent="0.3">
      <c r="B206" s="141">
        <v>195</v>
      </c>
      <c r="C206" s="171"/>
      <c r="D206" s="172"/>
      <c r="E206" s="498" t="str">
        <f>IF(C206="","",VLOOKUP(C206,'G-7 Rivers Data'!$B$2:$G$8,2,FALSE))</f>
        <v/>
      </c>
      <c r="F206" s="499" t="str">
        <f>IFERROR(VLOOKUP(E206,'G-7 Rivers Data'!$C$4:$D$8,2,FALSE),"")</f>
        <v/>
      </c>
      <c r="G206" s="145"/>
      <c r="H206" s="499" t="str">
        <f>IFERROR(INDEX('G-7 Rivers Data'!$H$4:$L$8,MATCH(C206,'G-7 Rivers Data'!$B$4:$B$8,0),MATCH(G206,'G-7 Rivers Data'!$H$3:$L$3,0)),"")</f>
        <v/>
      </c>
      <c r="I206" s="154"/>
      <c r="J206" s="507" t="str">
        <f>IF(I206="","",IF(VLOOKUP(I206,'G-7 Rivers Data'!$AG$4:$AI$9,2,FALSE)=0,"Spatial Data Missing ⚠",VLOOKUP(I206,'G-7 Rivers Data'!$AG$4:$AI$9,2,FALSE)))</f>
        <v/>
      </c>
      <c r="K206" s="499" t="str">
        <f>IF(I206="","",IF(VLOOKUP(I206,'G-7 Rivers Data'!$AG$4:$AI$9,3,FALSE)=0,"Spatial Data Missing ⚠",VLOOKUP(I206,'G-7 Rivers Data'!$AG$4:$AI$9,3,FALSE)))</f>
        <v/>
      </c>
      <c r="L206" s="498" t="str">
        <f>IFERROR(INDEX('G-7 Rivers Data'!$O$3:$O$7,MATCH(G206,'G-7 Rivers Data'!$N$3:$N$7,0)),"")</f>
        <v/>
      </c>
      <c r="M206" s="82"/>
      <c r="N206" s="195"/>
      <c r="O206" s="507" t="str">
        <f t="shared" si="19"/>
        <v/>
      </c>
      <c r="P206" s="521" t="str">
        <f t="shared" si="20"/>
        <v/>
      </c>
      <c r="Q206" s="564" t="str">
        <f>IFERROR(IF(P206="Check Data ⚠","Check Data ⚠",VLOOKUP(P206,'G-4 Temporal multipliers'!$A$4:$C$37,3,FALSE)),"")</f>
        <v/>
      </c>
      <c r="R206" s="498" t="str">
        <f>IF(C206="","",VLOOKUP(C206,'G-7 Rivers Data'!$B$4:$G$8,4,FALSE))</f>
        <v/>
      </c>
      <c r="S206" s="507" t="str">
        <f t="shared" si="21"/>
        <v/>
      </c>
      <c r="T206" s="540" t="str">
        <f t="shared" si="22"/>
        <v/>
      </c>
      <c r="U206" s="499" t="str">
        <f t="shared" si="23"/>
        <v/>
      </c>
      <c r="V206" s="71"/>
      <c r="W206" s="499" t="str">
        <f>IF(V206="","",IF(VLOOKUP(V206,'G-7 Rivers Data'!$AA$4:$AB$7,2,FALSE)=0,"Spatial Data Missing ⚠",VLOOKUP(V206,'G-7 Rivers Data'!$AA$4:$AB$7,2,FALSE)))</f>
        <v/>
      </c>
      <c r="X206" s="155"/>
      <c r="Y206" s="499" t="str">
        <f>IF(X206="","",IF(VLOOKUP(X206,'G-7 Rivers Data'!$AD$4:$AE$8,2,FALSE)=0,"Enrcoachment Data Missing ⚠",VLOOKUP(X206,'G-7 Rivers Data'!$AD$4:$AE$8,2,FALSE)))</f>
        <v/>
      </c>
      <c r="Z206" s="565" t="str">
        <f t="shared" si="24"/>
        <v/>
      </c>
      <c r="AA206" s="149"/>
      <c r="AB206" s="150"/>
      <c r="AH206" s="31" t="str">
        <f>IFERROR(INDEX('G-7 Rivers Data'!$AZ$3:$AZ$7,MATCH(C206,'G-7 Rivers Data'!$AY$3:$AY$7,0)),"")</f>
        <v/>
      </c>
    </row>
    <row r="207" spans="2:34" ht="14" x14ac:dyDescent="0.3">
      <c r="B207" s="141">
        <v>196</v>
      </c>
      <c r="C207" s="171"/>
      <c r="D207" s="172"/>
      <c r="E207" s="498" t="str">
        <f>IF(C207="","",VLOOKUP(C207,'G-7 Rivers Data'!$B$2:$G$8,2,FALSE))</f>
        <v/>
      </c>
      <c r="F207" s="499" t="str">
        <f>IFERROR(VLOOKUP(E207,'G-7 Rivers Data'!$C$4:$D$8,2,FALSE),"")</f>
        <v/>
      </c>
      <c r="G207" s="145"/>
      <c r="H207" s="499" t="str">
        <f>IFERROR(INDEX('G-7 Rivers Data'!$H$4:$L$8,MATCH(C207,'G-7 Rivers Data'!$B$4:$B$8,0),MATCH(G207,'G-7 Rivers Data'!$H$3:$L$3,0)),"")</f>
        <v/>
      </c>
      <c r="I207" s="154"/>
      <c r="J207" s="507" t="str">
        <f>IF(I207="","",IF(VLOOKUP(I207,'G-7 Rivers Data'!$AG$4:$AI$9,2,FALSE)=0,"Spatial Data Missing ⚠",VLOOKUP(I207,'G-7 Rivers Data'!$AG$4:$AI$9,2,FALSE)))</f>
        <v/>
      </c>
      <c r="K207" s="499" t="str">
        <f>IF(I207="","",IF(VLOOKUP(I207,'G-7 Rivers Data'!$AG$4:$AI$9,3,FALSE)=0,"Spatial Data Missing ⚠",VLOOKUP(I207,'G-7 Rivers Data'!$AG$4:$AI$9,3,FALSE)))</f>
        <v/>
      </c>
      <c r="L207" s="498" t="str">
        <f>IFERROR(INDEX('G-7 Rivers Data'!$O$3:$O$7,MATCH(G207,'G-7 Rivers Data'!$N$3:$N$7,0)),"")</f>
        <v/>
      </c>
      <c r="M207" s="82"/>
      <c r="N207" s="195"/>
      <c r="O207" s="507" t="str">
        <f t="shared" si="19"/>
        <v/>
      </c>
      <c r="P207" s="521" t="str">
        <f t="shared" si="20"/>
        <v/>
      </c>
      <c r="Q207" s="564" t="str">
        <f>IFERROR(IF(P207="Check Data ⚠","Check Data ⚠",VLOOKUP(P207,'G-4 Temporal multipliers'!$A$4:$C$37,3,FALSE)),"")</f>
        <v/>
      </c>
      <c r="R207" s="498" t="str">
        <f>IF(C207="","",VLOOKUP(C207,'G-7 Rivers Data'!$B$4:$G$8,4,FALSE))</f>
        <v/>
      </c>
      <c r="S207" s="507" t="str">
        <f t="shared" si="21"/>
        <v/>
      </c>
      <c r="T207" s="540" t="str">
        <f t="shared" si="22"/>
        <v/>
      </c>
      <c r="U207" s="499" t="str">
        <f t="shared" si="23"/>
        <v/>
      </c>
      <c r="V207" s="71"/>
      <c r="W207" s="499" t="str">
        <f>IF(V207="","",IF(VLOOKUP(V207,'G-7 Rivers Data'!$AA$4:$AB$7,2,FALSE)=0,"Spatial Data Missing ⚠",VLOOKUP(V207,'G-7 Rivers Data'!$AA$4:$AB$7,2,FALSE)))</f>
        <v/>
      </c>
      <c r="X207" s="155"/>
      <c r="Y207" s="499" t="str">
        <f>IF(X207="","",IF(VLOOKUP(X207,'G-7 Rivers Data'!$AD$4:$AE$8,2,FALSE)=0,"Enrcoachment Data Missing ⚠",VLOOKUP(X207,'G-7 Rivers Data'!$AD$4:$AE$8,2,FALSE)))</f>
        <v/>
      </c>
      <c r="Z207" s="565" t="str">
        <f t="shared" si="24"/>
        <v/>
      </c>
      <c r="AA207" s="149"/>
      <c r="AB207" s="150"/>
      <c r="AH207" s="31" t="str">
        <f>IFERROR(INDEX('G-7 Rivers Data'!$AZ$3:$AZ$7,MATCH(C207,'G-7 Rivers Data'!$AY$3:$AY$7,0)),"")</f>
        <v/>
      </c>
    </row>
    <row r="208" spans="2:34" ht="14" x14ac:dyDescent="0.3">
      <c r="B208" s="141">
        <v>197</v>
      </c>
      <c r="C208" s="171"/>
      <c r="D208" s="172"/>
      <c r="E208" s="498" t="str">
        <f>IF(C208="","",VLOOKUP(C208,'G-7 Rivers Data'!$B$2:$G$8,2,FALSE))</f>
        <v/>
      </c>
      <c r="F208" s="499" t="str">
        <f>IFERROR(VLOOKUP(E208,'G-7 Rivers Data'!$C$4:$D$8,2,FALSE),"")</f>
        <v/>
      </c>
      <c r="G208" s="145"/>
      <c r="H208" s="499" t="str">
        <f>IFERROR(INDEX('G-7 Rivers Data'!$H$4:$L$8,MATCH(C208,'G-7 Rivers Data'!$B$4:$B$8,0),MATCH(G208,'G-7 Rivers Data'!$H$3:$L$3,0)),"")</f>
        <v/>
      </c>
      <c r="I208" s="154"/>
      <c r="J208" s="507" t="str">
        <f>IF(I208="","",IF(VLOOKUP(I208,'G-7 Rivers Data'!$AG$4:$AI$9,2,FALSE)=0,"Spatial Data Missing ⚠",VLOOKUP(I208,'G-7 Rivers Data'!$AG$4:$AI$9,2,FALSE)))</f>
        <v/>
      </c>
      <c r="K208" s="499" t="str">
        <f>IF(I208="","",IF(VLOOKUP(I208,'G-7 Rivers Data'!$AG$4:$AI$9,3,FALSE)=0,"Spatial Data Missing ⚠",VLOOKUP(I208,'G-7 Rivers Data'!$AG$4:$AI$9,3,FALSE)))</f>
        <v/>
      </c>
      <c r="L208" s="498" t="str">
        <f>IFERROR(INDEX('G-7 Rivers Data'!$O$3:$O$7,MATCH(G208,'G-7 Rivers Data'!$N$3:$N$7,0)),"")</f>
        <v/>
      </c>
      <c r="M208" s="82"/>
      <c r="N208" s="195"/>
      <c r="O208" s="507" t="str">
        <f t="shared" si="19"/>
        <v/>
      </c>
      <c r="P208" s="521" t="str">
        <f t="shared" si="20"/>
        <v/>
      </c>
      <c r="Q208" s="564" t="str">
        <f>IFERROR(IF(P208="Check Data ⚠","Check Data ⚠",VLOOKUP(P208,'G-4 Temporal multipliers'!$A$4:$C$37,3,FALSE)),"")</f>
        <v/>
      </c>
      <c r="R208" s="498" t="str">
        <f>IF(C208="","",VLOOKUP(C208,'G-7 Rivers Data'!$B$4:$G$8,4,FALSE))</f>
        <v/>
      </c>
      <c r="S208" s="507" t="str">
        <f t="shared" si="21"/>
        <v/>
      </c>
      <c r="T208" s="540" t="str">
        <f t="shared" si="22"/>
        <v/>
      </c>
      <c r="U208" s="499" t="str">
        <f t="shared" si="23"/>
        <v/>
      </c>
      <c r="V208" s="71"/>
      <c r="W208" s="499" t="str">
        <f>IF(V208="","",IF(VLOOKUP(V208,'G-7 Rivers Data'!$AA$4:$AB$7,2,FALSE)=0,"Spatial Data Missing ⚠",VLOOKUP(V208,'G-7 Rivers Data'!$AA$4:$AB$7,2,FALSE)))</f>
        <v/>
      </c>
      <c r="X208" s="155"/>
      <c r="Y208" s="499" t="str">
        <f>IF(X208="","",IF(VLOOKUP(X208,'G-7 Rivers Data'!$AD$4:$AE$8,2,FALSE)=0,"Enrcoachment Data Missing ⚠",VLOOKUP(X208,'G-7 Rivers Data'!$AD$4:$AE$8,2,FALSE)))</f>
        <v/>
      </c>
      <c r="Z208" s="565" t="str">
        <f t="shared" si="24"/>
        <v/>
      </c>
      <c r="AA208" s="149"/>
      <c r="AB208" s="150"/>
      <c r="AH208" s="31" t="str">
        <f>IFERROR(INDEX('G-7 Rivers Data'!$AZ$3:$AZ$7,MATCH(C208,'G-7 Rivers Data'!$AY$3:$AY$7,0)),"")</f>
        <v/>
      </c>
    </row>
    <row r="209" spans="2:34" ht="14" x14ac:dyDescent="0.3">
      <c r="B209" s="141">
        <v>198</v>
      </c>
      <c r="C209" s="171"/>
      <c r="D209" s="172"/>
      <c r="E209" s="498" t="str">
        <f>IF(C209="","",VLOOKUP(C209,'G-7 Rivers Data'!$B$2:$G$8,2,FALSE))</f>
        <v/>
      </c>
      <c r="F209" s="499" t="str">
        <f>IFERROR(VLOOKUP(E209,'G-7 Rivers Data'!$C$4:$D$8,2,FALSE),"")</f>
        <v/>
      </c>
      <c r="G209" s="145"/>
      <c r="H209" s="499" t="str">
        <f>IFERROR(INDEX('G-7 Rivers Data'!$H$4:$L$8,MATCH(C209,'G-7 Rivers Data'!$B$4:$B$8,0),MATCH(G209,'G-7 Rivers Data'!$H$3:$L$3,0)),"")</f>
        <v/>
      </c>
      <c r="I209" s="154"/>
      <c r="J209" s="507" t="str">
        <f>IF(I209="","",IF(VLOOKUP(I209,'G-7 Rivers Data'!$AG$4:$AI$9,2,FALSE)=0,"Spatial Data Missing ⚠",VLOOKUP(I209,'G-7 Rivers Data'!$AG$4:$AI$9,2,FALSE)))</f>
        <v/>
      </c>
      <c r="K209" s="499" t="str">
        <f>IF(I209="","",IF(VLOOKUP(I209,'G-7 Rivers Data'!$AG$4:$AI$9,3,FALSE)=0,"Spatial Data Missing ⚠",VLOOKUP(I209,'G-7 Rivers Data'!$AG$4:$AI$9,3,FALSE)))</f>
        <v/>
      </c>
      <c r="L209" s="498" t="str">
        <f>IFERROR(INDEX('G-7 Rivers Data'!$O$3:$O$7,MATCH(G209,'G-7 Rivers Data'!$N$3:$N$7,0)),"")</f>
        <v/>
      </c>
      <c r="M209" s="82"/>
      <c r="N209" s="195"/>
      <c r="O209" s="507" t="str">
        <f t="shared" si="19"/>
        <v/>
      </c>
      <c r="P209" s="521" t="str">
        <f t="shared" si="20"/>
        <v/>
      </c>
      <c r="Q209" s="564" t="str">
        <f>IFERROR(IF(P209="Check Data ⚠","Check Data ⚠",VLOOKUP(P209,'G-4 Temporal multipliers'!$A$4:$C$37,3,FALSE)),"")</f>
        <v/>
      </c>
      <c r="R209" s="498" t="str">
        <f>IF(C209="","",VLOOKUP(C209,'G-7 Rivers Data'!$B$4:$G$8,4,FALSE))</f>
        <v/>
      </c>
      <c r="S209" s="507" t="str">
        <f t="shared" si="21"/>
        <v/>
      </c>
      <c r="T209" s="540" t="str">
        <f t="shared" si="22"/>
        <v/>
      </c>
      <c r="U209" s="499" t="str">
        <f t="shared" si="23"/>
        <v/>
      </c>
      <c r="V209" s="71"/>
      <c r="W209" s="499" t="str">
        <f>IF(V209="","",IF(VLOOKUP(V209,'G-7 Rivers Data'!$AA$4:$AB$7,2,FALSE)=0,"Spatial Data Missing ⚠",VLOOKUP(V209,'G-7 Rivers Data'!$AA$4:$AB$7,2,FALSE)))</f>
        <v/>
      </c>
      <c r="X209" s="155"/>
      <c r="Y209" s="499" t="str">
        <f>IF(X209="","",IF(VLOOKUP(X209,'G-7 Rivers Data'!$AD$4:$AE$8,2,FALSE)=0,"Enrcoachment Data Missing ⚠",VLOOKUP(X209,'G-7 Rivers Data'!$AD$4:$AE$8,2,FALSE)))</f>
        <v/>
      </c>
      <c r="Z209" s="565" t="str">
        <f t="shared" si="24"/>
        <v/>
      </c>
      <c r="AA209" s="149"/>
      <c r="AB209" s="150"/>
      <c r="AH209" s="31" t="str">
        <f>IFERROR(INDEX('G-7 Rivers Data'!$AZ$3:$AZ$7,MATCH(C209,'G-7 Rivers Data'!$AY$3:$AY$7,0)),"")</f>
        <v/>
      </c>
    </row>
    <row r="210" spans="2:34" ht="14" x14ac:dyDescent="0.3">
      <c r="B210" s="141">
        <v>199</v>
      </c>
      <c r="C210" s="171"/>
      <c r="D210" s="172"/>
      <c r="E210" s="498" t="str">
        <f>IF(C210="","",VLOOKUP(C210,'G-7 Rivers Data'!$B$2:$G$8,2,FALSE))</f>
        <v/>
      </c>
      <c r="F210" s="499" t="str">
        <f>IFERROR(VLOOKUP(E210,'G-7 Rivers Data'!$C$4:$D$8,2,FALSE),"")</f>
        <v/>
      </c>
      <c r="G210" s="145"/>
      <c r="H210" s="499" t="str">
        <f>IFERROR(INDEX('G-7 Rivers Data'!$H$4:$L$8,MATCH(C210,'G-7 Rivers Data'!$B$4:$B$8,0),MATCH(G210,'G-7 Rivers Data'!$H$3:$L$3,0)),"")</f>
        <v/>
      </c>
      <c r="I210" s="154"/>
      <c r="J210" s="507" t="str">
        <f>IF(I210="","",IF(VLOOKUP(I210,'G-7 Rivers Data'!$AG$4:$AI$9,2,FALSE)=0,"Spatial Data Missing ⚠",VLOOKUP(I210,'G-7 Rivers Data'!$AG$4:$AI$9,2,FALSE)))</f>
        <v/>
      </c>
      <c r="K210" s="499" t="str">
        <f>IF(I210="","",IF(VLOOKUP(I210,'G-7 Rivers Data'!$AG$4:$AI$9,3,FALSE)=0,"Spatial Data Missing ⚠",VLOOKUP(I210,'G-7 Rivers Data'!$AG$4:$AI$9,3,FALSE)))</f>
        <v/>
      </c>
      <c r="L210" s="498" t="str">
        <f>IFERROR(INDEX('G-7 Rivers Data'!$O$3:$O$7,MATCH(G210,'G-7 Rivers Data'!$N$3:$N$7,0)),"")</f>
        <v/>
      </c>
      <c r="M210" s="82"/>
      <c r="N210" s="195"/>
      <c r="O210" s="507" t="str">
        <f t="shared" si="19"/>
        <v/>
      </c>
      <c r="P210" s="521" t="str">
        <f t="shared" si="20"/>
        <v/>
      </c>
      <c r="Q210" s="564" t="str">
        <f>IFERROR(IF(P210="Check Data ⚠","Check Data ⚠",VLOOKUP(P210,'G-4 Temporal multipliers'!$A$4:$C$37,3,FALSE)),"")</f>
        <v/>
      </c>
      <c r="R210" s="498" t="str">
        <f>IF(C210="","",VLOOKUP(C210,'G-7 Rivers Data'!$B$4:$G$8,4,FALSE))</f>
        <v/>
      </c>
      <c r="S210" s="507" t="str">
        <f t="shared" si="21"/>
        <v/>
      </c>
      <c r="T210" s="540" t="str">
        <f t="shared" si="22"/>
        <v/>
      </c>
      <c r="U210" s="499" t="str">
        <f t="shared" si="23"/>
        <v/>
      </c>
      <c r="V210" s="71"/>
      <c r="W210" s="499" t="str">
        <f>IF(V210="","",IF(VLOOKUP(V210,'G-7 Rivers Data'!$AA$4:$AB$7,2,FALSE)=0,"Spatial Data Missing ⚠",VLOOKUP(V210,'G-7 Rivers Data'!$AA$4:$AB$7,2,FALSE)))</f>
        <v/>
      </c>
      <c r="X210" s="155"/>
      <c r="Y210" s="499" t="str">
        <f>IF(X210="","",IF(VLOOKUP(X210,'G-7 Rivers Data'!$AD$4:$AE$8,2,FALSE)=0,"Enrcoachment Data Missing ⚠",VLOOKUP(X210,'G-7 Rivers Data'!$AD$4:$AE$8,2,FALSE)))</f>
        <v/>
      </c>
      <c r="Z210" s="565" t="str">
        <f t="shared" si="24"/>
        <v/>
      </c>
      <c r="AA210" s="149"/>
      <c r="AB210" s="150"/>
      <c r="AH210" s="31" t="str">
        <f>IFERROR(INDEX('G-7 Rivers Data'!$AZ$3:$AZ$7,MATCH(C210,'G-7 Rivers Data'!$AY$3:$AY$7,0)),"")</f>
        <v/>
      </c>
    </row>
    <row r="211" spans="2:34" ht="14" x14ac:dyDescent="0.3">
      <c r="B211" s="141">
        <v>200</v>
      </c>
      <c r="C211" s="171"/>
      <c r="D211" s="172"/>
      <c r="E211" s="498" t="str">
        <f>IF(C211="","",VLOOKUP(C211,'G-7 Rivers Data'!$B$2:$G$8,2,FALSE))</f>
        <v/>
      </c>
      <c r="F211" s="499" t="str">
        <f>IFERROR(VLOOKUP(E211,'G-7 Rivers Data'!$C$4:$D$8,2,FALSE),"")</f>
        <v/>
      </c>
      <c r="G211" s="145"/>
      <c r="H211" s="499" t="str">
        <f>IFERROR(INDEX('G-7 Rivers Data'!$H$4:$L$8,MATCH(C211,'G-7 Rivers Data'!$B$4:$B$8,0),MATCH(G211,'G-7 Rivers Data'!$H$3:$L$3,0)),"")</f>
        <v/>
      </c>
      <c r="I211" s="154"/>
      <c r="J211" s="507" t="str">
        <f>IF(I211="","",IF(VLOOKUP(I211,'G-7 Rivers Data'!$AG$4:$AI$9,2,FALSE)=0,"Spatial Data Missing ⚠",VLOOKUP(I211,'G-7 Rivers Data'!$AG$4:$AI$9,2,FALSE)))</f>
        <v/>
      </c>
      <c r="K211" s="499" t="str">
        <f>IF(I211="","",IF(VLOOKUP(I211,'G-7 Rivers Data'!$AG$4:$AI$9,3,FALSE)=0,"Spatial Data Missing ⚠",VLOOKUP(I211,'G-7 Rivers Data'!$AG$4:$AI$9,3,FALSE)))</f>
        <v/>
      </c>
      <c r="L211" s="498" t="str">
        <f>IFERROR(INDEX('G-7 Rivers Data'!$O$3:$O$7,MATCH(G211,'G-7 Rivers Data'!$N$3:$N$7,0)),"")</f>
        <v/>
      </c>
      <c r="M211" s="82"/>
      <c r="N211" s="195"/>
      <c r="O211" s="507" t="str">
        <f t="shared" si="19"/>
        <v/>
      </c>
      <c r="P211" s="521" t="str">
        <f t="shared" si="20"/>
        <v/>
      </c>
      <c r="Q211" s="564" t="str">
        <f>IFERROR(IF(P211="Check Data ⚠","Check Data ⚠",VLOOKUP(P211,'G-4 Temporal multipliers'!$A$4:$C$37,3,FALSE)),"")</f>
        <v/>
      </c>
      <c r="R211" s="498" t="str">
        <f>IF(C211="","",VLOOKUP(C211,'G-7 Rivers Data'!$B$4:$G$8,4,FALSE))</f>
        <v/>
      </c>
      <c r="S211" s="507" t="str">
        <f t="shared" si="21"/>
        <v/>
      </c>
      <c r="T211" s="540" t="str">
        <f t="shared" si="22"/>
        <v/>
      </c>
      <c r="U211" s="499" t="str">
        <f t="shared" si="23"/>
        <v/>
      </c>
      <c r="V211" s="71"/>
      <c r="W211" s="499" t="str">
        <f>IF(V211="","",IF(VLOOKUP(V211,'G-7 Rivers Data'!$AA$4:$AB$7,2,FALSE)=0,"Spatial Data Missing ⚠",VLOOKUP(V211,'G-7 Rivers Data'!$AA$4:$AB$7,2,FALSE)))</f>
        <v/>
      </c>
      <c r="X211" s="155"/>
      <c r="Y211" s="499" t="str">
        <f>IF(X211="","",IF(VLOOKUP(X211,'G-7 Rivers Data'!$AD$4:$AE$8,2,FALSE)=0,"Enrcoachment Data Missing ⚠",VLOOKUP(X211,'G-7 Rivers Data'!$AD$4:$AE$8,2,FALSE)))</f>
        <v/>
      </c>
      <c r="Z211" s="565" t="str">
        <f t="shared" si="24"/>
        <v/>
      </c>
      <c r="AA211" s="149"/>
      <c r="AB211" s="150"/>
      <c r="AH211" s="31" t="str">
        <f>IFERROR(INDEX('G-7 Rivers Data'!$AZ$3:$AZ$7,MATCH(C211,'G-7 Rivers Data'!$AY$3:$AY$7,0)),"")</f>
        <v/>
      </c>
    </row>
    <row r="212" spans="2:34" ht="14" x14ac:dyDescent="0.3">
      <c r="B212" s="141">
        <v>201</v>
      </c>
      <c r="C212" s="171"/>
      <c r="D212" s="172"/>
      <c r="E212" s="498" t="str">
        <f>IF(C212="","",VLOOKUP(C212,'G-7 Rivers Data'!$B$2:$G$8,2,FALSE))</f>
        <v/>
      </c>
      <c r="F212" s="499" t="str">
        <f>IFERROR(VLOOKUP(E212,'G-7 Rivers Data'!$C$4:$D$8,2,FALSE),"")</f>
        <v/>
      </c>
      <c r="G212" s="145"/>
      <c r="H212" s="499" t="str">
        <f>IFERROR(INDEX('G-7 Rivers Data'!$H$4:$L$8,MATCH(C212,'G-7 Rivers Data'!$B$4:$B$8,0),MATCH(G212,'G-7 Rivers Data'!$H$3:$L$3,0)),"")</f>
        <v/>
      </c>
      <c r="I212" s="154"/>
      <c r="J212" s="507" t="str">
        <f>IF(I212="","",IF(VLOOKUP(I212,'G-7 Rivers Data'!$AG$4:$AI$9,2,FALSE)=0,"Spatial Data Missing ⚠",VLOOKUP(I212,'G-7 Rivers Data'!$AG$4:$AI$9,2,FALSE)))</f>
        <v/>
      </c>
      <c r="K212" s="499" t="str">
        <f>IF(I212="","",IF(VLOOKUP(I212,'G-7 Rivers Data'!$AG$4:$AI$9,3,FALSE)=0,"Spatial Data Missing ⚠",VLOOKUP(I212,'G-7 Rivers Data'!$AG$4:$AI$9,3,FALSE)))</f>
        <v/>
      </c>
      <c r="L212" s="498" t="str">
        <f>IFERROR(INDEX('G-7 Rivers Data'!$O$3:$O$7,MATCH(G212,'G-7 Rivers Data'!$N$3:$N$7,0)),"")</f>
        <v/>
      </c>
      <c r="M212" s="82"/>
      <c r="N212" s="195"/>
      <c r="O212" s="507" t="str">
        <f t="shared" si="19"/>
        <v/>
      </c>
      <c r="P212" s="521" t="str">
        <f t="shared" si="20"/>
        <v/>
      </c>
      <c r="Q212" s="564" t="str">
        <f>IFERROR(IF(P212="Check Data ⚠","Check Data ⚠",VLOOKUP(P212,'G-4 Temporal multipliers'!$A$4:$C$37,3,FALSE)),"")</f>
        <v/>
      </c>
      <c r="R212" s="498" t="str">
        <f>IF(C212="","",VLOOKUP(C212,'G-7 Rivers Data'!$B$4:$G$8,4,FALSE))</f>
        <v/>
      </c>
      <c r="S212" s="507" t="str">
        <f t="shared" si="21"/>
        <v/>
      </c>
      <c r="T212" s="540" t="str">
        <f t="shared" si="22"/>
        <v/>
      </c>
      <c r="U212" s="499" t="str">
        <f t="shared" si="23"/>
        <v/>
      </c>
      <c r="V212" s="71"/>
      <c r="W212" s="499" t="str">
        <f>IF(V212="","",IF(VLOOKUP(V212,'G-7 Rivers Data'!$AA$4:$AB$7,2,FALSE)=0,"Spatial Data Missing ⚠",VLOOKUP(V212,'G-7 Rivers Data'!$AA$4:$AB$7,2,FALSE)))</f>
        <v/>
      </c>
      <c r="X212" s="155"/>
      <c r="Y212" s="499" t="str">
        <f>IF(X212="","",IF(VLOOKUP(X212,'G-7 Rivers Data'!$AD$4:$AE$8,2,FALSE)=0,"Enrcoachment Data Missing ⚠",VLOOKUP(X212,'G-7 Rivers Data'!$AD$4:$AE$8,2,FALSE)))</f>
        <v/>
      </c>
      <c r="Z212" s="565" t="str">
        <f t="shared" si="24"/>
        <v/>
      </c>
      <c r="AA212" s="149"/>
      <c r="AB212" s="150"/>
      <c r="AH212" s="31" t="str">
        <f>IFERROR(INDEX('G-7 Rivers Data'!$AZ$3:$AZ$7,MATCH(C212,'G-7 Rivers Data'!$AY$3:$AY$7,0)),"")</f>
        <v/>
      </c>
    </row>
    <row r="213" spans="2:34" ht="14" x14ac:dyDescent="0.3">
      <c r="B213" s="141">
        <v>202</v>
      </c>
      <c r="C213" s="171"/>
      <c r="D213" s="172"/>
      <c r="E213" s="498" t="str">
        <f>IF(C213="","",VLOOKUP(C213,'G-7 Rivers Data'!$B$2:$G$8,2,FALSE))</f>
        <v/>
      </c>
      <c r="F213" s="499" t="str">
        <f>IFERROR(VLOOKUP(E213,'G-7 Rivers Data'!$C$4:$D$8,2,FALSE),"")</f>
        <v/>
      </c>
      <c r="G213" s="145"/>
      <c r="H213" s="499" t="str">
        <f>IFERROR(INDEX('G-7 Rivers Data'!$H$4:$L$8,MATCH(C213,'G-7 Rivers Data'!$B$4:$B$8,0),MATCH(G213,'G-7 Rivers Data'!$H$3:$L$3,0)),"")</f>
        <v/>
      </c>
      <c r="I213" s="154"/>
      <c r="J213" s="507" t="str">
        <f>IF(I213="","",IF(VLOOKUP(I213,'G-7 Rivers Data'!$AG$4:$AI$9,2,FALSE)=0,"Spatial Data Missing ⚠",VLOOKUP(I213,'G-7 Rivers Data'!$AG$4:$AI$9,2,FALSE)))</f>
        <v/>
      </c>
      <c r="K213" s="499" t="str">
        <f>IF(I213="","",IF(VLOOKUP(I213,'G-7 Rivers Data'!$AG$4:$AI$9,3,FALSE)=0,"Spatial Data Missing ⚠",VLOOKUP(I213,'G-7 Rivers Data'!$AG$4:$AI$9,3,FALSE)))</f>
        <v/>
      </c>
      <c r="L213" s="498" t="str">
        <f>IFERROR(INDEX('G-7 Rivers Data'!$O$3:$O$7,MATCH(G213,'G-7 Rivers Data'!$N$3:$N$7,0)),"")</f>
        <v/>
      </c>
      <c r="M213" s="82"/>
      <c r="N213" s="195"/>
      <c r="O213" s="507" t="str">
        <f t="shared" si="19"/>
        <v/>
      </c>
      <c r="P213" s="521" t="str">
        <f t="shared" si="20"/>
        <v/>
      </c>
      <c r="Q213" s="564" t="str">
        <f>IFERROR(IF(P213="Check Data ⚠","Check Data ⚠",VLOOKUP(P213,'G-4 Temporal multipliers'!$A$4:$C$37,3,FALSE)),"")</f>
        <v/>
      </c>
      <c r="R213" s="498" t="str">
        <f>IF(C213="","",VLOOKUP(C213,'G-7 Rivers Data'!$B$4:$G$8,4,FALSE))</f>
        <v/>
      </c>
      <c r="S213" s="507" t="str">
        <f t="shared" si="21"/>
        <v/>
      </c>
      <c r="T213" s="540" t="str">
        <f t="shared" si="22"/>
        <v/>
      </c>
      <c r="U213" s="499" t="str">
        <f t="shared" si="23"/>
        <v/>
      </c>
      <c r="V213" s="71"/>
      <c r="W213" s="499" t="str">
        <f>IF(V213="","",IF(VLOOKUP(V213,'G-7 Rivers Data'!$AA$4:$AB$7,2,FALSE)=0,"Spatial Data Missing ⚠",VLOOKUP(V213,'G-7 Rivers Data'!$AA$4:$AB$7,2,FALSE)))</f>
        <v/>
      </c>
      <c r="X213" s="155"/>
      <c r="Y213" s="499" t="str">
        <f>IF(X213="","",IF(VLOOKUP(X213,'G-7 Rivers Data'!$AD$4:$AE$8,2,FALSE)=0,"Enrcoachment Data Missing ⚠",VLOOKUP(X213,'G-7 Rivers Data'!$AD$4:$AE$8,2,FALSE)))</f>
        <v/>
      </c>
      <c r="Z213" s="565" t="str">
        <f t="shared" si="24"/>
        <v/>
      </c>
      <c r="AA213" s="149"/>
      <c r="AB213" s="150"/>
      <c r="AH213" s="31" t="str">
        <f>IFERROR(INDEX('G-7 Rivers Data'!$AZ$3:$AZ$7,MATCH(C213,'G-7 Rivers Data'!$AY$3:$AY$7,0)),"")</f>
        <v/>
      </c>
    </row>
    <row r="214" spans="2:34" ht="14" x14ac:dyDescent="0.3">
      <c r="B214" s="141">
        <v>203</v>
      </c>
      <c r="C214" s="171"/>
      <c r="D214" s="172"/>
      <c r="E214" s="498" t="str">
        <f>IF(C214="","",VLOOKUP(C214,'G-7 Rivers Data'!$B$2:$G$8,2,FALSE))</f>
        <v/>
      </c>
      <c r="F214" s="499" t="str">
        <f>IFERROR(VLOOKUP(E214,'G-7 Rivers Data'!$C$4:$D$8,2,FALSE),"")</f>
        <v/>
      </c>
      <c r="G214" s="145"/>
      <c r="H214" s="499" t="str">
        <f>IFERROR(INDEX('G-7 Rivers Data'!$H$4:$L$8,MATCH(C214,'G-7 Rivers Data'!$B$4:$B$8,0),MATCH(G214,'G-7 Rivers Data'!$H$3:$L$3,0)),"")</f>
        <v/>
      </c>
      <c r="I214" s="154"/>
      <c r="J214" s="507" t="str">
        <f>IF(I214="","",IF(VLOOKUP(I214,'G-7 Rivers Data'!$AG$4:$AI$9,2,FALSE)=0,"Spatial Data Missing ⚠",VLOOKUP(I214,'G-7 Rivers Data'!$AG$4:$AI$9,2,FALSE)))</f>
        <v/>
      </c>
      <c r="K214" s="499" t="str">
        <f>IF(I214="","",IF(VLOOKUP(I214,'G-7 Rivers Data'!$AG$4:$AI$9,3,FALSE)=0,"Spatial Data Missing ⚠",VLOOKUP(I214,'G-7 Rivers Data'!$AG$4:$AI$9,3,FALSE)))</f>
        <v/>
      </c>
      <c r="L214" s="498" t="str">
        <f>IFERROR(INDEX('G-7 Rivers Data'!$O$3:$O$7,MATCH(G214,'G-7 Rivers Data'!$N$3:$N$7,0)),"")</f>
        <v/>
      </c>
      <c r="M214" s="82"/>
      <c r="N214" s="195"/>
      <c r="O214" s="507" t="str">
        <f t="shared" si="19"/>
        <v/>
      </c>
      <c r="P214" s="521" t="str">
        <f t="shared" si="20"/>
        <v/>
      </c>
      <c r="Q214" s="564" t="str">
        <f>IFERROR(IF(P214="Check Data ⚠","Check Data ⚠",VLOOKUP(P214,'G-4 Temporal multipliers'!$A$4:$C$37,3,FALSE)),"")</f>
        <v/>
      </c>
      <c r="R214" s="498" t="str">
        <f>IF(C214="","",VLOOKUP(C214,'G-7 Rivers Data'!$B$4:$G$8,4,FALSE))</f>
        <v/>
      </c>
      <c r="S214" s="507" t="str">
        <f t="shared" si="21"/>
        <v/>
      </c>
      <c r="T214" s="540" t="str">
        <f t="shared" si="22"/>
        <v/>
      </c>
      <c r="U214" s="499" t="str">
        <f t="shared" si="23"/>
        <v/>
      </c>
      <c r="V214" s="71"/>
      <c r="W214" s="499" t="str">
        <f>IF(V214="","",IF(VLOOKUP(V214,'G-7 Rivers Data'!$AA$4:$AB$7,2,FALSE)=0,"Spatial Data Missing ⚠",VLOOKUP(V214,'G-7 Rivers Data'!$AA$4:$AB$7,2,FALSE)))</f>
        <v/>
      </c>
      <c r="X214" s="155"/>
      <c r="Y214" s="499" t="str">
        <f>IF(X214="","",IF(VLOOKUP(X214,'G-7 Rivers Data'!$AD$4:$AE$8,2,FALSE)=0,"Enrcoachment Data Missing ⚠",VLOOKUP(X214,'G-7 Rivers Data'!$AD$4:$AE$8,2,FALSE)))</f>
        <v/>
      </c>
      <c r="Z214" s="565" t="str">
        <f t="shared" si="24"/>
        <v/>
      </c>
      <c r="AA214" s="149"/>
      <c r="AB214" s="150"/>
      <c r="AH214" s="31" t="str">
        <f>IFERROR(INDEX('G-7 Rivers Data'!$AZ$3:$AZ$7,MATCH(C214,'G-7 Rivers Data'!$AY$3:$AY$7,0)),"")</f>
        <v/>
      </c>
    </row>
    <row r="215" spans="2:34" ht="14" x14ac:dyDescent="0.3">
      <c r="B215" s="141">
        <v>204</v>
      </c>
      <c r="C215" s="171"/>
      <c r="D215" s="172"/>
      <c r="E215" s="498" t="str">
        <f>IF(C215="","",VLOOKUP(C215,'G-7 Rivers Data'!$B$2:$G$8,2,FALSE))</f>
        <v/>
      </c>
      <c r="F215" s="499" t="str">
        <f>IFERROR(VLOOKUP(E215,'G-7 Rivers Data'!$C$4:$D$8,2,FALSE),"")</f>
        <v/>
      </c>
      <c r="G215" s="145"/>
      <c r="H215" s="499" t="str">
        <f>IFERROR(INDEX('G-7 Rivers Data'!$H$4:$L$8,MATCH(C215,'G-7 Rivers Data'!$B$4:$B$8,0),MATCH(G215,'G-7 Rivers Data'!$H$3:$L$3,0)),"")</f>
        <v/>
      </c>
      <c r="I215" s="154"/>
      <c r="J215" s="507" t="str">
        <f>IF(I215="","",IF(VLOOKUP(I215,'G-7 Rivers Data'!$AG$4:$AI$9,2,FALSE)=0,"Spatial Data Missing ⚠",VLOOKUP(I215,'G-7 Rivers Data'!$AG$4:$AI$9,2,FALSE)))</f>
        <v/>
      </c>
      <c r="K215" s="499" t="str">
        <f>IF(I215="","",IF(VLOOKUP(I215,'G-7 Rivers Data'!$AG$4:$AI$9,3,FALSE)=0,"Spatial Data Missing ⚠",VLOOKUP(I215,'G-7 Rivers Data'!$AG$4:$AI$9,3,FALSE)))</f>
        <v/>
      </c>
      <c r="L215" s="498" t="str">
        <f>IFERROR(INDEX('G-7 Rivers Data'!$O$3:$O$7,MATCH(G215,'G-7 Rivers Data'!$N$3:$N$7,0)),"")</f>
        <v/>
      </c>
      <c r="M215" s="82"/>
      <c r="N215" s="195"/>
      <c r="O215" s="507" t="str">
        <f t="shared" si="19"/>
        <v/>
      </c>
      <c r="P215" s="521" t="str">
        <f t="shared" si="20"/>
        <v/>
      </c>
      <c r="Q215" s="564" t="str">
        <f>IFERROR(IF(P215="Check Data ⚠","Check Data ⚠",VLOOKUP(P215,'G-4 Temporal multipliers'!$A$4:$C$37,3,FALSE)),"")</f>
        <v/>
      </c>
      <c r="R215" s="498" t="str">
        <f>IF(C215="","",VLOOKUP(C215,'G-7 Rivers Data'!$B$4:$G$8,4,FALSE))</f>
        <v/>
      </c>
      <c r="S215" s="507" t="str">
        <f t="shared" si="21"/>
        <v/>
      </c>
      <c r="T215" s="540" t="str">
        <f t="shared" si="22"/>
        <v/>
      </c>
      <c r="U215" s="499" t="str">
        <f t="shared" si="23"/>
        <v/>
      </c>
      <c r="V215" s="71"/>
      <c r="W215" s="499" t="str">
        <f>IF(V215="","",IF(VLOOKUP(V215,'G-7 Rivers Data'!$AA$4:$AB$7,2,FALSE)=0,"Spatial Data Missing ⚠",VLOOKUP(V215,'G-7 Rivers Data'!$AA$4:$AB$7,2,FALSE)))</f>
        <v/>
      </c>
      <c r="X215" s="155"/>
      <c r="Y215" s="499" t="str">
        <f>IF(X215="","",IF(VLOOKUP(X215,'G-7 Rivers Data'!$AD$4:$AE$8,2,FALSE)=0,"Enrcoachment Data Missing ⚠",VLOOKUP(X215,'G-7 Rivers Data'!$AD$4:$AE$8,2,FALSE)))</f>
        <v/>
      </c>
      <c r="Z215" s="565" t="str">
        <f t="shared" si="24"/>
        <v/>
      </c>
      <c r="AA215" s="149"/>
      <c r="AB215" s="150"/>
      <c r="AH215" s="31" t="str">
        <f>IFERROR(INDEX('G-7 Rivers Data'!$AZ$3:$AZ$7,MATCH(C215,'G-7 Rivers Data'!$AY$3:$AY$7,0)),"")</f>
        <v/>
      </c>
    </row>
    <row r="216" spans="2:34" ht="14" x14ac:dyDescent="0.3">
      <c r="B216" s="141">
        <v>205</v>
      </c>
      <c r="C216" s="171"/>
      <c r="D216" s="172"/>
      <c r="E216" s="498" t="str">
        <f>IF(C216="","",VLOOKUP(C216,'G-7 Rivers Data'!$B$2:$G$8,2,FALSE))</f>
        <v/>
      </c>
      <c r="F216" s="499" t="str">
        <f>IFERROR(VLOOKUP(E216,'G-7 Rivers Data'!$C$4:$D$8,2,FALSE),"")</f>
        <v/>
      </c>
      <c r="G216" s="145"/>
      <c r="H216" s="499" t="str">
        <f>IFERROR(INDEX('G-7 Rivers Data'!$H$4:$L$8,MATCH(C216,'G-7 Rivers Data'!$B$4:$B$8,0),MATCH(G216,'G-7 Rivers Data'!$H$3:$L$3,0)),"")</f>
        <v/>
      </c>
      <c r="I216" s="154"/>
      <c r="J216" s="507" t="str">
        <f>IF(I216="","",IF(VLOOKUP(I216,'G-7 Rivers Data'!$AG$4:$AI$9,2,FALSE)=0,"Spatial Data Missing ⚠",VLOOKUP(I216,'G-7 Rivers Data'!$AG$4:$AI$9,2,FALSE)))</f>
        <v/>
      </c>
      <c r="K216" s="499" t="str">
        <f>IF(I216="","",IF(VLOOKUP(I216,'G-7 Rivers Data'!$AG$4:$AI$9,3,FALSE)=0,"Spatial Data Missing ⚠",VLOOKUP(I216,'G-7 Rivers Data'!$AG$4:$AI$9,3,FALSE)))</f>
        <v/>
      </c>
      <c r="L216" s="498" t="str">
        <f>IFERROR(INDEX('G-7 Rivers Data'!$O$3:$O$7,MATCH(G216,'G-7 Rivers Data'!$N$3:$N$7,0)),"")</f>
        <v/>
      </c>
      <c r="M216" s="82"/>
      <c r="N216" s="195"/>
      <c r="O216" s="507" t="str">
        <f t="shared" si="19"/>
        <v/>
      </c>
      <c r="P216" s="521" t="str">
        <f t="shared" si="20"/>
        <v/>
      </c>
      <c r="Q216" s="564" t="str">
        <f>IFERROR(IF(P216="Check Data ⚠","Check Data ⚠",VLOOKUP(P216,'G-4 Temporal multipliers'!$A$4:$C$37,3,FALSE)),"")</f>
        <v/>
      </c>
      <c r="R216" s="498" t="str">
        <f>IF(C216="","",VLOOKUP(C216,'G-7 Rivers Data'!$B$4:$G$8,4,FALSE))</f>
        <v/>
      </c>
      <c r="S216" s="507" t="str">
        <f t="shared" si="21"/>
        <v/>
      </c>
      <c r="T216" s="540" t="str">
        <f t="shared" si="22"/>
        <v/>
      </c>
      <c r="U216" s="499" t="str">
        <f t="shared" si="23"/>
        <v/>
      </c>
      <c r="V216" s="71"/>
      <c r="W216" s="499" t="str">
        <f>IF(V216="","",IF(VLOOKUP(V216,'G-7 Rivers Data'!$AA$4:$AB$7,2,FALSE)=0,"Spatial Data Missing ⚠",VLOOKUP(V216,'G-7 Rivers Data'!$AA$4:$AB$7,2,FALSE)))</f>
        <v/>
      </c>
      <c r="X216" s="155"/>
      <c r="Y216" s="499" t="str">
        <f>IF(X216="","",IF(VLOOKUP(X216,'G-7 Rivers Data'!$AD$4:$AE$8,2,FALSE)=0,"Enrcoachment Data Missing ⚠",VLOOKUP(X216,'G-7 Rivers Data'!$AD$4:$AE$8,2,FALSE)))</f>
        <v/>
      </c>
      <c r="Z216" s="565" t="str">
        <f t="shared" si="24"/>
        <v/>
      </c>
      <c r="AA216" s="149"/>
      <c r="AB216" s="150"/>
      <c r="AH216" s="31" t="str">
        <f>IFERROR(INDEX('G-7 Rivers Data'!$AZ$3:$AZ$7,MATCH(C216,'G-7 Rivers Data'!$AY$3:$AY$7,0)),"")</f>
        <v/>
      </c>
    </row>
    <row r="217" spans="2:34" ht="14" x14ac:dyDescent="0.3">
      <c r="B217" s="141">
        <v>206</v>
      </c>
      <c r="C217" s="171"/>
      <c r="D217" s="172"/>
      <c r="E217" s="498" t="str">
        <f>IF(C217="","",VLOOKUP(C217,'G-7 Rivers Data'!$B$2:$G$8,2,FALSE))</f>
        <v/>
      </c>
      <c r="F217" s="499" t="str">
        <f>IFERROR(VLOOKUP(E217,'G-7 Rivers Data'!$C$4:$D$8,2,FALSE),"")</f>
        <v/>
      </c>
      <c r="G217" s="145"/>
      <c r="H217" s="499" t="str">
        <f>IFERROR(INDEX('G-7 Rivers Data'!$H$4:$L$8,MATCH(C217,'G-7 Rivers Data'!$B$4:$B$8,0),MATCH(G217,'G-7 Rivers Data'!$H$3:$L$3,0)),"")</f>
        <v/>
      </c>
      <c r="I217" s="154"/>
      <c r="J217" s="507" t="str">
        <f>IF(I217="","",IF(VLOOKUP(I217,'G-7 Rivers Data'!$AG$4:$AI$9,2,FALSE)=0,"Spatial Data Missing ⚠",VLOOKUP(I217,'G-7 Rivers Data'!$AG$4:$AI$9,2,FALSE)))</f>
        <v/>
      </c>
      <c r="K217" s="499" t="str">
        <f>IF(I217="","",IF(VLOOKUP(I217,'G-7 Rivers Data'!$AG$4:$AI$9,3,FALSE)=0,"Spatial Data Missing ⚠",VLOOKUP(I217,'G-7 Rivers Data'!$AG$4:$AI$9,3,FALSE)))</f>
        <v/>
      </c>
      <c r="L217" s="498" t="str">
        <f>IFERROR(INDEX('G-7 Rivers Data'!$O$3:$O$7,MATCH(G217,'G-7 Rivers Data'!$N$3:$N$7,0)),"")</f>
        <v/>
      </c>
      <c r="M217" s="82"/>
      <c r="N217" s="195"/>
      <c r="O217" s="507" t="str">
        <f t="shared" si="19"/>
        <v/>
      </c>
      <c r="P217" s="521" t="str">
        <f t="shared" si="20"/>
        <v/>
      </c>
      <c r="Q217" s="564" t="str">
        <f>IFERROR(IF(P217="Check Data ⚠","Check Data ⚠",VLOOKUP(P217,'G-4 Temporal multipliers'!$A$4:$C$37,3,FALSE)),"")</f>
        <v/>
      </c>
      <c r="R217" s="498" t="str">
        <f>IF(C217="","",VLOOKUP(C217,'G-7 Rivers Data'!$B$4:$G$8,4,FALSE))</f>
        <v/>
      </c>
      <c r="S217" s="507" t="str">
        <f t="shared" si="21"/>
        <v/>
      </c>
      <c r="T217" s="540" t="str">
        <f t="shared" si="22"/>
        <v/>
      </c>
      <c r="U217" s="499" t="str">
        <f t="shared" si="23"/>
        <v/>
      </c>
      <c r="V217" s="71"/>
      <c r="W217" s="499" t="str">
        <f>IF(V217="","",IF(VLOOKUP(V217,'G-7 Rivers Data'!$AA$4:$AB$7,2,FALSE)=0,"Spatial Data Missing ⚠",VLOOKUP(V217,'G-7 Rivers Data'!$AA$4:$AB$7,2,FALSE)))</f>
        <v/>
      </c>
      <c r="X217" s="155"/>
      <c r="Y217" s="499" t="str">
        <f>IF(X217="","",IF(VLOOKUP(X217,'G-7 Rivers Data'!$AD$4:$AE$8,2,FALSE)=0,"Enrcoachment Data Missing ⚠",VLOOKUP(X217,'G-7 Rivers Data'!$AD$4:$AE$8,2,FALSE)))</f>
        <v/>
      </c>
      <c r="Z217" s="565" t="str">
        <f t="shared" si="24"/>
        <v/>
      </c>
      <c r="AA217" s="149"/>
      <c r="AB217" s="150"/>
      <c r="AH217" s="31" t="str">
        <f>IFERROR(INDEX('G-7 Rivers Data'!$AZ$3:$AZ$7,MATCH(C217,'G-7 Rivers Data'!$AY$3:$AY$7,0)),"")</f>
        <v/>
      </c>
    </row>
    <row r="218" spans="2:34" ht="14" x14ac:dyDescent="0.3">
      <c r="B218" s="141">
        <v>207</v>
      </c>
      <c r="C218" s="171"/>
      <c r="D218" s="172"/>
      <c r="E218" s="498" t="str">
        <f>IF(C218="","",VLOOKUP(C218,'G-7 Rivers Data'!$B$2:$G$8,2,FALSE))</f>
        <v/>
      </c>
      <c r="F218" s="499" t="str">
        <f>IFERROR(VLOOKUP(E218,'G-7 Rivers Data'!$C$4:$D$8,2,FALSE),"")</f>
        <v/>
      </c>
      <c r="G218" s="145"/>
      <c r="H218" s="499" t="str">
        <f>IFERROR(INDEX('G-7 Rivers Data'!$H$4:$L$8,MATCH(C218,'G-7 Rivers Data'!$B$4:$B$8,0),MATCH(G218,'G-7 Rivers Data'!$H$3:$L$3,0)),"")</f>
        <v/>
      </c>
      <c r="I218" s="154"/>
      <c r="J218" s="507" t="str">
        <f>IF(I218="","",IF(VLOOKUP(I218,'G-7 Rivers Data'!$AG$4:$AI$9,2,FALSE)=0,"Spatial Data Missing ⚠",VLOOKUP(I218,'G-7 Rivers Data'!$AG$4:$AI$9,2,FALSE)))</f>
        <v/>
      </c>
      <c r="K218" s="499" t="str">
        <f>IF(I218="","",IF(VLOOKUP(I218,'G-7 Rivers Data'!$AG$4:$AI$9,3,FALSE)=0,"Spatial Data Missing ⚠",VLOOKUP(I218,'G-7 Rivers Data'!$AG$4:$AI$9,3,FALSE)))</f>
        <v/>
      </c>
      <c r="L218" s="498" t="str">
        <f>IFERROR(INDEX('G-7 Rivers Data'!$O$3:$O$7,MATCH(G218,'G-7 Rivers Data'!$N$3:$N$7,0)),"")</f>
        <v/>
      </c>
      <c r="M218" s="82"/>
      <c r="N218" s="195"/>
      <c r="O218" s="507" t="str">
        <f t="shared" si="19"/>
        <v/>
      </c>
      <c r="P218" s="521" t="str">
        <f t="shared" si="20"/>
        <v/>
      </c>
      <c r="Q218" s="564" t="str">
        <f>IFERROR(IF(P218="Check Data ⚠","Check Data ⚠",VLOOKUP(P218,'G-4 Temporal multipliers'!$A$4:$C$37,3,FALSE)),"")</f>
        <v/>
      </c>
      <c r="R218" s="498" t="str">
        <f>IF(C218="","",VLOOKUP(C218,'G-7 Rivers Data'!$B$4:$G$8,4,FALSE))</f>
        <v/>
      </c>
      <c r="S218" s="507" t="str">
        <f t="shared" si="21"/>
        <v/>
      </c>
      <c r="T218" s="540" t="str">
        <f t="shared" si="22"/>
        <v/>
      </c>
      <c r="U218" s="499" t="str">
        <f t="shared" si="23"/>
        <v/>
      </c>
      <c r="V218" s="71"/>
      <c r="W218" s="499" t="str">
        <f>IF(V218="","",IF(VLOOKUP(V218,'G-7 Rivers Data'!$AA$4:$AB$7,2,FALSE)=0,"Spatial Data Missing ⚠",VLOOKUP(V218,'G-7 Rivers Data'!$AA$4:$AB$7,2,FALSE)))</f>
        <v/>
      </c>
      <c r="X218" s="155"/>
      <c r="Y218" s="499" t="str">
        <f>IF(X218="","",IF(VLOOKUP(X218,'G-7 Rivers Data'!$AD$4:$AE$8,2,FALSE)=0,"Enrcoachment Data Missing ⚠",VLOOKUP(X218,'G-7 Rivers Data'!$AD$4:$AE$8,2,FALSE)))</f>
        <v/>
      </c>
      <c r="Z218" s="565" t="str">
        <f t="shared" si="24"/>
        <v/>
      </c>
      <c r="AA218" s="149"/>
      <c r="AB218" s="150"/>
      <c r="AH218" s="31" t="str">
        <f>IFERROR(INDEX('G-7 Rivers Data'!$AZ$3:$AZ$7,MATCH(C218,'G-7 Rivers Data'!$AY$3:$AY$7,0)),"")</f>
        <v/>
      </c>
    </row>
    <row r="219" spans="2:34" ht="14" x14ac:dyDescent="0.3">
      <c r="B219" s="141">
        <v>208</v>
      </c>
      <c r="C219" s="171"/>
      <c r="D219" s="172"/>
      <c r="E219" s="498" t="str">
        <f>IF(C219="","",VLOOKUP(C219,'G-7 Rivers Data'!$B$2:$G$8,2,FALSE))</f>
        <v/>
      </c>
      <c r="F219" s="499" t="str">
        <f>IFERROR(VLOOKUP(E219,'G-7 Rivers Data'!$C$4:$D$8,2,FALSE),"")</f>
        <v/>
      </c>
      <c r="G219" s="145"/>
      <c r="H219" s="499" t="str">
        <f>IFERROR(INDEX('G-7 Rivers Data'!$H$4:$L$8,MATCH(C219,'G-7 Rivers Data'!$B$4:$B$8,0),MATCH(G219,'G-7 Rivers Data'!$H$3:$L$3,0)),"")</f>
        <v/>
      </c>
      <c r="I219" s="154"/>
      <c r="J219" s="507" t="str">
        <f>IF(I219="","",IF(VLOOKUP(I219,'G-7 Rivers Data'!$AG$4:$AI$9,2,FALSE)=0,"Spatial Data Missing ⚠",VLOOKUP(I219,'G-7 Rivers Data'!$AG$4:$AI$9,2,FALSE)))</f>
        <v/>
      </c>
      <c r="K219" s="499" t="str">
        <f>IF(I219="","",IF(VLOOKUP(I219,'G-7 Rivers Data'!$AG$4:$AI$9,3,FALSE)=0,"Spatial Data Missing ⚠",VLOOKUP(I219,'G-7 Rivers Data'!$AG$4:$AI$9,3,FALSE)))</f>
        <v/>
      </c>
      <c r="L219" s="498" t="str">
        <f>IFERROR(INDEX('G-7 Rivers Data'!$O$3:$O$7,MATCH(G219,'G-7 Rivers Data'!$N$3:$N$7,0)),"")</f>
        <v/>
      </c>
      <c r="M219" s="82"/>
      <c r="N219" s="195"/>
      <c r="O219" s="507" t="str">
        <f t="shared" si="19"/>
        <v/>
      </c>
      <c r="P219" s="521" t="str">
        <f t="shared" si="20"/>
        <v/>
      </c>
      <c r="Q219" s="564" t="str">
        <f>IFERROR(IF(P219="Check Data ⚠","Check Data ⚠",VLOOKUP(P219,'G-4 Temporal multipliers'!$A$4:$C$37,3,FALSE)),"")</f>
        <v/>
      </c>
      <c r="R219" s="498" t="str">
        <f>IF(C219="","",VLOOKUP(C219,'G-7 Rivers Data'!$B$4:$G$8,4,FALSE))</f>
        <v/>
      </c>
      <c r="S219" s="507" t="str">
        <f t="shared" si="21"/>
        <v/>
      </c>
      <c r="T219" s="540" t="str">
        <f t="shared" si="22"/>
        <v/>
      </c>
      <c r="U219" s="499" t="str">
        <f t="shared" si="23"/>
        <v/>
      </c>
      <c r="V219" s="71"/>
      <c r="W219" s="499" t="str">
        <f>IF(V219="","",IF(VLOOKUP(V219,'G-7 Rivers Data'!$AA$4:$AB$7,2,FALSE)=0,"Spatial Data Missing ⚠",VLOOKUP(V219,'G-7 Rivers Data'!$AA$4:$AB$7,2,FALSE)))</f>
        <v/>
      </c>
      <c r="X219" s="155"/>
      <c r="Y219" s="499" t="str">
        <f>IF(X219="","",IF(VLOOKUP(X219,'G-7 Rivers Data'!$AD$4:$AE$8,2,FALSE)=0,"Enrcoachment Data Missing ⚠",VLOOKUP(X219,'G-7 Rivers Data'!$AD$4:$AE$8,2,FALSE)))</f>
        <v/>
      </c>
      <c r="Z219" s="565" t="str">
        <f t="shared" si="24"/>
        <v/>
      </c>
      <c r="AA219" s="149"/>
      <c r="AB219" s="150"/>
      <c r="AH219" s="31" t="str">
        <f>IFERROR(INDEX('G-7 Rivers Data'!$AZ$3:$AZ$7,MATCH(C219,'G-7 Rivers Data'!$AY$3:$AY$7,0)),"")</f>
        <v/>
      </c>
    </row>
    <row r="220" spans="2:34" ht="14" x14ac:dyDescent="0.3">
      <c r="B220" s="141">
        <v>209</v>
      </c>
      <c r="C220" s="171"/>
      <c r="D220" s="172"/>
      <c r="E220" s="498" t="str">
        <f>IF(C220="","",VLOOKUP(C220,'G-7 Rivers Data'!$B$2:$G$8,2,FALSE))</f>
        <v/>
      </c>
      <c r="F220" s="499" t="str">
        <f>IFERROR(VLOOKUP(E220,'G-7 Rivers Data'!$C$4:$D$8,2,FALSE),"")</f>
        <v/>
      </c>
      <c r="G220" s="145"/>
      <c r="H220" s="499" t="str">
        <f>IFERROR(INDEX('G-7 Rivers Data'!$H$4:$L$8,MATCH(C220,'G-7 Rivers Data'!$B$4:$B$8,0),MATCH(G220,'G-7 Rivers Data'!$H$3:$L$3,0)),"")</f>
        <v/>
      </c>
      <c r="I220" s="154"/>
      <c r="J220" s="507" t="str">
        <f>IF(I220="","",IF(VLOOKUP(I220,'G-7 Rivers Data'!$AG$4:$AI$9,2,FALSE)=0,"Spatial Data Missing ⚠",VLOOKUP(I220,'G-7 Rivers Data'!$AG$4:$AI$9,2,FALSE)))</f>
        <v/>
      </c>
      <c r="K220" s="499" t="str">
        <f>IF(I220="","",IF(VLOOKUP(I220,'G-7 Rivers Data'!$AG$4:$AI$9,3,FALSE)=0,"Spatial Data Missing ⚠",VLOOKUP(I220,'G-7 Rivers Data'!$AG$4:$AI$9,3,FALSE)))</f>
        <v/>
      </c>
      <c r="L220" s="498" t="str">
        <f>IFERROR(INDEX('G-7 Rivers Data'!$O$3:$O$7,MATCH(G220,'G-7 Rivers Data'!$N$3:$N$7,0)),"")</f>
        <v/>
      </c>
      <c r="M220" s="82"/>
      <c r="N220" s="195"/>
      <c r="O220" s="507" t="str">
        <f t="shared" si="19"/>
        <v/>
      </c>
      <c r="P220" s="521" t="str">
        <f t="shared" si="20"/>
        <v/>
      </c>
      <c r="Q220" s="564" t="str">
        <f>IFERROR(IF(P220="Check Data ⚠","Check Data ⚠",VLOOKUP(P220,'G-4 Temporal multipliers'!$A$4:$C$37,3,FALSE)),"")</f>
        <v/>
      </c>
      <c r="R220" s="498" t="str">
        <f>IF(C220="","",VLOOKUP(C220,'G-7 Rivers Data'!$B$4:$G$8,4,FALSE))</f>
        <v/>
      </c>
      <c r="S220" s="507" t="str">
        <f t="shared" si="21"/>
        <v/>
      </c>
      <c r="T220" s="540" t="str">
        <f t="shared" si="22"/>
        <v/>
      </c>
      <c r="U220" s="499" t="str">
        <f t="shared" si="23"/>
        <v/>
      </c>
      <c r="V220" s="71"/>
      <c r="W220" s="499" t="str">
        <f>IF(V220="","",IF(VLOOKUP(V220,'G-7 Rivers Data'!$AA$4:$AB$7,2,FALSE)=0,"Spatial Data Missing ⚠",VLOOKUP(V220,'G-7 Rivers Data'!$AA$4:$AB$7,2,FALSE)))</f>
        <v/>
      </c>
      <c r="X220" s="155"/>
      <c r="Y220" s="499" t="str">
        <f>IF(X220="","",IF(VLOOKUP(X220,'G-7 Rivers Data'!$AD$4:$AE$8,2,FALSE)=0,"Enrcoachment Data Missing ⚠",VLOOKUP(X220,'G-7 Rivers Data'!$AD$4:$AE$8,2,FALSE)))</f>
        <v/>
      </c>
      <c r="Z220" s="565" t="str">
        <f t="shared" si="24"/>
        <v/>
      </c>
      <c r="AA220" s="149"/>
      <c r="AB220" s="150"/>
      <c r="AH220" s="31" t="str">
        <f>IFERROR(INDEX('G-7 Rivers Data'!$AZ$3:$AZ$7,MATCH(C220,'G-7 Rivers Data'!$AY$3:$AY$7,0)),"")</f>
        <v/>
      </c>
    </row>
    <row r="221" spans="2:34" ht="14" x14ac:dyDescent="0.3">
      <c r="B221" s="141">
        <v>210</v>
      </c>
      <c r="C221" s="171"/>
      <c r="D221" s="172"/>
      <c r="E221" s="498" t="str">
        <f>IF(C221="","",VLOOKUP(C221,'G-7 Rivers Data'!$B$2:$G$8,2,FALSE))</f>
        <v/>
      </c>
      <c r="F221" s="499" t="str">
        <f>IFERROR(VLOOKUP(E221,'G-7 Rivers Data'!$C$4:$D$8,2,FALSE),"")</f>
        <v/>
      </c>
      <c r="G221" s="145"/>
      <c r="H221" s="499" t="str">
        <f>IFERROR(INDEX('G-7 Rivers Data'!$H$4:$L$8,MATCH(C221,'G-7 Rivers Data'!$B$4:$B$8,0),MATCH(G221,'G-7 Rivers Data'!$H$3:$L$3,0)),"")</f>
        <v/>
      </c>
      <c r="I221" s="154"/>
      <c r="J221" s="507" t="str">
        <f>IF(I221="","",IF(VLOOKUP(I221,'G-7 Rivers Data'!$AG$4:$AI$9,2,FALSE)=0,"Spatial Data Missing ⚠",VLOOKUP(I221,'G-7 Rivers Data'!$AG$4:$AI$9,2,FALSE)))</f>
        <v/>
      </c>
      <c r="K221" s="499" t="str">
        <f>IF(I221="","",IF(VLOOKUP(I221,'G-7 Rivers Data'!$AG$4:$AI$9,3,FALSE)=0,"Spatial Data Missing ⚠",VLOOKUP(I221,'G-7 Rivers Data'!$AG$4:$AI$9,3,FALSE)))</f>
        <v/>
      </c>
      <c r="L221" s="498" t="str">
        <f>IFERROR(INDEX('G-7 Rivers Data'!$O$3:$O$7,MATCH(G221,'G-7 Rivers Data'!$N$3:$N$7,0)),"")</f>
        <v/>
      </c>
      <c r="M221" s="82"/>
      <c r="N221" s="195"/>
      <c r="O221" s="507" t="str">
        <f t="shared" si="19"/>
        <v/>
      </c>
      <c r="P221" s="521" t="str">
        <f t="shared" si="20"/>
        <v/>
      </c>
      <c r="Q221" s="564" t="str">
        <f>IFERROR(IF(P221="Check Data ⚠","Check Data ⚠",VLOOKUP(P221,'G-4 Temporal multipliers'!$A$4:$C$37,3,FALSE)),"")</f>
        <v/>
      </c>
      <c r="R221" s="498" t="str">
        <f>IF(C221="","",VLOOKUP(C221,'G-7 Rivers Data'!$B$4:$G$8,4,FALSE))</f>
        <v/>
      </c>
      <c r="S221" s="507" t="str">
        <f t="shared" si="21"/>
        <v/>
      </c>
      <c r="T221" s="540" t="str">
        <f t="shared" si="22"/>
        <v/>
      </c>
      <c r="U221" s="499" t="str">
        <f t="shared" si="23"/>
        <v/>
      </c>
      <c r="V221" s="71"/>
      <c r="W221" s="499" t="str">
        <f>IF(V221="","",IF(VLOOKUP(V221,'G-7 Rivers Data'!$AA$4:$AB$7,2,FALSE)=0,"Spatial Data Missing ⚠",VLOOKUP(V221,'G-7 Rivers Data'!$AA$4:$AB$7,2,FALSE)))</f>
        <v/>
      </c>
      <c r="X221" s="155"/>
      <c r="Y221" s="499" t="str">
        <f>IF(X221="","",IF(VLOOKUP(X221,'G-7 Rivers Data'!$AD$4:$AE$8,2,FALSE)=0,"Enrcoachment Data Missing ⚠",VLOOKUP(X221,'G-7 Rivers Data'!$AD$4:$AE$8,2,FALSE)))</f>
        <v/>
      </c>
      <c r="Z221" s="565" t="str">
        <f t="shared" si="24"/>
        <v/>
      </c>
      <c r="AA221" s="149"/>
      <c r="AB221" s="150"/>
      <c r="AH221" s="31" t="str">
        <f>IFERROR(INDEX('G-7 Rivers Data'!$AZ$3:$AZ$7,MATCH(C221,'G-7 Rivers Data'!$AY$3:$AY$7,0)),"")</f>
        <v/>
      </c>
    </row>
    <row r="222" spans="2:34" ht="14" x14ac:dyDescent="0.3">
      <c r="B222" s="141">
        <v>211</v>
      </c>
      <c r="C222" s="171"/>
      <c r="D222" s="172"/>
      <c r="E222" s="498" t="str">
        <f>IF(C222="","",VLOOKUP(C222,'G-7 Rivers Data'!$B$2:$G$8,2,FALSE))</f>
        <v/>
      </c>
      <c r="F222" s="499" t="str">
        <f>IFERROR(VLOOKUP(E222,'G-7 Rivers Data'!$C$4:$D$8,2,FALSE),"")</f>
        <v/>
      </c>
      <c r="G222" s="145"/>
      <c r="H222" s="499" t="str">
        <f>IFERROR(INDEX('G-7 Rivers Data'!$H$4:$L$8,MATCH(C222,'G-7 Rivers Data'!$B$4:$B$8,0),MATCH(G222,'G-7 Rivers Data'!$H$3:$L$3,0)),"")</f>
        <v/>
      </c>
      <c r="I222" s="154"/>
      <c r="J222" s="507" t="str">
        <f>IF(I222="","",IF(VLOOKUP(I222,'G-7 Rivers Data'!$AG$4:$AI$9,2,FALSE)=0,"Spatial Data Missing ⚠",VLOOKUP(I222,'G-7 Rivers Data'!$AG$4:$AI$9,2,FALSE)))</f>
        <v/>
      </c>
      <c r="K222" s="499" t="str">
        <f>IF(I222="","",IF(VLOOKUP(I222,'G-7 Rivers Data'!$AG$4:$AI$9,3,FALSE)=0,"Spatial Data Missing ⚠",VLOOKUP(I222,'G-7 Rivers Data'!$AG$4:$AI$9,3,FALSE)))</f>
        <v/>
      </c>
      <c r="L222" s="498" t="str">
        <f>IFERROR(INDEX('G-7 Rivers Data'!$O$3:$O$7,MATCH(G222,'G-7 Rivers Data'!$N$3:$N$7,0)),"")</f>
        <v/>
      </c>
      <c r="M222" s="82"/>
      <c r="N222" s="195"/>
      <c r="O222" s="507" t="str">
        <f t="shared" si="19"/>
        <v/>
      </c>
      <c r="P222" s="521" t="str">
        <f t="shared" si="20"/>
        <v/>
      </c>
      <c r="Q222" s="564" t="str">
        <f>IFERROR(IF(P222="Check Data ⚠","Check Data ⚠",VLOOKUP(P222,'G-4 Temporal multipliers'!$A$4:$C$37,3,FALSE)),"")</f>
        <v/>
      </c>
      <c r="R222" s="498" t="str">
        <f>IF(C222="","",VLOOKUP(C222,'G-7 Rivers Data'!$B$4:$G$8,4,FALSE))</f>
        <v/>
      </c>
      <c r="S222" s="507" t="str">
        <f t="shared" si="21"/>
        <v/>
      </c>
      <c r="T222" s="540" t="str">
        <f t="shared" si="22"/>
        <v/>
      </c>
      <c r="U222" s="499" t="str">
        <f t="shared" si="23"/>
        <v/>
      </c>
      <c r="V222" s="71"/>
      <c r="W222" s="499" t="str">
        <f>IF(V222="","",IF(VLOOKUP(V222,'G-7 Rivers Data'!$AA$4:$AB$7,2,FALSE)=0,"Spatial Data Missing ⚠",VLOOKUP(V222,'G-7 Rivers Data'!$AA$4:$AB$7,2,FALSE)))</f>
        <v/>
      </c>
      <c r="X222" s="155"/>
      <c r="Y222" s="499" t="str">
        <f>IF(X222="","",IF(VLOOKUP(X222,'G-7 Rivers Data'!$AD$4:$AE$8,2,FALSE)=0,"Enrcoachment Data Missing ⚠",VLOOKUP(X222,'G-7 Rivers Data'!$AD$4:$AE$8,2,FALSE)))</f>
        <v/>
      </c>
      <c r="Z222" s="565" t="str">
        <f t="shared" si="24"/>
        <v/>
      </c>
      <c r="AA222" s="149"/>
      <c r="AB222" s="150"/>
      <c r="AH222" s="31" t="str">
        <f>IFERROR(INDEX('G-7 Rivers Data'!$AZ$3:$AZ$7,MATCH(C222,'G-7 Rivers Data'!$AY$3:$AY$7,0)),"")</f>
        <v/>
      </c>
    </row>
    <row r="223" spans="2:34" ht="14" x14ac:dyDescent="0.3">
      <c r="B223" s="141">
        <v>212</v>
      </c>
      <c r="C223" s="171"/>
      <c r="D223" s="172"/>
      <c r="E223" s="498" t="str">
        <f>IF(C223="","",VLOOKUP(C223,'G-7 Rivers Data'!$B$2:$G$8,2,FALSE))</f>
        <v/>
      </c>
      <c r="F223" s="499" t="str">
        <f>IFERROR(VLOOKUP(E223,'G-7 Rivers Data'!$C$4:$D$8,2,FALSE),"")</f>
        <v/>
      </c>
      <c r="G223" s="145"/>
      <c r="H223" s="499" t="str">
        <f>IFERROR(INDEX('G-7 Rivers Data'!$H$4:$L$8,MATCH(C223,'G-7 Rivers Data'!$B$4:$B$8,0),MATCH(G223,'G-7 Rivers Data'!$H$3:$L$3,0)),"")</f>
        <v/>
      </c>
      <c r="I223" s="154"/>
      <c r="J223" s="507" t="str">
        <f>IF(I223="","",IF(VLOOKUP(I223,'G-7 Rivers Data'!$AG$4:$AI$9,2,FALSE)=0,"Spatial Data Missing ⚠",VLOOKUP(I223,'G-7 Rivers Data'!$AG$4:$AI$9,2,FALSE)))</f>
        <v/>
      </c>
      <c r="K223" s="499" t="str">
        <f>IF(I223="","",IF(VLOOKUP(I223,'G-7 Rivers Data'!$AG$4:$AI$9,3,FALSE)=0,"Spatial Data Missing ⚠",VLOOKUP(I223,'G-7 Rivers Data'!$AG$4:$AI$9,3,FALSE)))</f>
        <v/>
      </c>
      <c r="L223" s="498" t="str">
        <f>IFERROR(INDEX('G-7 Rivers Data'!$O$3:$O$7,MATCH(G223,'G-7 Rivers Data'!$N$3:$N$7,0)),"")</f>
        <v/>
      </c>
      <c r="M223" s="82"/>
      <c r="N223" s="195"/>
      <c r="O223" s="507" t="str">
        <f t="shared" si="19"/>
        <v/>
      </c>
      <c r="P223" s="521" t="str">
        <f t="shared" si="20"/>
        <v/>
      </c>
      <c r="Q223" s="564" t="str">
        <f>IFERROR(IF(P223="Check Data ⚠","Check Data ⚠",VLOOKUP(P223,'G-4 Temporal multipliers'!$A$4:$C$37,3,FALSE)),"")</f>
        <v/>
      </c>
      <c r="R223" s="498" t="str">
        <f>IF(C223="","",VLOOKUP(C223,'G-7 Rivers Data'!$B$4:$G$8,4,FALSE))</f>
        <v/>
      </c>
      <c r="S223" s="507" t="str">
        <f t="shared" si="21"/>
        <v/>
      </c>
      <c r="T223" s="540" t="str">
        <f t="shared" si="22"/>
        <v/>
      </c>
      <c r="U223" s="499" t="str">
        <f t="shared" si="23"/>
        <v/>
      </c>
      <c r="V223" s="71"/>
      <c r="W223" s="499" t="str">
        <f>IF(V223="","",IF(VLOOKUP(V223,'G-7 Rivers Data'!$AA$4:$AB$7,2,FALSE)=0,"Spatial Data Missing ⚠",VLOOKUP(V223,'G-7 Rivers Data'!$AA$4:$AB$7,2,FALSE)))</f>
        <v/>
      </c>
      <c r="X223" s="155"/>
      <c r="Y223" s="499" t="str">
        <f>IF(X223="","",IF(VLOOKUP(X223,'G-7 Rivers Data'!$AD$4:$AE$8,2,FALSE)=0,"Enrcoachment Data Missing ⚠",VLOOKUP(X223,'G-7 Rivers Data'!$AD$4:$AE$8,2,FALSE)))</f>
        <v/>
      </c>
      <c r="Z223" s="565" t="str">
        <f t="shared" si="24"/>
        <v/>
      </c>
      <c r="AA223" s="149"/>
      <c r="AB223" s="150"/>
      <c r="AH223" s="31" t="str">
        <f>IFERROR(INDEX('G-7 Rivers Data'!$AZ$3:$AZ$7,MATCH(C223,'G-7 Rivers Data'!$AY$3:$AY$7,0)),"")</f>
        <v/>
      </c>
    </row>
    <row r="224" spans="2:34" ht="14" x14ac:dyDescent="0.3">
      <c r="B224" s="141">
        <v>213</v>
      </c>
      <c r="C224" s="171"/>
      <c r="D224" s="172"/>
      <c r="E224" s="498" t="str">
        <f>IF(C224="","",VLOOKUP(C224,'G-7 Rivers Data'!$B$2:$G$8,2,FALSE))</f>
        <v/>
      </c>
      <c r="F224" s="499" t="str">
        <f>IFERROR(VLOOKUP(E224,'G-7 Rivers Data'!$C$4:$D$8,2,FALSE),"")</f>
        <v/>
      </c>
      <c r="G224" s="145"/>
      <c r="H224" s="499" t="str">
        <f>IFERROR(INDEX('G-7 Rivers Data'!$H$4:$L$8,MATCH(C224,'G-7 Rivers Data'!$B$4:$B$8,0),MATCH(G224,'G-7 Rivers Data'!$H$3:$L$3,0)),"")</f>
        <v/>
      </c>
      <c r="I224" s="154"/>
      <c r="J224" s="507" t="str">
        <f>IF(I224="","",IF(VLOOKUP(I224,'G-7 Rivers Data'!$AG$4:$AI$9,2,FALSE)=0,"Spatial Data Missing ⚠",VLOOKUP(I224,'G-7 Rivers Data'!$AG$4:$AI$9,2,FALSE)))</f>
        <v/>
      </c>
      <c r="K224" s="499" t="str">
        <f>IF(I224="","",IF(VLOOKUP(I224,'G-7 Rivers Data'!$AG$4:$AI$9,3,FALSE)=0,"Spatial Data Missing ⚠",VLOOKUP(I224,'G-7 Rivers Data'!$AG$4:$AI$9,3,FALSE)))</f>
        <v/>
      </c>
      <c r="L224" s="498" t="str">
        <f>IFERROR(INDEX('G-7 Rivers Data'!$O$3:$O$7,MATCH(G224,'G-7 Rivers Data'!$N$3:$N$7,0)),"")</f>
        <v/>
      </c>
      <c r="M224" s="82"/>
      <c r="N224" s="195"/>
      <c r="O224" s="507" t="str">
        <f t="shared" si="19"/>
        <v/>
      </c>
      <c r="P224" s="521" t="str">
        <f t="shared" si="20"/>
        <v/>
      </c>
      <c r="Q224" s="564" t="str">
        <f>IFERROR(IF(P224="Check Data ⚠","Check Data ⚠",VLOOKUP(P224,'G-4 Temporal multipliers'!$A$4:$C$37,3,FALSE)),"")</f>
        <v/>
      </c>
      <c r="R224" s="498" t="str">
        <f>IF(C224="","",VLOOKUP(C224,'G-7 Rivers Data'!$B$4:$G$8,4,FALSE))</f>
        <v/>
      </c>
      <c r="S224" s="507" t="str">
        <f t="shared" si="21"/>
        <v/>
      </c>
      <c r="T224" s="540" t="str">
        <f t="shared" si="22"/>
        <v/>
      </c>
      <c r="U224" s="499" t="str">
        <f t="shared" si="23"/>
        <v/>
      </c>
      <c r="V224" s="71"/>
      <c r="W224" s="499" t="str">
        <f>IF(V224="","",IF(VLOOKUP(V224,'G-7 Rivers Data'!$AA$4:$AB$7,2,FALSE)=0,"Spatial Data Missing ⚠",VLOOKUP(V224,'G-7 Rivers Data'!$AA$4:$AB$7,2,FALSE)))</f>
        <v/>
      </c>
      <c r="X224" s="155"/>
      <c r="Y224" s="499" t="str">
        <f>IF(X224="","",IF(VLOOKUP(X224,'G-7 Rivers Data'!$AD$4:$AE$8,2,FALSE)=0,"Enrcoachment Data Missing ⚠",VLOOKUP(X224,'G-7 Rivers Data'!$AD$4:$AE$8,2,FALSE)))</f>
        <v/>
      </c>
      <c r="Z224" s="565" t="str">
        <f t="shared" si="24"/>
        <v/>
      </c>
      <c r="AA224" s="149"/>
      <c r="AB224" s="150"/>
      <c r="AH224" s="31" t="str">
        <f>IFERROR(INDEX('G-7 Rivers Data'!$AZ$3:$AZ$7,MATCH(C224,'G-7 Rivers Data'!$AY$3:$AY$7,0)),"")</f>
        <v/>
      </c>
    </row>
    <row r="225" spans="2:34" ht="14" x14ac:dyDescent="0.3">
      <c r="B225" s="141">
        <v>214</v>
      </c>
      <c r="C225" s="171"/>
      <c r="D225" s="172"/>
      <c r="E225" s="498" t="str">
        <f>IF(C225="","",VLOOKUP(C225,'G-7 Rivers Data'!$B$2:$G$8,2,FALSE))</f>
        <v/>
      </c>
      <c r="F225" s="499" t="str">
        <f>IFERROR(VLOOKUP(E225,'G-7 Rivers Data'!$C$4:$D$8,2,FALSE),"")</f>
        <v/>
      </c>
      <c r="G225" s="145"/>
      <c r="H225" s="499" t="str">
        <f>IFERROR(INDEX('G-7 Rivers Data'!$H$4:$L$8,MATCH(C225,'G-7 Rivers Data'!$B$4:$B$8,0),MATCH(G225,'G-7 Rivers Data'!$H$3:$L$3,0)),"")</f>
        <v/>
      </c>
      <c r="I225" s="154"/>
      <c r="J225" s="507" t="str">
        <f>IF(I225="","",IF(VLOOKUP(I225,'G-7 Rivers Data'!$AG$4:$AI$9,2,FALSE)=0,"Spatial Data Missing ⚠",VLOOKUP(I225,'G-7 Rivers Data'!$AG$4:$AI$9,2,FALSE)))</f>
        <v/>
      </c>
      <c r="K225" s="499" t="str">
        <f>IF(I225="","",IF(VLOOKUP(I225,'G-7 Rivers Data'!$AG$4:$AI$9,3,FALSE)=0,"Spatial Data Missing ⚠",VLOOKUP(I225,'G-7 Rivers Data'!$AG$4:$AI$9,3,FALSE)))</f>
        <v/>
      </c>
      <c r="L225" s="498" t="str">
        <f>IFERROR(INDEX('G-7 Rivers Data'!$O$3:$O$7,MATCH(G225,'G-7 Rivers Data'!$N$3:$N$7,0)),"")</f>
        <v/>
      </c>
      <c r="M225" s="82"/>
      <c r="N225" s="195"/>
      <c r="O225" s="507" t="str">
        <f t="shared" si="19"/>
        <v/>
      </c>
      <c r="P225" s="521" t="str">
        <f t="shared" si="20"/>
        <v/>
      </c>
      <c r="Q225" s="564" t="str">
        <f>IFERROR(IF(P225="Check Data ⚠","Check Data ⚠",VLOOKUP(P225,'G-4 Temporal multipliers'!$A$4:$C$37,3,FALSE)),"")</f>
        <v/>
      </c>
      <c r="R225" s="498" t="str">
        <f>IF(C225="","",VLOOKUP(C225,'G-7 Rivers Data'!$B$4:$G$8,4,FALSE))</f>
        <v/>
      </c>
      <c r="S225" s="507" t="str">
        <f t="shared" si="21"/>
        <v/>
      </c>
      <c r="T225" s="540" t="str">
        <f t="shared" si="22"/>
        <v/>
      </c>
      <c r="U225" s="499" t="str">
        <f t="shared" si="23"/>
        <v/>
      </c>
      <c r="V225" s="71"/>
      <c r="W225" s="499" t="str">
        <f>IF(V225="","",IF(VLOOKUP(V225,'G-7 Rivers Data'!$AA$4:$AB$7,2,FALSE)=0,"Spatial Data Missing ⚠",VLOOKUP(V225,'G-7 Rivers Data'!$AA$4:$AB$7,2,FALSE)))</f>
        <v/>
      </c>
      <c r="X225" s="155"/>
      <c r="Y225" s="499" t="str">
        <f>IF(X225="","",IF(VLOOKUP(X225,'G-7 Rivers Data'!$AD$4:$AE$8,2,FALSE)=0,"Enrcoachment Data Missing ⚠",VLOOKUP(X225,'G-7 Rivers Data'!$AD$4:$AE$8,2,FALSE)))</f>
        <v/>
      </c>
      <c r="Z225" s="565" t="str">
        <f t="shared" si="24"/>
        <v/>
      </c>
      <c r="AA225" s="149"/>
      <c r="AB225" s="150"/>
      <c r="AH225" s="31" t="str">
        <f>IFERROR(INDEX('G-7 Rivers Data'!$AZ$3:$AZ$7,MATCH(C225,'G-7 Rivers Data'!$AY$3:$AY$7,0)),"")</f>
        <v/>
      </c>
    </row>
    <row r="226" spans="2:34" ht="14" x14ac:dyDescent="0.3">
      <c r="B226" s="141">
        <v>215</v>
      </c>
      <c r="C226" s="171"/>
      <c r="D226" s="172"/>
      <c r="E226" s="498" t="str">
        <f>IF(C226="","",VLOOKUP(C226,'G-7 Rivers Data'!$B$2:$G$8,2,FALSE))</f>
        <v/>
      </c>
      <c r="F226" s="499" t="str">
        <f>IFERROR(VLOOKUP(E226,'G-7 Rivers Data'!$C$4:$D$8,2,FALSE),"")</f>
        <v/>
      </c>
      <c r="G226" s="145"/>
      <c r="H226" s="499" t="str">
        <f>IFERROR(INDEX('G-7 Rivers Data'!$H$4:$L$8,MATCH(C226,'G-7 Rivers Data'!$B$4:$B$8,0),MATCH(G226,'G-7 Rivers Data'!$H$3:$L$3,0)),"")</f>
        <v/>
      </c>
      <c r="I226" s="154"/>
      <c r="J226" s="507" t="str">
        <f>IF(I226="","",IF(VLOOKUP(I226,'G-7 Rivers Data'!$AG$4:$AI$9,2,FALSE)=0,"Spatial Data Missing ⚠",VLOOKUP(I226,'G-7 Rivers Data'!$AG$4:$AI$9,2,FALSE)))</f>
        <v/>
      </c>
      <c r="K226" s="499" t="str">
        <f>IF(I226="","",IF(VLOOKUP(I226,'G-7 Rivers Data'!$AG$4:$AI$9,3,FALSE)=0,"Spatial Data Missing ⚠",VLOOKUP(I226,'G-7 Rivers Data'!$AG$4:$AI$9,3,FALSE)))</f>
        <v/>
      </c>
      <c r="L226" s="498" t="str">
        <f>IFERROR(INDEX('G-7 Rivers Data'!$O$3:$O$7,MATCH(G226,'G-7 Rivers Data'!$N$3:$N$7,0)),"")</f>
        <v/>
      </c>
      <c r="M226" s="82"/>
      <c r="N226" s="195"/>
      <c r="O226" s="507" t="str">
        <f t="shared" si="19"/>
        <v/>
      </c>
      <c r="P226" s="521" t="str">
        <f t="shared" si="20"/>
        <v/>
      </c>
      <c r="Q226" s="564" t="str">
        <f>IFERROR(IF(P226="Check Data ⚠","Check Data ⚠",VLOOKUP(P226,'G-4 Temporal multipliers'!$A$4:$C$37,3,FALSE)),"")</f>
        <v/>
      </c>
      <c r="R226" s="498" t="str">
        <f>IF(C226="","",VLOOKUP(C226,'G-7 Rivers Data'!$B$4:$G$8,4,FALSE))</f>
        <v/>
      </c>
      <c r="S226" s="507" t="str">
        <f t="shared" si="21"/>
        <v/>
      </c>
      <c r="T226" s="540" t="str">
        <f t="shared" si="22"/>
        <v/>
      </c>
      <c r="U226" s="499" t="str">
        <f t="shared" si="23"/>
        <v/>
      </c>
      <c r="V226" s="71"/>
      <c r="W226" s="499" t="str">
        <f>IF(V226="","",IF(VLOOKUP(V226,'G-7 Rivers Data'!$AA$4:$AB$7,2,FALSE)=0,"Spatial Data Missing ⚠",VLOOKUP(V226,'G-7 Rivers Data'!$AA$4:$AB$7,2,FALSE)))</f>
        <v/>
      </c>
      <c r="X226" s="155"/>
      <c r="Y226" s="499" t="str">
        <f>IF(X226="","",IF(VLOOKUP(X226,'G-7 Rivers Data'!$AD$4:$AE$8,2,FALSE)=0,"Enrcoachment Data Missing ⚠",VLOOKUP(X226,'G-7 Rivers Data'!$AD$4:$AE$8,2,FALSE)))</f>
        <v/>
      </c>
      <c r="Z226" s="565" t="str">
        <f t="shared" si="24"/>
        <v/>
      </c>
      <c r="AA226" s="149"/>
      <c r="AB226" s="150"/>
      <c r="AH226" s="31" t="str">
        <f>IFERROR(INDEX('G-7 Rivers Data'!$AZ$3:$AZ$7,MATCH(C226,'G-7 Rivers Data'!$AY$3:$AY$7,0)),"")</f>
        <v/>
      </c>
    </row>
    <row r="227" spans="2:34" ht="14" x14ac:dyDescent="0.3">
      <c r="B227" s="141">
        <v>216</v>
      </c>
      <c r="C227" s="171"/>
      <c r="D227" s="172"/>
      <c r="E227" s="498" t="str">
        <f>IF(C227="","",VLOOKUP(C227,'G-7 Rivers Data'!$B$2:$G$8,2,FALSE))</f>
        <v/>
      </c>
      <c r="F227" s="499" t="str">
        <f>IFERROR(VLOOKUP(E227,'G-7 Rivers Data'!$C$4:$D$8,2,FALSE),"")</f>
        <v/>
      </c>
      <c r="G227" s="145"/>
      <c r="H227" s="499" t="str">
        <f>IFERROR(INDEX('G-7 Rivers Data'!$H$4:$L$8,MATCH(C227,'G-7 Rivers Data'!$B$4:$B$8,0),MATCH(G227,'G-7 Rivers Data'!$H$3:$L$3,0)),"")</f>
        <v/>
      </c>
      <c r="I227" s="154"/>
      <c r="J227" s="507" t="str">
        <f>IF(I227="","",IF(VLOOKUP(I227,'G-7 Rivers Data'!$AG$4:$AI$9,2,FALSE)=0,"Spatial Data Missing ⚠",VLOOKUP(I227,'G-7 Rivers Data'!$AG$4:$AI$9,2,FALSE)))</f>
        <v/>
      </c>
      <c r="K227" s="499" t="str">
        <f>IF(I227="","",IF(VLOOKUP(I227,'G-7 Rivers Data'!$AG$4:$AI$9,3,FALSE)=0,"Spatial Data Missing ⚠",VLOOKUP(I227,'G-7 Rivers Data'!$AG$4:$AI$9,3,FALSE)))</f>
        <v/>
      </c>
      <c r="L227" s="498" t="str">
        <f>IFERROR(INDEX('G-7 Rivers Data'!$O$3:$O$7,MATCH(G227,'G-7 Rivers Data'!$N$3:$N$7,0)),"")</f>
        <v/>
      </c>
      <c r="M227" s="82"/>
      <c r="N227" s="195"/>
      <c r="O227" s="507" t="str">
        <f t="shared" si="19"/>
        <v/>
      </c>
      <c r="P227" s="521" t="str">
        <f t="shared" si="20"/>
        <v/>
      </c>
      <c r="Q227" s="564" t="str">
        <f>IFERROR(IF(P227="Check Data ⚠","Check Data ⚠",VLOOKUP(P227,'G-4 Temporal multipliers'!$A$4:$C$37,3,FALSE)),"")</f>
        <v/>
      </c>
      <c r="R227" s="498" t="str">
        <f>IF(C227="","",VLOOKUP(C227,'G-7 Rivers Data'!$B$4:$G$8,4,FALSE))</f>
        <v/>
      </c>
      <c r="S227" s="507" t="str">
        <f t="shared" si="21"/>
        <v/>
      </c>
      <c r="T227" s="540" t="str">
        <f t="shared" si="22"/>
        <v/>
      </c>
      <c r="U227" s="499" t="str">
        <f t="shared" si="23"/>
        <v/>
      </c>
      <c r="V227" s="71"/>
      <c r="W227" s="499" t="str">
        <f>IF(V227="","",IF(VLOOKUP(V227,'G-7 Rivers Data'!$AA$4:$AB$7,2,FALSE)=0,"Spatial Data Missing ⚠",VLOOKUP(V227,'G-7 Rivers Data'!$AA$4:$AB$7,2,FALSE)))</f>
        <v/>
      </c>
      <c r="X227" s="155"/>
      <c r="Y227" s="499" t="str">
        <f>IF(X227="","",IF(VLOOKUP(X227,'G-7 Rivers Data'!$AD$4:$AE$8,2,FALSE)=0,"Enrcoachment Data Missing ⚠",VLOOKUP(X227,'G-7 Rivers Data'!$AD$4:$AE$8,2,FALSE)))</f>
        <v/>
      </c>
      <c r="Z227" s="565" t="str">
        <f t="shared" si="24"/>
        <v/>
      </c>
      <c r="AA227" s="149"/>
      <c r="AB227" s="150"/>
      <c r="AH227" s="31" t="str">
        <f>IFERROR(INDEX('G-7 Rivers Data'!$AZ$3:$AZ$7,MATCH(C227,'G-7 Rivers Data'!$AY$3:$AY$7,0)),"")</f>
        <v/>
      </c>
    </row>
    <row r="228" spans="2:34" ht="14" x14ac:dyDescent="0.3">
      <c r="B228" s="141">
        <v>217</v>
      </c>
      <c r="C228" s="171"/>
      <c r="D228" s="172"/>
      <c r="E228" s="498" t="str">
        <f>IF(C228="","",VLOOKUP(C228,'G-7 Rivers Data'!$B$2:$G$8,2,FALSE))</f>
        <v/>
      </c>
      <c r="F228" s="499" t="str">
        <f>IFERROR(VLOOKUP(E228,'G-7 Rivers Data'!$C$4:$D$8,2,FALSE),"")</f>
        <v/>
      </c>
      <c r="G228" s="145"/>
      <c r="H228" s="499" t="str">
        <f>IFERROR(INDEX('G-7 Rivers Data'!$H$4:$L$8,MATCH(C228,'G-7 Rivers Data'!$B$4:$B$8,0),MATCH(G228,'G-7 Rivers Data'!$H$3:$L$3,0)),"")</f>
        <v/>
      </c>
      <c r="I228" s="154"/>
      <c r="J228" s="507" t="str">
        <f>IF(I228="","",IF(VLOOKUP(I228,'G-7 Rivers Data'!$AG$4:$AI$9,2,FALSE)=0,"Spatial Data Missing ⚠",VLOOKUP(I228,'G-7 Rivers Data'!$AG$4:$AI$9,2,FALSE)))</f>
        <v/>
      </c>
      <c r="K228" s="499" t="str">
        <f>IF(I228="","",IF(VLOOKUP(I228,'G-7 Rivers Data'!$AG$4:$AI$9,3,FALSE)=0,"Spatial Data Missing ⚠",VLOOKUP(I228,'G-7 Rivers Data'!$AG$4:$AI$9,3,FALSE)))</f>
        <v/>
      </c>
      <c r="L228" s="498" t="str">
        <f>IFERROR(INDEX('G-7 Rivers Data'!$O$3:$O$7,MATCH(G228,'G-7 Rivers Data'!$N$3:$N$7,0)),"")</f>
        <v/>
      </c>
      <c r="M228" s="82"/>
      <c r="N228" s="195"/>
      <c r="O228" s="507" t="str">
        <f t="shared" si="19"/>
        <v/>
      </c>
      <c r="P228" s="521" t="str">
        <f t="shared" si="20"/>
        <v/>
      </c>
      <c r="Q228" s="564" t="str">
        <f>IFERROR(IF(P228="Check Data ⚠","Check Data ⚠",VLOOKUP(P228,'G-4 Temporal multipliers'!$A$4:$C$37,3,FALSE)),"")</f>
        <v/>
      </c>
      <c r="R228" s="498" t="str">
        <f>IF(C228="","",VLOOKUP(C228,'G-7 Rivers Data'!$B$4:$G$8,4,FALSE))</f>
        <v/>
      </c>
      <c r="S228" s="507" t="str">
        <f t="shared" si="21"/>
        <v/>
      </c>
      <c r="T228" s="540" t="str">
        <f t="shared" si="22"/>
        <v/>
      </c>
      <c r="U228" s="499" t="str">
        <f t="shared" si="23"/>
        <v/>
      </c>
      <c r="V228" s="71"/>
      <c r="W228" s="499" t="str">
        <f>IF(V228="","",IF(VLOOKUP(V228,'G-7 Rivers Data'!$AA$4:$AB$7,2,FALSE)=0,"Spatial Data Missing ⚠",VLOOKUP(V228,'G-7 Rivers Data'!$AA$4:$AB$7,2,FALSE)))</f>
        <v/>
      </c>
      <c r="X228" s="155"/>
      <c r="Y228" s="499" t="str">
        <f>IF(X228="","",IF(VLOOKUP(X228,'G-7 Rivers Data'!$AD$4:$AE$8,2,FALSE)=0,"Enrcoachment Data Missing ⚠",VLOOKUP(X228,'G-7 Rivers Data'!$AD$4:$AE$8,2,FALSE)))</f>
        <v/>
      </c>
      <c r="Z228" s="565" t="str">
        <f t="shared" si="24"/>
        <v/>
      </c>
      <c r="AA228" s="149"/>
      <c r="AB228" s="150"/>
      <c r="AH228" s="31" t="str">
        <f>IFERROR(INDEX('G-7 Rivers Data'!$AZ$3:$AZ$7,MATCH(C228,'G-7 Rivers Data'!$AY$3:$AY$7,0)),"")</f>
        <v/>
      </c>
    </row>
    <row r="229" spans="2:34" ht="14" x14ac:dyDescent="0.3">
      <c r="B229" s="141">
        <v>218</v>
      </c>
      <c r="C229" s="171"/>
      <c r="D229" s="172"/>
      <c r="E229" s="498" t="str">
        <f>IF(C229="","",VLOOKUP(C229,'G-7 Rivers Data'!$B$2:$G$8,2,FALSE))</f>
        <v/>
      </c>
      <c r="F229" s="499" t="str">
        <f>IFERROR(VLOOKUP(E229,'G-7 Rivers Data'!$C$4:$D$8,2,FALSE),"")</f>
        <v/>
      </c>
      <c r="G229" s="145"/>
      <c r="H229" s="499" t="str">
        <f>IFERROR(INDEX('G-7 Rivers Data'!$H$4:$L$8,MATCH(C229,'G-7 Rivers Data'!$B$4:$B$8,0),MATCH(G229,'G-7 Rivers Data'!$H$3:$L$3,0)),"")</f>
        <v/>
      </c>
      <c r="I229" s="154"/>
      <c r="J229" s="507" t="str">
        <f>IF(I229="","",IF(VLOOKUP(I229,'G-7 Rivers Data'!$AG$4:$AI$9,2,FALSE)=0,"Spatial Data Missing ⚠",VLOOKUP(I229,'G-7 Rivers Data'!$AG$4:$AI$9,2,FALSE)))</f>
        <v/>
      </c>
      <c r="K229" s="499" t="str">
        <f>IF(I229="","",IF(VLOOKUP(I229,'G-7 Rivers Data'!$AG$4:$AI$9,3,FALSE)=0,"Spatial Data Missing ⚠",VLOOKUP(I229,'G-7 Rivers Data'!$AG$4:$AI$9,3,FALSE)))</f>
        <v/>
      </c>
      <c r="L229" s="498" t="str">
        <f>IFERROR(INDEX('G-7 Rivers Data'!$O$3:$O$7,MATCH(G229,'G-7 Rivers Data'!$N$3:$N$7,0)),"")</f>
        <v/>
      </c>
      <c r="M229" s="82"/>
      <c r="N229" s="195"/>
      <c r="O229" s="507" t="str">
        <f t="shared" si="19"/>
        <v/>
      </c>
      <c r="P229" s="521" t="str">
        <f t="shared" si="20"/>
        <v/>
      </c>
      <c r="Q229" s="564" t="str">
        <f>IFERROR(IF(P229="Check Data ⚠","Check Data ⚠",VLOOKUP(P229,'G-4 Temporal multipliers'!$A$4:$C$37,3,FALSE)),"")</f>
        <v/>
      </c>
      <c r="R229" s="498" t="str">
        <f>IF(C229="","",VLOOKUP(C229,'G-7 Rivers Data'!$B$4:$G$8,4,FALSE))</f>
        <v/>
      </c>
      <c r="S229" s="507" t="str">
        <f t="shared" si="21"/>
        <v/>
      </c>
      <c r="T229" s="540" t="str">
        <f t="shared" si="22"/>
        <v/>
      </c>
      <c r="U229" s="499" t="str">
        <f t="shared" si="23"/>
        <v/>
      </c>
      <c r="V229" s="71"/>
      <c r="W229" s="499" t="str">
        <f>IF(V229="","",IF(VLOOKUP(V229,'G-7 Rivers Data'!$AA$4:$AB$7,2,FALSE)=0,"Spatial Data Missing ⚠",VLOOKUP(V229,'G-7 Rivers Data'!$AA$4:$AB$7,2,FALSE)))</f>
        <v/>
      </c>
      <c r="X229" s="155"/>
      <c r="Y229" s="499" t="str">
        <f>IF(X229="","",IF(VLOOKUP(X229,'G-7 Rivers Data'!$AD$4:$AE$8,2,FALSE)=0,"Enrcoachment Data Missing ⚠",VLOOKUP(X229,'G-7 Rivers Data'!$AD$4:$AE$8,2,FALSE)))</f>
        <v/>
      </c>
      <c r="Z229" s="565" t="str">
        <f t="shared" si="24"/>
        <v/>
      </c>
      <c r="AA229" s="149"/>
      <c r="AB229" s="150"/>
      <c r="AH229" s="31" t="str">
        <f>IFERROR(INDEX('G-7 Rivers Data'!$AZ$3:$AZ$7,MATCH(C229,'G-7 Rivers Data'!$AY$3:$AY$7,0)),"")</f>
        <v/>
      </c>
    </row>
    <row r="230" spans="2:34" ht="14" x14ac:dyDescent="0.3">
      <c r="B230" s="141">
        <v>219</v>
      </c>
      <c r="C230" s="171"/>
      <c r="D230" s="172"/>
      <c r="E230" s="498" t="str">
        <f>IF(C230="","",VLOOKUP(C230,'G-7 Rivers Data'!$B$2:$G$8,2,FALSE))</f>
        <v/>
      </c>
      <c r="F230" s="499" t="str">
        <f>IFERROR(VLOOKUP(E230,'G-7 Rivers Data'!$C$4:$D$8,2,FALSE),"")</f>
        <v/>
      </c>
      <c r="G230" s="145"/>
      <c r="H230" s="499" t="str">
        <f>IFERROR(INDEX('G-7 Rivers Data'!$H$4:$L$8,MATCH(C230,'G-7 Rivers Data'!$B$4:$B$8,0),MATCH(G230,'G-7 Rivers Data'!$H$3:$L$3,0)),"")</f>
        <v/>
      </c>
      <c r="I230" s="154"/>
      <c r="J230" s="507" t="str">
        <f>IF(I230="","",IF(VLOOKUP(I230,'G-7 Rivers Data'!$AG$4:$AI$9,2,FALSE)=0,"Spatial Data Missing ⚠",VLOOKUP(I230,'G-7 Rivers Data'!$AG$4:$AI$9,2,FALSE)))</f>
        <v/>
      </c>
      <c r="K230" s="499" t="str">
        <f>IF(I230="","",IF(VLOOKUP(I230,'G-7 Rivers Data'!$AG$4:$AI$9,3,FALSE)=0,"Spatial Data Missing ⚠",VLOOKUP(I230,'G-7 Rivers Data'!$AG$4:$AI$9,3,FALSE)))</f>
        <v/>
      </c>
      <c r="L230" s="498" t="str">
        <f>IFERROR(INDEX('G-7 Rivers Data'!$O$3:$O$7,MATCH(G230,'G-7 Rivers Data'!$N$3:$N$7,0)),"")</f>
        <v/>
      </c>
      <c r="M230" s="82"/>
      <c r="N230" s="195"/>
      <c r="O230" s="507" t="str">
        <f t="shared" si="19"/>
        <v/>
      </c>
      <c r="P230" s="521" t="str">
        <f t="shared" si="20"/>
        <v/>
      </c>
      <c r="Q230" s="564" t="str">
        <f>IFERROR(IF(P230="Check Data ⚠","Check Data ⚠",VLOOKUP(P230,'G-4 Temporal multipliers'!$A$4:$C$37,3,FALSE)),"")</f>
        <v/>
      </c>
      <c r="R230" s="498" t="str">
        <f>IF(C230="","",VLOOKUP(C230,'G-7 Rivers Data'!$B$4:$G$8,4,FALSE))</f>
        <v/>
      </c>
      <c r="S230" s="507" t="str">
        <f t="shared" si="21"/>
        <v/>
      </c>
      <c r="T230" s="540" t="str">
        <f t="shared" si="22"/>
        <v/>
      </c>
      <c r="U230" s="499" t="str">
        <f t="shared" si="23"/>
        <v/>
      </c>
      <c r="V230" s="71"/>
      <c r="W230" s="499" t="str">
        <f>IF(V230="","",IF(VLOOKUP(V230,'G-7 Rivers Data'!$AA$4:$AB$7,2,FALSE)=0,"Spatial Data Missing ⚠",VLOOKUP(V230,'G-7 Rivers Data'!$AA$4:$AB$7,2,FALSE)))</f>
        <v/>
      </c>
      <c r="X230" s="155"/>
      <c r="Y230" s="499" t="str">
        <f>IF(X230="","",IF(VLOOKUP(X230,'G-7 Rivers Data'!$AD$4:$AE$8,2,FALSE)=0,"Enrcoachment Data Missing ⚠",VLOOKUP(X230,'G-7 Rivers Data'!$AD$4:$AE$8,2,FALSE)))</f>
        <v/>
      </c>
      <c r="Z230" s="565" t="str">
        <f t="shared" si="24"/>
        <v/>
      </c>
      <c r="AA230" s="149"/>
      <c r="AB230" s="150"/>
      <c r="AH230" s="31" t="str">
        <f>IFERROR(INDEX('G-7 Rivers Data'!$AZ$3:$AZ$7,MATCH(C230,'G-7 Rivers Data'!$AY$3:$AY$7,0)),"")</f>
        <v/>
      </c>
    </row>
    <row r="231" spans="2:34" ht="14" x14ac:dyDescent="0.3">
      <c r="B231" s="141">
        <v>220</v>
      </c>
      <c r="C231" s="171"/>
      <c r="D231" s="172"/>
      <c r="E231" s="498" t="str">
        <f>IF(C231="","",VLOOKUP(C231,'G-7 Rivers Data'!$B$2:$G$8,2,FALSE))</f>
        <v/>
      </c>
      <c r="F231" s="499" t="str">
        <f>IFERROR(VLOOKUP(E231,'G-7 Rivers Data'!$C$4:$D$8,2,FALSE),"")</f>
        <v/>
      </c>
      <c r="G231" s="145"/>
      <c r="H231" s="499" t="str">
        <f>IFERROR(INDEX('G-7 Rivers Data'!$H$4:$L$8,MATCH(C231,'G-7 Rivers Data'!$B$4:$B$8,0),MATCH(G231,'G-7 Rivers Data'!$H$3:$L$3,0)),"")</f>
        <v/>
      </c>
      <c r="I231" s="154"/>
      <c r="J231" s="507" t="str">
        <f>IF(I231="","",IF(VLOOKUP(I231,'G-7 Rivers Data'!$AG$4:$AI$9,2,FALSE)=0,"Spatial Data Missing ⚠",VLOOKUP(I231,'G-7 Rivers Data'!$AG$4:$AI$9,2,FALSE)))</f>
        <v/>
      </c>
      <c r="K231" s="499" t="str">
        <f>IF(I231="","",IF(VLOOKUP(I231,'G-7 Rivers Data'!$AG$4:$AI$9,3,FALSE)=0,"Spatial Data Missing ⚠",VLOOKUP(I231,'G-7 Rivers Data'!$AG$4:$AI$9,3,FALSE)))</f>
        <v/>
      </c>
      <c r="L231" s="498" t="str">
        <f>IFERROR(INDEX('G-7 Rivers Data'!$O$3:$O$7,MATCH(G231,'G-7 Rivers Data'!$N$3:$N$7,0)),"")</f>
        <v/>
      </c>
      <c r="M231" s="82"/>
      <c r="N231" s="195"/>
      <c r="O231" s="507" t="str">
        <f t="shared" si="19"/>
        <v/>
      </c>
      <c r="P231" s="521" t="str">
        <f t="shared" si="20"/>
        <v/>
      </c>
      <c r="Q231" s="564" t="str">
        <f>IFERROR(IF(P231="Check Data ⚠","Check Data ⚠",VLOOKUP(P231,'G-4 Temporal multipliers'!$A$4:$C$37,3,FALSE)),"")</f>
        <v/>
      </c>
      <c r="R231" s="498" t="str">
        <f>IF(C231="","",VLOOKUP(C231,'G-7 Rivers Data'!$B$4:$G$8,4,FALSE))</f>
        <v/>
      </c>
      <c r="S231" s="507" t="str">
        <f t="shared" si="21"/>
        <v/>
      </c>
      <c r="T231" s="540" t="str">
        <f t="shared" si="22"/>
        <v/>
      </c>
      <c r="U231" s="499" t="str">
        <f t="shared" si="23"/>
        <v/>
      </c>
      <c r="V231" s="71"/>
      <c r="W231" s="499" t="str">
        <f>IF(V231="","",IF(VLOOKUP(V231,'G-7 Rivers Data'!$AA$4:$AB$7,2,FALSE)=0,"Spatial Data Missing ⚠",VLOOKUP(V231,'G-7 Rivers Data'!$AA$4:$AB$7,2,FALSE)))</f>
        <v/>
      </c>
      <c r="X231" s="155"/>
      <c r="Y231" s="499" t="str">
        <f>IF(X231="","",IF(VLOOKUP(X231,'G-7 Rivers Data'!$AD$4:$AE$8,2,FALSE)=0,"Enrcoachment Data Missing ⚠",VLOOKUP(X231,'G-7 Rivers Data'!$AD$4:$AE$8,2,FALSE)))</f>
        <v/>
      </c>
      <c r="Z231" s="565" t="str">
        <f t="shared" si="24"/>
        <v/>
      </c>
      <c r="AA231" s="149"/>
      <c r="AB231" s="150"/>
      <c r="AH231" s="31" t="str">
        <f>IFERROR(INDEX('G-7 Rivers Data'!$AZ$3:$AZ$7,MATCH(C231,'G-7 Rivers Data'!$AY$3:$AY$7,0)),"")</f>
        <v/>
      </c>
    </row>
    <row r="232" spans="2:34" ht="14" x14ac:dyDescent="0.3">
      <c r="B232" s="141">
        <v>221</v>
      </c>
      <c r="C232" s="171"/>
      <c r="D232" s="172"/>
      <c r="E232" s="498" t="str">
        <f>IF(C232="","",VLOOKUP(C232,'G-7 Rivers Data'!$B$2:$G$8,2,FALSE))</f>
        <v/>
      </c>
      <c r="F232" s="499" t="str">
        <f>IFERROR(VLOOKUP(E232,'G-7 Rivers Data'!$C$4:$D$8,2,FALSE),"")</f>
        <v/>
      </c>
      <c r="G232" s="145"/>
      <c r="H232" s="499" t="str">
        <f>IFERROR(INDEX('G-7 Rivers Data'!$H$4:$L$8,MATCH(C232,'G-7 Rivers Data'!$B$4:$B$8,0),MATCH(G232,'G-7 Rivers Data'!$H$3:$L$3,0)),"")</f>
        <v/>
      </c>
      <c r="I232" s="154"/>
      <c r="J232" s="507" t="str">
        <f>IF(I232="","",IF(VLOOKUP(I232,'G-7 Rivers Data'!$AG$4:$AI$9,2,FALSE)=0,"Spatial Data Missing ⚠",VLOOKUP(I232,'G-7 Rivers Data'!$AG$4:$AI$9,2,FALSE)))</f>
        <v/>
      </c>
      <c r="K232" s="499" t="str">
        <f>IF(I232="","",IF(VLOOKUP(I232,'G-7 Rivers Data'!$AG$4:$AI$9,3,FALSE)=0,"Spatial Data Missing ⚠",VLOOKUP(I232,'G-7 Rivers Data'!$AG$4:$AI$9,3,FALSE)))</f>
        <v/>
      </c>
      <c r="L232" s="498" t="str">
        <f>IFERROR(INDEX('G-7 Rivers Data'!$O$3:$O$7,MATCH(G232,'G-7 Rivers Data'!$N$3:$N$7,0)),"")</f>
        <v/>
      </c>
      <c r="M232" s="82"/>
      <c r="N232" s="195"/>
      <c r="O232" s="507" t="str">
        <f t="shared" si="19"/>
        <v/>
      </c>
      <c r="P232" s="521" t="str">
        <f t="shared" si="20"/>
        <v/>
      </c>
      <c r="Q232" s="564" t="str">
        <f>IFERROR(IF(P232="Check Data ⚠","Check Data ⚠",VLOOKUP(P232,'G-4 Temporal multipliers'!$A$4:$C$37,3,FALSE)),"")</f>
        <v/>
      </c>
      <c r="R232" s="498" t="str">
        <f>IF(C232="","",VLOOKUP(C232,'G-7 Rivers Data'!$B$4:$G$8,4,FALSE))</f>
        <v/>
      </c>
      <c r="S232" s="507" t="str">
        <f t="shared" si="21"/>
        <v/>
      </c>
      <c r="T232" s="540" t="str">
        <f t="shared" si="22"/>
        <v/>
      </c>
      <c r="U232" s="499" t="str">
        <f t="shared" si="23"/>
        <v/>
      </c>
      <c r="V232" s="71"/>
      <c r="W232" s="499" t="str">
        <f>IF(V232="","",IF(VLOOKUP(V232,'G-7 Rivers Data'!$AA$4:$AB$7,2,FALSE)=0,"Spatial Data Missing ⚠",VLOOKUP(V232,'G-7 Rivers Data'!$AA$4:$AB$7,2,FALSE)))</f>
        <v/>
      </c>
      <c r="X232" s="155"/>
      <c r="Y232" s="499" t="str">
        <f>IF(X232="","",IF(VLOOKUP(X232,'G-7 Rivers Data'!$AD$4:$AE$8,2,FALSE)=0,"Enrcoachment Data Missing ⚠",VLOOKUP(X232,'G-7 Rivers Data'!$AD$4:$AE$8,2,FALSE)))</f>
        <v/>
      </c>
      <c r="Z232" s="565" t="str">
        <f t="shared" si="24"/>
        <v/>
      </c>
      <c r="AA232" s="149"/>
      <c r="AB232" s="150"/>
      <c r="AH232" s="31" t="str">
        <f>IFERROR(INDEX('G-7 Rivers Data'!$AZ$3:$AZ$7,MATCH(C232,'G-7 Rivers Data'!$AY$3:$AY$7,0)),"")</f>
        <v/>
      </c>
    </row>
    <row r="233" spans="2:34" ht="14" x14ac:dyDescent="0.3">
      <c r="B233" s="141">
        <v>222</v>
      </c>
      <c r="C233" s="171"/>
      <c r="D233" s="172"/>
      <c r="E233" s="498" t="str">
        <f>IF(C233="","",VLOOKUP(C233,'G-7 Rivers Data'!$B$2:$G$8,2,FALSE))</f>
        <v/>
      </c>
      <c r="F233" s="499" t="str">
        <f>IFERROR(VLOOKUP(E233,'G-7 Rivers Data'!$C$4:$D$8,2,FALSE),"")</f>
        <v/>
      </c>
      <c r="G233" s="145"/>
      <c r="H233" s="499" t="str">
        <f>IFERROR(INDEX('G-7 Rivers Data'!$H$4:$L$8,MATCH(C233,'G-7 Rivers Data'!$B$4:$B$8,0),MATCH(G233,'G-7 Rivers Data'!$H$3:$L$3,0)),"")</f>
        <v/>
      </c>
      <c r="I233" s="154"/>
      <c r="J233" s="507" t="str">
        <f>IF(I233="","",IF(VLOOKUP(I233,'G-7 Rivers Data'!$AG$4:$AI$9,2,FALSE)=0,"Spatial Data Missing ⚠",VLOOKUP(I233,'G-7 Rivers Data'!$AG$4:$AI$9,2,FALSE)))</f>
        <v/>
      </c>
      <c r="K233" s="499" t="str">
        <f>IF(I233="","",IF(VLOOKUP(I233,'G-7 Rivers Data'!$AG$4:$AI$9,3,FALSE)=0,"Spatial Data Missing ⚠",VLOOKUP(I233,'G-7 Rivers Data'!$AG$4:$AI$9,3,FALSE)))</f>
        <v/>
      </c>
      <c r="L233" s="498" t="str">
        <f>IFERROR(INDEX('G-7 Rivers Data'!$O$3:$O$7,MATCH(G233,'G-7 Rivers Data'!$N$3:$N$7,0)),"")</f>
        <v/>
      </c>
      <c r="M233" s="82"/>
      <c r="N233" s="195"/>
      <c r="O233" s="507" t="str">
        <f t="shared" si="19"/>
        <v/>
      </c>
      <c r="P233" s="521" t="str">
        <f t="shared" si="20"/>
        <v/>
      </c>
      <c r="Q233" s="564" t="str">
        <f>IFERROR(IF(P233="Check Data ⚠","Check Data ⚠",VLOOKUP(P233,'G-4 Temporal multipliers'!$A$4:$C$37,3,FALSE)),"")</f>
        <v/>
      </c>
      <c r="R233" s="498" t="str">
        <f>IF(C233="","",VLOOKUP(C233,'G-7 Rivers Data'!$B$4:$G$8,4,FALSE))</f>
        <v/>
      </c>
      <c r="S233" s="507" t="str">
        <f t="shared" si="21"/>
        <v/>
      </c>
      <c r="T233" s="540" t="str">
        <f t="shared" si="22"/>
        <v/>
      </c>
      <c r="U233" s="499" t="str">
        <f t="shared" si="23"/>
        <v/>
      </c>
      <c r="V233" s="71"/>
      <c r="W233" s="499" t="str">
        <f>IF(V233="","",IF(VLOOKUP(V233,'G-7 Rivers Data'!$AA$4:$AB$7,2,FALSE)=0,"Spatial Data Missing ⚠",VLOOKUP(V233,'G-7 Rivers Data'!$AA$4:$AB$7,2,FALSE)))</f>
        <v/>
      </c>
      <c r="X233" s="155"/>
      <c r="Y233" s="499" t="str">
        <f>IF(X233="","",IF(VLOOKUP(X233,'G-7 Rivers Data'!$AD$4:$AE$8,2,FALSE)=0,"Enrcoachment Data Missing ⚠",VLOOKUP(X233,'G-7 Rivers Data'!$AD$4:$AE$8,2,FALSE)))</f>
        <v/>
      </c>
      <c r="Z233" s="565" t="str">
        <f t="shared" si="24"/>
        <v/>
      </c>
      <c r="AA233" s="149"/>
      <c r="AB233" s="150"/>
      <c r="AH233" s="31" t="str">
        <f>IFERROR(INDEX('G-7 Rivers Data'!$AZ$3:$AZ$7,MATCH(C233,'G-7 Rivers Data'!$AY$3:$AY$7,0)),"")</f>
        <v/>
      </c>
    </row>
    <row r="234" spans="2:34" ht="14" x14ac:dyDescent="0.3">
      <c r="B234" s="141">
        <v>223</v>
      </c>
      <c r="C234" s="171"/>
      <c r="D234" s="172"/>
      <c r="E234" s="498" t="str">
        <f>IF(C234="","",VLOOKUP(C234,'G-7 Rivers Data'!$B$2:$G$8,2,FALSE))</f>
        <v/>
      </c>
      <c r="F234" s="499" t="str">
        <f>IFERROR(VLOOKUP(E234,'G-7 Rivers Data'!$C$4:$D$8,2,FALSE),"")</f>
        <v/>
      </c>
      <c r="G234" s="145"/>
      <c r="H234" s="499" t="str">
        <f>IFERROR(INDEX('G-7 Rivers Data'!$H$4:$L$8,MATCH(C234,'G-7 Rivers Data'!$B$4:$B$8,0),MATCH(G234,'G-7 Rivers Data'!$H$3:$L$3,0)),"")</f>
        <v/>
      </c>
      <c r="I234" s="154"/>
      <c r="J234" s="507" t="str">
        <f>IF(I234="","",IF(VLOOKUP(I234,'G-7 Rivers Data'!$AG$4:$AI$9,2,FALSE)=0,"Spatial Data Missing ⚠",VLOOKUP(I234,'G-7 Rivers Data'!$AG$4:$AI$9,2,FALSE)))</f>
        <v/>
      </c>
      <c r="K234" s="499" t="str">
        <f>IF(I234="","",IF(VLOOKUP(I234,'G-7 Rivers Data'!$AG$4:$AI$9,3,FALSE)=0,"Spatial Data Missing ⚠",VLOOKUP(I234,'G-7 Rivers Data'!$AG$4:$AI$9,3,FALSE)))</f>
        <v/>
      </c>
      <c r="L234" s="498" t="str">
        <f>IFERROR(INDEX('G-7 Rivers Data'!$O$3:$O$7,MATCH(G234,'G-7 Rivers Data'!$N$3:$N$7,0)),"")</f>
        <v/>
      </c>
      <c r="M234" s="82"/>
      <c r="N234" s="195"/>
      <c r="O234" s="507" t="str">
        <f t="shared" si="19"/>
        <v/>
      </c>
      <c r="P234" s="521" t="str">
        <f t="shared" si="20"/>
        <v/>
      </c>
      <c r="Q234" s="564" t="str">
        <f>IFERROR(IF(P234="Check Data ⚠","Check Data ⚠",VLOOKUP(P234,'G-4 Temporal multipliers'!$A$4:$C$37,3,FALSE)),"")</f>
        <v/>
      </c>
      <c r="R234" s="498" t="str">
        <f>IF(C234="","",VLOOKUP(C234,'G-7 Rivers Data'!$B$4:$G$8,4,FALSE))</f>
        <v/>
      </c>
      <c r="S234" s="507" t="str">
        <f t="shared" si="21"/>
        <v/>
      </c>
      <c r="T234" s="540" t="str">
        <f t="shared" si="22"/>
        <v/>
      </c>
      <c r="U234" s="499" t="str">
        <f t="shared" si="23"/>
        <v/>
      </c>
      <c r="V234" s="71"/>
      <c r="W234" s="499" t="str">
        <f>IF(V234="","",IF(VLOOKUP(V234,'G-7 Rivers Data'!$AA$4:$AB$7,2,FALSE)=0,"Spatial Data Missing ⚠",VLOOKUP(V234,'G-7 Rivers Data'!$AA$4:$AB$7,2,FALSE)))</f>
        <v/>
      </c>
      <c r="X234" s="155"/>
      <c r="Y234" s="499" t="str">
        <f>IF(X234="","",IF(VLOOKUP(X234,'G-7 Rivers Data'!$AD$4:$AE$8,2,FALSE)=0,"Enrcoachment Data Missing ⚠",VLOOKUP(X234,'G-7 Rivers Data'!$AD$4:$AE$8,2,FALSE)))</f>
        <v/>
      </c>
      <c r="Z234" s="565" t="str">
        <f t="shared" si="24"/>
        <v/>
      </c>
      <c r="AA234" s="149"/>
      <c r="AB234" s="150"/>
      <c r="AH234" s="31" t="str">
        <f>IFERROR(INDEX('G-7 Rivers Data'!$AZ$3:$AZ$7,MATCH(C234,'G-7 Rivers Data'!$AY$3:$AY$7,0)),"")</f>
        <v/>
      </c>
    </row>
    <row r="235" spans="2:34" ht="14" x14ac:dyDescent="0.3">
      <c r="B235" s="141">
        <v>224</v>
      </c>
      <c r="C235" s="171"/>
      <c r="D235" s="172"/>
      <c r="E235" s="498" t="str">
        <f>IF(C235="","",VLOOKUP(C235,'G-7 Rivers Data'!$B$2:$G$8,2,FALSE))</f>
        <v/>
      </c>
      <c r="F235" s="499" t="str">
        <f>IFERROR(VLOOKUP(E235,'G-7 Rivers Data'!$C$4:$D$8,2,FALSE),"")</f>
        <v/>
      </c>
      <c r="G235" s="145"/>
      <c r="H235" s="499" t="str">
        <f>IFERROR(INDEX('G-7 Rivers Data'!$H$4:$L$8,MATCH(C235,'G-7 Rivers Data'!$B$4:$B$8,0),MATCH(G235,'G-7 Rivers Data'!$H$3:$L$3,0)),"")</f>
        <v/>
      </c>
      <c r="I235" s="154"/>
      <c r="J235" s="507" t="str">
        <f>IF(I235="","",IF(VLOOKUP(I235,'G-7 Rivers Data'!$AG$4:$AI$9,2,FALSE)=0,"Spatial Data Missing ⚠",VLOOKUP(I235,'G-7 Rivers Data'!$AG$4:$AI$9,2,FALSE)))</f>
        <v/>
      </c>
      <c r="K235" s="499" t="str">
        <f>IF(I235="","",IF(VLOOKUP(I235,'G-7 Rivers Data'!$AG$4:$AI$9,3,FALSE)=0,"Spatial Data Missing ⚠",VLOOKUP(I235,'G-7 Rivers Data'!$AG$4:$AI$9,3,FALSE)))</f>
        <v/>
      </c>
      <c r="L235" s="498" t="str">
        <f>IFERROR(INDEX('G-7 Rivers Data'!$O$3:$O$7,MATCH(G235,'G-7 Rivers Data'!$N$3:$N$7,0)),"")</f>
        <v/>
      </c>
      <c r="M235" s="82"/>
      <c r="N235" s="195"/>
      <c r="O235" s="507" t="str">
        <f t="shared" si="19"/>
        <v/>
      </c>
      <c r="P235" s="521" t="str">
        <f t="shared" si="20"/>
        <v/>
      </c>
      <c r="Q235" s="564" t="str">
        <f>IFERROR(IF(P235="Check Data ⚠","Check Data ⚠",VLOOKUP(P235,'G-4 Temporal multipliers'!$A$4:$C$37,3,FALSE)),"")</f>
        <v/>
      </c>
      <c r="R235" s="498" t="str">
        <f>IF(C235="","",VLOOKUP(C235,'G-7 Rivers Data'!$B$4:$G$8,4,FALSE))</f>
        <v/>
      </c>
      <c r="S235" s="507" t="str">
        <f t="shared" si="21"/>
        <v/>
      </c>
      <c r="T235" s="540" t="str">
        <f t="shared" si="22"/>
        <v/>
      </c>
      <c r="U235" s="499" t="str">
        <f t="shared" si="23"/>
        <v/>
      </c>
      <c r="V235" s="71"/>
      <c r="W235" s="499" t="str">
        <f>IF(V235="","",IF(VLOOKUP(V235,'G-7 Rivers Data'!$AA$4:$AB$7,2,FALSE)=0,"Spatial Data Missing ⚠",VLOOKUP(V235,'G-7 Rivers Data'!$AA$4:$AB$7,2,FALSE)))</f>
        <v/>
      </c>
      <c r="X235" s="155"/>
      <c r="Y235" s="499" t="str">
        <f>IF(X235="","",IF(VLOOKUP(X235,'G-7 Rivers Data'!$AD$4:$AE$8,2,FALSE)=0,"Enrcoachment Data Missing ⚠",VLOOKUP(X235,'G-7 Rivers Data'!$AD$4:$AE$8,2,FALSE)))</f>
        <v/>
      </c>
      <c r="Z235" s="565" t="str">
        <f t="shared" si="24"/>
        <v/>
      </c>
      <c r="AA235" s="149"/>
      <c r="AB235" s="150"/>
      <c r="AH235" s="31" t="str">
        <f>IFERROR(INDEX('G-7 Rivers Data'!$AZ$3:$AZ$7,MATCH(C235,'G-7 Rivers Data'!$AY$3:$AY$7,0)),"")</f>
        <v/>
      </c>
    </row>
    <row r="236" spans="2:34" ht="14" x14ac:dyDescent="0.3">
      <c r="B236" s="141">
        <v>225</v>
      </c>
      <c r="C236" s="171"/>
      <c r="D236" s="172"/>
      <c r="E236" s="498" t="str">
        <f>IF(C236="","",VLOOKUP(C236,'G-7 Rivers Data'!$B$2:$G$8,2,FALSE))</f>
        <v/>
      </c>
      <c r="F236" s="499" t="str">
        <f>IFERROR(VLOOKUP(E236,'G-7 Rivers Data'!$C$4:$D$8,2,FALSE),"")</f>
        <v/>
      </c>
      <c r="G236" s="145"/>
      <c r="H236" s="499" t="str">
        <f>IFERROR(INDEX('G-7 Rivers Data'!$H$4:$L$8,MATCH(C236,'G-7 Rivers Data'!$B$4:$B$8,0),MATCH(G236,'G-7 Rivers Data'!$H$3:$L$3,0)),"")</f>
        <v/>
      </c>
      <c r="I236" s="154"/>
      <c r="J236" s="507" t="str">
        <f>IF(I236="","",IF(VLOOKUP(I236,'G-7 Rivers Data'!$AG$4:$AI$9,2,FALSE)=0,"Spatial Data Missing ⚠",VLOOKUP(I236,'G-7 Rivers Data'!$AG$4:$AI$9,2,FALSE)))</f>
        <v/>
      </c>
      <c r="K236" s="499" t="str">
        <f>IF(I236="","",IF(VLOOKUP(I236,'G-7 Rivers Data'!$AG$4:$AI$9,3,FALSE)=0,"Spatial Data Missing ⚠",VLOOKUP(I236,'G-7 Rivers Data'!$AG$4:$AI$9,3,FALSE)))</f>
        <v/>
      </c>
      <c r="L236" s="498" t="str">
        <f>IFERROR(INDEX('G-7 Rivers Data'!$O$3:$O$7,MATCH(G236,'G-7 Rivers Data'!$N$3:$N$7,0)),"")</f>
        <v/>
      </c>
      <c r="M236" s="82"/>
      <c r="N236" s="195"/>
      <c r="O236" s="507" t="str">
        <f t="shared" si="19"/>
        <v/>
      </c>
      <c r="P236" s="521" t="str">
        <f t="shared" si="20"/>
        <v/>
      </c>
      <c r="Q236" s="564" t="str">
        <f>IFERROR(IF(P236="Check Data ⚠","Check Data ⚠",VLOOKUP(P236,'G-4 Temporal multipliers'!$A$4:$C$37,3,FALSE)),"")</f>
        <v/>
      </c>
      <c r="R236" s="498" t="str">
        <f>IF(C236="","",VLOOKUP(C236,'G-7 Rivers Data'!$B$4:$G$8,4,FALSE))</f>
        <v/>
      </c>
      <c r="S236" s="507" t="str">
        <f t="shared" si="21"/>
        <v/>
      </c>
      <c r="T236" s="540" t="str">
        <f t="shared" si="22"/>
        <v/>
      </c>
      <c r="U236" s="499" t="str">
        <f t="shared" si="23"/>
        <v/>
      </c>
      <c r="V236" s="71"/>
      <c r="W236" s="499" t="str">
        <f>IF(V236="","",IF(VLOOKUP(V236,'G-7 Rivers Data'!$AA$4:$AB$7,2,FALSE)=0,"Spatial Data Missing ⚠",VLOOKUP(V236,'G-7 Rivers Data'!$AA$4:$AB$7,2,FALSE)))</f>
        <v/>
      </c>
      <c r="X236" s="155"/>
      <c r="Y236" s="499" t="str">
        <f>IF(X236="","",IF(VLOOKUP(X236,'G-7 Rivers Data'!$AD$4:$AE$8,2,FALSE)=0,"Enrcoachment Data Missing ⚠",VLOOKUP(X236,'G-7 Rivers Data'!$AD$4:$AE$8,2,FALSE)))</f>
        <v/>
      </c>
      <c r="Z236" s="565" t="str">
        <f t="shared" si="24"/>
        <v/>
      </c>
      <c r="AA236" s="149"/>
      <c r="AB236" s="150"/>
      <c r="AH236" s="31" t="str">
        <f>IFERROR(INDEX('G-7 Rivers Data'!$AZ$3:$AZ$7,MATCH(C236,'G-7 Rivers Data'!$AY$3:$AY$7,0)),"")</f>
        <v/>
      </c>
    </row>
    <row r="237" spans="2:34" ht="14" x14ac:dyDescent="0.3">
      <c r="B237" s="141">
        <v>226</v>
      </c>
      <c r="C237" s="171"/>
      <c r="D237" s="172"/>
      <c r="E237" s="498" t="str">
        <f>IF(C237="","",VLOOKUP(C237,'G-7 Rivers Data'!$B$2:$G$8,2,FALSE))</f>
        <v/>
      </c>
      <c r="F237" s="499" t="str">
        <f>IFERROR(VLOOKUP(E237,'G-7 Rivers Data'!$C$4:$D$8,2,FALSE),"")</f>
        <v/>
      </c>
      <c r="G237" s="145"/>
      <c r="H237" s="499" t="str">
        <f>IFERROR(INDEX('G-7 Rivers Data'!$H$4:$L$8,MATCH(C237,'G-7 Rivers Data'!$B$4:$B$8,0),MATCH(G237,'G-7 Rivers Data'!$H$3:$L$3,0)),"")</f>
        <v/>
      </c>
      <c r="I237" s="154"/>
      <c r="J237" s="507" t="str">
        <f>IF(I237="","",IF(VLOOKUP(I237,'G-7 Rivers Data'!$AG$4:$AI$9,2,FALSE)=0,"Spatial Data Missing ⚠",VLOOKUP(I237,'G-7 Rivers Data'!$AG$4:$AI$9,2,FALSE)))</f>
        <v/>
      </c>
      <c r="K237" s="499" t="str">
        <f>IF(I237="","",IF(VLOOKUP(I237,'G-7 Rivers Data'!$AG$4:$AI$9,3,FALSE)=0,"Spatial Data Missing ⚠",VLOOKUP(I237,'G-7 Rivers Data'!$AG$4:$AI$9,3,FALSE)))</f>
        <v/>
      </c>
      <c r="L237" s="498" t="str">
        <f>IFERROR(INDEX('G-7 Rivers Data'!$O$3:$O$7,MATCH(G237,'G-7 Rivers Data'!$N$3:$N$7,0)),"")</f>
        <v/>
      </c>
      <c r="M237" s="82"/>
      <c r="N237" s="195"/>
      <c r="O237" s="507" t="str">
        <f t="shared" si="19"/>
        <v/>
      </c>
      <c r="P237" s="521" t="str">
        <f t="shared" si="20"/>
        <v/>
      </c>
      <c r="Q237" s="564" t="str">
        <f>IFERROR(IF(P237="Check Data ⚠","Check Data ⚠",VLOOKUP(P237,'G-4 Temporal multipliers'!$A$4:$C$37,3,FALSE)),"")</f>
        <v/>
      </c>
      <c r="R237" s="498" t="str">
        <f>IF(C237="","",VLOOKUP(C237,'G-7 Rivers Data'!$B$4:$G$8,4,FALSE))</f>
        <v/>
      </c>
      <c r="S237" s="507" t="str">
        <f t="shared" si="21"/>
        <v/>
      </c>
      <c r="T237" s="540" t="str">
        <f t="shared" si="22"/>
        <v/>
      </c>
      <c r="U237" s="499" t="str">
        <f t="shared" si="23"/>
        <v/>
      </c>
      <c r="V237" s="71"/>
      <c r="W237" s="499" t="str">
        <f>IF(V237="","",IF(VLOOKUP(V237,'G-7 Rivers Data'!$AA$4:$AB$7,2,FALSE)=0,"Spatial Data Missing ⚠",VLOOKUP(V237,'G-7 Rivers Data'!$AA$4:$AB$7,2,FALSE)))</f>
        <v/>
      </c>
      <c r="X237" s="155"/>
      <c r="Y237" s="499" t="str">
        <f>IF(X237="","",IF(VLOOKUP(X237,'G-7 Rivers Data'!$AD$4:$AE$8,2,FALSE)=0,"Enrcoachment Data Missing ⚠",VLOOKUP(X237,'G-7 Rivers Data'!$AD$4:$AE$8,2,FALSE)))</f>
        <v/>
      </c>
      <c r="Z237" s="565" t="str">
        <f t="shared" si="24"/>
        <v/>
      </c>
      <c r="AA237" s="149"/>
      <c r="AB237" s="150"/>
      <c r="AH237" s="31" t="str">
        <f>IFERROR(INDEX('G-7 Rivers Data'!$AZ$3:$AZ$7,MATCH(C237,'G-7 Rivers Data'!$AY$3:$AY$7,0)),"")</f>
        <v/>
      </c>
    </row>
    <row r="238" spans="2:34" ht="14" x14ac:dyDescent="0.3">
      <c r="B238" s="141">
        <v>227</v>
      </c>
      <c r="C238" s="171"/>
      <c r="D238" s="172"/>
      <c r="E238" s="498" t="str">
        <f>IF(C238="","",VLOOKUP(C238,'G-7 Rivers Data'!$B$2:$G$8,2,FALSE))</f>
        <v/>
      </c>
      <c r="F238" s="499" t="str">
        <f>IFERROR(VLOOKUP(E238,'G-7 Rivers Data'!$C$4:$D$8,2,FALSE),"")</f>
        <v/>
      </c>
      <c r="G238" s="145"/>
      <c r="H238" s="499" t="str">
        <f>IFERROR(INDEX('G-7 Rivers Data'!$H$4:$L$8,MATCH(C238,'G-7 Rivers Data'!$B$4:$B$8,0),MATCH(G238,'G-7 Rivers Data'!$H$3:$L$3,0)),"")</f>
        <v/>
      </c>
      <c r="I238" s="154"/>
      <c r="J238" s="507" t="str">
        <f>IF(I238="","",IF(VLOOKUP(I238,'G-7 Rivers Data'!$AG$4:$AI$9,2,FALSE)=0,"Spatial Data Missing ⚠",VLOOKUP(I238,'G-7 Rivers Data'!$AG$4:$AI$9,2,FALSE)))</f>
        <v/>
      </c>
      <c r="K238" s="499" t="str">
        <f>IF(I238="","",IF(VLOOKUP(I238,'G-7 Rivers Data'!$AG$4:$AI$9,3,FALSE)=0,"Spatial Data Missing ⚠",VLOOKUP(I238,'G-7 Rivers Data'!$AG$4:$AI$9,3,FALSE)))</f>
        <v/>
      </c>
      <c r="L238" s="498" t="str">
        <f>IFERROR(INDEX('G-7 Rivers Data'!$O$3:$O$7,MATCH(G238,'G-7 Rivers Data'!$N$3:$N$7,0)),"")</f>
        <v/>
      </c>
      <c r="M238" s="82"/>
      <c r="N238" s="195"/>
      <c r="O238" s="507" t="str">
        <f t="shared" si="19"/>
        <v/>
      </c>
      <c r="P238" s="521" t="str">
        <f t="shared" si="20"/>
        <v/>
      </c>
      <c r="Q238" s="564" t="str">
        <f>IFERROR(IF(P238="Check Data ⚠","Check Data ⚠",VLOOKUP(P238,'G-4 Temporal multipliers'!$A$4:$C$37,3,FALSE)),"")</f>
        <v/>
      </c>
      <c r="R238" s="498" t="str">
        <f>IF(C238="","",VLOOKUP(C238,'G-7 Rivers Data'!$B$4:$G$8,4,FALSE))</f>
        <v/>
      </c>
      <c r="S238" s="507" t="str">
        <f t="shared" si="21"/>
        <v/>
      </c>
      <c r="T238" s="540" t="str">
        <f t="shared" si="22"/>
        <v/>
      </c>
      <c r="U238" s="499" t="str">
        <f t="shared" si="23"/>
        <v/>
      </c>
      <c r="V238" s="71"/>
      <c r="W238" s="499" t="str">
        <f>IF(V238="","",IF(VLOOKUP(V238,'G-7 Rivers Data'!$AA$4:$AB$7,2,FALSE)=0,"Spatial Data Missing ⚠",VLOOKUP(V238,'G-7 Rivers Data'!$AA$4:$AB$7,2,FALSE)))</f>
        <v/>
      </c>
      <c r="X238" s="155"/>
      <c r="Y238" s="499" t="str">
        <f>IF(X238="","",IF(VLOOKUP(X238,'G-7 Rivers Data'!$AD$4:$AE$8,2,FALSE)=0,"Enrcoachment Data Missing ⚠",VLOOKUP(X238,'G-7 Rivers Data'!$AD$4:$AE$8,2,FALSE)))</f>
        <v/>
      </c>
      <c r="Z238" s="565" t="str">
        <f t="shared" si="24"/>
        <v/>
      </c>
      <c r="AA238" s="149"/>
      <c r="AB238" s="150"/>
      <c r="AH238" s="31" t="str">
        <f>IFERROR(INDEX('G-7 Rivers Data'!$AZ$3:$AZ$7,MATCH(C238,'G-7 Rivers Data'!$AY$3:$AY$7,0)),"")</f>
        <v/>
      </c>
    </row>
    <row r="239" spans="2:34" ht="14" x14ac:dyDescent="0.3">
      <c r="B239" s="141">
        <v>228</v>
      </c>
      <c r="C239" s="171"/>
      <c r="D239" s="172"/>
      <c r="E239" s="498" t="str">
        <f>IF(C239="","",VLOOKUP(C239,'G-7 Rivers Data'!$B$2:$G$8,2,FALSE))</f>
        <v/>
      </c>
      <c r="F239" s="499" t="str">
        <f>IFERROR(VLOOKUP(E239,'G-7 Rivers Data'!$C$4:$D$8,2,FALSE),"")</f>
        <v/>
      </c>
      <c r="G239" s="145"/>
      <c r="H239" s="499" t="str">
        <f>IFERROR(INDEX('G-7 Rivers Data'!$H$4:$L$8,MATCH(C239,'G-7 Rivers Data'!$B$4:$B$8,0),MATCH(G239,'G-7 Rivers Data'!$H$3:$L$3,0)),"")</f>
        <v/>
      </c>
      <c r="I239" s="154"/>
      <c r="J239" s="507" t="str">
        <f>IF(I239="","",IF(VLOOKUP(I239,'G-7 Rivers Data'!$AG$4:$AI$9,2,FALSE)=0,"Spatial Data Missing ⚠",VLOOKUP(I239,'G-7 Rivers Data'!$AG$4:$AI$9,2,FALSE)))</f>
        <v/>
      </c>
      <c r="K239" s="499" t="str">
        <f>IF(I239="","",IF(VLOOKUP(I239,'G-7 Rivers Data'!$AG$4:$AI$9,3,FALSE)=0,"Spatial Data Missing ⚠",VLOOKUP(I239,'G-7 Rivers Data'!$AG$4:$AI$9,3,FALSE)))</f>
        <v/>
      </c>
      <c r="L239" s="498" t="str">
        <f>IFERROR(INDEX('G-7 Rivers Data'!$O$3:$O$7,MATCH(G239,'G-7 Rivers Data'!$N$3:$N$7,0)),"")</f>
        <v/>
      </c>
      <c r="M239" s="82"/>
      <c r="N239" s="195"/>
      <c r="O239" s="507" t="str">
        <f t="shared" si="19"/>
        <v/>
      </c>
      <c r="P239" s="521" t="str">
        <f t="shared" si="20"/>
        <v/>
      </c>
      <c r="Q239" s="564" t="str">
        <f>IFERROR(IF(P239="Check Data ⚠","Check Data ⚠",VLOOKUP(P239,'G-4 Temporal multipliers'!$A$4:$C$37,3,FALSE)),"")</f>
        <v/>
      </c>
      <c r="R239" s="498" t="str">
        <f>IF(C239="","",VLOOKUP(C239,'G-7 Rivers Data'!$B$4:$G$8,4,FALSE))</f>
        <v/>
      </c>
      <c r="S239" s="507" t="str">
        <f t="shared" si="21"/>
        <v/>
      </c>
      <c r="T239" s="540" t="str">
        <f t="shared" si="22"/>
        <v/>
      </c>
      <c r="U239" s="499" t="str">
        <f t="shared" si="23"/>
        <v/>
      </c>
      <c r="V239" s="71"/>
      <c r="W239" s="499" t="str">
        <f>IF(V239="","",IF(VLOOKUP(V239,'G-7 Rivers Data'!$AA$4:$AB$7,2,FALSE)=0,"Spatial Data Missing ⚠",VLOOKUP(V239,'G-7 Rivers Data'!$AA$4:$AB$7,2,FALSE)))</f>
        <v/>
      </c>
      <c r="X239" s="155"/>
      <c r="Y239" s="499" t="str">
        <f>IF(X239="","",IF(VLOOKUP(X239,'G-7 Rivers Data'!$AD$4:$AE$8,2,FALSE)=0,"Enrcoachment Data Missing ⚠",VLOOKUP(X239,'G-7 Rivers Data'!$AD$4:$AE$8,2,FALSE)))</f>
        <v/>
      </c>
      <c r="Z239" s="565" t="str">
        <f t="shared" si="24"/>
        <v/>
      </c>
      <c r="AA239" s="149"/>
      <c r="AB239" s="150"/>
      <c r="AH239" s="31" t="str">
        <f>IFERROR(INDEX('G-7 Rivers Data'!$AZ$3:$AZ$7,MATCH(C239,'G-7 Rivers Data'!$AY$3:$AY$7,0)),"")</f>
        <v/>
      </c>
    </row>
    <row r="240" spans="2:34" ht="14" x14ac:dyDescent="0.3">
      <c r="B240" s="141">
        <v>229</v>
      </c>
      <c r="C240" s="171"/>
      <c r="D240" s="172"/>
      <c r="E240" s="498" t="str">
        <f>IF(C240="","",VLOOKUP(C240,'G-7 Rivers Data'!$B$2:$G$8,2,FALSE))</f>
        <v/>
      </c>
      <c r="F240" s="499" t="str">
        <f>IFERROR(VLOOKUP(E240,'G-7 Rivers Data'!$C$4:$D$8,2,FALSE),"")</f>
        <v/>
      </c>
      <c r="G240" s="145"/>
      <c r="H240" s="499" t="str">
        <f>IFERROR(INDEX('G-7 Rivers Data'!$H$4:$L$8,MATCH(C240,'G-7 Rivers Data'!$B$4:$B$8,0),MATCH(G240,'G-7 Rivers Data'!$H$3:$L$3,0)),"")</f>
        <v/>
      </c>
      <c r="I240" s="154"/>
      <c r="J240" s="507" t="str">
        <f>IF(I240="","",IF(VLOOKUP(I240,'G-7 Rivers Data'!$AG$4:$AI$9,2,FALSE)=0,"Spatial Data Missing ⚠",VLOOKUP(I240,'G-7 Rivers Data'!$AG$4:$AI$9,2,FALSE)))</f>
        <v/>
      </c>
      <c r="K240" s="499" t="str">
        <f>IF(I240="","",IF(VLOOKUP(I240,'G-7 Rivers Data'!$AG$4:$AI$9,3,FALSE)=0,"Spatial Data Missing ⚠",VLOOKUP(I240,'G-7 Rivers Data'!$AG$4:$AI$9,3,FALSE)))</f>
        <v/>
      </c>
      <c r="L240" s="498" t="str">
        <f>IFERROR(INDEX('G-7 Rivers Data'!$O$3:$O$7,MATCH(G240,'G-7 Rivers Data'!$N$3:$N$7,0)),"")</f>
        <v/>
      </c>
      <c r="M240" s="82"/>
      <c r="N240" s="195"/>
      <c r="O240" s="507" t="str">
        <f t="shared" si="19"/>
        <v/>
      </c>
      <c r="P240" s="521" t="str">
        <f t="shared" si="20"/>
        <v/>
      </c>
      <c r="Q240" s="564" t="str">
        <f>IFERROR(IF(P240="Check Data ⚠","Check Data ⚠",VLOOKUP(P240,'G-4 Temporal multipliers'!$A$4:$C$37,3,FALSE)),"")</f>
        <v/>
      </c>
      <c r="R240" s="498" t="str">
        <f>IF(C240="","",VLOOKUP(C240,'G-7 Rivers Data'!$B$4:$G$8,4,FALSE))</f>
        <v/>
      </c>
      <c r="S240" s="507" t="str">
        <f t="shared" si="21"/>
        <v/>
      </c>
      <c r="T240" s="540" t="str">
        <f t="shared" si="22"/>
        <v/>
      </c>
      <c r="U240" s="499" t="str">
        <f t="shared" si="23"/>
        <v/>
      </c>
      <c r="V240" s="71"/>
      <c r="W240" s="499" t="str">
        <f>IF(V240="","",IF(VLOOKUP(V240,'G-7 Rivers Data'!$AA$4:$AB$7,2,FALSE)=0,"Spatial Data Missing ⚠",VLOOKUP(V240,'G-7 Rivers Data'!$AA$4:$AB$7,2,FALSE)))</f>
        <v/>
      </c>
      <c r="X240" s="155"/>
      <c r="Y240" s="499" t="str">
        <f>IF(X240="","",IF(VLOOKUP(X240,'G-7 Rivers Data'!$AD$4:$AE$8,2,FALSE)=0,"Enrcoachment Data Missing ⚠",VLOOKUP(X240,'G-7 Rivers Data'!$AD$4:$AE$8,2,FALSE)))</f>
        <v/>
      </c>
      <c r="Z240" s="565" t="str">
        <f t="shared" si="24"/>
        <v/>
      </c>
      <c r="AA240" s="149"/>
      <c r="AB240" s="150"/>
      <c r="AH240" s="31" t="str">
        <f>IFERROR(INDEX('G-7 Rivers Data'!$AZ$3:$AZ$7,MATCH(C240,'G-7 Rivers Data'!$AY$3:$AY$7,0)),"")</f>
        <v/>
      </c>
    </row>
    <row r="241" spans="2:34" ht="14" x14ac:dyDescent="0.3">
      <c r="B241" s="141">
        <v>230</v>
      </c>
      <c r="C241" s="171"/>
      <c r="D241" s="172"/>
      <c r="E241" s="498" t="str">
        <f>IF(C241="","",VLOOKUP(C241,'G-7 Rivers Data'!$B$2:$G$8,2,FALSE))</f>
        <v/>
      </c>
      <c r="F241" s="499" t="str">
        <f>IFERROR(VLOOKUP(E241,'G-7 Rivers Data'!$C$4:$D$8,2,FALSE),"")</f>
        <v/>
      </c>
      <c r="G241" s="145"/>
      <c r="H241" s="499" t="str">
        <f>IFERROR(INDEX('G-7 Rivers Data'!$H$4:$L$8,MATCH(C241,'G-7 Rivers Data'!$B$4:$B$8,0),MATCH(G241,'G-7 Rivers Data'!$H$3:$L$3,0)),"")</f>
        <v/>
      </c>
      <c r="I241" s="154"/>
      <c r="J241" s="507" t="str">
        <f>IF(I241="","",IF(VLOOKUP(I241,'G-7 Rivers Data'!$AG$4:$AI$9,2,FALSE)=0,"Spatial Data Missing ⚠",VLOOKUP(I241,'G-7 Rivers Data'!$AG$4:$AI$9,2,FALSE)))</f>
        <v/>
      </c>
      <c r="K241" s="499" t="str">
        <f>IF(I241="","",IF(VLOOKUP(I241,'G-7 Rivers Data'!$AG$4:$AI$9,3,FALSE)=0,"Spatial Data Missing ⚠",VLOOKUP(I241,'G-7 Rivers Data'!$AG$4:$AI$9,3,FALSE)))</f>
        <v/>
      </c>
      <c r="L241" s="498" t="str">
        <f>IFERROR(INDEX('G-7 Rivers Data'!$O$3:$O$7,MATCH(G241,'G-7 Rivers Data'!$N$3:$N$7,0)),"")</f>
        <v/>
      </c>
      <c r="M241" s="82"/>
      <c r="N241" s="195"/>
      <c r="O241" s="507" t="str">
        <f t="shared" si="19"/>
        <v/>
      </c>
      <c r="P241" s="521" t="str">
        <f t="shared" si="20"/>
        <v/>
      </c>
      <c r="Q241" s="564" t="str">
        <f>IFERROR(IF(P241="Check Data ⚠","Check Data ⚠",VLOOKUP(P241,'G-4 Temporal multipliers'!$A$4:$C$37,3,FALSE)),"")</f>
        <v/>
      </c>
      <c r="R241" s="498" t="str">
        <f>IF(C241="","",VLOOKUP(C241,'G-7 Rivers Data'!$B$4:$G$8,4,FALSE))</f>
        <v/>
      </c>
      <c r="S241" s="507" t="str">
        <f t="shared" si="21"/>
        <v/>
      </c>
      <c r="T241" s="540" t="str">
        <f t="shared" si="22"/>
        <v/>
      </c>
      <c r="U241" s="499" t="str">
        <f t="shared" si="23"/>
        <v/>
      </c>
      <c r="V241" s="71"/>
      <c r="W241" s="499" t="str">
        <f>IF(V241="","",IF(VLOOKUP(V241,'G-7 Rivers Data'!$AA$4:$AB$7,2,FALSE)=0,"Spatial Data Missing ⚠",VLOOKUP(V241,'G-7 Rivers Data'!$AA$4:$AB$7,2,FALSE)))</f>
        <v/>
      </c>
      <c r="X241" s="155"/>
      <c r="Y241" s="499" t="str">
        <f>IF(X241="","",IF(VLOOKUP(X241,'G-7 Rivers Data'!$AD$4:$AE$8,2,FALSE)=0,"Enrcoachment Data Missing ⚠",VLOOKUP(X241,'G-7 Rivers Data'!$AD$4:$AE$8,2,FALSE)))</f>
        <v/>
      </c>
      <c r="Z241" s="565" t="str">
        <f t="shared" si="24"/>
        <v/>
      </c>
      <c r="AA241" s="149"/>
      <c r="AB241" s="150"/>
      <c r="AH241" s="31" t="str">
        <f>IFERROR(INDEX('G-7 Rivers Data'!$AZ$3:$AZ$7,MATCH(C241,'G-7 Rivers Data'!$AY$3:$AY$7,0)),"")</f>
        <v/>
      </c>
    </row>
    <row r="242" spans="2:34" ht="14" x14ac:dyDescent="0.3">
      <c r="B242" s="141">
        <v>231</v>
      </c>
      <c r="C242" s="171"/>
      <c r="D242" s="172"/>
      <c r="E242" s="498" t="str">
        <f>IF(C242="","",VLOOKUP(C242,'G-7 Rivers Data'!$B$2:$G$8,2,FALSE))</f>
        <v/>
      </c>
      <c r="F242" s="499" t="str">
        <f>IFERROR(VLOOKUP(E242,'G-7 Rivers Data'!$C$4:$D$8,2,FALSE),"")</f>
        <v/>
      </c>
      <c r="G242" s="145"/>
      <c r="H242" s="499" t="str">
        <f>IFERROR(INDEX('G-7 Rivers Data'!$H$4:$L$8,MATCH(C242,'G-7 Rivers Data'!$B$4:$B$8,0),MATCH(G242,'G-7 Rivers Data'!$H$3:$L$3,0)),"")</f>
        <v/>
      </c>
      <c r="I242" s="154"/>
      <c r="J242" s="507" t="str">
        <f>IF(I242="","",IF(VLOOKUP(I242,'G-7 Rivers Data'!$AG$4:$AI$9,2,FALSE)=0,"Spatial Data Missing ⚠",VLOOKUP(I242,'G-7 Rivers Data'!$AG$4:$AI$9,2,FALSE)))</f>
        <v/>
      </c>
      <c r="K242" s="499" t="str">
        <f>IF(I242="","",IF(VLOOKUP(I242,'G-7 Rivers Data'!$AG$4:$AI$9,3,FALSE)=0,"Spatial Data Missing ⚠",VLOOKUP(I242,'G-7 Rivers Data'!$AG$4:$AI$9,3,FALSE)))</f>
        <v/>
      </c>
      <c r="L242" s="498" t="str">
        <f>IFERROR(INDEX('G-7 Rivers Data'!$O$3:$O$7,MATCH(G242,'G-7 Rivers Data'!$N$3:$N$7,0)),"")</f>
        <v/>
      </c>
      <c r="M242" s="82"/>
      <c r="N242" s="195"/>
      <c r="O242" s="507" t="str">
        <f t="shared" si="19"/>
        <v/>
      </c>
      <c r="P242" s="521" t="str">
        <f t="shared" si="20"/>
        <v/>
      </c>
      <c r="Q242" s="564" t="str">
        <f>IFERROR(IF(P242="Check Data ⚠","Check Data ⚠",VLOOKUP(P242,'G-4 Temporal multipliers'!$A$4:$C$37,3,FALSE)),"")</f>
        <v/>
      </c>
      <c r="R242" s="498" t="str">
        <f>IF(C242="","",VLOOKUP(C242,'G-7 Rivers Data'!$B$4:$G$8,4,FALSE))</f>
        <v/>
      </c>
      <c r="S242" s="507" t="str">
        <f t="shared" si="21"/>
        <v/>
      </c>
      <c r="T242" s="540" t="str">
        <f t="shared" si="22"/>
        <v/>
      </c>
      <c r="U242" s="499" t="str">
        <f t="shared" si="23"/>
        <v/>
      </c>
      <c r="V242" s="71"/>
      <c r="W242" s="499" t="str">
        <f>IF(V242="","",IF(VLOOKUP(V242,'G-7 Rivers Data'!$AA$4:$AB$7,2,FALSE)=0,"Spatial Data Missing ⚠",VLOOKUP(V242,'G-7 Rivers Data'!$AA$4:$AB$7,2,FALSE)))</f>
        <v/>
      </c>
      <c r="X242" s="155"/>
      <c r="Y242" s="499" t="str">
        <f>IF(X242="","",IF(VLOOKUP(X242,'G-7 Rivers Data'!$AD$4:$AE$8,2,FALSE)=0,"Enrcoachment Data Missing ⚠",VLOOKUP(X242,'G-7 Rivers Data'!$AD$4:$AE$8,2,FALSE)))</f>
        <v/>
      </c>
      <c r="Z242" s="565" t="str">
        <f t="shared" si="24"/>
        <v/>
      </c>
      <c r="AA242" s="149"/>
      <c r="AB242" s="150"/>
      <c r="AH242" s="31" t="str">
        <f>IFERROR(INDEX('G-7 Rivers Data'!$AZ$3:$AZ$7,MATCH(C242,'G-7 Rivers Data'!$AY$3:$AY$7,0)),"")</f>
        <v/>
      </c>
    </row>
    <row r="243" spans="2:34" ht="14" x14ac:dyDescent="0.3">
      <c r="B243" s="141">
        <v>232</v>
      </c>
      <c r="C243" s="171"/>
      <c r="D243" s="172"/>
      <c r="E243" s="498" t="str">
        <f>IF(C243="","",VLOOKUP(C243,'G-7 Rivers Data'!$B$2:$G$8,2,FALSE))</f>
        <v/>
      </c>
      <c r="F243" s="499" t="str">
        <f>IFERROR(VLOOKUP(E243,'G-7 Rivers Data'!$C$4:$D$8,2,FALSE),"")</f>
        <v/>
      </c>
      <c r="G243" s="145"/>
      <c r="H243" s="499" t="str">
        <f>IFERROR(INDEX('G-7 Rivers Data'!$H$4:$L$8,MATCH(C243,'G-7 Rivers Data'!$B$4:$B$8,0),MATCH(G243,'G-7 Rivers Data'!$H$3:$L$3,0)),"")</f>
        <v/>
      </c>
      <c r="I243" s="154"/>
      <c r="J243" s="507" t="str">
        <f>IF(I243="","",IF(VLOOKUP(I243,'G-7 Rivers Data'!$AG$4:$AI$9,2,FALSE)=0,"Spatial Data Missing ⚠",VLOOKUP(I243,'G-7 Rivers Data'!$AG$4:$AI$9,2,FALSE)))</f>
        <v/>
      </c>
      <c r="K243" s="499" t="str">
        <f>IF(I243="","",IF(VLOOKUP(I243,'G-7 Rivers Data'!$AG$4:$AI$9,3,FALSE)=0,"Spatial Data Missing ⚠",VLOOKUP(I243,'G-7 Rivers Data'!$AG$4:$AI$9,3,FALSE)))</f>
        <v/>
      </c>
      <c r="L243" s="498" t="str">
        <f>IFERROR(INDEX('G-7 Rivers Data'!$O$3:$O$7,MATCH(G243,'G-7 Rivers Data'!$N$3:$N$7,0)),"")</f>
        <v/>
      </c>
      <c r="M243" s="82"/>
      <c r="N243" s="195"/>
      <c r="O243" s="507" t="str">
        <f t="shared" si="19"/>
        <v/>
      </c>
      <c r="P243" s="521" t="str">
        <f t="shared" si="20"/>
        <v/>
      </c>
      <c r="Q243" s="564" t="str">
        <f>IFERROR(IF(P243="Check Data ⚠","Check Data ⚠",VLOOKUP(P243,'G-4 Temporal multipliers'!$A$4:$C$37,3,FALSE)),"")</f>
        <v/>
      </c>
      <c r="R243" s="498" t="str">
        <f>IF(C243="","",VLOOKUP(C243,'G-7 Rivers Data'!$B$4:$G$8,4,FALSE))</f>
        <v/>
      </c>
      <c r="S243" s="507" t="str">
        <f t="shared" si="21"/>
        <v/>
      </c>
      <c r="T243" s="540" t="str">
        <f t="shared" si="22"/>
        <v/>
      </c>
      <c r="U243" s="499" t="str">
        <f t="shared" si="23"/>
        <v/>
      </c>
      <c r="V243" s="71"/>
      <c r="W243" s="499" t="str">
        <f>IF(V243="","",IF(VLOOKUP(V243,'G-7 Rivers Data'!$AA$4:$AB$7,2,FALSE)=0,"Spatial Data Missing ⚠",VLOOKUP(V243,'G-7 Rivers Data'!$AA$4:$AB$7,2,FALSE)))</f>
        <v/>
      </c>
      <c r="X243" s="155"/>
      <c r="Y243" s="499" t="str">
        <f>IF(X243="","",IF(VLOOKUP(X243,'G-7 Rivers Data'!$AD$4:$AE$8,2,FALSE)=0,"Enrcoachment Data Missing ⚠",VLOOKUP(X243,'G-7 Rivers Data'!$AD$4:$AE$8,2,FALSE)))</f>
        <v/>
      </c>
      <c r="Z243" s="565" t="str">
        <f t="shared" si="24"/>
        <v/>
      </c>
      <c r="AA243" s="149"/>
      <c r="AB243" s="150"/>
      <c r="AH243" s="31" t="str">
        <f>IFERROR(INDEX('G-7 Rivers Data'!$AZ$3:$AZ$7,MATCH(C243,'G-7 Rivers Data'!$AY$3:$AY$7,0)),"")</f>
        <v/>
      </c>
    </row>
    <row r="244" spans="2:34" ht="14" x14ac:dyDescent="0.3">
      <c r="B244" s="141">
        <v>233</v>
      </c>
      <c r="C244" s="171"/>
      <c r="D244" s="172"/>
      <c r="E244" s="498" t="str">
        <f>IF(C244="","",VLOOKUP(C244,'G-7 Rivers Data'!$B$2:$G$8,2,FALSE))</f>
        <v/>
      </c>
      <c r="F244" s="499" t="str">
        <f>IFERROR(VLOOKUP(E244,'G-7 Rivers Data'!$C$4:$D$8,2,FALSE),"")</f>
        <v/>
      </c>
      <c r="G244" s="145"/>
      <c r="H244" s="499" t="str">
        <f>IFERROR(INDEX('G-7 Rivers Data'!$H$4:$L$8,MATCH(C244,'G-7 Rivers Data'!$B$4:$B$8,0),MATCH(G244,'G-7 Rivers Data'!$H$3:$L$3,0)),"")</f>
        <v/>
      </c>
      <c r="I244" s="154"/>
      <c r="J244" s="507" t="str">
        <f>IF(I244="","",IF(VLOOKUP(I244,'G-7 Rivers Data'!$AG$4:$AI$9,2,FALSE)=0,"Spatial Data Missing ⚠",VLOOKUP(I244,'G-7 Rivers Data'!$AG$4:$AI$9,2,FALSE)))</f>
        <v/>
      </c>
      <c r="K244" s="499" t="str">
        <f>IF(I244="","",IF(VLOOKUP(I244,'G-7 Rivers Data'!$AG$4:$AI$9,3,FALSE)=0,"Spatial Data Missing ⚠",VLOOKUP(I244,'G-7 Rivers Data'!$AG$4:$AI$9,3,FALSE)))</f>
        <v/>
      </c>
      <c r="L244" s="498" t="str">
        <f>IFERROR(INDEX('G-7 Rivers Data'!$O$3:$O$7,MATCH(G244,'G-7 Rivers Data'!$N$3:$N$7,0)),"")</f>
        <v/>
      </c>
      <c r="M244" s="82"/>
      <c r="N244" s="195"/>
      <c r="O244" s="507" t="str">
        <f t="shared" si="19"/>
        <v/>
      </c>
      <c r="P244" s="521" t="str">
        <f t="shared" si="20"/>
        <v/>
      </c>
      <c r="Q244" s="564" t="str">
        <f>IFERROR(IF(P244="Check Data ⚠","Check Data ⚠",VLOOKUP(P244,'G-4 Temporal multipliers'!$A$4:$C$37,3,FALSE)),"")</f>
        <v/>
      </c>
      <c r="R244" s="498" t="str">
        <f>IF(C244="","",VLOOKUP(C244,'G-7 Rivers Data'!$B$4:$G$8,4,FALSE))</f>
        <v/>
      </c>
      <c r="S244" s="507" t="str">
        <f t="shared" si="21"/>
        <v/>
      </c>
      <c r="T244" s="540" t="str">
        <f t="shared" si="22"/>
        <v/>
      </c>
      <c r="U244" s="499" t="str">
        <f t="shared" si="23"/>
        <v/>
      </c>
      <c r="V244" s="71"/>
      <c r="W244" s="499" t="str">
        <f>IF(V244="","",IF(VLOOKUP(V244,'G-7 Rivers Data'!$AA$4:$AB$7,2,FALSE)=0,"Spatial Data Missing ⚠",VLOOKUP(V244,'G-7 Rivers Data'!$AA$4:$AB$7,2,FALSE)))</f>
        <v/>
      </c>
      <c r="X244" s="155"/>
      <c r="Y244" s="499" t="str">
        <f>IF(X244="","",IF(VLOOKUP(X244,'G-7 Rivers Data'!$AD$4:$AE$8,2,FALSE)=0,"Enrcoachment Data Missing ⚠",VLOOKUP(X244,'G-7 Rivers Data'!$AD$4:$AE$8,2,FALSE)))</f>
        <v/>
      </c>
      <c r="Z244" s="565" t="str">
        <f t="shared" si="24"/>
        <v/>
      </c>
      <c r="AA244" s="149"/>
      <c r="AB244" s="150"/>
      <c r="AH244" s="31" t="str">
        <f>IFERROR(INDEX('G-7 Rivers Data'!$AZ$3:$AZ$7,MATCH(C244,'G-7 Rivers Data'!$AY$3:$AY$7,0)),"")</f>
        <v/>
      </c>
    </row>
    <row r="245" spans="2:34" ht="14" x14ac:dyDescent="0.3">
      <c r="B245" s="141">
        <v>234</v>
      </c>
      <c r="C245" s="171"/>
      <c r="D245" s="172"/>
      <c r="E245" s="498" t="str">
        <f>IF(C245="","",VLOOKUP(C245,'G-7 Rivers Data'!$B$2:$G$8,2,FALSE))</f>
        <v/>
      </c>
      <c r="F245" s="499" t="str">
        <f>IFERROR(VLOOKUP(E245,'G-7 Rivers Data'!$C$4:$D$8,2,FALSE),"")</f>
        <v/>
      </c>
      <c r="G245" s="145"/>
      <c r="H245" s="499" t="str">
        <f>IFERROR(INDEX('G-7 Rivers Data'!$H$4:$L$8,MATCH(C245,'G-7 Rivers Data'!$B$4:$B$8,0),MATCH(G245,'G-7 Rivers Data'!$H$3:$L$3,0)),"")</f>
        <v/>
      </c>
      <c r="I245" s="154"/>
      <c r="J245" s="507" t="str">
        <f>IF(I245="","",IF(VLOOKUP(I245,'G-7 Rivers Data'!$AG$4:$AI$9,2,FALSE)=0,"Spatial Data Missing ⚠",VLOOKUP(I245,'G-7 Rivers Data'!$AG$4:$AI$9,2,FALSE)))</f>
        <v/>
      </c>
      <c r="K245" s="499" t="str">
        <f>IF(I245="","",IF(VLOOKUP(I245,'G-7 Rivers Data'!$AG$4:$AI$9,3,FALSE)=0,"Spatial Data Missing ⚠",VLOOKUP(I245,'G-7 Rivers Data'!$AG$4:$AI$9,3,FALSE)))</f>
        <v/>
      </c>
      <c r="L245" s="498" t="str">
        <f>IFERROR(INDEX('G-7 Rivers Data'!$O$3:$O$7,MATCH(G245,'G-7 Rivers Data'!$N$3:$N$7,0)),"")</f>
        <v/>
      </c>
      <c r="M245" s="82"/>
      <c r="N245" s="195"/>
      <c r="O245" s="507" t="str">
        <f t="shared" si="19"/>
        <v/>
      </c>
      <c r="P245" s="521" t="str">
        <f t="shared" si="20"/>
        <v/>
      </c>
      <c r="Q245" s="564" t="str">
        <f>IFERROR(IF(P245="Check Data ⚠","Check Data ⚠",VLOOKUP(P245,'G-4 Temporal multipliers'!$A$4:$C$37,3,FALSE)),"")</f>
        <v/>
      </c>
      <c r="R245" s="498" t="str">
        <f>IF(C245="","",VLOOKUP(C245,'G-7 Rivers Data'!$B$4:$G$8,4,FALSE))</f>
        <v/>
      </c>
      <c r="S245" s="507" t="str">
        <f t="shared" si="21"/>
        <v/>
      </c>
      <c r="T245" s="540" t="str">
        <f t="shared" si="22"/>
        <v/>
      </c>
      <c r="U245" s="499" t="str">
        <f t="shared" si="23"/>
        <v/>
      </c>
      <c r="V245" s="71"/>
      <c r="W245" s="499" t="str">
        <f>IF(V245="","",IF(VLOOKUP(V245,'G-7 Rivers Data'!$AA$4:$AB$7,2,FALSE)=0,"Spatial Data Missing ⚠",VLOOKUP(V245,'G-7 Rivers Data'!$AA$4:$AB$7,2,FALSE)))</f>
        <v/>
      </c>
      <c r="X245" s="155"/>
      <c r="Y245" s="499" t="str">
        <f>IF(X245="","",IF(VLOOKUP(X245,'G-7 Rivers Data'!$AD$4:$AE$8,2,FALSE)=0,"Enrcoachment Data Missing ⚠",VLOOKUP(X245,'G-7 Rivers Data'!$AD$4:$AE$8,2,FALSE)))</f>
        <v/>
      </c>
      <c r="Z245" s="565" t="str">
        <f t="shared" si="24"/>
        <v/>
      </c>
      <c r="AA245" s="149"/>
      <c r="AB245" s="150"/>
      <c r="AH245" s="31" t="str">
        <f>IFERROR(INDEX('G-7 Rivers Data'!$AZ$3:$AZ$7,MATCH(C245,'G-7 Rivers Data'!$AY$3:$AY$7,0)),"")</f>
        <v/>
      </c>
    </row>
    <row r="246" spans="2:34" ht="14" x14ac:dyDescent="0.3">
      <c r="B246" s="141">
        <v>235</v>
      </c>
      <c r="C246" s="171"/>
      <c r="D246" s="172"/>
      <c r="E246" s="498" t="str">
        <f>IF(C246="","",VLOOKUP(C246,'G-7 Rivers Data'!$B$2:$G$8,2,FALSE))</f>
        <v/>
      </c>
      <c r="F246" s="499" t="str">
        <f>IFERROR(VLOOKUP(E246,'G-7 Rivers Data'!$C$4:$D$8,2,FALSE),"")</f>
        <v/>
      </c>
      <c r="G246" s="145"/>
      <c r="H246" s="499" t="str">
        <f>IFERROR(INDEX('G-7 Rivers Data'!$H$4:$L$8,MATCH(C246,'G-7 Rivers Data'!$B$4:$B$8,0),MATCH(G246,'G-7 Rivers Data'!$H$3:$L$3,0)),"")</f>
        <v/>
      </c>
      <c r="I246" s="154"/>
      <c r="J246" s="507" t="str">
        <f>IF(I246="","",IF(VLOOKUP(I246,'G-7 Rivers Data'!$AG$4:$AI$9,2,FALSE)=0,"Spatial Data Missing ⚠",VLOOKUP(I246,'G-7 Rivers Data'!$AG$4:$AI$9,2,FALSE)))</f>
        <v/>
      </c>
      <c r="K246" s="499" t="str">
        <f>IF(I246="","",IF(VLOOKUP(I246,'G-7 Rivers Data'!$AG$4:$AI$9,3,FALSE)=0,"Spatial Data Missing ⚠",VLOOKUP(I246,'G-7 Rivers Data'!$AG$4:$AI$9,3,FALSE)))</f>
        <v/>
      </c>
      <c r="L246" s="498" t="str">
        <f>IFERROR(INDEX('G-7 Rivers Data'!$O$3:$O$7,MATCH(G246,'G-7 Rivers Data'!$N$3:$N$7,0)),"")</f>
        <v/>
      </c>
      <c r="M246" s="82"/>
      <c r="N246" s="195"/>
      <c r="O246" s="507" t="str">
        <f t="shared" si="19"/>
        <v/>
      </c>
      <c r="P246" s="521" t="str">
        <f t="shared" si="20"/>
        <v/>
      </c>
      <c r="Q246" s="564" t="str">
        <f>IFERROR(IF(P246="Check Data ⚠","Check Data ⚠",VLOOKUP(P246,'G-4 Temporal multipliers'!$A$4:$C$37,3,FALSE)),"")</f>
        <v/>
      </c>
      <c r="R246" s="498" t="str">
        <f>IF(C246="","",VLOOKUP(C246,'G-7 Rivers Data'!$B$4:$G$8,4,FALSE))</f>
        <v/>
      </c>
      <c r="S246" s="507" t="str">
        <f t="shared" si="21"/>
        <v/>
      </c>
      <c r="T246" s="540" t="str">
        <f t="shared" si="22"/>
        <v/>
      </c>
      <c r="U246" s="499" t="str">
        <f t="shared" si="23"/>
        <v/>
      </c>
      <c r="V246" s="71"/>
      <c r="W246" s="499" t="str">
        <f>IF(V246="","",IF(VLOOKUP(V246,'G-7 Rivers Data'!$AA$4:$AB$7,2,FALSE)=0,"Spatial Data Missing ⚠",VLOOKUP(V246,'G-7 Rivers Data'!$AA$4:$AB$7,2,FALSE)))</f>
        <v/>
      </c>
      <c r="X246" s="155"/>
      <c r="Y246" s="499" t="str">
        <f>IF(X246="","",IF(VLOOKUP(X246,'G-7 Rivers Data'!$AD$4:$AE$8,2,FALSE)=0,"Enrcoachment Data Missing ⚠",VLOOKUP(X246,'G-7 Rivers Data'!$AD$4:$AE$8,2,FALSE)))</f>
        <v/>
      </c>
      <c r="Z246" s="565" t="str">
        <f t="shared" si="24"/>
        <v/>
      </c>
      <c r="AA246" s="149"/>
      <c r="AB246" s="150"/>
      <c r="AH246" s="31" t="str">
        <f>IFERROR(INDEX('G-7 Rivers Data'!$AZ$3:$AZ$7,MATCH(C246,'G-7 Rivers Data'!$AY$3:$AY$7,0)),"")</f>
        <v/>
      </c>
    </row>
    <row r="247" spans="2:34" ht="14" x14ac:dyDescent="0.3">
      <c r="B247" s="141">
        <v>236</v>
      </c>
      <c r="C247" s="171"/>
      <c r="D247" s="172"/>
      <c r="E247" s="498" t="str">
        <f>IF(C247="","",VLOOKUP(C247,'G-7 Rivers Data'!$B$2:$G$8,2,FALSE))</f>
        <v/>
      </c>
      <c r="F247" s="499" t="str">
        <f>IFERROR(VLOOKUP(E247,'G-7 Rivers Data'!$C$4:$D$8,2,FALSE),"")</f>
        <v/>
      </c>
      <c r="G247" s="145"/>
      <c r="H247" s="499" t="str">
        <f>IFERROR(INDEX('G-7 Rivers Data'!$H$4:$L$8,MATCH(C247,'G-7 Rivers Data'!$B$4:$B$8,0),MATCH(G247,'G-7 Rivers Data'!$H$3:$L$3,0)),"")</f>
        <v/>
      </c>
      <c r="I247" s="154"/>
      <c r="J247" s="507" t="str">
        <f>IF(I247="","",IF(VLOOKUP(I247,'G-7 Rivers Data'!$AG$4:$AI$9,2,FALSE)=0,"Spatial Data Missing ⚠",VLOOKUP(I247,'G-7 Rivers Data'!$AG$4:$AI$9,2,FALSE)))</f>
        <v/>
      </c>
      <c r="K247" s="499" t="str">
        <f>IF(I247="","",IF(VLOOKUP(I247,'G-7 Rivers Data'!$AG$4:$AI$9,3,FALSE)=0,"Spatial Data Missing ⚠",VLOOKUP(I247,'G-7 Rivers Data'!$AG$4:$AI$9,3,FALSE)))</f>
        <v/>
      </c>
      <c r="L247" s="498" t="str">
        <f>IFERROR(INDEX('G-7 Rivers Data'!$O$3:$O$7,MATCH(G247,'G-7 Rivers Data'!$N$3:$N$7,0)),"")</f>
        <v/>
      </c>
      <c r="M247" s="82"/>
      <c r="N247" s="195"/>
      <c r="O247" s="507" t="str">
        <f t="shared" si="19"/>
        <v/>
      </c>
      <c r="P247" s="521" t="str">
        <f t="shared" si="20"/>
        <v/>
      </c>
      <c r="Q247" s="564" t="str">
        <f>IFERROR(IF(P247="Check Data ⚠","Check Data ⚠",VLOOKUP(P247,'G-4 Temporal multipliers'!$A$4:$C$37,3,FALSE)),"")</f>
        <v/>
      </c>
      <c r="R247" s="498" t="str">
        <f>IF(C247="","",VLOOKUP(C247,'G-7 Rivers Data'!$B$4:$G$8,4,FALSE))</f>
        <v/>
      </c>
      <c r="S247" s="507" t="str">
        <f t="shared" si="21"/>
        <v/>
      </c>
      <c r="T247" s="540" t="str">
        <f t="shared" si="22"/>
        <v/>
      </c>
      <c r="U247" s="499" t="str">
        <f t="shared" si="23"/>
        <v/>
      </c>
      <c r="V247" s="71"/>
      <c r="W247" s="499" t="str">
        <f>IF(V247="","",IF(VLOOKUP(V247,'G-7 Rivers Data'!$AA$4:$AB$7,2,FALSE)=0,"Spatial Data Missing ⚠",VLOOKUP(V247,'G-7 Rivers Data'!$AA$4:$AB$7,2,FALSE)))</f>
        <v/>
      </c>
      <c r="X247" s="155"/>
      <c r="Y247" s="499" t="str">
        <f>IF(X247="","",IF(VLOOKUP(X247,'G-7 Rivers Data'!$AD$4:$AE$8,2,FALSE)=0,"Enrcoachment Data Missing ⚠",VLOOKUP(X247,'G-7 Rivers Data'!$AD$4:$AE$8,2,FALSE)))</f>
        <v/>
      </c>
      <c r="Z247" s="565" t="str">
        <f t="shared" si="24"/>
        <v/>
      </c>
      <c r="AA247" s="149"/>
      <c r="AB247" s="150"/>
      <c r="AH247" s="31" t="str">
        <f>IFERROR(INDEX('G-7 Rivers Data'!$AZ$3:$AZ$7,MATCH(C247,'G-7 Rivers Data'!$AY$3:$AY$7,0)),"")</f>
        <v/>
      </c>
    </row>
    <row r="248" spans="2:34" ht="14" x14ac:dyDescent="0.3">
      <c r="B248" s="141">
        <v>237</v>
      </c>
      <c r="C248" s="171"/>
      <c r="D248" s="172"/>
      <c r="E248" s="498" t="str">
        <f>IF(C248="","",VLOOKUP(C248,'G-7 Rivers Data'!$B$2:$G$8,2,FALSE))</f>
        <v/>
      </c>
      <c r="F248" s="499" t="str">
        <f>IFERROR(VLOOKUP(E248,'G-7 Rivers Data'!$C$4:$D$8,2,FALSE),"")</f>
        <v/>
      </c>
      <c r="G248" s="145"/>
      <c r="H248" s="499" t="str">
        <f>IFERROR(INDEX('G-7 Rivers Data'!$H$4:$L$8,MATCH(C248,'G-7 Rivers Data'!$B$4:$B$8,0),MATCH(G248,'G-7 Rivers Data'!$H$3:$L$3,0)),"")</f>
        <v/>
      </c>
      <c r="I248" s="154"/>
      <c r="J248" s="507" t="str">
        <f>IF(I248="","",IF(VLOOKUP(I248,'G-7 Rivers Data'!$AG$4:$AI$9,2,FALSE)=0,"Spatial Data Missing ⚠",VLOOKUP(I248,'G-7 Rivers Data'!$AG$4:$AI$9,2,FALSE)))</f>
        <v/>
      </c>
      <c r="K248" s="499" t="str">
        <f>IF(I248="","",IF(VLOOKUP(I248,'G-7 Rivers Data'!$AG$4:$AI$9,3,FALSE)=0,"Spatial Data Missing ⚠",VLOOKUP(I248,'G-7 Rivers Data'!$AG$4:$AI$9,3,FALSE)))</f>
        <v/>
      </c>
      <c r="L248" s="498" t="str">
        <f>IFERROR(INDEX('G-7 Rivers Data'!$O$3:$O$7,MATCH(G248,'G-7 Rivers Data'!$N$3:$N$7,0)),"")</f>
        <v/>
      </c>
      <c r="M248" s="82"/>
      <c r="N248" s="195"/>
      <c r="O248" s="507" t="str">
        <f t="shared" si="19"/>
        <v/>
      </c>
      <c r="P248" s="521" t="str">
        <f t="shared" si="20"/>
        <v/>
      </c>
      <c r="Q248" s="564" t="str">
        <f>IFERROR(IF(P248="Check Data ⚠","Check Data ⚠",VLOOKUP(P248,'G-4 Temporal multipliers'!$A$4:$C$37,3,FALSE)),"")</f>
        <v/>
      </c>
      <c r="R248" s="498" t="str">
        <f>IF(C248="","",VLOOKUP(C248,'G-7 Rivers Data'!$B$4:$G$8,4,FALSE))</f>
        <v/>
      </c>
      <c r="S248" s="507" t="str">
        <f t="shared" si="21"/>
        <v/>
      </c>
      <c r="T248" s="540" t="str">
        <f t="shared" si="22"/>
        <v/>
      </c>
      <c r="U248" s="499" t="str">
        <f t="shared" si="23"/>
        <v/>
      </c>
      <c r="V248" s="71"/>
      <c r="W248" s="499" t="str">
        <f>IF(V248="","",IF(VLOOKUP(V248,'G-7 Rivers Data'!$AA$4:$AB$7,2,FALSE)=0,"Spatial Data Missing ⚠",VLOOKUP(V248,'G-7 Rivers Data'!$AA$4:$AB$7,2,FALSE)))</f>
        <v/>
      </c>
      <c r="X248" s="155"/>
      <c r="Y248" s="499" t="str">
        <f>IF(X248="","",IF(VLOOKUP(X248,'G-7 Rivers Data'!$AD$4:$AE$8,2,FALSE)=0,"Enrcoachment Data Missing ⚠",VLOOKUP(X248,'G-7 Rivers Data'!$AD$4:$AE$8,2,FALSE)))</f>
        <v/>
      </c>
      <c r="Z248" s="565" t="str">
        <f t="shared" si="24"/>
        <v/>
      </c>
      <c r="AA248" s="149"/>
      <c r="AB248" s="150"/>
      <c r="AH248" s="31" t="str">
        <f>IFERROR(INDEX('G-7 Rivers Data'!$AZ$3:$AZ$7,MATCH(C248,'G-7 Rivers Data'!$AY$3:$AY$7,0)),"")</f>
        <v/>
      </c>
    </row>
    <row r="249" spans="2:34" ht="14" x14ac:dyDescent="0.3">
      <c r="B249" s="141">
        <v>238</v>
      </c>
      <c r="C249" s="171"/>
      <c r="D249" s="172"/>
      <c r="E249" s="498" t="str">
        <f>IF(C249="","",VLOOKUP(C249,'G-7 Rivers Data'!$B$2:$G$8,2,FALSE))</f>
        <v/>
      </c>
      <c r="F249" s="499" t="str">
        <f>IFERROR(VLOOKUP(E249,'G-7 Rivers Data'!$C$4:$D$8,2,FALSE),"")</f>
        <v/>
      </c>
      <c r="G249" s="145"/>
      <c r="H249" s="499" t="str">
        <f>IFERROR(INDEX('G-7 Rivers Data'!$H$4:$L$8,MATCH(C249,'G-7 Rivers Data'!$B$4:$B$8,0),MATCH(G249,'G-7 Rivers Data'!$H$3:$L$3,0)),"")</f>
        <v/>
      </c>
      <c r="I249" s="154"/>
      <c r="J249" s="507" t="str">
        <f>IF(I249="","",IF(VLOOKUP(I249,'G-7 Rivers Data'!$AG$4:$AI$9,2,FALSE)=0,"Spatial Data Missing ⚠",VLOOKUP(I249,'G-7 Rivers Data'!$AG$4:$AI$9,2,FALSE)))</f>
        <v/>
      </c>
      <c r="K249" s="499" t="str">
        <f>IF(I249="","",IF(VLOOKUP(I249,'G-7 Rivers Data'!$AG$4:$AI$9,3,FALSE)=0,"Spatial Data Missing ⚠",VLOOKUP(I249,'G-7 Rivers Data'!$AG$4:$AI$9,3,FALSE)))</f>
        <v/>
      </c>
      <c r="L249" s="498" t="str">
        <f>IFERROR(INDEX('G-7 Rivers Data'!$O$3:$O$7,MATCH(G249,'G-7 Rivers Data'!$N$3:$N$7,0)),"")</f>
        <v/>
      </c>
      <c r="M249" s="82"/>
      <c r="N249" s="195"/>
      <c r="O249" s="507" t="str">
        <f t="shared" si="19"/>
        <v/>
      </c>
      <c r="P249" s="521" t="str">
        <f t="shared" si="20"/>
        <v/>
      </c>
      <c r="Q249" s="564" t="str">
        <f>IFERROR(IF(P249="Check Data ⚠","Check Data ⚠",VLOOKUP(P249,'G-4 Temporal multipliers'!$A$4:$C$37,3,FALSE)),"")</f>
        <v/>
      </c>
      <c r="R249" s="498" t="str">
        <f>IF(C249="","",VLOOKUP(C249,'G-7 Rivers Data'!$B$4:$G$8,4,FALSE))</f>
        <v/>
      </c>
      <c r="S249" s="507" t="str">
        <f t="shared" si="21"/>
        <v/>
      </c>
      <c r="T249" s="540" t="str">
        <f t="shared" si="22"/>
        <v/>
      </c>
      <c r="U249" s="499" t="str">
        <f t="shared" si="23"/>
        <v/>
      </c>
      <c r="V249" s="71"/>
      <c r="W249" s="499" t="str">
        <f>IF(V249="","",IF(VLOOKUP(V249,'G-7 Rivers Data'!$AA$4:$AB$7,2,FALSE)=0,"Spatial Data Missing ⚠",VLOOKUP(V249,'G-7 Rivers Data'!$AA$4:$AB$7,2,FALSE)))</f>
        <v/>
      </c>
      <c r="X249" s="155"/>
      <c r="Y249" s="499" t="str">
        <f>IF(X249="","",IF(VLOOKUP(X249,'G-7 Rivers Data'!$AD$4:$AE$8,2,FALSE)=0,"Enrcoachment Data Missing ⚠",VLOOKUP(X249,'G-7 Rivers Data'!$AD$4:$AE$8,2,FALSE)))</f>
        <v/>
      </c>
      <c r="Z249" s="565" t="str">
        <f t="shared" si="24"/>
        <v/>
      </c>
      <c r="AA249" s="149"/>
      <c r="AB249" s="150"/>
      <c r="AH249" s="31" t="str">
        <f>IFERROR(INDEX('G-7 Rivers Data'!$AZ$3:$AZ$7,MATCH(C249,'G-7 Rivers Data'!$AY$3:$AY$7,0)),"")</f>
        <v/>
      </c>
    </row>
    <row r="250" spans="2:34" ht="14" x14ac:dyDescent="0.3">
      <c r="B250" s="141">
        <v>239</v>
      </c>
      <c r="C250" s="171"/>
      <c r="D250" s="172"/>
      <c r="E250" s="498" t="str">
        <f>IF(C250="","",VLOOKUP(C250,'G-7 Rivers Data'!$B$2:$G$8,2,FALSE))</f>
        <v/>
      </c>
      <c r="F250" s="499" t="str">
        <f>IFERROR(VLOOKUP(E250,'G-7 Rivers Data'!$C$4:$D$8,2,FALSE),"")</f>
        <v/>
      </c>
      <c r="G250" s="145"/>
      <c r="H250" s="499" t="str">
        <f>IFERROR(INDEX('G-7 Rivers Data'!$H$4:$L$8,MATCH(C250,'G-7 Rivers Data'!$B$4:$B$8,0),MATCH(G250,'G-7 Rivers Data'!$H$3:$L$3,0)),"")</f>
        <v/>
      </c>
      <c r="I250" s="154"/>
      <c r="J250" s="507" t="str">
        <f>IF(I250="","",IF(VLOOKUP(I250,'G-7 Rivers Data'!$AG$4:$AI$9,2,FALSE)=0,"Spatial Data Missing ⚠",VLOOKUP(I250,'G-7 Rivers Data'!$AG$4:$AI$9,2,FALSE)))</f>
        <v/>
      </c>
      <c r="K250" s="499" t="str">
        <f>IF(I250="","",IF(VLOOKUP(I250,'G-7 Rivers Data'!$AG$4:$AI$9,3,FALSE)=0,"Spatial Data Missing ⚠",VLOOKUP(I250,'G-7 Rivers Data'!$AG$4:$AI$9,3,FALSE)))</f>
        <v/>
      </c>
      <c r="L250" s="498" t="str">
        <f>IFERROR(INDEX('G-7 Rivers Data'!$O$3:$O$7,MATCH(G250,'G-7 Rivers Data'!$N$3:$N$7,0)),"")</f>
        <v/>
      </c>
      <c r="M250" s="82"/>
      <c r="N250" s="195"/>
      <c r="O250" s="507" t="str">
        <f t="shared" si="19"/>
        <v/>
      </c>
      <c r="P250" s="521" t="str">
        <f t="shared" si="20"/>
        <v/>
      </c>
      <c r="Q250" s="564" t="str">
        <f>IFERROR(IF(P250="Check Data ⚠","Check Data ⚠",VLOOKUP(P250,'G-4 Temporal multipliers'!$A$4:$C$37,3,FALSE)),"")</f>
        <v/>
      </c>
      <c r="R250" s="498" t="str">
        <f>IF(C250="","",VLOOKUP(C250,'G-7 Rivers Data'!$B$4:$G$8,4,FALSE))</f>
        <v/>
      </c>
      <c r="S250" s="507" t="str">
        <f t="shared" si="21"/>
        <v/>
      </c>
      <c r="T250" s="540" t="str">
        <f t="shared" si="22"/>
        <v/>
      </c>
      <c r="U250" s="499" t="str">
        <f t="shared" si="23"/>
        <v/>
      </c>
      <c r="V250" s="71"/>
      <c r="W250" s="499" t="str">
        <f>IF(V250="","",IF(VLOOKUP(V250,'G-7 Rivers Data'!$AA$4:$AB$7,2,FALSE)=0,"Spatial Data Missing ⚠",VLOOKUP(V250,'G-7 Rivers Data'!$AA$4:$AB$7,2,FALSE)))</f>
        <v/>
      </c>
      <c r="X250" s="155"/>
      <c r="Y250" s="499" t="str">
        <f>IF(X250="","",IF(VLOOKUP(X250,'G-7 Rivers Data'!$AD$4:$AE$8,2,FALSE)=0,"Enrcoachment Data Missing ⚠",VLOOKUP(X250,'G-7 Rivers Data'!$AD$4:$AE$8,2,FALSE)))</f>
        <v/>
      </c>
      <c r="Z250" s="565" t="str">
        <f t="shared" si="24"/>
        <v/>
      </c>
      <c r="AA250" s="149"/>
      <c r="AB250" s="150"/>
      <c r="AH250" s="31" t="str">
        <f>IFERROR(INDEX('G-7 Rivers Data'!$AZ$3:$AZ$7,MATCH(C250,'G-7 Rivers Data'!$AY$3:$AY$7,0)),"")</f>
        <v/>
      </c>
    </row>
    <row r="251" spans="2:34" ht="14" x14ac:dyDescent="0.3">
      <c r="B251" s="141">
        <v>240</v>
      </c>
      <c r="C251" s="171"/>
      <c r="D251" s="172"/>
      <c r="E251" s="498" t="str">
        <f>IF(C251="","",VLOOKUP(C251,'G-7 Rivers Data'!$B$2:$G$8,2,FALSE))</f>
        <v/>
      </c>
      <c r="F251" s="499" t="str">
        <f>IFERROR(VLOOKUP(E251,'G-7 Rivers Data'!$C$4:$D$8,2,FALSE),"")</f>
        <v/>
      </c>
      <c r="G251" s="145"/>
      <c r="H251" s="499" t="str">
        <f>IFERROR(INDEX('G-7 Rivers Data'!$H$4:$L$8,MATCH(C251,'G-7 Rivers Data'!$B$4:$B$8,0),MATCH(G251,'G-7 Rivers Data'!$H$3:$L$3,0)),"")</f>
        <v/>
      </c>
      <c r="I251" s="154"/>
      <c r="J251" s="507" t="str">
        <f>IF(I251="","",IF(VLOOKUP(I251,'G-7 Rivers Data'!$AG$4:$AI$9,2,FALSE)=0,"Spatial Data Missing ⚠",VLOOKUP(I251,'G-7 Rivers Data'!$AG$4:$AI$9,2,FALSE)))</f>
        <v/>
      </c>
      <c r="K251" s="499" t="str">
        <f>IF(I251="","",IF(VLOOKUP(I251,'G-7 Rivers Data'!$AG$4:$AI$9,3,FALSE)=0,"Spatial Data Missing ⚠",VLOOKUP(I251,'G-7 Rivers Data'!$AG$4:$AI$9,3,FALSE)))</f>
        <v/>
      </c>
      <c r="L251" s="498" t="str">
        <f>IFERROR(INDEX('G-7 Rivers Data'!$O$3:$O$7,MATCH(G251,'G-7 Rivers Data'!$N$3:$N$7,0)),"")</f>
        <v/>
      </c>
      <c r="M251" s="82"/>
      <c r="N251" s="195"/>
      <c r="O251" s="507" t="str">
        <f t="shared" si="19"/>
        <v/>
      </c>
      <c r="P251" s="521" t="str">
        <f t="shared" si="20"/>
        <v/>
      </c>
      <c r="Q251" s="564" t="str">
        <f>IFERROR(IF(P251="Check Data ⚠","Check Data ⚠",VLOOKUP(P251,'G-4 Temporal multipliers'!$A$4:$C$37,3,FALSE)),"")</f>
        <v/>
      </c>
      <c r="R251" s="498" t="str">
        <f>IF(C251="","",VLOOKUP(C251,'G-7 Rivers Data'!$B$4:$G$8,4,FALSE))</f>
        <v/>
      </c>
      <c r="S251" s="507" t="str">
        <f t="shared" si="21"/>
        <v/>
      </c>
      <c r="T251" s="540" t="str">
        <f t="shared" si="22"/>
        <v/>
      </c>
      <c r="U251" s="499" t="str">
        <f t="shared" si="23"/>
        <v/>
      </c>
      <c r="V251" s="71"/>
      <c r="W251" s="499" t="str">
        <f>IF(V251="","",IF(VLOOKUP(V251,'G-7 Rivers Data'!$AA$4:$AB$7,2,FALSE)=0,"Spatial Data Missing ⚠",VLOOKUP(V251,'G-7 Rivers Data'!$AA$4:$AB$7,2,FALSE)))</f>
        <v/>
      </c>
      <c r="X251" s="155"/>
      <c r="Y251" s="499" t="str">
        <f>IF(X251="","",IF(VLOOKUP(X251,'G-7 Rivers Data'!$AD$4:$AE$8,2,FALSE)=0,"Enrcoachment Data Missing ⚠",VLOOKUP(X251,'G-7 Rivers Data'!$AD$4:$AE$8,2,FALSE)))</f>
        <v/>
      </c>
      <c r="Z251" s="565" t="str">
        <f t="shared" si="24"/>
        <v/>
      </c>
      <c r="AA251" s="149"/>
      <c r="AB251" s="150"/>
      <c r="AH251" s="31" t="str">
        <f>IFERROR(INDEX('G-7 Rivers Data'!$AZ$3:$AZ$7,MATCH(C251,'G-7 Rivers Data'!$AY$3:$AY$7,0)),"")</f>
        <v/>
      </c>
    </row>
    <row r="252" spans="2:34" ht="14" x14ac:dyDescent="0.3">
      <c r="B252" s="141">
        <v>241</v>
      </c>
      <c r="C252" s="171"/>
      <c r="D252" s="172"/>
      <c r="E252" s="498" t="str">
        <f>IF(C252="","",VLOOKUP(C252,'G-7 Rivers Data'!$B$2:$G$8,2,FALSE))</f>
        <v/>
      </c>
      <c r="F252" s="499" t="str">
        <f>IFERROR(VLOOKUP(E252,'G-7 Rivers Data'!$C$4:$D$8,2,FALSE),"")</f>
        <v/>
      </c>
      <c r="G252" s="145"/>
      <c r="H252" s="499" t="str">
        <f>IFERROR(INDEX('G-7 Rivers Data'!$H$4:$L$8,MATCH(C252,'G-7 Rivers Data'!$B$4:$B$8,0),MATCH(G252,'G-7 Rivers Data'!$H$3:$L$3,0)),"")</f>
        <v/>
      </c>
      <c r="I252" s="154"/>
      <c r="J252" s="507" t="str">
        <f>IF(I252="","",IF(VLOOKUP(I252,'G-7 Rivers Data'!$AG$4:$AI$9,2,FALSE)=0,"Spatial Data Missing ⚠",VLOOKUP(I252,'G-7 Rivers Data'!$AG$4:$AI$9,2,FALSE)))</f>
        <v/>
      </c>
      <c r="K252" s="499" t="str">
        <f>IF(I252="","",IF(VLOOKUP(I252,'G-7 Rivers Data'!$AG$4:$AI$9,3,FALSE)=0,"Spatial Data Missing ⚠",VLOOKUP(I252,'G-7 Rivers Data'!$AG$4:$AI$9,3,FALSE)))</f>
        <v/>
      </c>
      <c r="L252" s="498" t="str">
        <f>IFERROR(INDEX('G-7 Rivers Data'!$O$3:$O$7,MATCH(G252,'G-7 Rivers Data'!$N$3:$N$7,0)),"")</f>
        <v/>
      </c>
      <c r="M252" s="82"/>
      <c r="N252" s="195"/>
      <c r="O252" s="507" t="str">
        <f t="shared" si="19"/>
        <v/>
      </c>
      <c r="P252" s="521" t="str">
        <f t="shared" si="20"/>
        <v/>
      </c>
      <c r="Q252" s="564" t="str">
        <f>IFERROR(IF(P252="Check Data ⚠","Check Data ⚠",VLOOKUP(P252,'G-4 Temporal multipliers'!$A$4:$C$37,3,FALSE)),"")</f>
        <v/>
      </c>
      <c r="R252" s="498" t="str">
        <f>IF(C252="","",VLOOKUP(C252,'G-7 Rivers Data'!$B$4:$G$8,4,FALSE))</f>
        <v/>
      </c>
      <c r="S252" s="507" t="str">
        <f t="shared" si="21"/>
        <v/>
      </c>
      <c r="T252" s="540" t="str">
        <f t="shared" si="22"/>
        <v/>
      </c>
      <c r="U252" s="499" t="str">
        <f t="shared" si="23"/>
        <v/>
      </c>
      <c r="V252" s="71"/>
      <c r="W252" s="499" t="str">
        <f>IF(V252="","",IF(VLOOKUP(V252,'G-7 Rivers Data'!$AA$4:$AB$7,2,FALSE)=0,"Spatial Data Missing ⚠",VLOOKUP(V252,'G-7 Rivers Data'!$AA$4:$AB$7,2,FALSE)))</f>
        <v/>
      </c>
      <c r="X252" s="155"/>
      <c r="Y252" s="499" t="str">
        <f>IF(X252="","",IF(VLOOKUP(X252,'G-7 Rivers Data'!$AD$4:$AE$8,2,FALSE)=0,"Enrcoachment Data Missing ⚠",VLOOKUP(X252,'G-7 Rivers Data'!$AD$4:$AE$8,2,FALSE)))</f>
        <v/>
      </c>
      <c r="Z252" s="565" t="str">
        <f t="shared" si="24"/>
        <v/>
      </c>
      <c r="AA252" s="149"/>
      <c r="AB252" s="150"/>
      <c r="AH252" s="31" t="str">
        <f>IFERROR(INDEX('G-7 Rivers Data'!$AZ$3:$AZ$7,MATCH(C252,'G-7 Rivers Data'!$AY$3:$AY$7,0)),"")</f>
        <v/>
      </c>
    </row>
    <row r="253" spans="2:34" ht="14" x14ac:dyDescent="0.3">
      <c r="B253" s="141">
        <v>242</v>
      </c>
      <c r="C253" s="171"/>
      <c r="D253" s="172"/>
      <c r="E253" s="498" t="str">
        <f>IF(C253="","",VLOOKUP(C253,'G-7 Rivers Data'!$B$2:$G$8,2,FALSE))</f>
        <v/>
      </c>
      <c r="F253" s="499" t="str">
        <f>IFERROR(VLOOKUP(E253,'G-7 Rivers Data'!$C$4:$D$8,2,FALSE),"")</f>
        <v/>
      </c>
      <c r="G253" s="145"/>
      <c r="H253" s="499" t="str">
        <f>IFERROR(INDEX('G-7 Rivers Data'!$H$4:$L$8,MATCH(C253,'G-7 Rivers Data'!$B$4:$B$8,0),MATCH(G253,'G-7 Rivers Data'!$H$3:$L$3,0)),"")</f>
        <v/>
      </c>
      <c r="I253" s="154"/>
      <c r="J253" s="507" t="str">
        <f>IF(I253="","",IF(VLOOKUP(I253,'G-7 Rivers Data'!$AG$4:$AI$9,2,FALSE)=0,"Spatial Data Missing ⚠",VLOOKUP(I253,'G-7 Rivers Data'!$AG$4:$AI$9,2,FALSE)))</f>
        <v/>
      </c>
      <c r="K253" s="499" t="str">
        <f>IF(I253="","",IF(VLOOKUP(I253,'G-7 Rivers Data'!$AG$4:$AI$9,3,FALSE)=0,"Spatial Data Missing ⚠",VLOOKUP(I253,'G-7 Rivers Data'!$AG$4:$AI$9,3,FALSE)))</f>
        <v/>
      </c>
      <c r="L253" s="498" t="str">
        <f>IFERROR(INDEX('G-7 Rivers Data'!$O$3:$O$7,MATCH(G253,'G-7 Rivers Data'!$N$3:$N$7,0)),"")</f>
        <v/>
      </c>
      <c r="M253" s="82"/>
      <c r="N253" s="195"/>
      <c r="O253" s="507" t="str">
        <f t="shared" si="19"/>
        <v/>
      </c>
      <c r="P253" s="521" t="str">
        <f t="shared" si="20"/>
        <v/>
      </c>
      <c r="Q253" s="564" t="str">
        <f>IFERROR(IF(P253="Check Data ⚠","Check Data ⚠",VLOOKUP(P253,'G-4 Temporal multipliers'!$A$4:$C$37,3,FALSE)),"")</f>
        <v/>
      </c>
      <c r="R253" s="498" t="str">
        <f>IF(C253="","",VLOOKUP(C253,'G-7 Rivers Data'!$B$4:$G$8,4,FALSE))</f>
        <v/>
      </c>
      <c r="S253" s="507" t="str">
        <f t="shared" si="21"/>
        <v/>
      </c>
      <c r="T253" s="540" t="str">
        <f t="shared" si="22"/>
        <v/>
      </c>
      <c r="U253" s="499" t="str">
        <f t="shared" si="23"/>
        <v/>
      </c>
      <c r="V253" s="71"/>
      <c r="W253" s="499" t="str">
        <f>IF(V253="","",IF(VLOOKUP(V253,'G-7 Rivers Data'!$AA$4:$AB$7,2,FALSE)=0,"Spatial Data Missing ⚠",VLOOKUP(V253,'G-7 Rivers Data'!$AA$4:$AB$7,2,FALSE)))</f>
        <v/>
      </c>
      <c r="X253" s="155"/>
      <c r="Y253" s="499" t="str">
        <f>IF(X253="","",IF(VLOOKUP(X253,'G-7 Rivers Data'!$AD$4:$AE$8,2,FALSE)=0,"Enrcoachment Data Missing ⚠",VLOOKUP(X253,'G-7 Rivers Data'!$AD$4:$AE$8,2,FALSE)))</f>
        <v/>
      </c>
      <c r="Z253" s="565" t="str">
        <f t="shared" si="24"/>
        <v/>
      </c>
      <c r="AA253" s="149"/>
      <c r="AB253" s="150"/>
      <c r="AH253" s="31" t="str">
        <f>IFERROR(INDEX('G-7 Rivers Data'!$AZ$3:$AZ$7,MATCH(C253,'G-7 Rivers Data'!$AY$3:$AY$7,0)),"")</f>
        <v/>
      </c>
    </row>
    <row r="254" spans="2:34" ht="14" x14ac:dyDescent="0.3">
      <c r="B254" s="141">
        <v>243</v>
      </c>
      <c r="C254" s="171"/>
      <c r="D254" s="172"/>
      <c r="E254" s="498" t="str">
        <f>IF(C254="","",VLOOKUP(C254,'G-7 Rivers Data'!$B$2:$G$8,2,FALSE))</f>
        <v/>
      </c>
      <c r="F254" s="499" t="str">
        <f>IFERROR(VLOOKUP(E254,'G-7 Rivers Data'!$C$4:$D$8,2,FALSE),"")</f>
        <v/>
      </c>
      <c r="G254" s="145"/>
      <c r="H254" s="499" t="str">
        <f>IFERROR(INDEX('G-7 Rivers Data'!$H$4:$L$8,MATCH(C254,'G-7 Rivers Data'!$B$4:$B$8,0),MATCH(G254,'G-7 Rivers Data'!$H$3:$L$3,0)),"")</f>
        <v/>
      </c>
      <c r="I254" s="154"/>
      <c r="J254" s="507" t="str">
        <f>IF(I254="","",IF(VLOOKUP(I254,'G-7 Rivers Data'!$AG$4:$AI$9,2,FALSE)=0,"Spatial Data Missing ⚠",VLOOKUP(I254,'G-7 Rivers Data'!$AG$4:$AI$9,2,FALSE)))</f>
        <v/>
      </c>
      <c r="K254" s="499" t="str">
        <f>IF(I254="","",IF(VLOOKUP(I254,'G-7 Rivers Data'!$AG$4:$AI$9,3,FALSE)=0,"Spatial Data Missing ⚠",VLOOKUP(I254,'G-7 Rivers Data'!$AG$4:$AI$9,3,FALSE)))</f>
        <v/>
      </c>
      <c r="L254" s="498" t="str">
        <f>IFERROR(INDEX('G-7 Rivers Data'!$O$3:$O$7,MATCH(G254,'G-7 Rivers Data'!$N$3:$N$7,0)),"")</f>
        <v/>
      </c>
      <c r="M254" s="82"/>
      <c r="N254" s="195"/>
      <c r="O254" s="507" t="str">
        <f t="shared" si="19"/>
        <v/>
      </c>
      <c r="P254" s="521" t="str">
        <f t="shared" si="20"/>
        <v/>
      </c>
      <c r="Q254" s="564" t="str">
        <f>IFERROR(IF(P254="Check Data ⚠","Check Data ⚠",VLOOKUP(P254,'G-4 Temporal multipliers'!$A$4:$C$37,3,FALSE)),"")</f>
        <v/>
      </c>
      <c r="R254" s="498" t="str">
        <f>IF(C254="","",VLOOKUP(C254,'G-7 Rivers Data'!$B$4:$G$8,4,FALSE))</f>
        <v/>
      </c>
      <c r="S254" s="507" t="str">
        <f t="shared" si="21"/>
        <v/>
      </c>
      <c r="T254" s="540" t="str">
        <f t="shared" si="22"/>
        <v/>
      </c>
      <c r="U254" s="499" t="str">
        <f t="shared" si="23"/>
        <v/>
      </c>
      <c r="V254" s="71"/>
      <c r="W254" s="499" t="str">
        <f>IF(V254="","",IF(VLOOKUP(V254,'G-7 Rivers Data'!$AA$4:$AB$7,2,FALSE)=0,"Spatial Data Missing ⚠",VLOOKUP(V254,'G-7 Rivers Data'!$AA$4:$AB$7,2,FALSE)))</f>
        <v/>
      </c>
      <c r="X254" s="155"/>
      <c r="Y254" s="499" t="str">
        <f>IF(X254="","",IF(VLOOKUP(X254,'G-7 Rivers Data'!$AD$4:$AE$8,2,FALSE)=0,"Enrcoachment Data Missing ⚠",VLOOKUP(X254,'G-7 Rivers Data'!$AD$4:$AE$8,2,FALSE)))</f>
        <v/>
      </c>
      <c r="Z254" s="565" t="str">
        <f t="shared" si="24"/>
        <v/>
      </c>
      <c r="AA254" s="149"/>
      <c r="AB254" s="150"/>
      <c r="AH254" s="31" t="str">
        <f>IFERROR(INDEX('G-7 Rivers Data'!$AZ$3:$AZ$7,MATCH(C254,'G-7 Rivers Data'!$AY$3:$AY$7,0)),"")</f>
        <v/>
      </c>
    </row>
    <row r="255" spans="2:34" ht="14" x14ac:dyDescent="0.3">
      <c r="B255" s="141">
        <v>244</v>
      </c>
      <c r="C255" s="171"/>
      <c r="D255" s="172"/>
      <c r="E255" s="498" t="str">
        <f>IF(C255="","",VLOOKUP(C255,'G-7 Rivers Data'!$B$2:$G$8,2,FALSE))</f>
        <v/>
      </c>
      <c r="F255" s="499" t="str">
        <f>IFERROR(VLOOKUP(E255,'G-7 Rivers Data'!$C$4:$D$8,2,FALSE),"")</f>
        <v/>
      </c>
      <c r="G255" s="145"/>
      <c r="H255" s="499" t="str">
        <f>IFERROR(INDEX('G-7 Rivers Data'!$H$4:$L$8,MATCH(C255,'G-7 Rivers Data'!$B$4:$B$8,0),MATCH(G255,'G-7 Rivers Data'!$H$3:$L$3,0)),"")</f>
        <v/>
      </c>
      <c r="I255" s="154"/>
      <c r="J255" s="507" t="str">
        <f>IF(I255="","",IF(VLOOKUP(I255,'G-7 Rivers Data'!$AG$4:$AI$9,2,FALSE)=0,"Spatial Data Missing ⚠",VLOOKUP(I255,'G-7 Rivers Data'!$AG$4:$AI$9,2,FALSE)))</f>
        <v/>
      </c>
      <c r="K255" s="499" t="str">
        <f>IF(I255="","",IF(VLOOKUP(I255,'G-7 Rivers Data'!$AG$4:$AI$9,3,FALSE)=0,"Spatial Data Missing ⚠",VLOOKUP(I255,'G-7 Rivers Data'!$AG$4:$AI$9,3,FALSE)))</f>
        <v/>
      </c>
      <c r="L255" s="498" t="str">
        <f>IFERROR(INDEX('G-7 Rivers Data'!$O$3:$O$7,MATCH(G255,'G-7 Rivers Data'!$N$3:$N$7,0)),"")</f>
        <v/>
      </c>
      <c r="M255" s="82"/>
      <c r="N255" s="195"/>
      <c r="O255" s="507" t="str">
        <f t="shared" si="19"/>
        <v/>
      </c>
      <c r="P255" s="521" t="str">
        <f t="shared" si="20"/>
        <v/>
      </c>
      <c r="Q255" s="564" t="str">
        <f>IFERROR(IF(P255="Check Data ⚠","Check Data ⚠",VLOOKUP(P255,'G-4 Temporal multipliers'!$A$4:$C$37,3,FALSE)),"")</f>
        <v/>
      </c>
      <c r="R255" s="498" t="str">
        <f>IF(C255="","",VLOOKUP(C255,'G-7 Rivers Data'!$B$4:$G$8,4,FALSE))</f>
        <v/>
      </c>
      <c r="S255" s="507" t="str">
        <f t="shared" si="21"/>
        <v/>
      </c>
      <c r="T255" s="540" t="str">
        <f t="shared" si="22"/>
        <v/>
      </c>
      <c r="U255" s="499" t="str">
        <f t="shared" si="23"/>
        <v/>
      </c>
      <c r="V255" s="71"/>
      <c r="W255" s="499" t="str">
        <f>IF(V255="","",IF(VLOOKUP(V255,'G-7 Rivers Data'!$AA$4:$AB$7,2,FALSE)=0,"Spatial Data Missing ⚠",VLOOKUP(V255,'G-7 Rivers Data'!$AA$4:$AB$7,2,FALSE)))</f>
        <v/>
      </c>
      <c r="X255" s="155"/>
      <c r="Y255" s="499" t="str">
        <f>IF(X255="","",IF(VLOOKUP(X255,'G-7 Rivers Data'!$AD$4:$AE$8,2,FALSE)=0,"Enrcoachment Data Missing ⚠",VLOOKUP(X255,'G-7 Rivers Data'!$AD$4:$AE$8,2,FALSE)))</f>
        <v/>
      </c>
      <c r="Z255" s="565" t="str">
        <f t="shared" si="24"/>
        <v/>
      </c>
      <c r="AA255" s="149"/>
      <c r="AB255" s="150"/>
      <c r="AH255" s="31" t="str">
        <f>IFERROR(INDEX('G-7 Rivers Data'!$AZ$3:$AZ$7,MATCH(C255,'G-7 Rivers Data'!$AY$3:$AY$7,0)),"")</f>
        <v/>
      </c>
    </row>
    <row r="256" spans="2:34" ht="14" x14ac:dyDescent="0.3">
      <c r="B256" s="141">
        <v>245</v>
      </c>
      <c r="C256" s="171"/>
      <c r="D256" s="172"/>
      <c r="E256" s="498" t="str">
        <f>IF(C256="","",VLOOKUP(C256,'G-7 Rivers Data'!$B$2:$G$8,2,FALSE))</f>
        <v/>
      </c>
      <c r="F256" s="499" t="str">
        <f>IFERROR(VLOOKUP(E256,'G-7 Rivers Data'!$C$4:$D$8,2,FALSE),"")</f>
        <v/>
      </c>
      <c r="G256" s="145"/>
      <c r="H256" s="499" t="str">
        <f>IFERROR(INDEX('G-7 Rivers Data'!$H$4:$L$8,MATCH(C256,'G-7 Rivers Data'!$B$4:$B$8,0),MATCH(G256,'G-7 Rivers Data'!$H$3:$L$3,0)),"")</f>
        <v/>
      </c>
      <c r="I256" s="154"/>
      <c r="J256" s="507" t="str">
        <f>IF(I256="","",IF(VLOOKUP(I256,'G-7 Rivers Data'!$AG$4:$AI$9,2,FALSE)=0,"Spatial Data Missing ⚠",VLOOKUP(I256,'G-7 Rivers Data'!$AG$4:$AI$9,2,FALSE)))</f>
        <v/>
      </c>
      <c r="K256" s="499" t="str">
        <f>IF(I256="","",IF(VLOOKUP(I256,'G-7 Rivers Data'!$AG$4:$AI$9,3,FALSE)=0,"Spatial Data Missing ⚠",VLOOKUP(I256,'G-7 Rivers Data'!$AG$4:$AI$9,3,FALSE)))</f>
        <v/>
      </c>
      <c r="L256" s="498" t="str">
        <f>IFERROR(INDEX('G-7 Rivers Data'!$O$3:$O$7,MATCH(G256,'G-7 Rivers Data'!$N$3:$N$7,0)),"")</f>
        <v/>
      </c>
      <c r="M256" s="82"/>
      <c r="N256" s="195"/>
      <c r="O256" s="507" t="str">
        <f t="shared" si="19"/>
        <v/>
      </c>
      <c r="P256" s="521" t="str">
        <f t="shared" si="20"/>
        <v/>
      </c>
      <c r="Q256" s="564" t="str">
        <f>IFERROR(IF(P256="Check Data ⚠","Check Data ⚠",VLOOKUP(P256,'G-4 Temporal multipliers'!$A$4:$C$37,3,FALSE)),"")</f>
        <v/>
      </c>
      <c r="R256" s="498" t="str">
        <f>IF(C256="","",VLOOKUP(C256,'G-7 Rivers Data'!$B$4:$G$8,4,FALSE))</f>
        <v/>
      </c>
      <c r="S256" s="507" t="str">
        <f t="shared" si="21"/>
        <v/>
      </c>
      <c r="T256" s="540" t="str">
        <f t="shared" si="22"/>
        <v/>
      </c>
      <c r="U256" s="499" t="str">
        <f t="shared" si="23"/>
        <v/>
      </c>
      <c r="V256" s="71"/>
      <c r="W256" s="499" t="str">
        <f>IF(V256="","",IF(VLOOKUP(V256,'G-7 Rivers Data'!$AA$4:$AB$7,2,FALSE)=0,"Spatial Data Missing ⚠",VLOOKUP(V256,'G-7 Rivers Data'!$AA$4:$AB$7,2,FALSE)))</f>
        <v/>
      </c>
      <c r="X256" s="155"/>
      <c r="Y256" s="499" t="str">
        <f>IF(X256="","",IF(VLOOKUP(X256,'G-7 Rivers Data'!$AD$4:$AE$8,2,FALSE)=0,"Enrcoachment Data Missing ⚠",VLOOKUP(X256,'G-7 Rivers Data'!$AD$4:$AE$8,2,FALSE)))</f>
        <v/>
      </c>
      <c r="Z256" s="565" t="str">
        <f t="shared" si="24"/>
        <v/>
      </c>
      <c r="AA256" s="149"/>
      <c r="AB256" s="150"/>
      <c r="AH256" s="31" t="str">
        <f>IFERROR(INDEX('G-7 Rivers Data'!$AZ$3:$AZ$7,MATCH(C256,'G-7 Rivers Data'!$AY$3:$AY$7,0)),"")</f>
        <v/>
      </c>
    </row>
    <row r="257" spans="2:34" ht="14" x14ac:dyDescent="0.3">
      <c r="B257" s="141">
        <v>246</v>
      </c>
      <c r="C257" s="171"/>
      <c r="D257" s="172"/>
      <c r="E257" s="498" t="str">
        <f>IF(C257="","",VLOOKUP(C257,'G-7 Rivers Data'!$B$2:$G$8,2,FALSE))</f>
        <v/>
      </c>
      <c r="F257" s="499" t="str">
        <f>IFERROR(VLOOKUP(E257,'G-7 Rivers Data'!$C$4:$D$8,2,FALSE),"")</f>
        <v/>
      </c>
      <c r="G257" s="145"/>
      <c r="H257" s="499" t="str">
        <f>IFERROR(INDEX('G-7 Rivers Data'!$H$4:$L$8,MATCH(C257,'G-7 Rivers Data'!$B$4:$B$8,0),MATCH(G257,'G-7 Rivers Data'!$H$3:$L$3,0)),"")</f>
        <v/>
      </c>
      <c r="I257" s="154"/>
      <c r="J257" s="507" t="str">
        <f>IF(I257="","",IF(VLOOKUP(I257,'G-7 Rivers Data'!$AG$4:$AI$9,2,FALSE)=0,"Spatial Data Missing ⚠",VLOOKUP(I257,'G-7 Rivers Data'!$AG$4:$AI$9,2,FALSE)))</f>
        <v/>
      </c>
      <c r="K257" s="499" t="str">
        <f>IF(I257="","",IF(VLOOKUP(I257,'G-7 Rivers Data'!$AG$4:$AI$9,3,FALSE)=0,"Spatial Data Missing ⚠",VLOOKUP(I257,'G-7 Rivers Data'!$AG$4:$AI$9,3,FALSE)))</f>
        <v/>
      </c>
      <c r="L257" s="498" t="str">
        <f>IFERROR(INDEX('G-7 Rivers Data'!$O$3:$O$7,MATCH(G257,'G-7 Rivers Data'!$N$3:$N$7,0)),"")</f>
        <v/>
      </c>
      <c r="M257" s="82"/>
      <c r="N257" s="195"/>
      <c r="O257" s="507" t="str">
        <f t="shared" si="19"/>
        <v/>
      </c>
      <c r="P257" s="521" t="str">
        <f t="shared" si="20"/>
        <v/>
      </c>
      <c r="Q257" s="564" t="str">
        <f>IFERROR(IF(P257="Check Data ⚠","Check Data ⚠",VLOOKUP(P257,'G-4 Temporal multipliers'!$A$4:$C$37,3,FALSE)),"")</f>
        <v/>
      </c>
      <c r="R257" s="498" t="str">
        <f>IF(C257="","",VLOOKUP(C257,'G-7 Rivers Data'!$B$4:$G$8,4,FALSE))</f>
        <v/>
      </c>
      <c r="S257" s="507" t="str">
        <f t="shared" si="21"/>
        <v/>
      </c>
      <c r="T257" s="540" t="str">
        <f t="shared" si="22"/>
        <v/>
      </c>
      <c r="U257" s="499" t="str">
        <f t="shared" si="23"/>
        <v/>
      </c>
      <c r="V257" s="71"/>
      <c r="W257" s="499" t="str">
        <f>IF(V257="","",IF(VLOOKUP(V257,'G-7 Rivers Data'!$AA$4:$AB$7,2,FALSE)=0,"Spatial Data Missing ⚠",VLOOKUP(V257,'G-7 Rivers Data'!$AA$4:$AB$7,2,FALSE)))</f>
        <v/>
      </c>
      <c r="X257" s="155"/>
      <c r="Y257" s="499" t="str">
        <f>IF(X257="","",IF(VLOOKUP(X257,'G-7 Rivers Data'!$AD$4:$AE$8,2,FALSE)=0,"Enrcoachment Data Missing ⚠",VLOOKUP(X257,'G-7 Rivers Data'!$AD$4:$AE$8,2,FALSE)))</f>
        <v/>
      </c>
      <c r="Z257" s="565" t="str">
        <f t="shared" si="24"/>
        <v/>
      </c>
      <c r="AA257" s="149"/>
      <c r="AB257" s="150"/>
      <c r="AH257" s="31" t="str">
        <f>IFERROR(INDEX('G-7 Rivers Data'!$AZ$3:$AZ$7,MATCH(C257,'G-7 Rivers Data'!$AY$3:$AY$7,0)),"")</f>
        <v/>
      </c>
    </row>
    <row r="258" spans="2:34" ht="14" x14ac:dyDescent="0.3">
      <c r="B258" s="141">
        <v>247</v>
      </c>
      <c r="C258" s="171"/>
      <c r="D258" s="172"/>
      <c r="E258" s="498" t="str">
        <f>IF(C258="","",VLOOKUP(C258,'G-7 Rivers Data'!$B$2:$G$8,2,FALSE))</f>
        <v/>
      </c>
      <c r="F258" s="499" t="str">
        <f>IFERROR(VLOOKUP(E258,'G-7 Rivers Data'!$C$4:$D$8,2,FALSE),"")</f>
        <v/>
      </c>
      <c r="G258" s="145"/>
      <c r="H258" s="499" t="str">
        <f>IFERROR(INDEX('G-7 Rivers Data'!$H$4:$L$8,MATCH(C258,'G-7 Rivers Data'!$B$4:$B$8,0),MATCH(G258,'G-7 Rivers Data'!$H$3:$L$3,0)),"")</f>
        <v/>
      </c>
      <c r="I258" s="154"/>
      <c r="J258" s="507" t="str">
        <f>IF(I258="","",IF(VLOOKUP(I258,'G-7 Rivers Data'!$AG$4:$AI$9,2,FALSE)=0,"Spatial Data Missing ⚠",VLOOKUP(I258,'G-7 Rivers Data'!$AG$4:$AI$9,2,FALSE)))</f>
        <v/>
      </c>
      <c r="K258" s="499" t="str">
        <f>IF(I258="","",IF(VLOOKUP(I258,'G-7 Rivers Data'!$AG$4:$AI$9,3,FALSE)=0,"Spatial Data Missing ⚠",VLOOKUP(I258,'G-7 Rivers Data'!$AG$4:$AI$9,3,FALSE)))</f>
        <v/>
      </c>
      <c r="L258" s="498" t="str">
        <f>IFERROR(INDEX('G-7 Rivers Data'!$O$3:$O$7,MATCH(G258,'G-7 Rivers Data'!$N$3:$N$7,0)),"")</f>
        <v/>
      </c>
      <c r="M258" s="82"/>
      <c r="N258" s="195"/>
      <c r="O258" s="507" t="str">
        <f t="shared" si="19"/>
        <v/>
      </c>
      <c r="P258" s="521" t="str">
        <f t="shared" si="20"/>
        <v/>
      </c>
      <c r="Q258" s="564" t="str">
        <f>IFERROR(IF(P258="Check Data ⚠","Check Data ⚠",VLOOKUP(P258,'G-4 Temporal multipliers'!$A$4:$C$37,3,FALSE)),"")</f>
        <v/>
      </c>
      <c r="R258" s="498" t="str">
        <f>IF(C258="","",VLOOKUP(C258,'G-7 Rivers Data'!$B$4:$G$8,4,FALSE))</f>
        <v/>
      </c>
      <c r="S258" s="507" t="str">
        <f t="shared" si="21"/>
        <v/>
      </c>
      <c r="T258" s="540" t="str">
        <f t="shared" si="22"/>
        <v/>
      </c>
      <c r="U258" s="499" t="str">
        <f t="shared" si="23"/>
        <v/>
      </c>
      <c r="V258" s="71"/>
      <c r="W258" s="499" t="str">
        <f>IF(V258="","",IF(VLOOKUP(V258,'G-7 Rivers Data'!$AA$4:$AB$7,2,FALSE)=0,"Spatial Data Missing ⚠",VLOOKUP(V258,'G-7 Rivers Data'!$AA$4:$AB$7,2,FALSE)))</f>
        <v/>
      </c>
      <c r="X258" s="155"/>
      <c r="Y258" s="499" t="str">
        <f>IF(X258="","",IF(VLOOKUP(X258,'G-7 Rivers Data'!$AD$4:$AE$8,2,FALSE)=0,"Enrcoachment Data Missing ⚠",VLOOKUP(X258,'G-7 Rivers Data'!$AD$4:$AE$8,2,FALSE)))</f>
        <v/>
      </c>
      <c r="Z258" s="565" t="str">
        <f t="shared" si="24"/>
        <v/>
      </c>
      <c r="AA258" s="149"/>
      <c r="AB258" s="150"/>
      <c r="AH258" s="31" t="str">
        <f>IFERROR(INDEX('G-7 Rivers Data'!$AZ$3:$AZ$7,MATCH(C258,'G-7 Rivers Data'!$AY$3:$AY$7,0)),"")</f>
        <v/>
      </c>
    </row>
    <row r="259" spans="2:34" ht="14.5" thickBot="1" x14ac:dyDescent="0.35">
      <c r="B259" s="158">
        <v>248</v>
      </c>
      <c r="C259" s="159"/>
      <c r="D259" s="160"/>
      <c r="E259" s="500" t="str">
        <f>IF(C259="","",VLOOKUP(C259,'G-7 Rivers Data'!$B$2:$G$8,2,FALSE))</f>
        <v/>
      </c>
      <c r="F259" s="501" t="str">
        <f>IFERROR(VLOOKUP(E259,'G-7 Rivers Data'!$C$4:$D$8,2,FALSE),"")</f>
        <v/>
      </c>
      <c r="G259" s="161"/>
      <c r="H259" s="501" t="str">
        <f>IFERROR(INDEX('G-7 Rivers Data'!$H$4:$L$8,MATCH(C259,'G-7 Rivers Data'!$B$4:$B$8,0),MATCH(G259,'G-7 Rivers Data'!$H$3:$L$3,0)),"")</f>
        <v/>
      </c>
      <c r="I259" s="161"/>
      <c r="J259" s="507" t="str">
        <f>IF(I259="","",IF(VLOOKUP(I259,'G-7 Rivers Data'!$AG$4:$AI$9,2,FALSE)=0,"Spatial Data Missing ⚠",VLOOKUP(I259,'G-7 Rivers Data'!$AG$4:$AI$9,2,FALSE)))</f>
        <v/>
      </c>
      <c r="K259" s="499" t="str">
        <f>IF(I259="","",IF(VLOOKUP(I259,'G-7 Rivers Data'!$AG$4:$AI$9,3,FALSE)=0,"Spatial Data Missing ⚠",VLOOKUP(I259,'G-7 Rivers Data'!$AG$4:$AI$9,3,FALSE)))</f>
        <v/>
      </c>
      <c r="L259" s="500" t="str">
        <f>IFERROR(INDEX('G-7 Rivers Data'!$O$3:$O$7,MATCH(G259,'G-7 Rivers Data'!$N$3:$N$7,0)),"")</f>
        <v/>
      </c>
      <c r="M259" s="82"/>
      <c r="N259" s="206"/>
      <c r="O259" s="507" t="str">
        <f t="shared" si="19"/>
        <v/>
      </c>
      <c r="P259" s="521" t="str">
        <f t="shared" si="20"/>
        <v/>
      </c>
      <c r="Q259" s="564" t="str">
        <f>IFERROR(IF(P259="Check Data ⚠","Check Data ⚠",VLOOKUP(P259,'G-4 Temporal multipliers'!$A$4:$C$37,3,FALSE)),"")</f>
        <v/>
      </c>
      <c r="R259" s="500" t="str">
        <f>IF(C259="","",VLOOKUP(C259,'G-7 Rivers Data'!$B$4:$G$8,4,FALSE))</f>
        <v/>
      </c>
      <c r="S259" s="507" t="str">
        <f t="shared" si="21"/>
        <v/>
      </c>
      <c r="T259" s="540" t="str">
        <f t="shared" si="22"/>
        <v/>
      </c>
      <c r="U259" s="501" t="str">
        <f t="shared" si="23"/>
        <v/>
      </c>
      <c r="V259" s="452"/>
      <c r="W259" s="499" t="str">
        <f>IF(V259="","",IF(VLOOKUP(V259,'G-7 Rivers Data'!$AA$4:$AB$7,2,FALSE)=0,"Spatial Data Missing ⚠",VLOOKUP(V259,'G-7 Rivers Data'!$AA$4:$AB$7,2,FALSE)))</f>
        <v/>
      </c>
      <c r="X259" s="273"/>
      <c r="Y259" s="499" t="str">
        <f>IF(X259="","",IF(VLOOKUP(X259,'G-7 Rivers Data'!$AD$4:$AE$8,2,FALSE)=0,"Enrcoachment Data Missing ⚠",VLOOKUP(X259,'G-7 Rivers Data'!$AD$4:$AE$8,2,FALSE)))</f>
        <v/>
      </c>
      <c r="Z259" s="487" t="str">
        <f t="shared" si="24"/>
        <v/>
      </c>
      <c r="AA259" s="163"/>
      <c r="AB259" s="164"/>
      <c r="AH259" s="31" t="str">
        <f>IFERROR(INDEX('G-7 Rivers Data'!$AZ$3:$AZ$7,MATCH(C259,'G-7 Rivers Data'!$AY$3:$AY$7,0)),"")</f>
        <v/>
      </c>
    </row>
    <row r="260" spans="2:34" ht="14.5" thickBot="1" x14ac:dyDescent="0.35">
      <c r="B260" s="46"/>
      <c r="C260" s="277"/>
      <c r="D260" s="503">
        <f>SUM(D12:D259)</f>
        <v>0</v>
      </c>
      <c r="E260" s="46"/>
      <c r="F260" s="46"/>
      <c r="G260" s="46"/>
      <c r="H260" s="46"/>
      <c r="I260" s="46"/>
      <c r="J260" s="46"/>
      <c r="K260" s="46"/>
      <c r="L260" s="46"/>
      <c r="M260" s="46"/>
      <c r="N260" s="46"/>
      <c r="O260" s="46"/>
      <c r="P260" s="46"/>
      <c r="Q260" s="46"/>
      <c r="R260" s="46"/>
      <c r="S260" s="46"/>
      <c r="T260" s="46"/>
      <c r="U260" s="46"/>
      <c r="V260" s="46"/>
      <c r="W260" s="46"/>
      <c r="X260" s="1014"/>
      <c r="Y260" s="1014"/>
      <c r="Z260" s="503">
        <f>SUM(Z12:Z259)</f>
        <v>0</v>
      </c>
      <c r="AA260" s="46"/>
      <c r="AB260" s="46"/>
    </row>
    <row r="261" spans="2:34" ht="28.9" customHeight="1" x14ac:dyDescent="0.3"/>
    <row r="262" spans="2:34" ht="27" customHeight="1" x14ac:dyDescent="0.3"/>
    <row r="263" spans="2:34" ht="14" hidden="1" x14ac:dyDescent="0.3"/>
    <row r="264" spans="2:34" ht="14" hidden="1" x14ac:dyDescent="0.3"/>
    <row r="265" spans="2:34" ht="14" hidden="1" x14ac:dyDescent="0.3"/>
    <row r="266" spans="2:34" ht="14" hidden="1" x14ac:dyDescent="0.3"/>
    <row r="267" spans="2:34" ht="14" hidden="1" x14ac:dyDescent="0.3"/>
    <row r="268" spans="2:34" ht="14" hidden="1" x14ac:dyDescent="0.3"/>
  </sheetData>
  <sheetProtection algorithmName="SHA-512" hashValue="+0DBNEqGa6XXkapVX4Y2q9AxC2rf7Loa9ccyKmH57wpCtRUJ8ghu8CXvvXnoEMa0Hs8oR7O8FNfE46U5xfVDAg==" saltValue="fT9mJsNh/+VQ7t9X5nVaVA=="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14">
    <mergeCell ref="X260:Y260"/>
    <mergeCell ref="B2:E2"/>
    <mergeCell ref="B3:E4"/>
    <mergeCell ref="AA10:AB10"/>
    <mergeCell ref="L10:Q10"/>
    <mergeCell ref="V10:W10"/>
    <mergeCell ref="X10:Y10"/>
    <mergeCell ref="Z10:Z11"/>
    <mergeCell ref="R10:U10"/>
    <mergeCell ref="I10:K10"/>
    <mergeCell ref="C10:D10"/>
    <mergeCell ref="E10:F10"/>
    <mergeCell ref="G10:H10"/>
    <mergeCell ref="L3:Q5"/>
  </mergeCells>
  <conditionalFormatting sqref="Z12:Z259">
    <cfRule type="containsText" dxfId="52" priority="14" operator="containsText" text="Existing Value Not Required">
      <formula>NOT(ISERROR(SEARCH("Existing Value Not Required",Z12)))</formula>
    </cfRule>
    <cfRule type="containsText" dxfId="51" priority="15" operator="containsText" text="Existing Value Required">
      <formula>NOT(ISERROR(SEARCH("Existing Value Required",Z12)))</formula>
    </cfRule>
  </conditionalFormatting>
  <conditionalFormatting sqref="J12:K259">
    <cfRule type="containsText" dxfId="50" priority="13" operator="containsText" text="Spatial">
      <formula>NOT(ISERROR(SEARCH("Spatial",J12)))</formula>
    </cfRule>
  </conditionalFormatting>
  <conditionalFormatting sqref="O12:Q259">
    <cfRule type="cellIs" dxfId="49" priority="1" operator="equal">
      <formula>"30+ ⚠"</formula>
    </cfRule>
    <cfRule type="containsText" dxfId="48" priority="11" operator="containsText" text="Check">
      <formula>NOT(ISERROR(SEARCH("Check",O12)))</formula>
    </cfRule>
    <cfRule type="containsText" dxfId="47" priority="12" operator="containsText" text="Error">
      <formula>NOT(ISERROR(SEARCH("Error",O12)))</formula>
    </cfRule>
  </conditionalFormatting>
  <conditionalFormatting sqref="S12:Z259">
    <cfRule type="containsText" dxfId="46" priority="7" operator="containsText" text="Error">
      <formula>NOT(ISERROR(SEARCH("Error",S12)))</formula>
    </cfRule>
    <cfRule type="containsText" dxfId="45" priority="8" operator="containsText" text="Check">
      <formula>NOT(ISERROR(SEARCH("Check",S12)))</formula>
    </cfRule>
  </conditionalFormatting>
  <conditionalFormatting sqref="S12:S259">
    <cfRule type="beginsWith" dxfId="44" priority="6" operator="beginsWith" text="No - Low Difficulty">
      <formula>LEFT(S12,LEN("No - Low Difficulty"))="No - Low Difficulty"</formula>
    </cfRule>
  </conditionalFormatting>
  <conditionalFormatting sqref="W12:W259">
    <cfRule type="containsText" dxfId="43" priority="5" operator="containsText" text="Spatial">
      <formula>NOT(ISERROR(SEARCH("Spatial",W12)))</formula>
    </cfRule>
  </conditionalFormatting>
  <conditionalFormatting sqref="Y12:Y259">
    <cfRule type="containsText" dxfId="42" priority="4" operator="containsText" text="Missing">
      <formula>NOT(ISERROR(SEARCH("Missing",Y12)))</formula>
    </cfRule>
  </conditionalFormatting>
  <conditionalFormatting sqref="H12:H259">
    <cfRule type="beginsWith" dxfId="41" priority="3" operator="beginsWith" text="Not Possible">
      <formula>LEFT(H12,LEN("Not Possible"))="Not Possible"</formula>
    </cfRule>
  </conditionalFormatting>
  <conditionalFormatting sqref="L6:P7 L3">
    <cfRule type="containsText" dxfId="40" priority="2" operator="containsText" text="Note">
      <formula>NOT(ISERROR(SEARCH("Note",L3)))</formula>
    </cfRule>
  </conditionalFormatting>
  <dataValidations count="1">
    <dataValidation type="list" allowBlank="1" showInputMessage="1" showErrorMessage="1" sqref="G12:G259" xr:uid="{00000000-0002-0000-1900-000000000000}">
      <formula1>INDIRECT(AH12)</formula1>
    </dataValidation>
  </dataValidations>
  <pageMargins left="0.7" right="0.7" top="0.75" bottom="0.75" header="0.3" footer="0.3"/>
  <pageSetup paperSize="9" orientation="portrait" horizontalDpi="90" verticalDpi="9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1900-000001000000}">
          <x14:formula1>
            <xm:f>'G-7 Rivers Data'!$AG$4:$AG$9</xm:f>
          </x14:formula1>
          <xm:sqref>I12:I259</xm:sqref>
        </x14:dataValidation>
        <x14:dataValidation type="list" allowBlank="1" showInputMessage="1" showErrorMessage="1" xr:uid="{00000000-0002-0000-1900-000003000000}">
          <x14:formula1>
            <xm:f>'G-7 Rivers Data'!$AD$4:$AD$7</xm:f>
          </x14:formula1>
          <xm:sqref>X12:X259</xm:sqref>
        </x14:dataValidation>
        <x14:dataValidation type="list" allowBlank="1" showInputMessage="1" showErrorMessage="1" xr:uid="{00000000-0002-0000-1900-000004000000}">
          <x14:formula1>
            <xm:f>'G-7 Rivers Data'!$B$4:$B$8</xm:f>
          </x14:formula1>
          <xm:sqref>C12:C259</xm:sqref>
        </x14:dataValidation>
        <x14:dataValidation type="list" allowBlank="1" showInputMessage="1" showErrorMessage="1" xr:uid="{00000000-0002-0000-1900-000006000000}">
          <x14:formula1>
            <xm:f>'G-4 Temporal multipliers'!$A$41:$A$72</xm:f>
          </x14:formula1>
          <xm:sqref>M12:N259</xm:sqref>
        </x14:dataValidation>
        <x14:dataValidation type="list" allowBlank="1" showInputMessage="1" showErrorMessage="1" xr:uid="{1A659836-616D-4FB4-92A9-95519AA112E8}">
          <x14:formula1>
            <xm:f>'G-7 Rivers Data'!$AA$4:$AA$7</xm:f>
          </x14:formula1>
          <xm:sqref>V12:V259</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8">
    <tabColor rgb="FF0033CC"/>
  </sheetPr>
  <dimension ref="A1:BD266"/>
  <sheetViews>
    <sheetView workbookViewId="0"/>
  </sheetViews>
  <sheetFormatPr defaultColWidth="0" defaultRowHeight="0" customHeight="1" zeroHeight="1" x14ac:dyDescent="0.3"/>
  <cols>
    <col min="1" max="1" width="2.81640625" style="31" customWidth="1"/>
    <col min="2" max="2" width="14.1796875" style="31" customWidth="1"/>
    <col min="3" max="3" width="41.26953125" style="31" customWidth="1"/>
    <col min="4" max="4" width="9" style="31" hidden="1" customWidth="1"/>
    <col min="5" max="5" width="18.81640625" style="31" hidden="1" customWidth="1"/>
    <col min="6" max="6" width="18.26953125" style="31" hidden="1" customWidth="1"/>
    <col min="7" max="7" width="18.1796875" style="31" hidden="1" customWidth="1"/>
    <col min="8" max="8" width="19.26953125" style="31" hidden="1" customWidth="1"/>
    <col min="9" max="9" width="25.81640625" style="31" hidden="1" customWidth="1"/>
    <col min="10" max="13" width="19.26953125" style="31" hidden="1" customWidth="1"/>
    <col min="14" max="14" width="45.7265625" style="31" customWidth="1"/>
    <col min="15" max="16" width="34.26953125" style="31" customWidth="1"/>
    <col min="17" max="17" width="10" style="31" customWidth="1"/>
    <col min="18" max="18" width="19.453125" style="31" customWidth="1"/>
    <col min="19" max="19" width="13.1796875" style="31" hidden="1" customWidth="1"/>
    <col min="20" max="20" width="12.54296875" style="31" bestFit="1" customWidth="1"/>
    <col min="21" max="21" width="12.54296875" style="31" hidden="1" customWidth="1"/>
    <col min="22" max="22" width="33.7265625" style="31" customWidth="1"/>
    <col min="23" max="23" width="15.453125" style="31" hidden="1" customWidth="1"/>
    <col min="24" max="24" width="12.26953125" style="31" hidden="1" customWidth="1"/>
    <col min="25" max="25" width="18.453125" style="31" hidden="1" customWidth="1"/>
    <col min="26" max="26" width="21" style="31" hidden="1" customWidth="1"/>
    <col min="27" max="27" width="24.453125" style="31" hidden="1" customWidth="1"/>
    <col min="28" max="28" width="34.453125" style="31" customWidth="1"/>
    <col min="29" max="29" width="18.453125" style="31" customWidth="1"/>
    <col min="30" max="30" width="15.26953125" style="31" hidden="1" customWidth="1"/>
    <col min="31" max="31" width="16.54296875" style="31" hidden="1" customWidth="1"/>
    <col min="32" max="32" width="28.26953125" style="31" hidden="1" customWidth="1"/>
    <col min="33" max="33" width="16.26953125" style="31" customWidth="1"/>
    <col min="34" max="34" width="15.26953125" style="31" hidden="1" customWidth="1"/>
    <col min="35" max="35" width="17.54296875" style="31" customWidth="1"/>
    <col min="36" max="36" width="15.26953125" style="31" hidden="1" customWidth="1"/>
    <col min="37" max="37" width="19.54296875" style="31" customWidth="1"/>
    <col min="38" max="38" width="12.7265625" style="31" hidden="1" customWidth="1"/>
    <col min="39" max="39" width="12.7265625" style="31" customWidth="1"/>
    <col min="40" max="41" width="34.81640625" style="31" customWidth="1"/>
    <col min="42" max="47" width="8.81640625" style="31" customWidth="1"/>
    <col min="48" max="48" width="10.81640625" style="31" hidden="1" customWidth="1"/>
    <col min="49" max="56" width="0" style="31" hidden="1" customWidth="1"/>
    <col min="57" max="16384" width="8.81640625" style="31" hidden="1"/>
  </cols>
  <sheetData>
    <row r="1" spans="2:48" ht="20.5" customHeight="1" thickBot="1" x14ac:dyDescent="0.35"/>
    <row r="2" spans="2:48" ht="27" customHeight="1" thickBot="1" x14ac:dyDescent="0.35">
      <c r="B2" s="987" t="str">
        <f>IF([2]Start!F12="","",[2]Start!F12)</f>
        <v/>
      </c>
      <c r="C2" s="988"/>
      <c r="D2" s="988"/>
      <c r="E2" s="989"/>
      <c r="R2" s="132"/>
      <c r="Y2" s="921" t="str">
        <f>IF(OR(COUNTIF($Y$12:Y259,"*30+*")&gt;0,COUNTIF($AC$12:AC259,"*30+*")&gt;0),"Note; Habitat selected has a time to target condition greater than 30 years. Non standard agreement may be required. ⚠","")</f>
        <v/>
      </c>
      <c r="Z2" s="921"/>
      <c r="AA2" s="921"/>
      <c r="AB2" s="921"/>
      <c r="AC2" s="921"/>
      <c r="AD2" s="921"/>
    </row>
    <row r="3" spans="2:48" ht="18" customHeight="1" thickBot="1" x14ac:dyDescent="0.35">
      <c r="B3" s="1020" t="str">
        <f ca="1">MID(CELL("filename",A1),FIND("]",CELL("filename",A1))+1,256)</f>
        <v>C-3 Site River Enhancement</v>
      </c>
      <c r="C3" s="1021"/>
      <c r="D3" s="1021"/>
      <c r="E3" s="1022"/>
      <c r="Y3" s="921"/>
      <c r="Z3" s="921"/>
      <c r="AA3" s="921"/>
      <c r="AB3" s="921"/>
      <c r="AC3" s="921"/>
      <c r="AD3" s="921"/>
    </row>
    <row r="4" spans="2:48" ht="21" customHeight="1" thickBot="1" x14ac:dyDescent="0.35">
      <c r="B4" s="1020"/>
      <c r="C4" s="1021"/>
      <c r="D4" s="1021"/>
      <c r="E4" s="1022"/>
      <c r="Y4" s="921"/>
      <c r="Z4" s="921"/>
      <c r="AA4" s="921"/>
      <c r="AB4" s="921"/>
      <c r="AC4" s="921"/>
      <c r="AD4" s="921"/>
    </row>
    <row r="5" spans="2:48" ht="15.65" customHeight="1" x14ac:dyDescent="0.35">
      <c r="AH5" s="193"/>
      <c r="AI5" s="193"/>
      <c r="AJ5" s="193"/>
      <c r="AK5" s="193"/>
      <c r="AL5" s="193"/>
    </row>
    <row r="6" spans="2:48" ht="16.149999999999999" customHeight="1" x14ac:dyDescent="0.3">
      <c r="F6" s="131"/>
    </row>
    <row r="7" spans="2:48" ht="14" x14ac:dyDescent="0.3"/>
    <row r="8" spans="2:48" ht="14.5" thickBot="1" x14ac:dyDescent="0.35"/>
    <row r="9" spans="2:48" ht="14.5" thickBot="1" x14ac:dyDescent="0.35">
      <c r="C9" s="131"/>
      <c r="D9" s="131"/>
      <c r="E9" s="131"/>
      <c r="F9" s="131"/>
      <c r="G9" s="131"/>
      <c r="H9" s="131"/>
      <c r="I9" s="131"/>
      <c r="J9" s="131"/>
      <c r="K9" s="131"/>
      <c r="L9" s="131"/>
      <c r="M9" s="131"/>
      <c r="N9" s="951" t="s">
        <v>225</v>
      </c>
      <c r="O9" s="952"/>
      <c r="P9" s="952"/>
      <c r="Q9" s="952"/>
      <c r="R9" s="952"/>
      <c r="S9" s="952"/>
      <c r="T9" s="952"/>
      <c r="U9" s="952"/>
      <c r="V9" s="952"/>
      <c r="W9" s="952"/>
      <c r="X9" s="952"/>
      <c r="Y9" s="952"/>
      <c r="Z9" s="952"/>
      <c r="AA9" s="952"/>
      <c r="AB9" s="952"/>
      <c r="AC9" s="952"/>
      <c r="AD9" s="952"/>
      <c r="AE9" s="952"/>
      <c r="AF9" s="952"/>
      <c r="AG9" s="952"/>
      <c r="AH9" s="952"/>
      <c r="AI9" s="952"/>
      <c r="AJ9" s="952"/>
      <c r="AK9" s="952"/>
      <c r="AL9" s="953"/>
      <c r="AM9" s="450"/>
    </row>
    <row r="10" spans="2:48" s="42" customFormat="1" ht="27" customHeight="1" thickBot="1" x14ac:dyDescent="0.35">
      <c r="C10" s="939" t="s">
        <v>247</v>
      </c>
      <c r="D10" s="939"/>
      <c r="E10" s="939"/>
      <c r="F10" s="939"/>
      <c r="G10" s="939"/>
      <c r="H10" s="939"/>
      <c r="I10" s="939"/>
      <c r="J10" s="939"/>
      <c r="K10" s="939"/>
      <c r="L10" s="939"/>
      <c r="M10" s="939"/>
      <c r="N10" s="967" t="s">
        <v>331</v>
      </c>
      <c r="O10" s="993" t="s">
        <v>249</v>
      </c>
      <c r="P10" s="993"/>
      <c r="Q10" s="940" t="s">
        <v>294</v>
      </c>
      <c r="R10" s="940" t="s">
        <v>272</v>
      </c>
      <c r="S10" s="940"/>
      <c r="T10" s="940" t="s">
        <v>273</v>
      </c>
      <c r="U10" s="940"/>
      <c r="V10" s="967" t="s">
        <v>191</v>
      </c>
      <c r="W10" s="968"/>
      <c r="X10" s="969"/>
      <c r="Y10" s="967" t="s">
        <v>228</v>
      </c>
      <c r="Z10" s="968"/>
      <c r="AA10" s="968"/>
      <c r="AB10" s="968"/>
      <c r="AC10" s="968"/>
      <c r="AD10" s="969"/>
      <c r="AE10" s="967" t="s">
        <v>229</v>
      </c>
      <c r="AF10" s="968"/>
      <c r="AG10" s="968"/>
      <c r="AH10" s="969"/>
      <c r="AI10" s="940" t="s">
        <v>319</v>
      </c>
      <c r="AJ10" s="940"/>
      <c r="AK10" s="967" t="s">
        <v>320</v>
      </c>
      <c r="AL10" s="969"/>
      <c r="AM10" s="940" t="s">
        <v>329</v>
      </c>
      <c r="AN10" s="880" t="s">
        <v>196</v>
      </c>
      <c r="AO10" s="878"/>
    </row>
    <row r="11" spans="2:48" ht="62.25" customHeight="1" x14ac:dyDescent="0.3">
      <c r="B11" s="135" t="s">
        <v>254</v>
      </c>
      <c r="C11" s="201" t="s">
        <v>255</v>
      </c>
      <c r="D11" s="201" t="s">
        <v>294</v>
      </c>
      <c r="E11" s="201" t="s">
        <v>257</v>
      </c>
      <c r="F11" s="201" t="s">
        <v>258</v>
      </c>
      <c r="G11" s="201" t="s">
        <v>259</v>
      </c>
      <c r="H11" s="201" t="s">
        <v>260</v>
      </c>
      <c r="I11" s="201" t="s">
        <v>261</v>
      </c>
      <c r="J11" s="201" t="s">
        <v>191</v>
      </c>
      <c r="K11" s="201" t="s">
        <v>332</v>
      </c>
      <c r="L11" s="201" t="s">
        <v>309</v>
      </c>
      <c r="M11" s="202" t="s">
        <v>333</v>
      </c>
      <c r="N11" s="1023"/>
      <c r="O11" s="141" t="s">
        <v>310</v>
      </c>
      <c r="P11" s="359" t="s">
        <v>311</v>
      </c>
      <c r="Q11" s="985"/>
      <c r="R11" s="141" t="s">
        <v>189</v>
      </c>
      <c r="S11" s="359" t="s">
        <v>206</v>
      </c>
      <c r="T11" s="141" t="s">
        <v>190</v>
      </c>
      <c r="U11" s="359" t="s">
        <v>206</v>
      </c>
      <c r="V11" s="141" t="s">
        <v>191</v>
      </c>
      <c r="W11" s="103" t="s">
        <v>191</v>
      </c>
      <c r="X11" s="359" t="s">
        <v>231</v>
      </c>
      <c r="Y11" s="141" t="s">
        <v>304</v>
      </c>
      <c r="Z11" s="103" t="s">
        <v>268</v>
      </c>
      <c r="AA11" s="103" t="s">
        <v>269</v>
      </c>
      <c r="AB11" s="103" t="s">
        <v>235</v>
      </c>
      <c r="AC11" s="103" t="s">
        <v>236</v>
      </c>
      <c r="AD11" s="359" t="s">
        <v>312</v>
      </c>
      <c r="AE11" s="141" t="s">
        <v>313</v>
      </c>
      <c r="AF11" s="103" t="s">
        <v>305</v>
      </c>
      <c r="AG11" s="103" t="s">
        <v>271</v>
      </c>
      <c r="AH11" s="359" t="s">
        <v>241</v>
      </c>
      <c r="AI11" s="141" t="s">
        <v>322</v>
      </c>
      <c r="AJ11" s="359" t="s">
        <v>323</v>
      </c>
      <c r="AK11" s="141" t="s">
        <v>322</v>
      </c>
      <c r="AL11" s="359" t="s">
        <v>323</v>
      </c>
      <c r="AM11" s="985"/>
      <c r="AN11" s="141" t="s">
        <v>215</v>
      </c>
      <c r="AO11" s="359" t="s">
        <v>216</v>
      </c>
      <c r="AV11" s="261" t="s">
        <v>200</v>
      </c>
    </row>
    <row r="12" spans="2:48" ht="14" x14ac:dyDescent="0.3">
      <c r="B12" s="531" t="str">
        <f>'C-1 Site River Baseline'!AN10</f>
        <v/>
      </c>
      <c r="C12" s="507" t="str">
        <f>IF(B12="","",VLOOKUP($B12,'C-1 Site River Baseline'!$C$9:$R$257,2,FALSE))</f>
        <v/>
      </c>
      <c r="D12" s="507" t="str">
        <f>IF(C12="","",VLOOKUP($B12,'C-1 Site River Baseline'!$C$9:$R$257,3,FALSE))</f>
        <v/>
      </c>
      <c r="E12" s="507" t="str">
        <f>IF(D12="","",VLOOKUP($B12,'C-1 Site River Baseline'!$C$9:$R$257,4,FALSE))</f>
        <v/>
      </c>
      <c r="F12" s="507" t="str">
        <f>IF(E12="","",VLOOKUP($B12,'C-1 Site River Baseline'!$C$9:$R$257,5,FALSE))</f>
        <v/>
      </c>
      <c r="G12" s="507" t="str">
        <f>IF(F12="","",VLOOKUP($B12,'C-1 Site River Baseline'!$C$9:$R$257,6,FALSE))</f>
        <v/>
      </c>
      <c r="H12" s="507" t="str">
        <f>IF(G12="","",VLOOKUP($B12,'C-1 Site River Baseline'!$C$9:$R$257,7,FALSE))</f>
        <v/>
      </c>
      <c r="I12" s="507" t="str">
        <f>IF(H12="","",VLOOKUP($B12,'C-1 Site River Baseline'!$C$9:$R$257,8,FALSE))</f>
        <v/>
      </c>
      <c r="J12" s="507" t="str">
        <f>IF(I12="","",VLOOKUP($B12,'C-1 Site River Baseline'!$C$9:$R$257,9,FALSE))</f>
        <v/>
      </c>
      <c r="K12" s="507" t="str">
        <f>IF(J12="","",VLOOKUP($B12,'C-1 Site River Baseline'!$C$9:$R$257,10,FALSE))</f>
        <v/>
      </c>
      <c r="L12" s="507" t="str">
        <f>IF(B12="","",VLOOKUP($B12,'C-1 Site River Baseline'!$C$9:$R$257,15,FALSE))</f>
        <v/>
      </c>
      <c r="M12" s="499" t="str">
        <f>IF(L12="","",VLOOKUP($B12,'C-1 Site River Baseline'!$C$9:$R$257,16,FALSE))</f>
        <v/>
      </c>
      <c r="N12" s="426"/>
      <c r="O12" s="498" t="str">
        <f>IF(B12="","",IF(S12&lt;F12,"Error Trading Down ▲",E12&amp;" - "&amp;R12))</f>
        <v/>
      </c>
      <c r="P12" s="499" t="str">
        <f>IF(C12="","",IF(AND(LEFT(C12,55)&lt;&gt;LEFT(N12,55),O12="High - High"),"Error - Not like for like ▲",IF(AND(F12=S12,H12&gt;U12),"Error - Can not reduce condition ▲",IF(AND(F12=S12,H12=U12,AJ12='C-1 Site River Baseline'!N10,'C-1 Site River Baseline'!P10=AL12),"Error - No enhancement ▲",IF(AND(C12&lt;&gt;N12,F12&lt;S12),"Lower Distinctiveness Habitat"&amp;" - "&amp;T12,G12&amp;" - "&amp;T12)))))</f>
        <v/>
      </c>
      <c r="Q12" s="567" t="str">
        <f>IF(N12="","",VLOOKUP(B12,'C-1 Site River Baseline'!$C$10:$AA$257,19,FALSE))</f>
        <v/>
      </c>
      <c r="R12" s="498" t="str">
        <f>IF(N12="","",VLOOKUP(N12,'G-7 Rivers Data'!$B$2:$G$8,2,FALSE))</f>
        <v/>
      </c>
      <c r="S12" s="499" t="str">
        <f>IFERROR(VLOOKUP(R12,'G-7 Rivers Data'!$C$4:$D$8,2,FALSE),"")</f>
        <v/>
      </c>
      <c r="T12" s="145"/>
      <c r="U12" s="499" t="str">
        <f>IFERROR(INDEX('G-7 Rivers Data'!$H$4:$L$8,MATCH(N12,'G-7 Rivers Data'!$B$4:$B$8,0),MATCH(T12,'G-7 Rivers Data'!$H$3:$L$3,0)),"")</f>
        <v/>
      </c>
      <c r="V12" s="145"/>
      <c r="W12" s="507" t="str">
        <f>IF(V12="","",IF(VLOOKUP(V12,'G-7 Rivers Data'!$AG$4:$AI$9,2,FALSE)=0,"Spatial Data Missing ⚠",VLOOKUP(V12,'G-7 Rivers Data'!$AG$4:$AI$9,2,FALSE)))</f>
        <v/>
      </c>
      <c r="X12" s="499" t="str">
        <f>IF(V12="","",IF(VLOOKUP(V12,'G-7 Rivers Data'!$AG$4:$AI$9,3,FALSE)=0,"Spatial Data Missing ⚠",VLOOKUP(V12,'G-7 Rivers Data'!$AG$4:$AI$9,3,FALSE)))</f>
        <v/>
      </c>
      <c r="Y12" s="498" t="str">
        <f>IFERROR(IF(OR(LEFT(P12,5)="Error ▲",LEFT(O12,5)="Error ▲"),"Check Data ⚠",IF(F12&lt;S12,'G-7 Rivers Data'!$R$3,INDEX('G-7 Rivers Data'!$U$5:$Y$9,MATCH(G12,'G-7 Rivers Data'!$T$5:$T$9,0),MATCH(T12,'G-7 Rivers Data'!$U$4:$Y$4,0)))),"")</f>
        <v/>
      </c>
      <c r="Z12" s="195"/>
      <c r="AA12" s="195"/>
      <c r="AB12" s="507" t="str">
        <f>IF(Y12="","",IF(Y12="Check Data ⚠","Check Data ⚠",IF(AND(Z12&gt;0,AA12&gt;0),"Error -both advance and delayed habitat creation ▲",IF(AND(OR(Z12="Habitat already in target condition",Y12&lt;=Z12),AA12=0),"Check details - Is there evidence that habitat has reached target condition? ⚠",IF(Z12&gt;0,"Check details - Is there evidence habitat creation started/in place? ⚠",IF(AA12&gt;0,"Check details- Delay in starting habitat in required condition? ⚠","Standard time to target condition applied"))))))</f>
        <v/>
      </c>
      <c r="AC12" s="521" t="str">
        <f>IF(LEFT(AB12,5)="Error ▲","Check Data ⚠",IF(AB12="Check Data ⚠","Check Data ⚠",IF(Y12="","",IF(Z12="30+",0,IF(AA12="30+","30+ ⚠",IF(Y12+AA12&gt;30,"30+ ⚠",IF(Y12+AA12-Z12&gt;0,Y12+AA12-Z12,IF(Y12-Z12&lt;0,0,Y12+AA12-Z12))))))))</f>
        <v/>
      </c>
      <c r="AD12" s="564" t="str">
        <f>IFERROR(IF(AC12="Check Data ⚠","Check Data ⚠",VLOOKUP(AC12,'G-4 Temporal multipliers'!$A$4:$C$37,3,FALSE)),"")</f>
        <v/>
      </c>
      <c r="AE12" s="498" t="str">
        <f>IF(N12="","",VLOOKUP(N12,'G-7 Rivers Data'!$B$4:$G$8,5,FALSE))</f>
        <v/>
      </c>
      <c r="AF12" s="507" t="str">
        <f>IF(N12="","",IF(AC12="Check Data ⚠","Check Data ⚠",IF(T12="","",IF($AB12="Check details - Is there evidence that habitat has reached target condition? ⚠","Low Difficulty - only applicable if all habitat created before losses ⚠","Standard difficulty applied"))))</f>
        <v/>
      </c>
      <c r="AG12" s="540" t="str">
        <f>(IF(AND(AF12="Standard difficulty applied",Y12&gt;Z12),AE12,IF(AND(AF12="Low Difficulty - only applicable if all habitat created before losses ⚠",Z12&gt;=Y12),"Low",AE12)))</f>
        <v/>
      </c>
      <c r="AH12" s="499" t="str">
        <f t="shared" ref="AH12:AH75" si="0">IF(N12="","",VLOOKUP(AE12,Difficulty,2,FALSE))</f>
        <v/>
      </c>
      <c r="AI12" s="154"/>
      <c r="AJ12" s="499" t="str">
        <f>IF(AI12="","",IF(VLOOKUP(AI12,'G-7 Rivers Data'!$AA$4:$AB$7,2,FALSE)=0,"Spatial Data Missing ⚠",VLOOKUP(AI12,'G-7 Rivers Data'!$AA$4:$AB$7,2,FALSE)))</f>
        <v/>
      </c>
      <c r="AK12" s="155"/>
      <c r="AL12" s="499" t="str">
        <f>IF(AK12="","",IF(VLOOKUP(AK12,'G-7 Rivers Data'!$AD$4:$AE$8,2,FALSE)=0,"Spatial Data Missing ⚠",VLOOKUP(AK12,'G-7 Rivers Data'!$AD$4:$AE$8,2,FALSE)))</f>
        <v/>
      </c>
      <c r="AM12" s="545" t="str">
        <f>IFERROR(IF(C12="","",IF(Q12&gt;D12,((((Q12*S12*U12)-(D12*F12*H12))*(AH12*AD12))+(D12*F12*H12))*(AL12*X12*AJ12),((((Q12*S12*U12)-(Q12*F12*H12))*(AH12*AD12))+(Q12*F12*H12))*(AL12*X12*AJ12))),"")</f>
        <v/>
      </c>
      <c r="AN12" s="149"/>
      <c r="AO12" s="150"/>
      <c r="AV12" s="31" t="str">
        <f>IFERROR(INDEX('G-7 Rivers Data'!$AZ$3:$AZ$7,MATCH(N12,'G-7 Rivers Data'!$AY$3:$AY$7,0)),"")</f>
        <v/>
      </c>
    </row>
    <row r="13" spans="2:48" ht="14" x14ac:dyDescent="0.3">
      <c r="B13" s="531" t="str">
        <f>'C-1 Site River Baseline'!AN11</f>
        <v/>
      </c>
      <c r="C13" s="520" t="str">
        <f>IF(B13="","",VLOOKUP($B13,'C-1 Site River Baseline'!$C$9:$R$257,2,FALSE))</f>
        <v/>
      </c>
      <c r="D13" s="520" t="str">
        <f>IF(C13="","",VLOOKUP($B13,'C-1 Site River Baseline'!$C$9:$R$257,3,FALSE))</f>
        <v/>
      </c>
      <c r="E13" s="520" t="str">
        <f>IF(D13="","",VLOOKUP($B13,'C-1 Site River Baseline'!$C$9:$R$257,4,FALSE))</f>
        <v/>
      </c>
      <c r="F13" s="520" t="str">
        <f>IF(E13="","",VLOOKUP($B13,'C-1 Site River Baseline'!$C$9:$R$257,5,FALSE))</f>
        <v/>
      </c>
      <c r="G13" s="520" t="str">
        <f>IF(F13="","",VLOOKUP($B13,'C-1 Site River Baseline'!$C$9:$R$257,6,FALSE))</f>
        <v/>
      </c>
      <c r="H13" s="520" t="str">
        <f>IF(G13="","",VLOOKUP($B13,'C-1 Site River Baseline'!$C$9:$R$257,7,FALSE))</f>
        <v/>
      </c>
      <c r="I13" s="520" t="str">
        <f>IF(H13="","",VLOOKUP($B13,'C-1 Site River Baseline'!$C$9:$R$257,8,FALSE))</f>
        <v/>
      </c>
      <c r="J13" s="520" t="str">
        <f>IF(I13="","",VLOOKUP($B13,'C-1 Site River Baseline'!$C$9:$R$257,9,FALSE))</f>
        <v/>
      </c>
      <c r="K13" s="520" t="str">
        <f>IF(J13="","",VLOOKUP($B13,'C-1 Site River Baseline'!$C$9:$R$257,10,FALSE))</f>
        <v/>
      </c>
      <c r="L13" s="520" t="str">
        <f>IF(B13="","",VLOOKUP($B13,'C-1 Site River Baseline'!$C$9:$R$257,15,FALSE))</f>
        <v/>
      </c>
      <c r="M13" s="524" t="str">
        <f>IF(L13="","",VLOOKUP($B13,'C-1 Site River Baseline'!$C$9:$R$257,16,FALSE))</f>
        <v/>
      </c>
      <c r="N13" s="426"/>
      <c r="O13" s="498" t="str">
        <f t="shared" ref="O13:O76" si="1">IF(B13="","",IF(S13&lt;F13,"Error Trading Down ▲",E13&amp;" - "&amp;R13))</f>
        <v/>
      </c>
      <c r="P13" s="499" t="str">
        <f>IF(C13="","",IF(AND(LEFT(C13,55)&lt;&gt;LEFT(N13,55),O13="High - High"),"Error - Not like for like ▲",IF(AND(F13=S13,H13&gt;U13),"Error - Can not reduce condition ▲",IF(AND(F13=S13,H13=U13,AJ13='C-1 Site River Baseline'!N11,'C-1 Site River Baseline'!P11=AL13),"Error - No enhancement ▲",IF(AND(C13&lt;&gt;N13,F13&lt;S13),"Lower Distinctiveness Habitat"&amp;" - "&amp;T13,G13&amp;" - "&amp;T13)))))</f>
        <v/>
      </c>
      <c r="Q13" s="567" t="str">
        <f>IF(N13="","",VLOOKUP(B13,'C-1 Site River Baseline'!$C$10:$AA$257,19,FALSE))</f>
        <v/>
      </c>
      <c r="R13" s="498" t="str">
        <f>IF(N13="","",VLOOKUP(N13,'G-7 Rivers Data'!$B$2:$G$8,2,FALSE))</f>
        <v/>
      </c>
      <c r="S13" s="499" t="str">
        <f>IFERROR(VLOOKUP(R13,'G-7 Rivers Data'!$C$4:$D$8,2,FALSE),"")</f>
        <v/>
      </c>
      <c r="T13" s="145"/>
      <c r="U13" s="499" t="str">
        <f>IFERROR(INDEX('G-7 Rivers Data'!$H$4:$L$8,MATCH(N13,'G-7 Rivers Data'!$B$4:$B$8,0),MATCH(T13,'G-7 Rivers Data'!$H$3:$L$3,0)),"")</f>
        <v/>
      </c>
      <c r="V13" s="154"/>
      <c r="W13" s="507" t="str">
        <f>IF(V13="","",IF(VLOOKUP(V13,'G-7 Rivers Data'!$AG$4:$AI$9,2,FALSE)=0,"Spatial Data Missing ⚠",VLOOKUP(V13,'G-7 Rivers Data'!$AG$4:$AI$9,2,FALSE)))</f>
        <v/>
      </c>
      <c r="X13" s="499" t="str">
        <f>IF(V13="","",IF(VLOOKUP(V13,'G-7 Rivers Data'!$AG$4:$AI$9,3,FALSE)=0,"Spatial Data Missing ⚠",VLOOKUP(V13,'G-7 Rivers Data'!$AG$4:$AI$9,3,FALSE)))</f>
        <v/>
      </c>
      <c r="Y13" s="498" t="str">
        <f>IFERROR(IF(OR(LEFT(P13,5)="Error ▲",LEFT(O13,5)="Error ▲"),"Check Data ⚠",IF(F13&lt;S13,'G-7 Rivers Data'!$R$3,INDEX('G-7 Rivers Data'!$U$5:$Y$9,MATCH(G13,'G-7 Rivers Data'!$T$5:$T$9,0),MATCH(T13,'G-7 Rivers Data'!$U$4:$Y$4,0)))),"")</f>
        <v/>
      </c>
      <c r="Z13" s="195"/>
      <c r="AA13" s="195"/>
      <c r="AB13" s="507" t="str">
        <f t="shared" ref="AB13:AB76" si="2">IF(Y13="","",IF(Y13="Check Data ⚠","Check Data ⚠",IF(AND(Z13&gt;0,AA13&gt;0),"Error -both advance and delayed habitat creation ▲",IF(AND(OR(Z13="Habitat already in target condition",Y13&lt;=Z13),AA13=0),"Check details - Is there evidence that habitat has reached target condition? ⚠",IF(Z13&gt;0,"Check details - Is there evidence habitat creation started/in place? ⚠",IF(AA13&gt;0,"Check details- Delay in starting habitat in required condition? ⚠","Standard time to target condition applied"))))))</f>
        <v/>
      </c>
      <c r="AC13" s="521" t="str">
        <f t="shared" ref="AC13:AC76" si="3">IF(LEFT(AB13,5)="Error ▲","Check Data ⚠",IF(AB13="Check Data ⚠","Check Data ⚠",IF(Y13="","",IF(Z13="30+",0,IF(AA13="30+","30+ ⚠",IF(Y13+AA13&gt;30,"30+ ⚠",IF(Y13+AA13-Z13&gt;0,Y13+AA13-Z13,IF(Y13-Z13&lt;0,0,Y13+AA13-Z13))))))))</f>
        <v/>
      </c>
      <c r="AD13" s="564" t="str">
        <f>IFERROR(IF(AC13="Check Data ⚠","Check Data ⚠",VLOOKUP(AC13,'G-4 Temporal multipliers'!$A$4:$C$37,3,FALSE)),"")</f>
        <v/>
      </c>
      <c r="AE13" s="498" t="str">
        <f>IF(N13="","",VLOOKUP(N13,'G-7 Rivers Data'!$B$4:$G$8,5,FALSE))</f>
        <v/>
      </c>
      <c r="AF13" s="507" t="str">
        <f t="shared" ref="AF13:AF76" si="4">IF(N13="","",IF(AC13="Check Data ⚠","Check Data ⚠",IF(T13="","",IF($AB13="Check details - Is there evidence that habitat has reached target condition? ⚠","Low Difficulty - only applicable if all habitat created before losses ⚠","Standard difficulty applied"))))</f>
        <v/>
      </c>
      <c r="AG13" s="540" t="str">
        <f t="shared" ref="AG13:AG76" si="5">(IF(AND(AF13="Standard difficulty applied",Y13&gt;Z13),AE13,IF(AND(AF13="Low Difficulty - only applicable if all habitat created before losses ⚠",Z13&gt;=Y13),"Low",AE13)))</f>
        <v/>
      </c>
      <c r="AH13" s="499" t="str">
        <f t="shared" si="0"/>
        <v/>
      </c>
      <c r="AI13" s="145"/>
      <c r="AJ13" s="499" t="str">
        <f>IF(AI13="","",IF(VLOOKUP(AI13,'G-7 Rivers Data'!$AA$4:$AB$7,2,FALSE)=0,"Spatial Data Missing ⚠",VLOOKUP(AI13,'G-7 Rivers Data'!$AA$4:$AB$7,2,FALSE)))</f>
        <v/>
      </c>
      <c r="AK13" s="155"/>
      <c r="AL13" s="499" t="str">
        <f>IF(AK13="","",IF(VLOOKUP(AK13,'G-7 Rivers Data'!$AD$4:$AE$8,2,FALSE)=0,"Spatial Data Missing ⚠",VLOOKUP(AK13,'G-7 Rivers Data'!$AD$4:$AE$8,2,FALSE)))</f>
        <v/>
      </c>
      <c r="AM13" s="545" t="str">
        <f>IFERROR(IF(C13="","",IF(Q13&gt;D13,((((Q13*S13*U13)-(D13*F13*H13))*(AH13*AD13))+(D13*F13*H13))*(AL13*X13*AJ13),((((Q13*S13*U13)-(Q13*F13*H13))*(AH13*AD13))+(Q13*F13*H13))*(AL13*X13*AJ13))),"")</f>
        <v/>
      </c>
      <c r="AN13" s="149"/>
      <c r="AO13" s="150"/>
      <c r="AV13" s="31" t="str">
        <f>IFERROR(INDEX('G-7 Rivers Data'!$AZ$3:$AZ$7,MATCH(N13,'G-7 Rivers Data'!$AY$3:$AY$7,0)),"")</f>
        <v/>
      </c>
    </row>
    <row r="14" spans="2:48" ht="14" x14ac:dyDescent="0.3">
      <c r="B14" s="531" t="str">
        <f>'C-1 Site River Baseline'!AN12</f>
        <v/>
      </c>
      <c r="C14" s="520" t="str">
        <f>IF(B14="","",VLOOKUP($B14,'C-1 Site River Baseline'!$C$9:$R$257,2,FALSE))</f>
        <v/>
      </c>
      <c r="D14" s="520" t="str">
        <f>IF(C14="","",VLOOKUP($B14,'C-1 Site River Baseline'!$C$9:$R$257,3,FALSE))</f>
        <v/>
      </c>
      <c r="E14" s="520" t="str">
        <f>IF(D14="","",VLOOKUP($B14,'C-1 Site River Baseline'!$C$9:$R$257,4,FALSE))</f>
        <v/>
      </c>
      <c r="F14" s="520" t="str">
        <f>IF(E14="","",VLOOKUP($B14,'C-1 Site River Baseline'!$C$9:$R$257,5,FALSE))</f>
        <v/>
      </c>
      <c r="G14" s="520" t="str">
        <f>IF(F14="","",VLOOKUP($B14,'C-1 Site River Baseline'!$C$9:$R$257,6,FALSE))</f>
        <v/>
      </c>
      <c r="H14" s="520" t="str">
        <f>IF(G14="","",VLOOKUP($B14,'C-1 Site River Baseline'!$C$9:$R$257,7,FALSE))</f>
        <v/>
      </c>
      <c r="I14" s="520" t="str">
        <f>IF(H14="","",VLOOKUP($B14,'C-1 Site River Baseline'!$C$9:$R$257,8,FALSE))</f>
        <v/>
      </c>
      <c r="J14" s="520" t="str">
        <f>IF(I14="","",VLOOKUP($B14,'C-1 Site River Baseline'!$C$9:$R$257,9,FALSE))</f>
        <v/>
      </c>
      <c r="K14" s="520" t="str">
        <f>IF(J14="","",VLOOKUP($B14,'C-1 Site River Baseline'!$C$9:$R$257,10,FALSE))</f>
        <v/>
      </c>
      <c r="L14" s="520" t="str">
        <f>IF(B14="","",VLOOKUP($B14,'C-1 Site River Baseline'!$C$9:$R$257,15,FALSE))</f>
        <v/>
      </c>
      <c r="M14" s="524" t="str">
        <f>IF(L14="","",VLOOKUP($B14,'C-1 Site River Baseline'!$C$9:$R$257,16,FALSE))</f>
        <v/>
      </c>
      <c r="N14" s="426" t="str">
        <f t="shared" ref="N14:N76" si="6">C14</f>
        <v/>
      </c>
      <c r="O14" s="498" t="str">
        <f t="shared" si="1"/>
        <v/>
      </c>
      <c r="P14" s="499" t="str">
        <f>IF(C14="","",IF(AND(LEFT(C14,55)&lt;&gt;LEFT(N14,55),O14="High - High"),"Error - Not like for like ▲",IF(AND(F14=S14,H14&gt;U14),"Error - Can not reduce condition ▲",IF(AND(F14=S14,H14=U14,AJ14='C-1 Site River Baseline'!N12,'C-1 Site River Baseline'!P12=AL14),"Error - No enhancement ▲",IF(AND(C14&lt;&gt;N14,F14&lt;S14),"Lower Distinctiveness Habitat"&amp;" - "&amp;T14,G14&amp;" - "&amp;T14)))))</f>
        <v/>
      </c>
      <c r="Q14" s="567" t="str">
        <f>IF(N14="","",VLOOKUP(B14,'C-1 Site River Baseline'!$C$10:$AA$257,19,FALSE))</f>
        <v/>
      </c>
      <c r="R14" s="498" t="str">
        <f>IF(N14="","",VLOOKUP(N14,'G-7 Rivers Data'!$B$2:$G$8,2,FALSE))</f>
        <v/>
      </c>
      <c r="S14" s="499" t="str">
        <f>IFERROR(VLOOKUP(R14,'G-7 Rivers Data'!$C$4:$D$8,2,FALSE),"")</f>
        <v/>
      </c>
      <c r="T14" s="145"/>
      <c r="U14" s="499" t="str">
        <f>IFERROR(INDEX('G-7 Rivers Data'!$H$4:$L$8,MATCH(N14,'G-7 Rivers Data'!$B$4:$B$8,0),MATCH(T14,'G-7 Rivers Data'!$H$3:$L$3,0)),"")</f>
        <v/>
      </c>
      <c r="V14" s="154"/>
      <c r="W14" s="507" t="str">
        <f>IF(V14="","",IF(VLOOKUP(V14,'G-7 Rivers Data'!$AG$4:$AI$9,2,FALSE)=0,"Spatial Data Missing ⚠",VLOOKUP(V14,'G-7 Rivers Data'!$AG$4:$AI$9,2,FALSE)))</f>
        <v/>
      </c>
      <c r="X14" s="499" t="str">
        <f>IF(V14="","",IF(VLOOKUP(V14,'G-7 Rivers Data'!$AG$4:$AI$9,3,FALSE)=0,"Spatial Data Missing ⚠",VLOOKUP(V14,'G-7 Rivers Data'!$AG$4:$AI$9,3,FALSE)))</f>
        <v/>
      </c>
      <c r="Y14" s="498" t="str">
        <f>IFERROR(IF(OR(LEFT(P14,5)="Error ▲",LEFT(O14,5)="Error ▲"),"Check Data ⚠",IF(F14&lt;S14,'G-7 Rivers Data'!$R$3,INDEX('G-7 Rivers Data'!$U$5:$Y$9,MATCH(G14,'G-7 Rivers Data'!$T$5:$T$9,0),MATCH(T14,'G-7 Rivers Data'!$U$4:$Y$4,0)))),"")</f>
        <v/>
      </c>
      <c r="Z14" s="195"/>
      <c r="AA14" s="195"/>
      <c r="AB14" s="507" t="str">
        <f t="shared" si="2"/>
        <v/>
      </c>
      <c r="AC14" s="521" t="str">
        <f t="shared" si="3"/>
        <v/>
      </c>
      <c r="AD14" s="564" t="str">
        <f>IFERROR(IF(AC14="Check Data ⚠","Check Data ⚠",VLOOKUP(AC14,'G-4 Temporal multipliers'!$A$4:$C$37,3,FALSE)),"")</f>
        <v/>
      </c>
      <c r="AE14" s="498" t="str">
        <f>IF(N14="","",VLOOKUP(N14,'G-7 Rivers Data'!$B$4:$G$8,5,FALSE))</f>
        <v/>
      </c>
      <c r="AF14" s="507" t="str">
        <f t="shared" si="4"/>
        <v/>
      </c>
      <c r="AG14" s="540" t="str">
        <f t="shared" si="5"/>
        <v/>
      </c>
      <c r="AH14" s="499" t="str">
        <f t="shared" si="0"/>
        <v/>
      </c>
      <c r="AI14" s="145"/>
      <c r="AJ14" s="499" t="str">
        <f>IF(AI14="","",IF(VLOOKUP(AI14,'G-7 Rivers Data'!$AA$4:$AB$7,2,FALSE)=0,"Spatial Data Missing ⚠",VLOOKUP(AI14,'G-7 Rivers Data'!$AA$4:$AB$7,2,FALSE)))</f>
        <v/>
      </c>
      <c r="AK14" s="155"/>
      <c r="AL14" s="499" t="str">
        <f>IF(AK14="","",IF(VLOOKUP(AK14,'G-7 Rivers Data'!$AD$4:$AE$8,2,FALSE)=0,"Spatial Data Missing ⚠",VLOOKUP(AK14,'G-7 Rivers Data'!$AD$4:$AE$8,2,FALSE)))</f>
        <v/>
      </c>
      <c r="AM14" s="545" t="str">
        <f t="shared" ref="AM14:AM77" si="7">IFERROR(IF(C14="","",IF(Q14&gt;D14,((((Q14*S14*U14)-(D14*F14*H14))*(AH14*AD14))+(D14*F14*H14))*(AL14*X14*AJ14),((((Q14*S14*U14)-(Q14*F14*H14))*(AH14*AD14))+(Q14*F14*H14))*(AL14*X14*AJ14))),"")</f>
        <v/>
      </c>
      <c r="AN14" s="149"/>
      <c r="AO14" s="150"/>
      <c r="AV14" s="31" t="str">
        <f>IFERROR(INDEX('G-7 Rivers Data'!$AZ$3:$AZ$7,MATCH(N14,'G-7 Rivers Data'!$AY$3:$AY$7,0)),"")</f>
        <v/>
      </c>
    </row>
    <row r="15" spans="2:48" ht="14" x14ac:dyDescent="0.3">
      <c r="B15" s="531" t="str">
        <f>'C-1 Site River Baseline'!AN13</f>
        <v/>
      </c>
      <c r="C15" s="520" t="str">
        <f>IF(B15="","",VLOOKUP($B15,'C-1 Site River Baseline'!$C$9:$R$257,2,FALSE))</f>
        <v/>
      </c>
      <c r="D15" s="520" t="str">
        <f>IF(C15="","",VLOOKUP($B15,'C-1 Site River Baseline'!$C$9:$R$257,3,FALSE))</f>
        <v/>
      </c>
      <c r="E15" s="520" t="str">
        <f>IF(D15="","",VLOOKUP($B15,'C-1 Site River Baseline'!$C$9:$R$257,4,FALSE))</f>
        <v/>
      </c>
      <c r="F15" s="520" t="str">
        <f>IF(E15="","",VLOOKUP($B15,'C-1 Site River Baseline'!$C$9:$R$257,5,FALSE))</f>
        <v/>
      </c>
      <c r="G15" s="520" t="str">
        <f>IF(F15="","",VLOOKUP($B15,'C-1 Site River Baseline'!$C$9:$R$257,6,FALSE))</f>
        <v/>
      </c>
      <c r="H15" s="520" t="str">
        <f>IF(G15="","",VLOOKUP($B15,'C-1 Site River Baseline'!$C$9:$R$257,7,FALSE))</f>
        <v/>
      </c>
      <c r="I15" s="520" t="str">
        <f>IF(H15="","",VLOOKUP($B15,'C-1 Site River Baseline'!$C$9:$R$257,8,FALSE))</f>
        <v/>
      </c>
      <c r="J15" s="520" t="str">
        <f>IF(I15="","",VLOOKUP($B15,'C-1 Site River Baseline'!$C$9:$R$257,9,FALSE))</f>
        <v/>
      </c>
      <c r="K15" s="520" t="str">
        <f>IF(J15="","",VLOOKUP($B15,'C-1 Site River Baseline'!$C$9:$R$257,10,FALSE))</f>
        <v/>
      </c>
      <c r="L15" s="520" t="str">
        <f>IF(B15="","",VLOOKUP($B15,'C-1 Site River Baseline'!$C$9:$R$257,15,FALSE))</f>
        <v/>
      </c>
      <c r="M15" s="524" t="str">
        <f>IF(L15="","",VLOOKUP($B15,'C-1 Site River Baseline'!$C$9:$R$257,16,FALSE))</f>
        <v/>
      </c>
      <c r="N15" s="426" t="str">
        <f t="shared" si="6"/>
        <v/>
      </c>
      <c r="O15" s="498" t="str">
        <f t="shared" si="1"/>
        <v/>
      </c>
      <c r="P15" s="499" t="str">
        <f>IF(C15="","",IF(AND(LEFT(C15,55)&lt;&gt;LEFT(N15,55),O15="High - High"),"Error - Not like for like ▲",IF(AND(F15=S15,H15&gt;U15),"Error - Can not reduce condition ▲",IF(AND(F15=S15,H15=U15,AJ15='C-1 Site River Baseline'!N13,'C-1 Site River Baseline'!P13=AL15),"Error - No enhancement ▲",IF(AND(C15&lt;&gt;N15,F15&lt;S15),"Lower Distinctiveness Habitat"&amp;" - "&amp;T15,G15&amp;" - "&amp;T15)))))</f>
        <v/>
      </c>
      <c r="Q15" s="567" t="str">
        <f>IF(N15="","",VLOOKUP(B15,'C-1 Site River Baseline'!$C$10:$AA$257,19,FALSE))</f>
        <v/>
      </c>
      <c r="R15" s="498" t="str">
        <f>IF(N15="","",VLOOKUP(N15,'G-7 Rivers Data'!$B$2:$G$8,2,FALSE))</f>
        <v/>
      </c>
      <c r="S15" s="499" t="str">
        <f>IFERROR(VLOOKUP(R15,'G-7 Rivers Data'!$C$4:$D$8,2,FALSE),"")</f>
        <v/>
      </c>
      <c r="T15" s="145"/>
      <c r="U15" s="499" t="str">
        <f>IFERROR(INDEX('G-7 Rivers Data'!$H$4:$L$8,MATCH(N15,'G-7 Rivers Data'!$B$4:$B$8,0),MATCH(T15,'G-7 Rivers Data'!$H$3:$L$3,0)),"")</f>
        <v/>
      </c>
      <c r="V15" s="154"/>
      <c r="W15" s="507" t="str">
        <f>IF(V15="","",IF(VLOOKUP(V15,'G-7 Rivers Data'!$AG$4:$AI$9,2,FALSE)=0,"Spatial Data Missing ⚠",VLOOKUP(V15,'G-7 Rivers Data'!$AG$4:$AI$9,2,FALSE)))</f>
        <v/>
      </c>
      <c r="X15" s="499" t="str">
        <f>IF(V15="","",IF(VLOOKUP(V15,'G-7 Rivers Data'!$AG$4:$AI$9,3,FALSE)=0,"Spatial Data Missing ⚠",VLOOKUP(V15,'G-7 Rivers Data'!$AG$4:$AI$9,3,FALSE)))</f>
        <v/>
      </c>
      <c r="Y15" s="498" t="str">
        <f>IFERROR(IF(OR(LEFT(P15,5)="Error ▲",LEFT(O15,5)="Error ▲"),"Check Data ⚠",IF(F15&lt;S15,'G-7 Rivers Data'!$R$3,INDEX('G-7 Rivers Data'!$U$5:$Y$9,MATCH(G15,'G-7 Rivers Data'!$T$5:$T$9,0),MATCH(T15,'G-7 Rivers Data'!$U$4:$Y$4,0)))),"")</f>
        <v/>
      </c>
      <c r="Z15" s="195"/>
      <c r="AA15" s="195"/>
      <c r="AB15" s="507" t="str">
        <f t="shared" si="2"/>
        <v/>
      </c>
      <c r="AC15" s="521" t="str">
        <f t="shared" si="3"/>
        <v/>
      </c>
      <c r="AD15" s="564" t="str">
        <f>IFERROR(IF(AC15="Check Data ⚠","Check Data ⚠",VLOOKUP(AC15,'G-4 Temporal multipliers'!$A$4:$C$37,3,FALSE)),"")</f>
        <v/>
      </c>
      <c r="AE15" s="498" t="str">
        <f>IF(N15="","",VLOOKUP(N15,'G-7 Rivers Data'!$B$4:$G$8,5,FALSE))</f>
        <v/>
      </c>
      <c r="AF15" s="507" t="str">
        <f t="shared" si="4"/>
        <v/>
      </c>
      <c r="AG15" s="540" t="str">
        <f t="shared" si="5"/>
        <v/>
      </c>
      <c r="AH15" s="499" t="str">
        <f t="shared" si="0"/>
        <v/>
      </c>
      <c r="AI15" s="145"/>
      <c r="AJ15" s="499" t="str">
        <f>IF(AI15="","",IF(VLOOKUP(AI15,'G-7 Rivers Data'!$AA$4:$AB$7,2,FALSE)=0,"Spatial Data Missing ⚠",VLOOKUP(AI15,'G-7 Rivers Data'!$AA$4:$AB$7,2,FALSE)))</f>
        <v/>
      </c>
      <c r="AK15" s="155"/>
      <c r="AL15" s="499" t="str">
        <f>IF(AK15="","",IF(VLOOKUP(AK15,'G-7 Rivers Data'!$AD$4:$AE$8,2,FALSE)=0,"Spatial Data Missing ⚠",VLOOKUP(AK15,'G-7 Rivers Data'!$AD$4:$AE$8,2,FALSE)))</f>
        <v/>
      </c>
      <c r="AM15" s="545" t="str">
        <f t="shared" si="7"/>
        <v/>
      </c>
      <c r="AN15" s="149"/>
      <c r="AO15" s="150"/>
      <c r="AV15" s="31" t="str">
        <f>IFERROR(INDEX('G-7 Rivers Data'!$AZ$3:$AZ$7,MATCH(N15,'G-7 Rivers Data'!$AY$3:$AY$7,0)),"")</f>
        <v/>
      </c>
    </row>
    <row r="16" spans="2:48" ht="14" x14ac:dyDescent="0.3">
      <c r="B16" s="531" t="str">
        <f>'C-1 Site River Baseline'!AN14</f>
        <v/>
      </c>
      <c r="C16" s="520" t="str">
        <f>IF(B16="","",VLOOKUP($B16,'C-1 Site River Baseline'!$C$9:$R$257,2,FALSE))</f>
        <v/>
      </c>
      <c r="D16" s="520" t="str">
        <f>IF(C16="","",VLOOKUP($B16,'C-1 Site River Baseline'!$C$9:$R$257,3,FALSE))</f>
        <v/>
      </c>
      <c r="E16" s="520" t="str">
        <f>IF(D16="","",VLOOKUP($B16,'C-1 Site River Baseline'!$C$9:$R$257,4,FALSE))</f>
        <v/>
      </c>
      <c r="F16" s="520" t="str">
        <f>IF(E16="","",VLOOKUP($B16,'C-1 Site River Baseline'!$C$9:$R$257,5,FALSE))</f>
        <v/>
      </c>
      <c r="G16" s="520" t="str">
        <f>IF(F16="","",VLOOKUP($B16,'C-1 Site River Baseline'!$C$9:$R$257,6,FALSE))</f>
        <v/>
      </c>
      <c r="H16" s="520" t="str">
        <f>IF(G16="","",VLOOKUP($B16,'C-1 Site River Baseline'!$C$9:$R$257,7,FALSE))</f>
        <v/>
      </c>
      <c r="I16" s="520" t="str">
        <f>IF(H16="","",VLOOKUP($B16,'C-1 Site River Baseline'!$C$9:$R$257,8,FALSE))</f>
        <v/>
      </c>
      <c r="J16" s="520" t="str">
        <f>IF(I16="","",VLOOKUP($B16,'C-1 Site River Baseline'!$C$9:$R$257,9,FALSE))</f>
        <v/>
      </c>
      <c r="K16" s="520" t="str">
        <f>IF(J16="","",VLOOKUP($B16,'C-1 Site River Baseline'!$C$9:$R$257,10,FALSE))</f>
        <v/>
      </c>
      <c r="L16" s="520" t="str">
        <f>IF(B16="","",VLOOKUP($B16,'C-1 Site River Baseline'!$C$9:$R$257,15,FALSE))</f>
        <v/>
      </c>
      <c r="M16" s="524" t="str">
        <f>IF(L16="","",VLOOKUP($B16,'C-1 Site River Baseline'!$C$9:$R$257,16,FALSE))</f>
        <v/>
      </c>
      <c r="N16" s="426" t="str">
        <f t="shared" si="6"/>
        <v/>
      </c>
      <c r="O16" s="498" t="str">
        <f t="shared" si="1"/>
        <v/>
      </c>
      <c r="P16" s="499" t="str">
        <f>IF(C16="","",IF(AND(LEFT(C16,55)&lt;&gt;LEFT(N16,55),O16="High - High"),"Error - Not like for like ▲",IF(AND(F16=S16,H16&gt;U16),"Error - Can not reduce condition ▲",IF(AND(F16=S16,H16=U16,AJ16='C-1 Site River Baseline'!N14,'C-1 Site River Baseline'!P14=AL16),"Error - No enhancement ▲",IF(AND(C16&lt;&gt;N16,F16&lt;S16),"Lower Distinctiveness Habitat"&amp;" - "&amp;T16,G16&amp;" - "&amp;T16)))))</f>
        <v/>
      </c>
      <c r="Q16" s="567" t="str">
        <f>IF(N16="","",VLOOKUP(B16,'C-1 Site River Baseline'!$C$10:$AA$257,19,FALSE))</f>
        <v/>
      </c>
      <c r="R16" s="498" t="str">
        <f>IF(N16="","",VLOOKUP(N16,'G-7 Rivers Data'!$B$2:$G$8,2,FALSE))</f>
        <v/>
      </c>
      <c r="S16" s="499" t="str">
        <f>IFERROR(VLOOKUP(R16,'G-7 Rivers Data'!$C$4:$D$8,2,FALSE),"")</f>
        <v/>
      </c>
      <c r="T16" s="145"/>
      <c r="U16" s="499" t="str">
        <f>IFERROR(INDEX('G-7 Rivers Data'!$H$4:$L$8,MATCH(N16,'G-7 Rivers Data'!$B$4:$B$8,0),MATCH(T16,'G-7 Rivers Data'!$H$3:$L$3,0)),"")</f>
        <v/>
      </c>
      <c r="V16" s="154"/>
      <c r="W16" s="507" t="str">
        <f>IF(V16="","",IF(VLOOKUP(V16,'G-7 Rivers Data'!$AG$4:$AI$9,2,FALSE)=0,"Spatial Data Missing ⚠",VLOOKUP(V16,'G-7 Rivers Data'!$AG$4:$AI$9,2,FALSE)))</f>
        <v/>
      </c>
      <c r="X16" s="499" t="str">
        <f>IF(V16="","",IF(VLOOKUP(V16,'G-7 Rivers Data'!$AG$4:$AI$9,3,FALSE)=0,"Spatial Data Missing ⚠",VLOOKUP(V16,'G-7 Rivers Data'!$AG$4:$AI$9,3,FALSE)))</f>
        <v/>
      </c>
      <c r="Y16" s="498" t="str">
        <f>IFERROR(IF(OR(LEFT(P16,5)="Error ▲",LEFT(O16,5)="Error ▲"),"Check Data ⚠",IF(F16&lt;S16,'G-7 Rivers Data'!$R$3,INDEX('G-7 Rivers Data'!$U$5:$Y$9,MATCH(G16,'G-7 Rivers Data'!$T$5:$T$9,0),MATCH(T16,'G-7 Rivers Data'!$U$4:$Y$4,0)))),"")</f>
        <v/>
      </c>
      <c r="Z16" s="195"/>
      <c r="AA16" s="195"/>
      <c r="AB16" s="507" t="str">
        <f t="shared" si="2"/>
        <v/>
      </c>
      <c r="AC16" s="521" t="str">
        <f t="shared" si="3"/>
        <v/>
      </c>
      <c r="AD16" s="564" t="str">
        <f>IFERROR(IF(AC16="Check Data ⚠","Check Data ⚠",VLOOKUP(AC16,'G-4 Temporal multipliers'!$A$4:$C$37,3,FALSE)),"")</f>
        <v/>
      </c>
      <c r="AE16" s="498" t="str">
        <f>IF(N16="","",VLOOKUP(N16,'G-7 Rivers Data'!$B$4:$G$8,5,FALSE))</f>
        <v/>
      </c>
      <c r="AF16" s="507" t="str">
        <f t="shared" si="4"/>
        <v/>
      </c>
      <c r="AG16" s="540" t="str">
        <f t="shared" si="5"/>
        <v/>
      </c>
      <c r="AH16" s="499" t="str">
        <f t="shared" si="0"/>
        <v/>
      </c>
      <c r="AI16" s="145"/>
      <c r="AJ16" s="499" t="str">
        <f>IF(AI16="","",IF(VLOOKUP(AI16,'G-7 Rivers Data'!$AA$4:$AB$7,2,FALSE)=0,"Spatial Data Missing ⚠",VLOOKUP(AI16,'G-7 Rivers Data'!$AA$4:$AB$7,2,FALSE)))</f>
        <v/>
      </c>
      <c r="AK16" s="155"/>
      <c r="AL16" s="499" t="str">
        <f>IF(AK16="","",IF(VLOOKUP(AK16,'G-7 Rivers Data'!$AD$4:$AE$8,2,FALSE)=0,"Spatial Data Missing ⚠",VLOOKUP(AK16,'G-7 Rivers Data'!$AD$4:$AE$8,2,FALSE)))</f>
        <v/>
      </c>
      <c r="AM16" s="545" t="str">
        <f t="shared" si="7"/>
        <v/>
      </c>
      <c r="AN16" s="149"/>
      <c r="AO16" s="150"/>
      <c r="AV16" s="31" t="str">
        <f>IFERROR(INDEX('G-7 Rivers Data'!$AZ$3:$AZ$7,MATCH(N16,'G-7 Rivers Data'!$AY$3:$AY$7,0)),"")</f>
        <v/>
      </c>
    </row>
    <row r="17" spans="2:48" ht="14" x14ac:dyDescent="0.3">
      <c r="B17" s="531" t="str">
        <f>'C-1 Site River Baseline'!AN15</f>
        <v/>
      </c>
      <c r="C17" s="520" t="str">
        <f>IF(B17="","",VLOOKUP($B17,'C-1 Site River Baseline'!$C$9:$R$257,2,FALSE))</f>
        <v/>
      </c>
      <c r="D17" s="520" t="str">
        <f>IF(C17="","",VLOOKUP($B17,'C-1 Site River Baseline'!$C$9:$R$257,3,FALSE))</f>
        <v/>
      </c>
      <c r="E17" s="520" t="str">
        <f>IF(D17="","",VLOOKUP($B17,'C-1 Site River Baseline'!$C$9:$R$257,4,FALSE))</f>
        <v/>
      </c>
      <c r="F17" s="520" t="str">
        <f>IF(E17="","",VLOOKUP($B17,'C-1 Site River Baseline'!$C$9:$R$257,5,FALSE))</f>
        <v/>
      </c>
      <c r="G17" s="520" t="str">
        <f>IF(F17="","",VLOOKUP($B17,'C-1 Site River Baseline'!$C$9:$R$257,6,FALSE))</f>
        <v/>
      </c>
      <c r="H17" s="520" t="str">
        <f>IF(G17="","",VLOOKUP($B17,'C-1 Site River Baseline'!$C$9:$R$257,7,FALSE))</f>
        <v/>
      </c>
      <c r="I17" s="520" t="str">
        <f>IF(H17="","",VLOOKUP($B17,'C-1 Site River Baseline'!$C$9:$R$257,8,FALSE))</f>
        <v/>
      </c>
      <c r="J17" s="520" t="str">
        <f>IF(I17="","",VLOOKUP($B17,'C-1 Site River Baseline'!$C$9:$R$257,9,FALSE))</f>
        <v/>
      </c>
      <c r="K17" s="520" t="str">
        <f>IF(J17="","",VLOOKUP($B17,'C-1 Site River Baseline'!$C$9:$R$257,10,FALSE))</f>
        <v/>
      </c>
      <c r="L17" s="520" t="str">
        <f>IF(B17="","",VLOOKUP($B17,'C-1 Site River Baseline'!$C$9:$R$257,15,FALSE))</f>
        <v/>
      </c>
      <c r="M17" s="524" t="str">
        <f>IF(L17="","",VLOOKUP($B17,'C-1 Site River Baseline'!$C$9:$R$257,16,FALSE))</f>
        <v/>
      </c>
      <c r="N17" s="426" t="str">
        <f t="shared" si="6"/>
        <v/>
      </c>
      <c r="O17" s="498" t="str">
        <f t="shared" si="1"/>
        <v/>
      </c>
      <c r="P17" s="499" t="str">
        <f>IF(C17="","",IF(AND(LEFT(C17,55)&lt;&gt;LEFT(N17,55),O17="High - High"),"Error - Not like for like ▲",IF(AND(F17=S17,H17&gt;U17),"Error - Can not reduce condition ▲",IF(AND(F17=S17,H17=U17,AJ17='C-1 Site River Baseline'!N15,'C-1 Site River Baseline'!P15=AL17),"Error - No enhancement ▲",IF(AND(C17&lt;&gt;N17,F17&lt;S17),"Lower Distinctiveness Habitat"&amp;" - "&amp;T17,G17&amp;" - "&amp;T17)))))</f>
        <v/>
      </c>
      <c r="Q17" s="567" t="str">
        <f>IF(N17="","",VLOOKUP(B17,'C-1 Site River Baseline'!$C$10:$AA$257,19,FALSE))</f>
        <v/>
      </c>
      <c r="R17" s="498" t="str">
        <f>IF(N17="","",VLOOKUP(N17,'G-7 Rivers Data'!$B$2:$G$8,2,FALSE))</f>
        <v/>
      </c>
      <c r="S17" s="499" t="str">
        <f>IFERROR(VLOOKUP(R17,'G-7 Rivers Data'!$C$4:$D$8,2,FALSE),"")</f>
        <v/>
      </c>
      <c r="T17" s="145"/>
      <c r="U17" s="499" t="str">
        <f>IFERROR(INDEX('G-7 Rivers Data'!$H$4:$L$8,MATCH(N17,'G-7 Rivers Data'!$B$4:$B$8,0),MATCH(T17,'G-7 Rivers Data'!$H$3:$L$3,0)),"")</f>
        <v/>
      </c>
      <c r="V17" s="154"/>
      <c r="W17" s="507" t="str">
        <f>IF(V17="","",IF(VLOOKUP(V17,'G-7 Rivers Data'!$AG$4:$AI$9,2,FALSE)=0,"Spatial Data Missing ⚠",VLOOKUP(V17,'G-7 Rivers Data'!$AG$4:$AI$9,2,FALSE)))</f>
        <v/>
      </c>
      <c r="X17" s="499" t="str">
        <f>IF(V17="","",IF(VLOOKUP(V17,'G-7 Rivers Data'!$AG$4:$AI$9,3,FALSE)=0,"Spatial Data Missing ⚠",VLOOKUP(V17,'G-7 Rivers Data'!$AG$4:$AI$9,3,FALSE)))</f>
        <v/>
      </c>
      <c r="Y17" s="498" t="str">
        <f>IFERROR(IF(OR(LEFT(P17,5)="Error ▲",LEFT(O17,5)="Error ▲"),"Check Data ⚠",IF(F17&lt;S17,'G-7 Rivers Data'!$R$3,INDEX('G-7 Rivers Data'!$U$5:$Y$9,MATCH(G17,'G-7 Rivers Data'!$T$5:$T$9,0),MATCH(T17,'G-7 Rivers Data'!$U$4:$Y$4,0)))),"")</f>
        <v/>
      </c>
      <c r="Z17" s="195"/>
      <c r="AA17" s="195"/>
      <c r="AB17" s="507" t="str">
        <f t="shared" si="2"/>
        <v/>
      </c>
      <c r="AC17" s="521" t="str">
        <f t="shared" si="3"/>
        <v/>
      </c>
      <c r="AD17" s="564" t="str">
        <f>IFERROR(IF(AC17="Check Data ⚠","Check Data ⚠",VLOOKUP(AC17,'G-4 Temporal multipliers'!$A$4:$C$37,3,FALSE)),"")</f>
        <v/>
      </c>
      <c r="AE17" s="498" t="str">
        <f>IF(N17="","",VLOOKUP(N17,'G-7 Rivers Data'!$B$4:$G$8,5,FALSE))</f>
        <v/>
      </c>
      <c r="AF17" s="507" t="str">
        <f t="shared" si="4"/>
        <v/>
      </c>
      <c r="AG17" s="540" t="str">
        <f t="shared" si="5"/>
        <v/>
      </c>
      <c r="AH17" s="499" t="str">
        <f t="shared" si="0"/>
        <v/>
      </c>
      <c r="AI17" s="145"/>
      <c r="AJ17" s="499" t="str">
        <f>IF(AI17="","",IF(VLOOKUP(AI17,'G-7 Rivers Data'!$AA$4:$AB$7,2,FALSE)=0,"Spatial Data Missing ⚠",VLOOKUP(AI17,'G-7 Rivers Data'!$AA$4:$AB$7,2,FALSE)))</f>
        <v/>
      </c>
      <c r="AK17" s="155"/>
      <c r="AL17" s="499" t="str">
        <f>IF(AK17="","",IF(VLOOKUP(AK17,'G-7 Rivers Data'!$AD$4:$AE$8,2,FALSE)=0,"Spatial Data Missing ⚠",VLOOKUP(AK17,'G-7 Rivers Data'!$AD$4:$AE$8,2,FALSE)))</f>
        <v/>
      </c>
      <c r="AM17" s="545" t="str">
        <f t="shared" si="7"/>
        <v/>
      </c>
      <c r="AN17" s="149"/>
      <c r="AO17" s="150"/>
      <c r="AV17" s="31" t="str">
        <f>IFERROR(INDEX('G-7 Rivers Data'!$AZ$3:$AZ$7,MATCH(N17,'G-7 Rivers Data'!$AY$3:$AY$7,0)),"")</f>
        <v/>
      </c>
    </row>
    <row r="18" spans="2:48" ht="14" x14ac:dyDescent="0.3">
      <c r="B18" s="531" t="str">
        <f>'C-1 Site River Baseline'!AN16</f>
        <v/>
      </c>
      <c r="C18" s="520" t="str">
        <f>IF(B18="","",VLOOKUP($B18,'C-1 Site River Baseline'!$C$9:$R$257,2,FALSE))</f>
        <v/>
      </c>
      <c r="D18" s="520" t="str">
        <f>IF(C18="","",VLOOKUP($B18,'C-1 Site River Baseline'!$C$9:$R$257,3,FALSE))</f>
        <v/>
      </c>
      <c r="E18" s="520" t="str">
        <f>IF(D18="","",VLOOKUP($B18,'C-1 Site River Baseline'!$C$9:$R$257,4,FALSE))</f>
        <v/>
      </c>
      <c r="F18" s="520" t="str">
        <f>IF(E18="","",VLOOKUP($B18,'C-1 Site River Baseline'!$C$9:$R$257,5,FALSE))</f>
        <v/>
      </c>
      <c r="G18" s="520" t="str">
        <f>IF(F18="","",VLOOKUP($B18,'C-1 Site River Baseline'!$C$9:$R$257,6,FALSE))</f>
        <v/>
      </c>
      <c r="H18" s="520" t="str">
        <f>IF(G18="","",VLOOKUP($B18,'C-1 Site River Baseline'!$C$9:$R$257,7,FALSE))</f>
        <v/>
      </c>
      <c r="I18" s="520" t="str">
        <f>IF(H18="","",VLOOKUP($B18,'C-1 Site River Baseline'!$C$9:$R$257,8,FALSE))</f>
        <v/>
      </c>
      <c r="J18" s="520" t="str">
        <f>IF(I18="","",VLOOKUP($B18,'C-1 Site River Baseline'!$C$9:$R$257,9,FALSE))</f>
        <v/>
      </c>
      <c r="K18" s="520" t="str">
        <f>IF(J18="","",VLOOKUP($B18,'C-1 Site River Baseline'!$C$9:$R$257,10,FALSE))</f>
        <v/>
      </c>
      <c r="L18" s="520" t="str">
        <f>IF(B18="","",VLOOKUP($B18,'C-1 Site River Baseline'!$C$9:$R$257,15,FALSE))</f>
        <v/>
      </c>
      <c r="M18" s="524" t="str">
        <f>IF(L18="","",VLOOKUP($B18,'C-1 Site River Baseline'!$C$9:$R$257,16,FALSE))</f>
        <v/>
      </c>
      <c r="N18" s="426" t="str">
        <f t="shared" si="6"/>
        <v/>
      </c>
      <c r="O18" s="498" t="str">
        <f t="shared" si="1"/>
        <v/>
      </c>
      <c r="P18" s="499" t="str">
        <f>IF(C18="","",IF(AND(LEFT(C18,55)&lt;&gt;LEFT(N18,55),O18="High - High"),"Error - Not like for like ▲",IF(AND(F18=S18,H18&gt;U18),"Error - Can not reduce condition ▲",IF(AND(F18=S18,H18=U18,AJ18='C-1 Site River Baseline'!N16,'C-1 Site River Baseline'!P16=AL18),"Error - No enhancement ▲",IF(AND(C18&lt;&gt;N18,F18&lt;S18),"Lower Distinctiveness Habitat"&amp;" - "&amp;T18,G18&amp;" - "&amp;T18)))))</f>
        <v/>
      </c>
      <c r="Q18" s="567" t="str">
        <f>IF(N18="","",VLOOKUP(B18,'C-1 Site River Baseline'!$C$10:$AA$257,19,FALSE))</f>
        <v/>
      </c>
      <c r="R18" s="498" t="str">
        <f>IF(N18="","",VLOOKUP(N18,'G-7 Rivers Data'!$B$2:$G$8,2,FALSE))</f>
        <v/>
      </c>
      <c r="S18" s="499" t="str">
        <f>IFERROR(VLOOKUP(R18,'G-7 Rivers Data'!$C$4:$D$8,2,FALSE),"")</f>
        <v/>
      </c>
      <c r="T18" s="145"/>
      <c r="U18" s="499" t="str">
        <f>IFERROR(INDEX('G-7 Rivers Data'!$H$4:$L$8,MATCH(N18,'G-7 Rivers Data'!$B$4:$B$8,0),MATCH(T18,'G-7 Rivers Data'!$H$3:$L$3,0)),"")</f>
        <v/>
      </c>
      <c r="V18" s="154"/>
      <c r="W18" s="507" t="str">
        <f>IF(V18="","",IF(VLOOKUP(V18,'G-7 Rivers Data'!$AG$4:$AI$9,2,FALSE)=0,"Spatial Data Missing ⚠",VLOOKUP(V18,'G-7 Rivers Data'!$AG$4:$AI$9,2,FALSE)))</f>
        <v/>
      </c>
      <c r="X18" s="499" t="str">
        <f>IF(V18="","",IF(VLOOKUP(V18,'G-7 Rivers Data'!$AG$4:$AI$9,3,FALSE)=0,"Spatial Data Missing ⚠",VLOOKUP(V18,'G-7 Rivers Data'!$AG$4:$AI$9,3,FALSE)))</f>
        <v/>
      </c>
      <c r="Y18" s="498" t="str">
        <f>IFERROR(IF(OR(LEFT(P18,5)="Error ▲",LEFT(O18,5)="Error ▲"),"Check Data ⚠",IF(F18&lt;S18,'G-7 Rivers Data'!$R$3,INDEX('G-7 Rivers Data'!$U$5:$Y$9,MATCH(G18,'G-7 Rivers Data'!$T$5:$T$9,0),MATCH(T18,'G-7 Rivers Data'!$U$4:$Y$4,0)))),"")</f>
        <v/>
      </c>
      <c r="Z18" s="195"/>
      <c r="AA18" s="195"/>
      <c r="AB18" s="507" t="str">
        <f t="shared" si="2"/>
        <v/>
      </c>
      <c r="AC18" s="521" t="str">
        <f t="shared" si="3"/>
        <v/>
      </c>
      <c r="AD18" s="564" t="str">
        <f>IFERROR(IF(AC18="Check Data ⚠","Check Data ⚠",VLOOKUP(AC18,'G-4 Temporal multipliers'!$A$4:$C$37,3,FALSE)),"")</f>
        <v/>
      </c>
      <c r="AE18" s="498" t="str">
        <f>IF(N18="","",VLOOKUP(N18,'G-7 Rivers Data'!$B$4:$G$8,5,FALSE))</f>
        <v/>
      </c>
      <c r="AF18" s="507" t="str">
        <f t="shared" si="4"/>
        <v/>
      </c>
      <c r="AG18" s="540" t="str">
        <f t="shared" si="5"/>
        <v/>
      </c>
      <c r="AH18" s="499" t="str">
        <f t="shared" si="0"/>
        <v/>
      </c>
      <c r="AI18" s="145"/>
      <c r="AJ18" s="499" t="str">
        <f>IF(AI18="","",IF(VLOOKUP(AI18,'G-7 Rivers Data'!$AA$4:$AB$7,2,FALSE)=0,"Spatial Data Missing ⚠",VLOOKUP(AI18,'G-7 Rivers Data'!$AA$4:$AB$7,2,FALSE)))</f>
        <v/>
      </c>
      <c r="AK18" s="155"/>
      <c r="AL18" s="499" t="str">
        <f>IF(AK18="","",IF(VLOOKUP(AK18,'G-7 Rivers Data'!$AD$4:$AE$8,2,FALSE)=0,"Spatial Data Missing ⚠",VLOOKUP(AK18,'G-7 Rivers Data'!$AD$4:$AE$8,2,FALSE)))</f>
        <v/>
      </c>
      <c r="AM18" s="545" t="str">
        <f t="shared" si="7"/>
        <v/>
      </c>
      <c r="AN18" s="149"/>
      <c r="AO18" s="150"/>
      <c r="AV18" s="31" t="str">
        <f>IFERROR(INDEX('G-7 Rivers Data'!$AZ$3:$AZ$7,MATCH(N18,'G-7 Rivers Data'!$AY$3:$AY$7,0)),"")</f>
        <v/>
      </c>
    </row>
    <row r="19" spans="2:48" ht="14" x14ac:dyDescent="0.3">
      <c r="B19" s="531" t="str">
        <f>'C-1 Site River Baseline'!AN17</f>
        <v/>
      </c>
      <c r="C19" s="520" t="str">
        <f>IF(B19="","",VLOOKUP($B19,'C-1 Site River Baseline'!$C$9:$R$257,2,FALSE))</f>
        <v/>
      </c>
      <c r="D19" s="520" t="str">
        <f>IF(C19="","",VLOOKUP($B19,'C-1 Site River Baseline'!$C$9:$R$257,3,FALSE))</f>
        <v/>
      </c>
      <c r="E19" s="520" t="str">
        <f>IF(D19="","",VLOOKUP($B19,'C-1 Site River Baseline'!$C$9:$R$257,4,FALSE))</f>
        <v/>
      </c>
      <c r="F19" s="520" t="str">
        <f>IF(E19="","",VLOOKUP($B19,'C-1 Site River Baseline'!$C$9:$R$257,5,FALSE))</f>
        <v/>
      </c>
      <c r="G19" s="520" t="str">
        <f>IF(F19="","",VLOOKUP($B19,'C-1 Site River Baseline'!$C$9:$R$257,6,FALSE))</f>
        <v/>
      </c>
      <c r="H19" s="520" t="str">
        <f>IF(G19="","",VLOOKUP($B19,'C-1 Site River Baseline'!$C$9:$R$257,7,FALSE))</f>
        <v/>
      </c>
      <c r="I19" s="520" t="str">
        <f>IF(H19="","",VLOOKUP($B19,'C-1 Site River Baseline'!$C$9:$R$257,8,FALSE))</f>
        <v/>
      </c>
      <c r="J19" s="520" t="str">
        <f>IF(I19="","",VLOOKUP($B19,'C-1 Site River Baseline'!$C$9:$R$257,9,FALSE))</f>
        <v/>
      </c>
      <c r="K19" s="520" t="str">
        <f>IF(J19="","",VLOOKUP($B19,'C-1 Site River Baseline'!$C$9:$R$257,10,FALSE))</f>
        <v/>
      </c>
      <c r="L19" s="520" t="str">
        <f>IF(B19="","",VLOOKUP($B19,'C-1 Site River Baseline'!$C$9:$R$257,15,FALSE))</f>
        <v/>
      </c>
      <c r="M19" s="524" t="str">
        <f>IF(L19="","",VLOOKUP($B19,'C-1 Site River Baseline'!$C$9:$R$257,16,FALSE))</f>
        <v/>
      </c>
      <c r="N19" s="426" t="str">
        <f t="shared" si="6"/>
        <v/>
      </c>
      <c r="O19" s="498" t="str">
        <f t="shared" si="1"/>
        <v/>
      </c>
      <c r="P19" s="499" t="str">
        <f>IF(C19="","",IF(AND(LEFT(C19,55)&lt;&gt;LEFT(N19,55),O19="High - High"),"Error - Not like for like ▲",IF(AND(F19=S19,H19&gt;U19),"Error - Can not reduce condition ▲",IF(AND(F19=S19,H19=U19,AJ19='C-1 Site River Baseline'!N17,'C-1 Site River Baseline'!P17=AL19),"Error - No enhancement ▲",IF(AND(C19&lt;&gt;N19,F19&lt;S19),"Lower Distinctiveness Habitat"&amp;" - "&amp;T19,G19&amp;" - "&amp;T19)))))</f>
        <v/>
      </c>
      <c r="Q19" s="567" t="str">
        <f>IF(N19="","",VLOOKUP(B19,'C-1 Site River Baseline'!$C$10:$AA$257,19,FALSE))</f>
        <v/>
      </c>
      <c r="R19" s="498" t="str">
        <f>IF(N19="","",VLOOKUP(N19,'G-7 Rivers Data'!$B$2:$G$8,2,FALSE))</f>
        <v/>
      </c>
      <c r="S19" s="499" t="str">
        <f>IFERROR(VLOOKUP(R19,'G-7 Rivers Data'!$C$4:$D$8,2,FALSE),"")</f>
        <v/>
      </c>
      <c r="T19" s="145"/>
      <c r="U19" s="499" t="str">
        <f>IFERROR(INDEX('G-7 Rivers Data'!$H$4:$L$8,MATCH(N19,'G-7 Rivers Data'!$B$4:$B$8,0),MATCH(T19,'G-7 Rivers Data'!$H$3:$L$3,0)),"")</f>
        <v/>
      </c>
      <c r="V19" s="154"/>
      <c r="W19" s="507" t="str">
        <f>IF(V19="","",IF(VLOOKUP(V19,'G-7 Rivers Data'!$AG$4:$AI$9,2,FALSE)=0,"Spatial Data Missing ⚠",VLOOKUP(V19,'G-7 Rivers Data'!$AG$4:$AI$9,2,FALSE)))</f>
        <v/>
      </c>
      <c r="X19" s="499" t="str">
        <f>IF(V19="","",IF(VLOOKUP(V19,'G-7 Rivers Data'!$AG$4:$AI$9,3,FALSE)=0,"Spatial Data Missing ⚠",VLOOKUP(V19,'G-7 Rivers Data'!$AG$4:$AI$9,3,FALSE)))</f>
        <v/>
      </c>
      <c r="Y19" s="498" t="str">
        <f>IFERROR(IF(OR(LEFT(P19,5)="Error ▲",LEFT(O19,5)="Error ▲"),"Check Data ⚠",IF(F19&lt;S19,'G-7 Rivers Data'!$R$3,INDEX('G-7 Rivers Data'!$U$5:$Y$9,MATCH(G19,'G-7 Rivers Data'!$T$5:$T$9,0),MATCH(T19,'G-7 Rivers Data'!$U$4:$Y$4,0)))),"")</f>
        <v/>
      </c>
      <c r="Z19" s="195"/>
      <c r="AA19" s="195"/>
      <c r="AB19" s="507" t="str">
        <f t="shared" si="2"/>
        <v/>
      </c>
      <c r="AC19" s="521" t="str">
        <f t="shared" si="3"/>
        <v/>
      </c>
      <c r="AD19" s="564" t="str">
        <f>IFERROR(IF(AC19="Check Data ⚠","Check Data ⚠",VLOOKUP(AC19,'G-4 Temporal multipliers'!$A$4:$C$37,3,FALSE)),"")</f>
        <v/>
      </c>
      <c r="AE19" s="498" t="str">
        <f>IF(N19="","",VLOOKUP(N19,'G-7 Rivers Data'!$B$4:$G$8,5,FALSE))</f>
        <v/>
      </c>
      <c r="AF19" s="507" t="str">
        <f t="shared" si="4"/>
        <v/>
      </c>
      <c r="AG19" s="540" t="str">
        <f t="shared" si="5"/>
        <v/>
      </c>
      <c r="AH19" s="499" t="str">
        <f t="shared" si="0"/>
        <v/>
      </c>
      <c r="AI19" s="145"/>
      <c r="AJ19" s="499" t="str">
        <f>IF(AI19="","",IF(VLOOKUP(AI19,'G-7 Rivers Data'!$AA$4:$AB$7,2,FALSE)=0,"Spatial Data Missing ⚠",VLOOKUP(AI19,'G-7 Rivers Data'!$AA$4:$AB$7,2,FALSE)))</f>
        <v/>
      </c>
      <c r="AK19" s="155"/>
      <c r="AL19" s="499" t="str">
        <f>IF(AK19="","",IF(VLOOKUP(AK19,'G-7 Rivers Data'!$AD$4:$AE$8,2,FALSE)=0,"Spatial Data Missing ⚠",VLOOKUP(AK19,'G-7 Rivers Data'!$AD$4:$AE$8,2,FALSE)))</f>
        <v/>
      </c>
      <c r="AM19" s="545" t="str">
        <f t="shared" si="7"/>
        <v/>
      </c>
      <c r="AN19" s="149"/>
      <c r="AO19" s="150"/>
      <c r="AV19" s="31" t="str">
        <f>IFERROR(INDEX('G-7 Rivers Data'!$AZ$3:$AZ$7,MATCH(N19,'G-7 Rivers Data'!$AY$3:$AY$7,0)),"")</f>
        <v/>
      </c>
    </row>
    <row r="20" spans="2:48" ht="14" x14ac:dyDescent="0.3">
      <c r="B20" s="531" t="str">
        <f>'C-1 Site River Baseline'!AN18</f>
        <v/>
      </c>
      <c r="C20" s="520" t="str">
        <f>IF(B20="","",VLOOKUP($B20,'C-1 Site River Baseline'!$C$9:$R$257,2,FALSE))</f>
        <v/>
      </c>
      <c r="D20" s="520" t="str">
        <f>IF(C20="","",VLOOKUP($B20,'C-1 Site River Baseline'!$C$9:$R$257,3,FALSE))</f>
        <v/>
      </c>
      <c r="E20" s="520" t="str">
        <f>IF(D20="","",VLOOKUP($B20,'C-1 Site River Baseline'!$C$9:$R$257,4,FALSE))</f>
        <v/>
      </c>
      <c r="F20" s="520" t="str">
        <f>IF(E20="","",VLOOKUP($B20,'C-1 Site River Baseline'!$C$9:$R$257,5,FALSE))</f>
        <v/>
      </c>
      <c r="G20" s="520" t="str">
        <f>IF(F20="","",VLOOKUP($B20,'C-1 Site River Baseline'!$C$9:$R$257,6,FALSE))</f>
        <v/>
      </c>
      <c r="H20" s="520" t="str">
        <f>IF(G20="","",VLOOKUP($B20,'C-1 Site River Baseline'!$C$9:$R$257,7,FALSE))</f>
        <v/>
      </c>
      <c r="I20" s="520" t="str">
        <f>IF(H20="","",VLOOKUP($B20,'C-1 Site River Baseline'!$C$9:$R$257,8,FALSE))</f>
        <v/>
      </c>
      <c r="J20" s="520" t="str">
        <f>IF(I20="","",VLOOKUP($B20,'C-1 Site River Baseline'!$C$9:$R$257,9,FALSE))</f>
        <v/>
      </c>
      <c r="K20" s="520" t="str">
        <f>IF(J20="","",VLOOKUP($B20,'C-1 Site River Baseline'!$C$9:$R$257,10,FALSE))</f>
        <v/>
      </c>
      <c r="L20" s="520" t="str">
        <f>IF(B20="","",VLOOKUP($B20,'C-1 Site River Baseline'!$C$9:$R$257,15,FALSE))</f>
        <v/>
      </c>
      <c r="M20" s="524" t="str">
        <f>IF(L20="","",VLOOKUP($B20,'C-1 Site River Baseline'!$C$9:$R$257,16,FALSE))</f>
        <v/>
      </c>
      <c r="N20" s="426" t="str">
        <f t="shared" si="6"/>
        <v/>
      </c>
      <c r="O20" s="498" t="str">
        <f t="shared" si="1"/>
        <v/>
      </c>
      <c r="P20" s="499" t="str">
        <f>IF(C20="","",IF(AND(LEFT(C20,55)&lt;&gt;LEFT(N20,55),O20="High - High"),"Error - Not like for like ▲",IF(AND(F20=S20,H20&gt;U20),"Error - Can not reduce condition ▲",IF(AND(F20=S20,H20=U20,AJ20='C-1 Site River Baseline'!N18,'C-1 Site River Baseline'!P18=AL20),"Error - No enhancement ▲",IF(AND(C20&lt;&gt;N20,F20&lt;S20),"Lower Distinctiveness Habitat"&amp;" - "&amp;T20,G20&amp;" - "&amp;T20)))))</f>
        <v/>
      </c>
      <c r="Q20" s="567" t="str">
        <f>IF(N20="","",VLOOKUP(B20,'C-1 Site River Baseline'!$C$10:$AA$257,19,FALSE))</f>
        <v/>
      </c>
      <c r="R20" s="498" t="str">
        <f>IF(N20="","",VLOOKUP(N20,'G-7 Rivers Data'!$B$2:$G$8,2,FALSE))</f>
        <v/>
      </c>
      <c r="S20" s="499" t="str">
        <f>IFERROR(VLOOKUP(R20,'G-7 Rivers Data'!$C$4:$D$8,2,FALSE),"")</f>
        <v/>
      </c>
      <c r="T20" s="145"/>
      <c r="U20" s="499" t="str">
        <f>IFERROR(INDEX('G-7 Rivers Data'!$H$4:$L$8,MATCH(N20,'G-7 Rivers Data'!$B$4:$B$8,0),MATCH(T20,'G-7 Rivers Data'!$H$3:$L$3,0)),"")</f>
        <v/>
      </c>
      <c r="V20" s="154"/>
      <c r="W20" s="507" t="str">
        <f>IF(V20="","",IF(VLOOKUP(V20,'G-7 Rivers Data'!$AG$4:$AI$9,2,FALSE)=0,"Spatial Data Missing ⚠",VLOOKUP(V20,'G-7 Rivers Data'!$AG$4:$AI$9,2,FALSE)))</f>
        <v/>
      </c>
      <c r="X20" s="499" t="str">
        <f>IF(V20="","",IF(VLOOKUP(V20,'G-7 Rivers Data'!$AG$4:$AI$9,3,FALSE)=0,"Spatial Data Missing ⚠",VLOOKUP(V20,'G-7 Rivers Data'!$AG$4:$AI$9,3,FALSE)))</f>
        <v/>
      </c>
      <c r="Y20" s="498" t="str">
        <f>IFERROR(IF(OR(LEFT(P20,5)="Error ▲",LEFT(O20,5)="Error ▲"),"Check Data ⚠",IF(F20&lt;S20,'G-7 Rivers Data'!$R$3,INDEX('G-7 Rivers Data'!$U$5:$Y$9,MATCH(G20,'G-7 Rivers Data'!$T$5:$T$9,0),MATCH(T20,'G-7 Rivers Data'!$U$4:$Y$4,0)))),"")</f>
        <v/>
      </c>
      <c r="Z20" s="195"/>
      <c r="AA20" s="195"/>
      <c r="AB20" s="507" t="str">
        <f t="shared" si="2"/>
        <v/>
      </c>
      <c r="AC20" s="521" t="str">
        <f t="shared" si="3"/>
        <v/>
      </c>
      <c r="AD20" s="564" t="str">
        <f>IFERROR(IF(AC20="Check Data ⚠","Check Data ⚠",VLOOKUP(AC20,'G-4 Temporal multipliers'!$A$4:$C$37,3,FALSE)),"")</f>
        <v/>
      </c>
      <c r="AE20" s="498" t="str">
        <f>IF(N20="","",VLOOKUP(N20,'G-7 Rivers Data'!$B$4:$G$8,5,FALSE))</f>
        <v/>
      </c>
      <c r="AF20" s="507" t="str">
        <f t="shared" si="4"/>
        <v/>
      </c>
      <c r="AG20" s="540" t="str">
        <f t="shared" si="5"/>
        <v/>
      </c>
      <c r="AH20" s="499" t="str">
        <f t="shared" si="0"/>
        <v/>
      </c>
      <c r="AI20" s="145"/>
      <c r="AJ20" s="499" t="str">
        <f>IF(AI20="","",IF(VLOOKUP(AI20,'G-7 Rivers Data'!$AA$4:$AB$7,2,FALSE)=0,"Spatial Data Missing ⚠",VLOOKUP(AI20,'G-7 Rivers Data'!$AA$4:$AB$7,2,FALSE)))</f>
        <v/>
      </c>
      <c r="AK20" s="155"/>
      <c r="AL20" s="499" t="str">
        <f>IF(AK20="","",IF(VLOOKUP(AK20,'G-7 Rivers Data'!$AD$4:$AE$8,2,FALSE)=0,"Spatial Data Missing ⚠",VLOOKUP(AK20,'G-7 Rivers Data'!$AD$4:$AE$8,2,FALSE)))</f>
        <v/>
      </c>
      <c r="AM20" s="545" t="str">
        <f t="shared" si="7"/>
        <v/>
      </c>
      <c r="AN20" s="149"/>
      <c r="AO20" s="150"/>
      <c r="AV20" s="31" t="str">
        <f>IFERROR(INDEX('G-7 Rivers Data'!$AZ$3:$AZ$7,MATCH(N20,'G-7 Rivers Data'!$AY$3:$AY$7,0)),"")</f>
        <v/>
      </c>
    </row>
    <row r="21" spans="2:48" ht="14" x14ac:dyDescent="0.3">
      <c r="B21" s="531" t="str">
        <f>'C-1 Site River Baseline'!AN19</f>
        <v/>
      </c>
      <c r="C21" s="520" t="str">
        <f>IF(B21="","",VLOOKUP($B21,'C-1 Site River Baseline'!$C$9:$R$257,2,FALSE))</f>
        <v/>
      </c>
      <c r="D21" s="520" t="str">
        <f>IF(C21="","",VLOOKUP($B21,'C-1 Site River Baseline'!$C$9:$R$257,3,FALSE))</f>
        <v/>
      </c>
      <c r="E21" s="520" t="str">
        <f>IF(D21="","",VLOOKUP($B21,'C-1 Site River Baseline'!$C$9:$R$257,4,FALSE))</f>
        <v/>
      </c>
      <c r="F21" s="520" t="str">
        <f>IF(E21="","",VLOOKUP($B21,'C-1 Site River Baseline'!$C$9:$R$257,5,FALSE))</f>
        <v/>
      </c>
      <c r="G21" s="520" t="str">
        <f>IF(F21="","",VLOOKUP($B21,'C-1 Site River Baseline'!$C$9:$R$257,6,FALSE))</f>
        <v/>
      </c>
      <c r="H21" s="520" t="str">
        <f>IF(G21="","",VLOOKUP($B21,'C-1 Site River Baseline'!$C$9:$R$257,7,FALSE))</f>
        <v/>
      </c>
      <c r="I21" s="520" t="str">
        <f>IF(H21="","",VLOOKUP($B21,'C-1 Site River Baseline'!$C$9:$R$257,8,FALSE))</f>
        <v/>
      </c>
      <c r="J21" s="520" t="str">
        <f>IF(I21="","",VLOOKUP($B21,'C-1 Site River Baseline'!$C$9:$R$257,9,FALSE))</f>
        <v/>
      </c>
      <c r="K21" s="520" t="str">
        <f>IF(J21="","",VLOOKUP($B21,'C-1 Site River Baseline'!$C$9:$R$257,10,FALSE))</f>
        <v/>
      </c>
      <c r="L21" s="520" t="str">
        <f>IF(B21="","",VLOOKUP($B21,'C-1 Site River Baseline'!$C$9:$R$257,15,FALSE))</f>
        <v/>
      </c>
      <c r="M21" s="524" t="str">
        <f>IF(L21="","",VLOOKUP($B21,'C-1 Site River Baseline'!$C$9:$R$257,16,FALSE))</f>
        <v/>
      </c>
      <c r="N21" s="426" t="str">
        <f t="shared" si="6"/>
        <v/>
      </c>
      <c r="O21" s="498" t="str">
        <f t="shared" si="1"/>
        <v/>
      </c>
      <c r="P21" s="499" t="str">
        <f>IF(C21="","",IF(AND(LEFT(C21,55)&lt;&gt;LEFT(N21,55),O21="High - High"),"Error - Not like for like ▲",IF(AND(F21=S21,H21&gt;U21),"Error - Can not reduce condition ▲",IF(AND(F21=S21,H21=U21,AJ21='C-1 Site River Baseline'!N19,'C-1 Site River Baseline'!P19=AL21),"Error - No enhancement ▲",IF(AND(C21&lt;&gt;N21,F21&lt;S21),"Lower Distinctiveness Habitat"&amp;" - "&amp;T21,G21&amp;" - "&amp;T21)))))</f>
        <v/>
      </c>
      <c r="Q21" s="567" t="str">
        <f>IF(N21="","",VLOOKUP(B21,'C-1 Site River Baseline'!$C$10:$AA$257,19,FALSE))</f>
        <v/>
      </c>
      <c r="R21" s="498" t="str">
        <f>IF(N21="","",VLOOKUP(N21,'G-7 Rivers Data'!$B$2:$G$8,2,FALSE))</f>
        <v/>
      </c>
      <c r="S21" s="499" t="str">
        <f>IFERROR(VLOOKUP(R21,'G-7 Rivers Data'!$C$4:$D$8,2,FALSE),"")</f>
        <v/>
      </c>
      <c r="T21" s="145"/>
      <c r="U21" s="499" t="str">
        <f>IFERROR(INDEX('G-7 Rivers Data'!$H$4:$L$8,MATCH(N21,'G-7 Rivers Data'!$B$4:$B$8,0),MATCH(T21,'G-7 Rivers Data'!$H$3:$L$3,0)),"")</f>
        <v/>
      </c>
      <c r="V21" s="154"/>
      <c r="W21" s="507" t="str">
        <f>IF(V21="","",IF(VLOOKUP(V21,'G-7 Rivers Data'!$AG$4:$AI$9,2,FALSE)=0,"Spatial Data Missing ⚠",VLOOKUP(V21,'G-7 Rivers Data'!$AG$4:$AI$9,2,FALSE)))</f>
        <v/>
      </c>
      <c r="X21" s="499" t="str">
        <f>IF(V21="","",IF(VLOOKUP(V21,'G-7 Rivers Data'!$AG$4:$AI$9,3,FALSE)=0,"Spatial Data Missing ⚠",VLOOKUP(V21,'G-7 Rivers Data'!$AG$4:$AI$9,3,FALSE)))</f>
        <v/>
      </c>
      <c r="Y21" s="498" t="str">
        <f>IFERROR(IF(OR(LEFT(P21,5)="Error ▲",LEFT(O21,5)="Error ▲"),"Check Data ⚠",IF(F21&lt;S21,'G-7 Rivers Data'!$R$3,INDEX('G-7 Rivers Data'!$U$5:$Y$9,MATCH(G21,'G-7 Rivers Data'!$T$5:$T$9,0),MATCH(T21,'G-7 Rivers Data'!$U$4:$Y$4,0)))),"")</f>
        <v/>
      </c>
      <c r="Z21" s="195"/>
      <c r="AA21" s="195"/>
      <c r="AB21" s="507" t="str">
        <f t="shared" si="2"/>
        <v/>
      </c>
      <c r="AC21" s="521" t="str">
        <f t="shared" si="3"/>
        <v/>
      </c>
      <c r="AD21" s="564" t="str">
        <f>IFERROR(IF(AC21="Check Data ⚠","Check Data ⚠",VLOOKUP(AC21,'G-4 Temporal multipliers'!$A$4:$C$37,3,FALSE)),"")</f>
        <v/>
      </c>
      <c r="AE21" s="498" t="str">
        <f>IF(N21="","",VLOOKUP(N21,'G-7 Rivers Data'!$B$4:$G$8,5,FALSE))</f>
        <v/>
      </c>
      <c r="AF21" s="507" t="str">
        <f t="shared" si="4"/>
        <v/>
      </c>
      <c r="AG21" s="540" t="str">
        <f t="shared" si="5"/>
        <v/>
      </c>
      <c r="AH21" s="499" t="str">
        <f t="shared" si="0"/>
        <v/>
      </c>
      <c r="AI21" s="145"/>
      <c r="AJ21" s="499" t="str">
        <f>IF(AI21="","",IF(VLOOKUP(AI21,'G-7 Rivers Data'!$AA$4:$AB$7,2,FALSE)=0,"Spatial Data Missing ⚠",VLOOKUP(AI21,'G-7 Rivers Data'!$AA$4:$AB$7,2,FALSE)))</f>
        <v/>
      </c>
      <c r="AK21" s="155"/>
      <c r="AL21" s="499" t="str">
        <f>IF(AK21="","",IF(VLOOKUP(AK21,'G-7 Rivers Data'!$AD$4:$AE$8,2,FALSE)=0,"Spatial Data Missing ⚠",VLOOKUP(AK21,'G-7 Rivers Data'!$AD$4:$AE$8,2,FALSE)))</f>
        <v/>
      </c>
      <c r="AM21" s="545" t="str">
        <f t="shared" si="7"/>
        <v/>
      </c>
      <c r="AN21" s="149"/>
      <c r="AO21" s="150"/>
      <c r="AV21" s="31" t="str">
        <f>IFERROR(INDEX('G-7 Rivers Data'!$AZ$3:$AZ$7,MATCH(N21,'G-7 Rivers Data'!$AY$3:$AY$7,0)),"")</f>
        <v/>
      </c>
    </row>
    <row r="22" spans="2:48" ht="14" x14ac:dyDescent="0.3">
      <c r="B22" s="531" t="str">
        <f>'C-1 Site River Baseline'!AN20</f>
        <v/>
      </c>
      <c r="C22" s="520" t="str">
        <f>IF(B22="","",VLOOKUP($B22,'C-1 Site River Baseline'!$C$9:$R$257,2,FALSE))</f>
        <v/>
      </c>
      <c r="D22" s="520" t="str">
        <f>IF(C22="","",VLOOKUP($B22,'C-1 Site River Baseline'!$C$9:$R$257,3,FALSE))</f>
        <v/>
      </c>
      <c r="E22" s="520" t="str">
        <f>IF(D22="","",VLOOKUP($B22,'C-1 Site River Baseline'!$C$9:$R$257,4,FALSE))</f>
        <v/>
      </c>
      <c r="F22" s="520" t="str">
        <f>IF(E22="","",VLOOKUP($B22,'C-1 Site River Baseline'!$C$9:$R$257,5,FALSE))</f>
        <v/>
      </c>
      <c r="G22" s="520" t="str">
        <f>IF(F22="","",VLOOKUP($B22,'C-1 Site River Baseline'!$C$9:$R$257,6,FALSE))</f>
        <v/>
      </c>
      <c r="H22" s="520" t="str">
        <f>IF(G22="","",VLOOKUP($B22,'C-1 Site River Baseline'!$C$9:$R$257,7,FALSE))</f>
        <v/>
      </c>
      <c r="I22" s="520" t="str">
        <f>IF(H22="","",VLOOKUP($B22,'C-1 Site River Baseline'!$C$9:$R$257,8,FALSE))</f>
        <v/>
      </c>
      <c r="J22" s="520" t="str">
        <f>IF(I22="","",VLOOKUP($B22,'C-1 Site River Baseline'!$C$9:$R$257,9,FALSE))</f>
        <v/>
      </c>
      <c r="K22" s="520" t="str">
        <f>IF(J22="","",VLOOKUP($B22,'C-1 Site River Baseline'!$C$9:$R$257,10,FALSE))</f>
        <v/>
      </c>
      <c r="L22" s="520" t="str">
        <f>IF(B22="","",VLOOKUP($B22,'C-1 Site River Baseline'!$C$9:$R$257,15,FALSE))</f>
        <v/>
      </c>
      <c r="M22" s="524" t="str">
        <f>IF(L22="","",VLOOKUP($B22,'C-1 Site River Baseline'!$C$9:$R$257,16,FALSE))</f>
        <v/>
      </c>
      <c r="N22" s="426" t="str">
        <f t="shared" si="6"/>
        <v/>
      </c>
      <c r="O22" s="498" t="str">
        <f t="shared" si="1"/>
        <v/>
      </c>
      <c r="P22" s="499" t="str">
        <f>IF(C22="","",IF(AND(LEFT(C22,55)&lt;&gt;LEFT(N22,55),O22="High - High"),"Error - Not like for like ▲",IF(AND(F22=S22,H22&gt;U22),"Error - Can not reduce condition ▲",IF(AND(F22=S22,H22=U22,AJ22='C-1 Site River Baseline'!N20,'C-1 Site River Baseline'!P20=AL22),"Error - No enhancement ▲",IF(AND(C22&lt;&gt;N22,F22&lt;S22),"Lower Distinctiveness Habitat"&amp;" - "&amp;T22,G22&amp;" - "&amp;T22)))))</f>
        <v/>
      </c>
      <c r="Q22" s="567" t="str">
        <f>IF(N22="","",VLOOKUP(B22,'C-1 Site River Baseline'!$C$10:$AA$257,19,FALSE))</f>
        <v/>
      </c>
      <c r="R22" s="498" t="str">
        <f>IF(N22="","",VLOOKUP(N22,'G-7 Rivers Data'!$B$2:$G$8,2,FALSE))</f>
        <v/>
      </c>
      <c r="S22" s="499" t="str">
        <f>IFERROR(VLOOKUP(R22,'G-7 Rivers Data'!$C$4:$D$8,2,FALSE),"")</f>
        <v/>
      </c>
      <c r="T22" s="145"/>
      <c r="U22" s="499" t="str">
        <f>IFERROR(INDEX('G-7 Rivers Data'!$H$4:$L$8,MATCH(N22,'G-7 Rivers Data'!$B$4:$B$8,0),MATCH(T22,'G-7 Rivers Data'!$H$3:$L$3,0)),"")</f>
        <v/>
      </c>
      <c r="V22" s="154"/>
      <c r="W22" s="507" t="str">
        <f>IF(V22="","",IF(VLOOKUP(V22,'G-7 Rivers Data'!$AG$4:$AI$9,2,FALSE)=0,"Spatial Data Missing ⚠",VLOOKUP(V22,'G-7 Rivers Data'!$AG$4:$AI$9,2,FALSE)))</f>
        <v/>
      </c>
      <c r="X22" s="499" t="str">
        <f>IF(V22="","",IF(VLOOKUP(V22,'G-7 Rivers Data'!$AG$4:$AI$9,3,FALSE)=0,"Spatial Data Missing ⚠",VLOOKUP(V22,'G-7 Rivers Data'!$AG$4:$AI$9,3,FALSE)))</f>
        <v/>
      </c>
      <c r="Y22" s="498" t="str">
        <f>IFERROR(IF(OR(LEFT(P22,5)="Error ▲",LEFT(O22,5)="Error ▲"),"Check Data ⚠",IF(F22&lt;S22,'G-7 Rivers Data'!$R$3,INDEX('G-7 Rivers Data'!$U$5:$Y$9,MATCH(G22,'G-7 Rivers Data'!$T$5:$T$9,0),MATCH(T22,'G-7 Rivers Data'!$U$4:$Y$4,0)))),"")</f>
        <v/>
      </c>
      <c r="Z22" s="195"/>
      <c r="AA22" s="195"/>
      <c r="AB22" s="507" t="str">
        <f t="shared" si="2"/>
        <v/>
      </c>
      <c r="AC22" s="521" t="str">
        <f t="shared" si="3"/>
        <v/>
      </c>
      <c r="AD22" s="564" t="str">
        <f>IFERROR(IF(AC22="Check Data ⚠","Check Data ⚠",VLOOKUP(AC22,'G-4 Temporal multipliers'!$A$4:$C$37,3,FALSE)),"")</f>
        <v/>
      </c>
      <c r="AE22" s="498" t="str">
        <f>IF(N22="","",VLOOKUP(N22,'G-7 Rivers Data'!$B$4:$G$8,5,FALSE))</f>
        <v/>
      </c>
      <c r="AF22" s="507" t="str">
        <f t="shared" si="4"/>
        <v/>
      </c>
      <c r="AG22" s="540" t="str">
        <f t="shared" si="5"/>
        <v/>
      </c>
      <c r="AH22" s="499" t="str">
        <f t="shared" si="0"/>
        <v/>
      </c>
      <c r="AI22" s="145"/>
      <c r="AJ22" s="499" t="str">
        <f>IF(AI22="","",IF(VLOOKUP(AI22,'G-7 Rivers Data'!$AA$4:$AB$7,2,FALSE)=0,"Spatial Data Missing ⚠",VLOOKUP(AI22,'G-7 Rivers Data'!$AA$4:$AB$7,2,FALSE)))</f>
        <v/>
      </c>
      <c r="AK22" s="155"/>
      <c r="AL22" s="499" t="str">
        <f>IF(AK22="","",IF(VLOOKUP(AK22,'G-7 Rivers Data'!$AD$4:$AE$8,2,FALSE)=0,"Spatial Data Missing ⚠",VLOOKUP(AK22,'G-7 Rivers Data'!$AD$4:$AE$8,2,FALSE)))</f>
        <v/>
      </c>
      <c r="AM22" s="545" t="str">
        <f t="shared" si="7"/>
        <v/>
      </c>
      <c r="AN22" s="149"/>
      <c r="AO22" s="150"/>
      <c r="AV22" s="31" t="str">
        <f>IFERROR(INDEX('G-7 Rivers Data'!$AZ$3:$AZ$7,MATCH(N22,'G-7 Rivers Data'!$AY$3:$AY$7,0)),"")</f>
        <v/>
      </c>
    </row>
    <row r="23" spans="2:48" ht="14" x14ac:dyDescent="0.3">
      <c r="B23" s="531" t="str">
        <f>'C-1 Site River Baseline'!AN21</f>
        <v/>
      </c>
      <c r="C23" s="520" t="str">
        <f>IF(B23="","",VLOOKUP($B23,'C-1 Site River Baseline'!$C$9:$R$257,2,FALSE))</f>
        <v/>
      </c>
      <c r="D23" s="520" t="str">
        <f>IF(C23="","",VLOOKUP($B23,'C-1 Site River Baseline'!$C$9:$R$257,3,FALSE))</f>
        <v/>
      </c>
      <c r="E23" s="520" t="str">
        <f>IF(D23="","",VLOOKUP($B23,'C-1 Site River Baseline'!$C$9:$R$257,4,FALSE))</f>
        <v/>
      </c>
      <c r="F23" s="520" t="str">
        <f>IF(E23="","",VLOOKUP($B23,'C-1 Site River Baseline'!$C$9:$R$257,5,FALSE))</f>
        <v/>
      </c>
      <c r="G23" s="520" t="str">
        <f>IF(F23="","",VLOOKUP($B23,'C-1 Site River Baseline'!$C$9:$R$257,6,FALSE))</f>
        <v/>
      </c>
      <c r="H23" s="520" t="str">
        <f>IF(G23="","",VLOOKUP($B23,'C-1 Site River Baseline'!$C$9:$R$257,7,FALSE))</f>
        <v/>
      </c>
      <c r="I23" s="520" t="str">
        <f>IF(H23="","",VLOOKUP($B23,'C-1 Site River Baseline'!$C$9:$R$257,8,FALSE))</f>
        <v/>
      </c>
      <c r="J23" s="520" t="str">
        <f>IF(I23="","",VLOOKUP($B23,'C-1 Site River Baseline'!$C$9:$R$257,9,FALSE))</f>
        <v/>
      </c>
      <c r="K23" s="520" t="str">
        <f>IF(J23="","",VLOOKUP($B23,'C-1 Site River Baseline'!$C$9:$R$257,10,FALSE))</f>
        <v/>
      </c>
      <c r="L23" s="520" t="str">
        <f>IF(B23="","",VLOOKUP($B23,'C-1 Site River Baseline'!$C$9:$R$257,15,FALSE))</f>
        <v/>
      </c>
      <c r="M23" s="524" t="str">
        <f>IF(L23="","",VLOOKUP($B23,'C-1 Site River Baseline'!$C$9:$R$257,16,FALSE))</f>
        <v/>
      </c>
      <c r="N23" s="426" t="str">
        <f t="shared" si="6"/>
        <v/>
      </c>
      <c r="O23" s="498" t="str">
        <f t="shared" si="1"/>
        <v/>
      </c>
      <c r="P23" s="499" t="str">
        <f>IF(C23="","",IF(AND(LEFT(C23,55)&lt;&gt;LEFT(N23,55),O23="High - High"),"Error - Not like for like ▲",IF(AND(F23=S23,H23&gt;U23),"Error - Can not reduce condition ▲",IF(AND(F23=S23,H23=U23,AJ23='C-1 Site River Baseline'!N21,'C-1 Site River Baseline'!P21=AL23),"Error - No enhancement ▲",IF(AND(C23&lt;&gt;N23,F23&lt;S23),"Lower Distinctiveness Habitat"&amp;" - "&amp;T23,G23&amp;" - "&amp;T23)))))</f>
        <v/>
      </c>
      <c r="Q23" s="567" t="str">
        <f>IF(N23="","",VLOOKUP(B23,'C-1 Site River Baseline'!$C$10:$AA$257,19,FALSE))</f>
        <v/>
      </c>
      <c r="R23" s="498" t="str">
        <f>IF(N23="","",VLOOKUP(N23,'G-7 Rivers Data'!$B$2:$G$8,2,FALSE))</f>
        <v/>
      </c>
      <c r="S23" s="499" t="str">
        <f>IFERROR(VLOOKUP(R23,'G-7 Rivers Data'!$C$4:$D$8,2,FALSE),"")</f>
        <v/>
      </c>
      <c r="T23" s="145"/>
      <c r="U23" s="499" t="str">
        <f>IFERROR(INDEX('G-7 Rivers Data'!$H$4:$L$8,MATCH(N23,'G-7 Rivers Data'!$B$4:$B$8,0),MATCH(T23,'G-7 Rivers Data'!$H$3:$L$3,0)),"")</f>
        <v/>
      </c>
      <c r="V23" s="154"/>
      <c r="W23" s="507" t="str">
        <f>IF(V23="","",IF(VLOOKUP(V23,'G-7 Rivers Data'!$AG$4:$AI$9,2,FALSE)=0,"Spatial Data Missing ⚠",VLOOKUP(V23,'G-7 Rivers Data'!$AG$4:$AI$9,2,FALSE)))</f>
        <v/>
      </c>
      <c r="X23" s="499" t="str">
        <f>IF(V23="","",IF(VLOOKUP(V23,'G-7 Rivers Data'!$AG$4:$AI$9,3,FALSE)=0,"Spatial Data Missing ⚠",VLOOKUP(V23,'G-7 Rivers Data'!$AG$4:$AI$9,3,FALSE)))</f>
        <v/>
      </c>
      <c r="Y23" s="498" t="str">
        <f>IFERROR(IF(OR(LEFT(P23,5)="Error ▲",LEFT(O23,5)="Error ▲"),"Check Data ⚠",IF(F23&lt;S23,'G-7 Rivers Data'!$R$3,INDEX('G-7 Rivers Data'!$U$5:$Y$9,MATCH(G23,'G-7 Rivers Data'!$T$5:$T$9,0),MATCH(T23,'G-7 Rivers Data'!$U$4:$Y$4,0)))),"")</f>
        <v/>
      </c>
      <c r="Z23" s="195"/>
      <c r="AA23" s="195"/>
      <c r="AB23" s="507" t="str">
        <f t="shared" si="2"/>
        <v/>
      </c>
      <c r="AC23" s="521" t="str">
        <f t="shared" si="3"/>
        <v/>
      </c>
      <c r="AD23" s="564" t="str">
        <f>IFERROR(IF(AC23="Check Data ⚠","Check Data ⚠",VLOOKUP(AC23,'G-4 Temporal multipliers'!$A$4:$C$37,3,FALSE)),"")</f>
        <v/>
      </c>
      <c r="AE23" s="498" t="str">
        <f>IF(N23="","",VLOOKUP(N23,'G-7 Rivers Data'!$B$4:$G$8,5,FALSE))</f>
        <v/>
      </c>
      <c r="AF23" s="507" t="str">
        <f t="shared" si="4"/>
        <v/>
      </c>
      <c r="AG23" s="540" t="str">
        <f t="shared" si="5"/>
        <v/>
      </c>
      <c r="AH23" s="499" t="str">
        <f t="shared" si="0"/>
        <v/>
      </c>
      <c r="AI23" s="145"/>
      <c r="AJ23" s="499" t="str">
        <f>IF(AI23="","",IF(VLOOKUP(AI23,'G-7 Rivers Data'!$AA$4:$AB$7,2,FALSE)=0,"Spatial Data Missing ⚠",VLOOKUP(AI23,'G-7 Rivers Data'!$AA$4:$AB$7,2,FALSE)))</f>
        <v/>
      </c>
      <c r="AK23" s="155"/>
      <c r="AL23" s="499" t="str">
        <f>IF(AK23="","",IF(VLOOKUP(AK23,'G-7 Rivers Data'!$AD$4:$AE$8,2,FALSE)=0,"Spatial Data Missing ⚠",VLOOKUP(AK23,'G-7 Rivers Data'!$AD$4:$AE$8,2,FALSE)))</f>
        <v/>
      </c>
      <c r="AM23" s="545" t="str">
        <f t="shared" si="7"/>
        <v/>
      </c>
      <c r="AN23" s="149"/>
      <c r="AO23" s="150"/>
      <c r="AV23" s="31" t="str">
        <f>IFERROR(INDEX('G-7 Rivers Data'!$AZ$3:$AZ$7,MATCH(N23,'G-7 Rivers Data'!$AY$3:$AY$7,0)),"")</f>
        <v/>
      </c>
    </row>
    <row r="24" spans="2:48" ht="14" x14ac:dyDescent="0.3">
      <c r="B24" s="531" t="str">
        <f>'C-1 Site River Baseline'!AN22</f>
        <v/>
      </c>
      <c r="C24" s="520" t="str">
        <f>IF(B24="","",VLOOKUP($B24,'C-1 Site River Baseline'!$C$9:$R$257,2,FALSE))</f>
        <v/>
      </c>
      <c r="D24" s="520" t="str">
        <f>IF(C24="","",VLOOKUP($B24,'C-1 Site River Baseline'!$C$9:$R$257,3,FALSE))</f>
        <v/>
      </c>
      <c r="E24" s="520" t="str">
        <f>IF(D24="","",VLOOKUP($B24,'C-1 Site River Baseline'!$C$9:$R$257,4,FALSE))</f>
        <v/>
      </c>
      <c r="F24" s="520" t="str">
        <f>IF(E24="","",VLOOKUP($B24,'C-1 Site River Baseline'!$C$9:$R$257,5,FALSE))</f>
        <v/>
      </c>
      <c r="G24" s="520" t="str">
        <f>IF(F24="","",VLOOKUP($B24,'C-1 Site River Baseline'!$C$9:$R$257,6,FALSE))</f>
        <v/>
      </c>
      <c r="H24" s="520" t="str">
        <f>IF(G24="","",VLOOKUP($B24,'C-1 Site River Baseline'!$C$9:$R$257,7,FALSE))</f>
        <v/>
      </c>
      <c r="I24" s="520" t="str">
        <f>IF(H24="","",VLOOKUP($B24,'C-1 Site River Baseline'!$C$9:$R$257,8,FALSE))</f>
        <v/>
      </c>
      <c r="J24" s="520" t="str">
        <f>IF(I24="","",VLOOKUP($B24,'C-1 Site River Baseline'!$C$9:$R$257,9,FALSE))</f>
        <v/>
      </c>
      <c r="K24" s="520" t="str">
        <f>IF(J24="","",VLOOKUP($B24,'C-1 Site River Baseline'!$C$9:$R$257,10,FALSE))</f>
        <v/>
      </c>
      <c r="L24" s="520" t="str">
        <f>IF(B24="","",VLOOKUP($B24,'C-1 Site River Baseline'!$C$9:$R$257,15,FALSE))</f>
        <v/>
      </c>
      <c r="M24" s="524" t="str">
        <f>IF(L24="","",VLOOKUP($B24,'C-1 Site River Baseline'!$C$9:$R$257,16,FALSE))</f>
        <v/>
      </c>
      <c r="N24" s="426" t="str">
        <f t="shared" si="6"/>
        <v/>
      </c>
      <c r="O24" s="498" t="str">
        <f t="shared" si="1"/>
        <v/>
      </c>
      <c r="P24" s="499" t="str">
        <f>IF(C24="","",IF(AND(LEFT(C24,55)&lt;&gt;LEFT(N24,55),O24="High - High"),"Error - Not like for like ▲",IF(AND(F24=S24,H24&gt;U24),"Error - Can not reduce condition ▲",IF(AND(F24=S24,H24=U24,AJ24='C-1 Site River Baseline'!N22,'C-1 Site River Baseline'!P22=AL24),"Error - No enhancement ▲",IF(AND(C24&lt;&gt;N24,F24&lt;S24),"Lower Distinctiveness Habitat"&amp;" - "&amp;T24,G24&amp;" - "&amp;T24)))))</f>
        <v/>
      </c>
      <c r="Q24" s="567" t="str">
        <f>IF(N24="","",VLOOKUP(B24,'C-1 Site River Baseline'!$C$10:$AA$257,19,FALSE))</f>
        <v/>
      </c>
      <c r="R24" s="498" t="str">
        <f>IF(N24="","",VLOOKUP(N24,'G-7 Rivers Data'!$B$2:$G$8,2,FALSE))</f>
        <v/>
      </c>
      <c r="S24" s="499" t="str">
        <f>IFERROR(VLOOKUP(R24,'G-7 Rivers Data'!$C$4:$D$8,2,FALSE),"")</f>
        <v/>
      </c>
      <c r="T24" s="145"/>
      <c r="U24" s="499" t="str">
        <f>IFERROR(INDEX('G-7 Rivers Data'!$H$4:$L$8,MATCH(N24,'G-7 Rivers Data'!$B$4:$B$8,0),MATCH(T24,'G-7 Rivers Data'!$H$3:$L$3,0)),"")</f>
        <v/>
      </c>
      <c r="V24" s="154"/>
      <c r="W24" s="507" t="str">
        <f>IF(V24="","",IF(VLOOKUP(V24,'G-7 Rivers Data'!$AG$4:$AI$9,2,FALSE)=0,"Spatial Data Missing ⚠",VLOOKUP(V24,'G-7 Rivers Data'!$AG$4:$AI$9,2,FALSE)))</f>
        <v/>
      </c>
      <c r="X24" s="499" t="str">
        <f>IF(V24="","",IF(VLOOKUP(V24,'G-7 Rivers Data'!$AG$4:$AI$9,3,FALSE)=0,"Spatial Data Missing ⚠",VLOOKUP(V24,'G-7 Rivers Data'!$AG$4:$AI$9,3,FALSE)))</f>
        <v/>
      </c>
      <c r="Y24" s="498" t="str">
        <f>IFERROR(IF(OR(LEFT(P24,5)="Error ▲",LEFT(O24,5)="Error ▲"),"Check Data ⚠",IF(F24&lt;S24,'G-7 Rivers Data'!$R$3,INDEX('G-7 Rivers Data'!$U$5:$Y$9,MATCH(G24,'G-7 Rivers Data'!$T$5:$T$9,0),MATCH(T24,'G-7 Rivers Data'!$U$4:$Y$4,0)))),"")</f>
        <v/>
      </c>
      <c r="Z24" s="195"/>
      <c r="AA24" s="195"/>
      <c r="AB24" s="507" t="str">
        <f t="shared" si="2"/>
        <v/>
      </c>
      <c r="AC24" s="521" t="str">
        <f t="shared" si="3"/>
        <v/>
      </c>
      <c r="AD24" s="564" t="str">
        <f>IFERROR(IF(AC24="Check Data ⚠","Check Data ⚠",VLOOKUP(AC24,'G-4 Temporal multipliers'!$A$4:$C$37,3,FALSE)),"")</f>
        <v/>
      </c>
      <c r="AE24" s="498" t="str">
        <f>IF(N24="","",VLOOKUP(N24,'G-7 Rivers Data'!$B$4:$G$8,5,FALSE))</f>
        <v/>
      </c>
      <c r="AF24" s="507" t="str">
        <f t="shared" si="4"/>
        <v/>
      </c>
      <c r="AG24" s="540" t="str">
        <f t="shared" si="5"/>
        <v/>
      </c>
      <c r="AH24" s="499" t="str">
        <f t="shared" si="0"/>
        <v/>
      </c>
      <c r="AI24" s="145"/>
      <c r="AJ24" s="499" t="str">
        <f>IF(AI24="","",IF(VLOOKUP(AI24,'G-7 Rivers Data'!$AA$4:$AB$7,2,FALSE)=0,"Spatial Data Missing ⚠",VLOOKUP(AI24,'G-7 Rivers Data'!$AA$4:$AB$7,2,FALSE)))</f>
        <v/>
      </c>
      <c r="AK24" s="155"/>
      <c r="AL24" s="499" t="str">
        <f>IF(AK24="","",IF(VLOOKUP(AK24,'G-7 Rivers Data'!$AD$4:$AE$8,2,FALSE)=0,"Spatial Data Missing ⚠",VLOOKUP(AK24,'G-7 Rivers Data'!$AD$4:$AE$8,2,FALSE)))</f>
        <v/>
      </c>
      <c r="AM24" s="545" t="str">
        <f t="shared" si="7"/>
        <v/>
      </c>
      <c r="AN24" s="149"/>
      <c r="AO24" s="150"/>
      <c r="AV24" s="31" t="str">
        <f>IFERROR(INDEX('G-7 Rivers Data'!$AZ$3:$AZ$7,MATCH(N24,'G-7 Rivers Data'!$AY$3:$AY$7,0)),"")</f>
        <v/>
      </c>
    </row>
    <row r="25" spans="2:48" ht="14" x14ac:dyDescent="0.3">
      <c r="B25" s="531" t="str">
        <f>'C-1 Site River Baseline'!AN23</f>
        <v/>
      </c>
      <c r="C25" s="520" t="str">
        <f>IF(B25="","",VLOOKUP($B25,'C-1 Site River Baseline'!$C$9:$R$257,2,FALSE))</f>
        <v/>
      </c>
      <c r="D25" s="520" t="str">
        <f>IF(C25="","",VLOOKUP($B25,'C-1 Site River Baseline'!$C$9:$R$257,3,FALSE))</f>
        <v/>
      </c>
      <c r="E25" s="520" t="str">
        <f>IF(D25="","",VLOOKUP($B25,'C-1 Site River Baseline'!$C$9:$R$257,4,FALSE))</f>
        <v/>
      </c>
      <c r="F25" s="520" t="str">
        <f>IF(E25="","",VLOOKUP($B25,'C-1 Site River Baseline'!$C$9:$R$257,5,FALSE))</f>
        <v/>
      </c>
      <c r="G25" s="520" t="str">
        <f>IF(F25="","",VLOOKUP($B25,'C-1 Site River Baseline'!$C$9:$R$257,6,FALSE))</f>
        <v/>
      </c>
      <c r="H25" s="520" t="str">
        <f>IF(G25="","",VLOOKUP($B25,'C-1 Site River Baseline'!$C$9:$R$257,7,FALSE))</f>
        <v/>
      </c>
      <c r="I25" s="520" t="str">
        <f>IF(H25="","",VLOOKUP($B25,'C-1 Site River Baseline'!$C$9:$R$257,8,FALSE))</f>
        <v/>
      </c>
      <c r="J25" s="520" t="str">
        <f>IF(I25="","",VLOOKUP($B25,'C-1 Site River Baseline'!$C$9:$R$257,9,FALSE))</f>
        <v/>
      </c>
      <c r="K25" s="520" t="str">
        <f>IF(J25="","",VLOOKUP($B25,'C-1 Site River Baseline'!$C$9:$R$257,10,FALSE))</f>
        <v/>
      </c>
      <c r="L25" s="520" t="str">
        <f>IF(B25="","",VLOOKUP($B25,'C-1 Site River Baseline'!$C$9:$R$257,15,FALSE))</f>
        <v/>
      </c>
      <c r="M25" s="524" t="str">
        <f>IF(L25="","",VLOOKUP($B25,'C-1 Site River Baseline'!$C$9:$R$257,16,FALSE))</f>
        <v/>
      </c>
      <c r="N25" s="426" t="str">
        <f t="shared" si="6"/>
        <v/>
      </c>
      <c r="O25" s="498" t="str">
        <f t="shared" si="1"/>
        <v/>
      </c>
      <c r="P25" s="499" t="str">
        <f>IF(C25="","",IF(AND(LEFT(C25,55)&lt;&gt;LEFT(N25,55),O25="High - High"),"Error - Not like for like ▲",IF(AND(F25=S25,H25&gt;U25),"Error - Can not reduce condition ▲",IF(AND(F25=S25,H25=U25,AJ25='C-1 Site River Baseline'!N23,'C-1 Site River Baseline'!P23=AL25),"Error - No enhancement ▲",IF(AND(C25&lt;&gt;N25,F25&lt;S25),"Lower Distinctiveness Habitat"&amp;" - "&amp;T25,G25&amp;" - "&amp;T25)))))</f>
        <v/>
      </c>
      <c r="Q25" s="567" t="str">
        <f>IF(N25="","",VLOOKUP(B25,'C-1 Site River Baseline'!$C$10:$AA$257,19,FALSE))</f>
        <v/>
      </c>
      <c r="R25" s="498" t="str">
        <f>IF(N25="","",VLOOKUP(N25,'G-7 Rivers Data'!$B$2:$G$8,2,FALSE))</f>
        <v/>
      </c>
      <c r="S25" s="499" t="str">
        <f>IFERROR(VLOOKUP(R25,'G-7 Rivers Data'!$C$4:$D$8,2,FALSE),"")</f>
        <v/>
      </c>
      <c r="T25" s="145"/>
      <c r="U25" s="499" t="str">
        <f>IFERROR(INDEX('G-7 Rivers Data'!$H$4:$L$8,MATCH(N25,'G-7 Rivers Data'!$B$4:$B$8,0),MATCH(T25,'G-7 Rivers Data'!$H$3:$L$3,0)),"")</f>
        <v/>
      </c>
      <c r="V25" s="154"/>
      <c r="W25" s="507" t="str">
        <f>IF(V25="","",IF(VLOOKUP(V25,'G-7 Rivers Data'!$AG$4:$AI$9,2,FALSE)=0,"Spatial Data Missing ⚠",VLOOKUP(V25,'G-7 Rivers Data'!$AG$4:$AI$9,2,FALSE)))</f>
        <v/>
      </c>
      <c r="X25" s="499" t="str">
        <f>IF(V25="","",IF(VLOOKUP(V25,'G-7 Rivers Data'!$AG$4:$AI$9,3,FALSE)=0,"Spatial Data Missing ⚠",VLOOKUP(V25,'G-7 Rivers Data'!$AG$4:$AI$9,3,FALSE)))</f>
        <v/>
      </c>
      <c r="Y25" s="498" t="str">
        <f>IFERROR(IF(OR(LEFT(P25,5)="Error ▲",LEFT(O25,5)="Error ▲"),"Check Data ⚠",IF(F25&lt;S25,'G-7 Rivers Data'!$R$3,INDEX('G-7 Rivers Data'!$U$5:$Y$9,MATCH(G25,'G-7 Rivers Data'!$T$5:$T$9,0),MATCH(T25,'G-7 Rivers Data'!$U$4:$Y$4,0)))),"")</f>
        <v/>
      </c>
      <c r="Z25" s="195"/>
      <c r="AA25" s="195"/>
      <c r="AB25" s="507" t="str">
        <f t="shared" si="2"/>
        <v/>
      </c>
      <c r="AC25" s="521" t="str">
        <f t="shared" si="3"/>
        <v/>
      </c>
      <c r="AD25" s="564" t="str">
        <f>IFERROR(IF(AC25="Check Data ⚠","Check Data ⚠",VLOOKUP(AC25,'G-4 Temporal multipliers'!$A$4:$C$37,3,FALSE)),"")</f>
        <v/>
      </c>
      <c r="AE25" s="498" t="str">
        <f>IF(N25="","",VLOOKUP(N25,'G-7 Rivers Data'!$B$4:$G$8,5,FALSE))</f>
        <v/>
      </c>
      <c r="AF25" s="507" t="str">
        <f t="shared" si="4"/>
        <v/>
      </c>
      <c r="AG25" s="540" t="str">
        <f t="shared" si="5"/>
        <v/>
      </c>
      <c r="AH25" s="499" t="str">
        <f t="shared" si="0"/>
        <v/>
      </c>
      <c r="AI25" s="145"/>
      <c r="AJ25" s="499" t="str">
        <f>IF(AI25="","",IF(VLOOKUP(AI25,'G-7 Rivers Data'!$AA$4:$AB$7,2,FALSE)=0,"Spatial Data Missing ⚠",VLOOKUP(AI25,'G-7 Rivers Data'!$AA$4:$AB$7,2,FALSE)))</f>
        <v/>
      </c>
      <c r="AK25" s="155"/>
      <c r="AL25" s="499" t="str">
        <f>IF(AK25="","",IF(VLOOKUP(AK25,'G-7 Rivers Data'!$AD$4:$AE$8,2,FALSE)=0,"Spatial Data Missing ⚠",VLOOKUP(AK25,'G-7 Rivers Data'!$AD$4:$AE$8,2,FALSE)))</f>
        <v/>
      </c>
      <c r="AM25" s="545" t="str">
        <f t="shared" si="7"/>
        <v/>
      </c>
      <c r="AN25" s="149"/>
      <c r="AO25" s="150"/>
      <c r="AV25" s="31" t="str">
        <f>IFERROR(INDEX('G-7 Rivers Data'!$AZ$3:$AZ$7,MATCH(N25,'G-7 Rivers Data'!$AY$3:$AY$7,0)),"")</f>
        <v/>
      </c>
    </row>
    <row r="26" spans="2:48" ht="14" x14ac:dyDescent="0.3">
      <c r="B26" s="531" t="str">
        <f>'C-1 Site River Baseline'!AN24</f>
        <v/>
      </c>
      <c r="C26" s="520" t="str">
        <f>IF(B26="","",VLOOKUP($B26,'C-1 Site River Baseline'!$C$9:$R$257,2,FALSE))</f>
        <v/>
      </c>
      <c r="D26" s="520" t="str">
        <f>IF(C26="","",VLOOKUP($B26,'C-1 Site River Baseline'!$C$9:$R$257,3,FALSE))</f>
        <v/>
      </c>
      <c r="E26" s="520" t="str">
        <f>IF(D26="","",VLOOKUP($B26,'C-1 Site River Baseline'!$C$9:$R$257,4,FALSE))</f>
        <v/>
      </c>
      <c r="F26" s="520" t="str">
        <f>IF(E26="","",VLOOKUP($B26,'C-1 Site River Baseline'!$C$9:$R$257,5,FALSE))</f>
        <v/>
      </c>
      <c r="G26" s="520" t="str">
        <f>IF(F26="","",VLOOKUP($B26,'C-1 Site River Baseline'!$C$9:$R$257,6,FALSE))</f>
        <v/>
      </c>
      <c r="H26" s="520" t="str">
        <f>IF(G26="","",VLOOKUP($B26,'C-1 Site River Baseline'!$C$9:$R$257,7,FALSE))</f>
        <v/>
      </c>
      <c r="I26" s="520" t="str">
        <f>IF(H26="","",VLOOKUP($B26,'C-1 Site River Baseline'!$C$9:$R$257,8,FALSE))</f>
        <v/>
      </c>
      <c r="J26" s="520" t="str">
        <f>IF(I26="","",VLOOKUP($B26,'C-1 Site River Baseline'!$C$9:$R$257,9,FALSE))</f>
        <v/>
      </c>
      <c r="K26" s="520" t="str">
        <f>IF(J26="","",VLOOKUP($B26,'C-1 Site River Baseline'!$C$9:$R$257,10,FALSE))</f>
        <v/>
      </c>
      <c r="L26" s="520" t="str">
        <f>IF(B26="","",VLOOKUP($B26,'C-1 Site River Baseline'!$C$9:$R$257,15,FALSE))</f>
        <v/>
      </c>
      <c r="M26" s="524" t="str">
        <f>IF(L26="","",VLOOKUP($B26,'C-1 Site River Baseline'!$C$9:$R$257,16,FALSE))</f>
        <v/>
      </c>
      <c r="N26" s="426" t="str">
        <f t="shared" si="6"/>
        <v/>
      </c>
      <c r="O26" s="498" t="str">
        <f t="shared" si="1"/>
        <v/>
      </c>
      <c r="P26" s="499" t="str">
        <f>IF(C26="","",IF(AND(LEFT(C26,55)&lt;&gt;LEFT(N26,55),O26="High - High"),"Error - Not like for like ▲",IF(AND(F26=S26,H26&gt;U26),"Error - Can not reduce condition ▲",IF(AND(F26=S26,H26=U26,AJ26='C-1 Site River Baseline'!N24,'C-1 Site River Baseline'!P24=AL26),"Error - No enhancement ▲",IF(AND(C26&lt;&gt;N26,F26&lt;S26),"Lower Distinctiveness Habitat"&amp;" - "&amp;T26,G26&amp;" - "&amp;T26)))))</f>
        <v/>
      </c>
      <c r="Q26" s="567" t="str">
        <f>IF(N26="","",VLOOKUP(B26,'C-1 Site River Baseline'!$C$10:$AA$257,19,FALSE))</f>
        <v/>
      </c>
      <c r="R26" s="498" t="str">
        <f>IF(N26="","",VLOOKUP(N26,'G-7 Rivers Data'!$B$2:$G$8,2,FALSE))</f>
        <v/>
      </c>
      <c r="S26" s="499" t="str">
        <f>IFERROR(VLOOKUP(R26,'G-7 Rivers Data'!$C$4:$D$8,2,FALSE),"")</f>
        <v/>
      </c>
      <c r="T26" s="145"/>
      <c r="U26" s="499" t="str">
        <f>IFERROR(INDEX('G-7 Rivers Data'!$H$4:$L$8,MATCH(N26,'G-7 Rivers Data'!$B$4:$B$8,0),MATCH(T26,'G-7 Rivers Data'!$H$3:$L$3,0)),"")</f>
        <v/>
      </c>
      <c r="V26" s="154"/>
      <c r="W26" s="507" t="str">
        <f>IF(V26="","",IF(VLOOKUP(V26,'G-7 Rivers Data'!$AG$4:$AI$9,2,FALSE)=0,"Spatial Data Missing ⚠",VLOOKUP(V26,'G-7 Rivers Data'!$AG$4:$AI$9,2,FALSE)))</f>
        <v/>
      </c>
      <c r="X26" s="499" t="str">
        <f>IF(V26="","",IF(VLOOKUP(V26,'G-7 Rivers Data'!$AG$4:$AI$9,3,FALSE)=0,"Spatial Data Missing ⚠",VLOOKUP(V26,'G-7 Rivers Data'!$AG$4:$AI$9,3,FALSE)))</f>
        <v/>
      </c>
      <c r="Y26" s="498" t="str">
        <f>IFERROR(IF(OR(LEFT(P26,5)="Error ▲",LEFT(O26,5)="Error ▲"),"Check Data ⚠",IF(F26&lt;S26,'G-7 Rivers Data'!$R$3,INDEX('G-7 Rivers Data'!$U$5:$Y$9,MATCH(G26,'G-7 Rivers Data'!$T$5:$T$9,0),MATCH(T26,'G-7 Rivers Data'!$U$4:$Y$4,0)))),"")</f>
        <v/>
      </c>
      <c r="Z26" s="195"/>
      <c r="AA26" s="195"/>
      <c r="AB26" s="507" t="str">
        <f t="shared" si="2"/>
        <v/>
      </c>
      <c r="AC26" s="521" t="str">
        <f t="shared" si="3"/>
        <v/>
      </c>
      <c r="AD26" s="564" t="str">
        <f>IFERROR(IF(AC26="Check Data ⚠","Check Data ⚠",VLOOKUP(AC26,'G-4 Temporal multipliers'!$A$4:$C$37,3,FALSE)),"")</f>
        <v/>
      </c>
      <c r="AE26" s="498" t="str">
        <f>IF(N26="","",VLOOKUP(N26,'G-7 Rivers Data'!$B$4:$G$8,5,FALSE))</f>
        <v/>
      </c>
      <c r="AF26" s="507" t="str">
        <f t="shared" si="4"/>
        <v/>
      </c>
      <c r="AG26" s="540" t="str">
        <f t="shared" si="5"/>
        <v/>
      </c>
      <c r="AH26" s="499" t="str">
        <f t="shared" si="0"/>
        <v/>
      </c>
      <c r="AI26" s="145"/>
      <c r="AJ26" s="499" t="str">
        <f>IF(AI26="","",IF(VLOOKUP(AI26,'G-7 Rivers Data'!$AA$4:$AB$7,2,FALSE)=0,"Spatial Data Missing ⚠",VLOOKUP(AI26,'G-7 Rivers Data'!$AA$4:$AB$7,2,FALSE)))</f>
        <v/>
      </c>
      <c r="AK26" s="155"/>
      <c r="AL26" s="499" t="str">
        <f>IF(AK26="","",IF(VLOOKUP(AK26,'G-7 Rivers Data'!$AD$4:$AE$8,2,FALSE)=0,"Spatial Data Missing ⚠",VLOOKUP(AK26,'G-7 Rivers Data'!$AD$4:$AE$8,2,FALSE)))</f>
        <v/>
      </c>
      <c r="AM26" s="545" t="str">
        <f t="shared" si="7"/>
        <v/>
      </c>
      <c r="AN26" s="149"/>
      <c r="AO26" s="150"/>
      <c r="AV26" s="31" t="str">
        <f>IFERROR(INDEX('G-7 Rivers Data'!$AZ$3:$AZ$7,MATCH(N26,'G-7 Rivers Data'!$AY$3:$AY$7,0)),"")</f>
        <v/>
      </c>
    </row>
    <row r="27" spans="2:48" ht="14" x14ac:dyDescent="0.3">
      <c r="B27" s="531" t="str">
        <f>'C-1 Site River Baseline'!AN25</f>
        <v/>
      </c>
      <c r="C27" s="520" t="str">
        <f>IF(B27="","",VLOOKUP($B27,'C-1 Site River Baseline'!$C$9:$R$257,2,FALSE))</f>
        <v/>
      </c>
      <c r="D27" s="520" t="str">
        <f>IF(C27="","",VLOOKUP($B27,'C-1 Site River Baseline'!$C$9:$R$257,3,FALSE))</f>
        <v/>
      </c>
      <c r="E27" s="520" t="str">
        <f>IF(D27="","",VLOOKUP($B27,'C-1 Site River Baseline'!$C$9:$R$257,4,FALSE))</f>
        <v/>
      </c>
      <c r="F27" s="520" t="str">
        <f>IF(E27="","",VLOOKUP($B27,'C-1 Site River Baseline'!$C$9:$R$257,5,FALSE))</f>
        <v/>
      </c>
      <c r="G27" s="520" t="str">
        <f>IF(F27="","",VLOOKUP($B27,'C-1 Site River Baseline'!$C$9:$R$257,6,FALSE))</f>
        <v/>
      </c>
      <c r="H27" s="520" t="str">
        <f>IF(G27="","",VLOOKUP($B27,'C-1 Site River Baseline'!$C$9:$R$257,7,FALSE))</f>
        <v/>
      </c>
      <c r="I27" s="520" t="str">
        <f>IF(H27="","",VLOOKUP($B27,'C-1 Site River Baseline'!$C$9:$R$257,8,FALSE))</f>
        <v/>
      </c>
      <c r="J27" s="520" t="str">
        <f>IF(I27="","",VLOOKUP($B27,'C-1 Site River Baseline'!$C$9:$R$257,9,FALSE))</f>
        <v/>
      </c>
      <c r="K27" s="520" t="str">
        <f>IF(J27="","",VLOOKUP($B27,'C-1 Site River Baseline'!$C$9:$R$257,10,FALSE))</f>
        <v/>
      </c>
      <c r="L27" s="520" t="str">
        <f>IF(B27="","",VLOOKUP($B27,'C-1 Site River Baseline'!$C$9:$R$257,15,FALSE))</f>
        <v/>
      </c>
      <c r="M27" s="524" t="str">
        <f>IF(L27="","",VLOOKUP($B27,'C-1 Site River Baseline'!$C$9:$R$257,16,FALSE))</f>
        <v/>
      </c>
      <c r="N27" s="426" t="str">
        <f t="shared" si="6"/>
        <v/>
      </c>
      <c r="O27" s="498" t="str">
        <f t="shared" si="1"/>
        <v/>
      </c>
      <c r="P27" s="499" t="str">
        <f>IF(C27="","",IF(AND(LEFT(C27,55)&lt;&gt;LEFT(N27,55),O27="High - High"),"Error - Not like for like ▲",IF(AND(F27=S27,H27&gt;U27),"Error - Can not reduce condition ▲",IF(AND(F27=S27,H27=U27,AJ27='C-1 Site River Baseline'!N25,'C-1 Site River Baseline'!P25=AL27),"Error - No enhancement ▲",IF(AND(C27&lt;&gt;N27,F27&lt;S27),"Lower Distinctiveness Habitat"&amp;" - "&amp;T27,G27&amp;" - "&amp;T27)))))</f>
        <v/>
      </c>
      <c r="Q27" s="567" t="str">
        <f>IF(N27="","",VLOOKUP(B27,'C-1 Site River Baseline'!$C$10:$AA$257,19,FALSE))</f>
        <v/>
      </c>
      <c r="R27" s="498" t="str">
        <f>IF(N27="","",VLOOKUP(N27,'G-7 Rivers Data'!$B$2:$G$8,2,FALSE))</f>
        <v/>
      </c>
      <c r="S27" s="499" t="str">
        <f>IFERROR(VLOOKUP(R27,'G-7 Rivers Data'!$C$4:$D$8,2,FALSE),"")</f>
        <v/>
      </c>
      <c r="T27" s="145"/>
      <c r="U27" s="499" t="str">
        <f>IFERROR(INDEX('G-7 Rivers Data'!$H$4:$L$8,MATCH(N27,'G-7 Rivers Data'!$B$4:$B$8,0),MATCH(T27,'G-7 Rivers Data'!$H$3:$L$3,0)),"")</f>
        <v/>
      </c>
      <c r="V27" s="154"/>
      <c r="W27" s="507" t="str">
        <f>IF(V27="","",IF(VLOOKUP(V27,'G-7 Rivers Data'!$AG$4:$AI$9,2,FALSE)=0,"Spatial Data Missing ⚠",VLOOKUP(V27,'G-7 Rivers Data'!$AG$4:$AI$9,2,FALSE)))</f>
        <v/>
      </c>
      <c r="X27" s="499" t="str">
        <f>IF(V27="","",IF(VLOOKUP(V27,'G-7 Rivers Data'!$AG$4:$AI$9,3,FALSE)=0,"Spatial Data Missing ⚠",VLOOKUP(V27,'G-7 Rivers Data'!$AG$4:$AI$9,3,FALSE)))</f>
        <v/>
      </c>
      <c r="Y27" s="498" t="str">
        <f>IFERROR(IF(OR(LEFT(P27,5)="Error ▲",LEFT(O27,5)="Error ▲"),"Check Data ⚠",IF(F27&lt;S27,'G-7 Rivers Data'!$R$3,INDEX('G-7 Rivers Data'!$U$5:$Y$9,MATCH(G27,'G-7 Rivers Data'!$T$5:$T$9,0),MATCH(T27,'G-7 Rivers Data'!$U$4:$Y$4,0)))),"")</f>
        <v/>
      </c>
      <c r="Z27" s="195"/>
      <c r="AA27" s="195"/>
      <c r="AB27" s="507" t="str">
        <f t="shared" si="2"/>
        <v/>
      </c>
      <c r="AC27" s="521" t="str">
        <f t="shared" si="3"/>
        <v/>
      </c>
      <c r="AD27" s="564" t="str">
        <f>IFERROR(IF(AC27="Check Data ⚠","Check Data ⚠",VLOOKUP(AC27,'G-4 Temporal multipliers'!$A$4:$C$37,3,FALSE)),"")</f>
        <v/>
      </c>
      <c r="AE27" s="498" t="str">
        <f>IF(N27="","",VLOOKUP(N27,'G-7 Rivers Data'!$B$4:$G$8,5,FALSE))</f>
        <v/>
      </c>
      <c r="AF27" s="507" t="str">
        <f t="shared" si="4"/>
        <v/>
      </c>
      <c r="AG27" s="540" t="str">
        <f t="shared" si="5"/>
        <v/>
      </c>
      <c r="AH27" s="499" t="str">
        <f t="shared" si="0"/>
        <v/>
      </c>
      <c r="AI27" s="145"/>
      <c r="AJ27" s="499" t="str">
        <f>IF(AI27="","",IF(VLOOKUP(AI27,'G-7 Rivers Data'!$AA$4:$AB$7,2,FALSE)=0,"Spatial Data Missing ⚠",VLOOKUP(AI27,'G-7 Rivers Data'!$AA$4:$AB$7,2,FALSE)))</f>
        <v/>
      </c>
      <c r="AK27" s="155"/>
      <c r="AL27" s="499" t="str">
        <f>IF(AK27="","",IF(VLOOKUP(AK27,'G-7 Rivers Data'!$AD$4:$AE$8,2,FALSE)=0,"Spatial Data Missing ⚠",VLOOKUP(AK27,'G-7 Rivers Data'!$AD$4:$AE$8,2,FALSE)))</f>
        <v/>
      </c>
      <c r="AM27" s="545" t="str">
        <f t="shared" si="7"/>
        <v/>
      </c>
      <c r="AN27" s="149"/>
      <c r="AO27" s="150"/>
      <c r="AV27" s="31" t="str">
        <f>IFERROR(INDEX('G-7 Rivers Data'!$AZ$3:$AZ$7,MATCH(N27,'G-7 Rivers Data'!$AY$3:$AY$7,0)),"")</f>
        <v/>
      </c>
    </row>
    <row r="28" spans="2:48" ht="14" x14ac:dyDescent="0.3">
      <c r="B28" s="531" t="str">
        <f>'C-1 Site River Baseline'!AN26</f>
        <v/>
      </c>
      <c r="C28" s="520" t="str">
        <f>IF(B28="","",VLOOKUP($B28,'C-1 Site River Baseline'!$C$9:$R$257,2,FALSE))</f>
        <v/>
      </c>
      <c r="D28" s="520" t="str">
        <f>IF(C28="","",VLOOKUP($B28,'C-1 Site River Baseline'!$C$9:$R$257,3,FALSE))</f>
        <v/>
      </c>
      <c r="E28" s="520" t="str">
        <f>IF(D28="","",VLOOKUP($B28,'C-1 Site River Baseline'!$C$9:$R$257,4,FALSE))</f>
        <v/>
      </c>
      <c r="F28" s="520" t="str">
        <f>IF(E28="","",VLOOKUP($B28,'C-1 Site River Baseline'!$C$9:$R$257,5,FALSE))</f>
        <v/>
      </c>
      <c r="G28" s="520" t="str">
        <f>IF(F28="","",VLOOKUP($B28,'C-1 Site River Baseline'!$C$9:$R$257,6,FALSE))</f>
        <v/>
      </c>
      <c r="H28" s="520" t="str">
        <f>IF(G28="","",VLOOKUP($B28,'C-1 Site River Baseline'!$C$9:$R$257,7,FALSE))</f>
        <v/>
      </c>
      <c r="I28" s="520" t="str">
        <f>IF(H28="","",VLOOKUP($B28,'C-1 Site River Baseline'!$C$9:$R$257,8,FALSE))</f>
        <v/>
      </c>
      <c r="J28" s="520" t="str">
        <f>IF(I28="","",VLOOKUP($B28,'C-1 Site River Baseline'!$C$9:$R$257,9,FALSE))</f>
        <v/>
      </c>
      <c r="K28" s="520" t="str">
        <f>IF(J28="","",VLOOKUP($B28,'C-1 Site River Baseline'!$C$9:$R$257,10,FALSE))</f>
        <v/>
      </c>
      <c r="L28" s="520" t="str">
        <f>IF(B28="","",VLOOKUP($B28,'C-1 Site River Baseline'!$C$9:$R$257,15,FALSE))</f>
        <v/>
      </c>
      <c r="M28" s="524" t="str">
        <f>IF(L28="","",VLOOKUP($B28,'C-1 Site River Baseline'!$C$9:$R$257,16,FALSE))</f>
        <v/>
      </c>
      <c r="N28" s="426" t="str">
        <f t="shared" si="6"/>
        <v/>
      </c>
      <c r="O28" s="498" t="str">
        <f t="shared" si="1"/>
        <v/>
      </c>
      <c r="P28" s="499" t="str">
        <f>IF(C28="","",IF(AND(LEFT(C28,55)&lt;&gt;LEFT(N28,55),O28="High - High"),"Error - Not like for like ▲",IF(AND(F28=S28,H28&gt;U28),"Error - Can not reduce condition ▲",IF(AND(F28=S28,H28=U28,AJ28='C-1 Site River Baseline'!N26,'C-1 Site River Baseline'!P26=AL28),"Error - No enhancement ▲",IF(AND(C28&lt;&gt;N28,F28&lt;S28),"Lower Distinctiveness Habitat"&amp;" - "&amp;T28,G28&amp;" - "&amp;T28)))))</f>
        <v/>
      </c>
      <c r="Q28" s="567" t="str">
        <f>IF(N28="","",VLOOKUP(B28,'C-1 Site River Baseline'!$C$10:$AA$257,19,FALSE))</f>
        <v/>
      </c>
      <c r="R28" s="498" t="str">
        <f>IF(N28="","",VLOOKUP(N28,'G-7 Rivers Data'!$B$2:$G$8,2,FALSE))</f>
        <v/>
      </c>
      <c r="S28" s="499" t="str">
        <f>IFERROR(VLOOKUP(R28,'G-7 Rivers Data'!$C$4:$D$8,2,FALSE),"")</f>
        <v/>
      </c>
      <c r="T28" s="145"/>
      <c r="U28" s="499" t="str">
        <f>IFERROR(INDEX('G-7 Rivers Data'!$H$4:$L$8,MATCH(N28,'G-7 Rivers Data'!$B$4:$B$8,0),MATCH(T28,'G-7 Rivers Data'!$H$3:$L$3,0)),"")</f>
        <v/>
      </c>
      <c r="V28" s="154"/>
      <c r="W28" s="507" t="str">
        <f>IF(V28="","",IF(VLOOKUP(V28,'G-7 Rivers Data'!$AG$4:$AI$9,2,FALSE)=0,"Spatial Data Missing ⚠",VLOOKUP(V28,'G-7 Rivers Data'!$AG$4:$AI$9,2,FALSE)))</f>
        <v/>
      </c>
      <c r="X28" s="499" t="str">
        <f>IF(V28="","",IF(VLOOKUP(V28,'G-7 Rivers Data'!$AG$4:$AI$9,3,FALSE)=0,"Spatial Data Missing ⚠",VLOOKUP(V28,'G-7 Rivers Data'!$AG$4:$AI$9,3,FALSE)))</f>
        <v/>
      </c>
      <c r="Y28" s="498" t="str">
        <f>IFERROR(IF(OR(LEFT(P28,5)="Error ▲",LEFT(O28,5)="Error ▲"),"Check Data ⚠",IF(F28&lt;S28,'G-7 Rivers Data'!$R$3,INDEX('G-7 Rivers Data'!$U$5:$Y$9,MATCH(G28,'G-7 Rivers Data'!$T$5:$T$9,0),MATCH(T28,'G-7 Rivers Data'!$U$4:$Y$4,0)))),"")</f>
        <v/>
      </c>
      <c r="Z28" s="195"/>
      <c r="AA28" s="195"/>
      <c r="AB28" s="507" t="str">
        <f t="shared" si="2"/>
        <v/>
      </c>
      <c r="AC28" s="521" t="str">
        <f t="shared" si="3"/>
        <v/>
      </c>
      <c r="AD28" s="564" t="str">
        <f>IFERROR(IF(AC28="Check Data ⚠","Check Data ⚠",VLOOKUP(AC28,'G-4 Temporal multipliers'!$A$4:$C$37,3,FALSE)),"")</f>
        <v/>
      </c>
      <c r="AE28" s="498" t="str">
        <f>IF(N28="","",VLOOKUP(N28,'G-7 Rivers Data'!$B$4:$G$8,5,FALSE))</f>
        <v/>
      </c>
      <c r="AF28" s="507" t="str">
        <f t="shared" si="4"/>
        <v/>
      </c>
      <c r="AG28" s="540" t="str">
        <f t="shared" si="5"/>
        <v/>
      </c>
      <c r="AH28" s="499" t="str">
        <f t="shared" si="0"/>
        <v/>
      </c>
      <c r="AI28" s="145"/>
      <c r="AJ28" s="499" t="str">
        <f>IF(AI28="","",IF(VLOOKUP(AI28,'G-7 Rivers Data'!$AA$4:$AB$7,2,FALSE)=0,"Spatial Data Missing ⚠",VLOOKUP(AI28,'G-7 Rivers Data'!$AA$4:$AB$7,2,FALSE)))</f>
        <v/>
      </c>
      <c r="AK28" s="155"/>
      <c r="AL28" s="499" t="str">
        <f>IF(AK28="","",IF(VLOOKUP(AK28,'G-7 Rivers Data'!$AD$4:$AE$8,2,FALSE)=0,"Spatial Data Missing ⚠",VLOOKUP(AK28,'G-7 Rivers Data'!$AD$4:$AE$8,2,FALSE)))</f>
        <v/>
      </c>
      <c r="AM28" s="545" t="str">
        <f t="shared" si="7"/>
        <v/>
      </c>
      <c r="AN28" s="149"/>
      <c r="AO28" s="150"/>
      <c r="AV28" s="31" t="str">
        <f>IFERROR(INDEX('G-7 Rivers Data'!$AZ$3:$AZ$7,MATCH(N28,'G-7 Rivers Data'!$AY$3:$AY$7,0)),"")</f>
        <v/>
      </c>
    </row>
    <row r="29" spans="2:48" ht="14" x14ac:dyDescent="0.3">
      <c r="B29" s="531" t="str">
        <f>'C-1 Site River Baseline'!AN27</f>
        <v/>
      </c>
      <c r="C29" s="520" t="str">
        <f>IF(B29="","",VLOOKUP($B29,'C-1 Site River Baseline'!$C$9:$R$257,2,FALSE))</f>
        <v/>
      </c>
      <c r="D29" s="520" t="str">
        <f>IF(C29="","",VLOOKUP($B29,'C-1 Site River Baseline'!$C$9:$R$257,3,FALSE))</f>
        <v/>
      </c>
      <c r="E29" s="520" t="str">
        <f>IF(D29="","",VLOOKUP($B29,'C-1 Site River Baseline'!$C$9:$R$257,4,FALSE))</f>
        <v/>
      </c>
      <c r="F29" s="520" t="str">
        <f>IF(E29="","",VLOOKUP($B29,'C-1 Site River Baseline'!$C$9:$R$257,5,FALSE))</f>
        <v/>
      </c>
      <c r="G29" s="520" t="str">
        <f>IF(F29="","",VLOOKUP($B29,'C-1 Site River Baseline'!$C$9:$R$257,6,FALSE))</f>
        <v/>
      </c>
      <c r="H29" s="520" t="str">
        <f>IF(G29="","",VLOOKUP($B29,'C-1 Site River Baseline'!$C$9:$R$257,7,FALSE))</f>
        <v/>
      </c>
      <c r="I29" s="520" t="str">
        <f>IF(H29="","",VLOOKUP($B29,'C-1 Site River Baseline'!$C$9:$R$257,8,FALSE))</f>
        <v/>
      </c>
      <c r="J29" s="520" t="str">
        <f>IF(I29="","",VLOOKUP($B29,'C-1 Site River Baseline'!$C$9:$R$257,9,FALSE))</f>
        <v/>
      </c>
      <c r="K29" s="520" t="str">
        <f>IF(J29="","",VLOOKUP($B29,'C-1 Site River Baseline'!$C$9:$R$257,10,FALSE))</f>
        <v/>
      </c>
      <c r="L29" s="520" t="str">
        <f>IF(B29="","",VLOOKUP($B29,'C-1 Site River Baseline'!$C$9:$R$257,15,FALSE))</f>
        <v/>
      </c>
      <c r="M29" s="524" t="str">
        <f>IF(L29="","",VLOOKUP($B29,'C-1 Site River Baseline'!$C$9:$R$257,16,FALSE))</f>
        <v/>
      </c>
      <c r="N29" s="426" t="str">
        <f t="shared" si="6"/>
        <v/>
      </c>
      <c r="O29" s="498" t="str">
        <f t="shared" si="1"/>
        <v/>
      </c>
      <c r="P29" s="499" t="str">
        <f>IF(C29="","",IF(AND(LEFT(C29,55)&lt;&gt;LEFT(N29,55),O29="High - High"),"Error - Not like for like ▲",IF(AND(F29=S29,H29&gt;U29),"Error - Can not reduce condition ▲",IF(AND(F29=S29,H29=U29,AJ29='C-1 Site River Baseline'!N27,'C-1 Site River Baseline'!P27=AL29),"Error - No enhancement ▲",IF(AND(C29&lt;&gt;N29,F29&lt;S29),"Lower Distinctiveness Habitat"&amp;" - "&amp;T29,G29&amp;" - "&amp;T29)))))</f>
        <v/>
      </c>
      <c r="Q29" s="567" t="str">
        <f>IF(N29="","",VLOOKUP(B29,'C-1 Site River Baseline'!$C$10:$AA$257,19,FALSE))</f>
        <v/>
      </c>
      <c r="R29" s="498" t="str">
        <f>IF(N29="","",VLOOKUP(N29,'G-7 Rivers Data'!$B$2:$G$8,2,FALSE))</f>
        <v/>
      </c>
      <c r="S29" s="499" t="str">
        <f>IFERROR(VLOOKUP(R29,'G-7 Rivers Data'!$C$4:$D$8,2,FALSE),"")</f>
        <v/>
      </c>
      <c r="T29" s="145"/>
      <c r="U29" s="499" t="str">
        <f>IFERROR(INDEX('G-7 Rivers Data'!$H$4:$L$8,MATCH(N29,'G-7 Rivers Data'!$B$4:$B$8,0),MATCH(T29,'G-7 Rivers Data'!$H$3:$L$3,0)),"")</f>
        <v/>
      </c>
      <c r="V29" s="154"/>
      <c r="W29" s="507" t="str">
        <f>IF(V29="","",IF(VLOOKUP(V29,'G-7 Rivers Data'!$AG$4:$AI$9,2,FALSE)=0,"Spatial Data Missing ⚠",VLOOKUP(V29,'G-7 Rivers Data'!$AG$4:$AI$9,2,FALSE)))</f>
        <v/>
      </c>
      <c r="X29" s="499" t="str">
        <f>IF(V29="","",IF(VLOOKUP(V29,'G-7 Rivers Data'!$AG$4:$AI$9,3,FALSE)=0,"Spatial Data Missing ⚠",VLOOKUP(V29,'G-7 Rivers Data'!$AG$4:$AI$9,3,FALSE)))</f>
        <v/>
      </c>
      <c r="Y29" s="498" t="str">
        <f>IFERROR(IF(OR(LEFT(P29,5)="Error ▲",LEFT(O29,5)="Error ▲"),"Check Data ⚠",IF(F29&lt;S29,'G-7 Rivers Data'!$R$3,INDEX('G-7 Rivers Data'!$U$5:$Y$9,MATCH(G29,'G-7 Rivers Data'!$T$5:$T$9,0),MATCH(T29,'G-7 Rivers Data'!$U$4:$Y$4,0)))),"")</f>
        <v/>
      </c>
      <c r="Z29" s="195"/>
      <c r="AA29" s="195"/>
      <c r="AB29" s="507" t="str">
        <f t="shared" si="2"/>
        <v/>
      </c>
      <c r="AC29" s="521" t="str">
        <f t="shared" si="3"/>
        <v/>
      </c>
      <c r="AD29" s="564" t="str">
        <f>IFERROR(IF(AC29="Check Data ⚠","Check Data ⚠",VLOOKUP(AC29,'G-4 Temporal multipliers'!$A$4:$C$37,3,FALSE)),"")</f>
        <v/>
      </c>
      <c r="AE29" s="498" t="str">
        <f>IF(N29="","",VLOOKUP(N29,'G-7 Rivers Data'!$B$4:$G$8,5,FALSE))</f>
        <v/>
      </c>
      <c r="AF29" s="507" t="str">
        <f t="shared" si="4"/>
        <v/>
      </c>
      <c r="AG29" s="540" t="str">
        <f t="shared" si="5"/>
        <v/>
      </c>
      <c r="AH29" s="499" t="str">
        <f t="shared" si="0"/>
        <v/>
      </c>
      <c r="AI29" s="145"/>
      <c r="AJ29" s="499" t="str">
        <f>IF(AI29="","",IF(VLOOKUP(AI29,'G-7 Rivers Data'!$AA$4:$AB$7,2,FALSE)=0,"Spatial Data Missing ⚠",VLOOKUP(AI29,'G-7 Rivers Data'!$AA$4:$AB$7,2,FALSE)))</f>
        <v/>
      </c>
      <c r="AK29" s="155"/>
      <c r="AL29" s="499" t="str">
        <f>IF(AK29="","",IF(VLOOKUP(AK29,'G-7 Rivers Data'!$AD$4:$AE$8,2,FALSE)=0,"Spatial Data Missing ⚠",VLOOKUP(AK29,'G-7 Rivers Data'!$AD$4:$AE$8,2,FALSE)))</f>
        <v/>
      </c>
      <c r="AM29" s="545" t="str">
        <f t="shared" si="7"/>
        <v/>
      </c>
      <c r="AN29" s="149"/>
      <c r="AO29" s="150"/>
      <c r="AV29" s="31" t="str">
        <f>IFERROR(INDEX('G-7 Rivers Data'!$AZ$3:$AZ$7,MATCH(N29,'G-7 Rivers Data'!$AY$3:$AY$7,0)),"")</f>
        <v/>
      </c>
    </row>
    <row r="30" spans="2:48" ht="14" x14ac:dyDescent="0.3">
      <c r="B30" s="531" t="str">
        <f>'C-1 Site River Baseline'!AN28</f>
        <v/>
      </c>
      <c r="C30" s="520" t="str">
        <f>IF(B30="","",VLOOKUP($B30,'C-1 Site River Baseline'!$C$9:$R$257,2,FALSE))</f>
        <v/>
      </c>
      <c r="D30" s="520" t="str">
        <f>IF(C30="","",VLOOKUP($B30,'C-1 Site River Baseline'!$C$9:$R$257,3,FALSE))</f>
        <v/>
      </c>
      <c r="E30" s="520" t="str">
        <f>IF(D30="","",VLOOKUP($B30,'C-1 Site River Baseline'!$C$9:$R$257,4,FALSE))</f>
        <v/>
      </c>
      <c r="F30" s="520" t="str">
        <f>IF(E30="","",VLOOKUP($B30,'C-1 Site River Baseline'!$C$9:$R$257,5,FALSE))</f>
        <v/>
      </c>
      <c r="G30" s="520" t="str">
        <f>IF(F30="","",VLOOKUP($B30,'C-1 Site River Baseline'!$C$9:$R$257,6,FALSE))</f>
        <v/>
      </c>
      <c r="H30" s="520" t="str">
        <f>IF(G30="","",VLOOKUP($B30,'C-1 Site River Baseline'!$C$9:$R$257,7,FALSE))</f>
        <v/>
      </c>
      <c r="I30" s="520" t="str">
        <f>IF(H30="","",VLOOKUP($B30,'C-1 Site River Baseline'!$C$9:$R$257,8,FALSE))</f>
        <v/>
      </c>
      <c r="J30" s="520" t="str">
        <f>IF(I30="","",VLOOKUP($B30,'C-1 Site River Baseline'!$C$9:$R$257,9,FALSE))</f>
        <v/>
      </c>
      <c r="K30" s="520" t="str">
        <f>IF(J30="","",VLOOKUP($B30,'C-1 Site River Baseline'!$C$9:$R$257,10,FALSE))</f>
        <v/>
      </c>
      <c r="L30" s="520" t="str">
        <f>IF(B30="","",VLOOKUP($B30,'C-1 Site River Baseline'!$C$9:$R$257,15,FALSE))</f>
        <v/>
      </c>
      <c r="M30" s="524" t="str">
        <f>IF(L30="","",VLOOKUP($B30,'C-1 Site River Baseline'!$C$9:$R$257,16,FALSE))</f>
        <v/>
      </c>
      <c r="N30" s="426" t="str">
        <f t="shared" si="6"/>
        <v/>
      </c>
      <c r="O30" s="498" t="str">
        <f t="shared" si="1"/>
        <v/>
      </c>
      <c r="P30" s="499" t="str">
        <f>IF(C30="","",IF(AND(LEFT(C30,55)&lt;&gt;LEFT(N30,55),O30="High - High"),"Error - Not like for like ▲",IF(AND(F30=S30,H30&gt;U30),"Error - Can not reduce condition ▲",IF(AND(F30=S30,H30=U30,AJ30='C-1 Site River Baseline'!N28,'C-1 Site River Baseline'!P28=AL30),"Error - No enhancement ▲",IF(AND(C30&lt;&gt;N30,F30&lt;S30),"Lower Distinctiveness Habitat"&amp;" - "&amp;T30,G30&amp;" - "&amp;T30)))))</f>
        <v/>
      </c>
      <c r="Q30" s="567" t="str">
        <f>IF(N30="","",VLOOKUP(B30,'C-1 Site River Baseline'!$C$10:$AA$257,19,FALSE))</f>
        <v/>
      </c>
      <c r="R30" s="498" t="str">
        <f>IF(N30="","",VLOOKUP(N30,'G-7 Rivers Data'!$B$2:$G$8,2,FALSE))</f>
        <v/>
      </c>
      <c r="S30" s="499" t="str">
        <f>IFERROR(VLOOKUP(R30,'G-7 Rivers Data'!$C$4:$D$8,2,FALSE),"")</f>
        <v/>
      </c>
      <c r="T30" s="145"/>
      <c r="U30" s="499" t="str">
        <f>IFERROR(INDEX('G-7 Rivers Data'!$H$4:$L$8,MATCH(N30,'G-7 Rivers Data'!$B$4:$B$8,0),MATCH(T30,'G-7 Rivers Data'!$H$3:$L$3,0)),"")</f>
        <v/>
      </c>
      <c r="V30" s="154"/>
      <c r="W30" s="507" t="str">
        <f>IF(V30="","",IF(VLOOKUP(V30,'G-7 Rivers Data'!$AG$4:$AI$9,2,FALSE)=0,"Spatial Data Missing ⚠",VLOOKUP(V30,'G-7 Rivers Data'!$AG$4:$AI$9,2,FALSE)))</f>
        <v/>
      </c>
      <c r="X30" s="499" t="str">
        <f>IF(V30="","",IF(VLOOKUP(V30,'G-7 Rivers Data'!$AG$4:$AI$9,3,FALSE)=0,"Spatial Data Missing ⚠",VLOOKUP(V30,'G-7 Rivers Data'!$AG$4:$AI$9,3,FALSE)))</f>
        <v/>
      </c>
      <c r="Y30" s="498" t="str">
        <f>IFERROR(IF(OR(LEFT(P30,5)="Error ▲",LEFT(O30,5)="Error ▲"),"Check Data ⚠",IF(F30&lt;S30,'G-7 Rivers Data'!$R$3,INDEX('G-7 Rivers Data'!$U$5:$Y$9,MATCH(G30,'G-7 Rivers Data'!$T$5:$T$9,0),MATCH(T30,'G-7 Rivers Data'!$U$4:$Y$4,0)))),"")</f>
        <v/>
      </c>
      <c r="Z30" s="195"/>
      <c r="AA30" s="195"/>
      <c r="AB30" s="507" t="str">
        <f t="shared" si="2"/>
        <v/>
      </c>
      <c r="AC30" s="521" t="str">
        <f t="shared" si="3"/>
        <v/>
      </c>
      <c r="AD30" s="564" t="str">
        <f>IFERROR(IF(AC30="Check Data ⚠","Check Data ⚠",VLOOKUP(AC30,'G-4 Temporal multipliers'!$A$4:$C$37,3,FALSE)),"")</f>
        <v/>
      </c>
      <c r="AE30" s="498" t="str">
        <f>IF(N30="","",VLOOKUP(N30,'G-7 Rivers Data'!$B$4:$G$8,5,FALSE))</f>
        <v/>
      </c>
      <c r="AF30" s="507" t="str">
        <f t="shared" si="4"/>
        <v/>
      </c>
      <c r="AG30" s="540" t="str">
        <f t="shared" si="5"/>
        <v/>
      </c>
      <c r="AH30" s="499" t="str">
        <f t="shared" si="0"/>
        <v/>
      </c>
      <c r="AI30" s="145"/>
      <c r="AJ30" s="499" t="str">
        <f>IF(AI30="","",IF(VLOOKUP(AI30,'G-7 Rivers Data'!$AA$4:$AB$7,2,FALSE)=0,"Spatial Data Missing ⚠",VLOOKUP(AI30,'G-7 Rivers Data'!$AA$4:$AB$7,2,FALSE)))</f>
        <v/>
      </c>
      <c r="AK30" s="155"/>
      <c r="AL30" s="499" t="str">
        <f>IF(AK30="","",IF(VLOOKUP(AK30,'G-7 Rivers Data'!$AD$4:$AE$8,2,FALSE)=0,"Spatial Data Missing ⚠",VLOOKUP(AK30,'G-7 Rivers Data'!$AD$4:$AE$8,2,FALSE)))</f>
        <v/>
      </c>
      <c r="AM30" s="545" t="str">
        <f t="shared" si="7"/>
        <v/>
      </c>
      <c r="AN30" s="149"/>
      <c r="AO30" s="150"/>
      <c r="AV30" s="31" t="str">
        <f>IFERROR(INDEX('G-7 Rivers Data'!$AZ$3:$AZ$7,MATCH(N30,'G-7 Rivers Data'!$AY$3:$AY$7,0)),"")</f>
        <v/>
      </c>
    </row>
    <row r="31" spans="2:48" ht="14" x14ac:dyDescent="0.3">
      <c r="B31" s="531" t="str">
        <f>'C-1 Site River Baseline'!AN29</f>
        <v/>
      </c>
      <c r="C31" s="520" t="str">
        <f>IF(B31="","",VLOOKUP($B31,'C-1 Site River Baseline'!$C$9:$R$257,2,FALSE))</f>
        <v/>
      </c>
      <c r="D31" s="520" t="str">
        <f>IF(C31="","",VLOOKUP($B31,'C-1 Site River Baseline'!$C$9:$R$257,3,FALSE))</f>
        <v/>
      </c>
      <c r="E31" s="520" t="str">
        <f>IF(D31="","",VLOOKUP($B31,'C-1 Site River Baseline'!$C$9:$R$257,4,FALSE))</f>
        <v/>
      </c>
      <c r="F31" s="520" t="str">
        <f>IF(E31="","",VLOOKUP($B31,'C-1 Site River Baseline'!$C$9:$R$257,5,FALSE))</f>
        <v/>
      </c>
      <c r="G31" s="520" t="str">
        <f>IF(F31="","",VLOOKUP($B31,'C-1 Site River Baseline'!$C$9:$R$257,6,FALSE))</f>
        <v/>
      </c>
      <c r="H31" s="520" t="str">
        <f>IF(G31="","",VLOOKUP($B31,'C-1 Site River Baseline'!$C$9:$R$257,7,FALSE))</f>
        <v/>
      </c>
      <c r="I31" s="520" t="str">
        <f>IF(H31="","",VLOOKUP($B31,'C-1 Site River Baseline'!$C$9:$R$257,8,FALSE))</f>
        <v/>
      </c>
      <c r="J31" s="520" t="str">
        <f>IF(I31="","",VLOOKUP($B31,'C-1 Site River Baseline'!$C$9:$R$257,9,FALSE))</f>
        <v/>
      </c>
      <c r="K31" s="520" t="str">
        <f>IF(J31="","",VLOOKUP($B31,'C-1 Site River Baseline'!$C$9:$R$257,10,FALSE))</f>
        <v/>
      </c>
      <c r="L31" s="520" t="str">
        <f>IF(B31="","",VLOOKUP($B31,'C-1 Site River Baseline'!$C$9:$R$257,15,FALSE))</f>
        <v/>
      </c>
      <c r="M31" s="524" t="str">
        <f>IF(L31="","",VLOOKUP($B31,'C-1 Site River Baseline'!$C$9:$R$257,16,FALSE))</f>
        <v/>
      </c>
      <c r="N31" s="426" t="str">
        <f t="shared" si="6"/>
        <v/>
      </c>
      <c r="O31" s="498" t="str">
        <f t="shared" si="1"/>
        <v/>
      </c>
      <c r="P31" s="499" t="str">
        <f>IF(C31="","",IF(AND(LEFT(C31,55)&lt;&gt;LEFT(N31,55),O31="High - High"),"Error - Not like for like ▲",IF(AND(F31=S31,H31&gt;U31),"Error - Can not reduce condition ▲",IF(AND(F31=S31,H31=U31,AJ31='C-1 Site River Baseline'!N29,'C-1 Site River Baseline'!P29=AL31),"Error - No enhancement ▲",IF(AND(C31&lt;&gt;N31,F31&lt;S31),"Lower Distinctiveness Habitat"&amp;" - "&amp;T31,G31&amp;" - "&amp;T31)))))</f>
        <v/>
      </c>
      <c r="Q31" s="567" t="str">
        <f>IF(N31="","",VLOOKUP(B31,'C-1 Site River Baseline'!$C$10:$AA$257,19,FALSE))</f>
        <v/>
      </c>
      <c r="R31" s="498" t="str">
        <f>IF(N31="","",VLOOKUP(N31,'G-7 Rivers Data'!$B$2:$G$8,2,FALSE))</f>
        <v/>
      </c>
      <c r="S31" s="499" t="str">
        <f>IFERROR(VLOOKUP(R31,'G-7 Rivers Data'!$C$4:$D$8,2,FALSE),"")</f>
        <v/>
      </c>
      <c r="T31" s="145"/>
      <c r="U31" s="499" t="str">
        <f>IFERROR(INDEX('G-7 Rivers Data'!$H$4:$L$8,MATCH(N31,'G-7 Rivers Data'!$B$4:$B$8,0),MATCH(T31,'G-7 Rivers Data'!$H$3:$L$3,0)),"")</f>
        <v/>
      </c>
      <c r="V31" s="154"/>
      <c r="W31" s="507" t="str">
        <f>IF(V31="","",IF(VLOOKUP(V31,'G-7 Rivers Data'!$AG$4:$AI$9,2,FALSE)=0,"Spatial Data Missing ⚠",VLOOKUP(V31,'G-7 Rivers Data'!$AG$4:$AI$9,2,FALSE)))</f>
        <v/>
      </c>
      <c r="X31" s="499" t="str">
        <f>IF(V31="","",IF(VLOOKUP(V31,'G-7 Rivers Data'!$AG$4:$AI$9,3,FALSE)=0,"Spatial Data Missing ⚠",VLOOKUP(V31,'G-7 Rivers Data'!$AG$4:$AI$9,3,FALSE)))</f>
        <v/>
      </c>
      <c r="Y31" s="498" t="str">
        <f>IFERROR(IF(OR(LEFT(P31,5)="Error ▲",LEFT(O31,5)="Error ▲"),"Check Data ⚠",IF(F31&lt;S31,'G-7 Rivers Data'!$R$3,INDEX('G-7 Rivers Data'!$U$5:$Y$9,MATCH(G31,'G-7 Rivers Data'!$T$5:$T$9,0),MATCH(T31,'G-7 Rivers Data'!$U$4:$Y$4,0)))),"")</f>
        <v/>
      </c>
      <c r="Z31" s="195"/>
      <c r="AA31" s="195"/>
      <c r="AB31" s="507" t="str">
        <f t="shared" si="2"/>
        <v/>
      </c>
      <c r="AC31" s="521" t="str">
        <f t="shared" si="3"/>
        <v/>
      </c>
      <c r="AD31" s="564" t="str">
        <f>IFERROR(IF(AC31="Check Data ⚠","Check Data ⚠",VLOOKUP(AC31,'G-4 Temporal multipliers'!$A$4:$C$37,3,FALSE)),"")</f>
        <v/>
      </c>
      <c r="AE31" s="498" t="str">
        <f>IF(N31="","",VLOOKUP(N31,'G-7 Rivers Data'!$B$4:$G$8,5,FALSE))</f>
        <v/>
      </c>
      <c r="AF31" s="507" t="str">
        <f t="shared" si="4"/>
        <v/>
      </c>
      <c r="AG31" s="540" t="str">
        <f t="shared" si="5"/>
        <v/>
      </c>
      <c r="AH31" s="499" t="str">
        <f t="shared" si="0"/>
        <v/>
      </c>
      <c r="AI31" s="145"/>
      <c r="AJ31" s="499" t="str">
        <f>IF(AI31="","",IF(VLOOKUP(AI31,'G-7 Rivers Data'!$AA$4:$AB$7,2,FALSE)=0,"Spatial Data Missing ⚠",VLOOKUP(AI31,'G-7 Rivers Data'!$AA$4:$AB$7,2,FALSE)))</f>
        <v/>
      </c>
      <c r="AK31" s="155"/>
      <c r="AL31" s="499" t="str">
        <f>IF(AK31="","",IF(VLOOKUP(AK31,'G-7 Rivers Data'!$AD$4:$AE$8,2,FALSE)=0,"Spatial Data Missing ⚠",VLOOKUP(AK31,'G-7 Rivers Data'!$AD$4:$AE$8,2,FALSE)))</f>
        <v/>
      </c>
      <c r="AM31" s="545" t="str">
        <f t="shared" si="7"/>
        <v/>
      </c>
      <c r="AN31" s="149"/>
      <c r="AO31" s="150"/>
      <c r="AV31" s="31" t="str">
        <f>IFERROR(INDEX('G-7 Rivers Data'!$AZ$3:$AZ$7,MATCH(N31,'G-7 Rivers Data'!$AY$3:$AY$7,0)),"")</f>
        <v/>
      </c>
    </row>
    <row r="32" spans="2:48" ht="14" x14ac:dyDescent="0.3">
      <c r="B32" s="531" t="str">
        <f>'C-1 Site River Baseline'!AN30</f>
        <v/>
      </c>
      <c r="C32" s="520" t="str">
        <f>IF(B32="","",VLOOKUP($B32,'C-1 Site River Baseline'!$C$9:$R$257,2,FALSE))</f>
        <v/>
      </c>
      <c r="D32" s="520" t="str">
        <f>IF(C32="","",VLOOKUP($B32,'C-1 Site River Baseline'!$C$9:$R$257,3,FALSE))</f>
        <v/>
      </c>
      <c r="E32" s="520" t="str">
        <f>IF(D32="","",VLOOKUP($B32,'C-1 Site River Baseline'!$C$9:$R$257,4,FALSE))</f>
        <v/>
      </c>
      <c r="F32" s="520" t="str">
        <f>IF(E32="","",VLOOKUP($B32,'C-1 Site River Baseline'!$C$9:$R$257,5,FALSE))</f>
        <v/>
      </c>
      <c r="G32" s="520" t="str">
        <f>IF(F32="","",VLOOKUP($B32,'C-1 Site River Baseline'!$C$9:$R$257,6,FALSE))</f>
        <v/>
      </c>
      <c r="H32" s="520" t="str">
        <f>IF(G32="","",VLOOKUP($B32,'C-1 Site River Baseline'!$C$9:$R$257,7,FALSE))</f>
        <v/>
      </c>
      <c r="I32" s="520" t="str">
        <f>IF(H32="","",VLOOKUP($B32,'C-1 Site River Baseline'!$C$9:$R$257,8,FALSE))</f>
        <v/>
      </c>
      <c r="J32" s="520" t="str">
        <f>IF(I32="","",VLOOKUP($B32,'C-1 Site River Baseline'!$C$9:$R$257,9,FALSE))</f>
        <v/>
      </c>
      <c r="K32" s="520" t="str">
        <f>IF(J32="","",VLOOKUP($B32,'C-1 Site River Baseline'!$C$9:$R$257,10,FALSE))</f>
        <v/>
      </c>
      <c r="L32" s="520" t="str">
        <f>IF(B32="","",VLOOKUP($B32,'C-1 Site River Baseline'!$C$9:$R$257,15,FALSE))</f>
        <v/>
      </c>
      <c r="M32" s="524" t="str">
        <f>IF(L32="","",VLOOKUP($B32,'C-1 Site River Baseline'!$C$9:$R$257,16,FALSE))</f>
        <v/>
      </c>
      <c r="N32" s="426" t="str">
        <f t="shared" si="6"/>
        <v/>
      </c>
      <c r="O32" s="498" t="str">
        <f t="shared" si="1"/>
        <v/>
      </c>
      <c r="P32" s="499" t="str">
        <f>IF(C32="","",IF(AND(LEFT(C32,55)&lt;&gt;LEFT(N32,55),O32="High - High"),"Error - Not like for like ▲",IF(AND(F32=S32,H32&gt;U32),"Error - Can not reduce condition ▲",IF(AND(F32=S32,H32=U32,AJ32='C-1 Site River Baseline'!N30,'C-1 Site River Baseline'!P30=AL32),"Error - No enhancement ▲",IF(AND(C32&lt;&gt;N32,F32&lt;S32),"Lower Distinctiveness Habitat"&amp;" - "&amp;T32,G32&amp;" - "&amp;T32)))))</f>
        <v/>
      </c>
      <c r="Q32" s="567" t="str">
        <f>IF(N32="","",VLOOKUP(B32,'C-1 Site River Baseline'!$C$10:$AA$257,19,FALSE))</f>
        <v/>
      </c>
      <c r="R32" s="498" t="str">
        <f>IF(N32="","",VLOOKUP(N32,'G-7 Rivers Data'!$B$2:$G$8,2,FALSE))</f>
        <v/>
      </c>
      <c r="S32" s="499" t="str">
        <f>IFERROR(VLOOKUP(R32,'G-7 Rivers Data'!$C$4:$D$8,2,FALSE),"")</f>
        <v/>
      </c>
      <c r="T32" s="145"/>
      <c r="U32" s="499" t="str">
        <f>IFERROR(INDEX('G-7 Rivers Data'!$H$4:$L$8,MATCH(N32,'G-7 Rivers Data'!$B$4:$B$8,0),MATCH(T32,'G-7 Rivers Data'!$H$3:$L$3,0)),"")</f>
        <v/>
      </c>
      <c r="V32" s="154"/>
      <c r="W32" s="507" t="str">
        <f>IF(V32="","",IF(VLOOKUP(V32,'G-7 Rivers Data'!$AG$4:$AI$9,2,FALSE)=0,"Spatial Data Missing ⚠",VLOOKUP(V32,'G-7 Rivers Data'!$AG$4:$AI$9,2,FALSE)))</f>
        <v/>
      </c>
      <c r="X32" s="499" t="str">
        <f>IF(V32="","",IF(VLOOKUP(V32,'G-7 Rivers Data'!$AG$4:$AI$9,3,FALSE)=0,"Spatial Data Missing ⚠",VLOOKUP(V32,'G-7 Rivers Data'!$AG$4:$AI$9,3,FALSE)))</f>
        <v/>
      </c>
      <c r="Y32" s="498" t="str">
        <f>IFERROR(IF(OR(LEFT(P32,5)="Error ▲",LEFT(O32,5)="Error ▲"),"Check Data ⚠",IF(F32&lt;S32,'G-7 Rivers Data'!$R$3,INDEX('G-7 Rivers Data'!$U$5:$Y$9,MATCH(G32,'G-7 Rivers Data'!$T$5:$T$9,0),MATCH(T32,'G-7 Rivers Data'!$U$4:$Y$4,0)))),"")</f>
        <v/>
      </c>
      <c r="Z32" s="195"/>
      <c r="AA32" s="195"/>
      <c r="AB32" s="507" t="str">
        <f t="shared" si="2"/>
        <v/>
      </c>
      <c r="AC32" s="521" t="str">
        <f t="shared" si="3"/>
        <v/>
      </c>
      <c r="AD32" s="564" t="str">
        <f>IFERROR(IF(AC32="Check Data ⚠","Check Data ⚠",VLOOKUP(AC32,'G-4 Temporal multipliers'!$A$4:$C$37,3,FALSE)),"")</f>
        <v/>
      </c>
      <c r="AE32" s="498" t="str">
        <f>IF(N32="","",VLOOKUP(N32,'G-7 Rivers Data'!$B$4:$G$8,5,FALSE))</f>
        <v/>
      </c>
      <c r="AF32" s="507" t="str">
        <f t="shared" si="4"/>
        <v/>
      </c>
      <c r="AG32" s="540" t="str">
        <f t="shared" si="5"/>
        <v/>
      </c>
      <c r="AH32" s="499" t="str">
        <f t="shared" si="0"/>
        <v/>
      </c>
      <c r="AI32" s="145"/>
      <c r="AJ32" s="499" t="str">
        <f>IF(AI32="","",IF(VLOOKUP(AI32,'G-7 Rivers Data'!$AA$4:$AB$7,2,FALSE)=0,"Spatial Data Missing ⚠",VLOOKUP(AI32,'G-7 Rivers Data'!$AA$4:$AB$7,2,FALSE)))</f>
        <v/>
      </c>
      <c r="AK32" s="155"/>
      <c r="AL32" s="499" t="str">
        <f>IF(AK32="","",IF(VLOOKUP(AK32,'G-7 Rivers Data'!$AD$4:$AE$8,2,FALSE)=0,"Spatial Data Missing ⚠",VLOOKUP(AK32,'G-7 Rivers Data'!$AD$4:$AE$8,2,FALSE)))</f>
        <v/>
      </c>
      <c r="AM32" s="545" t="str">
        <f t="shared" si="7"/>
        <v/>
      </c>
      <c r="AN32" s="149"/>
      <c r="AO32" s="150"/>
      <c r="AV32" s="31" t="str">
        <f>IFERROR(INDEX('G-7 Rivers Data'!$AZ$3:$AZ$7,MATCH(N32,'G-7 Rivers Data'!$AY$3:$AY$7,0)),"")</f>
        <v/>
      </c>
    </row>
    <row r="33" spans="2:48" ht="14" x14ac:dyDescent="0.3">
      <c r="B33" s="531" t="str">
        <f>'C-1 Site River Baseline'!AN31</f>
        <v/>
      </c>
      <c r="C33" s="520" t="str">
        <f>IF(B33="","",VLOOKUP($B33,'C-1 Site River Baseline'!$C$9:$R$257,2,FALSE))</f>
        <v/>
      </c>
      <c r="D33" s="520" t="str">
        <f>IF(C33="","",VLOOKUP($B33,'C-1 Site River Baseline'!$C$9:$R$257,3,FALSE))</f>
        <v/>
      </c>
      <c r="E33" s="520" t="str">
        <f>IF(D33="","",VLOOKUP($B33,'C-1 Site River Baseline'!$C$9:$R$257,4,FALSE))</f>
        <v/>
      </c>
      <c r="F33" s="520" t="str">
        <f>IF(E33="","",VLOOKUP($B33,'C-1 Site River Baseline'!$C$9:$R$257,5,FALSE))</f>
        <v/>
      </c>
      <c r="G33" s="520" t="str">
        <f>IF(F33="","",VLOOKUP($B33,'C-1 Site River Baseline'!$C$9:$R$257,6,FALSE))</f>
        <v/>
      </c>
      <c r="H33" s="520" t="str">
        <f>IF(G33="","",VLOOKUP($B33,'C-1 Site River Baseline'!$C$9:$R$257,7,FALSE))</f>
        <v/>
      </c>
      <c r="I33" s="520" t="str">
        <f>IF(H33="","",VLOOKUP($B33,'C-1 Site River Baseline'!$C$9:$R$257,8,FALSE))</f>
        <v/>
      </c>
      <c r="J33" s="520" t="str">
        <f>IF(I33="","",VLOOKUP($B33,'C-1 Site River Baseline'!$C$9:$R$257,9,FALSE))</f>
        <v/>
      </c>
      <c r="K33" s="520" t="str">
        <f>IF(J33="","",VLOOKUP($B33,'C-1 Site River Baseline'!$C$9:$R$257,10,FALSE))</f>
        <v/>
      </c>
      <c r="L33" s="520" t="str">
        <f>IF(B33="","",VLOOKUP($B33,'C-1 Site River Baseline'!$C$9:$R$257,15,FALSE))</f>
        <v/>
      </c>
      <c r="M33" s="524" t="str">
        <f>IF(L33="","",VLOOKUP($B33,'C-1 Site River Baseline'!$C$9:$R$257,16,FALSE))</f>
        <v/>
      </c>
      <c r="N33" s="426" t="str">
        <f t="shared" si="6"/>
        <v/>
      </c>
      <c r="O33" s="498" t="str">
        <f t="shared" si="1"/>
        <v/>
      </c>
      <c r="P33" s="499" t="str">
        <f>IF(C33="","",IF(AND(LEFT(C33,55)&lt;&gt;LEFT(N33,55),O33="High - High"),"Error - Not like for like ▲",IF(AND(F33=S33,H33&gt;U33),"Error - Can not reduce condition ▲",IF(AND(F33=S33,H33=U33,AJ33='C-1 Site River Baseline'!N31,'C-1 Site River Baseline'!P31=AL33),"Error - No enhancement ▲",IF(AND(C33&lt;&gt;N33,F33&lt;S33),"Lower Distinctiveness Habitat"&amp;" - "&amp;T33,G33&amp;" - "&amp;T33)))))</f>
        <v/>
      </c>
      <c r="Q33" s="567" t="str">
        <f>IF(N33="","",VLOOKUP(B33,'C-1 Site River Baseline'!$C$10:$AA$257,19,FALSE))</f>
        <v/>
      </c>
      <c r="R33" s="498" t="str">
        <f>IF(N33="","",VLOOKUP(N33,'G-7 Rivers Data'!$B$2:$G$8,2,FALSE))</f>
        <v/>
      </c>
      <c r="S33" s="499" t="str">
        <f>IFERROR(VLOOKUP(R33,'G-7 Rivers Data'!$C$4:$D$8,2,FALSE),"")</f>
        <v/>
      </c>
      <c r="T33" s="145"/>
      <c r="U33" s="499" t="str">
        <f>IFERROR(INDEX('G-7 Rivers Data'!$H$4:$L$8,MATCH(N33,'G-7 Rivers Data'!$B$4:$B$8,0),MATCH(T33,'G-7 Rivers Data'!$H$3:$L$3,0)),"")</f>
        <v/>
      </c>
      <c r="V33" s="154"/>
      <c r="W33" s="507" t="str">
        <f>IF(V33="","",IF(VLOOKUP(V33,'G-7 Rivers Data'!$AG$4:$AI$9,2,FALSE)=0,"Spatial Data Missing ⚠",VLOOKUP(V33,'G-7 Rivers Data'!$AG$4:$AI$9,2,FALSE)))</f>
        <v/>
      </c>
      <c r="X33" s="499" t="str">
        <f>IF(V33="","",IF(VLOOKUP(V33,'G-7 Rivers Data'!$AG$4:$AI$9,3,FALSE)=0,"Spatial Data Missing ⚠",VLOOKUP(V33,'G-7 Rivers Data'!$AG$4:$AI$9,3,FALSE)))</f>
        <v/>
      </c>
      <c r="Y33" s="498" t="str">
        <f>IFERROR(IF(OR(LEFT(P33,5)="Error ▲",LEFT(O33,5)="Error ▲"),"Check Data ⚠",IF(F33&lt;S33,'G-7 Rivers Data'!$R$3,INDEX('G-7 Rivers Data'!$U$5:$Y$9,MATCH(G33,'G-7 Rivers Data'!$T$5:$T$9,0),MATCH(T33,'G-7 Rivers Data'!$U$4:$Y$4,0)))),"")</f>
        <v/>
      </c>
      <c r="Z33" s="195"/>
      <c r="AA33" s="195"/>
      <c r="AB33" s="507" t="str">
        <f t="shared" si="2"/>
        <v/>
      </c>
      <c r="AC33" s="521" t="str">
        <f t="shared" si="3"/>
        <v/>
      </c>
      <c r="AD33" s="564" t="str">
        <f>IFERROR(IF(AC33="Check Data ⚠","Check Data ⚠",VLOOKUP(AC33,'G-4 Temporal multipliers'!$A$4:$C$37,3,FALSE)),"")</f>
        <v/>
      </c>
      <c r="AE33" s="498" t="str">
        <f>IF(N33="","",VLOOKUP(N33,'G-7 Rivers Data'!$B$4:$G$8,5,FALSE))</f>
        <v/>
      </c>
      <c r="AF33" s="507" t="str">
        <f t="shared" si="4"/>
        <v/>
      </c>
      <c r="AG33" s="540" t="str">
        <f t="shared" si="5"/>
        <v/>
      </c>
      <c r="AH33" s="499" t="str">
        <f t="shared" si="0"/>
        <v/>
      </c>
      <c r="AI33" s="145"/>
      <c r="AJ33" s="499" t="str">
        <f>IF(AI33="","",IF(VLOOKUP(AI33,'G-7 Rivers Data'!$AA$4:$AB$7,2,FALSE)=0,"Spatial Data Missing ⚠",VLOOKUP(AI33,'G-7 Rivers Data'!$AA$4:$AB$7,2,FALSE)))</f>
        <v/>
      </c>
      <c r="AK33" s="155"/>
      <c r="AL33" s="499" t="str">
        <f>IF(AK33="","",IF(VLOOKUP(AK33,'G-7 Rivers Data'!$AD$4:$AE$8,2,FALSE)=0,"Spatial Data Missing ⚠",VLOOKUP(AK33,'G-7 Rivers Data'!$AD$4:$AE$8,2,FALSE)))</f>
        <v/>
      </c>
      <c r="AM33" s="545" t="str">
        <f t="shared" si="7"/>
        <v/>
      </c>
      <c r="AN33" s="149"/>
      <c r="AO33" s="150"/>
      <c r="AV33" s="31" t="str">
        <f>IFERROR(INDEX('G-7 Rivers Data'!$AZ$3:$AZ$7,MATCH(N33,'G-7 Rivers Data'!$AY$3:$AY$7,0)),"")</f>
        <v/>
      </c>
    </row>
    <row r="34" spans="2:48" ht="14" x14ac:dyDescent="0.3">
      <c r="B34" s="531" t="str">
        <f>'C-1 Site River Baseline'!AN32</f>
        <v/>
      </c>
      <c r="C34" s="520" t="str">
        <f>IF(B34="","",VLOOKUP($B34,'C-1 Site River Baseline'!$C$9:$R$257,2,FALSE))</f>
        <v/>
      </c>
      <c r="D34" s="520" t="str">
        <f>IF(C34="","",VLOOKUP($B34,'C-1 Site River Baseline'!$C$9:$R$257,3,FALSE))</f>
        <v/>
      </c>
      <c r="E34" s="520" t="str">
        <f>IF(D34="","",VLOOKUP($B34,'C-1 Site River Baseline'!$C$9:$R$257,4,FALSE))</f>
        <v/>
      </c>
      <c r="F34" s="520" t="str">
        <f>IF(E34="","",VLOOKUP($B34,'C-1 Site River Baseline'!$C$9:$R$257,5,FALSE))</f>
        <v/>
      </c>
      <c r="G34" s="520" t="str">
        <f>IF(F34="","",VLOOKUP($B34,'C-1 Site River Baseline'!$C$9:$R$257,6,FALSE))</f>
        <v/>
      </c>
      <c r="H34" s="520" t="str">
        <f>IF(G34="","",VLOOKUP($B34,'C-1 Site River Baseline'!$C$9:$R$257,7,FALSE))</f>
        <v/>
      </c>
      <c r="I34" s="520" t="str">
        <f>IF(H34="","",VLOOKUP($B34,'C-1 Site River Baseline'!$C$9:$R$257,8,FALSE))</f>
        <v/>
      </c>
      <c r="J34" s="520" t="str">
        <f>IF(I34="","",VLOOKUP($B34,'C-1 Site River Baseline'!$C$9:$R$257,9,FALSE))</f>
        <v/>
      </c>
      <c r="K34" s="520" t="str">
        <f>IF(J34="","",VLOOKUP($B34,'C-1 Site River Baseline'!$C$9:$R$257,10,FALSE))</f>
        <v/>
      </c>
      <c r="L34" s="520" t="str">
        <f>IF(B34="","",VLOOKUP($B34,'C-1 Site River Baseline'!$C$9:$R$257,15,FALSE))</f>
        <v/>
      </c>
      <c r="M34" s="524" t="str">
        <f>IF(L34="","",VLOOKUP($B34,'C-1 Site River Baseline'!$C$9:$R$257,16,FALSE))</f>
        <v/>
      </c>
      <c r="N34" s="426" t="str">
        <f t="shared" si="6"/>
        <v/>
      </c>
      <c r="O34" s="498" t="str">
        <f t="shared" si="1"/>
        <v/>
      </c>
      <c r="P34" s="499" t="str">
        <f>IF(C34="","",IF(AND(LEFT(C34,55)&lt;&gt;LEFT(N34,55),O34="High - High"),"Error - Not like for like ▲",IF(AND(F34=S34,H34&gt;U34),"Error - Can not reduce condition ▲",IF(AND(F34=S34,H34=U34,AJ34='C-1 Site River Baseline'!N32,'C-1 Site River Baseline'!P32=AL34),"Error - No enhancement ▲",IF(AND(C34&lt;&gt;N34,F34&lt;S34),"Lower Distinctiveness Habitat"&amp;" - "&amp;T34,G34&amp;" - "&amp;T34)))))</f>
        <v/>
      </c>
      <c r="Q34" s="567" t="str">
        <f>IF(N34="","",VLOOKUP(B34,'C-1 Site River Baseline'!$C$10:$AA$257,19,FALSE))</f>
        <v/>
      </c>
      <c r="R34" s="498" t="str">
        <f>IF(N34="","",VLOOKUP(N34,'G-7 Rivers Data'!$B$2:$G$8,2,FALSE))</f>
        <v/>
      </c>
      <c r="S34" s="499" t="str">
        <f>IFERROR(VLOOKUP(R34,'G-7 Rivers Data'!$C$4:$D$8,2,FALSE),"")</f>
        <v/>
      </c>
      <c r="T34" s="145"/>
      <c r="U34" s="499" t="str">
        <f>IFERROR(INDEX('G-7 Rivers Data'!$H$4:$L$8,MATCH(N34,'G-7 Rivers Data'!$B$4:$B$8,0),MATCH(T34,'G-7 Rivers Data'!$H$3:$L$3,0)),"")</f>
        <v/>
      </c>
      <c r="V34" s="154"/>
      <c r="W34" s="507" t="str">
        <f>IF(V34="","",IF(VLOOKUP(V34,'G-7 Rivers Data'!$AG$4:$AI$9,2,FALSE)=0,"Spatial Data Missing ⚠",VLOOKUP(V34,'G-7 Rivers Data'!$AG$4:$AI$9,2,FALSE)))</f>
        <v/>
      </c>
      <c r="X34" s="499" t="str">
        <f>IF(V34="","",IF(VLOOKUP(V34,'G-7 Rivers Data'!$AG$4:$AI$9,3,FALSE)=0,"Spatial Data Missing ⚠",VLOOKUP(V34,'G-7 Rivers Data'!$AG$4:$AI$9,3,FALSE)))</f>
        <v/>
      </c>
      <c r="Y34" s="498" t="str">
        <f>IFERROR(IF(OR(LEFT(P34,5)="Error ▲",LEFT(O34,5)="Error ▲"),"Check Data ⚠",IF(F34&lt;S34,'G-7 Rivers Data'!$R$3,INDEX('G-7 Rivers Data'!$U$5:$Y$9,MATCH(G34,'G-7 Rivers Data'!$T$5:$T$9,0),MATCH(T34,'G-7 Rivers Data'!$U$4:$Y$4,0)))),"")</f>
        <v/>
      </c>
      <c r="Z34" s="195"/>
      <c r="AA34" s="195"/>
      <c r="AB34" s="507" t="str">
        <f t="shared" si="2"/>
        <v/>
      </c>
      <c r="AC34" s="521" t="str">
        <f t="shared" si="3"/>
        <v/>
      </c>
      <c r="AD34" s="564" t="str">
        <f>IFERROR(IF(AC34="Check Data ⚠","Check Data ⚠",VLOOKUP(AC34,'G-4 Temporal multipliers'!$A$4:$C$37,3,FALSE)),"")</f>
        <v/>
      </c>
      <c r="AE34" s="498" t="str">
        <f>IF(N34="","",VLOOKUP(N34,'G-7 Rivers Data'!$B$4:$G$8,5,FALSE))</f>
        <v/>
      </c>
      <c r="AF34" s="507" t="str">
        <f t="shared" si="4"/>
        <v/>
      </c>
      <c r="AG34" s="540" t="str">
        <f t="shared" si="5"/>
        <v/>
      </c>
      <c r="AH34" s="499" t="str">
        <f t="shared" si="0"/>
        <v/>
      </c>
      <c r="AI34" s="145"/>
      <c r="AJ34" s="499" t="str">
        <f>IF(AI34="","",IF(VLOOKUP(AI34,'G-7 Rivers Data'!$AA$4:$AB$7,2,FALSE)=0,"Spatial Data Missing ⚠",VLOOKUP(AI34,'G-7 Rivers Data'!$AA$4:$AB$7,2,FALSE)))</f>
        <v/>
      </c>
      <c r="AK34" s="155"/>
      <c r="AL34" s="499" t="str">
        <f>IF(AK34="","",IF(VLOOKUP(AK34,'G-7 Rivers Data'!$AD$4:$AE$8,2,FALSE)=0,"Spatial Data Missing ⚠",VLOOKUP(AK34,'G-7 Rivers Data'!$AD$4:$AE$8,2,FALSE)))</f>
        <v/>
      </c>
      <c r="AM34" s="545" t="str">
        <f t="shared" si="7"/>
        <v/>
      </c>
      <c r="AN34" s="149"/>
      <c r="AO34" s="150"/>
      <c r="AV34" s="31" t="str">
        <f>IFERROR(INDEX('G-7 Rivers Data'!$AZ$3:$AZ$7,MATCH(N34,'G-7 Rivers Data'!$AY$3:$AY$7,0)),"")</f>
        <v/>
      </c>
    </row>
    <row r="35" spans="2:48" ht="14" x14ac:dyDescent="0.3">
      <c r="B35" s="531" t="str">
        <f>'C-1 Site River Baseline'!AN33</f>
        <v/>
      </c>
      <c r="C35" s="520" t="str">
        <f>IF(B35="","",VLOOKUP($B35,'C-1 Site River Baseline'!$C$9:$R$257,2,FALSE))</f>
        <v/>
      </c>
      <c r="D35" s="520" t="str">
        <f>IF(C35="","",VLOOKUP($B35,'C-1 Site River Baseline'!$C$9:$R$257,3,FALSE))</f>
        <v/>
      </c>
      <c r="E35" s="520" t="str">
        <f>IF(D35="","",VLOOKUP($B35,'C-1 Site River Baseline'!$C$9:$R$257,4,FALSE))</f>
        <v/>
      </c>
      <c r="F35" s="520" t="str">
        <f>IF(E35="","",VLOOKUP($B35,'C-1 Site River Baseline'!$C$9:$R$257,5,FALSE))</f>
        <v/>
      </c>
      <c r="G35" s="520" t="str">
        <f>IF(F35="","",VLOOKUP($B35,'C-1 Site River Baseline'!$C$9:$R$257,6,FALSE))</f>
        <v/>
      </c>
      <c r="H35" s="520" t="str">
        <f>IF(G35="","",VLOOKUP($B35,'C-1 Site River Baseline'!$C$9:$R$257,7,FALSE))</f>
        <v/>
      </c>
      <c r="I35" s="520" t="str">
        <f>IF(H35="","",VLOOKUP($B35,'C-1 Site River Baseline'!$C$9:$R$257,8,FALSE))</f>
        <v/>
      </c>
      <c r="J35" s="520" t="str">
        <f>IF(I35="","",VLOOKUP($B35,'C-1 Site River Baseline'!$C$9:$R$257,9,FALSE))</f>
        <v/>
      </c>
      <c r="K35" s="520" t="str">
        <f>IF(J35="","",VLOOKUP($B35,'C-1 Site River Baseline'!$C$9:$R$257,10,FALSE))</f>
        <v/>
      </c>
      <c r="L35" s="520" t="str">
        <f>IF(B35="","",VLOOKUP($B35,'C-1 Site River Baseline'!$C$9:$R$257,15,FALSE))</f>
        <v/>
      </c>
      <c r="M35" s="524" t="str">
        <f>IF(L35="","",VLOOKUP($B35,'C-1 Site River Baseline'!$C$9:$R$257,16,FALSE))</f>
        <v/>
      </c>
      <c r="N35" s="426" t="str">
        <f t="shared" si="6"/>
        <v/>
      </c>
      <c r="O35" s="498" t="str">
        <f t="shared" si="1"/>
        <v/>
      </c>
      <c r="P35" s="499" t="str">
        <f>IF(C35="","",IF(AND(LEFT(C35,55)&lt;&gt;LEFT(N35,55),O35="High - High"),"Error - Not like for like ▲",IF(AND(F35=S35,H35&gt;U35),"Error - Can not reduce condition ▲",IF(AND(F35=S35,H35=U35,AJ35='C-1 Site River Baseline'!N33,'C-1 Site River Baseline'!P33=AL35),"Error - No enhancement ▲",IF(AND(C35&lt;&gt;N35,F35&lt;S35),"Lower Distinctiveness Habitat"&amp;" - "&amp;T35,G35&amp;" - "&amp;T35)))))</f>
        <v/>
      </c>
      <c r="Q35" s="567" t="str">
        <f>IF(N35="","",VLOOKUP(B35,'C-1 Site River Baseline'!$C$10:$AA$257,19,FALSE))</f>
        <v/>
      </c>
      <c r="R35" s="498" t="str">
        <f>IF(N35="","",VLOOKUP(N35,'G-7 Rivers Data'!$B$2:$G$8,2,FALSE))</f>
        <v/>
      </c>
      <c r="S35" s="499" t="str">
        <f>IFERROR(VLOOKUP(R35,'G-7 Rivers Data'!$C$4:$D$8,2,FALSE),"")</f>
        <v/>
      </c>
      <c r="T35" s="145"/>
      <c r="U35" s="499" t="str">
        <f>IFERROR(INDEX('G-7 Rivers Data'!$H$4:$L$8,MATCH(N35,'G-7 Rivers Data'!$B$4:$B$8,0),MATCH(T35,'G-7 Rivers Data'!$H$3:$L$3,0)),"")</f>
        <v/>
      </c>
      <c r="V35" s="154"/>
      <c r="W35" s="507" t="str">
        <f>IF(V35="","",IF(VLOOKUP(V35,'G-7 Rivers Data'!$AG$4:$AI$9,2,FALSE)=0,"Spatial Data Missing ⚠",VLOOKUP(V35,'G-7 Rivers Data'!$AG$4:$AI$9,2,FALSE)))</f>
        <v/>
      </c>
      <c r="X35" s="499" t="str">
        <f>IF(V35="","",IF(VLOOKUP(V35,'G-7 Rivers Data'!$AG$4:$AI$9,3,FALSE)=0,"Spatial Data Missing ⚠",VLOOKUP(V35,'G-7 Rivers Data'!$AG$4:$AI$9,3,FALSE)))</f>
        <v/>
      </c>
      <c r="Y35" s="498" t="str">
        <f>IFERROR(IF(OR(LEFT(P35,5)="Error ▲",LEFT(O35,5)="Error ▲"),"Check Data ⚠",IF(F35&lt;S35,'G-7 Rivers Data'!$R$3,INDEX('G-7 Rivers Data'!$U$5:$Y$9,MATCH(G35,'G-7 Rivers Data'!$T$5:$T$9,0),MATCH(T35,'G-7 Rivers Data'!$U$4:$Y$4,0)))),"")</f>
        <v/>
      </c>
      <c r="Z35" s="195"/>
      <c r="AA35" s="195"/>
      <c r="AB35" s="507" t="str">
        <f t="shared" si="2"/>
        <v/>
      </c>
      <c r="AC35" s="521" t="str">
        <f t="shared" si="3"/>
        <v/>
      </c>
      <c r="AD35" s="564" t="str">
        <f>IFERROR(IF(AC35="Check Data ⚠","Check Data ⚠",VLOOKUP(AC35,'G-4 Temporal multipliers'!$A$4:$C$37,3,FALSE)),"")</f>
        <v/>
      </c>
      <c r="AE35" s="498" t="str">
        <f>IF(N35="","",VLOOKUP(N35,'G-7 Rivers Data'!$B$4:$G$8,5,FALSE))</f>
        <v/>
      </c>
      <c r="AF35" s="507" t="str">
        <f t="shared" si="4"/>
        <v/>
      </c>
      <c r="AG35" s="540" t="str">
        <f t="shared" si="5"/>
        <v/>
      </c>
      <c r="AH35" s="499" t="str">
        <f t="shared" si="0"/>
        <v/>
      </c>
      <c r="AI35" s="145"/>
      <c r="AJ35" s="499" t="str">
        <f>IF(AI35="","",IF(VLOOKUP(AI35,'G-7 Rivers Data'!$AA$4:$AB$7,2,FALSE)=0,"Spatial Data Missing ⚠",VLOOKUP(AI35,'G-7 Rivers Data'!$AA$4:$AB$7,2,FALSE)))</f>
        <v/>
      </c>
      <c r="AK35" s="155"/>
      <c r="AL35" s="499" t="str">
        <f>IF(AK35="","",IF(VLOOKUP(AK35,'G-7 Rivers Data'!$AD$4:$AE$8,2,FALSE)=0,"Spatial Data Missing ⚠",VLOOKUP(AK35,'G-7 Rivers Data'!$AD$4:$AE$8,2,FALSE)))</f>
        <v/>
      </c>
      <c r="AM35" s="545" t="str">
        <f t="shared" si="7"/>
        <v/>
      </c>
      <c r="AN35" s="149"/>
      <c r="AO35" s="150"/>
      <c r="AV35" s="31" t="str">
        <f>IFERROR(INDEX('G-7 Rivers Data'!$AZ$3:$AZ$7,MATCH(N35,'G-7 Rivers Data'!$AY$3:$AY$7,0)),"")</f>
        <v/>
      </c>
    </row>
    <row r="36" spans="2:48" ht="14" x14ac:dyDescent="0.3">
      <c r="B36" s="531" t="str">
        <f>'C-1 Site River Baseline'!AN34</f>
        <v/>
      </c>
      <c r="C36" s="520" t="str">
        <f>IF(B36="","",VLOOKUP($B36,'C-1 Site River Baseline'!$C$9:$R$257,2,FALSE))</f>
        <v/>
      </c>
      <c r="D36" s="520" t="str">
        <f>IF(C36="","",VLOOKUP($B36,'C-1 Site River Baseline'!$C$9:$R$257,3,FALSE))</f>
        <v/>
      </c>
      <c r="E36" s="520" t="str">
        <f>IF(D36="","",VLOOKUP($B36,'C-1 Site River Baseline'!$C$9:$R$257,4,FALSE))</f>
        <v/>
      </c>
      <c r="F36" s="520" t="str">
        <f>IF(E36="","",VLOOKUP($B36,'C-1 Site River Baseline'!$C$9:$R$257,5,FALSE))</f>
        <v/>
      </c>
      <c r="G36" s="520" t="str">
        <f>IF(F36="","",VLOOKUP($B36,'C-1 Site River Baseline'!$C$9:$R$257,6,FALSE))</f>
        <v/>
      </c>
      <c r="H36" s="520" t="str">
        <f>IF(G36="","",VLOOKUP($B36,'C-1 Site River Baseline'!$C$9:$R$257,7,FALSE))</f>
        <v/>
      </c>
      <c r="I36" s="520" t="str">
        <f>IF(H36="","",VLOOKUP($B36,'C-1 Site River Baseline'!$C$9:$R$257,8,FALSE))</f>
        <v/>
      </c>
      <c r="J36" s="520" t="str">
        <f>IF(I36="","",VLOOKUP($B36,'C-1 Site River Baseline'!$C$9:$R$257,9,FALSE))</f>
        <v/>
      </c>
      <c r="K36" s="520" t="str">
        <f>IF(J36="","",VLOOKUP($B36,'C-1 Site River Baseline'!$C$9:$R$257,10,FALSE))</f>
        <v/>
      </c>
      <c r="L36" s="520" t="str">
        <f>IF(B36="","",VLOOKUP($B36,'C-1 Site River Baseline'!$C$9:$R$257,15,FALSE))</f>
        <v/>
      </c>
      <c r="M36" s="524" t="str">
        <f>IF(L36="","",VLOOKUP($B36,'C-1 Site River Baseline'!$C$9:$R$257,16,FALSE))</f>
        <v/>
      </c>
      <c r="N36" s="426" t="str">
        <f t="shared" si="6"/>
        <v/>
      </c>
      <c r="O36" s="498" t="str">
        <f t="shared" si="1"/>
        <v/>
      </c>
      <c r="P36" s="499" t="str">
        <f>IF(C36="","",IF(AND(LEFT(C36,55)&lt;&gt;LEFT(N36,55),O36="High - High"),"Error - Not like for like ▲",IF(AND(F36=S36,H36&gt;U36),"Error - Can not reduce condition ▲",IF(AND(F36=S36,H36=U36,AJ36='C-1 Site River Baseline'!N34,'C-1 Site River Baseline'!P34=AL36),"Error - No enhancement ▲",IF(AND(C36&lt;&gt;N36,F36&lt;S36),"Lower Distinctiveness Habitat"&amp;" - "&amp;T36,G36&amp;" - "&amp;T36)))))</f>
        <v/>
      </c>
      <c r="Q36" s="567" t="str">
        <f>IF(N36="","",VLOOKUP(B36,'C-1 Site River Baseline'!$C$10:$AA$257,19,FALSE))</f>
        <v/>
      </c>
      <c r="R36" s="498" t="str">
        <f>IF(N36="","",VLOOKUP(N36,'G-7 Rivers Data'!$B$2:$G$8,2,FALSE))</f>
        <v/>
      </c>
      <c r="S36" s="499" t="str">
        <f>IFERROR(VLOOKUP(R36,'G-7 Rivers Data'!$C$4:$D$8,2,FALSE),"")</f>
        <v/>
      </c>
      <c r="T36" s="145"/>
      <c r="U36" s="499" t="str">
        <f>IFERROR(INDEX('G-7 Rivers Data'!$H$4:$L$8,MATCH(N36,'G-7 Rivers Data'!$B$4:$B$8,0),MATCH(T36,'G-7 Rivers Data'!$H$3:$L$3,0)),"")</f>
        <v/>
      </c>
      <c r="V36" s="154"/>
      <c r="W36" s="507" t="str">
        <f>IF(V36="","",IF(VLOOKUP(V36,'G-7 Rivers Data'!$AG$4:$AI$9,2,FALSE)=0,"Spatial Data Missing ⚠",VLOOKUP(V36,'G-7 Rivers Data'!$AG$4:$AI$9,2,FALSE)))</f>
        <v/>
      </c>
      <c r="X36" s="499" t="str">
        <f>IF(V36="","",IF(VLOOKUP(V36,'G-7 Rivers Data'!$AG$4:$AI$9,3,FALSE)=0,"Spatial Data Missing ⚠",VLOOKUP(V36,'G-7 Rivers Data'!$AG$4:$AI$9,3,FALSE)))</f>
        <v/>
      </c>
      <c r="Y36" s="498" t="str">
        <f>IFERROR(IF(OR(LEFT(P36,5)="Error ▲",LEFT(O36,5)="Error ▲"),"Check Data ⚠",IF(F36&lt;S36,'G-7 Rivers Data'!$R$3,INDEX('G-7 Rivers Data'!$U$5:$Y$9,MATCH(G36,'G-7 Rivers Data'!$T$5:$T$9,0),MATCH(T36,'G-7 Rivers Data'!$U$4:$Y$4,0)))),"")</f>
        <v/>
      </c>
      <c r="Z36" s="195"/>
      <c r="AA36" s="195"/>
      <c r="AB36" s="507" t="str">
        <f t="shared" si="2"/>
        <v/>
      </c>
      <c r="AC36" s="521" t="str">
        <f t="shared" si="3"/>
        <v/>
      </c>
      <c r="AD36" s="564" t="str">
        <f>IFERROR(IF(AC36="Check Data ⚠","Check Data ⚠",VLOOKUP(AC36,'G-4 Temporal multipliers'!$A$4:$C$37,3,FALSE)),"")</f>
        <v/>
      </c>
      <c r="AE36" s="498" t="str">
        <f>IF(N36="","",VLOOKUP(N36,'G-7 Rivers Data'!$B$4:$G$8,5,FALSE))</f>
        <v/>
      </c>
      <c r="AF36" s="507" t="str">
        <f t="shared" si="4"/>
        <v/>
      </c>
      <c r="AG36" s="540" t="str">
        <f t="shared" si="5"/>
        <v/>
      </c>
      <c r="AH36" s="499" t="str">
        <f t="shared" si="0"/>
        <v/>
      </c>
      <c r="AI36" s="145"/>
      <c r="AJ36" s="499" t="str">
        <f>IF(AI36="","",IF(VLOOKUP(AI36,'G-7 Rivers Data'!$AA$4:$AB$7,2,FALSE)=0,"Spatial Data Missing ⚠",VLOOKUP(AI36,'G-7 Rivers Data'!$AA$4:$AB$7,2,FALSE)))</f>
        <v/>
      </c>
      <c r="AK36" s="155"/>
      <c r="AL36" s="499" t="str">
        <f>IF(AK36="","",IF(VLOOKUP(AK36,'G-7 Rivers Data'!$AD$4:$AE$8,2,FALSE)=0,"Spatial Data Missing ⚠",VLOOKUP(AK36,'G-7 Rivers Data'!$AD$4:$AE$8,2,FALSE)))</f>
        <v/>
      </c>
      <c r="AM36" s="545" t="str">
        <f t="shared" si="7"/>
        <v/>
      </c>
      <c r="AN36" s="149"/>
      <c r="AO36" s="150"/>
      <c r="AV36" s="31" t="str">
        <f>IFERROR(INDEX('G-7 Rivers Data'!$AZ$3:$AZ$7,MATCH(N36,'G-7 Rivers Data'!$AY$3:$AY$7,0)),"")</f>
        <v/>
      </c>
    </row>
    <row r="37" spans="2:48" ht="14" x14ac:dyDescent="0.3">
      <c r="B37" s="531" t="str">
        <f>'C-1 Site River Baseline'!AN35</f>
        <v/>
      </c>
      <c r="C37" s="520" t="str">
        <f>IF(B37="","",VLOOKUP($B37,'C-1 Site River Baseline'!$C$9:$R$257,2,FALSE))</f>
        <v/>
      </c>
      <c r="D37" s="520" t="str">
        <f>IF(C37="","",VLOOKUP($B37,'C-1 Site River Baseline'!$C$9:$R$257,3,FALSE))</f>
        <v/>
      </c>
      <c r="E37" s="520" t="str">
        <f>IF(D37="","",VLOOKUP($B37,'C-1 Site River Baseline'!$C$9:$R$257,4,FALSE))</f>
        <v/>
      </c>
      <c r="F37" s="520" t="str">
        <f>IF(E37="","",VLOOKUP($B37,'C-1 Site River Baseline'!$C$9:$R$257,5,FALSE))</f>
        <v/>
      </c>
      <c r="G37" s="520" t="str">
        <f>IF(F37="","",VLOOKUP($B37,'C-1 Site River Baseline'!$C$9:$R$257,6,FALSE))</f>
        <v/>
      </c>
      <c r="H37" s="520" t="str">
        <f>IF(G37="","",VLOOKUP($B37,'C-1 Site River Baseline'!$C$9:$R$257,7,FALSE))</f>
        <v/>
      </c>
      <c r="I37" s="520" t="str">
        <f>IF(H37="","",VLOOKUP($B37,'C-1 Site River Baseline'!$C$9:$R$257,8,FALSE))</f>
        <v/>
      </c>
      <c r="J37" s="520" t="str">
        <f>IF(I37="","",VLOOKUP($B37,'C-1 Site River Baseline'!$C$9:$R$257,9,FALSE))</f>
        <v/>
      </c>
      <c r="K37" s="520" t="str">
        <f>IF(J37="","",VLOOKUP($B37,'C-1 Site River Baseline'!$C$9:$R$257,10,FALSE))</f>
        <v/>
      </c>
      <c r="L37" s="520" t="str">
        <f>IF(B37="","",VLOOKUP($B37,'C-1 Site River Baseline'!$C$9:$R$257,15,FALSE))</f>
        <v/>
      </c>
      <c r="M37" s="524" t="str">
        <f>IF(L37="","",VLOOKUP($B37,'C-1 Site River Baseline'!$C$9:$R$257,16,FALSE))</f>
        <v/>
      </c>
      <c r="N37" s="426" t="str">
        <f t="shared" si="6"/>
        <v/>
      </c>
      <c r="O37" s="498" t="str">
        <f t="shared" si="1"/>
        <v/>
      </c>
      <c r="P37" s="499" t="str">
        <f>IF(C37="","",IF(AND(LEFT(C37,55)&lt;&gt;LEFT(N37,55),O37="High - High"),"Error - Not like for like ▲",IF(AND(F37=S37,H37&gt;U37),"Error - Can not reduce condition ▲",IF(AND(F37=S37,H37=U37,AJ37='C-1 Site River Baseline'!N35,'C-1 Site River Baseline'!P35=AL37),"Error - No enhancement ▲",IF(AND(C37&lt;&gt;N37,F37&lt;S37),"Lower Distinctiveness Habitat"&amp;" - "&amp;T37,G37&amp;" - "&amp;T37)))))</f>
        <v/>
      </c>
      <c r="Q37" s="567" t="str">
        <f>IF(N37="","",VLOOKUP(B37,'C-1 Site River Baseline'!$C$10:$AA$257,19,FALSE))</f>
        <v/>
      </c>
      <c r="R37" s="498" t="str">
        <f>IF(N37="","",VLOOKUP(N37,'G-7 Rivers Data'!$B$2:$G$8,2,FALSE))</f>
        <v/>
      </c>
      <c r="S37" s="499" t="str">
        <f>IFERROR(VLOOKUP(R37,'G-7 Rivers Data'!$C$4:$D$8,2,FALSE),"")</f>
        <v/>
      </c>
      <c r="T37" s="145"/>
      <c r="U37" s="499" t="str">
        <f>IFERROR(INDEX('G-7 Rivers Data'!$H$4:$L$8,MATCH(N37,'G-7 Rivers Data'!$B$4:$B$8,0),MATCH(T37,'G-7 Rivers Data'!$H$3:$L$3,0)),"")</f>
        <v/>
      </c>
      <c r="V37" s="154"/>
      <c r="W37" s="507" t="str">
        <f>IF(V37="","",IF(VLOOKUP(V37,'G-7 Rivers Data'!$AG$4:$AI$9,2,FALSE)=0,"Spatial Data Missing ⚠",VLOOKUP(V37,'G-7 Rivers Data'!$AG$4:$AI$9,2,FALSE)))</f>
        <v/>
      </c>
      <c r="X37" s="499" t="str">
        <f>IF(V37="","",IF(VLOOKUP(V37,'G-7 Rivers Data'!$AG$4:$AI$9,3,FALSE)=0,"Spatial Data Missing ⚠",VLOOKUP(V37,'G-7 Rivers Data'!$AG$4:$AI$9,3,FALSE)))</f>
        <v/>
      </c>
      <c r="Y37" s="498" t="str">
        <f>IFERROR(IF(OR(LEFT(P37,5)="Error ▲",LEFT(O37,5)="Error ▲"),"Check Data ⚠",IF(F37&lt;S37,'G-7 Rivers Data'!$R$3,INDEX('G-7 Rivers Data'!$U$5:$Y$9,MATCH(G37,'G-7 Rivers Data'!$T$5:$T$9,0),MATCH(T37,'G-7 Rivers Data'!$U$4:$Y$4,0)))),"")</f>
        <v/>
      </c>
      <c r="Z37" s="195"/>
      <c r="AA37" s="195"/>
      <c r="AB37" s="507" t="str">
        <f t="shared" si="2"/>
        <v/>
      </c>
      <c r="AC37" s="521" t="str">
        <f t="shared" si="3"/>
        <v/>
      </c>
      <c r="AD37" s="564" t="str">
        <f>IFERROR(IF(AC37="Check Data ⚠","Check Data ⚠",VLOOKUP(AC37,'G-4 Temporal multipliers'!$A$4:$C$37,3,FALSE)),"")</f>
        <v/>
      </c>
      <c r="AE37" s="498" t="str">
        <f>IF(N37="","",VLOOKUP(N37,'G-7 Rivers Data'!$B$4:$G$8,5,FALSE))</f>
        <v/>
      </c>
      <c r="AF37" s="507" t="str">
        <f t="shared" si="4"/>
        <v/>
      </c>
      <c r="AG37" s="540" t="str">
        <f t="shared" si="5"/>
        <v/>
      </c>
      <c r="AH37" s="499" t="str">
        <f t="shared" si="0"/>
        <v/>
      </c>
      <c r="AI37" s="145"/>
      <c r="AJ37" s="499" t="str">
        <f>IF(AI37="","",IF(VLOOKUP(AI37,'G-7 Rivers Data'!$AA$4:$AB$7,2,FALSE)=0,"Spatial Data Missing ⚠",VLOOKUP(AI37,'G-7 Rivers Data'!$AA$4:$AB$7,2,FALSE)))</f>
        <v/>
      </c>
      <c r="AK37" s="155"/>
      <c r="AL37" s="499" t="str">
        <f>IF(AK37="","",IF(VLOOKUP(AK37,'G-7 Rivers Data'!$AD$4:$AE$8,2,FALSE)=0,"Spatial Data Missing ⚠",VLOOKUP(AK37,'G-7 Rivers Data'!$AD$4:$AE$8,2,FALSE)))</f>
        <v/>
      </c>
      <c r="AM37" s="545" t="str">
        <f t="shared" si="7"/>
        <v/>
      </c>
      <c r="AN37" s="149"/>
      <c r="AO37" s="150"/>
      <c r="AV37" s="31" t="str">
        <f>IFERROR(INDEX('G-7 Rivers Data'!$AZ$3:$AZ$7,MATCH(N37,'G-7 Rivers Data'!$AY$3:$AY$7,0)),"")</f>
        <v/>
      </c>
    </row>
    <row r="38" spans="2:48" ht="14" x14ac:dyDescent="0.3">
      <c r="B38" s="531" t="str">
        <f>'C-1 Site River Baseline'!AN36</f>
        <v/>
      </c>
      <c r="C38" s="520" t="str">
        <f>IF(B38="","",VLOOKUP($B38,'C-1 Site River Baseline'!$C$9:$R$257,2,FALSE))</f>
        <v/>
      </c>
      <c r="D38" s="520" t="str">
        <f>IF(C38="","",VLOOKUP($B38,'C-1 Site River Baseline'!$C$9:$R$257,3,FALSE))</f>
        <v/>
      </c>
      <c r="E38" s="520" t="str">
        <f>IF(D38="","",VLOOKUP($B38,'C-1 Site River Baseline'!$C$9:$R$257,4,FALSE))</f>
        <v/>
      </c>
      <c r="F38" s="520" t="str">
        <f>IF(E38="","",VLOOKUP($B38,'C-1 Site River Baseline'!$C$9:$R$257,5,FALSE))</f>
        <v/>
      </c>
      <c r="G38" s="520" t="str">
        <f>IF(F38="","",VLOOKUP($B38,'C-1 Site River Baseline'!$C$9:$R$257,6,FALSE))</f>
        <v/>
      </c>
      <c r="H38" s="520" t="str">
        <f>IF(G38="","",VLOOKUP($B38,'C-1 Site River Baseline'!$C$9:$R$257,7,FALSE))</f>
        <v/>
      </c>
      <c r="I38" s="520" t="str">
        <f>IF(H38="","",VLOOKUP($B38,'C-1 Site River Baseline'!$C$9:$R$257,8,FALSE))</f>
        <v/>
      </c>
      <c r="J38" s="520" t="str">
        <f>IF(I38="","",VLOOKUP($B38,'C-1 Site River Baseline'!$C$9:$R$257,9,FALSE))</f>
        <v/>
      </c>
      <c r="K38" s="520" t="str">
        <f>IF(J38="","",VLOOKUP($B38,'C-1 Site River Baseline'!$C$9:$R$257,10,FALSE))</f>
        <v/>
      </c>
      <c r="L38" s="520" t="str">
        <f>IF(B38="","",VLOOKUP($B38,'C-1 Site River Baseline'!$C$9:$R$257,15,FALSE))</f>
        <v/>
      </c>
      <c r="M38" s="524" t="str">
        <f>IF(L38="","",VLOOKUP($B38,'C-1 Site River Baseline'!$C$9:$R$257,16,FALSE))</f>
        <v/>
      </c>
      <c r="N38" s="426" t="str">
        <f t="shared" si="6"/>
        <v/>
      </c>
      <c r="O38" s="498" t="str">
        <f t="shared" si="1"/>
        <v/>
      </c>
      <c r="P38" s="499" t="str">
        <f>IF(C38="","",IF(AND(LEFT(C38,55)&lt;&gt;LEFT(N38,55),O38="High - High"),"Error - Not like for like ▲",IF(AND(F38=S38,H38&gt;U38),"Error - Can not reduce condition ▲",IF(AND(F38=S38,H38=U38,AJ38='C-1 Site River Baseline'!N36,'C-1 Site River Baseline'!P36=AL38),"Error - No enhancement ▲",IF(AND(C38&lt;&gt;N38,F38&lt;S38),"Lower Distinctiveness Habitat"&amp;" - "&amp;T38,G38&amp;" - "&amp;T38)))))</f>
        <v/>
      </c>
      <c r="Q38" s="567" t="str">
        <f>IF(N38="","",VLOOKUP(B38,'C-1 Site River Baseline'!$C$10:$AA$257,19,FALSE))</f>
        <v/>
      </c>
      <c r="R38" s="498" t="str">
        <f>IF(N38="","",VLOOKUP(N38,'G-7 Rivers Data'!$B$2:$G$8,2,FALSE))</f>
        <v/>
      </c>
      <c r="S38" s="499" t="str">
        <f>IFERROR(VLOOKUP(R38,'G-7 Rivers Data'!$C$4:$D$8,2,FALSE),"")</f>
        <v/>
      </c>
      <c r="T38" s="145"/>
      <c r="U38" s="499" t="str">
        <f>IFERROR(INDEX('G-7 Rivers Data'!$H$4:$L$8,MATCH(N38,'G-7 Rivers Data'!$B$4:$B$8,0),MATCH(T38,'G-7 Rivers Data'!$H$3:$L$3,0)),"")</f>
        <v/>
      </c>
      <c r="V38" s="154"/>
      <c r="W38" s="507" t="str">
        <f>IF(V38="","",IF(VLOOKUP(V38,'G-7 Rivers Data'!$AG$4:$AI$9,2,FALSE)=0,"Spatial Data Missing ⚠",VLOOKUP(V38,'G-7 Rivers Data'!$AG$4:$AI$9,2,FALSE)))</f>
        <v/>
      </c>
      <c r="X38" s="499" t="str">
        <f>IF(V38="","",IF(VLOOKUP(V38,'G-7 Rivers Data'!$AG$4:$AI$9,3,FALSE)=0,"Spatial Data Missing ⚠",VLOOKUP(V38,'G-7 Rivers Data'!$AG$4:$AI$9,3,FALSE)))</f>
        <v/>
      </c>
      <c r="Y38" s="498" t="str">
        <f>IFERROR(IF(OR(LEFT(P38,5)="Error ▲",LEFT(O38,5)="Error ▲"),"Check Data ⚠",IF(F38&lt;S38,'G-7 Rivers Data'!$R$3,INDEX('G-7 Rivers Data'!$U$5:$Y$9,MATCH(G38,'G-7 Rivers Data'!$T$5:$T$9,0),MATCH(T38,'G-7 Rivers Data'!$U$4:$Y$4,0)))),"")</f>
        <v/>
      </c>
      <c r="Z38" s="195"/>
      <c r="AA38" s="195"/>
      <c r="AB38" s="507" t="str">
        <f t="shared" si="2"/>
        <v/>
      </c>
      <c r="AC38" s="521" t="str">
        <f t="shared" si="3"/>
        <v/>
      </c>
      <c r="AD38" s="564" t="str">
        <f>IFERROR(IF(AC38="Check Data ⚠","Check Data ⚠",VLOOKUP(AC38,'G-4 Temporal multipliers'!$A$4:$C$37,3,FALSE)),"")</f>
        <v/>
      </c>
      <c r="AE38" s="498" t="str">
        <f>IF(N38="","",VLOOKUP(N38,'G-7 Rivers Data'!$B$4:$G$8,5,FALSE))</f>
        <v/>
      </c>
      <c r="AF38" s="507" t="str">
        <f t="shared" si="4"/>
        <v/>
      </c>
      <c r="AG38" s="540" t="str">
        <f t="shared" si="5"/>
        <v/>
      </c>
      <c r="AH38" s="499" t="str">
        <f t="shared" si="0"/>
        <v/>
      </c>
      <c r="AI38" s="145"/>
      <c r="AJ38" s="499" t="str">
        <f>IF(AI38="","",IF(VLOOKUP(AI38,'G-7 Rivers Data'!$AA$4:$AB$7,2,FALSE)=0,"Spatial Data Missing ⚠",VLOOKUP(AI38,'G-7 Rivers Data'!$AA$4:$AB$7,2,FALSE)))</f>
        <v/>
      </c>
      <c r="AK38" s="155"/>
      <c r="AL38" s="499" t="str">
        <f>IF(AK38="","",IF(VLOOKUP(AK38,'G-7 Rivers Data'!$AD$4:$AE$8,2,FALSE)=0,"Spatial Data Missing ⚠",VLOOKUP(AK38,'G-7 Rivers Data'!$AD$4:$AE$8,2,FALSE)))</f>
        <v/>
      </c>
      <c r="AM38" s="545" t="str">
        <f t="shared" si="7"/>
        <v/>
      </c>
      <c r="AN38" s="149"/>
      <c r="AO38" s="150"/>
      <c r="AV38" s="31" t="str">
        <f>IFERROR(INDEX('G-7 Rivers Data'!$AZ$3:$AZ$7,MATCH(N38,'G-7 Rivers Data'!$AY$3:$AY$7,0)),"")</f>
        <v/>
      </c>
    </row>
    <row r="39" spans="2:48" ht="14" x14ac:dyDescent="0.3">
      <c r="B39" s="531" t="str">
        <f>'C-1 Site River Baseline'!AN37</f>
        <v/>
      </c>
      <c r="C39" s="520" t="str">
        <f>IF(B39="","",VLOOKUP($B39,'C-1 Site River Baseline'!$C$9:$R$257,2,FALSE))</f>
        <v/>
      </c>
      <c r="D39" s="520" t="str">
        <f>IF(C39="","",VLOOKUP($B39,'C-1 Site River Baseline'!$C$9:$R$257,3,FALSE))</f>
        <v/>
      </c>
      <c r="E39" s="520" t="str">
        <f>IF(D39="","",VLOOKUP($B39,'C-1 Site River Baseline'!$C$9:$R$257,4,FALSE))</f>
        <v/>
      </c>
      <c r="F39" s="520" t="str">
        <f>IF(E39="","",VLOOKUP($B39,'C-1 Site River Baseline'!$C$9:$R$257,5,FALSE))</f>
        <v/>
      </c>
      <c r="G39" s="520" t="str">
        <f>IF(F39="","",VLOOKUP($B39,'C-1 Site River Baseline'!$C$9:$R$257,6,FALSE))</f>
        <v/>
      </c>
      <c r="H39" s="520" t="str">
        <f>IF(G39="","",VLOOKUP($B39,'C-1 Site River Baseline'!$C$9:$R$257,7,FALSE))</f>
        <v/>
      </c>
      <c r="I39" s="520" t="str">
        <f>IF(H39="","",VLOOKUP($B39,'C-1 Site River Baseline'!$C$9:$R$257,8,FALSE))</f>
        <v/>
      </c>
      <c r="J39" s="520" t="str">
        <f>IF(I39="","",VLOOKUP($B39,'C-1 Site River Baseline'!$C$9:$R$257,9,FALSE))</f>
        <v/>
      </c>
      <c r="K39" s="520" t="str">
        <f>IF(J39="","",VLOOKUP($B39,'C-1 Site River Baseline'!$C$9:$R$257,10,FALSE))</f>
        <v/>
      </c>
      <c r="L39" s="520" t="str">
        <f>IF(B39="","",VLOOKUP($B39,'C-1 Site River Baseline'!$C$9:$R$257,15,FALSE))</f>
        <v/>
      </c>
      <c r="M39" s="524" t="str">
        <f>IF(L39="","",VLOOKUP($B39,'C-1 Site River Baseline'!$C$9:$R$257,16,FALSE))</f>
        <v/>
      </c>
      <c r="N39" s="426" t="str">
        <f t="shared" si="6"/>
        <v/>
      </c>
      <c r="O39" s="498" t="str">
        <f t="shared" si="1"/>
        <v/>
      </c>
      <c r="P39" s="499" t="str">
        <f>IF(C39="","",IF(AND(LEFT(C39,55)&lt;&gt;LEFT(N39,55),O39="High - High"),"Error - Not like for like ▲",IF(AND(F39=S39,H39&gt;U39),"Error - Can not reduce condition ▲",IF(AND(F39=S39,H39=U39,AJ39='C-1 Site River Baseline'!N37,'C-1 Site River Baseline'!P37=AL39),"Error - No enhancement ▲",IF(AND(C39&lt;&gt;N39,F39&lt;S39),"Lower Distinctiveness Habitat"&amp;" - "&amp;T39,G39&amp;" - "&amp;T39)))))</f>
        <v/>
      </c>
      <c r="Q39" s="567" t="str">
        <f>IF(N39="","",VLOOKUP(B39,'C-1 Site River Baseline'!$C$10:$AA$257,19,FALSE))</f>
        <v/>
      </c>
      <c r="R39" s="498" t="str">
        <f>IF(N39="","",VLOOKUP(N39,'G-7 Rivers Data'!$B$2:$G$8,2,FALSE))</f>
        <v/>
      </c>
      <c r="S39" s="499" t="str">
        <f>IFERROR(VLOOKUP(R39,'G-7 Rivers Data'!$C$4:$D$8,2,FALSE),"")</f>
        <v/>
      </c>
      <c r="T39" s="145"/>
      <c r="U39" s="499" t="str">
        <f>IFERROR(INDEX('G-7 Rivers Data'!$H$4:$L$8,MATCH(N39,'G-7 Rivers Data'!$B$4:$B$8,0),MATCH(T39,'G-7 Rivers Data'!$H$3:$L$3,0)),"")</f>
        <v/>
      </c>
      <c r="V39" s="154"/>
      <c r="W39" s="507" t="str">
        <f>IF(V39="","",IF(VLOOKUP(V39,'G-7 Rivers Data'!$AG$4:$AI$9,2,FALSE)=0,"Spatial Data Missing ⚠",VLOOKUP(V39,'G-7 Rivers Data'!$AG$4:$AI$9,2,FALSE)))</f>
        <v/>
      </c>
      <c r="X39" s="499" t="str">
        <f>IF(V39="","",IF(VLOOKUP(V39,'G-7 Rivers Data'!$AG$4:$AI$9,3,FALSE)=0,"Spatial Data Missing ⚠",VLOOKUP(V39,'G-7 Rivers Data'!$AG$4:$AI$9,3,FALSE)))</f>
        <v/>
      </c>
      <c r="Y39" s="498" t="str">
        <f>IFERROR(IF(OR(LEFT(P39,5)="Error ▲",LEFT(O39,5)="Error ▲"),"Check Data ⚠",IF(F39&lt;S39,'G-7 Rivers Data'!$R$3,INDEX('G-7 Rivers Data'!$U$5:$Y$9,MATCH(G39,'G-7 Rivers Data'!$T$5:$T$9,0),MATCH(T39,'G-7 Rivers Data'!$U$4:$Y$4,0)))),"")</f>
        <v/>
      </c>
      <c r="Z39" s="195"/>
      <c r="AA39" s="195"/>
      <c r="AB39" s="507" t="str">
        <f t="shared" si="2"/>
        <v/>
      </c>
      <c r="AC39" s="521" t="str">
        <f t="shared" si="3"/>
        <v/>
      </c>
      <c r="AD39" s="564" t="str">
        <f>IFERROR(IF(AC39="Check Data ⚠","Check Data ⚠",VLOOKUP(AC39,'G-4 Temporal multipliers'!$A$4:$C$37,3,FALSE)),"")</f>
        <v/>
      </c>
      <c r="AE39" s="498" t="str">
        <f>IF(N39="","",VLOOKUP(N39,'G-7 Rivers Data'!$B$4:$G$8,5,FALSE))</f>
        <v/>
      </c>
      <c r="AF39" s="507" t="str">
        <f t="shared" si="4"/>
        <v/>
      </c>
      <c r="AG39" s="540" t="str">
        <f t="shared" si="5"/>
        <v/>
      </c>
      <c r="AH39" s="499" t="str">
        <f t="shared" si="0"/>
        <v/>
      </c>
      <c r="AI39" s="145"/>
      <c r="AJ39" s="499" t="str">
        <f>IF(AI39="","",IF(VLOOKUP(AI39,'G-7 Rivers Data'!$AA$4:$AB$7,2,FALSE)=0,"Spatial Data Missing ⚠",VLOOKUP(AI39,'G-7 Rivers Data'!$AA$4:$AB$7,2,FALSE)))</f>
        <v/>
      </c>
      <c r="AK39" s="155"/>
      <c r="AL39" s="499" t="str">
        <f>IF(AK39="","",IF(VLOOKUP(AK39,'G-7 Rivers Data'!$AD$4:$AE$8,2,FALSE)=0,"Spatial Data Missing ⚠",VLOOKUP(AK39,'G-7 Rivers Data'!$AD$4:$AE$8,2,FALSE)))</f>
        <v/>
      </c>
      <c r="AM39" s="545" t="str">
        <f t="shared" si="7"/>
        <v/>
      </c>
      <c r="AN39" s="149"/>
      <c r="AO39" s="150"/>
      <c r="AV39" s="31" t="str">
        <f>IFERROR(INDEX('G-7 Rivers Data'!$AZ$3:$AZ$7,MATCH(N39,'G-7 Rivers Data'!$AY$3:$AY$7,0)),"")</f>
        <v/>
      </c>
    </row>
    <row r="40" spans="2:48" ht="14" x14ac:dyDescent="0.3">
      <c r="B40" s="531" t="str">
        <f>'C-1 Site River Baseline'!AN38</f>
        <v/>
      </c>
      <c r="C40" s="520" t="str">
        <f>IF(B40="","",VLOOKUP($B40,'C-1 Site River Baseline'!$C$9:$R$257,2,FALSE))</f>
        <v/>
      </c>
      <c r="D40" s="520" t="str">
        <f>IF(C40="","",VLOOKUP($B40,'C-1 Site River Baseline'!$C$9:$R$257,3,FALSE))</f>
        <v/>
      </c>
      <c r="E40" s="520" t="str">
        <f>IF(D40="","",VLOOKUP($B40,'C-1 Site River Baseline'!$C$9:$R$257,4,FALSE))</f>
        <v/>
      </c>
      <c r="F40" s="520" t="str">
        <f>IF(E40="","",VLOOKUP($B40,'C-1 Site River Baseline'!$C$9:$R$257,5,FALSE))</f>
        <v/>
      </c>
      <c r="G40" s="520" t="str">
        <f>IF(F40="","",VLOOKUP($B40,'C-1 Site River Baseline'!$C$9:$R$257,6,FALSE))</f>
        <v/>
      </c>
      <c r="H40" s="520" t="str">
        <f>IF(G40="","",VLOOKUP($B40,'C-1 Site River Baseline'!$C$9:$R$257,7,FALSE))</f>
        <v/>
      </c>
      <c r="I40" s="520" t="str">
        <f>IF(H40="","",VLOOKUP($B40,'C-1 Site River Baseline'!$C$9:$R$257,8,FALSE))</f>
        <v/>
      </c>
      <c r="J40" s="520" t="str">
        <f>IF(I40="","",VLOOKUP($B40,'C-1 Site River Baseline'!$C$9:$R$257,9,FALSE))</f>
        <v/>
      </c>
      <c r="K40" s="520" t="str">
        <f>IF(J40="","",VLOOKUP($B40,'C-1 Site River Baseline'!$C$9:$R$257,10,FALSE))</f>
        <v/>
      </c>
      <c r="L40" s="520" t="str">
        <f>IF(B40="","",VLOOKUP($B40,'C-1 Site River Baseline'!$C$9:$R$257,15,FALSE))</f>
        <v/>
      </c>
      <c r="M40" s="524" t="str">
        <f>IF(L40="","",VLOOKUP($B40,'C-1 Site River Baseline'!$C$9:$R$257,16,FALSE))</f>
        <v/>
      </c>
      <c r="N40" s="418"/>
      <c r="O40" s="498" t="str">
        <f t="shared" si="1"/>
        <v/>
      </c>
      <c r="P40" s="499" t="str">
        <f>IF(C40="","",IF(AND(LEFT(C40,55)&lt;&gt;LEFT(N40,55),O40="High - High"),"Error - Not like for like ▲",IF(AND(F40=S40,H40&gt;U40),"Error - Can not reduce condition ▲",IF(AND(F40=S40,H40=U40,AJ40='C-1 Site River Baseline'!N38,'C-1 Site River Baseline'!P38=AL40),"Error - No enhancement ▲",IF(AND(C40&lt;&gt;N40,F40&lt;S40),"Lower Distinctiveness Habitat"&amp;" - "&amp;T40,G40&amp;" - "&amp;T40)))))</f>
        <v/>
      </c>
      <c r="Q40" s="567" t="str">
        <f>IF(N40="","",VLOOKUP(B40,'C-1 Site River Baseline'!$C$10:$AA$257,19,FALSE))</f>
        <v/>
      </c>
      <c r="R40" s="498" t="str">
        <f>IF(N40="","",VLOOKUP(N40,'G-7 Rivers Data'!$B$2:$G$8,2,FALSE))</f>
        <v/>
      </c>
      <c r="S40" s="499" t="str">
        <f>IFERROR(VLOOKUP(R40,'G-7 Rivers Data'!$C$4:$D$8,2,FALSE),"")</f>
        <v/>
      </c>
      <c r="T40" s="145"/>
      <c r="U40" s="499" t="str">
        <f>IFERROR(INDEX('G-7 Rivers Data'!$H$4:$L$8,MATCH(N40,'G-7 Rivers Data'!$B$4:$B$8,0),MATCH(T40,'G-7 Rivers Data'!$H$3:$L$3,0)),"")</f>
        <v/>
      </c>
      <c r="V40" s="154"/>
      <c r="W40" s="507" t="str">
        <f>IF(V40="","",IF(VLOOKUP(V40,'G-7 Rivers Data'!$AG$4:$AI$9,2,FALSE)=0,"Spatial Data Missing ⚠",VLOOKUP(V40,'G-7 Rivers Data'!$AG$4:$AI$9,2,FALSE)))</f>
        <v/>
      </c>
      <c r="X40" s="499" t="str">
        <f>IF(V40="","",IF(VLOOKUP(V40,'G-7 Rivers Data'!$AG$4:$AI$9,3,FALSE)=0,"Spatial Data Missing ⚠",VLOOKUP(V40,'G-7 Rivers Data'!$AG$4:$AI$9,3,FALSE)))</f>
        <v/>
      </c>
      <c r="Y40" s="498" t="str">
        <f>IFERROR(IF(OR(LEFT(P40,5)="Error ▲",LEFT(O40,5)="Error ▲"),"Check Data ⚠",IF(F40&lt;S40,'G-7 Rivers Data'!$R$3,INDEX('G-7 Rivers Data'!$U$5:$Y$9,MATCH(G40,'G-7 Rivers Data'!$T$5:$T$9,0),MATCH(T40,'G-7 Rivers Data'!$U$4:$Y$4,0)))),"")</f>
        <v/>
      </c>
      <c r="Z40" s="195"/>
      <c r="AA40" s="195"/>
      <c r="AB40" s="507" t="str">
        <f t="shared" si="2"/>
        <v/>
      </c>
      <c r="AC40" s="521" t="str">
        <f t="shared" si="3"/>
        <v/>
      </c>
      <c r="AD40" s="564" t="str">
        <f>IFERROR(IF(AC40="Check Data ⚠","Check Data ⚠",VLOOKUP(AC40,'G-4 Temporal multipliers'!$A$4:$C$37,3,FALSE)),"")</f>
        <v/>
      </c>
      <c r="AE40" s="498" t="str">
        <f>IF(N40="","",VLOOKUP(N40,'G-7 Rivers Data'!$B$4:$G$8,5,FALSE))</f>
        <v/>
      </c>
      <c r="AF40" s="507" t="str">
        <f t="shared" si="4"/>
        <v/>
      </c>
      <c r="AG40" s="540" t="str">
        <f t="shared" si="5"/>
        <v/>
      </c>
      <c r="AH40" s="499" t="str">
        <f t="shared" si="0"/>
        <v/>
      </c>
      <c r="AI40" s="145"/>
      <c r="AJ40" s="499" t="str">
        <f>IF(AI40="","",IF(VLOOKUP(AI40,'G-7 Rivers Data'!$AA$4:$AB$7,2,FALSE)=0,"Spatial Data Missing ⚠",VLOOKUP(AI40,'G-7 Rivers Data'!$AA$4:$AB$7,2,FALSE)))</f>
        <v/>
      </c>
      <c r="AK40" s="155"/>
      <c r="AL40" s="499" t="str">
        <f>IF(AK40="","",IF(VLOOKUP(AK40,'G-7 Rivers Data'!$AD$4:$AE$8,2,FALSE)=0,"Spatial Data Missing ⚠",VLOOKUP(AK40,'G-7 Rivers Data'!$AD$4:$AE$8,2,FALSE)))</f>
        <v/>
      </c>
      <c r="AM40" s="545" t="str">
        <f t="shared" si="7"/>
        <v/>
      </c>
      <c r="AN40" s="149"/>
      <c r="AO40" s="150"/>
      <c r="AV40" s="31" t="str">
        <f>IFERROR(INDEX('G-7 Rivers Data'!$AZ$3:$AZ$7,MATCH(N40,'G-7 Rivers Data'!$AY$3:$AY$7,0)),"")</f>
        <v/>
      </c>
    </row>
    <row r="41" spans="2:48" ht="14" x14ac:dyDescent="0.3">
      <c r="B41" s="531" t="str">
        <f>'C-1 Site River Baseline'!AN39</f>
        <v/>
      </c>
      <c r="C41" s="520" t="str">
        <f>IF(B41="","",VLOOKUP($B41,'C-1 Site River Baseline'!$C$9:$R$257,2,FALSE))</f>
        <v/>
      </c>
      <c r="D41" s="520" t="str">
        <f>IF(C41="","",VLOOKUP($B41,'C-1 Site River Baseline'!$C$9:$R$257,3,FALSE))</f>
        <v/>
      </c>
      <c r="E41" s="520" t="str">
        <f>IF(D41="","",VLOOKUP($B41,'C-1 Site River Baseline'!$C$9:$R$257,4,FALSE))</f>
        <v/>
      </c>
      <c r="F41" s="520" t="str">
        <f>IF(E41="","",VLOOKUP($B41,'C-1 Site River Baseline'!$C$9:$R$257,5,FALSE))</f>
        <v/>
      </c>
      <c r="G41" s="520" t="str">
        <f>IF(F41="","",VLOOKUP($B41,'C-1 Site River Baseline'!$C$9:$R$257,6,FALSE))</f>
        <v/>
      </c>
      <c r="H41" s="520" t="str">
        <f>IF(G41="","",VLOOKUP($B41,'C-1 Site River Baseline'!$C$9:$R$257,7,FALSE))</f>
        <v/>
      </c>
      <c r="I41" s="520" t="str">
        <f>IF(H41="","",VLOOKUP($B41,'C-1 Site River Baseline'!$C$9:$R$257,8,FALSE))</f>
        <v/>
      </c>
      <c r="J41" s="520" t="str">
        <f>IF(I41="","",VLOOKUP($B41,'C-1 Site River Baseline'!$C$9:$R$257,9,FALSE))</f>
        <v/>
      </c>
      <c r="K41" s="520" t="str">
        <f>IF(J41="","",VLOOKUP($B41,'C-1 Site River Baseline'!$C$9:$R$257,10,FALSE))</f>
        <v/>
      </c>
      <c r="L41" s="520" t="str">
        <f>IF(B41="","",VLOOKUP($B41,'C-1 Site River Baseline'!$C$9:$R$257,15,FALSE))</f>
        <v/>
      </c>
      <c r="M41" s="524" t="str">
        <f>IF(L41="","",VLOOKUP($B41,'C-1 Site River Baseline'!$C$9:$R$257,16,FALSE))</f>
        <v/>
      </c>
      <c r="N41" s="418" t="str">
        <f t="shared" si="6"/>
        <v/>
      </c>
      <c r="O41" s="498" t="str">
        <f t="shared" si="1"/>
        <v/>
      </c>
      <c r="P41" s="499" t="str">
        <f>IF(C41="","",IF(AND(LEFT(C41,55)&lt;&gt;LEFT(N41,55),O41="High - High"),"Error - Not like for like ▲",IF(AND(F41=S41,H41&gt;U41),"Error - Can not reduce condition ▲",IF(AND(F41=S41,H41=U41,AJ41='C-1 Site River Baseline'!N39,'C-1 Site River Baseline'!P39=AL41),"Error - No enhancement ▲",IF(AND(C41&lt;&gt;N41,F41&lt;S41),"Lower Distinctiveness Habitat"&amp;" - "&amp;T41,G41&amp;" - "&amp;T41)))))</f>
        <v/>
      </c>
      <c r="Q41" s="567" t="str">
        <f>IF(N41="","",VLOOKUP(B41,'C-1 Site River Baseline'!$C$10:$AA$257,19,FALSE))</f>
        <v/>
      </c>
      <c r="R41" s="498" t="str">
        <f>IF(N41="","",VLOOKUP(N41,'G-7 Rivers Data'!$B$2:$G$8,2,FALSE))</f>
        <v/>
      </c>
      <c r="S41" s="499" t="str">
        <f>IFERROR(VLOOKUP(R41,'G-7 Rivers Data'!$C$4:$D$8,2,FALSE),"")</f>
        <v/>
      </c>
      <c r="T41" s="145"/>
      <c r="U41" s="499" t="str">
        <f>IFERROR(INDEX('G-7 Rivers Data'!$H$4:$L$8,MATCH(N41,'G-7 Rivers Data'!$B$4:$B$8,0),MATCH(T41,'G-7 Rivers Data'!$H$3:$L$3,0)),"")</f>
        <v/>
      </c>
      <c r="V41" s="154"/>
      <c r="W41" s="507" t="str">
        <f>IF(V41="","",IF(VLOOKUP(V41,'G-7 Rivers Data'!$AG$4:$AI$9,2,FALSE)=0,"Spatial Data Missing ⚠",VLOOKUP(V41,'G-7 Rivers Data'!$AG$4:$AI$9,2,FALSE)))</f>
        <v/>
      </c>
      <c r="X41" s="499" t="str">
        <f>IF(V41="","",IF(VLOOKUP(V41,'G-7 Rivers Data'!$AG$4:$AI$9,3,FALSE)=0,"Spatial Data Missing ⚠",VLOOKUP(V41,'G-7 Rivers Data'!$AG$4:$AI$9,3,FALSE)))</f>
        <v/>
      </c>
      <c r="Y41" s="498" t="str">
        <f>IFERROR(IF(OR(LEFT(P41,5)="Error ▲",LEFT(O41,5)="Error ▲"),"Check Data ⚠",IF(F41&lt;S41,'G-7 Rivers Data'!$R$3,INDEX('G-7 Rivers Data'!$U$5:$Y$9,MATCH(G41,'G-7 Rivers Data'!$T$5:$T$9,0),MATCH(T41,'G-7 Rivers Data'!$U$4:$Y$4,0)))),"")</f>
        <v/>
      </c>
      <c r="Z41" s="195"/>
      <c r="AA41" s="195"/>
      <c r="AB41" s="507" t="str">
        <f t="shared" si="2"/>
        <v/>
      </c>
      <c r="AC41" s="521" t="str">
        <f t="shared" si="3"/>
        <v/>
      </c>
      <c r="AD41" s="564" t="str">
        <f>IFERROR(IF(AC41="Check Data ⚠","Check Data ⚠",VLOOKUP(AC41,'G-4 Temporal multipliers'!$A$4:$C$37,3,FALSE)),"")</f>
        <v/>
      </c>
      <c r="AE41" s="498" t="str">
        <f>IF(N41="","",VLOOKUP(N41,'G-7 Rivers Data'!$B$4:$G$8,5,FALSE))</f>
        <v/>
      </c>
      <c r="AF41" s="507" t="str">
        <f t="shared" si="4"/>
        <v/>
      </c>
      <c r="AG41" s="540" t="str">
        <f t="shared" si="5"/>
        <v/>
      </c>
      <c r="AH41" s="499" t="str">
        <f t="shared" si="0"/>
        <v/>
      </c>
      <c r="AI41" s="145"/>
      <c r="AJ41" s="499" t="str">
        <f>IF(AI41="","",IF(VLOOKUP(AI41,'G-7 Rivers Data'!$AA$4:$AB$7,2,FALSE)=0,"Spatial Data Missing ⚠",VLOOKUP(AI41,'G-7 Rivers Data'!$AA$4:$AB$7,2,FALSE)))</f>
        <v/>
      </c>
      <c r="AK41" s="155"/>
      <c r="AL41" s="499" t="str">
        <f>IF(AK41="","",IF(VLOOKUP(AK41,'G-7 Rivers Data'!$AD$4:$AE$8,2,FALSE)=0,"Spatial Data Missing ⚠",VLOOKUP(AK41,'G-7 Rivers Data'!$AD$4:$AE$8,2,FALSE)))</f>
        <v/>
      </c>
      <c r="AM41" s="545" t="str">
        <f t="shared" si="7"/>
        <v/>
      </c>
      <c r="AN41" s="149"/>
      <c r="AO41" s="150"/>
      <c r="AV41" s="31" t="str">
        <f>IFERROR(INDEX('G-7 Rivers Data'!$AZ$3:$AZ$7,MATCH(N41,'G-7 Rivers Data'!$AY$3:$AY$7,0)),"")</f>
        <v/>
      </c>
    </row>
    <row r="42" spans="2:48" ht="14" x14ac:dyDescent="0.3">
      <c r="B42" s="531" t="str">
        <f>'C-1 Site River Baseline'!AN40</f>
        <v/>
      </c>
      <c r="C42" s="520" t="str">
        <f>IF(B42="","",VLOOKUP($B42,'C-1 Site River Baseline'!$C$9:$R$257,2,FALSE))</f>
        <v/>
      </c>
      <c r="D42" s="520" t="str">
        <f>IF(C42="","",VLOOKUP($B42,'C-1 Site River Baseline'!$C$9:$R$257,3,FALSE))</f>
        <v/>
      </c>
      <c r="E42" s="520" t="str">
        <f>IF(D42="","",VLOOKUP($B42,'C-1 Site River Baseline'!$C$9:$R$257,4,FALSE))</f>
        <v/>
      </c>
      <c r="F42" s="520" t="str">
        <f>IF(E42="","",VLOOKUP($B42,'C-1 Site River Baseline'!$C$9:$R$257,5,FALSE))</f>
        <v/>
      </c>
      <c r="G42" s="520" t="str">
        <f>IF(F42="","",VLOOKUP($B42,'C-1 Site River Baseline'!$C$9:$R$257,6,FALSE))</f>
        <v/>
      </c>
      <c r="H42" s="520" t="str">
        <f>IF(G42="","",VLOOKUP($B42,'C-1 Site River Baseline'!$C$9:$R$257,7,FALSE))</f>
        <v/>
      </c>
      <c r="I42" s="520" t="str">
        <f>IF(H42="","",VLOOKUP($B42,'C-1 Site River Baseline'!$C$9:$R$257,8,FALSE))</f>
        <v/>
      </c>
      <c r="J42" s="520" t="str">
        <f>IF(I42="","",VLOOKUP($B42,'C-1 Site River Baseline'!$C$9:$R$257,9,FALSE))</f>
        <v/>
      </c>
      <c r="K42" s="520" t="str">
        <f>IF(J42="","",VLOOKUP($B42,'C-1 Site River Baseline'!$C$9:$R$257,10,FALSE))</f>
        <v/>
      </c>
      <c r="L42" s="520" t="str">
        <f>IF(B42="","",VLOOKUP($B42,'C-1 Site River Baseline'!$C$9:$R$257,15,FALSE))</f>
        <v/>
      </c>
      <c r="M42" s="524" t="str">
        <f>IF(L42="","",VLOOKUP($B42,'C-1 Site River Baseline'!$C$9:$R$257,16,FALSE))</f>
        <v/>
      </c>
      <c r="N42" s="418" t="str">
        <f t="shared" si="6"/>
        <v/>
      </c>
      <c r="O42" s="498" t="str">
        <f t="shared" si="1"/>
        <v/>
      </c>
      <c r="P42" s="499" t="str">
        <f>IF(C42="","",IF(AND(LEFT(C42,55)&lt;&gt;LEFT(N42,55),O42="High - High"),"Error - Not like for like ▲",IF(AND(F42=S42,H42&gt;U42),"Error - Can not reduce condition ▲",IF(AND(F42=S42,H42=U42,AJ42='C-1 Site River Baseline'!N40,'C-1 Site River Baseline'!P40=AL42),"Error - No enhancement ▲",IF(AND(C42&lt;&gt;N42,F42&lt;S42),"Lower Distinctiveness Habitat"&amp;" - "&amp;T42,G42&amp;" - "&amp;T42)))))</f>
        <v/>
      </c>
      <c r="Q42" s="567" t="str">
        <f>IF(N42="","",VLOOKUP(B42,'C-1 Site River Baseline'!$C$10:$AA$257,19,FALSE))</f>
        <v/>
      </c>
      <c r="R42" s="498" t="str">
        <f>IF(N42="","",VLOOKUP(N42,'G-7 Rivers Data'!$B$2:$G$8,2,FALSE))</f>
        <v/>
      </c>
      <c r="S42" s="499" t="str">
        <f>IFERROR(VLOOKUP(R42,'G-7 Rivers Data'!$C$4:$D$8,2,FALSE),"")</f>
        <v/>
      </c>
      <c r="T42" s="145"/>
      <c r="U42" s="499" t="str">
        <f>IFERROR(INDEX('G-7 Rivers Data'!$H$4:$L$8,MATCH(N42,'G-7 Rivers Data'!$B$4:$B$8,0),MATCH(T42,'G-7 Rivers Data'!$H$3:$L$3,0)),"")</f>
        <v/>
      </c>
      <c r="V42" s="154"/>
      <c r="W42" s="507" t="str">
        <f>IF(V42="","",IF(VLOOKUP(V42,'G-7 Rivers Data'!$AG$4:$AI$9,2,FALSE)=0,"Spatial Data Missing ⚠",VLOOKUP(V42,'G-7 Rivers Data'!$AG$4:$AI$9,2,FALSE)))</f>
        <v/>
      </c>
      <c r="X42" s="499" t="str">
        <f>IF(V42="","",IF(VLOOKUP(V42,'G-7 Rivers Data'!$AG$4:$AI$9,3,FALSE)=0,"Spatial Data Missing ⚠",VLOOKUP(V42,'G-7 Rivers Data'!$AG$4:$AI$9,3,FALSE)))</f>
        <v/>
      </c>
      <c r="Y42" s="498" t="str">
        <f>IFERROR(IF(OR(LEFT(P42,5)="Error ▲",LEFT(O42,5)="Error ▲"),"Check Data ⚠",IF(F42&lt;S42,'G-7 Rivers Data'!$R$3,INDEX('G-7 Rivers Data'!$U$5:$Y$9,MATCH(G42,'G-7 Rivers Data'!$T$5:$T$9,0),MATCH(T42,'G-7 Rivers Data'!$U$4:$Y$4,0)))),"")</f>
        <v/>
      </c>
      <c r="Z42" s="195"/>
      <c r="AA42" s="195"/>
      <c r="AB42" s="507" t="str">
        <f t="shared" si="2"/>
        <v/>
      </c>
      <c r="AC42" s="521" t="str">
        <f t="shared" si="3"/>
        <v/>
      </c>
      <c r="AD42" s="564" t="str">
        <f>IFERROR(IF(AC42="Check Data ⚠","Check Data ⚠",VLOOKUP(AC42,'G-4 Temporal multipliers'!$A$4:$C$37,3,FALSE)),"")</f>
        <v/>
      </c>
      <c r="AE42" s="498" t="str">
        <f>IF(N42="","",VLOOKUP(N42,'G-7 Rivers Data'!$B$4:$G$8,5,FALSE))</f>
        <v/>
      </c>
      <c r="AF42" s="507" t="str">
        <f t="shared" si="4"/>
        <v/>
      </c>
      <c r="AG42" s="540" t="str">
        <f t="shared" si="5"/>
        <v/>
      </c>
      <c r="AH42" s="499" t="str">
        <f t="shared" si="0"/>
        <v/>
      </c>
      <c r="AI42" s="145"/>
      <c r="AJ42" s="499" t="str">
        <f>IF(AI42="","",IF(VLOOKUP(AI42,'G-7 Rivers Data'!$AA$4:$AB$7,2,FALSE)=0,"Spatial Data Missing ⚠",VLOOKUP(AI42,'G-7 Rivers Data'!$AA$4:$AB$7,2,FALSE)))</f>
        <v/>
      </c>
      <c r="AK42" s="155"/>
      <c r="AL42" s="499" t="str">
        <f>IF(AK42="","",IF(VLOOKUP(AK42,'G-7 Rivers Data'!$AD$4:$AE$8,2,FALSE)=0,"Spatial Data Missing ⚠",VLOOKUP(AK42,'G-7 Rivers Data'!$AD$4:$AE$8,2,FALSE)))</f>
        <v/>
      </c>
      <c r="AM42" s="545" t="str">
        <f t="shared" si="7"/>
        <v/>
      </c>
      <c r="AN42" s="149"/>
      <c r="AO42" s="150"/>
      <c r="AV42" s="31" t="str">
        <f>IFERROR(INDEX('G-7 Rivers Data'!$AZ$3:$AZ$7,MATCH(N42,'G-7 Rivers Data'!$AY$3:$AY$7,0)),"")</f>
        <v/>
      </c>
    </row>
    <row r="43" spans="2:48" ht="14" x14ac:dyDescent="0.3">
      <c r="B43" s="531" t="str">
        <f>'C-1 Site River Baseline'!AN41</f>
        <v/>
      </c>
      <c r="C43" s="520" t="str">
        <f>IF(B43="","",VLOOKUP($B43,'C-1 Site River Baseline'!$C$9:$R$257,2,FALSE))</f>
        <v/>
      </c>
      <c r="D43" s="520" t="str">
        <f>IF(C43="","",VLOOKUP($B43,'C-1 Site River Baseline'!$C$9:$R$257,3,FALSE))</f>
        <v/>
      </c>
      <c r="E43" s="520" t="str">
        <f>IF(D43="","",VLOOKUP($B43,'C-1 Site River Baseline'!$C$9:$R$257,4,FALSE))</f>
        <v/>
      </c>
      <c r="F43" s="520" t="str">
        <f>IF(E43="","",VLOOKUP($B43,'C-1 Site River Baseline'!$C$9:$R$257,5,FALSE))</f>
        <v/>
      </c>
      <c r="G43" s="520" t="str">
        <f>IF(F43="","",VLOOKUP($B43,'C-1 Site River Baseline'!$C$9:$R$257,6,FALSE))</f>
        <v/>
      </c>
      <c r="H43" s="520" t="str">
        <f>IF(G43="","",VLOOKUP($B43,'C-1 Site River Baseline'!$C$9:$R$257,7,FALSE))</f>
        <v/>
      </c>
      <c r="I43" s="520" t="str">
        <f>IF(H43="","",VLOOKUP($B43,'C-1 Site River Baseline'!$C$9:$R$257,8,FALSE))</f>
        <v/>
      </c>
      <c r="J43" s="520" t="str">
        <f>IF(I43="","",VLOOKUP($B43,'C-1 Site River Baseline'!$C$9:$R$257,9,FALSE))</f>
        <v/>
      </c>
      <c r="K43" s="520" t="str">
        <f>IF(J43="","",VLOOKUP($B43,'C-1 Site River Baseline'!$C$9:$R$257,10,FALSE))</f>
        <v/>
      </c>
      <c r="L43" s="520" t="str">
        <f>IF(B43="","",VLOOKUP($B43,'C-1 Site River Baseline'!$C$9:$R$257,15,FALSE))</f>
        <v/>
      </c>
      <c r="M43" s="524" t="str">
        <f>IF(L43="","",VLOOKUP($B43,'C-1 Site River Baseline'!$C$9:$R$257,16,FALSE))</f>
        <v/>
      </c>
      <c r="N43" s="418" t="str">
        <f t="shared" si="6"/>
        <v/>
      </c>
      <c r="O43" s="498" t="str">
        <f t="shared" si="1"/>
        <v/>
      </c>
      <c r="P43" s="499" t="str">
        <f>IF(C43="","",IF(AND(LEFT(C43,55)&lt;&gt;LEFT(N43,55),O43="High - High"),"Error - Not like for like ▲",IF(AND(F43=S43,H43&gt;U43),"Error - Can not reduce condition ▲",IF(AND(F43=S43,H43=U43,AJ43='C-1 Site River Baseline'!N41,'C-1 Site River Baseline'!P41=AL43),"Error - No enhancement ▲",IF(AND(C43&lt;&gt;N43,F43&lt;S43),"Lower Distinctiveness Habitat"&amp;" - "&amp;T43,G43&amp;" - "&amp;T43)))))</f>
        <v/>
      </c>
      <c r="Q43" s="567" t="str">
        <f>IF(N43="","",VLOOKUP(B43,'C-1 Site River Baseline'!$C$10:$AA$257,19,FALSE))</f>
        <v/>
      </c>
      <c r="R43" s="498" t="str">
        <f>IF(N43="","",VLOOKUP(N43,'G-7 Rivers Data'!$B$2:$G$8,2,FALSE))</f>
        <v/>
      </c>
      <c r="S43" s="499" t="str">
        <f>IFERROR(VLOOKUP(R43,'G-7 Rivers Data'!$C$4:$D$8,2,FALSE),"")</f>
        <v/>
      </c>
      <c r="T43" s="145"/>
      <c r="U43" s="499" t="str">
        <f>IFERROR(INDEX('G-7 Rivers Data'!$H$4:$L$8,MATCH(N43,'G-7 Rivers Data'!$B$4:$B$8,0),MATCH(T43,'G-7 Rivers Data'!$H$3:$L$3,0)),"")</f>
        <v/>
      </c>
      <c r="V43" s="154"/>
      <c r="W43" s="507" t="str">
        <f>IF(V43="","",IF(VLOOKUP(V43,'G-7 Rivers Data'!$AG$4:$AI$9,2,FALSE)=0,"Spatial Data Missing ⚠",VLOOKUP(V43,'G-7 Rivers Data'!$AG$4:$AI$9,2,FALSE)))</f>
        <v/>
      </c>
      <c r="X43" s="499" t="str">
        <f>IF(V43="","",IF(VLOOKUP(V43,'G-7 Rivers Data'!$AG$4:$AI$9,3,FALSE)=0,"Spatial Data Missing ⚠",VLOOKUP(V43,'G-7 Rivers Data'!$AG$4:$AI$9,3,FALSE)))</f>
        <v/>
      </c>
      <c r="Y43" s="498" t="str">
        <f>IFERROR(IF(OR(LEFT(P43,5)="Error ▲",LEFT(O43,5)="Error ▲"),"Check Data ⚠",IF(F43&lt;S43,'G-7 Rivers Data'!$R$3,INDEX('G-7 Rivers Data'!$U$5:$Y$9,MATCH(G43,'G-7 Rivers Data'!$T$5:$T$9,0),MATCH(T43,'G-7 Rivers Data'!$U$4:$Y$4,0)))),"")</f>
        <v/>
      </c>
      <c r="Z43" s="195"/>
      <c r="AA43" s="195"/>
      <c r="AB43" s="507" t="str">
        <f t="shared" si="2"/>
        <v/>
      </c>
      <c r="AC43" s="521" t="str">
        <f t="shared" si="3"/>
        <v/>
      </c>
      <c r="AD43" s="564" t="str">
        <f>IFERROR(IF(AC43="Check Data ⚠","Check Data ⚠",VLOOKUP(AC43,'G-4 Temporal multipliers'!$A$4:$C$37,3,FALSE)),"")</f>
        <v/>
      </c>
      <c r="AE43" s="498" t="str">
        <f>IF(N43="","",VLOOKUP(N43,'G-7 Rivers Data'!$B$4:$G$8,5,FALSE))</f>
        <v/>
      </c>
      <c r="AF43" s="507" t="str">
        <f t="shared" si="4"/>
        <v/>
      </c>
      <c r="AG43" s="540" t="str">
        <f t="shared" si="5"/>
        <v/>
      </c>
      <c r="AH43" s="499" t="str">
        <f t="shared" si="0"/>
        <v/>
      </c>
      <c r="AI43" s="145"/>
      <c r="AJ43" s="499" t="str">
        <f>IF(AI43="","",IF(VLOOKUP(AI43,'G-7 Rivers Data'!$AA$4:$AB$7,2,FALSE)=0,"Spatial Data Missing ⚠",VLOOKUP(AI43,'G-7 Rivers Data'!$AA$4:$AB$7,2,FALSE)))</f>
        <v/>
      </c>
      <c r="AK43" s="155"/>
      <c r="AL43" s="499" t="str">
        <f>IF(AK43="","",IF(VLOOKUP(AK43,'G-7 Rivers Data'!$AD$4:$AE$8,2,FALSE)=0,"Spatial Data Missing ⚠",VLOOKUP(AK43,'G-7 Rivers Data'!$AD$4:$AE$8,2,FALSE)))</f>
        <v/>
      </c>
      <c r="AM43" s="545" t="str">
        <f t="shared" si="7"/>
        <v/>
      </c>
      <c r="AN43" s="149"/>
      <c r="AO43" s="150"/>
      <c r="AV43" s="31" t="str">
        <f>IFERROR(INDEX('G-7 Rivers Data'!$AZ$3:$AZ$7,MATCH(N43,'G-7 Rivers Data'!$AY$3:$AY$7,0)),"")</f>
        <v/>
      </c>
    </row>
    <row r="44" spans="2:48" ht="14" x14ac:dyDescent="0.3">
      <c r="B44" s="531" t="str">
        <f>'C-1 Site River Baseline'!AN42</f>
        <v/>
      </c>
      <c r="C44" s="520" t="str">
        <f>IF(B44="","",VLOOKUP($B44,'C-1 Site River Baseline'!$C$9:$R$257,2,FALSE))</f>
        <v/>
      </c>
      <c r="D44" s="520" t="str">
        <f>IF(C44="","",VLOOKUP($B44,'C-1 Site River Baseline'!$C$9:$R$257,3,FALSE))</f>
        <v/>
      </c>
      <c r="E44" s="520" t="str">
        <f>IF(D44="","",VLOOKUP($B44,'C-1 Site River Baseline'!$C$9:$R$257,4,FALSE))</f>
        <v/>
      </c>
      <c r="F44" s="520" t="str">
        <f>IF(E44="","",VLOOKUP($B44,'C-1 Site River Baseline'!$C$9:$R$257,5,FALSE))</f>
        <v/>
      </c>
      <c r="G44" s="520" t="str">
        <f>IF(F44="","",VLOOKUP($B44,'C-1 Site River Baseline'!$C$9:$R$257,6,FALSE))</f>
        <v/>
      </c>
      <c r="H44" s="520" t="str">
        <f>IF(G44="","",VLOOKUP($B44,'C-1 Site River Baseline'!$C$9:$R$257,7,FALSE))</f>
        <v/>
      </c>
      <c r="I44" s="520" t="str">
        <f>IF(H44="","",VLOOKUP($B44,'C-1 Site River Baseline'!$C$9:$R$257,8,FALSE))</f>
        <v/>
      </c>
      <c r="J44" s="520" t="str">
        <f>IF(I44="","",VLOOKUP($B44,'C-1 Site River Baseline'!$C$9:$R$257,9,FALSE))</f>
        <v/>
      </c>
      <c r="K44" s="520" t="str">
        <f>IF(J44="","",VLOOKUP($B44,'C-1 Site River Baseline'!$C$9:$R$257,10,FALSE))</f>
        <v/>
      </c>
      <c r="L44" s="520" t="str">
        <f>IF(B44="","",VLOOKUP($B44,'C-1 Site River Baseline'!$C$9:$R$257,15,FALSE))</f>
        <v/>
      </c>
      <c r="M44" s="524" t="str">
        <f>IF(L44="","",VLOOKUP($B44,'C-1 Site River Baseline'!$C$9:$R$257,16,FALSE))</f>
        <v/>
      </c>
      <c r="N44" s="418" t="str">
        <f t="shared" si="6"/>
        <v/>
      </c>
      <c r="O44" s="498" t="str">
        <f t="shared" si="1"/>
        <v/>
      </c>
      <c r="P44" s="499" t="str">
        <f>IF(C44="","",IF(AND(LEFT(C44,55)&lt;&gt;LEFT(N44,55),O44="High - High"),"Error - Not like for like ▲",IF(AND(F44=S44,H44&gt;U44),"Error - Can not reduce condition ▲",IF(AND(F44=S44,H44=U44,AJ44='C-1 Site River Baseline'!N42,'C-1 Site River Baseline'!P42=AL44),"Error - No enhancement ▲",IF(AND(C44&lt;&gt;N44,F44&lt;S44),"Lower Distinctiveness Habitat"&amp;" - "&amp;T44,G44&amp;" - "&amp;T44)))))</f>
        <v/>
      </c>
      <c r="Q44" s="567" t="str">
        <f>IF(N44="","",VLOOKUP(B44,'C-1 Site River Baseline'!$C$10:$AA$257,19,FALSE))</f>
        <v/>
      </c>
      <c r="R44" s="498" t="str">
        <f>IF(N44="","",VLOOKUP(N44,'G-7 Rivers Data'!$B$2:$G$8,2,FALSE))</f>
        <v/>
      </c>
      <c r="S44" s="499" t="str">
        <f>IFERROR(VLOOKUP(R44,'G-7 Rivers Data'!$C$4:$D$8,2,FALSE),"")</f>
        <v/>
      </c>
      <c r="T44" s="145"/>
      <c r="U44" s="499" t="str">
        <f>IFERROR(INDEX('G-7 Rivers Data'!$H$4:$L$8,MATCH(N44,'G-7 Rivers Data'!$B$4:$B$8,0),MATCH(T44,'G-7 Rivers Data'!$H$3:$L$3,0)),"")</f>
        <v/>
      </c>
      <c r="V44" s="154"/>
      <c r="W44" s="507" t="str">
        <f>IF(V44="","",IF(VLOOKUP(V44,'G-7 Rivers Data'!$AG$4:$AI$9,2,FALSE)=0,"Spatial Data Missing ⚠",VLOOKUP(V44,'G-7 Rivers Data'!$AG$4:$AI$9,2,FALSE)))</f>
        <v/>
      </c>
      <c r="X44" s="499" t="str">
        <f>IF(V44="","",IF(VLOOKUP(V44,'G-7 Rivers Data'!$AG$4:$AI$9,3,FALSE)=0,"Spatial Data Missing ⚠",VLOOKUP(V44,'G-7 Rivers Data'!$AG$4:$AI$9,3,FALSE)))</f>
        <v/>
      </c>
      <c r="Y44" s="498" t="str">
        <f>IFERROR(IF(OR(LEFT(P44,5)="Error ▲",LEFT(O44,5)="Error ▲"),"Check Data ⚠",IF(F44&lt;S44,'G-7 Rivers Data'!$R$3,INDEX('G-7 Rivers Data'!$U$5:$Y$9,MATCH(G44,'G-7 Rivers Data'!$T$5:$T$9,0),MATCH(T44,'G-7 Rivers Data'!$U$4:$Y$4,0)))),"")</f>
        <v/>
      </c>
      <c r="Z44" s="195"/>
      <c r="AA44" s="195"/>
      <c r="AB44" s="507" t="str">
        <f t="shared" si="2"/>
        <v/>
      </c>
      <c r="AC44" s="521" t="str">
        <f t="shared" si="3"/>
        <v/>
      </c>
      <c r="AD44" s="564" t="str">
        <f>IFERROR(IF(AC44="Check Data ⚠","Check Data ⚠",VLOOKUP(AC44,'G-4 Temporal multipliers'!$A$4:$C$37,3,FALSE)),"")</f>
        <v/>
      </c>
      <c r="AE44" s="498" t="str">
        <f>IF(N44="","",VLOOKUP(N44,'G-7 Rivers Data'!$B$4:$G$8,5,FALSE))</f>
        <v/>
      </c>
      <c r="AF44" s="507" t="str">
        <f t="shared" si="4"/>
        <v/>
      </c>
      <c r="AG44" s="540" t="str">
        <f t="shared" si="5"/>
        <v/>
      </c>
      <c r="AH44" s="499" t="str">
        <f t="shared" si="0"/>
        <v/>
      </c>
      <c r="AI44" s="145"/>
      <c r="AJ44" s="499" t="str">
        <f>IF(AI44="","",IF(VLOOKUP(AI44,'G-7 Rivers Data'!$AA$4:$AB$7,2,FALSE)=0,"Spatial Data Missing ⚠",VLOOKUP(AI44,'G-7 Rivers Data'!$AA$4:$AB$7,2,FALSE)))</f>
        <v/>
      </c>
      <c r="AK44" s="155"/>
      <c r="AL44" s="499" t="str">
        <f>IF(AK44="","",IF(VLOOKUP(AK44,'G-7 Rivers Data'!$AD$4:$AE$8,2,FALSE)=0,"Spatial Data Missing ⚠",VLOOKUP(AK44,'G-7 Rivers Data'!$AD$4:$AE$8,2,FALSE)))</f>
        <v/>
      </c>
      <c r="AM44" s="545" t="str">
        <f t="shared" si="7"/>
        <v/>
      </c>
      <c r="AN44" s="149"/>
      <c r="AO44" s="150"/>
      <c r="AV44" s="31" t="str">
        <f>IFERROR(INDEX('G-7 Rivers Data'!$AZ$3:$AZ$7,MATCH(N44,'G-7 Rivers Data'!$AY$3:$AY$7,0)),"")</f>
        <v/>
      </c>
    </row>
    <row r="45" spans="2:48" ht="14" x14ac:dyDescent="0.3">
      <c r="B45" s="531" t="str">
        <f>'C-1 Site River Baseline'!AN43</f>
        <v/>
      </c>
      <c r="C45" s="520" t="str">
        <f>IF(B45="","",VLOOKUP($B45,'C-1 Site River Baseline'!$C$9:$R$257,2,FALSE))</f>
        <v/>
      </c>
      <c r="D45" s="520" t="str">
        <f>IF(C45="","",VLOOKUP($B45,'C-1 Site River Baseline'!$C$9:$R$257,3,FALSE))</f>
        <v/>
      </c>
      <c r="E45" s="520" t="str">
        <f>IF(D45="","",VLOOKUP($B45,'C-1 Site River Baseline'!$C$9:$R$257,4,FALSE))</f>
        <v/>
      </c>
      <c r="F45" s="520" t="str">
        <f>IF(E45="","",VLOOKUP($B45,'C-1 Site River Baseline'!$C$9:$R$257,5,FALSE))</f>
        <v/>
      </c>
      <c r="G45" s="520" t="str">
        <f>IF(F45="","",VLOOKUP($B45,'C-1 Site River Baseline'!$C$9:$R$257,6,FALSE))</f>
        <v/>
      </c>
      <c r="H45" s="520" t="str">
        <f>IF(G45="","",VLOOKUP($B45,'C-1 Site River Baseline'!$C$9:$R$257,7,FALSE))</f>
        <v/>
      </c>
      <c r="I45" s="520" t="str">
        <f>IF(H45="","",VLOOKUP($B45,'C-1 Site River Baseline'!$C$9:$R$257,8,FALSE))</f>
        <v/>
      </c>
      <c r="J45" s="520" t="str">
        <f>IF(I45="","",VLOOKUP($B45,'C-1 Site River Baseline'!$C$9:$R$257,9,FALSE))</f>
        <v/>
      </c>
      <c r="K45" s="520" t="str">
        <f>IF(J45="","",VLOOKUP($B45,'C-1 Site River Baseline'!$C$9:$R$257,10,FALSE))</f>
        <v/>
      </c>
      <c r="L45" s="520" t="str">
        <f>IF(B45="","",VLOOKUP($B45,'C-1 Site River Baseline'!$C$9:$R$257,15,FALSE))</f>
        <v/>
      </c>
      <c r="M45" s="524" t="str">
        <f>IF(L45="","",VLOOKUP($B45,'C-1 Site River Baseline'!$C$9:$R$257,16,FALSE))</f>
        <v/>
      </c>
      <c r="N45" s="418" t="str">
        <f t="shared" si="6"/>
        <v/>
      </c>
      <c r="O45" s="498" t="str">
        <f t="shared" si="1"/>
        <v/>
      </c>
      <c r="P45" s="499" t="str">
        <f>IF(C45="","",IF(AND(LEFT(C45,55)&lt;&gt;LEFT(N45,55),O45="High - High"),"Error - Not like for like ▲",IF(AND(F45=S45,H45&gt;U45),"Error - Can not reduce condition ▲",IF(AND(F45=S45,H45=U45,AJ45='C-1 Site River Baseline'!N43,'C-1 Site River Baseline'!P43=AL45),"Error - No enhancement ▲",IF(AND(C45&lt;&gt;N45,F45&lt;S45),"Lower Distinctiveness Habitat"&amp;" - "&amp;T45,G45&amp;" - "&amp;T45)))))</f>
        <v/>
      </c>
      <c r="Q45" s="567" t="str">
        <f>IF(N45="","",VLOOKUP(B45,'C-1 Site River Baseline'!$C$10:$AA$257,19,FALSE))</f>
        <v/>
      </c>
      <c r="R45" s="498" t="str">
        <f>IF(N45="","",VLOOKUP(N45,'G-7 Rivers Data'!$B$2:$G$8,2,FALSE))</f>
        <v/>
      </c>
      <c r="S45" s="499" t="str">
        <f>IFERROR(VLOOKUP(R45,'G-7 Rivers Data'!$C$4:$D$8,2,FALSE),"")</f>
        <v/>
      </c>
      <c r="T45" s="145"/>
      <c r="U45" s="499" t="str">
        <f>IFERROR(INDEX('G-7 Rivers Data'!$H$4:$L$8,MATCH(N45,'G-7 Rivers Data'!$B$4:$B$8,0),MATCH(T45,'G-7 Rivers Data'!$H$3:$L$3,0)),"")</f>
        <v/>
      </c>
      <c r="V45" s="154"/>
      <c r="W45" s="507" t="str">
        <f>IF(V45="","",IF(VLOOKUP(V45,'G-7 Rivers Data'!$AG$4:$AI$9,2,FALSE)=0,"Spatial Data Missing ⚠",VLOOKUP(V45,'G-7 Rivers Data'!$AG$4:$AI$9,2,FALSE)))</f>
        <v/>
      </c>
      <c r="X45" s="499" t="str">
        <f>IF(V45="","",IF(VLOOKUP(V45,'G-7 Rivers Data'!$AG$4:$AI$9,3,FALSE)=0,"Spatial Data Missing ⚠",VLOOKUP(V45,'G-7 Rivers Data'!$AG$4:$AI$9,3,FALSE)))</f>
        <v/>
      </c>
      <c r="Y45" s="498" t="str">
        <f>IFERROR(IF(OR(LEFT(P45,5)="Error ▲",LEFT(O45,5)="Error ▲"),"Check Data ⚠",IF(F45&lt;S45,'G-7 Rivers Data'!$R$3,INDEX('G-7 Rivers Data'!$U$5:$Y$9,MATCH(G45,'G-7 Rivers Data'!$T$5:$T$9,0),MATCH(T45,'G-7 Rivers Data'!$U$4:$Y$4,0)))),"")</f>
        <v/>
      </c>
      <c r="Z45" s="195"/>
      <c r="AA45" s="195"/>
      <c r="AB45" s="507" t="str">
        <f t="shared" si="2"/>
        <v/>
      </c>
      <c r="AC45" s="521" t="str">
        <f t="shared" si="3"/>
        <v/>
      </c>
      <c r="AD45" s="564" t="str">
        <f>IFERROR(IF(AC45="Check Data ⚠","Check Data ⚠",VLOOKUP(AC45,'G-4 Temporal multipliers'!$A$4:$C$37,3,FALSE)),"")</f>
        <v/>
      </c>
      <c r="AE45" s="498" t="str">
        <f>IF(N45="","",VLOOKUP(N45,'G-7 Rivers Data'!$B$4:$G$8,5,FALSE))</f>
        <v/>
      </c>
      <c r="AF45" s="507" t="str">
        <f t="shared" si="4"/>
        <v/>
      </c>
      <c r="AG45" s="540" t="str">
        <f t="shared" si="5"/>
        <v/>
      </c>
      <c r="AH45" s="499" t="str">
        <f t="shared" si="0"/>
        <v/>
      </c>
      <c r="AI45" s="145"/>
      <c r="AJ45" s="499" t="str">
        <f>IF(AI45="","",IF(VLOOKUP(AI45,'G-7 Rivers Data'!$AA$4:$AB$7,2,FALSE)=0,"Spatial Data Missing ⚠",VLOOKUP(AI45,'G-7 Rivers Data'!$AA$4:$AB$7,2,FALSE)))</f>
        <v/>
      </c>
      <c r="AK45" s="155"/>
      <c r="AL45" s="499" t="str">
        <f>IF(AK45="","",IF(VLOOKUP(AK45,'G-7 Rivers Data'!$AD$4:$AE$8,2,FALSE)=0,"Spatial Data Missing ⚠",VLOOKUP(AK45,'G-7 Rivers Data'!$AD$4:$AE$8,2,FALSE)))</f>
        <v/>
      </c>
      <c r="AM45" s="545" t="str">
        <f t="shared" si="7"/>
        <v/>
      </c>
      <c r="AN45" s="149"/>
      <c r="AO45" s="150"/>
      <c r="AV45" s="31" t="str">
        <f>IFERROR(INDEX('G-7 Rivers Data'!$AZ$3:$AZ$7,MATCH(N45,'G-7 Rivers Data'!$AY$3:$AY$7,0)),"")</f>
        <v/>
      </c>
    </row>
    <row r="46" spans="2:48" ht="14" x14ac:dyDescent="0.3">
      <c r="B46" s="531" t="str">
        <f>'C-1 Site River Baseline'!AN44</f>
        <v/>
      </c>
      <c r="C46" s="520" t="str">
        <f>IF(B46="","",VLOOKUP($B46,'C-1 Site River Baseline'!$C$9:$R$257,2,FALSE))</f>
        <v/>
      </c>
      <c r="D46" s="520" t="str">
        <f>IF(C46="","",VLOOKUP($B46,'C-1 Site River Baseline'!$C$9:$R$257,3,FALSE))</f>
        <v/>
      </c>
      <c r="E46" s="520" t="str">
        <f>IF(D46="","",VLOOKUP($B46,'C-1 Site River Baseline'!$C$9:$R$257,4,FALSE))</f>
        <v/>
      </c>
      <c r="F46" s="520" t="str">
        <f>IF(E46="","",VLOOKUP($B46,'C-1 Site River Baseline'!$C$9:$R$257,5,FALSE))</f>
        <v/>
      </c>
      <c r="G46" s="520" t="str">
        <f>IF(F46="","",VLOOKUP($B46,'C-1 Site River Baseline'!$C$9:$R$257,6,FALSE))</f>
        <v/>
      </c>
      <c r="H46" s="520" t="str">
        <f>IF(G46="","",VLOOKUP($B46,'C-1 Site River Baseline'!$C$9:$R$257,7,FALSE))</f>
        <v/>
      </c>
      <c r="I46" s="520" t="str">
        <f>IF(H46="","",VLOOKUP($B46,'C-1 Site River Baseline'!$C$9:$R$257,8,FALSE))</f>
        <v/>
      </c>
      <c r="J46" s="520" t="str">
        <f>IF(I46="","",VLOOKUP($B46,'C-1 Site River Baseline'!$C$9:$R$257,9,FALSE))</f>
        <v/>
      </c>
      <c r="K46" s="520" t="str">
        <f>IF(J46="","",VLOOKUP($B46,'C-1 Site River Baseline'!$C$9:$R$257,10,FALSE))</f>
        <v/>
      </c>
      <c r="L46" s="520" t="str">
        <f>IF(B46="","",VLOOKUP($B46,'C-1 Site River Baseline'!$C$9:$R$257,15,FALSE))</f>
        <v/>
      </c>
      <c r="M46" s="524" t="str">
        <f>IF(L46="","",VLOOKUP($B46,'C-1 Site River Baseline'!$C$9:$R$257,16,FALSE))</f>
        <v/>
      </c>
      <c r="N46" s="418" t="str">
        <f t="shared" si="6"/>
        <v/>
      </c>
      <c r="O46" s="498" t="str">
        <f t="shared" si="1"/>
        <v/>
      </c>
      <c r="P46" s="499" t="str">
        <f>IF(C46="","",IF(AND(LEFT(C46,55)&lt;&gt;LEFT(N46,55),O46="High - High"),"Error - Not like for like ▲",IF(AND(F46=S46,H46&gt;U46),"Error - Can not reduce condition ▲",IF(AND(F46=S46,H46=U46,AJ46='C-1 Site River Baseline'!N44,'C-1 Site River Baseline'!P44=AL46),"Error - No enhancement ▲",IF(AND(C46&lt;&gt;N46,F46&lt;S46),"Lower Distinctiveness Habitat"&amp;" - "&amp;T46,G46&amp;" - "&amp;T46)))))</f>
        <v/>
      </c>
      <c r="Q46" s="567" t="str">
        <f>IF(N46="","",VLOOKUP(B46,'C-1 Site River Baseline'!$C$10:$AA$257,19,FALSE))</f>
        <v/>
      </c>
      <c r="R46" s="498" t="str">
        <f>IF(N46="","",VLOOKUP(N46,'G-7 Rivers Data'!$B$2:$G$8,2,FALSE))</f>
        <v/>
      </c>
      <c r="S46" s="499" t="str">
        <f>IFERROR(VLOOKUP(R46,'G-7 Rivers Data'!$C$4:$D$8,2,FALSE),"")</f>
        <v/>
      </c>
      <c r="T46" s="145"/>
      <c r="U46" s="499" t="str">
        <f>IFERROR(INDEX('G-7 Rivers Data'!$H$4:$L$8,MATCH(N46,'G-7 Rivers Data'!$B$4:$B$8,0),MATCH(T46,'G-7 Rivers Data'!$H$3:$L$3,0)),"")</f>
        <v/>
      </c>
      <c r="V46" s="154"/>
      <c r="W46" s="507" t="str">
        <f>IF(V46="","",IF(VLOOKUP(V46,'G-7 Rivers Data'!$AG$4:$AI$9,2,FALSE)=0,"Spatial Data Missing ⚠",VLOOKUP(V46,'G-7 Rivers Data'!$AG$4:$AI$9,2,FALSE)))</f>
        <v/>
      </c>
      <c r="X46" s="499" t="str">
        <f>IF(V46="","",IF(VLOOKUP(V46,'G-7 Rivers Data'!$AG$4:$AI$9,3,FALSE)=0,"Spatial Data Missing ⚠",VLOOKUP(V46,'G-7 Rivers Data'!$AG$4:$AI$9,3,FALSE)))</f>
        <v/>
      </c>
      <c r="Y46" s="498" t="str">
        <f>IFERROR(IF(OR(LEFT(P46,5)="Error ▲",LEFT(O46,5)="Error ▲"),"Check Data ⚠",IF(F46&lt;S46,'G-7 Rivers Data'!$R$3,INDEX('G-7 Rivers Data'!$U$5:$Y$9,MATCH(G46,'G-7 Rivers Data'!$T$5:$T$9,0),MATCH(T46,'G-7 Rivers Data'!$U$4:$Y$4,0)))),"")</f>
        <v/>
      </c>
      <c r="Z46" s="195"/>
      <c r="AA46" s="195"/>
      <c r="AB46" s="507" t="str">
        <f t="shared" si="2"/>
        <v/>
      </c>
      <c r="AC46" s="521" t="str">
        <f t="shared" si="3"/>
        <v/>
      </c>
      <c r="AD46" s="564" t="str">
        <f>IFERROR(IF(AC46="Check Data ⚠","Check Data ⚠",VLOOKUP(AC46,'G-4 Temporal multipliers'!$A$4:$C$37,3,FALSE)),"")</f>
        <v/>
      </c>
      <c r="AE46" s="498" t="str">
        <f>IF(N46="","",VLOOKUP(N46,'G-7 Rivers Data'!$B$4:$G$8,5,FALSE))</f>
        <v/>
      </c>
      <c r="AF46" s="507" t="str">
        <f t="shared" si="4"/>
        <v/>
      </c>
      <c r="AG46" s="540" t="str">
        <f t="shared" si="5"/>
        <v/>
      </c>
      <c r="AH46" s="499" t="str">
        <f t="shared" si="0"/>
        <v/>
      </c>
      <c r="AI46" s="145"/>
      <c r="AJ46" s="499" t="str">
        <f>IF(AI46="","",IF(VLOOKUP(AI46,'G-7 Rivers Data'!$AA$4:$AB$7,2,FALSE)=0,"Spatial Data Missing ⚠",VLOOKUP(AI46,'G-7 Rivers Data'!$AA$4:$AB$7,2,FALSE)))</f>
        <v/>
      </c>
      <c r="AK46" s="155"/>
      <c r="AL46" s="499" t="str">
        <f>IF(AK46="","",IF(VLOOKUP(AK46,'G-7 Rivers Data'!$AD$4:$AE$8,2,FALSE)=0,"Spatial Data Missing ⚠",VLOOKUP(AK46,'G-7 Rivers Data'!$AD$4:$AE$8,2,FALSE)))</f>
        <v/>
      </c>
      <c r="AM46" s="545" t="str">
        <f t="shared" si="7"/>
        <v/>
      </c>
      <c r="AN46" s="149"/>
      <c r="AO46" s="150"/>
      <c r="AV46" s="31" t="str">
        <f>IFERROR(INDEX('G-7 Rivers Data'!$AZ$3:$AZ$7,MATCH(N46,'G-7 Rivers Data'!$AY$3:$AY$7,0)),"")</f>
        <v/>
      </c>
    </row>
    <row r="47" spans="2:48" ht="14" x14ac:dyDescent="0.3">
      <c r="B47" s="531" t="str">
        <f>'C-1 Site River Baseline'!AN45</f>
        <v/>
      </c>
      <c r="C47" s="520" t="str">
        <f>IF(B47="","",VLOOKUP($B47,'C-1 Site River Baseline'!$C$9:$R$257,2,FALSE))</f>
        <v/>
      </c>
      <c r="D47" s="520" t="str">
        <f>IF(C47="","",VLOOKUP($B47,'C-1 Site River Baseline'!$C$9:$R$257,3,FALSE))</f>
        <v/>
      </c>
      <c r="E47" s="520" t="str">
        <f>IF(D47="","",VLOOKUP($B47,'C-1 Site River Baseline'!$C$9:$R$257,4,FALSE))</f>
        <v/>
      </c>
      <c r="F47" s="520" t="str">
        <f>IF(E47="","",VLOOKUP($B47,'C-1 Site River Baseline'!$C$9:$R$257,5,FALSE))</f>
        <v/>
      </c>
      <c r="G47" s="520" t="str">
        <f>IF(F47="","",VLOOKUP($B47,'C-1 Site River Baseline'!$C$9:$R$257,6,FALSE))</f>
        <v/>
      </c>
      <c r="H47" s="520" t="str">
        <f>IF(G47="","",VLOOKUP($B47,'C-1 Site River Baseline'!$C$9:$R$257,7,FALSE))</f>
        <v/>
      </c>
      <c r="I47" s="520" t="str">
        <f>IF(H47="","",VLOOKUP($B47,'C-1 Site River Baseline'!$C$9:$R$257,8,FALSE))</f>
        <v/>
      </c>
      <c r="J47" s="520" t="str">
        <f>IF(I47="","",VLOOKUP($B47,'C-1 Site River Baseline'!$C$9:$R$257,9,FALSE))</f>
        <v/>
      </c>
      <c r="K47" s="520" t="str">
        <f>IF(J47="","",VLOOKUP($B47,'C-1 Site River Baseline'!$C$9:$R$257,10,FALSE))</f>
        <v/>
      </c>
      <c r="L47" s="520" t="str">
        <f>IF(B47="","",VLOOKUP($B47,'C-1 Site River Baseline'!$C$9:$R$257,15,FALSE))</f>
        <v/>
      </c>
      <c r="M47" s="524" t="str">
        <f>IF(L47="","",VLOOKUP($B47,'C-1 Site River Baseline'!$C$9:$R$257,16,FALSE))</f>
        <v/>
      </c>
      <c r="N47" s="418" t="str">
        <f t="shared" si="6"/>
        <v/>
      </c>
      <c r="O47" s="498" t="str">
        <f t="shared" si="1"/>
        <v/>
      </c>
      <c r="P47" s="499" t="str">
        <f>IF(C47="","",IF(AND(LEFT(C47,55)&lt;&gt;LEFT(N47,55),O47="High - High"),"Error - Not like for like ▲",IF(AND(F47=S47,H47&gt;U47),"Error - Can not reduce condition ▲",IF(AND(F47=S47,H47=U47,AJ47='C-1 Site River Baseline'!N45,'C-1 Site River Baseline'!P45=AL47),"Error - No enhancement ▲",IF(AND(C47&lt;&gt;N47,F47&lt;S47),"Lower Distinctiveness Habitat"&amp;" - "&amp;T47,G47&amp;" - "&amp;T47)))))</f>
        <v/>
      </c>
      <c r="Q47" s="567" t="str">
        <f>IF(N47="","",VLOOKUP(B47,'C-1 Site River Baseline'!$C$10:$AA$257,19,FALSE))</f>
        <v/>
      </c>
      <c r="R47" s="498" t="str">
        <f>IF(N47="","",VLOOKUP(N47,'G-7 Rivers Data'!$B$2:$G$8,2,FALSE))</f>
        <v/>
      </c>
      <c r="S47" s="499" t="str">
        <f>IFERROR(VLOOKUP(R47,'G-7 Rivers Data'!$C$4:$D$8,2,FALSE),"")</f>
        <v/>
      </c>
      <c r="T47" s="145"/>
      <c r="U47" s="499" t="str">
        <f>IFERROR(INDEX('G-7 Rivers Data'!$H$4:$L$8,MATCH(N47,'G-7 Rivers Data'!$B$4:$B$8,0),MATCH(T47,'G-7 Rivers Data'!$H$3:$L$3,0)),"")</f>
        <v/>
      </c>
      <c r="V47" s="154"/>
      <c r="W47" s="507" t="str">
        <f>IF(V47="","",IF(VLOOKUP(V47,'G-7 Rivers Data'!$AG$4:$AI$9,2,FALSE)=0,"Spatial Data Missing ⚠",VLOOKUP(V47,'G-7 Rivers Data'!$AG$4:$AI$9,2,FALSE)))</f>
        <v/>
      </c>
      <c r="X47" s="499" t="str">
        <f>IF(V47="","",IF(VLOOKUP(V47,'G-7 Rivers Data'!$AG$4:$AI$9,3,FALSE)=0,"Spatial Data Missing ⚠",VLOOKUP(V47,'G-7 Rivers Data'!$AG$4:$AI$9,3,FALSE)))</f>
        <v/>
      </c>
      <c r="Y47" s="498" t="str">
        <f>IFERROR(IF(OR(LEFT(P47,5)="Error ▲",LEFT(O47,5)="Error ▲"),"Check Data ⚠",IF(F47&lt;S47,'G-7 Rivers Data'!$R$3,INDEX('G-7 Rivers Data'!$U$5:$Y$9,MATCH(G47,'G-7 Rivers Data'!$T$5:$T$9,0),MATCH(T47,'G-7 Rivers Data'!$U$4:$Y$4,0)))),"")</f>
        <v/>
      </c>
      <c r="Z47" s="195"/>
      <c r="AA47" s="195"/>
      <c r="AB47" s="507" t="str">
        <f t="shared" si="2"/>
        <v/>
      </c>
      <c r="AC47" s="521" t="str">
        <f t="shared" si="3"/>
        <v/>
      </c>
      <c r="AD47" s="564" t="str">
        <f>IFERROR(IF(AC47="Check Data ⚠","Check Data ⚠",VLOOKUP(AC47,'G-4 Temporal multipliers'!$A$4:$C$37,3,FALSE)),"")</f>
        <v/>
      </c>
      <c r="AE47" s="498" t="str">
        <f>IF(N47="","",VLOOKUP(N47,'G-7 Rivers Data'!$B$4:$G$8,5,FALSE))</f>
        <v/>
      </c>
      <c r="AF47" s="507" t="str">
        <f t="shared" si="4"/>
        <v/>
      </c>
      <c r="AG47" s="540" t="str">
        <f t="shared" si="5"/>
        <v/>
      </c>
      <c r="AH47" s="499" t="str">
        <f t="shared" si="0"/>
        <v/>
      </c>
      <c r="AI47" s="145"/>
      <c r="AJ47" s="499" t="str">
        <f>IF(AI47="","",IF(VLOOKUP(AI47,'G-7 Rivers Data'!$AA$4:$AB$7,2,FALSE)=0,"Spatial Data Missing ⚠",VLOOKUP(AI47,'G-7 Rivers Data'!$AA$4:$AB$7,2,FALSE)))</f>
        <v/>
      </c>
      <c r="AK47" s="155"/>
      <c r="AL47" s="499" t="str">
        <f>IF(AK47="","",IF(VLOOKUP(AK47,'G-7 Rivers Data'!$AD$4:$AE$8,2,FALSE)=0,"Spatial Data Missing ⚠",VLOOKUP(AK47,'G-7 Rivers Data'!$AD$4:$AE$8,2,FALSE)))</f>
        <v/>
      </c>
      <c r="AM47" s="545" t="str">
        <f t="shared" si="7"/>
        <v/>
      </c>
      <c r="AN47" s="149"/>
      <c r="AO47" s="150"/>
      <c r="AV47" s="31" t="str">
        <f>IFERROR(INDEX('G-7 Rivers Data'!$AZ$3:$AZ$7,MATCH(N47,'G-7 Rivers Data'!$AY$3:$AY$7,0)),"")</f>
        <v/>
      </c>
    </row>
    <row r="48" spans="2:48" ht="14" x14ac:dyDescent="0.3">
      <c r="B48" s="531" t="str">
        <f>'C-1 Site River Baseline'!AN46</f>
        <v/>
      </c>
      <c r="C48" s="520" t="str">
        <f>IF(B48="","",VLOOKUP($B48,'C-1 Site River Baseline'!$C$9:$R$257,2,FALSE))</f>
        <v/>
      </c>
      <c r="D48" s="520" t="str">
        <f>IF(C48="","",VLOOKUP($B48,'C-1 Site River Baseline'!$C$9:$R$257,3,FALSE))</f>
        <v/>
      </c>
      <c r="E48" s="520" t="str">
        <f>IF(D48="","",VLOOKUP($B48,'C-1 Site River Baseline'!$C$9:$R$257,4,FALSE))</f>
        <v/>
      </c>
      <c r="F48" s="520" t="str">
        <f>IF(E48="","",VLOOKUP($B48,'C-1 Site River Baseline'!$C$9:$R$257,5,FALSE))</f>
        <v/>
      </c>
      <c r="G48" s="520" t="str">
        <f>IF(F48="","",VLOOKUP($B48,'C-1 Site River Baseline'!$C$9:$R$257,6,FALSE))</f>
        <v/>
      </c>
      <c r="H48" s="520" t="str">
        <f>IF(G48="","",VLOOKUP($B48,'C-1 Site River Baseline'!$C$9:$R$257,7,FALSE))</f>
        <v/>
      </c>
      <c r="I48" s="520" t="str">
        <f>IF(H48="","",VLOOKUP($B48,'C-1 Site River Baseline'!$C$9:$R$257,8,FALSE))</f>
        <v/>
      </c>
      <c r="J48" s="520" t="str">
        <f>IF(I48="","",VLOOKUP($B48,'C-1 Site River Baseline'!$C$9:$R$257,9,FALSE))</f>
        <v/>
      </c>
      <c r="K48" s="520" t="str">
        <f>IF(J48="","",VLOOKUP($B48,'C-1 Site River Baseline'!$C$9:$R$257,10,FALSE))</f>
        <v/>
      </c>
      <c r="L48" s="520" t="str">
        <f>IF(B48="","",VLOOKUP($B48,'C-1 Site River Baseline'!$C$9:$R$257,15,FALSE))</f>
        <v/>
      </c>
      <c r="M48" s="524" t="str">
        <f>IF(L48="","",VLOOKUP($B48,'C-1 Site River Baseline'!$C$9:$R$257,16,FALSE))</f>
        <v/>
      </c>
      <c r="N48" s="418" t="str">
        <f t="shared" si="6"/>
        <v/>
      </c>
      <c r="O48" s="498" t="str">
        <f t="shared" si="1"/>
        <v/>
      </c>
      <c r="P48" s="499" t="str">
        <f>IF(C48="","",IF(AND(LEFT(C48,55)&lt;&gt;LEFT(N48,55),O48="High - High"),"Error - Not like for like ▲",IF(AND(F48=S48,H48&gt;U48),"Error - Can not reduce condition ▲",IF(AND(F48=S48,H48=U48,AJ48='C-1 Site River Baseline'!N46,'C-1 Site River Baseline'!P46=AL48),"Error - No enhancement ▲",IF(AND(C48&lt;&gt;N48,F48&lt;S48),"Lower Distinctiveness Habitat"&amp;" - "&amp;T48,G48&amp;" - "&amp;T48)))))</f>
        <v/>
      </c>
      <c r="Q48" s="567" t="str">
        <f>IF(N48="","",VLOOKUP(B48,'C-1 Site River Baseline'!$C$10:$AA$257,19,FALSE))</f>
        <v/>
      </c>
      <c r="R48" s="498" t="str">
        <f>IF(N48="","",VLOOKUP(N48,'G-7 Rivers Data'!$B$2:$G$8,2,FALSE))</f>
        <v/>
      </c>
      <c r="S48" s="499" t="str">
        <f>IFERROR(VLOOKUP(R48,'G-7 Rivers Data'!$C$4:$D$8,2,FALSE),"")</f>
        <v/>
      </c>
      <c r="T48" s="145"/>
      <c r="U48" s="499" t="str">
        <f>IFERROR(INDEX('G-7 Rivers Data'!$H$4:$L$8,MATCH(N48,'G-7 Rivers Data'!$B$4:$B$8,0),MATCH(T48,'G-7 Rivers Data'!$H$3:$L$3,0)),"")</f>
        <v/>
      </c>
      <c r="V48" s="154"/>
      <c r="W48" s="507" t="str">
        <f>IF(V48="","",IF(VLOOKUP(V48,'G-7 Rivers Data'!$AG$4:$AI$9,2,FALSE)=0,"Spatial Data Missing ⚠",VLOOKUP(V48,'G-7 Rivers Data'!$AG$4:$AI$9,2,FALSE)))</f>
        <v/>
      </c>
      <c r="X48" s="499" t="str">
        <f>IF(V48="","",IF(VLOOKUP(V48,'G-7 Rivers Data'!$AG$4:$AI$9,3,FALSE)=0,"Spatial Data Missing ⚠",VLOOKUP(V48,'G-7 Rivers Data'!$AG$4:$AI$9,3,FALSE)))</f>
        <v/>
      </c>
      <c r="Y48" s="498" t="str">
        <f>IFERROR(IF(OR(LEFT(P48,5)="Error ▲",LEFT(O48,5)="Error ▲"),"Check Data ⚠",IF(F48&lt;S48,'G-7 Rivers Data'!$R$3,INDEX('G-7 Rivers Data'!$U$5:$Y$9,MATCH(G48,'G-7 Rivers Data'!$T$5:$T$9,0),MATCH(T48,'G-7 Rivers Data'!$U$4:$Y$4,0)))),"")</f>
        <v/>
      </c>
      <c r="Z48" s="195"/>
      <c r="AA48" s="195"/>
      <c r="AB48" s="507" t="str">
        <f t="shared" si="2"/>
        <v/>
      </c>
      <c r="AC48" s="521" t="str">
        <f t="shared" si="3"/>
        <v/>
      </c>
      <c r="AD48" s="564" t="str">
        <f>IFERROR(IF(AC48="Check Data ⚠","Check Data ⚠",VLOOKUP(AC48,'G-4 Temporal multipliers'!$A$4:$C$37,3,FALSE)),"")</f>
        <v/>
      </c>
      <c r="AE48" s="498" t="str">
        <f>IF(N48="","",VLOOKUP(N48,'G-7 Rivers Data'!$B$4:$G$8,5,FALSE))</f>
        <v/>
      </c>
      <c r="AF48" s="507" t="str">
        <f t="shared" si="4"/>
        <v/>
      </c>
      <c r="AG48" s="540" t="str">
        <f t="shared" si="5"/>
        <v/>
      </c>
      <c r="AH48" s="499" t="str">
        <f t="shared" si="0"/>
        <v/>
      </c>
      <c r="AI48" s="145"/>
      <c r="AJ48" s="499" t="str">
        <f>IF(AI48="","",IF(VLOOKUP(AI48,'G-7 Rivers Data'!$AA$4:$AB$7,2,FALSE)=0,"Spatial Data Missing ⚠",VLOOKUP(AI48,'G-7 Rivers Data'!$AA$4:$AB$7,2,FALSE)))</f>
        <v/>
      </c>
      <c r="AK48" s="155"/>
      <c r="AL48" s="499" t="str">
        <f>IF(AK48="","",IF(VLOOKUP(AK48,'G-7 Rivers Data'!$AD$4:$AE$8,2,FALSE)=0,"Spatial Data Missing ⚠",VLOOKUP(AK48,'G-7 Rivers Data'!$AD$4:$AE$8,2,FALSE)))</f>
        <v/>
      </c>
      <c r="AM48" s="545" t="str">
        <f t="shared" si="7"/>
        <v/>
      </c>
      <c r="AN48" s="149"/>
      <c r="AO48" s="150"/>
      <c r="AV48" s="31" t="str">
        <f>IFERROR(INDEX('G-7 Rivers Data'!$AZ$3:$AZ$7,MATCH(N48,'G-7 Rivers Data'!$AY$3:$AY$7,0)),"")</f>
        <v/>
      </c>
    </row>
    <row r="49" spans="2:48" ht="14" x14ac:dyDescent="0.3">
      <c r="B49" s="531" t="str">
        <f>'C-1 Site River Baseline'!AN47</f>
        <v/>
      </c>
      <c r="C49" s="520" t="str">
        <f>IF(B49="","",VLOOKUP($B49,'C-1 Site River Baseline'!$C$9:$R$257,2,FALSE))</f>
        <v/>
      </c>
      <c r="D49" s="520" t="str">
        <f>IF(C49="","",VLOOKUP($B49,'C-1 Site River Baseline'!$C$9:$R$257,3,FALSE))</f>
        <v/>
      </c>
      <c r="E49" s="520" t="str">
        <f>IF(D49="","",VLOOKUP($B49,'C-1 Site River Baseline'!$C$9:$R$257,4,FALSE))</f>
        <v/>
      </c>
      <c r="F49" s="520" t="str">
        <f>IF(E49="","",VLOOKUP($B49,'C-1 Site River Baseline'!$C$9:$R$257,5,FALSE))</f>
        <v/>
      </c>
      <c r="G49" s="520" t="str">
        <f>IF(F49="","",VLOOKUP($B49,'C-1 Site River Baseline'!$C$9:$R$257,6,FALSE))</f>
        <v/>
      </c>
      <c r="H49" s="520" t="str">
        <f>IF(G49="","",VLOOKUP($B49,'C-1 Site River Baseline'!$C$9:$R$257,7,FALSE))</f>
        <v/>
      </c>
      <c r="I49" s="520" t="str">
        <f>IF(H49="","",VLOOKUP($B49,'C-1 Site River Baseline'!$C$9:$R$257,8,FALSE))</f>
        <v/>
      </c>
      <c r="J49" s="520" t="str">
        <f>IF(I49="","",VLOOKUP($B49,'C-1 Site River Baseline'!$C$9:$R$257,9,FALSE))</f>
        <v/>
      </c>
      <c r="K49" s="520" t="str">
        <f>IF(J49="","",VLOOKUP($B49,'C-1 Site River Baseline'!$C$9:$R$257,10,FALSE))</f>
        <v/>
      </c>
      <c r="L49" s="520" t="str">
        <f>IF(B49="","",VLOOKUP($B49,'C-1 Site River Baseline'!$C$9:$R$257,15,FALSE))</f>
        <v/>
      </c>
      <c r="M49" s="524" t="str">
        <f>IF(L49="","",VLOOKUP($B49,'C-1 Site River Baseline'!$C$9:$R$257,16,FALSE))</f>
        <v/>
      </c>
      <c r="N49" s="418" t="str">
        <f t="shared" si="6"/>
        <v/>
      </c>
      <c r="O49" s="498" t="str">
        <f t="shared" si="1"/>
        <v/>
      </c>
      <c r="P49" s="499" t="str">
        <f>IF(C49="","",IF(AND(LEFT(C49,55)&lt;&gt;LEFT(N49,55),O49="High - High"),"Error - Not like for like ▲",IF(AND(F49=S49,H49&gt;U49),"Error - Can not reduce condition ▲",IF(AND(F49=S49,H49=U49,AJ49='C-1 Site River Baseline'!N47,'C-1 Site River Baseline'!P47=AL49),"Error - No enhancement ▲",IF(AND(C49&lt;&gt;N49,F49&lt;S49),"Lower Distinctiveness Habitat"&amp;" - "&amp;T49,G49&amp;" - "&amp;T49)))))</f>
        <v/>
      </c>
      <c r="Q49" s="567" t="str">
        <f>IF(N49="","",VLOOKUP(B49,'C-1 Site River Baseline'!$C$10:$AA$257,19,FALSE))</f>
        <v/>
      </c>
      <c r="R49" s="498" t="str">
        <f>IF(N49="","",VLOOKUP(N49,'G-7 Rivers Data'!$B$2:$G$8,2,FALSE))</f>
        <v/>
      </c>
      <c r="S49" s="499" t="str">
        <f>IFERROR(VLOOKUP(R49,'G-7 Rivers Data'!$C$4:$D$8,2,FALSE),"")</f>
        <v/>
      </c>
      <c r="T49" s="145"/>
      <c r="U49" s="499" t="str">
        <f>IFERROR(INDEX('G-7 Rivers Data'!$H$4:$L$8,MATCH(N49,'G-7 Rivers Data'!$B$4:$B$8,0),MATCH(T49,'G-7 Rivers Data'!$H$3:$L$3,0)),"")</f>
        <v/>
      </c>
      <c r="V49" s="154"/>
      <c r="W49" s="507" t="str">
        <f>IF(V49="","",IF(VLOOKUP(V49,'G-7 Rivers Data'!$AG$4:$AI$9,2,FALSE)=0,"Spatial Data Missing ⚠",VLOOKUP(V49,'G-7 Rivers Data'!$AG$4:$AI$9,2,FALSE)))</f>
        <v/>
      </c>
      <c r="X49" s="499" t="str">
        <f>IF(V49="","",IF(VLOOKUP(V49,'G-7 Rivers Data'!$AG$4:$AI$9,3,FALSE)=0,"Spatial Data Missing ⚠",VLOOKUP(V49,'G-7 Rivers Data'!$AG$4:$AI$9,3,FALSE)))</f>
        <v/>
      </c>
      <c r="Y49" s="498" t="str">
        <f>IFERROR(IF(OR(LEFT(P49,5)="Error ▲",LEFT(O49,5)="Error ▲"),"Check Data ⚠",IF(F49&lt;S49,'G-7 Rivers Data'!$R$3,INDEX('G-7 Rivers Data'!$U$5:$Y$9,MATCH(G49,'G-7 Rivers Data'!$T$5:$T$9,0),MATCH(T49,'G-7 Rivers Data'!$U$4:$Y$4,0)))),"")</f>
        <v/>
      </c>
      <c r="Z49" s="195"/>
      <c r="AA49" s="195"/>
      <c r="AB49" s="507" t="str">
        <f t="shared" si="2"/>
        <v/>
      </c>
      <c r="AC49" s="521" t="str">
        <f t="shared" si="3"/>
        <v/>
      </c>
      <c r="AD49" s="564" t="str">
        <f>IFERROR(IF(AC49="Check Data ⚠","Check Data ⚠",VLOOKUP(AC49,'G-4 Temporal multipliers'!$A$4:$C$37,3,FALSE)),"")</f>
        <v/>
      </c>
      <c r="AE49" s="498" t="str">
        <f>IF(N49="","",VLOOKUP(N49,'G-7 Rivers Data'!$B$4:$G$8,5,FALSE))</f>
        <v/>
      </c>
      <c r="AF49" s="507" t="str">
        <f t="shared" si="4"/>
        <v/>
      </c>
      <c r="AG49" s="540" t="str">
        <f t="shared" si="5"/>
        <v/>
      </c>
      <c r="AH49" s="499" t="str">
        <f t="shared" si="0"/>
        <v/>
      </c>
      <c r="AI49" s="145"/>
      <c r="AJ49" s="499" t="str">
        <f>IF(AI49="","",IF(VLOOKUP(AI49,'G-7 Rivers Data'!$AA$4:$AB$7,2,FALSE)=0,"Spatial Data Missing ⚠",VLOOKUP(AI49,'G-7 Rivers Data'!$AA$4:$AB$7,2,FALSE)))</f>
        <v/>
      </c>
      <c r="AK49" s="155"/>
      <c r="AL49" s="499" t="str">
        <f>IF(AK49="","",IF(VLOOKUP(AK49,'G-7 Rivers Data'!$AD$4:$AE$8,2,FALSE)=0,"Spatial Data Missing ⚠",VLOOKUP(AK49,'G-7 Rivers Data'!$AD$4:$AE$8,2,FALSE)))</f>
        <v/>
      </c>
      <c r="AM49" s="545" t="str">
        <f t="shared" si="7"/>
        <v/>
      </c>
      <c r="AN49" s="149"/>
      <c r="AO49" s="150"/>
      <c r="AV49" s="31" t="str">
        <f>IFERROR(INDEX('G-7 Rivers Data'!$AZ$3:$AZ$7,MATCH(N49,'G-7 Rivers Data'!$AY$3:$AY$7,0)),"")</f>
        <v/>
      </c>
    </row>
    <row r="50" spans="2:48" ht="14" x14ac:dyDescent="0.3">
      <c r="B50" s="531" t="str">
        <f>'C-1 Site River Baseline'!AN48</f>
        <v/>
      </c>
      <c r="C50" s="520" t="str">
        <f>IF(B50="","",VLOOKUP($B50,'C-1 Site River Baseline'!$C$9:$R$257,2,FALSE))</f>
        <v/>
      </c>
      <c r="D50" s="520" t="str">
        <f>IF(C50="","",VLOOKUP($B50,'C-1 Site River Baseline'!$C$9:$R$257,3,FALSE))</f>
        <v/>
      </c>
      <c r="E50" s="520" t="str">
        <f>IF(D50="","",VLOOKUP($B50,'C-1 Site River Baseline'!$C$9:$R$257,4,FALSE))</f>
        <v/>
      </c>
      <c r="F50" s="520" t="str">
        <f>IF(E50="","",VLOOKUP($B50,'C-1 Site River Baseline'!$C$9:$R$257,5,FALSE))</f>
        <v/>
      </c>
      <c r="G50" s="520" t="str">
        <f>IF(F50="","",VLOOKUP($B50,'C-1 Site River Baseline'!$C$9:$R$257,6,FALSE))</f>
        <v/>
      </c>
      <c r="H50" s="520" t="str">
        <f>IF(G50="","",VLOOKUP($B50,'C-1 Site River Baseline'!$C$9:$R$257,7,FALSE))</f>
        <v/>
      </c>
      <c r="I50" s="520" t="str">
        <f>IF(H50="","",VLOOKUP($B50,'C-1 Site River Baseline'!$C$9:$R$257,8,FALSE))</f>
        <v/>
      </c>
      <c r="J50" s="520" t="str">
        <f>IF(I50="","",VLOOKUP($B50,'C-1 Site River Baseline'!$C$9:$R$257,9,FALSE))</f>
        <v/>
      </c>
      <c r="K50" s="520" t="str">
        <f>IF(J50="","",VLOOKUP($B50,'C-1 Site River Baseline'!$C$9:$R$257,10,FALSE))</f>
        <v/>
      </c>
      <c r="L50" s="520" t="str">
        <f>IF(B50="","",VLOOKUP($B50,'C-1 Site River Baseline'!$C$9:$R$257,15,FALSE))</f>
        <v/>
      </c>
      <c r="M50" s="524" t="str">
        <f>IF(L50="","",VLOOKUP($B50,'C-1 Site River Baseline'!$C$9:$R$257,16,FALSE))</f>
        <v/>
      </c>
      <c r="N50" s="418" t="str">
        <f t="shared" si="6"/>
        <v/>
      </c>
      <c r="O50" s="498" t="str">
        <f t="shared" si="1"/>
        <v/>
      </c>
      <c r="P50" s="499" t="str">
        <f>IF(C50="","",IF(AND(LEFT(C50,55)&lt;&gt;LEFT(N50,55),O50="High - High"),"Error - Not like for like ▲",IF(AND(F50=S50,H50&gt;U50),"Error - Can not reduce condition ▲",IF(AND(F50=S50,H50=U50,AJ50='C-1 Site River Baseline'!N48,'C-1 Site River Baseline'!P48=AL50),"Error - No enhancement ▲",IF(AND(C50&lt;&gt;N50,F50&lt;S50),"Lower Distinctiveness Habitat"&amp;" - "&amp;T50,G50&amp;" - "&amp;T50)))))</f>
        <v/>
      </c>
      <c r="Q50" s="567" t="str">
        <f>IF(N50="","",VLOOKUP(B50,'C-1 Site River Baseline'!$C$10:$AA$257,19,FALSE))</f>
        <v/>
      </c>
      <c r="R50" s="498" t="str">
        <f>IF(N50="","",VLOOKUP(N50,'G-7 Rivers Data'!$B$2:$G$8,2,FALSE))</f>
        <v/>
      </c>
      <c r="S50" s="499" t="str">
        <f>IFERROR(VLOOKUP(R50,'G-7 Rivers Data'!$C$4:$D$8,2,FALSE),"")</f>
        <v/>
      </c>
      <c r="T50" s="145"/>
      <c r="U50" s="499" t="str">
        <f>IFERROR(INDEX('G-7 Rivers Data'!$H$4:$L$8,MATCH(N50,'G-7 Rivers Data'!$B$4:$B$8,0),MATCH(T50,'G-7 Rivers Data'!$H$3:$L$3,0)),"")</f>
        <v/>
      </c>
      <c r="V50" s="154"/>
      <c r="W50" s="507" t="str">
        <f>IF(V50="","",IF(VLOOKUP(V50,'G-7 Rivers Data'!$AG$4:$AI$9,2,FALSE)=0,"Spatial Data Missing ⚠",VLOOKUP(V50,'G-7 Rivers Data'!$AG$4:$AI$9,2,FALSE)))</f>
        <v/>
      </c>
      <c r="X50" s="499" t="str">
        <f>IF(V50="","",IF(VLOOKUP(V50,'G-7 Rivers Data'!$AG$4:$AI$9,3,FALSE)=0,"Spatial Data Missing ⚠",VLOOKUP(V50,'G-7 Rivers Data'!$AG$4:$AI$9,3,FALSE)))</f>
        <v/>
      </c>
      <c r="Y50" s="498" t="str">
        <f>IFERROR(IF(OR(LEFT(P50,5)="Error ▲",LEFT(O50,5)="Error ▲"),"Check Data ⚠",IF(F50&lt;S50,'G-7 Rivers Data'!$R$3,INDEX('G-7 Rivers Data'!$U$5:$Y$9,MATCH(G50,'G-7 Rivers Data'!$T$5:$T$9,0),MATCH(T50,'G-7 Rivers Data'!$U$4:$Y$4,0)))),"")</f>
        <v/>
      </c>
      <c r="Z50" s="195"/>
      <c r="AA50" s="195"/>
      <c r="AB50" s="507" t="str">
        <f t="shared" si="2"/>
        <v/>
      </c>
      <c r="AC50" s="521" t="str">
        <f t="shared" si="3"/>
        <v/>
      </c>
      <c r="AD50" s="564" t="str">
        <f>IFERROR(IF(AC50="Check Data ⚠","Check Data ⚠",VLOOKUP(AC50,'G-4 Temporal multipliers'!$A$4:$C$37,3,FALSE)),"")</f>
        <v/>
      </c>
      <c r="AE50" s="498" t="str">
        <f>IF(N50="","",VLOOKUP(N50,'G-7 Rivers Data'!$B$4:$G$8,5,FALSE))</f>
        <v/>
      </c>
      <c r="AF50" s="507" t="str">
        <f t="shared" si="4"/>
        <v/>
      </c>
      <c r="AG50" s="540" t="str">
        <f t="shared" si="5"/>
        <v/>
      </c>
      <c r="AH50" s="499" t="str">
        <f t="shared" si="0"/>
        <v/>
      </c>
      <c r="AI50" s="145"/>
      <c r="AJ50" s="499" t="str">
        <f>IF(AI50="","",IF(VLOOKUP(AI50,'G-7 Rivers Data'!$AA$4:$AB$7,2,FALSE)=0,"Spatial Data Missing ⚠",VLOOKUP(AI50,'G-7 Rivers Data'!$AA$4:$AB$7,2,FALSE)))</f>
        <v/>
      </c>
      <c r="AK50" s="155"/>
      <c r="AL50" s="499" t="str">
        <f>IF(AK50="","",IF(VLOOKUP(AK50,'G-7 Rivers Data'!$AD$4:$AE$8,2,FALSE)=0,"Spatial Data Missing ⚠",VLOOKUP(AK50,'G-7 Rivers Data'!$AD$4:$AE$8,2,FALSE)))</f>
        <v/>
      </c>
      <c r="AM50" s="545" t="str">
        <f t="shared" si="7"/>
        <v/>
      </c>
      <c r="AN50" s="149"/>
      <c r="AO50" s="150"/>
      <c r="AV50" s="31" t="str">
        <f>IFERROR(INDEX('G-7 Rivers Data'!$AZ$3:$AZ$7,MATCH(N50,'G-7 Rivers Data'!$AY$3:$AY$7,0)),"")</f>
        <v/>
      </c>
    </row>
    <row r="51" spans="2:48" ht="14" x14ac:dyDescent="0.3">
      <c r="B51" s="531" t="str">
        <f>'C-1 Site River Baseline'!AN49</f>
        <v/>
      </c>
      <c r="C51" s="520" t="str">
        <f>IF(B51="","",VLOOKUP($B51,'C-1 Site River Baseline'!$C$9:$R$257,2,FALSE))</f>
        <v/>
      </c>
      <c r="D51" s="520" t="str">
        <f>IF(C51="","",VLOOKUP($B51,'C-1 Site River Baseline'!$C$9:$R$257,3,FALSE))</f>
        <v/>
      </c>
      <c r="E51" s="520" t="str">
        <f>IF(D51="","",VLOOKUP($B51,'C-1 Site River Baseline'!$C$9:$R$257,4,FALSE))</f>
        <v/>
      </c>
      <c r="F51" s="520" t="str">
        <f>IF(E51="","",VLOOKUP($B51,'C-1 Site River Baseline'!$C$9:$R$257,5,FALSE))</f>
        <v/>
      </c>
      <c r="G51" s="520" t="str">
        <f>IF(F51="","",VLOOKUP($B51,'C-1 Site River Baseline'!$C$9:$R$257,6,FALSE))</f>
        <v/>
      </c>
      <c r="H51" s="520" t="str">
        <f>IF(G51="","",VLOOKUP($B51,'C-1 Site River Baseline'!$C$9:$R$257,7,FALSE))</f>
        <v/>
      </c>
      <c r="I51" s="520" t="str">
        <f>IF(H51="","",VLOOKUP($B51,'C-1 Site River Baseline'!$C$9:$R$257,8,FALSE))</f>
        <v/>
      </c>
      <c r="J51" s="520" t="str">
        <f>IF(I51="","",VLOOKUP($B51,'C-1 Site River Baseline'!$C$9:$R$257,9,FALSE))</f>
        <v/>
      </c>
      <c r="K51" s="520" t="str">
        <f>IF(J51="","",VLOOKUP($B51,'C-1 Site River Baseline'!$C$9:$R$257,10,FALSE))</f>
        <v/>
      </c>
      <c r="L51" s="520" t="str">
        <f>IF(B51="","",VLOOKUP($B51,'C-1 Site River Baseline'!$C$9:$R$257,15,FALSE))</f>
        <v/>
      </c>
      <c r="M51" s="524" t="str">
        <f>IF(L51="","",VLOOKUP($B51,'C-1 Site River Baseline'!$C$9:$R$257,16,FALSE))</f>
        <v/>
      </c>
      <c r="N51" s="418"/>
      <c r="O51" s="498" t="str">
        <f t="shared" si="1"/>
        <v/>
      </c>
      <c r="P51" s="499" t="str">
        <f>IF(C51="","",IF(AND(LEFT(C51,55)&lt;&gt;LEFT(N51,55),O51="High - High"),"Error - Not like for like ▲",IF(AND(F51=S51,H51&gt;U51),"Error - Can not reduce condition ▲",IF(AND(F51=S51,H51=U51,AJ51='C-1 Site River Baseline'!N49,'C-1 Site River Baseline'!P49=AL51),"Error - No enhancement ▲",IF(AND(C51&lt;&gt;N51,F51&lt;S51),"Lower Distinctiveness Habitat"&amp;" - "&amp;T51,G51&amp;" - "&amp;T51)))))</f>
        <v/>
      </c>
      <c r="Q51" s="567" t="str">
        <f>IF(N51="","",VLOOKUP(B51,'C-1 Site River Baseline'!$C$10:$AA$257,19,FALSE))</f>
        <v/>
      </c>
      <c r="R51" s="498" t="str">
        <f>IF(N51="","",VLOOKUP(N51,'G-7 Rivers Data'!$B$2:$G$8,2,FALSE))</f>
        <v/>
      </c>
      <c r="S51" s="499" t="str">
        <f>IFERROR(VLOOKUP(R51,'G-7 Rivers Data'!$C$4:$D$8,2,FALSE),"")</f>
        <v/>
      </c>
      <c r="T51" s="145"/>
      <c r="U51" s="499" t="str">
        <f>IFERROR(INDEX('G-7 Rivers Data'!$H$4:$L$8,MATCH(N51,'G-7 Rivers Data'!$B$4:$B$8,0),MATCH(T51,'G-7 Rivers Data'!$H$3:$L$3,0)),"")</f>
        <v/>
      </c>
      <c r="V51" s="154"/>
      <c r="W51" s="507" t="str">
        <f>IF(V51="","",IF(VLOOKUP(V51,'G-7 Rivers Data'!$AG$4:$AI$9,2,FALSE)=0,"Spatial Data Missing ⚠",VLOOKUP(V51,'G-7 Rivers Data'!$AG$4:$AI$9,2,FALSE)))</f>
        <v/>
      </c>
      <c r="X51" s="499" t="str">
        <f>IF(V51="","",IF(VLOOKUP(V51,'G-7 Rivers Data'!$AG$4:$AI$9,3,FALSE)=0,"Spatial Data Missing ⚠",VLOOKUP(V51,'G-7 Rivers Data'!$AG$4:$AI$9,3,FALSE)))</f>
        <v/>
      </c>
      <c r="Y51" s="498" t="str">
        <f>IFERROR(IF(OR(LEFT(P51,5)="Error ▲",LEFT(O51,5)="Error ▲"),"Check Data ⚠",IF(F51&lt;S51,'G-7 Rivers Data'!$R$3,INDEX('G-7 Rivers Data'!$U$5:$Y$9,MATCH(G51,'G-7 Rivers Data'!$T$5:$T$9,0),MATCH(T51,'G-7 Rivers Data'!$U$4:$Y$4,0)))),"")</f>
        <v/>
      </c>
      <c r="Z51" s="195"/>
      <c r="AA51" s="195"/>
      <c r="AB51" s="507" t="str">
        <f t="shared" si="2"/>
        <v/>
      </c>
      <c r="AC51" s="521" t="str">
        <f t="shared" si="3"/>
        <v/>
      </c>
      <c r="AD51" s="564" t="str">
        <f>IFERROR(IF(AC51="Check Data ⚠","Check Data ⚠",VLOOKUP(AC51,'G-4 Temporal multipliers'!$A$4:$C$37,3,FALSE)),"")</f>
        <v/>
      </c>
      <c r="AE51" s="498" t="str">
        <f>IF(N51="","",VLOOKUP(N51,'G-7 Rivers Data'!$B$4:$G$8,5,FALSE))</f>
        <v/>
      </c>
      <c r="AF51" s="507" t="str">
        <f t="shared" si="4"/>
        <v/>
      </c>
      <c r="AG51" s="540" t="str">
        <f t="shared" si="5"/>
        <v/>
      </c>
      <c r="AH51" s="499" t="str">
        <f t="shared" si="0"/>
        <v/>
      </c>
      <c r="AI51" s="145"/>
      <c r="AJ51" s="499" t="str">
        <f>IF(AI51="","",IF(VLOOKUP(AI51,'G-7 Rivers Data'!$AA$4:$AB$7,2,FALSE)=0,"Spatial Data Missing ⚠",VLOOKUP(AI51,'G-7 Rivers Data'!$AA$4:$AB$7,2,FALSE)))</f>
        <v/>
      </c>
      <c r="AK51" s="155"/>
      <c r="AL51" s="499" t="str">
        <f>IF(AK51="","",IF(VLOOKUP(AK51,'G-7 Rivers Data'!$AD$4:$AE$8,2,FALSE)=0,"Spatial Data Missing ⚠",VLOOKUP(AK51,'G-7 Rivers Data'!$AD$4:$AE$8,2,FALSE)))</f>
        <v/>
      </c>
      <c r="AM51" s="545" t="str">
        <f t="shared" si="7"/>
        <v/>
      </c>
      <c r="AN51" s="149"/>
      <c r="AO51" s="150"/>
      <c r="AV51" s="31" t="str">
        <f>IFERROR(INDEX('G-7 Rivers Data'!$AZ$3:$AZ$7,MATCH(N51,'G-7 Rivers Data'!$AY$3:$AY$7,0)),"")</f>
        <v/>
      </c>
    </row>
    <row r="52" spans="2:48" ht="14" x14ac:dyDescent="0.3">
      <c r="B52" s="531" t="str">
        <f>'C-1 Site River Baseline'!AN50</f>
        <v/>
      </c>
      <c r="C52" s="520" t="str">
        <f>IF(B52="","",VLOOKUP($B52,'C-1 Site River Baseline'!$C$9:$R$257,2,FALSE))</f>
        <v/>
      </c>
      <c r="D52" s="520" t="str">
        <f>IF(C52="","",VLOOKUP($B52,'C-1 Site River Baseline'!$C$9:$R$257,3,FALSE))</f>
        <v/>
      </c>
      <c r="E52" s="520" t="str">
        <f>IF(D52="","",VLOOKUP($B52,'C-1 Site River Baseline'!$C$9:$R$257,4,FALSE))</f>
        <v/>
      </c>
      <c r="F52" s="520" t="str">
        <f>IF(E52="","",VLOOKUP($B52,'C-1 Site River Baseline'!$C$9:$R$257,5,FALSE))</f>
        <v/>
      </c>
      <c r="G52" s="520" t="str">
        <f>IF(F52="","",VLOOKUP($B52,'C-1 Site River Baseline'!$C$9:$R$257,6,FALSE))</f>
        <v/>
      </c>
      <c r="H52" s="520" t="str">
        <f>IF(G52="","",VLOOKUP($B52,'C-1 Site River Baseline'!$C$9:$R$257,7,FALSE))</f>
        <v/>
      </c>
      <c r="I52" s="520" t="str">
        <f>IF(H52="","",VLOOKUP($B52,'C-1 Site River Baseline'!$C$9:$R$257,8,FALSE))</f>
        <v/>
      </c>
      <c r="J52" s="520" t="str">
        <f>IF(I52="","",VLOOKUP($B52,'C-1 Site River Baseline'!$C$9:$R$257,9,FALSE))</f>
        <v/>
      </c>
      <c r="K52" s="520" t="str">
        <f>IF(J52="","",VLOOKUP($B52,'C-1 Site River Baseline'!$C$9:$R$257,10,FALSE))</f>
        <v/>
      </c>
      <c r="L52" s="520" t="str">
        <f>IF(B52="","",VLOOKUP($B52,'C-1 Site River Baseline'!$C$9:$R$257,15,FALSE))</f>
        <v/>
      </c>
      <c r="M52" s="524" t="str">
        <f>IF(L52="","",VLOOKUP($B52,'C-1 Site River Baseline'!$C$9:$R$257,16,FALSE))</f>
        <v/>
      </c>
      <c r="N52" s="418" t="str">
        <f t="shared" si="6"/>
        <v/>
      </c>
      <c r="O52" s="498" t="str">
        <f t="shared" si="1"/>
        <v/>
      </c>
      <c r="P52" s="499" t="str">
        <f>IF(C52="","",IF(AND(LEFT(C52,55)&lt;&gt;LEFT(N52,55),O52="High - High"),"Error - Not like for like ▲",IF(AND(F52=S52,H52&gt;U52),"Error - Can not reduce condition ▲",IF(AND(F52=S52,H52=U52,AJ52='C-1 Site River Baseline'!N50,'C-1 Site River Baseline'!P50=AL52),"Error - No enhancement ▲",IF(AND(C52&lt;&gt;N52,F52&lt;S52),"Lower Distinctiveness Habitat"&amp;" - "&amp;T52,G52&amp;" - "&amp;T52)))))</f>
        <v/>
      </c>
      <c r="Q52" s="567" t="str">
        <f>IF(N52="","",VLOOKUP(B52,'C-1 Site River Baseline'!$C$10:$AA$257,19,FALSE))</f>
        <v/>
      </c>
      <c r="R52" s="498" t="str">
        <f>IF(N52="","",VLOOKUP(N52,'G-7 Rivers Data'!$B$2:$G$8,2,FALSE))</f>
        <v/>
      </c>
      <c r="S52" s="499" t="str">
        <f>IFERROR(VLOOKUP(R52,'G-7 Rivers Data'!$C$4:$D$8,2,FALSE),"")</f>
        <v/>
      </c>
      <c r="T52" s="145"/>
      <c r="U52" s="499" t="str">
        <f>IFERROR(INDEX('G-7 Rivers Data'!$H$4:$L$8,MATCH(N52,'G-7 Rivers Data'!$B$4:$B$8,0),MATCH(T52,'G-7 Rivers Data'!$H$3:$L$3,0)),"")</f>
        <v/>
      </c>
      <c r="V52" s="154"/>
      <c r="W52" s="507" t="str">
        <f>IF(V52="","",IF(VLOOKUP(V52,'G-7 Rivers Data'!$AG$4:$AI$9,2,FALSE)=0,"Spatial Data Missing ⚠",VLOOKUP(V52,'G-7 Rivers Data'!$AG$4:$AI$9,2,FALSE)))</f>
        <v/>
      </c>
      <c r="X52" s="499" t="str">
        <f>IF(V52="","",IF(VLOOKUP(V52,'G-7 Rivers Data'!$AG$4:$AI$9,3,FALSE)=0,"Spatial Data Missing ⚠",VLOOKUP(V52,'G-7 Rivers Data'!$AG$4:$AI$9,3,FALSE)))</f>
        <v/>
      </c>
      <c r="Y52" s="498" t="str">
        <f>IFERROR(IF(OR(LEFT(P52,5)="Error ▲",LEFT(O52,5)="Error ▲"),"Check Data ⚠",IF(F52&lt;S52,'G-7 Rivers Data'!$R$3,INDEX('G-7 Rivers Data'!$U$5:$Y$9,MATCH(G52,'G-7 Rivers Data'!$T$5:$T$9,0),MATCH(T52,'G-7 Rivers Data'!$U$4:$Y$4,0)))),"")</f>
        <v/>
      </c>
      <c r="Z52" s="195"/>
      <c r="AA52" s="195"/>
      <c r="AB52" s="507" t="str">
        <f t="shared" si="2"/>
        <v/>
      </c>
      <c r="AC52" s="521" t="str">
        <f t="shared" si="3"/>
        <v/>
      </c>
      <c r="AD52" s="564" t="str">
        <f>IFERROR(IF(AC52="Check Data ⚠","Check Data ⚠",VLOOKUP(AC52,'G-4 Temporal multipliers'!$A$4:$C$37,3,FALSE)),"")</f>
        <v/>
      </c>
      <c r="AE52" s="498" t="str">
        <f>IF(N52="","",VLOOKUP(N52,'G-7 Rivers Data'!$B$4:$G$8,5,FALSE))</f>
        <v/>
      </c>
      <c r="AF52" s="507" t="str">
        <f t="shared" si="4"/>
        <v/>
      </c>
      <c r="AG52" s="540" t="str">
        <f t="shared" si="5"/>
        <v/>
      </c>
      <c r="AH52" s="499" t="str">
        <f t="shared" si="0"/>
        <v/>
      </c>
      <c r="AI52" s="145"/>
      <c r="AJ52" s="499" t="str">
        <f>IF(AI52="","",IF(VLOOKUP(AI52,'G-7 Rivers Data'!$AA$4:$AB$7,2,FALSE)=0,"Spatial Data Missing ⚠",VLOOKUP(AI52,'G-7 Rivers Data'!$AA$4:$AB$7,2,FALSE)))</f>
        <v/>
      </c>
      <c r="AK52" s="155"/>
      <c r="AL52" s="499" t="str">
        <f>IF(AK52="","",IF(VLOOKUP(AK52,'G-7 Rivers Data'!$AD$4:$AE$8,2,FALSE)=0,"Spatial Data Missing ⚠",VLOOKUP(AK52,'G-7 Rivers Data'!$AD$4:$AE$8,2,FALSE)))</f>
        <v/>
      </c>
      <c r="AM52" s="545" t="str">
        <f t="shared" si="7"/>
        <v/>
      </c>
      <c r="AN52" s="149"/>
      <c r="AO52" s="150"/>
      <c r="AV52" s="31" t="str">
        <f>IFERROR(INDEX('G-7 Rivers Data'!$AZ$3:$AZ$7,MATCH(N52,'G-7 Rivers Data'!$AY$3:$AY$7,0)),"")</f>
        <v/>
      </c>
    </row>
    <row r="53" spans="2:48" ht="14" x14ac:dyDescent="0.3">
      <c r="B53" s="531" t="str">
        <f>'C-1 Site River Baseline'!AN51</f>
        <v/>
      </c>
      <c r="C53" s="520" t="str">
        <f>IF(B53="","",VLOOKUP($B53,'C-1 Site River Baseline'!$C$9:$R$257,2,FALSE))</f>
        <v/>
      </c>
      <c r="D53" s="520" t="str">
        <f>IF(C53="","",VLOOKUP($B53,'C-1 Site River Baseline'!$C$9:$R$257,3,FALSE))</f>
        <v/>
      </c>
      <c r="E53" s="520" t="str">
        <f>IF(D53="","",VLOOKUP($B53,'C-1 Site River Baseline'!$C$9:$R$257,4,FALSE))</f>
        <v/>
      </c>
      <c r="F53" s="520" t="str">
        <f>IF(E53="","",VLOOKUP($B53,'C-1 Site River Baseline'!$C$9:$R$257,5,FALSE))</f>
        <v/>
      </c>
      <c r="G53" s="520" t="str">
        <f>IF(F53="","",VLOOKUP($B53,'C-1 Site River Baseline'!$C$9:$R$257,6,FALSE))</f>
        <v/>
      </c>
      <c r="H53" s="520" t="str">
        <f>IF(G53="","",VLOOKUP($B53,'C-1 Site River Baseline'!$C$9:$R$257,7,FALSE))</f>
        <v/>
      </c>
      <c r="I53" s="520" t="str">
        <f>IF(H53="","",VLOOKUP($B53,'C-1 Site River Baseline'!$C$9:$R$257,8,FALSE))</f>
        <v/>
      </c>
      <c r="J53" s="520" t="str">
        <f>IF(I53="","",VLOOKUP($B53,'C-1 Site River Baseline'!$C$9:$R$257,9,FALSE))</f>
        <v/>
      </c>
      <c r="K53" s="520" t="str">
        <f>IF(J53="","",VLOOKUP($B53,'C-1 Site River Baseline'!$C$9:$R$257,10,FALSE))</f>
        <v/>
      </c>
      <c r="L53" s="520" t="str">
        <f>IF(B53="","",VLOOKUP($B53,'C-1 Site River Baseline'!$C$9:$R$257,15,FALSE))</f>
        <v/>
      </c>
      <c r="M53" s="524" t="str">
        <f>IF(L53="","",VLOOKUP($B53,'C-1 Site River Baseline'!$C$9:$R$257,16,FALSE))</f>
        <v/>
      </c>
      <c r="N53" s="418" t="str">
        <f t="shared" si="6"/>
        <v/>
      </c>
      <c r="O53" s="498" t="str">
        <f t="shared" si="1"/>
        <v/>
      </c>
      <c r="P53" s="499" t="str">
        <f>IF(C53="","",IF(AND(LEFT(C53,55)&lt;&gt;LEFT(N53,55),O53="High - High"),"Error - Not like for like ▲",IF(AND(F53=S53,H53&gt;U53),"Error - Can not reduce condition ▲",IF(AND(F53=S53,H53=U53,AJ53='C-1 Site River Baseline'!N51,'C-1 Site River Baseline'!P51=AL53),"Error - No enhancement ▲",IF(AND(C53&lt;&gt;N53,F53&lt;S53),"Lower Distinctiveness Habitat"&amp;" - "&amp;T53,G53&amp;" - "&amp;T53)))))</f>
        <v/>
      </c>
      <c r="Q53" s="567" t="str">
        <f>IF(N53="","",VLOOKUP(B53,'C-1 Site River Baseline'!$C$10:$AA$257,19,FALSE))</f>
        <v/>
      </c>
      <c r="R53" s="498" t="str">
        <f>IF(N53="","",VLOOKUP(N53,'G-7 Rivers Data'!$B$2:$G$8,2,FALSE))</f>
        <v/>
      </c>
      <c r="S53" s="499" t="str">
        <f>IFERROR(VLOOKUP(R53,'G-7 Rivers Data'!$C$4:$D$8,2,FALSE),"")</f>
        <v/>
      </c>
      <c r="T53" s="145"/>
      <c r="U53" s="499" t="str">
        <f>IFERROR(INDEX('G-7 Rivers Data'!$H$4:$L$8,MATCH(N53,'G-7 Rivers Data'!$B$4:$B$8,0),MATCH(T53,'G-7 Rivers Data'!$H$3:$L$3,0)),"")</f>
        <v/>
      </c>
      <c r="V53" s="154"/>
      <c r="W53" s="507" t="str">
        <f>IF(V53="","",IF(VLOOKUP(V53,'G-7 Rivers Data'!$AG$4:$AI$9,2,FALSE)=0,"Spatial Data Missing ⚠",VLOOKUP(V53,'G-7 Rivers Data'!$AG$4:$AI$9,2,FALSE)))</f>
        <v/>
      </c>
      <c r="X53" s="499" t="str">
        <f>IF(V53="","",IF(VLOOKUP(V53,'G-7 Rivers Data'!$AG$4:$AI$9,3,FALSE)=0,"Spatial Data Missing ⚠",VLOOKUP(V53,'G-7 Rivers Data'!$AG$4:$AI$9,3,FALSE)))</f>
        <v/>
      </c>
      <c r="Y53" s="498" t="str">
        <f>IFERROR(IF(OR(LEFT(P53,5)="Error ▲",LEFT(O53,5)="Error ▲"),"Check Data ⚠",IF(F53&lt;S53,'G-7 Rivers Data'!$R$3,INDEX('G-7 Rivers Data'!$U$5:$Y$9,MATCH(G53,'G-7 Rivers Data'!$T$5:$T$9,0),MATCH(T53,'G-7 Rivers Data'!$U$4:$Y$4,0)))),"")</f>
        <v/>
      </c>
      <c r="Z53" s="195"/>
      <c r="AA53" s="195"/>
      <c r="AB53" s="507" t="str">
        <f t="shared" si="2"/>
        <v/>
      </c>
      <c r="AC53" s="521" t="str">
        <f t="shared" si="3"/>
        <v/>
      </c>
      <c r="AD53" s="564" t="str">
        <f>IFERROR(IF(AC53="Check Data ⚠","Check Data ⚠",VLOOKUP(AC53,'G-4 Temporal multipliers'!$A$4:$C$37,3,FALSE)),"")</f>
        <v/>
      </c>
      <c r="AE53" s="498" t="str">
        <f>IF(N53="","",VLOOKUP(N53,'G-7 Rivers Data'!$B$4:$G$8,5,FALSE))</f>
        <v/>
      </c>
      <c r="AF53" s="507" t="str">
        <f t="shared" si="4"/>
        <v/>
      </c>
      <c r="AG53" s="540" t="str">
        <f t="shared" si="5"/>
        <v/>
      </c>
      <c r="AH53" s="499" t="str">
        <f t="shared" si="0"/>
        <v/>
      </c>
      <c r="AI53" s="145"/>
      <c r="AJ53" s="499" t="str">
        <f>IF(AI53="","",IF(VLOOKUP(AI53,'G-7 Rivers Data'!$AA$4:$AB$7,2,FALSE)=0,"Spatial Data Missing ⚠",VLOOKUP(AI53,'G-7 Rivers Data'!$AA$4:$AB$7,2,FALSE)))</f>
        <v/>
      </c>
      <c r="AK53" s="155"/>
      <c r="AL53" s="499" t="str">
        <f>IF(AK53="","",IF(VLOOKUP(AK53,'G-7 Rivers Data'!$AD$4:$AE$8,2,FALSE)=0,"Spatial Data Missing ⚠",VLOOKUP(AK53,'G-7 Rivers Data'!$AD$4:$AE$8,2,FALSE)))</f>
        <v/>
      </c>
      <c r="AM53" s="545" t="str">
        <f t="shared" si="7"/>
        <v/>
      </c>
      <c r="AN53" s="149"/>
      <c r="AO53" s="150"/>
      <c r="AV53" s="31" t="str">
        <f>IFERROR(INDEX('G-7 Rivers Data'!$AZ$3:$AZ$7,MATCH(N53,'G-7 Rivers Data'!$AY$3:$AY$7,0)),"")</f>
        <v/>
      </c>
    </row>
    <row r="54" spans="2:48" ht="14" x14ac:dyDescent="0.3">
      <c r="B54" s="531" t="str">
        <f>'C-1 Site River Baseline'!AN52</f>
        <v/>
      </c>
      <c r="C54" s="520" t="str">
        <f>IF(B54="","",VLOOKUP($B54,'C-1 Site River Baseline'!$C$9:$R$257,2,FALSE))</f>
        <v/>
      </c>
      <c r="D54" s="520" t="str">
        <f>IF(C54="","",VLOOKUP($B54,'C-1 Site River Baseline'!$C$9:$R$257,3,FALSE))</f>
        <v/>
      </c>
      <c r="E54" s="520" t="str">
        <f>IF(D54="","",VLOOKUP($B54,'C-1 Site River Baseline'!$C$9:$R$257,4,FALSE))</f>
        <v/>
      </c>
      <c r="F54" s="520" t="str">
        <f>IF(E54="","",VLOOKUP($B54,'C-1 Site River Baseline'!$C$9:$R$257,5,FALSE))</f>
        <v/>
      </c>
      <c r="G54" s="520" t="str">
        <f>IF(F54="","",VLOOKUP($B54,'C-1 Site River Baseline'!$C$9:$R$257,6,FALSE))</f>
        <v/>
      </c>
      <c r="H54" s="520" t="str">
        <f>IF(G54="","",VLOOKUP($B54,'C-1 Site River Baseline'!$C$9:$R$257,7,FALSE))</f>
        <v/>
      </c>
      <c r="I54" s="520" t="str">
        <f>IF(H54="","",VLOOKUP($B54,'C-1 Site River Baseline'!$C$9:$R$257,8,FALSE))</f>
        <v/>
      </c>
      <c r="J54" s="520" t="str">
        <f>IF(I54="","",VLOOKUP($B54,'C-1 Site River Baseline'!$C$9:$R$257,9,FALSE))</f>
        <v/>
      </c>
      <c r="K54" s="520" t="str">
        <f>IF(J54="","",VLOOKUP($B54,'C-1 Site River Baseline'!$C$9:$R$257,10,FALSE))</f>
        <v/>
      </c>
      <c r="L54" s="520" t="str">
        <f>IF(B54="","",VLOOKUP($B54,'C-1 Site River Baseline'!$C$9:$R$257,15,FALSE))</f>
        <v/>
      </c>
      <c r="M54" s="524" t="str">
        <f>IF(L54="","",VLOOKUP($B54,'C-1 Site River Baseline'!$C$9:$R$257,16,FALSE))</f>
        <v/>
      </c>
      <c r="N54" s="418" t="str">
        <f t="shared" si="6"/>
        <v/>
      </c>
      <c r="O54" s="498" t="str">
        <f t="shared" si="1"/>
        <v/>
      </c>
      <c r="P54" s="499" t="str">
        <f>IF(C54="","",IF(AND(LEFT(C54,55)&lt;&gt;LEFT(N54,55),O54="High - High"),"Error - Not like for like ▲",IF(AND(F54=S54,H54&gt;U54),"Error - Can not reduce condition ▲",IF(AND(F54=S54,H54=U54,AJ54='C-1 Site River Baseline'!N52,'C-1 Site River Baseline'!P52=AL54),"Error - No enhancement ▲",IF(AND(C54&lt;&gt;N54,F54&lt;S54),"Lower Distinctiveness Habitat"&amp;" - "&amp;T54,G54&amp;" - "&amp;T54)))))</f>
        <v/>
      </c>
      <c r="Q54" s="567" t="str">
        <f>IF(N54="","",VLOOKUP(B54,'C-1 Site River Baseline'!$C$10:$AA$257,19,FALSE))</f>
        <v/>
      </c>
      <c r="R54" s="498" t="str">
        <f>IF(N54="","",VLOOKUP(N54,'G-7 Rivers Data'!$B$2:$G$8,2,FALSE))</f>
        <v/>
      </c>
      <c r="S54" s="499" t="str">
        <f>IFERROR(VLOOKUP(R54,'G-7 Rivers Data'!$C$4:$D$8,2,FALSE),"")</f>
        <v/>
      </c>
      <c r="T54" s="145"/>
      <c r="U54" s="499" t="str">
        <f>IFERROR(INDEX('G-7 Rivers Data'!$H$4:$L$8,MATCH(N54,'G-7 Rivers Data'!$B$4:$B$8,0),MATCH(T54,'G-7 Rivers Data'!$H$3:$L$3,0)),"")</f>
        <v/>
      </c>
      <c r="V54" s="154"/>
      <c r="W54" s="507" t="str">
        <f>IF(V54="","",IF(VLOOKUP(V54,'G-7 Rivers Data'!$AG$4:$AI$9,2,FALSE)=0,"Spatial Data Missing ⚠",VLOOKUP(V54,'G-7 Rivers Data'!$AG$4:$AI$9,2,FALSE)))</f>
        <v/>
      </c>
      <c r="X54" s="499" t="str">
        <f>IF(V54="","",IF(VLOOKUP(V54,'G-7 Rivers Data'!$AG$4:$AI$9,3,FALSE)=0,"Spatial Data Missing ⚠",VLOOKUP(V54,'G-7 Rivers Data'!$AG$4:$AI$9,3,FALSE)))</f>
        <v/>
      </c>
      <c r="Y54" s="498" t="str">
        <f>IFERROR(IF(OR(LEFT(P54,5)="Error ▲",LEFT(O54,5)="Error ▲"),"Check Data ⚠",IF(F54&lt;S54,'G-7 Rivers Data'!$R$3,INDEX('G-7 Rivers Data'!$U$5:$Y$9,MATCH(G54,'G-7 Rivers Data'!$T$5:$T$9,0),MATCH(T54,'G-7 Rivers Data'!$U$4:$Y$4,0)))),"")</f>
        <v/>
      </c>
      <c r="Z54" s="195"/>
      <c r="AA54" s="195"/>
      <c r="AB54" s="507" t="str">
        <f t="shared" si="2"/>
        <v/>
      </c>
      <c r="AC54" s="521" t="str">
        <f t="shared" si="3"/>
        <v/>
      </c>
      <c r="AD54" s="564" t="str">
        <f>IFERROR(IF(AC54="Check Data ⚠","Check Data ⚠",VLOOKUP(AC54,'G-4 Temporal multipliers'!$A$4:$C$37,3,FALSE)),"")</f>
        <v/>
      </c>
      <c r="AE54" s="498" t="str">
        <f>IF(N54="","",VLOOKUP(N54,'G-7 Rivers Data'!$B$4:$G$8,5,FALSE))</f>
        <v/>
      </c>
      <c r="AF54" s="507" t="str">
        <f t="shared" si="4"/>
        <v/>
      </c>
      <c r="AG54" s="540" t="str">
        <f t="shared" si="5"/>
        <v/>
      </c>
      <c r="AH54" s="499" t="str">
        <f t="shared" si="0"/>
        <v/>
      </c>
      <c r="AI54" s="145"/>
      <c r="AJ54" s="499" t="str">
        <f>IF(AI54="","",IF(VLOOKUP(AI54,'G-7 Rivers Data'!$AA$4:$AB$7,2,FALSE)=0,"Spatial Data Missing ⚠",VLOOKUP(AI54,'G-7 Rivers Data'!$AA$4:$AB$7,2,FALSE)))</f>
        <v/>
      </c>
      <c r="AK54" s="155"/>
      <c r="AL54" s="499" t="str">
        <f>IF(AK54="","",IF(VLOOKUP(AK54,'G-7 Rivers Data'!$AD$4:$AE$8,2,FALSE)=0,"Spatial Data Missing ⚠",VLOOKUP(AK54,'G-7 Rivers Data'!$AD$4:$AE$8,2,FALSE)))</f>
        <v/>
      </c>
      <c r="AM54" s="545" t="str">
        <f t="shared" si="7"/>
        <v/>
      </c>
      <c r="AN54" s="149"/>
      <c r="AO54" s="150"/>
      <c r="AV54" s="31" t="str">
        <f>IFERROR(INDEX('G-7 Rivers Data'!$AZ$3:$AZ$7,MATCH(N54,'G-7 Rivers Data'!$AY$3:$AY$7,0)),"")</f>
        <v/>
      </c>
    </row>
    <row r="55" spans="2:48" ht="14" x14ac:dyDescent="0.3">
      <c r="B55" s="531" t="str">
        <f>'C-1 Site River Baseline'!AN53</f>
        <v/>
      </c>
      <c r="C55" s="520" t="str">
        <f>IF(B55="","",VLOOKUP($B55,'C-1 Site River Baseline'!$C$9:$R$257,2,FALSE))</f>
        <v/>
      </c>
      <c r="D55" s="520" t="str">
        <f>IF(C55="","",VLOOKUP($B55,'C-1 Site River Baseline'!$C$9:$R$257,3,FALSE))</f>
        <v/>
      </c>
      <c r="E55" s="520" t="str">
        <f>IF(D55="","",VLOOKUP($B55,'C-1 Site River Baseline'!$C$9:$R$257,4,FALSE))</f>
        <v/>
      </c>
      <c r="F55" s="520" t="str">
        <f>IF(E55="","",VLOOKUP($B55,'C-1 Site River Baseline'!$C$9:$R$257,5,FALSE))</f>
        <v/>
      </c>
      <c r="G55" s="520" t="str">
        <f>IF(F55="","",VLOOKUP($B55,'C-1 Site River Baseline'!$C$9:$R$257,6,FALSE))</f>
        <v/>
      </c>
      <c r="H55" s="520" t="str">
        <f>IF(G55="","",VLOOKUP($B55,'C-1 Site River Baseline'!$C$9:$R$257,7,FALSE))</f>
        <v/>
      </c>
      <c r="I55" s="520" t="str">
        <f>IF(H55="","",VLOOKUP($B55,'C-1 Site River Baseline'!$C$9:$R$257,8,FALSE))</f>
        <v/>
      </c>
      <c r="J55" s="520" t="str">
        <f>IF(I55="","",VLOOKUP($B55,'C-1 Site River Baseline'!$C$9:$R$257,9,FALSE))</f>
        <v/>
      </c>
      <c r="K55" s="520" t="str">
        <f>IF(J55="","",VLOOKUP($B55,'C-1 Site River Baseline'!$C$9:$R$257,10,FALSE))</f>
        <v/>
      </c>
      <c r="L55" s="520" t="str">
        <f>IF(B55="","",VLOOKUP($B55,'C-1 Site River Baseline'!$C$9:$R$257,15,FALSE))</f>
        <v/>
      </c>
      <c r="M55" s="524" t="str">
        <f>IF(L55="","",VLOOKUP($B55,'C-1 Site River Baseline'!$C$9:$R$257,16,FALSE))</f>
        <v/>
      </c>
      <c r="N55" s="418" t="str">
        <f t="shared" si="6"/>
        <v/>
      </c>
      <c r="O55" s="498" t="str">
        <f t="shared" si="1"/>
        <v/>
      </c>
      <c r="P55" s="499" t="str">
        <f>IF(C55="","",IF(AND(LEFT(C55,55)&lt;&gt;LEFT(N55,55),O55="High - High"),"Error - Not like for like ▲",IF(AND(F55=S55,H55&gt;U55),"Error - Can not reduce condition ▲",IF(AND(F55=S55,H55=U55,AJ55='C-1 Site River Baseline'!N53,'C-1 Site River Baseline'!P53=AL55),"Error - No enhancement ▲",IF(AND(C55&lt;&gt;N55,F55&lt;S55),"Lower Distinctiveness Habitat"&amp;" - "&amp;T55,G55&amp;" - "&amp;T55)))))</f>
        <v/>
      </c>
      <c r="Q55" s="567" t="str">
        <f>IF(N55="","",VLOOKUP(B55,'C-1 Site River Baseline'!$C$10:$AA$257,19,FALSE))</f>
        <v/>
      </c>
      <c r="R55" s="498" t="str">
        <f>IF(N55="","",VLOOKUP(N55,'G-7 Rivers Data'!$B$2:$G$8,2,FALSE))</f>
        <v/>
      </c>
      <c r="S55" s="499" t="str">
        <f>IFERROR(VLOOKUP(R55,'G-7 Rivers Data'!$C$4:$D$8,2,FALSE),"")</f>
        <v/>
      </c>
      <c r="T55" s="145"/>
      <c r="U55" s="499" t="str">
        <f>IFERROR(INDEX('G-7 Rivers Data'!$H$4:$L$8,MATCH(N55,'G-7 Rivers Data'!$B$4:$B$8,0),MATCH(T55,'G-7 Rivers Data'!$H$3:$L$3,0)),"")</f>
        <v/>
      </c>
      <c r="V55" s="154"/>
      <c r="W55" s="507" t="str">
        <f>IF(V55="","",IF(VLOOKUP(V55,'G-7 Rivers Data'!$AG$4:$AI$9,2,FALSE)=0,"Spatial Data Missing ⚠",VLOOKUP(V55,'G-7 Rivers Data'!$AG$4:$AI$9,2,FALSE)))</f>
        <v/>
      </c>
      <c r="X55" s="499" t="str">
        <f>IF(V55="","",IF(VLOOKUP(V55,'G-7 Rivers Data'!$AG$4:$AI$9,3,FALSE)=0,"Spatial Data Missing ⚠",VLOOKUP(V55,'G-7 Rivers Data'!$AG$4:$AI$9,3,FALSE)))</f>
        <v/>
      </c>
      <c r="Y55" s="498" t="str">
        <f>IFERROR(IF(OR(LEFT(P55,5)="Error ▲",LEFT(O55,5)="Error ▲"),"Check Data ⚠",IF(F55&lt;S55,'G-7 Rivers Data'!$R$3,INDEX('G-7 Rivers Data'!$U$5:$Y$9,MATCH(G55,'G-7 Rivers Data'!$T$5:$T$9,0),MATCH(T55,'G-7 Rivers Data'!$U$4:$Y$4,0)))),"")</f>
        <v/>
      </c>
      <c r="Z55" s="195"/>
      <c r="AA55" s="195"/>
      <c r="AB55" s="507" t="str">
        <f t="shared" si="2"/>
        <v/>
      </c>
      <c r="AC55" s="521" t="str">
        <f t="shared" si="3"/>
        <v/>
      </c>
      <c r="AD55" s="564" t="str">
        <f>IFERROR(IF(AC55="Check Data ⚠","Check Data ⚠",VLOOKUP(AC55,'G-4 Temporal multipliers'!$A$4:$C$37,3,FALSE)),"")</f>
        <v/>
      </c>
      <c r="AE55" s="498" t="str">
        <f>IF(N55="","",VLOOKUP(N55,'G-7 Rivers Data'!$B$4:$G$8,5,FALSE))</f>
        <v/>
      </c>
      <c r="AF55" s="507" t="str">
        <f t="shared" si="4"/>
        <v/>
      </c>
      <c r="AG55" s="540" t="str">
        <f t="shared" si="5"/>
        <v/>
      </c>
      <c r="AH55" s="499" t="str">
        <f t="shared" si="0"/>
        <v/>
      </c>
      <c r="AI55" s="145"/>
      <c r="AJ55" s="499" t="str">
        <f>IF(AI55="","",IF(VLOOKUP(AI55,'G-7 Rivers Data'!$AA$4:$AB$7,2,FALSE)=0,"Spatial Data Missing ⚠",VLOOKUP(AI55,'G-7 Rivers Data'!$AA$4:$AB$7,2,FALSE)))</f>
        <v/>
      </c>
      <c r="AK55" s="155"/>
      <c r="AL55" s="499" t="str">
        <f>IF(AK55="","",IF(VLOOKUP(AK55,'G-7 Rivers Data'!$AD$4:$AE$8,2,FALSE)=0,"Spatial Data Missing ⚠",VLOOKUP(AK55,'G-7 Rivers Data'!$AD$4:$AE$8,2,FALSE)))</f>
        <v/>
      </c>
      <c r="AM55" s="545" t="str">
        <f t="shared" si="7"/>
        <v/>
      </c>
      <c r="AN55" s="149"/>
      <c r="AO55" s="150"/>
      <c r="AV55" s="31" t="str">
        <f>IFERROR(INDEX('G-7 Rivers Data'!$AZ$3:$AZ$7,MATCH(N55,'G-7 Rivers Data'!$AY$3:$AY$7,0)),"")</f>
        <v/>
      </c>
    </row>
    <row r="56" spans="2:48" ht="14" x14ac:dyDescent="0.3">
      <c r="B56" s="531" t="str">
        <f>'C-1 Site River Baseline'!AN54</f>
        <v/>
      </c>
      <c r="C56" s="520" t="str">
        <f>IF(B56="","",VLOOKUP($B56,'C-1 Site River Baseline'!$C$9:$R$257,2,FALSE))</f>
        <v/>
      </c>
      <c r="D56" s="520" t="str">
        <f>IF(C56="","",VLOOKUP($B56,'C-1 Site River Baseline'!$C$9:$R$257,3,FALSE))</f>
        <v/>
      </c>
      <c r="E56" s="520" t="str">
        <f>IF(D56="","",VLOOKUP($B56,'C-1 Site River Baseline'!$C$9:$R$257,4,FALSE))</f>
        <v/>
      </c>
      <c r="F56" s="520" t="str">
        <f>IF(E56="","",VLOOKUP($B56,'C-1 Site River Baseline'!$C$9:$R$257,5,FALSE))</f>
        <v/>
      </c>
      <c r="G56" s="520" t="str">
        <f>IF(F56="","",VLOOKUP($B56,'C-1 Site River Baseline'!$C$9:$R$257,6,FALSE))</f>
        <v/>
      </c>
      <c r="H56" s="520" t="str">
        <f>IF(G56="","",VLOOKUP($B56,'C-1 Site River Baseline'!$C$9:$R$257,7,FALSE))</f>
        <v/>
      </c>
      <c r="I56" s="520" t="str">
        <f>IF(H56="","",VLOOKUP($B56,'C-1 Site River Baseline'!$C$9:$R$257,8,FALSE))</f>
        <v/>
      </c>
      <c r="J56" s="520" t="str">
        <f>IF(I56="","",VLOOKUP($B56,'C-1 Site River Baseline'!$C$9:$R$257,9,FALSE))</f>
        <v/>
      </c>
      <c r="K56" s="520" t="str">
        <f>IF(J56="","",VLOOKUP($B56,'C-1 Site River Baseline'!$C$9:$R$257,10,FALSE))</f>
        <v/>
      </c>
      <c r="L56" s="520" t="str">
        <f>IF(B56="","",VLOOKUP($B56,'C-1 Site River Baseline'!$C$9:$R$257,15,FALSE))</f>
        <v/>
      </c>
      <c r="M56" s="524" t="str">
        <f>IF(L56="","",VLOOKUP($B56,'C-1 Site River Baseline'!$C$9:$R$257,16,FALSE))</f>
        <v/>
      </c>
      <c r="N56" s="418" t="str">
        <f t="shared" si="6"/>
        <v/>
      </c>
      <c r="O56" s="498" t="str">
        <f t="shared" si="1"/>
        <v/>
      </c>
      <c r="P56" s="499" t="str">
        <f>IF(C56="","",IF(AND(LEFT(C56,55)&lt;&gt;LEFT(N56,55),O56="High - High"),"Error - Not like for like ▲",IF(AND(F56=S56,H56&gt;U56),"Error - Can not reduce condition ▲",IF(AND(F56=S56,H56=U56,AJ56='C-1 Site River Baseline'!N54,'C-1 Site River Baseline'!P54=AL56),"Error - No enhancement ▲",IF(AND(C56&lt;&gt;N56,F56&lt;S56),"Lower Distinctiveness Habitat"&amp;" - "&amp;T56,G56&amp;" - "&amp;T56)))))</f>
        <v/>
      </c>
      <c r="Q56" s="567" t="str">
        <f>IF(N56="","",VLOOKUP(B56,'C-1 Site River Baseline'!$C$10:$AA$257,19,FALSE))</f>
        <v/>
      </c>
      <c r="R56" s="498" t="str">
        <f>IF(N56="","",VLOOKUP(N56,'G-7 Rivers Data'!$B$2:$G$8,2,FALSE))</f>
        <v/>
      </c>
      <c r="S56" s="499" t="str">
        <f>IFERROR(VLOOKUP(R56,'G-7 Rivers Data'!$C$4:$D$8,2,FALSE),"")</f>
        <v/>
      </c>
      <c r="T56" s="145"/>
      <c r="U56" s="499" t="str">
        <f>IFERROR(INDEX('G-7 Rivers Data'!$H$4:$L$8,MATCH(N56,'G-7 Rivers Data'!$B$4:$B$8,0),MATCH(T56,'G-7 Rivers Data'!$H$3:$L$3,0)),"")</f>
        <v/>
      </c>
      <c r="V56" s="154"/>
      <c r="W56" s="507" t="str">
        <f>IF(V56="","",IF(VLOOKUP(V56,'G-7 Rivers Data'!$AG$4:$AI$9,2,FALSE)=0,"Spatial Data Missing ⚠",VLOOKUP(V56,'G-7 Rivers Data'!$AG$4:$AI$9,2,FALSE)))</f>
        <v/>
      </c>
      <c r="X56" s="499" t="str">
        <f>IF(V56="","",IF(VLOOKUP(V56,'G-7 Rivers Data'!$AG$4:$AI$9,3,FALSE)=0,"Spatial Data Missing ⚠",VLOOKUP(V56,'G-7 Rivers Data'!$AG$4:$AI$9,3,FALSE)))</f>
        <v/>
      </c>
      <c r="Y56" s="498" t="str">
        <f>IFERROR(IF(OR(LEFT(P56,5)="Error ▲",LEFT(O56,5)="Error ▲"),"Check Data ⚠",IF(F56&lt;S56,'G-7 Rivers Data'!$R$3,INDEX('G-7 Rivers Data'!$U$5:$Y$9,MATCH(G56,'G-7 Rivers Data'!$T$5:$T$9,0),MATCH(T56,'G-7 Rivers Data'!$U$4:$Y$4,0)))),"")</f>
        <v/>
      </c>
      <c r="Z56" s="195"/>
      <c r="AA56" s="195"/>
      <c r="AB56" s="507" t="str">
        <f t="shared" si="2"/>
        <v/>
      </c>
      <c r="AC56" s="521" t="str">
        <f t="shared" si="3"/>
        <v/>
      </c>
      <c r="AD56" s="564" t="str">
        <f>IFERROR(IF(AC56="Check Data ⚠","Check Data ⚠",VLOOKUP(AC56,'G-4 Temporal multipliers'!$A$4:$C$37,3,FALSE)),"")</f>
        <v/>
      </c>
      <c r="AE56" s="498" t="str">
        <f>IF(N56="","",VLOOKUP(N56,'G-7 Rivers Data'!$B$4:$G$8,5,FALSE))</f>
        <v/>
      </c>
      <c r="AF56" s="507" t="str">
        <f t="shared" si="4"/>
        <v/>
      </c>
      <c r="AG56" s="540" t="str">
        <f t="shared" si="5"/>
        <v/>
      </c>
      <c r="AH56" s="499" t="str">
        <f t="shared" si="0"/>
        <v/>
      </c>
      <c r="AI56" s="145"/>
      <c r="AJ56" s="499" t="str">
        <f>IF(AI56="","",IF(VLOOKUP(AI56,'G-7 Rivers Data'!$AA$4:$AB$7,2,FALSE)=0,"Spatial Data Missing ⚠",VLOOKUP(AI56,'G-7 Rivers Data'!$AA$4:$AB$7,2,FALSE)))</f>
        <v/>
      </c>
      <c r="AK56" s="155"/>
      <c r="AL56" s="499" t="str">
        <f>IF(AK56="","",IF(VLOOKUP(AK56,'G-7 Rivers Data'!$AD$4:$AE$8,2,FALSE)=0,"Spatial Data Missing ⚠",VLOOKUP(AK56,'G-7 Rivers Data'!$AD$4:$AE$8,2,FALSE)))</f>
        <v/>
      </c>
      <c r="AM56" s="545" t="str">
        <f t="shared" si="7"/>
        <v/>
      </c>
      <c r="AN56" s="149"/>
      <c r="AO56" s="150"/>
      <c r="AV56" s="31" t="str">
        <f>IFERROR(INDEX('G-7 Rivers Data'!$AZ$3:$AZ$7,MATCH(N56,'G-7 Rivers Data'!$AY$3:$AY$7,0)),"")</f>
        <v/>
      </c>
    </row>
    <row r="57" spans="2:48" ht="14" x14ac:dyDescent="0.3">
      <c r="B57" s="531" t="str">
        <f>'C-1 Site River Baseline'!AN55</f>
        <v/>
      </c>
      <c r="C57" s="520" t="str">
        <f>IF(B57="","",VLOOKUP($B57,'C-1 Site River Baseline'!$C$9:$R$257,2,FALSE))</f>
        <v/>
      </c>
      <c r="D57" s="520" t="str">
        <f>IF(C57="","",VLOOKUP($B57,'C-1 Site River Baseline'!$C$9:$R$257,3,FALSE))</f>
        <v/>
      </c>
      <c r="E57" s="520" t="str">
        <f>IF(D57="","",VLOOKUP($B57,'C-1 Site River Baseline'!$C$9:$R$257,4,FALSE))</f>
        <v/>
      </c>
      <c r="F57" s="520" t="str">
        <f>IF(E57="","",VLOOKUP($B57,'C-1 Site River Baseline'!$C$9:$R$257,5,FALSE))</f>
        <v/>
      </c>
      <c r="G57" s="520" t="str">
        <f>IF(F57="","",VLOOKUP($B57,'C-1 Site River Baseline'!$C$9:$R$257,6,FALSE))</f>
        <v/>
      </c>
      <c r="H57" s="520" t="str">
        <f>IF(G57="","",VLOOKUP($B57,'C-1 Site River Baseline'!$C$9:$R$257,7,FALSE))</f>
        <v/>
      </c>
      <c r="I57" s="520" t="str">
        <f>IF(H57="","",VLOOKUP($B57,'C-1 Site River Baseline'!$C$9:$R$257,8,FALSE))</f>
        <v/>
      </c>
      <c r="J57" s="520" t="str">
        <f>IF(I57="","",VLOOKUP($B57,'C-1 Site River Baseline'!$C$9:$R$257,9,FALSE))</f>
        <v/>
      </c>
      <c r="K57" s="520" t="str">
        <f>IF(J57="","",VLOOKUP($B57,'C-1 Site River Baseline'!$C$9:$R$257,10,FALSE))</f>
        <v/>
      </c>
      <c r="L57" s="520" t="str">
        <f>IF(B57="","",VLOOKUP($B57,'C-1 Site River Baseline'!$C$9:$R$257,15,FALSE))</f>
        <v/>
      </c>
      <c r="M57" s="524" t="str">
        <f>IF(L57="","",VLOOKUP($B57,'C-1 Site River Baseline'!$C$9:$R$257,16,FALSE))</f>
        <v/>
      </c>
      <c r="N57" s="418" t="str">
        <f t="shared" si="6"/>
        <v/>
      </c>
      <c r="O57" s="498" t="str">
        <f t="shared" si="1"/>
        <v/>
      </c>
      <c r="P57" s="499" t="str">
        <f>IF(C57="","",IF(AND(LEFT(C57,55)&lt;&gt;LEFT(N57,55),O57="High - High"),"Error - Not like for like ▲",IF(AND(F57=S57,H57&gt;U57),"Error - Can not reduce condition ▲",IF(AND(F57=S57,H57=U57,AJ57='C-1 Site River Baseline'!N55,'C-1 Site River Baseline'!P55=AL57),"Error - No enhancement ▲",IF(AND(C57&lt;&gt;N57,F57&lt;S57),"Lower Distinctiveness Habitat"&amp;" - "&amp;T57,G57&amp;" - "&amp;T57)))))</f>
        <v/>
      </c>
      <c r="Q57" s="567" t="str">
        <f>IF(N57="","",VLOOKUP(B57,'C-1 Site River Baseline'!$C$10:$AA$257,19,FALSE))</f>
        <v/>
      </c>
      <c r="R57" s="498" t="str">
        <f>IF(N57="","",VLOOKUP(N57,'G-7 Rivers Data'!$B$2:$G$8,2,FALSE))</f>
        <v/>
      </c>
      <c r="S57" s="499" t="str">
        <f>IFERROR(VLOOKUP(R57,'G-7 Rivers Data'!$C$4:$D$8,2,FALSE),"")</f>
        <v/>
      </c>
      <c r="T57" s="145"/>
      <c r="U57" s="499" t="str">
        <f>IFERROR(INDEX('G-7 Rivers Data'!$H$4:$L$8,MATCH(N57,'G-7 Rivers Data'!$B$4:$B$8,0),MATCH(T57,'G-7 Rivers Data'!$H$3:$L$3,0)),"")</f>
        <v/>
      </c>
      <c r="V57" s="154"/>
      <c r="W57" s="507" t="str">
        <f>IF(V57="","",IF(VLOOKUP(V57,'G-7 Rivers Data'!$AG$4:$AI$9,2,FALSE)=0,"Spatial Data Missing ⚠",VLOOKUP(V57,'G-7 Rivers Data'!$AG$4:$AI$9,2,FALSE)))</f>
        <v/>
      </c>
      <c r="X57" s="499" t="str">
        <f>IF(V57="","",IF(VLOOKUP(V57,'G-7 Rivers Data'!$AG$4:$AI$9,3,FALSE)=0,"Spatial Data Missing ⚠",VLOOKUP(V57,'G-7 Rivers Data'!$AG$4:$AI$9,3,FALSE)))</f>
        <v/>
      </c>
      <c r="Y57" s="498" t="str">
        <f>IFERROR(IF(OR(LEFT(P57,5)="Error ▲",LEFT(O57,5)="Error ▲"),"Check Data ⚠",IF(F57&lt;S57,'G-7 Rivers Data'!$R$3,INDEX('G-7 Rivers Data'!$U$5:$Y$9,MATCH(G57,'G-7 Rivers Data'!$T$5:$T$9,0),MATCH(T57,'G-7 Rivers Data'!$U$4:$Y$4,0)))),"")</f>
        <v/>
      </c>
      <c r="Z57" s="195"/>
      <c r="AA57" s="195"/>
      <c r="AB57" s="507" t="str">
        <f t="shared" si="2"/>
        <v/>
      </c>
      <c r="AC57" s="521" t="str">
        <f t="shared" si="3"/>
        <v/>
      </c>
      <c r="AD57" s="564" t="str">
        <f>IFERROR(IF(AC57="Check Data ⚠","Check Data ⚠",VLOOKUP(AC57,'G-4 Temporal multipliers'!$A$4:$C$37,3,FALSE)),"")</f>
        <v/>
      </c>
      <c r="AE57" s="498" t="str">
        <f>IF(N57="","",VLOOKUP(N57,'G-7 Rivers Data'!$B$4:$G$8,5,FALSE))</f>
        <v/>
      </c>
      <c r="AF57" s="507" t="str">
        <f t="shared" si="4"/>
        <v/>
      </c>
      <c r="AG57" s="540" t="str">
        <f t="shared" si="5"/>
        <v/>
      </c>
      <c r="AH57" s="499" t="str">
        <f t="shared" si="0"/>
        <v/>
      </c>
      <c r="AI57" s="145"/>
      <c r="AJ57" s="499" t="str">
        <f>IF(AI57="","",IF(VLOOKUP(AI57,'G-7 Rivers Data'!$AA$4:$AB$7,2,FALSE)=0,"Spatial Data Missing ⚠",VLOOKUP(AI57,'G-7 Rivers Data'!$AA$4:$AB$7,2,FALSE)))</f>
        <v/>
      </c>
      <c r="AK57" s="155"/>
      <c r="AL57" s="499" t="str">
        <f>IF(AK57="","",IF(VLOOKUP(AK57,'G-7 Rivers Data'!$AD$4:$AE$8,2,FALSE)=0,"Spatial Data Missing ⚠",VLOOKUP(AK57,'G-7 Rivers Data'!$AD$4:$AE$8,2,FALSE)))</f>
        <v/>
      </c>
      <c r="AM57" s="545" t="str">
        <f t="shared" si="7"/>
        <v/>
      </c>
      <c r="AN57" s="149"/>
      <c r="AO57" s="150"/>
      <c r="AV57" s="31" t="str">
        <f>IFERROR(INDEX('G-7 Rivers Data'!$AZ$3:$AZ$7,MATCH(N57,'G-7 Rivers Data'!$AY$3:$AY$7,0)),"")</f>
        <v/>
      </c>
    </row>
    <row r="58" spans="2:48" ht="14" x14ac:dyDescent="0.3">
      <c r="B58" s="531" t="str">
        <f>'C-1 Site River Baseline'!AN56</f>
        <v/>
      </c>
      <c r="C58" s="520" t="str">
        <f>IF(B58="","",VLOOKUP($B58,'C-1 Site River Baseline'!$C$9:$R$257,2,FALSE))</f>
        <v/>
      </c>
      <c r="D58" s="520" t="str">
        <f>IF(C58="","",VLOOKUP($B58,'C-1 Site River Baseline'!$C$9:$R$257,3,FALSE))</f>
        <v/>
      </c>
      <c r="E58" s="520" t="str">
        <f>IF(D58="","",VLOOKUP($B58,'C-1 Site River Baseline'!$C$9:$R$257,4,FALSE))</f>
        <v/>
      </c>
      <c r="F58" s="520" t="str">
        <f>IF(E58="","",VLOOKUP($B58,'C-1 Site River Baseline'!$C$9:$R$257,5,FALSE))</f>
        <v/>
      </c>
      <c r="G58" s="520" t="str">
        <f>IF(F58="","",VLOOKUP($B58,'C-1 Site River Baseline'!$C$9:$R$257,6,FALSE))</f>
        <v/>
      </c>
      <c r="H58" s="520" t="str">
        <f>IF(G58="","",VLOOKUP($B58,'C-1 Site River Baseline'!$C$9:$R$257,7,FALSE))</f>
        <v/>
      </c>
      <c r="I58" s="520" t="str">
        <f>IF(H58="","",VLOOKUP($B58,'C-1 Site River Baseline'!$C$9:$R$257,8,FALSE))</f>
        <v/>
      </c>
      <c r="J58" s="520" t="str">
        <f>IF(I58="","",VLOOKUP($B58,'C-1 Site River Baseline'!$C$9:$R$257,9,FALSE))</f>
        <v/>
      </c>
      <c r="K58" s="520" t="str">
        <f>IF(J58="","",VLOOKUP($B58,'C-1 Site River Baseline'!$C$9:$R$257,10,FALSE))</f>
        <v/>
      </c>
      <c r="L58" s="520" t="str">
        <f>IF(B58="","",VLOOKUP($B58,'C-1 Site River Baseline'!$C$9:$R$257,15,FALSE))</f>
        <v/>
      </c>
      <c r="M58" s="524" t="str">
        <f>IF(L58="","",VLOOKUP($B58,'C-1 Site River Baseline'!$C$9:$R$257,16,FALSE))</f>
        <v/>
      </c>
      <c r="N58" s="418" t="str">
        <f t="shared" si="6"/>
        <v/>
      </c>
      <c r="O58" s="498" t="str">
        <f t="shared" si="1"/>
        <v/>
      </c>
      <c r="P58" s="499" t="str">
        <f>IF(C58="","",IF(AND(LEFT(C58,55)&lt;&gt;LEFT(N58,55),O58="High - High"),"Error - Not like for like ▲",IF(AND(F58=S58,H58&gt;U58),"Error - Can not reduce condition ▲",IF(AND(F58=S58,H58=U58,AJ58='C-1 Site River Baseline'!N56,'C-1 Site River Baseline'!P56=AL58),"Error - No enhancement ▲",IF(AND(C58&lt;&gt;N58,F58&lt;S58),"Lower Distinctiveness Habitat"&amp;" - "&amp;T58,G58&amp;" - "&amp;T58)))))</f>
        <v/>
      </c>
      <c r="Q58" s="567" t="str">
        <f>IF(N58="","",VLOOKUP(B58,'C-1 Site River Baseline'!$C$10:$AA$257,19,FALSE))</f>
        <v/>
      </c>
      <c r="R58" s="498" t="str">
        <f>IF(N58="","",VLOOKUP(N58,'G-7 Rivers Data'!$B$2:$G$8,2,FALSE))</f>
        <v/>
      </c>
      <c r="S58" s="499" t="str">
        <f>IFERROR(VLOOKUP(R58,'G-7 Rivers Data'!$C$4:$D$8,2,FALSE),"")</f>
        <v/>
      </c>
      <c r="T58" s="145"/>
      <c r="U58" s="499" t="str">
        <f>IFERROR(INDEX('G-7 Rivers Data'!$H$4:$L$8,MATCH(N58,'G-7 Rivers Data'!$B$4:$B$8,0),MATCH(T58,'G-7 Rivers Data'!$H$3:$L$3,0)),"")</f>
        <v/>
      </c>
      <c r="V58" s="154"/>
      <c r="W58" s="507" t="str">
        <f>IF(V58="","",IF(VLOOKUP(V58,'G-7 Rivers Data'!$AG$4:$AI$9,2,FALSE)=0,"Spatial Data Missing ⚠",VLOOKUP(V58,'G-7 Rivers Data'!$AG$4:$AI$9,2,FALSE)))</f>
        <v/>
      </c>
      <c r="X58" s="499" t="str">
        <f>IF(V58="","",IF(VLOOKUP(V58,'G-7 Rivers Data'!$AG$4:$AI$9,3,FALSE)=0,"Spatial Data Missing ⚠",VLOOKUP(V58,'G-7 Rivers Data'!$AG$4:$AI$9,3,FALSE)))</f>
        <v/>
      </c>
      <c r="Y58" s="498" t="str">
        <f>IFERROR(IF(OR(LEFT(P58,5)="Error ▲",LEFT(O58,5)="Error ▲"),"Check Data ⚠",IF(F58&lt;S58,'G-7 Rivers Data'!$R$3,INDEX('G-7 Rivers Data'!$U$5:$Y$9,MATCH(G58,'G-7 Rivers Data'!$T$5:$T$9,0),MATCH(T58,'G-7 Rivers Data'!$U$4:$Y$4,0)))),"")</f>
        <v/>
      </c>
      <c r="Z58" s="195"/>
      <c r="AA58" s="195"/>
      <c r="AB58" s="507" t="str">
        <f t="shared" si="2"/>
        <v/>
      </c>
      <c r="AC58" s="521" t="str">
        <f t="shared" si="3"/>
        <v/>
      </c>
      <c r="AD58" s="564" t="str">
        <f>IFERROR(IF(AC58="Check Data ⚠","Check Data ⚠",VLOOKUP(AC58,'G-4 Temporal multipliers'!$A$4:$C$37,3,FALSE)),"")</f>
        <v/>
      </c>
      <c r="AE58" s="498" t="str">
        <f>IF(N58="","",VLOOKUP(N58,'G-7 Rivers Data'!$B$4:$G$8,5,FALSE))</f>
        <v/>
      </c>
      <c r="AF58" s="507" t="str">
        <f t="shared" si="4"/>
        <v/>
      </c>
      <c r="AG58" s="540" t="str">
        <f t="shared" si="5"/>
        <v/>
      </c>
      <c r="AH58" s="499" t="str">
        <f t="shared" si="0"/>
        <v/>
      </c>
      <c r="AI58" s="145"/>
      <c r="AJ58" s="499" t="str">
        <f>IF(AI58="","",IF(VLOOKUP(AI58,'G-7 Rivers Data'!$AA$4:$AB$7,2,FALSE)=0,"Spatial Data Missing ⚠",VLOOKUP(AI58,'G-7 Rivers Data'!$AA$4:$AB$7,2,FALSE)))</f>
        <v/>
      </c>
      <c r="AK58" s="155"/>
      <c r="AL58" s="499" t="str">
        <f>IF(AK58="","",IF(VLOOKUP(AK58,'G-7 Rivers Data'!$AD$4:$AE$8,2,FALSE)=0,"Spatial Data Missing ⚠",VLOOKUP(AK58,'G-7 Rivers Data'!$AD$4:$AE$8,2,FALSE)))</f>
        <v/>
      </c>
      <c r="AM58" s="545" t="str">
        <f t="shared" si="7"/>
        <v/>
      </c>
      <c r="AN58" s="149"/>
      <c r="AO58" s="150"/>
      <c r="AV58" s="31" t="str">
        <f>IFERROR(INDEX('G-7 Rivers Data'!$AZ$3:$AZ$7,MATCH(N58,'G-7 Rivers Data'!$AY$3:$AY$7,0)),"")</f>
        <v/>
      </c>
    </row>
    <row r="59" spans="2:48" ht="14" x14ac:dyDescent="0.3">
      <c r="B59" s="531" t="str">
        <f>'C-1 Site River Baseline'!AN57</f>
        <v/>
      </c>
      <c r="C59" s="520" t="str">
        <f>IF(B59="","",VLOOKUP($B59,'C-1 Site River Baseline'!$C$9:$R$257,2,FALSE))</f>
        <v/>
      </c>
      <c r="D59" s="520" t="str">
        <f>IF(C59="","",VLOOKUP($B59,'C-1 Site River Baseline'!$C$9:$R$257,3,FALSE))</f>
        <v/>
      </c>
      <c r="E59" s="520" t="str">
        <f>IF(D59="","",VLOOKUP($B59,'C-1 Site River Baseline'!$C$9:$R$257,4,FALSE))</f>
        <v/>
      </c>
      <c r="F59" s="520" t="str">
        <f>IF(E59="","",VLOOKUP($B59,'C-1 Site River Baseline'!$C$9:$R$257,5,FALSE))</f>
        <v/>
      </c>
      <c r="G59" s="520" t="str">
        <f>IF(F59="","",VLOOKUP($B59,'C-1 Site River Baseline'!$C$9:$R$257,6,FALSE))</f>
        <v/>
      </c>
      <c r="H59" s="520" t="str">
        <f>IF(G59="","",VLOOKUP($B59,'C-1 Site River Baseline'!$C$9:$R$257,7,FALSE))</f>
        <v/>
      </c>
      <c r="I59" s="520" t="str">
        <f>IF(H59="","",VLOOKUP($B59,'C-1 Site River Baseline'!$C$9:$R$257,8,FALSE))</f>
        <v/>
      </c>
      <c r="J59" s="520" t="str">
        <f>IF(I59="","",VLOOKUP($B59,'C-1 Site River Baseline'!$C$9:$R$257,9,FALSE))</f>
        <v/>
      </c>
      <c r="K59" s="520" t="str">
        <f>IF(J59="","",VLOOKUP($B59,'C-1 Site River Baseline'!$C$9:$R$257,10,FALSE))</f>
        <v/>
      </c>
      <c r="L59" s="520" t="str">
        <f>IF(B59="","",VLOOKUP($B59,'C-1 Site River Baseline'!$C$9:$R$257,15,FALSE))</f>
        <v/>
      </c>
      <c r="M59" s="524" t="str">
        <f>IF(L59="","",VLOOKUP($B59,'C-1 Site River Baseline'!$C$9:$R$257,16,FALSE))</f>
        <v/>
      </c>
      <c r="N59" s="418" t="str">
        <f t="shared" si="6"/>
        <v/>
      </c>
      <c r="O59" s="498" t="str">
        <f t="shared" si="1"/>
        <v/>
      </c>
      <c r="P59" s="499" t="str">
        <f>IF(C59="","",IF(AND(LEFT(C59,55)&lt;&gt;LEFT(N59,55),O59="High - High"),"Error - Not like for like ▲",IF(AND(F59=S59,H59&gt;U59),"Error - Can not reduce condition ▲",IF(AND(F59=S59,H59=U59,AJ59='C-1 Site River Baseline'!N57,'C-1 Site River Baseline'!P57=AL59),"Error - No enhancement ▲",IF(AND(C59&lt;&gt;N59,F59&lt;S59),"Lower Distinctiveness Habitat"&amp;" - "&amp;T59,G59&amp;" - "&amp;T59)))))</f>
        <v/>
      </c>
      <c r="Q59" s="567" t="str">
        <f>IF(N59="","",VLOOKUP(B59,'C-1 Site River Baseline'!$C$10:$AA$257,19,FALSE))</f>
        <v/>
      </c>
      <c r="R59" s="498" t="str">
        <f>IF(N59="","",VLOOKUP(N59,'G-7 Rivers Data'!$B$2:$G$8,2,FALSE))</f>
        <v/>
      </c>
      <c r="S59" s="499" t="str">
        <f>IFERROR(VLOOKUP(R59,'G-7 Rivers Data'!$C$4:$D$8,2,FALSE),"")</f>
        <v/>
      </c>
      <c r="T59" s="145"/>
      <c r="U59" s="499" t="str">
        <f>IFERROR(INDEX('G-7 Rivers Data'!$H$4:$L$8,MATCH(N59,'G-7 Rivers Data'!$B$4:$B$8,0),MATCH(T59,'G-7 Rivers Data'!$H$3:$L$3,0)),"")</f>
        <v/>
      </c>
      <c r="V59" s="154"/>
      <c r="W59" s="507" t="str">
        <f>IF(V59="","",IF(VLOOKUP(V59,'G-7 Rivers Data'!$AG$4:$AI$9,2,FALSE)=0,"Spatial Data Missing ⚠",VLOOKUP(V59,'G-7 Rivers Data'!$AG$4:$AI$9,2,FALSE)))</f>
        <v/>
      </c>
      <c r="X59" s="499" t="str">
        <f>IF(V59="","",IF(VLOOKUP(V59,'G-7 Rivers Data'!$AG$4:$AI$9,3,FALSE)=0,"Spatial Data Missing ⚠",VLOOKUP(V59,'G-7 Rivers Data'!$AG$4:$AI$9,3,FALSE)))</f>
        <v/>
      </c>
      <c r="Y59" s="498" t="str">
        <f>IFERROR(IF(OR(LEFT(P59,5)="Error ▲",LEFT(O59,5)="Error ▲"),"Check Data ⚠",IF(F59&lt;S59,'G-7 Rivers Data'!$R$3,INDEX('G-7 Rivers Data'!$U$5:$Y$9,MATCH(G59,'G-7 Rivers Data'!$T$5:$T$9,0),MATCH(T59,'G-7 Rivers Data'!$U$4:$Y$4,0)))),"")</f>
        <v/>
      </c>
      <c r="Z59" s="195"/>
      <c r="AA59" s="195"/>
      <c r="AB59" s="507" t="str">
        <f t="shared" si="2"/>
        <v/>
      </c>
      <c r="AC59" s="521" t="str">
        <f t="shared" si="3"/>
        <v/>
      </c>
      <c r="AD59" s="564" t="str">
        <f>IFERROR(IF(AC59="Check Data ⚠","Check Data ⚠",VLOOKUP(AC59,'G-4 Temporal multipliers'!$A$4:$C$37,3,FALSE)),"")</f>
        <v/>
      </c>
      <c r="AE59" s="498" t="str">
        <f>IF(N59="","",VLOOKUP(N59,'G-7 Rivers Data'!$B$4:$G$8,5,FALSE))</f>
        <v/>
      </c>
      <c r="AF59" s="507" t="str">
        <f t="shared" si="4"/>
        <v/>
      </c>
      <c r="AG59" s="540" t="str">
        <f t="shared" si="5"/>
        <v/>
      </c>
      <c r="AH59" s="499" t="str">
        <f t="shared" si="0"/>
        <v/>
      </c>
      <c r="AI59" s="145"/>
      <c r="AJ59" s="499" t="str">
        <f>IF(AI59="","",IF(VLOOKUP(AI59,'G-7 Rivers Data'!$AA$4:$AB$7,2,FALSE)=0,"Spatial Data Missing ⚠",VLOOKUP(AI59,'G-7 Rivers Data'!$AA$4:$AB$7,2,FALSE)))</f>
        <v/>
      </c>
      <c r="AK59" s="155"/>
      <c r="AL59" s="499" t="str">
        <f>IF(AK59="","",IF(VLOOKUP(AK59,'G-7 Rivers Data'!$AD$4:$AE$8,2,FALSE)=0,"Spatial Data Missing ⚠",VLOOKUP(AK59,'G-7 Rivers Data'!$AD$4:$AE$8,2,FALSE)))</f>
        <v/>
      </c>
      <c r="AM59" s="545" t="str">
        <f t="shared" si="7"/>
        <v/>
      </c>
      <c r="AN59" s="149"/>
      <c r="AO59" s="150"/>
      <c r="AV59" s="31" t="str">
        <f>IFERROR(INDEX('G-7 Rivers Data'!$AZ$3:$AZ$7,MATCH(N59,'G-7 Rivers Data'!$AY$3:$AY$7,0)),"")</f>
        <v/>
      </c>
    </row>
    <row r="60" spans="2:48" ht="14" x14ac:dyDescent="0.3">
      <c r="B60" s="531" t="str">
        <f>'C-1 Site River Baseline'!AN58</f>
        <v/>
      </c>
      <c r="C60" s="520" t="str">
        <f>IF(B60="","",VLOOKUP($B60,'C-1 Site River Baseline'!$C$9:$R$257,2,FALSE))</f>
        <v/>
      </c>
      <c r="D60" s="520" t="str">
        <f>IF(C60="","",VLOOKUP($B60,'C-1 Site River Baseline'!$C$9:$R$257,3,FALSE))</f>
        <v/>
      </c>
      <c r="E60" s="520" t="str">
        <f>IF(D60="","",VLOOKUP($B60,'C-1 Site River Baseline'!$C$9:$R$257,4,FALSE))</f>
        <v/>
      </c>
      <c r="F60" s="520" t="str">
        <f>IF(E60="","",VLOOKUP($B60,'C-1 Site River Baseline'!$C$9:$R$257,5,FALSE))</f>
        <v/>
      </c>
      <c r="G60" s="520" t="str">
        <f>IF(F60="","",VLOOKUP($B60,'C-1 Site River Baseline'!$C$9:$R$257,6,FALSE))</f>
        <v/>
      </c>
      <c r="H60" s="520" t="str">
        <f>IF(G60="","",VLOOKUP($B60,'C-1 Site River Baseline'!$C$9:$R$257,7,FALSE))</f>
        <v/>
      </c>
      <c r="I60" s="520" t="str">
        <f>IF(H60="","",VLOOKUP($B60,'C-1 Site River Baseline'!$C$9:$R$257,8,FALSE))</f>
        <v/>
      </c>
      <c r="J60" s="520" t="str">
        <f>IF(I60="","",VLOOKUP($B60,'C-1 Site River Baseline'!$C$9:$R$257,9,FALSE))</f>
        <v/>
      </c>
      <c r="K60" s="520" t="str">
        <f>IF(J60="","",VLOOKUP($B60,'C-1 Site River Baseline'!$C$9:$R$257,10,FALSE))</f>
        <v/>
      </c>
      <c r="L60" s="520" t="str">
        <f>IF(B60="","",VLOOKUP($B60,'C-1 Site River Baseline'!$C$9:$R$257,15,FALSE))</f>
        <v/>
      </c>
      <c r="M60" s="524" t="str">
        <f>IF(L60="","",VLOOKUP($B60,'C-1 Site River Baseline'!$C$9:$R$257,16,FALSE))</f>
        <v/>
      </c>
      <c r="N60" s="418" t="str">
        <f t="shared" si="6"/>
        <v/>
      </c>
      <c r="O60" s="498" t="str">
        <f t="shared" si="1"/>
        <v/>
      </c>
      <c r="P60" s="499" t="str">
        <f>IF(C60="","",IF(AND(LEFT(C60,55)&lt;&gt;LEFT(N60,55),O60="High - High"),"Error - Not like for like ▲",IF(AND(F60=S60,H60&gt;U60),"Error - Can not reduce condition ▲",IF(AND(F60=S60,H60=U60,AJ60='C-1 Site River Baseline'!N58,'C-1 Site River Baseline'!P58=AL60),"Error - No enhancement ▲",IF(AND(C60&lt;&gt;N60,F60&lt;S60),"Lower Distinctiveness Habitat"&amp;" - "&amp;T60,G60&amp;" - "&amp;T60)))))</f>
        <v/>
      </c>
      <c r="Q60" s="567" t="str">
        <f>IF(N60="","",VLOOKUP(B60,'C-1 Site River Baseline'!$C$10:$AA$257,19,FALSE))</f>
        <v/>
      </c>
      <c r="R60" s="498" t="str">
        <f>IF(N60="","",VLOOKUP(N60,'G-7 Rivers Data'!$B$2:$G$8,2,FALSE))</f>
        <v/>
      </c>
      <c r="S60" s="499" t="str">
        <f>IFERROR(VLOOKUP(R60,'G-7 Rivers Data'!$C$4:$D$8,2,FALSE),"")</f>
        <v/>
      </c>
      <c r="T60" s="145"/>
      <c r="U60" s="499" t="str">
        <f>IFERROR(INDEX('G-7 Rivers Data'!$H$4:$L$8,MATCH(N60,'G-7 Rivers Data'!$B$4:$B$8,0),MATCH(T60,'G-7 Rivers Data'!$H$3:$L$3,0)),"")</f>
        <v/>
      </c>
      <c r="V60" s="154"/>
      <c r="W60" s="507" t="str">
        <f>IF(V60="","",IF(VLOOKUP(V60,'G-7 Rivers Data'!$AG$4:$AI$9,2,FALSE)=0,"Spatial Data Missing ⚠",VLOOKUP(V60,'G-7 Rivers Data'!$AG$4:$AI$9,2,FALSE)))</f>
        <v/>
      </c>
      <c r="X60" s="499" t="str">
        <f>IF(V60="","",IF(VLOOKUP(V60,'G-7 Rivers Data'!$AG$4:$AI$9,3,FALSE)=0,"Spatial Data Missing ⚠",VLOOKUP(V60,'G-7 Rivers Data'!$AG$4:$AI$9,3,FALSE)))</f>
        <v/>
      </c>
      <c r="Y60" s="498" t="str">
        <f>IFERROR(IF(OR(LEFT(P60,5)="Error ▲",LEFT(O60,5)="Error ▲"),"Check Data ⚠",IF(F60&lt;S60,'G-7 Rivers Data'!$R$3,INDEX('G-7 Rivers Data'!$U$5:$Y$9,MATCH(G60,'G-7 Rivers Data'!$T$5:$T$9,0),MATCH(T60,'G-7 Rivers Data'!$U$4:$Y$4,0)))),"")</f>
        <v/>
      </c>
      <c r="Z60" s="195"/>
      <c r="AA60" s="195"/>
      <c r="AB60" s="507" t="str">
        <f t="shared" si="2"/>
        <v/>
      </c>
      <c r="AC60" s="521" t="str">
        <f t="shared" si="3"/>
        <v/>
      </c>
      <c r="AD60" s="564" t="str">
        <f>IFERROR(IF(AC60="Check Data ⚠","Check Data ⚠",VLOOKUP(AC60,'G-4 Temporal multipliers'!$A$4:$C$37,3,FALSE)),"")</f>
        <v/>
      </c>
      <c r="AE60" s="498" t="str">
        <f>IF(N60="","",VLOOKUP(N60,'G-7 Rivers Data'!$B$4:$G$8,5,FALSE))</f>
        <v/>
      </c>
      <c r="AF60" s="507" t="str">
        <f t="shared" si="4"/>
        <v/>
      </c>
      <c r="AG60" s="540" t="str">
        <f t="shared" si="5"/>
        <v/>
      </c>
      <c r="AH60" s="499" t="str">
        <f t="shared" si="0"/>
        <v/>
      </c>
      <c r="AI60" s="145"/>
      <c r="AJ60" s="499" t="str">
        <f>IF(AI60="","",IF(VLOOKUP(AI60,'G-7 Rivers Data'!$AA$4:$AB$7,2,FALSE)=0,"Spatial Data Missing ⚠",VLOOKUP(AI60,'G-7 Rivers Data'!$AA$4:$AB$7,2,FALSE)))</f>
        <v/>
      </c>
      <c r="AK60" s="155"/>
      <c r="AL60" s="499" t="str">
        <f>IF(AK60="","",IF(VLOOKUP(AK60,'G-7 Rivers Data'!$AD$4:$AE$8,2,FALSE)=0,"Spatial Data Missing ⚠",VLOOKUP(AK60,'G-7 Rivers Data'!$AD$4:$AE$8,2,FALSE)))</f>
        <v/>
      </c>
      <c r="AM60" s="545" t="str">
        <f t="shared" si="7"/>
        <v/>
      </c>
      <c r="AN60" s="149"/>
      <c r="AO60" s="150"/>
      <c r="AV60" s="31" t="str">
        <f>IFERROR(INDEX('G-7 Rivers Data'!$AZ$3:$AZ$7,MATCH(N60,'G-7 Rivers Data'!$AY$3:$AY$7,0)),"")</f>
        <v/>
      </c>
    </row>
    <row r="61" spans="2:48" ht="14" x14ac:dyDescent="0.3">
      <c r="B61" s="531" t="str">
        <f>'C-1 Site River Baseline'!AN59</f>
        <v/>
      </c>
      <c r="C61" s="520" t="str">
        <f>IF(B61="","",VLOOKUP($B61,'C-1 Site River Baseline'!$C$9:$R$257,2,FALSE))</f>
        <v/>
      </c>
      <c r="D61" s="520" t="str">
        <f>IF(C61="","",VLOOKUP($B61,'C-1 Site River Baseline'!$C$9:$R$257,3,FALSE))</f>
        <v/>
      </c>
      <c r="E61" s="520" t="str">
        <f>IF(D61="","",VLOOKUP($B61,'C-1 Site River Baseline'!$C$9:$R$257,4,FALSE))</f>
        <v/>
      </c>
      <c r="F61" s="520" t="str">
        <f>IF(E61="","",VLOOKUP($B61,'C-1 Site River Baseline'!$C$9:$R$257,5,FALSE))</f>
        <v/>
      </c>
      <c r="G61" s="520" t="str">
        <f>IF(F61="","",VLOOKUP($B61,'C-1 Site River Baseline'!$C$9:$R$257,6,FALSE))</f>
        <v/>
      </c>
      <c r="H61" s="520" t="str">
        <f>IF(G61="","",VLOOKUP($B61,'C-1 Site River Baseline'!$C$9:$R$257,7,FALSE))</f>
        <v/>
      </c>
      <c r="I61" s="520" t="str">
        <f>IF(H61="","",VLOOKUP($B61,'C-1 Site River Baseline'!$C$9:$R$257,8,FALSE))</f>
        <v/>
      </c>
      <c r="J61" s="520" t="str">
        <f>IF(I61="","",VLOOKUP($B61,'C-1 Site River Baseline'!$C$9:$R$257,9,FALSE))</f>
        <v/>
      </c>
      <c r="K61" s="520" t="str">
        <f>IF(J61="","",VLOOKUP($B61,'C-1 Site River Baseline'!$C$9:$R$257,10,FALSE))</f>
        <v/>
      </c>
      <c r="L61" s="520" t="str">
        <f>IF(B61="","",VLOOKUP($B61,'C-1 Site River Baseline'!$C$9:$R$257,15,FALSE))</f>
        <v/>
      </c>
      <c r="M61" s="524" t="str">
        <f>IF(L61="","",VLOOKUP($B61,'C-1 Site River Baseline'!$C$9:$R$257,16,FALSE))</f>
        <v/>
      </c>
      <c r="N61" s="418" t="str">
        <f t="shared" si="6"/>
        <v/>
      </c>
      <c r="O61" s="498" t="str">
        <f t="shared" si="1"/>
        <v/>
      </c>
      <c r="P61" s="499" t="str">
        <f>IF(C61="","",IF(AND(LEFT(C61,55)&lt;&gt;LEFT(N61,55),O61="High - High"),"Error - Not like for like ▲",IF(AND(F61=S61,H61&gt;U61),"Error - Can not reduce condition ▲",IF(AND(F61=S61,H61=U61,AJ61='C-1 Site River Baseline'!N59,'C-1 Site River Baseline'!P59=AL61),"Error - No enhancement ▲",IF(AND(C61&lt;&gt;N61,F61&lt;S61),"Lower Distinctiveness Habitat"&amp;" - "&amp;T61,G61&amp;" - "&amp;T61)))))</f>
        <v/>
      </c>
      <c r="Q61" s="567" t="str">
        <f>IF(N61="","",VLOOKUP(B61,'C-1 Site River Baseline'!$C$10:$AA$257,19,FALSE))</f>
        <v/>
      </c>
      <c r="R61" s="498" t="str">
        <f>IF(N61="","",VLOOKUP(N61,'G-7 Rivers Data'!$B$2:$G$8,2,FALSE))</f>
        <v/>
      </c>
      <c r="S61" s="499" t="str">
        <f>IFERROR(VLOOKUP(R61,'G-7 Rivers Data'!$C$4:$D$8,2,FALSE),"")</f>
        <v/>
      </c>
      <c r="T61" s="145"/>
      <c r="U61" s="499" t="str">
        <f>IFERROR(INDEX('G-7 Rivers Data'!$H$4:$L$8,MATCH(N61,'G-7 Rivers Data'!$B$4:$B$8,0),MATCH(T61,'G-7 Rivers Data'!$H$3:$L$3,0)),"")</f>
        <v/>
      </c>
      <c r="V61" s="154"/>
      <c r="W61" s="507" t="str">
        <f>IF(V61="","",IF(VLOOKUP(V61,'G-7 Rivers Data'!$AG$4:$AI$9,2,FALSE)=0,"Spatial Data Missing ⚠",VLOOKUP(V61,'G-7 Rivers Data'!$AG$4:$AI$9,2,FALSE)))</f>
        <v/>
      </c>
      <c r="X61" s="499" t="str">
        <f>IF(V61="","",IF(VLOOKUP(V61,'G-7 Rivers Data'!$AG$4:$AI$9,3,FALSE)=0,"Spatial Data Missing ⚠",VLOOKUP(V61,'G-7 Rivers Data'!$AG$4:$AI$9,3,FALSE)))</f>
        <v/>
      </c>
      <c r="Y61" s="498" t="str">
        <f>IFERROR(IF(OR(LEFT(P61,5)="Error ▲",LEFT(O61,5)="Error ▲"),"Check Data ⚠",IF(F61&lt;S61,'G-7 Rivers Data'!$R$3,INDEX('G-7 Rivers Data'!$U$5:$Y$9,MATCH(G61,'G-7 Rivers Data'!$T$5:$T$9,0),MATCH(T61,'G-7 Rivers Data'!$U$4:$Y$4,0)))),"")</f>
        <v/>
      </c>
      <c r="Z61" s="195"/>
      <c r="AA61" s="195"/>
      <c r="AB61" s="507" t="str">
        <f t="shared" si="2"/>
        <v/>
      </c>
      <c r="AC61" s="521" t="str">
        <f t="shared" si="3"/>
        <v/>
      </c>
      <c r="AD61" s="564" t="str">
        <f>IFERROR(IF(AC61="Check Data ⚠","Check Data ⚠",VLOOKUP(AC61,'G-4 Temporal multipliers'!$A$4:$C$37,3,FALSE)),"")</f>
        <v/>
      </c>
      <c r="AE61" s="498" t="str">
        <f>IF(N61="","",VLOOKUP(N61,'G-7 Rivers Data'!$B$4:$G$8,5,FALSE))</f>
        <v/>
      </c>
      <c r="AF61" s="507" t="str">
        <f t="shared" si="4"/>
        <v/>
      </c>
      <c r="AG61" s="540" t="str">
        <f t="shared" si="5"/>
        <v/>
      </c>
      <c r="AH61" s="499" t="str">
        <f t="shared" si="0"/>
        <v/>
      </c>
      <c r="AI61" s="145"/>
      <c r="AJ61" s="499" t="str">
        <f>IF(AI61="","",IF(VLOOKUP(AI61,'G-7 Rivers Data'!$AA$4:$AB$7,2,FALSE)=0,"Spatial Data Missing ⚠",VLOOKUP(AI61,'G-7 Rivers Data'!$AA$4:$AB$7,2,FALSE)))</f>
        <v/>
      </c>
      <c r="AK61" s="155"/>
      <c r="AL61" s="499" t="str">
        <f>IF(AK61="","",IF(VLOOKUP(AK61,'G-7 Rivers Data'!$AD$4:$AE$8,2,FALSE)=0,"Spatial Data Missing ⚠",VLOOKUP(AK61,'G-7 Rivers Data'!$AD$4:$AE$8,2,FALSE)))</f>
        <v/>
      </c>
      <c r="AM61" s="545" t="str">
        <f t="shared" si="7"/>
        <v/>
      </c>
      <c r="AN61" s="149"/>
      <c r="AO61" s="150"/>
      <c r="AV61" s="31" t="str">
        <f>IFERROR(INDEX('G-7 Rivers Data'!$AZ$3:$AZ$7,MATCH(N61,'G-7 Rivers Data'!$AY$3:$AY$7,0)),"")</f>
        <v/>
      </c>
    </row>
    <row r="62" spans="2:48" ht="14" x14ac:dyDescent="0.3">
      <c r="B62" s="531" t="str">
        <f>'C-1 Site River Baseline'!AN60</f>
        <v/>
      </c>
      <c r="C62" s="520" t="str">
        <f>IF(B62="","",VLOOKUP($B62,'C-1 Site River Baseline'!$C$9:$R$257,2,FALSE))</f>
        <v/>
      </c>
      <c r="D62" s="520" t="str">
        <f>IF(C62="","",VLOOKUP($B62,'C-1 Site River Baseline'!$C$9:$R$257,3,FALSE))</f>
        <v/>
      </c>
      <c r="E62" s="520" t="str">
        <f>IF(D62="","",VLOOKUP($B62,'C-1 Site River Baseline'!$C$9:$R$257,4,FALSE))</f>
        <v/>
      </c>
      <c r="F62" s="520" t="str">
        <f>IF(E62="","",VLOOKUP($B62,'C-1 Site River Baseline'!$C$9:$R$257,5,FALSE))</f>
        <v/>
      </c>
      <c r="G62" s="520" t="str">
        <f>IF(F62="","",VLOOKUP($B62,'C-1 Site River Baseline'!$C$9:$R$257,6,FALSE))</f>
        <v/>
      </c>
      <c r="H62" s="520" t="str">
        <f>IF(G62="","",VLOOKUP($B62,'C-1 Site River Baseline'!$C$9:$R$257,7,FALSE))</f>
        <v/>
      </c>
      <c r="I62" s="520" t="str">
        <f>IF(H62="","",VLOOKUP($B62,'C-1 Site River Baseline'!$C$9:$R$257,8,FALSE))</f>
        <v/>
      </c>
      <c r="J62" s="520" t="str">
        <f>IF(I62="","",VLOOKUP($B62,'C-1 Site River Baseline'!$C$9:$R$257,9,FALSE))</f>
        <v/>
      </c>
      <c r="K62" s="520" t="str">
        <f>IF(J62="","",VLOOKUP($B62,'C-1 Site River Baseline'!$C$9:$R$257,10,FALSE))</f>
        <v/>
      </c>
      <c r="L62" s="520" t="str">
        <f>IF(B62="","",VLOOKUP($B62,'C-1 Site River Baseline'!$C$9:$R$257,15,FALSE))</f>
        <v/>
      </c>
      <c r="M62" s="524" t="str">
        <f>IF(L62="","",VLOOKUP($B62,'C-1 Site River Baseline'!$C$9:$R$257,16,FALSE))</f>
        <v/>
      </c>
      <c r="N62" s="418" t="str">
        <f t="shared" si="6"/>
        <v/>
      </c>
      <c r="O62" s="498" t="str">
        <f t="shared" si="1"/>
        <v/>
      </c>
      <c r="P62" s="499" t="str">
        <f>IF(C62="","",IF(AND(LEFT(C62,55)&lt;&gt;LEFT(N62,55),O62="High - High"),"Error - Not like for like ▲",IF(AND(F62=S62,H62&gt;U62),"Error - Can not reduce condition ▲",IF(AND(F62=S62,H62=U62,AJ62='C-1 Site River Baseline'!N60,'C-1 Site River Baseline'!P60=AL62),"Error - No enhancement ▲",IF(AND(C62&lt;&gt;N62,F62&lt;S62),"Lower Distinctiveness Habitat"&amp;" - "&amp;T62,G62&amp;" - "&amp;T62)))))</f>
        <v/>
      </c>
      <c r="Q62" s="567" t="str">
        <f>IF(N62="","",VLOOKUP(B62,'C-1 Site River Baseline'!$C$10:$AA$257,19,FALSE))</f>
        <v/>
      </c>
      <c r="R62" s="498" t="str">
        <f>IF(N62="","",VLOOKUP(N62,'G-7 Rivers Data'!$B$2:$G$8,2,FALSE))</f>
        <v/>
      </c>
      <c r="S62" s="499" t="str">
        <f>IFERROR(VLOOKUP(R62,'G-7 Rivers Data'!$C$4:$D$8,2,FALSE),"")</f>
        <v/>
      </c>
      <c r="T62" s="145"/>
      <c r="U62" s="499" t="str">
        <f>IFERROR(INDEX('G-7 Rivers Data'!$H$4:$L$8,MATCH(N62,'G-7 Rivers Data'!$B$4:$B$8,0),MATCH(T62,'G-7 Rivers Data'!$H$3:$L$3,0)),"")</f>
        <v/>
      </c>
      <c r="V62" s="154"/>
      <c r="W62" s="507" t="str">
        <f>IF(V62="","",IF(VLOOKUP(V62,'G-7 Rivers Data'!$AG$4:$AI$9,2,FALSE)=0,"Spatial Data Missing ⚠",VLOOKUP(V62,'G-7 Rivers Data'!$AG$4:$AI$9,2,FALSE)))</f>
        <v/>
      </c>
      <c r="X62" s="499" t="str">
        <f>IF(V62="","",IF(VLOOKUP(V62,'G-7 Rivers Data'!$AG$4:$AI$9,3,FALSE)=0,"Spatial Data Missing ⚠",VLOOKUP(V62,'G-7 Rivers Data'!$AG$4:$AI$9,3,FALSE)))</f>
        <v/>
      </c>
      <c r="Y62" s="498" t="str">
        <f>IFERROR(IF(OR(LEFT(P62,5)="Error ▲",LEFT(O62,5)="Error ▲"),"Check Data ⚠",IF(F62&lt;S62,'G-7 Rivers Data'!$R$3,INDEX('G-7 Rivers Data'!$U$5:$Y$9,MATCH(G62,'G-7 Rivers Data'!$T$5:$T$9,0),MATCH(T62,'G-7 Rivers Data'!$U$4:$Y$4,0)))),"")</f>
        <v/>
      </c>
      <c r="Z62" s="195"/>
      <c r="AA62" s="195"/>
      <c r="AB62" s="507" t="str">
        <f t="shared" si="2"/>
        <v/>
      </c>
      <c r="AC62" s="521" t="str">
        <f t="shared" si="3"/>
        <v/>
      </c>
      <c r="AD62" s="564" t="str">
        <f>IFERROR(IF(AC62="Check Data ⚠","Check Data ⚠",VLOOKUP(AC62,'G-4 Temporal multipliers'!$A$4:$C$37,3,FALSE)),"")</f>
        <v/>
      </c>
      <c r="AE62" s="498" t="str">
        <f>IF(N62="","",VLOOKUP(N62,'G-7 Rivers Data'!$B$4:$G$8,5,FALSE))</f>
        <v/>
      </c>
      <c r="AF62" s="507" t="str">
        <f t="shared" si="4"/>
        <v/>
      </c>
      <c r="AG62" s="540" t="str">
        <f t="shared" si="5"/>
        <v/>
      </c>
      <c r="AH62" s="499" t="str">
        <f t="shared" si="0"/>
        <v/>
      </c>
      <c r="AI62" s="145"/>
      <c r="AJ62" s="499" t="str">
        <f>IF(AI62="","",IF(VLOOKUP(AI62,'G-7 Rivers Data'!$AA$4:$AB$7,2,FALSE)=0,"Spatial Data Missing ⚠",VLOOKUP(AI62,'G-7 Rivers Data'!$AA$4:$AB$7,2,FALSE)))</f>
        <v/>
      </c>
      <c r="AK62" s="155"/>
      <c r="AL62" s="499" t="str">
        <f>IF(AK62="","",IF(VLOOKUP(AK62,'G-7 Rivers Data'!$AD$4:$AE$8,2,FALSE)=0,"Spatial Data Missing ⚠",VLOOKUP(AK62,'G-7 Rivers Data'!$AD$4:$AE$8,2,FALSE)))</f>
        <v/>
      </c>
      <c r="AM62" s="545" t="str">
        <f t="shared" si="7"/>
        <v/>
      </c>
      <c r="AN62" s="149"/>
      <c r="AO62" s="150"/>
      <c r="AV62" s="31" t="str">
        <f>IFERROR(INDEX('G-7 Rivers Data'!$AZ$3:$AZ$7,MATCH(N62,'G-7 Rivers Data'!$AY$3:$AY$7,0)),"")</f>
        <v/>
      </c>
    </row>
    <row r="63" spans="2:48" ht="14" x14ac:dyDescent="0.3">
      <c r="B63" s="531" t="str">
        <f>'C-1 Site River Baseline'!AN61</f>
        <v/>
      </c>
      <c r="C63" s="520" t="str">
        <f>IF(B63="","",VLOOKUP($B63,'C-1 Site River Baseline'!$C$9:$R$257,2,FALSE))</f>
        <v/>
      </c>
      <c r="D63" s="520" t="str">
        <f>IF(C63="","",VLOOKUP($B63,'C-1 Site River Baseline'!$C$9:$R$257,3,FALSE))</f>
        <v/>
      </c>
      <c r="E63" s="520" t="str">
        <f>IF(D63="","",VLOOKUP($B63,'C-1 Site River Baseline'!$C$9:$R$257,4,FALSE))</f>
        <v/>
      </c>
      <c r="F63" s="520" t="str">
        <f>IF(E63="","",VLOOKUP($B63,'C-1 Site River Baseline'!$C$9:$R$257,5,FALSE))</f>
        <v/>
      </c>
      <c r="G63" s="520" t="str">
        <f>IF(F63="","",VLOOKUP($B63,'C-1 Site River Baseline'!$C$9:$R$257,6,FALSE))</f>
        <v/>
      </c>
      <c r="H63" s="520" t="str">
        <f>IF(G63="","",VLOOKUP($B63,'C-1 Site River Baseline'!$C$9:$R$257,7,FALSE))</f>
        <v/>
      </c>
      <c r="I63" s="520" t="str">
        <f>IF(H63="","",VLOOKUP($B63,'C-1 Site River Baseline'!$C$9:$R$257,8,FALSE))</f>
        <v/>
      </c>
      <c r="J63" s="520" t="str">
        <f>IF(I63="","",VLOOKUP($B63,'C-1 Site River Baseline'!$C$9:$R$257,9,FALSE))</f>
        <v/>
      </c>
      <c r="K63" s="520" t="str">
        <f>IF(J63="","",VLOOKUP($B63,'C-1 Site River Baseline'!$C$9:$R$257,10,FALSE))</f>
        <v/>
      </c>
      <c r="L63" s="520" t="str">
        <f>IF(B63="","",VLOOKUP($B63,'C-1 Site River Baseline'!$C$9:$R$257,15,FALSE))</f>
        <v/>
      </c>
      <c r="M63" s="524" t="str">
        <f>IF(L63="","",VLOOKUP($B63,'C-1 Site River Baseline'!$C$9:$R$257,16,FALSE))</f>
        <v/>
      </c>
      <c r="N63" s="418" t="str">
        <f t="shared" si="6"/>
        <v/>
      </c>
      <c r="O63" s="498" t="str">
        <f t="shared" si="1"/>
        <v/>
      </c>
      <c r="P63" s="499" t="str">
        <f>IF(C63="","",IF(AND(LEFT(C63,55)&lt;&gt;LEFT(N63,55),O63="High - High"),"Error - Not like for like ▲",IF(AND(F63=S63,H63&gt;U63),"Error - Can not reduce condition ▲",IF(AND(F63=S63,H63=U63,AJ63='C-1 Site River Baseline'!N61,'C-1 Site River Baseline'!P61=AL63),"Error - No enhancement ▲",IF(AND(C63&lt;&gt;N63,F63&lt;S63),"Lower Distinctiveness Habitat"&amp;" - "&amp;T63,G63&amp;" - "&amp;T63)))))</f>
        <v/>
      </c>
      <c r="Q63" s="567" t="str">
        <f>IF(N63="","",VLOOKUP(B63,'C-1 Site River Baseline'!$C$10:$AA$257,19,FALSE))</f>
        <v/>
      </c>
      <c r="R63" s="498" t="str">
        <f>IF(N63="","",VLOOKUP(N63,'G-7 Rivers Data'!$B$2:$G$8,2,FALSE))</f>
        <v/>
      </c>
      <c r="S63" s="499" t="str">
        <f>IFERROR(VLOOKUP(R63,'G-7 Rivers Data'!$C$4:$D$8,2,FALSE),"")</f>
        <v/>
      </c>
      <c r="T63" s="145"/>
      <c r="U63" s="499" t="str">
        <f>IFERROR(INDEX('G-7 Rivers Data'!$H$4:$L$8,MATCH(N63,'G-7 Rivers Data'!$B$4:$B$8,0),MATCH(T63,'G-7 Rivers Data'!$H$3:$L$3,0)),"")</f>
        <v/>
      </c>
      <c r="V63" s="154"/>
      <c r="W63" s="507" t="str">
        <f>IF(V63="","",IF(VLOOKUP(V63,'G-7 Rivers Data'!$AG$4:$AI$9,2,FALSE)=0,"Spatial Data Missing ⚠",VLOOKUP(V63,'G-7 Rivers Data'!$AG$4:$AI$9,2,FALSE)))</f>
        <v/>
      </c>
      <c r="X63" s="499" t="str">
        <f>IF(V63="","",IF(VLOOKUP(V63,'G-7 Rivers Data'!$AG$4:$AI$9,3,FALSE)=0,"Spatial Data Missing ⚠",VLOOKUP(V63,'G-7 Rivers Data'!$AG$4:$AI$9,3,FALSE)))</f>
        <v/>
      </c>
      <c r="Y63" s="498" t="str">
        <f>IFERROR(IF(OR(LEFT(P63,5)="Error ▲",LEFT(O63,5)="Error ▲"),"Check Data ⚠",IF(F63&lt;S63,'G-7 Rivers Data'!$R$3,INDEX('G-7 Rivers Data'!$U$5:$Y$9,MATCH(G63,'G-7 Rivers Data'!$T$5:$T$9,0),MATCH(T63,'G-7 Rivers Data'!$U$4:$Y$4,0)))),"")</f>
        <v/>
      </c>
      <c r="Z63" s="195"/>
      <c r="AA63" s="195"/>
      <c r="AB63" s="507" t="str">
        <f t="shared" si="2"/>
        <v/>
      </c>
      <c r="AC63" s="521" t="str">
        <f t="shared" si="3"/>
        <v/>
      </c>
      <c r="AD63" s="564" t="str">
        <f>IFERROR(IF(AC63="Check Data ⚠","Check Data ⚠",VLOOKUP(AC63,'G-4 Temporal multipliers'!$A$4:$C$37,3,FALSE)),"")</f>
        <v/>
      </c>
      <c r="AE63" s="498" t="str">
        <f>IF(N63="","",VLOOKUP(N63,'G-7 Rivers Data'!$B$4:$G$8,5,FALSE))</f>
        <v/>
      </c>
      <c r="AF63" s="507" t="str">
        <f t="shared" si="4"/>
        <v/>
      </c>
      <c r="AG63" s="540" t="str">
        <f t="shared" si="5"/>
        <v/>
      </c>
      <c r="AH63" s="499" t="str">
        <f t="shared" si="0"/>
        <v/>
      </c>
      <c r="AI63" s="145"/>
      <c r="AJ63" s="499" t="str">
        <f>IF(AI63="","",IF(VLOOKUP(AI63,'G-7 Rivers Data'!$AA$4:$AB$7,2,FALSE)=0,"Spatial Data Missing ⚠",VLOOKUP(AI63,'G-7 Rivers Data'!$AA$4:$AB$7,2,FALSE)))</f>
        <v/>
      </c>
      <c r="AK63" s="155"/>
      <c r="AL63" s="499" t="str">
        <f>IF(AK63="","",IF(VLOOKUP(AK63,'G-7 Rivers Data'!$AD$4:$AE$8,2,FALSE)=0,"Spatial Data Missing ⚠",VLOOKUP(AK63,'G-7 Rivers Data'!$AD$4:$AE$8,2,FALSE)))</f>
        <v/>
      </c>
      <c r="AM63" s="545" t="str">
        <f t="shared" si="7"/>
        <v/>
      </c>
      <c r="AN63" s="149"/>
      <c r="AO63" s="150"/>
      <c r="AV63" s="31" t="str">
        <f>IFERROR(INDEX('G-7 Rivers Data'!$AZ$3:$AZ$7,MATCH(N63,'G-7 Rivers Data'!$AY$3:$AY$7,0)),"")</f>
        <v/>
      </c>
    </row>
    <row r="64" spans="2:48" ht="14" x14ac:dyDescent="0.3">
      <c r="B64" s="531" t="str">
        <f>'C-1 Site River Baseline'!AN62</f>
        <v/>
      </c>
      <c r="C64" s="520" t="str">
        <f>IF(B64="","",VLOOKUP($B64,'C-1 Site River Baseline'!$C$9:$R$257,2,FALSE))</f>
        <v/>
      </c>
      <c r="D64" s="520" t="str">
        <f>IF(C64="","",VLOOKUP($B64,'C-1 Site River Baseline'!$C$9:$R$257,3,FALSE))</f>
        <v/>
      </c>
      <c r="E64" s="520" t="str">
        <f>IF(D64="","",VLOOKUP($B64,'C-1 Site River Baseline'!$C$9:$R$257,4,FALSE))</f>
        <v/>
      </c>
      <c r="F64" s="520" t="str">
        <f>IF(E64="","",VLOOKUP($B64,'C-1 Site River Baseline'!$C$9:$R$257,5,FALSE))</f>
        <v/>
      </c>
      <c r="G64" s="520" t="str">
        <f>IF(F64="","",VLOOKUP($B64,'C-1 Site River Baseline'!$C$9:$R$257,6,FALSE))</f>
        <v/>
      </c>
      <c r="H64" s="520" t="str">
        <f>IF(G64="","",VLOOKUP($B64,'C-1 Site River Baseline'!$C$9:$R$257,7,FALSE))</f>
        <v/>
      </c>
      <c r="I64" s="520" t="str">
        <f>IF(H64="","",VLOOKUP($B64,'C-1 Site River Baseline'!$C$9:$R$257,8,FALSE))</f>
        <v/>
      </c>
      <c r="J64" s="520" t="str">
        <f>IF(I64="","",VLOOKUP($B64,'C-1 Site River Baseline'!$C$9:$R$257,9,FALSE))</f>
        <v/>
      </c>
      <c r="K64" s="520" t="str">
        <f>IF(J64="","",VLOOKUP($B64,'C-1 Site River Baseline'!$C$9:$R$257,10,FALSE))</f>
        <v/>
      </c>
      <c r="L64" s="520" t="str">
        <f>IF(B64="","",VLOOKUP($B64,'C-1 Site River Baseline'!$C$9:$R$257,15,FALSE))</f>
        <v/>
      </c>
      <c r="M64" s="524" t="str">
        <f>IF(L64="","",VLOOKUP($B64,'C-1 Site River Baseline'!$C$9:$R$257,16,FALSE))</f>
        <v/>
      </c>
      <c r="N64" s="418" t="str">
        <f t="shared" si="6"/>
        <v/>
      </c>
      <c r="O64" s="498" t="str">
        <f t="shared" si="1"/>
        <v/>
      </c>
      <c r="P64" s="499" t="str">
        <f>IF(C64="","",IF(AND(LEFT(C64,55)&lt;&gt;LEFT(N64,55),O64="High - High"),"Error - Not like for like ▲",IF(AND(F64=S64,H64&gt;U64),"Error - Can not reduce condition ▲",IF(AND(F64=S64,H64=U64,AJ64='C-1 Site River Baseline'!N62,'C-1 Site River Baseline'!P62=AL64),"Error - No enhancement ▲",IF(AND(C64&lt;&gt;N64,F64&lt;S64),"Lower Distinctiveness Habitat"&amp;" - "&amp;T64,G64&amp;" - "&amp;T64)))))</f>
        <v/>
      </c>
      <c r="Q64" s="567" t="str">
        <f>IF(N64="","",VLOOKUP(B64,'C-1 Site River Baseline'!$C$10:$AA$257,19,FALSE))</f>
        <v/>
      </c>
      <c r="R64" s="498" t="str">
        <f>IF(N64="","",VLOOKUP(N64,'G-7 Rivers Data'!$B$2:$G$8,2,FALSE))</f>
        <v/>
      </c>
      <c r="S64" s="499" t="str">
        <f>IFERROR(VLOOKUP(R64,'G-7 Rivers Data'!$C$4:$D$8,2,FALSE),"")</f>
        <v/>
      </c>
      <c r="T64" s="145"/>
      <c r="U64" s="499" t="str">
        <f>IFERROR(INDEX('G-7 Rivers Data'!$H$4:$L$8,MATCH(N64,'G-7 Rivers Data'!$B$4:$B$8,0),MATCH(T64,'G-7 Rivers Data'!$H$3:$L$3,0)),"")</f>
        <v/>
      </c>
      <c r="V64" s="154"/>
      <c r="W64" s="507" t="str">
        <f>IF(V64="","",IF(VLOOKUP(V64,'G-7 Rivers Data'!$AG$4:$AI$9,2,FALSE)=0,"Spatial Data Missing ⚠",VLOOKUP(V64,'G-7 Rivers Data'!$AG$4:$AI$9,2,FALSE)))</f>
        <v/>
      </c>
      <c r="X64" s="499" t="str">
        <f>IF(V64="","",IF(VLOOKUP(V64,'G-7 Rivers Data'!$AG$4:$AI$9,3,FALSE)=0,"Spatial Data Missing ⚠",VLOOKUP(V64,'G-7 Rivers Data'!$AG$4:$AI$9,3,FALSE)))</f>
        <v/>
      </c>
      <c r="Y64" s="498" t="str">
        <f>IFERROR(IF(OR(LEFT(P64,5)="Error ▲",LEFT(O64,5)="Error ▲"),"Check Data ⚠",IF(F64&lt;S64,'G-7 Rivers Data'!$R$3,INDEX('G-7 Rivers Data'!$U$5:$Y$9,MATCH(G64,'G-7 Rivers Data'!$T$5:$T$9,0),MATCH(T64,'G-7 Rivers Data'!$U$4:$Y$4,0)))),"")</f>
        <v/>
      </c>
      <c r="Z64" s="195"/>
      <c r="AA64" s="195"/>
      <c r="AB64" s="507" t="str">
        <f t="shared" si="2"/>
        <v/>
      </c>
      <c r="AC64" s="521" t="str">
        <f t="shared" si="3"/>
        <v/>
      </c>
      <c r="AD64" s="564" t="str">
        <f>IFERROR(IF(AC64="Check Data ⚠","Check Data ⚠",VLOOKUP(AC64,'G-4 Temporal multipliers'!$A$4:$C$37,3,FALSE)),"")</f>
        <v/>
      </c>
      <c r="AE64" s="498" t="str">
        <f>IF(N64="","",VLOOKUP(N64,'G-7 Rivers Data'!$B$4:$G$8,5,FALSE))</f>
        <v/>
      </c>
      <c r="AF64" s="507" t="str">
        <f t="shared" si="4"/>
        <v/>
      </c>
      <c r="AG64" s="540" t="str">
        <f t="shared" si="5"/>
        <v/>
      </c>
      <c r="AH64" s="499" t="str">
        <f t="shared" si="0"/>
        <v/>
      </c>
      <c r="AI64" s="145"/>
      <c r="AJ64" s="499" t="str">
        <f>IF(AI64="","",IF(VLOOKUP(AI64,'G-7 Rivers Data'!$AA$4:$AB$7,2,FALSE)=0,"Spatial Data Missing ⚠",VLOOKUP(AI64,'G-7 Rivers Data'!$AA$4:$AB$7,2,FALSE)))</f>
        <v/>
      </c>
      <c r="AK64" s="155"/>
      <c r="AL64" s="499" t="str">
        <f>IF(AK64="","",IF(VLOOKUP(AK64,'G-7 Rivers Data'!$AD$4:$AE$8,2,FALSE)=0,"Spatial Data Missing ⚠",VLOOKUP(AK64,'G-7 Rivers Data'!$AD$4:$AE$8,2,FALSE)))</f>
        <v/>
      </c>
      <c r="AM64" s="545" t="str">
        <f t="shared" si="7"/>
        <v/>
      </c>
      <c r="AN64" s="149"/>
      <c r="AO64" s="150"/>
      <c r="AV64" s="31" t="str">
        <f>IFERROR(INDEX('G-7 Rivers Data'!$AZ$3:$AZ$7,MATCH(N64,'G-7 Rivers Data'!$AY$3:$AY$7,0)),"")</f>
        <v/>
      </c>
    </row>
    <row r="65" spans="2:48" ht="14" x14ac:dyDescent="0.3">
      <c r="B65" s="531" t="str">
        <f>'C-1 Site River Baseline'!AN63</f>
        <v/>
      </c>
      <c r="C65" s="520" t="str">
        <f>IF(B65="","",VLOOKUP($B65,'C-1 Site River Baseline'!$C$9:$R$257,2,FALSE))</f>
        <v/>
      </c>
      <c r="D65" s="520" t="str">
        <f>IF(C65="","",VLOOKUP($B65,'C-1 Site River Baseline'!$C$9:$R$257,3,FALSE))</f>
        <v/>
      </c>
      <c r="E65" s="520" t="str">
        <f>IF(D65="","",VLOOKUP($B65,'C-1 Site River Baseline'!$C$9:$R$257,4,FALSE))</f>
        <v/>
      </c>
      <c r="F65" s="520" t="str">
        <f>IF(E65="","",VLOOKUP($B65,'C-1 Site River Baseline'!$C$9:$R$257,5,FALSE))</f>
        <v/>
      </c>
      <c r="G65" s="520" t="str">
        <f>IF(F65="","",VLOOKUP($B65,'C-1 Site River Baseline'!$C$9:$R$257,6,FALSE))</f>
        <v/>
      </c>
      <c r="H65" s="520" t="str">
        <f>IF(G65="","",VLOOKUP($B65,'C-1 Site River Baseline'!$C$9:$R$257,7,FALSE))</f>
        <v/>
      </c>
      <c r="I65" s="520" t="str">
        <f>IF(H65="","",VLOOKUP($B65,'C-1 Site River Baseline'!$C$9:$R$257,8,FALSE))</f>
        <v/>
      </c>
      <c r="J65" s="520" t="str">
        <f>IF(I65="","",VLOOKUP($B65,'C-1 Site River Baseline'!$C$9:$R$257,9,FALSE))</f>
        <v/>
      </c>
      <c r="K65" s="520" t="str">
        <f>IF(J65="","",VLOOKUP($B65,'C-1 Site River Baseline'!$C$9:$R$257,10,FALSE))</f>
        <v/>
      </c>
      <c r="L65" s="520" t="str">
        <f>IF(B65="","",VLOOKUP($B65,'C-1 Site River Baseline'!$C$9:$R$257,15,FALSE))</f>
        <v/>
      </c>
      <c r="M65" s="524" t="str">
        <f>IF(L65="","",VLOOKUP($B65,'C-1 Site River Baseline'!$C$9:$R$257,16,FALSE))</f>
        <v/>
      </c>
      <c r="N65" s="418" t="str">
        <f t="shared" si="6"/>
        <v/>
      </c>
      <c r="O65" s="498" t="str">
        <f t="shared" si="1"/>
        <v/>
      </c>
      <c r="P65" s="499" t="str">
        <f>IF(C65="","",IF(AND(LEFT(C65,55)&lt;&gt;LEFT(N65,55),O65="High - High"),"Error - Not like for like ▲",IF(AND(F65=S65,H65&gt;U65),"Error - Can not reduce condition ▲",IF(AND(F65=S65,H65=U65,AJ65='C-1 Site River Baseline'!N63,'C-1 Site River Baseline'!P63=AL65),"Error - No enhancement ▲",IF(AND(C65&lt;&gt;N65,F65&lt;S65),"Lower Distinctiveness Habitat"&amp;" - "&amp;T65,G65&amp;" - "&amp;T65)))))</f>
        <v/>
      </c>
      <c r="Q65" s="567" t="str">
        <f>IF(N65="","",VLOOKUP(B65,'C-1 Site River Baseline'!$C$10:$AA$257,19,FALSE))</f>
        <v/>
      </c>
      <c r="R65" s="498" t="str">
        <f>IF(N65="","",VLOOKUP(N65,'G-7 Rivers Data'!$B$2:$G$8,2,FALSE))</f>
        <v/>
      </c>
      <c r="S65" s="499" t="str">
        <f>IFERROR(VLOOKUP(R65,'G-7 Rivers Data'!$C$4:$D$8,2,FALSE),"")</f>
        <v/>
      </c>
      <c r="T65" s="145"/>
      <c r="U65" s="499" t="str">
        <f>IFERROR(INDEX('G-7 Rivers Data'!$H$4:$L$8,MATCH(N65,'G-7 Rivers Data'!$B$4:$B$8,0),MATCH(T65,'G-7 Rivers Data'!$H$3:$L$3,0)),"")</f>
        <v/>
      </c>
      <c r="V65" s="154"/>
      <c r="W65" s="507" t="str">
        <f>IF(V65="","",IF(VLOOKUP(V65,'G-7 Rivers Data'!$AG$4:$AI$9,2,FALSE)=0,"Spatial Data Missing ⚠",VLOOKUP(V65,'G-7 Rivers Data'!$AG$4:$AI$9,2,FALSE)))</f>
        <v/>
      </c>
      <c r="X65" s="499" t="str">
        <f>IF(V65="","",IF(VLOOKUP(V65,'G-7 Rivers Data'!$AG$4:$AI$9,3,FALSE)=0,"Spatial Data Missing ⚠",VLOOKUP(V65,'G-7 Rivers Data'!$AG$4:$AI$9,3,FALSE)))</f>
        <v/>
      </c>
      <c r="Y65" s="498" t="str">
        <f>IFERROR(IF(OR(LEFT(P65,5)="Error ▲",LEFT(O65,5)="Error ▲"),"Check Data ⚠",IF(F65&lt;S65,'G-7 Rivers Data'!$R$3,INDEX('G-7 Rivers Data'!$U$5:$Y$9,MATCH(G65,'G-7 Rivers Data'!$T$5:$T$9,0),MATCH(T65,'G-7 Rivers Data'!$U$4:$Y$4,0)))),"")</f>
        <v/>
      </c>
      <c r="Z65" s="195"/>
      <c r="AA65" s="195"/>
      <c r="AB65" s="507" t="str">
        <f t="shared" si="2"/>
        <v/>
      </c>
      <c r="AC65" s="521" t="str">
        <f t="shared" si="3"/>
        <v/>
      </c>
      <c r="AD65" s="564" t="str">
        <f>IFERROR(IF(AC65="Check Data ⚠","Check Data ⚠",VLOOKUP(AC65,'G-4 Temporal multipliers'!$A$4:$C$37,3,FALSE)),"")</f>
        <v/>
      </c>
      <c r="AE65" s="498" t="str">
        <f>IF(N65="","",VLOOKUP(N65,'G-7 Rivers Data'!$B$4:$G$8,5,FALSE))</f>
        <v/>
      </c>
      <c r="AF65" s="507" t="str">
        <f t="shared" si="4"/>
        <v/>
      </c>
      <c r="AG65" s="540" t="str">
        <f t="shared" si="5"/>
        <v/>
      </c>
      <c r="AH65" s="499" t="str">
        <f t="shared" si="0"/>
        <v/>
      </c>
      <c r="AI65" s="145"/>
      <c r="AJ65" s="499" t="str">
        <f>IF(AI65="","",IF(VLOOKUP(AI65,'G-7 Rivers Data'!$AA$4:$AB$7,2,FALSE)=0,"Spatial Data Missing ⚠",VLOOKUP(AI65,'G-7 Rivers Data'!$AA$4:$AB$7,2,FALSE)))</f>
        <v/>
      </c>
      <c r="AK65" s="155"/>
      <c r="AL65" s="499" t="str">
        <f>IF(AK65="","",IF(VLOOKUP(AK65,'G-7 Rivers Data'!$AD$4:$AE$8,2,FALSE)=0,"Spatial Data Missing ⚠",VLOOKUP(AK65,'G-7 Rivers Data'!$AD$4:$AE$8,2,FALSE)))</f>
        <v/>
      </c>
      <c r="AM65" s="545" t="str">
        <f t="shared" si="7"/>
        <v/>
      </c>
      <c r="AN65" s="149"/>
      <c r="AO65" s="150"/>
      <c r="AV65" s="31" t="str">
        <f>IFERROR(INDEX('G-7 Rivers Data'!$AZ$3:$AZ$7,MATCH(N65,'G-7 Rivers Data'!$AY$3:$AY$7,0)),"")</f>
        <v/>
      </c>
    </row>
    <row r="66" spans="2:48" ht="14" x14ac:dyDescent="0.3">
      <c r="B66" s="531" t="str">
        <f>'C-1 Site River Baseline'!AN64</f>
        <v/>
      </c>
      <c r="C66" s="520" t="str">
        <f>IF(B66="","",VLOOKUP($B66,'C-1 Site River Baseline'!$C$9:$R$257,2,FALSE))</f>
        <v/>
      </c>
      <c r="D66" s="520" t="str">
        <f>IF(C66="","",VLOOKUP($B66,'C-1 Site River Baseline'!$C$9:$R$257,3,FALSE))</f>
        <v/>
      </c>
      <c r="E66" s="520" t="str">
        <f>IF(D66="","",VLOOKUP($B66,'C-1 Site River Baseline'!$C$9:$R$257,4,FALSE))</f>
        <v/>
      </c>
      <c r="F66" s="520" t="str">
        <f>IF(E66="","",VLOOKUP($B66,'C-1 Site River Baseline'!$C$9:$R$257,5,FALSE))</f>
        <v/>
      </c>
      <c r="G66" s="520" t="str">
        <f>IF(F66="","",VLOOKUP($B66,'C-1 Site River Baseline'!$C$9:$R$257,6,FALSE))</f>
        <v/>
      </c>
      <c r="H66" s="520" t="str">
        <f>IF(G66="","",VLOOKUP($B66,'C-1 Site River Baseline'!$C$9:$R$257,7,FALSE))</f>
        <v/>
      </c>
      <c r="I66" s="520" t="str">
        <f>IF(H66="","",VLOOKUP($B66,'C-1 Site River Baseline'!$C$9:$R$257,8,FALSE))</f>
        <v/>
      </c>
      <c r="J66" s="520" t="str">
        <f>IF(I66="","",VLOOKUP($B66,'C-1 Site River Baseline'!$C$9:$R$257,9,FALSE))</f>
        <v/>
      </c>
      <c r="K66" s="520" t="str">
        <f>IF(J66="","",VLOOKUP($B66,'C-1 Site River Baseline'!$C$9:$R$257,10,FALSE))</f>
        <v/>
      </c>
      <c r="L66" s="520" t="str">
        <f>IF(B66="","",VLOOKUP($B66,'C-1 Site River Baseline'!$C$9:$R$257,15,FALSE))</f>
        <v/>
      </c>
      <c r="M66" s="524" t="str">
        <f>IF(L66="","",VLOOKUP($B66,'C-1 Site River Baseline'!$C$9:$R$257,16,FALSE))</f>
        <v/>
      </c>
      <c r="N66" s="418" t="str">
        <f t="shared" si="6"/>
        <v/>
      </c>
      <c r="O66" s="498" t="str">
        <f t="shared" si="1"/>
        <v/>
      </c>
      <c r="P66" s="499" t="str">
        <f>IF(C66="","",IF(AND(LEFT(C66,55)&lt;&gt;LEFT(N66,55),O66="High - High"),"Error - Not like for like ▲",IF(AND(F66=S66,H66&gt;U66),"Error - Can not reduce condition ▲",IF(AND(F66=S66,H66=U66,AJ66='C-1 Site River Baseline'!N64,'C-1 Site River Baseline'!P64=AL66),"Error - No enhancement ▲",IF(AND(C66&lt;&gt;N66,F66&lt;S66),"Lower Distinctiveness Habitat"&amp;" - "&amp;T66,G66&amp;" - "&amp;T66)))))</f>
        <v/>
      </c>
      <c r="Q66" s="567" t="str">
        <f>IF(N66="","",VLOOKUP(B66,'C-1 Site River Baseline'!$C$10:$AA$257,19,FALSE))</f>
        <v/>
      </c>
      <c r="R66" s="498" t="str">
        <f>IF(N66="","",VLOOKUP(N66,'G-7 Rivers Data'!$B$2:$G$8,2,FALSE))</f>
        <v/>
      </c>
      <c r="S66" s="499" t="str">
        <f>IFERROR(VLOOKUP(R66,'G-7 Rivers Data'!$C$4:$D$8,2,FALSE),"")</f>
        <v/>
      </c>
      <c r="T66" s="145"/>
      <c r="U66" s="499" t="str">
        <f>IFERROR(INDEX('G-7 Rivers Data'!$H$4:$L$8,MATCH(N66,'G-7 Rivers Data'!$B$4:$B$8,0),MATCH(T66,'G-7 Rivers Data'!$H$3:$L$3,0)),"")</f>
        <v/>
      </c>
      <c r="V66" s="154"/>
      <c r="W66" s="507" t="str">
        <f>IF(V66="","",IF(VLOOKUP(V66,'G-7 Rivers Data'!$AG$4:$AI$9,2,FALSE)=0,"Spatial Data Missing ⚠",VLOOKUP(V66,'G-7 Rivers Data'!$AG$4:$AI$9,2,FALSE)))</f>
        <v/>
      </c>
      <c r="X66" s="499" t="str">
        <f>IF(V66="","",IF(VLOOKUP(V66,'G-7 Rivers Data'!$AG$4:$AI$9,3,FALSE)=0,"Spatial Data Missing ⚠",VLOOKUP(V66,'G-7 Rivers Data'!$AG$4:$AI$9,3,FALSE)))</f>
        <v/>
      </c>
      <c r="Y66" s="498" t="str">
        <f>IFERROR(IF(OR(LEFT(P66,5)="Error ▲",LEFT(O66,5)="Error ▲"),"Check Data ⚠",IF(F66&lt;S66,'G-7 Rivers Data'!$R$3,INDEX('G-7 Rivers Data'!$U$5:$Y$9,MATCH(G66,'G-7 Rivers Data'!$T$5:$T$9,0),MATCH(T66,'G-7 Rivers Data'!$U$4:$Y$4,0)))),"")</f>
        <v/>
      </c>
      <c r="Z66" s="195"/>
      <c r="AA66" s="195"/>
      <c r="AB66" s="507" t="str">
        <f t="shared" si="2"/>
        <v/>
      </c>
      <c r="AC66" s="521" t="str">
        <f t="shared" si="3"/>
        <v/>
      </c>
      <c r="AD66" s="564" t="str">
        <f>IFERROR(IF(AC66="Check Data ⚠","Check Data ⚠",VLOOKUP(AC66,'G-4 Temporal multipliers'!$A$4:$C$37,3,FALSE)),"")</f>
        <v/>
      </c>
      <c r="AE66" s="498" t="str">
        <f>IF(N66="","",VLOOKUP(N66,'G-7 Rivers Data'!$B$4:$G$8,5,FALSE))</f>
        <v/>
      </c>
      <c r="AF66" s="507" t="str">
        <f t="shared" si="4"/>
        <v/>
      </c>
      <c r="AG66" s="540" t="str">
        <f t="shared" si="5"/>
        <v/>
      </c>
      <c r="AH66" s="499" t="str">
        <f t="shared" si="0"/>
        <v/>
      </c>
      <c r="AI66" s="145"/>
      <c r="AJ66" s="499" t="str">
        <f>IF(AI66="","",IF(VLOOKUP(AI66,'G-7 Rivers Data'!$AA$4:$AB$7,2,FALSE)=0,"Spatial Data Missing ⚠",VLOOKUP(AI66,'G-7 Rivers Data'!$AA$4:$AB$7,2,FALSE)))</f>
        <v/>
      </c>
      <c r="AK66" s="155"/>
      <c r="AL66" s="499" t="str">
        <f>IF(AK66="","",IF(VLOOKUP(AK66,'G-7 Rivers Data'!$AD$4:$AE$8,2,FALSE)=0,"Spatial Data Missing ⚠",VLOOKUP(AK66,'G-7 Rivers Data'!$AD$4:$AE$8,2,FALSE)))</f>
        <v/>
      </c>
      <c r="AM66" s="545" t="str">
        <f t="shared" si="7"/>
        <v/>
      </c>
      <c r="AN66" s="149"/>
      <c r="AO66" s="150"/>
      <c r="AV66" s="31" t="str">
        <f>IFERROR(INDEX('G-7 Rivers Data'!$AZ$3:$AZ$7,MATCH(N66,'G-7 Rivers Data'!$AY$3:$AY$7,0)),"")</f>
        <v/>
      </c>
    </row>
    <row r="67" spans="2:48" ht="14" x14ac:dyDescent="0.3">
      <c r="B67" s="531" t="str">
        <f>'C-1 Site River Baseline'!AN65</f>
        <v/>
      </c>
      <c r="C67" s="520" t="str">
        <f>IF(B67="","",VLOOKUP($B67,'C-1 Site River Baseline'!$C$9:$R$257,2,FALSE))</f>
        <v/>
      </c>
      <c r="D67" s="520" t="str">
        <f>IF(C67="","",VLOOKUP($B67,'C-1 Site River Baseline'!$C$9:$R$257,3,FALSE))</f>
        <v/>
      </c>
      <c r="E67" s="520" t="str">
        <f>IF(D67="","",VLOOKUP($B67,'C-1 Site River Baseline'!$C$9:$R$257,4,FALSE))</f>
        <v/>
      </c>
      <c r="F67" s="520" t="str">
        <f>IF(E67="","",VLOOKUP($B67,'C-1 Site River Baseline'!$C$9:$R$257,5,FALSE))</f>
        <v/>
      </c>
      <c r="G67" s="520" t="str">
        <f>IF(F67="","",VLOOKUP($B67,'C-1 Site River Baseline'!$C$9:$R$257,6,FALSE))</f>
        <v/>
      </c>
      <c r="H67" s="520" t="str">
        <f>IF(G67="","",VLOOKUP($B67,'C-1 Site River Baseline'!$C$9:$R$257,7,FALSE))</f>
        <v/>
      </c>
      <c r="I67" s="520" t="str">
        <f>IF(H67="","",VLOOKUP($B67,'C-1 Site River Baseline'!$C$9:$R$257,8,FALSE))</f>
        <v/>
      </c>
      <c r="J67" s="520" t="str">
        <f>IF(I67="","",VLOOKUP($B67,'C-1 Site River Baseline'!$C$9:$R$257,9,FALSE))</f>
        <v/>
      </c>
      <c r="K67" s="520" t="str">
        <f>IF(J67="","",VLOOKUP($B67,'C-1 Site River Baseline'!$C$9:$R$257,10,FALSE))</f>
        <v/>
      </c>
      <c r="L67" s="520" t="str">
        <f>IF(B67="","",VLOOKUP($B67,'C-1 Site River Baseline'!$C$9:$R$257,15,FALSE))</f>
        <v/>
      </c>
      <c r="M67" s="524" t="str">
        <f>IF(L67="","",VLOOKUP($B67,'C-1 Site River Baseline'!$C$9:$R$257,16,FALSE))</f>
        <v/>
      </c>
      <c r="N67" s="418" t="str">
        <f t="shared" si="6"/>
        <v/>
      </c>
      <c r="O67" s="498" t="str">
        <f t="shared" si="1"/>
        <v/>
      </c>
      <c r="P67" s="499" t="str">
        <f>IF(C67="","",IF(AND(LEFT(C67,55)&lt;&gt;LEFT(N67,55),O67="High - High"),"Error - Not like for like ▲",IF(AND(F67=S67,H67&gt;U67),"Error - Can not reduce condition ▲",IF(AND(F67=S67,H67=U67,AJ67='C-1 Site River Baseline'!N65,'C-1 Site River Baseline'!P65=AL67),"Error - No enhancement ▲",IF(AND(C67&lt;&gt;N67,F67&lt;S67),"Lower Distinctiveness Habitat"&amp;" - "&amp;T67,G67&amp;" - "&amp;T67)))))</f>
        <v/>
      </c>
      <c r="Q67" s="567" t="str">
        <f>IF(N67="","",VLOOKUP(B67,'C-1 Site River Baseline'!$C$10:$AA$257,19,FALSE))</f>
        <v/>
      </c>
      <c r="R67" s="498" t="str">
        <f>IF(N67="","",VLOOKUP(N67,'G-7 Rivers Data'!$B$2:$G$8,2,FALSE))</f>
        <v/>
      </c>
      <c r="S67" s="499" t="str">
        <f>IFERROR(VLOOKUP(R67,'G-7 Rivers Data'!$C$4:$D$8,2,FALSE),"")</f>
        <v/>
      </c>
      <c r="T67" s="145"/>
      <c r="U67" s="499" t="str">
        <f>IFERROR(INDEX('G-7 Rivers Data'!$H$4:$L$8,MATCH(N67,'G-7 Rivers Data'!$B$4:$B$8,0),MATCH(T67,'G-7 Rivers Data'!$H$3:$L$3,0)),"")</f>
        <v/>
      </c>
      <c r="V67" s="154"/>
      <c r="W67" s="507" t="str">
        <f>IF(V67="","",IF(VLOOKUP(V67,'G-7 Rivers Data'!$AG$4:$AI$9,2,FALSE)=0,"Spatial Data Missing ⚠",VLOOKUP(V67,'G-7 Rivers Data'!$AG$4:$AI$9,2,FALSE)))</f>
        <v/>
      </c>
      <c r="X67" s="499" t="str">
        <f>IF(V67="","",IF(VLOOKUP(V67,'G-7 Rivers Data'!$AG$4:$AI$9,3,FALSE)=0,"Spatial Data Missing ⚠",VLOOKUP(V67,'G-7 Rivers Data'!$AG$4:$AI$9,3,FALSE)))</f>
        <v/>
      </c>
      <c r="Y67" s="498" t="str">
        <f>IFERROR(IF(OR(LEFT(P67,5)="Error ▲",LEFT(O67,5)="Error ▲"),"Check Data ⚠",IF(F67&lt;S67,'G-7 Rivers Data'!$R$3,INDEX('G-7 Rivers Data'!$U$5:$Y$9,MATCH(G67,'G-7 Rivers Data'!$T$5:$T$9,0),MATCH(T67,'G-7 Rivers Data'!$U$4:$Y$4,0)))),"")</f>
        <v/>
      </c>
      <c r="Z67" s="195"/>
      <c r="AA67" s="195"/>
      <c r="AB67" s="507" t="str">
        <f t="shared" si="2"/>
        <v/>
      </c>
      <c r="AC67" s="521" t="str">
        <f t="shared" si="3"/>
        <v/>
      </c>
      <c r="AD67" s="564" t="str">
        <f>IFERROR(IF(AC67="Check Data ⚠","Check Data ⚠",VLOOKUP(AC67,'G-4 Temporal multipliers'!$A$4:$C$37,3,FALSE)),"")</f>
        <v/>
      </c>
      <c r="AE67" s="498" t="str">
        <f>IF(N67="","",VLOOKUP(N67,'G-7 Rivers Data'!$B$4:$G$8,5,FALSE))</f>
        <v/>
      </c>
      <c r="AF67" s="507" t="str">
        <f t="shared" si="4"/>
        <v/>
      </c>
      <c r="AG67" s="540" t="str">
        <f t="shared" si="5"/>
        <v/>
      </c>
      <c r="AH67" s="499" t="str">
        <f t="shared" si="0"/>
        <v/>
      </c>
      <c r="AI67" s="145"/>
      <c r="AJ67" s="499" t="str">
        <f>IF(AI67="","",IF(VLOOKUP(AI67,'G-7 Rivers Data'!$AA$4:$AB$7,2,FALSE)=0,"Spatial Data Missing ⚠",VLOOKUP(AI67,'G-7 Rivers Data'!$AA$4:$AB$7,2,FALSE)))</f>
        <v/>
      </c>
      <c r="AK67" s="155"/>
      <c r="AL67" s="499" t="str">
        <f>IF(AK67="","",IF(VLOOKUP(AK67,'G-7 Rivers Data'!$AD$4:$AE$8,2,FALSE)=0,"Spatial Data Missing ⚠",VLOOKUP(AK67,'G-7 Rivers Data'!$AD$4:$AE$8,2,FALSE)))</f>
        <v/>
      </c>
      <c r="AM67" s="545" t="str">
        <f t="shared" si="7"/>
        <v/>
      </c>
      <c r="AN67" s="149"/>
      <c r="AO67" s="150"/>
      <c r="AV67" s="31" t="str">
        <f>IFERROR(INDEX('G-7 Rivers Data'!$AZ$3:$AZ$7,MATCH(N67,'G-7 Rivers Data'!$AY$3:$AY$7,0)),"")</f>
        <v/>
      </c>
    </row>
    <row r="68" spans="2:48" ht="14" x14ac:dyDescent="0.3">
      <c r="B68" s="531" t="str">
        <f>'C-1 Site River Baseline'!AN66</f>
        <v/>
      </c>
      <c r="C68" s="520" t="str">
        <f>IF(B68="","",VLOOKUP($B68,'C-1 Site River Baseline'!$C$9:$R$257,2,FALSE))</f>
        <v/>
      </c>
      <c r="D68" s="520" t="str">
        <f>IF(C68="","",VLOOKUP($B68,'C-1 Site River Baseline'!$C$9:$R$257,3,FALSE))</f>
        <v/>
      </c>
      <c r="E68" s="520" t="str">
        <f>IF(D68="","",VLOOKUP($B68,'C-1 Site River Baseline'!$C$9:$R$257,4,FALSE))</f>
        <v/>
      </c>
      <c r="F68" s="520" t="str">
        <f>IF(E68="","",VLOOKUP($B68,'C-1 Site River Baseline'!$C$9:$R$257,5,FALSE))</f>
        <v/>
      </c>
      <c r="G68" s="520" t="str">
        <f>IF(F68="","",VLOOKUP($B68,'C-1 Site River Baseline'!$C$9:$R$257,6,FALSE))</f>
        <v/>
      </c>
      <c r="H68" s="520" t="str">
        <f>IF(G68="","",VLOOKUP($B68,'C-1 Site River Baseline'!$C$9:$R$257,7,FALSE))</f>
        <v/>
      </c>
      <c r="I68" s="520" t="str">
        <f>IF(H68="","",VLOOKUP($B68,'C-1 Site River Baseline'!$C$9:$R$257,8,FALSE))</f>
        <v/>
      </c>
      <c r="J68" s="520" t="str">
        <f>IF(I68="","",VLOOKUP($B68,'C-1 Site River Baseline'!$C$9:$R$257,9,FALSE))</f>
        <v/>
      </c>
      <c r="K68" s="520" t="str">
        <f>IF(J68="","",VLOOKUP($B68,'C-1 Site River Baseline'!$C$9:$R$257,10,FALSE))</f>
        <v/>
      </c>
      <c r="L68" s="520" t="str">
        <f>IF(B68="","",VLOOKUP($B68,'C-1 Site River Baseline'!$C$9:$R$257,15,FALSE))</f>
        <v/>
      </c>
      <c r="M68" s="524" t="str">
        <f>IF(L68="","",VLOOKUP($B68,'C-1 Site River Baseline'!$C$9:$R$257,16,FALSE))</f>
        <v/>
      </c>
      <c r="N68" s="418" t="str">
        <f t="shared" si="6"/>
        <v/>
      </c>
      <c r="O68" s="498" t="str">
        <f t="shared" si="1"/>
        <v/>
      </c>
      <c r="P68" s="499" t="str">
        <f>IF(C68="","",IF(AND(LEFT(C68,55)&lt;&gt;LEFT(N68,55),O68="High - High"),"Error - Not like for like ▲",IF(AND(F68=S68,H68&gt;U68),"Error - Can not reduce condition ▲",IF(AND(F68=S68,H68=U68,AJ68='C-1 Site River Baseline'!N66,'C-1 Site River Baseline'!P66=AL68),"Error - No enhancement ▲",IF(AND(C68&lt;&gt;N68,F68&lt;S68),"Lower Distinctiveness Habitat"&amp;" - "&amp;T68,G68&amp;" - "&amp;T68)))))</f>
        <v/>
      </c>
      <c r="Q68" s="567" t="str">
        <f>IF(N68="","",VLOOKUP(B68,'C-1 Site River Baseline'!$C$10:$AA$257,19,FALSE))</f>
        <v/>
      </c>
      <c r="R68" s="498" t="str">
        <f>IF(N68="","",VLOOKUP(N68,'G-7 Rivers Data'!$B$2:$G$8,2,FALSE))</f>
        <v/>
      </c>
      <c r="S68" s="499" t="str">
        <f>IFERROR(VLOOKUP(R68,'G-7 Rivers Data'!$C$4:$D$8,2,FALSE),"")</f>
        <v/>
      </c>
      <c r="T68" s="145"/>
      <c r="U68" s="499" t="str">
        <f>IFERROR(INDEX('G-7 Rivers Data'!$H$4:$L$8,MATCH(N68,'G-7 Rivers Data'!$B$4:$B$8,0),MATCH(T68,'G-7 Rivers Data'!$H$3:$L$3,0)),"")</f>
        <v/>
      </c>
      <c r="V68" s="154"/>
      <c r="W68" s="507" t="str">
        <f>IF(V68="","",IF(VLOOKUP(V68,'G-7 Rivers Data'!$AG$4:$AI$9,2,FALSE)=0,"Spatial Data Missing ⚠",VLOOKUP(V68,'G-7 Rivers Data'!$AG$4:$AI$9,2,FALSE)))</f>
        <v/>
      </c>
      <c r="X68" s="499" t="str">
        <f>IF(V68="","",IF(VLOOKUP(V68,'G-7 Rivers Data'!$AG$4:$AI$9,3,FALSE)=0,"Spatial Data Missing ⚠",VLOOKUP(V68,'G-7 Rivers Data'!$AG$4:$AI$9,3,FALSE)))</f>
        <v/>
      </c>
      <c r="Y68" s="498" t="str">
        <f>IFERROR(IF(OR(LEFT(P68,5)="Error ▲",LEFT(O68,5)="Error ▲"),"Check Data ⚠",IF(F68&lt;S68,'G-7 Rivers Data'!$R$3,INDEX('G-7 Rivers Data'!$U$5:$Y$9,MATCH(G68,'G-7 Rivers Data'!$T$5:$T$9,0),MATCH(T68,'G-7 Rivers Data'!$U$4:$Y$4,0)))),"")</f>
        <v/>
      </c>
      <c r="Z68" s="195"/>
      <c r="AA68" s="195"/>
      <c r="AB68" s="507" t="str">
        <f t="shared" si="2"/>
        <v/>
      </c>
      <c r="AC68" s="521" t="str">
        <f t="shared" si="3"/>
        <v/>
      </c>
      <c r="AD68" s="564" t="str">
        <f>IFERROR(IF(AC68="Check Data ⚠","Check Data ⚠",VLOOKUP(AC68,'G-4 Temporal multipliers'!$A$4:$C$37,3,FALSE)),"")</f>
        <v/>
      </c>
      <c r="AE68" s="498" t="str">
        <f>IF(N68="","",VLOOKUP(N68,'G-7 Rivers Data'!$B$4:$G$8,5,FALSE))</f>
        <v/>
      </c>
      <c r="AF68" s="507" t="str">
        <f t="shared" si="4"/>
        <v/>
      </c>
      <c r="AG68" s="540" t="str">
        <f t="shared" si="5"/>
        <v/>
      </c>
      <c r="AH68" s="499" t="str">
        <f t="shared" si="0"/>
        <v/>
      </c>
      <c r="AI68" s="145"/>
      <c r="AJ68" s="499" t="str">
        <f>IF(AI68="","",IF(VLOOKUP(AI68,'G-7 Rivers Data'!$AA$4:$AB$7,2,FALSE)=0,"Spatial Data Missing ⚠",VLOOKUP(AI68,'G-7 Rivers Data'!$AA$4:$AB$7,2,FALSE)))</f>
        <v/>
      </c>
      <c r="AK68" s="155"/>
      <c r="AL68" s="499" t="str">
        <f>IF(AK68="","",IF(VLOOKUP(AK68,'G-7 Rivers Data'!$AD$4:$AE$8,2,FALSE)=0,"Spatial Data Missing ⚠",VLOOKUP(AK68,'G-7 Rivers Data'!$AD$4:$AE$8,2,FALSE)))</f>
        <v/>
      </c>
      <c r="AM68" s="545" t="str">
        <f t="shared" si="7"/>
        <v/>
      </c>
      <c r="AN68" s="149"/>
      <c r="AO68" s="150"/>
      <c r="AV68" s="31" t="str">
        <f>IFERROR(INDEX('G-7 Rivers Data'!$AZ$3:$AZ$7,MATCH(N68,'G-7 Rivers Data'!$AY$3:$AY$7,0)),"")</f>
        <v/>
      </c>
    </row>
    <row r="69" spans="2:48" ht="14" x14ac:dyDescent="0.3">
      <c r="B69" s="531" t="str">
        <f>'C-1 Site River Baseline'!AN67</f>
        <v/>
      </c>
      <c r="C69" s="520" t="str">
        <f>IF(B69="","",VLOOKUP($B69,'C-1 Site River Baseline'!$C$9:$R$257,2,FALSE))</f>
        <v/>
      </c>
      <c r="D69" s="520" t="str">
        <f>IF(C69="","",VLOOKUP($B69,'C-1 Site River Baseline'!$C$9:$R$257,3,FALSE))</f>
        <v/>
      </c>
      <c r="E69" s="520" t="str">
        <f>IF(D69="","",VLOOKUP($B69,'C-1 Site River Baseline'!$C$9:$R$257,4,FALSE))</f>
        <v/>
      </c>
      <c r="F69" s="520" t="str">
        <f>IF(E69="","",VLOOKUP($B69,'C-1 Site River Baseline'!$C$9:$R$257,5,FALSE))</f>
        <v/>
      </c>
      <c r="G69" s="520" t="str">
        <f>IF(F69="","",VLOOKUP($B69,'C-1 Site River Baseline'!$C$9:$R$257,6,FALSE))</f>
        <v/>
      </c>
      <c r="H69" s="520" t="str">
        <f>IF(G69="","",VLOOKUP($B69,'C-1 Site River Baseline'!$C$9:$R$257,7,FALSE))</f>
        <v/>
      </c>
      <c r="I69" s="520" t="str">
        <f>IF(H69="","",VLOOKUP($B69,'C-1 Site River Baseline'!$C$9:$R$257,8,FALSE))</f>
        <v/>
      </c>
      <c r="J69" s="520" t="str">
        <f>IF(I69="","",VLOOKUP($B69,'C-1 Site River Baseline'!$C$9:$R$257,9,FALSE))</f>
        <v/>
      </c>
      <c r="K69" s="520" t="str">
        <f>IF(J69="","",VLOOKUP($B69,'C-1 Site River Baseline'!$C$9:$R$257,10,FALSE))</f>
        <v/>
      </c>
      <c r="L69" s="520" t="str">
        <f>IF(B69="","",VLOOKUP($B69,'C-1 Site River Baseline'!$C$9:$R$257,15,FALSE))</f>
        <v/>
      </c>
      <c r="M69" s="524" t="str">
        <f>IF(L69="","",VLOOKUP($B69,'C-1 Site River Baseline'!$C$9:$R$257,16,FALSE))</f>
        <v/>
      </c>
      <c r="N69" s="418" t="str">
        <f t="shared" si="6"/>
        <v/>
      </c>
      <c r="O69" s="498" t="str">
        <f t="shared" si="1"/>
        <v/>
      </c>
      <c r="P69" s="499" t="str">
        <f>IF(C69="","",IF(AND(LEFT(C69,55)&lt;&gt;LEFT(N69,55),O69="High - High"),"Error - Not like for like ▲",IF(AND(F69=S69,H69&gt;U69),"Error - Can not reduce condition ▲",IF(AND(F69=S69,H69=U69,AJ69='C-1 Site River Baseline'!N67,'C-1 Site River Baseline'!P67=AL69),"Error - No enhancement ▲",IF(AND(C69&lt;&gt;N69,F69&lt;S69),"Lower Distinctiveness Habitat"&amp;" - "&amp;T69,G69&amp;" - "&amp;T69)))))</f>
        <v/>
      </c>
      <c r="Q69" s="567" t="str">
        <f>IF(N69="","",VLOOKUP(B69,'C-1 Site River Baseline'!$C$10:$AA$257,19,FALSE))</f>
        <v/>
      </c>
      <c r="R69" s="498" t="str">
        <f>IF(N69="","",VLOOKUP(N69,'G-7 Rivers Data'!$B$2:$G$8,2,FALSE))</f>
        <v/>
      </c>
      <c r="S69" s="499" t="str">
        <f>IFERROR(VLOOKUP(R69,'G-7 Rivers Data'!$C$4:$D$8,2,FALSE),"")</f>
        <v/>
      </c>
      <c r="T69" s="145"/>
      <c r="U69" s="499" t="str">
        <f>IFERROR(INDEX('G-7 Rivers Data'!$H$4:$L$8,MATCH(N69,'G-7 Rivers Data'!$B$4:$B$8,0),MATCH(T69,'G-7 Rivers Data'!$H$3:$L$3,0)),"")</f>
        <v/>
      </c>
      <c r="V69" s="154"/>
      <c r="W69" s="507" t="str">
        <f>IF(V69="","",IF(VLOOKUP(V69,'G-7 Rivers Data'!$AG$4:$AI$9,2,FALSE)=0,"Spatial Data Missing ⚠",VLOOKUP(V69,'G-7 Rivers Data'!$AG$4:$AI$9,2,FALSE)))</f>
        <v/>
      </c>
      <c r="X69" s="499" t="str">
        <f>IF(V69="","",IF(VLOOKUP(V69,'G-7 Rivers Data'!$AG$4:$AI$9,3,FALSE)=0,"Spatial Data Missing ⚠",VLOOKUP(V69,'G-7 Rivers Data'!$AG$4:$AI$9,3,FALSE)))</f>
        <v/>
      </c>
      <c r="Y69" s="498" t="str">
        <f>IFERROR(IF(OR(LEFT(P69,5)="Error ▲",LEFT(O69,5)="Error ▲"),"Check Data ⚠",IF(F69&lt;S69,'G-7 Rivers Data'!$R$3,INDEX('G-7 Rivers Data'!$U$5:$Y$9,MATCH(G69,'G-7 Rivers Data'!$T$5:$T$9,0),MATCH(T69,'G-7 Rivers Data'!$U$4:$Y$4,0)))),"")</f>
        <v/>
      </c>
      <c r="Z69" s="195"/>
      <c r="AA69" s="195"/>
      <c r="AB69" s="507" t="str">
        <f t="shared" si="2"/>
        <v/>
      </c>
      <c r="AC69" s="521" t="str">
        <f t="shared" si="3"/>
        <v/>
      </c>
      <c r="AD69" s="564" t="str">
        <f>IFERROR(IF(AC69="Check Data ⚠","Check Data ⚠",VLOOKUP(AC69,'G-4 Temporal multipliers'!$A$4:$C$37,3,FALSE)),"")</f>
        <v/>
      </c>
      <c r="AE69" s="498" t="str">
        <f>IF(N69="","",VLOOKUP(N69,'G-7 Rivers Data'!$B$4:$G$8,5,FALSE))</f>
        <v/>
      </c>
      <c r="AF69" s="507" t="str">
        <f t="shared" si="4"/>
        <v/>
      </c>
      <c r="AG69" s="540" t="str">
        <f t="shared" si="5"/>
        <v/>
      </c>
      <c r="AH69" s="499" t="str">
        <f t="shared" si="0"/>
        <v/>
      </c>
      <c r="AI69" s="145"/>
      <c r="AJ69" s="499" t="str">
        <f>IF(AI69="","",IF(VLOOKUP(AI69,'G-7 Rivers Data'!$AA$4:$AB$7,2,FALSE)=0,"Spatial Data Missing ⚠",VLOOKUP(AI69,'G-7 Rivers Data'!$AA$4:$AB$7,2,FALSE)))</f>
        <v/>
      </c>
      <c r="AK69" s="155"/>
      <c r="AL69" s="499" t="str">
        <f>IF(AK69="","",IF(VLOOKUP(AK69,'G-7 Rivers Data'!$AD$4:$AE$8,2,FALSE)=0,"Spatial Data Missing ⚠",VLOOKUP(AK69,'G-7 Rivers Data'!$AD$4:$AE$8,2,FALSE)))</f>
        <v/>
      </c>
      <c r="AM69" s="545" t="str">
        <f t="shared" si="7"/>
        <v/>
      </c>
      <c r="AN69" s="149"/>
      <c r="AO69" s="150"/>
      <c r="AV69" s="31" t="str">
        <f>IFERROR(INDEX('G-7 Rivers Data'!$AZ$3:$AZ$7,MATCH(N69,'G-7 Rivers Data'!$AY$3:$AY$7,0)),"")</f>
        <v/>
      </c>
    </row>
    <row r="70" spans="2:48" ht="14" x14ac:dyDescent="0.3">
      <c r="B70" s="531" t="str">
        <f>'C-1 Site River Baseline'!AN68</f>
        <v/>
      </c>
      <c r="C70" s="520" t="str">
        <f>IF(B70="","",VLOOKUP($B70,'C-1 Site River Baseline'!$C$9:$R$257,2,FALSE))</f>
        <v/>
      </c>
      <c r="D70" s="520" t="str">
        <f>IF(C70="","",VLOOKUP($B70,'C-1 Site River Baseline'!$C$9:$R$257,3,FALSE))</f>
        <v/>
      </c>
      <c r="E70" s="520" t="str">
        <f>IF(D70="","",VLOOKUP($B70,'C-1 Site River Baseline'!$C$9:$R$257,4,FALSE))</f>
        <v/>
      </c>
      <c r="F70" s="520" t="str">
        <f>IF(E70="","",VLOOKUP($B70,'C-1 Site River Baseline'!$C$9:$R$257,5,FALSE))</f>
        <v/>
      </c>
      <c r="G70" s="520" t="str">
        <f>IF(F70="","",VLOOKUP($B70,'C-1 Site River Baseline'!$C$9:$R$257,6,FALSE))</f>
        <v/>
      </c>
      <c r="H70" s="520" t="str">
        <f>IF(G70="","",VLOOKUP($B70,'C-1 Site River Baseline'!$C$9:$R$257,7,FALSE))</f>
        <v/>
      </c>
      <c r="I70" s="520" t="str">
        <f>IF(H70="","",VLOOKUP($B70,'C-1 Site River Baseline'!$C$9:$R$257,8,FALSE))</f>
        <v/>
      </c>
      <c r="J70" s="520" t="str">
        <f>IF(I70="","",VLOOKUP($B70,'C-1 Site River Baseline'!$C$9:$R$257,9,FALSE))</f>
        <v/>
      </c>
      <c r="K70" s="520" t="str">
        <f>IF(J70="","",VLOOKUP($B70,'C-1 Site River Baseline'!$C$9:$R$257,10,FALSE))</f>
        <v/>
      </c>
      <c r="L70" s="520" t="str">
        <f>IF(B70="","",VLOOKUP($B70,'C-1 Site River Baseline'!$C$9:$R$257,15,FALSE))</f>
        <v/>
      </c>
      <c r="M70" s="524" t="str">
        <f>IF(L70="","",VLOOKUP($B70,'C-1 Site River Baseline'!$C$9:$R$257,16,FALSE))</f>
        <v/>
      </c>
      <c r="N70" s="418" t="str">
        <f t="shared" si="6"/>
        <v/>
      </c>
      <c r="O70" s="498" t="str">
        <f t="shared" si="1"/>
        <v/>
      </c>
      <c r="P70" s="499" t="str">
        <f>IF(C70="","",IF(AND(LEFT(C70,55)&lt;&gt;LEFT(N70,55),O70="High - High"),"Error - Not like for like ▲",IF(AND(F70=S70,H70&gt;U70),"Error - Can not reduce condition ▲",IF(AND(F70=S70,H70=U70,AJ70='C-1 Site River Baseline'!N68,'C-1 Site River Baseline'!P68=AL70),"Error - No enhancement ▲",IF(AND(C70&lt;&gt;N70,F70&lt;S70),"Lower Distinctiveness Habitat"&amp;" - "&amp;T70,G70&amp;" - "&amp;T70)))))</f>
        <v/>
      </c>
      <c r="Q70" s="567" t="str">
        <f>IF(N70="","",VLOOKUP(B70,'C-1 Site River Baseline'!$C$10:$AA$257,19,FALSE))</f>
        <v/>
      </c>
      <c r="R70" s="498" t="str">
        <f>IF(N70="","",VLOOKUP(N70,'G-7 Rivers Data'!$B$2:$G$8,2,FALSE))</f>
        <v/>
      </c>
      <c r="S70" s="499" t="str">
        <f>IFERROR(VLOOKUP(R70,'G-7 Rivers Data'!$C$4:$D$8,2,FALSE),"")</f>
        <v/>
      </c>
      <c r="T70" s="145"/>
      <c r="U70" s="499" t="str">
        <f>IFERROR(INDEX('G-7 Rivers Data'!$H$4:$L$8,MATCH(N70,'G-7 Rivers Data'!$B$4:$B$8,0),MATCH(T70,'G-7 Rivers Data'!$H$3:$L$3,0)),"")</f>
        <v/>
      </c>
      <c r="V70" s="154"/>
      <c r="W70" s="507" t="str">
        <f>IF(V70="","",IF(VLOOKUP(V70,'G-7 Rivers Data'!$AG$4:$AI$9,2,FALSE)=0,"Spatial Data Missing ⚠",VLOOKUP(V70,'G-7 Rivers Data'!$AG$4:$AI$9,2,FALSE)))</f>
        <v/>
      </c>
      <c r="X70" s="499" t="str">
        <f>IF(V70="","",IF(VLOOKUP(V70,'G-7 Rivers Data'!$AG$4:$AI$9,3,FALSE)=0,"Spatial Data Missing ⚠",VLOOKUP(V70,'G-7 Rivers Data'!$AG$4:$AI$9,3,FALSE)))</f>
        <v/>
      </c>
      <c r="Y70" s="498" t="str">
        <f>IFERROR(IF(OR(LEFT(P70,5)="Error ▲",LEFT(O70,5)="Error ▲"),"Check Data ⚠",IF(F70&lt;S70,'G-7 Rivers Data'!$R$3,INDEX('G-7 Rivers Data'!$U$5:$Y$9,MATCH(G70,'G-7 Rivers Data'!$T$5:$T$9,0),MATCH(T70,'G-7 Rivers Data'!$U$4:$Y$4,0)))),"")</f>
        <v/>
      </c>
      <c r="Z70" s="195"/>
      <c r="AA70" s="195"/>
      <c r="AB70" s="507" t="str">
        <f t="shared" si="2"/>
        <v/>
      </c>
      <c r="AC70" s="521" t="str">
        <f t="shared" si="3"/>
        <v/>
      </c>
      <c r="AD70" s="564" t="str">
        <f>IFERROR(IF(AC70="Check Data ⚠","Check Data ⚠",VLOOKUP(AC70,'G-4 Temporal multipliers'!$A$4:$C$37,3,FALSE)),"")</f>
        <v/>
      </c>
      <c r="AE70" s="498" t="str">
        <f>IF(N70="","",VLOOKUP(N70,'G-7 Rivers Data'!$B$4:$G$8,5,FALSE))</f>
        <v/>
      </c>
      <c r="AF70" s="507" t="str">
        <f t="shared" si="4"/>
        <v/>
      </c>
      <c r="AG70" s="540" t="str">
        <f t="shared" si="5"/>
        <v/>
      </c>
      <c r="AH70" s="499" t="str">
        <f t="shared" si="0"/>
        <v/>
      </c>
      <c r="AI70" s="145"/>
      <c r="AJ70" s="499" t="str">
        <f>IF(AI70="","",IF(VLOOKUP(AI70,'G-7 Rivers Data'!$AA$4:$AB$7,2,FALSE)=0,"Spatial Data Missing ⚠",VLOOKUP(AI70,'G-7 Rivers Data'!$AA$4:$AB$7,2,FALSE)))</f>
        <v/>
      </c>
      <c r="AK70" s="155"/>
      <c r="AL70" s="499" t="str">
        <f>IF(AK70="","",IF(VLOOKUP(AK70,'G-7 Rivers Data'!$AD$4:$AE$8,2,FALSE)=0,"Spatial Data Missing ⚠",VLOOKUP(AK70,'G-7 Rivers Data'!$AD$4:$AE$8,2,FALSE)))</f>
        <v/>
      </c>
      <c r="AM70" s="545" t="str">
        <f t="shared" si="7"/>
        <v/>
      </c>
      <c r="AN70" s="149"/>
      <c r="AO70" s="150"/>
      <c r="AV70" s="31" t="str">
        <f>IFERROR(INDEX('G-7 Rivers Data'!$AZ$3:$AZ$7,MATCH(N70,'G-7 Rivers Data'!$AY$3:$AY$7,0)),"")</f>
        <v/>
      </c>
    </row>
    <row r="71" spans="2:48" ht="14" x14ac:dyDescent="0.3">
      <c r="B71" s="531" t="str">
        <f>'C-1 Site River Baseline'!AN69</f>
        <v/>
      </c>
      <c r="C71" s="520" t="str">
        <f>IF(B71="","",VLOOKUP($B71,'C-1 Site River Baseline'!$C$9:$R$257,2,FALSE))</f>
        <v/>
      </c>
      <c r="D71" s="520" t="str">
        <f>IF(C71="","",VLOOKUP($B71,'C-1 Site River Baseline'!$C$9:$R$257,3,FALSE))</f>
        <v/>
      </c>
      <c r="E71" s="520" t="str">
        <f>IF(D71="","",VLOOKUP($B71,'C-1 Site River Baseline'!$C$9:$R$257,4,FALSE))</f>
        <v/>
      </c>
      <c r="F71" s="520" t="str">
        <f>IF(E71="","",VLOOKUP($B71,'C-1 Site River Baseline'!$C$9:$R$257,5,FALSE))</f>
        <v/>
      </c>
      <c r="G71" s="520" t="str">
        <f>IF(F71="","",VLOOKUP($B71,'C-1 Site River Baseline'!$C$9:$R$257,6,FALSE))</f>
        <v/>
      </c>
      <c r="H71" s="520" t="str">
        <f>IF(G71="","",VLOOKUP($B71,'C-1 Site River Baseline'!$C$9:$R$257,7,FALSE))</f>
        <v/>
      </c>
      <c r="I71" s="520" t="str">
        <f>IF(H71="","",VLOOKUP($B71,'C-1 Site River Baseline'!$C$9:$R$257,8,FALSE))</f>
        <v/>
      </c>
      <c r="J71" s="520" t="str">
        <f>IF(I71="","",VLOOKUP($B71,'C-1 Site River Baseline'!$C$9:$R$257,9,FALSE))</f>
        <v/>
      </c>
      <c r="K71" s="520" t="str">
        <f>IF(J71="","",VLOOKUP($B71,'C-1 Site River Baseline'!$C$9:$R$257,10,FALSE))</f>
        <v/>
      </c>
      <c r="L71" s="520" t="str">
        <f>IF(B71="","",VLOOKUP($B71,'C-1 Site River Baseline'!$C$9:$R$257,15,FALSE))</f>
        <v/>
      </c>
      <c r="M71" s="524" t="str">
        <f>IF(L71="","",VLOOKUP($B71,'C-1 Site River Baseline'!$C$9:$R$257,16,FALSE))</f>
        <v/>
      </c>
      <c r="N71" s="418" t="str">
        <f t="shared" si="6"/>
        <v/>
      </c>
      <c r="O71" s="498" t="str">
        <f t="shared" si="1"/>
        <v/>
      </c>
      <c r="P71" s="499" t="str">
        <f>IF(C71="","",IF(AND(LEFT(C71,55)&lt;&gt;LEFT(N71,55),O71="High - High"),"Error - Not like for like ▲",IF(AND(F71=S71,H71&gt;U71),"Error - Can not reduce condition ▲",IF(AND(F71=S71,H71=U71,AJ71='C-1 Site River Baseline'!N69,'C-1 Site River Baseline'!P69=AL71),"Error - No enhancement ▲",IF(AND(C71&lt;&gt;N71,F71&lt;S71),"Lower Distinctiveness Habitat"&amp;" - "&amp;T71,G71&amp;" - "&amp;T71)))))</f>
        <v/>
      </c>
      <c r="Q71" s="567" t="str">
        <f>IF(N71="","",VLOOKUP(B71,'C-1 Site River Baseline'!$C$10:$AA$257,19,FALSE))</f>
        <v/>
      </c>
      <c r="R71" s="498" t="str">
        <f>IF(N71="","",VLOOKUP(N71,'G-7 Rivers Data'!$B$2:$G$8,2,FALSE))</f>
        <v/>
      </c>
      <c r="S71" s="499" t="str">
        <f>IFERROR(VLOOKUP(R71,'G-7 Rivers Data'!$C$4:$D$8,2,FALSE),"")</f>
        <v/>
      </c>
      <c r="T71" s="145"/>
      <c r="U71" s="499" t="str">
        <f>IFERROR(INDEX('G-7 Rivers Data'!$H$4:$L$8,MATCH(N71,'G-7 Rivers Data'!$B$4:$B$8,0),MATCH(T71,'G-7 Rivers Data'!$H$3:$L$3,0)),"")</f>
        <v/>
      </c>
      <c r="V71" s="154"/>
      <c r="W71" s="507" t="str">
        <f>IF(V71="","",IF(VLOOKUP(V71,'G-7 Rivers Data'!$AG$4:$AI$9,2,FALSE)=0,"Spatial Data Missing ⚠",VLOOKUP(V71,'G-7 Rivers Data'!$AG$4:$AI$9,2,FALSE)))</f>
        <v/>
      </c>
      <c r="X71" s="499" t="str">
        <f>IF(V71="","",IF(VLOOKUP(V71,'G-7 Rivers Data'!$AG$4:$AI$9,3,FALSE)=0,"Spatial Data Missing ⚠",VLOOKUP(V71,'G-7 Rivers Data'!$AG$4:$AI$9,3,FALSE)))</f>
        <v/>
      </c>
      <c r="Y71" s="498" t="str">
        <f>IFERROR(IF(OR(LEFT(P71,5)="Error ▲",LEFT(O71,5)="Error ▲"),"Check Data ⚠",IF(F71&lt;S71,'G-7 Rivers Data'!$R$3,INDEX('G-7 Rivers Data'!$U$5:$Y$9,MATCH(G71,'G-7 Rivers Data'!$T$5:$T$9,0),MATCH(T71,'G-7 Rivers Data'!$U$4:$Y$4,0)))),"")</f>
        <v/>
      </c>
      <c r="Z71" s="195"/>
      <c r="AA71" s="195"/>
      <c r="AB71" s="507" t="str">
        <f t="shared" si="2"/>
        <v/>
      </c>
      <c r="AC71" s="521" t="str">
        <f t="shared" si="3"/>
        <v/>
      </c>
      <c r="AD71" s="564" t="str">
        <f>IFERROR(IF(AC71="Check Data ⚠","Check Data ⚠",VLOOKUP(AC71,'G-4 Temporal multipliers'!$A$4:$C$37,3,FALSE)),"")</f>
        <v/>
      </c>
      <c r="AE71" s="498" t="str">
        <f>IF(N71="","",VLOOKUP(N71,'G-7 Rivers Data'!$B$4:$G$8,5,FALSE))</f>
        <v/>
      </c>
      <c r="AF71" s="507" t="str">
        <f t="shared" si="4"/>
        <v/>
      </c>
      <c r="AG71" s="540" t="str">
        <f t="shared" si="5"/>
        <v/>
      </c>
      <c r="AH71" s="499" t="str">
        <f t="shared" si="0"/>
        <v/>
      </c>
      <c r="AI71" s="145"/>
      <c r="AJ71" s="499" t="str">
        <f>IF(AI71="","",IF(VLOOKUP(AI71,'G-7 Rivers Data'!$AA$4:$AB$7,2,FALSE)=0,"Spatial Data Missing ⚠",VLOOKUP(AI71,'G-7 Rivers Data'!$AA$4:$AB$7,2,FALSE)))</f>
        <v/>
      </c>
      <c r="AK71" s="155"/>
      <c r="AL71" s="499" t="str">
        <f>IF(AK71="","",IF(VLOOKUP(AK71,'G-7 Rivers Data'!$AD$4:$AE$8,2,FALSE)=0,"Spatial Data Missing ⚠",VLOOKUP(AK71,'G-7 Rivers Data'!$AD$4:$AE$8,2,FALSE)))</f>
        <v/>
      </c>
      <c r="AM71" s="545" t="str">
        <f t="shared" si="7"/>
        <v/>
      </c>
      <c r="AN71" s="149"/>
      <c r="AO71" s="150"/>
      <c r="AV71" s="31" t="str">
        <f>IFERROR(INDEX('G-7 Rivers Data'!$AZ$3:$AZ$7,MATCH(N71,'G-7 Rivers Data'!$AY$3:$AY$7,0)),"")</f>
        <v/>
      </c>
    </row>
    <row r="72" spans="2:48" ht="14" x14ac:dyDescent="0.3">
      <c r="B72" s="531" t="str">
        <f>'C-1 Site River Baseline'!AN70</f>
        <v/>
      </c>
      <c r="C72" s="520" t="str">
        <f>IF(B72="","",VLOOKUP($B72,'C-1 Site River Baseline'!$C$9:$R$257,2,FALSE))</f>
        <v/>
      </c>
      <c r="D72" s="520" t="str">
        <f>IF(C72="","",VLOOKUP($B72,'C-1 Site River Baseline'!$C$9:$R$257,3,FALSE))</f>
        <v/>
      </c>
      <c r="E72" s="520" t="str">
        <f>IF(D72="","",VLOOKUP($B72,'C-1 Site River Baseline'!$C$9:$R$257,4,FALSE))</f>
        <v/>
      </c>
      <c r="F72" s="520" t="str">
        <f>IF(E72="","",VLOOKUP($B72,'C-1 Site River Baseline'!$C$9:$R$257,5,FALSE))</f>
        <v/>
      </c>
      <c r="G72" s="520" t="str">
        <f>IF(F72="","",VLOOKUP($B72,'C-1 Site River Baseline'!$C$9:$R$257,6,FALSE))</f>
        <v/>
      </c>
      <c r="H72" s="520" t="str">
        <f>IF(G72="","",VLOOKUP($B72,'C-1 Site River Baseline'!$C$9:$R$257,7,FALSE))</f>
        <v/>
      </c>
      <c r="I72" s="520" t="str">
        <f>IF(H72="","",VLOOKUP($B72,'C-1 Site River Baseline'!$C$9:$R$257,8,FALSE))</f>
        <v/>
      </c>
      <c r="J72" s="520" t="str">
        <f>IF(I72="","",VLOOKUP($B72,'C-1 Site River Baseline'!$C$9:$R$257,9,FALSE))</f>
        <v/>
      </c>
      <c r="K72" s="520" t="str">
        <f>IF(J72="","",VLOOKUP($B72,'C-1 Site River Baseline'!$C$9:$R$257,10,FALSE))</f>
        <v/>
      </c>
      <c r="L72" s="520" t="str">
        <f>IF(B72="","",VLOOKUP($B72,'C-1 Site River Baseline'!$C$9:$R$257,15,FALSE))</f>
        <v/>
      </c>
      <c r="M72" s="524" t="str">
        <f>IF(L72="","",VLOOKUP($B72,'C-1 Site River Baseline'!$C$9:$R$257,16,FALSE))</f>
        <v/>
      </c>
      <c r="N72" s="418" t="str">
        <f t="shared" si="6"/>
        <v/>
      </c>
      <c r="O72" s="498" t="str">
        <f t="shared" si="1"/>
        <v/>
      </c>
      <c r="P72" s="499" t="str">
        <f>IF(C72="","",IF(AND(LEFT(C72,55)&lt;&gt;LEFT(N72,55),O72="High - High"),"Error - Not like for like ▲",IF(AND(F72=S72,H72&gt;U72),"Error - Can not reduce condition ▲",IF(AND(F72=S72,H72=U72,AJ72='C-1 Site River Baseline'!N70,'C-1 Site River Baseline'!P70=AL72),"Error - No enhancement ▲",IF(AND(C72&lt;&gt;N72,F72&lt;S72),"Lower Distinctiveness Habitat"&amp;" - "&amp;T72,G72&amp;" - "&amp;T72)))))</f>
        <v/>
      </c>
      <c r="Q72" s="567" t="str">
        <f>IF(N72="","",VLOOKUP(B72,'C-1 Site River Baseline'!$C$10:$AA$257,19,FALSE))</f>
        <v/>
      </c>
      <c r="R72" s="498" t="str">
        <f>IF(N72="","",VLOOKUP(N72,'G-7 Rivers Data'!$B$2:$G$8,2,FALSE))</f>
        <v/>
      </c>
      <c r="S72" s="499" t="str">
        <f>IFERROR(VLOOKUP(R72,'G-7 Rivers Data'!$C$4:$D$8,2,FALSE),"")</f>
        <v/>
      </c>
      <c r="T72" s="145"/>
      <c r="U72" s="499" t="str">
        <f>IFERROR(INDEX('G-7 Rivers Data'!$H$4:$L$8,MATCH(N72,'G-7 Rivers Data'!$B$4:$B$8,0),MATCH(T72,'G-7 Rivers Data'!$H$3:$L$3,0)),"")</f>
        <v/>
      </c>
      <c r="V72" s="154"/>
      <c r="W72" s="507" t="str">
        <f>IF(V72="","",IF(VLOOKUP(V72,'G-7 Rivers Data'!$AG$4:$AI$9,2,FALSE)=0,"Spatial Data Missing ⚠",VLOOKUP(V72,'G-7 Rivers Data'!$AG$4:$AI$9,2,FALSE)))</f>
        <v/>
      </c>
      <c r="X72" s="499" t="str">
        <f>IF(V72="","",IF(VLOOKUP(V72,'G-7 Rivers Data'!$AG$4:$AI$9,3,FALSE)=0,"Spatial Data Missing ⚠",VLOOKUP(V72,'G-7 Rivers Data'!$AG$4:$AI$9,3,FALSE)))</f>
        <v/>
      </c>
      <c r="Y72" s="498" t="str">
        <f>IFERROR(IF(OR(LEFT(P72,5)="Error ▲",LEFT(O72,5)="Error ▲"),"Check Data ⚠",IF(F72&lt;S72,'G-7 Rivers Data'!$R$3,INDEX('G-7 Rivers Data'!$U$5:$Y$9,MATCH(G72,'G-7 Rivers Data'!$T$5:$T$9,0),MATCH(T72,'G-7 Rivers Data'!$U$4:$Y$4,0)))),"")</f>
        <v/>
      </c>
      <c r="Z72" s="195"/>
      <c r="AA72" s="195"/>
      <c r="AB72" s="507" t="str">
        <f t="shared" si="2"/>
        <v/>
      </c>
      <c r="AC72" s="521" t="str">
        <f t="shared" si="3"/>
        <v/>
      </c>
      <c r="AD72" s="564" t="str">
        <f>IFERROR(IF(AC72="Check Data ⚠","Check Data ⚠",VLOOKUP(AC72,'G-4 Temporal multipliers'!$A$4:$C$37,3,FALSE)),"")</f>
        <v/>
      </c>
      <c r="AE72" s="498" t="str">
        <f>IF(N72="","",VLOOKUP(N72,'G-7 Rivers Data'!$B$4:$G$8,5,FALSE))</f>
        <v/>
      </c>
      <c r="AF72" s="507" t="str">
        <f t="shared" si="4"/>
        <v/>
      </c>
      <c r="AG72" s="540" t="str">
        <f t="shared" si="5"/>
        <v/>
      </c>
      <c r="AH72" s="499" t="str">
        <f t="shared" si="0"/>
        <v/>
      </c>
      <c r="AI72" s="145"/>
      <c r="AJ72" s="499" t="str">
        <f>IF(AI72="","",IF(VLOOKUP(AI72,'G-7 Rivers Data'!$AA$4:$AB$7,2,FALSE)=0,"Spatial Data Missing ⚠",VLOOKUP(AI72,'G-7 Rivers Data'!$AA$4:$AB$7,2,FALSE)))</f>
        <v/>
      </c>
      <c r="AK72" s="155"/>
      <c r="AL72" s="499" t="str">
        <f>IF(AK72="","",IF(VLOOKUP(AK72,'G-7 Rivers Data'!$AD$4:$AE$8,2,FALSE)=0,"Spatial Data Missing ⚠",VLOOKUP(AK72,'G-7 Rivers Data'!$AD$4:$AE$8,2,FALSE)))</f>
        <v/>
      </c>
      <c r="AM72" s="545" t="str">
        <f t="shared" si="7"/>
        <v/>
      </c>
      <c r="AN72" s="149"/>
      <c r="AO72" s="150"/>
      <c r="AV72" s="31" t="str">
        <f>IFERROR(INDEX('G-7 Rivers Data'!$AZ$3:$AZ$7,MATCH(N72,'G-7 Rivers Data'!$AY$3:$AY$7,0)),"")</f>
        <v/>
      </c>
    </row>
    <row r="73" spans="2:48" ht="14" x14ac:dyDescent="0.3">
      <c r="B73" s="531" t="str">
        <f>'C-1 Site River Baseline'!AN71</f>
        <v/>
      </c>
      <c r="C73" s="520" t="str">
        <f>IF(B73="","",VLOOKUP($B73,'C-1 Site River Baseline'!$C$9:$R$257,2,FALSE))</f>
        <v/>
      </c>
      <c r="D73" s="520" t="str">
        <f>IF(C73="","",VLOOKUP($B73,'C-1 Site River Baseline'!$C$9:$R$257,3,FALSE))</f>
        <v/>
      </c>
      <c r="E73" s="520" t="str">
        <f>IF(D73="","",VLOOKUP($B73,'C-1 Site River Baseline'!$C$9:$R$257,4,FALSE))</f>
        <v/>
      </c>
      <c r="F73" s="520" t="str">
        <f>IF(E73="","",VLOOKUP($B73,'C-1 Site River Baseline'!$C$9:$R$257,5,FALSE))</f>
        <v/>
      </c>
      <c r="G73" s="520" t="str">
        <f>IF(F73="","",VLOOKUP($B73,'C-1 Site River Baseline'!$C$9:$R$257,6,FALSE))</f>
        <v/>
      </c>
      <c r="H73" s="520" t="str">
        <f>IF(G73="","",VLOOKUP($B73,'C-1 Site River Baseline'!$C$9:$R$257,7,FALSE))</f>
        <v/>
      </c>
      <c r="I73" s="520" t="str">
        <f>IF(H73="","",VLOOKUP($B73,'C-1 Site River Baseline'!$C$9:$R$257,8,FALSE))</f>
        <v/>
      </c>
      <c r="J73" s="520" t="str">
        <f>IF(I73="","",VLOOKUP($B73,'C-1 Site River Baseline'!$C$9:$R$257,9,FALSE))</f>
        <v/>
      </c>
      <c r="K73" s="520" t="str">
        <f>IF(J73="","",VLOOKUP($B73,'C-1 Site River Baseline'!$C$9:$R$257,10,FALSE))</f>
        <v/>
      </c>
      <c r="L73" s="520" t="str">
        <f>IF(B73="","",VLOOKUP($B73,'C-1 Site River Baseline'!$C$9:$R$257,15,FALSE))</f>
        <v/>
      </c>
      <c r="M73" s="524" t="str">
        <f>IF(L73="","",VLOOKUP($B73,'C-1 Site River Baseline'!$C$9:$R$257,16,FALSE))</f>
        <v/>
      </c>
      <c r="N73" s="418" t="str">
        <f t="shared" si="6"/>
        <v/>
      </c>
      <c r="O73" s="498" t="str">
        <f t="shared" si="1"/>
        <v/>
      </c>
      <c r="P73" s="499" t="str">
        <f>IF(C73="","",IF(AND(LEFT(C73,55)&lt;&gt;LEFT(N73,55),O73="High - High"),"Error - Not like for like ▲",IF(AND(F73=S73,H73&gt;U73),"Error - Can not reduce condition ▲",IF(AND(F73=S73,H73=U73,AJ73='C-1 Site River Baseline'!N71,'C-1 Site River Baseline'!P71=AL73),"Error - No enhancement ▲",IF(AND(C73&lt;&gt;N73,F73&lt;S73),"Lower Distinctiveness Habitat"&amp;" - "&amp;T73,G73&amp;" - "&amp;T73)))))</f>
        <v/>
      </c>
      <c r="Q73" s="567" t="str">
        <f>IF(N73="","",VLOOKUP(B73,'C-1 Site River Baseline'!$C$10:$AA$257,19,FALSE))</f>
        <v/>
      </c>
      <c r="R73" s="498" t="str">
        <f>IF(N73="","",VLOOKUP(N73,'G-7 Rivers Data'!$B$2:$G$8,2,FALSE))</f>
        <v/>
      </c>
      <c r="S73" s="499" t="str">
        <f>IFERROR(VLOOKUP(R73,'G-7 Rivers Data'!$C$4:$D$8,2,FALSE),"")</f>
        <v/>
      </c>
      <c r="T73" s="145"/>
      <c r="U73" s="499" t="str">
        <f>IFERROR(INDEX('G-7 Rivers Data'!$H$4:$L$8,MATCH(N73,'G-7 Rivers Data'!$B$4:$B$8,0),MATCH(T73,'G-7 Rivers Data'!$H$3:$L$3,0)),"")</f>
        <v/>
      </c>
      <c r="V73" s="154"/>
      <c r="W73" s="507" t="str">
        <f>IF(V73="","",IF(VLOOKUP(V73,'G-7 Rivers Data'!$AG$4:$AI$9,2,FALSE)=0,"Spatial Data Missing ⚠",VLOOKUP(V73,'G-7 Rivers Data'!$AG$4:$AI$9,2,FALSE)))</f>
        <v/>
      </c>
      <c r="X73" s="499" t="str">
        <f>IF(V73="","",IF(VLOOKUP(V73,'G-7 Rivers Data'!$AG$4:$AI$9,3,FALSE)=0,"Spatial Data Missing ⚠",VLOOKUP(V73,'G-7 Rivers Data'!$AG$4:$AI$9,3,FALSE)))</f>
        <v/>
      </c>
      <c r="Y73" s="498" t="str">
        <f>IFERROR(IF(OR(LEFT(P73,5)="Error ▲",LEFT(O73,5)="Error ▲"),"Check Data ⚠",IF(F73&lt;S73,'G-7 Rivers Data'!$R$3,INDEX('G-7 Rivers Data'!$U$5:$Y$9,MATCH(G73,'G-7 Rivers Data'!$T$5:$T$9,0),MATCH(T73,'G-7 Rivers Data'!$U$4:$Y$4,0)))),"")</f>
        <v/>
      </c>
      <c r="Z73" s="195"/>
      <c r="AA73" s="195"/>
      <c r="AB73" s="507" t="str">
        <f t="shared" si="2"/>
        <v/>
      </c>
      <c r="AC73" s="521" t="str">
        <f t="shared" si="3"/>
        <v/>
      </c>
      <c r="AD73" s="564" t="str">
        <f>IFERROR(IF(AC73="Check Data ⚠","Check Data ⚠",VLOOKUP(AC73,'G-4 Temporal multipliers'!$A$4:$C$37,3,FALSE)),"")</f>
        <v/>
      </c>
      <c r="AE73" s="498" t="str">
        <f>IF(N73="","",VLOOKUP(N73,'G-7 Rivers Data'!$B$4:$G$8,5,FALSE))</f>
        <v/>
      </c>
      <c r="AF73" s="507" t="str">
        <f t="shared" si="4"/>
        <v/>
      </c>
      <c r="AG73" s="540" t="str">
        <f t="shared" si="5"/>
        <v/>
      </c>
      <c r="AH73" s="499" t="str">
        <f t="shared" si="0"/>
        <v/>
      </c>
      <c r="AI73" s="145"/>
      <c r="AJ73" s="499" t="str">
        <f>IF(AI73="","",IF(VLOOKUP(AI73,'G-7 Rivers Data'!$AA$4:$AB$7,2,FALSE)=0,"Spatial Data Missing ⚠",VLOOKUP(AI73,'G-7 Rivers Data'!$AA$4:$AB$7,2,FALSE)))</f>
        <v/>
      </c>
      <c r="AK73" s="155"/>
      <c r="AL73" s="499" t="str">
        <f>IF(AK73="","",IF(VLOOKUP(AK73,'G-7 Rivers Data'!$AD$4:$AE$8,2,FALSE)=0,"Spatial Data Missing ⚠",VLOOKUP(AK73,'G-7 Rivers Data'!$AD$4:$AE$8,2,FALSE)))</f>
        <v/>
      </c>
      <c r="AM73" s="545" t="str">
        <f t="shared" si="7"/>
        <v/>
      </c>
      <c r="AN73" s="149"/>
      <c r="AO73" s="150"/>
      <c r="AV73" s="31" t="str">
        <f>IFERROR(INDEX('G-7 Rivers Data'!$AZ$3:$AZ$7,MATCH(N73,'G-7 Rivers Data'!$AY$3:$AY$7,0)),"")</f>
        <v/>
      </c>
    </row>
    <row r="74" spans="2:48" ht="14" x14ac:dyDescent="0.3">
      <c r="B74" s="531" t="str">
        <f>'C-1 Site River Baseline'!AN72</f>
        <v/>
      </c>
      <c r="C74" s="520" t="str">
        <f>IF(B74="","",VLOOKUP($B74,'C-1 Site River Baseline'!$C$9:$R$257,2,FALSE))</f>
        <v/>
      </c>
      <c r="D74" s="520" t="str">
        <f>IF(C74="","",VLOOKUP($B74,'C-1 Site River Baseline'!$C$9:$R$257,3,FALSE))</f>
        <v/>
      </c>
      <c r="E74" s="520" t="str">
        <f>IF(D74="","",VLOOKUP($B74,'C-1 Site River Baseline'!$C$9:$R$257,4,FALSE))</f>
        <v/>
      </c>
      <c r="F74" s="520" t="str">
        <f>IF(E74="","",VLOOKUP($B74,'C-1 Site River Baseline'!$C$9:$R$257,5,FALSE))</f>
        <v/>
      </c>
      <c r="G74" s="520" t="str">
        <f>IF(F74="","",VLOOKUP($B74,'C-1 Site River Baseline'!$C$9:$R$257,6,FALSE))</f>
        <v/>
      </c>
      <c r="H74" s="520" t="str">
        <f>IF(G74="","",VLOOKUP($B74,'C-1 Site River Baseline'!$C$9:$R$257,7,FALSE))</f>
        <v/>
      </c>
      <c r="I74" s="520" t="str">
        <f>IF(H74="","",VLOOKUP($B74,'C-1 Site River Baseline'!$C$9:$R$257,8,FALSE))</f>
        <v/>
      </c>
      <c r="J74" s="520" t="str">
        <f>IF(I74="","",VLOOKUP($B74,'C-1 Site River Baseline'!$C$9:$R$257,9,FALSE))</f>
        <v/>
      </c>
      <c r="K74" s="520" t="str">
        <f>IF(J74="","",VLOOKUP($B74,'C-1 Site River Baseline'!$C$9:$R$257,10,FALSE))</f>
        <v/>
      </c>
      <c r="L74" s="520" t="str">
        <f>IF(B74="","",VLOOKUP($B74,'C-1 Site River Baseline'!$C$9:$R$257,15,FALSE))</f>
        <v/>
      </c>
      <c r="M74" s="524" t="str">
        <f>IF(L74="","",VLOOKUP($B74,'C-1 Site River Baseline'!$C$9:$R$257,16,FALSE))</f>
        <v/>
      </c>
      <c r="N74" s="418" t="str">
        <f t="shared" si="6"/>
        <v/>
      </c>
      <c r="O74" s="498" t="str">
        <f t="shared" si="1"/>
        <v/>
      </c>
      <c r="P74" s="499" t="str">
        <f>IF(C74="","",IF(AND(LEFT(C74,55)&lt;&gt;LEFT(N74,55),O74="High - High"),"Error - Not like for like ▲",IF(AND(F74=S74,H74&gt;U74),"Error - Can not reduce condition ▲",IF(AND(F74=S74,H74=U74,AJ74='C-1 Site River Baseline'!N72,'C-1 Site River Baseline'!P72=AL74),"Error - No enhancement ▲",IF(AND(C74&lt;&gt;N74,F74&lt;S74),"Lower Distinctiveness Habitat"&amp;" - "&amp;T74,G74&amp;" - "&amp;T74)))))</f>
        <v/>
      </c>
      <c r="Q74" s="567" t="str">
        <f>IF(N74="","",VLOOKUP(B74,'C-1 Site River Baseline'!$C$10:$AA$257,19,FALSE))</f>
        <v/>
      </c>
      <c r="R74" s="498" t="str">
        <f>IF(N74="","",VLOOKUP(N74,'G-7 Rivers Data'!$B$2:$G$8,2,FALSE))</f>
        <v/>
      </c>
      <c r="S74" s="499" t="str">
        <f>IFERROR(VLOOKUP(R74,'G-7 Rivers Data'!$C$4:$D$8,2,FALSE),"")</f>
        <v/>
      </c>
      <c r="T74" s="145"/>
      <c r="U74" s="499" t="str">
        <f>IFERROR(INDEX('G-7 Rivers Data'!$H$4:$L$8,MATCH(N74,'G-7 Rivers Data'!$B$4:$B$8,0),MATCH(T74,'G-7 Rivers Data'!$H$3:$L$3,0)),"")</f>
        <v/>
      </c>
      <c r="V74" s="154"/>
      <c r="W74" s="507" t="str">
        <f>IF(V74="","",IF(VLOOKUP(V74,'G-7 Rivers Data'!$AG$4:$AI$9,2,FALSE)=0,"Spatial Data Missing ⚠",VLOOKUP(V74,'G-7 Rivers Data'!$AG$4:$AI$9,2,FALSE)))</f>
        <v/>
      </c>
      <c r="X74" s="499" t="str">
        <f>IF(V74="","",IF(VLOOKUP(V74,'G-7 Rivers Data'!$AG$4:$AI$9,3,FALSE)=0,"Spatial Data Missing ⚠",VLOOKUP(V74,'G-7 Rivers Data'!$AG$4:$AI$9,3,FALSE)))</f>
        <v/>
      </c>
      <c r="Y74" s="498" t="str">
        <f>IFERROR(IF(OR(LEFT(P74,5)="Error ▲",LEFT(O74,5)="Error ▲"),"Check Data ⚠",IF(F74&lt;S74,'G-7 Rivers Data'!$R$3,INDEX('G-7 Rivers Data'!$U$5:$Y$9,MATCH(G74,'G-7 Rivers Data'!$T$5:$T$9,0),MATCH(T74,'G-7 Rivers Data'!$U$4:$Y$4,0)))),"")</f>
        <v/>
      </c>
      <c r="Z74" s="195"/>
      <c r="AA74" s="195"/>
      <c r="AB74" s="507" t="str">
        <f t="shared" si="2"/>
        <v/>
      </c>
      <c r="AC74" s="521" t="str">
        <f t="shared" si="3"/>
        <v/>
      </c>
      <c r="AD74" s="564" t="str">
        <f>IFERROR(IF(AC74="Check Data ⚠","Check Data ⚠",VLOOKUP(AC74,'G-4 Temporal multipliers'!$A$4:$C$37,3,FALSE)),"")</f>
        <v/>
      </c>
      <c r="AE74" s="498" t="str">
        <f>IF(N74="","",VLOOKUP(N74,'G-7 Rivers Data'!$B$4:$G$8,5,FALSE))</f>
        <v/>
      </c>
      <c r="AF74" s="507" t="str">
        <f t="shared" si="4"/>
        <v/>
      </c>
      <c r="AG74" s="540" t="str">
        <f t="shared" si="5"/>
        <v/>
      </c>
      <c r="AH74" s="499" t="str">
        <f t="shared" si="0"/>
        <v/>
      </c>
      <c r="AI74" s="145"/>
      <c r="AJ74" s="499" t="str">
        <f>IF(AI74="","",IF(VLOOKUP(AI74,'G-7 Rivers Data'!$AA$4:$AB$7,2,FALSE)=0,"Spatial Data Missing ⚠",VLOOKUP(AI74,'G-7 Rivers Data'!$AA$4:$AB$7,2,FALSE)))</f>
        <v/>
      </c>
      <c r="AK74" s="155"/>
      <c r="AL74" s="499" t="str">
        <f>IF(AK74="","",IF(VLOOKUP(AK74,'G-7 Rivers Data'!$AD$4:$AE$8,2,FALSE)=0,"Spatial Data Missing ⚠",VLOOKUP(AK74,'G-7 Rivers Data'!$AD$4:$AE$8,2,FALSE)))</f>
        <v/>
      </c>
      <c r="AM74" s="545" t="str">
        <f t="shared" si="7"/>
        <v/>
      </c>
      <c r="AN74" s="149"/>
      <c r="AO74" s="150"/>
      <c r="AV74" s="31" t="str">
        <f>IFERROR(INDEX('G-7 Rivers Data'!$AZ$3:$AZ$7,MATCH(N74,'G-7 Rivers Data'!$AY$3:$AY$7,0)),"")</f>
        <v/>
      </c>
    </row>
    <row r="75" spans="2:48" ht="14" x14ac:dyDescent="0.3">
      <c r="B75" s="531" t="str">
        <f>'C-1 Site River Baseline'!AN73</f>
        <v/>
      </c>
      <c r="C75" s="520" t="str">
        <f>IF(B75="","",VLOOKUP($B75,'C-1 Site River Baseline'!$C$9:$R$257,2,FALSE))</f>
        <v/>
      </c>
      <c r="D75" s="520" t="str">
        <f>IF(C75="","",VLOOKUP($B75,'C-1 Site River Baseline'!$C$9:$R$257,3,FALSE))</f>
        <v/>
      </c>
      <c r="E75" s="520" t="str">
        <f>IF(D75="","",VLOOKUP($B75,'C-1 Site River Baseline'!$C$9:$R$257,4,FALSE))</f>
        <v/>
      </c>
      <c r="F75" s="520" t="str">
        <f>IF(E75="","",VLOOKUP($B75,'C-1 Site River Baseline'!$C$9:$R$257,5,FALSE))</f>
        <v/>
      </c>
      <c r="G75" s="520" t="str">
        <f>IF(F75="","",VLOOKUP($B75,'C-1 Site River Baseline'!$C$9:$R$257,6,FALSE))</f>
        <v/>
      </c>
      <c r="H75" s="520" t="str">
        <f>IF(G75="","",VLOOKUP($B75,'C-1 Site River Baseline'!$C$9:$R$257,7,FALSE))</f>
        <v/>
      </c>
      <c r="I75" s="520" t="str">
        <f>IF(H75="","",VLOOKUP($B75,'C-1 Site River Baseline'!$C$9:$R$257,8,FALSE))</f>
        <v/>
      </c>
      <c r="J75" s="520" t="str">
        <f>IF(I75="","",VLOOKUP($B75,'C-1 Site River Baseline'!$C$9:$R$257,9,FALSE))</f>
        <v/>
      </c>
      <c r="K75" s="520" t="str">
        <f>IF(J75="","",VLOOKUP($B75,'C-1 Site River Baseline'!$C$9:$R$257,10,FALSE))</f>
        <v/>
      </c>
      <c r="L75" s="520" t="str">
        <f>IF(B75="","",VLOOKUP($B75,'C-1 Site River Baseline'!$C$9:$R$257,15,FALSE))</f>
        <v/>
      </c>
      <c r="M75" s="524" t="str">
        <f>IF(L75="","",VLOOKUP($B75,'C-1 Site River Baseline'!$C$9:$R$257,16,FALSE))</f>
        <v/>
      </c>
      <c r="N75" s="418" t="str">
        <f t="shared" si="6"/>
        <v/>
      </c>
      <c r="O75" s="498" t="str">
        <f t="shared" si="1"/>
        <v/>
      </c>
      <c r="P75" s="499" t="str">
        <f>IF(C75="","",IF(AND(LEFT(C75,55)&lt;&gt;LEFT(N75,55),O75="High - High"),"Error - Not like for like ▲",IF(AND(F75=S75,H75&gt;U75),"Error - Can not reduce condition ▲",IF(AND(F75=S75,H75=U75,AJ75='C-1 Site River Baseline'!N73,'C-1 Site River Baseline'!P73=AL75),"Error - No enhancement ▲",IF(AND(C75&lt;&gt;N75,F75&lt;S75),"Lower Distinctiveness Habitat"&amp;" - "&amp;T75,G75&amp;" - "&amp;T75)))))</f>
        <v/>
      </c>
      <c r="Q75" s="567" t="str">
        <f>IF(N75="","",VLOOKUP(B75,'C-1 Site River Baseline'!$C$10:$AA$257,19,FALSE))</f>
        <v/>
      </c>
      <c r="R75" s="498" t="str">
        <f>IF(N75="","",VLOOKUP(N75,'G-7 Rivers Data'!$B$2:$G$8,2,FALSE))</f>
        <v/>
      </c>
      <c r="S75" s="499" t="str">
        <f>IFERROR(VLOOKUP(R75,'G-7 Rivers Data'!$C$4:$D$8,2,FALSE),"")</f>
        <v/>
      </c>
      <c r="T75" s="145"/>
      <c r="U75" s="499" t="str">
        <f>IFERROR(INDEX('G-7 Rivers Data'!$H$4:$L$8,MATCH(N75,'G-7 Rivers Data'!$B$4:$B$8,0),MATCH(T75,'G-7 Rivers Data'!$H$3:$L$3,0)),"")</f>
        <v/>
      </c>
      <c r="V75" s="154"/>
      <c r="W75" s="507" t="str">
        <f>IF(V75="","",IF(VLOOKUP(V75,'G-7 Rivers Data'!$AG$4:$AI$9,2,FALSE)=0,"Spatial Data Missing ⚠",VLOOKUP(V75,'G-7 Rivers Data'!$AG$4:$AI$9,2,FALSE)))</f>
        <v/>
      </c>
      <c r="X75" s="499" t="str">
        <f>IF(V75="","",IF(VLOOKUP(V75,'G-7 Rivers Data'!$AG$4:$AI$9,3,FALSE)=0,"Spatial Data Missing ⚠",VLOOKUP(V75,'G-7 Rivers Data'!$AG$4:$AI$9,3,FALSE)))</f>
        <v/>
      </c>
      <c r="Y75" s="498" t="str">
        <f>IFERROR(IF(OR(LEFT(P75,5)="Error ▲",LEFT(O75,5)="Error ▲"),"Check Data ⚠",IF(F75&lt;S75,'G-7 Rivers Data'!$R$3,INDEX('G-7 Rivers Data'!$U$5:$Y$9,MATCH(G75,'G-7 Rivers Data'!$T$5:$T$9,0),MATCH(T75,'G-7 Rivers Data'!$U$4:$Y$4,0)))),"")</f>
        <v/>
      </c>
      <c r="Z75" s="195"/>
      <c r="AA75" s="195"/>
      <c r="AB75" s="507" t="str">
        <f t="shared" si="2"/>
        <v/>
      </c>
      <c r="AC75" s="521" t="str">
        <f t="shared" si="3"/>
        <v/>
      </c>
      <c r="AD75" s="564" t="str">
        <f>IFERROR(IF(AC75="Check Data ⚠","Check Data ⚠",VLOOKUP(AC75,'G-4 Temporal multipliers'!$A$4:$C$37,3,FALSE)),"")</f>
        <v/>
      </c>
      <c r="AE75" s="498" t="str">
        <f>IF(N75="","",VLOOKUP(N75,'G-7 Rivers Data'!$B$4:$G$8,5,FALSE))</f>
        <v/>
      </c>
      <c r="AF75" s="507" t="str">
        <f t="shared" si="4"/>
        <v/>
      </c>
      <c r="AG75" s="540" t="str">
        <f t="shared" si="5"/>
        <v/>
      </c>
      <c r="AH75" s="499" t="str">
        <f t="shared" si="0"/>
        <v/>
      </c>
      <c r="AI75" s="145"/>
      <c r="AJ75" s="499" t="str">
        <f>IF(AI75="","",IF(VLOOKUP(AI75,'G-7 Rivers Data'!$AA$4:$AB$7,2,FALSE)=0,"Spatial Data Missing ⚠",VLOOKUP(AI75,'G-7 Rivers Data'!$AA$4:$AB$7,2,FALSE)))</f>
        <v/>
      </c>
      <c r="AK75" s="155"/>
      <c r="AL75" s="499" t="str">
        <f>IF(AK75="","",IF(VLOOKUP(AK75,'G-7 Rivers Data'!$AD$4:$AE$8,2,FALSE)=0,"Spatial Data Missing ⚠",VLOOKUP(AK75,'G-7 Rivers Data'!$AD$4:$AE$8,2,FALSE)))</f>
        <v/>
      </c>
      <c r="AM75" s="545" t="str">
        <f t="shared" si="7"/>
        <v/>
      </c>
      <c r="AN75" s="149"/>
      <c r="AO75" s="150"/>
      <c r="AV75" s="31" t="str">
        <f>IFERROR(INDEX('G-7 Rivers Data'!$AZ$3:$AZ$7,MATCH(N75,'G-7 Rivers Data'!$AY$3:$AY$7,0)),"")</f>
        <v/>
      </c>
    </row>
    <row r="76" spans="2:48" ht="14" x14ac:dyDescent="0.3">
      <c r="B76" s="531" t="str">
        <f>'C-1 Site River Baseline'!AN74</f>
        <v/>
      </c>
      <c r="C76" s="520" t="str">
        <f>IF(B76="","",VLOOKUP($B76,'C-1 Site River Baseline'!$C$9:$R$257,2,FALSE))</f>
        <v/>
      </c>
      <c r="D76" s="520" t="str">
        <f>IF(C76="","",VLOOKUP($B76,'C-1 Site River Baseline'!$C$9:$R$257,3,FALSE))</f>
        <v/>
      </c>
      <c r="E76" s="520" t="str">
        <f>IF(D76="","",VLOOKUP($B76,'C-1 Site River Baseline'!$C$9:$R$257,4,FALSE))</f>
        <v/>
      </c>
      <c r="F76" s="520" t="str">
        <f>IF(E76="","",VLOOKUP($B76,'C-1 Site River Baseline'!$C$9:$R$257,5,FALSE))</f>
        <v/>
      </c>
      <c r="G76" s="520" t="str">
        <f>IF(F76="","",VLOOKUP($B76,'C-1 Site River Baseline'!$C$9:$R$257,6,FALSE))</f>
        <v/>
      </c>
      <c r="H76" s="520" t="str">
        <f>IF(G76="","",VLOOKUP($B76,'C-1 Site River Baseline'!$C$9:$R$257,7,FALSE))</f>
        <v/>
      </c>
      <c r="I76" s="520" t="str">
        <f>IF(H76="","",VLOOKUP($B76,'C-1 Site River Baseline'!$C$9:$R$257,8,FALSE))</f>
        <v/>
      </c>
      <c r="J76" s="520" t="str">
        <f>IF(I76="","",VLOOKUP($B76,'C-1 Site River Baseline'!$C$9:$R$257,9,FALSE))</f>
        <v/>
      </c>
      <c r="K76" s="520" t="str">
        <f>IF(J76="","",VLOOKUP($B76,'C-1 Site River Baseline'!$C$9:$R$257,10,FALSE))</f>
        <v/>
      </c>
      <c r="L76" s="520" t="str">
        <f>IF(B76="","",VLOOKUP($B76,'C-1 Site River Baseline'!$C$9:$R$257,15,FALSE))</f>
        <v/>
      </c>
      <c r="M76" s="524" t="str">
        <f>IF(L76="","",VLOOKUP($B76,'C-1 Site River Baseline'!$C$9:$R$257,16,FALSE))</f>
        <v/>
      </c>
      <c r="N76" s="418" t="str">
        <f t="shared" si="6"/>
        <v/>
      </c>
      <c r="O76" s="498" t="str">
        <f t="shared" si="1"/>
        <v/>
      </c>
      <c r="P76" s="499" t="str">
        <f>IF(C76="","",IF(AND(LEFT(C76,55)&lt;&gt;LEFT(N76,55),O76="High - High"),"Error - Not like for like ▲",IF(AND(F76=S76,H76&gt;U76),"Error - Can not reduce condition ▲",IF(AND(F76=S76,H76=U76,AJ76='C-1 Site River Baseline'!N74,'C-1 Site River Baseline'!P74=AL76),"Error - No enhancement ▲",IF(AND(C76&lt;&gt;N76,F76&lt;S76),"Lower Distinctiveness Habitat"&amp;" - "&amp;T76,G76&amp;" - "&amp;T76)))))</f>
        <v/>
      </c>
      <c r="Q76" s="567" t="str">
        <f>IF(N76="","",VLOOKUP(B76,'C-1 Site River Baseline'!$C$10:$AA$257,19,FALSE))</f>
        <v/>
      </c>
      <c r="R76" s="498" t="str">
        <f>IF(N76="","",VLOOKUP(N76,'G-7 Rivers Data'!$B$2:$G$8,2,FALSE))</f>
        <v/>
      </c>
      <c r="S76" s="499" t="str">
        <f>IFERROR(VLOOKUP(R76,'G-7 Rivers Data'!$C$4:$D$8,2,FALSE),"")</f>
        <v/>
      </c>
      <c r="T76" s="145"/>
      <c r="U76" s="499" t="str">
        <f>IFERROR(INDEX('G-7 Rivers Data'!$H$4:$L$8,MATCH(N76,'G-7 Rivers Data'!$B$4:$B$8,0),MATCH(T76,'G-7 Rivers Data'!$H$3:$L$3,0)),"")</f>
        <v/>
      </c>
      <c r="V76" s="154"/>
      <c r="W76" s="507" t="str">
        <f>IF(V76="","",IF(VLOOKUP(V76,'G-7 Rivers Data'!$AG$4:$AI$9,2,FALSE)=0,"Spatial Data Missing ⚠",VLOOKUP(V76,'G-7 Rivers Data'!$AG$4:$AI$9,2,FALSE)))</f>
        <v/>
      </c>
      <c r="X76" s="499" t="str">
        <f>IF(V76="","",IF(VLOOKUP(V76,'G-7 Rivers Data'!$AG$4:$AI$9,3,FALSE)=0,"Spatial Data Missing ⚠",VLOOKUP(V76,'G-7 Rivers Data'!$AG$4:$AI$9,3,FALSE)))</f>
        <v/>
      </c>
      <c r="Y76" s="498" t="str">
        <f>IFERROR(IF(OR(LEFT(P76,5)="Error ▲",LEFT(O76,5)="Error ▲"),"Check Data ⚠",IF(F76&lt;S76,'G-7 Rivers Data'!$R$3,INDEX('G-7 Rivers Data'!$U$5:$Y$9,MATCH(G76,'G-7 Rivers Data'!$T$5:$T$9,0),MATCH(T76,'G-7 Rivers Data'!$U$4:$Y$4,0)))),"")</f>
        <v/>
      </c>
      <c r="Z76" s="195"/>
      <c r="AA76" s="195"/>
      <c r="AB76" s="507" t="str">
        <f t="shared" si="2"/>
        <v/>
      </c>
      <c r="AC76" s="521" t="str">
        <f t="shared" si="3"/>
        <v/>
      </c>
      <c r="AD76" s="564" t="str">
        <f>IFERROR(IF(AC76="Check Data ⚠","Check Data ⚠",VLOOKUP(AC76,'G-4 Temporal multipliers'!$A$4:$C$37,3,FALSE)),"")</f>
        <v/>
      </c>
      <c r="AE76" s="498" t="str">
        <f>IF(N76="","",VLOOKUP(N76,'G-7 Rivers Data'!$B$4:$G$8,5,FALSE))</f>
        <v/>
      </c>
      <c r="AF76" s="507" t="str">
        <f t="shared" si="4"/>
        <v/>
      </c>
      <c r="AG76" s="540" t="str">
        <f t="shared" si="5"/>
        <v/>
      </c>
      <c r="AH76" s="499" t="str">
        <f t="shared" ref="AH76:AH139" si="8">IF(N76="","",VLOOKUP(AE76,Difficulty,2,FALSE))</f>
        <v/>
      </c>
      <c r="AI76" s="145"/>
      <c r="AJ76" s="499" t="str">
        <f>IF(AI76="","",IF(VLOOKUP(AI76,'G-7 Rivers Data'!$AA$4:$AB$7,2,FALSE)=0,"Spatial Data Missing ⚠",VLOOKUP(AI76,'G-7 Rivers Data'!$AA$4:$AB$7,2,FALSE)))</f>
        <v/>
      </c>
      <c r="AK76" s="155"/>
      <c r="AL76" s="499" t="str">
        <f>IF(AK76="","",IF(VLOOKUP(AK76,'G-7 Rivers Data'!$AD$4:$AE$8,2,FALSE)=0,"Spatial Data Missing ⚠",VLOOKUP(AK76,'G-7 Rivers Data'!$AD$4:$AE$8,2,FALSE)))</f>
        <v/>
      </c>
      <c r="AM76" s="545" t="str">
        <f t="shared" si="7"/>
        <v/>
      </c>
      <c r="AN76" s="149"/>
      <c r="AO76" s="150"/>
      <c r="AV76" s="31" t="str">
        <f>IFERROR(INDEX('G-7 Rivers Data'!$AZ$3:$AZ$7,MATCH(N76,'G-7 Rivers Data'!$AY$3:$AY$7,0)),"")</f>
        <v/>
      </c>
    </row>
    <row r="77" spans="2:48" ht="14" x14ac:dyDescent="0.3">
      <c r="B77" s="531" t="str">
        <f>'C-1 Site River Baseline'!AN75</f>
        <v/>
      </c>
      <c r="C77" s="520" t="str">
        <f>IF(B77="","",VLOOKUP($B77,'C-1 Site River Baseline'!$C$9:$R$257,2,FALSE))</f>
        <v/>
      </c>
      <c r="D77" s="520" t="str">
        <f>IF(C77="","",VLOOKUP($B77,'C-1 Site River Baseline'!$C$9:$R$257,3,FALSE))</f>
        <v/>
      </c>
      <c r="E77" s="520" t="str">
        <f>IF(D77="","",VLOOKUP($B77,'C-1 Site River Baseline'!$C$9:$R$257,4,FALSE))</f>
        <v/>
      </c>
      <c r="F77" s="520" t="str">
        <f>IF(E77="","",VLOOKUP($B77,'C-1 Site River Baseline'!$C$9:$R$257,5,FALSE))</f>
        <v/>
      </c>
      <c r="G77" s="520" t="str">
        <f>IF(F77="","",VLOOKUP($B77,'C-1 Site River Baseline'!$C$9:$R$257,6,FALSE))</f>
        <v/>
      </c>
      <c r="H77" s="520" t="str">
        <f>IF(G77="","",VLOOKUP($B77,'C-1 Site River Baseline'!$C$9:$R$257,7,FALSE))</f>
        <v/>
      </c>
      <c r="I77" s="520" t="str">
        <f>IF(H77="","",VLOOKUP($B77,'C-1 Site River Baseline'!$C$9:$R$257,8,FALSE))</f>
        <v/>
      </c>
      <c r="J77" s="520" t="str">
        <f>IF(I77="","",VLOOKUP($B77,'C-1 Site River Baseline'!$C$9:$R$257,9,FALSE))</f>
        <v/>
      </c>
      <c r="K77" s="520" t="str">
        <f>IF(J77="","",VLOOKUP($B77,'C-1 Site River Baseline'!$C$9:$R$257,10,FALSE))</f>
        <v/>
      </c>
      <c r="L77" s="520" t="str">
        <f>IF(B77="","",VLOOKUP($B77,'C-1 Site River Baseline'!$C$9:$R$257,15,FALSE))</f>
        <v/>
      </c>
      <c r="M77" s="524" t="str">
        <f>IF(L77="","",VLOOKUP($B77,'C-1 Site River Baseline'!$C$9:$R$257,16,FALSE))</f>
        <v/>
      </c>
      <c r="N77" s="418" t="str">
        <f t="shared" ref="N77:N140" si="9">C77</f>
        <v/>
      </c>
      <c r="O77" s="498" t="str">
        <f t="shared" ref="O77:O140" si="10">IF(B77="","",IF(S77&lt;F77,"Error Trading Down ▲",E77&amp;" - "&amp;R77))</f>
        <v/>
      </c>
      <c r="P77" s="499" t="str">
        <f>IF(C77="","",IF(AND(LEFT(C77,55)&lt;&gt;LEFT(N77,55),O77="High - High"),"Error - Not like for like ▲",IF(AND(F77=S77,H77&gt;U77),"Error - Can not reduce condition ▲",IF(AND(F77=S77,H77=U77,AJ77='C-1 Site River Baseline'!N75,'C-1 Site River Baseline'!P75=AL77),"Error - No enhancement ▲",IF(AND(C77&lt;&gt;N77,F77&lt;S77),"Lower Distinctiveness Habitat"&amp;" - "&amp;T77,G77&amp;" - "&amp;T77)))))</f>
        <v/>
      </c>
      <c r="Q77" s="567" t="str">
        <f>IF(N77="","",VLOOKUP(B77,'C-1 Site River Baseline'!$C$10:$AA$257,19,FALSE))</f>
        <v/>
      </c>
      <c r="R77" s="498" t="str">
        <f>IF(N77="","",VLOOKUP(N77,'G-7 Rivers Data'!$B$2:$G$8,2,FALSE))</f>
        <v/>
      </c>
      <c r="S77" s="499" t="str">
        <f>IFERROR(VLOOKUP(R77,'G-7 Rivers Data'!$C$4:$D$8,2,FALSE),"")</f>
        <v/>
      </c>
      <c r="T77" s="145"/>
      <c r="U77" s="499" t="str">
        <f>IFERROR(INDEX('G-7 Rivers Data'!$H$4:$L$8,MATCH(N77,'G-7 Rivers Data'!$B$4:$B$8,0),MATCH(T77,'G-7 Rivers Data'!$H$3:$L$3,0)),"")</f>
        <v/>
      </c>
      <c r="V77" s="154"/>
      <c r="W77" s="507" t="str">
        <f>IF(V77="","",IF(VLOOKUP(V77,'G-7 Rivers Data'!$AG$4:$AI$9,2,FALSE)=0,"Spatial Data Missing ⚠",VLOOKUP(V77,'G-7 Rivers Data'!$AG$4:$AI$9,2,FALSE)))</f>
        <v/>
      </c>
      <c r="X77" s="499" t="str">
        <f>IF(V77="","",IF(VLOOKUP(V77,'G-7 Rivers Data'!$AG$4:$AI$9,3,FALSE)=0,"Spatial Data Missing ⚠",VLOOKUP(V77,'G-7 Rivers Data'!$AG$4:$AI$9,3,FALSE)))</f>
        <v/>
      </c>
      <c r="Y77" s="498" t="str">
        <f>IFERROR(IF(OR(LEFT(P77,5)="Error ▲",LEFT(O77,5)="Error ▲"),"Check Data ⚠",IF(F77&lt;S77,'G-7 Rivers Data'!$R$3,INDEX('G-7 Rivers Data'!$U$5:$Y$9,MATCH(G77,'G-7 Rivers Data'!$T$5:$T$9,0),MATCH(T77,'G-7 Rivers Data'!$U$4:$Y$4,0)))),"")</f>
        <v/>
      </c>
      <c r="Z77" s="195"/>
      <c r="AA77" s="195"/>
      <c r="AB77" s="507" t="str">
        <f t="shared" ref="AB77:AB140" si="11">IF(Y77="","",IF(Y77="Check Data ⚠","Check Data ⚠",IF(AND(Z77&gt;0,AA77&gt;0),"Error -both advance and delayed habitat creation ▲",IF(AND(OR(Z77="Habitat already in target condition",Y77&lt;=Z77),AA77=0),"Check details - Is there evidence that habitat has reached target condition? ⚠",IF(Z77&gt;0,"Check details - Is there evidence habitat creation started/in place? ⚠",IF(AA77&gt;0,"Check details- Delay in starting habitat in required condition? ⚠","Standard time to target condition applied"))))))</f>
        <v/>
      </c>
      <c r="AC77" s="521" t="str">
        <f t="shared" ref="AC77:AC140" si="12">IF(LEFT(AB77,5)="Error ▲","Check Data ⚠",IF(AB77="Check Data ⚠","Check Data ⚠",IF(Y77="","",IF(Z77="30+",0,IF(AA77="30+","30+ ⚠",IF(Y77+AA77&gt;30,"30+ ⚠",IF(Y77+AA77-Z77&gt;0,Y77+AA77-Z77,IF(Y77-Z77&lt;0,0,Y77+AA77-Z77))))))))</f>
        <v/>
      </c>
      <c r="AD77" s="564" t="str">
        <f>IFERROR(IF(AC77="Check Data ⚠","Check Data ⚠",VLOOKUP(AC77,'G-4 Temporal multipliers'!$A$4:$C$37,3,FALSE)),"")</f>
        <v/>
      </c>
      <c r="AE77" s="498" t="str">
        <f>IF(N77="","",VLOOKUP(N77,'G-7 Rivers Data'!$B$4:$G$8,5,FALSE))</f>
        <v/>
      </c>
      <c r="AF77" s="507" t="str">
        <f t="shared" ref="AF77:AF140" si="13">IF(N77="","",IF(AC77="Check Data ⚠","Check Data ⚠",IF(T77="","",IF($AB77="Check details - Is there evidence that habitat has reached target condition? ⚠","Low Difficulty - only applicable if all habitat created before losses ⚠","Standard difficulty applied"))))</f>
        <v/>
      </c>
      <c r="AG77" s="540" t="str">
        <f t="shared" ref="AG77:AG140" si="14">(IF(AND(AF77="Standard difficulty applied",Y77&gt;Z77),AE77,IF(AND(AF77="Low Difficulty - only applicable if all habitat created before losses ⚠",Z77&gt;=Y77),"Low",AE77)))</f>
        <v/>
      </c>
      <c r="AH77" s="499" t="str">
        <f t="shared" si="8"/>
        <v/>
      </c>
      <c r="AI77" s="145"/>
      <c r="AJ77" s="499" t="str">
        <f>IF(AI77="","",IF(VLOOKUP(AI77,'G-7 Rivers Data'!$AA$4:$AB$7,2,FALSE)=0,"Spatial Data Missing ⚠",VLOOKUP(AI77,'G-7 Rivers Data'!$AA$4:$AB$7,2,FALSE)))</f>
        <v/>
      </c>
      <c r="AK77" s="155"/>
      <c r="AL77" s="499" t="str">
        <f>IF(AK77="","",IF(VLOOKUP(AK77,'G-7 Rivers Data'!$AD$4:$AE$8,2,FALSE)=0,"Spatial Data Missing ⚠",VLOOKUP(AK77,'G-7 Rivers Data'!$AD$4:$AE$8,2,FALSE)))</f>
        <v/>
      </c>
      <c r="AM77" s="545" t="str">
        <f t="shared" si="7"/>
        <v/>
      </c>
      <c r="AN77" s="149"/>
      <c r="AO77" s="150"/>
      <c r="AV77" s="31" t="str">
        <f>IFERROR(INDEX('G-7 Rivers Data'!$AZ$3:$AZ$7,MATCH(N77,'G-7 Rivers Data'!$AY$3:$AY$7,0)),"")</f>
        <v/>
      </c>
    </row>
    <row r="78" spans="2:48" ht="14" x14ac:dyDescent="0.3">
      <c r="B78" s="531" t="str">
        <f>'C-1 Site River Baseline'!AN76</f>
        <v/>
      </c>
      <c r="C78" s="520" t="str">
        <f>IF(B78="","",VLOOKUP($B78,'C-1 Site River Baseline'!$C$9:$R$257,2,FALSE))</f>
        <v/>
      </c>
      <c r="D78" s="520" t="str">
        <f>IF(C78="","",VLOOKUP($B78,'C-1 Site River Baseline'!$C$9:$R$257,3,FALSE))</f>
        <v/>
      </c>
      <c r="E78" s="520" t="str">
        <f>IF(D78="","",VLOOKUP($B78,'C-1 Site River Baseline'!$C$9:$R$257,4,FALSE))</f>
        <v/>
      </c>
      <c r="F78" s="520" t="str">
        <f>IF(E78="","",VLOOKUP($B78,'C-1 Site River Baseline'!$C$9:$R$257,5,FALSE))</f>
        <v/>
      </c>
      <c r="G78" s="520" t="str">
        <f>IF(F78="","",VLOOKUP($B78,'C-1 Site River Baseline'!$C$9:$R$257,6,FALSE))</f>
        <v/>
      </c>
      <c r="H78" s="520" t="str">
        <f>IF(G78="","",VLOOKUP($B78,'C-1 Site River Baseline'!$C$9:$R$257,7,FALSE))</f>
        <v/>
      </c>
      <c r="I78" s="520" t="str">
        <f>IF(H78="","",VLOOKUP($B78,'C-1 Site River Baseline'!$C$9:$R$257,8,FALSE))</f>
        <v/>
      </c>
      <c r="J78" s="520" t="str">
        <f>IF(I78="","",VLOOKUP($B78,'C-1 Site River Baseline'!$C$9:$R$257,9,FALSE))</f>
        <v/>
      </c>
      <c r="K78" s="520" t="str">
        <f>IF(J78="","",VLOOKUP($B78,'C-1 Site River Baseline'!$C$9:$R$257,10,FALSE))</f>
        <v/>
      </c>
      <c r="L78" s="520" t="str">
        <f>IF(B78="","",VLOOKUP($B78,'C-1 Site River Baseline'!$C$9:$R$257,15,FALSE))</f>
        <v/>
      </c>
      <c r="M78" s="524" t="str">
        <f>IF(L78="","",VLOOKUP($B78,'C-1 Site River Baseline'!$C$9:$R$257,16,FALSE))</f>
        <v/>
      </c>
      <c r="N78" s="418" t="str">
        <f t="shared" si="9"/>
        <v/>
      </c>
      <c r="O78" s="498" t="str">
        <f t="shared" si="10"/>
        <v/>
      </c>
      <c r="P78" s="499" t="str">
        <f>IF(C78="","",IF(AND(LEFT(C78,55)&lt;&gt;LEFT(N78,55),O78="High - High"),"Error - Not like for like ▲",IF(AND(F78=S78,H78&gt;U78),"Error - Can not reduce condition ▲",IF(AND(F78=S78,H78=U78,AJ78='C-1 Site River Baseline'!N76,'C-1 Site River Baseline'!P76=AL78),"Error - No enhancement ▲",IF(AND(C78&lt;&gt;N78,F78&lt;S78),"Lower Distinctiveness Habitat"&amp;" - "&amp;T78,G78&amp;" - "&amp;T78)))))</f>
        <v/>
      </c>
      <c r="Q78" s="567" t="str">
        <f>IF(N78="","",VLOOKUP(B78,'C-1 Site River Baseline'!$C$10:$AA$257,19,FALSE))</f>
        <v/>
      </c>
      <c r="R78" s="498" t="str">
        <f>IF(N78="","",VLOOKUP(N78,'G-7 Rivers Data'!$B$2:$G$8,2,FALSE))</f>
        <v/>
      </c>
      <c r="S78" s="499" t="str">
        <f>IFERROR(VLOOKUP(R78,'G-7 Rivers Data'!$C$4:$D$8,2,FALSE),"")</f>
        <v/>
      </c>
      <c r="T78" s="145"/>
      <c r="U78" s="499" t="str">
        <f>IFERROR(INDEX('G-7 Rivers Data'!$H$4:$L$8,MATCH(N78,'G-7 Rivers Data'!$B$4:$B$8,0),MATCH(T78,'G-7 Rivers Data'!$H$3:$L$3,0)),"")</f>
        <v/>
      </c>
      <c r="V78" s="154"/>
      <c r="W78" s="507" t="str">
        <f>IF(V78="","",IF(VLOOKUP(V78,'G-7 Rivers Data'!$AG$4:$AI$9,2,FALSE)=0,"Spatial Data Missing ⚠",VLOOKUP(V78,'G-7 Rivers Data'!$AG$4:$AI$9,2,FALSE)))</f>
        <v/>
      </c>
      <c r="X78" s="499" t="str">
        <f>IF(V78="","",IF(VLOOKUP(V78,'G-7 Rivers Data'!$AG$4:$AI$9,3,FALSE)=0,"Spatial Data Missing ⚠",VLOOKUP(V78,'G-7 Rivers Data'!$AG$4:$AI$9,3,FALSE)))</f>
        <v/>
      </c>
      <c r="Y78" s="498" t="str">
        <f>IFERROR(IF(OR(LEFT(P78,5)="Error ▲",LEFT(O78,5)="Error ▲"),"Check Data ⚠",IF(F78&lt;S78,'G-7 Rivers Data'!$R$3,INDEX('G-7 Rivers Data'!$U$5:$Y$9,MATCH(G78,'G-7 Rivers Data'!$T$5:$T$9,0),MATCH(T78,'G-7 Rivers Data'!$U$4:$Y$4,0)))),"")</f>
        <v/>
      </c>
      <c r="Z78" s="195"/>
      <c r="AA78" s="195"/>
      <c r="AB78" s="507" t="str">
        <f t="shared" si="11"/>
        <v/>
      </c>
      <c r="AC78" s="521" t="str">
        <f t="shared" si="12"/>
        <v/>
      </c>
      <c r="AD78" s="564" t="str">
        <f>IFERROR(IF(AC78="Check Data ⚠","Check Data ⚠",VLOOKUP(AC78,'G-4 Temporal multipliers'!$A$4:$C$37,3,FALSE)),"")</f>
        <v/>
      </c>
      <c r="AE78" s="498" t="str">
        <f>IF(N78="","",VLOOKUP(N78,'G-7 Rivers Data'!$B$4:$G$8,5,FALSE))</f>
        <v/>
      </c>
      <c r="AF78" s="507" t="str">
        <f t="shared" si="13"/>
        <v/>
      </c>
      <c r="AG78" s="540" t="str">
        <f t="shared" si="14"/>
        <v/>
      </c>
      <c r="AH78" s="499" t="str">
        <f t="shared" si="8"/>
        <v/>
      </c>
      <c r="AI78" s="145"/>
      <c r="AJ78" s="499" t="str">
        <f>IF(AI78="","",IF(VLOOKUP(AI78,'G-7 Rivers Data'!$AA$4:$AB$7,2,FALSE)=0,"Spatial Data Missing ⚠",VLOOKUP(AI78,'G-7 Rivers Data'!$AA$4:$AB$7,2,FALSE)))</f>
        <v/>
      </c>
      <c r="AK78" s="155"/>
      <c r="AL78" s="499" t="str">
        <f>IF(AK78="","",IF(VLOOKUP(AK78,'G-7 Rivers Data'!$AD$4:$AE$8,2,FALSE)=0,"Spatial Data Missing ⚠",VLOOKUP(AK78,'G-7 Rivers Data'!$AD$4:$AE$8,2,FALSE)))</f>
        <v/>
      </c>
      <c r="AM78" s="545" t="str">
        <f t="shared" ref="AM78:AM141" si="15">IFERROR(IF(C78="","",IF(Q78&gt;D78,((((Q78*S78*U78)-(D78*F78*H78))*(AH78*AD78))+(D78*F78*H78))*(AL78*X78*AJ78),((((Q78*S78*U78)-(Q78*F78*H78))*(AH78*AD78))+(Q78*F78*H78))*(AL78*X78*AJ78))),"")</f>
        <v/>
      </c>
      <c r="AN78" s="149"/>
      <c r="AO78" s="150"/>
      <c r="AV78" s="31" t="str">
        <f>IFERROR(INDEX('G-7 Rivers Data'!$AZ$3:$AZ$7,MATCH(N78,'G-7 Rivers Data'!$AY$3:$AY$7,0)),"")</f>
        <v/>
      </c>
    </row>
    <row r="79" spans="2:48" ht="14" x14ac:dyDescent="0.3">
      <c r="B79" s="531" t="str">
        <f>'C-1 Site River Baseline'!AN77</f>
        <v/>
      </c>
      <c r="C79" s="520" t="str">
        <f>IF(B79="","",VLOOKUP($B79,'C-1 Site River Baseline'!$C$9:$R$257,2,FALSE))</f>
        <v/>
      </c>
      <c r="D79" s="520" t="str">
        <f>IF(C79="","",VLOOKUP($B79,'C-1 Site River Baseline'!$C$9:$R$257,3,FALSE))</f>
        <v/>
      </c>
      <c r="E79" s="520" t="str">
        <f>IF(D79="","",VLOOKUP($B79,'C-1 Site River Baseline'!$C$9:$R$257,4,FALSE))</f>
        <v/>
      </c>
      <c r="F79" s="520" t="str">
        <f>IF(E79="","",VLOOKUP($B79,'C-1 Site River Baseline'!$C$9:$R$257,5,FALSE))</f>
        <v/>
      </c>
      <c r="G79" s="520" t="str">
        <f>IF(F79="","",VLOOKUP($B79,'C-1 Site River Baseline'!$C$9:$R$257,6,FALSE))</f>
        <v/>
      </c>
      <c r="H79" s="520" t="str">
        <f>IF(G79="","",VLOOKUP($B79,'C-1 Site River Baseline'!$C$9:$R$257,7,FALSE))</f>
        <v/>
      </c>
      <c r="I79" s="520" t="str">
        <f>IF(H79="","",VLOOKUP($B79,'C-1 Site River Baseline'!$C$9:$R$257,8,FALSE))</f>
        <v/>
      </c>
      <c r="J79" s="520" t="str">
        <f>IF(I79="","",VLOOKUP($B79,'C-1 Site River Baseline'!$C$9:$R$257,9,FALSE))</f>
        <v/>
      </c>
      <c r="K79" s="520" t="str">
        <f>IF(J79="","",VLOOKUP($B79,'C-1 Site River Baseline'!$C$9:$R$257,10,FALSE))</f>
        <v/>
      </c>
      <c r="L79" s="520" t="str">
        <f>IF(B79="","",VLOOKUP($B79,'C-1 Site River Baseline'!$C$9:$R$257,15,FALSE))</f>
        <v/>
      </c>
      <c r="M79" s="524" t="str">
        <f>IF(L79="","",VLOOKUP($B79,'C-1 Site River Baseline'!$C$9:$R$257,16,FALSE))</f>
        <v/>
      </c>
      <c r="N79" s="418" t="str">
        <f t="shared" si="9"/>
        <v/>
      </c>
      <c r="O79" s="498" t="str">
        <f t="shared" si="10"/>
        <v/>
      </c>
      <c r="P79" s="499" t="str">
        <f>IF(C79="","",IF(AND(LEFT(C79,55)&lt;&gt;LEFT(N79,55),O79="High - High"),"Error - Not like for like ▲",IF(AND(F79=S79,H79&gt;U79),"Error - Can not reduce condition ▲",IF(AND(F79=S79,H79=U79,AJ79='C-1 Site River Baseline'!N77,'C-1 Site River Baseline'!P77=AL79),"Error - No enhancement ▲",IF(AND(C79&lt;&gt;N79,F79&lt;S79),"Lower Distinctiveness Habitat"&amp;" - "&amp;T79,G79&amp;" - "&amp;T79)))))</f>
        <v/>
      </c>
      <c r="Q79" s="567" t="str">
        <f>IF(N79="","",VLOOKUP(B79,'C-1 Site River Baseline'!$C$10:$AA$257,19,FALSE))</f>
        <v/>
      </c>
      <c r="R79" s="498" t="str">
        <f>IF(N79="","",VLOOKUP(N79,'G-7 Rivers Data'!$B$2:$G$8,2,FALSE))</f>
        <v/>
      </c>
      <c r="S79" s="499" t="str">
        <f>IFERROR(VLOOKUP(R79,'G-7 Rivers Data'!$C$4:$D$8,2,FALSE),"")</f>
        <v/>
      </c>
      <c r="T79" s="145"/>
      <c r="U79" s="499" t="str">
        <f>IFERROR(INDEX('G-7 Rivers Data'!$H$4:$L$8,MATCH(N79,'G-7 Rivers Data'!$B$4:$B$8,0),MATCH(T79,'G-7 Rivers Data'!$H$3:$L$3,0)),"")</f>
        <v/>
      </c>
      <c r="V79" s="154"/>
      <c r="W79" s="507" t="str">
        <f>IF(V79="","",IF(VLOOKUP(V79,'G-7 Rivers Data'!$AG$4:$AI$9,2,FALSE)=0,"Spatial Data Missing ⚠",VLOOKUP(V79,'G-7 Rivers Data'!$AG$4:$AI$9,2,FALSE)))</f>
        <v/>
      </c>
      <c r="X79" s="499" t="str">
        <f>IF(V79="","",IF(VLOOKUP(V79,'G-7 Rivers Data'!$AG$4:$AI$9,3,FALSE)=0,"Spatial Data Missing ⚠",VLOOKUP(V79,'G-7 Rivers Data'!$AG$4:$AI$9,3,FALSE)))</f>
        <v/>
      </c>
      <c r="Y79" s="498" t="str">
        <f>IFERROR(IF(OR(LEFT(P79,5)="Error ▲",LEFT(O79,5)="Error ▲"),"Check Data ⚠",IF(F79&lt;S79,'G-7 Rivers Data'!$R$3,INDEX('G-7 Rivers Data'!$U$5:$Y$9,MATCH(G79,'G-7 Rivers Data'!$T$5:$T$9,0),MATCH(T79,'G-7 Rivers Data'!$U$4:$Y$4,0)))),"")</f>
        <v/>
      </c>
      <c r="Z79" s="195"/>
      <c r="AA79" s="195"/>
      <c r="AB79" s="507" t="str">
        <f t="shared" si="11"/>
        <v/>
      </c>
      <c r="AC79" s="521" t="str">
        <f t="shared" si="12"/>
        <v/>
      </c>
      <c r="AD79" s="564" t="str">
        <f>IFERROR(IF(AC79="Check Data ⚠","Check Data ⚠",VLOOKUP(AC79,'G-4 Temporal multipliers'!$A$4:$C$37,3,FALSE)),"")</f>
        <v/>
      </c>
      <c r="AE79" s="498" t="str">
        <f>IF(N79="","",VLOOKUP(N79,'G-7 Rivers Data'!$B$4:$G$8,5,FALSE))</f>
        <v/>
      </c>
      <c r="AF79" s="507" t="str">
        <f t="shared" si="13"/>
        <v/>
      </c>
      <c r="AG79" s="540" t="str">
        <f t="shared" si="14"/>
        <v/>
      </c>
      <c r="AH79" s="499" t="str">
        <f t="shared" si="8"/>
        <v/>
      </c>
      <c r="AI79" s="145"/>
      <c r="AJ79" s="499" t="str">
        <f>IF(AI79="","",IF(VLOOKUP(AI79,'G-7 Rivers Data'!$AA$4:$AB$7,2,FALSE)=0,"Spatial Data Missing ⚠",VLOOKUP(AI79,'G-7 Rivers Data'!$AA$4:$AB$7,2,FALSE)))</f>
        <v/>
      </c>
      <c r="AK79" s="155"/>
      <c r="AL79" s="499" t="str">
        <f>IF(AK79="","",IF(VLOOKUP(AK79,'G-7 Rivers Data'!$AD$4:$AE$8,2,FALSE)=0,"Spatial Data Missing ⚠",VLOOKUP(AK79,'G-7 Rivers Data'!$AD$4:$AE$8,2,FALSE)))</f>
        <v/>
      </c>
      <c r="AM79" s="545" t="str">
        <f t="shared" si="15"/>
        <v/>
      </c>
      <c r="AN79" s="149"/>
      <c r="AO79" s="150"/>
      <c r="AV79" s="31" t="str">
        <f>IFERROR(INDEX('G-7 Rivers Data'!$AZ$3:$AZ$7,MATCH(N79,'G-7 Rivers Data'!$AY$3:$AY$7,0)),"")</f>
        <v/>
      </c>
    </row>
    <row r="80" spans="2:48" ht="14" x14ac:dyDescent="0.3">
      <c r="B80" s="531" t="str">
        <f>'C-1 Site River Baseline'!AN78</f>
        <v/>
      </c>
      <c r="C80" s="520" t="str">
        <f>IF(B80="","",VLOOKUP($B80,'C-1 Site River Baseline'!$C$9:$R$257,2,FALSE))</f>
        <v/>
      </c>
      <c r="D80" s="520" t="str">
        <f>IF(C80="","",VLOOKUP($B80,'C-1 Site River Baseline'!$C$9:$R$257,3,FALSE))</f>
        <v/>
      </c>
      <c r="E80" s="520" t="str">
        <f>IF(D80="","",VLOOKUP($B80,'C-1 Site River Baseline'!$C$9:$R$257,4,FALSE))</f>
        <v/>
      </c>
      <c r="F80" s="520" t="str">
        <f>IF(E80="","",VLOOKUP($B80,'C-1 Site River Baseline'!$C$9:$R$257,5,FALSE))</f>
        <v/>
      </c>
      <c r="G80" s="520" t="str">
        <f>IF(F80="","",VLOOKUP($B80,'C-1 Site River Baseline'!$C$9:$R$257,6,FALSE))</f>
        <v/>
      </c>
      <c r="H80" s="520" t="str">
        <f>IF(G80="","",VLOOKUP($B80,'C-1 Site River Baseline'!$C$9:$R$257,7,FALSE))</f>
        <v/>
      </c>
      <c r="I80" s="520" t="str">
        <f>IF(H80="","",VLOOKUP($B80,'C-1 Site River Baseline'!$C$9:$R$257,8,FALSE))</f>
        <v/>
      </c>
      <c r="J80" s="520" t="str">
        <f>IF(I80="","",VLOOKUP($B80,'C-1 Site River Baseline'!$C$9:$R$257,9,FALSE))</f>
        <v/>
      </c>
      <c r="K80" s="520" t="str">
        <f>IF(J80="","",VLOOKUP($B80,'C-1 Site River Baseline'!$C$9:$R$257,10,FALSE))</f>
        <v/>
      </c>
      <c r="L80" s="520" t="str">
        <f>IF(B80="","",VLOOKUP($B80,'C-1 Site River Baseline'!$C$9:$R$257,15,FALSE))</f>
        <v/>
      </c>
      <c r="M80" s="524" t="str">
        <f>IF(L80="","",VLOOKUP($B80,'C-1 Site River Baseline'!$C$9:$R$257,16,FALSE))</f>
        <v/>
      </c>
      <c r="N80" s="418" t="str">
        <f t="shared" si="9"/>
        <v/>
      </c>
      <c r="O80" s="498" t="str">
        <f t="shared" si="10"/>
        <v/>
      </c>
      <c r="P80" s="499" t="str">
        <f>IF(C80="","",IF(AND(LEFT(C80,55)&lt;&gt;LEFT(N80,55),O80="High - High"),"Error - Not like for like ▲",IF(AND(F80=S80,H80&gt;U80),"Error - Can not reduce condition ▲",IF(AND(F80=S80,H80=U80,AJ80='C-1 Site River Baseline'!N78,'C-1 Site River Baseline'!P78=AL80),"Error - No enhancement ▲",IF(AND(C80&lt;&gt;N80,F80&lt;S80),"Lower Distinctiveness Habitat"&amp;" - "&amp;T80,G80&amp;" - "&amp;T80)))))</f>
        <v/>
      </c>
      <c r="Q80" s="567" t="str">
        <f>IF(N80="","",VLOOKUP(B80,'C-1 Site River Baseline'!$C$10:$AA$257,19,FALSE))</f>
        <v/>
      </c>
      <c r="R80" s="498" t="str">
        <f>IF(N80="","",VLOOKUP(N80,'G-7 Rivers Data'!$B$2:$G$8,2,FALSE))</f>
        <v/>
      </c>
      <c r="S80" s="499" t="str">
        <f>IFERROR(VLOOKUP(R80,'G-7 Rivers Data'!$C$4:$D$8,2,FALSE),"")</f>
        <v/>
      </c>
      <c r="T80" s="145"/>
      <c r="U80" s="499" t="str">
        <f>IFERROR(INDEX('G-7 Rivers Data'!$H$4:$L$8,MATCH(N80,'G-7 Rivers Data'!$B$4:$B$8,0),MATCH(T80,'G-7 Rivers Data'!$H$3:$L$3,0)),"")</f>
        <v/>
      </c>
      <c r="V80" s="154"/>
      <c r="W80" s="507" t="str">
        <f>IF(V80="","",IF(VLOOKUP(V80,'G-7 Rivers Data'!$AG$4:$AI$9,2,FALSE)=0,"Spatial Data Missing ⚠",VLOOKUP(V80,'G-7 Rivers Data'!$AG$4:$AI$9,2,FALSE)))</f>
        <v/>
      </c>
      <c r="X80" s="499" t="str">
        <f>IF(V80="","",IF(VLOOKUP(V80,'G-7 Rivers Data'!$AG$4:$AI$9,3,FALSE)=0,"Spatial Data Missing ⚠",VLOOKUP(V80,'G-7 Rivers Data'!$AG$4:$AI$9,3,FALSE)))</f>
        <v/>
      </c>
      <c r="Y80" s="498" t="str">
        <f>IFERROR(IF(OR(LEFT(P80,5)="Error ▲",LEFT(O80,5)="Error ▲"),"Check Data ⚠",IF(F80&lt;S80,'G-7 Rivers Data'!$R$3,INDEX('G-7 Rivers Data'!$U$5:$Y$9,MATCH(G80,'G-7 Rivers Data'!$T$5:$T$9,0),MATCH(T80,'G-7 Rivers Data'!$U$4:$Y$4,0)))),"")</f>
        <v/>
      </c>
      <c r="Z80" s="195"/>
      <c r="AA80" s="195"/>
      <c r="AB80" s="507" t="str">
        <f t="shared" si="11"/>
        <v/>
      </c>
      <c r="AC80" s="521" t="str">
        <f t="shared" si="12"/>
        <v/>
      </c>
      <c r="AD80" s="564" t="str">
        <f>IFERROR(IF(AC80="Check Data ⚠","Check Data ⚠",VLOOKUP(AC80,'G-4 Temporal multipliers'!$A$4:$C$37,3,FALSE)),"")</f>
        <v/>
      </c>
      <c r="AE80" s="498" t="str">
        <f>IF(N80="","",VLOOKUP(N80,'G-7 Rivers Data'!$B$4:$G$8,5,FALSE))</f>
        <v/>
      </c>
      <c r="AF80" s="507" t="str">
        <f t="shared" si="13"/>
        <v/>
      </c>
      <c r="AG80" s="540" t="str">
        <f t="shared" si="14"/>
        <v/>
      </c>
      <c r="AH80" s="499" t="str">
        <f t="shared" si="8"/>
        <v/>
      </c>
      <c r="AI80" s="145"/>
      <c r="AJ80" s="499" t="str">
        <f>IF(AI80="","",IF(VLOOKUP(AI80,'G-7 Rivers Data'!$AA$4:$AB$7,2,FALSE)=0,"Spatial Data Missing ⚠",VLOOKUP(AI80,'G-7 Rivers Data'!$AA$4:$AB$7,2,FALSE)))</f>
        <v/>
      </c>
      <c r="AK80" s="155"/>
      <c r="AL80" s="499" t="str">
        <f>IF(AK80="","",IF(VLOOKUP(AK80,'G-7 Rivers Data'!$AD$4:$AE$8,2,FALSE)=0,"Spatial Data Missing ⚠",VLOOKUP(AK80,'G-7 Rivers Data'!$AD$4:$AE$8,2,FALSE)))</f>
        <v/>
      </c>
      <c r="AM80" s="545" t="str">
        <f t="shared" si="15"/>
        <v/>
      </c>
      <c r="AN80" s="149"/>
      <c r="AO80" s="150"/>
      <c r="AV80" s="31" t="str">
        <f>IFERROR(INDEX('G-7 Rivers Data'!$AZ$3:$AZ$7,MATCH(N80,'G-7 Rivers Data'!$AY$3:$AY$7,0)),"")</f>
        <v/>
      </c>
    </row>
    <row r="81" spans="2:48" ht="14" x14ac:dyDescent="0.3">
      <c r="B81" s="531" t="str">
        <f>'C-1 Site River Baseline'!AN79</f>
        <v/>
      </c>
      <c r="C81" s="520" t="str">
        <f>IF(B81="","",VLOOKUP($B81,'C-1 Site River Baseline'!$C$9:$R$257,2,FALSE))</f>
        <v/>
      </c>
      <c r="D81" s="520" t="str">
        <f>IF(C81="","",VLOOKUP($B81,'C-1 Site River Baseline'!$C$9:$R$257,3,FALSE))</f>
        <v/>
      </c>
      <c r="E81" s="520" t="str">
        <f>IF(D81="","",VLOOKUP($B81,'C-1 Site River Baseline'!$C$9:$R$257,4,FALSE))</f>
        <v/>
      </c>
      <c r="F81" s="520" t="str">
        <f>IF(E81="","",VLOOKUP($B81,'C-1 Site River Baseline'!$C$9:$R$257,5,FALSE))</f>
        <v/>
      </c>
      <c r="G81" s="520" t="str">
        <f>IF(F81="","",VLOOKUP($B81,'C-1 Site River Baseline'!$C$9:$R$257,6,FALSE))</f>
        <v/>
      </c>
      <c r="H81" s="520" t="str">
        <f>IF(G81="","",VLOOKUP($B81,'C-1 Site River Baseline'!$C$9:$R$257,7,FALSE))</f>
        <v/>
      </c>
      <c r="I81" s="520" t="str">
        <f>IF(H81="","",VLOOKUP($B81,'C-1 Site River Baseline'!$C$9:$R$257,8,FALSE))</f>
        <v/>
      </c>
      <c r="J81" s="520" t="str">
        <f>IF(I81="","",VLOOKUP($B81,'C-1 Site River Baseline'!$C$9:$R$257,9,FALSE))</f>
        <v/>
      </c>
      <c r="K81" s="520" t="str">
        <f>IF(J81="","",VLOOKUP($B81,'C-1 Site River Baseline'!$C$9:$R$257,10,FALSE))</f>
        <v/>
      </c>
      <c r="L81" s="520" t="str">
        <f>IF(B81="","",VLOOKUP($B81,'C-1 Site River Baseline'!$C$9:$R$257,15,FALSE))</f>
        <v/>
      </c>
      <c r="M81" s="524" t="str">
        <f>IF(L81="","",VLOOKUP($B81,'C-1 Site River Baseline'!$C$9:$R$257,16,FALSE))</f>
        <v/>
      </c>
      <c r="N81" s="418" t="str">
        <f t="shared" si="9"/>
        <v/>
      </c>
      <c r="O81" s="498" t="str">
        <f t="shared" si="10"/>
        <v/>
      </c>
      <c r="P81" s="499" t="str">
        <f>IF(C81="","",IF(AND(LEFT(C81,55)&lt;&gt;LEFT(N81,55),O81="High - High"),"Error - Not like for like ▲",IF(AND(F81=S81,H81&gt;U81),"Error - Can not reduce condition ▲",IF(AND(F81=S81,H81=U81,AJ81='C-1 Site River Baseline'!N79,'C-1 Site River Baseline'!P79=AL81),"Error - No enhancement ▲",IF(AND(C81&lt;&gt;N81,F81&lt;S81),"Lower Distinctiveness Habitat"&amp;" - "&amp;T81,G81&amp;" - "&amp;T81)))))</f>
        <v/>
      </c>
      <c r="Q81" s="567" t="str">
        <f>IF(N81="","",VLOOKUP(B81,'C-1 Site River Baseline'!$C$10:$AA$257,19,FALSE))</f>
        <v/>
      </c>
      <c r="R81" s="498" t="str">
        <f>IF(N81="","",VLOOKUP(N81,'G-7 Rivers Data'!$B$2:$G$8,2,FALSE))</f>
        <v/>
      </c>
      <c r="S81" s="499" t="str">
        <f>IFERROR(VLOOKUP(R81,'G-7 Rivers Data'!$C$4:$D$8,2,FALSE),"")</f>
        <v/>
      </c>
      <c r="T81" s="145"/>
      <c r="U81" s="499" t="str">
        <f>IFERROR(INDEX('G-7 Rivers Data'!$H$4:$L$8,MATCH(N81,'G-7 Rivers Data'!$B$4:$B$8,0),MATCH(T81,'G-7 Rivers Data'!$H$3:$L$3,0)),"")</f>
        <v/>
      </c>
      <c r="V81" s="154"/>
      <c r="W81" s="507" t="str">
        <f>IF(V81="","",IF(VLOOKUP(V81,'G-7 Rivers Data'!$AG$4:$AI$9,2,FALSE)=0,"Spatial Data Missing ⚠",VLOOKUP(V81,'G-7 Rivers Data'!$AG$4:$AI$9,2,FALSE)))</f>
        <v/>
      </c>
      <c r="X81" s="499" t="str">
        <f>IF(V81="","",IF(VLOOKUP(V81,'G-7 Rivers Data'!$AG$4:$AI$9,3,FALSE)=0,"Spatial Data Missing ⚠",VLOOKUP(V81,'G-7 Rivers Data'!$AG$4:$AI$9,3,FALSE)))</f>
        <v/>
      </c>
      <c r="Y81" s="498" t="str">
        <f>IFERROR(IF(OR(LEFT(P81,5)="Error ▲",LEFT(O81,5)="Error ▲"),"Check Data ⚠",IF(F81&lt;S81,'G-7 Rivers Data'!$R$3,INDEX('G-7 Rivers Data'!$U$5:$Y$9,MATCH(G81,'G-7 Rivers Data'!$T$5:$T$9,0),MATCH(T81,'G-7 Rivers Data'!$U$4:$Y$4,0)))),"")</f>
        <v/>
      </c>
      <c r="Z81" s="195"/>
      <c r="AA81" s="195"/>
      <c r="AB81" s="507" t="str">
        <f t="shared" si="11"/>
        <v/>
      </c>
      <c r="AC81" s="521" t="str">
        <f t="shared" si="12"/>
        <v/>
      </c>
      <c r="AD81" s="564" t="str">
        <f>IFERROR(IF(AC81="Check Data ⚠","Check Data ⚠",VLOOKUP(AC81,'G-4 Temporal multipliers'!$A$4:$C$37,3,FALSE)),"")</f>
        <v/>
      </c>
      <c r="AE81" s="498" t="str">
        <f>IF(N81="","",VLOOKUP(N81,'G-7 Rivers Data'!$B$4:$G$8,5,FALSE))</f>
        <v/>
      </c>
      <c r="AF81" s="507" t="str">
        <f t="shared" si="13"/>
        <v/>
      </c>
      <c r="AG81" s="540" t="str">
        <f t="shared" si="14"/>
        <v/>
      </c>
      <c r="AH81" s="499" t="str">
        <f t="shared" si="8"/>
        <v/>
      </c>
      <c r="AI81" s="145"/>
      <c r="AJ81" s="499" t="str">
        <f>IF(AI81="","",IF(VLOOKUP(AI81,'G-7 Rivers Data'!$AA$4:$AB$7,2,FALSE)=0,"Spatial Data Missing ⚠",VLOOKUP(AI81,'G-7 Rivers Data'!$AA$4:$AB$7,2,FALSE)))</f>
        <v/>
      </c>
      <c r="AK81" s="155"/>
      <c r="AL81" s="499" t="str">
        <f>IF(AK81="","",IF(VLOOKUP(AK81,'G-7 Rivers Data'!$AD$4:$AE$8,2,FALSE)=0,"Spatial Data Missing ⚠",VLOOKUP(AK81,'G-7 Rivers Data'!$AD$4:$AE$8,2,FALSE)))</f>
        <v/>
      </c>
      <c r="AM81" s="545" t="str">
        <f t="shared" si="15"/>
        <v/>
      </c>
      <c r="AN81" s="149"/>
      <c r="AO81" s="150"/>
      <c r="AV81" s="31" t="str">
        <f>IFERROR(INDEX('G-7 Rivers Data'!$AZ$3:$AZ$7,MATCH(N81,'G-7 Rivers Data'!$AY$3:$AY$7,0)),"")</f>
        <v/>
      </c>
    </row>
    <row r="82" spans="2:48" ht="14" x14ac:dyDescent="0.3">
      <c r="B82" s="531" t="str">
        <f>'C-1 Site River Baseline'!AN80</f>
        <v/>
      </c>
      <c r="C82" s="520" t="str">
        <f>IF(B82="","",VLOOKUP($B82,'C-1 Site River Baseline'!$C$9:$R$257,2,FALSE))</f>
        <v/>
      </c>
      <c r="D82" s="520" t="str">
        <f>IF(C82="","",VLOOKUP($B82,'C-1 Site River Baseline'!$C$9:$R$257,3,FALSE))</f>
        <v/>
      </c>
      <c r="E82" s="520" t="str">
        <f>IF(D82="","",VLOOKUP($B82,'C-1 Site River Baseline'!$C$9:$R$257,4,FALSE))</f>
        <v/>
      </c>
      <c r="F82" s="520" t="str">
        <f>IF(E82="","",VLOOKUP($B82,'C-1 Site River Baseline'!$C$9:$R$257,5,FALSE))</f>
        <v/>
      </c>
      <c r="G82" s="520" t="str">
        <f>IF(F82="","",VLOOKUP($B82,'C-1 Site River Baseline'!$C$9:$R$257,6,FALSE))</f>
        <v/>
      </c>
      <c r="H82" s="520" t="str">
        <f>IF(G82="","",VLOOKUP($B82,'C-1 Site River Baseline'!$C$9:$R$257,7,FALSE))</f>
        <v/>
      </c>
      <c r="I82" s="520" t="str">
        <f>IF(H82="","",VLOOKUP($B82,'C-1 Site River Baseline'!$C$9:$R$257,8,FALSE))</f>
        <v/>
      </c>
      <c r="J82" s="520" t="str">
        <f>IF(I82="","",VLOOKUP($B82,'C-1 Site River Baseline'!$C$9:$R$257,9,FALSE))</f>
        <v/>
      </c>
      <c r="K82" s="520" t="str">
        <f>IF(J82="","",VLOOKUP($B82,'C-1 Site River Baseline'!$C$9:$R$257,10,FALSE))</f>
        <v/>
      </c>
      <c r="L82" s="520" t="str">
        <f>IF(B82="","",VLOOKUP($B82,'C-1 Site River Baseline'!$C$9:$R$257,15,FALSE))</f>
        <v/>
      </c>
      <c r="M82" s="524" t="str">
        <f>IF(L82="","",VLOOKUP($B82,'C-1 Site River Baseline'!$C$9:$R$257,16,FALSE))</f>
        <v/>
      </c>
      <c r="N82" s="418" t="str">
        <f t="shared" si="9"/>
        <v/>
      </c>
      <c r="O82" s="498" t="str">
        <f t="shared" si="10"/>
        <v/>
      </c>
      <c r="P82" s="499" t="str">
        <f>IF(C82="","",IF(AND(LEFT(C82,55)&lt;&gt;LEFT(N82,55),O82="High - High"),"Error - Not like for like ▲",IF(AND(F82=S82,H82&gt;U82),"Error - Can not reduce condition ▲",IF(AND(F82=S82,H82=U82,AJ82='C-1 Site River Baseline'!N80,'C-1 Site River Baseline'!P80=AL82),"Error - No enhancement ▲",IF(AND(C82&lt;&gt;N82,F82&lt;S82),"Lower Distinctiveness Habitat"&amp;" - "&amp;T82,G82&amp;" - "&amp;T82)))))</f>
        <v/>
      </c>
      <c r="Q82" s="567" t="str">
        <f>IF(N82="","",VLOOKUP(B82,'C-1 Site River Baseline'!$C$10:$AA$257,19,FALSE))</f>
        <v/>
      </c>
      <c r="R82" s="498" t="str">
        <f>IF(N82="","",VLOOKUP(N82,'G-7 Rivers Data'!$B$2:$G$8,2,FALSE))</f>
        <v/>
      </c>
      <c r="S82" s="499" t="str">
        <f>IFERROR(VLOOKUP(R82,'G-7 Rivers Data'!$C$4:$D$8,2,FALSE),"")</f>
        <v/>
      </c>
      <c r="T82" s="145"/>
      <c r="U82" s="499" t="str">
        <f>IFERROR(INDEX('G-7 Rivers Data'!$H$4:$L$8,MATCH(N82,'G-7 Rivers Data'!$B$4:$B$8,0),MATCH(T82,'G-7 Rivers Data'!$H$3:$L$3,0)),"")</f>
        <v/>
      </c>
      <c r="V82" s="154"/>
      <c r="W82" s="507" t="str">
        <f>IF(V82="","",IF(VLOOKUP(V82,'G-7 Rivers Data'!$AG$4:$AI$9,2,FALSE)=0,"Spatial Data Missing ⚠",VLOOKUP(V82,'G-7 Rivers Data'!$AG$4:$AI$9,2,FALSE)))</f>
        <v/>
      </c>
      <c r="X82" s="499" t="str">
        <f>IF(V82="","",IF(VLOOKUP(V82,'G-7 Rivers Data'!$AG$4:$AI$9,3,FALSE)=0,"Spatial Data Missing ⚠",VLOOKUP(V82,'G-7 Rivers Data'!$AG$4:$AI$9,3,FALSE)))</f>
        <v/>
      </c>
      <c r="Y82" s="498" t="str">
        <f>IFERROR(IF(OR(LEFT(P82,5)="Error ▲",LEFT(O82,5)="Error ▲"),"Check Data ⚠",IF(F82&lt;S82,'G-7 Rivers Data'!$R$3,INDEX('G-7 Rivers Data'!$U$5:$Y$9,MATCH(G82,'G-7 Rivers Data'!$T$5:$T$9,0),MATCH(T82,'G-7 Rivers Data'!$U$4:$Y$4,0)))),"")</f>
        <v/>
      </c>
      <c r="Z82" s="195"/>
      <c r="AA82" s="195"/>
      <c r="AB82" s="507" t="str">
        <f t="shared" si="11"/>
        <v/>
      </c>
      <c r="AC82" s="521" t="str">
        <f t="shared" si="12"/>
        <v/>
      </c>
      <c r="AD82" s="564" t="str">
        <f>IFERROR(IF(AC82="Check Data ⚠","Check Data ⚠",VLOOKUP(AC82,'G-4 Temporal multipliers'!$A$4:$C$37,3,FALSE)),"")</f>
        <v/>
      </c>
      <c r="AE82" s="498" t="str">
        <f>IF(N82="","",VLOOKUP(N82,'G-7 Rivers Data'!$B$4:$G$8,5,FALSE))</f>
        <v/>
      </c>
      <c r="AF82" s="507" t="str">
        <f t="shared" si="13"/>
        <v/>
      </c>
      <c r="AG82" s="540" t="str">
        <f t="shared" si="14"/>
        <v/>
      </c>
      <c r="AH82" s="499" t="str">
        <f t="shared" si="8"/>
        <v/>
      </c>
      <c r="AI82" s="145"/>
      <c r="AJ82" s="499" t="str">
        <f>IF(AI82="","",IF(VLOOKUP(AI82,'G-7 Rivers Data'!$AA$4:$AB$7,2,FALSE)=0,"Spatial Data Missing ⚠",VLOOKUP(AI82,'G-7 Rivers Data'!$AA$4:$AB$7,2,FALSE)))</f>
        <v/>
      </c>
      <c r="AK82" s="155"/>
      <c r="AL82" s="499" t="str">
        <f>IF(AK82="","",IF(VLOOKUP(AK82,'G-7 Rivers Data'!$AD$4:$AE$8,2,FALSE)=0,"Spatial Data Missing ⚠",VLOOKUP(AK82,'G-7 Rivers Data'!$AD$4:$AE$8,2,FALSE)))</f>
        <v/>
      </c>
      <c r="AM82" s="545" t="str">
        <f t="shared" si="15"/>
        <v/>
      </c>
      <c r="AN82" s="149"/>
      <c r="AO82" s="150"/>
      <c r="AV82" s="31" t="str">
        <f>IFERROR(INDEX('G-7 Rivers Data'!$AZ$3:$AZ$7,MATCH(N82,'G-7 Rivers Data'!$AY$3:$AY$7,0)),"")</f>
        <v/>
      </c>
    </row>
    <row r="83" spans="2:48" ht="14" x14ac:dyDescent="0.3">
      <c r="B83" s="531" t="str">
        <f>'C-1 Site River Baseline'!AN81</f>
        <v/>
      </c>
      <c r="C83" s="520" t="str">
        <f>IF(B83="","",VLOOKUP($B83,'C-1 Site River Baseline'!$C$9:$R$257,2,FALSE))</f>
        <v/>
      </c>
      <c r="D83" s="520" t="str">
        <f>IF(C83="","",VLOOKUP($B83,'C-1 Site River Baseline'!$C$9:$R$257,3,FALSE))</f>
        <v/>
      </c>
      <c r="E83" s="520" t="str">
        <f>IF(D83="","",VLOOKUP($B83,'C-1 Site River Baseline'!$C$9:$R$257,4,FALSE))</f>
        <v/>
      </c>
      <c r="F83" s="520" t="str">
        <f>IF(E83="","",VLOOKUP($B83,'C-1 Site River Baseline'!$C$9:$R$257,5,FALSE))</f>
        <v/>
      </c>
      <c r="G83" s="520" t="str">
        <f>IF(F83="","",VLOOKUP($B83,'C-1 Site River Baseline'!$C$9:$R$257,6,FALSE))</f>
        <v/>
      </c>
      <c r="H83" s="520" t="str">
        <f>IF(G83="","",VLOOKUP($B83,'C-1 Site River Baseline'!$C$9:$R$257,7,FALSE))</f>
        <v/>
      </c>
      <c r="I83" s="520" t="str">
        <f>IF(H83="","",VLOOKUP($B83,'C-1 Site River Baseline'!$C$9:$R$257,8,FALSE))</f>
        <v/>
      </c>
      <c r="J83" s="520" t="str">
        <f>IF(I83="","",VLOOKUP($B83,'C-1 Site River Baseline'!$C$9:$R$257,9,FALSE))</f>
        <v/>
      </c>
      <c r="K83" s="520" t="str">
        <f>IF(J83="","",VLOOKUP($B83,'C-1 Site River Baseline'!$C$9:$R$257,10,FALSE))</f>
        <v/>
      </c>
      <c r="L83" s="520" t="str">
        <f>IF(B83="","",VLOOKUP($B83,'C-1 Site River Baseline'!$C$9:$R$257,15,FALSE))</f>
        <v/>
      </c>
      <c r="M83" s="524" t="str">
        <f>IF(L83="","",VLOOKUP($B83,'C-1 Site River Baseline'!$C$9:$R$257,16,FALSE))</f>
        <v/>
      </c>
      <c r="N83" s="418" t="str">
        <f t="shared" si="9"/>
        <v/>
      </c>
      <c r="O83" s="498" t="str">
        <f t="shared" si="10"/>
        <v/>
      </c>
      <c r="P83" s="499" t="str">
        <f>IF(C83="","",IF(AND(LEFT(C83,55)&lt;&gt;LEFT(N83,55),O83="High - High"),"Error - Not like for like ▲",IF(AND(F83=S83,H83&gt;U83),"Error - Can not reduce condition ▲",IF(AND(F83=S83,H83=U83,AJ83='C-1 Site River Baseline'!N81,'C-1 Site River Baseline'!P81=AL83),"Error - No enhancement ▲",IF(AND(C83&lt;&gt;N83,F83&lt;S83),"Lower Distinctiveness Habitat"&amp;" - "&amp;T83,G83&amp;" - "&amp;T83)))))</f>
        <v/>
      </c>
      <c r="Q83" s="567" t="str">
        <f>IF(N83="","",VLOOKUP(B83,'C-1 Site River Baseline'!$C$10:$AA$257,19,FALSE))</f>
        <v/>
      </c>
      <c r="R83" s="498" t="str">
        <f>IF(N83="","",VLOOKUP(N83,'G-7 Rivers Data'!$B$2:$G$8,2,FALSE))</f>
        <v/>
      </c>
      <c r="S83" s="499" t="str">
        <f>IFERROR(VLOOKUP(R83,'G-7 Rivers Data'!$C$4:$D$8,2,FALSE),"")</f>
        <v/>
      </c>
      <c r="T83" s="145"/>
      <c r="U83" s="499" t="str">
        <f>IFERROR(INDEX('G-7 Rivers Data'!$H$4:$L$8,MATCH(N83,'G-7 Rivers Data'!$B$4:$B$8,0),MATCH(T83,'G-7 Rivers Data'!$H$3:$L$3,0)),"")</f>
        <v/>
      </c>
      <c r="V83" s="154"/>
      <c r="W83" s="507" t="str">
        <f>IF(V83="","",IF(VLOOKUP(V83,'G-7 Rivers Data'!$AG$4:$AI$9,2,FALSE)=0,"Spatial Data Missing ⚠",VLOOKUP(V83,'G-7 Rivers Data'!$AG$4:$AI$9,2,FALSE)))</f>
        <v/>
      </c>
      <c r="X83" s="499" t="str">
        <f>IF(V83="","",IF(VLOOKUP(V83,'G-7 Rivers Data'!$AG$4:$AI$9,3,FALSE)=0,"Spatial Data Missing ⚠",VLOOKUP(V83,'G-7 Rivers Data'!$AG$4:$AI$9,3,FALSE)))</f>
        <v/>
      </c>
      <c r="Y83" s="498" t="str">
        <f>IFERROR(IF(OR(LEFT(P83,5)="Error ▲",LEFT(O83,5)="Error ▲"),"Check Data ⚠",IF(F83&lt;S83,'G-7 Rivers Data'!$R$3,INDEX('G-7 Rivers Data'!$U$5:$Y$9,MATCH(G83,'G-7 Rivers Data'!$T$5:$T$9,0),MATCH(T83,'G-7 Rivers Data'!$U$4:$Y$4,0)))),"")</f>
        <v/>
      </c>
      <c r="Z83" s="195"/>
      <c r="AA83" s="195"/>
      <c r="AB83" s="507" t="str">
        <f t="shared" si="11"/>
        <v/>
      </c>
      <c r="AC83" s="521" t="str">
        <f t="shared" si="12"/>
        <v/>
      </c>
      <c r="AD83" s="564" t="str">
        <f>IFERROR(IF(AC83="Check Data ⚠","Check Data ⚠",VLOOKUP(AC83,'G-4 Temporal multipliers'!$A$4:$C$37,3,FALSE)),"")</f>
        <v/>
      </c>
      <c r="AE83" s="498" t="str">
        <f>IF(N83="","",VLOOKUP(N83,'G-7 Rivers Data'!$B$4:$G$8,5,FALSE))</f>
        <v/>
      </c>
      <c r="AF83" s="507" t="str">
        <f t="shared" si="13"/>
        <v/>
      </c>
      <c r="AG83" s="540" t="str">
        <f t="shared" si="14"/>
        <v/>
      </c>
      <c r="AH83" s="499" t="str">
        <f t="shared" si="8"/>
        <v/>
      </c>
      <c r="AI83" s="145"/>
      <c r="AJ83" s="499" t="str">
        <f>IF(AI83="","",IF(VLOOKUP(AI83,'G-7 Rivers Data'!$AA$4:$AB$7,2,FALSE)=0,"Spatial Data Missing ⚠",VLOOKUP(AI83,'G-7 Rivers Data'!$AA$4:$AB$7,2,FALSE)))</f>
        <v/>
      </c>
      <c r="AK83" s="155"/>
      <c r="AL83" s="499" t="str">
        <f>IF(AK83="","",IF(VLOOKUP(AK83,'G-7 Rivers Data'!$AD$4:$AE$8,2,FALSE)=0,"Spatial Data Missing ⚠",VLOOKUP(AK83,'G-7 Rivers Data'!$AD$4:$AE$8,2,FALSE)))</f>
        <v/>
      </c>
      <c r="AM83" s="545" t="str">
        <f t="shared" si="15"/>
        <v/>
      </c>
      <c r="AN83" s="149"/>
      <c r="AO83" s="150"/>
      <c r="AV83" s="31" t="str">
        <f>IFERROR(INDEX('G-7 Rivers Data'!$AZ$3:$AZ$7,MATCH(N83,'G-7 Rivers Data'!$AY$3:$AY$7,0)),"")</f>
        <v/>
      </c>
    </row>
    <row r="84" spans="2:48" ht="14" x14ac:dyDescent="0.3">
      <c r="B84" s="531" t="str">
        <f>'C-1 Site River Baseline'!AN82</f>
        <v/>
      </c>
      <c r="C84" s="520" t="str">
        <f>IF(B84="","",VLOOKUP($B84,'C-1 Site River Baseline'!$C$9:$R$257,2,FALSE))</f>
        <v/>
      </c>
      <c r="D84" s="520" t="str">
        <f>IF(C84="","",VLOOKUP($B84,'C-1 Site River Baseline'!$C$9:$R$257,3,FALSE))</f>
        <v/>
      </c>
      <c r="E84" s="520" t="str">
        <f>IF(D84="","",VLOOKUP($B84,'C-1 Site River Baseline'!$C$9:$R$257,4,FALSE))</f>
        <v/>
      </c>
      <c r="F84" s="520" t="str">
        <f>IF(E84="","",VLOOKUP($B84,'C-1 Site River Baseline'!$C$9:$R$257,5,FALSE))</f>
        <v/>
      </c>
      <c r="G84" s="520" t="str">
        <f>IF(F84="","",VLOOKUP($B84,'C-1 Site River Baseline'!$C$9:$R$257,6,FALSE))</f>
        <v/>
      </c>
      <c r="H84" s="520" t="str">
        <f>IF(G84="","",VLOOKUP($B84,'C-1 Site River Baseline'!$C$9:$R$257,7,FALSE))</f>
        <v/>
      </c>
      <c r="I84" s="520" t="str">
        <f>IF(H84="","",VLOOKUP($B84,'C-1 Site River Baseline'!$C$9:$R$257,8,FALSE))</f>
        <v/>
      </c>
      <c r="J84" s="520" t="str">
        <f>IF(I84="","",VLOOKUP($B84,'C-1 Site River Baseline'!$C$9:$R$257,9,FALSE))</f>
        <v/>
      </c>
      <c r="K84" s="520" t="str">
        <f>IF(J84="","",VLOOKUP($B84,'C-1 Site River Baseline'!$C$9:$R$257,10,FALSE))</f>
        <v/>
      </c>
      <c r="L84" s="520" t="str">
        <f>IF(B84="","",VLOOKUP($B84,'C-1 Site River Baseline'!$C$9:$R$257,15,FALSE))</f>
        <v/>
      </c>
      <c r="M84" s="524" t="str">
        <f>IF(L84="","",VLOOKUP($B84,'C-1 Site River Baseline'!$C$9:$R$257,16,FALSE))</f>
        <v/>
      </c>
      <c r="N84" s="418" t="str">
        <f t="shared" si="9"/>
        <v/>
      </c>
      <c r="O84" s="498" t="str">
        <f t="shared" si="10"/>
        <v/>
      </c>
      <c r="P84" s="499" t="str">
        <f>IF(C84="","",IF(AND(LEFT(C84,55)&lt;&gt;LEFT(N84,55),O84="High - High"),"Error - Not like for like ▲",IF(AND(F84=S84,H84&gt;U84),"Error - Can not reduce condition ▲",IF(AND(F84=S84,H84=U84,AJ84='C-1 Site River Baseline'!N82,'C-1 Site River Baseline'!P82=AL84),"Error - No enhancement ▲",IF(AND(C84&lt;&gt;N84,F84&lt;S84),"Lower Distinctiveness Habitat"&amp;" - "&amp;T84,G84&amp;" - "&amp;T84)))))</f>
        <v/>
      </c>
      <c r="Q84" s="567" t="str">
        <f>IF(N84="","",VLOOKUP(B84,'C-1 Site River Baseline'!$C$10:$AA$257,19,FALSE))</f>
        <v/>
      </c>
      <c r="R84" s="498" t="str">
        <f>IF(N84="","",VLOOKUP(N84,'G-7 Rivers Data'!$B$2:$G$8,2,FALSE))</f>
        <v/>
      </c>
      <c r="S84" s="499" t="str">
        <f>IFERROR(VLOOKUP(R84,'G-7 Rivers Data'!$C$4:$D$8,2,FALSE),"")</f>
        <v/>
      </c>
      <c r="T84" s="145"/>
      <c r="U84" s="499" t="str">
        <f>IFERROR(INDEX('G-7 Rivers Data'!$H$4:$L$8,MATCH(N84,'G-7 Rivers Data'!$B$4:$B$8,0),MATCH(T84,'G-7 Rivers Data'!$H$3:$L$3,0)),"")</f>
        <v/>
      </c>
      <c r="V84" s="154"/>
      <c r="W84" s="507" t="str">
        <f>IF(V84="","",IF(VLOOKUP(V84,'G-7 Rivers Data'!$AG$4:$AI$9,2,FALSE)=0,"Spatial Data Missing ⚠",VLOOKUP(V84,'G-7 Rivers Data'!$AG$4:$AI$9,2,FALSE)))</f>
        <v/>
      </c>
      <c r="X84" s="499" t="str">
        <f>IF(V84="","",IF(VLOOKUP(V84,'G-7 Rivers Data'!$AG$4:$AI$9,3,FALSE)=0,"Spatial Data Missing ⚠",VLOOKUP(V84,'G-7 Rivers Data'!$AG$4:$AI$9,3,FALSE)))</f>
        <v/>
      </c>
      <c r="Y84" s="498" t="str">
        <f>IFERROR(IF(OR(LEFT(P84,5)="Error ▲",LEFT(O84,5)="Error ▲"),"Check Data ⚠",IF(F84&lt;S84,'G-7 Rivers Data'!$R$3,INDEX('G-7 Rivers Data'!$U$5:$Y$9,MATCH(G84,'G-7 Rivers Data'!$T$5:$T$9,0),MATCH(T84,'G-7 Rivers Data'!$U$4:$Y$4,0)))),"")</f>
        <v/>
      </c>
      <c r="Z84" s="195"/>
      <c r="AA84" s="195"/>
      <c r="AB84" s="507" t="str">
        <f t="shared" si="11"/>
        <v/>
      </c>
      <c r="AC84" s="521" t="str">
        <f t="shared" si="12"/>
        <v/>
      </c>
      <c r="AD84" s="564" t="str">
        <f>IFERROR(IF(AC84="Check Data ⚠","Check Data ⚠",VLOOKUP(AC84,'G-4 Temporal multipliers'!$A$4:$C$37,3,FALSE)),"")</f>
        <v/>
      </c>
      <c r="AE84" s="498" t="str">
        <f>IF(N84="","",VLOOKUP(N84,'G-7 Rivers Data'!$B$4:$G$8,5,FALSE))</f>
        <v/>
      </c>
      <c r="AF84" s="507" t="str">
        <f t="shared" si="13"/>
        <v/>
      </c>
      <c r="AG84" s="540" t="str">
        <f t="shared" si="14"/>
        <v/>
      </c>
      <c r="AH84" s="499" t="str">
        <f t="shared" si="8"/>
        <v/>
      </c>
      <c r="AI84" s="145"/>
      <c r="AJ84" s="499" t="str">
        <f>IF(AI84="","",IF(VLOOKUP(AI84,'G-7 Rivers Data'!$AA$4:$AB$7,2,FALSE)=0,"Spatial Data Missing ⚠",VLOOKUP(AI84,'G-7 Rivers Data'!$AA$4:$AB$7,2,FALSE)))</f>
        <v/>
      </c>
      <c r="AK84" s="155"/>
      <c r="AL84" s="499" t="str">
        <f>IF(AK84="","",IF(VLOOKUP(AK84,'G-7 Rivers Data'!$AD$4:$AE$8,2,FALSE)=0,"Spatial Data Missing ⚠",VLOOKUP(AK84,'G-7 Rivers Data'!$AD$4:$AE$8,2,FALSE)))</f>
        <v/>
      </c>
      <c r="AM84" s="545" t="str">
        <f t="shared" si="15"/>
        <v/>
      </c>
      <c r="AN84" s="149"/>
      <c r="AO84" s="150"/>
      <c r="AV84" s="31" t="str">
        <f>IFERROR(INDEX('G-7 Rivers Data'!$AZ$3:$AZ$7,MATCH(N84,'G-7 Rivers Data'!$AY$3:$AY$7,0)),"")</f>
        <v/>
      </c>
    </row>
    <row r="85" spans="2:48" ht="14" x14ac:dyDescent="0.3">
      <c r="B85" s="531" t="str">
        <f>'C-1 Site River Baseline'!AN83</f>
        <v/>
      </c>
      <c r="C85" s="520" t="str">
        <f>IF(B85="","",VLOOKUP($B85,'C-1 Site River Baseline'!$C$9:$R$257,2,FALSE))</f>
        <v/>
      </c>
      <c r="D85" s="520" t="str">
        <f>IF(C85="","",VLOOKUP($B85,'C-1 Site River Baseline'!$C$9:$R$257,3,FALSE))</f>
        <v/>
      </c>
      <c r="E85" s="520" t="str">
        <f>IF(D85="","",VLOOKUP($B85,'C-1 Site River Baseline'!$C$9:$R$257,4,FALSE))</f>
        <v/>
      </c>
      <c r="F85" s="520" t="str">
        <f>IF(E85="","",VLOOKUP($B85,'C-1 Site River Baseline'!$C$9:$R$257,5,FALSE))</f>
        <v/>
      </c>
      <c r="G85" s="520" t="str">
        <f>IF(F85="","",VLOOKUP($B85,'C-1 Site River Baseline'!$C$9:$R$257,6,FALSE))</f>
        <v/>
      </c>
      <c r="H85" s="520" t="str">
        <f>IF(G85="","",VLOOKUP($B85,'C-1 Site River Baseline'!$C$9:$R$257,7,FALSE))</f>
        <v/>
      </c>
      <c r="I85" s="520" t="str">
        <f>IF(H85="","",VLOOKUP($B85,'C-1 Site River Baseline'!$C$9:$R$257,8,FALSE))</f>
        <v/>
      </c>
      <c r="J85" s="520" t="str">
        <f>IF(I85="","",VLOOKUP($B85,'C-1 Site River Baseline'!$C$9:$R$257,9,FALSE))</f>
        <v/>
      </c>
      <c r="K85" s="520" t="str">
        <f>IF(J85="","",VLOOKUP($B85,'C-1 Site River Baseline'!$C$9:$R$257,10,FALSE))</f>
        <v/>
      </c>
      <c r="L85" s="520" t="str">
        <f>IF(B85="","",VLOOKUP($B85,'C-1 Site River Baseline'!$C$9:$R$257,15,FALSE))</f>
        <v/>
      </c>
      <c r="M85" s="524" t="str">
        <f>IF(L85="","",VLOOKUP($B85,'C-1 Site River Baseline'!$C$9:$R$257,16,FALSE))</f>
        <v/>
      </c>
      <c r="N85" s="418" t="str">
        <f t="shared" si="9"/>
        <v/>
      </c>
      <c r="O85" s="498" t="str">
        <f t="shared" si="10"/>
        <v/>
      </c>
      <c r="P85" s="499" t="str">
        <f>IF(C85="","",IF(AND(LEFT(C85,55)&lt;&gt;LEFT(N85,55),O85="High - High"),"Error - Not like for like ▲",IF(AND(F85=S85,H85&gt;U85),"Error - Can not reduce condition ▲",IF(AND(F85=S85,H85=U85,AJ85='C-1 Site River Baseline'!N83,'C-1 Site River Baseline'!P83=AL85),"Error - No enhancement ▲",IF(AND(C85&lt;&gt;N85,F85&lt;S85),"Lower Distinctiveness Habitat"&amp;" - "&amp;T85,G85&amp;" - "&amp;T85)))))</f>
        <v/>
      </c>
      <c r="Q85" s="567" t="str">
        <f>IF(N85="","",VLOOKUP(B85,'C-1 Site River Baseline'!$C$10:$AA$257,19,FALSE))</f>
        <v/>
      </c>
      <c r="R85" s="498" t="str">
        <f>IF(N85="","",VLOOKUP(N85,'G-7 Rivers Data'!$B$2:$G$8,2,FALSE))</f>
        <v/>
      </c>
      <c r="S85" s="499" t="str">
        <f>IFERROR(VLOOKUP(R85,'G-7 Rivers Data'!$C$4:$D$8,2,FALSE),"")</f>
        <v/>
      </c>
      <c r="T85" s="145"/>
      <c r="U85" s="499" t="str">
        <f>IFERROR(INDEX('G-7 Rivers Data'!$H$4:$L$8,MATCH(N85,'G-7 Rivers Data'!$B$4:$B$8,0),MATCH(T85,'G-7 Rivers Data'!$H$3:$L$3,0)),"")</f>
        <v/>
      </c>
      <c r="V85" s="154"/>
      <c r="W85" s="507" t="str">
        <f>IF(V85="","",IF(VLOOKUP(V85,'G-7 Rivers Data'!$AG$4:$AI$9,2,FALSE)=0,"Spatial Data Missing ⚠",VLOOKUP(V85,'G-7 Rivers Data'!$AG$4:$AI$9,2,FALSE)))</f>
        <v/>
      </c>
      <c r="X85" s="499" t="str">
        <f>IF(V85="","",IF(VLOOKUP(V85,'G-7 Rivers Data'!$AG$4:$AI$9,3,FALSE)=0,"Spatial Data Missing ⚠",VLOOKUP(V85,'G-7 Rivers Data'!$AG$4:$AI$9,3,FALSE)))</f>
        <v/>
      </c>
      <c r="Y85" s="498" t="str">
        <f>IFERROR(IF(OR(LEFT(P85,5)="Error ▲",LEFT(O85,5)="Error ▲"),"Check Data ⚠",IF(F85&lt;S85,'G-7 Rivers Data'!$R$3,INDEX('G-7 Rivers Data'!$U$5:$Y$9,MATCH(G85,'G-7 Rivers Data'!$T$5:$T$9,0),MATCH(T85,'G-7 Rivers Data'!$U$4:$Y$4,0)))),"")</f>
        <v/>
      </c>
      <c r="Z85" s="195"/>
      <c r="AA85" s="195"/>
      <c r="AB85" s="507" t="str">
        <f t="shared" si="11"/>
        <v/>
      </c>
      <c r="AC85" s="521" t="str">
        <f t="shared" si="12"/>
        <v/>
      </c>
      <c r="AD85" s="564" t="str">
        <f>IFERROR(IF(AC85="Check Data ⚠","Check Data ⚠",VLOOKUP(AC85,'G-4 Temporal multipliers'!$A$4:$C$37,3,FALSE)),"")</f>
        <v/>
      </c>
      <c r="AE85" s="498" t="str">
        <f>IF(N85="","",VLOOKUP(N85,'G-7 Rivers Data'!$B$4:$G$8,5,FALSE))</f>
        <v/>
      </c>
      <c r="AF85" s="507" t="str">
        <f t="shared" si="13"/>
        <v/>
      </c>
      <c r="AG85" s="540" t="str">
        <f t="shared" si="14"/>
        <v/>
      </c>
      <c r="AH85" s="499" t="str">
        <f t="shared" si="8"/>
        <v/>
      </c>
      <c r="AI85" s="145"/>
      <c r="AJ85" s="499" t="str">
        <f>IF(AI85="","",IF(VLOOKUP(AI85,'G-7 Rivers Data'!$AA$4:$AB$7,2,FALSE)=0,"Spatial Data Missing ⚠",VLOOKUP(AI85,'G-7 Rivers Data'!$AA$4:$AB$7,2,FALSE)))</f>
        <v/>
      </c>
      <c r="AK85" s="155"/>
      <c r="AL85" s="499" t="str">
        <f>IF(AK85="","",IF(VLOOKUP(AK85,'G-7 Rivers Data'!$AD$4:$AE$8,2,FALSE)=0,"Spatial Data Missing ⚠",VLOOKUP(AK85,'G-7 Rivers Data'!$AD$4:$AE$8,2,FALSE)))</f>
        <v/>
      </c>
      <c r="AM85" s="545" t="str">
        <f t="shared" si="15"/>
        <v/>
      </c>
      <c r="AN85" s="149"/>
      <c r="AO85" s="150"/>
      <c r="AV85" s="31" t="str">
        <f>IFERROR(INDEX('G-7 Rivers Data'!$AZ$3:$AZ$7,MATCH(N85,'G-7 Rivers Data'!$AY$3:$AY$7,0)),"")</f>
        <v/>
      </c>
    </row>
    <row r="86" spans="2:48" ht="14" x14ac:dyDescent="0.3">
      <c r="B86" s="531" t="str">
        <f>'C-1 Site River Baseline'!AN84</f>
        <v/>
      </c>
      <c r="C86" s="520" t="str">
        <f>IF(B86="","",VLOOKUP($B86,'C-1 Site River Baseline'!$C$9:$R$257,2,FALSE))</f>
        <v/>
      </c>
      <c r="D86" s="520" t="str">
        <f>IF(C86="","",VLOOKUP($B86,'C-1 Site River Baseline'!$C$9:$R$257,3,FALSE))</f>
        <v/>
      </c>
      <c r="E86" s="520" t="str">
        <f>IF(D86="","",VLOOKUP($B86,'C-1 Site River Baseline'!$C$9:$R$257,4,FALSE))</f>
        <v/>
      </c>
      <c r="F86" s="520" t="str">
        <f>IF(E86="","",VLOOKUP($B86,'C-1 Site River Baseline'!$C$9:$R$257,5,FALSE))</f>
        <v/>
      </c>
      <c r="G86" s="520" t="str">
        <f>IF(F86="","",VLOOKUP($B86,'C-1 Site River Baseline'!$C$9:$R$257,6,FALSE))</f>
        <v/>
      </c>
      <c r="H86" s="520" t="str">
        <f>IF(G86="","",VLOOKUP($B86,'C-1 Site River Baseline'!$C$9:$R$257,7,FALSE))</f>
        <v/>
      </c>
      <c r="I86" s="520" t="str">
        <f>IF(H86="","",VLOOKUP($B86,'C-1 Site River Baseline'!$C$9:$R$257,8,FALSE))</f>
        <v/>
      </c>
      <c r="J86" s="520" t="str">
        <f>IF(I86="","",VLOOKUP($B86,'C-1 Site River Baseline'!$C$9:$R$257,9,FALSE))</f>
        <v/>
      </c>
      <c r="K86" s="520" t="str">
        <f>IF(J86="","",VLOOKUP($B86,'C-1 Site River Baseline'!$C$9:$R$257,10,FALSE))</f>
        <v/>
      </c>
      <c r="L86" s="520" t="str">
        <f>IF(B86="","",VLOOKUP($B86,'C-1 Site River Baseline'!$C$9:$R$257,15,FALSE))</f>
        <v/>
      </c>
      <c r="M86" s="524" t="str">
        <f>IF(L86="","",VLOOKUP($B86,'C-1 Site River Baseline'!$C$9:$R$257,16,FALSE))</f>
        <v/>
      </c>
      <c r="N86" s="418" t="str">
        <f t="shared" si="9"/>
        <v/>
      </c>
      <c r="O86" s="498" t="str">
        <f t="shared" si="10"/>
        <v/>
      </c>
      <c r="P86" s="499" t="str">
        <f>IF(C86="","",IF(AND(LEFT(C86,55)&lt;&gt;LEFT(N86,55),O86="High - High"),"Error - Not like for like ▲",IF(AND(F86=S86,H86&gt;U86),"Error - Can not reduce condition ▲",IF(AND(F86=S86,H86=U86,AJ86='C-1 Site River Baseline'!N84,'C-1 Site River Baseline'!P84=AL86),"Error - No enhancement ▲",IF(AND(C86&lt;&gt;N86,F86&lt;S86),"Lower Distinctiveness Habitat"&amp;" - "&amp;T86,G86&amp;" - "&amp;T86)))))</f>
        <v/>
      </c>
      <c r="Q86" s="567" t="str">
        <f>IF(N86="","",VLOOKUP(B86,'C-1 Site River Baseline'!$C$10:$AA$257,19,FALSE))</f>
        <v/>
      </c>
      <c r="R86" s="498" t="str">
        <f>IF(N86="","",VLOOKUP(N86,'G-7 Rivers Data'!$B$2:$G$8,2,FALSE))</f>
        <v/>
      </c>
      <c r="S86" s="499" t="str">
        <f>IFERROR(VLOOKUP(R86,'G-7 Rivers Data'!$C$4:$D$8,2,FALSE),"")</f>
        <v/>
      </c>
      <c r="T86" s="145"/>
      <c r="U86" s="499" t="str">
        <f>IFERROR(INDEX('G-7 Rivers Data'!$H$4:$L$8,MATCH(N86,'G-7 Rivers Data'!$B$4:$B$8,0),MATCH(T86,'G-7 Rivers Data'!$H$3:$L$3,0)),"")</f>
        <v/>
      </c>
      <c r="V86" s="154"/>
      <c r="W86" s="507" t="str">
        <f>IF(V86="","",IF(VLOOKUP(V86,'G-7 Rivers Data'!$AG$4:$AI$9,2,FALSE)=0,"Spatial Data Missing ⚠",VLOOKUP(V86,'G-7 Rivers Data'!$AG$4:$AI$9,2,FALSE)))</f>
        <v/>
      </c>
      <c r="X86" s="499" t="str">
        <f>IF(V86="","",IF(VLOOKUP(V86,'G-7 Rivers Data'!$AG$4:$AI$9,3,FALSE)=0,"Spatial Data Missing ⚠",VLOOKUP(V86,'G-7 Rivers Data'!$AG$4:$AI$9,3,FALSE)))</f>
        <v/>
      </c>
      <c r="Y86" s="498" t="str">
        <f>IFERROR(IF(OR(LEFT(P86,5)="Error ▲",LEFT(O86,5)="Error ▲"),"Check Data ⚠",IF(F86&lt;S86,'G-7 Rivers Data'!$R$3,INDEX('G-7 Rivers Data'!$U$5:$Y$9,MATCH(G86,'G-7 Rivers Data'!$T$5:$T$9,0),MATCH(T86,'G-7 Rivers Data'!$U$4:$Y$4,0)))),"")</f>
        <v/>
      </c>
      <c r="Z86" s="195"/>
      <c r="AA86" s="195"/>
      <c r="AB86" s="507" t="str">
        <f t="shared" si="11"/>
        <v/>
      </c>
      <c r="AC86" s="521" t="str">
        <f t="shared" si="12"/>
        <v/>
      </c>
      <c r="AD86" s="564" t="str">
        <f>IFERROR(IF(AC86="Check Data ⚠","Check Data ⚠",VLOOKUP(AC86,'G-4 Temporal multipliers'!$A$4:$C$37,3,FALSE)),"")</f>
        <v/>
      </c>
      <c r="AE86" s="498" t="str">
        <f>IF(N86="","",VLOOKUP(N86,'G-7 Rivers Data'!$B$4:$G$8,5,FALSE))</f>
        <v/>
      </c>
      <c r="AF86" s="507" t="str">
        <f t="shared" si="13"/>
        <v/>
      </c>
      <c r="AG86" s="540" t="str">
        <f t="shared" si="14"/>
        <v/>
      </c>
      <c r="AH86" s="499" t="str">
        <f t="shared" si="8"/>
        <v/>
      </c>
      <c r="AI86" s="145"/>
      <c r="AJ86" s="499" t="str">
        <f>IF(AI86="","",IF(VLOOKUP(AI86,'G-7 Rivers Data'!$AA$4:$AB$7,2,FALSE)=0,"Spatial Data Missing ⚠",VLOOKUP(AI86,'G-7 Rivers Data'!$AA$4:$AB$7,2,FALSE)))</f>
        <v/>
      </c>
      <c r="AK86" s="155"/>
      <c r="AL86" s="499" t="str">
        <f>IF(AK86="","",IF(VLOOKUP(AK86,'G-7 Rivers Data'!$AD$4:$AE$8,2,FALSE)=0,"Spatial Data Missing ⚠",VLOOKUP(AK86,'G-7 Rivers Data'!$AD$4:$AE$8,2,FALSE)))</f>
        <v/>
      </c>
      <c r="AM86" s="545" t="str">
        <f t="shared" si="15"/>
        <v/>
      </c>
      <c r="AN86" s="149"/>
      <c r="AO86" s="150"/>
      <c r="AV86" s="31" t="str">
        <f>IFERROR(INDEX('G-7 Rivers Data'!$AZ$3:$AZ$7,MATCH(N86,'G-7 Rivers Data'!$AY$3:$AY$7,0)),"")</f>
        <v/>
      </c>
    </row>
    <row r="87" spans="2:48" ht="14" x14ac:dyDescent="0.3">
      <c r="B87" s="531" t="str">
        <f>'C-1 Site River Baseline'!AN85</f>
        <v/>
      </c>
      <c r="C87" s="520" t="str">
        <f>IF(B87="","",VLOOKUP($B87,'C-1 Site River Baseline'!$C$9:$R$257,2,FALSE))</f>
        <v/>
      </c>
      <c r="D87" s="520" t="str">
        <f>IF(C87="","",VLOOKUP($B87,'C-1 Site River Baseline'!$C$9:$R$257,3,FALSE))</f>
        <v/>
      </c>
      <c r="E87" s="520" t="str">
        <f>IF(D87="","",VLOOKUP($B87,'C-1 Site River Baseline'!$C$9:$R$257,4,FALSE))</f>
        <v/>
      </c>
      <c r="F87" s="520" t="str">
        <f>IF(E87="","",VLOOKUP($B87,'C-1 Site River Baseline'!$C$9:$R$257,5,FALSE))</f>
        <v/>
      </c>
      <c r="G87" s="520" t="str">
        <f>IF(F87="","",VLOOKUP($B87,'C-1 Site River Baseline'!$C$9:$R$257,6,FALSE))</f>
        <v/>
      </c>
      <c r="H87" s="520" t="str">
        <f>IF(G87="","",VLOOKUP($B87,'C-1 Site River Baseline'!$C$9:$R$257,7,FALSE))</f>
        <v/>
      </c>
      <c r="I87" s="520" t="str">
        <f>IF(H87="","",VLOOKUP($B87,'C-1 Site River Baseline'!$C$9:$R$257,8,FALSE))</f>
        <v/>
      </c>
      <c r="J87" s="520" t="str">
        <f>IF(I87="","",VLOOKUP($B87,'C-1 Site River Baseline'!$C$9:$R$257,9,FALSE))</f>
        <v/>
      </c>
      <c r="K87" s="520" t="str">
        <f>IF(J87="","",VLOOKUP($B87,'C-1 Site River Baseline'!$C$9:$R$257,10,FALSE))</f>
        <v/>
      </c>
      <c r="L87" s="520" t="str">
        <f>IF(B87="","",VLOOKUP($B87,'C-1 Site River Baseline'!$C$9:$R$257,15,FALSE))</f>
        <v/>
      </c>
      <c r="M87" s="524" t="str">
        <f>IF(L87="","",VLOOKUP($B87,'C-1 Site River Baseline'!$C$9:$R$257,16,FALSE))</f>
        <v/>
      </c>
      <c r="N87" s="418" t="str">
        <f t="shared" si="9"/>
        <v/>
      </c>
      <c r="O87" s="498" t="str">
        <f t="shared" si="10"/>
        <v/>
      </c>
      <c r="P87" s="499" t="str">
        <f>IF(C87="","",IF(AND(LEFT(C87,55)&lt;&gt;LEFT(N87,55),O87="High - High"),"Error - Not like for like ▲",IF(AND(F87=S87,H87&gt;U87),"Error - Can not reduce condition ▲",IF(AND(F87=S87,H87=U87,AJ87='C-1 Site River Baseline'!N85,'C-1 Site River Baseline'!P85=AL87),"Error - No enhancement ▲",IF(AND(C87&lt;&gt;N87,F87&lt;S87),"Lower Distinctiveness Habitat"&amp;" - "&amp;T87,G87&amp;" - "&amp;T87)))))</f>
        <v/>
      </c>
      <c r="Q87" s="567" t="str">
        <f>IF(N87="","",VLOOKUP(B87,'C-1 Site River Baseline'!$C$10:$AA$257,19,FALSE))</f>
        <v/>
      </c>
      <c r="R87" s="498" t="str">
        <f>IF(N87="","",VLOOKUP(N87,'G-7 Rivers Data'!$B$2:$G$8,2,FALSE))</f>
        <v/>
      </c>
      <c r="S87" s="499" t="str">
        <f>IFERROR(VLOOKUP(R87,'G-7 Rivers Data'!$C$4:$D$8,2,FALSE),"")</f>
        <v/>
      </c>
      <c r="T87" s="145"/>
      <c r="U87" s="499" t="str">
        <f>IFERROR(INDEX('G-7 Rivers Data'!$H$4:$L$8,MATCH(N87,'G-7 Rivers Data'!$B$4:$B$8,0),MATCH(T87,'G-7 Rivers Data'!$H$3:$L$3,0)),"")</f>
        <v/>
      </c>
      <c r="V87" s="154"/>
      <c r="W87" s="507" t="str">
        <f>IF(V87="","",IF(VLOOKUP(V87,'G-7 Rivers Data'!$AG$4:$AI$9,2,FALSE)=0,"Spatial Data Missing ⚠",VLOOKUP(V87,'G-7 Rivers Data'!$AG$4:$AI$9,2,FALSE)))</f>
        <v/>
      </c>
      <c r="X87" s="499" t="str">
        <f>IF(V87="","",IF(VLOOKUP(V87,'G-7 Rivers Data'!$AG$4:$AI$9,3,FALSE)=0,"Spatial Data Missing ⚠",VLOOKUP(V87,'G-7 Rivers Data'!$AG$4:$AI$9,3,FALSE)))</f>
        <v/>
      </c>
      <c r="Y87" s="498" t="str">
        <f>IFERROR(IF(OR(LEFT(P87,5)="Error ▲",LEFT(O87,5)="Error ▲"),"Check Data ⚠",IF(F87&lt;S87,'G-7 Rivers Data'!$R$3,INDEX('G-7 Rivers Data'!$U$5:$Y$9,MATCH(G87,'G-7 Rivers Data'!$T$5:$T$9,0),MATCH(T87,'G-7 Rivers Data'!$U$4:$Y$4,0)))),"")</f>
        <v/>
      </c>
      <c r="Z87" s="195"/>
      <c r="AA87" s="195"/>
      <c r="AB87" s="507" t="str">
        <f t="shared" si="11"/>
        <v/>
      </c>
      <c r="AC87" s="521" t="str">
        <f t="shared" si="12"/>
        <v/>
      </c>
      <c r="AD87" s="564" t="str">
        <f>IFERROR(IF(AC87="Check Data ⚠","Check Data ⚠",VLOOKUP(AC87,'G-4 Temporal multipliers'!$A$4:$C$37,3,FALSE)),"")</f>
        <v/>
      </c>
      <c r="AE87" s="498" t="str">
        <f>IF(N87="","",VLOOKUP(N87,'G-7 Rivers Data'!$B$4:$G$8,5,FALSE))</f>
        <v/>
      </c>
      <c r="AF87" s="507" t="str">
        <f t="shared" si="13"/>
        <v/>
      </c>
      <c r="AG87" s="540" t="str">
        <f t="shared" si="14"/>
        <v/>
      </c>
      <c r="AH87" s="499" t="str">
        <f t="shared" si="8"/>
        <v/>
      </c>
      <c r="AI87" s="145"/>
      <c r="AJ87" s="499" t="str">
        <f>IF(AI87="","",IF(VLOOKUP(AI87,'G-7 Rivers Data'!$AA$4:$AB$7,2,FALSE)=0,"Spatial Data Missing ⚠",VLOOKUP(AI87,'G-7 Rivers Data'!$AA$4:$AB$7,2,FALSE)))</f>
        <v/>
      </c>
      <c r="AK87" s="155"/>
      <c r="AL87" s="499" t="str">
        <f>IF(AK87="","",IF(VLOOKUP(AK87,'G-7 Rivers Data'!$AD$4:$AE$8,2,FALSE)=0,"Spatial Data Missing ⚠",VLOOKUP(AK87,'G-7 Rivers Data'!$AD$4:$AE$8,2,FALSE)))</f>
        <v/>
      </c>
      <c r="AM87" s="545" t="str">
        <f t="shared" si="15"/>
        <v/>
      </c>
      <c r="AN87" s="149"/>
      <c r="AO87" s="150"/>
      <c r="AV87" s="31" t="str">
        <f>IFERROR(INDEX('G-7 Rivers Data'!$AZ$3:$AZ$7,MATCH(N87,'G-7 Rivers Data'!$AY$3:$AY$7,0)),"")</f>
        <v/>
      </c>
    </row>
    <row r="88" spans="2:48" ht="14" x14ac:dyDescent="0.3">
      <c r="B88" s="531" t="str">
        <f>'C-1 Site River Baseline'!AN86</f>
        <v/>
      </c>
      <c r="C88" s="520" t="str">
        <f>IF(B88="","",VLOOKUP($B88,'C-1 Site River Baseline'!$C$9:$R$257,2,FALSE))</f>
        <v/>
      </c>
      <c r="D88" s="520" t="str">
        <f>IF(C88="","",VLOOKUP($B88,'C-1 Site River Baseline'!$C$9:$R$257,3,FALSE))</f>
        <v/>
      </c>
      <c r="E88" s="520" t="str">
        <f>IF(D88="","",VLOOKUP($B88,'C-1 Site River Baseline'!$C$9:$R$257,4,FALSE))</f>
        <v/>
      </c>
      <c r="F88" s="520" t="str">
        <f>IF(E88="","",VLOOKUP($B88,'C-1 Site River Baseline'!$C$9:$R$257,5,FALSE))</f>
        <v/>
      </c>
      <c r="G88" s="520" t="str">
        <f>IF(F88="","",VLOOKUP($B88,'C-1 Site River Baseline'!$C$9:$R$257,6,FALSE))</f>
        <v/>
      </c>
      <c r="H88" s="520" t="str">
        <f>IF(G88="","",VLOOKUP($B88,'C-1 Site River Baseline'!$C$9:$R$257,7,FALSE))</f>
        <v/>
      </c>
      <c r="I88" s="520" t="str">
        <f>IF(H88="","",VLOOKUP($B88,'C-1 Site River Baseline'!$C$9:$R$257,8,FALSE))</f>
        <v/>
      </c>
      <c r="J88" s="520" t="str">
        <f>IF(I88="","",VLOOKUP($B88,'C-1 Site River Baseline'!$C$9:$R$257,9,FALSE))</f>
        <v/>
      </c>
      <c r="K88" s="520" t="str">
        <f>IF(J88="","",VLOOKUP($B88,'C-1 Site River Baseline'!$C$9:$R$257,10,FALSE))</f>
        <v/>
      </c>
      <c r="L88" s="520" t="str">
        <f>IF(B88="","",VLOOKUP($B88,'C-1 Site River Baseline'!$C$9:$R$257,15,FALSE))</f>
        <v/>
      </c>
      <c r="M88" s="524" t="str">
        <f>IF(L88="","",VLOOKUP($B88,'C-1 Site River Baseline'!$C$9:$R$257,16,FALSE))</f>
        <v/>
      </c>
      <c r="N88" s="418" t="str">
        <f t="shared" si="9"/>
        <v/>
      </c>
      <c r="O88" s="498" t="str">
        <f t="shared" si="10"/>
        <v/>
      </c>
      <c r="P88" s="499" t="str">
        <f>IF(C88="","",IF(AND(LEFT(C88,55)&lt;&gt;LEFT(N88,55),O88="High - High"),"Error - Not like for like ▲",IF(AND(F88=S88,H88&gt;U88),"Error - Can not reduce condition ▲",IF(AND(F88=S88,H88=U88,AJ88='C-1 Site River Baseline'!N86,'C-1 Site River Baseline'!P86=AL88),"Error - No enhancement ▲",IF(AND(C88&lt;&gt;N88,F88&lt;S88),"Lower Distinctiveness Habitat"&amp;" - "&amp;T88,G88&amp;" - "&amp;T88)))))</f>
        <v/>
      </c>
      <c r="Q88" s="567" t="str">
        <f>IF(N88="","",VLOOKUP(B88,'C-1 Site River Baseline'!$C$10:$AA$257,19,FALSE))</f>
        <v/>
      </c>
      <c r="R88" s="498" t="str">
        <f>IF(N88="","",VLOOKUP(N88,'G-7 Rivers Data'!$B$2:$G$8,2,FALSE))</f>
        <v/>
      </c>
      <c r="S88" s="499" t="str">
        <f>IFERROR(VLOOKUP(R88,'G-7 Rivers Data'!$C$4:$D$8,2,FALSE),"")</f>
        <v/>
      </c>
      <c r="T88" s="145"/>
      <c r="U88" s="499" t="str">
        <f>IFERROR(INDEX('G-7 Rivers Data'!$H$4:$L$8,MATCH(N88,'G-7 Rivers Data'!$B$4:$B$8,0),MATCH(T88,'G-7 Rivers Data'!$H$3:$L$3,0)),"")</f>
        <v/>
      </c>
      <c r="V88" s="154"/>
      <c r="W88" s="507" t="str">
        <f>IF(V88="","",IF(VLOOKUP(V88,'G-7 Rivers Data'!$AG$4:$AI$9,2,FALSE)=0,"Spatial Data Missing ⚠",VLOOKUP(V88,'G-7 Rivers Data'!$AG$4:$AI$9,2,FALSE)))</f>
        <v/>
      </c>
      <c r="X88" s="499" t="str">
        <f>IF(V88="","",IF(VLOOKUP(V88,'G-7 Rivers Data'!$AG$4:$AI$9,3,FALSE)=0,"Spatial Data Missing ⚠",VLOOKUP(V88,'G-7 Rivers Data'!$AG$4:$AI$9,3,FALSE)))</f>
        <v/>
      </c>
      <c r="Y88" s="498" t="str">
        <f>IFERROR(IF(OR(LEFT(P88,5)="Error ▲",LEFT(O88,5)="Error ▲"),"Check Data ⚠",IF(F88&lt;S88,'G-7 Rivers Data'!$R$3,INDEX('G-7 Rivers Data'!$U$5:$Y$9,MATCH(G88,'G-7 Rivers Data'!$T$5:$T$9,0),MATCH(T88,'G-7 Rivers Data'!$U$4:$Y$4,0)))),"")</f>
        <v/>
      </c>
      <c r="Z88" s="195"/>
      <c r="AA88" s="195"/>
      <c r="AB88" s="507" t="str">
        <f t="shared" si="11"/>
        <v/>
      </c>
      <c r="AC88" s="521" t="str">
        <f t="shared" si="12"/>
        <v/>
      </c>
      <c r="AD88" s="564" t="str">
        <f>IFERROR(IF(AC88="Check Data ⚠","Check Data ⚠",VLOOKUP(AC88,'G-4 Temporal multipliers'!$A$4:$C$37,3,FALSE)),"")</f>
        <v/>
      </c>
      <c r="AE88" s="498" t="str">
        <f>IF(N88="","",VLOOKUP(N88,'G-7 Rivers Data'!$B$4:$G$8,5,FALSE))</f>
        <v/>
      </c>
      <c r="AF88" s="507" t="str">
        <f t="shared" si="13"/>
        <v/>
      </c>
      <c r="AG88" s="540" t="str">
        <f t="shared" si="14"/>
        <v/>
      </c>
      <c r="AH88" s="499" t="str">
        <f t="shared" si="8"/>
        <v/>
      </c>
      <c r="AI88" s="145"/>
      <c r="AJ88" s="499" t="str">
        <f>IF(AI88="","",IF(VLOOKUP(AI88,'G-7 Rivers Data'!$AA$4:$AB$7,2,FALSE)=0,"Spatial Data Missing ⚠",VLOOKUP(AI88,'G-7 Rivers Data'!$AA$4:$AB$7,2,FALSE)))</f>
        <v/>
      </c>
      <c r="AK88" s="155"/>
      <c r="AL88" s="499" t="str">
        <f>IF(AK88="","",IF(VLOOKUP(AK88,'G-7 Rivers Data'!$AD$4:$AE$8,2,FALSE)=0,"Spatial Data Missing ⚠",VLOOKUP(AK88,'G-7 Rivers Data'!$AD$4:$AE$8,2,FALSE)))</f>
        <v/>
      </c>
      <c r="AM88" s="545" t="str">
        <f t="shared" si="15"/>
        <v/>
      </c>
      <c r="AN88" s="149"/>
      <c r="AO88" s="150"/>
      <c r="AV88" s="31" t="str">
        <f>IFERROR(INDEX('G-7 Rivers Data'!$AZ$3:$AZ$7,MATCH(N88,'G-7 Rivers Data'!$AY$3:$AY$7,0)),"")</f>
        <v/>
      </c>
    </row>
    <row r="89" spans="2:48" ht="14" x14ac:dyDescent="0.3">
      <c r="B89" s="531" t="str">
        <f>'C-1 Site River Baseline'!AN87</f>
        <v/>
      </c>
      <c r="C89" s="520" t="str">
        <f>IF(B89="","",VLOOKUP($B89,'C-1 Site River Baseline'!$C$9:$R$257,2,FALSE))</f>
        <v/>
      </c>
      <c r="D89" s="520" t="str">
        <f>IF(C89="","",VLOOKUP($B89,'C-1 Site River Baseline'!$C$9:$R$257,3,FALSE))</f>
        <v/>
      </c>
      <c r="E89" s="520" t="str">
        <f>IF(D89="","",VLOOKUP($B89,'C-1 Site River Baseline'!$C$9:$R$257,4,FALSE))</f>
        <v/>
      </c>
      <c r="F89" s="520" t="str">
        <f>IF(E89="","",VLOOKUP($B89,'C-1 Site River Baseline'!$C$9:$R$257,5,FALSE))</f>
        <v/>
      </c>
      <c r="G89" s="520" t="str">
        <f>IF(F89="","",VLOOKUP($B89,'C-1 Site River Baseline'!$C$9:$R$257,6,FALSE))</f>
        <v/>
      </c>
      <c r="H89" s="520" t="str">
        <f>IF(G89="","",VLOOKUP($B89,'C-1 Site River Baseline'!$C$9:$R$257,7,FALSE))</f>
        <v/>
      </c>
      <c r="I89" s="520" t="str">
        <f>IF(H89="","",VLOOKUP($B89,'C-1 Site River Baseline'!$C$9:$R$257,8,FALSE))</f>
        <v/>
      </c>
      <c r="J89" s="520" t="str">
        <f>IF(I89="","",VLOOKUP($B89,'C-1 Site River Baseline'!$C$9:$R$257,9,FALSE))</f>
        <v/>
      </c>
      <c r="K89" s="520" t="str">
        <f>IF(J89="","",VLOOKUP($B89,'C-1 Site River Baseline'!$C$9:$R$257,10,FALSE))</f>
        <v/>
      </c>
      <c r="L89" s="520" t="str">
        <f>IF(B89="","",VLOOKUP($B89,'C-1 Site River Baseline'!$C$9:$R$257,15,FALSE))</f>
        <v/>
      </c>
      <c r="M89" s="524" t="str">
        <f>IF(L89="","",VLOOKUP($B89,'C-1 Site River Baseline'!$C$9:$R$257,16,FALSE))</f>
        <v/>
      </c>
      <c r="N89" s="418" t="str">
        <f t="shared" si="9"/>
        <v/>
      </c>
      <c r="O89" s="498" t="str">
        <f t="shared" si="10"/>
        <v/>
      </c>
      <c r="P89" s="499" t="str">
        <f>IF(C89="","",IF(AND(LEFT(C89,55)&lt;&gt;LEFT(N89,55),O89="High - High"),"Error - Not like for like ▲",IF(AND(F89=S89,H89&gt;U89),"Error - Can not reduce condition ▲",IF(AND(F89=S89,H89=U89,AJ89='C-1 Site River Baseline'!N87,'C-1 Site River Baseline'!P87=AL89),"Error - No enhancement ▲",IF(AND(C89&lt;&gt;N89,F89&lt;S89),"Lower Distinctiveness Habitat"&amp;" - "&amp;T89,G89&amp;" - "&amp;T89)))))</f>
        <v/>
      </c>
      <c r="Q89" s="567" t="str">
        <f>IF(N89="","",VLOOKUP(B89,'C-1 Site River Baseline'!$C$10:$AA$257,19,FALSE))</f>
        <v/>
      </c>
      <c r="R89" s="498" t="str">
        <f>IF(N89="","",VLOOKUP(N89,'G-7 Rivers Data'!$B$2:$G$8,2,FALSE))</f>
        <v/>
      </c>
      <c r="S89" s="499" t="str">
        <f>IFERROR(VLOOKUP(R89,'G-7 Rivers Data'!$C$4:$D$8,2,FALSE),"")</f>
        <v/>
      </c>
      <c r="T89" s="145"/>
      <c r="U89" s="499" t="str">
        <f>IFERROR(INDEX('G-7 Rivers Data'!$H$4:$L$8,MATCH(N89,'G-7 Rivers Data'!$B$4:$B$8,0),MATCH(T89,'G-7 Rivers Data'!$H$3:$L$3,0)),"")</f>
        <v/>
      </c>
      <c r="V89" s="154"/>
      <c r="W89" s="507" t="str">
        <f>IF(V89="","",IF(VLOOKUP(V89,'G-7 Rivers Data'!$AG$4:$AI$9,2,FALSE)=0,"Spatial Data Missing ⚠",VLOOKUP(V89,'G-7 Rivers Data'!$AG$4:$AI$9,2,FALSE)))</f>
        <v/>
      </c>
      <c r="X89" s="499" t="str">
        <f>IF(V89="","",IF(VLOOKUP(V89,'G-7 Rivers Data'!$AG$4:$AI$9,3,FALSE)=0,"Spatial Data Missing ⚠",VLOOKUP(V89,'G-7 Rivers Data'!$AG$4:$AI$9,3,FALSE)))</f>
        <v/>
      </c>
      <c r="Y89" s="498" t="str">
        <f>IFERROR(IF(OR(LEFT(P89,5)="Error ▲",LEFT(O89,5)="Error ▲"),"Check Data ⚠",IF(F89&lt;S89,'G-7 Rivers Data'!$R$3,INDEX('G-7 Rivers Data'!$U$5:$Y$9,MATCH(G89,'G-7 Rivers Data'!$T$5:$T$9,0),MATCH(T89,'G-7 Rivers Data'!$U$4:$Y$4,0)))),"")</f>
        <v/>
      </c>
      <c r="Z89" s="195"/>
      <c r="AA89" s="195"/>
      <c r="AB89" s="507" t="str">
        <f t="shared" si="11"/>
        <v/>
      </c>
      <c r="AC89" s="521" t="str">
        <f t="shared" si="12"/>
        <v/>
      </c>
      <c r="AD89" s="564" t="str">
        <f>IFERROR(IF(AC89="Check Data ⚠","Check Data ⚠",VLOOKUP(AC89,'G-4 Temporal multipliers'!$A$4:$C$37,3,FALSE)),"")</f>
        <v/>
      </c>
      <c r="AE89" s="498" t="str">
        <f>IF(N89="","",VLOOKUP(N89,'G-7 Rivers Data'!$B$4:$G$8,5,FALSE))</f>
        <v/>
      </c>
      <c r="AF89" s="507" t="str">
        <f t="shared" si="13"/>
        <v/>
      </c>
      <c r="AG89" s="540" t="str">
        <f t="shared" si="14"/>
        <v/>
      </c>
      <c r="AH89" s="499" t="str">
        <f t="shared" si="8"/>
        <v/>
      </c>
      <c r="AI89" s="145"/>
      <c r="AJ89" s="499" t="str">
        <f>IF(AI89="","",IF(VLOOKUP(AI89,'G-7 Rivers Data'!$AA$4:$AB$7,2,FALSE)=0,"Spatial Data Missing ⚠",VLOOKUP(AI89,'G-7 Rivers Data'!$AA$4:$AB$7,2,FALSE)))</f>
        <v/>
      </c>
      <c r="AK89" s="155"/>
      <c r="AL89" s="499" t="str">
        <f>IF(AK89="","",IF(VLOOKUP(AK89,'G-7 Rivers Data'!$AD$4:$AE$8,2,FALSE)=0,"Spatial Data Missing ⚠",VLOOKUP(AK89,'G-7 Rivers Data'!$AD$4:$AE$8,2,FALSE)))</f>
        <v/>
      </c>
      <c r="AM89" s="545" t="str">
        <f t="shared" si="15"/>
        <v/>
      </c>
      <c r="AN89" s="149"/>
      <c r="AO89" s="150"/>
      <c r="AV89" s="31" t="str">
        <f>IFERROR(INDEX('G-7 Rivers Data'!$AZ$3:$AZ$7,MATCH(N89,'G-7 Rivers Data'!$AY$3:$AY$7,0)),"")</f>
        <v/>
      </c>
    </row>
    <row r="90" spans="2:48" ht="14" x14ac:dyDescent="0.3">
      <c r="B90" s="531" t="str">
        <f>'C-1 Site River Baseline'!AN88</f>
        <v/>
      </c>
      <c r="C90" s="520" t="str">
        <f>IF(B90="","",VLOOKUP($B90,'C-1 Site River Baseline'!$C$9:$R$257,2,FALSE))</f>
        <v/>
      </c>
      <c r="D90" s="520" t="str">
        <f>IF(C90="","",VLOOKUP($B90,'C-1 Site River Baseline'!$C$9:$R$257,3,FALSE))</f>
        <v/>
      </c>
      <c r="E90" s="520" t="str">
        <f>IF(D90="","",VLOOKUP($B90,'C-1 Site River Baseline'!$C$9:$R$257,4,FALSE))</f>
        <v/>
      </c>
      <c r="F90" s="520" t="str">
        <f>IF(E90="","",VLOOKUP($B90,'C-1 Site River Baseline'!$C$9:$R$257,5,FALSE))</f>
        <v/>
      </c>
      <c r="G90" s="520" t="str">
        <f>IF(F90="","",VLOOKUP($B90,'C-1 Site River Baseline'!$C$9:$R$257,6,FALSE))</f>
        <v/>
      </c>
      <c r="H90" s="520" t="str">
        <f>IF(G90="","",VLOOKUP($B90,'C-1 Site River Baseline'!$C$9:$R$257,7,FALSE))</f>
        <v/>
      </c>
      <c r="I90" s="520" t="str">
        <f>IF(H90="","",VLOOKUP($B90,'C-1 Site River Baseline'!$C$9:$R$257,8,FALSE))</f>
        <v/>
      </c>
      <c r="J90" s="520" t="str">
        <f>IF(I90="","",VLOOKUP($B90,'C-1 Site River Baseline'!$C$9:$R$257,9,FALSE))</f>
        <v/>
      </c>
      <c r="K90" s="520" t="str">
        <f>IF(J90="","",VLOOKUP($B90,'C-1 Site River Baseline'!$C$9:$R$257,10,FALSE))</f>
        <v/>
      </c>
      <c r="L90" s="520" t="str">
        <f>IF(B90="","",VLOOKUP($B90,'C-1 Site River Baseline'!$C$9:$R$257,15,FALSE))</f>
        <v/>
      </c>
      <c r="M90" s="524" t="str">
        <f>IF(L90="","",VLOOKUP($B90,'C-1 Site River Baseline'!$C$9:$R$257,16,FALSE))</f>
        <v/>
      </c>
      <c r="N90" s="418" t="str">
        <f t="shared" si="9"/>
        <v/>
      </c>
      <c r="O90" s="498" t="str">
        <f t="shared" si="10"/>
        <v/>
      </c>
      <c r="P90" s="499" t="str">
        <f>IF(C90="","",IF(AND(LEFT(C90,55)&lt;&gt;LEFT(N90,55),O90="High - High"),"Error - Not like for like ▲",IF(AND(F90=S90,H90&gt;U90),"Error - Can not reduce condition ▲",IF(AND(F90=S90,H90=U90,AJ90='C-1 Site River Baseline'!N88,'C-1 Site River Baseline'!P88=AL90),"Error - No enhancement ▲",IF(AND(C90&lt;&gt;N90,F90&lt;S90),"Lower Distinctiveness Habitat"&amp;" - "&amp;T90,G90&amp;" - "&amp;T90)))))</f>
        <v/>
      </c>
      <c r="Q90" s="567" t="str">
        <f>IF(N90="","",VLOOKUP(B90,'C-1 Site River Baseline'!$C$10:$AA$257,19,FALSE))</f>
        <v/>
      </c>
      <c r="R90" s="498" t="str">
        <f>IF(N90="","",VLOOKUP(N90,'G-7 Rivers Data'!$B$2:$G$8,2,FALSE))</f>
        <v/>
      </c>
      <c r="S90" s="499" t="str">
        <f>IFERROR(VLOOKUP(R90,'G-7 Rivers Data'!$C$4:$D$8,2,FALSE),"")</f>
        <v/>
      </c>
      <c r="T90" s="145"/>
      <c r="U90" s="499" t="str">
        <f>IFERROR(INDEX('G-7 Rivers Data'!$H$4:$L$8,MATCH(N90,'G-7 Rivers Data'!$B$4:$B$8,0),MATCH(T90,'G-7 Rivers Data'!$H$3:$L$3,0)),"")</f>
        <v/>
      </c>
      <c r="V90" s="154"/>
      <c r="W90" s="507" t="str">
        <f>IF(V90="","",IF(VLOOKUP(V90,'G-7 Rivers Data'!$AG$4:$AI$9,2,FALSE)=0,"Spatial Data Missing ⚠",VLOOKUP(V90,'G-7 Rivers Data'!$AG$4:$AI$9,2,FALSE)))</f>
        <v/>
      </c>
      <c r="X90" s="499" t="str">
        <f>IF(V90="","",IF(VLOOKUP(V90,'G-7 Rivers Data'!$AG$4:$AI$9,3,FALSE)=0,"Spatial Data Missing ⚠",VLOOKUP(V90,'G-7 Rivers Data'!$AG$4:$AI$9,3,FALSE)))</f>
        <v/>
      </c>
      <c r="Y90" s="498" t="str">
        <f>IFERROR(IF(OR(LEFT(P90,5)="Error ▲",LEFT(O90,5)="Error ▲"),"Check Data ⚠",IF(F90&lt;S90,'G-7 Rivers Data'!$R$3,INDEX('G-7 Rivers Data'!$U$5:$Y$9,MATCH(G90,'G-7 Rivers Data'!$T$5:$T$9,0),MATCH(T90,'G-7 Rivers Data'!$U$4:$Y$4,0)))),"")</f>
        <v/>
      </c>
      <c r="Z90" s="195"/>
      <c r="AA90" s="195"/>
      <c r="AB90" s="507" t="str">
        <f t="shared" si="11"/>
        <v/>
      </c>
      <c r="AC90" s="521" t="str">
        <f t="shared" si="12"/>
        <v/>
      </c>
      <c r="AD90" s="564" t="str">
        <f>IFERROR(IF(AC90="Check Data ⚠","Check Data ⚠",VLOOKUP(AC90,'G-4 Temporal multipliers'!$A$4:$C$37,3,FALSE)),"")</f>
        <v/>
      </c>
      <c r="AE90" s="498" t="str">
        <f>IF(N90="","",VLOOKUP(N90,'G-7 Rivers Data'!$B$4:$G$8,5,FALSE))</f>
        <v/>
      </c>
      <c r="AF90" s="507" t="str">
        <f t="shared" si="13"/>
        <v/>
      </c>
      <c r="AG90" s="540" t="str">
        <f t="shared" si="14"/>
        <v/>
      </c>
      <c r="AH90" s="499" t="str">
        <f t="shared" si="8"/>
        <v/>
      </c>
      <c r="AI90" s="145"/>
      <c r="AJ90" s="499" t="str">
        <f>IF(AI90="","",IF(VLOOKUP(AI90,'G-7 Rivers Data'!$AA$4:$AB$7,2,FALSE)=0,"Spatial Data Missing ⚠",VLOOKUP(AI90,'G-7 Rivers Data'!$AA$4:$AB$7,2,FALSE)))</f>
        <v/>
      </c>
      <c r="AK90" s="155"/>
      <c r="AL90" s="499" t="str">
        <f>IF(AK90="","",IF(VLOOKUP(AK90,'G-7 Rivers Data'!$AD$4:$AE$8,2,FALSE)=0,"Spatial Data Missing ⚠",VLOOKUP(AK90,'G-7 Rivers Data'!$AD$4:$AE$8,2,FALSE)))</f>
        <v/>
      </c>
      <c r="AM90" s="545" t="str">
        <f t="shared" si="15"/>
        <v/>
      </c>
      <c r="AN90" s="149"/>
      <c r="AO90" s="150"/>
      <c r="AV90" s="31" t="str">
        <f>IFERROR(INDEX('G-7 Rivers Data'!$AZ$3:$AZ$7,MATCH(N90,'G-7 Rivers Data'!$AY$3:$AY$7,0)),"")</f>
        <v/>
      </c>
    </row>
    <row r="91" spans="2:48" ht="14" x14ac:dyDescent="0.3">
      <c r="B91" s="531" t="str">
        <f>'C-1 Site River Baseline'!AN89</f>
        <v/>
      </c>
      <c r="C91" s="520" t="str">
        <f>IF(B91="","",VLOOKUP($B91,'C-1 Site River Baseline'!$C$9:$R$257,2,FALSE))</f>
        <v/>
      </c>
      <c r="D91" s="520" t="str">
        <f>IF(C91="","",VLOOKUP($B91,'C-1 Site River Baseline'!$C$9:$R$257,3,FALSE))</f>
        <v/>
      </c>
      <c r="E91" s="520" t="str">
        <f>IF(D91="","",VLOOKUP($B91,'C-1 Site River Baseline'!$C$9:$R$257,4,FALSE))</f>
        <v/>
      </c>
      <c r="F91" s="520" t="str">
        <f>IF(E91="","",VLOOKUP($B91,'C-1 Site River Baseline'!$C$9:$R$257,5,FALSE))</f>
        <v/>
      </c>
      <c r="G91" s="520" t="str">
        <f>IF(F91="","",VLOOKUP($B91,'C-1 Site River Baseline'!$C$9:$R$257,6,FALSE))</f>
        <v/>
      </c>
      <c r="H91" s="520" t="str">
        <f>IF(G91="","",VLOOKUP($B91,'C-1 Site River Baseline'!$C$9:$R$257,7,FALSE))</f>
        <v/>
      </c>
      <c r="I91" s="520" t="str">
        <f>IF(H91="","",VLOOKUP($B91,'C-1 Site River Baseline'!$C$9:$R$257,8,FALSE))</f>
        <v/>
      </c>
      <c r="J91" s="520" t="str">
        <f>IF(I91="","",VLOOKUP($B91,'C-1 Site River Baseline'!$C$9:$R$257,9,FALSE))</f>
        <v/>
      </c>
      <c r="K91" s="520" t="str">
        <f>IF(J91="","",VLOOKUP($B91,'C-1 Site River Baseline'!$C$9:$R$257,10,FALSE))</f>
        <v/>
      </c>
      <c r="L91" s="520" t="str">
        <f>IF(B91="","",VLOOKUP($B91,'C-1 Site River Baseline'!$C$9:$R$257,15,FALSE))</f>
        <v/>
      </c>
      <c r="M91" s="524" t="str">
        <f>IF(L91="","",VLOOKUP($B91,'C-1 Site River Baseline'!$C$9:$R$257,16,FALSE))</f>
        <v/>
      </c>
      <c r="N91" s="418" t="str">
        <f t="shared" si="9"/>
        <v/>
      </c>
      <c r="O91" s="498" t="str">
        <f t="shared" si="10"/>
        <v/>
      </c>
      <c r="P91" s="499" t="str">
        <f>IF(C91="","",IF(AND(LEFT(C91,55)&lt;&gt;LEFT(N91,55),O91="High - High"),"Error - Not like for like ▲",IF(AND(F91=S91,H91&gt;U91),"Error - Can not reduce condition ▲",IF(AND(F91=S91,H91=U91,AJ91='C-1 Site River Baseline'!N89,'C-1 Site River Baseline'!P89=AL91),"Error - No enhancement ▲",IF(AND(C91&lt;&gt;N91,F91&lt;S91),"Lower Distinctiveness Habitat"&amp;" - "&amp;T91,G91&amp;" - "&amp;T91)))))</f>
        <v/>
      </c>
      <c r="Q91" s="567" t="str">
        <f>IF(N91="","",VLOOKUP(B91,'C-1 Site River Baseline'!$C$10:$AA$257,19,FALSE))</f>
        <v/>
      </c>
      <c r="R91" s="498" t="str">
        <f>IF(N91="","",VLOOKUP(N91,'G-7 Rivers Data'!$B$2:$G$8,2,FALSE))</f>
        <v/>
      </c>
      <c r="S91" s="499" t="str">
        <f>IFERROR(VLOOKUP(R91,'G-7 Rivers Data'!$C$4:$D$8,2,FALSE),"")</f>
        <v/>
      </c>
      <c r="T91" s="145"/>
      <c r="U91" s="499" t="str">
        <f>IFERROR(INDEX('G-7 Rivers Data'!$H$4:$L$8,MATCH(N91,'G-7 Rivers Data'!$B$4:$B$8,0),MATCH(T91,'G-7 Rivers Data'!$H$3:$L$3,0)),"")</f>
        <v/>
      </c>
      <c r="V91" s="154"/>
      <c r="W91" s="507" t="str">
        <f>IF(V91="","",IF(VLOOKUP(V91,'G-7 Rivers Data'!$AG$4:$AI$9,2,FALSE)=0,"Spatial Data Missing ⚠",VLOOKUP(V91,'G-7 Rivers Data'!$AG$4:$AI$9,2,FALSE)))</f>
        <v/>
      </c>
      <c r="X91" s="499" t="str">
        <f>IF(V91="","",IF(VLOOKUP(V91,'G-7 Rivers Data'!$AG$4:$AI$9,3,FALSE)=0,"Spatial Data Missing ⚠",VLOOKUP(V91,'G-7 Rivers Data'!$AG$4:$AI$9,3,FALSE)))</f>
        <v/>
      </c>
      <c r="Y91" s="498" t="str">
        <f>IFERROR(IF(OR(LEFT(P91,5)="Error ▲",LEFT(O91,5)="Error ▲"),"Check Data ⚠",IF(F91&lt;S91,'G-7 Rivers Data'!$R$3,INDEX('G-7 Rivers Data'!$U$5:$Y$9,MATCH(G91,'G-7 Rivers Data'!$T$5:$T$9,0),MATCH(T91,'G-7 Rivers Data'!$U$4:$Y$4,0)))),"")</f>
        <v/>
      </c>
      <c r="Z91" s="195"/>
      <c r="AA91" s="195"/>
      <c r="AB91" s="507" t="str">
        <f t="shared" si="11"/>
        <v/>
      </c>
      <c r="AC91" s="521" t="str">
        <f t="shared" si="12"/>
        <v/>
      </c>
      <c r="AD91" s="564" t="str">
        <f>IFERROR(IF(AC91="Check Data ⚠","Check Data ⚠",VLOOKUP(AC91,'G-4 Temporal multipliers'!$A$4:$C$37,3,FALSE)),"")</f>
        <v/>
      </c>
      <c r="AE91" s="498" t="str">
        <f>IF(N91="","",VLOOKUP(N91,'G-7 Rivers Data'!$B$4:$G$8,5,FALSE))</f>
        <v/>
      </c>
      <c r="AF91" s="507" t="str">
        <f t="shared" si="13"/>
        <v/>
      </c>
      <c r="AG91" s="540" t="str">
        <f t="shared" si="14"/>
        <v/>
      </c>
      <c r="AH91" s="499" t="str">
        <f t="shared" si="8"/>
        <v/>
      </c>
      <c r="AI91" s="145"/>
      <c r="AJ91" s="499" t="str">
        <f>IF(AI91="","",IF(VLOOKUP(AI91,'G-7 Rivers Data'!$AA$4:$AB$7,2,FALSE)=0,"Spatial Data Missing ⚠",VLOOKUP(AI91,'G-7 Rivers Data'!$AA$4:$AB$7,2,FALSE)))</f>
        <v/>
      </c>
      <c r="AK91" s="155"/>
      <c r="AL91" s="499" t="str">
        <f>IF(AK91="","",IF(VLOOKUP(AK91,'G-7 Rivers Data'!$AD$4:$AE$8,2,FALSE)=0,"Spatial Data Missing ⚠",VLOOKUP(AK91,'G-7 Rivers Data'!$AD$4:$AE$8,2,FALSE)))</f>
        <v/>
      </c>
      <c r="AM91" s="545" t="str">
        <f t="shared" si="15"/>
        <v/>
      </c>
      <c r="AN91" s="149"/>
      <c r="AO91" s="150"/>
      <c r="AV91" s="31" t="str">
        <f>IFERROR(INDEX('G-7 Rivers Data'!$AZ$3:$AZ$7,MATCH(N91,'G-7 Rivers Data'!$AY$3:$AY$7,0)),"")</f>
        <v/>
      </c>
    </row>
    <row r="92" spans="2:48" ht="14" x14ac:dyDescent="0.3">
      <c r="B92" s="531" t="str">
        <f>'C-1 Site River Baseline'!AN90</f>
        <v/>
      </c>
      <c r="C92" s="520" t="str">
        <f>IF(B92="","",VLOOKUP($B92,'C-1 Site River Baseline'!$C$9:$R$257,2,FALSE))</f>
        <v/>
      </c>
      <c r="D92" s="520" t="str">
        <f>IF(C92="","",VLOOKUP($B92,'C-1 Site River Baseline'!$C$9:$R$257,3,FALSE))</f>
        <v/>
      </c>
      <c r="E92" s="520" t="str">
        <f>IF(D92="","",VLOOKUP($B92,'C-1 Site River Baseline'!$C$9:$R$257,4,FALSE))</f>
        <v/>
      </c>
      <c r="F92" s="520" t="str">
        <f>IF(E92="","",VLOOKUP($B92,'C-1 Site River Baseline'!$C$9:$R$257,5,FALSE))</f>
        <v/>
      </c>
      <c r="G92" s="520" t="str">
        <f>IF(F92="","",VLOOKUP($B92,'C-1 Site River Baseline'!$C$9:$R$257,6,FALSE))</f>
        <v/>
      </c>
      <c r="H92" s="520" t="str">
        <f>IF(G92="","",VLOOKUP($B92,'C-1 Site River Baseline'!$C$9:$R$257,7,FALSE))</f>
        <v/>
      </c>
      <c r="I92" s="520" t="str">
        <f>IF(H92="","",VLOOKUP($B92,'C-1 Site River Baseline'!$C$9:$R$257,8,FALSE))</f>
        <v/>
      </c>
      <c r="J92" s="520" t="str">
        <f>IF(I92="","",VLOOKUP($B92,'C-1 Site River Baseline'!$C$9:$R$257,9,FALSE))</f>
        <v/>
      </c>
      <c r="K92" s="520" t="str">
        <f>IF(J92="","",VLOOKUP($B92,'C-1 Site River Baseline'!$C$9:$R$257,10,FALSE))</f>
        <v/>
      </c>
      <c r="L92" s="520" t="str">
        <f>IF(B92="","",VLOOKUP($B92,'C-1 Site River Baseline'!$C$9:$R$257,15,FALSE))</f>
        <v/>
      </c>
      <c r="M92" s="524" t="str">
        <f>IF(L92="","",VLOOKUP($B92,'C-1 Site River Baseline'!$C$9:$R$257,16,FALSE))</f>
        <v/>
      </c>
      <c r="N92" s="418" t="str">
        <f t="shared" si="9"/>
        <v/>
      </c>
      <c r="O92" s="498" t="str">
        <f t="shared" si="10"/>
        <v/>
      </c>
      <c r="P92" s="499" t="str">
        <f>IF(C92="","",IF(AND(LEFT(C92,55)&lt;&gt;LEFT(N92,55),O92="High - High"),"Error - Not like for like ▲",IF(AND(F92=S92,H92&gt;U92),"Error - Can not reduce condition ▲",IF(AND(F92=S92,H92=U92,AJ92='C-1 Site River Baseline'!N90,'C-1 Site River Baseline'!P90=AL92),"Error - No enhancement ▲",IF(AND(C92&lt;&gt;N92,F92&lt;S92),"Lower Distinctiveness Habitat"&amp;" - "&amp;T92,G92&amp;" - "&amp;T92)))))</f>
        <v/>
      </c>
      <c r="Q92" s="567" t="str">
        <f>IF(N92="","",VLOOKUP(B92,'C-1 Site River Baseline'!$C$10:$AA$257,19,FALSE))</f>
        <v/>
      </c>
      <c r="R92" s="498" t="str">
        <f>IF(N92="","",VLOOKUP(N92,'G-7 Rivers Data'!$B$2:$G$8,2,FALSE))</f>
        <v/>
      </c>
      <c r="S92" s="499" t="str">
        <f>IFERROR(VLOOKUP(R92,'G-7 Rivers Data'!$C$4:$D$8,2,FALSE),"")</f>
        <v/>
      </c>
      <c r="T92" s="145"/>
      <c r="U92" s="499" t="str">
        <f>IFERROR(INDEX('G-7 Rivers Data'!$H$4:$L$8,MATCH(N92,'G-7 Rivers Data'!$B$4:$B$8,0),MATCH(T92,'G-7 Rivers Data'!$H$3:$L$3,0)),"")</f>
        <v/>
      </c>
      <c r="V92" s="154"/>
      <c r="W92" s="507" t="str">
        <f>IF(V92="","",IF(VLOOKUP(V92,'G-7 Rivers Data'!$AG$4:$AI$9,2,FALSE)=0,"Spatial Data Missing ⚠",VLOOKUP(V92,'G-7 Rivers Data'!$AG$4:$AI$9,2,FALSE)))</f>
        <v/>
      </c>
      <c r="X92" s="499" t="str">
        <f>IF(V92="","",IF(VLOOKUP(V92,'G-7 Rivers Data'!$AG$4:$AI$9,3,FALSE)=0,"Spatial Data Missing ⚠",VLOOKUP(V92,'G-7 Rivers Data'!$AG$4:$AI$9,3,FALSE)))</f>
        <v/>
      </c>
      <c r="Y92" s="498" t="str">
        <f>IFERROR(IF(OR(LEFT(P92,5)="Error ▲",LEFT(O92,5)="Error ▲"),"Check Data ⚠",IF(F92&lt;S92,'G-7 Rivers Data'!$R$3,INDEX('G-7 Rivers Data'!$U$5:$Y$9,MATCH(G92,'G-7 Rivers Data'!$T$5:$T$9,0),MATCH(T92,'G-7 Rivers Data'!$U$4:$Y$4,0)))),"")</f>
        <v/>
      </c>
      <c r="Z92" s="195"/>
      <c r="AA92" s="195"/>
      <c r="AB92" s="507" t="str">
        <f t="shared" si="11"/>
        <v/>
      </c>
      <c r="AC92" s="521" t="str">
        <f t="shared" si="12"/>
        <v/>
      </c>
      <c r="AD92" s="564" t="str">
        <f>IFERROR(IF(AC92="Check Data ⚠","Check Data ⚠",VLOOKUP(AC92,'G-4 Temporal multipliers'!$A$4:$C$37,3,FALSE)),"")</f>
        <v/>
      </c>
      <c r="AE92" s="498" t="str">
        <f>IF(N92="","",VLOOKUP(N92,'G-7 Rivers Data'!$B$4:$G$8,5,FALSE))</f>
        <v/>
      </c>
      <c r="AF92" s="507" t="str">
        <f t="shared" si="13"/>
        <v/>
      </c>
      <c r="AG92" s="540" t="str">
        <f t="shared" si="14"/>
        <v/>
      </c>
      <c r="AH92" s="499" t="str">
        <f t="shared" si="8"/>
        <v/>
      </c>
      <c r="AI92" s="145"/>
      <c r="AJ92" s="499" t="str">
        <f>IF(AI92="","",IF(VLOOKUP(AI92,'G-7 Rivers Data'!$AA$4:$AB$7,2,FALSE)=0,"Spatial Data Missing ⚠",VLOOKUP(AI92,'G-7 Rivers Data'!$AA$4:$AB$7,2,FALSE)))</f>
        <v/>
      </c>
      <c r="AK92" s="155"/>
      <c r="AL92" s="499" t="str">
        <f>IF(AK92="","",IF(VLOOKUP(AK92,'G-7 Rivers Data'!$AD$4:$AE$8,2,FALSE)=0,"Spatial Data Missing ⚠",VLOOKUP(AK92,'G-7 Rivers Data'!$AD$4:$AE$8,2,FALSE)))</f>
        <v/>
      </c>
      <c r="AM92" s="545" t="str">
        <f t="shared" si="15"/>
        <v/>
      </c>
      <c r="AN92" s="149"/>
      <c r="AO92" s="150"/>
      <c r="AV92" s="31" t="str">
        <f>IFERROR(INDEX('G-7 Rivers Data'!$AZ$3:$AZ$7,MATCH(N92,'G-7 Rivers Data'!$AY$3:$AY$7,0)),"")</f>
        <v/>
      </c>
    </row>
    <row r="93" spans="2:48" ht="14" x14ac:dyDescent="0.3">
      <c r="B93" s="531" t="str">
        <f>'C-1 Site River Baseline'!AN91</f>
        <v/>
      </c>
      <c r="C93" s="520" t="str">
        <f>IF(B93="","",VLOOKUP($B93,'C-1 Site River Baseline'!$C$9:$R$257,2,FALSE))</f>
        <v/>
      </c>
      <c r="D93" s="520" t="str">
        <f>IF(C93="","",VLOOKUP($B93,'C-1 Site River Baseline'!$C$9:$R$257,3,FALSE))</f>
        <v/>
      </c>
      <c r="E93" s="520" t="str">
        <f>IF(D93="","",VLOOKUP($B93,'C-1 Site River Baseline'!$C$9:$R$257,4,FALSE))</f>
        <v/>
      </c>
      <c r="F93" s="520" t="str">
        <f>IF(E93="","",VLOOKUP($B93,'C-1 Site River Baseline'!$C$9:$R$257,5,FALSE))</f>
        <v/>
      </c>
      <c r="G93" s="520" t="str">
        <f>IF(F93="","",VLOOKUP($B93,'C-1 Site River Baseline'!$C$9:$R$257,6,FALSE))</f>
        <v/>
      </c>
      <c r="H93" s="520" t="str">
        <f>IF(G93="","",VLOOKUP($B93,'C-1 Site River Baseline'!$C$9:$R$257,7,FALSE))</f>
        <v/>
      </c>
      <c r="I93" s="520" t="str">
        <f>IF(H93="","",VLOOKUP($B93,'C-1 Site River Baseline'!$C$9:$R$257,8,FALSE))</f>
        <v/>
      </c>
      <c r="J93" s="520" t="str">
        <f>IF(I93="","",VLOOKUP($B93,'C-1 Site River Baseline'!$C$9:$R$257,9,FALSE))</f>
        <v/>
      </c>
      <c r="K93" s="520" t="str">
        <f>IF(J93="","",VLOOKUP($B93,'C-1 Site River Baseline'!$C$9:$R$257,10,FALSE))</f>
        <v/>
      </c>
      <c r="L93" s="520" t="str">
        <f>IF(B93="","",VLOOKUP($B93,'C-1 Site River Baseline'!$C$9:$R$257,15,FALSE))</f>
        <v/>
      </c>
      <c r="M93" s="524" t="str">
        <f>IF(L93="","",VLOOKUP($B93,'C-1 Site River Baseline'!$C$9:$R$257,16,FALSE))</f>
        <v/>
      </c>
      <c r="N93" s="418" t="str">
        <f t="shared" si="9"/>
        <v/>
      </c>
      <c r="O93" s="498" t="str">
        <f t="shared" si="10"/>
        <v/>
      </c>
      <c r="P93" s="499" t="str">
        <f>IF(C93="","",IF(AND(LEFT(C93,55)&lt;&gt;LEFT(N93,55),O93="High - High"),"Error - Not like for like ▲",IF(AND(F93=S93,H93&gt;U93),"Error - Can not reduce condition ▲",IF(AND(F93=S93,H93=U93,AJ93='C-1 Site River Baseline'!N91,'C-1 Site River Baseline'!P91=AL93),"Error - No enhancement ▲",IF(AND(C93&lt;&gt;N93,F93&lt;S93),"Lower Distinctiveness Habitat"&amp;" - "&amp;T93,G93&amp;" - "&amp;T93)))))</f>
        <v/>
      </c>
      <c r="Q93" s="567" t="str">
        <f>IF(N93="","",VLOOKUP(B93,'C-1 Site River Baseline'!$C$10:$AA$257,19,FALSE))</f>
        <v/>
      </c>
      <c r="R93" s="498" t="str">
        <f>IF(N93="","",VLOOKUP(N93,'G-7 Rivers Data'!$B$2:$G$8,2,FALSE))</f>
        <v/>
      </c>
      <c r="S93" s="499" t="str">
        <f>IFERROR(VLOOKUP(R93,'G-7 Rivers Data'!$C$4:$D$8,2,FALSE),"")</f>
        <v/>
      </c>
      <c r="T93" s="145"/>
      <c r="U93" s="499" t="str">
        <f>IFERROR(INDEX('G-7 Rivers Data'!$H$4:$L$8,MATCH(N93,'G-7 Rivers Data'!$B$4:$B$8,0),MATCH(T93,'G-7 Rivers Data'!$H$3:$L$3,0)),"")</f>
        <v/>
      </c>
      <c r="V93" s="154"/>
      <c r="W93" s="507" t="str">
        <f>IF(V93="","",IF(VLOOKUP(V93,'G-7 Rivers Data'!$AG$4:$AI$9,2,FALSE)=0,"Spatial Data Missing ⚠",VLOOKUP(V93,'G-7 Rivers Data'!$AG$4:$AI$9,2,FALSE)))</f>
        <v/>
      </c>
      <c r="X93" s="499" t="str">
        <f>IF(V93="","",IF(VLOOKUP(V93,'G-7 Rivers Data'!$AG$4:$AI$9,3,FALSE)=0,"Spatial Data Missing ⚠",VLOOKUP(V93,'G-7 Rivers Data'!$AG$4:$AI$9,3,FALSE)))</f>
        <v/>
      </c>
      <c r="Y93" s="498" t="str">
        <f>IFERROR(IF(OR(LEFT(P93,5)="Error ▲",LEFT(O93,5)="Error ▲"),"Check Data ⚠",IF(F93&lt;S93,'G-7 Rivers Data'!$R$3,INDEX('G-7 Rivers Data'!$U$5:$Y$9,MATCH(G93,'G-7 Rivers Data'!$T$5:$T$9,0),MATCH(T93,'G-7 Rivers Data'!$U$4:$Y$4,0)))),"")</f>
        <v/>
      </c>
      <c r="Z93" s="195"/>
      <c r="AA93" s="195"/>
      <c r="AB93" s="507" t="str">
        <f t="shared" si="11"/>
        <v/>
      </c>
      <c r="AC93" s="521" t="str">
        <f t="shared" si="12"/>
        <v/>
      </c>
      <c r="AD93" s="564" t="str">
        <f>IFERROR(IF(AC93="Check Data ⚠","Check Data ⚠",VLOOKUP(AC93,'G-4 Temporal multipliers'!$A$4:$C$37,3,FALSE)),"")</f>
        <v/>
      </c>
      <c r="AE93" s="498" t="str">
        <f>IF(N93="","",VLOOKUP(N93,'G-7 Rivers Data'!$B$4:$G$8,5,FALSE))</f>
        <v/>
      </c>
      <c r="AF93" s="507" t="str">
        <f t="shared" si="13"/>
        <v/>
      </c>
      <c r="AG93" s="540" t="str">
        <f t="shared" si="14"/>
        <v/>
      </c>
      <c r="AH93" s="499" t="str">
        <f t="shared" si="8"/>
        <v/>
      </c>
      <c r="AI93" s="145"/>
      <c r="AJ93" s="499" t="str">
        <f>IF(AI93="","",IF(VLOOKUP(AI93,'G-7 Rivers Data'!$AA$4:$AB$7,2,FALSE)=0,"Spatial Data Missing ⚠",VLOOKUP(AI93,'G-7 Rivers Data'!$AA$4:$AB$7,2,FALSE)))</f>
        <v/>
      </c>
      <c r="AK93" s="155"/>
      <c r="AL93" s="499" t="str">
        <f>IF(AK93="","",IF(VLOOKUP(AK93,'G-7 Rivers Data'!$AD$4:$AE$8,2,FALSE)=0,"Spatial Data Missing ⚠",VLOOKUP(AK93,'G-7 Rivers Data'!$AD$4:$AE$8,2,FALSE)))</f>
        <v/>
      </c>
      <c r="AM93" s="545" t="str">
        <f t="shared" si="15"/>
        <v/>
      </c>
      <c r="AN93" s="149"/>
      <c r="AO93" s="150"/>
      <c r="AV93" s="31" t="str">
        <f>IFERROR(INDEX('G-7 Rivers Data'!$AZ$3:$AZ$7,MATCH(N93,'G-7 Rivers Data'!$AY$3:$AY$7,0)),"")</f>
        <v/>
      </c>
    </row>
    <row r="94" spans="2:48" ht="14" x14ac:dyDescent="0.3">
      <c r="B94" s="531" t="str">
        <f>'C-1 Site River Baseline'!AN92</f>
        <v/>
      </c>
      <c r="C94" s="520" t="str">
        <f>IF(B94="","",VLOOKUP($B94,'C-1 Site River Baseline'!$C$9:$R$257,2,FALSE))</f>
        <v/>
      </c>
      <c r="D94" s="520" t="str">
        <f>IF(C94="","",VLOOKUP($B94,'C-1 Site River Baseline'!$C$9:$R$257,3,FALSE))</f>
        <v/>
      </c>
      <c r="E94" s="520" t="str">
        <f>IF(D94="","",VLOOKUP($B94,'C-1 Site River Baseline'!$C$9:$R$257,4,FALSE))</f>
        <v/>
      </c>
      <c r="F94" s="520" t="str">
        <f>IF(E94="","",VLOOKUP($B94,'C-1 Site River Baseline'!$C$9:$R$257,5,FALSE))</f>
        <v/>
      </c>
      <c r="G94" s="520" t="str">
        <f>IF(F94="","",VLOOKUP($B94,'C-1 Site River Baseline'!$C$9:$R$257,6,FALSE))</f>
        <v/>
      </c>
      <c r="H94" s="520" t="str">
        <f>IF(G94="","",VLOOKUP($B94,'C-1 Site River Baseline'!$C$9:$R$257,7,FALSE))</f>
        <v/>
      </c>
      <c r="I94" s="520" t="str">
        <f>IF(H94="","",VLOOKUP($B94,'C-1 Site River Baseline'!$C$9:$R$257,8,FALSE))</f>
        <v/>
      </c>
      <c r="J94" s="520" t="str">
        <f>IF(I94="","",VLOOKUP($B94,'C-1 Site River Baseline'!$C$9:$R$257,9,FALSE))</f>
        <v/>
      </c>
      <c r="K94" s="520" t="str">
        <f>IF(J94="","",VLOOKUP($B94,'C-1 Site River Baseline'!$C$9:$R$257,10,FALSE))</f>
        <v/>
      </c>
      <c r="L94" s="520" t="str">
        <f>IF(B94="","",VLOOKUP($B94,'C-1 Site River Baseline'!$C$9:$R$257,15,FALSE))</f>
        <v/>
      </c>
      <c r="M94" s="524" t="str">
        <f>IF(L94="","",VLOOKUP($B94,'C-1 Site River Baseline'!$C$9:$R$257,16,FALSE))</f>
        <v/>
      </c>
      <c r="N94" s="418" t="str">
        <f t="shared" si="9"/>
        <v/>
      </c>
      <c r="O94" s="498" t="str">
        <f t="shared" si="10"/>
        <v/>
      </c>
      <c r="P94" s="499" t="str">
        <f>IF(C94="","",IF(AND(LEFT(C94,55)&lt;&gt;LEFT(N94,55),O94="High - High"),"Error - Not like for like ▲",IF(AND(F94=S94,H94&gt;U94),"Error - Can not reduce condition ▲",IF(AND(F94=S94,H94=U94,AJ94='C-1 Site River Baseline'!N92,'C-1 Site River Baseline'!P92=AL94),"Error - No enhancement ▲",IF(AND(C94&lt;&gt;N94,F94&lt;S94),"Lower Distinctiveness Habitat"&amp;" - "&amp;T94,G94&amp;" - "&amp;T94)))))</f>
        <v/>
      </c>
      <c r="Q94" s="567" t="str">
        <f>IF(N94="","",VLOOKUP(B94,'C-1 Site River Baseline'!$C$10:$AA$257,19,FALSE))</f>
        <v/>
      </c>
      <c r="R94" s="498" t="str">
        <f>IF(N94="","",VLOOKUP(N94,'G-7 Rivers Data'!$B$2:$G$8,2,FALSE))</f>
        <v/>
      </c>
      <c r="S94" s="499" t="str">
        <f>IFERROR(VLOOKUP(R94,'G-7 Rivers Data'!$C$4:$D$8,2,FALSE),"")</f>
        <v/>
      </c>
      <c r="T94" s="145"/>
      <c r="U94" s="499" t="str">
        <f>IFERROR(INDEX('G-7 Rivers Data'!$H$4:$L$8,MATCH(N94,'G-7 Rivers Data'!$B$4:$B$8,0),MATCH(T94,'G-7 Rivers Data'!$H$3:$L$3,0)),"")</f>
        <v/>
      </c>
      <c r="V94" s="154"/>
      <c r="W94" s="507" t="str">
        <f>IF(V94="","",IF(VLOOKUP(V94,'G-7 Rivers Data'!$AG$4:$AI$9,2,FALSE)=0,"Spatial Data Missing ⚠",VLOOKUP(V94,'G-7 Rivers Data'!$AG$4:$AI$9,2,FALSE)))</f>
        <v/>
      </c>
      <c r="X94" s="499" t="str">
        <f>IF(V94="","",IF(VLOOKUP(V94,'G-7 Rivers Data'!$AG$4:$AI$9,3,FALSE)=0,"Spatial Data Missing ⚠",VLOOKUP(V94,'G-7 Rivers Data'!$AG$4:$AI$9,3,FALSE)))</f>
        <v/>
      </c>
      <c r="Y94" s="498" t="str">
        <f>IFERROR(IF(OR(LEFT(P94,5)="Error ▲",LEFT(O94,5)="Error ▲"),"Check Data ⚠",IF(F94&lt;S94,'G-7 Rivers Data'!$R$3,INDEX('G-7 Rivers Data'!$U$5:$Y$9,MATCH(G94,'G-7 Rivers Data'!$T$5:$T$9,0),MATCH(T94,'G-7 Rivers Data'!$U$4:$Y$4,0)))),"")</f>
        <v/>
      </c>
      <c r="Z94" s="195"/>
      <c r="AA94" s="195"/>
      <c r="AB94" s="507" t="str">
        <f t="shared" si="11"/>
        <v/>
      </c>
      <c r="AC94" s="521" t="str">
        <f t="shared" si="12"/>
        <v/>
      </c>
      <c r="AD94" s="564" t="str">
        <f>IFERROR(IF(AC94="Check Data ⚠","Check Data ⚠",VLOOKUP(AC94,'G-4 Temporal multipliers'!$A$4:$C$37,3,FALSE)),"")</f>
        <v/>
      </c>
      <c r="AE94" s="498" t="str">
        <f>IF(N94="","",VLOOKUP(N94,'G-7 Rivers Data'!$B$4:$G$8,5,FALSE))</f>
        <v/>
      </c>
      <c r="AF94" s="507" t="str">
        <f t="shared" si="13"/>
        <v/>
      </c>
      <c r="AG94" s="540" t="str">
        <f t="shared" si="14"/>
        <v/>
      </c>
      <c r="AH94" s="499" t="str">
        <f t="shared" si="8"/>
        <v/>
      </c>
      <c r="AI94" s="145"/>
      <c r="AJ94" s="499" t="str">
        <f>IF(AI94="","",IF(VLOOKUP(AI94,'G-7 Rivers Data'!$AA$4:$AB$7,2,FALSE)=0,"Spatial Data Missing ⚠",VLOOKUP(AI94,'G-7 Rivers Data'!$AA$4:$AB$7,2,FALSE)))</f>
        <v/>
      </c>
      <c r="AK94" s="155"/>
      <c r="AL94" s="499" t="str">
        <f>IF(AK94="","",IF(VLOOKUP(AK94,'G-7 Rivers Data'!$AD$4:$AE$8,2,FALSE)=0,"Spatial Data Missing ⚠",VLOOKUP(AK94,'G-7 Rivers Data'!$AD$4:$AE$8,2,FALSE)))</f>
        <v/>
      </c>
      <c r="AM94" s="545" t="str">
        <f t="shared" si="15"/>
        <v/>
      </c>
      <c r="AN94" s="149"/>
      <c r="AO94" s="150"/>
      <c r="AV94" s="31" t="str">
        <f>IFERROR(INDEX('G-7 Rivers Data'!$AZ$3:$AZ$7,MATCH(N94,'G-7 Rivers Data'!$AY$3:$AY$7,0)),"")</f>
        <v/>
      </c>
    </row>
    <row r="95" spans="2:48" ht="14" x14ac:dyDescent="0.3">
      <c r="B95" s="531" t="str">
        <f>'C-1 Site River Baseline'!AN93</f>
        <v/>
      </c>
      <c r="C95" s="520" t="str">
        <f>IF(B95="","",VLOOKUP($B95,'C-1 Site River Baseline'!$C$9:$R$257,2,FALSE))</f>
        <v/>
      </c>
      <c r="D95" s="520" t="str">
        <f>IF(C95="","",VLOOKUP($B95,'C-1 Site River Baseline'!$C$9:$R$257,3,FALSE))</f>
        <v/>
      </c>
      <c r="E95" s="520" t="str">
        <f>IF(D95="","",VLOOKUP($B95,'C-1 Site River Baseline'!$C$9:$R$257,4,FALSE))</f>
        <v/>
      </c>
      <c r="F95" s="520" t="str">
        <f>IF(E95="","",VLOOKUP($B95,'C-1 Site River Baseline'!$C$9:$R$257,5,FALSE))</f>
        <v/>
      </c>
      <c r="G95" s="520" t="str">
        <f>IF(F95="","",VLOOKUP($B95,'C-1 Site River Baseline'!$C$9:$R$257,6,FALSE))</f>
        <v/>
      </c>
      <c r="H95" s="520" t="str">
        <f>IF(G95="","",VLOOKUP($B95,'C-1 Site River Baseline'!$C$9:$R$257,7,FALSE))</f>
        <v/>
      </c>
      <c r="I95" s="520" t="str">
        <f>IF(H95="","",VLOOKUP($B95,'C-1 Site River Baseline'!$C$9:$R$257,8,FALSE))</f>
        <v/>
      </c>
      <c r="J95" s="520" t="str">
        <f>IF(I95="","",VLOOKUP($B95,'C-1 Site River Baseline'!$C$9:$R$257,9,FALSE))</f>
        <v/>
      </c>
      <c r="K95" s="520" t="str">
        <f>IF(J95="","",VLOOKUP($B95,'C-1 Site River Baseline'!$C$9:$R$257,10,FALSE))</f>
        <v/>
      </c>
      <c r="L95" s="520" t="str">
        <f>IF(B95="","",VLOOKUP($B95,'C-1 Site River Baseline'!$C$9:$R$257,15,FALSE))</f>
        <v/>
      </c>
      <c r="M95" s="524" t="str">
        <f>IF(L95="","",VLOOKUP($B95,'C-1 Site River Baseline'!$C$9:$R$257,16,FALSE))</f>
        <v/>
      </c>
      <c r="N95" s="418" t="str">
        <f t="shared" si="9"/>
        <v/>
      </c>
      <c r="O95" s="498" t="str">
        <f t="shared" si="10"/>
        <v/>
      </c>
      <c r="P95" s="499" t="str">
        <f>IF(C95="","",IF(AND(LEFT(C95,55)&lt;&gt;LEFT(N95,55),O95="High - High"),"Error - Not like for like ▲",IF(AND(F95=S95,H95&gt;U95),"Error - Can not reduce condition ▲",IF(AND(F95=S95,H95=U95,AJ95='C-1 Site River Baseline'!N93,'C-1 Site River Baseline'!P93=AL95),"Error - No enhancement ▲",IF(AND(C95&lt;&gt;N95,F95&lt;S95),"Lower Distinctiveness Habitat"&amp;" - "&amp;T95,G95&amp;" - "&amp;T95)))))</f>
        <v/>
      </c>
      <c r="Q95" s="567" t="str">
        <f>IF(N95="","",VLOOKUP(B95,'C-1 Site River Baseline'!$C$10:$AA$257,19,FALSE))</f>
        <v/>
      </c>
      <c r="R95" s="498" t="str">
        <f>IF(N95="","",VLOOKUP(N95,'G-7 Rivers Data'!$B$2:$G$8,2,FALSE))</f>
        <v/>
      </c>
      <c r="S95" s="499" t="str">
        <f>IFERROR(VLOOKUP(R95,'G-7 Rivers Data'!$C$4:$D$8,2,FALSE),"")</f>
        <v/>
      </c>
      <c r="T95" s="145"/>
      <c r="U95" s="499" t="str">
        <f>IFERROR(INDEX('G-7 Rivers Data'!$H$4:$L$8,MATCH(N95,'G-7 Rivers Data'!$B$4:$B$8,0),MATCH(T95,'G-7 Rivers Data'!$H$3:$L$3,0)),"")</f>
        <v/>
      </c>
      <c r="V95" s="154"/>
      <c r="W95" s="507" t="str">
        <f>IF(V95="","",IF(VLOOKUP(V95,'G-7 Rivers Data'!$AG$4:$AI$9,2,FALSE)=0,"Spatial Data Missing ⚠",VLOOKUP(V95,'G-7 Rivers Data'!$AG$4:$AI$9,2,FALSE)))</f>
        <v/>
      </c>
      <c r="X95" s="499" t="str">
        <f>IF(V95="","",IF(VLOOKUP(V95,'G-7 Rivers Data'!$AG$4:$AI$9,3,FALSE)=0,"Spatial Data Missing ⚠",VLOOKUP(V95,'G-7 Rivers Data'!$AG$4:$AI$9,3,FALSE)))</f>
        <v/>
      </c>
      <c r="Y95" s="498" t="str">
        <f>IFERROR(IF(OR(LEFT(P95,5)="Error ▲",LEFT(O95,5)="Error ▲"),"Check Data ⚠",IF(F95&lt;S95,'G-7 Rivers Data'!$R$3,INDEX('G-7 Rivers Data'!$U$5:$Y$9,MATCH(G95,'G-7 Rivers Data'!$T$5:$T$9,0),MATCH(T95,'G-7 Rivers Data'!$U$4:$Y$4,0)))),"")</f>
        <v/>
      </c>
      <c r="Z95" s="195"/>
      <c r="AA95" s="195"/>
      <c r="AB95" s="507" t="str">
        <f t="shared" si="11"/>
        <v/>
      </c>
      <c r="AC95" s="521" t="str">
        <f t="shared" si="12"/>
        <v/>
      </c>
      <c r="AD95" s="564" t="str">
        <f>IFERROR(IF(AC95="Check Data ⚠","Check Data ⚠",VLOOKUP(AC95,'G-4 Temporal multipliers'!$A$4:$C$37,3,FALSE)),"")</f>
        <v/>
      </c>
      <c r="AE95" s="498" t="str">
        <f>IF(N95="","",VLOOKUP(N95,'G-7 Rivers Data'!$B$4:$G$8,5,FALSE))</f>
        <v/>
      </c>
      <c r="AF95" s="507" t="str">
        <f t="shared" si="13"/>
        <v/>
      </c>
      <c r="AG95" s="540" t="str">
        <f t="shared" si="14"/>
        <v/>
      </c>
      <c r="AH95" s="499" t="str">
        <f t="shared" si="8"/>
        <v/>
      </c>
      <c r="AI95" s="145"/>
      <c r="AJ95" s="499" t="str">
        <f>IF(AI95="","",IF(VLOOKUP(AI95,'G-7 Rivers Data'!$AA$4:$AB$7,2,FALSE)=0,"Spatial Data Missing ⚠",VLOOKUP(AI95,'G-7 Rivers Data'!$AA$4:$AB$7,2,FALSE)))</f>
        <v/>
      </c>
      <c r="AK95" s="155"/>
      <c r="AL95" s="499" t="str">
        <f>IF(AK95="","",IF(VLOOKUP(AK95,'G-7 Rivers Data'!$AD$4:$AE$8,2,FALSE)=0,"Spatial Data Missing ⚠",VLOOKUP(AK95,'G-7 Rivers Data'!$AD$4:$AE$8,2,FALSE)))</f>
        <v/>
      </c>
      <c r="AM95" s="545" t="str">
        <f t="shared" si="15"/>
        <v/>
      </c>
      <c r="AN95" s="149"/>
      <c r="AO95" s="150"/>
      <c r="AV95" s="31" t="str">
        <f>IFERROR(INDEX('G-7 Rivers Data'!$AZ$3:$AZ$7,MATCH(N95,'G-7 Rivers Data'!$AY$3:$AY$7,0)),"")</f>
        <v/>
      </c>
    </row>
    <row r="96" spans="2:48" ht="14" x14ac:dyDescent="0.3">
      <c r="B96" s="531" t="str">
        <f>'C-1 Site River Baseline'!AN94</f>
        <v/>
      </c>
      <c r="C96" s="520" t="str">
        <f>IF(B96="","",VLOOKUP($B96,'C-1 Site River Baseline'!$C$9:$R$257,2,FALSE))</f>
        <v/>
      </c>
      <c r="D96" s="520" t="str">
        <f>IF(C96="","",VLOOKUP($B96,'C-1 Site River Baseline'!$C$9:$R$257,3,FALSE))</f>
        <v/>
      </c>
      <c r="E96" s="520" t="str">
        <f>IF(D96="","",VLOOKUP($B96,'C-1 Site River Baseline'!$C$9:$R$257,4,FALSE))</f>
        <v/>
      </c>
      <c r="F96" s="520" t="str">
        <f>IF(E96="","",VLOOKUP($B96,'C-1 Site River Baseline'!$C$9:$R$257,5,FALSE))</f>
        <v/>
      </c>
      <c r="G96" s="520" t="str">
        <f>IF(F96="","",VLOOKUP($B96,'C-1 Site River Baseline'!$C$9:$R$257,6,FALSE))</f>
        <v/>
      </c>
      <c r="H96" s="520" t="str">
        <f>IF(G96="","",VLOOKUP($B96,'C-1 Site River Baseline'!$C$9:$R$257,7,FALSE))</f>
        <v/>
      </c>
      <c r="I96" s="520" t="str">
        <f>IF(H96="","",VLOOKUP($B96,'C-1 Site River Baseline'!$C$9:$R$257,8,FALSE))</f>
        <v/>
      </c>
      <c r="J96" s="520" t="str">
        <f>IF(I96="","",VLOOKUP($B96,'C-1 Site River Baseline'!$C$9:$R$257,9,FALSE))</f>
        <v/>
      </c>
      <c r="K96" s="520" t="str">
        <f>IF(J96="","",VLOOKUP($B96,'C-1 Site River Baseline'!$C$9:$R$257,10,FALSE))</f>
        <v/>
      </c>
      <c r="L96" s="520" t="str">
        <f>IF(B96="","",VLOOKUP($B96,'C-1 Site River Baseline'!$C$9:$R$257,15,FALSE))</f>
        <v/>
      </c>
      <c r="M96" s="524" t="str">
        <f>IF(L96="","",VLOOKUP($B96,'C-1 Site River Baseline'!$C$9:$R$257,16,FALSE))</f>
        <v/>
      </c>
      <c r="N96" s="418" t="str">
        <f t="shared" si="9"/>
        <v/>
      </c>
      <c r="O96" s="498" t="str">
        <f t="shared" si="10"/>
        <v/>
      </c>
      <c r="P96" s="499" t="str">
        <f>IF(C96="","",IF(AND(LEFT(C96,55)&lt;&gt;LEFT(N96,55),O96="High - High"),"Error - Not like for like ▲",IF(AND(F96=S96,H96&gt;U96),"Error - Can not reduce condition ▲",IF(AND(F96=S96,H96=U96,AJ96='C-1 Site River Baseline'!N94,'C-1 Site River Baseline'!P94=AL96),"Error - No enhancement ▲",IF(AND(C96&lt;&gt;N96,F96&lt;S96),"Lower Distinctiveness Habitat"&amp;" - "&amp;T96,G96&amp;" - "&amp;T96)))))</f>
        <v/>
      </c>
      <c r="Q96" s="567" t="str">
        <f>IF(N96="","",VLOOKUP(B96,'C-1 Site River Baseline'!$C$10:$AA$257,19,FALSE))</f>
        <v/>
      </c>
      <c r="R96" s="498" t="str">
        <f>IF(N96="","",VLOOKUP(N96,'G-7 Rivers Data'!$B$2:$G$8,2,FALSE))</f>
        <v/>
      </c>
      <c r="S96" s="499" t="str">
        <f>IFERROR(VLOOKUP(R96,'G-7 Rivers Data'!$C$4:$D$8,2,FALSE),"")</f>
        <v/>
      </c>
      <c r="T96" s="145"/>
      <c r="U96" s="499" t="str">
        <f>IFERROR(INDEX('G-7 Rivers Data'!$H$4:$L$8,MATCH(N96,'G-7 Rivers Data'!$B$4:$B$8,0),MATCH(T96,'G-7 Rivers Data'!$H$3:$L$3,0)),"")</f>
        <v/>
      </c>
      <c r="V96" s="154"/>
      <c r="W96" s="507" t="str">
        <f>IF(V96="","",IF(VLOOKUP(V96,'G-7 Rivers Data'!$AG$4:$AI$9,2,FALSE)=0,"Spatial Data Missing ⚠",VLOOKUP(V96,'G-7 Rivers Data'!$AG$4:$AI$9,2,FALSE)))</f>
        <v/>
      </c>
      <c r="X96" s="499" t="str">
        <f>IF(V96="","",IF(VLOOKUP(V96,'G-7 Rivers Data'!$AG$4:$AI$9,3,FALSE)=0,"Spatial Data Missing ⚠",VLOOKUP(V96,'G-7 Rivers Data'!$AG$4:$AI$9,3,FALSE)))</f>
        <v/>
      </c>
      <c r="Y96" s="498" t="str">
        <f>IFERROR(IF(OR(LEFT(P96,5)="Error ▲",LEFT(O96,5)="Error ▲"),"Check Data ⚠",IF(F96&lt;S96,'G-7 Rivers Data'!$R$3,INDEX('G-7 Rivers Data'!$U$5:$Y$9,MATCH(G96,'G-7 Rivers Data'!$T$5:$T$9,0),MATCH(T96,'G-7 Rivers Data'!$U$4:$Y$4,0)))),"")</f>
        <v/>
      </c>
      <c r="Z96" s="195"/>
      <c r="AA96" s="195"/>
      <c r="AB96" s="507" t="str">
        <f t="shared" si="11"/>
        <v/>
      </c>
      <c r="AC96" s="521" t="str">
        <f t="shared" si="12"/>
        <v/>
      </c>
      <c r="AD96" s="564" t="str">
        <f>IFERROR(IF(AC96="Check Data ⚠","Check Data ⚠",VLOOKUP(AC96,'G-4 Temporal multipliers'!$A$4:$C$37,3,FALSE)),"")</f>
        <v/>
      </c>
      <c r="AE96" s="498" t="str">
        <f>IF(N96="","",VLOOKUP(N96,'G-7 Rivers Data'!$B$4:$G$8,5,FALSE))</f>
        <v/>
      </c>
      <c r="AF96" s="507" t="str">
        <f t="shared" si="13"/>
        <v/>
      </c>
      <c r="AG96" s="540" t="str">
        <f t="shared" si="14"/>
        <v/>
      </c>
      <c r="AH96" s="499" t="str">
        <f t="shared" si="8"/>
        <v/>
      </c>
      <c r="AI96" s="145"/>
      <c r="AJ96" s="499" t="str">
        <f>IF(AI96="","",IF(VLOOKUP(AI96,'G-7 Rivers Data'!$AA$4:$AB$7,2,FALSE)=0,"Spatial Data Missing ⚠",VLOOKUP(AI96,'G-7 Rivers Data'!$AA$4:$AB$7,2,FALSE)))</f>
        <v/>
      </c>
      <c r="AK96" s="155"/>
      <c r="AL96" s="499" t="str">
        <f>IF(AK96="","",IF(VLOOKUP(AK96,'G-7 Rivers Data'!$AD$4:$AE$8,2,FALSE)=0,"Spatial Data Missing ⚠",VLOOKUP(AK96,'G-7 Rivers Data'!$AD$4:$AE$8,2,FALSE)))</f>
        <v/>
      </c>
      <c r="AM96" s="545" t="str">
        <f t="shared" si="15"/>
        <v/>
      </c>
      <c r="AN96" s="149"/>
      <c r="AO96" s="150"/>
      <c r="AV96" s="31" t="str">
        <f>IFERROR(INDEX('G-7 Rivers Data'!$AZ$3:$AZ$7,MATCH(N96,'G-7 Rivers Data'!$AY$3:$AY$7,0)),"")</f>
        <v/>
      </c>
    </row>
    <row r="97" spans="2:48" ht="14" x14ac:dyDescent="0.3">
      <c r="B97" s="531" t="str">
        <f>'C-1 Site River Baseline'!AN95</f>
        <v/>
      </c>
      <c r="C97" s="520" t="str">
        <f>IF(B97="","",VLOOKUP($B97,'C-1 Site River Baseline'!$C$9:$R$257,2,FALSE))</f>
        <v/>
      </c>
      <c r="D97" s="520" t="str">
        <f>IF(C97="","",VLOOKUP($B97,'C-1 Site River Baseline'!$C$9:$R$257,3,FALSE))</f>
        <v/>
      </c>
      <c r="E97" s="520" t="str">
        <f>IF(D97="","",VLOOKUP($B97,'C-1 Site River Baseline'!$C$9:$R$257,4,FALSE))</f>
        <v/>
      </c>
      <c r="F97" s="520" t="str">
        <f>IF(E97="","",VLOOKUP($B97,'C-1 Site River Baseline'!$C$9:$R$257,5,FALSE))</f>
        <v/>
      </c>
      <c r="G97" s="520" t="str">
        <f>IF(F97="","",VLOOKUP($B97,'C-1 Site River Baseline'!$C$9:$R$257,6,FALSE))</f>
        <v/>
      </c>
      <c r="H97" s="520" t="str">
        <f>IF(G97="","",VLOOKUP($B97,'C-1 Site River Baseline'!$C$9:$R$257,7,FALSE))</f>
        <v/>
      </c>
      <c r="I97" s="520" t="str">
        <f>IF(H97="","",VLOOKUP($B97,'C-1 Site River Baseline'!$C$9:$R$257,8,FALSE))</f>
        <v/>
      </c>
      <c r="J97" s="520" t="str">
        <f>IF(I97="","",VLOOKUP($B97,'C-1 Site River Baseline'!$C$9:$R$257,9,FALSE))</f>
        <v/>
      </c>
      <c r="K97" s="520" t="str">
        <f>IF(J97="","",VLOOKUP($B97,'C-1 Site River Baseline'!$C$9:$R$257,10,FALSE))</f>
        <v/>
      </c>
      <c r="L97" s="520" t="str">
        <f>IF(B97="","",VLOOKUP($B97,'C-1 Site River Baseline'!$C$9:$R$257,15,FALSE))</f>
        <v/>
      </c>
      <c r="M97" s="524" t="str">
        <f>IF(L97="","",VLOOKUP($B97,'C-1 Site River Baseline'!$C$9:$R$257,16,FALSE))</f>
        <v/>
      </c>
      <c r="N97" s="418" t="str">
        <f t="shared" si="9"/>
        <v/>
      </c>
      <c r="O97" s="498" t="str">
        <f t="shared" si="10"/>
        <v/>
      </c>
      <c r="P97" s="499" t="str">
        <f>IF(C97="","",IF(AND(LEFT(C97,55)&lt;&gt;LEFT(N97,55),O97="High - High"),"Error - Not like for like ▲",IF(AND(F97=S97,H97&gt;U97),"Error - Can not reduce condition ▲",IF(AND(F97=S97,H97=U97,AJ97='C-1 Site River Baseline'!N95,'C-1 Site River Baseline'!P95=AL97),"Error - No enhancement ▲",IF(AND(C97&lt;&gt;N97,F97&lt;S97),"Lower Distinctiveness Habitat"&amp;" - "&amp;T97,G97&amp;" - "&amp;T97)))))</f>
        <v/>
      </c>
      <c r="Q97" s="567" t="str">
        <f>IF(N97="","",VLOOKUP(B97,'C-1 Site River Baseline'!$C$10:$AA$257,19,FALSE))</f>
        <v/>
      </c>
      <c r="R97" s="498" t="str">
        <f>IF(N97="","",VLOOKUP(N97,'G-7 Rivers Data'!$B$2:$G$8,2,FALSE))</f>
        <v/>
      </c>
      <c r="S97" s="499" t="str">
        <f>IFERROR(VLOOKUP(R97,'G-7 Rivers Data'!$C$4:$D$8,2,FALSE),"")</f>
        <v/>
      </c>
      <c r="T97" s="145"/>
      <c r="U97" s="499" t="str">
        <f>IFERROR(INDEX('G-7 Rivers Data'!$H$4:$L$8,MATCH(N97,'G-7 Rivers Data'!$B$4:$B$8,0),MATCH(T97,'G-7 Rivers Data'!$H$3:$L$3,0)),"")</f>
        <v/>
      </c>
      <c r="V97" s="154"/>
      <c r="W97" s="507" t="str">
        <f>IF(V97="","",IF(VLOOKUP(V97,'G-7 Rivers Data'!$AG$4:$AI$9,2,FALSE)=0,"Spatial Data Missing ⚠",VLOOKUP(V97,'G-7 Rivers Data'!$AG$4:$AI$9,2,FALSE)))</f>
        <v/>
      </c>
      <c r="X97" s="499" t="str">
        <f>IF(V97="","",IF(VLOOKUP(V97,'G-7 Rivers Data'!$AG$4:$AI$9,3,FALSE)=0,"Spatial Data Missing ⚠",VLOOKUP(V97,'G-7 Rivers Data'!$AG$4:$AI$9,3,FALSE)))</f>
        <v/>
      </c>
      <c r="Y97" s="498" t="str">
        <f>IFERROR(IF(OR(LEFT(P97,5)="Error ▲",LEFT(O97,5)="Error ▲"),"Check Data ⚠",IF(F97&lt;S97,'G-7 Rivers Data'!$R$3,INDEX('G-7 Rivers Data'!$U$5:$Y$9,MATCH(G97,'G-7 Rivers Data'!$T$5:$T$9,0),MATCH(T97,'G-7 Rivers Data'!$U$4:$Y$4,0)))),"")</f>
        <v/>
      </c>
      <c r="Z97" s="195"/>
      <c r="AA97" s="195"/>
      <c r="AB97" s="507" t="str">
        <f t="shared" si="11"/>
        <v/>
      </c>
      <c r="AC97" s="521" t="str">
        <f t="shared" si="12"/>
        <v/>
      </c>
      <c r="AD97" s="564" t="str">
        <f>IFERROR(IF(AC97="Check Data ⚠","Check Data ⚠",VLOOKUP(AC97,'G-4 Temporal multipliers'!$A$4:$C$37,3,FALSE)),"")</f>
        <v/>
      </c>
      <c r="AE97" s="498" t="str">
        <f>IF(N97="","",VLOOKUP(N97,'G-7 Rivers Data'!$B$4:$G$8,5,FALSE))</f>
        <v/>
      </c>
      <c r="AF97" s="507" t="str">
        <f t="shared" si="13"/>
        <v/>
      </c>
      <c r="AG97" s="540" t="str">
        <f t="shared" si="14"/>
        <v/>
      </c>
      <c r="AH97" s="499" t="str">
        <f t="shared" si="8"/>
        <v/>
      </c>
      <c r="AI97" s="145"/>
      <c r="AJ97" s="499" t="str">
        <f>IF(AI97="","",IF(VLOOKUP(AI97,'G-7 Rivers Data'!$AA$4:$AB$7,2,FALSE)=0,"Spatial Data Missing ⚠",VLOOKUP(AI97,'G-7 Rivers Data'!$AA$4:$AB$7,2,FALSE)))</f>
        <v/>
      </c>
      <c r="AK97" s="155"/>
      <c r="AL97" s="499" t="str">
        <f>IF(AK97="","",IF(VLOOKUP(AK97,'G-7 Rivers Data'!$AD$4:$AE$8,2,FALSE)=0,"Spatial Data Missing ⚠",VLOOKUP(AK97,'G-7 Rivers Data'!$AD$4:$AE$8,2,FALSE)))</f>
        <v/>
      </c>
      <c r="AM97" s="545" t="str">
        <f t="shared" si="15"/>
        <v/>
      </c>
      <c r="AN97" s="149"/>
      <c r="AO97" s="150"/>
      <c r="AV97" s="31" t="str">
        <f>IFERROR(INDEX('G-7 Rivers Data'!$AZ$3:$AZ$7,MATCH(N97,'G-7 Rivers Data'!$AY$3:$AY$7,0)),"")</f>
        <v/>
      </c>
    </row>
    <row r="98" spans="2:48" ht="14" x14ac:dyDescent="0.3">
      <c r="B98" s="531" t="str">
        <f>'C-1 Site River Baseline'!AN96</f>
        <v/>
      </c>
      <c r="C98" s="520" t="str">
        <f>IF(B98="","",VLOOKUP($B98,'C-1 Site River Baseline'!$C$9:$R$257,2,FALSE))</f>
        <v/>
      </c>
      <c r="D98" s="520" t="str">
        <f>IF(C98="","",VLOOKUP($B98,'C-1 Site River Baseline'!$C$9:$R$257,3,FALSE))</f>
        <v/>
      </c>
      <c r="E98" s="520" t="str">
        <f>IF(D98="","",VLOOKUP($B98,'C-1 Site River Baseline'!$C$9:$R$257,4,FALSE))</f>
        <v/>
      </c>
      <c r="F98" s="520" t="str">
        <f>IF(E98="","",VLOOKUP($B98,'C-1 Site River Baseline'!$C$9:$R$257,5,FALSE))</f>
        <v/>
      </c>
      <c r="G98" s="520" t="str">
        <f>IF(F98="","",VLOOKUP($B98,'C-1 Site River Baseline'!$C$9:$R$257,6,FALSE))</f>
        <v/>
      </c>
      <c r="H98" s="520" t="str">
        <f>IF(G98="","",VLOOKUP($B98,'C-1 Site River Baseline'!$C$9:$R$257,7,FALSE))</f>
        <v/>
      </c>
      <c r="I98" s="520" t="str">
        <f>IF(H98="","",VLOOKUP($B98,'C-1 Site River Baseline'!$C$9:$R$257,8,FALSE))</f>
        <v/>
      </c>
      <c r="J98" s="520" t="str">
        <f>IF(I98="","",VLOOKUP($B98,'C-1 Site River Baseline'!$C$9:$R$257,9,FALSE))</f>
        <v/>
      </c>
      <c r="K98" s="520" t="str">
        <f>IF(J98="","",VLOOKUP($B98,'C-1 Site River Baseline'!$C$9:$R$257,10,FALSE))</f>
        <v/>
      </c>
      <c r="L98" s="520" t="str">
        <f>IF(B98="","",VLOOKUP($B98,'C-1 Site River Baseline'!$C$9:$R$257,15,FALSE))</f>
        <v/>
      </c>
      <c r="M98" s="524" t="str">
        <f>IF(L98="","",VLOOKUP($B98,'C-1 Site River Baseline'!$C$9:$R$257,16,FALSE))</f>
        <v/>
      </c>
      <c r="N98" s="418" t="str">
        <f t="shared" si="9"/>
        <v/>
      </c>
      <c r="O98" s="498" t="str">
        <f t="shared" si="10"/>
        <v/>
      </c>
      <c r="P98" s="499" t="str">
        <f>IF(C98="","",IF(AND(LEFT(C98,55)&lt;&gt;LEFT(N98,55),O98="High - High"),"Error - Not like for like ▲",IF(AND(F98=S98,H98&gt;U98),"Error - Can not reduce condition ▲",IF(AND(F98=S98,H98=U98,AJ98='C-1 Site River Baseline'!N96,'C-1 Site River Baseline'!P96=AL98),"Error - No enhancement ▲",IF(AND(C98&lt;&gt;N98,F98&lt;S98),"Lower Distinctiveness Habitat"&amp;" - "&amp;T98,G98&amp;" - "&amp;T98)))))</f>
        <v/>
      </c>
      <c r="Q98" s="567" t="str">
        <f>IF(N98="","",VLOOKUP(B98,'C-1 Site River Baseline'!$C$10:$AA$257,19,FALSE))</f>
        <v/>
      </c>
      <c r="R98" s="498" t="str">
        <f>IF(N98="","",VLOOKUP(N98,'G-7 Rivers Data'!$B$2:$G$8,2,FALSE))</f>
        <v/>
      </c>
      <c r="S98" s="499" t="str">
        <f>IFERROR(VLOOKUP(R98,'G-7 Rivers Data'!$C$4:$D$8,2,FALSE),"")</f>
        <v/>
      </c>
      <c r="T98" s="145"/>
      <c r="U98" s="499" t="str">
        <f>IFERROR(INDEX('G-7 Rivers Data'!$H$4:$L$8,MATCH(N98,'G-7 Rivers Data'!$B$4:$B$8,0),MATCH(T98,'G-7 Rivers Data'!$H$3:$L$3,0)),"")</f>
        <v/>
      </c>
      <c r="V98" s="154"/>
      <c r="W98" s="507" t="str">
        <f>IF(V98="","",IF(VLOOKUP(V98,'G-7 Rivers Data'!$AG$4:$AI$9,2,FALSE)=0,"Spatial Data Missing ⚠",VLOOKUP(V98,'G-7 Rivers Data'!$AG$4:$AI$9,2,FALSE)))</f>
        <v/>
      </c>
      <c r="X98" s="499" t="str">
        <f>IF(V98="","",IF(VLOOKUP(V98,'G-7 Rivers Data'!$AG$4:$AI$9,3,FALSE)=0,"Spatial Data Missing ⚠",VLOOKUP(V98,'G-7 Rivers Data'!$AG$4:$AI$9,3,FALSE)))</f>
        <v/>
      </c>
      <c r="Y98" s="498" t="str">
        <f>IFERROR(IF(OR(LEFT(P98,5)="Error ▲",LEFT(O98,5)="Error ▲"),"Check Data ⚠",IF(F98&lt;S98,'G-7 Rivers Data'!$R$3,INDEX('G-7 Rivers Data'!$U$5:$Y$9,MATCH(G98,'G-7 Rivers Data'!$T$5:$T$9,0),MATCH(T98,'G-7 Rivers Data'!$U$4:$Y$4,0)))),"")</f>
        <v/>
      </c>
      <c r="Z98" s="195"/>
      <c r="AA98" s="195"/>
      <c r="AB98" s="507" t="str">
        <f t="shared" si="11"/>
        <v/>
      </c>
      <c r="AC98" s="521" t="str">
        <f t="shared" si="12"/>
        <v/>
      </c>
      <c r="AD98" s="564" t="str">
        <f>IFERROR(IF(AC98="Check Data ⚠","Check Data ⚠",VLOOKUP(AC98,'G-4 Temporal multipliers'!$A$4:$C$37,3,FALSE)),"")</f>
        <v/>
      </c>
      <c r="AE98" s="498" t="str">
        <f>IF(N98="","",VLOOKUP(N98,'G-7 Rivers Data'!$B$4:$G$8,5,FALSE))</f>
        <v/>
      </c>
      <c r="AF98" s="507" t="str">
        <f t="shared" si="13"/>
        <v/>
      </c>
      <c r="AG98" s="540" t="str">
        <f t="shared" si="14"/>
        <v/>
      </c>
      <c r="AH98" s="499" t="str">
        <f t="shared" si="8"/>
        <v/>
      </c>
      <c r="AI98" s="145"/>
      <c r="AJ98" s="499" t="str">
        <f>IF(AI98="","",IF(VLOOKUP(AI98,'G-7 Rivers Data'!$AA$4:$AB$7,2,FALSE)=0,"Spatial Data Missing ⚠",VLOOKUP(AI98,'G-7 Rivers Data'!$AA$4:$AB$7,2,FALSE)))</f>
        <v/>
      </c>
      <c r="AK98" s="155"/>
      <c r="AL98" s="499" t="str">
        <f>IF(AK98="","",IF(VLOOKUP(AK98,'G-7 Rivers Data'!$AD$4:$AE$8,2,FALSE)=0,"Spatial Data Missing ⚠",VLOOKUP(AK98,'G-7 Rivers Data'!$AD$4:$AE$8,2,FALSE)))</f>
        <v/>
      </c>
      <c r="AM98" s="545" t="str">
        <f t="shared" si="15"/>
        <v/>
      </c>
      <c r="AN98" s="149"/>
      <c r="AO98" s="150"/>
      <c r="AV98" s="31" t="str">
        <f>IFERROR(INDEX('G-7 Rivers Data'!$AZ$3:$AZ$7,MATCH(N98,'G-7 Rivers Data'!$AY$3:$AY$7,0)),"")</f>
        <v/>
      </c>
    </row>
    <row r="99" spans="2:48" ht="14" x14ac:dyDescent="0.3">
      <c r="B99" s="531" t="str">
        <f>'C-1 Site River Baseline'!AN97</f>
        <v/>
      </c>
      <c r="C99" s="520" t="str">
        <f>IF(B99="","",VLOOKUP($B99,'C-1 Site River Baseline'!$C$9:$R$257,2,FALSE))</f>
        <v/>
      </c>
      <c r="D99" s="520" t="str">
        <f>IF(C99="","",VLOOKUP($B99,'C-1 Site River Baseline'!$C$9:$R$257,3,FALSE))</f>
        <v/>
      </c>
      <c r="E99" s="520" t="str">
        <f>IF(D99="","",VLOOKUP($B99,'C-1 Site River Baseline'!$C$9:$R$257,4,FALSE))</f>
        <v/>
      </c>
      <c r="F99" s="520" t="str">
        <f>IF(E99="","",VLOOKUP($B99,'C-1 Site River Baseline'!$C$9:$R$257,5,FALSE))</f>
        <v/>
      </c>
      <c r="G99" s="520" t="str">
        <f>IF(F99="","",VLOOKUP($B99,'C-1 Site River Baseline'!$C$9:$R$257,6,FALSE))</f>
        <v/>
      </c>
      <c r="H99" s="520" t="str">
        <f>IF(G99="","",VLOOKUP($B99,'C-1 Site River Baseline'!$C$9:$R$257,7,FALSE))</f>
        <v/>
      </c>
      <c r="I99" s="520" t="str">
        <f>IF(H99="","",VLOOKUP($B99,'C-1 Site River Baseline'!$C$9:$R$257,8,FALSE))</f>
        <v/>
      </c>
      <c r="J99" s="520" t="str">
        <f>IF(I99="","",VLOOKUP($B99,'C-1 Site River Baseline'!$C$9:$R$257,9,FALSE))</f>
        <v/>
      </c>
      <c r="K99" s="520" t="str">
        <f>IF(J99="","",VLOOKUP($B99,'C-1 Site River Baseline'!$C$9:$R$257,10,FALSE))</f>
        <v/>
      </c>
      <c r="L99" s="520" t="str">
        <f>IF(B99="","",VLOOKUP($B99,'C-1 Site River Baseline'!$C$9:$R$257,15,FALSE))</f>
        <v/>
      </c>
      <c r="M99" s="524" t="str">
        <f>IF(L99="","",VLOOKUP($B99,'C-1 Site River Baseline'!$C$9:$R$257,16,FALSE))</f>
        <v/>
      </c>
      <c r="N99" s="418" t="str">
        <f t="shared" si="9"/>
        <v/>
      </c>
      <c r="O99" s="498" t="str">
        <f t="shared" si="10"/>
        <v/>
      </c>
      <c r="P99" s="499" t="str">
        <f>IF(C99="","",IF(AND(LEFT(C99,55)&lt;&gt;LEFT(N99,55),O99="High - High"),"Error - Not like for like ▲",IF(AND(F99=S99,H99&gt;U99),"Error - Can not reduce condition ▲",IF(AND(F99=S99,H99=U99,AJ99='C-1 Site River Baseline'!N97,'C-1 Site River Baseline'!P97=AL99),"Error - No enhancement ▲",IF(AND(C99&lt;&gt;N99,F99&lt;S99),"Lower Distinctiveness Habitat"&amp;" - "&amp;T99,G99&amp;" - "&amp;T99)))))</f>
        <v/>
      </c>
      <c r="Q99" s="567" t="str">
        <f>IF(N99="","",VLOOKUP(B99,'C-1 Site River Baseline'!$C$10:$AA$257,19,FALSE))</f>
        <v/>
      </c>
      <c r="R99" s="498" t="str">
        <f>IF(N99="","",VLOOKUP(N99,'G-7 Rivers Data'!$B$2:$G$8,2,FALSE))</f>
        <v/>
      </c>
      <c r="S99" s="499" t="str">
        <f>IFERROR(VLOOKUP(R99,'G-7 Rivers Data'!$C$4:$D$8,2,FALSE),"")</f>
        <v/>
      </c>
      <c r="T99" s="145"/>
      <c r="U99" s="499" t="str">
        <f>IFERROR(INDEX('G-7 Rivers Data'!$H$4:$L$8,MATCH(N99,'G-7 Rivers Data'!$B$4:$B$8,0),MATCH(T99,'G-7 Rivers Data'!$H$3:$L$3,0)),"")</f>
        <v/>
      </c>
      <c r="V99" s="154"/>
      <c r="W99" s="507" t="str">
        <f>IF(V99="","",IF(VLOOKUP(V99,'G-7 Rivers Data'!$AG$4:$AI$9,2,FALSE)=0,"Spatial Data Missing ⚠",VLOOKUP(V99,'G-7 Rivers Data'!$AG$4:$AI$9,2,FALSE)))</f>
        <v/>
      </c>
      <c r="X99" s="499" t="str">
        <f>IF(V99="","",IF(VLOOKUP(V99,'G-7 Rivers Data'!$AG$4:$AI$9,3,FALSE)=0,"Spatial Data Missing ⚠",VLOOKUP(V99,'G-7 Rivers Data'!$AG$4:$AI$9,3,FALSE)))</f>
        <v/>
      </c>
      <c r="Y99" s="498" t="str">
        <f>IFERROR(IF(OR(LEFT(P99,5)="Error ▲",LEFT(O99,5)="Error ▲"),"Check Data ⚠",IF(F99&lt;S99,'G-7 Rivers Data'!$R$3,INDEX('G-7 Rivers Data'!$U$5:$Y$9,MATCH(G99,'G-7 Rivers Data'!$T$5:$T$9,0),MATCH(T99,'G-7 Rivers Data'!$U$4:$Y$4,0)))),"")</f>
        <v/>
      </c>
      <c r="Z99" s="195"/>
      <c r="AA99" s="195"/>
      <c r="AB99" s="507" t="str">
        <f t="shared" si="11"/>
        <v/>
      </c>
      <c r="AC99" s="521" t="str">
        <f t="shared" si="12"/>
        <v/>
      </c>
      <c r="AD99" s="564" t="str">
        <f>IFERROR(IF(AC99="Check Data ⚠","Check Data ⚠",VLOOKUP(AC99,'G-4 Temporal multipliers'!$A$4:$C$37,3,FALSE)),"")</f>
        <v/>
      </c>
      <c r="AE99" s="498" t="str">
        <f>IF(N99="","",VLOOKUP(N99,'G-7 Rivers Data'!$B$4:$G$8,5,FALSE))</f>
        <v/>
      </c>
      <c r="AF99" s="507" t="str">
        <f t="shared" si="13"/>
        <v/>
      </c>
      <c r="AG99" s="540" t="str">
        <f t="shared" si="14"/>
        <v/>
      </c>
      <c r="AH99" s="499" t="str">
        <f t="shared" si="8"/>
        <v/>
      </c>
      <c r="AI99" s="145"/>
      <c r="AJ99" s="499" t="str">
        <f>IF(AI99="","",IF(VLOOKUP(AI99,'G-7 Rivers Data'!$AA$4:$AB$7,2,FALSE)=0,"Spatial Data Missing ⚠",VLOOKUP(AI99,'G-7 Rivers Data'!$AA$4:$AB$7,2,FALSE)))</f>
        <v/>
      </c>
      <c r="AK99" s="155"/>
      <c r="AL99" s="499" t="str">
        <f>IF(AK99="","",IF(VLOOKUP(AK99,'G-7 Rivers Data'!$AD$4:$AE$8,2,FALSE)=0,"Spatial Data Missing ⚠",VLOOKUP(AK99,'G-7 Rivers Data'!$AD$4:$AE$8,2,FALSE)))</f>
        <v/>
      </c>
      <c r="AM99" s="545" t="str">
        <f t="shared" si="15"/>
        <v/>
      </c>
      <c r="AN99" s="149"/>
      <c r="AO99" s="150"/>
      <c r="AV99" s="31" t="str">
        <f>IFERROR(INDEX('G-7 Rivers Data'!$AZ$3:$AZ$7,MATCH(N99,'G-7 Rivers Data'!$AY$3:$AY$7,0)),"")</f>
        <v/>
      </c>
    </row>
    <row r="100" spans="2:48" ht="14" x14ac:dyDescent="0.3">
      <c r="B100" s="531" t="str">
        <f>'C-1 Site River Baseline'!AN98</f>
        <v/>
      </c>
      <c r="C100" s="520" t="str">
        <f>IF(B100="","",VLOOKUP($B100,'C-1 Site River Baseline'!$C$9:$R$257,2,FALSE))</f>
        <v/>
      </c>
      <c r="D100" s="520" t="str">
        <f>IF(C100="","",VLOOKUP($B100,'C-1 Site River Baseline'!$C$9:$R$257,3,FALSE))</f>
        <v/>
      </c>
      <c r="E100" s="520" t="str">
        <f>IF(D100="","",VLOOKUP($B100,'C-1 Site River Baseline'!$C$9:$R$257,4,FALSE))</f>
        <v/>
      </c>
      <c r="F100" s="520" t="str">
        <f>IF(E100="","",VLOOKUP($B100,'C-1 Site River Baseline'!$C$9:$R$257,5,FALSE))</f>
        <v/>
      </c>
      <c r="G100" s="520" t="str">
        <f>IF(F100="","",VLOOKUP($B100,'C-1 Site River Baseline'!$C$9:$R$257,6,FALSE))</f>
        <v/>
      </c>
      <c r="H100" s="520" t="str">
        <f>IF(G100="","",VLOOKUP($B100,'C-1 Site River Baseline'!$C$9:$R$257,7,FALSE))</f>
        <v/>
      </c>
      <c r="I100" s="520" t="str">
        <f>IF(H100="","",VLOOKUP($B100,'C-1 Site River Baseline'!$C$9:$R$257,8,FALSE))</f>
        <v/>
      </c>
      <c r="J100" s="520" t="str">
        <f>IF(I100="","",VLOOKUP($B100,'C-1 Site River Baseline'!$C$9:$R$257,9,FALSE))</f>
        <v/>
      </c>
      <c r="K100" s="520" t="str">
        <f>IF(J100="","",VLOOKUP($B100,'C-1 Site River Baseline'!$C$9:$R$257,10,FALSE))</f>
        <v/>
      </c>
      <c r="L100" s="520" t="str">
        <f>IF(B100="","",VLOOKUP($B100,'C-1 Site River Baseline'!$C$9:$R$257,15,FALSE))</f>
        <v/>
      </c>
      <c r="M100" s="524" t="str">
        <f>IF(L100="","",VLOOKUP($B100,'C-1 Site River Baseline'!$C$9:$R$257,16,FALSE))</f>
        <v/>
      </c>
      <c r="N100" s="418" t="str">
        <f t="shared" si="9"/>
        <v/>
      </c>
      <c r="O100" s="498" t="str">
        <f t="shared" si="10"/>
        <v/>
      </c>
      <c r="P100" s="499" t="str">
        <f>IF(C100="","",IF(AND(LEFT(C100,55)&lt;&gt;LEFT(N100,55),O100="High - High"),"Error - Not like for like ▲",IF(AND(F100=S100,H100&gt;U100),"Error - Can not reduce condition ▲",IF(AND(F100=S100,H100=U100,AJ100='C-1 Site River Baseline'!N98,'C-1 Site River Baseline'!P98=AL100),"Error - No enhancement ▲",IF(AND(C100&lt;&gt;N100,F100&lt;S100),"Lower Distinctiveness Habitat"&amp;" - "&amp;T100,G100&amp;" - "&amp;T100)))))</f>
        <v/>
      </c>
      <c r="Q100" s="567" t="str">
        <f>IF(N100="","",VLOOKUP(B100,'C-1 Site River Baseline'!$C$10:$AA$257,19,FALSE))</f>
        <v/>
      </c>
      <c r="R100" s="498" t="str">
        <f>IF(N100="","",VLOOKUP(N100,'G-7 Rivers Data'!$B$2:$G$8,2,FALSE))</f>
        <v/>
      </c>
      <c r="S100" s="499" t="str">
        <f>IFERROR(VLOOKUP(R100,'G-7 Rivers Data'!$C$4:$D$8,2,FALSE),"")</f>
        <v/>
      </c>
      <c r="T100" s="145"/>
      <c r="U100" s="499" t="str">
        <f>IFERROR(INDEX('G-7 Rivers Data'!$H$4:$L$8,MATCH(N100,'G-7 Rivers Data'!$B$4:$B$8,0),MATCH(T100,'G-7 Rivers Data'!$H$3:$L$3,0)),"")</f>
        <v/>
      </c>
      <c r="V100" s="154"/>
      <c r="W100" s="507" t="str">
        <f>IF(V100="","",IF(VLOOKUP(V100,'G-7 Rivers Data'!$AG$4:$AI$9,2,FALSE)=0,"Spatial Data Missing ⚠",VLOOKUP(V100,'G-7 Rivers Data'!$AG$4:$AI$9,2,FALSE)))</f>
        <v/>
      </c>
      <c r="X100" s="499" t="str">
        <f>IF(V100="","",IF(VLOOKUP(V100,'G-7 Rivers Data'!$AG$4:$AI$9,3,FALSE)=0,"Spatial Data Missing ⚠",VLOOKUP(V100,'G-7 Rivers Data'!$AG$4:$AI$9,3,FALSE)))</f>
        <v/>
      </c>
      <c r="Y100" s="498" t="str">
        <f>IFERROR(IF(OR(LEFT(P100,5)="Error ▲",LEFT(O100,5)="Error ▲"),"Check Data ⚠",IF(F100&lt;S100,'G-7 Rivers Data'!$R$3,INDEX('G-7 Rivers Data'!$U$5:$Y$9,MATCH(G100,'G-7 Rivers Data'!$T$5:$T$9,0),MATCH(T100,'G-7 Rivers Data'!$U$4:$Y$4,0)))),"")</f>
        <v/>
      </c>
      <c r="Z100" s="195"/>
      <c r="AA100" s="195"/>
      <c r="AB100" s="507" t="str">
        <f t="shared" si="11"/>
        <v/>
      </c>
      <c r="AC100" s="521" t="str">
        <f t="shared" si="12"/>
        <v/>
      </c>
      <c r="AD100" s="564" t="str">
        <f>IFERROR(IF(AC100="Check Data ⚠","Check Data ⚠",VLOOKUP(AC100,'G-4 Temporal multipliers'!$A$4:$C$37,3,FALSE)),"")</f>
        <v/>
      </c>
      <c r="AE100" s="498" t="str">
        <f>IF(N100="","",VLOOKUP(N100,'G-7 Rivers Data'!$B$4:$G$8,5,FALSE))</f>
        <v/>
      </c>
      <c r="AF100" s="507" t="str">
        <f t="shared" si="13"/>
        <v/>
      </c>
      <c r="AG100" s="540" t="str">
        <f t="shared" si="14"/>
        <v/>
      </c>
      <c r="AH100" s="499" t="str">
        <f t="shared" si="8"/>
        <v/>
      </c>
      <c r="AI100" s="145"/>
      <c r="AJ100" s="499" t="str">
        <f>IF(AI100="","",IF(VLOOKUP(AI100,'G-7 Rivers Data'!$AA$4:$AB$7,2,FALSE)=0,"Spatial Data Missing ⚠",VLOOKUP(AI100,'G-7 Rivers Data'!$AA$4:$AB$7,2,FALSE)))</f>
        <v/>
      </c>
      <c r="AK100" s="155"/>
      <c r="AL100" s="499" t="str">
        <f>IF(AK100="","",IF(VLOOKUP(AK100,'G-7 Rivers Data'!$AD$4:$AE$8,2,FALSE)=0,"Spatial Data Missing ⚠",VLOOKUP(AK100,'G-7 Rivers Data'!$AD$4:$AE$8,2,FALSE)))</f>
        <v/>
      </c>
      <c r="AM100" s="545" t="str">
        <f t="shared" si="15"/>
        <v/>
      </c>
      <c r="AN100" s="149"/>
      <c r="AO100" s="150"/>
      <c r="AV100" s="31" t="str">
        <f>IFERROR(INDEX('G-7 Rivers Data'!$AZ$3:$AZ$7,MATCH(N100,'G-7 Rivers Data'!$AY$3:$AY$7,0)),"")</f>
        <v/>
      </c>
    </row>
    <row r="101" spans="2:48" ht="14" x14ac:dyDescent="0.3">
      <c r="B101" s="531" t="str">
        <f>'C-1 Site River Baseline'!AN99</f>
        <v/>
      </c>
      <c r="C101" s="520" t="str">
        <f>IF(B101="","",VLOOKUP($B101,'C-1 Site River Baseline'!$C$9:$R$257,2,FALSE))</f>
        <v/>
      </c>
      <c r="D101" s="520" t="str">
        <f>IF(C101="","",VLOOKUP($B101,'C-1 Site River Baseline'!$C$9:$R$257,3,FALSE))</f>
        <v/>
      </c>
      <c r="E101" s="520" t="str">
        <f>IF(D101="","",VLOOKUP($B101,'C-1 Site River Baseline'!$C$9:$R$257,4,FALSE))</f>
        <v/>
      </c>
      <c r="F101" s="520" t="str">
        <f>IF(E101="","",VLOOKUP($B101,'C-1 Site River Baseline'!$C$9:$R$257,5,FALSE))</f>
        <v/>
      </c>
      <c r="G101" s="520" t="str">
        <f>IF(F101="","",VLOOKUP($B101,'C-1 Site River Baseline'!$C$9:$R$257,6,FALSE))</f>
        <v/>
      </c>
      <c r="H101" s="520" t="str">
        <f>IF(G101="","",VLOOKUP($B101,'C-1 Site River Baseline'!$C$9:$R$257,7,FALSE))</f>
        <v/>
      </c>
      <c r="I101" s="520" t="str">
        <f>IF(H101="","",VLOOKUP($B101,'C-1 Site River Baseline'!$C$9:$R$257,8,FALSE))</f>
        <v/>
      </c>
      <c r="J101" s="520" t="str">
        <f>IF(I101="","",VLOOKUP($B101,'C-1 Site River Baseline'!$C$9:$R$257,9,FALSE))</f>
        <v/>
      </c>
      <c r="K101" s="520" t="str">
        <f>IF(J101="","",VLOOKUP($B101,'C-1 Site River Baseline'!$C$9:$R$257,10,FALSE))</f>
        <v/>
      </c>
      <c r="L101" s="520" t="str">
        <f>IF(B101="","",VLOOKUP($B101,'C-1 Site River Baseline'!$C$9:$R$257,15,FALSE))</f>
        <v/>
      </c>
      <c r="M101" s="524" t="str">
        <f>IF(L101="","",VLOOKUP($B101,'C-1 Site River Baseline'!$C$9:$R$257,16,FALSE))</f>
        <v/>
      </c>
      <c r="N101" s="418" t="str">
        <f t="shared" si="9"/>
        <v/>
      </c>
      <c r="O101" s="498" t="str">
        <f t="shared" si="10"/>
        <v/>
      </c>
      <c r="P101" s="499" t="str">
        <f>IF(C101="","",IF(AND(LEFT(C101,55)&lt;&gt;LEFT(N101,55),O101="High - High"),"Error - Not like for like ▲",IF(AND(F101=S101,H101&gt;U101),"Error - Can not reduce condition ▲",IF(AND(F101=S101,H101=U101,AJ101='C-1 Site River Baseline'!N99,'C-1 Site River Baseline'!P99=AL101),"Error - No enhancement ▲",IF(AND(C101&lt;&gt;N101,F101&lt;S101),"Lower Distinctiveness Habitat"&amp;" - "&amp;T101,G101&amp;" - "&amp;T101)))))</f>
        <v/>
      </c>
      <c r="Q101" s="567" t="str">
        <f>IF(N101="","",VLOOKUP(B101,'C-1 Site River Baseline'!$C$10:$AA$257,19,FALSE))</f>
        <v/>
      </c>
      <c r="R101" s="498" t="str">
        <f>IF(N101="","",VLOOKUP(N101,'G-7 Rivers Data'!$B$2:$G$8,2,FALSE))</f>
        <v/>
      </c>
      <c r="S101" s="499" t="str">
        <f>IFERROR(VLOOKUP(R101,'G-7 Rivers Data'!$C$4:$D$8,2,FALSE),"")</f>
        <v/>
      </c>
      <c r="T101" s="145"/>
      <c r="U101" s="499" t="str">
        <f>IFERROR(INDEX('G-7 Rivers Data'!$H$4:$L$8,MATCH(N101,'G-7 Rivers Data'!$B$4:$B$8,0),MATCH(T101,'G-7 Rivers Data'!$H$3:$L$3,0)),"")</f>
        <v/>
      </c>
      <c r="V101" s="154"/>
      <c r="W101" s="507" t="str">
        <f>IF(V101="","",IF(VLOOKUP(V101,'G-7 Rivers Data'!$AG$4:$AI$9,2,FALSE)=0,"Spatial Data Missing ⚠",VLOOKUP(V101,'G-7 Rivers Data'!$AG$4:$AI$9,2,FALSE)))</f>
        <v/>
      </c>
      <c r="X101" s="499" t="str">
        <f>IF(V101="","",IF(VLOOKUP(V101,'G-7 Rivers Data'!$AG$4:$AI$9,3,FALSE)=0,"Spatial Data Missing ⚠",VLOOKUP(V101,'G-7 Rivers Data'!$AG$4:$AI$9,3,FALSE)))</f>
        <v/>
      </c>
      <c r="Y101" s="498" t="str">
        <f>IFERROR(IF(OR(LEFT(P101,5)="Error ▲",LEFT(O101,5)="Error ▲"),"Check Data ⚠",IF(F101&lt;S101,'G-7 Rivers Data'!$R$3,INDEX('G-7 Rivers Data'!$U$5:$Y$9,MATCH(G101,'G-7 Rivers Data'!$T$5:$T$9,0),MATCH(T101,'G-7 Rivers Data'!$U$4:$Y$4,0)))),"")</f>
        <v/>
      </c>
      <c r="Z101" s="195"/>
      <c r="AA101" s="195"/>
      <c r="AB101" s="507" t="str">
        <f t="shared" si="11"/>
        <v/>
      </c>
      <c r="AC101" s="521" t="str">
        <f t="shared" si="12"/>
        <v/>
      </c>
      <c r="AD101" s="564" t="str">
        <f>IFERROR(IF(AC101="Check Data ⚠","Check Data ⚠",VLOOKUP(AC101,'G-4 Temporal multipliers'!$A$4:$C$37,3,FALSE)),"")</f>
        <v/>
      </c>
      <c r="AE101" s="498" t="str">
        <f>IF(N101="","",VLOOKUP(N101,'G-7 Rivers Data'!$B$4:$G$8,5,FALSE))</f>
        <v/>
      </c>
      <c r="AF101" s="507" t="str">
        <f t="shared" si="13"/>
        <v/>
      </c>
      <c r="AG101" s="540" t="str">
        <f t="shared" si="14"/>
        <v/>
      </c>
      <c r="AH101" s="499" t="str">
        <f t="shared" si="8"/>
        <v/>
      </c>
      <c r="AI101" s="145"/>
      <c r="AJ101" s="499" t="str">
        <f>IF(AI101="","",IF(VLOOKUP(AI101,'G-7 Rivers Data'!$AA$4:$AB$7,2,FALSE)=0,"Spatial Data Missing ⚠",VLOOKUP(AI101,'G-7 Rivers Data'!$AA$4:$AB$7,2,FALSE)))</f>
        <v/>
      </c>
      <c r="AK101" s="155"/>
      <c r="AL101" s="499" t="str">
        <f>IF(AK101="","",IF(VLOOKUP(AK101,'G-7 Rivers Data'!$AD$4:$AE$8,2,FALSE)=0,"Spatial Data Missing ⚠",VLOOKUP(AK101,'G-7 Rivers Data'!$AD$4:$AE$8,2,FALSE)))</f>
        <v/>
      </c>
      <c r="AM101" s="545" t="str">
        <f t="shared" si="15"/>
        <v/>
      </c>
      <c r="AN101" s="149"/>
      <c r="AO101" s="150"/>
      <c r="AV101" s="31" t="str">
        <f>IFERROR(INDEX('G-7 Rivers Data'!$AZ$3:$AZ$7,MATCH(N101,'G-7 Rivers Data'!$AY$3:$AY$7,0)),"")</f>
        <v/>
      </c>
    </row>
    <row r="102" spans="2:48" ht="14" x14ac:dyDescent="0.3">
      <c r="B102" s="531" t="str">
        <f>'C-1 Site River Baseline'!AN100</f>
        <v/>
      </c>
      <c r="C102" s="520" t="str">
        <f>IF(B102="","",VLOOKUP($B102,'C-1 Site River Baseline'!$C$9:$R$257,2,FALSE))</f>
        <v/>
      </c>
      <c r="D102" s="520" t="str">
        <f>IF(C102="","",VLOOKUP($B102,'C-1 Site River Baseline'!$C$9:$R$257,3,FALSE))</f>
        <v/>
      </c>
      <c r="E102" s="520" t="str">
        <f>IF(D102="","",VLOOKUP($B102,'C-1 Site River Baseline'!$C$9:$R$257,4,FALSE))</f>
        <v/>
      </c>
      <c r="F102" s="520" t="str">
        <f>IF(E102="","",VLOOKUP($B102,'C-1 Site River Baseline'!$C$9:$R$257,5,FALSE))</f>
        <v/>
      </c>
      <c r="G102" s="520" t="str">
        <f>IF(F102="","",VLOOKUP($B102,'C-1 Site River Baseline'!$C$9:$R$257,6,FALSE))</f>
        <v/>
      </c>
      <c r="H102" s="520" t="str">
        <f>IF(G102="","",VLOOKUP($B102,'C-1 Site River Baseline'!$C$9:$R$257,7,FALSE))</f>
        <v/>
      </c>
      <c r="I102" s="520" t="str">
        <f>IF(H102="","",VLOOKUP($B102,'C-1 Site River Baseline'!$C$9:$R$257,8,FALSE))</f>
        <v/>
      </c>
      <c r="J102" s="520" t="str">
        <f>IF(I102="","",VLOOKUP($B102,'C-1 Site River Baseline'!$C$9:$R$257,9,FALSE))</f>
        <v/>
      </c>
      <c r="K102" s="520" t="str">
        <f>IF(J102="","",VLOOKUP($B102,'C-1 Site River Baseline'!$C$9:$R$257,10,FALSE))</f>
        <v/>
      </c>
      <c r="L102" s="520" t="str">
        <f>IF(B102="","",VLOOKUP($B102,'C-1 Site River Baseline'!$C$9:$R$257,15,FALSE))</f>
        <v/>
      </c>
      <c r="M102" s="524" t="str">
        <f>IF(L102="","",VLOOKUP($B102,'C-1 Site River Baseline'!$C$9:$R$257,16,FALSE))</f>
        <v/>
      </c>
      <c r="N102" s="418" t="str">
        <f t="shared" si="9"/>
        <v/>
      </c>
      <c r="O102" s="498" t="str">
        <f t="shared" si="10"/>
        <v/>
      </c>
      <c r="P102" s="499" t="str">
        <f>IF(C102="","",IF(AND(LEFT(C102,55)&lt;&gt;LEFT(N102,55),O102="High - High"),"Error - Not like for like ▲",IF(AND(F102=S102,H102&gt;U102),"Error - Can not reduce condition ▲",IF(AND(F102=S102,H102=U102,AJ102='C-1 Site River Baseline'!N100,'C-1 Site River Baseline'!P100=AL102),"Error - No enhancement ▲",IF(AND(C102&lt;&gt;N102,F102&lt;S102),"Lower Distinctiveness Habitat"&amp;" - "&amp;T102,G102&amp;" - "&amp;T102)))))</f>
        <v/>
      </c>
      <c r="Q102" s="567" t="str">
        <f>IF(N102="","",VLOOKUP(B102,'C-1 Site River Baseline'!$C$10:$AA$257,19,FALSE))</f>
        <v/>
      </c>
      <c r="R102" s="498" t="str">
        <f>IF(N102="","",VLOOKUP(N102,'G-7 Rivers Data'!$B$2:$G$8,2,FALSE))</f>
        <v/>
      </c>
      <c r="S102" s="499" t="str">
        <f>IFERROR(VLOOKUP(R102,'G-7 Rivers Data'!$C$4:$D$8,2,FALSE),"")</f>
        <v/>
      </c>
      <c r="T102" s="145"/>
      <c r="U102" s="499" t="str">
        <f>IFERROR(INDEX('G-7 Rivers Data'!$H$4:$L$8,MATCH(N102,'G-7 Rivers Data'!$B$4:$B$8,0),MATCH(T102,'G-7 Rivers Data'!$H$3:$L$3,0)),"")</f>
        <v/>
      </c>
      <c r="V102" s="154"/>
      <c r="W102" s="507" t="str">
        <f>IF(V102="","",IF(VLOOKUP(V102,'G-7 Rivers Data'!$AG$4:$AI$9,2,FALSE)=0,"Spatial Data Missing ⚠",VLOOKUP(V102,'G-7 Rivers Data'!$AG$4:$AI$9,2,FALSE)))</f>
        <v/>
      </c>
      <c r="X102" s="499" t="str">
        <f>IF(V102="","",IF(VLOOKUP(V102,'G-7 Rivers Data'!$AG$4:$AI$9,3,FALSE)=0,"Spatial Data Missing ⚠",VLOOKUP(V102,'G-7 Rivers Data'!$AG$4:$AI$9,3,FALSE)))</f>
        <v/>
      </c>
      <c r="Y102" s="498" t="str">
        <f>IFERROR(IF(OR(LEFT(P102,5)="Error ▲",LEFT(O102,5)="Error ▲"),"Check Data ⚠",IF(F102&lt;S102,'G-7 Rivers Data'!$R$3,INDEX('G-7 Rivers Data'!$U$5:$Y$9,MATCH(G102,'G-7 Rivers Data'!$T$5:$T$9,0),MATCH(T102,'G-7 Rivers Data'!$U$4:$Y$4,0)))),"")</f>
        <v/>
      </c>
      <c r="Z102" s="195"/>
      <c r="AA102" s="195"/>
      <c r="AB102" s="507" t="str">
        <f t="shared" si="11"/>
        <v/>
      </c>
      <c r="AC102" s="521" t="str">
        <f t="shared" si="12"/>
        <v/>
      </c>
      <c r="AD102" s="564" t="str">
        <f>IFERROR(IF(AC102="Check Data ⚠","Check Data ⚠",VLOOKUP(AC102,'G-4 Temporal multipliers'!$A$4:$C$37,3,FALSE)),"")</f>
        <v/>
      </c>
      <c r="AE102" s="498" t="str">
        <f>IF(N102="","",VLOOKUP(N102,'G-7 Rivers Data'!$B$4:$G$8,5,FALSE))</f>
        <v/>
      </c>
      <c r="AF102" s="507" t="str">
        <f t="shared" si="13"/>
        <v/>
      </c>
      <c r="AG102" s="540" t="str">
        <f t="shared" si="14"/>
        <v/>
      </c>
      <c r="AH102" s="499" t="str">
        <f t="shared" si="8"/>
        <v/>
      </c>
      <c r="AI102" s="145"/>
      <c r="AJ102" s="499" t="str">
        <f>IF(AI102="","",IF(VLOOKUP(AI102,'G-7 Rivers Data'!$AA$4:$AB$7,2,FALSE)=0,"Spatial Data Missing ⚠",VLOOKUP(AI102,'G-7 Rivers Data'!$AA$4:$AB$7,2,FALSE)))</f>
        <v/>
      </c>
      <c r="AK102" s="155"/>
      <c r="AL102" s="499" t="str">
        <f>IF(AK102="","",IF(VLOOKUP(AK102,'G-7 Rivers Data'!$AD$4:$AE$8,2,FALSE)=0,"Spatial Data Missing ⚠",VLOOKUP(AK102,'G-7 Rivers Data'!$AD$4:$AE$8,2,FALSE)))</f>
        <v/>
      </c>
      <c r="AM102" s="545" t="str">
        <f t="shared" si="15"/>
        <v/>
      </c>
      <c r="AN102" s="149"/>
      <c r="AO102" s="150"/>
      <c r="AV102" s="31" t="str">
        <f>IFERROR(INDEX('G-7 Rivers Data'!$AZ$3:$AZ$7,MATCH(N102,'G-7 Rivers Data'!$AY$3:$AY$7,0)),"")</f>
        <v/>
      </c>
    </row>
    <row r="103" spans="2:48" ht="14" x14ac:dyDescent="0.3">
      <c r="B103" s="531" t="str">
        <f>'C-1 Site River Baseline'!AN101</f>
        <v/>
      </c>
      <c r="C103" s="520" t="str">
        <f>IF(B103="","",VLOOKUP($B103,'C-1 Site River Baseline'!$C$9:$R$257,2,FALSE))</f>
        <v/>
      </c>
      <c r="D103" s="520" t="str">
        <f>IF(C103="","",VLOOKUP($B103,'C-1 Site River Baseline'!$C$9:$R$257,3,FALSE))</f>
        <v/>
      </c>
      <c r="E103" s="520" t="str">
        <f>IF(D103="","",VLOOKUP($B103,'C-1 Site River Baseline'!$C$9:$R$257,4,FALSE))</f>
        <v/>
      </c>
      <c r="F103" s="520" t="str">
        <f>IF(E103="","",VLOOKUP($B103,'C-1 Site River Baseline'!$C$9:$R$257,5,FALSE))</f>
        <v/>
      </c>
      <c r="G103" s="520" t="str">
        <f>IF(F103="","",VLOOKUP($B103,'C-1 Site River Baseline'!$C$9:$R$257,6,FALSE))</f>
        <v/>
      </c>
      <c r="H103" s="520" t="str">
        <f>IF(G103="","",VLOOKUP($B103,'C-1 Site River Baseline'!$C$9:$R$257,7,FALSE))</f>
        <v/>
      </c>
      <c r="I103" s="520" t="str">
        <f>IF(H103="","",VLOOKUP($B103,'C-1 Site River Baseline'!$C$9:$R$257,8,FALSE))</f>
        <v/>
      </c>
      <c r="J103" s="520" t="str">
        <f>IF(I103="","",VLOOKUP($B103,'C-1 Site River Baseline'!$C$9:$R$257,9,FALSE))</f>
        <v/>
      </c>
      <c r="K103" s="520" t="str">
        <f>IF(J103="","",VLOOKUP($B103,'C-1 Site River Baseline'!$C$9:$R$257,10,FALSE))</f>
        <v/>
      </c>
      <c r="L103" s="520" t="str">
        <f>IF(B103="","",VLOOKUP($B103,'C-1 Site River Baseline'!$C$9:$R$257,15,FALSE))</f>
        <v/>
      </c>
      <c r="M103" s="524" t="str">
        <f>IF(L103="","",VLOOKUP($B103,'C-1 Site River Baseline'!$C$9:$R$257,16,FALSE))</f>
        <v/>
      </c>
      <c r="N103" s="418" t="str">
        <f t="shared" si="9"/>
        <v/>
      </c>
      <c r="O103" s="498" t="str">
        <f t="shared" si="10"/>
        <v/>
      </c>
      <c r="P103" s="499" t="str">
        <f>IF(C103="","",IF(AND(LEFT(C103,55)&lt;&gt;LEFT(N103,55),O103="High - High"),"Error - Not like for like ▲",IF(AND(F103=S103,H103&gt;U103),"Error - Can not reduce condition ▲",IF(AND(F103=S103,H103=U103,AJ103='C-1 Site River Baseline'!N101,'C-1 Site River Baseline'!P101=AL103),"Error - No enhancement ▲",IF(AND(C103&lt;&gt;N103,F103&lt;S103),"Lower Distinctiveness Habitat"&amp;" - "&amp;T103,G103&amp;" - "&amp;T103)))))</f>
        <v/>
      </c>
      <c r="Q103" s="567" t="str">
        <f>IF(N103="","",VLOOKUP(B103,'C-1 Site River Baseline'!$C$10:$AA$257,19,FALSE))</f>
        <v/>
      </c>
      <c r="R103" s="498" t="str">
        <f>IF(N103="","",VLOOKUP(N103,'G-7 Rivers Data'!$B$2:$G$8,2,FALSE))</f>
        <v/>
      </c>
      <c r="S103" s="499" t="str">
        <f>IFERROR(VLOOKUP(R103,'G-7 Rivers Data'!$C$4:$D$8,2,FALSE),"")</f>
        <v/>
      </c>
      <c r="T103" s="145"/>
      <c r="U103" s="499" t="str">
        <f>IFERROR(INDEX('G-7 Rivers Data'!$H$4:$L$8,MATCH(N103,'G-7 Rivers Data'!$B$4:$B$8,0),MATCH(T103,'G-7 Rivers Data'!$H$3:$L$3,0)),"")</f>
        <v/>
      </c>
      <c r="V103" s="154"/>
      <c r="W103" s="507" t="str">
        <f>IF(V103="","",IF(VLOOKUP(V103,'G-7 Rivers Data'!$AG$4:$AI$9,2,FALSE)=0,"Spatial Data Missing ⚠",VLOOKUP(V103,'G-7 Rivers Data'!$AG$4:$AI$9,2,FALSE)))</f>
        <v/>
      </c>
      <c r="X103" s="499" t="str">
        <f>IF(V103="","",IF(VLOOKUP(V103,'G-7 Rivers Data'!$AG$4:$AI$9,3,FALSE)=0,"Spatial Data Missing ⚠",VLOOKUP(V103,'G-7 Rivers Data'!$AG$4:$AI$9,3,FALSE)))</f>
        <v/>
      </c>
      <c r="Y103" s="498" t="str">
        <f>IFERROR(IF(OR(LEFT(P103,5)="Error ▲",LEFT(O103,5)="Error ▲"),"Check Data ⚠",IF(F103&lt;S103,'G-7 Rivers Data'!$R$3,INDEX('G-7 Rivers Data'!$U$5:$Y$9,MATCH(G103,'G-7 Rivers Data'!$T$5:$T$9,0),MATCH(T103,'G-7 Rivers Data'!$U$4:$Y$4,0)))),"")</f>
        <v/>
      </c>
      <c r="Z103" s="195"/>
      <c r="AA103" s="195"/>
      <c r="AB103" s="507" t="str">
        <f t="shared" si="11"/>
        <v/>
      </c>
      <c r="AC103" s="521" t="str">
        <f t="shared" si="12"/>
        <v/>
      </c>
      <c r="AD103" s="564" t="str">
        <f>IFERROR(IF(AC103="Check Data ⚠","Check Data ⚠",VLOOKUP(AC103,'G-4 Temporal multipliers'!$A$4:$C$37,3,FALSE)),"")</f>
        <v/>
      </c>
      <c r="AE103" s="498" t="str">
        <f>IF(N103="","",VLOOKUP(N103,'G-7 Rivers Data'!$B$4:$G$8,5,FALSE))</f>
        <v/>
      </c>
      <c r="AF103" s="507" t="str">
        <f t="shared" si="13"/>
        <v/>
      </c>
      <c r="AG103" s="540" t="str">
        <f t="shared" si="14"/>
        <v/>
      </c>
      <c r="AH103" s="499" t="str">
        <f t="shared" si="8"/>
        <v/>
      </c>
      <c r="AI103" s="145"/>
      <c r="AJ103" s="499" t="str">
        <f>IF(AI103="","",IF(VLOOKUP(AI103,'G-7 Rivers Data'!$AA$4:$AB$7,2,FALSE)=0,"Spatial Data Missing ⚠",VLOOKUP(AI103,'G-7 Rivers Data'!$AA$4:$AB$7,2,FALSE)))</f>
        <v/>
      </c>
      <c r="AK103" s="155"/>
      <c r="AL103" s="499" t="str">
        <f>IF(AK103="","",IF(VLOOKUP(AK103,'G-7 Rivers Data'!$AD$4:$AE$8,2,FALSE)=0,"Spatial Data Missing ⚠",VLOOKUP(AK103,'G-7 Rivers Data'!$AD$4:$AE$8,2,FALSE)))</f>
        <v/>
      </c>
      <c r="AM103" s="545" t="str">
        <f t="shared" si="15"/>
        <v/>
      </c>
      <c r="AN103" s="149"/>
      <c r="AO103" s="150"/>
      <c r="AV103" s="31" t="str">
        <f>IFERROR(INDEX('G-7 Rivers Data'!$AZ$3:$AZ$7,MATCH(N103,'G-7 Rivers Data'!$AY$3:$AY$7,0)),"")</f>
        <v/>
      </c>
    </row>
    <row r="104" spans="2:48" ht="14" x14ac:dyDescent="0.3">
      <c r="B104" s="531" t="str">
        <f>'C-1 Site River Baseline'!AN102</f>
        <v/>
      </c>
      <c r="C104" s="520" t="str">
        <f>IF(B104="","",VLOOKUP($B104,'C-1 Site River Baseline'!$C$9:$R$257,2,FALSE))</f>
        <v/>
      </c>
      <c r="D104" s="520" t="str">
        <f>IF(C104="","",VLOOKUP($B104,'C-1 Site River Baseline'!$C$9:$R$257,3,FALSE))</f>
        <v/>
      </c>
      <c r="E104" s="520" t="str">
        <f>IF(D104="","",VLOOKUP($B104,'C-1 Site River Baseline'!$C$9:$R$257,4,FALSE))</f>
        <v/>
      </c>
      <c r="F104" s="520" t="str">
        <f>IF(E104="","",VLOOKUP($B104,'C-1 Site River Baseline'!$C$9:$R$257,5,FALSE))</f>
        <v/>
      </c>
      <c r="G104" s="520" t="str">
        <f>IF(F104="","",VLOOKUP($B104,'C-1 Site River Baseline'!$C$9:$R$257,6,FALSE))</f>
        <v/>
      </c>
      <c r="H104" s="520" t="str">
        <f>IF(G104="","",VLOOKUP($B104,'C-1 Site River Baseline'!$C$9:$R$257,7,FALSE))</f>
        <v/>
      </c>
      <c r="I104" s="520" t="str">
        <f>IF(H104="","",VLOOKUP($B104,'C-1 Site River Baseline'!$C$9:$R$257,8,FALSE))</f>
        <v/>
      </c>
      <c r="J104" s="520" t="str">
        <f>IF(I104="","",VLOOKUP($B104,'C-1 Site River Baseline'!$C$9:$R$257,9,FALSE))</f>
        <v/>
      </c>
      <c r="K104" s="520" t="str">
        <f>IF(J104="","",VLOOKUP($B104,'C-1 Site River Baseline'!$C$9:$R$257,10,FALSE))</f>
        <v/>
      </c>
      <c r="L104" s="520" t="str">
        <f>IF(B104="","",VLOOKUP($B104,'C-1 Site River Baseline'!$C$9:$R$257,15,FALSE))</f>
        <v/>
      </c>
      <c r="M104" s="524" t="str">
        <f>IF(L104="","",VLOOKUP($B104,'C-1 Site River Baseline'!$C$9:$R$257,16,FALSE))</f>
        <v/>
      </c>
      <c r="N104" s="418" t="str">
        <f t="shared" si="9"/>
        <v/>
      </c>
      <c r="O104" s="498" t="str">
        <f t="shared" si="10"/>
        <v/>
      </c>
      <c r="P104" s="499" t="str">
        <f>IF(C104="","",IF(AND(LEFT(C104,55)&lt;&gt;LEFT(N104,55),O104="High - High"),"Error - Not like for like ▲",IF(AND(F104=S104,H104&gt;U104),"Error - Can not reduce condition ▲",IF(AND(F104=S104,H104=U104,AJ104='C-1 Site River Baseline'!N102,'C-1 Site River Baseline'!P102=AL104),"Error - No enhancement ▲",IF(AND(C104&lt;&gt;N104,F104&lt;S104),"Lower Distinctiveness Habitat"&amp;" - "&amp;T104,G104&amp;" - "&amp;T104)))))</f>
        <v/>
      </c>
      <c r="Q104" s="567" t="str">
        <f>IF(N104="","",VLOOKUP(B104,'C-1 Site River Baseline'!$C$10:$AA$257,19,FALSE))</f>
        <v/>
      </c>
      <c r="R104" s="498" t="str">
        <f>IF(N104="","",VLOOKUP(N104,'G-7 Rivers Data'!$B$2:$G$8,2,FALSE))</f>
        <v/>
      </c>
      <c r="S104" s="499" t="str">
        <f>IFERROR(VLOOKUP(R104,'G-7 Rivers Data'!$C$4:$D$8,2,FALSE),"")</f>
        <v/>
      </c>
      <c r="T104" s="145"/>
      <c r="U104" s="499" t="str">
        <f>IFERROR(INDEX('G-7 Rivers Data'!$H$4:$L$8,MATCH(N104,'G-7 Rivers Data'!$B$4:$B$8,0),MATCH(T104,'G-7 Rivers Data'!$H$3:$L$3,0)),"")</f>
        <v/>
      </c>
      <c r="V104" s="154"/>
      <c r="W104" s="507" t="str">
        <f>IF(V104="","",IF(VLOOKUP(V104,'G-7 Rivers Data'!$AG$4:$AI$9,2,FALSE)=0,"Spatial Data Missing ⚠",VLOOKUP(V104,'G-7 Rivers Data'!$AG$4:$AI$9,2,FALSE)))</f>
        <v/>
      </c>
      <c r="X104" s="499" t="str">
        <f>IF(V104="","",IF(VLOOKUP(V104,'G-7 Rivers Data'!$AG$4:$AI$9,3,FALSE)=0,"Spatial Data Missing ⚠",VLOOKUP(V104,'G-7 Rivers Data'!$AG$4:$AI$9,3,FALSE)))</f>
        <v/>
      </c>
      <c r="Y104" s="498" t="str">
        <f>IFERROR(IF(OR(LEFT(P104,5)="Error ▲",LEFT(O104,5)="Error ▲"),"Check Data ⚠",IF(F104&lt;S104,'G-7 Rivers Data'!$R$3,INDEX('G-7 Rivers Data'!$U$5:$Y$9,MATCH(G104,'G-7 Rivers Data'!$T$5:$T$9,0),MATCH(T104,'G-7 Rivers Data'!$U$4:$Y$4,0)))),"")</f>
        <v/>
      </c>
      <c r="Z104" s="195"/>
      <c r="AA104" s="195"/>
      <c r="AB104" s="507" t="str">
        <f t="shared" si="11"/>
        <v/>
      </c>
      <c r="AC104" s="521" t="str">
        <f t="shared" si="12"/>
        <v/>
      </c>
      <c r="AD104" s="564" t="str">
        <f>IFERROR(IF(AC104="Check Data ⚠","Check Data ⚠",VLOOKUP(AC104,'G-4 Temporal multipliers'!$A$4:$C$37,3,FALSE)),"")</f>
        <v/>
      </c>
      <c r="AE104" s="498" t="str">
        <f>IF(N104="","",VLOOKUP(N104,'G-7 Rivers Data'!$B$4:$G$8,5,FALSE))</f>
        <v/>
      </c>
      <c r="AF104" s="507" t="str">
        <f t="shared" si="13"/>
        <v/>
      </c>
      <c r="AG104" s="540" t="str">
        <f t="shared" si="14"/>
        <v/>
      </c>
      <c r="AH104" s="499" t="str">
        <f t="shared" si="8"/>
        <v/>
      </c>
      <c r="AI104" s="145"/>
      <c r="AJ104" s="499" t="str">
        <f>IF(AI104="","",IF(VLOOKUP(AI104,'G-7 Rivers Data'!$AA$4:$AB$7,2,FALSE)=0,"Spatial Data Missing ⚠",VLOOKUP(AI104,'G-7 Rivers Data'!$AA$4:$AB$7,2,FALSE)))</f>
        <v/>
      </c>
      <c r="AK104" s="155"/>
      <c r="AL104" s="499" t="str">
        <f>IF(AK104="","",IF(VLOOKUP(AK104,'G-7 Rivers Data'!$AD$4:$AE$8,2,FALSE)=0,"Spatial Data Missing ⚠",VLOOKUP(AK104,'G-7 Rivers Data'!$AD$4:$AE$8,2,FALSE)))</f>
        <v/>
      </c>
      <c r="AM104" s="545" t="str">
        <f t="shared" si="15"/>
        <v/>
      </c>
      <c r="AN104" s="149"/>
      <c r="AO104" s="150"/>
      <c r="AV104" s="31" t="str">
        <f>IFERROR(INDEX('G-7 Rivers Data'!$AZ$3:$AZ$7,MATCH(N104,'G-7 Rivers Data'!$AY$3:$AY$7,0)),"")</f>
        <v/>
      </c>
    </row>
    <row r="105" spans="2:48" ht="14" x14ac:dyDescent="0.3">
      <c r="B105" s="531" t="str">
        <f>'C-1 Site River Baseline'!AN103</f>
        <v/>
      </c>
      <c r="C105" s="520" t="str">
        <f>IF(B105="","",VLOOKUP($B105,'C-1 Site River Baseline'!$C$9:$R$257,2,FALSE))</f>
        <v/>
      </c>
      <c r="D105" s="520" t="str">
        <f>IF(C105="","",VLOOKUP($B105,'C-1 Site River Baseline'!$C$9:$R$257,3,FALSE))</f>
        <v/>
      </c>
      <c r="E105" s="520" t="str">
        <f>IF(D105="","",VLOOKUP($B105,'C-1 Site River Baseline'!$C$9:$R$257,4,FALSE))</f>
        <v/>
      </c>
      <c r="F105" s="520" t="str">
        <f>IF(E105="","",VLOOKUP($B105,'C-1 Site River Baseline'!$C$9:$R$257,5,FALSE))</f>
        <v/>
      </c>
      <c r="G105" s="520" t="str">
        <f>IF(F105="","",VLOOKUP($B105,'C-1 Site River Baseline'!$C$9:$R$257,6,FALSE))</f>
        <v/>
      </c>
      <c r="H105" s="520" t="str">
        <f>IF(G105="","",VLOOKUP($B105,'C-1 Site River Baseline'!$C$9:$R$257,7,FALSE))</f>
        <v/>
      </c>
      <c r="I105" s="520" t="str">
        <f>IF(H105="","",VLOOKUP($B105,'C-1 Site River Baseline'!$C$9:$R$257,8,FALSE))</f>
        <v/>
      </c>
      <c r="J105" s="520" t="str">
        <f>IF(I105="","",VLOOKUP($B105,'C-1 Site River Baseline'!$C$9:$R$257,9,FALSE))</f>
        <v/>
      </c>
      <c r="K105" s="520" t="str">
        <f>IF(J105="","",VLOOKUP($B105,'C-1 Site River Baseline'!$C$9:$R$257,10,FALSE))</f>
        <v/>
      </c>
      <c r="L105" s="520" t="str">
        <f>IF(B105="","",VLOOKUP($B105,'C-1 Site River Baseline'!$C$9:$R$257,15,FALSE))</f>
        <v/>
      </c>
      <c r="M105" s="524" t="str">
        <f>IF(L105="","",VLOOKUP($B105,'C-1 Site River Baseline'!$C$9:$R$257,16,FALSE))</f>
        <v/>
      </c>
      <c r="N105" s="418" t="str">
        <f t="shared" si="9"/>
        <v/>
      </c>
      <c r="O105" s="498" t="str">
        <f t="shared" si="10"/>
        <v/>
      </c>
      <c r="P105" s="499" t="str">
        <f>IF(C105="","",IF(AND(LEFT(C105,55)&lt;&gt;LEFT(N105,55),O105="High - High"),"Error - Not like for like ▲",IF(AND(F105=S105,H105&gt;U105),"Error - Can not reduce condition ▲",IF(AND(F105=S105,H105=U105,AJ105='C-1 Site River Baseline'!N103,'C-1 Site River Baseline'!P103=AL105),"Error - No enhancement ▲",IF(AND(C105&lt;&gt;N105,F105&lt;S105),"Lower Distinctiveness Habitat"&amp;" - "&amp;T105,G105&amp;" - "&amp;T105)))))</f>
        <v/>
      </c>
      <c r="Q105" s="567" t="str">
        <f>IF(N105="","",VLOOKUP(B105,'C-1 Site River Baseline'!$C$10:$AA$257,19,FALSE))</f>
        <v/>
      </c>
      <c r="R105" s="498" t="str">
        <f>IF(N105="","",VLOOKUP(N105,'G-7 Rivers Data'!$B$2:$G$8,2,FALSE))</f>
        <v/>
      </c>
      <c r="S105" s="499" t="str">
        <f>IFERROR(VLOOKUP(R105,'G-7 Rivers Data'!$C$4:$D$8,2,FALSE),"")</f>
        <v/>
      </c>
      <c r="T105" s="145"/>
      <c r="U105" s="499" t="str">
        <f>IFERROR(INDEX('G-7 Rivers Data'!$H$4:$L$8,MATCH(N105,'G-7 Rivers Data'!$B$4:$B$8,0),MATCH(T105,'G-7 Rivers Data'!$H$3:$L$3,0)),"")</f>
        <v/>
      </c>
      <c r="V105" s="154"/>
      <c r="W105" s="507" t="str">
        <f>IF(V105="","",IF(VLOOKUP(V105,'G-7 Rivers Data'!$AG$4:$AI$9,2,FALSE)=0,"Spatial Data Missing ⚠",VLOOKUP(V105,'G-7 Rivers Data'!$AG$4:$AI$9,2,FALSE)))</f>
        <v/>
      </c>
      <c r="X105" s="499" t="str">
        <f>IF(V105="","",IF(VLOOKUP(V105,'G-7 Rivers Data'!$AG$4:$AI$9,3,FALSE)=0,"Spatial Data Missing ⚠",VLOOKUP(V105,'G-7 Rivers Data'!$AG$4:$AI$9,3,FALSE)))</f>
        <v/>
      </c>
      <c r="Y105" s="498" t="str">
        <f>IFERROR(IF(OR(LEFT(P105,5)="Error ▲",LEFT(O105,5)="Error ▲"),"Check Data ⚠",IF(F105&lt;S105,'G-7 Rivers Data'!$R$3,INDEX('G-7 Rivers Data'!$U$5:$Y$9,MATCH(G105,'G-7 Rivers Data'!$T$5:$T$9,0),MATCH(T105,'G-7 Rivers Data'!$U$4:$Y$4,0)))),"")</f>
        <v/>
      </c>
      <c r="Z105" s="195"/>
      <c r="AA105" s="195"/>
      <c r="AB105" s="507" t="str">
        <f t="shared" si="11"/>
        <v/>
      </c>
      <c r="AC105" s="521" t="str">
        <f t="shared" si="12"/>
        <v/>
      </c>
      <c r="AD105" s="564" t="str">
        <f>IFERROR(IF(AC105="Check Data ⚠","Check Data ⚠",VLOOKUP(AC105,'G-4 Temporal multipliers'!$A$4:$C$37,3,FALSE)),"")</f>
        <v/>
      </c>
      <c r="AE105" s="498" t="str">
        <f>IF(N105="","",VLOOKUP(N105,'G-7 Rivers Data'!$B$4:$G$8,5,FALSE))</f>
        <v/>
      </c>
      <c r="AF105" s="507" t="str">
        <f t="shared" si="13"/>
        <v/>
      </c>
      <c r="AG105" s="540" t="str">
        <f t="shared" si="14"/>
        <v/>
      </c>
      <c r="AH105" s="499" t="str">
        <f t="shared" si="8"/>
        <v/>
      </c>
      <c r="AI105" s="145"/>
      <c r="AJ105" s="499" t="str">
        <f>IF(AI105="","",IF(VLOOKUP(AI105,'G-7 Rivers Data'!$AA$4:$AB$7,2,FALSE)=0,"Spatial Data Missing ⚠",VLOOKUP(AI105,'G-7 Rivers Data'!$AA$4:$AB$7,2,FALSE)))</f>
        <v/>
      </c>
      <c r="AK105" s="155"/>
      <c r="AL105" s="499" t="str">
        <f>IF(AK105="","",IF(VLOOKUP(AK105,'G-7 Rivers Data'!$AD$4:$AE$8,2,FALSE)=0,"Spatial Data Missing ⚠",VLOOKUP(AK105,'G-7 Rivers Data'!$AD$4:$AE$8,2,FALSE)))</f>
        <v/>
      </c>
      <c r="AM105" s="545" t="str">
        <f t="shared" si="15"/>
        <v/>
      </c>
      <c r="AN105" s="149"/>
      <c r="AO105" s="150"/>
      <c r="AV105" s="31" t="str">
        <f>IFERROR(INDEX('G-7 Rivers Data'!$AZ$3:$AZ$7,MATCH(N105,'G-7 Rivers Data'!$AY$3:$AY$7,0)),"")</f>
        <v/>
      </c>
    </row>
    <row r="106" spans="2:48" ht="14" x14ac:dyDescent="0.3">
      <c r="B106" s="531" t="str">
        <f>'C-1 Site River Baseline'!AN104</f>
        <v/>
      </c>
      <c r="C106" s="520" t="str">
        <f>IF(B106="","",VLOOKUP($B106,'C-1 Site River Baseline'!$C$9:$R$257,2,FALSE))</f>
        <v/>
      </c>
      <c r="D106" s="520" t="str">
        <f>IF(C106="","",VLOOKUP($B106,'C-1 Site River Baseline'!$C$9:$R$257,3,FALSE))</f>
        <v/>
      </c>
      <c r="E106" s="520" t="str">
        <f>IF(D106="","",VLOOKUP($B106,'C-1 Site River Baseline'!$C$9:$R$257,4,FALSE))</f>
        <v/>
      </c>
      <c r="F106" s="520" t="str">
        <f>IF(E106="","",VLOOKUP($B106,'C-1 Site River Baseline'!$C$9:$R$257,5,FALSE))</f>
        <v/>
      </c>
      <c r="G106" s="520" t="str">
        <f>IF(F106="","",VLOOKUP($B106,'C-1 Site River Baseline'!$C$9:$R$257,6,FALSE))</f>
        <v/>
      </c>
      <c r="H106" s="520" t="str">
        <f>IF(G106="","",VLOOKUP($B106,'C-1 Site River Baseline'!$C$9:$R$257,7,FALSE))</f>
        <v/>
      </c>
      <c r="I106" s="520" t="str">
        <f>IF(H106="","",VLOOKUP($B106,'C-1 Site River Baseline'!$C$9:$R$257,8,FALSE))</f>
        <v/>
      </c>
      <c r="J106" s="520" t="str">
        <f>IF(I106="","",VLOOKUP($B106,'C-1 Site River Baseline'!$C$9:$R$257,9,FALSE))</f>
        <v/>
      </c>
      <c r="K106" s="520" t="str">
        <f>IF(J106="","",VLOOKUP($B106,'C-1 Site River Baseline'!$C$9:$R$257,10,FALSE))</f>
        <v/>
      </c>
      <c r="L106" s="520" t="str">
        <f>IF(B106="","",VLOOKUP($B106,'C-1 Site River Baseline'!$C$9:$R$257,15,FALSE))</f>
        <v/>
      </c>
      <c r="M106" s="524" t="str">
        <f>IF(L106="","",VLOOKUP($B106,'C-1 Site River Baseline'!$C$9:$R$257,16,FALSE))</f>
        <v/>
      </c>
      <c r="N106" s="418" t="str">
        <f t="shared" si="9"/>
        <v/>
      </c>
      <c r="O106" s="498" t="str">
        <f t="shared" si="10"/>
        <v/>
      </c>
      <c r="P106" s="499" t="str">
        <f>IF(C106="","",IF(AND(LEFT(C106,55)&lt;&gt;LEFT(N106,55),O106="High - High"),"Error - Not like for like ▲",IF(AND(F106=S106,H106&gt;U106),"Error - Can not reduce condition ▲",IF(AND(F106=S106,H106=U106,AJ106='C-1 Site River Baseline'!N104,'C-1 Site River Baseline'!P104=AL106),"Error - No enhancement ▲",IF(AND(C106&lt;&gt;N106,F106&lt;S106),"Lower Distinctiveness Habitat"&amp;" - "&amp;T106,G106&amp;" - "&amp;T106)))))</f>
        <v/>
      </c>
      <c r="Q106" s="567" t="str">
        <f>IF(N106="","",VLOOKUP(B106,'C-1 Site River Baseline'!$C$10:$AA$257,19,FALSE))</f>
        <v/>
      </c>
      <c r="R106" s="498" t="str">
        <f>IF(N106="","",VLOOKUP(N106,'G-7 Rivers Data'!$B$2:$G$8,2,FALSE))</f>
        <v/>
      </c>
      <c r="S106" s="499" t="str">
        <f>IFERROR(VLOOKUP(R106,'G-7 Rivers Data'!$C$4:$D$8,2,FALSE),"")</f>
        <v/>
      </c>
      <c r="T106" s="145"/>
      <c r="U106" s="499" t="str">
        <f>IFERROR(INDEX('G-7 Rivers Data'!$H$4:$L$8,MATCH(N106,'G-7 Rivers Data'!$B$4:$B$8,0),MATCH(T106,'G-7 Rivers Data'!$H$3:$L$3,0)),"")</f>
        <v/>
      </c>
      <c r="V106" s="154"/>
      <c r="W106" s="507" t="str">
        <f>IF(V106="","",IF(VLOOKUP(V106,'G-7 Rivers Data'!$AG$4:$AI$9,2,FALSE)=0,"Spatial Data Missing ⚠",VLOOKUP(V106,'G-7 Rivers Data'!$AG$4:$AI$9,2,FALSE)))</f>
        <v/>
      </c>
      <c r="X106" s="499" t="str">
        <f>IF(V106="","",IF(VLOOKUP(V106,'G-7 Rivers Data'!$AG$4:$AI$9,3,FALSE)=0,"Spatial Data Missing ⚠",VLOOKUP(V106,'G-7 Rivers Data'!$AG$4:$AI$9,3,FALSE)))</f>
        <v/>
      </c>
      <c r="Y106" s="498" t="str">
        <f>IFERROR(IF(OR(LEFT(P106,5)="Error ▲",LEFT(O106,5)="Error ▲"),"Check Data ⚠",IF(F106&lt;S106,'G-7 Rivers Data'!$R$3,INDEX('G-7 Rivers Data'!$U$5:$Y$9,MATCH(G106,'G-7 Rivers Data'!$T$5:$T$9,0),MATCH(T106,'G-7 Rivers Data'!$U$4:$Y$4,0)))),"")</f>
        <v/>
      </c>
      <c r="Z106" s="195"/>
      <c r="AA106" s="195"/>
      <c r="AB106" s="507" t="str">
        <f t="shared" si="11"/>
        <v/>
      </c>
      <c r="AC106" s="521" t="str">
        <f t="shared" si="12"/>
        <v/>
      </c>
      <c r="AD106" s="564" t="str">
        <f>IFERROR(IF(AC106="Check Data ⚠","Check Data ⚠",VLOOKUP(AC106,'G-4 Temporal multipliers'!$A$4:$C$37,3,FALSE)),"")</f>
        <v/>
      </c>
      <c r="AE106" s="498" t="str">
        <f>IF(N106="","",VLOOKUP(N106,'G-7 Rivers Data'!$B$4:$G$8,5,FALSE))</f>
        <v/>
      </c>
      <c r="AF106" s="507" t="str">
        <f t="shared" si="13"/>
        <v/>
      </c>
      <c r="AG106" s="540" t="str">
        <f t="shared" si="14"/>
        <v/>
      </c>
      <c r="AH106" s="499" t="str">
        <f t="shared" si="8"/>
        <v/>
      </c>
      <c r="AI106" s="145"/>
      <c r="AJ106" s="499" t="str">
        <f>IF(AI106="","",IF(VLOOKUP(AI106,'G-7 Rivers Data'!$AA$4:$AB$7,2,FALSE)=0,"Spatial Data Missing ⚠",VLOOKUP(AI106,'G-7 Rivers Data'!$AA$4:$AB$7,2,FALSE)))</f>
        <v/>
      </c>
      <c r="AK106" s="155"/>
      <c r="AL106" s="499" t="str">
        <f>IF(AK106="","",IF(VLOOKUP(AK106,'G-7 Rivers Data'!$AD$4:$AE$8,2,FALSE)=0,"Spatial Data Missing ⚠",VLOOKUP(AK106,'G-7 Rivers Data'!$AD$4:$AE$8,2,FALSE)))</f>
        <v/>
      </c>
      <c r="AM106" s="545" t="str">
        <f t="shared" si="15"/>
        <v/>
      </c>
      <c r="AN106" s="149"/>
      <c r="AO106" s="150"/>
      <c r="AV106" s="31" t="str">
        <f>IFERROR(INDEX('G-7 Rivers Data'!$AZ$3:$AZ$7,MATCH(N106,'G-7 Rivers Data'!$AY$3:$AY$7,0)),"")</f>
        <v/>
      </c>
    </row>
    <row r="107" spans="2:48" ht="14" x14ac:dyDescent="0.3">
      <c r="B107" s="531" t="str">
        <f>'C-1 Site River Baseline'!AN105</f>
        <v/>
      </c>
      <c r="C107" s="520" t="str">
        <f>IF(B107="","",VLOOKUP($B107,'C-1 Site River Baseline'!$C$9:$R$257,2,FALSE))</f>
        <v/>
      </c>
      <c r="D107" s="520" t="str">
        <f>IF(C107="","",VLOOKUP($B107,'C-1 Site River Baseline'!$C$9:$R$257,3,FALSE))</f>
        <v/>
      </c>
      <c r="E107" s="520" t="str">
        <f>IF(D107="","",VLOOKUP($B107,'C-1 Site River Baseline'!$C$9:$R$257,4,FALSE))</f>
        <v/>
      </c>
      <c r="F107" s="520" t="str">
        <f>IF(E107="","",VLOOKUP($B107,'C-1 Site River Baseline'!$C$9:$R$257,5,FALSE))</f>
        <v/>
      </c>
      <c r="G107" s="520" t="str">
        <f>IF(F107="","",VLOOKUP($B107,'C-1 Site River Baseline'!$C$9:$R$257,6,FALSE))</f>
        <v/>
      </c>
      <c r="H107" s="520" t="str">
        <f>IF(G107="","",VLOOKUP($B107,'C-1 Site River Baseline'!$C$9:$R$257,7,FALSE))</f>
        <v/>
      </c>
      <c r="I107" s="520" t="str">
        <f>IF(H107="","",VLOOKUP($B107,'C-1 Site River Baseline'!$C$9:$R$257,8,FALSE))</f>
        <v/>
      </c>
      <c r="J107" s="520" t="str">
        <f>IF(I107="","",VLOOKUP($B107,'C-1 Site River Baseline'!$C$9:$R$257,9,FALSE))</f>
        <v/>
      </c>
      <c r="K107" s="520" t="str">
        <f>IF(J107="","",VLOOKUP($B107,'C-1 Site River Baseline'!$C$9:$R$257,10,FALSE))</f>
        <v/>
      </c>
      <c r="L107" s="520" t="str">
        <f>IF(B107="","",VLOOKUP($B107,'C-1 Site River Baseline'!$C$9:$R$257,15,FALSE))</f>
        <v/>
      </c>
      <c r="M107" s="524" t="str">
        <f>IF(L107="","",VLOOKUP($B107,'C-1 Site River Baseline'!$C$9:$R$257,16,FALSE))</f>
        <v/>
      </c>
      <c r="N107" s="418" t="str">
        <f t="shared" si="9"/>
        <v/>
      </c>
      <c r="O107" s="498" t="str">
        <f t="shared" si="10"/>
        <v/>
      </c>
      <c r="P107" s="499" t="str">
        <f>IF(C107="","",IF(AND(LEFT(C107,55)&lt;&gt;LEFT(N107,55),O107="High - High"),"Error - Not like for like ▲",IF(AND(F107=S107,H107&gt;U107),"Error - Can not reduce condition ▲",IF(AND(F107=S107,H107=U107,AJ107='C-1 Site River Baseline'!N105,'C-1 Site River Baseline'!P105=AL107),"Error - No enhancement ▲",IF(AND(C107&lt;&gt;N107,F107&lt;S107),"Lower Distinctiveness Habitat"&amp;" - "&amp;T107,G107&amp;" - "&amp;T107)))))</f>
        <v/>
      </c>
      <c r="Q107" s="567" t="str">
        <f>IF(N107="","",VLOOKUP(B107,'C-1 Site River Baseline'!$C$10:$AA$257,19,FALSE))</f>
        <v/>
      </c>
      <c r="R107" s="498" t="str">
        <f>IF(N107="","",VLOOKUP(N107,'G-7 Rivers Data'!$B$2:$G$8,2,FALSE))</f>
        <v/>
      </c>
      <c r="S107" s="499" t="str">
        <f>IFERROR(VLOOKUP(R107,'G-7 Rivers Data'!$C$4:$D$8,2,FALSE),"")</f>
        <v/>
      </c>
      <c r="T107" s="145"/>
      <c r="U107" s="499" t="str">
        <f>IFERROR(INDEX('G-7 Rivers Data'!$H$4:$L$8,MATCH(N107,'G-7 Rivers Data'!$B$4:$B$8,0),MATCH(T107,'G-7 Rivers Data'!$H$3:$L$3,0)),"")</f>
        <v/>
      </c>
      <c r="V107" s="154"/>
      <c r="W107" s="507" t="str">
        <f>IF(V107="","",IF(VLOOKUP(V107,'G-7 Rivers Data'!$AG$4:$AI$9,2,FALSE)=0,"Spatial Data Missing ⚠",VLOOKUP(V107,'G-7 Rivers Data'!$AG$4:$AI$9,2,FALSE)))</f>
        <v/>
      </c>
      <c r="X107" s="499" t="str">
        <f>IF(V107="","",IF(VLOOKUP(V107,'G-7 Rivers Data'!$AG$4:$AI$9,3,FALSE)=0,"Spatial Data Missing ⚠",VLOOKUP(V107,'G-7 Rivers Data'!$AG$4:$AI$9,3,FALSE)))</f>
        <v/>
      </c>
      <c r="Y107" s="498" t="str">
        <f>IFERROR(IF(OR(LEFT(P107,5)="Error ▲",LEFT(O107,5)="Error ▲"),"Check Data ⚠",IF(F107&lt;S107,'G-7 Rivers Data'!$R$3,INDEX('G-7 Rivers Data'!$U$5:$Y$9,MATCH(G107,'G-7 Rivers Data'!$T$5:$T$9,0),MATCH(T107,'G-7 Rivers Data'!$U$4:$Y$4,0)))),"")</f>
        <v/>
      </c>
      <c r="Z107" s="195"/>
      <c r="AA107" s="195"/>
      <c r="AB107" s="507" t="str">
        <f t="shared" si="11"/>
        <v/>
      </c>
      <c r="AC107" s="521" t="str">
        <f t="shared" si="12"/>
        <v/>
      </c>
      <c r="AD107" s="564" t="str">
        <f>IFERROR(IF(AC107="Check Data ⚠","Check Data ⚠",VLOOKUP(AC107,'G-4 Temporal multipliers'!$A$4:$C$37,3,FALSE)),"")</f>
        <v/>
      </c>
      <c r="AE107" s="498" t="str">
        <f>IF(N107="","",VLOOKUP(N107,'G-7 Rivers Data'!$B$4:$G$8,5,FALSE))</f>
        <v/>
      </c>
      <c r="AF107" s="507" t="str">
        <f t="shared" si="13"/>
        <v/>
      </c>
      <c r="AG107" s="540" t="str">
        <f t="shared" si="14"/>
        <v/>
      </c>
      <c r="AH107" s="499" t="str">
        <f t="shared" si="8"/>
        <v/>
      </c>
      <c r="AI107" s="145"/>
      <c r="AJ107" s="499" t="str">
        <f>IF(AI107="","",IF(VLOOKUP(AI107,'G-7 Rivers Data'!$AA$4:$AB$7,2,FALSE)=0,"Spatial Data Missing ⚠",VLOOKUP(AI107,'G-7 Rivers Data'!$AA$4:$AB$7,2,FALSE)))</f>
        <v/>
      </c>
      <c r="AK107" s="155"/>
      <c r="AL107" s="499" t="str">
        <f>IF(AK107="","",IF(VLOOKUP(AK107,'G-7 Rivers Data'!$AD$4:$AE$8,2,FALSE)=0,"Spatial Data Missing ⚠",VLOOKUP(AK107,'G-7 Rivers Data'!$AD$4:$AE$8,2,FALSE)))</f>
        <v/>
      </c>
      <c r="AM107" s="545" t="str">
        <f t="shared" si="15"/>
        <v/>
      </c>
      <c r="AN107" s="149"/>
      <c r="AO107" s="150"/>
      <c r="AV107" s="31" t="str">
        <f>IFERROR(INDEX('G-7 Rivers Data'!$AZ$3:$AZ$7,MATCH(N107,'G-7 Rivers Data'!$AY$3:$AY$7,0)),"")</f>
        <v/>
      </c>
    </row>
    <row r="108" spans="2:48" ht="14" x14ac:dyDescent="0.3">
      <c r="B108" s="531" t="str">
        <f>'C-1 Site River Baseline'!AN106</f>
        <v/>
      </c>
      <c r="C108" s="520" t="str">
        <f>IF(B108="","",VLOOKUP($B108,'C-1 Site River Baseline'!$C$9:$R$257,2,FALSE))</f>
        <v/>
      </c>
      <c r="D108" s="520" t="str">
        <f>IF(C108="","",VLOOKUP($B108,'C-1 Site River Baseline'!$C$9:$R$257,3,FALSE))</f>
        <v/>
      </c>
      <c r="E108" s="520" t="str">
        <f>IF(D108="","",VLOOKUP($B108,'C-1 Site River Baseline'!$C$9:$R$257,4,FALSE))</f>
        <v/>
      </c>
      <c r="F108" s="520" t="str">
        <f>IF(E108="","",VLOOKUP($B108,'C-1 Site River Baseline'!$C$9:$R$257,5,FALSE))</f>
        <v/>
      </c>
      <c r="G108" s="520" t="str">
        <f>IF(F108="","",VLOOKUP($B108,'C-1 Site River Baseline'!$C$9:$R$257,6,FALSE))</f>
        <v/>
      </c>
      <c r="H108" s="520" t="str">
        <f>IF(G108="","",VLOOKUP($B108,'C-1 Site River Baseline'!$C$9:$R$257,7,FALSE))</f>
        <v/>
      </c>
      <c r="I108" s="520" t="str">
        <f>IF(H108="","",VLOOKUP($B108,'C-1 Site River Baseline'!$C$9:$R$257,8,FALSE))</f>
        <v/>
      </c>
      <c r="J108" s="520" t="str">
        <f>IF(I108="","",VLOOKUP($B108,'C-1 Site River Baseline'!$C$9:$R$257,9,FALSE))</f>
        <v/>
      </c>
      <c r="K108" s="520" t="str">
        <f>IF(J108="","",VLOOKUP($B108,'C-1 Site River Baseline'!$C$9:$R$257,10,FALSE))</f>
        <v/>
      </c>
      <c r="L108" s="520" t="str">
        <f>IF(B108="","",VLOOKUP($B108,'C-1 Site River Baseline'!$C$9:$R$257,15,FALSE))</f>
        <v/>
      </c>
      <c r="M108" s="524" t="str">
        <f>IF(L108="","",VLOOKUP($B108,'C-1 Site River Baseline'!$C$9:$R$257,16,FALSE))</f>
        <v/>
      </c>
      <c r="N108" s="418" t="str">
        <f t="shared" si="9"/>
        <v/>
      </c>
      <c r="O108" s="498" t="str">
        <f t="shared" si="10"/>
        <v/>
      </c>
      <c r="P108" s="499" t="str">
        <f>IF(C108="","",IF(AND(LEFT(C108,55)&lt;&gt;LEFT(N108,55),O108="High - High"),"Error - Not like for like ▲",IF(AND(F108=S108,H108&gt;U108),"Error - Can not reduce condition ▲",IF(AND(F108=S108,H108=U108,AJ108='C-1 Site River Baseline'!N106,'C-1 Site River Baseline'!P106=AL108),"Error - No enhancement ▲",IF(AND(C108&lt;&gt;N108,F108&lt;S108),"Lower Distinctiveness Habitat"&amp;" - "&amp;T108,G108&amp;" - "&amp;T108)))))</f>
        <v/>
      </c>
      <c r="Q108" s="567" t="str">
        <f>IF(N108="","",VLOOKUP(B108,'C-1 Site River Baseline'!$C$10:$AA$257,19,FALSE))</f>
        <v/>
      </c>
      <c r="R108" s="498" t="str">
        <f>IF(N108="","",VLOOKUP(N108,'G-7 Rivers Data'!$B$2:$G$8,2,FALSE))</f>
        <v/>
      </c>
      <c r="S108" s="499" t="str">
        <f>IFERROR(VLOOKUP(R108,'G-7 Rivers Data'!$C$4:$D$8,2,FALSE),"")</f>
        <v/>
      </c>
      <c r="T108" s="145"/>
      <c r="U108" s="499" t="str">
        <f>IFERROR(INDEX('G-7 Rivers Data'!$H$4:$L$8,MATCH(N108,'G-7 Rivers Data'!$B$4:$B$8,0),MATCH(T108,'G-7 Rivers Data'!$H$3:$L$3,0)),"")</f>
        <v/>
      </c>
      <c r="V108" s="154"/>
      <c r="W108" s="507" t="str">
        <f>IF(V108="","",IF(VLOOKUP(V108,'G-7 Rivers Data'!$AG$4:$AI$9,2,FALSE)=0,"Spatial Data Missing ⚠",VLOOKUP(V108,'G-7 Rivers Data'!$AG$4:$AI$9,2,FALSE)))</f>
        <v/>
      </c>
      <c r="X108" s="499" t="str">
        <f>IF(V108="","",IF(VLOOKUP(V108,'G-7 Rivers Data'!$AG$4:$AI$9,3,FALSE)=0,"Spatial Data Missing ⚠",VLOOKUP(V108,'G-7 Rivers Data'!$AG$4:$AI$9,3,FALSE)))</f>
        <v/>
      </c>
      <c r="Y108" s="498" t="str">
        <f>IFERROR(IF(OR(LEFT(P108,5)="Error ▲",LEFT(O108,5)="Error ▲"),"Check Data ⚠",IF(F108&lt;S108,'G-7 Rivers Data'!$R$3,INDEX('G-7 Rivers Data'!$U$5:$Y$9,MATCH(G108,'G-7 Rivers Data'!$T$5:$T$9,0),MATCH(T108,'G-7 Rivers Data'!$U$4:$Y$4,0)))),"")</f>
        <v/>
      </c>
      <c r="Z108" s="195"/>
      <c r="AA108" s="195"/>
      <c r="AB108" s="507" t="str">
        <f t="shared" si="11"/>
        <v/>
      </c>
      <c r="AC108" s="521" t="str">
        <f t="shared" si="12"/>
        <v/>
      </c>
      <c r="AD108" s="564" t="str">
        <f>IFERROR(IF(AC108="Check Data ⚠","Check Data ⚠",VLOOKUP(AC108,'G-4 Temporal multipliers'!$A$4:$C$37,3,FALSE)),"")</f>
        <v/>
      </c>
      <c r="AE108" s="498" t="str">
        <f>IF(N108="","",VLOOKUP(N108,'G-7 Rivers Data'!$B$4:$G$8,5,FALSE))</f>
        <v/>
      </c>
      <c r="AF108" s="507" t="str">
        <f t="shared" si="13"/>
        <v/>
      </c>
      <c r="AG108" s="540" t="str">
        <f t="shared" si="14"/>
        <v/>
      </c>
      <c r="AH108" s="499" t="str">
        <f t="shared" si="8"/>
        <v/>
      </c>
      <c r="AI108" s="145"/>
      <c r="AJ108" s="499" t="str">
        <f>IF(AI108="","",IF(VLOOKUP(AI108,'G-7 Rivers Data'!$AA$4:$AB$7,2,FALSE)=0,"Spatial Data Missing ⚠",VLOOKUP(AI108,'G-7 Rivers Data'!$AA$4:$AB$7,2,FALSE)))</f>
        <v/>
      </c>
      <c r="AK108" s="155"/>
      <c r="AL108" s="499" t="str">
        <f>IF(AK108="","",IF(VLOOKUP(AK108,'G-7 Rivers Data'!$AD$4:$AE$8,2,FALSE)=0,"Spatial Data Missing ⚠",VLOOKUP(AK108,'G-7 Rivers Data'!$AD$4:$AE$8,2,FALSE)))</f>
        <v/>
      </c>
      <c r="AM108" s="545" t="str">
        <f t="shared" si="15"/>
        <v/>
      </c>
      <c r="AN108" s="149"/>
      <c r="AO108" s="150"/>
      <c r="AV108" s="31" t="str">
        <f>IFERROR(INDEX('G-7 Rivers Data'!$AZ$3:$AZ$7,MATCH(N108,'G-7 Rivers Data'!$AY$3:$AY$7,0)),"")</f>
        <v/>
      </c>
    </row>
    <row r="109" spans="2:48" ht="14" x14ac:dyDescent="0.3">
      <c r="B109" s="531" t="str">
        <f>'C-1 Site River Baseline'!AN107</f>
        <v/>
      </c>
      <c r="C109" s="520" t="str">
        <f>IF(B109="","",VLOOKUP($B109,'C-1 Site River Baseline'!$C$9:$R$257,2,FALSE))</f>
        <v/>
      </c>
      <c r="D109" s="520" t="str">
        <f>IF(C109="","",VLOOKUP($B109,'C-1 Site River Baseline'!$C$9:$R$257,3,FALSE))</f>
        <v/>
      </c>
      <c r="E109" s="520" t="str">
        <f>IF(D109="","",VLOOKUP($B109,'C-1 Site River Baseline'!$C$9:$R$257,4,FALSE))</f>
        <v/>
      </c>
      <c r="F109" s="520" t="str">
        <f>IF(E109="","",VLOOKUP($B109,'C-1 Site River Baseline'!$C$9:$R$257,5,FALSE))</f>
        <v/>
      </c>
      <c r="G109" s="520" t="str">
        <f>IF(F109="","",VLOOKUP($B109,'C-1 Site River Baseline'!$C$9:$R$257,6,FALSE))</f>
        <v/>
      </c>
      <c r="H109" s="520" t="str">
        <f>IF(G109="","",VLOOKUP($B109,'C-1 Site River Baseline'!$C$9:$R$257,7,FALSE))</f>
        <v/>
      </c>
      <c r="I109" s="520" t="str">
        <f>IF(H109="","",VLOOKUP($B109,'C-1 Site River Baseline'!$C$9:$R$257,8,FALSE))</f>
        <v/>
      </c>
      <c r="J109" s="520" t="str">
        <f>IF(I109="","",VLOOKUP($B109,'C-1 Site River Baseline'!$C$9:$R$257,9,FALSE))</f>
        <v/>
      </c>
      <c r="K109" s="520" t="str">
        <f>IF(J109="","",VLOOKUP($B109,'C-1 Site River Baseline'!$C$9:$R$257,10,FALSE))</f>
        <v/>
      </c>
      <c r="L109" s="520" t="str">
        <f>IF(B109="","",VLOOKUP($B109,'C-1 Site River Baseline'!$C$9:$R$257,15,FALSE))</f>
        <v/>
      </c>
      <c r="M109" s="524" t="str">
        <f>IF(L109="","",VLOOKUP($B109,'C-1 Site River Baseline'!$C$9:$R$257,16,FALSE))</f>
        <v/>
      </c>
      <c r="N109" s="418" t="str">
        <f t="shared" si="9"/>
        <v/>
      </c>
      <c r="O109" s="498" t="str">
        <f t="shared" si="10"/>
        <v/>
      </c>
      <c r="P109" s="499" t="str">
        <f>IF(C109="","",IF(AND(LEFT(C109,55)&lt;&gt;LEFT(N109,55),O109="High - High"),"Error - Not like for like ▲",IF(AND(F109=S109,H109&gt;U109),"Error - Can not reduce condition ▲",IF(AND(F109=S109,H109=U109,AJ109='C-1 Site River Baseline'!N107,'C-1 Site River Baseline'!P107=AL109),"Error - No enhancement ▲",IF(AND(C109&lt;&gt;N109,F109&lt;S109),"Lower Distinctiveness Habitat"&amp;" - "&amp;T109,G109&amp;" - "&amp;T109)))))</f>
        <v/>
      </c>
      <c r="Q109" s="567" t="str">
        <f>IF(N109="","",VLOOKUP(B109,'C-1 Site River Baseline'!$C$10:$AA$257,19,FALSE))</f>
        <v/>
      </c>
      <c r="R109" s="498" t="str">
        <f>IF(N109="","",VLOOKUP(N109,'G-7 Rivers Data'!$B$2:$G$8,2,FALSE))</f>
        <v/>
      </c>
      <c r="S109" s="499" t="str">
        <f>IFERROR(VLOOKUP(R109,'G-7 Rivers Data'!$C$4:$D$8,2,FALSE),"")</f>
        <v/>
      </c>
      <c r="T109" s="145"/>
      <c r="U109" s="499" t="str">
        <f>IFERROR(INDEX('G-7 Rivers Data'!$H$4:$L$8,MATCH(N109,'G-7 Rivers Data'!$B$4:$B$8,0),MATCH(T109,'G-7 Rivers Data'!$H$3:$L$3,0)),"")</f>
        <v/>
      </c>
      <c r="V109" s="154"/>
      <c r="W109" s="507" t="str">
        <f>IF(V109="","",IF(VLOOKUP(V109,'G-7 Rivers Data'!$AG$4:$AI$9,2,FALSE)=0,"Spatial Data Missing ⚠",VLOOKUP(V109,'G-7 Rivers Data'!$AG$4:$AI$9,2,FALSE)))</f>
        <v/>
      </c>
      <c r="X109" s="499" t="str">
        <f>IF(V109="","",IF(VLOOKUP(V109,'G-7 Rivers Data'!$AG$4:$AI$9,3,FALSE)=0,"Spatial Data Missing ⚠",VLOOKUP(V109,'G-7 Rivers Data'!$AG$4:$AI$9,3,FALSE)))</f>
        <v/>
      </c>
      <c r="Y109" s="498" t="str">
        <f>IFERROR(IF(OR(LEFT(P109,5)="Error ▲",LEFT(O109,5)="Error ▲"),"Check Data ⚠",IF(F109&lt;S109,'G-7 Rivers Data'!$R$3,INDEX('G-7 Rivers Data'!$U$5:$Y$9,MATCH(G109,'G-7 Rivers Data'!$T$5:$T$9,0),MATCH(T109,'G-7 Rivers Data'!$U$4:$Y$4,0)))),"")</f>
        <v/>
      </c>
      <c r="Z109" s="195"/>
      <c r="AA109" s="195"/>
      <c r="AB109" s="507" t="str">
        <f t="shared" si="11"/>
        <v/>
      </c>
      <c r="AC109" s="521" t="str">
        <f t="shared" si="12"/>
        <v/>
      </c>
      <c r="AD109" s="564" t="str">
        <f>IFERROR(IF(AC109="Check Data ⚠","Check Data ⚠",VLOOKUP(AC109,'G-4 Temporal multipliers'!$A$4:$C$37,3,FALSE)),"")</f>
        <v/>
      </c>
      <c r="AE109" s="498" t="str">
        <f>IF(N109="","",VLOOKUP(N109,'G-7 Rivers Data'!$B$4:$G$8,5,FALSE))</f>
        <v/>
      </c>
      <c r="AF109" s="507" t="str">
        <f t="shared" si="13"/>
        <v/>
      </c>
      <c r="AG109" s="540" t="str">
        <f t="shared" si="14"/>
        <v/>
      </c>
      <c r="AH109" s="499" t="str">
        <f t="shared" si="8"/>
        <v/>
      </c>
      <c r="AI109" s="145"/>
      <c r="AJ109" s="499" t="str">
        <f>IF(AI109="","",IF(VLOOKUP(AI109,'G-7 Rivers Data'!$AA$4:$AB$7,2,FALSE)=0,"Spatial Data Missing ⚠",VLOOKUP(AI109,'G-7 Rivers Data'!$AA$4:$AB$7,2,FALSE)))</f>
        <v/>
      </c>
      <c r="AK109" s="155"/>
      <c r="AL109" s="499" t="str">
        <f>IF(AK109="","",IF(VLOOKUP(AK109,'G-7 Rivers Data'!$AD$4:$AE$8,2,FALSE)=0,"Spatial Data Missing ⚠",VLOOKUP(AK109,'G-7 Rivers Data'!$AD$4:$AE$8,2,FALSE)))</f>
        <v/>
      </c>
      <c r="AM109" s="545" t="str">
        <f t="shared" si="15"/>
        <v/>
      </c>
      <c r="AN109" s="149"/>
      <c r="AO109" s="150"/>
      <c r="AV109" s="31" t="str">
        <f>IFERROR(INDEX('G-7 Rivers Data'!$AZ$3:$AZ$7,MATCH(N109,'G-7 Rivers Data'!$AY$3:$AY$7,0)),"")</f>
        <v/>
      </c>
    </row>
    <row r="110" spans="2:48" ht="14" x14ac:dyDescent="0.3">
      <c r="B110" s="531" t="str">
        <f>'C-1 Site River Baseline'!AN108</f>
        <v/>
      </c>
      <c r="C110" s="520" t="str">
        <f>IF(B110="","",VLOOKUP($B110,'C-1 Site River Baseline'!$C$9:$R$257,2,FALSE))</f>
        <v/>
      </c>
      <c r="D110" s="520" t="str">
        <f>IF(C110="","",VLOOKUP($B110,'C-1 Site River Baseline'!$C$9:$R$257,3,FALSE))</f>
        <v/>
      </c>
      <c r="E110" s="520" t="str">
        <f>IF(D110="","",VLOOKUP($B110,'C-1 Site River Baseline'!$C$9:$R$257,4,FALSE))</f>
        <v/>
      </c>
      <c r="F110" s="520" t="str">
        <f>IF(E110="","",VLOOKUP($B110,'C-1 Site River Baseline'!$C$9:$R$257,5,FALSE))</f>
        <v/>
      </c>
      <c r="G110" s="520" t="str">
        <f>IF(F110="","",VLOOKUP($B110,'C-1 Site River Baseline'!$C$9:$R$257,6,FALSE))</f>
        <v/>
      </c>
      <c r="H110" s="520" t="str">
        <f>IF(G110="","",VLOOKUP($B110,'C-1 Site River Baseline'!$C$9:$R$257,7,FALSE))</f>
        <v/>
      </c>
      <c r="I110" s="520" t="str">
        <f>IF(H110="","",VLOOKUP($B110,'C-1 Site River Baseline'!$C$9:$R$257,8,FALSE))</f>
        <v/>
      </c>
      <c r="J110" s="520" t="str">
        <f>IF(I110="","",VLOOKUP($B110,'C-1 Site River Baseline'!$C$9:$R$257,9,FALSE))</f>
        <v/>
      </c>
      <c r="K110" s="520" t="str">
        <f>IF(J110="","",VLOOKUP($B110,'C-1 Site River Baseline'!$C$9:$R$257,10,FALSE))</f>
        <v/>
      </c>
      <c r="L110" s="520" t="str">
        <f>IF(B110="","",VLOOKUP($B110,'C-1 Site River Baseline'!$C$9:$R$257,15,FALSE))</f>
        <v/>
      </c>
      <c r="M110" s="524" t="str">
        <f>IF(L110="","",VLOOKUP($B110,'C-1 Site River Baseline'!$C$9:$R$257,16,FALSE))</f>
        <v/>
      </c>
      <c r="N110" s="418" t="str">
        <f t="shared" si="9"/>
        <v/>
      </c>
      <c r="O110" s="498" t="str">
        <f t="shared" si="10"/>
        <v/>
      </c>
      <c r="P110" s="499" t="str">
        <f>IF(C110="","",IF(AND(LEFT(C110,55)&lt;&gt;LEFT(N110,55),O110="High - High"),"Error - Not like for like ▲",IF(AND(F110=S110,H110&gt;U110),"Error - Can not reduce condition ▲",IF(AND(F110=S110,H110=U110,AJ110='C-1 Site River Baseline'!N108,'C-1 Site River Baseline'!P108=AL110),"Error - No enhancement ▲",IF(AND(C110&lt;&gt;N110,F110&lt;S110),"Lower Distinctiveness Habitat"&amp;" - "&amp;T110,G110&amp;" - "&amp;T110)))))</f>
        <v/>
      </c>
      <c r="Q110" s="567" t="str">
        <f>IF(N110="","",VLOOKUP(B110,'C-1 Site River Baseline'!$C$10:$AA$257,19,FALSE))</f>
        <v/>
      </c>
      <c r="R110" s="498" t="str">
        <f>IF(N110="","",VLOOKUP(N110,'G-7 Rivers Data'!$B$2:$G$8,2,FALSE))</f>
        <v/>
      </c>
      <c r="S110" s="499" t="str">
        <f>IFERROR(VLOOKUP(R110,'G-7 Rivers Data'!$C$4:$D$8,2,FALSE),"")</f>
        <v/>
      </c>
      <c r="T110" s="145"/>
      <c r="U110" s="499" t="str">
        <f>IFERROR(INDEX('G-7 Rivers Data'!$H$4:$L$8,MATCH(N110,'G-7 Rivers Data'!$B$4:$B$8,0),MATCH(T110,'G-7 Rivers Data'!$H$3:$L$3,0)),"")</f>
        <v/>
      </c>
      <c r="V110" s="154"/>
      <c r="W110" s="507" t="str">
        <f>IF(V110="","",IF(VLOOKUP(V110,'G-7 Rivers Data'!$AG$4:$AI$9,2,FALSE)=0,"Spatial Data Missing ⚠",VLOOKUP(V110,'G-7 Rivers Data'!$AG$4:$AI$9,2,FALSE)))</f>
        <v/>
      </c>
      <c r="X110" s="499" t="str">
        <f>IF(V110="","",IF(VLOOKUP(V110,'G-7 Rivers Data'!$AG$4:$AI$9,3,FALSE)=0,"Spatial Data Missing ⚠",VLOOKUP(V110,'G-7 Rivers Data'!$AG$4:$AI$9,3,FALSE)))</f>
        <v/>
      </c>
      <c r="Y110" s="498" t="str">
        <f>IFERROR(IF(OR(LEFT(P110,5)="Error ▲",LEFT(O110,5)="Error ▲"),"Check Data ⚠",IF(F110&lt;S110,'G-7 Rivers Data'!$R$3,INDEX('G-7 Rivers Data'!$U$5:$Y$9,MATCH(G110,'G-7 Rivers Data'!$T$5:$T$9,0),MATCH(T110,'G-7 Rivers Data'!$U$4:$Y$4,0)))),"")</f>
        <v/>
      </c>
      <c r="Z110" s="195"/>
      <c r="AA110" s="195"/>
      <c r="AB110" s="507" t="str">
        <f t="shared" si="11"/>
        <v/>
      </c>
      <c r="AC110" s="521" t="str">
        <f t="shared" si="12"/>
        <v/>
      </c>
      <c r="AD110" s="564" t="str">
        <f>IFERROR(IF(AC110="Check Data ⚠","Check Data ⚠",VLOOKUP(AC110,'G-4 Temporal multipliers'!$A$4:$C$37,3,FALSE)),"")</f>
        <v/>
      </c>
      <c r="AE110" s="498" t="str">
        <f>IF(N110="","",VLOOKUP(N110,'G-7 Rivers Data'!$B$4:$G$8,5,FALSE))</f>
        <v/>
      </c>
      <c r="AF110" s="507" t="str">
        <f t="shared" si="13"/>
        <v/>
      </c>
      <c r="AG110" s="540" t="str">
        <f t="shared" si="14"/>
        <v/>
      </c>
      <c r="AH110" s="499" t="str">
        <f t="shared" si="8"/>
        <v/>
      </c>
      <c r="AI110" s="145"/>
      <c r="AJ110" s="499" t="str">
        <f>IF(AI110="","",IF(VLOOKUP(AI110,'G-7 Rivers Data'!$AA$4:$AB$7,2,FALSE)=0,"Spatial Data Missing ⚠",VLOOKUP(AI110,'G-7 Rivers Data'!$AA$4:$AB$7,2,FALSE)))</f>
        <v/>
      </c>
      <c r="AK110" s="155"/>
      <c r="AL110" s="499" t="str">
        <f>IF(AK110="","",IF(VLOOKUP(AK110,'G-7 Rivers Data'!$AD$4:$AE$8,2,FALSE)=0,"Spatial Data Missing ⚠",VLOOKUP(AK110,'G-7 Rivers Data'!$AD$4:$AE$8,2,FALSE)))</f>
        <v/>
      </c>
      <c r="AM110" s="545" t="str">
        <f t="shared" si="15"/>
        <v/>
      </c>
      <c r="AN110" s="149"/>
      <c r="AO110" s="150"/>
      <c r="AV110" s="31" t="str">
        <f>IFERROR(INDEX('G-7 Rivers Data'!$AZ$3:$AZ$7,MATCH(N110,'G-7 Rivers Data'!$AY$3:$AY$7,0)),"")</f>
        <v/>
      </c>
    </row>
    <row r="111" spans="2:48" ht="14" x14ac:dyDescent="0.3">
      <c r="B111" s="531" t="str">
        <f>'C-1 Site River Baseline'!AN109</f>
        <v/>
      </c>
      <c r="C111" s="520" t="str">
        <f>IF(B111="","",VLOOKUP($B111,'C-1 Site River Baseline'!$C$9:$R$257,2,FALSE))</f>
        <v/>
      </c>
      <c r="D111" s="520" t="str">
        <f>IF(C111="","",VLOOKUP($B111,'C-1 Site River Baseline'!$C$9:$R$257,3,FALSE))</f>
        <v/>
      </c>
      <c r="E111" s="520" t="str">
        <f>IF(D111="","",VLOOKUP($B111,'C-1 Site River Baseline'!$C$9:$R$257,4,FALSE))</f>
        <v/>
      </c>
      <c r="F111" s="520" t="str">
        <f>IF(E111="","",VLOOKUP($B111,'C-1 Site River Baseline'!$C$9:$R$257,5,FALSE))</f>
        <v/>
      </c>
      <c r="G111" s="520" t="str">
        <f>IF(F111="","",VLOOKUP($B111,'C-1 Site River Baseline'!$C$9:$R$257,6,FALSE))</f>
        <v/>
      </c>
      <c r="H111" s="520" t="str">
        <f>IF(G111="","",VLOOKUP($B111,'C-1 Site River Baseline'!$C$9:$R$257,7,FALSE))</f>
        <v/>
      </c>
      <c r="I111" s="520" t="str">
        <f>IF(H111="","",VLOOKUP($B111,'C-1 Site River Baseline'!$C$9:$R$257,8,FALSE))</f>
        <v/>
      </c>
      <c r="J111" s="520" t="str">
        <f>IF(I111="","",VLOOKUP($B111,'C-1 Site River Baseline'!$C$9:$R$257,9,FALSE))</f>
        <v/>
      </c>
      <c r="K111" s="520" t="str">
        <f>IF(J111="","",VLOOKUP($B111,'C-1 Site River Baseline'!$C$9:$R$257,10,FALSE))</f>
        <v/>
      </c>
      <c r="L111" s="520" t="str">
        <f>IF(B111="","",VLOOKUP($B111,'C-1 Site River Baseline'!$C$9:$R$257,15,FALSE))</f>
        <v/>
      </c>
      <c r="M111" s="524" t="str">
        <f>IF(L111="","",VLOOKUP($B111,'C-1 Site River Baseline'!$C$9:$R$257,16,FALSE))</f>
        <v/>
      </c>
      <c r="N111" s="418" t="str">
        <f t="shared" si="9"/>
        <v/>
      </c>
      <c r="O111" s="498" t="str">
        <f t="shared" si="10"/>
        <v/>
      </c>
      <c r="P111" s="499" t="str">
        <f>IF(C111="","",IF(AND(LEFT(C111,55)&lt;&gt;LEFT(N111,55),O111="High - High"),"Error - Not like for like ▲",IF(AND(F111=S111,H111&gt;U111),"Error - Can not reduce condition ▲",IF(AND(F111=S111,H111=U111,AJ111='C-1 Site River Baseline'!N109,'C-1 Site River Baseline'!P109=AL111),"Error - No enhancement ▲",IF(AND(C111&lt;&gt;N111,F111&lt;S111),"Lower Distinctiveness Habitat"&amp;" - "&amp;T111,G111&amp;" - "&amp;T111)))))</f>
        <v/>
      </c>
      <c r="Q111" s="567" t="str">
        <f>IF(N111="","",VLOOKUP(B111,'C-1 Site River Baseline'!$C$10:$AA$257,19,FALSE))</f>
        <v/>
      </c>
      <c r="R111" s="498" t="str">
        <f>IF(N111="","",VLOOKUP(N111,'G-7 Rivers Data'!$B$2:$G$8,2,FALSE))</f>
        <v/>
      </c>
      <c r="S111" s="499" t="str">
        <f>IFERROR(VLOOKUP(R111,'G-7 Rivers Data'!$C$4:$D$8,2,FALSE),"")</f>
        <v/>
      </c>
      <c r="T111" s="145"/>
      <c r="U111" s="499" t="str">
        <f>IFERROR(INDEX('G-7 Rivers Data'!$H$4:$L$8,MATCH(N111,'G-7 Rivers Data'!$B$4:$B$8,0),MATCH(T111,'G-7 Rivers Data'!$H$3:$L$3,0)),"")</f>
        <v/>
      </c>
      <c r="V111" s="154"/>
      <c r="W111" s="507" t="str">
        <f>IF(V111="","",IF(VLOOKUP(V111,'G-7 Rivers Data'!$AG$4:$AI$9,2,FALSE)=0,"Spatial Data Missing ⚠",VLOOKUP(V111,'G-7 Rivers Data'!$AG$4:$AI$9,2,FALSE)))</f>
        <v/>
      </c>
      <c r="X111" s="499" t="str">
        <f>IF(V111="","",IF(VLOOKUP(V111,'G-7 Rivers Data'!$AG$4:$AI$9,3,FALSE)=0,"Spatial Data Missing ⚠",VLOOKUP(V111,'G-7 Rivers Data'!$AG$4:$AI$9,3,FALSE)))</f>
        <v/>
      </c>
      <c r="Y111" s="498" t="str">
        <f>IFERROR(IF(OR(LEFT(P111,5)="Error ▲",LEFT(O111,5)="Error ▲"),"Check Data ⚠",IF(F111&lt;S111,'G-7 Rivers Data'!$R$3,INDEX('G-7 Rivers Data'!$U$5:$Y$9,MATCH(G111,'G-7 Rivers Data'!$T$5:$T$9,0),MATCH(T111,'G-7 Rivers Data'!$U$4:$Y$4,0)))),"")</f>
        <v/>
      </c>
      <c r="Z111" s="195"/>
      <c r="AA111" s="195"/>
      <c r="AB111" s="507" t="str">
        <f t="shared" si="11"/>
        <v/>
      </c>
      <c r="AC111" s="521" t="str">
        <f t="shared" si="12"/>
        <v/>
      </c>
      <c r="AD111" s="564" t="str">
        <f>IFERROR(IF(AC111="Check Data ⚠","Check Data ⚠",VLOOKUP(AC111,'G-4 Temporal multipliers'!$A$4:$C$37,3,FALSE)),"")</f>
        <v/>
      </c>
      <c r="AE111" s="498" t="str">
        <f>IF(N111="","",VLOOKUP(N111,'G-7 Rivers Data'!$B$4:$G$8,5,FALSE))</f>
        <v/>
      </c>
      <c r="AF111" s="507" t="str">
        <f t="shared" si="13"/>
        <v/>
      </c>
      <c r="AG111" s="540" t="str">
        <f t="shared" si="14"/>
        <v/>
      </c>
      <c r="AH111" s="499" t="str">
        <f t="shared" si="8"/>
        <v/>
      </c>
      <c r="AI111" s="145"/>
      <c r="AJ111" s="499" t="str">
        <f>IF(AI111="","",IF(VLOOKUP(AI111,'G-7 Rivers Data'!$AA$4:$AB$7,2,FALSE)=0,"Spatial Data Missing ⚠",VLOOKUP(AI111,'G-7 Rivers Data'!$AA$4:$AB$7,2,FALSE)))</f>
        <v/>
      </c>
      <c r="AK111" s="155"/>
      <c r="AL111" s="499" t="str">
        <f>IF(AK111="","",IF(VLOOKUP(AK111,'G-7 Rivers Data'!$AD$4:$AE$8,2,FALSE)=0,"Spatial Data Missing ⚠",VLOOKUP(AK111,'G-7 Rivers Data'!$AD$4:$AE$8,2,FALSE)))</f>
        <v/>
      </c>
      <c r="AM111" s="545" t="str">
        <f t="shared" si="15"/>
        <v/>
      </c>
      <c r="AN111" s="149"/>
      <c r="AO111" s="150"/>
      <c r="AV111" s="31" t="str">
        <f>IFERROR(INDEX('G-7 Rivers Data'!$AZ$3:$AZ$7,MATCH(N111,'G-7 Rivers Data'!$AY$3:$AY$7,0)),"")</f>
        <v/>
      </c>
    </row>
    <row r="112" spans="2:48" ht="14" x14ac:dyDescent="0.3">
      <c r="B112" s="531" t="str">
        <f>'C-1 Site River Baseline'!AN110</f>
        <v/>
      </c>
      <c r="C112" s="520" t="str">
        <f>IF(B112="","",VLOOKUP($B112,'C-1 Site River Baseline'!$C$9:$R$257,2,FALSE))</f>
        <v/>
      </c>
      <c r="D112" s="520" t="str">
        <f>IF(C112="","",VLOOKUP($B112,'C-1 Site River Baseline'!$C$9:$R$257,3,FALSE))</f>
        <v/>
      </c>
      <c r="E112" s="520" t="str">
        <f>IF(D112="","",VLOOKUP($B112,'C-1 Site River Baseline'!$C$9:$R$257,4,FALSE))</f>
        <v/>
      </c>
      <c r="F112" s="520" t="str">
        <f>IF(E112="","",VLOOKUP($B112,'C-1 Site River Baseline'!$C$9:$R$257,5,FALSE))</f>
        <v/>
      </c>
      <c r="G112" s="520" t="str">
        <f>IF(F112="","",VLOOKUP($B112,'C-1 Site River Baseline'!$C$9:$R$257,6,FALSE))</f>
        <v/>
      </c>
      <c r="H112" s="520" t="str">
        <f>IF(G112="","",VLOOKUP($B112,'C-1 Site River Baseline'!$C$9:$R$257,7,FALSE))</f>
        <v/>
      </c>
      <c r="I112" s="520" t="str">
        <f>IF(H112="","",VLOOKUP($B112,'C-1 Site River Baseline'!$C$9:$R$257,8,FALSE))</f>
        <v/>
      </c>
      <c r="J112" s="520" t="str">
        <f>IF(I112="","",VLOOKUP($B112,'C-1 Site River Baseline'!$C$9:$R$257,9,FALSE))</f>
        <v/>
      </c>
      <c r="K112" s="520" t="str">
        <f>IF(J112="","",VLOOKUP($B112,'C-1 Site River Baseline'!$C$9:$R$257,10,FALSE))</f>
        <v/>
      </c>
      <c r="L112" s="520" t="str">
        <f>IF(B112="","",VLOOKUP($B112,'C-1 Site River Baseline'!$C$9:$R$257,15,FALSE))</f>
        <v/>
      </c>
      <c r="M112" s="524" t="str">
        <f>IF(L112="","",VLOOKUP($B112,'C-1 Site River Baseline'!$C$9:$R$257,16,FALSE))</f>
        <v/>
      </c>
      <c r="N112" s="418" t="str">
        <f t="shared" si="9"/>
        <v/>
      </c>
      <c r="O112" s="498" t="str">
        <f t="shared" si="10"/>
        <v/>
      </c>
      <c r="P112" s="499" t="str">
        <f>IF(C112="","",IF(AND(LEFT(C112,55)&lt;&gt;LEFT(N112,55),O112="High - High"),"Error - Not like for like ▲",IF(AND(F112=S112,H112&gt;U112),"Error - Can not reduce condition ▲",IF(AND(F112=S112,H112=U112,AJ112='C-1 Site River Baseline'!N110,'C-1 Site River Baseline'!P110=AL112),"Error - No enhancement ▲",IF(AND(C112&lt;&gt;N112,F112&lt;S112),"Lower Distinctiveness Habitat"&amp;" - "&amp;T112,G112&amp;" - "&amp;T112)))))</f>
        <v/>
      </c>
      <c r="Q112" s="567" t="str">
        <f>IF(N112="","",VLOOKUP(B112,'C-1 Site River Baseline'!$C$10:$AA$257,19,FALSE))</f>
        <v/>
      </c>
      <c r="R112" s="498" t="str">
        <f>IF(N112="","",VLOOKUP(N112,'G-7 Rivers Data'!$B$2:$G$8,2,FALSE))</f>
        <v/>
      </c>
      <c r="S112" s="499" t="str">
        <f>IFERROR(VLOOKUP(R112,'G-7 Rivers Data'!$C$4:$D$8,2,FALSE),"")</f>
        <v/>
      </c>
      <c r="T112" s="145"/>
      <c r="U112" s="499" t="str">
        <f>IFERROR(INDEX('G-7 Rivers Data'!$H$4:$L$8,MATCH(N112,'G-7 Rivers Data'!$B$4:$B$8,0),MATCH(T112,'G-7 Rivers Data'!$H$3:$L$3,0)),"")</f>
        <v/>
      </c>
      <c r="V112" s="154"/>
      <c r="W112" s="507" t="str">
        <f>IF(V112="","",IF(VLOOKUP(V112,'G-7 Rivers Data'!$AG$4:$AI$9,2,FALSE)=0,"Spatial Data Missing ⚠",VLOOKUP(V112,'G-7 Rivers Data'!$AG$4:$AI$9,2,FALSE)))</f>
        <v/>
      </c>
      <c r="X112" s="499" t="str">
        <f>IF(V112="","",IF(VLOOKUP(V112,'G-7 Rivers Data'!$AG$4:$AI$9,3,FALSE)=0,"Spatial Data Missing ⚠",VLOOKUP(V112,'G-7 Rivers Data'!$AG$4:$AI$9,3,FALSE)))</f>
        <v/>
      </c>
      <c r="Y112" s="498" t="str">
        <f>IFERROR(IF(OR(LEFT(P112,5)="Error ▲",LEFT(O112,5)="Error ▲"),"Check Data ⚠",IF(F112&lt;S112,'G-7 Rivers Data'!$R$3,INDEX('G-7 Rivers Data'!$U$5:$Y$9,MATCH(G112,'G-7 Rivers Data'!$T$5:$T$9,0),MATCH(T112,'G-7 Rivers Data'!$U$4:$Y$4,0)))),"")</f>
        <v/>
      </c>
      <c r="Z112" s="195"/>
      <c r="AA112" s="195"/>
      <c r="AB112" s="507" t="str">
        <f t="shared" si="11"/>
        <v/>
      </c>
      <c r="AC112" s="521" t="str">
        <f t="shared" si="12"/>
        <v/>
      </c>
      <c r="AD112" s="564" t="str">
        <f>IFERROR(IF(AC112="Check Data ⚠","Check Data ⚠",VLOOKUP(AC112,'G-4 Temporal multipliers'!$A$4:$C$37,3,FALSE)),"")</f>
        <v/>
      </c>
      <c r="AE112" s="498" t="str">
        <f>IF(N112="","",VLOOKUP(N112,'G-7 Rivers Data'!$B$4:$G$8,5,FALSE))</f>
        <v/>
      </c>
      <c r="AF112" s="507" t="str">
        <f t="shared" si="13"/>
        <v/>
      </c>
      <c r="AG112" s="540" t="str">
        <f t="shared" si="14"/>
        <v/>
      </c>
      <c r="AH112" s="499" t="str">
        <f t="shared" si="8"/>
        <v/>
      </c>
      <c r="AI112" s="145"/>
      <c r="AJ112" s="499" t="str">
        <f>IF(AI112="","",IF(VLOOKUP(AI112,'G-7 Rivers Data'!$AA$4:$AB$7,2,FALSE)=0,"Spatial Data Missing ⚠",VLOOKUP(AI112,'G-7 Rivers Data'!$AA$4:$AB$7,2,FALSE)))</f>
        <v/>
      </c>
      <c r="AK112" s="155"/>
      <c r="AL112" s="499" t="str">
        <f>IF(AK112="","",IF(VLOOKUP(AK112,'G-7 Rivers Data'!$AD$4:$AE$8,2,FALSE)=0,"Spatial Data Missing ⚠",VLOOKUP(AK112,'G-7 Rivers Data'!$AD$4:$AE$8,2,FALSE)))</f>
        <v/>
      </c>
      <c r="AM112" s="545" t="str">
        <f t="shared" si="15"/>
        <v/>
      </c>
      <c r="AN112" s="149"/>
      <c r="AO112" s="150"/>
      <c r="AV112" s="31" t="str">
        <f>IFERROR(INDEX('G-7 Rivers Data'!$AZ$3:$AZ$7,MATCH(N112,'G-7 Rivers Data'!$AY$3:$AY$7,0)),"")</f>
        <v/>
      </c>
    </row>
    <row r="113" spans="2:48" ht="14" x14ac:dyDescent="0.3">
      <c r="B113" s="531" t="str">
        <f>'C-1 Site River Baseline'!AN111</f>
        <v/>
      </c>
      <c r="C113" s="520" t="str">
        <f>IF(B113="","",VLOOKUP($B113,'C-1 Site River Baseline'!$C$9:$R$257,2,FALSE))</f>
        <v/>
      </c>
      <c r="D113" s="520" t="str">
        <f>IF(C113="","",VLOOKUP($B113,'C-1 Site River Baseline'!$C$9:$R$257,3,FALSE))</f>
        <v/>
      </c>
      <c r="E113" s="520" t="str">
        <f>IF(D113="","",VLOOKUP($B113,'C-1 Site River Baseline'!$C$9:$R$257,4,FALSE))</f>
        <v/>
      </c>
      <c r="F113" s="520" t="str">
        <f>IF(E113="","",VLOOKUP($B113,'C-1 Site River Baseline'!$C$9:$R$257,5,FALSE))</f>
        <v/>
      </c>
      <c r="G113" s="520" t="str">
        <f>IF(F113="","",VLOOKUP($B113,'C-1 Site River Baseline'!$C$9:$R$257,6,FALSE))</f>
        <v/>
      </c>
      <c r="H113" s="520" t="str">
        <f>IF(G113="","",VLOOKUP($B113,'C-1 Site River Baseline'!$C$9:$R$257,7,FALSE))</f>
        <v/>
      </c>
      <c r="I113" s="520" t="str">
        <f>IF(H113="","",VLOOKUP($B113,'C-1 Site River Baseline'!$C$9:$R$257,8,FALSE))</f>
        <v/>
      </c>
      <c r="J113" s="520" t="str">
        <f>IF(I113="","",VLOOKUP($B113,'C-1 Site River Baseline'!$C$9:$R$257,9,FALSE))</f>
        <v/>
      </c>
      <c r="K113" s="520" t="str">
        <f>IF(J113="","",VLOOKUP($B113,'C-1 Site River Baseline'!$C$9:$R$257,10,FALSE))</f>
        <v/>
      </c>
      <c r="L113" s="520" t="str">
        <f>IF(B113="","",VLOOKUP($B113,'C-1 Site River Baseline'!$C$9:$R$257,15,FALSE))</f>
        <v/>
      </c>
      <c r="M113" s="524" t="str">
        <f>IF(L113="","",VLOOKUP($B113,'C-1 Site River Baseline'!$C$9:$R$257,16,FALSE))</f>
        <v/>
      </c>
      <c r="N113" s="418" t="str">
        <f t="shared" si="9"/>
        <v/>
      </c>
      <c r="O113" s="498" t="str">
        <f t="shared" si="10"/>
        <v/>
      </c>
      <c r="P113" s="499" t="str">
        <f>IF(C113="","",IF(AND(LEFT(C113,55)&lt;&gt;LEFT(N113,55),O113="High - High"),"Error - Not like for like ▲",IF(AND(F113=S113,H113&gt;U113),"Error - Can not reduce condition ▲",IF(AND(F113=S113,H113=U113,AJ113='C-1 Site River Baseline'!N111,'C-1 Site River Baseline'!P111=AL113),"Error - No enhancement ▲",IF(AND(C113&lt;&gt;N113,F113&lt;S113),"Lower Distinctiveness Habitat"&amp;" - "&amp;T113,G113&amp;" - "&amp;T113)))))</f>
        <v/>
      </c>
      <c r="Q113" s="567" t="str">
        <f>IF(N113="","",VLOOKUP(B113,'C-1 Site River Baseline'!$C$10:$AA$257,19,FALSE))</f>
        <v/>
      </c>
      <c r="R113" s="498" t="str">
        <f>IF(N113="","",VLOOKUP(N113,'G-7 Rivers Data'!$B$2:$G$8,2,FALSE))</f>
        <v/>
      </c>
      <c r="S113" s="499" t="str">
        <f>IFERROR(VLOOKUP(R113,'G-7 Rivers Data'!$C$4:$D$8,2,FALSE),"")</f>
        <v/>
      </c>
      <c r="T113" s="145"/>
      <c r="U113" s="499" t="str">
        <f>IFERROR(INDEX('G-7 Rivers Data'!$H$4:$L$8,MATCH(N113,'G-7 Rivers Data'!$B$4:$B$8,0),MATCH(T113,'G-7 Rivers Data'!$H$3:$L$3,0)),"")</f>
        <v/>
      </c>
      <c r="V113" s="154"/>
      <c r="W113" s="507" t="str">
        <f>IF(V113="","",IF(VLOOKUP(V113,'G-7 Rivers Data'!$AG$4:$AI$9,2,FALSE)=0,"Spatial Data Missing ⚠",VLOOKUP(V113,'G-7 Rivers Data'!$AG$4:$AI$9,2,FALSE)))</f>
        <v/>
      </c>
      <c r="X113" s="499" t="str">
        <f>IF(V113="","",IF(VLOOKUP(V113,'G-7 Rivers Data'!$AG$4:$AI$9,3,FALSE)=0,"Spatial Data Missing ⚠",VLOOKUP(V113,'G-7 Rivers Data'!$AG$4:$AI$9,3,FALSE)))</f>
        <v/>
      </c>
      <c r="Y113" s="498" t="str">
        <f>IFERROR(IF(OR(LEFT(P113,5)="Error ▲",LEFT(O113,5)="Error ▲"),"Check Data ⚠",IF(F113&lt;S113,'G-7 Rivers Data'!$R$3,INDEX('G-7 Rivers Data'!$U$5:$Y$9,MATCH(G113,'G-7 Rivers Data'!$T$5:$T$9,0),MATCH(T113,'G-7 Rivers Data'!$U$4:$Y$4,0)))),"")</f>
        <v/>
      </c>
      <c r="Z113" s="195"/>
      <c r="AA113" s="195"/>
      <c r="AB113" s="507" t="str">
        <f t="shared" si="11"/>
        <v/>
      </c>
      <c r="AC113" s="521" t="str">
        <f t="shared" si="12"/>
        <v/>
      </c>
      <c r="AD113" s="564" t="str">
        <f>IFERROR(IF(AC113="Check Data ⚠","Check Data ⚠",VLOOKUP(AC113,'G-4 Temporal multipliers'!$A$4:$C$37,3,FALSE)),"")</f>
        <v/>
      </c>
      <c r="AE113" s="498" t="str">
        <f>IF(N113="","",VLOOKUP(N113,'G-7 Rivers Data'!$B$4:$G$8,5,FALSE))</f>
        <v/>
      </c>
      <c r="AF113" s="507" t="str">
        <f t="shared" si="13"/>
        <v/>
      </c>
      <c r="AG113" s="540" t="str">
        <f t="shared" si="14"/>
        <v/>
      </c>
      <c r="AH113" s="499" t="str">
        <f t="shared" si="8"/>
        <v/>
      </c>
      <c r="AI113" s="145"/>
      <c r="AJ113" s="499" t="str">
        <f>IF(AI113="","",IF(VLOOKUP(AI113,'G-7 Rivers Data'!$AA$4:$AB$7,2,FALSE)=0,"Spatial Data Missing ⚠",VLOOKUP(AI113,'G-7 Rivers Data'!$AA$4:$AB$7,2,FALSE)))</f>
        <v/>
      </c>
      <c r="AK113" s="155"/>
      <c r="AL113" s="499" t="str">
        <f>IF(AK113="","",IF(VLOOKUP(AK113,'G-7 Rivers Data'!$AD$4:$AE$8,2,FALSE)=0,"Spatial Data Missing ⚠",VLOOKUP(AK113,'G-7 Rivers Data'!$AD$4:$AE$8,2,FALSE)))</f>
        <v/>
      </c>
      <c r="AM113" s="545" t="str">
        <f t="shared" si="15"/>
        <v/>
      </c>
      <c r="AN113" s="149"/>
      <c r="AO113" s="150"/>
      <c r="AV113" s="31" t="str">
        <f>IFERROR(INDEX('G-7 Rivers Data'!$AZ$3:$AZ$7,MATCH(N113,'G-7 Rivers Data'!$AY$3:$AY$7,0)),"")</f>
        <v/>
      </c>
    </row>
    <row r="114" spans="2:48" ht="14" x14ac:dyDescent="0.3">
      <c r="B114" s="531" t="str">
        <f>'C-1 Site River Baseline'!AN112</f>
        <v/>
      </c>
      <c r="C114" s="520" t="str">
        <f>IF(B114="","",VLOOKUP($B114,'C-1 Site River Baseline'!$C$9:$R$257,2,FALSE))</f>
        <v/>
      </c>
      <c r="D114" s="520" t="str">
        <f>IF(C114="","",VLOOKUP($B114,'C-1 Site River Baseline'!$C$9:$R$257,3,FALSE))</f>
        <v/>
      </c>
      <c r="E114" s="520" t="str">
        <f>IF(D114="","",VLOOKUP($B114,'C-1 Site River Baseline'!$C$9:$R$257,4,FALSE))</f>
        <v/>
      </c>
      <c r="F114" s="520" t="str">
        <f>IF(E114="","",VLOOKUP($B114,'C-1 Site River Baseline'!$C$9:$R$257,5,FALSE))</f>
        <v/>
      </c>
      <c r="G114" s="520" t="str">
        <f>IF(F114="","",VLOOKUP($B114,'C-1 Site River Baseline'!$C$9:$R$257,6,FALSE))</f>
        <v/>
      </c>
      <c r="H114" s="520" t="str">
        <f>IF(G114="","",VLOOKUP($B114,'C-1 Site River Baseline'!$C$9:$R$257,7,FALSE))</f>
        <v/>
      </c>
      <c r="I114" s="520" t="str">
        <f>IF(H114="","",VLOOKUP($B114,'C-1 Site River Baseline'!$C$9:$R$257,8,FALSE))</f>
        <v/>
      </c>
      <c r="J114" s="520" t="str">
        <f>IF(I114="","",VLOOKUP($B114,'C-1 Site River Baseline'!$C$9:$R$257,9,FALSE))</f>
        <v/>
      </c>
      <c r="K114" s="520" t="str">
        <f>IF(J114="","",VLOOKUP($B114,'C-1 Site River Baseline'!$C$9:$R$257,10,FALSE))</f>
        <v/>
      </c>
      <c r="L114" s="520" t="str">
        <f>IF(B114="","",VLOOKUP($B114,'C-1 Site River Baseline'!$C$9:$R$257,15,FALSE))</f>
        <v/>
      </c>
      <c r="M114" s="524" t="str">
        <f>IF(L114="","",VLOOKUP($B114,'C-1 Site River Baseline'!$C$9:$R$257,16,FALSE))</f>
        <v/>
      </c>
      <c r="N114" s="418" t="str">
        <f t="shared" si="9"/>
        <v/>
      </c>
      <c r="O114" s="498" t="str">
        <f t="shared" si="10"/>
        <v/>
      </c>
      <c r="P114" s="499" t="str">
        <f>IF(C114="","",IF(AND(LEFT(C114,55)&lt;&gt;LEFT(N114,55),O114="High - High"),"Error - Not like for like ▲",IF(AND(F114=S114,H114&gt;U114),"Error - Can not reduce condition ▲",IF(AND(F114=S114,H114=U114,AJ114='C-1 Site River Baseline'!N112,'C-1 Site River Baseline'!P112=AL114),"Error - No enhancement ▲",IF(AND(C114&lt;&gt;N114,F114&lt;S114),"Lower Distinctiveness Habitat"&amp;" - "&amp;T114,G114&amp;" - "&amp;T114)))))</f>
        <v/>
      </c>
      <c r="Q114" s="567" t="str">
        <f>IF(N114="","",VLOOKUP(B114,'C-1 Site River Baseline'!$C$10:$AA$257,19,FALSE))</f>
        <v/>
      </c>
      <c r="R114" s="498" t="str">
        <f>IF(N114="","",VLOOKUP(N114,'G-7 Rivers Data'!$B$2:$G$8,2,FALSE))</f>
        <v/>
      </c>
      <c r="S114" s="499" t="str">
        <f>IFERROR(VLOOKUP(R114,'G-7 Rivers Data'!$C$4:$D$8,2,FALSE),"")</f>
        <v/>
      </c>
      <c r="T114" s="145"/>
      <c r="U114" s="499" t="str">
        <f>IFERROR(INDEX('G-7 Rivers Data'!$H$4:$L$8,MATCH(N114,'G-7 Rivers Data'!$B$4:$B$8,0),MATCH(T114,'G-7 Rivers Data'!$H$3:$L$3,0)),"")</f>
        <v/>
      </c>
      <c r="V114" s="154"/>
      <c r="W114" s="507" t="str">
        <f>IF(V114="","",IF(VLOOKUP(V114,'G-7 Rivers Data'!$AG$4:$AI$9,2,FALSE)=0,"Spatial Data Missing ⚠",VLOOKUP(V114,'G-7 Rivers Data'!$AG$4:$AI$9,2,FALSE)))</f>
        <v/>
      </c>
      <c r="X114" s="499" t="str">
        <f>IF(V114="","",IF(VLOOKUP(V114,'G-7 Rivers Data'!$AG$4:$AI$9,3,FALSE)=0,"Spatial Data Missing ⚠",VLOOKUP(V114,'G-7 Rivers Data'!$AG$4:$AI$9,3,FALSE)))</f>
        <v/>
      </c>
      <c r="Y114" s="498" t="str">
        <f>IFERROR(IF(OR(LEFT(P114,5)="Error ▲",LEFT(O114,5)="Error ▲"),"Check Data ⚠",IF(F114&lt;S114,'G-7 Rivers Data'!$R$3,INDEX('G-7 Rivers Data'!$U$5:$Y$9,MATCH(G114,'G-7 Rivers Data'!$T$5:$T$9,0),MATCH(T114,'G-7 Rivers Data'!$U$4:$Y$4,0)))),"")</f>
        <v/>
      </c>
      <c r="Z114" s="195"/>
      <c r="AA114" s="195"/>
      <c r="AB114" s="507" t="str">
        <f t="shared" si="11"/>
        <v/>
      </c>
      <c r="AC114" s="521" t="str">
        <f t="shared" si="12"/>
        <v/>
      </c>
      <c r="AD114" s="564" t="str">
        <f>IFERROR(IF(AC114="Check Data ⚠","Check Data ⚠",VLOOKUP(AC114,'G-4 Temporal multipliers'!$A$4:$C$37,3,FALSE)),"")</f>
        <v/>
      </c>
      <c r="AE114" s="498" t="str">
        <f>IF(N114="","",VLOOKUP(N114,'G-7 Rivers Data'!$B$4:$G$8,5,FALSE))</f>
        <v/>
      </c>
      <c r="AF114" s="507" t="str">
        <f t="shared" si="13"/>
        <v/>
      </c>
      <c r="AG114" s="540" t="str">
        <f t="shared" si="14"/>
        <v/>
      </c>
      <c r="AH114" s="499" t="str">
        <f t="shared" si="8"/>
        <v/>
      </c>
      <c r="AI114" s="145"/>
      <c r="AJ114" s="499" t="str">
        <f>IF(AI114="","",IF(VLOOKUP(AI114,'G-7 Rivers Data'!$AA$4:$AB$7,2,FALSE)=0,"Spatial Data Missing ⚠",VLOOKUP(AI114,'G-7 Rivers Data'!$AA$4:$AB$7,2,FALSE)))</f>
        <v/>
      </c>
      <c r="AK114" s="155"/>
      <c r="AL114" s="499" t="str">
        <f>IF(AK114="","",IF(VLOOKUP(AK114,'G-7 Rivers Data'!$AD$4:$AE$8,2,FALSE)=0,"Spatial Data Missing ⚠",VLOOKUP(AK114,'G-7 Rivers Data'!$AD$4:$AE$8,2,FALSE)))</f>
        <v/>
      </c>
      <c r="AM114" s="545" t="str">
        <f t="shared" si="15"/>
        <v/>
      </c>
      <c r="AN114" s="149"/>
      <c r="AO114" s="150"/>
      <c r="AV114" s="31" t="str">
        <f>IFERROR(INDEX('G-7 Rivers Data'!$AZ$3:$AZ$7,MATCH(N114,'G-7 Rivers Data'!$AY$3:$AY$7,0)),"")</f>
        <v/>
      </c>
    </row>
    <row r="115" spans="2:48" ht="14" x14ac:dyDescent="0.3">
      <c r="B115" s="531" t="str">
        <f>'C-1 Site River Baseline'!AN113</f>
        <v/>
      </c>
      <c r="C115" s="520" t="str">
        <f>IF(B115="","",VLOOKUP($B115,'C-1 Site River Baseline'!$C$9:$R$257,2,FALSE))</f>
        <v/>
      </c>
      <c r="D115" s="520" t="str">
        <f>IF(C115="","",VLOOKUP($B115,'C-1 Site River Baseline'!$C$9:$R$257,3,FALSE))</f>
        <v/>
      </c>
      <c r="E115" s="520" t="str">
        <f>IF(D115="","",VLOOKUP($B115,'C-1 Site River Baseline'!$C$9:$R$257,4,FALSE))</f>
        <v/>
      </c>
      <c r="F115" s="520" t="str">
        <f>IF(E115="","",VLOOKUP($B115,'C-1 Site River Baseline'!$C$9:$R$257,5,FALSE))</f>
        <v/>
      </c>
      <c r="G115" s="520" t="str">
        <f>IF(F115="","",VLOOKUP($B115,'C-1 Site River Baseline'!$C$9:$R$257,6,FALSE))</f>
        <v/>
      </c>
      <c r="H115" s="520" t="str">
        <f>IF(G115="","",VLOOKUP($B115,'C-1 Site River Baseline'!$C$9:$R$257,7,FALSE))</f>
        <v/>
      </c>
      <c r="I115" s="520" t="str">
        <f>IF(H115="","",VLOOKUP($B115,'C-1 Site River Baseline'!$C$9:$R$257,8,FALSE))</f>
        <v/>
      </c>
      <c r="J115" s="520" t="str">
        <f>IF(I115="","",VLOOKUP($B115,'C-1 Site River Baseline'!$C$9:$R$257,9,FALSE))</f>
        <v/>
      </c>
      <c r="K115" s="520" t="str">
        <f>IF(J115="","",VLOOKUP($B115,'C-1 Site River Baseline'!$C$9:$R$257,10,FALSE))</f>
        <v/>
      </c>
      <c r="L115" s="520" t="str">
        <f>IF(B115="","",VLOOKUP($B115,'C-1 Site River Baseline'!$C$9:$R$257,15,FALSE))</f>
        <v/>
      </c>
      <c r="M115" s="524" t="str">
        <f>IF(L115="","",VLOOKUP($B115,'C-1 Site River Baseline'!$C$9:$R$257,16,FALSE))</f>
        <v/>
      </c>
      <c r="N115" s="418" t="str">
        <f t="shared" si="9"/>
        <v/>
      </c>
      <c r="O115" s="498" t="str">
        <f t="shared" si="10"/>
        <v/>
      </c>
      <c r="P115" s="499" t="str">
        <f>IF(C115="","",IF(AND(LEFT(C115,55)&lt;&gt;LEFT(N115,55),O115="High - High"),"Error - Not like for like ▲",IF(AND(F115=S115,H115&gt;U115),"Error - Can not reduce condition ▲",IF(AND(F115=S115,H115=U115,AJ115='C-1 Site River Baseline'!N113,'C-1 Site River Baseline'!P113=AL115),"Error - No enhancement ▲",IF(AND(C115&lt;&gt;N115,F115&lt;S115),"Lower Distinctiveness Habitat"&amp;" - "&amp;T115,G115&amp;" - "&amp;T115)))))</f>
        <v/>
      </c>
      <c r="Q115" s="567" t="str">
        <f>IF(N115="","",VLOOKUP(B115,'C-1 Site River Baseline'!$C$10:$AA$257,19,FALSE))</f>
        <v/>
      </c>
      <c r="R115" s="498" t="str">
        <f>IF(N115="","",VLOOKUP(N115,'G-7 Rivers Data'!$B$2:$G$8,2,FALSE))</f>
        <v/>
      </c>
      <c r="S115" s="499" t="str">
        <f>IFERROR(VLOOKUP(R115,'G-7 Rivers Data'!$C$4:$D$8,2,FALSE),"")</f>
        <v/>
      </c>
      <c r="T115" s="145"/>
      <c r="U115" s="499" t="str">
        <f>IFERROR(INDEX('G-7 Rivers Data'!$H$4:$L$8,MATCH(N115,'G-7 Rivers Data'!$B$4:$B$8,0),MATCH(T115,'G-7 Rivers Data'!$H$3:$L$3,0)),"")</f>
        <v/>
      </c>
      <c r="V115" s="154"/>
      <c r="W115" s="507" t="str">
        <f>IF(V115="","",IF(VLOOKUP(V115,'G-7 Rivers Data'!$AG$4:$AI$9,2,FALSE)=0,"Spatial Data Missing ⚠",VLOOKUP(V115,'G-7 Rivers Data'!$AG$4:$AI$9,2,FALSE)))</f>
        <v/>
      </c>
      <c r="X115" s="499" t="str">
        <f>IF(V115="","",IF(VLOOKUP(V115,'G-7 Rivers Data'!$AG$4:$AI$9,3,FALSE)=0,"Spatial Data Missing ⚠",VLOOKUP(V115,'G-7 Rivers Data'!$AG$4:$AI$9,3,FALSE)))</f>
        <v/>
      </c>
      <c r="Y115" s="498" t="str">
        <f>IFERROR(IF(OR(LEFT(P115,5)="Error ▲",LEFT(O115,5)="Error ▲"),"Check Data ⚠",IF(F115&lt;S115,'G-7 Rivers Data'!$R$3,INDEX('G-7 Rivers Data'!$U$5:$Y$9,MATCH(G115,'G-7 Rivers Data'!$T$5:$T$9,0),MATCH(T115,'G-7 Rivers Data'!$U$4:$Y$4,0)))),"")</f>
        <v/>
      </c>
      <c r="Z115" s="195"/>
      <c r="AA115" s="195"/>
      <c r="AB115" s="507" t="str">
        <f t="shared" si="11"/>
        <v/>
      </c>
      <c r="AC115" s="521" t="str">
        <f t="shared" si="12"/>
        <v/>
      </c>
      <c r="AD115" s="564" t="str">
        <f>IFERROR(IF(AC115="Check Data ⚠","Check Data ⚠",VLOOKUP(AC115,'G-4 Temporal multipliers'!$A$4:$C$37,3,FALSE)),"")</f>
        <v/>
      </c>
      <c r="AE115" s="498" t="str">
        <f>IF(N115="","",VLOOKUP(N115,'G-7 Rivers Data'!$B$4:$G$8,5,FALSE))</f>
        <v/>
      </c>
      <c r="AF115" s="507" t="str">
        <f t="shared" si="13"/>
        <v/>
      </c>
      <c r="AG115" s="540" t="str">
        <f t="shared" si="14"/>
        <v/>
      </c>
      <c r="AH115" s="499" t="str">
        <f t="shared" si="8"/>
        <v/>
      </c>
      <c r="AI115" s="145"/>
      <c r="AJ115" s="499" t="str">
        <f>IF(AI115="","",IF(VLOOKUP(AI115,'G-7 Rivers Data'!$AA$4:$AB$7,2,FALSE)=0,"Spatial Data Missing ⚠",VLOOKUP(AI115,'G-7 Rivers Data'!$AA$4:$AB$7,2,FALSE)))</f>
        <v/>
      </c>
      <c r="AK115" s="155"/>
      <c r="AL115" s="499" t="str">
        <f>IF(AK115="","",IF(VLOOKUP(AK115,'G-7 Rivers Data'!$AD$4:$AE$8,2,FALSE)=0,"Spatial Data Missing ⚠",VLOOKUP(AK115,'G-7 Rivers Data'!$AD$4:$AE$8,2,FALSE)))</f>
        <v/>
      </c>
      <c r="AM115" s="545" t="str">
        <f t="shared" si="15"/>
        <v/>
      </c>
      <c r="AN115" s="149"/>
      <c r="AO115" s="150"/>
      <c r="AV115" s="31" t="str">
        <f>IFERROR(INDEX('G-7 Rivers Data'!$AZ$3:$AZ$7,MATCH(N115,'G-7 Rivers Data'!$AY$3:$AY$7,0)),"")</f>
        <v/>
      </c>
    </row>
    <row r="116" spans="2:48" ht="14" x14ac:dyDescent="0.3">
      <c r="B116" s="531" t="str">
        <f>'C-1 Site River Baseline'!AN114</f>
        <v/>
      </c>
      <c r="C116" s="520" t="str">
        <f>IF(B116="","",VLOOKUP($B116,'C-1 Site River Baseline'!$C$9:$R$257,2,FALSE))</f>
        <v/>
      </c>
      <c r="D116" s="520" t="str">
        <f>IF(C116="","",VLOOKUP($B116,'C-1 Site River Baseline'!$C$9:$R$257,3,FALSE))</f>
        <v/>
      </c>
      <c r="E116" s="520" t="str">
        <f>IF(D116="","",VLOOKUP($B116,'C-1 Site River Baseline'!$C$9:$R$257,4,FALSE))</f>
        <v/>
      </c>
      <c r="F116" s="520" t="str">
        <f>IF(E116="","",VLOOKUP($B116,'C-1 Site River Baseline'!$C$9:$R$257,5,FALSE))</f>
        <v/>
      </c>
      <c r="G116" s="520" t="str">
        <f>IF(F116="","",VLOOKUP($B116,'C-1 Site River Baseline'!$C$9:$R$257,6,FALSE))</f>
        <v/>
      </c>
      <c r="H116" s="520" t="str">
        <f>IF(G116="","",VLOOKUP($B116,'C-1 Site River Baseline'!$C$9:$R$257,7,FALSE))</f>
        <v/>
      </c>
      <c r="I116" s="520" t="str">
        <f>IF(H116="","",VLOOKUP($B116,'C-1 Site River Baseline'!$C$9:$R$257,8,FALSE))</f>
        <v/>
      </c>
      <c r="J116" s="520" t="str">
        <f>IF(I116="","",VLOOKUP($B116,'C-1 Site River Baseline'!$C$9:$R$257,9,FALSE))</f>
        <v/>
      </c>
      <c r="K116" s="520" t="str">
        <f>IF(J116="","",VLOOKUP($B116,'C-1 Site River Baseline'!$C$9:$R$257,10,FALSE))</f>
        <v/>
      </c>
      <c r="L116" s="520" t="str">
        <f>IF(B116="","",VLOOKUP($B116,'C-1 Site River Baseline'!$C$9:$R$257,15,FALSE))</f>
        <v/>
      </c>
      <c r="M116" s="524" t="str">
        <f>IF(L116="","",VLOOKUP($B116,'C-1 Site River Baseline'!$C$9:$R$257,16,FALSE))</f>
        <v/>
      </c>
      <c r="N116" s="418" t="str">
        <f t="shared" si="9"/>
        <v/>
      </c>
      <c r="O116" s="498" t="str">
        <f t="shared" si="10"/>
        <v/>
      </c>
      <c r="P116" s="499" t="str">
        <f>IF(C116="","",IF(AND(LEFT(C116,55)&lt;&gt;LEFT(N116,55),O116="High - High"),"Error - Not like for like ▲",IF(AND(F116=S116,H116&gt;U116),"Error - Can not reduce condition ▲",IF(AND(F116=S116,H116=U116,AJ116='C-1 Site River Baseline'!N114,'C-1 Site River Baseline'!P114=AL116),"Error - No enhancement ▲",IF(AND(C116&lt;&gt;N116,F116&lt;S116),"Lower Distinctiveness Habitat"&amp;" - "&amp;T116,G116&amp;" - "&amp;T116)))))</f>
        <v/>
      </c>
      <c r="Q116" s="567" t="str">
        <f>IF(N116="","",VLOOKUP(B116,'C-1 Site River Baseline'!$C$10:$AA$257,19,FALSE))</f>
        <v/>
      </c>
      <c r="R116" s="498" t="str">
        <f>IF(N116="","",VLOOKUP(N116,'G-7 Rivers Data'!$B$2:$G$8,2,FALSE))</f>
        <v/>
      </c>
      <c r="S116" s="499" t="str">
        <f>IFERROR(VLOOKUP(R116,'G-7 Rivers Data'!$C$4:$D$8,2,FALSE),"")</f>
        <v/>
      </c>
      <c r="T116" s="145"/>
      <c r="U116" s="499" t="str">
        <f>IFERROR(INDEX('G-7 Rivers Data'!$H$4:$L$8,MATCH(N116,'G-7 Rivers Data'!$B$4:$B$8,0),MATCH(T116,'G-7 Rivers Data'!$H$3:$L$3,0)),"")</f>
        <v/>
      </c>
      <c r="V116" s="154"/>
      <c r="W116" s="507" t="str">
        <f>IF(V116="","",IF(VLOOKUP(V116,'G-7 Rivers Data'!$AG$4:$AI$9,2,FALSE)=0,"Spatial Data Missing ⚠",VLOOKUP(V116,'G-7 Rivers Data'!$AG$4:$AI$9,2,FALSE)))</f>
        <v/>
      </c>
      <c r="X116" s="499" t="str">
        <f>IF(V116="","",IF(VLOOKUP(V116,'G-7 Rivers Data'!$AG$4:$AI$9,3,FALSE)=0,"Spatial Data Missing ⚠",VLOOKUP(V116,'G-7 Rivers Data'!$AG$4:$AI$9,3,FALSE)))</f>
        <v/>
      </c>
      <c r="Y116" s="498" t="str">
        <f>IFERROR(IF(OR(LEFT(P116,5)="Error ▲",LEFT(O116,5)="Error ▲"),"Check Data ⚠",IF(F116&lt;S116,'G-7 Rivers Data'!$R$3,INDEX('G-7 Rivers Data'!$U$5:$Y$9,MATCH(G116,'G-7 Rivers Data'!$T$5:$T$9,0),MATCH(T116,'G-7 Rivers Data'!$U$4:$Y$4,0)))),"")</f>
        <v/>
      </c>
      <c r="Z116" s="195"/>
      <c r="AA116" s="195"/>
      <c r="AB116" s="507" t="str">
        <f t="shared" si="11"/>
        <v/>
      </c>
      <c r="AC116" s="521" t="str">
        <f t="shared" si="12"/>
        <v/>
      </c>
      <c r="AD116" s="564" t="str">
        <f>IFERROR(IF(AC116="Check Data ⚠","Check Data ⚠",VLOOKUP(AC116,'G-4 Temporal multipliers'!$A$4:$C$37,3,FALSE)),"")</f>
        <v/>
      </c>
      <c r="AE116" s="498" t="str">
        <f>IF(N116="","",VLOOKUP(N116,'G-7 Rivers Data'!$B$4:$G$8,5,FALSE))</f>
        <v/>
      </c>
      <c r="AF116" s="507" t="str">
        <f t="shared" si="13"/>
        <v/>
      </c>
      <c r="AG116" s="540" t="str">
        <f t="shared" si="14"/>
        <v/>
      </c>
      <c r="AH116" s="499" t="str">
        <f t="shared" si="8"/>
        <v/>
      </c>
      <c r="AI116" s="145"/>
      <c r="AJ116" s="499" t="str">
        <f>IF(AI116="","",IF(VLOOKUP(AI116,'G-7 Rivers Data'!$AA$4:$AB$7,2,FALSE)=0,"Spatial Data Missing ⚠",VLOOKUP(AI116,'G-7 Rivers Data'!$AA$4:$AB$7,2,FALSE)))</f>
        <v/>
      </c>
      <c r="AK116" s="155"/>
      <c r="AL116" s="499" t="str">
        <f>IF(AK116="","",IF(VLOOKUP(AK116,'G-7 Rivers Data'!$AD$4:$AE$8,2,FALSE)=0,"Spatial Data Missing ⚠",VLOOKUP(AK116,'G-7 Rivers Data'!$AD$4:$AE$8,2,FALSE)))</f>
        <v/>
      </c>
      <c r="AM116" s="545" t="str">
        <f t="shared" si="15"/>
        <v/>
      </c>
      <c r="AN116" s="149"/>
      <c r="AO116" s="150"/>
      <c r="AV116" s="31" t="str">
        <f>IFERROR(INDEX('G-7 Rivers Data'!$AZ$3:$AZ$7,MATCH(N116,'G-7 Rivers Data'!$AY$3:$AY$7,0)),"")</f>
        <v/>
      </c>
    </row>
    <row r="117" spans="2:48" ht="14" x14ac:dyDescent="0.3">
      <c r="B117" s="531" t="str">
        <f>'C-1 Site River Baseline'!AN115</f>
        <v/>
      </c>
      <c r="C117" s="520" t="str">
        <f>IF(B117="","",VLOOKUP($B117,'C-1 Site River Baseline'!$C$9:$R$257,2,FALSE))</f>
        <v/>
      </c>
      <c r="D117" s="520" t="str">
        <f>IF(C117="","",VLOOKUP($B117,'C-1 Site River Baseline'!$C$9:$R$257,3,FALSE))</f>
        <v/>
      </c>
      <c r="E117" s="520" t="str">
        <f>IF(D117="","",VLOOKUP($B117,'C-1 Site River Baseline'!$C$9:$R$257,4,FALSE))</f>
        <v/>
      </c>
      <c r="F117" s="520" t="str">
        <f>IF(E117="","",VLOOKUP($B117,'C-1 Site River Baseline'!$C$9:$R$257,5,FALSE))</f>
        <v/>
      </c>
      <c r="G117" s="520" t="str">
        <f>IF(F117="","",VLOOKUP($B117,'C-1 Site River Baseline'!$C$9:$R$257,6,FALSE))</f>
        <v/>
      </c>
      <c r="H117" s="520" t="str">
        <f>IF(G117="","",VLOOKUP($B117,'C-1 Site River Baseline'!$C$9:$R$257,7,FALSE))</f>
        <v/>
      </c>
      <c r="I117" s="520" t="str">
        <f>IF(H117="","",VLOOKUP($B117,'C-1 Site River Baseline'!$C$9:$R$257,8,FALSE))</f>
        <v/>
      </c>
      <c r="J117" s="520" t="str">
        <f>IF(I117="","",VLOOKUP($B117,'C-1 Site River Baseline'!$C$9:$R$257,9,FALSE))</f>
        <v/>
      </c>
      <c r="K117" s="520" t="str">
        <f>IF(J117="","",VLOOKUP($B117,'C-1 Site River Baseline'!$C$9:$R$257,10,FALSE))</f>
        <v/>
      </c>
      <c r="L117" s="520" t="str">
        <f>IF(B117="","",VLOOKUP($B117,'C-1 Site River Baseline'!$C$9:$R$257,15,FALSE))</f>
        <v/>
      </c>
      <c r="M117" s="524" t="str">
        <f>IF(L117="","",VLOOKUP($B117,'C-1 Site River Baseline'!$C$9:$R$257,16,FALSE))</f>
        <v/>
      </c>
      <c r="N117" s="418" t="str">
        <f t="shared" si="9"/>
        <v/>
      </c>
      <c r="O117" s="498" t="str">
        <f t="shared" si="10"/>
        <v/>
      </c>
      <c r="P117" s="499" t="str">
        <f>IF(C117="","",IF(AND(LEFT(C117,55)&lt;&gt;LEFT(N117,55),O117="High - High"),"Error - Not like for like ▲",IF(AND(F117=S117,H117&gt;U117),"Error - Can not reduce condition ▲",IF(AND(F117=S117,H117=U117,AJ117='C-1 Site River Baseline'!N115,'C-1 Site River Baseline'!P115=AL117),"Error - No enhancement ▲",IF(AND(C117&lt;&gt;N117,F117&lt;S117),"Lower Distinctiveness Habitat"&amp;" - "&amp;T117,G117&amp;" - "&amp;T117)))))</f>
        <v/>
      </c>
      <c r="Q117" s="567" t="str">
        <f>IF(N117="","",VLOOKUP(B117,'C-1 Site River Baseline'!$C$10:$AA$257,19,FALSE))</f>
        <v/>
      </c>
      <c r="R117" s="498" t="str">
        <f>IF(N117="","",VLOOKUP(N117,'G-7 Rivers Data'!$B$2:$G$8,2,FALSE))</f>
        <v/>
      </c>
      <c r="S117" s="499" t="str">
        <f>IFERROR(VLOOKUP(R117,'G-7 Rivers Data'!$C$4:$D$8,2,FALSE),"")</f>
        <v/>
      </c>
      <c r="T117" s="145"/>
      <c r="U117" s="499" t="str">
        <f>IFERROR(INDEX('G-7 Rivers Data'!$H$4:$L$8,MATCH(N117,'G-7 Rivers Data'!$B$4:$B$8,0),MATCH(T117,'G-7 Rivers Data'!$H$3:$L$3,0)),"")</f>
        <v/>
      </c>
      <c r="V117" s="154"/>
      <c r="W117" s="507" t="str">
        <f>IF(V117="","",IF(VLOOKUP(V117,'G-7 Rivers Data'!$AG$4:$AI$9,2,FALSE)=0,"Spatial Data Missing ⚠",VLOOKUP(V117,'G-7 Rivers Data'!$AG$4:$AI$9,2,FALSE)))</f>
        <v/>
      </c>
      <c r="X117" s="499" t="str">
        <f>IF(V117="","",IF(VLOOKUP(V117,'G-7 Rivers Data'!$AG$4:$AI$9,3,FALSE)=0,"Spatial Data Missing ⚠",VLOOKUP(V117,'G-7 Rivers Data'!$AG$4:$AI$9,3,FALSE)))</f>
        <v/>
      </c>
      <c r="Y117" s="498" t="str">
        <f>IFERROR(IF(OR(LEFT(P117,5)="Error ▲",LEFT(O117,5)="Error ▲"),"Check Data ⚠",IF(F117&lt;S117,'G-7 Rivers Data'!$R$3,INDEX('G-7 Rivers Data'!$U$5:$Y$9,MATCH(G117,'G-7 Rivers Data'!$T$5:$T$9,0),MATCH(T117,'G-7 Rivers Data'!$U$4:$Y$4,0)))),"")</f>
        <v/>
      </c>
      <c r="Z117" s="195"/>
      <c r="AA117" s="195"/>
      <c r="AB117" s="507" t="str">
        <f t="shared" si="11"/>
        <v/>
      </c>
      <c r="AC117" s="521" t="str">
        <f t="shared" si="12"/>
        <v/>
      </c>
      <c r="AD117" s="564" t="str">
        <f>IFERROR(IF(AC117="Check Data ⚠","Check Data ⚠",VLOOKUP(AC117,'G-4 Temporal multipliers'!$A$4:$C$37,3,FALSE)),"")</f>
        <v/>
      </c>
      <c r="AE117" s="498" t="str">
        <f>IF(N117="","",VLOOKUP(N117,'G-7 Rivers Data'!$B$4:$G$8,5,FALSE))</f>
        <v/>
      </c>
      <c r="AF117" s="507" t="str">
        <f t="shared" si="13"/>
        <v/>
      </c>
      <c r="AG117" s="540" t="str">
        <f t="shared" si="14"/>
        <v/>
      </c>
      <c r="AH117" s="499" t="str">
        <f t="shared" si="8"/>
        <v/>
      </c>
      <c r="AI117" s="145"/>
      <c r="AJ117" s="499" t="str">
        <f>IF(AI117="","",IF(VLOOKUP(AI117,'G-7 Rivers Data'!$AA$4:$AB$7,2,FALSE)=0,"Spatial Data Missing ⚠",VLOOKUP(AI117,'G-7 Rivers Data'!$AA$4:$AB$7,2,FALSE)))</f>
        <v/>
      </c>
      <c r="AK117" s="155"/>
      <c r="AL117" s="499" t="str">
        <f>IF(AK117="","",IF(VLOOKUP(AK117,'G-7 Rivers Data'!$AD$4:$AE$8,2,FALSE)=0,"Spatial Data Missing ⚠",VLOOKUP(AK117,'G-7 Rivers Data'!$AD$4:$AE$8,2,FALSE)))</f>
        <v/>
      </c>
      <c r="AM117" s="545" t="str">
        <f t="shared" si="15"/>
        <v/>
      </c>
      <c r="AN117" s="149"/>
      <c r="AO117" s="150"/>
      <c r="AV117" s="31" t="str">
        <f>IFERROR(INDEX('G-7 Rivers Data'!$AZ$3:$AZ$7,MATCH(N117,'G-7 Rivers Data'!$AY$3:$AY$7,0)),"")</f>
        <v/>
      </c>
    </row>
    <row r="118" spans="2:48" ht="14" x14ac:dyDescent="0.3">
      <c r="B118" s="531" t="str">
        <f>'C-1 Site River Baseline'!AN116</f>
        <v/>
      </c>
      <c r="C118" s="520" t="str">
        <f>IF(B118="","",VLOOKUP($B118,'C-1 Site River Baseline'!$C$9:$R$257,2,FALSE))</f>
        <v/>
      </c>
      <c r="D118" s="520" t="str">
        <f>IF(C118="","",VLOOKUP($B118,'C-1 Site River Baseline'!$C$9:$R$257,3,FALSE))</f>
        <v/>
      </c>
      <c r="E118" s="520" t="str">
        <f>IF(D118="","",VLOOKUP($B118,'C-1 Site River Baseline'!$C$9:$R$257,4,FALSE))</f>
        <v/>
      </c>
      <c r="F118" s="520" t="str">
        <f>IF(E118="","",VLOOKUP($B118,'C-1 Site River Baseline'!$C$9:$R$257,5,FALSE))</f>
        <v/>
      </c>
      <c r="G118" s="520" t="str">
        <f>IF(F118="","",VLOOKUP($B118,'C-1 Site River Baseline'!$C$9:$R$257,6,FALSE))</f>
        <v/>
      </c>
      <c r="H118" s="520" t="str">
        <f>IF(G118="","",VLOOKUP($B118,'C-1 Site River Baseline'!$C$9:$R$257,7,FALSE))</f>
        <v/>
      </c>
      <c r="I118" s="520" t="str">
        <f>IF(H118="","",VLOOKUP($B118,'C-1 Site River Baseline'!$C$9:$R$257,8,FALSE))</f>
        <v/>
      </c>
      <c r="J118" s="520" t="str">
        <f>IF(I118="","",VLOOKUP($B118,'C-1 Site River Baseline'!$C$9:$R$257,9,FALSE))</f>
        <v/>
      </c>
      <c r="K118" s="520" t="str">
        <f>IF(J118="","",VLOOKUP($B118,'C-1 Site River Baseline'!$C$9:$R$257,10,FALSE))</f>
        <v/>
      </c>
      <c r="L118" s="520" t="str">
        <f>IF(B118="","",VLOOKUP($B118,'C-1 Site River Baseline'!$C$9:$R$257,15,FALSE))</f>
        <v/>
      </c>
      <c r="M118" s="524" t="str">
        <f>IF(L118="","",VLOOKUP($B118,'C-1 Site River Baseline'!$C$9:$R$257,16,FALSE))</f>
        <v/>
      </c>
      <c r="N118" s="418" t="str">
        <f t="shared" si="9"/>
        <v/>
      </c>
      <c r="O118" s="498" t="str">
        <f t="shared" si="10"/>
        <v/>
      </c>
      <c r="P118" s="499" t="str">
        <f>IF(C118="","",IF(AND(LEFT(C118,55)&lt;&gt;LEFT(N118,55),O118="High - High"),"Error - Not like for like ▲",IF(AND(F118=S118,H118&gt;U118),"Error - Can not reduce condition ▲",IF(AND(F118=S118,H118=U118,AJ118='C-1 Site River Baseline'!N116,'C-1 Site River Baseline'!P116=AL118),"Error - No enhancement ▲",IF(AND(C118&lt;&gt;N118,F118&lt;S118),"Lower Distinctiveness Habitat"&amp;" - "&amp;T118,G118&amp;" - "&amp;T118)))))</f>
        <v/>
      </c>
      <c r="Q118" s="567" t="str">
        <f>IF(N118="","",VLOOKUP(B118,'C-1 Site River Baseline'!$C$10:$AA$257,19,FALSE))</f>
        <v/>
      </c>
      <c r="R118" s="498" t="str">
        <f>IF(N118="","",VLOOKUP(N118,'G-7 Rivers Data'!$B$2:$G$8,2,FALSE))</f>
        <v/>
      </c>
      <c r="S118" s="499" t="str">
        <f>IFERROR(VLOOKUP(R118,'G-7 Rivers Data'!$C$4:$D$8,2,FALSE),"")</f>
        <v/>
      </c>
      <c r="T118" s="145"/>
      <c r="U118" s="499" t="str">
        <f>IFERROR(INDEX('G-7 Rivers Data'!$H$4:$L$8,MATCH(N118,'G-7 Rivers Data'!$B$4:$B$8,0),MATCH(T118,'G-7 Rivers Data'!$H$3:$L$3,0)),"")</f>
        <v/>
      </c>
      <c r="V118" s="154"/>
      <c r="W118" s="507" t="str">
        <f>IF(V118="","",IF(VLOOKUP(V118,'G-7 Rivers Data'!$AG$4:$AI$9,2,FALSE)=0,"Spatial Data Missing ⚠",VLOOKUP(V118,'G-7 Rivers Data'!$AG$4:$AI$9,2,FALSE)))</f>
        <v/>
      </c>
      <c r="X118" s="499" t="str">
        <f>IF(V118="","",IF(VLOOKUP(V118,'G-7 Rivers Data'!$AG$4:$AI$9,3,FALSE)=0,"Spatial Data Missing ⚠",VLOOKUP(V118,'G-7 Rivers Data'!$AG$4:$AI$9,3,FALSE)))</f>
        <v/>
      </c>
      <c r="Y118" s="498" t="str">
        <f>IFERROR(IF(OR(LEFT(P118,5)="Error ▲",LEFT(O118,5)="Error ▲"),"Check Data ⚠",IF(F118&lt;S118,'G-7 Rivers Data'!$R$3,INDEX('G-7 Rivers Data'!$U$5:$Y$9,MATCH(G118,'G-7 Rivers Data'!$T$5:$T$9,0),MATCH(T118,'G-7 Rivers Data'!$U$4:$Y$4,0)))),"")</f>
        <v/>
      </c>
      <c r="Z118" s="195"/>
      <c r="AA118" s="195"/>
      <c r="AB118" s="507" t="str">
        <f t="shared" si="11"/>
        <v/>
      </c>
      <c r="AC118" s="521" t="str">
        <f t="shared" si="12"/>
        <v/>
      </c>
      <c r="AD118" s="564" t="str">
        <f>IFERROR(IF(AC118="Check Data ⚠","Check Data ⚠",VLOOKUP(AC118,'G-4 Temporal multipliers'!$A$4:$C$37,3,FALSE)),"")</f>
        <v/>
      </c>
      <c r="AE118" s="498" t="str">
        <f>IF(N118="","",VLOOKUP(N118,'G-7 Rivers Data'!$B$4:$G$8,5,FALSE))</f>
        <v/>
      </c>
      <c r="AF118" s="507" t="str">
        <f t="shared" si="13"/>
        <v/>
      </c>
      <c r="AG118" s="540" t="str">
        <f t="shared" si="14"/>
        <v/>
      </c>
      <c r="AH118" s="499" t="str">
        <f t="shared" si="8"/>
        <v/>
      </c>
      <c r="AI118" s="145"/>
      <c r="AJ118" s="499" t="str">
        <f>IF(AI118="","",IF(VLOOKUP(AI118,'G-7 Rivers Data'!$AA$4:$AB$7,2,FALSE)=0,"Spatial Data Missing ⚠",VLOOKUP(AI118,'G-7 Rivers Data'!$AA$4:$AB$7,2,FALSE)))</f>
        <v/>
      </c>
      <c r="AK118" s="155"/>
      <c r="AL118" s="499" t="str">
        <f>IF(AK118="","",IF(VLOOKUP(AK118,'G-7 Rivers Data'!$AD$4:$AE$8,2,FALSE)=0,"Spatial Data Missing ⚠",VLOOKUP(AK118,'G-7 Rivers Data'!$AD$4:$AE$8,2,FALSE)))</f>
        <v/>
      </c>
      <c r="AM118" s="545" t="str">
        <f t="shared" si="15"/>
        <v/>
      </c>
      <c r="AN118" s="149"/>
      <c r="AO118" s="150"/>
      <c r="AV118" s="31" t="str">
        <f>IFERROR(INDEX('G-7 Rivers Data'!$AZ$3:$AZ$7,MATCH(N118,'G-7 Rivers Data'!$AY$3:$AY$7,0)),"")</f>
        <v/>
      </c>
    </row>
    <row r="119" spans="2:48" ht="14" x14ac:dyDescent="0.3">
      <c r="B119" s="531" t="str">
        <f>'C-1 Site River Baseline'!AN117</f>
        <v/>
      </c>
      <c r="C119" s="520" t="str">
        <f>IF(B119="","",VLOOKUP($B119,'C-1 Site River Baseline'!$C$9:$R$257,2,FALSE))</f>
        <v/>
      </c>
      <c r="D119" s="520" t="str">
        <f>IF(C119="","",VLOOKUP($B119,'C-1 Site River Baseline'!$C$9:$R$257,3,FALSE))</f>
        <v/>
      </c>
      <c r="E119" s="520" t="str">
        <f>IF(D119="","",VLOOKUP($B119,'C-1 Site River Baseline'!$C$9:$R$257,4,FALSE))</f>
        <v/>
      </c>
      <c r="F119" s="520" t="str">
        <f>IF(E119="","",VLOOKUP($B119,'C-1 Site River Baseline'!$C$9:$R$257,5,FALSE))</f>
        <v/>
      </c>
      <c r="G119" s="520" t="str">
        <f>IF(F119="","",VLOOKUP($B119,'C-1 Site River Baseline'!$C$9:$R$257,6,FALSE))</f>
        <v/>
      </c>
      <c r="H119" s="520" t="str">
        <f>IF(G119="","",VLOOKUP($B119,'C-1 Site River Baseline'!$C$9:$R$257,7,FALSE))</f>
        <v/>
      </c>
      <c r="I119" s="520" t="str">
        <f>IF(H119="","",VLOOKUP($B119,'C-1 Site River Baseline'!$C$9:$R$257,8,FALSE))</f>
        <v/>
      </c>
      <c r="J119" s="520" t="str">
        <f>IF(I119="","",VLOOKUP($B119,'C-1 Site River Baseline'!$C$9:$R$257,9,FALSE))</f>
        <v/>
      </c>
      <c r="K119" s="520" t="str">
        <f>IF(J119="","",VLOOKUP($B119,'C-1 Site River Baseline'!$C$9:$R$257,10,FALSE))</f>
        <v/>
      </c>
      <c r="L119" s="520" t="str">
        <f>IF(B119="","",VLOOKUP($B119,'C-1 Site River Baseline'!$C$9:$R$257,15,FALSE))</f>
        <v/>
      </c>
      <c r="M119" s="524" t="str">
        <f>IF(L119="","",VLOOKUP($B119,'C-1 Site River Baseline'!$C$9:$R$257,16,FALSE))</f>
        <v/>
      </c>
      <c r="N119" s="418" t="str">
        <f t="shared" si="9"/>
        <v/>
      </c>
      <c r="O119" s="498" t="str">
        <f t="shared" si="10"/>
        <v/>
      </c>
      <c r="P119" s="499" t="str">
        <f>IF(C119="","",IF(AND(LEFT(C119,55)&lt;&gt;LEFT(N119,55),O119="High - High"),"Error - Not like for like ▲",IF(AND(F119=S119,H119&gt;U119),"Error - Can not reduce condition ▲",IF(AND(F119=S119,H119=U119,AJ119='C-1 Site River Baseline'!N117,'C-1 Site River Baseline'!P117=AL119),"Error - No enhancement ▲",IF(AND(C119&lt;&gt;N119,F119&lt;S119),"Lower Distinctiveness Habitat"&amp;" - "&amp;T119,G119&amp;" - "&amp;T119)))))</f>
        <v/>
      </c>
      <c r="Q119" s="567" t="str">
        <f>IF(N119="","",VLOOKUP(B119,'C-1 Site River Baseline'!$C$10:$AA$257,19,FALSE))</f>
        <v/>
      </c>
      <c r="R119" s="498" t="str">
        <f>IF(N119="","",VLOOKUP(N119,'G-7 Rivers Data'!$B$2:$G$8,2,FALSE))</f>
        <v/>
      </c>
      <c r="S119" s="499" t="str">
        <f>IFERROR(VLOOKUP(R119,'G-7 Rivers Data'!$C$4:$D$8,2,FALSE),"")</f>
        <v/>
      </c>
      <c r="T119" s="145"/>
      <c r="U119" s="499" t="str">
        <f>IFERROR(INDEX('G-7 Rivers Data'!$H$4:$L$8,MATCH(N119,'G-7 Rivers Data'!$B$4:$B$8,0),MATCH(T119,'G-7 Rivers Data'!$H$3:$L$3,0)),"")</f>
        <v/>
      </c>
      <c r="V119" s="154"/>
      <c r="W119" s="507" t="str">
        <f>IF(V119="","",IF(VLOOKUP(V119,'G-7 Rivers Data'!$AG$4:$AI$9,2,FALSE)=0,"Spatial Data Missing ⚠",VLOOKUP(V119,'G-7 Rivers Data'!$AG$4:$AI$9,2,FALSE)))</f>
        <v/>
      </c>
      <c r="X119" s="499" t="str">
        <f>IF(V119="","",IF(VLOOKUP(V119,'G-7 Rivers Data'!$AG$4:$AI$9,3,FALSE)=0,"Spatial Data Missing ⚠",VLOOKUP(V119,'G-7 Rivers Data'!$AG$4:$AI$9,3,FALSE)))</f>
        <v/>
      </c>
      <c r="Y119" s="498" t="str">
        <f>IFERROR(IF(OR(LEFT(P119,5)="Error ▲",LEFT(O119,5)="Error ▲"),"Check Data ⚠",IF(F119&lt;S119,'G-7 Rivers Data'!$R$3,INDEX('G-7 Rivers Data'!$U$5:$Y$9,MATCH(G119,'G-7 Rivers Data'!$T$5:$T$9,0),MATCH(T119,'G-7 Rivers Data'!$U$4:$Y$4,0)))),"")</f>
        <v/>
      </c>
      <c r="Z119" s="195"/>
      <c r="AA119" s="195"/>
      <c r="AB119" s="507" t="str">
        <f t="shared" si="11"/>
        <v/>
      </c>
      <c r="AC119" s="521" t="str">
        <f t="shared" si="12"/>
        <v/>
      </c>
      <c r="AD119" s="564" t="str">
        <f>IFERROR(IF(AC119="Check Data ⚠","Check Data ⚠",VLOOKUP(AC119,'G-4 Temporal multipliers'!$A$4:$C$37,3,FALSE)),"")</f>
        <v/>
      </c>
      <c r="AE119" s="498" t="str">
        <f>IF(N119="","",VLOOKUP(N119,'G-7 Rivers Data'!$B$4:$G$8,5,FALSE))</f>
        <v/>
      </c>
      <c r="AF119" s="507" t="str">
        <f t="shared" si="13"/>
        <v/>
      </c>
      <c r="AG119" s="540" t="str">
        <f t="shared" si="14"/>
        <v/>
      </c>
      <c r="AH119" s="499" t="str">
        <f t="shared" si="8"/>
        <v/>
      </c>
      <c r="AI119" s="145"/>
      <c r="AJ119" s="499" t="str">
        <f>IF(AI119="","",IF(VLOOKUP(AI119,'G-7 Rivers Data'!$AA$4:$AB$7,2,FALSE)=0,"Spatial Data Missing ⚠",VLOOKUP(AI119,'G-7 Rivers Data'!$AA$4:$AB$7,2,FALSE)))</f>
        <v/>
      </c>
      <c r="AK119" s="155"/>
      <c r="AL119" s="499" t="str">
        <f>IF(AK119="","",IF(VLOOKUP(AK119,'G-7 Rivers Data'!$AD$4:$AE$8,2,FALSE)=0,"Spatial Data Missing ⚠",VLOOKUP(AK119,'G-7 Rivers Data'!$AD$4:$AE$8,2,FALSE)))</f>
        <v/>
      </c>
      <c r="AM119" s="545" t="str">
        <f t="shared" si="15"/>
        <v/>
      </c>
      <c r="AN119" s="149"/>
      <c r="AO119" s="150"/>
      <c r="AV119" s="31" t="str">
        <f>IFERROR(INDEX('G-7 Rivers Data'!$AZ$3:$AZ$7,MATCH(N119,'G-7 Rivers Data'!$AY$3:$AY$7,0)),"")</f>
        <v/>
      </c>
    </row>
    <row r="120" spans="2:48" ht="14" x14ac:dyDescent="0.3">
      <c r="B120" s="531" t="str">
        <f>'C-1 Site River Baseline'!AN118</f>
        <v/>
      </c>
      <c r="C120" s="520" t="str">
        <f>IF(B120="","",VLOOKUP($B120,'C-1 Site River Baseline'!$C$9:$R$257,2,FALSE))</f>
        <v/>
      </c>
      <c r="D120" s="520" t="str">
        <f>IF(C120="","",VLOOKUP($B120,'C-1 Site River Baseline'!$C$9:$R$257,3,FALSE))</f>
        <v/>
      </c>
      <c r="E120" s="520" t="str">
        <f>IF(D120="","",VLOOKUP($B120,'C-1 Site River Baseline'!$C$9:$R$257,4,FALSE))</f>
        <v/>
      </c>
      <c r="F120" s="520" t="str">
        <f>IF(E120="","",VLOOKUP($B120,'C-1 Site River Baseline'!$C$9:$R$257,5,FALSE))</f>
        <v/>
      </c>
      <c r="G120" s="520" t="str">
        <f>IF(F120="","",VLOOKUP($B120,'C-1 Site River Baseline'!$C$9:$R$257,6,FALSE))</f>
        <v/>
      </c>
      <c r="H120" s="520" t="str">
        <f>IF(G120="","",VLOOKUP($B120,'C-1 Site River Baseline'!$C$9:$R$257,7,FALSE))</f>
        <v/>
      </c>
      <c r="I120" s="520" t="str">
        <f>IF(H120="","",VLOOKUP($B120,'C-1 Site River Baseline'!$C$9:$R$257,8,FALSE))</f>
        <v/>
      </c>
      <c r="J120" s="520" t="str">
        <f>IF(I120="","",VLOOKUP($B120,'C-1 Site River Baseline'!$C$9:$R$257,9,FALSE))</f>
        <v/>
      </c>
      <c r="K120" s="520" t="str">
        <f>IF(J120="","",VLOOKUP($B120,'C-1 Site River Baseline'!$C$9:$R$257,10,FALSE))</f>
        <v/>
      </c>
      <c r="L120" s="520" t="str">
        <f>IF(B120="","",VLOOKUP($B120,'C-1 Site River Baseline'!$C$9:$R$257,15,FALSE))</f>
        <v/>
      </c>
      <c r="M120" s="524" t="str">
        <f>IF(L120="","",VLOOKUP($B120,'C-1 Site River Baseline'!$C$9:$R$257,16,FALSE))</f>
        <v/>
      </c>
      <c r="N120" s="418" t="str">
        <f t="shared" si="9"/>
        <v/>
      </c>
      <c r="O120" s="498" t="str">
        <f t="shared" si="10"/>
        <v/>
      </c>
      <c r="P120" s="499" t="str">
        <f>IF(C120="","",IF(AND(LEFT(C120,55)&lt;&gt;LEFT(N120,55),O120="High - High"),"Error - Not like for like ▲",IF(AND(F120=S120,H120&gt;U120),"Error - Can not reduce condition ▲",IF(AND(F120=S120,H120=U120,AJ120='C-1 Site River Baseline'!N118,'C-1 Site River Baseline'!P118=AL120),"Error - No enhancement ▲",IF(AND(C120&lt;&gt;N120,F120&lt;S120),"Lower Distinctiveness Habitat"&amp;" - "&amp;T120,G120&amp;" - "&amp;T120)))))</f>
        <v/>
      </c>
      <c r="Q120" s="567" t="str">
        <f>IF(N120="","",VLOOKUP(B120,'C-1 Site River Baseline'!$C$10:$AA$257,19,FALSE))</f>
        <v/>
      </c>
      <c r="R120" s="498" t="str">
        <f>IF(N120="","",VLOOKUP(N120,'G-7 Rivers Data'!$B$2:$G$8,2,FALSE))</f>
        <v/>
      </c>
      <c r="S120" s="499" t="str">
        <f>IFERROR(VLOOKUP(R120,'G-7 Rivers Data'!$C$4:$D$8,2,FALSE),"")</f>
        <v/>
      </c>
      <c r="T120" s="145"/>
      <c r="U120" s="499" t="str">
        <f>IFERROR(INDEX('G-7 Rivers Data'!$H$4:$L$8,MATCH(N120,'G-7 Rivers Data'!$B$4:$B$8,0),MATCH(T120,'G-7 Rivers Data'!$H$3:$L$3,0)),"")</f>
        <v/>
      </c>
      <c r="V120" s="154"/>
      <c r="W120" s="507" t="str">
        <f>IF(V120="","",IF(VLOOKUP(V120,'G-7 Rivers Data'!$AG$4:$AI$9,2,FALSE)=0,"Spatial Data Missing ⚠",VLOOKUP(V120,'G-7 Rivers Data'!$AG$4:$AI$9,2,FALSE)))</f>
        <v/>
      </c>
      <c r="X120" s="499" t="str">
        <f>IF(V120="","",IF(VLOOKUP(V120,'G-7 Rivers Data'!$AG$4:$AI$9,3,FALSE)=0,"Spatial Data Missing ⚠",VLOOKUP(V120,'G-7 Rivers Data'!$AG$4:$AI$9,3,FALSE)))</f>
        <v/>
      </c>
      <c r="Y120" s="498" t="str">
        <f>IFERROR(IF(OR(LEFT(P120,5)="Error ▲",LEFT(O120,5)="Error ▲"),"Check Data ⚠",IF(F120&lt;S120,'G-7 Rivers Data'!$R$3,INDEX('G-7 Rivers Data'!$U$5:$Y$9,MATCH(G120,'G-7 Rivers Data'!$T$5:$T$9,0),MATCH(T120,'G-7 Rivers Data'!$U$4:$Y$4,0)))),"")</f>
        <v/>
      </c>
      <c r="Z120" s="195"/>
      <c r="AA120" s="195"/>
      <c r="AB120" s="507" t="str">
        <f t="shared" si="11"/>
        <v/>
      </c>
      <c r="AC120" s="521" t="str">
        <f t="shared" si="12"/>
        <v/>
      </c>
      <c r="AD120" s="564" t="str">
        <f>IFERROR(IF(AC120="Check Data ⚠","Check Data ⚠",VLOOKUP(AC120,'G-4 Temporal multipliers'!$A$4:$C$37,3,FALSE)),"")</f>
        <v/>
      </c>
      <c r="AE120" s="498" t="str">
        <f>IF(N120="","",VLOOKUP(N120,'G-7 Rivers Data'!$B$4:$G$8,5,FALSE))</f>
        <v/>
      </c>
      <c r="AF120" s="507" t="str">
        <f t="shared" si="13"/>
        <v/>
      </c>
      <c r="AG120" s="540" t="str">
        <f t="shared" si="14"/>
        <v/>
      </c>
      <c r="AH120" s="499" t="str">
        <f t="shared" si="8"/>
        <v/>
      </c>
      <c r="AI120" s="145"/>
      <c r="AJ120" s="499" t="str">
        <f>IF(AI120="","",IF(VLOOKUP(AI120,'G-7 Rivers Data'!$AA$4:$AB$7,2,FALSE)=0,"Spatial Data Missing ⚠",VLOOKUP(AI120,'G-7 Rivers Data'!$AA$4:$AB$7,2,FALSE)))</f>
        <v/>
      </c>
      <c r="AK120" s="155"/>
      <c r="AL120" s="499" t="str">
        <f>IF(AK120="","",IF(VLOOKUP(AK120,'G-7 Rivers Data'!$AD$4:$AE$8,2,FALSE)=0,"Spatial Data Missing ⚠",VLOOKUP(AK120,'G-7 Rivers Data'!$AD$4:$AE$8,2,FALSE)))</f>
        <v/>
      </c>
      <c r="AM120" s="545" t="str">
        <f t="shared" si="15"/>
        <v/>
      </c>
      <c r="AN120" s="149"/>
      <c r="AO120" s="150"/>
      <c r="AV120" s="31" t="str">
        <f>IFERROR(INDEX('G-7 Rivers Data'!$AZ$3:$AZ$7,MATCH(N120,'G-7 Rivers Data'!$AY$3:$AY$7,0)),"")</f>
        <v/>
      </c>
    </row>
    <row r="121" spans="2:48" ht="14" x14ac:dyDescent="0.3">
      <c r="B121" s="531" t="str">
        <f>'C-1 Site River Baseline'!AN119</f>
        <v/>
      </c>
      <c r="C121" s="520" t="str">
        <f>IF(B121="","",VLOOKUP($B121,'C-1 Site River Baseline'!$C$9:$R$257,2,FALSE))</f>
        <v/>
      </c>
      <c r="D121" s="520" t="str">
        <f>IF(C121="","",VLOOKUP($B121,'C-1 Site River Baseline'!$C$9:$R$257,3,FALSE))</f>
        <v/>
      </c>
      <c r="E121" s="520" t="str">
        <f>IF(D121="","",VLOOKUP($B121,'C-1 Site River Baseline'!$C$9:$R$257,4,FALSE))</f>
        <v/>
      </c>
      <c r="F121" s="520" t="str">
        <f>IF(E121="","",VLOOKUP($B121,'C-1 Site River Baseline'!$C$9:$R$257,5,FALSE))</f>
        <v/>
      </c>
      <c r="G121" s="520" t="str">
        <f>IF(F121="","",VLOOKUP($B121,'C-1 Site River Baseline'!$C$9:$R$257,6,FALSE))</f>
        <v/>
      </c>
      <c r="H121" s="520" t="str">
        <f>IF(G121="","",VLOOKUP($B121,'C-1 Site River Baseline'!$C$9:$R$257,7,FALSE))</f>
        <v/>
      </c>
      <c r="I121" s="520" t="str">
        <f>IF(H121="","",VLOOKUP($B121,'C-1 Site River Baseline'!$C$9:$R$257,8,FALSE))</f>
        <v/>
      </c>
      <c r="J121" s="520" t="str">
        <f>IF(I121="","",VLOOKUP($B121,'C-1 Site River Baseline'!$C$9:$R$257,9,FALSE))</f>
        <v/>
      </c>
      <c r="K121" s="520" t="str">
        <f>IF(J121="","",VLOOKUP($B121,'C-1 Site River Baseline'!$C$9:$R$257,10,FALSE))</f>
        <v/>
      </c>
      <c r="L121" s="520" t="str">
        <f>IF(B121="","",VLOOKUP($B121,'C-1 Site River Baseline'!$C$9:$R$257,15,FALSE))</f>
        <v/>
      </c>
      <c r="M121" s="524" t="str">
        <f>IF(L121="","",VLOOKUP($B121,'C-1 Site River Baseline'!$C$9:$R$257,16,FALSE))</f>
        <v/>
      </c>
      <c r="N121" s="418" t="str">
        <f t="shared" si="9"/>
        <v/>
      </c>
      <c r="O121" s="498" t="str">
        <f t="shared" si="10"/>
        <v/>
      </c>
      <c r="P121" s="499" t="str">
        <f>IF(C121="","",IF(AND(LEFT(C121,55)&lt;&gt;LEFT(N121,55),O121="High - High"),"Error - Not like for like ▲",IF(AND(F121=S121,H121&gt;U121),"Error - Can not reduce condition ▲",IF(AND(F121=S121,H121=U121,AJ121='C-1 Site River Baseline'!N119,'C-1 Site River Baseline'!P119=AL121),"Error - No enhancement ▲",IF(AND(C121&lt;&gt;N121,F121&lt;S121),"Lower Distinctiveness Habitat"&amp;" - "&amp;T121,G121&amp;" - "&amp;T121)))))</f>
        <v/>
      </c>
      <c r="Q121" s="567" t="str">
        <f>IF(N121="","",VLOOKUP(B121,'C-1 Site River Baseline'!$C$10:$AA$257,19,FALSE))</f>
        <v/>
      </c>
      <c r="R121" s="498" t="str">
        <f>IF(N121="","",VLOOKUP(N121,'G-7 Rivers Data'!$B$2:$G$8,2,FALSE))</f>
        <v/>
      </c>
      <c r="S121" s="499" t="str">
        <f>IFERROR(VLOOKUP(R121,'G-7 Rivers Data'!$C$4:$D$8,2,FALSE),"")</f>
        <v/>
      </c>
      <c r="T121" s="145"/>
      <c r="U121" s="499" t="str">
        <f>IFERROR(INDEX('G-7 Rivers Data'!$H$4:$L$8,MATCH(N121,'G-7 Rivers Data'!$B$4:$B$8,0),MATCH(T121,'G-7 Rivers Data'!$H$3:$L$3,0)),"")</f>
        <v/>
      </c>
      <c r="V121" s="154"/>
      <c r="W121" s="507" t="str">
        <f>IF(V121="","",IF(VLOOKUP(V121,'G-7 Rivers Data'!$AG$4:$AI$9,2,FALSE)=0,"Spatial Data Missing ⚠",VLOOKUP(V121,'G-7 Rivers Data'!$AG$4:$AI$9,2,FALSE)))</f>
        <v/>
      </c>
      <c r="X121" s="499" t="str">
        <f>IF(V121="","",IF(VLOOKUP(V121,'G-7 Rivers Data'!$AG$4:$AI$9,3,FALSE)=0,"Spatial Data Missing ⚠",VLOOKUP(V121,'G-7 Rivers Data'!$AG$4:$AI$9,3,FALSE)))</f>
        <v/>
      </c>
      <c r="Y121" s="498" t="str">
        <f>IFERROR(IF(OR(LEFT(P121,5)="Error ▲",LEFT(O121,5)="Error ▲"),"Check Data ⚠",IF(F121&lt;S121,'G-7 Rivers Data'!$R$3,INDEX('G-7 Rivers Data'!$U$5:$Y$9,MATCH(G121,'G-7 Rivers Data'!$T$5:$T$9,0),MATCH(T121,'G-7 Rivers Data'!$U$4:$Y$4,0)))),"")</f>
        <v/>
      </c>
      <c r="Z121" s="195"/>
      <c r="AA121" s="195"/>
      <c r="AB121" s="507" t="str">
        <f t="shared" si="11"/>
        <v/>
      </c>
      <c r="AC121" s="521" t="str">
        <f t="shared" si="12"/>
        <v/>
      </c>
      <c r="AD121" s="564" t="str">
        <f>IFERROR(IF(AC121="Check Data ⚠","Check Data ⚠",VLOOKUP(AC121,'G-4 Temporal multipliers'!$A$4:$C$37,3,FALSE)),"")</f>
        <v/>
      </c>
      <c r="AE121" s="498" t="str">
        <f>IF(N121="","",VLOOKUP(N121,'G-7 Rivers Data'!$B$4:$G$8,5,FALSE))</f>
        <v/>
      </c>
      <c r="AF121" s="507" t="str">
        <f t="shared" si="13"/>
        <v/>
      </c>
      <c r="AG121" s="540" t="str">
        <f t="shared" si="14"/>
        <v/>
      </c>
      <c r="AH121" s="499" t="str">
        <f t="shared" si="8"/>
        <v/>
      </c>
      <c r="AI121" s="145"/>
      <c r="AJ121" s="499" t="str">
        <f>IF(AI121="","",IF(VLOOKUP(AI121,'G-7 Rivers Data'!$AA$4:$AB$7,2,FALSE)=0,"Spatial Data Missing ⚠",VLOOKUP(AI121,'G-7 Rivers Data'!$AA$4:$AB$7,2,FALSE)))</f>
        <v/>
      </c>
      <c r="AK121" s="155"/>
      <c r="AL121" s="499" t="str">
        <f>IF(AK121="","",IF(VLOOKUP(AK121,'G-7 Rivers Data'!$AD$4:$AE$8,2,FALSE)=0,"Spatial Data Missing ⚠",VLOOKUP(AK121,'G-7 Rivers Data'!$AD$4:$AE$8,2,FALSE)))</f>
        <v/>
      </c>
      <c r="AM121" s="545" t="str">
        <f t="shared" si="15"/>
        <v/>
      </c>
      <c r="AN121" s="149"/>
      <c r="AO121" s="150"/>
      <c r="AV121" s="31" t="str">
        <f>IFERROR(INDEX('G-7 Rivers Data'!$AZ$3:$AZ$7,MATCH(N121,'G-7 Rivers Data'!$AY$3:$AY$7,0)),"")</f>
        <v/>
      </c>
    </row>
    <row r="122" spans="2:48" ht="14" x14ac:dyDescent="0.3">
      <c r="B122" s="531" t="str">
        <f>'C-1 Site River Baseline'!AN120</f>
        <v/>
      </c>
      <c r="C122" s="520" t="str">
        <f>IF(B122="","",VLOOKUP($B122,'C-1 Site River Baseline'!$C$9:$R$257,2,FALSE))</f>
        <v/>
      </c>
      <c r="D122" s="520" t="str">
        <f>IF(C122="","",VLOOKUP($B122,'C-1 Site River Baseline'!$C$9:$R$257,3,FALSE))</f>
        <v/>
      </c>
      <c r="E122" s="520" t="str">
        <f>IF(D122="","",VLOOKUP($B122,'C-1 Site River Baseline'!$C$9:$R$257,4,FALSE))</f>
        <v/>
      </c>
      <c r="F122" s="520" t="str">
        <f>IF(E122="","",VLOOKUP($B122,'C-1 Site River Baseline'!$C$9:$R$257,5,FALSE))</f>
        <v/>
      </c>
      <c r="G122" s="520" t="str">
        <f>IF(F122="","",VLOOKUP($B122,'C-1 Site River Baseline'!$C$9:$R$257,6,FALSE))</f>
        <v/>
      </c>
      <c r="H122" s="520" t="str">
        <f>IF(G122="","",VLOOKUP($B122,'C-1 Site River Baseline'!$C$9:$R$257,7,FALSE))</f>
        <v/>
      </c>
      <c r="I122" s="520" t="str">
        <f>IF(H122="","",VLOOKUP($B122,'C-1 Site River Baseline'!$C$9:$R$257,8,FALSE))</f>
        <v/>
      </c>
      <c r="J122" s="520" t="str">
        <f>IF(I122="","",VLOOKUP($B122,'C-1 Site River Baseline'!$C$9:$R$257,9,FALSE))</f>
        <v/>
      </c>
      <c r="K122" s="520" t="str">
        <f>IF(J122="","",VLOOKUP($B122,'C-1 Site River Baseline'!$C$9:$R$257,10,FALSE))</f>
        <v/>
      </c>
      <c r="L122" s="520" t="str">
        <f>IF(B122="","",VLOOKUP($B122,'C-1 Site River Baseline'!$C$9:$R$257,15,FALSE))</f>
        <v/>
      </c>
      <c r="M122" s="524" t="str">
        <f>IF(L122="","",VLOOKUP($B122,'C-1 Site River Baseline'!$C$9:$R$257,16,FALSE))</f>
        <v/>
      </c>
      <c r="N122" s="418" t="str">
        <f t="shared" si="9"/>
        <v/>
      </c>
      <c r="O122" s="498" t="str">
        <f t="shared" si="10"/>
        <v/>
      </c>
      <c r="P122" s="499" t="str">
        <f>IF(C122="","",IF(AND(LEFT(C122,55)&lt;&gt;LEFT(N122,55),O122="High - High"),"Error - Not like for like ▲",IF(AND(F122=S122,H122&gt;U122),"Error - Can not reduce condition ▲",IF(AND(F122=S122,H122=U122,AJ122='C-1 Site River Baseline'!N120,'C-1 Site River Baseline'!P120=AL122),"Error - No enhancement ▲",IF(AND(C122&lt;&gt;N122,F122&lt;S122),"Lower Distinctiveness Habitat"&amp;" - "&amp;T122,G122&amp;" - "&amp;T122)))))</f>
        <v/>
      </c>
      <c r="Q122" s="567" t="str">
        <f>IF(N122="","",VLOOKUP(B122,'C-1 Site River Baseline'!$C$10:$AA$257,19,FALSE))</f>
        <v/>
      </c>
      <c r="R122" s="498" t="str">
        <f>IF(N122="","",VLOOKUP(N122,'G-7 Rivers Data'!$B$2:$G$8,2,FALSE))</f>
        <v/>
      </c>
      <c r="S122" s="499" t="str">
        <f>IFERROR(VLOOKUP(R122,'G-7 Rivers Data'!$C$4:$D$8,2,FALSE),"")</f>
        <v/>
      </c>
      <c r="T122" s="145"/>
      <c r="U122" s="499" t="str">
        <f>IFERROR(INDEX('G-7 Rivers Data'!$H$4:$L$8,MATCH(N122,'G-7 Rivers Data'!$B$4:$B$8,0),MATCH(T122,'G-7 Rivers Data'!$H$3:$L$3,0)),"")</f>
        <v/>
      </c>
      <c r="V122" s="154"/>
      <c r="W122" s="507" t="str">
        <f>IF(V122="","",IF(VLOOKUP(V122,'G-7 Rivers Data'!$AG$4:$AI$9,2,FALSE)=0,"Spatial Data Missing ⚠",VLOOKUP(V122,'G-7 Rivers Data'!$AG$4:$AI$9,2,FALSE)))</f>
        <v/>
      </c>
      <c r="X122" s="499" t="str">
        <f>IF(V122="","",IF(VLOOKUP(V122,'G-7 Rivers Data'!$AG$4:$AI$9,3,FALSE)=0,"Spatial Data Missing ⚠",VLOOKUP(V122,'G-7 Rivers Data'!$AG$4:$AI$9,3,FALSE)))</f>
        <v/>
      </c>
      <c r="Y122" s="498" t="str">
        <f>IFERROR(IF(OR(LEFT(P122,5)="Error ▲",LEFT(O122,5)="Error ▲"),"Check Data ⚠",IF(F122&lt;S122,'G-7 Rivers Data'!$R$3,INDEX('G-7 Rivers Data'!$U$5:$Y$9,MATCH(G122,'G-7 Rivers Data'!$T$5:$T$9,0),MATCH(T122,'G-7 Rivers Data'!$U$4:$Y$4,0)))),"")</f>
        <v/>
      </c>
      <c r="Z122" s="195"/>
      <c r="AA122" s="195"/>
      <c r="AB122" s="507" t="str">
        <f t="shared" si="11"/>
        <v/>
      </c>
      <c r="AC122" s="521" t="str">
        <f t="shared" si="12"/>
        <v/>
      </c>
      <c r="AD122" s="564" t="str">
        <f>IFERROR(IF(AC122="Check Data ⚠","Check Data ⚠",VLOOKUP(AC122,'G-4 Temporal multipliers'!$A$4:$C$37,3,FALSE)),"")</f>
        <v/>
      </c>
      <c r="AE122" s="498" t="str">
        <f>IF(N122="","",VLOOKUP(N122,'G-7 Rivers Data'!$B$4:$G$8,5,FALSE))</f>
        <v/>
      </c>
      <c r="AF122" s="507" t="str">
        <f t="shared" si="13"/>
        <v/>
      </c>
      <c r="AG122" s="540" t="str">
        <f t="shared" si="14"/>
        <v/>
      </c>
      <c r="AH122" s="499" t="str">
        <f t="shared" si="8"/>
        <v/>
      </c>
      <c r="AI122" s="145"/>
      <c r="AJ122" s="499" t="str">
        <f>IF(AI122="","",IF(VLOOKUP(AI122,'G-7 Rivers Data'!$AA$4:$AB$7,2,FALSE)=0,"Spatial Data Missing ⚠",VLOOKUP(AI122,'G-7 Rivers Data'!$AA$4:$AB$7,2,FALSE)))</f>
        <v/>
      </c>
      <c r="AK122" s="155"/>
      <c r="AL122" s="499" t="str">
        <f>IF(AK122="","",IF(VLOOKUP(AK122,'G-7 Rivers Data'!$AD$4:$AE$8,2,FALSE)=0,"Spatial Data Missing ⚠",VLOOKUP(AK122,'G-7 Rivers Data'!$AD$4:$AE$8,2,FALSE)))</f>
        <v/>
      </c>
      <c r="AM122" s="545" t="str">
        <f t="shared" si="15"/>
        <v/>
      </c>
      <c r="AN122" s="149"/>
      <c r="AO122" s="150"/>
      <c r="AV122" s="31" t="str">
        <f>IFERROR(INDEX('G-7 Rivers Data'!$AZ$3:$AZ$7,MATCH(N122,'G-7 Rivers Data'!$AY$3:$AY$7,0)),"")</f>
        <v/>
      </c>
    </row>
    <row r="123" spans="2:48" ht="14" x14ac:dyDescent="0.3">
      <c r="B123" s="531" t="str">
        <f>'C-1 Site River Baseline'!AN121</f>
        <v/>
      </c>
      <c r="C123" s="520" t="str">
        <f>IF(B123="","",VLOOKUP($B123,'C-1 Site River Baseline'!$C$9:$R$257,2,FALSE))</f>
        <v/>
      </c>
      <c r="D123" s="520" t="str">
        <f>IF(C123="","",VLOOKUP($B123,'C-1 Site River Baseline'!$C$9:$R$257,3,FALSE))</f>
        <v/>
      </c>
      <c r="E123" s="520" t="str">
        <f>IF(D123="","",VLOOKUP($B123,'C-1 Site River Baseline'!$C$9:$R$257,4,FALSE))</f>
        <v/>
      </c>
      <c r="F123" s="520" t="str">
        <f>IF(E123="","",VLOOKUP($B123,'C-1 Site River Baseline'!$C$9:$R$257,5,FALSE))</f>
        <v/>
      </c>
      <c r="G123" s="520" t="str">
        <f>IF(F123="","",VLOOKUP($B123,'C-1 Site River Baseline'!$C$9:$R$257,6,FALSE))</f>
        <v/>
      </c>
      <c r="H123" s="520" t="str">
        <f>IF(G123="","",VLOOKUP($B123,'C-1 Site River Baseline'!$C$9:$R$257,7,FALSE))</f>
        <v/>
      </c>
      <c r="I123" s="520" t="str">
        <f>IF(H123="","",VLOOKUP($B123,'C-1 Site River Baseline'!$C$9:$R$257,8,FALSE))</f>
        <v/>
      </c>
      <c r="J123" s="520" t="str">
        <f>IF(I123="","",VLOOKUP($B123,'C-1 Site River Baseline'!$C$9:$R$257,9,FALSE))</f>
        <v/>
      </c>
      <c r="K123" s="520" t="str">
        <f>IF(J123="","",VLOOKUP($B123,'C-1 Site River Baseline'!$C$9:$R$257,10,FALSE))</f>
        <v/>
      </c>
      <c r="L123" s="520" t="str">
        <f>IF(B123="","",VLOOKUP($B123,'C-1 Site River Baseline'!$C$9:$R$257,15,FALSE))</f>
        <v/>
      </c>
      <c r="M123" s="524" t="str">
        <f>IF(L123="","",VLOOKUP($B123,'C-1 Site River Baseline'!$C$9:$R$257,16,FALSE))</f>
        <v/>
      </c>
      <c r="N123" s="418" t="str">
        <f t="shared" si="9"/>
        <v/>
      </c>
      <c r="O123" s="498" t="str">
        <f t="shared" si="10"/>
        <v/>
      </c>
      <c r="P123" s="499" t="str">
        <f>IF(C123="","",IF(AND(LEFT(C123,55)&lt;&gt;LEFT(N123,55),O123="High - High"),"Error - Not like for like ▲",IF(AND(F123=S123,H123&gt;U123),"Error - Can not reduce condition ▲",IF(AND(F123=S123,H123=U123,AJ123='C-1 Site River Baseline'!N121,'C-1 Site River Baseline'!P121=AL123),"Error - No enhancement ▲",IF(AND(C123&lt;&gt;N123,F123&lt;S123),"Lower Distinctiveness Habitat"&amp;" - "&amp;T123,G123&amp;" - "&amp;T123)))))</f>
        <v/>
      </c>
      <c r="Q123" s="567" t="str">
        <f>IF(N123="","",VLOOKUP(B123,'C-1 Site River Baseline'!$C$10:$AA$257,19,FALSE))</f>
        <v/>
      </c>
      <c r="R123" s="498" t="str">
        <f>IF(N123="","",VLOOKUP(N123,'G-7 Rivers Data'!$B$2:$G$8,2,FALSE))</f>
        <v/>
      </c>
      <c r="S123" s="499" t="str">
        <f>IFERROR(VLOOKUP(R123,'G-7 Rivers Data'!$C$4:$D$8,2,FALSE),"")</f>
        <v/>
      </c>
      <c r="T123" s="145"/>
      <c r="U123" s="499" t="str">
        <f>IFERROR(INDEX('G-7 Rivers Data'!$H$4:$L$8,MATCH(N123,'G-7 Rivers Data'!$B$4:$B$8,0),MATCH(T123,'G-7 Rivers Data'!$H$3:$L$3,0)),"")</f>
        <v/>
      </c>
      <c r="V123" s="154"/>
      <c r="W123" s="507" t="str">
        <f>IF(V123="","",IF(VLOOKUP(V123,'G-7 Rivers Data'!$AG$4:$AI$9,2,FALSE)=0,"Spatial Data Missing ⚠",VLOOKUP(V123,'G-7 Rivers Data'!$AG$4:$AI$9,2,FALSE)))</f>
        <v/>
      </c>
      <c r="X123" s="499" t="str">
        <f>IF(V123="","",IF(VLOOKUP(V123,'G-7 Rivers Data'!$AG$4:$AI$9,3,FALSE)=0,"Spatial Data Missing ⚠",VLOOKUP(V123,'G-7 Rivers Data'!$AG$4:$AI$9,3,FALSE)))</f>
        <v/>
      </c>
      <c r="Y123" s="498" t="str">
        <f>IFERROR(IF(OR(LEFT(P123,5)="Error ▲",LEFT(O123,5)="Error ▲"),"Check Data ⚠",IF(F123&lt;S123,'G-7 Rivers Data'!$R$3,INDEX('G-7 Rivers Data'!$U$5:$Y$9,MATCH(G123,'G-7 Rivers Data'!$T$5:$T$9,0),MATCH(T123,'G-7 Rivers Data'!$U$4:$Y$4,0)))),"")</f>
        <v/>
      </c>
      <c r="Z123" s="195"/>
      <c r="AA123" s="195"/>
      <c r="AB123" s="507" t="str">
        <f t="shared" si="11"/>
        <v/>
      </c>
      <c r="AC123" s="521" t="str">
        <f t="shared" si="12"/>
        <v/>
      </c>
      <c r="AD123" s="564" t="str">
        <f>IFERROR(IF(AC123="Check Data ⚠","Check Data ⚠",VLOOKUP(AC123,'G-4 Temporal multipliers'!$A$4:$C$37,3,FALSE)),"")</f>
        <v/>
      </c>
      <c r="AE123" s="498" t="str">
        <f>IF(N123="","",VLOOKUP(N123,'G-7 Rivers Data'!$B$4:$G$8,5,FALSE))</f>
        <v/>
      </c>
      <c r="AF123" s="507" t="str">
        <f t="shared" si="13"/>
        <v/>
      </c>
      <c r="AG123" s="540" t="str">
        <f t="shared" si="14"/>
        <v/>
      </c>
      <c r="AH123" s="499" t="str">
        <f t="shared" si="8"/>
        <v/>
      </c>
      <c r="AI123" s="145"/>
      <c r="AJ123" s="499" t="str">
        <f>IF(AI123="","",IF(VLOOKUP(AI123,'G-7 Rivers Data'!$AA$4:$AB$7,2,FALSE)=0,"Spatial Data Missing ⚠",VLOOKUP(AI123,'G-7 Rivers Data'!$AA$4:$AB$7,2,FALSE)))</f>
        <v/>
      </c>
      <c r="AK123" s="155"/>
      <c r="AL123" s="499" t="str">
        <f>IF(AK123="","",IF(VLOOKUP(AK123,'G-7 Rivers Data'!$AD$4:$AE$8,2,FALSE)=0,"Spatial Data Missing ⚠",VLOOKUP(AK123,'G-7 Rivers Data'!$AD$4:$AE$8,2,FALSE)))</f>
        <v/>
      </c>
      <c r="AM123" s="545" t="str">
        <f t="shared" si="15"/>
        <v/>
      </c>
      <c r="AN123" s="149"/>
      <c r="AO123" s="150"/>
      <c r="AV123" s="31" t="str">
        <f>IFERROR(INDEX('G-7 Rivers Data'!$AZ$3:$AZ$7,MATCH(N123,'G-7 Rivers Data'!$AY$3:$AY$7,0)),"")</f>
        <v/>
      </c>
    </row>
    <row r="124" spans="2:48" ht="14" x14ac:dyDescent="0.3">
      <c r="B124" s="531" t="str">
        <f>'C-1 Site River Baseline'!AN122</f>
        <v/>
      </c>
      <c r="C124" s="520" t="str">
        <f>IF(B124="","",VLOOKUP($B124,'C-1 Site River Baseline'!$C$9:$R$257,2,FALSE))</f>
        <v/>
      </c>
      <c r="D124" s="520" t="str">
        <f>IF(C124="","",VLOOKUP($B124,'C-1 Site River Baseline'!$C$9:$R$257,3,FALSE))</f>
        <v/>
      </c>
      <c r="E124" s="520" t="str">
        <f>IF(D124="","",VLOOKUP($B124,'C-1 Site River Baseline'!$C$9:$R$257,4,FALSE))</f>
        <v/>
      </c>
      <c r="F124" s="520" t="str">
        <f>IF(E124="","",VLOOKUP($B124,'C-1 Site River Baseline'!$C$9:$R$257,5,FALSE))</f>
        <v/>
      </c>
      <c r="G124" s="520" t="str">
        <f>IF(F124="","",VLOOKUP($B124,'C-1 Site River Baseline'!$C$9:$R$257,6,FALSE))</f>
        <v/>
      </c>
      <c r="H124" s="520" t="str">
        <f>IF(G124="","",VLOOKUP($B124,'C-1 Site River Baseline'!$C$9:$R$257,7,FALSE))</f>
        <v/>
      </c>
      <c r="I124" s="520" t="str">
        <f>IF(H124="","",VLOOKUP($B124,'C-1 Site River Baseline'!$C$9:$R$257,8,FALSE))</f>
        <v/>
      </c>
      <c r="J124" s="520" t="str">
        <f>IF(I124="","",VLOOKUP($B124,'C-1 Site River Baseline'!$C$9:$R$257,9,FALSE))</f>
        <v/>
      </c>
      <c r="K124" s="520" t="str">
        <f>IF(J124="","",VLOOKUP($B124,'C-1 Site River Baseline'!$C$9:$R$257,10,FALSE))</f>
        <v/>
      </c>
      <c r="L124" s="520" t="str">
        <f>IF(B124="","",VLOOKUP($B124,'C-1 Site River Baseline'!$C$9:$R$257,15,FALSE))</f>
        <v/>
      </c>
      <c r="M124" s="524" t="str">
        <f>IF(L124="","",VLOOKUP($B124,'C-1 Site River Baseline'!$C$9:$R$257,16,FALSE))</f>
        <v/>
      </c>
      <c r="N124" s="418" t="str">
        <f t="shared" si="9"/>
        <v/>
      </c>
      <c r="O124" s="498" t="str">
        <f t="shared" si="10"/>
        <v/>
      </c>
      <c r="P124" s="499" t="str">
        <f>IF(C124="","",IF(AND(LEFT(C124,55)&lt;&gt;LEFT(N124,55),O124="High - High"),"Error - Not like for like ▲",IF(AND(F124=S124,H124&gt;U124),"Error - Can not reduce condition ▲",IF(AND(F124=S124,H124=U124,AJ124='C-1 Site River Baseline'!N122,'C-1 Site River Baseline'!P122=AL124),"Error - No enhancement ▲",IF(AND(C124&lt;&gt;N124,F124&lt;S124),"Lower Distinctiveness Habitat"&amp;" - "&amp;T124,G124&amp;" - "&amp;T124)))))</f>
        <v/>
      </c>
      <c r="Q124" s="567" t="str">
        <f>IF(N124="","",VLOOKUP(B124,'C-1 Site River Baseline'!$C$10:$AA$257,19,FALSE))</f>
        <v/>
      </c>
      <c r="R124" s="498" t="str">
        <f>IF(N124="","",VLOOKUP(N124,'G-7 Rivers Data'!$B$2:$G$8,2,FALSE))</f>
        <v/>
      </c>
      <c r="S124" s="499" t="str">
        <f>IFERROR(VLOOKUP(R124,'G-7 Rivers Data'!$C$4:$D$8,2,FALSE),"")</f>
        <v/>
      </c>
      <c r="T124" s="145"/>
      <c r="U124" s="499" t="str">
        <f>IFERROR(INDEX('G-7 Rivers Data'!$H$4:$L$8,MATCH(N124,'G-7 Rivers Data'!$B$4:$B$8,0),MATCH(T124,'G-7 Rivers Data'!$H$3:$L$3,0)),"")</f>
        <v/>
      </c>
      <c r="V124" s="154"/>
      <c r="W124" s="507" t="str">
        <f>IF(V124="","",IF(VLOOKUP(V124,'G-7 Rivers Data'!$AG$4:$AI$9,2,FALSE)=0,"Spatial Data Missing ⚠",VLOOKUP(V124,'G-7 Rivers Data'!$AG$4:$AI$9,2,FALSE)))</f>
        <v/>
      </c>
      <c r="X124" s="499" t="str">
        <f>IF(V124="","",IF(VLOOKUP(V124,'G-7 Rivers Data'!$AG$4:$AI$9,3,FALSE)=0,"Spatial Data Missing ⚠",VLOOKUP(V124,'G-7 Rivers Data'!$AG$4:$AI$9,3,FALSE)))</f>
        <v/>
      </c>
      <c r="Y124" s="498" t="str">
        <f>IFERROR(IF(OR(LEFT(P124,5)="Error ▲",LEFT(O124,5)="Error ▲"),"Check Data ⚠",IF(F124&lt;S124,'G-7 Rivers Data'!$R$3,INDEX('G-7 Rivers Data'!$U$5:$Y$9,MATCH(G124,'G-7 Rivers Data'!$T$5:$T$9,0),MATCH(T124,'G-7 Rivers Data'!$U$4:$Y$4,0)))),"")</f>
        <v/>
      </c>
      <c r="Z124" s="195"/>
      <c r="AA124" s="195"/>
      <c r="AB124" s="507" t="str">
        <f t="shared" si="11"/>
        <v/>
      </c>
      <c r="AC124" s="521" t="str">
        <f t="shared" si="12"/>
        <v/>
      </c>
      <c r="AD124" s="564" t="str">
        <f>IFERROR(IF(AC124="Check Data ⚠","Check Data ⚠",VLOOKUP(AC124,'G-4 Temporal multipliers'!$A$4:$C$37,3,FALSE)),"")</f>
        <v/>
      </c>
      <c r="AE124" s="498" t="str">
        <f>IF(N124="","",VLOOKUP(N124,'G-7 Rivers Data'!$B$4:$G$8,5,FALSE))</f>
        <v/>
      </c>
      <c r="AF124" s="507" t="str">
        <f t="shared" si="13"/>
        <v/>
      </c>
      <c r="AG124" s="540" t="str">
        <f t="shared" si="14"/>
        <v/>
      </c>
      <c r="AH124" s="499" t="str">
        <f t="shared" si="8"/>
        <v/>
      </c>
      <c r="AI124" s="145"/>
      <c r="AJ124" s="499" t="str">
        <f>IF(AI124="","",IF(VLOOKUP(AI124,'G-7 Rivers Data'!$AA$4:$AB$7,2,FALSE)=0,"Spatial Data Missing ⚠",VLOOKUP(AI124,'G-7 Rivers Data'!$AA$4:$AB$7,2,FALSE)))</f>
        <v/>
      </c>
      <c r="AK124" s="155"/>
      <c r="AL124" s="499" t="str">
        <f>IF(AK124="","",IF(VLOOKUP(AK124,'G-7 Rivers Data'!$AD$4:$AE$8,2,FALSE)=0,"Spatial Data Missing ⚠",VLOOKUP(AK124,'G-7 Rivers Data'!$AD$4:$AE$8,2,FALSE)))</f>
        <v/>
      </c>
      <c r="AM124" s="545" t="str">
        <f t="shared" si="15"/>
        <v/>
      </c>
      <c r="AN124" s="149"/>
      <c r="AO124" s="150"/>
      <c r="AV124" s="31" t="str">
        <f>IFERROR(INDEX('G-7 Rivers Data'!$AZ$3:$AZ$7,MATCH(N124,'G-7 Rivers Data'!$AY$3:$AY$7,0)),"")</f>
        <v/>
      </c>
    </row>
    <row r="125" spans="2:48" ht="14" x14ac:dyDescent="0.3">
      <c r="B125" s="531" t="str">
        <f>'C-1 Site River Baseline'!AN123</f>
        <v/>
      </c>
      <c r="C125" s="520" t="str">
        <f>IF(B125="","",VLOOKUP($B125,'C-1 Site River Baseline'!$C$9:$R$257,2,FALSE))</f>
        <v/>
      </c>
      <c r="D125" s="520" t="str">
        <f>IF(C125="","",VLOOKUP($B125,'C-1 Site River Baseline'!$C$9:$R$257,3,FALSE))</f>
        <v/>
      </c>
      <c r="E125" s="520" t="str">
        <f>IF(D125="","",VLOOKUP($B125,'C-1 Site River Baseline'!$C$9:$R$257,4,FALSE))</f>
        <v/>
      </c>
      <c r="F125" s="520" t="str">
        <f>IF(E125="","",VLOOKUP($B125,'C-1 Site River Baseline'!$C$9:$R$257,5,FALSE))</f>
        <v/>
      </c>
      <c r="G125" s="520" t="str">
        <f>IF(F125="","",VLOOKUP($B125,'C-1 Site River Baseline'!$C$9:$R$257,6,FALSE))</f>
        <v/>
      </c>
      <c r="H125" s="520" t="str">
        <f>IF(G125="","",VLOOKUP($B125,'C-1 Site River Baseline'!$C$9:$R$257,7,FALSE))</f>
        <v/>
      </c>
      <c r="I125" s="520" t="str">
        <f>IF(H125="","",VLOOKUP($B125,'C-1 Site River Baseline'!$C$9:$R$257,8,FALSE))</f>
        <v/>
      </c>
      <c r="J125" s="520" t="str">
        <f>IF(I125="","",VLOOKUP($B125,'C-1 Site River Baseline'!$C$9:$R$257,9,FALSE))</f>
        <v/>
      </c>
      <c r="K125" s="520" t="str">
        <f>IF(J125="","",VLOOKUP($B125,'C-1 Site River Baseline'!$C$9:$R$257,10,FALSE))</f>
        <v/>
      </c>
      <c r="L125" s="520" t="str">
        <f>IF(B125="","",VLOOKUP($B125,'C-1 Site River Baseline'!$C$9:$R$257,15,FALSE))</f>
        <v/>
      </c>
      <c r="M125" s="524" t="str">
        <f>IF(L125="","",VLOOKUP($B125,'C-1 Site River Baseline'!$C$9:$R$257,16,FALSE))</f>
        <v/>
      </c>
      <c r="N125" s="418" t="str">
        <f t="shared" si="9"/>
        <v/>
      </c>
      <c r="O125" s="498" t="str">
        <f t="shared" si="10"/>
        <v/>
      </c>
      <c r="P125" s="499" t="str">
        <f>IF(C125="","",IF(AND(LEFT(C125,55)&lt;&gt;LEFT(N125,55),O125="High - High"),"Error - Not like for like ▲",IF(AND(F125=S125,H125&gt;U125),"Error - Can not reduce condition ▲",IF(AND(F125=S125,H125=U125,AJ125='C-1 Site River Baseline'!N123,'C-1 Site River Baseline'!P123=AL125),"Error - No enhancement ▲",IF(AND(C125&lt;&gt;N125,F125&lt;S125),"Lower Distinctiveness Habitat"&amp;" - "&amp;T125,G125&amp;" - "&amp;T125)))))</f>
        <v/>
      </c>
      <c r="Q125" s="567" t="str">
        <f>IF(N125="","",VLOOKUP(B125,'C-1 Site River Baseline'!$C$10:$AA$257,19,FALSE))</f>
        <v/>
      </c>
      <c r="R125" s="498" t="str">
        <f>IF(N125="","",VLOOKUP(N125,'G-7 Rivers Data'!$B$2:$G$8,2,FALSE))</f>
        <v/>
      </c>
      <c r="S125" s="499" t="str">
        <f>IFERROR(VLOOKUP(R125,'G-7 Rivers Data'!$C$4:$D$8,2,FALSE),"")</f>
        <v/>
      </c>
      <c r="T125" s="145"/>
      <c r="U125" s="499" t="str">
        <f>IFERROR(INDEX('G-7 Rivers Data'!$H$4:$L$8,MATCH(N125,'G-7 Rivers Data'!$B$4:$B$8,0),MATCH(T125,'G-7 Rivers Data'!$H$3:$L$3,0)),"")</f>
        <v/>
      </c>
      <c r="V125" s="154"/>
      <c r="W125" s="507" t="str">
        <f>IF(V125="","",IF(VLOOKUP(V125,'G-7 Rivers Data'!$AG$4:$AI$9,2,FALSE)=0,"Spatial Data Missing ⚠",VLOOKUP(V125,'G-7 Rivers Data'!$AG$4:$AI$9,2,FALSE)))</f>
        <v/>
      </c>
      <c r="X125" s="499" t="str">
        <f>IF(V125="","",IF(VLOOKUP(V125,'G-7 Rivers Data'!$AG$4:$AI$9,3,FALSE)=0,"Spatial Data Missing ⚠",VLOOKUP(V125,'G-7 Rivers Data'!$AG$4:$AI$9,3,FALSE)))</f>
        <v/>
      </c>
      <c r="Y125" s="498" t="str">
        <f>IFERROR(IF(OR(LEFT(P125,5)="Error ▲",LEFT(O125,5)="Error ▲"),"Check Data ⚠",IF(F125&lt;S125,'G-7 Rivers Data'!$R$3,INDEX('G-7 Rivers Data'!$U$5:$Y$9,MATCH(G125,'G-7 Rivers Data'!$T$5:$T$9,0),MATCH(T125,'G-7 Rivers Data'!$U$4:$Y$4,0)))),"")</f>
        <v/>
      </c>
      <c r="Z125" s="195"/>
      <c r="AA125" s="195"/>
      <c r="AB125" s="507" t="str">
        <f t="shared" si="11"/>
        <v/>
      </c>
      <c r="AC125" s="521" t="str">
        <f t="shared" si="12"/>
        <v/>
      </c>
      <c r="AD125" s="564" t="str">
        <f>IFERROR(IF(AC125="Check Data ⚠","Check Data ⚠",VLOOKUP(AC125,'G-4 Temporal multipliers'!$A$4:$C$37,3,FALSE)),"")</f>
        <v/>
      </c>
      <c r="AE125" s="498" t="str">
        <f>IF(N125="","",VLOOKUP(N125,'G-7 Rivers Data'!$B$4:$G$8,5,FALSE))</f>
        <v/>
      </c>
      <c r="AF125" s="507" t="str">
        <f t="shared" si="13"/>
        <v/>
      </c>
      <c r="AG125" s="540" t="str">
        <f t="shared" si="14"/>
        <v/>
      </c>
      <c r="AH125" s="499" t="str">
        <f t="shared" si="8"/>
        <v/>
      </c>
      <c r="AI125" s="145"/>
      <c r="AJ125" s="499" t="str">
        <f>IF(AI125="","",IF(VLOOKUP(AI125,'G-7 Rivers Data'!$AA$4:$AB$7,2,FALSE)=0,"Spatial Data Missing ⚠",VLOOKUP(AI125,'G-7 Rivers Data'!$AA$4:$AB$7,2,FALSE)))</f>
        <v/>
      </c>
      <c r="AK125" s="155"/>
      <c r="AL125" s="499" t="str">
        <f>IF(AK125="","",IF(VLOOKUP(AK125,'G-7 Rivers Data'!$AD$4:$AE$8,2,FALSE)=0,"Spatial Data Missing ⚠",VLOOKUP(AK125,'G-7 Rivers Data'!$AD$4:$AE$8,2,FALSE)))</f>
        <v/>
      </c>
      <c r="AM125" s="545" t="str">
        <f t="shared" si="15"/>
        <v/>
      </c>
      <c r="AN125" s="149"/>
      <c r="AO125" s="150"/>
      <c r="AV125" s="31" t="str">
        <f>IFERROR(INDEX('G-7 Rivers Data'!$AZ$3:$AZ$7,MATCH(N125,'G-7 Rivers Data'!$AY$3:$AY$7,0)),"")</f>
        <v/>
      </c>
    </row>
    <row r="126" spans="2:48" ht="14" x14ac:dyDescent="0.3">
      <c r="B126" s="531" t="str">
        <f>'C-1 Site River Baseline'!AN124</f>
        <v/>
      </c>
      <c r="C126" s="520" t="str">
        <f>IF(B126="","",VLOOKUP($B126,'C-1 Site River Baseline'!$C$9:$R$257,2,FALSE))</f>
        <v/>
      </c>
      <c r="D126" s="520" t="str">
        <f>IF(C126="","",VLOOKUP($B126,'C-1 Site River Baseline'!$C$9:$R$257,3,FALSE))</f>
        <v/>
      </c>
      <c r="E126" s="520" t="str">
        <f>IF(D126="","",VLOOKUP($B126,'C-1 Site River Baseline'!$C$9:$R$257,4,FALSE))</f>
        <v/>
      </c>
      <c r="F126" s="520" t="str">
        <f>IF(E126="","",VLOOKUP($B126,'C-1 Site River Baseline'!$C$9:$R$257,5,FALSE))</f>
        <v/>
      </c>
      <c r="G126" s="520" t="str">
        <f>IF(F126="","",VLOOKUP($B126,'C-1 Site River Baseline'!$C$9:$R$257,6,FALSE))</f>
        <v/>
      </c>
      <c r="H126" s="520" t="str">
        <f>IF(G126="","",VLOOKUP($B126,'C-1 Site River Baseline'!$C$9:$R$257,7,FALSE))</f>
        <v/>
      </c>
      <c r="I126" s="520" t="str">
        <f>IF(H126="","",VLOOKUP($B126,'C-1 Site River Baseline'!$C$9:$R$257,8,FALSE))</f>
        <v/>
      </c>
      <c r="J126" s="520" t="str">
        <f>IF(I126="","",VLOOKUP($B126,'C-1 Site River Baseline'!$C$9:$R$257,9,FALSE))</f>
        <v/>
      </c>
      <c r="K126" s="520" t="str">
        <f>IF(J126="","",VLOOKUP($B126,'C-1 Site River Baseline'!$C$9:$R$257,10,FALSE))</f>
        <v/>
      </c>
      <c r="L126" s="520" t="str">
        <f>IF(B126="","",VLOOKUP($B126,'C-1 Site River Baseline'!$C$9:$R$257,15,FALSE))</f>
        <v/>
      </c>
      <c r="M126" s="524" t="str">
        <f>IF(L126="","",VLOOKUP($B126,'C-1 Site River Baseline'!$C$9:$R$257,16,FALSE))</f>
        <v/>
      </c>
      <c r="N126" s="418" t="str">
        <f t="shared" si="9"/>
        <v/>
      </c>
      <c r="O126" s="498" t="str">
        <f t="shared" si="10"/>
        <v/>
      </c>
      <c r="P126" s="499" t="str">
        <f>IF(C126="","",IF(AND(LEFT(C126,55)&lt;&gt;LEFT(N126,55),O126="High - High"),"Error - Not like for like ▲",IF(AND(F126=S126,H126&gt;U126),"Error - Can not reduce condition ▲",IF(AND(F126=S126,H126=U126,AJ126='C-1 Site River Baseline'!N124,'C-1 Site River Baseline'!P124=AL126),"Error - No enhancement ▲",IF(AND(C126&lt;&gt;N126,F126&lt;S126),"Lower Distinctiveness Habitat"&amp;" - "&amp;T126,G126&amp;" - "&amp;T126)))))</f>
        <v/>
      </c>
      <c r="Q126" s="567" t="str">
        <f>IF(N126="","",VLOOKUP(B126,'C-1 Site River Baseline'!$C$10:$AA$257,19,FALSE))</f>
        <v/>
      </c>
      <c r="R126" s="498" t="str">
        <f>IF(N126="","",VLOOKUP(N126,'G-7 Rivers Data'!$B$2:$G$8,2,FALSE))</f>
        <v/>
      </c>
      <c r="S126" s="499" t="str">
        <f>IFERROR(VLOOKUP(R126,'G-7 Rivers Data'!$C$4:$D$8,2,FALSE),"")</f>
        <v/>
      </c>
      <c r="T126" s="145"/>
      <c r="U126" s="499" t="str">
        <f>IFERROR(INDEX('G-7 Rivers Data'!$H$4:$L$8,MATCH(N126,'G-7 Rivers Data'!$B$4:$B$8,0),MATCH(T126,'G-7 Rivers Data'!$H$3:$L$3,0)),"")</f>
        <v/>
      </c>
      <c r="V126" s="154"/>
      <c r="W126" s="507" t="str">
        <f>IF(V126="","",IF(VLOOKUP(V126,'G-7 Rivers Data'!$AG$4:$AI$9,2,FALSE)=0,"Spatial Data Missing ⚠",VLOOKUP(V126,'G-7 Rivers Data'!$AG$4:$AI$9,2,FALSE)))</f>
        <v/>
      </c>
      <c r="X126" s="499" t="str">
        <f>IF(V126="","",IF(VLOOKUP(V126,'G-7 Rivers Data'!$AG$4:$AI$9,3,FALSE)=0,"Spatial Data Missing ⚠",VLOOKUP(V126,'G-7 Rivers Data'!$AG$4:$AI$9,3,FALSE)))</f>
        <v/>
      </c>
      <c r="Y126" s="498" t="str">
        <f>IFERROR(IF(OR(LEFT(P126,5)="Error ▲",LEFT(O126,5)="Error ▲"),"Check Data ⚠",IF(F126&lt;S126,'G-7 Rivers Data'!$R$3,INDEX('G-7 Rivers Data'!$U$5:$Y$9,MATCH(G126,'G-7 Rivers Data'!$T$5:$T$9,0),MATCH(T126,'G-7 Rivers Data'!$U$4:$Y$4,0)))),"")</f>
        <v/>
      </c>
      <c r="Z126" s="195"/>
      <c r="AA126" s="195"/>
      <c r="AB126" s="507" t="str">
        <f t="shared" si="11"/>
        <v/>
      </c>
      <c r="AC126" s="521" t="str">
        <f t="shared" si="12"/>
        <v/>
      </c>
      <c r="AD126" s="564" t="str">
        <f>IFERROR(IF(AC126="Check Data ⚠","Check Data ⚠",VLOOKUP(AC126,'G-4 Temporal multipliers'!$A$4:$C$37,3,FALSE)),"")</f>
        <v/>
      </c>
      <c r="AE126" s="498" t="str">
        <f>IF(N126="","",VLOOKUP(N126,'G-7 Rivers Data'!$B$4:$G$8,5,FALSE))</f>
        <v/>
      </c>
      <c r="AF126" s="507" t="str">
        <f t="shared" si="13"/>
        <v/>
      </c>
      <c r="AG126" s="540" t="str">
        <f t="shared" si="14"/>
        <v/>
      </c>
      <c r="AH126" s="499" t="str">
        <f t="shared" si="8"/>
        <v/>
      </c>
      <c r="AI126" s="145"/>
      <c r="AJ126" s="499" t="str">
        <f>IF(AI126="","",IF(VLOOKUP(AI126,'G-7 Rivers Data'!$AA$4:$AB$7,2,FALSE)=0,"Spatial Data Missing ⚠",VLOOKUP(AI126,'G-7 Rivers Data'!$AA$4:$AB$7,2,FALSE)))</f>
        <v/>
      </c>
      <c r="AK126" s="155"/>
      <c r="AL126" s="499" t="str">
        <f>IF(AK126="","",IF(VLOOKUP(AK126,'G-7 Rivers Data'!$AD$4:$AE$8,2,FALSE)=0,"Spatial Data Missing ⚠",VLOOKUP(AK126,'G-7 Rivers Data'!$AD$4:$AE$8,2,FALSE)))</f>
        <v/>
      </c>
      <c r="AM126" s="545" t="str">
        <f t="shared" si="15"/>
        <v/>
      </c>
      <c r="AN126" s="149"/>
      <c r="AO126" s="150"/>
      <c r="AV126" s="31" t="str">
        <f>IFERROR(INDEX('G-7 Rivers Data'!$AZ$3:$AZ$7,MATCH(N126,'G-7 Rivers Data'!$AY$3:$AY$7,0)),"")</f>
        <v/>
      </c>
    </row>
    <row r="127" spans="2:48" ht="14" x14ac:dyDescent="0.3">
      <c r="B127" s="531" t="str">
        <f>'C-1 Site River Baseline'!AN125</f>
        <v/>
      </c>
      <c r="C127" s="520" t="str">
        <f>IF(B127="","",VLOOKUP($B127,'C-1 Site River Baseline'!$C$9:$R$257,2,FALSE))</f>
        <v/>
      </c>
      <c r="D127" s="520" t="str">
        <f>IF(C127="","",VLOOKUP($B127,'C-1 Site River Baseline'!$C$9:$R$257,3,FALSE))</f>
        <v/>
      </c>
      <c r="E127" s="520" t="str">
        <f>IF(D127="","",VLOOKUP($B127,'C-1 Site River Baseline'!$C$9:$R$257,4,FALSE))</f>
        <v/>
      </c>
      <c r="F127" s="520" t="str">
        <f>IF(E127="","",VLOOKUP($B127,'C-1 Site River Baseline'!$C$9:$R$257,5,FALSE))</f>
        <v/>
      </c>
      <c r="G127" s="520" t="str">
        <f>IF(F127="","",VLOOKUP($B127,'C-1 Site River Baseline'!$C$9:$R$257,6,FALSE))</f>
        <v/>
      </c>
      <c r="H127" s="520" t="str">
        <f>IF(G127="","",VLOOKUP($B127,'C-1 Site River Baseline'!$C$9:$R$257,7,FALSE))</f>
        <v/>
      </c>
      <c r="I127" s="520" t="str">
        <f>IF(H127="","",VLOOKUP($B127,'C-1 Site River Baseline'!$C$9:$R$257,8,FALSE))</f>
        <v/>
      </c>
      <c r="J127" s="520" t="str">
        <f>IF(I127="","",VLOOKUP($B127,'C-1 Site River Baseline'!$C$9:$R$257,9,FALSE))</f>
        <v/>
      </c>
      <c r="K127" s="520" t="str">
        <f>IF(J127="","",VLOOKUP($B127,'C-1 Site River Baseline'!$C$9:$R$257,10,FALSE))</f>
        <v/>
      </c>
      <c r="L127" s="520" t="str">
        <f>IF(B127="","",VLOOKUP($B127,'C-1 Site River Baseline'!$C$9:$R$257,15,FALSE))</f>
        <v/>
      </c>
      <c r="M127" s="524" t="str">
        <f>IF(L127="","",VLOOKUP($B127,'C-1 Site River Baseline'!$C$9:$R$257,16,FALSE))</f>
        <v/>
      </c>
      <c r="N127" s="418" t="str">
        <f t="shared" si="9"/>
        <v/>
      </c>
      <c r="O127" s="498" t="str">
        <f t="shared" si="10"/>
        <v/>
      </c>
      <c r="P127" s="499" t="str">
        <f>IF(C127="","",IF(AND(LEFT(C127,55)&lt;&gt;LEFT(N127,55),O127="High - High"),"Error - Not like for like ▲",IF(AND(F127=S127,H127&gt;U127),"Error - Can not reduce condition ▲",IF(AND(F127=S127,H127=U127,AJ127='C-1 Site River Baseline'!N125,'C-1 Site River Baseline'!P125=AL127),"Error - No enhancement ▲",IF(AND(C127&lt;&gt;N127,F127&lt;S127),"Lower Distinctiveness Habitat"&amp;" - "&amp;T127,G127&amp;" - "&amp;T127)))))</f>
        <v/>
      </c>
      <c r="Q127" s="567" t="str">
        <f>IF(N127="","",VLOOKUP(B127,'C-1 Site River Baseline'!$C$10:$AA$257,19,FALSE))</f>
        <v/>
      </c>
      <c r="R127" s="498" t="str">
        <f>IF(N127="","",VLOOKUP(N127,'G-7 Rivers Data'!$B$2:$G$8,2,FALSE))</f>
        <v/>
      </c>
      <c r="S127" s="499" t="str">
        <f>IFERROR(VLOOKUP(R127,'G-7 Rivers Data'!$C$4:$D$8,2,FALSE),"")</f>
        <v/>
      </c>
      <c r="T127" s="145"/>
      <c r="U127" s="499" t="str">
        <f>IFERROR(INDEX('G-7 Rivers Data'!$H$4:$L$8,MATCH(N127,'G-7 Rivers Data'!$B$4:$B$8,0),MATCH(T127,'G-7 Rivers Data'!$H$3:$L$3,0)),"")</f>
        <v/>
      </c>
      <c r="V127" s="154"/>
      <c r="W127" s="507" t="str">
        <f>IF(V127="","",IF(VLOOKUP(V127,'G-7 Rivers Data'!$AG$4:$AI$9,2,FALSE)=0,"Spatial Data Missing ⚠",VLOOKUP(V127,'G-7 Rivers Data'!$AG$4:$AI$9,2,FALSE)))</f>
        <v/>
      </c>
      <c r="X127" s="499" t="str">
        <f>IF(V127="","",IF(VLOOKUP(V127,'G-7 Rivers Data'!$AG$4:$AI$9,3,FALSE)=0,"Spatial Data Missing ⚠",VLOOKUP(V127,'G-7 Rivers Data'!$AG$4:$AI$9,3,FALSE)))</f>
        <v/>
      </c>
      <c r="Y127" s="498" t="str">
        <f>IFERROR(IF(OR(LEFT(P127,5)="Error ▲",LEFT(O127,5)="Error ▲"),"Check Data ⚠",IF(F127&lt;S127,'G-7 Rivers Data'!$R$3,INDEX('G-7 Rivers Data'!$U$5:$Y$9,MATCH(G127,'G-7 Rivers Data'!$T$5:$T$9,0),MATCH(T127,'G-7 Rivers Data'!$U$4:$Y$4,0)))),"")</f>
        <v/>
      </c>
      <c r="Z127" s="195"/>
      <c r="AA127" s="195"/>
      <c r="AB127" s="507" t="str">
        <f t="shared" si="11"/>
        <v/>
      </c>
      <c r="AC127" s="521" t="str">
        <f t="shared" si="12"/>
        <v/>
      </c>
      <c r="AD127" s="564" t="str">
        <f>IFERROR(IF(AC127="Check Data ⚠","Check Data ⚠",VLOOKUP(AC127,'G-4 Temporal multipliers'!$A$4:$C$37,3,FALSE)),"")</f>
        <v/>
      </c>
      <c r="AE127" s="498" t="str">
        <f>IF(N127="","",VLOOKUP(N127,'G-7 Rivers Data'!$B$4:$G$8,5,FALSE))</f>
        <v/>
      </c>
      <c r="AF127" s="507" t="str">
        <f t="shared" si="13"/>
        <v/>
      </c>
      <c r="AG127" s="540" t="str">
        <f t="shared" si="14"/>
        <v/>
      </c>
      <c r="AH127" s="499" t="str">
        <f t="shared" si="8"/>
        <v/>
      </c>
      <c r="AI127" s="145"/>
      <c r="AJ127" s="499" t="str">
        <f>IF(AI127="","",IF(VLOOKUP(AI127,'G-7 Rivers Data'!$AA$4:$AB$7,2,FALSE)=0,"Spatial Data Missing ⚠",VLOOKUP(AI127,'G-7 Rivers Data'!$AA$4:$AB$7,2,FALSE)))</f>
        <v/>
      </c>
      <c r="AK127" s="155"/>
      <c r="AL127" s="499" t="str">
        <f>IF(AK127="","",IF(VLOOKUP(AK127,'G-7 Rivers Data'!$AD$4:$AE$8,2,FALSE)=0,"Spatial Data Missing ⚠",VLOOKUP(AK127,'G-7 Rivers Data'!$AD$4:$AE$8,2,FALSE)))</f>
        <v/>
      </c>
      <c r="AM127" s="545" t="str">
        <f t="shared" si="15"/>
        <v/>
      </c>
      <c r="AN127" s="149"/>
      <c r="AO127" s="150"/>
      <c r="AV127" s="31" t="str">
        <f>IFERROR(INDEX('G-7 Rivers Data'!$AZ$3:$AZ$7,MATCH(N127,'G-7 Rivers Data'!$AY$3:$AY$7,0)),"")</f>
        <v/>
      </c>
    </row>
    <row r="128" spans="2:48" ht="14" x14ac:dyDescent="0.3">
      <c r="B128" s="531" t="str">
        <f>'C-1 Site River Baseline'!AN126</f>
        <v/>
      </c>
      <c r="C128" s="520" t="str">
        <f>IF(B128="","",VLOOKUP($B128,'C-1 Site River Baseline'!$C$9:$R$257,2,FALSE))</f>
        <v/>
      </c>
      <c r="D128" s="520" t="str">
        <f>IF(C128="","",VLOOKUP($B128,'C-1 Site River Baseline'!$C$9:$R$257,3,FALSE))</f>
        <v/>
      </c>
      <c r="E128" s="520" t="str">
        <f>IF(D128="","",VLOOKUP($B128,'C-1 Site River Baseline'!$C$9:$R$257,4,FALSE))</f>
        <v/>
      </c>
      <c r="F128" s="520" t="str">
        <f>IF(E128="","",VLOOKUP($B128,'C-1 Site River Baseline'!$C$9:$R$257,5,FALSE))</f>
        <v/>
      </c>
      <c r="G128" s="520" t="str">
        <f>IF(F128="","",VLOOKUP($B128,'C-1 Site River Baseline'!$C$9:$R$257,6,FALSE))</f>
        <v/>
      </c>
      <c r="H128" s="520" t="str">
        <f>IF(G128="","",VLOOKUP($B128,'C-1 Site River Baseline'!$C$9:$R$257,7,FALSE))</f>
        <v/>
      </c>
      <c r="I128" s="520" t="str">
        <f>IF(H128="","",VLOOKUP($B128,'C-1 Site River Baseline'!$C$9:$R$257,8,FALSE))</f>
        <v/>
      </c>
      <c r="J128" s="520" t="str">
        <f>IF(I128="","",VLOOKUP($B128,'C-1 Site River Baseline'!$C$9:$R$257,9,FALSE))</f>
        <v/>
      </c>
      <c r="K128" s="520" t="str">
        <f>IF(J128="","",VLOOKUP($B128,'C-1 Site River Baseline'!$C$9:$R$257,10,FALSE))</f>
        <v/>
      </c>
      <c r="L128" s="520" t="str">
        <f>IF(B128="","",VLOOKUP($B128,'C-1 Site River Baseline'!$C$9:$R$257,15,FALSE))</f>
        <v/>
      </c>
      <c r="M128" s="524" t="str">
        <f>IF(L128="","",VLOOKUP($B128,'C-1 Site River Baseline'!$C$9:$R$257,16,FALSE))</f>
        <v/>
      </c>
      <c r="N128" s="418" t="str">
        <f t="shared" si="9"/>
        <v/>
      </c>
      <c r="O128" s="498" t="str">
        <f t="shared" si="10"/>
        <v/>
      </c>
      <c r="P128" s="499" t="str">
        <f>IF(C128="","",IF(AND(LEFT(C128,55)&lt;&gt;LEFT(N128,55),O128="High - High"),"Error - Not like for like ▲",IF(AND(F128=S128,H128&gt;U128),"Error - Can not reduce condition ▲",IF(AND(F128=S128,H128=U128,AJ128='C-1 Site River Baseline'!N126,'C-1 Site River Baseline'!P126=AL128),"Error - No enhancement ▲",IF(AND(C128&lt;&gt;N128,F128&lt;S128),"Lower Distinctiveness Habitat"&amp;" - "&amp;T128,G128&amp;" - "&amp;T128)))))</f>
        <v/>
      </c>
      <c r="Q128" s="567" t="str">
        <f>IF(N128="","",VLOOKUP(B128,'C-1 Site River Baseline'!$C$10:$AA$257,19,FALSE))</f>
        <v/>
      </c>
      <c r="R128" s="498" t="str">
        <f>IF(N128="","",VLOOKUP(N128,'G-7 Rivers Data'!$B$2:$G$8,2,FALSE))</f>
        <v/>
      </c>
      <c r="S128" s="499" t="str">
        <f>IFERROR(VLOOKUP(R128,'G-7 Rivers Data'!$C$4:$D$8,2,FALSE),"")</f>
        <v/>
      </c>
      <c r="T128" s="145"/>
      <c r="U128" s="499" t="str">
        <f>IFERROR(INDEX('G-7 Rivers Data'!$H$4:$L$8,MATCH(N128,'G-7 Rivers Data'!$B$4:$B$8,0),MATCH(T128,'G-7 Rivers Data'!$H$3:$L$3,0)),"")</f>
        <v/>
      </c>
      <c r="V128" s="154"/>
      <c r="W128" s="507" t="str">
        <f>IF(V128="","",IF(VLOOKUP(V128,'G-7 Rivers Data'!$AG$4:$AI$9,2,FALSE)=0,"Spatial Data Missing ⚠",VLOOKUP(V128,'G-7 Rivers Data'!$AG$4:$AI$9,2,FALSE)))</f>
        <v/>
      </c>
      <c r="X128" s="499" t="str">
        <f>IF(V128="","",IF(VLOOKUP(V128,'G-7 Rivers Data'!$AG$4:$AI$9,3,FALSE)=0,"Spatial Data Missing ⚠",VLOOKUP(V128,'G-7 Rivers Data'!$AG$4:$AI$9,3,FALSE)))</f>
        <v/>
      </c>
      <c r="Y128" s="498" t="str">
        <f>IFERROR(IF(OR(LEFT(P128,5)="Error ▲",LEFT(O128,5)="Error ▲"),"Check Data ⚠",IF(F128&lt;S128,'G-7 Rivers Data'!$R$3,INDEX('G-7 Rivers Data'!$U$5:$Y$9,MATCH(G128,'G-7 Rivers Data'!$T$5:$T$9,0),MATCH(T128,'G-7 Rivers Data'!$U$4:$Y$4,0)))),"")</f>
        <v/>
      </c>
      <c r="Z128" s="195"/>
      <c r="AA128" s="195"/>
      <c r="AB128" s="507" t="str">
        <f t="shared" si="11"/>
        <v/>
      </c>
      <c r="AC128" s="521" t="str">
        <f t="shared" si="12"/>
        <v/>
      </c>
      <c r="AD128" s="564" t="str">
        <f>IFERROR(IF(AC128="Check Data ⚠","Check Data ⚠",VLOOKUP(AC128,'G-4 Temporal multipliers'!$A$4:$C$37,3,FALSE)),"")</f>
        <v/>
      </c>
      <c r="AE128" s="498" t="str">
        <f>IF(N128="","",VLOOKUP(N128,'G-7 Rivers Data'!$B$4:$G$8,5,FALSE))</f>
        <v/>
      </c>
      <c r="AF128" s="507" t="str">
        <f t="shared" si="13"/>
        <v/>
      </c>
      <c r="AG128" s="540" t="str">
        <f t="shared" si="14"/>
        <v/>
      </c>
      <c r="AH128" s="499" t="str">
        <f t="shared" si="8"/>
        <v/>
      </c>
      <c r="AI128" s="145"/>
      <c r="AJ128" s="499" t="str">
        <f>IF(AI128="","",IF(VLOOKUP(AI128,'G-7 Rivers Data'!$AA$4:$AB$7,2,FALSE)=0,"Spatial Data Missing ⚠",VLOOKUP(AI128,'G-7 Rivers Data'!$AA$4:$AB$7,2,FALSE)))</f>
        <v/>
      </c>
      <c r="AK128" s="155"/>
      <c r="AL128" s="499" t="str">
        <f>IF(AK128="","",IF(VLOOKUP(AK128,'G-7 Rivers Data'!$AD$4:$AE$8,2,FALSE)=0,"Spatial Data Missing ⚠",VLOOKUP(AK128,'G-7 Rivers Data'!$AD$4:$AE$8,2,FALSE)))</f>
        <v/>
      </c>
      <c r="AM128" s="545" t="str">
        <f t="shared" si="15"/>
        <v/>
      </c>
      <c r="AN128" s="149"/>
      <c r="AO128" s="150"/>
      <c r="AV128" s="31" t="str">
        <f>IFERROR(INDEX('G-7 Rivers Data'!$AZ$3:$AZ$7,MATCH(N128,'G-7 Rivers Data'!$AY$3:$AY$7,0)),"")</f>
        <v/>
      </c>
    </row>
    <row r="129" spans="2:48" ht="14" x14ac:dyDescent="0.3">
      <c r="B129" s="531" t="str">
        <f>'C-1 Site River Baseline'!AN127</f>
        <v/>
      </c>
      <c r="C129" s="520" t="str">
        <f>IF(B129="","",VLOOKUP($B129,'C-1 Site River Baseline'!$C$9:$R$257,2,FALSE))</f>
        <v/>
      </c>
      <c r="D129" s="520" t="str">
        <f>IF(C129="","",VLOOKUP($B129,'C-1 Site River Baseline'!$C$9:$R$257,3,FALSE))</f>
        <v/>
      </c>
      <c r="E129" s="520" t="str">
        <f>IF(D129="","",VLOOKUP($B129,'C-1 Site River Baseline'!$C$9:$R$257,4,FALSE))</f>
        <v/>
      </c>
      <c r="F129" s="520" t="str">
        <f>IF(E129="","",VLOOKUP($B129,'C-1 Site River Baseline'!$C$9:$R$257,5,FALSE))</f>
        <v/>
      </c>
      <c r="G129" s="520" t="str">
        <f>IF(F129="","",VLOOKUP($B129,'C-1 Site River Baseline'!$C$9:$R$257,6,FALSE))</f>
        <v/>
      </c>
      <c r="H129" s="520" t="str">
        <f>IF(G129="","",VLOOKUP($B129,'C-1 Site River Baseline'!$C$9:$R$257,7,FALSE))</f>
        <v/>
      </c>
      <c r="I129" s="520" t="str">
        <f>IF(H129="","",VLOOKUP($B129,'C-1 Site River Baseline'!$C$9:$R$257,8,FALSE))</f>
        <v/>
      </c>
      <c r="J129" s="520" t="str">
        <f>IF(I129="","",VLOOKUP($B129,'C-1 Site River Baseline'!$C$9:$R$257,9,FALSE))</f>
        <v/>
      </c>
      <c r="K129" s="520" t="str">
        <f>IF(J129="","",VLOOKUP($B129,'C-1 Site River Baseline'!$C$9:$R$257,10,FALSE))</f>
        <v/>
      </c>
      <c r="L129" s="520" t="str">
        <f>IF(B129="","",VLOOKUP($B129,'C-1 Site River Baseline'!$C$9:$R$257,15,FALSE))</f>
        <v/>
      </c>
      <c r="M129" s="524" t="str">
        <f>IF(L129="","",VLOOKUP($B129,'C-1 Site River Baseline'!$C$9:$R$257,16,FALSE))</f>
        <v/>
      </c>
      <c r="N129" s="418" t="str">
        <f t="shared" si="9"/>
        <v/>
      </c>
      <c r="O129" s="498" t="str">
        <f t="shared" si="10"/>
        <v/>
      </c>
      <c r="P129" s="499" t="str">
        <f>IF(C129="","",IF(AND(LEFT(C129,55)&lt;&gt;LEFT(N129,55),O129="High - High"),"Error - Not like for like ▲",IF(AND(F129=S129,H129&gt;U129),"Error - Can not reduce condition ▲",IF(AND(F129=S129,H129=U129,AJ129='C-1 Site River Baseline'!N127,'C-1 Site River Baseline'!P127=AL129),"Error - No enhancement ▲",IF(AND(C129&lt;&gt;N129,F129&lt;S129),"Lower Distinctiveness Habitat"&amp;" - "&amp;T129,G129&amp;" - "&amp;T129)))))</f>
        <v/>
      </c>
      <c r="Q129" s="567" t="str">
        <f>IF(N129="","",VLOOKUP(B129,'C-1 Site River Baseline'!$C$10:$AA$257,19,FALSE))</f>
        <v/>
      </c>
      <c r="R129" s="498" t="str">
        <f>IF(N129="","",VLOOKUP(N129,'G-7 Rivers Data'!$B$2:$G$8,2,FALSE))</f>
        <v/>
      </c>
      <c r="S129" s="499" t="str">
        <f>IFERROR(VLOOKUP(R129,'G-7 Rivers Data'!$C$4:$D$8,2,FALSE),"")</f>
        <v/>
      </c>
      <c r="T129" s="145"/>
      <c r="U129" s="499" t="str">
        <f>IFERROR(INDEX('G-7 Rivers Data'!$H$4:$L$8,MATCH(N129,'G-7 Rivers Data'!$B$4:$B$8,0),MATCH(T129,'G-7 Rivers Data'!$H$3:$L$3,0)),"")</f>
        <v/>
      </c>
      <c r="V129" s="154"/>
      <c r="W129" s="507" t="str">
        <f>IF(V129="","",IF(VLOOKUP(V129,'G-7 Rivers Data'!$AG$4:$AI$9,2,FALSE)=0,"Spatial Data Missing ⚠",VLOOKUP(V129,'G-7 Rivers Data'!$AG$4:$AI$9,2,FALSE)))</f>
        <v/>
      </c>
      <c r="X129" s="499" t="str">
        <f>IF(V129="","",IF(VLOOKUP(V129,'G-7 Rivers Data'!$AG$4:$AI$9,3,FALSE)=0,"Spatial Data Missing ⚠",VLOOKUP(V129,'G-7 Rivers Data'!$AG$4:$AI$9,3,FALSE)))</f>
        <v/>
      </c>
      <c r="Y129" s="498" t="str">
        <f>IFERROR(IF(OR(LEFT(P129,5)="Error ▲",LEFT(O129,5)="Error ▲"),"Check Data ⚠",IF(F129&lt;S129,'G-7 Rivers Data'!$R$3,INDEX('G-7 Rivers Data'!$U$5:$Y$9,MATCH(G129,'G-7 Rivers Data'!$T$5:$T$9,0),MATCH(T129,'G-7 Rivers Data'!$U$4:$Y$4,0)))),"")</f>
        <v/>
      </c>
      <c r="Z129" s="195"/>
      <c r="AA129" s="195"/>
      <c r="AB129" s="507" t="str">
        <f t="shared" si="11"/>
        <v/>
      </c>
      <c r="AC129" s="521" t="str">
        <f t="shared" si="12"/>
        <v/>
      </c>
      <c r="AD129" s="564" t="str">
        <f>IFERROR(IF(AC129="Check Data ⚠","Check Data ⚠",VLOOKUP(AC129,'G-4 Temporal multipliers'!$A$4:$C$37,3,FALSE)),"")</f>
        <v/>
      </c>
      <c r="AE129" s="498" t="str">
        <f>IF(N129="","",VLOOKUP(N129,'G-7 Rivers Data'!$B$4:$G$8,5,FALSE))</f>
        <v/>
      </c>
      <c r="AF129" s="507" t="str">
        <f t="shared" si="13"/>
        <v/>
      </c>
      <c r="AG129" s="540" t="str">
        <f t="shared" si="14"/>
        <v/>
      </c>
      <c r="AH129" s="499" t="str">
        <f t="shared" si="8"/>
        <v/>
      </c>
      <c r="AI129" s="145"/>
      <c r="AJ129" s="499" t="str">
        <f>IF(AI129="","",IF(VLOOKUP(AI129,'G-7 Rivers Data'!$AA$4:$AB$7,2,FALSE)=0,"Spatial Data Missing ⚠",VLOOKUP(AI129,'G-7 Rivers Data'!$AA$4:$AB$7,2,FALSE)))</f>
        <v/>
      </c>
      <c r="AK129" s="155"/>
      <c r="AL129" s="499" t="str">
        <f>IF(AK129="","",IF(VLOOKUP(AK129,'G-7 Rivers Data'!$AD$4:$AE$8,2,FALSE)=0,"Spatial Data Missing ⚠",VLOOKUP(AK129,'G-7 Rivers Data'!$AD$4:$AE$8,2,FALSE)))</f>
        <v/>
      </c>
      <c r="AM129" s="545" t="str">
        <f t="shared" si="15"/>
        <v/>
      </c>
      <c r="AN129" s="149"/>
      <c r="AO129" s="150"/>
      <c r="AV129" s="31" t="str">
        <f>IFERROR(INDEX('G-7 Rivers Data'!$AZ$3:$AZ$7,MATCH(N129,'G-7 Rivers Data'!$AY$3:$AY$7,0)),"")</f>
        <v/>
      </c>
    </row>
    <row r="130" spans="2:48" ht="14" x14ac:dyDescent="0.3">
      <c r="B130" s="531" t="str">
        <f>'C-1 Site River Baseline'!AN128</f>
        <v/>
      </c>
      <c r="C130" s="520" t="str">
        <f>IF(B130="","",VLOOKUP($B130,'C-1 Site River Baseline'!$C$9:$R$257,2,FALSE))</f>
        <v/>
      </c>
      <c r="D130" s="520" t="str">
        <f>IF(C130="","",VLOOKUP($B130,'C-1 Site River Baseline'!$C$9:$R$257,3,FALSE))</f>
        <v/>
      </c>
      <c r="E130" s="520" t="str">
        <f>IF(D130="","",VLOOKUP($B130,'C-1 Site River Baseline'!$C$9:$R$257,4,FALSE))</f>
        <v/>
      </c>
      <c r="F130" s="520" t="str">
        <f>IF(E130="","",VLOOKUP($B130,'C-1 Site River Baseline'!$C$9:$R$257,5,FALSE))</f>
        <v/>
      </c>
      <c r="G130" s="520" t="str">
        <f>IF(F130="","",VLOOKUP($B130,'C-1 Site River Baseline'!$C$9:$R$257,6,FALSE))</f>
        <v/>
      </c>
      <c r="H130" s="520" t="str">
        <f>IF(G130="","",VLOOKUP($B130,'C-1 Site River Baseline'!$C$9:$R$257,7,FALSE))</f>
        <v/>
      </c>
      <c r="I130" s="520" t="str">
        <f>IF(H130="","",VLOOKUP($B130,'C-1 Site River Baseline'!$C$9:$R$257,8,FALSE))</f>
        <v/>
      </c>
      <c r="J130" s="520" t="str">
        <f>IF(I130="","",VLOOKUP($B130,'C-1 Site River Baseline'!$C$9:$R$257,9,FALSE))</f>
        <v/>
      </c>
      <c r="K130" s="520" t="str">
        <f>IF(J130="","",VLOOKUP($B130,'C-1 Site River Baseline'!$C$9:$R$257,10,FALSE))</f>
        <v/>
      </c>
      <c r="L130" s="520" t="str">
        <f>IF(B130="","",VLOOKUP($B130,'C-1 Site River Baseline'!$C$9:$R$257,15,FALSE))</f>
        <v/>
      </c>
      <c r="M130" s="524" t="str">
        <f>IF(L130="","",VLOOKUP($B130,'C-1 Site River Baseline'!$C$9:$R$257,16,FALSE))</f>
        <v/>
      </c>
      <c r="N130" s="418" t="str">
        <f t="shared" si="9"/>
        <v/>
      </c>
      <c r="O130" s="498" t="str">
        <f t="shared" si="10"/>
        <v/>
      </c>
      <c r="P130" s="499" t="str">
        <f>IF(C130="","",IF(AND(LEFT(C130,55)&lt;&gt;LEFT(N130,55),O130="High - High"),"Error - Not like for like ▲",IF(AND(F130=S130,H130&gt;U130),"Error - Can not reduce condition ▲",IF(AND(F130=S130,H130=U130,AJ130='C-1 Site River Baseline'!N128,'C-1 Site River Baseline'!P128=AL130),"Error - No enhancement ▲",IF(AND(C130&lt;&gt;N130,F130&lt;S130),"Lower Distinctiveness Habitat"&amp;" - "&amp;T130,G130&amp;" - "&amp;T130)))))</f>
        <v/>
      </c>
      <c r="Q130" s="567" t="str">
        <f>IF(N130="","",VLOOKUP(B130,'C-1 Site River Baseline'!$C$10:$AA$257,19,FALSE))</f>
        <v/>
      </c>
      <c r="R130" s="498" t="str">
        <f>IF(N130="","",VLOOKUP(N130,'G-7 Rivers Data'!$B$2:$G$8,2,FALSE))</f>
        <v/>
      </c>
      <c r="S130" s="499" t="str">
        <f>IFERROR(VLOOKUP(R130,'G-7 Rivers Data'!$C$4:$D$8,2,FALSE),"")</f>
        <v/>
      </c>
      <c r="T130" s="145"/>
      <c r="U130" s="499" t="str">
        <f>IFERROR(INDEX('G-7 Rivers Data'!$H$4:$L$8,MATCH(N130,'G-7 Rivers Data'!$B$4:$B$8,0),MATCH(T130,'G-7 Rivers Data'!$H$3:$L$3,0)),"")</f>
        <v/>
      </c>
      <c r="V130" s="154"/>
      <c r="W130" s="507" t="str">
        <f>IF(V130="","",IF(VLOOKUP(V130,'G-7 Rivers Data'!$AG$4:$AI$9,2,FALSE)=0,"Spatial Data Missing ⚠",VLOOKUP(V130,'G-7 Rivers Data'!$AG$4:$AI$9,2,FALSE)))</f>
        <v/>
      </c>
      <c r="X130" s="499" t="str">
        <f>IF(V130="","",IF(VLOOKUP(V130,'G-7 Rivers Data'!$AG$4:$AI$9,3,FALSE)=0,"Spatial Data Missing ⚠",VLOOKUP(V130,'G-7 Rivers Data'!$AG$4:$AI$9,3,FALSE)))</f>
        <v/>
      </c>
      <c r="Y130" s="498" t="str">
        <f>IFERROR(IF(OR(LEFT(P130,5)="Error ▲",LEFT(O130,5)="Error ▲"),"Check Data ⚠",IF(F130&lt;S130,'G-7 Rivers Data'!$R$3,INDEX('G-7 Rivers Data'!$U$5:$Y$9,MATCH(G130,'G-7 Rivers Data'!$T$5:$T$9,0),MATCH(T130,'G-7 Rivers Data'!$U$4:$Y$4,0)))),"")</f>
        <v/>
      </c>
      <c r="Z130" s="195"/>
      <c r="AA130" s="195"/>
      <c r="AB130" s="507" t="str">
        <f t="shared" si="11"/>
        <v/>
      </c>
      <c r="AC130" s="521" t="str">
        <f t="shared" si="12"/>
        <v/>
      </c>
      <c r="AD130" s="564" t="str">
        <f>IFERROR(IF(AC130="Check Data ⚠","Check Data ⚠",VLOOKUP(AC130,'G-4 Temporal multipliers'!$A$4:$C$37,3,FALSE)),"")</f>
        <v/>
      </c>
      <c r="AE130" s="498" t="str">
        <f>IF(N130="","",VLOOKUP(N130,'G-7 Rivers Data'!$B$4:$G$8,5,FALSE))</f>
        <v/>
      </c>
      <c r="AF130" s="507" t="str">
        <f t="shared" si="13"/>
        <v/>
      </c>
      <c r="AG130" s="540" t="str">
        <f t="shared" si="14"/>
        <v/>
      </c>
      <c r="AH130" s="499" t="str">
        <f t="shared" si="8"/>
        <v/>
      </c>
      <c r="AI130" s="145"/>
      <c r="AJ130" s="499" t="str">
        <f>IF(AI130="","",IF(VLOOKUP(AI130,'G-7 Rivers Data'!$AA$4:$AB$7,2,FALSE)=0,"Spatial Data Missing ⚠",VLOOKUP(AI130,'G-7 Rivers Data'!$AA$4:$AB$7,2,FALSE)))</f>
        <v/>
      </c>
      <c r="AK130" s="155"/>
      <c r="AL130" s="499" t="str">
        <f>IF(AK130="","",IF(VLOOKUP(AK130,'G-7 Rivers Data'!$AD$4:$AE$8,2,FALSE)=0,"Spatial Data Missing ⚠",VLOOKUP(AK130,'G-7 Rivers Data'!$AD$4:$AE$8,2,FALSE)))</f>
        <v/>
      </c>
      <c r="AM130" s="545" t="str">
        <f t="shared" si="15"/>
        <v/>
      </c>
      <c r="AN130" s="149"/>
      <c r="AO130" s="150"/>
      <c r="AV130" s="31" t="str">
        <f>IFERROR(INDEX('G-7 Rivers Data'!$AZ$3:$AZ$7,MATCH(N130,'G-7 Rivers Data'!$AY$3:$AY$7,0)),"")</f>
        <v/>
      </c>
    </row>
    <row r="131" spans="2:48" ht="14" x14ac:dyDescent="0.3">
      <c r="B131" s="531" t="str">
        <f>'C-1 Site River Baseline'!AN129</f>
        <v/>
      </c>
      <c r="C131" s="520" t="str">
        <f>IF(B131="","",VLOOKUP($B131,'C-1 Site River Baseline'!$C$9:$R$257,2,FALSE))</f>
        <v/>
      </c>
      <c r="D131" s="520" t="str">
        <f>IF(C131="","",VLOOKUP($B131,'C-1 Site River Baseline'!$C$9:$R$257,3,FALSE))</f>
        <v/>
      </c>
      <c r="E131" s="520" t="str">
        <f>IF(D131="","",VLOOKUP($B131,'C-1 Site River Baseline'!$C$9:$R$257,4,FALSE))</f>
        <v/>
      </c>
      <c r="F131" s="520" t="str">
        <f>IF(E131="","",VLOOKUP($B131,'C-1 Site River Baseline'!$C$9:$R$257,5,FALSE))</f>
        <v/>
      </c>
      <c r="G131" s="520" t="str">
        <f>IF(F131="","",VLOOKUP($B131,'C-1 Site River Baseline'!$C$9:$R$257,6,FALSE))</f>
        <v/>
      </c>
      <c r="H131" s="520" t="str">
        <f>IF(G131="","",VLOOKUP($B131,'C-1 Site River Baseline'!$C$9:$R$257,7,FALSE))</f>
        <v/>
      </c>
      <c r="I131" s="520" t="str">
        <f>IF(H131="","",VLOOKUP($B131,'C-1 Site River Baseline'!$C$9:$R$257,8,FALSE))</f>
        <v/>
      </c>
      <c r="J131" s="520" t="str">
        <f>IF(I131="","",VLOOKUP($B131,'C-1 Site River Baseline'!$C$9:$R$257,9,FALSE))</f>
        <v/>
      </c>
      <c r="K131" s="520" t="str">
        <f>IF(J131="","",VLOOKUP($B131,'C-1 Site River Baseline'!$C$9:$R$257,10,FALSE))</f>
        <v/>
      </c>
      <c r="L131" s="520" t="str">
        <f>IF(B131="","",VLOOKUP($B131,'C-1 Site River Baseline'!$C$9:$R$257,15,FALSE))</f>
        <v/>
      </c>
      <c r="M131" s="524" t="str">
        <f>IF(L131="","",VLOOKUP($B131,'C-1 Site River Baseline'!$C$9:$R$257,16,FALSE))</f>
        <v/>
      </c>
      <c r="N131" s="418" t="str">
        <f t="shared" si="9"/>
        <v/>
      </c>
      <c r="O131" s="498" t="str">
        <f t="shared" si="10"/>
        <v/>
      </c>
      <c r="P131" s="499" t="str">
        <f>IF(C131="","",IF(AND(LEFT(C131,55)&lt;&gt;LEFT(N131,55),O131="High - High"),"Error - Not like for like ▲",IF(AND(F131=S131,H131&gt;U131),"Error - Can not reduce condition ▲",IF(AND(F131=S131,H131=U131,AJ131='C-1 Site River Baseline'!N129,'C-1 Site River Baseline'!P129=AL131),"Error - No enhancement ▲",IF(AND(C131&lt;&gt;N131,F131&lt;S131),"Lower Distinctiveness Habitat"&amp;" - "&amp;T131,G131&amp;" - "&amp;T131)))))</f>
        <v/>
      </c>
      <c r="Q131" s="567" t="str">
        <f>IF(N131="","",VLOOKUP(B131,'C-1 Site River Baseline'!$C$10:$AA$257,19,FALSE))</f>
        <v/>
      </c>
      <c r="R131" s="498" t="str">
        <f>IF(N131="","",VLOOKUP(N131,'G-7 Rivers Data'!$B$2:$G$8,2,FALSE))</f>
        <v/>
      </c>
      <c r="S131" s="499" t="str">
        <f>IFERROR(VLOOKUP(R131,'G-7 Rivers Data'!$C$4:$D$8,2,FALSE),"")</f>
        <v/>
      </c>
      <c r="T131" s="145"/>
      <c r="U131" s="499" t="str">
        <f>IFERROR(INDEX('G-7 Rivers Data'!$H$4:$L$8,MATCH(N131,'G-7 Rivers Data'!$B$4:$B$8,0),MATCH(T131,'G-7 Rivers Data'!$H$3:$L$3,0)),"")</f>
        <v/>
      </c>
      <c r="V131" s="154"/>
      <c r="W131" s="507" t="str">
        <f>IF(V131="","",IF(VLOOKUP(V131,'G-7 Rivers Data'!$AG$4:$AI$9,2,FALSE)=0,"Spatial Data Missing ⚠",VLOOKUP(V131,'G-7 Rivers Data'!$AG$4:$AI$9,2,FALSE)))</f>
        <v/>
      </c>
      <c r="X131" s="499" t="str">
        <f>IF(V131="","",IF(VLOOKUP(V131,'G-7 Rivers Data'!$AG$4:$AI$9,3,FALSE)=0,"Spatial Data Missing ⚠",VLOOKUP(V131,'G-7 Rivers Data'!$AG$4:$AI$9,3,FALSE)))</f>
        <v/>
      </c>
      <c r="Y131" s="498" t="str">
        <f>IFERROR(IF(OR(LEFT(P131,5)="Error ▲",LEFT(O131,5)="Error ▲"),"Check Data ⚠",IF(F131&lt;S131,'G-7 Rivers Data'!$R$3,INDEX('G-7 Rivers Data'!$U$5:$Y$9,MATCH(G131,'G-7 Rivers Data'!$T$5:$T$9,0),MATCH(T131,'G-7 Rivers Data'!$U$4:$Y$4,0)))),"")</f>
        <v/>
      </c>
      <c r="Z131" s="195"/>
      <c r="AA131" s="195"/>
      <c r="AB131" s="507" t="str">
        <f t="shared" si="11"/>
        <v/>
      </c>
      <c r="AC131" s="521" t="str">
        <f t="shared" si="12"/>
        <v/>
      </c>
      <c r="AD131" s="564" t="str">
        <f>IFERROR(IF(AC131="Check Data ⚠","Check Data ⚠",VLOOKUP(AC131,'G-4 Temporal multipliers'!$A$4:$C$37,3,FALSE)),"")</f>
        <v/>
      </c>
      <c r="AE131" s="498" t="str">
        <f>IF(N131="","",VLOOKUP(N131,'G-7 Rivers Data'!$B$4:$G$8,5,FALSE))</f>
        <v/>
      </c>
      <c r="AF131" s="507" t="str">
        <f t="shared" si="13"/>
        <v/>
      </c>
      <c r="AG131" s="540" t="str">
        <f t="shared" si="14"/>
        <v/>
      </c>
      <c r="AH131" s="499" t="str">
        <f t="shared" si="8"/>
        <v/>
      </c>
      <c r="AI131" s="145"/>
      <c r="AJ131" s="499" t="str">
        <f>IF(AI131="","",IF(VLOOKUP(AI131,'G-7 Rivers Data'!$AA$4:$AB$7,2,FALSE)=0,"Spatial Data Missing ⚠",VLOOKUP(AI131,'G-7 Rivers Data'!$AA$4:$AB$7,2,FALSE)))</f>
        <v/>
      </c>
      <c r="AK131" s="155"/>
      <c r="AL131" s="499" t="str">
        <f>IF(AK131="","",IF(VLOOKUP(AK131,'G-7 Rivers Data'!$AD$4:$AE$8,2,FALSE)=0,"Spatial Data Missing ⚠",VLOOKUP(AK131,'G-7 Rivers Data'!$AD$4:$AE$8,2,FALSE)))</f>
        <v/>
      </c>
      <c r="AM131" s="545" t="str">
        <f t="shared" si="15"/>
        <v/>
      </c>
      <c r="AN131" s="149"/>
      <c r="AO131" s="150"/>
      <c r="AV131" s="31" t="str">
        <f>IFERROR(INDEX('G-7 Rivers Data'!$AZ$3:$AZ$7,MATCH(N131,'G-7 Rivers Data'!$AY$3:$AY$7,0)),"")</f>
        <v/>
      </c>
    </row>
    <row r="132" spans="2:48" ht="14" x14ac:dyDescent="0.3">
      <c r="B132" s="531" t="str">
        <f>'C-1 Site River Baseline'!AN130</f>
        <v/>
      </c>
      <c r="C132" s="520" t="str">
        <f>IF(B132="","",VLOOKUP($B132,'C-1 Site River Baseline'!$C$9:$R$257,2,FALSE))</f>
        <v/>
      </c>
      <c r="D132" s="520" t="str">
        <f>IF(C132="","",VLOOKUP($B132,'C-1 Site River Baseline'!$C$9:$R$257,3,FALSE))</f>
        <v/>
      </c>
      <c r="E132" s="520" t="str">
        <f>IF(D132="","",VLOOKUP($B132,'C-1 Site River Baseline'!$C$9:$R$257,4,FALSE))</f>
        <v/>
      </c>
      <c r="F132" s="520" t="str">
        <f>IF(E132="","",VLOOKUP($B132,'C-1 Site River Baseline'!$C$9:$R$257,5,FALSE))</f>
        <v/>
      </c>
      <c r="G132" s="520" t="str">
        <f>IF(F132="","",VLOOKUP($B132,'C-1 Site River Baseline'!$C$9:$R$257,6,FALSE))</f>
        <v/>
      </c>
      <c r="H132" s="520" t="str">
        <f>IF(G132="","",VLOOKUP($B132,'C-1 Site River Baseline'!$C$9:$R$257,7,FALSE))</f>
        <v/>
      </c>
      <c r="I132" s="520" t="str">
        <f>IF(H132="","",VLOOKUP($B132,'C-1 Site River Baseline'!$C$9:$R$257,8,FALSE))</f>
        <v/>
      </c>
      <c r="J132" s="520" t="str">
        <f>IF(I132="","",VLOOKUP($B132,'C-1 Site River Baseline'!$C$9:$R$257,9,FALSE))</f>
        <v/>
      </c>
      <c r="K132" s="520" t="str">
        <f>IF(J132="","",VLOOKUP($B132,'C-1 Site River Baseline'!$C$9:$R$257,10,FALSE))</f>
        <v/>
      </c>
      <c r="L132" s="520" t="str">
        <f>IF(B132="","",VLOOKUP($B132,'C-1 Site River Baseline'!$C$9:$R$257,15,FALSE))</f>
        <v/>
      </c>
      <c r="M132" s="524" t="str">
        <f>IF(L132="","",VLOOKUP($B132,'C-1 Site River Baseline'!$C$9:$R$257,16,FALSE))</f>
        <v/>
      </c>
      <c r="N132" s="418" t="str">
        <f t="shared" si="9"/>
        <v/>
      </c>
      <c r="O132" s="498" t="str">
        <f t="shared" si="10"/>
        <v/>
      </c>
      <c r="P132" s="499" t="str">
        <f>IF(C132="","",IF(AND(LEFT(C132,55)&lt;&gt;LEFT(N132,55),O132="High - High"),"Error - Not like for like ▲",IF(AND(F132=S132,H132&gt;U132),"Error - Can not reduce condition ▲",IF(AND(F132=S132,H132=U132,AJ132='C-1 Site River Baseline'!N130,'C-1 Site River Baseline'!P130=AL132),"Error - No enhancement ▲",IF(AND(C132&lt;&gt;N132,F132&lt;S132),"Lower Distinctiveness Habitat"&amp;" - "&amp;T132,G132&amp;" - "&amp;T132)))))</f>
        <v/>
      </c>
      <c r="Q132" s="567" t="str">
        <f>IF(N132="","",VLOOKUP(B132,'C-1 Site River Baseline'!$C$10:$AA$257,19,FALSE))</f>
        <v/>
      </c>
      <c r="R132" s="498" t="str">
        <f>IF(N132="","",VLOOKUP(N132,'G-7 Rivers Data'!$B$2:$G$8,2,FALSE))</f>
        <v/>
      </c>
      <c r="S132" s="499" t="str">
        <f>IFERROR(VLOOKUP(R132,'G-7 Rivers Data'!$C$4:$D$8,2,FALSE),"")</f>
        <v/>
      </c>
      <c r="T132" s="145"/>
      <c r="U132" s="499" t="str">
        <f>IFERROR(INDEX('G-7 Rivers Data'!$H$4:$L$8,MATCH(N132,'G-7 Rivers Data'!$B$4:$B$8,0),MATCH(T132,'G-7 Rivers Data'!$H$3:$L$3,0)),"")</f>
        <v/>
      </c>
      <c r="V132" s="154"/>
      <c r="W132" s="507" t="str">
        <f>IF(V132="","",IF(VLOOKUP(V132,'G-7 Rivers Data'!$AG$4:$AI$9,2,FALSE)=0,"Spatial Data Missing ⚠",VLOOKUP(V132,'G-7 Rivers Data'!$AG$4:$AI$9,2,FALSE)))</f>
        <v/>
      </c>
      <c r="X132" s="499" t="str">
        <f>IF(V132="","",IF(VLOOKUP(V132,'G-7 Rivers Data'!$AG$4:$AI$9,3,FALSE)=0,"Spatial Data Missing ⚠",VLOOKUP(V132,'G-7 Rivers Data'!$AG$4:$AI$9,3,FALSE)))</f>
        <v/>
      </c>
      <c r="Y132" s="498" t="str">
        <f>IFERROR(IF(OR(LEFT(P132,5)="Error ▲",LEFT(O132,5)="Error ▲"),"Check Data ⚠",IF(F132&lt;S132,'G-7 Rivers Data'!$R$3,INDEX('G-7 Rivers Data'!$U$5:$Y$9,MATCH(G132,'G-7 Rivers Data'!$T$5:$T$9,0),MATCH(T132,'G-7 Rivers Data'!$U$4:$Y$4,0)))),"")</f>
        <v/>
      </c>
      <c r="Z132" s="195"/>
      <c r="AA132" s="195"/>
      <c r="AB132" s="507" t="str">
        <f t="shared" si="11"/>
        <v/>
      </c>
      <c r="AC132" s="521" t="str">
        <f t="shared" si="12"/>
        <v/>
      </c>
      <c r="AD132" s="564" t="str">
        <f>IFERROR(IF(AC132="Check Data ⚠","Check Data ⚠",VLOOKUP(AC132,'G-4 Temporal multipliers'!$A$4:$C$37,3,FALSE)),"")</f>
        <v/>
      </c>
      <c r="AE132" s="498" t="str">
        <f>IF(N132="","",VLOOKUP(N132,'G-7 Rivers Data'!$B$4:$G$8,5,FALSE))</f>
        <v/>
      </c>
      <c r="AF132" s="507" t="str">
        <f t="shared" si="13"/>
        <v/>
      </c>
      <c r="AG132" s="540" t="str">
        <f t="shared" si="14"/>
        <v/>
      </c>
      <c r="AH132" s="499" t="str">
        <f t="shared" si="8"/>
        <v/>
      </c>
      <c r="AI132" s="145"/>
      <c r="AJ132" s="499" t="str">
        <f>IF(AI132="","",IF(VLOOKUP(AI132,'G-7 Rivers Data'!$AA$4:$AB$7,2,FALSE)=0,"Spatial Data Missing ⚠",VLOOKUP(AI132,'G-7 Rivers Data'!$AA$4:$AB$7,2,FALSE)))</f>
        <v/>
      </c>
      <c r="AK132" s="155"/>
      <c r="AL132" s="499" t="str">
        <f>IF(AK132="","",IF(VLOOKUP(AK132,'G-7 Rivers Data'!$AD$4:$AE$8,2,FALSE)=0,"Spatial Data Missing ⚠",VLOOKUP(AK132,'G-7 Rivers Data'!$AD$4:$AE$8,2,FALSE)))</f>
        <v/>
      </c>
      <c r="AM132" s="545" t="str">
        <f t="shared" si="15"/>
        <v/>
      </c>
      <c r="AN132" s="149"/>
      <c r="AO132" s="150"/>
      <c r="AV132" s="31" t="str">
        <f>IFERROR(INDEX('G-7 Rivers Data'!$AZ$3:$AZ$7,MATCH(N132,'G-7 Rivers Data'!$AY$3:$AY$7,0)),"")</f>
        <v/>
      </c>
    </row>
    <row r="133" spans="2:48" ht="14" x14ac:dyDescent="0.3">
      <c r="B133" s="531" t="str">
        <f>'C-1 Site River Baseline'!AN131</f>
        <v/>
      </c>
      <c r="C133" s="520" t="str">
        <f>IF(B133="","",VLOOKUP($B133,'C-1 Site River Baseline'!$C$9:$R$257,2,FALSE))</f>
        <v/>
      </c>
      <c r="D133" s="520" t="str">
        <f>IF(C133="","",VLOOKUP($B133,'C-1 Site River Baseline'!$C$9:$R$257,3,FALSE))</f>
        <v/>
      </c>
      <c r="E133" s="520" t="str">
        <f>IF(D133="","",VLOOKUP($B133,'C-1 Site River Baseline'!$C$9:$R$257,4,FALSE))</f>
        <v/>
      </c>
      <c r="F133" s="520" t="str">
        <f>IF(E133="","",VLOOKUP($B133,'C-1 Site River Baseline'!$C$9:$R$257,5,FALSE))</f>
        <v/>
      </c>
      <c r="G133" s="520" t="str">
        <f>IF(F133="","",VLOOKUP($B133,'C-1 Site River Baseline'!$C$9:$R$257,6,FALSE))</f>
        <v/>
      </c>
      <c r="H133" s="520" t="str">
        <f>IF(G133="","",VLOOKUP($B133,'C-1 Site River Baseline'!$C$9:$R$257,7,FALSE))</f>
        <v/>
      </c>
      <c r="I133" s="520" t="str">
        <f>IF(H133="","",VLOOKUP($B133,'C-1 Site River Baseline'!$C$9:$R$257,8,FALSE))</f>
        <v/>
      </c>
      <c r="J133" s="520" t="str">
        <f>IF(I133="","",VLOOKUP($B133,'C-1 Site River Baseline'!$C$9:$R$257,9,FALSE))</f>
        <v/>
      </c>
      <c r="K133" s="520" t="str">
        <f>IF(J133="","",VLOOKUP($B133,'C-1 Site River Baseline'!$C$9:$R$257,10,FALSE))</f>
        <v/>
      </c>
      <c r="L133" s="520" t="str">
        <f>IF(B133="","",VLOOKUP($B133,'C-1 Site River Baseline'!$C$9:$R$257,15,FALSE))</f>
        <v/>
      </c>
      <c r="M133" s="524" t="str">
        <f>IF(L133="","",VLOOKUP($B133,'C-1 Site River Baseline'!$C$9:$R$257,16,FALSE))</f>
        <v/>
      </c>
      <c r="N133" s="418" t="str">
        <f t="shared" si="9"/>
        <v/>
      </c>
      <c r="O133" s="498" t="str">
        <f t="shared" si="10"/>
        <v/>
      </c>
      <c r="P133" s="499" t="str">
        <f>IF(C133="","",IF(AND(LEFT(C133,55)&lt;&gt;LEFT(N133,55),O133="High - High"),"Error - Not like for like ▲",IF(AND(F133=S133,H133&gt;U133),"Error - Can not reduce condition ▲",IF(AND(F133=S133,H133=U133,AJ133='C-1 Site River Baseline'!N131,'C-1 Site River Baseline'!P131=AL133),"Error - No enhancement ▲",IF(AND(C133&lt;&gt;N133,F133&lt;S133),"Lower Distinctiveness Habitat"&amp;" - "&amp;T133,G133&amp;" - "&amp;T133)))))</f>
        <v/>
      </c>
      <c r="Q133" s="567" t="str">
        <f>IF(N133="","",VLOOKUP(B133,'C-1 Site River Baseline'!$C$10:$AA$257,19,FALSE))</f>
        <v/>
      </c>
      <c r="R133" s="498" t="str">
        <f>IF(N133="","",VLOOKUP(N133,'G-7 Rivers Data'!$B$2:$G$8,2,FALSE))</f>
        <v/>
      </c>
      <c r="S133" s="499" t="str">
        <f>IFERROR(VLOOKUP(R133,'G-7 Rivers Data'!$C$4:$D$8,2,FALSE),"")</f>
        <v/>
      </c>
      <c r="T133" s="145"/>
      <c r="U133" s="499" t="str">
        <f>IFERROR(INDEX('G-7 Rivers Data'!$H$4:$L$8,MATCH(N133,'G-7 Rivers Data'!$B$4:$B$8,0),MATCH(T133,'G-7 Rivers Data'!$H$3:$L$3,0)),"")</f>
        <v/>
      </c>
      <c r="V133" s="154"/>
      <c r="W133" s="507" t="str">
        <f>IF(V133="","",IF(VLOOKUP(V133,'G-7 Rivers Data'!$AG$4:$AI$9,2,FALSE)=0,"Spatial Data Missing ⚠",VLOOKUP(V133,'G-7 Rivers Data'!$AG$4:$AI$9,2,FALSE)))</f>
        <v/>
      </c>
      <c r="X133" s="499" t="str">
        <f>IF(V133="","",IF(VLOOKUP(V133,'G-7 Rivers Data'!$AG$4:$AI$9,3,FALSE)=0,"Spatial Data Missing ⚠",VLOOKUP(V133,'G-7 Rivers Data'!$AG$4:$AI$9,3,FALSE)))</f>
        <v/>
      </c>
      <c r="Y133" s="498" t="str">
        <f>IFERROR(IF(OR(LEFT(P133,5)="Error ▲",LEFT(O133,5)="Error ▲"),"Check Data ⚠",IF(F133&lt;S133,'G-7 Rivers Data'!$R$3,INDEX('G-7 Rivers Data'!$U$5:$Y$9,MATCH(G133,'G-7 Rivers Data'!$T$5:$T$9,0),MATCH(T133,'G-7 Rivers Data'!$U$4:$Y$4,0)))),"")</f>
        <v/>
      </c>
      <c r="Z133" s="195"/>
      <c r="AA133" s="195"/>
      <c r="AB133" s="507" t="str">
        <f t="shared" si="11"/>
        <v/>
      </c>
      <c r="AC133" s="521" t="str">
        <f t="shared" si="12"/>
        <v/>
      </c>
      <c r="AD133" s="564" t="str">
        <f>IFERROR(IF(AC133="Check Data ⚠","Check Data ⚠",VLOOKUP(AC133,'G-4 Temporal multipliers'!$A$4:$C$37,3,FALSE)),"")</f>
        <v/>
      </c>
      <c r="AE133" s="498" t="str">
        <f>IF(N133="","",VLOOKUP(N133,'G-7 Rivers Data'!$B$4:$G$8,5,FALSE))</f>
        <v/>
      </c>
      <c r="AF133" s="507" t="str">
        <f t="shared" si="13"/>
        <v/>
      </c>
      <c r="AG133" s="540" t="str">
        <f t="shared" si="14"/>
        <v/>
      </c>
      <c r="AH133" s="499" t="str">
        <f t="shared" si="8"/>
        <v/>
      </c>
      <c r="AI133" s="145"/>
      <c r="AJ133" s="499" t="str">
        <f>IF(AI133="","",IF(VLOOKUP(AI133,'G-7 Rivers Data'!$AA$4:$AB$7,2,FALSE)=0,"Spatial Data Missing ⚠",VLOOKUP(AI133,'G-7 Rivers Data'!$AA$4:$AB$7,2,FALSE)))</f>
        <v/>
      </c>
      <c r="AK133" s="155"/>
      <c r="AL133" s="499" t="str">
        <f>IF(AK133="","",IF(VLOOKUP(AK133,'G-7 Rivers Data'!$AD$4:$AE$8,2,FALSE)=0,"Spatial Data Missing ⚠",VLOOKUP(AK133,'G-7 Rivers Data'!$AD$4:$AE$8,2,FALSE)))</f>
        <v/>
      </c>
      <c r="AM133" s="545" t="str">
        <f t="shared" si="15"/>
        <v/>
      </c>
      <c r="AN133" s="149"/>
      <c r="AO133" s="150"/>
      <c r="AV133" s="31" t="str">
        <f>IFERROR(INDEX('G-7 Rivers Data'!$AZ$3:$AZ$7,MATCH(N133,'G-7 Rivers Data'!$AY$3:$AY$7,0)),"")</f>
        <v/>
      </c>
    </row>
    <row r="134" spans="2:48" ht="14" x14ac:dyDescent="0.3">
      <c r="B134" s="531" t="str">
        <f>'C-1 Site River Baseline'!AN132</f>
        <v/>
      </c>
      <c r="C134" s="520" t="str">
        <f>IF(B134="","",VLOOKUP($B134,'C-1 Site River Baseline'!$C$9:$R$257,2,FALSE))</f>
        <v/>
      </c>
      <c r="D134" s="520" t="str">
        <f>IF(C134="","",VLOOKUP($B134,'C-1 Site River Baseline'!$C$9:$R$257,3,FALSE))</f>
        <v/>
      </c>
      <c r="E134" s="520" t="str">
        <f>IF(D134="","",VLOOKUP($B134,'C-1 Site River Baseline'!$C$9:$R$257,4,FALSE))</f>
        <v/>
      </c>
      <c r="F134" s="520" t="str">
        <f>IF(E134="","",VLOOKUP($B134,'C-1 Site River Baseline'!$C$9:$R$257,5,FALSE))</f>
        <v/>
      </c>
      <c r="G134" s="520" t="str">
        <f>IF(F134="","",VLOOKUP($B134,'C-1 Site River Baseline'!$C$9:$R$257,6,FALSE))</f>
        <v/>
      </c>
      <c r="H134" s="520" t="str">
        <f>IF(G134="","",VLOOKUP($B134,'C-1 Site River Baseline'!$C$9:$R$257,7,FALSE))</f>
        <v/>
      </c>
      <c r="I134" s="520" t="str">
        <f>IF(H134="","",VLOOKUP($B134,'C-1 Site River Baseline'!$C$9:$R$257,8,FALSE))</f>
        <v/>
      </c>
      <c r="J134" s="520" t="str">
        <f>IF(I134="","",VLOOKUP($B134,'C-1 Site River Baseline'!$C$9:$R$257,9,FALSE))</f>
        <v/>
      </c>
      <c r="K134" s="520" t="str">
        <f>IF(J134="","",VLOOKUP($B134,'C-1 Site River Baseline'!$C$9:$R$257,10,FALSE))</f>
        <v/>
      </c>
      <c r="L134" s="520" t="str">
        <f>IF(B134="","",VLOOKUP($B134,'C-1 Site River Baseline'!$C$9:$R$257,15,FALSE))</f>
        <v/>
      </c>
      <c r="M134" s="524" t="str">
        <f>IF(L134="","",VLOOKUP($B134,'C-1 Site River Baseline'!$C$9:$R$257,16,FALSE))</f>
        <v/>
      </c>
      <c r="N134" s="418" t="str">
        <f t="shared" si="9"/>
        <v/>
      </c>
      <c r="O134" s="498" t="str">
        <f t="shared" si="10"/>
        <v/>
      </c>
      <c r="P134" s="499" t="str">
        <f>IF(C134="","",IF(AND(LEFT(C134,55)&lt;&gt;LEFT(N134,55),O134="High - High"),"Error - Not like for like ▲",IF(AND(F134=S134,H134&gt;U134),"Error - Can not reduce condition ▲",IF(AND(F134=S134,H134=U134,AJ134='C-1 Site River Baseline'!N132,'C-1 Site River Baseline'!P132=AL134),"Error - No enhancement ▲",IF(AND(C134&lt;&gt;N134,F134&lt;S134),"Lower Distinctiveness Habitat"&amp;" - "&amp;T134,G134&amp;" - "&amp;T134)))))</f>
        <v/>
      </c>
      <c r="Q134" s="567" t="str">
        <f>IF(N134="","",VLOOKUP(B134,'C-1 Site River Baseline'!$C$10:$AA$257,19,FALSE))</f>
        <v/>
      </c>
      <c r="R134" s="498" t="str">
        <f>IF(N134="","",VLOOKUP(N134,'G-7 Rivers Data'!$B$2:$G$8,2,FALSE))</f>
        <v/>
      </c>
      <c r="S134" s="499" t="str">
        <f>IFERROR(VLOOKUP(R134,'G-7 Rivers Data'!$C$4:$D$8,2,FALSE),"")</f>
        <v/>
      </c>
      <c r="T134" s="145"/>
      <c r="U134" s="499" t="str">
        <f>IFERROR(INDEX('G-7 Rivers Data'!$H$4:$L$8,MATCH(N134,'G-7 Rivers Data'!$B$4:$B$8,0),MATCH(T134,'G-7 Rivers Data'!$H$3:$L$3,0)),"")</f>
        <v/>
      </c>
      <c r="V134" s="154"/>
      <c r="W134" s="507" t="str">
        <f>IF(V134="","",IF(VLOOKUP(V134,'G-7 Rivers Data'!$AG$4:$AI$9,2,FALSE)=0,"Spatial Data Missing ⚠",VLOOKUP(V134,'G-7 Rivers Data'!$AG$4:$AI$9,2,FALSE)))</f>
        <v/>
      </c>
      <c r="X134" s="499" t="str">
        <f>IF(V134="","",IF(VLOOKUP(V134,'G-7 Rivers Data'!$AG$4:$AI$9,3,FALSE)=0,"Spatial Data Missing ⚠",VLOOKUP(V134,'G-7 Rivers Data'!$AG$4:$AI$9,3,FALSE)))</f>
        <v/>
      </c>
      <c r="Y134" s="498" t="str">
        <f>IFERROR(IF(OR(LEFT(P134,5)="Error ▲",LEFT(O134,5)="Error ▲"),"Check Data ⚠",IF(F134&lt;S134,'G-7 Rivers Data'!$R$3,INDEX('G-7 Rivers Data'!$U$5:$Y$9,MATCH(G134,'G-7 Rivers Data'!$T$5:$T$9,0),MATCH(T134,'G-7 Rivers Data'!$U$4:$Y$4,0)))),"")</f>
        <v/>
      </c>
      <c r="Z134" s="195"/>
      <c r="AA134" s="195"/>
      <c r="AB134" s="507" t="str">
        <f t="shared" si="11"/>
        <v/>
      </c>
      <c r="AC134" s="521" t="str">
        <f t="shared" si="12"/>
        <v/>
      </c>
      <c r="AD134" s="564" t="str">
        <f>IFERROR(IF(AC134="Check Data ⚠","Check Data ⚠",VLOOKUP(AC134,'G-4 Temporal multipliers'!$A$4:$C$37,3,FALSE)),"")</f>
        <v/>
      </c>
      <c r="AE134" s="498" t="str">
        <f>IF(N134="","",VLOOKUP(N134,'G-7 Rivers Data'!$B$4:$G$8,5,FALSE))</f>
        <v/>
      </c>
      <c r="AF134" s="507" t="str">
        <f t="shared" si="13"/>
        <v/>
      </c>
      <c r="AG134" s="540" t="str">
        <f t="shared" si="14"/>
        <v/>
      </c>
      <c r="AH134" s="499" t="str">
        <f t="shared" si="8"/>
        <v/>
      </c>
      <c r="AI134" s="145"/>
      <c r="AJ134" s="499" t="str">
        <f>IF(AI134="","",IF(VLOOKUP(AI134,'G-7 Rivers Data'!$AA$4:$AB$7,2,FALSE)=0,"Spatial Data Missing ⚠",VLOOKUP(AI134,'G-7 Rivers Data'!$AA$4:$AB$7,2,FALSE)))</f>
        <v/>
      </c>
      <c r="AK134" s="155"/>
      <c r="AL134" s="499" t="str">
        <f>IF(AK134="","",IF(VLOOKUP(AK134,'G-7 Rivers Data'!$AD$4:$AE$8,2,FALSE)=0,"Spatial Data Missing ⚠",VLOOKUP(AK134,'G-7 Rivers Data'!$AD$4:$AE$8,2,FALSE)))</f>
        <v/>
      </c>
      <c r="AM134" s="545" t="str">
        <f t="shared" si="15"/>
        <v/>
      </c>
      <c r="AN134" s="149"/>
      <c r="AO134" s="150"/>
      <c r="AV134" s="31" t="str">
        <f>IFERROR(INDEX('G-7 Rivers Data'!$AZ$3:$AZ$7,MATCH(N134,'G-7 Rivers Data'!$AY$3:$AY$7,0)),"")</f>
        <v/>
      </c>
    </row>
    <row r="135" spans="2:48" ht="14" x14ac:dyDescent="0.3">
      <c r="B135" s="531" t="str">
        <f>'C-1 Site River Baseline'!AN133</f>
        <v/>
      </c>
      <c r="C135" s="520" t="str">
        <f>IF(B135="","",VLOOKUP($B135,'C-1 Site River Baseline'!$C$9:$R$257,2,FALSE))</f>
        <v/>
      </c>
      <c r="D135" s="520" t="str">
        <f>IF(C135="","",VLOOKUP($B135,'C-1 Site River Baseline'!$C$9:$R$257,3,FALSE))</f>
        <v/>
      </c>
      <c r="E135" s="520" t="str">
        <f>IF(D135="","",VLOOKUP($B135,'C-1 Site River Baseline'!$C$9:$R$257,4,FALSE))</f>
        <v/>
      </c>
      <c r="F135" s="520" t="str">
        <f>IF(E135="","",VLOOKUP($B135,'C-1 Site River Baseline'!$C$9:$R$257,5,FALSE))</f>
        <v/>
      </c>
      <c r="G135" s="520" t="str">
        <f>IF(F135="","",VLOOKUP($B135,'C-1 Site River Baseline'!$C$9:$R$257,6,FALSE))</f>
        <v/>
      </c>
      <c r="H135" s="520" t="str">
        <f>IF(G135="","",VLOOKUP($B135,'C-1 Site River Baseline'!$C$9:$R$257,7,FALSE))</f>
        <v/>
      </c>
      <c r="I135" s="520" t="str">
        <f>IF(H135="","",VLOOKUP($B135,'C-1 Site River Baseline'!$C$9:$R$257,8,FALSE))</f>
        <v/>
      </c>
      <c r="J135" s="520" t="str">
        <f>IF(I135="","",VLOOKUP($B135,'C-1 Site River Baseline'!$C$9:$R$257,9,FALSE))</f>
        <v/>
      </c>
      <c r="K135" s="520" t="str">
        <f>IF(J135="","",VLOOKUP($B135,'C-1 Site River Baseline'!$C$9:$R$257,10,FALSE))</f>
        <v/>
      </c>
      <c r="L135" s="520" t="str">
        <f>IF(B135="","",VLOOKUP($B135,'C-1 Site River Baseline'!$C$9:$R$257,15,FALSE))</f>
        <v/>
      </c>
      <c r="M135" s="524" t="str">
        <f>IF(L135="","",VLOOKUP($B135,'C-1 Site River Baseline'!$C$9:$R$257,16,FALSE))</f>
        <v/>
      </c>
      <c r="N135" s="418" t="str">
        <f t="shared" si="9"/>
        <v/>
      </c>
      <c r="O135" s="498" t="str">
        <f t="shared" si="10"/>
        <v/>
      </c>
      <c r="P135" s="499" t="str">
        <f>IF(C135="","",IF(AND(LEFT(C135,55)&lt;&gt;LEFT(N135,55),O135="High - High"),"Error - Not like for like ▲",IF(AND(F135=S135,H135&gt;U135),"Error - Can not reduce condition ▲",IF(AND(F135=S135,H135=U135,AJ135='C-1 Site River Baseline'!N133,'C-1 Site River Baseline'!P133=AL135),"Error - No enhancement ▲",IF(AND(C135&lt;&gt;N135,F135&lt;S135),"Lower Distinctiveness Habitat"&amp;" - "&amp;T135,G135&amp;" - "&amp;T135)))))</f>
        <v/>
      </c>
      <c r="Q135" s="567" t="str">
        <f>IF(N135="","",VLOOKUP(B135,'C-1 Site River Baseline'!$C$10:$AA$257,19,FALSE))</f>
        <v/>
      </c>
      <c r="R135" s="498" t="str">
        <f>IF(N135="","",VLOOKUP(N135,'G-7 Rivers Data'!$B$2:$G$8,2,FALSE))</f>
        <v/>
      </c>
      <c r="S135" s="499" t="str">
        <f>IFERROR(VLOOKUP(R135,'G-7 Rivers Data'!$C$4:$D$8,2,FALSE),"")</f>
        <v/>
      </c>
      <c r="T135" s="145"/>
      <c r="U135" s="499" t="str">
        <f>IFERROR(INDEX('G-7 Rivers Data'!$H$4:$L$8,MATCH(N135,'G-7 Rivers Data'!$B$4:$B$8,0),MATCH(T135,'G-7 Rivers Data'!$H$3:$L$3,0)),"")</f>
        <v/>
      </c>
      <c r="V135" s="154"/>
      <c r="W135" s="507" t="str">
        <f>IF(V135="","",IF(VLOOKUP(V135,'G-7 Rivers Data'!$AG$4:$AI$9,2,FALSE)=0,"Spatial Data Missing ⚠",VLOOKUP(V135,'G-7 Rivers Data'!$AG$4:$AI$9,2,FALSE)))</f>
        <v/>
      </c>
      <c r="X135" s="499" t="str">
        <f>IF(V135="","",IF(VLOOKUP(V135,'G-7 Rivers Data'!$AG$4:$AI$9,3,FALSE)=0,"Spatial Data Missing ⚠",VLOOKUP(V135,'G-7 Rivers Data'!$AG$4:$AI$9,3,FALSE)))</f>
        <v/>
      </c>
      <c r="Y135" s="498" t="str">
        <f>IFERROR(IF(OR(LEFT(P135,5)="Error ▲",LEFT(O135,5)="Error ▲"),"Check Data ⚠",IF(F135&lt;S135,'G-7 Rivers Data'!$R$3,INDEX('G-7 Rivers Data'!$U$5:$Y$9,MATCH(G135,'G-7 Rivers Data'!$T$5:$T$9,0),MATCH(T135,'G-7 Rivers Data'!$U$4:$Y$4,0)))),"")</f>
        <v/>
      </c>
      <c r="Z135" s="195"/>
      <c r="AA135" s="195"/>
      <c r="AB135" s="507" t="str">
        <f t="shared" si="11"/>
        <v/>
      </c>
      <c r="AC135" s="521" t="str">
        <f t="shared" si="12"/>
        <v/>
      </c>
      <c r="AD135" s="564" t="str">
        <f>IFERROR(IF(AC135="Check Data ⚠","Check Data ⚠",VLOOKUP(AC135,'G-4 Temporal multipliers'!$A$4:$C$37,3,FALSE)),"")</f>
        <v/>
      </c>
      <c r="AE135" s="498" t="str">
        <f>IF(N135="","",VLOOKUP(N135,'G-7 Rivers Data'!$B$4:$G$8,5,FALSE))</f>
        <v/>
      </c>
      <c r="AF135" s="507" t="str">
        <f t="shared" si="13"/>
        <v/>
      </c>
      <c r="AG135" s="540" t="str">
        <f t="shared" si="14"/>
        <v/>
      </c>
      <c r="AH135" s="499" t="str">
        <f t="shared" si="8"/>
        <v/>
      </c>
      <c r="AI135" s="145"/>
      <c r="AJ135" s="499" t="str">
        <f>IF(AI135="","",IF(VLOOKUP(AI135,'G-7 Rivers Data'!$AA$4:$AB$7,2,FALSE)=0,"Spatial Data Missing ⚠",VLOOKUP(AI135,'G-7 Rivers Data'!$AA$4:$AB$7,2,FALSE)))</f>
        <v/>
      </c>
      <c r="AK135" s="155"/>
      <c r="AL135" s="499" t="str">
        <f>IF(AK135="","",IF(VLOOKUP(AK135,'G-7 Rivers Data'!$AD$4:$AE$8,2,FALSE)=0,"Spatial Data Missing ⚠",VLOOKUP(AK135,'G-7 Rivers Data'!$AD$4:$AE$8,2,FALSE)))</f>
        <v/>
      </c>
      <c r="AM135" s="545" t="str">
        <f t="shared" si="15"/>
        <v/>
      </c>
      <c r="AN135" s="149"/>
      <c r="AO135" s="150"/>
      <c r="AV135" s="31" t="str">
        <f>IFERROR(INDEX('G-7 Rivers Data'!$AZ$3:$AZ$7,MATCH(N135,'G-7 Rivers Data'!$AY$3:$AY$7,0)),"")</f>
        <v/>
      </c>
    </row>
    <row r="136" spans="2:48" ht="14" x14ac:dyDescent="0.3">
      <c r="B136" s="531" t="str">
        <f>'C-1 Site River Baseline'!AN134</f>
        <v/>
      </c>
      <c r="C136" s="520" t="str">
        <f>IF(B136="","",VLOOKUP($B136,'C-1 Site River Baseline'!$C$9:$R$257,2,FALSE))</f>
        <v/>
      </c>
      <c r="D136" s="520" t="str">
        <f>IF(C136="","",VLOOKUP($B136,'C-1 Site River Baseline'!$C$9:$R$257,3,FALSE))</f>
        <v/>
      </c>
      <c r="E136" s="520" t="str">
        <f>IF(D136="","",VLOOKUP($B136,'C-1 Site River Baseline'!$C$9:$R$257,4,FALSE))</f>
        <v/>
      </c>
      <c r="F136" s="520" t="str">
        <f>IF(E136="","",VLOOKUP($B136,'C-1 Site River Baseline'!$C$9:$R$257,5,FALSE))</f>
        <v/>
      </c>
      <c r="G136" s="520" t="str">
        <f>IF(F136="","",VLOOKUP($B136,'C-1 Site River Baseline'!$C$9:$R$257,6,FALSE))</f>
        <v/>
      </c>
      <c r="H136" s="520" t="str">
        <f>IF(G136="","",VLOOKUP($B136,'C-1 Site River Baseline'!$C$9:$R$257,7,FALSE))</f>
        <v/>
      </c>
      <c r="I136" s="520" t="str">
        <f>IF(H136="","",VLOOKUP($B136,'C-1 Site River Baseline'!$C$9:$R$257,8,FALSE))</f>
        <v/>
      </c>
      <c r="J136" s="520" t="str">
        <f>IF(I136="","",VLOOKUP($B136,'C-1 Site River Baseline'!$C$9:$R$257,9,FALSE))</f>
        <v/>
      </c>
      <c r="K136" s="520" t="str">
        <f>IF(J136="","",VLOOKUP($B136,'C-1 Site River Baseline'!$C$9:$R$257,10,FALSE))</f>
        <v/>
      </c>
      <c r="L136" s="520" t="str">
        <f>IF(B136="","",VLOOKUP($B136,'C-1 Site River Baseline'!$C$9:$R$257,15,FALSE))</f>
        <v/>
      </c>
      <c r="M136" s="524" t="str">
        <f>IF(L136="","",VLOOKUP($B136,'C-1 Site River Baseline'!$C$9:$R$257,16,FALSE))</f>
        <v/>
      </c>
      <c r="N136" s="418" t="str">
        <f t="shared" si="9"/>
        <v/>
      </c>
      <c r="O136" s="498" t="str">
        <f t="shared" si="10"/>
        <v/>
      </c>
      <c r="P136" s="499" t="str">
        <f>IF(C136="","",IF(AND(LEFT(C136,55)&lt;&gt;LEFT(N136,55),O136="High - High"),"Error - Not like for like ▲",IF(AND(F136=S136,H136&gt;U136),"Error - Can not reduce condition ▲",IF(AND(F136=S136,H136=U136,AJ136='C-1 Site River Baseline'!N134,'C-1 Site River Baseline'!P134=AL136),"Error - No enhancement ▲",IF(AND(C136&lt;&gt;N136,F136&lt;S136),"Lower Distinctiveness Habitat"&amp;" - "&amp;T136,G136&amp;" - "&amp;T136)))))</f>
        <v/>
      </c>
      <c r="Q136" s="567" t="str">
        <f>IF(N136="","",VLOOKUP(B136,'C-1 Site River Baseline'!$C$10:$AA$257,19,FALSE))</f>
        <v/>
      </c>
      <c r="R136" s="498" t="str">
        <f>IF(N136="","",VLOOKUP(N136,'G-7 Rivers Data'!$B$2:$G$8,2,FALSE))</f>
        <v/>
      </c>
      <c r="S136" s="499" t="str">
        <f>IFERROR(VLOOKUP(R136,'G-7 Rivers Data'!$C$4:$D$8,2,FALSE),"")</f>
        <v/>
      </c>
      <c r="T136" s="145"/>
      <c r="U136" s="499" t="str">
        <f>IFERROR(INDEX('G-7 Rivers Data'!$H$4:$L$8,MATCH(N136,'G-7 Rivers Data'!$B$4:$B$8,0),MATCH(T136,'G-7 Rivers Data'!$H$3:$L$3,0)),"")</f>
        <v/>
      </c>
      <c r="V136" s="154"/>
      <c r="W136" s="507" t="str">
        <f>IF(V136="","",IF(VLOOKUP(V136,'G-7 Rivers Data'!$AG$4:$AI$9,2,FALSE)=0,"Spatial Data Missing ⚠",VLOOKUP(V136,'G-7 Rivers Data'!$AG$4:$AI$9,2,FALSE)))</f>
        <v/>
      </c>
      <c r="X136" s="499" t="str">
        <f>IF(V136="","",IF(VLOOKUP(V136,'G-7 Rivers Data'!$AG$4:$AI$9,3,FALSE)=0,"Spatial Data Missing ⚠",VLOOKUP(V136,'G-7 Rivers Data'!$AG$4:$AI$9,3,FALSE)))</f>
        <v/>
      </c>
      <c r="Y136" s="498" t="str">
        <f>IFERROR(IF(OR(LEFT(P136,5)="Error ▲",LEFT(O136,5)="Error ▲"),"Check Data ⚠",IF(F136&lt;S136,'G-7 Rivers Data'!$R$3,INDEX('G-7 Rivers Data'!$U$5:$Y$9,MATCH(G136,'G-7 Rivers Data'!$T$5:$T$9,0),MATCH(T136,'G-7 Rivers Data'!$U$4:$Y$4,0)))),"")</f>
        <v/>
      </c>
      <c r="Z136" s="195"/>
      <c r="AA136" s="195"/>
      <c r="AB136" s="507" t="str">
        <f t="shared" si="11"/>
        <v/>
      </c>
      <c r="AC136" s="521" t="str">
        <f t="shared" si="12"/>
        <v/>
      </c>
      <c r="AD136" s="564" t="str">
        <f>IFERROR(IF(AC136="Check Data ⚠","Check Data ⚠",VLOOKUP(AC136,'G-4 Temporal multipliers'!$A$4:$C$37,3,FALSE)),"")</f>
        <v/>
      </c>
      <c r="AE136" s="498" t="str">
        <f>IF(N136="","",VLOOKUP(N136,'G-7 Rivers Data'!$B$4:$G$8,5,FALSE))</f>
        <v/>
      </c>
      <c r="AF136" s="507" t="str">
        <f t="shared" si="13"/>
        <v/>
      </c>
      <c r="AG136" s="540" t="str">
        <f t="shared" si="14"/>
        <v/>
      </c>
      <c r="AH136" s="499" t="str">
        <f t="shared" si="8"/>
        <v/>
      </c>
      <c r="AI136" s="145"/>
      <c r="AJ136" s="499" t="str">
        <f>IF(AI136="","",IF(VLOOKUP(AI136,'G-7 Rivers Data'!$AA$4:$AB$7,2,FALSE)=0,"Spatial Data Missing ⚠",VLOOKUP(AI136,'G-7 Rivers Data'!$AA$4:$AB$7,2,FALSE)))</f>
        <v/>
      </c>
      <c r="AK136" s="155"/>
      <c r="AL136" s="499" t="str">
        <f>IF(AK136="","",IF(VLOOKUP(AK136,'G-7 Rivers Data'!$AD$4:$AE$8,2,FALSE)=0,"Spatial Data Missing ⚠",VLOOKUP(AK136,'G-7 Rivers Data'!$AD$4:$AE$8,2,FALSE)))</f>
        <v/>
      </c>
      <c r="AM136" s="545" t="str">
        <f t="shared" si="15"/>
        <v/>
      </c>
      <c r="AN136" s="149"/>
      <c r="AO136" s="150"/>
      <c r="AV136" s="31" t="str">
        <f>IFERROR(INDEX('G-7 Rivers Data'!$AZ$3:$AZ$7,MATCH(N136,'G-7 Rivers Data'!$AY$3:$AY$7,0)),"")</f>
        <v/>
      </c>
    </row>
    <row r="137" spans="2:48" ht="14" x14ac:dyDescent="0.3">
      <c r="B137" s="531" t="str">
        <f>'C-1 Site River Baseline'!AN135</f>
        <v/>
      </c>
      <c r="C137" s="520" t="str">
        <f>IF(B137="","",VLOOKUP($B137,'C-1 Site River Baseline'!$C$9:$R$257,2,FALSE))</f>
        <v/>
      </c>
      <c r="D137" s="520" t="str">
        <f>IF(C137="","",VLOOKUP($B137,'C-1 Site River Baseline'!$C$9:$R$257,3,FALSE))</f>
        <v/>
      </c>
      <c r="E137" s="520" t="str">
        <f>IF(D137="","",VLOOKUP($B137,'C-1 Site River Baseline'!$C$9:$R$257,4,FALSE))</f>
        <v/>
      </c>
      <c r="F137" s="520" t="str">
        <f>IF(E137="","",VLOOKUP($B137,'C-1 Site River Baseline'!$C$9:$R$257,5,FALSE))</f>
        <v/>
      </c>
      <c r="G137" s="520" t="str">
        <f>IF(F137="","",VLOOKUP($B137,'C-1 Site River Baseline'!$C$9:$R$257,6,FALSE))</f>
        <v/>
      </c>
      <c r="H137" s="520" t="str">
        <f>IF(G137="","",VLOOKUP($B137,'C-1 Site River Baseline'!$C$9:$R$257,7,FALSE))</f>
        <v/>
      </c>
      <c r="I137" s="520" t="str">
        <f>IF(H137="","",VLOOKUP($B137,'C-1 Site River Baseline'!$C$9:$R$257,8,FALSE))</f>
        <v/>
      </c>
      <c r="J137" s="520" t="str">
        <f>IF(I137="","",VLOOKUP($B137,'C-1 Site River Baseline'!$C$9:$R$257,9,FALSE))</f>
        <v/>
      </c>
      <c r="K137" s="520" t="str">
        <f>IF(J137="","",VLOOKUP($B137,'C-1 Site River Baseline'!$C$9:$R$257,10,FALSE))</f>
        <v/>
      </c>
      <c r="L137" s="520" t="str">
        <f>IF(B137="","",VLOOKUP($B137,'C-1 Site River Baseline'!$C$9:$R$257,15,FALSE))</f>
        <v/>
      </c>
      <c r="M137" s="524" t="str">
        <f>IF(L137="","",VLOOKUP($B137,'C-1 Site River Baseline'!$C$9:$R$257,16,FALSE))</f>
        <v/>
      </c>
      <c r="N137" s="418" t="str">
        <f t="shared" si="9"/>
        <v/>
      </c>
      <c r="O137" s="498" t="str">
        <f t="shared" si="10"/>
        <v/>
      </c>
      <c r="P137" s="499" t="str">
        <f>IF(C137="","",IF(AND(LEFT(C137,55)&lt;&gt;LEFT(N137,55),O137="High - High"),"Error - Not like for like ▲",IF(AND(F137=S137,H137&gt;U137),"Error - Can not reduce condition ▲",IF(AND(F137=S137,H137=U137,AJ137='C-1 Site River Baseline'!N135,'C-1 Site River Baseline'!P135=AL137),"Error - No enhancement ▲",IF(AND(C137&lt;&gt;N137,F137&lt;S137),"Lower Distinctiveness Habitat"&amp;" - "&amp;T137,G137&amp;" - "&amp;T137)))))</f>
        <v/>
      </c>
      <c r="Q137" s="567" t="str">
        <f>IF(N137="","",VLOOKUP(B137,'C-1 Site River Baseline'!$C$10:$AA$257,19,FALSE))</f>
        <v/>
      </c>
      <c r="R137" s="498" t="str">
        <f>IF(N137="","",VLOOKUP(N137,'G-7 Rivers Data'!$B$2:$G$8,2,FALSE))</f>
        <v/>
      </c>
      <c r="S137" s="499" t="str">
        <f>IFERROR(VLOOKUP(R137,'G-7 Rivers Data'!$C$4:$D$8,2,FALSE),"")</f>
        <v/>
      </c>
      <c r="T137" s="145"/>
      <c r="U137" s="499" t="str">
        <f>IFERROR(INDEX('G-7 Rivers Data'!$H$4:$L$8,MATCH(N137,'G-7 Rivers Data'!$B$4:$B$8,0),MATCH(T137,'G-7 Rivers Data'!$H$3:$L$3,0)),"")</f>
        <v/>
      </c>
      <c r="V137" s="154"/>
      <c r="W137" s="507" t="str">
        <f>IF(V137="","",IF(VLOOKUP(V137,'G-7 Rivers Data'!$AG$4:$AI$9,2,FALSE)=0,"Spatial Data Missing ⚠",VLOOKUP(V137,'G-7 Rivers Data'!$AG$4:$AI$9,2,FALSE)))</f>
        <v/>
      </c>
      <c r="X137" s="499" t="str">
        <f>IF(V137="","",IF(VLOOKUP(V137,'G-7 Rivers Data'!$AG$4:$AI$9,3,FALSE)=0,"Spatial Data Missing ⚠",VLOOKUP(V137,'G-7 Rivers Data'!$AG$4:$AI$9,3,FALSE)))</f>
        <v/>
      </c>
      <c r="Y137" s="498" t="str">
        <f>IFERROR(IF(OR(LEFT(P137,5)="Error ▲",LEFT(O137,5)="Error ▲"),"Check Data ⚠",IF(F137&lt;S137,'G-7 Rivers Data'!$R$3,INDEX('G-7 Rivers Data'!$U$5:$Y$9,MATCH(G137,'G-7 Rivers Data'!$T$5:$T$9,0),MATCH(T137,'G-7 Rivers Data'!$U$4:$Y$4,0)))),"")</f>
        <v/>
      </c>
      <c r="Z137" s="195"/>
      <c r="AA137" s="195"/>
      <c r="AB137" s="507" t="str">
        <f t="shared" si="11"/>
        <v/>
      </c>
      <c r="AC137" s="521" t="str">
        <f t="shared" si="12"/>
        <v/>
      </c>
      <c r="AD137" s="564" t="str">
        <f>IFERROR(IF(AC137="Check Data ⚠","Check Data ⚠",VLOOKUP(AC137,'G-4 Temporal multipliers'!$A$4:$C$37,3,FALSE)),"")</f>
        <v/>
      </c>
      <c r="AE137" s="498" t="str">
        <f>IF(N137="","",VLOOKUP(N137,'G-7 Rivers Data'!$B$4:$G$8,5,FALSE))</f>
        <v/>
      </c>
      <c r="AF137" s="507" t="str">
        <f t="shared" si="13"/>
        <v/>
      </c>
      <c r="AG137" s="540" t="str">
        <f t="shared" si="14"/>
        <v/>
      </c>
      <c r="AH137" s="499" t="str">
        <f t="shared" si="8"/>
        <v/>
      </c>
      <c r="AI137" s="145"/>
      <c r="AJ137" s="499" t="str">
        <f>IF(AI137="","",IF(VLOOKUP(AI137,'G-7 Rivers Data'!$AA$4:$AB$7,2,FALSE)=0,"Spatial Data Missing ⚠",VLOOKUP(AI137,'G-7 Rivers Data'!$AA$4:$AB$7,2,FALSE)))</f>
        <v/>
      </c>
      <c r="AK137" s="155"/>
      <c r="AL137" s="499" t="str">
        <f>IF(AK137="","",IF(VLOOKUP(AK137,'G-7 Rivers Data'!$AD$4:$AE$8,2,FALSE)=0,"Spatial Data Missing ⚠",VLOOKUP(AK137,'G-7 Rivers Data'!$AD$4:$AE$8,2,FALSE)))</f>
        <v/>
      </c>
      <c r="AM137" s="545" t="str">
        <f t="shared" si="15"/>
        <v/>
      </c>
      <c r="AN137" s="149"/>
      <c r="AO137" s="150"/>
      <c r="AV137" s="31" t="str">
        <f>IFERROR(INDEX('G-7 Rivers Data'!$AZ$3:$AZ$7,MATCH(N137,'G-7 Rivers Data'!$AY$3:$AY$7,0)),"")</f>
        <v/>
      </c>
    </row>
    <row r="138" spans="2:48" ht="14" x14ac:dyDescent="0.3">
      <c r="B138" s="531" t="str">
        <f>'C-1 Site River Baseline'!AN136</f>
        <v/>
      </c>
      <c r="C138" s="520" t="str">
        <f>IF(B138="","",VLOOKUP($B138,'C-1 Site River Baseline'!$C$9:$R$257,2,FALSE))</f>
        <v/>
      </c>
      <c r="D138" s="520" t="str">
        <f>IF(C138="","",VLOOKUP($B138,'C-1 Site River Baseline'!$C$9:$R$257,3,FALSE))</f>
        <v/>
      </c>
      <c r="E138" s="520" t="str">
        <f>IF(D138="","",VLOOKUP($B138,'C-1 Site River Baseline'!$C$9:$R$257,4,FALSE))</f>
        <v/>
      </c>
      <c r="F138" s="520" t="str">
        <f>IF(E138="","",VLOOKUP($B138,'C-1 Site River Baseline'!$C$9:$R$257,5,FALSE))</f>
        <v/>
      </c>
      <c r="G138" s="520" t="str">
        <f>IF(F138="","",VLOOKUP($B138,'C-1 Site River Baseline'!$C$9:$R$257,6,FALSE))</f>
        <v/>
      </c>
      <c r="H138" s="520" t="str">
        <f>IF(G138="","",VLOOKUP($B138,'C-1 Site River Baseline'!$C$9:$R$257,7,FALSE))</f>
        <v/>
      </c>
      <c r="I138" s="520" t="str">
        <f>IF(H138="","",VLOOKUP($B138,'C-1 Site River Baseline'!$C$9:$R$257,8,FALSE))</f>
        <v/>
      </c>
      <c r="J138" s="520" t="str">
        <f>IF(I138="","",VLOOKUP($B138,'C-1 Site River Baseline'!$C$9:$R$257,9,FALSE))</f>
        <v/>
      </c>
      <c r="K138" s="520" t="str">
        <f>IF(J138="","",VLOOKUP($B138,'C-1 Site River Baseline'!$C$9:$R$257,10,FALSE))</f>
        <v/>
      </c>
      <c r="L138" s="520" t="str">
        <f>IF(B138="","",VLOOKUP($B138,'C-1 Site River Baseline'!$C$9:$R$257,15,FALSE))</f>
        <v/>
      </c>
      <c r="M138" s="524" t="str">
        <f>IF(L138="","",VLOOKUP($B138,'C-1 Site River Baseline'!$C$9:$R$257,16,FALSE))</f>
        <v/>
      </c>
      <c r="N138" s="418" t="str">
        <f t="shared" si="9"/>
        <v/>
      </c>
      <c r="O138" s="498" t="str">
        <f t="shared" si="10"/>
        <v/>
      </c>
      <c r="P138" s="499" t="str">
        <f>IF(C138="","",IF(AND(LEFT(C138,55)&lt;&gt;LEFT(N138,55),O138="High - High"),"Error - Not like for like ▲",IF(AND(F138=S138,H138&gt;U138),"Error - Can not reduce condition ▲",IF(AND(F138=S138,H138=U138,AJ138='C-1 Site River Baseline'!N136,'C-1 Site River Baseline'!P136=AL138),"Error - No enhancement ▲",IF(AND(C138&lt;&gt;N138,F138&lt;S138),"Lower Distinctiveness Habitat"&amp;" - "&amp;T138,G138&amp;" - "&amp;T138)))))</f>
        <v/>
      </c>
      <c r="Q138" s="567" t="str">
        <f>IF(N138="","",VLOOKUP(B138,'C-1 Site River Baseline'!$C$10:$AA$257,19,FALSE))</f>
        <v/>
      </c>
      <c r="R138" s="498" t="str">
        <f>IF(N138="","",VLOOKUP(N138,'G-7 Rivers Data'!$B$2:$G$8,2,FALSE))</f>
        <v/>
      </c>
      <c r="S138" s="499" t="str">
        <f>IFERROR(VLOOKUP(R138,'G-7 Rivers Data'!$C$4:$D$8,2,FALSE),"")</f>
        <v/>
      </c>
      <c r="T138" s="145"/>
      <c r="U138" s="499" t="str">
        <f>IFERROR(INDEX('G-7 Rivers Data'!$H$4:$L$8,MATCH(N138,'G-7 Rivers Data'!$B$4:$B$8,0),MATCH(T138,'G-7 Rivers Data'!$H$3:$L$3,0)),"")</f>
        <v/>
      </c>
      <c r="V138" s="154"/>
      <c r="W138" s="507" t="str">
        <f>IF(V138="","",IF(VLOOKUP(V138,'G-7 Rivers Data'!$AG$4:$AI$9,2,FALSE)=0,"Spatial Data Missing ⚠",VLOOKUP(V138,'G-7 Rivers Data'!$AG$4:$AI$9,2,FALSE)))</f>
        <v/>
      </c>
      <c r="X138" s="499" t="str">
        <f>IF(V138="","",IF(VLOOKUP(V138,'G-7 Rivers Data'!$AG$4:$AI$9,3,FALSE)=0,"Spatial Data Missing ⚠",VLOOKUP(V138,'G-7 Rivers Data'!$AG$4:$AI$9,3,FALSE)))</f>
        <v/>
      </c>
      <c r="Y138" s="498" t="str">
        <f>IFERROR(IF(OR(LEFT(P138,5)="Error ▲",LEFT(O138,5)="Error ▲"),"Check Data ⚠",IF(F138&lt;S138,'G-7 Rivers Data'!$R$3,INDEX('G-7 Rivers Data'!$U$5:$Y$9,MATCH(G138,'G-7 Rivers Data'!$T$5:$T$9,0),MATCH(T138,'G-7 Rivers Data'!$U$4:$Y$4,0)))),"")</f>
        <v/>
      </c>
      <c r="Z138" s="195"/>
      <c r="AA138" s="195"/>
      <c r="AB138" s="507" t="str">
        <f t="shared" si="11"/>
        <v/>
      </c>
      <c r="AC138" s="521" t="str">
        <f t="shared" si="12"/>
        <v/>
      </c>
      <c r="AD138" s="564" t="str">
        <f>IFERROR(IF(AC138="Check Data ⚠","Check Data ⚠",VLOOKUP(AC138,'G-4 Temporal multipliers'!$A$4:$C$37,3,FALSE)),"")</f>
        <v/>
      </c>
      <c r="AE138" s="498" t="str">
        <f>IF(N138="","",VLOOKUP(N138,'G-7 Rivers Data'!$B$4:$G$8,5,FALSE))</f>
        <v/>
      </c>
      <c r="AF138" s="507" t="str">
        <f t="shared" si="13"/>
        <v/>
      </c>
      <c r="AG138" s="540" t="str">
        <f t="shared" si="14"/>
        <v/>
      </c>
      <c r="AH138" s="499" t="str">
        <f t="shared" si="8"/>
        <v/>
      </c>
      <c r="AI138" s="145"/>
      <c r="AJ138" s="499" t="str">
        <f>IF(AI138="","",IF(VLOOKUP(AI138,'G-7 Rivers Data'!$AA$4:$AB$7,2,FALSE)=0,"Spatial Data Missing ⚠",VLOOKUP(AI138,'G-7 Rivers Data'!$AA$4:$AB$7,2,FALSE)))</f>
        <v/>
      </c>
      <c r="AK138" s="155"/>
      <c r="AL138" s="499" t="str">
        <f>IF(AK138="","",IF(VLOOKUP(AK138,'G-7 Rivers Data'!$AD$4:$AE$8,2,FALSE)=0,"Spatial Data Missing ⚠",VLOOKUP(AK138,'G-7 Rivers Data'!$AD$4:$AE$8,2,FALSE)))</f>
        <v/>
      </c>
      <c r="AM138" s="545" t="str">
        <f t="shared" si="15"/>
        <v/>
      </c>
      <c r="AN138" s="149"/>
      <c r="AO138" s="150"/>
      <c r="AV138" s="31" t="str">
        <f>IFERROR(INDEX('G-7 Rivers Data'!$AZ$3:$AZ$7,MATCH(N138,'G-7 Rivers Data'!$AY$3:$AY$7,0)),"")</f>
        <v/>
      </c>
    </row>
    <row r="139" spans="2:48" ht="14" x14ac:dyDescent="0.3">
      <c r="B139" s="531" t="str">
        <f>'C-1 Site River Baseline'!AN137</f>
        <v/>
      </c>
      <c r="C139" s="520" t="str">
        <f>IF(B139="","",VLOOKUP($B139,'C-1 Site River Baseline'!$C$9:$R$257,2,FALSE))</f>
        <v/>
      </c>
      <c r="D139" s="520" t="str">
        <f>IF(C139="","",VLOOKUP($B139,'C-1 Site River Baseline'!$C$9:$R$257,3,FALSE))</f>
        <v/>
      </c>
      <c r="E139" s="520" t="str">
        <f>IF(D139="","",VLOOKUP($B139,'C-1 Site River Baseline'!$C$9:$R$257,4,FALSE))</f>
        <v/>
      </c>
      <c r="F139" s="520" t="str">
        <f>IF(E139="","",VLOOKUP($B139,'C-1 Site River Baseline'!$C$9:$R$257,5,FALSE))</f>
        <v/>
      </c>
      <c r="G139" s="520" t="str">
        <f>IF(F139="","",VLOOKUP($B139,'C-1 Site River Baseline'!$C$9:$R$257,6,FALSE))</f>
        <v/>
      </c>
      <c r="H139" s="520" t="str">
        <f>IF(G139="","",VLOOKUP($B139,'C-1 Site River Baseline'!$C$9:$R$257,7,FALSE))</f>
        <v/>
      </c>
      <c r="I139" s="520" t="str">
        <f>IF(H139="","",VLOOKUP($B139,'C-1 Site River Baseline'!$C$9:$R$257,8,FALSE))</f>
        <v/>
      </c>
      <c r="J139" s="520" t="str">
        <f>IF(I139="","",VLOOKUP($B139,'C-1 Site River Baseline'!$C$9:$R$257,9,FALSE))</f>
        <v/>
      </c>
      <c r="K139" s="520" t="str">
        <f>IF(J139="","",VLOOKUP($B139,'C-1 Site River Baseline'!$C$9:$R$257,10,FALSE))</f>
        <v/>
      </c>
      <c r="L139" s="520" t="str">
        <f>IF(B139="","",VLOOKUP($B139,'C-1 Site River Baseline'!$C$9:$R$257,15,FALSE))</f>
        <v/>
      </c>
      <c r="M139" s="524" t="str">
        <f>IF(L139="","",VLOOKUP($B139,'C-1 Site River Baseline'!$C$9:$R$257,16,FALSE))</f>
        <v/>
      </c>
      <c r="N139" s="418" t="str">
        <f t="shared" si="9"/>
        <v/>
      </c>
      <c r="O139" s="498" t="str">
        <f t="shared" si="10"/>
        <v/>
      </c>
      <c r="P139" s="499" t="str">
        <f>IF(C139="","",IF(AND(LEFT(C139,55)&lt;&gt;LEFT(N139,55),O139="High - High"),"Error - Not like for like ▲",IF(AND(F139=S139,H139&gt;U139),"Error - Can not reduce condition ▲",IF(AND(F139=S139,H139=U139,AJ139='C-1 Site River Baseline'!N137,'C-1 Site River Baseline'!P137=AL139),"Error - No enhancement ▲",IF(AND(C139&lt;&gt;N139,F139&lt;S139),"Lower Distinctiveness Habitat"&amp;" - "&amp;T139,G139&amp;" - "&amp;T139)))))</f>
        <v/>
      </c>
      <c r="Q139" s="567" t="str">
        <f>IF(N139="","",VLOOKUP(B139,'C-1 Site River Baseline'!$C$10:$AA$257,19,FALSE))</f>
        <v/>
      </c>
      <c r="R139" s="498" t="str">
        <f>IF(N139="","",VLOOKUP(N139,'G-7 Rivers Data'!$B$2:$G$8,2,FALSE))</f>
        <v/>
      </c>
      <c r="S139" s="499" t="str">
        <f>IFERROR(VLOOKUP(R139,'G-7 Rivers Data'!$C$4:$D$8,2,FALSE),"")</f>
        <v/>
      </c>
      <c r="T139" s="145"/>
      <c r="U139" s="499" t="str">
        <f>IFERROR(INDEX('G-7 Rivers Data'!$H$4:$L$8,MATCH(N139,'G-7 Rivers Data'!$B$4:$B$8,0),MATCH(T139,'G-7 Rivers Data'!$H$3:$L$3,0)),"")</f>
        <v/>
      </c>
      <c r="V139" s="154"/>
      <c r="W139" s="507" t="str">
        <f>IF(V139="","",IF(VLOOKUP(V139,'G-7 Rivers Data'!$AG$4:$AI$9,2,FALSE)=0,"Spatial Data Missing ⚠",VLOOKUP(V139,'G-7 Rivers Data'!$AG$4:$AI$9,2,FALSE)))</f>
        <v/>
      </c>
      <c r="X139" s="499" t="str">
        <f>IF(V139="","",IF(VLOOKUP(V139,'G-7 Rivers Data'!$AG$4:$AI$9,3,FALSE)=0,"Spatial Data Missing ⚠",VLOOKUP(V139,'G-7 Rivers Data'!$AG$4:$AI$9,3,FALSE)))</f>
        <v/>
      </c>
      <c r="Y139" s="498" t="str">
        <f>IFERROR(IF(OR(LEFT(P139,5)="Error ▲",LEFT(O139,5)="Error ▲"),"Check Data ⚠",IF(F139&lt;S139,'G-7 Rivers Data'!$R$3,INDEX('G-7 Rivers Data'!$U$5:$Y$9,MATCH(G139,'G-7 Rivers Data'!$T$5:$T$9,0),MATCH(T139,'G-7 Rivers Data'!$U$4:$Y$4,0)))),"")</f>
        <v/>
      </c>
      <c r="Z139" s="195"/>
      <c r="AA139" s="195"/>
      <c r="AB139" s="507" t="str">
        <f t="shared" si="11"/>
        <v/>
      </c>
      <c r="AC139" s="521" t="str">
        <f t="shared" si="12"/>
        <v/>
      </c>
      <c r="AD139" s="564" t="str">
        <f>IFERROR(IF(AC139="Check Data ⚠","Check Data ⚠",VLOOKUP(AC139,'G-4 Temporal multipliers'!$A$4:$C$37,3,FALSE)),"")</f>
        <v/>
      </c>
      <c r="AE139" s="498" t="str">
        <f>IF(N139="","",VLOOKUP(N139,'G-7 Rivers Data'!$B$4:$G$8,5,FALSE))</f>
        <v/>
      </c>
      <c r="AF139" s="507" t="str">
        <f t="shared" si="13"/>
        <v/>
      </c>
      <c r="AG139" s="540" t="str">
        <f t="shared" si="14"/>
        <v/>
      </c>
      <c r="AH139" s="499" t="str">
        <f t="shared" si="8"/>
        <v/>
      </c>
      <c r="AI139" s="145"/>
      <c r="AJ139" s="499" t="str">
        <f>IF(AI139="","",IF(VLOOKUP(AI139,'G-7 Rivers Data'!$AA$4:$AB$7,2,FALSE)=0,"Spatial Data Missing ⚠",VLOOKUP(AI139,'G-7 Rivers Data'!$AA$4:$AB$7,2,FALSE)))</f>
        <v/>
      </c>
      <c r="AK139" s="155"/>
      <c r="AL139" s="499" t="str">
        <f>IF(AK139="","",IF(VLOOKUP(AK139,'G-7 Rivers Data'!$AD$4:$AE$8,2,FALSE)=0,"Spatial Data Missing ⚠",VLOOKUP(AK139,'G-7 Rivers Data'!$AD$4:$AE$8,2,FALSE)))</f>
        <v/>
      </c>
      <c r="AM139" s="545" t="str">
        <f t="shared" si="15"/>
        <v/>
      </c>
      <c r="AN139" s="149"/>
      <c r="AO139" s="150"/>
      <c r="AV139" s="31" t="str">
        <f>IFERROR(INDEX('G-7 Rivers Data'!$AZ$3:$AZ$7,MATCH(N139,'G-7 Rivers Data'!$AY$3:$AY$7,0)),"")</f>
        <v/>
      </c>
    </row>
    <row r="140" spans="2:48" ht="14" x14ac:dyDescent="0.3">
      <c r="B140" s="531" t="str">
        <f>'C-1 Site River Baseline'!AN138</f>
        <v/>
      </c>
      <c r="C140" s="520" t="str">
        <f>IF(B140="","",VLOOKUP($B140,'C-1 Site River Baseline'!$C$9:$R$257,2,FALSE))</f>
        <v/>
      </c>
      <c r="D140" s="520" t="str">
        <f>IF(C140="","",VLOOKUP($B140,'C-1 Site River Baseline'!$C$9:$R$257,3,FALSE))</f>
        <v/>
      </c>
      <c r="E140" s="520" t="str">
        <f>IF(D140="","",VLOOKUP($B140,'C-1 Site River Baseline'!$C$9:$R$257,4,FALSE))</f>
        <v/>
      </c>
      <c r="F140" s="520" t="str">
        <f>IF(E140="","",VLOOKUP($B140,'C-1 Site River Baseline'!$C$9:$R$257,5,FALSE))</f>
        <v/>
      </c>
      <c r="G140" s="520" t="str">
        <f>IF(F140="","",VLOOKUP($B140,'C-1 Site River Baseline'!$C$9:$R$257,6,FALSE))</f>
        <v/>
      </c>
      <c r="H140" s="520" t="str">
        <f>IF(G140="","",VLOOKUP($B140,'C-1 Site River Baseline'!$C$9:$R$257,7,FALSE))</f>
        <v/>
      </c>
      <c r="I140" s="520" t="str">
        <f>IF(H140="","",VLOOKUP($B140,'C-1 Site River Baseline'!$C$9:$R$257,8,FALSE))</f>
        <v/>
      </c>
      <c r="J140" s="520" t="str">
        <f>IF(I140="","",VLOOKUP($B140,'C-1 Site River Baseline'!$C$9:$R$257,9,FALSE))</f>
        <v/>
      </c>
      <c r="K140" s="520" t="str">
        <f>IF(J140="","",VLOOKUP($B140,'C-1 Site River Baseline'!$C$9:$R$257,10,FALSE))</f>
        <v/>
      </c>
      <c r="L140" s="520" t="str">
        <f>IF(B140="","",VLOOKUP($B140,'C-1 Site River Baseline'!$C$9:$R$257,15,FALSE))</f>
        <v/>
      </c>
      <c r="M140" s="524" t="str">
        <f>IF(L140="","",VLOOKUP($B140,'C-1 Site River Baseline'!$C$9:$R$257,16,FALSE))</f>
        <v/>
      </c>
      <c r="N140" s="418" t="str">
        <f t="shared" si="9"/>
        <v/>
      </c>
      <c r="O140" s="498" t="str">
        <f t="shared" si="10"/>
        <v/>
      </c>
      <c r="P140" s="499" t="str">
        <f>IF(C140="","",IF(AND(LEFT(C140,55)&lt;&gt;LEFT(N140,55),O140="High - High"),"Error - Not like for like ▲",IF(AND(F140=S140,H140&gt;U140),"Error - Can not reduce condition ▲",IF(AND(F140=S140,H140=U140,AJ140='C-1 Site River Baseline'!N138,'C-1 Site River Baseline'!P138=AL140),"Error - No enhancement ▲",IF(AND(C140&lt;&gt;N140,F140&lt;S140),"Lower Distinctiveness Habitat"&amp;" - "&amp;T140,G140&amp;" - "&amp;T140)))))</f>
        <v/>
      </c>
      <c r="Q140" s="567" t="str">
        <f>IF(N140="","",VLOOKUP(B140,'C-1 Site River Baseline'!$C$10:$AA$257,19,FALSE))</f>
        <v/>
      </c>
      <c r="R140" s="498" t="str">
        <f>IF(N140="","",VLOOKUP(N140,'G-7 Rivers Data'!$B$2:$G$8,2,FALSE))</f>
        <v/>
      </c>
      <c r="S140" s="499" t="str">
        <f>IFERROR(VLOOKUP(R140,'G-7 Rivers Data'!$C$4:$D$8,2,FALSE),"")</f>
        <v/>
      </c>
      <c r="T140" s="145"/>
      <c r="U140" s="499" t="str">
        <f>IFERROR(INDEX('G-7 Rivers Data'!$H$4:$L$8,MATCH(N140,'G-7 Rivers Data'!$B$4:$B$8,0),MATCH(T140,'G-7 Rivers Data'!$H$3:$L$3,0)),"")</f>
        <v/>
      </c>
      <c r="V140" s="154"/>
      <c r="W140" s="507" t="str">
        <f>IF(V140="","",IF(VLOOKUP(V140,'G-7 Rivers Data'!$AG$4:$AI$9,2,FALSE)=0,"Spatial Data Missing ⚠",VLOOKUP(V140,'G-7 Rivers Data'!$AG$4:$AI$9,2,FALSE)))</f>
        <v/>
      </c>
      <c r="X140" s="499" t="str">
        <f>IF(V140="","",IF(VLOOKUP(V140,'G-7 Rivers Data'!$AG$4:$AI$9,3,FALSE)=0,"Spatial Data Missing ⚠",VLOOKUP(V140,'G-7 Rivers Data'!$AG$4:$AI$9,3,FALSE)))</f>
        <v/>
      </c>
      <c r="Y140" s="498" t="str">
        <f>IFERROR(IF(OR(LEFT(P140,5)="Error ▲",LEFT(O140,5)="Error ▲"),"Check Data ⚠",IF(F140&lt;S140,'G-7 Rivers Data'!$R$3,INDEX('G-7 Rivers Data'!$U$5:$Y$9,MATCH(G140,'G-7 Rivers Data'!$T$5:$T$9,0),MATCH(T140,'G-7 Rivers Data'!$U$4:$Y$4,0)))),"")</f>
        <v/>
      </c>
      <c r="Z140" s="195"/>
      <c r="AA140" s="195"/>
      <c r="AB140" s="507" t="str">
        <f t="shared" si="11"/>
        <v/>
      </c>
      <c r="AC140" s="521" t="str">
        <f t="shared" si="12"/>
        <v/>
      </c>
      <c r="AD140" s="564" t="str">
        <f>IFERROR(IF(AC140="Check Data ⚠","Check Data ⚠",VLOOKUP(AC140,'G-4 Temporal multipliers'!$A$4:$C$37,3,FALSE)),"")</f>
        <v/>
      </c>
      <c r="AE140" s="498" t="str">
        <f>IF(N140="","",VLOOKUP(N140,'G-7 Rivers Data'!$B$4:$G$8,5,FALSE))</f>
        <v/>
      </c>
      <c r="AF140" s="507" t="str">
        <f t="shared" si="13"/>
        <v/>
      </c>
      <c r="AG140" s="540" t="str">
        <f t="shared" si="14"/>
        <v/>
      </c>
      <c r="AH140" s="499" t="str">
        <f t="shared" ref="AH140:AH203" si="16">IF(N140="","",VLOOKUP(AE140,Difficulty,2,FALSE))</f>
        <v/>
      </c>
      <c r="AI140" s="145"/>
      <c r="AJ140" s="499" t="str">
        <f>IF(AI140="","",IF(VLOOKUP(AI140,'G-7 Rivers Data'!$AA$4:$AB$7,2,FALSE)=0,"Spatial Data Missing ⚠",VLOOKUP(AI140,'G-7 Rivers Data'!$AA$4:$AB$7,2,FALSE)))</f>
        <v/>
      </c>
      <c r="AK140" s="155"/>
      <c r="AL140" s="499" t="str">
        <f>IF(AK140="","",IF(VLOOKUP(AK140,'G-7 Rivers Data'!$AD$4:$AE$8,2,FALSE)=0,"Spatial Data Missing ⚠",VLOOKUP(AK140,'G-7 Rivers Data'!$AD$4:$AE$8,2,FALSE)))</f>
        <v/>
      </c>
      <c r="AM140" s="545" t="str">
        <f t="shared" si="15"/>
        <v/>
      </c>
      <c r="AN140" s="149"/>
      <c r="AO140" s="150"/>
      <c r="AV140" s="31" t="str">
        <f>IFERROR(INDEX('G-7 Rivers Data'!$AZ$3:$AZ$7,MATCH(N140,'G-7 Rivers Data'!$AY$3:$AY$7,0)),"")</f>
        <v/>
      </c>
    </row>
    <row r="141" spans="2:48" ht="14" x14ac:dyDescent="0.3">
      <c r="B141" s="531" t="str">
        <f>'C-1 Site River Baseline'!AN139</f>
        <v/>
      </c>
      <c r="C141" s="520" t="str">
        <f>IF(B141="","",VLOOKUP($B141,'C-1 Site River Baseline'!$C$9:$R$257,2,FALSE))</f>
        <v/>
      </c>
      <c r="D141" s="520" t="str">
        <f>IF(C141="","",VLOOKUP($B141,'C-1 Site River Baseline'!$C$9:$R$257,3,FALSE))</f>
        <v/>
      </c>
      <c r="E141" s="520" t="str">
        <f>IF(D141="","",VLOOKUP($B141,'C-1 Site River Baseline'!$C$9:$R$257,4,FALSE))</f>
        <v/>
      </c>
      <c r="F141" s="520" t="str">
        <f>IF(E141="","",VLOOKUP($B141,'C-1 Site River Baseline'!$C$9:$R$257,5,FALSE))</f>
        <v/>
      </c>
      <c r="G141" s="520" t="str">
        <f>IF(F141="","",VLOOKUP($B141,'C-1 Site River Baseline'!$C$9:$R$257,6,FALSE))</f>
        <v/>
      </c>
      <c r="H141" s="520" t="str">
        <f>IF(G141="","",VLOOKUP($B141,'C-1 Site River Baseline'!$C$9:$R$257,7,FALSE))</f>
        <v/>
      </c>
      <c r="I141" s="520" t="str">
        <f>IF(H141="","",VLOOKUP($B141,'C-1 Site River Baseline'!$C$9:$R$257,8,FALSE))</f>
        <v/>
      </c>
      <c r="J141" s="520" t="str">
        <f>IF(I141="","",VLOOKUP($B141,'C-1 Site River Baseline'!$C$9:$R$257,9,FALSE))</f>
        <v/>
      </c>
      <c r="K141" s="520" t="str">
        <f>IF(J141="","",VLOOKUP($B141,'C-1 Site River Baseline'!$C$9:$R$257,10,FALSE))</f>
        <v/>
      </c>
      <c r="L141" s="520" t="str">
        <f>IF(B141="","",VLOOKUP($B141,'C-1 Site River Baseline'!$C$9:$R$257,15,FALSE))</f>
        <v/>
      </c>
      <c r="M141" s="524" t="str">
        <f>IF(L141="","",VLOOKUP($B141,'C-1 Site River Baseline'!$C$9:$R$257,16,FALSE))</f>
        <v/>
      </c>
      <c r="N141" s="418" t="str">
        <f t="shared" ref="N141:N204" si="17">C141</f>
        <v/>
      </c>
      <c r="O141" s="498" t="str">
        <f t="shared" ref="O141:O204" si="18">IF(B141="","",IF(S141&lt;F141,"Error Trading Down ▲",E141&amp;" - "&amp;R141))</f>
        <v/>
      </c>
      <c r="P141" s="499" t="str">
        <f>IF(C141="","",IF(AND(LEFT(C141,55)&lt;&gt;LEFT(N141,55),O141="High - High"),"Error - Not like for like ▲",IF(AND(F141=S141,H141&gt;U141),"Error - Can not reduce condition ▲",IF(AND(F141=S141,H141=U141,AJ141='C-1 Site River Baseline'!N139,'C-1 Site River Baseline'!P139=AL141),"Error - No enhancement ▲",IF(AND(C141&lt;&gt;N141,F141&lt;S141),"Lower Distinctiveness Habitat"&amp;" - "&amp;T141,G141&amp;" - "&amp;T141)))))</f>
        <v/>
      </c>
      <c r="Q141" s="567" t="str">
        <f>IF(N141="","",VLOOKUP(B141,'C-1 Site River Baseline'!$C$10:$AA$257,19,FALSE))</f>
        <v/>
      </c>
      <c r="R141" s="498" t="str">
        <f>IF(N141="","",VLOOKUP(N141,'G-7 Rivers Data'!$B$2:$G$8,2,FALSE))</f>
        <v/>
      </c>
      <c r="S141" s="499" t="str">
        <f>IFERROR(VLOOKUP(R141,'G-7 Rivers Data'!$C$4:$D$8,2,FALSE),"")</f>
        <v/>
      </c>
      <c r="T141" s="145"/>
      <c r="U141" s="499" t="str">
        <f>IFERROR(INDEX('G-7 Rivers Data'!$H$4:$L$8,MATCH(N141,'G-7 Rivers Data'!$B$4:$B$8,0),MATCH(T141,'G-7 Rivers Data'!$H$3:$L$3,0)),"")</f>
        <v/>
      </c>
      <c r="V141" s="154"/>
      <c r="W141" s="507" t="str">
        <f>IF(V141="","",IF(VLOOKUP(V141,'G-7 Rivers Data'!$AG$4:$AI$9,2,FALSE)=0,"Spatial Data Missing ⚠",VLOOKUP(V141,'G-7 Rivers Data'!$AG$4:$AI$9,2,FALSE)))</f>
        <v/>
      </c>
      <c r="X141" s="499" t="str">
        <f>IF(V141="","",IF(VLOOKUP(V141,'G-7 Rivers Data'!$AG$4:$AI$9,3,FALSE)=0,"Spatial Data Missing ⚠",VLOOKUP(V141,'G-7 Rivers Data'!$AG$4:$AI$9,3,FALSE)))</f>
        <v/>
      </c>
      <c r="Y141" s="498" t="str">
        <f>IFERROR(IF(OR(LEFT(P141,5)="Error ▲",LEFT(O141,5)="Error ▲"),"Check Data ⚠",IF(F141&lt;S141,'G-7 Rivers Data'!$R$3,INDEX('G-7 Rivers Data'!$U$5:$Y$9,MATCH(G141,'G-7 Rivers Data'!$T$5:$T$9,0),MATCH(T141,'G-7 Rivers Data'!$U$4:$Y$4,0)))),"")</f>
        <v/>
      </c>
      <c r="Z141" s="195"/>
      <c r="AA141" s="195"/>
      <c r="AB141" s="507" t="str">
        <f t="shared" ref="AB141:AB204" si="19">IF(Y141="","",IF(Y141="Check Data ⚠","Check Data ⚠",IF(AND(Z141&gt;0,AA141&gt;0),"Error -both advance and delayed habitat creation ▲",IF(AND(OR(Z141="Habitat already in target condition",Y141&lt;=Z141),AA141=0),"Check details - Is there evidence that habitat has reached target condition? ⚠",IF(Z141&gt;0,"Check details - Is there evidence habitat creation started/in place? ⚠",IF(AA141&gt;0,"Check details- Delay in starting habitat in required condition? ⚠","Standard time to target condition applied"))))))</f>
        <v/>
      </c>
      <c r="AC141" s="521" t="str">
        <f t="shared" ref="AC141:AC204" si="20">IF(LEFT(AB141,5)="Error ▲","Check Data ⚠",IF(AB141="Check Data ⚠","Check Data ⚠",IF(Y141="","",IF(Z141="30+",0,IF(AA141="30+","30+ ⚠",IF(Y141+AA141&gt;30,"30+ ⚠",IF(Y141+AA141-Z141&gt;0,Y141+AA141-Z141,IF(Y141-Z141&lt;0,0,Y141+AA141-Z141))))))))</f>
        <v/>
      </c>
      <c r="AD141" s="564" t="str">
        <f>IFERROR(IF(AC141="Check Data ⚠","Check Data ⚠",VLOOKUP(AC141,'G-4 Temporal multipliers'!$A$4:$C$37,3,FALSE)),"")</f>
        <v/>
      </c>
      <c r="AE141" s="498" t="str">
        <f>IF(N141="","",VLOOKUP(N141,'G-7 Rivers Data'!$B$4:$G$8,5,FALSE))</f>
        <v/>
      </c>
      <c r="AF141" s="507" t="str">
        <f t="shared" ref="AF141:AF204" si="21">IF(N141="","",IF(AC141="Check Data ⚠","Check Data ⚠",IF(T141="","",IF($AB141="Check details - Is there evidence that habitat has reached target condition? ⚠","Low Difficulty - only applicable if all habitat created before losses ⚠","Standard difficulty applied"))))</f>
        <v/>
      </c>
      <c r="AG141" s="540" t="str">
        <f t="shared" ref="AG141:AG204" si="22">(IF(AND(AF141="Standard difficulty applied",Y141&gt;Z141),AE141,IF(AND(AF141="Low Difficulty - only applicable if all habitat created before losses ⚠",Z141&gt;=Y141),"Low",AE141)))</f>
        <v/>
      </c>
      <c r="AH141" s="499" t="str">
        <f t="shared" si="16"/>
        <v/>
      </c>
      <c r="AI141" s="145"/>
      <c r="AJ141" s="499" t="str">
        <f>IF(AI141="","",IF(VLOOKUP(AI141,'G-7 Rivers Data'!$AA$4:$AB$7,2,FALSE)=0,"Spatial Data Missing ⚠",VLOOKUP(AI141,'G-7 Rivers Data'!$AA$4:$AB$7,2,FALSE)))</f>
        <v/>
      </c>
      <c r="AK141" s="155"/>
      <c r="AL141" s="499" t="str">
        <f>IF(AK141="","",IF(VLOOKUP(AK141,'G-7 Rivers Data'!$AD$4:$AE$8,2,FALSE)=0,"Spatial Data Missing ⚠",VLOOKUP(AK141,'G-7 Rivers Data'!$AD$4:$AE$8,2,FALSE)))</f>
        <v/>
      </c>
      <c r="AM141" s="545" t="str">
        <f t="shared" si="15"/>
        <v/>
      </c>
      <c r="AN141" s="149"/>
      <c r="AO141" s="150"/>
      <c r="AV141" s="31" t="str">
        <f>IFERROR(INDEX('G-7 Rivers Data'!$AZ$3:$AZ$7,MATCH(N141,'G-7 Rivers Data'!$AY$3:$AY$7,0)),"")</f>
        <v/>
      </c>
    </row>
    <row r="142" spans="2:48" ht="14" x14ac:dyDescent="0.3">
      <c r="B142" s="531" t="str">
        <f>'C-1 Site River Baseline'!AN140</f>
        <v/>
      </c>
      <c r="C142" s="520" t="str">
        <f>IF(B142="","",VLOOKUP($B142,'C-1 Site River Baseline'!$C$9:$R$257,2,FALSE))</f>
        <v/>
      </c>
      <c r="D142" s="520" t="str">
        <f>IF(C142="","",VLOOKUP($B142,'C-1 Site River Baseline'!$C$9:$R$257,3,FALSE))</f>
        <v/>
      </c>
      <c r="E142" s="520" t="str">
        <f>IF(D142="","",VLOOKUP($B142,'C-1 Site River Baseline'!$C$9:$R$257,4,FALSE))</f>
        <v/>
      </c>
      <c r="F142" s="520" t="str">
        <f>IF(E142="","",VLOOKUP($B142,'C-1 Site River Baseline'!$C$9:$R$257,5,FALSE))</f>
        <v/>
      </c>
      <c r="G142" s="520" t="str">
        <f>IF(F142="","",VLOOKUP($B142,'C-1 Site River Baseline'!$C$9:$R$257,6,FALSE))</f>
        <v/>
      </c>
      <c r="H142" s="520" t="str">
        <f>IF(G142="","",VLOOKUP($B142,'C-1 Site River Baseline'!$C$9:$R$257,7,FALSE))</f>
        <v/>
      </c>
      <c r="I142" s="520" t="str">
        <f>IF(H142="","",VLOOKUP($B142,'C-1 Site River Baseline'!$C$9:$R$257,8,FALSE))</f>
        <v/>
      </c>
      <c r="J142" s="520" t="str">
        <f>IF(I142="","",VLOOKUP($B142,'C-1 Site River Baseline'!$C$9:$R$257,9,FALSE))</f>
        <v/>
      </c>
      <c r="K142" s="520" t="str">
        <f>IF(J142="","",VLOOKUP($B142,'C-1 Site River Baseline'!$C$9:$R$257,10,FALSE))</f>
        <v/>
      </c>
      <c r="L142" s="520" t="str">
        <f>IF(B142="","",VLOOKUP($B142,'C-1 Site River Baseline'!$C$9:$R$257,15,FALSE))</f>
        <v/>
      </c>
      <c r="M142" s="524" t="str">
        <f>IF(L142="","",VLOOKUP($B142,'C-1 Site River Baseline'!$C$9:$R$257,16,FALSE))</f>
        <v/>
      </c>
      <c r="N142" s="418" t="str">
        <f t="shared" si="17"/>
        <v/>
      </c>
      <c r="O142" s="498" t="str">
        <f t="shared" si="18"/>
        <v/>
      </c>
      <c r="P142" s="499" t="str">
        <f>IF(C142="","",IF(AND(LEFT(C142,55)&lt;&gt;LEFT(N142,55),O142="High - High"),"Error - Not like for like ▲",IF(AND(F142=S142,H142&gt;U142),"Error - Can not reduce condition ▲",IF(AND(F142=S142,H142=U142,AJ142='C-1 Site River Baseline'!N140,'C-1 Site River Baseline'!P140=AL142),"Error - No enhancement ▲",IF(AND(C142&lt;&gt;N142,F142&lt;S142),"Lower Distinctiveness Habitat"&amp;" - "&amp;T142,G142&amp;" - "&amp;T142)))))</f>
        <v/>
      </c>
      <c r="Q142" s="567" t="str">
        <f>IF(N142="","",VLOOKUP(B142,'C-1 Site River Baseline'!$C$10:$AA$257,19,FALSE))</f>
        <v/>
      </c>
      <c r="R142" s="498" t="str">
        <f>IF(N142="","",VLOOKUP(N142,'G-7 Rivers Data'!$B$2:$G$8,2,FALSE))</f>
        <v/>
      </c>
      <c r="S142" s="499" t="str">
        <f>IFERROR(VLOOKUP(R142,'G-7 Rivers Data'!$C$4:$D$8,2,FALSE),"")</f>
        <v/>
      </c>
      <c r="T142" s="145"/>
      <c r="U142" s="499" t="str">
        <f>IFERROR(INDEX('G-7 Rivers Data'!$H$4:$L$8,MATCH(N142,'G-7 Rivers Data'!$B$4:$B$8,0),MATCH(T142,'G-7 Rivers Data'!$H$3:$L$3,0)),"")</f>
        <v/>
      </c>
      <c r="V142" s="154"/>
      <c r="W142" s="507" t="str">
        <f>IF(V142="","",IF(VLOOKUP(V142,'G-7 Rivers Data'!$AG$4:$AI$9,2,FALSE)=0,"Spatial Data Missing ⚠",VLOOKUP(V142,'G-7 Rivers Data'!$AG$4:$AI$9,2,FALSE)))</f>
        <v/>
      </c>
      <c r="X142" s="499" t="str">
        <f>IF(V142="","",IF(VLOOKUP(V142,'G-7 Rivers Data'!$AG$4:$AI$9,3,FALSE)=0,"Spatial Data Missing ⚠",VLOOKUP(V142,'G-7 Rivers Data'!$AG$4:$AI$9,3,FALSE)))</f>
        <v/>
      </c>
      <c r="Y142" s="498" t="str">
        <f>IFERROR(IF(OR(LEFT(P142,5)="Error ▲",LEFT(O142,5)="Error ▲"),"Check Data ⚠",IF(F142&lt;S142,'G-7 Rivers Data'!$R$3,INDEX('G-7 Rivers Data'!$U$5:$Y$9,MATCH(G142,'G-7 Rivers Data'!$T$5:$T$9,0),MATCH(T142,'G-7 Rivers Data'!$U$4:$Y$4,0)))),"")</f>
        <v/>
      </c>
      <c r="Z142" s="195"/>
      <c r="AA142" s="195"/>
      <c r="AB142" s="507" t="str">
        <f t="shared" si="19"/>
        <v/>
      </c>
      <c r="AC142" s="521" t="str">
        <f t="shared" si="20"/>
        <v/>
      </c>
      <c r="AD142" s="564" t="str">
        <f>IFERROR(IF(AC142="Check Data ⚠","Check Data ⚠",VLOOKUP(AC142,'G-4 Temporal multipliers'!$A$4:$C$37,3,FALSE)),"")</f>
        <v/>
      </c>
      <c r="AE142" s="498" t="str">
        <f>IF(N142="","",VLOOKUP(N142,'G-7 Rivers Data'!$B$4:$G$8,5,FALSE))</f>
        <v/>
      </c>
      <c r="AF142" s="507" t="str">
        <f t="shared" si="21"/>
        <v/>
      </c>
      <c r="AG142" s="540" t="str">
        <f t="shared" si="22"/>
        <v/>
      </c>
      <c r="AH142" s="499" t="str">
        <f t="shared" si="16"/>
        <v/>
      </c>
      <c r="AI142" s="145"/>
      <c r="AJ142" s="499" t="str">
        <f>IF(AI142="","",IF(VLOOKUP(AI142,'G-7 Rivers Data'!$AA$4:$AB$7,2,FALSE)=0,"Spatial Data Missing ⚠",VLOOKUP(AI142,'G-7 Rivers Data'!$AA$4:$AB$7,2,FALSE)))</f>
        <v/>
      </c>
      <c r="AK142" s="155"/>
      <c r="AL142" s="499" t="str">
        <f>IF(AK142="","",IF(VLOOKUP(AK142,'G-7 Rivers Data'!$AD$4:$AE$8,2,FALSE)=0,"Spatial Data Missing ⚠",VLOOKUP(AK142,'G-7 Rivers Data'!$AD$4:$AE$8,2,FALSE)))</f>
        <v/>
      </c>
      <c r="AM142" s="545" t="str">
        <f t="shared" ref="AM142:AM205" si="23">IFERROR(IF(C142="","",IF(Q142&gt;D142,((((Q142*S142*U142)-(D142*F142*H142))*(AH142*AD142))+(D142*F142*H142))*(AL142*X142*AJ142),((((Q142*S142*U142)-(Q142*F142*H142))*(AH142*AD142))+(Q142*F142*H142))*(AL142*X142*AJ142))),"")</f>
        <v/>
      </c>
      <c r="AN142" s="149"/>
      <c r="AO142" s="150"/>
      <c r="AV142" s="31" t="str">
        <f>IFERROR(INDEX('G-7 Rivers Data'!$AZ$3:$AZ$7,MATCH(N142,'G-7 Rivers Data'!$AY$3:$AY$7,0)),"")</f>
        <v/>
      </c>
    </row>
    <row r="143" spans="2:48" ht="14" x14ac:dyDescent="0.3">
      <c r="B143" s="531" t="str">
        <f>'C-1 Site River Baseline'!AN141</f>
        <v/>
      </c>
      <c r="C143" s="520" t="str">
        <f>IF(B143="","",VLOOKUP($B143,'C-1 Site River Baseline'!$C$9:$R$257,2,FALSE))</f>
        <v/>
      </c>
      <c r="D143" s="520" t="str">
        <f>IF(C143="","",VLOOKUP($B143,'C-1 Site River Baseline'!$C$9:$R$257,3,FALSE))</f>
        <v/>
      </c>
      <c r="E143" s="520" t="str">
        <f>IF(D143="","",VLOOKUP($B143,'C-1 Site River Baseline'!$C$9:$R$257,4,FALSE))</f>
        <v/>
      </c>
      <c r="F143" s="520" t="str">
        <f>IF(E143="","",VLOOKUP($B143,'C-1 Site River Baseline'!$C$9:$R$257,5,FALSE))</f>
        <v/>
      </c>
      <c r="G143" s="520" t="str">
        <f>IF(F143="","",VLOOKUP($B143,'C-1 Site River Baseline'!$C$9:$R$257,6,FALSE))</f>
        <v/>
      </c>
      <c r="H143" s="520" t="str">
        <f>IF(G143="","",VLOOKUP($B143,'C-1 Site River Baseline'!$C$9:$R$257,7,FALSE))</f>
        <v/>
      </c>
      <c r="I143" s="520" t="str">
        <f>IF(H143="","",VLOOKUP($B143,'C-1 Site River Baseline'!$C$9:$R$257,8,FALSE))</f>
        <v/>
      </c>
      <c r="J143" s="520" t="str">
        <f>IF(I143="","",VLOOKUP($B143,'C-1 Site River Baseline'!$C$9:$R$257,9,FALSE))</f>
        <v/>
      </c>
      <c r="K143" s="520" t="str">
        <f>IF(J143="","",VLOOKUP($B143,'C-1 Site River Baseline'!$C$9:$R$257,10,FALSE))</f>
        <v/>
      </c>
      <c r="L143" s="520" t="str">
        <f>IF(B143="","",VLOOKUP($B143,'C-1 Site River Baseline'!$C$9:$R$257,15,FALSE))</f>
        <v/>
      </c>
      <c r="M143" s="524" t="str">
        <f>IF(L143="","",VLOOKUP($B143,'C-1 Site River Baseline'!$C$9:$R$257,16,FALSE))</f>
        <v/>
      </c>
      <c r="N143" s="418" t="str">
        <f t="shared" si="17"/>
        <v/>
      </c>
      <c r="O143" s="498" t="str">
        <f t="shared" si="18"/>
        <v/>
      </c>
      <c r="P143" s="499" t="str">
        <f>IF(C143="","",IF(AND(LEFT(C143,55)&lt;&gt;LEFT(N143,55),O143="High - High"),"Error - Not like for like ▲",IF(AND(F143=S143,H143&gt;U143),"Error - Can not reduce condition ▲",IF(AND(F143=S143,H143=U143,AJ143='C-1 Site River Baseline'!N141,'C-1 Site River Baseline'!P141=AL143),"Error - No enhancement ▲",IF(AND(C143&lt;&gt;N143,F143&lt;S143),"Lower Distinctiveness Habitat"&amp;" - "&amp;T143,G143&amp;" - "&amp;T143)))))</f>
        <v/>
      </c>
      <c r="Q143" s="567" t="str">
        <f>IF(N143="","",VLOOKUP(B143,'C-1 Site River Baseline'!$C$10:$AA$257,19,FALSE))</f>
        <v/>
      </c>
      <c r="R143" s="498" t="str">
        <f>IF(N143="","",VLOOKUP(N143,'G-7 Rivers Data'!$B$2:$G$8,2,FALSE))</f>
        <v/>
      </c>
      <c r="S143" s="499" t="str">
        <f>IFERROR(VLOOKUP(R143,'G-7 Rivers Data'!$C$4:$D$8,2,FALSE),"")</f>
        <v/>
      </c>
      <c r="T143" s="145"/>
      <c r="U143" s="499" t="str">
        <f>IFERROR(INDEX('G-7 Rivers Data'!$H$4:$L$8,MATCH(N143,'G-7 Rivers Data'!$B$4:$B$8,0),MATCH(T143,'G-7 Rivers Data'!$H$3:$L$3,0)),"")</f>
        <v/>
      </c>
      <c r="V143" s="154"/>
      <c r="W143" s="507" t="str">
        <f>IF(V143="","",IF(VLOOKUP(V143,'G-7 Rivers Data'!$AG$4:$AI$9,2,FALSE)=0,"Spatial Data Missing ⚠",VLOOKUP(V143,'G-7 Rivers Data'!$AG$4:$AI$9,2,FALSE)))</f>
        <v/>
      </c>
      <c r="X143" s="499" t="str">
        <f>IF(V143="","",IF(VLOOKUP(V143,'G-7 Rivers Data'!$AG$4:$AI$9,3,FALSE)=0,"Spatial Data Missing ⚠",VLOOKUP(V143,'G-7 Rivers Data'!$AG$4:$AI$9,3,FALSE)))</f>
        <v/>
      </c>
      <c r="Y143" s="498" t="str">
        <f>IFERROR(IF(OR(LEFT(P143,5)="Error ▲",LEFT(O143,5)="Error ▲"),"Check Data ⚠",IF(F143&lt;S143,'G-7 Rivers Data'!$R$3,INDEX('G-7 Rivers Data'!$U$5:$Y$9,MATCH(G143,'G-7 Rivers Data'!$T$5:$T$9,0),MATCH(T143,'G-7 Rivers Data'!$U$4:$Y$4,0)))),"")</f>
        <v/>
      </c>
      <c r="Z143" s="195"/>
      <c r="AA143" s="195"/>
      <c r="AB143" s="507" t="str">
        <f t="shared" si="19"/>
        <v/>
      </c>
      <c r="AC143" s="521" t="str">
        <f t="shared" si="20"/>
        <v/>
      </c>
      <c r="AD143" s="564" t="str">
        <f>IFERROR(IF(AC143="Check Data ⚠","Check Data ⚠",VLOOKUP(AC143,'G-4 Temporal multipliers'!$A$4:$C$37,3,FALSE)),"")</f>
        <v/>
      </c>
      <c r="AE143" s="498" t="str">
        <f>IF(N143="","",VLOOKUP(N143,'G-7 Rivers Data'!$B$4:$G$8,5,FALSE))</f>
        <v/>
      </c>
      <c r="AF143" s="507" t="str">
        <f t="shared" si="21"/>
        <v/>
      </c>
      <c r="AG143" s="540" t="str">
        <f t="shared" si="22"/>
        <v/>
      </c>
      <c r="AH143" s="499" t="str">
        <f t="shared" si="16"/>
        <v/>
      </c>
      <c r="AI143" s="145"/>
      <c r="AJ143" s="499" t="str">
        <f>IF(AI143="","",IF(VLOOKUP(AI143,'G-7 Rivers Data'!$AA$4:$AB$7,2,FALSE)=0,"Spatial Data Missing ⚠",VLOOKUP(AI143,'G-7 Rivers Data'!$AA$4:$AB$7,2,FALSE)))</f>
        <v/>
      </c>
      <c r="AK143" s="155"/>
      <c r="AL143" s="499" t="str">
        <f>IF(AK143="","",IF(VLOOKUP(AK143,'G-7 Rivers Data'!$AD$4:$AE$8,2,FALSE)=0,"Spatial Data Missing ⚠",VLOOKUP(AK143,'G-7 Rivers Data'!$AD$4:$AE$8,2,FALSE)))</f>
        <v/>
      </c>
      <c r="AM143" s="545" t="str">
        <f t="shared" si="23"/>
        <v/>
      </c>
      <c r="AN143" s="149"/>
      <c r="AO143" s="150"/>
      <c r="AV143" s="31" t="str">
        <f>IFERROR(INDEX('G-7 Rivers Data'!$AZ$3:$AZ$7,MATCH(N143,'G-7 Rivers Data'!$AY$3:$AY$7,0)),"")</f>
        <v/>
      </c>
    </row>
    <row r="144" spans="2:48" ht="14" x14ac:dyDescent="0.3">
      <c r="B144" s="531" t="str">
        <f>'C-1 Site River Baseline'!AN142</f>
        <v/>
      </c>
      <c r="C144" s="520" t="str">
        <f>IF(B144="","",VLOOKUP($B144,'C-1 Site River Baseline'!$C$9:$R$257,2,FALSE))</f>
        <v/>
      </c>
      <c r="D144" s="520" t="str">
        <f>IF(C144="","",VLOOKUP($B144,'C-1 Site River Baseline'!$C$9:$R$257,3,FALSE))</f>
        <v/>
      </c>
      <c r="E144" s="520" t="str">
        <f>IF(D144="","",VLOOKUP($B144,'C-1 Site River Baseline'!$C$9:$R$257,4,FALSE))</f>
        <v/>
      </c>
      <c r="F144" s="520" t="str">
        <f>IF(E144="","",VLOOKUP($B144,'C-1 Site River Baseline'!$C$9:$R$257,5,FALSE))</f>
        <v/>
      </c>
      <c r="G144" s="520" t="str">
        <f>IF(F144="","",VLOOKUP($B144,'C-1 Site River Baseline'!$C$9:$R$257,6,FALSE))</f>
        <v/>
      </c>
      <c r="H144" s="520" t="str">
        <f>IF(G144="","",VLOOKUP($B144,'C-1 Site River Baseline'!$C$9:$R$257,7,FALSE))</f>
        <v/>
      </c>
      <c r="I144" s="520" t="str">
        <f>IF(H144="","",VLOOKUP($B144,'C-1 Site River Baseline'!$C$9:$R$257,8,FALSE))</f>
        <v/>
      </c>
      <c r="J144" s="520" t="str">
        <f>IF(I144="","",VLOOKUP($B144,'C-1 Site River Baseline'!$C$9:$R$257,9,FALSE))</f>
        <v/>
      </c>
      <c r="K144" s="520" t="str">
        <f>IF(J144="","",VLOOKUP($B144,'C-1 Site River Baseline'!$C$9:$R$257,10,FALSE))</f>
        <v/>
      </c>
      <c r="L144" s="520" t="str">
        <f>IF(B144="","",VLOOKUP($B144,'C-1 Site River Baseline'!$C$9:$R$257,15,FALSE))</f>
        <v/>
      </c>
      <c r="M144" s="524" t="str">
        <f>IF(L144="","",VLOOKUP($B144,'C-1 Site River Baseline'!$C$9:$R$257,16,FALSE))</f>
        <v/>
      </c>
      <c r="N144" s="418" t="str">
        <f t="shared" si="17"/>
        <v/>
      </c>
      <c r="O144" s="498" t="str">
        <f t="shared" si="18"/>
        <v/>
      </c>
      <c r="P144" s="499" t="str">
        <f>IF(C144="","",IF(AND(LEFT(C144,55)&lt;&gt;LEFT(N144,55),O144="High - High"),"Error - Not like for like ▲",IF(AND(F144=S144,H144&gt;U144),"Error - Can not reduce condition ▲",IF(AND(F144=S144,H144=U144,AJ144='C-1 Site River Baseline'!N142,'C-1 Site River Baseline'!P142=AL144),"Error - No enhancement ▲",IF(AND(C144&lt;&gt;N144,F144&lt;S144),"Lower Distinctiveness Habitat"&amp;" - "&amp;T144,G144&amp;" - "&amp;T144)))))</f>
        <v/>
      </c>
      <c r="Q144" s="567" t="str">
        <f>IF(N144="","",VLOOKUP(B144,'C-1 Site River Baseline'!$C$10:$AA$257,19,FALSE))</f>
        <v/>
      </c>
      <c r="R144" s="498" t="str">
        <f>IF(N144="","",VLOOKUP(N144,'G-7 Rivers Data'!$B$2:$G$8,2,FALSE))</f>
        <v/>
      </c>
      <c r="S144" s="499" t="str">
        <f>IFERROR(VLOOKUP(R144,'G-7 Rivers Data'!$C$4:$D$8,2,FALSE),"")</f>
        <v/>
      </c>
      <c r="T144" s="145"/>
      <c r="U144" s="499" t="str">
        <f>IFERROR(INDEX('G-7 Rivers Data'!$H$4:$L$8,MATCH(N144,'G-7 Rivers Data'!$B$4:$B$8,0),MATCH(T144,'G-7 Rivers Data'!$H$3:$L$3,0)),"")</f>
        <v/>
      </c>
      <c r="V144" s="154"/>
      <c r="W144" s="507" t="str">
        <f>IF(V144="","",IF(VLOOKUP(V144,'G-7 Rivers Data'!$AG$4:$AI$9,2,FALSE)=0,"Spatial Data Missing ⚠",VLOOKUP(V144,'G-7 Rivers Data'!$AG$4:$AI$9,2,FALSE)))</f>
        <v/>
      </c>
      <c r="X144" s="499" t="str">
        <f>IF(V144="","",IF(VLOOKUP(V144,'G-7 Rivers Data'!$AG$4:$AI$9,3,FALSE)=0,"Spatial Data Missing ⚠",VLOOKUP(V144,'G-7 Rivers Data'!$AG$4:$AI$9,3,FALSE)))</f>
        <v/>
      </c>
      <c r="Y144" s="498" t="str">
        <f>IFERROR(IF(OR(LEFT(P144,5)="Error ▲",LEFT(O144,5)="Error ▲"),"Check Data ⚠",IF(F144&lt;S144,'G-7 Rivers Data'!$R$3,INDEX('G-7 Rivers Data'!$U$5:$Y$9,MATCH(G144,'G-7 Rivers Data'!$T$5:$T$9,0),MATCH(T144,'G-7 Rivers Data'!$U$4:$Y$4,0)))),"")</f>
        <v/>
      </c>
      <c r="Z144" s="195"/>
      <c r="AA144" s="195"/>
      <c r="AB144" s="507" t="str">
        <f t="shared" si="19"/>
        <v/>
      </c>
      <c r="AC144" s="521" t="str">
        <f t="shared" si="20"/>
        <v/>
      </c>
      <c r="AD144" s="564" t="str">
        <f>IFERROR(IF(AC144="Check Data ⚠","Check Data ⚠",VLOOKUP(AC144,'G-4 Temporal multipliers'!$A$4:$C$37,3,FALSE)),"")</f>
        <v/>
      </c>
      <c r="AE144" s="498" t="str">
        <f>IF(N144="","",VLOOKUP(N144,'G-7 Rivers Data'!$B$4:$G$8,5,FALSE))</f>
        <v/>
      </c>
      <c r="AF144" s="507" t="str">
        <f t="shared" si="21"/>
        <v/>
      </c>
      <c r="AG144" s="540" t="str">
        <f t="shared" si="22"/>
        <v/>
      </c>
      <c r="AH144" s="499" t="str">
        <f t="shared" si="16"/>
        <v/>
      </c>
      <c r="AI144" s="145"/>
      <c r="AJ144" s="499" t="str">
        <f>IF(AI144="","",IF(VLOOKUP(AI144,'G-7 Rivers Data'!$AA$4:$AB$7,2,FALSE)=0,"Spatial Data Missing ⚠",VLOOKUP(AI144,'G-7 Rivers Data'!$AA$4:$AB$7,2,FALSE)))</f>
        <v/>
      </c>
      <c r="AK144" s="155"/>
      <c r="AL144" s="499" t="str">
        <f>IF(AK144="","",IF(VLOOKUP(AK144,'G-7 Rivers Data'!$AD$4:$AE$8,2,FALSE)=0,"Spatial Data Missing ⚠",VLOOKUP(AK144,'G-7 Rivers Data'!$AD$4:$AE$8,2,FALSE)))</f>
        <v/>
      </c>
      <c r="AM144" s="545" t="str">
        <f t="shared" si="23"/>
        <v/>
      </c>
      <c r="AN144" s="149"/>
      <c r="AO144" s="150"/>
      <c r="AV144" s="31" t="str">
        <f>IFERROR(INDEX('G-7 Rivers Data'!$AZ$3:$AZ$7,MATCH(N144,'G-7 Rivers Data'!$AY$3:$AY$7,0)),"")</f>
        <v/>
      </c>
    </row>
    <row r="145" spans="2:48" ht="14" x14ac:dyDescent="0.3">
      <c r="B145" s="531" t="str">
        <f>'C-1 Site River Baseline'!AN143</f>
        <v/>
      </c>
      <c r="C145" s="520" t="str">
        <f>IF(B145="","",VLOOKUP($B145,'C-1 Site River Baseline'!$C$9:$R$257,2,FALSE))</f>
        <v/>
      </c>
      <c r="D145" s="520" t="str">
        <f>IF(C145="","",VLOOKUP($B145,'C-1 Site River Baseline'!$C$9:$R$257,3,FALSE))</f>
        <v/>
      </c>
      <c r="E145" s="520" t="str">
        <f>IF(D145="","",VLOOKUP($B145,'C-1 Site River Baseline'!$C$9:$R$257,4,FALSE))</f>
        <v/>
      </c>
      <c r="F145" s="520" t="str">
        <f>IF(E145="","",VLOOKUP($B145,'C-1 Site River Baseline'!$C$9:$R$257,5,FALSE))</f>
        <v/>
      </c>
      <c r="G145" s="520" t="str">
        <f>IF(F145="","",VLOOKUP($B145,'C-1 Site River Baseline'!$C$9:$R$257,6,FALSE))</f>
        <v/>
      </c>
      <c r="H145" s="520" t="str">
        <f>IF(G145="","",VLOOKUP($B145,'C-1 Site River Baseline'!$C$9:$R$257,7,FALSE))</f>
        <v/>
      </c>
      <c r="I145" s="520" t="str">
        <f>IF(H145="","",VLOOKUP($B145,'C-1 Site River Baseline'!$C$9:$R$257,8,FALSE))</f>
        <v/>
      </c>
      <c r="J145" s="520" t="str">
        <f>IF(I145="","",VLOOKUP($B145,'C-1 Site River Baseline'!$C$9:$R$257,9,FALSE))</f>
        <v/>
      </c>
      <c r="K145" s="520" t="str">
        <f>IF(J145="","",VLOOKUP($B145,'C-1 Site River Baseline'!$C$9:$R$257,10,FALSE))</f>
        <v/>
      </c>
      <c r="L145" s="520" t="str">
        <f>IF(B145="","",VLOOKUP($B145,'C-1 Site River Baseline'!$C$9:$R$257,15,FALSE))</f>
        <v/>
      </c>
      <c r="M145" s="524" t="str">
        <f>IF(L145="","",VLOOKUP($B145,'C-1 Site River Baseline'!$C$9:$R$257,16,FALSE))</f>
        <v/>
      </c>
      <c r="N145" s="418" t="str">
        <f t="shared" si="17"/>
        <v/>
      </c>
      <c r="O145" s="498" t="str">
        <f t="shared" si="18"/>
        <v/>
      </c>
      <c r="P145" s="499" t="str">
        <f>IF(C145="","",IF(AND(LEFT(C145,55)&lt;&gt;LEFT(N145,55),O145="High - High"),"Error - Not like for like ▲",IF(AND(F145=S145,H145&gt;U145),"Error - Can not reduce condition ▲",IF(AND(F145=S145,H145=U145,AJ145='C-1 Site River Baseline'!N143,'C-1 Site River Baseline'!P143=AL145),"Error - No enhancement ▲",IF(AND(C145&lt;&gt;N145,F145&lt;S145),"Lower Distinctiveness Habitat"&amp;" - "&amp;T145,G145&amp;" - "&amp;T145)))))</f>
        <v/>
      </c>
      <c r="Q145" s="567" t="str">
        <f>IF(N145="","",VLOOKUP(B145,'C-1 Site River Baseline'!$C$10:$AA$257,19,FALSE))</f>
        <v/>
      </c>
      <c r="R145" s="498" t="str">
        <f>IF(N145="","",VLOOKUP(N145,'G-7 Rivers Data'!$B$2:$G$8,2,FALSE))</f>
        <v/>
      </c>
      <c r="S145" s="499" t="str">
        <f>IFERROR(VLOOKUP(R145,'G-7 Rivers Data'!$C$4:$D$8,2,FALSE),"")</f>
        <v/>
      </c>
      <c r="T145" s="145"/>
      <c r="U145" s="499" t="str">
        <f>IFERROR(INDEX('G-7 Rivers Data'!$H$4:$L$8,MATCH(N145,'G-7 Rivers Data'!$B$4:$B$8,0),MATCH(T145,'G-7 Rivers Data'!$H$3:$L$3,0)),"")</f>
        <v/>
      </c>
      <c r="V145" s="154"/>
      <c r="W145" s="507" t="str">
        <f>IF(V145="","",IF(VLOOKUP(V145,'G-7 Rivers Data'!$AG$4:$AI$9,2,FALSE)=0,"Spatial Data Missing ⚠",VLOOKUP(V145,'G-7 Rivers Data'!$AG$4:$AI$9,2,FALSE)))</f>
        <v/>
      </c>
      <c r="X145" s="499" t="str">
        <f>IF(V145="","",IF(VLOOKUP(V145,'G-7 Rivers Data'!$AG$4:$AI$9,3,FALSE)=0,"Spatial Data Missing ⚠",VLOOKUP(V145,'G-7 Rivers Data'!$AG$4:$AI$9,3,FALSE)))</f>
        <v/>
      </c>
      <c r="Y145" s="498" t="str">
        <f>IFERROR(IF(OR(LEFT(P145,5)="Error ▲",LEFT(O145,5)="Error ▲"),"Check Data ⚠",IF(F145&lt;S145,'G-7 Rivers Data'!$R$3,INDEX('G-7 Rivers Data'!$U$5:$Y$9,MATCH(G145,'G-7 Rivers Data'!$T$5:$T$9,0),MATCH(T145,'G-7 Rivers Data'!$U$4:$Y$4,0)))),"")</f>
        <v/>
      </c>
      <c r="Z145" s="195"/>
      <c r="AA145" s="195"/>
      <c r="AB145" s="507" t="str">
        <f t="shared" si="19"/>
        <v/>
      </c>
      <c r="AC145" s="521" t="str">
        <f t="shared" si="20"/>
        <v/>
      </c>
      <c r="AD145" s="564" t="str">
        <f>IFERROR(IF(AC145="Check Data ⚠","Check Data ⚠",VLOOKUP(AC145,'G-4 Temporal multipliers'!$A$4:$C$37,3,FALSE)),"")</f>
        <v/>
      </c>
      <c r="AE145" s="498" t="str">
        <f>IF(N145="","",VLOOKUP(N145,'G-7 Rivers Data'!$B$4:$G$8,5,FALSE))</f>
        <v/>
      </c>
      <c r="AF145" s="507" t="str">
        <f t="shared" si="21"/>
        <v/>
      </c>
      <c r="AG145" s="540" t="str">
        <f t="shared" si="22"/>
        <v/>
      </c>
      <c r="AH145" s="499" t="str">
        <f t="shared" si="16"/>
        <v/>
      </c>
      <c r="AI145" s="145"/>
      <c r="AJ145" s="499" t="str">
        <f>IF(AI145="","",IF(VLOOKUP(AI145,'G-7 Rivers Data'!$AA$4:$AB$7,2,FALSE)=0,"Spatial Data Missing ⚠",VLOOKUP(AI145,'G-7 Rivers Data'!$AA$4:$AB$7,2,FALSE)))</f>
        <v/>
      </c>
      <c r="AK145" s="155"/>
      <c r="AL145" s="499" t="str">
        <f>IF(AK145="","",IF(VLOOKUP(AK145,'G-7 Rivers Data'!$AD$4:$AE$8,2,FALSE)=0,"Spatial Data Missing ⚠",VLOOKUP(AK145,'G-7 Rivers Data'!$AD$4:$AE$8,2,FALSE)))</f>
        <v/>
      </c>
      <c r="AM145" s="545" t="str">
        <f t="shared" si="23"/>
        <v/>
      </c>
      <c r="AN145" s="149"/>
      <c r="AO145" s="150"/>
      <c r="AV145" s="31" t="str">
        <f>IFERROR(INDEX('G-7 Rivers Data'!$AZ$3:$AZ$7,MATCH(N145,'G-7 Rivers Data'!$AY$3:$AY$7,0)),"")</f>
        <v/>
      </c>
    </row>
    <row r="146" spans="2:48" ht="14" x14ac:dyDescent="0.3">
      <c r="B146" s="531" t="str">
        <f>'C-1 Site River Baseline'!AN144</f>
        <v/>
      </c>
      <c r="C146" s="520" t="str">
        <f>IF(B146="","",VLOOKUP($B146,'C-1 Site River Baseline'!$C$9:$R$257,2,FALSE))</f>
        <v/>
      </c>
      <c r="D146" s="520" t="str">
        <f>IF(C146="","",VLOOKUP($B146,'C-1 Site River Baseline'!$C$9:$R$257,3,FALSE))</f>
        <v/>
      </c>
      <c r="E146" s="520" t="str">
        <f>IF(D146="","",VLOOKUP($B146,'C-1 Site River Baseline'!$C$9:$R$257,4,FALSE))</f>
        <v/>
      </c>
      <c r="F146" s="520" t="str">
        <f>IF(E146="","",VLOOKUP($B146,'C-1 Site River Baseline'!$C$9:$R$257,5,FALSE))</f>
        <v/>
      </c>
      <c r="G146" s="520" t="str">
        <f>IF(F146="","",VLOOKUP($B146,'C-1 Site River Baseline'!$C$9:$R$257,6,FALSE))</f>
        <v/>
      </c>
      <c r="H146" s="520" t="str">
        <f>IF(G146="","",VLOOKUP($B146,'C-1 Site River Baseline'!$C$9:$R$257,7,FALSE))</f>
        <v/>
      </c>
      <c r="I146" s="520" t="str">
        <f>IF(H146="","",VLOOKUP($B146,'C-1 Site River Baseline'!$C$9:$R$257,8,FALSE))</f>
        <v/>
      </c>
      <c r="J146" s="520" t="str">
        <f>IF(I146="","",VLOOKUP($B146,'C-1 Site River Baseline'!$C$9:$R$257,9,FALSE))</f>
        <v/>
      </c>
      <c r="K146" s="520" t="str">
        <f>IF(J146="","",VLOOKUP($B146,'C-1 Site River Baseline'!$C$9:$R$257,10,FALSE))</f>
        <v/>
      </c>
      <c r="L146" s="520" t="str">
        <f>IF(B146="","",VLOOKUP($B146,'C-1 Site River Baseline'!$C$9:$R$257,15,FALSE))</f>
        <v/>
      </c>
      <c r="M146" s="524" t="str">
        <f>IF(L146="","",VLOOKUP($B146,'C-1 Site River Baseline'!$C$9:$R$257,16,FALSE))</f>
        <v/>
      </c>
      <c r="N146" s="418" t="str">
        <f t="shared" si="17"/>
        <v/>
      </c>
      <c r="O146" s="498" t="str">
        <f t="shared" si="18"/>
        <v/>
      </c>
      <c r="P146" s="499" t="str">
        <f>IF(C146="","",IF(AND(LEFT(C146,55)&lt;&gt;LEFT(N146,55),O146="High - High"),"Error - Not like for like ▲",IF(AND(F146=S146,H146&gt;U146),"Error - Can not reduce condition ▲",IF(AND(F146=S146,H146=U146,AJ146='C-1 Site River Baseline'!N144,'C-1 Site River Baseline'!P144=AL146),"Error - No enhancement ▲",IF(AND(C146&lt;&gt;N146,F146&lt;S146),"Lower Distinctiveness Habitat"&amp;" - "&amp;T146,G146&amp;" - "&amp;T146)))))</f>
        <v/>
      </c>
      <c r="Q146" s="567" t="str">
        <f>IF(N146="","",VLOOKUP(B146,'C-1 Site River Baseline'!$C$10:$AA$257,19,FALSE))</f>
        <v/>
      </c>
      <c r="R146" s="498" t="str">
        <f>IF(N146="","",VLOOKUP(N146,'G-7 Rivers Data'!$B$2:$G$8,2,FALSE))</f>
        <v/>
      </c>
      <c r="S146" s="499" t="str">
        <f>IFERROR(VLOOKUP(R146,'G-7 Rivers Data'!$C$4:$D$8,2,FALSE),"")</f>
        <v/>
      </c>
      <c r="T146" s="145"/>
      <c r="U146" s="499" t="str">
        <f>IFERROR(INDEX('G-7 Rivers Data'!$H$4:$L$8,MATCH(N146,'G-7 Rivers Data'!$B$4:$B$8,0),MATCH(T146,'G-7 Rivers Data'!$H$3:$L$3,0)),"")</f>
        <v/>
      </c>
      <c r="V146" s="154"/>
      <c r="W146" s="507" t="str">
        <f>IF(V146="","",IF(VLOOKUP(V146,'G-7 Rivers Data'!$AG$4:$AI$9,2,FALSE)=0,"Spatial Data Missing ⚠",VLOOKUP(V146,'G-7 Rivers Data'!$AG$4:$AI$9,2,FALSE)))</f>
        <v/>
      </c>
      <c r="X146" s="499" t="str">
        <f>IF(V146="","",IF(VLOOKUP(V146,'G-7 Rivers Data'!$AG$4:$AI$9,3,FALSE)=0,"Spatial Data Missing ⚠",VLOOKUP(V146,'G-7 Rivers Data'!$AG$4:$AI$9,3,FALSE)))</f>
        <v/>
      </c>
      <c r="Y146" s="498" t="str">
        <f>IFERROR(IF(OR(LEFT(P146,5)="Error ▲",LEFT(O146,5)="Error ▲"),"Check Data ⚠",IF(F146&lt;S146,'G-7 Rivers Data'!$R$3,INDEX('G-7 Rivers Data'!$U$5:$Y$9,MATCH(G146,'G-7 Rivers Data'!$T$5:$T$9,0),MATCH(T146,'G-7 Rivers Data'!$U$4:$Y$4,0)))),"")</f>
        <v/>
      </c>
      <c r="Z146" s="195"/>
      <c r="AA146" s="195"/>
      <c r="AB146" s="507" t="str">
        <f t="shared" si="19"/>
        <v/>
      </c>
      <c r="AC146" s="521" t="str">
        <f t="shared" si="20"/>
        <v/>
      </c>
      <c r="AD146" s="564" t="str">
        <f>IFERROR(IF(AC146="Check Data ⚠","Check Data ⚠",VLOOKUP(AC146,'G-4 Temporal multipliers'!$A$4:$C$37,3,FALSE)),"")</f>
        <v/>
      </c>
      <c r="AE146" s="498" t="str">
        <f>IF(N146="","",VLOOKUP(N146,'G-7 Rivers Data'!$B$4:$G$8,5,FALSE))</f>
        <v/>
      </c>
      <c r="AF146" s="507" t="str">
        <f t="shared" si="21"/>
        <v/>
      </c>
      <c r="AG146" s="540" t="str">
        <f t="shared" si="22"/>
        <v/>
      </c>
      <c r="AH146" s="499" t="str">
        <f t="shared" si="16"/>
        <v/>
      </c>
      <c r="AI146" s="145"/>
      <c r="AJ146" s="499" t="str">
        <f>IF(AI146="","",IF(VLOOKUP(AI146,'G-7 Rivers Data'!$AA$4:$AB$7,2,FALSE)=0,"Spatial Data Missing ⚠",VLOOKUP(AI146,'G-7 Rivers Data'!$AA$4:$AB$7,2,FALSE)))</f>
        <v/>
      </c>
      <c r="AK146" s="155"/>
      <c r="AL146" s="499" t="str">
        <f>IF(AK146="","",IF(VLOOKUP(AK146,'G-7 Rivers Data'!$AD$4:$AE$8,2,FALSE)=0,"Spatial Data Missing ⚠",VLOOKUP(AK146,'G-7 Rivers Data'!$AD$4:$AE$8,2,FALSE)))</f>
        <v/>
      </c>
      <c r="AM146" s="545" t="str">
        <f t="shared" si="23"/>
        <v/>
      </c>
      <c r="AN146" s="149"/>
      <c r="AO146" s="150"/>
      <c r="AV146" s="31" t="str">
        <f>IFERROR(INDEX('G-7 Rivers Data'!$AZ$3:$AZ$7,MATCH(N146,'G-7 Rivers Data'!$AY$3:$AY$7,0)),"")</f>
        <v/>
      </c>
    </row>
    <row r="147" spans="2:48" ht="14" x14ac:dyDescent="0.3">
      <c r="B147" s="531" t="str">
        <f>'C-1 Site River Baseline'!AN145</f>
        <v/>
      </c>
      <c r="C147" s="520" t="str">
        <f>IF(B147="","",VLOOKUP($B147,'C-1 Site River Baseline'!$C$9:$R$257,2,FALSE))</f>
        <v/>
      </c>
      <c r="D147" s="520" t="str">
        <f>IF(C147="","",VLOOKUP($B147,'C-1 Site River Baseline'!$C$9:$R$257,3,FALSE))</f>
        <v/>
      </c>
      <c r="E147" s="520" t="str">
        <f>IF(D147="","",VLOOKUP($B147,'C-1 Site River Baseline'!$C$9:$R$257,4,FALSE))</f>
        <v/>
      </c>
      <c r="F147" s="520" t="str">
        <f>IF(E147="","",VLOOKUP($B147,'C-1 Site River Baseline'!$C$9:$R$257,5,FALSE))</f>
        <v/>
      </c>
      <c r="G147" s="520" t="str">
        <f>IF(F147="","",VLOOKUP($B147,'C-1 Site River Baseline'!$C$9:$R$257,6,FALSE))</f>
        <v/>
      </c>
      <c r="H147" s="520" t="str">
        <f>IF(G147="","",VLOOKUP($B147,'C-1 Site River Baseline'!$C$9:$R$257,7,FALSE))</f>
        <v/>
      </c>
      <c r="I147" s="520" t="str">
        <f>IF(H147="","",VLOOKUP($B147,'C-1 Site River Baseline'!$C$9:$R$257,8,FALSE))</f>
        <v/>
      </c>
      <c r="J147" s="520" t="str">
        <f>IF(I147="","",VLOOKUP($B147,'C-1 Site River Baseline'!$C$9:$R$257,9,FALSE))</f>
        <v/>
      </c>
      <c r="K147" s="520" t="str">
        <f>IF(J147="","",VLOOKUP($B147,'C-1 Site River Baseline'!$C$9:$R$257,10,FALSE))</f>
        <v/>
      </c>
      <c r="L147" s="520" t="str">
        <f>IF(B147="","",VLOOKUP($B147,'C-1 Site River Baseline'!$C$9:$R$257,15,FALSE))</f>
        <v/>
      </c>
      <c r="M147" s="524" t="str">
        <f>IF(L147="","",VLOOKUP($B147,'C-1 Site River Baseline'!$C$9:$R$257,16,FALSE))</f>
        <v/>
      </c>
      <c r="N147" s="418" t="str">
        <f t="shared" si="17"/>
        <v/>
      </c>
      <c r="O147" s="498" t="str">
        <f t="shared" si="18"/>
        <v/>
      </c>
      <c r="P147" s="499" t="str">
        <f>IF(C147="","",IF(AND(LEFT(C147,55)&lt;&gt;LEFT(N147,55),O147="High - High"),"Error - Not like for like ▲",IF(AND(F147=S147,H147&gt;U147),"Error - Can not reduce condition ▲",IF(AND(F147=S147,H147=U147,AJ147='C-1 Site River Baseline'!N145,'C-1 Site River Baseline'!P145=AL147),"Error - No enhancement ▲",IF(AND(C147&lt;&gt;N147,F147&lt;S147),"Lower Distinctiveness Habitat"&amp;" - "&amp;T147,G147&amp;" - "&amp;T147)))))</f>
        <v/>
      </c>
      <c r="Q147" s="567" t="str">
        <f>IF(N147="","",VLOOKUP(B147,'C-1 Site River Baseline'!$C$10:$AA$257,19,FALSE))</f>
        <v/>
      </c>
      <c r="R147" s="498" t="str">
        <f>IF(N147="","",VLOOKUP(N147,'G-7 Rivers Data'!$B$2:$G$8,2,FALSE))</f>
        <v/>
      </c>
      <c r="S147" s="499" t="str">
        <f>IFERROR(VLOOKUP(R147,'G-7 Rivers Data'!$C$4:$D$8,2,FALSE),"")</f>
        <v/>
      </c>
      <c r="T147" s="145"/>
      <c r="U147" s="499" t="str">
        <f>IFERROR(INDEX('G-7 Rivers Data'!$H$4:$L$8,MATCH(N147,'G-7 Rivers Data'!$B$4:$B$8,0),MATCH(T147,'G-7 Rivers Data'!$H$3:$L$3,0)),"")</f>
        <v/>
      </c>
      <c r="V147" s="154"/>
      <c r="W147" s="507" t="str">
        <f>IF(V147="","",IF(VLOOKUP(V147,'G-7 Rivers Data'!$AG$4:$AI$9,2,FALSE)=0,"Spatial Data Missing ⚠",VLOOKUP(V147,'G-7 Rivers Data'!$AG$4:$AI$9,2,FALSE)))</f>
        <v/>
      </c>
      <c r="X147" s="499" t="str">
        <f>IF(V147="","",IF(VLOOKUP(V147,'G-7 Rivers Data'!$AG$4:$AI$9,3,FALSE)=0,"Spatial Data Missing ⚠",VLOOKUP(V147,'G-7 Rivers Data'!$AG$4:$AI$9,3,FALSE)))</f>
        <v/>
      </c>
      <c r="Y147" s="498" t="str">
        <f>IFERROR(IF(OR(LEFT(P147,5)="Error ▲",LEFT(O147,5)="Error ▲"),"Check Data ⚠",IF(F147&lt;S147,'G-7 Rivers Data'!$R$3,INDEX('G-7 Rivers Data'!$U$5:$Y$9,MATCH(G147,'G-7 Rivers Data'!$T$5:$T$9,0),MATCH(T147,'G-7 Rivers Data'!$U$4:$Y$4,0)))),"")</f>
        <v/>
      </c>
      <c r="Z147" s="195"/>
      <c r="AA147" s="195"/>
      <c r="AB147" s="507" t="str">
        <f t="shared" si="19"/>
        <v/>
      </c>
      <c r="AC147" s="521" t="str">
        <f t="shared" si="20"/>
        <v/>
      </c>
      <c r="AD147" s="564" t="str">
        <f>IFERROR(IF(AC147="Check Data ⚠","Check Data ⚠",VLOOKUP(AC147,'G-4 Temporal multipliers'!$A$4:$C$37,3,FALSE)),"")</f>
        <v/>
      </c>
      <c r="AE147" s="498" t="str">
        <f>IF(N147="","",VLOOKUP(N147,'G-7 Rivers Data'!$B$4:$G$8,5,FALSE))</f>
        <v/>
      </c>
      <c r="AF147" s="507" t="str">
        <f t="shared" si="21"/>
        <v/>
      </c>
      <c r="AG147" s="540" t="str">
        <f t="shared" si="22"/>
        <v/>
      </c>
      <c r="AH147" s="499" t="str">
        <f t="shared" si="16"/>
        <v/>
      </c>
      <c r="AI147" s="145"/>
      <c r="AJ147" s="499" t="str">
        <f>IF(AI147="","",IF(VLOOKUP(AI147,'G-7 Rivers Data'!$AA$4:$AB$7,2,FALSE)=0,"Spatial Data Missing ⚠",VLOOKUP(AI147,'G-7 Rivers Data'!$AA$4:$AB$7,2,FALSE)))</f>
        <v/>
      </c>
      <c r="AK147" s="155"/>
      <c r="AL147" s="499" t="str">
        <f>IF(AK147="","",IF(VLOOKUP(AK147,'G-7 Rivers Data'!$AD$4:$AE$8,2,FALSE)=0,"Spatial Data Missing ⚠",VLOOKUP(AK147,'G-7 Rivers Data'!$AD$4:$AE$8,2,FALSE)))</f>
        <v/>
      </c>
      <c r="AM147" s="545" t="str">
        <f t="shared" si="23"/>
        <v/>
      </c>
      <c r="AN147" s="149"/>
      <c r="AO147" s="150"/>
      <c r="AV147" s="31" t="str">
        <f>IFERROR(INDEX('G-7 Rivers Data'!$AZ$3:$AZ$7,MATCH(N147,'G-7 Rivers Data'!$AY$3:$AY$7,0)),"")</f>
        <v/>
      </c>
    </row>
    <row r="148" spans="2:48" ht="14" x14ac:dyDescent="0.3">
      <c r="B148" s="531" t="str">
        <f>'C-1 Site River Baseline'!AN146</f>
        <v/>
      </c>
      <c r="C148" s="520" t="str">
        <f>IF(B148="","",VLOOKUP($B148,'C-1 Site River Baseline'!$C$9:$R$257,2,FALSE))</f>
        <v/>
      </c>
      <c r="D148" s="520" t="str">
        <f>IF(C148="","",VLOOKUP($B148,'C-1 Site River Baseline'!$C$9:$R$257,3,FALSE))</f>
        <v/>
      </c>
      <c r="E148" s="520" t="str">
        <f>IF(D148="","",VLOOKUP($B148,'C-1 Site River Baseline'!$C$9:$R$257,4,FALSE))</f>
        <v/>
      </c>
      <c r="F148" s="520" t="str">
        <f>IF(E148="","",VLOOKUP($B148,'C-1 Site River Baseline'!$C$9:$R$257,5,FALSE))</f>
        <v/>
      </c>
      <c r="G148" s="520" t="str">
        <f>IF(F148="","",VLOOKUP($B148,'C-1 Site River Baseline'!$C$9:$R$257,6,FALSE))</f>
        <v/>
      </c>
      <c r="H148" s="520" t="str">
        <f>IF(G148="","",VLOOKUP($B148,'C-1 Site River Baseline'!$C$9:$R$257,7,FALSE))</f>
        <v/>
      </c>
      <c r="I148" s="520" t="str">
        <f>IF(H148="","",VLOOKUP($B148,'C-1 Site River Baseline'!$C$9:$R$257,8,FALSE))</f>
        <v/>
      </c>
      <c r="J148" s="520" t="str">
        <f>IF(I148="","",VLOOKUP($B148,'C-1 Site River Baseline'!$C$9:$R$257,9,FALSE))</f>
        <v/>
      </c>
      <c r="K148" s="520" t="str">
        <f>IF(J148="","",VLOOKUP($B148,'C-1 Site River Baseline'!$C$9:$R$257,10,FALSE))</f>
        <v/>
      </c>
      <c r="L148" s="520" t="str">
        <f>IF(B148="","",VLOOKUP($B148,'C-1 Site River Baseline'!$C$9:$R$257,15,FALSE))</f>
        <v/>
      </c>
      <c r="M148" s="524" t="str">
        <f>IF(L148="","",VLOOKUP($B148,'C-1 Site River Baseline'!$C$9:$R$257,16,FALSE))</f>
        <v/>
      </c>
      <c r="N148" s="418" t="str">
        <f t="shared" si="17"/>
        <v/>
      </c>
      <c r="O148" s="498" t="str">
        <f t="shared" si="18"/>
        <v/>
      </c>
      <c r="P148" s="499" t="str">
        <f>IF(C148="","",IF(AND(LEFT(C148,55)&lt;&gt;LEFT(N148,55),O148="High - High"),"Error - Not like for like ▲",IF(AND(F148=S148,H148&gt;U148),"Error - Can not reduce condition ▲",IF(AND(F148=S148,H148=U148,AJ148='C-1 Site River Baseline'!N146,'C-1 Site River Baseline'!P146=AL148),"Error - No enhancement ▲",IF(AND(C148&lt;&gt;N148,F148&lt;S148),"Lower Distinctiveness Habitat"&amp;" - "&amp;T148,G148&amp;" - "&amp;T148)))))</f>
        <v/>
      </c>
      <c r="Q148" s="567" t="str">
        <f>IF(N148="","",VLOOKUP(B148,'C-1 Site River Baseline'!$C$10:$AA$257,19,FALSE))</f>
        <v/>
      </c>
      <c r="R148" s="498" t="str">
        <f>IF(N148="","",VLOOKUP(N148,'G-7 Rivers Data'!$B$2:$G$8,2,FALSE))</f>
        <v/>
      </c>
      <c r="S148" s="499" t="str">
        <f>IFERROR(VLOOKUP(R148,'G-7 Rivers Data'!$C$4:$D$8,2,FALSE),"")</f>
        <v/>
      </c>
      <c r="T148" s="145"/>
      <c r="U148" s="499" t="str">
        <f>IFERROR(INDEX('G-7 Rivers Data'!$H$4:$L$8,MATCH(N148,'G-7 Rivers Data'!$B$4:$B$8,0),MATCH(T148,'G-7 Rivers Data'!$H$3:$L$3,0)),"")</f>
        <v/>
      </c>
      <c r="V148" s="154"/>
      <c r="W148" s="507" t="str">
        <f>IF(V148="","",IF(VLOOKUP(V148,'G-7 Rivers Data'!$AG$4:$AI$9,2,FALSE)=0,"Spatial Data Missing ⚠",VLOOKUP(V148,'G-7 Rivers Data'!$AG$4:$AI$9,2,FALSE)))</f>
        <v/>
      </c>
      <c r="X148" s="499" t="str">
        <f>IF(V148="","",IF(VLOOKUP(V148,'G-7 Rivers Data'!$AG$4:$AI$9,3,FALSE)=0,"Spatial Data Missing ⚠",VLOOKUP(V148,'G-7 Rivers Data'!$AG$4:$AI$9,3,FALSE)))</f>
        <v/>
      </c>
      <c r="Y148" s="498" t="str">
        <f>IFERROR(IF(OR(LEFT(P148,5)="Error ▲",LEFT(O148,5)="Error ▲"),"Check Data ⚠",IF(F148&lt;S148,'G-7 Rivers Data'!$R$3,INDEX('G-7 Rivers Data'!$U$5:$Y$9,MATCH(G148,'G-7 Rivers Data'!$T$5:$T$9,0),MATCH(T148,'G-7 Rivers Data'!$U$4:$Y$4,0)))),"")</f>
        <v/>
      </c>
      <c r="Z148" s="195"/>
      <c r="AA148" s="195"/>
      <c r="AB148" s="507" t="str">
        <f t="shared" si="19"/>
        <v/>
      </c>
      <c r="AC148" s="521" t="str">
        <f t="shared" si="20"/>
        <v/>
      </c>
      <c r="AD148" s="564" t="str">
        <f>IFERROR(IF(AC148="Check Data ⚠","Check Data ⚠",VLOOKUP(AC148,'G-4 Temporal multipliers'!$A$4:$C$37,3,FALSE)),"")</f>
        <v/>
      </c>
      <c r="AE148" s="498" t="str">
        <f>IF(N148="","",VLOOKUP(N148,'G-7 Rivers Data'!$B$4:$G$8,5,FALSE))</f>
        <v/>
      </c>
      <c r="AF148" s="507" t="str">
        <f t="shared" si="21"/>
        <v/>
      </c>
      <c r="AG148" s="540" t="str">
        <f t="shared" si="22"/>
        <v/>
      </c>
      <c r="AH148" s="499" t="str">
        <f t="shared" si="16"/>
        <v/>
      </c>
      <c r="AI148" s="145"/>
      <c r="AJ148" s="499" t="str">
        <f>IF(AI148="","",IF(VLOOKUP(AI148,'G-7 Rivers Data'!$AA$4:$AB$7,2,FALSE)=0,"Spatial Data Missing ⚠",VLOOKUP(AI148,'G-7 Rivers Data'!$AA$4:$AB$7,2,FALSE)))</f>
        <v/>
      </c>
      <c r="AK148" s="155"/>
      <c r="AL148" s="499" t="str">
        <f>IF(AK148="","",IF(VLOOKUP(AK148,'G-7 Rivers Data'!$AD$4:$AE$8,2,FALSE)=0,"Spatial Data Missing ⚠",VLOOKUP(AK148,'G-7 Rivers Data'!$AD$4:$AE$8,2,FALSE)))</f>
        <v/>
      </c>
      <c r="AM148" s="545" t="str">
        <f t="shared" si="23"/>
        <v/>
      </c>
      <c r="AN148" s="149"/>
      <c r="AO148" s="150"/>
      <c r="AV148" s="31" t="str">
        <f>IFERROR(INDEX('G-7 Rivers Data'!$AZ$3:$AZ$7,MATCH(N148,'G-7 Rivers Data'!$AY$3:$AY$7,0)),"")</f>
        <v/>
      </c>
    </row>
    <row r="149" spans="2:48" ht="14" x14ac:dyDescent="0.3">
      <c r="B149" s="531" t="str">
        <f>'C-1 Site River Baseline'!AN147</f>
        <v/>
      </c>
      <c r="C149" s="520" t="str">
        <f>IF(B149="","",VLOOKUP($B149,'C-1 Site River Baseline'!$C$9:$R$257,2,FALSE))</f>
        <v/>
      </c>
      <c r="D149" s="520" t="str">
        <f>IF(C149="","",VLOOKUP($B149,'C-1 Site River Baseline'!$C$9:$R$257,3,FALSE))</f>
        <v/>
      </c>
      <c r="E149" s="520" t="str">
        <f>IF(D149="","",VLOOKUP($B149,'C-1 Site River Baseline'!$C$9:$R$257,4,FALSE))</f>
        <v/>
      </c>
      <c r="F149" s="520" t="str">
        <f>IF(E149="","",VLOOKUP($B149,'C-1 Site River Baseline'!$C$9:$R$257,5,FALSE))</f>
        <v/>
      </c>
      <c r="G149" s="520" t="str">
        <f>IF(F149="","",VLOOKUP($B149,'C-1 Site River Baseline'!$C$9:$R$257,6,FALSE))</f>
        <v/>
      </c>
      <c r="H149" s="520" t="str">
        <f>IF(G149="","",VLOOKUP($B149,'C-1 Site River Baseline'!$C$9:$R$257,7,FALSE))</f>
        <v/>
      </c>
      <c r="I149" s="520" t="str">
        <f>IF(H149="","",VLOOKUP($B149,'C-1 Site River Baseline'!$C$9:$R$257,8,FALSE))</f>
        <v/>
      </c>
      <c r="J149" s="520" t="str">
        <f>IF(I149="","",VLOOKUP($B149,'C-1 Site River Baseline'!$C$9:$R$257,9,FALSE))</f>
        <v/>
      </c>
      <c r="K149" s="520" t="str">
        <f>IF(J149="","",VLOOKUP($B149,'C-1 Site River Baseline'!$C$9:$R$257,10,FALSE))</f>
        <v/>
      </c>
      <c r="L149" s="520" t="str">
        <f>IF(B149="","",VLOOKUP($B149,'C-1 Site River Baseline'!$C$9:$R$257,15,FALSE))</f>
        <v/>
      </c>
      <c r="M149" s="524" t="str">
        <f>IF(L149="","",VLOOKUP($B149,'C-1 Site River Baseline'!$C$9:$R$257,16,FALSE))</f>
        <v/>
      </c>
      <c r="N149" s="418"/>
      <c r="O149" s="498" t="str">
        <f t="shared" si="18"/>
        <v/>
      </c>
      <c r="P149" s="499" t="str">
        <f>IF(C149="","",IF(AND(LEFT(C149,55)&lt;&gt;LEFT(N149,55),O149="High - High"),"Error - Not like for like ▲",IF(AND(F149=S149,H149&gt;U149),"Error - Can not reduce condition ▲",IF(AND(F149=S149,H149=U149,AJ149='C-1 Site River Baseline'!N147,'C-1 Site River Baseline'!P147=AL149),"Error - No enhancement ▲",IF(AND(C149&lt;&gt;N149,F149&lt;S149),"Lower Distinctiveness Habitat"&amp;" - "&amp;T149,G149&amp;" - "&amp;T149)))))</f>
        <v/>
      </c>
      <c r="Q149" s="567" t="str">
        <f>IF(N149="","",VLOOKUP(B149,'C-1 Site River Baseline'!$C$10:$AA$257,19,FALSE))</f>
        <v/>
      </c>
      <c r="R149" s="498" t="str">
        <f>IF(N149="","",VLOOKUP(N149,'G-7 Rivers Data'!$B$2:$G$8,2,FALSE))</f>
        <v/>
      </c>
      <c r="S149" s="499" t="str">
        <f>IFERROR(VLOOKUP(R149,'G-7 Rivers Data'!$C$4:$D$8,2,FALSE),"")</f>
        <v/>
      </c>
      <c r="T149" s="145"/>
      <c r="U149" s="499" t="str">
        <f>IFERROR(INDEX('G-7 Rivers Data'!$H$4:$L$8,MATCH(N149,'G-7 Rivers Data'!$B$4:$B$8,0),MATCH(T149,'G-7 Rivers Data'!$H$3:$L$3,0)),"")</f>
        <v/>
      </c>
      <c r="V149" s="154"/>
      <c r="W149" s="507" t="str">
        <f>IF(V149="","",IF(VLOOKUP(V149,'G-7 Rivers Data'!$AG$4:$AI$9,2,FALSE)=0,"Spatial Data Missing ⚠",VLOOKUP(V149,'G-7 Rivers Data'!$AG$4:$AI$9,2,FALSE)))</f>
        <v/>
      </c>
      <c r="X149" s="499" t="str">
        <f>IF(V149="","",IF(VLOOKUP(V149,'G-7 Rivers Data'!$AG$4:$AI$9,3,FALSE)=0,"Spatial Data Missing ⚠",VLOOKUP(V149,'G-7 Rivers Data'!$AG$4:$AI$9,3,FALSE)))</f>
        <v/>
      </c>
      <c r="Y149" s="498" t="str">
        <f>IFERROR(IF(OR(LEFT(P149,5)="Error ▲",LEFT(O149,5)="Error ▲"),"Check Data ⚠",IF(F149&lt;S149,'G-7 Rivers Data'!$R$3,INDEX('G-7 Rivers Data'!$U$5:$Y$9,MATCH(G149,'G-7 Rivers Data'!$T$5:$T$9,0),MATCH(T149,'G-7 Rivers Data'!$U$4:$Y$4,0)))),"")</f>
        <v/>
      </c>
      <c r="Z149" s="195"/>
      <c r="AA149" s="195"/>
      <c r="AB149" s="507" t="str">
        <f t="shared" si="19"/>
        <v/>
      </c>
      <c r="AC149" s="521" t="str">
        <f t="shared" si="20"/>
        <v/>
      </c>
      <c r="AD149" s="564" t="str">
        <f>IFERROR(IF(AC149="Check Data ⚠","Check Data ⚠",VLOOKUP(AC149,'G-4 Temporal multipliers'!$A$4:$C$37,3,FALSE)),"")</f>
        <v/>
      </c>
      <c r="AE149" s="498" t="str">
        <f>IF(N149="","",VLOOKUP(N149,'G-7 Rivers Data'!$B$4:$G$8,5,FALSE))</f>
        <v/>
      </c>
      <c r="AF149" s="507" t="str">
        <f t="shared" si="21"/>
        <v/>
      </c>
      <c r="AG149" s="540" t="str">
        <f t="shared" si="22"/>
        <v/>
      </c>
      <c r="AH149" s="499" t="str">
        <f t="shared" si="16"/>
        <v/>
      </c>
      <c r="AI149" s="145"/>
      <c r="AJ149" s="499" t="str">
        <f>IF(AI149="","",IF(VLOOKUP(AI149,'G-7 Rivers Data'!$AA$4:$AB$7,2,FALSE)=0,"Spatial Data Missing ⚠",VLOOKUP(AI149,'G-7 Rivers Data'!$AA$4:$AB$7,2,FALSE)))</f>
        <v/>
      </c>
      <c r="AK149" s="155"/>
      <c r="AL149" s="499" t="str">
        <f>IF(AK149="","",IF(VLOOKUP(AK149,'G-7 Rivers Data'!$AD$4:$AE$8,2,FALSE)=0,"Spatial Data Missing ⚠",VLOOKUP(AK149,'G-7 Rivers Data'!$AD$4:$AE$8,2,FALSE)))</f>
        <v/>
      </c>
      <c r="AM149" s="545" t="str">
        <f t="shared" si="23"/>
        <v/>
      </c>
      <c r="AN149" s="149"/>
      <c r="AO149" s="150"/>
      <c r="AV149" s="31" t="str">
        <f>IFERROR(INDEX('G-7 Rivers Data'!$AZ$3:$AZ$7,MATCH(N149,'G-7 Rivers Data'!$AY$3:$AY$7,0)),"")</f>
        <v/>
      </c>
    </row>
    <row r="150" spans="2:48" ht="14" x14ac:dyDescent="0.3">
      <c r="B150" s="531" t="str">
        <f>'C-1 Site River Baseline'!AN148</f>
        <v/>
      </c>
      <c r="C150" s="520" t="str">
        <f>IF(B150="","",VLOOKUP($B150,'C-1 Site River Baseline'!$C$9:$R$257,2,FALSE))</f>
        <v/>
      </c>
      <c r="D150" s="520" t="str">
        <f>IF(C150="","",VLOOKUP($B150,'C-1 Site River Baseline'!$C$9:$R$257,3,FALSE))</f>
        <v/>
      </c>
      <c r="E150" s="520" t="str">
        <f>IF(D150="","",VLOOKUP($B150,'C-1 Site River Baseline'!$C$9:$R$257,4,FALSE))</f>
        <v/>
      </c>
      <c r="F150" s="520" t="str">
        <f>IF(E150="","",VLOOKUP($B150,'C-1 Site River Baseline'!$C$9:$R$257,5,FALSE))</f>
        <v/>
      </c>
      <c r="G150" s="520" t="str">
        <f>IF(F150="","",VLOOKUP($B150,'C-1 Site River Baseline'!$C$9:$R$257,6,FALSE))</f>
        <v/>
      </c>
      <c r="H150" s="520" t="str">
        <f>IF(G150="","",VLOOKUP($B150,'C-1 Site River Baseline'!$C$9:$R$257,7,FALSE))</f>
        <v/>
      </c>
      <c r="I150" s="520" t="str">
        <f>IF(H150="","",VLOOKUP($B150,'C-1 Site River Baseline'!$C$9:$R$257,8,FALSE))</f>
        <v/>
      </c>
      <c r="J150" s="520" t="str">
        <f>IF(I150="","",VLOOKUP($B150,'C-1 Site River Baseline'!$C$9:$R$257,9,FALSE))</f>
        <v/>
      </c>
      <c r="K150" s="520" t="str">
        <f>IF(J150="","",VLOOKUP($B150,'C-1 Site River Baseline'!$C$9:$R$257,10,FALSE))</f>
        <v/>
      </c>
      <c r="L150" s="520" t="str">
        <f>IF(B150="","",VLOOKUP($B150,'C-1 Site River Baseline'!$C$9:$R$257,15,FALSE))</f>
        <v/>
      </c>
      <c r="M150" s="524" t="str">
        <f>IF(L150="","",VLOOKUP($B150,'C-1 Site River Baseline'!$C$9:$R$257,16,FALSE))</f>
        <v/>
      </c>
      <c r="N150" s="418" t="str">
        <f t="shared" si="17"/>
        <v/>
      </c>
      <c r="O150" s="498" t="str">
        <f t="shared" si="18"/>
        <v/>
      </c>
      <c r="P150" s="499" t="str">
        <f>IF(C150="","",IF(AND(LEFT(C150,55)&lt;&gt;LEFT(N150,55),O150="High - High"),"Error - Not like for like ▲",IF(AND(F150=S150,H150&gt;U150),"Error - Can not reduce condition ▲",IF(AND(F150=S150,H150=U150,AJ150='C-1 Site River Baseline'!N148,'C-1 Site River Baseline'!P148=AL150),"Error - No enhancement ▲",IF(AND(C150&lt;&gt;N150,F150&lt;S150),"Lower Distinctiveness Habitat"&amp;" - "&amp;T150,G150&amp;" - "&amp;T150)))))</f>
        <v/>
      </c>
      <c r="Q150" s="567" t="str">
        <f>IF(N150="","",VLOOKUP(B150,'C-1 Site River Baseline'!$C$10:$AA$257,19,FALSE))</f>
        <v/>
      </c>
      <c r="R150" s="498" t="str">
        <f>IF(N150="","",VLOOKUP(N150,'G-7 Rivers Data'!$B$2:$G$8,2,FALSE))</f>
        <v/>
      </c>
      <c r="S150" s="499" t="str">
        <f>IFERROR(VLOOKUP(R150,'G-7 Rivers Data'!$C$4:$D$8,2,FALSE),"")</f>
        <v/>
      </c>
      <c r="T150" s="145"/>
      <c r="U150" s="499" t="str">
        <f>IFERROR(INDEX('G-7 Rivers Data'!$H$4:$L$8,MATCH(N150,'G-7 Rivers Data'!$B$4:$B$8,0),MATCH(T150,'G-7 Rivers Data'!$H$3:$L$3,0)),"")</f>
        <v/>
      </c>
      <c r="V150" s="154"/>
      <c r="W150" s="507" t="str">
        <f>IF(V150="","",IF(VLOOKUP(V150,'G-7 Rivers Data'!$AG$4:$AI$9,2,FALSE)=0,"Spatial Data Missing ⚠",VLOOKUP(V150,'G-7 Rivers Data'!$AG$4:$AI$9,2,FALSE)))</f>
        <v/>
      </c>
      <c r="X150" s="499" t="str">
        <f>IF(V150="","",IF(VLOOKUP(V150,'G-7 Rivers Data'!$AG$4:$AI$9,3,FALSE)=0,"Spatial Data Missing ⚠",VLOOKUP(V150,'G-7 Rivers Data'!$AG$4:$AI$9,3,FALSE)))</f>
        <v/>
      </c>
      <c r="Y150" s="498" t="str">
        <f>IFERROR(IF(OR(LEFT(P150,5)="Error ▲",LEFT(O150,5)="Error ▲"),"Check Data ⚠",IF(F150&lt;S150,'G-7 Rivers Data'!$R$3,INDEX('G-7 Rivers Data'!$U$5:$Y$9,MATCH(G150,'G-7 Rivers Data'!$T$5:$T$9,0),MATCH(T150,'G-7 Rivers Data'!$U$4:$Y$4,0)))),"")</f>
        <v/>
      </c>
      <c r="Z150" s="195"/>
      <c r="AA150" s="195"/>
      <c r="AB150" s="507" t="str">
        <f t="shared" si="19"/>
        <v/>
      </c>
      <c r="AC150" s="521" t="str">
        <f t="shared" si="20"/>
        <v/>
      </c>
      <c r="AD150" s="564" t="str">
        <f>IFERROR(IF(AC150="Check Data ⚠","Check Data ⚠",VLOOKUP(AC150,'G-4 Temporal multipliers'!$A$4:$C$37,3,FALSE)),"")</f>
        <v/>
      </c>
      <c r="AE150" s="498" t="str">
        <f>IF(N150="","",VLOOKUP(N150,'G-7 Rivers Data'!$B$4:$G$8,5,FALSE))</f>
        <v/>
      </c>
      <c r="AF150" s="507" t="str">
        <f t="shared" si="21"/>
        <v/>
      </c>
      <c r="AG150" s="540" t="str">
        <f t="shared" si="22"/>
        <v/>
      </c>
      <c r="AH150" s="499" t="str">
        <f t="shared" si="16"/>
        <v/>
      </c>
      <c r="AI150" s="145"/>
      <c r="AJ150" s="499" t="str">
        <f>IF(AI150="","",IF(VLOOKUP(AI150,'G-7 Rivers Data'!$AA$4:$AB$7,2,FALSE)=0,"Spatial Data Missing ⚠",VLOOKUP(AI150,'G-7 Rivers Data'!$AA$4:$AB$7,2,FALSE)))</f>
        <v/>
      </c>
      <c r="AK150" s="155"/>
      <c r="AL150" s="499" t="str">
        <f>IF(AK150="","",IF(VLOOKUP(AK150,'G-7 Rivers Data'!$AD$4:$AE$8,2,FALSE)=0,"Spatial Data Missing ⚠",VLOOKUP(AK150,'G-7 Rivers Data'!$AD$4:$AE$8,2,FALSE)))</f>
        <v/>
      </c>
      <c r="AM150" s="545" t="str">
        <f t="shared" si="23"/>
        <v/>
      </c>
      <c r="AN150" s="149"/>
      <c r="AO150" s="150"/>
      <c r="AV150" s="31" t="str">
        <f>IFERROR(INDEX('G-7 Rivers Data'!$AZ$3:$AZ$7,MATCH(N150,'G-7 Rivers Data'!$AY$3:$AY$7,0)),"")</f>
        <v/>
      </c>
    </row>
    <row r="151" spans="2:48" ht="14" x14ac:dyDescent="0.3">
      <c r="B151" s="531" t="str">
        <f>'C-1 Site River Baseline'!AN149</f>
        <v/>
      </c>
      <c r="C151" s="520" t="str">
        <f>IF(B151="","",VLOOKUP($B151,'C-1 Site River Baseline'!$C$9:$R$257,2,FALSE))</f>
        <v/>
      </c>
      <c r="D151" s="520" t="str">
        <f>IF(C151="","",VLOOKUP($B151,'C-1 Site River Baseline'!$C$9:$R$257,3,FALSE))</f>
        <v/>
      </c>
      <c r="E151" s="520" t="str">
        <f>IF(D151="","",VLOOKUP($B151,'C-1 Site River Baseline'!$C$9:$R$257,4,FALSE))</f>
        <v/>
      </c>
      <c r="F151" s="520" t="str">
        <f>IF(E151="","",VLOOKUP($B151,'C-1 Site River Baseline'!$C$9:$R$257,5,FALSE))</f>
        <v/>
      </c>
      <c r="G151" s="520" t="str">
        <f>IF(F151="","",VLOOKUP($B151,'C-1 Site River Baseline'!$C$9:$R$257,6,FALSE))</f>
        <v/>
      </c>
      <c r="H151" s="520" t="str">
        <f>IF(G151="","",VLOOKUP($B151,'C-1 Site River Baseline'!$C$9:$R$257,7,FALSE))</f>
        <v/>
      </c>
      <c r="I151" s="520" t="str">
        <f>IF(H151="","",VLOOKUP($B151,'C-1 Site River Baseline'!$C$9:$R$257,8,FALSE))</f>
        <v/>
      </c>
      <c r="J151" s="520" t="str">
        <f>IF(I151="","",VLOOKUP($B151,'C-1 Site River Baseline'!$C$9:$R$257,9,FALSE))</f>
        <v/>
      </c>
      <c r="K151" s="520" t="str">
        <f>IF(J151="","",VLOOKUP($B151,'C-1 Site River Baseline'!$C$9:$R$257,10,FALSE))</f>
        <v/>
      </c>
      <c r="L151" s="520" t="str">
        <f>IF(B151="","",VLOOKUP($B151,'C-1 Site River Baseline'!$C$9:$R$257,15,FALSE))</f>
        <v/>
      </c>
      <c r="M151" s="524" t="str">
        <f>IF(L151="","",VLOOKUP($B151,'C-1 Site River Baseline'!$C$9:$R$257,16,FALSE))</f>
        <v/>
      </c>
      <c r="N151" s="418" t="str">
        <f t="shared" si="17"/>
        <v/>
      </c>
      <c r="O151" s="498" t="str">
        <f t="shared" si="18"/>
        <v/>
      </c>
      <c r="P151" s="499" t="str">
        <f>IF(C151="","",IF(AND(LEFT(C151,55)&lt;&gt;LEFT(N151,55),O151="High - High"),"Error - Not like for like ▲",IF(AND(F151=S151,H151&gt;U151),"Error - Can not reduce condition ▲",IF(AND(F151=S151,H151=U151,AJ151='C-1 Site River Baseline'!N149,'C-1 Site River Baseline'!P149=AL151),"Error - No enhancement ▲",IF(AND(C151&lt;&gt;N151,F151&lt;S151),"Lower Distinctiveness Habitat"&amp;" - "&amp;T151,G151&amp;" - "&amp;T151)))))</f>
        <v/>
      </c>
      <c r="Q151" s="567" t="str">
        <f>IF(N151="","",VLOOKUP(B151,'C-1 Site River Baseline'!$C$10:$AA$257,19,FALSE))</f>
        <v/>
      </c>
      <c r="R151" s="498" t="str">
        <f>IF(N151="","",VLOOKUP(N151,'G-7 Rivers Data'!$B$2:$G$8,2,FALSE))</f>
        <v/>
      </c>
      <c r="S151" s="499" t="str">
        <f>IFERROR(VLOOKUP(R151,'G-7 Rivers Data'!$C$4:$D$8,2,FALSE),"")</f>
        <v/>
      </c>
      <c r="T151" s="145"/>
      <c r="U151" s="499" t="str">
        <f>IFERROR(INDEX('G-7 Rivers Data'!$H$4:$L$8,MATCH(N151,'G-7 Rivers Data'!$B$4:$B$8,0),MATCH(T151,'G-7 Rivers Data'!$H$3:$L$3,0)),"")</f>
        <v/>
      </c>
      <c r="V151" s="154"/>
      <c r="W151" s="507" t="str">
        <f>IF(V151="","",IF(VLOOKUP(V151,'G-7 Rivers Data'!$AG$4:$AI$9,2,FALSE)=0,"Spatial Data Missing ⚠",VLOOKUP(V151,'G-7 Rivers Data'!$AG$4:$AI$9,2,FALSE)))</f>
        <v/>
      </c>
      <c r="X151" s="499" t="str">
        <f>IF(V151="","",IF(VLOOKUP(V151,'G-7 Rivers Data'!$AG$4:$AI$9,3,FALSE)=0,"Spatial Data Missing ⚠",VLOOKUP(V151,'G-7 Rivers Data'!$AG$4:$AI$9,3,FALSE)))</f>
        <v/>
      </c>
      <c r="Y151" s="498" t="str">
        <f>IFERROR(IF(OR(LEFT(P151,5)="Error ▲",LEFT(O151,5)="Error ▲"),"Check Data ⚠",IF(F151&lt;S151,'G-7 Rivers Data'!$R$3,INDEX('G-7 Rivers Data'!$U$5:$Y$9,MATCH(G151,'G-7 Rivers Data'!$T$5:$T$9,0),MATCH(T151,'G-7 Rivers Data'!$U$4:$Y$4,0)))),"")</f>
        <v/>
      </c>
      <c r="Z151" s="195"/>
      <c r="AA151" s="195"/>
      <c r="AB151" s="507" t="str">
        <f t="shared" si="19"/>
        <v/>
      </c>
      <c r="AC151" s="521" t="str">
        <f t="shared" si="20"/>
        <v/>
      </c>
      <c r="AD151" s="564" t="str">
        <f>IFERROR(IF(AC151="Check Data ⚠","Check Data ⚠",VLOOKUP(AC151,'G-4 Temporal multipliers'!$A$4:$C$37,3,FALSE)),"")</f>
        <v/>
      </c>
      <c r="AE151" s="498" t="str">
        <f>IF(N151="","",VLOOKUP(N151,'G-7 Rivers Data'!$B$4:$G$8,5,FALSE))</f>
        <v/>
      </c>
      <c r="AF151" s="507" t="str">
        <f t="shared" si="21"/>
        <v/>
      </c>
      <c r="AG151" s="540" t="str">
        <f t="shared" si="22"/>
        <v/>
      </c>
      <c r="AH151" s="499" t="str">
        <f t="shared" si="16"/>
        <v/>
      </c>
      <c r="AI151" s="145"/>
      <c r="AJ151" s="499" t="str">
        <f>IF(AI151="","",IF(VLOOKUP(AI151,'G-7 Rivers Data'!$AA$4:$AB$7,2,FALSE)=0,"Spatial Data Missing ⚠",VLOOKUP(AI151,'G-7 Rivers Data'!$AA$4:$AB$7,2,FALSE)))</f>
        <v/>
      </c>
      <c r="AK151" s="155"/>
      <c r="AL151" s="499" t="str">
        <f>IF(AK151="","",IF(VLOOKUP(AK151,'G-7 Rivers Data'!$AD$4:$AE$8,2,FALSE)=0,"Spatial Data Missing ⚠",VLOOKUP(AK151,'G-7 Rivers Data'!$AD$4:$AE$8,2,FALSE)))</f>
        <v/>
      </c>
      <c r="AM151" s="545" t="str">
        <f t="shared" si="23"/>
        <v/>
      </c>
      <c r="AN151" s="149"/>
      <c r="AO151" s="150"/>
      <c r="AV151" s="31" t="str">
        <f>IFERROR(INDEX('G-7 Rivers Data'!$AZ$3:$AZ$7,MATCH(N151,'G-7 Rivers Data'!$AY$3:$AY$7,0)),"")</f>
        <v/>
      </c>
    </row>
    <row r="152" spans="2:48" ht="14" x14ac:dyDescent="0.3">
      <c r="B152" s="531" t="str">
        <f>'C-1 Site River Baseline'!AN150</f>
        <v/>
      </c>
      <c r="C152" s="520" t="str">
        <f>IF(B152="","",VLOOKUP($B152,'C-1 Site River Baseline'!$C$9:$R$257,2,FALSE))</f>
        <v/>
      </c>
      <c r="D152" s="520" t="str">
        <f>IF(C152="","",VLOOKUP($B152,'C-1 Site River Baseline'!$C$9:$R$257,3,FALSE))</f>
        <v/>
      </c>
      <c r="E152" s="520" t="str">
        <f>IF(D152="","",VLOOKUP($B152,'C-1 Site River Baseline'!$C$9:$R$257,4,FALSE))</f>
        <v/>
      </c>
      <c r="F152" s="520" t="str">
        <f>IF(E152="","",VLOOKUP($B152,'C-1 Site River Baseline'!$C$9:$R$257,5,FALSE))</f>
        <v/>
      </c>
      <c r="G152" s="520" t="str">
        <f>IF(F152="","",VLOOKUP($B152,'C-1 Site River Baseline'!$C$9:$R$257,6,FALSE))</f>
        <v/>
      </c>
      <c r="H152" s="520" t="str">
        <f>IF(G152="","",VLOOKUP($B152,'C-1 Site River Baseline'!$C$9:$R$257,7,FALSE))</f>
        <v/>
      </c>
      <c r="I152" s="520" t="str">
        <f>IF(H152="","",VLOOKUP($B152,'C-1 Site River Baseline'!$C$9:$R$257,8,FALSE))</f>
        <v/>
      </c>
      <c r="J152" s="520" t="str">
        <f>IF(I152="","",VLOOKUP($B152,'C-1 Site River Baseline'!$C$9:$R$257,9,FALSE))</f>
        <v/>
      </c>
      <c r="K152" s="520" t="str">
        <f>IF(J152="","",VLOOKUP($B152,'C-1 Site River Baseline'!$C$9:$R$257,10,FALSE))</f>
        <v/>
      </c>
      <c r="L152" s="520" t="str">
        <f>IF(B152="","",VLOOKUP($B152,'C-1 Site River Baseline'!$C$9:$R$257,15,FALSE))</f>
        <v/>
      </c>
      <c r="M152" s="524" t="str">
        <f>IF(L152="","",VLOOKUP($B152,'C-1 Site River Baseline'!$C$9:$R$257,16,FALSE))</f>
        <v/>
      </c>
      <c r="N152" s="418" t="str">
        <f t="shared" si="17"/>
        <v/>
      </c>
      <c r="O152" s="498" t="str">
        <f t="shared" si="18"/>
        <v/>
      </c>
      <c r="P152" s="499" t="str">
        <f>IF(C152="","",IF(AND(LEFT(C152,55)&lt;&gt;LEFT(N152,55),O152="High - High"),"Error - Not like for like ▲",IF(AND(F152=S152,H152&gt;U152),"Error - Can not reduce condition ▲",IF(AND(F152=S152,H152=U152,AJ152='C-1 Site River Baseline'!N150,'C-1 Site River Baseline'!P150=AL152),"Error - No enhancement ▲",IF(AND(C152&lt;&gt;N152,F152&lt;S152),"Lower Distinctiveness Habitat"&amp;" - "&amp;T152,G152&amp;" - "&amp;T152)))))</f>
        <v/>
      </c>
      <c r="Q152" s="567" t="str">
        <f>IF(N152="","",VLOOKUP(B152,'C-1 Site River Baseline'!$C$10:$AA$257,19,FALSE))</f>
        <v/>
      </c>
      <c r="R152" s="498" t="str">
        <f>IF(N152="","",VLOOKUP(N152,'G-7 Rivers Data'!$B$2:$G$8,2,FALSE))</f>
        <v/>
      </c>
      <c r="S152" s="499" t="str">
        <f>IFERROR(VLOOKUP(R152,'G-7 Rivers Data'!$C$4:$D$8,2,FALSE),"")</f>
        <v/>
      </c>
      <c r="T152" s="145"/>
      <c r="U152" s="499" t="str">
        <f>IFERROR(INDEX('G-7 Rivers Data'!$H$4:$L$8,MATCH(N152,'G-7 Rivers Data'!$B$4:$B$8,0),MATCH(T152,'G-7 Rivers Data'!$H$3:$L$3,0)),"")</f>
        <v/>
      </c>
      <c r="V152" s="154"/>
      <c r="W152" s="507" t="str">
        <f>IF(V152="","",IF(VLOOKUP(V152,'G-7 Rivers Data'!$AG$4:$AI$9,2,FALSE)=0,"Spatial Data Missing ⚠",VLOOKUP(V152,'G-7 Rivers Data'!$AG$4:$AI$9,2,FALSE)))</f>
        <v/>
      </c>
      <c r="X152" s="499" t="str">
        <f>IF(V152="","",IF(VLOOKUP(V152,'G-7 Rivers Data'!$AG$4:$AI$9,3,FALSE)=0,"Spatial Data Missing ⚠",VLOOKUP(V152,'G-7 Rivers Data'!$AG$4:$AI$9,3,FALSE)))</f>
        <v/>
      </c>
      <c r="Y152" s="498" t="str">
        <f>IFERROR(IF(OR(LEFT(P152,5)="Error ▲",LEFT(O152,5)="Error ▲"),"Check Data ⚠",IF(F152&lt;S152,'G-7 Rivers Data'!$R$3,INDEX('G-7 Rivers Data'!$U$5:$Y$9,MATCH(G152,'G-7 Rivers Data'!$T$5:$T$9,0),MATCH(T152,'G-7 Rivers Data'!$U$4:$Y$4,0)))),"")</f>
        <v/>
      </c>
      <c r="Z152" s="195"/>
      <c r="AA152" s="195"/>
      <c r="AB152" s="507" t="str">
        <f t="shared" si="19"/>
        <v/>
      </c>
      <c r="AC152" s="521" t="str">
        <f t="shared" si="20"/>
        <v/>
      </c>
      <c r="AD152" s="564" t="str">
        <f>IFERROR(IF(AC152="Check Data ⚠","Check Data ⚠",VLOOKUP(AC152,'G-4 Temporal multipliers'!$A$4:$C$37,3,FALSE)),"")</f>
        <v/>
      </c>
      <c r="AE152" s="498" t="str">
        <f>IF(N152="","",VLOOKUP(N152,'G-7 Rivers Data'!$B$4:$G$8,5,FALSE))</f>
        <v/>
      </c>
      <c r="AF152" s="507" t="str">
        <f t="shared" si="21"/>
        <v/>
      </c>
      <c r="AG152" s="540" t="str">
        <f t="shared" si="22"/>
        <v/>
      </c>
      <c r="AH152" s="499" t="str">
        <f t="shared" si="16"/>
        <v/>
      </c>
      <c r="AI152" s="145"/>
      <c r="AJ152" s="499" t="str">
        <f>IF(AI152="","",IF(VLOOKUP(AI152,'G-7 Rivers Data'!$AA$4:$AB$7,2,FALSE)=0,"Spatial Data Missing ⚠",VLOOKUP(AI152,'G-7 Rivers Data'!$AA$4:$AB$7,2,FALSE)))</f>
        <v/>
      </c>
      <c r="AK152" s="155"/>
      <c r="AL152" s="499" t="str">
        <f>IF(AK152="","",IF(VLOOKUP(AK152,'G-7 Rivers Data'!$AD$4:$AE$8,2,FALSE)=0,"Spatial Data Missing ⚠",VLOOKUP(AK152,'G-7 Rivers Data'!$AD$4:$AE$8,2,FALSE)))</f>
        <v/>
      </c>
      <c r="AM152" s="545" t="str">
        <f t="shared" si="23"/>
        <v/>
      </c>
      <c r="AN152" s="149"/>
      <c r="AO152" s="150"/>
      <c r="AV152" s="31" t="str">
        <f>IFERROR(INDEX('G-7 Rivers Data'!$AZ$3:$AZ$7,MATCH(N152,'G-7 Rivers Data'!$AY$3:$AY$7,0)),"")</f>
        <v/>
      </c>
    </row>
    <row r="153" spans="2:48" ht="14" x14ac:dyDescent="0.3">
      <c r="B153" s="531" t="str">
        <f>'C-1 Site River Baseline'!AN151</f>
        <v/>
      </c>
      <c r="C153" s="520" t="str">
        <f>IF(B153="","",VLOOKUP($B153,'C-1 Site River Baseline'!$C$9:$R$257,2,FALSE))</f>
        <v/>
      </c>
      <c r="D153" s="520" t="str">
        <f>IF(C153="","",VLOOKUP($B153,'C-1 Site River Baseline'!$C$9:$R$257,3,FALSE))</f>
        <v/>
      </c>
      <c r="E153" s="520" t="str">
        <f>IF(D153="","",VLOOKUP($B153,'C-1 Site River Baseline'!$C$9:$R$257,4,FALSE))</f>
        <v/>
      </c>
      <c r="F153" s="520" t="str">
        <f>IF(E153="","",VLOOKUP($B153,'C-1 Site River Baseline'!$C$9:$R$257,5,FALSE))</f>
        <v/>
      </c>
      <c r="G153" s="520" t="str">
        <f>IF(F153="","",VLOOKUP($B153,'C-1 Site River Baseline'!$C$9:$R$257,6,FALSE))</f>
        <v/>
      </c>
      <c r="H153" s="520" t="str">
        <f>IF(G153="","",VLOOKUP($B153,'C-1 Site River Baseline'!$C$9:$R$257,7,FALSE))</f>
        <v/>
      </c>
      <c r="I153" s="520" t="str">
        <f>IF(H153="","",VLOOKUP($B153,'C-1 Site River Baseline'!$C$9:$R$257,8,FALSE))</f>
        <v/>
      </c>
      <c r="J153" s="520" t="str">
        <f>IF(I153="","",VLOOKUP($B153,'C-1 Site River Baseline'!$C$9:$R$257,9,FALSE))</f>
        <v/>
      </c>
      <c r="K153" s="520" t="str">
        <f>IF(J153="","",VLOOKUP($B153,'C-1 Site River Baseline'!$C$9:$R$257,10,FALSE))</f>
        <v/>
      </c>
      <c r="L153" s="520" t="str">
        <f>IF(B153="","",VLOOKUP($B153,'C-1 Site River Baseline'!$C$9:$R$257,15,FALSE))</f>
        <v/>
      </c>
      <c r="M153" s="524" t="str">
        <f>IF(L153="","",VLOOKUP($B153,'C-1 Site River Baseline'!$C$9:$R$257,16,FALSE))</f>
        <v/>
      </c>
      <c r="N153" s="418" t="str">
        <f t="shared" si="17"/>
        <v/>
      </c>
      <c r="O153" s="498" t="str">
        <f t="shared" si="18"/>
        <v/>
      </c>
      <c r="P153" s="499" t="str">
        <f>IF(C153="","",IF(AND(LEFT(C153,55)&lt;&gt;LEFT(N153,55),O153="High - High"),"Error - Not like for like ▲",IF(AND(F153=S153,H153&gt;U153),"Error - Can not reduce condition ▲",IF(AND(F153=S153,H153=U153,AJ153='C-1 Site River Baseline'!N151,'C-1 Site River Baseline'!P151=AL153),"Error - No enhancement ▲",IF(AND(C153&lt;&gt;N153,F153&lt;S153),"Lower Distinctiveness Habitat"&amp;" - "&amp;T153,G153&amp;" - "&amp;T153)))))</f>
        <v/>
      </c>
      <c r="Q153" s="567" t="str">
        <f>IF(N153="","",VLOOKUP(B153,'C-1 Site River Baseline'!$C$10:$AA$257,19,FALSE))</f>
        <v/>
      </c>
      <c r="R153" s="498" t="str">
        <f>IF(N153="","",VLOOKUP(N153,'G-7 Rivers Data'!$B$2:$G$8,2,FALSE))</f>
        <v/>
      </c>
      <c r="S153" s="499" t="str">
        <f>IFERROR(VLOOKUP(R153,'G-7 Rivers Data'!$C$4:$D$8,2,FALSE),"")</f>
        <v/>
      </c>
      <c r="T153" s="145"/>
      <c r="U153" s="499" t="str">
        <f>IFERROR(INDEX('G-7 Rivers Data'!$H$4:$L$8,MATCH(N153,'G-7 Rivers Data'!$B$4:$B$8,0),MATCH(T153,'G-7 Rivers Data'!$H$3:$L$3,0)),"")</f>
        <v/>
      </c>
      <c r="V153" s="154"/>
      <c r="W153" s="507" t="str">
        <f>IF(V153="","",IF(VLOOKUP(V153,'G-7 Rivers Data'!$AG$4:$AI$9,2,FALSE)=0,"Spatial Data Missing ⚠",VLOOKUP(V153,'G-7 Rivers Data'!$AG$4:$AI$9,2,FALSE)))</f>
        <v/>
      </c>
      <c r="X153" s="499" t="str">
        <f>IF(V153="","",IF(VLOOKUP(V153,'G-7 Rivers Data'!$AG$4:$AI$9,3,FALSE)=0,"Spatial Data Missing ⚠",VLOOKUP(V153,'G-7 Rivers Data'!$AG$4:$AI$9,3,FALSE)))</f>
        <v/>
      </c>
      <c r="Y153" s="498" t="str">
        <f>IFERROR(IF(OR(LEFT(P153,5)="Error ▲",LEFT(O153,5)="Error ▲"),"Check Data ⚠",IF(F153&lt;S153,'G-7 Rivers Data'!$R$3,INDEX('G-7 Rivers Data'!$U$5:$Y$9,MATCH(G153,'G-7 Rivers Data'!$T$5:$T$9,0),MATCH(T153,'G-7 Rivers Data'!$U$4:$Y$4,0)))),"")</f>
        <v/>
      </c>
      <c r="Z153" s="195"/>
      <c r="AA153" s="195"/>
      <c r="AB153" s="507" t="str">
        <f t="shared" si="19"/>
        <v/>
      </c>
      <c r="AC153" s="521" t="str">
        <f t="shared" si="20"/>
        <v/>
      </c>
      <c r="AD153" s="564" t="str">
        <f>IFERROR(IF(AC153="Check Data ⚠","Check Data ⚠",VLOOKUP(AC153,'G-4 Temporal multipliers'!$A$4:$C$37,3,FALSE)),"")</f>
        <v/>
      </c>
      <c r="AE153" s="498" t="str">
        <f>IF(N153="","",VLOOKUP(N153,'G-7 Rivers Data'!$B$4:$G$8,5,FALSE))</f>
        <v/>
      </c>
      <c r="AF153" s="507" t="str">
        <f t="shared" si="21"/>
        <v/>
      </c>
      <c r="AG153" s="540" t="str">
        <f t="shared" si="22"/>
        <v/>
      </c>
      <c r="AH153" s="499" t="str">
        <f t="shared" si="16"/>
        <v/>
      </c>
      <c r="AI153" s="145"/>
      <c r="AJ153" s="499" t="str">
        <f>IF(AI153="","",IF(VLOOKUP(AI153,'G-7 Rivers Data'!$AA$4:$AB$7,2,FALSE)=0,"Spatial Data Missing ⚠",VLOOKUP(AI153,'G-7 Rivers Data'!$AA$4:$AB$7,2,FALSE)))</f>
        <v/>
      </c>
      <c r="AK153" s="155"/>
      <c r="AL153" s="499" t="str">
        <f>IF(AK153="","",IF(VLOOKUP(AK153,'G-7 Rivers Data'!$AD$4:$AE$8,2,FALSE)=0,"Spatial Data Missing ⚠",VLOOKUP(AK153,'G-7 Rivers Data'!$AD$4:$AE$8,2,FALSE)))</f>
        <v/>
      </c>
      <c r="AM153" s="545" t="str">
        <f t="shared" si="23"/>
        <v/>
      </c>
      <c r="AN153" s="149"/>
      <c r="AO153" s="150"/>
      <c r="AV153" s="31" t="str">
        <f>IFERROR(INDEX('G-7 Rivers Data'!$AZ$3:$AZ$7,MATCH(N153,'G-7 Rivers Data'!$AY$3:$AY$7,0)),"")</f>
        <v/>
      </c>
    </row>
    <row r="154" spans="2:48" ht="14" x14ac:dyDescent="0.3">
      <c r="B154" s="531" t="str">
        <f>'C-1 Site River Baseline'!AN152</f>
        <v/>
      </c>
      <c r="C154" s="520" t="str">
        <f>IF(B154="","",VLOOKUP($B154,'C-1 Site River Baseline'!$C$9:$R$257,2,FALSE))</f>
        <v/>
      </c>
      <c r="D154" s="520" t="str">
        <f>IF(C154="","",VLOOKUP($B154,'C-1 Site River Baseline'!$C$9:$R$257,3,FALSE))</f>
        <v/>
      </c>
      <c r="E154" s="520" t="str">
        <f>IF(D154="","",VLOOKUP($B154,'C-1 Site River Baseline'!$C$9:$R$257,4,FALSE))</f>
        <v/>
      </c>
      <c r="F154" s="520" t="str">
        <f>IF(E154="","",VLOOKUP($B154,'C-1 Site River Baseline'!$C$9:$R$257,5,FALSE))</f>
        <v/>
      </c>
      <c r="G154" s="520" t="str">
        <f>IF(F154="","",VLOOKUP($B154,'C-1 Site River Baseline'!$C$9:$R$257,6,FALSE))</f>
        <v/>
      </c>
      <c r="H154" s="520" t="str">
        <f>IF(G154="","",VLOOKUP($B154,'C-1 Site River Baseline'!$C$9:$R$257,7,FALSE))</f>
        <v/>
      </c>
      <c r="I154" s="520" t="str">
        <f>IF(H154="","",VLOOKUP($B154,'C-1 Site River Baseline'!$C$9:$R$257,8,FALSE))</f>
        <v/>
      </c>
      <c r="J154" s="520" t="str">
        <f>IF(I154="","",VLOOKUP($B154,'C-1 Site River Baseline'!$C$9:$R$257,9,FALSE))</f>
        <v/>
      </c>
      <c r="K154" s="520" t="str">
        <f>IF(J154="","",VLOOKUP($B154,'C-1 Site River Baseline'!$C$9:$R$257,10,FALSE))</f>
        <v/>
      </c>
      <c r="L154" s="520" t="str">
        <f>IF(B154="","",VLOOKUP($B154,'C-1 Site River Baseline'!$C$9:$R$257,15,FALSE))</f>
        <v/>
      </c>
      <c r="M154" s="524" t="str">
        <f>IF(L154="","",VLOOKUP($B154,'C-1 Site River Baseline'!$C$9:$R$257,16,FALSE))</f>
        <v/>
      </c>
      <c r="N154" s="418" t="str">
        <f t="shared" si="17"/>
        <v/>
      </c>
      <c r="O154" s="498" t="str">
        <f t="shared" si="18"/>
        <v/>
      </c>
      <c r="P154" s="499" t="str">
        <f>IF(C154="","",IF(AND(LEFT(C154,55)&lt;&gt;LEFT(N154,55),O154="High - High"),"Error - Not like for like ▲",IF(AND(F154=S154,H154&gt;U154),"Error - Can not reduce condition ▲",IF(AND(F154=S154,H154=U154,AJ154='C-1 Site River Baseline'!N152,'C-1 Site River Baseline'!P152=AL154),"Error - No enhancement ▲",IF(AND(C154&lt;&gt;N154,F154&lt;S154),"Lower Distinctiveness Habitat"&amp;" - "&amp;T154,G154&amp;" - "&amp;T154)))))</f>
        <v/>
      </c>
      <c r="Q154" s="567" t="str">
        <f>IF(N154="","",VLOOKUP(B154,'C-1 Site River Baseline'!$C$10:$AA$257,19,FALSE))</f>
        <v/>
      </c>
      <c r="R154" s="498" t="str">
        <f>IF(N154="","",VLOOKUP(N154,'G-7 Rivers Data'!$B$2:$G$8,2,FALSE))</f>
        <v/>
      </c>
      <c r="S154" s="499" t="str">
        <f>IFERROR(VLOOKUP(R154,'G-7 Rivers Data'!$C$4:$D$8,2,FALSE),"")</f>
        <v/>
      </c>
      <c r="T154" s="145"/>
      <c r="U154" s="499" t="str">
        <f>IFERROR(INDEX('G-7 Rivers Data'!$H$4:$L$8,MATCH(N154,'G-7 Rivers Data'!$B$4:$B$8,0),MATCH(T154,'G-7 Rivers Data'!$H$3:$L$3,0)),"")</f>
        <v/>
      </c>
      <c r="V154" s="154"/>
      <c r="W154" s="507" t="str">
        <f>IF(V154="","",IF(VLOOKUP(V154,'G-7 Rivers Data'!$AG$4:$AI$9,2,FALSE)=0,"Spatial Data Missing ⚠",VLOOKUP(V154,'G-7 Rivers Data'!$AG$4:$AI$9,2,FALSE)))</f>
        <v/>
      </c>
      <c r="X154" s="499" t="str">
        <f>IF(V154="","",IF(VLOOKUP(V154,'G-7 Rivers Data'!$AG$4:$AI$9,3,FALSE)=0,"Spatial Data Missing ⚠",VLOOKUP(V154,'G-7 Rivers Data'!$AG$4:$AI$9,3,FALSE)))</f>
        <v/>
      </c>
      <c r="Y154" s="498" t="str">
        <f>IFERROR(IF(OR(LEFT(P154,5)="Error ▲",LEFT(O154,5)="Error ▲"),"Check Data ⚠",IF(F154&lt;S154,'G-7 Rivers Data'!$R$3,INDEX('G-7 Rivers Data'!$U$5:$Y$9,MATCH(G154,'G-7 Rivers Data'!$T$5:$T$9,0),MATCH(T154,'G-7 Rivers Data'!$U$4:$Y$4,0)))),"")</f>
        <v/>
      </c>
      <c r="Z154" s="195"/>
      <c r="AA154" s="195"/>
      <c r="AB154" s="507" t="str">
        <f t="shared" si="19"/>
        <v/>
      </c>
      <c r="AC154" s="521" t="str">
        <f t="shared" si="20"/>
        <v/>
      </c>
      <c r="AD154" s="564" t="str">
        <f>IFERROR(IF(AC154="Check Data ⚠","Check Data ⚠",VLOOKUP(AC154,'G-4 Temporal multipliers'!$A$4:$C$37,3,FALSE)),"")</f>
        <v/>
      </c>
      <c r="AE154" s="498" t="str">
        <f>IF(N154="","",VLOOKUP(N154,'G-7 Rivers Data'!$B$4:$G$8,5,FALSE))</f>
        <v/>
      </c>
      <c r="AF154" s="507" t="str">
        <f t="shared" si="21"/>
        <v/>
      </c>
      <c r="AG154" s="540" t="str">
        <f t="shared" si="22"/>
        <v/>
      </c>
      <c r="AH154" s="499" t="str">
        <f t="shared" si="16"/>
        <v/>
      </c>
      <c r="AI154" s="145"/>
      <c r="AJ154" s="499" t="str">
        <f>IF(AI154="","",IF(VLOOKUP(AI154,'G-7 Rivers Data'!$AA$4:$AB$7,2,FALSE)=0,"Spatial Data Missing ⚠",VLOOKUP(AI154,'G-7 Rivers Data'!$AA$4:$AB$7,2,FALSE)))</f>
        <v/>
      </c>
      <c r="AK154" s="155"/>
      <c r="AL154" s="499" t="str">
        <f>IF(AK154="","",IF(VLOOKUP(AK154,'G-7 Rivers Data'!$AD$4:$AE$8,2,FALSE)=0,"Spatial Data Missing ⚠",VLOOKUP(AK154,'G-7 Rivers Data'!$AD$4:$AE$8,2,FALSE)))</f>
        <v/>
      </c>
      <c r="AM154" s="545" t="str">
        <f t="shared" si="23"/>
        <v/>
      </c>
      <c r="AN154" s="149"/>
      <c r="AO154" s="150"/>
      <c r="AV154" s="31" t="str">
        <f>IFERROR(INDEX('G-7 Rivers Data'!$AZ$3:$AZ$7,MATCH(N154,'G-7 Rivers Data'!$AY$3:$AY$7,0)),"")</f>
        <v/>
      </c>
    </row>
    <row r="155" spans="2:48" ht="14" x14ac:dyDescent="0.3">
      <c r="B155" s="531" t="str">
        <f>'C-1 Site River Baseline'!AN153</f>
        <v/>
      </c>
      <c r="C155" s="520" t="str">
        <f>IF(B155="","",VLOOKUP($B155,'C-1 Site River Baseline'!$C$9:$R$257,2,FALSE))</f>
        <v/>
      </c>
      <c r="D155" s="520" t="str">
        <f>IF(C155="","",VLOOKUP($B155,'C-1 Site River Baseline'!$C$9:$R$257,3,FALSE))</f>
        <v/>
      </c>
      <c r="E155" s="520" t="str">
        <f>IF(D155="","",VLOOKUP($B155,'C-1 Site River Baseline'!$C$9:$R$257,4,FALSE))</f>
        <v/>
      </c>
      <c r="F155" s="520" t="str">
        <f>IF(E155="","",VLOOKUP($B155,'C-1 Site River Baseline'!$C$9:$R$257,5,FALSE))</f>
        <v/>
      </c>
      <c r="G155" s="520" t="str">
        <f>IF(F155="","",VLOOKUP($B155,'C-1 Site River Baseline'!$C$9:$R$257,6,FALSE))</f>
        <v/>
      </c>
      <c r="H155" s="520" t="str">
        <f>IF(G155="","",VLOOKUP($B155,'C-1 Site River Baseline'!$C$9:$R$257,7,FALSE))</f>
        <v/>
      </c>
      <c r="I155" s="520" t="str">
        <f>IF(H155="","",VLOOKUP($B155,'C-1 Site River Baseline'!$C$9:$R$257,8,FALSE))</f>
        <v/>
      </c>
      <c r="J155" s="520" t="str">
        <f>IF(I155="","",VLOOKUP($B155,'C-1 Site River Baseline'!$C$9:$R$257,9,FALSE))</f>
        <v/>
      </c>
      <c r="K155" s="520" t="str">
        <f>IF(J155="","",VLOOKUP($B155,'C-1 Site River Baseline'!$C$9:$R$257,10,FALSE))</f>
        <v/>
      </c>
      <c r="L155" s="520" t="str">
        <f>IF(B155="","",VLOOKUP($B155,'C-1 Site River Baseline'!$C$9:$R$257,15,FALSE))</f>
        <v/>
      </c>
      <c r="M155" s="524" t="str">
        <f>IF(L155="","",VLOOKUP($B155,'C-1 Site River Baseline'!$C$9:$R$257,16,FALSE))</f>
        <v/>
      </c>
      <c r="N155" s="418" t="str">
        <f t="shared" si="17"/>
        <v/>
      </c>
      <c r="O155" s="498" t="str">
        <f t="shared" si="18"/>
        <v/>
      </c>
      <c r="P155" s="499" t="str">
        <f>IF(C155="","",IF(AND(LEFT(C155,55)&lt;&gt;LEFT(N155,55),O155="High - High"),"Error - Not like for like ▲",IF(AND(F155=S155,H155&gt;U155),"Error - Can not reduce condition ▲",IF(AND(F155=S155,H155=U155,AJ155='C-1 Site River Baseline'!N153,'C-1 Site River Baseline'!P153=AL155),"Error - No enhancement ▲",IF(AND(C155&lt;&gt;N155,F155&lt;S155),"Lower Distinctiveness Habitat"&amp;" - "&amp;T155,G155&amp;" - "&amp;T155)))))</f>
        <v/>
      </c>
      <c r="Q155" s="567" t="str">
        <f>IF(N155="","",VLOOKUP(B155,'C-1 Site River Baseline'!$C$10:$AA$257,19,FALSE))</f>
        <v/>
      </c>
      <c r="R155" s="498" t="str">
        <f>IF(N155="","",VLOOKUP(N155,'G-7 Rivers Data'!$B$2:$G$8,2,FALSE))</f>
        <v/>
      </c>
      <c r="S155" s="499" t="str">
        <f>IFERROR(VLOOKUP(R155,'G-7 Rivers Data'!$C$4:$D$8,2,FALSE),"")</f>
        <v/>
      </c>
      <c r="T155" s="145"/>
      <c r="U155" s="499" t="str">
        <f>IFERROR(INDEX('G-7 Rivers Data'!$H$4:$L$8,MATCH(N155,'G-7 Rivers Data'!$B$4:$B$8,0),MATCH(T155,'G-7 Rivers Data'!$H$3:$L$3,0)),"")</f>
        <v/>
      </c>
      <c r="V155" s="154"/>
      <c r="W155" s="507" t="str">
        <f>IF(V155="","",IF(VLOOKUP(V155,'G-7 Rivers Data'!$AG$4:$AI$9,2,FALSE)=0,"Spatial Data Missing ⚠",VLOOKUP(V155,'G-7 Rivers Data'!$AG$4:$AI$9,2,FALSE)))</f>
        <v/>
      </c>
      <c r="X155" s="499" t="str">
        <f>IF(V155="","",IF(VLOOKUP(V155,'G-7 Rivers Data'!$AG$4:$AI$9,3,FALSE)=0,"Spatial Data Missing ⚠",VLOOKUP(V155,'G-7 Rivers Data'!$AG$4:$AI$9,3,FALSE)))</f>
        <v/>
      </c>
      <c r="Y155" s="498" t="str">
        <f>IFERROR(IF(OR(LEFT(P155,5)="Error ▲",LEFT(O155,5)="Error ▲"),"Check Data ⚠",IF(F155&lt;S155,'G-7 Rivers Data'!$R$3,INDEX('G-7 Rivers Data'!$U$5:$Y$9,MATCH(G155,'G-7 Rivers Data'!$T$5:$T$9,0),MATCH(T155,'G-7 Rivers Data'!$U$4:$Y$4,0)))),"")</f>
        <v/>
      </c>
      <c r="Z155" s="195"/>
      <c r="AA155" s="195"/>
      <c r="AB155" s="507" t="str">
        <f t="shared" si="19"/>
        <v/>
      </c>
      <c r="AC155" s="521" t="str">
        <f t="shared" si="20"/>
        <v/>
      </c>
      <c r="AD155" s="564" t="str">
        <f>IFERROR(IF(AC155="Check Data ⚠","Check Data ⚠",VLOOKUP(AC155,'G-4 Temporal multipliers'!$A$4:$C$37,3,FALSE)),"")</f>
        <v/>
      </c>
      <c r="AE155" s="498" t="str">
        <f>IF(N155="","",VLOOKUP(N155,'G-7 Rivers Data'!$B$4:$G$8,5,FALSE))</f>
        <v/>
      </c>
      <c r="AF155" s="507" t="str">
        <f t="shared" si="21"/>
        <v/>
      </c>
      <c r="AG155" s="540" t="str">
        <f t="shared" si="22"/>
        <v/>
      </c>
      <c r="AH155" s="499" t="str">
        <f t="shared" si="16"/>
        <v/>
      </c>
      <c r="AI155" s="145"/>
      <c r="AJ155" s="499" t="str">
        <f>IF(AI155="","",IF(VLOOKUP(AI155,'G-7 Rivers Data'!$AA$4:$AB$7,2,FALSE)=0,"Spatial Data Missing ⚠",VLOOKUP(AI155,'G-7 Rivers Data'!$AA$4:$AB$7,2,FALSE)))</f>
        <v/>
      </c>
      <c r="AK155" s="155"/>
      <c r="AL155" s="499" t="str">
        <f>IF(AK155="","",IF(VLOOKUP(AK155,'G-7 Rivers Data'!$AD$4:$AE$8,2,FALSE)=0,"Spatial Data Missing ⚠",VLOOKUP(AK155,'G-7 Rivers Data'!$AD$4:$AE$8,2,FALSE)))</f>
        <v/>
      </c>
      <c r="AM155" s="545" t="str">
        <f t="shared" si="23"/>
        <v/>
      </c>
      <c r="AN155" s="149"/>
      <c r="AO155" s="150"/>
      <c r="AV155" s="31" t="str">
        <f>IFERROR(INDEX('G-7 Rivers Data'!$AZ$3:$AZ$7,MATCH(N155,'G-7 Rivers Data'!$AY$3:$AY$7,0)),"")</f>
        <v/>
      </c>
    </row>
    <row r="156" spans="2:48" ht="14" x14ac:dyDescent="0.3">
      <c r="B156" s="531" t="str">
        <f>'C-1 Site River Baseline'!AN154</f>
        <v/>
      </c>
      <c r="C156" s="520" t="str">
        <f>IF(B156="","",VLOOKUP($B156,'C-1 Site River Baseline'!$C$9:$R$257,2,FALSE))</f>
        <v/>
      </c>
      <c r="D156" s="520" t="str">
        <f>IF(C156="","",VLOOKUP($B156,'C-1 Site River Baseline'!$C$9:$R$257,3,FALSE))</f>
        <v/>
      </c>
      <c r="E156" s="520" t="str">
        <f>IF(D156="","",VLOOKUP($B156,'C-1 Site River Baseline'!$C$9:$R$257,4,FALSE))</f>
        <v/>
      </c>
      <c r="F156" s="520" t="str">
        <f>IF(E156="","",VLOOKUP($B156,'C-1 Site River Baseline'!$C$9:$R$257,5,FALSE))</f>
        <v/>
      </c>
      <c r="G156" s="520" t="str">
        <f>IF(F156="","",VLOOKUP($B156,'C-1 Site River Baseline'!$C$9:$R$257,6,FALSE))</f>
        <v/>
      </c>
      <c r="H156" s="520" t="str">
        <f>IF(G156="","",VLOOKUP($B156,'C-1 Site River Baseline'!$C$9:$R$257,7,FALSE))</f>
        <v/>
      </c>
      <c r="I156" s="520" t="str">
        <f>IF(H156="","",VLOOKUP($B156,'C-1 Site River Baseline'!$C$9:$R$257,8,FALSE))</f>
        <v/>
      </c>
      <c r="J156" s="520" t="str">
        <f>IF(I156="","",VLOOKUP($B156,'C-1 Site River Baseline'!$C$9:$R$257,9,FALSE))</f>
        <v/>
      </c>
      <c r="K156" s="520" t="str">
        <f>IF(J156="","",VLOOKUP($B156,'C-1 Site River Baseline'!$C$9:$R$257,10,FALSE))</f>
        <v/>
      </c>
      <c r="L156" s="520" t="str">
        <f>IF(B156="","",VLOOKUP($B156,'C-1 Site River Baseline'!$C$9:$R$257,15,FALSE))</f>
        <v/>
      </c>
      <c r="M156" s="524" t="str">
        <f>IF(L156="","",VLOOKUP($B156,'C-1 Site River Baseline'!$C$9:$R$257,16,FALSE))</f>
        <v/>
      </c>
      <c r="N156" s="418" t="str">
        <f t="shared" si="17"/>
        <v/>
      </c>
      <c r="O156" s="498" t="str">
        <f t="shared" si="18"/>
        <v/>
      </c>
      <c r="P156" s="499" t="str">
        <f>IF(C156="","",IF(AND(LEFT(C156,55)&lt;&gt;LEFT(N156,55),O156="High - High"),"Error - Not like for like ▲",IF(AND(F156=S156,H156&gt;U156),"Error - Can not reduce condition ▲",IF(AND(F156=S156,H156=U156,AJ156='C-1 Site River Baseline'!N154,'C-1 Site River Baseline'!P154=AL156),"Error - No enhancement ▲",IF(AND(C156&lt;&gt;N156,F156&lt;S156),"Lower Distinctiveness Habitat"&amp;" - "&amp;T156,G156&amp;" - "&amp;T156)))))</f>
        <v/>
      </c>
      <c r="Q156" s="567" t="str">
        <f>IF(N156="","",VLOOKUP(B156,'C-1 Site River Baseline'!$C$10:$AA$257,19,FALSE))</f>
        <v/>
      </c>
      <c r="R156" s="498" t="str">
        <f>IF(N156="","",VLOOKUP(N156,'G-7 Rivers Data'!$B$2:$G$8,2,FALSE))</f>
        <v/>
      </c>
      <c r="S156" s="499" t="str">
        <f>IFERROR(VLOOKUP(R156,'G-7 Rivers Data'!$C$4:$D$8,2,FALSE),"")</f>
        <v/>
      </c>
      <c r="T156" s="145"/>
      <c r="U156" s="499" t="str">
        <f>IFERROR(INDEX('G-7 Rivers Data'!$H$4:$L$8,MATCH(N156,'G-7 Rivers Data'!$B$4:$B$8,0),MATCH(T156,'G-7 Rivers Data'!$H$3:$L$3,0)),"")</f>
        <v/>
      </c>
      <c r="V156" s="154"/>
      <c r="W156" s="507" t="str">
        <f>IF(V156="","",IF(VLOOKUP(V156,'G-7 Rivers Data'!$AG$4:$AI$9,2,FALSE)=0,"Spatial Data Missing ⚠",VLOOKUP(V156,'G-7 Rivers Data'!$AG$4:$AI$9,2,FALSE)))</f>
        <v/>
      </c>
      <c r="X156" s="499" t="str">
        <f>IF(V156="","",IF(VLOOKUP(V156,'G-7 Rivers Data'!$AG$4:$AI$9,3,FALSE)=0,"Spatial Data Missing ⚠",VLOOKUP(V156,'G-7 Rivers Data'!$AG$4:$AI$9,3,FALSE)))</f>
        <v/>
      </c>
      <c r="Y156" s="498" t="str">
        <f>IFERROR(IF(OR(LEFT(P156,5)="Error ▲",LEFT(O156,5)="Error ▲"),"Check Data ⚠",IF(F156&lt;S156,'G-7 Rivers Data'!$R$3,INDEX('G-7 Rivers Data'!$U$5:$Y$9,MATCH(G156,'G-7 Rivers Data'!$T$5:$T$9,0),MATCH(T156,'G-7 Rivers Data'!$U$4:$Y$4,0)))),"")</f>
        <v/>
      </c>
      <c r="Z156" s="195"/>
      <c r="AA156" s="195"/>
      <c r="AB156" s="507" t="str">
        <f t="shared" si="19"/>
        <v/>
      </c>
      <c r="AC156" s="521" t="str">
        <f t="shared" si="20"/>
        <v/>
      </c>
      <c r="AD156" s="564" t="str">
        <f>IFERROR(IF(AC156="Check Data ⚠","Check Data ⚠",VLOOKUP(AC156,'G-4 Temporal multipliers'!$A$4:$C$37,3,FALSE)),"")</f>
        <v/>
      </c>
      <c r="AE156" s="498" t="str">
        <f>IF(N156="","",VLOOKUP(N156,'G-7 Rivers Data'!$B$4:$G$8,5,FALSE))</f>
        <v/>
      </c>
      <c r="AF156" s="507" t="str">
        <f t="shared" si="21"/>
        <v/>
      </c>
      <c r="AG156" s="540" t="str">
        <f t="shared" si="22"/>
        <v/>
      </c>
      <c r="AH156" s="499" t="str">
        <f t="shared" si="16"/>
        <v/>
      </c>
      <c r="AI156" s="145"/>
      <c r="AJ156" s="499" t="str">
        <f>IF(AI156="","",IF(VLOOKUP(AI156,'G-7 Rivers Data'!$AA$4:$AB$7,2,FALSE)=0,"Spatial Data Missing ⚠",VLOOKUP(AI156,'G-7 Rivers Data'!$AA$4:$AB$7,2,FALSE)))</f>
        <v/>
      </c>
      <c r="AK156" s="155"/>
      <c r="AL156" s="499" t="str">
        <f>IF(AK156="","",IF(VLOOKUP(AK156,'G-7 Rivers Data'!$AD$4:$AE$8,2,FALSE)=0,"Spatial Data Missing ⚠",VLOOKUP(AK156,'G-7 Rivers Data'!$AD$4:$AE$8,2,FALSE)))</f>
        <v/>
      </c>
      <c r="AM156" s="545" t="str">
        <f t="shared" si="23"/>
        <v/>
      </c>
      <c r="AN156" s="149"/>
      <c r="AO156" s="150"/>
      <c r="AV156" s="31" t="str">
        <f>IFERROR(INDEX('G-7 Rivers Data'!$AZ$3:$AZ$7,MATCH(N156,'G-7 Rivers Data'!$AY$3:$AY$7,0)),"")</f>
        <v/>
      </c>
    </row>
    <row r="157" spans="2:48" ht="14" x14ac:dyDescent="0.3">
      <c r="B157" s="531" t="str">
        <f>'C-1 Site River Baseline'!AN155</f>
        <v/>
      </c>
      <c r="C157" s="520" t="str">
        <f>IF(B157="","",VLOOKUP($B157,'C-1 Site River Baseline'!$C$9:$R$257,2,FALSE))</f>
        <v/>
      </c>
      <c r="D157" s="520" t="str">
        <f>IF(C157="","",VLOOKUP($B157,'C-1 Site River Baseline'!$C$9:$R$257,3,FALSE))</f>
        <v/>
      </c>
      <c r="E157" s="520" t="str">
        <f>IF(D157="","",VLOOKUP($B157,'C-1 Site River Baseline'!$C$9:$R$257,4,FALSE))</f>
        <v/>
      </c>
      <c r="F157" s="520" t="str">
        <f>IF(E157="","",VLOOKUP($B157,'C-1 Site River Baseline'!$C$9:$R$257,5,FALSE))</f>
        <v/>
      </c>
      <c r="G157" s="520" t="str">
        <f>IF(F157="","",VLOOKUP($B157,'C-1 Site River Baseline'!$C$9:$R$257,6,FALSE))</f>
        <v/>
      </c>
      <c r="H157" s="520" t="str">
        <f>IF(G157="","",VLOOKUP($B157,'C-1 Site River Baseline'!$C$9:$R$257,7,FALSE))</f>
        <v/>
      </c>
      <c r="I157" s="520" t="str">
        <f>IF(H157="","",VLOOKUP($B157,'C-1 Site River Baseline'!$C$9:$R$257,8,FALSE))</f>
        <v/>
      </c>
      <c r="J157" s="520" t="str">
        <f>IF(I157="","",VLOOKUP($B157,'C-1 Site River Baseline'!$C$9:$R$257,9,FALSE))</f>
        <v/>
      </c>
      <c r="K157" s="520" t="str">
        <f>IF(J157="","",VLOOKUP($B157,'C-1 Site River Baseline'!$C$9:$R$257,10,FALSE))</f>
        <v/>
      </c>
      <c r="L157" s="520" t="str">
        <f>IF(B157="","",VLOOKUP($B157,'C-1 Site River Baseline'!$C$9:$R$257,15,FALSE))</f>
        <v/>
      </c>
      <c r="M157" s="524" t="str">
        <f>IF(L157="","",VLOOKUP($B157,'C-1 Site River Baseline'!$C$9:$R$257,16,FALSE))</f>
        <v/>
      </c>
      <c r="N157" s="418" t="str">
        <f t="shared" si="17"/>
        <v/>
      </c>
      <c r="O157" s="498" t="str">
        <f t="shared" si="18"/>
        <v/>
      </c>
      <c r="P157" s="499" t="str">
        <f>IF(C157="","",IF(AND(LEFT(C157,55)&lt;&gt;LEFT(N157,55),O157="High - High"),"Error - Not like for like ▲",IF(AND(F157=S157,H157&gt;U157),"Error - Can not reduce condition ▲",IF(AND(F157=S157,H157=U157,AJ157='C-1 Site River Baseline'!N155,'C-1 Site River Baseline'!P155=AL157),"Error - No enhancement ▲",IF(AND(C157&lt;&gt;N157,F157&lt;S157),"Lower Distinctiveness Habitat"&amp;" - "&amp;T157,G157&amp;" - "&amp;T157)))))</f>
        <v/>
      </c>
      <c r="Q157" s="567" t="str">
        <f>IF(N157="","",VLOOKUP(B157,'C-1 Site River Baseline'!$C$10:$AA$257,19,FALSE))</f>
        <v/>
      </c>
      <c r="R157" s="498" t="str">
        <f>IF(N157="","",VLOOKUP(N157,'G-7 Rivers Data'!$B$2:$G$8,2,FALSE))</f>
        <v/>
      </c>
      <c r="S157" s="499" t="str">
        <f>IFERROR(VLOOKUP(R157,'G-7 Rivers Data'!$C$4:$D$8,2,FALSE),"")</f>
        <v/>
      </c>
      <c r="T157" s="145"/>
      <c r="U157" s="499" t="str">
        <f>IFERROR(INDEX('G-7 Rivers Data'!$H$4:$L$8,MATCH(N157,'G-7 Rivers Data'!$B$4:$B$8,0),MATCH(T157,'G-7 Rivers Data'!$H$3:$L$3,0)),"")</f>
        <v/>
      </c>
      <c r="V157" s="154"/>
      <c r="W157" s="507" t="str">
        <f>IF(V157="","",IF(VLOOKUP(V157,'G-7 Rivers Data'!$AG$4:$AI$9,2,FALSE)=0,"Spatial Data Missing ⚠",VLOOKUP(V157,'G-7 Rivers Data'!$AG$4:$AI$9,2,FALSE)))</f>
        <v/>
      </c>
      <c r="X157" s="499" t="str">
        <f>IF(V157="","",IF(VLOOKUP(V157,'G-7 Rivers Data'!$AG$4:$AI$9,3,FALSE)=0,"Spatial Data Missing ⚠",VLOOKUP(V157,'G-7 Rivers Data'!$AG$4:$AI$9,3,FALSE)))</f>
        <v/>
      </c>
      <c r="Y157" s="498" t="str">
        <f>IFERROR(IF(OR(LEFT(P157,5)="Error ▲",LEFT(O157,5)="Error ▲"),"Check Data ⚠",IF(F157&lt;S157,'G-7 Rivers Data'!$R$3,INDEX('G-7 Rivers Data'!$U$5:$Y$9,MATCH(G157,'G-7 Rivers Data'!$T$5:$T$9,0),MATCH(T157,'G-7 Rivers Data'!$U$4:$Y$4,0)))),"")</f>
        <v/>
      </c>
      <c r="Z157" s="195"/>
      <c r="AA157" s="195"/>
      <c r="AB157" s="507" t="str">
        <f t="shared" si="19"/>
        <v/>
      </c>
      <c r="AC157" s="521" t="str">
        <f t="shared" si="20"/>
        <v/>
      </c>
      <c r="AD157" s="564" t="str">
        <f>IFERROR(IF(AC157="Check Data ⚠","Check Data ⚠",VLOOKUP(AC157,'G-4 Temporal multipliers'!$A$4:$C$37,3,FALSE)),"")</f>
        <v/>
      </c>
      <c r="AE157" s="498" t="str">
        <f>IF(N157="","",VLOOKUP(N157,'G-7 Rivers Data'!$B$4:$G$8,5,FALSE))</f>
        <v/>
      </c>
      <c r="AF157" s="507" t="str">
        <f t="shared" si="21"/>
        <v/>
      </c>
      <c r="AG157" s="540" t="str">
        <f t="shared" si="22"/>
        <v/>
      </c>
      <c r="AH157" s="499" t="str">
        <f t="shared" si="16"/>
        <v/>
      </c>
      <c r="AI157" s="145"/>
      <c r="AJ157" s="499" t="str">
        <f>IF(AI157="","",IF(VLOOKUP(AI157,'G-7 Rivers Data'!$AA$4:$AB$7,2,FALSE)=0,"Spatial Data Missing ⚠",VLOOKUP(AI157,'G-7 Rivers Data'!$AA$4:$AB$7,2,FALSE)))</f>
        <v/>
      </c>
      <c r="AK157" s="155"/>
      <c r="AL157" s="499" t="str">
        <f>IF(AK157="","",IF(VLOOKUP(AK157,'G-7 Rivers Data'!$AD$4:$AE$8,2,FALSE)=0,"Spatial Data Missing ⚠",VLOOKUP(AK157,'G-7 Rivers Data'!$AD$4:$AE$8,2,FALSE)))</f>
        <v/>
      </c>
      <c r="AM157" s="545" t="str">
        <f t="shared" si="23"/>
        <v/>
      </c>
      <c r="AN157" s="149"/>
      <c r="AO157" s="150"/>
      <c r="AV157" s="31" t="str">
        <f>IFERROR(INDEX('G-7 Rivers Data'!$AZ$3:$AZ$7,MATCH(N157,'G-7 Rivers Data'!$AY$3:$AY$7,0)),"")</f>
        <v/>
      </c>
    </row>
    <row r="158" spans="2:48" ht="14" x14ac:dyDescent="0.3">
      <c r="B158" s="531" t="str">
        <f>'C-1 Site River Baseline'!AN156</f>
        <v/>
      </c>
      <c r="C158" s="520" t="str">
        <f>IF(B158="","",VLOOKUP($B158,'C-1 Site River Baseline'!$C$9:$R$257,2,FALSE))</f>
        <v/>
      </c>
      <c r="D158" s="520" t="str">
        <f>IF(C158="","",VLOOKUP($B158,'C-1 Site River Baseline'!$C$9:$R$257,3,FALSE))</f>
        <v/>
      </c>
      <c r="E158" s="520" t="str">
        <f>IF(D158="","",VLOOKUP($B158,'C-1 Site River Baseline'!$C$9:$R$257,4,FALSE))</f>
        <v/>
      </c>
      <c r="F158" s="520" t="str">
        <f>IF(E158="","",VLOOKUP($B158,'C-1 Site River Baseline'!$C$9:$R$257,5,FALSE))</f>
        <v/>
      </c>
      <c r="G158" s="520" t="str">
        <f>IF(F158="","",VLOOKUP($B158,'C-1 Site River Baseline'!$C$9:$R$257,6,FALSE))</f>
        <v/>
      </c>
      <c r="H158" s="520" t="str">
        <f>IF(G158="","",VLOOKUP($B158,'C-1 Site River Baseline'!$C$9:$R$257,7,FALSE))</f>
        <v/>
      </c>
      <c r="I158" s="520" t="str">
        <f>IF(H158="","",VLOOKUP($B158,'C-1 Site River Baseline'!$C$9:$R$257,8,FALSE))</f>
        <v/>
      </c>
      <c r="J158" s="520" t="str">
        <f>IF(I158="","",VLOOKUP($B158,'C-1 Site River Baseline'!$C$9:$R$257,9,FALSE))</f>
        <v/>
      </c>
      <c r="K158" s="520" t="str">
        <f>IF(J158="","",VLOOKUP($B158,'C-1 Site River Baseline'!$C$9:$R$257,10,FALSE))</f>
        <v/>
      </c>
      <c r="L158" s="520" t="str">
        <f>IF(B158="","",VLOOKUP($B158,'C-1 Site River Baseline'!$C$9:$R$257,15,FALSE))</f>
        <v/>
      </c>
      <c r="M158" s="524" t="str">
        <f>IF(L158="","",VLOOKUP($B158,'C-1 Site River Baseline'!$C$9:$R$257,16,FALSE))</f>
        <v/>
      </c>
      <c r="N158" s="418" t="str">
        <f t="shared" si="17"/>
        <v/>
      </c>
      <c r="O158" s="498" t="str">
        <f t="shared" si="18"/>
        <v/>
      </c>
      <c r="P158" s="499" t="str">
        <f>IF(C158="","",IF(AND(LEFT(C158,55)&lt;&gt;LEFT(N158,55),O158="High - High"),"Error - Not like for like ▲",IF(AND(F158=S158,H158&gt;U158),"Error - Can not reduce condition ▲",IF(AND(F158=S158,H158=U158,AJ158='C-1 Site River Baseline'!N156,'C-1 Site River Baseline'!P156=AL158),"Error - No enhancement ▲",IF(AND(C158&lt;&gt;N158,F158&lt;S158),"Lower Distinctiveness Habitat"&amp;" - "&amp;T158,G158&amp;" - "&amp;T158)))))</f>
        <v/>
      </c>
      <c r="Q158" s="567" t="str">
        <f>IF(N158="","",VLOOKUP(B158,'C-1 Site River Baseline'!$C$10:$AA$257,19,FALSE))</f>
        <v/>
      </c>
      <c r="R158" s="498" t="str">
        <f>IF(N158="","",VLOOKUP(N158,'G-7 Rivers Data'!$B$2:$G$8,2,FALSE))</f>
        <v/>
      </c>
      <c r="S158" s="499" t="str">
        <f>IFERROR(VLOOKUP(R158,'G-7 Rivers Data'!$C$4:$D$8,2,FALSE),"")</f>
        <v/>
      </c>
      <c r="T158" s="145"/>
      <c r="U158" s="499" t="str">
        <f>IFERROR(INDEX('G-7 Rivers Data'!$H$4:$L$8,MATCH(N158,'G-7 Rivers Data'!$B$4:$B$8,0),MATCH(T158,'G-7 Rivers Data'!$H$3:$L$3,0)),"")</f>
        <v/>
      </c>
      <c r="V158" s="154"/>
      <c r="W158" s="507" t="str">
        <f>IF(V158="","",IF(VLOOKUP(V158,'G-7 Rivers Data'!$AG$4:$AI$9,2,FALSE)=0,"Spatial Data Missing ⚠",VLOOKUP(V158,'G-7 Rivers Data'!$AG$4:$AI$9,2,FALSE)))</f>
        <v/>
      </c>
      <c r="X158" s="499" t="str">
        <f>IF(V158="","",IF(VLOOKUP(V158,'G-7 Rivers Data'!$AG$4:$AI$9,3,FALSE)=0,"Spatial Data Missing ⚠",VLOOKUP(V158,'G-7 Rivers Data'!$AG$4:$AI$9,3,FALSE)))</f>
        <v/>
      </c>
      <c r="Y158" s="498" t="str">
        <f>IFERROR(IF(OR(LEFT(P158,5)="Error ▲",LEFT(O158,5)="Error ▲"),"Check Data ⚠",IF(F158&lt;S158,'G-7 Rivers Data'!$R$3,INDEX('G-7 Rivers Data'!$U$5:$Y$9,MATCH(G158,'G-7 Rivers Data'!$T$5:$T$9,0),MATCH(T158,'G-7 Rivers Data'!$U$4:$Y$4,0)))),"")</f>
        <v/>
      </c>
      <c r="Z158" s="195"/>
      <c r="AA158" s="195"/>
      <c r="AB158" s="507" t="str">
        <f t="shared" si="19"/>
        <v/>
      </c>
      <c r="AC158" s="521" t="str">
        <f t="shared" si="20"/>
        <v/>
      </c>
      <c r="AD158" s="564" t="str">
        <f>IFERROR(IF(AC158="Check Data ⚠","Check Data ⚠",VLOOKUP(AC158,'G-4 Temporal multipliers'!$A$4:$C$37,3,FALSE)),"")</f>
        <v/>
      </c>
      <c r="AE158" s="498" t="str">
        <f>IF(N158="","",VLOOKUP(N158,'G-7 Rivers Data'!$B$4:$G$8,5,FALSE))</f>
        <v/>
      </c>
      <c r="AF158" s="507" t="str">
        <f t="shared" si="21"/>
        <v/>
      </c>
      <c r="AG158" s="540" t="str">
        <f t="shared" si="22"/>
        <v/>
      </c>
      <c r="AH158" s="499" t="str">
        <f t="shared" si="16"/>
        <v/>
      </c>
      <c r="AI158" s="145"/>
      <c r="AJ158" s="499" t="str">
        <f>IF(AI158="","",IF(VLOOKUP(AI158,'G-7 Rivers Data'!$AA$4:$AB$7,2,FALSE)=0,"Spatial Data Missing ⚠",VLOOKUP(AI158,'G-7 Rivers Data'!$AA$4:$AB$7,2,FALSE)))</f>
        <v/>
      </c>
      <c r="AK158" s="155"/>
      <c r="AL158" s="499" t="str">
        <f>IF(AK158="","",IF(VLOOKUP(AK158,'G-7 Rivers Data'!$AD$4:$AE$8,2,FALSE)=0,"Spatial Data Missing ⚠",VLOOKUP(AK158,'G-7 Rivers Data'!$AD$4:$AE$8,2,FALSE)))</f>
        <v/>
      </c>
      <c r="AM158" s="545" t="str">
        <f t="shared" si="23"/>
        <v/>
      </c>
      <c r="AN158" s="149"/>
      <c r="AO158" s="150"/>
      <c r="AV158" s="31" t="str">
        <f>IFERROR(INDEX('G-7 Rivers Data'!$AZ$3:$AZ$7,MATCH(N158,'G-7 Rivers Data'!$AY$3:$AY$7,0)),"")</f>
        <v/>
      </c>
    </row>
    <row r="159" spans="2:48" ht="14" x14ac:dyDescent="0.3">
      <c r="B159" s="531" t="str">
        <f>'C-1 Site River Baseline'!AN157</f>
        <v/>
      </c>
      <c r="C159" s="520" t="str">
        <f>IF(B159="","",VLOOKUP($B159,'C-1 Site River Baseline'!$C$9:$R$257,2,FALSE))</f>
        <v/>
      </c>
      <c r="D159" s="520" t="str">
        <f>IF(C159="","",VLOOKUP($B159,'C-1 Site River Baseline'!$C$9:$R$257,3,FALSE))</f>
        <v/>
      </c>
      <c r="E159" s="520" t="str">
        <f>IF(D159="","",VLOOKUP($B159,'C-1 Site River Baseline'!$C$9:$R$257,4,FALSE))</f>
        <v/>
      </c>
      <c r="F159" s="520" t="str">
        <f>IF(E159="","",VLOOKUP($B159,'C-1 Site River Baseline'!$C$9:$R$257,5,FALSE))</f>
        <v/>
      </c>
      <c r="G159" s="520" t="str">
        <f>IF(F159="","",VLOOKUP($B159,'C-1 Site River Baseline'!$C$9:$R$257,6,FALSE))</f>
        <v/>
      </c>
      <c r="H159" s="520" t="str">
        <f>IF(G159="","",VLOOKUP($B159,'C-1 Site River Baseline'!$C$9:$R$257,7,FALSE))</f>
        <v/>
      </c>
      <c r="I159" s="520" t="str">
        <f>IF(H159="","",VLOOKUP($B159,'C-1 Site River Baseline'!$C$9:$R$257,8,FALSE))</f>
        <v/>
      </c>
      <c r="J159" s="520" t="str">
        <f>IF(I159="","",VLOOKUP($B159,'C-1 Site River Baseline'!$C$9:$R$257,9,FALSE))</f>
        <v/>
      </c>
      <c r="K159" s="520" t="str">
        <f>IF(J159="","",VLOOKUP($B159,'C-1 Site River Baseline'!$C$9:$R$257,10,FALSE))</f>
        <v/>
      </c>
      <c r="L159" s="520" t="str">
        <f>IF(B159="","",VLOOKUP($B159,'C-1 Site River Baseline'!$C$9:$R$257,15,FALSE))</f>
        <v/>
      </c>
      <c r="M159" s="524" t="str">
        <f>IF(L159="","",VLOOKUP($B159,'C-1 Site River Baseline'!$C$9:$R$257,16,FALSE))</f>
        <v/>
      </c>
      <c r="N159" s="418" t="str">
        <f t="shared" si="17"/>
        <v/>
      </c>
      <c r="O159" s="498" t="str">
        <f t="shared" si="18"/>
        <v/>
      </c>
      <c r="P159" s="499" t="str">
        <f>IF(C159="","",IF(AND(LEFT(C159,55)&lt;&gt;LEFT(N159,55),O159="High - High"),"Error - Not like for like ▲",IF(AND(F159=S159,H159&gt;U159),"Error - Can not reduce condition ▲",IF(AND(F159=S159,H159=U159,AJ159='C-1 Site River Baseline'!N157,'C-1 Site River Baseline'!P157=AL159),"Error - No enhancement ▲",IF(AND(C159&lt;&gt;N159,F159&lt;S159),"Lower Distinctiveness Habitat"&amp;" - "&amp;T159,G159&amp;" - "&amp;T159)))))</f>
        <v/>
      </c>
      <c r="Q159" s="567" t="str">
        <f>IF(N159="","",VLOOKUP(B159,'C-1 Site River Baseline'!$C$10:$AA$257,19,FALSE))</f>
        <v/>
      </c>
      <c r="R159" s="498" t="str">
        <f>IF(N159="","",VLOOKUP(N159,'G-7 Rivers Data'!$B$2:$G$8,2,FALSE))</f>
        <v/>
      </c>
      <c r="S159" s="499" t="str">
        <f>IFERROR(VLOOKUP(R159,'G-7 Rivers Data'!$C$4:$D$8,2,FALSE),"")</f>
        <v/>
      </c>
      <c r="T159" s="145"/>
      <c r="U159" s="499" t="str">
        <f>IFERROR(INDEX('G-7 Rivers Data'!$H$4:$L$8,MATCH(N159,'G-7 Rivers Data'!$B$4:$B$8,0),MATCH(T159,'G-7 Rivers Data'!$H$3:$L$3,0)),"")</f>
        <v/>
      </c>
      <c r="V159" s="154"/>
      <c r="W159" s="507" t="str">
        <f>IF(V159="","",IF(VLOOKUP(V159,'G-7 Rivers Data'!$AG$4:$AI$9,2,FALSE)=0,"Spatial Data Missing ⚠",VLOOKUP(V159,'G-7 Rivers Data'!$AG$4:$AI$9,2,FALSE)))</f>
        <v/>
      </c>
      <c r="X159" s="499" t="str">
        <f>IF(V159="","",IF(VLOOKUP(V159,'G-7 Rivers Data'!$AG$4:$AI$9,3,FALSE)=0,"Spatial Data Missing ⚠",VLOOKUP(V159,'G-7 Rivers Data'!$AG$4:$AI$9,3,FALSE)))</f>
        <v/>
      </c>
      <c r="Y159" s="498" t="str">
        <f>IFERROR(IF(OR(LEFT(P159,5)="Error ▲",LEFT(O159,5)="Error ▲"),"Check Data ⚠",IF(F159&lt;S159,'G-7 Rivers Data'!$R$3,INDEX('G-7 Rivers Data'!$U$5:$Y$9,MATCH(G159,'G-7 Rivers Data'!$T$5:$T$9,0),MATCH(T159,'G-7 Rivers Data'!$U$4:$Y$4,0)))),"")</f>
        <v/>
      </c>
      <c r="Z159" s="195"/>
      <c r="AA159" s="195"/>
      <c r="AB159" s="507" t="str">
        <f t="shared" si="19"/>
        <v/>
      </c>
      <c r="AC159" s="521" t="str">
        <f t="shared" si="20"/>
        <v/>
      </c>
      <c r="AD159" s="564" t="str">
        <f>IFERROR(IF(AC159="Check Data ⚠","Check Data ⚠",VLOOKUP(AC159,'G-4 Temporal multipliers'!$A$4:$C$37,3,FALSE)),"")</f>
        <v/>
      </c>
      <c r="AE159" s="498" t="str">
        <f>IF(N159="","",VLOOKUP(N159,'G-7 Rivers Data'!$B$4:$G$8,5,FALSE))</f>
        <v/>
      </c>
      <c r="AF159" s="507" t="str">
        <f t="shared" si="21"/>
        <v/>
      </c>
      <c r="AG159" s="540" t="str">
        <f t="shared" si="22"/>
        <v/>
      </c>
      <c r="AH159" s="499" t="str">
        <f t="shared" si="16"/>
        <v/>
      </c>
      <c r="AI159" s="145"/>
      <c r="AJ159" s="499" t="str">
        <f>IF(AI159="","",IF(VLOOKUP(AI159,'G-7 Rivers Data'!$AA$4:$AB$7,2,FALSE)=0,"Spatial Data Missing ⚠",VLOOKUP(AI159,'G-7 Rivers Data'!$AA$4:$AB$7,2,FALSE)))</f>
        <v/>
      </c>
      <c r="AK159" s="155"/>
      <c r="AL159" s="499" t="str">
        <f>IF(AK159="","",IF(VLOOKUP(AK159,'G-7 Rivers Data'!$AD$4:$AE$8,2,FALSE)=0,"Spatial Data Missing ⚠",VLOOKUP(AK159,'G-7 Rivers Data'!$AD$4:$AE$8,2,FALSE)))</f>
        <v/>
      </c>
      <c r="AM159" s="545" t="str">
        <f t="shared" si="23"/>
        <v/>
      </c>
      <c r="AN159" s="149"/>
      <c r="AO159" s="150"/>
      <c r="AV159" s="31" t="str">
        <f>IFERROR(INDEX('G-7 Rivers Data'!$AZ$3:$AZ$7,MATCH(N159,'G-7 Rivers Data'!$AY$3:$AY$7,0)),"")</f>
        <v/>
      </c>
    </row>
    <row r="160" spans="2:48" ht="14" x14ac:dyDescent="0.3">
      <c r="B160" s="531" t="str">
        <f>'C-1 Site River Baseline'!AN158</f>
        <v/>
      </c>
      <c r="C160" s="520" t="str">
        <f>IF(B160="","",VLOOKUP($B160,'C-1 Site River Baseline'!$C$9:$R$257,2,FALSE))</f>
        <v/>
      </c>
      <c r="D160" s="520" t="str">
        <f>IF(C160="","",VLOOKUP($B160,'C-1 Site River Baseline'!$C$9:$R$257,3,FALSE))</f>
        <v/>
      </c>
      <c r="E160" s="520" t="str">
        <f>IF(D160="","",VLOOKUP($B160,'C-1 Site River Baseline'!$C$9:$R$257,4,FALSE))</f>
        <v/>
      </c>
      <c r="F160" s="520" t="str">
        <f>IF(E160="","",VLOOKUP($B160,'C-1 Site River Baseline'!$C$9:$R$257,5,FALSE))</f>
        <v/>
      </c>
      <c r="G160" s="520" t="str">
        <f>IF(F160="","",VLOOKUP($B160,'C-1 Site River Baseline'!$C$9:$R$257,6,FALSE))</f>
        <v/>
      </c>
      <c r="H160" s="520" t="str">
        <f>IF(G160="","",VLOOKUP($B160,'C-1 Site River Baseline'!$C$9:$R$257,7,FALSE))</f>
        <v/>
      </c>
      <c r="I160" s="520" t="str">
        <f>IF(H160="","",VLOOKUP($B160,'C-1 Site River Baseline'!$C$9:$R$257,8,FALSE))</f>
        <v/>
      </c>
      <c r="J160" s="520" t="str">
        <f>IF(I160="","",VLOOKUP($B160,'C-1 Site River Baseline'!$C$9:$R$257,9,FALSE))</f>
        <v/>
      </c>
      <c r="K160" s="520" t="str">
        <f>IF(J160="","",VLOOKUP($B160,'C-1 Site River Baseline'!$C$9:$R$257,10,FALSE))</f>
        <v/>
      </c>
      <c r="L160" s="520" t="str">
        <f>IF(B160="","",VLOOKUP($B160,'C-1 Site River Baseline'!$C$9:$R$257,15,FALSE))</f>
        <v/>
      </c>
      <c r="M160" s="524" t="str">
        <f>IF(L160="","",VLOOKUP($B160,'C-1 Site River Baseline'!$C$9:$R$257,16,FALSE))</f>
        <v/>
      </c>
      <c r="N160" s="418" t="str">
        <f t="shared" si="17"/>
        <v/>
      </c>
      <c r="O160" s="498" t="str">
        <f t="shared" si="18"/>
        <v/>
      </c>
      <c r="P160" s="499" t="str">
        <f>IF(C160="","",IF(AND(LEFT(C160,55)&lt;&gt;LEFT(N160,55),O160="High - High"),"Error - Not like for like ▲",IF(AND(F160=S160,H160&gt;U160),"Error - Can not reduce condition ▲",IF(AND(F160=S160,H160=U160,AJ160='C-1 Site River Baseline'!N158,'C-1 Site River Baseline'!P158=AL160),"Error - No enhancement ▲",IF(AND(C160&lt;&gt;N160,F160&lt;S160),"Lower Distinctiveness Habitat"&amp;" - "&amp;T160,G160&amp;" - "&amp;T160)))))</f>
        <v/>
      </c>
      <c r="Q160" s="567" t="str">
        <f>IF(N160="","",VLOOKUP(B160,'C-1 Site River Baseline'!$C$10:$AA$257,19,FALSE))</f>
        <v/>
      </c>
      <c r="R160" s="498" t="str">
        <f>IF(N160="","",VLOOKUP(N160,'G-7 Rivers Data'!$B$2:$G$8,2,FALSE))</f>
        <v/>
      </c>
      <c r="S160" s="499" t="str">
        <f>IFERROR(VLOOKUP(R160,'G-7 Rivers Data'!$C$4:$D$8,2,FALSE),"")</f>
        <v/>
      </c>
      <c r="T160" s="145"/>
      <c r="U160" s="499" t="str">
        <f>IFERROR(INDEX('G-7 Rivers Data'!$H$4:$L$8,MATCH(N160,'G-7 Rivers Data'!$B$4:$B$8,0),MATCH(T160,'G-7 Rivers Data'!$H$3:$L$3,0)),"")</f>
        <v/>
      </c>
      <c r="V160" s="154"/>
      <c r="W160" s="507" t="str">
        <f>IF(V160="","",IF(VLOOKUP(V160,'G-7 Rivers Data'!$AG$4:$AI$9,2,FALSE)=0,"Spatial Data Missing ⚠",VLOOKUP(V160,'G-7 Rivers Data'!$AG$4:$AI$9,2,FALSE)))</f>
        <v/>
      </c>
      <c r="X160" s="499" t="str">
        <f>IF(V160="","",IF(VLOOKUP(V160,'G-7 Rivers Data'!$AG$4:$AI$9,3,FALSE)=0,"Spatial Data Missing ⚠",VLOOKUP(V160,'G-7 Rivers Data'!$AG$4:$AI$9,3,FALSE)))</f>
        <v/>
      </c>
      <c r="Y160" s="498" t="str">
        <f>IFERROR(IF(OR(LEFT(P160,5)="Error ▲",LEFT(O160,5)="Error ▲"),"Check Data ⚠",IF(F160&lt;S160,'G-7 Rivers Data'!$R$3,INDEX('G-7 Rivers Data'!$U$5:$Y$9,MATCH(G160,'G-7 Rivers Data'!$T$5:$T$9,0),MATCH(T160,'G-7 Rivers Data'!$U$4:$Y$4,0)))),"")</f>
        <v/>
      </c>
      <c r="Z160" s="195"/>
      <c r="AA160" s="195"/>
      <c r="AB160" s="507" t="str">
        <f t="shared" si="19"/>
        <v/>
      </c>
      <c r="AC160" s="521" t="str">
        <f t="shared" si="20"/>
        <v/>
      </c>
      <c r="AD160" s="564" t="str">
        <f>IFERROR(IF(AC160="Check Data ⚠","Check Data ⚠",VLOOKUP(AC160,'G-4 Temporal multipliers'!$A$4:$C$37,3,FALSE)),"")</f>
        <v/>
      </c>
      <c r="AE160" s="498" t="str">
        <f>IF(N160="","",VLOOKUP(N160,'G-7 Rivers Data'!$B$4:$G$8,5,FALSE))</f>
        <v/>
      </c>
      <c r="AF160" s="507" t="str">
        <f t="shared" si="21"/>
        <v/>
      </c>
      <c r="AG160" s="540" t="str">
        <f t="shared" si="22"/>
        <v/>
      </c>
      <c r="AH160" s="499" t="str">
        <f t="shared" si="16"/>
        <v/>
      </c>
      <c r="AI160" s="145"/>
      <c r="AJ160" s="499" t="str">
        <f>IF(AI160="","",IF(VLOOKUP(AI160,'G-7 Rivers Data'!$AA$4:$AB$7,2,FALSE)=0,"Spatial Data Missing ⚠",VLOOKUP(AI160,'G-7 Rivers Data'!$AA$4:$AB$7,2,FALSE)))</f>
        <v/>
      </c>
      <c r="AK160" s="155"/>
      <c r="AL160" s="499" t="str">
        <f>IF(AK160="","",IF(VLOOKUP(AK160,'G-7 Rivers Data'!$AD$4:$AE$8,2,FALSE)=0,"Spatial Data Missing ⚠",VLOOKUP(AK160,'G-7 Rivers Data'!$AD$4:$AE$8,2,FALSE)))</f>
        <v/>
      </c>
      <c r="AM160" s="545" t="str">
        <f t="shared" si="23"/>
        <v/>
      </c>
      <c r="AN160" s="149"/>
      <c r="AO160" s="150"/>
      <c r="AV160" s="31" t="str">
        <f>IFERROR(INDEX('G-7 Rivers Data'!$AZ$3:$AZ$7,MATCH(N160,'G-7 Rivers Data'!$AY$3:$AY$7,0)),"")</f>
        <v/>
      </c>
    </row>
    <row r="161" spans="2:48" ht="14" x14ac:dyDescent="0.3">
      <c r="B161" s="531" t="str">
        <f>'C-1 Site River Baseline'!AN159</f>
        <v/>
      </c>
      <c r="C161" s="520" t="str">
        <f>IF(B161="","",VLOOKUP($B161,'C-1 Site River Baseline'!$C$9:$R$257,2,FALSE))</f>
        <v/>
      </c>
      <c r="D161" s="520" t="str">
        <f>IF(C161="","",VLOOKUP($B161,'C-1 Site River Baseline'!$C$9:$R$257,3,FALSE))</f>
        <v/>
      </c>
      <c r="E161" s="520" t="str">
        <f>IF(D161="","",VLOOKUP($B161,'C-1 Site River Baseline'!$C$9:$R$257,4,FALSE))</f>
        <v/>
      </c>
      <c r="F161" s="520" t="str">
        <f>IF(E161="","",VLOOKUP($B161,'C-1 Site River Baseline'!$C$9:$R$257,5,FALSE))</f>
        <v/>
      </c>
      <c r="G161" s="520" t="str">
        <f>IF(F161="","",VLOOKUP($B161,'C-1 Site River Baseline'!$C$9:$R$257,6,FALSE))</f>
        <v/>
      </c>
      <c r="H161" s="520" t="str">
        <f>IF(G161="","",VLOOKUP($B161,'C-1 Site River Baseline'!$C$9:$R$257,7,FALSE))</f>
        <v/>
      </c>
      <c r="I161" s="520" t="str">
        <f>IF(H161="","",VLOOKUP($B161,'C-1 Site River Baseline'!$C$9:$R$257,8,FALSE))</f>
        <v/>
      </c>
      <c r="J161" s="520" t="str">
        <f>IF(I161="","",VLOOKUP($B161,'C-1 Site River Baseline'!$C$9:$R$257,9,FALSE))</f>
        <v/>
      </c>
      <c r="K161" s="520" t="str">
        <f>IF(J161="","",VLOOKUP($B161,'C-1 Site River Baseline'!$C$9:$R$257,10,FALSE))</f>
        <v/>
      </c>
      <c r="L161" s="520" t="str">
        <f>IF(B161="","",VLOOKUP($B161,'C-1 Site River Baseline'!$C$9:$R$257,15,FALSE))</f>
        <v/>
      </c>
      <c r="M161" s="524" t="str">
        <f>IF(L161="","",VLOOKUP($B161,'C-1 Site River Baseline'!$C$9:$R$257,16,FALSE))</f>
        <v/>
      </c>
      <c r="N161" s="418" t="str">
        <f t="shared" si="17"/>
        <v/>
      </c>
      <c r="O161" s="498" t="str">
        <f t="shared" si="18"/>
        <v/>
      </c>
      <c r="P161" s="499" t="str">
        <f>IF(C161="","",IF(AND(LEFT(C161,55)&lt;&gt;LEFT(N161,55),O161="High - High"),"Error - Not like for like ▲",IF(AND(F161=S161,H161&gt;U161),"Error - Can not reduce condition ▲",IF(AND(F161=S161,H161=U161,AJ161='C-1 Site River Baseline'!N159,'C-1 Site River Baseline'!P159=AL161),"Error - No enhancement ▲",IF(AND(C161&lt;&gt;N161,F161&lt;S161),"Lower Distinctiveness Habitat"&amp;" - "&amp;T161,G161&amp;" - "&amp;T161)))))</f>
        <v/>
      </c>
      <c r="Q161" s="567" t="str">
        <f>IF(N161="","",VLOOKUP(B161,'C-1 Site River Baseline'!$C$10:$AA$257,19,FALSE))</f>
        <v/>
      </c>
      <c r="R161" s="498" t="str">
        <f>IF(N161="","",VLOOKUP(N161,'G-7 Rivers Data'!$B$2:$G$8,2,FALSE))</f>
        <v/>
      </c>
      <c r="S161" s="499" t="str">
        <f>IFERROR(VLOOKUP(R161,'G-7 Rivers Data'!$C$4:$D$8,2,FALSE),"")</f>
        <v/>
      </c>
      <c r="T161" s="145"/>
      <c r="U161" s="499" t="str">
        <f>IFERROR(INDEX('G-7 Rivers Data'!$H$4:$L$8,MATCH(N161,'G-7 Rivers Data'!$B$4:$B$8,0),MATCH(T161,'G-7 Rivers Data'!$H$3:$L$3,0)),"")</f>
        <v/>
      </c>
      <c r="V161" s="154"/>
      <c r="W161" s="507" t="str">
        <f>IF(V161="","",IF(VLOOKUP(V161,'G-7 Rivers Data'!$AG$4:$AI$9,2,FALSE)=0,"Spatial Data Missing ⚠",VLOOKUP(V161,'G-7 Rivers Data'!$AG$4:$AI$9,2,FALSE)))</f>
        <v/>
      </c>
      <c r="X161" s="499" t="str">
        <f>IF(V161="","",IF(VLOOKUP(V161,'G-7 Rivers Data'!$AG$4:$AI$9,3,FALSE)=0,"Spatial Data Missing ⚠",VLOOKUP(V161,'G-7 Rivers Data'!$AG$4:$AI$9,3,FALSE)))</f>
        <v/>
      </c>
      <c r="Y161" s="498" t="str">
        <f>IFERROR(IF(OR(LEFT(P161,5)="Error ▲",LEFT(O161,5)="Error ▲"),"Check Data ⚠",IF(F161&lt;S161,'G-7 Rivers Data'!$R$3,INDEX('G-7 Rivers Data'!$U$5:$Y$9,MATCH(G161,'G-7 Rivers Data'!$T$5:$T$9,0),MATCH(T161,'G-7 Rivers Data'!$U$4:$Y$4,0)))),"")</f>
        <v/>
      </c>
      <c r="Z161" s="195"/>
      <c r="AA161" s="195"/>
      <c r="AB161" s="507" t="str">
        <f t="shared" si="19"/>
        <v/>
      </c>
      <c r="AC161" s="521" t="str">
        <f t="shared" si="20"/>
        <v/>
      </c>
      <c r="AD161" s="564" t="str">
        <f>IFERROR(IF(AC161="Check Data ⚠","Check Data ⚠",VLOOKUP(AC161,'G-4 Temporal multipliers'!$A$4:$C$37,3,FALSE)),"")</f>
        <v/>
      </c>
      <c r="AE161" s="498" t="str">
        <f>IF(N161="","",VLOOKUP(N161,'G-7 Rivers Data'!$B$4:$G$8,5,FALSE))</f>
        <v/>
      </c>
      <c r="AF161" s="507" t="str">
        <f t="shared" si="21"/>
        <v/>
      </c>
      <c r="AG161" s="540" t="str">
        <f t="shared" si="22"/>
        <v/>
      </c>
      <c r="AH161" s="499" t="str">
        <f t="shared" si="16"/>
        <v/>
      </c>
      <c r="AI161" s="145"/>
      <c r="AJ161" s="499" t="str">
        <f>IF(AI161="","",IF(VLOOKUP(AI161,'G-7 Rivers Data'!$AA$4:$AB$7,2,FALSE)=0,"Spatial Data Missing ⚠",VLOOKUP(AI161,'G-7 Rivers Data'!$AA$4:$AB$7,2,FALSE)))</f>
        <v/>
      </c>
      <c r="AK161" s="155"/>
      <c r="AL161" s="499" t="str">
        <f>IF(AK161="","",IF(VLOOKUP(AK161,'G-7 Rivers Data'!$AD$4:$AE$8,2,FALSE)=0,"Spatial Data Missing ⚠",VLOOKUP(AK161,'G-7 Rivers Data'!$AD$4:$AE$8,2,FALSE)))</f>
        <v/>
      </c>
      <c r="AM161" s="545" t="str">
        <f t="shared" si="23"/>
        <v/>
      </c>
      <c r="AN161" s="149"/>
      <c r="AO161" s="150"/>
      <c r="AV161" s="31" t="str">
        <f>IFERROR(INDEX('G-7 Rivers Data'!$AZ$3:$AZ$7,MATCH(N161,'G-7 Rivers Data'!$AY$3:$AY$7,0)),"")</f>
        <v/>
      </c>
    </row>
    <row r="162" spans="2:48" ht="14" x14ac:dyDescent="0.3">
      <c r="B162" s="531" t="str">
        <f>'C-1 Site River Baseline'!AN160</f>
        <v/>
      </c>
      <c r="C162" s="520" t="str">
        <f>IF(B162="","",VLOOKUP($B162,'C-1 Site River Baseline'!$C$9:$R$257,2,FALSE))</f>
        <v/>
      </c>
      <c r="D162" s="520" t="str">
        <f>IF(C162="","",VLOOKUP($B162,'C-1 Site River Baseline'!$C$9:$R$257,3,FALSE))</f>
        <v/>
      </c>
      <c r="E162" s="520" t="str">
        <f>IF(D162="","",VLOOKUP($B162,'C-1 Site River Baseline'!$C$9:$R$257,4,FALSE))</f>
        <v/>
      </c>
      <c r="F162" s="520" t="str">
        <f>IF(E162="","",VLOOKUP($B162,'C-1 Site River Baseline'!$C$9:$R$257,5,FALSE))</f>
        <v/>
      </c>
      <c r="G162" s="520" t="str">
        <f>IF(F162="","",VLOOKUP($B162,'C-1 Site River Baseline'!$C$9:$R$257,6,FALSE))</f>
        <v/>
      </c>
      <c r="H162" s="520" t="str">
        <f>IF(G162="","",VLOOKUP($B162,'C-1 Site River Baseline'!$C$9:$R$257,7,FALSE))</f>
        <v/>
      </c>
      <c r="I162" s="520" t="str">
        <f>IF(H162="","",VLOOKUP($B162,'C-1 Site River Baseline'!$C$9:$R$257,8,FALSE))</f>
        <v/>
      </c>
      <c r="J162" s="520" t="str">
        <f>IF(I162="","",VLOOKUP($B162,'C-1 Site River Baseline'!$C$9:$R$257,9,FALSE))</f>
        <v/>
      </c>
      <c r="K162" s="520" t="str">
        <f>IF(J162="","",VLOOKUP($B162,'C-1 Site River Baseline'!$C$9:$R$257,10,FALSE))</f>
        <v/>
      </c>
      <c r="L162" s="520" t="str">
        <f>IF(B162="","",VLOOKUP($B162,'C-1 Site River Baseline'!$C$9:$R$257,15,FALSE))</f>
        <v/>
      </c>
      <c r="M162" s="524" t="str">
        <f>IF(L162="","",VLOOKUP($B162,'C-1 Site River Baseline'!$C$9:$R$257,16,FALSE))</f>
        <v/>
      </c>
      <c r="N162" s="418" t="str">
        <f t="shared" si="17"/>
        <v/>
      </c>
      <c r="O162" s="498" t="str">
        <f t="shared" si="18"/>
        <v/>
      </c>
      <c r="P162" s="499" t="str">
        <f>IF(C162="","",IF(AND(LEFT(C162,55)&lt;&gt;LEFT(N162,55),O162="High - High"),"Error - Not like for like ▲",IF(AND(F162=S162,H162&gt;U162),"Error - Can not reduce condition ▲",IF(AND(F162=S162,H162=U162,AJ162='C-1 Site River Baseline'!N160,'C-1 Site River Baseline'!P160=AL162),"Error - No enhancement ▲",IF(AND(C162&lt;&gt;N162,F162&lt;S162),"Lower Distinctiveness Habitat"&amp;" - "&amp;T162,G162&amp;" - "&amp;T162)))))</f>
        <v/>
      </c>
      <c r="Q162" s="567" t="str">
        <f>IF(N162="","",VLOOKUP(B162,'C-1 Site River Baseline'!$C$10:$AA$257,19,FALSE))</f>
        <v/>
      </c>
      <c r="R162" s="498" t="str">
        <f>IF(N162="","",VLOOKUP(N162,'G-7 Rivers Data'!$B$2:$G$8,2,FALSE))</f>
        <v/>
      </c>
      <c r="S162" s="499" t="str">
        <f>IFERROR(VLOOKUP(R162,'G-7 Rivers Data'!$C$4:$D$8,2,FALSE),"")</f>
        <v/>
      </c>
      <c r="T162" s="145"/>
      <c r="U162" s="499" t="str">
        <f>IFERROR(INDEX('G-7 Rivers Data'!$H$4:$L$8,MATCH(N162,'G-7 Rivers Data'!$B$4:$B$8,0),MATCH(T162,'G-7 Rivers Data'!$H$3:$L$3,0)),"")</f>
        <v/>
      </c>
      <c r="V162" s="154"/>
      <c r="W162" s="507" t="str">
        <f>IF(V162="","",IF(VLOOKUP(V162,'G-7 Rivers Data'!$AG$4:$AI$9,2,FALSE)=0,"Spatial Data Missing ⚠",VLOOKUP(V162,'G-7 Rivers Data'!$AG$4:$AI$9,2,FALSE)))</f>
        <v/>
      </c>
      <c r="X162" s="499" t="str">
        <f>IF(V162="","",IF(VLOOKUP(V162,'G-7 Rivers Data'!$AG$4:$AI$9,3,FALSE)=0,"Spatial Data Missing ⚠",VLOOKUP(V162,'G-7 Rivers Data'!$AG$4:$AI$9,3,FALSE)))</f>
        <v/>
      </c>
      <c r="Y162" s="498" t="str">
        <f>IFERROR(IF(OR(LEFT(P162,5)="Error ▲",LEFT(O162,5)="Error ▲"),"Check Data ⚠",IF(F162&lt;S162,'G-7 Rivers Data'!$R$3,INDEX('G-7 Rivers Data'!$U$5:$Y$9,MATCH(G162,'G-7 Rivers Data'!$T$5:$T$9,0),MATCH(T162,'G-7 Rivers Data'!$U$4:$Y$4,0)))),"")</f>
        <v/>
      </c>
      <c r="Z162" s="195"/>
      <c r="AA162" s="195"/>
      <c r="AB162" s="507" t="str">
        <f t="shared" si="19"/>
        <v/>
      </c>
      <c r="AC162" s="521" t="str">
        <f t="shared" si="20"/>
        <v/>
      </c>
      <c r="AD162" s="564" t="str">
        <f>IFERROR(IF(AC162="Check Data ⚠","Check Data ⚠",VLOOKUP(AC162,'G-4 Temporal multipliers'!$A$4:$C$37,3,FALSE)),"")</f>
        <v/>
      </c>
      <c r="AE162" s="498" t="str">
        <f>IF(N162="","",VLOOKUP(N162,'G-7 Rivers Data'!$B$4:$G$8,5,FALSE))</f>
        <v/>
      </c>
      <c r="AF162" s="507" t="str">
        <f t="shared" si="21"/>
        <v/>
      </c>
      <c r="AG162" s="540" t="str">
        <f t="shared" si="22"/>
        <v/>
      </c>
      <c r="AH162" s="499" t="str">
        <f t="shared" si="16"/>
        <v/>
      </c>
      <c r="AI162" s="145"/>
      <c r="AJ162" s="499" t="str">
        <f>IF(AI162="","",IF(VLOOKUP(AI162,'G-7 Rivers Data'!$AA$4:$AB$7,2,FALSE)=0,"Spatial Data Missing ⚠",VLOOKUP(AI162,'G-7 Rivers Data'!$AA$4:$AB$7,2,FALSE)))</f>
        <v/>
      </c>
      <c r="AK162" s="155"/>
      <c r="AL162" s="499" t="str">
        <f>IF(AK162="","",IF(VLOOKUP(AK162,'G-7 Rivers Data'!$AD$4:$AE$8,2,FALSE)=0,"Spatial Data Missing ⚠",VLOOKUP(AK162,'G-7 Rivers Data'!$AD$4:$AE$8,2,FALSE)))</f>
        <v/>
      </c>
      <c r="AM162" s="545" t="str">
        <f t="shared" si="23"/>
        <v/>
      </c>
      <c r="AN162" s="149"/>
      <c r="AO162" s="150"/>
      <c r="AV162" s="31" t="str">
        <f>IFERROR(INDEX('G-7 Rivers Data'!$AZ$3:$AZ$7,MATCH(N162,'G-7 Rivers Data'!$AY$3:$AY$7,0)),"")</f>
        <v/>
      </c>
    </row>
    <row r="163" spans="2:48" ht="14" x14ac:dyDescent="0.3">
      <c r="B163" s="531" t="str">
        <f>'C-1 Site River Baseline'!AN161</f>
        <v/>
      </c>
      <c r="C163" s="520" t="str">
        <f>IF(B163="","",VLOOKUP($B163,'C-1 Site River Baseline'!$C$9:$R$257,2,FALSE))</f>
        <v/>
      </c>
      <c r="D163" s="520" t="str">
        <f>IF(C163="","",VLOOKUP($B163,'C-1 Site River Baseline'!$C$9:$R$257,3,FALSE))</f>
        <v/>
      </c>
      <c r="E163" s="520" t="str">
        <f>IF(D163="","",VLOOKUP($B163,'C-1 Site River Baseline'!$C$9:$R$257,4,FALSE))</f>
        <v/>
      </c>
      <c r="F163" s="520" t="str">
        <f>IF(E163="","",VLOOKUP($B163,'C-1 Site River Baseline'!$C$9:$R$257,5,FALSE))</f>
        <v/>
      </c>
      <c r="G163" s="520" t="str">
        <f>IF(F163="","",VLOOKUP($B163,'C-1 Site River Baseline'!$C$9:$R$257,6,FALSE))</f>
        <v/>
      </c>
      <c r="H163" s="520" t="str">
        <f>IF(G163="","",VLOOKUP($B163,'C-1 Site River Baseline'!$C$9:$R$257,7,FALSE))</f>
        <v/>
      </c>
      <c r="I163" s="520" t="str">
        <f>IF(H163="","",VLOOKUP($B163,'C-1 Site River Baseline'!$C$9:$R$257,8,FALSE))</f>
        <v/>
      </c>
      <c r="J163" s="520" t="str">
        <f>IF(I163="","",VLOOKUP($B163,'C-1 Site River Baseline'!$C$9:$R$257,9,FALSE))</f>
        <v/>
      </c>
      <c r="K163" s="520" t="str">
        <f>IF(J163="","",VLOOKUP($B163,'C-1 Site River Baseline'!$C$9:$R$257,10,FALSE))</f>
        <v/>
      </c>
      <c r="L163" s="520" t="str">
        <f>IF(B163="","",VLOOKUP($B163,'C-1 Site River Baseline'!$C$9:$R$257,15,FALSE))</f>
        <v/>
      </c>
      <c r="M163" s="524" t="str">
        <f>IF(L163="","",VLOOKUP($B163,'C-1 Site River Baseline'!$C$9:$R$257,16,FALSE))</f>
        <v/>
      </c>
      <c r="N163" s="418" t="str">
        <f t="shared" si="17"/>
        <v/>
      </c>
      <c r="O163" s="498" t="str">
        <f t="shared" si="18"/>
        <v/>
      </c>
      <c r="P163" s="499" t="str">
        <f>IF(C163="","",IF(AND(LEFT(C163,55)&lt;&gt;LEFT(N163,55),O163="High - High"),"Error - Not like for like ▲",IF(AND(F163=S163,H163&gt;U163),"Error - Can not reduce condition ▲",IF(AND(F163=S163,H163=U163,AJ163='C-1 Site River Baseline'!N161,'C-1 Site River Baseline'!P161=AL163),"Error - No enhancement ▲",IF(AND(C163&lt;&gt;N163,F163&lt;S163),"Lower Distinctiveness Habitat"&amp;" - "&amp;T163,G163&amp;" - "&amp;T163)))))</f>
        <v/>
      </c>
      <c r="Q163" s="567" t="str">
        <f>IF(N163="","",VLOOKUP(B163,'C-1 Site River Baseline'!$C$10:$AA$257,19,FALSE))</f>
        <v/>
      </c>
      <c r="R163" s="498" t="str">
        <f>IF(N163="","",VLOOKUP(N163,'G-7 Rivers Data'!$B$2:$G$8,2,FALSE))</f>
        <v/>
      </c>
      <c r="S163" s="499" t="str">
        <f>IFERROR(VLOOKUP(R163,'G-7 Rivers Data'!$C$4:$D$8,2,FALSE),"")</f>
        <v/>
      </c>
      <c r="T163" s="145"/>
      <c r="U163" s="499" t="str">
        <f>IFERROR(INDEX('G-7 Rivers Data'!$H$4:$L$8,MATCH(N163,'G-7 Rivers Data'!$B$4:$B$8,0),MATCH(T163,'G-7 Rivers Data'!$H$3:$L$3,0)),"")</f>
        <v/>
      </c>
      <c r="V163" s="154"/>
      <c r="W163" s="507" t="str">
        <f>IF(V163="","",IF(VLOOKUP(V163,'G-7 Rivers Data'!$AG$4:$AI$9,2,FALSE)=0,"Spatial Data Missing ⚠",VLOOKUP(V163,'G-7 Rivers Data'!$AG$4:$AI$9,2,FALSE)))</f>
        <v/>
      </c>
      <c r="X163" s="499" t="str">
        <f>IF(V163="","",IF(VLOOKUP(V163,'G-7 Rivers Data'!$AG$4:$AI$9,3,FALSE)=0,"Spatial Data Missing ⚠",VLOOKUP(V163,'G-7 Rivers Data'!$AG$4:$AI$9,3,FALSE)))</f>
        <v/>
      </c>
      <c r="Y163" s="498" t="str">
        <f>IFERROR(IF(OR(LEFT(P163,5)="Error ▲",LEFT(O163,5)="Error ▲"),"Check Data ⚠",IF(F163&lt;S163,'G-7 Rivers Data'!$R$3,INDEX('G-7 Rivers Data'!$U$5:$Y$9,MATCH(G163,'G-7 Rivers Data'!$T$5:$T$9,0),MATCH(T163,'G-7 Rivers Data'!$U$4:$Y$4,0)))),"")</f>
        <v/>
      </c>
      <c r="Z163" s="195"/>
      <c r="AA163" s="195"/>
      <c r="AB163" s="507" t="str">
        <f t="shared" si="19"/>
        <v/>
      </c>
      <c r="AC163" s="521" t="str">
        <f t="shared" si="20"/>
        <v/>
      </c>
      <c r="AD163" s="564" t="str">
        <f>IFERROR(IF(AC163="Check Data ⚠","Check Data ⚠",VLOOKUP(AC163,'G-4 Temporal multipliers'!$A$4:$C$37,3,FALSE)),"")</f>
        <v/>
      </c>
      <c r="AE163" s="498" t="str">
        <f>IF(N163="","",VLOOKUP(N163,'G-7 Rivers Data'!$B$4:$G$8,5,FALSE))</f>
        <v/>
      </c>
      <c r="AF163" s="507" t="str">
        <f t="shared" si="21"/>
        <v/>
      </c>
      <c r="AG163" s="540" t="str">
        <f t="shared" si="22"/>
        <v/>
      </c>
      <c r="AH163" s="499" t="str">
        <f t="shared" si="16"/>
        <v/>
      </c>
      <c r="AI163" s="145"/>
      <c r="AJ163" s="499" t="str">
        <f>IF(AI163="","",IF(VLOOKUP(AI163,'G-7 Rivers Data'!$AA$4:$AB$7,2,FALSE)=0,"Spatial Data Missing ⚠",VLOOKUP(AI163,'G-7 Rivers Data'!$AA$4:$AB$7,2,FALSE)))</f>
        <v/>
      </c>
      <c r="AK163" s="155"/>
      <c r="AL163" s="499" t="str">
        <f>IF(AK163="","",IF(VLOOKUP(AK163,'G-7 Rivers Data'!$AD$4:$AE$8,2,FALSE)=0,"Spatial Data Missing ⚠",VLOOKUP(AK163,'G-7 Rivers Data'!$AD$4:$AE$8,2,FALSE)))</f>
        <v/>
      </c>
      <c r="AM163" s="545" t="str">
        <f t="shared" si="23"/>
        <v/>
      </c>
      <c r="AN163" s="149"/>
      <c r="AO163" s="150"/>
      <c r="AV163" s="31" t="str">
        <f>IFERROR(INDEX('G-7 Rivers Data'!$AZ$3:$AZ$7,MATCH(N163,'G-7 Rivers Data'!$AY$3:$AY$7,0)),"")</f>
        <v/>
      </c>
    </row>
    <row r="164" spans="2:48" ht="14" x14ac:dyDescent="0.3">
      <c r="B164" s="531" t="str">
        <f>'C-1 Site River Baseline'!AN162</f>
        <v/>
      </c>
      <c r="C164" s="520" t="str">
        <f>IF(B164="","",VLOOKUP($B164,'C-1 Site River Baseline'!$C$9:$R$257,2,FALSE))</f>
        <v/>
      </c>
      <c r="D164" s="520" t="str">
        <f>IF(C164="","",VLOOKUP($B164,'C-1 Site River Baseline'!$C$9:$R$257,3,FALSE))</f>
        <v/>
      </c>
      <c r="E164" s="520" t="str">
        <f>IF(D164="","",VLOOKUP($B164,'C-1 Site River Baseline'!$C$9:$R$257,4,FALSE))</f>
        <v/>
      </c>
      <c r="F164" s="520" t="str">
        <f>IF(E164="","",VLOOKUP($B164,'C-1 Site River Baseline'!$C$9:$R$257,5,FALSE))</f>
        <v/>
      </c>
      <c r="G164" s="520" t="str">
        <f>IF(F164="","",VLOOKUP($B164,'C-1 Site River Baseline'!$C$9:$R$257,6,FALSE))</f>
        <v/>
      </c>
      <c r="H164" s="520" t="str">
        <f>IF(G164="","",VLOOKUP($B164,'C-1 Site River Baseline'!$C$9:$R$257,7,FALSE))</f>
        <v/>
      </c>
      <c r="I164" s="520" t="str">
        <f>IF(H164="","",VLOOKUP($B164,'C-1 Site River Baseline'!$C$9:$R$257,8,FALSE))</f>
        <v/>
      </c>
      <c r="J164" s="520" t="str">
        <f>IF(I164="","",VLOOKUP($B164,'C-1 Site River Baseline'!$C$9:$R$257,9,FALSE))</f>
        <v/>
      </c>
      <c r="K164" s="520" t="str">
        <f>IF(J164="","",VLOOKUP($B164,'C-1 Site River Baseline'!$C$9:$R$257,10,FALSE))</f>
        <v/>
      </c>
      <c r="L164" s="520" t="str">
        <f>IF(B164="","",VLOOKUP($B164,'C-1 Site River Baseline'!$C$9:$R$257,15,FALSE))</f>
        <v/>
      </c>
      <c r="M164" s="524" t="str">
        <f>IF(L164="","",VLOOKUP($B164,'C-1 Site River Baseline'!$C$9:$R$257,16,FALSE))</f>
        <v/>
      </c>
      <c r="N164" s="418" t="str">
        <f t="shared" si="17"/>
        <v/>
      </c>
      <c r="O164" s="498" t="str">
        <f t="shared" si="18"/>
        <v/>
      </c>
      <c r="P164" s="499" t="str">
        <f>IF(C164="","",IF(AND(LEFT(C164,55)&lt;&gt;LEFT(N164,55),O164="High - High"),"Error - Not like for like ▲",IF(AND(F164=S164,H164&gt;U164),"Error - Can not reduce condition ▲",IF(AND(F164=S164,H164=U164,AJ164='C-1 Site River Baseline'!N162,'C-1 Site River Baseline'!P162=AL164),"Error - No enhancement ▲",IF(AND(C164&lt;&gt;N164,F164&lt;S164),"Lower Distinctiveness Habitat"&amp;" - "&amp;T164,G164&amp;" - "&amp;T164)))))</f>
        <v/>
      </c>
      <c r="Q164" s="567" t="str">
        <f>IF(N164="","",VLOOKUP(B164,'C-1 Site River Baseline'!$C$10:$AA$257,19,FALSE))</f>
        <v/>
      </c>
      <c r="R164" s="498" t="str">
        <f>IF(N164="","",VLOOKUP(N164,'G-7 Rivers Data'!$B$2:$G$8,2,FALSE))</f>
        <v/>
      </c>
      <c r="S164" s="499" t="str">
        <f>IFERROR(VLOOKUP(R164,'G-7 Rivers Data'!$C$4:$D$8,2,FALSE),"")</f>
        <v/>
      </c>
      <c r="T164" s="145"/>
      <c r="U164" s="499" t="str">
        <f>IFERROR(INDEX('G-7 Rivers Data'!$H$4:$L$8,MATCH(N164,'G-7 Rivers Data'!$B$4:$B$8,0),MATCH(T164,'G-7 Rivers Data'!$H$3:$L$3,0)),"")</f>
        <v/>
      </c>
      <c r="V164" s="154"/>
      <c r="W164" s="507" t="str">
        <f>IF(V164="","",IF(VLOOKUP(V164,'G-7 Rivers Data'!$AG$4:$AI$9,2,FALSE)=0,"Spatial Data Missing ⚠",VLOOKUP(V164,'G-7 Rivers Data'!$AG$4:$AI$9,2,FALSE)))</f>
        <v/>
      </c>
      <c r="X164" s="499" t="str">
        <f>IF(V164="","",IF(VLOOKUP(V164,'G-7 Rivers Data'!$AG$4:$AI$9,3,FALSE)=0,"Spatial Data Missing ⚠",VLOOKUP(V164,'G-7 Rivers Data'!$AG$4:$AI$9,3,FALSE)))</f>
        <v/>
      </c>
      <c r="Y164" s="498" t="str">
        <f>IFERROR(IF(OR(LEFT(P164,5)="Error ▲",LEFT(O164,5)="Error ▲"),"Check Data ⚠",IF(F164&lt;S164,'G-7 Rivers Data'!$R$3,INDEX('G-7 Rivers Data'!$U$5:$Y$9,MATCH(G164,'G-7 Rivers Data'!$T$5:$T$9,0),MATCH(T164,'G-7 Rivers Data'!$U$4:$Y$4,0)))),"")</f>
        <v/>
      </c>
      <c r="Z164" s="195"/>
      <c r="AA164" s="195"/>
      <c r="AB164" s="507" t="str">
        <f t="shared" si="19"/>
        <v/>
      </c>
      <c r="AC164" s="521" t="str">
        <f t="shared" si="20"/>
        <v/>
      </c>
      <c r="AD164" s="564" t="str">
        <f>IFERROR(IF(AC164="Check Data ⚠","Check Data ⚠",VLOOKUP(AC164,'G-4 Temporal multipliers'!$A$4:$C$37,3,FALSE)),"")</f>
        <v/>
      </c>
      <c r="AE164" s="498" t="str">
        <f>IF(N164="","",VLOOKUP(N164,'G-7 Rivers Data'!$B$4:$G$8,5,FALSE))</f>
        <v/>
      </c>
      <c r="AF164" s="507" t="str">
        <f t="shared" si="21"/>
        <v/>
      </c>
      <c r="AG164" s="540" t="str">
        <f t="shared" si="22"/>
        <v/>
      </c>
      <c r="AH164" s="499" t="str">
        <f t="shared" si="16"/>
        <v/>
      </c>
      <c r="AI164" s="145"/>
      <c r="AJ164" s="499" t="str">
        <f>IF(AI164="","",IF(VLOOKUP(AI164,'G-7 Rivers Data'!$AA$4:$AB$7,2,FALSE)=0,"Spatial Data Missing ⚠",VLOOKUP(AI164,'G-7 Rivers Data'!$AA$4:$AB$7,2,FALSE)))</f>
        <v/>
      </c>
      <c r="AK164" s="155"/>
      <c r="AL164" s="499" t="str">
        <f>IF(AK164="","",IF(VLOOKUP(AK164,'G-7 Rivers Data'!$AD$4:$AE$8,2,FALSE)=0,"Spatial Data Missing ⚠",VLOOKUP(AK164,'G-7 Rivers Data'!$AD$4:$AE$8,2,FALSE)))</f>
        <v/>
      </c>
      <c r="AM164" s="545" t="str">
        <f t="shared" si="23"/>
        <v/>
      </c>
      <c r="AN164" s="149"/>
      <c r="AO164" s="150"/>
      <c r="AV164" s="31" t="str">
        <f>IFERROR(INDEX('G-7 Rivers Data'!$AZ$3:$AZ$7,MATCH(N164,'G-7 Rivers Data'!$AY$3:$AY$7,0)),"")</f>
        <v/>
      </c>
    </row>
    <row r="165" spans="2:48" ht="14" x14ac:dyDescent="0.3">
      <c r="B165" s="531" t="str">
        <f>'C-1 Site River Baseline'!AN163</f>
        <v/>
      </c>
      <c r="C165" s="520" t="str">
        <f>IF(B165="","",VLOOKUP($B165,'C-1 Site River Baseline'!$C$9:$R$257,2,FALSE))</f>
        <v/>
      </c>
      <c r="D165" s="520" t="str">
        <f>IF(C165="","",VLOOKUP($B165,'C-1 Site River Baseline'!$C$9:$R$257,3,FALSE))</f>
        <v/>
      </c>
      <c r="E165" s="520" t="str">
        <f>IF(D165="","",VLOOKUP($B165,'C-1 Site River Baseline'!$C$9:$R$257,4,FALSE))</f>
        <v/>
      </c>
      <c r="F165" s="520" t="str">
        <f>IF(E165="","",VLOOKUP($B165,'C-1 Site River Baseline'!$C$9:$R$257,5,FALSE))</f>
        <v/>
      </c>
      <c r="G165" s="520" t="str">
        <f>IF(F165="","",VLOOKUP($B165,'C-1 Site River Baseline'!$C$9:$R$257,6,FALSE))</f>
        <v/>
      </c>
      <c r="H165" s="520" t="str">
        <f>IF(G165="","",VLOOKUP($B165,'C-1 Site River Baseline'!$C$9:$R$257,7,FALSE))</f>
        <v/>
      </c>
      <c r="I165" s="520" t="str">
        <f>IF(H165="","",VLOOKUP($B165,'C-1 Site River Baseline'!$C$9:$R$257,8,FALSE))</f>
        <v/>
      </c>
      <c r="J165" s="520" t="str">
        <f>IF(I165="","",VLOOKUP($B165,'C-1 Site River Baseline'!$C$9:$R$257,9,FALSE))</f>
        <v/>
      </c>
      <c r="K165" s="520" t="str">
        <f>IF(J165="","",VLOOKUP($B165,'C-1 Site River Baseline'!$C$9:$R$257,10,FALSE))</f>
        <v/>
      </c>
      <c r="L165" s="520" t="str">
        <f>IF(B165="","",VLOOKUP($B165,'C-1 Site River Baseline'!$C$9:$R$257,15,FALSE))</f>
        <v/>
      </c>
      <c r="M165" s="524" t="str">
        <f>IF(L165="","",VLOOKUP($B165,'C-1 Site River Baseline'!$C$9:$R$257,16,FALSE))</f>
        <v/>
      </c>
      <c r="N165" s="418" t="str">
        <f t="shared" si="17"/>
        <v/>
      </c>
      <c r="O165" s="498" t="str">
        <f t="shared" si="18"/>
        <v/>
      </c>
      <c r="P165" s="499" t="str">
        <f>IF(C165="","",IF(AND(LEFT(C165,55)&lt;&gt;LEFT(N165,55),O165="High - High"),"Error - Not like for like ▲",IF(AND(F165=S165,H165&gt;U165),"Error - Can not reduce condition ▲",IF(AND(F165=S165,H165=U165,AJ165='C-1 Site River Baseline'!N163,'C-1 Site River Baseline'!P163=AL165),"Error - No enhancement ▲",IF(AND(C165&lt;&gt;N165,F165&lt;S165),"Lower Distinctiveness Habitat"&amp;" - "&amp;T165,G165&amp;" - "&amp;T165)))))</f>
        <v/>
      </c>
      <c r="Q165" s="567" t="str">
        <f>IF(N165="","",VLOOKUP(B165,'C-1 Site River Baseline'!$C$10:$AA$257,19,FALSE))</f>
        <v/>
      </c>
      <c r="R165" s="498" t="str">
        <f>IF(N165="","",VLOOKUP(N165,'G-7 Rivers Data'!$B$2:$G$8,2,FALSE))</f>
        <v/>
      </c>
      <c r="S165" s="499" t="str">
        <f>IFERROR(VLOOKUP(R165,'G-7 Rivers Data'!$C$4:$D$8,2,FALSE),"")</f>
        <v/>
      </c>
      <c r="T165" s="145"/>
      <c r="U165" s="499" t="str">
        <f>IFERROR(INDEX('G-7 Rivers Data'!$H$4:$L$8,MATCH(N165,'G-7 Rivers Data'!$B$4:$B$8,0),MATCH(T165,'G-7 Rivers Data'!$H$3:$L$3,0)),"")</f>
        <v/>
      </c>
      <c r="V165" s="154"/>
      <c r="W165" s="507" t="str">
        <f>IF(V165="","",IF(VLOOKUP(V165,'G-7 Rivers Data'!$AG$4:$AI$9,2,FALSE)=0,"Spatial Data Missing ⚠",VLOOKUP(V165,'G-7 Rivers Data'!$AG$4:$AI$9,2,FALSE)))</f>
        <v/>
      </c>
      <c r="X165" s="499" t="str">
        <f>IF(V165="","",IF(VLOOKUP(V165,'G-7 Rivers Data'!$AG$4:$AI$9,3,FALSE)=0,"Spatial Data Missing ⚠",VLOOKUP(V165,'G-7 Rivers Data'!$AG$4:$AI$9,3,FALSE)))</f>
        <v/>
      </c>
      <c r="Y165" s="498" t="str">
        <f>IFERROR(IF(OR(LEFT(P165,5)="Error ▲",LEFT(O165,5)="Error ▲"),"Check Data ⚠",IF(F165&lt;S165,'G-7 Rivers Data'!$R$3,INDEX('G-7 Rivers Data'!$U$5:$Y$9,MATCH(G165,'G-7 Rivers Data'!$T$5:$T$9,0),MATCH(T165,'G-7 Rivers Data'!$U$4:$Y$4,0)))),"")</f>
        <v/>
      </c>
      <c r="Z165" s="195"/>
      <c r="AA165" s="195"/>
      <c r="AB165" s="507" t="str">
        <f t="shared" si="19"/>
        <v/>
      </c>
      <c r="AC165" s="521" t="str">
        <f t="shared" si="20"/>
        <v/>
      </c>
      <c r="AD165" s="564" t="str">
        <f>IFERROR(IF(AC165="Check Data ⚠","Check Data ⚠",VLOOKUP(AC165,'G-4 Temporal multipliers'!$A$4:$C$37,3,FALSE)),"")</f>
        <v/>
      </c>
      <c r="AE165" s="498" t="str">
        <f>IF(N165="","",VLOOKUP(N165,'G-7 Rivers Data'!$B$4:$G$8,5,FALSE))</f>
        <v/>
      </c>
      <c r="AF165" s="507" t="str">
        <f t="shared" si="21"/>
        <v/>
      </c>
      <c r="AG165" s="540" t="str">
        <f t="shared" si="22"/>
        <v/>
      </c>
      <c r="AH165" s="499" t="str">
        <f t="shared" si="16"/>
        <v/>
      </c>
      <c r="AI165" s="145"/>
      <c r="AJ165" s="499" t="str">
        <f>IF(AI165="","",IF(VLOOKUP(AI165,'G-7 Rivers Data'!$AA$4:$AB$7,2,FALSE)=0,"Spatial Data Missing ⚠",VLOOKUP(AI165,'G-7 Rivers Data'!$AA$4:$AB$7,2,FALSE)))</f>
        <v/>
      </c>
      <c r="AK165" s="155"/>
      <c r="AL165" s="499" t="str">
        <f>IF(AK165="","",IF(VLOOKUP(AK165,'G-7 Rivers Data'!$AD$4:$AE$8,2,FALSE)=0,"Spatial Data Missing ⚠",VLOOKUP(AK165,'G-7 Rivers Data'!$AD$4:$AE$8,2,FALSE)))</f>
        <v/>
      </c>
      <c r="AM165" s="545" t="str">
        <f t="shared" si="23"/>
        <v/>
      </c>
      <c r="AN165" s="149"/>
      <c r="AO165" s="150"/>
      <c r="AV165" s="31" t="str">
        <f>IFERROR(INDEX('G-7 Rivers Data'!$AZ$3:$AZ$7,MATCH(N165,'G-7 Rivers Data'!$AY$3:$AY$7,0)),"")</f>
        <v/>
      </c>
    </row>
    <row r="166" spans="2:48" ht="14" x14ac:dyDescent="0.3">
      <c r="B166" s="531" t="str">
        <f>'C-1 Site River Baseline'!AN164</f>
        <v/>
      </c>
      <c r="C166" s="520" t="str">
        <f>IF(B166="","",VLOOKUP($B166,'C-1 Site River Baseline'!$C$9:$R$257,2,FALSE))</f>
        <v/>
      </c>
      <c r="D166" s="520" t="str">
        <f>IF(C166="","",VLOOKUP($B166,'C-1 Site River Baseline'!$C$9:$R$257,3,FALSE))</f>
        <v/>
      </c>
      <c r="E166" s="520" t="str">
        <f>IF(D166="","",VLOOKUP($B166,'C-1 Site River Baseline'!$C$9:$R$257,4,FALSE))</f>
        <v/>
      </c>
      <c r="F166" s="520" t="str">
        <f>IF(E166="","",VLOOKUP($B166,'C-1 Site River Baseline'!$C$9:$R$257,5,FALSE))</f>
        <v/>
      </c>
      <c r="G166" s="520" t="str">
        <f>IF(F166="","",VLOOKUP($B166,'C-1 Site River Baseline'!$C$9:$R$257,6,FALSE))</f>
        <v/>
      </c>
      <c r="H166" s="520" t="str">
        <f>IF(G166="","",VLOOKUP($B166,'C-1 Site River Baseline'!$C$9:$R$257,7,FALSE))</f>
        <v/>
      </c>
      <c r="I166" s="520" t="str">
        <f>IF(H166="","",VLOOKUP($B166,'C-1 Site River Baseline'!$C$9:$R$257,8,FALSE))</f>
        <v/>
      </c>
      <c r="J166" s="520" t="str">
        <f>IF(I166="","",VLOOKUP($B166,'C-1 Site River Baseline'!$C$9:$R$257,9,FALSE))</f>
        <v/>
      </c>
      <c r="K166" s="520" t="str">
        <f>IF(J166="","",VLOOKUP($B166,'C-1 Site River Baseline'!$C$9:$R$257,10,FALSE))</f>
        <v/>
      </c>
      <c r="L166" s="520" t="str">
        <f>IF(B166="","",VLOOKUP($B166,'C-1 Site River Baseline'!$C$9:$R$257,15,FALSE))</f>
        <v/>
      </c>
      <c r="M166" s="524" t="str">
        <f>IF(L166="","",VLOOKUP($B166,'C-1 Site River Baseline'!$C$9:$R$257,16,FALSE))</f>
        <v/>
      </c>
      <c r="N166" s="418" t="str">
        <f t="shared" si="17"/>
        <v/>
      </c>
      <c r="O166" s="498" t="str">
        <f t="shared" si="18"/>
        <v/>
      </c>
      <c r="P166" s="499" t="str">
        <f>IF(C166="","",IF(AND(LEFT(C166,55)&lt;&gt;LEFT(N166,55),O166="High - High"),"Error - Not like for like ▲",IF(AND(F166=S166,H166&gt;U166),"Error - Can not reduce condition ▲",IF(AND(F166=S166,H166=U166,AJ166='C-1 Site River Baseline'!N164,'C-1 Site River Baseline'!P164=AL166),"Error - No enhancement ▲",IF(AND(C166&lt;&gt;N166,F166&lt;S166),"Lower Distinctiveness Habitat"&amp;" - "&amp;T166,G166&amp;" - "&amp;T166)))))</f>
        <v/>
      </c>
      <c r="Q166" s="567" t="str">
        <f>IF(N166="","",VLOOKUP(B166,'C-1 Site River Baseline'!$C$10:$AA$257,19,FALSE))</f>
        <v/>
      </c>
      <c r="R166" s="498" t="str">
        <f>IF(N166="","",VLOOKUP(N166,'G-7 Rivers Data'!$B$2:$G$8,2,FALSE))</f>
        <v/>
      </c>
      <c r="S166" s="499" t="str">
        <f>IFERROR(VLOOKUP(R166,'G-7 Rivers Data'!$C$4:$D$8,2,FALSE),"")</f>
        <v/>
      </c>
      <c r="T166" s="145"/>
      <c r="U166" s="499" t="str">
        <f>IFERROR(INDEX('G-7 Rivers Data'!$H$4:$L$8,MATCH(N166,'G-7 Rivers Data'!$B$4:$B$8,0),MATCH(T166,'G-7 Rivers Data'!$H$3:$L$3,0)),"")</f>
        <v/>
      </c>
      <c r="V166" s="154"/>
      <c r="W166" s="507" t="str">
        <f>IF(V166="","",IF(VLOOKUP(V166,'G-7 Rivers Data'!$AG$4:$AI$9,2,FALSE)=0,"Spatial Data Missing ⚠",VLOOKUP(V166,'G-7 Rivers Data'!$AG$4:$AI$9,2,FALSE)))</f>
        <v/>
      </c>
      <c r="X166" s="499" t="str">
        <f>IF(V166="","",IF(VLOOKUP(V166,'G-7 Rivers Data'!$AG$4:$AI$9,3,FALSE)=0,"Spatial Data Missing ⚠",VLOOKUP(V166,'G-7 Rivers Data'!$AG$4:$AI$9,3,FALSE)))</f>
        <v/>
      </c>
      <c r="Y166" s="498" t="str">
        <f>IFERROR(IF(OR(LEFT(P166,5)="Error ▲",LEFT(O166,5)="Error ▲"),"Check Data ⚠",IF(F166&lt;S166,'G-7 Rivers Data'!$R$3,INDEX('G-7 Rivers Data'!$U$5:$Y$9,MATCH(G166,'G-7 Rivers Data'!$T$5:$T$9,0),MATCH(T166,'G-7 Rivers Data'!$U$4:$Y$4,0)))),"")</f>
        <v/>
      </c>
      <c r="Z166" s="195"/>
      <c r="AA166" s="195"/>
      <c r="AB166" s="507" t="str">
        <f t="shared" si="19"/>
        <v/>
      </c>
      <c r="AC166" s="521" t="str">
        <f t="shared" si="20"/>
        <v/>
      </c>
      <c r="AD166" s="564" t="str">
        <f>IFERROR(IF(AC166="Check Data ⚠","Check Data ⚠",VLOOKUP(AC166,'G-4 Temporal multipliers'!$A$4:$C$37,3,FALSE)),"")</f>
        <v/>
      </c>
      <c r="AE166" s="498" t="str">
        <f>IF(N166="","",VLOOKUP(N166,'G-7 Rivers Data'!$B$4:$G$8,5,FALSE))</f>
        <v/>
      </c>
      <c r="AF166" s="507" t="str">
        <f t="shared" si="21"/>
        <v/>
      </c>
      <c r="AG166" s="540" t="str">
        <f t="shared" si="22"/>
        <v/>
      </c>
      <c r="AH166" s="499" t="str">
        <f t="shared" si="16"/>
        <v/>
      </c>
      <c r="AI166" s="145"/>
      <c r="AJ166" s="499" t="str">
        <f>IF(AI166="","",IF(VLOOKUP(AI166,'G-7 Rivers Data'!$AA$4:$AB$7,2,FALSE)=0,"Spatial Data Missing ⚠",VLOOKUP(AI166,'G-7 Rivers Data'!$AA$4:$AB$7,2,FALSE)))</f>
        <v/>
      </c>
      <c r="AK166" s="155"/>
      <c r="AL166" s="499" t="str">
        <f>IF(AK166="","",IF(VLOOKUP(AK166,'G-7 Rivers Data'!$AD$4:$AE$8,2,FALSE)=0,"Spatial Data Missing ⚠",VLOOKUP(AK166,'G-7 Rivers Data'!$AD$4:$AE$8,2,FALSE)))</f>
        <v/>
      </c>
      <c r="AM166" s="545" t="str">
        <f t="shared" si="23"/>
        <v/>
      </c>
      <c r="AN166" s="149"/>
      <c r="AO166" s="150"/>
      <c r="AV166" s="31" t="str">
        <f>IFERROR(INDEX('G-7 Rivers Data'!$AZ$3:$AZ$7,MATCH(N166,'G-7 Rivers Data'!$AY$3:$AY$7,0)),"")</f>
        <v/>
      </c>
    </row>
    <row r="167" spans="2:48" ht="14" x14ac:dyDescent="0.3">
      <c r="B167" s="531" t="str">
        <f>'C-1 Site River Baseline'!AN165</f>
        <v/>
      </c>
      <c r="C167" s="520" t="str">
        <f>IF(B167="","",VLOOKUP($B167,'C-1 Site River Baseline'!$C$9:$R$257,2,FALSE))</f>
        <v/>
      </c>
      <c r="D167" s="520" t="str">
        <f>IF(C167="","",VLOOKUP($B167,'C-1 Site River Baseline'!$C$9:$R$257,3,FALSE))</f>
        <v/>
      </c>
      <c r="E167" s="520" t="str">
        <f>IF(D167="","",VLOOKUP($B167,'C-1 Site River Baseline'!$C$9:$R$257,4,FALSE))</f>
        <v/>
      </c>
      <c r="F167" s="520" t="str">
        <f>IF(E167="","",VLOOKUP($B167,'C-1 Site River Baseline'!$C$9:$R$257,5,FALSE))</f>
        <v/>
      </c>
      <c r="G167" s="520" t="str">
        <f>IF(F167="","",VLOOKUP($B167,'C-1 Site River Baseline'!$C$9:$R$257,6,FALSE))</f>
        <v/>
      </c>
      <c r="H167" s="520" t="str">
        <f>IF(G167="","",VLOOKUP($B167,'C-1 Site River Baseline'!$C$9:$R$257,7,FALSE))</f>
        <v/>
      </c>
      <c r="I167" s="520" t="str">
        <f>IF(H167="","",VLOOKUP($B167,'C-1 Site River Baseline'!$C$9:$R$257,8,FALSE))</f>
        <v/>
      </c>
      <c r="J167" s="520" t="str">
        <f>IF(I167="","",VLOOKUP($B167,'C-1 Site River Baseline'!$C$9:$R$257,9,FALSE))</f>
        <v/>
      </c>
      <c r="K167" s="520" t="str">
        <f>IF(J167="","",VLOOKUP($B167,'C-1 Site River Baseline'!$C$9:$R$257,10,FALSE))</f>
        <v/>
      </c>
      <c r="L167" s="520" t="str">
        <f>IF(B167="","",VLOOKUP($B167,'C-1 Site River Baseline'!$C$9:$R$257,15,FALSE))</f>
        <v/>
      </c>
      <c r="M167" s="524" t="str">
        <f>IF(L167="","",VLOOKUP($B167,'C-1 Site River Baseline'!$C$9:$R$257,16,FALSE))</f>
        <v/>
      </c>
      <c r="N167" s="418" t="str">
        <f t="shared" si="17"/>
        <v/>
      </c>
      <c r="O167" s="498" t="str">
        <f t="shared" si="18"/>
        <v/>
      </c>
      <c r="P167" s="499" t="str">
        <f>IF(C167="","",IF(AND(LEFT(C167,55)&lt;&gt;LEFT(N167,55),O167="High - High"),"Error - Not like for like ▲",IF(AND(F167=S167,H167&gt;U167),"Error - Can not reduce condition ▲",IF(AND(F167=S167,H167=U167,AJ167='C-1 Site River Baseline'!N165,'C-1 Site River Baseline'!P165=AL167),"Error - No enhancement ▲",IF(AND(C167&lt;&gt;N167,F167&lt;S167),"Lower Distinctiveness Habitat"&amp;" - "&amp;T167,G167&amp;" - "&amp;T167)))))</f>
        <v/>
      </c>
      <c r="Q167" s="567" t="str">
        <f>IF(N167="","",VLOOKUP(B167,'C-1 Site River Baseline'!$C$10:$AA$257,19,FALSE))</f>
        <v/>
      </c>
      <c r="R167" s="498" t="str">
        <f>IF(N167="","",VLOOKUP(N167,'G-7 Rivers Data'!$B$2:$G$8,2,FALSE))</f>
        <v/>
      </c>
      <c r="S167" s="499" t="str">
        <f>IFERROR(VLOOKUP(R167,'G-7 Rivers Data'!$C$4:$D$8,2,FALSE),"")</f>
        <v/>
      </c>
      <c r="T167" s="145"/>
      <c r="U167" s="499" t="str">
        <f>IFERROR(INDEX('G-7 Rivers Data'!$H$4:$L$8,MATCH(N167,'G-7 Rivers Data'!$B$4:$B$8,0),MATCH(T167,'G-7 Rivers Data'!$H$3:$L$3,0)),"")</f>
        <v/>
      </c>
      <c r="V167" s="154"/>
      <c r="W167" s="507" t="str">
        <f>IF(V167="","",IF(VLOOKUP(V167,'G-7 Rivers Data'!$AG$4:$AI$9,2,FALSE)=0,"Spatial Data Missing ⚠",VLOOKUP(V167,'G-7 Rivers Data'!$AG$4:$AI$9,2,FALSE)))</f>
        <v/>
      </c>
      <c r="X167" s="499" t="str">
        <f>IF(V167="","",IF(VLOOKUP(V167,'G-7 Rivers Data'!$AG$4:$AI$9,3,FALSE)=0,"Spatial Data Missing ⚠",VLOOKUP(V167,'G-7 Rivers Data'!$AG$4:$AI$9,3,FALSE)))</f>
        <v/>
      </c>
      <c r="Y167" s="498" t="str">
        <f>IFERROR(IF(OR(LEFT(P167,5)="Error ▲",LEFT(O167,5)="Error ▲"),"Check Data ⚠",IF(F167&lt;S167,'G-7 Rivers Data'!$R$3,INDEX('G-7 Rivers Data'!$U$5:$Y$9,MATCH(G167,'G-7 Rivers Data'!$T$5:$T$9,0),MATCH(T167,'G-7 Rivers Data'!$U$4:$Y$4,0)))),"")</f>
        <v/>
      </c>
      <c r="Z167" s="195"/>
      <c r="AA167" s="195"/>
      <c r="AB167" s="507" t="str">
        <f t="shared" si="19"/>
        <v/>
      </c>
      <c r="AC167" s="521" t="str">
        <f t="shared" si="20"/>
        <v/>
      </c>
      <c r="AD167" s="564" t="str">
        <f>IFERROR(IF(AC167="Check Data ⚠","Check Data ⚠",VLOOKUP(AC167,'G-4 Temporal multipliers'!$A$4:$C$37,3,FALSE)),"")</f>
        <v/>
      </c>
      <c r="AE167" s="498" t="str">
        <f>IF(N167="","",VLOOKUP(N167,'G-7 Rivers Data'!$B$4:$G$8,5,FALSE))</f>
        <v/>
      </c>
      <c r="AF167" s="507" t="str">
        <f t="shared" si="21"/>
        <v/>
      </c>
      <c r="AG167" s="540" t="str">
        <f t="shared" si="22"/>
        <v/>
      </c>
      <c r="AH167" s="499" t="str">
        <f t="shared" si="16"/>
        <v/>
      </c>
      <c r="AI167" s="145"/>
      <c r="AJ167" s="499" t="str">
        <f>IF(AI167="","",IF(VLOOKUP(AI167,'G-7 Rivers Data'!$AA$4:$AB$7,2,FALSE)=0,"Spatial Data Missing ⚠",VLOOKUP(AI167,'G-7 Rivers Data'!$AA$4:$AB$7,2,FALSE)))</f>
        <v/>
      </c>
      <c r="AK167" s="155"/>
      <c r="AL167" s="499" t="str">
        <f>IF(AK167="","",IF(VLOOKUP(AK167,'G-7 Rivers Data'!$AD$4:$AE$8,2,FALSE)=0,"Spatial Data Missing ⚠",VLOOKUP(AK167,'G-7 Rivers Data'!$AD$4:$AE$8,2,FALSE)))</f>
        <v/>
      </c>
      <c r="AM167" s="545" t="str">
        <f t="shared" si="23"/>
        <v/>
      </c>
      <c r="AN167" s="149"/>
      <c r="AO167" s="150"/>
      <c r="AV167" s="31" t="str">
        <f>IFERROR(INDEX('G-7 Rivers Data'!$AZ$3:$AZ$7,MATCH(N167,'G-7 Rivers Data'!$AY$3:$AY$7,0)),"")</f>
        <v/>
      </c>
    </row>
    <row r="168" spans="2:48" ht="14" x14ac:dyDescent="0.3">
      <c r="B168" s="531" t="str">
        <f>'C-1 Site River Baseline'!AN166</f>
        <v/>
      </c>
      <c r="C168" s="520" t="str">
        <f>IF(B168="","",VLOOKUP($B168,'C-1 Site River Baseline'!$C$9:$R$257,2,FALSE))</f>
        <v/>
      </c>
      <c r="D168" s="520" t="str">
        <f>IF(C168="","",VLOOKUP($B168,'C-1 Site River Baseline'!$C$9:$R$257,3,FALSE))</f>
        <v/>
      </c>
      <c r="E168" s="520" t="str">
        <f>IF(D168="","",VLOOKUP($B168,'C-1 Site River Baseline'!$C$9:$R$257,4,FALSE))</f>
        <v/>
      </c>
      <c r="F168" s="520" t="str">
        <f>IF(E168="","",VLOOKUP($B168,'C-1 Site River Baseline'!$C$9:$R$257,5,FALSE))</f>
        <v/>
      </c>
      <c r="G168" s="520" t="str">
        <f>IF(F168="","",VLOOKUP($B168,'C-1 Site River Baseline'!$C$9:$R$257,6,FALSE))</f>
        <v/>
      </c>
      <c r="H168" s="520" t="str">
        <f>IF(G168="","",VLOOKUP($B168,'C-1 Site River Baseline'!$C$9:$R$257,7,FALSE))</f>
        <v/>
      </c>
      <c r="I168" s="520" t="str">
        <f>IF(H168="","",VLOOKUP($B168,'C-1 Site River Baseline'!$C$9:$R$257,8,FALSE))</f>
        <v/>
      </c>
      <c r="J168" s="520" t="str">
        <f>IF(I168="","",VLOOKUP($B168,'C-1 Site River Baseline'!$C$9:$R$257,9,FALSE))</f>
        <v/>
      </c>
      <c r="K168" s="520" t="str">
        <f>IF(J168="","",VLOOKUP($B168,'C-1 Site River Baseline'!$C$9:$R$257,10,FALSE))</f>
        <v/>
      </c>
      <c r="L168" s="520" t="str">
        <f>IF(B168="","",VLOOKUP($B168,'C-1 Site River Baseline'!$C$9:$R$257,15,FALSE))</f>
        <v/>
      </c>
      <c r="M168" s="524" t="str">
        <f>IF(L168="","",VLOOKUP($B168,'C-1 Site River Baseline'!$C$9:$R$257,16,FALSE))</f>
        <v/>
      </c>
      <c r="N168" s="418" t="str">
        <f t="shared" si="17"/>
        <v/>
      </c>
      <c r="O168" s="498" t="str">
        <f t="shared" si="18"/>
        <v/>
      </c>
      <c r="P168" s="499" t="str">
        <f>IF(C168="","",IF(AND(LEFT(C168,55)&lt;&gt;LEFT(N168,55),O168="High - High"),"Error - Not like for like ▲",IF(AND(F168=S168,H168&gt;U168),"Error - Can not reduce condition ▲",IF(AND(F168=S168,H168=U168,AJ168='C-1 Site River Baseline'!N166,'C-1 Site River Baseline'!P166=AL168),"Error - No enhancement ▲",IF(AND(C168&lt;&gt;N168,F168&lt;S168),"Lower Distinctiveness Habitat"&amp;" - "&amp;T168,G168&amp;" - "&amp;T168)))))</f>
        <v/>
      </c>
      <c r="Q168" s="567" t="str">
        <f>IF(N168="","",VLOOKUP(B168,'C-1 Site River Baseline'!$C$10:$AA$257,19,FALSE))</f>
        <v/>
      </c>
      <c r="R168" s="498" t="str">
        <f>IF(N168="","",VLOOKUP(N168,'G-7 Rivers Data'!$B$2:$G$8,2,FALSE))</f>
        <v/>
      </c>
      <c r="S168" s="499" t="str">
        <f>IFERROR(VLOOKUP(R168,'G-7 Rivers Data'!$C$4:$D$8,2,FALSE),"")</f>
        <v/>
      </c>
      <c r="T168" s="145"/>
      <c r="U168" s="499" t="str">
        <f>IFERROR(INDEX('G-7 Rivers Data'!$H$4:$L$8,MATCH(N168,'G-7 Rivers Data'!$B$4:$B$8,0),MATCH(T168,'G-7 Rivers Data'!$H$3:$L$3,0)),"")</f>
        <v/>
      </c>
      <c r="V168" s="154"/>
      <c r="W168" s="507" t="str">
        <f>IF(V168="","",IF(VLOOKUP(V168,'G-7 Rivers Data'!$AG$4:$AI$9,2,FALSE)=0,"Spatial Data Missing ⚠",VLOOKUP(V168,'G-7 Rivers Data'!$AG$4:$AI$9,2,FALSE)))</f>
        <v/>
      </c>
      <c r="X168" s="499" t="str">
        <f>IF(V168="","",IF(VLOOKUP(V168,'G-7 Rivers Data'!$AG$4:$AI$9,3,FALSE)=0,"Spatial Data Missing ⚠",VLOOKUP(V168,'G-7 Rivers Data'!$AG$4:$AI$9,3,FALSE)))</f>
        <v/>
      </c>
      <c r="Y168" s="498" t="str">
        <f>IFERROR(IF(OR(LEFT(P168,5)="Error ▲",LEFT(O168,5)="Error ▲"),"Check Data ⚠",IF(F168&lt;S168,'G-7 Rivers Data'!$R$3,INDEX('G-7 Rivers Data'!$U$5:$Y$9,MATCH(G168,'G-7 Rivers Data'!$T$5:$T$9,0),MATCH(T168,'G-7 Rivers Data'!$U$4:$Y$4,0)))),"")</f>
        <v/>
      </c>
      <c r="Z168" s="195"/>
      <c r="AA168" s="195"/>
      <c r="AB168" s="507" t="str">
        <f t="shared" si="19"/>
        <v/>
      </c>
      <c r="AC168" s="521" t="str">
        <f t="shared" si="20"/>
        <v/>
      </c>
      <c r="AD168" s="564" t="str">
        <f>IFERROR(IF(AC168="Check Data ⚠","Check Data ⚠",VLOOKUP(AC168,'G-4 Temporal multipliers'!$A$4:$C$37,3,FALSE)),"")</f>
        <v/>
      </c>
      <c r="AE168" s="498" t="str">
        <f>IF(N168="","",VLOOKUP(N168,'G-7 Rivers Data'!$B$4:$G$8,5,FALSE))</f>
        <v/>
      </c>
      <c r="AF168" s="507" t="str">
        <f t="shared" si="21"/>
        <v/>
      </c>
      <c r="AG168" s="540" t="str">
        <f t="shared" si="22"/>
        <v/>
      </c>
      <c r="AH168" s="499" t="str">
        <f t="shared" si="16"/>
        <v/>
      </c>
      <c r="AI168" s="145"/>
      <c r="AJ168" s="499" t="str">
        <f>IF(AI168="","",IF(VLOOKUP(AI168,'G-7 Rivers Data'!$AA$4:$AB$7,2,FALSE)=0,"Spatial Data Missing ⚠",VLOOKUP(AI168,'G-7 Rivers Data'!$AA$4:$AB$7,2,FALSE)))</f>
        <v/>
      </c>
      <c r="AK168" s="155"/>
      <c r="AL168" s="499" t="str">
        <f>IF(AK168="","",IF(VLOOKUP(AK168,'G-7 Rivers Data'!$AD$4:$AE$8,2,FALSE)=0,"Spatial Data Missing ⚠",VLOOKUP(AK168,'G-7 Rivers Data'!$AD$4:$AE$8,2,FALSE)))</f>
        <v/>
      </c>
      <c r="AM168" s="545" t="str">
        <f t="shared" si="23"/>
        <v/>
      </c>
      <c r="AN168" s="149"/>
      <c r="AO168" s="150"/>
      <c r="AV168" s="31" t="str">
        <f>IFERROR(INDEX('G-7 Rivers Data'!$AZ$3:$AZ$7,MATCH(N168,'G-7 Rivers Data'!$AY$3:$AY$7,0)),"")</f>
        <v/>
      </c>
    </row>
    <row r="169" spans="2:48" ht="14" x14ac:dyDescent="0.3">
      <c r="B169" s="531" t="str">
        <f>'C-1 Site River Baseline'!AN167</f>
        <v/>
      </c>
      <c r="C169" s="520" t="str">
        <f>IF(B169="","",VLOOKUP($B169,'C-1 Site River Baseline'!$C$9:$R$257,2,FALSE))</f>
        <v/>
      </c>
      <c r="D169" s="520" t="str">
        <f>IF(C169="","",VLOOKUP($B169,'C-1 Site River Baseline'!$C$9:$R$257,3,FALSE))</f>
        <v/>
      </c>
      <c r="E169" s="520" t="str">
        <f>IF(D169="","",VLOOKUP($B169,'C-1 Site River Baseline'!$C$9:$R$257,4,FALSE))</f>
        <v/>
      </c>
      <c r="F169" s="520" t="str">
        <f>IF(E169="","",VLOOKUP($B169,'C-1 Site River Baseline'!$C$9:$R$257,5,FALSE))</f>
        <v/>
      </c>
      <c r="G169" s="520" t="str">
        <f>IF(F169="","",VLOOKUP($B169,'C-1 Site River Baseline'!$C$9:$R$257,6,FALSE))</f>
        <v/>
      </c>
      <c r="H169" s="520" t="str">
        <f>IF(G169="","",VLOOKUP($B169,'C-1 Site River Baseline'!$C$9:$R$257,7,FALSE))</f>
        <v/>
      </c>
      <c r="I169" s="520" t="str">
        <f>IF(H169="","",VLOOKUP($B169,'C-1 Site River Baseline'!$C$9:$R$257,8,FALSE))</f>
        <v/>
      </c>
      <c r="J169" s="520" t="str">
        <f>IF(I169="","",VLOOKUP($B169,'C-1 Site River Baseline'!$C$9:$R$257,9,FALSE))</f>
        <v/>
      </c>
      <c r="K169" s="520" t="str">
        <f>IF(J169="","",VLOOKUP($B169,'C-1 Site River Baseline'!$C$9:$R$257,10,FALSE))</f>
        <v/>
      </c>
      <c r="L169" s="520" t="str">
        <f>IF(B169="","",VLOOKUP($B169,'C-1 Site River Baseline'!$C$9:$R$257,15,FALSE))</f>
        <v/>
      </c>
      <c r="M169" s="524" t="str">
        <f>IF(L169="","",VLOOKUP($B169,'C-1 Site River Baseline'!$C$9:$R$257,16,FALSE))</f>
        <v/>
      </c>
      <c r="N169" s="418" t="str">
        <f t="shared" si="17"/>
        <v/>
      </c>
      <c r="O169" s="498" t="str">
        <f t="shared" si="18"/>
        <v/>
      </c>
      <c r="P169" s="499" t="str">
        <f>IF(C169="","",IF(AND(LEFT(C169,55)&lt;&gt;LEFT(N169,55),O169="High - High"),"Error - Not like for like ▲",IF(AND(F169=S169,H169&gt;U169),"Error - Can not reduce condition ▲",IF(AND(F169=S169,H169=U169,AJ169='C-1 Site River Baseline'!N167,'C-1 Site River Baseline'!P167=AL169),"Error - No enhancement ▲",IF(AND(C169&lt;&gt;N169,F169&lt;S169),"Lower Distinctiveness Habitat"&amp;" - "&amp;T169,G169&amp;" - "&amp;T169)))))</f>
        <v/>
      </c>
      <c r="Q169" s="567" t="str">
        <f>IF(N169="","",VLOOKUP(B169,'C-1 Site River Baseline'!$C$10:$AA$257,19,FALSE))</f>
        <v/>
      </c>
      <c r="R169" s="498" t="str">
        <f>IF(N169="","",VLOOKUP(N169,'G-7 Rivers Data'!$B$2:$G$8,2,FALSE))</f>
        <v/>
      </c>
      <c r="S169" s="499" t="str">
        <f>IFERROR(VLOOKUP(R169,'G-7 Rivers Data'!$C$4:$D$8,2,FALSE),"")</f>
        <v/>
      </c>
      <c r="T169" s="145"/>
      <c r="U169" s="499" t="str">
        <f>IFERROR(INDEX('G-7 Rivers Data'!$H$4:$L$8,MATCH(N169,'G-7 Rivers Data'!$B$4:$B$8,0),MATCH(T169,'G-7 Rivers Data'!$H$3:$L$3,0)),"")</f>
        <v/>
      </c>
      <c r="V169" s="154"/>
      <c r="W169" s="507" t="str">
        <f>IF(V169="","",IF(VLOOKUP(V169,'G-7 Rivers Data'!$AG$4:$AI$9,2,FALSE)=0,"Spatial Data Missing ⚠",VLOOKUP(V169,'G-7 Rivers Data'!$AG$4:$AI$9,2,FALSE)))</f>
        <v/>
      </c>
      <c r="X169" s="499" t="str">
        <f>IF(V169="","",IF(VLOOKUP(V169,'G-7 Rivers Data'!$AG$4:$AI$9,3,FALSE)=0,"Spatial Data Missing ⚠",VLOOKUP(V169,'G-7 Rivers Data'!$AG$4:$AI$9,3,FALSE)))</f>
        <v/>
      </c>
      <c r="Y169" s="498" t="str">
        <f>IFERROR(IF(OR(LEFT(P169,5)="Error ▲",LEFT(O169,5)="Error ▲"),"Check Data ⚠",IF(F169&lt;S169,'G-7 Rivers Data'!$R$3,INDEX('G-7 Rivers Data'!$U$5:$Y$9,MATCH(G169,'G-7 Rivers Data'!$T$5:$T$9,0),MATCH(T169,'G-7 Rivers Data'!$U$4:$Y$4,0)))),"")</f>
        <v/>
      </c>
      <c r="Z169" s="195"/>
      <c r="AA169" s="195"/>
      <c r="AB169" s="507" t="str">
        <f t="shared" si="19"/>
        <v/>
      </c>
      <c r="AC169" s="521" t="str">
        <f t="shared" si="20"/>
        <v/>
      </c>
      <c r="AD169" s="564" t="str">
        <f>IFERROR(IF(AC169="Check Data ⚠","Check Data ⚠",VLOOKUP(AC169,'G-4 Temporal multipliers'!$A$4:$C$37,3,FALSE)),"")</f>
        <v/>
      </c>
      <c r="AE169" s="498" t="str">
        <f>IF(N169="","",VLOOKUP(N169,'G-7 Rivers Data'!$B$4:$G$8,5,FALSE))</f>
        <v/>
      </c>
      <c r="AF169" s="507" t="str">
        <f t="shared" si="21"/>
        <v/>
      </c>
      <c r="AG169" s="540" t="str">
        <f t="shared" si="22"/>
        <v/>
      </c>
      <c r="AH169" s="499" t="str">
        <f t="shared" si="16"/>
        <v/>
      </c>
      <c r="AI169" s="145"/>
      <c r="AJ169" s="499" t="str">
        <f>IF(AI169="","",IF(VLOOKUP(AI169,'G-7 Rivers Data'!$AA$4:$AB$7,2,FALSE)=0,"Spatial Data Missing ⚠",VLOOKUP(AI169,'G-7 Rivers Data'!$AA$4:$AB$7,2,FALSE)))</f>
        <v/>
      </c>
      <c r="AK169" s="155"/>
      <c r="AL169" s="499" t="str">
        <f>IF(AK169="","",IF(VLOOKUP(AK169,'G-7 Rivers Data'!$AD$4:$AE$8,2,FALSE)=0,"Spatial Data Missing ⚠",VLOOKUP(AK169,'G-7 Rivers Data'!$AD$4:$AE$8,2,FALSE)))</f>
        <v/>
      </c>
      <c r="AM169" s="545" t="str">
        <f t="shared" si="23"/>
        <v/>
      </c>
      <c r="AN169" s="149"/>
      <c r="AO169" s="150"/>
      <c r="AV169" s="31" t="str">
        <f>IFERROR(INDEX('G-7 Rivers Data'!$AZ$3:$AZ$7,MATCH(N169,'G-7 Rivers Data'!$AY$3:$AY$7,0)),"")</f>
        <v/>
      </c>
    </row>
    <row r="170" spans="2:48" ht="14" x14ac:dyDescent="0.3">
      <c r="B170" s="531" t="str">
        <f>'C-1 Site River Baseline'!AN168</f>
        <v/>
      </c>
      <c r="C170" s="520" t="str">
        <f>IF(B170="","",VLOOKUP($B170,'C-1 Site River Baseline'!$C$9:$R$257,2,FALSE))</f>
        <v/>
      </c>
      <c r="D170" s="520" t="str">
        <f>IF(C170="","",VLOOKUP($B170,'C-1 Site River Baseline'!$C$9:$R$257,3,FALSE))</f>
        <v/>
      </c>
      <c r="E170" s="520" t="str">
        <f>IF(D170="","",VLOOKUP($B170,'C-1 Site River Baseline'!$C$9:$R$257,4,FALSE))</f>
        <v/>
      </c>
      <c r="F170" s="520" t="str">
        <f>IF(E170="","",VLOOKUP($B170,'C-1 Site River Baseline'!$C$9:$R$257,5,FALSE))</f>
        <v/>
      </c>
      <c r="G170" s="520" t="str">
        <f>IF(F170="","",VLOOKUP($B170,'C-1 Site River Baseline'!$C$9:$R$257,6,FALSE))</f>
        <v/>
      </c>
      <c r="H170" s="520" t="str">
        <f>IF(G170="","",VLOOKUP($B170,'C-1 Site River Baseline'!$C$9:$R$257,7,FALSE))</f>
        <v/>
      </c>
      <c r="I170" s="520" t="str">
        <f>IF(H170="","",VLOOKUP($B170,'C-1 Site River Baseline'!$C$9:$R$257,8,FALSE))</f>
        <v/>
      </c>
      <c r="J170" s="520" t="str">
        <f>IF(I170="","",VLOOKUP($B170,'C-1 Site River Baseline'!$C$9:$R$257,9,FALSE))</f>
        <v/>
      </c>
      <c r="K170" s="520" t="str">
        <f>IF(J170="","",VLOOKUP($B170,'C-1 Site River Baseline'!$C$9:$R$257,10,FALSE))</f>
        <v/>
      </c>
      <c r="L170" s="520" t="str">
        <f>IF(B170="","",VLOOKUP($B170,'C-1 Site River Baseline'!$C$9:$R$257,15,FALSE))</f>
        <v/>
      </c>
      <c r="M170" s="524" t="str">
        <f>IF(L170="","",VLOOKUP($B170,'C-1 Site River Baseline'!$C$9:$R$257,16,FALSE))</f>
        <v/>
      </c>
      <c r="N170" s="418" t="str">
        <f t="shared" si="17"/>
        <v/>
      </c>
      <c r="O170" s="498" t="str">
        <f t="shared" si="18"/>
        <v/>
      </c>
      <c r="P170" s="499" t="str">
        <f>IF(C170="","",IF(AND(LEFT(C170,55)&lt;&gt;LEFT(N170,55),O170="High - High"),"Error - Not like for like ▲",IF(AND(F170=S170,H170&gt;U170),"Error - Can not reduce condition ▲",IF(AND(F170=S170,H170=U170,AJ170='C-1 Site River Baseline'!N168,'C-1 Site River Baseline'!P168=AL170),"Error - No enhancement ▲",IF(AND(C170&lt;&gt;N170,F170&lt;S170),"Lower Distinctiveness Habitat"&amp;" - "&amp;T170,G170&amp;" - "&amp;T170)))))</f>
        <v/>
      </c>
      <c r="Q170" s="567" t="str">
        <f>IF(N170="","",VLOOKUP(B170,'C-1 Site River Baseline'!$C$10:$AA$257,19,FALSE))</f>
        <v/>
      </c>
      <c r="R170" s="498" t="str">
        <f>IF(N170="","",VLOOKUP(N170,'G-7 Rivers Data'!$B$2:$G$8,2,FALSE))</f>
        <v/>
      </c>
      <c r="S170" s="499" t="str">
        <f>IFERROR(VLOOKUP(R170,'G-7 Rivers Data'!$C$4:$D$8,2,FALSE),"")</f>
        <v/>
      </c>
      <c r="T170" s="145"/>
      <c r="U170" s="499" t="str">
        <f>IFERROR(INDEX('G-7 Rivers Data'!$H$4:$L$8,MATCH(N170,'G-7 Rivers Data'!$B$4:$B$8,0),MATCH(T170,'G-7 Rivers Data'!$H$3:$L$3,0)),"")</f>
        <v/>
      </c>
      <c r="V170" s="154"/>
      <c r="W170" s="507" t="str">
        <f>IF(V170="","",IF(VLOOKUP(V170,'G-7 Rivers Data'!$AG$4:$AI$9,2,FALSE)=0,"Spatial Data Missing ⚠",VLOOKUP(V170,'G-7 Rivers Data'!$AG$4:$AI$9,2,FALSE)))</f>
        <v/>
      </c>
      <c r="X170" s="499" t="str">
        <f>IF(V170="","",IF(VLOOKUP(V170,'G-7 Rivers Data'!$AG$4:$AI$9,3,FALSE)=0,"Spatial Data Missing ⚠",VLOOKUP(V170,'G-7 Rivers Data'!$AG$4:$AI$9,3,FALSE)))</f>
        <v/>
      </c>
      <c r="Y170" s="498" t="str">
        <f>IFERROR(IF(OR(LEFT(P170,5)="Error ▲",LEFT(O170,5)="Error ▲"),"Check Data ⚠",IF(F170&lt;S170,'G-7 Rivers Data'!$R$3,INDEX('G-7 Rivers Data'!$U$5:$Y$9,MATCH(G170,'G-7 Rivers Data'!$T$5:$T$9,0),MATCH(T170,'G-7 Rivers Data'!$U$4:$Y$4,0)))),"")</f>
        <v/>
      </c>
      <c r="Z170" s="195"/>
      <c r="AA170" s="195"/>
      <c r="AB170" s="507" t="str">
        <f t="shared" si="19"/>
        <v/>
      </c>
      <c r="AC170" s="521" t="str">
        <f t="shared" si="20"/>
        <v/>
      </c>
      <c r="AD170" s="564" t="str">
        <f>IFERROR(IF(AC170="Check Data ⚠","Check Data ⚠",VLOOKUP(AC170,'G-4 Temporal multipliers'!$A$4:$C$37,3,FALSE)),"")</f>
        <v/>
      </c>
      <c r="AE170" s="498" t="str">
        <f>IF(N170="","",VLOOKUP(N170,'G-7 Rivers Data'!$B$4:$G$8,5,FALSE))</f>
        <v/>
      </c>
      <c r="AF170" s="507" t="str">
        <f t="shared" si="21"/>
        <v/>
      </c>
      <c r="AG170" s="540" t="str">
        <f t="shared" si="22"/>
        <v/>
      </c>
      <c r="AH170" s="499" t="str">
        <f t="shared" si="16"/>
        <v/>
      </c>
      <c r="AI170" s="145"/>
      <c r="AJ170" s="499" t="str">
        <f>IF(AI170="","",IF(VLOOKUP(AI170,'G-7 Rivers Data'!$AA$4:$AB$7,2,FALSE)=0,"Spatial Data Missing ⚠",VLOOKUP(AI170,'G-7 Rivers Data'!$AA$4:$AB$7,2,FALSE)))</f>
        <v/>
      </c>
      <c r="AK170" s="155"/>
      <c r="AL170" s="499" t="str">
        <f>IF(AK170="","",IF(VLOOKUP(AK170,'G-7 Rivers Data'!$AD$4:$AE$8,2,FALSE)=0,"Spatial Data Missing ⚠",VLOOKUP(AK170,'G-7 Rivers Data'!$AD$4:$AE$8,2,FALSE)))</f>
        <v/>
      </c>
      <c r="AM170" s="545" t="str">
        <f t="shared" si="23"/>
        <v/>
      </c>
      <c r="AN170" s="149"/>
      <c r="AO170" s="150"/>
      <c r="AV170" s="31" t="str">
        <f>IFERROR(INDEX('G-7 Rivers Data'!$AZ$3:$AZ$7,MATCH(N170,'G-7 Rivers Data'!$AY$3:$AY$7,0)),"")</f>
        <v/>
      </c>
    </row>
    <row r="171" spans="2:48" ht="14" x14ac:dyDescent="0.3">
      <c r="B171" s="531" t="str">
        <f>'C-1 Site River Baseline'!AN169</f>
        <v/>
      </c>
      <c r="C171" s="520" t="str">
        <f>IF(B171="","",VLOOKUP($B171,'C-1 Site River Baseline'!$C$9:$R$257,2,FALSE))</f>
        <v/>
      </c>
      <c r="D171" s="520" t="str">
        <f>IF(C171="","",VLOOKUP($B171,'C-1 Site River Baseline'!$C$9:$R$257,3,FALSE))</f>
        <v/>
      </c>
      <c r="E171" s="520" t="str">
        <f>IF(D171="","",VLOOKUP($B171,'C-1 Site River Baseline'!$C$9:$R$257,4,FALSE))</f>
        <v/>
      </c>
      <c r="F171" s="520" t="str">
        <f>IF(E171="","",VLOOKUP($B171,'C-1 Site River Baseline'!$C$9:$R$257,5,FALSE))</f>
        <v/>
      </c>
      <c r="G171" s="520" t="str">
        <f>IF(F171="","",VLOOKUP($B171,'C-1 Site River Baseline'!$C$9:$R$257,6,FALSE))</f>
        <v/>
      </c>
      <c r="H171" s="520" t="str">
        <f>IF(G171="","",VLOOKUP($B171,'C-1 Site River Baseline'!$C$9:$R$257,7,FALSE))</f>
        <v/>
      </c>
      <c r="I171" s="520" t="str">
        <f>IF(H171="","",VLOOKUP($B171,'C-1 Site River Baseline'!$C$9:$R$257,8,FALSE))</f>
        <v/>
      </c>
      <c r="J171" s="520" t="str">
        <f>IF(I171="","",VLOOKUP($B171,'C-1 Site River Baseline'!$C$9:$R$257,9,FALSE))</f>
        <v/>
      </c>
      <c r="K171" s="520" t="str">
        <f>IF(J171="","",VLOOKUP($B171,'C-1 Site River Baseline'!$C$9:$R$257,10,FALSE))</f>
        <v/>
      </c>
      <c r="L171" s="520" t="str">
        <f>IF(B171="","",VLOOKUP($B171,'C-1 Site River Baseline'!$C$9:$R$257,15,FALSE))</f>
        <v/>
      </c>
      <c r="M171" s="524" t="str">
        <f>IF(L171="","",VLOOKUP($B171,'C-1 Site River Baseline'!$C$9:$R$257,16,FALSE))</f>
        <v/>
      </c>
      <c r="N171" s="418" t="str">
        <f t="shared" si="17"/>
        <v/>
      </c>
      <c r="O171" s="498" t="str">
        <f t="shared" si="18"/>
        <v/>
      </c>
      <c r="P171" s="499" t="str">
        <f>IF(C171="","",IF(AND(LEFT(C171,55)&lt;&gt;LEFT(N171,55),O171="High - High"),"Error - Not like for like ▲",IF(AND(F171=S171,H171&gt;U171),"Error - Can not reduce condition ▲",IF(AND(F171=S171,H171=U171,AJ171='C-1 Site River Baseline'!N169,'C-1 Site River Baseline'!P169=AL171),"Error - No enhancement ▲",IF(AND(C171&lt;&gt;N171,F171&lt;S171),"Lower Distinctiveness Habitat"&amp;" - "&amp;T171,G171&amp;" - "&amp;T171)))))</f>
        <v/>
      </c>
      <c r="Q171" s="567" t="str">
        <f>IF(N171="","",VLOOKUP(B171,'C-1 Site River Baseline'!$C$10:$AA$257,19,FALSE))</f>
        <v/>
      </c>
      <c r="R171" s="498" t="str">
        <f>IF(N171="","",VLOOKUP(N171,'G-7 Rivers Data'!$B$2:$G$8,2,FALSE))</f>
        <v/>
      </c>
      <c r="S171" s="499" t="str">
        <f>IFERROR(VLOOKUP(R171,'G-7 Rivers Data'!$C$4:$D$8,2,FALSE),"")</f>
        <v/>
      </c>
      <c r="T171" s="145"/>
      <c r="U171" s="499" t="str">
        <f>IFERROR(INDEX('G-7 Rivers Data'!$H$4:$L$8,MATCH(N171,'G-7 Rivers Data'!$B$4:$B$8,0),MATCH(T171,'G-7 Rivers Data'!$H$3:$L$3,0)),"")</f>
        <v/>
      </c>
      <c r="V171" s="154"/>
      <c r="W171" s="507" t="str">
        <f>IF(V171="","",IF(VLOOKUP(V171,'G-7 Rivers Data'!$AG$4:$AI$9,2,FALSE)=0,"Spatial Data Missing ⚠",VLOOKUP(V171,'G-7 Rivers Data'!$AG$4:$AI$9,2,FALSE)))</f>
        <v/>
      </c>
      <c r="X171" s="499" t="str">
        <f>IF(V171="","",IF(VLOOKUP(V171,'G-7 Rivers Data'!$AG$4:$AI$9,3,FALSE)=0,"Spatial Data Missing ⚠",VLOOKUP(V171,'G-7 Rivers Data'!$AG$4:$AI$9,3,FALSE)))</f>
        <v/>
      </c>
      <c r="Y171" s="498" t="str">
        <f>IFERROR(IF(OR(LEFT(P171,5)="Error ▲",LEFT(O171,5)="Error ▲"),"Check Data ⚠",IF(F171&lt;S171,'G-7 Rivers Data'!$R$3,INDEX('G-7 Rivers Data'!$U$5:$Y$9,MATCH(G171,'G-7 Rivers Data'!$T$5:$T$9,0),MATCH(T171,'G-7 Rivers Data'!$U$4:$Y$4,0)))),"")</f>
        <v/>
      </c>
      <c r="Z171" s="195"/>
      <c r="AA171" s="195"/>
      <c r="AB171" s="507" t="str">
        <f t="shared" si="19"/>
        <v/>
      </c>
      <c r="AC171" s="521" t="str">
        <f t="shared" si="20"/>
        <v/>
      </c>
      <c r="AD171" s="564" t="str">
        <f>IFERROR(IF(AC171="Check Data ⚠","Check Data ⚠",VLOOKUP(AC171,'G-4 Temporal multipliers'!$A$4:$C$37,3,FALSE)),"")</f>
        <v/>
      </c>
      <c r="AE171" s="498" t="str">
        <f>IF(N171="","",VLOOKUP(N171,'G-7 Rivers Data'!$B$4:$G$8,5,FALSE))</f>
        <v/>
      </c>
      <c r="AF171" s="507" t="str">
        <f t="shared" si="21"/>
        <v/>
      </c>
      <c r="AG171" s="540" t="str">
        <f t="shared" si="22"/>
        <v/>
      </c>
      <c r="AH171" s="499" t="str">
        <f t="shared" si="16"/>
        <v/>
      </c>
      <c r="AI171" s="145"/>
      <c r="AJ171" s="499" t="str">
        <f>IF(AI171="","",IF(VLOOKUP(AI171,'G-7 Rivers Data'!$AA$4:$AB$7,2,FALSE)=0,"Spatial Data Missing ⚠",VLOOKUP(AI171,'G-7 Rivers Data'!$AA$4:$AB$7,2,FALSE)))</f>
        <v/>
      </c>
      <c r="AK171" s="155"/>
      <c r="AL171" s="499" t="str">
        <f>IF(AK171="","",IF(VLOOKUP(AK171,'G-7 Rivers Data'!$AD$4:$AE$8,2,FALSE)=0,"Spatial Data Missing ⚠",VLOOKUP(AK171,'G-7 Rivers Data'!$AD$4:$AE$8,2,FALSE)))</f>
        <v/>
      </c>
      <c r="AM171" s="545" t="str">
        <f t="shared" si="23"/>
        <v/>
      </c>
      <c r="AN171" s="149"/>
      <c r="AO171" s="150"/>
      <c r="AV171" s="31" t="str">
        <f>IFERROR(INDEX('G-7 Rivers Data'!$AZ$3:$AZ$7,MATCH(N171,'G-7 Rivers Data'!$AY$3:$AY$7,0)),"")</f>
        <v/>
      </c>
    </row>
    <row r="172" spans="2:48" ht="14" x14ac:dyDescent="0.3">
      <c r="B172" s="531" t="str">
        <f>'C-1 Site River Baseline'!AN170</f>
        <v/>
      </c>
      <c r="C172" s="520" t="str">
        <f>IF(B172="","",VLOOKUP($B172,'C-1 Site River Baseline'!$C$9:$R$257,2,FALSE))</f>
        <v/>
      </c>
      <c r="D172" s="520" t="str">
        <f>IF(C172="","",VLOOKUP($B172,'C-1 Site River Baseline'!$C$9:$R$257,3,FALSE))</f>
        <v/>
      </c>
      <c r="E172" s="520" t="str">
        <f>IF(D172="","",VLOOKUP($B172,'C-1 Site River Baseline'!$C$9:$R$257,4,FALSE))</f>
        <v/>
      </c>
      <c r="F172" s="520" t="str">
        <f>IF(E172="","",VLOOKUP($B172,'C-1 Site River Baseline'!$C$9:$R$257,5,FALSE))</f>
        <v/>
      </c>
      <c r="G172" s="520" t="str">
        <f>IF(F172="","",VLOOKUP($B172,'C-1 Site River Baseline'!$C$9:$R$257,6,FALSE))</f>
        <v/>
      </c>
      <c r="H172" s="520" t="str">
        <f>IF(G172="","",VLOOKUP($B172,'C-1 Site River Baseline'!$C$9:$R$257,7,FALSE))</f>
        <v/>
      </c>
      <c r="I172" s="520" t="str">
        <f>IF(H172="","",VLOOKUP($B172,'C-1 Site River Baseline'!$C$9:$R$257,8,FALSE))</f>
        <v/>
      </c>
      <c r="J172" s="520" t="str">
        <f>IF(I172="","",VLOOKUP($B172,'C-1 Site River Baseline'!$C$9:$R$257,9,FALSE))</f>
        <v/>
      </c>
      <c r="K172" s="520" t="str">
        <f>IF(J172="","",VLOOKUP($B172,'C-1 Site River Baseline'!$C$9:$R$257,10,FALSE))</f>
        <v/>
      </c>
      <c r="L172" s="520" t="str">
        <f>IF(B172="","",VLOOKUP($B172,'C-1 Site River Baseline'!$C$9:$R$257,15,FALSE))</f>
        <v/>
      </c>
      <c r="M172" s="524" t="str">
        <f>IF(L172="","",VLOOKUP($B172,'C-1 Site River Baseline'!$C$9:$R$257,16,FALSE))</f>
        <v/>
      </c>
      <c r="N172" s="418" t="str">
        <f t="shared" si="17"/>
        <v/>
      </c>
      <c r="O172" s="498" t="str">
        <f t="shared" si="18"/>
        <v/>
      </c>
      <c r="P172" s="499" t="str">
        <f>IF(C172="","",IF(AND(LEFT(C172,55)&lt;&gt;LEFT(N172,55),O172="High - High"),"Error - Not like for like ▲",IF(AND(F172=S172,H172&gt;U172),"Error - Can not reduce condition ▲",IF(AND(F172=S172,H172=U172,AJ172='C-1 Site River Baseline'!N170,'C-1 Site River Baseline'!P170=AL172),"Error - No enhancement ▲",IF(AND(C172&lt;&gt;N172,F172&lt;S172),"Lower Distinctiveness Habitat"&amp;" - "&amp;T172,G172&amp;" - "&amp;T172)))))</f>
        <v/>
      </c>
      <c r="Q172" s="567" t="str">
        <f>IF(N172="","",VLOOKUP(B172,'C-1 Site River Baseline'!$C$10:$AA$257,19,FALSE))</f>
        <v/>
      </c>
      <c r="R172" s="498" t="str">
        <f>IF(N172="","",VLOOKUP(N172,'G-7 Rivers Data'!$B$2:$G$8,2,FALSE))</f>
        <v/>
      </c>
      <c r="S172" s="499" t="str">
        <f>IFERROR(VLOOKUP(R172,'G-7 Rivers Data'!$C$4:$D$8,2,FALSE),"")</f>
        <v/>
      </c>
      <c r="T172" s="145"/>
      <c r="U172" s="499" t="str">
        <f>IFERROR(INDEX('G-7 Rivers Data'!$H$4:$L$8,MATCH(N172,'G-7 Rivers Data'!$B$4:$B$8,0),MATCH(T172,'G-7 Rivers Data'!$H$3:$L$3,0)),"")</f>
        <v/>
      </c>
      <c r="V172" s="154"/>
      <c r="W172" s="507" t="str">
        <f>IF(V172="","",IF(VLOOKUP(V172,'G-7 Rivers Data'!$AG$4:$AI$9,2,FALSE)=0,"Spatial Data Missing ⚠",VLOOKUP(V172,'G-7 Rivers Data'!$AG$4:$AI$9,2,FALSE)))</f>
        <v/>
      </c>
      <c r="X172" s="499" t="str">
        <f>IF(V172="","",IF(VLOOKUP(V172,'G-7 Rivers Data'!$AG$4:$AI$9,3,FALSE)=0,"Spatial Data Missing ⚠",VLOOKUP(V172,'G-7 Rivers Data'!$AG$4:$AI$9,3,FALSE)))</f>
        <v/>
      </c>
      <c r="Y172" s="498" t="str">
        <f>IFERROR(IF(OR(LEFT(P172,5)="Error ▲",LEFT(O172,5)="Error ▲"),"Check Data ⚠",IF(F172&lt;S172,'G-7 Rivers Data'!$R$3,INDEX('G-7 Rivers Data'!$U$5:$Y$9,MATCH(G172,'G-7 Rivers Data'!$T$5:$T$9,0),MATCH(T172,'G-7 Rivers Data'!$U$4:$Y$4,0)))),"")</f>
        <v/>
      </c>
      <c r="Z172" s="195"/>
      <c r="AA172" s="195"/>
      <c r="AB172" s="507" t="str">
        <f t="shared" si="19"/>
        <v/>
      </c>
      <c r="AC172" s="521" t="str">
        <f t="shared" si="20"/>
        <v/>
      </c>
      <c r="AD172" s="564" t="str">
        <f>IFERROR(IF(AC172="Check Data ⚠","Check Data ⚠",VLOOKUP(AC172,'G-4 Temporal multipliers'!$A$4:$C$37,3,FALSE)),"")</f>
        <v/>
      </c>
      <c r="AE172" s="498" t="str">
        <f>IF(N172="","",VLOOKUP(N172,'G-7 Rivers Data'!$B$4:$G$8,5,FALSE))</f>
        <v/>
      </c>
      <c r="AF172" s="507" t="str">
        <f t="shared" si="21"/>
        <v/>
      </c>
      <c r="AG172" s="540" t="str">
        <f t="shared" si="22"/>
        <v/>
      </c>
      <c r="AH172" s="499" t="str">
        <f t="shared" si="16"/>
        <v/>
      </c>
      <c r="AI172" s="145"/>
      <c r="AJ172" s="499" t="str">
        <f>IF(AI172="","",IF(VLOOKUP(AI172,'G-7 Rivers Data'!$AA$4:$AB$7,2,FALSE)=0,"Spatial Data Missing ⚠",VLOOKUP(AI172,'G-7 Rivers Data'!$AA$4:$AB$7,2,FALSE)))</f>
        <v/>
      </c>
      <c r="AK172" s="155"/>
      <c r="AL172" s="499" t="str">
        <f>IF(AK172="","",IF(VLOOKUP(AK172,'G-7 Rivers Data'!$AD$4:$AE$8,2,FALSE)=0,"Spatial Data Missing ⚠",VLOOKUP(AK172,'G-7 Rivers Data'!$AD$4:$AE$8,2,FALSE)))</f>
        <v/>
      </c>
      <c r="AM172" s="545" t="str">
        <f t="shared" si="23"/>
        <v/>
      </c>
      <c r="AN172" s="149"/>
      <c r="AO172" s="150"/>
      <c r="AV172" s="31" t="str">
        <f>IFERROR(INDEX('G-7 Rivers Data'!$AZ$3:$AZ$7,MATCH(N172,'G-7 Rivers Data'!$AY$3:$AY$7,0)),"")</f>
        <v/>
      </c>
    </row>
    <row r="173" spans="2:48" ht="14" x14ac:dyDescent="0.3">
      <c r="B173" s="531" t="str">
        <f>'C-1 Site River Baseline'!AN171</f>
        <v/>
      </c>
      <c r="C173" s="520" t="str">
        <f>IF(B173="","",VLOOKUP($B173,'C-1 Site River Baseline'!$C$9:$R$257,2,FALSE))</f>
        <v/>
      </c>
      <c r="D173" s="520" t="str">
        <f>IF(C173="","",VLOOKUP($B173,'C-1 Site River Baseline'!$C$9:$R$257,3,FALSE))</f>
        <v/>
      </c>
      <c r="E173" s="520" t="str">
        <f>IF(D173="","",VLOOKUP($B173,'C-1 Site River Baseline'!$C$9:$R$257,4,FALSE))</f>
        <v/>
      </c>
      <c r="F173" s="520" t="str">
        <f>IF(E173="","",VLOOKUP($B173,'C-1 Site River Baseline'!$C$9:$R$257,5,FALSE))</f>
        <v/>
      </c>
      <c r="G173" s="520" t="str">
        <f>IF(F173="","",VLOOKUP($B173,'C-1 Site River Baseline'!$C$9:$R$257,6,FALSE))</f>
        <v/>
      </c>
      <c r="H173" s="520" t="str">
        <f>IF(G173="","",VLOOKUP($B173,'C-1 Site River Baseline'!$C$9:$R$257,7,FALSE))</f>
        <v/>
      </c>
      <c r="I173" s="520" t="str">
        <f>IF(H173="","",VLOOKUP($B173,'C-1 Site River Baseline'!$C$9:$R$257,8,FALSE))</f>
        <v/>
      </c>
      <c r="J173" s="520" t="str">
        <f>IF(I173="","",VLOOKUP($B173,'C-1 Site River Baseline'!$C$9:$R$257,9,FALSE))</f>
        <v/>
      </c>
      <c r="K173" s="520" t="str">
        <f>IF(J173="","",VLOOKUP($B173,'C-1 Site River Baseline'!$C$9:$R$257,10,FALSE))</f>
        <v/>
      </c>
      <c r="L173" s="520" t="str">
        <f>IF(B173="","",VLOOKUP($B173,'C-1 Site River Baseline'!$C$9:$R$257,15,FALSE))</f>
        <v/>
      </c>
      <c r="M173" s="524" t="str">
        <f>IF(L173="","",VLOOKUP($B173,'C-1 Site River Baseline'!$C$9:$R$257,16,FALSE))</f>
        <v/>
      </c>
      <c r="N173" s="418" t="str">
        <f t="shared" si="17"/>
        <v/>
      </c>
      <c r="O173" s="498" t="str">
        <f t="shared" si="18"/>
        <v/>
      </c>
      <c r="P173" s="499" t="str">
        <f>IF(C173="","",IF(AND(LEFT(C173,55)&lt;&gt;LEFT(N173,55),O173="High - High"),"Error - Not like for like ▲",IF(AND(F173=S173,H173&gt;U173),"Error - Can not reduce condition ▲",IF(AND(F173=S173,H173=U173,AJ173='C-1 Site River Baseline'!N171,'C-1 Site River Baseline'!P171=AL173),"Error - No enhancement ▲",IF(AND(C173&lt;&gt;N173,F173&lt;S173),"Lower Distinctiveness Habitat"&amp;" - "&amp;T173,G173&amp;" - "&amp;T173)))))</f>
        <v/>
      </c>
      <c r="Q173" s="567" t="str">
        <f>IF(N173="","",VLOOKUP(B173,'C-1 Site River Baseline'!$C$10:$AA$257,19,FALSE))</f>
        <v/>
      </c>
      <c r="R173" s="498" t="str">
        <f>IF(N173="","",VLOOKUP(N173,'G-7 Rivers Data'!$B$2:$G$8,2,FALSE))</f>
        <v/>
      </c>
      <c r="S173" s="499" t="str">
        <f>IFERROR(VLOOKUP(R173,'G-7 Rivers Data'!$C$4:$D$8,2,FALSE),"")</f>
        <v/>
      </c>
      <c r="T173" s="145"/>
      <c r="U173" s="499" t="str">
        <f>IFERROR(INDEX('G-7 Rivers Data'!$H$4:$L$8,MATCH(N173,'G-7 Rivers Data'!$B$4:$B$8,0),MATCH(T173,'G-7 Rivers Data'!$H$3:$L$3,0)),"")</f>
        <v/>
      </c>
      <c r="V173" s="154"/>
      <c r="W173" s="507" t="str">
        <f>IF(V173="","",IF(VLOOKUP(V173,'G-7 Rivers Data'!$AG$4:$AI$9,2,FALSE)=0,"Spatial Data Missing ⚠",VLOOKUP(V173,'G-7 Rivers Data'!$AG$4:$AI$9,2,FALSE)))</f>
        <v/>
      </c>
      <c r="X173" s="499" t="str">
        <f>IF(V173="","",IF(VLOOKUP(V173,'G-7 Rivers Data'!$AG$4:$AI$9,3,FALSE)=0,"Spatial Data Missing ⚠",VLOOKUP(V173,'G-7 Rivers Data'!$AG$4:$AI$9,3,FALSE)))</f>
        <v/>
      </c>
      <c r="Y173" s="498" t="str">
        <f>IFERROR(IF(OR(LEFT(P173,5)="Error ▲",LEFT(O173,5)="Error ▲"),"Check Data ⚠",IF(F173&lt;S173,'G-7 Rivers Data'!$R$3,INDEX('G-7 Rivers Data'!$U$5:$Y$9,MATCH(G173,'G-7 Rivers Data'!$T$5:$T$9,0),MATCH(T173,'G-7 Rivers Data'!$U$4:$Y$4,0)))),"")</f>
        <v/>
      </c>
      <c r="Z173" s="195"/>
      <c r="AA173" s="195"/>
      <c r="AB173" s="507" t="str">
        <f t="shared" si="19"/>
        <v/>
      </c>
      <c r="AC173" s="521" t="str">
        <f t="shared" si="20"/>
        <v/>
      </c>
      <c r="AD173" s="564" t="str">
        <f>IFERROR(IF(AC173="Check Data ⚠","Check Data ⚠",VLOOKUP(AC173,'G-4 Temporal multipliers'!$A$4:$C$37,3,FALSE)),"")</f>
        <v/>
      </c>
      <c r="AE173" s="498" t="str">
        <f>IF(N173="","",VLOOKUP(N173,'G-7 Rivers Data'!$B$4:$G$8,5,FALSE))</f>
        <v/>
      </c>
      <c r="AF173" s="507" t="str">
        <f t="shared" si="21"/>
        <v/>
      </c>
      <c r="AG173" s="540" t="str">
        <f t="shared" si="22"/>
        <v/>
      </c>
      <c r="AH173" s="499" t="str">
        <f t="shared" si="16"/>
        <v/>
      </c>
      <c r="AI173" s="145"/>
      <c r="AJ173" s="499" t="str">
        <f>IF(AI173="","",IF(VLOOKUP(AI173,'G-7 Rivers Data'!$AA$4:$AB$7,2,FALSE)=0,"Spatial Data Missing ⚠",VLOOKUP(AI173,'G-7 Rivers Data'!$AA$4:$AB$7,2,FALSE)))</f>
        <v/>
      </c>
      <c r="AK173" s="155"/>
      <c r="AL173" s="499" t="str">
        <f>IF(AK173="","",IF(VLOOKUP(AK173,'G-7 Rivers Data'!$AD$4:$AE$8,2,FALSE)=0,"Spatial Data Missing ⚠",VLOOKUP(AK173,'G-7 Rivers Data'!$AD$4:$AE$8,2,FALSE)))</f>
        <v/>
      </c>
      <c r="AM173" s="545" t="str">
        <f t="shared" si="23"/>
        <v/>
      </c>
      <c r="AN173" s="149"/>
      <c r="AO173" s="150"/>
      <c r="AV173" s="31" t="str">
        <f>IFERROR(INDEX('G-7 Rivers Data'!$AZ$3:$AZ$7,MATCH(N173,'G-7 Rivers Data'!$AY$3:$AY$7,0)),"")</f>
        <v/>
      </c>
    </row>
    <row r="174" spans="2:48" ht="14" x14ac:dyDescent="0.3">
      <c r="B174" s="531" t="str">
        <f>'C-1 Site River Baseline'!AN172</f>
        <v/>
      </c>
      <c r="C174" s="520" t="str">
        <f>IF(B174="","",VLOOKUP($B174,'C-1 Site River Baseline'!$C$9:$R$257,2,FALSE))</f>
        <v/>
      </c>
      <c r="D174" s="520" t="str">
        <f>IF(C174="","",VLOOKUP($B174,'C-1 Site River Baseline'!$C$9:$R$257,3,FALSE))</f>
        <v/>
      </c>
      <c r="E174" s="520" t="str">
        <f>IF(D174="","",VLOOKUP($B174,'C-1 Site River Baseline'!$C$9:$R$257,4,FALSE))</f>
        <v/>
      </c>
      <c r="F174" s="520" t="str">
        <f>IF(E174="","",VLOOKUP($B174,'C-1 Site River Baseline'!$C$9:$R$257,5,FALSE))</f>
        <v/>
      </c>
      <c r="G174" s="520" t="str">
        <f>IF(F174="","",VLOOKUP($B174,'C-1 Site River Baseline'!$C$9:$R$257,6,FALSE))</f>
        <v/>
      </c>
      <c r="H174" s="520" t="str">
        <f>IF(G174="","",VLOOKUP($B174,'C-1 Site River Baseline'!$C$9:$R$257,7,FALSE))</f>
        <v/>
      </c>
      <c r="I174" s="520" t="str">
        <f>IF(H174="","",VLOOKUP($B174,'C-1 Site River Baseline'!$C$9:$R$257,8,FALSE))</f>
        <v/>
      </c>
      <c r="J174" s="520" t="str">
        <f>IF(I174="","",VLOOKUP($B174,'C-1 Site River Baseline'!$C$9:$R$257,9,FALSE))</f>
        <v/>
      </c>
      <c r="K174" s="520" t="str">
        <f>IF(J174="","",VLOOKUP($B174,'C-1 Site River Baseline'!$C$9:$R$257,10,FALSE))</f>
        <v/>
      </c>
      <c r="L174" s="520" t="str">
        <f>IF(B174="","",VLOOKUP($B174,'C-1 Site River Baseline'!$C$9:$R$257,15,FALSE))</f>
        <v/>
      </c>
      <c r="M174" s="524" t="str">
        <f>IF(L174="","",VLOOKUP($B174,'C-1 Site River Baseline'!$C$9:$R$257,16,FALSE))</f>
        <v/>
      </c>
      <c r="N174" s="418" t="str">
        <f t="shared" si="17"/>
        <v/>
      </c>
      <c r="O174" s="498" t="str">
        <f t="shared" si="18"/>
        <v/>
      </c>
      <c r="P174" s="499" t="str">
        <f>IF(C174="","",IF(AND(LEFT(C174,55)&lt;&gt;LEFT(N174,55),O174="High - High"),"Error - Not like for like ▲",IF(AND(F174=S174,H174&gt;U174),"Error - Can not reduce condition ▲",IF(AND(F174=S174,H174=U174,AJ174='C-1 Site River Baseline'!N172,'C-1 Site River Baseline'!P172=AL174),"Error - No enhancement ▲",IF(AND(C174&lt;&gt;N174,F174&lt;S174),"Lower Distinctiveness Habitat"&amp;" - "&amp;T174,G174&amp;" - "&amp;T174)))))</f>
        <v/>
      </c>
      <c r="Q174" s="567" t="str">
        <f>IF(N174="","",VLOOKUP(B174,'C-1 Site River Baseline'!$C$10:$AA$257,19,FALSE))</f>
        <v/>
      </c>
      <c r="R174" s="498" t="str">
        <f>IF(N174="","",VLOOKUP(N174,'G-7 Rivers Data'!$B$2:$G$8,2,FALSE))</f>
        <v/>
      </c>
      <c r="S174" s="499" t="str">
        <f>IFERROR(VLOOKUP(R174,'G-7 Rivers Data'!$C$4:$D$8,2,FALSE),"")</f>
        <v/>
      </c>
      <c r="T174" s="145"/>
      <c r="U174" s="499" t="str">
        <f>IFERROR(INDEX('G-7 Rivers Data'!$H$4:$L$8,MATCH(N174,'G-7 Rivers Data'!$B$4:$B$8,0),MATCH(T174,'G-7 Rivers Data'!$H$3:$L$3,0)),"")</f>
        <v/>
      </c>
      <c r="V174" s="154"/>
      <c r="W174" s="507" t="str">
        <f>IF(V174="","",IF(VLOOKUP(V174,'G-7 Rivers Data'!$AG$4:$AI$9,2,FALSE)=0,"Spatial Data Missing ⚠",VLOOKUP(V174,'G-7 Rivers Data'!$AG$4:$AI$9,2,FALSE)))</f>
        <v/>
      </c>
      <c r="X174" s="499" t="str">
        <f>IF(V174="","",IF(VLOOKUP(V174,'G-7 Rivers Data'!$AG$4:$AI$9,3,FALSE)=0,"Spatial Data Missing ⚠",VLOOKUP(V174,'G-7 Rivers Data'!$AG$4:$AI$9,3,FALSE)))</f>
        <v/>
      </c>
      <c r="Y174" s="498" t="str">
        <f>IFERROR(IF(OR(LEFT(P174,5)="Error ▲",LEFT(O174,5)="Error ▲"),"Check Data ⚠",IF(F174&lt;S174,'G-7 Rivers Data'!$R$3,INDEX('G-7 Rivers Data'!$U$5:$Y$9,MATCH(G174,'G-7 Rivers Data'!$T$5:$T$9,0),MATCH(T174,'G-7 Rivers Data'!$U$4:$Y$4,0)))),"")</f>
        <v/>
      </c>
      <c r="Z174" s="195"/>
      <c r="AA174" s="195"/>
      <c r="AB174" s="507" t="str">
        <f t="shared" si="19"/>
        <v/>
      </c>
      <c r="AC174" s="521" t="str">
        <f t="shared" si="20"/>
        <v/>
      </c>
      <c r="AD174" s="564" t="str">
        <f>IFERROR(IF(AC174="Check Data ⚠","Check Data ⚠",VLOOKUP(AC174,'G-4 Temporal multipliers'!$A$4:$C$37,3,FALSE)),"")</f>
        <v/>
      </c>
      <c r="AE174" s="498" t="str">
        <f>IF(N174="","",VLOOKUP(N174,'G-7 Rivers Data'!$B$4:$G$8,5,FALSE))</f>
        <v/>
      </c>
      <c r="AF174" s="507" t="str">
        <f t="shared" si="21"/>
        <v/>
      </c>
      <c r="AG174" s="540" t="str">
        <f t="shared" si="22"/>
        <v/>
      </c>
      <c r="AH174" s="499" t="str">
        <f t="shared" si="16"/>
        <v/>
      </c>
      <c r="AI174" s="145"/>
      <c r="AJ174" s="499" t="str">
        <f>IF(AI174="","",IF(VLOOKUP(AI174,'G-7 Rivers Data'!$AA$4:$AB$7,2,FALSE)=0,"Spatial Data Missing ⚠",VLOOKUP(AI174,'G-7 Rivers Data'!$AA$4:$AB$7,2,FALSE)))</f>
        <v/>
      </c>
      <c r="AK174" s="155"/>
      <c r="AL174" s="499" t="str">
        <f>IF(AK174="","",IF(VLOOKUP(AK174,'G-7 Rivers Data'!$AD$4:$AE$8,2,FALSE)=0,"Spatial Data Missing ⚠",VLOOKUP(AK174,'G-7 Rivers Data'!$AD$4:$AE$8,2,FALSE)))</f>
        <v/>
      </c>
      <c r="AM174" s="545" t="str">
        <f t="shared" si="23"/>
        <v/>
      </c>
      <c r="AN174" s="149"/>
      <c r="AO174" s="150"/>
      <c r="AV174" s="31" t="str">
        <f>IFERROR(INDEX('G-7 Rivers Data'!$AZ$3:$AZ$7,MATCH(N174,'G-7 Rivers Data'!$AY$3:$AY$7,0)),"")</f>
        <v/>
      </c>
    </row>
    <row r="175" spans="2:48" ht="14" x14ac:dyDescent="0.3">
      <c r="B175" s="531" t="str">
        <f>'C-1 Site River Baseline'!AN173</f>
        <v/>
      </c>
      <c r="C175" s="520" t="str">
        <f>IF(B175="","",VLOOKUP($B175,'C-1 Site River Baseline'!$C$9:$R$257,2,FALSE))</f>
        <v/>
      </c>
      <c r="D175" s="520" t="str">
        <f>IF(C175="","",VLOOKUP($B175,'C-1 Site River Baseline'!$C$9:$R$257,3,FALSE))</f>
        <v/>
      </c>
      <c r="E175" s="520" t="str">
        <f>IF(D175="","",VLOOKUP($B175,'C-1 Site River Baseline'!$C$9:$R$257,4,FALSE))</f>
        <v/>
      </c>
      <c r="F175" s="520" t="str">
        <f>IF(E175="","",VLOOKUP($B175,'C-1 Site River Baseline'!$C$9:$R$257,5,FALSE))</f>
        <v/>
      </c>
      <c r="G175" s="520" t="str">
        <f>IF(F175="","",VLOOKUP($B175,'C-1 Site River Baseline'!$C$9:$R$257,6,FALSE))</f>
        <v/>
      </c>
      <c r="H175" s="520" t="str">
        <f>IF(G175="","",VLOOKUP($B175,'C-1 Site River Baseline'!$C$9:$R$257,7,FALSE))</f>
        <v/>
      </c>
      <c r="I175" s="520" t="str">
        <f>IF(H175="","",VLOOKUP($B175,'C-1 Site River Baseline'!$C$9:$R$257,8,FALSE))</f>
        <v/>
      </c>
      <c r="J175" s="520" t="str">
        <f>IF(I175="","",VLOOKUP($B175,'C-1 Site River Baseline'!$C$9:$R$257,9,FALSE))</f>
        <v/>
      </c>
      <c r="K175" s="520" t="str">
        <f>IF(J175="","",VLOOKUP($B175,'C-1 Site River Baseline'!$C$9:$R$257,10,FALSE))</f>
        <v/>
      </c>
      <c r="L175" s="520" t="str">
        <f>IF(B175="","",VLOOKUP($B175,'C-1 Site River Baseline'!$C$9:$R$257,15,FALSE))</f>
        <v/>
      </c>
      <c r="M175" s="524" t="str">
        <f>IF(L175="","",VLOOKUP($B175,'C-1 Site River Baseline'!$C$9:$R$257,16,FALSE))</f>
        <v/>
      </c>
      <c r="N175" s="418" t="str">
        <f t="shared" si="17"/>
        <v/>
      </c>
      <c r="O175" s="498" t="str">
        <f t="shared" si="18"/>
        <v/>
      </c>
      <c r="P175" s="499" t="str">
        <f>IF(C175="","",IF(AND(LEFT(C175,55)&lt;&gt;LEFT(N175,55),O175="High - High"),"Error - Not like for like ▲",IF(AND(F175=S175,H175&gt;U175),"Error - Can not reduce condition ▲",IF(AND(F175=S175,H175=U175,AJ175='C-1 Site River Baseline'!N173,'C-1 Site River Baseline'!P173=AL175),"Error - No enhancement ▲",IF(AND(C175&lt;&gt;N175,F175&lt;S175),"Lower Distinctiveness Habitat"&amp;" - "&amp;T175,G175&amp;" - "&amp;T175)))))</f>
        <v/>
      </c>
      <c r="Q175" s="567" t="str">
        <f>IF(N175="","",VLOOKUP(B175,'C-1 Site River Baseline'!$C$10:$AA$257,19,FALSE))</f>
        <v/>
      </c>
      <c r="R175" s="498" t="str">
        <f>IF(N175="","",VLOOKUP(N175,'G-7 Rivers Data'!$B$2:$G$8,2,FALSE))</f>
        <v/>
      </c>
      <c r="S175" s="499" t="str">
        <f>IFERROR(VLOOKUP(R175,'G-7 Rivers Data'!$C$4:$D$8,2,FALSE),"")</f>
        <v/>
      </c>
      <c r="T175" s="145"/>
      <c r="U175" s="499" t="str">
        <f>IFERROR(INDEX('G-7 Rivers Data'!$H$4:$L$8,MATCH(N175,'G-7 Rivers Data'!$B$4:$B$8,0),MATCH(T175,'G-7 Rivers Data'!$H$3:$L$3,0)),"")</f>
        <v/>
      </c>
      <c r="V175" s="154"/>
      <c r="W175" s="507" t="str">
        <f>IF(V175="","",IF(VLOOKUP(V175,'G-7 Rivers Data'!$AG$4:$AI$9,2,FALSE)=0,"Spatial Data Missing ⚠",VLOOKUP(V175,'G-7 Rivers Data'!$AG$4:$AI$9,2,FALSE)))</f>
        <v/>
      </c>
      <c r="X175" s="499" t="str">
        <f>IF(V175="","",IF(VLOOKUP(V175,'G-7 Rivers Data'!$AG$4:$AI$9,3,FALSE)=0,"Spatial Data Missing ⚠",VLOOKUP(V175,'G-7 Rivers Data'!$AG$4:$AI$9,3,FALSE)))</f>
        <v/>
      </c>
      <c r="Y175" s="498" t="str">
        <f>IFERROR(IF(OR(LEFT(P175,5)="Error ▲",LEFT(O175,5)="Error ▲"),"Check Data ⚠",IF(F175&lt;S175,'G-7 Rivers Data'!$R$3,INDEX('G-7 Rivers Data'!$U$5:$Y$9,MATCH(G175,'G-7 Rivers Data'!$T$5:$T$9,0),MATCH(T175,'G-7 Rivers Data'!$U$4:$Y$4,0)))),"")</f>
        <v/>
      </c>
      <c r="Z175" s="195"/>
      <c r="AA175" s="195"/>
      <c r="AB175" s="507" t="str">
        <f t="shared" si="19"/>
        <v/>
      </c>
      <c r="AC175" s="521" t="str">
        <f t="shared" si="20"/>
        <v/>
      </c>
      <c r="AD175" s="564" t="str">
        <f>IFERROR(IF(AC175="Check Data ⚠","Check Data ⚠",VLOOKUP(AC175,'G-4 Temporal multipliers'!$A$4:$C$37,3,FALSE)),"")</f>
        <v/>
      </c>
      <c r="AE175" s="498" t="str">
        <f>IF(N175="","",VLOOKUP(N175,'G-7 Rivers Data'!$B$4:$G$8,5,FALSE))</f>
        <v/>
      </c>
      <c r="AF175" s="507" t="str">
        <f t="shared" si="21"/>
        <v/>
      </c>
      <c r="AG175" s="540" t="str">
        <f t="shared" si="22"/>
        <v/>
      </c>
      <c r="AH175" s="499" t="str">
        <f t="shared" si="16"/>
        <v/>
      </c>
      <c r="AI175" s="145"/>
      <c r="AJ175" s="499" t="str">
        <f>IF(AI175="","",IF(VLOOKUP(AI175,'G-7 Rivers Data'!$AA$4:$AB$7,2,FALSE)=0,"Spatial Data Missing ⚠",VLOOKUP(AI175,'G-7 Rivers Data'!$AA$4:$AB$7,2,FALSE)))</f>
        <v/>
      </c>
      <c r="AK175" s="155"/>
      <c r="AL175" s="499" t="str">
        <f>IF(AK175="","",IF(VLOOKUP(AK175,'G-7 Rivers Data'!$AD$4:$AE$8,2,FALSE)=0,"Spatial Data Missing ⚠",VLOOKUP(AK175,'G-7 Rivers Data'!$AD$4:$AE$8,2,FALSE)))</f>
        <v/>
      </c>
      <c r="AM175" s="545" t="str">
        <f t="shared" si="23"/>
        <v/>
      </c>
      <c r="AN175" s="149"/>
      <c r="AO175" s="150"/>
      <c r="AV175" s="31" t="str">
        <f>IFERROR(INDEX('G-7 Rivers Data'!$AZ$3:$AZ$7,MATCH(N175,'G-7 Rivers Data'!$AY$3:$AY$7,0)),"")</f>
        <v/>
      </c>
    </row>
    <row r="176" spans="2:48" ht="14" x14ac:dyDescent="0.3">
      <c r="B176" s="531" t="str">
        <f>'C-1 Site River Baseline'!AN174</f>
        <v/>
      </c>
      <c r="C176" s="520" t="str">
        <f>IF(B176="","",VLOOKUP($B176,'C-1 Site River Baseline'!$C$9:$R$257,2,FALSE))</f>
        <v/>
      </c>
      <c r="D176" s="520" t="str">
        <f>IF(C176="","",VLOOKUP($B176,'C-1 Site River Baseline'!$C$9:$R$257,3,FALSE))</f>
        <v/>
      </c>
      <c r="E176" s="520" t="str">
        <f>IF(D176="","",VLOOKUP($B176,'C-1 Site River Baseline'!$C$9:$R$257,4,FALSE))</f>
        <v/>
      </c>
      <c r="F176" s="520" t="str">
        <f>IF(E176="","",VLOOKUP($B176,'C-1 Site River Baseline'!$C$9:$R$257,5,FALSE))</f>
        <v/>
      </c>
      <c r="G176" s="520" t="str">
        <f>IF(F176="","",VLOOKUP($B176,'C-1 Site River Baseline'!$C$9:$R$257,6,FALSE))</f>
        <v/>
      </c>
      <c r="H176" s="520" t="str">
        <f>IF(G176="","",VLOOKUP($B176,'C-1 Site River Baseline'!$C$9:$R$257,7,FALSE))</f>
        <v/>
      </c>
      <c r="I176" s="520" t="str">
        <f>IF(H176="","",VLOOKUP($B176,'C-1 Site River Baseline'!$C$9:$R$257,8,FALSE))</f>
        <v/>
      </c>
      <c r="J176" s="520" t="str">
        <f>IF(I176="","",VLOOKUP($B176,'C-1 Site River Baseline'!$C$9:$R$257,9,FALSE))</f>
        <v/>
      </c>
      <c r="K176" s="520" t="str">
        <f>IF(J176="","",VLOOKUP($B176,'C-1 Site River Baseline'!$C$9:$R$257,10,FALSE))</f>
        <v/>
      </c>
      <c r="L176" s="520" t="str">
        <f>IF(B176="","",VLOOKUP($B176,'C-1 Site River Baseline'!$C$9:$R$257,15,FALSE))</f>
        <v/>
      </c>
      <c r="M176" s="524" t="str">
        <f>IF(L176="","",VLOOKUP($B176,'C-1 Site River Baseline'!$C$9:$R$257,16,FALSE))</f>
        <v/>
      </c>
      <c r="N176" s="418" t="str">
        <f t="shared" si="17"/>
        <v/>
      </c>
      <c r="O176" s="498" t="str">
        <f t="shared" si="18"/>
        <v/>
      </c>
      <c r="P176" s="499" t="str">
        <f>IF(C176="","",IF(AND(LEFT(C176,55)&lt;&gt;LEFT(N176,55),O176="High - High"),"Error - Not like for like ▲",IF(AND(F176=S176,H176&gt;U176),"Error - Can not reduce condition ▲",IF(AND(F176=S176,H176=U176,AJ176='C-1 Site River Baseline'!N174,'C-1 Site River Baseline'!P174=AL176),"Error - No enhancement ▲",IF(AND(C176&lt;&gt;N176,F176&lt;S176),"Lower Distinctiveness Habitat"&amp;" - "&amp;T176,G176&amp;" - "&amp;T176)))))</f>
        <v/>
      </c>
      <c r="Q176" s="567" t="str">
        <f>IF(N176="","",VLOOKUP(B176,'C-1 Site River Baseline'!$C$10:$AA$257,19,FALSE))</f>
        <v/>
      </c>
      <c r="R176" s="498" t="str">
        <f>IF(N176="","",VLOOKUP(N176,'G-7 Rivers Data'!$B$2:$G$8,2,FALSE))</f>
        <v/>
      </c>
      <c r="S176" s="499" t="str">
        <f>IFERROR(VLOOKUP(R176,'G-7 Rivers Data'!$C$4:$D$8,2,FALSE),"")</f>
        <v/>
      </c>
      <c r="T176" s="145"/>
      <c r="U176" s="499" t="str">
        <f>IFERROR(INDEX('G-7 Rivers Data'!$H$4:$L$8,MATCH(N176,'G-7 Rivers Data'!$B$4:$B$8,0),MATCH(T176,'G-7 Rivers Data'!$H$3:$L$3,0)),"")</f>
        <v/>
      </c>
      <c r="V176" s="154"/>
      <c r="W176" s="507" t="str">
        <f>IF(V176="","",IF(VLOOKUP(V176,'G-7 Rivers Data'!$AG$4:$AI$9,2,FALSE)=0,"Spatial Data Missing ⚠",VLOOKUP(V176,'G-7 Rivers Data'!$AG$4:$AI$9,2,FALSE)))</f>
        <v/>
      </c>
      <c r="X176" s="499" t="str">
        <f>IF(V176="","",IF(VLOOKUP(V176,'G-7 Rivers Data'!$AG$4:$AI$9,3,FALSE)=0,"Spatial Data Missing ⚠",VLOOKUP(V176,'G-7 Rivers Data'!$AG$4:$AI$9,3,FALSE)))</f>
        <v/>
      </c>
      <c r="Y176" s="498" t="str">
        <f>IFERROR(IF(OR(LEFT(P176,5)="Error ▲",LEFT(O176,5)="Error ▲"),"Check Data ⚠",IF(F176&lt;S176,'G-7 Rivers Data'!$R$3,INDEX('G-7 Rivers Data'!$U$5:$Y$9,MATCH(G176,'G-7 Rivers Data'!$T$5:$T$9,0),MATCH(T176,'G-7 Rivers Data'!$U$4:$Y$4,0)))),"")</f>
        <v/>
      </c>
      <c r="Z176" s="195"/>
      <c r="AA176" s="195"/>
      <c r="AB176" s="507" t="str">
        <f t="shared" si="19"/>
        <v/>
      </c>
      <c r="AC176" s="521" t="str">
        <f t="shared" si="20"/>
        <v/>
      </c>
      <c r="AD176" s="564" t="str">
        <f>IFERROR(IF(AC176="Check Data ⚠","Check Data ⚠",VLOOKUP(AC176,'G-4 Temporal multipliers'!$A$4:$C$37,3,FALSE)),"")</f>
        <v/>
      </c>
      <c r="AE176" s="498" t="str">
        <f>IF(N176="","",VLOOKUP(N176,'G-7 Rivers Data'!$B$4:$G$8,5,FALSE))</f>
        <v/>
      </c>
      <c r="AF176" s="507" t="str">
        <f t="shared" si="21"/>
        <v/>
      </c>
      <c r="AG176" s="540" t="str">
        <f t="shared" si="22"/>
        <v/>
      </c>
      <c r="AH176" s="499" t="str">
        <f t="shared" si="16"/>
        <v/>
      </c>
      <c r="AI176" s="145"/>
      <c r="AJ176" s="499" t="str">
        <f>IF(AI176="","",IF(VLOOKUP(AI176,'G-7 Rivers Data'!$AA$4:$AB$7,2,FALSE)=0,"Spatial Data Missing ⚠",VLOOKUP(AI176,'G-7 Rivers Data'!$AA$4:$AB$7,2,FALSE)))</f>
        <v/>
      </c>
      <c r="AK176" s="155"/>
      <c r="AL176" s="499" t="str">
        <f>IF(AK176="","",IF(VLOOKUP(AK176,'G-7 Rivers Data'!$AD$4:$AE$8,2,FALSE)=0,"Spatial Data Missing ⚠",VLOOKUP(AK176,'G-7 Rivers Data'!$AD$4:$AE$8,2,FALSE)))</f>
        <v/>
      </c>
      <c r="AM176" s="545" t="str">
        <f t="shared" si="23"/>
        <v/>
      </c>
      <c r="AN176" s="149"/>
      <c r="AO176" s="150"/>
      <c r="AV176" s="31" t="str">
        <f>IFERROR(INDEX('G-7 Rivers Data'!$AZ$3:$AZ$7,MATCH(N176,'G-7 Rivers Data'!$AY$3:$AY$7,0)),"")</f>
        <v/>
      </c>
    </row>
    <row r="177" spans="2:48" ht="14" x14ac:dyDescent="0.3">
      <c r="B177" s="531" t="str">
        <f>'C-1 Site River Baseline'!AN175</f>
        <v/>
      </c>
      <c r="C177" s="520" t="str">
        <f>IF(B177="","",VLOOKUP($B177,'C-1 Site River Baseline'!$C$9:$R$257,2,FALSE))</f>
        <v/>
      </c>
      <c r="D177" s="520" t="str">
        <f>IF(C177="","",VLOOKUP($B177,'C-1 Site River Baseline'!$C$9:$R$257,3,FALSE))</f>
        <v/>
      </c>
      <c r="E177" s="520" t="str">
        <f>IF(D177="","",VLOOKUP($B177,'C-1 Site River Baseline'!$C$9:$R$257,4,FALSE))</f>
        <v/>
      </c>
      <c r="F177" s="520" t="str">
        <f>IF(E177="","",VLOOKUP($B177,'C-1 Site River Baseline'!$C$9:$R$257,5,FALSE))</f>
        <v/>
      </c>
      <c r="G177" s="520" t="str">
        <f>IF(F177="","",VLOOKUP($B177,'C-1 Site River Baseline'!$C$9:$R$257,6,FALSE))</f>
        <v/>
      </c>
      <c r="H177" s="520" t="str">
        <f>IF(G177="","",VLOOKUP($B177,'C-1 Site River Baseline'!$C$9:$R$257,7,FALSE))</f>
        <v/>
      </c>
      <c r="I177" s="520" t="str">
        <f>IF(H177="","",VLOOKUP($B177,'C-1 Site River Baseline'!$C$9:$R$257,8,FALSE))</f>
        <v/>
      </c>
      <c r="J177" s="520" t="str">
        <f>IF(I177="","",VLOOKUP($B177,'C-1 Site River Baseline'!$C$9:$R$257,9,FALSE))</f>
        <v/>
      </c>
      <c r="K177" s="520" t="str">
        <f>IF(J177="","",VLOOKUP($B177,'C-1 Site River Baseline'!$C$9:$R$257,10,FALSE))</f>
        <v/>
      </c>
      <c r="L177" s="520" t="str">
        <f>IF(B177="","",VLOOKUP($B177,'C-1 Site River Baseline'!$C$9:$R$257,15,FALSE))</f>
        <v/>
      </c>
      <c r="M177" s="524" t="str">
        <f>IF(L177="","",VLOOKUP($B177,'C-1 Site River Baseline'!$C$9:$R$257,16,FALSE))</f>
        <v/>
      </c>
      <c r="N177" s="418" t="str">
        <f t="shared" si="17"/>
        <v/>
      </c>
      <c r="O177" s="498" t="str">
        <f t="shared" si="18"/>
        <v/>
      </c>
      <c r="P177" s="499" t="str">
        <f>IF(C177="","",IF(AND(LEFT(C177,55)&lt;&gt;LEFT(N177,55),O177="High - High"),"Error - Not like for like ▲",IF(AND(F177=S177,H177&gt;U177),"Error - Can not reduce condition ▲",IF(AND(F177=S177,H177=U177,AJ177='C-1 Site River Baseline'!N175,'C-1 Site River Baseline'!P175=AL177),"Error - No enhancement ▲",IF(AND(C177&lt;&gt;N177,F177&lt;S177),"Lower Distinctiveness Habitat"&amp;" - "&amp;T177,G177&amp;" - "&amp;T177)))))</f>
        <v/>
      </c>
      <c r="Q177" s="567" t="str">
        <f>IF(N177="","",VLOOKUP(B177,'C-1 Site River Baseline'!$C$10:$AA$257,19,FALSE))</f>
        <v/>
      </c>
      <c r="R177" s="498" t="str">
        <f>IF(N177="","",VLOOKUP(N177,'G-7 Rivers Data'!$B$2:$G$8,2,FALSE))</f>
        <v/>
      </c>
      <c r="S177" s="499" t="str">
        <f>IFERROR(VLOOKUP(R177,'G-7 Rivers Data'!$C$4:$D$8,2,FALSE),"")</f>
        <v/>
      </c>
      <c r="T177" s="145"/>
      <c r="U177" s="499" t="str">
        <f>IFERROR(INDEX('G-7 Rivers Data'!$H$4:$L$8,MATCH(N177,'G-7 Rivers Data'!$B$4:$B$8,0),MATCH(T177,'G-7 Rivers Data'!$H$3:$L$3,0)),"")</f>
        <v/>
      </c>
      <c r="V177" s="154"/>
      <c r="W177" s="507" t="str">
        <f>IF(V177="","",IF(VLOOKUP(V177,'G-7 Rivers Data'!$AG$4:$AI$9,2,FALSE)=0,"Spatial Data Missing ⚠",VLOOKUP(V177,'G-7 Rivers Data'!$AG$4:$AI$9,2,FALSE)))</f>
        <v/>
      </c>
      <c r="X177" s="499" t="str">
        <f>IF(V177="","",IF(VLOOKUP(V177,'G-7 Rivers Data'!$AG$4:$AI$9,3,FALSE)=0,"Spatial Data Missing ⚠",VLOOKUP(V177,'G-7 Rivers Data'!$AG$4:$AI$9,3,FALSE)))</f>
        <v/>
      </c>
      <c r="Y177" s="498" t="str">
        <f>IFERROR(IF(OR(LEFT(P177,5)="Error ▲",LEFT(O177,5)="Error ▲"),"Check Data ⚠",IF(F177&lt;S177,'G-7 Rivers Data'!$R$3,INDEX('G-7 Rivers Data'!$U$5:$Y$9,MATCH(G177,'G-7 Rivers Data'!$T$5:$T$9,0),MATCH(T177,'G-7 Rivers Data'!$U$4:$Y$4,0)))),"")</f>
        <v/>
      </c>
      <c r="Z177" s="195"/>
      <c r="AA177" s="195"/>
      <c r="AB177" s="507" t="str">
        <f t="shared" si="19"/>
        <v/>
      </c>
      <c r="AC177" s="521" t="str">
        <f t="shared" si="20"/>
        <v/>
      </c>
      <c r="AD177" s="564" t="str">
        <f>IFERROR(IF(AC177="Check Data ⚠","Check Data ⚠",VLOOKUP(AC177,'G-4 Temporal multipliers'!$A$4:$C$37,3,FALSE)),"")</f>
        <v/>
      </c>
      <c r="AE177" s="498" t="str">
        <f>IF(N177="","",VLOOKUP(N177,'G-7 Rivers Data'!$B$4:$G$8,5,FALSE))</f>
        <v/>
      </c>
      <c r="AF177" s="507" t="str">
        <f t="shared" si="21"/>
        <v/>
      </c>
      <c r="AG177" s="540" t="str">
        <f t="shared" si="22"/>
        <v/>
      </c>
      <c r="AH177" s="499" t="str">
        <f t="shared" si="16"/>
        <v/>
      </c>
      <c r="AI177" s="145"/>
      <c r="AJ177" s="499" t="str">
        <f>IF(AI177="","",IF(VLOOKUP(AI177,'G-7 Rivers Data'!$AA$4:$AB$7,2,FALSE)=0,"Spatial Data Missing ⚠",VLOOKUP(AI177,'G-7 Rivers Data'!$AA$4:$AB$7,2,FALSE)))</f>
        <v/>
      </c>
      <c r="AK177" s="155"/>
      <c r="AL177" s="499" t="str">
        <f>IF(AK177="","",IF(VLOOKUP(AK177,'G-7 Rivers Data'!$AD$4:$AE$8,2,FALSE)=0,"Spatial Data Missing ⚠",VLOOKUP(AK177,'G-7 Rivers Data'!$AD$4:$AE$8,2,FALSE)))</f>
        <v/>
      </c>
      <c r="AM177" s="545" t="str">
        <f t="shared" si="23"/>
        <v/>
      </c>
      <c r="AN177" s="149"/>
      <c r="AO177" s="150"/>
      <c r="AV177" s="31" t="str">
        <f>IFERROR(INDEX('G-7 Rivers Data'!$AZ$3:$AZ$7,MATCH(N177,'G-7 Rivers Data'!$AY$3:$AY$7,0)),"")</f>
        <v/>
      </c>
    </row>
    <row r="178" spans="2:48" ht="14" x14ac:dyDescent="0.3">
      <c r="B178" s="531" t="str">
        <f>'C-1 Site River Baseline'!AN176</f>
        <v/>
      </c>
      <c r="C178" s="520" t="str">
        <f>IF(B178="","",VLOOKUP($B178,'C-1 Site River Baseline'!$C$9:$R$257,2,FALSE))</f>
        <v/>
      </c>
      <c r="D178" s="520" t="str">
        <f>IF(C178="","",VLOOKUP($B178,'C-1 Site River Baseline'!$C$9:$R$257,3,FALSE))</f>
        <v/>
      </c>
      <c r="E178" s="520" t="str">
        <f>IF(D178="","",VLOOKUP($B178,'C-1 Site River Baseline'!$C$9:$R$257,4,FALSE))</f>
        <v/>
      </c>
      <c r="F178" s="520" t="str">
        <f>IF(E178="","",VLOOKUP($B178,'C-1 Site River Baseline'!$C$9:$R$257,5,FALSE))</f>
        <v/>
      </c>
      <c r="G178" s="520" t="str">
        <f>IF(F178="","",VLOOKUP($B178,'C-1 Site River Baseline'!$C$9:$R$257,6,FALSE))</f>
        <v/>
      </c>
      <c r="H178" s="520" t="str">
        <f>IF(G178="","",VLOOKUP($B178,'C-1 Site River Baseline'!$C$9:$R$257,7,FALSE))</f>
        <v/>
      </c>
      <c r="I178" s="520" t="str">
        <f>IF(H178="","",VLOOKUP($B178,'C-1 Site River Baseline'!$C$9:$R$257,8,FALSE))</f>
        <v/>
      </c>
      <c r="J178" s="520" t="str">
        <f>IF(I178="","",VLOOKUP($B178,'C-1 Site River Baseline'!$C$9:$R$257,9,FALSE))</f>
        <v/>
      </c>
      <c r="K178" s="520" t="str">
        <f>IF(J178="","",VLOOKUP($B178,'C-1 Site River Baseline'!$C$9:$R$257,10,FALSE))</f>
        <v/>
      </c>
      <c r="L178" s="520" t="str">
        <f>IF(B178="","",VLOOKUP($B178,'C-1 Site River Baseline'!$C$9:$R$257,15,FALSE))</f>
        <v/>
      </c>
      <c r="M178" s="524" t="str">
        <f>IF(L178="","",VLOOKUP($B178,'C-1 Site River Baseline'!$C$9:$R$257,16,FALSE))</f>
        <v/>
      </c>
      <c r="N178" s="418" t="str">
        <f t="shared" si="17"/>
        <v/>
      </c>
      <c r="O178" s="498" t="str">
        <f t="shared" si="18"/>
        <v/>
      </c>
      <c r="P178" s="499" t="str">
        <f>IF(C178="","",IF(AND(LEFT(C178,55)&lt;&gt;LEFT(N178,55),O178="High - High"),"Error - Not like for like ▲",IF(AND(F178=S178,H178&gt;U178),"Error - Can not reduce condition ▲",IF(AND(F178=S178,H178=U178,AJ178='C-1 Site River Baseline'!N176,'C-1 Site River Baseline'!P176=AL178),"Error - No enhancement ▲",IF(AND(C178&lt;&gt;N178,F178&lt;S178),"Lower Distinctiveness Habitat"&amp;" - "&amp;T178,G178&amp;" - "&amp;T178)))))</f>
        <v/>
      </c>
      <c r="Q178" s="567" t="str">
        <f>IF(N178="","",VLOOKUP(B178,'C-1 Site River Baseline'!$C$10:$AA$257,19,FALSE))</f>
        <v/>
      </c>
      <c r="R178" s="498" t="str">
        <f>IF(N178="","",VLOOKUP(N178,'G-7 Rivers Data'!$B$2:$G$8,2,FALSE))</f>
        <v/>
      </c>
      <c r="S178" s="499" t="str">
        <f>IFERROR(VLOOKUP(R178,'G-7 Rivers Data'!$C$4:$D$8,2,FALSE),"")</f>
        <v/>
      </c>
      <c r="T178" s="145"/>
      <c r="U178" s="499" t="str">
        <f>IFERROR(INDEX('G-7 Rivers Data'!$H$4:$L$8,MATCH(N178,'G-7 Rivers Data'!$B$4:$B$8,0),MATCH(T178,'G-7 Rivers Data'!$H$3:$L$3,0)),"")</f>
        <v/>
      </c>
      <c r="V178" s="154"/>
      <c r="W178" s="507" t="str">
        <f>IF(V178="","",IF(VLOOKUP(V178,'G-7 Rivers Data'!$AG$4:$AI$9,2,FALSE)=0,"Spatial Data Missing ⚠",VLOOKUP(V178,'G-7 Rivers Data'!$AG$4:$AI$9,2,FALSE)))</f>
        <v/>
      </c>
      <c r="X178" s="499" t="str">
        <f>IF(V178="","",IF(VLOOKUP(V178,'G-7 Rivers Data'!$AG$4:$AI$9,3,FALSE)=0,"Spatial Data Missing ⚠",VLOOKUP(V178,'G-7 Rivers Data'!$AG$4:$AI$9,3,FALSE)))</f>
        <v/>
      </c>
      <c r="Y178" s="498" t="str">
        <f>IFERROR(IF(OR(LEFT(P178,5)="Error ▲",LEFT(O178,5)="Error ▲"),"Check Data ⚠",IF(F178&lt;S178,'G-7 Rivers Data'!$R$3,INDEX('G-7 Rivers Data'!$U$5:$Y$9,MATCH(G178,'G-7 Rivers Data'!$T$5:$T$9,0),MATCH(T178,'G-7 Rivers Data'!$U$4:$Y$4,0)))),"")</f>
        <v/>
      </c>
      <c r="Z178" s="195"/>
      <c r="AA178" s="195"/>
      <c r="AB178" s="507" t="str">
        <f t="shared" si="19"/>
        <v/>
      </c>
      <c r="AC178" s="521" t="str">
        <f t="shared" si="20"/>
        <v/>
      </c>
      <c r="AD178" s="564" t="str">
        <f>IFERROR(IF(AC178="Check Data ⚠","Check Data ⚠",VLOOKUP(AC178,'G-4 Temporal multipliers'!$A$4:$C$37,3,FALSE)),"")</f>
        <v/>
      </c>
      <c r="AE178" s="498" t="str">
        <f>IF(N178="","",VLOOKUP(N178,'G-7 Rivers Data'!$B$4:$G$8,5,FALSE))</f>
        <v/>
      </c>
      <c r="AF178" s="507" t="str">
        <f t="shared" si="21"/>
        <v/>
      </c>
      <c r="AG178" s="540" t="str">
        <f t="shared" si="22"/>
        <v/>
      </c>
      <c r="AH178" s="499" t="str">
        <f t="shared" si="16"/>
        <v/>
      </c>
      <c r="AI178" s="145"/>
      <c r="AJ178" s="499" t="str">
        <f>IF(AI178="","",IF(VLOOKUP(AI178,'G-7 Rivers Data'!$AA$4:$AB$7,2,FALSE)=0,"Spatial Data Missing ⚠",VLOOKUP(AI178,'G-7 Rivers Data'!$AA$4:$AB$7,2,FALSE)))</f>
        <v/>
      </c>
      <c r="AK178" s="155"/>
      <c r="AL178" s="499" t="str">
        <f>IF(AK178="","",IF(VLOOKUP(AK178,'G-7 Rivers Data'!$AD$4:$AE$8,2,FALSE)=0,"Spatial Data Missing ⚠",VLOOKUP(AK178,'G-7 Rivers Data'!$AD$4:$AE$8,2,FALSE)))</f>
        <v/>
      </c>
      <c r="AM178" s="545" t="str">
        <f t="shared" si="23"/>
        <v/>
      </c>
      <c r="AN178" s="149"/>
      <c r="AO178" s="150"/>
      <c r="AV178" s="31" t="str">
        <f>IFERROR(INDEX('G-7 Rivers Data'!$AZ$3:$AZ$7,MATCH(N178,'G-7 Rivers Data'!$AY$3:$AY$7,0)),"")</f>
        <v/>
      </c>
    </row>
    <row r="179" spans="2:48" ht="14" x14ac:dyDescent="0.3">
      <c r="B179" s="531" t="str">
        <f>'C-1 Site River Baseline'!AN177</f>
        <v/>
      </c>
      <c r="C179" s="520" t="str">
        <f>IF(B179="","",VLOOKUP($B179,'C-1 Site River Baseline'!$C$9:$R$257,2,FALSE))</f>
        <v/>
      </c>
      <c r="D179" s="520" t="str">
        <f>IF(C179="","",VLOOKUP($B179,'C-1 Site River Baseline'!$C$9:$R$257,3,FALSE))</f>
        <v/>
      </c>
      <c r="E179" s="520" t="str">
        <f>IF(D179="","",VLOOKUP($B179,'C-1 Site River Baseline'!$C$9:$R$257,4,FALSE))</f>
        <v/>
      </c>
      <c r="F179" s="520" t="str">
        <f>IF(E179="","",VLOOKUP($B179,'C-1 Site River Baseline'!$C$9:$R$257,5,FALSE))</f>
        <v/>
      </c>
      <c r="G179" s="520" t="str">
        <f>IF(F179="","",VLOOKUP($B179,'C-1 Site River Baseline'!$C$9:$R$257,6,FALSE))</f>
        <v/>
      </c>
      <c r="H179" s="520" t="str">
        <f>IF(G179="","",VLOOKUP($B179,'C-1 Site River Baseline'!$C$9:$R$257,7,FALSE))</f>
        <v/>
      </c>
      <c r="I179" s="520" t="str">
        <f>IF(H179="","",VLOOKUP($B179,'C-1 Site River Baseline'!$C$9:$R$257,8,FALSE))</f>
        <v/>
      </c>
      <c r="J179" s="520" t="str">
        <f>IF(I179="","",VLOOKUP($B179,'C-1 Site River Baseline'!$C$9:$R$257,9,FALSE))</f>
        <v/>
      </c>
      <c r="K179" s="520" t="str">
        <f>IF(J179="","",VLOOKUP($B179,'C-1 Site River Baseline'!$C$9:$R$257,10,FALSE))</f>
        <v/>
      </c>
      <c r="L179" s="520" t="str">
        <f>IF(B179="","",VLOOKUP($B179,'C-1 Site River Baseline'!$C$9:$R$257,15,FALSE))</f>
        <v/>
      </c>
      <c r="M179" s="524" t="str">
        <f>IF(L179="","",VLOOKUP($B179,'C-1 Site River Baseline'!$C$9:$R$257,16,FALSE))</f>
        <v/>
      </c>
      <c r="N179" s="418" t="str">
        <f t="shared" si="17"/>
        <v/>
      </c>
      <c r="O179" s="498" t="str">
        <f t="shared" si="18"/>
        <v/>
      </c>
      <c r="P179" s="499" t="str">
        <f>IF(C179="","",IF(AND(LEFT(C179,55)&lt;&gt;LEFT(N179,55),O179="High - High"),"Error - Not like for like ▲",IF(AND(F179=S179,H179&gt;U179),"Error - Can not reduce condition ▲",IF(AND(F179=S179,H179=U179,AJ179='C-1 Site River Baseline'!N177,'C-1 Site River Baseline'!P177=AL179),"Error - No enhancement ▲",IF(AND(C179&lt;&gt;N179,F179&lt;S179),"Lower Distinctiveness Habitat"&amp;" - "&amp;T179,G179&amp;" - "&amp;T179)))))</f>
        <v/>
      </c>
      <c r="Q179" s="567" t="str">
        <f>IF(N179="","",VLOOKUP(B179,'C-1 Site River Baseline'!$C$10:$AA$257,19,FALSE))</f>
        <v/>
      </c>
      <c r="R179" s="498" t="str">
        <f>IF(N179="","",VLOOKUP(N179,'G-7 Rivers Data'!$B$2:$G$8,2,FALSE))</f>
        <v/>
      </c>
      <c r="S179" s="499" t="str">
        <f>IFERROR(VLOOKUP(R179,'G-7 Rivers Data'!$C$4:$D$8,2,FALSE),"")</f>
        <v/>
      </c>
      <c r="T179" s="145"/>
      <c r="U179" s="499" t="str">
        <f>IFERROR(INDEX('G-7 Rivers Data'!$H$4:$L$8,MATCH(N179,'G-7 Rivers Data'!$B$4:$B$8,0),MATCH(T179,'G-7 Rivers Data'!$H$3:$L$3,0)),"")</f>
        <v/>
      </c>
      <c r="V179" s="154"/>
      <c r="W179" s="507" t="str">
        <f>IF(V179="","",IF(VLOOKUP(V179,'G-7 Rivers Data'!$AG$4:$AI$9,2,FALSE)=0,"Spatial Data Missing ⚠",VLOOKUP(V179,'G-7 Rivers Data'!$AG$4:$AI$9,2,FALSE)))</f>
        <v/>
      </c>
      <c r="X179" s="499" t="str">
        <f>IF(V179="","",IF(VLOOKUP(V179,'G-7 Rivers Data'!$AG$4:$AI$9,3,FALSE)=0,"Spatial Data Missing ⚠",VLOOKUP(V179,'G-7 Rivers Data'!$AG$4:$AI$9,3,FALSE)))</f>
        <v/>
      </c>
      <c r="Y179" s="498" t="str">
        <f>IFERROR(IF(OR(LEFT(P179,5)="Error ▲",LEFT(O179,5)="Error ▲"),"Check Data ⚠",IF(F179&lt;S179,'G-7 Rivers Data'!$R$3,INDEX('G-7 Rivers Data'!$U$5:$Y$9,MATCH(G179,'G-7 Rivers Data'!$T$5:$T$9,0),MATCH(T179,'G-7 Rivers Data'!$U$4:$Y$4,0)))),"")</f>
        <v/>
      </c>
      <c r="Z179" s="195"/>
      <c r="AA179" s="195"/>
      <c r="AB179" s="507" t="str">
        <f t="shared" si="19"/>
        <v/>
      </c>
      <c r="AC179" s="521" t="str">
        <f t="shared" si="20"/>
        <v/>
      </c>
      <c r="AD179" s="564" t="str">
        <f>IFERROR(IF(AC179="Check Data ⚠","Check Data ⚠",VLOOKUP(AC179,'G-4 Temporal multipliers'!$A$4:$C$37,3,FALSE)),"")</f>
        <v/>
      </c>
      <c r="AE179" s="498" t="str">
        <f>IF(N179="","",VLOOKUP(N179,'G-7 Rivers Data'!$B$4:$G$8,5,FALSE))</f>
        <v/>
      </c>
      <c r="AF179" s="507" t="str">
        <f t="shared" si="21"/>
        <v/>
      </c>
      <c r="AG179" s="540" t="str">
        <f t="shared" si="22"/>
        <v/>
      </c>
      <c r="AH179" s="499" t="str">
        <f t="shared" si="16"/>
        <v/>
      </c>
      <c r="AI179" s="145"/>
      <c r="AJ179" s="499" t="str">
        <f>IF(AI179="","",IF(VLOOKUP(AI179,'G-7 Rivers Data'!$AA$4:$AB$7,2,FALSE)=0,"Spatial Data Missing ⚠",VLOOKUP(AI179,'G-7 Rivers Data'!$AA$4:$AB$7,2,FALSE)))</f>
        <v/>
      </c>
      <c r="AK179" s="155"/>
      <c r="AL179" s="499" t="str">
        <f>IF(AK179="","",IF(VLOOKUP(AK179,'G-7 Rivers Data'!$AD$4:$AE$8,2,FALSE)=0,"Spatial Data Missing ⚠",VLOOKUP(AK179,'G-7 Rivers Data'!$AD$4:$AE$8,2,FALSE)))</f>
        <v/>
      </c>
      <c r="AM179" s="545" t="str">
        <f t="shared" si="23"/>
        <v/>
      </c>
      <c r="AN179" s="149"/>
      <c r="AO179" s="150"/>
      <c r="AV179" s="31" t="str">
        <f>IFERROR(INDEX('G-7 Rivers Data'!$AZ$3:$AZ$7,MATCH(N179,'G-7 Rivers Data'!$AY$3:$AY$7,0)),"")</f>
        <v/>
      </c>
    </row>
    <row r="180" spans="2:48" ht="14" x14ac:dyDescent="0.3">
      <c r="B180" s="531" t="str">
        <f>'C-1 Site River Baseline'!AN178</f>
        <v/>
      </c>
      <c r="C180" s="520" t="str">
        <f>IF(B180="","",VLOOKUP($B180,'C-1 Site River Baseline'!$C$9:$R$257,2,FALSE))</f>
        <v/>
      </c>
      <c r="D180" s="520" t="str">
        <f>IF(C180="","",VLOOKUP($B180,'C-1 Site River Baseline'!$C$9:$R$257,3,FALSE))</f>
        <v/>
      </c>
      <c r="E180" s="520" t="str">
        <f>IF(D180="","",VLOOKUP($B180,'C-1 Site River Baseline'!$C$9:$R$257,4,FALSE))</f>
        <v/>
      </c>
      <c r="F180" s="520" t="str">
        <f>IF(E180="","",VLOOKUP($B180,'C-1 Site River Baseline'!$C$9:$R$257,5,FALSE))</f>
        <v/>
      </c>
      <c r="G180" s="520" t="str">
        <f>IF(F180="","",VLOOKUP($B180,'C-1 Site River Baseline'!$C$9:$R$257,6,FALSE))</f>
        <v/>
      </c>
      <c r="H180" s="520" t="str">
        <f>IF(G180="","",VLOOKUP($B180,'C-1 Site River Baseline'!$C$9:$R$257,7,FALSE))</f>
        <v/>
      </c>
      <c r="I180" s="520" t="str">
        <f>IF(H180="","",VLOOKUP($B180,'C-1 Site River Baseline'!$C$9:$R$257,8,FALSE))</f>
        <v/>
      </c>
      <c r="J180" s="520" t="str">
        <f>IF(I180="","",VLOOKUP($B180,'C-1 Site River Baseline'!$C$9:$R$257,9,FALSE))</f>
        <v/>
      </c>
      <c r="K180" s="520" t="str">
        <f>IF(J180="","",VLOOKUP($B180,'C-1 Site River Baseline'!$C$9:$R$257,10,FALSE))</f>
        <v/>
      </c>
      <c r="L180" s="520" t="str">
        <f>IF(B180="","",VLOOKUP($B180,'C-1 Site River Baseline'!$C$9:$R$257,15,FALSE))</f>
        <v/>
      </c>
      <c r="M180" s="524" t="str">
        <f>IF(L180="","",VLOOKUP($B180,'C-1 Site River Baseline'!$C$9:$R$257,16,FALSE))</f>
        <v/>
      </c>
      <c r="N180" s="418" t="str">
        <f t="shared" si="17"/>
        <v/>
      </c>
      <c r="O180" s="498" t="str">
        <f t="shared" si="18"/>
        <v/>
      </c>
      <c r="P180" s="499" t="str">
        <f>IF(C180="","",IF(AND(LEFT(C180,55)&lt;&gt;LEFT(N180,55),O180="High - High"),"Error - Not like for like ▲",IF(AND(F180=S180,H180&gt;U180),"Error - Can not reduce condition ▲",IF(AND(F180=S180,H180=U180,AJ180='C-1 Site River Baseline'!N178,'C-1 Site River Baseline'!P178=AL180),"Error - No enhancement ▲",IF(AND(C180&lt;&gt;N180,F180&lt;S180),"Lower Distinctiveness Habitat"&amp;" - "&amp;T180,G180&amp;" - "&amp;T180)))))</f>
        <v/>
      </c>
      <c r="Q180" s="567" t="str">
        <f>IF(N180="","",VLOOKUP(B180,'C-1 Site River Baseline'!$C$10:$AA$257,19,FALSE))</f>
        <v/>
      </c>
      <c r="R180" s="498" t="str">
        <f>IF(N180="","",VLOOKUP(N180,'G-7 Rivers Data'!$B$2:$G$8,2,FALSE))</f>
        <v/>
      </c>
      <c r="S180" s="499" t="str">
        <f>IFERROR(VLOOKUP(R180,'G-7 Rivers Data'!$C$4:$D$8,2,FALSE),"")</f>
        <v/>
      </c>
      <c r="T180" s="145"/>
      <c r="U180" s="499" t="str">
        <f>IFERROR(INDEX('G-7 Rivers Data'!$H$4:$L$8,MATCH(N180,'G-7 Rivers Data'!$B$4:$B$8,0),MATCH(T180,'G-7 Rivers Data'!$H$3:$L$3,0)),"")</f>
        <v/>
      </c>
      <c r="V180" s="154"/>
      <c r="W180" s="507" t="str">
        <f>IF(V180="","",IF(VLOOKUP(V180,'G-7 Rivers Data'!$AG$4:$AI$9,2,FALSE)=0,"Spatial Data Missing ⚠",VLOOKUP(V180,'G-7 Rivers Data'!$AG$4:$AI$9,2,FALSE)))</f>
        <v/>
      </c>
      <c r="X180" s="499" t="str">
        <f>IF(V180="","",IF(VLOOKUP(V180,'G-7 Rivers Data'!$AG$4:$AI$9,3,FALSE)=0,"Spatial Data Missing ⚠",VLOOKUP(V180,'G-7 Rivers Data'!$AG$4:$AI$9,3,FALSE)))</f>
        <v/>
      </c>
      <c r="Y180" s="498" t="str">
        <f>IFERROR(IF(OR(LEFT(P180,5)="Error ▲",LEFT(O180,5)="Error ▲"),"Check Data ⚠",IF(F180&lt;S180,'G-7 Rivers Data'!$R$3,INDEX('G-7 Rivers Data'!$U$5:$Y$9,MATCH(G180,'G-7 Rivers Data'!$T$5:$T$9,0),MATCH(T180,'G-7 Rivers Data'!$U$4:$Y$4,0)))),"")</f>
        <v/>
      </c>
      <c r="Z180" s="195"/>
      <c r="AA180" s="195"/>
      <c r="AB180" s="507" t="str">
        <f t="shared" si="19"/>
        <v/>
      </c>
      <c r="AC180" s="521" t="str">
        <f t="shared" si="20"/>
        <v/>
      </c>
      <c r="AD180" s="564" t="str">
        <f>IFERROR(IF(AC180="Check Data ⚠","Check Data ⚠",VLOOKUP(AC180,'G-4 Temporal multipliers'!$A$4:$C$37,3,FALSE)),"")</f>
        <v/>
      </c>
      <c r="AE180" s="498" t="str">
        <f>IF(N180="","",VLOOKUP(N180,'G-7 Rivers Data'!$B$4:$G$8,5,FALSE))</f>
        <v/>
      </c>
      <c r="AF180" s="507" t="str">
        <f t="shared" si="21"/>
        <v/>
      </c>
      <c r="AG180" s="540" t="str">
        <f t="shared" si="22"/>
        <v/>
      </c>
      <c r="AH180" s="499" t="str">
        <f t="shared" si="16"/>
        <v/>
      </c>
      <c r="AI180" s="145"/>
      <c r="AJ180" s="499" t="str">
        <f>IF(AI180="","",IF(VLOOKUP(AI180,'G-7 Rivers Data'!$AA$4:$AB$7,2,FALSE)=0,"Spatial Data Missing ⚠",VLOOKUP(AI180,'G-7 Rivers Data'!$AA$4:$AB$7,2,FALSE)))</f>
        <v/>
      </c>
      <c r="AK180" s="155"/>
      <c r="AL180" s="499" t="str">
        <f>IF(AK180="","",IF(VLOOKUP(AK180,'G-7 Rivers Data'!$AD$4:$AE$8,2,FALSE)=0,"Spatial Data Missing ⚠",VLOOKUP(AK180,'G-7 Rivers Data'!$AD$4:$AE$8,2,FALSE)))</f>
        <v/>
      </c>
      <c r="AM180" s="545" t="str">
        <f t="shared" si="23"/>
        <v/>
      </c>
      <c r="AN180" s="149"/>
      <c r="AO180" s="150"/>
      <c r="AV180" s="31" t="str">
        <f>IFERROR(INDEX('G-7 Rivers Data'!$AZ$3:$AZ$7,MATCH(N180,'G-7 Rivers Data'!$AY$3:$AY$7,0)),"")</f>
        <v/>
      </c>
    </row>
    <row r="181" spans="2:48" ht="14" x14ac:dyDescent="0.3">
      <c r="B181" s="531" t="str">
        <f>'C-1 Site River Baseline'!AN179</f>
        <v/>
      </c>
      <c r="C181" s="520" t="str">
        <f>IF(B181="","",VLOOKUP($B181,'C-1 Site River Baseline'!$C$9:$R$257,2,FALSE))</f>
        <v/>
      </c>
      <c r="D181" s="520" t="str">
        <f>IF(C181="","",VLOOKUP($B181,'C-1 Site River Baseline'!$C$9:$R$257,3,FALSE))</f>
        <v/>
      </c>
      <c r="E181" s="520" t="str">
        <f>IF(D181="","",VLOOKUP($B181,'C-1 Site River Baseline'!$C$9:$R$257,4,FALSE))</f>
        <v/>
      </c>
      <c r="F181" s="520" t="str">
        <f>IF(E181="","",VLOOKUP($B181,'C-1 Site River Baseline'!$C$9:$R$257,5,FALSE))</f>
        <v/>
      </c>
      <c r="G181" s="520" t="str">
        <f>IF(F181="","",VLOOKUP($B181,'C-1 Site River Baseline'!$C$9:$R$257,6,FALSE))</f>
        <v/>
      </c>
      <c r="H181" s="520" t="str">
        <f>IF(G181="","",VLOOKUP($B181,'C-1 Site River Baseline'!$C$9:$R$257,7,FALSE))</f>
        <v/>
      </c>
      <c r="I181" s="520" t="str">
        <f>IF(H181="","",VLOOKUP($B181,'C-1 Site River Baseline'!$C$9:$R$257,8,FALSE))</f>
        <v/>
      </c>
      <c r="J181" s="520" t="str">
        <f>IF(I181="","",VLOOKUP($B181,'C-1 Site River Baseline'!$C$9:$R$257,9,FALSE))</f>
        <v/>
      </c>
      <c r="K181" s="520" t="str">
        <f>IF(J181="","",VLOOKUP($B181,'C-1 Site River Baseline'!$C$9:$R$257,10,FALSE))</f>
        <v/>
      </c>
      <c r="L181" s="520" t="str">
        <f>IF(B181="","",VLOOKUP($B181,'C-1 Site River Baseline'!$C$9:$R$257,15,FALSE))</f>
        <v/>
      </c>
      <c r="M181" s="524" t="str">
        <f>IF(L181="","",VLOOKUP($B181,'C-1 Site River Baseline'!$C$9:$R$257,16,FALSE))</f>
        <v/>
      </c>
      <c r="N181" s="418" t="str">
        <f t="shared" si="17"/>
        <v/>
      </c>
      <c r="O181" s="498" t="str">
        <f t="shared" si="18"/>
        <v/>
      </c>
      <c r="P181" s="499" t="str">
        <f>IF(C181="","",IF(AND(LEFT(C181,55)&lt;&gt;LEFT(N181,55),O181="High - High"),"Error - Not like for like ▲",IF(AND(F181=S181,H181&gt;U181),"Error - Can not reduce condition ▲",IF(AND(F181=S181,H181=U181,AJ181='C-1 Site River Baseline'!N179,'C-1 Site River Baseline'!P179=AL181),"Error - No enhancement ▲",IF(AND(C181&lt;&gt;N181,F181&lt;S181),"Lower Distinctiveness Habitat"&amp;" - "&amp;T181,G181&amp;" - "&amp;T181)))))</f>
        <v/>
      </c>
      <c r="Q181" s="567" t="str">
        <f>IF(N181="","",VLOOKUP(B181,'C-1 Site River Baseline'!$C$10:$AA$257,19,FALSE))</f>
        <v/>
      </c>
      <c r="R181" s="498" t="str">
        <f>IF(N181="","",VLOOKUP(N181,'G-7 Rivers Data'!$B$2:$G$8,2,FALSE))</f>
        <v/>
      </c>
      <c r="S181" s="499" t="str">
        <f>IFERROR(VLOOKUP(R181,'G-7 Rivers Data'!$C$4:$D$8,2,FALSE),"")</f>
        <v/>
      </c>
      <c r="T181" s="145"/>
      <c r="U181" s="499" t="str">
        <f>IFERROR(INDEX('G-7 Rivers Data'!$H$4:$L$8,MATCH(N181,'G-7 Rivers Data'!$B$4:$B$8,0),MATCH(T181,'G-7 Rivers Data'!$H$3:$L$3,0)),"")</f>
        <v/>
      </c>
      <c r="V181" s="154"/>
      <c r="W181" s="507" t="str">
        <f>IF(V181="","",IF(VLOOKUP(V181,'G-7 Rivers Data'!$AG$4:$AI$9,2,FALSE)=0,"Spatial Data Missing ⚠",VLOOKUP(V181,'G-7 Rivers Data'!$AG$4:$AI$9,2,FALSE)))</f>
        <v/>
      </c>
      <c r="X181" s="499" t="str">
        <f>IF(V181="","",IF(VLOOKUP(V181,'G-7 Rivers Data'!$AG$4:$AI$9,3,FALSE)=0,"Spatial Data Missing ⚠",VLOOKUP(V181,'G-7 Rivers Data'!$AG$4:$AI$9,3,FALSE)))</f>
        <v/>
      </c>
      <c r="Y181" s="498" t="str">
        <f>IFERROR(IF(OR(LEFT(P181,5)="Error ▲",LEFT(O181,5)="Error ▲"),"Check Data ⚠",IF(F181&lt;S181,'G-7 Rivers Data'!$R$3,INDEX('G-7 Rivers Data'!$U$5:$Y$9,MATCH(G181,'G-7 Rivers Data'!$T$5:$T$9,0),MATCH(T181,'G-7 Rivers Data'!$U$4:$Y$4,0)))),"")</f>
        <v/>
      </c>
      <c r="Z181" s="195"/>
      <c r="AA181" s="195"/>
      <c r="AB181" s="507" t="str">
        <f t="shared" si="19"/>
        <v/>
      </c>
      <c r="AC181" s="521" t="str">
        <f t="shared" si="20"/>
        <v/>
      </c>
      <c r="AD181" s="564" t="str">
        <f>IFERROR(IF(AC181="Check Data ⚠","Check Data ⚠",VLOOKUP(AC181,'G-4 Temporal multipliers'!$A$4:$C$37,3,FALSE)),"")</f>
        <v/>
      </c>
      <c r="AE181" s="498" t="str">
        <f>IF(N181="","",VLOOKUP(N181,'G-7 Rivers Data'!$B$4:$G$8,5,FALSE))</f>
        <v/>
      </c>
      <c r="AF181" s="507" t="str">
        <f t="shared" si="21"/>
        <v/>
      </c>
      <c r="AG181" s="540" t="str">
        <f t="shared" si="22"/>
        <v/>
      </c>
      <c r="AH181" s="499" t="str">
        <f t="shared" si="16"/>
        <v/>
      </c>
      <c r="AI181" s="145"/>
      <c r="AJ181" s="499" t="str">
        <f>IF(AI181="","",IF(VLOOKUP(AI181,'G-7 Rivers Data'!$AA$4:$AB$7,2,FALSE)=0,"Spatial Data Missing ⚠",VLOOKUP(AI181,'G-7 Rivers Data'!$AA$4:$AB$7,2,FALSE)))</f>
        <v/>
      </c>
      <c r="AK181" s="155"/>
      <c r="AL181" s="499" t="str">
        <f>IF(AK181="","",IF(VLOOKUP(AK181,'G-7 Rivers Data'!$AD$4:$AE$8,2,FALSE)=0,"Spatial Data Missing ⚠",VLOOKUP(AK181,'G-7 Rivers Data'!$AD$4:$AE$8,2,FALSE)))</f>
        <v/>
      </c>
      <c r="AM181" s="545" t="str">
        <f t="shared" si="23"/>
        <v/>
      </c>
      <c r="AN181" s="149"/>
      <c r="AO181" s="150"/>
      <c r="AV181" s="31" t="str">
        <f>IFERROR(INDEX('G-7 Rivers Data'!$AZ$3:$AZ$7,MATCH(N181,'G-7 Rivers Data'!$AY$3:$AY$7,0)),"")</f>
        <v/>
      </c>
    </row>
    <row r="182" spans="2:48" ht="14" x14ac:dyDescent="0.3">
      <c r="B182" s="531" t="str">
        <f>'C-1 Site River Baseline'!AN180</f>
        <v/>
      </c>
      <c r="C182" s="520" t="str">
        <f>IF(B182="","",VLOOKUP($B182,'C-1 Site River Baseline'!$C$9:$R$257,2,FALSE))</f>
        <v/>
      </c>
      <c r="D182" s="520" t="str">
        <f>IF(C182="","",VLOOKUP($B182,'C-1 Site River Baseline'!$C$9:$R$257,3,FALSE))</f>
        <v/>
      </c>
      <c r="E182" s="520" t="str">
        <f>IF(D182="","",VLOOKUP($B182,'C-1 Site River Baseline'!$C$9:$R$257,4,FALSE))</f>
        <v/>
      </c>
      <c r="F182" s="520" t="str">
        <f>IF(E182="","",VLOOKUP($B182,'C-1 Site River Baseline'!$C$9:$R$257,5,FALSE))</f>
        <v/>
      </c>
      <c r="G182" s="520" t="str">
        <f>IF(F182="","",VLOOKUP($B182,'C-1 Site River Baseline'!$C$9:$R$257,6,FALSE))</f>
        <v/>
      </c>
      <c r="H182" s="520" t="str">
        <f>IF(G182="","",VLOOKUP($B182,'C-1 Site River Baseline'!$C$9:$R$257,7,FALSE))</f>
        <v/>
      </c>
      <c r="I182" s="520" t="str">
        <f>IF(H182="","",VLOOKUP($B182,'C-1 Site River Baseline'!$C$9:$R$257,8,FALSE))</f>
        <v/>
      </c>
      <c r="J182" s="520" t="str">
        <f>IF(I182="","",VLOOKUP($B182,'C-1 Site River Baseline'!$C$9:$R$257,9,FALSE))</f>
        <v/>
      </c>
      <c r="K182" s="520" t="str">
        <f>IF(J182="","",VLOOKUP($B182,'C-1 Site River Baseline'!$C$9:$R$257,10,FALSE))</f>
        <v/>
      </c>
      <c r="L182" s="520" t="str">
        <f>IF(B182="","",VLOOKUP($B182,'C-1 Site River Baseline'!$C$9:$R$257,15,FALSE))</f>
        <v/>
      </c>
      <c r="M182" s="524" t="str">
        <f>IF(L182="","",VLOOKUP($B182,'C-1 Site River Baseline'!$C$9:$R$257,16,FALSE))</f>
        <v/>
      </c>
      <c r="N182" s="418" t="str">
        <f t="shared" si="17"/>
        <v/>
      </c>
      <c r="O182" s="498" t="str">
        <f t="shared" si="18"/>
        <v/>
      </c>
      <c r="P182" s="499" t="str">
        <f>IF(C182="","",IF(AND(LEFT(C182,55)&lt;&gt;LEFT(N182,55),O182="High - High"),"Error - Not like for like ▲",IF(AND(F182=S182,H182&gt;U182),"Error - Can not reduce condition ▲",IF(AND(F182=S182,H182=U182,AJ182='C-1 Site River Baseline'!N180,'C-1 Site River Baseline'!P180=AL182),"Error - No enhancement ▲",IF(AND(C182&lt;&gt;N182,F182&lt;S182),"Lower Distinctiveness Habitat"&amp;" - "&amp;T182,G182&amp;" - "&amp;T182)))))</f>
        <v/>
      </c>
      <c r="Q182" s="567" t="str">
        <f>IF(N182="","",VLOOKUP(B182,'C-1 Site River Baseline'!$C$10:$AA$257,19,FALSE))</f>
        <v/>
      </c>
      <c r="R182" s="498" t="str">
        <f>IF(N182="","",VLOOKUP(N182,'G-7 Rivers Data'!$B$2:$G$8,2,FALSE))</f>
        <v/>
      </c>
      <c r="S182" s="499" t="str">
        <f>IFERROR(VLOOKUP(R182,'G-7 Rivers Data'!$C$4:$D$8,2,FALSE),"")</f>
        <v/>
      </c>
      <c r="T182" s="145"/>
      <c r="U182" s="499" t="str">
        <f>IFERROR(INDEX('G-7 Rivers Data'!$H$4:$L$8,MATCH(N182,'G-7 Rivers Data'!$B$4:$B$8,0),MATCH(T182,'G-7 Rivers Data'!$H$3:$L$3,0)),"")</f>
        <v/>
      </c>
      <c r="V182" s="154"/>
      <c r="W182" s="507" t="str">
        <f>IF(V182="","",IF(VLOOKUP(V182,'G-7 Rivers Data'!$AG$4:$AI$9,2,FALSE)=0,"Spatial Data Missing ⚠",VLOOKUP(V182,'G-7 Rivers Data'!$AG$4:$AI$9,2,FALSE)))</f>
        <v/>
      </c>
      <c r="X182" s="499" t="str">
        <f>IF(V182="","",IF(VLOOKUP(V182,'G-7 Rivers Data'!$AG$4:$AI$9,3,FALSE)=0,"Spatial Data Missing ⚠",VLOOKUP(V182,'G-7 Rivers Data'!$AG$4:$AI$9,3,FALSE)))</f>
        <v/>
      </c>
      <c r="Y182" s="498" t="str">
        <f>IFERROR(IF(OR(LEFT(P182,5)="Error ▲",LEFT(O182,5)="Error ▲"),"Check Data ⚠",IF(F182&lt;S182,'G-7 Rivers Data'!$R$3,INDEX('G-7 Rivers Data'!$U$5:$Y$9,MATCH(G182,'G-7 Rivers Data'!$T$5:$T$9,0),MATCH(T182,'G-7 Rivers Data'!$U$4:$Y$4,0)))),"")</f>
        <v/>
      </c>
      <c r="Z182" s="195"/>
      <c r="AA182" s="195"/>
      <c r="AB182" s="507" t="str">
        <f t="shared" si="19"/>
        <v/>
      </c>
      <c r="AC182" s="521" t="str">
        <f t="shared" si="20"/>
        <v/>
      </c>
      <c r="AD182" s="564" t="str">
        <f>IFERROR(IF(AC182="Check Data ⚠","Check Data ⚠",VLOOKUP(AC182,'G-4 Temporal multipliers'!$A$4:$C$37,3,FALSE)),"")</f>
        <v/>
      </c>
      <c r="AE182" s="498" t="str">
        <f>IF(N182="","",VLOOKUP(N182,'G-7 Rivers Data'!$B$4:$G$8,5,FALSE))</f>
        <v/>
      </c>
      <c r="AF182" s="507" t="str">
        <f t="shared" si="21"/>
        <v/>
      </c>
      <c r="AG182" s="540" t="str">
        <f t="shared" si="22"/>
        <v/>
      </c>
      <c r="AH182" s="499" t="str">
        <f t="shared" si="16"/>
        <v/>
      </c>
      <c r="AI182" s="145"/>
      <c r="AJ182" s="499" t="str">
        <f>IF(AI182="","",IF(VLOOKUP(AI182,'G-7 Rivers Data'!$AA$4:$AB$7,2,FALSE)=0,"Spatial Data Missing ⚠",VLOOKUP(AI182,'G-7 Rivers Data'!$AA$4:$AB$7,2,FALSE)))</f>
        <v/>
      </c>
      <c r="AK182" s="155"/>
      <c r="AL182" s="499" t="str">
        <f>IF(AK182="","",IF(VLOOKUP(AK182,'G-7 Rivers Data'!$AD$4:$AE$8,2,FALSE)=0,"Spatial Data Missing ⚠",VLOOKUP(AK182,'G-7 Rivers Data'!$AD$4:$AE$8,2,FALSE)))</f>
        <v/>
      </c>
      <c r="AM182" s="545" t="str">
        <f t="shared" si="23"/>
        <v/>
      </c>
      <c r="AN182" s="149"/>
      <c r="AO182" s="150"/>
      <c r="AV182" s="31" t="str">
        <f>IFERROR(INDEX('G-7 Rivers Data'!$AZ$3:$AZ$7,MATCH(N182,'G-7 Rivers Data'!$AY$3:$AY$7,0)),"")</f>
        <v/>
      </c>
    </row>
    <row r="183" spans="2:48" ht="14" x14ac:dyDescent="0.3">
      <c r="B183" s="531" t="str">
        <f>'C-1 Site River Baseline'!AN181</f>
        <v/>
      </c>
      <c r="C183" s="520" t="str">
        <f>IF(B183="","",VLOOKUP($B183,'C-1 Site River Baseline'!$C$9:$R$257,2,FALSE))</f>
        <v/>
      </c>
      <c r="D183" s="520" t="str">
        <f>IF(C183="","",VLOOKUP($B183,'C-1 Site River Baseline'!$C$9:$R$257,3,FALSE))</f>
        <v/>
      </c>
      <c r="E183" s="520" t="str">
        <f>IF(D183="","",VLOOKUP($B183,'C-1 Site River Baseline'!$C$9:$R$257,4,FALSE))</f>
        <v/>
      </c>
      <c r="F183" s="520" t="str">
        <f>IF(E183="","",VLOOKUP($B183,'C-1 Site River Baseline'!$C$9:$R$257,5,FALSE))</f>
        <v/>
      </c>
      <c r="G183" s="520" t="str">
        <f>IF(F183="","",VLOOKUP($B183,'C-1 Site River Baseline'!$C$9:$R$257,6,FALSE))</f>
        <v/>
      </c>
      <c r="H183" s="520" t="str">
        <f>IF(G183="","",VLOOKUP($B183,'C-1 Site River Baseline'!$C$9:$R$257,7,FALSE))</f>
        <v/>
      </c>
      <c r="I183" s="520" t="str">
        <f>IF(H183="","",VLOOKUP($B183,'C-1 Site River Baseline'!$C$9:$R$257,8,FALSE))</f>
        <v/>
      </c>
      <c r="J183" s="520" t="str">
        <f>IF(I183="","",VLOOKUP($B183,'C-1 Site River Baseline'!$C$9:$R$257,9,FALSE))</f>
        <v/>
      </c>
      <c r="K183" s="520" t="str">
        <f>IF(J183="","",VLOOKUP($B183,'C-1 Site River Baseline'!$C$9:$R$257,10,FALSE))</f>
        <v/>
      </c>
      <c r="L183" s="520" t="str">
        <f>IF(B183="","",VLOOKUP($B183,'C-1 Site River Baseline'!$C$9:$R$257,15,FALSE))</f>
        <v/>
      </c>
      <c r="M183" s="524" t="str">
        <f>IF(L183="","",VLOOKUP($B183,'C-1 Site River Baseline'!$C$9:$R$257,16,FALSE))</f>
        <v/>
      </c>
      <c r="N183" s="418" t="str">
        <f t="shared" si="17"/>
        <v/>
      </c>
      <c r="O183" s="498" t="str">
        <f t="shared" si="18"/>
        <v/>
      </c>
      <c r="P183" s="499" t="str">
        <f>IF(C183="","",IF(AND(LEFT(C183,55)&lt;&gt;LEFT(N183,55),O183="High - High"),"Error - Not like for like ▲",IF(AND(F183=S183,H183&gt;U183),"Error - Can not reduce condition ▲",IF(AND(F183=S183,H183=U183,AJ183='C-1 Site River Baseline'!N181,'C-1 Site River Baseline'!P181=AL183),"Error - No enhancement ▲",IF(AND(C183&lt;&gt;N183,F183&lt;S183),"Lower Distinctiveness Habitat"&amp;" - "&amp;T183,G183&amp;" - "&amp;T183)))))</f>
        <v/>
      </c>
      <c r="Q183" s="567" t="str">
        <f>IF(N183="","",VLOOKUP(B183,'C-1 Site River Baseline'!$C$10:$AA$257,19,FALSE))</f>
        <v/>
      </c>
      <c r="R183" s="498" t="str">
        <f>IF(N183="","",VLOOKUP(N183,'G-7 Rivers Data'!$B$2:$G$8,2,FALSE))</f>
        <v/>
      </c>
      <c r="S183" s="499" t="str">
        <f>IFERROR(VLOOKUP(R183,'G-7 Rivers Data'!$C$4:$D$8,2,FALSE),"")</f>
        <v/>
      </c>
      <c r="T183" s="145"/>
      <c r="U183" s="499" t="str">
        <f>IFERROR(INDEX('G-7 Rivers Data'!$H$4:$L$8,MATCH(N183,'G-7 Rivers Data'!$B$4:$B$8,0),MATCH(T183,'G-7 Rivers Data'!$H$3:$L$3,0)),"")</f>
        <v/>
      </c>
      <c r="V183" s="154"/>
      <c r="W183" s="507" t="str">
        <f>IF(V183="","",IF(VLOOKUP(V183,'G-7 Rivers Data'!$AG$4:$AI$9,2,FALSE)=0,"Spatial Data Missing ⚠",VLOOKUP(V183,'G-7 Rivers Data'!$AG$4:$AI$9,2,FALSE)))</f>
        <v/>
      </c>
      <c r="X183" s="499" t="str">
        <f>IF(V183="","",IF(VLOOKUP(V183,'G-7 Rivers Data'!$AG$4:$AI$9,3,FALSE)=0,"Spatial Data Missing ⚠",VLOOKUP(V183,'G-7 Rivers Data'!$AG$4:$AI$9,3,FALSE)))</f>
        <v/>
      </c>
      <c r="Y183" s="498" t="str">
        <f>IFERROR(IF(OR(LEFT(P183,5)="Error ▲",LEFT(O183,5)="Error ▲"),"Check Data ⚠",IF(F183&lt;S183,'G-7 Rivers Data'!$R$3,INDEX('G-7 Rivers Data'!$U$5:$Y$9,MATCH(G183,'G-7 Rivers Data'!$T$5:$T$9,0),MATCH(T183,'G-7 Rivers Data'!$U$4:$Y$4,0)))),"")</f>
        <v/>
      </c>
      <c r="Z183" s="195"/>
      <c r="AA183" s="195"/>
      <c r="AB183" s="507" t="str">
        <f t="shared" si="19"/>
        <v/>
      </c>
      <c r="AC183" s="521" t="str">
        <f t="shared" si="20"/>
        <v/>
      </c>
      <c r="AD183" s="564" t="str">
        <f>IFERROR(IF(AC183="Check Data ⚠","Check Data ⚠",VLOOKUP(AC183,'G-4 Temporal multipliers'!$A$4:$C$37,3,FALSE)),"")</f>
        <v/>
      </c>
      <c r="AE183" s="498" t="str">
        <f>IF(N183="","",VLOOKUP(N183,'G-7 Rivers Data'!$B$4:$G$8,5,FALSE))</f>
        <v/>
      </c>
      <c r="AF183" s="507" t="str">
        <f t="shared" si="21"/>
        <v/>
      </c>
      <c r="AG183" s="540" t="str">
        <f t="shared" si="22"/>
        <v/>
      </c>
      <c r="AH183" s="499" t="str">
        <f t="shared" si="16"/>
        <v/>
      </c>
      <c r="AI183" s="145"/>
      <c r="AJ183" s="499" t="str">
        <f>IF(AI183="","",IF(VLOOKUP(AI183,'G-7 Rivers Data'!$AA$4:$AB$7,2,FALSE)=0,"Spatial Data Missing ⚠",VLOOKUP(AI183,'G-7 Rivers Data'!$AA$4:$AB$7,2,FALSE)))</f>
        <v/>
      </c>
      <c r="AK183" s="155"/>
      <c r="AL183" s="499" t="str">
        <f>IF(AK183="","",IF(VLOOKUP(AK183,'G-7 Rivers Data'!$AD$4:$AE$8,2,FALSE)=0,"Spatial Data Missing ⚠",VLOOKUP(AK183,'G-7 Rivers Data'!$AD$4:$AE$8,2,FALSE)))</f>
        <v/>
      </c>
      <c r="AM183" s="545" t="str">
        <f t="shared" si="23"/>
        <v/>
      </c>
      <c r="AN183" s="149"/>
      <c r="AO183" s="150"/>
      <c r="AV183" s="31" t="str">
        <f>IFERROR(INDEX('G-7 Rivers Data'!$AZ$3:$AZ$7,MATCH(N183,'G-7 Rivers Data'!$AY$3:$AY$7,0)),"")</f>
        <v/>
      </c>
    </row>
    <row r="184" spans="2:48" ht="14" x14ac:dyDescent="0.3">
      <c r="B184" s="531" t="str">
        <f>'C-1 Site River Baseline'!AN182</f>
        <v/>
      </c>
      <c r="C184" s="520" t="str">
        <f>IF(B184="","",VLOOKUP($B184,'C-1 Site River Baseline'!$C$9:$R$257,2,FALSE))</f>
        <v/>
      </c>
      <c r="D184" s="520" t="str">
        <f>IF(C184="","",VLOOKUP($B184,'C-1 Site River Baseline'!$C$9:$R$257,3,FALSE))</f>
        <v/>
      </c>
      <c r="E184" s="520" t="str">
        <f>IF(D184="","",VLOOKUP($B184,'C-1 Site River Baseline'!$C$9:$R$257,4,FALSE))</f>
        <v/>
      </c>
      <c r="F184" s="520" t="str">
        <f>IF(E184="","",VLOOKUP($B184,'C-1 Site River Baseline'!$C$9:$R$257,5,FALSE))</f>
        <v/>
      </c>
      <c r="G184" s="520" t="str">
        <f>IF(F184="","",VLOOKUP($B184,'C-1 Site River Baseline'!$C$9:$R$257,6,FALSE))</f>
        <v/>
      </c>
      <c r="H184" s="520" t="str">
        <f>IF(G184="","",VLOOKUP($B184,'C-1 Site River Baseline'!$C$9:$R$257,7,FALSE))</f>
        <v/>
      </c>
      <c r="I184" s="520" t="str">
        <f>IF(H184="","",VLOOKUP($B184,'C-1 Site River Baseline'!$C$9:$R$257,8,FALSE))</f>
        <v/>
      </c>
      <c r="J184" s="520" t="str">
        <f>IF(I184="","",VLOOKUP($B184,'C-1 Site River Baseline'!$C$9:$R$257,9,FALSE))</f>
        <v/>
      </c>
      <c r="K184" s="520" t="str">
        <f>IF(J184="","",VLOOKUP($B184,'C-1 Site River Baseline'!$C$9:$R$257,10,FALSE))</f>
        <v/>
      </c>
      <c r="L184" s="520" t="str">
        <f>IF(B184="","",VLOOKUP($B184,'C-1 Site River Baseline'!$C$9:$R$257,15,FALSE))</f>
        <v/>
      </c>
      <c r="M184" s="524" t="str">
        <f>IF(L184="","",VLOOKUP($B184,'C-1 Site River Baseline'!$C$9:$R$257,16,FALSE))</f>
        <v/>
      </c>
      <c r="N184" s="418" t="str">
        <f t="shared" si="17"/>
        <v/>
      </c>
      <c r="O184" s="498" t="str">
        <f t="shared" si="18"/>
        <v/>
      </c>
      <c r="P184" s="499" t="str">
        <f>IF(C184="","",IF(AND(LEFT(C184,55)&lt;&gt;LEFT(N184,55),O184="High - High"),"Error - Not like for like ▲",IF(AND(F184=S184,H184&gt;U184),"Error - Can not reduce condition ▲",IF(AND(F184=S184,H184=U184,AJ184='C-1 Site River Baseline'!N182,'C-1 Site River Baseline'!P182=AL184),"Error - No enhancement ▲",IF(AND(C184&lt;&gt;N184,F184&lt;S184),"Lower Distinctiveness Habitat"&amp;" - "&amp;T184,G184&amp;" - "&amp;T184)))))</f>
        <v/>
      </c>
      <c r="Q184" s="567" t="str">
        <f>IF(N184="","",VLOOKUP(B184,'C-1 Site River Baseline'!$C$10:$AA$257,19,FALSE))</f>
        <v/>
      </c>
      <c r="R184" s="498" t="str">
        <f>IF(N184="","",VLOOKUP(N184,'G-7 Rivers Data'!$B$2:$G$8,2,FALSE))</f>
        <v/>
      </c>
      <c r="S184" s="499" t="str">
        <f>IFERROR(VLOOKUP(R184,'G-7 Rivers Data'!$C$4:$D$8,2,FALSE),"")</f>
        <v/>
      </c>
      <c r="T184" s="145"/>
      <c r="U184" s="499" t="str">
        <f>IFERROR(INDEX('G-7 Rivers Data'!$H$4:$L$8,MATCH(N184,'G-7 Rivers Data'!$B$4:$B$8,0),MATCH(T184,'G-7 Rivers Data'!$H$3:$L$3,0)),"")</f>
        <v/>
      </c>
      <c r="V184" s="154"/>
      <c r="W184" s="507" t="str">
        <f>IF(V184="","",IF(VLOOKUP(V184,'G-7 Rivers Data'!$AG$4:$AI$9,2,FALSE)=0,"Spatial Data Missing ⚠",VLOOKUP(V184,'G-7 Rivers Data'!$AG$4:$AI$9,2,FALSE)))</f>
        <v/>
      </c>
      <c r="X184" s="499" t="str">
        <f>IF(V184="","",IF(VLOOKUP(V184,'G-7 Rivers Data'!$AG$4:$AI$9,3,FALSE)=0,"Spatial Data Missing ⚠",VLOOKUP(V184,'G-7 Rivers Data'!$AG$4:$AI$9,3,FALSE)))</f>
        <v/>
      </c>
      <c r="Y184" s="498" t="str">
        <f>IFERROR(IF(OR(LEFT(P184,5)="Error ▲",LEFT(O184,5)="Error ▲"),"Check Data ⚠",IF(F184&lt;S184,'G-7 Rivers Data'!$R$3,INDEX('G-7 Rivers Data'!$U$5:$Y$9,MATCH(G184,'G-7 Rivers Data'!$T$5:$T$9,0),MATCH(T184,'G-7 Rivers Data'!$U$4:$Y$4,0)))),"")</f>
        <v/>
      </c>
      <c r="Z184" s="195"/>
      <c r="AA184" s="195"/>
      <c r="AB184" s="507" t="str">
        <f t="shared" si="19"/>
        <v/>
      </c>
      <c r="AC184" s="521" t="str">
        <f t="shared" si="20"/>
        <v/>
      </c>
      <c r="AD184" s="564" t="str">
        <f>IFERROR(IF(AC184="Check Data ⚠","Check Data ⚠",VLOOKUP(AC184,'G-4 Temporal multipliers'!$A$4:$C$37,3,FALSE)),"")</f>
        <v/>
      </c>
      <c r="AE184" s="498" t="str">
        <f>IF(N184="","",VLOOKUP(N184,'G-7 Rivers Data'!$B$4:$G$8,5,FALSE))</f>
        <v/>
      </c>
      <c r="AF184" s="507" t="str">
        <f t="shared" si="21"/>
        <v/>
      </c>
      <c r="AG184" s="540" t="str">
        <f t="shared" si="22"/>
        <v/>
      </c>
      <c r="AH184" s="499" t="str">
        <f t="shared" si="16"/>
        <v/>
      </c>
      <c r="AI184" s="145"/>
      <c r="AJ184" s="499" t="str">
        <f>IF(AI184="","",IF(VLOOKUP(AI184,'G-7 Rivers Data'!$AA$4:$AB$7,2,FALSE)=0,"Spatial Data Missing ⚠",VLOOKUP(AI184,'G-7 Rivers Data'!$AA$4:$AB$7,2,FALSE)))</f>
        <v/>
      </c>
      <c r="AK184" s="155"/>
      <c r="AL184" s="499" t="str">
        <f>IF(AK184="","",IF(VLOOKUP(AK184,'G-7 Rivers Data'!$AD$4:$AE$8,2,FALSE)=0,"Spatial Data Missing ⚠",VLOOKUP(AK184,'G-7 Rivers Data'!$AD$4:$AE$8,2,FALSE)))</f>
        <v/>
      </c>
      <c r="AM184" s="545" t="str">
        <f t="shared" si="23"/>
        <v/>
      </c>
      <c r="AN184" s="149"/>
      <c r="AO184" s="150"/>
      <c r="AV184" s="31" t="str">
        <f>IFERROR(INDEX('G-7 Rivers Data'!$AZ$3:$AZ$7,MATCH(N184,'G-7 Rivers Data'!$AY$3:$AY$7,0)),"")</f>
        <v/>
      </c>
    </row>
    <row r="185" spans="2:48" ht="14" x14ac:dyDescent="0.3">
      <c r="B185" s="531" t="str">
        <f>'C-1 Site River Baseline'!AN183</f>
        <v/>
      </c>
      <c r="C185" s="520" t="str">
        <f>IF(B185="","",VLOOKUP($B185,'C-1 Site River Baseline'!$C$9:$R$257,2,FALSE))</f>
        <v/>
      </c>
      <c r="D185" s="520" t="str">
        <f>IF(C185="","",VLOOKUP($B185,'C-1 Site River Baseline'!$C$9:$R$257,3,FALSE))</f>
        <v/>
      </c>
      <c r="E185" s="520" t="str">
        <f>IF(D185="","",VLOOKUP($B185,'C-1 Site River Baseline'!$C$9:$R$257,4,FALSE))</f>
        <v/>
      </c>
      <c r="F185" s="520" t="str">
        <f>IF(E185="","",VLOOKUP($B185,'C-1 Site River Baseline'!$C$9:$R$257,5,FALSE))</f>
        <v/>
      </c>
      <c r="G185" s="520" t="str">
        <f>IF(F185="","",VLOOKUP($B185,'C-1 Site River Baseline'!$C$9:$R$257,6,FALSE))</f>
        <v/>
      </c>
      <c r="H185" s="520" t="str">
        <f>IF(G185="","",VLOOKUP($B185,'C-1 Site River Baseline'!$C$9:$R$257,7,FALSE))</f>
        <v/>
      </c>
      <c r="I185" s="520" t="str">
        <f>IF(H185="","",VLOOKUP($B185,'C-1 Site River Baseline'!$C$9:$R$257,8,FALSE))</f>
        <v/>
      </c>
      <c r="J185" s="520" t="str">
        <f>IF(I185="","",VLOOKUP($B185,'C-1 Site River Baseline'!$C$9:$R$257,9,FALSE))</f>
        <v/>
      </c>
      <c r="K185" s="520" t="str">
        <f>IF(J185="","",VLOOKUP($B185,'C-1 Site River Baseline'!$C$9:$R$257,10,FALSE))</f>
        <v/>
      </c>
      <c r="L185" s="520" t="str">
        <f>IF(B185="","",VLOOKUP($B185,'C-1 Site River Baseline'!$C$9:$R$257,15,FALSE))</f>
        <v/>
      </c>
      <c r="M185" s="524" t="str">
        <f>IF(L185="","",VLOOKUP($B185,'C-1 Site River Baseline'!$C$9:$R$257,16,FALSE))</f>
        <v/>
      </c>
      <c r="N185" s="418" t="str">
        <f t="shared" si="17"/>
        <v/>
      </c>
      <c r="O185" s="498" t="str">
        <f t="shared" si="18"/>
        <v/>
      </c>
      <c r="P185" s="499" t="str">
        <f>IF(C185="","",IF(AND(LEFT(C185,55)&lt;&gt;LEFT(N185,55),O185="High - High"),"Error - Not like for like ▲",IF(AND(F185=S185,H185&gt;U185),"Error - Can not reduce condition ▲",IF(AND(F185=S185,H185=U185,AJ185='C-1 Site River Baseline'!N183,'C-1 Site River Baseline'!P183=AL185),"Error - No enhancement ▲",IF(AND(C185&lt;&gt;N185,F185&lt;S185),"Lower Distinctiveness Habitat"&amp;" - "&amp;T185,G185&amp;" - "&amp;T185)))))</f>
        <v/>
      </c>
      <c r="Q185" s="567" t="str">
        <f>IF(N185="","",VLOOKUP(B185,'C-1 Site River Baseline'!$C$10:$AA$257,19,FALSE))</f>
        <v/>
      </c>
      <c r="R185" s="498" t="str">
        <f>IF(N185="","",VLOOKUP(N185,'G-7 Rivers Data'!$B$2:$G$8,2,FALSE))</f>
        <v/>
      </c>
      <c r="S185" s="499" t="str">
        <f>IFERROR(VLOOKUP(R185,'G-7 Rivers Data'!$C$4:$D$8,2,FALSE),"")</f>
        <v/>
      </c>
      <c r="T185" s="145"/>
      <c r="U185" s="499" t="str">
        <f>IFERROR(INDEX('G-7 Rivers Data'!$H$4:$L$8,MATCH(N185,'G-7 Rivers Data'!$B$4:$B$8,0),MATCH(T185,'G-7 Rivers Data'!$H$3:$L$3,0)),"")</f>
        <v/>
      </c>
      <c r="V185" s="154"/>
      <c r="W185" s="507" t="str">
        <f>IF(V185="","",IF(VLOOKUP(V185,'G-7 Rivers Data'!$AG$4:$AI$9,2,FALSE)=0,"Spatial Data Missing ⚠",VLOOKUP(V185,'G-7 Rivers Data'!$AG$4:$AI$9,2,FALSE)))</f>
        <v/>
      </c>
      <c r="X185" s="499" t="str">
        <f>IF(V185="","",IF(VLOOKUP(V185,'G-7 Rivers Data'!$AG$4:$AI$9,3,FALSE)=0,"Spatial Data Missing ⚠",VLOOKUP(V185,'G-7 Rivers Data'!$AG$4:$AI$9,3,FALSE)))</f>
        <v/>
      </c>
      <c r="Y185" s="498" t="str">
        <f>IFERROR(IF(OR(LEFT(P185,5)="Error ▲",LEFT(O185,5)="Error ▲"),"Check Data ⚠",IF(F185&lt;S185,'G-7 Rivers Data'!$R$3,INDEX('G-7 Rivers Data'!$U$5:$Y$9,MATCH(G185,'G-7 Rivers Data'!$T$5:$T$9,0),MATCH(T185,'G-7 Rivers Data'!$U$4:$Y$4,0)))),"")</f>
        <v/>
      </c>
      <c r="Z185" s="195"/>
      <c r="AA185" s="195"/>
      <c r="AB185" s="507" t="str">
        <f t="shared" si="19"/>
        <v/>
      </c>
      <c r="AC185" s="521" t="str">
        <f t="shared" si="20"/>
        <v/>
      </c>
      <c r="AD185" s="564" t="str">
        <f>IFERROR(IF(AC185="Check Data ⚠","Check Data ⚠",VLOOKUP(AC185,'G-4 Temporal multipliers'!$A$4:$C$37,3,FALSE)),"")</f>
        <v/>
      </c>
      <c r="AE185" s="498" t="str">
        <f>IF(N185="","",VLOOKUP(N185,'G-7 Rivers Data'!$B$4:$G$8,5,FALSE))</f>
        <v/>
      </c>
      <c r="AF185" s="507" t="str">
        <f t="shared" si="21"/>
        <v/>
      </c>
      <c r="AG185" s="540" t="str">
        <f t="shared" si="22"/>
        <v/>
      </c>
      <c r="AH185" s="499" t="str">
        <f t="shared" si="16"/>
        <v/>
      </c>
      <c r="AI185" s="145"/>
      <c r="AJ185" s="499" t="str">
        <f>IF(AI185="","",IF(VLOOKUP(AI185,'G-7 Rivers Data'!$AA$4:$AB$7,2,FALSE)=0,"Spatial Data Missing ⚠",VLOOKUP(AI185,'G-7 Rivers Data'!$AA$4:$AB$7,2,FALSE)))</f>
        <v/>
      </c>
      <c r="AK185" s="155"/>
      <c r="AL185" s="499" t="str">
        <f>IF(AK185="","",IF(VLOOKUP(AK185,'G-7 Rivers Data'!$AD$4:$AE$8,2,FALSE)=0,"Spatial Data Missing ⚠",VLOOKUP(AK185,'G-7 Rivers Data'!$AD$4:$AE$8,2,FALSE)))</f>
        <v/>
      </c>
      <c r="AM185" s="545" t="str">
        <f t="shared" si="23"/>
        <v/>
      </c>
      <c r="AN185" s="149"/>
      <c r="AO185" s="150"/>
      <c r="AV185" s="31" t="str">
        <f>IFERROR(INDEX('G-7 Rivers Data'!$AZ$3:$AZ$7,MATCH(N185,'G-7 Rivers Data'!$AY$3:$AY$7,0)),"")</f>
        <v/>
      </c>
    </row>
    <row r="186" spans="2:48" ht="14" x14ac:dyDescent="0.3">
      <c r="B186" s="531" t="str">
        <f>'C-1 Site River Baseline'!AN184</f>
        <v/>
      </c>
      <c r="C186" s="520" t="str">
        <f>IF(B186="","",VLOOKUP($B186,'C-1 Site River Baseline'!$C$9:$R$257,2,FALSE))</f>
        <v/>
      </c>
      <c r="D186" s="520" t="str">
        <f>IF(C186="","",VLOOKUP($B186,'C-1 Site River Baseline'!$C$9:$R$257,3,FALSE))</f>
        <v/>
      </c>
      <c r="E186" s="520" t="str">
        <f>IF(D186="","",VLOOKUP($B186,'C-1 Site River Baseline'!$C$9:$R$257,4,FALSE))</f>
        <v/>
      </c>
      <c r="F186" s="520" t="str">
        <f>IF(E186="","",VLOOKUP($B186,'C-1 Site River Baseline'!$C$9:$R$257,5,FALSE))</f>
        <v/>
      </c>
      <c r="G186" s="520" t="str">
        <f>IF(F186="","",VLOOKUP($B186,'C-1 Site River Baseline'!$C$9:$R$257,6,FALSE))</f>
        <v/>
      </c>
      <c r="H186" s="520" t="str">
        <f>IF(G186="","",VLOOKUP($B186,'C-1 Site River Baseline'!$C$9:$R$257,7,FALSE))</f>
        <v/>
      </c>
      <c r="I186" s="520" t="str">
        <f>IF(H186="","",VLOOKUP($B186,'C-1 Site River Baseline'!$C$9:$R$257,8,FALSE))</f>
        <v/>
      </c>
      <c r="J186" s="520" t="str">
        <f>IF(I186="","",VLOOKUP($B186,'C-1 Site River Baseline'!$C$9:$R$257,9,FALSE))</f>
        <v/>
      </c>
      <c r="K186" s="520" t="str">
        <f>IF(J186="","",VLOOKUP($B186,'C-1 Site River Baseline'!$C$9:$R$257,10,FALSE))</f>
        <v/>
      </c>
      <c r="L186" s="520" t="str">
        <f>IF(B186="","",VLOOKUP($B186,'C-1 Site River Baseline'!$C$9:$R$257,15,FALSE))</f>
        <v/>
      </c>
      <c r="M186" s="524" t="str">
        <f>IF(L186="","",VLOOKUP($B186,'C-1 Site River Baseline'!$C$9:$R$257,16,FALSE))</f>
        <v/>
      </c>
      <c r="N186" s="418" t="str">
        <f t="shared" si="17"/>
        <v/>
      </c>
      <c r="O186" s="498" t="str">
        <f t="shared" si="18"/>
        <v/>
      </c>
      <c r="P186" s="499" t="str">
        <f>IF(C186="","",IF(AND(LEFT(C186,55)&lt;&gt;LEFT(N186,55),O186="High - High"),"Error - Not like for like ▲",IF(AND(F186=S186,H186&gt;U186),"Error - Can not reduce condition ▲",IF(AND(F186=S186,H186=U186,AJ186='C-1 Site River Baseline'!N184,'C-1 Site River Baseline'!P184=AL186),"Error - No enhancement ▲",IF(AND(C186&lt;&gt;N186,F186&lt;S186),"Lower Distinctiveness Habitat"&amp;" - "&amp;T186,G186&amp;" - "&amp;T186)))))</f>
        <v/>
      </c>
      <c r="Q186" s="567" t="str">
        <f>IF(N186="","",VLOOKUP(B186,'C-1 Site River Baseline'!$C$10:$AA$257,19,FALSE))</f>
        <v/>
      </c>
      <c r="R186" s="498" t="str">
        <f>IF(N186="","",VLOOKUP(N186,'G-7 Rivers Data'!$B$2:$G$8,2,FALSE))</f>
        <v/>
      </c>
      <c r="S186" s="499" t="str">
        <f>IFERROR(VLOOKUP(R186,'G-7 Rivers Data'!$C$4:$D$8,2,FALSE),"")</f>
        <v/>
      </c>
      <c r="T186" s="145"/>
      <c r="U186" s="499" t="str">
        <f>IFERROR(INDEX('G-7 Rivers Data'!$H$4:$L$8,MATCH(N186,'G-7 Rivers Data'!$B$4:$B$8,0),MATCH(T186,'G-7 Rivers Data'!$H$3:$L$3,0)),"")</f>
        <v/>
      </c>
      <c r="V186" s="154"/>
      <c r="W186" s="507" t="str">
        <f>IF(V186="","",IF(VLOOKUP(V186,'G-7 Rivers Data'!$AG$4:$AI$9,2,FALSE)=0,"Spatial Data Missing ⚠",VLOOKUP(V186,'G-7 Rivers Data'!$AG$4:$AI$9,2,FALSE)))</f>
        <v/>
      </c>
      <c r="X186" s="499" t="str">
        <f>IF(V186="","",IF(VLOOKUP(V186,'G-7 Rivers Data'!$AG$4:$AI$9,3,FALSE)=0,"Spatial Data Missing ⚠",VLOOKUP(V186,'G-7 Rivers Data'!$AG$4:$AI$9,3,FALSE)))</f>
        <v/>
      </c>
      <c r="Y186" s="498" t="str">
        <f>IFERROR(IF(OR(LEFT(P186,5)="Error ▲",LEFT(O186,5)="Error ▲"),"Check Data ⚠",IF(F186&lt;S186,'G-7 Rivers Data'!$R$3,INDEX('G-7 Rivers Data'!$U$5:$Y$9,MATCH(G186,'G-7 Rivers Data'!$T$5:$T$9,0),MATCH(T186,'G-7 Rivers Data'!$U$4:$Y$4,0)))),"")</f>
        <v/>
      </c>
      <c r="Z186" s="195"/>
      <c r="AA186" s="195"/>
      <c r="AB186" s="507" t="str">
        <f t="shared" si="19"/>
        <v/>
      </c>
      <c r="AC186" s="521" t="str">
        <f t="shared" si="20"/>
        <v/>
      </c>
      <c r="AD186" s="564" t="str">
        <f>IFERROR(IF(AC186="Check Data ⚠","Check Data ⚠",VLOOKUP(AC186,'G-4 Temporal multipliers'!$A$4:$C$37,3,FALSE)),"")</f>
        <v/>
      </c>
      <c r="AE186" s="498" t="str">
        <f>IF(N186="","",VLOOKUP(N186,'G-7 Rivers Data'!$B$4:$G$8,5,FALSE))</f>
        <v/>
      </c>
      <c r="AF186" s="507" t="str">
        <f t="shared" si="21"/>
        <v/>
      </c>
      <c r="AG186" s="540" t="str">
        <f t="shared" si="22"/>
        <v/>
      </c>
      <c r="AH186" s="499" t="str">
        <f t="shared" si="16"/>
        <v/>
      </c>
      <c r="AI186" s="145"/>
      <c r="AJ186" s="499" t="str">
        <f>IF(AI186="","",IF(VLOOKUP(AI186,'G-7 Rivers Data'!$AA$4:$AB$7,2,FALSE)=0,"Spatial Data Missing ⚠",VLOOKUP(AI186,'G-7 Rivers Data'!$AA$4:$AB$7,2,FALSE)))</f>
        <v/>
      </c>
      <c r="AK186" s="155"/>
      <c r="AL186" s="499" t="str">
        <f>IF(AK186="","",IF(VLOOKUP(AK186,'G-7 Rivers Data'!$AD$4:$AE$8,2,FALSE)=0,"Spatial Data Missing ⚠",VLOOKUP(AK186,'G-7 Rivers Data'!$AD$4:$AE$8,2,FALSE)))</f>
        <v/>
      </c>
      <c r="AM186" s="545" t="str">
        <f t="shared" si="23"/>
        <v/>
      </c>
      <c r="AN186" s="149"/>
      <c r="AO186" s="150"/>
      <c r="AV186" s="31" t="str">
        <f>IFERROR(INDEX('G-7 Rivers Data'!$AZ$3:$AZ$7,MATCH(N186,'G-7 Rivers Data'!$AY$3:$AY$7,0)),"")</f>
        <v/>
      </c>
    </row>
    <row r="187" spans="2:48" ht="14" x14ac:dyDescent="0.3">
      <c r="B187" s="531" t="str">
        <f>'C-1 Site River Baseline'!AN185</f>
        <v/>
      </c>
      <c r="C187" s="520" t="str">
        <f>IF(B187="","",VLOOKUP($B187,'C-1 Site River Baseline'!$C$9:$R$257,2,FALSE))</f>
        <v/>
      </c>
      <c r="D187" s="520" t="str">
        <f>IF(C187="","",VLOOKUP($B187,'C-1 Site River Baseline'!$C$9:$R$257,3,FALSE))</f>
        <v/>
      </c>
      <c r="E187" s="520" t="str">
        <f>IF(D187="","",VLOOKUP($B187,'C-1 Site River Baseline'!$C$9:$R$257,4,FALSE))</f>
        <v/>
      </c>
      <c r="F187" s="520" t="str">
        <f>IF(E187="","",VLOOKUP($B187,'C-1 Site River Baseline'!$C$9:$R$257,5,FALSE))</f>
        <v/>
      </c>
      <c r="G187" s="520" t="str">
        <f>IF(F187="","",VLOOKUP($B187,'C-1 Site River Baseline'!$C$9:$R$257,6,FALSE))</f>
        <v/>
      </c>
      <c r="H187" s="520" t="str">
        <f>IF(G187="","",VLOOKUP($B187,'C-1 Site River Baseline'!$C$9:$R$257,7,FALSE))</f>
        <v/>
      </c>
      <c r="I187" s="520" t="str">
        <f>IF(H187="","",VLOOKUP($B187,'C-1 Site River Baseline'!$C$9:$R$257,8,FALSE))</f>
        <v/>
      </c>
      <c r="J187" s="520" t="str">
        <f>IF(I187="","",VLOOKUP($B187,'C-1 Site River Baseline'!$C$9:$R$257,9,FALSE))</f>
        <v/>
      </c>
      <c r="K187" s="520" t="str">
        <f>IF(J187="","",VLOOKUP($B187,'C-1 Site River Baseline'!$C$9:$R$257,10,FALSE))</f>
        <v/>
      </c>
      <c r="L187" s="520" t="str">
        <f>IF(B187="","",VLOOKUP($B187,'C-1 Site River Baseline'!$C$9:$R$257,15,FALSE))</f>
        <v/>
      </c>
      <c r="M187" s="524" t="str">
        <f>IF(L187="","",VLOOKUP($B187,'C-1 Site River Baseline'!$C$9:$R$257,16,FALSE))</f>
        <v/>
      </c>
      <c r="N187" s="418" t="str">
        <f t="shared" si="17"/>
        <v/>
      </c>
      <c r="O187" s="498" t="str">
        <f t="shared" si="18"/>
        <v/>
      </c>
      <c r="P187" s="499" t="str">
        <f>IF(C187="","",IF(AND(LEFT(C187,55)&lt;&gt;LEFT(N187,55),O187="High - High"),"Error - Not like for like ▲",IF(AND(F187=S187,H187&gt;U187),"Error - Can not reduce condition ▲",IF(AND(F187=S187,H187=U187,AJ187='C-1 Site River Baseline'!N185,'C-1 Site River Baseline'!P185=AL187),"Error - No enhancement ▲",IF(AND(C187&lt;&gt;N187,F187&lt;S187),"Lower Distinctiveness Habitat"&amp;" - "&amp;T187,G187&amp;" - "&amp;T187)))))</f>
        <v/>
      </c>
      <c r="Q187" s="567" t="str">
        <f>IF(N187="","",VLOOKUP(B187,'C-1 Site River Baseline'!$C$10:$AA$257,19,FALSE))</f>
        <v/>
      </c>
      <c r="R187" s="498" t="str">
        <f>IF(N187="","",VLOOKUP(N187,'G-7 Rivers Data'!$B$2:$G$8,2,FALSE))</f>
        <v/>
      </c>
      <c r="S187" s="499" t="str">
        <f>IFERROR(VLOOKUP(R187,'G-7 Rivers Data'!$C$4:$D$8,2,FALSE),"")</f>
        <v/>
      </c>
      <c r="T187" s="145"/>
      <c r="U187" s="499" t="str">
        <f>IFERROR(INDEX('G-7 Rivers Data'!$H$4:$L$8,MATCH(N187,'G-7 Rivers Data'!$B$4:$B$8,0),MATCH(T187,'G-7 Rivers Data'!$H$3:$L$3,0)),"")</f>
        <v/>
      </c>
      <c r="V187" s="154"/>
      <c r="W187" s="507" t="str">
        <f>IF(V187="","",IF(VLOOKUP(V187,'G-7 Rivers Data'!$AG$4:$AI$9,2,FALSE)=0,"Spatial Data Missing ⚠",VLOOKUP(V187,'G-7 Rivers Data'!$AG$4:$AI$9,2,FALSE)))</f>
        <v/>
      </c>
      <c r="X187" s="499" t="str">
        <f>IF(V187="","",IF(VLOOKUP(V187,'G-7 Rivers Data'!$AG$4:$AI$9,3,FALSE)=0,"Spatial Data Missing ⚠",VLOOKUP(V187,'G-7 Rivers Data'!$AG$4:$AI$9,3,FALSE)))</f>
        <v/>
      </c>
      <c r="Y187" s="498" t="str">
        <f>IFERROR(IF(OR(LEFT(P187,5)="Error ▲",LEFT(O187,5)="Error ▲"),"Check Data ⚠",IF(F187&lt;S187,'G-7 Rivers Data'!$R$3,INDEX('G-7 Rivers Data'!$U$5:$Y$9,MATCH(G187,'G-7 Rivers Data'!$T$5:$T$9,0),MATCH(T187,'G-7 Rivers Data'!$U$4:$Y$4,0)))),"")</f>
        <v/>
      </c>
      <c r="Z187" s="195"/>
      <c r="AA187" s="195"/>
      <c r="AB187" s="507" t="str">
        <f t="shared" si="19"/>
        <v/>
      </c>
      <c r="AC187" s="521" t="str">
        <f t="shared" si="20"/>
        <v/>
      </c>
      <c r="AD187" s="564" t="str">
        <f>IFERROR(IF(AC187="Check Data ⚠","Check Data ⚠",VLOOKUP(AC187,'G-4 Temporal multipliers'!$A$4:$C$37,3,FALSE)),"")</f>
        <v/>
      </c>
      <c r="AE187" s="498" t="str">
        <f>IF(N187="","",VLOOKUP(N187,'G-7 Rivers Data'!$B$4:$G$8,5,FALSE))</f>
        <v/>
      </c>
      <c r="AF187" s="507" t="str">
        <f t="shared" si="21"/>
        <v/>
      </c>
      <c r="AG187" s="540" t="str">
        <f t="shared" si="22"/>
        <v/>
      </c>
      <c r="AH187" s="499" t="str">
        <f t="shared" si="16"/>
        <v/>
      </c>
      <c r="AI187" s="145"/>
      <c r="AJ187" s="499" t="str">
        <f>IF(AI187="","",IF(VLOOKUP(AI187,'G-7 Rivers Data'!$AA$4:$AB$7,2,FALSE)=0,"Spatial Data Missing ⚠",VLOOKUP(AI187,'G-7 Rivers Data'!$AA$4:$AB$7,2,FALSE)))</f>
        <v/>
      </c>
      <c r="AK187" s="155"/>
      <c r="AL187" s="499" t="str">
        <f>IF(AK187="","",IF(VLOOKUP(AK187,'G-7 Rivers Data'!$AD$4:$AE$8,2,FALSE)=0,"Spatial Data Missing ⚠",VLOOKUP(AK187,'G-7 Rivers Data'!$AD$4:$AE$8,2,FALSE)))</f>
        <v/>
      </c>
      <c r="AM187" s="545" t="str">
        <f t="shared" si="23"/>
        <v/>
      </c>
      <c r="AN187" s="149"/>
      <c r="AO187" s="150"/>
      <c r="AV187" s="31" t="str">
        <f>IFERROR(INDEX('G-7 Rivers Data'!$AZ$3:$AZ$7,MATCH(N187,'G-7 Rivers Data'!$AY$3:$AY$7,0)),"")</f>
        <v/>
      </c>
    </row>
    <row r="188" spans="2:48" ht="14" x14ac:dyDescent="0.3">
      <c r="B188" s="531" t="str">
        <f>'C-1 Site River Baseline'!AN186</f>
        <v/>
      </c>
      <c r="C188" s="520" t="str">
        <f>IF(B188="","",VLOOKUP($B188,'C-1 Site River Baseline'!$C$9:$R$257,2,FALSE))</f>
        <v/>
      </c>
      <c r="D188" s="520" t="str">
        <f>IF(C188="","",VLOOKUP($B188,'C-1 Site River Baseline'!$C$9:$R$257,3,FALSE))</f>
        <v/>
      </c>
      <c r="E188" s="520" t="str">
        <f>IF(D188="","",VLOOKUP($B188,'C-1 Site River Baseline'!$C$9:$R$257,4,FALSE))</f>
        <v/>
      </c>
      <c r="F188" s="520" t="str">
        <f>IF(E188="","",VLOOKUP($B188,'C-1 Site River Baseline'!$C$9:$R$257,5,FALSE))</f>
        <v/>
      </c>
      <c r="G188" s="520" t="str">
        <f>IF(F188="","",VLOOKUP($B188,'C-1 Site River Baseline'!$C$9:$R$257,6,FALSE))</f>
        <v/>
      </c>
      <c r="H188" s="520" t="str">
        <f>IF(G188="","",VLOOKUP($B188,'C-1 Site River Baseline'!$C$9:$R$257,7,FALSE))</f>
        <v/>
      </c>
      <c r="I188" s="520" t="str">
        <f>IF(H188="","",VLOOKUP($B188,'C-1 Site River Baseline'!$C$9:$R$257,8,FALSE))</f>
        <v/>
      </c>
      <c r="J188" s="520" t="str">
        <f>IF(I188="","",VLOOKUP($B188,'C-1 Site River Baseline'!$C$9:$R$257,9,FALSE))</f>
        <v/>
      </c>
      <c r="K188" s="520" t="str">
        <f>IF(J188="","",VLOOKUP($B188,'C-1 Site River Baseline'!$C$9:$R$257,10,FALSE))</f>
        <v/>
      </c>
      <c r="L188" s="520" t="str">
        <f>IF(B188="","",VLOOKUP($B188,'C-1 Site River Baseline'!$C$9:$R$257,15,FALSE))</f>
        <v/>
      </c>
      <c r="M188" s="524" t="str">
        <f>IF(L188="","",VLOOKUP($B188,'C-1 Site River Baseline'!$C$9:$R$257,16,FALSE))</f>
        <v/>
      </c>
      <c r="N188" s="418" t="str">
        <f t="shared" si="17"/>
        <v/>
      </c>
      <c r="O188" s="498" t="str">
        <f t="shared" si="18"/>
        <v/>
      </c>
      <c r="P188" s="499" t="str">
        <f>IF(C188="","",IF(AND(LEFT(C188,55)&lt;&gt;LEFT(N188,55),O188="High - High"),"Error - Not like for like ▲",IF(AND(F188=S188,H188&gt;U188),"Error - Can not reduce condition ▲",IF(AND(F188=S188,H188=U188,AJ188='C-1 Site River Baseline'!N186,'C-1 Site River Baseline'!P186=AL188),"Error - No enhancement ▲",IF(AND(C188&lt;&gt;N188,F188&lt;S188),"Lower Distinctiveness Habitat"&amp;" - "&amp;T188,G188&amp;" - "&amp;T188)))))</f>
        <v/>
      </c>
      <c r="Q188" s="567" t="str">
        <f>IF(N188="","",VLOOKUP(B188,'C-1 Site River Baseline'!$C$10:$AA$257,19,FALSE))</f>
        <v/>
      </c>
      <c r="R188" s="498" t="str">
        <f>IF(N188="","",VLOOKUP(N188,'G-7 Rivers Data'!$B$2:$G$8,2,FALSE))</f>
        <v/>
      </c>
      <c r="S188" s="499" t="str">
        <f>IFERROR(VLOOKUP(R188,'G-7 Rivers Data'!$C$4:$D$8,2,FALSE),"")</f>
        <v/>
      </c>
      <c r="T188" s="145"/>
      <c r="U188" s="499" t="str">
        <f>IFERROR(INDEX('G-7 Rivers Data'!$H$4:$L$8,MATCH(N188,'G-7 Rivers Data'!$B$4:$B$8,0),MATCH(T188,'G-7 Rivers Data'!$H$3:$L$3,0)),"")</f>
        <v/>
      </c>
      <c r="V188" s="154"/>
      <c r="W188" s="507" t="str">
        <f>IF(V188="","",IF(VLOOKUP(V188,'G-7 Rivers Data'!$AG$4:$AI$9,2,FALSE)=0,"Spatial Data Missing ⚠",VLOOKUP(V188,'G-7 Rivers Data'!$AG$4:$AI$9,2,FALSE)))</f>
        <v/>
      </c>
      <c r="X188" s="499" t="str">
        <f>IF(V188="","",IF(VLOOKUP(V188,'G-7 Rivers Data'!$AG$4:$AI$9,3,FALSE)=0,"Spatial Data Missing ⚠",VLOOKUP(V188,'G-7 Rivers Data'!$AG$4:$AI$9,3,FALSE)))</f>
        <v/>
      </c>
      <c r="Y188" s="498" t="str">
        <f>IFERROR(IF(OR(LEFT(P188,5)="Error ▲",LEFT(O188,5)="Error ▲"),"Check Data ⚠",IF(F188&lt;S188,'G-7 Rivers Data'!$R$3,INDEX('G-7 Rivers Data'!$U$5:$Y$9,MATCH(G188,'G-7 Rivers Data'!$T$5:$T$9,0),MATCH(T188,'G-7 Rivers Data'!$U$4:$Y$4,0)))),"")</f>
        <v/>
      </c>
      <c r="Z188" s="195"/>
      <c r="AA188" s="195"/>
      <c r="AB188" s="507" t="str">
        <f t="shared" si="19"/>
        <v/>
      </c>
      <c r="AC188" s="521" t="str">
        <f t="shared" si="20"/>
        <v/>
      </c>
      <c r="AD188" s="564" t="str">
        <f>IFERROR(IF(AC188="Check Data ⚠","Check Data ⚠",VLOOKUP(AC188,'G-4 Temporal multipliers'!$A$4:$C$37,3,FALSE)),"")</f>
        <v/>
      </c>
      <c r="AE188" s="498" t="str">
        <f>IF(N188="","",VLOOKUP(N188,'G-7 Rivers Data'!$B$4:$G$8,5,FALSE))</f>
        <v/>
      </c>
      <c r="AF188" s="507" t="str">
        <f t="shared" si="21"/>
        <v/>
      </c>
      <c r="AG188" s="540" t="str">
        <f t="shared" si="22"/>
        <v/>
      </c>
      <c r="AH188" s="499" t="str">
        <f t="shared" si="16"/>
        <v/>
      </c>
      <c r="AI188" s="145"/>
      <c r="AJ188" s="499" t="str">
        <f>IF(AI188="","",IF(VLOOKUP(AI188,'G-7 Rivers Data'!$AA$4:$AB$7,2,FALSE)=0,"Spatial Data Missing ⚠",VLOOKUP(AI188,'G-7 Rivers Data'!$AA$4:$AB$7,2,FALSE)))</f>
        <v/>
      </c>
      <c r="AK188" s="155"/>
      <c r="AL188" s="499" t="str">
        <f>IF(AK188="","",IF(VLOOKUP(AK188,'G-7 Rivers Data'!$AD$4:$AE$8,2,FALSE)=0,"Spatial Data Missing ⚠",VLOOKUP(AK188,'G-7 Rivers Data'!$AD$4:$AE$8,2,FALSE)))</f>
        <v/>
      </c>
      <c r="AM188" s="545" t="str">
        <f t="shared" si="23"/>
        <v/>
      </c>
      <c r="AN188" s="149"/>
      <c r="AO188" s="150"/>
      <c r="AV188" s="31" t="str">
        <f>IFERROR(INDEX('G-7 Rivers Data'!$AZ$3:$AZ$7,MATCH(N188,'G-7 Rivers Data'!$AY$3:$AY$7,0)),"")</f>
        <v/>
      </c>
    </row>
    <row r="189" spans="2:48" ht="14" x14ac:dyDescent="0.3">
      <c r="B189" s="531" t="str">
        <f>'C-1 Site River Baseline'!AN187</f>
        <v/>
      </c>
      <c r="C189" s="520" t="str">
        <f>IF(B189="","",VLOOKUP($B189,'C-1 Site River Baseline'!$C$9:$R$257,2,FALSE))</f>
        <v/>
      </c>
      <c r="D189" s="520" t="str">
        <f>IF(C189="","",VLOOKUP($B189,'C-1 Site River Baseline'!$C$9:$R$257,3,FALSE))</f>
        <v/>
      </c>
      <c r="E189" s="520" t="str">
        <f>IF(D189="","",VLOOKUP($B189,'C-1 Site River Baseline'!$C$9:$R$257,4,FALSE))</f>
        <v/>
      </c>
      <c r="F189" s="520" t="str">
        <f>IF(E189="","",VLOOKUP($B189,'C-1 Site River Baseline'!$C$9:$R$257,5,FALSE))</f>
        <v/>
      </c>
      <c r="G189" s="520" t="str">
        <f>IF(F189="","",VLOOKUP($B189,'C-1 Site River Baseline'!$C$9:$R$257,6,FALSE))</f>
        <v/>
      </c>
      <c r="H189" s="520" t="str">
        <f>IF(G189="","",VLOOKUP($B189,'C-1 Site River Baseline'!$C$9:$R$257,7,FALSE))</f>
        <v/>
      </c>
      <c r="I189" s="520" t="str">
        <f>IF(H189="","",VLOOKUP($B189,'C-1 Site River Baseline'!$C$9:$R$257,8,FALSE))</f>
        <v/>
      </c>
      <c r="J189" s="520" t="str">
        <f>IF(I189="","",VLOOKUP($B189,'C-1 Site River Baseline'!$C$9:$R$257,9,FALSE))</f>
        <v/>
      </c>
      <c r="K189" s="520" t="str">
        <f>IF(J189="","",VLOOKUP($B189,'C-1 Site River Baseline'!$C$9:$R$257,10,FALSE))</f>
        <v/>
      </c>
      <c r="L189" s="520" t="str">
        <f>IF(B189="","",VLOOKUP($B189,'C-1 Site River Baseline'!$C$9:$R$257,15,FALSE))</f>
        <v/>
      </c>
      <c r="M189" s="524" t="str">
        <f>IF(L189="","",VLOOKUP($B189,'C-1 Site River Baseline'!$C$9:$R$257,16,FALSE))</f>
        <v/>
      </c>
      <c r="N189" s="418" t="str">
        <f t="shared" si="17"/>
        <v/>
      </c>
      <c r="O189" s="498" t="str">
        <f t="shared" si="18"/>
        <v/>
      </c>
      <c r="P189" s="499" t="str">
        <f>IF(C189="","",IF(AND(LEFT(C189,55)&lt;&gt;LEFT(N189,55),O189="High - High"),"Error - Not like for like ▲",IF(AND(F189=S189,H189&gt;U189),"Error - Can not reduce condition ▲",IF(AND(F189=S189,H189=U189,AJ189='C-1 Site River Baseline'!N187,'C-1 Site River Baseline'!P187=AL189),"Error - No enhancement ▲",IF(AND(C189&lt;&gt;N189,F189&lt;S189),"Lower Distinctiveness Habitat"&amp;" - "&amp;T189,G189&amp;" - "&amp;T189)))))</f>
        <v/>
      </c>
      <c r="Q189" s="567" t="str">
        <f>IF(N189="","",VLOOKUP(B189,'C-1 Site River Baseline'!$C$10:$AA$257,19,FALSE))</f>
        <v/>
      </c>
      <c r="R189" s="498" t="str">
        <f>IF(N189="","",VLOOKUP(N189,'G-7 Rivers Data'!$B$2:$G$8,2,FALSE))</f>
        <v/>
      </c>
      <c r="S189" s="499" t="str">
        <f>IFERROR(VLOOKUP(R189,'G-7 Rivers Data'!$C$4:$D$8,2,FALSE),"")</f>
        <v/>
      </c>
      <c r="T189" s="145"/>
      <c r="U189" s="499" t="str">
        <f>IFERROR(INDEX('G-7 Rivers Data'!$H$4:$L$8,MATCH(N189,'G-7 Rivers Data'!$B$4:$B$8,0),MATCH(T189,'G-7 Rivers Data'!$H$3:$L$3,0)),"")</f>
        <v/>
      </c>
      <c r="V189" s="154"/>
      <c r="W189" s="507" t="str">
        <f>IF(V189="","",IF(VLOOKUP(V189,'G-7 Rivers Data'!$AG$4:$AI$9,2,FALSE)=0,"Spatial Data Missing ⚠",VLOOKUP(V189,'G-7 Rivers Data'!$AG$4:$AI$9,2,FALSE)))</f>
        <v/>
      </c>
      <c r="X189" s="499" t="str">
        <f>IF(V189="","",IF(VLOOKUP(V189,'G-7 Rivers Data'!$AG$4:$AI$9,3,FALSE)=0,"Spatial Data Missing ⚠",VLOOKUP(V189,'G-7 Rivers Data'!$AG$4:$AI$9,3,FALSE)))</f>
        <v/>
      </c>
      <c r="Y189" s="498" t="str">
        <f>IFERROR(IF(OR(LEFT(P189,5)="Error ▲",LEFT(O189,5)="Error ▲"),"Check Data ⚠",IF(F189&lt;S189,'G-7 Rivers Data'!$R$3,INDEX('G-7 Rivers Data'!$U$5:$Y$9,MATCH(G189,'G-7 Rivers Data'!$T$5:$T$9,0),MATCH(T189,'G-7 Rivers Data'!$U$4:$Y$4,0)))),"")</f>
        <v/>
      </c>
      <c r="Z189" s="195"/>
      <c r="AA189" s="195"/>
      <c r="AB189" s="507" t="str">
        <f t="shared" si="19"/>
        <v/>
      </c>
      <c r="AC189" s="521" t="str">
        <f t="shared" si="20"/>
        <v/>
      </c>
      <c r="AD189" s="564" t="str">
        <f>IFERROR(IF(AC189="Check Data ⚠","Check Data ⚠",VLOOKUP(AC189,'G-4 Temporal multipliers'!$A$4:$C$37,3,FALSE)),"")</f>
        <v/>
      </c>
      <c r="AE189" s="498" t="str">
        <f>IF(N189="","",VLOOKUP(N189,'G-7 Rivers Data'!$B$4:$G$8,5,FALSE))</f>
        <v/>
      </c>
      <c r="AF189" s="507" t="str">
        <f t="shared" si="21"/>
        <v/>
      </c>
      <c r="AG189" s="540" t="str">
        <f t="shared" si="22"/>
        <v/>
      </c>
      <c r="AH189" s="499" t="str">
        <f t="shared" si="16"/>
        <v/>
      </c>
      <c r="AI189" s="145"/>
      <c r="AJ189" s="499" t="str">
        <f>IF(AI189="","",IF(VLOOKUP(AI189,'G-7 Rivers Data'!$AA$4:$AB$7,2,FALSE)=0,"Spatial Data Missing ⚠",VLOOKUP(AI189,'G-7 Rivers Data'!$AA$4:$AB$7,2,FALSE)))</f>
        <v/>
      </c>
      <c r="AK189" s="155"/>
      <c r="AL189" s="499" t="str">
        <f>IF(AK189="","",IF(VLOOKUP(AK189,'G-7 Rivers Data'!$AD$4:$AE$8,2,FALSE)=0,"Spatial Data Missing ⚠",VLOOKUP(AK189,'G-7 Rivers Data'!$AD$4:$AE$8,2,FALSE)))</f>
        <v/>
      </c>
      <c r="AM189" s="545" t="str">
        <f t="shared" si="23"/>
        <v/>
      </c>
      <c r="AN189" s="149"/>
      <c r="AO189" s="150"/>
      <c r="AV189" s="31" t="str">
        <f>IFERROR(INDEX('G-7 Rivers Data'!$AZ$3:$AZ$7,MATCH(N189,'G-7 Rivers Data'!$AY$3:$AY$7,0)),"")</f>
        <v/>
      </c>
    </row>
    <row r="190" spans="2:48" ht="14" x14ac:dyDescent="0.3">
      <c r="B190" s="531" t="str">
        <f>'C-1 Site River Baseline'!AN188</f>
        <v/>
      </c>
      <c r="C190" s="520" t="str">
        <f>IF(B190="","",VLOOKUP($B190,'C-1 Site River Baseline'!$C$9:$R$257,2,FALSE))</f>
        <v/>
      </c>
      <c r="D190" s="520" t="str">
        <f>IF(C190="","",VLOOKUP($B190,'C-1 Site River Baseline'!$C$9:$R$257,3,FALSE))</f>
        <v/>
      </c>
      <c r="E190" s="520" t="str">
        <f>IF(D190="","",VLOOKUP($B190,'C-1 Site River Baseline'!$C$9:$R$257,4,FALSE))</f>
        <v/>
      </c>
      <c r="F190" s="520" t="str">
        <f>IF(E190="","",VLOOKUP($B190,'C-1 Site River Baseline'!$C$9:$R$257,5,FALSE))</f>
        <v/>
      </c>
      <c r="G190" s="520" t="str">
        <f>IF(F190="","",VLOOKUP($B190,'C-1 Site River Baseline'!$C$9:$R$257,6,FALSE))</f>
        <v/>
      </c>
      <c r="H190" s="520" t="str">
        <f>IF(G190="","",VLOOKUP($B190,'C-1 Site River Baseline'!$C$9:$R$257,7,FALSE))</f>
        <v/>
      </c>
      <c r="I190" s="520" t="str">
        <f>IF(H190="","",VLOOKUP($B190,'C-1 Site River Baseline'!$C$9:$R$257,8,FALSE))</f>
        <v/>
      </c>
      <c r="J190" s="520" t="str">
        <f>IF(I190="","",VLOOKUP($B190,'C-1 Site River Baseline'!$C$9:$R$257,9,FALSE))</f>
        <v/>
      </c>
      <c r="K190" s="520" t="str">
        <f>IF(J190="","",VLOOKUP($B190,'C-1 Site River Baseline'!$C$9:$R$257,10,FALSE))</f>
        <v/>
      </c>
      <c r="L190" s="520" t="str">
        <f>IF(B190="","",VLOOKUP($B190,'C-1 Site River Baseline'!$C$9:$R$257,15,FALSE))</f>
        <v/>
      </c>
      <c r="M190" s="524" t="str">
        <f>IF(L190="","",VLOOKUP($B190,'C-1 Site River Baseline'!$C$9:$R$257,16,FALSE))</f>
        <v/>
      </c>
      <c r="N190" s="418" t="str">
        <f t="shared" si="17"/>
        <v/>
      </c>
      <c r="O190" s="498" t="str">
        <f t="shared" si="18"/>
        <v/>
      </c>
      <c r="P190" s="499" t="str">
        <f>IF(C190="","",IF(AND(LEFT(C190,55)&lt;&gt;LEFT(N190,55),O190="High - High"),"Error - Not like for like ▲",IF(AND(F190=S190,H190&gt;U190),"Error - Can not reduce condition ▲",IF(AND(F190=S190,H190=U190,AJ190='C-1 Site River Baseline'!N188,'C-1 Site River Baseline'!P188=AL190),"Error - No enhancement ▲",IF(AND(C190&lt;&gt;N190,F190&lt;S190),"Lower Distinctiveness Habitat"&amp;" - "&amp;T190,G190&amp;" - "&amp;T190)))))</f>
        <v/>
      </c>
      <c r="Q190" s="567" t="str">
        <f>IF(N190="","",VLOOKUP(B190,'C-1 Site River Baseline'!$C$10:$AA$257,19,FALSE))</f>
        <v/>
      </c>
      <c r="R190" s="498" t="str">
        <f>IF(N190="","",VLOOKUP(N190,'G-7 Rivers Data'!$B$2:$G$8,2,FALSE))</f>
        <v/>
      </c>
      <c r="S190" s="499" t="str">
        <f>IFERROR(VLOOKUP(R190,'G-7 Rivers Data'!$C$4:$D$8,2,FALSE),"")</f>
        <v/>
      </c>
      <c r="T190" s="145"/>
      <c r="U190" s="499" t="str">
        <f>IFERROR(INDEX('G-7 Rivers Data'!$H$4:$L$8,MATCH(N190,'G-7 Rivers Data'!$B$4:$B$8,0),MATCH(T190,'G-7 Rivers Data'!$H$3:$L$3,0)),"")</f>
        <v/>
      </c>
      <c r="V190" s="154"/>
      <c r="W190" s="507" t="str">
        <f>IF(V190="","",IF(VLOOKUP(V190,'G-7 Rivers Data'!$AG$4:$AI$9,2,FALSE)=0,"Spatial Data Missing ⚠",VLOOKUP(V190,'G-7 Rivers Data'!$AG$4:$AI$9,2,FALSE)))</f>
        <v/>
      </c>
      <c r="X190" s="499" t="str">
        <f>IF(V190="","",IF(VLOOKUP(V190,'G-7 Rivers Data'!$AG$4:$AI$9,3,FALSE)=0,"Spatial Data Missing ⚠",VLOOKUP(V190,'G-7 Rivers Data'!$AG$4:$AI$9,3,FALSE)))</f>
        <v/>
      </c>
      <c r="Y190" s="498" t="str">
        <f>IFERROR(IF(OR(LEFT(P190,5)="Error ▲",LEFT(O190,5)="Error ▲"),"Check Data ⚠",IF(F190&lt;S190,'G-7 Rivers Data'!$R$3,INDEX('G-7 Rivers Data'!$U$5:$Y$9,MATCH(G190,'G-7 Rivers Data'!$T$5:$T$9,0),MATCH(T190,'G-7 Rivers Data'!$U$4:$Y$4,0)))),"")</f>
        <v/>
      </c>
      <c r="Z190" s="195"/>
      <c r="AA190" s="195"/>
      <c r="AB190" s="507" t="str">
        <f t="shared" si="19"/>
        <v/>
      </c>
      <c r="AC190" s="521" t="str">
        <f t="shared" si="20"/>
        <v/>
      </c>
      <c r="AD190" s="564" t="str">
        <f>IFERROR(IF(AC190="Check Data ⚠","Check Data ⚠",VLOOKUP(AC190,'G-4 Temporal multipliers'!$A$4:$C$37,3,FALSE)),"")</f>
        <v/>
      </c>
      <c r="AE190" s="498" t="str">
        <f>IF(N190="","",VLOOKUP(N190,'G-7 Rivers Data'!$B$4:$G$8,5,FALSE))</f>
        <v/>
      </c>
      <c r="AF190" s="507" t="str">
        <f t="shared" si="21"/>
        <v/>
      </c>
      <c r="AG190" s="540" t="str">
        <f t="shared" si="22"/>
        <v/>
      </c>
      <c r="AH190" s="499" t="str">
        <f t="shared" si="16"/>
        <v/>
      </c>
      <c r="AI190" s="145"/>
      <c r="AJ190" s="499" t="str">
        <f>IF(AI190="","",IF(VLOOKUP(AI190,'G-7 Rivers Data'!$AA$4:$AB$7,2,FALSE)=0,"Spatial Data Missing ⚠",VLOOKUP(AI190,'G-7 Rivers Data'!$AA$4:$AB$7,2,FALSE)))</f>
        <v/>
      </c>
      <c r="AK190" s="155"/>
      <c r="AL190" s="499" t="str">
        <f>IF(AK190="","",IF(VLOOKUP(AK190,'G-7 Rivers Data'!$AD$4:$AE$8,2,FALSE)=0,"Spatial Data Missing ⚠",VLOOKUP(AK190,'G-7 Rivers Data'!$AD$4:$AE$8,2,FALSE)))</f>
        <v/>
      </c>
      <c r="AM190" s="545" t="str">
        <f t="shared" si="23"/>
        <v/>
      </c>
      <c r="AN190" s="149"/>
      <c r="AO190" s="150"/>
      <c r="AV190" s="31" t="str">
        <f>IFERROR(INDEX('G-7 Rivers Data'!$AZ$3:$AZ$7,MATCH(N190,'G-7 Rivers Data'!$AY$3:$AY$7,0)),"")</f>
        <v/>
      </c>
    </row>
    <row r="191" spans="2:48" ht="14" x14ac:dyDescent="0.3">
      <c r="B191" s="531" t="str">
        <f>'C-1 Site River Baseline'!AN189</f>
        <v/>
      </c>
      <c r="C191" s="520" t="str">
        <f>IF(B191="","",VLOOKUP($B191,'C-1 Site River Baseline'!$C$9:$R$257,2,FALSE))</f>
        <v/>
      </c>
      <c r="D191" s="520" t="str">
        <f>IF(C191="","",VLOOKUP($B191,'C-1 Site River Baseline'!$C$9:$R$257,3,FALSE))</f>
        <v/>
      </c>
      <c r="E191" s="520" t="str">
        <f>IF(D191="","",VLOOKUP($B191,'C-1 Site River Baseline'!$C$9:$R$257,4,FALSE))</f>
        <v/>
      </c>
      <c r="F191" s="520" t="str">
        <f>IF(E191="","",VLOOKUP($B191,'C-1 Site River Baseline'!$C$9:$R$257,5,FALSE))</f>
        <v/>
      </c>
      <c r="G191" s="520" t="str">
        <f>IF(F191="","",VLOOKUP($B191,'C-1 Site River Baseline'!$C$9:$R$257,6,FALSE))</f>
        <v/>
      </c>
      <c r="H191" s="520" t="str">
        <f>IF(G191="","",VLOOKUP($B191,'C-1 Site River Baseline'!$C$9:$R$257,7,FALSE))</f>
        <v/>
      </c>
      <c r="I191" s="520" t="str">
        <f>IF(H191="","",VLOOKUP($B191,'C-1 Site River Baseline'!$C$9:$R$257,8,FALSE))</f>
        <v/>
      </c>
      <c r="J191" s="520" t="str">
        <f>IF(I191="","",VLOOKUP($B191,'C-1 Site River Baseline'!$C$9:$R$257,9,FALSE))</f>
        <v/>
      </c>
      <c r="K191" s="520" t="str">
        <f>IF(J191="","",VLOOKUP($B191,'C-1 Site River Baseline'!$C$9:$R$257,10,FALSE))</f>
        <v/>
      </c>
      <c r="L191" s="520" t="str">
        <f>IF(B191="","",VLOOKUP($B191,'C-1 Site River Baseline'!$C$9:$R$257,15,FALSE))</f>
        <v/>
      </c>
      <c r="M191" s="524" t="str">
        <f>IF(L191="","",VLOOKUP($B191,'C-1 Site River Baseline'!$C$9:$R$257,16,FALSE))</f>
        <v/>
      </c>
      <c r="N191" s="418" t="str">
        <f t="shared" si="17"/>
        <v/>
      </c>
      <c r="O191" s="498" t="str">
        <f t="shared" si="18"/>
        <v/>
      </c>
      <c r="P191" s="499" t="str">
        <f>IF(C191="","",IF(AND(LEFT(C191,55)&lt;&gt;LEFT(N191,55),O191="High - High"),"Error - Not like for like ▲",IF(AND(F191=S191,H191&gt;U191),"Error - Can not reduce condition ▲",IF(AND(F191=S191,H191=U191,AJ191='C-1 Site River Baseline'!N189,'C-1 Site River Baseline'!P189=AL191),"Error - No enhancement ▲",IF(AND(C191&lt;&gt;N191,F191&lt;S191),"Lower Distinctiveness Habitat"&amp;" - "&amp;T191,G191&amp;" - "&amp;T191)))))</f>
        <v/>
      </c>
      <c r="Q191" s="567" t="str">
        <f>IF(N191="","",VLOOKUP(B191,'C-1 Site River Baseline'!$C$10:$AA$257,19,FALSE))</f>
        <v/>
      </c>
      <c r="R191" s="498" t="str">
        <f>IF(N191="","",VLOOKUP(N191,'G-7 Rivers Data'!$B$2:$G$8,2,FALSE))</f>
        <v/>
      </c>
      <c r="S191" s="499" t="str">
        <f>IFERROR(VLOOKUP(R191,'G-7 Rivers Data'!$C$4:$D$8,2,FALSE),"")</f>
        <v/>
      </c>
      <c r="T191" s="145"/>
      <c r="U191" s="499" t="str">
        <f>IFERROR(INDEX('G-7 Rivers Data'!$H$4:$L$8,MATCH(N191,'G-7 Rivers Data'!$B$4:$B$8,0),MATCH(T191,'G-7 Rivers Data'!$H$3:$L$3,0)),"")</f>
        <v/>
      </c>
      <c r="V191" s="154"/>
      <c r="W191" s="507" t="str">
        <f>IF(V191="","",IF(VLOOKUP(V191,'G-7 Rivers Data'!$AG$4:$AI$9,2,FALSE)=0,"Spatial Data Missing ⚠",VLOOKUP(V191,'G-7 Rivers Data'!$AG$4:$AI$9,2,FALSE)))</f>
        <v/>
      </c>
      <c r="X191" s="499" t="str">
        <f>IF(V191="","",IF(VLOOKUP(V191,'G-7 Rivers Data'!$AG$4:$AI$9,3,FALSE)=0,"Spatial Data Missing ⚠",VLOOKUP(V191,'G-7 Rivers Data'!$AG$4:$AI$9,3,FALSE)))</f>
        <v/>
      </c>
      <c r="Y191" s="498" t="str">
        <f>IFERROR(IF(OR(LEFT(P191,5)="Error ▲",LEFT(O191,5)="Error ▲"),"Check Data ⚠",IF(F191&lt;S191,'G-7 Rivers Data'!$R$3,INDEX('G-7 Rivers Data'!$U$5:$Y$9,MATCH(G191,'G-7 Rivers Data'!$T$5:$T$9,0),MATCH(T191,'G-7 Rivers Data'!$U$4:$Y$4,0)))),"")</f>
        <v/>
      </c>
      <c r="Z191" s="195"/>
      <c r="AA191" s="195"/>
      <c r="AB191" s="507" t="str">
        <f t="shared" si="19"/>
        <v/>
      </c>
      <c r="AC191" s="521" t="str">
        <f t="shared" si="20"/>
        <v/>
      </c>
      <c r="AD191" s="564" t="str">
        <f>IFERROR(IF(AC191="Check Data ⚠","Check Data ⚠",VLOOKUP(AC191,'G-4 Temporal multipliers'!$A$4:$C$37,3,FALSE)),"")</f>
        <v/>
      </c>
      <c r="AE191" s="498" t="str">
        <f>IF(N191="","",VLOOKUP(N191,'G-7 Rivers Data'!$B$4:$G$8,5,FALSE))</f>
        <v/>
      </c>
      <c r="AF191" s="507" t="str">
        <f t="shared" si="21"/>
        <v/>
      </c>
      <c r="AG191" s="540" t="str">
        <f t="shared" si="22"/>
        <v/>
      </c>
      <c r="AH191" s="499" t="str">
        <f t="shared" si="16"/>
        <v/>
      </c>
      <c r="AI191" s="145"/>
      <c r="AJ191" s="499" t="str">
        <f>IF(AI191="","",IF(VLOOKUP(AI191,'G-7 Rivers Data'!$AA$4:$AB$7,2,FALSE)=0,"Spatial Data Missing ⚠",VLOOKUP(AI191,'G-7 Rivers Data'!$AA$4:$AB$7,2,FALSE)))</f>
        <v/>
      </c>
      <c r="AK191" s="155"/>
      <c r="AL191" s="499" t="str">
        <f>IF(AK191="","",IF(VLOOKUP(AK191,'G-7 Rivers Data'!$AD$4:$AE$8,2,FALSE)=0,"Spatial Data Missing ⚠",VLOOKUP(AK191,'G-7 Rivers Data'!$AD$4:$AE$8,2,FALSE)))</f>
        <v/>
      </c>
      <c r="AM191" s="545" t="str">
        <f t="shared" si="23"/>
        <v/>
      </c>
      <c r="AN191" s="149"/>
      <c r="AO191" s="150"/>
      <c r="AV191" s="31" t="str">
        <f>IFERROR(INDEX('G-7 Rivers Data'!$AZ$3:$AZ$7,MATCH(N191,'G-7 Rivers Data'!$AY$3:$AY$7,0)),"")</f>
        <v/>
      </c>
    </row>
    <row r="192" spans="2:48" ht="14" x14ac:dyDescent="0.3">
      <c r="B192" s="531" t="str">
        <f>'C-1 Site River Baseline'!AN190</f>
        <v/>
      </c>
      <c r="C192" s="520" t="str">
        <f>IF(B192="","",VLOOKUP($B192,'C-1 Site River Baseline'!$C$9:$R$257,2,FALSE))</f>
        <v/>
      </c>
      <c r="D192" s="520" t="str">
        <f>IF(C192="","",VLOOKUP($B192,'C-1 Site River Baseline'!$C$9:$R$257,3,FALSE))</f>
        <v/>
      </c>
      <c r="E192" s="520" t="str">
        <f>IF(D192="","",VLOOKUP($B192,'C-1 Site River Baseline'!$C$9:$R$257,4,FALSE))</f>
        <v/>
      </c>
      <c r="F192" s="520" t="str">
        <f>IF(E192="","",VLOOKUP($B192,'C-1 Site River Baseline'!$C$9:$R$257,5,FALSE))</f>
        <v/>
      </c>
      <c r="G192" s="520" t="str">
        <f>IF(F192="","",VLOOKUP($B192,'C-1 Site River Baseline'!$C$9:$R$257,6,FALSE))</f>
        <v/>
      </c>
      <c r="H192" s="520" t="str">
        <f>IF(G192="","",VLOOKUP($B192,'C-1 Site River Baseline'!$C$9:$R$257,7,FALSE))</f>
        <v/>
      </c>
      <c r="I192" s="520" t="str">
        <f>IF(H192="","",VLOOKUP($B192,'C-1 Site River Baseline'!$C$9:$R$257,8,FALSE))</f>
        <v/>
      </c>
      <c r="J192" s="520" t="str">
        <f>IF(I192="","",VLOOKUP($B192,'C-1 Site River Baseline'!$C$9:$R$257,9,FALSE))</f>
        <v/>
      </c>
      <c r="K192" s="520" t="str">
        <f>IF(J192="","",VLOOKUP($B192,'C-1 Site River Baseline'!$C$9:$R$257,10,FALSE))</f>
        <v/>
      </c>
      <c r="L192" s="520" t="str">
        <f>IF(B192="","",VLOOKUP($B192,'C-1 Site River Baseline'!$C$9:$R$257,15,FALSE))</f>
        <v/>
      </c>
      <c r="M192" s="524" t="str">
        <f>IF(L192="","",VLOOKUP($B192,'C-1 Site River Baseline'!$C$9:$R$257,16,FALSE))</f>
        <v/>
      </c>
      <c r="N192" s="418" t="str">
        <f t="shared" si="17"/>
        <v/>
      </c>
      <c r="O192" s="498" t="str">
        <f t="shared" si="18"/>
        <v/>
      </c>
      <c r="P192" s="499" t="str">
        <f>IF(C192="","",IF(AND(LEFT(C192,55)&lt;&gt;LEFT(N192,55),O192="High - High"),"Error - Not like for like ▲",IF(AND(F192=S192,H192&gt;U192),"Error - Can not reduce condition ▲",IF(AND(F192=S192,H192=U192,AJ192='C-1 Site River Baseline'!N190,'C-1 Site River Baseline'!P190=AL192),"Error - No enhancement ▲",IF(AND(C192&lt;&gt;N192,F192&lt;S192),"Lower Distinctiveness Habitat"&amp;" - "&amp;T192,G192&amp;" - "&amp;T192)))))</f>
        <v/>
      </c>
      <c r="Q192" s="567" t="str">
        <f>IF(N192="","",VLOOKUP(B192,'C-1 Site River Baseline'!$C$10:$AA$257,19,FALSE))</f>
        <v/>
      </c>
      <c r="R192" s="498" t="str">
        <f>IF(N192="","",VLOOKUP(N192,'G-7 Rivers Data'!$B$2:$G$8,2,FALSE))</f>
        <v/>
      </c>
      <c r="S192" s="499" t="str">
        <f>IFERROR(VLOOKUP(R192,'G-7 Rivers Data'!$C$4:$D$8,2,FALSE),"")</f>
        <v/>
      </c>
      <c r="T192" s="145"/>
      <c r="U192" s="499" t="str">
        <f>IFERROR(INDEX('G-7 Rivers Data'!$H$4:$L$8,MATCH(N192,'G-7 Rivers Data'!$B$4:$B$8,0),MATCH(T192,'G-7 Rivers Data'!$H$3:$L$3,0)),"")</f>
        <v/>
      </c>
      <c r="V192" s="154"/>
      <c r="W192" s="507" t="str">
        <f>IF(V192="","",IF(VLOOKUP(V192,'G-7 Rivers Data'!$AG$4:$AI$9,2,FALSE)=0,"Spatial Data Missing ⚠",VLOOKUP(V192,'G-7 Rivers Data'!$AG$4:$AI$9,2,FALSE)))</f>
        <v/>
      </c>
      <c r="X192" s="499" t="str">
        <f>IF(V192="","",IF(VLOOKUP(V192,'G-7 Rivers Data'!$AG$4:$AI$9,3,FALSE)=0,"Spatial Data Missing ⚠",VLOOKUP(V192,'G-7 Rivers Data'!$AG$4:$AI$9,3,FALSE)))</f>
        <v/>
      </c>
      <c r="Y192" s="498" t="str">
        <f>IFERROR(IF(OR(LEFT(P192,5)="Error ▲",LEFT(O192,5)="Error ▲"),"Check Data ⚠",IF(F192&lt;S192,'G-7 Rivers Data'!$R$3,INDEX('G-7 Rivers Data'!$U$5:$Y$9,MATCH(G192,'G-7 Rivers Data'!$T$5:$T$9,0),MATCH(T192,'G-7 Rivers Data'!$U$4:$Y$4,0)))),"")</f>
        <v/>
      </c>
      <c r="Z192" s="195"/>
      <c r="AA192" s="195"/>
      <c r="AB192" s="507" t="str">
        <f t="shared" si="19"/>
        <v/>
      </c>
      <c r="AC192" s="521" t="str">
        <f t="shared" si="20"/>
        <v/>
      </c>
      <c r="AD192" s="564" t="str">
        <f>IFERROR(IF(AC192="Check Data ⚠","Check Data ⚠",VLOOKUP(AC192,'G-4 Temporal multipliers'!$A$4:$C$37,3,FALSE)),"")</f>
        <v/>
      </c>
      <c r="AE192" s="498" t="str">
        <f>IF(N192="","",VLOOKUP(N192,'G-7 Rivers Data'!$B$4:$G$8,5,FALSE))</f>
        <v/>
      </c>
      <c r="AF192" s="507" t="str">
        <f t="shared" si="21"/>
        <v/>
      </c>
      <c r="AG192" s="540" t="str">
        <f t="shared" si="22"/>
        <v/>
      </c>
      <c r="AH192" s="499" t="str">
        <f t="shared" si="16"/>
        <v/>
      </c>
      <c r="AI192" s="145"/>
      <c r="AJ192" s="499" t="str">
        <f>IF(AI192="","",IF(VLOOKUP(AI192,'G-7 Rivers Data'!$AA$4:$AB$7,2,FALSE)=0,"Spatial Data Missing ⚠",VLOOKUP(AI192,'G-7 Rivers Data'!$AA$4:$AB$7,2,FALSE)))</f>
        <v/>
      </c>
      <c r="AK192" s="155"/>
      <c r="AL192" s="499" t="str">
        <f>IF(AK192="","",IF(VLOOKUP(AK192,'G-7 Rivers Data'!$AD$4:$AE$8,2,FALSE)=0,"Spatial Data Missing ⚠",VLOOKUP(AK192,'G-7 Rivers Data'!$AD$4:$AE$8,2,FALSE)))</f>
        <v/>
      </c>
      <c r="AM192" s="545" t="str">
        <f t="shared" si="23"/>
        <v/>
      </c>
      <c r="AN192" s="149"/>
      <c r="AO192" s="150"/>
      <c r="AV192" s="31" t="str">
        <f>IFERROR(INDEX('G-7 Rivers Data'!$AZ$3:$AZ$7,MATCH(N192,'G-7 Rivers Data'!$AY$3:$AY$7,0)),"")</f>
        <v/>
      </c>
    </row>
    <row r="193" spans="2:48" ht="14" x14ac:dyDescent="0.3">
      <c r="B193" s="531" t="str">
        <f>'C-1 Site River Baseline'!AN191</f>
        <v/>
      </c>
      <c r="C193" s="520" t="str">
        <f>IF(B193="","",VLOOKUP($B193,'C-1 Site River Baseline'!$C$9:$R$257,2,FALSE))</f>
        <v/>
      </c>
      <c r="D193" s="520" t="str">
        <f>IF(C193="","",VLOOKUP($B193,'C-1 Site River Baseline'!$C$9:$R$257,3,FALSE))</f>
        <v/>
      </c>
      <c r="E193" s="520" t="str">
        <f>IF(D193="","",VLOOKUP($B193,'C-1 Site River Baseline'!$C$9:$R$257,4,FALSE))</f>
        <v/>
      </c>
      <c r="F193" s="520" t="str">
        <f>IF(E193="","",VLOOKUP($B193,'C-1 Site River Baseline'!$C$9:$R$257,5,FALSE))</f>
        <v/>
      </c>
      <c r="G193" s="520" t="str">
        <f>IF(F193="","",VLOOKUP($B193,'C-1 Site River Baseline'!$C$9:$R$257,6,FALSE))</f>
        <v/>
      </c>
      <c r="H193" s="520" t="str">
        <f>IF(G193="","",VLOOKUP($B193,'C-1 Site River Baseline'!$C$9:$R$257,7,FALSE))</f>
        <v/>
      </c>
      <c r="I193" s="520" t="str">
        <f>IF(H193="","",VLOOKUP($B193,'C-1 Site River Baseline'!$C$9:$R$257,8,FALSE))</f>
        <v/>
      </c>
      <c r="J193" s="520" t="str">
        <f>IF(I193="","",VLOOKUP($B193,'C-1 Site River Baseline'!$C$9:$R$257,9,FALSE))</f>
        <v/>
      </c>
      <c r="K193" s="520" t="str">
        <f>IF(J193="","",VLOOKUP($B193,'C-1 Site River Baseline'!$C$9:$R$257,10,FALSE))</f>
        <v/>
      </c>
      <c r="L193" s="520" t="str">
        <f>IF(B193="","",VLOOKUP($B193,'C-1 Site River Baseline'!$C$9:$R$257,15,FALSE))</f>
        <v/>
      </c>
      <c r="M193" s="524" t="str">
        <f>IF(L193="","",VLOOKUP($B193,'C-1 Site River Baseline'!$C$9:$R$257,16,FALSE))</f>
        <v/>
      </c>
      <c r="N193" s="418" t="str">
        <f t="shared" si="17"/>
        <v/>
      </c>
      <c r="O193" s="498" t="str">
        <f t="shared" si="18"/>
        <v/>
      </c>
      <c r="P193" s="499" t="str">
        <f>IF(C193="","",IF(AND(LEFT(C193,55)&lt;&gt;LEFT(N193,55),O193="High - High"),"Error - Not like for like ▲",IF(AND(F193=S193,H193&gt;U193),"Error - Can not reduce condition ▲",IF(AND(F193=S193,H193=U193,AJ193='C-1 Site River Baseline'!N191,'C-1 Site River Baseline'!P191=AL193),"Error - No enhancement ▲",IF(AND(C193&lt;&gt;N193,F193&lt;S193),"Lower Distinctiveness Habitat"&amp;" - "&amp;T193,G193&amp;" - "&amp;T193)))))</f>
        <v/>
      </c>
      <c r="Q193" s="567" t="str">
        <f>IF(N193="","",VLOOKUP(B193,'C-1 Site River Baseline'!$C$10:$AA$257,19,FALSE))</f>
        <v/>
      </c>
      <c r="R193" s="498" t="str">
        <f>IF(N193="","",VLOOKUP(N193,'G-7 Rivers Data'!$B$2:$G$8,2,FALSE))</f>
        <v/>
      </c>
      <c r="S193" s="499" t="str">
        <f>IFERROR(VLOOKUP(R193,'G-7 Rivers Data'!$C$4:$D$8,2,FALSE),"")</f>
        <v/>
      </c>
      <c r="T193" s="145"/>
      <c r="U193" s="499" t="str">
        <f>IFERROR(INDEX('G-7 Rivers Data'!$H$4:$L$8,MATCH(N193,'G-7 Rivers Data'!$B$4:$B$8,0),MATCH(T193,'G-7 Rivers Data'!$H$3:$L$3,0)),"")</f>
        <v/>
      </c>
      <c r="V193" s="154"/>
      <c r="W193" s="507" t="str">
        <f>IF(V193="","",IF(VLOOKUP(V193,'G-7 Rivers Data'!$AG$4:$AI$9,2,FALSE)=0,"Spatial Data Missing ⚠",VLOOKUP(V193,'G-7 Rivers Data'!$AG$4:$AI$9,2,FALSE)))</f>
        <v/>
      </c>
      <c r="X193" s="499" t="str">
        <f>IF(V193="","",IF(VLOOKUP(V193,'G-7 Rivers Data'!$AG$4:$AI$9,3,FALSE)=0,"Spatial Data Missing ⚠",VLOOKUP(V193,'G-7 Rivers Data'!$AG$4:$AI$9,3,FALSE)))</f>
        <v/>
      </c>
      <c r="Y193" s="498" t="str">
        <f>IFERROR(IF(OR(LEFT(P193,5)="Error ▲",LEFT(O193,5)="Error ▲"),"Check Data ⚠",IF(F193&lt;S193,'G-7 Rivers Data'!$R$3,INDEX('G-7 Rivers Data'!$U$5:$Y$9,MATCH(G193,'G-7 Rivers Data'!$T$5:$T$9,0),MATCH(T193,'G-7 Rivers Data'!$U$4:$Y$4,0)))),"")</f>
        <v/>
      </c>
      <c r="Z193" s="195"/>
      <c r="AA193" s="195"/>
      <c r="AB193" s="507" t="str">
        <f t="shared" si="19"/>
        <v/>
      </c>
      <c r="AC193" s="521" t="str">
        <f t="shared" si="20"/>
        <v/>
      </c>
      <c r="AD193" s="564" t="str">
        <f>IFERROR(IF(AC193="Check Data ⚠","Check Data ⚠",VLOOKUP(AC193,'G-4 Temporal multipliers'!$A$4:$C$37,3,FALSE)),"")</f>
        <v/>
      </c>
      <c r="AE193" s="498" t="str">
        <f>IF(N193="","",VLOOKUP(N193,'G-7 Rivers Data'!$B$4:$G$8,5,FALSE))</f>
        <v/>
      </c>
      <c r="AF193" s="507" t="str">
        <f t="shared" si="21"/>
        <v/>
      </c>
      <c r="AG193" s="540" t="str">
        <f t="shared" si="22"/>
        <v/>
      </c>
      <c r="AH193" s="499" t="str">
        <f t="shared" si="16"/>
        <v/>
      </c>
      <c r="AI193" s="145"/>
      <c r="AJ193" s="499" t="str">
        <f>IF(AI193="","",IF(VLOOKUP(AI193,'G-7 Rivers Data'!$AA$4:$AB$7,2,FALSE)=0,"Spatial Data Missing ⚠",VLOOKUP(AI193,'G-7 Rivers Data'!$AA$4:$AB$7,2,FALSE)))</f>
        <v/>
      </c>
      <c r="AK193" s="155"/>
      <c r="AL193" s="499" t="str">
        <f>IF(AK193="","",IF(VLOOKUP(AK193,'G-7 Rivers Data'!$AD$4:$AE$8,2,FALSE)=0,"Spatial Data Missing ⚠",VLOOKUP(AK193,'G-7 Rivers Data'!$AD$4:$AE$8,2,FALSE)))</f>
        <v/>
      </c>
      <c r="AM193" s="545" t="str">
        <f t="shared" si="23"/>
        <v/>
      </c>
      <c r="AN193" s="149"/>
      <c r="AO193" s="150"/>
      <c r="AV193" s="31" t="str">
        <f>IFERROR(INDEX('G-7 Rivers Data'!$AZ$3:$AZ$7,MATCH(N193,'G-7 Rivers Data'!$AY$3:$AY$7,0)),"")</f>
        <v/>
      </c>
    </row>
    <row r="194" spans="2:48" ht="14" x14ac:dyDescent="0.3">
      <c r="B194" s="531" t="str">
        <f>'C-1 Site River Baseline'!AN192</f>
        <v/>
      </c>
      <c r="C194" s="520" t="str">
        <f>IF(B194="","",VLOOKUP($B194,'C-1 Site River Baseline'!$C$9:$R$257,2,FALSE))</f>
        <v/>
      </c>
      <c r="D194" s="520" t="str">
        <f>IF(C194="","",VLOOKUP($B194,'C-1 Site River Baseline'!$C$9:$R$257,3,FALSE))</f>
        <v/>
      </c>
      <c r="E194" s="520" t="str">
        <f>IF(D194="","",VLOOKUP($B194,'C-1 Site River Baseline'!$C$9:$R$257,4,FALSE))</f>
        <v/>
      </c>
      <c r="F194" s="520" t="str">
        <f>IF(E194="","",VLOOKUP($B194,'C-1 Site River Baseline'!$C$9:$R$257,5,FALSE))</f>
        <v/>
      </c>
      <c r="G194" s="520" t="str">
        <f>IF(F194="","",VLOOKUP($B194,'C-1 Site River Baseline'!$C$9:$R$257,6,FALSE))</f>
        <v/>
      </c>
      <c r="H194" s="520" t="str">
        <f>IF(G194="","",VLOOKUP($B194,'C-1 Site River Baseline'!$C$9:$R$257,7,FALSE))</f>
        <v/>
      </c>
      <c r="I194" s="520" t="str">
        <f>IF(H194="","",VLOOKUP($B194,'C-1 Site River Baseline'!$C$9:$R$257,8,FALSE))</f>
        <v/>
      </c>
      <c r="J194" s="520" t="str">
        <f>IF(I194="","",VLOOKUP($B194,'C-1 Site River Baseline'!$C$9:$R$257,9,FALSE))</f>
        <v/>
      </c>
      <c r="K194" s="520" t="str">
        <f>IF(J194="","",VLOOKUP($B194,'C-1 Site River Baseline'!$C$9:$R$257,10,FALSE))</f>
        <v/>
      </c>
      <c r="L194" s="520" t="str">
        <f>IF(B194="","",VLOOKUP($B194,'C-1 Site River Baseline'!$C$9:$R$257,15,FALSE))</f>
        <v/>
      </c>
      <c r="M194" s="524" t="str">
        <f>IF(L194="","",VLOOKUP($B194,'C-1 Site River Baseline'!$C$9:$R$257,16,FALSE))</f>
        <v/>
      </c>
      <c r="N194" s="418" t="str">
        <f t="shared" si="17"/>
        <v/>
      </c>
      <c r="O194" s="498" t="str">
        <f t="shared" si="18"/>
        <v/>
      </c>
      <c r="P194" s="499" t="str">
        <f>IF(C194="","",IF(AND(LEFT(C194,55)&lt;&gt;LEFT(N194,55),O194="High - High"),"Error - Not like for like ▲",IF(AND(F194=S194,H194&gt;U194),"Error - Can not reduce condition ▲",IF(AND(F194=S194,H194=U194,AJ194='C-1 Site River Baseline'!N192,'C-1 Site River Baseline'!P192=AL194),"Error - No enhancement ▲",IF(AND(C194&lt;&gt;N194,F194&lt;S194),"Lower Distinctiveness Habitat"&amp;" - "&amp;T194,G194&amp;" - "&amp;T194)))))</f>
        <v/>
      </c>
      <c r="Q194" s="567" t="str">
        <f>IF(N194="","",VLOOKUP(B194,'C-1 Site River Baseline'!$C$10:$AA$257,19,FALSE))</f>
        <v/>
      </c>
      <c r="R194" s="498" t="str">
        <f>IF(N194="","",VLOOKUP(N194,'G-7 Rivers Data'!$B$2:$G$8,2,FALSE))</f>
        <v/>
      </c>
      <c r="S194" s="499" t="str">
        <f>IFERROR(VLOOKUP(R194,'G-7 Rivers Data'!$C$4:$D$8,2,FALSE),"")</f>
        <v/>
      </c>
      <c r="T194" s="145"/>
      <c r="U194" s="499" t="str">
        <f>IFERROR(INDEX('G-7 Rivers Data'!$H$4:$L$8,MATCH(N194,'G-7 Rivers Data'!$B$4:$B$8,0),MATCH(T194,'G-7 Rivers Data'!$H$3:$L$3,0)),"")</f>
        <v/>
      </c>
      <c r="V194" s="154"/>
      <c r="W194" s="507" t="str">
        <f>IF(V194="","",IF(VLOOKUP(V194,'G-7 Rivers Data'!$AG$4:$AI$9,2,FALSE)=0,"Spatial Data Missing ⚠",VLOOKUP(V194,'G-7 Rivers Data'!$AG$4:$AI$9,2,FALSE)))</f>
        <v/>
      </c>
      <c r="X194" s="499" t="str">
        <f>IF(V194="","",IF(VLOOKUP(V194,'G-7 Rivers Data'!$AG$4:$AI$9,3,FALSE)=0,"Spatial Data Missing ⚠",VLOOKUP(V194,'G-7 Rivers Data'!$AG$4:$AI$9,3,FALSE)))</f>
        <v/>
      </c>
      <c r="Y194" s="498" t="str">
        <f>IFERROR(IF(OR(LEFT(P194,5)="Error ▲",LEFT(O194,5)="Error ▲"),"Check Data ⚠",IF(F194&lt;S194,'G-7 Rivers Data'!$R$3,INDEX('G-7 Rivers Data'!$U$5:$Y$9,MATCH(G194,'G-7 Rivers Data'!$T$5:$T$9,0),MATCH(T194,'G-7 Rivers Data'!$U$4:$Y$4,0)))),"")</f>
        <v/>
      </c>
      <c r="Z194" s="195"/>
      <c r="AA194" s="195"/>
      <c r="AB194" s="507" t="str">
        <f t="shared" si="19"/>
        <v/>
      </c>
      <c r="AC194" s="521" t="str">
        <f t="shared" si="20"/>
        <v/>
      </c>
      <c r="AD194" s="564" t="str">
        <f>IFERROR(IF(AC194="Check Data ⚠","Check Data ⚠",VLOOKUP(AC194,'G-4 Temporal multipliers'!$A$4:$C$37,3,FALSE)),"")</f>
        <v/>
      </c>
      <c r="AE194" s="498" t="str">
        <f>IF(N194="","",VLOOKUP(N194,'G-7 Rivers Data'!$B$4:$G$8,5,FALSE))</f>
        <v/>
      </c>
      <c r="AF194" s="507" t="str">
        <f t="shared" si="21"/>
        <v/>
      </c>
      <c r="AG194" s="540" t="str">
        <f t="shared" si="22"/>
        <v/>
      </c>
      <c r="AH194" s="499" t="str">
        <f t="shared" si="16"/>
        <v/>
      </c>
      <c r="AI194" s="145"/>
      <c r="AJ194" s="499" t="str">
        <f>IF(AI194="","",IF(VLOOKUP(AI194,'G-7 Rivers Data'!$AA$4:$AB$7,2,FALSE)=0,"Spatial Data Missing ⚠",VLOOKUP(AI194,'G-7 Rivers Data'!$AA$4:$AB$7,2,FALSE)))</f>
        <v/>
      </c>
      <c r="AK194" s="155"/>
      <c r="AL194" s="499" t="str">
        <f>IF(AK194="","",IF(VLOOKUP(AK194,'G-7 Rivers Data'!$AD$4:$AE$8,2,FALSE)=0,"Spatial Data Missing ⚠",VLOOKUP(AK194,'G-7 Rivers Data'!$AD$4:$AE$8,2,FALSE)))</f>
        <v/>
      </c>
      <c r="AM194" s="545" t="str">
        <f t="shared" si="23"/>
        <v/>
      </c>
      <c r="AN194" s="149"/>
      <c r="AO194" s="150"/>
      <c r="AV194" s="31" t="str">
        <f>IFERROR(INDEX('G-7 Rivers Data'!$AZ$3:$AZ$7,MATCH(N194,'G-7 Rivers Data'!$AY$3:$AY$7,0)),"")</f>
        <v/>
      </c>
    </row>
    <row r="195" spans="2:48" ht="14" x14ac:dyDescent="0.3">
      <c r="B195" s="531" t="str">
        <f>'C-1 Site River Baseline'!AN193</f>
        <v/>
      </c>
      <c r="C195" s="520" t="str">
        <f>IF(B195="","",VLOOKUP($B195,'C-1 Site River Baseline'!$C$9:$R$257,2,FALSE))</f>
        <v/>
      </c>
      <c r="D195" s="520" t="str">
        <f>IF(C195="","",VLOOKUP($B195,'C-1 Site River Baseline'!$C$9:$R$257,3,FALSE))</f>
        <v/>
      </c>
      <c r="E195" s="520" t="str">
        <f>IF(D195="","",VLOOKUP($B195,'C-1 Site River Baseline'!$C$9:$R$257,4,FALSE))</f>
        <v/>
      </c>
      <c r="F195" s="520" t="str">
        <f>IF(E195="","",VLOOKUP($B195,'C-1 Site River Baseline'!$C$9:$R$257,5,FALSE))</f>
        <v/>
      </c>
      <c r="G195" s="520" t="str">
        <f>IF(F195="","",VLOOKUP($B195,'C-1 Site River Baseline'!$C$9:$R$257,6,FALSE))</f>
        <v/>
      </c>
      <c r="H195" s="520" t="str">
        <f>IF(G195="","",VLOOKUP($B195,'C-1 Site River Baseline'!$C$9:$R$257,7,FALSE))</f>
        <v/>
      </c>
      <c r="I195" s="520" t="str">
        <f>IF(H195="","",VLOOKUP($B195,'C-1 Site River Baseline'!$C$9:$R$257,8,FALSE))</f>
        <v/>
      </c>
      <c r="J195" s="520" t="str">
        <f>IF(I195="","",VLOOKUP($B195,'C-1 Site River Baseline'!$C$9:$R$257,9,FALSE))</f>
        <v/>
      </c>
      <c r="K195" s="520" t="str">
        <f>IF(J195="","",VLOOKUP($B195,'C-1 Site River Baseline'!$C$9:$R$257,10,FALSE))</f>
        <v/>
      </c>
      <c r="L195" s="520" t="str">
        <f>IF(B195="","",VLOOKUP($B195,'C-1 Site River Baseline'!$C$9:$R$257,15,FALSE))</f>
        <v/>
      </c>
      <c r="M195" s="524" t="str">
        <f>IF(L195="","",VLOOKUP($B195,'C-1 Site River Baseline'!$C$9:$R$257,16,FALSE))</f>
        <v/>
      </c>
      <c r="N195" s="418" t="str">
        <f t="shared" si="17"/>
        <v/>
      </c>
      <c r="O195" s="498" t="str">
        <f t="shared" si="18"/>
        <v/>
      </c>
      <c r="P195" s="499" t="str">
        <f>IF(C195="","",IF(AND(LEFT(C195,55)&lt;&gt;LEFT(N195,55),O195="High - High"),"Error - Not like for like ▲",IF(AND(F195=S195,H195&gt;U195),"Error - Can not reduce condition ▲",IF(AND(F195=S195,H195=U195,AJ195='C-1 Site River Baseline'!N193,'C-1 Site River Baseline'!P193=AL195),"Error - No enhancement ▲",IF(AND(C195&lt;&gt;N195,F195&lt;S195),"Lower Distinctiveness Habitat"&amp;" - "&amp;T195,G195&amp;" - "&amp;T195)))))</f>
        <v/>
      </c>
      <c r="Q195" s="567" t="str">
        <f>IF(N195="","",VLOOKUP(B195,'C-1 Site River Baseline'!$C$10:$AA$257,19,FALSE))</f>
        <v/>
      </c>
      <c r="R195" s="498" t="str">
        <f>IF(N195="","",VLOOKUP(N195,'G-7 Rivers Data'!$B$2:$G$8,2,FALSE))</f>
        <v/>
      </c>
      <c r="S195" s="499" t="str">
        <f>IFERROR(VLOOKUP(R195,'G-7 Rivers Data'!$C$4:$D$8,2,FALSE),"")</f>
        <v/>
      </c>
      <c r="T195" s="145"/>
      <c r="U195" s="499" t="str">
        <f>IFERROR(INDEX('G-7 Rivers Data'!$H$4:$L$8,MATCH(N195,'G-7 Rivers Data'!$B$4:$B$8,0),MATCH(T195,'G-7 Rivers Data'!$H$3:$L$3,0)),"")</f>
        <v/>
      </c>
      <c r="V195" s="154"/>
      <c r="W195" s="507" t="str">
        <f>IF(V195="","",IF(VLOOKUP(V195,'G-7 Rivers Data'!$AG$4:$AI$9,2,FALSE)=0,"Spatial Data Missing ⚠",VLOOKUP(V195,'G-7 Rivers Data'!$AG$4:$AI$9,2,FALSE)))</f>
        <v/>
      </c>
      <c r="X195" s="499" t="str">
        <f>IF(V195="","",IF(VLOOKUP(V195,'G-7 Rivers Data'!$AG$4:$AI$9,3,FALSE)=0,"Spatial Data Missing ⚠",VLOOKUP(V195,'G-7 Rivers Data'!$AG$4:$AI$9,3,FALSE)))</f>
        <v/>
      </c>
      <c r="Y195" s="498" t="str">
        <f>IFERROR(IF(OR(LEFT(P195,5)="Error ▲",LEFT(O195,5)="Error ▲"),"Check Data ⚠",IF(F195&lt;S195,'G-7 Rivers Data'!$R$3,INDEX('G-7 Rivers Data'!$U$5:$Y$9,MATCH(G195,'G-7 Rivers Data'!$T$5:$T$9,0),MATCH(T195,'G-7 Rivers Data'!$U$4:$Y$4,0)))),"")</f>
        <v/>
      </c>
      <c r="Z195" s="195"/>
      <c r="AA195" s="195"/>
      <c r="AB195" s="507" t="str">
        <f t="shared" si="19"/>
        <v/>
      </c>
      <c r="AC195" s="521" t="str">
        <f t="shared" si="20"/>
        <v/>
      </c>
      <c r="AD195" s="564" t="str">
        <f>IFERROR(IF(AC195="Check Data ⚠","Check Data ⚠",VLOOKUP(AC195,'G-4 Temporal multipliers'!$A$4:$C$37,3,FALSE)),"")</f>
        <v/>
      </c>
      <c r="AE195" s="498" t="str">
        <f>IF(N195="","",VLOOKUP(N195,'G-7 Rivers Data'!$B$4:$G$8,5,FALSE))</f>
        <v/>
      </c>
      <c r="AF195" s="507" t="str">
        <f t="shared" si="21"/>
        <v/>
      </c>
      <c r="AG195" s="540" t="str">
        <f t="shared" si="22"/>
        <v/>
      </c>
      <c r="AH195" s="499" t="str">
        <f t="shared" si="16"/>
        <v/>
      </c>
      <c r="AI195" s="145"/>
      <c r="AJ195" s="499" t="str">
        <f>IF(AI195="","",IF(VLOOKUP(AI195,'G-7 Rivers Data'!$AA$4:$AB$7,2,FALSE)=0,"Spatial Data Missing ⚠",VLOOKUP(AI195,'G-7 Rivers Data'!$AA$4:$AB$7,2,FALSE)))</f>
        <v/>
      </c>
      <c r="AK195" s="155"/>
      <c r="AL195" s="499" t="str">
        <f>IF(AK195="","",IF(VLOOKUP(AK195,'G-7 Rivers Data'!$AD$4:$AE$8,2,FALSE)=0,"Spatial Data Missing ⚠",VLOOKUP(AK195,'G-7 Rivers Data'!$AD$4:$AE$8,2,FALSE)))</f>
        <v/>
      </c>
      <c r="AM195" s="545" t="str">
        <f t="shared" si="23"/>
        <v/>
      </c>
      <c r="AN195" s="149"/>
      <c r="AO195" s="150"/>
      <c r="AV195" s="31" t="str">
        <f>IFERROR(INDEX('G-7 Rivers Data'!$AZ$3:$AZ$7,MATCH(N195,'G-7 Rivers Data'!$AY$3:$AY$7,0)),"")</f>
        <v/>
      </c>
    </row>
    <row r="196" spans="2:48" ht="14" x14ac:dyDescent="0.3">
      <c r="B196" s="531" t="str">
        <f>'C-1 Site River Baseline'!AN194</f>
        <v/>
      </c>
      <c r="C196" s="520" t="str">
        <f>IF(B196="","",VLOOKUP($B196,'C-1 Site River Baseline'!$C$9:$R$257,2,FALSE))</f>
        <v/>
      </c>
      <c r="D196" s="520" t="str">
        <f>IF(C196="","",VLOOKUP($B196,'C-1 Site River Baseline'!$C$9:$R$257,3,FALSE))</f>
        <v/>
      </c>
      <c r="E196" s="520" t="str">
        <f>IF(D196="","",VLOOKUP($B196,'C-1 Site River Baseline'!$C$9:$R$257,4,FALSE))</f>
        <v/>
      </c>
      <c r="F196" s="520" t="str">
        <f>IF(E196="","",VLOOKUP($B196,'C-1 Site River Baseline'!$C$9:$R$257,5,FALSE))</f>
        <v/>
      </c>
      <c r="G196" s="520" t="str">
        <f>IF(F196="","",VLOOKUP($B196,'C-1 Site River Baseline'!$C$9:$R$257,6,FALSE))</f>
        <v/>
      </c>
      <c r="H196" s="520" t="str">
        <f>IF(G196="","",VLOOKUP($B196,'C-1 Site River Baseline'!$C$9:$R$257,7,FALSE))</f>
        <v/>
      </c>
      <c r="I196" s="520" t="str">
        <f>IF(H196="","",VLOOKUP($B196,'C-1 Site River Baseline'!$C$9:$R$257,8,FALSE))</f>
        <v/>
      </c>
      <c r="J196" s="520" t="str">
        <f>IF(I196="","",VLOOKUP($B196,'C-1 Site River Baseline'!$C$9:$R$257,9,FALSE))</f>
        <v/>
      </c>
      <c r="K196" s="520" t="str">
        <f>IF(J196="","",VLOOKUP($B196,'C-1 Site River Baseline'!$C$9:$R$257,10,FALSE))</f>
        <v/>
      </c>
      <c r="L196" s="520" t="str">
        <f>IF(B196="","",VLOOKUP($B196,'C-1 Site River Baseline'!$C$9:$R$257,15,FALSE))</f>
        <v/>
      </c>
      <c r="M196" s="524" t="str">
        <f>IF(L196="","",VLOOKUP($B196,'C-1 Site River Baseline'!$C$9:$R$257,16,FALSE))</f>
        <v/>
      </c>
      <c r="N196" s="418" t="str">
        <f t="shared" si="17"/>
        <v/>
      </c>
      <c r="O196" s="498" t="str">
        <f t="shared" si="18"/>
        <v/>
      </c>
      <c r="P196" s="499" t="str">
        <f>IF(C196="","",IF(AND(LEFT(C196,55)&lt;&gt;LEFT(N196,55),O196="High - High"),"Error - Not like for like ▲",IF(AND(F196=S196,H196&gt;U196),"Error - Can not reduce condition ▲",IF(AND(F196=S196,H196=U196,AJ196='C-1 Site River Baseline'!N194,'C-1 Site River Baseline'!P194=AL196),"Error - No enhancement ▲",IF(AND(C196&lt;&gt;N196,F196&lt;S196),"Lower Distinctiveness Habitat"&amp;" - "&amp;T196,G196&amp;" - "&amp;T196)))))</f>
        <v/>
      </c>
      <c r="Q196" s="567" t="str">
        <f>IF(N196="","",VLOOKUP(B196,'C-1 Site River Baseline'!$C$10:$AA$257,19,FALSE))</f>
        <v/>
      </c>
      <c r="R196" s="498" t="str">
        <f>IF(N196="","",VLOOKUP(N196,'G-7 Rivers Data'!$B$2:$G$8,2,FALSE))</f>
        <v/>
      </c>
      <c r="S196" s="499" t="str">
        <f>IFERROR(VLOOKUP(R196,'G-7 Rivers Data'!$C$4:$D$8,2,FALSE),"")</f>
        <v/>
      </c>
      <c r="T196" s="145"/>
      <c r="U196" s="499" t="str">
        <f>IFERROR(INDEX('G-7 Rivers Data'!$H$4:$L$8,MATCH(N196,'G-7 Rivers Data'!$B$4:$B$8,0),MATCH(T196,'G-7 Rivers Data'!$H$3:$L$3,0)),"")</f>
        <v/>
      </c>
      <c r="V196" s="154"/>
      <c r="W196" s="507" t="str">
        <f>IF(V196="","",IF(VLOOKUP(V196,'G-7 Rivers Data'!$AG$4:$AI$9,2,FALSE)=0,"Spatial Data Missing ⚠",VLOOKUP(V196,'G-7 Rivers Data'!$AG$4:$AI$9,2,FALSE)))</f>
        <v/>
      </c>
      <c r="X196" s="499" t="str">
        <f>IF(V196="","",IF(VLOOKUP(V196,'G-7 Rivers Data'!$AG$4:$AI$9,3,FALSE)=0,"Spatial Data Missing ⚠",VLOOKUP(V196,'G-7 Rivers Data'!$AG$4:$AI$9,3,FALSE)))</f>
        <v/>
      </c>
      <c r="Y196" s="498" t="str">
        <f>IFERROR(IF(OR(LEFT(P196,5)="Error ▲",LEFT(O196,5)="Error ▲"),"Check Data ⚠",IF(F196&lt;S196,'G-7 Rivers Data'!$R$3,INDEX('G-7 Rivers Data'!$U$5:$Y$9,MATCH(G196,'G-7 Rivers Data'!$T$5:$T$9,0),MATCH(T196,'G-7 Rivers Data'!$U$4:$Y$4,0)))),"")</f>
        <v/>
      </c>
      <c r="Z196" s="195"/>
      <c r="AA196" s="195"/>
      <c r="AB196" s="507" t="str">
        <f t="shared" si="19"/>
        <v/>
      </c>
      <c r="AC196" s="521" t="str">
        <f t="shared" si="20"/>
        <v/>
      </c>
      <c r="AD196" s="564" t="str">
        <f>IFERROR(IF(AC196="Check Data ⚠","Check Data ⚠",VLOOKUP(AC196,'G-4 Temporal multipliers'!$A$4:$C$37,3,FALSE)),"")</f>
        <v/>
      </c>
      <c r="AE196" s="498" t="str">
        <f>IF(N196="","",VLOOKUP(N196,'G-7 Rivers Data'!$B$4:$G$8,5,FALSE))</f>
        <v/>
      </c>
      <c r="AF196" s="507" t="str">
        <f t="shared" si="21"/>
        <v/>
      </c>
      <c r="AG196" s="540" t="str">
        <f t="shared" si="22"/>
        <v/>
      </c>
      <c r="AH196" s="499" t="str">
        <f t="shared" si="16"/>
        <v/>
      </c>
      <c r="AI196" s="145"/>
      <c r="AJ196" s="499" t="str">
        <f>IF(AI196="","",IF(VLOOKUP(AI196,'G-7 Rivers Data'!$AA$4:$AB$7,2,FALSE)=0,"Spatial Data Missing ⚠",VLOOKUP(AI196,'G-7 Rivers Data'!$AA$4:$AB$7,2,FALSE)))</f>
        <v/>
      </c>
      <c r="AK196" s="155"/>
      <c r="AL196" s="499" t="str">
        <f>IF(AK196="","",IF(VLOOKUP(AK196,'G-7 Rivers Data'!$AD$4:$AE$8,2,FALSE)=0,"Spatial Data Missing ⚠",VLOOKUP(AK196,'G-7 Rivers Data'!$AD$4:$AE$8,2,FALSE)))</f>
        <v/>
      </c>
      <c r="AM196" s="545" t="str">
        <f t="shared" si="23"/>
        <v/>
      </c>
      <c r="AN196" s="149"/>
      <c r="AO196" s="150"/>
      <c r="AV196" s="31" t="str">
        <f>IFERROR(INDEX('G-7 Rivers Data'!$AZ$3:$AZ$7,MATCH(N196,'G-7 Rivers Data'!$AY$3:$AY$7,0)),"")</f>
        <v/>
      </c>
    </row>
    <row r="197" spans="2:48" ht="14" x14ac:dyDescent="0.3">
      <c r="B197" s="531" t="str">
        <f>'C-1 Site River Baseline'!AN195</f>
        <v/>
      </c>
      <c r="C197" s="520" t="str">
        <f>IF(B197="","",VLOOKUP($B197,'C-1 Site River Baseline'!$C$9:$R$257,2,FALSE))</f>
        <v/>
      </c>
      <c r="D197" s="520" t="str">
        <f>IF(C197="","",VLOOKUP($B197,'C-1 Site River Baseline'!$C$9:$R$257,3,FALSE))</f>
        <v/>
      </c>
      <c r="E197" s="520" t="str">
        <f>IF(D197="","",VLOOKUP($B197,'C-1 Site River Baseline'!$C$9:$R$257,4,FALSE))</f>
        <v/>
      </c>
      <c r="F197" s="520" t="str">
        <f>IF(E197="","",VLOOKUP($B197,'C-1 Site River Baseline'!$C$9:$R$257,5,FALSE))</f>
        <v/>
      </c>
      <c r="G197" s="520" t="str">
        <f>IF(F197="","",VLOOKUP($B197,'C-1 Site River Baseline'!$C$9:$R$257,6,FALSE))</f>
        <v/>
      </c>
      <c r="H197" s="520" t="str">
        <f>IF(G197="","",VLOOKUP($B197,'C-1 Site River Baseline'!$C$9:$R$257,7,FALSE))</f>
        <v/>
      </c>
      <c r="I197" s="520" t="str">
        <f>IF(H197="","",VLOOKUP($B197,'C-1 Site River Baseline'!$C$9:$R$257,8,FALSE))</f>
        <v/>
      </c>
      <c r="J197" s="520" t="str">
        <f>IF(I197="","",VLOOKUP($B197,'C-1 Site River Baseline'!$C$9:$R$257,9,FALSE))</f>
        <v/>
      </c>
      <c r="K197" s="520" t="str">
        <f>IF(J197="","",VLOOKUP($B197,'C-1 Site River Baseline'!$C$9:$R$257,10,FALSE))</f>
        <v/>
      </c>
      <c r="L197" s="520" t="str">
        <f>IF(B197="","",VLOOKUP($B197,'C-1 Site River Baseline'!$C$9:$R$257,15,FALSE))</f>
        <v/>
      </c>
      <c r="M197" s="524" t="str">
        <f>IF(L197="","",VLOOKUP($B197,'C-1 Site River Baseline'!$C$9:$R$257,16,FALSE))</f>
        <v/>
      </c>
      <c r="N197" s="418" t="str">
        <f t="shared" si="17"/>
        <v/>
      </c>
      <c r="O197" s="498" t="str">
        <f t="shared" si="18"/>
        <v/>
      </c>
      <c r="P197" s="499" t="str">
        <f>IF(C197="","",IF(AND(LEFT(C197,55)&lt;&gt;LEFT(N197,55),O197="High - High"),"Error - Not like for like ▲",IF(AND(F197=S197,H197&gt;U197),"Error - Can not reduce condition ▲",IF(AND(F197=S197,H197=U197,AJ197='C-1 Site River Baseline'!N195,'C-1 Site River Baseline'!P195=AL197),"Error - No enhancement ▲",IF(AND(C197&lt;&gt;N197,F197&lt;S197),"Lower Distinctiveness Habitat"&amp;" - "&amp;T197,G197&amp;" - "&amp;T197)))))</f>
        <v/>
      </c>
      <c r="Q197" s="567" t="str">
        <f>IF(N197="","",VLOOKUP(B197,'C-1 Site River Baseline'!$C$10:$AA$257,19,FALSE))</f>
        <v/>
      </c>
      <c r="R197" s="498" t="str">
        <f>IF(N197="","",VLOOKUP(N197,'G-7 Rivers Data'!$B$2:$G$8,2,FALSE))</f>
        <v/>
      </c>
      <c r="S197" s="499" t="str">
        <f>IFERROR(VLOOKUP(R197,'G-7 Rivers Data'!$C$4:$D$8,2,FALSE),"")</f>
        <v/>
      </c>
      <c r="T197" s="145"/>
      <c r="U197" s="499" t="str">
        <f>IFERROR(INDEX('G-7 Rivers Data'!$H$4:$L$8,MATCH(N197,'G-7 Rivers Data'!$B$4:$B$8,0),MATCH(T197,'G-7 Rivers Data'!$H$3:$L$3,0)),"")</f>
        <v/>
      </c>
      <c r="V197" s="154"/>
      <c r="W197" s="507" t="str">
        <f>IF(V197="","",IF(VLOOKUP(V197,'G-7 Rivers Data'!$AG$4:$AI$9,2,FALSE)=0,"Spatial Data Missing ⚠",VLOOKUP(V197,'G-7 Rivers Data'!$AG$4:$AI$9,2,FALSE)))</f>
        <v/>
      </c>
      <c r="X197" s="499" t="str">
        <f>IF(V197="","",IF(VLOOKUP(V197,'G-7 Rivers Data'!$AG$4:$AI$9,3,FALSE)=0,"Spatial Data Missing ⚠",VLOOKUP(V197,'G-7 Rivers Data'!$AG$4:$AI$9,3,FALSE)))</f>
        <v/>
      </c>
      <c r="Y197" s="498" t="str">
        <f>IFERROR(IF(OR(LEFT(P197,5)="Error ▲",LEFT(O197,5)="Error ▲"),"Check Data ⚠",IF(F197&lt;S197,'G-7 Rivers Data'!$R$3,INDEX('G-7 Rivers Data'!$U$5:$Y$9,MATCH(G197,'G-7 Rivers Data'!$T$5:$T$9,0),MATCH(T197,'G-7 Rivers Data'!$U$4:$Y$4,0)))),"")</f>
        <v/>
      </c>
      <c r="Z197" s="195"/>
      <c r="AA197" s="195"/>
      <c r="AB197" s="507" t="str">
        <f t="shared" si="19"/>
        <v/>
      </c>
      <c r="AC197" s="521" t="str">
        <f t="shared" si="20"/>
        <v/>
      </c>
      <c r="AD197" s="564" t="str">
        <f>IFERROR(IF(AC197="Check Data ⚠","Check Data ⚠",VLOOKUP(AC197,'G-4 Temporal multipliers'!$A$4:$C$37,3,FALSE)),"")</f>
        <v/>
      </c>
      <c r="AE197" s="498" t="str">
        <f>IF(N197="","",VLOOKUP(N197,'G-7 Rivers Data'!$B$4:$G$8,5,FALSE))</f>
        <v/>
      </c>
      <c r="AF197" s="507" t="str">
        <f t="shared" si="21"/>
        <v/>
      </c>
      <c r="AG197" s="540" t="str">
        <f t="shared" si="22"/>
        <v/>
      </c>
      <c r="AH197" s="499" t="str">
        <f t="shared" si="16"/>
        <v/>
      </c>
      <c r="AI197" s="145"/>
      <c r="AJ197" s="499" t="str">
        <f>IF(AI197="","",IF(VLOOKUP(AI197,'G-7 Rivers Data'!$AA$4:$AB$7,2,FALSE)=0,"Spatial Data Missing ⚠",VLOOKUP(AI197,'G-7 Rivers Data'!$AA$4:$AB$7,2,FALSE)))</f>
        <v/>
      </c>
      <c r="AK197" s="155"/>
      <c r="AL197" s="499" t="str">
        <f>IF(AK197="","",IF(VLOOKUP(AK197,'G-7 Rivers Data'!$AD$4:$AE$8,2,FALSE)=0,"Spatial Data Missing ⚠",VLOOKUP(AK197,'G-7 Rivers Data'!$AD$4:$AE$8,2,FALSE)))</f>
        <v/>
      </c>
      <c r="AM197" s="545" t="str">
        <f t="shared" si="23"/>
        <v/>
      </c>
      <c r="AN197" s="149"/>
      <c r="AO197" s="150"/>
      <c r="AV197" s="31" t="str">
        <f>IFERROR(INDEX('G-7 Rivers Data'!$AZ$3:$AZ$7,MATCH(N197,'G-7 Rivers Data'!$AY$3:$AY$7,0)),"")</f>
        <v/>
      </c>
    </row>
    <row r="198" spans="2:48" ht="14" x14ac:dyDescent="0.3">
      <c r="B198" s="531" t="str">
        <f>'C-1 Site River Baseline'!AN196</f>
        <v/>
      </c>
      <c r="C198" s="520" t="str">
        <f>IF(B198="","",VLOOKUP($B198,'C-1 Site River Baseline'!$C$9:$R$257,2,FALSE))</f>
        <v/>
      </c>
      <c r="D198" s="520" t="str">
        <f>IF(C198="","",VLOOKUP($B198,'C-1 Site River Baseline'!$C$9:$R$257,3,FALSE))</f>
        <v/>
      </c>
      <c r="E198" s="520" t="str">
        <f>IF(D198="","",VLOOKUP($B198,'C-1 Site River Baseline'!$C$9:$R$257,4,FALSE))</f>
        <v/>
      </c>
      <c r="F198" s="520" t="str">
        <f>IF(E198="","",VLOOKUP($B198,'C-1 Site River Baseline'!$C$9:$R$257,5,FALSE))</f>
        <v/>
      </c>
      <c r="G198" s="520" t="str">
        <f>IF(F198="","",VLOOKUP($B198,'C-1 Site River Baseline'!$C$9:$R$257,6,FALSE))</f>
        <v/>
      </c>
      <c r="H198" s="520" t="str">
        <f>IF(G198="","",VLOOKUP($B198,'C-1 Site River Baseline'!$C$9:$R$257,7,FALSE))</f>
        <v/>
      </c>
      <c r="I198" s="520" t="str">
        <f>IF(H198="","",VLOOKUP($B198,'C-1 Site River Baseline'!$C$9:$R$257,8,FALSE))</f>
        <v/>
      </c>
      <c r="J198" s="520" t="str">
        <f>IF(I198="","",VLOOKUP($B198,'C-1 Site River Baseline'!$C$9:$R$257,9,FALSE))</f>
        <v/>
      </c>
      <c r="K198" s="520" t="str">
        <f>IF(J198="","",VLOOKUP($B198,'C-1 Site River Baseline'!$C$9:$R$257,10,FALSE))</f>
        <v/>
      </c>
      <c r="L198" s="520" t="str">
        <f>IF(B198="","",VLOOKUP($B198,'C-1 Site River Baseline'!$C$9:$R$257,15,FALSE))</f>
        <v/>
      </c>
      <c r="M198" s="524" t="str">
        <f>IF(L198="","",VLOOKUP($B198,'C-1 Site River Baseline'!$C$9:$R$257,16,FALSE))</f>
        <v/>
      </c>
      <c r="N198" s="418" t="str">
        <f t="shared" si="17"/>
        <v/>
      </c>
      <c r="O198" s="498" t="str">
        <f t="shared" si="18"/>
        <v/>
      </c>
      <c r="P198" s="499" t="str">
        <f>IF(C198="","",IF(AND(LEFT(C198,55)&lt;&gt;LEFT(N198,55),O198="High - High"),"Error - Not like for like ▲",IF(AND(F198=S198,H198&gt;U198),"Error - Can not reduce condition ▲",IF(AND(F198=S198,H198=U198,AJ198='C-1 Site River Baseline'!N196,'C-1 Site River Baseline'!P196=AL198),"Error - No enhancement ▲",IF(AND(C198&lt;&gt;N198,F198&lt;S198),"Lower Distinctiveness Habitat"&amp;" - "&amp;T198,G198&amp;" - "&amp;T198)))))</f>
        <v/>
      </c>
      <c r="Q198" s="567" t="str">
        <f>IF(N198="","",VLOOKUP(B198,'C-1 Site River Baseline'!$C$10:$AA$257,19,FALSE))</f>
        <v/>
      </c>
      <c r="R198" s="498" t="str">
        <f>IF(N198="","",VLOOKUP(N198,'G-7 Rivers Data'!$B$2:$G$8,2,FALSE))</f>
        <v/>
      </c>
      <c r="S198" s="499" t="str">
        <f>IFERROR(VLOOKUP(R198,'G-7 Rivers Data'!$C$4:$D$8,2,FALSE),"")</f>
        <v/>
      </c>
      <c r="T198" s="145"/>
      <c r="U198" s="499" t="str">
        <f>IFERROR(INDEX('G-7 Rivers Data'!$H$4:$L$8,MATCH(N198,'G-7 Rivers Data'!$B$4:$B$8,0),MATCH(T198,'G-7 Rivers Data'!$H$3:$L$3,0)),"")</f>
        <v/>
      </c>
      <c r="V198" s="154"/>
      <c r="W198" s="507" t="str">
        <f>IF(V198="","",IF(VLOOKUP(V198,'G-7 Rivers Data'!$AG$4:$AI$9,2,FALSE)=0,"Spatial Data Missing ⚠",VLOOKUP(V198,'G-7 Rivers Data'!$AG$4:$AI$9,2,FALSE)))</f>
        <v/>
      </c>
      <c r="X198" s="499" t="str">
        <f>IF(V198="","",IF(VLOOKUP(V198,'G-7 Rivers Data'!$AG$4:$AI$9,3,FALSE)=0,"Spatial Data Missing ⚠",VLOOKUP(V198,'G-7 Rivers Data'!$AG$4:$AI$9,3,FALSE)))</f>
        <v/>
      </c>
      <c r="Y198" s="498" t="str">
        <f>IFERROR(IF(OR(LEFT(P198,5)="Error ▲",LEFT(O198,5)="Error ▲"),"Check Data ⚠",IF(F198&lt;S198,'G-7 Rivers Data'!$R$3,INDEX('G-7 Rivers Data'!$U$5:$Y$9,MATCH(G198,'G-7 Rivers Data'!$T$5:$T$9,0),MATCH(T198,'G-7 Rivers Data'!$U$4:$Y$4,0)))),"")</f>
        <v/>
      </c>
      <c r="Z198" s="195"/>
      <c r="AA198" s="195"/>
      <c r="AB198" s="507" t="str">
        <f t="shared" si="19"/>
        <v/>
      </c>
      <c r="AC198" s="521" t="str">
        <f t="shared" si="20"/>
        <v/>
      </c>
      <c r="AD198" s="564" t="str">
        <f>IFERROR(IF(AC198="Check Data ⚠","Check Data ⚠",VLOOKUP(AC198,'G-4 Temporal multipliers'!$A$4:$C$37,3,FALSE)),"")</f>
        <v/>
      </c>
      <c r="AE198" s="498" t="str">
        <f>IF(N198="","",VLOOKUP(N198,'G-7 Rivers Data'!$B$4:$G$8,5,FALSE))</f>
        <v/>
      </c>
      <c r="AF198" s="507" t="str">
        <f t="shared" si="21"/>
        <v/>
      </c>
      <c r="AG198" s="540" t="str">
        <f t="shared" si="22"/>
        <v/>
      </c>
      <c r="AH198" s="499" t="str">
        <f t="shared" si="16"/>
        <v/>
      </c>
      <c r="AI198" s="145"/>
      <c r="AJ198" s="499" t="str">
        <f>IF(AI198="","",IF(VLOOKUP(AI198,'G-7 Rivers Data'!$AA$4:$AB$7,2,FALSE)=0,"Spatial Data Missing ⚠",VLOOKUP(AI198,'G-7 Rivers Data'!$AA$4:$AB$7,2,FALSE)))</f>
        <v/>
      </c>
      <c r="AK198" s="155"/>
      <c r="AL198" s="499" t="str">
        <f>IF(AK198="","",IF(VLOOKUP(AK198,'G-7 Rivers Data'!$AD$4:$AE$8,2,FALSE)=0,"Spatial Data Missing ⚠",VLOOKUP(AK198,'G-7 Rivers Data'!$AD$4:$AE$8,2,FALSE)))</f>
        <v/>
      </c>
      <c r="AM198" s="545" t="str">
        <f t="shared" si="23"/>
        <v/>
      </c>
      <c r="AN198" s="149"/>
      <c r="AO198" s="150"/>
      <c r="AV198" s="31" t="str">
        <f>IFERROR(INDEX('G-7 Rivers Data'!$AZ$3:$AZ$7,MATCH(N198,'G-7 Rivers Data'!$AY$3:$AY$7,0)),"")</f>
        <v/>
      </c>
    </row>
    <row r="199" spans="2:48" ht="14" x14ac:dyDescent="0.3">
      <c r="B199" s="531" t="str">
        <f>'C-1 Site River Baseline'!AN197</f>
        <v/>
      </c>
      <c r="C199" s="520" t="str">
        <f>IF(B199="","",VLOOKUP($B199,'C-1 Site River Baseline'!$C$9:$R$257,2,FALSE))</f>
        <v/>
      </c>
      <c r="D199" s="520" t="str">
        <f>IF(C199="","",VLOOKUP($B199,'C-1 Site River Baseline'!$C$9:$R$257,3,FALSE))</f>
        <v/>
      </c>
      <c r="E199" s="520" t="str">
        <f>IF(D199="","",VLOOKUP($B199,'C-1 Site River Baseline'!$C$9:$R$257,4,FALSE))</f>
        <v/>
      </c>
      <c r="F199" s="520" t="str">
        <f>IF(E199="","",VLOOKUP($B199,'C-1 Site River Baseline'!$C$9:$R$257,5,FALSE))</f>
        <v/>
      </c>
      <c r="G199" s="520" t="str">
        <f>IF(F199="","",VLOOKUP($B199,'C-1 Site River Baseline'!$C$9:$R$257,6,FALSE))</f>
        <v/>
      </c>
      <c r="H199" s="520" t="str">
        <f>IF(G199="","",VLOOKUP($B199,'C-1 Site River Baseline'!$C$9:$R$257,7,FALSE))</f>
        <v/>
      </c>
      <c r="I199" s="520" t="str">
        <f>IF(H199="","",VLOOKUP($B199,'C-1 Site River Baseline'!$C$9:$R$257,8,FALSE))</f>
        <v/>
      </c>
      <c r="J199" s="520" t="str">
        <f>IF(I199="","",VLOOKUP($B199,'C-1 Site River Baseline'!$C$9:$R$257,9,FALSE))</f>
        <v/>
      </c>
      <c r="K199" s="520" t="str">
        <f>IF(J199="","",VLOOKUP($B199,'C-1 Site River Baseline'!$C$9:$R$257,10,FALSE))</f>
        <v/>
      </c>
      <c r="L199" s="520" t="str">
        <f>IF(B199="","",VLOOKUP($B199,'C-1 Site River Baseline'!$C$9:$R$257,15,FALSE))</f>
        <v/>
      </c>
      <c r="M199" s="524" t="str">
        <f>IF(L199="","",VLOOKUP($B199,'C-1 Site River Baseline'!$C$9:$R$257,16,FALSE))</f>
        <v/>
      </c>
      <c r="N199" s="418" t="str">
        <f t="shared" si="17"/>
        <v/>
      </c>
      <c r="O199" s="498" t="str">
        <f t="shared" si="18"/>
        <v/>
      </c>
      <c r="P199" s="499" t="str">
        <f>IF(C199="","",IF(AND(LEFT(C199,55)&lt;&gt;LEFT(N199,55),O199="High - High"),"Error - Not like for like ▲",IF(AND(F199=S199,H199&gt;U199),"Error - Can not reduce condition ▲",IF(AND(F199=S199,H199=U199,AJ199='C-1 Site River Baseline'!N197,'C-1 Site River Baseline'!P197=AL199),"Error - No enhancement ▲",IF(AND(C199&lt;&gt;N199,F199&lt;S199),"Lower Distinctiveness Habitat"&amp;" - "&amp;T199,G199&amp;" - "&amp;T199)))))</f>
        <v/>
      </c>
      <c r="Q199" s="567" t="str">
        <f>IF(N199="","",VLOOKUP(B199,'C-1 Site River Baseline'!$C$10:$AA$257,19,FALSE))</f>
        <v/>
      </c>
      <c r="R199" s="498" t="str">
        <f>IF(N199="","",VLOOKUP(N199,'G-7 Rivers Data'!$B$2:$G$8,2,FALSE))</f>
        <v/>
      </c>
      <c r="S199" s="499" t="str">
        <f>IFERROR(VLOOKUP(R199,'G-7 Rivers Data'!$C$4:$D$8,2,FALSE),"")</f>
        <v/>
      </c>
      <c r="T199" s="145"/>
      <c r="U199" s="499" t="str">
        <f>IFERROR(INDEX('G-7 Rivers Data'!$H$4:$L$8,MATCH(N199,'G-7 Rivers Data'!$B$4:$B$8,0),MATCH(T199,'G-7 Rivers Data'!$H$3:$L$3,0)),"")</f>
        <v/>
      </c>
      <c r="V199" s="154"/>
      <c r="W199" s="507" t="str">
        <f>IF(V199="","",IF(VLOOKUP(V199,'G-7 Rivers Data'!$AG$4:$AI$9,2,FALSE)=0,"Spatial Data Missing ⚠",VLOOKUP(V199,'G-7 Rivers Data'!$AG$4:$AI$9,2,FALSE)))</f>
        <v/>
      </c>
      <c r="X199" s="499" t="str">
        <f>IF(V199="","",IF(VLOOKUP(V199,'G-7 Rivers Data'!$AG$4:$AI$9,3,FALSE)=0,"Spatial Data Missing ⚠",VLOOKUP(V199,'G-7 Rivers Data'!$AG$4:$AI$9,3,FALSE)))</f>
        <v/>
      </c>
      <c r="Y199" s="498" t="str">
        <f>IFERROR(IF(OR(LEFT(P199,5)="Error ▲",LEFT(O199,5)="Error ▲"),"Check Data ⚠",IF(F199&lt;S199,'G-7 Rivers Data'!$R$3,INDEX('G-7 Rivers Data'!$U$5:$Y$9,MATCH(G199,'G-7 Rivers Data'!$T$5:$T$9,0),MATCH(T199,'G-7 Rivers Data'!$U$4:$Y$4,0)))),"")</f>
        <v/>
      </c>
      <c r="Z199" s="195"/>
      <c r="AA199" s="195"/>
      <c r="AB199" s="507" t="str">
        <f t="shared" si="19"/>
        <v/>
      </c>
      <c r="AC199" s="521" t="str">
        <f t="shared" si="20"/>
        <v/>
      </c>
      <c r="AD199" s="564" t="str">
        <f>IFERROR(IF(AC199="Check Data ⚠","Check Data ⚠",VLOOKUP(AC199,'G-4 Temporal multipliers'!$A$4:$C$37,3,FALSE)),"")</f>
        <v/>
      </c>
      <c r="AE199" s="498" t="str">
        <f>IF(N199="","",VLOOKUP(N199,'G-7 Rivers Data'!$B$4:$G$8,5,FALSE))</f>
        <v/>
      </c>
      <c r="AF199" s="507" t="str">
        <f t="shared" si="21"/>
        <v/>
      </c>
      <c r="AG199" s="540" t="str">
        <f t="shared" si="22"/>
        <v/>
      </c>
      <c r="AH199" s="499" t="str">
        <f t="shared" si="16"/>
        <v/>
      </c>
      <c r="AI199" s="145"/>
      <c r="AJ199" s="499" t="str">
        <f>IF(AI199="","",IF(VLOOKUP(AI199,'G-7 Rivers Data'!$AA$4:$AB$7,2,FALSE)=0,"Spatial Data Missing ⚠",VLOOKUP(AI199,'G-7 Rivers Data'!$AA$4:$AB$7,2,FALSE)))</f>
        <v/>
      </c>
      <c r="AK199" s="155"/>
      <c r="AL199" s="499" t="str">
        <f>IF(AK199="","",IF(VLOOKUP(AK199,'G-7 Rivers Data'!$AD$4:$AE$8,2,FALSE)=0,"Spatial Data Missing ⚠",VLOOKUP(AK199,'G-7 Rivers Data'!$AD$4:$AE$8,2,FALSE)))</f>
        <v/>
      </c>
      <c r="AM199" s="545" t="str">
        <f t="shared" si="23"/>
        <v/>
      </c>
      <c r="AN199" s="149"/>
      <c r="AO199" s="150"/>
      <c r="AV199" s="31" t="str">
        <f>IFERROR(INDEX('G-7 Rivers Data'!$AZ$3:$AZ$7,MATCH(N199,'G-7 Rivers Data'!$AY$3:$AY$7,0)),"")</f>
        <v/>
      </c>
    </row>
    <row r="200" spans="2:48" ht="14" x14ac:dyDescent="0.3">
      <c r="B200" s="531" t="str">
        <f>'C-1 Site River Baseline'!AN198</f>
        <v/>
      </c>
      <c r="C200" s="520" t="str">
        <f>IF(B200="","",VLOOKUP($B200,'C-1 Site River Baseline'!$C$9:$R$257,2,FALSE))</f>
        <v/>
      </c>
      <c r="D200" s="520" t="str">
        <f>IF(C200="","",VLOOKUP($B200,'C-1 Site River Baseline'!$C$9:$R$257,3,FALSE))</f>
        <v/>
      </c>
      <c r="E200" s="520" t="str">
        <f>IF(D200="","",VLOOKUP($B200,'C-1 Site River Baseline'!$C$9:$R$257,4,FALSE))</f>
        <v/>
      </c>
      <c r="F200" s="520" t="str">
        <f>IF(E200="","",VLOOKUP($B200,'C-1 Site River Baseline'!$C$9:$R$257,5,FALSE))</f>
        <v/>
      </c>
      <c r="G200" s="520" t="str">
        <f>IF(F200="","",VLOOKUP($B200,'C-1 Site River Baseline'!$C$9:$R$257,6,FALSE))</f>
        <v/>
      </c>
      <c r="H200" s="520" t="str">
        <f>IF(G200="","",VLOOKUP($B200,'C-1 Site River Baseline'!$C$9:$R$257,7,FALSE))</f>
        <v/>
      </c>
      <c r="I200" s="520" t="str">
        <f>IF(H200="","",VLOOKUP($B200,'C-1 Site River Baseline'!$C$9:$R$257,8,FALSE))</f>
        <v/>
      </c>
      <c r="J200" s="520" t="str">
        <f>IF(I200="","",VLOOKUP($B200,'C-1 Site River Baseline'!$C$9:$R$257,9,FALSE))</f>
        <v/>
      </c>
      <c r="K200" s="520" t="str">
        <f>IF(J200="","",VLOOKUP($B200,'C-1 Site River Baseline'!$C$9:$R$257,10,FALSE))</f>
        <v/>
      </c>
      <c r="L200" s="520" t="str">
        <f>IF(B200="","",VLOOKUP($B200,'C-1 Site River Baseline'!$C$9:$R$257,15,FALSE))</f>
        <v/>
      </c>
      <c r="M200" s="524" t="str">
        <f>IF(L200="","",VLOOKUP($B200,'C-1 Site River Baseline'!$C$9:$R$257,16,FALSE))</f>
        <v/>
      </c>
      <c r="N200" s="418" t="str">
        <f t="shared" si="17"/>
        <v/>
      </c>
      <c r="O200" s="498" t="str">
        <f t="shared" si="18"/>
        <v/>
      </c>
      <c r="P200" s="499" t="str">
        <f>IF(C200="","",IF(AND(LEFT(C200,55)&lt;&gt;LEFT(N200,55),O200="High - High"),"Error - Not like for like ▲",IF(AND(F200=S200,H200&gt;U200),"Error - Can not reduce condition ▲",IF(AND(F200=S200,H200=U200,AJ200='C-1 Site River Baseline'!N198,'C-1 Site River Baseline'!P198=AL200),"Error - No enhancement ▲",IF(AND(C200&lt;&gt;N200,F200&lt;S200),"Lower Distinctiveness Habitat"&amp;" - "&amp;T200,G200&amp;" - "&amp;T200)))))</f>
        <v/>
      </c>
      <c r="Q200" s="567" t="str">
        <f>IF(N200="","",VLOOKUP(B200,'C-1 Site River Baseline'!$C$10:$AA$257,19,FALSE))</f>
        <v/>
      </c>
      <c r="R200" s="498" t="str">
        <f>IF(N200="","",VLOOKUP(N200,'G-7 Rivers Data'!$B$2:$G$8,2,FALSE))</f>
        <v/>
      </c>
      <c r="S200" s="499" t="str">
        <f>IFERROR(VLOOKUP(R200,'G-7 Rivers Data'!$C$4:$D$8,2,FALSE),"")</f>
        <v/>
      </c>
      <c r="T200" s="145"/>
      <c r="U200" s="499" t="str">
        <f>IFERROR(INDEX('G-7 Rivers Data'!$H$4:$L$8,MATCH(N200,'G-7 Rivers Data'!$B$4:$B$8,0),MATCH(T200,'G-7 Rivers Data'!$H$3:$L$3,0)),"")</f>
        <v/>
      </c>
      <c r="V200" s="154"/>
      <c r="W200" s="507" t="str">
        <f>IF(V200="","",IF(VLOOKUP(V200,'G-7 Rivers Data'!$AG$4:$AI$9,2,FALSE)=0,"Spatial Data Missing ⚠",VLOOKUP(V200,'G-7 Rivers Data'!$AG$4:$AI$9,2,FALSE)))</f>
        <v/>
      </c>
      <c r="X200" s="499" t="str">
        <f>IF(V200="","",IF(VLOOKUP(V200,'G-7 Rivers Data'!$AG$4:$AI$9,3,FALSE)=0,"Spatial Data Missing ⚠",VLOOKUP(V200,'G-7 Rivers Data'!$AG$4:$AI$9,3,FALSE)))</f>
        <v/>
      </c>
      <c r="Y200" s="498" t="str">
        <f>IFERROR(IF(OR(LEFT(P200,5)="Error ▲",LEFT(O200,5)="Error ▲"),"Check Data ⚠",IF(F200&lt;S200,'G-7 Rivers Data'!$R$3,INDEX('G-7 Rivers Data'!$U$5:$Y$9,MATCH(G200,'G-7 Rivers Data'!$T$5:$T$9,0),MATCH(T200,'G-7 Rivers Data'!$U$4:$Y$4,0)))),"")</f>
        <v/>
      </c>
      <c r="Z200" s="195"/>
      <c r="AA200" s="195"/>
      <c r="AB200" s="507" t="str">
        <f t="shared" si="19"/>
        <v/>
      </c>
      <c r="AC200" s="521" t="str">
        <f t="shared" si="20"/>
        <v/>
      </c>
      <c r="AD200" s="564" t="str">
        <f>IFERROR(IF(AC200="Check Data ⚠","Check Data ⚠",VLOOKUP(AC200,'G-4 Temporal multipliers'!$A$4:$C$37,3,FALSE)),"")</f>
        <v/>
      </c>
      <c r="AE200" s="498" t="str">
        <f>IF(N200="","",VLOOKUP(N200,'G-7 Rivers Data'!$B$4:$G$8,5,FALSE))</f>
        <v/>
      </c>
      <c r="AF200" s="507" t="str">
        <f t="shared" si="21"/>
        <v/>
      </c>
      <c r="AG200" s="540" t="str">
        <f t="shared" si="22"/>
        <v/>
      </c>
      <c r="AH200" s="499" t="str">
        <f t="shared" si="16"/>
        <v/>
      </c>
      <c r="AI200" s="145"/>
      <c r="AJ200" s="499" t="str">
        <f>IF(AI200="","",IF(VLOOKUP(AI200,'G-7 Rivers Data'!$AA$4:$AB$7,2,FALSE)=0,"Spatial Data Missing ⚠",VLOOKUP(AI200,'G-7 Rivers Data'!$AA$4:$AB$7,2,FALSE)))</f>
        <v/>
      </c>
      <c r="AK200" s="155"/>
      <c r="AL200" s="499" t="str">
        <f>IF(AK200="","",IF(VLOOKUP(AK200,'G-7 Rivers Data'!$AD$4:$AE$8,2,FALSE)=0,"Spatial Data Missing ⚠",VLOOKUP(AK200,'G-7 Rivers Data'!$AD$4:$AE$8,2,FALSE)))</f>
        <v/>
      </c>
      <c r="AM200" s="545" t="str">
        <f t="shared" si="23"/>
        <v/>
      </c>
      <c r="AN200" s="149"/>
      <c r="AO200" s="150"/>
      <c r="AV200" s="31" t="str">
        <f>IFERROR(INDEX('G-7 Rivers Data'!$AZ$3:$AZ$7,MATCH(N200,'G-7 Rivers Data'!$AY$3:$AY$7,0)),"")</f>
        <v/>
      </c>
    </row>
    <row r="201" spans="2:48" ht="14" x14ac:dyDescent="0.3">
      <c r="B201" s="531" t="str">
        <f>'C-1 Site River Baseline'!AN199</f>
        <v/>
      </c>
      <c r="C201" s="520" t="str">
        <f>IF(B201="","",VLOOKUP($B201,'C-1 Site River Baseline'!$C$9:$R$257,2,FALSE))</f>
        <v/>
      </c>
      <c r="D201" s="520" t="str">
        <f>IF(C201="","",VLOOKUP($B201,'C-1 Site River Baseline'!$C$9:$R$257,3,FALSE))</f>
        <v/>
      </c>
      <c r="E201" s="520" t="str">
        <f>IF(D201="","",VLOOKUP($B201,'C-1 Site River Baseline'!$C$9:$R$257,4,FALSE))</f>
        <v/>
      </c>
      <c r="F201" s="520" t="str">
        <f>IF(E201="","",VLOOKUP($B201,'C-1 Site River Baseline'!$C$9:$R$257,5,FALSE))</f>
        <v/>
      </c>
      <c r="G201" s="520" t="str">
        <f>IF(F201="","",VLOOKUP($B201,'C-1 Site River Baseline'!$C$9:$R$257,6,FALSE))</f>
        <v/>
      </c>
      <c r="H201" s="520" t="str">
        <f>IF(G201="","",VLOOKUP($B201,'C-1 Site River Baseline'!$C$9:$R$257,7,FALSE))</f>
        <v/>
      </c>
      <c r="I201" s="520" t="str">
        <f>IF(H201="","",VLOOKUP($B201,'C-1 Site River Baseline'!$C$9:$R$257,8,FALSE))</f>
        <v/>
      </c>
      <c r="J201" s="520" t="str">
        <f>IF(I201="","",VLOOKUP($B201,'C-1 Site River Baseline'!$C$9:$R$257,9,FALSE))</f>
        <v/>
      </c>
      <c r="K201" s="520" t="str">
        <f>IF(J201="","",VLOOKUP($B201,'C-1 Site River Baseline'!$C$9:$R$257,10,FALSE))</f>
        <v/>
      </c>
      <c r="L201" s="520" t="str">
        <f>IF(B201="","",VLOOKUP($B201,'C-1 Site River Baseline'!$C$9:$R$257,15,FALSE))</f>
        <v/>
      </c>
      <c r="M201" s="524" t="str">
        <f>IF(L201="","",VLOOKUP($B201,'C-1 Site River Baseline'!$C$9:$R$257,16,FALSE))</f>
        <v/>
      </c>
      <c r="N201" s="418" t="str">
        <f t="shared" si="17"/>
        <v/>
      </c>
      <c r="O201" s="498" t="str">
        <f t="shared" si="18"/>
        <v/>
      </c>
      <c r="P201" s="499" t="str">
        <f>IF(C201="","",IF(AND(LEFT(C201,55)&lt;&gt;LEFT(N201,55),O201="High - High"),"Error - Not like for like ▲",IF(AND(F201=S201,H201&gt;U201),"Error - Can not reduce condition ▲",IF(AND(F201=S201,H201=U201,AJ201='C-1 Site River Baseline'!N199,'C-1 Site River Baseline'!P199=AL201),"Error - No enhancement ▲",IF(AND(C201&lt;&gt;N201,F201&lt;S201),"Lower Distinctiveness Habitat"&amp;" - "&amp;T201,G201&amp;" - "&amp;T201)))))</f>
        <v/>
      </c>
      <c r="Q201" s="567" t="str">
        <f>IF(N201="","",VLOOKUP(B201,'C-1 Site River Baseline'!$C$10:$AA$257,19,FALSE))</f>
        <v/>
      </c>
      <c r="R201" s="498" t="str">
        <f>IF(N201="","",VLOOKUP(N201,'G-7 Rivers Data'!$B$2:$G$8,2,FALSE))</f>
        <v/>
      </c>
      <c r="S201" s="499" t="str">
        <f>IFERROR(VLOOKUP(R201,'G-7 Rivers Data'!$C$4:$D$8,2,FALSE),"")</f>
        <v/>
      </c>
      <c r="T201" s="145"/>
      <c r="U201" s="499" t="str">
        <f>IFERROR(INDEX('G-7 Rivers Data'!$H$4:$L$8,MATCH(N201,'G-7 Rivers Data'!$B$4:$B$8,0),MATCH(T201,'G-7 Rivers Data'!$H$3:$L$3,0)),"")</f>
        <v/>
      </c>
      <c r="V201" s="154"/>
      <c r="W201" s="507" t="str">
        <f>IF(V201="","",IF(VLOOKUP(V201,'G-7 Rivers Data'!$AG$4:$AI$9,2,FALSE)=0,"Spatial Data Missing ⚠",VLOOKUP(V201,'G-7 Rivers Data'!$AG$4:$AI$9,2,FALSE)))</f>
        <v/>
      </c>
      <c r="X201" s="499" t="str">
        <f>IF(V201="","",IF(VLOOKUP(V201,'G-7 Rivers Data'!$AG$4:$AI$9,3,FALSE)=0,"Spatial Data Missing ⚠",VLOOKUP(V201,'G-7 Rivers Data'!$AG$4:$AI$9,3,FALSE)))</f>
        <v/>
      </c>
      <c r="Y201" s="498" t="str">
        <f>IFERROR(IF(OR(LEFT(P201,5)="Error ▲",LEFT(O201,5)="Error ▲"),"Check Data ⚠",IF(F201&lt;S201,'G-7 Rivers Data'!$R$3,INDEX('G-7 Rivers Data'!$U$5:$Y$9,MATCH(G201,'G-7 Rivers Data'!$T$5:$T$9,0),MATCH(T201,'G-7 Rivers Data'!$U$4:$Y$4,0)))),"")</f>
        <v/>
      </c>
      <c r="Z201" s="195"/>
      <c r="AA201" s="195"/>
      <c r="AB201" s="507" t="str">
        <f t="shared" si="19"/>
        <v/>
      </c>
      <c r="AC201" s="521" t="str">
        <f t="shared" si="20"/>
        <v/>
      </c>
      <c r="AD201" s="564" t="str">
        <f>IFERROR(IF(AC201="Check Data ⚠","Check Data ⚠",VLOOKUP(AC201,'G-4 Temporal multipliers'!$A$4:$C$37,3,FALSE)),"")</f>
        <v/>
      </c>
      <c r="AE201" s="498" t="str">
        <f>IF(N201="","",VLOOKUP(N201,'G-7 Rivers Data'!$B$4:$G$8,5,FALSE))</f>
        <v/>
      </c>
      <c r="AF201" s="507" t="str">
        <f t="shared" si="21"/>
        <v/>
      </c>
      <c r="AG201" s="540" t="str">
        <f t="shared" si="22"/>
        <v/>
      </c>
      <c r="AH201" s="499" t="str">
        <f t="shared" si="16"/>
        <v/>
      </c>
      <c r="AI201" s="145"/>
      <c r="AJ201" s="499" t="str">
        <f>IF(AI201="","",IF(VLOOKUP(AI201,'G-7 Rivers Data'!$AA$4:$AB$7,2,FALSE)=0,"Spatial Data Missing ⚠",VLOOKUP(AI201,'G-7 Rivers Data'!$AA$4:$AB$7,2,FALSE)))</f>
        <v/>
      </c>
      <c r="AK201" s="155"/>
      <c r="AL201" s="499" t="str">
        <f>IF(AK201="","",IF(VLOOKUP(AK201,'G-7 Rivers Data'!$AD$4:$AE$8,2,FALSE)=0,"Spatial Data Missing ⚠",VLOOKUP(AK201,'G-7 Rivers Data'!$AD$4:$AE$8,2,FALSE)))</f>
        <v/>
      </c>
      <c r="AM201" s="545" t="str">
        <f t="shared" si="23"/>
        <v/>
      </c>
      <c r="AN201" s="149"/>
      <c r="AO201" s="150"/>
      <c r="AV201" s="31" t="str">
        <f>IFERROR(INDEX('G-7 Rivers Data'!$AZ$3:$AZ$7,MATCH(N201,'G-7 Rivers Data'!$AY$3:$AY$7,0)),"")</f>
        <v/>
      </c>
    </row>
    <row r="202" spans="2:48" ht="14" x14ac:dyDescent="0.3">
      <c r="B202" s="531" t="str">
        <f>'C-1 Site River Baseline'!AN200</f>
        <v/>
      </c>
      <c r="C202" s="520" t="str">
        <f>IF(B202="","",VLOOKUP($B202,'C-1 Site River Baseline'!$C$9:$R$257,2,FALSE))</f>
        <v/>
      </c>
      <c r="D202" s="520" t="str">
        <f>IF(C202="","",VLOOKUP($B202,'C-1 Site River Baseline'!$C$9:$R$257,3,FALSE))</f>
        <v/>
      </c>
      <c r="E202" s="520" t="str">
        <f>IF(D202="","",VLOOKUP($B202,'C-1 Site River Baseline'!$C$9:$R$257,4,FALSE))</f>
        <v/>
      </c>
      <c r="F202" s="520" t="str">
        <f>IF(E202="","",VLOOKUP($B202,'C-1 Site River Baseline'!$C$9:$R$257,5,FALSE))</f>
        <v/>
      </c>
      <c r="G202" s="520" t="str">
        <f>IF(F202="","",VLOOKUP($B202,'C-1 Site River Baseline'!$C$9:$R$257,6,FALSE))</f>
        <v/>
      </c>
      <c r="H202" s="520" t="str">
        <f>IF(G202="","",VLOOKUP($B202,'C-1 Site River Baseline'!$C$9:$R$257,7,FALSE))</f>
        <v/>
      </c>
      <c r="I202" s="520" t="str">
        <f>IF(H202="","",VLOOKUP($B202,'C-1 Site River Baseline'!$C$9:$R$257,8,FALSE))</f>
        <v/>
      </c>
      <c r="J202" s="520" t="str">
        <f>IF(I202="","",VLOOKUP($B202,'C-1 Site River Baseline'!$C$9:$R$257,9,FALSE))</f>
        <v/>
      </c>
      <c r="K202" s="520" t="str">
        <f>IF(J202="","",VLOOKUP($B202,'C-1 Site River Baseline'!$C$9:$R$257,10,FALSE))</f>
        <v/>
      </c>
      <c r="L202" s="520" t="str">
        <f>IF(B202="","",VLOOKUP($B202,'C-1 Site River Baseline'!$C$9:$R$257,15,FALSE))</f>
        <v/>
      </c>
      <c r="M202" s="524" t="str">
        <f>IF(L202="","",VLOOKUP($B202,'C-1 Site River Baseline'!$C$9:$R$257,16,FALSE))</f>
        <v/>
      </c>
      <c r="N202" s="418" t="str">
        <f t="shared" si="17"/>
        <v/>
      </c>
      <c r="O202" s="498" t="str">
        <f t="shared" si="18"/>
        <v/>
      </c>
      <c r="P202" s="499" t="str">
        <f>IF(C202="","",IF(AND(LEFT(C202,55)&lt;&gt;LEFT(N202,55),O202="High - High"),"Error - Not like for like ▲",IF(AND(F202=S202,H202&gt;U202),"Error - Can not reduce condition ▲",IF(AND(F202=S202,H202=U202,AJ202='C-1 Site River Baseline'!N200,'C-1 Site River Baseline'!P200=AL202),"Error - No enhancement ▲",IF(AND(C202&lt;&gt;N202,F202&lt;S202),"Lower Distinctiveness Habitat"&amp;" - "&amp;T202,G202&amp;" - "&amp;T202)))))</f>
        <v/>
      </c>
      <c r="Q202" s="567" t="str">
        <f>IF(N202="","",VLOOKUP(B202,'C-1 Site River Baseline'!$C$10:$AA$257,19,FALSE))</f>
        <v/>
      </c>
      <c r="R202" s="498" t="str">
        <f>IF(N202="","",VLOOKUP(N202,'G-7 Rivers Data'!$B$2:$G$8,2,FALSE))</f>
        <v/>
      </c>
      <c r="S202" s="499" t="str">
        <f>IFERROR(VLOOKUP(R202,'G-7 Rivers Data'!$C$4:$D$8,2,FALSE),"")</f>
        <v/>
      </c>
      <c r="T202" s="145"/>
      <c r="U202" s="499" t="str">
        <f>IFERROR(INDEX('G-7 Rivers Data'!$H$4:$L$8,MATCH(N202,'G-7 Rivers Data'!$B$4:$B$8,0),MATCH(T202,'G-7 Rivers Data'!$H$3:$L$3,0)),"")</f>
        <v/>
      </c>
      <c r="V202" s="154"/>
      <c r="W202" s="507" t="str">
        <f>IF(V202="","",IF(VLOOKUP(V202,'G-7 Rivers Data'!$AG$4:$AI$9,2,FALSE)=0,"Spatial Data Missing ⚠",VLOOKUP(V202,'G-7 Rivers Data'!$AG$4:$AI$9,2,FALSE)))</f>
        <v/>
      </c>
      <c r="X202" s="499" t="str">
        <f>IF(V202="","",IF(VLOOKUP(V202,'G-7 Rivers Data'!$AG$4:$AI$9,3,FALSE)=0,"Spatial Data Missing ⚠",VLOOKUP(V202,'G-7 Rivers Data'!$AG$4:$AI$9,3,FALSE)))</f>
        <v/>
      </c>
      <c r="Y202" s="498" t="str">
        <f>IFERROR(IF(OR(LEFT(P202,5)="Error ▲",LEFT(O202,5)="Error ▲"),"Check Data ⚠",IF(F202&lt;S202,'G-7 Rivers Data'!$R$3,INDEX('G-7 Rivers Data'!$U$5:$Y$9,MATCH(G202,'G-7 Rivers Data'!$T$5:$T$9,0),MATCH(T202,'G-7 Rivers Data'!$U$4:$Y$4,0)))),"")</f>
        <v/>
      </c>
      <c r="Z202" s="195"/>
      <c r="AA202" s="195"/>
      <c r="AB202" s="507" t="str">
        <f t="shared" si="19"/>
        <v/>
      </c>
      <c r="AC202" s="521" t="str">
        <f t="shared" si="20"/>
        <v/>
      </c>
      <c r="AD202" s="564" t="str">
        <f>IFERROR(IF(AC202="Check Data ⚠","Check Data ⚠",VLOOKUP(AC202,'G-4 Temporal multipliers'!$A$4:$C$37,3,FALSE)),"")</f>
        <v/>
      </c>
      <c r="AE202" s="498" t="str">
        <f>IF(N202="","",VLOOKUP(N202,'G-7 Rivers Data'!$B$4:$G$8,5,FALSE))</f>
        <v/>
      </c>
      <c r="AF202" s="507" t="str">
        <f t="shared" si="21"/>
        <v/>
      </c>
      <c r="AG202" s="540" t="str">
        <f t="shared" si="22"/>
        <v/>
      </c>
      <c r="AH202" s="499" t="str">
        <f t="shared" si="16"/>
        <v/>
      </c>
      <c r="AI202" s="145"/>
      <c r="AJ202" s="499" t="str">
        <f>IF(AI202="","",IF(VLOOKUP(AI202,'G-7 Rivers Data'!$AA$4:$AB$7,2,FALSE)=0,"Spatial Data Missing ⚠",VLOOKUP(AI202,'G-7 Rivers Data'!$AA$4:$AB$7,2,FALSE)))</f>
        <v/>
      </c>
      <c r="AK202" s="155"/>
      <c r="AL202" s="499" t="str">
        <f>IF(AK202="","",IF(VLOOKUP(AK202,'G-7 Rivers Data'!$AD$4:$AE$8,2,FALSE)=0,"Spatial Data Missing ⚠",VLOOKUP(AK202,'G-7 Rivers Data'!$AD$4:$AE$8,2,FALSE)))</f>
        <v/>
      </c>
      <c r="AM202" s="545" t="str">
        <f t="shared" si="23"/>
        <v/>
      </c>
      <c r="AN202" s="149"/>
      <c r="AO202" s="150"/>
      <c r="AV202" s="31" t="str">
        <f>IFERROR(INDEX('G-7 Rivers Data'!$AZ$3:$AZ$7,MATCH(N202,'G-7 Rivers Data'!$AY$3:$AY$7,0)),"")</f>
        <v/>
      </c>
    </row>
    <row r="203" spans="2:48" ht="14" x14ac:dyDescent="0.3">
      <c r="B203" s="531" t="str">
        <f>'C-1 Site River Baseline'!AN201</f>
        <v/>
      </c>
      <c r="C203" s="520" t="str">
        <f>IF(B203="","",VLOOKUP($B203,'C-1 Site River Baseline'!$C$9:$R$257,2,FALSE))</f>
        <v/>
      </c>
      <c r="D203" s="520" t="str">
        <f>IF(C203="","",VLOOKUP($B203,'C-1 Site River Baseline'!$C$9:$R$257,3,FALSE))</f>
        <v/>
      </c>
      <c r="E203" s="520" t="str">
        <f>IF(D203="","",VLOOKUP($B203,'C-1 Site River Baseline'!$C$9:$R$257,4,FALSE))</f>
        <v/>
      </c>
      <c r="F203" s="520" t="str">
        <f>IF(E203="","",VLOOKUP($B203,'C-1 Site River Baseline'!$C$9:$R$257,5,FALSE))</f>
        <v/>
      </c>
      <c r="G203" s="520" t="str">
        <f>IF(F203="","",VLOOKUP($B203,'C-1 Site River Baseline'!$C$9:$R$257,6,FALSE))</f>
        <v/>
      </c>
      <c r="H203" s="520" t="str">
        <f>IF(G203="","",VLOOKUP($B203,'C-1 Site River Baseline'!$C$9:$R$257,7,FALSE))</f>
        <v/>
      </c>
      <c r="I203" s="520" t="str">
        <f>IF(H203="","",VLOOKUP($B203,'C-1 Site River Baseline'!$C$9:$R$257,8,FALSE))</f>
        <v/>
      </c>
      <c r="J203" s="520" t="str">
        <f>IF(I203="","",VLOOKUP($B203,'C-1 Site River Baseline'!$C$9:$R$257,9,FALSE))</f>
        <v/>
      </c>
      <c r="K203" s="520" t="str">
        <f>IF(J203="","",VLOOKUP($B203,'C-1 Site River Baseline'!$C$9:$R$257,10,FALSE))</f>
        <v/>
      </c>
      <c r="L203" s="520" t="str">
        <f>IF(B203="","",VLOOKUP($B203,'C-1 Site River Baseline'!$C$9:$R$257,15,FALSE))</f>
        <v/>
      </c>
      <c r="M203" s="524" t="str">
        <f>IF(L203="","",VLOOKUP($B203,'C-1 Site River Baseline'!$C$9:$R$257,16,FALSE))</f>
        <v/>
      </c>
      <c r="N203" s="418" t="str">
        <f t="shared" si="17"/>
        <v/>
      </c>
      <c r="O203" s="498" t="str">
        <f t="shared" si="18"/>
        <v/>
      </c>
      <c r="P203" s="499" t="str">
        <f>IF(C203="","",IF(AND(LEFT(C203,55)&lt;&gt;LEFT(N203,55),O203="High - High"),"Error - Not like for like ▲",IF(AND(F203=S203,H203&gt;U203),"Error - Can not reduce condition ▲",IF(AND(F203=S203,H203=U203,AJ203='C-1 Site River Baseline'!N201,'C-1 Site River Baseline'!P201=AL203),"Error - No enhancement ▲",IF(AND(C203&lt;&gt;N203,F203&lt;S203),"Lower Distinctiveness Habitat"&amp;" - "&amp;T203,G203&amp;" - "&amp;T203)))))</f>
        <v/>
      </c>
      <c r="Q203" s="567" t="str">
        <f>IF(N203="","",VLOOKUP(B203,'C-1 Site River Baseline'!$C$10:$AA$257,19,FALSE))</f>
        <v/>
      </c>
      <c r="R203" s="498" t="str">
        <f>IF(N203="","",VLOOKUP(N203,'G-7 Rivers Data'!$B$2:$G$8,2,FALSE))</f>
        <v/>
      </c>
      <c r="S203" s="499" t="str">
        <f>IFERROR(VLOOKUP(R203,'G-7 Rivers Data'!$C$4:$D$8,2,FALSE),"")</f>
        <v/>
      </c>
      <c r="T203" s="145"/>
      <c r="U203" s="499" t="str">
        <f>IFERROR(INDEX('G-7 Rivers Data'!$H$4:$L$8,MATCH(N203,'G-7 Rivers Data'!$B$4:$B$8,0),MATCH(T203,'G-7 Rivers Data'!$H$3:$L$3,0)),"")</f>
        <v/>
      </c>
      <c r="V203" s="154"/>
      <c r="W203" s="507" t="str">
        <f>IF(V203="","",IF(VLOOKUP(V203,'G-7 Rivers Data'!$AG$4:$AI$9,2,FALSE)=0,"Spatial Data Missing ⚠",VLOOKUP(V203,'G-7 Rivers Data'!$AG$4:$AI$9,2,FALSE)))</f>
        <v/>
      </c>
      <c r="X203" s="499" t="str">
        <f>IF(V203="","",IF(VLOOKUP(V203,'G-7 Rivers Data'!$AG$4:$AI$9,3,FALSE)=0,"Spatial Data Missing ⚠",VLOOKUP(V203,'G-7 Rivers Data'!$AG$4:$AI$9,3,FALSE)))</f>
        <v/>
      </c>
      <c r="Y203" s="498" t="str">
        <f>IFERROR(IF(OR(LEFT(P203,5)="Error ▲",LEFT(O203,5)="Error ▲"),"Check Data ⚠",IF(F203&lt;S203,'G-7 Rivers Data'!$R$3,INDEX('G-7 Rivers Data'!$U$5:$Y$9,MATCH(G203,'G-7 Rivers Data'!$T$5:$T$9,0),MATCH(T203,'G-7 Rivers Data'!$U$4:$Y$4,0)))),"")</f>
        <v/>
      </c>
      <c r="Z203" s="195"/>
      <c r="AA203" s="195"/>
      <c r="AB203" s="507" t="str">
        <f t="shared" si="19"/>
        <v/>
      </c>
      <c r="AC203" s="521" t="str">
        <f t="shared" si="20"/>
        <v/>
      </c>
      <c r="AD203" s="564" t="str">
        <f>IFERROR(IF(AC203="Check Data ⚠","Check Data ⚠",VLOOKUP(AC203,'G-4 Temporal multipliers'!$A$4:$C$37,3,FALSE)),"")</f>
        <v/>
      </c>
      <c r="AE203" s="498" t="str">
        <f>IF(N203="","",VLOOKUP(N203,'G-7 Rivers Data'!$B$4:$G$8,5,FALSE))</f>
        <v/>
      </c>
      <c r="AF203" s="507" t="str">
        <f t="shared" si="21"/>
        <v/>
      </c>
      <c r="AG203" s="540" t="str">
        <f t="shared" si="22"/>
        <v/>
      </c>
      <c r="AH203" s="499" t="str">
        <f t="shared" si="16"/>
        <v/>
      </c>
      <c r="AI203" s="145"/>
      <c r="AJ203" s="499" t="str">
        <f>IF(AI203="","",IF(VLOOKUP(AI203,'G-7 Rivers Data'!$AA$4:$AB$7,2,FALSE)=0,"Spatial Data Missing ⚠",VLOOKUP(AI203,'G-7 Rivers Data'!$AA$4:$AB$7,2,FALSE)))</f>
        <v/>
      </c>
      <c r="AK203" s="155"/>
      <c r="AL203" s="499" t="str">
        <f>IF(AK203="","",IF(VLOOKUP(AK203,'G-7 Rivers Data'!$AD$4:$AE$8,2,FALSE)=0,"Spatial Data Missing ⚠",VLOOKUP(AK203,'G-7 Rivers Data'!$AD$4:$AE$8,2,FALSE)))</f>
        <v/>
      </c>
      <c r="AM203" s="545" t="str">
        <f t="shared" si="23"/>
        <v/>
      </c>
      <c r="AN203" s="149"/>
      <c r="AO203" s="150"/>
      <c r="AV203" s="31" t="str">
        <f>IFERROR(INDEX('G-7 Rivers Data'!$AZ$3:$AZ$7,MATCH(N203,'G-7 Rivers Data'!$AY$3:$AY$7,0)),"")</f>
        <v/>
      </c>
    </row>
    <row r="204" spans="2:48" ht="14" x14ac:dyDescent="0.3">
      <c r="B204" s="531" t="str">
        <f>'C-1 Site River Baseline'!AN202</f>
        <v/>
      </c>
      <c r="C204" s="520" t="str">
        <f>IF(B204="","",VLOOKUP($B204,'C-1 Site River Baseline'!$C$9:$R$257,2,FALSE))</f>
        <v/>
      </c>
      <c r="D204" s="520" t="str">
        <f>IF(C204="","",VLOOKUP($B204,'C-1 Site River Baseline'!$C$9:$R$257,3,FALSE))</f>
        <v/>
      </c>
      <c r="E204" s="520" t="str">
        <f>IF(D204="","",VLOOKUP($B204,'C-1 Site River Baseline'!$C$9:$R$257,4,FALSE))</f>
        <v/>
      </c>
      <c r="F204" s="520" t="str">
        <f>IF(E204="","",VLOOKUP($B204,'C-1 Site River Baseline'!$C$9:$R$257,5,FALSE))</f>
        <v/>
      </c>
      <c r="G204" s="520" t="str">
        <f>IF(F204="","",VLOOKUP($B204,'C-1 Site River Baseline'!$C$9:$R$257,6,FALSE))</f>
        <v/>
      </c>
      <c r="H204" s="520" t="str">
        <f>IF(G204="","",VLOOKUP($B204,'C-1 Site River Baseline'!$C$9:$R$257,7,FALSE))</f>
        <v/>
      </c>
      <c r="I204" s="520" t="str">
        <f>IF(H204="","",VLOOKUP($B204,'C-1 Site River Baseline'!$C$9:$R$257,8,FALSE))</f>
        <v/>
      </c>
      <c r="J204" s="520" t="str">
        <f>IF(I204="","",VLOOKUP($B204,'C-1 Site River Baseline'!$C$9:$R$257,9,FALSE))</f>
        <v/>
      </c>
      <c r="K204" s="520" t="str">
        <f>IF(J204="","",VLOOKUP($B204,'C-1 Site River Baseline'!$C$9:$R$257,10,FALSE))</f>
        <v/>
      </c>
      <c r="L204" s="520" t="str">
        <f>IF(B204="","",VLOOKUP($B204,'C-1 Site River Baseline'!$C$9:$R$257,15,FALSE))</f>
        <v/>
      </c>
      <c r="M204" s="524" t="str">
        <f>IF(L204="","",VLOOKUP($B204,'C-1 Site River Baseline'!$C$9:$R$257,16,FALSE))</f>
        <v/>
      </c>
      <c r="N204" s="418" t="str">
        <f t="shared" si="17"/>
        <v/>
      </c>
      <c r="O204" s="498" t="str">
        <f t="shared" si="18"/>
        <v/>
      </c>
      <c r="P204" s="499" t="str">
        <f>IF(C204="","",IF(AND(LEFT(C204,55)&lt;&gt;LEFT(N204,55),O204="High - High"),"Error - Not like for like ▲",IF(AND(F204=S204,H204&gt;U204),"Error - Can not reduce condition ▲",IF(AND(F204=S204,H204=U204,AJ204='C-1 Site River Baseline'!N202,'C-1 Site River Baseline'!P202=AL204),"Error - No enhancement ▲",IF(AND(C204&lt;&gt;N204,F204&lt;S204),"Lower Distinctiveness Habitat"&amp;" - "&amp;T204,G204&amp;" - "&amp;T204)))))</f>
        <v/>
      </c>
      <c r="Q204" s="567" t="str">
        <f>IF(N204="","",VLOOKUP(B204,'C-1 Site River Baseline'!$C$10:$AA$257,19,FALSE))</f>
        <v/>
      </c>
      <c r="R204" s="498" t="str">
        <f>IF(N204="","",VLOOKUP(N204,'G-7 Rivers Data'!$B$2:$G$8,2,FALSE))</f>
        <v/>
      </c>
      <c r="S204" s="499" t="str">
        <f>IFERROR(VLOOKUP(R204,'G-7 Rivers Data'!$C$4:$D$8,2,FALSE),"")</f>
        <v/>
      </c>
      <c r="T204" s="145"/>
      <c r="U204" s="499" t="str">
        <f>IFERROR(INDEX('G-7 Rivers Data'!$H$4:$L$8,MATCH(N204,'G-7 Rivers Data'!$B$4:$B$8,0),MATCH(T204,'G-7 Rivers Data'!$H$3:$L$3,0)),"")</f>
        <v/>
      </c>
      <c r="V204" s="154"/>
      <c r="W204" s="507" t="str">
        <f>IF(V204="","",IF(VLOOKUP(V204,'G-7 Rivers Data'!$AG$4:$AI$9,2,FALSE)=0,"Spatial Data Missing ⚠",VLOOKUP(V204,'G-7 Rivers Data'!$AG$4:$AI$9,2,FALSE)))</f>
        <v/>
      </c>
      <c r="X204" s="499" t="str">
        <f>IF(V204="","",IF(VLOOKUP(V204,'G-7 Rivers Data'!$AG$4:$AI$9,3,FALSE)=0,"Spatial Data Missing ⚠",VLOOKUP(V204,'G-7 Rivers Data'!$AG$4:$AI$9,3,FALSE)))</f>
        <v/>
      </c>
      <c r="Y204" s="498" t="str">
        <f>IFERROR(IF(OR(LEFT(P204,5)="Error ▲",LEFT(O204,5)="Error ▲"),"Check Data ⚠",IF(F204&lt;S204,'G-7 Rivers Data'!$R$3,INDEX('G-7 Rivers Data'!$U$5:$Y$9,MATCH(G204,'G-7 Rivers Data'!$T$5:$T$9,0),MATCH(T204,'G-7 Rivers Data'!$U$4:$Y$4,0)))),"")</f>
        <v/>
      </c>
      <c r="Z204" s="195"/>
      <c r="AA204" s="195"/>
      <c r="AB204" s="507" t="str">
        <f t="shared" si="19"/>
        <v/>
      </c>
      <c r="AC204" s="521" t="str">
        <f t="shared" si="20"/>
        <v/>
      </c>
      <c r="AD204" s="564" t="str">
        <f>IFERROR(IF(AC204="Check Data ⚠","Check Data ⚠",VLOOKUP(AC204,'G-4 Temporal multipliers'!$A$4:$C$37,3,FALSE)),"")</f>
        <v/>
      </c>
      <c r="AE204" s="498" t="str">
        <f>IF(N204="","",VLOOKUP(N204,'G-7 Rivers Data'!$B$4:$G$8,5,FALSE))</f>
        <v/>
      </c>
      <c r="AF204" s="507" t="str">
        <f t="shared" si="21"/>
        <v/>
      </c>
      <c r="AG204" s="540" t="str">
        <f t="shared" si="22"/>
        <v/>
      </c>
      <c r="AH204" s="499" t="str">
        <f t="shared" ref="AH204:AH257" si="24">IF(N204="","",VLOOKUP(AE204,Difficulty,2,FALSE))</f>
        <v/>
      </c>
      <c r="AI204" s="145"/>
      <c r="AJ204" s="499" t="str">
        <f>IF(AI204="","",IF(VLOOKUP(AI204,'G-7 Rivers Data'!$AA$4:$AB$7,2,FALSE)=0,"Spatial Data Missing ⚠",VLOOKUP(AI204,'G-7 Rivers Data'!$AA$4:$AB$7,2,FALSE)))</f>
        <v/>
      </c>
      <c r="AK204" s="155"/>
      <c r="AL204" s="499" t="str">
        <f>IF(AK204="","",IF(VLOOKUP(AK204,'G-7 Rivers Data'!$AD$4:$AE$8,2,FALSE)=0,"Spatial Data Missing ⚠",VLOOKUP(AK204,'G-7 Rivers Data'!$AD$4:$AE$8,2,FALSE)))</f>
        <v/>
      </c>
      <c r="AM204" s="545" t="str">
        <f t="shared" si="23"/>
        <v/>
      </c>
      <c r="AN204" s="149"/>
      <c r="AO204" s="150"/>
      <c r="AV204" s="31" t="str">
        <f>IFERROR(INDEX('G-7 Rivers Data'!$AZ$3:$AZ$7,MATCH(N204,'G-7 Rivers Data'!$AY$3:$AY$7,0)),"")</f>
        <v/>
      </c>
    </row>
    <row r="205" spans="2:48" ht="14" x14ac:dyDescent="0.3">
      <c r="B205" s="531" t="str">
        <f>'C-1 Site River Baseline'!AN203</f>
        <v/>
      </c>
      <c r="C205" s="520" t="str">
        <f>IF(B205="","",VLOOKUP($B205,'C-1 Site River Baseline'!$C$9:$R$257,2,FALSE))</f>
        <v/>
      </c>
      <c r="D205" s="520" t="str">
        <f>IF(C205="","",VLOOKUP($B205,'C-1 Site River Baseline'!$C$9:$R$257,3,FALSE))</f>
        <v/>
      </c>
      <c r="E205" s="520" t="str">
        <f>IF(D205="","",VLOOKUP($B205,'C-1 Site River Baseline'!$C$9:$R$257,4,FALSE))</f>
        <v/>
      </c>
      <c r="F205" s="520" t="str">
        <f>IF(E205="","",VLOOKUP($B205,'C-1 Site River Baseline'!$C$9:$R$257,5,FALSE))</f>
        <v/>
      </c>
      <c r="G205" s="520" t="str">
        <f>IF(F205="","",VLOOKUP($B205,'C-1 Site River Baseline'!$C$9:$R$257,6,FALSE))</f>
        <v/>
      </c>
      <c r="H205" s="520" t="str">
        <f>IF(G205="","",VLOOKUP($B205,'C-1 Site River Baseline'!$C$9:$R$257,7,FALSE))</f>
        <v/>
      </c>
      <c r="I205" s="520" t="str">
        <f>IF(H205="","",VLOOKUP($B205,'C-1 Site River Baseline'!$C$9:$R$257,8,FALSE))</f>
        <v/>
      </c>
      <c r="J205" s="520" t="str">
        <f>IF(I205="","",VLOOKUP($B205,'C-1 Site River Baseline'!$C$9:$R$257,9,FALSE))</f>
        <v/>
      </c>
      <c r="K205" s="520" t="str">
        <f>IF(J205="","",VLOOKUP($B205,'C-1 Site River Baseline'!$C$9:$R$257,10,FALSE))</f>
        <v/>
      </c>
      <c r="L205" s="520" t="str">
        <f>IF(B205="","",VLOOKUP($B205,'C-1 Site River Baseline'!$C$9:$R$257,15,FALSE))</f>
        <v/>
      </c>
      <c r="M205" s="524" t="str">
        <f>IF(L205="","",VLOOKUP($B205,'C-1 Site River Baseline'!$C$9:$R$257,16,FALSE))</f>
        <v/>
      </c>
      <c r="N205" s="418" t="str">
        <f t="shared" ref="N205:N257" si="25">C205</f>
        <v/>
      </c>
      <c r="O205" s="498" t="str">
        <f t="shared" ref="O205:O257" si="26">IF(B205="","",IF(S205&lt;F205,"Error Trading Down ▲",E205&amp;" - "&amp;R205))</f>
        <v/>
      </c>
      <c r="P205" s="499" t="str">
        <f>IF(C205="","",IF(AND(LEFT(C205,55)&lt;&gt;LEFT(N205,55),O205="High - High"),"Error - Not like for like ▲",IF(AND(F205=S205,H205&gt;U205),"Error - Can not reduce condition ▲",IF(AND(F205=S205,H205=U205,AJ205='C-1 Site River Baseline'!N203,'C-1 Site River Baseline'!P203=AL205),"Error - No enhancement ▲",IF(AND(C205&lt;&gt;N205,F205&lt;S205),"Lower Distinctiveness Habitat"&amp;" - "&amp;T205,G205&amp;" - "&amp;T205)))))</f>
        <v/>
      </c>
      <c r="Q205" s="567" t="str">
        <f>IF(N205="","",VLOOKUP(B205,'C-1 Site River Baseline'!$C$10:$AA$257,19,FALSE))</f>
        <v/>
      </c>
      <c r="R205" s="498" t="str">
        <f>IF(N205="","",VLOOKUP(N205,'G-7 Rivers Data'!$B$2:$G$8,2,FALSE))</f>
        <v/>
      </c>
      <c r="S205" s="499" t="str">
        <f>IFERROR(VLOOKUP(R205,'G-7 Rivers Data'!$C$4:$D$8,2,FALSE),"")</f>
        <v/>
      </c>
      <c r="T205" s="145"/>
      <c r="U205" s="499" t="str">
        <f>IFERROR(INDEX('G-7 Rivers Data'!$H$4:$L$8,MATCH(N205,'G-7 Rivers Data'!$B$4:$B$8,0),MATCH(T205,'G-7 Rivers Data'!$H$3:$L$3,0)),"")</f>
        <v/>
      </c>
      <c r="V205" s="154"/>
      <c r="W205" s="507" t="str">
        <f>IF(V205="","",IF(VLOOKUP(V205,'G-7 Rivers Data'!$AG$4:$AI$9,2,FALSE)=0,"Spatial Data Missing ⚠",VLOOKUP(V205,'G-7 Rivers Data'!$AG$4:$AI$9,2,FALSE)))</f>
        <v/>
      </c>
      <c r="X205" s="499" t="str">
        <f>IF(V205="","",IF(VLOOKUP(V205,'G-7 Rivers Data'!$AG$4:$AI$9,3,FALSE)=0,"Spatial Data Missing ⚠",VLOOKUP(V205,'G-7 Rivers Data'!$AG$4:$AI$9,3,FALSE)))</f>
        <v/>
      </c>
      <c r="Y205" s="498" t="str">
        <f>IFERROR(IF(OR(LEFT(P205,5)="Error ▲",LEFT(O205,5)="Error ▲"),"Check Data ⚠",IF(F205&lt;S205,'G-7 Rivers Data'!$R$3,INDEX('G-7 Rivers Data'!$U$5:$Y$9,MATCH(G205,'G-7 Rivers Data'!$T$5:$T$9,0),MATCH(T205,'G-7 Rivers Data'!$U$4:$Y$4,0)))),"")</f>
        <v/>
      </c>
      <c r="Z205" s="195"/>
      <c r="AA205" s="195"/>
      <c r="AB205" s="507" t="str">
        <f t="shared" ref="AB205:AB257" si="27">IF(Y205="","",IF(Y205="Check Data ⚠","Check Data ⚠",IF(AND(Z205&gt;0,AA205&gt;0),"Error -both advance and delayed habitat creation ▲",IF(AND(OR(Z205="Habitat already in target condition",Y205&lt;=Z205),AA205=0),"Check details - Is there evidence that habitat has reached target condition? ⚠",IF(Z205&gt;0,"Check details - Is there evidence habitat creation started/in place? ⚠",IF(AA205&gt;0,"Check details- Delay in starting habitat in required condition? ⚠","Standard time to target condition applied"))))))</f>
        <v/>
      </c>
      <c r="AC205" s="521" t="str">
        <f t="shared" ref="AC205:AC257" si="28">IF(LEFT(AB205,5)="Error ▲","Check Data ⚠",IF(AB205="Check Data ⚠","Check Data ⚠",IF(Y205="","",IF(Z205="30+",0,IF(AA205="30+","30+ ⚠",IF(Y205+AA205&gt;30,"30+ ⚠",IF(Y205+AA205-Z205&gt;0,Y205+AA205-Z205,IF(Y205-Z205&lt;0,0,Y205+AA205-Z205))))))))</f>
        <v/>
      </c>
      <c r="AD205" s="564" t="str">
        <f>IFERROR(IF(AC205="Check Data ⚠","Check Data ⚠",VLOOKUP(AC205,'G-4 Temporal multipliers'!$A$4:$C$37,3,FALSE)),"")</f>
        <v/>
      </c>
      <c r="AE205" s="498" t="str">
        <f>IF(N205="","",VLOOKUP(N205,'G-7 Rivers Data'!$B$4:$G$8,5,FALSE))</f>
        <v/>
      </c>
      <c r="AF205" s="507" t="str">
        <f t="shared" ref="AF205:AF257" si="29">IF(N205="","",IF(AC205="Check Data ⚠","Check Data ⚠",IF(T205="","",IF($AB205="Check details - Is there evidence that habitat has reached target condition? ⚠","Low Difficulty - only applicable if all habitat created before losses ⚠","Standard difficulty applied"))))</f>
        <v/>
      </c>
      <c r="AG205" s="540" t="str">
        <f t="shared" ref="AG205:AG257" si="30">(IF(AND(AF205="Standard difficulty applied",Y205&gt;Z205),AE205,IF(AND(AF205="Low Difficulty - only applicable if all habitat created before losses ⚠",Z205&gt;=Y205),"Low",AE205)))</f>
        <v/>
      </c>
      <c r="AH205" s="499" t="str">
        <f t="shared" si="24"/>
        <v/>
      </c>
      <c r="AI205" s="145"/>
      <c r="AJ205" s="499" t="str">
        <f>IF(AI205="","",IF(VLOOKUP(AI205,'G-7 Rivers Data'!$AA$4:$AB$7,2,FALSE)=0,"Spatial Data Missing ⚠",VLOOKUP(AI205,'G-7 Rivers Data'!$AA$4:$AB$7,2,FALSE)))</f>
        <v/>
      </c>
      <c r="AK205" s="155"/>
      <c r="AL205" s="499" t="str">
        <f>IF(AK205="","",IF(VLOOKUP(AK205,'G-7 Rivers Data'!$AD$4:$AE$8,2,FALSE)=0,"Spatial Data Missing ⚠",VLOOKUP(AK205,'G-7 Rivers Data'!$AD$4:$AE$8,2,FALSE)))</f>
        <v/>
      </c>
      <c r="AM205" s="545" t="str">
        <f t="shared" si="23"/>
        <v/>
      </c>
      <c r="AN205" s="149"/>
      <c r="AO205" s="150"/>
      <c r="AV205" s="31" t="str">
        <f>IFERROR(INDEX('G-7 Rivers Data'!$AZ$3:$AZ$7,MATCH(N205,'G-7 Rivers Data'!$AY$3:$AY$7,0)),"")</f>
        <v/>
      </c>
    </row>
    <row r="206" spans="2:48" ht="14" x14ac:dyDescent="0.3">
      <c r="B206" s="531" t="str">
        <f>'C-1 Site River Baseline'!AN204</f>
        <v/>
      </c>
      <c r="C206" s="520" t="str">
        <f>IF(B206="","",VLOOKUP($B206,'C-1 Site River Baseline'!$C$9:$R$257,2,FALSE))</f>
        <v/>
      </c>
      <c r="D206" s="520" t="str">
        <f>IF(C206="","",VLOOKUP($B206,'C-1 Site River Baseline'!$C$9:$R$257,3,FALSE))</f>
        <v/>
      </c>
      <c r="E206" s="520" t="str">
        <f>IF(D206="","",VLOOKUP($B206,'C-1 Site River Baseline'!$C$9:$R$257,4,FALSE))</f>
        <v/>
      </c>
      <c r="F206" s="520" t="str">
        <f>IF(E206="","",VLOOKUP($B206,'C-1 Site River Baseline'!$C$9:$R$257,5,FALSE))</f>
        <v/>
      </c>
      <c r="G206" s="520" t="str">
        <f>IF(F206="","",VLOOKUP($B206,'C-1 Site River Baseline'!$C$9:$R$257,6,FALSE))</f>
        <v/>
      </c>
      <c r="H206" s="520" t="str">
        <f>IF(G206="","",VLOOKUP($B206,'C-1 Site River Baseline'!$C$9:$R$257,7,FALSE))</f>
        <v/>
      </c>
      <c r="I206" s="520" t="str">
        <f>IF(H206="","",VLOOKUP($B206,'C-1 Site River Baseline'!$C$9:$R$257,8,FALSE))</f>
        <v/>
      </c>
      <c r="J206" s="520" t="str">
        <f>IF(I206="","",VLOOKUP($B206,'C-1 Site River Baseline'!$C$9:$R$257,9,FALSE))</f>
        <v/>
      </c>
      <c r="K206" s="520" t="str">
        <f>IF(J206="","",VLOOKUP($B206,'C-1 Site River Baseline'!$C$9:$R$257,10,FALSE))</f>
        <v/>
      </c>
      <c r="L206" s="520" t="str">
        <f>IF(B206="","",VLOOKUP($B206,'C-1 Site River Baseline'!$C$9:$R$257,15,FALSE))</f>
        <v/>
      </c>
      <c r="M206" s="524" t="str">
        <f>IF(L206="","",VLOOKUP($B206,'C-1 Site River Baseline'!$C$9:$R$257,16,FALSE))</f>
        <v/>
      </c>
      <c r="N206" s="418" t="str">
        <f t="shared" si="25"/>
        <v/>
      </c>
      <c r="O206" s="498" t="str">
        <f t="shared" si="26"/>
        <v/>
      </c>
      <c r="P206" s="499" t="str">
        <f>IF(C206="","",IF(AND(LEFT(C206,55)&lt;&gt;LEFT(N206,55),O206="High - High"),"Error - Not like for like ▲",IF(AND(F206=S206,H206&gt;U206),"Error - Can not reduce condition ▲",IF(AND(F206=S206,H206=U206,AJ206='C-1 Site River Baseline'!N204,'C-1 Site River Baseline'!P204=AL206),"Error - No enhancement ▲",IF(AND(C206&lt;&gt;N206,F206&lt;S206),"Lower Distinctiveness Habitat"&amp;" - "&amp;T206,G206&amp;" - "&amp;T206)))))</f>
        <v/>
      </c>
      <c r="Q206" s="567" t="str">
        <f>IF(N206="","",VLOOKUP(B206,'C-1 Site River Baseline'!$C$10:$AA$257,19,FALSE))</f>
        <v/>
      </c>
      <c r="R206" s="498" t="str">
        <f>IF(N206="","",VLOOKUP(N206,'G-7 Rivers Data'!$B$2:$G$8,2,FALSE))</f>
        <v/>
      </c>
      <c r="S206" s="499" t="str">
        <f>IFERROR(VLOOKUP(R206,'G-7 Rivers Data'!$C$4:$D$8,2,FALSE),"")</f>
        <v/>
      </c>
      <c r="T206" s="145"/>
      <c r="U206" s="499" t="str">
        <f>IFERROR(INDEX('G-7 Rivers Data'!$H$4:$L$8,MATCH(N206,'G-7 Rivers Data'!$B$4:$B$8,0),MATCH(T206,'G-7 Rivers Data'!$H$3:$L$3,0)),"")</f>
        <v/>
      </c>
      <c r="V206" s="154"/>
      <c r="W206" s="507" t="str">
        <f>IF(V206="","",IF(VLOOKUP(V206,'G-7 Rivers Data'!$AG$4:$AI$9,2,FALSE)=0,"Spatial Data Missing ⚠",VLOOKUP(V206,'G-7 Rivers Data'!$AG$4:$AI$9,2,FALSE)))</f>
        <v/>
      </c>
      <c r="X206" s="499" t="str">
        <f>IF(V206="","",IF(VLOOKUP(V206,'G-7 Rivers Data'!$AG$4:$AI$9,3,FALSE)=0,"Spatial Data Missing ⚠",VLOOKUP(V206,'G-7 Rivers Data'!$AG$4:$AI$9,3,FALSE)))</f>
        <v/>
      </c>
      <c r="Y206" s="498" t="str">
        <f>IFERROR(IF(OR(LEFT(P206,5)="Error ▲",LEFT(O206,5)="Error ▲"),"Check Data ⚠",IF(F206&lt;S206,'G-7 Rivers Data'!$R$3,INDEX('G-7 Rivers Data'!$U$5:$Y$9,MATCH(G206,'G-7 Rivers Data'!$T$5:$T$9,0),MATCH(T206,'G-7 Rivers Data'!$U$4:$Y$4,0)))),"")</f>
        <v/>
      </c>
      <c r="Z206" s="195"/>
      <c r="AA206" s="195"/>
      <c r="AB206" s="507" t="str">
        <f t="shared" si="27"/>
        <v/>
      </c>
      <c r="AC206" s="521" t="str">
        <f t="shared" si="28"/>
        <v/>
      </c>
      <c r="AD206" s="564" t="str">
        <f>IFERROR(IF(AC206="Check Data ⚠","Check Data ⚠",VLOOKUP(AC206,'G-4 Temporal multipliers'!$A$4:$C$37,3,FALSE)),"")</f>
        <v/>
      </c>
      <c r="AE206" s="498" t="str">
        <f>IF(N206="","",VLOOKUP(N206,'G-7 Rivers Data'!$B$4:$G$8,5,FALSE))</f>
        <v/>
      </c>
      <c r="AF206" s="507" t="str">
        <f t="shared" si="29"/>
        <v/>
      </c>
      <c r="AG206" s="540" t="str">
        <f t="shared" si="30"/>
        <v/>
      </c>
      <c r="AH206" s="499" t="str">
        <f t="shared" si="24"/>
        <v/>
      </c>
      <c r="AI206" s="145"/>
      <c r="AJ206" s="499" t="str">
        <f>IF(AI206="","",IF(VLOOKUP(AI206,'G-7 Rivers Data'!$AA$4:$AB$7,2,FALSE)=0,"Spatial Data Missing ⚠",VLOOKUP(AI206,'G-7 Rivers Data'!$AA$4:$AB$7,2,FALSE)))</f>
        <v/>
      </c>
      <c r="AK206" s="155"/>
      <c r="AL206" s="499" t="str">
        <f>IF(AK206="","",IF(VLOOKUP(AK206,'G-7 Rivers Data'!$AD$4:$AE$8,2,FALSE)=0,"Spatial Data Missing ⚠",VLOOKUP(AK206,'G-7 Rivers Data'!$AD$4:$AE$8,2,FALSE)))</f>
        <v/>
      </c>
      <c r="AM206" s="545" t="str">
        <f t="shared" ref="AM206:AM256" si="31">IFERROR(IF(C206="","",IF(Q206&gt;D206,((((Q206*S206*U206)-(D206*F206*H206))*(AH206*AD206))+(D206*F206*H206))*(AL206*X206*AJ206),((((Q206*S206*U206)-(Q206*F206*H206))*(AH206*AD206))+(Q206*F206*H206))*(AL206*X206*AJ206))),"")</f>
        <v/>
      </c>
      <c r="AN206" s="149"/>
      <c r="AO206" s="150"/>
      <c r="AV206" s="31" t="str">
        <f>IFERROR(INDEX('G-7 Rivers Data'!$AZ$3:$AZ$7,MATCH(N206,'G-7 Rivers Data'!$AY$3:$AY$7,0)),"")</f>
        <v/>
      </c>
    </row>
    <row r="207" spans="2:48" ht="14" x14ac:dyDescent="0.3">
      <c r="B207" s="531" t="str">
        <f>'C-1 Site River Baseline'!AN205</f>
        <v/>
      </c>
      <c r="C207" s="520" t="str">
        <f>IF(B207="","",VLOOKUP($B207,'C-1 Site River Baseline'!$C$9:$R$257,2,FALSE))</f>
        <v/>
      </c>
      <c r="D207" s="520" t="str">
        <f>IF(C207="","",VLOOKUP($B207,'C-1 Site River Baseline'!$C$9:$R$257,3,FALSE))</f>
        <v/>
      </c>
      <c r="E207" s="520" t="str">
        <f>IF(D207="","",VLOOKUP($B207,'C-1 Site River Baseline'!$C$9:$R$257,4,FALSE))</f>
        <v/>
      </c>
      <c r="F207" s="520" t="str">
        <f>IF(E207="","",VLOOKUP($B207,'C-1 Site River Baseline'!$C$9:$R$257,5,FALSE))</f>
        <v/>
      </c>
      <c r="G207" s="520" t="str">
        <f>IF(F207="","",VLOOKUP($B207,'C-1 Site River Baseline'!$C$9:$R$257,6,FALSE))</f>
        <v/>
      </c>
      <c r="H207" s="520" t="str">
        <f>IF(G207="","",VLOOKUP($B207,'C-1 Site River Baseline'!$C$9:$R$257,7,FALSE))</f>
        <v/>
      </c>
      <c r="I207" s="520" t="str">
        <f>IF(H207="","",VLOOKUP($B207,'C-1 Site River Baseline'!$C$9:$R$257,8,FALSE))</f>
        <v/>
      </c>
      <c r="J207" s="520" t="str">
        <f>IF(I207="","",VLOOKUP($B207,'C-1 Site River Baseline'!$C$9:$R$257,9,FALSE))</f>
        <v/>
      </c>
      <c r="K207" s="520" t="str">
        <f>IF(J207="","",VLOOKUP($B207,'C-1 Site River Baseline'!$C$9:$R$257,10,FALSE))</f>
        <v/>
      </c>
      <c r="L207" s="520" t="str">
        <f>IF(B207="","",VLOOKUP($B207,'C-1 Site River Baseline'!$C$9:$R$257,15,FALSE))</f>
        <v/>
      </c>
      <c r="M207" s="524" t="str">
        <f>IF(L207="","",VLOOKUP($B207,'C-1 Site River Baseline'!$C$9:$R$257,16,FALSE))</f>
        <v/>
      </c>
      <c r="N207" s="418" t="str">
        <f t="shared" si="25"/>
        <v/>
      </c>
      <c r="O207" s="498" t="str">
        <f t="shared" si="26"/>
        <v/>
      </c>
      <c r="P207" s="499" t="str">
        <f>IF(C207="","",IF(AND(LEFT(C207,55)&lt;&gt;LEFT(N207,55),O207="High - High"),"Error - Not like for like ▲",IF(AND(F207=S207,H207&gt;U207),"Error - Can not reduce condition ▲",IF(AND(F207=S207,H207=U207,AJ207='C-1 Site River Baseline'!N205,'C-1 Site River Baseline'!P205=AL207),"Error - No enhancement ▲",IF(AND(C207&lt;&gt;N207,F207&lt;S207),"Lower Distinctiveness Habitat"&amp;" - "&amp;T207,G207&amp;" - "&amp;T207)))))</f>
        <v/>
      </c>
      <c r="Q207" s="567" t="str">
        <f>IF(N207="","",VLOOKUP(B207,'C-1 Site River Baseline'!$C$10:$AA$257,19,FALSE))</f>
        <v/>
      </c>
      <c r="R207" s="498" t="str">
        <f>IF(N207="","",VLOOKUP(N207,'G-7 Rivers Data'!$B$2:$G$8,2,FALSE))</f>
        <v/>
      </c>
      <c r="S207" s="499" t="str">
        <f>IFERROR(VLOOKUP(R207,'G-7 Rivers Data'!$C$4:$D$8,2,FALSE),"")</f>
        <v/>
      </c>
      <c r="T207" s="145"/>
      <c r="U207" s="499" t="str">
        <f>IFERROR(INDEX('G-7 Rivers Data'!$H$4:$L$8,MATCH(N207,'G-7 Rivers Data'!$B$4:$B$8,0),MATCH(T207,'G-7 Rivers Data'!$H$3:$L$3,0)),"")</f>
        <v/>
      </c>
      <c r="V207" s="154"/>
      <c r="W207" s="507" t="str">
        <f>IF(V207="","",IF(VLOOKUP(V207,'G-7 Rivers Data'!$AG$4:$AI$9,2,FALSE)=0,"Spatial Data Missing ⚠",VLOOKUP(V207,'G-7 Rivers Data'!$AG$4:$AI$9,2,FALSE)))</f>
        <v/>
      </c>
      <c r="X207" s="499" t="str">
        <f>IF(V207="","",IF(VLOOKUP(V207,'G-7 Rivers Data'!$AG$4:$AI$9,3,FALSE)=0,"Spatial Data Missing ⚠",VLOOKUP(V207,'G-7 Rivers Data'!$AG$4:$AI$9,3,FALSE)))</f>
        <v/>
      </c>
      <c r="Y207" s="498" t="str">
        <f>IFERROR(IF(OR(LEFT(P207,5)="Error ▲",LEFT(O207,5)="Error ▲"),"Check Data ⚠",IF(F207&lt;S207,'G-7 Rivers Data'!$R$3,INDEX('G-7 Rivers Data'!$U$5:$Y$9,MATCH(G207,'G-7 Rivers Data'!$T$5:$T$9,0),MATCH(T207,'G-7 Rivers Data'!$U$4:$Y$4,0)))),"")</f>
        <v/>
      </c>
      <c r="Z207" s="195"/>
      <c r="AA207" s="195"/>
      <c r="AB207" s="507" t="str">
        <f t="shared" si="27"/>
        <v/>
      </c>
      <c r="AC207" s="521" t="str">
        <f t="shared" si="28"/>
        <v/>
      </c>
      <c r="AD207" s="564" t="str">
        <f>IFERROR(IF(AC207="Check Data ⚠","Check Data ⚠",VLOOKUP(AC207,'G-4 Temporal multipliers'!$A$4:$C$37,3,FALSE)),"")</f>
        <v/>
      </c>
      <c r="AE207" s="498" t="str">
        <f>IF(N207="","",VLOOKUP(N207,'G-7 Rivers Data'!$B$4:$G$8,5,FALSE))</f>
        <v/>
      </c>
      <c r="AF207" s="507" t="str">
        <f t="shared" si="29"/>
        <v/>
      </c>
      <c r="AG207" s="540" t="str">
        <f t="shared" si="30"/>
        <v/>
      </c>
      <c r="AH207" s="499" t="str">
        <f t="shared" si="24"/>
        <v/>
      </c>
      <c r="AI207" s="145"/>
      <c r="AJ207" s="499" t="str">
        <f>IF(AI207="","",IF(VLOOKUP(AI207,'G-7 Rivers Data'!$AA$4:$AB$7,2,FALSE)=0,"Spatial Data Missing ⚠",VLOOKUP(AI207,'G-7 Rivers Data'!$AA$4:$AB$7,2,FALSE)))</f>
        <v/>
      </c>
      <c r="AK207" s="155"/>
      <c r="AL207" s="499" t="str">
        <f>IF(AK207="","",IF(VLOOKUP(AK207,'G-7 Rivers Data'!$AD$4:$AE$8,2,FALSE)=0,"Spatial Data Missing ⚠",VLOOKUP(AK207,'G-7 Rivers Data'!$AD$4:$AE$8,2,FALSE)))</f>
        <v/>
      </c>
      <c r="AM207" s="545" t="str">
        <f t="shared" si="31"/>
        <v/>
      </c>
      <c r="AN207" s="149"/>
      <c r="AO207" s="150"/>
      <c r="AV207" s="31" t="str">
        <f>IFERROR(INDEX('G-7 Rivers Data'!$AZ$3:$AZ$7,MATCH(N207,'G-7 Rivers Data'!$AY$3:$AY$7,0)),"")</f>
        <v/>
      </c>
    </row>
    <row r="208" spans="2:48" ht="14" x14ac:dyDescent="0.3">
      <c r="B208" s="531" t="str">
        <f>'C-1 Site River Baseline'!AN206</f>
        <v/>
      </c>
      <c r="C208" s="520" t="str">
        <f>IF(B208="","",VLOOKUP($B208,'C-1 Site River Baseline'!$C$9:$R$257,2,FALSE))</f>
        <v/>
      </c>
      <c r="D208" s="520" t="str">
        <f>IF(C208="","",VLOOKUP($B208,'C-1 Site River Baseline'!$C$9:$R$257,3,FALSE))</f>
        <v/>
      </c>
      <c r="E208" s="520" t="str">
        <f>IF(D208="","",VLOOKUP($B208,'C-1 Site River Baseline'!$C$9:$R$257,4,FALSE))</f>
        <v/>
      </c>
      <c r="F208" s="520" t="str">
        <f>IF(E208="","",VLOOKUP($B208,'C-1 Site River Baseline'!$C$9:$R$257,5,FALSE))</f>
        <v/>
      </c>
      <c r="G208" s="520" t="str">
        <f>IF(F208="","",VLOOKUP($B208,'C-1 Site River Baseline'!$C$9:$R$257,6,FALSE))</f>
        <v/>
      </c>
      <c r="H208" s="520" t="str">
        <f>IF(G208="","",VLOOKUP($B208,'C-1 Site River Baseline'!$C$9:$R$257,7,FALSE))</f>
        <v/>
      </c>
      <c r="I208" s="520" t="str">
        <f>IF(H208="","",VLOOKUP($B208,'C-1 Site River Baseline'!$C$9:$R$257,8,FALSE))</f>
        <v/>
      </c>
      <c r="J208" s="520" t="str">
        <f>IF(I208="","",VLOOKUP($B208,'C-1 Site River Baseline'!$C$9:$R$257,9,FALSE))</f>
        <v/>
      </c>
      <c r="K208" s="520" t="str">
        <f>IF(J208="","",VLOOKUP($B208,'C-1 Site River Baseline'!$C$9:$R$257,10,FALSE))</f>
        <v/>
      </c>
      <c r="L208" s="520" t="str">
        <f>IF(B208="","",VLOOKUP($B208,'C-1 Site River Baseline'!$C$9:$R$257,15,FALSE))</f>
        <v/>
      </c>
      <c r="M208" s="524" t="str">
        <f>IF(L208="","",VLOOKUP($B208,'C-1 Site River Baseline'!$C$9:$R$257,16,FALSE))</f>
        <v/>
      </c>
      <c r="N208" s="418" t="str">
        <f t="shared" si="25"/>
        <v/>
      </c>
      <c r="O208" s="498" t="str">
        <f t="shared" si="26"/>
        <v/>
      </c>
      <c r="P208" s="499" t="str">
        <f>IF(C208="","",IF(AND(LEFT(C208,55)&lt;&gt;LEFT(N208,55),O208="High - High"),"Error - Not like for like ▲",IF(AND(F208=S208,H208&gt;U208),"Error - Can not reduce condition ▲",IF(AND(F208=S208,H208=U208,AJ208='C-1 Site River Baseline'!N206,'C-1 Site River Baseline'!P206=AL208),"Error - No enhancement ▲",IF(AND(C208&lt;&gt;N208,F208&lt;S208),"Lower Distinctiveness Habitat"&amp;" - "&amp;T208,G208&amp;" - "&amp;T208)))))</f>
        <v/>
      </c>
      <c r="Q208" s="567" t="str">
        <f>IF(N208="","",VLOOKUP(B208,'C-1 Site River Baseline'!$C$10:$AA$257,19,FALSE))</f>
        <v/>
      </c>
      <c r="R208" s="498" t="str">
        <f>IF(N208="","",VLOOKUP(N208,'G-7 Rivers Data'!$B$2:$G$8,2,FALSE))</f>
        <v/>
      </c>
      <c r="S208" s="499" t="str">
        <f>IFERROR(VLOOKUP(R208,'G-7 Rivers Data'!$C$4:$D$8,2,FALSE),"")</f>
        <v/>
      </c>
      <c r="T208" s="145"/>
      <c r="U208" s="499" t="str">
        <f>IFERROR(INDEX('G-7 Rivers Data'!$H$4:$L$8,MATCH(N208,'G-7 Rivers Data'!$B$4:$B$8,0),MATCH(T208,'G-7 Rivers Data'!$H$3:$L$3,0)),"")</f>
        <v/>
      </c>
      <c r="V208" s="154"/>
      <c r="W208" s="507" t="str">
        <f>IF(V208="","",IF(VLOOKUP(V208,'G-7 Rivers Data'!$AG$4:$AI$9,2,FALSE)=0,"Spatial Data Missing ⚠",VLOOKUP(V208,'G-7 Rivers Data'!$AG$4:$AI$9,2,FALSE)))</f>
        <v/>
      </c>
      <c r="X208" s="499" t="str">
        <f>IF(V208="","",IF(VLOOKUP(V208,'G-7 Rivers Data'!$AG$4:$AI$9,3,FALSE)=0,"Spatial Data Missing ⚠",VLOOKUP(V208,'G-7 Rivers Data'!$AG$4:$AI$9,3,FALSE)))</f>
        <v/>
      </c>
      <c r="Y208" s="498" t="str">
        <f>IFERROR(IF(OR(LEFT(P208,5)="Error ▲",LEFT(O208,5)="Error ▲"),"Check Data ⚠",IF(F208&lt;S208,'G-7 Rivers Data'!$R$3,INDEX('G-7 Rivers Data'!$U$5:$Y$9,MATCH(G208,'G-7 Rivers Data'!$T$5:$T$9,0),MATCH(T208,'G-7 Rivers Data'!$U$4:$Y$4,0)))),"")</f>
        <v/>
      </c>
      <c r="Z208" s="195"/>
      <c r="AA208" s="195"/>
      <c r="AB208" s="507" t="str">
        <f t="shared" si="27"/>
        <v/>
      </c>
      <c r="AC208" s="521" t="str">
        <f t="shared" si="28"/>
        <v/>
      </c>
      <c r="AD208" s="564" t="str">
        <f>IFERROR(IF(AC208="Check Data ⚠","Check Data ⚠",VLOOKUP(AC208,'G-4 Temporal multipliers'!$A$4:$C$37,3,FALSE)),"")</f>
        <v/>
      </c>
      <c r="AE208" s="498" t="str">
        <f>IF(N208="","",VLOOKUP(N208,'G-7 Rivers Data'!$B$4:$G$8,5,FALSE))</f>
        <v/>
      </c>
      <c r="AF208" s="507" t="str">
        <f t="shared" si="29"/>
        <v/>
      </c>
      <c r="AG208" s="540" t="str">
        <f t="shared" si="30"/>
        <v/>
      </c>
      <c r="AH208" s="499" t="str">
        <f t="shared" si="24"/>
        <v/>
      </c>
      <c r="AI208" s="145"/>
      <c r="AJ208" s="499" t="str">
        <f>IF(AI208="","",IF(VLOOKUP(AI208,'G-7 Rivers Data'!$AA$4:$AB$7,2,FALSE)=0,"Spatial Data Missing ⚠",VLOOKUP(AI208,'G-7 Rivers Data'!$AA$4:$AB$7,2,FALSE)))</f>
        <v/>
      </c>
      <c r="AK208" s="155"/>
      <c r="AL208" s="499" t="str">
        <f>IF(AK208="","",IF(VLOOKUP(AK208,'G-7 Rivers Data'!$AD$4:$AE$8,2,FALSE)=0,"Spatial Data Missing ⚠",VLOOKUP(AK208,'G-7 Rivers Data'!$AD$4:$AE$8,2,FALSE)))</f>
        <v/>
      </c>
      <c r="AM208" s="545" t="str">
        <f t="shared" si="31"/>
        <v/>
      </c>
      <c r="AN208" s="149"/>
      <c r="AO208" s="150"/>
      <c r="AV208" s="31" t="str">
        <f>IFERROR(INDEX('G-7 Rivers Data'!$AZ$3:$AZ$7,MATCH(N208,'G-7 Rivers Data'!$AY$3:$AY$7,0)),"")</f>
        <v/>
      </c>
    </row>
    <row r="209" spans="2:48" ht="14" x14ac:dyDescent="0.3">
      <c r="B209" s="531" t="str">
        <f>'C-1 Site River Baseline'!AN207</f>
        <v/>
      </c>
      <c r="C209" s="520" t="str">
        <f>IF(B209="","",VLOOKUP($B209,'C-1 Site River Baseline'!$C$9:$R$257,2,FALSE))</f>
        <v/>
      </c>
      <c r="D209" s="520" t="str">
        <f>IF(C209="","",VLOOKUP($B209,'C-1 Site River Baseline'!$C$9:$R$257,3,FALSE))</f>
        <v/>
      </c>
      <c r="E209" s="520" t="str">
        <f>IF(D209="","",VLOOKUP($B209,'C-1 Site River Baseline'!$C$9:$R$257,4,FALSE))</f>
        <v/>
      </c>
      <c r="F209" s="520" t="str">
        <f>IF(E209="","",VLOOKUP($B209,'C-1 Site River Baseline'!$C$9:$R$257,5,FALSE))</f>
        <v/>
      </c>
      <c r="G209" s="520" t="str">
        <f>IF(F209="","",VLOOKUP($B209,'C-1 Site River Baseline'!$C$9:$R$257,6,FALSE))</f>
        <v/>
      </c>
      <c r="H209" s="520" t="str">
        <f>IF(G209="","",VLOOKUP($B209,'C-1 Site River Baseline'!$C$9:$R$257,7,FALSE))</f>
        <v/>
      </c>
      <c r="I209" s="520" t="str">
        <f>IF(H209="","",VLOOKUP($B209,'C-1 Site River Baseline'!$C$9:$R$257,8,FALSE))</f>
        <v/>
      </c>
      <c r="J209" s="520" t="str">
        <f>IF(I209="","",VLOOKUP($B209,'C-1 Site River Baseline'!$C$9:$R$257,9,FALSE))</f>
        <v/>
      </c>
      <c r="K209" s="520" t="str">
        <f>IF(J209="","",VLOOKUP($B209,'C-1 Site River Baseline'!$C$9:$R$257,10,FALSE))</f>
        <v/>
      </c>
      <c r="L209" s="520" t="str">
        <f>IF(B209="","",VLOOKUP($B209,'C-1 Site River Baseline'!$C$9:$R$257,15,FALSE))</f>
        <v/>
      </c>
      <c r="M209" s="524" t="str">
        <f>IF(L209="","",VLOOKUP($B209,'C-1 Site River Baseline'!$C$9:$R$257,16,FALSE))</f>
        <v/>
      </c>
      <c r="N209" s="418" t="str">
        <f t="shared" si="25"/>
        <v/>
      </c>
      <c r="O209" s="498" t="str">
        <f t="shared" si="26"/>
        <v/>
      </c>
      <c r="P209" s="499" t="str">
        <f>IF(C209="","",IF(AND(LEFT(C209,55)&lt;&gt;LEFT(N209,55),O209="High - High"),"Error - Not like for like ▲",IF(AND(F209=S209,H209&gt;U209),"Error - Can not reduce condition ▲",IF(AND(F209=S209,H209=U209,AJ209='C-1 Site River Baseline'!N207,'C-1 Site River Baseline'!P207=AL209),"Error - No enhancement ▲",IF(AND(C209&lt;&gt;N209,F209&lt;S209),"Lower Distinctiveness Habitat"&amp;" - "&amp;T209,G209&amp;" - "&amp;T209)))))</f>
        <v/>
      </c>
      <c r="Q209" s="567" t="str">
        <f>IF(N209="","",VLOOKUP(B209,'C-1 Site River Baseline'!$C$10:$AA$257,19,FALSE))</f>
        <v/>
      </c>
      <c r="R209" s="498" t="str">
        <f>IF(N209="","",VLOOKUP(N209,'G-7 Rivers Data'!$B$2:$G$8,2,FALSE))</f>
        <v/>
      </c>
      <c r="S209" s="499" t="str">
        <f>IFERROR(VLOOKUP(R209,'G-7 Rivers Data'!$C$4:$D$8,2,FALSE),"")</f>
        <v/>
      </c>
      <c r="T209" s="145"/>
      <c r="U209" s="499" t="str">
        <f>IFERROR(INDEX('G-7 Rivers Data'!$H$4:$L$8,MATCH(N209,'G-7 Rivers Data'!$B$4:$B$8,0),MATCH(T209,'G-7 Rivers Data'!$H$3:$L$3,0)),"")</f>
        <v/>
      </c>
      <c r="V209" s="154"/>
      <c r="W209" s="507" t="str">
        <f>IF(V209="","",IF(VLOOKUP(V209,'G-7 Rivers Data'!$AG$4:$AI$9,2,FALSE)=0,"Spatial Data Missing ⚠",VLOOKUP(V209,'G-7 Rivers Data'!$AG$4:$AI$9,2,FALSE)))</f>
        <v/>
      </c>
      <c r="X209" s="499" t="str">
        <f>IF(V209="","",IF(VLOOKUP(V209,'G-7 Rivers Data'!$AG$4:$AI$9,3,FALSE)=0,"Spatial Data Missing ⚠",VLOOKUP(V209,'G-7 Rivers Data'!$AG$4:$AI$9,3,FALSE)))</f>
        <v/>
      </c>
      <c r="Y209" s="498" t="str">
        <f>IFERROR(IF(OR(LEFT(P209,5)="Error ▲",LEFT(O209,5)="Error ▲"),"Check Data ⚠",IF(F209&lt;S209,'G-7 Rivers Data'!$R$3,INDEX('G-7 Rivers Data'!$U$5:$Y$9,MATCH(G209,'G-7 Rivers Data'!$T$5:$T$9,0),MATCH(T209,'G-7 Rivers Data'!$U$4:$Y$4,0)))),"")</f>
        <v/>
      </c>
      <c r="Z209" s="195"/>
      <c r="AA209" s="195"/>
      <c r="AB209" s="507" t="str">
        <f t="shared" si="27"/>
        <v/>
      </c>
      <c r="AC209" s="521" t="str">
        <f t="shared" si="28"/>
        <v/>
      </c>
      <c r="AD209" s="564" t="str">
        <f>IFERROR(IF(AC209="Check Data ⚠","Check Data ⚠",VLOOKUP(AC209,'G-4 Temporal multipliers'!$A$4:$C$37,3,FALSE)),"")</f>
        <v/>
      </c>
      <c r="AE209" s="498" t="str">
        <f>IF(N209="","",VLOOKUP(N209,'G-7 Rivers Data'!$B$4:$G$8,5,FALSE))</f>
        <v/>
      </c>
      <c r="AF209" s="507" t="str">
        <f t="shared" si="29"/>
        <v/>
      </c>
      <c r="AG209" s="540" t="str">
        <f t="shared" si="30"/>
        <v/>
      </c>
      <c r="AH209" s="499" t="str">
        <f t="shared" si="24"/>
        <v/>
      </c>
      <c r="AI209" s="145"/>
      <c r="AJ209" s="499" t="str">
        <f>IF(AI209="","",IF(VLOOKUP(AI209,'G-7 Rivers Data'!$AA$4:$AB$7,2,FALSE)=0,"Spatial Data Missing ⚠",VLOOKUP(AI209,'G-7 Rivers Data'!$AA$4:$AB$7,2,FALSE)))</f>
        <v/>
      </c>
      <c r="AK209" s="155"/>
      <c r="AL209" s="499" t="str">
        <f>IF(AK209="","",IF(VLOOKUP(AK209,'G-7 Rivers Data'!$AD$4:$AE$8,2,FALSE)=0,"Spatial Data Missing ⚠",VLOOKUP(AK209,'G-7 Rivers Data'!$AD$4:$AE$8,2,FALSE)))</f>
        <v/>
      </c>
      <c r="AM209" s="545" t="str">
        <f t="shared" si="31"/>
        <v/>
      </c>
      <c r="AN209" s="149"/>
      <c r="AO209" s="150"/>
      <c r="AV209" s="31" t="str">
        <f>IFERROR(INDEX('G-7 Rivers Data'!$AZ$3:$AZ$7,MATCH(N209,'G-7 Rivers Data'!$AY$3:$AY$7,0)),"")</f>
        <v/>
      </c>
    </row>
    <row r="210" spans="2:48" ht="14" x14ac:dyDescent="0.3">
      <c r="B210" s="531" t="str">
        <f>'C-1 Site River Baseline'!AN208</f>
        <v/>
      </c>
      <c r="C210" s="520" t="str">
        <f>IF(B210="","",VLOOKUP($B210,'C-1 Site River Baseline'!$C$9:$R$257,2,FALSE))</f>
        <v/>
      </c>
      <c r="D210" s="520" t="str">
        <f>IF(C210="","",VLOOKUP($B210,'C-1 Site River Baseline'!$C$9:$R$257,3,FALSE))</f>
        <v/>
      </c>
      <c r="E210" s="520" t="str">
        <f>IF(D210="","",VLOOKUP($B210,'C-1 Site River Baseline'!$C$9:$R$257,4,FALSE))</f>
        <v/>
      </c>
      <c r="F210" s="520" t="str">
        <f>IF(E210="","",VLOOKUP($B210,'C-1 Site River Baseline'!$C$9:$R$257,5,FALSE))</f>
        <v/>
      </c>
      <c r="G210" s="520" t="str">
        <f>IF(F210="","",VLOOKUP($B210,'C-1 Site River Baseline'!$C$9:$R$257,6,FALSE))</f>
        <v/>
      </c>
      <c r="H210" s="520" t="str">
        <f>IF(G210="","",VLOOKUP($B210,'C-1 Site River Baseline'!$C$9:$R$257,7,FALSE))</f>
        <v/>
      </c>
      <c r="I210" s="520" t="str">
        <f>IF(H210="","",VLOOKUP($B210,'C-1 Site River Baseline'!$C$9:$R$257,8,FALSE))</f>
        <v/>
      </c>
      <c r="J210" s="520" t="str">
        <f>IF(I210="","",VLOOKUP($B210,'C-1 Site River Baseline'!$C$9:$R$257,9,FALSE))</f>
        <v/>
      </c>
      <c r="K210" s="520" t="str">
        <f>IF(J210="","",VLOOKUP($B210,'C-1 Site River Baseline'!$C$9:$R$257,10,FALSE))</f>
        <v/>
      </c>
      <c r="L210" s="520" t="str">
        <f>IF(B210="","",VLOOKUP($B210,'C-1 Site River Baseline'!$C$9:$R$257,15,FALSE))</f>
        <v/>
      </c>
      <c r="M210" s="524" t="str">
        <f>IF(L210="","",VLOOKUP($B210,'C-1 Site River Baseline'!$C$9:$R$257,16,FALSE))</f>
        <v/>
      </c>
      <c r="N210" s="418" t="str">
        <f t="shared" si="25"/>
        <v/>
      </c>
      <c r="O210" s="498" t="str">
        <f t="shared" si="26"/>
        <v/>
      </c>
      <c r="P210" s="499" t="str">
        <f>IF(C210="","",IF(AND(LEFT(C210,55)&lt;&gt;LEFT(N210,55),O210="High - High"),"Error - Not like for like ▲",IF(AND(F210=S210,H210&gt;U210),"Error - Can not reduce condition ▲",IF(AND(F210=S210,H210=U210,AJ210='C-1 Site River Baseline'!N208,'C-1 Site River Baseline'!P208=AL210),"Error - No enhancement ▲",IF(AND(C210&lt;&gt;N210,F210&lt;S210),"Lower Distinctiveness Habitat"&amp;" - "&amp;T210,G210&amp;" - "&amp;T210)))))</f>
        <v/>
      </c>
      <c r="Q210" s="567" t="str">
        <f>IF(N210="","",VLOOKUP(B210,'C-1 Site River Baseline'!$C$10:$AA$257,19,FALSE))</f>
        <v/>
      </c>
      <c r="R210" s="498" t="str">
        <f>IF(N210="","",VLOOKUP(N210,'G-7 Rivers Data'!$B$2:$G$8,2,FALSE))</f>
        <v/>
      </c>
      <c r="S210" s="499" t="str">
        <f>IFERROR(VLOOKUP(R210,'G-7 Rivers Data'!$C$4:$D$8,2,FALSE),"")</f>
        <v/>
      </c>
      <c r="T210" s="145"/>
      <c r="U210" s="499" t="str">
        <f>IFERROR(INDEX('G-7 Rivers Data'!$H$4:$L$8,MATCH(N210,'G-7 Rivers Data'!$B$4:$B$8,0),MATCH(T210,'G-7 Rivers Data'!$H$3:$L$3,0)),"")</f>
        <v/>
      </c>
      <c r="V210" s="154"/>
      <c r="W210" s="507" t="str">
        <f>IF(V210="","",IF(VLOOKUP(V210,'G-7 Rivers Data'!$AG$4:$AI$9,2,FALSE)=0,"Spatial Data Missing ⚠",VLOOKUP(V210,'G-7 Rivers Data'!$AG$4:$AI$9,2,FALSE)))</f>
        <v/>
      </c>
      <c r="X210" s="499" t="str">
        <f>IF(V210="","",IF(VLOOKUP(V210,'G-7 Rivers Data'!$AG$4:$AI$9,3,FALSE)=0,"Spatial Data Missing ⚠",VLOOKUP(V210,'G-7 Rivers Data'!$AG$4:$AI$9,3,FALSE)))</f>
        <v/>
      </c>
      <c r="Y210" s="498" t="str">
        <f>IFERROR(IF(OR(LEFT(P210,5)="Error ▲",LEFT(O210,5)="Error ▲"),"Check Data ⚠",IF(F210&lt;S210,'G-7 Rivers Data'!$R$3,INDEX('G-7 Rivers Data'!$U$5:$Y$9,MATCH(G210,'G-7 Rivers Data'!$T$5:$T$9,0),MATCH(T210,'G-7 Rivers Data'!$U$4:$Y$4,0)))),"")</f>
        <v/>
      </c>
      <c r="Z210" s="195"/>
      <c r="AA210" s="195"/>
      <c r="AB210" s="507" t="str">
        <f t="shared" si="27"/>
        <v/>
      </c>
      <c r="AC210" s="521" t="str">
        <f t="shared" si="28"/>
        <v/>
      </c>
      <c r="AD210" s="564" t="str">
        <f>IFERROR(IF(AC210="Check Data ⚠","Check Data ⚠",VLOOKUP(AC210,'G-4 Temporal multipliers'!$A$4:$C$37,3,FALSE)),"")</f>
        <v/>
      </c>
      <c r="AE210" s="498" t="str">
        <f>IF(N210="","",VLOOKUP(N210,'G-7 Rivers Data'!$B$4:$G$8,5,FALSE))</f>
        <v/>
      </c>
      <c r="AF210" s="507" t="str">
        <f t="shared" si="29"/>
        <v/>
      </c>
      <c r="AG210" s="540" t="str">
        <f t="shared" si="30"/>
        <v/>
      </c>
      <c r="AH210" s="499" t="str">
        <f t="shared" si="24"/>
        <v/>
      </c>
      <c r="AI210" s="145"/>
      <c r="AJ210" s="499" t="str">
        <f>IF(AI210="","",IF(VLOOKUP(AI210,'G-7 Rivers Data'!$AA$4:$AB$7,2,FALSE)=0,"Spatial Data Missing ⚠",VLOOKUP(AI210,'G-7 Rivers Data'!$AA$4:$AB$7,2,FALSE)))</f>
        <v/>
      </c>
      <c r="AK210" s="155"/>
      <c r="AL210" s="499" t="str">
        <f>IF(AK210="","",IF(VLOOKUP(AK210,'G-7 Rivers Data'!$AD$4:$AE$8,2,FALSE)=0,"Spatial Data Missing ⚠",VLOOKUP(AK210,'G-7 Rivers Data'!$AD$4:$AE$8,2,FALSE)))</f>
        <v/>
      </c>
      <c r="AM210" s="545" t="str">
        <f t="shared" si="31"/>
        <v/>
      </c>
      <c r="AN210" s="149"/>
      <c r="AO210" s="150"/>
      <c r="AV210" s="31" t="str">
        <f>IFERROR(INDEX('G-7 Rivers Data'!$AZ$3:$AZ$7,MATCH(N210,'G-7 Rivers Data'!$AY$3:$AY$7,0)),"")</f>
        <v/>
      </c>
    </row>
    <row r="211" spans="2:48" ht="14" x14ac:dyDescent="0.3">
      <c r="B211" s="531" t="str">
        <f>'C-1 Site River Baseline'!AN209</f>
        <v/>
      </c>
      <c r="C211" s="520" t="str">
        <f>IF(B211="","",VLOOKUP($B211,'C-1 Site River Baseline'!$C$9:$R$257,2,FALSE))</f>
        <v/>
      </c>
      <c r="D211" s="520" t="str">
        <f>IF(C211="","",VLOOKUP($B211,'C-1 Site River Baseline'!$C$9:$R$257,3,FALSE))</f>
        <v/>
      </c>
      <c r="E211" s="520" t="str">
        <f>IF(D211="","",VLOOKUP($B211,'C-1 Site River Baseline'!$C$9:$R$257,4,FALSE))</f>
        <v/>
      </c>
      <c r="F211" s="520" t="str">
        <f>IF(E211="","",VLOOKUP($B211,'C-1 Site River Baseline'!$C$9:$R$257,5,FALSE))</f>
        <v/>
      </c>
      <c r="G211" s="520" t="str">
        <f>IF(F211="","",VLOOKUP($B211,'C-1 Site River Baseline'!$C$9:$R$257,6,FALSE))</f>
        <v/>
      </c>
      <c r="H211" s="520" t="str">
        <f>IF(G211="","",VLOOKUP($B211,'C-1 Site River Baseline'!$C$9:$R$257,7,FALSE))</f>
        <v/>
      </c>
      <c r="I211" s="520" t="str">
        <f>IF(H211="","",VLOOKUP($B211,'C-1 Site River Baseline'!$C$9:$R$257,8,FALSE))</f>
        <v/>
      </c>
      <c r="J211" s="520" t="str">
        <f>IF(I211="","",VLOOKUP($B211,'C-1 Site River Baseline'!$C$9:$R$257,9,FALSE))</f>
        <v/>
      </c>
      <c r="K211" s="520" t="str">
        <f>IF(J211="","",VLOOKUP($B211,'C-1 Site River Baseline'!$C$9:$R$257,10,FALSE))</f>
        <v/>
      </c>
      <c r="L211" s="520" t="str">
        <f>IF(B211="","",VLOOKUP($B211,'C-1 Site River Baseline'!$C$9:$R$257,15,FALSE))</f>
        <v/>
      </c>
      <c r="M211" s="524" t="str">
        <f>IF(L211="","",VLOOKUP($B211,'C-1 Site River Baseline'!$C$9:$R$257,16,FALSE))</f>
        <v/>
      </c>
      <c r="N211" s="418" t="str">
        <f t="shared" si="25"/>
        <v/>
      </c>
      <c r="O211" s="498" t="str">
        <f t="shared" si="26"/>
        <v/>
      </c>
      <c r="P211" s="499" t="str">
        <f>IF(C211="","",IF(AND(LEFT(C211,55)&lt;&gt;LEFT(N211,55),O211="High - High"),"Error - Not like for like ▲",IF(AND(F211=S211,H211&gt;U211),"Error - Can not reduce condition ▲",IF(AND(F211=S211,H211=U211,AJ211='C-1 Site River Baseline'!N209,'C-1 Site River Baseline'!P209=AL211),"Error - No enhancement ▲",IF(AND(C211&lt;&gt;N211,F211&lt;S211),"Lower Distinctiveness Habitat"&amp;" - "&amp;T211,G211&amp;" - "&amp;T211)))))</f>
        <v/>
      </c>
      <c r="Q211" s="567" t="str">
        <f>IF(N211="","",VLOOKUP(B211,'C-1 Site River Baseline'!$C$10:$AA$257,19,FALSE))</f>
        <v/>
      </c>
      <c r="R211" s="498" t="str">
        <f>IF(N211="","",VLOOKUP(N211,'G-7 Rivers Data'!$B$2:$G$8,2,FALSE))</f>
        <v/>
      </c>
      <c r="S211" s="499" t="str">
        <f>IFERROR(VLOOKUP(R211,'G-7 Rivers Data'!$C$4:$D$8,2,FALSE),"")</f>
        <v/>
      </c>
      <c r="T211" s="145"/>
      <c r="U211" s="499" t="str">
        <f>IFERROR(INDEX('G-7 Rivers Data'!$H$4:$L$8,MATCH(N211,'G-7 Rivers Data'!$B$4:$B$8,0),MATCH(T211,'G-7 Rivers Data'!$H$3:$L$3,0)),"")</f>
        <v/>
      </c>
      <c r="V211" s="154"/>
      <c r="W211" s="507" t="str">
        <f>IF(V211="","",IF(VLOOKUP(V211,'G-7 Rivers Data'!$AG$4:$AI$9,2,FALSE)=0,"Spatial Data Missing ⚠",VLOOKUP(V211,'G-7 Rivers Data'!$AG$4:$AI$9,2,FALSE)))</f>
        <v/>
      </c>
      <c r="X211" s="499" t="str">
        <f>IF(V211="","",IF(VLOOKUP(V211,'G-7 Rivers Data'!$AG$4:$AI$9,3,FALSE)=0,"Spatial Data Missing ⚠",VLOOKUP(V211,'G-7 Rivers Data'!$AG$4:$AI$9,3,FALSE)))</f>
        <v/>
      </c>
      <c r="Y211" s="498" t="str">
        <f>IFERROR(IF(OR(LEFT(P211,5)="Error ▲",LEFT(O211,5)="Error ▲"),"Check Data ⚠",IF(F211&lt;S211,'G-7 Rivers Data'!$R$3,INDEX('G-7 Rivers Data'!$U$5:$Y$9,MATCH(G211,'G-7 Rivers Data'!$T$5:$T$9,0),MATCH(T211,'G-7 Rivers Data'!$U$4:$Y$4,0)))),"")</f>
        <v/>
      </c>
      <c r="Z211" s="195"/>
      <c r="AA211" s="195"/>
      <c r="AB211" s="507" t="str">
        <f t="shared" si="27"/>
        <v/>
      </c>
      <c r="AC211" s="521" t="str">
        <f t="shared" si="28"/>
        <v/>
      </c>
      <c r="AD211" s="564" t="str">
        <f>IFERROR(IF(AC211="Check Data ⚠","Check Data ⚠",VLOOKUP(AC211,'G-4 Temporal multipliers'!$A$4:$C$37,3,FALSE)),"")</f>
        <v/>
      </c>
      <c r="AE211" s="498" t="str">
        <f>IF(N211="","",VLOOKUP(N211,'G-7 Rivers Data'!$B$4:$G$8,5,FALSE))</f>
        <v/>
      </c>
      <c r="AF211" s="507" t="str">
        <f t="shared" si="29"/>
        <v/>
      </c>
      <c r="AG211" s="540" t="str">
        <f t="shared" si="30"/>
        <v/>
      </c>
      <c r="AH211" s="499" t="str">
        <f t="shared" si="24"/>
        <v/>
      </c>
      <c r="AI211" s="145"/>
      <c r="AJ211" s="499" t="str">
        <f>IF(AI211="","",IF(VLOOKUP(AI211,'G-7 Rivers Data'!$AA$4:$AB$7,2,FALSE)=0,"Spatial Data Missing ⚠",VLOOKUP(AI211,'G-7 Rivers Data'!$AA$4:$AB$7,2,FALSE)))</f>
        <v/>
      </c>
      <c r="AK211" s="155"/>
      <c r="AL211" s="499" t="str">
        <f>IF(AK211="","",IF(VLOOKUP(AK211,'G-7 Rivers Data'!$AD$4:$AE$8,2,FALSE)=0,"Spatial Data Missing ⚠",VLOOKUP(AK211,'G-7 Rivers Data'!$AD$4:$AE$8,2,FALSE)))</f>
        <v/>
      </c>
      <c r="AM211" s="545" t="str">
        <f t="shared" si="31"/>
        <v/>
      </c>
      <c r="AN211" s="149"/>
      <c r="AO211" s="150"/>
      <c r="AV211" s="31" t="str">
        <f>IFERROR(INDEX('G-7 Rivers Data'!$AZ$3:$AZ$7,MATCH(N211,'G-7 Rivers Data'!$AY$3:$AY$7,0)),"")</f>
        <v/>
      </c>
    </row>
    <row r="212" spans="2:48" ht="14" x14ac:dyDescent="0.3">
      <c r="B212" s="531" t="str">
        <f>'C-1 Site River Baseline'!AN210</f>
        <v/>
      </c>
      <c r="C212" s="520" t="str">
        <f>IF(B212="","",VLOOKUP($B212,'C-1 Site River Baseline'!$C$9:$R$257,2,FALSE))</f>
        <v/>
      </c>
      <c r="D212" s="520" t="str">
        <f>IF(C212="","",VLOOKUP($B212,'C-1 Site River Baseline'!$C$9:$R$257,3,FALSE))</f>
        <v/>
      </c>
      <c r="E212" s="520" t="str">
        <f>IF(D212="","",VLOOKUP($B212,'C-1 Site River Baseline'!$C$9:$R$257,4,FALSE))</f>
        <v/>
      </c>
      <c r="F212" s="520" t="str">
        <f>IF(E212="","",VLOOKUP($B212,'C-1 Site River Baseline'!$C$9:$R$257,5,FALSE))</f>
        <v/>
      </c>
      <c r="G212" s="520" t="str">
        <f>IF(F212="","",VLOOKUP($B212,'C-1 Site River Baseline'!$C$9:$R$257,6,FALSE))</f>
        <v/>
      </c>
      <c r="H212" s="520" t="str">
        <f>IF(G212="","",VLOOKUP($B212,'C-1 Site River Baseline'!$C$9:$R$257,7,FALSE))</f>
        <v/>
      </c>
      <c r="I212" s="520" t="str">
        <f>IF(H212="","",VLOOKUP($B212,'C-1 Site River Baseline'!$C$9:$R$257,8,FALSE))</f>
        <v/>
      </c>
      <c r="J212" s="520" t="str">
        <f>IF(I212="","",VLOOKUP($B212,'C-1 Site River Baseline'!$C$9:$R$257,9,FALSE))</f>
        <v/>
      </c>
      <c r="K212" s="520" t="str">
        <f>IF(J212="","",VLOOKUP($B212,'C-1 Site River Baseline'!$C$9:$R$257,10,FALSE))</f>
        <v/>
      </c>
      <c r="L212" s="520" t="str">
        <f>IF(B212="","",VLOOKUP($B212,'C-1 Site River Baseline'!$C$9:$R$257,15,FALSE))</f>
        <v/>
      </c>
      <c r="M212" s="524" t="str">
        <f>IF(L212="","",VLOOKUP($B212,'C-1 Site River Baseline'!$C$9:$R$257,16,FALSE))</f>
        <v/>
      </c>
      <c r="N212" s="418" t="str">
        <f t="shared" si="25"/>
        <v/>
      </c>
      <c r="O212" s="498" t="str">
        <f t="shared" si="26"/>
        <v/>
      </c>
      <c r="P212" s="499" t="str">
        <f>IF(C212="","",IF(AND(LEFT(C212,55)&lt;&gt;LEFT(N212,55),O212="High - High"),"Error - Not like for like ▲",IF(AND(F212=S212,H212&gt;U212),"Error - Can not reduce condition ▲",IF(AND(F212=S212,H212=U212,AJ212='C-1 Site River Baseline'!N210,'C-1 Site River Baseline'!P210=AL212),"Error - No enhancement ▲",IF(AND(C212&lt;&gt;N212,F212&lt;S212),"Lower Distinctiveness Habitat"&amp;" - "&amp;T212,G212&amp;" - "&amp;T212)))))</f>
        <v/>
      </c>
      <c r="Q212" s="567" t="str">
        <f>IF(N212="","",VLOOKUP(B212,'C-1 Site River Baseline'!$C$10:$AA$257,19,FALSE))</f>
        <v/>
      </c>
      <c r="R212" s="498" t="str">
        <f>IF(N212="","",VLOOKUP(N212,'G-7 Rivers Data'!$B$2:$G$8,2,FALSE))</f>
        <v/>
      </c>
      <c r="S212" s="499" t="str">
        <f>IFERROR(VLOOKUP(R212,'G-7 Rivers Data'!$C$4:$D$8,2,FALSE),"")</f>
        <v/>
      </c>
      <c r="T212" s="145"/>
      <c r="U212" s="499" t="str">
        <f>IFERROR(INDEX('G-7 Rivers Data'!$H$4:$L$8,MATCH(N212,'G-7 Rivers Data'!$B$4:$B$8,0),MATCH(T212,'G-7 Rivers Data'!$H$3:$L$3,0)),"")</f>
        <v/>
      </c>
      <c r="V212" s="154"/>
      <c r="W212" s="507" t="str">
        <f>IF(V212="","",IF(VLOOKUP(V212,'G-7 Rivers Data'!$AG$4:$AI$9,2,FALSE)=0,"Spatial Data Missing ⚠",VLOOKUP(V212,'G-7 Rivers Data'!$AG$4:$AI$9,2,FALSE)))</f>
        <v/>
      </c>
      <c r="X212" s="499" t="str">
        <f>IF(V212="","",IF(VLOOKUP(V212,'G-7 Rivers Data'!$AG$4:$AI$9,3,FALSE)=0,"Spatial Data Missing ⚠",VLOOKUP(V212,'G-7 Rivers Data'!$AG$4:$AI$9,3,FALSE)))</f>
        <v/>
      </c>
      <c r="Y212" s="498" t="str">
        <f>IFERROR(IF(OR(LEFT(P212,5)="Error ▲",LEFT(O212,5)="Error ▲"),"Check Data ⚠",IF(F212&lt;S212,'G-7 Rivers Data'!$R$3,INDEX('G-7 Rivers Data'!$U$5:$Y$9,MATCH(G212,'G-7 Rivers Data'!$T$5:$T$9,0),MATCH(T212,'G-7 Rivers Data'!$U$4:$Y$4,0)))),"")</f>
        <v/>
      </c>
      <c r="Z212" s="195"/>
      <c r="AA212" s="195"/>
      <c r="AB212" s="507" t="str">
        <f t="shared" si="27"/>
        <v/>
      </c>
      <c r="AC212" s="521" t="str">
        <f t="shared" si="28"/>
        <v/>
      </c>
      <c r="AD212" s="564" t="str">
        <f>IFERROR(IF(AC212="Check Data ⚠","Check Data ⚠",VLOOKUP(AC212,'G-4 Temporal multipliers'!$A$4:$C$37,3,FALSE)),"")</f>
        <v/>
      </c>
      <c r="AE212" s="498" t="str">
        <f>IF(N212="","",VLOOKUP(N212,'G-7 Rivers Data'!$B$4:$G$8,5,FALSE))</f>
        <v/>
      </c>
      <c r="AF212" s="507" t="str">
        <f t="shared" si="29"/>
        <v/>
      </c>
      <c r="AG212" s="540" t="str">
        <f t="shared" si="30"/>
        <v/>
      </c>
      <c r="AH212" s="499" t="str">
        <f t="shared" si="24"/>
        <v/>
      </c>
      <c r="AI212" s="145"/>
      <c r="AJ212" s="499" t="str">
        <f>IF(AI212="","",IF(VLOOKUP(AI212,'G-7 Rivers Data'!$AA$4:$AB$7,2,FALSE)=0,"Spatial Data Missing ⚠",VLOOKUP(AI212,'G-7 Rivers Data'!$AA$4:$AB$7,2,FALSE)))</f>
        <v/>
      </c>
      <c r="AK212" s="155"/>
      <c r="AL212" s="499" t="str">
        <f>IF(AK212="","",IF(VLOOKUP(AK212,'G-7 Rivers Data'!$AD$4:$AE$8,2,FALSE)=0,"Spatial Data Missing ⚠",VLOOKUP(AK212,'G-7 Rivers Data'!$AD$4:$AE$8,2,FALSE)))</f>
        <v/>
      </c>
      <c r="AM212" s="545" t="str">
        <f t="shared" si="31"/>
        <v/>
      </c>
      <c r="AN212" s="149"/>
      <c r="AO212" s="150"/>
      <c r="AV212" s="31" t="str">
        <f>IFERROR(INDEX('G-7 Rivers Data'!$AZ$3:$AZ$7,MATCH(N212,'G-7 Rivers Data'!$AY$3:$AY$7,0)),"")</f>
        <v/>
      </c>
    </row>
    <row r="213" spans="2:48" ht="14" x14ac:dyDescent="0.3">
      <c r="B213" s="531" t="str">
        <f>'C-1 Site River Baseline'!AN211</f>
        <v/>
      </c>
      <c r="C213" s="520" t="str">
        <f>IF(B213="","",VLOOKUP($B213,'C-1 Site River Baseline'!$C$9:$R$257,2,FALSE))</f>
        <v/>
      </c>
      <c r="D213" s="520" t="str">
        <f>IF(C213="","",VLOOKUP($B213,'C-1 Site River Baseline'!$C$9:$R$257,3,FALSE))</f>
        <v/>
      </c>
      <c r="E213" s="520" t="str">
        <f>IF(D213="","",VLOOKUP($B213,'C-1 Site River Baseline'!$C$9:$R$257,4,FALSE))</f>
        <v/>
      </c>
      <c r="F213" s="520" t="str">
        <f>IF(E213="","",VLOOKUP($B213,'C-1 Site River Baseline'!$C$9:$R$257,5,FALSE))</f>
        <v/>
      </c>
      <c r="G213" s="520" t="str">
        <f>IF(F213="","",VLOOKUP($B213,'C-1 Site River Baseline'!$C$9:$R$257,6,FALSE))</f>
        <v/>
      </c>
      <c r="H213" s="520" t="str">
        <f>IF(G213="","",VLOOKUP($B213,'C-1 Site River Baseline'!$C$9:$R$257,7,FALSE))</f>
        <v/>
      </c>
      <c r="I213" s="520" t="str">
        <f>IF(H213="","",VLOOKUP($B213,'C-1 Site River Baseline'!$C$9:$R$257,8,FALSE))</f>
        <v/>
      </c>
      <c r="J213" s="520" t="str">
        <f>IF(I213="","",VLOOKUP($B213,'C-1 Site River Baseline'!$C$9:$R$257,9,FALSE))</f>
        <v/>
      </c>
      <c r="K213" s="520" t="str">
        <f>IF(J213="","",VLOOKUP($B213,'C-1 Site River Baseline'!$C$9:$R$257,10,FALSE))</f>
        <v/>
      </c>
      <c r="L213" s="520" t="str">
        <f>IF(B213="","",VLOOKUP($B213,'C-1 Site River Baseline'!$C$9:$R$257,15,FALSE))</f>
        <v/>
      </c>
      <c r="M213" s="524" t="str">
        <f>IF(L213="","",VLOOKUP($B213,'C-1 Site River Baseline'!$C$9:$R$257,16,FALSE))</f>
        <v/>
      </c>
      <c r="N213" s="418" t="str">
        <f t="shared" si="25"/>
        <v/>
      </c>
      <c r="O213" s="498" t="str">
        <f t="shared" si="26"/>
        <v/>
      </c>
      <c r="P213" s="499" t="str">
        <f>IF(C213="","",IF(AND(LEFT(C213,55)&lt;&gt;LEFT(N213,55),O213="High - High"),"Error - Not like for like ▲",IF(AND(F213=S213,H213&gt;U213),"Error - Can not reduce condition ▲",IF(AND(F213=S213,H213=U213,AJ213='C-1 Site River Baseline'!N211,'C-1 Site River Baseline'!P211=AL213),"Error - No enhancement ▲",IF(AND(C213&lt;&gt;N213,F213&lt;S213),"Lower Distinctiveness Habitat"&amp;" - "&amp;T213,G213&amp;" - "&amp;T213)))))</f>
        <v/>
      </c>
      <c r="Q213" s="567" t="str">
        <f>IF(N213="","",VLOOKUP(B213,'C-1 Site River Baseline'!$C$10:$AA$257,19,FALSE))</f>
        <v/>
      </c>
      <c r="R213" s="498" t="str">
        <f>IF(N213="","",VLOOKUP(N213,'G-7 Rivers Data'!$B$2:$G$8,2,FALSE))</f>
        <v/>
      </c>
      <c r="S213" s="499" t="str">
        <f>IFERROR(VLOOKUP(R213,'G-7 Rivers Data'!$C$4:$D$8,2,FALSE),"")</f>
        <v/>
      </c>
      <c r="T213" s="145"/>
      <c r="U213" s="499" t="str">
        <f>IFERROR(INDEX('G-7 Rivers Data'!$H$4:$L$8,MATCH(N213,'G-7 Rivers Data'!$B$4:$B$8,0),MATCH(T213,'G-7 Rivers Data'!$H$3:$L$3,0)),"")</f>
        <v/>
      </c>
      <c r="V213" s="154"/>
      <c r="W213" s="507" t="str">
        <f>IF(V213="","",IF(VLOOKUP(V213,'G-7 Rivers Data'!$AG$4:$AI$9,2,FALSE)=0,"Spatial Data Missing ⚠",VLOOKUP(V213,'G-7 Rivers Data'!$AG$4:$AI$9,2,FALSE)))</f>
        <v/>
      </c>
      <c r="X213" s="499" t="str">
        <f>IF(V213="","",IF(VLOOKUP(V213,'G-7 Rivers Data'!$AG$4:$AI$9,3,FALSE)=0,"Spatial Data Missing ⚠",VLOOKUP(V213,'G-7 Rivers Data'!$AG$4:$AI$9,3,FALSE)))</f>
        <v/>
      </c>
      <c r="Y213" s="498" t="str">
        <f>IFERROR(IF(OR(LEFT(P213,5)="Error ▲",LEFT(O213,5)="Error ▲"),"Check Data ⚠",IF(F213&lt;S213,'G-7 Rivers Data'!$R$3,INDEX('G-7 Rivers Data'!$U$5:$Y$9,MATCH(G213,'G-7 Rivers Data'!$T$5:$T$9,0),MATCH(T213,'G-7 Rivers Data'!$U$4:$Y$4,0)))),"")</f>
        <v/>
      </c>
      <c r="Z213" s="195"/>
      <c r="AA213" s="195"/>
      <c r="AB213" s="507" t="str">
        <f t="shared" si="27"/>
        <v/>
      </c>
      <c r="AC213" s="521" t="str">
        <f t="shared" si="28"/>
        <v/>
      </c>
      <c r="AD213" s="564" t="str">
        <f>IFERROR(IF(AC213="Check Data ⚠","Check Data ⚠",VLOOKUP(AC213,'G-4 Temporal multipliers'!$A$4:$C$37,3,FALSE)),"")</f>
        <v/>
      </c>
      <c r="AE213" s="498" t="str">
        <f>IF(N213="","",VLOOKUP(N213,'G-7 Rivers Data'!$B$4:$G$8,5,FALSE))</f>
        <v/>
      </c>
      <c r="AF213" s="507" t="str">
        <f t="shared" si="29"/>
        <v/>
      </c>
      <c r="AG213" s="540" t="str">
        <f t="shared" si="30"/>
        <v/>
      </c>
      <c r="AH213" s="499" t="str">
        <f t="shared" si="24"/>
        <v/>
      </c>
      <c r="AI213" s="145"/>
      <c r="AJ213" s="499" t="str">
        <f>IF(AI213="","",IF(VLOOKUP(AI213,'G-7 Rivers Data'!$AA$4:$AB$7,2,FALSE)=0,"Spatial Data Missing ⚠",VLOOKUP(AI213,'G-7 Rivers Data'!$AA$4:$AB$7,2,FALSE)))</f>
        <v/>
      </c>
      <c r="AK213" s="155"/>
      <c r="AL213" s="499" t="str">
        <f>IF(AK213="","",IF(VLOOKUP(AK213,'G-7 Rivers Data'!$AD$4:$AE$8,2,FALSE)=0,"Spatial Data Missing ⚠",VLOOKUP(AK213,'G-7 Rivers Data'!$AD$4:$AE$8,2,FALSE)))</f>
        <v/>
      </c>
      <c r="AM213" s="545" t="str">
        <f t="shared" si="31"/>
        <v/>
      </c>
      <c r="AN213" s="149"/>
      <c r="AO213" s="150"/>
      <c r="AV213" s="31" t="str">
        <f>IFERROR(INDEX('G-7 Rivers Data'!$AZ$3:$AZ$7,MATCH(N213,'G-7 Rivers Data'!$AY$3:$AY$7,0)),"")</f>
        <v/>
      </c>
    </row>
    <row r="214" spans="2:48" ht="14" x14ac:dyDescent="0.3">
      <c r="B214" s="531" t="str">
        <f>'C-1 Site River Baseline'!AN212</f>
        <v/>
      </c>
      <c r="C214" s="520" t="str">
        <f>IF(B214="","",VLOOKUP($B214,'C-1 Site River Baseline'!$C$9:$R$257,2,FALSE))</f>
        <v/>
      </c>
      <c r="D214" s="520" t="str">
        <f>IF(C214="","",VLOOKUP($B214,'C-1 Site River Baseline'!$C$9:$R$257,3,FALSE))</f>
        <v/>
      </c>
      <c r="E214" s="520" t="str">
        <f>IF(D214="","",VLOOKUP($B214,'C-1 Site River Baseline'!$C$9:$R$257,4,FALSE))</f>
        <v/>
      </c>
      <c r="F214" s="520" t="str">
        <f>IF(E214="","",VLOOKUP($B214,'C-1 Site River Baseline'!$C$9:$R$257,5,FALSE))</f>
        <v/>
      </c>
      <c r="G214" s="520" t="str">
        <f>IF(F214="","",VLOOKUP($B214,'C-1 Site River Baseline'!$C$9:$R$257,6,FALSE))</f>
        <v/>
      </c>
      <c r="H214" s="520" t="str">
        <f>IF(G214="","",VLOOKUP($B214,'C-1 Site River Baseline'!$C$9:$R$257,7,FALSE))</f>
        <v/>
      </c>
      <c r="I214" s="520" t="str">
        <f>IF(H214="","",VLOOKUP($B214,'C-1 Site River Baseline'!$C$9:$R$257,8,FALSE))</f>
        <v/>
      </c>
      <c r="J214" s="520" t="str">
        <f>IF(I214="","",VLOOKUP($B214,'C-1 Site River Baseline'!$C$9:$R$257,9,FALSE))</f>
        <v/>
      </c>
      <c r="K214" s="520" t="str">
        <f>IF(J214="","",VLOOKUP($B214,'C-1 Site River Baseline'!$C$9:$R$257,10,FALSE))</f>
        <v/>
      </c>
      <c r="L214" s="520" t="str">
        <f>IF(B214="","",VLOOKUP($B214,'C-1 Site River Baseline'!$C$9:$R$257,15,FALSE))</f>
        <v/>
      </c>
      <c r="M214" s="524" t="str">
        <f>IF(L214="","",VLOOKUP($B214,'C-1 Site River Baseline'!$C$9:$R$257,16,FALSE))</f>
        <v/>
      </c>
      <c r="N214" s="418" t="str">
        <f t="shared" si="25"/>
        <v/>
      </c>
      <c r="O214" s="498" t="str">
        <f t="shared" si="26"/>
        <v/>
      </c>
      <c r="P214" s="499" t="str">
        <f>IF(C214="","",IF(AND(LEFT(C214,55)&lt;&gt;LEFT(N214,55),O214="High - High"),"Error - Not like for like ▲",IF(AND(F214=S214,H214&gt;U214),"Error - Can not reduce condition ▲",IF(AND(F214=S214,H214=U214,AJ214='C-1 Site River Baseline'!N212,'C-1 Site River Baseline'!P212=AL214),"Error - No enhancement ▲",IF(AND(C214&lt;&gt;N214,F214&lt;S214),"Lower Distinctiveness Habitat"&amp;" - "&amp;T214,G214&amp;" - "&amp;T214)))))</f>
        <v/>
      </c>
      <c r="Q214" s="567" t="str">
        <f>IF(N214="","",VLOOKUP(B214,'C-1 Site River Baseline'!$C$10:$AA$257,19,FALSE))</f>
        <v/>
      </c>
      <c r="R214" s="498" t="str">
        <f>IF(N214="","",VLOOKUP(N214,'G-7 Rivers Data'!$B$2:$G$8,2,FALSE))</f>
        <v/>
      </c>
      <c r="S214" s="499" t="str">
        <f>IFERROR(VLOOKUP(R214,'G-7 Rivers Data'!$C$4:$D$8,2,FALSE),"")</f>
        <v/>
      </c>
      <c r="T214" s="145"/>
      <c r="U214" s="499" t="str">
        <f>IFERROR(INDEX('G-7 Rivers Data'!$H$4:$L$8,MATCH(N214,'G-7 Rivers Data'!$B$4:$B$8,0),MATCH(T214,'G-7 Rivers Data'!$H$3:$L$3,0)),"")</f>
        <v/>
      </c>
      <c r="V214" s="154"/>
      <c r="W214" s="507" t="str">
        <f>IF(V214="","",IF(VLOOKUP(V214,'G-7 Rivers Data'!$AG$4:$AI$9,2,FALSE)=0,"Spatial Data Missing ⚠",VLOOKUP(V214,'G-7 Rivers Data'!$AG$4:$AI$9,2,FALSE)))</f>
        <v/>
      </c>
      <c r="X214" s="499" t="str">
        <f>IF(V214="","",IF(VLOOKUP(V214,'G-7 Rivers Data'!$AG$4:$AI$9,3,FALSE)=0,"Spatial Data Missing ⚠",VLOOKUP(V214,'G-7 Rivers Data'!$AG$4:$AI$9,3,FALSE)))</f>
        <v/>
      </c>
      <c r="Y214" s="498" t="str">
        <f>IFERROR(IF(OR(LEFT(P214,5)="Error ▲",LEFT(O214,5)="Error ▲"),"Check Data ⚠",IF(F214&lt;S214,'G-7 Rivers Data'!$R$3,INDEX('G-7 Rivers Data'!$U$5:$Y$9,MATCH(G214,'G-7 Rivers Data'!$T$5:$T$9,0),MATCH(T214,'G-7 Rivers Data'!$U$4:$Y$4,0)))),"")</f>
        <v/>
      </c>
      <c r="Z214" s="195"/>
      <c r="AA214" s="195"/>
      <c r="AB214" s="507" t="str">
        <f t="shared" si="27"/>
        <v/>
      </c>
      <c r="AC214" s="521" t="str">
        <f t="shared" si="28"/>
        <v/>
      </c>
      <c r="AD214" s="564" t="str">
        <f>IFERROR(IF(AC214="Check Data ⚠","Check Data ⚠",VLOOKUP(AC214,'G-4 Temporal multipliers'!$A$4:$C$37,3,FALSE)),"")</f>
        <v/>
      </c>
      <c r="AE214" s="498" t="str">
        <f>IF(N214="","",VLOOKUP(N214,'G-7 Rivers Data'!$B$4:$G$8,5,FALSE))</f>
        <v/>
      </c>
      <c r="AF214" s="507" t="str">
        <f t="shared" si="29"/>
        <v/>
      </c>
      <c r="AG214" s="540" t="str">
        <f t="shared" si="30"/>
        <v/>
      </c>
      <c r="AH214" s="499" t="str">
        <f t="shared" si="24"/>
        <v/>
      </c>
      <c r="AI214" s="145"/>
      <c r="AJ214" s="499" t="str">
        <f>IF(AI214="","",IF(VLOOKUP(AI214,'G-7 Rivers Data'!$AA$4:$AB$7,2,FALSE)=0,"Spatial Data Missing ⚠",VLOOKUP(AI214,'G-7 Rivers Data'!$AA$4:$AB$7,2,FALSE)))</f>
        <v/>
      </c>
      <c r="AK214" s="155"/>
      <c r="AL214" s="499" t="str">
        <f>IF(AK214="","",IF(VLOOKUP(AK214,'G-7 Rivers Data'!$AD$4:$AE$8,2,FALSE)=0,"Spatial Data Missing ⚠",VLOOKUP(AK214,'G-7 Rivers Data'!$AD$4:$AE$8,2,FALSE)))</f>
        <v/>
      </c>
      <c r="AM214" s="545" t="str">
        <f t="shared" si="31"/>
        <v/>
      </c>
      <c r="AN214" s="149"/>
      <c r="AO214" s="150"/>
      <c r="AV214" s="31" t="str">
        <f>IFERROR(INDEX('G-7 Rivers Data'!$AZ$3:$AZ$7,MATCH(N214,'G-7 Rivers Data'!$AY$3:$AY$7,0)),"")</f>
        <v/>
      </c>
    </row>
    <row r="215" spans="2:48" ht="14" x14ac:dyDescent="0.3">
      <c r="B215" s="531" t="str">
        <f>'C-1 Site River Baseline'!AN213</f>
        <v/>
      </c>
      <c r="C215" s="520" t="str">
        <f>IF(B215="","",VLOOKUP($B215,'C-1 Site River Baseline'!$C$9:$R$257,2,FALSE))</f>
        <v/>
      </c>
      <c r="D215" s="520" t="str">
        <f>IF(C215="","",VLOOKUP($B215,'C-1 Site River Baseline'!$C$9:$R$257,3,FALSE))</f>
        <v/>
      </c>
      <c r="E215" s="520" t="str">
        <f>IF(D215="","",VLOOKUP($B215,'C-1 Site River Baseline'!$C$9:$R$257,4,FALSE))</f>
        <v/>
      </c>
      <c r="F215" s="520" t="str">
        <f>IF(E215="","",VLOOKUP($B215,'C-1 Site River Baseline'!$C$9:$R$257,5,FALSE))</f>
        <v/>
      </c>
      <c r="G215" s="520" t="str">
        <f>IF(F215="","",VLOOKUP($B215,'C-1 Site River Baseline'!$C$9:$R$257,6,FALSE))</f>
        <v/>
      </c>
      <c r="H215" s="520" t="str">
        <f>IF(G215="","",VLOOKUP($B215,'C-1 Site River Baseline'!$C$9:$R$257,7,FALSE))</f>
        <v/>
      </c>
      <c r="I215" s="520" t="str">
        <f>IF(H215="","",VLOOKUP($B215,'C-1 Site River Baseline'!$C$9:$R$257,8,FALSE))</f>
        <v/>
      </c>
      <c r="J215" s="520" t="str">
        <f>IF(I215="","",VLOOKUP($B215,'C-1 Site River Baseline'!$C$9:$R$257,9,FALSE))</f>
        <v/>
      </c>
      <c r="K215" s="520" t="str">
        <f>IF(J215="","",VLOOKUP($B215,'C-1 Site River Baseline'!$C$9:$R$257,10,FALSE))</f>
        <v/>
      </c>
      <c r="L215" s="520" t="str">
        <f>IF(B215="","",VLOOKUP($B215,'C-1 Site River Baseline'!$C$9:$R$257,15,FALSE))</f>
        <v/>
      </c>
      <c r="M215" s="524" t="str">
        <f>IF(L215="","",VLOOKUP($B215,'C-1 Site River Baseline'!$C$9:$R$257,16,FALSE))</f>
        <v/>
      </c>
      <c r="N215" s="418" t="str">
        <f t="shared" si="25"/>
        <v/>
      </c>
      <c r="O215" s="498" t="str">
        <f t="shared" si="26"/>
        <v/>
      </c>
      <c r="P215" s="499" t="str">
        <f>IF(C215="","",IF(AND(LEFT(C215,55)&lt;&gt;LEFT(N215,55),O215="High - High"),"Error - Not like for like ▲",IF(AND(F215=S215,H215&gt;U215),"Error - Can not reduce condition ▲",IF(AND(F215=S215,H215=U215,AJ215='C-1 Site River Baseline'!N213,'C-1 Site River Baseline'!P213=AL215),"Error - No enhancement ▲",IF(AND(C215&lt;&gt;N215,F215&lt;S215),"Lower Distinctiveness Habitat"&amp;" - "&amp;T215,G215&amp;" - "&amp;T215)))))</f>
        <v/>
      </c>
      <c r="Q215" s="567" t="str">
        <f>IF(N215="","",VLOOKUP(B215,'C-1 Site River Baseline'!$C$10:$AA$257,19,FALSE))</f>
        <v/>
      </c>
      <c r="R215" s="498" t="str">
        <f>IF(N215="","",VLOOKUP(N215,'G-7 Rivers Data'!$B$2:$G$8,2,FALSE))</f>
        <v/>
      </c>
      <c r="S215" s="499" t="str">
        <f>IFERROR(VLOOKUP(R215,'G-7 Rivers Data'!$C$4:$D$8,2,FALSE),"")</f>
        <v/>
      </c>
      <c r="T215" s="145"/>
      <c r="U215" s="499" t="str">
        <f>IFERROR(INDEX('G-7 Rivers Data'!$H$4:$L$8,MATCH(N215,'G-7 Rivers Data'!$B$4:$B$8,0),MATCH(T215,'G-7 Rivers Data'!$H$3:$L$3,0)),"")</f>
        <v/>
      </c>
      <c r="V215" s="154"/>
      <c r="W215" s="507" t="str">
        <f>IF(V215="","",IF(VLOOKUP(V215,'G-7 Rivers Data'!$AG$4:$AI$9,2,FALSE)=0,"Spatial Data Missing ⚠",VLOOKUP(V215,'G-7 Rivers Data'!$AG$4:$AI$9,2,FALSE)))</f>
        <v/>
      </c>
      <c r="X215" s="499" t="str">
        <f>IF(V215="","",IF(VLOOKUP(V215,'G-7 Rivers Data'!$AG$4:$AI$9,3,FALSE)=0,"Spatial Data Missing ⚠",VLOOKUP(V215,'G-7 Rivers Data'!$AG$4:$AI$9,3,FALSE)))</f>
        <v/>
      </c>
      <c r="Y215" s="498" t="str">
        <f>IFERROR(IF(OR(LEFT(P215,5)="Error ▲",LEFT(O215,5)="Error ▲"),"Check Data ⚠",IF(F215&lt;S215,'G-7 Rivers Data'!$R$3,INDEX('G-7 Rivers Data'!$U$5:$Y$9,MATCH(G215,'G-7 Rivers Data'!$T$5:$T$9,0),MATCH(T215,'G-7 Rivers Data'!$U$4:$Y$4,0)))),"")</f>
        <v/>
      </c>
      <c r="Z215" s="195"/>
      <c r="AA215" s="195"/>
      <c r="AB215" s="507" t="str">
        <f t="shared" si="27"/>
        <v/>
      </c>
      <c r="AC215" s="521" t="str">
        <f t="shared" si="28"/>
        <v/>
      </c>
      <c r="AD215" s="564" t="str">
        <f>IFERROR(IF(AC215="Check Data ⚠","Check Data ⚠",VLOOKUP(AC215,'G-4 Temporal multipliers'!$A$4:$C$37,3,FALSE)),"")</f>
        <v/>
      </c>
      <c r="AE215" s="498" t="str">
        <f>IF(N215="","",VLOOKUP(N215,'G-7 Rivers Data'!$B$4:$G$8,5,FALSE))</f>
        <v/>
      </c>
      <c r="AF215" s="507" t="str">
        <f t="shared" si="29"/>
        <v/>
      </c>
      <c r="AG215" s="540" t="str">
        <f t="shared" si="30"/>
        <v/>
      </c>
      <c r="AH215" s="499" t="str">
        <f t="shared" si="24"/>
        <v/>
      </c>
      <c r="AI215" s="145"/>
      <c r="AJ215" s="499" t="str">
        <f>IF(AI215="","",IF(VLOOKUP(AI215,'G-7 Rivers Data'!$AA$4:$AB$7,2,FALSE)=0,"Spatial Data Missing ⚠",VLOOKUP(AI215,'G-7 Rivers Data'!$AA$4:$AB$7,2,FALSE)))</f>
        <v/>
      </c>
      <c r="AK215" s="155"/>
      <c r="AL215" s="499" t="str">
        <f>IF(AK215="","",IF(VLOOKUP(AK215,'G-7 Rivers Data'!$AD$4:$AE$8,2,FALSE)=0,"Spatial Data Missing ⚠",VLOOKUP(AK215,'G-7 Rivers Data'!$AD$4:$AE$8,2,FALSE)))</f>
        <v/>
      </c>
      <c r="AM215" s="545" t="str">
        <f t="shared" si="31"/>
        <v/>
      </c>
      <c r="AN215" s="149"/>
      <c r="AO215" s="150"/>
      <c r="AV215" s="31" t="str">
        <f>IFERROR(INDEX('G-7 Rivers Data'!$AZ$3:$AZ$7,MATCH(N215,'G-7 Rivers Data'!$AY$3:$AY$7,0)),"")</f>
        <v/>
      </c>
    </row>
    <row r="216" spans="2:48" ht="14" x14ac:dyDescent="0.3">
      <c r="B216" s="531" t="str">
        <f>'C-1 Site River Baseline'!AN214</f>
        <v/>
      </c>
      <c r="C216" s="520" t="str">
        <f>IF(B216="","",VLOOKUP($B216,'C-1 Site River Baseline'!$C$9:$R$257,2,FALSE))</f>
        <v/>
      </c>
      <c r="D216" s="520" t="str">
        <f>IF(C216="","",VLOOKUP($B216,'C-1 Site River Baseline'!$C$9:$R$257,3,FALSE))</f>
        <v/>
      </c>
      <c r="E216" s="520" t="str">
        <f>IF(D216="","",VLOOKUP($B216,'C-1 Site River Baseline'!$C$9:$R$257,4,FALSE))</f>
        <v/>
      </c>
      <c r="F216" s="520" t="str">
        <f>IF(E216="","",VLOOKUP($B216,'C-1 Site River Baseline'!$C$9:$R$257,5,FALSE))</f>
        <v/>
      </c>
      <c r="G216" s="520" t="str">
        <f>IF(F216="","",VLOOKUP($B216,'C-1 Site River Baseline'!$C$9:$R$257,6,FALSE))</f>
        <v/>
      </c>
      <c r="H216" s="520" t="str">
        <f>IF(G216="","",VLOOKUP($B216,'C-1 Site River Baseline'!$C$9:$R$257,7,FALSE))</f>
        <v/>
      </c>
      <c r="I216" s="520" t="str">
        <f>IF(H216="","",VLOOKUP($B216,'C-1 Site River Baseline'!$C$9:$R$257,8,FALSE))</f>
        <v/>
      </c>
      <c r="J216" s="520" t="str">
        <f>IF(I216="","",VLOOKUP($B216,'C-1 Site River Baseline'!$C$9:$R$257,9,FALSE))</f>
        <v/>
      </c>
      <c r="K216" s="520" t="str">
        <f>IF(J216="","",VLOOKUP($B216,'C-1 Site River Baseline'!$C$9:$R$257,10,FALSE))</f>
        <v/>
      </c>
      <c r="L216" s="520" t="str">
        <f>IF(B216="","",VLOOKUP($B216,'C-1 Site River Baseline'!$C$9:$R$257,15,FALSE))</f>
        <v/>
      </c>
      <c r="M216" s="524" t="str">
        <f>IF(L216="","",VLOOKUP($B216,'C-1 Site River Baseline'!$C$9:$R$257,16,FALSE))</f>
        <v/>
      </c>
      <c r="N216" s="418" t="str">
        <f t="shared" si="25"/>
        <v/>
      </c>
      <c r="O216" s="498" t="str">
        <f t="shared" si="26"/>
        <v/>
      </c>
      <c r="P216" s="499" t="str">
        <f>IF(C216="","",IF(AND(LEFT(C216,55)&lt;&gt;LEFT(N216,55),O216="High - High"),"Error - Not like for like ▲",IF(AND(F216=S216,H216&gt;U216),"Error - Can not reduce condition ▲",IF(AND(F216=S216,H216=U216,AJ216='C-1 Site River Baseline'!N214,'C-1 Site River Baseline'!P214=AL216),"Error - No enhancement ▲",IF(AND(C216&lt;&gt;N216,F216&lt;S216),"Lower Distinctiveness Habitat"&amp;" - "&amp;T216,G216&amp;" - "&amp;T216)))))</f>
        <v/>
      </c>
      <c r="Q216" s="567" t="str">
        <f>IF(N216="","",VLOOKUP(B216,'C-1 Site River Baseline'!$C$10:$AA$257,19,FALSE))</f>
        <v/>
      </c>
      <c r="R216" s="498" t="str">
        <f>IF(N216="","",VLOOKUP(N216,'G-7 Rivers Data'!$B$2:$G$8,2,FALSE))</f>
        <v/>
      </c>
      <c r="S216" s="499" t="str">
        <f>IFERROR(VLOOKUP(R216,'G-7 Rivers Data'!$C$4:$D$8,2,FALSE),"")</f>
        <v/>
      </c>
      <c r="T216" s="145"/>
      <c r="U216" s="499" t="str">
        <f>IFERROR(INDEX('G-7 Rivers Data'!$H$4:$L$8,MATCH(N216,'G-7 Rivers Data'!$B$4:$B$8,0),MATCH(T216,'G-7 Rivers Data'!$H$3:$L$3,0)),"")</f>
        <v/>
      </c>
      <c r="V216" s="154"/>
      <c r="W216" s="507" t="str">
        <f>IF(V216="","",IF(VLOOKUP(V216,'G-7 Rivers Data'!$AG$4:$AI$9,2,FALSE)=0,"Spatial Data Missing ⚠",VLOOKUP(V216,'G-7 Rivers Data'!$AG$4:$AI$9,2,FALSE)))</f>
        <v/>
      </c>
      <c r="X216" s="499" t="str">
        <f>IF(V216="","",IF(VLOOKUP(V216,'G-7 Rivers Data'!$AG$4:$AI$9,3,FALSE)=0,"Spatial Data Missing ⚠",VLOOKUP(V216,'G-7 Rivers Data'!$AG$4:$AI$9,3,FALSE)))</f>
        <v/>
      </c>
      <c r="Y216" s="498" t="str">
        <f>IFERROR(IF(OR(LEFT(P216,5)="Error ▲",LEFT(O216,5)="Error ▲"),"Check Data ⚠",IF(F216&lt;S216,'G-7 Rivers Data'!$R$3,INDEX('G-7 Rivers Data'!$U$5:$Y$9,MATCH(G216,'G-7 Rivers Data'!$T$5:$T$9,0),MATCH(T216,'G-7 Rivers Data'!$U$4:$Y$4,0)))),"")</f>
        <v/>
      </c>
      <c r="Z216" s="195"/>
      <c r="AA216" s="195"/>
      <c r="AB216" s="507" t="str">
        <f t="shared" si="27"/>
        <v/>
      </c>
      <c r="AC216" s="521" t="str">
        <f t="shared" si="28"/>
        <v/>
      </c>
      <c r="AD216" s="564" t="str">
        <f>IFERROR(IF(AC216="Check Data ⚠","Check Data ⚠",VLOOKUP(AC216,'G-4 Temporal multipliers'!$A$4:$C$37,3,FALSE)),"")</f>
        <v/>
      </c>
      <c r="AE216" s="498" t="str">
        <f>IF(N216="","",VLOOKUP(N216,'G-7 Rivers Data'!$B$4:$G$8,5,FALSE))</f>
        <v/>
      </c>
      <c r="AF216" s="507" t="str">
        <f t="shared" si="29"/>
        <v/>
      </c>
      <c r="AG216" s="540" t="str">
        <f t="shared" si="30"/>
        <v/>
      </c>
      <c r="AH216" s="499" t="str">
        <f t="shared" si="24"/>
        <v/>
      </c>
      <c r="AI216" s="145"/>
      <c r="AJ216" s="499" t="str">
        <f>IF(AI216="","",IF(VLOOKUP(AI216,'G-7 Rivers Data'!$AA$4:$AB$7,2,FALSE)=0,"Spatial Data Missing ⚠",VLOOKUP(AI216,'G-7 Rivers Data'!$AA$4:$AB$7,2,FALSE)))</f>
        <v/>
      </c>
      <c r="AK216" s="155"/>
      <c r="AL216" s="499" t="str">
        <f>IF(AK216="","",IF(VLOOKUP(AK216,'G-7 Rivers Data'!$AD$4:$AE$8,2,FALSE)=0,"Spatial Data Missing ⚠",VLOOKUP(AK216,'G-7 Rivers Data'!$AD$4:$AE$8,2,FALSE)))</f>
        <v/>
      </c>
      <c r="AM216" s="545" t="str">
        <f t="shared" si="31"/>
        <v/>
      </c>
      <c r="AN216" s="149"/>
      <c r="AO216" s="150"/>
      <c r="AV216" s="31" t="str">
        <f>IFERROR(INDEX('G-7 Rivers Data'!$AZ$3:$AZ$7,MATCH(N216,'G-7 Rivers Data'!$AY$3:$AY$7,0)),"")</f>
        <v/>
      </c>
    </row>
    <row r="217" spans="2:48" ht="14" x14ac:dyDescent="0.3">
      <c r="B217" s="531" t="str">
        <f>'C-1 Site River Baseline'!AN215</f>
        <v/>
      </c>
      <c r="C217" s="520" t="str">
        <f>IF(B217="","",VLOOKUP($B217,'C-1 Site River Baseline'!$C$9:$R$257,2,FALSE))</f>
        <v/>
      </c>
      <c r="D217" s="520" t="str">
        <f>IF(C217="","",VLOOKUP($B217,'C-1 Site River Baseline'!$C$9:$R$257,3,FALSE))</f>
        <v/>
      </c>
      <c r="E217" s="520" t="str">
        <f>IF(D217="","",VLOOKUP($B217,'C-1 Site River Baseline'!$C$9:$R$257,4,FALSE))</f>
        <v/>
      </c>
      <c r="F217" s="520" t="str">
        <f>IF(E217="","",VLOOKUP($B217,'C-1 Site River Baseline'!$C$9:$R$257,5,FALSE))</f>
        <v/>
      </c>
      <c r="G217" s="520" t="str">
        <f>IF(F217="","",VLOOKUP($B217,'C-1 Site River Baseline'!$C$9:$R$257,6,FALSE))</f>
        <v/>
      </c>
      <c r="H217" s="520" t="str">
        <f>IF(G217="","",VLOOKUP($B217,'C-1 Site River Baseline'!$C$9:$R$257,7,FALSE))</f>
        <v/>
      </c>
      <c r="I217" s="520" t="str">
        <f>IF(H217="","",VLOOKUP($B217,'C-1 Site River Baseline'!$C$9:$R$257,8,FALSE))</f>
        <v/>
      </c>
      <c r="J217" s="520" t="str">
        <f>IF(I217="","",VLOOKUP($B217,'C-1 Site River Baseline'!$C$9:$R$257,9,FALSE))</f>
        <v/>
      </c>
      <c r="K217" s="520" t="str">
        <f>IF(J217="","",VLOOKUP($B217,'C-1 Site River Baseline'!$C$9:$R$257,10,FALSE))</f>
        <v/>
      </c>
      <c r="L217" s="520" t="str">
        <f>IF(B217="","",VLOOKUP($B217,'C-1 Site River Baseline'!$C$9:$R$257,15,FALSE))</f>
        <v/>
      </c>
      <c r="M217" s="524" t="str">
        <f>IF(L217="","",VLOOKUP($B217,'C-1 Site River Baseline'!$C$9:$R$257,16,FALSE))</f>
        <v/>
      </c>
      <c r="N217" s="418" t="str">
        <f t="shared" si="25"/>
        <v/>
      </c>
      <c r="O217" s="498" t="str">
        <f t="shared" si="26"/>
        <v/>
      </c>
      <c r="P217" s="499" t="str">
        <f>IF(C217="","",IF(AND(LEFT(C217,55)&lt;&gt;LEFT(N217,55),O217="High - High"),"Error - Not like for like ▲",IF(AND(F217=S217,H217&gt;U217),"Error - Can not reduce condition ▲",IF(AND(F217=S217,H217=U217,AJ217='C-1 Site River Baseline'!N215,'C-1 Site River Baseline'!P215=AL217),"Error - No enhancement ▲",IF(AND(C217&lt;&gt;N217,F217&lt;S217),"Lower Distinctiveness Habitat"&amp;" - "&amp;T217,G217&amp;" - "&amp;T217)))))</f>
        <v/>
      </c>
      <c r="Q217" s="567" t="str">
        <f>IF(N217="","",VLOOKUP(B217,'C-1 Site River Baseline'!$C$10:$AA$257,19,FALSE))</f>
        <v/>
      </c>
      <c r="R217" s="498" t="str">
        <f>IF(N217="","",VLOOKUP(N217,'G-7 Rivers Data'!$B$2:$G$8,2,FALSE))</f>
        <v/>
      </c>
      <c r="S217" s="499" t="str">
        <f>IFERROR(VLOOKUP(R217,'G-7 Rivers Data'!$C$4:$D$8,2,FALSE),"")</f>
        <v/>
      </c>
      <c r="T217" s="145"/>
      <c r="U217" s="499" t="str">
        <f>IFERROR(INDEX('G-7 Rivers Data'!$H$4:$L$8,MATCH(N217,'G-7 Rivers Data'!$B$4:$B$8,0),MATCH(T217,'G-7 Rivers Data'!$H$3:$L$3,0)),"")</f>
        <v/>
      </c>
      <c r="V217" s="154"/>
      <c r="W217" s="507" t="str">
        <f>IF(V217="","",IF(VLOOKUP(V217,'G-7 Rivers Data'!$AG$4:$AI$9,2,FALSE)=0,"Spatial Data Missing ⚠",VLOOKUP(V217,'G-7 Rivers Data'!$AG$4:$AI$9,2,FALSE)))</f>
        <v/>
      </c>
      <c r="X217" s="499" t="str">
        <f>IF(V217="","",IF(VLOOKUP(V217,'G-7 Rivers Data'!$AG$4:$AI$9,3,FALSE)=0,"Spatial Data Missing ⚠",VLOOKUP(V217,'G-7 Rivers Data'!$AG$4:$AI$9,3,FALSE)))</f>
        <v/>
      </c>
      <c r="Y217" s="498" t="str">
        <f>IFERROR(IF(OR(LEFT(P217,5)="Error ▲",LEFT(O217,5)="Error ▲"),"Check Data ⚠",IF(F217&lt;S217,'G-7 Rivers Data'!$R$3,INDEX('G-7 Rivers Data'!$U$5:$Y$9,MATCH(G217,'G-7 Rivers Data'!$T$5:$T$9,0),MATCH(T217,'G-7 Rivers Data'!$U$4:$Y$4,0)))),"")</f>
        <v/>
      </c>
      <c r="Z217" s="195"/>
      <c r="AA217" s="195"/>
      <c r="AB217" s="507" t="str">
        <f t="shared" si="27"/>
        <v/>
      </c>
      <c r="AC217" s="521" t="str">
        <f t="shared" si="28"/>
        <v/>
      </c>
      <c r="AD217" s="564" t="str">
        <f>IFERROR(IF(AC217="Check Data ⚠","Check Data ⚠",VLOOKUP(AC217,'G-4 Temporal multipliers'!$A$4:$C$37,3,FALSE)),"")</f>
        <v/>
      </c>
      <c r="AE217" s="498" t="str">
        <f>IF(N217="","",VLOOKUP(N217,'G-7 Rivers Data'!$B$4:$G$8,5,FALSE))</f>
        <v/>
      </c>
      <c r="AF217" s="507" t="str">
        <f t="shared" si="29"/>
        <v/>
      </c>
      <c r="AG217" s="540" t="str">
        <f t="shared" si="30"/>
        <v/>
      </c>
      <c r="AH217" s="499" t="str">
        <f t="shared" si="24"/>
        <v/>
      </c>
      <c r="AI217" s="145"/>
      <c r="AJ217" s="499" t="str">
        <f>IF(AI217="","",IF(VLOOKUP(AI217,'G-7 Rivers Data'!$AA$4:$AB$7,2,FALSE)=0,"Spatial Data Missing ⚠",VLOOKUP(AI217,'G-7 Rivers Data'!$AA$4:$AB$7,2,FALSE)))</f>
        <v/>
      </c>
      <c r="AK217" s="155"/>
      <c r="AL217" s="499" t="str">
        <f>IF(AK217="","",IF(VLOOKUP(AK217,'G-7 Rivers Data'!$AD$4:$AE$8,2,FALSE)=0,"Spatial Data Missing ⚠",VLOOKUP(AK217,'G-7 Rivers Data'!$AD$4:$AE$8,2,FALSE)))</f>
        <v/>
      </c>
      <c r="AM217" s="545" t="str">
        <f t="shared" si="31"/>
        <v/>
      </c>
      <c r="AN217" s="149"/>
      <c r="AO217" s="150"/>
      <c r="AV217" s="31" t="str">
        <f>IFERROR(INDEX('G-7 Rivers Data'!$AZ$3:$AZ$7,MATCH(N217,'G-7 Rivers Data'!$AY$3:$AY$7,0)),"")</f>
        <v/>
      </c>
    </row>
    <row r="218" spans="2:48" ht="14" x14ac:dyDescent="0.3">
      <c r="B218" s="531" t="str">
        <f>'C-1 Site River Baseline'!AN216</f>
        <v/>
      </c>
      <c r="C218" s="520" t="str">
        <f>IF(B218="","",VLOOKUP($B218,'C-1 Site River Baseline'!$C$9:$R$257,2,FALSE))</f>
        <v/>
      </c>
      <c r="D218" s="520" t="str">
        <f>IF(C218="","",VLOOKUP($B218,'C-1 Site River Baseline'!$C$9:$R$257,3,FALSE))</f>
        <v/>
      </c>
      <c r="E218" s="520" t="str">
        <f>IF(D218="","",VLOOKUP($B218,'C-1 Site River Baseline'!$C$9:$R$257,4,FALSE))</f>
        <v/>
      </c>
      <c r="F218" s="520" t="str">
        <f>IF(E218="","",VLOOKUP($B218,'C-1 Site River Baseline'!$C$9:$R$257,5,FALSE))</f>
        <v/>
      </c>
      <c r="G218" s="520" t="str">
        <f>IF(F218="","",VLOOKUP($B218,'C-1 Site River Baseline'!$C$9:$R$257,6,FALSE))</f>
        <v/>
      </c>
      <c r="H218" s="520" t="str">
        <f>IF(G218="","",VLOOKUP($B218,'C-1 Site River Baseline'!$C$9:$R$257,7,FALSE))</f>
        <v/>
      </c>
      <c r="I218" s="520" t="str">
        <f>IF(H218="","",VLOOKUP($B218,'C-1 Site River Baseline'!$C$9:$R$257,8,FALSE))</f>
        <v/>
      </c>
      <c r="J218" s="520" t="str">
        <f>IF(I218="","",VLOOKUP($B218,'C-1 Site River Baseline'!$C$9:$R$257,9,FALSE))</f>
        <v/>
      </c>
      <c r="K218" s="520" t="str">
        <f>IF(J218="","",VLOOKUP($B218,'C-1 Site River Baseline'!$C$9:$R$257,10,FALSE))</f>
        <v/>
      </c>
      <c r="L218" s="520" t="str">
        <f>IF(B218="","",VLOOKUP($B218,'C-1 Site River Baseline'!$C$9:$R$257,15,FALSE))</f>
        <v/>
      </c>
      <c r="M218" s="524" t="str">
        <f>IF(L218="","",VLOOKUP($B218,'C-1 Site River Baseline'!$C$9:$R$257,16,FALSE))</f>
        <v/>
      </c>
      <c r="N218" s="418" t="str">
        <f t="shared" si="25"/>
        <v/>
      </c>
      <c r="O218" s="498" t="str">
        <f t="shared" si="26"/>
        <v/>
      </c>
      <c r="P218" s="499" t="str">
        <f>IF(C218="","",IF(AND(LEFT(C218,55)&lt;&gt;LEFT(N218,55),O218="High - High"),"Error - Not like for like ▲",IF(AND(F218=S218,H218&gt;U218),"Error - Can not reduce condition ▲",IF(AND(F218=S218,H218=U218,AJ218='C-1 Site River Baseline'!N216,'C-1 Site River Baseline'!P216=AL218),"Error - No enhancement ▲",IF(AND(C218&lt;&gt;N218,F218&lt;S218),"Lower Distinctiveness Habitat"&amp;" - "&amp;T218,G218&amp;" - "&amp;T218)))))</f>
        <v/>
      </c>
      <c r="Q218" s="567" t="str">
        <f>IF(N218="","",VLOOKUP(B218,'C-1 Site River Baseline'!$C$10:$AA$257,19,FALSE))</f>
        <v/>
      </c>
      <c r="R218" s="498" t="str">
        <f>IF(N218="","",VLOOKUP(N218,'G-7 Rivers Data'!$B$2:$G$8,2,FALSE))</f>
        <v/>
      </c>
      <c r="S218" s="499" t="str">
        <f>IFERROR(VLOOKUP(R218,'G-7 Rivers Data'!$C$4:$D$8,2,FALSE),"")</f>
        <v/>
      </c>
      <c r="T218" s="145"/>
      <c r="U218" s="499" t="str">
        <f>IFERROR(INDEX('G-7 Rivers Data'!$H$4:$L$8,MATCH(N218,'G-7 Rivers Data'!$B$4:$B$8,0),MATCH(T218,'G-7 Rivers Data'!$H$3:$L$3,0)),"")</f>
        <v/>
      </c>
      <c r="V218" s="154"/>
      <c r="W218" s="507" t="str">
        <f>IF(V218="","",IF(VLOOKUP(V218,'G-7 Rivers Data'!$AG$4:$AI$9,2,FALSE)=0,"Spatial Data Missing ⚠",VLOOKUP(V218,'G-7 Rivers Data'!$AG$4:$AI$9,2,FALSE)))</f>
        <v/>
      </c>
      <c r="X218" s="499" t="str">
        <f>IF(V218="","",IF(VLOOKUP(V218,'G-7 Rivers Data'!$AG$4:$AI$9,3,FALSE)=0,"Spatial Data Missing ⚠",VLOOKUP(V218,'G-7 Rivers Data'!$AG$4:$AI$9,3,FALSE)))</f>
        <v/>
      </c>
      <c r="Y218" s="498" t="str">
        <f>IFERROR(IF(OR(LEFT(P218,5)="Error ▲",LEFT(O218,5)="Error ▲"),"Check Data ⚠",IF(F218&lt;S218,'G-7 Rivers Data'!$R$3,INDEX('G-7 Rivers Data'!$U$5:$Y$9,MATCH(G218,'G-7 Rivers Data'!$T$5:$T$9,0),MATCH(T218,'G-7 Rivers Data'!$U$4:$Y$4,0)))),"")</f>
        <v/>
      </c>
      <c r="Z218" s="195"/>
      <c r="AA218" s="195"/>
      <c r="AB218" s="507" t="str">
        <f t="shared" si="27"/>
        <v/>
      </c>
      <c r="AC218" s="521" t="str">
        <f t="shared" si="28"/>
        <v/>
      </c>
      <c r="AD218" s="564" t="str">
        <f>IFERROR(IF(AC218="Check Data ⚠","Check Data ⚠",VLOOKUP(AC218,'G-4 Temporal multipliers'!$A$4:$C$37,3,FALSE)),"")</f>
        <v/>
      </c>
      <c r="AE218" s="498" t="str">
        <f>IF(N218="","",VLOOKUP(N218,'G-7 Rivers Data'!$B$4:$G$8,5,FALSE))</f>
        <v/>
      </c>
      <c r="AF218" s="507" t="str">
        <f t="shared" si="29"/>
        <v/>
      </c>
      <c r="AG218" s="540" t="str">
        <f t="shared" si="30"/>
        <v/>
      </c>
      <c r="AH218" s="499" t="str">
        <f t="shared" si="24"/>
        <v/>
      </c>
      <c r="AI218" s="145"/>
      <c r="AJ218" s="499" t="str">
        <f>IF(AI218="","",IF(VLOOKUP(AI218,'G-7 Rivers Data'!$AA$4:$AB$7,2,FALSE)=0,"Spatial Data Missing ⚠",VLOOKUP(AI218,'G-7 Rivers Data'!$AA$4:$AB$7,2,FALSE)))</f>
        <v/>
      </c>
      <c r="AK218" s="155"/>
      <c r="AL218" s="499" t="str">
        <f>IF(AK218="","",IF(VLOOKUP(AK218,'G-7 Rivers Data'!$AD$4:$AE$8,2,FALSE)=0,"Spatial Data Missing ⚠",VLOOKUP(AK218,'G-7 Rivers Data'!$AD$4:$AE$8,2,FALSE)))</f>
        <v/>
      </c>
      <c r="AM218" s="545" t="str">
        <f t="shared" si="31"/>
        <v/>
      </c>
      <c r="AN218" s="149"/>
      <c r="AO218" s="150"/>
      <c r="AV218" s="31" t="str">
        <f>IFERROR(INDEX('G-7 Rivers Data'!$AZ$3:$AZ$7,MATCH(N218,'G-7 Rivers Data'!$AY$3:$AY$7,0)),"")</f>
        <v/>
      </c>
    </row>
    <row r="219" spans="2:48" ht="14" x14ac:dyDescent="0.3">
      <c r="B219" s="531" t="str">
        <f>'C-1 Site River Baseline'!AN217</f>
        <v/>
      </c>
      <c r="C219" s="520" t="str">
        <f>IF(B219="","",VLOOKUP($B219,'C-1 Site River Baseline'!$C$9:$R$257,2,FALSE))</f>
        <v/>
      </c>
      <c r="D219" s="520" t="str">
        <f>IF(C219="","",VLOOKUP($B219,'C-1 Site River Baseline'!$C$9:$R$257,3,FALSE))</f>
        <v/>
      </c>
      <c r="E219" s="520" t="str">
        <f>IF(D219="","",VLOOKUP($B219,'C-1 Site River Baseline'!$C$9:$R$257,4,FALSE))</f>
        <v/>
      </c>
      <c r="F219" s="520" t="str">
        <f>IF(E219="","",VLOOKUP($B219,'C-1 Site River Baseline'!$C$9:$R$257,5,FALSE))</f>
        <v/>
      </c>
      <c r="G219" s="520" t="str">
        <f>IF(F219="","",VLOOKUP($B219,'C-1 Site River Baseline'!$C$9:$R$257,6,FALSE))</f>
        <v/>
      </c>
      <c r="H219" s="520" t="str">
        <f>IF(G219="","",VLOOKUP($B219,'C-1 Site River Baseline'!$C$9:$R$257,7,FALSE))</f>
        <v/>
      </c>
      <c r="I219" s="520" t="str">
        <f>IF(H219="","",VLOOKUP($B219,'C-1 Site River Baseline'!$C$9:$R$257,8,FALSE))</f>
        <v/>
      </c>
      <c r="J219" s="520" t="str">
        <f>IF(I219="","",VLOOKUP($B219,'C-1 Site River Baseline'!$C$9:$R$257,9,FALSE))</f>
        <v/>
      </c>
      <c r="K219" s="520" t="str">
        <f>IF(J219="","",VLOOKUP($B219,'C-1 Site River Baseline'!$C$9:$R$257,10,FALSE))</f>
        <v/>
      </c>
      <c r="L219" s="520" t="str">
        <f>IF(B219="","",VLOOKUP($B219,'C-1 Site River Baseline'!$C$9:$R$257,15,FALSE))</f>
        <v/>
      </c>
      <c r="M219" s="524" t="str">
        <f>IF(L219="","",VLOOKUP($B219,'C-1 Site River Baseline'!$C$9:$R$257,16,FALSE))</f>
        <v/>
      </c>
      <c r="N219" s="418" t="str">
        <f t="shared" si="25"/>
        <v/>
      </c>
      <c r="O219" s="498" t="str">
        <f t="shared" si="26"/>
        <v/>
      </c>
      <c r="P219" s="499" t="str">
        <f>IF(C219="","",IF(AND(LEFT(C219,55)&lt;&gt;LEFT(N219,55),O219="High - High"),"Error - Not like for like ▲",IF(AND(F219=S219,H219&gt;U219),"Error - Can not reduce condition ▲",IF(AND(F219=S219,H219=U219,AJ219='C-1 Site River Baseline'!N217,'C-1 Site River Baseline'!P217=AL219),"Error - No enhancement ▲",IF(AND(C219&lt;&gt;N219,F219&lt;S219),"Lower Distinctiveness Habitat"&amp;" - "&amp;T219,G219&amp;" - "&amp;T219)))))</f>
        <v/>
      </c>
      <c r="Q219" s="567" t="str">
        <f>IF(N219="","",VLOOKUP(B219,'C-1 Site River Baseline'!$C$10:$AA$257,19,FALSE))</f>
        <v/>
      </c>
      <c r="R219" s="498" t="str">
        <f>IF(N219="","",VLOOKUP(N219,'G-7 Rivers Data'!$B$2:$G$8,2,FALSE))</f>
        <v/>
      </c>
      <c r="S219" s="499" t="str">
        <f>IFERROR(VLOOKUP(R219,'G-7 Rivers Data'!$C$4:$D$8,2,FALSE),"")</f>
        <v/>
      </c>
      <c r="T219" s="145"/>
      <c r="U219" s="499" t="str">
        <f>IFERROR(INDEX('G-7 Rivers Data'!$H$4:$L$8,MATCH(N219,'G-7 Rivers Data'!$B$4:$B$8,0),MATCH(T219,'G-7 Rivers Data'!$H$3:$L$3,0)),"")</f>
        <v/>
      </c>
      <c r="V219" s="154"/>
      <c r="W219" s="507" t="str">
        <f>IF(V219="","",IF(VLOOKUP(V219,'G-7 Rivers Data'!$AG$4:$AI$9,2,FALSE)=0,"Spatial Data Missing ⚠",VLOOKUP(V219,'G-7 Rivers Data'!$AG$4:$AI$9,2,FALSE)))</f>
        <v/>
      </c>
      <c r="X219" s="499" t="str">
        <f>IF(V219="","",IF(VLOOKUP(V219,'G-7 Rivers Data'!$AG$4:$AI$9,3,FALSE)=0,"Spatial Data Missing ⚠",VLOOKUP(V219,'G-7 Rivers Data'!$AG$4:$AI$9,3,FALSE)))</f>
        <v/>
      </c>
      <c r="Y219" s="498" t="str">
        <f>IFERROR(IF(OR(LEFT(P219,5)="Error ▲",LEFT(O219,5)="Error ▲"),"Check Data ⚠",IF(F219&lt;S219,'G-7 Rivers Data'!$R$3,INDEX('G-7 Rivers Data'!$U$5:$Y$9,MATCH(G219,'G-7 Rivers Data'!$T$5:$T$9,0),MATCH(T219,'G-7 Rivers Data'!$U$4:$Y$4,0)))),"")</f>
        <v/>
      </c>
      <c r="Z219" s="195"/>
      <c r="AA219" s="195"/>
      <c r="AB219" s="507" t="str">
        <f t="shared" si="27"/>
        <v/>
      </c>
      <c r="AC219" s="521" t="str">
        <f t="shared" si="28"/>
        <v/>
      </c>
      <c r="AD219" s="564" t="str">
        <f>IFERROR(IF(AC219="Check Data ⚠","Check Data ⚠",VLOOKUP(AC219,'G-4 Temporal multipliers'!$A$4:$C$37,3,FALSE)),"")</f>
        <v/>
      </c>
      <c r="AE219" s="498" t="str">
        <f>IF(N219="","",VLOOKUP(N219,'G-7 Rivers Data'!$B$4:$G$8,5,FALSE))</f>
        <v/>
      </c>
      <c r="AF219" s="507" t="str">
        <f t="shared" si="29"/>
        <v/>
      </c>
      <c r="AG219" s="540" t="str">
        <f t="shared" si="30"/>
        <v/>
      </c>
      <c r="AH219" s="499" t="str">
        <f t="shared" si="24"/>
        <v/>
      </c>
      <c r="AI219" s="145"/>
      <c r="AJ219" s="499" t="str">
        <f>IF(AI219="","",IF(VLOOKUP(AI219,'G-7 Rivers Data'!$AA$4:$AB$7,2,FALSE)=0,"Spatial Data Missing ⚠",VLOOKUP(AI219,'G-7 Rivers Data'!$AA$4:$AB$7,2,FALSE)))</f>
        <v/>
      </c>
      <c r="AK219" s="155"/>
      <c r="AL219" s="499" t="str">
        <f>IF(AK219="","",IF(VLOOKUP(AK219,'G-7 Rivers Data'!$AD$4:$AE$8,2,FALSE)=0,"Spatial Data Missing ⚠",VLOOKUP(AK219,'G-7 Rivers Data'!$AD$4:$AE$8,2,FALSE)))</f>
        <v/>
      </c>
      <c r="AM219" s="545" t="str">
        <f t="shared" si="31"/>
        <v/>
      </c>
      <c r="AN219" s="149"/>
      <c r="AO219" s="150"/>
      <c r="AV219" s="31" t="str">
        <f>IFERROR(INDEX('G-7 Rivers Data'!$AZ$3:$AZ$7,MATCH(N219,'G-7 Rivers Data'!$AY$3:$AY$7,0)),"")</f>
        <v/>
      </c>
    </row>
    <row r="220" spans="2:48" ht="14" x14ac:dyDescent="0.3">
      <c r="B220" s="531" t="str">
        <f>'C-1 Site River Baseline'!AN218</f>
        <v/>
      </c>
      <c r="C220" s="520" t="str">
        <f>IF(B220="","",VLOOKUP($B220,'C-1 Site River Baseline'!$C$9:$R$257,2,FALSE))</f>
        <v/>
      </c>
      <c r="D220" s="520" t="str">
        <f>IF(C220="","",VLOOKUP($B220,'C-1 Site River Baseline'!$C$9:$R$257,3,FALSE))</f>
        <v/>
      </c>
      <c r="E220" s="520" t="str">
        <f>IF(D220="","",VLOOKUP($B220,'C-1 Site River Baseline'!$C$9:$R$257,4,FALSE))</f>
        <v/>
      </c>
      <c r="F220" s="520" t="str">
        <f>IF(E220="","",VLOOKUP($B220,'C-1 Site River Baseline'!$C$9:$R$257,5,FALSE))</f>
        <v/>
      </c>
      <c r="G220" s="520" t="str">
        <f>IF(F220="","",VLOOKUP($B220,'C-1 Site River Baseline'!$C$9:$R$257,6,FALSE))</f>
        <v/>
      </c>
      <c r="H220" s="520" t="str">
        <f>IF(G220="","",VLOOKUP($B220,'C-1 Site River Baseline'!$C$9:$R$257,7,FALSE))</f>
        <v/>
      </c>
      <c r="I220" s="520" t="str">
        <f>IF(H220="","",VLOOKUP($B220,'C-1 Site River Baseline'!$C$9:$R$257,8,FALSE))</f>
        <v/>
      </c>
      <c r="J220" s="520" t="str">
        <f>IF(I220="","",VLOOKUP($B220,'C-1 Site River Baseline'!$C$9:$R$257,9,FALSE))</f>
        <v/>
      </c>
      <c r="K220" s="520" t="str">
        <f>IF(J220="","",VLOOKUP($B220,'C-1 Site River Baseline'!$C$9:$R$257,10,FALSE))</f>
        <v/>
      </c>
      <c r="L220" s="520" t="str">
        <f>IF(B220="","",VLOOKUP($B220,'C-1 Site River Baseline'!$C$9:$R$257,15,FALSE))</f>
        <v/>
      </c>
      <c r="M220" s="524" t="str">
        <f>IF(L220="","",VLOOKUP($B220,'C-1 Site River Baseline'!$C$9:$R$257,16,FALSE))</f>
        <v/>
      </c>
      <c r="N220" s="418" t="str">
        <f t="shared" si="25"/>
        <v/>
      </c>
      <c r="O220" s="498" t="str">
        <f t="shared" si="26"/>
        <v/>
      </c>
      <c r="P220" s="499" t="str">
        <f>IF(C220="","",IF(AND(LEFT(C220,55)&lt;&gt;LEFT(N220,55),O220="High - High"),"Error - Not like for like ▲",IF(AND(F220=S220,H220&gt;U220),"Error - Can not reduce condition ▲",IF(AND(F220=S220,H220=U220,AJ220='C-1 Site River Baseline'!N218,'C-1 Site River Baseline'!P218=AL220),"Error - No enhancement ▲",IF(AND(C220&lt;&gt;N220,F220&lt;S220),"Lower Distinctiveness Habitat"&amp;" - "&amp;T220,G220&amp;" - "&amp;T220)))))</f>
        <v/>
      </c>
      <c r="Q220" s="567" t="str">
        <f>IF(N220="","",VLOOKUP(B220,'C-1 Site River Baseline'!$C$10:$AA$257,19,FALSE))</f>
        <v/>
      </c>
      <c r="R220" s="498" t="str">
        <f>IF(N220="","",VLOOKUP(N220,'G-7 Rivers Data'!$B$2:$G$8,2,FALSE))</f>
        <v/>
      </c>
      <c r="S220" s="499" t="str">
        <f>IFERROR(VLOOKUP(R220,'G-7 Rivers Data'!$C$4:$D$8,2,FALSE),"")</f>
        <v/>
      </c>
      <c r="T220" s="145"/>
      <c r="U220" s="499" t="str">
        <f>IFERROR(INDEX('G-7 Rivers Data'!$H$4:$L$8,MATCH(N220,'G-7 Rivers Data'!$B$4:$B$8,0),MATCH(T220,'G-7 Rivers Data'!$H$3:$L$3,0)),"")</f>
        <v/>
      </c>
      <c r="V220" s="154"/>
      <c r="W220" s="507" t="str">
        <f>IF(V220="","",IF(VLOOKUP(V220,'G-7 Rivers Data'!$AG$4:$AI$9,2,FALSE)=0,"Spatial Data Missing ⚠",VLOOKUP(V220,'G-7 Rivers Data'!$AG$4:$AI$9,2,FALSE)))</f>
        <v/>
      </c>
      <c r="X220" s="499" t="str">
        <f>IF(V220="","",IF(VLOOKUP(V220,'G-7 Rivers Data'!$AG$4:$AI$9,3,FALSE)=0,"Spatial Data Missing ⚠",VLOOKUP(V220,'G-7 Rivers Data'!$AG$4:$AI$9,3,FALSE)))</f>
        <v/>
      </c>
      <c r="Y220" s="498" t="str">
        <f>IFERROR(IF(OR(LEFT(P220,5)="Error ▲",LEFT(O220,5)="Error ▲"),"Check Data ⚠",IF(F220&lt;S220,'G-7 Rivers Data'!$R$3,INDEX('G-7 Rivers Data'!$U$5:$Y$9,MATCH(G220,'G-7 Rivers Data'!$T$5:$T$9,0),MATCH(T220,'G-7 Rivers Data'!$U$4:$Y$4,0)))),"")</f>
        <v/>
      </c>
      <c r="Z220" s="195"/>
      <c r="AA220" s="195"/>
      <c r="AB220" s="507" t="str">
        <f t="shared" si="27"/>
        <v/>
      </c>
      <c r="AC220" s="521" t="str">
        <f t="shared" si="28"/>
        <v/>
      </c>
      <c r="AD220" s="564" t="str">
        <f>IFERROR(IF(AC220="Check Data ⚠","Check Data ⚠",VLOOKUP(AC220,'G-4 Temporal multipliers'!$A$4:$C$37,3,FALSE)),"")</f>
        <v/>
      </c>
      <c r="AE220" s="498" t="str">
        <f>IF(N220="","",VLOOKUP(N220,'G-7 Rivers Data'!$B$4:$G$8,5,FALSE))</f>
        <v/>
      </c>
      <c r="AF220" s="507" t="str">
        <f t="shared" si="29"/>
        <v/>
      </c>
      <c r="AG220" s="540" t="str">
        <f t="shared" si="30"/>
        <v/>
      </c>
      <c r="AH220" s="499" t="str">
        <f t="shared" si="24"/>
        <v/>
      </c>
      <c r="AI220" s="145"/>
      <c r="AJ220" s="499" t="str">
        <f>IF(AI220="","",IF(VLOOKUP(AI220,'G-7 Rivers Data'!$AA$4:$AB$7,2,FALSE)=0,"Spatial Data Missing ⚠",VLOOKUP(AI220,'G-7 Rivers Data'!$AA$4:$AB$7,2,FALSE)))</f>
        <v/>
      </c>
      <c r="AK220" s="155"/>
      <c r="AL220" s="499" t="str">
        <f>IF(AK220="","",IF(VLOOKUP(AK220,'G-7 Rivers Data'!$AD$4:$AE$8,2,FALSE)=0,"Spatial Data Missing ⚠",VLOOKUP(AK220,'G-7 Rivers Data'!$AD$4:$AE$8,2,FALSE)))</f>
        <v/>
      </c>
      <c r="AM220" s="545" t="str">
        <f t="shared" si="31"/>
        <v/>
      </c>
      <c r="AN220" s="149"/>
      <c r="AO220" s="150"/>
      <c r="AV220" s="31" t="str">
        <f>IFERROR(INDEX('G-7 Rivers Data'!$AZ$3:$AZ$7,MATCH(N220,'G-7 Rivers Data'!$AY$3:$AY$7,0)),"")</f>
        <v/>
      </c>
    </row>
    <row r="221" spans="2:48" ht="14" x14ac:dyDescent="0.3">
      <c r="B221" s="531" t="str">
        <f>'C-1 Site River Baseline'!AN219</f>
        <v/>
      </c>
      <c r="C221" s="520" t="str">
        <f>IF(B221="","",VLOOKUP($B221,'C-1 Site River Baseline'!$C$9:$R$257,2,FALSE))</f>
        <v/>
      </c>
      <c r="D221" s="520" t="str">
        <f>IF(C221="","",VLOOKUP($B221,'C-1 Site River Baseline'!$C$9:$R$257,3,FALSE))</f>
        <v/>
      </c>
      <c r="E221" s="520" t="str">
        <f>IF(D221="","",VLOOKUP($B221,'C-1 Site River Baseline'!$C$9:$R$257,4,FALSE))</f>
        <v/>
      </c>
      <c r="F221" s="520" t="str">
        <f>IF(E221="","",VLOOKUP($B221,'C-1 Site River Baseline'!$C$9:$R$257,5,FALSE))</f>
        <v/>
      </c>
      <c r="G221" s="520" t="str">
        <f>IF(F221="","",VLOOKUP($B221,'C-1 Site River Baseline'!$C$9:$R$257,6,FALSE))</f>
        <v/>
      </c>
      <c r="H221" s="520" t="str">
        <f>IF(G221="","",VLOOKUP($B221,'C-1 Site River Baseline'!$C$9:$R$257,7,FALSE))</f>
        <v/>
      </c>
      <c r="I221" s="520" t="str">
        <f>IF(H221="","",VLOOKUP($B221,'C-1 Site River Baseline'!$C$9:$R$257,8,FALSE))</f>
        <v/>
      </c>
      <c r="J221" s="520" t="str">
        <f>IF(I221="","",VLOOKUP($B221,'C-1 Site River Baseline'!$C$9:$R$257,9,FALSE))</f>
        <v/>
      </c>
      <c r="K221" s="520" t="str">
        <f>IF(J221="","",VLOOKUP($B221,'C-1 Site River Baseline'!$C$9:$R$257,10,FALSE))</f>
        <v/>
      </c>
      <c r="L221" s="520" t="str">
        <f>IF(B221="","",VLOOKUP($B221,'C-1 Site River Baseline'!$C$9:$R$257,15,FALSE))</f>
        <v/>
      </c>
      <c r="M221" s="524" t="str">
        <f>IF(L221="","",VLOOKUP($B221,'C-1 Site River Baseline'!$C$9:$R$257,16,FALSE))</f>
        <v/>
      </c>
      <c r="N221" s="418" t="str">
        <f t="shared" si="25"/>
        <v/>
      </c>
      <c r="O221" s="498" t="str">
        <f t="shared" si="26"/>
        <v/>
      </c>
      <c r="P221" s="499" t="str">
        <f>IF(C221="","",IF(AND(LEFT(C221,55)&lt;&gt;LEFT(N221,55),O221="High - High"),"Error - Not like for like ▲",IF(AND(F221=S221,H221&gt;U221),"Error - Can not reduce condition ▲",IF(AND(F221=S221,H221=U221,AJ221='C-1 Site River Baseline'!N219,'C-1 Site River Baseline'!P219=AL221),"Error - No enhancement ▲",IF(AND(C221&lt;&gt;N221,F221&lt;S221),"Lower Distinctiveness Habitat"&amp;" - "&amp;T221,G221&amp;" - "&amp;T221)))))</f>
        <v/>
      </c>
      <c r="Q221" s="567" t="str">
        <f>IF(N221="","",VLOOKUP(B221,'C-1 Site River Baseline'!$C$10:$AA$257,19,FALSE))</f>
        <v/>
      </c>
      <c r="R221" s="498" t="str">
        <f>IF(N221="","",VLOOKUP(N221,'G-7 Rivers Data'!$B$2:$G$8,2,FALSE))</f>
        <v/>
      </c>
      <c r="S221" s="499" t="str">
        <f>IFERROR(VLOOKUP(R221,'G-7 Rivers Data'!$C$4:$D$8,2,FALSE),"")</f>
        <v/>
      </c>
      <c r="T221" s="145"/>
      <c r="U221" s="499" t="str">
        <f>IFERROR(INDEX('G-7 Rivers Data'!$H$4:$L$8,MATCH(N221,'G-7 Rivers Data'!$B$4:$B$8,0),MATCH(T221,'G-7 Rivers Data'!$H$3:$L$3,0)),"")</f>
        <v/>
      </c>
      <c r="V221" s="154"/>
      <c r="W221" s="507" t="str">
        <f>IF(V221="","",IF(VLOOKUP(V221,'G-7 Rivers Data'!$AG$4:$AI$9,2,FALSE)=0,"Spatial Data Missing ⚠",VLOOKUP(V221,'G-7 Rivers Data'!$AG$4:$AI$9,2,FALSE)))</f>
        <v/>
      </c>
      <c r="X221" s="499" t="str">
        <f>IF(V221="","",IF(VLOOKUP(V221,'G-7 Rivers Data'!$AG$4:$AI$9,3,FALSE)=0,"Spatial Data Missing ⚠",VLOOKUP(V221,'G-7 Rivers Data'!$AG$4:$AI$9,3,FALSE)))</f>
        <v/>
      </c>
      <c r="Y221" s="498" t="str">
        <f>IFERROR(IF(OR(LEFT(P221,5)="Error ▲",LEFT(O221,5)="Error ▲"),"Check Data ⚠",IF(F221&lt;S221,'G-7 Rivers Data'!$R$3,INDEX('G-7 Rivers Data'!$U$5:$Y$9,MATCH(G221,'G-7 Rivers Data'!$T$5:$T$9,0),MATCH(T221,'G-7 Rivers Data'!$U$4:$Y$4,0)))),"")</f>
        <v/>
      </c>
      <c r="Z221" s="195"/>
      <c r="AA221" s="195"/>
      <c r="AB221" s="507" t="str">
        <f t="shared" si="27"/>
        <v/>
      </c>
      <c r="AC221" s="521" t="str">
        <f t="shared" si="28"/>
        <v/>
      </c>
      <c r="AD221" s="564" t="str">
        <f>IFERROR(IF(AC221="Check Data ⚠","Check Data ⚠",VLOOKUP(AC221,'G-4 Temporal multipliers'!$A$4:$C$37,3,FALSE)),"")</f>
        <v/>
      </c>
      <c r="AE221" s="498" t="str">
        <f>IF(N221="","",VLOOKUP(N221,'G-7 Rivers Data'!$B$4:$G$8,5,FALSE))</f>
        <v/>
      </c>
      <c r="AF221" s="507" t="str">
        <f t="shared" si="29"/>
        <v/>
      </c>
      <c r="AG221" s="540" t="str">
        <f t="shared" si="30"/>
        <v/>
      </c>
      <c r="AH221" s="499" t="str">
        <f t="shared" si="24"/>
        <v/>
      </c>
      <c r="AI221" s="145"/>
      <c r="AJ221" s="499" t="str">
        <f>IF(AI221="","",IF(VLOOKUP(AI221,'G-7 Rivers Data'!$AA$4:$AB$7,2,FALSE)=0,"Spatial Data Missing ⚠",VLOOKUP(AI221,'G-7 Rivers Data'!$AA$4:$AB$7,2,FALSE)))</f>
        <v/>
      </c>
      <c r="AK221" s="155"/>
      <c r="AL221" s="499" t="str">
        <f>IF(AK221="","",IF(VLOOKUP(AK221,'G-7 Rivers Data'!$AD$4:$AE$8,2,FALSE)=0,"Spatial Data Missing ⚠",VLOOKUP(AK221,'G-7 Rivers Data'!$AD$4:$AE$8,2,FALSE)))</f>
        <v/>
      </c>
      <c r="AM221" s="545" t="str">
        <f t="shared" si="31"/>
        <v/>
      </c>
      <c r="AN221" s="149"/>
      <c r="AO221" s="150"/>
      <c r="AV221" s="31" t="str">
        <f>IFERROR(INDEX('G-7 Rivers Data'!$AZ$3:$AZ$7,MATCH(N221,'G-7 Rivers Data'!$AY$3:$AY$7,0)),"")</f>
        <v/>
      </c>
    </row>
    <row r="222" spans="2:48" ht="14" x14ac:dyDescent="0.3">
      <c r="B222" s="531" t="str">
        <f>'C-1 Site River Baseline'!AN220</f>
        <v/>
      </c>
      <c r="C222" s="520" t="str">
        <f>IF(B222="","",VLOOKUP($B222,'C-1 Site River Baseline'!$C$9:$R$257,2,FALSE))</f>
        <v/>
      </c>
      <c r="D222" s="520" t="str">
        <f>IF(C222="","",VLOOKUP($B222,'C-1 Site River Baseline'!$C$9:$R$257,3,FALSE))</f>
        <v/>
      </c>
      <c r="E222" s="520" t="str">
        <f>IF(D222="","",VLOOKUP($B222,'C-1 Site River Baseline'!$C$9:$R$257,4,FALSE))</f>
        <v/>
      </c>
      <c r="F222" s="520" t="str">
        <f>IF(E222="","",VLOOKUP($B222,'C-1 Site River Baseline'!$C$9:$R$257,5,FALSE))</f>
        <v/>
      </c>
      <c r="G222" s="520" t="str">
        <f>IF(F222="","",VLOOKUP($B222,'C-1 Site River Baseline'!$C$9:$R$257,6,FALSE))</f>
        <v/>
      </c>
      <c r="H222" s="520" t="str">
        <f>IF(G222="","",VLOOKUP($B222,'C-1 Site River Baseline'!$C$9:$R$257,7,FALSE))</f>
        <v/>
      </c>
      <c r="I222" s="520" t="str">
        <f>IF(H222="","",VLOOKUP($B222,'C-1 Site River Baseline'!$C$9:$R$257,8,FALSE))</f>
        <v/>
      </c>
      <c r="J222" s="520" t="str">
        <f>IF(I222="","",VLOOKUP($B222,'C-1 Site River Baseline'!$C$9:$R$257,9,FALSE))</f>
        <v/>
      </c>
      <c r="K222" s="520" t="str">
        <f>IF(J222="","",VLOOKUP($B222,'C-1 Site River Baseline'!$C$9:$R$257,10,FALSE))</f>
        <v/>
      </c>
      <c r="L222" s="520" t="str">
        <f>IF(B222="","",VLOOKUP($B222,'C-1 Site River Baseline'!$C$9:$R$257,15,FALSE))</f>
        <v/>
      </c>
      <c r="M222" s="524" t="str">
        <f>IF(L222="","",VLOOKUP($B222,'C-1 Site River Baseline'!$C$9:$R$257,16,FALSE))</f>
        <v/>
      </c>
      <c r="N222" s="418" t="str">
        <f t="shared" si="25"/>
        <v/>
      </c>
      <c r="O222" s="498" t="str">
        <f t="shared" si="26"/>
        <v/>
      </c>
      <c r="P222" s="499" t="str">
        <f>IF(C222="","",IF(AND(LEFT(C222,55)&lt;&gt;LEFT(N222,55),O222="High - High"),"Error - Not like for like ▲",IF(AND(F222=S222,H222&gt;U222),"Error - Can not reduce condition ▲",IF(AND(F222=S222,H222=U222,AJ222='C-1 Site River Baseline'!N220,'C-1 Site River Baseline'!P220=AL222),"Error - No enhancement ▲",IF(AND(C222&lt;&gt;N222,F222&lt;S222),"Lower Distinctiveness Habitat"&amp;" - "&amp;T222,G222&amp;" - "&amp;T222)))))</f>
        <v/>
      </c>
      <c r="Q222" s="567" t="str">
        <f>IF(N222="","",VLOOKUP(B222,'C-1 Site River Baseline'!$C$10:$AA$257,19,FALSE))</f>
        <v/>
      </c>
      <c r="R222" s="498" t="str">
        <f>IF(N222="","",VLOOKUP(N222,'G-7 Rivers Data'!$B$2:$G$8,2,FALSE))</f>
        <v/>
      </c>
      <c r="S222" s="499" t="str">
        <f>IFERROR(VLOOKUP(R222,'G-7 Rivers Data'!$C$4:$D$8,2,FALSE),"")</f>
        <v/>
      </c>
      <c r="T222" s="145"/>
      <c r="U222" s="499" t="str">
        <f>IFERROR(INDEX('G-7 Rivers Data'!$H$4:$L$8,MATCH(N222,'G-7 Rivers Data'!$B$4:$B$8,0),MATCH(T222,'G-7 Rivers Data'!$H$3:$L$3,0)),"")</f>
        <v/>
      </c>
      <c r="V222" s="154"/>
      <c r="W222" s="507" t="str">
        <f>IF(V222="","",IF(VLOOKUP(V222,'G-7 Rivers Data'!$AG$4:$AI$9,2,FALSE)=0,"Spatial Data Missing ⚠",VLOOKUP(V222,'G-7 Rivers Data'!$AG$4:$AI$9,2,FALSE)))</f>
        <v/>
      </c>
      <c r="X222" s="499" t="str">
        <f>IF(V222="","",IF(VLOOKUP(V222,'G-7 Rivers Data'!$AG$4:$AI$9,3,FALSE)=0,"Spatial Data Missing ⚠",VLOOKUP(V222,'G-7 Rivers Data'!$AG$4:$AI$9,3,FALSE)))</f>
        <v/>
      </c>
      <c r="Y222" s="498" t="str">
        <f>IFERROR(IF(OR(LEFT(P222,5)="Error ▲",LEFT(O222,5)="Error ▲"),"Check Data ⚠",IF(F222&lt;S222,'G-7 Rivers Data'!$R$3,INDEX('G-7 Rivers Data'!$U$5:$Y$9,MATCH(G222,'G-7 Rivers Data'!$T$5:$T$9,0),MATCH(T222,'G-7 Rivers Data'!$U$4:$Y$4,0)))),"")</f>
        <v/>
      </c>
      <c r="Z222" s="195"/>
      <c r="AA222" s="195"/>
      <c r="AB222" s="507" t="str">
        <f t="shared" si="27"/>
        <v/>
      </c>
      <c r="AC222" s="521" t="str">
        <f t="shared" si="28"/>
        <v/>
      </c>
      <c r="AD222" s="564" t="str">
        <f>IFERROR(IF(AC222="Check Data ⚠","Check Data ⚠",VLOOKUP(AC222,'G-4 Temporal multipliers'!$A$4:$C$37,3,FALSE)),"")</f>
        <v/>
      </c>
      <c r="AE222" s="498" t="str">
        <f>IF(N222="","",VLOOKUP(N222,'G-7 Rivers Data'!$B$4:$G$8,5,FALSE))</f>
        <v/>
      </c>
      <c r="AF222" s="507" t="str">
        <f t="shared" si="29"/>
        <v/>
      </c>
      <c r="AG222" s="540" t="str">
        <f t="shared" si="30"/>
        <v/>
      </c>
      <c r="AH222" s="499" t="str">
        <f t="shared" si="24"/>
        <v/>
      </c>
      <c r="AI222" s="145"/>
      <c r="AJ222" s="499" t="str">
        <f>IF(AI222="","",IF(VLOOKUP(AI222,'G-7 Rivers Data'!$AA$4:$AB$7,2,FALSE)=0,"Spatial Data Missing ⚠",VLOOKUP(AI222,'G-7 Rivers Data'!$AA$4:$AB$7,2,FALSE)))</f>
        <v/>
      </c>
      <c r="AK222" s="155"/>
      <c r="AL222" s="499" t="str">
        <f>IF(AK222="","",IF(VLOOKUP(AK222,'G-7 Rivers Data'!$AD$4:$AE$8,2,FALSE)=0,"Spatial Data Missing ⚠",VLOOKUP(AK222,'G-7 Rivers Data'!$AD$4:$AE$8,2,FALSE)))</f>
        <v/>
      </c>
      <c r="AM222" s="545" t="str">
        <f t="shared" si="31"/>
        <v/>
      </c>
      <c r="AN222" s="149"/>
      <c r="AO222" s="150"/>
      <c r="AV222" s="31" t="str">
        <f>IFERROR(INDEX('G-7 Rivers Data'!$AZ$3:$AZ$7,MATCH(N222,'G-7 Rivers Data'!$AY$3:$AY$7,0)),"")</f>
        <v/>
      </c>
    </row>
    <row r="223" spans="2:48" ht="14" x14ac:dyDescent="0.3">
      <c r="B223" s="531" t="str">
        <f>'C-1 Site River Baseline'!AN221</f>
        <v/>
      </c>
      <c r="C223" s="520" t="str">
        <f>IF(B223="","",VLOOKUP($B223,'C-1 Site River Baseline'!$C$9:$R$257,2,FALSE))</f>
        <v/>
      </c>
      <c r="D223" s="520" t="str">
        <f>IF(C223="","",VLOOKUP($B223,'C-1 Site River Baseline'!$C$9:$R$257,3,FALSE))</f>
        <v/>
      </c>
      <c r="E223" s="520" t="str">
        <f>IF(D223="","",VLOOKUP($B223,'C-1 Site River Baseline'!$C$9:$R$257,4,FALSE))</f>
        <v/>
      </c>
      <c r="F223" s="520" t="str">
        <f>IF(E223="","",VLOOKUP($B223,'C-1 Site River Baseline'!$C$9:$R$257,5,FALSE))</f>
        <v/>
      </c>
      <c r="G223" s="520" t="str">
        <f>IF(F223="","",VLOOKUP($B223,'C-1 Site River Baseline'!$C$9:$R$257,6,FALSE))</f>
        <v/>
      </c>
      <c r="H223" s="520" t="str">
        <f>IF(G223="","",VLOOKUP($B223,'C-1 Site River Baseline'!$C$9:$R$257,7,FALSE))</f>
        <v/>
      </c>
      <c r="I223" s="520" t="str">
        <f>IF(H223="","",VLOOKUP($B223,'C-1 Site River Baseline'!$C$9:$R$257,8,FALSE))</f>
        <v/>
      </c>
      <c r="J223" s="520" t="str">
        <f>IF(I223="","",VLOOKUP($B223,'C-1 Site River Baseline'!$C$9:$R$257,9,FALSE))</f>
        <v/>
      </c>
      <c r="K223" s="520" t="str">
        <f>IF(J223="","",VLOOKUP($B223,'C-1 Site River Baseline'!$C$9:$R$257,10,FALSE))</f>
        <v/>
      </c>
      <c r="L223" s="520" t="str">
        <f>IF(B223="","",VLOOKUP($B223,'C-1 Site River Baseline'!$C$9:$R$257,15,FALSE))</f>
        <v/>
      </c>
      <c r="M223" s="524" t="str">
        <f>IF(L223="","",VLOOKUP($B223,'C-1 Site River Baseline'!$C$9:$R$257,16,FALSE))</f>
        <v/>
      </c>
      <c r="N223" s="418" t="str">
        <f t="shared" si="25"/>
        <v/>
      </c>
      <c r="O223" s="498" t="str">
        <f t="shared" si="26"/>
        <v/>
      </c>
      <c r="P223" s="499" t="str">
        <f>IF(C223="","",IF(AND(LEFT(C223,55)&lt;&gt;LEFT(N223,55),O223="High - High"),"Error - Not like for like ▲",IF(AND(F223=S223,H223&gt;U223),"Error - Can not reduce condition ▲",IF(AND(F223=S223,H223=U223,AJ223='C-1 Site River Baseline'!N221,'C-1 Site River Baseline'!P221=AL223),"Error - No enhancement ▲",IF(AND(C223&lt;&gt;N223,F223&lt;S223),"Lower Distinctiveness Habitat"&amp;" - "&amp;T223,G223&amp;" - "&amp;T223)))))</f>
        <v/>
      </c>
      <c r="Q223" s="567" t="str">
        <f>IF(N223="","",VLOOKUP(B223,'C-1 Site River Baseline'!$C$10:$AA$257,19,FALSE))</f>
        <v/>
      </c>
      <c r="R223" s="498" t="str">
        <f>IF(N223="","",VLOOKUP(N223,'G-7 Rivers Data'!$B$2:$G$8,2,FALSE))</f>
        <v/>
      </c>
      <c r="S223" s="499" t="str">
        <f>IFERROR(VLOOKUP(R223,'G-7 Rivers Data'!$C$4:$D$8,2,FALSE),"")</f>
        <v/>
      </c>
      <c r="T223" s="145"/>
      <c r="U223" s="499" t="str">
        <f>IFERROR(INDEX('G-7 Rivers Data'!$H$4:$L$8,MATCH(N223,'G-7 Rivers Data'!$B$4:$B$8,0),MATCH(T223,'G-7 Rivers Data'!$H$3:$L$3,0)),"")</f>
        <v/>
      </c>
      <c r="V223" s="154"/>
      <c r="W223" s="507" t="str">
        <f>IF(V223="","",IF(VLOOKUP(V223,'G-7 Rivers Data'!$AG$4:$AI$9,2,FALSE)=0,"Spatial Data Missing ⚠",VLOOKUP(V223,'G-7 Rivers Data'!$AG$4:$AI$9,2,FALSE)))</f>
        <v/>
      </c>
      <c r="X223" s="499" t="str">
        <f>IF(V223="","",IF(VLOOKUP(V223,'G-7 Rivers Data'!$AG$4:$AI$9,3,FALSE)=0,"Spatial Data Missing ⚠",VLOOKUP(V223,'G-7 Rivers Data'!$AG$4:$AI$9,3,FALSE)))</f>
        <v/>
      </c>
      <c r="Y223" s="498" t="str">
        <f>IFERROR(IF(OR(LEFT(P223,5)="Error ▲",LEFT(O223,5)="Error ▲"),"Check Data ⚠",IF(F223&lt;S223,'G-7 Rivers Data'!$R$3,INDEX('G-7 Rivers Data'!$U$5:$Y$9,MATCH(G223,'G-7 Rivers Data'!$T$5:$T$9,0),MATCH(T223,'G-7 Rivers Data'!$U$4:$Y$4,0)))),"")</f>
        <v/>
      </c>
      <c r="Z223" s="195"/>
      <c r="AA223" s="195"/>
      <c r="AB223" s="507" t="str">
        <f t="shared" si="27"/>
        <v/>
      </c>
      <c r="AC223" s="521" t="str">
        <f t="shared" si="28"/>
        <v/>
      </c>
      <c r="AD223" s="564" t="str">
        <f>IFERROR(IF(AC223="Check Data ⚠","Check Data ⚠",VLOOKUP(AC223,'G-4 Temporal multipliers'!$A$4:$C$37,3,FALSE)),"")</f>
        <v/>
      </c>
      <c r="AE223" s="498" t="str">
        <f>IF(N223="","",VLOOKUP(N223,'G-7 Rivers Data'!$B$4:$G$8,5,FALSE))</f>
        <v/>
      </c>
      <c r="AF223" s="507" t="str">
        <f t="shared" si="29"/>
        <v/>
      </c>
      <c r="AG223" s="540" t="str">
        <f t="shared" si="30"/>
        <v/>
      </c>
      <c r="AH223" s="499" t="str">
        <f t="shared" si="24"/>
        <v/>
      </c>
      <c r="AI223" s="145"/>
      <c r="AJ223" s="499" t="str">
        <f>IF(AI223="","",IF(VLOOKUP(AI223,'G-7 Rivers Data'!$AA$4:$AB$7,2,FALSE)=0,"Spatial Data Missing ⚠",VLOOKUP(AI223,'G-7 Rivers Data'!$AA$4:$AB$7,2,FALSE)))</f>
        <v/>
      </c>
      <c r="AK223" s="155"/>
      <c r="AL223" s="499" t="str">
        <f>IF(AK223="","",IF(VLOOKUP(AK223,'G-7 Rivers Data'!$AD$4:$AE$8,2,FALSE)=0,"Spatial Data Missing ⚠",VLOOKUP(AK223,'G-7 Rivers Data'!$AD$4:$AE$8,2,FALSE)))</f>
        <v/>
      </c>
      <c r="AM223" s="545" t="str">
        <f t="shared" si="31"/>
        <v/>
      </c>
      <c r="AN223" s="149"/>
      <c r="AO223" s="150"/>
      <c r="AV223" s="31" t="str">
        <f>IFERROR(INDEX('G-7 Rivers Data'!$AZ$3:$AZ$7,MATCH(N223,'G-7 Rivers Data'!$AY$3:$AY$7,0)),"")</f>
        <v/>
      </c>
    </row>
    <row r="224" spans="2:48" ht="14" x14ac:dyDescent="0.3">
      <c r="B224" s="531" t="str">
        <f>'C-1 Site River Baseline'!AN222</f>
        <v/>
      </c>
      <c r="C224" s="520" t="str">
        <f>IF(B224="","",VLOOKUP($B224,'C-1 Site River Baseline'!$C$9:$R$257,2,FALSE))</f>
        <v/>
      </c>
      <c r="D224" s="520" t="str">
        <f>IF(C224="","",VLOOKUP($B224,'C-1 Site River Baseline'!$C$9:$R$257,3,FALSE))</f>
        <v/>
      </c>
      <c r="E224" s="520" t="str">
        <f>IF(D224="","",VLOOKUP($B224,'C-1 Site River Baseline'!$C$9:$R$257,4,FALSE))</f>
        <v/>
      </c>
      <c r="F224" s="520" t="str">
        <f>IF(E224="","",VLOOKUP($B224,'C-1 Site River Baseline'!$C$9:$R$257,5,FALSE))</f>
        <v/>
      </c>
      <c r="G224" s="520" t="str">
        <f>IF(F224="","",VLOOKUP($B224,'C-1 Site River Baseline'!$C$9:$R$257,6,FALSE))</f>
        <v/>
      </c>
      <c r="H224" s="520" t="str">
        <f>IF(G224="","",VLOOKUP($B224,'C-1 Site River Baseline'!$C$9:$R$257,7,FALSE))</f>
        <v/>
      </c>
      <c r="I224" s="520" t="str">
        <f>IF(H224="","",VLOOKUP($B224,'C-1 Site River Baseline'!$C$9:$R$257,8,FALSE))</f>
        <v/>
      </c>
      <c r="J224" s="520" t="str">
        <f>IF(I224="","",VLOOKUP($B224,'C-1 Site River Baseline'!$C$9:$R$257,9,FALSE))</f>
        <v/>
      </c>
      <c r="K224" s="520" t="str">
        <f>IF(J224="","",VLOOKUP($B224,'C-1 Site River Baseline'!$C$9:$R$257,10,FALSE))</f>
        <v/>
      </c>
      <c r="L224" s="520" t="str">
        <f>IF(B224="","",VLOOKUP($B224,'C-1 Site River Baseline'!$C$9:$R$257,15,FALSE))</f>
        <v/>
      </c>
      <c r="M224" s="524" t="str">
        <f>IF(L224="","",VLOOKUP($B224,'C-1 Site River Baseline'!$C$9:$R$257,16,FALSE))</f>
        <v/>
      </c>
      <c r="N224" s="418" t="str">
        <f t="shared" si="25"/>
        <v/>
      </c>
      <c r="O224" s="498" t="str">
        <f t="shared" si="26"/>
        <v/>
      </c>
      <c r="P224" s="499" t="str">
        <f>IF(C224="","",IF(AND(LEFT(C224,55)&lt;&gt;LEFT(N224,55),O224="High - High"),"Error - Not like for like ▲",IF(AND(F224=S224,H224&gt;U224),"Error - Can not reduce condition ▲",IF(AND(F224=S224,H224=U224,AJ224='C-1 Site River Baseline'!N222,'C-1 Site River Baseline'!P222=AL224),"Error - No enhancement ▲",IF(AND(C224&lt;&gt;N224,F224&lt;S224),"Lower Distinctiveness Habitat"&amp;" - "&amp;T224,G224&amp;" - "&amp;T224)))))</f>
        <v/>
      </c>
      <c r="Q224" s="567" t="str">
        <f>IF(N224="","",VLOOKUP(B224,'C-1 Site River Baseline'!$C$10:$AA$257,19,FALSE))</f>
        <v/>
      </c>
      <c r="R224" s="498" t="str">
        <f>IF(N224="","",VLOOKUP(N224,'G-7 Rivers Data'!$B$2:$G$8,2,FALSE))</f>
        <v/>
      </c>
      <c r="S224" s="499" t="str">
        <f>IFERROR(VLOOKUP(R224,'G-7 Rivers Data'!$C$4:$D$8,2,FALSE),"")</f>
        <v/>
      </c>
      <c r="T224" s="145"/>
      <c r="U224" s="499" t="str">
        <f>IFERROR(INDEX('G-7 Rivers Data'!$H$4:$L$8,MATCH(N224,'G-7 Rivers Data'!$B$4:$B$8,0),MATCH(T224,'G-7 Rivers Data'!$H$3:$L$3,0)),"")</f>
        <v/>
      </c>
      <c r="V224" s="154"/>
      <c r="W224" s="507" t="str">
        <f>IF(V224="","",IF(VLOOKUP(V224,'G-7 Rivers Data'!$AG$4:$AI$9,2,FALSE)=0,"Spatial Data Missing ⚠",VLOOKUP(V224,'G-7 Rivers Data'!$AG$4:$AI$9,2,FALSE)))</f>
        <v/>
      </c>
      <c r="X224" s="499" t="str">
        <f>IF(V224="","",IF(VLOOKUP(V224,'G-7 Rivers Data'!$AG$4:$AI$9,3,FALSE)=0,"Spatial Data Missing ⚠",VLOOKUP(V224,'G-7 Rivers Data'!$AG$4:$AI$9,3,FALSE)))</f>
        <v/>
      </c>
      <c r="Y224" s="498" t="str">
        <f>IFERROR(IF(OR(LEFT(P224,5)="Error ▲",LEFT(O224,5)="Error ▲"),"Check Data ⚠",IF(F224&lt;S224,'G-7 Rivers Data'!$R$3,INDEX('G-7 Rivers Data'!$U$5:$Y$9,MATCH(G224,'G-7 Rivers Data'!$T$5:$T$9,0),MATCH(T224,'G-7 Rivers Data'!$U$4:$Y$4,0)))),"")</f>
        <v/>
      </c>
      <c r="Z224" s="195"/>
      <c r="AA224" s="195"/>
      <c r="AB224" s="507" t="str">
        <f t="shared" si="27"/>
        <v/>
      </c>
      <c r="AC224" s="521" t="str">
        <f t="shared" si="28"/>
        <v/>
      </c>
      <c r="AD224" s="564" t="str">
        <f>IFERROR(IF(AC224="Check Data ⚠","Check Data ⚠",VLOOKUP(AC224,'G-4 Temporal multipliers'!$A$4:$C$37,3,FALSE)),"")</f>
        <v/>
      </c>
      <c r="AE224" s="498" t="str">
        <f>IF(N224="","",VLOOKUP(N224,'G-7 Rivers Data'!$B$4:$G$8,5,FALSE))</f>
        <v/>
      </c>
      <c r="AF224" s="507" t="str">
        <f t="shared" si="29"/>
        <v/>
      </c>
      <c r="AG224" s="540" t="str">
        <f t="shared" si="30"/>
        <v/>
      </c>
      <c r="AH224" s="499" t="str">
        <f t="shared" si="24"/>
        <v/>
      </c>
      <c r="AI224" s="145"/>
      <c r="AJ224" s="499" t="str">
        <f>IF(AI224="","",IF(VLOOKUP(AI224,'G-7 Rivers Data'!$AA$4:$AB$7,2,FALSE)=0,"Spatial Data Missing ⚠",VLOOKUP(AI224,'G-7 Rivers Data'!$AA$4:$AB$7,2,FALSE)))</f>
        <v/>
      </c>
      <c r="AK224" s="155"/>
      <c r="AL224" s="499" t="str">
        <f>IF(AK224="","",IF(VLOOKUP(AK224,'G-7 Rivers Data'!$AD$4:$AE$8,2,FALSE)=0,"Spatial Data Missing ⚠",VLOOKUP(AK224,'G-7 Rivers Data'!$AD$4:$AE$8,2,FALSE)))</f>
        <v/>
      </c>
      <c r="AM224" s="545" t="str">
        <f t="shared" si="31"/>
        <v/>
      </c>
      <c r="AN224" s="149"/>
      <c r="AO224" s="150"/>
      <c r="AV224" s="31" t="str">
        <f>IFERROR(INDEX('G-7 Rivers Data'!$AZ$3:$AZ$7,MATCH(N224,'G-7 Rivers Data'!$AY$3:$AY$7,0)),"")</f>
        <v/>
      </c>
    </row>
    <row r="225" spans="2:48" ht="14" x14ac:dyDescent="0.3">
      <c r="B225" s="531" t="str">
        <f>'C-1 Site River Baseline'!AN223</f>
        <v/>
      </c>
      <c r="C225" s="520" t="str">
        <f>IF(B225="","",VLOOKUP($B225,'C-1 Site River Baseline'!$C$9:$R$257,2,FALSE))</f>
        <v/>
      </c>
      <c r="D225" s="520" t="str">
        <f>IF(C225="","",VLOOKUP($B225,'C-1 Site River Baseline'!$C$9:$R$257,3,FALSE))</f>
        <v/>
      </c>
      <c r="E225" s="520" t="str">
        <f>IF(D225="","",VLOOKUP($B225,'C-1 Site River Baseline'!$C$9:$R$257,4,FALSE))</f>
        <v/>
      </c>
      <c r="F225" s="520" t="str">
        <f>IF(E225="","",VLOOKUP($B225,'C-1 Site River Baseline'!$C$9:$R$257,5,FALSE))</f>
        <v/>
      </c>
      <c r="G225" s="520" t="str">
        <f>IF(F225="","",VLOOKUP($B225,'C-1 Site River Baseline'!$C$9:$R$257,6,FALSE))</f>
        <v/>
      </c>
      <c r="H225" s="520" t="str">
        <f>IF(G225="","",VLOOKUP($B225,'C-1 Site River Baseline'!$C$9:$R$257,7,FALSE))</f>
        <v/>
      </c>
      <c r="I225" s="520" t="str">
        <f>IF(H225="","",VLOOKUP($B225,'C-1 Site River Baseline'!$C$9:$R$257,8,FALSE))</f>
        <v/>
      </c>
      <c r="J225" s="520" t="str">
        <f>IF(I225="","",VLOOKUP($B225,'C-1 Site River Baseline'!$C$9:$R$257,9,FALSE))</f>
        <v/>
      </c>
      <c r="K225" s="520" t="str">
        <f>IF(J225="","",VLOOKUP($B225,'C-1 Site River Baseline'!$C$9:$R$257,10,FALSE))</f>
        <v/>
      </c>
      <c r="L225" s="520" t="str">
        <f>IF(B225="","",VLOOKUP($B225,'C-1 Site River Baseline'!$C$9:$R$257,15,FALSE))</f>
        <v/>
      </c>
      <c r="M225" s="524" t="str">
        <f>IF(L225="","",VLOOKUP($B225,'C-1 Site River Baseline'!$C$9:$R$257,16,FALSE))</f>
        <v/>
      </c>
      <c r="N225" s="418" t="str">
        <f t="shared" si="25"/>
        <v/>
      </c>
      <c r="O225" s="498" t="str">
        <f t="shared" si="26"/>
        <v/>
      </c>
      <c r="P225" s="499" t="str">
        <f>IF(C225="","",IF(AND(LEFT(C225,55)&lt;&gt;LEFT(N225,55),O225="High - High"),"Error - Not like for like ▲",IF(AND(F225=S225,H225&gt;U225),"Error - Can not reduce condition ▲",IF(AND(F225=S225,H225=U225,AJ225='C-1 Site River Baseline'!N223,'C-1 Site River Baseline'!P223=AL225),"Error - No enhancement ▲",IF(AND(C225&lt;&gt;N225,F225&lt;S225),"Lower Distinctiveness Habitat"&amp;" - "&amp;T225,G225&amp;" - "&amp;T225)))))</f>
        <v/>
      </c>
      <c r="Q225" s="567" t="str">
        <f>IF(N225="","",VLOOKUP(B225,'C-1 Site River Baseline'!$C$10:$AA$257,19,FALSE))</f>
        <v/>
      </c>
      <c r="R225" s="498" t="str">
        <f>IF(N225="","",VLOOKUP(N225,'G-7 Rivers Data'!$B$2:$G$8,2,FALSE))</f>
        <v/>
      </c>
      <c r="S225" s="499" t="str">
        <f>IFERROR(VLOOKUP(R225,'G-7 Rivers Data'!$C$4:$D$8,2,FALSE),"")</f>
        <v/>
      </c>
      <c r="T225" s="145"/>
      <c r="U225" s="499" t="str">
        <f>IFERROR(INDEX('G-7 Rivers Data'!$H$4:$L$8,MATCH(N225,'G-7 Rivers Data'!$B$4:$B$8,0),MATCH(T225,'G-7 Rivers Data'!$H$3:$L$3,0)),"")</f>
        <v/>
      </c>
      <c r="V225" s="154"/>
      <c r="W225" s="507" t="str">
        <f>IF(V225="","",IF(VLOOKUP(V225,'G-7 Rivers Data'!$AG$4:$AI$9,2,FALSE)=0,"Spatial Data Missing ⚠",VLOOKUP(V225,'G-7 Rivers Data'!$AG$4:$AI$9,2,FALSE)))</f>
        <v/>
      </c>
      <c r="X225" s="499" t="str">
        <f>IF(V225="","",IF(VLOOKUP(V225,'G-7 Rivers Data'!$AG$4:$AI$9,3,FALSE)=0,"Spatial Data Missing ⚠",VLOOKUP(V225,'G-7 Rivers Data'!$AG$4:$AI$9,3,FALSE)))</f>
        <v/>
      </c>
      <c r="Y225" s="498" t="str">
        <f>IFERROR(IF(OR(LEFT(P225,5)="Error ▲",LEFT(O225,5)="Error ▲"),"Check Data ⚠",IF(F225&lt;S225,'G-7 Rivers Data'!$R$3,INDEX('G-7 Rivers Data'!$U$5:$Y$9,MATCH(G225,'G-7 Rivers Data'!$T$5:$T$9,0),MATCH(T225,'G-7 Rivers Data'!$U$4:$Y$4,0)))),"")</f>
        <v/>
      </c>
      <c r="Z225" s="195"/>
      <c r="AA225" s="195"/>
      <c r="AB225" s="507" t="str">
        <f t="shared" si="27"/>
        <v/>
      </c>
      <c r="AC225" s="521" t="str">
        <f t="shared" si="28"/>
        <v/>
      </c>
      <c r="AD225" s="564" t="str">
        <f>IFERROR(IF(AC225="Check Data ⚠","Check Data ⚠",VLOOKUP(AC225,'G-4 Temporal multipliers'!$A$4:$C$37,3,FALSE)),"")</f>
        <v/>
      </c>
      <c r="AE225" s="498" t="str">
        <f>IF(N225="","",VLOOKUP(N225,'G-7 Rivers Data'!$B$4:$G$8,5,FALSE))</f>
        <v/>
      </c>
      <c r="AF225" s="507" t="str">
        <f t="shared" si="29"/>
        <v/>
      </c>
      <c r="AG225" s="540" t="str">
        <f t="shared" si="30"/>
        <v/>
      </c>
      <c r="AH225" s="499" t="str">
        <f t="shared" si="24"/>
        <v/>
      </c>
      <c r="AI225" s="145"/>
      <c r="AJ225" s="499" t="str">
        <f>IF(AI225="","",IF(VLOOKUP(AI225,'G-7 Rivers Data'!$AA$4:$AB$7,2,FALSE)=0,"Spatial Data Missing ⚠",VLOOKUP(AI225,'G-7 Rivers Data'!$AA$4:$AB$7,2,FALSE)))</f>
        <v/>
      </c>
      <c r="AK225" s="155"/>
      <c r="AL225" s="499" t="str">
        <f>IF(AK225="","",IF(VLOOKUP(AK225,'G-7 Rivers Data'!$AD$4:$AE$8,2,FALSE)=0,"Spatial Data Missing ⚠",VLOOKUP(AK225,'G-7 Rivers Data'!$AD$4:$AE$8,2,FALSE)))</f>
        <v/>
      </c>
      <c r="AM225" s="545" t="str">
        <f t="shared" si="31"/>
        <v/>
      </c>
      <c r="AN225" s="149"/>
      <c r="AO225" s="150"/>
      <c r="AV225" s="31" t="str">
        <f>IFERROR(INDEX('G-7 Rivers Data'!$AZ$3:$AZ$7,MATCH(N225,'G-7 Rivers Data'!$AY$3:$AY$7,0)),"")</f>
        <v/>
      </c>
    </row>
    <row r="226" spans="2:48" ht="14" x14ac:dyDescent="0.3">
      <c r="B226" s="531" t="str">
        <f>'C-1 Site River Baseline'!AN224</f>
        <v/>
      </c>
      <c r="C226" s="520" t="str">
        <f>IF(B226="","",VLOOKUP($B226,'C-1 Site River Baseline'!$C$9:$R$257,2,FALSE))</f>
        <v/>
      </c>
      <c r="D226" s="520" t="str">
        <f>IF(C226="","",VLOOKUP($B226,'C-1 Site River Baseline'!$C$9:$R$257,3,FALSE))</f>
        <v/>
      </c>
      <c r="E226" s="520" t="str">
        <f>IF(D226="","",VLOOKUP($B226,'C-1 Site River Baseline'!$C$9:$R$257,4,FALSE))</f>
        <v/>
      </c>
      <c r="F226" s="520" t="str">
        <f>IF(E226="","",VLOOKUP($B226,'C-1 Site River Baseline'!$C$9:$R$257,5,FALSE))</f>
        <v/>
      </c>
      <c r="G226" s="520" t="str">
        <f>IF(F226="","",VLOOKUP($B226,'C-1 Site River Baseline'!$C$9:$R$257,6,FALSE))</f>
        <v/>
      </c>
      <c r="H226" s="520" t="str">
        <f>IF(G226="","",VLOOKUP($B226,'C-1 Site River Baseline'!$C$9:$R$257,7,FALSE))</f>
        <v/>
      </c>
      <c r="I226" s="520" t="str">
        <f>IF(H226="","",VLOOKUP($B226,'C-1 Site River Baseline'!$C$9:$R$257,8,FALSE))</f>
        <v/>
      </c>
      <c r="J226" s="520" t="str">
        <f>IF(I226="","",VLOOKUP($B226,'C-1 Site River Baseline'!$C$9:$R$257,9,FALSE))</f>
        <v/>
      </c>
      <c r="K226" s="520" t="str">
        <f>IF(J226="","",VLOOKUP($B226,'C-1 Site River Baseline'!$C$9:$R$257,10,FALSE))</f>
        <v/>
      </c>
      <c r="L226" s="520" t="str">
        <f>IF(B226="","",VLOOKUP($B226,'C-1 Site River Baseline'!$C$9:$R$257,15,FALSE))</f>
        <v/>
      </c>
      <c r="M226" s="524" t="str">
        <f>IF(L226="","",VLOOKUP($B226,'C-1 Site River Baseline'!$C$9:$R$257,16,FALSE))</f>
        <v/>
      </c>
      <c r="N226" s="418" t="str">
        <f t="shared" si="25"/>
        <v/>
      </c>
      <c r="O226" s="498" t="str">
        <f t="shared" si="26"/>
        <v/>
      </c>
      <c r="P226" s="499" t="str">
        <f>IF(C226="","",IF(AND(LEFT(C226,55)&lt;&gt;LEFT(N226,55),O226="High - High"),"Error - Not like for like ▲",IF(AND(F226=S226,H226&gt;U226),"Error - Can not reduce condition ▲",IF(AND(F226=S226,H226=U226,AJ226='C-1 Site River Baseline'!N224,'C-1 Site River Baseline'!P224=AL226),"Error - No enhancement ▲",IF(AND(C226&lt;&gt;N226,F226&lt;S226),"Lower Distinctiveness Habitat"&amp;" - "&amp;T226,G226&amp;" - "&amp;T226)))))</f>
        <v/>
      </c>
      <c r="Q226" s="567" t="str">
        <f>IF(N226="","",VLOOKUP(B226,'C-1 Site River Baseline'!$C$10:$AA$257,19,FALSE))</f>
        <v/>
      </c>
      <c r="R226" s="498" t="str">
        <f>IF(N226="","",VLOOKUP(N226,'G-7 Rivers Data'!$B$2:$G$8,2,FALSE))</f>
        <v/>
      </c>
      <c r="S226" s="499" t="str">
        <f>IFERROR(VLOOKUP(R226,'G-7 Rivers Data'!$C$4:$D$8,2,FALSE),"")</f>
        <v/>
      </c>
      <c r="T226" s="145"/>
      <c r="U226" s="499" t="str">
        <f>IFERROR(INDEX('G-7 Rivers Data'!$H$4:$L$8,MATCH(N226,'G-7 Rivers Data'!$B$4:$B$8,0),MATCH(T226,'G-7 Rivers Data'!$H$3:$L$3,0)),"")</f>
        <v/>
      </c>
      <c r="V226" s="154"/>
      <c r="W226" s="507" t="str">
        <f>IF(V226="","",IF(VLOOKUP(V226,'G-7 Rivers Data'!$AG$4:$AI$9,2,FALSE)=0,"Spatial Data Missing ⚠",VLOOKUP(V226,'G-7 Rivers Data'!$AG$4:$AI$9,2,FALSE)))</f>
        <v/>
      </c>
      <c r="X226" s="499" t="str">
        <f>IF(V226="","",IF(VLOOKUP(V226,'G-7 Rivers Data'!$AG$4:$AI$9,3,FALSE)=0,"Spatial Data Missing ⚠",VLOOKUP(V226,'G-7 Rivers Data'!$AG$4:$AI$9,3,FALSE)))</f>
        <v/>
      </c>
      <c r="Y226" s="498" t="str">
        <f>IFERROR(IF(OR(LEFT(P226,5)="Error ▲",LEFT(O226,5)="Error ▲"),"Check Data ⚠",IF(F226&lt;S226,'G-7 Rivers Data'!$R$3,INDEX('G-7 Rivers Data'!$U$5:$Y$9,MATCH(G226,'G-7 Rivers Data'!$T$5:$T$9,0),MATCH(T226,'G-7 Rivers Data'!$U$4:$Y$4,0)))),"")</f>
        <v/>
      </c>
      <c r="Z226" s="195"/>
      <c r="AA226" s="195"/>
      <c r="AB226" s="507" t="str">
        <f t="shared" si="27"/>
        <v/>
      </c>
      <c r="AC226" s="521" t="str">
        <f t="shared" si="28"/>
        <v/>
      </c>
      <c r="AD226" s="564" t="str">
        <f>IFERROR(IF(AC226="Check Data ⚠","Check Data ⚠",VLOOKUP(AC226,'G-4 Temporal multipliers'!$A$4:$C$37,3,FALSE)),"")</f>
        <v/>
      </c>
      <c r="AE226" s="498" t="str">
        <f>IF(N226="","",VLOOKUP(N226,'G-7 Rivers Data'!$B$4:$G$8,5,FALSE))</f>
        <v/>
      </c>
      <c r="AF226" s="507" t="str">
        <f t="shared" si="29"/>
        <v/>
      </c>
      <c r="AG226" s="540" t="str">
        <f t="shared" si="30"/>
        <v/>
      </c>
      <c r="AH226" s="499" t="str">
        <f t="shared" si="24"/>
        <v/>
      </c>
      <c r="AI226" s="145"/>
      <c r="AJ226" s="499" t="str">
        <f>IF(AI226="","",IF(VLOOKUP(AI226,'G-7 Rivers Data'!$AA$4:$AB$7,2,FALSE)=0,"Spatial Data Missing ⚠",VLOOKUP(AI226,'G-7 Rivers Data'!$AA$4:$AB$7,2,FALSE)))</f>
        <v/>
      </c>
      <c r="AK226" s="155"/>
      <c r="AL226" s="499" t="str">
        <f>IF(AK226="","",IF(VLOOKUP(AK226,'G-7 Rivers Data'!$AD$4:$AE$8,2,FALSE)=0,"Spatial Data Missing ⚠",VLOOKUP(AK226,'G-7 Rivers Data'!$AD$4:$AE$8,2,FALSE)))</f>
        <v/>
      </c>
      <c r="AM226" s="545" t="str">
        <f t="shared" si="31"/>
        <v/>
      </c>
      <c r="AN226" s="149"/>
      <c r="AO226" s="150"/>
      <c r="AV226" s="31" t="str">
        <f>IFERROR(INDEX('G-7 Rivers Data'!$AZ$3:$AZ$7,MATCH(N226,'G-7 Rivers Data'!$AY$3:$AY$7,0)),"")</f>
        <v/>
      </c>
    </row>
    <row r="227" spans="2:48" ht="14" x14ac:dyDescent="0.3">
      <c r="B227" s="531" t="str">
        <f>'C-1 Site River Baseline'!AN225</f>
        <v/>
      </c>
      <c r="C227" s="520" t="str">
        <f>IF(B227="","",VLOOKUP($B227,'C-1 Site River Baseline'!$C$9:$R$257,2,FALSE))</f>
        <v/>
      </c>
      <c r="D227" s="520" t="str">
        <f>IF(C227="","",VLOOKUP($B227,'C-1 Site River Baseline'!$C$9:$R$257,3,FALSE))</f>
        <v/>
      </c>
      <c r="E227" s="520" t="str">
        <f>IF(D227="","",VLOOKUP($B227,'C-1 Site River Baseline'!$C$9:$R$257,4,FALSE))</f>
        <v/>
      </c>
      <c r="F227" s="520" t="str">
        <f>IF(E227="","",VLOOKUP($B227,'C-1 Site River Baseline'!$C$9:$R$257,5,FALSE))</f>
        <v/>
      </c>
      <c r="G227" s="520" t="str">
        <f>IF(F227="","",VLOOKUP($B227,'C-1 Site River Baseline'!$C$9:$R$257,6,FALSE))</f>
        <v/>
      </c>
      <c r="H227" s="520" t="str">
        <f>IF(G227="","",VLOOKUP($B227,'C-1 Site River Baseline'!$C$9:$R$257,7,FALSE))</f>
        <v/>
      </c>
      <c r="I227" s="520" t="str">
        <f>IF(H227="","",VLOOKUP($B227,'C-1 Site River Baseline'!$C$9:$R$257,8,FALSE))</f>
        <v/>
      </c>
      <c r="J227" s="520" t="str">
        <f>IF(I227="","",VLOOKUP($B227,'C-1 Site River Baseline'!$C$9:$R$257,9,FALSE))</f>
        <v/>
      </c>
      <c r="K227" s="520" t="str">
        <f>IF(J227="","",VLOOKUP($B227,'C-1 Site River Baseline'!$C$9:$R$257,10,FALSE))</f>
        <v/>
      </c>
      <c r="L227" s="520" t="str">
        <f>IF(B227="","",VLOOKUP($B227,'C-1 Site River Baseline'!$C$9:$R$257,15,FALSE))</f>
        <v/>
      </c>
      <c r="M227" s="524" t="str">
        <f>IF(L227="","",VLOOKUP($B227,'C-1 Site River Baseline'!$C$9:$R$257,16,FALSE))</f>
        <v/>
      </c>
      <c r="N227" s="418" t="str">
        <f t="shared" si="25"/>
        <v/>
      </c>
      <c r="O227" s="498" t="str">
        <f t="shared" si="26"/>
        <v/>
      </c>
      <c r="P227" s="499" t="str">
        <f>IF(C227="","",IF(AND(LEFT(C227,55)&lt;&gt;LEFT(N227,55),O227="High - High"),"Error - Not like for like ▲",IF(AND(F227=S227,H227&gt;U227),"Error - Can not reduce condition ▲",IF(AND(F227=S227,H227=U227,AJ227='C-1 Site River Baseline'!N225,'C-1 Site River Baseline'!P225=AL227),"Error - No enhancement ▲",IF(AND(C227&lt;&gt;N227,F227&lt;S227),"Lower Distinctiveness Habitat"&amp;" - "&amp;T227,G227&amp;" - "&amp;T227)))))</f>
        <v/>
      </c>
      <c r="Q227" s="567" t="str">
        <f>IF(N227="","",VLOOKUP(B227,'C-1 Site River Baseline'!$C$10:$AA$257,19,FALSE))</f>
        <v/>
      </c>
      <c r="R227" s="498" t="str">
        <f>IF(N227="","",VLOOKUP(N227,'G-7 Rivers Data'!$B$2:$G$8,2,FALSE))</f>
        <v/>
      </c>
      <c r="S227" s="499" t="str">
        <f>IFERROR(VLOOKUP(R227,'G-7 Rivers Data'!$C$4:$D$8,2,FALSE),"")</f>
        <v/>
      </c>
      <c r="T227" s="145"/>
      <c r="U227" s="499" t="str">
        <f>IFERROR(INDEX('G-7 Rivers Data'!$H$4:$L$8,MATCH(N227,'G-7 Rivers Data'!$B$4:$B$8,0),MATCH(T227,'G-7 Rivers Data'!$H$3:$L$3,0)),"")</f>
        <v/>
      </c>
      <c r="V227" s="154"/>
      <c r="W227" s="507" t="str">
        <f>IF(V227="","",IF(VLOOKUP(V227,'G-7 Rivers Data'!$AG$4:$AI$9,2,FALSE)=0,"Spatial Data Missing ⚠",VLOOKUP(V227,'G-7 Rivers Data'!$AG$4:$AI$9,2,FALSE)))</f>
        <v/>
      </c>
      <c r="X227" s="499" t="str">
        <f>IF(V227="","",IF(VLOOKUP(V227,'G-7 Rivers Data'!$AG$4:$AI$9,3,FALSE)=0,"Spatial Data Missing ⚠",VLOOKUP(V227,'G-7 Rivers Data'!$AG$4:$AI$9,3,FALSE)))</f>
        <v/>
      </c>
      <c r="Y227" s="498" t="str">
        <f>IFERROR(IF(OR(LEFT(P227,5)="Error ▲",LEFT(O227,5)="Error ▲"),"Check Data ⚠",IF(F227&lt;S227,'G-7 Rivers Data'!$R$3,INDEX('G-7 Rivers Data'!$U$5:$Y$9,MATCH(G227,'G-7 Rivers Data'!$T$5:$T$9,0),MATCH(T227,'G-7 Rivers Data'!$U$4:$Y$4,0)))),"")</f>
        <v/>
      </c>
      <c r="Z227" s="195"/>
      <c r="AA227" s="195"/>
      <c r="AB227" s="507" t="str">
        <f t="shared" si="27"/>
        <v/>
      </c>
      <c r="AC227" s="521" t="str">
        <f t="shared" si="28"/>
        <v/>
      </c>
      <c r="AD227" s="564" t="str">
        <f>IFERROR(IF(AC227="Check Data ⚠","Check Data ⚠",VLOOKUP(AC227,'G-4 Temporal multipliers'!$A$4:$C$37,3,FALSE)),"")</f>
        <v/>
      </c>
      <c r="AE227" s="498" t="str">
        <f>IF(N227="","",VLOOKUP(N227,'G-7 Rivers Data'!$B$4:$G$8,5,FALSE))</f>
        <v/>
      </c>
      <c r="AF227" s="507" t="str">
        <f t="shared" si="29"/>
        <v/>
      </c>
      <c r="AG227" s="540" t="str">
        <f t="shared" si="30"/>
        <v/>
      </c>
      <c r="AH227" s="499" t="str">
        <f t="shared" si="24"/>
        <v/>
      </c>
      <c r="AI227" s="145"/>
      <c r="AJ227" s="499" t="str">
        <f>IF(AI227="","",IF(VLOOKUP(AI227,'G-7 Rivers Data'!$AA$4:$AB$7,2,FALSE)=0,"Spatial Data Missing ⚠",VLOOKUP(AI227,'G-7 Rivers Data'!$AA$4:$AB$7,2,FALSE)))</f>
        <v/>
      </c>
      <c r="AK227" s="155"/>
      <c r="AL227" s="499" t="str">
        <f>IF(AK227="","",IF(VLOOKUP(AK227,'G-7 Rivers Data'!$AD$4:$AE$8,2,FALSE)=0,"Spatial Data Missing ⚠",VLOOKUP(AK227,'G-7 Rivers Data'!$AD$4:$AE$8,2,FALSE)))</f>
        <v/>
      </c>
      <c r="AM227" s="545" t="str">
        <f t="shared" si="31"/>
        <v/>
      </c>
      <c r="AN227" s="149"/>
      <c r="AO227" s="150"/>
      <c r="AV227" s="31" t="str">
        <f>IFERROR(INDEX('G-7 Rivers Data'!$AZ$3:$AZ$7,MATCH(N227,'G-7 Rivers Data'!$AY$3:$AY$7,0)),"")</f>
        <v/>
      </c>
    </row>
    <row r="228" spans="2:48" ht="14" x14ac:dyDescent="0.3">
      <c r="B228" s="531" t="str">
        <f>'C-1 Site River Baseline'!AN226</f>
        <v/>
      </c>
      <c r="C228" s="520" t="str">
        <f>IF(B228="","",VLOOKUP($B228,'C-1 Site River Baseline'!$C$9:$R$257,2,FALSE))</f>
        <v/>
      </c>
      <c r="D228" s="520" t="str">
        <f>IF(C228="","",VLOOKUP($B228,'C-1 Site River Baseline'!$C$9:$R$257,3,FALSE))</f>
        <v/>
      </c>
      <c r="E228" s="520" t="str">
        <f>IF(D228="","",VLOOKUP($B228,'C-1 Site River Baseline'!$C$9:$R$257,4,FALSE))</f>
        <v/>
      </c>
      <c r="F228" s="520" t="str">
        <f>IF(E228="","",VLOOKUP($B228,'C-1 Site River Baseline'!$C$9:$R$257,5,FALSE))</f>
        <v/>
      </c>
      <c r="G228" s="520" t="str">
        <f>IF(F228="","",VLOOKUP($B228,'C-1 Site River Baseline'!$C$9:$R$257,6,FALSE))</f>
        <v/>
      </c>
      <c r="H228" s="520" t="str">
        <f>IF(G228="","",VLOOKUP($B228,'C-1 Site River Baseline'!$C$9:$R$257,7,FALSE))</f>
        <v/>
      </c>
      <c r="I228" s="520" t="str">
        <f>IF(H228="","",VLOOKUP($B228,'C-1 Site River Baseline'!$C$9:$R$257,8,FALSE))</f>
        <v/>
      </c>
      <c r="J228" s="520" t="str">
        <f>IF(I228="","",VLOOKUP($B228,'C-1 Site River Baseline'!$C$9:$R$257,9,FALSE))</f>
        <v/>
      </c>
      <c r="K228" s="520" t="str">
        <f>IF(J228="","",VLOOKUP($B228,'C-1 Site River Baseline'!$C$9:$R$257,10,FALSE))</f>
        <v/>
      </c>
      <c r="L228" s="520" t="str">
        <f>IF(B228="","",VLOOKUP($B228,'C-1 Site River Baseline'!$C$9:$R$257,15,FALSE))</f>
        <v/>
      </c>
      <c r="M228" s="524" t="str">
        <f>IF(L228="","",VLOOKUP($B228,'C-1 Site River Baseline'!$C$9:$R$257,16,FALSE))</f>
        <v/>
      </c>
      <c r="N228" s="418" t="str">
        <f t="shared" si="25"/>
        <v/>
      </c>
      <c r="O228" s="498" t="str">
        <f t="shared" si="26"/>
        <v/>
      </c>
      <c r="P228" s="499" t="str">
        <f>IF(C228="","",IF(AND(LEFT(C228,55)&lt;&gt;LEFT(N228,55),O228="High - High"),"Error - Not like for like ▲",IF(AND(F228=S228,H228&gt;U228),"Error - Can not reduce condition ▲",IF(AND(F228=S228,H228=U228,AJ228='C-1 Site River Baseline'!N226,'C-1 Site River Baseline'!P226=AL228),"Error - No enhancement ▲",IF(AND(C228&lt;&gt;N228,F228&lt;S228),"Lower Distinctiveness Habitat"&amp;" - "&amp;T228,G228&amp;" - "&amp;T228)))))</f>
        <v/>
      </c>
      <c r="Q228" s="567" t="str">
        <f>IF(N228="","",VLOOKUP(B228,'C-1 Site River Baseline'!$C$10:$AA$257,19,FALSE))</f>
        <v/>
      </c>
      <c r="R228" s="498" t="str">
        <f>IF(N228="","",VLOOKUP(N228,'G-7 Rivers Data'!$B$2:$G$8,2,FALSE))</f>
        <v/>
      </c>
      <c r="S228" s="499" t="str">
        <f>IFERROR(VLOOKUP(R228,'G-7 Rivers Data'!$C$4:$D$8,2,FALSE),"")</f>
        <v/>
      </c>
      <c r="T228" s="145"/>
      <c r="U228" s="499" t="str">
        <f>IFERROR(INDEX('G-7 Rivers Data'!$H$4:$L$8,MATCH(N228,'G-7 Rivers Data'!$B$4:$B$8,0),MATCH(T228,'G-7 Rivers Data'!$H$3:$L$3,0)),"")</f>
        <v/>
      </c>
      <c r="V228" s="154"/>
      <c r="W228" s="507" t="str">
        <f>IF(V228="","",IF(VLOOKUP(V228,'G-7 Rivers Data'!$AG$4:$AI$9,2,FALSE)=0,"Spatial Data Missing ⚠",VLOOKUP(V228,'G-7 Rivers Data'!$AG$4:$AI$9,2,FALSE)))</f>
        <v/>
      </c>
      <c r="X228" s="499" t="str">
        <f>IF(V228="","",IF(VLOOKUP(V228,'G-7 Rivers Data'!$AG$4:$AI$9,3,FALSE)=0,"Spatial Data Missing ⚠",VLOOKUP(V228,'G-7 Rivers Data'!$AG$4:$AI$9,3,FALSE)))</f>
        <v/>
      </c>
      <c r="Y228" s="498" t="str">
        <f>IFERROR(IF(OR(LEFT(P228,5)="Error ▲",LEFT(O228,5)="Error ▲"),"Check Data ⚠",IF(F228&lt;S228,'G-7 Rivers Data'!$R$3,INDEX('G-7 Rivers Data'!$U$5:$Y$9,MATCH(G228,'G-7 Rivers Data'!$T$5:$T$9,0),MATCH(T228,'G-7 Rivers Data'!$U$4:$Y$4,0)))),"")</f>
        <v/>
      </c>
      <c r="Z228" s="195"/>
      <c r="AA228" s="195"/>
      <c r="AB228" s="507" t="str">
        <f t="shared" si="27"/>
        <v/>
      </c>
      <c r="AC228" s="521" t="str">
        <f t="shared" si="28"/>
        <v/>
      </c>
      <c r="AD228" s="564" t="str">
        <f>IFERROR(IF(AC228="Check Data ⚠","Check Data ⚠",VLOOKUP(AC228,'G-4 Temporal multipliers'!$A$4:$C$37,3,FALSE)),"")</f>
        <v/>
      </c>
      <c r="AE228" s="498" t="str">
        <f>IF(N228="","",VLOOKUP(N228,'G-7 Rivers Data'!$B$4:$G$8,5,FALSE))</f>
        <v/>
      </c>
      <c r="AF228" s="507" t="str">
        <f t="shared" si="29"/>
        <v/>
      </c>
      <c r="AG228" s="540" t="str">
        <f t="shared" si="30"/>
        <v/>
      </c>
      <c r="AH228" s="499" t="str">
        <f t="shared" si="24"/>
        <v/>
      </c>
      <c r="AI228" s="145"/>
      <c r="AJ228" s="499" t="str">
        <f>IF(AI228="","",IF(VLOOKUP(AI228,'G-7 Rivers Data'!$AA$4:$AB$7,2,FALSE)=0,"Spatial Data Missing ⚠",VLOOKUP(AI228,'G-7 Rivers Data'!$AA$4:$AB$7,2,FALSE)))</f>
        <v/>
      </c>
      <c r="AK228" s="155"/>
      <c r="AL228" s="499" t="str">
        <f>IF(AK228="","",IF(VLOOKUP(AK228,'G-7 Rivers Data'!$AD$4:$AE$8,2,FALSE)=0,"Spatial Data Missing ⚠",VLOOKUP(AK228,'G-7 Rivers Data'!$AD$4:$AE$8,2,FALSE)))</f>
        <v/>
      </c>
      <c r="AM228" s="545" t="str">
        <f t="shared" si="31"/>
        <v/>
      </c>
      <c r="AN228" s="149"/>
      <c r="AO228" s="150"/>
      <c r="AV228" s="31" t="str">
        <f>IFERROR(INDEX('G-7 Rivers Data'!$AZ$3:$AZ$7,MATCH(N228,'G-7 Rivers Data'!$AY$3:$AY$7,0)),"")</f>
        <v/>
      </c>
    </row>
    <row r="229" spans="2:48" ht="14" x14ac:dyDescent="0.3">
      <c r="B229" s="531" t="str">
        <f>'C-1 Site River Baseline'!AN227</f>
        <v/>
      </c>
      <c r="C229" s="520" t="str">
        <f>IF(B229="","",VLOOKUP($B229,'C-1 Site River Baseline'!$C$9:$R$257,2,FALSE))</f>
        <v/>
      </c>
      <c r="D229" s="520" t="str">
        <f>IF(C229="","",VLOOKUP($B229,'C-1 Site River Baseline'!$C$9:$R$257,3,FALSE))</f>
        <v/>
      </c>
      <c r="E229" s="520" t="str">
        <f>IF(D229="","",VLOOKUP($B229,'C-1 Site River Baseline'!$C$9:$R$257,4,FALSE))</f>
        <v/>
      </c>
      <c r="F229" s="520" t="str">
        <f>IF(E229="","",VLOOKUP($B229,'C-1 Site River Baseline'!$C$9:$R$257,5,FALSE))</f>
        <v/>
      </c>
      <c r="G229" s="520" t="str">
        <f>IF(F229="","",VLOOKUP($B229,'C-1 Site River Baseline'!$C$9:$R$257,6,FALSE))</f>
        <v/>
      </c>
      <c r="H229" s="520" t="str">
        <f>IF(G229="","",VLOOKUP($B229,'C-1 Site River Baseline'!$C$9:$R$257,7,FALSE))</f>
        <v/>
      </c>
      <c r="I229" s="520" t="str">
        <f>IF(H229="","",VLOOKUP($B229,'C-1 Site River Baseline'!$C$9:$R$257,8,FALSE))</f>
        <v/>
      </c>
      <c r="J229" s="520" t="str">
        <f>IF(I229="","",VLOOKUP($B229,'C-1 Site River Baseline'!$C$9:$R$257,9,FALSE))</f>
        <v/>
      </c>
      <c r="K229" s="520" t="str">
        <f>IF(J229="","",VLOOKUP($B229,'C-1 Site River Baseline'!$C$9:$R$257,10,FALSE))</f>
        <v/>
      </c>
      <c r="L229" s="520" t="str">
        <f>IF(B229="","",VLOOKUP($B229,'C-1 Site River Baseline'!$C$9:$R$257,15,FALSE))</f>
        <v/>
      </c>
      <c r="M229" s="524" t="str">
        <f>IF(L229="","",VLOOKUP($B229,'C-1 Site River Baseline'!$C$9:$R$257,16,FALSE))</f>
        <v/>
      </c>
      <c r="N229" s="418" t="str">
        <f t="shared" si="25"/>
        <v/>
      </c>
      <c r="O229" s="498" t="str">
        <f t="shared" si="26"/>
        <v/>
      </c>
      <c r="P229" s="499" t="str">
        <f>IF(C229="","",IF(AND(LEFT(C229,55)&lt;&gt;LEFT(N229,55),O229="High - High"),"Error - Not like for like ▲",IF(AND(F229=S229,H229&gt;U229),"Error - Can not reduce condition ▲",IF(AND(F229=S229,H229=U229,AJ229='C-1 Site River Baseline'!N227,'C-1 Site River Baseline'!P227=AL229),"Error - No enhancement ▲",IF(AND(C229&lt;&gt;N229,F229&lt;S229),"Lower Distinctiveness Habitat"&amp;" - "&amp;T229,G229&amp;" - "&amp;T229)))))</f>
        <v/>
      </c>
      <c r="Q229" s="567" t="str">
        <f>IF(N229="","",VLOOKUP(B229,'C-1 Site River Baseline'!$C$10:$AA$257,19,FALSE))</f>
        <v/>
      </c>
      <c r="R229" s="498" t="str">
        <f>IF(N229="","",VLOOKUP(N229,'G-7 Rivers Data'!$B$2:$G$8,2,FALSE))</f>
        <v/>
      </c>
      <c r="S229" s="499" t="str">
        <f>IFERROR(VLOOKUP(R229,'G-7 Rivers Data'!$C$4:$D$8,2,FALSE),"")</f>
        <v/>
      </c>
      <c r="T229" s="145"/>
      <c r="U229" s="499" t="str">
        <f>IFERROR(INDEX('G-7 Rivers Data'!$H$4:$L$8,MATCH(N229,'G-7 Rivers Data'!$B$4:$B$8,0),MATCH(T229,'G-7 Rivers Data'!$H$3:$L$3,0)),"")</f>
        <v/>
      </c>
      <c r="V229" s="154"/>
      <c r="W229" s="507" t="str">
        <f>IF(V229="","",IF(VLOOKUP(V229,'G-7 Rivers Data'!$AG$4:$AI$9,2,FALSE)=0,"Spatial Data Missing ⚠",VLOOKUP(V229,'G-7 Rivers Data'!$AG$4:$AI$9,2,FALSE)))</f>
        <v/>
      </c>
      <c r="X229" s="499" t="str">
        <f>IF(V229="","",IF(VLOOKUP(V229,'G-7 Rivers Data'!$AG$4:$AI$9,3,FALSE)=0,"Spatial Data Missing ⚠",VLOOKUP(V229,'G-7 Rivers Data'!$AG$4:$AI$9,3,FALSE)))</f>
        <v/>
      </c>
      <c r="Y229" s="498" t="str">
        <f>IFERROR(IF(OR(LEFT(P229,5)="Error ▲",LEFT(O229,5)="Error ▲"),"Check Data ⚠",IF(F229&lt;S229,'G-7 Rivers Data'!$R$3,INDEX('G-7 Rivers Data'!$U$5:$Y$9,MATCH(G229,'G-7 Rivers Data'!$T$5:$T$9,0),MATCH(T229,'G-7 Rivers Data'!$U$4:$Y$4,0)))),"")</f>
        <v/>
      </c>
      <c r="Z229" s="195"/>
      <c r="AA229" s="195"/>
      <c r="AB229" s="507" t="str">
        <f t="shared" si="27"/>
        <v/>
      </c>
      <c r="AC229" s="521" t="str">
        <f t="shared" si="28"/>
        <v/>
      </c>
      <c r="AD229" s="564" t="str">
        <f>IFERROR(IF(AC229="Check Data ⚠","Check Data ⚠",VLOOKUP(AC229,'G-4 Temporal multipliers'!$A$4:$C$37,3,FALSE)),"")</f>
        <v/>
      </c>
      <c r="AE229" s="498" t="str">
        <f>IF(N229="","",VLOOKUP(N229,'G-7 Rivers Data'!$B$4:$G$8,5,FALSE))</f>
        <v/>
      </c>
      <c r="AF229" s="507" t="str">
        <f t="shared" si="29"/>
        <v/>
      </c>
      <c r="AG229" s="540" t="str">
        <f t="shared" si="30"/>
        <v/>
      </c>
      <c r="AH229" s="499" t="str">
        <f t="shared" si="24"/>
        <v/>
      </c>
      <c r="AI229" s="145"/>
      <c r="AJ229" s="499" t="str">
        <f>IF(AI229="","",IF(VLOOKUP(AI229,'G-7 Rivers Data'!$AA$4:$AB$7,2,FALSE)=0,"Spatial Data Missing ⚠",VLOOKUP(AI229,'G-7 Rivers Data'!$AA$4:$AB$7,2,FALSE)))</f>
        <v/>
      </c>
      <c r="AK229" s="155"/>
      <c r="AL229" s="499" t="str">
        <f>IF(AK229="","",IF(VLOOKUP(AK229,'G-7 Rivers Data'!$AD$4:$AE$8,2,FALSE)=0,"Spatial Data Missing ⚠",VLOOKUP(AK229,'G-7 Rivers Data'!$AD$4:$AE$8,2,FALSE)))</f>
        <v/>
      </c>
      <c r="AM229" s="545" t="str">
        <f t="shared" si="31"/>
        <v/>
      </c>
      <c r="AN229" s="149"/>
      <c r="AO229" s="150"/>
      <c r="AV229" s="31" t="str">
        <f>IFERROR(INDEX('G-7 Rivers Data'!$AZ$3:$AZ$7,MATCH(N229,'G-7 Rivers Data'!$AY$3:$AY$7,0)),"")</f>
        <v/>
      </c>
    </row>
    <row r="230" spans="2:48" ht="14" x14ac:dyDescent="0.3">
      <c r="B230" s="531" t="str">
        <f>'C-1 Site River Baseline'!AN228</f>
        <v/>
      </c>
      <c r="C230" s="520" t="str">
        <f>IF(B230="","",VLOOKUP($B230,'C-1 Site River Baseline'!$C$9:$R$257,2,FALSE))</f>
        <v/>
      </c>
      <c r="D230" s="520" t="str">
        <f>IF(C230="","",VLOOKUP($B230,'C-1 Site River Baseline'!$C$9:$R$257,3,FALSE))</f>
        <v/>
      </c>
      <c r="E230" s="520" t="str">
        <f>IF(D230="","",VLOOKUP($B230,'C-1 Site River Baseline'!$C$9:$R$257,4,FALSE))</f>
        <v/>
      </c>
      <c r="F230" s="520" t="str">
        <f>IF(E230="","",VLOOKUP($B230,'C-1 Site River Baseline'!$C$9:$R$257,5,FALSE))</f>
        <v/>
      </c>
      <c r="G230" s="520" t="str">
        <f>IF(F230="","",VLOOKUP($B230,'C-1 Site River Baseline'!$C$9:$R$257,6,FALSE))</f>
        <v/>
      </c>
      <c r="H230" s="520" t="str">
        <f>IF(G230="","",VLOOKUP($B230,'C-1 Site River Baseline'!$C$9:$R$257,7,FALSE))</f>
        <v/>
      </c>
      <c r="I230" s="520" t="str">
        <f>IF(H230="","",VLOOKUP($B230,'C-1 Site River Baseline'!$C$9:$R$257,8,FALSE))</f>
        <v/>
      </c>
      <c r="J230" s="520" t="str">
        <f>IF(I230="","",VLOOKUP($B230,'C-1 Site River Baseline'!$C$9:$R$257,9,FALSE))</f>
        <v/>
      </c>
      <c r="K230" s="520" t="str">
        <f>IF(J230="","",VLOOKUP($B230,'C-1 Site River Baseline'!$C$9:$R$257,10,FALSE))</f>
        <v/>
      </c>
      <c r="L230" s="520" t="str">
        <f>IF(B230="","",VLOOKUP($B230,'C-1 Site River Baseline'!$C$9:$R$257,15,FALSE))</f>
        <v/>
      </c>
      <c r="M230" s="524" t="str">
        <f>IF(L230="","",VLOOKUP($B230,'C-1 Site River Baseline'!$C$9:$R$257,16,FALSE))</f>
        <v/>
      </c>
      <c r="N230" s="418" t="str">
        <f t="shared" si="25"/>
        <v/>
      </c>
      <c r="O230" s="498" t="str">
        <f t="shared" si="26"/>
        <v/>
      </c>
      <c r="P230" s="499" t="str">
        <f>IF(C230="","",IF(AND(LEFT(C230,55)&lt;&gt;LEFT(N230,55),O230="High - High"),"Error - Not like for like ▲",IF(AND(F230=S230,H230&gt;U230),"Error - Can not reduce condition ▲",IF(AND(F230=S230,H230=U230,AJ230='C-1 Site River Baseline'!N228,'C-1 Site River Baseline'!P228=AL230),"Error - No enhancement ▲",IF(AND(C230&lt;&gt;N230,F230&lt;S230),"Lower Distinctiveness Habitat"&amp;" - "&amp;T230,G230&amp;" - "&amp;T230)))))</f>
        <v/>
      </c>
      <c r="Q230" s="567" t="str">
        <f>IF(N230="","",VLOOKUP(B230,'C-1 Site River Baseline'!$C$10:$AA$257,19,FALSE))</f>
        <v/>
      </c>
      <c r="R230" s="498" t="str">
        <f>IF(N230="","",VLOOKUP(N230,'G-7 Rivers Data'!$B$2:$G$8,2,FALSE))</f>
        <v/>
      </c>
      <c r="S230" s="499" t="str">
        <f>IFERROR(VLOOKUP(R230,'G-7 Rivers Data'!$C$4:$D$8,2,FALSE),"")</f>
        <v/>
      </c>
      <c r="T230" s="145"/>
      <c r="U230" s="499" t="str">
        <f>IFERROR(INDEX('G-7 Rivers Data'!$H$4:$L$8,MATCH(N230,'G-7 Rivers Data'!$B$4:$B$8,0),MATCH(T230,'G-7 Rivers Data'!$H$3:$L$3,0)),"")</f>
        <v/>
      </c>
      <c r="V230" s="154"/>
      <c r="W230" s="507" t="str">
        <f>IF(V230="","",IF(VLOOKUP(V230,'G-7 Rivers Data'!$AG$4:$AI$9,2,FALSE)=0,"Spatial Data Missing ⚠",VLOOKUP(V230,'G-7 Rivers Data'!$AG$4:$AI$9,2,FALSE)))</f>
        <v/>
      </c>
      <c r="X230" s="499" t="str">
        <f>IF(V230="","",IF(VLOOKUP(V230,'G-7 Rivers Data'!$AG$4:$AI$9,3,FALSE)=0,"Spatial Data Missing ⚠",VLOOKUP(V230,'G-7 Rivers Data'!$AG$4:$AI$9,3,FALSE)))</f>
        <v/>
      </c>
      <c r="Y230" s="498" t="str">
        <f>IFERROR(IF(OR(LEFT(P230,5)="Error ▲",LEFT(O230,5)="Error ▲"),"Check Data ⚠",IF(F230&lt;S230,'G-7 Rivers Data'!$R$3,INDEX('G-7 Rivers Data'!$U$5:$Y$9,MATCH(G230,'G-7 Rivers Data'!$T$5:$T$9,0),MATCH(T230,'G-7 Rivers Data'!$U$4:$Y$4,0)))),"")</f>
        <v/>
      </c>
      <c r="Z230" s="195"/>
      <c r="AA230" s="195"/>
      <c r="AB230" s="507" t="str">
        <f t="shared" si="27"/>
        <v/>
      </c>
      <c r="AC230" s="521" t="str">
        <f t="shared" si="28"/>
        <v/>
      </c>
      <c r="AD230" s="564" t="str">
        <f>IFERROR(IF(AC230="Check Data ⚠","Check Data ⚠",VLOOKUP(AC230,'G-4 Temporal multipliers'!$A$4:$C$37,3,FALSE)),"")</f>
        <v/>
      </c>
      <c r="AE230" s="498" t="str">
        <f>IF(N230="","",VLOOKUP(N230,'G-7 Rivers Data'!$B$4:$G$8,5,FALSE))</f>
        <v/>
      </c>
      <c r="AF230" s="507" t="str">
        <f t="shared" si="29"/>
        <v/>
      </c>
      <c r="AG230" s="540" t="str">
        <f t="shared" si="30"/>
        <v/>
      </c>
      <c r="AH230" s="499" t="str">
        <f t="shared" si="24"/>
        <v/>
      </c>
      <c r="AI230" s="145"/>
      <c r="AJ230" s="499" t="str">
        <f>IF(AI230="","",IF(VLOOKUP(AI230,'G-7 Rivers Data'!$AA$4:$AB$7,2,FALSE)=0,"Spatial Data Missing ⚠",VLOOKUP(AI230,'G-7 Rivers Data'!$AA$4:$AB$7,2,FALSE)))</f>
        <v/>
      </c>
      <c r="AK230" s="155"/>
      <c r="AL230" s="499" t="str">
        <f>IF(AK230="","",IF(VLOOKUP(AK230,'G-7 Rivers Data'!$AD$4:$AE$8,2,FALSE)=0,"Spatial Data Missing ⚠",VLOOKUP(AK230,'G-7 Rivers Data'!$AD$4:$AE$8,2,FALSE)))</f>
        <v/>
      </c>
      <c r="AM230" s="545" t="str">
        <f t="shared" si="31"/>
        <v/>
      </c>
      <c r="AN230" s="149"/>
      <c r="AO230" s="150"/>
      <c r="AV230" s="31" t="str">
        <f>IFERROR(INDEX('G-7 Rivers Data'!$AZ$3:$AZ$7,MATCH(N230,'G-7 Rivers Data'!$AY$3:$AY$7,0)),"")</f>
        <v/>
      </c>
    </row>
    <row r="231" spans="2:48" ht="14" x14ac:dyDescent="0.3">
      <c r="B231" s="531" t="str">
        <f>'C-1 Site River Baseline'!AN229</f>
        <v/>
      </c>
      <c r="C231" s="520" t="str">
        <f>IF(B231="","",VLOOKUP($B231,'C-1 Site River Baseline'!$C$9:$R$257,2,FALSE))</f>
        <v/>
      </c>
      <c r="D231" s="520" t="str">
        <f>IF(C231="","",VLOOKUP($B231,'C-1 Site River Baseline'!$C$9:$R$257,3,FALSE))</f>
        <v/>
      </c>
      <c r="E231" s="520" t="str">
        <f>IF(D231="","",VLOOKUP($B231,'C-1 Site River Baseline'!$C$9:$R$257,4,FALSE))</f>
        <v/>
      </c>
      <c r="F231" s="520" t="str">
        <f>IF(E231="","",VLOOKUP($B231,'C-1 Site River Baseline'!$C$9:$R$257,5,FALSE))</f>
        <v/>
      </c>
      <c r="G231" s="520" t="str">
        <f>IF(F231="","",VLOOKUP($B231,'C-1 Site River Baseline'!$C$9:$R$257,6,FALSE))</f>
        <v/>
      </c>
      <c r="H231" s="520" t="str">
        <f>IF(G231="","",VLOOKUP($B231,'C-1 Site River Baseline'!$C$9:$R$257,7,FALSE))</f>
        <v/>
      </c>
      <c r="I231" s="520" t="str">
        <f>IF(H231="","",VLOOKUP($B231,'C-1 Site River Baseline'!$C$9:$R$257,8,FALSE))</f>
        <v/>
      </c>
      <c r="J231" s="520" t="str">
        <f>IF(I231="","",VLOOKUP($B231,'C-1 Site River Baseline'!$C$9:$R$257,9,FALSE))</f>
        <v/>
      </c>
      <c r="K231" s="520" t="str">
        <f>IF(J231="","",VLOOKUP($B231,'C-1 Site River Baseline'!$C$9:$R$257,10,FALSE))</f>
        <v/>
      </c>
      <c r="L231" s="520" t="str">
        <f>IF(B231="","",VLOOKUP($B231,'C-1 Site River Baseline'!$C$9:$R$257,15,FALSE))</f>
        <v/>
      </c>
      <c r="M231" s="524" t="str">
        <f>IF(L231="","",VLOOKUP($B231,'C-1 Site River Baseline'!$C$9:$R$257,16,FALSE))</f>
        <v/>
      </c>
      <c r="N231" s="418" t="str">
        <f t="shared" si="25"/>
        <v/>
      </c>
      <c r="O231" s="498" t="str">
        <f t="shared" si="26"/>
        <v/>
      </c>
      <c r="P231" s="499" t="str">
        <f>IF(C231="","",IF(AND(LEFT(C231,55)&lt;&gt;LEFT(N231,55),O231="High - High"),"Error - Not like for like ▲",IF(AND(F231=S231,H231&gt;U231),"Error - Can not reduce condition ▲",IF(AND(F231=S231,H231=U231,AJ231='C-1 Site River Baseline'!N229,'C-1 Site River Baseline'!P229=AL231),"Error - No enhancement ▲",IF(AND(C231&lt;&gt;N231,F231&lt;S231),"Lower Distinctiveness Habitat"&amp;" - "&amp;T231,G231&amp;" - "&amp;T231)))))</f>
        <v/>
      </c>
      <c r="Q231" s="567" t="str">
        <f>IF(N231="","",VLOOKUP(B231,'C-1 Site River Baseline'!$C$10:$AA$257,19,FALSE))</f>
        <v/>
      </c>
      <c r="R231" s="498" t="str">
        <f>IF(N231="","",VLOOKUP(N231,'G-7 Rivers Data'!$B$2:$G$8,2,FALSE))</f>
        <v/>
      </c>
      <c r="S231" s="499" t="str">
        <f>IFERROR(VLOOKUP(R231,'G-7 Rivers Data'!$C$4:$D$8,2,FALSE),"")</f>
        <v/>
      </c>
      <c r="T231" s="145"/>
      <c r="U231" s="499" t="str">
        <f>IFERROR(INDEX('G-7 Rivers Data'!$H$4:$L$8,MATCH(N231,'G-7 Rivers Data'!$B$4:$B$8,0),MATCH(T231,'G-7 Rivers Data'!$H$3:$L$3,0)),"")</f>
        <v/>
      </c>
      <c r="V231" s="154"/>
      <c r="W231" s="507" t="str">
        <f>IF(V231="","",IF(VLOOKUP(V231,'G-7 Rivers Data'!$AG$4:$AI$9,2,FALSE)=0,"Spatial Data Missing ⚠",VLOOKUP(V231,'G-7 Rivers Data'!$AG$4:$AI$9,2,FALSE)))</f>
        <v/>
      </c>
      <c r="X231" s="499" t="str">
        <f>IF(V231="","",IF(VLOOKUP(V231,'G-7 Rivers Data'!$AG$4:$AI$9,3,FALSE)=0,"Spatial Data Missing ⚠",VLOOKUP(V231,'G-7 Rivers Data'!$AG$4:$AI$9,3,FALSE)))</f>
        <v/>
      </c>
      <c r="Y231" s="498" t="str">
        <f>IFERROR(IF(OR(LEFT(P231,5)="Error ▲",LEFT(O231,5)="Error ▲"),"Check Data ⚠",IF(F231&lt;S231,'G-7 Rivers Data'!$R$3,INDEX('G-7 Rivers Data'!$U$5:$Y$9,MATCH(G231,'G-7 Rivers Data'!$T$5:$T$9,0),MATCH(T231,'G-7 Rivers Data'!$U$4:$Y$4,0)))),"")</f>
        <v/>
      </c>
      <c r="Z231" s="195"/>
      <c r="AA231" s="195"/>
      <c r="AB231" s="507" t="str">
        <f t="shared" si="27"/>
        <v/>
      </c>
      <c r="AC231" s="521" t="str">
        <f t="shared" si="28"/>
        <v/>
      </c>
      <c r="AD231" s="564" t="str">
        <f>IFERROR(IF(AC231="Check Data ⚠","Check Data ⚠",VLOOKUP(AC231,'G-4 Temporal multipliers'!$A$4:$C$37,3,FALSE)),"")</f>
        <v/>
      </c>
      <c r="AE231" s="498" t="str">
        <f>IF(N231="","",VLOOKUP(N231,'G-7 Rivers Data'!$B$4:$G$8,5,FALSE))</f>
        <v/>
      </c>
      <c r="AF231" s="507" t="str">
        <f t="shared" si="29"/>
        <v/>
      </c>
      <c r="AG231" s="540" t="str">
        <f t="shared" si="30"/>
        <v/>
      </c>
      <c r="AH231" s="499" t="str">
        <f t="shared" si="24"/>
        <v/>
      </c>
      <c r="AI231" s="145"/>
      <c r="AJ231" s="499" t="str">
        <f>IF(AI231="","",IF(VLOOKUP(AI231,'G-7 Rivers Data'!$AA$4:$AB$7,2,FALSE)=0,"Spatial Data Missing ⚠",VLOOKUP(AI231,'G-7 Rivers Data'!$AA$4:$AB$7,2,FALSE)))</f>
        <v/>
      </c>
      <c r="AK231" s="155"/>
      <c r="AL231" s="499" t="str">
        <f>IF(AK231="","",IF(VLOOKUP(AK231,'G-7 Rivers Data'!$AD$4:$AE$8,2,FALSE)=0,"Spatial Data Missing ⚠",VLOOKUP(AK231,'G-7 Rivers Data'!$AD$4:$AE$8,2,FALSE)))</f>
        <v/>
      </c>
      <c r="AM231" s="545" t="str">
        <f t="shared" si="31"/>
        <v/>
      </c>
      <c r="AN231" s="149"/>
      <c r="AO231" s="150"/>
      <c r="AV231" s="31" t="str">
        <f>IFERROR(INDEX('G-7 Rivers Data'!$AZ$3:$AZ$7,MATCH(N231,'G-7 Rivers Data'!$AY$3:$AY$7,0)),"")</f>
        <v/>
      </c>
    </row>
    <row r="232" spans="2:48" ht="14" x14ac:dyDescent="0.3">
      <c r="B232" s="531" t="str">
        <f>'C-1 Site River Baseline'!AN230</f>
        <v/>
      </c>
      <c r="C232" s="520" t="str">
        <f>IF(B232="","",VLOOKUP($B232,'C-1 Site River Baseline'!$C$9:$R$257,2,FALSE))</f>
        <v/>
      </c>
      <c r="D232" s="520" t="str">
        <f>IF(C232="","",VLOOKUP($B232,'C-1 Site River Baseline'!$C$9:$R$257,3,FALSE))</f>
        <v/>
      </c>
      <c r="E232" s="520" t="str">
        <f>IF(D232="","",VLOOKUP($B232,'C-1 Site River Baseline'!$C$9:$R$257,4,FALSE))</f>
        <v/>
      </c>
      <c r="F232" s="520" t="str">
        <f>IF(E232="","",VLOOKUP($B232,'C-1 Site River Baseline'!$C$9:$R$257,5,FALSE))</f>
        <v/>
      </c>
      <c r="G232" s="520" t="str">
        <f>IF(F232="","",VLOOKUP($B232,'C-1 Site River Baseline'!$C$9:$R$257,6,FALSE))</f>
        <v/>
      </c>
      <c r="H232" s="520" t="str">
        <f>IF(G232="","",VLOOKUP($B232,'C-1 Site River Baseline'!$C$9:$R$257,7,FALSE))</f>
        <v/>
      </c>
      <c r="I232" s="520" t="str">
        <f>IF(H232="","",VLOOKUP($B232,'C-1 Site River Baseline'!$C$9:$R$257,8,FALSE))</f>
        <v/>
      </c>
      <c r="J232" s="520" t="str">
        <f>IF(I232="","",VLOOKUP($B232,'C-1 Site River Baseline'!$C$9:$R$257,9,FALSE))</f>
        <v/>
      </c>
      <c r="K232" s="520" t="str">
        <f>IF(J232="","",VLOOKUP($B232,'C-1 Site River Baseline'!$C$9:$R$257,10,FALSE))</f>
        <v/>
      </c>
      <c r="L232" s="520" t="str">
        <f>IF(B232="","",VLOOKUP($B232,'C-1 Site River Baseline'!$C$9:$R$257,15,FALSE))</f>
        <v/>
      </c>
      <c r="M232" s="524" t="str">
        <f>IF(L232="","",VLOOKUP($B232,'C-1 Site River Baseline'!$C$9:$R$257,16,FALSE))</f>
        <v/>
      </c>
      <c r="N232" s="418" t="str">
        <f t="shared" si="25"/>
        <v/>
      </c>
      <c r="O232" s="498" t="str">
        <f t="shared" si="26"/>
        <v/>
      </c>
      <c r="P232" s="499" t="str">
        <f>IF(C232="","",IF(AND(LEFT(C232,55)&lt;&gt;LEFT(N232,55),O232="High - High"),"Error - Not like for like ▲",IF(AND(F232=S232,H232&gt;U232),"Error - Can not reduce condition ▲",IF(AND(F232=S232,H232=U232,AJ232='C-1 Site River Baseline'!N230,'C-1 Site River Baseline'!P230=AL232),"Error - No enhancement ▲",IF(AND(C232&lt;&gt;N232,F232&lt;S232),"Lower Distinctiveness Habitat"&amp;" - "&amp;T232,G232&amp;" - "&amp;T232)))))</f>
        <v/>
      </c>
      <c r="Q232" s="567" t="str">
        <f>IF(N232="","",VLOOKUP(B232,'C-1 Site River Baseline'!$C$10:$AA$257,19,FALSE))</f>
        <v/>
      </c>
      <c r="R232" s="498" t="str">
        <f>IF(N232="","",VLOOKUP(N232,'G-7 Rivers Data'!$B$2:$G$8,2,FALSE))</f>
        <v/>
      </c>
      <c r="S232" s="499" t="str">
        <f>IFERROR(VLOOKUP(R232,'G-7 Rivers Data'!$C$4:$D$8,2,FALSE),"")</f>
        <v/>
      </c>
      <c r="T232" s="145"/>
      <c r="U232" s="499" t="str">
        <f>IFERROR(INDEX('G-7 Rivers Data'!$H$4:$L$8,MATCH(N232,'G-7 Rivers Data'!$B$4:$B$8,0),MATCH(T232,'G-7 Rivers Data'!$H$3:$L$3,0)),"")</f>
        <v/>
      </c>
      <c r="V232" s="154"/>
      <c r="W232" s="507" t="str">
        <f>IF(V232="","",IF(VLOOKUP(V232,'G-7 Rivers Data'!$AG$4:$AI$9,2,FALSE)=0,"Spatial Data Missing ⚠",VLOOKUP(V232,'G-7 Rivers Data'!$AG$4:$AI$9,2,FALSE)))</f>
        <v/>
      </c>
      <c r="X232" s="499" t="str">
        <f>IF(V232="","",IF(VLOOKUP(V232,'G-7 Rivers Data'!$AG$4:$AI$9,3,FALSE)=0,"Spatial Data Missing ⚠",VLOOKUP(V232,'G-7 Rivers Data'!$AG$4:$AI$9,3,FALSE)))</f>
        <v/>
      </c>
      <c r="Y232" s="498" t="str">
        <f>IFERROR(IF(OR(LEFT(P232,5)="Error ▲",LEFT(O232,5)="Error ▲"),"Check Data ⚠",IF(F232&lt;S232,'G-7 Rivers Data'!$R$3,INDEX('G-7 Rivers Data'!$U$5:$Y$9,MATCH(G232,'G-7 Rivers Data'!$T$5:$T$9,0),MATCH(T232,'G-7 Rivers Data'!$U$4:$Y$4,0)))),"")</f>
        <v/>
      </c>
      <c r="Z232" s="195"/>
      <c r="AA232" s="195"/>
      <c r="AB232" s="507" t="str">
        <f t="shared" si="27"/>
        <v/>
      </c>
      <c r="AC232" s="521" t="str">
        <f t="shared" si="28"/>
        <v/>
      </c>
      <c r="AD232" s="564" t="str">
        <f>IFERROR(IF(AC232="Check Data ⚠","Check Data ⚠",VLOOKUP(AC232,'G-4 Temporal multipliers'!$A$4:$C$37,3,FALSE)),"")</f>
        <v/>
      </c>
      <c r="AE232" s="498" t="str">
        <f>IF(N232="","",VLOOKUP(N232,'G-7 Rivers Data'!$B$4:$G$8,5,FALSE))</f>
        <v/>
      </c>
      <c r="AF232" s="507" t="str">
        <f t="shared" si="29"/>
        <v/>
      </c>
      <c r="AG232" s="540" t="str">
        <f t="shared" si="30"/>
        <v/>
      </c>
      <c r="AH232" s="499" t="str">
        <f t="shared" si="24"/>
        <v/>
      </c>
      <c r="AI232" s="145"/>
      <c r="AJ232" s="499" t="str">
        <f>IF(AI232="","",IF(VLOOKUP(AI232,'G-7 Rivers Data'!$AA$4:$AB$7,2,FALSE)=0,"Spatial Data Missing ⚠",VLOOKUP(AI232,'G-7 Rivers Data'!$AA$4:$AB$7,2,FALSE)))</f>
        <v/>
      </c>
      <c r="AK232" s="155"/>
      <c r="AL232" s="499" t="str">
        <f>IF(AK232="","",IF(VLOOKUP(AK232,'G-7 Rivers Data'!$AD$4:$AE$8,2,FALSE)=0,"Spatial Data Missing ⚠",VLOOKUP(AK232,'G-7 Rivers Data'!$AD$4:$AE$8,2,FALSE)))</f>
        <v/>
      </c>
      <c r="AM232" s="545" t="str">
        <f t="shared" si="31"/>
        <v/>
      </c>
      <c r="AN232" s="149"/>
      <c r="AO232" s="150"/>
      <c r="AV232" s="31" t="str">
        <f>IFERROR(INDEX('G-7 Rivers Data'!$AZ$3:$AZ$7,MATCH(N232,'G-7 Rivers Data'!$AY$3:$AY$7,0)),"")</f>
        <v/>
      </c>
    </row>
    <row r="233" spans="2:48" ht="14" x14ac:dyDescent="0.3">
      <c r="B233" s="531" t="str">
        <f>'C-1 Site River Baseline'!AN231</f>
        <v/>
      </c>
      <c r="C233" s="520" t="str">
        <f>IF(B233="","",VLOOKUP($B233,'C-1 Site River Baseline'!$C$9:$R$257,2,FALSE))</f>
        <v/>
      </c>
      <c r="D233" s="520" t="str">
        <f>IF(C233="","",VLOOKUP($B233,'C-1 Site River Baseline'!$C$9:$R$257,3,FALSE))</f>
        <v/>
      </c>
      <c r="E233" s="520" t="str">
        <f>IF(D233="","",VLOOKUP($B233,'C-1 Site River Baseline'!$C$9:$R$257,4,FALSE))</f>
        <v/>
      </c>
      <c r="F233" s="520" t="str">
        <f>IF(E233="","",VLOOKUP($B233,'C-1 Site River Baseline'!$C$9:$R$257,5,FALSE))</f>
        <v/>
      </c>
      <c r="G233" s="520" t="str">
        <f>IF(F233="","",VLOOKUP($B233,'C-1 Site River Baseline'!$C$9:$R$257,6,FALSE))</f>
        <v/>
      </c>
      <c r="H233" s="520" t="str">
        <f>IF(G233="","",VLOOKUP($B233,'C-1 Site River Baseline'!$C$9:$R$257,7,FALSE))</f>
        <v/>
      </c>
      <c r="I233" s="520" t="str">
        <f>IF(H233="","",VLOOKUP($B233,'C-1 Site River Baseline'!$C$9:$R$257,8,FALSE))</f>
        <v/>
      </c>
      <c r="J233" s="520" t="str">
        <f>IF(I233="","",VLOOKUP($B233,'C-1 Site River Baseline'!$C$9:$R$257,9,FALSE))</f>
        <v/>
      </c>
      <c r="K233" s="520" t="str">
        <f>IF(J233="","",VLOOKUP($B233,'C-1 Site River Baseline'!$C$9:$R$257,10,FALSE))</f>
        <v/>
      </c>
      <c r="L233" s="520" t="str">
        <f>IF(B233="","",VLOOKUP($B233,'C-1 Site River Baseline'!$C$9:$R$257,15,FALSE))</f>
        <v/>
      </c>
      <c r="M233" s="524" t="str">
        <f>IF(L233="","",VLOOKUP($B233,'C-1 Site River Baseline'!$C$9:$R$257,16,FALSE))</f>
        <v/>
      </c>
      <c r="N233" s="418" t="str">
        <f t="shared" si="25"/>
        <v/>
      </c>
      <c r="O233" s="498" t="str">
        <f t="shared" si="26"/>
        <v/>
      </c>
      <c r="P233" s="499" t="str">
        <f>IF(C233="","",IF(AND(LEFT(C233,55)&lt;&gt;LEFT(N233,55),O233="High - High"),"Error - Not like for like ▲",IF(AND(F233=S233,H233&gt;U233),"Error - Can not reduce condition ▲",IF(AND(F233=S233,H233=U233,AJ233='C-1 Site River Baseline'!N231,'C-1 Site River Baseline'!P231=AL233),"Error - No enhancement ▲",IF(AND(C233&lt;&gt;N233,F233&lt;S233),"Lower Distinctiveness Habitat"&amp;" - "&amp;T233,G233&amp;" - "&amp;T233)))))</f>
        <v/>
      </c>
      <c r="Q233" s="567" t="str">
        <f>IF(N233="","",VLOOKUP(B233,'C-1 Site River Baseline'!$C$10:$AA$257,19,FALSE))</f>
        <v/>
      </c>
      <c r="R233" s="498" t="str">
        <f>IF(N233="","",VLOOKUP(N233,'G-7 Rivers Data'!$B$2:$G$8,2,FALSE))</f>
        <v/>
      </c>
      <c r="S233" s="499" t="str">
        <f>IFERROR(VLOOKUP(R233,'G-7 Rivers Data'!$C$4:$D$8,2,FALSE),"")</f>
        <v/>
      </c>
      <c r="T233" s="145"/>
      <c r="U233" s="499" t="str">
        <f>IFERROR(INDEX('G-7 Rivers Data'!$H$4:$L$8,MATCH(N233,'G-7 Rivers Data'!$B$4:$B$8,0),MATCH(T233,'G-7 Rivers Data'!$H$3:$L$3,0)),"")</f>
        <v/>
      </c>
      <c r="V233" s="154"/>
      <c r="W233" s="507" t="str">
        <f>IF(V233="","",IF(VLOOKUP(V233,'G-7 Rivers Data'!$AG$4:$AI$9,2,FALSE)=0,"Spatial Data Missing ⚠",VLOOKUP(V233,'G-7 Rivers Data'!$AG$4:$AI$9,2,FALSE)))</f>
        <v/>
      </c>
      <c r="X233" s="499" t="str">
        <f>IF(V233="","",IF(VLOOKUP(V233,'G-7 Rivers Data'!$AG$4:$AI$9,3,FALSE)=0,"Spatial Data Missing ⚠",VLOOKUP(V233,'G-7 Rivers Data'!$AG$4:$AI$9,3,FALSE)))</f>
        <v/>
      </c>
      <c r="Y233" s="498" t="str">
        <f>IFERROR(IF(OR(LEFT(P233,5)="Error ▲",LEFT(O233,5)="Error ▲"),"Check Data ⚠",IF(F233&lt;S233,'G-7 Rivers Data'!$R$3,INDEX('G-7 Rivers Data'!$U$5:$Y$9,MATCH(G233,'G-7 Rivers Data'!$T$5:$T$9,0),MATCH(T233,'G-7 Rivers Data'!$U$4:$Y$4,0)))),"")</f>
        <v/>
      </c>
      <c r="Z233" s="195"/>
      <c r="AA233" s="195"/>
      <c r="AB233" s="507" t="str">
        <f t="shared" si="27"/>
        <v/>
      </c>
      <c r="AC233" s="521" t="str">
        <f t="shared" si="28"/>
        <v/>
      </c>
      <c r="AD233" s="564" t="str">
        <f>IFERROR(IF(AC233="Check Data ⚠","Check Data ⚠",VLOOKUP(AC233,'G-4 Temporal multipliers'!$A$4:$C$37,3,FALSE)),"")</f>
        <v/>
      </c>
      <c r="AE233" s="498" t="str">
        <f>IF(N233="","",VLOOKUP(N233,'G-7 Rivers Data'!$B$4:$G$8,5,FALSE))</f>
        <v/>
      </c>
      <c r="AF233" s="507" t="str">
        <f t="shared" si="29"/>
        <v/>
      </c>
      <c r="AG233" s="540" t="str">
        <f t="shared" si="30"/>
        <v/>
      </c>
      <c r="AH233" s="499" t="str">
        <f t="shared" si="24"/>
        <v/>
      </c>
      <c r="AI233" s="145"/>
      <c r="AJ233" s="499" t="str">
        <f>IF(AI233="","",IF(VLOOKUP(AI233,'G-7 Rivers Data'!$AA$4:$AB$7,2,FALSE)=0,"Spatial Data Missing ⚠",VLOOKUP(AI233,'G-7 Rivers Data'!$AA$4:$AB$7,2,FALSE)))</f>
        <v/>
      </c>
      <c r="AK233" s="155"/>
      <c r="AL233" s="499" t="str">
        <f>IF(AK233="","",IF(VLOOKUP(AK233,'G-7 Rivers Data'!$AD$4:$AE$8,2,FALSE)=0,"Spatial Data Missing ⚠",VLOOKUP(AK233,'G-7 Rivers Data'!$AD$4:$AE$8,2,FALSE)))</f>
        <v/>
      </c>
      <c r="AM233" s="545" t="str">
        <f t="shared" si="31"/>
        <v/>
      </c>
      <c r="AN233" s="149"/>
      <c r="AO233" s="150"/>
      <c r="AV233" s="31" t="str">
        <f>IFERROR(INDEX('G-7 Rivers Data'!$AZ$3:$AZ$7,MATCH(N233,'G-7 Rivers Data'!$AY$3:$AY$7,0)),"")</f>
        <v/>
      </c>
    </row>
    <row r="234" spans="2:48" ht="14" x14ac:dyDescent="0.3">
      <c r="B234" s="531" t="str">
        <f>'C-1 Site River Baseline'!AN232</f>
        <v/>
      </c>
      <c r="C234" s="520" t="str">
        <f>IF(B234="","",VLOOKUP($B234,'C-1 Site River Baseline'!$C$9:$R$257,2,FALSE))</f>
        <v/>
      </c>
      <c r="D234" s="520" t="str">
        <f>IF(C234="","",VLOOKUP($B234,'C-1 Site River Baseline'!$C$9:$R$257,3,FALSE))</f>
        <v/>
      </c>
      <c r="E234" s="520" t="str">
        <f>IF(D234="","",VLOOKUP($B234,'C-1 Site River Baseline'!$C$9:$R$257,4,FALSE))</f>
        <v/>
      </c>
      <c r="F234" s="520" t="str">
        <f>IF(E234="","",VLOOKUP($B234,'C-1 Site River Baseline'!$C$9:$R$257,5,FALSE))</f>
        <v/>
      </c>
      <c r="G234" s="520" t="str">
        <f>IF(F234="","",VLOOKUP($B234,'C-1 Site River Baseline'!$C$9:$R$257,6,FALSE))</f>
        <v/>
      </c>
      <c r="H234" s="520" t="str">
        <f>IF(G234="","",VLOOKUP($B234,'C-1 Site River Baseline'!$C$9:$R$257,7,FALSE))</f>
        <v/>
      </c>
      <c r="I234" s="520" t="str">
        <f>IF(H234="","",VLOOKUP($B234,'C-1 Site River Baseline'!$C$9:$R$257,8,FALSE))</f>
        <v/>
      </c>
      <c r="J234" s="520" t="str">
        <f>IF(I234="","",VLOOKUP($B234,'C-1 Site River Baseline'!$C$9:$R$257,9,FALSE))</f>
        <v/>
      </c>
      <c r="K234" s="520" t="str">
        <f>IF(J234="","",VLOOKUP($B234,'C-1 Site River Baseline'!$C$9:$R$257,10,FALSE))</f>
        <v/>
      </c>
      <c r="L234" s="520" t="str">
        <f>IF(B234="","",VLOOKUP($B234,'C-1 Site River Baseline'!$C$9:$R$257,15,FALSE))</f>
        <v/>
      </c>
      <c r="M234" s="524" t="str">
        <f>IF(L234="","",VLOOKUP($B234,'C-1 Site River Baseline'!$C$9:$R$257,16,FALSE))</f>
        <v/>
      </c>
      <c r="N234" s="418" t="str">
        <f t="shared" si="25"/>
        <v/>
      </c>
      <c r="O234" s="498" t="str">
        <f t="shared" si="26"/>
        <v/>
      </c>
      <c r="P234" s="499" t="str">
        <f>IF(C234="","",IF(AND(LEFT(C234,55)&lt;&gt;LEFT(N234,55),O234="High - High"),"Error - Not like for like ▲",IF(AND(F234=S234,H234&gt;U234),"Error - Can not reduce condition ▲",IF(AND(F234=S234,H234=U234,AJ234='C-1 Site River Baseline'!N232,'C-1 Site River Baseline'!P232=AL234),"Error - No enhancement ▲",IF(AND(C234&lt;&gt;N234,F234&lt;S234),"Lower Distinctiveness Habitat"&amp;" - "&amp;T234,G234&amp;" - "&amp;T234)))))</f>
        <v/>
      </c>
      <c r="Q234" s="567" t="str">
        <f>IF(N234="","",VLOOKUP(B234,'C-1 Site River Baseline'!$C$10:$AA$257,19,FALSE))</f>
        <v/>
      </c>
      <c r="R234" s="498" t="str">
        <f>IF(N234="","",VLOOKUP(N234,'G-7 Rivers Data'!$B$2:$G$8,2,FALSE))</f>
        <v/>
      </c>
      <c r="S234" s="499" t="str">
        <f>IFERROR(VLOOKUP(R234,'G-7 Rivers Data'!$C$4:$D$8,2,FALSE),"")</f>
        <v/>
      </c>
      <c r="T234" s="145"/>
      <c r="U234" s="499" t="str">
        <f>IFERROR(INDEX('G-7 Rivers Data'!$H$4:$L$8,MATCH(N234,'G-7 Rivers Data'!$B$4:$B$8,0),MATCH(T234,'G-7 Rivers Data'!$H$3:$L$3,0)),"")</f>
        <v/>
      </c>
      <c r="V234" s="154"/>
      <c r="W234" s="507" t="str">
        <f>IF(V234="","",IF(VLOOKUP(V234,'G-7 Rivers Data'!$AG$4:$AI$9,2,FALSE)=0,"Spatial Data Missing ⚠",VLOOKUP(V234,'G-7 Rivers Data'!$AG$4:$AI$9,2,FALSE)))</f>
        <v/>
      </c>
      <c r="X234" s="499" t="str">
        <f>IF(V234="","",IF(VLOOKUP(V234,'G-7 Rivers Data'!$AG$4:$AI$9,3,FALSE)=0,"Spatial Data Missing ⚠",VLOOKUP(V234,'G-7 Rivers Data'!$AG$4:$AI$9,3,FALSE)))</f>
        <v/>
      </c>
      <c r="Y234" s="498" t="str">
        <f>IFERROR(IF(OR(LEFT(P234,5)="Error ▲",LEFT(O234,5)="Error ▲"),"Check Data ⚠",IF(F234&lt;S234,'G-7 Rivers Data'!$R$3,INDEX('G-7 Rivers Data'!$U$5:$Y$9,MATCH(G234,'G-7 Rivers Data'!$T$5:$T$9,0),MATCH(T234,'G-7 Rivers Data'!$U$4:$Y$4,0)))),"")</f>
        <v/>
      </c>
      <c r="Z234" s="195"/>
      <c r="AA234" s="195"/>
      <c r="AB234" s="507" t="str">
        <f t="shared" si="27"/>
        <v/>
      </c>
      <c r="AC234" s="521" t="str">
        <f t="shared" si="28"/>
        <v/>
      </c>
      <c r="AD234" s="564" t="str">
        <f>IFERROR(IF(AC234="Check Data ⚠","Check Data ⚠",VLOOKUP(AC234,'G-4 Temporal multipliers'!$A$4:$C$37,3,FALSE)),"")</f>
        <v/>
      </c>
      <c r="AE234" s="498" t="str">
        <f>IF(N234="","",VLOOKUP(N234,'G-7 Rivers Data'!$B$4:$G$8,5,FALSE))</f>
        <v/>
      </c>
      <c r="AF234" s="507" t="str">
        <f t="shared" si="29"/>
        <v/>
      </c>
      <c r="AG234" s="540" t="str">
        <f t="shared" si="30"/>
        <v/>
      </c>
      <c r="AH234" s="499" t="str">
        <f t="shared" si="24"/>
        <v/>
      </c>
      <c r="AI234" s="145"/>
      <c r="AJ234" s="499" t="str">
        <f>IF(AI234="","",IF(VLOOKUP(AI234,'G-7 Rivers Data'!$AA$4:$AB$7,2,FALSE)=0,"Spatial Data Missing ⚠",VLOOKUP(AI234,'G-7 Rivers Data'!$AA$4:$AB$7,2,FALSE)))</f>
        <v/>
      </c>
      <c r="AK234" s="155"/>
      <c r="AL234" s="499" t="str">
        <f>IF(AK234="","",IF(VLOOKUP(AK234,'G-7 Rivers Data'!$AD$4:$AE$8,2,FALSE)=0,"Spatial Data Missing ⚠",VLOOKUP(AK234,'G-7 Rivers Data'!$AD$4:$AE$8,2,FALSE)))</f>
        <v/>
      </c>
      <c r="AM234" s="545" t="str">
        <f t="shared" si="31"/>
        <v/>
      </c>
      <c r="AN234" s="149"/>
      <c r="AO234" s="150"/>
      <c r="AV234" s="31" t="str">
        <f>IFERROR(INDEX('G-7 Rivers Data'!$AZ$3:$AZ$7,MATCH(N234,'G-7 Rivers Data'!$AY$3:$AY$7,0)),"")</f>
        <v/>
      </c>
    </row>
    <row r="235" spans="2:48" ht="14" x14ac:dyDescent="0.3">
      <c r="B235" s="531" t="str">
        <f>'C-1 Site River Baseline'!AN233</f>
        <v/>
      </c>
      <c r="C235" s="520" t="str">
        <f>IF(B235="","",VLOOKUP($B235,'C-1 Site River Baseline'!$C$9:$R$257,2,FALSE))</f>
        <v/>
      </c>
      <c r="D235" s="520" t="str">
        <f>IF(C235="","",VLOOKUP($B235,'C-1 Site River Baseline'!$C$9:$R$257,3,FALSE))</f>
        <v/>
      </c>
      <c r="E235" s="520" t="str">
        <f>IF(D235="","",VLOOKUP($B235,'C-1 Site River Baseline'!$C$9:$R$257,4,FALSE))</f>
        <v/>
      </c>
      <c r="F235" s="520" t="str">
        <f>IF(E235="","",VLOOKUP($B235,'C-1 Site River Baseline'!$C$9:$R$257,5,FALSE))</f>
        <v/>
      </c>
      <c r="G235" s="520" t="str">
        <f>IF(F235="","",VLOOKUP($B235,'C-1 Site River Baseline'!$C$9:$R$257,6,FALSE))</f>
        <v/>
      </c>
      <c r="H235" s="520" t="str">
        <f>IF(G235="","",VLOOKUP($B235,'C-1 Site River Baseline'!$C$9:$R$257,7,FALSE))</f>
        <v/>
      </c>
      <c r="I235" s="520" t="str">
        <f>IF(H235="","",VLOOKUP($B235,'C-1 Site River Baseline'!$C$9:$R$257,8,FALSE))</f>
        <v/>
      </c>
      <c r="J235" s="520" t="str">
        <f>IF(I235="","",VLOOKUP($B235,'C-1 Site River Baseline'!$C$9:$R$257,9,FALSE))</f>
        <v/>
      </c>
      <c r="K235" s="520" t="str">
        <f>IF(J235="","",VLOOKUP($B235,'C-1 Site River Baseline'!$C$9:$R$257,10,FALSE))</f>
        <v/>
      </c>
      <c r="L235" s="520" t="str">
        <f>IF(B235="","",VLOOKUP($B235,'C-1 Site River Baseline'!$C$9:$R$257,15,FALSE))</f>
        <v/>
      </c>
      <c r="M235" s="524" t="str">
        <f>IF(L235="","",VLOOKUP($B235,'C-1 Site River Baseline'!$C$9:$R$257,16,FALSE))</f>
        <v/>
      </c>
      <c r="N235" s="418" t="str">
        <f t="shared" si="25"/>
        <v/>
      </c>
      <c r="O235" s="498" t="str">
        <f t="shared" si="26"/>
        <v/>
      </c>
      <c r="P235" s="499" t="str">
        <f>IF(C235="","",IF(AND(LEFT(C235,55)&lt;&gt;LEFT(N235,55),O235="High - High"),"Error - Not like for like ▲",IF(AND(F235=S235,H235&gt;U235),"Error - Can not reduce condition ▲",IF(AND(F235=S235,H235=U235,AJ235='C-1 Site River Baseline'!N233,'C-1 Site River Baseline'!P233=AL235),"Error - No enhancement ▲",IF(AND(C235&lt;&gt;N235,F235&lt;S235),"Lower Distinctiveness Habitat"&amp;" - "&amp;T235,G235&amp;" - "&amp;T235)))))</f>
        <v/>
      </c>
      <c r="Q235" s="567" t="str">
        <f>IF(N235="","",VLOOKUP(B235,'C-1 Site River Baseline'!$C$10:$AA$257,19,FALSE))</f>
        <v/>
      </c>
      <c r="R235" s="498" t="str">
        <f>IF(N235="","",VLOOKUP(N235,'G-7 Rivers Data'!$B$2:$G$8,2,FALSE))</f>
        <v/>
      </c>
      <c r="S235" s="499" t="str">
        <f>IFERROR(VLOOKUP(R235,'G-7 Rivers Data'!$C$4:$D$8,2,FALSE),"")</f>
        <v/>
      </c>
      <c r="T235" s="145"/>
      <c r="U235" s="499" t="str">
        <f>IFERROR(INDEX('G-7 Rivers Data'!$H$4:$L$8,MATCH(N235,'G-7 Rivers Data'!$B$4:$B$8,0),MATCH(T235,'G-7 Rivers Data'!$H$3:$L$3,0)),"")</f>
        <v/>
      </c>
      <c r="V235" s="154"/>
      <c r="W235" s="507" t="str">
        <f>IF(V235="","",IF(VLOOKUP(V235,'G-7 Rivers Data'!$AG$4:$AI$9,2,FALSE)=0,"Spatial Data Missing ⚠",VLOOKUP(V235,'G-7 Rivers Data'!$AG$4:$AI$9,2,FALSE)))</f>
        <v/>
      </c>
      <c r="X235" s="499" t="str">
        <f>IF(V235="","",IF(VLOOKUP(V235,'G-7 Rivers Data'!$AG$4:$AI$9,3,FALSE)=0,"Spatial Data Missing ⚠",VLOOKUP(V235,'G-7 Rivers Data'!$AG$4:$AI$9,3,FALSE)))</f>
        <v/>
      </c>
      <c r="Y235" s="498" t="str">
        <f>IFERROR(IF(OR(LEFT(P235,5)="Error ▲",LEFT(O235,5)="Error ▲"),"Check Data ⚠",IF(F235&lt;S235,'G-7 Rivers Data'!$R$3,INDEX('G-7 Rivers Data'!$U$5:$Y$9,MATCH(G235,'G-7 Rivers Data'!$T$5:$T$9,0),MATCH(T235,'G-7 Rivers Data'!$U$4:$Y$4,0)))),"")</f>
        <v/>
      </c>
      <c r="Z235" s="195"/>
      <c r="AA235" s="195"/>
      <c r="AB235" s="507" t="str">
        <f t="shared" si="27"/>
        <v/>
      </c>
      <c r="AC235" s="521" t="str">
        <f t="shared" si="28"/>
        <v/>
      </c>
      <c r="AD235" s="564" t="str">
        <f>IFERROR(IF(AC235="Check Data ⚠","Check Data ⚠",VLOOKUP(AC235,'G-4 Temporal multipliers'!$A$4:$C$37,3,FALSE)),"")</f>
        <v/>
      </c>
      <c r="AE235" s="498" t="str">
        <f>IF(N235="","",VLOOKUP(N235,'G-7 Rivers Data'!$B$4:$G$8,5,FALSE))</f>
        <v/>
      </c>
      <c r="AF235" s="507" t="str">
        <f t="shared" si="29"/>
        <v/>
      </c>
      <c r="AG235" s="540" t="str">
        <f t="shared" si="30"/>
        <v/>
      </c>
      <c r="AH235" s="499" t="str">
        <f t="shared" si="24"/>
        <v/>
      </c>
      <c r="AI235" s="145"/>
      <c r="AJ235" s="499" t="str">
        <f>IF(AI235="","",IF(VLOOKUP(AI235,'G-7 Rivers Data'!$AA$4:$AB$7,2,FALSE)=0,"Spatial Data Missing ⚠",VLOOKUP(AI235,'G-7 Rivers Data'!$AA$4:$AB$7,2,FALSE)))</f>
        <v/>
      </c>
      <c r="AK235" s="155"/>
      <c r="AL235" s="499" t="str">
        <f>IF(AK235="","",IF(VLOOKUP(AK235,'G-7 Rivers Data'!$AD$4:$AE$8,2,FALSE)=0,"Spatial Data Missing ⚠",VLOOKUP(AK235,'G-7 Rivers Data'!$AD$4:$AE$8,2,FALSE)))</f>
        <v/>
      </c>
      <c r="AM235" s="545" t="str">
        <f t="shared" si="31"/>
        <v/>
      </c>
      <c r="AN235" s="149"/>
      <c r="AO235" s="150"/>
      <c r="AV235" s="31" t="str">
        <f>IFERROR(INDEX('G-7 Rivers Data'!$AZ$3:$AZ$7,MATCH(N235,'G-7 Rivers Data'!$AY$3:$AY$7,0)),"")</f>
        <v/>
      </c>
    </row>
    <row r="236" spans="2:48" ht="14" x14ac:dyDescent="0.3">
      <c r="B236" s="531" t="str">
        <f>'C-1 Site River Baseline'!AN234</f>
        <v/>
      </c>
      <c r="C236" s="520" t="str">
        <f>IF(B236="","",VLOOKUP($B236,'C-1 Site River Baseline'!$C$9:$R$257,2,FALSE))</f>
        <v/>
      </c>
      <c r="D236" s="520" t="str">
        <f>IF(C236="","",VLOOKUP($B236,'C-1 Site River Baseline'!$C$9:$R$257,3,FALSE))</f>
        <v/>
      </c>
      <c r="E236" s="520" t="str">
        <f>IF(D236="","",VLOOKUP($B236,'C-1 Site River Baseline'!$C$9:$R$257,4,FALSE))</f>
        <v/>
      </c>
      <c r="F236" s="520" t="str">
        <f>IF(E236="","",VLOOKUP($B236,'C-1 Site River Baseline'!$C$9:$R$257,5,FALSE))</f>
        <v/>
      </c>
      <c r="G236" s="520" t="str">
        <f>IF(F236="","",VLOOKUP($B236,'C-1 Site River Baseline'!$C$9:$R$257,6,FALSE))</f>
        <v/>
      </c>
      <c r="H236" s="520" t="str">
        <f>IF(G236="","",VLOOKUP($B236,'C-1 Site River Baseline'!$C$9:$R$257,7,FALSE))</f>
        <v/>
      </c>
      <c r="I236" s="520" t="str">
        <f>IF(H236="","",VLOOKUP($B236,'C-1 Site River Baseline'!$C$9:$R$257,8,FALSE))</f>
        <v/>
      </c>
      <c r="J236" s="520" t="str">
        <f>IF(I236="","",VLOOKUP($B236,'C-1 Site River Baseline'!$C$9:$R$257,9,FALSE))</f>
        <v/>
      </c>
      <c r="K236" s="520" t="str">
        <f>IF(J236="","",VLOOKUP($B236,'C-1 Site River Baseline'!$C$9:$R$257,10,FALSE))</f>
        <v/>
      </c>
      <c r="L236" s="520" t="str">
        <f>IF(B236="","",VLOOKUP($B236,'C-1 Site River Baseline'!$C$9:$R$257,15,FALSE))</f>
        <v/>
      </c>
      <c r="M236" s="524" t="str">
        <f>IF(L236="","",VLOOKUP($B236,'C-1 Site River Baseline'!$C$9:$R$257,16,FALSE))</f>
        <v/>
      </c>
      <c r="N236" s="418" t="str">
        <f t="shared" si="25"/>
        <v/>
      </c>
      <c r="O236" s="498" t="str">
        <f t="shared" si="26"/>
        <v/>
      </c>
      <c r="P236" s="499" t="str">
        <f>IF(C236="","",IF(AND(LEFT(C236,55)&lt;&gt;LEFT(N236,55),O236="High - High"),"Error - Not like for like ▲",IF(AND(F236=S236,H236&gt;U236),"Error - Can not reduce condition ▲",IF(AND(F236=S236,H236=U236,AJ236='C-1 Site River Baseline'!N234,'C-1 Site River Baseline'!P234=AL236),"Error - No enhancement ▲",IF(AND(C236&lt;&gt;N236,F236&lt;S236),"Lower Distinctiveness Habitat"&amp;" - "&amp;T236,G236&amp;" - "&amp;T236)))))</f>
        <v/>
      </c>
      <c r="Q236" s="567" t="str">
        <f>IF(N236="","",VLOOKUP(B236,'C-1 Site River Baseline'!$C$10:$AA$257,19,FALSE))</f>
        <v/>
      </c>
      <c r="R236" s="498" t="str">
        <f>IF(N236="","",VLOOKUP(N236,'G-7 Rivers Data'!$B$2:$G$8,2,FALSE))</f>
        <v/>
      </c>
      <c r="S236" s="499" t="str">
        <f>IFERROR(VLOOKUP(R236,'G-7 Rivers Data'!$C$4:$D$8,2,FALSE),"")</f>
        <v/>
      </c>
      <c r="T236" s="145"/>
      <c r="U236" s="499" t="str">
        <f>IFERROR(INDEX('G-7 Rivers Data'!$H$4:$L$8,MATCH(N236,'G-7 Rivers Data'!$B$4:$B$8,0),MATCH(T236,'G-7 Rivers Data'!$H$3:$L$3,0)),"")</f>
        <v/>
      </c>
      <c r="V236" s="154"/>
      <c r="W236" s="507" t="str">
        <f>IF(V236="","",IF(VLOOKUP(V236,'G-7 Rivers Data'!$AG$4:$AI$9,2,FALSE)=0,"Spatial Data Missing ⚠",VLOOKUP(V236,'G-7 Rivers Data'!$AG$4:$AI$9,2,FALSE)))</f>
        <v/>
      </c>
      <c r="X236" s="499" t="str">
        <f>IF(V236="","",IF(VLOOKUP(V236,'G-7 Rivers Data'!$AG$4:$AI$9,3,FALSE)=0,"Spatial Data Missing ⚠",VLOOKUP(V236,'G-7 Rivers Data'!$AG$4:$AI$9,3,FALSE)))</f>
        <v/>
      </c>
      <c r="Y236" s="498" t="str">
        <f>IFERROR(IF(OR(LEFT(P236,5)="Error ▲",LEFT(O236,5)="Error ▲"),"Check Data ⚠",IF(F236&lt;S236,'G-7 Rivers Data'!$R$3,INDEX('G-7 Rivers Data'!$U$5:$Y$9,MATCH(G236,'G-7 Rivers Data'!$T$5:$T$9,0),MATCH(T236,'G-7 Rivers Data'!$U$4:$Y$4,0)))),"")</f>
        <v/>
      </c>
      <c r="Z236" s="195"/>
      <c r="AA236" s="195"/>
      <c r="AB236" s="507" t="str">
        <f t="shared" si="27"/>
        <v/>
      </c>
      <c r="AC236" s="521" t="str">
        <f t="shared" si="28"/>
        <v/>
      </c>
      <c r="AD236" s="564" t="str">
        <f>IFERROR(IF(AC236="Check Data ⚠","Check Data ⚠",VLOOKUP(AC236,'G-4 Temporal multipliers'!$A$4:$C$37,3,FALSE)),"")</f>
        <v/>
      </c>
      <c r="AE236" s="498" t="str">
        <f>IF(N236="","",VLOOKUP(N236,'G-7 Rivers Data'!$B$4:$G$8,5,FALSE))</f>
        <v/>
      </c>
      <c r="AF236" s="507" t="str">
        <f t="shared" si="29"/>
        <v/>
      </c>
      <c r="AG236" s="540" t="str">
        <f t="shared" si="30"/>
        <v/>
      </c>
      <c r="AH236" s="499" t="str">
        <f t="shared" si="24"/>
        <v/>
      </c>
      <c r="AI236" s="145"/>
      <c r="AJ236" s="499" t="str">
        <f>IF(AI236="","",IF(VLOOKUP(AI236,'G-7 Rivers Data'!$AA$4:$AB$7,2,FALSE)=0,"Spatial Data Missing ⚠",VLOOKUP(AI236,'G-7 Rivers Data'!$AA$4:$AB$7,2,FALSE)))</f>
        <v/>
      </c>
      <c r="AK236" s="155"/>
      <c r="AL236" s="499" t="str">
        <f>IF(AK236="","",IF(VLOOKUP(AK236,'G-7 Rivers Data'!$AD$4:$AE$8,2,FALSE)=0,"Spatial Data Missing ⚠",VLOOKUP(AK236,'G-7 Rivers Data'!$AD$4:$AE$8,2,FALSE)))</f>
        <v/>
      </c>
      <c r="AM236" s="545" t="str">
        <f t="shared" si="31"/>
        <v/>
      </c>
      <c r="AN236" s="149"/>
      <c r="AO236" s="150"/>
      <c r="AV236" s="31" t="str">
        <f>IFERROR(INDEX('G-7 Rivers Data'!$AZ$3:$AZ$7,MATCH(N236,'G-7 Rivers Data'!$AY$3:$AY$7,0)),"")</f>
        <v/>
      </c>
    </row>
    <row r="237" spans="2:48" ht="14" x14ac:dyDescent="0.3">
      <c r="B237" s="531" t="str">
        <f>'C-1 Site River Baseline'!AN235</f>
        <v/>
      </c>
      <c r="C237" s="520" t="str">
        <f>IF(B237="","",VLOOKUP($B237,'C-1 Site River Baseline'!$C$9:$R$257,2,FALSE))</f>
        <v/>
      </c>
      <c r="D237" s="520" t="str">
        <f>IF(C237="","",VLOOKUP($B237,'C-1 Site River Baseline'!$C$9:$R$257,3,FALSE))</f>
        <v/>
      </c>
      <c r="E237" s="520" t="str">
        <f>IF(D237="","",VLOOKUP($B237,'C-1 Site River Baseline'!$C$9:$R$257,4,FALSE))</f>
        <v/>
      </c>
      <c r="F237" s="520" t="str">
        <f>IF(E237="","",VLOOKUP($B237,'C-1 Site River Baseline'!$C$9:$R$257,5,FALSE))</f>
        <v/>
      </c>
      <c r="G237" s="520" t="str">
        <f>IF(F237="","",VLOOKUP($B237,'C-1 Site River Baseline'!$C$9:$R$257,6,FALSE))</f>
        <v/>
      </c>
      <c r="H237" s="520" t="str">
        <f>IF(G237="","",VLOOKUP($B237,'C-1 Site River Baseline'!$C$9:$R$257,7,FALSE))</f>
        <v/>
      </c>
      <c r="I237" s="520" t="str">
        <f>IF(H237="","",VLOOKUP($B237,'C-1 Site River Baseline'!$C$9:$R$257,8,FALSE))</f>
        <v/>
      </c>
      <c r="J237" s="520" t="str">
        <f>IF(I237="","",VLOOKUP($B237,'C-1 Site River Baseline'!$C$9:$R$257,9,FALSE))</f>
        <v/>
      </c>
      <c r="K237" s="520" t="str">
        <f>IF(J237="","",VLOOKUP($B237,'C-1 Site River Baseline'!$C$9:$R$257,10,FALSE))</f>
        <v/>
      </c>
      <c r="L237" s="520" t="str">
        <f>IF(B237="","",VLOOKUP($B237,'C-1 Site River Baseline'!$C$9:$R$257,15,FALSE))</f>
        <v/>
      </c>
      <c r="M237" s="524" t="str">
        <f>IF(L237="","",VLOOKUP($B237,'C-1 Site River Baseline'!$C$9:$R$257,16,FALSE))</f>
        <v/>
      </c>
      <c r="N237" s="418" t="str">
        <f t="shared" si="25"/>
        <v/>
      </c>
      <c r="O237" s="498" t="str">
        <f t="shared" si="26"/>
        <v/>
      </c>
      <c r="P237" s="499" t="str">
        <f>IF(C237="","",IF(AND(LEFT(C237,55)&lt;&gt;LEFT(N237,55),O237="High - High"),"Error - Not like for like ▲",IF(AND(F237=S237,H237&gt;U237),"Error - Can not reduce condition ▲",IF(AND(F237=S237,H237=U237,AJ237='C-1 Site River Baseline'!N235,'C-1 Site River Baseline'!P235=AL237),"Error - No enhancement ▲",IF(AND(C237&lt;&gt;N237,F237&lt;S237),"Lower Distinctiveness Habitat"&amp;" - "&amp;T237,G237&amp;" - "&amp;T237)))))</f>
        <v/>
      </c>
      <c r="Q237" s="567" t="str">
        <f>IF(N237="","",VLOOKUP(B237,'C-1 Site River Baseline'!$C$10:$AA$257,19,FALSE))</f>
        <v/>
      </c>
      <c r="R237" s="498" t="str">
        <f>IF(N237="","",VLOOKUP(N237,'G-7 Rivers Data'!$B$2:$G$8,2,FALSE))</f>
        <v/>
      </c>
      <c r="S237" s="499" t="str">
        <f>IFERROR(VLOOKUP(R237,'G-7 Rivers Data'!$C$4:$D$8,2,FALSE),"")</f>
        <v/>
      </c>
      <c r="T237" s="145"/>
      <c r="U237" s="499" t="str">
        <f>IFERROR(INDEX('G-7 Rivers Data'!$H$4:$L$8,MATCH(N237,'G-7 Rivers Data'!$B$4:$B$8,0),MATCH(T237,'G-7 Rivers Data'!$H$3:$L$3,0)),"")</f>
        <v/>
      </c>
      <c r="V237" s="154"/>
      <c r="W237" s="507" t="str">
        <f>IF(V237="","",IF(VLOOKUP(V237,'G-7 Rivers Data'!$AG$4:$AI$9,2,FALSE)=0,"Spatial Data Missing ⚠",VLOOKUP(V237,'G-7 Rivers Data'!$AG$4:$AI$9,2,FALSE)))</f>
        <v/>
      </c>
      <c r="X237" s="499" t="str">
        <f>IF(V237="","",IF(VLOOKUP(V237,'G-7 Rivers Data'!$AG$4:$AI$9,3,FALSE)=0,"Spatial Data Missing ⚠",VLOOKUP(V237,'G-7 Rivers Data'!$AG$4:$AI$9,3,FALSE)))</f>
        <v/>
      </c>
      <c r="Y237" s="498" t="str">
        <f>IFERROR(IF(OR(LEFT(P237,5)="Error ▲",LEFT(O237,5)="Error ▲"),"Check Data ⚠",IF(F237&lt;S237,'G-7 Rivers Data'!$R$3,INDEX('G-7 Rivers Data'!$U$5:$Y$9,MATCH(G237,'G-7 Rivers Data'!$T$5:$T$9,0),MATCH(T237,'G-7 Rivers Data'!$U$4:$Y$4,0)))),"")</f>
        <v/>
      </c>
      <c r="Z237" s="195"/>
      <c r="AA237" s="195"/>
      <c r="AB237" s="507" t="str">
        <f t="shared" si="27"/>
        <v/>
      </c>
      <c r="AC237" s="521" t="str">
        <f t="shared" si="28"/>
        <v/>
      </c>
      <c r="AD237" s="564" t="str">
        <f>IFERROR(IF(AC237="Check Data ⚠","Check Data ⚠",VLOOKUP(AC237,'G-4 Temporal multipliers'!$A$4:$C$37,3,FALSE)),"")</f>
        <v/>
      </c>
      <c r="AE237" s="498" t="str">
        <f>IF(N237="","",VLOOKUP(N237,'G-7 Rivers Data'!$B$4:$G$8,5,FALSE))</f>
        <v/>
      </c>
      <c r="AF237" s="507" t="str">
        <f t="shared" si="29"/>
        <v/>
      </c>
      <c r="AG237" s="540" t="str">
        <f t="shared" si="30"/>
        <v/>
      </c>
      <c r="AH237" s="499" t="str">
        <f t="shared" si="24"/>
        <v/>
      </c>
      <c r="AI237" s="145"/>
      <c r="AJ237" s="499" t="str">
        <f>IF(AI237="","",IF(VLOOKUP(AI237,'G-7 Rivers Data'!$AA$4:$AB$7,2,FALSE)=0,"Spatial Data Missing ⚠",VLOOKUP(AI237,'G-7 Rivers Data'!$AA$4:$AB$7,2,FALSE)))</f>
        <v/>
      </c>
      <c r="AK237" s="155"/>
      <c r="AL237" s="499" t="str">
        <f>IF(AK237="","",IF(VLOOKUP(AK237,'G-7 Rivers Data'!$AD$4:$AE$8,2,FALSE)=0,"Spatial Data Missing ⚠",VLOOKUP(AK237,'G-7 Rivers Data'!$AD$4:$AE$8,2,FALSE)))</f>
        <v/>
      </c>
      <c r="AM237" s="545" t="str">
        <f t="shared" si="31"/>
        <v/>
      </c>
      <c r="AN237" s="149"/>
      <c r="AO237" s="150"/>
      <c r="AV237" s="31" t="str">
        <f>IFERROR(INDEX('G-7 Rivers Data'!$AZ$3:$AZ$7,MATCH(N237,'G-7 Rivers Data'!$AY$3:$AY$7,0)),"")</f>
        <v/>
      </c>
    </row>
    <row r="238" spans="2:48" ht="14" x14ac:dyDescent="0.3">
      <c r="B238" s="531" t="str">
        <f>'C-1 Site River Baseline'!AN236</f>
        <v/>
      </c>
      <c r="C238" s="520" t="str">
        <f>IF(B238="","",VLOOKUP($B238,'C-1 Site River Baseline'!$C$9:$R$257,2,FALSE))</f>
        <v/>
      </c>
      <c r="D238" s="520" t="str">
        <f>IF(C238="","",VLOOKUP($B238,'C-1 Site River Baseline'!$C$9:$R$257,3,FALSE))</f>
        <v/>
      </c>
      <c r="E238" s="520" t="str">
        <f>IF(D238="","",VLOOKUP($B238,'C-1 Site River Baseline'!$C$9:$R$257,4,FALSE))</f>
        <v/>
      </c>
      <c r="F238" s="520" t="str">
        <f>IF(E238="","",VLOOKUP($B238,'C-1 Site River Baseline'!$C$9:$R$257,5,FALSE))</f>
        <v/>
      </c>
      <c r="G238" s="520" t="str">
        <f>IF(F238="","",VLOOKUP($B238,'C-1 Site River Baseline'!$C$9:$R$257,6,FALSE))</f>
        <v/>
      </c>
      <c r="H238" s="520" t="str">
        <f>IF(G238="","",VLOOKUP($B238,'C-1 Site River Baseline'!$C$9:$R$257,7,FALSE))</f>
        <v/>
      </c>
      <c r="I238" s="520" t="str">
        <f>IF(H238="","",VLOOKUP($B238,'C-1 Site River Baseline'!$C$9:$R$257,8,FALSE))</f>
        <v/>
      </c>
      <c r="J238" s="520" t="str">
        <f>IF(I238="","",VLOOKUP($B238,'C-1 Site River Baseline'!$C$9:$R$257,9,FALSE))</f>
        <v/>
      </c>
      <c r="K238" s="520" t="str">
        <f>IF(J238="","",VLOOKUP($B238,'C-1 Site River Baseline'!$C$9:$R$257,10,FALSE))</f>
        <v/>
      </c>
      <c r="L238" s="520" t="str">
        <f>IF(B238="","",VLOOKUP($B238,'C-1 Site River Baseline'!$C$9:$R$257,15,FALSE))</f>
        <v/>
      </c>
      <c r="M238" s="524" t="str">
        <f>IF(L238="","",VLOOKUP($B238,'C-1 Site River Baseline'!$C$9:$R$257,16,FALSE))</f>
        <v/>
      </c>
      <c r="N238" s="418"/>
      <c r="O238" s="498" t="str">
        <f t="shared" si="26"/>
        <v/>
      </c>
      <c r="P238" s="499" t="str">
        <f>IF(C238="","",IF(AND(LEFT(C238,55)&lt;&gt;LEFT(N238,55),O238="High - High"),"Error - Not like for like ▲",IF(AND(F238=S238,H238&gt;U238),"Error - Can not reduce condition ▲",IF(AND(F238=S238,H238=U238,AJ238='C-1 Site River Baseline'!N236,'C-1 Site River Baseline'!P236=AL238),"Error - No enhancement ▲",IF(AND(C238&lt;&gt;N238,F238&lt;S238),"Lower Distinctiveness Habitat"&amp;" - "&amp;T238,G238&amp;" - "&amp;T238)))))</f>
        <v/>
      </c>
      <c r="Q238" s="567" t="str">
        <f>IF(N238="","",VLOOKUP(B238,'C-1 Site River Baseline'!$C$10:$AA$257,19,FALSE))</f>
        <v/>
      </c>
      <c r="R238" s="498" t="str">
        <f>IF(N238="","",VLOOKUP(N238,'G-7 Rivers Data'!$B$2:$G$8,2,FALSE))</f>
        <v/>
      </c>
      <c r="S238" s="499" t="str">
        <f>IFERROR(VLOOKUP(R238,'G-7 Rivers Data'!$C$4:$D$8,2,FALSE),"")</f>
        <v/>
      </c>
      <c r="T238" s="145"/>
      <c r="U238" s="499" t="str">
        <f>IFERROR(INDEX('G-7 Rivers Data'!$H$4:$L$8,MATCH(N238,'G-7 Rivers Data'!$B$4:$B$8,0),MATCH(T238,'G-7 Rivers Data'!$H$3:$L$3,0)),"")</f>
        <v/>
      </c>
      <c r="V238" s="154"/>
      <c r="W238" s="507" t="str">
        <f>IF(V238="","",IF(VLOOKUP(V238,'G-7 Rivers Data'!$AG$4:$AI$9,2,FALSE)=0,"Spatial Data Missing ⚠",VLOOKUP(V238,'G-7 Rivers Data'!$AG$4:$AI$9,2,FALSE)))</f>
        <v/>
      </c>
      <c r="X238" s="499" t="str">
        <f>IF(V238="","",IF(VLOOKUP(V238,'G-7 Rivers Data'!$AG$4:$AI$9,3,FALSE)=0,"Spatial Data Missing ⚠",VLOOKUP(V238,'G-7 Rivers Data'!$AG$4:$AI$9,3,FALSE)))</f>
        <v/>
      </c>
      <c r="Y238" s="498" t="str">
        <f>IFERROR(IF(OR(LEFT(P238,5)="Error ▲",LEFT(O238,5)="Error ▲"),"Check Data ⚠",IF(F238&lt;S238,'G-7 Rivers Data'!$R$3,INDEX('G-7 Rivers Data'!$U$5:$Y$9,MATCH(G238,'G-7 Rivers Data'!$T$5:$T$9,0),MATCH(T238,'G-7 Rivers Data'!$U$4:$Y$4,0)))),"")</f>
        <v/>
      </c>
      <c r="Z238" s="195"/>
      <c r="AA238" s="195"/>
      <c r="AB238" s="507" t="str">
        <f t="shared" si="27"/>
        <v/>
      </c>
      <c r="AC238" s="521" t="str">
        <f t="shared" si="28"/>
        <v/>
      </c>
      <c r="AD238" s="564" t="str">
        <f>IFERROR(IF(AC238="Check Data ⚠","Check Data ⚠",VLOOKUP(AC238,'G-4 Temporal multipliers'!$A$4:$C$37,3,FALSE)),"")</f>
        <v/>
      </c>
      <c r="AE238" s="498" t="str">
        <f>IF(N238="","",VLOOKUP(N238,'G-7 Rivers Data'!$B$4:$G$8,5,FALSE))</f>
        <v/>
      </c>
      <c r="AF238" s="507" t="str">
        <f t="shared" si="29"/>
        <v/>
      </c>
      <c r="AG238" s="540" t="str">
        <f t="shared" si="30"/>
        <v/>
      </c>
      <c r="AH238" s="499" t="str">
        <f t="shared" si="24"/>
        <v/>
      </c>
      <c r="AI238" s="145"/>
      <c r="AJ238" s="499" t="str">
        <f>IF(AI238="","",IF(VLOOKUP(AI238,'G-7 Rivers Data'!$AA$4:$AB$7,2,FALSE)=0,"Spatial Data Missing ⚠",VLOOKUP(AI238,'G-7 Rivers Data'!$AA$4:$AB$7,2,FALSE)))</f>
        <v/>
      </c>
      <c r="AK238" s="155"/>
      <c r="AL238" s="499" t="str">
        <f>IF(AK238="","",IF(VLOOKUP(AK238,'G-7 Rivers Data'!$AD$4:$AE$8,2,FALSE)=0,"Spatial Data Missing ⚠",VLOOKUP(AK238,'G-7 Rivers Data'!$AD$4:$AE$8,2,FALSE)))</f>
        <v/>
      </c>
      <c r="AM238" s="545" t="str">
        <f t="shared" si="31"/>
        <v/>
      </c>
      <c r="AN238" s="149"/>
      <c r="AO238" s="150"/>
      <c r="AV238" s="31" t="str">
        <f>IFERROR(INDEX('G-7 Rivers Data'!$AZ$3:$AZ$7,MATCH(N238,'G-7 Rivers Data'!$AY$3:$AY$7,0)),"")</f>
        <v/>
      </c>
    </row>
    <row r="239" spans="2:48" ht="14" x14ac:dyDescent="0.3">
      <c r="B239" s="531" t="str">
        <f>'C-1 Site River Baseline'!AN237</f>
        <v/>
      </c>
      <c r="C239" s="520" t="str">
        <f>IF(B239="","",VLOOKUP($B239,'C-1 Site River Baseline'!$C$9:$R$257,2,FALSE))</f>
        <v/>
      </c>
      <c r="D239" s="520" t="str">
        <f>IF(C239="","",VLOOKUP($B239,'C-1 Site River Baseline'!$C$9:$R$257,3,FALSE))</f>
        <v/>
      </c>
      <c r="E239" s="520" t="str">
        <f>IF(D239="","",VLOOKUP($B239,'C-1 Site River Baseline'!$C$9:$R$257,4,FALSE))</f>
        <v/>
      </c>
      <c r="F239" s="520" t="str">
        <f>IF(E239="","",VLOOKUP($B239,'C-1 Site River Baseline'!$C$9:$R$257,5,FALSE))</f>
        <v/>
      </c>
      <c r="G239" s="520" t="str">
        <f>IF(F239="","",VLOOKUP($B239,'C-1 Site River Baseline'!$C$9:$R$257,6,FALSE))</f>
        <v/>
      </c>
      <c r="H239" s="520" t="str">
        <f>IF(G239="","",VLOOKUP($B239,'C-1 Site River Baseline'!$C$9:$R$257,7,FALSE))</f>
        <v/>
      </c>
      <c r="I239" s="520" t="str">
        <f>IF(H239="","",VLOOKUP($B239,'C-1 Site River Baseline'!$C$9:$R$257,8,FALSE))</f>
        <v/>
      </c>
      <c r="J239" s="520" t="str">
        <f>IF(I239="","",VLOOKUP($B239,'C-1 Site River Baseline'!$C$9:$R$257,9,FALSE))</f>
        <v/>
      </c>
      <c r="K239" s="520" t="str">
        <f>IF(J239="","",VLOOKUP($B239,'C-1 Site River Baseline'!$C$9:$R$257,10,FALSE))</f>
        <v/>
      </c>
      <c r="L239" s="520" t="str">
        <f>IF(B239="","",VLOOKUP($B239,'C-1 Site River Baseline'!$C$9:$R$257,15,FALSE))</f>
        <v/>
      </c>
      <c r="M239" s="524" t="str">
        <f>IF(L239="","",VLOOKUP($B239,'C-1 Site River Baseline'!$C$9:$R$257,16,FALSE))</f>
        <v/>
      </c>
      <c r="N239" s="418" t="str">
        <f t="shared" si="25"/>
        <v/>
      </c>
      <c r="O239" s="498" t="str">
        <f t="shared" si="26"/>
        <v/>
      </c>
      <c r="P239" s="499" t="str">
        <f>IF(C239="","",IF(AND(LEFT(C239,55)&lt;&gt;LEFT(N239,55),O239="High - High"),"Error - Not like for like ▲",IF(AND(F239=S239,H239&gt;U239),"Error - Can not reduce condition ▲",IF(AND(F239=S239,H239=U239,AJ239='C-1 Site River Baseline'!N237,'C-1 Site River Baseline'!P237=AL239),"Error - No enhancement ▲",IF(AND(C239&lt;&gt;N239,F239&lt;S239),"Lower Distinctiveness Habitat"&amp;" - "&amp;T239,G239&amp;" - "&amp;T239)))))</f>
        <v/>
      </c>
      <c r="Q239" s="567" t="str">
        <f>IF(N239="","",VLOOKUP(B239,'C-1 Site River Baseline'!$C$10:$AA$257,19,FALSE))</f>
        <v/>
      </c>
      <c r="R239" s="498" t="str">
        <f>IF(N239="","",VLOOKUP(N239,'G-7 Rivers Data'!$B$2:$G$8,2,FALSE))</f>
        <v/>
      </c>
      <c r="S239" s="499" t="str">
        <f>IFERROR(VLOOKUP(R239,'G-7 Rivers Data'!$C$4:$D$8,2,FALSE),"")</f>
        <v/>
      </c>
      <c r="T239" s="145"/>
      <c r="U239" s="499" t="str">
        <f>IFERROR(INDEX('G-7 Rivers Data'!$H$4:$L$8,MATCH(N239,'G-7 Rivers Data'!$B$4:$B$8,0),MATCH(T239,'G-7 Rivers Data'!$H$3:$L$3,0)),"")</f>
        <v/>
      </c>
      <c r="V239" s="154"/>
      <c r="W239" s="507" t="str">
        <f>IF(V239="","",IF(VLOOKUP(V239,'G-7 Rivers Data'!$AG$4:$AI$9,2,FALSE)=0,"Spatial Data Missing ⚠",VLOOKUP(V239,'G-7 Rivers Data'!$AG$4:$AI$9,2,FALSE)))</f>
        <v/>
      </c>
      <c r="X239" s="499" t="str">
        <f>IF(V239="","",IF(VLOOKUP(V239,'G-7 Rivers Data'!$AG$4:$AI$9,3,FALSE)=0,"Spatial Data Missing ⚠",VLOOKUP(V239,'G-7 Rivers Data'!$AG$4:$AI$9,3,FALSE)))</f>
        <v/>
      </c>
      <c r="Y239" s="498" t="str">
        <f>IFERROR(IF(OR(LEFT(P239,5)="Error ▲",LEFT(O239,5)="Error ▲"),"Check Data ⚠",IF(F239&lt;S239,'G-7 Rivers Data'!$R$3,INDEX('G-7 Rivers Data'!$U$5:$Y$9,MATCH(G239,'G-7 Rivers Data'!$T$5:$T$9,0),MATCH(T239,'G-7 Rivers Data'!$U$4:$Y$4,0)))),"")</f>
        <v/>
      </c>
      <c r="Z239" s="195"/>
      <c r="AA239" s="195"/>
      <c r="AB239" s="507" t="str">
        <f t="shared" si="27"/>
        <v/>
      </c>
      <c r="AC239" s="521" t="str">
        <f t="shared" si="28"/>
        <v/>
      </c>
      <c r="AD239" s="564" t="str">
        <f>IFERROR(IF(AC239="Check Data ⚠","Check Data ⚠",VLOOKUP(AC239,'G-4 Temporal multipliers'!$A$4:$C$37,3,FALSE)),"")</f>
        <v/>
      </c>
      <c r="AE239" s="498" t="str">
        <f>IF(N239="","",VLOOKUP(N239,'G-7 Rivers Data'!$B$4:$G$8,5,FALSE))</f>
        <v/>
      </c>
      <c r="AF239" s="507" t="str">
        <f t="shared" si="29"/>
        <v/>
      </c>
      <c r="AG239" s="540" t="str">
        <f t="shared" si="30"/>
        <v/>
      </c>
      <c r="AH239" s="499" t="str">
        <f t="shared" si="24"/>
        <v/>
      </c>
      <c r="AI239" s="145"/>
      <c r="AJ239" s="499" t="str">
        <f>IF(AI239="","",IF(VLOOKUP(AI239,'G-7 Rivers Data'!$AA$4:$AB$7,2,FALSE)=0,"Spatial Data Missing ⚠",VLOOKUP(AI239,'G-7 Rivers Data'!$AA$4:$AB$7,2,FALSE)))</f>
        <v/>
      </c>
      <c r="AK239" s="155"/>
      <c r="AL239" s="499" t="str">
        <f>IF(AK239="","",IF(VLOOKUP(AK239,'G-7 Rivers Data'!$AD$4:$AE$8,2,FALSE)=0,"Spatial Data Missing ⚠",VLOOKUP(AK239,'G-7 Rivers Data'!$AD$4:$AE$8,2,FALSE)))</f>
        <v/>
      </c>
      <c r="AM239" s="545" t="str">
        <f t="shared" si="31"/>
        <v/>
      </c>
      <c r="AN239" s="149"/>
      <c r="AO239" s="150"/>
      <c r="AV239" s="31" t="str">
        <f>IFERROR(INDEX('G-7 Rivers Data'!$AZ$3:$AZ$7,MATCH(N239,'G-7 Rivers Data'!$AY$3:$AY$7,0)),"")</f>
        <v/>
      </c>
    </row>
    <row r="240" spans="2:48" ht="14" x14ac:dyDescent="0.3">
      <c r="B240" s="531" t="str">
        <f>'C-1 Site River Baseline'!AN238</f>
        <v/>
      </c>
      <c r="C240" s="520" t="str">
        <f>IF(B240="","",VLOOKUP($B240,'C-1 Site River Baseline'!$C$9:$R$257,2,FALSE))</f>
        <v/>
      </c>
      <c r="D240" s="520" t="str">
        <f>IF(C240="","",VLOOKUP($B240,'C-1 Site River Baseline'!$C$9:$R$257,3,FALSE))</f>
        <v/>
      </c>
      <c r="E240" s="520" t="str">
        <f>IF(D240="","",VLOOKUP($B240,'C-1 Site River Baseline'!$C$9:$R$257,4,FALSE))</f>
        <v/>
      </c>
      <c r="F240" s="520" t="str">
        <f>IF(E240="","",VLOOKUP($B240,'C-1 Site River Baseline'!$C$9:$R$257,5,FALSE))</f>
        <v/>
      </c>
      <c r="G240" s="520" t="str">
        <f>IF(F240="","",VLOOKUP($B240,'C-1 Site River Baseline'!$C$9:$R$257,6,FALSE))</f>
        <v/>
      </c>
      <c r="H240" s="520" t="str">
        <f>IF(G240="","",VLOOKUP($B240,'C-1 Site River Baseline'!$C$9:$R$257,7,FALSE))</f>
        <v/>
      </c>
      <c r="I240" s="520" t="str">
        <f>IF(H240="","",VLOOKUP($B240,'C-1 Site River Baseline'!$C$9:$R$257,8,FALSE))</f>
        <v/>
      </c>
      <c r="J240" s="520" t="str">
        <f>IF(I240="","",VLOOKUP($B240,'C-1 Site River Baseline'!$C$9:$R$257,9,FALSE))</f>
        <v/>
      </c>
      <c r="K240" s="520" t="str">
        <f>IF(J240="","",VLOOKUP($B240,'C-1 Site River Baseline'!$C$9:$R$257,10,FALSE))</f>
        <v/>
      </c>
      <c r="L240" s="520" t="str">
        <f>IF(B240="","",VLOOKUP($B240,'C-1 Site River Baseline'!$C$9:$R$257,15,FALSE))</f>
        <v/>
      </c>
      <c r="M240" s="524" t="str">
        <f>IF(L240="","",VLOOKUP($B240,'C-1 Site River Baseline'!$C$9:$R$257,16,FALSE))</f>
        <v/>
      </c>
      <c r="N240" s="418" t="str">
        <f t="shared" si="25"/>
        <v/>
      </c>
      <c r="O240" s="498" t="str">
        <f t="shared" si="26"/>
        <v/>
      </c>
      <c r="P240" s="499" t="str">
        <f>IF(C240="","",IF(AND(LEFT(C240,55)&lt;&gt;LEFT(N240,55),O240="High - High"),"Error - Not like for like ▲",IF(AND(F240=S240,H240&gt;U240),"Error - Can not reduce condition ▲",IF(AND(F240=S240,H240=U240,AJ240='C-1 Site River Baseline'!N238,'C-1 Site River Baseline'!P238=AL240),"Error - No enhancement ▲",IF(AND(C240&lt;&gt;N240,F240&lt;S240),"Lower Distinctiveness Habitat"&amp;" - "&amp;T240,G240&amp;" - "&amp;T240)))))</f>
        <v/>
      </c>
      <c r="Q240" s="567" t="str">
        <f>IF(N240="","",VLOOKUP(B240,'C-1 Site River Baseline'!$C$10:$AA$257,19,FALSE))</f>
        <v/>
      </c>
      <c r="R240" s="498" t="str">
        <f>IF(N240="","",VLOOKUP(N240,'G-7 Rivers Data'!$B$2:$G$8,2,FALSE))</f>
        <v/>
      </c>
      <c r="S240" s="499" t="str">
        <f>IFERROR(VLOOKUP(R240,'G-7 Rivers Data'!$C$4:$D$8,2,FALSE),"")</f>
        <v/>
      </c>
      <c r="T240" s="145"/>
      <c r="U240" s="499" t="str">
        <f>IFERROR(INDEX('G-7 Rivers Data'!$H$4:$L$8,MATCH(N240,'G-7 Rivers Data'!$B$4:$B$8,0),MATCH(T240,'G-7 Rivers Data'!$H$3:$L$3,0)),"")</f>
        <v/>
      </c>
      <c r="V240" s="154"/>
      <c r="W240" s="507" t="str">
        <f>IF(V240="","",IF(VLOOKUP(V240,'G-7 Rivers Data'!$AG$4:$AI$9,2,FALSE)=0,"Spatial Data Missing ⚠",VLOOKUP(V240,'G-7 Rivers Data'!$AG$4:$AI$9,2,FALSE)))</f>
        <v/>
      </c>
      <c r="X240" s="499" t="str">
        <f>IF(V240="","",IF(VLOOKUP(V240,'G-7 Rivers Data'!$AG$4:$AI$9,3,FALSE)=0,"Spatial Data Missing ⚠",VLOOKUP(V240,'G-7 Rivers Data'!$AG$4:$AI$9,3,FALSE)))</f>
        <v/>
      </c>
      <c r="Y240" s="498" t="str">
        <f>IFERROR(IF(OR(LEFT(P240,5)="Error ▲",LEFT(O240,5)="Error ▲"),"Check Data ⚠",IF(F240&lt;S240,'G-7 Rivers Data'!$R$3,INDEX('G-7 Rivers Data'!$U$5:$Y$9,MATCH(G240,'G-7 Rivers Data'!$T$5:$T$9,0),MATCH(T240,'G-7 Rivers Data'!$U$4:$Y$4,0)))),"")</f>
        <v/>
      </c>
      <c r="Z240" s="195"/>
      <c r="AA240" s="195"/>
      <c r="AB240" s="507" t="str">
        <f t="shared" si="27"/>
        <v/>
      </c>
      <c r="AC240" s="521" t="str">
        <f t="shared" si="28"/>
        <v/>
      </c>
      <c r="AD240" s="564" t="str">
        <f>IFERROR(IF(AC240="Check Data ⚠","Check Data ⚠",VLOOKUP(AC240,'G-4 Temporal multipliers'!$A$4:$C$37,3,FALSE)),"")</f>
        <v/>
      </c>
      <c r="AE240" s="498" t="str">
        <f>IF(N240="","",VLOOKUP(N240,'G-7 Rivers Data'!$B$4:$G$8,5,FALSE))</f>
        <v/>
      </c>
      <c r="AF240" s="507" t="str">
        <f t="shared" si="29"/>
        <v/>
      </c>
      <c r="AG240" s="540" t="str">
        <f t="shared" si="30"/>
        <v/>
      </c>
      <c r="AH240" s="499" t="str">
        <f t="shared" si="24"/>
        <v/>
      </c>
      <c r="AI240" s="145"/>
      <c r="AJ240" s="499" t="str">
        <f>IF(AI240="","",IF(VLOOKUP(AI240,'G-7 Rivers Data'!$AA$4:$AB$7,2,FALSE)=0,"Spatial Data Missing ⚠",VLOOKUP(AI240,'G-7 Rivers Data'!$AA$4:$AB$7,2,FALSE)))</f>
        <v/>
      </c>
      <c r="AK240" s="155"/>
      <c r="AL240" s="499" t="str">
        <f>IF(AK240="","",IF(VLOOKUP(AK240,'G-7 Rivers Data'!$AD$4:$AE$8,2,FALSE)=0,"Spatial Data Missing ⚠",VLOOKUP(AK240,'G-7 Rivers Data'!$AD$4:$AE$8,2,FALSE)))</f>
        <v/>
      </c>
      <c r="AM240" s="545" t="str">
        <f t="shared" si="31"/>
        <v/>
      </c>
      <c r="AN240" s="149"/>
      <c r="AO240" s="150"/>
      <c r="AV240" s="31" t="str">
        <f>IFERROR(INDEX('G-7 Rivers Data'!$AZ$3:$AZ$7,MATCH(N240,'G-7 Rivers Data'!$AY$3:$AY$7,0)),"")</f>
        <v/>
      </c>
    </row>
    <row r="241" spans="2:48" ht="14" x14ac:dyDescent="0.3">
      <c r="B241" s="531" t="str">
        <f>'C-1 Site River Baseline'!AN239</f>
        <v/>
      </c>
      <c r="C241" s="520" t="str">
        <f>IF(B241="","",VLOOKUP($B241,'C-1 Site River Baseline'!$C$9:$R$257,2,FALSE))</f>
        <v/>
      </c>
      <c r="D241" s="520" t="str">
        <f>IF(C241="","",VLOOKUP($B241,'C-1 Site River Baseline'!$C$9:$R$257,3,FALSE))</f>
        <v/>
      </c>
      <c r="E241" s="520" t="str">
        <f>IF(D241="","",VLOOKUP($B241,'C-1 Site River Baseline'!$C$9:$R$257,4,FALSE))</f>
        <v/>
      </c>
      <c r="F241" s="520" t="str">
        <f>IF(E241="","",VLOOKUP($B241,'C-1 Site River Baseline'!$C$9:$R$257,5,FALSE))</f>
        <v/>
      </c>
      <c r="G241" s="520" t="str">
        <f>IF(F241="","",VLOOKUP($B241,'C-1 Site River Baseline'!$C$9:$R$257,6,FALSE))</f>
        <v/>
      </c>
      <c r="H241" s="520" t="str">
        <f>IF(G241="","",VLOOKUP($B241,'C-1 Site River Baseline'!$C$9:$R$257,7,FALSE))</f>
        <v/>
      </c>
      <c r="I241" s="520" t="str">
        <f>IF(H241="","",VLOOKUP($B241,'C-1 Site River Baseline'!$C$9:$R$257,8,FALSE))</f>
        <v/>
      </c>
      <c r="J241" s="520" t="str">
        <f>IF(I241="","",VLOOKUP($B241,'C-1 Site River Baseline'!$C$9:$R$257,9,FALSE))</f>
        <v/>
      </c>
      <c r="K241" s="520" t="str">
        <f>IF(J241="","",VLOOKUP($B241,'C-1 Site River Baseline'!$C$9:$R$257,10,FALSE))</f>
        <v/>
      </c>
      <c r="L241" s="520" t="str">
        <f>IF(B241="","",VLOOKUP($B241,'C-1 Site River Baseline'!$C$9:$R$257,15,FALSE))</f>
        <v/>
      </c>
      <c r="M241" s="524" t="str">
        <f>IF(L241="","",VLOOKUP($B241,'C-1 Site River Baseline'!$C$9:$R$257,16,FALSE))</f>
        <v/>
      </c>
      <c r="N241" s="418" t="str">
        <f t="shared" si="25"/>
        <v/>
      </c>
      <c r="O241" s="498" t="str">
        <f t="shared" si="26"/>
        <v/>
      </c>
      <c r="P241" s="499" t="str">
        <f>IF(C241="","",IF(AND(LEFT(C241,55)&lt;&gt;LEFT(N241,55),O241="High - High"),"Error - Not like for like ▲",IF(AND(F241=S241,H241&gt;U241),"Error - Can not reduce condition ▲",IF(AND(F241=S241,H241=U241,AJ241='C-1 Site River Baseline'!N239,'C-1 Site River Baseline'!P239=AL241),"Error - No enhancement ▲",IF(AND(C241&lt;&gt;N241,F241&lt;S241),"Lower Distinctiveness Habitat"&amp;" - "&amp;T241,G241&amp;" - "&amp;T241)))))</f>
        <v/>
      </c>
      <c r="Q241" s="567" t="str">
        <f>IF(N241="","",VLOOKUP(B241,'C-1 Site River Baseline'!$C$10:$AA$257,19,FALSE))</f>
        <v/>
      </c>
      <c r="R241" s="498" t="str">
        <f>IF(N241="","",VLOOKUP(N241,'G-7 Rivers Data'!$B$2:$G$8,2,FALSE))</f>
        <v/>
      </c>
      <c r="S241" s="499" t="str">
        <f>IFERROR(VLOOKUP(R241,'G-7 Rivers Data'!$C$4:$D$8,2,FALSE),"")</f>
        <v/>
      </c>
      <c r="T241" s="145"/>
      <c r="U241" s="499" t="str">
        <f>IFERROR(INDEX('G-7 Rivers Data'!$H$4:$L$8,MATCH(N241,'G-7 Rivers Data'!$B$4:$B$8,0),MATCH(T241,'G-7 Rivers Data'!$H$3:$L$3,0)),"")</f>
        <v/>
      </c>
      <c r="V241" s="154"/>
      <c r="W241" s="507" t="str">
        <f>IF(V241="","",IF(VLOOKUP(V241,'G-7 Rivers Data'!$AG$4:$AI$9,2,FALSE)=0,"Spatial Data Missing ⚠",VLOOKUP(V241,'G-7 Rivers Data'!$AG$4:$AI$9,2,FALSE)))</f>
        <v/>
      </c>
      <c r="X241" s="499" t="str">
        <f>IF(V241="","",IF(VLOOKUP(V241,'G-7 Rivers Data'!$AG$4:$AI$9,3,FALSE)=0,"Spatial Data Missing ⚠",VLOOKUP(V241,'G-7 Rivers Data'!$AG$4:$AI$9,3,FALSE)))</f>
        <v/>
      </c>
      <c r="Y241" s="498" t="str">
        <f>IFERROR(IF(OR(LEFT(P241,5)="Error ▲",LEFT(O241,5)="Error ▲"),"Check Data ⚠",IF(F241&lt;S241,'G-7 Rivers Data'!$R$3,INDEX('G-7 Rivers Data'!$U$5:$Y$9,MATCH(G241,'G-7 Rivers Data'!$T$5:$T$9,0),MATCH(T241,'G-7 Rivers Data'!$U$4:$Y$4,0)))),"")</f>
        <v/>
      </c>
      <c r="Z241" s="195"/>
      <c r="AA241" s="195"/>
      <c r="AB241" s="507" t="str">
        <f t="shared" si="27"/>
        <v/>
      </c>
      <c r="AC241" s="521" t="str">
        <f t="shared" si="28"/>
        <v/>
      </c>
      <c r="AD241" s="564" t="str">
        <f>IFERROR(IF(AC241="Check Data ⚠","Check Data ⚠",VLOOKUP(AC241,'G-4 Temporal multipliers'!$A$4:$C$37,3,FALSE)),"")</f>
        <v/>
      </c>
      <c r="AE241" s="498" t="str">
        <f>IF(N241="","",VLOOKUP(N241,'G-7 Rivers Data'!$B$4:$G$8,5,FALSE))</f>
        <v/>
      </c>
      <c r="AF241" s="507" t="str">
        <f t="shared" si="29"/>
        <v/>
      </c>
      <c r="AG241" s="540" t="str">
        <f t="shared" si="30"/>
        <v/>
      </c>
      <c r="AH241" s="499" t="str">
        <f t="shared" si="24"/>
        <v/>
      </c>
      <c r="AI241" s="145"/>
      <c r="AJ241" s="499" t="str">
        <f>IF(AI241="","",IF(VLOOKUP(AI241,'G-7 Rivers Data'!$AA$4:$AB$7,2,FALSE)=0,"Spatial Data Missing ⚠",VLOOKUP(AI241,'G-7 Rivers Data'!$AA$4:$AB$7,2,FALSE)))</f>
        <v/>
      </c>
      <c r="AK241" s="155"/>
      <c r="AL241" s="499" t="str">
        <f>IF(AK241="","",IF(VLOOKUP(AK241,'G-7 Rivers Data'!$AD$4:$AE$8,2,FALSE)=0,"Spatial Data Missing ⚠",VLOOKUP(AK241,'G-7 Rivers Data'!$AD$4:$AE$8,2,FALSE)))</f>
        <v/>
      </c>
      <c r="AM241" s="545" t="str">
        <f t="shared" si="31"/>
        <v/>
      </c>
      <c r="AN241" s="149"/>
      <c r="AO241" s="150"/>
      <c r="AV241" s="31" t="str">
        <f>IFERROR(INDEX('G-7 Rivers Data'!$AZ$3:$AZ$7,MATCH(N241,'G-7 Rivers Data'!$AY$3:$AY$7,0)),"")</f>
        <v/>
      </c>
    </row>
    <row r="242" spans="2:48" ht="14" x14ac:dyDescent="0.3">
      <c r="B242" s="531" t="str">
        <f>'C-1 Site River Baseline'!AN240</f>
        <v/>
      </c>
      <c r="C242" s="520" t="str">
        <f>IF(B242="","",VLOOKUP($B242,'C-1 Site River Baseline'!$C$9:$R$257,2,FALSE))</f>
        <v/>
      </c>
      <c r="D242" s="520" t="str">
        <f>IF(C242="","",VLOOKUP($B242,'C-1 Site River Baseline'!$C$9:$R$257,3,FALSE))</f>
        <v/>
      </c>
      <c r="E242" s="520" t="str">
        <f>IF(D242="","",VLOOKUP($B242,'C-1 Site River Baseline'!$C$9:$R$257,4,FALSE))</f>
        <v/>
      </c>
      <c r="F242" s="520" t="str">
        <f>IF(E242="","",VLOOKUP($B242,'C-1 Site River Baseline'!$C$9:$R$257,5,FALSE))</f>
        <v/>
      </c>
      <c r="G242" s="520" t="str">
        <f>IF(F242="","",VLOOKUP($B242,'C-1 Site River Baseline'!$C$9:$R$257,6,FALSE))</f>
        <v/>
      </c>
      <c r="H242" s="520" t="str">
        <f>IF(G242="","",VLOOKUP($B242,'C-1 Site River Baseline'!$C$9:$R$257,7,FALSE))</f>
        <v/>
      </c>
      <c r="I242" s="520" t="str">
        <f>IF(H242="","",VLOOKUP($B242,'C-1 Site River Baseline'!$C$9:$R$257,8,FALSE))</f>
        <v/>
      </c>
      <c r="J242" s="520" t="str">
        <f>IF(I242="","",VLOOKUP($B242,'C-1 Site River Baseline'!$C$9:$R$257,9,FALSE))</f>
        <v/>
      </c>
      <c r="K242" s="520" t="str">
        <f>IF(J242="","",VLOOKUP($B242,'C-1 Site River Baseline'!$C$9:$R$257,10,FALSE))</f>
        <v/>
      </c>
      <c r="L242" s="520" t="str">
        <f>IF(B242="","",VLOOKUP($B242,'C-1 Site River Baseline'!$C$9:$R$257,15,FALSE))</f>
        <v/>
      </c>
      <c r="M242" s="524" t="str">
        <f>IF(L242="","",VLOOKUP($B242,'C-1 Site River Baseline'!$C$9:$R$257,16,FALSE))</f>
        <v/>
      </c>
      <c r="N242" s="418" t="str">
        <f t="shared" si="25"/>
        <v/>
      </c>
      <c r="O242" s="498" t="str">
        <f t="shared" si="26"/>
        <v/>
      </c>
      <c r="P242" s="499" t="str">
        <f>IF(C242="","",IF(AND(LEFT(C242,55)&lt;&gt;LEFT(N242,55),O242="High - High"),"Error - Not like for like ▲",IF(AND(F242=S242,H242&gt;U242),"Error - Can not reduce condition ▲",IF(AND(F242=S242,H242=U242,AJ242='C-1 Site River Baseline'!N240,'C-1 Site River Baseline'!P240=AL242),"Error - No enhancement ▲",IF(AND(C242&lt;&gt;N242,F242&lt;S242),"Lower Distinctiveness Habitat"&amp;" - "&amp;T242,G242&amp;" - "&amp;T242)))))</f>
        <v/>
      </c>
      <c r="Q242" s="567" t="str">
        <f>IF(N242="","",VLOOKUP(B242,'C-1 Site River Baseline'!$C$10:$AA$257,19,FALSE))</f>
        <v/>
      </c>
      <c r="R242" s="498" t="str">
        <f>IF(N242="","",VLOOKUP(N242,'G-7 Rivers Data'!$B$2:$G$8,2,FALSE))</f>
        <v/>
      </c>
      <c r="S242" s="499" t="str">
        <f>IFERROR(VLOOKUP(R242,'G-7 Rivers Data'!$C$4:$D$8,2,FALSE),"")</f>
        <v/>
      </c>
      <c r="T242" s="145"/>
      <c r="U242" s="499" t="str">
        <f>IFERROR(INDEX('G-7 Rivers Data'!$H$4:$L$8,MATCH(N242,'G-7 Rivers Data'!$B$4:$B$8,0),MATCH(T242,'G-7 Rivers Data'!$H$3:$L$3,0)),"")</f>
        <v/>
      </c>
      <c r="V242" s="154"/>
      <c r="W242" s="507" t="str">
        <f>IF(V242="","",IF(VLOOKUP(V242,'G-7 Rivers Data'!$AG$4:$AI$9,2,FALSE)=0,"Spatial Data Missing ⚠",VLOOKUP(V242,'G-7 Rivers Data'!$AG$4:$AI$9,2,FALSE)))</f>
        <v/>
      </c>
      <c r="X242" s="499" t="str">
        <f>IF(V242="","",IF(VLOOKUP(V242,'G-7 Rivers Data'!$AG$4:$AI$9,3,FALSE)=0,"Spatial Data Missing ⚠",VLOOKUP(V242,'G-7 Rivers Data'!$AG$4:$AI$9,3,FALSE)))</f>
        <v/>
      </c>
      <c r="Y242" s="498" t="str">
        <f>IFERROR(IF(OR(LEFT(P242,5)="Error ▲",LEFT(O242,5)="Error ▲"),"Check Data ⚠",IF(F242&lt;S242,'G-7 Rivers Data'!$R$3,INDEX('G-7 Rivers Data'!$U$5:$Y$9,MATCH(G242,'G-7 Rivers Data'!$T$5:$T$9,0),MATCH(T242,'G-7 Rivers Data'!$U$4:$Y$4,0)))),"")</f>
        <v/>
      </c>
      <c r="Z242" s="195"/>
      <c r="AA242" s="195"/>
      <c r="AB242" s="507" t="str">
        <f t="shared" si="27"/>
        <v/>
      </c>
      <c r="AC242" s="521" t="str">
        <f t="shared" si="28"/>
        <v/>
      </c>
      <c r="AD242" s="564" t="str">
        <f>IFERROR(IF(AC242="Check Data ⚠","Check Data ⚠",VLOOKUP(AC242,'G-4 Temporal multipliers'!$A$4:$C$37,3,FALSE)),"")</f>
        <v/>
      </c>
      <c r="AE242" s="498" t="str">
        <f>IF(N242="","",VLOOKUP(N242,'G-7 Rivers Data'!$B$4:$G$8,5,FALSE))</f>
        <v/>
      </c>
      <c r="AF242" s="507" t="str">
        <f t="shared" si="29"/>
        <v/>
      </c>
      <c r="AG242" s="540" t="str">
        <f t="shared" si="30"/>
        <v/>
      </c>
      <c r="AH242" s="499" t="str">
        <f t="shared" si="24"/>
        <v/>
      </c>
      <c r="AI242" s="145"/>
      <c r="AJ242" s="499" t="str">
        <f>IF(AI242="","",IF(VLOOKUP(AI242,'G-7 Rivers Data'!$AA$4:$AB$7,2,FALSE)=0,"Spatial Data Missing ⚠",VLOOKUP(AI242,'G-7 Rivers Data'!$AA$4:$AB$7,2,FALSE)))</f>
        <v/>
      </c>
      <c r="AK242" s="155"/>
      <c r="AL242" s="499" t="str">
        <f>IF(AK242="","",IF(VLOOKUP(AK242,'G-7 Rivers Data'!$AD$4:$AE$8,2,FALSE)=0,"Spatial Data Missing ⚠",VLOOKUP(AK242,'G-7 Rivers Data'!$AD$4:$AE$8,2,FALSE)))</f>
        <v/>
      </c>
      <c r="AM242" s="545" t="str">
        <f t="shared" si="31"/>
        <v/>
      </c>
      <c r="AN242" s="149"/>
      <c r="AO242" s="150"/>
      <c r="AV242" s="31" t="str">
        <f>IFERROR(INDEX('G-7 Rivers Data'!$AZ$3:$AZ$7,MATCH(N242,'G-7 Rivers Data'!$AY$3:$AY$7,0)),"")</f>
        <v/>
      </c>
    </row>
    <row r="243" spans="2:48" ht="14" x14ac:dyDescent="0.3">
      <c r="B243" s="531" t="str">
        <f>'C-1 Site River Baseline'!AN241</f>
        <v/>
      </c>
      <c r="C243" s="520" t="str">
        <f>IF(B243="","",VLOOKUP($B243,'C-1 Site River Baseline'!$C$9:$R$257,2,FALSE))</f>
        <v/>
      </c>
      <c r="D243" s="520" t="str">
        <f>IF(C243="","",VLOOKUP($B243,'C-1 Site River Baseline'!$C$9:$R$257,3,FALSE))</f>
        <v/>
      </c>
      <c r="E243" s="520" t="str">
        <f>IF(D243="","",VLOOKUP($B243,'C-1 Site River Baseline'!$C$9:$R$257,4,FALSE))</f>
        <v/>
      </c>
      <c r="F243" s="520" t="str">
        <f>IF(E243="","",VLOOKUP($B243,'C-1 Site River Baseline'!$C$9:$R$257,5,FALSE))</f>
        <v/>
      </c>
      <c r="G243" s="520" t="str">
        <f>IF(F243="","",VLOOKUP($B243,'C-1 Site River Baseline'!$C$9:$R$257,6,FALSE))</f>
        <v/>
      </c>
      <c r="H243" s="520" t="str">
        <f>IF(G243="","",VLOOKUP($B243,'C-1 Site River Baseline'!$C$9:$R$257,7,FALSE))</f>
        <v/>
      </c>
      <c r="I243" s="520" t="str">
        <f>IF(H243="","",VLOOKUP($B243,'C-1 Site River Baseline'!$C$9:$R$257,8,FALSE))</f>
        <v/>
      </c>
      <c r="J243" s="520" t="str">
        <f>IF(I243="","",VLOOKUP($B243,'C-1 Site River Baseline'!$C$9:$R$257,9,FALSE))</f>
        <v/>
      </c>
      <c r="K243" s="520" t="str">
        <f>IF(J243="","",VLOOKUP($B243,'C-1 Site River Baseline'!$C$9:$R$257,10,FALSE))</f>
        <v/>
      </c>
      <c r="L243" s="520" t="str">
        <f>IF(B243="","",VLOOKUP($B243,'C-1 Site River Baseline'!$C$9:$R$257,15,FALSE))</f>
        <v/>
      </c>
      <c r="M243" s="524" t="str">
        <f>IF(L243="","",VLOOKUP($B243,'C-1 Site River Baseline'!$C$9:$R$257,16,FALSE))</f>
        <v/>
      </c>
      <c r="N243" s="418" t="str">
        <f t="shared" si="25"/>
        <v/>
      </c>
      <c r="O243" s="498" t="str">
        <f t="shared" si="26"/>
        <v/>
      </c>
      <c r="P243" s="499" t="str">
        <f>IF(C243="","",IF(AND(LEFT(C243,55)&lt;&gt;LEFT(N243,55),O243="High - High"),"Error - Not like for like ▲",IF(AND(F243=S243,H243&gt;U243),"Error - Can not reduce condition ▲",IF(AND(F243=S243,H243=U243,AJ243='C-1 Site River Baseline'!N241,'C-1 Site River Baseline'!P241=AL243),"Error - No enhancement ▲",IF(AND(C243&lt;&gt;N243,F243&lt;S243),"Lower Distinctiveness Habitat"&amp;" - "&amp;T243,G243&amp;" - "&amp;T243)))))</f>
        <v/>
      </c>
      <c r="Q243" s="567" t="str">
        <f>IF(N243="","",VLOOKUP(B243,'C-1 Site River Baseline'!$C$10:$AA$257,19,FALSE))</f>
        <v/>
      </c>
      <c r="R243" s="498" t="str">
        <f>IF(N243="","",VLOOKUP(N243,'G-7 Rivers Data'!$B$2:$G$8,2,FALSE))</f>
        <v/>
      </c>
      <c r="S243" s="499" t="str">
        <f>IFERROR(VLOOKUP(R243,'G-7 Rivers Data'!$C$4:$D$8,2,FALSE),"")</f>
        <v/>
      </c>
      <c r="T243" s="145"/>
      <c r="U243" s="499" t="str">
        <f>IFERROR(INDEX('G-7 Rivers Data'!$H$4:$L$8,MATCH(N243,'G-7 Rivers Data'!$B$4:$B$8,0),MATCH(T243,'G-7 Rivers Data'!$H$3:$L$3,0)),"")</f>
        <v/>
      </c>
      <c r="V243" s="154"/>
      <c r="W243" s="507" t="str">
        <f>IF(V243="","",IF(VLOOKUP(V243,'G-7 Rivers Data'!$AG$4:$AI$9,2,FALSE)=0,"Spatial Data Missing ⚠",VLOOKUP(V243,'G-7 Rivers Data'!$AG$4:$AI$9,2,FALSE)))</f>
        <v/>
      </c>
      <c r="X243" s="499" t="str">
        <f>IF(V243="","",IF(VLOOKUP(V243,'G-7 Rivers Data'!$AG$4:$AI$9,3,FALSE)=0,"Spatial Data Missing ⚠",VLOOKUP(V243,'G-7 Rivers Data'!$AG$4:$AI$9,3,FALSE)))</f>
        <v/>
      </c>
      <c r="Y243" s="498" t="str">
        <f>IFERROR(IF(OR(LEFT(P243,5)="Error ▲",LEFT(O243,5)="Error ▲"),"Check Data ⚠",IF(F243&lt;S243,'G-7 Rivers Data'!$R$3,INDEX('G-7 Rivers Data'!$U$5:$Y$9,MATCH(G243,'G-7 Rivers Data'!$T$5:$T$9,0),MATCH(T243,'G-7 Rivers Data'!$U$4:$Y$4,0)))),"")</f>
        <v/>
      </c>
      <c r="Z243" s="195"/>
      <c r="AA243" s="195"/>
      <c r="AB243" s="507" t="str">
        <f t="shared" si="27"/>
        <v/>
      </c>
      <c r="AC243" s="521" t="str">
        <f t="shared" si="28"/>
        <v/>
      </c>
      <c r="AD243" s="564" t="str">
        <f>IFERROR(IF(AC243="Check Data ⚠","Check Data ⚠",VLOOKUP(AC243,'G-4 Temporal multipliers'!$A$4:$C$37,3,FALSE)),"")</f>
        <v/>
      </c>
      <c r="AE243" s="498" t="str">
        <f>IF(N243="","",VLOOKUP(N243,'G-7 Rivers Data'!$B$4:$G$8,5,FALSE))</f>
        <v/>
      </c>
      <c r="AF243" s="507" t="str">
        <f t="shared" si="29"/>
        <v/>
      </c>
      <c r="AG243" s="540" t="str">
        <f t="shared" si="30"/>
        <v/>
      </c>
      <c r="AH243" s="499" t="str">
        <f t="shared" si="24"/>
        <v/>
      </c>
      <c r="AI243" s="145"/>
      <c r="AJ243" s="499" t="str">
        <f>IF(AI243="","",IF(VLOOKUP(AI243,'G-7 Rivers Data'!$AA$4:$AB$7,2,FALSE)=0,"Spatial Data Missing ⚠",VLOOKUP(AI243,'G-7 Rivers Data'!$AA$4:$AB$7,2,FALSE)))</f>
        <v/>
      </c>
      <c r="AK243" s="155"/>
      <c r="AL243" s="499" t="str">
        <f>IF(AK243="","",IF(VLOOKUP(AK243,'G-7 Rivers Data'!$AD$4:$AE$8,2,FALSE)=0,"Spatial Data Missing ⚠",VLOOKUP(AK243,'G-7 Rivers Data'!$AD$4:$AE$8,2,FALSE)))</f>
        <v/>
      </c>
      <c r="AM243" s="545" t="str">
        <f t="shared" si="31"/>
        <v/>
      </c>
      <c r="AN243" s="149"/>
      <c r="AO243" s="150"/>
      <c r="AV243" s="31" t="str">
        <f>IFERROR(INDEX('G-7 Rivers Data'!$AZ$3:$AZ$7,MATCH(N243,'G-7 Rivers Data'!$AY$3:$AY$7,0)),"")</f>
        <v/>
      </c>
    </row>
    <row r="244" spans="2:48" ht="14" x14ac:dyDescent="0.3">
      <c r="B244" s="531" t="str">
        <f>'C-1 Site River Baseline'!AN242</f>
        <v/>
      </c>
      <c r="C244" s="520" t="str">
        <f>IF(B244="","",VLOOKUP($B244,'C-1 Site River Baseline'!$C$9:$R$257,2,FALSE))</f>
        <v/>
      </c>
      <c r="D244" s="520" t="str">
        <f>IF(C244="","",VLOOKUP($B244,'C-1 Site River Baseline'!$C$9:$R$257,3,FALSE))</f>
        <v/>
      </c>
      <c r="E244" s="520" t="str">
        <f>IF(D244="","",VLOOKUP($B244,'C-1 Site River Baseline'!$C$9:$R$257,4,FALSE))</f>
        <v/>
      </c>
      <c r="F244" s="520" t="str">
        <f>IF(E244="","",VLOOKUP($B244,'C-1 Site River Baseline'!$C$9:$R$257,5,FALSE))</f>
        <v/>
      </c>
      <c r="G244" s="520" t="str">
        <f>IF(F244="","",VLOOKUP($B244,'C-1 Site River Baseline'!$C$9:$R$257,6,FALSE))</f>
        <v/>
      </c>
      <c r="H244" s="520" t="str">
        <f>IF(G244="","",VLOOKUP($B244,'C-1 Site River Baseline'!$C$9:$R$257,7,FALSE))</f>
        <v/>
      </c>
      <c r="I244" s="520" t="str">
        <f>IF(H244="","",VLOOKUP($B244,'C-1 Site River Baseline'!$C$9:$R$257,8,FALSE))</f>
        <v/>
      </c>
      <c r="J244" s="520" t="str">
        <f>IF(I244="","",VLOOKUP($B244,'C-1 Site River Baseline'!$C$9:$R$257,9,FALSE))</f>
        <v/>
      </c>
      <c r="K244" s="520" t="str">
        <f>IF(J244="","",VLOOKUP($B244,'C-1 Site River Baseline'!$C$9:$R$257,10,FALSE))</f>
        <v/>
      </c>
      <c r="L244" s="520" t="str">
        <f>IF(B244="","",VLOOKUP($B244,'C-1 Site River Baseline'!$C$9:$R$257,15,FALSE))</f>
        <v/>
      </c>
      <c r="M244" s="524" t="str">
        <f>IF(L244="","",VLOOKUP($B244,'C-1 Site River Baseline'!$C$9:$R$257,16,FALSE))</f>
        <v/>
      </c>
      <c r="N244" s="418" t="str">
        <f t="shared" si="25"/>
        <v/>
      </c>
      <c r="O244" s="498" t="str">
        <f t="shared" si="26"/>
        <v/>
      </c>
      <c r="P244" s="499" t="str">
        <f>IF(C244="","",IF(AND(LEFT(C244,55)&lt;&gt;LEFT(N244,55),O244="High - High"),"Error - Not like for like ▲",IF(AND(F244=S244,H244&gt;U244),"Error - Can not reduce condition ▲",IF(AND(F244=S244,H244=U244,AJ244='C-1 Site River Baseline'!N242,'C-1 Site River Baseline'!P242=AL244),"Error - No enhancement ▲",IF(AND(C244&lt;&gt;N244,F244&lt;S244),"Lower Distinctiveness Habitat"&amp;" - "&amp;T244,G244&amp;" - "&amp;T244)))))</f>
        <v/>
      </c>
      <c r="Q244" s="567" t="str">
        <f>IF(N244="","",VLOOKUP(B244,'C-1 Site River Baseline'!$C$10:$AA$257,19,FALSE))</f>
        <v/>
      </c>
      <c r="R244" s="498" t="str">
        <f>IF(N244="","",VLOOKUP(N244,'G-7 Rivers Data'!$B$2:$G$8,2,FALSE))</f>
        <v/>
      </c>
      <c r="S244" s="499" t="str">
        <f>IFERROR(VLOOKUP(R244,'G-7 Rivers Data'!$C$4:$D$8,2,FALSE),"")</f>
        <v/>
      </c>
      <c r="T244" s="145"/>
      <c r="U244" s="499" t="str">
        <f>IFERROR(INDEX('G-7 Rivers Data'!$H$4:$L$8,MATCH(N244,'G-7 Rivers Data'!$B$4:$B$8,0),MATCH(T244,'G-7 Rivers Data'!$H$3:$L$3,0)),"")</f>
        <v/>
      </c>
      <c r="V244" s="154"/>
      <c r="W244" s="507" t="str">
        <f>IF(V244="","",IF(VLOOKUP(V244,'G-7 Rivers Data'!$AG$4:$AI$9,2,FALSE)=0,"Spatial Data Missing ⚠",VLOOKUP(V244,'G-7 Rivers Data'!$AG$4:$AI$9,2,FALSE)))</f>
        <v/>
      </c>
      <c r="X244" s="499" t="str">
        <f>IF(V244="","",IF(VLOOKUP(V244,'G-7 Rivers Data'!$AG$4:$AI$9,3,FALSE)=0,"Spatial Data Missing ⚠",VLOOKUP(V244,'G-7 Rivers Data'!$AG$4:$AI$9,3,FALSE)))</f>
        <v/>
      </c>
      <c r="Y244" s="498" t="str">
        <f>IFERROR(IF(OR(LEFT(P244,5)="Error ▲",LEFT(O244,5)="Error ▲"),"Check Data ⚠",IF(F244&lt;S244,'G-7 Rivers Data'!$R$3,INDEX('G-7 Rivers Data'!$U$5:$Y$9,MATCH(G244,'G-7 Rivers Data'!$T$5:$T$9,0),MATCH(T244,'G-7 Rivers Data'!$U$4:$Y$4,0)))),"")</f>
        <v/>
      </c>
      <c r="Z244" s="195"/>
      <c r="AA244" s="195"/>
      <c r="AB244" s="507" t="str">
        <f t="shared" si="27"/>
        <v/>
      </c>
      <c r="AC244" s="521" t="str">
        <f t="shared" si="28"/>
        <v/>
      </c>
      <c r="AD244" s="564" t="str">
        <f>IFERROR(IF(AC244="Check Data ⚠","Check Data ⚠",VLOOKUP(AC244,'G-4 Temporal multipliers'!$A$4:$C$37,3,FALSE)),"")</f>
        <v/>
      </c>
      <c r="AE244" s="498" t="str">
        <f>IF(N244="","",VLOOKUP(N244,'G-7 Rivers Data'!$B$4:$G$8,5,FALSE))</f>
        <v/>
      </c>
      <c r="AF244" s="507" t="str">
        <f t="shared" si="29"/>
        <v/>
      </c>
      <c r="AG244" s="540" t="str">
        <f t="shared" si="30"/>
        <v/>
      </c>
      <c r="AH244" s="499" t="str">
        <f t="shared" si="24"/>
        <v/>
      </c>
      <c r="AI244" s="145"/>
      <c r="AJ244" s="499" t="str">
        <f>IF(AI244="","",IF(VLOOKUP(AI244,'G-7 Rivers Data'!$AA$4:$AB$7,2,FALSE)=0,"Spatial Data Missing ⚠",VLOOKUP(AI244,'G-7 Rivers Data'!$AA$4:$AB$7,2,FALSE)))</f>
        <v/>
      </c>
      <c r="AK244" s="155"/>
      <c r="AL244" s="499" t="str">
        <f>IF(AK244="","",IF(VLOOKUP(AK244,'G-7 Rivers Data'!$AD$4:$AE$8,2,FALSE)=0,"Spatial Data Missing ⚠",VLOOKUP(AK244,'G-7 Rivers Data'!$AD$4:$AE$8,2,FALSE)))</f>
        <v/>
      </c>
      <c r="AM244" s="545" t="str">
        <f t="shared" si="31"/>
        <v/>
      </c>
      <c r="AN244" s="149"/>
      <c r="AO244" s="150"/>
      <c r="AV244" s="31" t="str">
        <f>IFERROR(INDEX('G-7 Rivers Data'!$AZ$3:$AZ$7,MATCH(N244,'G-7 Rivers Data'!$AY$3:$AY$7,0)),"")</f>
        <v/>
      </c>
    </row>
    <row r="245" spans="2:48" ht="14" x14ac:dyDescent="0.3">
      <c r="B245" s="531" t="str">
        <f>'C-1 Site River Baseline'!AN243</f>
        <v/>
      </c>
      <c r="C245" s="520" t="str">
        <f>IF(B245="","",VLOOKUP($B245,'C-1 Site River Baseline'!$C$9:$R$257,2,FALSE))</f>
        <v/>
      </c>
      <c r="D245" s="520" t="str">
        <f>IF(C245="","",VLOOKUP($B245,'C-1 Site River Baseline'!$C$9:$R$257,3,FALSE))</f>
        <v/>
      </c>
      <c r="E245" s="520" t="str">
        <f>IF(D245="","",VLOOKUP($B245,'C-1 Site River Baseline'!$C$9:$R$257,4,FALSE))</f>
        <v/>
      </c>
      <c r="F245" s="520" t="str">
        <f>IF(E245="","",VLOOKUP($B245,'C-1 Site River Baseline'!$C$9:$R$257,5,FALSE))</f>
        <v/>
      </c>
      <c r="G245" s="520" t="str">
        <f>IF(F245="","",VLOOKUP($B245,'C-1 Site River Baseline'!$C$9:$R$257,6,FALSE))</f>
        <v/>
      </c>
      <c r="H245" s="520" t="str">
        <f>IF(G245="","",VLOOKUP($B245,'C-1 Site River Baseline'!$C$9:$R$257,7,FALSE))</f>
        <v/>
      </c>
      <c r="I245" s="520" t="str">
        <f>IF(H245="","",VLOOKUP($B245,'C-1 Site River Baseline'!$C$9:$R$257,8,FALSE))</f>
        <v/>
      </c>
      <c r="J245" s="520" t="str">
        <f>IF(I245="","",VLOOKUP($B245,'C-1 Site River Baseline'!$C$9:$R$257,9,FALSE))</f>
        <v/>
      </c>
      <c r="K245" s="520" t="str">
        <f>IF(J245="","",VLOOKUP($B245,'C-1 Site River Baseline'!$C$9:$R$257,10,FALSE))</f>
        <v/>
      </c>
      <c r="L245" s="520" t="str">
        <f>IF(B245="","",VLOOKUP($B245,'C-1 Site River Baseline'!$C$9:$R$257,15,FALSE))</f>
        <v/>
      </c>
      <c r="M245" s="524" t="str">
        <f>IF(L245="","",VLOOKUP($B245,'C-1 Site River Baseline'!$C$9:$R$257,16,FALSE))</f>
        <v/>
      </c>
      <c r="N245" s="418" t="str">
        <f t="shared" si="25"/>
        <v/>
      </c>
      <c r="O245" s="498" t="str">
        <f t="shared" si="26"/>
        <v/>
      </c>
      <c r="P245" s="499" t="str">
        <f>IF(C245="","",IF(AND(LEFT(C245,55)&lt;&gt;LEFT(N245,55),O245="High - High"),"Error - Not like for like ▲",IF(AND(F245=S245,H245&gt;U245),"Error - Can not reduce condition ▲",IF(AND(F245=S245,H245=U245,AJ245='C-1 Site River Baseline'!N243,'C-1 Site River Baseline'!P243=AL245),"Error - No enhancement ▲",IF(AND(C245&lt;&gt;N245,F245&lt;S245),"Lower Distinctiveness Habitat"&amp;" - "&amp;T245,G245&amp;" - "&amp;T245)))))</f>
        <v/>
      </c>
      <c r="Q245" s="567" t="str">
        <f>IF(N245="","",VLOOKUP(B245,'C-1 Site River Baseline'!$C$10:$AA$257,19,FALSE))</f>
        <v/>
      </c>
      <c r="R245" s="498" t="str">
        <f>IF(N245="","",VLOOKUP(N245,'G-7 Rivers Data'!$B$2:$G$8,2,FALSE))</f>
        <v/>
      </c>
      <c r="S245" s="499" t="str">
        <f>IFERROR(VLOOKUP(R245,'G-7 Rivers Data'!$C$4:$D$8,2,FALSE),"")</f>
        <v/>
      </c>
      <c r="T245" s="145"/>
      <c r="U245" s="499" t="str">
        <f>IFERROR(INDEX('G-7 Rivers Data'!$H$4:$L$8,MATCH(N245,'G-7 Rivers Data'!$B$4:$B$8,0),MATCH(T245,'G-7 Rivers Data'!$H$3:$L$3,0)),"")</f>
        <v/>
      </c>
      <c r="V245" s="154"/>
      <c r="W245" s="507" t="str">
        <f>IF(V245="","",IF(VLOOKUP(V245,'G-7 Rivers Data'!$AG$4:$AI$9,2,FALSE)=0,"Spatial Data Missing ⚠",VLOOKUP(V245,'G-7 Rivers Data'!$AG$4:$AI$9,2,FALSE)))</f>
        <v/>
      </c>
      <c r="X245" s="499" t="str">
        <f>IF(V245="","",IF(VLOOKUP(V245,'G-7 Rivers Data'!$AG$4:$AI$9,3,FALSE)=0,"Spatial Data Missing ⚠",VLOOKUP(V245,'G-7 Rivers Data'!$AG$4:$AI$9,3,FALSE)))</f>
        <v/>
      </c>
      <c r="Y245" s="498" t="str">
        <f>IFERROR(IF(OR(LEFT(P245,5)="Error ▲",LEFT(O245,5)="Error ▲"),"Check Data ⚠",IF(F245&lt;S245,'G-7 Rivers Data'!$R$3,INDEX('G-7 Rivers Data'!$U$5:$Y$9,MATCH(G245,'G-7 Rivers Data'!$T$5:$T$9,0),MATCH(T245,'G-7 Rivers Data'!$U$4:$Y$4,0)))),"")</f>
        <v/>
      </c>
      <c r="Z245" s="195"/>
      <c r="AA245" s="195"/>
      <c r="AB245" s="507" t="str">
        <f t="shared" si="27"/>
        <v/>
      </c>
      <c r="AC245" s="521" t="str">
        <f t="shared" si="28"/>
        <v/>
      </c>
      <c r="AD245" s="564" t="str">
        <f>IFERROR(IF(AC245="Check Data ⚠","Check Data ⚠",VLOOKUP(AC245,'G-4 Temporal multipliers'!$A$4:$C$37,3,FALSE)),"")</f>
        <v/>
      </c>
      <c r="AE245" s="498" t="str">
        <f>IF(N245="","",VLOOKUP(N245,'G-7 Rivers Data'!$B$4:$G$8,5,FALSE))</f>
        <v/>
      </c>
      <c r="AF245" s="507" t="str">
        <f t="shared" si="29"/>
        <v/>
      </c>
      <c r="AG245" s="540" t="str">
        <f t="shared" si="30"/>
        <v/>
      </c>
      <c r="AH245" s="499" t="str">
        <f t="shared" si="24"/>
        <v/>
      </c>
      <c r="AI245" s="145"/>
      <c r="AJ245" s="499" t="str">
        <f>IF(AI245="","",IF(VLOOKUP(AI245,'G-7 Rivers Data'!$AA$4:$AB$7,2,FALSE)=0,"Spatial Data Missing ⚠",VLOOKUP(AI245,'G-7 Rivers Data'!$AA$4:$AB$7,2,FALSE)))</f>
        <v/>
      </c>
      <c r="AK245" s="155"/>
      <c r="AL245" s="499" t="str">
        <f>IF(AK245="","",IF(VLOOKUP(AK245,'G-7 Rivers Data'!$AD$4:$AE$8,2,FALSE)=0,"Spatial Data Missing ⚠",VLOOKUP(AK245,'G-7 Rivers Data'!$AD$4:$AE$8,2,FALSE)))</f>
        <v/>
      </c>
      <c r="AM245" s="545" t="str">
        <f t="shared" si="31"/>
        <v/>
      </c>
      <c r="AN245" s="149"/>
      <c r="AO245" s="150"/>
      <c r="AV245" s="31" t="str">
        <f>IFERROR(INDEX('G-7 Rivers Data'!$AZ$3:$AZ$7,MATCH(N245,'G-7 Rivers Data'!$AY$3:$AY$7,0)),"")</f>
        <v/>
      </c>
    </row>
    <row r="246" spans="2:48" ht="14" x14ac:dyDescent="0.3">
      <c r="B246" s="531" t="str">
        <f>'C-1 Site River Baseline'!AN244</f>
        <v/>
      </c>
      <c r="C246" s="520" t="str">
        <f>IF(B246="","",VLOOKUP($B246,'C-1 Site River Baseline'!$C$9:$R$257,2,FALSE))</f>
        <v/>
      </c>
      <c r="D246" s="520" t="str">
        <f>IF(C246="","",VLOOKUP($B246,'C-1 Site River Baseline'!$C$9:$R$257,3,FALSE))</f>
        <v/>
      </c>
      <c r="E246" s="520" t="str">
        <f>IF(D246="","",VLOOKUP($B246,'C-1 Site River Baseline'!$C$9:$R$257,4,FALSE))</f>
        <v/>
      </c>
      <c r="F246" s="520" t="str">
        <f>IF(E246="","",VLOOKUP($B246,'C-1 Site River Baseline'!$C$9:$R$257,5,FALSE))</f>
        <v/>
      </c>
      <c r="G246" s="520" t="str">
        <f>IF(F246="","",VLOOKUP($B246,'C-1 Site River Baseline'!$C$9:$R$257,6,FALSE))</f>
        <v/>
      </c>
      <c r="H246" s="520" t="str">
        <f>IF(G246="","",VLOOKUP($B246,'C-1 Site River Baseline'!$C$9:$R$257,7,FALSE))</f>
        <v/>
      </c>
      <c r="I246" s="520" t="str">
        <f>IF(H246="","",VLOOKUP($B246,'C-1 Site River Baseline'!$C$9:$R$257,8,FALSE))</f>
        <v/>
      </c>
      <c r="J246" s="520" t="str">
        <f>IF(I246="","",VLOOKUP($B246,'C-1 Site River Baseline'!$C$9:$R$257,9,FALSE))</f>
        <v/>
      </c>
      <c r="K246" s="520" t="str">
        <f>IF(J246="","",VLOOKUP($B246,'C-1 Site River Baseline'!$C$9:$R$257,10,FALSE))</f>
        <v/>
      </c>
      <c r="L246" s="520" t="str">
        <f>IF(B246="","",VLOOKUP($B246,'C-1 Site River Baseline'!$C$9:$R$257,15,FALSE))</f>
        <v/>
      </c>
      <c r="M246" s="524" t="str">
        <f>IF(L246="","",VLOOKUP($B246,'C-1 Site River Baseline'!$C$9:$R$257,16,FALSE))</f>
        <v/>
      </c>
      <c r="N246" s="418" t="str">
        <f t="shared" si="25"/>
        <v/>
      </c>
      <c r="O246" s="498" t="str">
        <f t="shared" si="26"/>
        <v/>
      </c>
      <c r="P246" s="499" t="str">
        <f>IF(C246="","",IF(AND(LEFT(C246,55)&lt;&gt;LEFT(N246,55),O246="High - High"),"Error - Not like for like ▲",IF(AND(F246=S246,H246&gt;U246),"Error - Can not reduce condition ▲",IF(AND(F246=S246,H246=U246,AJ246='C-1 Site River Baseline'!N244,'C-1 Site River Baseline'!P244=AL246),"Error - No enhancement ▲",IF(AND(C246&lt;&gt;N246,F246&lt;S246),"Lower Distinctiveness Habitat"&amp;" - "&amp;T246,G246&amp;" - "&amp;T246)))))</f>
        <v/>
      </c>
      <c r="Q246" s="567" t="str">
        <f>IF(N246="","",VLOOKUP(B246,'C-1 Site River Baseline'!$C$10:$AA$257,19,FALSE))</f>
        <v/>
      </c>
      <c r="R246" s="498" t="str">
        <f>IF(N246="","",VLOOKUP(N246,'G-7 Rivers Data'!$B$2:$G$8,2,FALSE))</f>
        <v/>
      </c>
      <c r="S246" s="499" t="str">
        <f>IFERROR(VLOOKUP(R246,'G-7 Rivers Data'!$C$4:$D$8,2,FALSE),"")</f>
        <v/>
      </c>
      <c r="T246" s="145"/>
      <c r="U246" s="499" t="str">
        <f>IFERROR(INDEX('G-7 Rivers Data'!$H$4:$L$8,MATCH(N246,'G-7 Rivers Data'!$B$4:$B$8,0),MATCH(T246,'G-7 Rivers Data'!$H$3:$L$3,0)),"")</f>
        <v/>
      </c>
      <c r="V246" s="154"/>
      <c r="W246" s="507" t="str">
        <f>IF(V246="","",IF(VLOOKUP(V246,'G-7 Rivers Data'!$AG$4:$AI$9,2,FALSE)=0,"Spatial Data Missing ⚠",VLOOKUP(V246,'G-7 Rivers Data'!$AG$4:$AI$9,2,FALSE)))</f>
        <v/>
      </c>
      <c r="X246" s="499" t="str">
        <f>IF(V246="","",IF(VLOOKUP(V246,'G-7 Rivers Data'!$AG$4:$AI$9,3,FALSE)=0,"Spatial Data Missing ⚠",VLOOKUP(V246,'G-7 Rivers Data'!$AG$4:$AI$9,3,FALSE)))</f>
        <v/>
      </c>
      <c r="Y246" s="498" t="str">
        <f>IFERROR(IF(OR(LEFT(P246,5)="Error ▲",LEFT(O246,5)="Error ▲"),"Check Data ⚠",IF(F246&lt;S246,'G-7 Rivers Data'!$R$3,INDEX('G-7 Rivers Data'!$U$5:$Y$9,MATCH(G246,'G-7 Rivers Data'!$T$5:$T$9,0),MATCH(T246,'G-7 Rivers Data'!$U$4:$Y$4,0)))),"")</f>
        <v/>
      </c>
      <c r="Z246" s="195"/>
      <c r="AA246" s="195"/>
      <c r="AB246" s="507" t="str">
        <f t="shared" si="27"/>
        <v/>
      </c>
      <c r="AC246" s="521" t="str">
        <f t="shared" si="28"/>
        <v/>
      </c>
      <c r="AD246" s="564" t="str">
        <f>IFERROR(IF(AC246="Check Data ⚠","Check Data ⚠",VLOOKUP(AC246,'G-4 Temporal multipliers'!$A$4:$C$37,3,FALSE)),"")</f>
        <v/>
      </c>
      <c r="AE246" s="498" t="str">
        <f>IF(N246="","",VLOOKUP(N246,'G-7 Rivers Data'!$B$4:$G$8,5,FALSE))</f>
        <v/>
      </c>
      <c r="AF246" s="507" t="str">
        <f t="shared" si="29"/>
        <v/>
      </c>
      <c r="AG246" s="540" t="str">
        <f t="shared" si="30"/>
        <v/>
      </c>
      <c r="AH246" s="499" t="str">
        <f t="shared" si="24"/>
        <v/>
      </c>
      <c r="AI246" s="145"/>
      <c r="AJ246" s="499" t="str">
        <f>IF(AI246="","",IF(VLOOKUP(AI246,'G-7 Rivers Data'!$AA$4:$AB$7,2,FALSE)=0,"Spatial Data Missing ⚠",VLOOKUP(AI246,'G-7 Rivers Data'!$AA$4:$AB$7,2,FALSE)))</f>
        <v/>
      </c>
      <c r="AK246" s="155"/>
      <c r="AL246" s="499" t="str">
        <f>IF(AK246="","",IF(VLOOKUP(AK246,'G-7 Rivers Data'!$AD$4:$AE$8,2,FALSE)=0,"Spatial Data Missing ⚠",VLOOKUP(AK246,'G-7 Rivers Data'!$AD$4:$AE$8,2,FALSE)))</f>
        <v/>
      </c>
      <c r="AM246" s="545" t="str">
        <f t="shared" si="31"/>
        <v/>
      </c>
      <c r="AN246" s="149"/>
      <c r="AO246" s="150"/>
      <c r="AV246" s="31" t="str">
        <f>IFERROR(INDEX('G-7 Rivers Data'!$AZ$3:$AZ$7,MATCH(N246,'G-7 Rivers Data'!$AY$3:$AY$7,0)),"")</f>
        <v/>
      </c>
    </row>
    <row r="247" spans="2:48" ht="14" x14ac:dyDescent="0.3">
      <c r="B247" s="531" t="str">
        <f>'C-1 Site River Baseline'!AN245</f>
        <v/>
      </c>
      <c r="C247" s="520" t="str">
        <f>IF(B247="","",VLOOKUP($B247,'C-1 Site River Baseline'!$C$9:$R$257,2,FALSE))</f>
        <v/>
      </c>
      <c r="D247" s="520" t="str">
        <f>IF(C247="","",VLOOKUP($B247,'C-1 Site River Baseline'!$C$9:$R$257,3,FALSE))</f>
        <v/>
      </c>
      <c r="E247" s="520" t="str">
        <f>IF(D247="","",VLOOKUP($B247,'C-1 Site River Baseline'!$C$9:$R$257,4,FALSE))</f>
        <v/>
      </c>
      <c r="F247" s="520" t="str">
        <f>IF(E247="","",VLOOKUP($B247,'C-1 Site River Baseline'!$C$9:$R$257,5,FALSE))</f>
        <v/>
      </c>
      <c r="G247" s="520" t="str">
        <f>IF(F247="","",VLOOKUP($B247,'C-1 Site River Baseline'!$C$9:$R$257,6,FALSE))</f>
        <v/>
      </c>
      <c r="H247" s="520" t="str">
        <f>IF(G247="","",VLOOKUP($B247,'C-1 Site River Baseline'!$C$9:$R$257,7,FALSE))</f>
        <v/>
      </c>
      <c r="I247" s="520" t="str">
        <f>IF(H247="","",VLOOKUP($B247,'C-1 Site River Baseline'!$C$9:$R$257,8,FALSE))</f>
        <v/>
      </c>
      <c r="J247" s="520" t="str">
        <f>IF(I247="","",VLOOKUP($B247,'C-1 Site River Baseline'!$C$9:$R$257,9,FALSE))</f>
        <v/>
      </c>
      <c r="K247" s="520" t="str">
        <f>IF(J247="","",VLOOKUP($B247,'C-1 Site River Baseline'!$C$9:$R$257,10,FALSE))</f>
        <v/>
      </c>
      <c r="L247" s="520" t="str">
        <f>IF(B247="","",VLOOKUP($B247,'C-1 Site River Baseline'!$C$9:$R$257,15,FALSE))</f>
        <v/>
      </c>
      <c r="M247" s="524" t="str">
        <f>IF(L247="","",VLOOKUP($B247,'C-1 Site River Baseline'!$C$9:$R$257,16,FALSE))</f>
        <v/>
      </c>
      <c r="N247" s="418"/>
      <c r="O247" s="498" t="str">
        <f t="shared" si="26"/>
        <v/>
      </c>
      <c r="P247" s="499" t="str">
        <f>IF(C247="","",IF(AND(LEFT(C247,55)&lt;&gt;LEFT(N247,55),O247="High - High"),"Error - Not like for like ▲",IF(AND(F247=S247,H247&gt;U247),"Error - Can not reduce condition ▲",IF(AND(F247=S247,H247=U247,AJ247='C-1 Site River Baseline'!N245,'C-1 Site River Baseline'!P245=AL247),"Error - No enhancement ▲",IF(AND(C247&lt;&gt;N247,F247&lt;S247),"Lower Distinctiveness Habitat"&amp;" - "&amp;T247,G247&amp;" - "&amp;T247)))))</f>
        <v/>
      </c>
      <c r="Q247" s="567" t="str">
        <f>IF(N247="","",VLOOKUP(B247,'C-1 Site River Baseline'!$C$10:$AA$257,19,FALSE))</f>
        <v/>
      </c>
      <c r="R247" s="498" t="str">
        <f>IF(N247="","",VLOOKUP(N247,'G-7 Rivers Data'!$B$2:$G$8,2,FALSE))</f>
        <v/>
      </c>
      <c r="S247" s="499" t="str">
        <f>IFERROR(VLOOKUP(R247,'G-7 Rivers Data'!$C$4:$D$8,2,FALSE),"")</f>
        <v/>
      </c>
      <c r="T247" s="145"/>
      <c r="U247" s="499" t="str">
        <f>IFERROR(INDEX('G-7 Rivers Data'!$H$4:$L$8,MATCH(N247,'G-7 Rivers Data'!$B$4:$B$8,0),MATCH(T247,'G-7 Rivers Data'!$H$3:$L$3,0)),"")</f>
        <v/>
      </c>
      <c r="V247" s="154"/>
      <c r="W247" s="507" t="str">
        <f>IF(V247="","",IF(VLOOKUP(V247,'G-7 Rivers Data'!$AG$4:$AI$9,2,FALSE)=0,"Spatial Data Missing ⚠",VLOOKUP(V247,'G-7 Rivers Data'!$AG$4:$AI$9,2,FALSE)))</f>
        <v/>
      </c>
      <c r="X247" s="499" t="str">
        <f>IF(V247="","",IF(VLOOKUP(V247,'G-7 Rivers Data'!$AG$4:$AI$9,3,FALSE)=0,"Spatial Data Missing ⚠",VLOOKUP(V247,'G-7 Rivers Data'!$AG$4:$AI$9,3,FALSE)))</f>
        <v/>
      </c>
      <c r="Y247" s="498" t="str">
        <f>IFERROR(IF(OR(LEFT(P247,5)="Error ▲",LEFT(O247,5)="Error ▲"),"Check Data ⚠",IF(F247&lt;S247,'G-7 Rivers Data'!$R$3,INDEX('G-7 Rivers Data'!$U$5:$Y$9,MATCH(G247,'G-7 Rivers Data'!$T$5:$T$9,0),MATCH(T247,'G-7 Rivers Data'!$U$4:$Y$4,0)))),"")</f>
        <v/>
      </c>
      <c r="Z247" s="195"/>
      <c r="AA247" s="195"/>
      <c r="AB247" s="507" t="str">
        <f t="shared" si="27"/>
        <v/>
      </c>
      <c r="AC247" s="521" t="str">
        <f t="shared" si="28"/>
        <v/>
      </c>
      <c r="AD247" s="564" t="str">
        <f>IFERROR(IF(AC247="Check Data ⚠","Check Data ⚠",VLOOKUP(AC247,'G-4 Temporal multipliers'!$A$4:$C$37,3,FALSE)),"")</f>
        <v/>
      </c>
      <c r="AE247" s="498" t="str">
        <f>IF(N247="","",VLOOKUP(N247,'G-7 Rivers Data'!$B$4:$G$8,5,FALSE))</f>
        <v/>
      </c>
      <c r="AF247" s="507" t="str">
        <f t="shared" si="29"/>
        <v/>
      </c>
      <c r="AG247" s="540" t="str">
        <f t="shared" si="30"/>
        <v/>
      </c>
      <c r="AH247" s="499" t="str">
        <f t="shared" si="24"/>
        <v/>
      </c>
      <c r="AI247" s="145"/>
      <c r="AJ247" s="499" t="str">
        <f>IF(AI247="","",IF(VLOOKUP(AI247,'G-7 Rivers Data'!$AA$4:$AB$7,2,FALSE)=0,"Spatial Data Missing ⚠",VLOOKUP(AI247,'G-7 Rivers Data'!$AA$4:$AB$7,2,FALSE)))</f>
        <v/>
      </c>
      <c r="AK247" s="155"/>
      <c r="AL247" s="499" t="str">
        <f>IF(AK247="","",IF(VLOOKUP(AK247,'G-7 Rivers Data'!$AD$4:$AE$8,2,FALSE)=0,"Spatial Data Missing ⚠",VLOOKUP(AK247,'G-7 Rivers Data'!$AD$4:$AE$8,2,FALSE)))</f>
        <v/>
      </c>
      <c r="AM247" s="545" t="str">
        <f t="shared" si="31"/>
        <v/>
      </c>
      <c r="AN247" s="149"/>
      <c r="AO247" s="150"/>
      <c r="AV247" s="31" t="str">
        <f>IFERROR(INDEX('G-7 Rivers Data'!$AZ$3:$AZ$7,MATCH(N247,'G-7 Rivers Data'!$AY$3:$AY$7,0)),"")</f>
        <v/>
      </c>
    </row>
    <row r="248" spans="2:48" ht="14" x14ac:dyDescent="0.3">
      <c r="B248" s="531" t="str">
        <f>'C-1 Site River Baseline'!AN246</f>
        <v/>
      </c>
      <c r="C248" s="520" t="str">
        <f>IF(B248="","",VLOOKUP($B248,'C-1 Site River Baseline'!$C$9:$R$257,2,FALSE))</f>
        <v/>
      </c>
      <c r="D248" s="520" t="str">
        <f>IF(C248="","",VLOOKUP($B248,'C-1 Site River Baseline'!$C$9:$R$257,3,FALSE))</f>
        <v/>
      </c>
      <c r="E248" s="520" t="str">
        <f>IF(D248="","",VLOOKUP($B248,'C-1 Site River Baseline'!$C$9:$R$257,4,FALSE))</f>
        <v/>
      </c>
      <c r="F248" s="520" t="str">
        <f>IF(E248="","",VLOOKUP($B248,'C-1 Site River Baseline'!$C$9:$R$257,5,FALSE))</f>
        <v/>
      </c>
      <c r="G248" s="520" t="str">
        <f>IF(F248="","",VLOOKUP($B248,'C-1 Site River Baseline'!$C$9:$R$257,6,FALSE))</f>
        <v/>
      </c>
      <c r="H248" s="520" t="str">
        <f>IF(G248="","",VLOOKUP($B248,'C-1 Site River Baseline'!$C$9:$R$257,7,FALSE))</f>
        <v/>
      </c>
      <c r="I248" s="520" t="str">
        <f>IF(H248="","",VLOOKUP($B248,'C-1 Site River Baseline'!$C$9:$R$257,8,FALSE))</f>
        <v/>
      </c>
      <c r="J248" s="520" t="str">
        <f>IF(I248="","",VLOOKUP($B248,'C-1 Site River Baseline'!$C$9:$R$257,9,FALSE))</f>
        <v/>
      </c>
      <c r="K248" s="520" t="str">
        <f>IF(J248="","",VLOOKUP($B248,'C-1 Site River Baseline'!$C$9:$R$257,10,FALSE))</f>
        <v/>
      </c>
      <c r="L248" s="520" t="str">
        <f>IF(B248="","",VLOOKUP($B248,'C-1 Site River Baseline'!$C$9:$R$257,15,FALSE))</f>
        <v/>
      </c>
      <c r="M248" s="524" t="str">
        <f>IF(L248="","",VLOOKUP($B248,'C-1 Site River Baseline'!$C$9:$R$257,16,FALSE))</f>
        <v/>
      </c>
      <c r="N248" s="418" t="str">
        <f t="shared" si="25"/>
        <v/>
      </c>
      <c r="O248" s="498" t="str">
        <f t="shared" si="26"/>
        <v/>
      </c>
      <c r="P248" s="499" t="str">
        <f>IF(C248="","",IF(AND(LEFT(C248,55)&lt;&gt;LEFT(N248,55),O248="High - High"),"Error - Not like for like ▲",IF(AND(F248=S248,H248&gt;U248),"Error - Can not reduce condition ▲",IF(AND(F248=S248,H248=U248,AJ248='C-1 Site River Baseline'!N246,'C-1 Site River Baseline'!P246=AL248),"Error - No enhancement ▲",IF(AND(C248&lt;&gt;N248,F248&lt;S248),"Lower Distinctiveness Habitat"&amp;" - "&amp;T248,G248&amp;" - "&amp;T248)))))</f>
        <v/>
      </c>
      <c r="Q248" s="567" t="str">
        <f>IF(N248="","",VLOOKUP(B248,'C-1 Site River Baseline'!$C$10:$AA$257,19,FALSE))</f>
        <v/>
      </c>
      <c r="R248" s="498" t="str">
        <f>IF(N248="","",VLOOKUP(N248,'G-7 Rivers Data'!$B$2:$G$8,2,FALSE))</f>
        <v/>
      </c>
      <c r="S248" s="499" t="str">
        <f>IFERROR(VLOOKUP(R248,'G-7 Rivers Data'!$C$4:$D$8,2,FALSE),"")</f>
        <v/>
      </c>
      <c r="T248" s="145"/>
      <c r="U248" s="499" t="str">
        <f>IFERROR(INDEX('G-7 Rivers Data'!$H$4:$L$8,MATCH(N248,'G-7 Rivers Data'!$B$4:$B$8,0),MATCH(T248,'G-7 Rivers Data'!$H$3:$L$3,0)),"")</f>
        <v/>
      </c>
      <c r="V248" s="154"/>
      <c r="W248" s="507" t="str">
        <f>IF(V248="","",IF(VLOOKUP(V248,'G-7 Rivers Data'!$AG$4:$AI$9,2,FALSE)=0,"Spatial Data Missing ⚠",VLOOKUP(V248,'G-7 Rivers Data'!$AG$4:$AI$9,2,FALSE)))</f>
        <v/>
      </c>
      <c r="X248" s="499" t="str">
        <f>IF(V248="","",IF(VLOOKUP(V248,'G-7 Rivers Data'!$AG$4:$AI$9,3,FALSE)=0,"Spatial Data Missing ⚠",VLOOKUP(V248,'G-7 Rivers Data'!$AG$4:$AI$9,3,FALSE)))</f>
        <v/>
      </c>
      <c r="Y248" s="498" t="str">
        <f>IFERROR(IF(OR(LEFT(P248,5)="Error ▲",LEFT(O248,5)="Error ▲"),"Check Data ⚠",IF(F248&lt;S248,'G-7 Rivers Data'!$R$3,INDEX('G-7 Rivers Data'!$U$5:$Y$9,MATCH(G248,'G-7 Rivers Data'!$T$5:$T$9,0),MATCH(T248,'G-7 Rivers Data'!$U$4:$Y$4,0)))),"")</f>
        <v/>
      </c>
      <c r="Z248" s="195"/>
      <c r="AA248" s="195"/>
      <c r="AB248" s="507" t="str">
        <f t="shared" si="27"/>
        <v/>
      </c>
      <c r="AC248" s="521" t="str">
        <f t="shared" si="28"/>
        <v/>
      </c>
      <c r="AD248" s="564" t="str">
        <f>IFERROR(IF(AC248="Check Data ⚠","Check Data ⚠",VLOOKUP(AC248,'G-4 Temporal multipliers'!$A$4:$C$37,3,FALSE)),"")</f>
        <v/>
      </c>
      <c r="AE248" s="498" t="str">
        <f>IF(N248="","",VLOOKUP(N248,'G-7 Rivers Data'!$B$4:$G$8,5,FALSE))</f>
        <v/>
      </c>
      <c r="AF248" s="507" t="str">
        <f t="shared" si="29"/>
        <v/>
      </c>
      <c r="AG248" s="540" t="str">
        <f t="shared" si="30"/>
        <v/>
      </c>
      <c r="AH248" s="499" t="str">
        <f t="shared" si="24"/>
        <v/>
      </c>
      <c r="AI248" s="145"/>
      <c r="AJ248" s="499" t="str">
        <f>IF(AI248="","",IF(VLOOKUP(AI248,'G-7 Rivers Data'!$AA$4:$AB$7,2,FALSE)=0,"Spatial Data Missing ⚠",VLOOKUP(AI248,'G-7 Rivers Data'!$AA$4:$AB$7,2,FALSE)))</f>
        <v/>
      </c>
      <c r="AK248" s="155"/>
      <c r="AL248" s="499" t="str">
        <f>IF(AK248="","",IF(VLOOKUP(AK248,'G-7 Rivers Data'!$AD$4:$AE$8,2,FALSE)=0,"Spatial Data Missing ⚠",VLOOKUP(AK248,'G-7 Rivers Data'!$AD$4:$AE$8,2,FALSE)))</f>
        <v/>
      </c>
      <c r="AM248" s="545" t="str">
        <f t="shared" si="31"/>
        <v/>
      </c>
      <c r="AN248" s="149"/>
      <c r="AO248" s="150"/>
      <c r="AV248" s="31" t="str">
        <f>IFERROR(INDEX('G-7 Rivers Data'!$AZ$3:$AZ$7,MATCH(N248,'G-7 Rivers Data'!$AY$3:$AY$7,0)),"")</f>
        <v/>
      </c>
    </row>
    <row r="249" spans="2:48" ht="14" x14ac:dyDescent="0.3">
      <c r="B249" s="531" t="str">
        <f>'C-1 Site River Baseline'!AN247</f>
        <v/>
      </c>
      <c r="C249" s="520" t="str">
        <f>IF(B249="","",VLOOKUP($B249,'C-1 Site River Baseline'!$C$9:$R$257,2,FALSE))</f>
        <v/>
      </c>
      <c r="D249" s="520" t="str">
        <f>IF(C249="","",VLOOKUP($B249,'C-1 Site River Baseline'!$C$9:$R$257,3,FALSE))</f>
        <v/>
      </c>
      <c r="E249" s="520" t="str">
        <f>IF(D249="","",VLOOKUP($B249,'C-1 Site River Baseline'!$C$9:$R$257,4,FALSE))</f>
        <v/>
      </c>
      <c r="F249" s="520" t="str">
        <f>IF(E249="","",VLOOKUP($B249,'C-1 Site River Baseline'!$C$9:$R$257,5,FALSE))</f>
        <v/>
      </c>
      <c r="G249" s="520" t="str">
        <f>IF(F249="","",VLOOKUP($B249,'C-1 Site River Baseline'!$C$9:$R$257,6,FALSE))</f>
        <v/>
      </c>
      <c r="H249" s="520" t="str">
        <f>IF(G249="","",VLOOKUP($B249,'C-1 Site River Baseline'!$C$9:$R$257,7,FALSE))</f>
        <v/>
      </c>
      <c r="I249" s="520" t="str">
        <f>IF(H249="","",VLOOKUP($B249,'C-1 Site River Baseline'!$C$9:$R$257,8,FALSE))</f>
        <v/>
      </c>
      <c r="J249" s="520" t="str">
        <f>IF(I249="","",VLOOKUP($B249,'C-1 Site River Baseline'!$C$9:$R$257,9,FALSE))</f>
        <v/>
      </c>
      <c r="K249" s="520" t="str">
        <f>IF(J249="","",VLOOKUP($B249,'C-1 Site River Baseline'!$C$9:$R$257,10,FALSE))</f>
        <v/>
      </c>
      <c r="L249" s="520" t="str">
        <f>IF(B249="","",VLOOKUP($B249,'C-1 Site River Baseline'!$C$9:$R$257,15,FALSE))</f>
        <v/>
      </c>
      <c r="M249" s="524" t="str">
        <f>IF(L249="","",VLOOKUP($B249,'C-1 Site River Baseline'!$C$9:$R$257,16,FALSE))</f>
        <v/>
      </c>
      <c r="N249" s="418" t="str">
        <f t="shared" si="25"/>
        <v/>
      </c>
      <c r="O249" s="498" t="str">
        <f t="shared" si="26"/>
        <v/>
      </c>
      <c r="P249" s="499" t="str">
        <f>IF(C249="","",IF(AND(LEFT(C249,55)&lt;&gt;LEFT(N249,55),O249="High - High"),"Error - Not like for like ▲",IF(AND(F249=S249,H249&gt;U249),"Error - Can not reduce condition ▲",IF(AND(F249=S249,H249=U249,AJ249='C-1 Site River Baseline'!N247,'C-1 Site River Baseline'!P247=AL249),"Error - No enhancement ▲",IF(AND(C249&lt;&gt;N249,F249&lt;S249),"Lower Distinctiveness Habitat"&amp;" - "&amp;T249,G249&amp;" - "&amp;T249)))))</f>
        <v/>
      </c>
      <c r="Q249" s="567" t="str">
        <f>IF(N249="","",VLOOKUP(B249,'C-1 Site River Baseline'!$C$10:$AA$257,19,FALSE))</f>
        <v/>
      </c>
      <c r="R249" s="498" t="str">
        <f>IF(N249="","",VLOOKUP(N249,'G-7 Rivers Data'!$B$2:$G$8,2,FALSE))</f>
        <v/>
      </c>
      <c r="S249" s="499" t="str">
        <f>IFERROR(VLOOKUP(R249,'G-7 Rivers Data'!$C$4:$D$8,2,FALSE),"")</f>
        <v/>
      </c>
      <c r="T249" s="145"/>
      <c r="U249" s="499" t="str">
        <f>IFERROR(INDEX('G-7 Rivers Data'!$H$4:$L$8,MATCH(N249,'G-7 Rivers Data'!$B$4:$B$8,0),MATCH(T249,'G-7 Rivers Data'!$H$3:$L$3,0)),"")</f>
        <v/>
      </c>
      <c r="V249" s="154"/>
      <c r="W249" s="507" t="str">
        <f>IF(V249="","",IF(VLOOKUP(V249,'G-7 Rivers Data'!$AG$4:$AI$9,2,FALSE)=0,"Spatial Data Missing ⚠",VLOOKUP(V249,'G-7 Rivers Data'!$AG$4:$AI$9,2,FALSE)))</f>
        <v/>
      </c>
      <c r="X249" s="499" t="str">
        <f>IF(V249="","",IF(VLOOKUP(V249,'G-7 Rivers Data'!$AG$4:$AI$9,3,FALSE)=0,"Spatial Data Missing ⚠",VLOOKUP(V249,'G-7 Rivers Data'!$AG$4:$AI$9,3,FALSE)))</f>
        <v/>
      </c>
      <c r="Y249" s="498" t="str">
        <f>IFERROR(IF(OR(LEFT(P249,5)="Error ▲",LEFT(O249,5)="Error ▲"),"Check Data ⚠",IF(F249&lt;S249,'G-7 Rivers Data'!$R$3,INDEX('G-7 Rivers Data'!$U$5:$Y$9,MATCH(G249,'G-7 Rivers Data'!$T$5:$T$9,0),MATCH(T249,'G-7 Rivers Data'!$U$4:$Y$4,0)))),"")</f>
        <v/>
      </c>
      <c r="Z249" s="195"/>
      <c r="AA249" s="195"/>
      <c r="AB249" s="507" t="str">
        <f t="shared" si="27"/>
        <v/>
      </c>
      <c r="AC249" s="521" t="str">
        <f t="shared" si="28"/>
        <v/>
      </c>
      <c r="AD249" s="564" t="str">
        <f>IFERROR(IF(AC249="Check Data ⚠","Check Data ⚠",VLOOKUP(AC249,'G-4 Temporal multipliers'!$A$4:$C$37,3,FALSE)),"")</f>
        <v/>
      </c>
      <c r="AE249" s="498" t="str">
        <f>IF(N249="","",VLOOKUP(N249,'G-7 Rivers Data'!$B$4:$G$8,5,FALSE))</f>
        <v/>
      </c>
      <c r="AF249" s="507" t="str">
        <f t="shared" si="29"/>
        <v/>
      </c>
      <c r="AG249" s="540" t="str">
        <f t="shared" si="30"/>
        <v/>
      </c>
      <c r="AH249" s="499" t="str">
        <f t="shared" si="24"/>
        <v/>
      </c>
      <c r="AI249" s="145"/>
      <c r="AJ249" s="499" t="str">
        <f>IF(AI249="","",IF(VLOOKUP(AI249,'G-7 Rivers Data'!$AA$4:$AB$7,2,FALSE)=0,"Spatial Data Missing ⚠",VLOOKUP(AI249,'G-7 Rivers Data'!$AA$4:$AB$7,2,FALSE)))</f>
        <v/>
      </c>
      <c r="AK249" s="155"/>
      <c r="AL249" s="499" t="str">
        <f>IF(AK249="","",IF(VLOOKUP(AK249,'G-7 Rivers Data'!$AD$4:$AE$8,2,FALSE)=0,"Spatial Data Missing ⚠",VLOOKUP(AK249,'G-7 Rivers Data'!$AD$4:$AE$8,2,FALSE)))</f>
        <v/>
      </c>
      <c r="AM249" s="545" t="str">
        <f t="shared" si="31"/>
        <v/>
      </c>
      <c r="AN249" s="149"/>
      <c r="AO249" s="150"/>
      <c r="AV249" s="31" t="str">
        <f>IFERROR(INDEX('G-7 Rivers Data'!$AZ$3:$AZ$7,MATCH(N249,'G-7 Rivers Data'!$AY$3:$AY$7,0)),"")</f>
        <v/>
      </c>
    </row>
    <row r="250" spans="2:48" ht="14" x14ac:dyDescent="0.3">
      <c r="B250" s="531" t="str">
        <f>'C-1 Site River Baseline'!AN248</f>
        <v/>
      </c>
      <c r="C250" s="520" t="str">
        <f>IF(B250="","",VLOOKUP($B250,'C-1 Site River Baseline'!$C$9:$R$257,2,FALSE))</f>
        <v/>
      </c>
      <c r="D250" s="520" t="str">
        <f>IF(C250="","",VLOOKUP($B250,'C-1 Site River Baseline'!$C$9:$R$257,3,FALSE))</f>
        <v/>
      </c>
      <c r="E250" s="520" t="str">
        <f>IF(D250="","",VLOOKUP($B250,'C-1 Site River Baseline'!$C$9:$R$257,4,FALSE))</f>
        <v/>
      </c>
      <c r="F250" s="520" t="str">
        <f>IF(E250="","",VLOOKUP($B250,'C-1 Site River Baseline'!$C$9:$R$257,5,FALSE))</f>
        <v/>
      </c>
      <c r="G250" s="520" t="str">
        <f>IF(F250="","",VLOOKUP($B250,'C-1 Site River Baseline'!$C$9:$R$257,6,FALSE))</f>
        <v/>
      </c>
      <c r="H250" s="520" t="str">
        <f>IF(G250="","",VLOOKUP($B250,'C-1 Site River Baseline'!$C$9:$R$257,7,FALSE))</f>
        <v/>
      </c>
      <c r="I250" s="520" t="str">
        <f>IF(H250="","",VLOOKUP($B250,'C-1 Site River Baseline'!$C$9:$R$257,8,FALSE))</f>
        <v/>
      </c>
      <c r="J250" s="520" t="str">
        <f>IF(I250="","",VLOOKUP($B250,'C-1 Site River Baseline'!$C$9:$R$257,9,FALSE))</f>
        <v/>
      </c>
      <c r="K250" s="520" t="str">
        <f>IF(J250="","",VLOOKUP($B250,'C-1 Site River Baseline'!$C$9:$R$257,10,FALSE))</f>
        <v/>
      </c>
      <c r="L250" s="520" t="str">
        <f>IF(B250="","",VLOOKUP($B250,'C-1 Site River Baseline'!$C$9:$R$257,15,FALSE))</f>
        <v/>
      </c>
      <c r="M250" s="524" t="str">
        <f>IF(L250="","",VLOOKUP($B250,'C-1 Site River Baseline'!$C$9:$R$257,16,FALSE))</f>
        <v/>
      </c>
      <c r="N250" s="418" t="str">
        <f t="shared" si="25"/>
        <v/>
      </c>
      <c r="O250" s="498" t="str">
        <f t="shared" si="26"/>
        <v/>
      </c>
      <c r="P250" s="499" t="str">
        <f>IF(C250="","",IF(AND(LEFT(C250,55)&lt;&gt;LEFT(N250,55),O250="High - High"),"Error - Not like for like ▲",IF(AND(F250=S250,H250&gt;U250),"Error - Can not reduce condition ▲",IF(AND(F250=S250,H250=U250,AJ250='C-1 Site River Baseline'!N248,'C-1 Site River Baseline'!P248=AL250),"Error - No enhancement ▲",IF(AND(C250&lt;&gt;N250,F250&lt;S250),"Lower Distinctiveness Habitat"&amp;" - "&amp;T250,G250&amp;" - "&amp;T250)))))</f>
        <v/>
      </c>
      <c r="Q250" s="567" t="str">
        <f>IF(N250="","",VLOOKUP(B250,'C-1 Site River Baseline'!$C$10:$AA$257,19,FALSE))</f>
        <v/>
      </c>
      <c r="R250" s="498" t="str">
        <f>IF(N250="","",VLOOKUP(N250,'G-7 Rivers Data'!$B$2:$G$8,2,FALSE))</f>
        <v/>
      </c>
      <c r="S250" s="499" t="str">
        <f>IFERROR(VLOOKUP(R250,'G-7 Rivers Data'!$C$4:$D$8,2,FALSE),"")</f>
        <v/>
      </c>
      <c r="T250" s="145"/>
      <c r="U250" s="499" t="str">
        <f>IFERROR(INDEX('G-7 Rivers Data'!$H$4:$L$8,MATCH(N250,'G-7 Rivers Data'!$B$4:$B$8,0),MATCH(T250,'G-7 Rivers Data'!$H$3:$L$3,0)),"")</f>
        <v/>
      </c>
      <c r="V250" s="154"/>
      <c r="W250" s="507" t="str">
        <f>IF(V250="","",IF(VLOOKUP(V250,'G-7 Rivers Data'!$AG$4:$AI$9,2,FALSE)=0,"Spatial Data Missing ⚠",VLOOKUP(V250,'G-7 Rivers Data'!$AG$4:$AI$9,2,FALSE)))</f>
        <v/>
      </c>
      <c r="X250" s="499" t="str">
        <f>IF(V250="","",IF(VLOOKUP(V250,'G-7 Rivers Data'!$AG$4:$AI$9,3,FALSE)=0,"Spatial Data Missing ⚠",VLOOKUP(V250,'G-7 Rivers Data'!$AG$4:$AI$9,3,FALSE)))</f>
        <v/>
      </c>
      <c r="Y250" s="498" t="str">
        <f>IFERROR(IF(OR(LEFT(P250,5)="Error ▲",LEFT(O250,5)="Error ▲"),"Check Data ⚠",IF(F250&lt;S250,'G-7 Rivers Data'!$R$3,INDEX('G-7 Rivers Data'!$U$5:$Y$9,MATCH(G250,'G-7 Rivers Data'!$T$5:$T$9,0),MATCH(T250,'G-7 Rivers Data'!$U$4:$Y$4,0)))),"")</f>
        <v/>
      </c>
      <c r="Z250" s="195"/>
      <c r="AA250" s="195"/>
      <c r="AB250" s="507" t="str">
        <f t="shared" si="27"/>
        <v/>
      </c>
      <c r="AC250" s="521" t="str">
        <f t="shared" si="28"/>
        <v/>
      </c>
      <c r="AD250" s="564" t="str">
        <f>IFERROR(IF(AC250="Check Data ⚠","Check Data ⚠",VLOOKUP(AC250,'G-4 Temporal multipliers'!$A$4:$C$37,3,FALSE)),"")</f>
        <v/>
      </c>
      <c r="AE250" s="498" t="str">
        <f>IF(N250="","",VLOOKUP(N250,'G-7 Rivers Data'!$B$4:$G$8,5,FALSE))</f>
        <v/>
      </c>
      <c r="AF250" s="507" t="str">
        <f t="shared" si="29"/>
        <v/>
      </c>
      <c r="AG250" s="540" t="str">
        <f t="shared" si="30"/>
        <v/>
      </c>
      <c r="AH250" s="499" t="str">
        <f t="shared" si="24"/>
        <v/>
      </c>
      <c r="AI250" s="145"/>
      <c r="AJ250" s="499" t="str">
        <f>IF(AI250="","",IF(VLOOKUP(AI250,'G-7 Rivers Data'!$AA$4:$AB$7,2,FALSE)=0,"Spatial Data Missing ⚠",VLOOKUP(AI250,'G-7 Rivers Data'!$AA$4:$AB$7,2,FALSE)))</f>
        <v/>
      </c>
      <c r="AK250" s="155"/>
      <c r="AL250" s="499" t="str">
        <f>IF(AK250="","",IF(VLOOKUP(AK250,'G-7 Rivers Data'!$AD$4:$AE$8,2,FALSE)=0,"Spatial Data Missing ⚠",VLOOKUP(AK250,'G-7 Rivers Data'!$AD$4:$AE$8,2,FALSE)))</f>
        <v/>
      </c>
      <c r="AM250" s="545" t="str">
        <f t="shared" si="31"/>
        <v/>
      </c>
      <c r="AN250" s="149"/>
      <c r="AO250" s="150"/>
      <c r="AV250" s="31" t="str">
        <f>IFERROR(INDEX('G-7 Rivers Data'!$AZ$3:$AZ$7,MATCH(N250,'G-7 Rivers Data'!$AY$3:$AY$7,0)),"")</f>
        <v/>
      </c>
    </row>
    <row r="251" spans="2:48" ht="14" x14ac:dyDescent="0.3">
      <c r="B251" s="531" t="str">
        <f>'C-1 Site River Baseline'!AN249</f>
        <v/>
      </c>
      <c r="C251" s="520" t="str">
        <f>IF(B251="","",VLOOKUP($B251,'C-1 Site River Baseline'!$C$9:$R$257,2,FALSE))</f>
        <v/>
      </c>
      <c r="D251" s="520" t="str">
        <f>IF(C251="","",VLOOKUP($B251,'C-1 Site River Baseline'!$C$9:$R$257,3,FALSE))</f>
        <v/>
      </c>
      <c r="E251" s="520" t="str">
        <f>IF(D251="","",VLOOKUP($B251,'C-1 Site River Baseline'!$C$9:$R$257,4,FALSE))</f>
        <v/>
      </c>
      <c r="F251" s="520" t="str">
        <f>IF(E251="","",VLOOKUP($B251,'C-1 Site River Baseline'!$C$9:$R$257,5,FALSE))</f>
        <v/>
      </c>
      <c r="G251" s="520" t="str">
        <f>IF(F251="","",VLOOKUP($B251,'C-1 Site River Baseline'!$C$9:$R$257,6,FALSE))</f>
        <v/>
      </c>
      <c r="H251" s="520" t="str">
        <f>IF(G251="","",VLOOKUP($B251,'C-1 Site River Baseline'!$C$9:$R$257,7,FALSE))</f>
        <v/>
      </c>
      <c r="I251" s="520" t="str">
        <f>IF(H251="","",VLOOKUP($B251,'C-1 Site River Baseline'!$C$9:$R$257,8,FALSE))</f>
        <v/>
      </c>
      <c r="J251" s="520" t="str">
        <f>IF(I251="","",VLOOKUP($B251,'C-1 Site River Baseline'!$C$9:$R$257,9,FALSE))</f>
        <v/>
      </c>
      <c r="K251" s="520" t="str">
        <f>IF(J251="","",VLOOKUP($B251,'C-1 Site River Baseline'!$C$9:$R$257,10,FALSE))</f>
        <v/>
      </c>
      <c r="L251" s="520" t="str">
        <f>IF(B251="","",VLOOKUP($B251,'C-1 Site River Baseline'!$C$9:$R$257,15,FALSE))</f>
        <v/>
      </c>
      <c r="M251" s="524" t="str">
        <f>IF(L251="","",VLOOKUP($B251,'C-1 Site River Baseline'!$C$9:$R$257,16,FALSE))</f>
        <v/>
      </c>
      <c r="N251" s="418" t="str">
        <f t="shared" si="25"/>
        <v/>
      </c>
      <c r="O251" s="498" t="str">
        <f t="shared" si="26"/>
        <v/>
      </c>
      <c r="P251" s="499" t="str">
        <f>IF(C251="","",IF(AND(LEFT(C251,55)&lt;&gt;LEFT(N251,55),O251="High - High"),"Error - Not like for like ▲",IF(AND(F251=S251,H251&gt;U251),"Error - Can not reduce condition ▲",IF(AND(F251=S251,H251=U251,AJ251='C-1 Site River Baseline'!N249,'C-1 Site River Baseline'!P249=AL251),"Error - No enhancement ▲",IF(AND(C251&lt;&gt;N251,F251&lt;S251),"Lower Distinctiveness Habitat"&amp;" - "&amp;T251,G251&amp;" - "&amp;T251)))))</f>
        <v/>
      </c>
      <c r="Q251" s="567" t="str">
        <f>IF(N251="","",VLOOKUP(B251,'C-1 Site River Baseline'!$C$10:$AA$257,19,FALSE))</f>
        <v/>
      </c>
      <c r="R251" s="498" t="str">
        <f>IF(N251="","",VLOOKUP(N251,'G-7 Rivers Data'!$B$2:$G$8,2,FALSE))</f>
        <v/>
      </c>
      <c r="S251" s="499" t="str">
        <f>IFERROR(VLOOKUP(R251,'G-7 Rivers Data'!$C$4:$D$8,2,FALSE),"")</f>
        <v/>
      </c>
      <c r="T251" s="145"/>
      <c r="U251" s="499" t="str">
        <f>IFERROR(INDEX('G-7 Rivers Data'!$H$4:$L$8,MATCH(N251,'G-7 Rivers Data'!$B$4:$B$8,0),MATCH(T251,'G-7 Rivers Data'!$H$3:$L$3,0)),"")</f>
        <v/>
      </c>
      <c r="V251" s="154"/>
      <c r="W251" s="507" t="str">
        <f>IF(V251="","",IF(VLOOKUP(V251,'G-7 Rivers Data'!$AG$4:$AI$9,2,FALSE)=0,"Spatial Data Missing ⚠",VLOOKUP(V251,'G-7 Rivers Data'!$AG$4:$AI$9,2,FALSE)))</f>
        <v/>
      </c>
      <c r="X251" s="499" t="str">
        <f>IF(V251="","",IF(VLOOKUP(V251,'G-7 Rivers Data'!$AG$4:$AI$9,3,FALSE)=0,"Spatial Data Missing ⚠",VLOOKUP(V251,'G-7 Rivers Data'!$AG$4:$AI$9,3,FALSE)))</f>
        <v/>
      </c>
      <c r="Y251" s="498" t="str">
        <f>IFERROR(IF(OR(LEFT(P251,5)="Error ▲",LEFT(O251,5)="Error ▲"),"Check Data ⚠",IF(F251&lt;S251,'G-7 Rivers Data'!$R$3,INDEX('G-7 Rivers Data'!$U$5:$Y$9,MATCH(G251,'G-7 Rivers Data'!$T$5:$T$9,0),MATCH(T251,'G-7 Rivers Data'!$U$4:$Y$4,0)))),"")</f>
        <v/>
      </c>
      <c r="Z251" s="195"/>
      <c r="AA251" s="195"/>
      <c r="AB251" s="507" t="str">
        <f t="shared" si="27"/>
        <v/>
      </c>
      <c r="AC251" s="521" t="str">
        <f t="shared" si="28"/>
        <v/>
      </c>
      <c r="AD251" s="564" t="str">
        <f>IFERROR(IF(AC251="Check Data ⚠","Check Data ⚠",VLOOKUP(AC251,'G-4 Temporal multipliers'!$A$4:$C$37,3,FALSE)),"")</f>
        <v/>
      </c>
      <c r="AE251" s="498" t="str">
        <f>IF(N251="","",VLOOKUP(N251,'G-7 Rivers Data'!$B$4:$G$8,5,FALSE))</f>
        <v/>
      </c>
      <c r="AF251" s="507" t="str">
        <f t="shared" si="29"/>
        <v/>
      </c>
      <c r="AG251" s="540" t="str">
        <f t="shared" si="30"/>
        <v/>
      </c>
      <c r="AH251" s="499" t="str">
        <f t="shared" si="24"/>
        <v/>
      </c>
      <c r="AI251" s="145"/>
      <c r="AJ251" s="499" t="str">
        <f>IF(AI251="","",IF(VLOOKUP(AI251,'G-7 Rivers Data'!$AA$4:$AB$7,2,FALSE)=0,"Spatial Data Missing ⚠",VLOOKUP(AI251,'G-7 Rivers Data'!$AA$4:$AB$7,2,FALSE)))</f>
        <v/>
      </c>
      <c r="AK251" s="155"/>
      <c r="AL251" s="499" t="str">
        <f>IF(AK251="","",IF(VLOOKUP(AK251,'G-7 Rivers Data'!$AD$4:$AE$8,2,FALSE)=0,"Spatial Data Missing ⚠",VLOOKUP(AK251,'G-7 Rivers Data'!$AD$4:$AE$8,2,FALSE)))</f>
        <v/>
      </c>
      <c r="AM251" s="545" t="str">
        <f t="shared" si="31"/>
        <v/>
      </c>
      <c r="AN251" s="149"/>
      <c r="AO251" s="150"/>
      <c r="AV251" s="31" t="str">
        <f>IFERROR(INDEX('G-7 Rivers Data'!$AZ$3:$AZ$7,MATCH(N251,'G-7 Rivers Data'!$AY$3:$AY$7,0)),"")</f>
        <v/>
      </c>
    </row>
    <row r="252" spans="2:48" ht="14" x14ac:dyDescent="0.3">
      <c r="B252" s="531" t="str">
        <f>'C-1 Site River Baseline'!AN250</f>
        <v/>
      </c>
      <c r="C252" s="520" t="str">
        <f>IF(B252="","",VLOOKUP($B252,'C-1 Site River Baseline'!$C$9:$R$257,2,FALSE))</f>
        <v/>
      </c>
      <c r="D252" s="520" t="str">
        <f>IF(C252="","",VLOOKUP($B252,'C-1 Site River Baseline'!$C$9:$R$257,3,FALSE))</f>
        <v/>
      </c>
      <c r="E252" s="520" t="str">
        <f>IF(D252="","",VLOOKUP($B252,'C-1 Site River Baseline'!$C$9:$R$257,4,FALSE))</f>
        <v/>
      </c>
      <c r="F252" s="520" t="str">
        <f>IF(E252="","",VLOOKUP($B252,'C-1 Site River Baseline'!$C$9:$R$257,5,FALSE))</f>
        <v/>
      </c>
      <c r="G252" s="520" t="str">
        <f>IF(F252="","",VLOOKUP($B252,'C-1 Site River Baseline'!$C$9:$R$257,6,FALSE))</f>
        <v/>
      </c>
      <c r="H252" s="520" t="str">
        <f>IF(G252="","",VLOOKUP($B252,'C-1 Site River Baseline'!$C$9:$R$257,7,FALSE))</f>
        <v/>
      </c>
      <c r="I252" s="520" t="str">
        <f>IF(H252="","",VLOOKUP($B252,'C-1 Site River Baseline'!$C$9:$R$257,8,FALSE))</f>
        <v/>
      </c>
      <c r="J252" s="520" t="str">
        <f>IF(I252="","",VLOOKUP($B252,'C-1 Site River Baseline'!$C$9:$R$257,9,FALSE))</f>
        <v/>
      </c>
      <c r="K252" s="520" t="str">
        <f>IF(J252="","",VLOOKUP($B252,'C-1 Site River Baseline'!$C$9:$R$257,10,FALSE))</f>
        <v/>
      </c>
      <c r="L252" s="520" t="str">
        <f>IF(B252="","",VLOOKUP($B252,'C-1 Site River Baseline'!$C$9:$R$257,15,FALSE))</f>
        <v/>
      </c>
      <c r="M252" s="524" t="str">
        <f>IF(L252="","",VLOOKUP($B252,'C-1 Site River Baseline'!$C$9:$R$257,16,FALSE))</f>
        <v/>
      </c>
      <c r="N252" s="418" t="str">
        <f t="shared" si="25"/>
        <v/>
      </c>
      <c r="O252" s="498" t="str">
        <f t="shared" si="26"/>
        <v/>
      </c>
      <c r="P252" s="499" t="str">
        <f>IF(C252="","",IF(AND(LEFT(C252,55)&lt;&gt;LEFT(N252,55),O252="High - High"),"Error - Not like for like ▲",IF(AND(F252=S252,H252&gt;U252),"Error - Can not reduce condition ▲",IF(AND(F252=S252,H252=U252,AJ252='C-1 Site River Baseline'!N250,'C-1 Site River Baseline'!P250=AL252),"Error - No enhancement ▲",IF(AND(C252&lt;&gt;N252,F252&lt;S252),"Lower Distinctiveness Habitat"&amp;" - "&amp;T252,G252&amp;" - "&amp;T252)))))</f>
        <v/>
      </c>
      <c r="Q252" s="567" t="str">
        <f>IF(N252="","",VLOOKUP(B252,'C-1 Site River Baseline'!$C$10:$AA$257,19,FALSE))</f>
        <v/>
      </c>
      <c r="R252" s="498" t="str">
        <f>IF(N252="","",VLOOKUP(N252,'G-7 Rivers Data'!$B$2:$G$8,2,FALSE))</f>
        <v/>
      </c>
      <c r="S252" s="499" t="str">
        <f>IFERROR(VLOOKUP(R252,'G-7 Rivers Data'!$C$4:$D$8,2,FALSE),"")</f>
        <v/>
      </c>
      <c r="T252" s="145"/>
      <c r="U252" s="499" t="str">
        <f>IFERROR(INDEX('G-7 Rivers Data'!$H$4:$L$8,MATCH(N252,'G-7 Rivers Data'!$B$4:$B$8,0),MATCH(T252,'G-7 Rivers Data'!$H$3:$L$3,0)),"")</f>
        <v/>
      </c>
      <c r="V252" s="154"/>
      <c r="W252" s="507" t="str">
        <f>IF(V252="","",IF(VLOOKUP(V252,'G-7 Rivers Data'!$AG$4:$AI$9,2,FALSE)=0,"Spatial Data Missing ⚠",VLOOKUP(V252,'G-7 Rivers Data'!$AG$4:$AI$9,2,FALSE)))</f>
        <v/>
      </c>
      <c r="X252" s="499" t="str">
        <f>IF(V252="","",IF(VLOOKUP(V252,'G-7 Rivers Data'!$AG$4:$AI$9,3,FALSE)=0,"Spatial Data Missing ⚠",VLOOKUP(V252,'G-7 Rivers Data'!$AG$4:$AI$9,3,FALSE)))</f>
        <v/>
      </c>
      <c r="Y252" s="498" t="str">
        <f>IFERROR(IF(OR(LEFT(P252,5)="Error ▲",LEFT(O252,5)="Error ▲"),"Check Data ⚠",IF(F252&lt;S252,'G-7 Rivers Data'!$R$3,INDEX('G-7 Rivers Data'!$U$5:$Y$9,MATCH(G252,'G-7 Rivers Data'!$T$5:$T$9,0),MATCH(T252,'G-7 Rivers Data'!$U$4:$Y$4,0)))),"")</f>
        <v/>
      </c>
      <c r="Z252" s="195"/>
      <c r="AA252" s="195"/>
      <c r="AB252" s="507" t="str">
        <f t="shared" si="27"/>
        <v/>
      </c>
      <c r="AC252" s="521" t="str">
        <f t="shared" si="28"/>
        <v/>
      </c>
      <c r="AD252" s="564" t="str">
        <f>IFERROR(IF(AC252="Check Data ⚠","Check Data ⚠",VLOOKUP(AC252,'G-4 Temporal multipliers'!$A$4:$C$37,3,FALSE)),"")</f>
        <v/>
      </c>
      <c r="AE252" s="498" t="str">
        <f>IF(N252="","",VLOOKUP(N252,'G-7 Rivers Data'!$B$4:$G$8,5,FALSE))</f>
        <v/>
      </c>
      <c r="AF252" s="507" t="str">
        <f t="shared" si="29"/>
        <v/>
      </c>
      <c r="AG252" s="540" t="str">
        <f t="shared" si="30"/>
        <v/>
      </c>
      <c r="AH252" s="499" t="str">
        <f t="shared" si="24"/>
        <v/>
      </c>
      <c r="AI252" s="145"/>
      <c r="AJ252" s="499" t="str">
        <f>IF(AI252="","",IF(VLOOKUP(AI252,'G-7 Rivers Data'!$AA$4:$AB$7,2,FALSE)=0,"Spatial Data Missing ⚠",VLOOKUP(AI252,'G-7 Rivers Data'!$AA$4:$AB$7,2,FALSE)))</f>
        <v/>
      </c>
      <c r="AK252" s="155"/>
      <c r="AL252" s="499" t="str">
        <f>IF(AK252="","",IF(VLOOKUP(AK252,'G-7 Rivers Data'!$AD$4:$AE$8,2,FALSE)=0,"Spatial Data Missing ⚠",VLOOKUP(AK252,'G-7 Rivers Data'!$AD$4:$AE$8,2,FALSE)))</f>
        <v/>
      </c>
      <c r="AM252" s="545" t="str">
        <f t="shared" si="31"/>
        <v/>
      </c>
      <c r="AN252" s="149"/>
      <c r="AO252" s="150"/>
      <c r="AV252" s="31" t="str">
        <f>IFERROR(INDEX('G-7 Rivers Data'!$AZ$3:$AZ$7,MATCH(N252,'G-7 Rivers Data'!$AY$3:$AY$7,0)),"")</f>
        <v/>
      </c>
    </row>
    <row r="253" spans="2:48" ht="14" x14ac:dyDescent="0.3">
      <c r="B253" s="531" t="str">
        <f>'C-1 Site River Baseline'!AN251</f>
        <v/>
      </c>
      <c r="C253" s="520" t="str">
        <f>IF(B253="","",VLOOKUP($B253,'C-1 Site River Baseline'!$C$9:$R$257,2,FALSE))</f>
        <v/>
      </c>
      <c r="D253" s="520" t="str">
        <f>IF(C253="","",VLOOKUP($B253,'C-1 Site River Baseline'!$C$9:$R$257,3,FALSE))</f>
        <v/>
      </c>
      <c r="E253" s="520" t="str">
        <f>IF(D253="","",VLOOKUP($B253,'C-1 Site River Baseline'!$C$9:$R$257,4,FALSE))</f>
        <v/>
      </c>
      <c r="F253" s="520" t="str">
        <f>IF(E253="","",VLOOKUP($B253,'C-1 Site River Baseline'!$C$9:$R$257,5,FALSE))</f>
        <v/>
      </c>
      <c r="G253" s="520" t="str">
        <f>IF(F253="","",VLOOKUP($B253,'C-1 Site River Baseline'!$C$9:$R$257,6,FALSE))</f>
        <v/>
      </c>
      <c r="H253" s="520" t="str">
        <f>IF(G253="","",VLOOKUP($B253,'C-1 Site River Baseline'!$C$9:$R$257,7,FALSE))</f>
        <v/>
      </c>
      <c r="I253" s="520" t="str">
        <f>IF(H253="","",VLOOKUP($B253,'C-1 Site River Baseline'!$C$9:$R$257,8,FALSE))</f>
        <v/>
      </c>
      <c r="J253" s="520" t="str">
        <f>IF(I253="","",VLOOKUP($B253,'C-1 Site River Baseline'!$C$9:$R$257,9,FALSE))</f>
        <v/>
      </c>
      <c r="K253" s="520" t="str">
        <f>IF(J253="","",VLOOKUP($B253,'C-1 Site River Baseline'!$C$9:$R$257,10,FALSE))</f>
        <v/>
      </c>
      <c r="L253" s="520" t="str">
        <f>IF(B253="","",VLOOKUP($B253,'C-1 Site River Baseline'!$C$9:$R$257,15,FALSE))</f>
        <v/>
      </c>
      <c r="M253" s="524" t="str">
        <f>IF(L253="","",VLOOKUP($B253,'C-1 Site River Baseline'!$C$9:$R$257,16,FALSE))</f>
        <v/>
      </c>
      <c r="N253" s="418" t="str">
        <f t="shared" si="25"/>
        <v/>
      </c>
      <c r="O253" s="498" t="str">
        <f t="shared" si="26"/>
        <v/>
      </c>
      <c r="P253" s="499" t="str">
        <f>IF(C253="","",IF(AND(LEFT(C253,55)&lt;&gt;LEFT(N253,55),O253="High - High"),"Error - Not like for like ▲",IF(AND(F253=S253,H253&gt;U253),"Error - Can not reduce condition ▲",IF(AND(F253=S253,H253=U253,AJ253='C-1 Site River Baseline'!N251,'C-1 Site River Baseline'!P251=AL253),"Error - No enhancement ▲",IF(AND(C253&lt;&gt;N253,F253&lt;S253),"Lower Distinctiveness Habitat"&amp;" - "&amp;T253,G253&amp;" - "&amp;T253)))))</f>
        <v/>
      </c>
      <c r="Q253" s="567" t="str">
        <f>IF(N253="","",VLOOKUP(B253,'C-1 Site River Baseline'!$C$10:$AA$257,19,FALSE))</f>
        <v/>
      </c>
      <c r="R253" s="498" t="str">
        <f>IF(N253="","",VLOOKUP(N253,'G-7 Rivers Data'!$B$2:$G$8,2,FALSE))</f>
        <v/>
      </c>
      <c r="S253" s="499" t="str">
        <f>IFERROR(VLOOKUP(R253,'G-7 Rivers Data'!$C$4:$D$8,2,FALSE),"")</f>
        <v/>
      </c>
      <c r="T253" s="145"/>
      <c r="U253" s="499" t="str">
        <f>IFERROR(INDEX('G-7 Rivers Data'!$H$4:$L$8,MATCH(N253,'G-7 Rivers Data'!$B$4:$B$8,0),MATCH(T253,'G-7 Rivers Data'!$H$3:$L$3,0)),"")</f>
        <v/>
      </c>
      <c r="V253" s="154"/>
      <c r="W253" s="507" t="str">
        <f>IF(V253="","",IF(VLOOKUP(V253,'G-7 Rivers Data'!$AG$4:$AI$9,2,FALSE)=0,"Spatial Data Missing ⚠",VLOOKUP(V253,'G-7 Rivers Data'!$AG$4:$AI$9,2,FALSE)))</f>
        <v/>
      </c>
      <c r="X253" s="499" t="str">
        <f>IF(V253="","",IF(VLOOKUP(V253,'G-7 Rivers Data'!$AG$4:$AI$9,3,FALSE)=0,"Spatial Data Missing ⚠",VLOOKUP(V253,'G-7 Rivers Data'!$AG$4:$AI$9,3,FALSE)))</f>
        <v/>
      </c>
      <c r="Y253" s="498" t="str">
        <f>IFERROR(IF(OR(LEFT(P253,5)="Error ▲",LEFT(O253,5)="Error ▲"),"Check Data ⚠",IF(F253&lt;S253,'G-7 Rivers Data'!$R$3,INDEX('G-7 Rivers Data'!$U$5:$Y$9,MATCH(G253,'G-7 Rivers Data'!$T$5:$T$9,0),MATCH(T253,'G-7 Rivers Data'!$U$4:$Y$4,0)))),"")</f>
        <v/>
      </c>
      <c r="Z253" s="195"/>
      <c r="AA253" s="195"/>
      <c r="AB253" s="507" t="str">
        <f t="shared" si="27"/>
        <v/>
      </c>
      <c r="AC253" s="521" t="str">
        <f t="shared" si="28"/>
        <v/>
      </c>
      <c r="AD253" s="564" t="str">
        <f>IFERROR(IF(AC253="Check Data ⚠","Check Data ⚠",VLOOKUP(AC253,'G-4 Temporal multipliers'!$A$4:$C$37,3,FALSE)),"")</f>
        <v/>
      </c>
      <c r="AE253" s="498" t="str">
        <f>IF(N253="","",VLOOKUP(N253,'G-7 Rivers Data'!$B$4:$G$8,5,FALSE))</f>
        <v/>
      </c>
      <c r="AF253" s="507" t="str">
        <f t="shared" si="29"/>
        <v/>
      </c>
      <c r="AG253" s="540" t="str">
        <f t="shared" si="30"/>
        <v/>
      </c>
      <c r="AH253" s="499" t="str">
        <f t="shared" si="24"/>
        <v/>
      </c>
      <c r="AI253" s="145"/>
      <c r="AJ253" s="499" t="str">
        <f>IF(AI253="","",IF(VLOOKUP(AI253,'G-7 Rivers Data'!$AA$4:$AB$7,2,FALSE)=0,"Spatial Data Missing ⚠",VLOOKUP(AI253,'G-7 Rivers Data'!$AA$4:$AB$7,2,FALSE)))</f>
        <v/>
      </c>
      <c r="AK253" s="155"/>
      <c r="AL253" s="499" t="str">
        <f>IF(AK253="","",IF(VLOOKUP(AK253,'G-7 Rivers Data'!$AD$4:$AE$8,2,FALSE)=0,"Spatial Data Missing ⚠",VLOOKUP(AK253,'G-7 Rivers Data'!$AD$4:$AE$8,2,FALSE)))</f>
        <v/>
      </c>
      <c r="AM253" s="545" t="str">
        <f t="shared" si="31"/>
        <v/>
      </c>
      <c r="AN253" s="149"/>
      <c r="AO253" s="150"/>
      <c r="AV253" s="31" t="str">
        <f>IFERROR(INDEX('G-7 Rivers Data'!$AZ$3:$AZ$7,MATCH(N253,'G-7 Rivers Data'!$AY$3:$AY$7,0)),"")</f>
        <v/>
      </c>
    </row>
    <row r="254" spans="2:48" ht="14" x14ac:dyDescent="0.3">
      <c r="B254" s="531" t="str">
        <f>'C-1 Site River Baseline'!AN252</f>
        <v/>
      </c>
      <c r="C254" s="520" t="str">
        <f>IF(B254="","",VLOOKUP($B254,'C-1 Site River Baseline'!$C$9:$R$257,2,FALSE))</f>
        <v/>
      </c>
      <c r="D254" s="520" t="str">
        <f>IF(C254="","",VLOOKUP($B254,'C-1 Site River Baseline'!$C$9:$R$257,3,FALSE))</f>
        <v/>
      </c>
      <c r="E254" s="520" t="str">
        <f>IF(D254="","",VLOOKUP($B254,'C-1 Site River Baseline'!$C$9:$R$257,4,FALSE))</f>
        <v/>
      </c>
      <c r="F254" s="520" t="str">
        <f>IF(E254="","",VLOOKUP($B254,'C-1 Site River Baseline'!$C$9:$R$257,5,FALSE))</f>
        <v/>
      </c>
      <c r="G254" s="520" t="str">
        <f>IF(F254="","",VLOOKUP($B254,'C-1 Site River Baseline'!$C$9:$R$257,6,FALSE))</f>
        <v/>
      </c>
      <c r="H254" s="520" t="str">
        <f>IF(G254="","",VLOOKUP($B254,'C-1 Site River Baseline'!$C$9:$R$257,7,FALSE))</f>
        <v/>
      </c>
      <c r="I254" s="520" t="str">
        <f>IF(H254="","",VLOOKUP($B254,'C-1 Site River Baseline'!$C$9:$R$257,8,FALSE))</f>
        <v/>
      </c>
      <c r="J254" s="520" t="str">
        <f>IF(I254="","",VLOOKUP($B254,'C-1 Site River Baseline'!$C$9:$R$257,9,FALSE))</f>
        <v/>
      </c>
      <c r="K254" s="520" t="str">
        <f>IF(J254="","",VLOOKUP($B254,'C-1 Site River Baseline'!$C$9:$R$257,10,FALSE))</f>
        <v/>
      </c>
      <c r="L254" s="520" t="str">
        <f>IF(B254="","",VLOOKUP($B254,'C-1 Site River Baseline'!$C$9:$R$257,15,FALSE))</f>
        <v/>
      </c>
      <c r="M254" s="524" t="str">
        <f>IF(L254="","",VLOOKUP($B254,'C-1 Site River Baseline'!$C$9:$R$257,16,FALSE))</f>
        <v/>
      </c>
      <c r="N254" s="418" t="str">
        <f t="shared" si="25"/>
        <v/>
      </c>
      <c r="O254" s="498" t="str">
        <f t="shared" si="26"/>
        <v/>
      </c>
      <c r="P254" s="499" t="str">
        <f>IF(C254="","",IF(AND(LEFT(C254,55)&lt;&gt;LEFT(N254,55),O254="High - High"),"Error - Not like for like ▲",IF(AND(F254=S254,H254&gt;U254),"Error - Can not reduce condition ▲",IF(AND(F254=S254,H254=U254,AJ254='C-1 Site River Baseline'!N252,'C-1 Site River Baseline'!P252=AL254),"Error - No enhancement ▲",IF(AND(C254&lt;&gt;N254,F254&lt;S254),"Lower Distinctiveness Habitat"&amp;" - "&amp;T254,G254&amp;" - "&amp;T254)))))</f>
        <v/>
      </c>
      <c r="Q254" s="567" t="str">
        <f>IF(N254="","",VLOOKUP(B254,'C-1 Site River Baseline'!$C$10:$AA$257,19,FALSE))</f>
        <v/>
      </c>
      <c r="R254" s="498" t="str">
        <f>IF(N254="","",VLOOKUP(N254,'G-7 Rivers Data'!$B$2:$G$8,2,FALSE))</f>
        <v/>
      </c>
      <c r="S254" s="499" t="str">
        <f>IFERROR(VLOOKUP(R254,'G-7 Rivers Data'!$C$4:$D$8,2,FALSE),"")</f>
        <v/>
      </c>
      <c r="T254" s="145"/>
      <c r="U254" s="499" t="str">
        <f>IFERROR(INDEX('G-7 Rivers Data'!$H$4:$L$8,MATCH(N254,'G-7 Rivers Data'!$B$4:$B$8,0),MATCH(T254,'G-7 Rivers Data'!$H$3:$L$3,0)),"")</f>
        <v/>
      </c>
      <c r="V254" s="154"/>
      <c r="W254" s="507" t="str">
        <f>IF(V254="","",IF(VLOOKUP(V254,'G-7 Rivers Data'!$AG$4:$AI$9,2,FALSE)=0,"Spatial Data Missing ⚠",VLOOKUP(V254,'G-7 Rivers Data'!$AG$4:$AI$9,2,FALSE)))</f>
        <v/>
      </c>
      <c r="X254" s="499" t="str">
        <f>IF(V254="","",IF(VLOOKUP(V254,'G-7 Rivers Data'!$AG$4:$AI$9,3,FALSE)=0,"Spatial Data Missing ⚠",VLOOKUP(V254,'G-7 Rivers Data'!$AG$4:$AI$9,3,FALSE)))</f>
        <v/>
      </c>
      <c r="Y254" s="498" t="str">
        <f>IFERROR(IF(OR(LEFT(P254,5)="Error ▲",LEFT(O254,5)="Error ▲"),"Check Data ⚠",IF(F254&lt;S254,'G-7 Rivers Data'!$R$3,INDEX('G-7 Rivers Data'!$U$5:$Y$9,MATCH(G254,'G-7 Rivers Data'!$T$5:$T$9,0),MATCH(T254,'G-7 Rivers Data'!$U$4:$Y$4,0)))),"")</f>
        <v/>
      </c>
      <c r="Z254" s="195"/>
      <c r="AA254" s="195"/>
      <c r="AB254" s="507" t="str">
        <f t="shared" si="27"/>
        <v/>
      </c>
      <c r="AC254" s="521" t="str">
        <f t="shared" si="28"/>
        <v/>
      </c>
      <c r="AD254" s="564" t="str">
        <f>IFERROR(IF(AC254="Check Data ⚠","Check Data ⚠",VLOOKUP(AC254,'G-4 Temporal multipliers'!$A$4:$C$37,3,FALSE)),"")</f>
        <v/>
      </c>
      <c r="AE254" s="498" t="str">
        <f>IF(N254="","",VLOOKUP(N254,'G-7 Rivers Data'!$B$4:$G$8,5,FALSE))</f>
        <v/>
      </c>
      <c r="AF254" s="507" t="str">
        <f t="shared" si="29"/>
        <v/>
      </c>
      <c r="AG254" s="540" t="str">
        <f t="shared" si="30"/>
        <v/>
      </c>
      <c r="AH254" s="499" t="str">
        <f t="shared" si="24"/>
        <v/>
      </c>
      <c r="AI254" s="145"/>
      <c r="AJ254" s="499" t="str">
        <f>IF(AI254="","",IF(VLOOKUP(AI254,'G-7 Rivers Data'!$AA$4:$AB$7,2,FALSE)=0,"Spatial Data Missing ⚠",VLOOKUP(AI254,'G-7 Rivers Data'!$AA$4:$AB$7,2,FALSE)))</f>
        <v/>
      </c>
      <c r="AK254" s="155"/>
      <c r="AL254" s="499" t="str">
        <f>IF(AK254="","",IF(VLOOKUP(AK254,'G-7 Rivers Data'!$AD$4:$AE$8,2,FALSE)=0,"Spatial Data Missing ⚠",VLOOKUP(AK254,'G-7 Rivers Data'!$AD$4:$AE$8,2,FALSE)))</f>
        <v/>
      </c>
      <c r="AM254" s="545" t="str">
        <f t="shared" si="31"/>
        <v/>
      </c>
      <c r="AN254" s="149"/>
      <c r="AO254" s="150"/>
      <c r="AV254" s="31" t="str">
        <f>IFERROR(INDEX('G-7 Rivers Data'!$AZ$3:$AZ$7,MATCH(N254,'G-7 Rivers Data'!$AY$3:$AY$7,0)),"")</f>
        <v/>
      </c>
    </row>
    <row r="255" spans="2:48" ht="14" x14ac:dyDescent="0.3">
      <c r="B255" s="531" t="str">
        <f>'C-1 Site River Baseline'!AN253</f>
        <v/>
      </c>
      <c r="C255" s="520" t="str">
        <f>IF(B255="","",VLOOKUP($B255,'C-1 Site River Baseline'!$C$9:$R$257,2,FALSE))</f>
        <v/>
      </c>
      <c r="D255" s="520" t="str">
        <f>IF(C255="","",VLOOKUP($B255,'C-1 Site River Baseline'!$C$9:$R$257,3,FALSE))</f>
        <v/>
      </c>
      <c r="E255" s="520" t="str">
        <f>IF(D255="","",VLOOKUP($B255,'C-1 Site River Baseline'!$C$9:$R$257,4,FALSE))</f>
        <v/>
      </c>
      <c r="F255" s="520" t="str">
        <f>IF(E255="","",VLOOKUP($B255,'C-1 Site River Baseline'!$C$9:$R$257,5,FALSE))</f>
        <v/>
      </c>
      <c r="G255" s="520" t="str">
        <f>IF(F255="","",VLOOKUP($B255,'C-1 Site River Baseline'!$C$9:$R$257,6,FALSE))</f>
        <v/>
      </c>
      <c r="H255" s="520" t="str">
        <f>IF(G255="","",VLOOKUP($B255,'C-1 Site River Baseline'!$C$9:$R$257,7,FALSE))</f>
        <v/>
      </c>
      <c r="I255" s="520" t="str">
        <f>IF(H255="","",VLOOKUP($B255,'C-1 Site River Baseline'!$C$9:$R$257,8,FALSE))</f>
        <v/>
      </c>
      <c r="J255" s="520" t="str">
        <f>IF(I255="","",VLOOKUP($B255,'C-1 Site River Baseline'!$C$9:$R$257,9,FALSE))</f>
        <v/>
      </c>
      <c r="K255" s="520" t="str">
        <f>IF(J255="","",VLOOKUP($B255,'C-1 Site River Baseline'!$C$9:$R$257,10,FALSE))</f>
        <v/>
      </c>
      <c r="L255" s="520" t="str">
        <f>IF(B255="","",VLOOKUP($B255,'C-1 Site River Baseline'!$C$9:$R$257,15,FALSE))</f>
        <v/>
      </c>
      <c r="M255" s="524" t="str">
        <f>IF(L255="","",VLOOKUP($B255,'C-1 Site River Baseline'!$C$9:$R$257,16,FALSE))</f>
        <v/>
      </c>
      <c r="N255" s="418" t="str">
        <f t="shared" si="25"/>
        <v/>
      </c>
      <c r="O255" s="498" t="str">
        <f t="shared" si="26"/>
        <v/>
      </c>
      <c r="P255" s="499" t="str">
        <f>IF(C255="","",IF(AND(LEFT(C255,55)&lt;&gt;LEFT(N255,55),O255="High - High"),"Error - Not like for like ▲",IF(AND(F255=S255,H255&gt;U255),"Error - Can not reduce condition ▲",IF(AND(F255=S255,H255=U255,AJ255='C-1 Site River Baseline'!N253,'C-1 Site River Baseline'!P253=AL255),"Error - No enhancement ▲",IF(AND(C255&lt;&gt;N255,F255&lt;S255),"Lower Distinctiveness Habitat"&amp;" - "&amp;T255,G255&amp;" - "&amp;T255)))))</f>
        <v/>
      </c>
      <c r="Q255" s="567" t="str">
        <f>IF(N255="","",VLOOKUP(B255,'C-1 Site River Baseline'!$C$10:$AA$257,19,FALSE))</f>
        <v/>
      </c>
      <c r="R255" s="498" t="str">
        <f>IF(N255="","",VLOOKUP(N255,'G-7 Rivers Data'!$B$2:$G$8,2,FALSE))</f>
        <v/>
      </c>
      <c r="S255" s="499" t="str">
        <f>IFERROR(VLOOKUP(R255,'G-7 Rivers Data'!$C$4:$D$8,2,FALSE),"")</f>
        <v/>
      </c>
      <c r="T255" s="145"/>
      <c r="U255" s="499" t="str">
        <f>IFERROR(INDEX('G-7 Rivers Data'!$H$4:$L$8,MATCH(N255,'G-7 Rivers Data'!$B$4:$B$8,0),MATCH(T255,'G-7 Rivers Data'!$H$3:$L$3,0)),"")</f>
        <v/>
      </c>
      <c r="V255" s="154"/>
      <c r="W255" s="507" t="str">
        <f>IF(V255="","",IF(VLOOKUP(V255,'G-7 Rivers Data'!$AG$4:$AI$9,2,FALSE)=0,"Spatial Data Missing ⚠",VLOOKUP(V255,'G-7 Rivers Data'!$AG$4:$AI$9,2,FALSE)))</f>
        <v/>
      </c>
      <c r="X255" s="499" t="str">
        <f>IF(V255="","",IF(VLOOKUP(V255,'G-7 Rivers Data'!$AG$4:$AI$9,3,FALSE)=0,"Spatial Data Missing ⚠",VLOOKUP(V255,'G-7 Rivers Data'!$AG$4:$AI$9,3,FALSE)))</f>
        <v/>
      </c>
      <c r="Y255" s="498" t="str">
        <f>IFERROR(IF(OR(LEFT(P255,5)="Error ▲",LEFT(O255,5)="Error ▲"),"Check Data ⚠",IF(F255&lt;S255,'G-7 Rivers Data'!$R$3,INDEX('G-7 Rivers Data'!$U$5:$Y$9,MATCH(G255,'G-7 Rivers Data'!$T$5:$T$9,0),MATCH(T255,'G-7 Rivers Data'!$U$4:$Y$4,0)))),"")</f>
        <v/>
      </c>
      <c r="Z255" s="195"/>
      <c r="AA255" s="195"/>
      <c r="AB255" s="507" t="str">
        <f t="shared" si="27"/>
        <v/>
      </c>
      <c r="AC255" s="521" t="str">
        <f t="shared" si="28"/>
        <v/>
      </c>
      <c r="AD255" s="564" t="str">
        <f>IFERROR(IF(AC255="Check Data ⚠","Check Data ⚠",VLOOKUP(AC255,'G-4 Temporal multipliers'!$A$4:$C$37,3,FALSE)),"")</f>
        <v/>
      </c>
      <c r="AE255" s="498" t="str">
        <f>IF(N255="","",VLOOKUP(N255,'G-7 Rivers Data'!$B$4:$G$8,5,FALSE))</f>
        <v/>
      </c>
      <c r="AF255" s="507" t="str">
        <f t="shared" si="29"/>
        <v/>
      </c>
      <c r="AG255" s="540" t="str">
        <f t="shared" si="30"/>
        <v/>
      </c>
      <c r="AH255" s="499" t="str">
        <f t="shared" si="24"/>
        <v/>
      </c>
      <c r="AI255" s="145"/>
      <c r="AJ255" s="499" t="str">
        <f>IF(AI255="","",IF(VLOOKUP(AI255,'G-7 Rivers Data'!$AA$4:$AB$7,2,FALSE)=0,"Spatial Data Missing ⚠",VLOOKUP(AI255,'G-7 Rivers Data'!$AA$4:$AB$7,2,FALSE)))</f>
        <v/>
      </c>
      <c r="AK255" s="155"/>
      <c r="AL255" s="499" t="str">
        <f>IF(AK255="","",IF(VLOOKUP(AK255,'G-7 Rivers Data'!$AD$4:$AE$8,2,FALSE)=0,"Spatial Data Missing ⚠",VLOOKUP(AK255,'G-7 Rivers Data'!$AD$4:$AE$8,2,FALSE)))</f>
        <v/>
      </c>
      <c r="AM255" s="545" t="str">
        <f t="shared" si="31"/>
        <v/>
      </c>
      <c r="AN255" s="149"/>
      <c r="AO255" s="150"/>
      <c r="AV255" s="31" t="str">
        <f>IFERROR(INDEX('G-7 Rivers Data'!$AZ$3:$AZ$7,MATCH(N255,'G-7 Rivers Data'!$AY$3:$AY$7,0)),"")</f>
        <v/>
      </c>
    </row>
    <row r="256" spans="2:48" ht="14" x14ac:dyDescent="0.3">
      <c r="B256" s="531" t="str">
        <f>'C-1 Site River Baseline'!AN254</f>
        <v/>
      </c>
      <c r="C256" s="520" t="str">
        <f>IF(B256="","",VLOOKUP($B256,'C-1 Site River Baseline'!$C$9:$R$257,2,FALSE))</f>
        <v/>
      </c>
      <c r="D256" s="520" t="str">
        <f>IF(C256="","",VLOOKUP($B256,'C-1 Site River Baseline'!$C$9:$R$257,3,FALSE))</f>
        <v/>
      </c>
      <c r="E256" s="520" t="str">
        <f>IF(D256="","",VLOOKUP($B256,'C-1 Site River Baseline'!$C$9:$R$257,4,FALSE))</f>
        <v/>
      </c>
      <c r="F256" s="520" t="str">
        <f>IF(E256="","",VLOOKUP($B256,'C-1 Site River Baseline'!$C$9:$R$257,5,FALSE))</f>
        <v/>
      </c>
      <c r="G256" s="520" t="str">
        <f>IF(F256="","",VLOOKUP($B256,'C-1 Site River Baseline'!$C$9:$R$257,6,FALSE))</f>
        <v/>
      </c>
      <c r="H256" s="520" t="str">
        <f>IF(G256="","",VLOOKUP($B256,'C-1 Site River Baseline'!$C$9:$R$257,7,FALSE))</f>
        <v/>
      </c>
      <c r="I256" s="520" t="str">
        <f>IF(H256="","",VLOOKUP($B256,'C-1 Site River Baseline'!$C$9:$R$257,8,FALSE))</f>
        <v/>
      </c>
      <c r="J256" s="520" t="str">
        <f>IF(I256="","",VLOOKUP($B256,'C-1 Site River Baseline'!$C$9:$R$257,9,FALSE))</f>
        <v/>
      </c>
      <c r="K256" s="520" t="str">
        <f>IF(J256="","",VLOOKUP($B256,'C-1 Site River Baseline'!$C$9:$R$257,10,FALSE))</f>
        <v/>
      </c>
      <c r="L256" s="520" t="str">
        <f>IF(B256="","",VLOOKUP($B256,'C-1 Site River Baseline'!$C$9:$R$257,15,FALSE))</f>
        <v/>
      </c>
      <c r="M256" s="524" t="str">
        <f>IF(L256="","",VLOOKUP($B256,'C-1 Site River Baseline'!$C$9:$R$257,16,FALSE))</f>
        <v/>
      </c>
      <c r="N256" s="418" t="str">
        <f t="shared" si="25"/>
        <v/>
      </c>
      <c r="O256" s="498" t="str">
        <f t="shared" si="26"/>
        <v/>
      </c>
      <c r="P256" s="499" t="str">
        <f>IF(C256="","",IF(AND(LEFT(C256,55)&lt;&gt;LEFT(N256,55),O256="High - High"),"Error - Not like for like ▲",IF(AND(F256=S256,H256&gt;U256),"Error - Can not reduce condition ▲",IF(AND(F256=S256,H256=U256,AJ256='C-1 Site River Baseline'!N254,'C-1 Site River Baseline'!P254=AL256),"Error - No enhancement ▲",IF(AND(C256&lt;&gt;N256,F256&lt;S256),"Lower Distinctiveness Habitat"&amp;" - "&amp;T256,G256&amp;" - "&amp;T256)))))</f>
        <v/>
      </c>
      <c r="Q256" s="567" t="str">
        <f>IF(N256="","",VLOOKUP(B256,'C-1 Site River Baseline'!$C$10:$AA$257,19,FALSE))</f>
        <v/>
      </c>
      <c r="R256" s="498" t="str">
        <f>IF(N256="","",VLOOKUP(N256,'G-7 Rivers Data'!$B$2:$G$8,2,FALSE))</f>
        <v/>
      </c>
      <c r="S256" s="499" t="str">
        <f>IFERROR(VLOOKUP(R256,'G-7 Rivers Data'!$C$4:$D$8,2,FALSE),"")</f>
        <v/>
      </c>
      <c r="T256" s="145"/>
      <c r="U256" s="499" t="str">
        <f>IFERROR(INDEX('G-7 Rivers Data'!$H$4:$L$8,MATCH(N256,'G-7 Rivers Data'!$B$4:$B$8,0),MATCH(T256,'G-7 Rivers Data'!$H$3:$L$3,0)),"")</f>
        <v/>
      </c>
      <c r="V256" s="154"/>
      <c r="W256" s="507" t="str">
        <f>IF(V256="","",IF(VLOOKUP(V256,'G-7 Rivers Data'!$AG$4:$AI$9,2,FALSE)=0,"Spatial Data Missing ⚠",VLOOKUP(V256,'G-7 Rivers Data'!$AG$4:$AI$9,2,FALSE)))</f>
        <v/>
      </c>
      <c r="X256" s="499" t="str">
        <f>IF(V256="","",IF(VLOOKUP(V256,'G-7 Rivers Data'!$AG$4:$AI$9,3,FALSE)=0,"Spatial Data Missing ⚠",VLOOKUP(V256,'G-7 Rivers Data'!$AG$4:$AI$9,3,FALSE)))</f>
        <v/>
      </c>
      <c r="Y256" s="498" t="str">
        <f>IFERROR(IF(OR(LEFT(P256,5)="Error ▲",LEFT(O256,5)="Error ▲"),"Check Data ⚠",IF(F256&lt;S256,'G-7 Rivers Data'!$R$3,INDEX('G-7 Rivers Data'!$U$5:$Y$9,MATCH(G256,'G-7 Rivers Data'!$T$5:$T$9,0),MATCH(T256,'G-7 Rivers Data'!$U$4:$Y$4,0)))),"")</f>
        <v/>
      </c>
      <c r="Z256" s="195"/>
      <c r="AA256" s="195"/>
      <c r="AB256" s="507" t="str">
        <f t="shared" si="27"/>
        <v/>
      </c>
      <c r="AC256" s="521" t="str">
        <f t="shared" si="28"/>
        <v/>
      </c>
      <c r="AD256" s="564" t="str">
        <f>IFERROR(IF(AC256="Check Data ⚠","Check Data ⚠",VLOOKUP(AC256,'G-4 Temporal multipliers'!$A$4:$C$37,3,FALSE)),"")</f>
        <v/>
      </c>
      <c r="AE256" s="498" t="str">
        <f>IF(N256="","",VLOOKUP(N256,'G-7 Rivers Data'!$B$4:$G$8,5,FALSE))</f>
        <v/>
      </c>
      <c r="AF256" s="507" t="str">
        <f t="shared" si="29"/>
        <v/>
      </c>
      <c r="AG256" s="540" t="str">
        <f t="shared" si="30"/>
        <v/>
      </c>
      <c r="AH256" s="499" t="str">
        <f t="shared" si="24"/>
        <v/>
      </c>
      <c r="AI256" s="145"/>
      <c r="AJ256" s="499" t="str">
        <f>IF(AI256="","",IF(VLOOKUP(AI256,'G-7 Rivers Data'!$AA$4:$AB$7,2,FALSE)=0,"Spatial Data Missing ⚠",VLOOKUP(AI256,'G-7 Rivers Data'!$AA$4:$AB$7,2,FALSE)))</f>
        <v/>
      </c>
      <c r="AK256" s="155"/>
      <c r="AL256" s="499" t="str">
        <f>IF(AK256="","",IF(VLOOKUP(AK256,'G-7 Rivers Data'!$AD$4:$AE$8,2,FALSE)=0,"Spatial Data Missing ⚠",VLOOKUP(AK256,'G-7 Rivers Data'!$AD$4:$AE$8,2,FALSE)))</f>
        <v/>
      </c>
      <c r="AM256" s="545" t="str">
        <f t="shared" si="31"/>
        <v/>
      </c>
      <c r="AN256" s="149"/>
      <c r="AO256" s="150"/>
      <c r="AV256" s="31" t="str">
        <f>IFERROR(INDEX('G-7 Rivers Data'!$AZ$3:$AZ$7,MATCH(N256,'G-7 Rivers Data'!$AY$3:$AY$7,0)),"")</f>
        <v/>
      </c>
    </row>
    <row r="257" spans="2:48" ht="14.5" thickBot="1" x14ac:dyDescent="0.35">
      <c r="B257" s="558" t="str">
        <f>'C-1 Site River Baseline'!AN255</f>
        <v/>
      </c>
      <c r="C257" s="508" t="str">
        <f>IF(B257="","",VLOOKUP($B257,'C-1 Site River Baseline'!$C$9:$R$257,2,FALSE))</f>
        <v/>
      </c>
      <c r="D257" s="508" t="str">
        <f>IF(C257="","",VLOOKUP($B257,'C-1 Site River Baseline'!$C$9:$R$257,3,FALSE))</f>
        <v/>
      </c>
      <c r="E257" s="508" t="str">
        <f>IF(D257="","",VLOOKUP($B257,'C-1 Site River Baseline'!$C$9:$R$257,4,FALSE))</f>
        <v/>
      </c>
      <c r="F257" s="508" t="str">
        <f>IF(E257="","",VLOOKUP($B257,'C-1 Site River Baseline'!$C$9:$R$257,5,FALSE))</f>
        <v/>
      </c>
      <c r="G257" s="508" t="str">
        <f>IF(F257="","",VLOOKUP($B257,'C-1 Site River Baseline'!$C$9:$R$257,6,FALSE))</f>
        <v/>
      </c>
      <c r="H257" s="508" t="str">
        <f>IF(G257="","",VLOOKUP($B257,'C-1 Site River Baseline'!$C$9:$R$257,7,FALSE))</f>
        <v/>
      </c>
      <c r="I257" s="508" t="str">
        <f>IF(H257="","",VLOOKUP($B257,'C-1 Site River Baseline'!$C$9:$R$257,8,FALSE))</f>
        <v/>
      </c>
      <c r="J257" s="508" t="str">
        <f>IF(I257="","",VLOOKUP($B257,'C-1 Site River Baseline'!$C$9:$R$257,9,FALSE))</f>
        <v/>
      </c>
      <c r="K257" s="508" t="str">
        <f>IF(J257="","",VLOOKUP($B257,'C-1 Site River Baseline'!$C$9:$R$257,10,FALSE))</f>
        <v/>
      </c>
      <c r="L257" s="508" t="str">
        <f>IF(B257="","",VLOOKUP($B257,'C-1 Site River Baseline'!$C$9:$R$257,15,FALSE))</f>
        <v/>
      </c>
      <c r="M257" s="501" t="str">
        <f>IF(L257="","",VLOOKUP($B257,'C-1 Site River Baseline'!$C$9:$R$257,16,FALSE))</f>
        <v/>
      </c>
      <c r="N257" s="418" t="str">
        <f t="shared" si="25"/>
        <v/>
      </c>
      <c r="O257" s="498" t="str">
        <f t="shared" si="26"/>
        <v/>
      </c>
      <c r="P257" s="499" t="str">
        <f>IF(C257="","",IF(AND(LEFT(C257,55)&lt;&gt;LEFT(N257,55),O257="High - High"),"Error - Not like for like ▲",IF(AND(F257=S257,H257&gt;U257),"Error - Can not reduce condition ▲",IF(AND(F257=S257,H257=U257,AJ257='C-1 Site River Baseline'!N255,'C-1 Site River Baseline'!P255=AL257),"Error - No enhancement ▲",IF(AND(C257&lt;&gt;N257,F257&lt;S257),"Lower Distinctiveness Habitat"&amp;" - "&amp;T257,G257&amp;" - "&amp;T257)))))</f>
        <v/>
      </c>
      <c r="Q257" s="568" t="str">
        <f>IF(N257="","",VLOOKUP(B257,'C-1 Site River Baseline'!$C$10:$AA$257,19,FALSE))</f>
        <v/>
      </c>
      <c r="R257" s="500" t="str">
        <f>IF(N257="","",VLOOKUP(N257,'G-7 Rivers Data'!$B$2:$G$8,2,FALSE))</f>
        <v/>
      </c>
      <c r="S257" s="501" t="str">
        <f>IFERROR(VLOOKUP(R257,'G-7 Rivers Data'!$C$4:$D$8,2,FALSE),"")</f>
        <v/>
      </c>
      <c r="T257" s="161"/>
      <c r="U257" s="501" t="str">
        <f>IFERROR(INDEX('G-7 Rivers Data'!$H$4:$L$8,MATCH(N257,'G-7 Rivers Data'!$B$4:$B$8,0),MATCH(T257,'G-7 Rivers Data'!$H$3:$L$3,0)),"")</f>
        <v/>
      </c>
      <c r="V257" s="161"/>
      <c r="W257" s="507" t="str">
        <f>IF(V257="","",IF(VLOOKUP(V257,'G-7 Rivers Data'!$AG$4:$AI$9,2,FALSE)=0,"Spatial Data Missing ⚠",VLOOKUP(V257,'G-7 Rivers Data'!$AG$4:$AI$9,2,FALSE)))</f>
        <v/>
      </c>
      <c r="X257" s="499" t="str">
        <f>IF(V257="","",IF(VLOOKUP(V257,'G-7 Rivers Data'!$AG$4:$AI$9,3,FALSE)=0,"Spatial Data Missing ⚠",VLOOKUP(V257,'G-7 Rivers Data'!$AG$4:$AI$9,3,FALSE)))</f>
        <v/>
      </c>
      <c r="Y257" s="498" t="str">
        <f>IFERROR(IF(OR(LEFT(P257,5)="Error ▲",LEFT(O257,5)="Error ▲"),"Check Data ⚠",IF(F257&lt;S257,'G-7 Rivers Data'!$R$3,INDEX('G-7 Rivers Data'!$U$5:$Y$9,MATCH(G257,'G-7 Rivers Data'!$T$5:$T$9,0),MATCH(T257,'G-7 Rivers Data'!$U$4:$Y$4,0)))),"")</f>
        <v/>
      </c>
      <c r="Z257" s="206"/>
      <c r="AA257" s="206"/>
      <c r="AB257" s="507" t="str">
        <f t="shared" si="27"/>
        <v/>
      </c>
      <c r="AC257" s="521" t="str">
        <f t="shared" si="28"/>
        <v/>
      </c>
      <c r="AD257" s="564" t="str">
        <f>IFERROR(IF(AC257="Check Data ⚠","Check Data ⚠",VLOOKUP(AC257,'G-4 Temporal multipliers'!$A$4:$C$37,3,FALSE)),"")</f>
        <v/>
      </c>
      <c r="AE257" s="500" t="str">
        <f>IF(N257="","",VLOOKUP(N257,'G-7 Rivers Data'!$B$4:$G$8,5,FALSE))</f>
        <v/>
      </c>
      <c r="AF257" s="507" t="str">
        <f t="shared" si="29"/>
        <v/>
      </c>
      <c r="AG257" s="540" t="str">
        <f t="shared" si="30"/>
        <v/>
      </c>
      <c r="AH257" s="501" t="str">
        <f t="shared" si="24"/>
        <v/>
      </c>
      <c r="AI257" s="161"/>
      <c r="AJ257" s="499" t="str">
        <f>IF(AI257="","",IF(VLOOKUP(AI257,'G-7 Rivers Data'!$AA$4:$AB$7,2,FALSE)=0,"Spatial Data Missing ⚠",VLOOKUP(AI257,'G-7 Rivers Data'!$AA$4:$AB$7,2,FALSE)))</f>
        <v/>
      </c>
      <c r="AK257" s="273"/>
      <c r="AL257" s="499" t="str">
        <f>IF(AK257="","",IF(VLOOKUP(AK257,'G-7 Rivers Data'!$AD$4:$AE$8,2,FALSE)=0,"Spatial Data Missing ⚠",VLOOKUP(AK257,'G-7 Rivers Data'!$AD$4:$AE$8,2,FALSE)))</f>
        <v/>
      </c>
      <c r="AM257" s="545" t="str">
        <f>IFERROR(IF(C257="","",IF(Q257&gt;D257,((((Q257*S257*U257)-(D257*F257*H257))*(AH257*AD257))+(D257*F257*H257))*(AL257*X257*AJ257),((((Q257*S257*U257)-(Q257*F257*H257))*(AH257*AD257))+(Q257*F257*H257))*(AL257*X257*AJ257))),"")</f>
        <v/>
      </c>
      <c r="AN257" s="163"/>
      <c r="AO257" s="164"/>
      <c r="AV257" s="31" t="str">
        <f>IFERROR(INDEX('G-7 Rivers Data'!$AZ$3:$AZ$7,MATCH(N257,'G-7 Rivers Data'!$AY$3:$AY$7,0)),"")</f>
        <v/>
      </c>
    </row>
    <row r="258" spans="2:48" ht="14.5" thickBot="1" x14ac:dyDescent="0.35">
      <c r="C258" s="166"/>
      <c r="D258" s="166"/>
      <c r="E258" s="166"/>
      <c r="F258" s="166"/>
      <c r="G258" s="166"/>
      <c r="H258" s="166"/>
      <c r="I258" s="166"/>
      <c r="J258" s="166"/>
      <c r="K258" s="166"/>
      <c r="L258" s="166"/>
      <c r="M258" s="166"/>
      <c r="N258" s="277"/>
      <c r="O258" s="166"/>
      <c r="P258" s="166"/>
      <c r="Q258" s="566">
        <f>SUM(Q12:Q257)</f>
        <v>0</v>
      </c>
      <c r="R258" s="276"/>
      <c r="AF258" s="46"/>
      <c r="AG258" s="46"/>
      <c r="AJ258" s="31" t="str">
        <f>IF(AI258="","",IF(VLOOKUP(AI258,'[2]G-7 Rivers Data'!$AA$4:$AB$6,2,FALSE)=0,"Spatial Data Missing",VLOOKUP(AI258,'[2]G-7 Rivers Data'!$AA$4:$AB$6,2,FALSE)))</f>
        <v/>
      </c>
      <c r="AK258" s="1014"/>
      <c r="AL258" s="1014"/>
      <c r="AM258" s="569">
        <f>SUM(AM12:AM257)</f>
        <v>0</v>
      </c>
    </row>
    <row r="259" spans="2:48" ht="14" x14ac:dyDescent="0.3">
      <c r="AJ259" s="31" t="str">
        <f>IF(AI259="","",IF(VLOOKUP(AI259,'[2]G-7 Rivers Data'!$AA$4:$AB$6,2,FALSE)=0,"Spatial Data Missing",VLOOKUP(AI259,'[2]G-7 Rivers Data'!$AA$4:$AB$6,2,FALSE)))</f>
        <v/>
      </c>
    </row>
    <row r="260" spans="2:48" ht="14" x14ac:dyDescent="0.3"/>
    <row r="261" spans="2:48" ht="14" x14ac:dyDescent="0.3"/>
    <row r="262" spans="2:48" ht="14" x14ac:dyDescent="0.3"/>
    <row r="263" spans="2:48" ht="14" x14ac:dyDescent="0.3"/>
    <row r="264" spans="2:48" ht="14" x14ac:dyDescent="0.3"/>
    <row r="265" spans="2:48" ht="14" x14ac:dyDescent="0.3"/>
    <row r="266" spans="2:48" ht="14" x14ac:dyDescent="0.3"/>
  </sheetData>
  <sheetProtection algorithmName="SHA-512" hashValue="rBMp62/zu9gMOvDGg8teJI4SwfJNY2pv+vBw6VW/WZYQDjPpOjkxfwgT3ONMorbiU2pX01vT/kci65+S+F3BPg==" saltValue="y9BJXkP0DRgZ+eOPxf8i1g==" spinCount="100000" sheet="1" objects="1" scenarios="1"/>
  <dataConsolidate/>
  <customSheetViews>
    <customSheetView guid="{8BDA793C-C9C5-4FC6-A0A5-F1109F6D4F22}" state="hidden">
      <pane ySplit="11" topLeftCell="A12" activePane="bottomLeft" state="frozen"/>
      <selection pane="bottomLeft" activeCell="D14" sqref="D14"/>
    </customSheetView>
  </customSheetViews>
  <mergeCells count="18">
    <mergeCell ref="AN10:AO10"/>
    <mergeCell ref="C10:M10"/>
    <mergeCell ref="V10:X10"/>
    <mergeCell ref="Y10:AD10"/>
    <mergeCell ref="AE10:AH10"/>
    <mergeCell ref="O10:P10"/>
    <mergeCell ref="N10:N11"/>
    <mergeCell ref="AK10:AL10"/>
    <mergeCell ref="AM10:AM11"/>
    <mergeCell ref="AI10:AJ10"/>
    <mergeCell ref="AK258:AL258"/>
    <mergeCell ref="B2:E2"/>
    <mergeCell ref="B3:E4"/>
    <mergeCell ref="Q10:Q11"/>
    <mergeCell ref="N9:AL9"/>
    <mergeCell ref="R10:S10"/>
    <mergeCell ref="T10:U10"/>
    <mergeCell ref="Y2:AD4"/>
  </mergeCells>
  <conditionalFormatting sqref="L12:L257">
    <cfRule type="containsText" dxfId="39" priority="11" operator="containsText" text="Restore">
      <formula>NOT(ISERROR(SEARCH("Restore",L12)))</formula>
    </cfRule>
  </conditionalFormatting>
  <conditionalFormatting sqref="O12:P257">
    <cfRule type="containsText" dxfId="38" priority="9" operator="containsText" text="Check">
      <formula>NOT(ISERROR(SEARCH("Check",O12)))</formula>
    </cfRule>
    <cfRule type="containsText" dxfId="37" priority="10" operator="containsText" text="Error">
      <formula>NOT(ISERROR(SEARCH("Error",O12)))</formula>
    </cfRule>
  </conditionalFormatting>
  <conditionalFormatting sqref="W12:X257">
    <cfRule type="containsText" dxfId="36" priority="8" operator="containsText" text="Spatial">
      <formula>NOT(ISERROR(SEARCH("Spatial",W12)))</formula>
    </cfRule>
  </conditionalFormatting>
  <conditionalFormatting sqref="Y12:Y257">
    <cfRule type="containsText" dxfId="35" priority="6" operator="containsText" text="Check">
      <formula>NOT(ISERROR(SEARCH("Check",Y12)))</formula>
    </cfRule>
    <cfRule type="containsText" dxfId="34" priority="7" operator="containsText" text="Error">
      <formula>NOT(ISERROR(SEARCH("Error",Y12)))</formula>
    </cfRule>
  </conditionalFormatting>
  <conditionalFormatting sqref="AB12:AM12 AM13:AM258 AB13:AL257">
    <cfRule type="containsText" dxfId="33" priority="4" operator="containsText" text="Check">
      <formula>NOT(ISERROR(SEARCH("Check",AB12)))</formula>
    </cfRule>
    <cfRule type="beginsWith" dxfId="32" priority="5" operator="beginsWith" text="Error">
      <formula>LEFT(AB12,LEN("Error"))="Error"</formula>
    </cfRule>
  </conditionalFormatting>
  <conditionalFormatting sqref="AF12:AF257">
    <cfRule type="beginsWith" dxfId="31" priority="3" operator="beginsWith" text="No - Low Difficulty">
      <formula>LEFT(AF12,LEN("No - Low Difficulty"))="No - Low Difficulty"</formula>
    </cfRule>
  </conditionalFormatting>
  <conditionalFormatting sqref="AJ12:AL257">
    <cfRule type="containsText" dxfId="30" priority="2" operator="containsText" text="Spatial">
      <formula>NOT(ISERROR(SEARCH("Spatial",AJ12)))</formula>
    </cfRule>
  </conditionalFormatting>
  <conditionalFormatting sqref="Y2">
    <cfRule type="containsText" dxfId="29" priority="1" operator="containsText" text="Note">
      <formula>NOT(ISERROR(SEARCH("Note",Y2)))</formula>
    </cfRule>
  </conditionalFormatting>
  <dataValidations count="1">
    <dataValidation type="list" allowBlank="1" showInputMessage="1" showErrorMessage="1" sqref="T12:T257" xr:uid="{00000000-0002-0000-1B00-000000000000}">
      <formula1>INDIRECT(AV12)</formula1>
    </dataValidation>
  </dataValidations>
  <pageMargins left="0.7" right="0.7" top="0.75" bottom="0.75" header="0.3" footer="0.3"/>
  <pageSetup paperSize="9" orientation="portrait" horizontalDpi="90" verticalDpi="90" r:id="rId1"/>
  <cellWatches>
    <cellWatch r="Y13"/>
  </cellWatches>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1B00-000001000000}">
          <x14:formula1>
            <xm:f>'\\LYN264DF\m312897$\Net Gain\Rivers and Streams\[Master metric with RS amendments with new G7 layout.xlsm]G-7 Rivers Data'!#REF!</xm:f>
          </x14:formula1>
          <xm:sqref>AI258:AI259</xm:sqref>
        </x14:dataValidation>
        <x14:dataValidation type="list" allowBlank="1" showInputMessage="1" showErrorMessage="1" xr:uid="{00000000-0002-0000-1B00-000002000000}">
          <x14:formula1>
            <xm:f>'G-7 Rivers Data'!$AG$4:$AG$9</xm:f>
          </x14:formula1>
          <xm:sqref>V12:V257</xm:sqref>
        </x14:dataValidation>
        <x14:dataValidation type="list" allowBlank="1" showInputMessage="1" showErrorMessage="1" xr:uid="{00000000-0002-0000-1B00-000004000000}">
          <x14:formula1>
            <xm:f>'G-7 Rivers Data'!$AD$4:$AD$7</xm:f>
          </x14:formula1>
          <xm:sqref>AK12:AK257</xm:sqref>
        </x14:dataValidation>
        <x14:dataValidation type="list" allowBlank="1" showInputMessage="1" showErrorMessage="1" xr:uid="{00000000-0002-0000-1B00-000005000000}">
          <x14:formula1>
            <xm:f>'G-7 Rivers Data'!$B$4:$B$8</xm:f>
          </x14:formula1>
          <xm:sqref>N12:N257</xm:sqref>
        </x14:dataValidation>
        <x14:dataValidation type="list" allowBlank="1" showInputMessage="1" showErrorMessage="1" xr:uid="{00000000-0002-0000-1B00-000007000000}">
          <x14:formula1>
            <xm:f>'G-4 Temporal multipliers'!$A$41:$A$72</xm:f>
          </x14:formula1>
          <xm:sqref>Z12:AA257</xm:sqref>
        </x14:dataValidation>
        <x14:dataValidation type="list" allowBlank="1" showInputMessage="1" showErrorMessage="1" xr:uid="{24BAEB0C-716A-4A35-AE25-EF677467B256}">
          <x14:formula1>
            <xm:f>'G-7 Rivers Data'!$AA$4:$AA$7</xm:f>
          </x14:formula1>
          <xm:sqref>AI12:AI257</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1">
    <tabColor rgb="FF0033CC"/>
  </sheetPr>
  <dimension ref="A1:AN272"/>
  <sheetViews>
    <sheetView workbookViewId="0"/>
  </sheetViews>
  <sheetFormatPr defaultColWidth="0" defaultRowHeight="0" customHeight="1" zeroHeight="1" x14ac:dyDescent="0.3"/>
  <cols>
    <col min="1" max="1" width="3" style="31" customWidth="1"/>
    <col min="2" max="2" width="4.7265625" style="132" customWidth="1"/>
    <col min="3" max="3" width="10" style="132" customWidth="1"/>
    <col min="4" max="4" width="55" style="31" customWidth="1"/>
    <col min="5" max="5" width="8.54296875" style="31" customWidth="1"/>
    <col min="6" max="6" width="18.81640625" style="31" customWidth="1"/>
    <col min="7" max="7" width="8.7265625" style="31" customWidth="1"/>
    <col min="8" max="8" width="14.26953125" style="31" bestFit="1" customWidth="1"/>
    <col min="9" max="9" width="12.81640625" style="31" customWidth="1"/>
    <col min="10" max="10" width="33.7265625" style="31" customWidth="1"/>
    <col min="11" max="11" width="15.1796875" style="31" customWidth="1"/>
    <col min="12" max="12" width="13.7265625" style="31" customWidth="1"/>
    <col min="13" max="13" width="18.1796875" style="31" customWidth="1"/>
    <col min="14" max="14" width="12.81640625" style="31" customWidth="1"/>
    <col min="15" max="15" width="16.7265625" style="31" customWidth="1"/>
    <col min="16" max="16" width="12.7265625" style="31" customWidth="1"/>
    <col min="17" max="17" width="14.26953125" style="31" customWidth="1"/>
    <col min="18" max="18" width="13.26953125" style="31" customWidth="1"/>
    <col min="19" max="19" width="3.7265625" style="31" customWidth="1"/>
    <col min="20" max="20" width="12.1796875" style="31" customWidth="1"/>
    <col min="21" max="21" width="12.81640625" style="31" customWidth="1"/>
    <col min="22" max="22" width="10.81640625" style="31" customWidth="1"/>
    <col min="23" max="23" width="11.81640625" style="31" customWidth="1"/>
    <col min="24" max="24" width="12" style="31" customWidth="1"/>
    <col min="25" max="25" width="8.7265625" style="31" customWidth="1"/>
    <col min="26" max="27" width="50.1796875" style="31" customWidth="1"/>
    <col min="28" max="30" width="8.81640625" style="31" customWidth="1"/>
    <col min="31" max="31" width="8.81640625" style="31" hidden="1" customWidth="1"/>
    <col min="32" max="32" width="15.81640625" style="31" hidden="1" customWidth="1"/>
    <col min="33" max="33" width="8.81640625" style="31" hidden="1" customWidth="1"/>
    <col min="34" max="34" width="9" style="31" hidden="1" customWidth="1"/>
    <col min="35" max="35" width="9.54296875" style="31" hidden="1" customWidth="1"/>
    <col min="36" max="36" width="8.81640625" style="31" hidden="1" customWidth="1"/>
    <col min="37" max="37" width="11.81640625" style="31" hidden="1" customWidth="1"/>
    <col min="38" max="38" width="8.81640625" style="31" hidden="1" customWidth="1"/>
    <col min="39" max="39" width="9" style="31" hidden="1" customWidth="1"/>
    <col min="40" max="40" width="9.54296875" style="31" hidden="1" customWidth="1"/>
    <col min="41" max="16384" width="8.81640625" style="31" hidden="1"/>
  </cols>
  <sheetData>
    <row r="1" spans="2:40" ht="12.75" customHeight="1" thickBot="1" x14ac:dyDescent="0.35">
      <c r="B1" s="31"/>
      <c r="C1" s="31"/>
    </row>
    <row r="2" spans="2:40" ht="19.5" customHeight="1" thickBot="1" x14ac:dyDescent="0.35">
      <c r="B2" s="744" t="str">
        <f>IF([2]Start!$F$12="","",[2]Start!$F$12)</f>
        <v/>
      </c>
      <c r="C2" s="745"/>
      <c r="D2" s="745"/>
      <c r="E2" s="746"/>
    </row>
    <row r="3" spans="2:40" ht="15" customHeight="1" thickBot="1" x14ac:dyDescent="0.35">
      <c r="B3" s="972" t="str">
        <f ca="1">MID(CELL("filename",A1),FIND("]",CELL("filename",A1))+1,256)</f>
        <v>F-1 Off Site River Baseline</v>
      </c>
      <c r="C3" s="973"/>
      <c r="D3" s="973"/>
      <c r="E3" s="974"/>
    </row>
    <row r="4" spans="2:40" ht="15" customHeight="1" thickBot="1" x14ac:dyDescent="0.35">
      <c r="B4" s="972"/>
      <c r="C4" s="973"/>
      <c r="D4" s="973"/>
      <c r="E4" s="974"/>
      <c r="S4" s="446"/>
      <c r="T4" s="1019" t="str">
        <f>IF(SUM(AG10:AG257)&gt;0,"Check Lengths ⚠","")</f>
        <v/>
      </c>
      <c r="U4" s="1019"/>
      <c r="V4" s="1019"/>
      <c r="W4" s="1019"/>
      <c r="X4" s="1019"/>
      <c r="Y4" s="1019"/>
    </row>
    <row r="5" spans="2:40" ht="27" customHeight="1" x14ac:dyDescent="0.3">
      <c r="B5" s="31"/>
      <c r="C5" s="31"/>
      <c r="S5" s="446"/>
      <c r="T5" s="1019"/>
      <c r="U5" s="1019"/>
      <c r="V5" s="1019"/>
      <c r="W5" s="1019"/>
      <c r="X5" s="1019"/>
      <c r="Y5" s="1019"/>
    </row>
    <row r="6" spans="2:40" ht="40.15" customHeight="1" x14ac:dyDescent="0.3">
      <c r="B6" s="31"/>
      <c r="C6" s="31"/>
      <c r="D6" s="131"/>
    </row>
    <row r="7" spans="2:40" ht="14.5" thickBot="1" x14ac:dyDescent="0.35"/>
    <row r="8" spans="2:40" ht="30.75" customHeight="1" thickBot="1" x14ac:dyDescent="0.35">
      <c r="C8" s="950" t="s">
        <v>318</v>
      </c>
      <c r="D8" s="950"/>
      <c r="E8" s="950"/>
      <c r="F8" s="940" t="s">
        <v>272</v>
      </c>
      <c r="G8" s="940"/>
      <c r="H8" s="940" t="s">
        <v>273</v>
      </c>
      <c r="I8" s="940"/>
      <c r="J8" s="950" t="s">
        <v>191</v>
      </c>
      <c r="K8" s="950"/>
      <c r="L8" s="950"/>
      <c r="M8" s="940" t="s">
        <v>319</v>
      </c>
      <c r="N8" s="940"/>
      <c r="O8" s="940" t="s">
        <v>320</v>
      </c>
      <c r="P8" s="940"/>
      <c r="Q8" s="939" t="s">
        <v>309</v>
      </c>
      <c r="R8" s="167" t="s">
        <v>193</v>
      </c>
      <c r="S8" s="134"/>
      <c r="T8" s="950" t="s">
        <v>194</v>
      </c>
      <c r="U8" s="950"/>
      <c r="V8" s="950"/>
      <c r="W8" s="950"/>
      <c r="X8" s="950"/>
      <c r="Y8" s="950"/>
      <c r="Z8" s="950" t="s">
        <v>196</v>
      </c>
      <c r="AA8" s="950"/>
    </row>
    <row r="9" spans="2:40" ht="42" x14ac:dyDescent="0.3">
      <c r="C9" s="368" t="s">
        <v>254</v>
      </c>
      <c r="D9" s="201" t="s">
        <v>138</v>
      </c>
      <c r="E9" s="202" t="s">
        <v>334</v>
      </c>
      <c r="F9" s="368" t="s">
        <v>189</v>
      </c>
      <c r="G9" s="202" t="s">
        <v>206</v>
      </c>
      <c r="H9" s="368" t="s">
        <v>190</v>
      </c>
      <c r="I9" s="202" t="s">
        <v>206</v>
      </c>
      <c r="J9" s="368" t="s">
        <v>191</v>
      </c>
      <c r="K9" s="201" t="s">
        <v>191</v>
      </c>
      <c r="L9" s="202" t="s">
        <v>231</v>
      </c>
      <c r="M9" s="368" t="s">
        <v>322</v>
      </c>
      <c r="N9" s="202" t="s">
        <v>323</v>
      </c>
      <c r="O9" s="368" t="s">
        <v>322</v>
      </c>
      <c r="P9" s="202" t="s">
        <v>323</v>
      </c>
      <c r="Q9" s="940"/>
      <c r="R9" s="421" t="s">
        <v>324</v>
      </c>
      <c r="S9" s="138"/>
      <c r="T9" s="368" t="s">
        <v>296</v>
      </c>
      <c r="U9" s="201" t="s">
        <v>297</v>
      </c>
      <c r="V9" s="201" t="s">
        <v>298</v>
      </c>
      <c r="W9" s="201" t="s">
        <v>299</v>
      </c>
      <c r="X9" s="201" t="s">
        <v>300</v>
      </c>
      <c r="Y9" s="202" t="s">
        <v>214</v>
      </c>
      <c r="Z9" s="368" t="s">
        <v>215</v>
      </c>
      <c r="AA9" s="202" t="s">
        <v>216</v>
      </c>
      <c r="AF9" s="131" t="s">
        <v>200</v>
      </c>
      <c r="AG9" s="42" t="s">
        <v>335</v>
      </c>
      <c r="AH9" s="139" t="s">
        <v>219</v>
      </c>
      <c r="AI9" s="139" t="s">
        <v>220</v>
      </c>
      <c r="AJ9" s="140"/>
      <c r="AK9" s="139" t="s">
        <v>222</v>
      </c>
      <c r="AL9" s="140"/>
      <c r="AM9" s="139" t="s">
        <v>219</v>
      </c>
      <c r="AN9" s="139" t="s">
        <v>220</v>
      </c>
    </row>
    <row r="10" spans="2:40" ht="14" x14ac:dyDescent="0.3">
      <c r="C10" s="141">
        <v>1</v>
      </c>
      <c r="D10" s="461"/>
      <c r="E10" s="142"/>
      <c r="F10" s="498" t="str">
        <f>IF(D10="","",VLOOKUP(D10,'G-7 Rivers Data'!$B$2:$G$8,2,FALSE))</f>
        <v/>
      </c>
      <c r="G10" s="499" t="str">
        <f>IFERROR(VLOOKUP(F10,'G-7 Rivers Data'!$C$4:$D$8,2,FALSE),"")</f>
        <v/>
      </c>
      <c r="H10" s="145"/>
      <c r="I10" s="499" t="str">
        <f>IFERROR(INDEX('G-7 Rivers Data'!$H$4:$L$8,MATCH(D10,'G-7 Rivers Data'!$B$4:$B$8,0),MATCH(H10,'G-7 Rivers Data'!$H$3:$L$3,0)),"")</f>
        <v/>
      </c>
      <c r="J10" s="146"/>
      <c r="K10" s="520" t="str">
        <f>IF(J10="","",IF(VLOOKUP(J10,'G-7 Rivers Data'!$AK$4:$AM$9,2,FALSE)=0,"Spatial Data Missing ⚠",VLOOKUP(J10,'G-7 Rivers Data'!$AK$4:$AM$9,2,FALSE)))</f>
        <v/>
      </c>
      <c r="L10" s="524" t="str">
        <f>IF(J10="","",IF(VLOOKUP(J10,'G-7 Rivers Data'!$AK$4:$AM$9,3,FALSE)=0,"Spatial Data Missing ⚠",VLOOKUP(J10,'G-7 Rivers Data'!$AK$4:$AM$9,3,FALSE)))</f>
        <v/>
      </c>
      <c r="M10" s="146"/>
      <c r="N10" s="499" t="str">
        <f>IF(M10="","",IF(VLOOKUP(M10,'G-7 Rivers Data'!$AA$4:$AB$7,2,FALSE)=0,"Spatial Data Missing ⚠",VLOOKUP(M10,'G-7 Rivers Data'!$AA$4:$AB$7,2,FALSE)))</f>
        <v/>
      </c>
      <c r="O10" s="78"/>
      <c r="P10" s="499" t="str">
        <f>IF(O10="","",IF(VLOOKUP(O10,'G-7 Rivers Data'!$AD$4:$AE$8,2,FALSE)=0,"Spatial Data Missing ⚠",VLOOKUP(O10,'G-7 Rivers Data'!$AD$4:$AE$8,2,FALSE)))</f>
        <v/>
      </c>
      <c r="Q10" s="506" t="str">
        <f>IF(D10="","",VLOOKUP(D10,'G-7 Rivers Data'!$B$4:$G$8,6,FALSE))</f>
        <v/>
      </c>
      <c r="R10" s="513" t="str">
        <f>IFERROR(E10*G10*I10*L10*N10*P10,"")</f>
        <v/>
      </c>
      <c r="S10" s="40"/>
      <c r="T10" s="71"/>
      <c r="U10" s="72"/>
      <c r="V10" s="511" t="str">
        <f>IFERROR(IF(T10&gt;E10,"Check Lengths",T10*G10*I10*L10*N10*P10),"")</f>
        <v/>
      </c>
      <c r="W10" s="511" t="str">
        <f>IFERROR(IF(D10="","",U10*G10*I10*L10*N10*P10),"")</f>
        <v/>
      </c>
      <c r="X10" s="511" t="str">
        <f>IFERROR(IF(D10="","",IF(E10&gt;(T10+U10),E10-T10-U10,0)),"")</f>
        <v/>
      </c>
      <c r="Y10" s="515" t="str">
        <f>IFERROR(IF(E10="","",IF((V10+W10)&gt;R10,0,R10-V10-W10)),"Check Data ⚠")</f>
        <v/>
      </c>
      <c r="Z10" s="149"/>
      <c r="AA10" s="150"/>
      <c r="AF10" s="31" t="str">
        <f>IFERROR(INDEX('G-7 Rivers Data'!$AZ$3:$AZ$7,MATCH(D10,'G-7 Rivers Data'!$AY$3:$AY$7,0)),"")</f>
        <v/>
      </c>
      <c r="AG10" s="31">
        <f>IFERROR(IF(T10+U10&gt;E10,1,0),"")</f>
        <v>0</v>
      </c>
      <c r="AH10" s="139" t="str">
        <f>IF(D10="","",IF(T10&gt;0,TRUE,FALSE))</f>
        <v/>
      </c>
      <c r="AI10" s="139" t="str">
        <f>IF(D10="","",IF(U10&gt;0,TRUE,FALSE))</f>
        <v/>
      </c>
      <c r="AJ10" s="140"/>
      <c r="AK10" s="139">
        <v>1</v>
      </c>
      <c r="AL10" s="140"/>
      <c r="AM10" s="139" t="str">
        <f t="array" ref="AM10">IFERROR(INDEX($AK$10:$AK$258, MATCH(0, IF(TRUE=$AH$10:$AH$258, COUNTIF($AM9:$AM$9, $AK$10:$AK$258), ""), 0)),"")</f>
        <v/>
      </c>
      <c r="AN10" s="139" t="str">
        <f t="array" ref="AN10">IFERROR(INDEX($AK$10:$AK$258, MATCH(0, IF(TRUE=$AI$10:$AI$258, COUNTIF($AN9:$AN$9, $AK$10:$AK$258), ""), 0)),"")</f>
        <v/>
      </c>
    </row>
    <row r="11" spans="2:40" ht="14" x14ac:dyDescent="0.3">
      <c r="C11" s="141">
        <v>2</v>
      </c>
      <c r="D11" s="461"/>
      <c r="E11" s="142"/>
      <c r="F11" s="498" t="str">
        <f>IF(D11="","",VLOOKUP(D11,'G-7 Rivers Data'!$B$2:$G$8,2,FALSE))</f>
        <v/>
      </c>
      <c r="G11" s="499" t="str">
        <f>IFERROR(VLOOKUP(F11,'G-7 Rivers Data'!$C$4:$D$8,2,FALSE),"")</f>
        <v/>
      </c>
      <c r="H11" s="145"/>
      <c r="I11" s="499" t="str">
        <f>IFERROR(INDEX('G-7 Rivers Data'!$H$4:$L$8,MATCH(D11,'G-7 Rivers Data'!$B$4:$B$8,0),MATCH(H11,'G-7 Rivers Data'!$H$3:$L$3,0)),"")</f>
        <v/>
      </c>
      <c r="J11" s="146"/>
      <c r="K11" s="520" t="str">
        <f>IF(J11="","",IF(VLOOKUP(J11,'G-7 Rivers Data'!$AK$4:$AM$9,2,FALSE)=0,"Spatial Data Missing ⚠",VLOOKUP(J11,'G-7 Rivers Data'!$AK$4:$AM$9,2,FALSE)))</f>
        <v/>
      </c>
      <c r="L11" s="524" t="str">
        <f>IF(J11="","",IF(VLOOKUP(J11,'G-7 Rivers Data'!$AK$4:$AM$9,3,FALSE)=0,"Spatial Data Missing ⚠",VLOOKUP(J11,'G-7 Rivers Data'!$AK$4:$AM$9,3,FALSE)))</f>
        <v/>
      </c>
      <c r="M11" s="71"/>
      <c r="N11" s="499" t="str">
        <f>IF(M11="","",IF(VLOOKUP(M11,'G-7 Rivers Data'!$AA$4:$AB$7,2,FALSE)=0,"Spatial Data Missing ⚠",VLOOKUP(M11,'G-7 Rivers Data'!$AA$4:$AB$7,2,FALSE)))</f>
        <v/>
      </c>
      <c r="O11" s="78"/>
      <c r="P11" s="499" t="str">
        <f>IF(O11="","",IF(VLOOKUP(O11,'G-7 Rivers Data'!$AD$4:$AE$8,2,FALSE)=0,"Spatial Data Missing ⚠",VLOOKUP(O11,'G-7 Rivers Data'!$AD$4:$AE$8,2,FALSE)))</f>
        <v/>
      </c>
      <c r="Q11" s="506" t="str">
        <f>IF(D11="","",VLOOKUP(D11,'G-7 Rivers Data'!$B$4:$G$8,6,FALSE))</f>
        <v/>
      </c>
      <c r="R11" s="513" t="str">
        <f t="shared" ref="R11:R74" si="0">IFERROR(E11*G11*I11*L11*N11*P11,"")</f>
        <v/>
      </c>
      <c r="S11" s="40"/>
      <c r="T11" s="71"/>
      <c r="U11" s="72"/>
      <c r="V11" s="511" t="str">
        <f t="shared" ref="V11:V74" si="1">IFERROR(IF(T11&gt;E11,"Check Lengths",T11*G11*I11*L11*N11*P11),"")</f>
        <v/>
      </c>
      <c r="W11" s="511" t="str">
        <f t="shared" ref="W11:W74" si="2">IFERROR(IF(D11="","",U11*G11*I11*L11*N11*P11),"")</f>
        <v/>
      </c>
      <c r="X11" s="511" t="str">
        <f t="shared" ref="X11:X74" si="3">IFERROR(IF(D11="","",IF(E11&gt;(T11+U11),E11-T11-U11,0)),"")</f>
        <v/>
      </c>
      <c r="Y11" s="515" t="str">
        <f t="shared" ref="Y11:Y74" si="4">IFERROR(IF(E11="","",IF((V11+W11)&gt;R11,0,R11-V11-W11)),"Check Data ⚠")</f>
        <v/>
      </c>
      <c r="Z11" s="151"/>
      <c r="AA11" s="152"/>
      <c r="AF11" s="31" t="str">
        <f>IFERROR(INDEX('G-7 Rivers Data'!$AZ$3:$AZ$7,MATCH(D11,'G-7 Rivers Data'!$AY$3:$AY$7,0)),"")</f>
        <v/>
      </c>
      <c r="AG11" s="31">
        <f t="shared" ref="AG11:AG74" si="5">IFERROR(IF(T11+U11&gt;E11,1,0),"")</f>
        <v>0</v>
      </c>
      <c r="AH11" s="139" t="str">
        <f t="shared" ref="AH11:AH74" si="6">IF(D11="","",IF(T11&gt;0,TRUE,FALSE))</f>
        <v/>
      </c>
      <c r="AI11" s="139" t="str">
        <f t="shared" ref="AI11:AI74" si="7">IF(D11="","",IF(U11&gt;0,TRUE,FALSE))</f>
        <v/>
      </c>
      <c r="AJ11" s="140"/>
      <c r="AK11" s="139">
        <v>2</v>
      </c>
      <c r="AL11" s="140"/>
      <c r="AM11" s="139" t="str">
        <f t="array" ref="AM11">IFERROR(INDEX($AK$10:$AK$258, MATCH(0, IF(TRUE=$AH$10:$AH$258, COUNTIF($AM$9:$AM10, $AK$10:$AK$258), ""), 0)),"")</f>
        <v/>
      </c>
      <c r="AN11" s="139" t="str">
        <f t="array" ref="AN11">IFERROR(INDEX($AK$10:$AK$258, MATCH(0, IF(TRUE=$AI$10:$AI$258, COUNTIF($AN$9:$AN10, $AK$10:$AK$258), ""), 0)),"")</f>
        <v/>
      </c>
    </row>
    <row r="12" spans="2:40" ht="14" x14ac:dyDescent="0.3">
      <c r="C12" s="141">
        <v>3</v>
      </c>
      <c r="D12" s="461"/>
      <c r="E12" s="142"/>
      <c r="F12" s="498" t="str">
        <f>IF(D12="","",VLOOKUP(D12,'G-7 Rivers Data'!$B$2:$G$8,2,FALSE))</f>
        <v/>
      </c>
      <c r="G12" s="499" t="str">
        <f>IFERROR(VLOOKUP(F12,'G-7 Rivers Data'!$C$4:$D$8,2,FALSE),"")</f>
        <v/>
      </c>
      <c r="H12" s="145"/>
      <c r="I12" s="499" t="str">
        <f>IFERROR(INDEX('G-7 Rivers Data'!$H$4:$L$8,MATCH(D12,'G-7 Rivers Data'!$B$4:$B$8,0),MATCH(H12,'G-7 Rivers Data'!$H$3:$L$3,0)),"")</f>
        <v/>
      </c>
      <c r="J12" s="146"/>
      <c r="K12" s="520" t="str">
        <f>IF(J12="","",IF(VLOOKUP(J12,'G-7 Rivers Data'!$AK$4:$AM$9,2,FALSE)=0,"Spatial Data Missing ⚠",VLOOKUP(J12,'G-7 Rivers Data'!$AK$4:$AM$9,2,FALSE)))</f>
        <v/>
      </c>
      <c r="L12" s="524" t="str">
        <f>IF(J12="","",IF(VLOOKUP(J12,'G-7 Rivers Data'!$AK$4:$AM$9,3,FALSE)=0,"Spatial Data Missing ⚠",VLOOKUP(J12,'G-7 Rivers Data'!$AK$4:$AM$9,3,FALSE)))</f>
        <v/>
      </c>
      <c r="M12" s="71"/>
      <c r="N12" s="499" t="str">
        <f>IF(M12="","",IF(VLOOKUP(M12,'G-7 Rivers Data'!$AA$4:$AB$7,2,FALSE)=0,"Spatial Data Missing ⚠",VLOOKUP(M12,'G-7 Rivers Data'!$AA$4:$AB$7,2,FALSE)))</f>
        <v/>
      </c>
      <c r="O12" s="78"/>
      <c r="P12" s="499" t="str">
        <f>IF(O12="","",IF(VLOOKUP(O12,'G-7 Rivers Data'!$AD$4:$AE$8,2,FALSE)=0,"Spatial Data Missing ⚠",VLOOKUP(O12,'G-7 Rivers Data'!$AD$4:$AE$8,2,FALSE)))</f>
        <v/>
      </c>
      <c r="Q12" s="506" t="str">
        <f>IF(D12="","",VLOOKUP(D12,'G-7 Rivers Data'!$B$4:$G$8,6,FALSE))</f>
        <v/>
      </c>
      <c r="R12" s="513" t="str">
        <f t="shared" si="0"/>
        <v/>
      </c>
      <c r="S12" s="40"/>
      <c r="T12" s="71"/>
      <c r="U12" s="72"/>
      <c r="V12" s="511" t="str">
        <f t="shared" si="1"/>
        <v/>
      </c>
      <c r="W12" s="511" t="str">
        <f t="shared" si="2"/>
        <v/>
      </c>
      <c r="X12" s="511" t="str">
        <f t="shared" si="3"/>
        <v/>
      </c>
      <c r="Y12" s="515" t="str">
        <f t="shared" si="4"/>
        <v/>
      </c>
      <c r="Z12" s="151"/>
      <c r="AA12" s="152"/>
      <c r="AF12" s="31" t="str">
        <f>IFERROR(INDEX('G-7 Rivers Data'!$AZ$3:$AZ$7,MATCH(D12,'G-7 Rivers Data'!$AY$3:$AY$7,0)),"")</f>
        <v/>
      </c>
      <c r="AG12" s="31">
        <f t="shared" si="5"/>
        <v>0</v>
      </c>
      <c r="AH12" s="139" t="str">
        <f t="shared" si="6"/>
        <v/>
      </c>
      <c r="AI12" s="139" t="str">
        <f t="shared" si="7"/>
        <v/>
      </c>
      <c r="AJ12" s="140"/>
      <c r="AK12" s="139">
        <v>3</v>
      </c>
      <c r="AL12" s="140"/>
      <c r="AM12" s="139" t="str">
        <f t="array" ref="AM12">IFERROR(INDEX($AK$10:$AK$258, MATCH(0, IF(TRUE=$AH$10:$AH$258, COUNTIF($AM$9:$AM11, $AK$10:$AK$258), ""), 0)),"")</f>
        <v/>
      </c>
      <c r="AN12" s="139" t="str">
        <f t="array" ref="AN12">IFERROR(INDEX($AK$10:$AK$258, MATCH(0, IF(TRUE=$AI$10:$AI$258, COUNTIF($AN$9:$AN11, $AK$10:$AK$258), ""), 0)),"")</f>
        <v/>
      </c>
    </row>
    <row r="13" spans="2:40" ht="14" x14ac:dyDescent="0.3">
      <c r="C13" s="141">
        <v>4</v>
      </c>
      <c r="D13" s="461"/>
      <c r="E13" s="142"/>
      <c r="F13" s="498" t="str">
        <f>IF(D13="","",VLOOKUP(D13,'G-7 Rivers Data'!$B$2:$G$8,2,FALSE))</f>
        <v/>
      </c>
      <c r="G13" s="499" t="str">
        <f>IFERROR(VLOOKUP(F13,'G-7 Rivers Data'!$C$4:$D$8,2,FALSE),"")</f>
        <v/>
      </c>
      <c r="H13" s="145"/>
      <c r="I13" s="499" t="str">
        <f>IFERROR(INDEX('G-7 Rivers Data'!$H$4:$L$8,MATCH(D13,'G-7 Rivers Data'!$B$4:$B$8,0),MATCH(H13,'G-7 Rivers Data'!$H$3:$L$3,0)),"")</f>
        <v/>
      </c>
      <c r="J13" s="146"/>
      <c r="K13" s="520" t="str">
        <f>IF(J13="","",IF(VLOOKUP(J13,'G-7 Rivers Data'!$AK$4:$AM$9,2,FALSE)=0,"Spatial Data Missing ⚠",VLOOKUP(J13,'G-7 Rivers Data'!$AK$4:$AM$9,2,FALSE)))</f>
        <v/>
      </c>
      <c r="L13" s="524" t="str">
        <f>IF(J13="","",IF(VLOOKUP(J13,'G-7 Rivers Data'!$AK$4:$AM$9,3,FALSE)=0,"Spatial Data Missing ⚠",VLOOKUP(J13,'G-7 Rivers Data'!$AK$4:$AM$9,3,FALSE)))</f>
        <v/>
      </c>
      <c r="M13" s="71"/>
      <c r="N13" s="499" t="str">
        <f>IF(M13="","",IF(VLOOKUP(M13,'G-7 Rivers Data'!$AA$4:$AB$7,2,FALSE)=0,"Spatial Data Missing ⚠",VLOOKUP(M13,'G-7 Rivers Data'!$AA$4:$AB$7,2,FALSE)))</f>
        <v/>
      </c>
      <c r="O13" s="78"/>
      <c r="P13" s="499" t="str">
        <f>IF(O13="","",IF(VLOOKUP(O13,'G-7 Rivers Data'!$AD$4:$AE$8,2,FALSE)=0,"Spatial Data Missing ⚠",VLOOKUP(O13,'G-7 Rivers Data'!$AD$4:$AE$8,2,FALSE)))</f>
        <v/>
      </c>
      <c r="Q13" s="506" t="str">
        <f>IF(D13="","",VLOOKUP(D13,'G-7 Rivers Data'!$B$4:$G$8,6,FALSE))</f>
        <v/>
      </c>
      <c r="R13" s="513" t="str">
        <f t="shared" si="0"/>
        <v/>
      </c>
      <c r="S13" s="40"/>
      <c r="T13" s="71"/>
      <c r="U13" s="72"/>
      <c r="V13" s="511" t="str">
        <f t="shared" si="1"/>
        <v/>
      </c>
      <c r="W13" s="511" t="str">
        <f t="shared" si="2"/>
        <v/>
      </c>
      <c r="X13" s="511" t="str">
        <f t="shared" si="3"/>
        <v/>
      </c>
      <c r="Y13" s="515" t="str">
        <f t="shared" si="4"/>
        <v/>
      </c>
      <c r="Z13" s="151"/>
      <c r="AA13" s="152"/>
      <c r="AF13" s="31" t="str">
        <f>IFERROR(INDEX('G-7 Rivers Data'!$AZ$3:$AZ$7,MATCH(D13,'G-7 Rivers Data'!$AY$3:$AY$7,0)),"")</f>
        <v/>
      </c>
      <c r="AG13" s="31">
        <f t="shared" si="5"/>
        <v>0</v>
      </c>
      <c r="AH13" s="139" t="str">
        <f t="shared" si="6"/>
        <v/>
      </c>
      <c r="AI13" s="139" t="str">
        <f t="shared" si="7"/>
        <v/>
      </c>
      <c r="AJ13" s="140"/>
      <c r="AK13" s="139">
        <v>4</v>
      </c>
      <c r="AL13" s="140"/>
      <c r="AM13" s="139" t="str">
        <f t="array" ref="AM13">IFERROR(INDEX($AK$10:$AK$258, MATCH(0, IF(TRUE=$AH$10:$AH$258, COUNTIF($AM$9:$AM12, $AK$10:$AK$258), ""), 0)),"")</f>
        <v/>
      </c>
      <c r="AN13" s="139" t="str">
        <f t="array" ref="AN13">IFERROR(INDEX($AK$10:$AK$258, MATCH(0, IF(TRUE=$AI$10:$AI$258, COUNTIF($AN$9:$AN12, $AK$10:$AK$258), ""), 0)),"")</f>
        <v/>
      </c>
    </row>
    <row r="14" spans="2:40" ht="14" x14ac:dyDescent="0.3">
      <c r="C14" s="141">
        <v>5</v>
      </c>
      <c r="D14" s="462"/>
      <c r="E14" s="153"/>
      <c r="F14" s="498" t="str">
        <f>IF(D14="","",VLOOKUP(D14,'G-7 Rivers Data'!$B$2:$G$8,2,FALSE))</f>
        <v/>
      </c>
      <c r="G14" s="499" t="str">
        <f>IFERROR(VLOOKUP(F14,'G-7 Rivers Data'!$C$4:$D$8,2,FALSE),"")</f>
        <v/>
      </c>
      <c r="H14" s="145"/>
      <c r="I14" s="499" t="str">
        <f>IFERROR(INDEX('G-7 Rivers Data'!$H$4:$L$8,MATCH(D14,'G-7 Rivers Data'!$B$4:$B$8,0),MATCH(H14,'G-7 Rivers Data'!$H$3:$L$3,0)),"")</f>
        <v/>
      </c>
      <c r="J14" s="146"/>
      <c r="K14" s="520" t="str">
        <f>IF(J14="","",IF(VLOOKUP(J14,'G-7 Rivers Data'!$AK$4:$AM$9,2,FALSE)=0,"Spatial Data Missing ⚠",VLOOKUP(J14,'G-7 Rivers Data'!$AK$4:$AM$9,2,FALSE)))</f>
        <v/>
      </c>
      <c r="L14" s="524" t="str">
        <f>IF(J14="","",IF(VLOOKUP(J14,'G-7 Rivers Data'!$AK$4:$AM$9,3,FALSE)=0,"Spatial Data Missing ⚠",VLOOKUP(J14,'G-7 Rivers Data'!$AK$4:$AM$9,3,FALSE)))</f>
        <v/>
      </c>
      <c r="M14" s="71"/>
      <c r="N14" s="499" t="str">
        <f>IF(M14="","",IF(VLOOKUP(M14,'G-7 Rivers Data'!$AA$4:$AB$7,2,FALSE)=0,"Spatial Data Missing ⚠",VLOOKUP(M14,'G-7 Rivers Data'!$AA$4:$AB$7,2,FALSE)))</f>
        <v/>
      </c>
      <c r="O14" s="78"/>
      <c r="P14" s="499" t="str">
        <f>IF(O14="","",IF(VLOOKUP(O14,'G-7 Rivers Data'!$AD$4:$AE$8,2,FALSE)=0,"Spatial Data Missing ⚠",VLOOKUP(O14,'G-7 Rivers Data'!$AD$4:$AE$8,2,FALSE)))</f>
        <v/>
      </c>
      <c r="Q14" s="506" t="str">
        <f>IF(D14="","",VLOOKUP(D14,'G-7 Rivers Data'!$B$4:$G$8,6,FALSE))</f>
        <v/>
      </c>
      <c r="R14" s="513" t="str">
        <f t="shared" si="0"/>
        <v/>
      </c>
      <c r="S14" s="40"/>
      <c r="T14" s="71"/>
      <c r="U14" s="72"/>
      <c r="V14" s="511" t="str">
        <f t="shared" si="1"/>
        <v/>
      </c>
      <c r="W14" s="511" t="str">
        <f t="shared" si="2"/>
        <v/>
      </c>
      <c r="X14" s="511" t="str">
        <f t="shared" si="3"/>
        <v/>
      </c>
      <c r="Y14" s="515" t="str">
        <f t="shared" si="4"/>
        <v/>
      </c>
      <c r="Z14" s="151"/>
      <c r="AA14" s="152"/>
      <c r="AF14" s="31" t="str">
        <f>IFERROR(INDEX('G-7 Rivers Data'!$AZ$3:$AZ$7,MATCH(D14,'G-7 Rivers Data'!$AY$3:$AY$7,0)),"")</f>
        <v/>
      </c>
      <c r="AG14" s="31">
        <f t="shared" si="5"/>
        <v>0</v>
      </c>
      <c r="AH14" s="139" t="str">
        <f t="shared" si="6"/>
        <v/>
      </c>
      <c r="AI14" s="139" t="str">
        <f t="shared" si="7"/>
        <v/>
      </c>
      <c r="AJ14" s="140"/>
      <c r="AK14" s="139">
        <v>5</v>
      </c>
      <c r="AL14" s="140"/>
      <c r="AM14" s="139" t="str">
        <f t="array" ref="AM14">IFERROR(INDEX($AK$10:$AK$258, MATCH(0, IF(TRUE=$AH$10:$AH$258, COUNTIF($AM$9:$AM13, $AK$10:$AK$258), ""), 0)),"")</f>
        <v/>
      </c>
      <c r="AN14" s="139" t="str">
        <f t="array" ref="AN14">IFERROR(INDEX($AK$10:$AK$258, MATCH(0, IF(TRUE=$AI$10:$AI$258, COUNTIF($AN$9:$AN13, $AK$10:$AK$258), ""), 0)),"")</f>
        <v/>
      </c>
    </row>
    <row r="15" spans="2:40" ht="14" x14ac:dyDescent="0.3">
      <c r="C15" s="141">
        <v>6</v>
      </c>
      <c r="D15" s="462"/>
      <c r="E15" s="153"/>
      <c r="F15" s="498" t="str">
        <f>IF(D15="","",VLOOKUP(D15,'G-7 Rivers Data'!$B$2:$G$8,2,FALSE))</f>
        <v/>
      </c>
      <c r="G15" s="499" t="str">
        <f>IFERROR(VLOOKUP(F15,'G-7 Rivers Data'!$C$4:$D$8,2,FALSE),"")</f>
        <v/>
      </c>
      <c r="H15" s="145"/>
      <c r="I15" s="499" t="str">
        <f>IFERROR(INDEX('G-7 Rivers Data'!$H$4:$L$8,MATCH(D15,'G-7 Rivers Data'!$B$4:$B$8,0),MATCH(H15,'G-7 Rivers Data'!$H$3:$L$3,0)),"")</f>
        <v/>
      </c>
      <c r="J15" s="154"/>
      <c r="K15" s="520" t="str">
        <f>IF(J15="","",IF(VLOOKUP(J15,'G-7 Rivers Data'!$AK$4:$AM$9,2,FALSE)=0,"Spatial Data Missing ⚠",VLOOKUP(J15,'G-7 Rivers Data'!$AK$4:$AM$9,2,FALSE)))</f>
        <v/>
      </c>
      <c r="L15" s="524" t="str">
        <f>IF(J15="","",IF(VLOOKUP(J15,'G-7 Rivers Data'!$AK$4:$AM$9,3,FALSE)=0,"Spatial Data Missing ⚠",VLOOKUP(J15,'G-7 Rivers Data'!$AK$4:$AM$9,3,FALSE)))</f>
        <v/>
      </c>
      <c r="M15" s="71"/>
      <c r="N15" s="499" t="str">
        <f>IF(M15="","",IF(VLOOKUP(M15,'G-7 Rivers Data'!$AA$4:$AB$7,2,FALSE)=0,"Spatial Data Missing ⚠",VLOOKUP(M15,'G-7 Rivers Data'!$AA$4:$AB$7,2,FALSE)))</f>
        <v/>
      </c>
      <c r="O15" s="155"/>
      <c r="P15" s="499" t="str">
        <f>IF(O15="","",IF(VLOOKUP(O15,'G-7 Rivers Data'!$AD$4:$AE$8,2,FALSE)=0,"Spatial Data Missing ⚠",VLOOKUP(O15,'G-7 Rivers Data'!$AD$4:$AE$8,2,FALSE)))</f>
        <v/>
      </c>
      <c r="Q15" s="506" t="str">
        <f>IF(D15="","",VLOOKUP(D15,'G-7 Rivers Data'!$B$4:$G$8,6,FALSE))</f>
        <v/>
      </c>
      <c r="R15" s="513" t="str">
        <f t="shared" si="0"/>
        <v/>
      </c>
      <c r="S15" s="40"/>
      <c r="T15" s="71"/>
      <c r="U15" s="72"/>
      <c r="V15" s="511" t="str">
        <f t="shared" si="1"/>
        <v/>
      </c>
      <c r="W15" s="511" t="str">
        <f t="shared" si="2"/>
        <v/>
      </c>
      <c r="X15" s="511" t="str">
        <f t="shared" si="3"/>
        <v/>
      </c>
      <c r="Y15" s="515" t="str">
        <f t="shared" si="4"/>
        <v/>
      </c>
      <c r="Z15" s="151"/>
      <c r="AA15" s="152"/>
      <c r="AF15" s="31" t="str">
        <f>IFERROR(INDEX('G-7 Rivers Data'!$AZ$3:$AZ$7,MATCH(D15,'G-7 Rivers Data'!$AY$3:$AY$7,0)),"")</f>
        <v/>
      </c>
      <c r="AG15" s="31">
        <f t="shared" si="5"/>
        <v>0</v>
      </c>
      <c r="AH15" s="139" t="str">
        <f t="shared" si="6"/>
        <v/>
      </c>
      <c r="AI15" s="139" t="str">
        <f t="shared" si="7"/>
        <v/>
      </c>
      <c r="AJ15" s="140"/>
      <c r="AK15" s="139">
        <v>6</v>
      </c>
      <c r="AL15" s="140"/>
      <c r="AM15" s="139" t="str">
        <f t="array" ref="AM15">IFERROR(INDEX($AK$10:$AK$258, MATCH(0, IF(TRUE=$AH$10:$AH$258, COUNTIF($AM$9:$AM14, $AK$10:$AK$258), ""), 0)),"")</f>
        <v/>
      </c>
      <c r="AN15" s="139" t="str">
        <f t="array" ref="AN15">IFERROR(INDEX($AK$10:$AK$258, MATCH(0, IF(TRUE=$AI$10:$AI$258, COUNTIF($AN$9:$AN14, $AK$10:$AK$258), ""), 0)),"")</f>
        <v/>
      </c>
    </row>
    <row r="16" spans="2:40" ht="14" x14ac:dyDescent="0.3">
      <c r="C16" s="141">
        <v>7</v>
      </c>
      <c r="D16" s="462"/>
      <c r="E16" s="153"/>
      <c r="F16" s="498" t="str">
        <f>IF(D16="","",VLOOKUP(D16,'G-7 Rivers Data'!$B$2:$G$8,2,FALSE))</f>
        <v/>
      </c>
      <c r="G16" s="499" t="str">
        <f>IFERROR(VLOOKUP(F16,'G-7 Rivers Data'!$C$4:$D$8,2,FALSE),"")</f>
        <v/>
      </c>
      <c r="H16" s="145"/>
      <c r="I16" s="499" t="str">
        <f>IFERROR(INDEX('G-7 Rivers Data'!$H$4:$L$8,MATCH(D16,'G-7 Rivers Data'!$B$4:$B$8,0),MATCH(H16,'G-7 Rivers Data'!$H$3:$L$3,0)),"")</f>
        <v/>
      </c>
      <c r="J16" s="154"/>
      <c r="K16" s="520" t="str">
        <f>IF(J16="","",IF(VLOOKUP(J16,'G-7 Rivers Data'!$AK$4:$AM$9,2,FALSE)=0,"Spatial Data Missing ⚠",VLOOKUP(J16,'G-7 Rivers Data'!$AK$4:$AM$9,2,FALSE)))</f>
        <v/>
      </c>
      <c r="L16" s="524" t="str">
        <f>IF(J16="","",IF(VLOOKUP(J16,'G-7 Rivers Data'!$AK$4:$AM$9,3,FALSE)=0,"Spatial Data Missing ⚠",VLOOKUP(J16,'G-7 Rivers Data'!$AK$4:$AM$9,3,FALSE)))</f>
        <v/>
      </c>
      <c r="M16" s="71"/>
      <c r="N16" s="499" t="str">
        <f>IF(M16="","",IF(VLOOKUP(M16,'G-7 Rivers Data'!$AA$4:$AB$7,2,FALSE)=0,"Spatial Data Missing ⚠",VLOOKUP(M16,'G-7 Rivers Data'!$AA$4:$AB$7,2,FALSE)))</f>
        <v/>
      </c>
      <c r="O16" s="155"/>
      <c r="P16" s="499" t="str">
        <f>IF(O16="","",IF(VLOOKUP(O16,'G-7 Rivers Data'!$AD$4:$AE$8,2,FALSE)=0,"Spatial Data Missing ⚠",VLOOKUP(O16,'G-7 Rivers Data'!$AD$4:$AE$8,2,FALSE)))</f>
        <v/>
      </c>
      <c r="Q16" s="506" t="str">
        <f>IF(D16="","",VLOOKUP(D16,'G-7 Rivers Data'!$B$4:$G$8,6,FALSE))</f>
        <v/>
      </c>
      <c r="R16" s="513" t="str">
        <f t="shared" si="0"/>
        <v/>
      </c>
      <c r="S16" s="40"/>
      <c r="T16" s="71"/>
      <c r="U16" s="72"/>
      <c r="V16" s="511" t="str">
        <f t="shared" si="1"/>
        <v/>
      </c>
      <c r="W16" s="511" t="str">
        <f t="shared" si="2"/>
        <v/>
      </c>
      <c r="X16" s="511" t="str">
        <f t="shared" si="3"/>
        <v/>
      </c>
      <c r="Y16" s="515" t="str">
        <f t="shared" si="4"/>
        <v/>
      </c>
      <c r="Z16" s="151"/>
      <c r="AA16" s="152"/>
      <c r="AF16" s="31" t="str">
        <f>IFERROR(INDEX('G-7 Rivers Data'!$AZ$3:$AZ$7,MATCH(D16,'G-7 Rivers Data'!$AY$3:$AY$7,0)),"")</f>
        <v/>
      </c>
      <c r="AG16" s="31">
        <f t="shared" si="5"/>
        <v>0</v>
      </c>
      <c r="AH16" s="139" t="str">
        <f t="shared" si="6"/>
        <v/>
      </c>
      <c r="AI16" s="139" t="str">
        <f t="shared" si="7"/>
        <v/>
      </c>
      <c r="AJ16" s="140"/>
      <c r="AK16" s="139">
        <v>7</v>
      </c>
      <c r="AL16" s="140"/>
      <c r="AM16" s="139" t="str">
        <f t="array" ref="AM16">IFERROR(INDEX($AK$10:$AK$258, MATCH(0, IF(TRUE=$AH$10:$AH$258, COUNTIF($AM$9:$AM15, $AK$10:$AK$258), ""), 0)),"")</f>
        <v/>
      </c>
      <c r="AN16" s="139" t="str">
        <f t="array" ref="AN16">IFERROR(INDEX($AK$10:$AK$258, MATCH(0, IF(TRUE=$AI$10:$AI$258, COUNTIF($AN$9:$AN15, $AK$10:$AK$258), ""), 0)),"")</f>
        <v/>
      </c>
    </row>
    <row r="17" spans="3:40" ht="14" x14ac:dyDescent="0.3">
      <c r="C17" s="141">
        <v>8</v>
      </c>
      <c r="D17" s="462"/>
      <c r="E17" s="153"/>
      <c r="F17" s="498" t="str">
        <f>IF(D17="","",VLOOKUP(D17,'G-7 Rivers Data'!$B$2:$G$8,2,FALSE))</f>
        <v/>
      </c>
      <c r="G17" s="499" t="str">
        <f>IFERROR(VLOOKUP(F17,'G-7 Rivers Data'!$C$4:$D$8,2,FALSE),"")</f>
        <v/>
      </c>
      <c r="H17" s="145"/>
      <c r="I17" s="499" t="str">
        <f>IFERROR(INDEX('G-7 Rivers Data'!$H$4:$L$8,MATCH(D17,'G-7 Rivers Data'!$B$4:$B$8,0),MATCH(H17,'G-7 Rivers Data'!$H$3:$L$3,0)),"")</f>
        <v/>
      </c>
      <c r="J17" s="154"/>
      <c r="K17" s="520" t="str">
        <f>IF(J17="","",IF(VLOOKUP(J17,'G-7 Rivers Data'!$AK$4:$AM$9,2,FALSE)=0,"Spatial Data Missing ⚠",VLOOKUP(J17,'G-7 Rivers Data'!$AK$4:$AM$9,2,FALSE)))</f>
        <v/>
      </c>
      <c r="L17" s="524" t="str">
        <f>IF(J17="","",IF(VLOOKUP(J17,'G-7 Rivers Data'!$AK$4:$AM$9,3,FALSE)=0,"Spatial Data Missing ⚠",VLOOKUP(J17,'G-7 Rivers Data'!$AK$4:$AM$9,3,FALSE)))</f>
        <v/>
      </c>
      <c r="M17" s="71"/>
      <c r="N17" s="499" t="str">
        <f>IF(M17="","",IF(VLOOKUP(M17,'G-7 Rivers Data'!$AA$4:$AB$7,2,FALSE)=0,"Spatial Data Missing ⚠",VLOOKUP(M17,'G-7 Rivers Data'!$AA$4:$AB$7,2,FALSE)))</f>
        <v/>
      </c>
      <c r="O17" s="155"/>
      <c r="P17" s="499" t="str">
        <f>IF(O17="","",IF(VLOOKUP(O17,'G-7 Rivers Data'!$AD$4:$AE$8,2,FALSE)=0,"Spatial Data Missing ⚠",VLOOKUP(O17,'G-7 Rivers Data'!$AD$4:$AE$8,2,FALSE)))</f>
        <v/>
      </c>
      <c r="Q17" s="506" t="str">
        <f>IF(D17="","",VLOOKUP(D17,'G-7 Rivers Data'!$B$4:$G$8,6,FALSE))</f>
        <v/>
      </c>
      <c r="R17" s="513" t="str">
        <f t="shared" si="0"/>
        <v/>
      </c>
      <c r="S17" s="40"/>
      <c r="T17" s="71"/>
      <c r="U17" s="72"/>
      <c r="V17" s="511" t="str">
        <f t="shared" si="1"/>
        <v/>
      </c>
      <c r="W17" s="511" t="str">
        <f t="shared" si="2"/>
        <v/>
      </c>
      <c r="X17" s="511" t="str">
        <f t="shared" si="3"/>
        <v/>
      </c>
      <c r="Y17" s="515" t="str">
        <f t="shared" si="4"/>
        <v/>
      </c>
      <c r="Z17" s="151"/>
      <c r="AA17" s="152"/>
      <c r="AF17" s="31" t="str">
        <f>IFERROR(INDEX('G-7 Rivers Data'!$AZ$3:$AZ$7,MATCH(D17,'G-7 Rivers Data'!$AY$3:$AY$7,0)),"")</f>
        <v/>
      </c>
      <c r="AG17" s="31">
        <f t="shared" si="5"/>
        <v>0</v>
      </c>
      <c r="AH17" s="139" t="str">
        <f t="shared" si="6"/>
        <v/>
      </c>
      <c r="AI17" s="139" t="str">
        <f t="shared" si="7"/>
        <v/>
      </c>
      <c r="AJ17" s="140"/>
      <c r="AK17" s="139">
        <v>8</v>
      </c>
      <c r="AL17" s="140"/>
      <c r="AM17" s="139" t="str">
        <f t="array" ref="AM17">IFERROR(INDEX($AK$10:$AK$258, MATCH(0, IF(TRUE=$AH$10:$AH$258, COUNTIF($AM$9:$AM16, $AK$10:$AK$258), ""), 0)),"")</f>
        <v/>
      </c>
      <c r="AN17" s="139" t="str">
        <f t="array" ref="AN17">IFERROR(INDEX($AK$10:$AK$258, MATCH(0, IF(TRUE=$AI$10:$AI$258, COUNTIF($AN$9:$AN16, $AK$10:$AK$258), ""), 0)),"")</f>
        <v/>
      </c>
    </row>
    <row r="18" spans="3:40" ht="14" x14ac:dyDescent="0.3">
      <c r="C18" s="141">
        <v>9</v>
      </c>
      <c r="D18" s="462"/>
      <c r="E18" s="153"/>
      <c r="F18" s="498" t="str">
        <f>IF(D18="","",VLOOKUP(D18,'G-7 Rivers Data'!$B$2:$G$8,2,FALSE))</f>
        <v/>
      </c>
      <c r="G18" s="499" t="str">
        <f>IFERROR(VLOOKUP(F18,'G-7 Rivers Data'!$C$4:$D$8,2,FALSE),"")</f>
        <v/>
      </c>
      <c r="H18" s="145"/>
      <c r="I18" s="499" t="str">
        <f>IFERROR(INDEX('G-7 Rivers Data'!$H$4:$L$8,MATCH(D18,'G-7 Rivers Data'!$B$4:$B$8,0),MATCH(H18,'G-7 Rivers Data'!$H$3:$L$3,0)),"")</f>
        <v/>
      </c>
      <c r="J18" s="154"/>
      <c r="K18" s="520" t="str">
        <f>IF(J18="","",IF(VLOOKUP(J18,'G-7 Rivers Data'!$AK$4:$AM$9,2,FALSE)=0,"Spatial Data Missing ⚠",VLOOKUP(J18,'G-7 Rivers Data'!$AK$4:$AM$9,2,FALSE)))</f>
        <v/>
      </c>
      <c r="L18" s="524" t="str">
        <f>IF(J18="","",IF(VLOOKUP(J18,'G-7 Rivers Data'!$AK$4:$AM$9,3,FALSE)=0,"Spatial Data Missing ⚠",VLOOKUP(J18,'G-7 Rivers Data'!$AK$4:$AM$9,3,FALSE)))</f>
        <v/>
      </c>
      <c r="M18" s="71"/>
      <c r="N18" s="499" t="str">
        <f>IF(M18="","",IF(VLOOKUP(M18,'G-7 Rivers Data'!$AA$4:$AB$7,2,FALSE)=0,"Spatial Data Missing ⚠",VLOOKUP(M18,'G-7 Rivers Data'!$AA$4:$AB$7,2,FALSE)))</f>
        <v/>
      </c>
      <c r="O18" s="155"/>
      <c r="P18" s="499" t="str">
        <f>IF(O18="","",IF(VLOOKUP(O18,'G-7 Rivers Data'!$AD$4:$AE$8,2,FALSE)=0,"Spatial Data Missing ⚠",VLOOKUP(O18,'G-7 Rivers Data'!$AD$4:$AE$8,2,FALSE)))</f>
        <v/>
      </c>
      <c r="Q18" s="506" t="str">
        <f>IF(D18="","",VLOOKUP(D18,'G-7 Rivers Data'!$B$4:$G$8,6,FALSE))</f>
        <v/>
      </c>
      <c r="R18" s="513" t="str">
        <f t="shared" si="0"/>
        <v/>
      </c>
      <c r="S18" s="40"/>
      <c r="T18" s="71"/>
      <c r="U18" s="72"/>
      <c r="V18" s="511" t="str">
        <f t="shared" si="1"/>
        <v/>
      </c>
      <c r="W18" s="511" t="str">
        <f t="shared" si="2"/>
        <v/>
      </c>
      <c r="X18" s="511" t="str">
        <f t="shared" si="3"/>
        <v/>
      </c>
      <c r="Y18" s="515" t="str">
        <f t="shared" si="4"/>
        <v/>
      </c>
      <c r="Z18" s="151"/>
      <c r="AA18" s="152"/>
      <c r="AF18" s="31" t="str">
        <f>IFERROR(INDEX('G-7 Rivers Data'!$AZ$3:$AZ$7,MATCH(D18,'G-7 Rivers Data'!$AY$3:$AY$7,0)),"")</f>
        <v/>
      </c>
      <c r="AG18" s="31">
        <f t="shared" si="5"/>
        <v>0</v>
      </c>
      <c r="AH18" s="139" t="str">
        <f t="shared" si="6"/>
        <v/>
      </c>
      <c r="AI18" s="139" t="str">
        <f t="shared" si="7"/>
        <v/>
      </c>
      <c r="AJ18" s="140"/>
      <c r="AK18" s="139">
        <v>9</v>
      </c>
      <c r="AL18" s="140"/>
      <c r="AM18" s="139" t="str">
        <f t="array" ref="AM18">IFERROR(INDEX($AK$10:$AK$258, MATCH(0, IF(TRUE=$AH$10:$AH$258, COUNTIF($AM$9:$AM17, $AK$10:$AK$258), ""), 0)),"")</f>
        <v/>
      </c>
      <c r="AN18" s="139" t="str">
        <f t="array" ref="AN18">IFERROR(INDEX($AK$10:$AK$258, MATCH(0, IF(TRUE=$AI$10:$AI$258, COUNTIF($AN$9:$AN17, $AK$10:$AK$258), ""), 0)),"")</f>
        <v/>
      </c>
    </row>
    <row r="19" spans="3:40" ht="14" x14ac:dyDescent="0.3">
      <c r="C19" s="141">
        <v>10</v>
      </c>
      <c r="D19" s="462"/>
      <c r="E19" s="153"/>
      <c r="F19" s="498" t="str">
        <f>IF(D19="","",VLOOKUP(D19,'G-7 Rivers Data'!$B$2:$G$8,2,FALSE))</f>
        <v/>
      </c>
      <c r="G19" s="499" t="str">
        <f>IFERROR(VLOOKUP(F19,'G-7 Rivers Data'!$C$4:$D$8,2,FALSE),"")</f>
        <v/>
      </c>
      <c r="H19" s="145"/>
      <c r="I19" s="499" t="str">
        <f>IFERROR(INDEX('G-7 Rivers Data'!$H$4:$L$8,MATCH(D19,'G-7 Rivers Data'!$B$4:$B$8,0),MATCH(H19,'G-7 Rivers Data'!$H$3:$L$3,0)),"")</f>
        <v/>
      </c>
      <c r="J19" s="154"/>
      <c r="K19" s="520" t="str">
        <f>IF(J19="","",IF(VLOOKUP(J19,'G-7 Rivers Data'!$AK$4:$AM$9,2,FALSE)=0,"Spatial Data Missing ⚠",VLOOKUP(J19,'G-7 Rivers Data'!$AK$4:$AM$9,2,FALSE)))</f>
        <v/>
      </c>
      <c r="L19" s="524" t="str">
        <f>IF(J19="","",IF(VLOOKUP(J19,'G-7 Rivers Data'!$AK$4:$AM$9,3,FALSE)=0,"Spatial Data Missing ⚠",VLOOKUP(J19,'G-7 Rivers Data'!$AK$4:$AM$9,3,FALSE)))</f>
        <v/>
      </c>
      <c r="M19" s="71"/>
      <c r="N19" s="499" t="str">
        <f>IF(M19="","",IF(VLOOKUP(M19,'G-7 Rivers Data'!$AA$4:$AB$7,2,FALSE)=0,"Spatial Data Missing ⚠",VLOOKUP(M19,'G-7 Rivers Data'!$AA$4:$AB$7,2,FALSE)))</f>
        <v/>
      </c>
      <c r="O19" s="155"/>
      <c r="P19" s="499" t="str">
        <f>IF(O19="","",IF(VLOOKUP(O19,'G-7 Rivers Data'!$AD$4:$AE$8,2,FALSE)=0,"Spatial Data Missing ⚠",VLOOKUP(O19,'G-7 Rivers Data'!$AD$4:$AE$8,2,FALSE)))</f>
        <v/>
      </c>
      <c r="Q19" s="506" t="str">
        <f>IF(D19="","",VLOOKUP(D19,'G-7 Rivers Data'!$B$4:$G$8,6,FALSE))</f>
        <v/>
      </c>
      <c r="R19" s="513" t="str">
        <f t="shared" si="0"/>
        <v/>
      </c>
      <c r="S19" s="40"/>
      <c r="T19" s="71"/>
      <c r="U19" s="72"/>
      <c r="V19" s="511" t="str">
        <f t="shared" si="1"/>
        <v/>
      </c>
      <c r="W19" s="511" t="str">
        <f t="shared" si="2"/>
        <v/>
      </c>
      <c r="X19" s="511" t="str">
        <f t="shared" si="3"/>
        <v/>
      </c>
      <c r="Y19" s="515" t="str">
        <f t="shared" si="4"/>
        <v/>
      </c>
      <c r="Z19" s="151"/>
      <c r="AA19" s="152"/>
      <c r="AF19" s="31" t="str">
        <f>IFERROR(INDEX('G-7 Rivers Data'!$AZ$3:$AZ$7,MATCH(D19,'G-7 Rivers Data'!$AY$3:$AY$7,0)),"")</f>
        <v/>
      </c>
      <c r="AG19" s="31">
        <f t="shared" si="5"/>
        <v>0</v>
      </c>
      <c r="AH19" s="139" t="str">
        <f t="shared" si="6"/>
        <v/>
      </c>
      <c r="AI19" s="139" t="str">
        <f t="shared" si="7"/>
        <v/>
      </c>
      <c r="AJ19" s="140"/>
      <c r="AK19" s="139">
        <v>10</v>
      </c>
      <c r="AL19" s="140"/>
      <c r="AM19" s="139" t="str">
        <f t="array" ref="AM19">IFERROR(INDEX($AK$10:$AK$258, MATCH(0, IF(TRUE=$AH$10:$AH$258, COUNTIF($AM$9:$AM18, $AK$10:$AK$258), ""), 0)),"")</f>
        <v/>
      </c>
      <c r="AN19" s="139" t="str">
        <f t="array" ref="AN19">IFERROR(INDEX($AK$10:$AK$258, MATCH(0, IF(TRUE=$AI$10:$AI$258, COUNTIF($AN$9:$AN18, $AK$10:$AK$258), ""), 0)),"")</f>
        <v/>
      </c>
    </row>
    <row r="20" spans="3:40" ht="14" x14ac:dyDescent="0.3">
      <c r="C20" s="141">
        <v>11</v>
      </c>
      <c r="D20" s="462"/>
      <c r="E20" s="153"/>
      <c r="F20" s="498" t="str">
        <f>IF(D20="","",VLOOKUP(D20,'G-7 Rivers Data'!$B$2:$G$8,2,FALSE))</f>
        <v/>
      </c>
      <c r="G20" s="499" t="str">
        <f>IFERROR(VLOOKUP(F20,'G-7 Rivers Data'!$C$4:$D$8,2,FALSE),"")</f>
        <v/>
      </c>
      <c r="H20" s="145"/>
      <c r="I20" s="499" t="str">
        <f>IFERROR(INDEX('G-7 Rivers Data'!$H$4:$L$8,MATCH(D20,'G-7 Rivers Data'!$B$4:$B$8,0),MATCH(H20,'G-7 Rivers Data'!$H$3:$L$3,0)),"")</f>
        <v/>
      </c>
      <c r="J20" s="154"/>
      <c r="K20" s="520" t="str">
        <f>IF(J20="","",IF(VLOOKUP(J20,'G-7 Rivers Data'!$AK$4:$AM$9,2,FALSE)=0,"Spatial Data Missing ⚠",VLOOKUP(J20,'G-7 Rivers Data'!$AK$4:$AM$9,2,FALSE)))</f>
        <v/>
      </c>
      <c r="L20" s="524" t="str">
        <f>IF(J20="","",IF(VLOOKUP(J20,'G-7 Rivers Data'!$AK$4:$AM$9,3,FALSE)=0,"Spatial Data Missing ⚠",VLOOKUP(J20,'G-7 Rivers Data'!$AK$4:$AM$9,3,FALSE)))</f>
        <v/>
      </c>
      <c r="M20" s="71"/>
      <c r="N20" s="499" t="str">
        <f>IF(M20="","",IF(VLOOKUP(M20,'G-7 Rivers Data'!$AA$4:$AB$7,2,FALSE)=0,"Spatial Data Missing ⚠",VLOOKUP(M20,'G-7 Rivers Data'!$AA$4:$AB$7,2,FALSE)))</f>
        <v/>
      </c>
      <c r="O20" s="155"/>
      <c r="P20" s="499" t="str">
        <f>IF(O20="","",IF(VLOOKUP(O20,'G-7 Rivers Data'!$AD$4:$AE$8,2,FALSE)=0,"Spatial Data Missing ⚠",VLOOKUP(O20,'G-7 Rivers Data'!$AD$4:$AE$8,2,FALSE)))</f>
        <v/>
      </c>
      <c r="Q20" s="506" t="str">
        <f>IF(D20="","",VLOOKUP(D20,'G-7 Rivers Data'!$B$4:$G$8,6,FALSE))</f>
        <v/>
      </c>
      <c r="R20" s="513" t="str">
        <f t="shared" si="0"/>
        <v/>
      </c>
      <c r="S20" s="40"/>
      <c r="T20" s="71"/>
      <c r="U20" s="72"/>
      <c r="V20" s="511" t="str">
        <f t="shared" si="1"/>
        <v/>
      </c>
      <c r="W20" s="511" t="str">
        <f t="shared" si="2"/>
        <v/>
      </c>
      <c r="X20" s="511" t="str">
        <f t="shared" si="3"/>
        <v/>
      </c>
      <c r="Y20" s="515" t="str">
        <f t="shared" si="4"/>
        <v/>
      </c>
      <c r="Z20" s="151"/>
      <c r="AA20" s="152"/>
      <c r="AF20" s="31" t="str">
        <f>IFERROR(INDEX('G-7 Rivers Data'!$AZ$3:$AZ$7,MATCH(D20,'G-7 Rivers Data'!$AY$3:$AY$7,0)),"")</f>
        <v/>
      </c>
      <c r="AG20" s="31">
        <f t="shared" si="5"/>
        <v>0</v>
      </c>
      <c r="AH20" s="139" t="str">
        <f t="shared" si="6"/>
        <v/>
      </c>
      <c r="AI20" s="139" t="str">
        <f t="shared" si="7"/>
        <v/>
      </c>
      <c r="AJ20" s="140"/>
      <c r="AK20" s="139">
        <v>11</v>
      </c>
      <c r="AL20" s="140"/>
      <c r="AM20" s="139" t="str">
        <f t="array" ref="AM20">IFERROR(INDEX($AK$10:$AK$258, MATCH(0, IF(TRUE=$AH$10:$AH$258, COUNTIF($AM$9:$AM19, $AK$10:$AK$258), ""), 0)),"")</f>
        <v/>
      </c>
      <c r="AN20" s="139" t="str">
        <f t="array" ref="AN20">IFERROR(INDEX($AK$10:$AK$258, MATCH(0, IF(TRUE=$AI$10:$AI$258, COUNTIF($AN$9:$AN19, $AK$10:$AK$258), ""), 0)),"")</f>
        <v/>
      </c>
    </row>
    <row r="21" spans="3:40" ht="14" x14ac:dyDescent="0.3">
      <c r="C21" s="141">
        <v>12</v>
      </c>
      <c r="D21" s="462"/>
      <c r="E21" s="153"/>
      <c r="F21" s="498" t="str">
        <f>IF(D21="","",VLOOKUP(D21,'G-7 Rivers Data'!$B$2:$G$8,2,FALSE))</f>
        <v/>
      </c>
      <c r="G21" s="499" t="str">
        <f>IFERROR(VLOOKUP(F21,'G-7 Rivers Data'!$C$4:$D$8,2,FALSE),"")</f>
        <v/>
      </c>
      <c r="H21" s="145"/>
      <c r="I21" s="499" t="str">
        <f>IFERROR(INDEX('G-7 Rivers Data'!$H$4:$L$8,MATCH(D21,'G-7 Rivers Data'!$B$4:$B$8,0),MATCH(H21,'G-7 Rivers Data'!$H$3:$L$3,0)),"")</f>
        <v/>
      </c>
      <c r="J21" s="154"/>
      <c r="K21" s="520" t="str">
        <f>IF(J21="","",IF(VLOOKUP(J21,'G-7 Rivers Data'!$AK$4:$AM$9,2,FALSE)=0,"Spatial Data Missing ⚠",VLOOKUP(J21,'G-7 Rivers Data'!$AK$4:$AM$9,2,FALSE)))</f>
        <v/>
      </c>
      <c r="L21" s="524" t="str">
        <f>IF(J21="","",IF(VLOOKUP(J21,'G-7 Rivers Data'!$AK$4:$AM$9,3,FALSE)=0,"Spatial Data Missing ⚠",VLOOKUP(J21,'G-7 Rivers Data'!$AK$4:$AM$9,3,FALSE)))</f>
        <v/>
      </c>
      <c r="M21" s="71"/>
      <c r="N21" s="499" t="str">
        <f>IF(M21="","",IF(VLOOKUP(M21,'G-7 Rivers Data'!$AA$4:$AB$7,2,FALSE)=0,"Spatial Data Missing ⚠",VLOOKUP(M21,'G-7 Rivers Data'!$AA$4:$AB$7,2,FALSE)))</f>
        <v/>
      </c>
      <c r="O21" s="155"/>
      <c r="P21" s="499" t="str">
        <f>IF(O21="","",IF(VLOOKUP(O21,'G-7 Rivers Data'!$AD$4:$AE$8,2,FALSE)=0,"Spatial Data Missing ⚠",VLOOKUP(O21,'G-7 Rivers Data'!$AD$4:$AE$8,2,FALSE)))</f>
        <v/>
      </c>
      <c r="Q21" s="506" t="str">
        <f>IF(D21="","",VLOOKUP(D21,'G-7 Rivers Data'!$B$4:$G$8,6,FALSE))</f>
        <v/>
      </c>
      <c r="R21" s="513" t="str">
        <f t="shared" si="0"/>
        <v/>
      </c>
      <c r="S21" s="40"/>
      <c r="T21" s="71"/>
      <c r="U21" s="72"/>
      <c r="V21" s="511" t="str">
        <f t="shared" si="1"/>
        <v/>
      </c>
      <c r="W21" s="511" t="str">
        <f t="shared" si="2"/>
        <v/>
      </c>
      <c r="X21" s="511" t="str">
        <f t="shared" si="3"/>
        <v/>
      </c>
      <c r="Y21" s="515" t="str">
        <f t="shared" si="4"/>
        <v/>
      </c>
      <c r="Z21" s="151"/>
      <c r="AA21" s="152"/>
      <c r="AF21" s="31" t="str">
        <f>IFERROR(INDEX('G-7 Rivers Data'!$AZ$3:$AZ$7,MATCH(D21,'G-7 Rivers Data'!$AY$3:$AY$7,0)),"")</f>
        <v/>
      </c>
      <c r="AG21" s="31">
        <f t="shared" si="5"/>
        <v>0</v>
      </c>
      <c r="AH21" s="139" t="str">
        <f t="shared" si="6"/>
        <v/>
      </c>
      <c r="AI21" s="139" t="str">
        <f t="shared" si="7"/>
        <v/>
      </c>
      <c r="AJ21" s="140"/>
      <c r="AK21" s="139">
        <v>12</v>
      </c>
      <c r="AL21" s="140"/>
      <c r="AM21" s="139" t="str">
        <f t="array" ref="AM21">IFERROR(INDEX($AK$10:$AK$258, MATCH(0, IF(TRUE=$AH$10:$AH$258, COUNTIF($AM$9:$AM20, $AK$10:$AK$258), ""), 0)),"")</f>
        <v/>
      </c>
      <c r="AN21" s="139" t="str">
        <f t="array" ref="AN21">IFERROR(INDEX($AK$10:$AK$258, MATCH(0, IF(TRUE=$AI$10:$AI$258, COUNTIF($AN$9:$AN20, $AK$10:$AK$258), ""), 0)),"")</f>
        <v/>
      </c>
    </row>
    <row r="22" spans="3:40" ht="14" x14ac:dyDescent="0.3">
      <c r="C22" s="141">
        <v>13</v>
      </c>
      <c r="D22" s="462"/>
      <c r="E22" s="153"/>
      <c r="F22" s="498" t="str">
        <f>IF(D22="","",VLOOKUP(D22,'G-7 Rivers Data'!$B$2:$G$8,2,FALSE))</f>
        <v/>
      </c>
      <c r="G22" s="499" t="str">
        <f>IFERROR(VLOOKUP(F22,'G-7 Rivers Data'!$C$4:$D$8,2,FALSE),"")</f>
        <v/>
      </c>
      <c r="H22" s="145"/>
      <c r="I22" s="499" t="str">
        <f>IFERROR(INDEX('G-7 Rivers Data'!$H$4:$L$8,MATCH(D22,'G-7 Rivers Data'!$B$4:$B$8,0),MATCH(H22,'G-7 Rivers Data'!$H$3:$L$3,0)),"")</f>
        <v/>
      </c>
      <c r="J22" s="154"/>
      <c r="K22" s="520" t="str">
        <f>IF(J22="","",IF(VLOOKUP(J22,'G-7 Rivers Data'!$AK$4:$AM$9,2,FALSE)=0,"Spatial Data Missing ⚠",VLOOKUP(J22,'G-7 Rivers Data'!$AK$4:$AM$9,2,FALSE)))</f>
        <v/>
      </c>
      <c r="L22" s="524" t="str">
        <f>IF(J22="","",IF(VLOOKUP(J22,'G-7 Rivers Data'!$AK$4:$AM$9,3,FALSE)=0,"Spatial Data Missing ⚠",VLOOKUP(J22,'G-7 Rivers Data'!$AK$4:$AM$9,3,FALSE)))</f>
        <v/>
      </c>
      <c r="M22" s="71"/>
      <c r="N22" s="499" t="str">
        <f>IF(M22="","",IF(VLOOKUP(M22,'G-7 Rivers Data'!$AA$4:$AB$7,2,FALSE)=0,"Spatial Data Missing ⚠",VLOOKUP(M22,'G-7 Rivers Data'!$AA$4:$AB$7,2,FALSE)))</f>
        <v/>
      </c>
      <c r="O22" s="155"/>
      <c r="P22" s="499" t="str">
        <f>IF(O22="","",IF(VLOOKUP(O22,'G-7 Rivers Data'!$AD$4:$AE$8,2,FALSE)=0,"Spatial Data Missing ⚠",VLOOKUP(O22,'G-7 Rivers Data'!$AD$4:$AE$8,2,FALSE)))</f>
        <v/>
      </c>
      <c r="Q22" s="506" t="str">
        <f>IF(D22="","",VLOOKUP(D22,'G-7 Rivers Data'!$B$4:$G$8,6,FALSE))</f>
        <v/>
      </c>
      <c r="R22" s="513" t="str">
        <f t="shared" si="0"/>
        <v/>
      </c>
      <c r="S22" s="40"/>
      <c r="T22" s="71"/>
      <c r="U22" s="72"/>
      <c r="V22" s="511" t="str">
        <f t="shared" si="1"/>
        <v/>
      </c>
      <c r="W22" s="511" t="str">
        <f t="shared" si="2"/>
        <v/>
      </c>
      <c r="X22" s="511" t="str">
        <f t="shared" si="3"/>
        <v/>
      </c>
      <c r="Y22" s="515" t="str">
        <f t="shared" si="4"/>
        <v/>
      </c>
      <c r="Z22" s="151"/>
      <c r="AA22" s="152"/>
      <c r="AF22" s="31" t="str">
        <f>IFERROR(INDEX('G-7 Rivers Data'!$AZ$3:$AZ$7,MATCH(D22,'G-7 Rivers Data'!$AY$3:$AY$7,0)),"")</f>
        <v/>
      </c>
      <c r="AG22" s="31">
        <f t="shared" si="5"/>
        <v>0</v>
      </c>
      <c r="AH22" s="139" t="str">
        <f t="shared" si="6"/>
        <v/>
      </c>
      <c r="AI22" s="139" t="str">
        <f t="shared" si="7"/>
        <v/>
      </c>
      <c r="AJ22" s="140"/>
      <c r="AK22" s="139">
        <v>13</v>
      </c>
      <c r="AL22" s="140"/>
      <c r="AM22" s="139" t="str">
        <f t="array" ref="AM22">IFERROR(INDEX($AK$10:$AK$258, MATCH(0, IF(TRUE=$AH$10:$AH$258, COUNTIF($AM$9:$AM21, $AK$10:$AK$258), ""), 0)),"")</f>
        <v/>
      </c>
      <c r="AN22" s="139" t="str">
        <f t="array" ref="AN22">IFERROR(INDEX($AK$10:$AK$258, MATCH(0, IF(TRUE=$AI$10:$AI$258, COUNTIF($AN$9:$AN21, $AK$10:$AK$258), ""), 0)),"")</f>
        <v/>
      </c>
    </row>
    <row r="23" spans="3:40" ht="14" x14ac:dyDescent="0.3">
      <c r="C23" s="141">
        <v>14</v>
      </c>
      <c r="D23" s="462"/>
      <c r="E23" s="153"/>
      <c r="F23" s="498" t="str">
        <f>IF(D23="","",VLOOKUP(D23,'G-7 Rivers Data'!$B$2:$G$8,2,FALSE))</f>
        <v/>
      </c>
      <c r="G23" s="499" t="str">
        <f>IFERROR(VLOOKUP(F23,'G-7 Rivers Data'!$C$4:$D$8,2,FALSE),"")</f>
        <v/>
      </c>
      <c r="H23" s="145"/>
      <c r="I23" s="499" t="str">
        <f>IFERROR(INDEX('G-7 Rivers Data'!$H$4:$L$8,MATCH(D23,'G-7 Rivers Data'!$B$4:$B$8,0),MATCH(H23,'G-7 Rivers Data'!$H$3:$L$3,0)),"")</f>
        <v/>
      </c>
      <c r="J23" s="154"/>
      <c r="K23" s="520" t="str">
        <f>IF(J23="","",IF(VLOOKUP(J23,'G-7 Rivers Data'!$AK$4:$AM$9,2,FALSE)=0,"Spatial Data Missing ⚠",VLOOKUP(J23,'G-7 Rivers Data'!$AK$4:$AM$9,2,FALSE)))</f>
        <v/>
      </c>
      <c r="L23" s="524" t="str">
        <f>IF(J23="","",IF(VLOOKUP(J23,'G-7 Rivers Data'!$AK$4:$AM$9,3,FALSE)=0,"Spatial Data Missing ⚠",VLOOKUP(J23,'G-7 Rivers Data'!$AK$4:$AM$9,3,FALSE)))</f>
        <v/>
      </c>
      <c r="M23" s="71"/>
      <c r="N23" s="499" t="str">
        <f>IF(M23="","",IF(VLOOKUP(M23,'G-7 Rivers Data'!$AA$4:$AB$7,2,FALSE)=0,"Spatial Data Missing ⚠",VLOOKUP(M23,'G-7 Rivers Data'!$AA$4:$AB$7,2,FALSE)))</f>
        <v/>
      </c>
      <c r="O23" s="155"/>
      <c r="P23" s="499" t="str">
        <f>IF(O23="","",IF(VLOOKUP(O23,'G-7 Rivers Data'!$AD$4:$AE$8,2,FALSE)=0,"Spatial Data Missing ⚠",VLOOKUP(O23,'G-7 Rivers Data'!$AD$4:$AE$8,2,FALSE)))</f>
        <v/>
      </c>
      <c r="Q23" s="506" t="str">
        <f>IF(D23="","",VLOOKUP(D23,'G-7 Rivers Data'!$B$4:$G$8,6,FALSE))</f>
        <v/>
      </c>
      <c r="R23" s="513" t="str">
        <f t="shared" si="0"/>
        <v/>
      </c>
      <c r="S23" s="40"/>
      <c r="T23" s="71"/>
      <c r="U23" s="72"/>
      <c r="V23" s="511" t="str">
        <f t="shared" si="1"/>
        <v/>
      </c>
      <c r="W23" s="511" t="str">
        <f t="shared" si="2"/>
        <v/>
      </c>
      <c r="X23" s="511" t="str">
        <f t="shared" si="3"/>
        <v/>
      </c>
      <c r="Y23" s="515" t="str">
        <f t="shared" si="4"/>
        <v/>
      </c>
      <c r="Z23" s="151"/>
      <c r="AA23" s="152"/>
      <c r="AF23" s="31" t="str">
        <f>IFERROR(INDEX('G-7 Rivers Data'!$AZ$3:$AZ$7,MATCH(D23,'G-7 Rivers Data'!$AY$3:$AY$7,0)),"")</f>
        <v/>
      </c>
      <c r="AG23" s="31">
        <f t="shared" si="5"/>
        <v>0</v>
      </c>
      <c r="AH23" s="156" t="str">
        <f t="shared" si="6"/>
        <v/>
      </c>
      <c r="AI23" s="156" t="str">
        <f t="shared" si="7"/>
        <v/>
      </c>
      <c r="AK23" s="156">
        <v>14</v>
      </c>
      <c r="AM23" s="156" t="str">
        <f t="array" ref="AM23">IFERROR(INDEX($AK$10:$AK$258, MATCH(0, IF(TRUE=$AH$10:$AH$258, COUNTIF($AM$9:$AM22, $AK$10:$AK$258), ""), 0)),"")</f>
        <v/>
      </c>
      <c r="AN23" s="156" t="str">
        <f t="array" ref="AN23">IFERROR(INDEX($AK$10:$AK$258, MATCH(0, IF(TRUE=$AI$10:$AI$258, COUNTIF($AN$9:$AN22, $AK$10:$AK$258), ""), 0)),"")</f>
        <v/>
      </c>
    </row>
    <row r="24" spans="3:40" ht="14" x14ac:dyDescent="0.3">
      <c r="C24" s="141">
        <v>15</v>
      </c>
      <c r="D24" s="462"/>
      <c r="E24" s="153"/>
      <c r="F24" s="498" t="str">
        <f>IF(D24="","",VLOOKUP(D24,'G-7 Rivers Data'!$B$2:$G$8,2,FALSE))</f>
        <v/>
      </c>
      <c r="G24" s="499" t="str">
        <f>IFERROR(VLOOKUP(F24,'G-7 Rivers Data'!$C$4:$D$8,2,FALSE),"")</f>
        <v/>
      </c>
      <c r="H24" s="145"/>
      <c r="I24" s="499" t="str">
        <f>IFERROR(INDEX('G-7 Rivers Data'!$H$4:$L$8,MATCH(D24,'G-7 Rivers Data'!$B$4:$B$8,0),MATCH(H24,'G-7 Rivers Data'!$H$3:$L$3,0)),"")</f>
        <v/>
      </c>
      <c r="J24" s="154"/>
      <c r="K24" s="520" t="str">
        <f>IF(J24="","",IF(VLOOKUP(J24,'G-7 Rivers Data'!$AK$4:$AM$9,2,FALSE)=0,"Spatial Data Missing ⚠",VLOOKUP(J24,'G-7 Rivers Data'!$AK$4:$AM$9,2,FALSE)))</f>
        <v/>
      </c>
      <c r="L24" s="524" t="str">
        <f>IF(J24="","",IF(VLOOKUP(J24,'G-7 Rivers Data'!$AK$4:$AM$9,3,FALSE)=0,"Spatial Data Missing ⚠",VLOOKUP(J24,'G-7 Rivers Data'!$AK$4:$AM$9,3,FALSE)))</f>
        <v/>
      </c>
      <c r="M24" s="71"/>
      <c r="N24" s="499" t="str">
        <f>IF(M24="","",IF(VLOOKUP(M24,'G-7 Rivers Data'!$AA$4:$AB$7,2,FALSE)=0,"Spatial Data Missing ⚠",VLOOKUP(M24,'G-7 Rivers Data'!$AA$4:$AB$7,2,FALSE)))</f>
        <v/>
      </c>
      <c r="O24" s="155"/>
      <c r="P24" s="499" t="str">
        <f>IF(O24="","",IF(VLOOKUP(O24,'G-7 Rivers Data'!$AD$4:$AE$8,2,FALSE)=0,"Spatial Data Missing ⚠",VLOOKUP(O24,'G-7 Rivers Data'!$AD$4:$AE$8,2,FALSE)))</f>
        <v/>
      </c>
      <c r="Q24" s="506" t="str">
        <f>IF(D24="","",VLOOKUP(D24,'G-7 Rivers Data'!$B$4:$G$8,6,FALSE))</f>
        <v/>
      </c>
      <c r="R24" s="513" t="str">
        <f t="shared" si="0"/>
        <v/>
      </c>
      <c r="S24" s="40"/>
      <c r="T24" s="145"/>
      <c r="U24" s="157"/>
      <c r="V24" s="511" t="str">
        <f t="shared" si="1"/>
        <v/>
      </c>
      <c r="W24" s="511" t="str">
        <f t="shared" si="2"/>
        <v/>
      </c>
      <c r="X24" s="511" t="str">
        <f t="shared" si="3"/>
        <v/>
      </c>
      <c r="Y24" s="515" t="str">
        <f t="shared" si="4"/>
        <v/>
      </c>
      <c r="Z24" s="151"/>
      <c r="AA24" s="152"/>
      <c r="AF24" s="31" t="str">
        <f>IFERROR(INDEX('G-7 Rivers Data'!$AZ$3:$AZ$7,MATCH(D24,'G-7 Rivers Data'!$AY$3:$AY$7,0)),"")</f>
        <v/>
      </c>
      <c r="AG24" s="31">
        <f t="shared" si="5"/>
        <v>0</v>
      </c>
      <c r="AH24" s="156" t="str">
        <f t="shared" si="6"/>
        <v/>
      </c>
      <c r="AI24" s="156" t="str">
        <f t="shared" si="7"/>
        <v/>
      </c>
      <c r="AK24" s="156">
        <v>15</v>
      </c>
      <c r="AM24" s="156" t="str">
        <f t="array" ref="AM24">IFERROR(INDEX($AK$10:$AK$258, MATCH(0, IF(TRUE=$AH$10:$AH$258, COUNTIF($AM$9:$AM23, $AK$10:$AK$258), ""), 0)),"")</f>
        <v/>
      </c>
      <c r="AN24" s="156" t="str">
        <f t="array" ref="AN24">IFERROR(INDEX($AK$10:$AK$258, MATCH(0, IF(TRUE=$AI$10:$AI$258, COUNTIF($AN$9:$AN23, $AK$10:$AK$258), ""), 0)),"")</f>
        <v/>
      </c>
    </row>
    <row r="25" spans="3:40" ht="14" x14ac:dyDescent="0.3">
      <c r="C25" s="141">
        <v>16</v>
      </c>
      <c r="D25" s="462"/>
      <c r="E25" s="153"/>
      <c r="F25" s="498" t="str">
        <f>IF(D25="","",VLOOKUP(D25,'G-7 Rivers Data'!$B$2:$G$8,2,FALSE))</f>
        <v/>
      </c>
      <c r="G25" s="499" t="str">
        <f>IFERROR(VLOOKUP(F25,'G-7 Rivers Data'!$C$4:$D$8,2,FALSE),"")</f>
        <v/>
      </c>
      <c r="H25" s="145"/>
      <c r="I25" s="499" t="str">
        <f>IFERROR(INDEX('G-7 Rivers Data'!$H$4:$L$8,MATCH(D25,'G-7 Rivers Data'!$B$4:$B$8,0),MATCH(H25,'G-7 Rivers Data'!$H$3:$L$3,0)),"")</f>
        <v/>
      </c>
      <c r="J25" s="154"/>
      <c r="K25" s="520" t="str">
        <f>IF(J25="","",IF(VLOOKUP(J25,'G-7 Rivers Data'!$AK$4:$AM$9,2,FALSE)=0,"Spatial Data Missing ⚠",VLOOKUP(J25,'G-7 Rivers Data'!$AK$4:$AM$9,2,FALSE)))</f>
        <v/>
      </c>
      <c r="L25" s="524" t="str">
        <f>IF(J25="","",IF(VLOOKUP(J25,'G-7 Rivers Data'!$AK$4:$AM$9,3,FALSE)=0,"Spatial Data Missing ⚠",VLOOKUP(J25,'G-7 Rivers Data'!$AK$4:$AM$9,3,FALSE)))</f>
        <v/>
      </c>
      <c r="M25" s="71"/>
      <c r="N25" s="499" t="str">
        <f>IF(M25="","",IF(VLOOKUP(M25,'G-7 Rivers Data'!$AA$4:$AB$7,2,FALSE)=0,"Spatial Data Missing ⚠",VLOOKUP(M25,'G-7 Rivers Data'!$AA$4:$AB$7,2,FALSE)))</f>
        <v/>
      </c>
      <c r="O25" s="155"/>
      <c r="P25" s="499" t="str">
        <f>IF(O25="","",IF(VLOOKUP(O25,'G-7 Rivers Data'!$AD$4:$AE$8,2,FALSE)=0,"Spatial Data Missing ⚠",VLOOKUP(O25,'G-7 Rivers Data'!$AD$4:$AE$8,2,FALSE)))</f>
        <v/>
      </c>
      <c r="Q25" s="506" t="str">
        <f>IF(D25="","",VLOOKUP(D25,'G-7 Rivers Data'!$B$4:$G$8,6,FALSE))</f>
        <v/>
      </c>
      <c r="R25" s="513" t="str">
        <f t="shared" si="0"/>
        <v/>
      </c>
      <c r="S25" s="40"/>
      <c r="T25" s="145"/>
      <c r="U25" s="157"/>
      <c r="V25" s="511" t="str">
        <f t="shared" si="1"/>
        <v/>
      </c>
      <c r="W25" s="511" t="str">
        <f t="shared" si="2"/>
        <v/>
      </c>
      <c r="X25" s="511" t="str">
        <f t="shared" si="3"/>
        <v/>
      </c>
      <c r="Y25" s="515" t="str">
        <f t="shared" si="4"/>
        <v/>
      </c>
      <c r="Z25" s="151"/>
      <c r="AA25" s="152"/>
      <c r="AF25" s="31" t="str">
        <f>IFERROR(INDEX('G-7 Rivers Data'!$AZ$3:$AZ$7,MATCH(D25,'G-7 Rivers Data'!$AY$3:$AY$7,0)),"")</f>
        <v/>
      </c>
      <c r="AG25" s="31">
        <f t="shared" si="5"/>
        <v>0</v>
      </c>
      <c r="AH25" s="156" t="str">
        <f t="shared" si="6"/>
        <v/>
      </c>
      <c r="AI25" s="156" t="str">
        <f t="shared" si="7"/>
        <v/>
      </c>
      <c r="AK25" s="156">
        <v>16</v>
      </c>
      <c r="AM25" s="156" t="str">
        <f t="array" ref="AM25">IFERROR(INDEX($AK$10:$AK$258, MATCH(0, IF(TRUE=$AH$10:$AH$258, COUNTIF($AM$9:$AM24, $AK$10:$AK$258), ""), 0)),"")</f>
        <v/>
      </c>
      <c r="AN25" s="156" t="str">
        <f t="array" ref="AN25">IFERROR(INDEX($AK$10:$AK$258, MATCH(0, IF(TRUE=$AI$10:$AI$258, COUNTIF($AN$9:$AN24, $AK$10:$AK$258), ""), 0)),"")</f>
        <v/>
      </c>
    </row>
    <row r="26" spans="3:40" ht="14" x14ac:dyDescent="0.3">
      <c r="C26" s="141">
        <v>17</v>
      </c>
      <c r="D26" s="462"/>
      <c r="E26" s="153"/>
      <c r="F26" s="498" t="str">
        <f>IF(D26="","",VLOOKUP(D26,'G-7 Rivers Data'!$B$2:$G$8,2,FALSE))</f>
        <v/>
      </c>
      <c r="G26" s="499" t="str">
        <f>IFERROR(VLOOKUP(F26,'G-7 Rivers Data'!$C$4:$D$8,2,FALSE),"")</f>
        <v/>
      </c>
      <c r="H26" s="145"/>
      <c r="I26" s="499" t="str">
        <f>IFERROR(INDEX('G-7 Rivers Data'!$H$4:$L$8,MATCH(D26,'G-7 Rivers Data'!$B$4:$B$8,0),MATCH(H26,'G-7 Rivers Data'!$H$3:$L$3,0)),"")</f>
        <v/>
      </c>
      <c r="J26" s="154"/>
      <c r="K26" s="520" t="str">
        <f>IF(J26="","",IF(VLOOKUP(J26,'G-7 Rivers Data'!$AK$4:$AM$9,2,FALSE)=0,"Spatial Data Missing ⚠",VLOOKUP(J26,'G-7 Rivers Data'!$AK$4:$AM$9,2,FALSE)))</f>
        <v/>
      </c>
      <c r="L26" s="524" t="str">
        <f>IF(J26="","",IF(VLOOKUP(J26,'G-7 Rivers Data'!$AK$4:$AM$9,3,FALSE)=0,"Spatial Data Missing ⚠",VLOOKUP(J26,'G-7 Rivers Data'!$AK$4:$AM$9,3,FALSE)))</f>
        <v/>
      </c>
      <c r="M26" s="71"/>
      <c r="N26" s="499" t="str">
        <f>IF(M26="","",IF(VLOOKUP(M26,'G-7 Rivers Data'!$AA$4:$AB$7,2,FALSE)=0,"Spatial Data Missing ⚠",VLOOKUP(M26,'G-7 Rivers Data'!$AA$4:$AB$7,2,FALSE)))</f>
        <v/>
      </c>
      <c r="O26" s="155"/>
      <c r="P26" s="499" t="str">
        <f>IF(O26="","",IF(VLOOKUP(O26,'G-7 Rivers Data'!$AD$4:$AE$8,2,FALSE)=0,"Spatial Data Missing ⚠",VLOOKUP(O26,'G-7 Rivers Data'!$AD$4:$AE$8,2,FALSE)))</f>
        <v/>
      </c>
      <c r="Q26" s="506" t="str">
        <f>IF(D26="","",VLOOKUP(D26,'G-7 Rivers Data'!$B$4:$G$8,6,FALSE))</f>
        <v/>
      </c>
      <c r="R26" s="513" t="str">
        <f t="shared" si="0"/>
        <v/>
      </c>
      <c r="S26" s="40"/>
      <c r="T26" s="145"/>
      <c r="U26" s="157"/>
      <c r="V26" s="511" t="str">
        <f t="shared" si="1"/>
        <v/>
      </c>
      <c r="W26" s="511" t="str">
        <f t="shared" si="2"/>
        <v/>
      </c>
      <c r="X26" s="511" t="str">
        <f t="shared" si="3"/>
        <v/>
      </c>
      <c r="Y26" s="515" t="str">
        <f t="shared" si="4"/>
        <v/>
      </c>
      <c r="Z26" s="151"/>
      <c r="AA26" s="152"/>
      <c r="AF26" s="31" t="str">
        <f>IFERROR(INDEX('G-7 Rivers Data'!$AZ$3:$AZ$7,MATCH(D26,'G-7 Rivers Data'!$AY$3:$AY$7,0)),"")</f>
        <v/>
      </c>
      <c r="AG26" s="31">
        <f t="shared" si="5"/>
        <v>0</v>
      </c>
      <c r="AH26" s="156" t="str">
        <f t="shared" si="6"/>
        <v/>
      </c>
      <c r="AI26" s="156" t="str">
        <f t="shared" si="7"/>
        <v/>
      </c>
      <c r="AK26" s="156">
        <v>17</v>
      </c>
      <c r="AM26" s="156" t="str">
        <f t="array" ref="AM26">IFERROR(INDEX($AK$10:$AK$258, MATCH(0, IF(TRUE=$AH$10:$AH$258, COUNTIF($AM$9:$AM25, $AK$10:$AK$258), ""), 0)),"")</f>
        <v/>
      </c>
      <c r="AN26" s="156" t="str">
        <f t="array" ref="AN26">IFERROR(INDEX($AK$10:$AK$258, MATCH(0, IF(TRUE=$AI$10:$AI$258, COUNTIF($AN$9:$AN25, $AK$10:$AK$258), ""), 0)),"")</f>
        <v/>
      </c>
    </row>
    <row r="27" spans="3:40" ht="14" x14ac:dyDescent="0.3">
      <c r="C27" s="141">
        <v>18</v>
      </c>
      <c r="D27" s="462"/>
      <c r="E27" s="153"/>
      <c r="F27" s="498" t="str">
        <f>IF(D27="","",VLOOKUP(D27,'G-7 Rivers Data'!$B$2:$G$8,2,FALSE))</f>
        <v/>
      </c>
      <c r="G27" s="499" t="str">
        <f>IFERROR(VLOOKUP(F27,'G-7 Rivers Data'!$C$4:$D$8,2,FALSE),"")</f>
        <v/>
      </c>
      <c r="H27" s="145"/>
      <c r="I27" s="499" t="str">
        <f>IFERROR(INDEX('G-7 Rivers Data'!$H$4:$L$8,MATCH(D27,'G-7 Rivers Data'!$B$4:$B$8,0),MATCH(H27,'G-7 Rivers Data'!$H$3:$L$3,0)),"")</f>
        <v/>
      </c>
      <c r="J27" s="154"/>
      <c r="K27" s="520" t="str">
        <f>IF(J27="","",IF(VLOOKUP(J27,'G-7 Rivers Data'!$AK$4:$AM$9,2,FALSE)=0,"Spatial Data Missing ⚠",VLOOKUP(J27,'G-7 Rivers Data'!$AK$4:$AM$9,2,FALSE)))</f>
        <v/>
      </c>
      <c r="L27" s="524" t="str">
        <f>IF(J27="","",IF(VLOOKUP(J27,'G-7 Rivers Data'!$AK$4:$AM$9,3,FALSE)=0,"Spatial Data Missing ⚠",VLOOKUP(J27,'G-7 Rivers Data'!$AK$4:$AM$9,3,FALSE)))</f>
        <v/>
      </c>
      <c r="M27" s="71"/>
      <c r="N27" s="499" t="str">
        <f>IF(M27="","",IF(VLOOKUP(M27,'G-7 Rivers Data'!$AA$4:$AB$7,2,FALSE)=0,"Spatial Data Missing ⚠",VLOOKUP(M27,'G-7 Rivers Data'!$AA$4:$AB$7,2,FALSE)))</f>
        <v/>
      </c>
      <c r="O27" s="155"/>
      <c r="P27" s="499" t="str">
        <f>IF(O27="","",IF(VLOOKUP(O27,'G-7 Rivers Data'!$AD$4:$AE$8,2,FALSE)=0,"Spatial Data Missing ⚠",VLOOKUP(O27,'G-7 Rivers Data'!$AD$4:$AE$8,2,FALSE)))</f>
        <v/>
      </c>
      <c r="Q27" s="506" t="str">
        <f>IF(D27="","",VLOOKUP(D27,'G-7 Rivers Data'!$B$4:$G$8,6,FALSE))</f>
        <v/>
      </c>
      <c r="R27" s="513" t="str">
        <f t="shared" si="0"/>
        <v/>
      </c>
      <c r="S27" s="40"/>
      <c r="T27" s="145"/>
      <c r="U27" s="157"/>
      <c r="V27" s="511" t="str">
        <f t="shared" si="1"/>
        <v/>
      </c>
      <c r="W27" s="511" t="str">
        <f t="shared" si="2"/>
        <v/>
      </c>
      <c r="X27" s="511" t="str">
        <f t="shared" si="3"/>
        <v/>
      </c>
      <c r="Y27" s="515" t="str">
        <f t="shared" si="4"/>
        <v/>
      </c>
      <c r="Z27" s="151"/>
      <c r="AA27" s="152"/>
      <c r="AF27" s="31" t="str">
        <f>IFERROR(INDEX('G-7 Rivers Data'!$AZ$3:$AZ$7,MATCH(D27,'G-7 Rivers Data'!$AY$3:$AY$7,0)),"")</f>
        <v/>
      </c>
      <c r="AG27" s="31">
        <f t="shared" si="5"/>
        <v>0</v>
      </c>
      <c r="AH27" s="156" t="str">
        <f t="shared" si="6"/>
        <v/>
      </c>
      <c r="AI27" s="156" t="str">
        <f t="shared" si="7"/>
        <v/>
      </c>
      <c r="AK27" s="156">
        <v>18</v>
      </c>
      <c r="AM27" s="156" t="str">
        <f t="array" ref="AM27">IFERROR(INDEX($AK$10:$AK$258, MATCH(0, IF(TRUE=$AH$10:$AH$258, COUNTIF($AM$9:$AM26, $AK$10:$AK$258), ""), 0)),"")</f>
        <v/>
      </c>
      <c r="AN27" s="156" t="str">
        <f t="array" ref="AN27">IFERROR(INDEX($AK$10:$AK$258, MATCH(0, IF(TRUE=$AI$10:$AI$258, COUNTIF($AN$9:$AN26, $AK$10:$AK$258), ""), 0)),"")</f>
        <v/>
      </c>
    </row>
    <row r="28" spans="3:40" ht="14" x14ac:dyDescent="0.3">
      <c r="C28" s="141">
        <v>19</v>
      </c>
      <c r="D28" s="462"/>
      <c r="E28" s="153"/>
      <c r="F28" s="498" t="str">
        <f>IF(D28="","",VLOOKUP(D28,'G-7 Rivers Data'!$B$2:$G$8,2,FALSE))</f>
        <v/>
      </c>
      <c r="G28" s="499" t="str">
        <f>IFERROR(VLOOKUP(F28,'G-7 Rivers Data'!$C$4:$D$8,2,FALSE),"")</f>
        <v/>
      </c>
      <c r="H28" s="145"/>
      <c r="I28" s="499" t="str">
        <f>IFERROR(INDEX('G-7 Rivers Data'!$H$4:$L$8,MATCH(D28,'G-7 Rivers Data'!$B$4:$B$8,0),MATCH(H28,'G-7 Rivers Data'!$H$3:$L$3,0)),"")</f>
        <v/>
      </c>
      <c r="J28" s="154"/>
      <c r="K28" s="520" t="str">
        <f>IF(J28="","",IF(VLOOKUP(J28,'G-7 Rivers Data'!$AK$4:$AM$9,2,FALSE)=0,"Spatial Data Missing ⚠",VLOOKUP(J28,'G-7 Rivers Data'!$AK$4:$AM$9,2,FALSE)))</f>
        <v/>
      </c>
      <c r="L28" s="524" t="str">
        <f>IF(J28="","",IF(VLOOKUP(J28,'G-7 Rivers Data'!$AK$4:$AM$9,3,FALSE)=0,"Spatial Data Missing ⚠",VLOOKUP(J28,'G-7 Rivers Data'!$AK$4:$AM$9,3,FALSE)))</f>
        <v/>
      </c>
      <c r="M28" s="71"/>
      <c r="N28" s="499" t="str">
        <f>IF(M28="","",IF(VLOOKUP(M28,'G-7 Rivers Data'!$AA$4:$AB$7,2,FALSE)=0,"Spatial Data Missing ⚠",VLOOKUP(M28,'G-7 Rivers Data'!$AA$4:$AB$7,2,FALSE)))</f>
        <v/>
      </c>
      <c r="O28" s="155"/>
      <c r="P28" s="499" t="str">
        <f>IF(O28="","",IF(VLOOKUP(O28,'G-7 Rivers Data'!$AD$4:$AE$8,2,FALSE)=0,"Spatial Data Missing ⚠",VLOOKUP(O28,'G-7 Rivers Data'!$AD$4:$AE$8,2,FALSE)))</f>
        <v/>
      </c>
      <c r="Q28" s="506" t="str">
        <f>IF(D28="","",VLOOKUP(D28,'G-7 Rivers Data'!$B$4:$G$8,6,FALSE))</f>
        <v/>
      </c>
      <c r="R28" s="513" t="str">
        <f t="shared" si="0"/>
        <v/>
      </c>
      <c r="S28" s="40"/>
      <c r="T28" s="145"/>
      <c r="U28" s="157"/>
      <c r="V28" s="511" t="str">
        <f t="shared" si="1"/>
        <v/>
      </c>
      <c r="W28" s="511" t="str">
        <f t="shared" si="2"/>
        <v/>
      </c>
      <c r="X28" s="511" t="str">
        <f t="shared" si="3"/>
        <v/>
      </c>
      <c r="Y28" s="515" t="str">
        <f t="shared" si="4"/>
        <v/>
      </c>
      <c r="Z28" s="151"/>
      <c r="AA28" s="152"/>
      <c r="AF28" s="31" t="str">
        <f>IFERROR(INDEX('G-7 Rivers Data'!$AZ$3:$AZ$7,MATCH(D28,'G-7 Rivers Data'!$AY$3:$AY$7,0)),"")</f>
        <v/>
      </c>
      <c r="AG28" s="31">
        <f t="shared" si="5"/>
        <v>0</v>
      </c>
      <c r="AH28" s="156" t="str">
        <f t="shared" si="6"/>
        <v/>
      </c>
      <c r="AI28" s="156" t="str">
        <f t="shared" si="7"/>
        <v/>
      </c>
      <c r="AK28" s="156">
        <v>19</v>
      </c>
      <c r="AM28" s="156" t="str">
        <f t="array" ref="AM28">IFERROR(INDEX($AK$10:$AK$258, MATCH(0, IF(TRUE=$AH$10:$AH$258, COUNTIF($AM$9:$AM27, $AK$10:$AK$258), ""), 0)),"")</f>
        <v/>
      </c>
      <c r="AN28" s="156" t="str">
        <f t="array" ref="AN28">IFERROR(INDEX($AK$10:$AK$258, MATCH(0, IF(TRUE=$AI$10:$AI$258, COUNTIF($AN$9:$AN27, $AK$10:$AK$258), ""), 0)),"")</f>
        <v/>
      </c>
    </row>
    <row r="29" spans="3:40" ht="14" x14ac:dyDescent="0.3">
      <c r="C29" s="141">
        <v>20</v>
      </c>
      <c r="D29" s="462"/>
      <c r="E29" s="153"/>
      <c r="F29" s="498" t="str">
        <f>IF(D29="","",VLOOKUP(D29,'G-7 Rivers Data'!$B$2:$G$8,2,FALSE))</f>
        <v/>
      </c>
      <c r="G29" s="499" t="str">
        <f>IFERROR(VLOOKUP(F29,'G-7 Rivers Data'!$C$4:$D$8,2,FALSE),"")</f>
        <v/>
      </c>
      <c r="H29" s="145"/>
      <c r="I29" s="499" t="str">
        <f>IFERROR(INDEX('G-7 Rivers Data'!$H$4:$L$8,MATCH(D29,'G-7 Rivers Data'!$B$4:$B$8,0),MATCH(H29,'G-7 Rivers Data'!$H$3:$L$3,0)),"")</f>
        <v/>
      </c>
      <c r="J29" s="154"/>
      <c r="K29" s="520" t="str">
        <f>IF(J29="","",IF(VLOOKUP(J29,'G-7 Rivers Data'!$AK$4:$AM$9,2,FALSE)=0,"Spatial Data Missing ⚠",VLOOKUP(J29,'G-7 Rivers Data'!$AK$4:$AM$9,2,FALSE)))</f>
        <v/>
      </c>
      <c r="L29" s="524" t="str">
        <f>IF(J29="","",IF(VLOOKUP(J29,'G-7 Rivers Data'!$AK$4:$AM$9,3,FALSE)=0,"Spatial Data Missing ⚠",VLOOKUP(J29,'G-7 Rivers Data'!$AK$4:$AM$9,3,FALSE)))</f>
        <v/>
      </c>
      <c r="M29" s="71"/>
      <c r="N29" s="499" t="str">
        <f>IF(M29="","",IF(VLOOKUP(M29,'G-7 Rivers Data'!$AA$4:$AB$7,2,FALSE)=0,"Spatial Data Missing ⚠",VLOOKUP(M29,'G-7 Rivers Data'!$AA$4:$AB$7,2,FALSE)))</f>
        <v/>
      </c>
      <c r="O29" s="155"/>
      <c r="P29" s="499" t="str">
        <f>IF(O29="","",IF(VLOOKUP(O29,'G-7 Rivers Data'!$AD$4:$AE$8,2,FALSE)=0,"Spatial Data Missing ⚠",VLOOKUP(O29,'G-7 Rivers Data'!$AD$4:$AE$8,2,FALSE)))</f>
        <v/>
      </c>
      <c r="Q29" s="506" t="str">
        <f>IF(D29="","",VLOOKUP(D29,'G-7 Rivers Data'!$B$4:$G$8,6,FALSE))</f>
        <v/>
      </c>
      <c r="R29" s="513" t="str">
        <f t="shared" si="0"/>
        <v/>
      </c>
      <c r="S29" s="40"/>
      <c r="T29" s="145"/>
      <c r="U29" s="157"/>
      <c r="V29" s="511" t="str">
        <f t="shared" si="1"/>
        <v/>
      </c>
      <c r="W29" s="511" t="str">
        <f t="shared" si="2"/>
        <v/>
      </c>
      <c r="X29" s="511" t="str">
        <f t="shared" si="3"/>
        <v/>
      </c>
      <c r="Y29" s="515" t="str">
        <f t="shared" si="4"/>
        <v/>
      </c>
      <c r="Z29" s="151"/>
      <c r="AA29" s="152"/>
      <c r="AF29" s="31" t="str">
        <f>IFERROR(INDEX('G-7 Rivers Data'!$AZ$3:$AZ$7,MATCH(D29,'G-7 Rivers Data'!$AY$3:$AY$7,0)),"")</f>
        <v/>
      </c>
      <c r="AG29" s="31">
        <f t="shared" si="5"/>
        <v>0</v>
      </c>
      <c r="AH29" s="156" t="str">
        <f t="shared" si="6"/>
        <v/>
      </c>
      <c r="AI29" s="156" t="str">
        <f t="shared" si="7"/>
        <v/>
      </c>
      <c r="AK29" s="156">
        <v>20</v>
      </c>
      <c r="AM29" s="156" t="str">
        <f t="array" ref="AM29">IFERROR(INDEX($AK$10:$AK$258, MATCH(0, IF(TRUE=$AH$10:$AH$258, COUNTIF($AM$9:$AM28, $AK$10:$AK$258), ""), 0)),"")</f>
        <v/>
      </c>
      <c r="AN29" s="156" t="str">
        <f t="array" ref="AN29">IFERROR(INDEX($AK$10:$AK$258, MATCH(0, IF(TRUE=$AI$10:$AI$258, COUNTIF($AN$9:$AN28, $AK$10:$AK$258), ""), 0)),"")</f>
        <v/>
      </c>
    </row>
    <row r="30" spans="3:40" ht="14" x14ac:dyDescent="0.3">
      <c r="C30" s="141">
        <v>21</v>
      </c>
      <c r="D30" s="462"/>
      <c r="E30" s="153"/>
      <c r="F30" s="498" t="str">
        <f>IF(D30="","",VLOOKUP(D30,'G-7 Rivers Data'!$B$2:$G$8,2,FALSE))</f>
        <v/>
      </c>
      <c r="G30" s="499" t="str">
        <f>IFERROR(VLOOKUP(F30,'G-7 Rivers Data'!$C$4:$D$8,2,FALSE),"")</f>
        <v/>
      </c>
      <c r="H30" s="145"/>
      <c r="I30" s="499" t="str">
        <f>IFERROR(INDEX('G-7 Rivers Data'!$H$4:$L$8,MATCH(D30,'G-7 Rivers Data'!$B$4:$B$8,0),MATCH(H30,'G-7 Rivers Data'!$H$3:$L$3,0)),"")</f>
        <v/>
      </c>
      <c r="J30" s="154"/>
      <c r="K30" s="520" t="str">
        <f>IF(J30="","",IF(VLOOKUP(J30,'G-7 Rivers Data'!$AK$4:$AM$9,2,FALSE)=0,"Spatial Data Missing ⚠",VLOOKUP(J30,'G-7 Rivers Data'!$AK$4:$AM$9,2,FALSE)))</f>
        <v/>
      </c>
      <c r="L30" s="524" t="str">
        <f>IF(J30="","",IF(VLOOKUP(J30,'G-7 Rivers Data'!$AK$4:$AM$9,3,FALSE)=0,"Spatial Data Missing ⚠",VLOOKUP(J30,'G-7 Rivers Data'!$AK$4:$AM$9,3,FALSE)))</f>
        <v/>
      </c>
      <c r="M30" s="71"/>
      <c r="N30" s="499" t="str">
        <f>IF(M30="","",IF(VLOOKUP(M30,'G-7 Rivers Data'!$AA$4:$AB$7,2,FALSE)=0,"Spatial Data Missing ⚠",VLOOKUP(M30,'G-7 Rivers Data'!$AA$4:$AB$7,2,FALSE)))</f>
        <v/>
      </c>
      <c r="O30" s="155"/>
      <c r="P30" s="499" t="str">
        <f>IF(O30="","",IF(VLOOKUP(O30,'G-7 Rivers Data'!$AD$4:$AE$8,2,FALSE)=0,"Spatial Data Missing ⚠",VLOOKUP(O30,'G-7 Rivers Data'!$AD$4:$AE$8,2,FALSE)))</f>
        <v/>
      </c>
      <c r="Q30" s="506" t="str">
        <f>IF(D30="","",VLOOKUP(D30,'G-7 Rivers Data'!$B$4:$G$8,6,FALSE))</f>
        <v/>
      </c>
      <c r="R30" s="513" t="str">
        <f t="shared" si="0"/>
        <v/>
      </c>
      <c r="S30" s="40"/>
      <c r="T30" s="145"/>
      <c r="U30" s="157"/>
      <c r="V30" s="511" t="str">
        <f t="shared" si="1"/>
        <v/>
      </c>
      <c r="W30" s="511" t="str">
        <f t="shared" si="2"/>
        <v/>
      </c>
      <c r="X30" s="511" t="str">
        <f t="shared" si="3"/>
        <v/>
      </c>
      <c r="Y30" s="515" t="str">
        <f t="shared" si="4"/>
        <v/>
      </c>
      <c r="Z30" s="151"/>
      <c r="AA30" s="152"/>
      <c r="AF30" s="31" t="str">
        <f>IFERROR(INDEX('G-7 Rivers Data'!$AZ$3:$AZ$7,MATCH(D30,'G-7 Rivers Data'!$AY$3:$AY$7,0)),"")</f>
        <v/>
      </c>
      <c r="AG30" s="31">
        <f t="shared" si="5"/>
        <v>0</v>
      </c>
      <c r="AH30" s="156" t="str">
        <f t="shared" si="6"/>
        <v/>
      </c>
      <c r="AI30" s="156" t="str">
        <f t="shared" si="7"/>
        <v/>
      </c>
      <c r="AK30" s="156">
        <v>21</v>
      </c>
      <c r="AM30" s="156" t="str">
        <f t="array" ref="AM30">IFERROR(INDEX($AK$10:$AK$258, MATCH(0, IF(TRUE=$AH$10:$AH$258, COUNTIF($AM$9:$AM29, $AK$10:$AK$258), ""), 0)),"")</f>
        <v/>
      </c>
      <c r="AN30" s="156" t="str">
        <f t="array" ref="AN30">IFERROR(INDEX($AK$10:$AK$258, MATCH(0, IF(TRUE=$AI$10:$AI$258, COUNTIF($AN$9:$AN29, $AK$10:$AK$258), ""), 0)),"")</f>
        <v/>
      </c>
    </row>
    <row r="31" spans="3:40" ht="14" x14ac:dyDescent="0.3">
      <c r="C31" s="141">
        <v>22</v>
      </c>
      <c r="D31" s="462"/>
      <c r="E31" s="153"/>
      <c r="F31" s="498" t="str">
        <f>IF(D31="","",VLOOKUP(D31,'G-7 Rivers Data'!$B$2:$G$8,2,FALSE))</f>
        <v/>
      </c>
      <c r="G31" s="499" t="str">
        <f>IFERROR(VLOOKUP(F31,'G-7 Rivers Data'!$C$4:$D$8,2,FALSE),"")</f>
        <v/>
      </c>
      <c r="H31" s="145"/>
      <c r="I31" s="499" t="str">
        <f>IFERROR(INDEX('G-7 Rivers Data'!$H$4:$L$8,MATCH(D31,'G-7 Rivers Data'!$B$4:$B$8,0),MATCH(H31,'G-7 Rivers Data'!$H$3:$L$3,0)),"")</f>
        <v/>
      </c>
      <c r="J31" s="154"/>
      <c r="K31" s="520" t="str">
        <f>IF(J31="","",IF(VLOOKUP(J31,'G-7 Rivers Data'!$AK$4:$AM$9,2,FALSE)=0,"Spatial Data Missing ⚠",VLOOKUP(J31,'G-7 Rivers Data'!$AK$4:$AM$9,2,FALSE)))</f>
        <v/>
      </c>
      <c r="L31" s="524" t="str">
        <f>IF(J31="","",IF(VLOOKUP(J31,'G-7 Rivers Data'!$AK$4:$AM$9,3,FALSE)=0,"Spatial Data Missing ⚠",VLOOKUP(J31,'G-7 Rivers Data'!$AK$4:$AM$9,3,FALSE)))</f>
        <v/>
      </c>
      <c r="M31" s="71"/>
      <c r="N31" s="499" t="str">
        <f>IF(M31="","",IF(VLOOKUP(M31,'G-7 Rivers Data'!$AA$4:$AB$7,2,FALSE)=0,"Spatial Data Missing ⚠",VLOOKUP(M31,'G-7 Rivers Data'!$AA$4:$AB$7,2,FALSE)))</f>
        <v/>
      </c>
      <c r="O31" s="155"/>
      <c r="P31" s="499" t="str">
        <f>IF(O31="","",IF(VLOOKUP(O31,'G-7 Rivers Data'!$AD$4:$AE$8,2,FALSE)=0,"Spatial Data Missing ⚠",VLOOKUP(O31,'G-7 Rivers Data'!$AD$4:$AE$8,2,FALSE)))</f>
        <v/>
      </c>
      <c r="Q31" s="506" t="str">
        <f>IF(D31="","",VLOOKUP(D31,'G-7 Rivers Data'!$B$4:$G$8,6,FALSE))</f>
        <v/>
      </c>
      <c r="R31" s="513" t="str">
        <f t="shared" si="0"/>
        <v/>
      </c>
      <c r="S31" s="40"/>
      <c r="T31" s="145"/>
      <c r="U31" s="157"/>
      <c r="V31" s="511" t="str">
        <f t="shared" si="1"/>
        <v/>
      </c>
      <c r="W31" s="511" t="str">
        <f t="shared" si="2"/>
        <v/>
      </c>
      <c r="X31" s="511" t="str">
        <f t="shared" si="3"/>
        <v/>
      </c>
      <c r="Y31" s="515" t="str">
        <f t="shared" si="4"/>
        <v/>
      </c>
      <c r="Z31" s="151"/>
      <c r="AA31" s="152"/>
      <c r="AF31" s="31" t="str">
        <f>IFERROR(INDEX('G-7 Rivers Data'!$AZ$3:$AZ$7,MATCH(D31,'G-7 Rivers Data'!$AY$3:$AY$7,0)),"")</f>
        <v/>
      </c>
      <c r="AG31" s="31">
        <f t="shared" si="5"/>
        <v>0</v>
      </c>
      <c r="AH31" s="156" t="str">
        <f t="shared" si="6"/>
        <v/>
      </c>
      <c r="AI31" s="156" t="str">
        <f t="shared" si="7"/>
        <v/>
      </c>
      <c r="AK31" s="156">
        <v>22</v>
      </c>
      <c r="AM31" s="156" t="str">
        <f t="array" ref="AM31">IFERROR(INDEX($AK$10:$AK$258, MATCH(0, IF(TRUE=$AH$10:$AH$258, COUNTIF($AM$9:$AM30, $AK$10:$AK$258), ""), 0)),"")</f>
        <v/>
      </c>
      <c r="AN31" s="156" t="str">
        <f t="array" ref="AN31">IFERROR(INDEX($AK$10:$AK$258, MATCH(0, IF(TRUE=$AI$10:$AI$258, COUNTIF($AN$9:$AN30, $AK$10:$AK$258), ""), 0)),"")</f>
        <v/>
      </c>
    </row>
    <row r="32" spans="3:40" ht="14" x14ac:dyDescent="0.3">
      <c r="C32" s="141">
        <v>23</v>
      </c>
      <c r="D32" s="462"/>
      <c r="E32" s="153"/>
      <c r="F32" s="498" t="str">
        <f>IF(D32="","",VLOOKUP(D32,'G-7 Rivers Data'!$B$2:$G$8,2,FALSE))</f>
        <v/>
      </c>
      <c r="G32" s="499" t="str">
        <f>IFERROR(VLOOKUP(F32,'G-7 Rivers Data'!$C$4:$D$8,2,FALSE),"")</f>
        <v/>
      </c>
      <c r="H32" s="145"/>
      <c r="I32" s="499" t="str">
        <f>IFERROR(INDEX('G-7 Rivers Data'!$H$4:$L$8,MATCH(D32,'G-7 Rivers Data'!$B$4:$B$8,0),MATCH(H32,'G-7 Rivers Data'!$H$3:$L$3,0)),"")</f>
        <v/>
      </c>
      <c r="J32" s="154"/>
      <c r="K32" s="520" t="str">
        <f>IF(J32="","",IF(VLOOKUP(J32,'G-7 Rivers Data'!$AK$4:$AM$9,2,FALSE)=0,"Spatial Data Missing ⚠",VLOOKUP(J32,'G-7 Rivers Data'!$AK$4:$AM$9,2,FALSE)))</f>
        <v/>
      </c>
      <c r="L32" s="524" t="str">
        <f>IF(J32="","",IF(VLOOKUP(J32,'G-7 Rivers Data'!$AK$4:$AM$9,3,FALSE)=0,"Spatial Data Missing ⚠",VLOOKUP(J32,'G-7 Rivers Data'!$AK$4:$AM$9,3,FALSE)))</f>
        <v/>
      </c>
      <c r="M32" s="71"/>
      <c r="N32" s="499" t="str">
        <f>IF(M32="","",IF(VLOOKUP(M32,'G-7 Rivers Data'!$AA$4:$AB$7,2,FALSE)=0,"Spatial Data Missing ⚠",VLOOKUP(M32,'G-7 Rivers Data'!$AA$4:$AB$7,2,FALSE)))</f>
        <v/>
      </c>
      <c r="O32" s="155"/>
      <c r="P32" s="499" t="str">
        <f>IF(O32="","",IF(VLOOKUP(O32,'G-7 Rivers Data'!$AD$4:$AE$8,2,FALSE)=0,"Spatial Data Missing ⚠",VLOOKUP(O32,'G-7 Rivers Data'!$AD$4:$AE$8,2,FALSE)))</f>
        <v/>
      </c>
      <c r="Q32" s="506" t="str">
        <f>IF(D32="","",VLOOKUP(D32,'G-7 Rivers Data'!$B$4:$G$8,6,FALSE))</f>
        <v/>
      </c>
      <c r="R32" s="513" t="str">
        <f t="shared" si="0"/>
        <v/>
      </c>
      <c r="S32" s="40"/>
      <c r="T32" s="145"/>
      <c r="U32" s="157"/>
      <c r="V32" s="511" t="str">
        <f t="shared" si="1"/>
        <v/>
      </c>
      <c r="W32" s="511" t="str">
        <f t="shared" si="2"/>
        <v/>
      </c>
      <c r="X32" s="511" t="str">
        <f t="shared" si="3"/>
        <v/>
      </c>
      <c r="Y32" s="515" t="str">
        <f t="shared" si="4"/>
        <v/>
      </c>
      <c r="Z32" s="151"/>
      <c r="AA32" s="152"/>
      <c r="AF32" s="31" t="str">
        <f>IFERROR(INDEX('G-7 Rivers Data'!$AZ$3:$AZ$7,MATCH(D32,'G-7 Rivers Data'!$AY$3:$AY$7,0)),"")</f>
        <v/>
      </c>
      <c r="AG32" s="31">
        <f t="shared" si="5"/>
        <v>0</v>
      </c>
      <c r="AH32" s="156" t="str">
        <f t="shared" si="6"/>
        <v/>
      </c>
      <c r="AI32" s="156" t="str">
        <f t="shared" si="7"/>
        <v/>
      </c>
      <c r="AK32" s="156">
        <v>23</v>
      </c>
      <c r="AM32" s="156" t="str">
        <f t="array" ref="AM32">IFERROR(INDEX($AK$10:$AK$258, MATCH(0, IF(TRUE=$AH$10:$AH$258, COUNTIF($AM$9:$AM31, $AK$10:$AK$258), ""), 0)),"")</f>
        <v/>
      </c>
      <c r="AN32" s="156" t="str">
        <f t="array" ref="AN32">IFERROR(INDEX($AK$10:$AK$258, MATCH(0, IF(TRUE=$AI$10:$AI$258, COUNTIF($AN$9:$AN31, $AK$10:$AK$258), ""), 0)),"")</f>
        <v/>
      </c>
    </row>
    <row r="33" spans="3:40" ht="14" x14ac:dyDescent="0.3">
      <c r="C33" s="141">
        <v>24</v>
      </c>
      <c r="D33" s="462"/>
      <c r="E33" s="153"/>
      <c r="F33" s="498" t="str">
        <f>IF(D33="","",VLOOKUP(D33,'G-7 Rivers Data'!$B$2:$G$8,2,FALSE))</f>
        <v/>
      </c>
      <c r="G33" s="499" t="str">
        <f>IFERROR(VLOOKUP(F33,'G-7 Rivers Data'!$C$4:$D$8,2,FALSE),"")</f>
        <v/>
      </c>
      <c r="H33" s="145"/>
      <c r="I33" s="499" t="str">
        <f>IFERROR(INDEX('G-7 Rivers Data'!$H$4:$L$8,MATCH(D33,'G-7 Rivers Data'!$B$4:$B$8,0),MATCH(H33,'G-7 Rivers Data'!$H$3:$L$3,0)),"")</f>
        <v/>
      </c>
      <c r="J33" s="154"/>
      <c r="K33" s="520" t="str">
        <f>IF(J33="","",IF(VLOOKUP(J33,'G-7 Rivers Data'!$AK$4:$AM$9,2,FALSE)=0,"Spatial Data Missing ⚠",VLOOKUP(J33,'G-7 Rivers Data'!$AK$4:$AM$9,2,FALSE)))</f>
        <v/>
      </c>
      <c r="L33" s="524" t="str">
        <f>IF(J33="","",IF(VLOOKUP(J33,'G-7 Rivers Data'!$AK$4:$AM$9,3,FALSE)=0,"Spatial Data Missing ⚠",VLOOKUP(J33,'G-7 Rivers Data'!$AK$4:$AM$9,3,FALSE)))</f>
        <v/>
      </c>
      <c r="M33" s="71"/>
      <c r="N33" s="499" t="str">
        <f>IF(M33="","",IF(VLOOKUP(M33,'G-7 Rivers Data'!$AA$4:$AB$7,2,FALSE)=0,"Spatial Data Missing ⚠",VLOOKUP(M33,'G-7 Rivers Data'!$AA$4:$AB$7,2,FALSE)))</f>
        <v/>
      </c>
      <c r="O33" s="155"/>
      <c r="P33" s="499" t="str">
        <f>IF(O33="","",IF(VLOOKUP(O33,'G-7 Rivers Data'!$AD$4:$AE$8,2,FALSE)=0,"Spatial Data Missing ⚠",VLOOKUP(O33,'G-7 Rivers Data'!$AD$4:$AE$8,2,FALSE)))</f>
        <v/>
      </c>
      <c r="Q33" s="506" t="str">
        <f>IF(D33="","",VLOOKUP(D33,'G-7 Rivers Data'!$B$4:$G$8,6,FALSE))</f>
        <v/>
      </c>
      <c r="R33" s="513" t="str">
        <f t="shared" si="0"/>
        <v/>
      </c>
      <c r="S33" s="40"/>
      <c r="T33" s="145"/>
      <c r="U33" s="157"/>
      <c r="V33" s="511" t="str">
        <f t="shared" si="1"/>
        <v/>
      </c>
      <c r="W33" s="511" t="str">
        <f t="shared" si="2"/>
        <v/>
      </c>
      <c r="X33" s="511" t="str">
        <f t="shared" si="3"/>
        <v/>
      </c>
      <c r="Y33" s="515" t="str">
        <f t="shared" si="4"/>
        <v/>
      </c>
      <c r="Z33" s="151"/>
      <c r="AA33" s="152"/>
      <c r="AF33" s="31" t="str">
        <f>IFERROR(INDEX('G-7 Rivers Data'!$AZ$3:$AZ$7,MATCH(D33,'G-7 Rivers Data'!$AY$3:$AY$7,0)),"")</f>
        <v/>
      </c>
      <c r="AG33" s="31">
        <f t="shared" si="5"/>
        <v>0</v>
      </c>
      <c r="AH33" s="156" t="str">
        <f t="shared" si="6"/>
        <v/>
      </c>
      <c r="AI33" s="156" t="str">
        <f t="shared" si="7"/>
        <v/>
      </c>
      <c r="AK33" s="156">
        <v>24</v>
      </c>
      <c r="AM33" s="156" t="str">
        <f t="array" ref="AM33">IFERROR(INDEX($AK$10:$AK$258, MATCH(0, IF(TRUE=$AH$10:$AH$258, COUNTIF($AM$9:$AM32, $AK$10:$AK$258), ""), 0)),"")</f>
        <v/>
      </c>
      <c r="AN33" s="156" t="str">
        <f t="array" ref="AN33">IFERROR(INDEX($AK$10:$AK$258, MATCH(0, IF(TRUE=$AI$10:$AI$258, COUNTIF($AN$9:$AN32, $AK$10:$AK$258), ""), 0)),"")</f>
        <v/>
      </c>
    </row>
    <row r="34" spans="3:40" ht="14" x14ac:dyDescent="0.3">
      <c r="C34" s="141">
        <v>25</v>
      </c>
      <c r="D34" s="462"/>
      <c r="E34" s="153"/>
      <c r="F34" s="498" t="str">
        <f>IF(D34="","",VLOOKUP(D34,'G-7 Rivers Data'!$B$2:$G$8,2,FALSE))</f>
        <v/>
      </c>
      <c r="G34" s="499" t="str">
        <f>IFERROR(VLOOKUP(F34,'G-7 Rivers Data'!$C$4:$D$8,2,FALSE),"")</f>
        <v/>
      </c>
      <c r="H34" s="145"/>
      <c r="I34" s="499" t="str">
        <f>IFERROR(INDEX('G-7 Rivers Data'!$H$4:$L$8,MATCH(D34,'G-7 Rivers Data'!$B$4:$B$8,0),MATCH(H34,'G-7 Rivers Data'!$H$3:$L$3,0)),"")</f>
        <v/>
      </c>
      <c r="J34" s="154"/>
      <c r="K34" s="520" t="str">
        <f>IF(J34="","",IF(VLOOKUP(J34,'G-7 Rivers Data'!$AK$4:$AM$9,2,FALSE)=0,"Spatial Data Missing ⚠",VLOOKUP(J34,'G-7 Rivers Data'!$AK$4:$AM$9,2,FALSE)))</f>
        <v/>
      </c>
      <c r="L34" s="524" t="str">
        <f>IF(J34="","",IF(VLOOKUP(J34,'G-7 Rivers Data'!$AK$4:$AM$9,3,FALSE)=0,"Spatial Data Missing ⚠",VLOOKUP(J34,'G-7 Rivers Data'!$AK$4:$AM$9,3,FALSE)))</f>
        <v/>
      </c>
      <c r="M34" s="71"/>
      <c r="N34" s="499" t="str">
        <f>IF(M34="","",IF(VLOOKUP(M34,'G-7 Rivers Data'!$AA$4:$AB$7,2,FALSE)=0,"Spatial Data Missing ⚠",VLOOKUP(M34,'G-7 Rivers Data'!$AA$4:$AB$7,2,FALSE)))</f>
        <v/>
      </c>
      <c r="O34" s="155"/>
      <c r="P34" s="499" t="str">
        <f>IF(O34="","",IF(VLOOKUP(O34,'G-7 Rivers Data'!$AD$4:$AE$8,2,FALSE)=0,"Spatial Data Missing ⚠",VLOOKUP(O34,'G-7 Rivers Data'!$AD$4:$AE$8,2,FALSE)))</f>
        <v/>
      </c>
      <c r="Q34" s="506" t="str">
        <f>IF(D34="","",VLOOKUP(D34,'G-7 Rivers Data'!$B$4:$G$8,6,FALSE))</f>
        <v/>
      </c>
      <c r="R34" s="513" t="str">
        <f t="shared" si="0"/>
        <v/>
      </c>
      <c r="S34" s="40"/>
      <c r="T34" s="145"/>
      <c r="U34" s="157"/>
      <c r="V34" s="511" t="str">
        <f t="shared" si="1"/>
        <v/>
      </c>
      <c r="W34" s="511" t="str">
        <f t="shared" si="2"/>
        <v/>
      </c>
      <c r="X34" s="511" t="str">
        <f t="shared" si="3"/>
        <v/>
      </c>
      <c r="Y34" s="515" t="str">
        <f t="shared" si="4"/>
        <v/>
      </c>
      <c r="Z34" s="151"/>
      <c r="AA34" s="152"/>
      <c r="AF34" s="31" t="str">
        <f>IFERROR(INDEX('G-7 Rivers Data'!$AZ$3:$AZ$7,MATCH(D34,'G-7 Rivers Data'!$AY$3:$AY$7,0)),"")</f>
        <v/>
      </c>
      <c r="AG34" s="31">
        <f t="shared" si="5"/>
        <v>0</v>
      </c>
      <c r="AH34" s="156" t="str">
        <f t="shared" si="6"/>
        <v/>
      </c>
      <c r="AI34" s="156" t="str">
        <f t="shared" si="7"/>
        <v/>
      </c>
      <c r="AK34" s="156">
        <v>25</v>
      </c>
      <c r="AM34" s="156" t="str">
        <f t="array" ref="AM34">IFERROR(INDEX($AK$10:$AK$258, MATCH(0, IF(TRUE=$AH$10:$AH$258, COUNTIF($AM$9:$AM33, $AK$10:$AK$258), ""), 0)),"")</f>
        <v/>
      </c>
      <c r="AN34" s="156" t="str">
        <f t="array" ref="AN34">IFERROR(INDEX($AK$10:$AK$258, MATCH(0, IF(TRUE=$AI$10:$AI$258, COUNTIF($AN$9:$AN33, $AK$10:$AK$258), ""), 0)),"")</f>
        <v/>
      </c>
    </row>
    <row r="35" spans="3:40" ht="14" x14ac:dyDescent="0.3">
      <c r="C35" s="141">
        <v>26</v>
      </c>
      <c r="D35" s="462"/>
      <c r="E35" s="153"/>
      <c r="F35" s="498" t="str">
        <f>IF(D35="","",VLOOKUP(D35,'G-7 Rivers Data'!$B$2:$G$8,2,FALSE))</f>
        <v/>
      </c>
      <c r="G35" s="499" t="str">
        <f>IFERROR(VLOOKUP(F35,'G-7 Rivers Data'!$C$4:$D$8,2,FALSE),"")</f>
        <v/>
      </c>
      <c r="H35" s="145"/>
      <c r="I35" s="499" t="str">
        <f>IFERROR(INDEX('G-7 Rivers Data'!$H$4:$L$8,MATCH(D35,'G-7 Rivers Data'!$B$4:$B$8,0),MATCH(H35,'G-7 Rivers Data'!$H$3:$L$3,0)),"")</f>
        <v/>
      </c>
      <c r="J35" s="154"/>
      <c r="K35" s="520" t="str">
        <f>IF(J35="","",IF(VLOOKUP(J35,'G-7 Rivers Data'!$AK$4:$AM$9,2,FALSE)=0,"Spatial Data Missing ⚠",VLOOKUP(J35,'G-7 Rivers Data'!$AK$4:$AM$9,2,FALSE)))</f>
        <v/>
      </c>
      <c r="L35" s="524" t="str">
        <f>IF(J35="","",IF(VLOOKUP(J35,'G-7 Rivers Data'!$AK$4:$AM$9,3,FALSE)=0,"Spatial Data Missing ⚠",VLOOKUP(J35,'G-7 Rivers Data'!$AK$4:$AM$9,3,FALSE)))</f>
        <v/>
      </c>
      <c r="M35" s="71"/>
      <c r="N35" s="499" t="str">
        <f>IF(M35="","",IF(VLOOKUP(M35,'G-7 Rivers Data'!$AA$4:$AB$7,2,FALSE)=0,"Spatial Data Missing ⚠",VLOOKUP(M35,'G-7 Rivers Data'!$AA$4:$AB$7,2,FALSE)))</f>
        <v/>
      </c>
      <c r="O35" s="155"/>
      <c r="P35" s="499" t="str">
        <f>IF(O35="","",IF(VLOOKUP(O35,'G-7 Rivers Data'!$AD$4:$AE$8,2,FALSE)=0,"Spatial Data Missing ⚠",VLOOKUP(O35,'G-7 Rivers Data'!$AD$4:$AE$8,2,FALSE)))</f>
        <v/>
      </c>
      <c r="Q35" s="506" t="str">
        <f>IF(D35="","",VLOOKUP(D35,'G-7 Rivers Data'!$B$4:$G$8,6,FALSE))</f>
        <v/>
      </c>
      <c r="R35" s="513" t="str">
        <f t="shared" si="0"/>
        <v/>
      </c>
      <c r="S35" s="40"/>
      <c r="T35" s="145"/>
      <c r="U35" s="157"/>
      <c r="V35" s="511" t="str">
        <f t="shared" si="1"/>
        <v/>
      </c>
      <c r="W35" s="511" t="str">
        <f t="shared" si="2"/>
        <v/>
      </c>
      <c r="X35" s="511" t="str">
        <f t="shared" si="3"/>
        <v/>
      </c>
      <c r="Y35" s="515" t="str">
        <f t="shared" si="4"/>
        <v/>
      </c>
      <c r="Z35" s="151"/>
      <c r="AA35" s="152"/>
      <c r="AF35" s="31" t="str">
        <f>IFERROR(INDEX('G-7 Rivers Data'!$AZ$3:$AZ$7,MATCH(D35,'G-7 Rivers Data'!$AY$3:$AY$7,0)),"")</f>
        <v/>
      </c>
      <c r="AG35" s="31">
        <f t="shared" si="5"/>
        <v>0</v>
      </c>
      <c r="AH35" s="156" t="str">
        <f t="shared" si="6"/>
        <v/>
      </c>
      <c r="AI35" s="156" t="str">
        <f t="shared" si="7"/>
        <v/>
      </c>
      <c r="AK35" s="156">
        <v>26</v>
      </c>
      <c r="AM35" s="156" t="str">
        <f t="array" ref="AM35">IFERROR(INDEX($AK$10:$AK$258, MATCH(0, IF(TRUE=$AH$10:$AH$258, COUNTIF($AM$9:$AM34, $AK$10:$AK$258), ""), 0)),"")</f>
        <v/>
      </c>
      <c r="AN35" s="156" t="str">
        <f t="array" ref="AN35">IFERROR(INDEX($AK$10:$AK$258, MATCH(0, IF(TRUE=$AI$10:$AI$258, COUNTIF($AN$9:$AN34, $AK$10:$AK$258), ""), 0)),"")</f>
        <v/>
      </c>
    </row>
    <row r="36" spans="3:40" ht="14" x14ac:dyDescent="0.3">
      <c r="C36" s="141">
        <v>27</v>
      </c>
      <c r="D36" s="462"/>
      <c r="E36" s="153"/>
      <c r="F36" s="498" t="str">
        <f>IF(D36="","",VLOOKUP(D36,'G-7 Rivers Data'!$B$2:$G$8,2,FALSE))</f>
        <v/>
      </c>
      <c r="G36" s="499" t="str">
        <f>IFERROR(VLOOKUP(F36,'G-7 Rivers Data'!$C$4:$D$8,2,FALSE),"")</f>
        <v/>
      </c>
      <c r="H36" s="145"/>
      <c r="I36" s="499" t="str">
        <f>IFERROR(INDEX('G-7 Rivers Data'!$H$4:$L$8,MATCH(D36,'G-7 Rivers Data'!$B$4:$B$8,0),MATCH(H36,'G-7 Rivers Data'!$H$3:$L$3,0)),"")</f>
        <v/>
      </c>
      <c r="J36" s="154"/>
      <c r="K36" s="520" t="str">
        <f>IF(J36="","",IF(VLOOKUP(J36,'G-7 Rivers Data'!$AK$4:$AM$9,2,FALSE)=0,"Spatial Data Missing ⚠",VLOOKUP(J36,'G-7 Rivers Data'!$AK$4:$AM$9,2,FALSE)))</f>
        <v/>
      </c>
      <c r="L36" s="524" t="str">
        <f>IF(J36="","",IF(VLOOKUP(J36,'G-7 Rivers Data'!$AK$4:$AM$9,3,FALSE)=0,"Spatial Data Missing ⚠",VLOOKUP(J36,'G-7 Rivers Data'!$AK$4:$AM$9,3,FALSE)))</f>
        <v/>
      </c>
      <c r="M36" s="71"/>
      <c r="N36" s="499" t="str">
        <f>IF(M36="","",IF(VLOOKUP(M36,'G-7 Rivers Data'!$AA$4:$AB$7,2,FALSE)=0,"Spatial Data Missing ⚠",VLOOKUP(M36,'G-7 Rivers Data'!$AA$4:$AB$7,2,FALSE)))</f>
        <v/>
      </c>
      <c r="O36" s="155"/>
      <c r="P36" s="499" t="str">
        <f>IF(O36="","",IF(VLOOKUP(O36,'G-7 Rivers Data'!$AD$4:$AE$8,2,FALSE)=0,"Spatial Data Missing ⚠",VLOOKUP(O36,'G-7 Rivers Data'!$AD$4:$AE$8,2,FALSE)))</f>
        <v/>
      </c>
      <c r="Q36" s="506" t="str">
        <f>IF(D36="","",VLOOKUP(D36,'G-7 Rivers Data'!$B$4:$G$8,6,FALSE))</f>
        <v/>
      </c>
      <c r="R36" s="513" t="str">
        <f t="shared" si="0"/>
        <v/>
      </c>
      <c r="S36" s="40"/>
      <c r="T36" s="145"/>
      <c r="U36" s="157"/>
      <c r="V36" s="511" t="str">
        <f t="shared" si="1"/>
        <v/>
      </c>
      <c r="W36" s="511" t="str">
        <f t="shared" si="2"/>
        <v/>
      </c>
      <c r="X36" s="511" t="str">
        <f t="shared" si="3"/>
        <v/>
      </c>
      <c r="Y36" s="515" t="str">
        <f t="shared" si="4"/>
        <v/>
      </c>
      <c r="Z36" s="151"/>
      <c r="AA36" s="152"/>
      <c r="AF36" s="31" t="str">
        <f>IFERROR(INDEX('G-7 Rivers Data'!$AZ$3:$AZ$7,MATCH(D36,'G-7 Rivers Data'!$AY$3:$AY$7,0)),"")</f>
        <v/>
      </c>
      <c r="AG36" s="31">
        <f t="shared" si="5"/>
        <v>0</v>
      </c>
      <c r="AH36" s="156" t="str">
        <f t="shared" si="6"/>
        <v/>
      </c>
      <c r="AI36" s="156" t="str">
        <f t="shared" si="7"/>
        <v/>
      </c>
      <c r="AK36" s="156">
        <v>27</v>
      </c>
      <c r="AM36" s="156" t="str">
        <f t="array" ref="AM36">IFERROR(INDEX($AK$10:$AK$258, MATCH(0, IF(TRUE=$AH$10:$AH$258, COUNTIF($AM$9:$AM35, $AK$10:$AK$258), ""), 0)),"")</f>
        <v/>
      </c>
      <c r="AN36" s="156" t="str">
        <f t="array" ref="AN36">IFERROR(INDEX($AK$10:$AK$258, MATCH(0, IF(TRUE=$AI$10:$AI$258, COUNTIF($AN$9:$AN35, $AK$10:$AK$258), ""), 0)),"")</f>
        <v/>
      </c>
    </row>
    <row r="37" spans="3:40" ht="14" x14ac:dyDescent="0.3">
      <c r="C37" s="141">
        <v>28</v>
      </c>
      <c r="D37" s="462"/>
      <c r="E37" s="153"/>
      <c r="F37" s="498" t="str">
        <f>IF(D37="","",VLOOKUP(D37,'G-7 Rivers Data'!$B$2:$G$8,2,FALSE))</f>
        <v/>
      </c>
      <c r="G37" s="499" t="str">
        <f>IFERROR(VLOOKUP(F37,'G-7 Rivers Data'!$C$4:$D$8,2,FALSE),"")</f>
        <v/>
      </c>
      <c r="H37" s="145"/>
      <c r="I37" s="499" t="str">
        <f>IFERROR(INDEX('G-7 Rivers Data'!$H$4:$L$8,MATCH(D37,'G-7 Rivers Data'!$B$4:$B$8,0),MATCH(H37,'G-7 Rivers Data'!$H$3:$L$3,0)),"")</f>
        <v/>
      </c>
      <c r="J37" s="154"/>
      <c r="K37" s="520" t="str">
        <f>IF(J37="","",IF(VLOOKUP(J37,'G-7 Rivers Data'!$AK$4:$AM$9,2,FALSE)=0,"Spatial Data Missing ⚠",VLOOKUP(J37,'G-7 Rivers Data'!$AK$4:$AM$9,2,FALSE)))</f>
        <v/>
      </c>
      <c r="L37" s="524" t="str">
        <f>IF(J37="","",IF(VLOOKUP(J37,'G-7 Rivers Data'!$AK$4:$AM$9,3,FALSE)=0,"Spatial Data Missing ⚠",VLOOKUP(J37,'G-7 Rivers Data'!$AK$4:$AM$9,3,FALSE)))</f>
        <v/>
      </c>
      <c r="M37" s="71"/>
      <c r="N37" s="499" t="str">
        <f>IF(M37="","",IF(VLOOKUP(M37,'G-7 Rivers Data'!$AA$4:$AB$7,2,FALSE)=0,"Spatial Data Missing ⚠",VLOOKUP(M37,'G-7 Rivers Data'!$AA$4:$AB$7,2,FALSE)))</f>
        <v/>
      </c>
      <c r="O37" s="155"/>
      <c r="P37" s="499" t="str">
        <f>IF(O37="","",IF(VLOOKUP(O37,'G-7 Rivers Data'!$AD$4:$AE$8,2,FALSE)=0,"Spatial Data Missing ⚠",VLOOKUP(O37,'G-7 Rivers Data'!$AD$4:$AE$8,2,FALSE)))</f>
        <v/>
      </c>
      <c r="Q37" s="506" t="str">
        <f>IF(D37="","",VLOOKUP(D37,'G-7 Rivers Data'!$B$4:$G$8,6,FALSE))</f>
        <v/>
      </c>
      <c r="R37" s="513" t="str">
        <f t="shared" si="0"/>
        <v/>
      </c>
      <c r="S37" s="40"/>
      <c r="T37" s="145"/>
      <c r="U37" s="157"/>
      <c r="V37" s="511" t="str">
        <f t="shared" si="1"/>
        <v/>
      </c>
      <c r="W37" s="511" t="str">
        <f t="shared" si="2"/>
        <v/>
      </c>
      <c r="X37" s="511" t="str">
        <f t="shared" si="3"/>
        <v/>
      </c>
      <c r="Y37" s="515" t="str">
        <f t="shared" si="4"/>
        <v/>
      </c>
      <c r="Z37" s="151"/>
      <c r="AA37" s="152"/>
      <c r="AF37" s="31" t="str">
        <f>IFERROR(INDEX('G-7 Rivers Data'!$AZ$3:$AZ$7,MATCH(D37,'G-7 Rivers Data'!$AY$3:$AY$7,0)),"")</f>
        <v/>
      </c>
      <c r="AG37" s="31">
        <f t="shared" si="5"/>
        <v>0</v>
      </c>
      <c r="AH37" s="156" t="str">
        <f t="shared" si="6"/>
        <v/>
      </c>
      <c r="AI37" s="156" t="str">
        <f t="shared" si="7"/>
        <v/>
      </c>
      <c r="AK37" s="156">
        <v>28</v>
      </c>
      <c r="AM37" s="156" t="str">
        <f t="array" ref="AM37">IFERROR(INDEX($AK$10:$AK$258, MATCH(0, IF(TRUE=$AH$10:$AH$258, COUNTIF($AM$9:$AM36, $AK$10:$AK$258), ""), 0)),"")</f>
        <v/>
      </c>
      <c r="AN37" s="156" t="str">
        <f t="array" ref="AN37">IFERROR(INDEX($AK$10:$AK$258, MATCH(0, IF(TRUE=$AI$10:$AI$258, COUNTIF($AN$9:$AN36, $AK$10:$AK$258), ""), 0)),"")</f>
        <v/>
      </c>
    </row>
    <row r="38" spans="3:40" ht="14" x14ac:dyDescent="0.3">
      <c r="C38" s="141">
        <v>29</v>
      </c>
      <c r="D38" s="462"/>
      <c r="E38" s="153"/>
      <c r="F38" s="498" t="str">
        <f>IF(D38="","",VLOOKUP(D38,'G-7 Rivers Data'!$B$2:$G$8,2,FALSE))</f>
        <v/>
      </c>
      <c r="G38" s="499" t="str">
        <f>IFERROR(VLOOKUP(F38,'G-7 Rivers Data'!$C$4:$D$8,2,FALSE),"")</f>
        <v/>
      </c>
      <c r="H38" s="145"/>
      <c r="I38" s="499" t="str">
        <f>IFERROR(INDEX('G-7 Rivers Data'!$H$4:$L$8,MATCH(D38,'G-7 Rivers Data'!$B$4:$B$8,0),MATCH(H38,'G-7 Rivers Data'!$H$3:$L$3,0)),"")</f>
        <v/>
      </c>
      <c r="J38" s="154"/>
      <c r="K38" s="520" t="str">
        <f>IF(J38="","",IF(VLOOKUP(J38,'G-7 Rivers Data'!$AK$4:$AM$9,2,FALSE)=0,"Spatial Data Missing ⚠",VLOOKUP(J38,'G-7 Rivers Data'!$AK$4:$AM$9,2,FALSE)))</f>
        <v/>
      </c>
      <c r="L38" s="524" t="str">
        <f>IF(J38="","",IF(VLOOKUP(J38,'G-7 Rivers Data'!$AK$4:$AM$9,3,FALSE)=0,"Spatial Data Missing ⚠",VLOOKUP(J38,'G-7 Rivers Data'!$AK$4:$AM$9,3,FALSE)))</f>
        <v/>
      </c>
      <c r="M38" s="71"/>
      <c r="N38" s="499" t="str">
        <f>IF(M38="","",IF(VLOOKUP(M38,'G-7 Rivers Data'!$AA$4:$AB$7,2,FALSE)=0,"Spatial Data Missing ⚠",VLOOKUP(M38,'G-7 Rivers Data'!$AA$4:$AB$7,2,FALSE)))</f>
        <v/>
      </c>
      <c r="O38" s="155"/>
      <c r="P38" s="499" t="str">
        <f>IF(O38="","",IF(VLOOKUP(O38,'G-7 Rivers Data'!$AD$4:$AE$8,2,FALSE)=0,"Spatial Data Missing ⚠",VLOOKUP(O38,'G-7 Rivers Data'!$AD$4:$AE$8,2,FALSE)))</f>
        <v/>
      </c>
      <c r="Q38" s="506" t="str">
        <f>IF(D38="","",VLOOKUP(D38,'G-7 Rivers Data'!$B$4:$G$8,6,FALSE))</f>
        <v/>
      </c>
      <c r="R38" s="513" t="str">
        <f t="shared" si="0"/>
        <v/>
      </c>
      <c r="S38" s="40"/>
      <c r="T38" s="145"/>
      <c r="U38" s="157"/>
      <c r="V38" s="511" t="str">
        <f t="shared" si="1"/>
        <v/>
      </c>
      <c r="W38" s="511" t="str">
        <f t="shared" si="2"/>
        <v/>
      </c>
      <c r="X38" s="511" t="str">
        <f t="shared" si="3"/>
        <v/>
      </c>
      <c r="Y38" s="515" t="str">
        <f t="shared" si="4"/>
        <v/>
      </c>
      <c r="Z38" s="151"/>
      <c r="AA38" s="152"/>
      <c r="AF38" s="31" t="str">
        <f>IFERROR(INDEX('G-7 Rivers Data'!$AZ$3:$AZ$7,MATCH(D38,'G-7 Rivers Data'!$AY$3:$AY$7,0)),"")</f>
        <v/>
      </c>
      <c r="AG38" s="31">
        <f t="shared" si="5"/>
        <v>0</v>
      </c>
      <c r="AH38" s="156" t="str">
        <f t="shared" si="6"/>
        <v/>
      </c>
      <c r="AI38" s="156" t="str">
        <f t="shared" si="7"/>
        <v/>
      </c>
      <c r="AK38" s="156">
        <v>29</v>
      </c>
      <c r="AM38" s="156" t="str">
        <f t="array" ref="AM38">IFERROR(INDEX($AK$10:$AK$258, MATCH(0, IF(TRUE=$AH$10:$AH$258, COUNTIF($AM$9:$AM37, $AK$10:$AK$258), ""), 0)),"")</f>
        <v/>
      </c>
      <c r="AN38" s="156" t="str">
        <f t="array" ref="AN38">IFERROR(INDEX($AK$10:$AK$258, MATCH(0, IF(TRUE=$AI$10:$AI$258, COUNTIF($AN$9:$AN37, $AK$10:$AK$258), ""), 0)),"")</f>
        <v/>
      </c>
    </row>
    <row r="39" spans="3:40" ht="14" x14ac:dyDescent="0.3">
      <c r="C39" s="141">
        <v>30</v>
      </c>
      <c r="D39" s="462"/>
      <c r="E39" s="153"/>
      <c r="F39" s="498" t="str">
        <f>IF(D39="","",VLOOKUP(D39,'G-7 Rivers Data'!$B$2:$G$8,2,FALSE))</f>
        <v/>
      </c>
      <c r="G39" s="499" t="str">
        <f>IFERROR(VLOOKUP(F39,'G-7 Rivers Data'!$C$4:$D$8,2,FALSE),"")</f>
        <v/>
      </c>
      <c r="H39" s="145"/>
      <c r="I39" s="499" t="str">
        <f>IFERROR(INDEX('G-7 Rivers Data'!$H$4:$L$8,MATCH(D39,'G-7 Rivers Data'!$B$4:$B$8,0),MATCH(H39,'G-7 Rivers Data'!$H$3:$L$3,0)),"")</f>
        <v/>
      </c>
      <c r="J39" s="154"/>
      <c r="K39" s="520" t="str">
        <f>IF(J39="","",IF(VLOOKUP(J39,'G-7 Rivers Data'!$AK$4:$AM$9,2,FALSE)=0,"Spatial Data Missing ⚠",VLOOKUP(J39,'G-7 Rivers Data'!$AK$4:$AM$9,2,FALSE)))</f>
        <v/>
      </c>
      <c r="L39" s="524" t="str">
        <f>IF(J39="","",IF(VLOOKUP(J39,'G-7 Rivers Data'!$AK$4:$AM$9,3,FALSE)=0,"Spatial Data Missing ⚠",VLOOKUP(J39,'G-7 Rivers Data'!$AK$4:$AM$9,3,FALSE)))</f>
        <v/>
      </c>
      <c r="M39" s="71"/>
      <c r="N39" s="499" t="str">
        <f>IF(M39="","",IF(VLOOKUP(M39,'G-7 Rivers Data'!$AA$4:$AB$7,2,FALSE)=0,"Spatial Data Missing ⚠",VLOOKUP(M39,'G-7 Rivers Data'!$AA$4:$AB$7,2,FALSE)))</f>
        <v/>
      </c>
      <c r="O39" s="155"/>
      <c r="P39" s="499" t="str">
        <f>IF(O39="","",IF(VLOOKUP(O39,'G-7 Rivers Data'!$AD$4:$AE$8,2,FALSE)=0,"Spatial Data Missing ⚠",VLOOKUP(O39,'G-7 Rivers Data'!$AD$4:$AE$8,2,FALSE)))</f>
        <v/>
      </c>
      <c r="Q39" s="506" t="str">
        <f>IF(D39="","",VLOOKUP(D39,'G-7 Rivers Data'!$B$4:$G$8,6,FALSE))</f>
        <v/>
      </c>
      <c r="R39" s="513" t="str">
        <f t="shared" si="0"/>
        <v/>
      </c>
      <c r="S39" s="40"/>
      <c r="T39" s="145"/>
      <c r="U39" s="157"/>
      <c r="V39" s="511" t="str">
        <f t="shared" si="1"/>
        <v/>
      </c>
      <c r="W39" s="511" t="str">
        <f t="shared" si="2"/>
        <v/>
      </c>
      <c r="X39" s="511" t="str">
        <f t="shared" si="3"/>
        <v/>
      </c>
      <c r="Y39" s="515" t="str">
        <f t="shared" si="4"/>
        <v/>
      </c>
      <c r="Z39" s="151"/>
      <c r="AA39" s="152"/>
      <c r="AF39" s="31" t="str">
        <f>IFERROR(INDEX('G-7 Rivers Data'!$AZ$3:$AZ$7,MATCH(D39,'G-7 Rivers Data'!$AY$3:$AY$7,0)),"")</f>
        <v/>
      </c>
      <c r="AG39" s="31">
        <f t="shared" si="5"/>
        <v>0</v>
      </c>
      <c r="AH39" s="156" t="str">
        <f t="shared" si="6"/>
        <v/>
      </c>
      <c r="AI39" s="156" t="str">
        <f t="shared" si="7"/>
        <v/>
      </c>
      <c r="AK39" s="156">
        <v>30</v>
      </c>
      <c r="AM39" s="156" t="str">
        <f t="array" ref="AM39">IFERROR(INDEX($AK$10:$AK$258, MATCH(0, IF(TRUE=$AH$10:$AH$258, COUNTIF($AM$9:$AM38, $AK$10:$AK$258), ""), 0)),"")</f>
        <v/>
      </c>
      <c r="AN39" s="156" t="str">
        <f t="array" ref="AN39">IFERROR(INDEX($AK$10:$AK$258, MATCH(0, IF(TRUE=$AI$10:$AI$258, COUNTIF($AN$9:$AN38, $AK$10:$AK$258), ""), 0)),"")</f>
        <v/>
      </c>
    </row>
    <row r="40" spans="3:40" ht="14" x14ac:dyDescent="0.3">
      <c r="C40" s="141">
        <v>31</v>
      </c>
      <c r="D40" s="462"/>
      <c r="E40" s="153"/>
      <c r="F40" s="498" t="str">
        <f>IF(D40="","",VLOOKUP(D40,'G-7 Rivers Data'!$B$2:$G$8,2,FALSE))</f>
        <v/>
      </c>
      <c r="G40" s="499" t="str">
        <f>IFERROR(VLOOKUP(F40,'G-7 Rivers Data'!$C$4:$D$8,2,FALSE),"")</f>
        <v/>
      </c>
      <c r="H40" s="145"/>
      <c r="I40" s="499" t="str">
        <f>IFERROR(INDEX('G-7 Rivers Data'!$H$4:$L$8,MATCH(D40,'G-7 Rivers Data'!$B$4:$B$8,0),MATCH(H40,'G-7 Rivers Data'!$H$3:$L$3,0)),"")</f>
        <v/>
      </c>
      <c r="J40" s="154"/>
      <c r="K40" s="520" t="str">
        <f>IF(J40="","",IF(VLOOKUP(J40,'G-7 Rivers Data'!$AK$4:$AM$9,2,FALSE)=0,"Spatial Data Missing ⚠",VLOOKUP(J40,'G-7 Rivers Data'!$AK$4:$AM$9,2,FALSE)))</f>
        <v/>
      </c>
      <c r="L40" s="524" t="str">
        <f>IF(J40="","",IF(VLOOKUP(J40,'G-7 Rivers Data'!$AK$4:$AM$9,3,FALSE)=0,"Spatial Data Missing ⚠",VLOOKUP(J40,'G-7 Rivers Data'!$AK$4:$AM$9,3,FALSE)))</f>
        <v/>
      </c>
      <c r="M40" s="71"/>
      <c r="N40" s="499" t="str">
        <f>IF(M40="","",IF(VLOOKUP(M40,'G-7 Rivers Data'!$AA$4:$AB$7,2,FALSE)=0,"Spatial Data Missing ⚠",VLOOKUP(M40,'G-7 Rivers Data'!$AA$4:$AB$7,2,FALSE)))</f>
        <v/>
      </c>
      <c r="O40" s="155"/>
      <c r="P40" s="499" t="str">
        <f>IF(O40="","",IF(VLOOKUP(O40,'G-7 Rivers Data'!$AD$4:$AE$8,2,FALSE)=0,"Spatial Data Missing ⚠",VLOOKUP(O40,'G-7 Rivers Data'!$AD$4:$AE$8,2,FALSE)))</f>
        <v/>
      </c>
      <c r="Q40" s="506" t="str">
        <f>IF(D40="","",VLOOKUP(D40,'G-7 Rivers Data'!$B$4:$G$8,6,FALSE))</f>
        <v/>
      </c>
      <c r="R40" s="513" t="str">
        <f t="shared" si="0"/>
        <v/>
      </c>
      <c r="S40" s="40"/>
      <c r="T40" s="145"/>
      <c r="U40" s="157"/>
      <c r="V40" s="511" t="str">
        <f t="shared" si="1"/>
        <v/>
      </c>
      <c r="W40" s="511" t="str">
        <f t="shared" si="2"/>
        <v/>
      </c>
      <c r="X40" s="511" t="str">
        <f t="shared" si="3"/>
        <v/>
      </c>
      <c r="Y40" s="515" t="str">
        <f t="shared" si="4"/>
        <v/>
      </c>
      <c r="Z40" s="151"/>
      <c r="AA40" s="152"/>
      <c r="AF40" s="31" t="str">
        <f>IFERROR(INDEX('G-7 Rivers Data'!$AZ$3:$AZ$7,MATCH(D40,'G-7 Rivers Data'!$AY$3:$AY$7,0)),"")</f>
        <v/>
      </c>
      <c r="AG40" s="31">
        <f t="shared" si="5"/>
        <v>0</v>
      </c>
      <c r="AH40" s="156" t="str">
        <f t="shared" si="6"/>
        <v/>
      </c>
      <c r="AI40" s="156" t="str">
        <f t="shared" si="7"/>
        <v/>
      </c>
      <c r="AK40" s="156">
        <v>31</v>
      </c>
      <c r="AM40" s="156" t="str">
        <f t="array" ref="AM40">IFERROR(INDEX($AK$10:$AK$258, MATCH(0, IF(TRUE=$AH$10:$AH$258, COUNTIF($AM$9:$AM39, $AK$10:$AK$258), ""), 0)),"")</f>
        <v/>
      </c>
      <c r="AN40" s="156" t="str">
        <f t="array" ref="AN40">IFERROR(INDEX($AK$10:$AK$258, MATCH(0, IF(TRUE=$AI$10:$AI$258, COUNTIF($AN$9:$AN39, $AK$10:$AK$258), ""), 0)),"")</f>
        <v/>
      </c>
    </row>
    <row r="41" spans="3:40" ht="14" x14ac:dyDescent="0.3">
      <c r="C41" s="141">
        <v>32</v>
      </c>
      <c r="D41" s="462"/>
      <c r="E41" s="153"/>
      <c r="F41" s="498" t="str">
        <f>IF(D41="","",VLOOKUP(D41,'G-7 Rivers Data'!$B$2:$G$8,2,FALSE))</f>
        <v/>
      </c>
      <c r="G41" s="499" t="str">
        <f>IFERROR(VLOOKUP(F41,'G-7 Rivers Data'!$C$4:$D$8,2,FALSE),"")</f>
        <v/>
      </c>
      <c r="H41" s="145"/>
      <c r="I41" s="499" t="str">
        <f>IFERROR(INDEX('G-7 Rivers Data'!$H$4:$L$8,MATCH(D41,'G-7 Rivers Data'!$B$4:$B$8,0),MATCH(H41,'G-7 Rivers Data'!$H$3:$L$3,0)),"")</f>
        <v/>
      </c>
      <c r="J41" s="154"/>
      <c r="K41" s="520" t="str">
        <f>IF(J41="","",IF(VLOOKUP(J41,'G-7 Rivers Data'!$AK$4:$AM$9,2,FALSE)=0,"Spatial Data Missing ⚠",VLOOKUP(J41,'G-7 Rivers Data'!$AK$4:$AM$9,2,FALSE)))</f>
        <v/>
      </c>
      <c r="L41" s="524" t="str">
        <f>IF(J41="","",IF(VLOOKUP(J41,'G-7 Rivers Data'!$AK$4:$AM$9,3,FALSE)=0,"Spatial Data Missing ⚠",VLOOKUP(J41,'G-7 Rivers Data'!$AK$4:$AM$9,3,FALSE)))</f>
        <v/>
      </c>
      <c r="M41" s="71"/>
      <c r="N41" s="499" t="str">
        <f>IF(M41="","",IF(VLOOKUP(M41,'G-7 Rivers Data'!$AA$4:$AB$7,2,FALSE)=0,"Spatial Data Missing ⚠",VLOOKUP(M41,'G-7 Rivers Data'!$AA$4:$AB$7,2,FALSE)))</f>
        <v/>
      </c>
      <c r="O41" s="155"/>
      <c r="P41" s="499" t="str">
        <f>IF(O41="","",IF(VLOOKUP(O41,'G-7 Rivers Data'!$AD$4:$AE$8,2,FALSE)=0,"Spatial Data Missing ⚠",VLOOKUP(O41,'G-7 Rivers Data'!$AD$4:$AE$8,2,FALSE)))</f>
        <v/>
      </c>
      <c r="Q41" s="506" t="str">
        <f>IF(D41="","",VLOOKUP(D41,'G-7 Rivers Data'!$B$4:$G$8,6,FALSE))</f>
        <v/>
      </c>
      <c r="R41" s="513" t="str">
        <f t="shared" si="0"/>
        <v/>
      </c>
      <c r="S41" s="40"/>
      <c r="T41" s="145"/>
      <c r="U41" s="157"/>
      <c r="V41" s="511" t="str">
        <f t="shared" si="1"/>
        <v/>
      </c>
      <c r="W41" s="511" t="str">
        <f t="shared" si="2"/>
        <v/>
      </c>
      <c r="X41" s="511" t="str">
        <f t="shared" si="3"/>
        <v/>
      </c>
      <c r="Y41" s="515" t="str">
        <f t="shared" si="4"/>
        <v/>
      </c>
      <c r="Z41" s="151"/>
      <c r="AA41" s="152"/>
      <c r="AF41" s="31" t="str">
        <f>IFERROR(INDEX('G-7 Rivers Data'!$AZ$3:$AZ$7,MATCH(D41,'G-7 Rivers Data'!$AY$3:$AY$7,0)),"")</f>
        <v/>
      </c>
      <c r="AG41" s="31">
        <f t="shared" si="5"/>
        <v>0</v>
      </c>
      <c r="AH41" s="156" t="str">
        <f t="shared" si="6"/>
        <v/>
      </c>
      <c r="AI41" s="156" t="str">
        <f t="shared" si="7"/>
        <v/>
      </c>
      <c r="AK41" s="156">
        <v>32</v>
      </c>
      <c r="AM41" s="156" t="str">
        <f t="array" ref="AM41">IFERROR(INDEX($AK$10:$AK$258, MATCH(0, IF(TRUE=$AH$10:$AH$258, COUNTIF($AM$9:$AM40, $AK$10:$AK$258), ""), 0)),"")</f>
        <v/>
      </c>
      <c r="AN41" s="156" t="str">
        <f t="array" ref="AN41">IFERROR(INDEX($AK$10:$AK$258, MATCH(0, IF(TRUE=$AI$10:$AI$258, COUNTIF($AN$9:$AN40, $AK$10:$AK$258), ""), 0)),"")</f>
        <v/>
      </c>
    </row>
    <row r="42" spans="3:40" ht="14" x14ac:dyDescent="0.3">
      <c r="C42" s="141">
        <v>33</v>
      </c>
      <c r="D42" s="462"/>
      <c r="E42" s="153"/>
      <c r="F42" s="498" t="str">
        <f>IF(D42="","",VLOOKUP(D42,'G-7 Rivers Data'!$B$2:$G$8,2,FALSE))</f>
        <v/>
      </c>
      <c r="G42" s="499" t="str">
        <f>IFERROR(VLOOKUP(F42,'G-7 Rivers Data'!$C$4:$D$8,2,FALSE),"")</f>
        <v/>
      </c>
      <c r="H42" s="145"/>
      <c r="I42" s="499" t="str">
        <f>IFERROR(INDEX('G-7 Rivers Data'!$H$4:$L$8,MATCH(D42,'G-7 Rivers Data'!$B$4:$B$8,0),MATCH(H42,'G-7 Rivers Data'!$H$3:$L$3,0)),"")</f>
        <v/>
      </c>
      <c r="J42" s="154"/>
      <c r="K42" s="520" t="str">
        <f>IF(J42="","",IF(VLOOKUP(J42,'G-7 Rivers Data'!$AK$4:$AM$9,2,FALSE)=0,"Spatial Data Missing ⚠",VLOOKUP(J42,'G-7 Rivers Data'!$AK$4:$AM$9,2,FALSE)))</f>
        <v/>
      </c>
      <c r="L42" s="524" t="str">
        <f>IF(J42="","",IF(VLOOKUP(J42,'G-7 Rivers Data'!$AK$4:$AM$9,3,FALSE)=0,"Spatial Data Missing ⚠",VLOOKUP(J42,'G-7 Rivers Data'!$AK$4:$AM$9,3,FALSE)))</f>
        <v/>
      </c>
      <c r="M42" s="71"/>
      <c r="N42" s="499" t="str">
        <f>IF(M42="","",IF(VLOOKUP(M42,'G-7 Rivers Data'!$AA$4:$AB$7,2,FALSE)=0,"Spatial Data Missing ⚠",VLOOKUP(M42,'G-7 Rivers Data'!$AA$4:$AB$7,2,FALSE)))</f>
        <v/>
      </c>
      <c r="O42" s="155"/>
      <c r="P42" s="499" t="str">
        <f>IF(O42="","",IF(VLOOKUP(O42,'G-7 Rivers Data'!$AD$4:$AE$8,2,FALSE)=0,"Spatial Data Missing ⚠",VLOOKUP(O42,'G-7 Rivers Data'!$AD$4:$AE$8,2,FALSE)))</f>
        <v/>
      </c>
      <c r="Q42" s="506" t="str">
        <f>IF(D42="","",VLOOKUP(D42,'G-7 Rivers Data'!$B$4:$G$8,6,FALSE))</f>
        <v/>
      </c>
      <c r="R42" s="513" t="str">
        <f t="shared" si="0"/>
        <v/>
      </c>
      <c r="S42" s="40"/>
      <c r="T42" s="145"/>
      <c r="U42" s="157"/>
      <c r="V42" s="511" t="str">
        <f t="shared" si="1"/>
        <v/>
      </c>
      <c r="W42" s="511" t="str">
        <f t="shared" si="2"/>
        <v/>
      </c>
      <c r="X42" s="511" t="str">
        <f t="shared" si="3"/>
        <v/>
      </c>
      <c r="Y42" s="515" t="str">
        <f t="shared" si="4"/>
        <v/>
      </c>
      <c r="Z42" s="151"/>
      <c r="AA42" s="152"/>
      <c r="AF42" s="31" t="str">
        <f>IFERROR(INDEX('G-7 Rivers Data'!$AZ$3:$AZ$7,MATCH(D42,'G-7 Rivers Data'!$AY$3:$AY$7,0)),"")</f>
        <v/>
      </c>
      <c r="AG42" s="31">
        <f t="shared" si="5"/>
        <v>0</v>
      </c>
      <c r="AH42" s="156" t="str">
        <f t="shared" si="6"/>
        <v/>
      </c>
      <c r="AI42" s="156" t="str">
        <f t="shared" si="7"/>
        <v/>
      </c>
      <c r="AK42" s="156">
        <v>33</v>
      </c>
      <c r="AM42" s="156" t="str">
        <f t="array" ref="AM42">IFERROR(INDEX($AK$10:$AK$258, MATCH(0, IF(TRUE=$AH$10:$AH$258, COUNTIF($AM$9:$AM41, $AK$10:$AK$258), ""), 0)),"")</f>
        <v/>
      </c>
      <c r="AN42" s="156" t="str">
        <f t="array" ref="AN42">IFERROR(INDEX($AK$10:$AK$258, MATCH(0, IF(TRUE=$AI$10:$AI$258, COUNTIF($AN$9:$AN41, $AK$10:$AK$258), ""), 0)),"")</f>
        <v/>
      </c>
    </row>
    <row r="43" spans="3:40" ht="14" x14ac:dyDescent="0.3">
      <c r="C43" s="141">
        <v>34</v>
      </c>
      <c r="D43" s="462"/>
      <c r="E43" s="153"/>
      <c r="F43" s="498" t="str">
        <f>IF(D43="","",VLOOKUP(D43,'G-7 Rivers Data'!$B$2:$G$8,2,FALSE))</f>
        <v/>
      </c>
      <c r="G43" s="499" t="str">
        <f>IFERROR(VLOOKUP(F43,'G-7 Rivers Data'!$C$4:$D$8,2,FALSE),"")</f>
        <v/>
      </c>
      <c r="H43" s="145"/>
      <c r="I43" s="499" t="str">
        <f>IFERROR(INDEX('G-7 Rivers Data'!$H$4:$L$8,MATCH(D43,'G-7 Rivers Data'!$B$4:$B$8,0),MATCH(H43,'G-7 Rivers Data'!$H$3:$L$3,0)),"")</f>
        <v/>
      </c>
      <c r="J43" s="154"/>
      <c r="K43" s="520" t="str">
        <f>IF(J43="","",IF(VLOOKUP(J43,'G-7 Rivers Data'!$AK$4:$AM$9,2,FALSE)=0,"Spatial Data Missing ⚠",VLOOKUP(J43,'G-7 Rivers Data'!$AK$4:$AM$9,2,FALSE)))</f>
        <v/>
      </c>
      <c r="L43" s="524" t="str">
        <f>IF(J43="","",IF(VLOOKUP(J43,'G-7 Rivers Data'!$AK$4:$AM$9,3,FALSE)=0,"Spatial Data Missing ⚠",VLOOKUP(J43,'G-7 Rivers Data'!$AK$4:$AM$9,3,FALSE)))</f>
        <v/>
      </c>
      <c r="M43" s="71"/>
      <c r="N43" s="499" t="str">
        <f>IF(M43="","",IF(VLOOKUP(M43,'G-7 Rivers Data'!$AA$4:$AB$7,2,FALSE)=0,"Spatial Data Missing ⚠",VLOOKUP(M43,'G-7 Rivers Data'!$AA$4:$AB$7,2,FALSE)))</f>
        <v/>
      </c>
      <c r="O43" s="155"/>
      <c r="P43" s="499" t="str">
        <f>IF(O43="","",IF(VLOOKUP(O43,'G-7 Rivers Data'!$AD$4:$AE$8,2,FALSE)=0,"Spatial Data Missing ⚠",VLOOKUP(O43,'G-7 Rivers Data'!$AD$4:$AE$8,2,FALSE)))</f>
        <v/>
      </c>
      <c r="Q43" s="506" t="str">
        <f>IF(D43="","",VLOOKUP(D43,'G-7 Rivers Data'!$B$4:$G$8,6,FALSE))</f>
        <v/>
      </c>
      <c r="R43" s="513" t="str">
        <f t="shared" si="0"/>
        <v/>
      </c>
      <c r="S43" s="40"/>
      <c r="T43" s="145"/>
      <c r="U43" s="157"/>
      <c r="V43" s="511" t="str">
        <f t="shared" si="1"/>
        <v/>
      </c>
      <c r="W43" s="511" t="str">
        <f t="shared" si="2"/>
        <v/>
      </c>
      <c r="X43" s="511" t="str">
        <f t="shared" si="3"/>
        <v/>
      </c>
      <c r="Y43" s="515" t="str">
        <f t="shared" si="4"/>
        <v/>
      </c>
      <c r="Z43" s="151"/>
      <c r="AA43" s="152"/>
      <c r="AF43" s="31" t="str">
        <f>IFERROR(INDEX('G-7 Rivers Data'!$AZ$3:$AZ$7,MATCH(D43,'G-7 Rivers Data'!$AY$3:$AY$7,0)),"")</f>
        <v/>
      </c>
      <c r="AG43" s="31">
        <f t="shared" si="5"/>
        <v>0</v>
      </c>
      <c r="AH43" s="156" t="str">
        <f t="shared" si="6"/>
        <v/>
      </c>
      <c r="AI43" s="156" t="str">
        <f t="shared" si="7"/>
        <v/>
      </c>
      <c r="AK43" s="156">
        <v>34</v>
      </c>
      <c r="AM43" s="156" t="str">
        <f t="array" ref="AM43">IFERROR(INDEX($AK$10:$AK$258, MATCH(0, IF(TRUE=$AH$10:$AH$258, COUNTIF($AM$9:$AM42, $AK$10:$AK$258), ""), 0)),"")</f>
        <v/>
      </c>
      <c r="AN43" s="156" t="str">
        <f t="array" ref="AN43">IFERROR(INDEX($AK$10:$AK$258, MATCH(0, IF(TRUE=$AI$10:$AI$258, COUNTIF($AN$9:$AN42, $AK$10:$AK$258), ""), 0)),"")</f>
        <v/>
      </c>
    </row>
    <row r="44" spans="3:40" ht="14" x14ac:dyDescent="0.3">
      <c r="C44" s="141">
        <v>35</v>
      </c>
      <c r="D44" s="462"/>
      <c r="E44" s="153"/>
      <c r="F44" s="498" t="str">
        <f>IF(D44="","",VLOOKUP(D44,'G-7 Rivers Data'!$B$2:$G$8,2,FALSE))</f>
        <v/>
      </c>
      <c r="G44" s="499" t="str">
        <f>IFERROR(VLOOKUP(F44,'G-7 Rivers Data'!$C$4:$D$8,2,FALSE),"")</f>
        <v/>
      </c>
      <c r="H44" s="145"/>
      <c r="I44" s="499" t="str">
        <f>IFERROR(INDEX('G-7 Rivers Data'!$H$4:$L$8,MATCH(D44,'G-7 Rivers Data'!$B$4:$B$8,0),MATCH(H44,'G-7 Rivers Data'!$H$3:$L$3,0)),"")</f>
        <v/>
      </c>
      <c r="J44" s="154"/>
      <c r="K44" s="520" t="str">
        <f>IF(J44="","",IF(VLOOKUP(J44,'G-7 Rivers Data'!$AK$4:$AM$9,2,FALSE)=0,"Spatial Data Missing ⚠",VLOOKUP(J44,'G-7 Rivers Data'!$AK$4:$AM$9,2,FALSE)))</f>
        <v/>
      </c>
      <c r="L44" s="524" t="str">
        <f>IF(J44="","",IF(VLOOKUP(J44,'G-7 Rivers Data'!$AK$4:$AM$9,3,FALSE)=0,"Spatial Data Missing ⚠",VLOOKUP(J44,'G-7 Rivers Data'!$AK$4:$AM$9,3,FALSE)))</f>
        <v/>
      </c>
      <c r="M44" s="71"/>
      <c r="N44" s="499" t="str">
        <f>IF(M44="","",IF(VLOOKUP(M44,'G-7 Rivers Data'!$AA$4:$AB$7,2,FALSE)=0,"Spatial Data Missing ⚠",VLOOKUP(M44,'G-7 Rivers Data'!$AA$4:$AB$7,2,FALSE)))</f>
        <v/>
      </c>
      <c r="O44" s="155"/>
      <c r="P44" s="499" t="str">
        <f>IF(O44="","",IF(VLOOKUP(O44,'G-7 Rivers Data'!$AD$4:$AE$8,2,FALSE)=0,"Spatial Data Missing ⚠",VLOOKUP(O44,'G-7 Rivers Data'!$AD$4:$AE$8,2,FALSE)))</f>
        <v/>
      </c>
      <c r="Q44" s="506" t="str">
        <f>IF(D44="","",VLOOKUP(D44,'G-7 Rivers Data'!$B$4:$G$8,6,FALSE))</f>
        <v/>
      </c>
      <c r="R44" s="513" t="str">
        <f t="shared" si="0"/>
        <v/>
      </c>
      <c r="S44" s="40"/>
      <c r="T44" s="145"/>
      <c r="U44" s="157"/>
      <c r="V44" s="511" t="str">
        <f t="shared" si="1"/>
        <v/>
      </c>
      <c r="W44" s="511" t="str">
        <f t="shared" si="2"/>
        <v/>
      </c>
      <c r="X44" s="511" t="str">
        <f t="shared" si="3"/>
        <v/>
      </c>
      <c r="Y44" s="515" t="str">
        <f t="shared" si="4"/>
        <v/>
      </c>
      <c r="Z44" s="151"/>
      <c r="AA44" s="152"/>
      <c r="AF44" s="31" t="str">
        <f>IFERROR(INDEX('G-7 Rivers Data'!$AZ$3:$AZ$7,MATCH(D44,'G-7 Rivers Data'!$AY$3:$AY$7,0)),"")</f>
        <v/>
      </c>
      <c r="AG44" s="31">
        <f t="shared" si="5"/>
        <v>0</v>
      </c>
      <c r="AH44" s="156" t="str">
        <f t="shared" si="6"/>
        <v/>
      </c>
      <c r="AI44" s="156" t="str">
        <f t="shared" si="7"/>
        <v/>
      </c>
      <c r="AK44" s="156">
        <v>35</v>
      </c>
      <c r="AM44" s="156" t="str">
        <f t="array" ref="AM44">IFERROR(INDEX($AK$10:$AK$258, MATCH(0, IF(TRUE=$AH$10:$AH$258, COUNTIF($AM$9:$AM43, $AK$10:$AK$258), ""), 0)),"")</f>
        <v/>
      </c>
      <c r="AN44" s="156" t="str">
        <f t="array" ref="AN44">IFERROR(INDEX($AK$10:$AK$258, MATCH(0, IF(TRUE=$AI$10:$AI$258, COUNTIF($AN$9:$AN43, $AK$10:$AK$258), ""), 0)),"")</f>
        <v/>
      </c>
    </row>
    <row r="45" spans="3:40" ht="14" x14ac:dyDescent="0.3">
      <c r="C45" s="141">
        <v>36</v>
      </c>
      <c r="D45" s="462"/>
      <c r="E45" s="153"/>
      <c r="F45" s="498" t="str">
        <f>IF(D45="","",VLOOKUP(D45,'G-7 Rivers Data'!$B$2:$G$8,2,FALSE))</f>
        <v/>
      </c>
      <c r="G45" s="499" t="str">
        <f>IFERROR(VLOOKUP(F45,'G-7 Rivers Data'!$C$4:$D$8,2,FALSE),"")</f>
        <v/>
      </c>
      <c r="H45" s="145"/>
      <c r="I45" s="499" t="str">
        <f>IFERROR(INDEX('G-7 Rivers Data'!$H$4:$L$8,MATCH(D45,'G-7 Rivers Data'!$B$4:$B$8,0),MATCH(H45,'G-7 Rivers Data'!$H$3:$L$3,0)),"")</f>
        <v/>
      </c>
      <c r="J45" s="154"/>
      <c r="K45" s="520" t="str">
        <f>IF(J45="","",IF(VLOOKUP(J45,'G-7 Rivers Data'!$AK$4:$AM$9,2,FALSE)=0,"Spatial Data Missing ⚠",VLOOKUP(J45,'G-7 Rivers Data'!$AK$4:$AM$9,2,FALSE)))</f>
        <v/>
      </c>
      <c r="L45" s="524" t="str">
        <f>IF(J45="","",IF(VLOOKUP(J45,'G-7 Rivers Data'!$AK$4:$AM$9,3,FALSE)=0,"Spatial Data Missing ⚠",VLOOKUP(J45,'G-7 Rivers Data'!$AK$4:$AM$9,3,FALSE)))</f>
        <v/>
      </c>
      <c r="M45" s="71"/>
      <c r="N45" s="499" t="str">
        <f>IF(M45="","",IF(VLOOKUP(M45,'G-7 Rivers Data'!$AA$4:$AB$7,2,FALSE)=0,"Spatial Data Missing ⚠",VLOOKUP(M45,'G-7 Rivers Data'!$AA$4:$AB$7,2,FALSE)))</f>
        <v/>
      </c>
      <c r="O45" s="155"/>
      <c r="P45" s="499" t="str">
        <f>IF(O45="","",IF(VLOOKUP(O45,'G-7 Rivers Data'!$AD$4:$AE$8,2,FALSE)=0,"Spatial Data Missing ⚠",VLOOKUP(O45,'G-7 Rivers Data'!$AD$4:$AE$8,2,FALSE)))</f>
        <v/>
      </c>
      <c r="Q45" s="506" t="str">
        <f>IF(D45="","",VLOOKUP(D45,'G-7 Rivers Data'!$B$4:$G$8,6,FALSE))</f>
        <v/>
      </c>
      <c r="R45" s="513" t="str">
        <f t="shared" si="0"/>
        <v/>
      </c>
      <c r="S45" s="40"/>
      <c r="T45" s="145"/>
      <c r="U45" s="157"/>
      <c r="V45" s="511" t="str">
        <f t="shared" si="1"/>
        <v/>
      </c>
      <c r="W45" s="511" t="str">
        <f t="shared" si="2"/>
        <v/>
      </c>
      <c r="X45" s="511" t="str">
        <f t="shared" si="3"/>
        <v/>
      </c>
      <c r="Y45" s="515" t="str">
        <f t="shared" si="4"/>
        <v/>
      </c>
      <c r="Z45" s="151"/>
      <c r="AA45" s="152"/>
      <c r="AF45" s="31" t="str">
        <f>IFERROR(INDEX('G-7 Rivers Data'!$AZ$3:$AZ$7,MATCH(D45,'G-7 Rivers Data'!$AY$3:$AY$7,0)),"")</f>
        <v/>
      </c>
      <c r="AG45" s="31">
        <f t="shared" si="5"/>
        <v>0</v>
      </c>
      <c r="AH45" s="156" t="str">
        <f t="shared" si="6"/>
        <v/>
      </c>
      <c r="AI45" s="156" t="str">
        <f t="shared" si="7"/>
        <v/>
      </c>
      <c r="AK45" s="156">
        <v>36</v>
      </c>
      <c r="AM45" s="156" t="str">
        <f t="array" ref="AM45">IFERROR(INDEX($AK$10:$AK$258, MATCH(0, IF(TRUE=$AH$10:$AH$258, COUNTIF($AM$9:$AM44, $AK$10:$AK$258), ""), 0)),"")</f>
        <v/>
      </c>
      <c r="AN45" s="156" t="str">
        <f t="array" ref="AN45">IFERROR(INDEX($AK$10:$AK$258, MATCH(0, IF(TRUE=$AI$10:$AI$258, COUNTIF($AN$9:$AN44, $AK$10:$AK$258), ""), 0)),"")</f>
        <v/>
      </c>
    </row>
    <row r="46" spans="3:40" ht="14" x14ac:dyDescent="0.3">
      <c r="C46" s="141">
        <v>37</v>
      </c>
      <c r="D46" s="462"/>
      <c r="E46" s="153"/>
      <c r="F46" s="498" t="str">
        <f>IF(D46="","",VLOOKUP(D46,'G-7 Rivers Data'!$B$2:$G$8,2,FALSE))</f>
        <v/>
      </c>
      <c r="G46" s="499" t="str">
        <f>IFERROR(VLOOKUP(F46,'G-7 Rivers Data'!$C$4:$D$8,2,FALSE),"")</f>
        <v/>
      </c>
      <c r="H46" s="145"/>
      <c r="I46" s="499" t="str">
        <f>IFERROR(INDEX('G-7 Rivers Data'!$H$4:$L$8,MATCH(D46,'G-7 Rivers Data'!$B$4:$B$8,0),MATCH(H46,'G-7 Rivers Data'!$H$3:$L$3,0)),"")</f>
        <v/>
      </c>
      <c r="J46" s="154"/>
      <c r="K46" s="520" t="str">
        <f>IF(J46="","",IF(VLOOKUP(J46,'G-7 Rivers Data'!$AK$4:$AM$9,2,FALSE)=0,"Spatial Data Missing ⚠",VLOOKUP(J46,'G-7 Rivers Data'!$AK$4:$AM$9,2,FALSE)))</f>
        <v/>
      </c>
      <c r="L46" s="524" t="str">
        <f>IF(J46="","",IF(VLOOKUP(J46,'G-7 Rivers Data'!$AK$4:$AM$9,3,FALSE)=0,"Spatial Data Missing ⚠",VLOOKUP(J46,'G-7 Rivers Data'!$AK$4:$AM$9,3,FALSE)))</f>
        <v/>
      </c>
      <c r="M46" s="71"/>
      <c r="N46" s="499" t="str">
        <f>IF(M46="","",IF(VLOOKUP(M46,'G-7 Rivers Data'!$AA$4:$AB$7,2,FALSE)=0,"Spatial Data Missing ⚠",VLOOKUP(M46,'G-7 Rivers Data'!$AA$4:$AB$7,2,FALSE)))</f>
        <v/>
      </c>
      <c r="O46" s="155"/>
      <c r="P46" s="499" t="str">
        <f>IF(O46="","",IF(VLOOKUP(O46,'G-7 Rivers Data'!$AD$4:$AE$8,2,FALSE)=0,"Spatial Data Missing ⚠",VLOOKUP(O46,'G-7 Rivers Data'!$AD$4:$AE$8,2,FALSE)))</f>
        <v/>
      </c>
      <c r="Q46" s="506" t="str">
        <f>IF(D46="","",VLOOKUP(D46,'G-7 Rivers Data'!$B$4:$G$8,6,FALSE))</f>
        <v/>
      </c>
      <c r="R46" s="513" t="str">
        <f t="shared" si="0"/>
        <v/>
      </c>
      <c r="S46" s="40"/>
      <c r="T46" s="145"/>
      <c r="U46" s="157"/>
      <c r="V46" s="511" t="str">
        <f t="shared" si="1"/>
        <v/>
      </c>
      <c r="W46" s="511" t="str">
        <f t="shared" si="2"/>
        <v/>
      </c>
      <c r="X46" s="511" t="str">
        <f t="shared" si="3"/>
        <v/>
      </c>
      <c r="Y46" s="515" t="str">
        <f t="shared" si="4"/>
        <v/>
      </c>
      <c r="Z46" s="151"/>
      <c r="AA46" s="152"/>
      <c r="AF46" s="31" t="str">
        <f>IFERROR(INDEX('G-7 Rivers Data'!$AZ$3:$AZ$7,MATCH(D46,'G-7 Rivers Data'!$AY$3:$AY$7,0)),"")</f>
        <v/>
      </c>
      <c r="AG46" s="31">
        <f t="shared" si="5"/>
        <v>0</v>
      </c>
      <c r="AH46" s="156" t="str">
        <f t="shared" si="6"/>
        <v/>
      </c>
      <c r="AI46" s="156" t="str">
        <f t="shared" si="7"/>
        <v/>
      </c>
      <c r="AK46" s="156">
        <v>37</v>
      </c>
      <c r="AM46" s="156" t="str">
        <f t="array" ref="AM46">IFERROR(INDEX($AK$10:$AK$258, MATCH(0, IF(TRUE=$AH$10:$AH$258, COUNTIF($AM$9:$AM45, $AK$10:$AK$258), ""), 0)),"")</f>
        <v/>
      </c>
      <c r="AN46" s="156" t="str">
        <f t="array" ref="AN46">IFERROR(INDEX($AK$10:$AK$258, MATCH(0, IF(TRUE=$AI$10:$AI$258, COUNTIF($AN$9:$AN45, $AK$10:$AK$258), ""), 0)),"")</f>
        <v/>
      </c>
    </row>
    <row r="47" spans="3:40" ht="14" x14ac:dyDescent="0.3">
      <c r="C47" s="141">
        <v>38</v>
      </c>
      <c r="D47" s="462"/>
      <c r="E47" s="153"/>
      <c r="F47" s="498" t="str">
        <f>IF(D47="","",VLOOKUP(D47,'G-7 Rivers Data'!$B$2:$G$8,2,FALSE))</f>
        <v/>
      </c>
      <c r="G47" s="499" t="str">
        <f>IFERROR(VLOOKUP(F47,'G-7 Rivers Data'!$C$4:$D$8,2,FALSE),"")</f>
        <v/>
      </c>
      <c r="H47" s="145"/>
      <c r="I47" s="499" t="str">
        <f>IFERROR(INDEX('G-7 Rivers Data'!$H$4:$L$8,MATCH(D47,'G-7 Rivers Data'!$B$4:$B$8,0),MATCH(H47,'G-7 Rivers Data'!$H$3:$L$3,0)),"")</f>
        <v/>
      </c>
      <c r="J47" s="154"/>
      <c r="K47" s="520" t="str">
        <f>IF(J47="","",IF(VLOOKUP(J47,'G-7 Rivers Data'!$AK$4:$AM$9,2,FALSE)=0,"Spatial Data Missing ⚠",VLOOKUP(J47,'G-7 Rivers Data'!$AK$4:$AM$9,2,FALSE)))</f>
        <v/>
      </c>
      <c r="L47" s="524" t="str">
        <f>IF(J47="","",IF(VLOOKUP(J47,'G-7 Rivers Data'!$AK$4:$AM$9,3,FALSE)=0,"Spatial Data Missing ⚠",VLOOKUP(J47,'G-7 Rivers Data'!$AK$4:$AM$9,3,FALSE)))</f>
        <v/>
      </c>
      <c r="M47" s="71"/>
      <c r="N47" s="499" t="str">
        <f>IF(M47="","",IF(VLOOKUP(M47,'G-7 Rivers Data'!$AA$4:$AB$7,2,FALSE)=0,"Spatial Data Missing ⚠",VLOOKUP(M47,'G-7 Rivers Data'!$AA$4:$AB$7,2,FALSE)))</f>
        <v/>
      </c>
      <c r="O47" s="155"/>
      <c r="P47" s="499" t="str">
        <f>IF(O47="","",IF(VLOOKUP(O47,'G-7 Rivers Data'!$AD$4:$AE$8,2,FALSE)=0,"Spatial Data Missing ⚠",VLOOKUP(O47,'G-7 Rivers Data'!$AD$4:$AE$8,2,FALSE)))</f>
        <v/>
      </c>
      <c r="Q47" s="506" t="str">
        <f>IF(D47="","",VLOOKUP(D47,'G-7 Rivers Data'!$B$4:$G$8,6,FALSE))</f>
        <v/>
      </c>
      <c r="R47" s="513" t="str">
        <f t="shared" si="0"/>
        <v/>
      </c>
      <c r="S47" s="40"/>
      <c r="T47" s="145"/>
      <c r="U47" s="157"/>
      <c r="V47" s="511" t="str">
        <f t="shared" si="1"/>
        <v/>
      </c>
      <c r="W47" s="511" t="str">
        <f t="shared" si="2"/>
        <v/>
      </c>
      <c r="X47" s="511" t="str">
        <f t="shared" si="3"/>
        <v/>
      </c>
      <c r="Y47" s="515" t="str">
        <f t="shared" si="4"/>
        <v/>
      </c>
      <c r="Z47" s="151"/>
      <c r="AA47" s="152"/>
      <c r="AF47" s="31" t="str">
        <f>IFERROR(INDEX('G-7 Rivers Data'!$AZ$3:$AZ$7,MATCH(D47,'G-7 Rivers Data'!$AY$3:$AY$7,0)),"")</f>
        <v/>
      </c>
      <c r="AG47" s="31">
        <f t="shared" si="5"/>
        <v>0</v>
      </c>
      <c r="AH47" s="156" t="str">
        <f t="shared" si="6"/>
        <v/>
      </c>
      <c r="AI47" s="156" t="str">
        <f t="shared" si="7"/>
        <v/>
      </c>
      <c r="AK47" s="156">
        <v>38</v>
      </c>
      <c r="AM47" s="156" t="str">
        <f t="array" ref="AM47">IFERROR(INDEX($AK$10:$AK$258, MATCH(0, IF(TRUE=$AH$10:$AH$258, COUNTIF($AM$9:$AM46, $AK$10:$AK$258), ""), 0)),"")</f>
        <v/>
      </c>
      <c r="AN47" s="156" t="str">
        <f t="array" ref="AN47">IFERROR(INDEX($AK$10:$AK$258, MATCH(0, IF(TRUE=$AI$10:$AI$258, COUNTIF($AN$9:$AN46, $AK$10:$AK$258), ""), 0)),"")</f>
        <v/>
      </c>
    </row>
    <row r="48" spans="3:40" ht="14" x14ac:dyDescent="0.3">
      <c r="C48" s="141">
        <v>39</v>
      </c>
      <c r="D48" s="462"/>
      <c r="E48" s="153"/>
      <c r="F48" s="498" t="str">
        <f>IF(D48="","",VLOOKUP(D48,'G-7 Rivers Data'!$B$2:$G$8,2,FALSE))</f>
        <v/>
      </c>
      <c r="G48" s="499" t="str">
        <f>IFERROR(VLOOKUP(F48,'G-7 Rivers Data'!$C$4:$D$8,2,FALSE),"")</f>
        <v/>
      </c>
      <c r="H48" s="145"/>
      <c r="I48" s="499" t="str">
        <f>IFERROR(INDEX('G-7 Rivers Data'!$H$4:$L$8,MATCH(D48,'G-7 Rivers Data'!$B$4:$B$8,0),MATCH(H48,'G-7 Rivers Data'!$H$3:$L$3,0)),"")</f>
        <v/>
      </c>
      <c r="J48" s="154"/>
      <c r="K48" s="520" t="str">
        <f>IF(J48="","",IF(VLOOKUP(J48,'G-7 Rivers Data'!$AK$4:$AM$9,2,FALSE)=0,"Spatial Data Missing ⚠",VLOOKUP(J48,'G-7 Rivers Data'!$AK$4:$AM$9,2,FALSE)))</f>
        <v/>
      </c>
      <c r="L48" s="524" t="str">
        <f>IF(J48="","",IF(VLOOKUP(J48,'G-7 Rivers Data'!$AK$4:$AM$9,3,FALSE)=0,"Spatial Data Missing ⚠",VLOOKUP(J48,'G-7 Rivers Data'!$AK$4:$AM$9,3,FALSE)))</f>
        <v/>
      </c>
      <c r="M48" s="71"/>
      <c r="N48" s="499" t="str">
        <f>IF(M48="","",IF(VLOOKUP(M48,'G-7 Rivers Data'!$AA$4:$AB$7,2,FALSE)=0,"Spatial Data Missing ⚠",VLOOKUP(M48,'G-7 Rivers Data'!$AA$4:$AB$7,2,FALSE)))</f>
        <v/>
      </c>
      <c r="O48" s="155"/>
      <c r="P48" s="499" t="str">
        <f>IF(O48="","",IF(VLOOKUP(O48,'G-7 Rivers Data'!$AD$4:$AE$8,2,FALSE)=0,"Spatial Data Missing ⚠",VLOOKUP(O48,'G-7 Rivers Data'!$AD$4:$AE$8,2,FALSE)))</f>
        <v/>
      </c>
      <c r="Q48" s="506" t="str">
        <f>IF(D48="","",VLOOKUP(D48,'G-7 Rivers Data'!$B$4:$G$8,6,FALSE))</f>
        <v/>
      </c>
      <c r="R48" s="513" t="str">
        <f t="shared" si="0"/>
        <v/>
      </c>
      <c r="S48" s="40"/>
      <c r="T48" s="145"/>
      <c r="U48" s="157"/>
      <c r="V48" s="511" t="str">
        <f t="shared" si="1"/>
        <v/>
      </c>
      <c r="W48" s="511" t="str">
        <f t="shared" si="2"/>
        <v/>
      </c>
      <c r="X48" s="511" t="str">
        <f t="shared" si="3"/>
        <v/>
      </c>
      <c r="Y48" s="515" t="str">
        <f t="shared" si="4"/>
        <v/>
      </c>
      <c r="Z48" s="151"/>
      <c r="AA48" s="152"/>
      <c r="AF48" s="31" t="str">
        <f>IFERROR(INDEX('G-7 Rivers Data'!$AZ$3:$AZ$7,MATCH(D48,'G-7 Rivers Data'!$AY$3:$AY$7,0)),"")</f>
        <v/>
      </c>
      <c r="AG48" s="31">
        <f t="shared" si="5"/>
        <v>0</v>
      </c>
      <c r="AH48" s="156" t="str">
        <f t="shared" si="6"/>
        <v/>
      </c>
      <c r="AI48" s="156" t="str">
        <f t="shared" si="7"/>
        <v/>
      </c>
      <c r="AK48" s="156">
        <v>39</v>
      </c>
      <c r="AM48" s="156" t="str">
        <f t="array" ref="AM48">IFERROR(INDEX($AK$10:$AK$258, MATCH(0, IF(TRUE=$AH$10:$AH$258, COUNTIF($AM$9:$AM47, $AK$10:$AK$258), ""), 0)),"")</f>
        <v/>
      </c>
      <c r="AN48" s="156" t="str">
        <f t="array" ref="AN48">IFERROR(INDEX($AK$10:$AK$258, MATCH(0, IF(TRUE=$AI$10:$AI$258, COUNTIF($AN$9:$AN47, $AK$10:$AK$258), ""), 0)),"")</f>
        <v/>
      </c>
    </row>
    <row r="49" spans="3:40" ht="14" x14ac:dyDescent="0.3">
      <c r="C49" s="141">
        <v>40</v>
      </c>
      <c r="D49" s="462"/>
      <c r="E49" s="153"/>
      <c r="F49" s="498" t="str">
        <f>IF(D49="","",VLOOKUP(D49,'G-7 Rivers Data'!$B$2:$G$8,2,FALSE))</f>
        <v/>
      </c>
      <c r="G49" s="499" t="str">
        <f>IFERROR(VLOOKUP(F49,'G-7 Rivers Data'!$C$4:$D$8,2,FALSE),"")</f>
        <v/>
      </c>
      <c r="H49" s="145"/>
      <c r="I49" s="499" t="str">
        <f>IFERROR(INDEX('G-7 Rivers Data'!$H$4:$L$8,MATCH(D49,'G-7 Rivers Data'!$B$4:$B$8,0),MATCH(H49,'G-7 Rivers Data'!$H$3:$L$3,0)),"")</f>
        <v/>
      </c>
      <c r="J49" s="154"/>
      <c r="K49" s="520" t="str">
        <f>IF(J49="","",IF(VLOOKUP(J49,'G-7 Rivers Data'!$AK$4:$AM$9,2,FALSE)=0,"Spatial Data Missing ⚠",VLOOKUP(J49,'G-7 Rivers Data'!$AK$4:$AM$9,2,FALSE)))</f>
        <v/>
      </c>
      <c r="L49" s="524" t="str">
        <f>IF(J49="","",IF(VLOOKUP(J49,'G-7 Rivers Data'!$AK$4:$AM$9,3,FALSE)=0,"Spatial Data Missing ⚠",VLOOKUP(J49,'G-7 Rivers Data'!$AK$4:$AM$9,3,FALSE)))</f>
        <v/>
      </c>
      <c r="M49" s="71"/>
      <c r="N49" s="499" t="str">
        <f>IF(M49="","",IF(VLOOKUP(M49,'G-7 Rivers Data'!$AA$4:$AB$7,2,FALSE)=0,"Spatial Data Missing ⚠",VLOOKUP(M49,'G-7 Rivers Data'!$AA$4:$AB$7,2,FALSE)))</f>
        <v/>
      </c>
      <c r="O49" s="155"/>
      <c r="P49" s="499" t="str">
        <f>IF(O49="","",IF(VLOOKUP(O49,'G-7 Rivers Data'!$AD$4:$AE$8,2,FALSE)=0,"Spatial Data Missing ⚠",VLOOKUP(O49,'G-7 Rivers Data'!$AD$4:$AE$8,2,FALSE)))</f>
        <v/>
      </c>
      <c r="Q49" s="506" t="str">
        <f>IF(D49="","",VLOOKUP(D49,'G-7 Rivers Data'!$B$4:$G$8,6,FALSE))</f>
        <v/>
      </c>
      <c r="R49" s="513" t="str">
        <f t="shared" si="0"/>
        <v/>
      </c>
      <c r="S49" s="40"/>
      <c r="T49" s="145"/>
      <c r="U49" s="157"/>
      <c r="V49" s="511" t="str">
        <f t="shared" si="1"/>
        <v/>
      </c>
      <c r="W49" s="511" t="str">
        <f t="shared" si="2"/>
        <v/>
      </c>
      <c r="X49" s="511" t="str">
        <f t="shared" si="3"/>
        <v/>
      </c>
      <c r="Y49" s="515" t="str">
        <f t="shared" si="4"/>
        <v/>
      </c>
      <c r="Z49" s="151"/>
      <c r="AA49" s="152"/>
      <c r="AF49" s="31" t="str">
        <f>IFERROR(INDEX('G-7 Rivers Data'!$AZ$3:$AZ$7,MATCH(D49,'G-7 Rivers Data'!$AY$3:$AY$7,0)),"")</f>
        <v/>
      </c>
      <c r="AG49" s="31">
        <f t="shared" si="5"/>
        <v>0</v>
      </c>
      <c r="AH49" s="156" t="str">
        <f t="shared" si="6"/>
        <v/>
      </c>
      <c r="AI49" s="156" t="str">
        <f t="shared" si="7"/>
        <v/>
      </c>
      <c r="AK49" s="156">
        <v>40</v>
      </c>
      <c r="AM49" s="156" t="str">
        <f t="array" ref="AM49">IFERROR(INDEX($AK$10:$AK$258, MATCH(0, IF(TRUE=$AH$10:$AH$258, COUNTIF($AM$9:$AM48, $AK$10:$AK$258), ""), 0)),"")</f>
        <v/>
      </c>
      <c r="AN49" s="156" t="str">
        <f t="array" ref="AN49">IFERROR(INDEX($AK$10:$AK$258, MATCH(0, IF(TRUE=$AI$10:$AI$258, COUNTIF($AN$9:$AN48, $AK$10:$AK$258), ""), 0)),"")</f>
        <v/>
      </c>
    </row>
    <row r="50" spans="3:40" ht="14" x14ac:dyDescent="0.3">
      <c r="C50" s="141">
        <v>41</v>
      </c>
      <c r="D50" s="462"/>
      <c r="E50" s="153"/>
      <c r="F50" s="498" t="str">
        <f>IF(D50="","",VLOOKUP(D50,'G-7 Rivers Data'!$B$2:$G$8,2,FALSE))</f>
        <v/>
      </c>
      <c r="G50" s="499" t="str">
        <f>IFERROR(VLOOKUP(F50,'G-7 Rivers Data'!$C$4:$D$8,2,FALSE),"")</f>
        <v/>
      </c>
      <c r="H50" s="145"/>
      <c r="I50" s="499" t="str">
        <f>IFERROR(INDEX('G-7 Rivers Data'!$H$4:$L$8,MATCH(D50,'G-7 Rivers Data'!$B$4:$B$8,0),MATCH(H50,'G-7 Rivers Data'!$H$3:$L$3,0)),"")</f>
        <v/>
      </c>
      <c r="J50" s="154"/>
      <c r="K50" s="520" t="str">
        <f>IF(J50="","",IF(VLOOKUP(J50,'G-7 Rivers Data'!$AK$4:$AM$9,2,FALSE)=0,"Spatial Data Missing ⚠",VLOOKUP(J50,'G-7 Rivers Data'!$AK$4:$AM$9,2,FALSE)))</f>
        <v/>
      </c>
      <c r="L50" s="524" t="str">
        <f>IF(J50="","",IF(VLOOKUP(J50,'G-7 Rivers Data'!$AK$4:$AM$9,3,FALSE)=0,"Spatial Data Missing ⚠",VLOOKUP(J50,'G-7 Rivers Data'!$AK$4:$AM$9,3,FALSE)))</f>
        <v/>
      </c>
      <c r="M50" s="71"/>
      <c r="N50" s="499" t="str">
        <f>IF(M50="","",IF(VLOOKUP(M50,'G-7 Rivers Data'!$AA$4:$AB$7,2,FALSE)=0,"Spatial Data Missing ⚠",VLOOKUP(M50,'G-7 Rivers Data'!$AA$4:$AB$7,2,FALSE)))</f>
        <v/>
      </c>
      <c r="O50" s="155"/>
      <c r="P50" s="499" t="str">
        <f>IF(O50="","",IF(VLOOKUP(O50,'G-7 Rivers Data'!$AD$4:$AE$8,2,FALSE)=0,"Spatial Data Missing ⚠",VLOOKUP(O50,'G-7 Rivers Data'!$AD$4:$AE$8,2,FALSE)))</f>
        <v/>
      </c>
      <c r="Q50" s="506" t="str">
        <f>IF(D50="","",VLOOKUP(D50,'G-7 Rivers Data'!$B$4:$G$8,6,FALSE))</f>
        <v/>
      </c>
      <c r="R50" s="513" t="str">
        <f t="shared" si="0"/>
        <v/>
      </c>
      <c r="S50" s="40"/>
      <c r="T50" s="145"/>
      <c r="U50" s="157"/>
      <c r="V50" s="511" t="str">
        <f t="shared" si="1"/>
        <v/>
      </c>
      <c r="W50" s="511" t="str">
        <f t="shared" si="2"/>
        <v/>
      </c>
      <c r="X50" s="511" t="str">
        <f t="shared" si="3"/>
        <v/>
      </c>
      <c r="Y50" s="515" t="str">
        <f t="shared" si="4"/>
        <v/>
      </c>
      <c r="Z50" s="151"/>
      <c r="AA50" s="152"/>
      <c r="AF50" s="31" t="str">
        <f>IFERROR(INDEX('G-7 Rivers Data'!$AZ$3:$AZ$7,MATCH(D50,'G-7 Rivers Data'!$AY$3:$AY$7,0)),"")</f>
        <v/>
      </c>
      <c r="AG50" s="31">
        <f t="shared" si="5"/>
        <v>0</v>
      </c>
      <c r="AH50" s="156" t="str">
        <f t="shared" si="6"/>
        <v/>
      </c>
      <c r="AI50" s="156" t="str">
        <f t="shared" si="7"/>
        <v/>
      </c>
      <c r="AK50" s="156">
        <v>41</v>
      </c>
      <c r="AM50" s="156" t="str">
        <f t="array" ref="AM50">IFERROR(INDEX($AK$10:$AK$258, MATCH(0, IF(TRUE=$AH$10:$AH$258, COUNTIF($AM$9:$AM49, $AK$10:$AK$258), ""), 0)),"")</f>
        <v/>
      </c>
      <c r="AN50" s="156" t="str">
        <f t="array" ref="AN50">IFERROR(INDEX($AK$10:$AK$258, MATCH(0, IF(TRUE=$AI$10:$AI$258, COUNTIF($AN$9:$AN49, $AK$10:$AK$258), ""), 0)),"")</f>
        <v/>
      </c>
    </row>
    <row r="51" spans="3:40" ht="14" x14ac:dyDescent="0.3">
      <c r="C51" s="141">
        <v>42</v>
      </c>
      <c r="D51" s="462"/>
      <c r="E51" s="153"/>
      <c r="F51" s="498" t="str">
        <f>IF(D51="","",VLOOKUP(D51,'G-7 Rivers Data'!$B$2:$G$8,2,FALSE))</f>
        <v/>
      </c>
      <c r="G51" s="499" t="str">
        <f>IFERROR(VLOOKUP(F51,'G-7 Rivers Data'!$C$4:$D$8,2,FALSE),"")</f>
        <v/>
      </c>
      <c r="H51" s="145"/>
      <c r="I51" s="499" t="str">
        <f>IFERROR(INDEX('G-7 Rivers Data'!$H$4:$L$8,MATCH(D51,'G-7 Rivers Data'!$B$4:$B$8,0),MATCH(H51,'G-7 Rivers Data'!$H$3:$L$3,0)),"")</f>
        <v/>
      </c>
      <c r="J51" s="154"/>
      <c r="K51" s="520" t="str">
        <f>IF(J51="","",IF(VLOOKUP(J51,'G-7 Rivers Data'!$AK$4:$AM$9,2,FALSE)=0,"Spatial Data Missing ⚠",VLOOKUP(J51,'G-7 Rivers Data'!$AK$4:$AM$9,2,FALSE)))</f>
        <v/>
      </c>
      <c r="L51" s="524" t="str">
        <f>IF(J51="","",IF(VLOOKUP(J51,'G-7 Rivers Data'!$AK$4:$AM$9,3,FALSE)=0,"Spatial Data Missing ⚠",VLOOKUP(J51,'G-7 Rivers Data'!$AK$4:$AM$9,3,FALSE)))</f>
        <v/>
      </c>
      <c r="M51" s="71"/>
      <c r="N51" s="499" t="str">
        <f>IF(M51="","",IF(VLOOKUP(M51,'G-7 Rivers Data'!$AA$4:$AB$7,2,FALSE)=0,"Spatial Data Missing ⚠",VLOOKUP(M51,'G-7 Rivers Data'!$AA$4:$AB$7,2,FALSE)))</f>
        <v/>
      </c>
      <c r="O51" s="155"/>
      <c r="P51" s="499" t="str">
        <f>IF(O51="","",IF(VLOOKUP(O51,'G-7 Rivers Data'!$AD$4:$AE$8,2,FALSE)=0,"Spatial Data Missing ⚠",VLOOKUP(O51,'G-7 Rivers Data'!$AD$4:$AE$8,2,FALSE)))</f>
        <v/>
      </c>
      <c r="Q51" s="506" t="str">
        <f>IF(D51="","",VLOOKUP(D51,'G-7 Rivers Data'!$B$4:$G$8,6,FALSE))</f>
        <v/>
      </c>
      <c r="R51" s="513" t="str">
        <f t="shared" si="0"/>
        <v/>
      </c>
      <c r="S51" s="40"/>
      <c r="T51" s="145"/>
      <c r="U51" s="157"/>
      <c r="V51" s="511" t="str">
        <f t="shared" si="1"/>
        <v/>
      </c>
      <c r="W51" s="511" t="str">
        <f t="shared" si="2"/>
        <v/>
      </c>
      <c r="X51" s="511" t="str">
        <f t="shared" si="3"/>
        <v/>
      </c>
      <c r="Y51" s="515" t="str">
        <f t="shared" si="4"/>
        <v/>
      </c>
      <c r="Z51" s="151"/>
      <c r="AA51" s="152"/>
      <c r="AF51" s="31" t="str">
        <f>IFERROR(INDEX('G-7 Rivers Data'!$AZ$3:$AZ$7,MATCH(D51,'G-7 Rivers Data'!$AY$3:$AY$7,0)),"")</f>
        <v/>
      </c>
      <c r="AG51" s="31">
        <f t="shared" si="5"/>
        <v>0</v>
      </c>
      <c r="AH51" s="156" t="str">
        <f t="shared" si="6"/>
        <v/>
      </c>
      <c r="AI51" s="156" t="str">
        <f t="shared" si="7"/>
        <v/>
      </c>
      <c r="AK51" s="156">
        <v>42</v>
      </c>
      <c r="AM51" s="156" t="str">
        <f t="array" ref="AM51">IFERROR(INDEX($AK$10:$AK$258, MATCH(0, IF(TRUE=$AH$10:$AH$258, COUNTIF($AM$9:$AM50, $AK$10:$AK$258), ""), 0)),"")</f>
        <v/>
      </c>
      <c r="AN51" s="156" t="str">
        <f t="array" ref="AN51">IFERROR(INDEX($AK$10:$AK$258, MATCH(0, IF(TRUE=$AI$10:$AI$258, COUNTIF($AN$9:$AN50, $AK$10:$AK$258), ""), 0)),"")</f>
        <v/>
      </c>
    </row>
    <row r="52" spans="3:40" ht="14" x14ac:dyDescent="0.3">
      <c r="C52" s="141">
        <v>43</v>
      </c>
      <c r="D52" s="462"/>
      <c r="E52" s="153"/>
      <c r="F52" s="498" t="str">
        <f>IF(D52="","",VLOOKUP(D52,'G-7 Rivers Data'!$B$2:$G$8,2,FALSE))</f>
        <v/>
      </c>
      <c r="G52" s="499" t="str">
        <f>IFERROR(VLOOKUP(F52,'G-7 Rivers Data'!$C$4:$D$8,2,FALSE),"")</f>
        <v/>
      </c>
      <c r="H52" s="145"/>
      <c r="I52" s="499" t="str">
        <f>IFERROR(INDEX('G-7 Rivers Data'!$H$4:$L$8,MATCH(D52,'G-7 Rivers Data'!$B$4:$B$8,0),MATCH(H52,'G-7 Rivers Data'!$H$3:$L$3,0)),"")</f>
        <v/>
      </c>
      <c r="J52" s="154"/>
      <c r="K52" s="520" t="str">
        <f>IF(J52="","",IF(VLOOKUP(J52,'G-7 Rivers Data'!$AK$4:$AM$9,2,FALSE)=0,"Spatial Data Missing ⚠",VLOOKUP(J52,'G-7 Rivers Data'!$AK$4:$AM$9,2,FALSE)))</f>
        <v/>
      </c>
      <c r="L52" s="524" t="str">
        <f>IF(J52="","",IF(VLOOKUP(J52,'G-7 Rivers Data'!$AK$4:$AM$9,3,FALSE)=0,"Spatial Data Missing ⚠",VLOOKUP(J52,'G-7 Rivers Data'!$AK$4:$AM$9,3,FALSE)))</f>
        <v/>
      </c>
      <c r="M52" s="71"/>
      <c r="N52" s="499" t="str">
        <f>IF(M52="","",IF(VLOOKUP(M52,'G-7 Rivers Data'!$AA$4:$AB$7,2,FALSE)=0,"Spatial Data Missing ⚠",VLOOKUP(M52,'G-7 Rivers Data'!$AA$4:$AB$7,2,FALSE)))</f>
        <v/>
      </c>
      <c r="O52" s="155"/>
      <c r="P52" s="499" t="str">
        <f>IF(O52="","",IF(VLOOKUP(O52,'G-7 Rivers Data'!$AD$4:$AE$8,2,FALSE)=0,"Spatial Data Missing ⚠",VLOOKUP(O52,'G-7 Rivers Data'!$AD$4:$AE$8,2,FALSE)))</f>
        <v/>
      </c>
      <c r="Q52" s="506" t="str">
        <f>IF(D52="","",VLOOKUP(D52,'G-7 Rivers Data'!$B$4:$G$8,6,FALSE))</f>
        <v/>
      </c>
      <c r="R52" s="513" t="str">
        <f t="shared" si="0"/>
        <v/>
      </c>
      <c r="S52" s="40"/>
      <c r="T52" s="145"/>
      <c r="U52" s="157"/>
      <c r="V52" s="511" t="str">
        <f t="shared" si="1"/>
        <v/>
      </c>
      <c r="W52" s="511" t="str">
        <f t="shared" si="2"/>
        <v/>
      </c>
      <c r="X52" s="511" t="str">
        <f t="shared" si="3"/>
        <v/>
      </c>
      <c r="Y52" s="515" t="str">
        <f t="shared" si="4"/>
        <v/>
      </c>
      <c r="Z52" s="151"/>
      <c r="AA52" s="152"/>
      <c r="AF52" s="31" t="str">
        <f>IFERROR(INDEX('G-7 Rivers Data'!$AZ$3:$AZ$7,MATCH(D52,'G-7 Rivers Data'!$AY$3:$AY$7,0)),"")</f>
        <v/>
      </c>
      <c r="AG52" s="31">
        <f t="shared" si="5"/>
        <v>0</v>
      </c>
      <c r="AH52" s="156" t="str">
        <f t="shared" si="6"/>
        <v/>
      </c>
      <c r="AI52" s="156" t="str">
        <f t="shared" si="7"/>
        <v/>
      </c>
      <c r="AK52" s="156">
        <v>43</v>
      </c>
      <c r="AM52" s="156" t="str">
        <f t="array" ref="AM52">IFERROR(INDEX($AK$10:$AK$258, MATCH(0, IF(TRUE=$AH$10:$AH$258, COUNTIF($AM$9:$AM51, $AK$10:$AK$258), ""), 0)),"")</f>
        <v/>
      </c>
      <c r="AN52" s="156" t="str">
        <f t="array" ref="AN52">IFERROR(INDEX($AK$10:$AK$258, MATCH(0, IF(TRUE=$AI$10:$AI$258, COUNTIF($AN$9:$AN51, $AK$10:$AK$258), ""), 0)),"")</f>
        <v/>
      </c>
    </row>
    <row r="53" spans="3:40" ht="14" x14ac:dyDescent="0.3">
      <c r="C53" s="141">
        <v>44</v>
      </c>
      <c r="D53" s="462"/>
      <c r="E53" s="153"/>
      <c r="F53" s="498" t="str">
        <f>IF(D53="","",VLOOKUP(D53,'G-7 Rivers Data'!$B$2:$G$8,2,FALSE))</f>
        <v/>
      </c>
      <c r="G53" s="499" t="str">
        <f>IFERROR(VLOOKUP(F53,'G-7 Rivers Data'!$C$4:$D$8,2,FALSE),"")</f>
        <v/>
      </c>
      <c r="H53" s="145"/>
      <c r="I53" s="499" t="str">
        <f>IFERROR(INDEX('G-7 Rivers Data'!$H$4:$L$8,MATCH(D53,'G-7 Rivers Data'!$B$4:$B$8,0),MATCH(H53,'G-7 Rivers Data'!$H$3:$L$3,0)),"")</f>
        <v/>
      </c>
      <c r="J53" s="154"/>
      <c r="K53" s="520" t="str">
        <f>IF(J53="","",IF(VLOOKUP(J53,'G-7 Rivers Data'!$AK$4:$AM$9,2,FALSE)=0,"Spatial Data Missing ⚠",VLOOKUP(J53,'G-7 Rivers Data'!$AK$4:$AM$9,2,FALSE)))</f>
        <v/>
      </c>
      <c r="L53" s="524" t="str">
        <f>IF(J53="","",IF(VLOOKUP(J53,'G-7 Rivers Data'!$AK$4:$AM$9,3,FALSE)=0,"Spatial Data Missing ⚠",VLOOKUP(J53,'G-7 Rivers Data'!$AK$4:$AM$9,3,FALSE)))</f>
        <v/>
      </c>
      <c r="M53" s="71"/>
      <c r="N53" s="499" t="str">
        <f>IF(M53="","",IF(VLOOKUP(M53,'G-7 Rivers Data'!$AA$4:$AB$7,2,FALSE)=0,"Spatial Data Missing ⚠",VLOOKUP(M53,'G-7 Rivers Data'!$AA$4:$AB$7,2,FALSE)))</f>
        <v/>
      </c>
      <c r="O53" s="155"/>
      <c r="P53" s="499" t="str">
        <f>IF(O53="","",IF(VLOOKUP(O53,'G-7 Rivers Data'!$AD$4:$AE$8,2,FALSE)=0,"Spatial Data Missing ⚠",VLOOKUP(O53,'G-7 Rivers Data'!$AD$4:$AE$8,2,FALSE)))</f>
        <v/>
      </c>
      <c r="Q53" s="506" t="str">
        <f>IF(D53="","",VLOOKUP(D53,'G-7 Rivers Data'!$B$4:$G$8,6,FALSE))</f>
        <v/>
      </c>
      <c r="R53" s="513" t="str">
        <f t="shared" si="0"/>
        <v/>
      </c>
      <c r="S53" s="40"/>
      <c r="T53" s="145"/>
      <c r="U53" s="157"/>
      <c r="V53" s="511" t="str">
        <f t="shared" si="1"/>
        <v/>
      </c>
      <c r="W53" s="511" t="str">
        <f t="shared" si="2"/>
        <v/>
      </c>
      <c r="X53" s="511" t="str">
        <f t="shared" si="3"/>
        <v/>
      </c>
      <c r="Y53" s="515" t="str">
        <f t="shared" si="4"/>
        <v/>
      </c>
      <c r="Z53" s="151"/>
      <c r="AA53" s="152"/>
      <c r="AF53" s="31" t="str">
        <f>IFERROR(INDEX('G-7 Rivers Data'!$AZ$3:$AZ$7,MATCH(D53,'G-7 Rivers Data'!$AY$3:$AY$7,0)),"")</f>
        <v/>
      </c>
      <c r="AG53" s="31">
        <f t="shared" si="5"/>
        <v>0</v>
      </c>
      <c r="AH53" s="156" t="str">
        <f t="shared" si="6"/>
        <v/>
      </c>
      <c r="AI53" s="156" t="str">
        <f t="shared" si="7"/>
        <v/>
      </c>
      <c r="AK53" s="156">
        <v>44</v>
      </c>
      <c r="AM53" s="156" t="str">
        <f t="array" ref="AM53">IFERROR(INDEX($AK$10:$AK$258, MATCH(0, IF(TRUE=$AH$10:$AH$258, COUNTIF($AM$9:$AM52, $AK$10:$AK$258), ""), 0)),"")</f>
        <v/>
      </c>
      <c r="AN53" s="156" t="str">
        <f t="array" ref="AN53">IFERROR(INDEX($AK$10:$AK$258, MATCH(0, IF(TRUE=$AI$10:$AI$258, COUNTIF($AN$9:$AN52, $AK$10:$AK$258), ""), 0)),"")</f>
        <v/>
      </c>
    </row>
    <row r="54" spans="3:40" ht="14" x14ac:dyDescent="0.3">
      <c r="C54" s="141">
        <v>45</v>
      </c>
      <c r="D54" s="462"/>
      <c r="E54" s="153"/>
      <c r="F54" s="498" t="str">
        <f>IF(D54="","",VLOOKUP(D54,'G-7 Rivers Data'!$B$2:$G$8,2,FALSE))</f>
        <v/>
      </c>
      <c r="G54" s="499" t="str">
        <f>IFERROR(VLOOKUP(F54,'G-7 Rivers Data'!$C$4:$D$8,2,FALSE),"")</f>
        <v/>
      </c>
      <c r="H54" s="145"/>
      <c r="I54" s="499" t="str">
        <f>IFERROR(INDEX('G-7 Rivers Data'!$H$4:$L$8,MATCH(D54,'G-7 Rivers Data'!$B$4:$B$8,0),MATCH(H54,'G-7 Rivers Data'!$H$3:$L$3,0)),"")</f>
        <v/>
      </c>
      <c r="J54" s="154"/>
      <c r="K54" s="520" t="str">
        <f>IF(J54="","",IF(VLOOKUP(J54,'G-7 Rivers Data'!$AK$4:$AM$9,2,FALSE)=0,"Spatial Data Missing ⚠",VLOOKUP(J54,'G-7 Rivers Data'!$AK$4:$AM$9,2,FALSE)))</f>
        <v/>
      </c>
      <c r="L54" s="524" t="str">
        <f>IF(J54="","",IF(VLOOKUP(J54,'G-7 Rivers Data'!$AK$4:$AM$9,3,FALSE)=0,"Spatial Data Missing ⚠",VLOOKUP(J54,'G-7 Rivers Data'!$AK$4:$AM$9,3,FALSE)))</f>
        <v/>
      </c>
      <c r="M54" s="71"/>
      <c r="N54" s="499" t="str">
        <f>IF(M54="","",IF(VLOOKUP(M54,'G-7 Rivers Data'!$AA$4:$AB$7,2,FALSE)=0,"Spatial Data Missing ⚠",VLOOKUP(M54,'G-7 Rivers Data'!$AA$4:$AB$7,2,FALSE)))</f>
        <v/>
      </c>
      <c r="O54" s="155"/>
      <c r="P54" s="499" t="str">
        <f>IF(O54="","",IF(VLOOKUP(O54,'G-7 Rivers Data'!$AD$4:$AE$8,2,FALSE)=0,"Spatial Data Missing ⚠",VLOOKUP(O54,'G-7 Rivers Data'!$AD$4:$AE$8,2,FALSE)))</f>
        <v/>
      </c>
      <c r="Q54" s="506" t="str">
        <f>IF(D54="","",VLOOKUP(D54,'G-7 Rivers Data'!$B$4:$G$8,6,FALSE))</f>
        <v/>
      </c>
      <c r="R54" s="513" t="str">
        <f t="shared" si="0"/>
        <v/>
      </c>
      <c r="S54" s="40"/>
      <c r="T54" s="145"/>
      <c r="U54" s="157"/>
      <c r="V54" s="511" t="str">
        <f t="shared" si="1"/>
        <v/>
      </c>
      <c r="W54" s="511" t="str">
        <f t="shared" si="2"/>
        <v/>
      </c>
      <c r="X54" s="511" t="str">
        <f t="shared" si="3"/>
        <v/>
      </c>
      <c r="Y54" s="515" t="str">
        <f t="shared" si="4"/>
        <v/>
      </c>
      <c r="Z54" s="151"/>
      <c r="AA54" s="152"/>
      <c r="AF54" s="31" t="str">
        <f>IFERROR(INDEX('G-7 Rivers Data'!$AZ$3:$AZ$7,MATCH(D54,'G-7 Rivers Data'!$AY$3:$AY$7,0)),"")</f>
        <v/>
      </c>
      <c r="AG54" s="31">
        <f t="shared" si="5"/>
        <v>0</v>
      </c>
      <c r="AH54" s="156" t="str">
        <f t="shared" si="6"/>
        <v/>
      </c>
      <c r="AI54" s="156" t="str">
        <f t="shared" si="7"/>
        <v/>
      </c>
      <c r="AK54" s="156">
        <v>45</v>
      </c>
      <c r="AM54" s="156" t="str">
        <f t="array" ref="AM54">IFERROR(INDEX($AK$10:$AK$258, MATCH(0, IF(TRUE=$AH$10:$AH$258, COUNTIF($AM$9:$AM53, $AK$10:$AK$258), ""), 0)),"")</f>
        <v/>
      </c>
      <c r="AN54" s="156" t="str">
        <f t="array" ref="AN54">IFERROR(INDEX($AK$10:$AK$258, MATCH(0, IF(TRUE=$AI$10:$AI$258, COUNTIF($AN$9:$AN53, $AK$10:$AK$258), ""), 0)),"")</f>
        <v/>
      </c>
    </row>
    <row r="55" spans="3:40" ht="14" x14ac:dyDescent="0.3">
      <c r="C55" s="141">
        <v>46</v>
      </c>
      <c r="D55" s="462"/>
      <c r="E55" s="153"/>
      <c r="F55" s="498" t="str">
        <f>IF(D55="","",VLOOKUP(D55,'G-7 Rivers Data'!$B$2:$G$8,2,FALSE))</f>
        <v/>
      </c>
      <c r="G55" s="499" t="str">
        <f>IFERROR(VLOOKUP(F55,'G-7 Rivers Data'!$C$4:$D$8,2,FALSE),"")</f>
        <v/>
      </c>
      <c r="H55" s="145"/>
      <c r="I55" s="499" t="str">
        <f>IFERROR(INDEX('G-7 Rivers Data'!$H$4:$L$8,MATCH(D55,'G-7 Rivers Data'!$B$4:$B$8,0),MATCH(H55,'G-7 Rivers Data'!$H$3:$L$3,0)),"")</f>
        <v/>
      </c>
      <c r="J55" s="154"/>
      <c r="K55" s="520" t="str">
        <f>IF(J55="","",IF(VLOOKUP(J55,'G-7 Rivers Data'!$AK$4:$AM$9,2,FALSE)=0,"Spatial Data Missing ⚠",VLOOKUP(J55,'G-7 Rivers Data'!$AK$4:$AM$9,2,FALSE)))</f>
        <v/>
      </c>
      <c r="L55" s="524" t="str">
        <f>IF(J55="","",IF(VLOOKUP(J55,'G-7 Rivers Data'!$AK$4:$AM$9,3,FALSE)=0,"Spatial Data Missing ⚠",VLOOKUP(J55,'G-7 Rivers Data'!$AK$4:$AM$9,3,FALSE)))</f>
        <v/>
      </c>
      <c r="M55" s="71"/>
      <c r="N55" s="499" t="str">
        <f>IF(M55="","",IF(VLOOKUP(M55,'G-7 Rivers Data'!$AA$4:$AB$7,2,FALSE)=0,"Spatial Data Missing ⚠",VLOOKUP(M55,'G-7 Rivers Data'!$AA$4:$AB$7,2,FALSE)))</f>
        <v/>
      </c>
      <c r="O55" s="155"/>
      <c r="P55" s="499" t="str">
        <f>IF(O55="","",IF(VLOOKUP(O55,'G-7 Rivers Data'!$AD$4:$AE$8,2,FALSE)=0,"Spatial Data Missing ⚠",VLOOKUP(O55,'G-7 Rivers Data'!$AD$4:$AE$8,2,FALSE)))</f>
        <v/>
      </c>
      <c r="Q55" s="506" t="str">
        <f>IF(D55="","",VLOOKUP(D55,'G-7 Rivers Data'!$B$4:$G$8,6,FALSE))</f>
        <v/>
      </c>
      <c r="R55" s="513" t="str">
        <f t="shared" si="0"/>
        <v/>
      </c>
      <c r="S55" s="40"/>
      <c r="T55" s="145"/>
      <c r="U55" s="157"/>
      <c r="V55" s="511" t="str">
        <f t="shared" si="1"/>
        <v/>
      </c>
      <c r="W55" s="511" t="str">
        <f t="shared" si="2"/>
        <v/>
      </c>
      <c r="X55" s="511" t="str">
        <f t="shared" si="3"/>
        <v/>
      </c>
      <c r="Y55" s="515" t="str">
        <f t="shared" si="4"/>
        <v/>
      </c>
      <c r="Z55" s="151"/>
      <c r="AA55" s="152"/>
      <c r="AF55" s="31" t="str">
        <f>IFERROR(INDEX('G-7 Rivers Data'!$AZ$3:$AZ$7,MATCH(D55,'G-7 Rivers Data'!$AY$3:$AY$7,0)),"")</f>
        <v/>
      </c>
      <c r="AG55" s="31">
        <f t="shared" si="5"/>
        <v>0</v>
      </c>
      <c r="AH55" s="156" t="str">
        <f t="shared" si="6"/>
        <v/>
      </c>
      <c r="AI55" s="156" t="str">
        <f t="shared" si="7"/>
        <v/>
      </c>
      <c r="AK55" s="156">
        <v>46</v>
      </c>
      <c r="AM55" s="156" t="str">
        <f t="array" ref="AM55">IFERROR(INDEX($AK$10:$AK$258, MATCH(0, IF(TRUE=$AH$10:$AH$258, COUNTIF($AM$9:$AM54, $AK$10:$AK$258), ""), 0)),"")</f>
        <v/>
      </c>
      <c r="AN55" s="156" t="str">
        <f t="array" ref="AN55">IFERROR(INDEX($AK$10:$AK$258, MATCH(0, IF(TRUE=$AI$10:$AI$258, COUNTIF($AN$9:$AN54, $AK$10:$AK$258), ""), 0)),"")</f>
        <v/>
      </c>
    </row>
    <row r="56" spans="3:40" ht="14" x14ac:dyDescent="0.3">
      <c r="C56" s="141">
        <v>47</v>
      </c>
      <c r="D56" s="462"/>
      <c r="E56" s="153"/>
      <c r="F56" s="498" t="str">
        <f>IF(D56="","",VLOOKUP(D56,'G-7 Rivers Data'!$B$2:$G$8,2,FALSE))</f>
        <v/>
      </c>
      <c r="G56" s="499" t="str">
        <f>IFERROR(VLOOKUP(F56,'G-7 Rivers Data'!$C$4:$D$8,2,FALSE),"")</f>
        <v/>
      </c>
      <c r="H56" s="145"/>
      <c r="I56" s="499" t="str">
        <f>IFERROR(INDEX('G-7 Rivers Data'!$H$4:$L$8,MATCH(D56,'G-7 Rivers Data'!$B$4:$B$8,0),MATCH(H56,'G-7 Rivers Data'!$H$3:$L$3,0)),"")</f>
        <v/>
      </c>
      <c r="J56" s="154"/>
      <c r="K56" s="520" t="str">
        <f>IF(J56="","",IF(VLOOKUP(J56,'G-7 Rivers Data'!$AK$4:$AM$9,2,FALSE)=0,"Spatial Data Missing ⚠",VLOOKUP(J56,'G-7 Rivers Data'!$AK$4:$AM$9,2,FALSE)))</f>
        <v/>
      </c>
      <c r="L56" s="524" t="str">
        <f>IF(J56="","",IF(VLOOKUP(J56,'G-7 Rivers Data'!$AK$4:$AM$9,3,FALSE)=0,"Spatial Data Missing ⚠",VLOOKUP(J56,'G-7 Rivers Data'!$AK$4:$AM$9,3,FALSE)))</f>
        <v/>
      </c>
      <c r="M56" s="71"/>
      <c r="N56" s="499" t="str">
        <f>IF(M56="","",IF(VLOOKUP(M56,'G-7 Rivers Data'!$AA$4:$AB$7,2,FALSE)=0,"Spatial Data Missing ⚠",VLOOKUP(M56,'G-7 Rivers Data'!$AA$4:$AB$7,2,FALSE)))</f>
        <v/>
      </c>
      <c r="O56" s="155"/>
      <c r="P56" s="499" t="str">
        <f>IF(O56="","",IF(VLOOKUP(O56,'G-7 Rivers Data'!$AD$4:$AE$8,2,FALSE)=0,"Spatial Data Missing ⚠",VLOOKUP(O56,'G-7 Rivers Data'!$AD$4:$AE$8,2,FALSE)))</f>
        <v/>
      </c>
      <c r="Q56" s="506" t="str">
        <f>IF(D56="","",VLOOKUP(D56,'G-7 Rivers Data'!$B$4:$G$8,6,FALSE))</f>
        <v/>
      </c>
      <c r="R56" s="513" t="str">
        <f t="shared" si="0"/>
        <v/>
      </c>
      <c r="S56" s="40"/>
      <c r="T56" s="145"/>
      <c r="U56" s="157"/>
      <c r="V56" s="511" t="str">
        <f t="shared" si="1"/>
        <v/>
      </c>
      <c r="W56" s="511" t="str">
        <f t="shared" si="2"/>
        <v/>
      </c>
      <c r="X56" s="511" t="str">
        <f t="shared" si="3"/>
        <v/>
      </c>
      <c r="Y56" s="515" t="str">
        <f t="shared" si="4"/>
        <v/>
      </c>
      <c r="Z56" s="151"/>
      <c r="AA56" s="152"/>
      <c r="AF56" s="31" t="str">
        <f>IFERROR(INDEX('G-7 Rivers Data'!$AZ$3:$AZ$7,MATCH(D56,'G-7 Rivers Data'!$AY$3:$AY$7,0)),"")</f>
        <v/>
      </c>
      <c r="AG56" s="31">
        <f t="shared" si="5"/>
        <v>0</v>
      </c>
      <c r="AH56" s="156" t="str">
        <f t="shared" si="6"/>
        <v/>
      </c>
      <c r="AI56" s="156" t="str">
        <f t="shared" si="7"/>
        <v/>
      </c>
      <c r="AK56" s="156">
        <v>47</v>
      </c>
      <c r="AM56" s="156" t="str">
        <f t="array" ref="AM56">IFERROR(INDEX($AK$10:$AK$258, MATCH(0, IF(TRUE=$AH$10:$AH$258, COUNTIF($AM$9:$AM55, $AK$10:$AK$258), ""), 0)),"")</f>
        <v/>
      </c>
      <c r="AN56" s="156" t="str">
        <f t="array" ref="AN56">IFERROR(INDEX($AK$10:$AK$258, MATCH(0, IF(TRUE=$AI$10:$AI$258, COUNTIF($AN$9:$AN55, $AK$10:$AK$258), ""), 0)),"")</f>
        <v/>
      </c>
    </row>
    <row r="57" spans="3:40" ht="14" x14ac:dyDescent="0.3">
      <c r="C57" s="141">
        <v>48</v>
      </c>
      <c r="D57" s="462"/>
      <c r="E57" s="153"/>
      <c r="F57" s="498" t="str">
        <f>IF(D57="","",VLOOKUP(D57,'G-7 Rivers Data'!$B$2:$G$8,2,FALSE))</f>
        <v/>
      </c>
      <c r="G57" s="499" t="str">
        <f>IFERROR(VLOOKUP(F57,'G-7 Rivers Data'!$C$4:$D$8,2,FALSE),"")</f>
        <v/>
      </c>
      <c r="H57" s="145"/>
      <c r="I57" s="499" t="str">
        <f>IFERROR(INDEX('G-7 Rivers Data'!$H$4:$L$8,MATCH(D57,'G-7 Rivers Data'!$B$4:$B$8,0),MATCH(H57,'G-7 Rivers Data'!$H$3:$L$3,0)),"")</f>
        <v/>
      </c>
      <c r="J57" s="154"/>
      <c r="K57" s="520" t="str">
        <f>IF(J57="","",IF(VLOOKUP(J57,'G-7 Rivers Data'!$AK$4:$AM$9,2,FALSE)=0,"Spatial Data Missing ⚠",VLOOKUP(J57,'G-7 Rivers Data'!$AK$4:$AM$9,2,FALSE)))</f>
        <v/>
      </c>
      <c r="L57" s="524" t="str">
        <f>IF(J57="","",IF(VLOOKUP(J57,'G-7 Rivers Data'!$AK$4:$AM$9,3,FALSE)=0,"Spatial Data Missing ⚠",VLOOKUP(J57,'G-7 Rivers Data'!$AK$4:$AM$9,3,FALSE)))</f>
        <v/>
      </c>
      <c r="M57" s="71"/>
      <c r="N57" s="499" t="str">
        <f>IF(M57="","",IF(VLOOKUP(M57,'G-7 Rivers Data'!$AA$4:$AB$7,2,FALSE)=0,"Spatial Data Missing ⚠",VLOOKUP(M57,'G-7 Rivers Data'!$AA$4:$AB$7,2,FALSE)))</f>
        <v/>
      </c>
      <c r="O57" s="155"/>
      <c r="P57" s="499" t="str">
        <f>IF(O57="","",IF(VLOOKUP(O57,'G-7 Rivers Data'!$AD$4:$AE$8,2,FALSE)=0,"Spatial Data Missing ⚠",VLOOKUP(O57,'G-7 Rivers Data'!$AD$4:$AE$8,2,FALSE)))</f>
        <v/>
      </c>
      <c r="Q57" s="506" t="str">
        <f>IF(D57="","",VLOOKUP(D57,'G-7 Rivers Data'!$B$4:$G$8,6,FALSE))</f>
        <v/>
      </c>
      <c r="R57" s="513" t="str">
        <f t="shared" si="0"/>
        <v/>
      </c>
      <c r="S57" s="40"/>
      <c r="T57" s="145"/>
      <c r="U57" s="157"/>
      <c r="V57" s="511" t="str">
        <f t="shared" si="1"/>
        <v/>
      </c>
      <c r="W57" s="511" t="str">
        <f t="shared" si="2"/>
        <v/>
      </c>
      <c r="X57" s="511" t="str">
        <f t="shared" si="3"/>
        <v/>
      </c>
      <c r="Y57" s="515" t="str">
        <f t="shared" si="4"/>
        <v/>
      </c>
      <c r="Z57" s="151"/>
      <c r="AA57" s="152"/>
      <c r="AF57" s="31" t="str">
        <f>IFERROR(INDEX('G-7 Rivers Data'!$AZ$3:$AZ$7,MATCH(D57,'G-7 Rivers Data'!$AY$3:$AY$7,0)),"")</f>
        <v/>
      </c>
      <c r="AG57" s="31">
        <f t="shared" si="5"/>
        <v>0</v>
      </c>
      <c r="AH57" s="156" t="str">
        <f t="shared" si="6"/>
        <v/>
      </c>
      <c r="AI57" s="156" t="str">
        <f t="shared" si="7"/>
        <v/>
      </c>
      <c r="AK57" s="156">
        <v>48</v>
      </c>
      <c r="AM57" s="156" t="str">
        <f t="array" ref="AM57">IFERROR(INDEX($AK$10:$AK$258, MATCH(0, IF(TRUE=$AH$10:$AH$258, COUNTIF($AM$9:$AM56, $AK$10:$AK$258), ""), 0)),"")</f>
        <v/>
      </c>
      <c r="AN57" s="156" t="str">
        <f t="array" ref="AN57">IFERROR(INDEX($AK$10:$AK$258, MATCH(0, IF(TRUE=$AI$10:$AI$258, COUNTIF($AN$9:$AN56, $AK$10:$AK$258), ""), 0)),"")</f>
        <v/>
      </c>
    </row>
    <row r="58" spans="3:40" ht="14" x14ac:dyDescent="0.3">
      <c r="C58" s="141">
        <v>49</v>
      </c>
      <c r="D58" s="462"/>
      <c r="E58" s="153"/>
      <c r="F58" s="498" t="str">
        <f>IF(D58="","",VLOOKUP(D58,'G-7 Rivers Data'!$B$2:$G$8,2,FALSE))</f>
        <v/>
      </c>
      <c r="G58" s="499" t="str">
        <f>IFERROR(VLOOKUP(F58,'G-7 Rivers Data'!$C$4:$D$8,2,FALSE),"")</f>
        <v/>
      </c>
      <c r="H58" s="145"/>
      <c r="I58" s="499" t="str">
        <f>IFERROR(INDEX('G-7 Rivers Data'!$H$4:$L$8,MATCH(D58,'G-7 Rivers Data'!$B$4:$B$8,0),MATCH(H58,'G-7 Rivers Data'!$H$3:$L$3,0)),"")</f>
        <v/>
      </c>
      <c r="J58" s="154"/>
      <c r="K58" s="520" t="str">
        <f>IF(J58="","",IF(VLOOKUP(J58,'G-7 Rivers Data'!$AK$4:$AM$9,2,FALSE)=0,"Spatial Data Missing ⚠",VLOOKUP(J58,'G-7 Rivers Data'!$AK$4:$AM$9,2,FALSE)))</f>
        <v/>
      </c>
      <c r="L58" s="524" t="str">
        <f>IF(J58="","",IF(VLOOKUP(J58,'G-7 Rivers Data'!$AK$4:$AM$9,3,FALSE)=0,"Spatial Data Missing ⚠",VLOOKUP(J58,'G-7 Rivers Data'!$AK$4:$AM$9,3,FALSE)))</f>
        <v/>
      </c>
      <c r="M58" s="71"/>
      <c r="N58" s="499" t="str">
        <f>IF(M58="","",IF(VLOOKUP(M58,'G-7 Rivers Data'!$AA$4:$AB$7,2,FALSE)=0,"Spatial Data Missing ⚠",VLOOKUP(M58,'G-7 Rivers Data'!$AA$4:$AB$7,2,FALSE)))</f>
        <v/>
      </c>
      <c r="O58" s="155"/>
      <c r="P58" s="499" t="str">
        <f>IF(O58="","",IF(VLOOKUP(O58,'G-7 Rivers Data'!$AD$4:$AE$8,2,FALSE)=0,"Spatial Data Missing ⚠",VLOOKUP(O58,'G-7 Rivers Data'!$AD$4:$AE$8,2,FALSE)))</f>
        <v/>
      </c>
      <c r="Q58" s="506" t="str">
        <f>IF(D58="","",VLOOKUP(D58,'G-7 Rivers Data'!$B$4:$G$8,6,FALSE))</f>
        <v/>
      </c>
      <c r="R58" s="513" t="str">
        <f t="shared" si="0"/>
        <v/>
      </c>
      <c r="S58" s="40"/>
      <c r="T58" s="145"/>
      <c r="U58" s="157"/>
      <c r="V58" s="511" t="str">
        <f t="shared" si="1"/>
        <v/>
      </c>
      <c r="W58" s="511" t="str">
        <f t="shared" si="2"/>
        <v/>
      </c>
      <c r="X58" s="511" t="str">
        <f t="shared" si="3"/>
        <v/>
      </c>
      <c r="Y58" s="515" t="str">
        <f t="shared" si="4"/>
        <v/>
      </c>
      <c r="Z58" s="151"/>
      <c r="AA58" s="152"/>
      <c r="AF58" s="31" t="str">
        <f>IFERROR(INDEX('G-7 Rivers Data'!$AZ$3:$AZ$7,MATCH(D58,'G-7 Rivers Data'!$AY$3:$AY$7,0)),"")</f>
        <v/>
      </c>
      <c r="AG58" s="31">
        <f t="shared" si="5"/>
        <v>0</v>
      </c>
      <c r="AH58" s="156" t="str">
        <f t="shared" si="6"/>
        <v/>
      </c>
      <c r="AI58" s="156" t="str">
        <f t="shared" si="7"/>
        <v/>
      </c>
      <c r="AK58" s="156">
        <v>49</v>
      </c>
      <c r="AM58" s="156" t="str">
        <f t="array" ref="AM58">IFERROR(INDEX($AK$10:$AK$258, MATCH(0, IF(TRUE=$AH$10:$AH$258, COUNTIF($AM$9:$AM57, $AK$10:$AK$258), ""), 0)),"")</f>
        <v/>
      </c>
      <c r="AN58" s="156" t="str">
        <f t="array" ref="AN58">IFERROR(INDEX($AK$10:$AK$258, MATCH(0, IF(TRUE=$AI$10:$AI$258, COUNTIF($AN$9:$AN57, $AK$10:$AK$258), ""), 0)),"")</f>
        <v/>
      </c>
    </row>
    <row r="59" spans="3:40" ht="14" x14ac:dyDescent="0.3">
      <c r="C59" s="141">
        <v>50</v>
      </c>
      <c r="D59" s="462"/>
      <c r="E59" s="153"/>
      <c r="F59" s="498" t="str">
        <f>IF(D59="","",VLOOKUP(D59,'G-7 Rivers Data'!$B$2:$G$8,2,FALSE))</f>
        <v/>
      </c>
      <c r="G59" s="499" t="str">
        <f>IFERROR(VLOOKUP(F59,'G-7 Rivers Data'!$C$4:$D$8,2,FALSE),"")</f>
        <v/>
      </c>
      <c r="H59" s="145"/>
      <c r="I59" s="499" t="str">
        <f>IFERROR(INDEX('G-7 Rivers Data'!$H$4:$L$8,MATCH(D59,'G-7 Rivers Data'!$B$4:$B$8,0),MATCH(H59,'G-7 Rivers Data'!$H$3:$L$3,0)),"")</f>
        <v/>
      </c>
      <c r="J59" s="154"/>
      <c r="K59" s="520" t="str">
        <f>IF(J59="","",IF(VLOOKUP(J59,'G-7 Rivers Data'!$AK$4:$AM$9,2,FALSE)=0,"Spatial Data Missing ⚠",VLOOKUP(J59,'G-7 Rivers Data'!$AK$4:$AM$9,2,FALSE)))</f>
        <v/>
      </c>
      <c r="L59" s="524" t="str">
        <f>IF(J59="","",IF(VLOOKUP(J59,'G-7 Rivers Data'!$AK$4:$AM$9,3,FALSE)=0,"Spatial Data Missing ⚠",VLOOKUP(J59,'G-7 Rivers Data'!$AK$4:$AM$9,3,FALSE)))</f>
        <v/>
      </c>
      <c r="M59" s="71"/>
      <c r="N59" s="499" t="str">
        <f>IF(M59="","",IF(VLOOKUP(M59,'G-7 Rivers Data'!$AA$4:$AB$7,2,FALSE)=0,"Spatial Data Missing ⚠",VLOOKUP(M59,'G-7 Rivers Data'!$AA$4:$AB$7,2,FALSE)))</f>
        <v/>
      </c>
      <c r="O59" s="155"/>
      <c r="P59" s="499" t="str">
        <f>IF(O59="","",IF(VLOOKUP(O59,'G-7 Rivers Data'!$AD$4:$AE$8,2,FALSE)=0,"Spatial Data Missing ⚠",VLOOKUP(O59,'G-7 Rivers Data'!$AD$4:$AE$8,2,FALSE)))</f>
        <v/>
      </c>
      <c r="Q59" s="506" t="str">
        <f>IF(D59="","",VLOOKUP(D59,'G-7 Rivers Data'!$B$4:$G$8,6,FALSE))</f>
        <v/>
      </c>
      <c r="R59" s="513" t="str">
        <f t="shared" si="0"/>
        <v/>
      </c>
      <c r="S59" s="40"/>
      <c r="T59" s="145"/>
      <c r="U59" s="157"/>
      <c r="V59" s="511" t="str">
        <f t="shared" si="1"/>
        <v/>
      </c>
      <c r="W59" s="511" t="str">
        <f t="shared" si="2"/>
        <v/>
      </c>
      <c r="X59" s="511" t="str">
        <f t="shared" si="3"/>
        <v/>
      </c>
      <c r="Y59" s="515" t="str">
        <f t="shared" si="4"/>
        <v/>
      </c>
      <c r="Z59" s="151"/>
      <c r="AA59" s="152"/>
      <c r="AF59" s="31" t="str">
        <f>IFERROR(INDEX('G-7 Rivers Data'!$AZ$3:$AZ$7,MATCH(D59,'G-7 Rivers Data'!$AY$3:$AY$7,0)),"")</f>
        <v/>
      </c>
      <c r="AG59" s="31">
        <f t="shared" si="5"/>
        <v>0</v>
      </c>
      <c r="AH59" s="156" t="str">
        <f t="shared" si="6"/>
        <v/>
      </c>
      <c r="AI59" s="156" t="str">
        <f t="shared" si="7"/>
        <v/>
      </c>
      <c r="AK59" s="156">
        <v>50</v>
      </c>
      <c r="AM59" s="156" t="str">
        <f t="array" ref="AM59">IFERROR(INDEX($AK$10:$AK$258, MATCH(0, IF(TRUE=$AH$10:$AH$258, COUNTIF($AM$9:$AM58, $AK$10:$AK$258), ""), 0)),"")</f>
        <v/>
      </c>
      <c r="AN59" s="156" t="str">
        <f t="array" ref="AN59">IFERROR(INDEX($AK$10:$AK$258, MATCH(0, IF(TRUE=$AI$10:$AI$258, COUNTIF($AN$9:$AN58, $AK$10:$AK$258), ""), 0)),"")</f>
        <v/>
      </c>
    </row>
    <row r="60" spans="3:40" ht="14" x14ac:dyDescent="0.3">
      <c r="C60" s="141">
        <v>51</v>
      </c>
      <c r="D60" s="462"/>
      <c r="E60" s="153"/>
      <c r="F60" s="498" t="str">
        <f>IF(D60="","",VLOOKUP(D60,'G-7 Rivers Data'!$B$2:$G$8,2,FALSE))</f>
        <v/>
      </c>
      <c r="G60" s="499" t="str">
        <f>IFERROR(VLOOKUP(F60,'G-7 Rivers Data'!$C$4:$D$8,2,FALSE),"")</f>
        <v/>
      </c>
      <c r="H60" s="145"/>
      <c r="I60" s="499" t="str">
        <f>IFERROR(INDEX('G-7 Rivers Data'!$H$4:$L$8,MATCH(D60,'G-7 Rivers Data'!$B$4:$B$8,0),MATCH(H60,'G-7 Rivers Data'!$H$3:$L$3,0)),"")</f>
        <v/>
      </c>
      <c r="J60" s="154"/>
      <c r="K60" s="520" t="str">
        <f>IF(J60="","",IF(VLOOKUP(J60,'G-7 Rivers Data'!$AK$4:$AM$9,2,FALSE)=0,"Spatial Data Missing ⚠",VLOOKUP(J60,'G-7 Rivers Data'!$AK$4:$AM$9,2,FALSE)))</f>
        <v/>
      </c>
      <c r="L60" s="524" t="str">
        <f>IF(J60="","",IF(VLOOKUP(J60,'G-7 Rivers Data'!$AK$4:$AM$9,3,FALSE)=0,"Spatial Data Missing ⚠",VLOOKUP(J60,'G-7 Rivers Data'!$AK$4:$AM$9,3,FALSE)))</f>
        <v/>
      </c>
      <c r="M60" s="71"/>
      <c r="N60" s="499" t="str">
        <f>IF(M60="","",IF(VLOOKUP(M60,'G-7 Rivers Data'!$AA$4:$AB$7,2,FALSE)=0,"Spatial Data Missing ⚠",VLOOKUP(M60,'G-7 Rivers Data'!$AA$4:$AB$7,2,FALSE)))</f>
        <v/>
      </c>
      <c r="O60" s="155"/>
      <c r="P60" s="499" t="str">
        <f>IF(O60="","",IF(VLOOKUP(O60,'G-7 Rivers Data'!$AD$4:$AE$8,2,FALSE)=0,"Spatial Data Missing ⚠",VLOOKUP(O60,'G-7 Rivers Data'!$AD$4:$AE$8,2,FALSE)))</f>
        <v/>
      </c>
      <c r="Q60" s="506" t="str">
        <f>IF(D60="","",VLOOKUP(D60,'G-7 Rivers Data'!$B$4:$G$8,6,FALSE))</f>
        <v/>
      </c>
      <c r="R60" s="513" t="str">
        <f t="shared" si="0"/>
        <v/>
      </c>
      <c r="S60" s="40"/>
      <c r="T60" s="145"/>
      <c r="U60" s="157"/>
      <c r="V60" s="511" t="str">
        <f t="shared" si="1"/>
        <v/>
      </c>
      <c r="W60" s="511" t="str">
        <f t="shared" si="2"/>
        <v/>
      </c>
      <c r="X60" s="511" t="str">
        <f t="shared" si="3"/>
        <v/>
      </c>
      <c r="Y60" s="515" t="str">
        <f t="shared" si="4"/>
        <v/>
      </c>
      <c r="Z60" s="151"/>
      <c r="AA60" s="152"/>
      <c r="AF60" s="31" t="str">
        <f>IFERROR(INDEX('G-7 Rivers Data'!$AZ$3:$AZ$7,MATCH(D60,'G-7 Rivers Data'!$AY$3:$AY$7,0)),"")</f>
        <v/>
      </c>
      <c r="AG60" s="31">
        <f t="shared" si="5"/>
        <v>0</v>
      </c>
      <c r="AH60" s="156" t="str">
        <f t="shared" si="6"/>
        <v/>
      </c>
      <c r="AI60" s="156" t="str">
        <f t="shared" si="7"/>
        <v/>
      </c>
      <c r="AK60" s="156">
        <v>51</v>
      </c>
      <c r="AM60" s="156" t="str">
        <f t="array" ref="AM60">IFERROR(INDEX($AK$10:$AK$258, MATCH(0, IF(TRUE=$AH$10:$AH$258, COUNTIF($AM$9:$AM59, $AK$10:$AK$258), ""), 0)),"")</f>
        <v/>
      </c>
      <c r="AN60" s="156" t="str">
        <f t="array" ref="AN60">IFERROR(INDEX($AK$10:$AK$258, MATCH(0, IF(TRUE=$AI$10:$AI$258, COUNTIF($AN$9:$AN59, $AK$10:$AK$258), ""), 0)),"")</f>
        <v/>
      </c>
    </row>
    <row r="61" spans="3:40" ht="14" x14ac:dyDescent="0.3">
      <c r="C61" s="141">
        <v>52</v>
      </c>
      <c r="D61" s="462"/>
      <c r="E61" s="153"/>
      <c r="F61" s="498" t="str">
        <f>IF(D61="","",VLOOKUP(D61,'G-7 Rivers Data'!$B$2:$G$8,2,FALSE))</f>
        <v/>
      </c>
      <c r="G61" s="499" t="str">
        <f>IFERROR(VLOOKUP(F61,'G-7 Rivers Data'!$C$4:$D$8,2,FALSE),"")</f>
        <v/>
      </c>
      <c r="H61" s="145"/>
      <c r="I61" s="499" t="str">
        <f>IFERROR(INDEX('G-7 Rivers Data'!$H$4:$L$8,MATCH(D61,'G-7 Rivers Data'!$B$4:$B$8,0),MATCH(H61,'G-7 Rivers Data'!$H$3:$L$3,0)),"")</f>
        <v/>
      </c>
      <c r="J61" s="154"/>
      <c r="K61" s="520" t="str">
        <f>IF(J61="","",IF(VLOOKUP(J61,'G-7 Rivers Data'!$AK$4:$AM$9,2,FALSE)=0,"Spatial Data Missing ⚠",VLOOKUP(J61,'G-7 Rivers Data'!$AK$4:$AM$9,2,FALSE)))</f>
        <v/>
      </c>
      <c r="L61" s="524" t="str">
        <f>IF(J61="","",IF(VLOOKUP(J61,'G-7 Rivers Data'!$AK$4:$AM$9,3,FALSE)=0,"Spatial Data Missing ⚠",VLOOKUP(J61,'G-7 Rivers Data'!$AK$4:$AM$9,3,FALSE)))</f>
        <v/>
      </c>
      <c r="M61" s="71"/>
      <c r="N61" s="499" t="str">
        <f>IF(M61="","",IF(VLOOKUP(M61,'G-7 Rivers Data'!$AA$4:$AB$7,2,FALSE)=0,"Spatial Data Missing ⚠",VLOOKUP(M61,'G-7 Rivers Data'!$AA$4:$AB$7,2,FALSE)))</f>
        <v/>
      </c>
      <c r="O61" s="155"/>
      <c r="P61" s="499" t="str">
        <f>IF(O61="","",IF(VLOOKUP(O61,'G-7 Rivers Data'!$AD$4:$AE$8,2,FALSE)=0,"Spatial Data Missing ⚠",VLOOKUP(O61,'G-7 Rivers Data'!$AD$4:$AE$8,2,FALSE)))</f>
        <v/>
      </c>
      <c r="Q61" s="506" t="str">
        <f>IF(D61="","",VLOOKUP(D61,'G-7 Rivers Data'!$B$4:$G$8,6,FALSE))</f>
        <v/>
      </c>
      <c r="R61" s="513" t="str">
        <f t="shared" si="0"/>
        <v/>
      </c>
      <c r="S61" s="40"/>
      <c r="T61" s="145"/>
      <c r="U61" s="157"/>
      <c r="V61" s="511" t="str">
        <f t="shared" si="1"/>
        <v/>
      </c>
      <c r="W61" s="511" t="str">
        <f t="shared" si="2"/>
        <v/>
      </c>
      <c r="X61" s="511" t="str">
        <f t="shared" si="3"/>
        <v/>
      </c>
      <c r="Y61" s="515" t="str">
        <f t="shared" si="4"/>
        <v/>
      </c>
      <c r="Z61" s="151"/>
      <c r="AA61" s="152"/>
      <c r="AF61" s="31" t="str">
        <f>IFERROR(INDEX('G-7 Rivers Data'!$AZ$3:$AZ$7,MATCH(D61,'G-7 Rivers Data'!$AY$3:$AY$7,0)),"")</f>
        <v/>
      </c>
      <c r="AG61" s="31">
        <f t="shared" si="5"/>
        <v>0</v>
      </c>
      <c r="AH61" s="156" t="str">
        <f t="shared" si="6"/>
        <v/>
      </c>
      <c r="AI61" s="156" t="str">
        <f t="shared" si="7"/>
        <v/>
      </c>
      <c r="AK61" s="156">
        <v>52</v>
      </c>
      <c r="AM61" s="156" t="str">
        <f t="array" ref="AM61">IFERROR(INDEX($AK$10:$AK$258, MATCH(0, IF(TRUE=$AH$10:$AH$258, COUNTIF($AM$9:$AM60, $AK$10:$AK$258), ""), 0)),"")</f>
        <v/>
      </c>
      <c r="AN61" s="156" t="str">
        <f t="array" ref="AN61">IFERROR(INDEX($AK$10:$AK$258, MATCH(0, IF(TRUE=$AI$10:$AI$258, COUNTIF($AN$9:$AN60, $AK$10:$AK$258), ""), 0)),"")</f>
        <v/>
      </c>
    </row>
    <row r="62" spans="3:40" ht="14" x14ac:dyDescent="0.3">
      <c r="C62" s="141">
        <v>53</v>
      </c>
      <c r="D62" s="462"/>
      <c r="E62" s="153"/>
      <c r="F62" s="498" t="str">
        <f>IF(D62="","",VLOOKUP(D62,'G-7 Rivers Data'!$B$2:$G$8,2,FALSE))</f>
        <v/>
      </c>
      <c r="G62" s="499" t="str">
        <f>IFERROR(VLOOKUP(F62,'G-7 Rivers Data'!$C$4:$D$8,2,FALSE),"")</f>
        <v/>
      </c>
      <c r="H62" s="145"/>
      <c r="I62" s="499" t="str">
        <f>IFERROR(INDEX('G-7 Rivers Data'!$H$4:$L$8,MATCH(D62,'G-7 Rivers Data'!$B$4:$B$8,0),MATCH(H62,'G-7 Rivers Data'!$H$3:$L$3,0)),"")</f>
        <v/>
      </c>
      <c r="J62" s="154"/>
      <c r="K62" s="520" t="str">
        <f>IF(J62="","",IF(VLOOKUP(J62,'G-7 Rivers Data'!$AK$4:$AM$9,2,FALSE)=0,"Spatial Data Missing ⚠",VLOOKUP(J62,'G-7 Rivers Data'!$AK$4:$AM$9,2,FALSE)))</f>
        <v/>
      </c>
      <c r="L62" s="524" t="str">
        <f>IF(J62="","",IF(VLOOKUP(J62,'G-7 Rivers Data'!$AK$4:$AM$9,3,FALSE)=0,"Spatial Data Missing ⚠",VLOOKUP(J62,'G-7 Rivers Data'!$AK$4:$AM$9,3,FALSE)))</f>
        <v/>
      </c>
      <c r="M62" s="71"/>
      <c r="N62" s="499" t="str">
        <f>IF(M62="","",IF(VLOOKUP(M62,'G-7 Rivers Data'!$AA$4:$AB$7,2,FALSE)=0,"Spatial Data Missing ⚠",VLOOKUP(M62,'G-7 Rivers Data'!$AA$4:$AB$7,2,FALSE)))</f>
        <v/>
      </c>
      <c r="O62" s="155"/>
      <c r="P62" s="499" t="str">
        <f>IF(O62="","",IF(VLOOKUP(O62,'G-7 Rivers Data'!$AD$4:$AE$8,2,FALSE)=0,"Spatial Data Missing ⚠",VLOOKUP(O62,'G-7 Rivers Data'!$AD$4:$AE$8,2,FALSE)))</f>
        <v/>
      </c>
      <c r="Q62" s="506" t="str">
        <f>IF(D62="","",VLOOKUP(D62,'G-7 Rivers Data'!$B$4:$G$8,6,FALSE))</f>
        <v/>
      </c>
      <c r="R62" s="513" t="str">
        <f t="shared" si="0"/>
        <v/>
      </c>
      <c r="S62" s="40"/>
      <c r="T62" s="145"/>
      <c r="U62" s="157"/>
      <c r="V62" s="511" t="str">
        <f t="shared" si="1"/>
        <v/>
      </c>
      <c r="W62" s="511" t="str">
        <f t="shared" si="2"/>
        <v/>
      </c>
      <c r="X62" s="511" t="str">
        <f t="shared" si="3"/>
        <v/>
      </c>
      <c r="Y62" s="515" t="str">
        <f t="shared" si="4"/>
        <v/>
      </c>
      <c r="Z62" s="151"/>
      <c r="AA62" s="152"/>
      <c r="AF62" s="31" t="str">
        <f>IFERROR(INDEX('G-7 Rivers Data'!$AZ$3:$AZ$7,MATCH(D62,'G-7 Rivers Data'!$AY$3:$AY$7,0)),"")</f>
        <v/>
      </c>
      <c r="AG62" s="31">
        <f t="shared" si="5"/>
        <v>0</v>
      </c>
      <c r="AH62" s="156" t="str">
        <f t="shared" si="6"/>
        <v/>
      </c>
      <c r="AI62" s="156" t="str">
        <f t="shared" si="7"/>
        <v/>
      </c>
      <c r="AK62" s="156">
        <v>53</v>
      </c>
      <c r="AM62" s="156" t="str">
        <f t="array" ref="AM62">IFERROR(INDEX($AK$10:$AK$258, MATCH(0, IF(TRUE=$AH$10:$AH$258, COUNTIF($AM$9:$AM61, $AK$10:$AK$258), ""), 0)),"")</f>
        <v/>
      </c>
      <c r="AN62" s="156" t="str">
        <f t="array" ref="AN62">IFERROR(INDEX($AK$10:$AK$258, MATCH(0, IF(TRUE=$AI$10:$AI$258, COUNTIF($AN$9:$AN61, $AK$10:$AK$258), ""), 0)),"")</f>
        <v/>
      </c>
    </row>
    <row r="63" spans="3:40" ht="14" x14ac:dyDescent="0.3">
      <c r="C63" s="141">
        <v>54</v>
      </c>
      <c r="D63" s="462"/>
      <c r="E63" s="153"/>
      <c r="F63" s="498" t="str">
        <f>IF(D63="","",VLOOKUP(D63,'G-7 Rivers Data'!$B$2:$G$8,2,FALSE))</f>
        <v/>
      </c>
      <c r="G63" s="499" t="str">
        <f>IFERROR(VLOOKUP(F63,'G-7 Rivers Data'!$C$4:$D$8,2,FALSE),"")</f>
        <v/>
      </c>
      <c r="H63" s="145"/>
      <c r="I63" s="499" t="str">
        <f>IFERROR(INDEX('G-7 Rivers Data'!$H$4:$L$8,MATCH(D63,'G-7 Rivers Data'!$B$4:$B$8,0),MATCH(H63,'G-7 Rivers Data'!$H$3:$L$3,0)),"")</f>
        <v/>
      </c>
      <c r="J63" s="154"/>
      <c r="K63" s="520" t="str">
        <f>IF(J63="","",IF(VLOOKUP(J63,'G-7 Rivers Data'!$AK$4:$AM$9,2,FALSE)=0,"Spatial Data Missing ⚠",VLOOKUP(J63,'G-7 Rivers Data'!$AK$4:$AM$9,2,FALSE)))</f>
        <v/>
      </c>
      <c r="L63" s="524" t="str">
        <f>IF(J63="","",IF(VLOOKUP(J63,'G-7 Rivers Data'!$AK$4:$AM$9,3,FALSE)=0,"Spatial Data Missing ⚠",VLOOKUP(J63,'G-7 Rivers Data'!$AK$4:$AM$9,3,FALSE)))</f>
        <v/>
      </c>
      <c r="M63" s="71"/>
      <c r="N63" s="499" t="str">
        <f>IF(M63="","",IF(VLOOKUP(M63,'G-7 Rivers Data'!$AA$4:$AB$7,2,FALSE)=0,"Spatial Data Missing ⚠",VLOOKUP(M63,'G-7 Rivers Data'!$AA$4:$AB$7,2,FALSE)))</f>
        <v/>
      </c>
      <c r="O63" s="155"/>
      <c r="P63" s="499" t="str">
        <f>IF(O63="","",IF(VLOOKUP(O63,'G-7 Rivers Data'!$AD$4:$AE$8,2,FALSE)=0,"Spatial Data Missing ⚠",VLOOKUP(O63,'G-7 Rivers Data'!$AD$4:$AE$8,2,FALSE)))</f>
        <v/>
      </c>
      <c r="Q63" s="506" t="str">
        <f>IF(D63="","",VLOOKUP(D63,'G-7 Rivers Data'!$B$4:$G$8,6,FALSE))</f>
        <v/>
      </c>
      <c r="R63" s="513" t="str">
        <f t="shared" si="0"/>
        <v/>
      </c>
      <c r="S63" s="40"/>
      <c r="T63" s="145"/>
      <c r="U63" s="157"/>
      <c r="V63" s="511" t="str">
        <f t="shared" si="1"/>
        <v/>
      </c>
      <c r="W63" s="511" t="str">
        <f t="shared" si="2"/>
        <v/>
      </c>
      <c r="X63" s="511" t="str">
        <f t="shared" si="3"/>
        <v/>
      </c>
      <c r="Y63" s="515" t="str">
        <f t="shared" si="4"/>
        <v/>
      </c>
      <c r="Z63" s="151"/>
      <c r="AA63" s="152"/>
      <c r="AF63" s="31" t="str">
        <f>IFERROR(INDEX('G-7 Rivers Data'!$AZ$3:$AZ$7,MATCH(D63,'G-7 Rivers Data'!$AY$3:$AY$7,0)),"")</f>
        <v/>
      </c>
      <c r="AG63" s="31">
        <f t="shared" si="5"/>
        <v>0</v>
      </c>
      <c r="AH63" s="156" t="str">
        <f t="shared" si="6"/>
        <v/>
      </c>
      <c r="AI63" s="156" t="str">
        <f t="shared" si="7"/>
        <v/>
      </c>
      <c r="AK63" s="156">
        <v>54</v>
      </c>
      <c r="AM63" s="156" t="str">
        <f t="array" ref="AM63">IFERROR(INDEX($AK$10:$AK$258, MATCH(0, IF(TRUE=$AH$10:$AH$258, COUNTIF($AM$9:$AM62, $AK$10:$AK$258), ""), 0)),"")</f>
        <v/>
      </c>
      <c r="AN63" s="156" t="str">
        <f t="array" ref="AN63">IFERROR(INDEX($AK$10:$AK$258, MATCH(0, IF(TRUE=$AI$10:$AI$258, COUNTIF($AN$9:$AN62, $AK$10:$AK$258), ""), 0)),"")</f>
        <v/>
      </c>
    </row>
    <row r="64" spans="3:40" ht="14" x14ac:dyDescent="0.3">
      <c r="C64" s="141">
        <v>55</v>
      </c>
      <c r="D64" s="462"/>
      <c r="E64" s="153"/>
      <c r="F64" s="498" t="str">
        <f>IF(D64="","",VLOOKUP(D64,'G-7 Rivers Data'!$B$2:$G$8,2,FALSE))</f>
        <v/>
      </c>
      <c r="G64" s="499" t="str">
        <f>IFERROR(VLOOKUP(F64,'G-7 Rivers Data'!$C$4:$D$8,2,FALSE),"")</f>
        <v/>
      </c>
      <c r="H64" s="145"/>
      <c r="I64" s="499" t="str">
        <f>IFERROR(INDEX('G-7 Rivers Data'!$H$4:$L$8,MATCH(D64,'G-7 Rivers Data'!$B$4:$B$8,0),MATCH(H64,'G-7 Rivers Data'!$H$3:$L$3,0)),"")</f>
        <v/>
      </c>
      <c r="J64" s="154"/>
      <c r="K64" s="520" t="str">
        <f>IF(J64="","",IF(VLOOKUP(J64,'G-7 Rivers Data'!$AK$4:$AM$9,2,FALSE)=0,"Spatial Data Missing ⚠",VLOOKUP(J64,'G-7 Rivers Data'!$AK$4:$AM$9,2,FALSE)))</f>
        <v/>
      </c>
      <c r="L64" s="524" t="str">
        <f>IF(J64="","",IF(VLOOKUP(J64,'G-7 Rivers Data'!$AK$4:$AM$9,3,FALSE)=0,"Spatial Data Missing ⚠",VLOOKUP(J64,'G-7 Rivers Data'!$AK$4:$AM$9,3,FALSE)))</f>
        <v/>
      </c>
      <c r="M64" s="71"/>
      <c r="N64" s="499" t="str">
        <f>IF(M64="","",IF(VLOOKUP(M64,'G-7 Rivers Data'!$AA$4:$AB$7,2,FALSE)=0,"Spatial Data Missing ⚠",VLOOKUP(M64,'G-7 Rivers Data'!$AA$4:$AB$7,2,FALSE)))</f>
        <v/>
      </c>
      <c r="O64" s="155"/>
      <c r="P64" s="499" t="str">
        <f>IF(O64="","",IF(VLOOKUP(O64,'G-7 Rivers Data'!$AD$4:$AE$8,2,FALSE)=0,"Spatial Data Missing ⚠",VLOOKUP(O64,'G-7 Rivers Data'!$AD$4:$AE$8,2,FALSE)))</f>
        <v/>
      </c>
      <c r="Q64" s="506" t="str">
        <f>IF(D64="","",VLOOKUP(D64,'G-7 Rivers Data'!$B$4:$G$8,6,FALSE))</f>
        <v/>
      </c>
      <c r="R64" s="513" t="str">
        <f t="shared" si="0"/>
        <v/>
      </c>
      <c r="S64" s="40"/>
      <c r="T64" s="145"/>
      <c r="U64" s="157"/>
      <c r="V64" s="511" t="str">
        <f t="shared" si="1"/>
        <v/>
      </c>
      <c r="W64" s="511" t="str">
        <f t="shared" si="2"/>
        <v/>
      </c>
      <c r="X64" s="511" t="str">
        <f t="shared" si="3"/>
        <v/>
      </c>
      <c r="Y64" s="515" t="str">
        <f t="shared" si="4"/>
        <v/>
      </c>
      <c r="Z64" s="151"/>
      <c r="AA64" s="152"/>
      <c r="AF64" s="31" t="str">
        <f>IFERROR(INDEX('G-7 Rivers Data'!$AZ$3:$AZ$7,MATCH(D64,'G-7 Rivers Data'!$AY$3:$AY$7,0)),"")</f>
        <v/>
      </c>
      <c r="AG64" s="31">
        <f t="shared" si="5"/>
        <v>0</v>
      </c>
      <c r="AH64" s="156" t="str">
        <f t="shared" si="6"/>
        <v/>
      </c>
      <c r="AI64" s="156" t="str">
        <f t="shared" si="7"/>
        <v/>
      </c>
      <c r="AK64" s="156">
        <v>55</v>
      </c>
      <c r="AM64" s="156" t="str">
        <f t="array" ref="AM64">IFERROR(INDEX($AK$10:$AK$258, MATCH(0, IF(TRUE=$AH$10:$AH$258, COUNTIF($AM$9:$AM63, $AK$10:$AK$258), ""), 0)),"")</f>
        <v/>
      </c>
      <c r="AN64" s="156" t="str">
        <f t="array" ref="AN64">IFERROR(INDEX($AK$10:$AK$258, MATCH(0, IF(TRUE=$AI$10:$AI$258, COUNTIF($AN$9:$AN63, $AK$10:$AK$258), ""), 0)),"")</f>
        <v/>
      </c>
    </row>
    <row r="65" spans="3:40" ht="14" x14ac:dyDescent="0.3">
      <c r="C65" s="141">
        <v>56</v>
      </c>
      <c r="D65" s="462"/>
      <c r="E65" s="153"/>
      <c r="F65" s="498" t="str">
        <f>IF(D65="","",VLOOKUP(D65,'G-7 Rivers Data'!$B$2:$G$8,2,FALSE))</f>
        <v/>
      </c>
      <c r="G65" s="499" t="str">
        <f>IFERROR(VLOOKUP(F65,'G-7 Rivers Data'!$C$4:$D$8,2,FALSE),"")</f>
        <v/>
      </c>
      <c r="H65" s="145"/>
      <c r="I65" s="499" t="str">
        <f>IFERROR(INDEX('G-7 Rivers Data'!$H$4:$L$8,MATCH(D65,'G-7 Rivers Data'!$B$4:$B$8,0),MATCH(H65,'G-7 Rivers Data'!$H$3:$L$3,0)),"")</f>
        <v/>
      </c>
      <c r="J65" s="154"/>
      <c r="K65" s="520" t="str">
        <f>IF(J65="","",IF(VLOOKUP(J65,'G-7 Rivers Data'!$AK$4:$AM$9,2,FALSE)=0,"Spatial Data Missing ⚠",VLOOKUP(J65,'G-7 Rivers Data'!$AK$4:$AM$9,2,FALSE)))</f>
        <v/>
      </c>
      <c r="L65" s="524" t="str">
        <f>IF(J65="","",IF(VLOOKUP(J65,'G-7 Rivers Data'!$AK$4:$AM$9,3,FALSE)=0,"Spatial Data Missing ⚠",VLOOKUP(J65,'G-7 Rivers Data'!$AK$4:$AM$9,3,FALSE)))</f>
        <v/>
      </c>
      <c r="M65" s="71"/>
      <c r="N65" s="499" t="str">
        <f>IF(M65="","",IF(VLOOKUP(M65,'G-7 Rivers Data'!$AA$4:$AB$7,2,FALSE)=0,"Spatial Data Missing ⚠",VLOOKUP(M65,'G-7 Rivers Data'!$AA$4:$AB$7,2,FALSE)))</f>
        <v/>
      </c>
      <c r="O65" s="155"/>
      <c r="P65" s="499" t="str">
        <f>IF(O65="","",IF(VLOOKUP(O65,'G-7 Rivers Data'!$AD$4:$AE$8,2,FALSE)=0,"Spatial Data Missing ⚠",VLOOKUP(O65,'G-7 Rivers Data'!$AD$4:$AE$8,2,FALSE)))</f>
        <v/>
      </c>
      <c r="Q65" s="506" t="str">
        <f>IF(D65="","",VLOOKUP(D65,'G-7 Rivers Data'!$B$4:$G$8,6,FALSE))</f>
        <v/>
      </c>
      <c r="R65" s="513" t="str">
        <f t="shared" si="0"/>
        <v/>
      </c>
      <c r="S65" s="40"/>
      <c r="T65" s="145"/>
      <c r="U65" s="157"/>
      <c r="V65" s="511" t="str">
        <f t="shared" si="1"/>
        <v/>
      </c>
      <c r="W65" s="511" t="str">
        <f t="shared" si="2"/>
        <v/>
      </c>
      <c r="X65" s="511" t="str">
        <f t="shared" si="3"/>
        <v/>
      </c>
      <c r="Y65" s="515" t="str">
        <f t="shared" si="4"/>
        <v/>
      </c>
      <c r="Z65" s="151"/>
      <c r="AA65" s="152"/>
      <c r="AF65" s="31" t="str">
        <f>IFERROR(INDEX('G-7 Rivers Data'!$AZ$3:$AZ$7,MATCH(D65,'G-7 Rivers Data'!$AY$3:$AY$7,0)),"")</f>
        <v/>
      </c>
      <c r="AG65" s="31">
        <f t="shared" si="5"/>
        <v>0</v>
      </c>
      <c r="AH65" s="156" t="str">
        <f t="shared" si="6"/>
        <v/>
      </c>
      <c r="AI65" s="156" t="str">
        <f t="shared" si="7"/>
        <v/>
      </c>
      <c r="AK65" s="156">
        <v>56</v>
      </c>
      <c r="AM65" s="156" t="str">
        <f t="array" ref="AM65">IFERROR(INDEX($AK$10:$AK$258, MATCH(0, IF(TRUE=$AH$10:$AH$258, COUNTIF($AM$9:$AM64, $AK$10:$AK$258), ""), 0)),"")</f>
        <v/>
      </c>
      <c r="AN65" s="156" t="str">
        <f t="array" ref="AN65">IFERROR(INDEX($AK$10:$AK$258, MATCH(0, IF(TRUE=$AI$10:$AI$258, COUNTIF($AN$9:$AN64, $AK$10:$AK$258), ""), 0)),"")</f>
        <v/>
      </c>
    </row>
    <row r="66" spans="3:40" ht="14" x14ac:dyDescent="0.3">
      <c r="C66" s="141">
        <v>57</v>
      </c>
      <c r="D66" s="462"/>
      <c r="E66" s="153"/>
      <c r="F66" s="498" t="str">
        <f>IF(D66="","",VLOOKUP(D66,'G-7 Rivers Data'!$B$2:$G$8,2,FALSE))</f>
        <v/>
      </c>
      <c r="G66" s="499" t="str">
        <f>IFERROR(VLOOKUP(F66,'G-7 Rivers Data'!$C$4:$D$8,2,FALSE),"")</f>
        <v/>
      </c>
      <c r="H66" s="145"/>
      <c r="I66" s="499" t="str">
        <f>IFERROR(INDEX('G-7 Rivers Data'!$H$4:$L$8,MATCH(D66,'G-7 Rivers Data'!$B$4:$B$8,0),MATCH(H66,'G-7 Rivers Data'!$H$3:$L$3,0)),"")</f>
        <v/>
      </c>
      <c r="J66" s="154"/>
      <c r="K66" s="520" t="str">
        <f>IF(J66="","",IF(VLOOKUP(J66,'G-7 Rivers Data'!$AK$4:$AM$9,2,FALSE)=0,"Spatial Data Missing ⚠",VLOOKUP(J66,'G-7 Rivers Data'!$AK$4:$AM$9,2,FALSE)))</f>
        <v/>
      </c>
      <c r="L66" s="524" t="str">
        <f>IF(J66="","",IF(VLOOKUP(J66,'G-7 Rivers Data'!$AK$4:$AM$9,3,FALSE)=0,"Spatial Data Missing ⚠",VLOOKUP(J66,'G-7 Rivers Data'!$AK$4:$AM$9,3,FALSE)))</f>
        <v/>
      </c>
      <c r="M66" s="71"/>
      <c r="N66" s="499" t="str">
        <f>IF(M66="","",IF(VLOOKUP(M66,'G-7 Rivers Data'!$AA$4:$AB$7,2,FALSE)=0,"Spatial Data Missing ⚠",VLOOKUP(M66,'G-7 Rivers Data'!$AA$4:$AB$7,2,FALSE)))</f>
        <v/>
      </c>
      <c r="O66" s="155"/>
      <c r="P66" s="499" t="str">
        <f>IF(O66="","",IF(VLOOKUP(O66,'G-7 Rivers Data'!$AD$4:$AE$8,2,FALSE)=0,"Spatial Data Missing ⚠",VLOOKUP(O66,'G-7 Rivers Data'!$AD$4:$AE$8,2,FALSE)))</f>
        <v/>
      </c>
      <c r="Q66" s="506" t="str">
        <f>IF(D66="","",VLOOKUP(D66,'G-7 Rivers Data'!$B$4:$G$8,6,FALSE))</f>
        <v/>
      </c>
      <c r="R66" s="513" t="str">
        <f t="shared" si="0"/>
        <v/>
      </c>
      <c r="S66" s="40"/>
      <c r="T66" s="145"/>
      <c r="U66" s="157"/>
      <c r="V66" s="511" t="str">
        <f t="shared" si="1"/>
        <v/>
      </c>
      <c r="W66" s="511" t="str">
        <f t="shared" si="2"/>
        <v/>
      </c>
      <c r="X66" s="511" t="str">
        <f t="shared" si="3"/>
        <v/>
      </c>
      <c r="Y66" s="515" t="str">
        <f t="shared" si="4"/>
        <v/>
      </c>
      <c r="Z66" s="151"/>
      <c r="AA66" s="152"/>
      <c r="AF66" s="31" t="str">
        <f>IFERROR(INDEX('G-7 Rivers Data'!$AZ$3:$AZ$7,MATCH(D66,'G-7 Rivers Data'!$AY$3:$AY$7,0)),"")</f>
        <v/>
      </c>
      <c r="AG66" s="31">
        <f t="shared" si="5"/>
        <v>0</v>
      </c>
      <c r="AH66" s="156" t="str">
        <f t="shared" si="6"/>
        <v/>
      </c>
      <c r="AI66" s="156" t="str">
        <f t="shared" si="7"/>
        <v/>
      </c>
      <c r="AK66" s="156">
        <v>57</v>
      </c>
      <c r="AM66" s="156" t="str">
        <f t="array" ref="AM66">IFERROR(INDEX($AK$10:$AK$258, MATCH(0, IF(TRUE=$AH$10:$AH$258, COUNTIF($AM$9:$AM65, $AK$10:$AK$258), ""), 0)),"")</f>
        <v/>
      </c>
      <c r="AN66" s="156" t="str">
        <f t="array" ref="AN66">IFERROR(INDEX($AK$10:$AK$258, MATCH(0, IF(TRUE=$AI$10:$AI$258, COUNTIF($AN$9:$AN65, $AK$10:$AK$258), ""), 0)),"")</f>
        <v/>
      </c>
    </row>
    <row r="67" spans="3:40" ht="14" x14ac:dyDescent="0.3">
      <c r="C67" s="141">
        <v>58</v>
      </c>
      <c r="D67" s="462"/>
      <c r="E67" s="153"/>
      <c r="F67" s="498" t="str">
        <f>IF(D67="","",VLOOKUP(D67,'G-7 Rivers Data'!$B$2:$G$8,2,FALSE))</f>
        <v/>
      </c>
      <c r="G67" s="499" t="str">
        <f>IFERROR(VLOOKUP(F67,'G-7 Rivers Data'!$C$4:$D$8,2,FALSE),"")</f>
        <v/>
      </c>
      <c r="H67" s="145"/>
      <c r="I67" s="499" t="str">
        <f>IFERROR(INDEX('G-7 Rivers Data'!$H$4:$L$8,MATCH(D67,'G-7 Rivers Data'!$B$4:$B$8,0),MATCH(H67,'G-7 Rivers Data'!$H$3:$L$3,0)),"")</f>
        <v/>
      </c>
      <c r="J67" s="154"/>
      <c r="K67" s="520" t="str">
        <f>IF(J67="","",IF(VLOOKUP(J67,'G-7 Rivers Data'!$AK$4:$AM$9,2,FALSE)=0,"Spatial Data Missing ⚠",VLOOKUP(J67,'G-7 Rivers Data'!$AK$4:$AM$9,2,FALSE)))</f>
        <v/>
      </c>
      <c r="L67" s="524" t="str">
        <f>IF(J67="","",IF(VLOOKUP(J67,'G-7 Rivers Data'!$AK$4:$AM$9,3,FALSE)=0,"Spatial Data Missing ⚠",VLOOKUP(J67,'G-7 Rivers Data'!$AK$4:$AM$9,3,FALSE)))</f>
        <v/>
      </c>
      <c r="M67" s="71"/>
      <c r="N67" s="499" t="str">
        <f>IF(M67="","",IF(VLOOKUP(M67,'G-7 Rivers Data'!$AA$4:$AB$7,2,FALSE)=0,"Spatial Data Missing ⚠",VLOOKUP(M67,'G-7 Rivers Data'!$AA$4:$AB$7,2,FALSE)))</f>
        <v/>
      </c>
      <c r="O67" s="155"/>
      <c r="P67" s="499" t="str">
        <f>IF(O67="","",IF(VLOOKUP(O67,'G-7 Rivers Data'!$AD$4:$AE$8,2,FALSE)=0,"Spatial Data Missing ⚠",VLOOKUP(O67,'G-7 Rivers Data'!$AD$4:$AE$8,2,FALSE)))</f>
        <v/>
      </c>
      <c r="Q67" s="506" t="str">
        <f>IF(D67="","",VLOOKUP(D67,'G-7 Rivers Data'!$B$4:$G$8,6,FALSE))</f>
        <v/>
      </c>
      <c r="R67" s="513" t="str">
        <f t="shared" si="0"/>
        <v/>
      </c>
      <c r="S67" s="40"/>
      <c r="T67" s="145"/>
      <c r="U67" s="157"/>
      <c r="V67" s="511" t="str">
        <f t="shared" si="1"/>
        <v/>
      </c>
      <c r="W67" s="511" t="str">
        <f t="shared" si="2"/>
        <v/>
      </c>
      <c r="X67" s="511" t="str">
        <f t="shared" si="3"/>
        <v/>
      </c>
      <c r="Y67" s="515" t="str">
        <f t="shared" si="4"/>
        <v/>
      </c>
      <c r="Z67" s="151"/>
      <c r="AA67" s="152"/>
      <c r="AF67" s="31" t="str">
        <f>IFERROR(INDEX('G-7 Rivers Data'!$AZ$3:$AZ$7,MATCH(D67,'G-7 Rivers Data'!$AY$3:$AY$7,0)),"")</f>
        <v/>
      </c>
      <c r="AG67" s="31">
        <f t="shared" si="5"/>
        <v>0</v>
      </c>
      <c r="AH67" s="156" t="str">
        <f t="shared" si="6"/>
        <v/>
      </c>
      <c r="AI67" s="156" t="str">
        <f t="shared" si="7"/>
        <v/>
      </c>
      <c r="AK67" s="156">
        <v>58</v>
      </c>
      <c r="AM67" s="156" t="str">
        <f t="array" ref="AM67">IFERROR(INDEX($AK$10:$AK$258, MATCH(0, IF(TRUE=$AH$10:$AH$258, COUNTIF($AM$9:$AM66, $AK$10:$AK$258), ""), 0)),"")</f>
        <v/>
      </c>
      <c r="AN67" s="156" t="str">
        <f t="array" ref="AN67">IFERROR(INDEX($AK$10:$AK$258, MATCH(0, IF(TRUE=$AI$10:$AI$258, COUNTIF($AN$9:$AN66, $AK$10:$AK$258), ""), 0)),"")</f>
        <v/>
      </c>
    </row>
    <row r="68" spans="3:40" ht="14" x14ac:dyDescent="0.3">
      <c r="C68" s="141">
        <v>59</v>
      </c>
      <c r="D68" s="462"/>
      <c r="E68" s="153"/>
      <c r="F68" s="498" t="str">
        <f>IF(D68="","",VLOOKUP(D68,'G-7 Rivers Data'!$B$2:$G$8,2,FALSE))</f>
        <v/>
      </c>
      <c r="G68" s="499" t="str">
        <f>IFERROR(VLOOKUP(F68,'G-7 Rivers Data'!$C$4:$D$8,2,FALSE),"")</f>
        <v/>
      </c>
      <c r="H68" s="145"/>
      <c r="I68" s="499" t="str">
        <f>IFERROR(INDEX('G-7 Rivers Data'!$H$4:$L$8,MATCH(D68,'G-7 Rivers Data'!$B$4:$B$8,0),MATCH(H68,'G-7 Rivers Data'!$H$3:$L$3,0)),"")</f>
        <v/>
      </c>
      <c r="J68" s="154"/>
      <c r="K68" s="520" t="str">
        <f>IF(J68="","",IF(VLOOKUP(J68,'G-7 Rivers Data'!$AK$4:$AM$9,2,FALSE)=0,"Spatial Data Missing ⚠",VLOOKUP(J68,'G-7 Rivers Data'!$AK$4:$AM$9,2,FALSE)))</f>
        <v/>
      </c>
      <c r="L68" s="524" t="str">
        <f>IF(J68="","",IF(VLOOKUP(J68,'G-7 Rivers Data'!$AK$4:$AM$9,3,FALSE)=0,"Spatial Data Missing ⚠",VLOOKUP(J68,'G-7 Rivers Data'!$AK$4:$AM$9,3,FALSE)))</f>
        <v/>
      </c>
      <c r="M68" s="71"/>
      <c r="N68" s="499" t="str">
        <f>IF(M68="","",IF(VLOOKUP(M68,'G-7 Rivers Data'!$AA$4:$AB$7,2,FALSE)=0,"Spatial Data Missing ⚠",VLOOKUP(M68,'G-7 Rivers Data'!$AA$4:$AB$7,2,FALSE)))</f>
        <v/>
      </c>
      <c r="O68" s="155"/>
      <c r="P68" s="499" t="str">
        <f>IF(O68="","",IF(VLOOKUP(O68,'G-7 Rivers Data'!$AD$4:$AE$8,2,FALSE)=0,"Spatial Data Missing ⚠",VLOOKUP(O68,'G-7 Rivers Data'!$AD$4:$AE$8,2,FALSE)))</f>
        <v/>
      </c>
      <c r="Q68" s="506" t="str">
        <f>IF(D68="","",VLOOKUP(D68,'G-7 Rivers Data'!$B$4:$G$8,6,FALSE))</f>
        <v/>
      </c>
      <c r="R68" s="513" t="str">
        <f t="shared" si="0"/>
        <v/>
      </c>
      <c r="S68" s="40"/>
      <c r="T68" s="145"/>
      <c r="U68" s="157"/>
      <c r="V68" s="511" t="str">
        <f t="shared" si="1"/>
        <v/>
      </c>
      <c r="W68" s="511" t="str">
        <f t="shared" si="2"/>
        <v/>
      </c>
      <c r="X68" s="511" t="str">
        <f t="shared" si="3"/>
        <v/>
      </c>
      <c r="Y68" s="515" t="str">
        <f t="shared" si="4"/>
        <v/>
      </c>
      <c r="Z68" s="151"/>
      <c r="AA68" s="152"/>
      <c r="AF68" s="31" t="str">
        <f>IFERROR(INDEX('G-7 Rivers Data'!$AZ$3:$AZ$7,MATCH(D68,'G-7 Rivers Data'!$AY$3:$AY$7,0)),"")</f>
        <v/>
      </c>
      <c r="AG68" s="31">
        <f t="shared" si="5"/>
        <v>0</v>
      </c>
      <c r="AH68" s="156" t="str">
        <f t="shared" si="6"/>
        <v/>
      </c>
      <c r="AI68" s="156" t="str">
        <f t="shared" si="7"/>
        <v/>
      </c>
      <c r="AK68" s="156">
        <v>59</v>
      </c>
      <c r="AM68" s="156" t="str">
        <f t="array" ref="AM68">IFERROR(INDEX($AK$10:$AK$258, MATCH(0, IF(TRUE=$AH$10:$AH$258, COUNTIF($AM$9:$AM67, $AK$10:$AK$258), ""), 0)),"")</f>
        <v/>
      </c>
      <c r="AN68" s="156" t="str">
        <f t="array" ref="AN68">IFERROR(INDEX($AK$10:$AK$258, MATCH(0, IF(TRUE=$AI$10:$AI$258, COUNTIF($AN$9:$AN67, $AK$10:$AK$258), ""), 0)),"")</f>
        <v/>
      </c>
    </row>
    <row r="69" spans="3:40" ht="14" x14ac:dyDescent="0.3">
      <c r="C69" s="141">
        <v>60</v>
      </c>
      <c r="D69" s="462"/>
      <c r="E69" s="153"/>
      <c r="F69" s="498" t="str">
        <f>IF(D69="","",VLOOKUP(D69,'G-7 Rivers Data'!$B$2:$G$8,2,FALSE))</f>
        <v/>
      </c>
      <c r="G69" s="499" t="str">
        <f>IFERROR(VLOOKUP(F69,'G-7 Rivers Data'!$C$4:$D$8,2,FALSE),"")</f>
        <v/>
      </c>
      <c r="H69" s="145"/>
      <c r="I69" s="499" t="str">
        <f>IFERROR(INDEX('G-7 Rivers Data'!$H$4:$L$8,MATCH(D69,'G-7 Rivers Data'!$B$4:$B$8,0),MATCH(H69,'G-7 Rivers Data'!$H$3:$L$3,0)),"")</f>
        <v/>
      </c>
      <c r="J69" s="154"/>
      <c r="K69" s="520" t="str">
        <f>IF(J69="","",IF(VLOOKUP(J69,'G-7 Rivers Data'!$AK$4:$AM$9,2,FALSE)=0,"Spatial Data Missing ⚠",VLOOKUP(J69,'G-7 Rivers Data'!$AK$4:$AM$9,2,FALSE)))</f>
        <v/>
      </c>
      <c r="L69" s="524" t="str">
        <f>IF(J69="","",IF(VLOOKUP(J69,'G-7 Rivers Data'!$AK$4:$AM$9,3,FALSE)=0,"Spatial Data Missing ⚠",VLOOKUP(J69,'G-7 Rivers Data'!$AK$4:$AM$9,3,FALSE)))</f>
        <v/>
      </c>
      <c r="M69" s="71"/>
      <c r="N69" s="499" t="str">
        <f>IF(M69="","",IF(VLOOKUP(M69,'G-7 Rivers Data'!$AA$4:$AB$7,2,FALSE)=0,"Spatial Data Missing ⚠",VLOOKUP(M69,'G-7 Rivers Data'!$AA$4:$AB$7,2,FALSE)))</f>
        <v/>
      </c>
      <c r="O69" s="155"/>
      <c r="P69" s="499" t="str">
        <f>IF(O69="","",IF(VLOOKUP(O69,'G-7 Rivers Data'!$AD$4:$AE$8,2,FALSE)=0,"Spatial Data Missing ⚠",VLOOKUP(O69,'G-7 Rivers Data'!$AD$4:$AE$8,2,FALSE)))</f>
        <v/>
      </c>
      <c r="Q69" s="506" t="str">
        <f>IF(D69="","",VLOOKUP(D69,'G-7 Rivers Data'!$B$4:$G$8,6,FALSE))</f>
        <v/>
      </c>
      <c r="R69" s="513" t="str">
        <f t="shared" si="0"/>
        <v/>
      </c>
      <c r="S69" s="40"/>
      <c r="T69" s="145"/>
      <c r="U69" s="157"/>
      <c r="V69" s="511" t="str">
        <f t="shared" si="1"/>
        <v/>
      </c>
      <c r="W69" s="511" t="str">
        <f t="shared" si="2"/>
        <v/>
      </c>
      <c r="X69" s="511" t="str">
        <f t="shared" si="3"/>
        <v/>
      </c>
      <c r="Y69" s="515" t="str">
        <f t="shared" si="4"/>
        <v/>
      </c>
      <c r="Z69" s="151"/>
      <c r="AA69" s="152"/>
      <c r="AF69" s="31" t="str">
        <f>IFERROR(INDEX('G-7 Rivers Data'!$AZ$3:$AZ$7,MATCH(D69,'G-7 Rivers Data'!$AY$3:$AY$7,0)),"")</f>
        <v/>
      </c>
      <c r="AG69" s="31">
        <f t="shared" si="5"/>
        <v>0</v>
      </c>
      <c r="AH69" s="156" t="str">
        <f t="shared" si="6"/>
        <v/>
      </c>
      <c r="AI69" s="156" t="str">
        <f t="shared" si="7"/>
        <v/>
      </c>
      <c r="AK69" s="156">
        <v>60</v>
      </c>
      <c r="AM69" s="156" t="str">
        <f t="array" ref="AM69">IFERROR(INDEX($AK$10:$AK$258, MATCH(0, IF(TRUE=$AH$10:$AH$258, COUNTIF($AM$9:$AM68, $AK$10:$AK$258), ""), 0)),"")</f>
        <v/>
      </c>
      <c r="AN69" s="156" t="str">
        <f t="array" ref="AN69">IFERROR(INDEX($AK$10:$AK$258, MATCH(0, IF(TRUE=$AI$10:$AI$258, COUNTIF($AN$9:$AN68, $AK$10:$AK$258), ""), 0)),"")</f>
        <v/>
      </c>
    </row>
    <row r="70" spans="3:40" ht="14" x14ac:dyDescent="0.3">
      <c r="C70" s="141">
        <v>61</v>
      </c>
      <c r="D70" s="462"/>
      <c r="E70" s="153"/>
      <c r="F70" s="498" t="str">
        <f>IF(D70="","",VLOOKUP(D70,'G-7 Rivers Data'!$B$2:$G$8,2,FALSE))</f>
        <v/>
      </c>
      <c r="G70" s="499" t="str">
        <f>IFERROR(VLOOKUP(F70,'G-7 Rivers Data'!$C$4:$D$8,2,FALSE),"")</f>
        <v/>
      </c>
      <c r="H70" s="145"/>
      <c r="I70" s="499" t="str">
        <f>IFERROR(INDEX('G-7 Rivers Data'!$H$4:$L$8,MATCH(D70,'G-7 Rivers Data'!$B$4:$B$8,0),MATCH(H70,'G-7 Rivers Data'!$H$3:$L$3,0)),"")</f>
        <v/>
      </c>
      <c r="J70" s="154"/>
      <c r="K70" s="520" t="str">
        <f>IF(J70="","",IF(VLOOKUP(J70,'G-7 Rivers Data'!$AK$4:$AM$9,2,FALSE)=0,"Spatial Data Missing ⚠",VLOOKUP(J70,'G-7 Rivers Data'!$AK$4:$AM$9,2,FALSE)))</f>
        <v/>
      </c>
      <c r="L70" s="524" t="str">
        <f>IF(J70="","",IF(VLOOKUP(J70,'G-7 Rivers Data'!$AK$4:$AM$9,3,FALSE)=0,"Spatial Data Missing ⚠",VLOOKUP(J70,'G-7 Rivers Data'!$AK$4:$AM$9,3,FALSE)))</f>
        <v/>
      </c>
      <c r="M70" s="71"/>
      <c r="N70" s="499" t="str">
        <f>IF(M70="","",IF(VLOOKUP(M70,'G-7 Rivers Data'!$AA$4:$AB$7,2,FALSE)=0,"Spatial Data Missing ⚠",VLOOKUP(M70,'G-7 Rivers Data'!$AA$4:$AB$7,2,FALSE)))</f>
        <v/>
      </c>
      <c r="O70" s="155"/>
      <c r="P70" s="499" t="str">
        <f>IF(O70="","",IF(VLOOKUP(O70,'G-7 Rivers Data'!$AD$4:$AE$8,2,FALSE)=0,"Spatial Data Missing ⚠",VLOOKUP(O70,'G-7 Rivers Data'!$AD$4:$AE$8,2,FALSE)))</f>
        <v/>
      </c>
      <c r="Q70" s="506" t="str">
        <f>IF(D70="","",VLOOKUP(D70,'G-7 Rivers Data'!$B$4:$G$8,6,FALSE))</f>
        <v/>
      </c>
      <c r="R70" s="513" t="str">
        <f t="shared" si="0"/>
        <v/>
      </c>
      <c r="S70" s="40"/>
      <c r="T70" s="145"/>
      <c r="U70" s="157"/>
      <c r="V70" s="511" t="str">
        <f t="shared" si="1"/>
        <v/>
      </c>
      <c r="W70" s="511" t="str">
        <f t="shared" si="2"/>
        <v/>
      </c>
      <c r="X70" s="511" t="str">
        <f t="shared" si="3"/>
        <v/>
      </c>
      <c r="Y70" s="515" t="str">
        <f t="shared" si="4"/>
        <v/>
      </c>
      <c r="Z70" s="151"/>
      <c r="AA70" s="152"/>
      <c r="AF70" s="31" t="str">
        <f>IFERROR(INDEX('G-7 Rivers Data'!$AZ$3:$AZ$7,MATCH(D70,'G-7 Rivers Data'!$AY$3:$AY$7,0)),"")</f>
        <v/>
      </c>
      <c r="AG70" s="31">
        <f t="shared" si="5"/>
        <v>0</v>
      </c>
      <c r="AH70" s="156" t="str">
        <f t="shared" si="6"/>
        <v/>
      </c>
      <c r="AI70" s="156" t="str">
        <f t="shared" si="7"/>
        <v/>
      </c>
      <c r="AK70" s="156">
        <v>61</v>
      </c>
      <c r="AM70" s="156" t="str">
        <f t="array" ref="AM70">IFERROR(INDEX($AK$10:$AK$258, MATCH(0, IF(TRUE=$AH$10:$AH$258, COUNTIF($AM$9:$AM69, $AK$10:$AK$258), ""), 0)),"")</f>
        <v/>
      </c>
      <c r="AN70" s="156" t="str">
        <f t="array" ref="AN70">IFERROR(INDEX($AK$10:$AK$258, MATCH(0, IF(TRUE=$AI$10:$AI$258, COUNTIF($AN$9:$AN69, $AK$10:$AK$258), ""), 0)),"")</f>
        <v/>
      </c>
    </row>
    <row r="71" spans="3:40" ht="14" x14ac:dyDescent="0.3">
      <c r="C71" s="141">
        <v>62</v>
      </c>
      <c r="D71" s="462"/>
      <c r="E71" s="153"/>
      <c r="F71" s="498" t="str">
        <f>IF(D71="","",VLOOKUP(D71,'G-7 Rivers Data'!$B$2:$G$8,2,FALSE))</f>
        <v/>
      </c>
      <c r="G71" s="499" t="str">
        <f>IFERROR(VLOOKUP(F71,'G-7 Rivers Data'!$C$4:$D$8,2,FALSE),"")</f>
        <v/>
      </c>
      <c r="H71" s="145"/>
      <c r="I71" s="499" t="str">
        <f>IFERROR(INDEX('G-7 Rivers Data'!$H$4:$L$8,MATCH(D71,'G-7 Rivers Data'!$B$4:$B$8,0),MATCH(H71,'G-7 Rivers Data'!$H$3:$L$3,0)),"")</f>
        <v/>
      </c>
      <c r="J71" s="154"/>
      <c r="K71" s="520" t="str">
        <f>IF(J71="","",IF(VLOOKUP(J71,'G-7 Rivers Data'!$AK$4:$AM$9,2,FALSE)=0,"Spatial Data Missing ⚠",VLOOKUP(J71,'G-7 Rivers Data'!$AK$4:$AM$9,2,FALSE)))</f>
        <v/>
      </c>
      <c r="L71" s="524" t="str">
        <f>IF(J71="","",IF(VLOOKUP(J71,'G-7 Rivers Data'!$AK$4:$AM$9,3,FALSE)=0,"Spatial Data Missing ⚠",VLOOKUP(J71,'G-7 Rivers Data'!$AK$4:$AM$9,3,FALSE)))</f>
        <v/>
      </c>
      <c r="M71" s="71"/>
      <c r="N71" s="499" t="str">
        <f>IF(M71="","",IF(VLOOKUP(M71,'G-7 Rivers Data'!$AA$4:$AB$7,2,FALSE)=0,"Spatial Data Missing ⚠",VLOOKUP(M71,'G-7 Rivers Data'!$AA$4:$AB$7,2,FALSE)))</f>
        <v/>
      </c>
      <c r="O71" s="155"/>
      <c r="P71" s="499" t="str">
        <f>IF(O71="","",IF(VLOOKUP(O71,'G-7 Rivers Data'!$AD$4:$AE$8,2,FALSE)=0,"Spatial Data Missing ⚠",VLOOKUP(O71,'G-7 Rivers Data'!$AD$4:$AE$8,2,FALSE)))</f>
        <v/>
      </c>
      <c r="Q71" s="506" t="str">
        <f>IF(D71="","",VLOOKUP(D71,'G-7 Rivers Data'!$B$4:$G$8,6,FALSE))</f>
        <v/>
      </c>
      <c r="R71" s="513" t="str">
        <f t="shared" si="0"/>
        <v/>
      </c>
      <c r="S71" s="40"/>
      <c r="T71" s="145"/>
      <c r="U71" s="157"/>
      <c r="V71" s="511" t="str">
        <f t="shared" si="1"/>
        <v/>
      </c>
      <c r="W71" s="511" t="str">
        <f t="shared" si="2"/>
        <v/>
      </c>
      <c r="X71" s="511" t="str">
        <f t="shared" si="3"/>
        <v/>
      </c>
      <c r="Y71" s="515" t="str">
        <f t="shared" si="4"/>
        <v/>
      </c>
      <c r="Z71" s="151"/>
      <c r="AA71" s="152"/>
      <c r="AF71" s="31" t="str">
        <f>IFERROR(INDEX('G-7 Rivers Data'!$AZ$3:$AZ$7,MATCH(D71,'G-7 Rivers Data'!$AY$3:$AY$7,0)),"")</f>
        <v/>
      </c>
      <c r="AG71" s="31">
        <f t="shared" si="5"/>
        <v>0</v>
      </c>
      <c r="AH71" s="156" t="str">
        <f t="shared" si="6"/>
        <v/>
      </c>
      <c r="AI71" s="156" t="str">
        <f t="shared" si="7"/>
        <v/>
      </c>
      <c r="AK71" s="156">
        <v>62</v>
      </c>
      <c r="AM71" s="156" t="str">
        <f t="array" ref="AM71">IFERROR(INDEX($AK$10:$AK$258, MATCH(0, IF(TRUE=$AH$10:$AH$258, COUNTIF($AM$9:$AM70, $AK$10:$AK$258), ""), 0)),"")</f>
        <v/>
      </c>
      <c r="AN71" s="156" t="str">
        <f t="array" ref="AN71">IFERROR(INDEX($AK$10:$AK$258, MATCH(0, IF(TRUE=$AI$10:$AI$258, COUNTIF($AN$9:$AN70, $AK$10:$AK$258), ""), 0)),"")</f>
        <v/>
      </c>
    </row>
    <row r="72" spans="3:40" ht="14" x14ac:dyDescent="0.3">
      <c r="C72" s="141">
        <v>63</v>
      </c>
      <c r="D72" s="462"/>
      <c r="E72" s="153"/>
      <c r="F72" s="498" t="str">
        <f>IF(D72="","",VLOOKUP(D72,'G-7 Rivers Data'!$B$2:$G$8,2,FALSE))</f>
        <v/>
      </c>
      <c r="G72" s="499" t="str">
        <f>IFERROR(VLOOKUP(F72,'G-7 Rivers Data'!$C$4:$D$8,2,FALSE),"")</f>
        <v/>
      </c>
      <c r="H72" s="145"/>
      <c r="I72" s="499" t="str">
        <f>IFERROR(INDEX('G-7 Rivers Data'!$H$4:$L$8,MATCH(D72,'G-7 Rivers Data'!$B$4:$B$8,0),MATCH(H72,'G-7 Rivers Data'!$H$3:$L$3,0)),"")</f>
        <v/>
      </c>
      <c r="J72" s="154"/>
      <c r="K72" s="520" t="str">
        <f>IF(J72="","",IF(VLOOKUP(J72,'G-7 Rivers Data'!$AK$4:$AM$9,2,FALSE)=0,"Spatial Data Missing ⚠",VLOOKUP(J72,'G-7 Rivers Data'!$AK$4:$AM$9,2,FALSE)))</f>
        <v/>
      </c>
      <c r="L72" s="524" t="str">
        <f>IF(J72="","",IF(VLOOKUP(J72,'G-7 Rivers Data'!$AK$4:$AM$9,3,FALSE)=0,"Spatial Data Missing ⚠",VLOOKUP(J72,'G-7 Rivers Data'!$AK$4:$AM$9,3,FALSE)))</f>
        <v/>
      </c>
      <c r="M72" s="71"/>
      <c r="N72" s="499" t="str">
        <f>IF(M72="","",IF(VLOOKUP(M72,'G-7 Rivers Data'!$AA$4:$AB$7,2,FALSE)=0,"Spatial Data Missing ⚠",VLOOKUP(M72,'G-7 Rivers Data'!$AA$4:$AB$7,2,FALSE)))</f>
        <v/>
      </c>
      <c r="O72" s="155"/>
      <c r="P72" s="499" t="str">
        <f>IF(O72="","",IF(VLOOKUP(O72,'G-7 Rivers Data'!$AD$4:$AE$8,2,FALSE)=0,"Spatial Data Missing ⚠",VLOOKUP(O72,'G-7 Rivers Data'!$AD$4:$AE$8,2,FALSE)))</f>
        <v/>
      </c>
      <c r="Q72" s="506" t="str">
        <f>IF(D72="","",VLOOKUP(D72,'G-7 Rivers Data'!$B$4:$G$8,6,FALSE))</f>
        <v/>
      </c>
      <c r="R72" s="513" t="str">
        <f t="shared" si="0"/>
        <v/>
      </c>
      <c r="S72" s="40"/>
      <c r="T72" s="145"/>
      <c r="U72" s="157"/>
      <c r="V72" s="511" t="str">
        <f t="shared" si="1"/>
        <v/>
      </c>
      <c r="W72" s="511" t="str">
        <f t="shared" si="2"/>
        <v/>
      </c>
      <c r="X72" s="511" t="str">
        <f t="shared" si="3"/>
        <v/>
      </c>
      <c r="Y72" s="515" t="str">
        <f t="shared" si="4"/>
        <v/>
      </c>
      <c r="Z72" s="151"/>
      <c r="AA72" s="152"/>
      <c r="AF72" s="31" t="str">
        <f>IFERROR(INDEX('G-7 Rivers Data'!$AZ$3:$AZ$7,MATCH(D72,'G-7 Rivers Data'!$AY$3:$AY$7,0)),"")</f>
        <v/>
      </c>
      <c r="AG72" s="31">
        <f t="shared" si="5"/>
        <v>0</v>
      </c>
      <c r="AH72" s="156" t="str">
        <f t="shared" si="6"/>
        <v/>
      </c>
      <c r="AI72" s="156" t="str">
        <f t="shared" si="7"/>
        <v/>
      </c>
      <c r="AK72" s="156">
        <v>63</v>
      </c>
      <c r="AM72" s="156" t="str">
        <f t="array" ref="AM72">IFERROR(INDEX($AK$10:$AK$258, MATCH(0, IF(TRUE=$AH$10:$AH$258, COUNTIF($AM$9:$AM71, $AK$10:$AK$258), ""), 0)),"")</f>
        <v/>
      </c>
      <c r="AN72" s="156" t="str">
        <f t="array" ref="AN72">IFERROR(INDEX($AK$10:$AK$258, MATCH(0, IF(TRUE=$AI$10:$AI$258, COUNTIF($AN$9:$AN71, $AK$10:$AK$258), ""), 0)),"")</f>
        <v/>
      </c>
    </row>
    <row r="73" spans="3:40" ht="14" x14ac:dyDescent="0.3">
      <c r="C73" s="141">
        <v>64</v>
      </c>
      <c r="D73" s="462"/>
      <c r="E73" s="153"/>
      <c r="F73" s="498" t="str">
        <f>IF(D73="","",VLOOKUP(D73,'G-7 Rivers Data'!$B$2:$G$8,2,FALSE))</f>
        <v/>
      </c>
      <c r="G73" s="499" t="str">
        <f>IFERROR(VLOOKUP(F73,'G-7 Rivers Data'!$C$4:$D$8,2,FALSE),"")</f>
        <v/>
      </c>
      <c r="H73" s="145"/>
      <c r="I73" s="499" t="str">
        <f>IFERROR(INDEX('G-7 Rivers Data'!$H$4:$L$8,MATCH(D73,'G-7 Rivers Data'!$B$4:$B$8,0),MATCH(H73,'G-7 Rivers Data'!$H$3:$L$3,0)),"")</f>
        <v/>
      </c>
      <c r="J73" s="154"/>
      <c r="K73" s="520" t="str">
        <f>IF(J73="","",IF(VLOOKUP(J73,'G-7 Rivers Data'!$AK$4:$AM$9,2,FALSE)=0,"Spatial Data Missing ⚠",VLOOKUP(J73,'G-7 Rivers Data'!$AK$4:$AM$9,2,FALSE)))</f>
        <v/>
      </c>
      <c r="L73" s="524" t="str">
        <f>IF(J73="","",IF(VLOOKUP(J73,'G-7 Rivers Data'!$AK$4:$AM$9,3,FALSE)=0,"Spatial Data Missing ⚠",VLOOKUP(J73,'G-7 Rivers Data'!$AK$4:$AM$9,3,FALSE)))</f>
        <v/>
      </c>
      <c r="M73" s="71"/>
      <c r="N73" s="499" t="str">
        <f>IF(M73="","",IF(VLOOKUP(M73,'G-7 Rivers Data'!$AA$4:$AB$7,2,FALSE)=0,"Spatial Data Missing ⚠",VLOOKUP(M73,'G-7 Rivers Data'!$AA$4:$AB$7,2,FALSE)))</f>
        <v/>
      </c>
      <c r="O73" s="155"/>
      <c r="P73" s="499" t="str">
        <f>IF(O73="","",IF(VLOOKUP(O73,'G-7 Rivers Data'!$AD$4:$AE$8,2,FALSE)=0,"Spatial Data Missing ⚠",VLOOKUP(O73,'G-7 Rivers Data'!$AD$4:$AE$8,2,FALSE)))</f>
        <v/>
      </c>
      <c r="Q73" s="506" t="str">
        <f>IF(D73="","",VLOOKUP(D73,'G-7 Rivers Data'!$B$4:$G$8,6,FALSE))</f>
        <v/>
      </c>
      <c r="R73" s="513" t="str">
        <f t="shared" si="0"/>
        <v/>
      </c>
      <c r="S73" s="40"/>
      <c r="T73" s="145"/>
      <c r="U73" s="157"/>
      <c r="V73" s="511" t="str">
        <f t="shared" si="1"/>
        <v/>
      </c>
      <c r="W73" s="511" t="str">
        <f t="shared" si="2"/>
        <v/>
      </c>
      <c r="X73" s="511" t="str">
        <f t="shared" si="3"/>
        <v/>
      </c>
      <c r="Y73" s="515" t="str">
        <f t="shared" si="4"/>
        <v/>
      </c>
      <c r="Z73" s="151"/>
      <c r="AA73" s="152"/>
      <c r="AF73" s="31" t="str">
        <f>IFERROR(INDEX('G-7 Rivers Data'!$AZ$3:$AZ$7,MATCH(D73,'G-7 Rivers Data'!$AY$3:$AY$7,0)),"")</f>
        <v/>
      </c>
      <c r="AG73" s="31">
        <f t="shared" si="5"/>
        <v>0</v>
      </c>
      <c r="AH73" s="156" t="str">
        <f t="shared" si="6"/>
        <v/>
      </c>
      <c r="AI73" s="156" t="str">
        <f t="shared" si="7"/>
        <v/>
      </c>
      <c r="AK73" s="156">
        <v>64</v>
      </c>
      <c r="AM73" s="156" t="str">
        <f t="array" ref="AM73">IFERROR(INDEX($AK$10:$AK$258, MATCH(0, IF(TRUE=$AH$10:$AH$258, COUNTIF($AM$9:$AM72, $AK$10:$AK$258), ""), 0)),"")</f>
        <v/>
      </c>
      <c r="AN73" s="156" t="str">
        <f t="array" ref="AN73">IFERROR(INDEX($AK$10:$AK$258, MATCH(0, IF(TRUE=$AI$10:$AI$258, COUNTIF($AN$9:$AN72, $AK$10:$AK$258), ""), 0)),"")</f>
        <v/>
      </c>
    </row>
    <row r="74" spans="3:40" ht="14" x14ac:dyDescent="0.3">
      <c r="C74" s="141">
        <v>65</v>
      </c>
      <c r="D74" s="462"/>
      <c r="E74" s="153"/>
      <c r="F74" s="498" t="str">
        <f>IF(D74="","",VLOOKUP(D74,'G-7 Rivers Data'!$B$2:$G$8,2,FALSE))</f>
        <v/>
      </c>
      <c r="G74" s="499" t="str">
        <f>IFERROR(VLOOKUP(F74,'G-7 Rivers Data'!$C$4:$D$8,2,FALSE),"")</f>
        <v/>
      </c>
      <c r="H74" s="145"/>
      <c r="I74" s="499" t="str">
        <f>IFERROR(INDEX('G-7 Rivers Data'!$H$4:$L$8,MATCH(D74,'G-7 Rivers Data'!$B$4:$B$8,0),MATCH(H74,'G-7 Rivers Data'!$H$3:$L$3,0)),"")</f>
        <v/>
      </c>
      <c r="J74" s="154"/>
      <c r="K74" s="520" t="str">
        <f>IF(J74="","",IF(VLOOKUP(J74,'G-7 Rivers Data'!$AK$4:$AM$9,2,FALSE)=0,"Spatial Data Missing ⚠",VLOOKUP(J74,'G-7 Rivers Data'!$AK$4:$AM$9,2,FALSE)))</f>
        <v/>
      </c>
      <c r="L74" s="524" t="str">
        <f>IF(J74="","",IF(VLOOKUP(J74,'G-7 Rivers Data'!$AK$4:$AM$9,3,FALSE)=0,"Spatial Data Missing ⚠",VLOOKUP(J74,'G-7 Rivers Data'!$AK$4:$AM$9,3,FALSE)))</f>
        <v/>
      </c>
      <c r="M74" s="71"/>
      <c r="N74" s="499" t="str">
        <f>IF(M74="","",IF(VLOOKUP(M74,'G-7 Rivers Data'!$AA$4:$AB$7,2,FALSE)=0,"Spatial Data Missing ⚠",VLOOKUP(M74,'G-7 Rivers Data'!$AA$4:$AB$7,2,FALSE)))</f>
        <v/>
      </c>
      <c r="O74" s="155"/>
      <c r="P74" s="499" t="str">
        <f>IF(O74="","",IF(VLOOKUP(O74,'G-7 Rivers Data'!$AD$4:$AE$8,2,FALSE)=0,"Spatial Data Missing ⚠",VLOOKUP(O74,'G-7 Rivers Data'!$AD$4:$AE$8,2,FALSE)))</f>
        <v/>
      </c>
      <c r="Q74" s="506" t="str">
        <f>IF(D74="","",VLOOKUP(D74,'G-7 Rivers Data'!$B$4:$G$8,6,FALSE))</f>
        <v/>
      </c>
      <c r="R74" s="513" t="str">
        <f t="shared" si="0"/>
        <v/>
      </c>
      <c r="S74" s="40"/>
      <c r="T74" s="145"/>
      <c r="U74" s="157"/>
      <c r="V74" s="511" t="str">
        <f t="shared" si="1"/>
        <v/>
      </c>
      <c r="W74" s="511" t="str">
        <f t="shared" si="2"/>
        <v/>
      </c>
      <c r="X74" s="511" t="str">
        <f t="shared" si="3"/>
        <v/>
      </c>
      <c r="Y74" s="515" t="str">
        <f t="shared" si="4"/>
        <v/>
      </c>
      <c r="Z74" s="151"/>
      <c r="AA74" s="152"/>
      <c r="AF74" s="31" t="str">
        <f>IFERROR(INDEX('G-7 Rivers Data'!$AZ$3:$AZ$7,MATCH(D74,'G-7 Rivers Data'!$AY$3:$AY$7,0)),"")</f>
        <v/>
      </c>
      <c r="AG74" s="31">
        <f t="shared" si="5"/>
        <v>0</v>
      </c>
      <c r="AH74" s="156" t="str">
        <f t="shared" si="6"/>
        <v/>
      </c>
      <c r="AI74" s="156" t="str">
        <f t="shared" si="7"/>
        <v/>
      </c>
      <c r="AK74" s="156">
        <v>65</v>
      </c>
      <c r="AM74" s="156" t="str">
        <f t="array" ref="AM74">IFERROR(INDEX($AK$10:$AK$258, MATCH(0, IF(TRUE=$AH$10:$AH$258, COUNTIF($AM$9:$AM73, $AK$10:$AK$258), ""), 0)),"")</f>
        <v/>
      </c>
      <c r="AN74" s="156" t="str">
        <f t="array" ref="AN74">IFERROR(INDEX($AK$10:$AK$258, MATCH(0, IF(TRUE=$AI$10:$AI$258, COUNTIF($AN$9:$AN73, $AK$10:$AK$258), ""), 0)),"")</f>
        <v/>
      </c>
    </row>
    <row r="75" spans="3:40" ht="14" x14ac:dyDescent="0.3">
      <c r="C75" s="141">
        <v>66</v>
      </c>
      <c r="D75" s="462"/>
      <c r="E75" s="153"/>
      <c r="F75" s="498" t="str">
        <f>IF(D75="","",VLOOKUP(D75,'G-7 Rivers Data'!$B$2:$G$8,2,FALSE))</f>
        <v/>
      </c>
      <c r="G75" s="499" t="str">
        <f>IFERROR(VLOOKUP(F75,'G-7 Rivers Data'!$C$4:$D$8,2,FALSE),"")</f>
        <v/>
      </c>
      <c r="H75" s="145"/>
      <c r="I75" s="499" t="str">
        <f>IFERROR(INDEX('G-7 Rivers Data'!$H$4:$L$8,MATCH(D75,'G-7 Rivers Data'!$B$4:$B$8,0),MATCH(H75,'G-7 Rivers Data'!$H$3:$L$3,0)),"")</f>
        <v/>
      </c>
      <c r="J75" s="154"/>
      <c r="K75" s="520" t="str">
        <f>IF(J75="","",IF(VLOOKUP(J75,'G-7 Rivers Data'!$AK$4:$AM$9,2,FALSE)=0,"Spatial Data Missing ⚠",VLOOKUP(J75,'G-7 Rivers Data'!$AK$4:$AM$9,2,FALSE)))</f>
        <v/>
      </c>
      <c r="L75" s="524" t="str">
        <f>IF(J75="","",IF(VLOOKUP(J75,'G-7 Rivers Data'!$AK$4:$AM$9,3,FALSE)=0,"Spatial Data Missing ⚠",VLOOKUP(J75,'G-7 Rivers Data'!$AK$4:$AM$9,3,FALSE)))</f>
        <v/>
      </c>
      <c r="M75" s="71"/>
      <c r="N75" s="499" t="str">
        <f>IF(M75="","",IF(VLOOKUP(M75,'G-7 Rivers Data'!$AA$4:$AB$7,2,FALSE)=0,"Spatial Data Missing ⚠",VLOOKUP(M75,'G-7 Rivers Data'!$AA$4:$AB$7,2,FALSE)))</f>
        <v/>
      </c>
      <c r="O75" s="155"/>
      <c r="P75" s="499" t="str">
        <f>IF(O75="","",IF(VLOOKUP(O75,'G-7 Rivers Data'!$AD$4:$AE$8,2,FALSE)=0,"Spatial Data Missing ⚠",VLOOKUP(O75,'G-7 Rivers Data'!$AD$4:$AE$8,2,FALSE)))</f>
        <v/>
      </c>
      <c r="Q75" s="506" t="str">
        <f>IF(D75="","",VLOOKUP(D75,'G-7 Rivers Data'!$B$4:$G$8,6,FALSE))</f>
        <v/>
      </c>
      <c r="R75" s="513" t="str">
        <f t="shared" ref="R75:R138" si="8">IFERROR(E75*G75*I75*L75*N75*P75,"")</f>
        <v/>
      </c>
      <c r="S75" s="40"/>
      <c r="T75" s="145"/>
      <c r="U75" s="157"/>
      <c r="V75" s="511" t="str">
        <f t="shared" ref="V75:V138" si="9">IFERROR(IF(T75&gt;E75,"Check Lengths",T75*G75*I75*L75*N75*P75),"")</f>
        <v/>
      </c>
      <c r="W75" s="511" t="str">
        <f t="shared" ref="W75:W138" si="10">IFERROR(IF(D75="","",U75*G75*I75*L75*N75*P75),"")</f>
        <v/>
      </c>
      <c r="X75" s="511" t="str">
        <f t="shared" ref="X75:X138" si="11">IFERROR(IF(D75="","",IF(E75&gt;(T75+U75),E75-T75-U75,0)),"")</f>
        <v/>
      </c>
      <c r="Y75" s="515" t="str">
        <f t="shared" ref="Y75:Y138" si="12">IFERROR(IF(E75="","",IF((V75+W75)&gt;R75,0,R75-V75-W75)),"Check Data ⚠")</f>
        <v/>
      </c>
      <c r="Z75" s="151"/>
      <c r="AA75" s="152"/>
      <c r="AF75" s="31" t="str">
        <f>IFERROR(INDEX('G-7 Rivers Data'!$AZ$3:$AZ$7,MATCH(D75,'G-7 Rivers Data'!$AY$3:$AY$7,0)),"")</f>
        <v/>
      </c>
      <c r="AG75" s="31">
        <f t="shared" ref="AG75:AG138" si="13">IFERROR(IF(T75+U75&gt;E75,1,0),"")</f>
        <v>0</v>
      </c>
      <c r="AH75" s="156" t="str">
        <f t="shared" ref="AH75:AH138" si="14">IF(D75="","",IF(T75&gt;0,TRUE,FALSE))</f>
        <v/>
      </c>
      <c r="AI75" s="156" t="str">
        <f t="shared" ref="AI75:AI138" si="15">IF(D75="","",IF(U75&gt;0,TRUE,FALSE))</f>
        <v/>
      </c>
      <c r="AK75" s="156">
        <v>66</v>
      </c>
      <c r="AM75" s="156" t="str">
        <f t="array" ref="AM75">IFERROR(INDEX($AK$10:$AK$258, MATCH(0, IF(TRUE=$AH$10:$AH$258, COUNTIF($AM$9:$AM74, $AK$10:$AK$258), ""), 0)),"")</f>
        <v/>
      </c>
      <c r="AN75" s="156" t="str">
        <f t="array" ref="AN75">IFERROR(INDEX($AK$10:$AK$258, MATCH(0, IF(TRUE=$AI$10:$AI$258, COUNTIF($AN$9:$AN74, $AK$10:$AK$258), ""), 0)),"")</f>
        <v/>
      </c>
    </row>
    <row r="76" spans="3:40" ht="14" x14ac:dyDescent="0.3">
      <c r="C76" s="141">
        <v>67</v>
      </c>
      <c r="D76" s="462"/>
      <c r="E76" s="153"/>
      <c r="F76" s="498" t="str">
        <f>IF(D76="","",VLOOKUP(D76,'G-7 Rivers Data'!$B$2:$G$8,2,FALSE))</f>
        <v/>
      </c>
      <c r="G76" s="499" t="str">
        <f>IFERROR(VLOOKUP(F76,'G-7 Rivers Data'!$C$4:$D$8,2,FALSE),"")</f>
        <v/>
      </c>
      <c r="H76" s="145"/>
      <c r="I76" s="499" t="str">
        <f>IFERROR(INDEX('G-7 Rivers Data'!$H$4:$L$8,MATCH(D76,'G-7 Rivers Data'!$B$4:$B$8,0),MATCH(H76,'G-7 Rivers Data'!$H$3:$L$3,0)),"")</f>
        <v/>
      </c>
      <c r="J76" s="154"/>
      <c r="K76" s="520" t="str">
        <f>IF(J76="","",IF(VLOOKUP(J76,'G-7 Rivers Data'!$AK$4:$AM$9,2,FALSE)=0,"Spatial Data Missing ⚠",VLOOKUP(J76,'G-7 Rivers Data'!$AK$4:$AM$9,2,FALSE)))</f>
        <v/>
      </c>
      <c r="L76" s="524" t="str">
        <f>IF(J76="","",IF(VLOOKUP(J76,'G-7 Rivers Data'!$AK$4:$AM$9,3,FALSE)=0,"Spatial Data Missing ⚠",VLOOKUP(J76,'G-7 Rivers Data'!$AK$4:$AM$9,3,FALSE)))</f>
        <v/>
      </c>
      <c r="M76" s="71"/>
      <c r="N76" s="499" t="str">
        <f>IF(M76="","",IF(VLOOKUP(M76,'G-7 Rivers Data'!$AA$4:$AB$7,2,FALSE)=0,"Spatial Data Missing ⚠",VLOOKUP(M76,'G-7 Rivers Data'!$AA$4:$AB$7,2,FALSE)))</f>
        <v/>
      </c>
      <c r="O76" s="155"/>
      <c r="P76" s="499" t="str">
        <f>IF(O76="","",IF(VLOOKUP(O76,'G-7 Rivers Data'!$AD$4:$AE$8,2,FALSE)=0,"Spatial Data Missing ⚠",VLOOKUP(O76,'G-7 Rivers Data'!$AD$4:$AE$8,2,FALSE)))</f>
        <v/>
      </c>
      <c r="Q76" s="506" t="str">
        <f>IF(D76="","",VLOOKUP(D76,'G-7 Rivers Data'!$B$4:$G$8,6,FALSE))</f>
        <v/>
      </c>
      <c r="R76" s="513" t="str">
        <f t="shared" si="8"/>
        <v/>
      </c>
      <c r="S76" s="40"/>
      <c r="T76" s="145"/>
      <c r="U76" s="157"/>
      <c r="V76" s="511" t="str">
        <f t="shared" si="9"/>
        <v/>
      </c>
      <c r="W76" s="511" t="str">
        <f t="shared" si="10"/>
        <v/>
      </c>
      <c r="X76" s="511" t="str">
        <f t="shared" si="11"/>
        <v/>
      </c>
      <c r="Y76" s="515" t="str">
        <f t="shared" si="12"/>
        <v/>
      </c>
      <c r="Z76" s="151"/>
      <c r="AA76" s="152"/>
      <c r="AF76" s="31" t="str">
        <f>IFERROR(INDEX('G-7 Rivers Data'!$AZ$3:$AZ$7,MATCH(D76,'G-7 Rivers Data'!$AY$3:$AY$7,0)),"")</f>
        <v/>
      </c>
      <c r="AG76" s="31">
        <f t="shared" si="13"/>
        <v>0</v>
      </c>
      <c r="AH76" s="156" t="str">
        <f t="shared" si="14"/>
        <v/>
      </c>
      <c r="AI76" s="156" t="str">
        <f t="shared" si="15"/>
        <v/>
      </c>
      <c r="AK76" s="156">
        <v>67</v>
      </c>
      <c r="AM76" s="156" t="str">
        <f t="array" ref="AM76">IFERROR(INDEX($AK$10:$AK$258, MATCH(0, IF(TRUE=$AH$10:$AH$258, COUNTIF($AM$9:$AM75, $AK$10:$AK$258), ""), 0)),"")</f>
        <v/>
      </c>
      <c r="AN76" s="156" t="str">
        <f t="array" ref="AN76">IFERROR(INDEX($AK$10:$AK$258, MATCH(0, IF(TRUE=$AI$10:$AI$258, COUNTIF($AN$9:$AN75, $AK$10:$AK$258), ""), 0)),"")</f>
        <v/>
      </c>
    </row>
    <row r="77" spans="3:40" ht="14" x14ac:dyDescent="0.3">
      <c r="C77" s="141">
        <v>68</v>
      </c>
      <c r="D77" s="462"/>
      <c r="E77" s="153"/>
      <c r="F77" s="498" t="str">
        <f>IF(D77="","",VLOOKUP(D77,'G-7 Rivers Data'!$B$2:$G$8,2,FALSE))</f>
        <v/>
      </c>
      <c r="G77" s="499" t="str">
        <f>IFERROR(VLOOKUP(F77,'G-7 Rivers Data'!$C$4:$D$8,2,FALSE),"")</f>
        <v/>
      </c>
      <c r="H77" s="145"/>
      <c r="I77" s="499" t="str">
        <f>IFERROR(INDEX('G-7 Rivers Data'!$H$4:$L$8,MATCH(D77,'G-7 Rivers Data'!$B$4:$B$8,0),MATCH(H77,'G-7 Rivers Data'!$H$3:$L$3,0)),"")</f>
        <v/>
      </c>
      <c r="J77" s="154"/>
      <c r="K77" s="520" t="str">
        <f>IF(J77="","",IF(VLOOKUP(J77,'G-7 Rivers Data'!$AK$4:$AM$9,2,FALSE)=0,"Spatial Data Missing ⚠",VLOOKUP(J77,'G-7 Rivers Data'!$AK$4:$AM$9,2,FALSE)))</f>
        <v/>
      </c>
      <c r="L77" s="524" t="str">
        <f>IF(J77="","",IF(VLOOKUP(J77,'G-7 Rivers Data'!$AK$4:$AM$9,3,FALSE)=0,"Spatial Data Missing ⚠",VLOOKUP(J77,'G-7 Rivers Data'!$AK$4:$AM$9,3,FALSE)))</f>
        <v/>
      </c>
      <c r="M77" s="71"/>
      <c r="N77" s="499" t="str">
        <f>IF(M77="","",IF(VLOOKUP(M77,'G-7 Rivers Data'!$AA$4:$AB$7,2,FALSE)=0,"Spatial Data Missing ⚠",VLOOKUP(M77,'G-7 Rivers Data'!$AA$4:$AB$7,2,FALSE)))</f>
        <v/>
      </c>
      <c r="O77" s="155"/>
      <c r="P77" s="499" t="str">
        <f>IF(O77="","",IF(VLOOKUP(O77,'G-7 Rivers Data'!$AD$4:$AE$8,2,FALSE)=0,"Spatial Data Missing ⚠",VLOOKUP(O77,'G-7 Rivers Data'!$AD$4:$AE$8,2,FALSE)))</f>
        <v/>
      </c>
      <c r="Q77" s="506" t="str">
        <f>IF(D77="","",VLOOKUP(D77,'G-7 Rivers Data'!$B$4:$G$8,6,FALSE))</f>
        <v/>
      </c>
      <c r="R77" s="513" t="str">
        <f t="shared" si="8"/>
        <v/>
      </c>
      <c r="S77" s="40"/>
      <c r="T77" s="145"/>
      <c r="U77" s="157"/>
      <c r="V77" s="511" t="str">
        <f t="shared" si="9"/>
        <v/>
      </c>
      <c r="W77" s="511" t="str">
        <f t="shared" si="10"/>
        <v/>
      </c>
      <c r="X77" s="511" t="str">
        <f t="shared" si="11"/>
        <v/>
      </c>
      <c r="Y77" s="515" t="str">
        <f t="shared" si="12"/>
        <v/>
      </c>
      <c r="Z77" s="151"/>
      <c r="AA77" s="152"/>
      <c r="AF77" s="31" t="str">
        <f>IFERROR(INDEX('G-7 Rivers Data'!$AZ$3:$AZ$7,MATCH(D77,'G-7 Rivers Data'!$AY$3:$AY$7,0)),"")</f>
        <v/>
      </c>
      <c r="AG77" s="31">
        <f t="shared" si="13"/>
        <v>0</v>
      </c>
      <c r="AH77" s="156" t="str">
        <f t="shared" si="14"/>
        <v/>
      </c>
      <c r="AI77" s="156" t="str">
        <f t="shared" si="15"/>
        <v/>
      </c>
      <c r="AK77" s="156">
        <v>68</v>
      </c>
      <c r="AM77" s="156" t="str">
        <f t="array" ref="AM77">IFERROR(INDEX($AK$10:$AK$258, MATCH(0, IF(TRUE=$AH$10:$AH$258, COUNTIF($AM$9:$AM76, $AK$10:$AK$258), ""), 0)),"")</f>
        <v/>
      </c>
      <c r="AN77" s="156" t="str">
        <f t="array" ref="AN77">IFERROR(INDEX($AK$10:$AK$258, MATCH(0, IF(TRUE=$AI$10:$AI$258, COUNTIF($AN$9:$AN76, $AK$10:$AK$258), ""), 0)),"")</f>
        <v/>
      </c>
    </row>
    <row r="78" spans="3:40" ht="14" x14ac:dyDescent="0.3">
      <c r="C78" s="141">
        <v>69</v>
      </c>
      <c r="D78" s="462"/>
      <c r="E78" s="153"/>
      <c r="F78" s="498" t="str">
        <f>IF(D78="","",VLOOKUP(D78,'G-7 Rivers Data'!$B$2:$G$8,2,FALSE))</f>
        <v/>
      </c>
      <c r="G78" s="499" t="str">
        <f>IFERROR(VLOOKUP(F78,'G-7 Rivers Data'!$C$4:$D$8,2,FALSE),"")</f>
        <v/>
      </c>
      <c r="H78" s="145"/>
      <c r="I78" s="499" t="str">
        <f>IFERROR(INDEX('G-7 Rivers Data'!$H$4:$L$8,MATCH(D78,'G-7 Rivers Data'!$B$4:$B$8,0),MATCH(H78,'G-7 Rivers Data'!$H$3:$L$3,0)),"")</f>
        <v/>
      </c>
      <c r="J78" s="154"/>
      <c r="K78" s="520" t="str">
        <f>IF(J78="","",IF(VLOOKUP(J78,'G-7 Rivers Data'!$AK$4:$AM$9,2,FALSE)=0,"Spatial Data Missing ⚠",VLOOKUP(J78,'G-7 Rivers Data'!$AK$4:$AM$9,2,FALSE)))</f>
        <v/>
      </c>
      <c r="L78" s="524" t="str">
        <f>IF(J78="","",IF(VLOOKUP(J78,'G-7 Rivers Data'!$AK$4:$AM$9,3,FALSE)=0,"Spatial Data Missing ⚠",VLOOKUP(J78,'G-7 Rivers Data'!$AK$4:$AM$9,3,FALSE)))</f>
        <v/>
      </c>
      <c r="M78" s="71"/>
      <c r="N78" s="499" t="str">
        <f>IF(M78="","",IF(VLOOKUP(M78,'G-7 Rivers Data'!$AA$4:$AB$7,2,FALSE)=0,"Spatial Data Missing ⚠",VLOOKUP(M78,'G-7 Rivers Data'!$AA$4:$AB$7,2,FALSE)))</f>
        <v/>
      </c>
      <c r="O78" s="155"/>
      <c r="P78" s="499" t="str">
        <f>IF(O78="","",IF(VLOOKUP(O78,'G-7 Rivers Data'!$AD$4:$AE$8,2,FALSE)=0,"Spatial Data Missing ⚠",VLOOKUP(O78,'G-7 Rivers Data'!$AD$4:$AE$8,2,FALSE)))</f>
        <v/>
      </c>
      <c r="Q78" s="506" t="str">
        <f>IF(D78="","",VLOOKUP(D78,'G-7 Rivers Data'!$B$4:$G$8,6,FALSE))</f>
        <v/>
      </c>
      <c r="R78" s="513" t="str">
        <f t="shared" si="8"/>
        <v/>
      </c>
      <c r="S78" s="40"/>
      <c r="T78" s="145"/>
      <c r="U78" s="157"/>
      <c r="V78" s="511" t="str">
        <f t="shared" si="9"/>
        <v/>
      </c>
      <c r="W78" s="511" t="str">
        <f t="shared" si="10"/>
        <v/>
      </c>
      <c r="X78" s="511" t="str">
        <f t="shared" si="11"/>
        <v/>
      </c>
      <c r="Y78" s="515" t="str">
        <f t="shared" si="12"/>
        <v/>
      </c>
      <c r="Z78" s="151"/>
      <c r="AA78" s="152"/>
      <c r="AF78" s="31" t="str">
        <f>IFERROR(INDEX('G-7 Rivers Data'!$AZ$3:$AZ$7,MATCH(D78,'G-7 Rivers Data'!$AY$3:$AY$7,0)),"")</f>
        <v/>
      </c>
      <c r="AG78" s="31">
        <f t="shared" si="13"/>
        <v>0</v>
      </c>
      <c r="AH78" s="156" t="str">
        <f t="shared" si="14"/>
        <v/>
      </c>
      <c r="AI78" s="156" t="str">
        <f t="shared" si="15"/>
        <v/>
      </c>
      <c r="AK78" s="156">
        <v>69</v>
      </c>
      <c r="AM78" s="156" t="str">
        <f t="array" ref="AM78">IFERROR(INDEX($AK$10:$AK$258, MATCH(0, IF(TRUE=$AH$10:$AH$258, COUNTIF($AM$9:$AM77, $AK$10:$AK$258), ""), 0)),"")</f>
        <v/>
      </c>
      <c r="AN78" s="156" t="str">
        <f t="array" ref="AN78">IFERROR(INDEX($AK$10:$AK$258, MATCH(0, IF(TRUE=$AI$10:$AI$258, COUNTIF($AN$9:$AN77, $AK$10:$AK$258), ""), 0)),"")</f>
        <v/>
      </c>
    </row>
    <row r="79" spans="3:40" ht="14" x14ac:dyDescent="0.3">
      <c r="C79" s="141">
        <v>70</v>
      </c>
      <c r="D79" s="462"/>
      <c r="E79" s="153"/>
      <c r="F79" s="498" t="str">
        <f>IF(D79="","",VLOOKUP(D79,'G-7 Rivers Data'!$B$2:$G$8,2,FALSE))</f>
        <v/>
      </c>
      <c r="G79" s="499" t="str">
        <f>IFERROR(VLOOKUP(F79,'G-7 Rivers Data'!$C$4:$D$8,2,FALSE),"")</f>
        <v/>
      </c>
      <c r="H79" s="145"/>
      <c r="I79" s="499" t="str">
        <f>IFERROR(INDEX('G-7 Rivers Data'!$H$4:$L$8,MATCH(D79,'G-7 Rivers Data'!$B$4:$B$8,0),MATCH(H79,'G-7 Rivers Data'!$H$3:$L$3,0)),"")</f>
        <v/>
      </c>
      <c r="J79" s="154"/>
      <c r="K79" s="520" t="str">
        <f>IF(J79="","",IF(VLOOKUP(J79,'G-7 Rivers Data'!$AK$4:$AM$9,2,FALSE)=0,"Spatial Data Missing ⚠",VLOOKUP(J79,'G-7 Rivers Data'!$AK$4:$AM$9,2,FALSE)))</f>
        <v/>
      </c>
      <c r="L79" s="524" t="str">
        <f>IF(J79="","",IF(VLOOKUP(J79,'G-7 Rivers Data'!$AK$4:$AM$9,3,FALSE)=0,"Spatial Data Missing ⚠",VLOOKUP(J79,'G-7 Rivers Data'!$AK$4:$AM$9,3,FALSE)))</f>
        <v/>
      </c>
      <c r="M79" s="71"/>
      <c r="N79" s="499" t="str">
        <f>IF(M79="","",IF(VLOOKUP(M79,'G-7 Rivers Data'!$AA$4:$AB$7,2,FALSE)=0,"Spatial Data Missing ⚠",VLOOKUP(M79,'G-7 Rivers Data'!$AA$4:$AB$7,2,FALSE)))</f>
        <v/>
      </c>
      <c r="O79" s="155"/>
      <c r="P79" s="499" t="str">
        <f>IF(O79="","",IF(VLOOKUP(O79,'G-7 Rivers Data'!$AD$4:$AE$8,2,FALSE)=0,"Spatial Data Missing ⚠",VLOOKUP(O79,'G-7 Rivers Data'!$AD$4:$AE$8,2,FALSE)))</f>
        <v/>
      </c>
      <c r="Q79" s="506" t="str">
        <f>IF(D79="","",VLOOKUP(D79,'G-7 Rivers Data'!$B$4:$G$8,6,FALSE))</f>
        <v/>
      </c>
      <c r="R79" s="513" t="str">
        <f t="shared" si="8"/>
        <v/>
      </c>
      <c r="S79" s="40"/>
      <c r="T79" s="145"/>
      <c r="U79" s="157"/>
      <c r="V79" s="511" t="str">
        <f t="shared" si="9"/>
        <v/>
      </c>
      <c r="W79" s="511" t="str">
        <f t="shared" si="10"/>
        <v/>
      </c>
      <c r="X79" s="511" t="str">
        <f t="shared" si="11"/>
        <v/>
      </c>
      <c r="Y79" s="515" t="str">
        <f t="shared" si="12"/>
        <v/>
      </c>
      <c r="Z79" s="151"/>
      <c r="AA79" s="152"/>
      <c r="AF79" s="31" t="str">
        <f>IFERROR(INDEX('G-7 Rivers Data'!$AZ$3:$AZ$7,MATCH(D79,'G-7 Rivers Data'!$AY$3:$AY$7,0)),"")</f>
        <v/>
      </c>
      <c r="AG79" s="31">
        <f t="shared" si="13"/>
        <v>0</v>
      </c>
      <c r="AH79" s="156" t="str">
        <f t="shared" si="14"/>
        <v/>
      </c>
      <c r="AI79" s="156" t="str">
        <f t="shared" si="15"/>
        <v/>
      </c>
      <c r="AK79" s="156">
        <v>70</v>
      </c>
      <c r="AM79" s="156" t="str">
        <f t="array" ref="AM79">IFERROR(INDEX($AK$10:$AK$258, MATCH(0, IF(TRUE=$AH$10:$AH$258, COUNTIF($AM$9:$AM78, $AK$10:$AK$258), ""), 0)),"")</f>
        <v/>
      </c>
      <c r="AN79" s="156" t="str">
        <f t="array" ref="AN79">IFERROR(INDEX($AK$10:$AK$258, MATCH(0, IF(TRUE=$AI$10:$AI$258, COUNTIF($AN$9:$AN78, $AK$10:$AK$258), ""), 0)),"")</f>
        <v/>
      </c>
    </row>
    <row r="80" spans="3:40" ht="14" x14ac:dyDescent="0.3">
      <c r="C80" s="141">
        <v>71</v>
      </c>
      <c r="D80" s="462"/>
      <c r="E80" s="153"/>
      <c r="F80" s="498" t="str">
        <f>IF(D80="","",VLOOKUP(D80,'G-7 Rivers Data'!$B$2:$G$8,2,FALSE))</f>
        <v/>
      </c>
      <c r="G80" s="499" t="str">
        <f>IFERROR(VLOOKUP(F80,'G-7 Rivers Data'!$C$4:$D$8,2,FALSE),"")</f>
        <v/>
      </c>
      <c r="H80" s="145"/>
      <c r="I80" s="499" t="str">
        <f>IFERROR(INDEX('G-7 Rivers Data'!$H$4:$L$8,MATCH(D80,'G-7 Rivers Data'!$B$4:$B$8,0),MATCH(H80,'G-7 Rivers Data'!$H$3:$L$3,0)),"")</f>
        <v/>
      </c>
      <c r="J80" s="154"/>
      <c r="K80" s="520" t="str">
        <f>IF(J80="","",IF(VLOOKUP(J80,'G-7 Rivers Data'!$AK$4:$AM$9,2,FALSE)=0,"Spatial Data Missing ⚠",VLOOKUP(J80,'G-7 Rivers Data'!$AK$4:$AM$9,2,FALSE)))</f>
        <v/>
      </c>
      <c r="L80" s="524" t="str">
        <f>IF(J80="","",IF(VLOOKUP(J80,'G-7 Rivers Data'!$AK$4:$AM$9,3,FALSE)=0,"Spatial Data Missing ⚠",VLOOKUP(J80,'G-7 Rivers Data'!$AK$4:$AM$9,3,FALSE)))</f>
        <v/>
      </c>
      <c r="M80" s="71"/>
      <c r="N80" s="499" t="str">
        <f>IF(M80="","",IF(VLOOKUP(M80,'G-7 Rivers Data'!$AA$4:$AB$7,2,FALSE)=0,"Spatial Data Missing ⚠",VLOOKUP(M80,'G-7 Rivers Data'!$AA$4:$AB$7,2,FALSE)))</f>
        <v/>
      </c>
      <c r="O80" s="155"/>
      <c r="P80" s="499" t="str">
        <f>IF(O80="","",IF(VLOOKUP(O80,'G-7 Rivers Data'!$AD$4:$AE$8,2,FALSE)=0,"Spatial Data Missing ⚠",VLOOKUP(O80,'G-7 Rivers Data'!$AD$4:$AE$8,2,FALSE)))</f>
        <v/>
      </c>
      <c r="Q80" s="506" t="str">
        <f>IF(D80="","",VLOOKUP(D80,'G-7 Rivers Data'!$B$4:$G$8,6,FALSE))</f>
        <v/>
      </c>
      <c r="R80" s="513" t="str">
        <f t="shared" si="8"/>
        <v/>
      </c>
      <c r="S80" s="40"/>
      <c r="T80" s="145"/>
      <c r="U80" s="157"/>
      <c r="V80" s="511" t="str">
        <f t="shared" si="9"/>
        <v/>
      </c>
      <c r="W80" s="511" t="str">
        <f t="shared" si="10"/>
        <v/>
      </c>
      <c r="X80" s="511" t="str">
        <f t="shared" si="11"/>
        <v/>
      </c>
      <c r="Y80" s="515" t="str">
        <f t="shared" si="12"/>
        <v/>
      </c>
      <c r="Z80" s="151"/>
      <c r="AA80" s="152"/>
      <c r="AF80" s="31" t="str">
        <f>IFERROR(INDEX('G-7 Rivers Data'!$AZ$3:$AZ$7,MATCH(D80,'G-7 Rivers Data'!$AY$3:$AY$7,0)),"")</f>
        <v/>
      </c>
      <c r="AG80" s="31">
        <f t="shared" si="13"/>
        <v>0</v>
      </c>
      <c r="AH80" s="156" t="str">
        <f t="shared" si="14"/>
        <v/>
      </c>
      <c r="AI80" s="156" t="str">
        <f t="shared" si="15"/>
        <v/>
      </c>
      <c r="AK80" s="156">
        <v>71</v>
      </c>
      <c r="AM80" s="156" t="str">
        <f t="array" ref="AM80">IFERROR(INDEX($AK$10:$AK$258, MATCH(0, IF(TRUE=$AH$10:$AH$258, COUNTIF($AM$9:$AM79, $AK$10:$AK$258), ""), 0)),"")</f>
        <v/>
      </c>
      <c r="AN80" s="156" t="str">
        <f t="array" ref="AN80">IFERROR(INDEX($AK$10:$AK$258, MATCH(0, IF(TRUE=$AI$10:$AI$258, COUNTIF($AN$9:$AN79, $AK$10:$AK$258), ""), 0)),"")</f>
        <v/>
      </c>
    </row>
    <row r="81" spans="3:40" ht="14" x14ac:dyDescent="0.3">
      <c r="C81" s="141">
        <v>72</v>
      </c>
      <c r="D81" s="462"/>
      <c r="E81" s="153"/>
      <c r="F81" s="498" t="str">
        <f>IF(D81="","",VLOOKUP(D81,'G-7 Rivers Data'!$B$2:$G$8,2,FALSE))</f>
        <v/>
      </c>
      <c r="G81" s="499" t="str">
        <f>IFERROR(VLOOKUP(F81,'G-7 Rivers Data'!$C$4:$D$8,2,FALSE),"")</f>
        <v/>
      </c>
      <c r="H81" s="145"/>
      <c r="I81" s="499" t="str">
        <f>IFERROR(INDEX('G-7 Rivers Data'!$H$4:$L$8,MATCH(D81,'G-7 Rivers Data'!$B$4:$B$8,0),MATCH(H81,'G-7 Rivers Data'!$H$3:$L$3,0)),"")</f>
        <v/>
      </c>
      <c r="J81" s="154"/>
      <c r="K81" s="520" t="str">
        <f>IF(J81="","",IF(VLOOKUP(J81,'G-7 Rivers Data'!$AK$4:$AM$9,2,FALSE)=0,"Spatial Data Missing ⚠",VLOOKUP(J81,'G-7 Rivers Data'!$AK$4:$AM$9,2,FALSE)))</f>
        <v/>
      </c>
      <c r="L81" s="524" t="str">
        <f>IF(J81="","",IF(VLOOKUP(J81,'G-7 Rivers Data'!$AK$4:$AM$9,3,FALSE)=0,"Spatial Data Missing ⚠",VLOOKUP(J81,'G-7 Rivers Data'!$AK$4:$AM$9,3,FALSE)))</f>
        <v/>
      </c>
      <c r="M81" s="71"/>
      <c r="N81" s="499" t="str">
        <f>IF(M81="","",IF(VLOOKUP(M81,'G-7 Rivers Data'!$AA$4:$AB$7,2,FALSE)=0,"Spatial Data Missing ⚠",VLOOKUP(M81,'G-7 Rivers Data'!$AA$4:$AB$7,2,FALSE)))</f>
        <v/>
      </c>
      <c r="O81" s="155"/>
      <c r="P81" s="499" t="str">
        <f>IF(O81="","",IF(VLOOKUP(O81,'G-7 Rivers Data'!$AD$4:$AE$8,2,FALSE)=0,"Spatial Data Missing ⚠",VLOOKUP(O81,'G-7 Rivers Data'!$AD$4:$AE$8,2,FALSE)))</f>
        <v/>
      </c>
      <c r="Q81" s="506" t="str">
        <f>IF(D81="","",VLOOKUP(D81,'G-7 Rivers Data'!$B$4:$G$8,6,FALSE))</f>
        <v/>
      </c>
      <c r="R81" s="513" t="str">
        <f t="shared" si="8"/>
        <v/>
      </c>
      <c r="S81" s="40"/>
      <c r="T81" s="145"/>
      <c r="U81" s="157"/>
      <c r="V81" s="511" t="str">
        <f t="shared" si="9"/>
        <v/>
      </c>
      <c r="W81" s="511" t="str">
        <f t="shared" si="10"/>
        <v/>
      </c>
      <c r="X81" s="511" t="str">
        <f t="shared" si="11"/>
        <v/>
      </c>
      <c r="Y81" s="515" t="str">
        <f t="shared" si="12"/>
        <v/>
      </c>
      <c r="Z81" s="151"/>
      <c r="AA81" s="152"/>
      <c r="AF81" s="31" t="str">
        <f>IFERROR(INDEX('G-7 Rivers Data'!$AZ$3:$AZ$7,MATCH(D81,'G-7 Rivers Data'!$AY$3:$AY$7,0)),"")</f>
        <v/>
      </c>
      <c r="AG81" s="31">
        <f t="shared" si="13"/>
        <v>0</v>
      </c>
      <c r="AH81" s="156" t="str">
        <f t="shared" si="14"/>
        <v/>
      </c>
      <c r="AI81" s="156" t="str">
        <f t="shared" si="15"/>
        <v/>
      </c>
      <c r="AK81" s="156">
        <v>72</v>
      </c>
      <c r="AM81" s="156" t="str">
        <f t="array" ref="AM81">IFERROR(INDEX($AK$10:$AK$258, MATCH(0, IF(TRUE=$AH$10:$AH$258, COUNTIF($AM$9:$AM80, $AK$10:$AK$258), ""), 0)),"")</f>
        <v/>
      </c>
      <c r="AN81" s="156" t="str">
        <f t="array" ref="AN81">IFERROR(INDEX($AK$10:$AK$258, MATCH(0, IF(TRUE=$AI$10:$AI$258, COUNTIF($AN$9:$AN80, $AK$10:$AK$258), ""), 0)),"")</f>
        <v/>
      </c>
    </row>
    <row r="82" spans="3:40" ht="14" x14ac:dyDescent="0.3">
      <c r="C82" s="141">
        <v>73</v>
      </c>
      <c r="D82" s="462"/>
      <c r="E82" s="153"/>
      <c r="F82" s="498" t="str">
        <f>IF(D82="","",VLOOKUP(D82,'G-7 Rivers Data'!$B$2:$G$8,2,FALSE))</f>
        <v/>
      </c>
      <c r="G82" s="499" t="str">
        <f>IFERROR(VLOOKUP(F82,'G-7 Rivers Data'!$C$4:$D$8,2,FALSE),"")</f>
        <v/>
      </c>
      <c r="H82" s="145"/>
      <c r="I82" s="499" t="str">
        <f>IFERROR(INDEX('G-7 Rivers Data'!$H$4:$L$8,MATCH(D82,'G-7 Rivers Data'!$B$4:$B$8,0),MATCH(H82,'G-7 Rivers Data'!$H$3:$L$3,0)),"")</f>
        <v/>
      </c>
      <c r="J82" s="154"/>
      <c r="K82" s="520" t="str">
        <f>IF(J82="","",IF(VLOOKUP(J82,'G-7 Rivers Data'!$AK$4:$AM$9,2,FALSE)=0,"Spatial Data Missing ⚠",VLOOKUP(J82,'G-7 Rivers Data'!$AK$4:$AM$9,2,FALSE)))</f>
        <v/>
      </c>
      <c r="L82" s="524" t="str">
        <f>IF(J82="","",IF(VLOOKUP(J82,'G-7 Rivers Data'!$AK$4:$AM$9,3,FALSE)=0,"Spatial Data Missing ⚠",VLOOKUP(J82,'G-7 Rivers Data'!$AK$4:$AM$9,3,FALSE)))</f>
        <v/>
      </c>
      <c r="M82" s="71"/>
      <c r="N82" s="499" t="str">
        <f>IF(M82="","",IF(VLOOKUP(M82,'G-7 Rivers Data'!$AA$4:$AB$7,2,FALSE)=0,"Spatial Data Missing ⚠",VLOOKUP(M82,'G-7 Rivers Data'!$AA$4:$AB$7,2,FALSE)))</f>
        <v/>
      </c>
      <c r="O82" s="155"/>
      <c r="P82" s="499" t="str">
        <f>IF(O82="","",IF(VLOOKUP(O82,'G-7 Rivers Data'!$AD$4:$AE$8,2,FALSE)=0,"Spatial Data Missing ⚠",VLOOKUP(O82,'G-7 Rivers Data'!$AD$4:$AE$8,2,FALSE)))</f>
        <v/>
      </c>
      <c r="Q82" s="506" t="str">
        <f>IF(D82="","",VLOOKUP(D82,'G-7 Rivers Data'!$B$4:$G$8,6,FALSE))</f>
        <v/>
      </c>
      <c r="R82" s="513" t="str">
        <f t="shared" si="8"/>
        <v/>
      </c>
      <c r="S82" s="40"/>
      <c r="T82" s="145"/>
      <c r="U82" s="157"/>
      <c r="V82" s="511" t="str">
        <f t="shared" si="9"/>
        <v/>
      </c>
      <c r="W82" s="511" t="str">
        <f t="shared" si="10"/>
        <v/>
      </c>
      <c r="X82" s="511" t="str">
        <f t="shared" si="11"/>
        <v/>
      </c>
      <c r="Y82" s="515" t="str">
        <f t="shared" si="12"/>
        <v/>
      </c>
      <c r="Z82" s="151"/>
      <c r="AA82" s="152"/>
      <c r="AF82" s="31" t="str">
        <f>IFERROR(INDEX('G-7 Rivers Data'!$AZ$3:$AZ$7,MATCH(D82,'G-7 Rivers Data'!$AY$3:$AY$7,0)),"")</f>
        <v/>
      </c>
      <c r="AG82" s="31">
        <f t="shared" si="13"/>
        <v>0</v>
      </c>
      <c r="AH82" s="156" t="str">
        <f t="shared" si="14"/>
        <v/>
      </c>
      <c r="AI82" s="156" t="str">
        <f t="shared" si="15"/>
        <v/>
      </c>
      <c r="AK82" s="156">
        <v>73</v>
      </c>
      <c r="AM82" s="156" t="str">
        <f t="array" ref="AM82">IFERROR(INDEX($AK$10:$AK$258, MATCH(0, IF(TRUE=$AH$10:$AH$258, COUNTIF($AM$9:$AM81, $AK$10:$AK$258), ""), 0)),"")</f>
        <v/>
      </c>
      <c r="AN82" s="156" t="str">
        <f t="array" ref="AN82">IFERROR(INDEX($AK$10:$AK$258, MATCH(0, IF(TRUE=$AI$10:$AI$258, COUNTIF($AN$9:$AN81, $AK$10:$AK$258), ""), 0)),"")</f>
        <v/>
      </c>
    </row>
    <row r="83" spans="3:40" ht="14" x14ac:dyDescent="0.3">
      <c r="C83" s="141">
        <v>74</v>
      </c>
      <c r="D83" s="462"/>
      <c r="E83" s="153"/>
      <c r="F83" s="498" t="str">
        <f>IF(D83="","",VLOOKUP(D83,'G-7 Rivers Data'!$B$2:$G$8,2,FALSE))</f>
        <v/>
      </c>
      <c r="G83" s="499" t="str">
        <f>IFERROR(VLOOKUP(F83,'G-7 Rivers Data'!$C$4:$D$8,2,FALSE),"")</f>
        <v/>
      </c>
      <c r="H83" s="145"/>
      <c r="I83" s="499" t="str">
        <f>IFERROR(INDEX('G-7 Rivers Data'!$H$4:$L$8,MATCH(D83,'G-7 Rivers Data'!$B$4:$B$8,0),MATCH(H83,'G-7 Rivers Data'!$H$3:$L$3,0)),"")</f>
        <v/>
      </c>
      <c r="J83" s="154"/>
      <c r="K83" s="520" t="str">
        <f>IF(J83="","",IF(VLOOKUP(J83,'G-7 Rivers Data'!$AK$4:$AM$9,2,FALSE)=0,"Spatial Data Missing ⚠",VLOOKUP(J83,'G-7 Rivers Data'!$AK$4:$AM$9,2,FALSE)))</f>
        <v/>
      </c>
      <c r="L83" s="524" t="str">
        <f>IF(J83="","",IF(VLOOKUP(J83,'G-7 Rivers Data'!$AK$4:$AM$9,3,FALSE)=0,"Spatial Data Missing ⚠",VLOOKUP(J83,'G-7 Rivers Data'!$AK$4:$AM$9,3,FALSE)))</f>
        <v/>
      </c>
      <c r="M83" s="71"/>
      <c r="N83" s="499" t="str">
        <f>IF(M83="","",IF(VLOOKUP(M83,'G-7 Rivers Data'!$AA$4:$AB$7,2,FALSE)=0,"Spatial Data Missing ⚠",VLOOKUP(M83,'G-7 Rivers Data'!$AA$4:$AB$7,2,FALSE)))</f>
        <v/>
      </c>
      <c r="O83" s="155"/>
      <c r="P83" s="499" t="str">
        <f>IF(O83="","",IF(VLOOKUP(O83,'G-7 Rivers Data'!$AD$4:$AE$8,2,FALSE)=0,"Spatial Data Missing ⚠",VLOOKUP(O83,'G-7 Rivers Data'!$AD$4:$AE$8,2,FALSE)))</f>
        <v/>
      </c>
      <c r="Q83" s="506" t="str">
        <f>IF(D83="","",VLOOKUP(D83,'G-7 Rivers Data'!$B$4:$G$8,6,FALSE))</f>
        <v/>
      </c>
      <c r="R83" s="513" t="str">
        <f t="shared" si="8"/>
        <v/>
      </c>
      <c r="S83" s="40"/>
      <c r="T83" s="145"/>
      <c r="U83" s="157"/>
      <c r="V83" s="511" t="str">
        <f t="shared" si="9"/>
        <v/>
      </c>
      <c r="W83" s="511" t="str">
        <f t="shared" si="10"/>
        <v/>
      </c>
      <c r="X83" s="511" t="str">
        <f t="shared" si="11"/>
        <v/>
      </c>
      <c r="Y83" s="515" t="str">
        <f t="shared" si="12"/>
        <v/>
      </c>
      <c r="Z83" s="151"/>
      <c r="AA83" s="152"/>
      <c r="AF83" s="31" t="str">
        <f>IFERROR(INDEX('G-7 Rivers Data'!$AZ$3:$AZ$7,MATCH(D83,'G-7 Rivers Data'!$AY$3:$AY$7,0)),"")</f>
        <v/>
      </c>
      <c r="AG83" s="31">
        <f t="shared" si="13"/>
        <v>0</v>
      </c>
      <c r="AH83" s="156" t="str">
        <f t="shared" si="14"/>
        <v/>
      </c>
      <c r="AI83" s="156" t="str">
        <f t="shared" si="15"/>
        <v/>
      </c>
      <c r="AK83" s="156">
        <v>74</v>
      </c>
      <c r="AM83" s="156" t="str">
        <f t="array" ref="AM83">IFERROR(INDEX($AK$10:$AK$258, MATCH(0, IF(TRUE=$AH$10:$AH$258, COUNTIF($AM$9:$AM82, $AK$10:$AK$258), ""), 0)),"")</f>
        <v/>
      </c>
      <c r="AN83" s="156" t="str">
        <f t="array" ref="AN83">IFERROR(INDEX($AK$10:$AK$258, MATCH(0, IF(TRUE=$AI$10:$AI$258, COUNTIF($AN$9:$AN82, $AK$10:$AK$258), ""), 0)),"")</f>
        <v/>
      </c>
    </row>
    <row r="84" spans="3:40" ht="14" x14ac:dyDescent="0.3">
      <c r="C84" s="141">
        <v>75</v>
      </c>
      <c r="D84" s="462"/>
      <c r="E84" s="153"/>
      <c r="F84" s="498" t="str">
        <f>IF(D84="","",VLOOKUP(D84,'G-7 Rivers Data'!$B$2:$G$8,2,FALSE))</f>
        <v/>
      </c>
      <c r="G84" s="499" t="str">
        <f>IFERROR(VLOOKUP(F84,'G-7 Rivers Data'!$C$4:$D$8,2,FALSE),"")</f>
        <v/>
      </c>
      <c r="H84" s="145"/>
      <c r="I84" s="499" t="str">
        <f>IFERROR(INDEX('G-7 Rivers Data'!$H$4:$L$8,MATCH(D84,'G-7 Rivers Data'!$B$4:$B$8,0),MATCH(H84,'G-7 Rivers Data'!$H$3:$L$3,0)),"")</f>
        <v/>
      </c>
      <c r="J84" s="154"/>
      <c r="K84" s="520" t="str">
        <f>IF(J84="","",IF(VLOOKUP(J84,'G-7 Rivers Data'!$AK$4:$AM$9,2,FALSE)=0,"Spatial Data Missing ⚠",VLOOKUP(J84,'G-7 Rivers Data'!$AK$4:$AM$9,2,FALSE)))</f>
        <v/>
      </c>
      <c r="L84" s="524" t="str">
        <f>IF(J84="","",IF(VLOOKUP(J84,'G-7 Rivers Data'!$AK$4:$AM$9,3,FALSE)=0,"Spatial Data Missing ⚠",VLOOKUP(J84,'G-7 Rivers Data'!$AK$4:$AM$9,3,FALSE)))</f>
        <v/>
      </c>
      <c r="M84" s="71"/>
      <c r="N84" s="499" t="str">
        <f>IF(M84="","",IF(VLOOKUP(M84,'G-7 Rivers Data'!$AA$4:$AB$7,2,FALSE)=0,"Spatial Data Missing ⚠",VLOOKUP(M84,'G-7 Rivers Data'!$AA$4:$AB$7,2,FALSE)))</f>
        <v/>
      </c>
      <c r="O84" s="155"/>
      <c r="P84" s="499" t="str">
        <f>IF(O84="","",IF(VLOOKUP(O84,'G-7 Rivers Data'!$AD$4:$AE$8,2,FALSE)=0,"Spatial Data Missing ⚠",VLOOKUP(O84,'G-7 Rivers Data'!$AD$4:$AE$8,2,FALSE)))</f>
        <v/>
      </c>
      <c r="Q84" s="506" t="str">
        <f>IF(D84="","",VLOOKUP(D84,'G-7 Rivers Data'!$B$4:$G$8,6,FALSE))</f>
        <v/>
      </c>
      <c r="R84" s="513" t="str">
        <f t="shared" si="8"/>
        <v/>
      </c>
      <c r="S84" s="40"/>
      <c r="T84" s="145"/>
      <c r="U84" s="157"/>
      <c r="V84" s="511" t="str">
        <f t="shared" si="9"/>
        <v/>
      </c>
      <c r="W84" s="511" t="str">
        <f t="shared" si="10"/>
        <v/>
      </c>
      <c r="X84" s="511" t="str">
        <f t="shared" si="11"/>
        <v/>
      </c>
      <c r="Y84" s="515" t="str">
        <f t="shared" si="12"/>
        <v/>
      </c>
      <c r="Z84" s="151"/>
      <c r="AA84" s="152"/>
      <c r="AF84" s="31" t="str">
        <f>IFERROR(INDEX('G-7 Rivers Data'!$AZ$3:$AZ$7,MATCH(D84,'G-7 Rivers Data'!$AY$3:$AY$7,0)),"")</f>
        <v/>
      </c>
      <c r="AG84" s="31">
        <f t="shared" si="13"/>
        <v>0</v>
      </c>
      <c r="AH84" s="156" t="str">
        <f t="shared" si="14"/>
        <v/>
      </c>
      <c r="AI84" s="156" t="str">
        <f t="shared" si="15"/>
        <v/>
      </c>
      <c r="AK84" s="156">
        <v>75</v>
      </c>
      <c r="AM84" s="156" t="str">
        <f t="array" ref="AM84">IFERROR(INDEX($AK$10:$AK$258, MATCH(0, IF(TRUE=$AH$10:$AH$258, COUNTIF($AM$9:$AM83, $AK$10:$AK$258), ""), 0)),"")</f>
        <v/>
      </c>
      <c r="AN84" s="156" t="str">
        <f t="array" ref="AN84">IFERROR(INDEX($AK$10:$AK$258, MATCH(0, IF(TRUE=$AI$10:$AI$258, COUNTIF($AN$9:$AN83, $AK$10:$AK$258), ""), 0)),"")</f>
        <v/>
      </c>
    </row>
    <row r="85" spans="3:40" ht="14" x14ac:dyDescent="0.3">
      <c r="C85" s="141">
        <v>76</v>
      </c>
      <c r="D85" s="462"/>
      <c r="E85" s="153"/>
      <c r="F85" s="498" t="str">
        <f>IF(D85="","",VLOOKUP(D85,'G-7 Rivers Data'!$B$2:$G$8,2,FALSE))</f>
        <v/>
      </c>
      <c r="G85" s="499" t="str">
        <f>IFERROR(VLOOKUP(F85,'G-7 Rivers Data'!$C$4:$D$8,2,FALSE),"")</f>
        <v/>
      </c>
      <c r="H85" s="145"/>
      <c r="I85" s="499" t="str">
        <f>IFERROR(INDEX('G-7 Rivers Data'!$H$4:$L$8,MATCH(D85,'G-7 Rivers Data'!$B$4:$B$8,0),MATCH(H85,'G-7 Rivers Data'!$H$3:$L$3,0)),"")</f>
        <v/>
      </c>
      <c r="J85" s="154"/>
      <c r="K85" s="520" t="str">
        <f>IF(J85="","",IF(VLOOKUP(J85,'G-7 Rivers Data'!$AK$4:$AM$9,2,FALSE)=0,"Spatial Data Missing ⚠",VLOOKUP(J85,'G-7 Rivers Data'!$AK$4:$AM$9,2,FALSE)))</f>
        <v/>
      </c>
      <c r="L85" s="524" t="str">
        <f>IF(J85="","",IF(VLOOKUP(J85,'G-7 Rivers Data'!$AK$4:$AM$9,3,FALSE)=0,"Spatial Data Missing ⚠",VLOOKUP(J85,'G-7 Rivers Data'!$AK$4:$AM$9,3,FALSE)))</f>
        <v/>
      </c>
      <c r="M85" s="71"/>
      <c r="N85" s="499" t="str">
        <f>IF(M85="","",IF(VLOOKUP(M85,'G-7 Rivers Data'!$AA$4:$AB$7,2,FALSE)=0,"Spatial Data Missing ⚠",VLOOKUP(M85,'G-7 Rivers Data'!$AA$4:$AB$7,2,FALSE)))</f>
        <v/>
      </c>
      <c r="O85" s="155"/>
      <c r="P85" s="499" t="str">
        <f>IF(O85="","",IF(VLOOKUP(O85,'G-7 Rivers Data'!$AD$4:$AE$8,2,FALSE)=0,"Spatial Data Missing ⚠",VLOOKUP(O85,'G-7 Rivers Data'!$AD$4:$AE$8,2,FALSE)))</f>
        <v/>
      </c>
      <c r="Q85" s="506" t="str">
        <f>IF(D85="","",VLOOKUP(D85,'G-7 Rivers Data'!$B$4:$G$8,6,FALSE))</f>
        <v/>
      </c>
      <c r="R85" s="513" t="str">
        <f t="shared" si="8"/>
        <v/>
      </c>
      <c r="S85" s="40"/>
      <c r="T85" s="145"/>
      <c r="U85" s="157"/>
      <c r="V85" s="511" t="str">
        <f t="shared" si="9"/>
        <v/>
      </c>
      <c r="W85" s="511" t="str">
        <f t="shared" si="10"/>
        <v/>
      </c>
      <c r="X85" s="511" t="str">
        <f t="shared" si="11"/>
        <v/>
      </c>
      <c r="Y85" s="515" t="str">
        <f t="shared" si="12"/>
        <v/>
      </c>
      <c r="Z85" s="151"/>
      <c r="AA85" s="152"/>
      <c r="AF85" s="31" t="str">
        <f>IFERROR(INDEX('G-7 Rivers Data'!$AZ$3:$AZ$7,MATCH(D85,'G-7 Rivers Data'!$AY$3:$AY$7,0)),"")</f>
        <v/>
      </c>
      <c r="AG85" s="31">
        <f t="shared" si="13"/>
        <v>0</v>
      </c>
      <c r="AH85" s="156" t="str">
        <f t="shared" si="14"/>
        <v/>
      </c>
      <c r="AI85" s="156" t="str">
        <f t="shared" si="15"/>
        <v/>
      </c>
      <c r="AK85" s="156">
        <v>76</v>
      </c>
      <c r="AM85" s="156" t="str">
        <f t="array" ref="AM85">IFERROR(INDEX($AK$10:$AK$258, MATCH(0, IF(TRUE=$AH$10:$AH$258, COUNTIF($AM$9:$AM84, $AK$10:$AK$258), ""), 0)),"")</f>
        <v/>
      </c>
      <c r="AN85" s="156" t="str">
        <f t="array" ref="AN85">IFERROR(INDEX($AK$10:$AK$258, MATCH(0, IF(TRUE=$AI$10:$AI$258, COUNTIF($AN$9:$AN84, $AK$10:$AK$258), ""), 0)),"")</f>
        <v/>
      </c>
    </row>
    <row r="86" spans="3:40" ht="14" x14ac:dyDescent="0.3">
      <c r="C86" s="141">
        <v>77</v>
      </c>
      <c r="D86" s="462"/>
      <c r="E86" s="153"/>
      <c r="F86" s="498" t="str">
        <f>IF(D86="","",VLOOKUP(D86,'G-7 Rivers Data'!$B$2:$G$8,2,FALSE))</f>
        <v/>
      </c>
      <c r="G86" s="499" t="str">
        <f>IFERROR(VLOOKUP(F86,'G-7 Rivers Data'!$C$4:$D$8,2,FALSE),"")</f>
        <v/>
      </c>
      <c r="H86" s="145"/>
      <c r="I86" s="499" t="str">
        <f>IFERROR(INDEX('G-7 Rivers Data'!$H$4:$L$8,MATCH(D86,'G-7 Rivers Data'!$B$4:$B$8,0),MATCH(H86,'G-7 Rivers Data'!$H$3:$L$3,0)),"")</f>
        <v/>
      </c>
      <c r="J86" s="154"/>
      <c r="K86" s="520" t="str">
        <f>IF(J86="","",IF(VLOOKUP(J86,'G-7 Rivers Data'!$AK$4:$AM$9,2,FALSE)=0,"Spatial Data Missing ⚠",VLOOKUP(J86,'G-7 Rivers Data'!$AK$4:$AM$9,2,FALSE)))</f>
        <v/>
      </c>
      <c r="L86" s="524" t="str">
        <f>IF(J86="","",IF(VLOOKUP(J86,'G-7 Rivers Data'!$AK$4:$AM$9,3,FALSE)=0,"Spatial Data Missing ⚠",VLOOKUP(J86,'G-7 Rivers Data'!$AK$4:$AM$9,3,FALSE)))</f>
        <v/>
      </c>
      <c r="M86" s="71"/>
      <c r="N86" s="499" t="str">
        <f>IF(M86="","",IF(VLOOKUP(M86,'G-7 Rivers Data'!$AA$4:$AB$7,2,FALSE)=0,"Spatial Data Missing ⚠",VLOOKUP(M86,'G-7 Rivers Data'!$AA$4:$AB$7,2,FALSE)))</f>
        <v/>
      </c>
      <c r="O86" s="155"/>
      <c r="P86" s="499" t="str">
        <f>IF(O86="","",IF(VLOOKUP(O86,'G-7 Rivers Data'!$AD$4:$AE$8,2,FALSE)=0,"Spatial Data Missing ⚠",VLOOKUP(O86,'G-7 Rivers Data'!$AD$4:$AE$8,2,FALSE)))</f>
        <v/>
      </c>
      <c r="Q86" s="506" t="str">
        <f>IF(D86="","",VLOOKUP(D86,'G-7 Rivers Data'!$B$4:$G$8,6,FALSE))</f>
        <v/>
      </c>
      <c r="R86" s="513" t="str">
        <f t="shared" si="8"/>
        <v/>
      </c>
      <c r="S86" s="40"/>
      <c r="T86" s="145"/>
      <c r="U86" s="157"/>
      <c r="V86" s="511" t="str">
        <f t="shared" si="9"/>
        <v/>
      </c>
      <c r="W86" s="511" t="str">
        <f t="shared" si="10"/>
        <v/>
      </c>
      <c r="X86" s="511" t="str">
        <f t="shared" si="11"/>
        <v/>
      </c>
      <c r="Y86" s="515" t="str">
        <f t="shared" si="12"/>
        <v/>
      </c>
      <c r="Z86" s="151"/>
      <c r="AA86" s="152"/>
      <c r="AF86" s="31" t="str">
        <f>IFERROR(INDEX('G-7 Rivers Data'!$AZ$3:$AZ$7,MATCH(D86,'G-7 Rivers Data'!$AY$3:$AY$7,0)),"")</f>
        <v/>
      </c>
      <c r="AG86" s="31">
        <f t="shared" si="13"/>
        <v>0</v>
      </c>
      <c r="AH86" s="156" t="str">
        <f t="shared" si="14"/>
        <v/>
      </c>
      <c r="AI86" s="156" t="str">
        <f t="shared" si="15"/>
        <v/>
      </c>
      <c r="AK86" s="156">
        <v>77</v>
      </c>
      <c r="AM86" s="156" t="str">
        <f t="array" ref="AM86">IFERROR(INDEX($AK$10:$AK$258, MATCH(0, IF(TRUE=$AH$10:$AH$258, COUNTIF($AM$9:$AM85, $AK$10:$AK$258), ""), 0)),"")</f>
        <v/>
      </c>
      <c r="AN86" s="156" t="str">
        <f t="array" ref="AN86">IFERROR(INDEX($AK$10:$AK$258, MATCH(0, IF(TRUE=$AI$10:$AI$258, COUNTIF($AN$9:$AN85, $AK$10:$AK$258), ""), 0)),"")</f>
        <v/>
      </c>
    </row>
    <row r="87" spans="3:40" ht="14" x14ac:dyDescent="0.3">
      <c r="C87" s="141">
        <v>78</v>
      </c>
      <c r="D87" s="462"/>
      <c r="E87" s="153"/>
      <c r="F87" s="498" t="str">
        <f>IF(D87="","",VLOOKUP(D87,'G-7 Rivers Data'!$B$2:$G$8,2,FALSE))</f>
        <v/>
      </c>
      <c r="G87" s="499" t="str">
        <f>IFERROR(VLOOKUP(F87,'G-7 Rivers Data'!$C$4:$D$8,2,FALSE),"")</f>
        <v/>
      </c>
      <c r="H87" s="145"/>
      <c r="I87" s="499" t="str">
        <f>IFERROR(INDEX('G-7 Rivers Data'!$H$4:$L$8,MATCH(D87,'G-7 Rivers Data'!$B$4:$B$8,0),MATCH(H87,'G-7 Rivers Data'!$H$3:$L$3,0)),"")</f>
        <v/>
      </c>
      <c r="J87" s="154"/>
      <c r="K87" s="520" t="str">
        <f>IF(J87="","",IF(VLOOKUP(J87,'G-7 Rivers Data'!$AK$4:$AM$9,2,FALSE)=0,"Spatial Data Missing ⚠",VLOOKUP(J87,'G-7 Rivers Data'!$AK$4:$AM$9,2,FALSE)))</f>
        <v/>
      </c>
      <c r="L87" s="524" t="str">
        <f>IF(J87="","",IF(VLOOKUP(J87,'G-7 Rivers Data'!$AK$4:$AM$9,3,FALSE)=0,"Spatial Data Missing ⚠",VLOOKUP(J87,'G-7 Rivers Data'!$AK$4:$AM$9,3,FALSE)))</f>
        <v/>
      </c>
      <c r="M87" s="71"/>
      <c r="N87" s="499" t="str">
        <f>IF(M87="","",IF(VLOOKUP(M87,'G-7 Rivers Data'!$AA$4:$AB$7,2,FALSE)=0,"Spatial Data Missing ⚠",VLOOKUP(M87,'G-7 Rivers Data'!$AA$4:$AB$7,2,FALSE)))</f>
        <v/>
      </c>
      <c r="O87" s="155"/>
      <c r="P87" s="499" t="str">
        <f>IF(O87="","",IF(VLOOKUP(O87,'G-7 Rivers Data'!$AD$4:$AE$8,2,FALSE)=0,"Spatial Data Missing ⚠",VLOOKUP(O87,'G-7 Rivers Data'!$AD$4:$AE$8,2,FALSE)))</f>
        <v/>
      </c>
      <c r="Q87" s="506" t="str">
        <f>IF(D87="","",VLOOKUP(D87,'G-7 Rivers Data'!$B$4:$G$8,6,FALSE))</f>
        <v/>
      </c>
      <c r="R87" s="513" t="str">
        <f t="shared" si="8"/>
        <v/>
      </c>
      <c r="S87" s="40"/>
      <c r="T87" s="145"/>
      <c r="U87" s="157"/>
      <c r="V87" s="511" t="str">
        <f t="shared" si="9"/>
        <v/>
      </c>
      <c r="W87" s="511" t="str">
        <f t="shared" si="10"/>
        <v/>
      </c>
      <c r="X87" s="511" t="str">
        <f t="shared" si="11"/>
        <v/>
      </c>
      <c r="Y87" s="515" t="str">
        <f t="shared" si="12"/>
        <v/>
      </c>
      <c r="Z87" s="151"/>
      <c r="AA87" s="152"/>
      <c r="AF87" s="31" t="str">
        <f>IFERROR(INDEX('G-7 Rivers Data'!$AZ$3:$AZ$7,MATCH(D87,'G-7 Rivers Data'!$AY$3:$AY$7,0)),"")</f>
        <v/>
      </c>
      <c r="AG87" s="31">
        <f t="shared" si="13"/>
        <v>0</v>
      </c>
      <c r="AH87" s="156" t="str">
        <f t="shared" si="14"/>
        <v/>
      </c>
      <c r="AI87" s="156" t="str">
        <f t="shared" si="15"/>
        <v/>
      </c>
      <c r="AK87" s="156">
        <v>78</v>
      </c>
      <c r="AM87" s="156" t="str">
        <f t="array" ref="AM87">IFERROR(INDEX($AK$10:$AK$258, MATCH(0, IF(TRUE=$AH$10:$AH$258, COUNTIF($AM$9:$AM86, $AK$10:$AK$258), ""), 0)),"")</f>
        <v/>
      </c>
      <c r="AN87" s="156" t="str">
        <f t="array" ref="AN87">IFERROR(INDEX($AK$10:$AK$258, MATCH(0, IF(TRUE=$AI$10:$AI$258, COUNTIF($AN$9:$AN86, $AK$10:$AK$258), ""), 0)),"")</f>
        <v/>
      </c>
    </row>
    <row r="88" spans="3:40" ht="14" x14ac:dyDescent="0.3">
      <c r="C88" s="141">
        <v>79</v>
      </c>
      <c r="D88" s="462"/>
      <c r="E88" s="153"/>
      <c r="F88" s="498" t="str">
        <f>IF(D88="","",VLOOKUP(D88,'G-7 Rivers Data'!$B$2:$G$8,2,FALSE))</f>
        <v/>
      </c>
      <c r="G88" s="499" t="str">
        <f>IFERROR(VLOOKUP(F88,'G-7 Rivers Data'!$C$4:$D$8,2,FALSE),"")</f>
        <v/>
      </c>
      <c r="H88" s="145"/>
      <c r="I88" s="499" t="str">
        <f>IFERROR(INDEX('G-7 Rivers Data'!$H$4:$L$8,MATCH(D88,'G-7 Rivers Data'!$B$4:$B$8,0),MATCH(H88,'G-7 Rivers Data'!$H$3:$L$3,0)),"")</f>
        <v/>
      </c>
      <c r="J88" s="154"/>
      <c r="K88" s="520" t="str">
        <f>IF(J88="","",IF(VLOOKUP(J88,'G-7 Rivers Data'!$AK$4:$AM$9,2,FALSE)=0,"Spatial Data Missing ⚠",VLOOKUP(J88,'G-7 Rivers Data'!$AK$4:$AM$9,2,FALSE)))</f>
        <v/>
      </c>
      <c r="L88" s="524" t="str">
        <f>IF(J88="","",IF(VLOOKUP(J88,'G-7 Rivers Data'!$AK$4:$AM$9,3,FALSE)=0,"Spatial Data Missing ⚠",VLOOKUP(J88,'G-7 Rivers Data'!$AK$4:$AM$9,3,FALSE)))</f>
        <v/>
      </c>
      <c r="M88" s="71"/>
      <c r="N88" s="499" t="str">
        <f>IF(M88="","",IF(VLOOKUP(M88,'G-7 Rivers Data'!$AA$4:$AB$7,2,FALSE)=0,"Spatial Data Missing ⚠",VLOOKUP(M88,'G-7 Rivers Data'!$AA$4:$AB$7,2,FALSE)))</f>
        <v/>
      </c>
      <c r="O88" s="155"/>
      <c r="P88" s="499" t="str">
        <f>IF(O88="","",IF(VLOOKUP(O88,'G-7 Rivers Data'!$AD$4:$AE$8,2,FALSE)=0,"Spatial Data Missing ⚠",VLOOKUP(O88,'G-7 Rivers Data'!$AD$4:$AE$8,2,FALSE)))</f>
        <v/>
      </c>
      <c r="Q88" s="506" t="str">
        <f>IF(D88="","",VLOOKUP(D88,'G-7 Rivers Data'!$B$4:$G$8,6,FALSE))</f>
        <v/>
      </c>
      <c r="R88" s="513" t="str">
        <f t="shared" si="8"/>
        <v/>
      </c>
      <c r="S88" s="40"/>
      <c r="T88" s="145"/>
      <c r="U88" s="157"/>
      <c r="V88" s="511" t="str">
        <f t="shared" si="9"/>
        <v/>
      </c>
      <c r="W88" s="511" t="str">
        <f t="shared" si="10"/>
        <v/>
      </c>
      <c r="X88" s="511" t="str">
        <f t="shared" si="11"/>
        <v/>
      </c>
      <c r="Y88" s="515" t="str">
        <f t="shared" si="12"/>
        <v/>
      </c>
      <c r="Z88" s="151"/>
      <c r="AA88" s="152"/>
      <c r="AF88" s="31" t="str">
        <f>IFERROR(INDEX('G-7 Rivers Data'!$AZ$3:$AZ$7,MATCH(D88,'G-7 Rivers Data'!$AY$3:$AY$7,0)),"")</f>
        <v/>
      </c>
      <c r="AG88" s="31">
        <f t="shared" si="13"/>
        <v>0</v>
      </c>
      <c r="AH88" s="156" t="str">
        <f t="shared" si="14"/>
        <v/>
      </c>
      <c r="AI88" s="156" t="str">
        <f t="shared" si="15"/>
        <v/>
      </c>
      <c r="AK88" s="156">
        <v>79</v>
      </c>
      <c r="AM88" s="156" t="str">
        <f t="array" ref="AM88">IFERROR(INDEX($AK$10:$AK$258, MATCH(0, IF(TRUE=$AH$10:$AH$258, COUNTIF($AM$9:$AM87, $AK$10:$AK$258), ""), 0)),"")</f>
        <v/>
      </c>
      <c r="AN88" s="156" t="str">
        <f t="array" ref="AN88">IFERROR(INDEX($AK$10:$AK$258, MATCH(0, IF(TRUE=$AI$10:$AI$258, COUNTIF($AN$9:$AN87, $AK$10:$AK$258), ""), 0)),"")</f>
        <v/>
      </c>
    </row>
    <row r="89" spans="3:40" ht="14" x14ac:dyDescent="0.3">
      <c r="C89" s="141">
        <v>80</v>
      </c>
      <c r="D89" s="462"/>
      <c r="E89" s="153"/>
      <c r="F89" s="498" t="str">
        <f>IF(D89="","",VLOOKUP(D89,'G-7 Rivers Data'!$B$2:$G$8,2,FALSE))</f>
        <v/>
      </c>
      <c r="G89" s="499" t="str">
        <f>IFERROR(VLOOKUP(F89,'G-7 Rivers Data'!$C$4:$D$8,2,FALSE),"")</f>
        <v/>
      </c>
      <c r="H89" s="145"/>
      <c r="I89" s="499" t="str">
        <f>IFERROR(INDEX('G-7 Rivers Data'!$H$4:$L$8,MATCH(D89,'G-7 Rivers Data'!$B$4:$B$8,0),MATCH(H89,'G-7 Rivers Data'!$H$3:$L$3,0)),"")</f>
        <v/>
      </c>
      <c r="J89" s="154"/>
      <c r="K89" s="520" t="str">
        <f>IF(J89="","",IF(VLOOKUP(J89,'G-7 Rivers Data'!$AK$4:$AM$9,2,FALSE)=0,"Spatial Data Missing ⚠",VLOOKUP(J89,'G-7 Rivers Data'!$AK$4:$AM$9,2,FALSE)))</f>
        <v/>
      </c>
      <c r="L89" s="524" t="str">
        <f>IF(J89="","",IF(VLOOKUP(J89,'G-7 Rivers Data'!$AK$4:$AM$9,3,FALSE)=0,"Spatial Data Missing ⚠",VLOOKUP(J89,'G-7 Rivers Data'!$AK$4:$AM$9,3,FALSE)))</f>
        <v/>
      </c>
      <c r="M89" s="71"/>
      <c r="N89" s="499" t="str">
        <f>IF(M89="","",IF(VLOOKUP(M89,'G-7 Rivers Data'!$AA$4:$AB$7,2,FALSE)=0,"Spatial Data Missing ⚠",VLOOKUP(M89,'G-7 Rivers Data'!$AA$4:$AB$7,2,FALSE)))</f>
        <v/>
      </c>
      <c r="O89" s="155"/>
      <c r="P89" s="499" t="str">
        <f>IF(O89="","",IF(VLOOKUP(O89,'G-7 Rivers Data'!$AD$4:$AE$8,2,FALSE)=0,"Spatial Data Missing ⚠",VLOOKUP(O89,'G-7 Rivers Data'!$AD$4:$AE$8,2,FALSE)))</f>
        <v/>
      </c>
      <c r="Q89" s="506" t="str">
        <f>IF(D89="","",VLOOKUP(D89,'G-7 Rivers Data'!$B$4:$G$8,6,FALSE))</f>
        <v/>
      </c>
      <c r="R89" s="513" t="str">
        <f t="shared" si="8"/>
        <v/>
      </c>
      <c r="S89" s="40"/>
      <c r="T89" s="145"/>
      <c r="U89" s="157"/>
      <c r="V89" s="511" t="str">
        <f t="shared" si="9"/>
        <v/>
      </c>
      <c r="W89" s="511" t="str">
        <f t="shared" si="10"/>
        <v/>
      </c>
      <c r="X89" s="511" t="str">
        <f t="shared" si="11"/>
        <v/>
      </c>
      <c r="Y89" s="515" t="str">
        <f t="shared" si="12"/>
        <v/>
      </c>
      <c r="Z89" s="151"/>
      <c r="AA89" s="152"/>
      <c r="AF89" s="31" t="str">
        <f>IFERROR(INDEX('G-7 Rivers Data'!$AZ$3:$AZ$7,MATCH(D89,'G-7 Rivers Data'!$AY$3:$AY$7,0)),"")</f>
        <v/>
      </c>
      <c r="AG89" s="31">
        <f t="shared" si="13"/>
        <v>0</v>
      </c>
      <c r="AH89" s="156" t="str">
        <f t="shared" si="14"/>
        <v/>
      </c>
      <c r="AI89" s="156" t="str">
        <f t="shared" si="15"/>
        <v/>
      </c>
      <c r="AK89" s="156">
        <v>80</v>
      </c>
      <c r="AM89" s="156" t="str">
        <f t="array" ref="AM89">IFERROR(INDEX($AK$10:$AK$258, MATCH(0, IF(TRUE=$AH$10:$AH$258, COUNTIF($AM$9:$AM88, $AK$10:$AK$258), ""), 0)),"")</f>
        <v/>
      </c>
      <c r="AN89" s="156" t="str">
        <f t="array" ref="AN89">IFERROR(INDEX($AK$10:$AK$258, MATCH(0, IF(TRUE=$AI$10:$AI$258, COUNTIF($AN$9:$AN88, $AK$10:$AK$258), ""), 0)),"")</f>
        <v/>
      </c>
    </row>
    <row r="90" spans="3:40" ht="14" x14ac:dyDescent="0.3">
      <c r="C90" s="141">
        <v>81</v>
      </c>
      <c r="D90" s="462"/>
      <c r="E90" s="153"/>
      <c r="F90" s="498" t="str">
        <f>IF(D90="","",VLOOKUP(D90,'G-7 Rivers Data'!$B$2:$G$8,2,FALSE))</f>
        <v/>
      </c>
      <c r="G90" s="499" t="str">
        <f>IFERROR(VLOOKUP(F90,'G-7 Rivers Data'!$C$4:$D$8,2,FALSE),"")</f>
        <v/>
      </c>
      <c r="H90" s="145"/>
      <c r="I90" s="499" t="str">
        <f>IFERROR(INDEX('G-7 Rivers Data'!$H$4:$L$8,MATCH(D90,'G-7 Rivers Data'!$B$4:$B$8,0),MATCH(H90,'G-7 Rivers Data'!$H$3:$L$3,0)),"")</f>
        <v/>
      </c>
      <c r="J90" s="154"/>
      <c r="K90" s="520" t="str">
        <f>IF(J90="","",IF(VLOOKUP(J90,'G-7 Rivers Data'!$AK$4:$AM$9,2,FALSE)=0,"Spatial Data Missing ⚠",VLOOKUP(J90,'G-7 Rivers Data'!$AK$4:$AM$9,2,FALSE)))</f>
        <v/>
      </c>
      <c r="L90" s="524" t="str">
        <f>IF(J90="","",IF(VLOOKUP(J90,'G-7 Rivers Data'!$AK$4:$AM$9,3,FALSE)=0,"Spatial Data Missing ⚠",VLOOKUP(J90,'G-7 Rivers Data'!$AK$4:$AM$9,3,FALSE)))</f>
        <v/>
      </c>
      <c r="M90" s="71"/>
      <c r="N90" s="499" t="str">
        <f>IF(M90="","",IF(VLOOKUP(M90,'G-7 Rivers Data'!$AA$4:$AB$7,2,FALSE)=0,"Spatial Data Missing ⚠",VLOOKUP(M90,'G-7 Rivers Data'!$AA$4:$AB$7,2,FALSE)))</f>
        <v/>
      </c>
      <c r="O90" s="155"/>
      <c r="P90" s="499" t="str">
        <f>IF(O90="","",IF(VLOOKUP(O90,'G-7 Rivers Data'!$AD$4:$AE$8,2,FALSE)=0,"Spatial Data Missing ⚠",VLOOKUP(O90,'G-7 Rivers Data'!$AD$4:$AE$8,2,FALSE)))</f>
        <v/>
      </c>
      <c r="Q90" s="506" t="str">
        <f>IF(D90="","",VLOOKUP(D90,'G-7 Rivers Data'!$B$4:$G$8,6,FALSE))</f>
        <v/>
      </c>
      <c r="R90" s="513" t="str">
        <f t="shared" si="8"/>
        <v/>
      </c>
      <c r="S90" s="40"/>
      <c r="T90" s="145"/>
      <c r="U90" s="157"/>
      <c r="V90" s="511" t="str">
        <f t="shared" si="9"/>
        <v/>
      </c>
      <c r="W90" s="511" t="str">
        <f t="shared" si="10"/>
        <v/>
      </c>
      <c r="X90" s="511" t="str">
        <f t="shared" si="11"/>
        <v/>
      </c>
      <c r="Y90" s="515" t="str">
        <f t="shared" si="12"/>
        <v/>
      </c>
      <c r="Z90" s="151"/>
      <c r="AA90" s="152"/>
      <c r="AF90" s="31" t="str">
        <f>IFERROR(INDEX('G-7 Rivers Data'!$AZ$3:$AZ$7,MATCH(D90,'G-7 Rivers Data'!$AY$3:$AY$7,0)),"")</f>
        <v/>
      </c>
      <c r="AG90" s="31">
        <f t="shared" si="13"/>
        <v>0</v>
      </c>
      <c r="AH90" s="156" t="str">
        <f t="shared" si="14"/>
        <v/>
      </c>
      <c r="AI90" s="156" t="str">
        <f t="shared" si="15"/>
        <v/>
      </c>
      <c r="AK90" s="156">
        <v>81</v>
      </c>
      <c r="AM90" s="156" t="str">
        <f t="array" ref="AM90">IFERROR(INDEX($AK$10:$AK$258, MATCH(0, IF(TRUE=$AH$10:$AH$258, COUNTIF($AM$9:$AM89, $AK$10:$AK$258), ""), 0)),"")</f>
        <v/>
      </c>
      <c r="AN90" s="156" t="str">
        <f t="array" ref="AN90">IFERROR(INDEX($AK$10:$AK$258, MATCH(0, IF(TRUE=$AI$10:$AI$258, COUNTIF($AN$9:$AN89, $AK$10:$AK$258), ""), 0)),"")</f>
        <v/>
      </c>
    </row>
    <row r="91" spans="3:40" ht="14" x14ac:dyDescent="0.3">
      <c r="C91" s="141">
        <v>82</v>
      </c>
      <c r="D91" s="462"/>
      <c r="E91" s="153"/>
      <c r="F91" s="498" t="str">
        <f>IF(D91="","",VLOOKUP(D91,'G-7 Rivers Data'!$B$2:$G$8,2,FALSE))</f>
        <v/>
      </c>
      <c r="G91" s="499" t="str">
        <f>IFERROR(VLOOKUP(F91,'G-7 Rivers Data'!$C$4:$D$8,2,FALSE),"")</f>
        <v/>
      </c>
      <c r="H91" s="145"/>
      <c r="I91" s="499" t="str">
        <f>IFERROR(INDEX('G-7 Rivers Data'!$H$4:$L$8,MATCH(D91,'G-7 Rivers Data'!$B$4:$B$8,0),MATCH(H91,'G-7 Rivers Data'!$H$3:$L$3,0)),"")</f>
        <v/>
      </c>
      <c r="J91" s="154"/>
      <c r="K91" s="520" t="str">
        <f>IF(J91="","",IF(VLOOKUP(J91,'G-7 Rivers Data'!$AK$4:$AM$9,2,FALSE)=0,"Spatial Data Missing ⚠",VLOOKUP(J91,'G-7 Rivers Data'!$AK$4:$AM$9,2,FALSE)))</f>
        <v/>
      </c>
      <c r="L91" s="524" t="str">
        <f>IF(J91="","",IF(VLOOKUP(J91,'G-7 Rivers Data'!$AK$4:$AM$9,3,FALSE)=0,"Spatial Data Missing ⚠",VLOOKUP(J91,'G-7 Rivers Data'!$AK$4:$AM$9,3,FALSE)))</f>
        <v/>
      </c>
      <c r="M91" s="71"/>
      <c r="N91" s="499" t="str">
        <f>IF(M91="","",IF(VLOOKUP(M91,'G-7 Rivers Data'!$AA$4:$AB$7,2,FALSE)=0,"Spatial Data Missing ⚠",VLOOKUP(M91,'G-7 Rivers Data'!$AA$4:$AB$7,2,FALSE)))</f>
        <v/>
      </c>
      <c r="O91" s="155"/>
      <c r="P91" s="499" t="str">
        <f>IF(O91="","",IF(VLOOKUP(O91,'G-7 Rivers Data'!$AD$4:$AE$8,2,FALSE)=0,"Spatial Data Missing ⚠",VLOOKUP(O91,'G-7 Rivers Data'!$AD$4:$AE$8,2,FALSE)))</f>
        <v/>
      </c>
      <c r="Q91" s="506" t="str">
        <f>IF(D91="","",VLOOKUP(D91,'G-7 Rivers Data'!$B$4:$G$8,6,FALSE))</f>
        <v/>
      </c>
      <c r="R91" s="513" t="str">
        <f t="shared" si="8"/>
        <v/>
      </c>
      <c r="S91" s="40"/>
      <c r="T91" s="145"/>
      <c r="U91" s="157"/>
      <c r="V91" s="511" t="str">
        <f t="shared" si="9"/>
        <v/>
      </c>
      <c r="W91" s="511" t="str">
        <f t="shared" si="10"/>
        <v/>
      </c>
      <c r="X91" s="511" t="str">
        <f t="shared" si="11"/>
        <v/>
      </c>
      <c r="Y91" s="515" t="str">
        <f t="shared" si="12"/>
        <v/>
      </c>
      <c r="Z91" s="151"/>
      <c r="AA91" s="152"/>
      <c r="AF91" s="31" t="str">
        <f>IFERROR(INDEX('G-7 Rivers Data'!$AZ$3:$AZ$7,MATCH(D91,'G-7 Rivers Data'!$AY$3:$AY$7,0)),"")</f>
        <v/>
      </c>
      <c r="AG91" s="31">
        <f t="shared" si="13"/>
        <v>0</v>
      </c>
      <c r="AH91" s="156" t="str">
        <f t="shared" si="14"/>
        <v/>
      </c>
      <c r="AI91" s="156" t="str">
        <f t="shared" si="15"/>
        <v/>
      </c>
      <c r="AK91" s="156">
        <v>82</v>
      </c>
      <c r="AM91" s="156" t="str">
        <f t="array" ref="AM91">IFERROR(INDEX($AK$10:$AK$258, MATCH(0, IF(TRUE=$AH$10:$AH$258, COUNTIF($AM$9:$AM90, $AK$10:$AK$258), ""), 0)),"")</f>
        <v/>
      </c>
      <c r="AN91" s="156" t="str">
        <f t="array" ref="AN91">IFERROR(INDEX($AK$10:$AK$258, MATCH(0, IF(TRUE=$AI$10:$AI$258, COUNTIF($AN$9:$AN90, $AK$10:$AK$258), ""), 0)),"")</f>
        <v/>
      </c>
    </row>
    <row r="92" spans="3:40" ht="14" x14ac:dyDescent="0.3">
      <c r="C92" s="141">
        <v>83</v>
      </c>
      <c r="D92" s="462"/>
      <c r="E92" s="153"/>
      <c r="F92" s="498" t="str">
        <f>IF(D92="","",VLOOKUP(D92,'G-7 Rivers Data'!$B$2:$G$8,2,FALSE))</f>
        <v/>
      </c>
      <c r="G92" s="499" t="str">
        <f>IFERROR(VLOOKUP(F92,'G-7 Rivers Data'!$C$4:$D$8,2,FALSE),"")</f>
        <v/>
      </c>
      <c r="H92" s="145"/>
      <c r="I92" s="499" t="str">
        <f>IFERROR(INDEX('G-7 Rivers Data'!$H$4:$L$8,MATCH(D92,'G-7 Rivers Data'!$B$4:$B$8,0),MATCH(H92,'G-7 Rivers Data'!$H$3:$L$3,0)),"")</f>
        <v/>
      </c>
      <c r="J92" s="154"/>
      <c r="K92" s="520" t="str">
        <f>IF(J92="","",IF(VLOOKUP(J92,'G-7 Rivers Data'!$AK$4:$AM$9,2,FALSE)=0,"Spatial Data Missing ⚠",VLOOKUP(J92,'G-7 Rivers Data'!$AK$4:$AM$9,2,FALSE)))</f>
        <v/>
      </c>
      <c r="L92" s="524" t="str">
        <f>IF(J92="","",IF(VLOOKUP(J92,'G-7 Rivers Data'!$AK$4:$AM$9,3,FALSE)=0,"Spatial Data Missing ⚠",VLOOKUP(J92,'G-7 Rivers Data'!$AK$4:$AM$9,3,FALSE)))</f>
        <v/>
      </c>
      <c r="M92" s="71"/>
      <c r="N92" s="499" t="str">
        <f>IF(M92="","",IF(VLOOKUP(M92,'G-7 Rivers Data'!$AA$4:$AB$7,2,FALSE)=0,"Spatial Data Missing ⚠",VLOOKUP(M92,'G-7 Rivers Data'!$AA$4:$AB$7,2,FALSE)))</f>
        <v/>
      </c>
      <c r="O92" s="155"/>
      <c r="P92" s="499" t="str">
        <f>IF(O92="","",IF(VLOOKUP(O92,'G-7 Rivers Data'!$AD$4:$AE$8,2,FALSE)=0,"Spatial Data Missing ⚠",VLOOKUP(O92,'G-7 Rivers Data'!$AD$4:$AE$8,2,FALSE)))</f>
        <v/>
      </c>
      <c r="Q92" s="506" t="str">
        <f>IF(D92="","",VLOOKUP(D92,'G-7 Rivers Data'!$B$4:$G$8,6,FALSE))</f>
        <v/>
      </c>
      <c r="R92" s="513" t="str">
        <f t="shared" si="8"/>
        <v/>
      </c>
      <c r="S92" s="40"/>
      <c r="T92" s="145"/>
      <c r="U92" s="157"/>
      <c r="V92" s="511" t="str">
        <f t="shared" si="9"/>
        <v/>
      </c>
      <c r="W92" s="511" t="str">
        <f t="shared" si="10"/>
        <v/>
      </c>
      <c r="X92" s="511" t="str">
        <f t="shared" si="11"/>
        <v/>
      </c>
      <c r="Y92" s="515" t="str">
        <f t="shared" si="12"/>
        <v/>
      </c>
      <c r="Z92" s="151"/>
      <c r="AA92" s="152"/>
      <c r="AF92" s="31" t="str">
        <f>IFERROR(INDEX('G-7 Rivers Data'!$AZ$3:$AZ$7,MATCH(D92,'G-7 Rivers Data'!$AY$3:$AY$7,0)),"")</f>
        <v/>
      </c>
      <c r="AG92" s="31">
        <f t="shared" si="13"/>
        <v>0</v>
      </c>
      <c r="AH92" s="156" t="str">
        <f t="shared" si="14"/>
        <v/>
      </c>
      <c r="AI92" s="156" t="str">
        <f t="shared" si="15"/>
        <v/>
      </c>
      <c r="AK92" s="156">
        <v>83</v>
      </c>
      <c r="AM92" s="156" t="str">
        <f t="array" ref="AM92">IFERROR(INDEX($AK$10:$AK$258, MATCH(0, IF(TRUE=$AH$10:$AH$258, COUNTIF($AM$9:$AM91, $AK$10:$AK$258), ""), 0)),"")</f>
        <v/>
      </c>
      <c r="AN92" s="156" t="str">
        <f t="array" ref="AN92">IFERROR(INDEX($AK$10:$AK$258, MATCH(0, IF(TRUE=$AI$10:$AI$258, COUNTIF($AN$9:$AN91, $AK$10:$AK$258), ""), 0)),"")</f>
        <v/>
      </c>
    </row>
    <row r="93" spans="3:40" ht="14" x14ac:dyDescent="0.3">
      <c r="C93" s="141">
        <v>84</v>
      </c>
      <c r="D93" s="462"/>
      <c r="E93" s="153"/>
      <c r="F93" s="498" t="str">
        <f>IF(D93="","",VLOOKUP(D93,'G-7 Rivers Data'!$B$2:$G$8,2,FALSE))</f>
        <v/>
      </c>
      <c r="G93" s="499" t="str">
        <f>IFERROR(VLOOKUP(F93,'G-7 Rivers Data'!$C$4:$D$8,2,FALSE),"")</f>
        <v/>
      </c>
      <c r="H93" s="145"/>
      <c r="I93" s="499" t="str">
        <f>IFERROR(INDEX('G-7 Rivers Data'!$H$4:$L$8,MATCH(D93,'G-7 Rivers Data'!$B$4:$B$8,0),MATCH(H93,'G-7 Rivers Data'!$H$3:$L$3,0)),"")</f>
        <v/>
      </c>
      <c r="J93" s="154"/>
      <c r="K93" s="520" t="str">
        <f>IF(J93="","",IF(VLOOKUP(J93,'G-7 Rivers Data'!$AK$4:$AM$9,2,FALSE)=0,"Spatial Data Missing ⚠",VLOOKUP(J93,'G-7 Rivers Data'!$AK$4:$AM$9,2,FALSE)))</f>
        <v/>
      </c>
      <c r="L93" s="524" t="str">
        <f>IF(J93="","",IF(VLOOKUP(J93,'G-7 Rivers Data'!$AK$4:$AM$9,3,FALSE)=0,"Spatial Data Missing ⚠",VLOOKUP(J93,'G-7 Rivers Data'!$AK$4:$AM$9,3,FALSE)))</f>
        <v/>
      </c>
      <c r="M93" s="71"/>
      <c r="N93" s="499" t="str">
        <f>IF(M93="","",IF(VLOOKUP(M93,'G-7 Rivers Data'!$AA$4:$AB$7,2,FALSE)=0,"Spatial Data Missing ⚠",VLOOKUP(M93,'G-7 Rivers Data'!$AA$4:$AB$7,2,FALSE)))</f>
        <v/>
      </c>
      <c r="O93" s="155"/>
      <c r="P93" s="499" t="str">
        <f>IF(O93="","",IF(VLOOKUP(O93,'G-7 Rivers Data'!$AD$4:$AE$8,2,FALSE)=0,"Spatial Data Missing ⚠",VLOOKUP(O93,'G-7 Rivers Data'!$AD$4:$AE$8,2,FALSE)))</f>
        <v/>
      </c>
      <c r="Q93" s="506" t="str">
        <f>IF(D93="","",VLOOKUP(D93,'G-7 Rivers Data'!$B$4:$G$8,6,FALSE))</f>
        <v/>
      </c>
      <c r="R93" s="513" t="str">
        <f t="shared" si="8"/>
        <v/>
      </c>
      <c r="S93" s="40"/>
      <c r="T93" s="145"/>
      <c r="U93" s="157"/>
      <c r="V93" s="511" t="str">
        <f t="shared" si="9"/>
        <v/>
      </c>
      <c r="W93" s="511" t="str">
        <f t="shared" si="10"/>
        <v/>
      </c>
      <c r="X93" s="511" t="str">
        <f t="shared" si="11"/>
        <v/>
      </c>
      <c r="Y93" s="515" t="str">
        <f t="shared" si="12"/>
        <v/>
      </c>
      <c r="Z93" s="151"/>
      <c r="AA93" s="152"/>
      <c r="AF93" s="31" t="str">
        <f>IFERROR(INDEX('G-7 Rivers Data'!$AZ$3:$AZ$7,MATCH(D93,'G-7 Rivers Data'!$AY$3:$AY$7,0)),"")</f>
        <v/>
      </c>
      <c r="AG93" s="31">
        <f t="shared" si="13"/>
        <v>0</v>
      </c>
      <c r="AH93" s="156" t="str">
        <f t="shared" si="14"/>
        <v/>
      </c>
      <c r="AI93" s="156" t="str">
        <f t="shared" si="15"/>
        <v/>
      </c>
      <c r="AK93" s="156">
        <v>84</v>
      </c>
      <c r="AM93" s="156" t="str">
        <f t="array" ref="AM93">IFERROR(INDEX($AK$10:$AK$258, MATCH(0, IF(TRUE=$AH$10:$AH$258, COUNTIF($AM$9:$AM92, $AK$10:$AK$258), ""), 0)),"")</f>
        <v/>
      </c>
      <c r="AN93" s="156" t="str">
        <f t="array" ref="AN93">IFERROR(INDEX($AK$10:$AK$258, MATCH(0, IF(TRUE=$AI$10:$AI$258, COUNTIF($AN$9:$AN92, $AK$10:$AK$258), ""), 0)),"")</f>
        <v/>
      </c>
    </row>
    <row r="94" spans="3:40" ht="14" x14ac:dyDescent="0.3">
      <c r="C94" s="141">
        <v>85</v>
      </c>
      <c r="D94" s="462"/>
      <c r="E94" s="153"/>
      <c r="F94" s="498" t="str">
        <f>IF(D94="","",VLOOKUP(D94,'G-7 Rivers Data'!$B$2:$G$8,2,FALSE))</f>
        <v/>
      </c>
      <c r="G94" s="499" t="str">
        <f>IFERROR(VLOOKUP(F94,'G-7 Rivers Data'!$C$4:$D$8,2,FALSE),"")</f>
        <v/>
      </c>
      <c r="H94" s="145"/>
      <c r="I94" s="499" t="str">
        <f>IFERROR(INDEX('G-7 Rivers Data'!$H$4:$L$8,MATCH(D94,'G-7 Rivers Data'!$B$4:$B$8,0),MATCH(H94,'G-7 Rivers Data'!$H$3:$L$3,0)),"")</f>
        <v/>
      </c>
      <c r="J94" s="154"/>
      <c r="K94" s="520" t="str">
        <f>IF(J94="","",IF(VLOOKUP(J94,'G-7 Rivers Data'!$AK$4:$AM$9,2,FALSE)=0,"Spatial Data Missing ⚠",VLOOKUP(J94,'G-7 Rivers Data'!$AK$4:$AM$9,2,FALSE)))</f>
        <v/>
      </c>
      <c r="L94" s="524" t="str">
        <f>IF(J94="","",IF(VLOOKUP(J94,'G-7 Rivers Data'!$AK$4:$AM$9,3,FALSE)=0,"Spatial Data Missing ⚠",VLOOKUP(J94,'G-7 Rivers Data'!$AK$4:$AM$9,3,FALSE)))</f>
        <v/>
      </c>
      <c r="M94" s="71"/>
      <c r="N94" s="499" t="str">
        <f>IF(M94="","",IF(VLOOKUP(M94,'G-7 Rivers Data'!$AA$4:$AB$7,2,FALSE)=0,"Spatial Data Missing ⚠",VLOOKUP(M94,'G-7 Rivers Data'!$AA$4:$AB$7,2,FALSE)))</f>
        <v/>
      </c>
      <c r="O94" s="155"/>
      <c r="P94" s="499" t="str">
        <f>IF(O94="","",IF(VLOOKUP(O94,'G-7 Rivers Data'!$AD$4:$AE$8,2,FALSE)=0,"Spatial Data Missing ⚠",VLOOKUP(O94,'G-7 Rivers Data'!$AD$4:$AE$8,2,FALSE)))</f>
        <v/>
      </c>
      <c r="Q94" s="506" t="str">
        <f>IF(D94="","",VLOOKUP(D94,'G-7 Rivers Data'!$B$4:$G$8,6,FALSE))</f>
        <v/>
      </c>
      <c r="R94" s="513" t="str">
        <f t="shared" si="8"/>
        <v/>
      </c>
      <c r="S94" s="40"/>
      <c r="T94" s="145"/>
      <c r="U94" s="157"/>
      <c r="V94" s="511" t="str">
        <f t="shared" si="9"/>
        <v/>
      </c>
      <c r="W94" s="511" t="str">
        <f t="shared" si="10"/>
        <v/>
      </c>
      <c r="X94" s="511" t="str">
        <f t="shared" si="11"/>
        <v/>
      </c>
      <c r="Y94" s="515" t="str">
        <f t="shared" si="12"/>
        <v/>
      </c>
      <c r="Z94" s="151"/>
      <c r="AA94" s="152"/>
      <c r="AF94" s="31" t="str">
        <f>IFERROR(INDEX('G-7 Rivers Data'!$AZ$3:$AZ$7,MATCH(D94,'G-7 Rivers Data'!$AY$3:$AY$7,0)),"")</f>
        <v/>
      </c>
      <c r="AG94" s="31">
        <f t="shared" si="13"/>
        <v>0</v>
      </c>
      <c r="AH94" s="156" t="str">
        <f t="shared" si="14"/>
        <v/>
      </c>
      <c r="AI94" s="156" t="str">
        <f t="shared" si="15"/>
        <v/>
      </c>
      <c r="AK94" s="156">
        <v>85</v>
      </c>
      <c r="AM94" s="156" t="str">
        <f t="array" ref="AM94">IFERROR(INDEX($AK$10:$AK$258, MATCH(0, IF(TRUE=$AH$10:$AH$258, COUNTIF($AM$9:$AM93, $AK$10:$AK$258), ""), 0)),"")</f>
        <v/>
      </c>
      <c r="AN94" s="156" t="str">
        <f t="array" ref="AN94">IFERROR(INDEX($AK$10:$AK$258, MATCH(0, IF(TRUE=$AI$10:$AI$258, COUNTIF($AN$9:$AN93, $AK$10:$AK$258), ""), 0)),"")</f>
        <v/>
      </c>
    </row>
    <row r="95" spans="3:40" ht="14" x14ac:dyDescent="0.3">
      <c r="C95" s="141">
        <v>86</v>
      </c>
      <c r="D95" s="462"/>
      <c r="E95" s="153"/>
      <c r="F95" s="498" t="str">
        <f>IF(D95="","",VLOOKUP(D95,'G-7 Rivers Data'!$B$2:$G$8,2,FALSE))</f>
        <v/>
      </c>
      <c r="G95" s="499" t="str">
        <f>IFERROR(VLOOKUP(F95,'G-7 Rivers Data'!$C$4:$D$8,2,FALSE),"")</f>
        <v/>
      </c>
      <c r="H95" s="145"/>
      <c r="I95" s="499" t="str">
        <f>IFERROR(INDEX('G-7 Rivers Data'!$H$4:$L$8,MATCH(D95,'G-7 Rivers Data'!$B$4:$B$8,0),MATCH(H95,'G-7 Rivers Data'!$H$3:$L$3,0)),"")</f>
        <v/>
      </c>
      <c r="J95" s="154"/>
      <c r="K95" s="520" t="str">
        <f>IF(J95="","",IF(VLOOKUP(J95,'G-7 Rivers Data'!$AK$4:$AM$9,2,FALSE)=0,"Spatial Data Missing ⚠",VLOOKUP(J95,'G-7 Rivers Data'!$AK$4:$AM$9,2,FALSE)))</f>
        <v/>
      </c>
      <c r="L95" s="524" t="str">
        <f>IF(J95="","",IF(VLOOKUP(J95,'G-7 Rivers Data'!$AK$4:$AM$9,3,FALSE)=0,"Spatial Data Missing ⚠",VLOOKUP(J95,'G-7 Rivers Data'!$AK$4:$AM$9,3,FALSE)))</f>
        <v/>
      </c>
      <c r="M95" s="71"/>
      <c r="N95" s="499" t="str">
        <f>IF(M95="","",IF(VLOOKUP(M95,'G-7 Rivers Data'!$AA$4:$AB$7,2,FALSE)=0,"Spatial Data Missing ⚠",VLOOKUP(M95,'G-7 Rivers Data'!$AA$4:$AB$7,2,FALSE)))</f>
        <v/>
      </c>
      <c r="O95" s="155"/>
      <c r="P95" s="499" t="str">
        <f>IF(O95="","",IF(VLOOKUP(O95,'G-7 Rivers Data'!$AD$4:$AE$8,2,FALSE)=0,"Spatial Data Missing ⚠",VLOOKUP(O95,'G-7 Rivers Data'!$AD$4:$AE$8,2,FALSE)))</f>
        <v/>
      </c>
      <c r="Q95" s="506" t="str">
        <f>IF(D95="","",VLOOKUP(D95,'G-7 Rivers Data'!$B$4:$G$8,6,FALSE))</f>
        <v/>
      </c>
      <c r="R95" s="513" t="str">
        <f t="shared" si="8"/>
        <v/>
      </c>
      <c r="S95" s="40"/>
      <c r="T95" s="145"/>
      <c r="U95" s="157"/>
      <c r="V95" s="511" t="str">
        <f t="shared" si="9"/>
        <v/>
      </c>
      <c r="W95" s="511" t="str">
        <f t="shared" si="10"/>
        <v/>
      </c>
      <c r="X95" s="511" t="str">
        <f t="shared" si="11"/>
        <v/>
      </c>
      <c r="Y95" s="515" t="str">
        <f t="shared" si="12"/>
        <v/>
      </c>
      <c r="Z95" s="151"/>
      <c r="AA95" s="152"/>
      <c r="AF95" s="31" t="str">
        <f>IFERROR(INDEX('G-7 Rivers Data'!$AZ$3:$AZ$7,MATCH(D95,'G-7 Rivers Data'!$AY$3:$AY$7,0)),"")</f>
        <v/>
      </c>
      <c r="AG95" s="31">
        <f t="shared" si="13"/>
        <v>0</v>
      </c>
      <c r="AH95" s="156" t="str">
        <f t="shared" si="14"/>
        <v/>
      </c>
      <c r="AI95" s="156" t="str">
        <f t="shared" si="15"/>
        <v/>
      </c>
      <c r="AK95" s="156">
        <v>86</v>
      </c>
      <c r="AM95" s="156" t="str">
        <f t="array" ref="AM95">IFERROR(INDEX($AK$10:$AK$258, MATCH(0, IF(TRUE=$AH$10:$AH$258, COUNTIF($AM$9:$AM94, $AK$10:$AK$258), ""), 0)),"")</f>
        <v/>
      </c>
      <c r="AN95" s="156" t="str">
        <f t="array" ref="AN95">IFERROR(INDEX($AK$10:$AK$258, MATCH(0, IF(TRUE=$AI$10:$AI$258, COUNTIF($AN$9:$AN94, $AK$10:$AK$258), ""), 0)),"")</f>
        <v/>
      </c>
    </row>
    <row r="96" spans="3:40" ht="14" x14ac:dyDescent="0.3">
      <c r="C96" s="141">
        <v>87</v>
      </c>
      <c r="D96" s="462"/>
      <c r="E96" s="153"/>
      <c r="F96" s="498" t="str">
        <f>IF(D96="","",VLOOKUP(D96,'G-7 Rivers Data'!$B$2:$G$8,2,FALSE))</f>
        <v/>
      </c>
      <c r="G96" s="499" t="str">
        <f>IFERROR(VLOOKUP(F96,'G-7 Rivers Data'!$C$4:$D$8,2,FALSE),"")</f>
        <v/>
      </c>
      <c r="H96" s="145"/>
      <c r="I96" s="499" t="str">
        <f>IFERROR(INDEX('G-7 Rivers Data'!$H$4:$L$8,MATCH(D96,'G-7 Rivers Data'!$B$4:$B$8,0),MATCH(H96,'G-7 Rivers Data'!$H$3:$L$3,0)),"")</f>
        <v/>
      </c>
      <c r="J96" s="154"/>
      <c r="K96" s="520" t="str">
        <f>IF(J96="","",IF(VLOOKUP(J96,'G-7 Rivers Data'!$AK$4:$AM$9,2,FALSE)=0,"Spatial Data Missing ⚠",VLOOKUP(J96,'G-7 Rivers Data'!$AK$4:$AM$9,2,FALSE)))</f>
        <v/>
      </c>
      <c r="L96" s="524" t="str">
        <f>IF(J96="","",IF(VLOOKUP(J96,'G-7 Rivers Data'!$AK$4:$AM$9,3,FALSE)=0,"Spatial Data Missing ⚠",VLOOKUP(J96,'G-7 Rivers Data'!$AK$4:$AM$9,3,FALSE)))</f>
        <v/>
      </c>
      <c r="M96" s="71"/>
      <c r="N96" s="499" t="str">
        <f>IF(M96="","",IF(VLOOKUP(M96,'G-7 Rivers Data'!$AA$4:$AB$7,2,FALSE)=0,"Spatial Data Missing ⚠",VLOOKUP(M96,'G-7 Rivers Data'!$AA$4:$AB$7,2,FALSE)))</f>
        <v/>
      </c>
      <c r="O96" s="155"/>
      <c r="P96" s="499" t="str">
        <f>IF(O96="","",IF(VLOOKUP(O96,'G-7 Rivers Data'!$AD$4:$AE$8,2,FALSE)=0,"Spatial Data Missing ⚠",VLOOKUP(O96,'G-7 Rivers Data'!$AD$4:$AE$8,2,FALSE)))</f>
        <v/>
      </c>
      <c r="Q96" s="506" t="str">
        <f>IF(D96="","",VLOOKUP(D96,'G-7 Rivers Data'!$B$4:$G$8,6,FALSE))</f>
        <v/>
      </c>
      <c r="R96" s="513" t="str">
        <f t="shared" si="8"/>
        <v/>
      </c>
      <c r="S96" s="40"/>
      <c r="T96" s="145"/>
      <c r="U96" s="157"/>
      <c r="V96" s="511" t="str">
        <f t="shared" si="9"/>
        <v/>
      </c>
      <c r="W96" s="511" t="str">
        <f t="shared" si="10"/>
        <v/>
      </c>
      <c r="X96" s="511" t="str">
        <f t="shared" si="11"/>
        <v/>
      </c>
      <c r="Y96" s="515" t="str">
        <f t="shared" si="12"/>
        <v/>
      </c>
      <c r="Z96" s="151"/>
      <c r="AA96" s="152"/>
      <c r="AF96" s="31" t="str">
        <f>IFERROR(INDEX('G-7 Rivers Data'!$AZ$3:$AZ$7,MATCH(D96,'G-7 Rivers Data'!$AY$3:$AY$7,0)),"")</f>
        <v/>
      </c>
      <c r="AG96" s="31">
        <f t="shared" si="13"/>
        <v>0</v>
      </c>
      <c r="AH96" s="156" t="str">
        <f t="shared" si="14"/>
        <v/>
      </c>
      <c r="AI96" s="156" t="str">
        <f t="shared" si="15"/>
        <v/>
      </c>
      <c r="AK96" s="156">
        <v>87</v>
      </c>
      <c r="AM96" s="156" t="str">
        <f t="array" ref="AM96">IFERROR(INDEX($AK$10:$AK$258, MATCH(0, IF(TRUE=$AH$10:$AH$258, COUNTIF($AM$9:$AM95, $AK$10:$AK$258), ""), 0)),"")</f>
        <v/>
      </c>
      <c r="AN96" s="156" t="str">
        <f t="array" ref="AN96">IFERROR(INDEX($AK$10:$AK$258, MATCH(0, IF(TRUE=$AI$10:$AI$258, COUNTIF($AN$9:$AN95, $AK$10:$AK$258), ""), 0)),"")</f>
        <v/>
      </c>
    </row>
    <row r="97" spans="3:40" ht="14" x14ac:dyDescent="0.3">
      <c r="C97" s="141">
        <v>88</v>
      </c>
      <c r="D97" s="462"/>
      <c r="E97" s="153"/>
      <c r="F97" s="498" t="str">
        <f>IF(D97="","",VLOOKUP(D97,'G-7 Rivers Data'!$B$2:$G$8,2,FALSE))</f>
        <v/>
      </c>
      <c r="G97" s="499" t="str">
        <f>IFERROR(VLOOKUP(F97,'G-7 Rivers Data'!$C$4:$D$8,2,FALSE),"")</f>
        <v/>
      </c>
      <c r="H97" s="145"/>
      <c r="I97" s="499" t="str">
        <f>IFERROR(INDEX('G-7 Rivers Data'!$H$4:$L$8,MATCH(D97,'G-7 Rivers Data'!$B$4:$B$8,0),MATCH(H97,'G-7 Rivers Data'!$H$3:$L$3,0)),"")</f>
        <v/>
      </c>
      <c r="J97" s="154"/>
      <c r="K97" s="520" t="str">
        <f>IF(J97="","",IF(VLOOKUP(J97,'G-7 Rivers Data'!$AK$4:$AM$9,2,FALSE)=0,"Spatial Data Missing ⚠",VLOOKUP(J97,'G-7 Rivers Data'!$AK$4:$AM$9,2,FALSE)))</f>
        <v/>
      </c>
      <c r="L97" s="524" t="str">
        <f>IF(J97="","",IF(VLOOKUP(J97,'G-7 Rivers Data'!$AK$4:$AM$9,3,FALSE)=0,"Spatial Data Missing ⚠",VLOOKUP(J97,'G-7 Rivers Data'!$AK$4:$AM$9,3,FALSE)))</f>
        <v/>
      </c>
      <c r="M97" s="71"/>
      <c r="N97" s="499" t="str">
        <f>IF(M97="","",IF(VLOOKUP(M97,'G-7 Rivers Data'!$AA$4:$AB$7,2,FALSE)=0,"Spatial Data Missing ⚠",VLOOKUP(M97,'G-7 Rivers Data'!$AA$4:$AB$7,2,FALSE)))</f>
        <v/>
      </c>
      <c r="O97" s="155"/>
      <c r="P97" s="499" t="str">
        <f>IF(O97="","",IF(VLOOKUP(O97,'G-7 Rivers Data'!$AD$4:$AE$8,2,FALSE)=0,"Spatial Data Missing ⚠",VLOOKUP(O97,'G-7 Rivers Data'!$AD$4:$AE$8,2,FALSE)))</f>
        <v/>
      </c>
      <c r="Q97" s="506" t="str">
        <f>IF(D97="","",VLOOKUP(D97,'G-7 Rivers Data'!$B$4:$G$8,6,FALSE))</f>
        <v/>
      </c>
      <c r="R97" s="513" t="str">
        <f t="shared" si="8"/>
        <v/>
      </c>
      <c r="S97" s="40"/>
      <c r="T97" s="145"/>
      <c r="U97" s="157"/>
      <c r="V97" s="511" t="str">
        <f t="shared" si="9"/>
        <v/>
      </c>
      <c r="W97" s="511" t="str">
        <f t="shared" si="10"/>
        <v/>
      </c>
      <c r="X97" s="511" t="str">
        <f t="shared" si="11"/>
        <v/>
      </c>
      <c r="Y97" s="515" t="str">
        <f t="shared" si="12"/>
        <v/>
      </c>
      <c r="Z97" s="151"/>
      <c r="AA97" s="152"/>
      <c r="AF97" s="31" t="str">
        <f>IFERROR(INDEX('G-7 Rivers Data'!$AZ$3:$AZ$7,MATCH(D97,'G-7 Rivers Data'!$AY$3:$AY$7,0)),"")</f>
        <v/>
      </c>
      <c r="AG97" s="31">
        <f t="shared" si="13"/>
        <v>0</v>
      </c>
      <c r="AH97" s="156" t="str">
        <f t="shared" si="14"/>
        <v/>
      </c>
      <c r="AI97" s="156" t="str">
        <f t="shared" si="15"/>
        <v/>
      </c>
      <c r="AK97" s="156">
        <v>88</v>
      </c>
      <c r="AM97" s="156" t="str">
        <f t="array" ref="AM97">IFERROR(INDEX($AK$10:$AK$258, MATCH(0, IF(TRUE=$AH$10:$AH$258, COUNTIF($AM$9:$AM96, $AK$10:$AK$258), ""), 0)),"")</f>
        <v/>
      </c>
      <c r="AN97" s="156" t="str">
        <f t="array" ref="AN97">IFERROR(INDEX($AK$10:$AK$258, MATCH(0, IF(TRUE=$AI$10:$AI$258, COUNTIF($AN$9:$AN96, $AK$10:$AK$258), ""), 0)),"")</f>
        <v/>
      </c>
    </row>
    <row r="98" spans="3:40" ht="14" x14ac:dyDescent="0.3">
      <c r="C98" s="141">
        <v>89</v>
      </c>
      <c r="D98" s="462"/>
      <c r="E98" s="153"/>
      <c r="F98" s="498" t="str">
        <f>IF(D98="","",VLOOKUP(D98,'G-7 Rivers Data'!$B$2:$G$8,2,FALSE))</f>
        <v/>
      </c>
      <c r="G98" s="499" t="str">
        <f>IFERROR(VLOOKUP(F98,'G-7 Rivers Data'!$C$4:$D$8,2,FALSE),"")</f>
        <v/>
      </c>
      <c r="H98" s="145"/>
      <c r="I98" s="499" t="str">
        <f>IFERROR(INDEX('G-7 Rivers Data'!$H$4:$L$8,MATCH(D98,'G-7 Rivers Data'!$B$4:$B$8,0),MATCH(H98,'G-7 Rivers Data'!$H$3:$L$3,0)),"")</f>
        <v/>
      </c>
      <c r="J98" s="154"/>
      <c r="K98" s="520" t="str">
        <f>IF(J98="","",IF(VLOOKUP(J98,'G-7 Rivers Data'!$AK$4:$AM$9,2,FALSE)=0,"Spatial Data Missing ⚠",VLOOKUP(J98,'G-7 Rivers Data'!$AK$4:$AM$9,2,FALSE)))</f>
        <v/>
      </c>
      <c r="L98" s="524" t="str">
        <f>IF(J98="","",IF(VLOOKUP(J98,'G-7 Rivers Data'!$AK$4:$AM$9,3,FALSE)=0,"Spatial Data Missing ⚠",VLOOKUP(J98,'G-7 Rivers Data'!$AK$4:$AM$9,3,FALSE)))</f>
        <v/>
      </c>
      <c r="M98" s="71"/>
      <c r="N98" s="499" t="str">
        <f>IF(M98="","",IF(VLOOKUP(M98,'G-7 Rivers Data'!$AA$4:$AB$7,2,FALSE)=0,"Spatial Data Missing ⚠",VLOOKUP(M98,'G-7 Rivers Data'!$AA$4:$AB$7,2,FALSE)))</f>
        <v/>
      </c>
      <c r="O98" s="155"/>
      <c r="P98" s="499" t="str">
        <f>IF(O98="","",IF(VLOOKUP(O98,'G-7 Rivers Data'!$AD$4:$AE$8,2,FALSE)=0,"Spatial Data Missing ⚠",VLOOKUP(O98,'G-7 Rivers Data'!$AD$4:$AE$8,2,FALSE)))</f>
        <v/>
      </c>
      <c r="Q98" s="506" t="str">
        <f>IF(D98="","",VLOOKUP(D98,'G-7 Rivers Data'!$B$4:$G$8,6,FALSE))</f>
        <v/>
      </c>
      <c r="R98" s="513" t="str">
        <f t="shared" si="8"/>
        <v/>
      </c>
      <c r="S98" s="40"/>
      <c r="T98" s="145"/>
      <c r="U98" s="157"/>
      <c r="V98" s="511" t="str">
        <f t="shared" si="9"/>
        <v/>
      </c>
      <c r="W98" s="511" t="str">
        <f t="shared" si="10"/>
        <v/>
      </c>
      <c r="X98" s="511" t="str">
        <f t="shared" si="11"/>
        <v/>
      </c>
      <c r="Y98" s="515" t="str">
        <f t="shared" si="12"/>
        <v/>
      </c>
      <c r="Z98" s="151"/>
      <c r="AA98" s="152"/>
      <c r="AF98" s="31" t="str">
        <f>IFERROR(INDEX('G-7 Rivers Data'!$AZ$3:$AZ$7,MATCH(D98,'G-7 Rivers Data'!$AY$3:$AY$7,0)),"")</f>
        <v/>
      </c>
      <c r="AG98" s="31">
        <f t="shared" si="13"/>
        <v>0</v>
      </c>
      <c r="AH98" s="156" t="str">
        <f t="shared" si="14"/>
        <v/>
      </c>
      <c r="AI98" s="156" t="str">
        <f t="shared" si="15"/>
        <v/>
      </c>
      <c r="AK98" s="156">
        <v>89</v>
      </c>
      <c r="AM98" s="156" t="str">
        <f t="array" ref="AM98">IFERROR(INDEX($AK$10:$AK$258, MATCH(0, IF(TRUE=$AH$10:$AH$258, COUNTIF($AM$9:$AM97, $AK$10:$AK$258), ""), 0)),"")</f>
        <v/>
      </c>
      <c r="AN98" s="156" t="str">
        <f t="array" ref="AN98">IFERROR(INDEX($AK$10:$AK$258, MATCH(0, IF(TRUE=$AI$10:$AI$258, COUNTIF($AN$9:$AN97, $AK$10:$AK$258), ""), 0)),"")</f>
        <v/>
      </c>
    </row>
    <row r="99" spans="3:40" ht="14" x14ac:dyDescent="0.3">
      <c r="C99" s="141">
        <v>90</v>
      </c>
      <c r="D99" s="462"/>
      <c r="E99" s="153"/>
      <c r="F99" s="498" t="str">
        <f>IF(D99="","",VLOOKUP(D99,'G-7 Rivers Data'!$B$2:$G$8,2,FALSE))</f>
        <v/>
      </c>
      <c r="G99" s="499" t="str">
        <f>IFERROR(VLOOKUP(F99,'G-7 Rivers Data'!$C$4:$D$8,2,FALSE),"")</f>
        <v/>
      </c>
      <c r="H99" s="145"/>
      <c r="I99" s="499" t="str">
        <f>IFERROR(INDEX('G-7 Rivers Data'!$H$4:$L$8,MATCH(D99,'G-7 Rivers Data'!$B$4:$B$8,0),MATCH(H99,'G-7 Rivers Data'!$H$3:$L$3,0)),"")</f>
        <v/>
      </c>
      <c r="J99" s="154"/>
      <c r="K99" s="520" t="str">
        <f>IF(J99="","",IF(VLOOKUP(J99,'G-7 Rivers Data'!$AK$4:$AM$9,2,FALSE)=0,"Spatial Data Missing ⚠",VLOOKUP(J99,'G-7 Rivers Data'!$AK$4:$AM$9,2,FALSE)))</f>
        <v/>
      </c>
      <c r="L99" s="524" t="str">
        <f>IF(J99="","",IF(VLOOKUP(J99,'G-7 Rivers Data'!$AK$4:$AM$9,3,FALSE)=0,"Spatial Data Missing ⚠",VLOOKUP(J99,'G-7 Rivers Data'!$AK$4:$AM$9,3,FALSE)))</f>
        <v/>
      </c>
      <c r="M99" s="71"/>
      <c r="N99" s="499" t="str">
        <f>IF(M99="","",IF(VLOOKUP(M99,'G-7 Rivers Data'!$AA$4:$AB$7,2,FALSE)=0,"Spatial Data Missing ⚠",VLOOKUP(M99,'G-7 Rivers Data'!$AA$4:$AB$7,2,FALSE)))</f>
        <v/>
      </c>
      <c r="O99" s="155"/>
      <c r="P99" s="499" t="str">
        <f>IF(O99="","",IF(VLOOKUP(O99,'G-7 Rivers Data'!$AD$4:$AE$8,2,FALSE)=0,"Spatial Data Missing ⚠",VLOOKUP(O99,'G-7 Rivers Data'!$AD$4:$AE$8,2,FALSE)))</f>
        <v/>
      </c>
      <c r="Q99" s="506" t="str">
        <f>IF(D99="","",VLOOKUP(D99,'G-7 Rivers Data'!$B$4:$G$8,6,FALSE))</f>
        <v/>
      </c>
      <c r="R99" s="513" t="str">
        <f t="shared" si="8"/>
        <v/>
      </c>
      <c r="S99" s="40"/>
      <c r="T99" s="145"/>
      <c r="U99" s="157"/>
      <c r="V99" s="511" t="str">
        <f t="shared" si="9"/>
        <v/>
      </c>
      <c r="W99" s="511" t="str">
        <f t="shared" si="10"/>
        <v/>
      </c>
      <c r="X99" s="511" t="str">
        <f t="shared" si="11"/>
        <v/>
      </c>
      <c r="Y99" s="515" t="str">
        <f t="shared" si="12"/>
        <v/>
      </c>
      <c r="Z99" s="151"/>
      <c r="AA99" s="152"/>
      <c r="AF99" s="31" t="str">
        <f>IFERROR(INDEX('G-7 Rivers Data'!$AZ$3:$AZ$7,MATCH(D99,'G-7 Rivers Data'!$AY$3:$AY$7,0)),"")</f>
        <v/>
      </c>
      <c r="AG99" s="31">
        <f t="shared" si="13"/>
        <v>0</v>
      </c>
      <c r="AH99" s="156" t="str">
        <f t="shared" si="14"/>
        <v/>
      </c>
      <c r="AI99" s="156" t="str">
        <f t="shared" si="15"/>
        <v/>
      </c>
      <c r="AK99" s="156">
        <v>90</v>
      </c>
      <c r="AM99" s="156" t="str">
        <f t="array" ref="AM99">IFERROR(INDEX($AK$10:$AK$258, MATCH(0, IF(TRUE=$AH$10:$AH$258, COUNTIF($AM$9:$AM98, $AK$10:$AK$258), ""), 0)),"")</f>
        <v/>
      </c>
      <c r="AN99" s="156" t="str">
        <f t="array" ref="AN99">IFERROR(INDEX($AK$10:$AK$258, MATCH(0, IF(TRUE=$AI$10:$AI$258, COUNTIF($AN$9:$AN98, $AK$10:$AK$258), ""), 0)),"")</f>
        <v/>
      </c>
    </row>
    <row r="100" spans="3:40" ht="14" x14ac:dyDescent="0.3">
      <c r="C100" s="141">
        <v>91</v>
      </c>
      <c r="D100" s="462"/>
      <c r="E100" s="153"/>
      <c r="F100" s="498" t="str">
        <f>IF(D100="","",VLOOKUP(D100,'G-7 Rivers Data'!$B$2:$G$8,2,FALSE))</f>
        <v/>
      </c>
      <c r="G100" s="499" t="str">
        <f>IFERROR(VLOOKUP(F100,'G-7 Rivers Data'!$C$4:$D$8,2,FALSE),"")</f>
        <v/>
      </c>
      <c r="H100" s="145"/>
      <c r="I100" s="499" t="str">
        <f>IFERROR(INDEX('G-7 Rivers Data'!$H$4:$L$8,MATCH(D100,'G-7 Rivers Data'!$B$4:$B$8,0),MATCH(H100,'G-7 Rivers Data'!$H$3:$L$3,0)),"")</f>
        <v/>
      </c>
      <c r="J100" s="154"/>
      <c r="K100" s="520" t="str">
        <f>IF(J100="","",IF(VLOOKUP(J100,'G-7 Rivers Data'!$AK$4:$AM$9,2,FALSE)=0,"Spatial Data Missing ⚠",VLOOKUP(J100,'G-7 Rivers Data'!$AK$4:$AM$9,2,FALSE)))</f>
        <v/>
      </c>
      <c r="L100" s="524" t="str">
        <f>IF(J100="","",IF(VLOOKUP(J100,'G-7 Rivers Data'!$AK$4:$AM$9,3,FALSE)=0,"Spatial Data Missing ⚠",VLOOKUP(J100,'G-7 Rivers Data'!$AK$4:$AM$9,3,FALSE)))</f>
        <v/>
      </c>
      <c r="M100" s="71"/>
      <c r="N100" s="499" t="str">
        <f>IF(M100="","",IF(VLOOKUP(M100,'G-7 Rivers Data'!$AA$4:$AB$7,2,FALSE)=0,"Spatial Data Missing ⚠",VLOOKUP(M100,'G-7 Rivers Data'!$AA$4:$AB$7,2,FALSE)))</f>
        <v/>
      </c>
      <c r="O100" s="155"/>
      <c r="P100" s="499" t="str">
        <f>IF(O100="","",IF(VLOOKUP(O100,'G-7 Rivers Data'!$AD$4:$AE$8,2,FALSE)=0,"Spatial Data Missing ⚠",VLOOKUP(O100,'G-7 Rivers Data'!$AD$4:$AE$8,2,FALSE)))</f>
        <v/>
      </c>
      <c r="Q100" s="506" t="str">
        <f>IF(D100="","",VLOOKUP(D100,'G-7 Rivers Data'!$B$4:$G$8,6,FALSE))</f>
        <v/>
      </c>
      <c r="R100" s="513" t="str">
        <f t="shared" si="8"/>
        <v/>
      </c>
      <c r="S100" s="40"/>
      <c r="T100" s="145"/>
      <c r="U100" s="157"/>
      <c r="V100" s="511" t="str">
        <f t="shared" si="9"/>
        <v/>
      </c>
      <c r="W100" s="511" t="str">
        <f t="shared" si="10"/>
        <v/>
      </c>
      <c r="X100" s="511" t="str">
        <f t="shared" si="11"/>
        <v/>
      </c>
      <c r="Y100" s="515" t="str">
        <f t="shared" si="12"/>
        <v/>
      </c>
      <c r="Z100" s="151"/>
      <c r="AA100" s="152"/>
      <c r="AF100" s="31" t="str">
        <f>IFERROR(INDEX('G-7 Rivers Data'!$AZ$3:$AZ$7,MATCH(D100,'G-7 Rivers Data'!$AY$3:$AY$7,0)),"")</f>
        <v/>
      </c>
      <c r="AG100" s="31">
        <f t="shared" si="13"/>
        <v>0</v>
      </c>
      <c r="AH100" s="156" t="str">
        <f t="shared" si="14"/>
        <v/>
      </c>
      <c r="AI100" s="156" t="str">
        <f t="shared" si="15"/>
        <v/>
      </c>
      <c r="AK100" s="156">
        <v>91</v>
      </c>
      <c r="AM100" s="156" t="str">
        <f t="array" ref="AM100">IFERROR(INDEX($AK$10:$AK$258, MATCH(0, IF(TRUE=$AH$10:$AH$258, COUNTIF($AM$9:$AM99, $AK$10:$AK$258), ""), 0)),"")</f>
        <v/>
      </c>
      <c r="AN100" s="156" t="str">
        <f t="array" ref="AN100">IFERROR(INDEX($AK$10:$AK$258, MATCH(0, IF(TRUE=$AI$10:$AI$258, COUNTIF($AN$9:$AN99, $AK$10:$AK$258), ""), 0)),"")</f>
        <v/>
      </c>
    </row>
    <row r="101" spans="3:40" ht="14" x14ac:dyDescent="0.3">
      <c r="C101" s="141">
        <v>92</v>
      </c>
      <c r="D101" s="462"/>
      <c r="E101" s="153"/>
      <c r="F101" s="498" t="str">
        <f>IF(D101="","",VLOOKUP(D101,'G-7 Rivers Data'!$B$2:$G$8,2,FALSE))</f>
        <v/>
      </c>
      <c r="G101" s="499" t="str">
        <f>IFERROR(VLOOKUP(F101,'G-7 Rivers Data'!$C$4:$D$8,2,FALSE),"")</f>
        <v/>
      </c>
      <c r="H101" s="145"/>
      <c r="I101" s="499" t="str">
        <f>IFERROR(INDEX('G-7 Rivers Data'!$H$4:$L$8,MATCH(D101,'G-7 Rivers Data'!$B$4:$B$8,0),MATCH(H101,'G-7 Rivers Data'!$H$3:$L$3,0)),"")</f>
        <v/>
      </c>
      <c r="J101" s="154"/>
      <c r="K101" s="520" t="str">
        <f>IF(J101="","",IF(VLOOKUP(J101,'G-7 Rivers Data'!$AK$4:$AM$9,2,FALSE)=0,"Spatial Data Missing ⚠",VLOOKUP(J101,'G-7 Rivers Data'!$AK$4:$AM$9,2,FALSE)))</f>
        <v/>
      </c>
      <c r="L101" s="524" t="str">
        <f>IF(J101="","",IF(VLOOKUP(J101,'G-7 Rivers Data'!$AK$4:$AM$9,3,FALSE)=0,"Spatial Data Missing ⚠",VLOOKUP(J101,'G-7 Rivers Data'!$AK$4:$AM$9,3,FALSE)))</f>
        <v/>
      </c>
      <c r="M101" s="71"/>
      <c r="N101" s="499" t="str">
        <f>IF(M101="","",IF(VLOOKUP(M101,'G-7 Rivers Data'!$AA$4:$AB$7,2,FALSE)=0,"Spatial Data Missing ⚠",VLOOKUP(M101,'G-7 Rivers Data'!$AA$4:$AB$7,2,FALSE)))</f>
        <v/>
      </c>
      <c r="O101" s="155"/>
      <c r="P101" s="499" t="str">
        <f>IF(O101="","",IF(VLOOKUP(O101,'G-7 Rivers Data'!$AD$4:$AE$8,2,FALSE)=0,"Spatial Data Missing ⚠",VLOOKUP(O101,'G-7 Rivers Data'!$AD$4:$AE$8,2,FALSE)))</f>
        <v/>
      </c>
      <c r="Q101" s="506" t="str">
        <f>IF(D101="","",VLOOKUP(D101,'G-7 Rivers Data'!$B$4:$G$8,6,FALSE))</f>
        <v/>
      </c>
      <c r="R101" s="513" t="str">
        <f t="shared" si="8"/>
        <v/>
      </c>
      <c r="S101" s="40"/>
      <c r="T101" s="145"/>
      <c r="U101" s="157"/>
      <c r="V101" s="511" t="str">
        <f t="shared" si="9"/>
        <v/>
      </c>
      <c r="W101" s="511" t="str">
        <f t="shared" si="10"/>
        <v/>
      </c>
      <c r="X101" s="511" t="str">
        <f t="shared" si="11"/>
        <v/>
      </c>
      <c r="Y101" s="515" t="str">
        <f t="shared" si="12"/>
        <v/>
      </c>
      <c r="Z101" s="151"/>
      <c r="AA101" s="152"/>
      <c r="AF101" s="31" t="str">
        <f>IFERROR(INDEX('G-7 Rivers Data'!$AZ$3:$AZ$7,MATCH(D101,'G-7 Rivers Data'!$AY$3:$AY$7,0)),"")</f>
        <v/>
      </c>
      <c r="AG101" s="31">
        <f t="shared" si="13"/>
        <v>0</v>
      </c>
      <c r="AH101" s="156" t="str">
        <f t="shared" si="14"/>
        <v/>
      </c>
      <c r="AI101" s="156" t="str">
        <f t="shared" si="15"/>
        <v/>
      </c>
      <c r="AK101" s="156">
        <v>92</v>
      </c>
      <c r="AM101" s="156" t="str">
        <f t="array" ref="AM101">IFERROR(INDEX($AK$10:$AK$258, MATCH(0, IF(TRUE=$AH$10:$AH$258, COUNTIF($AM$9:$AM100, $AK$10:$AK$258), ""), 0)),"")</f>
        <v/>
      </c>
      <c r="AN101" s="156" t="str">
        <f t="array" ref="AN101">IFERROR(INDEX($AK$10:$AK$258, MATCH(0, IF(TRUE=$AI$10:$AI$258, COUNTIF($AN$9:$AN100, $AK$10:$AK$258), ""), 0)),"")</f>
        <v/>
      </c>
    </row>
    <row r="102" spans="3:40" ht="14" x14ac:dyDescent="0.3">
      <c r="C102" s="141">
        <v>93</v>
      </c>
      <c r="D102" s="462"/>
      <c r="E102" s="153"/>
      <c r="F102" s="498" t="str">
        <f>IF(D102="","",VLOOKUP(D102,'G-7 Rivers Data'!$B$2:$G$8,2,FALSE))</f>
        <v/>
      </c>
      <c r="G102" s="499" t="str">
        <f>IFERROR(VLOOKUP(F102,'G-7 Rivers Data'!$C$4:$D$8,2,FALSE),"")</f>
        <v/>
      </c>
      <c r="H102" s="145"/>
      <c r="I102" s="499" t="str">
        <f>IFERROR(INDEX('G-7 Rivers Data'!$H$4:$L$8,MATCH(D102,'G-7 Rivers Data'!$B$4:$B$8,0),MATCH(H102,'G-7 Rivers Data'!$H$3:$L$3,0)),"")</f>
        <v/>
      </c>
      <c r="J102" s="154"/>
      <c r="K102" s="520" t="str">
        <f>IF(J102="","",IF(VLOOKUP(J102,'G-7 Rivers Data'!$AK$4:$AM$9,2,FALSE)=0,"Spatial Data Missing ⚠",VLOOKUP(J102,'G-7 Rivers Data'!$AK$4:$AM$9,2,FALSE)))</f>
        <v/>
      </c>
      <c r="L102" s="524" t="str">
        <f>IF(J102="","",IF(VLOOKUP(J102,'G-7 Rivers Data'!$AK$4:$AM$9,3,FALSE)=0,"Spatial Data Missing ⚠",VLOOKUP(J102,'G-7 Rivers Data'!$AK$4:$AM$9,3,FALSE)))</f>
        <v/>
      </c>
      <c r="M102" s="71"/>
      <c r="N102" s="499" t="str">
        <f>IF(M102="","",IF(VLOOKUP(M102,'G-7 Rivers Data'!$AA$4:$AB$7,2,FALSE)=0,"Spatial Data Missing ⚠",VLOOKUP(M102,'G-7 Rivers Data'!$AA$4:$AB$7,2,FALSE)))</f>
        <v/>
      </c>
      <c r="O102" s="155"/>
      <c r="P102" s="499" t="str">
        <f>IF(O102="","",IF(VLOOKUP(O102,'G-7 Rivers Data'!$AD$4:$AE$8,2,FALSE)=0,"Spatial Data Missing ⚠",VLOOKUP(O102,'G-7 Rivers Data'!$AD$4:$AE$8,2,FALSE)))</f>
        <v/>
      </c>
      <c r="Q102" s="506" t="str">
        <f>IF(D102="","",VLOOKUP(D102,'G-7 Rivers Data'!$B$4:$G$8,6,FALSE))</f>
        <v/>
      </c>
      <c r="R102" s="513" t="str">
        <f t="shared" si="8"/>
        <v/>
      </c>
      <c r="S102" s="40"/>
      <c r="T102" s="145"/>
      <c r="U102" s="157"/>
      <c r="V102" s="511" t="str">
        <f t="shared" si="9"/>
        <v/>
      </c>
      <c r="W102" s="511" t="str">
        <f t="shared" si="10"/>
        <v/>
      </c>
      <c r="X102" s="511" t="str">
        <f t="shared" si="11"/>
        <v/>
      </c>
      <c r="Y102" s="515" t="str">
        <f t="shared" si="12"/>
        <v/>
      </c>
      <c r="Z102" s="151"/>
      <c r="AA102" s="152"/>
      <c r="AF102" s="31" t="str">
        <f>IFERROR(INDEX('G-7 Rivers Data'!$AZ$3:$AZ$7,MATCH(D102,'G-7 Rivers Data'!$AY$3:$AY$7,0)),"")</f>
        <v/>
      </c>
      <c r="AG102" s="31">
        <f t="shared" si="13"/>
        <v>0</v>
      </c>
      <c r="AH102" s="156" t="str">
        <f t="shared" si="14"/>
        <v/>
      </c>
      <c r="AI102" s="156" t="str">
        <f t="shared" si="15"/>
        <v/>
      </c>
      <c r="AK102" s="156">
        <v>93</v>
      </c>
      <c r="AM102" s="156" t="str">
        <f t="array" ref="AM102">IFERROR(INDEX($AK$10:$AK$258, MATCH(0, IF(TRUE=$AH$10:$AH$258, COUNTIF($AM$9:$AM101, $AK$10:$AK$258), ""), 0)),"")</f>
        <v/>
      </c>
      <c r="AN102" s="156" t="str">
        <f t="array" ref="AN102">IFERROR(INDEX($AK$10:$AK$258, MATCH(0, IF(TRUE=$AI$10:$AI$258, COUNTIF($AN$9:$AN101, $AK$10:$AK$258), ""), 0)),"")</f>
        <v/>
      </c>
    </row>
    <row r="103" spans="3:40" ht="14" x14ac:dyDescent="0.3">
      <c r="C103" s="141">
        <v>94</v>
      </c>
      <c r="D103" s="462"/>
      <c r="E103" s="153"/>
      <c r="F103" s="498" t="str">
        <f>IF(D103="","",VLOOKUP(D103,'G-7 Rivers Data'!$B$2:$G$8,2,FALSE))</f>
        <v/>
      </c>
      <c r="G103" s="499" t="str">
        <f>IFERROR(VLOOKUP(F103,'G-7 Rivers Data'!$C$4:$D$8,2,FALSE),"")</f>
        <v/>
      </c>
      <c r="H103" s="145"/>
      <c r="I103" s="499" t="str">
        <f>IFERROR(INDEX('G-7 Rivers Data'!$H$4:$L$8,MATCH(D103,'G-7 Rivers Data'!$B$4:$B$8,0),MATCH(H103,'G-7 Rivers Data'!$H$3:$L$3,0)),"")</f>
        <v/>
      </c>
      <c r="J103" s="154"/>
      <c r="K103" s="520" t="str">
        <f>IF(J103="","",IF(VLOOKUP(J103,'G-7 Rivers Data'!$AK$4:$AM$9,2,FALSE)=0,"Spatial Data Missing ⚠",VLOOKUP(J103,'G-7 Rivers Data'!$AK$4:$AM$9,2,FALSE)))</f>
        <v/>
      </c>
      <c r="L103" s="524" t="str">
        <f>IF(J103="","",IF(VLOOKUP(J103,'G-7 Rivers Data'!$AK$4:$AM$9,3,FALSE)=0,"Spatial Data Missing ⚠",VLOOKUP(J103,'G-7 Rivers Data'!$AK$4:$AM$9,3,FALSE)))</f>
        <v/>
      </c>
      <c r="M103" s="71"/>
      <c r="N103" s="499" t="str">
        <f>IF(M103="","",IF(VLOOKUP(M103,'G-7 Rivers Data'!$AA$4:$AB$7,2,FALSE)=0,"Spatial Data Missing ⚠",VLOOKUP(M103,'G-7 Rivers Data'!$AA$4:$AB$7,2,FALSE)))</f>
        <v/>
      </c>
      <c r="O103" s="155"/>
      <c r="P103" s="499" t="str">
        <f>IF(O103="","",IF(VLOOKUP(O103,'G-7 Rivers Data'!$AD$4:$AE$8,2,FALSE)=0,"Spatial Data Missing ⚠",VLOOKUP(O103,'G-7 Rivers Data'!$AD$4:$AE$8,2,FALSE)))</f>
        <v/>
      </c>
      <c r="Q103" s="506" t="str">
        <f>IF(D103="","",VLOOKUP(D103,'G-7 Rivers Data'!$B$4:$G$8,6,FALSE))</f>
        <v/>
      </c>
      <c r="R103" s="513" t="str">
        <f t="shared" si="8"/>
        <v/>
      </c>
      <c r="S103" s="40"/>
      <c r="T103" s="145"/>
      <c r="U103" s="157"/>
      <c r="V103" s="511" t="str">
        <f t="shared" si="9"/>
        <v/>
      </c>
      <c r="W103" s="511" t="str">
        <f t="shared" si="10"/>
        <v/>
      </c>
      <c r="X103" s="511" t="str">
        <f t="shared" si="11"/>
        <v/>
      </c>
      <c r="Y103" s="515" t="str">
        <f t="shared" si="12"/>
        <v/>
      </c>
      <c r="Z103" s="151"/>
      <c r="AA103" s="152"/>
      <c r="AF103" s="31" t="str">
        <f>IFERROR(INDEX('G-7 Rivers Data'!$AZ$3:$AZ$7,MATCH(D103,'G-7 Rivers Data'!$AY$3:$AY$7,0)),"")</f>
        <v/>
      </c>
      <c r="AG103" s="31">
        <f t="shared" si="13"/>
        <v>0</v>
      </c>
      <c r="AH103" s="156" t="str">
        <f t="shared" si="14"/>
        <v/>
      </c>
      <c r="AI103" s="156" t="str">
        <f t="shared" si="15"/>
        <v/>
      </c>
      <c r="AK103" s="156">
        <v>94</v>
      </c>
      <c r="AM103" s="156" t="str">
        <f t="array" ref="AM103">IFERROR(INDEX($AK$10:$AK$258, MATCH(0, IF(TRUE=$AH$10:$AH$258, COUNTIF($AM$9:$AM102, $AK$10:$AK$258), ""), 0)),"")</f>
        <v/>
      </c>
      <c r="AN103" s="156" t="str">
        <f t="array" ref="AN103">IFERROR(INDEX($AK$10:$AK$258, MATCH(0, IF(TRUE=$AI$10:$AI$258, COUNTIF($AN$9:$AN102, $AK$10:$AK$258), ""), 0)),"")</f>
        <v/>
      </c>
    </row>
    <row r="104" spans="3:40" ht="14" x14ac:dyDescent="0.3">
      <c r="C104" s="141">
        <v>95</v>
      </c>
      <c r="D104" s="462"/>
      <c r="E104" s="153"/>
      <c r="F104" s="498" t="str">
        <f>IF(D104="","",VLOOKUP(D104,'G-7 Rivers Data'!$B$2:$G$8,2,FALSE))</f>
        <v/>
      </c>
      <c r="G104" s="499" t="str">
        <f>IFERROR(VLOOKUP(F104,'G-7 Rivers Data'!$C$4:$D$8,2,FALSE),"")</f>
        <v/>
      </c>
      <c r="H104" s="145"/>
      <c r="I104" s="499" t="str">
        <f>IFERROR(INDEX('G-7 Rivers Data'!$H$4:$L$8,MATCH(D104,'G-7 Rivers Data'!$B$4:$B$8,0),MATCH(H104,'G-7 Rivers Data'!$H$3:$L$3,0)),"")</f>
        <v/>
      </c>
      <c r="J104" s="154"/>
      <c r="K104" s="520" t="str">
        <f>IF(J104="","",IF(VLOOKUP(J104,'G-7 Rivers Data'!$AK$4:$AM$9,2,FALSE)=0,"Spatial Data Missing ⚠",VLOOKUP(J104,'G-7 Rivers Data'!$AK$4:$AM$9,2,FALSE)))</f>
        <v/>
      </c>
      <c r="L104" s="524" t="str">
        <f>IF(J104="","",IF(VLOOKUP(J104,'G-7 Rivers Data'!$AK$4:$AM$9,3,FALSE)=0,"Spatial Data Missing ⚠",VLOOKUP(J104,'G-7 Rivers Data'!$AK$4:$AM$9,3,FALSE)))</f>
        <v/>
      </c>
      <c r="M104" s="71"/>
      <c r="N104" s="499" t="str">
        <f>IF(M104="","",IF(VLOOKUP(M104,'G-7 Rivers Data'!$AA$4:$AB$7,2,FALSE)=0,"Spatial Data Missing ⚠",VLOOKUP(M104,'G-7 Rivers Data'!$AA$4:$AB$7,2,FALSE)))</f>
        <v/>
      </c>
      <c r="O104" s="155"/>
      <c r="P104" s="499" t="str">
        <f>IF(O104="","",IF(VLOOKUP(O104,'G-7 Rivers Data'!$AD$4:$AE$8,2,FALSE)=0,"Spatial Data Missing ⚠",VLOOKUP(O104,'G-7 Rivers Data'!$AD$4:$AE$8,2,FALSE)))</f>
        <v/>
      </c>
      <c r="Q104" s="506" t="str">
        <f>IF(D104="","",VLOOKUP(D104,'G-7 Rivers Data'!$B$4:$G$8,6,FALSE))</f>
        <v/>
      </c>
      <c r="R104" s="513" t="str">
        <f t="shared" si="8"/>
        <v/>
      </c>
      <c r="S104" s="40"/>
      <c r="T104" s="145"/>
      <c r="U104" s="157"/>
      <c r="V104" s="511" t="str">
        <f t="shared" si="9"/>
        <v/>
      </c>
      <c r="W104" s="511" t="str">
        <f t="shared" si="10"/>
        <v/>
      </c>
      <c r="X104" s="511" t="str">
        <f t="shared" si="11"/>
        <v/>
      </c>
      <c r="Y104" s="515" t="str">
        <f t="shared" si="12"/>
        <v/>
      </c>
      <c r="Z104" s="151"/>
      <c r="AA104" s="152"/>
      <c r="AF104" s="31" t="str">
        <f>IFERROR(INDEX('G-7 Rivers Data'!$AZ$3:$AZ$7,MATCH(D104,'G-7 Rivers Data'!$AY$3:$AY$7,0)),"")</f>
        <v/>
      </c>
      <c r="AG104" s="31">
        <f t="shared" si="13"/>
        <v>0</v>
      </c>
      <c r="AH104" s="156" t="str">
        <f t="shared" si="14"/>
        <v/>
      </c>
      <c r="AI104" s="156" t="str">
        <f t="shared" si="15"/>
        <v/>
      </c>
      <c r="AK104" s="156">
        <v>95</v>
      </c>
      <c r="AM104" s="156" t="str">
        <f t="array" ref="AM104">IFERROR(INDEX($AK$10:$AK$258, MATCH(0, IF(TRUE=$AH$10:$AH$258, COUNTIF($AM$9:$AM103, $AK$10:$AK$258), ""), 0)),"")</f>
        <v/>
      </c>
      <c r="AN104" s="156" t="str">
        <f t="array" ref="AN104">IFERROR(INDEX($AK$10:$AK$258, MATCH(0, IF(TRUE=$AI$10:$AI$258, COUNTIF($AN$9:$AN103, $AK$10:$AK$258), ""), 0)),"")</f>
        <v/>
      </c>
    </row>
    <row r="105" spans="3:40" ht="14" x14ac:dyDescent="0.3">
      <c r="C105" s="141">
        <v>96</v>
      </c>
      <c r="D105" s="462"/>
      <c r="E105" s="153"/>
      <c r="F105" s="498" t="str">
        <f>IF(D105="","",VLOOKUP(D105,'G-7 Rivers Data'!$B$2:$G$8,2,FALSE))</f>
        <v/>
      </c>
      <c r="G105" s="499" t="str">
        <f>IFERROR(VLOOKUP(F105,'G-7 Rivers Data'!$C$4:$D$8,2,FALSE),"")</f>
        <v/>
      </c>
      <c r="H105" s="145"/>
      <c r="I105" s="499" t="str">
        <f>IFERROR(INDEX('G-7 Rivers Data'!$H$4:$L$8,MATCH(D105,'G-7 Rivers Data'!$B$4:$B$8,0),MATCH(H105,'G-7 Rivers Data'!$H$3:$L$3,0)),"")</f>
        <v/>
      </c>
      <c r="J105" s="154"/>
      <c r="K105" s="520" t="str">
        <f>IF(J105="","",IF(VLOOKUP(J105,'G-7 Rivers Data'!$AK$4:$AM$9,2,FALSE)=0,"Spatial Data Missing ⚠",VLOOKUP(J105,'G-7 Rivers Data'!$AK$4:$AM$9,2,FALSE)))</f>
        <v/>
      </c>
      <c r="L105" s="524" t="str">
        <f>IF(J105="","",IF(VLOOKUP(J105,'G-7 Rivers Data'!$AK$4:$AM$9,3,FALSE)=0,"Spatial Data Missing ⚠",VLOOKUP(J105,'G-7 Rivers Data'!$AK$4:$AM$9,3,FALSE)))</f>
        <v/>
      </c>
      <c r="M105" s="71"/>
      <c r="N105" s="499" t="str">
        <f>IF(M105="","",IF(VLOOKUP(M105,'G-7 Rivers Data'!$AA$4:$AB$7,2,FALSE)=0,"Spatial Data Missing ⚠",VLOOKUP(M105,'G-7 Rivers Data'!$AA$4:$AB$7,2,FALSE)))</f>
        <v/>
      </c>
      <c r="O105" s="155"/>
      <c r="P105" s="499" t="str">
        <f>IF(O105="","",IF(VLOOKUP(O105,'G-7 Rivers Data'!$AD$4:$AE$8,2,FALSE)=0,"Spatial Data Missing ⚠",VLOOKUP(O105,'G-7 Rivers Data'!$AD$4:$AE$8,2,FALSE)))</f>
        <v/>
      </c>
      <c r="Q105" s="506" t="str">
        <f>IF(D105="","",VLOOKUP(D105,'G-7 Rivers Data'!$B$4:$G$8,6,FALSE))</f>
        <v/>
      </c>
      <c r="R105" s="513" t="str">
        <f t="shared" si="8"/>
        <v/>
      </c>
      <c r="S105" s="40"/>
      <c r="T105" s="145"/>
      <c r="U105" s="157"/>
      <c r="V105" s="511" t="str">
        <f t="shared" si="9"/>
        <v/>
      </c>
      <c r="W105" s="511" t="str">
        <f t="shared" si="10"/>
        <v/>
      </c>
      <c r="X105" s="511" t="str">
        <f t="shared" si="11"/>
        <v/>
      </c>
      <c r="Y105" s="515" t="str">
        <f t="shared" si="12"/>
        <v/>
      </c>
      <c r="Z105" s="151"/>
      <c r="AA105" s="152"/>
      <c r="AF105" s="31" t="str">
        <f>IFERROR(INDEX('G-7 Rivers Data'!$AZ$3:$AZ$7,MATCH(D105,'G-7 Rivers Data'!$AY$3:$AY$7,0)),"")</f>
        <v/>
      </c>
      <c r="AG105" s="31">
        <f t="shared" si="13"/>
        <v>0</v>
      </c>
      <c r="AH105" s="156" t="str">
        <f t="shared" si="14"/>
        <v/>
      </c>
      <c r="AI105" s="156" t="str">
        <f t="shared" si="15"/>
        <v/>
      </c>
      <c r="AK105" s="156">
        <v>96</v>
      </c>
      <c r="AM105" s="156" t="str">
        <f t="array" ref="AM105">IFERROR(INDEX($AK$10:$AK$258, MATCH(0, IF(TRUE=$AH$10:$AH$258, COUNTIF($AM$9:$AM104, $AK$10:$AK$258), ""), 0)),"")</f>
        <v/>
      </c>
      <c r="AN105" s="156" t="str">
        <f t="array" ref="AN105">IFERROR(INDEX($AK$10:$AK$258, MATCH(0, IF(TRUE=$AI$10:$AI$258, COUNTIF($AN$9:$AN104, $AK$10:$AK$258), ""), 0)),"")</f>
        <v/>
      </c>
    </row>
    <row r="106" spans="3:40" ht="14" x14ac:dyDescent="0.3">
      <c r="C106" s="141">
        <v>97</v>
      </c>
      <c r="D106" s="462"/>
      <c r="E106" s="153"/>
      <c r="F106" s="498" t="str">
        <f>IF(D106="","",VLOOKUP(D106,'G-7 Rivers Data'!$B$2:$G$8,2,FALSE))</f>
        <v/>
      </c>
      <c r="G106" s="499" t="str">
        <f>IFERROR(VLOOKUP(F106,'G-7 Rivers Data'!$C$4:$D$8,2,FALSE),"")</f>
        <v/>
      </c>
      <c r="H106" s="145"/>
      <c r="I106" s="499" t="str">
        <f>IFERROR(INDEX('G-7 Rivers Data'!$H$4:$L$8,MATCH(D106,'G-7 Rivers Data'!$B$4:$B$8,0),MATCH(H106,'G-7 Rivers Data'!$H$3:$L$3,0)),"")</f>
        <v/>
      </c>
      <c r="J106" s="154"/>
      <c r="K106" s="520" t="str">
        <f>IF(J106="","",IF(VLOOKUP(J106,'G-7 Rivers Data'!$AK$4:$AM$9,2,FALSE)=0,"Spatial Data Missing ⚠",VLOOKUP(J106,'G-7 Rivers Data'!$AK$4:$AM$9,2,FALSE)))</f>
        <v/>
      </c>
      <c r="L106" s="524" t="str">
        <f>IF(J106="","",IF(VLOOKUP(J106,'G-7 Rivers Data'!$AK$4:$AM$9,3,FALSE)=0,"Spatial Data Missing ⚠",VLOOKUP(J106,'G-7 Rivers Data'!$AK$4:$AM$9,3,FALSE)))</f>
        <v/>
      </c>
      <c r="M106" s="71"/>
      <c r="N106" s="499" t="str">
        <f>IF(M106="","",IF(VLOOKUP(M106,'G-7 Rivers Data'!$AA$4:$AB$7,2,FALSE)=0,"Spatial Data Missing ⚠",VLOOKUP(M106,'G-7 Rivers Data'!$AA$4:$AB$7,2,FALSE)))</f>
        <v/>
      </c>
      <c r="O106" s="155"/>
      <c r="P106" s="499" t="str">
        <f>IF(O106="","",IF(VLOOKUP(O106,'G-7 Rivers Data'!$AD$4:$AE$8,2,FALSE)=0,"Spatial Data Missing ⚠",VLOOKUP(O106,'G-7 Rivers Data'!$AD$4:$AE$8,2,FALSE)))</f>
        <v/>
      </c>
      <c r="Q106" s="506" t="str">
        <f>IF(D106="","",VLOOKUP(D106,'G-7 Rivers Data'!$B$4:$G$8,6,FALSE))</f>
        <v/>
      </c>
      <c r="R106" s="513" t="str">
        <f t="shared" si="8"/>
        <v/>
      </c>
      <c r="S106" s="40"/>
      <c r="T106" s="145"/>
      <c r="U106" s="157"/>
      <c r="V106" s="511" t="str">
        <f t="shared" si="9"/>
        <v/>
      </c>
      <c r="W106" s="511" t="str">
        <f t="shared" si="10"/>
        <v/>
      </c>
      <c r="X106" s="511" t="str">
        <f t="shared" si="11"/>
        <v/>
      </c>
      <c r="Y106" s="515" t="str">
        <f t="shared" si="12"/>
        <v/>
      </c>
      <c r="Z106" s="151"/>
      <c r="AA106" s="152"/>
      <c r="AF106" s="31" t="str">
        <f>IFERROR(INDEX('G-7 Rivers Data'!$AZ$3:$AZ$7,MATCH(D106,'G-7 Rivers Data'!$AY$3:$AY$7,0)),"")</f>
        <v/>
      </c>
      <c r="AG106" s="31">
        <f t="shared" si="13"/>
        <v>0</v>
      </c>
      <c r="AH106" s="156" t="str">
        <f t="shared" si="14"/>
        <v/>
      </c>
      <c r="AI106" s="156" t="str">
        <f t="shared" si="15"/>
        <v/>
      </c>
      <c r="AK106" s="156">
        <v>97</v>
      </c>
      <c r="AM106" s="156" t="str">
        <f t="array" ref="AM106">IFERROR(INDEX($AK$10:$AK$258, MATCH(0, IF(TRUE=$AH$10:$AH$258, COUNTIF($AM$9:$AM105, $AK$10:$AK$258), ""), 0)),"")</f>
        <v/>
      </c>
      <c r="AN106" s="156" t="str">
        <f t="array" ref="AN106">IFERROR(INDEX($AK$10:$AK$258, MATCH(0, IF(TRUE=$AI$10:$AI$258, COUNTIF($AN$9:$AN105, $AK$10:$AK$258), ""), 0)),"")</f>
        <v/>
      </c>
    </row>
    <row r="107" spans="3:40" ht="14" x14ac:dyDescent="0.3">
      <c r="C107" s="141">
        <v>98</v>
      </c>
      <c r="D107" s="462"/>
      <c r="E107" s="153"/>
      <c r="F107" s="498" t="str">
        <f>IF(D107="","",VLOOKUP(D107,'G-7 Rivers Data'!$B$2:$G$8,2,FALSE))</f>
        <v/>
      </c>
      <c r="G107" s="499" t="str">
        <f>IFERROR(VLOOKUP(F107,'G-7 Rivers Data'!$C$4:$D$8,2,FALSE),"")</f>
        <v/>
      </c>
      <c r="H107" s="145"/>
      <c r="I107" s="499" t="str">
        <f>IFERROR(INDEX('G-7 Rivers Data'!$H$4:$L$8,MATCH(D107,'G-7 Rivers Data'!$B$4:$B$8,0),MATCH(H107,'G-7 Rivers Data'!$H$3:$L$3,0)),"")</f>
        <v/>
      </c>
      <c r="J107" s="154"/>
      <c r="K107" s="520" t="str">
        <f>IF(J107="","",IF(VLOOKUP(J107,'G-7 Rivers Data'!$AK$4:$AM$9,2,FALSE)=0,"Spatial Data Missing ⚠",VLOOKUP(J107,'G-7 Rivers Data'!$AK$4:$AM$9,2,FALSE)))</f>
        <v/>
      </c>
      <c r="L107" s="524" t="str">
        <f>IF(J107="","",IF(VLOOKUP(J107,'G-7 Rivers Data'!$AK$4:$AM$9,3,FALSE)=0,"Spatial Data Missing ⚠",VLOOKUP(J107,'G-7 Rivers Data'!$AK$4:$AM$9,3,FALSE)))</f>
        <v/>
      </c>
      <c r="M107" s="71"/>
      <c r="N107" s="499" t="str">
        <f>IF(M107="","",IF(VLOOKUP(M107,'G-7 Rivers Data'!$AA$4:$AB$7,2,FALSE)=0,"Spatial Data Missing ⚠",VLOOKUP(M107,'G-7 Rivers Data'!$AA$4:$AB$7,2,FALSE)))</f>
        <v/>
      </c>
      <c r="O107" s="155"/>
      <c r="P107" s="499" t="str">
        <f>IF(O107="","",IF(VLOOKUP(O107,'G-7 Rivers Data'!$AD$4:$AE$8,2,FALSE)=0,"Spatial Data Missing ⚠",VLOOKUP(O107,'G-7 Rivers Data'!$AD$4:$AE$8,2,FALSE)))</f>
        <v/>
      </c>
      <c r="Q107" s="506" t="str">
        <f>IF(D107="","",VLOOKUP(D107,'G-7 Rivers Data'!$B$4:$G$8,6,FALSE))</f>
        <v/>
      </c>
      <c r="R107" s="513" t="str">
        <f t="shared" si="8"/>
        <v/>
      </c>
      <c r="S107" s="40"/>
      <c r="T107" s="145"/>
      <c r="U107" s="157"/>
      <c r="V107" s="511" t="str">
        <f t="shared" si="9"/>
        <v/>
      </c>
      <c r="W107" s="511" t="str">
        <f t="shared" si="10"/>
        <v/>
      </c>
      <c r="X107" s="511" t="str">
        <f t="shared" si="11"/>
        <v/>
      </c>
      <c r="Y107" s="515" t="str">
        <f t="shared" si="12"/>
        <v/>
      </c>
      <c r="Z107" s="151"/>
      <c r="AA107" s="152"/>
      <c r="AF107" s="31" t="str">
        <f>IFERROR(INDEX('G-7 Rivers Data'!$AZ$3:$AZ$7,MATCH(D107,'G-7 Rivers Data'!$AY$3:$AY$7,0)),"")</f>
        <v/>
      </c>
      <c r="AG107" s="31">
        <f t="shared" si="13"/>
        <v>0</v>
      </c>
      <c r="AH107" s="156" t="str">
        <f t="shared" si="14"/>
        <v/>
      </c>
      <c r="AI107" s="156" t="str">
        <f t="shared" si="15"/>
        <v/>
      </c>
      <c r="AK107" s="156">
        <v>98</v>
      </c>
      <c r="AM107" s="156" t="str">
        <f t="array" ref="AM107">IFERROR(INDEX($AK$10:$AK$258, MATCH(0, IF(TRUE=$AH$10:$AH$258, COUNTIF($AM$9:$AM106, $AK$10:$AK$258), ""), 0)),"")</f>
        <v/>
      </c>
      <c r="AN107" s="156" t="str">
        <f t="array" ref="AN107">IFERROR(INDEX($AK$10:$AK$258, MATCH(0, IF(TRUE=$AI$10:$AI$258, COUNTIF($AN$9:$AN106, $AK$10:$AK$258), ""), 0)),"")</f>
        <v/>
      </c>
    </row>
    <row r="108" spans="3:40" ht="14" x14ac:dyDescent="0.3">
      <c r="C108" s="141">
        <v>99</v>
      </c>
      <c r="D108" s="462"/>
      <c r="E108" s="153"/>
      <c r="F108" s="498" t="str">
        <f>IF(D108="","",VLOOKUP(D108,'G-7 Rivers Data'!$B$2:$G$8,2,FALSE))</f>
        <v/>
      </c>
      <c r="G108" s="499" t="str">
        <f>IFERROR(VLOOKUP(F108,'G-7 Rivers Data'!$C$4:$D$8,2,FALSE),"")</f>
        <v/>
      </c>
      <c r="H108" s="145"/>
      <c r="I108" s="499" t="str">
        <f>IFERROR(INDEX('G-7 Rivers Data'!$H$4:$L$8,MATCH(D108,'G-7 Rivers Data'!$B$4:$B$8,0),MATCH(H108,'G-7 Rivers Data'!$H$3:$L$3,0)),"")</f>
        <v/>
      </c>
      <c r="J108" s="154"/>
      <c r="K108" s="520" t="str">
        <f>IF(J108="","",IF(VLOOKUP(J108,'G-7 Rivers Data'!$AK$4:$AM$9,2,FALSE)=0,"Spatial Data Missing ⚠",VLOOKUP(J108,'G-7 Rivers Data'!$AK$4:$AM$9,2,FALSE)))</f>
        <v/>
      </c>
      <c r="L108" s="524" t="str">
        <f>IF(J108="","",IF(VLOOKUP(J108,'G-7 Rivers Data'!$AK$4:$AM$9,3,FALSE)=0,"Spatial Data Missing ⚠",VLOOKUP(J108,'G-7 Rivers Data'!$AK$4:$AM$9,3,FALSE)))</f>
        <v/>
      </c>
      <c r="M108" s="71"/>
      <c r="N108" s="499" t="str">
        <f>IF(M108="","",IF(VLOOKUP(M108,'G-7 Rivers Data'!$AA$4:$AB$7,2,FALSE)=0,"Spatial Data Missing ⚠",VLOOKUP(M108,'G-7 Rivers Data'!$AA$4:$AB$7,2,FALSE)))</f>
        <v/>
      </c>
      <c r="O108" s="155"/>
      <c r="P108" s="499" t="str">
        <f>IF(O108="","",IF(VLOOKUP(O108,'G-7 Rivers Data'!$AD$4:$AE$8,2,FALSE)=0,"Spatial Data Missing ⚠",VLOOKUP(O108,'G-7 Rivers Data'!$AD$4:$AE$8,2,FALSE)))</f>
        <v/>
      </c>
      <c r="Q108" s="506" t="str">
        <f>IF(D108="","",VLOOKUP(D108,'G-7 Rivers Data'!$B$4:$G$8,6,FALSE))</f>
        <v/>
      </c>
      <c r="R108" s="513" t="str">
        <f t="shared" si="8"/>
        <v/>
      </c>
      <c r="S108" s="40"/>
      <c r="T108" s="145"/>
      <c r="U108" s="157"/>
      <c r="V108" s="511" t="str">
        <f t="shared" si="9"/>
        <v/>
      </c>
      <c r="W108" s="511" t="str">
        <f t="shared" si="10"/>
        <v/>
      </c>
      <c r="X108" s="511" t="str">
        <f t="shared" si="11"/>
        <v/>
      </c>
      <c r="Y108" s="515" t="str">
        <f t="shared" si="12"/>
        <v/>
      </c>
      <c r="Z108" s="151"/>
      <c r="AA108" s="152"/>
      <c r="AF108" s="31" t="str">
        <f>IFERROR(INDEX('G-7 Rivers Data'!$AZ$3:$AZ$7,MATCH(D108,'G-7 Rivers Data'!$AY$3:$AY$7,0)),"")</f>
        <v/>
      </c>
      <c r="AG108" s="31">
        <f t="shared" si="13"/>
        <v>0</v>
      </c>
      <c r="AH108" s="156" t="str">
        <f t="shared" si="14"/>
        <v/>
      </c>
      <c r="AI108" s="156" t="str">
        <f t="shared" si="15"/>
        <v/>
      </c>
      <c r="AK108" s="156">
        <v>99</v>
      </c>
      <c r="AM108" s="156" t="str">
        <f t="array" ref="AM108">IFERROR(INDEX($AK$10:$AK$258, MATCH(0, IF(TRUE=$AH$10:$AH$258, COUNTIF($AM$9:$AM107, $AK$10:$AK$258), ""), 0)),"")</f>
        <v/>
      </c>
      <c r="AN108" s="156" t="str">
        <f t="array" ref="AN108">IFERROR(INDEX($AK$10:$AK$258, MATCH(0, IF(TRUE=$AI$10:$AI$258, COUNTIF($AN$9:$AN107, $AK$10:$AK$258), ""), 0)),"")</f>
        <v/>
      </c>
    </row>
    <row r="109" spans="3:40" ht="14" x14ac:dyDescent="0.3">
      <c r="C109" s="141">
        <v>100</v>
      </c>
      <c r="D109" s="462"/>
      <c r="E109" s="153"/>
      <c r="F109" s="498" t="str">
        <f>IF(D109="","",VLOOKUP(D109,'G-7 Rivers Data'!$B$2:$G$8,2,FALSE))</f>
        <v/>
      </c>
      <c r="G109" s="499" t="str">
        <f>IFERROR(VLOOKUP(F109,'G-7 Rivers Data'!$C$4:$D$8,2,FALSE),"")</f>
        <v/>
      </c>
      <c r="H109" s="145"/>
      <c r="I109" s="499" t="str">
        <f>IFERROR(INDEX('G-7 Rivers Data'!$H$4:$L$8,MATCH(D109,'G-7 Rivers Data'!$B$4:$B$8,0),MATCH(H109,'G-7 Rivers Data'!$H$3:$L$3,0)),"")</f>
        <v/>
      </c>
      <c r="J109" s="154"/>
      <c r="K109" s="520" t="str">
        <f>IF(J109="","",IF(VLOOKUP(J109,'G-7 Rivers Data'!$AK$4:$AM$9,2,FALSE)=0,"Spatial Data Missing ⚠",VLOOKUP(J109,'G-7 Rivers Data'!$AK$4:$AM$9,2,FALSE)))</f>
        <v/>
      </c>
      <c r="L109" s="524" t="str">
        <f>IF(J109="","",IF(VLOOKUP(J109,'G-7 Rivers Data'!$AK$4:$AM$9,3,FALSE)=0,"Spatial Data Missing ⚠",VLOOKUP(J109,'G-7 Rivers Data'!$AK$4:$AM$9,3,FALSE)))</f>
        <v/>
      </c>
      <c r="M109" s="71"/>
      <c r="N109" s="499" t="str">
        <f>IF(M109="","",IF(VLOOKUP(M109,'G-7 Rivers Data'!$AA$4:$AB$7,2,FALSE)=0,"Spatial Data Missing ⚠",VLOOKUP(M109,'G-7 Rivers Data'!$AA$4:$AB$7,2,FALSE)))</f>
        <v/>
      </c>
      <c r="O109" s="155"/>
      <c r="P109" s="499" t="str">
        <f>IF(O109="","",IF(VLOOKUP(O109,'G-7 Rivers Data'!$AD$4:$AE$8,2,FALSE)=0,"Spatial Data Missing ⚠",VLOOKUP(O109,'G-7 Rivers Data'!$AD$4:$AE$8,2,FALSE)))</f>
        <v/>
      </c>
      <c r="Q109" s="506" t="str">
        <f>IF(D109="","",VLOOKUP(D109,'G-7 Rivers Data'!$B$4:$G$8,6,FALSE))</f>
        <v/>
      </c>
      <c r="R109" s="513" t="str">
        <f t="shared" si="8"/>
        <v/>
      </c>
      <c r="S109" s="40"/>
      <c r="T109" s="145"/>
      <c r="U109" s="157"/>
      <c r="V109" s="511" t="str">
        <f t="shared" si="9"/>
        <v/>
      </c>
      <c r="W109" s="511" t="str">
        <f t="shared" si="10"/>
        <v/>
      </c>
      <c r="X109" s="511" t="str">
        <f t="shared" si="11"/>
        <v/>
      </c>
      <c r="Y109" s="515" t="str">
        <f t="shared" si="12"/>
        <v/>
      </c>
      <c r="Z109" s="151"/>
      <c r="AA109" s="152"/>
      <c r="AF109" s="31" t="str">
        <f>IFERROR(INDEX('G-7 Rivers Data'!$AZ$3:$AZ$7,MATCH(D109,'G-7 Rivers Data'!$AY$3:$AY$7,0)),"")</f>
        <v/>
      </c>
      <c r="AG109" s="31">
        <f t="shared" si="13"/>
        <v>0</v>
      </c>
      <c r="AH109" s="156" t="str">
        <f t="shared" si="14"/>
        <v/>
      </c>
      <c r="AI109" s="156" t="str">
        <f t="shared" si="15"/>
        <v/>
      </c>
      <c r="AK109" s="156">
        <v>100</v>
      </c>
      <c r="AM109" s="156" t="str">
        <f t="array" ref="AM109">IFERROR(INDEX($AK$10:$AK$258, MATCH(0, IF(TRUE=$AH$10:$AH$258, COUNTIF($AM$9:$AM108, $AK$10:$AK$258), ""), 0)),"")</f>
        <v/>
      </c>
      <c r="AN109" s="156" t="str">
        <f t="array" ref="AN109">IFERROR(INDEX($AK$10:$AK$258, MATCH(0, IF(TRUE=$AI$10:$AI$258, COUNTIF($AN$9:$AN108, $AK$10:$AK$258), ""), 0)),"")</f>
        <v/>
      </c>
    </row>
    <row r="110" spans="3:40" ht="14" x14ac:dyDescent="0.3">
      <c r="C110" s="141">
        <v>101</v>
      </c>
      <c r="D110" s="462"/>
      <c r="E110" s="153"/>
      <c r="F110" s="498" t="str">
        <f>IF(D110="","",VLOOKUP(D110,'G-7 Rivers Data'!$B$2:$G$8,2,FALSE))</f>
        <v/>
      </c>
      <c r="G110" s="499" t="str">
        <f>IFERROR(VLOOKUP(F110,'G-7 Rivers Data'!$C$4:$D$8,2,FALSE),"")</f>
        <v/>
      </c>
      <c r="H110" s="145"/>
      <c r="I110" s="499" t="str">
        <f>IFERROR(INDEX('G-7 Rivers Data'!$H$4:$L$8,MATCH(D110,'G-7 Rivers Data'!$B$4:$B$8,0),MATCH(H110,'G-7 Rivers Data'!$H$3:$L$3,0)),"")</f>
        <v/>
      </c>
      <c r="J110" s="154"/>
      <c r="K110" s="520" t="str">
        <f>IF(J110="","",IF(VLOOKUP(J110,'G-7 Rivers Data'!$AK$4:$AM$9,2,FALSE)=0,"Spatial Data Missing ⚠",VLOOKUP(J110,'G-7 Rivers Data'!$AK$4:$AM$9,2,FALSE)))</f>
        <v/>
      </c>
      <c r="L110" s="524" t="str">
        <f>IF(J110="","",IF(VLOOKUP(J110,'G-7 Rivers Data'!$AK$4:$AM$9,3,FALSE)=0,"Spatial Data Missing ⚠",VLOOKUP(J110,'G-7 Rivers Data'!$AK$4:$AM$9,3,FALSE)))</f>
        <v/>
      </c>
      <c r="M110" s="71"/>
      <c r="N110" s="499" t="str">
        <f>IF(M110="","",IF(VLOOKUP(M110,'G-7 Rivers Data'!$AA$4:$AB$7,2,FALSE)=0,"Spatial Data Missing ⚠",VLOOKUP(M110,'G-7 Rivers Data'!$AA$4:$AB$7,2,FALSE)))</f>
        <v/>
      </c>
      <c r="O110" s="155"/>
      <c r="P110" s="499" t="str">
        <f>IF(O110="","",IF(VLOOKUP(O110,'G-7 Rivers Data'!$AD$4:$AE$8,2,FALSE)=0,"Spatial Data Missing ⚠",VLOOKUP(O110,'G-7 Rivers Data'!$AD$4:$AE$8,2,FALSE)))</f>
        <v/>
      </c>
      <c r="Q110" s="506" t="str">
        <f>IF(D110="","",VLOOKUP(D110,'G-7 Rivers Data'!$B$4:$G$8,6,FALSE))</f>
        <v/>
      </c>
      <c r="R110" s="513" t="str">
        <f t="shared" si="8"/>
        <v/>
      </c>
      <c r="S110" s="40"/>
      <c r="T110" s="145"/>
      <c r="U110" s="157"/>
      <c r="V110" s="511" t="str">
        <f t="shared" si="9"/>
        <v/>
      </c>
      <c r="W110" s="511" t="str">
        <f t="shared" si="10"/>
        <v/>
      </c>
      <c r="X110" s="511" t="str">
        <f t="shared" si="11"/>
        <v/>
      </c>
      <c r="Y110" s="515" t="str">
        <f t="shared" si="12"/>
        <v/>
      </c>
      <c r="Z110" s="151"/>
      <c r="AA110" s="152"/>
      <c r="AF110" s="31" t="str">
        <f>IFERROR(INDEX('G-7 Rivers Data'!$AZ$3:$AZ$7,MATCH(D110,'G-7 Rivers Data'!$AY$3:$AY$7,0)),"")</f>
        <v/>
      </c>
      <c r="AG110" s="31">
        <f t="shared" si="13"/>
        <v>0</v>
      </c>
      <c r="AH110" s="156" t="str">
        <f t="shared" si="14"/>
        <v/>
      </c>
      <c r="AI110" s="156" t="str">
        <f t="shared" si="15"/>
        <v/>
      </c>
      <c r="AK110" s="156">
        <v>101</v>
      </c>
      <c r="AM110" s="156" t="str">
        <f t="array" ref="AM110">IFERROR(INDEX($AK$10:$AK$258, MATCH(0, IF(TRUE=$AH$10:$AH$258, COUNTIF($AM$9:$AM109, $AK$10:$AK$258), ""), 0)),"")</f>
        <v/>
      </c>
      <c r="AN110" s="156" t="str">
        <f t="array" ref="AN110">IFERROR(INDEX($AK$10:$AK$258, MATCH(0, IF(TRUE=$AI$10:$AI$258, COUNTIF($AN$9:$AN109, $AK$10:$AK$258), ""), 0)),"")</f>
        <v/>
      </c>
    </row>
    <row r="111" spans="3:40" ht="14" x14ac:dyDescent="0.3">
      <c r="C111" s="141">
        <v>102</v>
      </c>
      <c r="D111" s="462"/>
      <c r="E111" s="153"/>
      <c r="F111" s="498" t="str">
        <f>IF(D111="","",VLOOKUP(D111,'G-7 Rivers Data'!$B$2:$G$8,2,FALSE))</f>
        <v/>
      </c>
      <c r="G111" s="499" t="str">
        <f>IFERROR(VLOOKUP(F111,'G-7 Rivers Data'!$C$4:$D$8,2,FALSE),"")</f>
        <v/>
      </c>
      <c r="H111" s="145"/>
      <c r="I111" s="499" t="str">
        <f>IFERROR(INDEX('G-7 Rivers Data'!$H$4:$L$8,MATCH(D111,'G-7 Rivers Data'!$B$4:$B$8,0),MATCH(H111,'G-7 Rivers Data'!$H$3:$L$3,0)),"")</f>
        <v/>
      </c>
      <c r="J111" s="154"/>
      <c r="K111" s="520" t="str">
        <f>IF(J111="","",IF(VLOOKUP(J111,'G-7 Rivers Data'!$AK$4:$AM$9,2,FALSE)=0,"Spatial Data Missing ⚠",VLOOKUP(J111,'G-7 Rivers Data'!$AK$4:$AM$9,2,FALSE)))</f>
        <v/>
      </c>
      <c r="L111" s="524" t="str">
        <f>IF(J111="","",IF(VLOOKUP(J111,'G-7 Rivers Data'!$AK$4:$AM$9,3,FALSE)=0,"Spatial Data Missing ⚠",VLOOKUP(J111,'G-7 Rivers Data'!$AK$4:$AM$9,3,FALSE)))</f>
        <v/>
      </c>
      <c r="M111" s="71"/>
      <c r="N111" s="499" t="str">
        <f>IF(M111="","",IF(VLOOKUP(M111,'G-7 Rivers Data'!$AA$4:$AB$7,2,FALSE)=0,"Spatial Data Missing ⚠",VLOOKUP(M111,'G-7 Rivers Data'!$AA$4:$AB$7,2,FALSE)))</f>
        <v/>
      </c>
      <c r="O111" s="155"/>
      <c r="P111" s="499" t="str">
        <f>IF(O111="","",IF(VLOOKUP(O111,'G-7 Rivers Data'!$AD$4:$AE$8,2,FALSE)=0,"Spatial Data Missing ⚠",VLOOKUP(O111,'G-7 Rivers Data'!$AD$4:$AE$8,2,FALSE)))</f>
        <v/>
      </c>
      <c r="Q111" s="506" t="str">
        <f>IF(D111="","",VLOOKUP(D111,'G-7 Rivers Data'!$B$4:$G$8,6,FALSE))</f>
        <v/>
      </c>
      <c r="R111" s="513" t="str">
        <f t="shared" si="8"/>
        <v/>
      </c>
      <c r="S111" s="40"/>
      <c r="T111" s="145"/>
      <c r="U111" s="157"/>
      <c r="V111" s="511" t="str">
        <f t="shared" si="9"/>
        <v/>
      </c>
      <c r="W111" s="511" t="str">
        <f t="shared" si="10"/>
        <v/>
      </c>
      <c r="X111" s="511" t="str">
        <f t="shared" si="11"/>
        <v/>
      </c>
      <c r="Y111" s="515" t="str">
        <f t="shared" si="12"/>
        <v/>
      </c>
      <c r="Z111" s="151"/>
      <c r="AA111" s="152"/>
      <c r="AF111" s="31" t="str">
        <f>IFERROR(INDEX('G-7 Rivers Data'!$AZ$3:$AZ$7,MATCH(D111,'G-7 Rivers Data'!$AY$3:$AY$7,0)),"")</f>
        <v/>
      </c>
      <c r="AG111" s="31">
        <f t="shared" si="13"/>
        <v>0</v>
      </c>
      <c r="AH111" s="156" t="str">
        <f t="shared" si="14"/>
        <v/>
      </c>
      <c r="AI111" s="156" t="str">
        <f t="shared" si="15"/>
        <v/>
      </c>
      <c r="AK111" s="156">
        <v>102</v>
      </c>
      <c r="AM111" s="156" t="str">
        <f t="array" ref="AM111">IFERROR(INDEX($AK$10:$AK$258, MATCH(0, IF(TRUE=$AH$10:$AH$258, COUNTIF($AM$9:$AM110, $AK$10:$AK$258), ""), 0)),"")</f>
        <v/>
      </c>
      <c r="AN111" s="156" t="str">
        <f t="array" ref="AN111">IFERROR(INDEX($AK$10:$AK$258, MATCH(0, IF(TRUE=$AI$10:$AI$258, COUNTIF($AN$9:$AN110, $AK$10:$AK$258), ""), 0)),"")</f>
        <v/>
      </c>
    </row>
    <row r="112" spans="3:40" ht="14" x14ac:dyDescent="0.3">
      <c r="C112" s="141">
        <v>103</v>
      </c>
      <c r="D112" s="462"/>
      <c r="E112" s="153"/>
      <c r="F112" s="498" t="str">
        <f>IF(D112="","",VLOOKUP(D112,'G-7 Rivers Data'!$B$2:$G$8,2,FALSE))</f>
        <v/>
      </c>
      <c r="G112" s="499" t="str">
        <f>IFERROR(VLOOKUP(F112,'G-7 Rivers Data'!$C$4:$D$8,2,FALSE),"")</f>
        <v/>
      </c>
      <c r="H112" s="145"/>
      <c r="I112" s="499" t="str">
        <f>IFERROR(INDEX('G-7 Rivers Data'!$H$4:$L$8,MATCH(D112,'G-7 Rivers Data'!$B$4:$B$8,0),MATCH(H112,'G-7 Rivers Data'!$H$3:$L$3,0)),"")</f>
        <v/>
      </c>
      <c r="J112" s="154"/>
      <c r="K112" s="520" t="str">
        <f>IF(J112="","",IF(VLOOKUP(J112,'G-7 Rivers Data'!$AK$4:$AM$9,2,FALSE)=0,"Spatial Data Missing ⚠",VLOOKUP(J112,'G-7 Rivers Data'!$AK$4:$AM$9,2,FALSE)))</f>
        <v/>
      </c>
      <c r="L112" s="524" t="str">
        <f>IF(J112="","",IF(VLOOKUP(J112,'G-7 Rivers Data'!$AK$4:$AM$9,3,FALSE)=0,"Spatial Data Missing ⚠",VLOOKUP(J112,'G-7 Rivers Data'!$AK$4:$AM$9,3,FALSE)))</f>
        <v/>
      </c>
      <c r="M112" s="71"/>
      <c r="N112" s="499" t="str">
        <f>IF(M112="","",IF(VLOOKUP(M112,'G-7 Rivers Data'!$AA$4:$AB$7,2,FALSE)=0,"Spatial Data Missing ⚠",VLOOKUP(M112,'G-7 Rivers Data'!$AA$4:$AB$7,2,FALSE)))</f>
        <v/>
      </c>
      <c r="O112" s="155"/>
      <c r="P112" s="499" t="str">
        <f>IF(O112="","",IF(VLOOKUP(O112,'G-7 Rivers Data'!$AD$4:$AE$8,2,FALSE)=0,"Spatial Data Missing ⚠",VLOOKUP(O112,'G-7 Rivers Data'!$AD$4:$AE$8,2,FALSE)))</f>
        <v/>
      </c>
      <c r="Q112" s="506" t="str">
        <f>IF(D112="","",VLOOKUP(D112,'G-7 Rivers Data'!$B$4:$G$8,6,FALSE))</f>
        <v/>
      </c>
      <c r="R112" s="513" t="str">
        <f t="shared" si="8"/>
        <v/>
      </c>
      <c r="S112" s="40"/>
      <c r="T112" s="145"/>
      <c r="U112" s="157"/>
      <c r="V112" s="511" t="str">
        <f t="shared" si="9"/>
        <v/>
      </c>
      <c r="W112" s="511" t="str">
        <f t="shared" si="10"/>
        <v/>
      </c>
      <c r="X112" s="511" t="str">
        <f t="shared" si="11"/>
        <v/>
      </c>
      <c r="Y112" s="515" t="str">
        <f t="shared" si="12"/>
        <v/>
      </c>
      <c r="Z112" s="151"/>
      <c r="AA112" s="152"/>
      <c r="AF112" s="31" t="str">
        <f>IFERROR(INDEX('G-7 Rivers Data'!$AZ$3:$AZ$7,MATCH(D112,'G-7 Rivers Data'!$AY$3:$AY$7,0)),"")</f>
        <v/>
      </c>
      <c r="AG112" s="31">
        <f t="shared" si="13"/>
        <v>0</v>
      </c>
      <c r="AH112" s="156" t="str">
        <f t="shared" si="14"/>
        <v/>
      </c>
      <c r="AI112" s="156" t="str">
        <f t="shared" si="15"/>
        <v/>
      </c>
      <c r="AK112" s="156">
        <v>103</v>
      </c>
      <c r="AM112" s="156" t="str">
        <f t="array" ref="AM112">IFERROR(INDEX($AK$10:$AK$258, MATCH(0, IF(TRUE=$AH$10:$AH$258, COUNTIF($AM$9:$AM111, $AK$10:$AK$258), ""), 0)),"")</f>
        <v/>
      </c>
      <c r="AN112" s="156" t="str">
        <f t="array" ref="AN112">IFERROR(INDEX($AK$10:$AK$258, MATCH(0, IF(TRUE=$AI$10:$AI$258, COUNTIF($AN$9:$AN111, $AK$10:$AK$258), ""), 0)),"")</f>
        <v/>
      </c>
    </row>
    <row r="113" spans="3:40" ht="14" x14ac:dyDescent="0.3">
      <c r="C113" s="141">
        <v>104</v>
      </c>
      <c r="D113" s="462"/>
      <c r="E113" s="153"/>
      <c r="F113" s="498" t="str">
        <f>IF(D113="","",VLOOKUP(D113,'G-7 Rivers Data'!$B$2:$G$8,2,FALSE))</f>
        <v/>
      </c>
      <c r="G113" s="499" t="str">
        <f>IFERROR(VLOOKUP(F113,'G-7 Rivers Data'!$C$4:$D$8,2,FALSE),"")</f>
        <v/>
      </c>
      <c r="H113" s="145"/>
      <c r="I113" s="499" t="str">
        <f>IFERROR(INDEX('G-7 Rivers Data'!$H$4:$L$8,MATCH(D113,'G-7 Rivers Data'!$B$4:$B$8,0),MATCH(H113,'G-7 Rivers Data'!$H$3:$L$3,0)),"")</f>
        <v/>
      </c>
      <c r="J113" s="154"/>
      <c r="K113" s="520" t="str">
        <f>IF(J113="","",IF(VLOOKUP(J113,'G-7 Rivers Data'!$AK$4:$AM$9,2,FALSE)=0,"Spatial Data Missing ⚠",VLOOKUP(J113,'G-7 Rivers Data'!$AK$4:$AM$9,2,FALSE)))</f>
        <v/>
      </c>
      <c r="L113" s="524" t="str">
        <f>IF(J113="","",IF(VLOOKUP(J113,'G-7 Rivers Data'!$AK$4:$AM$9,3,FALSE)=0,"Spatial Data Missing ⚠",VLOOKUP(J113,'G-7 Rivers Data'!$AK$4:$AM$9,3,FALSE)))</f>
        <v/>
      </c>
      <c r="M113" s="71"/>
      <c r="N113" s="499" t="str">
        <f>IF(M113="","",IF(VLOOKUP(M113,'G-7 Rivers Data'!$AA$4:$AB$7,2,FALSE)=0,"Spatial Data Missing ⚠",VLOOKUP(M113,'G-7 Rivers Data'!$AA$4:$AB$7,2,FALSE)))</f>
        <v/>
      </c>
      <c r="O113" s="155"/>
      <c r="P113" s="499" t="str">
        <f>IF(O113="","",IF(VLOOKUP(O113,'G-7 Rivers Data'!$AD$4:$AE$8,2,FALSE)=0,"Spatial Data Missing ⚠",VLOOKUP(O113,'G-7 Rivers Data'!$AD$4:$AE$8,2,FALSE)))</f>
        <v/>
      </c>
      <c r="Q113" s="506" t="str">
        <f>IF(D113="","",VLOOKUP(D113,'G-7 Rivers Data'!$B$4:$G$8,6,FALSE))</f>
        <v/>
      </c>
      <c r="R113" s="513" t="str">
        <f t="shared" si="8"/>
        <v/>
      </c>
      <c r="S113" s="40"/>
      <c r="T113" s="145"/>
      <c r="U113" s="157"/>
      <c r="V113" s="511" t="str">
        <f t="shared" si="9"/>
        <v/>
      </c>
      <c r="W113" s="511" t="str">
        <f t="shared" si="10"/>
        <v/>
      </c>
      <c r="X113" s="511" t="str">
        <f t="shared" si="11"/>
        <v/>
      </c>
      <c r="Y113" s="515" t="str">
        <f t="shared" si="12"/>
        <v/>
      </c>
      <c r="Z113" s="151"/>
      <c r="AA113" s="152"/>
      <c r="AF113" s="31" t="str">
        <f>IFERROR(INDEX('G-7 Rivers Data'!$AZ$3:$AZ$7,MATCH(D113,'G-7 Rivers Data'!$AY$3:$AY$7,0)),"")</f>
        <v/>
      </c>
      <c r="AG113" s="31">
        <f t="shared" si="13"/>
        <v>0</v>
      </c>
      <c r="AH113" s="156" t="str">
        <f t="shared" si="14"/>
        <v/>
      </c>
      <c r="AI113" s="156" t="str">
        <f t="shared" si="15"/>
        <v/>
      </c>
      <c r="AK113" s="156">
        <v>104</v>
      </c>
      <c r="AM113" s="156" t="str">
        <f t="array" ref="AM113">IFERROR(INDEX($AK$10:$AK$258, MATCH(0, IF(TRUE=$AH$10:$AH$258, COUNTIF($AM$9:$AM112, $AK$10:$AK$258), ""), 0)),"")</f>
        <v/>
      </c>
      <c r="AN113" s="156" t="str">
        <f t="array" ref="AN113">IFERROR(INDEX($AK$10:$AK$258, MATCH(0, IF(TRUE=$AI$10:$AI$258, COUNTIF($AN$9:$AN112, $AK$10:$AK$258), ""), 0)),"")</f>
        <v/>
      </c>
    </row>
    <row r="114" spans="3:40" ht="14" x14ac:dyDescent="0.3">
      <c r="C114" s="141">
        <v>105</v>
      </c>
      <c r="D114" s="462"/>
      <c r="E114" s="153"/>
      <c r="F114" s="498" t="str">
        <f>IF(D114="","",VLOOKUP(D114,'G-7 Rivers Data'!$B$2:$G$8,2,FALSE))</f>
        <v/>
      </c>
      <c r="G114" s="499" t="str">
        <f>IFERROR(VLOOKUP(F114,'G-7 Rivers Data'!$C$4:$D$8,2,FALSE),"")</f>
        <v/>
      </c>
      <c r="H114" s="145"/>
      <c r="I114" s="499" t="str">
        <f>IFERROR(INDEX('G-7 Rivers Data'!$H$4:$L$8,MATCH(D114,'G-7 Rivers Data'!$B$4:$B$8,0),MATCH(H114,'G-7 Rivers Data'!$H$3:$L$3,0)),"")</f>
        <v/>
      </c>
      <c r="J114" s="154"/>
      <c r="K114" s="520" t="str">
        <f>IF(J114="","",IF(VLOOKUP(J114,'G-7 Rivers Data'!$AK$4:$AM$9,2,FALSE)=0,"Spatial Data Missing ⚠",VLOOKUP(J114,'G-7 Rivers Data'!$AK$4:$AM$9,2,FALSE)))</f>
        <v/>
      </c>
      <c r="L114" s="524" t="str">
        <f>IF(J114="","",IF(VLOOKUP(J114,'G-7 Rivers Data'!$AK$4:$AM$9,3,FALSE)=0,"Spatial Data Missing ⚠",VLOOKUP(J114,'G-7 Rivers Data'!$AK$4:$AM$9,3,FALSE)))</f>
        <v/>
      </c>
      <c r="M114" s="71"/>
      <c r="N114" s="499" t="str">
        <f>IF(M114="","",IF(VLOOKUP(M114,'G-7 Rivers Data'!$AA$4:$AB$7,2,FALSE)=0,"Spatial Data Missing ⚠",VLOOKUP(M114,'G-7 Rivers Data'!$AA$4:$AB$7,2,FALSE)))</f>
        <v/>
      </c>
      <c r="O114" s="155"/>
      <c r="P114" s="499" t="str">
        <f>IF(O114="","",IF(VLOOKUP(O114,'G-7 Rivers Data'!$AD$4:$AE$8,2,FALSE)=0,"Spatial Data Missing ⚠",VLOOKUP(O114,'G-7 Rivers Data'!$AD$4:$AE$8,2,FALSE)))</f>
        <v/>
      </c>
      <c r="Q114" s="506" t="str">
        <f>IF(D114="","",VLOOKUP(D114,'G-7 Rivers Data'!$B$4:$G$8,6,FALSE))</f>
        <v/>
      </c>
      <c r="R114" s="513" t="str">
        <f t="shared" si="8"/>
        <v/>
      </c>
      <c r="S114" s="40"/>
      <c r="T114" s="145"/>
      <c r="U114" s="157"/>
      <c r="V114" s="511" t="str">
        <f t="shared" si="9"/>
        <v/>
      </c>
      <c r="W114" s="511" t="str">
        <f t="shared" si="10"/>
        <v/>
      </c>
      <c r="X114" s="511" t="str">
        <f t="shared" si="11"/>
        <v/>
      </c>
      <c r="Y114" s="515" t="str">
        <f t="shared" si="12"/>
        <v/>
      </c>
      <c r="Z114" s="151"/>
      <c r="AA114" s="152"/>
      <c r="AF114" s="31" t="str">
        <f>IFERROR(INDEX('G-7 Rivers Data'!$AZ$3:$AZ$7,MATCH(D114,'G-7 Rivers Data'!$AY$3:$AY$7,0)),"")</f>
        <v/>
      </c>
      <c r="AG114" s="31">
        <f t="shared" si="13"/>
        <v>0</v>
      </c>
      <c r="AH114" s="156" t="str">
        <f t="shared" si="14"/>
        <v/>
      </c>
      <c r="AI114" s="156" t="str">
        <f t="shared" si="15"/>
        <v/>
      </c>
      <c r="AK114" s="156">
        <v>105</v>
      </c>
      <c r="AM114" s="156" t="str">
        <f t="array" ref="AM114">IFERROR(INDEX($AK$10:$AK$258, MATCH(0, IF(TRUE=$AH$10:$AH$258, COUNTIF($AM$9:$AM113, $AK$10:$AK$258), ""), 0)),"")</f>
        <v/>
      </c>
      <c r="AN114" s="156" t="str">
        <f t="array" ref="AN114">IFERROR(INDEX($AK$10:$AK$258, MATCH(0, IF(TRUE=$AI$10:$AI$258, COUNTIF($AN$9:$AN113, $AK$10:$AK$258), ""), 0)),"")</f>
        <v/>
      </c>
    </row>
    <row r="115" spans="3:40" ht="14" x14ac:dyDescent="0.3">
      <c r="C115" s="141">
        <v>106</v>
      </c>
      <c r="D115" s="462"/>
      <c r="E115" s="153"/>
      <c r="F115" s="498" t="str">
        <f>IF(D115="","",VLOOKUP(D115,'G-7 Rivers Data'!$B$2:$G$8,2,FALSE))</f>
        <v/>
      </c>
      <c r="G115" s="499" t="str">
        <f>IFERROR(VLOOKUP(F115,'G-7 Rivers Data'!$C$4:$D$8,2,FALSE),"")</f>
        <v/>
      </c>
      <c r="H115" s="145"/>
      <c r="I115" s="499" t="str">
        <f>IFERROR(INDEX('G-7 Rivers Data'!$H$4:$L$8,MATCH(D115,'G-7 Rivers Data'!$B$4:$B$8,0),MATCH(H115,'G-7 Rivers Data'!$H$3:$L$3,0)),"")</f>
        <v/>
      </c>
      <c r="J115" s="154"/>
      <c r="K115" s="520" t="str">
        <f>IF(J115="","",IF(VLOOKUP(J115,'G-7 Rivers Data'!$AK$4:$AM$9,2,FALSE)=0,"Spatial Data Missing ⚠",VLOOKUP(J115,'G-7 Rivers Data'!$AK$4:$AM$9,2,FALSE)))</f>
        <v/>
      </c>
      <c r="L115" s="524" t="str">
        <f>IF(J115="","",IF(VLOOKUP(J115,'G-7 Rivers Data'!$AK$4:$AM$9,3,FALSE)=0,"Spatial Data Missing ⚠",VLOOKUP(J115,'G-7 Rivers Data'!$AK$4:$AM$9,3,FALSE)))</f>
        <v/>
      </c>
      <c r="M115" s="71"/>
      <c r="N115" s="499" t="str">
        <f>IF(M115="","",IF(VLOOKUP(M115,'G-7 Rivers Data'!$AA$4:$AB$7,2,FALSE)=0,"Spatial Data Missing ⚠",VLOOKUP(M115,'G-7 Rivers Data'!$AA$4:$AB$7,2,FALSE)))</f>
        <v/>
      </c>
      <c r="O115" s="155"/>
      <c r="P115" s="499" t="str">
        <f>IF(O115="","",IF(VLOOKUP(O115,'G-7 Rivers Data'!$AD$4:$AE$8,2,FALSE)=0,"Spatial Data Missing ⚠",VLOOKUP(O115,'G-7 Rivers Data'!$AD$4:$AE$8,2,FALSE)))</f>
        <v/>
      </c>
      <c r="Q115" s="506" t="str">
        <f>IF(D115="","",VLOOKUP(D115,'G-7 Rivers Data'!$B$4:$G$8,6,FALSE))</f>
        <v/>
      </c>
      <c r="R115" s="513" t="str">
        <f t="shared" si="8"/>
        <v/>
      </c>
      <c r="S115" s="40"/>
      <c r="T115" s="145"/>
      <c r="U115" s="157"/>
      <c r="V115" s="511" t="str">
        <f t="shared" si="9"/>
        <v/>
      </c>
      <c r="W115" s="511" t="str">
        <f t="shared" si="10"/>
        <v/>
      </c>
      <c r="X115" s="511" t="str">
        <f t="shared" si="11"/>
        <v/>
      </c>
      <c r="Y115" s="515" t="str">
        <f t="shared" si="12"/>
        <v/>
      </c>
      <c r="Z115" s="151"/>
      <c r="AA115" s="152"/>
      <c r="AF115" s="31" t="str">
        <f>IFERROR(INDEX('G-7 Rivers Data'!$AZ$3:$AZ$7,MATCH(D115,'G-7 Rivers Data'!$AY$3:$AY$7,0)),"")</f>
        <v/>
      </c>
      <c r="AG115" s="31">
        <f t="shared" si="13"/>
        <v>0</v>
      </c>
      <c r="AH115" s="156" t="str">
        <f t="shared" si="14"/>
        <v/>
      </c>
      <c r="AI115" s="156" t="str">
        <f t="shared" si="15"/>
        <v/>
      </c>
      <c r="AK115" s="156">
        <v>106</v>
      </c>
      <c r="AM115" s="156" t="str">
        <f t="array" ref="AM115">IFERROR(INDEX($AK$10:$AK$258, MATCH(0, IF(TRUE=$AH$10:$AH$258, COUNTIF($AM$9:$AM114, $AK$10:$AK$258), ""), 0)),"")</f>
        <v/>
      </c>
      <c r="AN115" s="156" t="str">
        <f t="array" ref="AN115">IFERROR(INDEX($AK$10:$AK$258, MATCH(0, IF(TRUE=$AI$10:$AI$258, COUNTIF($AN$9:$AN114, $AK$10:$AK$258), ""), 0)),"")</f>
        <v/>
      </c>
    </row>
    <row r="116" spans="3:40" ht="14" x14ac:dyDescent="0.3">
      <c r="C116" s="141">
        <v>107</v>
      </c>
      <c r="D116" s="462"/>
      <c r="E116" s="153"/>
      <c r="F116" s="498" t="str">
        <f>IF(D116="","",VLOOKUP(D116,'G-7 Rivers Data'!$B$2:$G$8,2,FALSE))</f>
        <v/>
      </c>
      <c r="G116" s="499" t="str">
        <f>IFERROR(VLOOKUP(F116,'G-7 Rivers Data'!$C$4:$D$8,2,FALSE),"")</f>
        <v/>
      </c>
      <c r="H116" s="145"/>
      <c r="I116" s="499" t="str">
        <f>IFERROR(INDEX('G-7 Rivers Data'!$H$4:$L$8,MATCH(D116,'G-7 Rivers Data'!$B$4:$B$8,0),MATCH(H116,'G-7 Rivers Data'!$H$3:$L$3,0)),"")</f>
        <v/>
      </c>
      <c r="J116" s="154"/>
      <c r="K116" s="520" t="str">
        <f>IF(J116="","",IF(VLOOKUP(J116,'G-7 Rivers Data'!$AK$4:$AM$9,2,FALSE)=0,"Spatial Data Missing ⚠",VLOOKUP(J116,'G-7 Rivers Data'!$AK$4:$AM$9,2,FALSE)))</f>
        <v/>
      </c>
      <c r="L116" s="524" t="str">
        <f>IF(J116="","",IF(VLOOKUP(J116,'G-7 Rivers Data'!$AK$4:$AM$9,3,FALSE)=0,"Spatial Data Missing ⚠",VLOOKUP(J116,'G-7 Rivers Data'!$AK$4:$AM$9,3,FALSE)))</f>
        <v/>
      </c>
      <c r="M116" s="71"/>
      <c r="N116" s="499" t="str">
        <f>IF(M116="","",IF(VLOOKUP(M116,'G-7 Rivers Data'!$AA$4:$AB$7,2,FALSE)=0,"Spatial Data Missing ⚠",VLOOKUP(M116,'G-7 Rivers Data'!$AA$4:$AB$7,2,FALSE)))</f>
        <v/>
      </c>
      <c r="O116" s="155"/>
      <c r="P116" s="499" t="str">
        <f>IF(O116="","",IF(VLOOKUP(O116,'G-7 Rivers Data'!$AD$4:$AE$8,2,FALSE)=0,"Spatial Data Missing ⚠",VLOOKUP(O116,'G-7 Rivers Data'!$AD$4:$AE$8,2,FALSE)))</f>
        <v/>
      </c>
      <c r="Q116" s="506" t="str">
        <f>IF(D116="","",VLOOKUP(D116,'G-7 Rivers Data'!$B$4:$G$8,6,FALSE))</f>
        <v/>
      </c>
      <c r="R116" s="513" t="str">
        <f t="shared" si="8"/>
        <v/>
      </c>
      <c r="S116" s="40"/>
      <c r="T116" s="145"/>
      <c r="U116" s="157"/>
      <c r="V116" s="511" t="str">
        <f t="shared" si="9"/>
        <v/>
      </c>
      <c r="W116" s="511" t="str">
        <f t="shared" si="10"/>
        <v/>
      </c>
      <c r="X116" s="511" t="str">
        <f t="shared" si="11"/>
        <v/>
      </c>
      <c r="Y116" s="515" t="str">
        <f t="shared" si="12"/>
        <v/>
      </c>
      <c r="Z116" s="151"/>
      <c r="AA116" s="152"/>
      <c r="AF116" s="31" t="str">
        <f>IFERROR(INDEX('G-7 Rivers Data'!$AZ$3:$AZ$7,MATCH(D116,'G-7 Rivers Data'!$AY$3:$AY$7,0)),"")</f>
        <v/>
      </c>
      <c r="AG116" s="31">
        <f t="shared" si="13"/>
        <v>0</v>
      </c>
      <c r="AH116" s="156" t="str">
        <f t="shared" si="14"/>
        <v/>
      </c>
      <c r="AI116" s="156" t="str">
        <f t="shared" si="15"/>
        <v/>
      </c>
      <c r="AK116" s="156">
        <v>107</v>
      </c>
      <c r="AM116" s="156" t="str">
        <f t="array" ref="AM116">IFERROR(INDEX($AK$10:$AK$258, MATCH(0, IF(TRUE=$AH$10:$AH$258, COUNTIF($AM$9:$AM115, $AK$10:$AK$258), ""), 0)),"")</f>
        <v/>
      </c>
      <c r="AN116" s="156" t="str">
        <f t="array" ref="AN116">IFERROR(INDEX($AK$10:$AK$258, MATCH(0, IF(TRUE=$AI$10:$AI$258, COUNTIF($AN$9:$AN115, $AK$10:$AK$258), ""), 0)),"")</f>
        <v/>
      </c>
    </row>
    <row r="117" spans="3:40" ht="14" x14ac:dyDescent="0.3">
      <c r="C117" s="141">
        <v>108</v>
      </c>
      <c r="D117" s="462"/>
      <c r="E117" s="153"/>
      <c r="F117" s="498" t="str">
        <f>IF(D117="","",VLOOKUP(D117,'G-7 Rivers Data'!$B$2:$G$8,2,FALSE))</f>
        <v/>
      </c>
      <c r="G117" s="499" t="str">
        <f>IFERROR(VLOOKUP(F117,'G-7 Rivers Data'!$C$4:$D$8,2,FALSE),"")</f>
        <v/>
      </c>
      <c r="H117" s="145"/>
      <c r="I117" s="499" t="str">
        <f>IFERROR(INDEX('G-7 Rivers Data'!$H$4:$L$8,MATCH(D117,'G-7 Rivers Data'!$B$4:$B$8,0),MATCH(H117,'G-7 Rivers Data'!$H$3:$L$3,0)),"")</f>
        <v/>
      </c>
      <c r="J117" s="154"/>
      <c r="K117" s="520" t="str">
        <f>IF(J117="","",IF(VLOOKUP(J117,'G-7 Rivers Data'!$AK$4:$AM$9,2,FALSE)=0,"Spatial Data Missing ⚠",VLOOKUP(J117,'G-7 Rivers Data'!$AK$4:$AM$9,2,FALSE)))</f>
        <v/>
      </c>
      <c r="L117" s="524" t="str">
        <f>IF(J117="","",IF(VLOOKUP(J117,'G-7 Rivers Data'!$AK$4:$AM$9,3,FALSE)=0,"Spatial Data Missing ⚠",VLOOKUP(J117,'G-7 Rivers Data'!$AK$4:$AM$9,3,FALSE)))</f>
        <v/>
      </c>
      <c r="M117" s="71"/>
      <c r="N117" s="499" t="str">
        <f>IF(M117="","",IF(VLOOKUP(M117,'G-7 Rivers Data'!$AA$4:$AB$7,2,FALSE)=0,"Spatial Data Missing ⚠",VLOOKUP(M117,'G-7 Rivers Data'!$AA$4:$AB$7,2,FALSE)))</f>
        <v/>
      </c>
      <c r="O117" s="155"/>
      <c r="P117" s="499" t="str">
        <f>IF(O117="","",IF(VLOOKUP(O117,'G-7 Rivers Data'!$AD$4:$AE$8,2,FALSE)=0,"Spatial Data Missing ⚠",VLOOKUP(O117,'G-7 Rivers Data'!$AD$4:$AE$8,2,FALSE)))</f>
        <v/>
      </c>
      <c r="Q117" s="506" t="str">
        <f>IF(D117="","",VLOOKUP(D117,'G-7 Rivers Data'!$B$4:$G$8,6,FALSE))</f>
        <v/>
      </c>
      <c r="R117" s="513" t="str">
        <f t="shared" si="8"/>
        <v/>
      </c>
      <c r="S117" s="40"/>
      <c r="T117" s="145"/>
      <c r="U117" s="157"/>
      <c r="V117" s="511" t="str">
        <f t="shared" si="9"/>
        <v/>
      </c>
      <c r="W117" s="511" t="str">
        <f t="shared" si="10"/>
        <v/>
      </c>
      <c r="X117" s="511" t="str">
        <f t="shared" si="11"/>
        <v/>
      </c>
      <c r="Y117" s="515" t="str">
        <f t="shared" si="12"/>
        <v/>
      </c>
      <c r="Z117" s="151"/>
      <c r="AA117" s="152"/>
      <c r="AF117" s="31" t="str">
        <f>IFERROR(INDEX('G-7 Rivers Data'!$AZ$3:$AZ$7,MATCH(D117,'G-7 Rivers Data'!$AY$3:$AY$7,0)),"")</f>
        <v/>
      </c>
      <c r="AG117" s="31">
        <f t="shared" si="13"/>
        <v>0</v>
      </c>
      <c r="AH117" s="156" t="str">
        <f t="shared" si="14"/>
        <v/>
      </c>
      <c r="AI117" s="156" t="str">
        <f t="shared" si="15"/>
        <v/>
      </c>
      <c r="AK117" s="156">
        <v>108</v>
      </c>
      <c r="AM117" s="156" t="str">
        <f t="array" ref="AM117">IFERROR(INDEX($AK$10:$AK$258, MATCH(0, IF(TRUE=$AH$10:$AH$258, COUNTIF($AM$9:$AM116, $AK$10:$AK$258), ""), 0)),"")</f>
        <v/>
      </c>
      <c r="AN117" s="156" t="str">
        <f t="array" ref="AN117">IFERROR(INDEX($AK$10:$AK$258, MATCH(0, IF(TRUE=$AI$10:$AI$258, COUNTIF($AN$9:$AN116, $AK$10:$AK$258), ""), 0)),"")</f>
        <v/>
      </c>
    </row>
    <row r="118" spans="3:40" ht="14" x14ac:dyDescent="0.3">
      <c r="C118" s="141">
        <v>109</v>
      </c>
      <c r="D118" s="462"/>
      <c r="E118" s="153"/>
      <c r="F118" s="498" t="str">
        <f>IF(D118="","",VLOOKUP(D118,'G-7 Rivers Data'!$B$2:$G$8,2,FALSE))</f>
        <v/>
      </c>
      <c r="G118" s="499" t="str">
        <f>IFERROR(VLOOKUP(F118,'G-7 Rivers Data'!$C$4:$D$8,2,FALSE),"")</f>
        <v/>
      </c>
      <c r="H118" s="145"/>
      <c r="I118" s="499" t="str">
        <f>IFERROR(INDEX('G-7 Rivers Data'!$H$4:$L$8,MATCH(D118,'G-7 Rivers Data'!$B$4:$B$8,0),MATCH(H118,'G-7 Rivers Data'!$H$3:$L$3,0)),"")</f>
        <v/>
      </c>
      <c r="J118" s="154"/>
      <c r="K118" s="520" t="str">
        <f>IF(J118="","",IF(VLOOKUP(J118,'G-7 Rivers Data'!$AK$4:$AM$9,2,FALSE)=0,"Spatial Data Missing ⚠",VLOOKUP(J118,'G-7 Rivers Data'!$AK$4:$AM$9,2,FALSE)))</f>
        <v/>
      </c>
      <c r="L118" s="524" t="str">
        <f>IF(J118="","",IF(VLOOKUP(J118,'G-7 Rivers Data'!$AK$4:$AM$9,3,FALSE)=0,"Spatial Data Missing ⚠",VLOOKUP(J118,'G-7 Rivers Data'!$AK$4:$AM$9,3,FALSE)))</f>
        <v/>
      </c>
      <c r="M118" s="71"/>
      <c r="N118" s="499" t="str">
        <f>IF(M118="","",IF(VLOOKUP(M118,'G-7 Rivers Data'!$AA$4:$AB$7,2,FALSE)=0,"Spatial Data Missing ⚠",VLOOKUP(M118,'G-7 Rivers Data'!$AA$4:$AB$7,2,FALSE)))</f>
        <v/>
      </c>
      <c r="O118" s="155"/>
      <c r="P118" s="499" t="str">
        <f>IF(O118="","",IF(VLOOKUP(O118,'G-7 Rivers Data'!$AD$4:$AE$8,2,FALSE)=0,"Spatial Data Missing ⚠",VLOOKUP(O118,'G-7 Rivers Data'!$AD$4:$AE$8,2,FALSE)))</f>
        <v/>
      </c>
      <c r="Q118" s="506" t="str">
        <f>IF(D118="","",VLOOKUP(D118,'G-7 Rivers Data'!$B$4:$G$8,6,FALSE))</f>
        <v/>
      </c>
      <c r="R118" s="513" t="str">
        <f t="shared" si="8"/>
        <v/>
      </c>
      <c r="S118" s="40"/>
      <c r="T118" s="145"/>
      <c r="U118" s="157"/>
      <c r="V118" s="511" t="str">
        <f t="shared" si="9"/>
        <v/>
      </c>
      <c r="W118" s="511" t="str">
        <f t="shared" si="10"/>
        <v/>
      </c>
      <c r="X118" s="511" t="str">
        <f t="shared" si="11"/>
        <v/>
      </c>
      <c r="Y118" s="515" t="str">
        <f t="shared" si="12"/>
        <v/>
      </c>
      <c r="Z118" s="151"/>
      <c r="AA118" s="152"/>
      <c r="AF118" s="31" t="str">
        <f>IFERROR(INDEX('G-7 Rivers Data'!$AZ$3:$AZ$7,MATCH(D118,'G-7 Rivers Data'!$AY$3:$AY$7,0)),"")</f>
        <v/>
      </c>
      <c r="AG118" s="31">
        <f t="shared" si="13"/>
        <v>0</v>
      </c>
      <c r="AH118" s="156" t="str">
        <f t="shared" si="14"/>
        <v/>
      </c>
      <c r="AI118" s="156" t="str">
        <f t="shared" si="15"/>
        <v/>
      </c>
      <c r="AK118" s="156">
        <v>109</v>
      </c>
      <c r="AM118" s="156" t="str">
        <f t="array" ref="AM118">IFERROR(INDEX($AK$10:$AK$258, MATCH(0, IF(TRUE=$AH$10:$AH$258, COUNTIF($AM$9:$AM117, $AK$10:$AK$258), ""), 0)),"")</f>
        <v/>
      </c>
      <c r="AN118" s="156" t="str">
        <f t="array" ref="AN118">IFERROR(INDEX($AK$10:$AK$258, MATCH(0, IF(TRUE=$AI$10:$AI$258, COUNTIF($AN$9:$AN117, $AK$10:$AK$258), ""), 0)),"")</f>
        <v/>
      </c>
    </row>
    <row r="119" spans="3:40" ht="14" x14ac:dyDescent="0.3">
      <c r="C119" s="141">
        <v>110</v>
      </c>
      <c r="D119" s="462"/>
      <c r="E119" s="153"/>
      <c r="F119" s="498" t="str">
        <f>IF(D119="","",VLOOKUP(D119,'G-7 Rivers Data'!$B$2:$G$8,2,FALSE))</f>
        <v/>
      </c>
      <c r="G119" s="499" t="str">
        <f>IFERROR(VLOOKUP(F119,'G-7 Rivers Data'!$C$4:$D$8,2,FALSE),"")</f>
        <v/>
      </c>
      <c r="H119" s="145"/>
      <c r="I119" s="499" t="str">
        <f>IFERROR(INDEX('G-7 Rivers Data'!$H$4:$L$8,MATCH(D119,'G-7 Rivers Data'!$B$4:$B$8,0),MATCH(H119,'G-7 Rivers Data'!$H$3:$L$3,0)),"")</f>
        <v/>
      </c>
      <c r="J119" s="154"/>
      <c r="K119" s="520" t="str">
        <f>IF(J119="","",IF(VLOOKUP(J119,'G-7 Rivers Data'!$AK$4:$AM$9,2,FALSE)=0,"Spatial Data Missing ⚠",VLOOKUP(J119,'G-7 Rivers Data'!$AK$4:$AM$9,2,FALSE)))</f>
        <v/>
      </c>
      <c r="L119" s="524" t="str">
        <f>IF(J119="","",IF(VLOOKUP(J119,'G-7 Rivers Data'!$AK$4:$AM$9,3,FALSE)=0,"Spatial Data Missing ⚠",VLOOKUP(J119,'G-7 Rivers Data'!$AK$4:$AM$9,3,FALSE)))</f>
        <v/>
      </c>
      <c r="M119" s="71"/>
      <c r="N119" s="499" t="str">
        <f>IF(M119="","",IF(VLOOKUP(M119,'G-7 Rivers Data'!$AA$4:$AB$7,2,FALSE)=0,"Spatial Data Missing ⚠",VLOOKUP(M119,'G-7 Rivers Data'!$AA$4:$AB$7,2,FALSE)))</f>
        <v/>
      </c>
      <c r="O119" s="155"/>
      <c r="P119" s="499" t="str">
        <f>IF(O119="","",IF(VLOOKUP(O119,'G-7 Rivers Data'!$AD$4:$AE$8,2,FALSE)=0,"Spatial Data Missing ⚠",VLOOKUP(O119,'G-7 Rivers Data'!$AD$4:$AE$8,2,FALSE)))</f>
        <v/>
      </c>
      <c r="Q119" s="506" t="str">
        <f>IF(D119="","",VLOOKUP(D119,'G-7 Rivers Data'!$B$4:$G$8,6,FALSE))</f>
        <v/>
      </c>
      <c r="R119" s="513" t="str">
        <f t="shared" si="8"/>
        <v/>
      </c>
      <c r="S119" s="40"/>
      <c r="T119" s="145"/>
      <c r="U119" s="157"/>
      <c r="V119" s="511" t="str">
        <f t="shared" si="9"/>
        <v/>
      </c>
      <c r="W119" s="511" t="str">
        <f t="shared" si="10"/>
        <v/>
      </c>
      <c r="X119" s="511" t="str">
        <f t="shared" si="11"/>
        <v/>
      </c>
      <c r="Y119" s="515" t="str">
        <f t="shared" si="12"/>
        <v/>
      </c>
      <c r="Z119" s="151"/>
      <c r="AA119" s="152"/>
      <c r="AF119" s="31" t="str">
        <f>IFERROR(INDEX('G-7 Rivers Data'!$AZ$3:$AZ$7,MATCH(D119,'G-7 Rivers Data'!$AY$3:$AY$7,0)),"")</f>
        <v/>
      </c>
      <c r="AG119" s="31">
        <f t="shared" si="13"/>
        <v>0</v>
      </c>
      <c r="AH119" s="156" t="str">
        <f t="shared" si="14"/>
        <v/>
      </c>
      <c r="AI119" s="156" t="str">
        <f t="shared" si="15"/>
        <v/>
      </c>
      <c r="AK119" s="156">
        <v>110</v>
      </c>
      <c r="AM119" s="156" t="str">
        <f t="array" ref="AM119">IFERROR(INDEX($AK$10:$AK$258, MATCH(0, IF(TRUE=$AH$10:$AH$258, COUNTIF($AM$9:$AM118, $AK$10:$AK$258), ""), 0)),"")</f>
        <v/>
      </c>
      <c r="AN119" s="156" t="str">
        <f t="array" ref="AN119">IFERROR(INDEX($AK$10:$AK$258, MATCH(0, IF(TRUE=$AI$10:$AI$258, COUNTIF($AN$9:$AN118, $AK$10:$AK$258), ""), 0)),"")</f>
        <v/>
      </c>
    </row>
    <row r="120" spans="3:40" ht="14" x14ac:dyDescent="0.3">
      <c r="C120" s="141">
        <v>111</v>
      </c>
      <c r="D120" s="462"/>
      <c r="E120" s="153"/>
      <c r="F120" s="498" t="str">
        <f>IF(D120="","",VLOOKUP(D120,'G-7 Rivers Data'!$B$2:$G$8,2,FALSE))</f>
        <v/>
      </c>
      <c r="G120" s="499" t="str">
        <f>IFERROR(VLOOKUP(F120,'G-7 Rivers Data'!$C$4:$D$8,2,FALSE),"")</f>
        <v/>
      </c>
      <c r="H120" s="145"/>
      <c r="I120" s="499" t="str">
        <f>IFERROR(INDEX('G-7 Rivers Data'!$H$4:$L$8,MATCH(D120,'G-7 Rivers Data'!$B$4:$B$8,0),MATCH(H120,'G-7 Rivers Data'!$H$3:$L$3,0)),"")</f>
        <v/>
      </c>
      <c r="J120" s="154"/>
      <c r="K120" s="520" t="str">
        <f>IF(J120="","",IF(VLOOKUP(J120,'G-7 Rivers Data'!$AK$4:$AM$9,2,FALSE)=0,"Spatial Data Missing ⚠",VLOOKUP(J120,'G-7 Rivers Data'!$AK$4:$AM$9,2,FALSE)))</f>
        <v/>
      </c>
      <c r="L120" s="524" t="str">
        <f>IF(J120="","",IF(VLOOKUP(J120,'G-7 Rivers Data'!$AK$4:$AM$9,3,FALSE)=0,"Spatial Data Missing ⚠",VLOOKUP(J120,'G-7 Rivers Data'!$AK$4:$AM$9,3,FALSE)))</f>
        <v/>
      </c>
      <c r="M120" s="71"/>
      <c r="N120" s="499" t="str">
        <f>IF(M120="","",IF(VLOOKUP(M120,'G-7 Rivers Data'!$AA$4:$AB$7,2,FALSE)=0,"Spatial Data Missing ⚠",VLOOKUP(M120,'G-7 Rivers Data'!$AA$4:$AB$7,2,FALSE)))</f>
        <v/>
      </c>
      <c r="O120" s="155"/>
      <c r="P120" s="499" t="str">
        <f>IF(O120="","",IF(VLOOKUP(O120,'G-7 Rivers Data'!$AD$4:$AE$8,2,FALSE)=0,"Spatial Data Missing ⚠",VLOOKUP(O120,'G-7 Rivers Data'!$AD$4:$AE$8,2,FALSE)))</f>
        <v/>
      </c>
      <c r="Q120" s="506" t="str">
        <f>IF(D120="","",VLOOKUP(D120,'G-7 Rivers Data'!$B$4:$G$8,6,FALSE))</f>
        <v/>
      </c>
      <c r="R120" s="513" t="str">
        <f t="shared" si="8"/>
        <v/>
      </c>
      <c r="S120" s="40"/>
      <c r="T120" s="145"/>
      <c r="U120" s="157"/>
      <c r="V120" s="511" t="str">
        <f t="shared" si="9"/>
        <v/>
      </c>
      <c r="W120" s="511" t="str">
        <f t="shared" si="10"/>
        <v/>
      </c>
      <c r="X120" s="511" t="str">
        <f t="shared" si="11"/>
        <v/>
      </c>
      <c r="Y120" s="515" t="str">
        <f t="shared" si="12"/>
        <v/>
      </c>
      <c r="Z120" s="151"/>
      <c r="AA120" s="152"/>
      <c r="AF120" s="31" t="str">
        <f>IFERROR(INDEX('G-7 Rivers Data'!$AZ$3:$AZ$7,MATCH(D120,'G-7 Rivers Data'!$AY$3:$AY$7,0)),"")</f>
        <v/>
      </c>
      <c r="AG120" s="31">
        <f t="shared" si="13"/>
        <v>0</v>
      </c>
      <c r="AH120" s="156" t="str">
        <f t="shared" si="14"/>
        <v/>
      </c>
      <c r="AI120" s="156" t="str">
        <f t="shared" si="15"/>
        <v/>
      </c>
      <c r="AK120" s="156">
        <v>111</v>
      </c>
      <c r="AM120" s="156" t="str">
        <f t="array" ref="AM120">IFERROR(INDEX($AK$10:$AK$258, MATCH(0, IF(TRUE=$AH$10:$AH$258, COUNTIF($AM$9:$AM119, $AK$10:$AK$258), ""), 0)),"")</f>
        <v/>
      </c>
      <c r="AN120" s="156" t="str">
        <f t="array" ref="AN120">IFERROR(INDEX($AK$10:$AK$258, MATCH(0, IF(TRUE=$AI$10:$AI$258, COUNTIF($AN$9:$AN119, $AK$10:$AK$258), ""), 0)),"")</f>
        <v/>
      </c>
    </row>
    <row r="121" spans="3:40" ht="14" x14ac:dyDescent="0.3">
      <c r="C121" s="141">
        <v>112</v>
      </c>
      <c r="D121" s="462"/>
      <c r="E121" s="153"/>
      <c r="F121" s="498" t="str">
        <f>IF(D121="","",VLOOKUP(D121,'G-7 Rivers Data'!$B$2:$G$8,2,FALSE))</f>
        <v/>
      </c>
      <c r="G121" s="499" t="str">
        <f>IFERROR(VLOOKUP(F121,'G-7 Rivers Data'!$C$4:$D$8,2,FALSE),"")</f>
        <v/>
      </c>
      <c r="H121" s="145"/>
      <c r="I121" s="499" t="str">
        <f>IFERROR(INDEX('G-7 Rivers Data'!$H$4:$L$8,MATCH(D121,'G-7 Rivers Data'!$B$4:$B$8,0),MATCH(H121,'G-7 Rivers Data'!$H$3:$L$3,0)),"")</f>
        <v/>
      </c>
      <c r="J121" s="154"/>
      <c r="K121" s="520" t="str">
        <f>IF(J121="","",IF(VLOOKUP(J121,'G-7 Rivers Data'!$AK$4:$AM$9,2,FALSE)=0,"Spatial Data Missing ⚠",VLOOKUP(J121,'G-7 Rivers Data'!$AK$4:$AM$9,2,FALSE)))</f>
        <v/>
      </c>
      <c r="L121" s="524" t="str">
        <f>IF(J121="","",IF(VLOOKUP(J121,'G-7 Rivers Data'!$AK$4:$AM$9,3,FALSE)=0,"Spatial Data Missing ⚠",VLOOKUP(J121,'G-7 Rivers Data'!$AK$4:$AM$9,3,FALSE)))</f>
        <v/>
      </c>
      <c r="M121" s="71"/>
      <c r="N121" s="499" t="str">
        <f>IF(M121="","",IF(VLOOKUP(M121,'G-7 Rivers Data'!$AA$4:$AB$7,2,FALSE)=0,"Spatial Data Missing ⚠",VLOOKUP(M121,'G-7 Rivers Data'!$AA$4:$AB$7,2,FALSE)))</f>
        <v/>
      </c>
      <c r="O121" s="155"/>
      <c r="P121" s="499" t="str">
        <f>IF(O121="","",IF(VLOOKUP(O121,'G-7 Rivers Data'!$AD$4:$AE$8,2,FALSE)=0,"Spatial Data Missing ⚠",VLOOKUP(O121,'G-7 Rivers Data'!$AD$4:$AE$8,2,FALSE)))</f>
        <v/>
      </c>
      <c r="Q121" s="506" t="str">
        <f>IF(D121="","",VLOOKUP(D121,'G-7 Rivers Data'!$B$4:$G$8,6,FALSE))</f>
        <v/>
      </c>
      <c r="R121" s="513" t="str">
        <f t="shared" si="8"/>
        <v/>
      </c>
      <c r="S121" s="40"/>
      <c r="T121" s="145"/>
      <c r="U121" s="157"/>
      <c r="V121" s="511" t="str">
        <f t="shared" si="9"/>
        <v/>
      </c>
      <c r="W121" s="511" t="str">
        <f t="shared" si="10"/>
        <v/>
      </c>
      <c r="X121" s="511" t="str">
        <f t="shared" si="11"/>
        <v/>
      </c>
      <c r="Y121" s="515" t="str">
        <f t="shared" si="12"/>
        <v/>
      </c>
      <c r="Z121" s="151"/>
      <c r="AA121" s="152"/>
      <c r="AF121" s="31" t="str">
        <f>IFERROR(INDEX('G-7 Rivers Data'!$AZ$3:$AZ$7,MATCH(D121,'G-7 Rivers Data'!$AY$3:$AY$7,0)),"")</f>
        <v/>
      </c>
      <c r="AG121" s="31">
        <f t="shared" si="13"/>
        <v>0</v>
      </c>
      <c r="AH121" s="156" t="str">
        <f t="shared" si="14"/>
        <v/>
      </c>
      <c r="AI121" s="156" t="str">
        <f t="shared" si="15"/>
        <v/>
      </c>
      <c r="AK121" s="156">
        <v>112</v>
      </c>
      <c r="AM121" s="156" t="str">
        <f t="array" ref="AM121">IFERROR(INDEX($AK$10:$AK$258, MATCH(0, IF(TRUE=$AH$10:$AH$258, COUNTIF($AM$9:$AM120, $AK$10:$AK$258), ""), 0)),"")</f>
        <v/>
      </c>
      <c r="AN121" s="156" t="str">
        <f t="array" ref="AN121">IFERROR(INDEX($AK$10:$AK$258, MATCH(0, IF(TRUE=$AI$10:$AI$258, COUNTIF($AN$9:$AN120, $AK$10:$AK$258), ""), 0)),"")</f>
        <v/>
      </c>
    </row>
    <row r="122" spans="3:40" ht="14" x14ac:dyDescent="0.3">
      <c r="C122" s="141">
        <v>113</v>
      </c>
      <c r="D122" s="462"/>
      <c r="E122" s="153"/>
      <c r="F122" s="498" t="str">
        <f>IF(D122="","",VLOOKUP(D122,'G-7 Rivers Data'!$B$2:$G$8,2,FALSE))</f>
        <v/>
      </c>
      <c r="G122" s="499" t="str">
        <f>IFERROR(VLOOKUP(F122,'G-7 Rivers Data'!$C$4:$D$8,2,FALSE),"")</f>
        <v/>
      </c>
      <c r="H122" s="145"/>
      <c r="I122" s="499" t="str">
        <f>IFERROR(INDEX('G-7 Rivers Data'!$H$4:$L$8,MATCH(D122,'G-7 Rivers Data'!$B$4:$B$8,0),MATCH(H122,'G-7 Rivers Data'!$H$3:$L$3,0)),"")</f>
        <v/>
      </c>
      <c r="J122" s="154"/>
      <c r="K122" s="520" t="str">
        <f>IF(J122="","",IF(VLOOKUP(J122,'G-7 Rivers Data'!$AK$4:$AM$9,2,FALSE)=0,"Spatial Data Missing ⚠",VLOOKUP(J122,'G-7 Rivers Data'!$AK$4:$AM$9,2,FALSE)))</f>
        <v/>
      </c>
      <c r="L122" s="524" t="str">
        <f>IF(J122="","",IF(VLOOKUP(J122,'G-7 Rivers Data'!$AK$4:$AM$9,3,FALSE)=0,"Spatial Data Missing ⚠",VLOOKUP(J122,'G-7 Rivers Data'!$AK$4:$AM$9,3,FALSE)))</f>
        <v/>
      </c>
      <c r="M122" s="71"/>
      <c r="N122" s="499" t="str">
        <f>IF(M122="","",IF(VLOOKUP(M122,'G-7 Rivers Data'!$AA$4:$AB$7,2,FALSE)=0,"Spatial Data Missing ⚠",VLOOKUP(M122,'G-7 Rivers Data'!$AA$4:$AB$7,2,FALSE)))</f>
        <v/>
      </c>
      <c r="O122" s="155"/>
      <c r="P122" s="499" t="str">
        <f>IF(O122="","",IF(VLOOKUP(O122,'G-7 Rivers Data'!$AD$4:$AE$8,2,FALSE)=0,"Spatial Data Missing ⚠",VLOOKUP(O122,'G-7 Rivers Data'!$AD$4:$AE$8,2,FALSE)))</f>
        <v/>
      </c>
      <c r="Q122" s="506" t="str">
        <f>IF(D122="","",VLOOKUP(D122,'G-7 Rivers Data'!$B$4:$G$8,6,FALSE))</f>
        <v/>
      </c>
      <c r="R122" s="513" t="str">
        <f t="shared" si="8"/>
        <v/>
      </c>
      <c r="S122" s="40"/>
      <c r="T122" s="145"/>
      <c r="U122" s="157"/>
      <c r="V122" s="511" t="str">
        <f t="shared" si="9"/>
        <v/>
      </c>
      <c r="W122" s="511" t="str">
        <f t="shared" si="10"/>
        <v/>
      </c>
      <c r="X122" s="511" t="str">
        <f t="shared" si="11"/>
        <v/>
      </c>
      <c r="Y122" s="515" t="str">
        <f t="shared" si="12"/>
        <v/>
      </c>
      <c r="Z122" s="151"/>
      <c r="AA122" s="152"/>
      <c r="AF122" s="31" t="str">
        <f>IFERROR(INDEX('G-7 Rivers Data'!$AZ$3:$AZ$7,MATCH(D122,'G-7 Rivers Data'!$AY$3:$AY$7,0)),"")</f>
        <v/>
      </c>
      <c r="AG122" s="31">
        <f t="shared" si="13"/>
        <v>0</v>
      </c>
      <c r="AH122" s="156" t="str">
        <f t="shared" si="14"/>
        <v/>
      </c>
      <c r="AI122" s="156" t="str">
        <f t="shared" si="15"/>
        <v/>
      </c>
      <c r="AK122" s="156">
        <v>113</v>
      </c>
      <c r="AM122" s="156" t="str">
        <f t="array" ref="AM122">IFERROR(INDEX($AK$10:$AK$258, MATCH(0, IF(TRUE=$AH$10:$AH$258, COUNTIF($AM$9:$AM121, $AK$10:$AK$258), ""), 0)),"")</f>
        <v/>
      </c>
      <c r="AN122" s="156" t="str">
        <f t="array" ref="AN122">IFERROR(INDEX($AK$10:$AK$258, MATCH(0, IF(TRUE=$AI$10:$AI$258, COUNTIF($AN$9:$AN121, $AK$10:$AK$258), ""), 0)),"")</f>
        <v/>
      </c>
    </row>
    <row r="123" spans="3:40" ht="14" x14ac:dyDescent="0.3">
      <c r="C123" s="141">
        <v>114</v>
      </c>
      <c r="D123" s="462"/>
      <c r="E123" s="153"/>
      <c r="F123" s="498" t="str">
        <f>IF(D123="","",VLOOKUP(D123,'G-7 Rivers Data'!$B$2:$G$8,2,FALSE))</f>
        <v/>
      </c>
      <c r="G123" s="499" t="str">
        <f>IFERROR(VLOOKUP(F123,'G-7 Rivers Data'!$C$4:$D$8,2,FALSE),"")</f>
        <v/>
      </c>
      <c r="H123" s="145"/>
      <c r="I123" s="499" t="str">
        <f>IFERROR(INDEX('G-7 Rivers Data'!$H$4:$L$8,MATCH(D123,'G-7 Rivers Data'!$B$4:$B$8,0),MATCH(H123,'G-7 Rivers Data'!$H$3:$L$3,0)),"")</f>
        <v/>
      </c>
      <c r="J123" s="154"/>
      <c r="K123" s="520" t="str">
        <f>IF(J123="","",IF(VLOOKUP(J123,'G-7 Rivers Data'!$AK$4:$AM$9,2,FALSE)=0,"Spatial Data Missing ⚠",VLOOKUP(J123,'G-7 Rivers Data'!$AK$4:$AM$9,2,FALSE)))</f>
        <v/>
      </c>
      <c r="L123" s="524" t="str">
        <f>IF(J123="","",IF(VLOOKUP(J123,'G-7 Rivers Data'!$AK$4:$AM$9,3,FALSE)=0,"Spatial Data Missing ⚠",VLOOKUP(J123,'G-7 Rivers Data'!$AK$4:$AM$9,3,FALSE)))</f>
        <v/>
      </c>
      <c r="M123" s="71"/>
      <c r="N123" s="499" t="str">
        <f>IF(M123="","",IF(VLOOKUP(M123,'G-7 Rivers Data'!$AA$4:$AB$7,2,FALSE)=0,"Spatial Data Missing ⚠",VLOOKUP(M123,'G-7 Rivers Data'!$AA$4:$AB$7,2,FALSE)))</f>
        <v/>
      </c>
      <c r="O123" s="155"/>
      <c r="P123" s="499" t="str">
        <f>IF(O123="","",IF(VLOOKUP(O123,'G-7 Rivers Data'!$AD$4:$AE$8,2,FALSE)=0,"Spatial Data Missing ⚠",VLOOKUP(O123,'G-7 Rivers Data'!$AD$4:$AE$8,2,FALSE)))</f>
        <v/>
      </c>
      <c r="Q123" s="506" t="str">
        <f>IF(D123="","",VLOOKUP(D123,'G-7 Rivers Data'!$B$4:$G$8,6,FALSE))</f>
        <v/>
      </c>
      <c r="R123" s="513" t="str">
        <f t="shared" si="8"/>
        <v/>
      </c>
      <c r="S123" s="40"/>
      <c r="T123" s="145"/>
      <c r="U123" s="157"/>
      <c r="V123" s="511" t="str">
        <f t="shared" si="9"/>
        <v/>
      </c>
      <c r="W123" s="511" t="str">
        <f t="shared" si="10"/>
        <v/>
      </c>
      <c r="X123" s="511" t="str">
        <f t="shared" si="11"/>
        <v/>
      </c>
      <c r="Y123" s="515" t="str">
        <f t="shared" si="12"/>
        <v/>
      </c>
      <c r="Z123" s="151"/>
      <c r="AA123" s="152"/>
      <c r="AF123" s="31" t="str">
        <f>IFERROR(INDEX('G-7 Rivers Data'!$AZ$3:$AZ$7,MATCH(D123,'G-7 Rivers Data'!$AY$3:$AY$7,0)),"")</f>
        <v/>
      </c>
      <c r="AG123" s="31">
        <f t="shared" si="13"/>
        <v>0</v>
      </c>
      <c r="AH123" s="156" t="str">
        <f t="shared" si="14"/>
        <v/>
      </c>
      <c r="AI123" s="156" t="str">
        <f t="shared" si="15"/>
        <v/>
      </c>
      <c r="AK123" s="156">
        <v>114</v>
      </c>
      <c r="AM123" s="156" t="str">
        <f t="array" ref="AM123">IFERROR(INDEX($AK$10:$AK$258, MATCH(0, IF(TRUE=$AH$10:$AH$258, COUNTIF($AM$9:$AM122, $AK$10:$AK$258), ""), 0)),"")</f>
        <v/>
      </c>
      <c r="AN123" s="156" t="str">
        <f t="array" ref="AN123">IFERROR(INDEX($AK$10:$AK$258, MATCH(0, IF(TRUE=$AI$10:$AI$258, COUNTIF($AN$9:$AN122, $AK$10:$AK$258), ""), 0)),"")</f>
        <v/>
      </c>
    </row>
    <row r="124" spans="3:40" ht="14" x14ac:dyDescent="0.3">
      <c r="C124" s="141">
        <v>115</v>
      </c>
      <c r="D124" s="462"/>
      <c r="E124" s="153"/>
      <c r="F124" s="498" t="str">
        <f>IF(D124="","",VLOOKUP(D124,'G-7 Rivers Data'!$B$2:$G$8,2,FALSE))</f>
        <v/>
      </c>
      <c r="G124" s="499" t="str">
        <f>IFERROR(VLOOKUP(F124,'G-7 Rivers Data'!$C$4:$D$8,2,FALSE),"")</f>
        <v/>
      </c>
      <c r="H124" s="145"/>
      <c r="I124" s="499" t="str">
        <f>IFERROR(INDEX('G-7 Rivers Data'!$H$4:$L$8,MATCH(D124,'G-7 Rivers Data'!$B$4:$B$8,0),MATCH(H124,'G-7 Rivers Data'!$H$3:$L$3,0)),"")</f>
        <v/>
      </c>
      <c r="J124" s="154"/>
      <c r="K124" s="520" t="str">
        <f>IF(J124="","",IF(VLOOKUP(J124,'G-7 Rivers Data'!$AK$4:$AM$9,2,FALSE)=0,"Spatial Data Missing ⚠",VLOOKUP(J124,'G-7 Rivers Data'!$AK$4:$AM$9,2,FALSE)))</f>
        <v/>
      </c>
      <c r="L124" s="524" t="str">
        <f>IF(J124="","",IF(VLOOKUP(J124,'G-7 Rivers Data'!$AK$4:$AM$9,3,FALSE)=0,"Spatial Data Missing ⚠",VLOOKUP(J124,'G-7 Rivers Data'!$AK$4:$AM$9,3,FALSE)))</f>
        <v/>
      </c>
      <c r="M124" s="71"/>
      <c r="N124" s="499" t="str">
        <f>IF(M124="","",IF(VLOOKUP(M124,'G-7 Rivers Data'!$AA$4:$AB$7,2,FALSE)=0,"Spatial Data Missing ⚠",VLOOKUP(M124,'G-7 Rivers Data'!$AA$4:$AB$7,2,FALSE)))</f>
        <v/>
      </c>
      <c r="O124" s="155"/>
      <c r="P124" s="499" t="str">
        <f>IF(O124="","",IF(VLOOKUP(O124,'G-7 Rivers Data'!$AD$4:$AE$8,2,FALSE)=0,"Spatial Data Missing ⚠",VLOOKUP(O124,'G-7 Rivers Data'!$AD$4:$AE$8,2,FALSE)))</f>
        <v/>
      </c>
      <c r="Q124" s="506" t="str">
        <f>IF(D124="","",VLOOKUP(D124,'G-7 Rivers Data'!$B$4:$G$8,6,FALSE))</f>
        <v/>
      </c>
      <c r="R124" s="513" t="str">
        <f t="shared" si="8"/>
        <v/>
      </c>
      <c r="S124" s="40"/>
      <c r="T124" s="145"/>
      <c r="U124" s="157"/>
      <c r="V124" s="511" t="str">
        <f t="shared" si="9"/>
        <v/>
      </c>
      <c r="W124" s="511" t="str">
        <f t="shared" si="10"/>
        <v/>
      </c>
      <c r="X124" s="511" t="str">
        <f t="shared" si="11"/>
        <v/>
      </c>
      <c r="Y124" s="515" t="str">
        <f t="shared" si="12"/>
        <v/>
      </c>
      <c r="Z124" s="151"/>
      <c r="AA124" s="152"/>
      <c r="AF124" s="31" t="str">
        <f>IFERROR(INDEX('G-7 Rivers Data'!$AZ$3:$AZ$7,MATCH(D124,'G-7 Rivers Data'!$AY$3:$AY$7,0)),"")</f>
        <v/>
      </c>
      <c r="AG124" s="31">
        <f t="shared" si="13"/>
        <v>0</v>
      </c>
      <c r="AH124" s="156" t="str">
        <f t="shared" si="14"/>
        <v/>
      </c>
      <c r="AI124" s="156" t="str">
        <f t="shared" si="15"/>
        <v/>
      </c>
      <c r="AK124" s="156">
        <v>115</v>
      </c>
      <c r="AM124" s="156" t="str">
        <f t="array" ref="AM124">IFERROR(INDEX($AK$10:$AK$258, MATCH(0, IF(TRUE=$AH$10:$AH$258, COUNTIF($AM$9:$AM123, $AK$10:$AK$258), ""), 0)),"")</f>
        <v/>
      </c>
      <c r="AN124" s="156" t="str">
        <f t="array" ref="AN124">IFERROR(INDEX($AK$10:$AK$258, MATCH(0, IF(TRUE=$AI$10:$AI$258, COUNTIF($AN$9:$AN123, $AK$10:$AK$258), ""), 0)),"")</f>
        <v/>
      </c>
    </row>
    <row r="125" spans="3:40" ht="14" x14ac:dyDescent="0.3">
      <c r="C125" s="141">
        <v>116</v>
      </c>
      <c r="D125" s="462"/>
      <c r="E125" s="153"/>
      <c r="F125" s="498" t="str">
        <f>IF(D125="","",VLOOKUP(D125,'G-7 Rivers Data'!$B$2:$G$8,2,FALSE))</f>
        <v/>
      </c>
      <c r="G125" s="499" t="str">
        <f>IFERROR(VLOOKUP(F125,'G-7 Rivers Data'!$C$4:$D$8,2,FALSE),"")</f>
        <v/>
      </c>
      <c r="H125" s="145"/>
      <c r="I125" s="499" t="str">
        <f>IFERROR(INDEX('G-7 Rivers Data'!$H$4:$L$8,MATCH(D125,'G-7 Rivers Data'!$B$4:$B$8,0),MATCH(H125,'G-7 Rivers Data'!$H$3:$L$3,0)),"")</f>
        <v/>
      </c>
      <c r="J125" s="154"/>
      <c r="K125" s="520" t="str">
        <f>IF(J125="","",IF(VLOOKUP(J125,'G-7 Rivers Data'!$AK$4:$AM$9,2,FALSE)=0,"Spatial Data Missing ⚠",VLOOKUP(J125,'G-7 Rivers Data'!$AK$4:$AM$9,2,FALSE)))</f>
        <v/>
      </c>
      <c r="L125" s="524" t="str">
        <f>IF(J125="","",IF(VLOOKUP(J125,'G-7 Rivers Data'!$AK$4:$AM$9,3,FALSE)=0,"Spatial Data Missing ⚠",VLOOKUP(J125,'G-7 Rivers Data'!$AK$4:$AM$9,3,FALSE)))</f>
        <v/>
      </c>
      <c r="M125" s="71"/>
      <c r="N125" s="499" t="str">
        <f>IF(M125="","",IF(VLOOKUP(M125,'G-7 Rivers Data'!$AA$4:$AB$7,2,FALSE)=0,"Spatial Data Missing ⚠",VLOOKUP(M125,'G-7 Rivers Data'!$AA$4:$AB$7,2,FALSE)))</f>
        <v/>
      </c>
      <c r="O125" s="155"/>
      <c r="P125" s="499" t="str">
        <f>IF(O125="","",IF(VLOOKUP(O125,'G-7 Rivers Data'!$AD$4:$AE$8,2,FALSE)=0,"Spatial Data Missing ⚠",VLOOKUP(O125,'G-7 Rivers Data'!$AD$4:$AE$8,2,FALSE)))</f>
        <v/>
      </c>
      <c r="Q125" s="506" t="str">
        <f>IF(D125="","",VLOOKUP(D125,'G-7 Rivers Data'!$B$4:$G$8,6,FALSE))</f>
        <v/>
      </c>
      <c r="R125" s="513" t="str">
        <f t="shared" si="8"/>
        <v/>
      </c>
      <c r="S125" s="40"/>
      <c r="T125" s="145"/>
      <c r="U125" s="157"/>
      <c r="V125" s="511" t="str">
        <f t="shared" si="9"/>
        <v/>
      </c>
      <c r="W125" s="511" t="str">
        <f t="shared" si="10"/>
        <v/>
      </c>
      <c r="X125" s="511" t="str">
        <f t="shared" si="11"/>
        <v/>
      </c>
      <c r="Y125" s="515" t="str">
        <f t="shared" si="12"/>
        <v/>
      </c>
      <c r="Z125" s="151"/>
      <c r="AA125" s="152"/>
      <c r="AF125" s="31" t="str">
        <f>IFERROR(INDEX('G-7 Rivers Data'!$AZ$3:$AZ$7,MATCH(D125,'G-7 Rivers Data'!$AY$3:$AY$7,0)),"")</f>
        <v/>
      </c>
      <c r="AG125" s="31">
        <f t="shared" si="13"/>
        <v>0</v>
      </c>
      <c r="AH125" s="156" t="str">
        <f t="shared" si="14"/>
        <v/>
      </c>
      <c r="AI125" s="156" t="str">
        <f t="shared" si="15"/>
        <v/>
      </c>
      <c r="AK125" s="156">
        <v>116</v>
      </c>
      <c r="AM125" s="156" t="str">
        <f t="array" ref="AM125">IFERROR(INDEX($AK$10:$AK$258, MATCH(0, IF(TRUE=$AH$10:$AH$258, COUNTIF($AM$9:$AM124, $AK$10:$AK$258), ""), 0)),"")</f>
        <v/>
      </c>
      <c r="AN125" s="156" t="str">
        <f t="array" ref="AN125">IFERROR(INDEX($AK$10:$AK$258, MATCH(0, IF(TRUE=$AI$10:$AI$258, COUNTIF($AN$9:$AN124, $AK$10:$AK$258), ""), 0)),"")</f>
        <v/>
      </c>
    </row>
    <row r="126" spans="3:40" ht="14" x14ac:dyDescent="0.3">
      <c r="C126" s="141">
        <v>117</v>
      </c>
      <c r="D126" s="462"/>
      <c r="E126" s="153"/>
      <c r="F126" s="498" t="str">
        <f>IF(D126="","",VLOOKUP(D126,'G-7 Rivers Data'!$B$2:$G$8,2,FALSE))</f>
        <v/>
      </c>
      <c r="G126" s="499" t="str">
        <f>IFERROR(VLOOKUP(F126,'G-7 Rivers Data'!$C$4:$D$8,2,FALSE),"")</f>
        <v/>
      </c>
      <c r="H126" s="145"/>
      <c r="I126" s="499" t="str">
        <f>IFERROR(INDEX('G-7 Rivers Data'!$H$4:$L$8,MATCH(D126,'G-7 Rivers Data'!$B$4:$B$8,0),MATCH(H126,'G-7 Rivers Data'!$H$3:$L$3,0)),"")</f>
        <v/>
      </c>
      <c r="J126" s="154"/>
      <c r="K126" s="520" t="str">
        <f>IF(J126="","",IF(VLOOKUP(J126,'G-7 Rivers Data'!$AK$4:$AM$9,2,FALSE)=0,"Spatial Data Missing ⚠",VLOOKUP(J126,'G-7 Rivers Data'!$AK$4:$AM$9,2,FALSE)))</f>
        <v/>
      </c>
      <c r="L126" s="524" t="str">
        <f>IF(J126="","",IF(VLOOKUP(J126,'G-7 Rivers Data'!$AK$4:$AM$9,3,FALSE)=0,"Spatial Data Missing ⚠",VLOOKUP(J126,'G-7 Rivers Data'!$AK$4:$AM$9,3,FALSE)))</f>
        <v/>
      </c>
      <c r="M126" s="71"/>
      <c r="N126" s="499" t="str">
        <f>IF(M126="","",IF(VLOOKUP(M126,'G-7 Rivers Data'!$AA$4:$AB$7,2,FALSE)=0,"Spatial Data Missing ⚠",VLOOKUP(M126,'G-7 Rivers Data'!$AA$4:$AB$7,2,FALSE)))</f>
        <v/>
      </c>
      <c r="O126" s="155"/>
      <c r="P126" s="499" t="str">
        <f>IF(O126="","",IF(VLOOKUP(O126,'G-7 Rivers Data'!$AD$4:$AE$8,2,FALSE)=0,"Spatial Data Missing ⚠",VLOOKUP(O126,'G-7 Rivers Data'!$AD$4:$AE$8,2,FALSE)))</f>
        <v/>
      </c>
      <c r="Q126" s="506" t="str">
        <f>IF(D126="","",VLOOKUP(D126,'G-7 Rivers Data'!$B$4:$G$8,6,FALSE))</f>
        <v/>
      </c>
      <c r="R126" s="513" t="str">
        <f t="shared" si="8"/>
        <v/>
      </c>
      <c r="S126" s="40"/>
      <c r="T126" s="145"/>
      <c r="U126" s="157"/>
      <c r="V126" s="511" t="str">
        <f t="shared" si="9"/>
        <v/>
      </c>
      <c r="W126" s="511" t="str">
        <f t="shared" si="10"/>
        <v/>
      </c>
      <c r="X126" s="511" t="str">
        <f t="shared" si="11"/>
        <v/>
      </c>
      <c r="Y126" s="515" t="str">
        <f t="shared" si="12"/>
        <v/>
      </c>
      <c r="Z126" s="151"/>
      <c r="AA126" s="152"/>
      <c r="AF126" s="31" t="str">
        <f>IFERROR(INDEX('G-7 Rivers Data'!$AZ$3:$AZ$7,MATCH(D126,'G-7 Rivers Data'!$AY$3:$AY$7,0)),"")</f>
        <v/>
      </c>
      <c r="AG126" s="31">
        <f t="shared" si="13"/>
        <v>0</v>
      </c>
      <c r="AH126" s="156" t="str">
        <f t="shared" si="14"/>
        <v/>
      </c>
      <c r="AI126" s="156" t="str">
        <f t="shared" si="15"/>
        <v/>
      </c>
      <c r="AK126" s="156">
        <v>117</v>
      </c>
      <c r="AM126" s="156" t="str">
        <f t="array" ref="AM126">IFERROR(INDEX($AK$10:$AK$258, MATCH(0, IF(TRUE=$AH$10:$AH$258, COUNTIF($AM$9:$AM125, $AK$10:$AK$258), ""), 0)),"")</f>
        <v/>
      </c>
      <c r="AN126" s="156" t="str">
        <f t="array" ref="AN126">IFERROR(INDEX($AK$10:$AK$258, MATCH(0, IF(TRUE=$AI$10:$AI$258, COUNTIF($AN$9:$AN125, $AK$10:$AK$258), ""), 0)),"")</f>
        <v/>
      </c>
    </row>
    <row r="127" spans="3:40" ht="14" x14ac:dyDescent="0.3">
      <c r="C127" s="141">
        <v>118</v>
      </c>
      <c r="D127" s="462"/>
      <c r="E127" s="153"/>
      <c r="F127" s="498" t="str">
        <f>IF(D127="","",VLOOKUP(D127,'G-7 Rivers Data'!$B$2:$G$8,2,FALSE))</f>
        <v/>
      </c>
      <c r="G127" s="499" t="str">
        <f>IFERROR(VLOOKUP(F127,'G-7 Rivers Data'!$C$4:$D$8,2,FALSE),"")</f>
        <v/>
      </c>
      <c r="H127" s="145"/>
      <c r="I127" s="499" t="str">
        <f>IFERROR(INDEX('G-7 Rivers Data'!$H$4:$L$8,MATCH(D127,'G-7 Rivers Data'!$B$4:$B$8,0),MATCH(H127,'G-7 Rivers Data'!$H$3:$L$3,0)),"")</f>
        <v/>
      </c>
      <c r="J127" s="154"/>
      <c r="K127" s="520" t="str">
        <f>IF(J127="","",IF(VLOOKUP(J127,'G-7 Rivers Data'!$AK$4:$AM$9,2,FALSE)=0,"Spatial Data Missing ⚠",VLOOKUP(J127,'G-7 Rivers Data'!$AK$4:$AM$9,2,FALSE)))</f>
        <v/>
      </c>
      <c r="L127" s="524" t="str">
        <f>IF(J127="","",IF(VLOOKUP(J127,'G-7 Rivers Data'!$AK$4:$AM$9,3,FALSE)=0,"Spatial Data Missing ⚠",VLOOKUP(J127,'G-7 Rivers Data'!$AK$4:$AM$9,3,FALSE)))</f>
        <v/>
      </c>
      <c r="M127" s="71"/>
      <c r="N127" s="499" t="str">
        <f>IF(M127="","",IF(VLOOKUP(M127,'G-7 Rivers Data'!$AA$4:$AB$7,2,FALSE)=0,"Spatial Data Missing ⚠",VLOOKUP(M127,'G-7 Rivers Data'!$AA$4:$AB$7,2,FALSE)))</f>
        <v/>
      </c>
      <c r="O127" s="155"/>
      <c r="P127" s="499" t="str">
        <f>IF(O127="","",IF(VLOOKUP(O127,'G-7 Rivers Data'!$AD$4:$AE$8,2,FALSE)=0,"Spatial Data Missing ⚠",VLOOKUP(O127,'G-7 Rivers Data'!$AD$4:$AE$8,2,FALSE)))</f>
        <v/>
      </c>
      <c r="Q127" s="506" t="str">
        <f>IF(D127="","",VLOOKUP(D127,'G-7 Rivers Data'!$B$4:$G$8,6,FALSE))</f>
        <v/>
      </c>
      <c r="R127" s="513" t="str">
        <f t="shared" si="8"/>
        <v/>
      </c>
      <c r="S127" s="40"/>
      <c r="T127" s="145"/>
      <c r="U127" s="157"/>
      <c r="V127" s="511" t="str">
        <f t="shared" si="9"/>
        <v/>
      </c>
      <c r="W127" s="511" t="str">
        <f t="shared" si="10"/>
        <v/>
      </c>
      <c r="X127" s="511" t="str">
        <f t="shared" si="11"/>
        <v/>
      </c>
      <c r="Y127" s="515" t="str">
        <f t="shared" si="12"/>
        <v/>
      </c>
      <c r="Z127" s="151"/>
      <c r="AA127" s="152"/>
      <c r="AF127" s="31" t="str">
        <f>IFERROR(INDEX('G-7 Rivers Data'!$AZ$3:$AZ$7,MATCH(D127,'G-7 Rivers Data'!$AY$3:$AY$7,0)),"")</f>
        <v/>
      </c>
      <c r="AG127" s="31">
        <f t="shared" si="13"/>
        <v>0</v>
      </c>
      <c r="AH127" s="156" t="str">
        <f t="shared" si="14"/>
        <v/>
      </c>
      <c r="AI127" s="156" t="str">
        <f t="shared" si="15"/>
        <v/>
      </c>
      <c r="AK127" s="156">
        <v>118</v>
      </c>
      <c r="AM127" s="156" t="str">
        <f t="array" ref="AM127">IFERROR(INDEX($AK$10:$AK$258, MATCH(0, IF(TRUE=$AH$10:$AH$258, COUNTIF($AM$9:$AM126, $AK$10:$AK$258), ""), 0)),"")</f>
        <v/>
      </c>
      <c r="AN127" s="156" t="str">
        <f t="array" ref="AN127">IFERROR(INDEX($AK$10:$AK$258, MATCH(0, IF(TRUE=$AI$10:$AI$258, COUNTIF($AN$9:$AN126, $AK$10:$AK$258), ""), 0)),"")</f>
        <v/>
      </c>
    </row>
    <row r="128" spans="3:40" ht="14" x14ac:dyDescent="0.3">
      <c r="C128" s="141">
        <v>119</v>
      </c>
      <c r="D128" s="462"/>
      <c r="E128" s="153"/>
      <c r="F128" s="498" t="str">
        <f>IF(D128="","",VLOOKUP(D128,'G-7 Rivers Data'!$B$2:$G$8,2,FALSE))</f>
        <v/>
      </c>
      <c r="G128" s="499" t="str">
        <f>IFERROR(VLOOKUP(F128,'G-7 Rivers Data'!$C$4:$D$8,2,FALSE),"")</f>
        <v/>
      </c>
      <c r="H128" s="145"/>
      <c r="I128" s="499" t="str">
        <f>IFERROR(INDEX('G-7 Rivers Data'!$H$4:$L$8,MATCH(D128,'G-7 Rivers Data'!$B$4:$B$8,0),MATCH(H128,'G-7 Rivers Data'!$H$3:$L$3,0)),"")</f>
        <v/>
      </c>
      <c r="J128" s="154"/>
      <c r="K128" s="520" t="str">
        <f>IF(J128="","",IF(VLOOKUP(J128,'G-7 Rivers Data'!$AK$4:$AM$9,2,FALSE)=0,"Spatial Data Missing ⚠",VLOOKUP(J128,'G-7 Rivers Data'!$AK$4:$AM$9,2,FALSE)))</f>
        <v/>
      </c>
      <c r="L128" s="524" t="str">
        <f>IF(J128="","",IF(VLOOKUP(J128,'G-7 Rivers Data'!$AK$4:$AM$9,3,FALSE)=0,"Spatial Data Missing ⚠",VLOOKUP(J128,'G-7 Rivers Data'!$AK$4:$AM$9,3,FALSE)))</f>
        <v/>
      </c>
      <c r="M128" s="71"/>
      <c r="N128" s="499" t="str">
        <f>IF(M128="","",IF(VLOOKUP(M128,'G-7 Rivers Data'!$AA$4:$AB$7,2,FALSE)=0,"Spatial Data Missing ⚠",VLOOKUP(M128,'G-7 Rivers Data'!$AA$4:$AB$7,2,FALSE)))</f>
        <v/>
      </c>
      <c r="O128" s="155"/>
      <c r="P128" s="499" t="str">
        <f>IF(O128="","",IF(VLOOKUP(O128,'G-7 Rivers Data'!$AD$4:$AE$8,2,FALSE)=0,"Spatial Data Missing ⚠",VLOOKUP(O128,'G-7 Rivers Data'!$AD$4:$AE$8,2,FALSE)))</f>
        <v/>
      </c>
      <c r="Q128" s="506" t="str">
        <f>IF(D128="","",VLOOKUP(D128,'G-7 Rivers Data'!$B$4:$G$8,6,FALSE))</f>
        <v/>
      </c>
      <c r="R128" s="513" t="str">
        <f t="shared" si="8"/>
        <v/>
      </c>
      <c r="S128" s="40"/>
      <c r="T128" s="145"/>
      <c r="U128" s="157"/>
      <c r="V128" s="511" t="str">
        <f t="shared" si="9"/>
        <v/>
      </c>
      <c r="W128" s="511" t="str">
        <f t="shared" si="10"/>
        <v/>
      </c>
      <c r="X128" s="511" t="str">
        <f t="shared" si="11"/>
        <v/>
      </c>
      <c r="Y128" s="515" t="str">
        <f t="shared" si="12"/>
        <v/>
      </c>
      <c r="Z128" s="151"/>
      <c r="AA128" s="152"/>
      <c r="AF128" s="31" t="str">
        <f>IFERROR(INDEX('G-7 Rivers Data'!$AZ$3:$AZ$7,MATCH(D128,'G-7 Rivers Data'!$AY$3:$AY$7,0)),"")</f>
        <v/>
      </c>
      <c r="AG128" s="31">
        <f t="shared" si="13"/>
        <v>0</v>
      </c>
      <c r="AH128" s="156" t="str">
        <f t="shared" si="14"/>
        <v/>
      </c>
      <c r="AI128" s="156" t="str">
        <f t="shared" si="15"/>
        <v/>
      </c>
      <c r="AK128" s="156">
        <v>119</v>
      </c>
      <c r="AM128" s="156" t="str">
        <f t="array" ref="AM128">IFERROR(INDEX($AK$10:$AK$258, MATCH(0, IF(TRUE=$AH$10:$AH$258, COUNTIF($AM$9:$AM127, $AK$10:$AK$258), ""), 0)),"")</f>
        <v/>
      </c>
      <c r="AN128" s="156" t="str">
        <f t="array" ref="AN128">IFERROR(INDEX($AK$10:$AK$258, MATCH(0, IF(TRUE=$AI$10:$AI$258, COUNTIF($AN$9:$AN127, $AK$10:$AK$258), ""), 0)),"")</f>
        <v/>
      </c>
    </row>
    <row r="129" spans="3:40" ht="14" x14ac:dyDescent="0.3">
      <c r="C129" s="141">
        <v>120</v>
      </c>
      <c r="D129" s="462"/>
      <c r="E129" s="153"/>
      <c r="F129" s="498" t="str">
        <f>IF(D129="","",VLOOKUP(D129,'G-7 Rivers Data'!$B$2:$G$8,2,FALSE))</f>
        <v/>
      </c>
      <c r="G129" s="499" t="str">
        <f>IFERROR(VLOOKUP(F129,'G-7 Rivers Data'!$C$4:$D$8,2,FALSE),"")</f>
        <v/>
      </c>
      <c r="H129" s="145"/>
      <c r="I129" s="499" t="str">
        <f>IFERROR(INDEX('G-7 Rivers Data'!$H$4:$L$8,MATCH(D129,'G-7 Rivers Data'!$B$4:$B$8,0),MATCH(H129,'G-7 Rivers Data'!$H$3:$L$3,0)),"")</f>
        <v/>
      </c>
      <c r="J129" s="154"/>
      <c r="K129" s="520" t="str">
        <f>IF(J129="","",IF(VLOOKUP(J129,'G-7 Rivers Data'!$AK$4:$AM$9,2,FALSE)=0,"Spatial Data Missing ⚠",VLOOKUP(J129,'G-7 Rivers Data'!$AK$4:$AM$9,2,FALSE)))</f>
        <v/>
      </c>
      <c r="L129" s="524" t="str">
        <f>IF(J129="","",IF(VLOOKUP(J129,'G-7 Rivers Data'!$AK$4:$AM$9,3,FALSE)=0,"Spatial Data Missing ⚠",VLOOKUP(J129,'G-7 Rivers Data'!$AK$4:$AM$9,3,FALSE)))</f>
        <v/>
      </c>
      <c r="M129" s="71"/>
      <c r="N129" s="499" t="str">
        <f>IF(M129="","",IF(VLOOKUP(M129,'G-7 Rivers Data'!$AA$4:$AB$7,2,FALSE)=0,"Spatial Data Missing ⚠",VLOOKUP(M129,'G-7 Rivers Data'!$AA$4:$AB$7,2,FALSE)))</f>
        <v/>
      </c>
      <c r="O129" s="155"/>
      <c r="P129" s="499" t="str">
        <f>IF(O129="","",IF(VLOOKUP(O129,'G-7 Rivers Data'!$AD$4:$AE$8,2,FALSE)=0,"Spatial Data Missing ⚠",VLOOKUP(O129,'G-7 Rivers Data'!$AD$4:$AE$8,2,FALSE)))</f>
        <v/>
      </c>
      <c r="Q129" s="506" t="str">
        <f>IF(D129="","",VLOOKUP(D129,'G-7 Rivers Data'!$B$4:$G$8,6,FALSE))</f>
        <v/>
      </c>
      <c r="R129" s="513" t="str">
        <f t="shared" si="8"/>
        <v/>
      </c>
      <c r="S129" s="40"/>
      <c r="T129" s="145"/>
      <c r="U129" s="157"/>
      <c r="V129" s="511" t="str">
        <f t="shared" si="9"/>
        <v/>
      </c>
      <c r="W129" s="511" t="str">
        <f t="shared" si="10"/>
        <v/>
      </c>
      <c r="X129" s="511" t="str">
        <f t="shared" si="11"/>
        <v/>
      </c>
      <c r="Y129" s="515" t="str">
        <f t="shared" si="12"/>
        <v/>
      </c>
      <c r="Z129" s="151"/>
      <c r="AA129" s="152"/>
      <c r="AF129" s="31" t="str">
        <f>IFERROR(INDEX('G-7 Rivers Data'!$AZ$3:$AZ$7,MATCH(D129,'G-7 Rivers Data'!$AY$3:$AY$7,0)),"")</f>
        <v/>
      </c>
      <c r="AG129" s="31">
        <f t="shared" si="13"/>
        <v>0</v>
      </c>
      <c r="AH129" s="156" t="str">
        <f t="shared" si="14"/>
        <v/>
      </c>
      <c r="AI129" s="156" t="str">
        <f t="shared" si="15"/>
        <v/>
      </c>
      <c r="AK129" s="156">
        <v>120</v>
      </c>
      <c r="AM129" s="156" t="str">
        <f t="array" ref="AM129">IFERROR(INDEX($AK$10:$AK$258, MATCH(0, IF(TRUE=$AH$10:$AH$258, COUNTIF($AM$9:$AM128, $AK$10:$AK$258), ""), 0)),"")</f>
        <v/>
      </c>
      <c r="AN129" s="156" t="str">
        <f t="array" ref="AN129">IFERROR(INDEX($AK$10:$AK$258, MATCH(0, IF(TRUE=$AI$10:$AI$258, COUNTIF($AN$9:$AN128, $AK$10:$AK$258), ""), 0)),"")</f>
        <v/>
      </c>
    </row>
    <row r="130" spans="3:40" ht="14" x14ac:dyDescent="0.3">
      <c r="C130" s="141">
        <v>121</v>
      </c>
      <c r="D130" s="462"/>
      <c r="E130" s="153"/>
      <c r="F130" s="498" t="str">
        <f>IF(D130="","",VLOOKUP(D130,'G-7 Rivers Data'!$B$2:$G$8,2,FALSE))</f>
        <v/>
      </c>
      <c r="G130" s="499" t="str">
        <f>IFERROR(VLOOKUP(F130,'G-7 Rivers Data'!$C$4:$D$8,2,FALSE),"")</f>
        <v/>
      </c>
      <c r="H130" s="145"/>
      <c r="I130" s="499" t="str">
        <f>IFERROR(INDEX('G-7 Rivers Data'!$H$4:$L$8,MATCH(D130,'G-7 Rivers Data'!$B$4:$B$8,0),MATCH(H130,'G-7 Rivers Data'!$H$3:$L$3,0)),"")</f>
        <v/>
      </c>
      <c r="J130" s="154"/>
      <c r="K130" s="520" t="str">
        <f>IF(J130="","",IF(VLOOKUP(J130,'G-7 Rivers Data'!$AK$4:$AM$9,2,FALSE)=0,"Spatial Data Missing ⚠",VLOOKUP(J130,'G-7 Rivers Data'!$AK$4:$AM$9,2,FALSE)))</f>
        <v/>
      </c>
      <c r="L130" s="524" t="str">
        <f>IF(J130="","",IF(VLOOKUP(J130,'G-7 Rivers Data'!$AK$4:$AM$9,3,FALSE)=0,"Spatial Data Missing ⚠",VLOOKUP(J130,'G-7 Rivers Data'!$AK$4:$AM$9,3,FALSE)))</f>
        <v/>
      </c>
      <c r="M130" s="71"/>
      <c r="N130" s="499" t="str">
        <f>IF(M130="","",IF(VLOOKUP(M130,'G-7 Rivers Data'!$AA$4:$AB$7,2,FALSE)=0,"Spatial Data Missing ⚠",VLOOKUP(M130,'G-7 Rivers Data'!$AA$4:$AB$7,2,FALSE)))</f>
        <v/>
      </c>
      <c r="O130" s="155"/>
      <c r="P130" s="499" t="str">
        <f>IF(O130="","",IF(VLOOKUP(O130,'G-7 Rivers Data'!$AD$4:$AE$8,2,FALSE)=0,"Spatial Data Missing ⚠",VLOOKUP(O130,'G-7 Rivers Data'!$AD$4:$AE$8,2,FALSE)))</f>
        <v/>
      </c>
      <c r="Q130" s="506" t="str">
        <f>IF(D130="","",VLOOKUP(D130,'G-7 Rivers Data'!$B$4:$G$8,6,FALSE))</f>
        <v/>
      </c>
      <c r="R130" s="513" t="str">
        <f t="shared" si="8"/>
        <v/>
      </c>
      <c r="S130" s="40"/>
      <c r="T130" s="145"/>
      <c r="U130" s="157"/>
      <c r="V130" s="511" t="str">
        <f t="shared" si="9"/>
        <v/>
      </c>
      <c r="W130" s="511" t="str">
        <f t="shared" si="10"/>
        <v/>
      </c>
      <c r="X130" s="511" t="str">
        <f t="shared" si="11"/>
        <v/>
      </c>
      <c r="Y130" s="515" t="str">
        <f t="shared" si="12"/>
        <v/>
      </c>
      <c r="Z130" s="151"/>
      <c r="AA130" s="152"/>
      <c r="AF130" s="31" t="str">
        <f>IFERROR(INDEX('G-7 Rivers Data'!$AZ$3:$AZ$7,MATCH(D130,'G-7 Rivers Data'!$AY$3:$AY$7,0)),"")</f>
        <v/>
      </c>
      <c r="AG130" s="31">
        <f t="shared" si="13"/>
        <v>0</v>
      </c>
      <c r="AH130" s="156" t="str">
        <f t="shared" si="14"/>
        <v/>
      </c>
      <c r="AI130" s="156" t="str">
        <f t="shared" si="15"/>
        <v/>
      </c>
      <c r="AK130" s="156">
        <v>121</v>
      </c>
      <c r="AM130" s="156" t="str">
        <f t="array" ref="AM130">IFERROR(INDEX($AK$10:$AK$258, MATCH(0, IF(TRUE=$AH$10:$AH$258, COUNTIF($AM$9:$AM129, $AK$10:$AK$258), ""), 0)),"")</f>
        <v/>
      </c>
      <c r="AN130" s="156" t="str">
        <f t="array" ref="AN130">IFERROR(INDEX($AK$10:$AK$258, MATCH(0, IF(TRUE=$AI$10:$AI$258, COUNTIF($AN$9:$AN129, $AK$10:$AK$258), ""), 0)),"")</f>
        <v/>
      </c>
    </row>
    <row r="131" spans="3:40" ht="14" x14ac:dyDescent="0.3">
      <c r="C131" s="141">
        <v>122</v>
      </c>
      <c r="D131" s="462"/>
      <c r="E131" s="153"/>
      <c r="F131" s="498" t="str">
        <f>IF(D131="","",VLOOKUP(D131,'G-7 Rivers Data'!$B$2:$G$8,2,FALSE))</f>
        <v/>
      </c>
      <c r="G131" s="499" t="str">
        <f>IFERROR(VLOOKUP(F131,'G-7 Rivers Data'!$C$4:$D$8,2,FALSE),"")</f>
        <v/>
      </c>
      <c r="H131" s="145"/>
      <c r="I131" s="499" t="str">
        <f>IFERROR(INDEX('G-7 Rivers Data'!$H$4:$L$8,MATCH(D131,'G-7 Rivers Data'!$B$4:$B$8,0),MATCH(H131,'G-7 Rivers Data'!$H$3:$L$3,0)),"")</f>
        <v/>
      </c>
      <c r="J131" s="154"/>
      <c r="K131" s="520" t="str">
        <f>IF(J131="","",IF(VLOOKUP(J131,'G-7 Rivers Data'!$AK$4:$AM$9,2,FALSE)=0,"Spatial Data Missing ⚠",VLOOKUP(J131,'G-7 Rivers Data'!$AK$4:$AM$9,2,FALSE)))</f>
        <v/>
      </c>
      <c r="L131" s="524" t="str">
        <f>IF(J131="","",IF(VLOOKUP(J131,'G-7 Rivers Data'!$AK$4:$AM$9,3,FALSE)=0,"Spatial Data Missing ⚠",VLOOKUP(J131,'G-7 Rivers Data'!$AK$4:$AM$9,3,FALSE)))</f>
        <v/>
      </c>
      <c r="M131" s="71"/>
      <c r="N131" s="499" t="str">
        <f>IF(M131="","",IF(VLOOKUP(M131,'G-7 Rivers Data'!$AA$4:$AB$7,2,FALSE)=0,"Spatial Data Missing ⚠",VLOOKUP(M131,'G-7 Rivers Data'!$AA$4:$AB$7,2,FALSE)))</f>
        <v/>
      </c>
      <c r="O131" s="155"/>
      <c r="P131" s="499" t="str">
        <f>IF(O131="","",IF(VLOOKUP(O131,'G-7 Rivers Data'!$AD$4:$AE$8,2,FALSE)=0,"Spatial Data Missing ⚠",VLOOKUP(O131,'G-7 Rivers Data'!$AD$4:$AE$8,2,FALSE)))</f>
        <v/>
      </c>
      <c r="Q131" s="506" t="str">
        <f>IF(D131="","",VLOOKUP(D131,'G-7 Rivers Data'!$B$4:$G$8,6,FALSE))</f>
        <v/>
      </c>
      <c r="R131" s="513" t="str">
        <f t="shared" si="8"/>
        <v/>
      </c>
      <c r="S131" s="40"/>
      <c r="T131" s="145"/>
      <c r="U131" s="157"/>
      <c r="V131" s="511" t="str">
        <f t="shared" si="9"/>
        <v/>
      </c>
      <c r="W131" s="511" t="str">
        <f t="shared" si="10"/>
        <v/>
      </c>
      <c r="X131" s="511" t="str">
        <f t="shared" si="11"/>
        <v/>
      </c>
      <c r="Y131" s="515" t="str">
        <f t="shared" si="12"/>
        <v/>
      </c>
      <c r="Z131" s="151"/>
      <c r="AA131" s="152"/>
      <c r="AF131" s="31" t="str">
        <f>IFERROR(INDEX('G-7 Rivers Data'!$AZ$3:$AZ$7,MATCH(D131,'G-7 Rivers Data'!$AY$3:$AY$7,0)),"")</f>
        <v/>
      </c>
      <c r="AG131" s="31">
        <f t="shared" si="13"/>
        <v>0</v>
      </c>
      <c r="AH131" s="156" t="str">
        <f t="shared" si="14"/>
        <v/>
      </c>
      <c r="AI131" s="156" t="str">
        <f t="shared" si="15"/>
        <v/>
      </c>
      <c r="AK131" s="156">
        <v>122</v>
      </c>
      <c r="AM131" s="156" t="str">
        <f t="array" ref="AM131">IFERROR(INDEX($AK$10:$AK$258, MATCH(0, IF(TRUE=$AH$10:$AH$258, COUNTIF($AM$9:$AM130, $AK$10:$AK$258), ""), 0)),"")</f>
        <v/>
      </c>
      <c r="AN131" s="156" t="str">
        <f t="array" ref="AN131">IFERROR(INDEX($AK$10:$AK$258, MATCH(0, IF(TRUE=$AI$10:$AI$258, COUNTIF($AN$9:$AN130, $AK$10:$AK$258), ""), 0)),"")</f>
        <v/>
      </c>
    </row>
    <row r="132" spans="3:40" ht="14" x14ac:dyDescent="0.3">
      <c r="C132" s="141">
        <v>123</v>
      </c>
      <c r="D132" s="462"/>
      <c r="E132" s="153"/>
      <c r="F132" s="498" t="str">
        <f>IF(D132="","",VLOOKUP(D132,'G-7 Rivers Data'!$B$2:$G$8,2,FALSE))</f>
        <v/>
      </c>
      <c r="G132" s="499" t="str">
        <f>IFERROR(VLOOKUP(F132,'G-7 Rivers Data'!$C$4:$D$8,2,FALSE),"")</f>
        <v/>
      </c>
      <c r="H132" s="145"/>
      <c r="I132" s="499" t="str">
        <f>IFERROR(INDEX('G-7 Rivers Data'!$H$4:$L$8,MATCH(D132,'G-7 Rivers Data'!$B$4:$B$8,0),MATCH(H132,'G-7 Rivers Data'!$H$3:$L$3,0)),"")</f>
        <v/>
      </c>
      <c r="J132" s="154"/>
      <c r="K132" s="520" t="str">
        <f>IF(J132="","",IF(VLOOKUP(J132,'G-7 Rivers Data'!$AK$4:$AM$9,2,FALSE)=0,"Spatial Data Missing ⚠",VLOOKUP(J132,'G-7 Rivers Data'!$AK$4:$AM$9,2,FALSE)))</f>
        <v/>
      </c>
      <c r="L132" s="524" t="str">
        <f>IF(J132="","",IF(VLOOKUP(J132,'G-7 Rivers Data'!$AK$4:$AM$9,3,FALSE)=0,"Spatial Data Missing ⚠",VLOOKUP(J132,'G-7 Rivers Data'!$AK$4:$AM$9,3,FALSE)))</f>
        <v/>
      </c>
      <c r="M132" s="71"/>
      <c r="N132" s="499" t="str">
        <f>IF(M132="","",IF(VLOOKUP(M132,'G-7 Rivers Data'!$AA$4:$AB$7,2,FALSE)=0,"Spatial Data Missing ⚠",VLOOKUP(M132,'G-7 Rivers Data'!$AA$4:$AB$7,2,FALSE)))</f>
        <v/>
      </c>
      <c r="O132" s="155"/>
      <c r="P132" s="499" t="str">
        <f>IF(O132="","",IF(VLOOKUP(O132,'G-7 Rivers Data'!$AD$4:$AE$8,2,FALSE)=0,"Spatial Data Missing ⚠",VLOOKUP(O132,'G-7 Rivers Data'!$AD$4:$AE$8,2,FALSE)))</f>
        <v/>
      </c>
      <c r="Q132" s="506" t="str">
        <f>IF(D132="","",VLOOKUP(D132,'G-7 Rivers Data'!$B$4:$G$8,6,FALSE))</f>
        <v/>
      </c>
      <c r="R132" s="513" t="str">
        <f t="shared" si="8"/>
        <v/>
      </c>
      <c r="S132" s="40"/>
      <c r="T132" s="145"/>
      <c r="U132" s="157"/>
      <c r="V132" s="511" t="str">
        <f t="shared" si="9"/>
        <v/>
      </c>
      <c r="W132" s="511" t="str">
        <f t="shared" si="10"/>
        <v/>
      </c>
      <c r="X132" s="511" t="str">
        <f t="shared" si="11"/>
        <v/>
      </c>
      <c r="Y132" s="515" t="str">
        <f t="shared" si="12"/>
        <v/>
      </c>
      <c r="Z132" s="151"/>
      <c r="AA132" s="152"/>
      <c r="AF132" s="31" t="str">
        <f>IFERROR(INDEX('G-7 Rivers Data'!$AZ$3:$AZ$7,MATCH(D132,'G-7 Rivers Data'!$AY$3:$AY$7,0)),"")</f>
        <v/>
      </c>
      <c r="AG132" s="31">
        <f t="shared" si="13"/>
        <v>0</v>
      </c>
      <c r="AH132" s="156" t="str">
        <f t="shared" si="14"/>
        <v/>
      </c>
      <c r="AI132" s="156" t="str">
        <f t="shared" si="15"/>
        <v/>
      </c>
      <c r="AK132" s="156">
        <v>123</v>
      </c>
      <c r="AM132" s="156" t="str">
        <f t="array" ref="AM132">IFERROR(INDEX($AK$10:$AK$258, MATCH(0, IF(TRUE=$AH$10:$AH$258, COUNTIF($AM$9:$AM131, $AK$10:$AK$258), ""), 0)),"")</f>
        <v/>
      </c>
      <c r="AN132" s="156" t="str">
        <f t="array" ref="AN132">IFERROR(INDEX($AK$10:$AK$258, MATCH(0, IF(TRUE=$AI$10:$AI$258, COUNTIF($AN$9:$AN131, $AK$10:$AK$258), ""), 0)),"")</f>
        <v/>
      </c>
    </row>
    <row r="133" spans="3:40" ht="14" x14ac:dyDescent="0.3">
      <c r="C133" s="141">
        <v>124</v>
      </c>
      <c r="D133" s="462"/>
      <c r="E133" s="153"/>
      <c r="F133" s="498" t="str">
        <f>IF(D133="","",VLOOKUP(D133,'G-7 Rivers Data'!$B$2:$G$8,2,FALSE))</f>
        <v/>
      </c>
      <c r="G133" s="499" t="str">
        <f>IFERROR(VLOOKUP(F133,'G-7 Rivers Data'!$C$4:$D$8,2,FALSE),"")</f>
        <v/>
      </c>
      <c r="H133" s="145"/>
      <c r="I133" s="499" t="str">
        <f>IFERROR(INDEX('G-7 Rivers Data'!$H$4:$L$8,MATCH(D133,'G-7 Rivers Data'!$B$4:$B$8,0),MATCH(H133,'G-7 Rivers Data'!$H$3:$L$3,0)),"")</f>
        <v/>
      </c>
      <c r="J133" s="154"/>
      <c r="K133" s="520" t="str">
        <f>IF(J133="","",IF(VLOOKUP(J133,'G-7 Rivers Data'!$AK$4:$AM$9,2,FALSE)=0,"Spatial Data Missing ⚠",VLOOKUP(J133,'G-7 Rivers Data'!$AK$4:$AM$9,2,FALSE)))</f>
        <v/>
      </c>
      <c r="L133" s="524" t="str">
        <f>IF(J133="","",IF(VLOOKUP(J133,'G-7 Rivers Data'!$AK$4:$AM$9,3,FALSE)=0,"Spatial Data Missing ⚠",VLOOKUP(J133,'G-7 Rivers Data'!$AK$4:$AM$9,3,FALSE)))</f>
        <v/>
      </c>
      <c r="M133" s="71"/>
      <c r="N133" s="499" t="str">
        <f>IF(M133="","",IF(VLOOKUP(M133,'G-7 Rivers Data'!$AA$4:$AB$7,2,FALSE)=0,"Spatial Data Missing ⚠",VLOOKUP(M133,'G-7 Rivers Data'!$AA$4:$AB$7,2,FALSE)))</f>
        <v/>
      </c>
      <c r="O133" s="155"/>
      <c r="P133" s="499" t="str">
        <f>IF(O133="","",IF(VLOOKUP(O133,'G-7 Rivers Data'!$AD$4:$AE$8,2,FALSE)=0,"Spatial Data Missing ⚠",VLOOKUP(O133,'G-7 Rivers Data'!$AD$4:$AE$8,2,FALSE)))</f>
        <v/>
      </c>
      <c r="Q133" s="506" t="str">
        <f>IF(D133="","",VLOOKUP(D133,'G-7 Rivers Data'!$B$4:$G$8,6,FALSE))</f>
        <v/>
      </c>
      <c r="R133" s="513" t="str">
        <f t="shared" si="8"/>
        <v/>
      </c>
      <c r="S133" s="40"/>
      <c r="T133" s="145"/>
      <c r="U133" s="157"/>
      <c r="V133" s="511" t="str">
        <f t="shared" si="9"/>
        <v/>
      </c>
      <c r="W133" s="511" t="str">
        <f t="shared" si="10"/>
        <v/>
      </c>
      <c r="X133" s="511" t="str">
        <f t="shared" si="11"/>
        <v/>
      </c>
      <c r="Y133" s="515" t="str">
        <f t="shared" si="12"/>
        <v/>
      </c>
      <c r="Z133" s="151"/>
      <c r="AA133" s="152"/>
      <c r="AF133" s="31" t="str">
        <f>IFERROR(INDEX('G-7 Rivers Data'!$AZ$3:$AZ$7,MATCH(D133,'G-7 Rivers Data'!$AY$3:$AY$7,0)),"")</f>
        <v/>
      </c>
      <c r="AG133" s="31">
        <f t="shared" si="13"/>
        <v>0</v>
      </c>
      <c r="AH133" s="156" t="str">
        <f t="shared" si="14"/>
        <v/>
      </c>
      <c r="AI133" s="156" t="str">
        <f t="shared" si="15"/>
        <v/>
      </c>
      <c r="AK133" s="156">
        <v>124</v>
      </c>
      <c r="AM133" s="156" t="str">
        <f t="array" ref="AM133">IFERROR(INDEX($AK$10:$AK$258, MATCH(0, IF(TRUE=$AH$10:$AH$258, COUNTIF($AM$9:$AM132, $AK$10:$AK$258), ""), 0)),"")</f>
        <v/>
      </c>
      <c r="AN133" s="156" t="str">
        <f t="array" ref="AN133">IFERROR(INDEX($AK$10:$AK$258, MATCH(0, IF(TRUE=$AI$10:$AI$258, COUNTIF($AN$9:$AN132, $AK$10:$AK$258), ""), 0)),"")</f>
        <v/>
      </c>
    </row>
    <row r="134" spans="3:40" ht="14" x14ac:dyDescent="0.3">
      <c r="C134" s="141">
        <v>125</v>
      </c>
      <c r="D134" s="462"/>
      <c r="E134" s="153"/>
      <c r="F134" s="498" t="str">
        <f>IF(D134="","",VLOOKUP(D134,'G-7 Rivers Data'!$B$2:$G$8,2,FALSE))</f>
        <v/>
      </c>
      <c r="G134" s="499" t="str">
        <f>IFERROR(VLOOKUP(F134,'G-7 Rivers Data'!$C$4:$D$8,2,FALSE),"")</f>
        <v/>
      </c>
      <c r="H134" s="145"/>
      <c r="I134" s="499" t="str">
        <f>IFERROR(INDEX('G-7 Rivers Data'!$H$4:$L$8,MATCH(D134,'G-7 Rivers Data'!$B$4:$B$8,0),MATCH(H134,'G-7 Rivers Data'!$H$3:$L$3,0)),"")</f>
        <v/>
      </c>
      <c r="J134" s="154"/>
      <c r="K134" s="520" t="str">
        <f>IF(J134="","",IF(VLOOKUP(J134,'G-7 Rivers Data'!$AK$4:$AM$9,2,FALSE)=0,"Spatial Data Missing ⚠",VLOOKUP(J134,'G-7 Rivers Data'!$AK$4:$AM$9,2,FALSE)))</f>
        <v/>
      </c>
      <c r="L134" s="524" t="str">
        <f>IF(J134="","",IF(VLOOKUP(J134,'G-7 Rivers Data'!$AK$4:$AM$9,3,FALSE)=0,"Spatial Data Missing ⚠",VLOOKUP(J134,'G-7 Rivers Data'!$AK$4:$AM$9,3,FALSE)))</f>
        <v/>
      </c>
      <c r="M134" s="71"/>
      <c r="N134" s="499" t="str">
        <f>IF(M134="","",IF(VLOOKUP(M134,'G-7 Rivers Data'!$AA$4:$AB$7,2,FALSE)=0,"Spatial Data Missing ⚠",VLOOKUP(M134,'G-7 Rivers Data'!$AA$4:$AB$7,2,FALSE)))</f>
        <v/>
      </c>
      <c r="O134" s="155"/>
      <c r="P134" s="499" t="str">
        <f>IF(O134="","",IF(VLOOKUP(O134,'G-7 Rivers Data'!$AD$4:$AE$8,2,FALSE)=0,"Spatial Data Missing ⚠",VLOOKUP(O134,'G-7 Rivers Data'!$AD$4:$AE$8,2,FALSE)))</f>
        <v/>
      </c>
      <c r="Q134" s="506" t="str">
        <f>IF(D134="","",VLOOKUP(D134,'G-7 Rivers Data'!$B$4:$G$8,6,FALSE))</f>
        <v/>
      </c>
      <c r="R134" s="513" t="str">
        <f t="shared" si="8"/>
        <v/>
      </c>
      <c r="S134" s="40"/>
      <c r="T134" s="145"/>
      <c r="U134" s="157"/>
      <c r="V134" s="511" t="str">
        <f t="shared" si="9"/>
        <v/>
      </c>
      <c r="W134" s="511" t="str">
        <f t="shared" si="10"/>
        <v/>
      </c>
      <c r="X134" s="511" t="str">
        <f t="shared" si="11"/>
        <v/>
      </c>
      <c r="Y134" s="515" t="str">
        <f t="shared" si="12"/>
        <v/>
      </c>
      <c r="Z134" s="151"/>
      <c r="AA134" s="152"/>
      <c r="AF134" s="31" t="str">
        <f>IFERROR(INDEX('G-7 Rivers Data'!$AZ$3:$AZ$7,MATCH(D134,'G-7 Rivers Data'!$AY$3:$AY$7,0)),"")</f>
        <v/>
      </c>
      <c r="AG134" s="31">
        <f t="shared" si="13"/>
        <v>0</v>
      </c>
      <c r="AH134" s="156" t="str">
        <f t="shared" si="14"/>
        <v/>
      </c>
      <c r="AI134" s="156" t="str">
        <f t="shared" si="15"/>
        <v/>
      </c>
      <c r="AK134" s="156">
        <v>125</v>
      </c>
      <c r="AM134" s="156" t="str">
        <f t="array" ref="AM134">IFERROR(INDEX($AK$10:$AK$258, MATCH(0, IF(TRUE=$AH$10:$AH$258, COUNTIF($AM$9:$AM133, $AK$10:$AK$258), ""), 0)),"")</f>
        <v/>
      </c>
      <c r="AN134" s="156" t="str">
        <f t="array" ref="AN134">IFERROR(INDEX($AK$10:$AK$258, MATCH(0, IF(TRUE=$AI$10:$AI$258, COUNTIF($AN$9:$AN133, $AK$10:$AK$258), ""), 0)),"")</f>
        <v/>
      </c>
    </row>
    <row r="135" spans="3:40" ht="14" x14ac:dyDescent="0.3">
      <c r="C135" s="141">
        <v>126</v>
      </c>
      <c r="D135" s="462"/>
      <c r="E135" s="153"/>
      <c r="F135" s="498" t="str">
        <f>IF(D135="","",VLOOKUP(D135,'G-7 Rivers Data'!$B$2:$G$8,2,FALSE))</f>
        <v/>
      </c>
      <c r="G135" s="499" t="str">
        <f>IFERROR(VLOOKUP(F135,'G-7 Rivers Data'!$C$4:$D$8,2,FALSE),"")</f>
        <v/>
      </c>
      <c r="H135" s="145"/>
      <c r="I135" s="499" t="str">
        <f>IFERROR(INDEX('G-7 Rivers Data'!$H$4:$L$8,MATCH(D135,'G-7 Rivers Data'!$B$4:$B$8,0),MATCH(H135,'G-7 Rivers Data'!$H$3:$L$3,0)),"")</f>
        <v/>
      </c>
      <c r="J135" s="154"/>
      <c r="K135" s="520" t="str">
        <f>IF(J135="","",IF(VLOOKUP(J135,'G-7 Rivers Data'!$AK$4:$AM$9,2,FALSE)=0,"Spatial Data Missing ⚠",VLOOKUP(J135,'G-7 Rivers Data'!$AK$4:$AM$9,2,FALSE)))</f>
        <v/>
      </c>
      <c r="L135" s="524" t="str">
        <f>IF(J135="","",IF(VLOOKUP(J135,'G-7 Rivers Data'!$AK$4:$AM$9,3,FALSE)=0,"Spatial Data Missing ⚠",VLOOKUP(J135,'G-7 Rivers Data'!$AK$4:$AM$9,3,FALSE)))</f>
        <v/>
      </c>
      <c r="M135" s="71"/>
      <c r="N135" s="499" t="str">
        <f>IF(M135="","",IF(VLOOKUP(M135,'G-7 Rivers Data'!$AA$4:$AB$7,2,FALSE)=0,"Spatial Data Missing ⚠",VLOOKUP(M135,'G-7 Rivers Data'!$AA$4:$AB$7,2,FALSE)))</f>
        <v/>
      </c>
      <c r="O135" s="155"/>
      <c r="P135" s="499" t="str">
        <f>IF(O135="","",IF(VLOOKUP(O135,'G-7 Rivers Data'!$AD$4:$AE$8,2,FALSE)=0,"Spatial Data Missing ⚠",VLOOKUP(O135,'G-7 Rivers Data'!$AD$4:$AE$8,2,FALSE)))</f>
        <v/>
      </c>
      <c r="Q135" s="506" t="str">
        <f>IF(D135="","",VLOOKUP(D135,'G-7 Rivers Data'!$B$4:$G$8,6,FALSE))</f>
        <v/>
      </c>
      <c r="R135" s="513" t="str">
        <f t="shared" si="8"/>
        <v/>
      </c>
      <c r="S135" s="40"/>
      <c r="T135" s="145"/>
      <c r="U135" s="157"/>
      <c r="V135" s="511" t="str">
        <f t="shared" si="9"/>
        <v/>
      </c>
      <c r="W135" s="511" t="str">
        <f t="shared" si="10"/>
        <v/>
      </c>
      <c r="X135" s="511" t="str">
        <f t="shared" si="11"/>
        <v/>
      </c>
      <c r="Y135" s="515" t="str">
        <f t="shared" si="12"/>
        <v/>
      </c>
      <c r="Z135" s="151"/>
      <c r="AA135" s="152"/>
      <c r="AF135" s="31" t="str">
        <f>IFERROR(INDEX('G-7 Rivers Data'!$AZ$3:$AZ$7,MATCH(D135,'G-7 Rivers Data'!$AY$3:$AY$7,0)),"")</f>
        <v/>
      </c>
      <c r="AG135" s="31">
        <f t="shared" si="13"/>
        <v>0</v>
      </c>
      <c r="AH135" s="156" t="str">
        <f t="shared" si="14"/>
        <v/>
      </c>
      <c r="AI135" s="156" t="str">
        <f t="shared" si="15"/>
        <v/>
      </c>
      <c r="AK135" s="156">
        <v>126</v>
      </c>
      <c r="AM135" s="156" t="str">
        <f t="array" ref="AM135">IFERROR(INDEX($AK$10:$AK$258, MATCH(0, IF(TRUE=$AH$10:$AH$258, COUNTIF($AM$9:$AM134, $AK$10:$AK$258), ""), 0)),"")</f>
        <v/>
      </c>
      <c r="AN135" s="156" t="str">
        <f t="array" ref="AN135">IFERROR(INDEX($AK$10:$AK$258, MATCH(0, IF(TRUE=$AI$10:$AI$258, COUNTIF($AN$9:$AN134, $AK$10:$AK$258), ""), 0)),"")</f>
        <v/>
      </c>
    </row>
    <row r="136" spans="3:40" ht="14" x14ac:dyDescent="0.3">
      <c r="C136" s="141">
        <v>127</v>
      </c>
      <c r="D136" s="462"/>
      <c r="E136" s="153"/>
      <c r="F136" s="498" t="str">
        <f>IF(D136="","",VLOOKUP(D136,'G-7 Rivers Data'!$B$2:$G$8,2,FALSE))</f>
        <v/>
      </c>
      <c r="G136" s="499" t="str">
        <f>IFERROR(VLOOKUP(F136,'G-7 Rivers Data'!$C$4:$D$8,2,FALSE),"")</f>
        <v/>
      </c>
      <c r="H136" s="145"/>
      <c r="I136" s="499" t="str">
        <f>IFERROR(INDEX('G-7 Rivers Data'!$H$4:$L$8,MATCH(D136,'G-7 Rivers Data'!$B$4:$B$8,0),MATCH(H136,'G-7 Rivers Data'!$H$3:$L$3,0)),"")</f>
        <v/>
      </c>
      <c r="J136" s="154"/>
      <c r="K136" s="520" t="str">
        <f>IF(J136="","",IF(VLOOKUP(J136,'G-7 Rivers Data'!$AK$4:$AM$9,2,FALSE)=0,"Spatial Data Missing ⚠",VLOOKUP(J136,'G-7 Rivers Data'!$AK$4:$AM$9,2,FALSE)))</f>
        <v/>
      </c>
      <c r="L136" s="524" t="str">
        <f>IF(J136="","",IF(VLOOKUP(J136,'G-7 Rivers Data'!$AK$4:$AM$9,3,FALSE)=0,"Spatial Data Missing ⚠",VLOOKUP(J136,'G-7 Rivers Data'!$AK$4:$AM$9,3,FALSE)))</f>
        <v/>
      </c>
      <c r="M136" s="71"/>
      <c r="N136" s="499" t="str">
        <f>IF(M136="","",IF(VLOOKUP(M136,'G-7 Rivers Data'!$AA$4:$AB$7,2,FALSE)=0,"Spatial Data Missing ⚠",VLOOKUP(M136,'G-7 Rivers Data'!$AA$4:$AB$7,2,FALSE)))</f>
        <v/>
      </c>
      <c r="O136" s="155"/>
      <c r="P136" s="499" t="str">
        <f>IF(O136="","",IF(VLOOKUP(O136,'G-7 Rivers Data'!$AD$4:$AE$8,2,FALSE)=0,"Spatial Data Missing ⚠",VLOOKUP(O136,'G-7 Rivers Data'!$AD$4:$AE$8,2,FALSE)))</f>
        <v/>
      </c>
      <c r="Q136" s="506" t="str">
        <f>IF(D136="","",VLOOKUP(D136,'G-7 Rivers Data'!$B$4:$G$8,6,FALSE))</f>
        <v/>
      </c>
      <c r="R136" s="513" t="str">
        <f t="shared" si="8"/>
        <v/>
      </c>
      <c r="S136" s="40"/>
      <c r="T136" s="145"/>
      <c r="U136" s="157"/>
      <c r="V136" s="511" t="str">
        <f t="shared" si="9"/>
        <v/>
      </c>
      <c r="W136" s="511" t="str">
        <f t="shared" si="10"/>
        <v/>
      </c>
      <c r="X136" s="511" t="str">
        <f t="shared" si="11"/>
        <v/>
      </c>
      <c r="Y136" s="515" t="str">
        <f t="shared" si="12"/>
        <v/>
      </c>
      <c r="Z136" s="151"/>
      <c r="AA136" s="152"/>
      <c r="AF136" s="31" t="str">
        <f>IFERROR(INDEX('G-7 Rivers Data'!$AZ$3:$AZ$7,MATCH(D136,'G-7 Rivers Data'!$AY$3:$AY$7,0)),"")</f>
        <v/>
      </c>
      <c r="AG136" s="31">
        <f t="shared" si="13"/>
        <v>0</v>
      </c>
      <c r="AH136" s="156" t="str">
        <f t="shared" si="14"/>
        <v/>
      </c>
      <c r="AI136" s="156" t="str">
        <f t="shared" si="15"/>
        <v/>
      </c>
      <c r="AK136" s="156">
        <v>127</v>
      </c>
      <c r="AM136" s="156" t="str">
        <f t="array" ref="AM136">IFERROR(INDEX($AK$10:$AK$258, MATCH(0, IF(TRUE=$AH$10:$AH$258, COUNTIF($AM$9:$AM135, $AK$10:$AK$258), ""), 0)),"")</f>
        <v/>
      </c>
      <c r="AN136" s="156" t="str">
        <f t="array" ref="AN136">IFERROR(INDEX($AK$10:$AK$258, MATCH(0, IF(TRUE=$AI$10:$AI$258, COUNTIF($AN$9:$AN135, $AK$10:$AK$258), ""), 0)),"")</f>
        <v/>
      </c>
    </row>
    <row r="137" spans="3:40" ht="14" x14ac:dyDescent="0.3">
      <c r="C137" s="141">
        <v>128</v>
      </c>
      <c r="D137" s="462"/>
      <c r="E137" s="153"/>
      <c r="F137" s="498" t="str">
        <f>IF(D137="","",VLOOKUP(D137,'G-7 Rivers Data'!$B$2:$G$8,2,FALSE))</f>
        <v/>
      </c>
      <c r="G137" s="499" t="str">
        <f>IFERROR(VLOOKUP(F137,'G-7 Rivers Data'!$C$4:$D$8,2,FALSE),"")</f>
        <v/>
      </c>
      <c r="H137" s="145"/>
      <c r="I137" s="499" t="str">
        <f>IFERROR(INDEX('G-7 Rivers Data'!$H$4:$L$8,MATCH(D137,'G-7 Rivers Data'!$B$4:$B$8,0),MATCH(H137,'G-7 Rivers Data'!$H$3:$L$3,0)),"")</f>
        <v/>
      </c>
      <c r="J137" s="154"/>
      <c r="K137" s="520" t="str">
        <f>IF(J137="","",IF(VLOOKUP(J137,'G-7 Rivers Data'!$AK$4:$AM$9,2,FALSE)=0,"Spatial Data Missing ⚠",VLOOKUP(J137,'G-7 Rivers Data'!$AK$4:$AM$9,2,FALSE)))</f>
        <v/>
      </c>
      <c r="L137" s="524" t="str">
        <f>IF(J137="","",IF(VLOOKUP(J137,'G-7 Rivers Data'!$AK$4:$AM$9,3,FALSE)=0,"Spatial Data Missing ⚠",VLOOKUP(J137,'G-7 Rivers Data'!$AK$4:$AM$9,3,FALSE)))</f>
        <v/>
      </c>
      <c r="M137" s="71"/>
      <c r="N137" s="499" t="str">
        <f>IF(M137="","",IF(VLOOKUP(M137,'G-7 Rivers Data'!$AA$4:$AB$7,2,FALSE)=0,"Spatial Data Missing ⚠",VLOOKUP(M137,'G-7 Rivers Data'!$AA$4:$AB$7,2,FALSE)))</f>
        <v/>
      </c>
      <c r="O137" s="155"/>
      <c r="P137" s="499" t="str">
        <f>IF(O137="","",IF(VLOOKUP(O137,'G-7 Rivers Data'!$AD$4:$AE$8,2,FALSE)=0,"Spatial Data Missing ⚠",VLOOKUP(O137,'G-7 Rivers Data'!$AD$4:$AE$8,2,FALSE)))</f>
        <v/>
      </c>
      <c r="Q137" s="506" t="str">
        <f>IF(D137="","",VLOOKUP(D137,'G-7 Rivers Data'!$B$4:$G$8,6,FALSE))</f>
        <v/>
      </c>
      <c r="R137" s="513" t="str">
        <f t="shared" si="8"/>
        <v/>
      </c>
      <c r="S137" s="40"/>
      <c r="T137" s="145"/>
      <c r="U137" s="157"/>
      <c r="V137" s="511" t="str">
        <f t="shared" si="9"/>
        <v/>
      </c>
      <c r="W137" s="511" t="str">
        <f t="shared" si="10"/>
        <v/>
      </c>
      <c r="X137" s="511" t="str">
        <f t="shared" si="11"/>
        <v/>
      </c>
      <c r="Y137" s="515" t="str">
        <f t="shared" si="12"/>
        <v/>
      </c>
      <c r="Z137" s="151"/>
      <c r="AA137" s="152"/>
      <c r="AF137" s="31" t="str">
        <f>IFERROR(INDEX('G-7 Rivers Data'!$AZ$3:$AZ$7,MATCH(D137,'G-7 Rivers Data'!$AY$3:$AY$7,0)),"")</f>
        <v/>
      </c>
      <c r="AG137" s="31">
        <f t="shared" si="13"/>
        <v>0</v>
      </c>
      <c r="AH137" s="156" t="str">
        <f t="shared" si="14"/>
        <v/>
      </c>
      <c r="AI137" s="156" t="str">
        <f t="shared" si="15"/>
        <v/>
      </c>
      <c r="AK137" s="156">
        <v>128</v>
      </c>
      <c r="AM137" s="156" t="str">
        <f t="array" ref="AM137">IFERROR(INDEX($AK$10:$AK$258, MATCH(0, IF(TRUE=$AH$10:$AH$258, COUNTIF($AM$9:$AM136, $AK$10:$AK$258), ""), 0)),"")</f>
        <v/>
      </c>
      <c r="AN137" s="156" t="str">
        <f t="array" ref="AN137">IFERROR(INDEX($AK$10:$AK$258, MATCH(0, IF(TRUE=$AI$10:$AI$258, COUNTIF($AN$9:$AN136, $AK$10:$AK$258), ""), 0)),"")</f>
        <v/>
      </c>
    </row>
    <row r="138" spans="3:40" ht="14" x14ac:dyDescent="0.3">
      <c r="C138" s="141">
        <v>129</v>
      </c>
      <c r="D138" s="462"/>
      <c r="E138" s="153"/>
      <c r="F138" s="498" t="str">
        <f>IF(D138="","",VLOOKUP(D138,'G-7 Rivers Data'!$B$2:$G$8,2,FALSE))</f>
        <v/>
      </c>
      <c r="G138" s="499" t="str">
        <f>IFERROR(VLOOKUP(F138,'G-7 Rivers Data'!$C$4:$D$8,2,FALSE),"")</f>
        <v/>
      </c>
      <c r="H138" s="145"/>
      <c r="I138" s="499" t="str">
        <f>IFERROR(INDEX('G-7 Rivers Data'!$H$4:$L$8,MATCH(D138,'G-7 Rivers Data'!$B$4:$B$8,0),MATCH(H138,'G-7 Rivers Data'!$H$3:$L$3,0)),"")</f>
        <v/>
      </c>
      <c r="J138" s="154"/>
      <c r="K138" s="520" t="str">
        <f>IF(J138="","",IF(VLOOKUP(J138,'G-7 Rivers Data'!$AK$4:$AM$9,2,FALSE)=0,"Spatial Data Missing ⚠",VLOOKUP(J138,'G-7 Rivers Data'!$AK$4:$AM$9,2,FALSE)))</f>
        <v/>
      </c>
      <c r="L138" s="524" t="str">
        <f>IF(J138="","",IF(VLOOKUP(J138,'G-7 Rivers Data'!$AK$4:$AM$9,3,FALSE)=0,"Spatial Data Missing ⚠",VLOOKUP(J138,'G-7 Rivers Data'!$AK$4:$AM$9,3,FALSE)))</f>
        <v/>
      </c>
      <c r="M138" s="71"/>
      <c r="N138" s="499" t="str">
        <f>IF(M138="","",IF(VLOOKUP(M138,'G-7 Rivers Data'!$AA$4:$AB$7,2,FALSE)=0,"Spatial Data Missing ⚠",VLOOKUP(M138,'G-7 Rivers Data'!$AA$4:$AB$7,2,FALSE)))</f>
        <v/>
      </c>
      <c r="O138" s="155"/>
      <c r="P138" s="499" t="str">
        <f>IF(O138="","",IF(VLOOKUP(O138,'G-7 Rivers Data'!$AD$4:$AE$8,2,FALSE)=0,"Spatial Data Missing ⚠",VLOOKUP(O138,'G-7 Rivers Data'!$AD$4:$AE$8,2,FALSE)))</f>
        <v/>
      </c>
      <c r="Q138" s="506" t="str">
        <f>IF(D138="","",VLOOKUP(D138,'G-7 Rivers Data'!$B$4:$G$8,6,FALSE))</f>
        <v/>
      </c>
      <c r="R138" s="513" t="str">
        <f t="shared" si="8"/>
        <v/>
      </c>
      <c r="S138" s="40"/>
      <c r="T138" s="145"/>
      <c r="U138" s="157"/>
      <c r="V138" s="511" t="str">
        <f t="shared" si="9"/>
        <v/>
      </c>
      <c r="W138" s="511" t="str">
        <f t="shared" si="10"/>
        <v/>
      </c>
      <c r="X138" s="511" t="str">
        <f t="shared" si="11"/>
        <v/>
      </c>
      <c r="Y138" s="515" t="str">
        <f t="shared" si="12"/>
        <v/>
      </c>
      <c r="Z138" s="151"/>
      <c r="AA138" s="152"/>
      <c r="AF138" s="31" t="str">
        <f>IFERROR(INDEX('G-7 Rivers Data'!$AZ$3:$AZ$7,MATCH(D138,'G-7 Rivers Data'!$AY$3:$AY$7,0)),"")</f>
        <v/>
      </c>
      <c r="AG138" s="31">
        <f t="shared" si="13"/>
        <v>0</v>
      </c>
      <c r="AH138" s="156" t="str">
        <f t="shared" si="14"/>
        <v/>
      </c>
      <c r="AI138" s="156" t="str">
        <f t="shared" si="15"/>
        <v/>
      </c>
      <c r="AK138" s="156">
        <v>129</v>
      </c>
      <c r="AM138" s="156" t="str">
        <f t="array" ref="AM138">IFERROR(INDEX($AK$10:$AK$258, MATCH(0, IF(TRUE=$AH$10:$AH$258, COUNTIF($AM$9:$AM137, $AK$10:$AK$258), ""), 0)),"")</f>
        <v/>
      </c>
      <c r="AN138" s="156" t="str">
        <f t="array" ref="AN138">IFERROR(INDEX($AK$10:$AK$258, MATCH(0, IF(TRUE=$AI$10:$AI$258, COUNTIF($AN$9:$AN137, $AK$10:$AK$258), ""), 0)),"")</f>
        <v/>
      </c>
    </row>
    <row r="139" spans="3:40" ht="14" x14ac:dyDescent="0.3">
      <c r="C139" s="141">
        <v>130</v>
      </c>
      <c r="D139" s="462"/>
      <c r="E139" s="153"/>
      <c r="F139" s="498" t="str">
        <f>IF(D139="","",VLOOKUP(D139,'G-7 Rivers Data'!$B$2:$G$8,2,FALSE))</f>
        <v/>
      </c>
      <c r="G139" s="499" t="str">
        <f>IFERROR(VLOOKUP(F139,'G-7 Rivers Data'!$C$4:$D$8,2,FALSE),"")</f>
        <v/>
      </c>
      <c r="H139" s="145"/>
      <c r="I139" s="499" t="str">
        <f>IFERROR(INDEX('G-7 Rivers Data'!$H$4:$L$8,MATCH(D139,'G-7 Rivers Data'!$B$4:$B$8,0),MATCH(H139,'G-7 Rivers Data'!$H$3:$L$3,0)),"")</f>
        <v/>
      </c>
      <c r="J139" s="154"/>
      <c r="K139" s="520" t="str">
        <f>IF(J139="","",IF(VLOOKUP(J139,'G-7 Rivers Data'!$AK$4:$AM$9,2,FALSE)=0,"Spatial Data Missing ⚠",VLOOKUP(J139,'G-7 Rivers Data'!$AK$4:$AM$9,2,FALSE)))</f>
        <v/>
      </c>
      <c r="L139" s="524" t="str">
        <f>IF(J139="","",IF(VLOOKUP(J139,'G-7 Rivers Data'!$AK$4:$AM$9,3,FALSE)=0,"Spatial Data Missing ⚠",VLOOKUP(J139,'G-7 Rivers Data'!$AK$4:$AM$9,3,FALSE)))</f>
        <v/>
      </c>
      <c r="M139" s="71"/>
      <c r="N139" s="499" t="str">
        <f>IF(M139="","",IF(VLOOKUP(M139,'G-7 Rivers Data'!$AA$4:$AB$7,2,FALSE)=0,"Spatial Data Missing ⚠",VLOOKUP(M139,'G-7 Rivers Data'!$AA$4:$AB$7,2,FALSE)))</f>
        <v/>
      </c>
      <c r="O139" s="155"/>
      <c r="P139" s="499" t="str">
        <f>IF(O139="","",IF(VLOOKUP(O139,'G-7 Rivers Data'!$AD$4:$AE$8,2,FALSE)=0,"Spatial Data Missing ⚠",VLOOKUP(O139,'G-7 Rivers Data'!$AD$4:$AE$8,2,FALSE)))</f>
        <v/>
      </c>
      <c r="Q139" s="506" t="str">
        <f>IF(D139="","",VLOOKUP(D139,'G-7 Rivers Data'!$B$4:$G$8,6,FALSE))</f>
        <v/>
      </c>
      <c r="R139" s="513" t="str">
        <f t="shared" ref="R139:R202" si="16">IFERROR(E139*G139*I139*L139*N139*P139,"")</f>
        <v/>
      </c>
      <c r="S139" s="40"/>
      <c r="T139" s="145"/>
      <c r="U139" s="157"/>
      <c r="V139" s="511" t="str">
        <f t="shared" ref="V139:V202" si="17">IFERROR(IF(T139&gt;E139,"Check Lengths",T139*G139*I139*L139*N139*P139),"")</f>
        <v/>
      </c>
      <c r="W139" s="511" t="str">
        <f t="shared" ref="W139:W202" si="18">IFERROR(IF(D139="","",U139*G139*I139*L139*N139*P139),"")</f>
        <v/>
      </c>
      <c r="X139" s="511" t="str">
        <f t="shared" ref="X139:X202" si="19">IFERROR(IF(D139="","",IF(E139&gt;(T139+U139),E139-T139-U139,0)),"")</f>
        <v/>
      </c>
      <c r="Y139" s="515" t="str">
        <f t="shared" ref="Y139:Y202" si="20">IFERROR(IF(E139="","",IF((V139+W139)&gt;R139,0,R139-V139-W139)),"Check Data ⚠")</f>
        <v/>
      </c>
      <c r="Z139" s="151"/>
      <c r="AA139" s="152"/>
      <c r="AF139" s="31" t="str">
        <f>IFERROR(INDEX('G-7 Rivers Data'!$AZ$3:$AZ$7,MATCH(D139,'G-7 Rivers Data'!$AY$3:$AY$7,0)),"")</f>
        <v/>
      </c>
      <c r="AG139" s="31">
        <f t="shared" ref="AG139:AG202" si="21">IFERROR(IF(T139+U139&gt;E139,1,0),"")</f>
        <v>0</v>
      </c>
      <c r="AH139" s="156" t="str">
        <f t="shared" ref="AH139:AH202" si="22">IF(D139="","",IF(T139&gt;0,TRUE,FALSE))</f>
        <v/>
      </c>
      <c r="AI139" s="156" t="str">
        <f t="shared" ref="AI139:AI202" si="23">IF(D139="","",IF(U139&gt;0,TRUE,FALSE))</f>
        <v/>
      </c>
      <c r="AK139" s="156">
        <v>130</v>
      </c>
      <c r="AM139" s="156" t="str">
        <f t="array" ref="AM139">IFERROR(INDEX($AK$10:$AK$258, MATCH(0, IF(TRUE=$AH$10:$AH$258, COUNTIF($AM$9:$AM138, $AK$10:$AK$258), ""), 0)),"")</f>
        <v/>
      </c>
      <c r="AN139" s="156" t="str">
        <f t="array" ref="AN139">IFERROR(INDEX($AK$10:$AK$258, MATCH(0, IF(TRUE=$AI$10:$AI$258, COUNTIF($AN$9:$AN138, $AK$10:$AK$258), ""), 0)),"")</f>
        <v/>
      </c>
    </row>
    <row r="140" spans="3:40" ht="14" x14ac:dyDescent="0.3">
      <c r="C140" s="141">
        <v>131</v>
      </c>
      <c r="D140" s="462"/>
      <c r="E140" s="153"/>
      <c r="F140" s="498" t="str">
        <f>IF(D140="","",VLOOKUP(D140,'G-7 Rivers Data'!$B$2:$G$8,2,FALSE))</f>
        <v/>
      </c>
      <c r="G140" s="499" t="str">
        <f>IFERROR(VLOOKUP(F140,'G-7 Rivers Data'!$C$4:$D$8,2,FALSE),"")</f>
        <v/>
      </c>
      <c r="H140" s="145"/>
      <c r="I140" s="499" t="str">
        <f>IFERROR(INDEX('G-7 Rivers Data'!$H$4:$L$8,MATCH(D140,'G-7 Rivers Data'!$B$4:$B$8,0),MATCH(H140,'G-7 Rivers Data'!$H$3:$L$3,0)),"")</f>
        <v/>
      </c>
      <c r="J140" s="154"/>
      <c r="K140" s="520" t="str">
        <f>IF(J140="","",IF(VLOOKUP(J140,'G-7 Rivers Data'!$AK$4:$AM$9,2,FALSE)=0,"Spatial Data Missing ⚠",VLOOKUP(J140,'G-7 Rivers Data'!$AK$4:$AM$9,2,FALSE)))</f>
        <v/>
      </c>
      <c r="L140" s="524" t="str">
        <f>IF(J140="","",IF(VLOOKUP(J140,'G-7 Rivers Data'!$AK$4:$AM$9,3,FALSE)=0,"Spatial Data Missing ⚠",VLOOKUP(J140,'G-7 Rivers Data'!$AK$4:$AM$9,3,FALSE)))</f>
        <v/>
      </c>
      <c r="M140" s="71"/>
      <c r="N140" s="499" t="str">
        <f>IF(M140="","",IF(VLOOKUP(M140,'G-7 Rivers Data'!$AA$4:$AB$7,2,FALSE)=0,"Spatial Data Missing ⚠",VLOOKUP(M140,'G-7 Rivers Data'!$AA$4:$AB$7,2,FALSE)))</f>
        <v/>
      </c>
      <c r="O140" s="155"/>
      <c r="P140" s="499" t="str">
        <f>IF(O140="","",IF(VLOOKUP(O140,'G-7 Rivers Data'!$AD$4:$AE$8,2,FALSE)=0,"Spatial Data Missing ⚠",VLOOKUP(O140,'G-7 Rivers Data'!$AD$4:$AE$8,2,FALSE)))</f>
        <v/>
      </c>
      <c r="Q140" s="506" t="str">
        <f>IF(D140="","",VLOOKUP(D140,'G-7 Rivers Data'!$B$4:$G$8,6,FALSE))</f>
        <v/>
      </c>
      <c r="R140" s="513" t="str">
        <f t="shared" si="16"/>
        <v/>
      </c>
      <c r="S140" s="40"/>
      <c r="T140" s="145"/>
      <c r="U140" s="157"/>
      <c r="V140" s="511" t="str">
        <f t="shared" si="17"/>
        <v/>
      </c>
      <c r="W140" s="511" t="str">
        <f t="shared" si="18"/>
        <v/>
      </c>
      <c r="X140" s="511" t="str">
        <f t="shared" si="19"/>
        <v/>
      </c>
      <c r="Y140" s="515" t="str">
        <f t="shared" si="20"/>
        <v/>
      </c>
      <c r="Z140" s="151"/>
      <c r="AA140" s="152"/>
      <c r="AF140" s="31" t="str">
        <f>IFERROR(INDEX('G-7 Rivers Data'!$AZ$3:$AZ$7,MATCH(D140,'G-7 Rivers Data'!$AY$3:$AY$7,0)),"")</f>
        <v/>
      </c>
      <c r="AG140" s="31">
        <f t="shared" si="21"/>
        <v>0</v>
      </c>
      <c r="AH140" s="156" t="str">
        <f t="shared" si="22"/>
        <v/>
      </c>
      <c r="AI140" s="156" t="str">
        <f t="shared" si="23"/>
        <v/>
      </c>
      <c r="AK140" s="156">
        <v>131</v>
      </c>
      <c r="AM140" s="156" t="str">
        <f t="array" ref="AM140">IFERROR(INDEX($AK$10:$AK$258, MATCH(0, IF(TRUE=$AH$10:$AH$258, COUNTIF($AM$9:$AM139, $AK$10:$AK$258), ""), 0)),"")</f>
        <v/>
      </c>
      <c r="AN140" s="156" t="str">
        <f t="array" ref="AN140">IFERROR(INDEX($AK$10:$AK$258, MATCH(0, IF(TRUE=$AI$10:$AI$258, COUNTIF($AN$9:$AN139, $AK$10:$AK$258), ""), 0)),"")</f>
        <v/>
      </c>
    </row>
    <row r="141" spans="3:40" ht="14" x14ac:dyDescent="0.3">
      <c r="C141" s="141">
        <v>132</v>
      </c>
      <c r="D141" s="462"/>
      <c r="E141" s="153"/>
      <c r="F141" s="498" t="str">
        <f>IF(D141="","",VLOOKUP(D141,'G-7 Rivers Data'!$B$2:$G$8,2,FALSE))</f>
        <v/>
      </c>
      <c r="G141" s="499" t="str">
        <f>IFERROR(VLOOKUP(F141,'G-7 Rivers Data'!$C$4:$D$8,2,FALSE),"")</f>
        <v/>
      </c>
      <c r="H141" s="145"/>
      <c r="I141" s="499" t="str">
        <f>IFERROR(INDEX('G-7 Rivers Data'!$H$4:$L$8,MATCH(D141,'G-7 Rivers Data'!$B$4:$B$8,0),MATCH(H141,'G-7 Rivers Data'!$H$3:$L$3,0)),"")</f>
        <v/>
      </c>
      <c r="J141" s="154"/>
      <c r="K141" s="520" t="str">
        <f>IF(J141="","",IF(VLOOKUP(J141,'G-7 Rivers Data'!$AK$4:$AM$9,2,FALSE)=0,"Spatial Data Missing ⚠",VLOOKUP(J141,'G-7 Rivers Data'!$AK$4:$AM$9,2,FALSE)))</f>
        <v/>
      </c>
      <c r="L141" s="524" t="str">
        <f>IF(J141="","",IF(VLOOKUP(J141,'G-7 Rivers Data'!$AK$4:$AM$9,3,FALSE)=0,"Spatial Data Missing ⚠",VLOOKUP(J141,'G-7 Rivers Data'!$AK$4:$AM$9,3,FALSE)))</f>
        <v/>
      </c>
      <c r="M141" s="71"/>
      <c r="N141" s="499" t="str">
        <f>IF(M141="","",IF(VLOOKUP(M141,'G-7 Rivers Data'!$AA$4:$AB$7,2,FALSE)=0,"Spatial Data Missing ⚠",VLOOKUP(M141,'G-7 Rivers Data'!$AA$4:$AB$7,2,FALSE)))</f>
        <v/>
      </c>
      <c r="O141" s="155"/>
      <c r="P141" s="499" t="str">
        <f>IF(O141="","",IF(VLOOKUP(O141,'G-7 Rivers Data'!$AD$4:$AE$8,2,FALSE)=0,"Spatial Data Missing ⚠",VLOOKUP(O141,'G-7 Rivers Data'!$AD$4:$AE$8,2,FALSE)))</f>
        <v/>
      </c>
      <c r="Q141" s="506" t="str">
        <f>IF(D141="","",VLOOKUP(D141,'G-7 Rivers Data'!$B$4:$G$8,6,FALSE))</f>
        <v/>
      </c>
      <c r="R141" s="513" t="str">
        <f t="shared" si="16"/>
        <v/>
      </c>
      <c r="S141" s="40"/>
      <c r="T141" s="145"/>
      <c r="U141" s="157"/>
      <c r="V141" s="511" t="str">
        <f t="shared" si="17"/>
        <v/>
      </c>
      <c r="W141" s="511" t="str">
        <f t="shared" si="18"/>
        <v/>
      </c>
      <c r="X141" s="511" t="str">
        <f t="shared" si="19"/>
        <v/>
      </c>
      <c r="Y141" s="515" t="str">
        <f t="shared" si="20"/>
        <v/>
      </c>
      <c r="Z141" s="151"/>
      <c r="AA141" s="152"/>
      <c r="AF141" s="31" t="str">
        <f>IFERROR(INDEX('G-7 Rivers Data'!$AZ$3:$AZ$7,MATCH(D141,'G-7 Rivers Data'!$AY$3:$AY$7,0)),"")</f>
        <v/>
      </c>
      <c r="AG141" s="31">
        <f t="shared" si="21"/>
        <v>0</v>
      </c>
      <c r="AH141" s="156" t="str">
        <f t="shared" si="22"/>
        <v/>
      </c>
      <c r="AI141" s="156" t="str">
        <f t="shared" si="23"/>
        <v/>
      </c>
      <c r="AK141" s="156">
        <v>132</v>
      </c>
      <c r="AM141" s="156" t="str">
        <f t="array" ref="AM141">IFERROR(INDEX($AK$10:$AK$258, MATCH(0, IF(TRUE=$AH$10:$AH$258, COUNTIF($AM$9:$AM140, $AK$10:$AK$258), ""), 0)),"")</f>
        <v/>
      </c>
      <c r="AN141" s="156" t="str">
        <f t="array" ref="AN141">IFERROR(INDEX($AK$10:$AK$258, MATCH(0, IF(TRUE=$AI$10:$AI$258, COUNTIF($AN$9:$AN140, $AK$10:$AK$258), ""), 0)),"")</f>
        <v/>
      </c>
    </row>
    <row r="142" spans="3:40" ht="14" x14ac:dyDescent="0.3">
      <c r="C142" s="141">
        <v>133</v>
      </c>
      <c r="D142" s="462"/>
      <c r="E142" s="153"/>
      <c r="F142" s="498" t="str">
        <f>IF(D142="","",VLOOKUP(D142,'G-7 Rivers Data'!$B$2:$G$8,2,FALSE))</f>
        <v/>
      </c>
      <c r="G142" s="499" t="str">
        <f>IFERROR(VLOOKUP(F142,'G-7 Rivers Data'!$C$4:$D$8,2,FALSE),"")</f>
        <v/>
      </c>
      <c r="H142" s="145"/>
      <c r="I142" s="499" t="str">
        <f>IFERROR(INDEX('G-7 Rivers Data'!$H$4:$L$8,MATCH(D142,'G-7 Rivers Data'!$B$4:$B$8,0),MATCH(H142,'G-7 Rivers Data'!$H$3:$L$3,0)),"")</f>
        <v/>
      </c>
      <c r="J142" s="154"/>
      <c r="K142" s="520" t="str">
        <f>IF(J142="","",IF(VLOOKUP(J142,'G-7 Rivers Data'!$AK$4:$AM$9,2,FALSE)=0,"Spatial Data Missing ⚠",VLOOKUP(J142,'G-7 Rivers Data'!$AK$4:$AM$9,2,FALSE)))</f>
        <v/>
      </c>
      <c r="L142" s="524" t="str">
        <f>IF(J142="","",IF(VLOOKUP(J142,'G-7 Rivers Data'!$AK$4:$AM$9,3,FALSE)=0,"Spatial Data Missing ⚠",VLOOKUP(J142,'G-7 Rivers Data'!$AK$4:$AM$9,3,FALSE)))</f>
        <v/>
      </c>
      <c r="M142" s="71"/>
      <c r="N142" s="499" t="str">
        <f>IF(M142="","",IF(VLOOKUP(M142,'G-7 Rivers Data'!$AA$4:$AB$7,2,FALSE)=0,"Spatial Data Missing ⚠",VLOOKUP(M142,'G-7 Rivers Data'!$AA$4:$AB$7,2,FALSE)))</f>
        <v/>
      </c>
      <c r="O142" s="155"/>
      <c r="P142" s="499" t="str">
        <f>IF(O142="","",IF(VLOOKUP(O142,'G-7 Rivers Data'!$AD$4:$AE$8,2,FALSE)=0,"Spatial Data Missing ⚠",VLOOKUP(O142,'G-7 Rivers Data'!$AD$4:$AE$8,2,FALSE)))</f>
        <v/>
      </c>
      <c r="Q142" s="506" t="str">
        <f>IF(D142="","",VLOOKUP(D142,'G-7 Rivers Data'!$B$4:$G$8,6,FALSE))</f>
        <v/>
      </c>
      <c r="R142" s="513" t="str">
        <f t="shared" si="16"/>
        <v/>
      </c>
      <c r="S142" s="40"/>
      <c r="T142" s="145"/>
      <c r="U142" s="157"/>
      <c r="V142" s="511" t="str">
        <f t="shared" si="17"/>
        <v/>
      </c>
      <c r="W142" s="511" t="str">
        <f t="shared" si="18"/>
        <v/>
      </c>
      <c r="X142" s="511" t="str">
        <f t="shared" si="19"/>
        <v/>
      </c>
      <c r="Y142" s="515" t="str">
        <f t="shared" si="20"/>
        <v/>
      </c>
      <c r="Z142" s="151"/>
      <c r="AA142" s="152"/>
      <c r="AF142" s="31" t="str">
        <f>IFERROR(INDEX('G-7 Rivers Data'!$AZ$3:$AZ$7,MATCH(D142,'G-7 Rivers Data'!$AY$3:$AY$7,0)),"")</f>
        <v/>
      </c>
      <c r="AG142" s="31">
        <f t="shared" si="21"/>
        <v>0</v>
      </c>
      <c r="AH142" s="156" t="str">
        <f t="shared" si="22"/>
        <v/>
      </c>
      <c r="AI142" s="156" t="str">
        <f t="shared" si="23"/>
        <v/>
      </c>
      <c r="AK142" s="156">
        <v>133</v>
      </c>
      <c r="AM142" s="156" t="str">
        <f t="array" ref="AM142">IFERROR(INDEX($AK$10:$AK$258, MATCH(0, IF(TRUE=$AH$10:$AH$258, COUNTIF($AM$9:$AM141, $AK$10:$AK$258), ""), 0)),"")</f>
        <v/>
      </c>
      <c r="AN142" s="156" t="str">
        <f t="array" ref="AN142">IFERROR(INDEX($AK$10:$AK$258, MATCH(0, IF(TRUE=$AI$10:$AI$258, COUNTIF($AN$9:$AN141, $AK$10:$AK$258), ""), 0)),"")</f>
        <v/>
      </c>
    </row>
    <row r="143" spans="3:40" ht="14" x14ac:dyDescent="0.3">
      <c r="C143" s="141">
        <v>134</v>
      </c>
      <c r="D143" s="462"/>
      <c r="E143" s="153"/>
      <c r="F143" s="498" t="str">
        <f>IF(D143="","",VLOOKUP(D143,'G-7 Rivers Data'!$B$2:$G$8,2,FALSE))</f>
        <v/>
      </c>
      <c r="G143" s="499" t="str">
        <f>IFERROR(VLOOKUP(F143,'G-7 Rivers Data'!$C$4:$D$8,2,FALSE),"")</f>
        <v/>
      </c>
      <c r="H143" s="145"/>
      <c r="I143" s="499" t="str">
        <f>IFERROR(INDEX('G-7 Rivers Data'!$H$4:$L$8,MATCH(D143,'G-7 Rivers Data'!$B$4:$B$8,0),MATCH(H143,'G-7 Rivers Data'!$H$3:$L$3,0)),"")</f>
        <v/>
      </c>
      <c r="J143" s="154"/>
      <c r="K143" s="520" t="str">
        <f>IF(J143="","",IF(VLOOKUP(J143,'G-7 Rivers Data'!$AK$4:$AM$9,2,FALSE)=0,"Spatial Data Missing ⚠",VLOOKUP(J143,'G-7 Rivers Data'!$AK$4:$AM$9,2,FALSE)))</f>
        <v/>
      </c>
      <c r="L143" s="524" t="str">
        <f>IF(J143="","",IF(VLOOKUP(J143,'G-7 Rivers Data'!$AK$4:$AM$9,3,FALSE)=0,"Spatial Data Missing ⚠",VLOOKUP(J143,'G-7 Rivers Data'!$AK$4:$AM$9,3,FALSE)))</f>
        <v/>
      </c>
      <c r="M143" s="71"/>
      <c r="N143" s="499" t="str">
        <f>IF(M143="","",IF(VLOOKUP(M143,'G-7 Rivers Data'!$AA$4:$AB$7,2,FALSE)=0,"Spatial Data Missing ⚠",VLOOKUP(M143,'G-7 Rivers Data'!$AA$4:$AB$7,2,FALSE)))</f>
        <v/>
      </c>
      <c r="O143" s="155"/>
      <c r="P143" s="499" t="str">
        <f>IF(O143="","",IF(VLOOKUP(O143,'G-7 Rivers Data'!$AD$4:$AE$8,2,FALSE)=0,"Spatial Data Missing ⚠",VLOOKUP(O143,'G-7 Rivers Data'!$AD$4:$AE$8,2,FALSE)))</f>
        <v/>
      </c>
      <c r="Q143" s="506" t="str">
        <f>IF(D143="","",VLOOKUP(D143,'G-7 Rivers Data'!$B$4:$G$8,6,FALSE))</f>
        <v/>
      </c>
      <c r="R143" s="513" t="str">
        <f t="shared" si="16"/>
        <v/>
      </c>
      <c r="S143" s="40"/>
      <c r="T143" s="145"/>
      <c r="U143" s="157"/>
      <c r="V143" s="511" t="str">
        <f t="shared" si="17"/>
        <v/>
      </c>
      <c r="W143" s="511" t="str">
        <f t="shared" si="18"/>
        <v/>
      </c>
      <c r="X143" s="511" t="str">
        <f t="shared" si="19"/>
        <v/>
      </c>
      <c r="Y143" s="515" t="str">
        <f t="shared" si="20"/>
        <v/>
      </c>
      <c r="Z143" s="151"/>
      <c r="AA143" s="152"/>
      <c r="AF143" s="31" t="str">
        <f>IFERROR(INDEX('G-7 Rivers Data'!$AZ$3:$AZ$7,MATCH(D143,'G-7 Rivers Data'!$AY$3:$AY$7,0)),"")</f>
        <v/>
      </c>
      <c r="AG143" s="31">
        <f t="shared" si="21"/>
        <v>0</v>
      </c>
      <c r="AH143" s="156" t="str">
        <f t="shared" si="22"/>
        <v/>
      </c>
      <c r="AI143" s="156" t="str">
        <f t="shared" si="23"/>
        <v/>
      </c>
      <c r="AK143" s="156">
        <v>134</v>
      </c>
      <c r="AM143" s="156" t="str">
        <f t="array" ref="AM143">IFERROR(INDEX($AK$10:$AK$258, MATCH(0, IF(TRUE=$AH$10:$AH$258, COUNTIF($AM$9:$AM142, $AK$10:$AK$258), ""), 0)),"")</f>
        <v/>
      </c>
      <c r="AN143" s="156" t="str">
        <f t="array" ref="AN143">IFERROR(INDEX($AK$10:$AK$258, MATCH(0, IF(TRUE=$AI$10:$AI$258, COUNTIF($AN$9:$AN142, $AK$10:$AK$258), ""), 0)),"")</f>
        <v/>
      </c>
    </row>
    <row r="144" spans="3:40" ht="14" x14ac:dyDescent="0.3">
      <c r="C144" s="141">
        <v>135</v>
      </c>
      <c r="D144" s="462"/>
      <c r="E144" s="153"/>
      <c r="F144" s="498" t="str">
        <f>IF(D144="","",VLOOKUP(D144,'G-7 Rivers Data'!$B$2:$G$8,2,FALSE))</f>
        <v/>
      </c>
      <c r="G144" s="499" t="str">
        <f>IFERROR(VLOOKUP(F144,'G-7 Rivers Data'!$C$4:$D$8,2,FALSE),"")</f>
        <v/>
      </c>
      <c r="H144" s="145"/>
      <c r="I144" s="499" t="str">
        <f>IFERROR(INDEX('G-7 Rivers Data'!$H$4:$L$8,MATCH(D144,'G-7 Rivers Data'!$B$4:$B$8,0),MATCH(H144,'G-7 Rivers Data'!$H$3:$L$3,0)),"")</f>
        <v/>
      </c>
      <c r="J144" s="154"/>
      <c r="K144" s="520" t="str">
        <f>IF(J144="","",IF(VLOOKUP(J144,'G-7 Rivers Data'!$AK$4:$AM$9,2,FALSE)=0,"Spatial Data Missing ⚠",VLOOKUP(J144,'G-7 Rivers Data'!$AK$4:$AM$9,2,FALSE)))</f>
        <v/>
      </c>
      <c r="L144" s="524" t="str">
        <f>IF(J144="","",IF(VLOOKUP(J144,'G-7 Rivers Data'!$AK$4:$AM$9,3,FALSE)=0,"Spatial Data Missing ⚠",VLOOKUP(J144,'G-7 Rivers Data'!$AK$4:$AM$9,3,FALSE)))</f>
        <v/>
      </c>
      <c r="M144" s="71"/>
      <c r="N144" s="499" t="str">
        <f>IF(M144="","",IF(VLOOKUP(M144,'G-7 Rivers Data'!$AA$4:$AB$7,2,FALSE)=0,"Spatial Data Missing ⚠",VLOOKUP(M144,'G-7 Rivers Data'!$AA$4:$AB$7,2,FALSE)))</f>
        <v/>
      </c>
      <c r="O144" s="155"/>
      <c r="P144" s="499" t="str">
        <f>IF(O144="","",IF(VLOOKUP(O144,'G-7 Rivers Data'!$AD$4:$AE$8,2,FALSE)=0,"Spatial Data Missing ⚠",VLOOKUP(O144,'G-7 Rivers Data'!$AD$4:$AE$8,2,FALSE)))</f>
        <v/>
      </c>
      <c r="Q144" s="506" t="str">
        <f>IF(D144="","",VLOOKUP(D144,'G-7 Rivers Data'!$B$4:$G$8,6,FALSE))</f>
        <v/>
      </c>
      <c r="R144" s="513" t="str">
        <f t="shared" si="16"/>
        <v/>
      </c>
      <c r="S144" s="40"/>
      <c r="T144" s="145"/>
      <c r="U144" s="157"/>
      <c r="V144" s="511" t="str">
        <f t="shared" si="17"/>
        <v/>
      </c>
      <c r="W144" s="511" t="str">
        <f t="shared" si="18"/>
        <v/>
      </c>
      <c r="X144" s="511" t="str">
        <f t="shared" si="19"/>
        <v/>
      </c>
      <c r="Y144" s="515" t="str">
        <f t="shared" si="20"/>
        <v/>
      </c>
      <c r="Z144" s="151"/>
      <c r="AA144" s="152"/>
      <c r="AF144" s="31" t="str">
        <f>IFERROR(INDEX('G-7 Rivers Data'!$AZ$3:$AZ$7,MATCH(D144,'G-7 Rivers Data'!$AY$3:$AY$7,0)),"")</f>
        <v/>
      </c>
      <c r="AG144" s="31">
        <f t="shared" si="21"/>
        <v>0</v>
      </c>
      <c r="AH144" s="156" t="str">
        <f t="shared" si="22"/>
        <v/>
      </c>
      <c r="AI144" s="156" t="str">
        <f t="shared" si="23"/>
        <v/>
      </c>
      <c r="AK144" s="156">
        <v>135</v>
      </c>
      <c r="AM144" s="156" t="str">
        <f t="array" ref="AM144">IFERROR(INDEX($AK$10:$AK$258, MATCH(0, IF(TRUE=$AH$10:$AH$258, COUNTIF($AM$9:$AM143, $AK$10:$AK$258), ""), 0)),"")</f>
        <v/>
      </c>
      <c r="AN144" s="156" t="str">
        <f t="array" ref="AN144">IFERROR(INDEX($AK$10:$AK$258, MATCH(0, IF(TRUE=$AI$10:$AI$258, COUNTIF($AN$9:$AN143, $AK$10:$AK$258), ""), 0)),"")</f>
        <v/>
      </c>
    </row>
    <row r="145" spans="3:40" ht="14" x14ac:dyDescent="0.3">
      <c r="C145" s="141">
        <v>136</v>
      </c>
      <c r="D145" s="462"/>
      <c r="E145" s="153"/>
      <c r="F145" s="498" t="str">
        <f>IF(D145="","",VLOOKUP(D145,'G-7 Rivers Data'!$B$2:$G$8,2,FALSE))</f>
        <v/>
      </c>
      <c r="G145" s="499" t="str">
        <f>IFERROR(VLOOKUP(F145,'G-7 Rivers Data'!$C$4:$D$8,2,FALSE),"")</f>
        <v/>
      </c>
      <c r="H145" s="145"/>
      <c r="I145" s="499" t="str">
        <f>IFERROR(INDEX('G-7 Rivers Data'!$H$4:$L$8,MATCH(D145,'G-7 Rivers Data'!$B$4:$B$8,0),MATCH(H145,'G-7 Rivers Data'!$H$3:$L$3,0)),"")</f>
        <v/>
      </c>
      <c r="J145" s="154"/>
      <c r="K145" s="520" t="str">
        <f>IF(J145="","",IF(VLOOKUP(J145,'G-7 Rivers Data'!$AK$4:$AM$9,2,FALSE)=0,"Spatial Data Missing ⚠",VLOOKUP(J145,'G-7 Rivers Data'!$AK$4:$AM$9,2,FALSE)))</f>
        <v/>
      </c>
      <c r="L145" s="524" t="str">
        <f>IF(J145="","",IF(VLOOKUP(J145,'G-7 Rivers Data'!$AK$4:$AM$9,3,FALSE)=0,"Spatial Data Missing ⚠",VLOOKUP(J145,'G-7 Rivers Data'!$AK$4:$AM$9,3,FALSE)))</f>
        <v/>
      </c>
      <c r="M145" s="71"/>
      <c r="N145" s="499" t="str">
        <f>IF(M145="","",IF(VLOOKUP(M145,'G-7 Rivers Data'!$AA$4:$AB$7,2,FALSE)=0,"Spatial Data Missing ⚠",VLOOKUP(M145,'G-7 Rivers Data'!$AA$4:$AB$7,2,FALSE)))</f>
        <v/>
      </c>
      <c r="O145" s="155"/>
      <c r="P145" s="499" t="str">
        <f>IF(O145="","",IF(VLOOKUP(O145,'G-7 Rivers Data'!$AD$4:$AE$8,2,FALSE)=0,"Spatial Data Missing ⚠",VLOOKUP(O145,'G-7 Rivers Data'!$AD$4:$AE$8,2,FALSE)))</f>
        <v/>
      </c>
      <c r="Q145" s="506" t="str">
        <f>IF(D145="","",VLOOKUP(D145,'G-7 Rivers Data'!$B$4:$G$8,6,FALSE))</f>
        <v/>
      </c>
      <c r="R145" s="513" t="str">
        <f t="shared" si="16"/>
        <v/>
      </c>
      <c r="S145" s="40"/>
      <c r="T145" s="145"/>
      <c r="U145" s="157"/>
      <c r="V145" s="511" t="str">
        <f t="shared" si="17"/>
        <v/>
      </c>
      <c r="W145" s="511" t="str">
        <f t="shared" si="18"/>
        <v/>
      </c>
      <c r="X145" s="511" t="str">
        <f t="shared" si="19"/>
        <v/>
      </c>
      <c r="Y145" s="515" t="str">
        <f t="shared" si="20"/>
        <v/>
      </c>
      <c r="Z145" s="151"/>
      <c r="AA145" s="152"/>
      <c r="AF145" s="31" t="str">
        <f>IFERROR(INDEX('G-7 Rivers Data'!$AZ$3:$AZ$7,MATCH(D145,'G-7 Rivers Data'!$AY$3:$AY$7,0)),"")</f>
        <v/>
      </c>
      <c r="AG145" s="31">
        <f t="shared" si="21"/>
        <v>0</v>
      </c>
      <c r="AH145" s="156" t="str">
        <f t="shared" si="22"/>
        <v/>
      </c>
      <c r="AI145" s="156" t="str">
        <f t="shared" si="23"/>
        <v/>
      </c>
      <c r="AK145" s="156">
        <v>136</v>
      </c>
      <c r="AM145" s="156" t="str">
        <f t="array" ref="AM145">IFERROR(INDEX($AK$10:$AK$258, MATCH(0, IF(TRUE=$AH$10:$AH$258, COUNTIF($AM$9:$AM144, $AK$10:$AK$258), ""), 0)),"")</f>
        <v/>
      </c>
      <c r="AN145" s="156" t="str">
        <f t="array" ref="AN145">IFERROR(INDEX($AK$10:$AK$258, MATCH(0, IF(TRUE=$AI$10:$AI$258, COUNTIF($AN$9:$AN144, $AK$10:$AK$258), ""), 0)),"")</f>
        <v/>
      </c>
    </row>
    <row r="146" spans="3:40" ht="14" x14ac:dyDescent="0.3">
      <c r="C146" s="141">
        <v>137</v>
      </c>
      <c r="D146" s="462"/>
      <c r="E146" s="153"/>
      <c r="F146" s="498" t="str">
        <f>IF(D146="","",VLOOKUP(D146,'G-7 Rivers Data'!$B$2:$G$8,2,FALSE))</f>
        <v/>
      </c>
      <c r="G146" s="499" t="str">
        <f>IFERROR(VLOOKUP(F146,'G-7 Rivers Data'!$C$4:$D$8,2,FALSE),"")</f>
        <v/>
      </c>
      <c r="H146" s="145"/>
      <c r="I146" s="499" t="str">
        <f>IFERROR(INDEX('G-7 Rivers Data'!$H$4:$L$8,MATCH(D146,'G-7 Rivers Data'!$B$4:$B$8,0),MATCH(H146,'G-7 Rivers Data'!$H$3:$L$3,0)),"")</f>
        <v/>
      </c>
      <c r="J146" s="154"/>
      <c r="K146" s="520" t="str">
        <f>IF(J146="","",IF(VLOOKUP(J146,'G-7 Rivers Data'!$AK$4:$AM$9,2,FALSE)=0,"Spatial Data Missing ⚠",VLOOKUP(J146,'G-7 Rivers Data'!$AK$4:$AM$9,2,FALSE)))</f>
        <v/>
      </c>
      <c r="L146" s="524" t="str">
        <f>IF(J146="","",IF(VLOOKUP(J146,'G-7 Rivers Data'!$AK$4:$AM$9,3,FALSE)=0,"Spatial Data Missing ⚠",VLOOKUP(J146,'G-7 Rivers Data'!$AK$4:$AM$9,3,FALSE)))</f>
        <v/>
      </c>
      <c r="M146" s="71"/>
      <c r="N146" s="499" t="str">
        <f>IF(M146="","",IF(VLOOKUP(M146,'G-7 Rivers Data'!$AA$4:$AB$7,2,FALSE)=0,"Spatial Data Missing ⚠",VLOOKUP(M146,'G-7 Rivers Data'!$AA$4:$AB$7,2,FALSE)))</f>
        <v/>
      </c>
      <c r="O146" s="155"/>
      <c r="P146" s="499" t="str">
        <f>IF(O146="","",IF(VLOOKUP(O146,'G-7 Rivers Data'!$AD$4:$AE$8,2,FALSE)=0,"Spatial Data Missing ⚠",VLOOKUP(O146,'G-7 Rivers Data'!$AD$4:$AE$8,2,FALSE)))</f>
        <v/>
      </c>
      <c r="Q146" s="506" t="str">
        <f>IF(D146="","",VLOOKUP(D146,'G-7 Rivers Data'!$B$4:$G$8,6,FALSE))</f>
        <v/>
      </c>
      <c r="R146" s="513" t="str">
        <f t="shared" si="16"/>
        <v/>
      </c>
      <c r="S146" s="40"/>
      <c r="T146" s="145"/>
      <c r="U146" s="157"/>
      <c r="V146" s="511" t="str">
        <f t="shared" si="17"/>
        <v/>
      </c>
      <c r="W146" s="511" t="str">
        <f t="shared" si="18"/>
        <v/>
      </c>
      <c r="X146" s="511" t="str">
        <f t="shared" si="19"/>
        <v/>
      </c>
      <c r="Y146" s="515" t="str">
        <f t="shared" si="20"/>
        <v/>
      </c>
      <c r="Z146" s="151"/>
      <c r="AA146" s="152"/>
      <c r="AF146" s="31" t="str">
        <f>IFERROR(INDEX('G-7 Rivers Data'!$AZ$3:$AZ$7,MATCH(D146,'G-7 Rivers Data'!$AY$3:$AY$7,0)),"")</f>
        <v/>
      </c>
      <c r="AG146" s="31">
        <f t="shared" si="21"/>
        <v>0</v>
      </c>
      <c r="AH146" s="156" t="str">
        <f t="shared" si="22"/>
        <v/>
      </c>
      <c r="AI146" s="156" t="str">
        <f t="shared" si="23"/>
        <v/>
      </c>
      <c r="AK146" s="156">
        <v>137</v>
      </c>
      <c r="AM146" s="156" t="str">
        <f t="array" ref="AM146">IFERROR(INDEX($AK$10:$AK$258, MATCH(0, IF(TRUE=$AH$10:$AH$258, COUNTIF($AM$9:$AM145, $AK$10:$AK$258), ""), 0)),"")</f>
        <v/>
      </c>
      <c r="AN146" s="156" t="str">
        <f t="array" ref="AN146">IFERROR(INDEX($AK$10:$AK$258, MATCH(0, IF(TRUE=$AI$10:$AI$258, COUNTIF($AN$9:$AN145, $AK$10:$AK$258), ""), 0)),"")</f>
        <v/>
      </c>
    </row>
    <row r="147" spans="3:40" ht="14" x14ac:dyDescent="0.3">
      <c r="C147" s="141">
        <v>138</v>
      </c>
      <c r="D147" s="462"/>
      <c r="E147" s="153"/>
      <c r="F147" s="498" t="str">
        <f>IF(D147="","",VLOOKUP(D147,'G-7 Rivers Data'!$B$2:$G$8,2,FALSE))</f>
        <v/>
      </c>
      <c r="G147" s="499" t="str">
        <f>IFERROR(VLOOKUP(F147,'G-7 Rivers Data'!$C$4:$D$8,2,FALSE),"")</f>
        <v/>
      </c>
      <c r="H147" s="145"/>
      <c r="I147" s="499" t="str">
        <f>IFERROR(INDEX('G-7 Rivers Data'!$H$4:$L$8,MATCH(D147,'G-7 Rivers Data'!$B$4:$B$8,0),MATCH(H147,'G-7 Rivers Data'!$H$3:$L$3,0)),"")</f>
        <v/>
      </c>
      <c r="J147" s="154"/>
      <c r="K147" s="520" t="str">
        <f>IF(J147="","",IF(VLOOKUP(J147,'G-7 Rivers Data'!$AK$4:$AM$9,2,FALSE)=0,"Spatial Data Missing ⚠",VLOOKUP(J147,'G-7 Rivers Data'!$AK$4:$AM$9,2,FALSE)))</f>
        <v/>
      </c>
      <c r="L147" s="524" t="str">
        <f>IF(J147="","",IF(VLOOKUP(J147,'G-7 Rivers Data'!$AK$4:$AM$9,3,FALSE)=0,"Spatial Data Missing ⚠",VLOOKUP(J147,'G-7 Rivers Data'!$AK$4:$AM$9,3,FALSE)))</f>
        <v/>
      </c>
      <c r="M147" s="71"/>
      <c r="N147" s="499" t="str">
        <f>IF(M147="","",IF(VLOOKUP(M147,'G-7 Rivers Data'!$AA$4:$AB$7,2,FALSE)=0,"Spatial Data Missing ⚠",VLOOKUP(M147,'G-7 Rivers Data'!$AA$4:$AB$7,2,FALSE)))</f>
        <v/>
      </c>
      <c r="O147" s="155"/>
      <c r="P147" s="499" t="str">
        <f>IF(O147="","",IF(VLOOKUP(O147,'G-7 Rivers Data'!$AD$4:$AE$8,2,FALSE)=0,"Spatial Data Missing ⚠",VLOOKUP(O147,'G-7 Rivers Data'!$AD$4:$AE$8,2,FALSE)))</f>
        <v/>
      </c>
      <c r="Q147" s="506" t="str">
        <f>IF(D147="","",VLOOKUP(D147,'G-7 Rivers Data'!$B$4:$G$8,6,FALSE))</f>
        <v/>
      </c>
      <c r="R147" s="513" t="str">
        <f t="shared" si="16"/>
        <v/>
      </c>
      <c r="S147" s="40"/>
      <c r="T147" s="145"/>
      <c r="U147" s="157"/>
      <c r="V147" s="511" t="str">
        <f t="shared" si="17"/>
        <v/>
      </c>
      <c r="W147" s="511" t="str">
        <f t="shared" si="18"/>
        <v/>
      </c>
      <c r="X147" s="511" t="str">
        <f t="shared" si="19"/>
        <v/>
      </c>
      <c r="Y147" s="515" t="str">
        <f t="shared" si="20"/>
        <v/>
      </c>
      <c r="Z147" s="151"/>
      <c r="AA147" s="152"/>
      <c r="AF147" s="31" t="str">
        <f>IFERROR(INDEX('G-7 Rivers Data'!$AZ$3:$AZ$7,MATCH(D147,'G-7 Rivers Data'!$AY$3:$AY$7,0)),"")</f>
        <v/>
      </c>
      <c r="AG147" s="31">
        <f t="shared" si="21"/>
        <v>0</v>
      </c>
      <c r="AH147" s="156" t="str">
        <f t="shared" si="22"/>
        <v/>
      </c>
      <c r="AI147" s="156" t="str">
        <f t="shared" si="23"/>
        <v/>
      </c>
      <c r="AK147" s="156">
        <v>138</v>
      </c>
      <c r="AM147" s="156" t="str">
        <f t="array" ref="AM147">IFERROR(INDEX($AK$10:$AK$258, MATCH(0, IF(TRUE=$AH$10:$AH$258, COUNTIF($AM$9:$AM146, $AK$10:$AK$258), ""), 0)),"")</f>
        <v/>
      </c>
      <c r="AN147" s="156" t="str">
        <f t="array" ref="AN147">IFERROR(INDEX($AK$10:$AK$258, MATCH(0, IF(TRUE=$AI$10:$AI$258, COUNTIF($AN$9:$AN146, $AK$10:$AK$258), ""), 0)),"")</f>
        <v/>
      </c>
    </row>
    <row r="148" spans="3:40" ht="14" x14ac:dyDescent="0.3">
      <c r="C148" s="141">
        <v>139</v>
      </c>
      <c r="D148" s="462"/>
      <c r="E148" s="153"/>
      <c r="F148" s="498" t="str">
        <f>IF(D148="","",VLOOKUP(D148,'G-7 Rivers Data'!$B$2:$G$8,2,FALSE))</f>
        <v/>
      </c>
      <c r="G148" s="499" t="str">
        <f>IFERROR(VLOOKUP(F148,'G-7 Rivers Data'!$C$4:$D$8,2,FALSE),"")</f>
        <v/>
      </c>
      <c r="H148" s="145"/>
      <c r="I148" s="499" t="str">
        <f>IFERROR(INDEX('G-7 Rivers Data'!$H$4:$L$8,MATCH(D148,'G-7 Rivers Data'!$B$4:$B$8,0),MATCH(H148,'G-7 Rivers Data'!$H$3:$L$3,0)),"")</f>
        <v/>
      </c>
      <c r="J148" s="154"/>
      <c r="K148" s="520" t="str">
        <f>IF(J148="","",IF(VLOOKUP(J148,'G-7 Rivers Data'!$AK$4:$AM$9,2,FALSE)=0,"Spatial Data Missing ⚠",VLOOKUP(J148,'G-7 Rivers Data'!$AK$4:$AM$9,2,FALSE)))</f>
        <v/>
      </c>
      <c r="L148" s="524" t="str">
        <f>IF(J148="","",IF(VLOOKUP(J148,'G-7 Rivers Data'!$AK$4:$AM$9,3,FALSE)=0,"Spatial Data Missing ⚠",VLOOKUP(J148,'G-7 Rivers Data'!$AK$4:$AM$9,3,FALSE)))</f>
        <v/>
      </c>
      <c r="M148" s="71"/>
      <c r="N148" s="499" t="str">
        <f>IF(M148="","",IF(VLOOKUP(M148,'G-7 Rivers Data'!$AA$4:$AB$7,2,FALSE)=0,"Spatial Data Missing ⚠",VLOOKUP(M148,'G-7 Rivers Data'!$AA$4:$AB$7,2,FALSE)))</f>
        <v/>
      </c>
      <c r="O148" s="155"/>
      <c r="P148" s="499" t="str">
        <f>IF(O148="","",IF(VLOOKUP(O148,'G-7 Rivers Data'!$AD$4:$AE$8,2,FALSE)=0,"Spatial Data Missing ⚠",VLOOKUP(O148,'G-7 Rivers Data'!$AD$4:$AE$8,2,FALSE)))</f>
        <v/>
      </c>
      <c r="Q148" s="506" t="str">
        <f>IF(D148="","",VLOOKUP(D148,'G-7 Rivers Data'!$B$4:$G$8,6,FALSE))</f>
        <v/>
      </c>
      <c r="R148" s="513" t="str">
        <f t="shared" si="16"/>
        <v/>
      </c>
      <c r="S148" s="40"/>
      <c r="T148" s="145"/>
      <c r="U148" s="157"/>
      <c r="V148" s="511" t="str">
        <f t="shared" si="17"/>
        <v/>
      </c>
      <c r="W148" s="511" t="str">
        <f t="shared" si="18"/>
        <v/>
      </c>
      <c r="X148" s="511" t="str">
        <f t="shared" si="19"/>
        <v/>
      </c>
      <c r="Y148" s="515" t="str">
        <f t="shared" si="20"/>
        <v/>
      </c>
      <c r="Z148" s="151"/>
      <c r="AA148" s="152"/>
      <c r="AF148" s="31" t="str">
        <f>IFERROR(INDEX('G-7 Rivers Data'!$AZ$3:$AZ$7,MATCH(D148,'G-7 Rivers Data'!$AY$3:$AY$7,0)),"")</f>
        <v/>
      </c>
      <c r="AG148" s="31">
        <f t="shared" si="21"/>
        <v>0</v>
      </c>
      <c r="AH148" s="156" t="str">
        <f t="shared" si="22"/>
        <v/>
      </c>
      <c r="AI148" s="156" t="str">
        <f t="shared" si="23"/>
        <v/>
      </c>
      <c r="AK148" s="156">
        <v>139</v>
      </c>
      <c r="AM148" s="156" t="str">
        <f t="array" ref="AM148">IFERROR(INDEX($AK$10:$AK$258, MATCH(0, IF(TRUE=$AH$10:$AH$258, COUNTIF($AM$9:$AM147, $AK$10:$AK$258), ""), 0)),"")</f>
        <v/>
      </c>
      <c r="AN148" s="156" t="str">
        <f t="array" ref="AN148">IFERROR(INDEX($AK$10:$AK$258, MATCH(0, IF(TRUE=$AI$10:$AI$258, COUNTIF($AN$9:$AN147, $AK$10:$AK$258), ""), 0)),"")</f>
        <v/>
      </c>
    </row>
    <row r="149" spans="3:40" ht="14" x14ac:dyDescent="0.3">
      <c r="C149" s="141">
        <v>140</v>
      </c>
      <c r="D149" s="462"/>
      <c r="E149" s="153"/>
      <c r="F149" s="498" t="str">
        <f>IF(D149="","",VLOOKUP(D149,'G-7 Rivers Data'!$B$2:$G$8,2,FALSE))</f>
        <v/>
      </c>
      <c r="G149" s="499" t="str">
        <f>IFERROR(VLOOKUP(F149,'G-7 Rivers Data'!$C$4:$D$8,2,FALSE),"")</f>
        <v/>
      </c>
      <c r="H149" s="145"/>
      <c r="I149" s="499" t="str">
        <f>IFERROR(INDEX('G-7 Rivers Data'!$H$4:$L$8,MATCH(D149,'G-7 Rivers Data'!$B$4:$B$8,0),MATCH(H149,'G-7 Rivers Data'!$H$3:$L$3,0)),"")</f>
        <v/>
      </c>
      <c r="J149" s="154"/>
      <c r="K149" s="520" t="str">
        <f>IF(J149="","",IF(VLOOKUP(J149,'G-7 Rivers Data'!$AK$4:$AM$9,2,FALSE)=0,"Spatial Data Missing ⚠",VLOOKUP(J149,'G-7 Rivers Data'!$AK$4:$AM$9,2,FALSE)))</f>
        <v/>
      </c>
      <c r="L149" s="524" t="str">
        <f>IF(J149="","",IF(VLOOKUP(J149,'G-7 Rivers Data'!$AK$4:$AM$9,3,FALSE)=0,"Spatial Data Missing ⚠",VLOOKUP(J149,'G-7 Rivers Data'!$AK$4:$AM$9,3,FALSE)))</f>
        <v/>
      </c>
      <c r="M149" s="71"/>
      <c r="N149" s="499" t="str">
        <f>IF(M149="","",IF(VLOOKUP(M149,'G-7 Rivers Data'!$AA$4:$AB$7,2,FALSE)=0,"Spatial Data Missing ⚠",VLOOKUP(M149,'G-7 Rivers Data'!$AA$4:$AB$7,2,FALSE)))</f>
        <v/>
      </c>
      <c r="O149" s="155"/>
      <c r="P149" s="499" t="str">
        <f>IF(O149="","",IF(VLOOKUP(O149,'G-7 Rivers Data'!$AD$4:$AE$8,2,FALSE)=0,"Spatial Data Missing ⚠",VLOOKUP(O149,'G-7 Rivers Data'!$AD$4:$AE$8,2,FALSE)))</f>
        <v/>
      </c>
      <c r="Q149" s="506" t="str">
        <f>IF(D149="","",VLOOKUP(D149,'G-7 Rivers Data'!$B$4:$G$8,6,FALSE))</f>
        <v/>
      </c>
      <c r="R149" s="513" t="str">
        <f t="shared" si="16"/>
        <v/>
      </c>
      <c r="S149" s="40"/>
      <c r="T149" s="145"/>
      <c r="U149" s="157"/>
      <c r="V149" s="511" t="str">
        <f t="shared" si="17"/>
        <v/>
      </c>
      <c r="W149" s="511" t="str">
        <f t="shared" si="18"/>
        <v/>
      </c>
      <c r="X149" s="511" t="str">
        <f t="shared" si="19"/>
        <v/>
      </c>
      <c r="Y149" s="515" t="str">
        <f t="shared" si="20"/>
        <v/>
      </c>
      <c r="Z149" s="151"/>
      <c r="AA149" s="152"/>
      <c r="AF149" s="31" t="str">
        <f>IFERROR(INDEX('G-7 Rivers Data'!$AZ$3:$AZ$7,MATCH(D149,'G-7 Rivers Data'!$AY$3:$AY$7,0)),"")</f>
        <v/>
      </c>
      <c r="AG149" s="31">
        <f t="shared" si="21"/>
        <v>0</v>
      </c>
      <c r="AH149" s="156" t="str">
        <f t="shared" si="22"/>
        <v/>
      </c>
      <c r="AI149" s="156" t="str">
        <f t="shared" si="23"/>
        <v/>
      </c>
      <c r="AK149" s="156">
        <v>140</v>
      </c>
      <c r="AM149" s="156" t="str">
        <f t="array" ref="AM149">IFERROR(INDEX($AK$10:$AK$258, MATCH(0, IF(TRUE=$AH$10:$AH$258, COUNTIF($AM$9:$AM148, $AK$10:$AK$258), ""), 0)),"")</f>
        <v/>
      </c>
      <c r="AN149" s="156" t="str">
        <f t="array" ref="AN149">IFERROR(INDEX($AK$10:$AK$258, MATCH(0, IF(TRUE=$AI$10:$AI$258, COUNTIF($AN$9:$AN148, $AK$10:$AK$258), ""), 0)),"")</f>
        <v/>
      </c>
    </row>
    <row r="150" spans="3:40" ht="14" x14ac:dyDescent="0.3">
      <c r="C150" s="141">
        <v>141</v>
      </c>
      <c r="D150" s="462"/>
      <c r="E150" s="153"/>
      <c r="F150" s="498" t="str">
        <f>IF(D150="","",VLOOKUP(D150,'G-7 Rivers Data'!$B$2:$G$8,2,FALSE))</f>
        <v/>
      </c>
      <c r="G150" s="499" t="str">
        <f>IFERROR(VLOOKUP(F150,'G-7 Rivers Data'!$C$4:$D$8,2,FALSE),"")</f>
        <v/>
      </c>
      <c r="H150" s="145"/>
      <c r="I150" s="499" t="str">
        <f>IFERROR(INDEX('G-7 Rivers Data'!$H$4:$L$8,MATCH(D150,'G-7 Rivers Data'!$B$4:$B$8,0),MATCH(H150,'G-7 Rivers Data'!$H$3:$L$3,0)),"")</f>
        <v/>
      </c>
      <c r="J150" s="154"/>
      <c r="K150" s="520" t="str">
        <f>IF(J150="","",IF(VLOOKUP(J150,'G-7 Rivers Data'!$AK$4:$AM$9,2,FALSE)=0,"Spatial Data Missing ⚠",VLOOKUP(J150,'G-7 Rivers Data'!$AK$4:$AM$9,2,FALSE)))</f>
        <v/>
      </c>
      <c r="L150" s="524" t="str">
        <f>IF(J150="","",IF(VLOOKUP(J150,'G-7 Rivers Data'!$AK$4:$AM$9,3,FALSE)=0,"Spatial Data Missing ⚠",VLOOKUP(J150,'G-7 Rivers Data'!$AK$4:$AM$9,3,FALSE)))</f>
        <v/>
      </c>
      <c r="M150" s="71"/>
      <c r="N150" s="499" t="str">
        <f>IF(M150="","",IF(VLOOKUP(M150,'G-7 Rivers Data'!$AA$4:$AB$7,2,FALSE)=0,"Spatial Data Missing ⚠",VLOOKUP(M150,'G-7 Rivers Data'!$AA$4:$AB$7,2,FALSE)))</f>
        <v/>
      </c>
      <c r="O150" s="155"/>
      <c r="P150" s="499" t="str">
        <f>IF(O150="","",IF(VLOOKUP(O150,'G-7 Rivers Data'!$AD$4:$AE$8,2,FALSE)=0,"Spatial Data Missing ⚠",VLOOKUP(O150,'G-7 Rivers Data'!$AD$4:$AE$8,2,FALSE)))</f>
        <v/>
      </c>
      <c r="Q150" s="506" t="str">
        <f>IF(D150="","",VLOOKUP(D150,'G-7 Rivers Data'!$B$4:$G$8,6,FALSE))</f>
        <v/>
      </c>
      <c r="R150" s="513" t="str">
        <f t="shared" si="16"/>
        <v/>
      </c>
      <c r="S150" s="40"/>
      <c r="T150" s="145"/>
      <c r="U150" s="157"/>
      <c r="V150" s="511" t="str">
        <f t="shared" si="17"/>
        <v/>
      </c>
      <c r="W150" s="511" t="str">
        <f t="shared" si="18"/>
        <v/>
      </c>
      <c r="X150" s="511" t="str">
        <f t="shared" si="19"/>
        <v/>
      </c>
      <c r="Y150" s="515" t="str">
        <f t="shared" si="20"/>
        <v/>
      </c>
      <c r="Z150" s="151"/>
      <c r="AA150" s="152"/>
      <c r="AF150" s="31" t="str">
        <f>IFERROR(INDEX('G-7 Rivers Data'!$AZ$3:$AZ$7,MATCH(D150,'G-7 Rivers Data'!$AY$3:$AY$7,0)),"")</f>
        <v/>
      </c>
      <c r="AG150" s="31">
        <f t="shared" si="21"/>
        <v>0</v>
      </c>
      <c r="AH150" s="156" t="str">
        <f t="shared" si="22"/>
        <v/>
      </c>
      <c r="AI150" s="156" t="str">
        <f t="shared" si="23"/>
        <v/>
      </c>
      <c r="AK150" s="156">
        <v>141</v>
      </c>
      <c r="AM150" s="156" t="str">
        <f t="array" ref="AM150">IFERROR(INDEX($AK$10:$AK$258, MATCH(0, IF(TRUE=$AH$10:$AH$258, COUNTIF($AM$9:$AM149, $AK$10:$AK$258), ""), 0)),"")</f>
        <v/>
      </c>
      <c r="AN150" s="156" t="str">
        <f t="array" ref="AN150">IFERROR(INDEX($AK$10:$AK$258, MATCH(0, IF(TRUE=$AI$10:$AI$258, COUNTIF($AN$9:$AN149, $AK$10:$AK$258), ""), 0)),"")</f>
        <v/>
      </c>
    </row>
    <row r="151" spans="3:40" ht="14" x14ac:dyDescent="0.3">
      <c r="C151" s="141">
        <v>142</v>
      </c>
      <c r="D151" s="462"/>
      <c r="E151" s="153"/>
      <c r="F151" s="498" t="str">
        <f>IF(D151="","",VLOOKUP(D151,'G-7 Rivers Data'!$B$2:$G$8,2,FALSE))</f>
        <v/>
      </c>
      <c r="G151" s="499" t="str">
        <f>IFERROR(VLOOKUP(F151,'G-7 Rivers Data'!$C$4:$D$8,2,FALSE),"")</f>
        <v/>
      </c>
      <c r="H151" s="145"/>
      <c r="I151" s="499" t="str">
        <f>IFERROR(INDEX('G-7 Rivers Data'!$H$4:$L$8,MATCH(D151,'G-7 Rivers Data'!$B$4:$B$8,0),MATCH(H151,'G-7 Rivers Data'!$H$3:$L$3,0)),"")</f>
        <v/>
      </c>
      <c r="J151" s="154"/>
      <c r="K151" s="520" t="str">
        <f>IF(J151="","",IF(VLOOKUP(J151,'G-7 Rivers Data'!$AK$4:$AM$9,2,FALSE)=0,"Spatial Data Missing ⚠",VLOOKUP(J151,'G-7 Rivers Data'!$AK$4:$AM$9,2,FALSE)))</f>
        <v/>
      </c>
      <c r="L151" s="524" t="str">
        <f>IF(J151="","",IF(VLOOKUP(J151,'G-7 Rivers Data'!$AK$4:$AM$9,3,FALSE)=0,"Spatial Data Missing ⚠",VLOOKUP(J151,'G-7 Rivers Data'!$AK$4:$AM$9,3,FALSE)))</f>
        <v/>
      </c>
      <c r="M151" s="71"/>
      <c r="N151" s="499" t="str">
        <f>IF(M151="","",IF(VLOOKUP(M151,'G-7 Rivers Data'!$AA$4:$AB$7,2,FALSE)=0,"Spatial Data Missing ⚠",VLOOKUP(M151,'G-7 Rivers Data'!$AA$4:$AB$7,2,FALSE)))</f>
        <v/>
      </c>
      <c r="O151" s="155"/>
      <c r="P151" s="499" t="str">
        <f>IF(O151="","",IF(VLOOKUP(O151,'G-7 Rivers Data'!$AD$4:$AE$8,2,FALSE)=0,"Spatial Data Missing ⚠",VLOOKUP(O151,'G-7 Rivers Data'!$AD$4:$AE$8,2,FALSE)))</f>
        <v/>
      </c>
      <c r="Q151" s="506" t="str">
        <f>IF(D151="","",VLOOKUP(D151,'G-7 Rivers Data'!$B$4:$G$8,6,FALSE))</f>
        <v/>
      </c>
      <c r="R151" s="513" t="str">
        <f t="shared" si="16"/>
        <v/>
      </c>
      <c r="S151" s="40"/>
      <c r="T151" s="145"/>
      <c r="U151" s="157"/>
      <c r="V151" s="511" t="str">
        <f t="shared" si="17"/>
        <v/>
      </c>
      <c r="W151" s="511" t="str">
        <f t="shared" si="18"/>
        <v/>
      </c>
      <c r="X151" s="511" t="str">
        <f t="shared" si="19"/>
        <v/>
      </c>
      <c r="Y151" s="515" t="str">
        <f t="shared" si="20"/>
        <v/>
      </c>
      <c r="Z151" s="151"/>
      <c r="AA151" s="152"/>
      <c r="AF151" s="31" t="str">
        <f>IFERROR(INDEX('G-7 Rivers Data'!$AZ$3:$AZ$7,MATCH(D151,'G-7 Rivers Data'!$AY$3:$AY$7,0)),"")</f>
        <v/>
      </c>
      <c r="AG151" s="31">
        <f t="shared" si="21"/>
        <v>0</v>
      </c>
      <c r="AH151" s="156" t="str">
        <f t="shared" si="22"/>
        <v/>
      </c>
      <c r="AI151" s="156" t="str">
        <f t="shared" si="23"/>
        <v/>
      </c>
      <c r="AK151" s="156">
        <v>142</v>
      </c>
      <c r="AM151" s="156" t="str">
        <f t="array" ref="AM151">IFERROR(INDEX($AK$10:$AK$258, MATCH(0, IF(TRUE=$AH$10:$AH$258, COUNTIF($AM$9:$AM150, $AK$10:$AK$258), ""), 0)),"")</f>
        <v/>
      </c>
      <c r="AN151" s="156" t="str">
        <f t="array" ref="AN151">IFERROR(INDEX($AK$10:$AK$258, MATCH(0, IF(TRUE=$AI$10:$AI$258, COUNTIF($AN$9:$AN150, $AK$10:$AK$258), ""), 0)),"")</f>
        <v/>
      </c>
    </row>
    <row r="152" spans="3:40" ht="14" x14ac:dyDescent="0.3">
      <c r="C152" s="141">
        <v>143</v>
      </c>
      <c r="D152" s="462"/>
      <c r="E152" s="153"/>
      <c r="F152" s="498" t="str">
        <f>IF(D152="","",VLOOKUP(D152,'G-7 Rivers Data'!$B$2:$G$8,2,FALSE))</f>
        <v/>
      </c>
      <c r="G152" s="499" t="str">
        <f>IFERROR(VLOOKUP(F152,'G-7 Rivers Data'!$C$4:$D$8,2,FALSE),"")</f>
        <v/>
      </c>
      <c r="H152" s="145"/>
      <c r="I152" s="499" t="str">
        <f>IFERROR(INDEX('G-7 Rivers Data'!$H$4:$L$8,MATCH(D152,'G-7 Rivers Data'!$B$4:$B$8,0),MATCH(H152,'G-7 Rivers Data'!$H$3:$L$3,0)),"")</f>
        <v/>
      </c>
      <c r="J152" s="154"/>
      <c r="K152" s="520" t="str">
        <f>IF(J152="","",IF(VLOOKUP(J152,'G-7 Rivers Data'!$AK$4:$AM$9,2,FALSE)=0,"Spatial Data Missing ⚠",VLOOKUP(J152,'G-7 Rivers Data'!$AK$4:$AM$9,2,FALSE)))</f>
        <v/>
      </c>
      <c r="L152" s="524" t="str">
        <f>IF(J152="","",IF(VLOOKUP(J152,'G-7 Rivers Data'!$AK$4:$AM$9,3,FALSE)=0,"Spatial Data Missing ⚠",VLOOKUP(J152,'G-7 Rivers Data'!$AK$4:$AM$9,3,FALSE)))</f>
        <v/>
      </c>
      <c r="M152" s="71"/>
      <c r="N152" s="499" t="str">
        <f>IF(M152="","",IF(VLOOKUP(M152,'G-7 Rivers Data'!$AA$4:$AB$7,2,FALSE)=0,"Spatial Data Missing ⚠",VLOOKUP(M152,'G-7 Rivers Data'!$AA$4:$AB$7,2,FALSE)))</f>
        <v/>
      </c>
      <c r="O152" s="155"/>
      <c r="P152" s="499" t="str">
        <f>IF(O152="","",IF(VLOOKUP(O152,'G-7 Rivers Data'!$AD$4:$AE$8,2,FALSE)=0,"Spatial Data Missing ⚠",VLOOKUP(O152,'G-7 Rivers Data'!$AD$4:$AE$8,2,FALSE)))</f>
        <v/>
      </c>
      <c r="Q152" s="506" t="str">
        <f>IF(D152="","",VLOOKUP(D152,'G-7 Rivers Data'!$B$4:$G$8,6,FALSE))</f>
        <v/>
      </c>
      <c r="R152" s="513" t="str">
        <f t="shared" si="16"/>
        <v/>
      </c>
      <c r="S152" s="40"/>
      <c r="T152" s="145"/>
      <c r="U152" s="157"/>
      <c r="V152" s="511" t="str">
        <f t="shared" si="17"/>
        <v/>
      </c>
      <c r="W152" s="511" t="str">
        <f t="shared" si="18"/>
        <v/>
      </c>
      <c r="X152" s="511" t="str">
        <f t="shared" si="19"/>
        <v/>
      </c>
      <c r="Y152" s="515" t="str">
        <f t="shared" si="20"/>
        <v/>
      </c>
      <c r="Z152" s="151"/>
      <c r="AA152" s="152"/>
      <c r="AF152" s="31" t="str">
        <f>IFERROR(INDEX('G-7 Rivers Data'!$AZ$3:$AZ$7,MATCH(D152,'G-7 Rivers Data'!$AY$3:$AY$7,0)),"")</f>
        <v/>
      </c>
      <c r="AG152" s="31">
        <f t="shared" si="21"/>
        <v>0</v>
      </c>
      <c r="AH152" s="156" t="str">
        <f t="shared" si="22"/>
        <v/>
      </c>
      <c r="AI152" s="156" t="str">
        <f t="shared" si="23"/>
        <v/>
      </c>
      <c r="AK152" s="156">
        <v>143</v>
      </c>
      <c r="AM152" s="156" t="str">
        <f t="array" ref="AM152">IFERROR(INDEX($AK$10:$AK$258, MATCH(0, IF(TRUE=$AH$10:$AH$258, COUNTIF($AM$9:$AM151, $AK$10:$AK$258), ""), 0)),"")</f>
        <v/>
      </c>
      <c r="AN152" s="156" t="str">
        <f t="array" ref="AN152">IFERROR(INDEX($AK$10:$AK$258, MATCH(0, IF(TRUE=$AI$10:$AI$258, COUNTIF($AN$9:$AN151, $AK$10:$AK$258), ""), 0)),"")</f>
        <v/>
      </c>
    </row>
    <row r="153" spans="3:40" ht="14" x14ac:dyDescent="0.3">
      <c r="C153" s="141">
        <v>144</v>
      </c>
      <c r="D153" s="462"/>
      <c r="E153" s="153"/>
      <c r="F153" s="498" t="str">
        <f>IF(D153="","",VLOOKUP(D153,'G-7 Rivers Data'!$B$2:$G$8,2,FALSE))</f>
        <v/>
      </c>
      <c r="G153" s="499" t="str">
        <f>IFERROR(VLOOKUP(F153,'G-7 Rivers Data'!$C$4:$D$8,2,FALSE),"")</f>
        <v/>
      </c>
      <c r="H153" s="145"/>
      <c r="I153" s="499" t="str">
        <f>IFERROR(INDEX('G-7 Rivers Data'!$H$4:$L$8,MATCH(D153,'G-7 Rivers Data'!$B$4:$B$8,0),MATCH(H153,'G-7 Rivers Data'!$H$3:$L$3,0)),"")</f>
        <v/>
      </c>
      <c r="J153" s="154"/>
      <c r="K153" s="520" t="str">
        <f>IF(J153="","",IF(VLOOKUP(J153,'G-7 Rivers Data'!$AK$4:$AM$9,2,FALSE)=0,"Spatial Data Missing ⚠",VLOOKUP(J153,'G-7 Rivers Data'!$AK$4:$AM$9,2,FALSE)))</f>
        <v/>
      </c>
      <c r="L153" s="524" t="str">
        <f>IF(J153="","",IF(VLOOKUP(J153,'G-7 Rivers Data'!$AK$4:$AM$9,3,FALSE)=0,"Spatial Data Missing ⚠",VLOOKUP(J153,'G-7 Rivers Data'!$AK$4:$AM$9,3,FALSE)))</f>
        <v/>
      </c>
      <c r="M153" s="71"/>
      <c r="N153" s="499" t="str">
        <f>IF(M153="","",IF(VLOOKUP(M153,'G-7 Rivers Data'!$AA$4:$AB$7,2,FALSE)=0,"Spatial Data Missing ⚠",VLOOKUP(M153,'G-7 Rivers Data'!$AA$4:$AB$7,2,FALSE)))</f>
        <v/>
      </c>
      <c r="O153" s="155"/>
      <c r="P153" s="499" t="str">
        <f>IF(O153="","",IF(VLOOKUP(O153,'G-7 Rivers Data'!$AD$4:$AE$8,2,FALSE)=0,"Spatial Data Missing ⚠",VLOOKUP(O153,'G-7 Rivers Data'!$AD$4:$AE$8,2,FALSE)))</f>
        <v/>
      </c>
      <c r="Q153" s="506" t="str">
        <f>IF(D153="","",VLOOKUP(D153,'G-7 Rivers Data'!$B$4:$G$8,6,FALSE))</f>
        <v/>
      </c>
      <c r="R153" s="513" t="str">
        <f t="shared" si="16"/>
        <v/>
      </c>
      <c r="S153" s="40"/>
      <c r="T153" s="145"/>
      <c r="U153" s="157"/>
      <c r="V153" s="511" t="str">
        <f t="shared" si="17"/>
        <v/>
      </c>
      <c r="W153" s="511" t="str">
        <f t="shared" si="18"/>
        <v/>
      </c>
      <c r="X153" s="511" t="str">
        <f t="shared" si="19"/>
        <v/>
      </c>
      <c r="Y153" s="515" t="str">
        <f t="shared" si="20"/>
        <v/>
      </c>
      <c r="Z153" s="151"/>
      <c r="AA153" s="152"/>
      <c r="AF153" s="31" t="str">
        <f>IFERROR(INDEX('G-7 Rivers Data'!$AZ$3:$AZ$7,MATCH(D153,'G-7 Rivers Data'!$AY$3:$AY$7,0)),"")</f>
        <v/>
      </c>
      <c r="AG153" s="31">
        <f t="shared" si="21"/>
        <v>0</v>
      </c>
      <c r="AH153" s="156" t="str">
        <f t="shared" si="22"/>
        <v/>
      </c>
      <c r="AI153" s="156" t="str">
        <f t="shared" si="23"/>
        <v/>
      </c>
      <c r="AK153" s="156">
        <v>144</v>
      </c>
      <c r="AM153" s="156" t="str">
        <f t="array" ref="AM153">IFERROR(INDEX($AK$10:$AK$258, MATCH(0, IF(TRUE=$AH$10:$AH$258, COUNTIF($AM$9:$AM152, $AK$10:$AK$258), ""), 0)),"")</f>
        <v/>
      </c>
      <c r="AN153" s="156" t="str">
        <f t="array" ref="AN153">IFERROR(INDEX($AK$10:$AK$258, MATCH(0, IF(TRUE=$AI$10:$AI$258, COUNTIF($AN$9:$AN152, $AK$10:$AK$258), ""), 0)),"")</f>
        <v/>
      </c>
    </row>
    <row r="154" spans="3:40" ht="14" x14ac:dyDescent="0.3">
      <c r="C154" s="141">
        <v>145</v>
      </c>
      <c r="D154" s="462"/>
      <c r="E154" s="153"/>
      <c r="F154" s="498" t="str">
        <f>IF(D154="","",VLOOKUP(D154,'G-7 Rivers Data'!$B$2:$G$8,2,FALSE))</f>
        <v/>
      </c>
      <c r="G154" s="499" t="str">
        <f>IFERROR(VLOOKUP(F154,'G-7 Rivers Data'!$C$4:$D$8,2,FALSE),"")</f>
        <v/>
      </c>
      <c r="H154" s="145"/>
      <c r="I154" s="499" t="str">
        <f>IFERROR(INDEX('G-7 Rivers Data'!$H$4:$L$8,MATCH(D154,'G-7 Rivers Data'!$B$4:$B$8,0),MATCH(H154,'G-7 Rivers Data'!$H$3:$L$3,0)),"")</f>
        <v/>
      </c>
      <c r="J154" s="154"/>
      <c r="K154" s="520" t="str">
        <f>IF(J154="","",IF(VLOOKUP(J154,'G-7 Rivers Data'!$AK$4:$AM$9,2,FALSE)=0,"Spatial Data Missing ⚠",VLOOKUP(J154,'G-7 Rivers Data'!$AK$4:$AM$9,2,FALSE)))</f>
        <v/>
      </c>
      <c r="L154" s="524" t="str">
        <f>IF(J154="","",IF(VLOOKUP(J154,'G-7 Rivers Data'!$AK$4:$AM$9,3,FALSE)=0,"Spatial Data Missing ⚠",VLOOKUP(J154,'G-7 Rivers Data'!$AK$4:$AM$9,3,FALSE)))</f>
        <v/>
      </c>
      <c r="M154" s="71"/>
      <c r="N154" s="499" t="str">
        <f>IF(M154="","",IF(VLOOKUP(M154,'G-7 Rivers Data'!$AA$4:$AB$7,2,FALSE)=0,"Spatial Data Missing ⚠",VLOOKUP(M154,'G-7 Rivers Data'!$AA$4:$AB$7,2,FALSE)))</f>
        <v/>
      </c>
      <c r="O154" s="155"/>
      <c r="P154" s="499" t="str">
        <f>IF(O154="","",IF(VLOOKUP(O154,'G-7 Rivers Data'!$AD$4:$AE$8,2,FALSE)=0,"Spatial Data Missing ⚠",VLOOKUP(O154,'G-7 Rivers Data'!$AD$4:$AE$8,2,FALSE)))</f>
        <v/>
      </c>
      <c r="Q154" s="506" t="str">
        <f>IF(D154="","",VLOOKUP(D154,'G-7 Rivers Data'!$B$4:$G$8,6,FALSE))</f>
        <v/>
      </c>
      <c r="R154" s="513" t="str">
        <f t="shared" si="16"/>
        <v/>
      </c>
      <c r="S154" s="40"/>
      <c r="T154" s="145"/>
      <c r="U154" s="157"/>
      <c r="V154" s="511" t="str">
        <f t="shared" si="17"/>
        <v/>
      </c>
      <c r="W154" s="511" t="str">
        <f t="shared" si="18"/>
        <v/>
      </c>
      <c r="X154" s="511" t="str">
        <f t="shared" si="19"/>
        <v/>
      </c>
      <c r="Y154" s="515" t="str">
        <f t="shared" si="20"/>
        <v/>
      </c>
      <c r="Z154" s="151"/>
      <c r="AA154" s="152"/>
      <c r="AF154" s="31" t="str">
        <f>IFERROR(INDEX('G-7 Rivers Data'!$AZ$3:$AZ$7,MATCH(D154,'G-7 Rivers Data'!$AY$3:$AY$7,0)),"")</f>
        <v/>
      </c>
      <c r="AG154" s="31">
        <f t="shared" si="21"/>
        <v>0</v>
      </c>
      <c r="AH154" s="156" t="str">
        <f t="shared" si="22"/>
        <v/>
      </c>
      <c r="AI154" s="156" t="str">
        <f t="shared" si="23"/>
        <v/>
      </c>
      <c r="AK154" s="156">
        <v>145</v>
      </c>
      <c r="AM154" s="156" t="str">
        <f t="array" ref="AM154">IFERROR(INDEX($AK$10:$AK$258, MATCH(0, IF(TRUE=$AH$10:$AH$258, COUNTIF($AM$9:$AM153, $AK$10:$AK$258), ""), 0)),"")</f>
        <v/>
      </c>
      <c r="AN154" s="156" t="str">
        <f t="array" ref="AN154">IFERROR(INDEX($AK$10:$AK$258, MATCH(0, IF(TRUE=$AI$10:$AI$258, COUNTIF($AN$9:$AN153, $AK$10:$AK$258), ""), 0)),"")</f>
        <v/>
      </c>
    </row>
    <row r="155" spans="3:40" ht="14" x14ac:dyDescent="0.3">
      <c r="C155" s="141">
        <v>146</v>
      </c>
      <c r="D155" s="462"/>
      <c r="E155" s="153"/>
      <c r="F155" s="498" t="str">
        <f>IF(D155="","",VLOOKUP(D155,'G-7 Rivers Data'!$B$2:$G$8,2,FALSE))</f>
        <v/>
      </c>
      <c r="G155" s="499" t="str">
        <f>IFERROR(VLOOKUP(F155,'G-7 Rivers Data'!$C$4:$D$8,2,FALSE),"")</f>
        <v/>
      </c>
      <c r="H155" s="145"/>
      <c r="I155" s="499" t="str">
        <f>IFERROR(INDEX('G-7 Rivers Data'!$H$4:$L$8,MATCH(D155,'G-7 Rivers Data'!$B$4:$B$8,0),MATCH(H155,'G-7 Rivers Data'!$H$3:$L$3,0)),"")</f>
        <v/>
      </c>
      <c r="J155" s="154"/>
      <c r="K155" s="520" t="str">
        <f>IF(J155="","",IF(VLOOKUP(J155,'G-7 Rivers Data'!$AK$4:$AM$9,2,FALSE)=0,"Spatial Data Missing ⚠",VLOOKUP(J155,'G-7 Rivers Data'!$AK$4:$AM$9,2,FALSE)))</f>
        <v/>
      </c>
      <c r="L155" s="524" t="str">
        <f>IF(J155="","",IF(VLOOKUP(J155,'G-7 Rivers Data'!$AK$4:$AM$9,3,FALSE)=0,"Spatial Data Missing ⚠",VLOOKUP(J155,'G-7 Rivers Data'!$AK$4:$AM$9,3,FALSE)))</f>
        <v/>
      </c>
      <c r="M155" s="71"/>
      <c r="N155" s="499" t="str">
        <f>IF(M155="","",IF(VLOOKUP(M155,'G-7 Rivers Data'!$AA$4:$AB$7,2,FALSE)=0,"Spatial Data Missing ⚠",VLOOKUP(M155,'G-7 Rivers Data'!$AA$4:$AB$7,2,FALSE)))</f>
        <v/>
      </c>
      <c r="O155" s="155"/>
      <c r="P155" s="499" t="str">
        <f>IF(O155="","",IF(VLOOKUP(O155,'G-7 Rivers Data'!$AD$4:$AE$8,2,FALSE)=0,"Spatial Data Missing ⚠",VLOOKUP(O155,'G-7 Rivers Data'!$AD$4:$AE$8,2,FALSE)))</f>
        <v/>
      </c>
      <c r="Q155" s="506" t="str">
        <f>IF(D155="","",VLOOKUP(D155,'G-7 Rivers Data'!$B$4:$G$8,6,FALSE))</f>
        <v/>
      </c>
      <c r="R155" s="513" t="str">
        <f t="shared" si="16"/>
        <v/>
      </c>
      <c r="S155" s="40"/>
      <c r="T155" s="145"/>
      <c r="U155" s="157"/>
      <c r="V155" s="511" t="str">
        <f t="shared" si="17"/>
        <v/>
      </c>
      <c r="W155" s="511" t="str">
        <f t="shared" si="18"/>
        <v/>
      </c>
      <c r="X155" s="511" t="str">
        <f t="shared" si="19"/>
        <v/>
      </c>
      <c r="Y155" s="515" t="str">
        <f t="shared" si="20"/>
        <v/>
      </c>
      <c r="Z155" s="151"/>
      <c r="AA155" s="152"/>
      <c r="AF155" s="31" t="str">
        <f>IFERROR(INDEX('G-7 Rivers Data'!$AZ$3:$AZ$7,MATCH(D155,'G-7 Rivers Data'!$AY$3:$AY$7,0)),"")</f>
        <v/>
      </c>
      <c r="AG155" s="31">
        <f t="shared" si="21"/>
        <v>0</v>
      </c>
      <c r="AH155" s="156" t="str">
        <f t="shared" si="22"/>
        <v/>
      </c>
      <c r="AI155" s="156" t="str">
        <f t="shared" si="23"/>
        <v/>
      </c>
      <c r="AK155" s="156">
        <v>146</v>
      </c>
      <c r="AM155" s="156" t="str">
        <f t="array" ref="AM155">IFERROR(INDEX($AK$10:$AK$258, MATCH(0, IF(TRUE=$AH$10:$AH$258, COUNTIF($AM$9:$AM154, $AK$10:$AK$258), ""), 0)),"")</f>
        <v/>
      </c>
      <c r="AN155" s="156" t="str">
        <f t="array" ref="AN155">IFERROR(INDEX($AK$10:$AK$258, MATCH(0, IF(TRUE=$AI$10:$AI$258, COUNTIF($AN$9:$AN154, $AK$10:$AK$258), ""), 0)),"")</f>
        <v/>
      </c>
    </row>
    <row r="156" spans="3:40" ht="14" x14ac:dyDescent="0.3">
      <c r="C156" s="141">
        <v>147</v>
      </c>
      <c r="D156" s="462"/>
      <c r="E156" s="153"/>
      <c r="F156" s="498" t="str">
        <f>IF(D156="","",VLOOKUP(D156,'G-7 Rivers Data'!$B$2:$G$8,2,FALSE))</f>
        <v/>
      </c>
      <c r="G156" s="499" t="str">
        <f>IFERROR(VLOOKUP(F156,'G-7 Rivers Data'!$C$4:$D$8,2,FALSE),"")</f>
        <v/>
      </c>
      <c r="H156" s="145"/>
      <c r="I156" s="499" t="str">
        <f>IFERROR(INDEX('G-7 Rivers Data'!$H$4:$L$8,MATCH(D156,'G-7 Rivers Data'!$B$4:$B$8,0),MATCH(H156,'G-7 Rivers Data'!$H$3:$L$3,0)),"")</f>
        <v/>
      </c>
      <c r="J156" s="154"/>
      <c r="K156" s="520" t="str">
        <f>IF(J156="","",IF(VLOOKUP(J156,'G-7 Rivers Data'!$AK$4:$AM$9,2,FALSE)=0,"Spatial Data Missing ⚠",VLOOKUP(J156,'G-7 Rivers Data'!$AK$4:$AM$9,2,FALSE)))</f>
        <v/>
      </c>
      <c r="L156" s="524" t="str">
        <f>IF(J156="","",IF(VLOOKUP(J156,'G-7 Rivers Data'!$AK$4:$AM$9,3,FALSE)=0,"Spatial Data Missing ⚠",VLOOKUP(J156,'G-7 Rivers Data'!$AK$4:$AM$9,3,FALSE)))</f>
        <v/>
      </c>
      <c r="M156" s="71"/>
      <c r="N156" s="499" t="str">
        <f>IF(M156="","",IF(VLOOKUP(M156,'G-7 Rivers Data'!$AA$4:$AB$7,2,FALSE)=0,"Spatial Data Missing ⚠",VLOOKUP(M156,'G-7 Rivers Data'!$AA$4:$AB$7,2,FALSE)))</f>
        <v/>
      </c>
      <c r="O156" s="155"/>
      <c r="P156" s="499" t="str">
        <f>IF(O156="","",IF(VLOOKUP(O156,'G-7 Rivers Data'!$AD$4:$AE$8,2,FALSE)=0,"Spatial Data Missing ⚠",VLOOKUP(O156,'G-7 Rivers Data'!$AD$4:$AE$8,2,FALSE)))</f>
        <v/>
      </c>
      <c r="Q156" s="506" t="str">
        <f>IF(D156="","",VLOOKUP(D156,'G-7 Rivers Data'!$B$4:$G$8,6,FALSE))</f>
        <v/>
      </c>
      <c r="R156" s="513" t="str">
        <f t="shared" si="16"/>
        <v/>
      </c>
      <c r="S156" s="40"/>
      <c r="T156" s="145"/>
      <c r="U156" s="157"/>
      <c r="V156" s="511" t="str">
        <f t="shared" si="17"/>
        <v/>
      </c>
      <c r="W156" s="511" t="str">
        <f t="shared" si="18"/>
        <v/>
      </c>
      <c r="X156" s="511" t="str">
        <f t="shared" si="19"/>
        <v/>
      </c>
      <c r="Y156" s="515" t="str">
        <f t="shared" si="20"/>
        <v/>
      </c>
      <c r="Z156" s="151"/>
      <c r="AA156" s="152"/>
      <c r="AF156" s="31" t="str">
        <f>IFERROR(INDEX('G-7 Rivers Data'!$AZ$3:$AZ$7,MATCH(D156,'G-7 Rivers Data'!$AY$3:$AY$7,0)),"")</f>
        <v/>
      </c>
      <c r="AG156" s="31">
        <f t="shared" si="21"/>
        <v>0</v>
      </c>
      <c r="AH156" s="156" t="str">
        <f t="shared" si="22"/>
        <v/>
      </c>
      <c r="AI156" s="156" t="str">
        <f t="shared" si="23"/>
        <v/>
      </c>
      <c r="AK156" s="156">
        <v>147</v>
      </c>
      <c r="AM156" s="156" t="str">
        <f t="array" ref="AM156">IFERROR(INDEX($AK$10:$AK$258, MATCH(0, IF(TRUE=$AH$10:$AH$258, COUNTIF($AM$9:$AM155, $AK$10:$AK$258), ""), 0)),"")</f>
        <v/>
      </c>
      <c r="AN156" s="156" t="str">
        <f t="array" ref="AN156">IFERROR(INDEX($AK$10:$AK$258, MATCH(0, IF(TRUE=$AI$10:$AI$258, COUNTIF($AN$9:$AN155, $AK$10:$AK$258), ""), 0)),"")</f>
        <v/>
      </c>
    </row>
    <row r="157" spans="3:40" ht="14" x14ac:dyDescent="0.3">
      <c r="C157" s="141">
        <v>148</v>
      </c>
      <c r="D157" s="462"/>
      <c r="E157" s="153"/>
      <c r="F157" s="498" t="str">
        <f>IF(D157="","",VLOOKUP(D157,'G-7 Rivers Data'!$B$2:$G$8,2,FALSE))</f>
        <v/>
      </c>
      <c r="G157" s="499" t="str">
        <f>IFERROR(VLOOKUP(F157,'G-7 Rivers Data'!$C$4:$D$8,2,FALSE),"")</f>
        <v/>
      </c>
      <c r="H157" s="145"/>
      <c r="I157" s="499" t="str">
        <f>IFERROR(INDEX('G-7 Rivers Data'!$H$4:$L$8,MATCH(D157,'G-7 Rivers Data'!$B$4:$B$8,0),MATCH(H157,'G-7 Rivers Data'!$H$3:$L$3,0)),"")</f>
        <v/>
      </c>
      <c r="J157" s="154"/>
      <c r="K157" s="520" t="str">
        <f>IF(J157="","",IF(VLOOKUP(J157,'G-7 Rivers Data'!$AK$4:$AM$9,2,FALSE)=0,"Spatial Data Missing ⚠",VLOOKUP(J157,'G-7 Rivers Data'!$AK$4:$AM$9,2,FALSE)))</f>
        <v/>
      </c>
      <c r="L157" s="524" t="str">
        <f>IF(J157="","",IF(VLOOKUP(J157,'G-7 Rivers Data'!$AK$4:$AM$9,3,FALSE)=0,"Spatial Data Missing ⚠",VLOOKUP(J157,'G-7 Rivers Data'!$AK$4:$AM$9,3,FALSE)))</f>
        <v/>
      </c>
      <c r="M157" s="71"/>
      <c r="N157" s="499" t="str">
        <f>IF(M157="","",IF(VLOOKUP(M157,'G-7 Rivers Data'!$AA$4:$AB$7,2,FALSE)=0,"Spatial Data Missing ⚠",VLOOKUP(M157,'G-7 Rivers Data'!$AA$4:$AB$7,2,FALSE)))</f>
        <v/>
      </c>
      <c r="O157" s="155"/>
      <c r="P157" s="499" t="str">
        <f>IF(O157="","",IF(VLOOKUP(O157,'G-7 Rivers Data'!$AD$4:$AE$8,2,FALSE)=0,"Spatial Data Missing ⚠",VLOOKUP(O157,'G-7 Rivers Data'!$AD$4:$AE$8,2,FALSE)))</f>
        <v/>
      </c>
      <c r="Q157" s="506" t="str">
        <f>IF(D157="","",VLOOKUP(D157,'G-7 Rivers Data'!$B$4:$G$8,6,FALSE))</f>
        <v/>
      </c>
      <c r="R157" s="513" t="str">
        <f t="shared" si="16"/>
        <v/>
      </c>
      <c r="S157" s="40"/>
      <c r="T157" s="145"/>
      <c r="U157" s="157"/>
      <c r="V157" s="511" t="str">
        <f t="shared" si="17"/>
        <v/>
      </c>
      <c r="W157" s="511" t="str">
        <f t="shared" si="18"/>
        <v/>
      </c>
      <c r="X157" s="511" t="str">
        <f t="shared" si="19"/>
        <v/>
      </c>
      <c r="Y157" s="515" t="str">
        <f t="shared" si="20"/>
        <v/>
      </c>
      <c r="Z157" s="151"/>
      <c r="AA157" s="152"/>
      <c r="AF157" s="31" t="str">
        <f>IFERROR(INDEX('G-7 Rivers Data'!$AZ$3:$AZ$7,MATCH(D157,'G-7 Rivers Data'!$AY$3:$AY$7,0)),"")</f>
        <v/>
      </c>
      <c r="AG157" s="31">
        <f t="shared" si="21"/>
        <v>0</v>
      </c>
      <c r="AH157" s="156" t="str">
        <f t="shared" si="22"/>
        <v/>
      </c>
      <c r="AI157" s="156" t="str">
        <f t="shared" si="23"/>
        <v/>
      </c>
      <c r="AK157" s="156">
        <v>148</v>
      </c>
      <c r="AM157" s="156" t="str">
        <f t="array" ref="AM157">IFERROR(INDEX($AK$10:$AK$258, MATCH(0, IF(TRUE=$AH$10:$AH$258, COUNTIF($AM$9:$AM156, $AK$10:$AK$258), ""), 0)),"")</f>
        <v/>
      </c>
      <c r="AN157" s="156" t="str">
        <f t="array" ref="AN157">IFERROR(INDEX($AK$10:$AK$258, MATCH(0, IF(TRUE=$AI$10:$AI$258, COUNTIF($AN$9:$AN156, $AK$10:$AK$258), ""), 0)),"")</f>
        <v/>
      </c>
    </row>
    <row r="158" spans="3:40" ht="14" x14ac:dyDescent="0.3">
      <c r="C158" s="141">
        <v>149</v>
      </c>
      <c r="D158" s="462"/>
      <c r="E158" s="153"/>
      <c r="F158" s="498" t="str">
        <f>IF(D158="","",VLOOKUP(D158,'G-7 Rivers Data'!$B$2:$G$8,2,FALSE))</f>
        <v/>
      </c>
      <c r="G158" s="499" t="str">
        <f>IFERROR(VLOOKUP(F158,'G-7 Rivers Data'!$C$4:$D$8,2,FALSE),"")</f>
        <v/>
      </c>
      <c r="H158" s="145"/>
      <c r="I158" s="499" t="str">
        <f>IFERROR(INDEX('G-7 Rivers Data'!$H$4:$L$8,MATCH(D158,'G-7 Rivers Data'!$B$4:$B$8,0),MATCH(H158,'G-7 Rivers Data'!$H$3:$L$3,0)),"")</f>
        <v/>
      </c>
      <c r="J158" s="154"/>
      <c r="K158" s="520" t="str">
        <f>IF(J158="","",IF(VLOOKUP(J158,'G-7 Rivers Data'!$AK$4:$AM$9,2,FALSE)=0,"Spatial Data Missing ⚠",VLOOKUP(J158,'G-7 Rivers Data'!$AK$4:$AM$9,2,FALSE)))</f>
        <v/>
      </c>
      <c r="L158" s="524" t="str">
        <f>IF(J158="","",IF(VLOOKUP(J158,'G-7 Rivers Data'!$AK$4:$AM$9,3,FALSE)=0,"Spatial Data Missing ⚠",VLOOKUP(J158,'G-7 Rivers Data'!$AK$4:$AM$9,3,FALSE)))</f>
        <v/>
      </c>
      <c r="M158" s="71"/>
      <c r="N158" s="499" t="str">
        <f>IF(M158="","",IF(VLOOKUP(M158,'G-7 Rivers Data'!$AA$4:$AB$7,2,FALSE)=0,"Spatial Data Missing ⚠",VLOOKUP(M158,'G-7 Rivers Data'!$AA$4:$AB$7,2,FALSE)))</f>
        <v/>
      </c>
      <c r="O158" s="155"/>
      <c r="P158" s="499" t="str">
        <f>IF(O158="","",IF(VLOOKUP(O158,'G-7 Rivers Data'!$AD$4:$AE$8,2,FALSE)=0,"Spatial Data Missing ⚠",VLOOKUP(O158,'G-7 Rivers Data'!$AD$4:$AE$8,2,FALSE)))</f>
        <v/>
      </c>
      <c r="Q158" s="506" t="str">
        <f>IF(D158="","",VLOOKUP(D158,'G-7 Rivers Data'!$B$4:$G$8,6,FALSE))</f>
        <v/>
      </c>
      <c r="R158" s="513" t="str">
        <f t="shared" si="16"/>
        <v/>
      </c>
      <c r="S158" s="40"/>
      <c r="T158" s="145"/>
      <c r="U158" s="157"/>
      <c r="V158" s="511" t="str">
        <f t="shared" si="17"/>
        <v/>
      </c>
      <c r="W158" s="511" t="str">
        <f t="shared" si="18"/>
        <v/>
      </c>
      <c r="X158" s="511" t="str">
        <f t="shared" si="19"/>
        <v/>
      </c>
      <c r="Y158" s="515" t="str">
        <f t="shared" si="20"/>
        <v/>
      </c>
      <c r="Z158" s="151"/>
      <c r="AA158" s="152"/>
      <c r="AF158" s="31" t="str">
        <f>IFERROR(INDEX('G-7 Rivers Data'!$AZ$3:$AZ$7,MATCH(D158,'G-7 Rivers Data'!$AY$3:$AY$7,0)),"")</f>
        <v/>
      </c>
      <c r="AG158" s="31">
        <f t="shared" si="21"/>
        <v>0</v>
      </c>
      <c r="AH158" s="156" t="str">
        <f t="shared" si="22"/>
        <v/>
      </c>
      <c r="AI158" s="156" t="str">
        <f t="shared" si="23"/>
        <v/>
      </c>
      <c r="AK158" s="156">
        <v>149</v>
      </c>
      <c r="AM158" s="156" t="str">
        <f t="array" ref="AM158">IFERROR(INDEX($AK$10:$AK$258, MATCH(0, IF(TRUE=$AH$10:$AH$258, COUNTIF($AM$9:$AM157, $AK$10:$AK$258), ""), 0)),"")</f>
        <v/>
      </c>
      <c r="AN158" s="156" t="str">
        <f t="array" ref="AN158">IFERROR(INDEX($AK$10:$AK$258, MATCH(0, IF(TRUE=$AI$10:$AI$258, COUNTIF($AN$9:$AN157, $AK$10:$AK$258), ""), 0)),"")</f>
        <v/>
      </c>
    </row>
    <row r="159" spans="3:40" ht="14" x14ac:dyDescent="0.3">
      <c r="C159" s="141">
        <v>150</v>
      </c>
      <c r="D159" s="462"/>
      <c r="E159" s="153"/>
      <c r="F159" s="498" t="str">
        <f>IF(D159="","",VLOOKUP(D159,'G-7 Rivers Data'!$B$2:$G$8,2,FALSE))</f>
        <v/>
      </c>
      <c r="G159" s="499" t="str">
        <f>IFERROR(VLOOKUP(F159,'G-7 Rivers Data'!$C$4:$D$8,2,FALSE),"")</f>
        <v/>
      </c>
      <c r="H159" s="145"/>
      <c r="I159" s="499" t="str">
        <f>IFERROR(INDEX('G-7 Rivers Data'!$H$4:$L$8,MATCH(D159,'G-7 Rivers Data'!$B$4:$B$8,0),MATCH(H159,'G-7 Rivers Data'!$H$3:$L$3,0)),"")</f>
        <v/>
      </c>
      <c r="J159" s="154"/>
      <c r="K159" s="520" t="str">
        <f>IF(J159="","",IF(VLOOKUP(J159,'G-7 Rivers Data'!$AK$4:$AM$9,2,FALSE)=0,"Spatial Data Missing ⚠",VLOOKUP(J159,'G-7 Rivers Data'!$AK$4:$AM$9,2,FALSE)))</f>
        <v/>
      </c>
      <c r="L159" s="524" t="str">
        <f>IF(J159="","",IF(VLOOKUP(J159,'G-7 Rivers Data'!$AK$4:$AM$9,3,FALSE)=0,"Spatial Data Missing ⚠",VLOOKUP(J159,'G-7 Rivers Data'!$AK$4:$AM$9,3,FALSE)))</f>
        <v/>
      </c>
      <c r="M159" s="71"/>
      <c r="N159" s="499" t="str">
        <f>IF(M159="","",IF(VLOOKUP(M159,'G-7 Rivers Data'!$AA$4:$AB$7,2,FALSE)=0,"Spatial Data Missing ⚠",VLOOKUP(M159,'G-7 Rivers Data'!$AA$4:$AB$7,2,FALSE)))</f>
        <v/>
      </c>
      <c r="O159" s="155"/>
      <c r="P159" s="499" t="str">
        <f>IF(O159="","",IF(VLOOKUP(O159,'G-7 Rivers Data'!$AD$4:$AE$8,2,FALSE)=0,"Spatial Data Missing ⚠",VLOOKUP(O159,'G-7 Rivers Data'!$AD$4:$AE$8,2,FALSE)))</f>
        <v/>
      </c>
      <c r="Q159" s="506" t="str">
        <f>IF(D159="","",VLOOKUP(D159,'G-7 Rivers Data'!$B$4:$G$8,6,FALSE))</f>
        <v/>
      </c>
      <c r="R159" s="513" t="str">
        <f t="shared" si="16"/>
        <v/>
      </c>
      <c r="S159" s="40"/>
      <c r="T159" s="145"/>
      <c r="U159" s="157"/>
      <c r="V159" s="511" t="str">
        <f t="shared" si="17"/>
        <v/>
      </c>
      <c r="W159" s="511" t="str">
        <f t="shared" si="18"/>
        <v/>
      </c>
      <c r="X159" s="511" t="str">
        <f t="shared" si="19"/>
        <v/>
      </c>
      <c r="Y159" s="515" t="str">
        <f t="shared" si="20"/>
        <v/>
      </c>
      <c r="Z159" s="151"/>
      <c r="AA159" s="152"/>
      <c r="AF159" s="31" t="str">
        <f>IFERROR(INDEX('G-7 Rivers Data'!$AZ$3:$AZ$7,MATCH(D159,'G-7 Rivers Data'!$AY$3:$AY$7,0)),"")</f>
        <v/>
      </c>
      <c r="AG159" s="31">
        <f t="shared" si="21"/>
        <v>0</v>
      </c>
      <c r="AH159" s="156" t="str">
        <f t="shared" si="22"/>
        <v/>
      </c>
      <c r="AI159" s="156" t="str">
        <f t="shared" si="23"/>
        <v/>
      </c>
      <c r="AK159" s="156">
        <v>150</v>
      </c>
      <c r="AM159" s="156" t="str">
        <f t="array" ref="AM159">IFERROR(INDEX($AK$10:$AK$258, MATCH(0, IF(TRUE=$AH$10:$AH$258, COUNTIF($AM$9:$AM158, $AK$10:$AK$258), ""), 0)),"")</f>
        <v/>
      </c>
      <c r="AN159" s="156" t="str">
        <f t="array" ref="AN159">IFERROR(INDEX($AK$10:$AK$258, MATCH(0, IF(TRUE=$AI$10:$AI$258, COUNTIF($AN$9:$AN158, $AK$10:$AK$258), ""), 0)),"")</f>
        <v/>
      </c>
    </row>
    <row r="160" spans="3:40" ht="14" x14ac:dyDescent="0.3">
      <c r="C160" s="141">
        <v>151</v>
      </c>
      <c r="D160" s="462"/>
      <c r="E160" s="153"/>
      <c r="F160" s="498" t="str">
        <f>IF(D160="","",VLOOKUP(D160,'G-7 Rivers Data'!$B$2:$G$8,2,FALSE))</f>
        <v/>
      </c>
      <c r="G160" s="499" t="str">
        <f>IFERROR(VLOOKUP(F160,'G-7 Rivers Data'!$C$4:$D$8,2,FALSE),"")</f>
        <v/>
      </c>
      <c r="H160" s="145"/>
      <c r="I160" s="499" t="str">
        <f>IFERROR(INDEX('G-7 Rivers Data'!$H$4:$L$8,MATCH(D160,'G-7 Rivers Data'!$B$4:$B$8,0),MATCH(H160,'G-7 Rivers Data'!$H$3:$L$3,0)),"")</f>
        <v/>
      </c>
      <c r="J160" s="154"/>
      <c r="K160" s="520" t="str">
        <f>IF(J160="","",IF(VLOOKUP(J160,'G-7 Rivers Data'!$AK$4:$AM$9,2,FALSE)=0,"Spatial Data Missing ⚠",VLOOKUP(J160,'G-7 Rivers Data'!$AK$4:$AM$9,2,FALSE)))</f>
        <v/>
      </c>
      <c r="L160" s="524" t="str">
        <f>IF(J160="","",IF(VLOOKUP(J160,'G-7 Rivers Data'!$AK$4:$AM$9,3,FALSE)=0,"Spatial Data Missing ⚠",VLOOKUP(J160,'G-7 Rivers Data'!$AK$4:$AM$9,3,FALSE)))</f>
        <v/>
      </c>
      <c r="M160" s="71"/>
      <c r="N160" s="499" t="str">
        <f>IF(M160="","",IF(VLOOKUP(M160,'G-7 Rivers Data'!$AA$4:$AB$7,2,FALSE)=0,"Spatial Data Missing ⚠",VLOOKUP(M160,'G-7 Rivers Data'!$AA$4:$AB$7,2,FALSE)))</f>
        <v/>
      </c>
      <c r="O160" s="155"/>
      <c r="P160" s="499" t="str">
        <f>IF(O160="","",IF(VLOOKUP(O160,'G-7 Rivers Data'!$AD$4:$AE$8,2,FALSE)=0,"Spatial Data Missing ⚠",VLOOKUP(O160,'G-7 Rivers Data'!$AD$4:$AE$8,2,FALSE)))</f>
        <v/>
      </c>
      <c r="Q160" s="506" t="str">
        <f>IF(D160="","",VLOOKUP(D160,'G-7 Rivers Data'!$B$4:$G$8,6,FALSE))</f>
        <v/>
      </c>
      <c r="R160" s="513" t="str">
        <f t="shared" si="16"/>
        <v/>
      </c>
      <c r="S160" s="40"/>
      <c r="T160" s="145"/>
      <c r="U160" s="157"/>
      <c r="V160" s="511" t="str">
        <f t="shared" si="17"/>
        <v/>
      </c>
      <c r="W160" s="511" t="str">
        <f t="shared" si="18"/>
        <v/>
      </c>
      <c r="X160" s="511" t="str">
        <f t="shared" si="19"/>
        <v/>
      </c>
      <c r="Y160" s="515" t="str">
        <f t="shared" si="20"/>
        <v/>
      </c>
      <c r="Z160" s="151"/>
      <c r="AA160" s="152"/>
      <c r="AF160" s="31" t="str">
        <f>IFERROR(INDEX('G-7 Rivers Data'!$AZ$3:$AZ$7,MATCH(D160,'G-7 Rivers Data'!$AY$3:$AY$7,0)),"")</f>
        <v/>
      </c>
      <c r="AG160" s="31">
        <f t="shared" si="21"/>
        <v>0</v>
      </c>
      <c r="AH160" s="156" t="str">
        <f t="shared" si="22"/>
        <v/>
      </c>
      <c r="AI160" s="156" t="str">
        <f t="shared" si="23"/>
        <v/>
      </c>
      <c r="AK160" s="156">
        <v>151</v>
      </c>
      <c r="AM160" s="156" t="str">
        <f t="array" ref="AM160">IFERROR(INDEX($AK$10:$AK$258, MATCH(0, IF(TRUE=$AH$10:$AH$258, COUNTIF($AM$9:$AM159, $AK$10:$AK$258), ""), 0)),"")</f>
        <v/>
      </c>
      <c r="AN160" s="156" t="str">
        <f t="array" ref="AN160">IFERROR(INDEX($AK$10:$AK$258, MATCH(0, IF(TRUE=$AI$10:$AI$258, COUNTIF($AN$9:$AN159, $AK$10:$AK$258), ""), 0)),"")</f>
        <v/>
      </c>
    </row>
    <row r="161" spans="3:40" ht="14" x14ac:dyDescent="0.3">
      <c r="C161" s="141">
        <v>152</v>
      </c>
      <c r="D161" s="462"/>
      <c r="E161" s="153"/>
      <c r="F161" s="498" t="str">
        <f>IF(D161="","",VLOOKUP(D161,'G-7 Rivers Data'!$B$2:$G$8,2,FALSE))</f>
        <v/>
      </c>
      <c r="G161" s="499" t="str">
        <f>IFERROR(VLOOKUP(F161,'G-7 Rivers Data'!$C$4:$D$8,2,FALSE),"")</f>
        <v/>
      </c>
      <c r="H161" s="145"/>
      <c r="I161" s="499" t="str">
        <f>IFERROR(INDEX('G-7 Rivers Data'!$H$4:$L$8,MATCH(D161,'G-7 Rivers Data'!$B$4:$B$8,0),MATCH(H161,'G-7 Rivers Data'!$H$3:$L$3,0)),"")</f>
        <v/>
      </c>
      <c r="J161" s="154"/>
      <c r="K161" s="520" t="str">
        <f>IF(J161="","",IF(VLOOKUP(J161,'G-7 Rivers Data'!$AK$4:$AM$9,2,FALSE)=0,"Spatial Data Missing ⚠",VLOOKUP(J161,'G-7 Rivers Data'!$AK$4:$AM$9,2,FALSE)))</f>
        <v/>
      </c>
      <c r="L161" s="524" t="str">
        <f>IF(J161="","",IF(VLOOKUP(J161,'G-7 Rivers Data'!$AK$4:$AM$9,3,FALSE)=0,"Spatial Data Missing ⚠",VLOOKUP(J161,'G-7 Rivers Data'!$AK$4:$AM$9,3,FALSE)))</f>
        <v/>
      </c>
      <c r="M161" s="71"/>
      <c r="N161" s="499" t="str">
        <f>IF(M161="","",IF(VLOOKUP(M161,'G-7 Rivers Data'!$AA$4:$AB$7,2,FALSE)=0,"Spatial Data Missing ⚠",VLOOKUP(M161,'G-7 Rivers Data'!$AA$4:$AB$7,2,FALSE)))</f>
        <v/>
      </c>
      <c r="O161" s="155"/>
      <c r="P161" s="499" t="str">
        <f>IF(O161="","",IF(VLOOKUP(O161,'G-7 Rivers Data'!$AD$4:$AE$8,2,FALSE)=0,"Spatial Data Missing ⚠",VLOOKUP(O161,'G-7 Rivers Data'!$AD$4:$AE$8,2,FALSE)))</f>
        <v/>
      </c>
      <c r="Q161" s="506" t="str">
        <f>IF(D161="","",VLOOKUP(D161,'G-7 Rivers Data'!$B$4:$G$8,6,FALSE))</f>
        <v/>
      </c>
      <c r="R161" s="513" t="str">
        <f t="shared" si="16"/>
        <v/>
      </c>
      <c r="S161" s="40"/>
      <c r="T161" s="145"/>
      <c r="U161" s="157"/>
      <c r="V161" s="511" t="str">
        <f t="shared" si="17"/>
        <v/>
      </c>
      <c r="W161" s="511" t="str">
        <f t="shared" si="18"/>
        <v/>
      </c>
      <c r="X161" s="511" t="str">
        <f t="shared" si="19"/>
        <v/>
      </c>
      <c r="Y161" s="515" t="str">
        <f t="shared" si="20"/>
        <v/>
      </c>
      <c r="Z161" s="151"/>
      <c r="AA161" s="152"/>
      <c r="AF161" s="31" t="str">
        <f>IFERROR(INDEX('G-7 Rivers Data'!$AZ$3:$AZ$7,MATCH(D161,'G-7 Rivers Data'!$AY$3:$AY$7,0)),"")</f>
        <v/>
      </c>
      <c r="AG161" s="31">
        <f t="shared" si="21"/>
        <v>0</v>
      </c>
      <c r="AH161" s="156" t="str">
        <f t="shared" si="22"/>
        <v/>
      </c>
      <c r="AI161" s="156" t="str">
        <f t="shared" si="23"/>
        <v/>
      </c>
      <c r="AK161" s="156">
        <v>152</v>
      </c>
      <c r="AM161" s="156" t="str">
        <f t="array" ref="AM161">IFERROR(INDEX($AK$10:$AK$258, MATCH(0, IF(TRUE=$AH$10:$AH$258, COUNTIF($AM$9:$AM160, $AK$10:$AK$258), ""), 0)),"")</f>
        <v/>
      </c>
      <c r="AN161" s="156" t="str">
        <f t="array" ref="AN161">IFERROR(INDEX($AK$10:$AK$258, MATCH(0, IF(TRUE=$AI$10:$AI$258, COUNTIF($AN$9:$AN160, $AK$10:$AK$258), ""), 0)),"")</f>
        <v/>
      </c>
    </row>
    <row r="162" spans="3:40" ht="14" x14ac:dyDescent="0.3">
      <c r="C162" s="141">
        <v>153</v>
      </c>
      <c r="D162" s="462"/>
      <c r="E162" s="153"/>
      <c r="F162" s="498" t="str">
        <f>IF(D162="","",VLOOKUP(D162,'G-7 Rivers Data'!$B$2:$G$8,2,FALSE))</f>
        <v/>
      </c>
      <c r="G162" s="499" t="str">
        <f>IFERROR(VLOOKUP(F162,'G-7 Rivers Data'!$C$4:$D$8,2,FALSE),"")</f>
        <v/>
      </c>
      <c r="H162" s="145"/>
      <c r="I162" s="499" t="str">
        <f>IFERROR(INDEX('G-7 Rivers Data'!$H$4:$L$8,MATCH(D162,'G-7 Rivers Data'!$B$4:$B$8,0),MATCH(H162,'G-7 Rivers Data'!$H$3:$L$3,0)),"")</f>
        <v/>
      </c>
      <c r="J162" s="154"/>
      <c r="K162" s="520" t="str">
        <f>IF(J162="","",IF(VLOOKUP(J162,'G-7 Rivers Data'!$AK$4:$AM$9,2,FALSE)=0,"Spatial Data Missing ⚠",VLOOKUP(J162,'G-7 Rivers Data'!$AK$4:$AM$9,2,FALSE)))</f>
        <v/>
      </c>
      <c r="L162" s="524" t="str">
        <f>IF(J162="","",IF(VLOOKUP(J162,'G-7 Rivers Data'!$AK$4:$AM$9,3,FALSE)=0,"Spatial Data Missing ⚠",VLOOKUP(J162,'G-7 Rivers Data'!$AK$4:$AM$9,3,FALSE)))</f>
        <v/>
      </c>
      <c r="M162" s="71"/>
      <c r="N162" s="499" t="str">
        <f>IF(M162="","",IF(VLOOKUP(M162,'G-7 Rivers Data'!$AA$4:$AB$7,2,FALSE)=0,"Spatial Data Missing ⚠",VLOOKUP(M162,'G-7 Rivers Data'!$AA$4:$AB$7,2,FALSE)))</f>
        <v/>
      </c>
      <c r="O162" s="155"/>
      <c r="P162" s="499" t="str">
        <f>IF(O162="","",IF(VLOOKUP(O162,'G-7 Rivers Data'!$AD$4:$AE$8,2,FALSE)=0,"Spatial Data Missing ⚠",VLOOKUP(O162,'G-7 Rivers Data'!$AD$4:$AE$8,2,FALSE)))</f>
        <v/>
      </c>
      <c r="Q162" s="506" t="str">
        <f>IF(D162="","",VLOOKUP(D162,'G-7 Rivers Data'!$B$4:$G$8,6,FALSE))</f>
        <v/>
      </c>
      <c r="R162" s="513" t="str">
        <f t="shared" si="16"/>
        <v/>
      </c>
      <c r="S162" s="40"/>
      <c r="T162" s="145"/>
      <c r="U162" s="157"/>
      <c r="V162" s="511" t="str">
        <f t="shared" si="17"/>
        <v/>
      </c>
      <c r="W162" s="511" t="str">
        <f t="shared" si="18"/>
        <v/>
      </c>
      <c r="X162" s="511" t="str">
        <f t="shared" si="19"/>
        <v/>
      </c>
      <c r="Y162" s="515" t="str">
        <f t="shared" si="20"/>
        <v/>
      </c>
      <c r="Z162" s="151"/>
      <c r="AA162" s="152"/>
      <c r="AF162" s="31" t="str">
        <f>IFERROR(INDEX('G-7 Rivers Data'!$AZ$3:$AZ$7,MATCH(D162,'G-7 Rivers Data'!$AY$3:$AY$7,0)),"")</f>
        <v/>
      </c>
      <c r="AG162" s="31">
        <f t="shared" si="21"/>
        <v>0</v>
      </c>
      <c r="AH162" s="156" t="str">
        <f t="shared" si="22"/>
        <v/>
      </c>
      <c r="AI162" s="156" t="str">
        <f t="shared" si="23"/>
        <v/>
      </c>
      <c r="AK162" s="156">
        <v>153</v>
      </c>
      <c r="AM162" s="156" t="str">
        <f t="array" ref="AM162">IFERROR(INDEX($AK$10:$AK$258, MATCH(0, IF(TRUE=$AH$10:$AH$258, COUNTIF($AM$9:$AM161, $AK$10:$AK$258), ""), 0)),"")</f>
        <v/>
      </c>
      <c r="AN162" s="156" t="str">
        <f t="array" ref="AN162">IFERROR(INDEX($AK$10:$AK$258, MATCH(0, IF(TRUE=$AI$10:$AI$258, COUNTIF($AN$9:$AN161, $AK$10:$AK$258), ""), 0)),"")</f>
        <v/>
      </c>
    </row>
    <row r="163" spans="3:40" ht="14" x14ac:dyDescent="0.3">
      <c r="C163" s="141">
        <v>154</v>
      </c>
      <c r="D163" s="462"/>
      <c r="E163" s="153"/>
      <c r="F163" s="498" t="str">
        <f>IF(D163="","",VLOOKUP(D163,'G-7 Rivers Data'!$B$2:$G$8,2,FALSE))</f>
        <v/>
      </c>
      <c r="G163" s="499" t="str">
        <f>IFERROR(VLOOKUP(F163,'G-7 Rivers Data'!$C$4:$D$8,2,FALSE),"")</f>
        <v/>
      </c>
      <c r="H163" s="145"/>
      <c r="I163" s="499" t="str">
        <f>IFERROR(INDEX('G-7 Rivers Data'!$H$4:$L$8,MATCH(D163,'G-7 Rivers Data'!$B$4:$B$8,0),MATCH(H163,'G-7 Rivers Data'!$H$3:$L$3,0)),"")</f>
        <v/>
      </c>
      <c r="J163" s="154"/>
      <c r="K163" s="520" t="str">
        <f>IF(J163="","",IF(VLOOKUP(J163,'G-7 Rivers Data'!$AK$4:$AM$9,2,FALSE)=0,"Spatial Data Missing ⚠",VLOOKUP(J163,'G-7 Rivers Data'!$AK$4:$AM$9,2,FALSE)))</f>
        <v/>
      </c>
      <c r="L163" s="524" t="str">
        <f>IF(J163="","",IF(VLOOKUP(J163,'G-7 Rivers Data'!$AK$4:$AM$9,3,FALSE)=0,"Spatial Data Missing ⚠",VLOOKUP(J163,'G-7 Rivers Data'!$AK$4:$AM$9,3,FALSE)))</f>
        <v/>
      </c>
      <c r="M163" s="71"/>
      <c r="N163" s="499" t="str">
        <f>IF(M163="","",IF(VLOOKUP(M163,'G-7 Rivers Data'!$AA$4:$AB$7,2,FALSE)=0,"Spatial Data Missing ⚠",VLOOKUP(M163,'G-7 Rivers Data'!$AA$4:$AB$7,2,FALSE)))</f>
        <v/>
      </c>
      <c r="O163" s="155"/>
      <c r="P163" s="499" t="str">
        <f>IF(O163="","",IF(VLOOKUP(O163,'G-7 Rivers Data'!$AD$4:$AE$8,2,FALSE)=0,"Spatial Data Missing ⚠",VLOOKUP(O163,'G-7 Rivers Data'!$AD$4:$AE$8,2,FALSE)))</f>
        <v/>
      </c>
      <c r="Q163" s="506" t="str">
        <f>IF(D163="","",VLOOKUP(D163,'G-7 Rivers Data'!$B$4:$G$8,6,FALSE))</f>
        <v/>
      </c>
      <c r="R163" s="513" t="str">
        <f t="shared" si="16"/>
        <v/>
      </c>
      <c r="S163" s="40"/>
      <c r="T163" s="145"/>
      <c r="U163" s="157"/>
      <c r="V163" s="511" t="str">
        <f t="shared" si="17"/>
        <v/>
      </c>
      <c r="W163" s="511" t="str">
        <f t="shared" si="18"/>
        <v/>
      </c>
      <c r="X163" s="511" t="str">
        <f t="shared" si="19"/>
        <v/>
      </c>
      <c r="Y163" s="515" t="str">
        <f t="shared" si="20"/>
        <v/>
      </c>
      <c r="Z163" s="151"/>
      <c r="AA163" s="152"/>
      <c r="AF163" s="31" t="str">
        <f>IFERROR(INDEX('G-7 Rivers Data'!$AZ$3:$AZ$7,MATCH(D163,'G-7 Rivers Data'!$AY$3:$AY$7,0)),"")</f>
        <v/>
      </c>
      <c r="AG163" s="31">
        <f t="shared" si="21"/>
        <v>0</v>
      </c>
      <c r="AH163" s="156" t="str">
        <f t="shared" si="22"/>
        <v/>
      </c>
      <c r="AI163" s="156" t="str">
        <f t="shared" si="23"/>
        <v/>
      </c>
      <c r="AK163" s="156">
        <v>154</v>
      </c>
      <c r="AM163" s="156" t="str">
        <f t="array" ref="AM163">IFERROR(INDEX($AK$10:$AK$258, MATCH(0, IF(TRUE=$AH$10:$AH$258, COUNTIF($AM$9:$AM162, $AK$10:$AK$258), ""), 0)),"")</f>
        <v/>
      </c>
      <c r="AN163" s="156" t="str">
        <f t="array" ref="AN163">IFERROR(INDEX($AK$10:$AK$258, MATCH(0, IF(TRUE=$AI$10:$AI$258, COUNTIF($AN$9:$AN162, $AK$10:$AK$258), ""), 0)),"")</f>
        <v/>
      </c>
    </row>
    <row r="164" spans="3:40" ht="14" x14ac:dyDescent="0.3">
      <c r="C164" s="141">
        <v>155</v>
      </c>
      <c r="D164" s="462"/>
      <c r="E164" s="153"/>
      <c r="F164" s="498" t="str">
        <f>IF(D164="","",VLOOKUP(D164,'G-7 Rivers Data'!$B$2:$G$8,2,FALSE))</f>
        <v/>
      </c>
      <c r="G164" s="499" t="str">
        <f>IFERROR(VLOOKUP(F164,'G-7 Rivers Data'!$C$4:$D$8,2,FALSE),"")</f>
        <v/>
      </c>
      <c r="H164" s="145"/>
      <c r="I164" s="499" t="str">
        <f>IFERROR(INDEX('G-7 Rivers Data'!$H$4:$L$8,MATCH(D164,'G-7 Rivers Data'!$B$4:$B$8,0),MATCH(H164,'G-7 Rivers Data'!$H$3:$L$3,0)),"")</f>
        <v/>
      </c>
      <c r="J164" s="154"/>
      <c r="K164" s="520" t="str">
        <f>IF(J164="","",IF(VLOOKUP(J164,'G-7 Rivers Data'!$AK$4:$AM$9,2,FALSE)=0,"Spatial Data Missing ⚠",VLOOKUP(J164,'G-7 Rivers Data'!$AK$4:$AM$9,2,FALSE)))</f>
        <v/>
      </c>
      <c r="L164" s="524" t="str">
        <f>IF(J164="","",IF(VLOOKUP(J164,'G-7 Rivers Data'!$AK$4:$AM$9,3,FALSE)=0,"Spatial Data Missing ⚠",VLOOKUP(J164,'G-7 Rivers Data'!$AK$4:$AM$9,3,FALSE)))</f>
        <v/>
      </c>
      <c r="M164" s="71"/>
      <c r="N164" s="499" t="str">
        <f>IF(M164="","",IF(VLOOKUP(M164,'G-7 Rivers Data'!$AA$4:$AB$7,2,FALSE)=0,"Spatial Data Missing ⚠",VLOOKUP(M164,'G-7 Rivers Data'!$AA$4:$AB$7,2,FALSE)))</f>
        <v/>
      </c>
      <c r="O164" s="155"/>
      <c r="P164" s="499" t="str">
        <f>IF(O164="","",IF(VLOOKUP(O164,'G-7 Rivers Data'!$AD$4:$AE$8,2,FALSE)=0,"Spatial Data Missing ⚠",VLOOKUP(O164,'G-7 Rivers Data'!$AD$4:$AE$8,2,FALSE)))</f>
        <v/>
      </c>
      <c r="Q164" s="506" t="str">
        <f>IF(D164="","",VLOOKUP(D164,'G-7 Rivers Data'!$B$4:$G$8,6,FALSE))</f>
        <v/>
      </c>
      <c r="R164" s="513" t="str">
        <f t="shared" si="16"/>
        <v/>
      </c>
      <c r="S164" s="40"/>
      <c r="T164" s="145"/>
      <c r="U164" s="157"/>
      <c r="V164" s="511" t="str">
        <f t="shared" si="17"/>
        <v/>
      </c>
      <c r="W164" s="511" t="str">
        <f t="shared" si="18"/>
        <v/>
      </c>
      <c r="X164" s="511" t="str">
        <f t="shared" si="19"/>
        <v/>
      </c>
      <c r="Y164" s="515" t="str">
        <f t="shared" si="20"/>
        <v/>
      </c>
      <c r="Z164" s="151"/>
      <c r="AA164" s="152"/>
      <c r="AF164" s="31" t="str">
        <f>IFERROR(INDEX('G-7 Rivers Data'!$AZ$3:$AZ$7,MATCH(D164,'G-7 Rivers Data'!$AY$3:$AY$7,0)),"")</f>
        <v/>
      </c>
      <c r="AG164" s="31">
        <f t="shared" si="21"/>
        <v>0</v>
      </c>
      <c r="AH164" s="156" t="str">
        <f t="shared" si="22"/>
        <v/>
      </c>
      <c r="AI164" s="156" t="str">
        <f t="shared" si="23"/>
        <v/>
      </c>
      <c r="AK164" s="156">
        <v>155</v>
      </c>
      <c r="AM164" s="156" t="str">
        <f t="array" ref="AM164">IFERROR(INDEX($AK$10:$AK$258, MATCH(0, IF(TRUE=$AH$10:$AH$258, COUNTIF($AM$9:$AM163, $AK$10:$AK$258), ""), 0)),"")</f>
        <v/>
      </c>
      <c r="AN164" s="156" t="str">
        <f t="array" ref="AN164">IFERROR(INDEX($AK$10:$AK$258, MATCH(0, IF(TRUE=$AI$10:$AI$258, COUNTIF($AN$9:$AN163, $AK$10:$AK$258), ""), 0)),"")</f>
        <v/>
      </c>
    </row>
    <row r="165" spans="3:40" ht="14" x14ac:dyDescent="0.3">
      <c r="C165" s="141">
        <v>156</v>
      </c>
      <c r="D165" s="462"/>
      <c r="E165" s="153"/>
      <c r="F165" s="498" t="str">
        <f>IF(D165="","",VLOOKUP(D165,'G-7 Rivers Data'!$B$2:$G$8,2,FALSE))</f>
        <v/>
      </c>
      <c r="G165" s="499" t="str">
        <f>IFERROR(VLOOKUP(F165,'G-7 Rivers Data'!$C$4:$D$8,2,FALSE),"")</f>
        <v/>
      </c>
      <c r="H165" s="145"/>
      <c r="I165" s="499" t="str">
        <f>IFERROR(INDEX('G-7 Rivers Data'!$H$4:$L$8,MATCH(D165,'G-7 Rivers Data'!$B$4:$B$8,0),MATCH(H165,'G-7 Rivers Data'!$H$3:$L$3,0)),"")</f>
        <v/>
      </c>
      <c r="J165" s="154"/>
      <c r="K165" s="520" t="str">
        <f>IF(J165="","",IF(VLOOKUP(J165,'G-7 Rivers Data'!$AK$4:$AM$9,2,FALSE)=0,"Spatial Data Missing ⚠",VLOOKUP(J165,'G-7 Rivers Data'!$AK$4:$AM$9,2,FALSE)))</f>
        <v/>
      </c>
      <c r="L165" s="524" t="str">
        <f>IF(J165="","",IF(VLOOKUP(J165,'G-7 Rivers Data'!$AK$4:$AM$9,3,FALSE)=0,"Spatial Data Missing ⚠",VLOOKUP(J165,'G-7 Rivers Data'!$AK$4:$AM$9,3,FALSE)))</f>
        <v/>
      </c>
      <c r="M165" s="71"/>
      <c r="N165" s="499" t="str">
        <f>IF(M165="","",IF(VLOOKUP(M165,'G-7 Rivers Data'!$AA$4:$AB$7,2,FALSE)=0,"Spatial Data Missing ⚠",VLOOKUP(M165,'G-7 Rivers Data'!$AA$4:$AB$7,2,FALSE)))</f>
        <v/>
      </c>
      <c r="O165" s="155"/>
      <c r="P165" s="499" t="str">
        <f>IF(O165="","",IF(VLOOKUP(O165,'G-7 Rivers Data'!$AD$4:$AE$8,2,FALSE)=0,"Spatial Data Missing ⚠",VLOOKUP(O165,'G-7 Rivers Data'!$AD$4:$AE$8,2,FALSE)))</f>
        <v/>
      </c>
      <c r="Q165" s="506" t="str">
        <f>IF(D165="","",VLOOKUP(D165,'G-7 Rivers Data'!$B$4:$G$8,6,FALSE))</f>
        <v/>
      </c>
      <c r="R165" s="513" t="str">
        <f t="shared" si="16"/>
        <v/>
      </c>
      <c r="S165" s="40"/>
      <c r="T165" s="145"/>
      <c r="U165" s="157"/>
      <c r="V165" s="511" t="str">
        <f t="shared" si="17"/>
        <v/>
      </c>
      <c r="W165" s="511" t="str">
        <f t="shared" si="18"/>
        <v/>
      </c>
      <c r="X165" s="511" t="str">
        <f t="shared" si="19"/>
        <v/>
      </c>
      <c r="Y165" s="515" t="str">
        <f t="shared" si="20"/>
        <v/>
      </c>
      <c r="Z165" s="151"/>
      <c r="AA165" s="152"/>
      <c r="AF165" s="31" t="str">
        <f>IFERROR(INDEX('G-7 Rivers Data'!$AZ$3:$AZ$7,MATCH(D165,'G-7 Rivers Data'!$AY$3:$AY$7,0)),"")</f>
        <v/>
      </c>
      <c r="AG165" s="31">
        <f t="shared" si="21"/>
        <v>0</v>
      </c>
      <c r="AH165" s="156" t="str">
        <f t="shared" si="22"/>
        <v/>
      </c>
      <c r="AI165" s="156" t="str">
        <f t="shared" si="23"/>
        <v/>
      </c>
      <c r="AK165" s="156">
        <v>156</v>
      </c>
      <c r="AM165" s="156" t="str">
        <f t="array" ref="AM165">IFERROR(INDEX($AK$10:$AK$258, MATCH(0, IF(TRUE=$AH$10:$AH$258, COUNTIF($AM$9:$AM164, $AK$10:$AK$258), ""), 0)),"")</f>
        <v/>
      </c>
      <c r="AN165" s="156" t="str">
        <f t="array" ref="AN165">IFERROR(INDEX($AK$10:$AK$258, MATCH(0, IF(TRUE=$AI$10:$AI$258, COUNTIF($AN$9:$AN164, $AK$10:$AK$258), ""), 0)),"")</f>
        <v/>
      </c>
    </row>
    <row r="166" spans="3:40" ht="14" x14ac:dyDescent="0.3">
      <c r="C166" s="141">
        <v>157</v>
      </c>
      <c r="D166" s="462"/>
      <c r="E166" s="153"/>
      <c r="F166" s="498" t="str">
        <f>IF(D166="","",VLOOKUP(D166,'G-7 Rivers Data'!$B$2:$G$8,2,FALSE))</f>
        <v/>
      </c>
      <c r="G166" s="499" t="str">
        <f>IFERROR(VLOOKUP(F166,'G-7 Rivers Data'!$C$4:$D$8,2,FALSE),"")</f>
        <v/>
      </c>
      <c r="H166" s="145"/>
      <c r="I166" s="499" t="str">
        <f>IFERROR(INDEX('G-7 Rivers Data'!$H$4:$L$8,MATCH(D166,'G-7 Rivers Data'!$B$4:$B$8,0),MATCH(H166,'G-7 Rivers Data'!$H$3:$L$3,0)),"")</f>
        <v/>
      </c>
      <c r="J166" s="154"/>
      <c r="K166" s="520" t="str">
        <f>IF(J166="","",IF(VLOOKUP(J166,'G-7 Rivers Data'!$AK$4:$AM$9,2,FALSE)=0,"Spatial Data Missing ⚠",VLOOKUP(J166,'G-7 Rivers Data'!$AK$4:$AM$9,2,FALSE)))</f>
        <v/>
      </c>
      <c r="L166" s="524" t="str">
        <f>IF(J166="","",IF(VLOOKUP(J166,'G-7 Rivers Data'!$AK$4:$AM$9,3,FALSE)=0,"Spatial Data Missing ⚠",VLOOKUP(J166,'G-7 Rivers Data'!$AK$4:$AM$9,3,FALSE)))</f>
        <v/>
      </c>
      <c r="M166" s="71"/>
      <c r="N166" s="499" t="str">
        <f>IF(M166="","",IF(VLOOKUP(M166,'G-7 Rivers Data'!$AA$4:$AB$7,2,FALSE)=0,"Spatial Data Missing ⚠",VLOOKUP(M166,'G-7 Rivers Data'!$AA$4:$AB$7,2,FALSE)))</f>
        <v/>
      </c>
      <c r="O166" s="155"/>
      <c r="P166" s="499" t="str">
        <f>IF(O166="","",IF(VLOOKUP(O166,'G-7 Rivers Data'!$AD$4:$AE$8,2,FALSE)=0,"Spatial Data Missing ⚠",VLOOKUP(O166,'G-7 Rivers Data'!$AD$4:$AE$8,2,FALSE)))</f>
        <v/>
      </c>
      <c r="Q166" s="506" t="str">
        <f>IF(D166="","",VLOOKUP(D166,'G-7 Rivers Data'!$B$4:$G$8,6,FALSE))</f>
        <v/>
      </c>
      <c r="R166" s="513" t="str">
        <f t="shared" si="16"/>
        <v/>
      </c>
      <c r="S166" s="40"/>
      <c r="T166" s="145"/>
      <c r="U166" s="157"/>
      <c r="V166" s="511" t="str">
        <f t="shared" si="17"/>
        <v/>
      </c>
      <c r="W166" s="511" t="str">
        <f t="shared" si="18"/>
        <v/>
      </c>
      <c r="X166" s="511" t="str">
        <f t="shared" si="19"/>
        <v/>
      </c>
      <c r="Y166" s="515" t="str">
        <f t="shared" si="20"/>
        <v/>
      </c>
      <c r="Z166" s="151"/>
      <c r="AA166" s="152"/>
      <c r="AF166" s="31" t="str">
        <f>IFERROR(INDEX('G-7 Rivers Data'!$AZ$3:$AZ$7,MATCH(D166,'G-7 Rivers Data'!$AY$3:$AY$7,0)),"")</f>
        <v/>
      </c>
      <c r="AG166" s="31">
        <f t="shared" si="21"/>
        <v>0</v>
      </c>
      <c r="AH166" s="156" t="str">
        <f t="shared" si="22"/>
        <v/>
      </c>
      <c r="AI166" s="156" t="str">
        <f t="shared" si="23"/>
        <v/>
      </c>
      <c r="AK166" s="156">
        <v>157</v>
      </c>
      <c r="AM166" s="156" t="str">
        <f t="array" ref="AM166">IFERROR(INDEX($AK$10:$AK$258, MATCH(0, IF(TRUE=$AH$10:$AH$258, COUNTIF($AM$9:$AM165, $AK$10:$AK$258), ""), 0)),"")</f>
        <v/>
      </c>
      <c r="AN166" s="156" t="str">
        <f t="array" ref="AN166">IFERROR(INDEX($AK$10:$AK$258, MATCH(0, IF(TRUE=$AI$10:$AI$258, COUNTIF($AN$9:$AN165, $AK$10:$AK$258), ""), 0)),"")</f>
        <v/>
      </c>
    </row>
    <row r="167" spans="3:40" ht="14" x14ac:dyDescent="0.3">
      <c r="C167" s="141">
        <v>158</v>
      </c>
      <c r="D167" s="462"/>
      <c r="E167" s="153"/>
      <c r="F167" s="498" t="str">
        <f>IF(D167="","",VLOOKUP(D167,'G-7 Rivers Data'!$B$2:$G$8,2,FALSE))</f>
        <v/>
      </c>
      <c r="G167" s="499" t="str">
        <f>IFERROR(VLOOKUP(F167,'G-7 Rivers Data'!$C$4:$D$8,2,FALSE),"")</f>
        <v/>
      </c>
      <c r="H167" s="145"/>
      <c r="I167" s="499" t="str">
        <f>IFERROR(INDEX('G-7 Rivers Data'!$H$4:$L$8,MATCH(D167,'G-7 Rivers Data'!$B$4:$B$8,0),MATCH(H167,'G-7 Rivers Data'!$H$3:$L$3,0)),"")</f>
        <v/>
      </c>
      <c r="J167" s="154"/>
      <c r="K167" s="520" t="str">
        <f>IF(J167="","",IF(VLOOKUP(J167,'G-7 Rivers Data'!$AK$4:$AM$9,2,FALSE)=0,"Spatial Data Missing ⚠",VLOOKUP(J167,'G-7 Rivers Data'!$AK$4:$AM$9,2,FALSE)))</f>
        <v/>
      </c>
      <c r="L167" s="524" t="str">
        <f>IF(J167="","",IF(VLOOKUP(J167,'G-7 Rivers Data'!$AK$4:$AM$9,3,FALSE)=0,"Spatial Data Missing ⚠",VLOOKUP(J167,'G-7 Rivers Data'!$AK$4:$AM$9,3,FALSE)))</f>
        <v/>
      </c>
      <c r="M167" s="71"/>
      <c r="N167" s="499" t="str">
        <f>IF(M167="","",IF(VLOOKUP(M167,'G-7 Rivers Data'!$AA$4:$AB$7,2,FALSE)=0,"Spatial Data Missing ⚠",VLOOKUP(M167,'G-7 Rivers Data'!$AA$4:$AB$7,2,FALSE)))</f>
        <v/>
      </c>
      <c r="O167" s="155"/>
      <c r="P167" s="499" t="str">
        <f>IF(O167="","",IF(VLOOKUP(O167,'G-7 Rivers Data'!$AD$4:$AE$8,2,FALSE)=0,"Spatial Data Missing ⚠",VLOOKUP(O167,'G-7 Rivers Data'!$AD$4:$AE$8,2,FALSE)))</f>
        <v/>
      </c>
      <c r="Q167" s="506" t="str">
        <f>IF(D167="","",VLOOKUP(D167,'G-7 Rivers Data'!$B$4:$G$8,6,FALSE))</f>
        <v/>
      </c>
      <c r="R167" s="513" t="str">
        <f t="shared" si="16"/>
        <v/>
      </c>
      <c r="S167" s="40"/>
      <c r="T167" s="145"/>
      <c r="U167" s="157"/>
      <c r="V167" s="511" t="str">
        <f t="shared" si="17"/>
        <v/>
      </c>
      <c r="W167" s="511" t="str">
        <f t="shared" si="18"/>
        <v/>
      </c>
      <c r="X167" s="511" t="str">
        <f t="shared" si="19"/>
        <v/>
      </c>
      <c r="Y167" s="515" t="str">
        <f t="shared" si="20"/>
        <v/>
      </c>
      <c r="Z167" s="151"/>
      <c r="AA167" s="152"/>
      <c r="AF167" s="31" t="str">
        <f>IFERROR(INDEX('G-7 Rivers Data'!$AZ$3:$AZ$7,MATCH(D167,'G-7 Rivers Data'!$AY$3:$AY$7,0)),"")</f>
        <v/>
      </c>
      <c r="AG167" s="31">
        <f t="shared" si="21"/>
        <v>0</v>
      </c>
      <c r="AH167" s="156" t="str">
        <f t="shared" si="22"/>
        <v/>
      </c>
      <c r="AI167" s="156" t="str">
        <f t="shared" si="23"/>
        <v/>
      </c>
      <c r="AK167" s="156">
        <v>158</v>
      </c>
      <c r="AM167" s="156" t="str">
        <f t="array" ref="AM167">IFERROR(INDEX($AK$10:$AK$258, MATCH(0, IF(TRUE=$AH$10:$AH$258, COUNTIF($AM$9:$AM166, $AK$10:$AK$258), ""), 0)),"")</f>
        <v/>
      </c>
      <c r="AN167" s="156" t="str">
        <f t="array" ref="AN167">IFERROR(INDEX($AK$10:$AK$258, MATCH(0, IF(TRUE=$AI$10:$AI$258, COUNTIF($AN$9:$AN166, $AK$10:$AK$258), ""), 0)),"")</f>
        <v/>
      </c>
    </row>
    <row r="168" spans="3:40" ht="14" x14ac:dyDescent="0.3">
      <c r="C168" s="141">
        <v>159</v>
      </c>
      <c r="D168" s="462"/>
      <c r="E168" s="153"/>
      <c r="F168" s="498" t="str">
        <f>IF(D168="","",VLOOKUP(D168,'G-7 Rivers Data'!$B$2:$G$8,2,FALSE))</f>
        <v/>
      </c>
      <c r="G168" s="499" t="str">
        <f>IFERROR(VLOOKUP(F168,'G-7 Rivers Data'!$C$4:$D$8,2,FALSE),"")</f>
        <v/>
      </c>
      <c r="H168" s="145"/>
      <c r="I168" s="499" t="str">
        <f>IFERROR(INDEX('G-7 Rivers Data'!$H$4:$L$8,MATCH(D168,'G-7 Rivers Data'!$B$4:$B$8,0),MATCH(H168,'G-7 Rivers Data'!$H$3:$L$3,0)),"")</f>
        <v/>
      </c>
      <c r="J168" s="154"/>
      <c r="K168" s="520" t="str">
        <f>IF(J168="","",IF(VLOOKUP(J168,'G-7 Rivers Data'!$AK$4:$AM$9,2,FALSE)=0,"Spatial Data Missing ⚠",VLOOKUP(J168,'G-7 Rivers Data'!$AK$4:$AM$9,2,FALSE)))</f>
        <v/>
      </c>
      <c r="L168" s="524" t="str">
        <f>IF(J168="","",IF(VLOOKUP(J168,'G-7 Rivers Data'!$AK$4:$AM$9,3,FALSE)=0,"Spatial Data Missing ⚠",VLOOKUP(J168,'G-7 Rivers Data'!$AK$4:$AM$9,3,FALSE)))</f>
        <v/>
      </c>
      <c r="M168" s="71"/>
      <c r="N168" s="499" t="str">
        <f>IF(M168="","",IF(VLOOKUP(M168,'G-7 Rivers Data'!$AA$4:$AB$7,2,FALSE)=0,"Spatial Data Missing ⚠",VLOOKUP(M168,'G-7 Rivers Data'!$AA$4:$AB$7,2,FALSE)))</f>
        <v/>
      </c>
      <c r="O168" s="155"/>
      <c r="P168" s="499" t="str">
        <f>IF(O168="","",IF(VLOOKUP(O168,'G-7 Rivers Data'!$AD$4:$AE$8,2,FALSE)=0,"Spatial Data Missing ⚠",VLOOKUP(O168,'G-7 Rivers Data'!$AD$4:$AE$8,2,FALSE)))</f>
        <v/>
      </c>
      <c r="Q168" s="506" t="str">
        <f>IF(D168="","",VLOOKUP(D168,'G-7 Rivers Data'!$B$4:$G$8,6,FALSE))</f>
        <v/>
      </c>
      <c r="R168" s="513" t="str">
        <f t="shared" si="16"/>
        <v/>
      </c>
      <c r="S168" s="40"/>
      <c r="T168" s="145"/>
      <c r="U168" s="157"/>
      <c r="V168" s="511" t="str">
        <f t="shared" si="17"/>
        <v/>
      </c>
      <c r="W168" s="511" t="str">
        <f t="shared" si="18"/>
        <v/>
      </c>
      <c r="X168" s="511" t="str">
        <f t="shared" si="19"/>
        <v/>
      </c>
      <c r="Y168" s="515" t="str">
        <f t="shared" si="20"/>
        <v/>
      </c>
      <c r="Z168" s="151"/>
      <c r="AA168" s="152"/>
      <c r="AF168" s="31" t="str">
        <f>IFERROR(INDEX('G-7 Rivers Data'!$AZ$3:$AZ$7,MATCH(D168,'G-7 Rivers Data'!$AY$3:$AY$7,0)),"")</f>
        <v/>
      </c>
      <c r="AG168" s="31">
        <f t="shared" si="21"/>
        <v>0</v>
      </c>
      <c r="AH168" s="156" t="str">
        <f t="shared" si="22"/>
        <v/>
      </c>
      <c r="AI168" s="156" t="str">
        <f t="shared" si="23"/>
        <v/>
      </c>
      <c r="AK168" s="156">
        <v>159</v>
      </c>
      <c r="AM168" s="156" t="str">
        <f t="array" ref="AM168">IFERROR(INDEX($AK$10:$AK$258, MATCH(0, IF(TRUE=$AH$10:$AH$258, COUNTIF($AM$9:$AM167, $AK$10:$AK$258), ""), 0)),"")</f>
        <v/>
      </c>
      <c r="AN168" s="156" t="str">
        <f t="array" ref="AN168">IFERROR(INDEX($AK$10:$AK$258, MATCH(0, IF(TRUE=$AI$10:$AI$258, COUNTIF($AN$9:$AN167, $AK$10:$AK$258), ""), 0)),"")</f>
        <v/>
      </c>
    </row>
    <row r="169" spans="3:40" ht="14" x14ac:dyDescent="0.3">
      <c r="C169" s="141">
        <v>160</v>
      </c>
      <c r="D169" s="462"/>
      <c r="E169" s="153"/>
      <c r="F169" s="498" t="str">
        <f>IF(D169="","",VLOOKUP(D169,'G-7 Rivers Data'!$B$2:$G$8,2,FALSE))</f>
        <v/>
      </c>
      <c r="G169" s="499" t="str">
        <f>IFERROR(VLOOKUP(F169,'G-7 Rivers Data'!$C$4:$D$8,2,FALSE),"")</f>
        <v/>
      </c>
      <c r="H169" s="145"/>
      <c r="I169" s="499" t="str">
        <f>IFERROR(INDEX('G-7 Rivers Data'!$H$4:$L$8,MATCH(D169,'G-7 Rivers Data'!$B$4:$B$8,0),MATCH(H169,'G-7 Rivers Data'!$H$3:$L$3,0)),"")</f>
        <v/>
      </c>
      <c r="J169" s="154"/>
      <c r="K169" s="520" t="str">
        <f>IF(J169="","",IF(VLOOKUP(J169,'G-7 Rivers Data'!$AK$4:$AM$9,2,FALSE)=0,"Spatial Data Missing ⚠",VLOOKUP(J169,'G-7 Rivers Data'!$AK$4:$AM$9,2,FALSE)))</f>
        <v/>
      </c>
      <c r="L169" s="524" t="str">
        <f>IF(J169="","",IF(VLOOKUP(J169,'G-7 Rivers Data'!$AK$4:$AM$9,3,FALSE)=0,"Spatial Data Missing ⚠",VLOOKUP(J169,'G-7 Rivers Data'!$AK$4:$AM$9,3,FALSE)))</f>
        <v/>
      </c>
      <c r="M169" s="71"/>
      <c r="N169" s="499" t="str">
        <f>IF(M169="","",IF(VLOOKUP(M169,'G-7 Rivers Data'!$AA$4:$AB$7,2,FALSE)=0,"Spatial Data Missing ⚠",VLOOKUP(M169,'G-7 Rivers Data'!$AA$4:$AB$7,2,FALSE)))</f>
        <v/>
      </c>
      <c r="O169" s="155"/>
      <c r="P169" s="499" t="str">
        <f>IF(O169="","",IF(VLOOKUP(O169,'G-7 Rivers Data'!$AD$4:$AE$8,2,FALSE)=0,"Spatial Data Missing ⚠",VLOOKUP(O169,'G-7 Rivers Data'!$AD$4:$AE$8,2,FALSE)))</f>
        <v/>
      </c>
      <c r="Q169" s="506" t="str">
        <f>IF(D169="","",VLOOKUP(D169,'G-7 Rivers Data'!$B$4:$G$8,6,FALSE))</f>
        <v/>
      </c>
      <c r="R169" s="513" t="str">
        <f t="shared" si="16"/>
        <v/>
      </c>
      <c r="S169" s="40"/>
      <c r="T169" s="145"/>
      <c r="U169" s="157"/>
      <c r="V169" s="511" t="str">
        <f t="shared" si="17"/>
        <v/>
      </c>
      <c r="W169" s="511" t="str">
        <f t="shared" si="18"/>
        <v/>
      </c>
      <c r="X169" s="511" t="str">
        <f t="shared" si="19"/>
        <v/>
      </c>
      <c r="Y169" s="515" t="str">
        <f t="shared" si="20"/>
        <v/>
      </c>
      <c r="Z169" s="151"/>
      <c r="AA169" s="152"/>
      <c r="AF169" s="31" t="str">
        <f>IFERROR(INDEX('G-7 Rivers Data'!$AZ$3:$AZ$7,MATCH(D169,'G-7 Rivers Data'!$AY$3:$AY$7,0)),"")</f>
        <v/>
      </c>
      <c r="AG169" s="31">
        <f t="shared" si="21"/>
        <v>0</v>
      </c>
      <c r="AH169" s="156" t="str">
        <f t="shared" si="22"/>
        <v/>
      </c>
      <c r="AI169" s="156" t="str">
        <f t="shared" si="23"/>
        <v/>
      </c>
      <c r="AK169" s="156">
        <v>160</v>
      </c>
      <c r="AM169" s="156" t="str">
        <f t="array" ref="AM169">IFERROR(INDEX($AK$10:$AK$258, MATCH(0, IF(TRUE=$AH$10:$AH$258, COUNTIF($AM$9:$AM168, $AK$10:$AK$258), ""), 0)),"")</f>
        <v/>
      </c>
      <c r="AN169" s="156" t="str">
        <f t="array" ref="AN169">IFERROR(INDEX($AK$10:$AK$258, MATCH(0, IF(TRUE=$AI$10:$AI$258, COUNTIF($AN$9:$AN168, $AK$10:$AK$258), ""), 0)),"")</f>
        <v/>
      </c>
    </row>
    <row r="170" spans="3:40" ht="14" x14ac:dyDescent="0.3">
      <c r="C170" s="141">
        <v>161</v>
      </c>
      <c r="D170" s="462"/>
      <c r="E170" s="153"/>
      <c r="F170" s="498" t="str">
        <f>IF(D170="","",VLOOKUP(D170,'G-7 Rivers Data'!$B$2:$G$8,2,FALSE))</f>
        <v/>
      </c>
      <c r="G170" s="499" t="str">
        <f>IFERROR(VLOOKUP(F170,'G-7 Rivers Data'!$C$4:$D$8,2,FALSE),"")</f>
        <v/>
      </c>
      <c r="H170" s="145"/>
      <c r="I170" s="499" t="str">
        <f>IFERROR(INDEX('G-7 Rivers Data'!$H$4:$L$8,MATCH(D170,'G-7 Rivers Data'!$B$4:$B$8,0),MATCH(H170,'G-7 Rivers Data'!$H$3:$L$3,0)),"")</f>
        <v/>
      </c>
      <c r="J170" s="154"/>
      <c r="K170" s="520" t="str">
        <f>IF(J170="","",IF(VLOOKUP(J170,'G-7 Rivers Data'!$AK$4:$AM$9,2,FALSE)=0,"Spatial Data Missing ⚠",VLOOKUP(J170,'G-7 Rivers Data'!$AK$4:$AM$9,2,FALSE)))</f>
        <v/>
      </c>
      <c r="L170" s="524" t="str">
        <f>IF(J170="","",IF(VLOOKUP(J170,'G-7 Rivers Data'!$AK$4:$AM$9,3,FALSE)=0,"Spatial Data Missing ⚠",VLOOKUP(J170,'G-7 Rivers Data'!$AK$4:$AM$9,3,FALSE)))</f>
        <v/>
      </c>
      <c r="M170" s="71"/>
      <c r="N170" s="499" t="str">
        <f>IF(M170="","",IF(VLOOKUP(M170,'G-7 Rivers Data'!$AA$4:$AB$7,2,FALSE)=0,"Spatial Data Missing ⚠",VLOOKUP(M170,'G-7 Rivers Data'!$AA$4:$AB$7,2,FALSE)))</f>
        <v/>
      </c>
      <c r="O170" s="155"/>
      <c r="P170" s="499" t="str">
        <f>IF(O170="","",IF(VLOOKUP(O170,'G-7 Rivers Data'!$AD$4:$AE$8,2,FALSE)=0,"Spatial Data Missing ⚠",VLOOKUP(O170,'G-7 Rivers Data'!$AD$4:$AE$8,2,FALSE)))</f>
        <v/>
      </c>
      <c r="Q170" s="506" t="str">
        <f>IF(D170="","",VLOOKUP(D170,'G-7 Rivers Data'!$B$4:$G$8,6,FALSE))</f>
        <v/>
      </c>
      <c r="R170" s="513" t="str">
        <f t="shared" si="16"/>
        <v/>
      </c>
      <c r="S170" s="40"/>
      <c r="T170" s="145"/>
      <c r="U170" s="157"/>
      <c r="V170" s="511" t="str">
        <f t="shared" si="17"/>
        <v/>
      </c>
      <c r="W170" s="511" t="str">
        <f t="shared" si="18"/>
        <v/>
      </c>
      <c r="X170" s="511" t="str">
        <f t="shared" si="19"/>
        <v/>
      </c>
      <c r="Y170" s="515" t="str">
        <f t="shared" si="20"/>
        <v/>
      </c>
      <c r="Z170" s="151"/>
      <c r="AA170" s="152"/>
      <c r="AF170" s="31" t="str">
        <f>IFERROR(INDEX('G-7 Rivers Data'!$AZ$3:$AZ$7,MATCH(D170,'G-7 Rivers Data'!$AY$3:$AY$7,0)),"")</f>
        <v/>
      </c>
      <c r="AG170" s="31">
        <f t="shared" si="21"/>
        <v>0</v>
      </c>
      <c r="AH170" s="156" t="str">
        <f t="shared" si="22"/>
        <v/>
      </c>
      <c r="AI170" s="156" t="str">
        <f t="shared" si="23"/>
        <v/>
      </c>
      <c r="AK170" s="156">
        <v>161</v>
      </c>
      <c r="AM170" s="156" t="str">
        <f t="array" ref="AM170">IFERROR(INDEX($AK$10:$AK$258, MATCH(0, IF(TRUE=$AH$10:$AH$258, COUNTIF($AM$9:$AM169, $AK$10:$AK$258), ""), 0)),"")</f>
        <v/>
      </c>
      <c r="AN170" s="156" t="str">
        <f t="array" ref="AN170">IFERROR(INDEX($AK$10:$AK$258, MATCH(0, IF(TRUE=$AI$10:$AI$258, COUNTIF($AN$9:$AN169, $AK$10:$AK$258), ""), 0)),"")</f>
        <v/>
      </c>
    </row>
    <row r="171" spans="3:40" ht="14" x14ac:dyDescent="0.3">
      <c r="C171" s="141">
        <v>162</v>
      </c>
      <c r="D171" s="462"/>
      <c r="E171" s="153"/>
      <c r="F171" s="498" t="str">
        <f>IF(D171="","",VLOOKUP(D171,'G-7 Rivers Data'!$B$2:$G$8,2,FALSE))</f>
        <v/>
      </c>
      <c r="G171" s="499" t="str">
        <f>IFERROR(VLOOKUP(F171,'G-7 Rivers Data'!$C$4:$D$8,2,FALSE),"")</f>
        <v/>
      </c>
      <c r="H171" s="145"/>
      <c r="I171" s="499" t="str">
        <f>IFERROR(INDEX('G-7 Rivers Data'!$H$4:$L$8,MATCH(D171,'G-7 Rivers Data'!$B$4:$B$8,0),MATCH(H171,'G-7 Rivers Data'!$H$3:$L$3,0)),"")</f>
        <v/>
      </c>
      <c r="J171" s="154"/>
      <c r="K171" s="520" t="str">
        <f>IF(J171="","",IF(VLOOKUP(J171,'G-7 Rivers Data'!$AK$4:$AM$9,2,FALSE)=0,"Spatial Data Missing ⚠",VLOOKUP(J171,'G-7 Rivers Data'!$AK$4:$AM$9,2,FALSE)))</f>
        <v/>
      </c>
      <c r="L171" s="524" t="str">
        <f>IF(J171="","",IF(VLOOKUP(J171,'G-7 Rivers Data'!$AK$4:$AM$9,3,FALSE)=0,"Spatial Data Missing ⚠",VLOOKUP(J171,'G-7 Rivers Data'!$AK$4:$AM$9,3,FALSE)))</f>
        <v/>
      </c>
      <c r="M171" s="71"/>
      <c r="N171" s="499" t="str">
        <f>IF(M171="","",IF(VLOOKUP(M171,'G-7 Rivers Data'!$AA$4:$AB$7,2,FALSE)=0,"Spatial Data Missing ⚠",VLOOKUP(M171,'G-7 Rivers Data'!$AA$4:$AB$7,2,FALSE)))</f>
        <v/>
      </c>
      <c r="O171" s="155"/>
      <c r="P171" s="499" t="str">
        <f>IF(O171="","",IF(VLOOKUP(O171,'G-7 Rivers Data'!$AD$4:$AE$8,2,FALSE)=0,"Spatial Data Missing ⚠",VLOOKUP(O171,'G-7 Rivers Data'!$AD$4:$AE$8,2,FALSE)))</f>
        <v/>
      </c>
      <c r="Q171" s="506" t="str">
        <f>IF(D171="","",VLOOKUP(D171,'G-7 Rivers Data'!$B$4:$G$8,6,FALSE))</f>
        <v/>
      </c>
      <c r="R171" s="513" t="str">
        <f t="shared" si="16"/>
        <v/>
      </c>
      <c r="S171" s="40"/>
      <c r="T171" s="145"/>
      <c r="U171" s="157"/>
      <c r="V171" s="511" t="str">
        <f t="shared" si="17"/>
        <v/>
      </c>
      <c r="W171" s="511" t="str">
        <f t="shared" si="18"/>
        <v/>
      </c>
      <c r="X171" s="511" t="str">
        <f t="shared" si="19"/>
        <v/>
      </c>
      <c r="Y171" s="515" t="str">
        <f t="shared" si="20"/>
        <v/>
      </c>
      <c r="Z171" s="151"/>
      <c r="AA171" s="152"/>
      <c r="AF171" s="31" t="str">
        <f>IFERROR(INDEX('G-7 Rivers Data'!$AZ$3:$AZ$7,MATCH(D171,'G-7 Rivers Data'!$AY$3:$AY$7,0)),"")</f>
        <v/>
      </c>
      <c r="AG171" s="31">
        <f t="shared" si="21"/>
        <v>0</v>
      </c>
      <c r="AH171" s="156" t="str">
        <f t="shared" si="22"/>
        <v/>
      </c>
      <c r="AI171" s="156" t="str">
        <f t="shared" si="23"/>
        <v/>
      </c>
      <c r="AK171" s="156">
        <v>162</v>
      </c>
      <c r="AM171" s="156" t="str">
        <f t="array" ref="AM171">IFERROR(INDEX($AK$10:$AK$258, MATCH(0, IF(TRUE=$AH$10:$AH$258, COUNTIF($AM$9:$AM170, $AK$10:$AK$258), ""), 0)),"")</f>
        <v/>
      </c>
      <c r="AN171" s="156" t="str">
        <f t="array" ref="AN171">IFERROR(INDEX($AK$10:$AK$258, MATCH(0, IF(TRUE=$AI$10:$AI$258, COUNTIF($AN$9:$AN170, $AK$10:$AK$258), ""), 0)),"")</f>
        <v/>
      </c>
    </row>
    <row r="172" spans="3:40" ht="14" x14ac:dyDescent="0.3">
      <c r="C172" s="141">
        <v>163</v>
      </c>
      <c r="D172" s="462"/>
      <c r="E172" s="153"/>
      <c r="F172" s="498" t="str">
        <f>IF(D172="","",VLOOKUP(D172,'G-7 Rivers Data'!$B$2:$G$8,2,FALSE))</f>
        <v/>
      </c>
      <c r="G172" s="499" t="str">
        <f>IFERROR(VLOOKUP(F172,'G-7 Rivers Data'!$C$4:$D$8,2,FALSE),"")</f>
        <v/>
      </c>
      <c r="H172" s="145"/>
      <c r="I172" s="499" t="str">
        <f>IFERROR(INDEX('G-7 Rivers Data'!$H$4:$L$8,MATCH(D172,'G-7 Rivers Data'!$B$4:$B$8,0),MATCH(H172,'G-7 Rivers Data'!$H$3:$L$3,0)),"")</f>
        <v/>
      </c>
      <c r="J172" s="154"/>
      <c r="K172" s="520" t="str">
        <f>IF(J172="","",IF(VLOOKUP(J172,'G-7 Rivers Data'!$AK$4:$AM$9,2,FALSE)=0,"Spatial Data Missing ⚠",VLOOKUP(J172,'G-7 Rivers Data'!$AK$4:$AM$9,2,FALSE)))</f>
        <v/>
      </c>
      <c r="L172" s="524" t="str">
        <f>IF(J172="","",IF(VLOOKUP(J172,'G-7 Rivers Data'!$AK$4:$AM$9,3,FALSE)=0,"Spatial Data Missing ⚠",VLOOKUP(J172,'G-7 Rivers Data'!$AK$4:$AM$9,3,FALSE)))</f>
        <v/>
      </c>
      <c r="M172" s="71"/>
      <c r="N172" s="499" t="str">
        <f>IF(M172="","",IF(VLOOKUP(M172,'G-7 Rivers Data'!$AA$4:$AB$7,2,FALSE)=0,"Spatial Data Missing ⚠",VLOOKUP(M172,'G-7 Rivers Data'!$AA$4:$AB$7,2,FALSE)))</f>
        <v/>
      </c>
      <c r="O172" s="155"/>
      <c r="P172" s="499" t="str">
        <f>IF(O172="","",IF(VLOOKUP(O172,'G-7 Rivers Data'!$AD$4:$AE$8,2,FALSE)=0,"Spatial Data Missing ⚠",VLOOKUP(O172,'G-7 Rivers Data'!$AD$4:$AE$8,2,FALSE)))</f>
        <v/>
      </c>
      <c r="Q172" s="506" t="str">
        <f>IF(D172="","",VLOOKUP(D172,'G-7 Rivers Data'!$B$4:$G$8,6,FALSE))</f>
        <v/>
      </c>
      <c r="R172" s="513" t="str">
        <f t="shared" si="16"/>
        <v/>
      </c>
      <c r="S172" s="40"/>
      <c r="T172" s="145"/>
      <c r="U172" s="157"/>
      <c r="V172" s="511" t="str">
        <f t="shared" si="17"/>
        <v/>
      </c>
      <c r="W172" s="511" t="str">
        <f t="shared" si="18"/>
        <v/>
      </c>
      <c r="X172" s="511" t="str">
        <f t="shared" si="19"/>
        <v/>
      </c>
      <c r="Y172" s="515" t="str">
        <f t="shared" si="20"/>
        <v/>
      </c>
      <c r="Z172" s="151"/>
      <c r="AA172" s="152"/>
      <c r="AF172" s="31" t="str">
        <f>IFERROR(INDEX('G-7 Rivers Data'!$AZ$3:$AZ$7,MATCH(D172,'G-7 Rivers Data'!$AY$3:$AY$7,0)),"")</f>
        <v/>
      </c>
      <c r="AG172" s="31">
        <f t="shared" si="21"/>
        <v>0</v>
      </c>
      <c r="AH172" s="156" t="str">
        <f t="shared" si="22"/>
        <v/>
      </c>
      <c r="AI172" s="156" t="str">
        <f t="shared" si="23"/>
        <v/>
      </c>
      <c r="AK172" s="156">
        <v>163</v>
      </c>
      <c r="AM172" s="156" t="str">
        <f t="array" ref="AM172">IFERROR(INDEX($AK$10:$AK$258, MATCH(0, IF(TRUE=$AH$10:$AH$258, COUNTIF($AM$9:$AM171, $AK$10:$AK$258), ""), 0)),"")</f>
        <v/>
      </c>
      <c r="AN172" s="156" t="str">
        <f t="array" ref="AN172">IFERROR(INDEX($AK$10:$AK$258, MATCH(0, IF(TRUE=$AI$10:$AI$258, COUNTIF($AN$9:$AN171, $AK$10:$AK$258), ""), 0)),"")</f>
        <v/>
      </c>
    </row>
    <row r="173" spans="3:40" ht="14" x14ac:dyDescent="0.3">
      <c r="C173" s="141">
        <v>164</v>
      </c>
      <c r="D173" s="462"/>
      <c r="E173" s="153"/>
      <c r="F173" s="498" t="str">
        <f>IF(D173="","",VLOOKUP(D173,'G-7 Rivers Data'!$B$2:$G$8,2,FALSE))</f>
        <v/>
      </c>
      <c r="G173" s="499" t="str">
        <f>IFERROR(VLOOKUP(F173,'G-7 Rivers Data'!$C$4:$D$8,2,FALSE),"")</f>
        <v/>
      </c>
      <c r="H173" s="145"/>
      <c r="I173" s="499" t="str">
        <f>IFERROR(INDEX('G-7 Rivers Data'!$H$4:$L$8,MATCH(D173,'G-7 Rivers Data'!$B$4:$B$8,0),MATCH(H173,'G-7 Rivers Data'!$H$3:$L$3,0)),"")</f>
        <v/>
      </c>
      <c r="J173" s="154"/>
      <c r="K173" s="520" t="str">
        <f>IF(J173="","",IF(VLOOKUP(J173,'G-7 Rivers Data'!$AK$4:$AM$9,2,FALSE)=0,"Spatial Data Missing ⚠",VLOOKUP(J173,'G-7 Rivers Data'!$AK$4:$AM$9,2,FALSE)))</f>
        <v/>
      </c>
      <c r="L173" s="524" t="str">
        <f>IF(J173="","",IF(VLOOKUP(J173,'G-7 Rivers Data'!$AK$4:$AM$9,3,FALSE)=0,"Spatial Data Missing ⚠",VLOOKUP(J173,'G-7 Rivers Data'!$AK$4:$AM$9,3,FALSE)))</f>
        <v/>
      </c>
      <c r="M173" s="71"/>
      <c r="N173" s="499" t="str">
        <f>IF(M173="","",IF(VLOOKUP(M173,'G-7 Rivers Data'!$AA$4:$AB$7,2,FALSE)=0,"Spatial Data Missing ⚠",VLOOKUP(M173,'G-7 Rivers Data'!$AA$4:$AB$7,2,FALSE)))</f>
        <v/>
      </c>
      <c r="O173" s="155"/>
      <c r="P173" s="499" t="str">
        <f>IF(O173="","",IF(VLOOKUP(O173,'G-7 Rivers Data'!$AD$4:$AE$8,2,FALSE)=0,"Spatial Data Missing ⚠",VLOOKUP(O173,'G-7 Rivers Data'!$AD$4:$AE$8,2,FALSE)))</f>
        <v/>
      </c>
      <c r="Q173" s="506" t="str">
        <f>IF(D173="","",VLOOKUP(D173,'G-7 Rivers Data'!$B$4:$G$8,6,FALSE))</f>
        <v/>
      </c>
      <c r="R173" s="513" t="str">
        <f t="shared" si="16"/>
        <v/>
      </c>
      <c r="S173" s="40"/>
      <c r="T173" s="145"/>
      <c r="U173" s="157"/>
      <c r="V173" s="511" t="str">
        <f t="shared" si="17"/>
        <v/>
      </c>
      <c r="W173" s="511" t="str">
        <f t="shared" si="18"/>
        <v/>
      </c>
      <c r="X173" s="511" t="str">
        <f t="shared" si="19"/>
        <v/>
      </c>
      <c r="Y173" s="515" t="str">
        <f t="shared" si="20"/>
        <v/>
      </c>
      <c r="Z173" s="151"/>
      <c r="AA173" s="152"/>
      <c r="AF173" s="31" t="str">
        <f>IFERROR(INDEX('G-7 Rivers Data'!$AZ$3:$AZ$7,MATCH(D173,'G-7 Rivers Data'!$AY$3:$AY$7,0)),"")</f>
        <v/>
      </c>
      <c r="AG173" s="31">
        <f t="shared" si="21"/>
        <v>0</v>
      </c>
      <c r="AH173" s="156" t="str">
        <f t="shared" si="22"/>
        <v/>
      </c>
      <c r="AI173" s="156" t="str">
        <f t="shared" si="23"/>
        <v/>
      </c>
      <c r="AK173" s="156">
        <v>164</v>
      </c>
      <c r="AM173" s="156" t="str">
        <f t="array" ref="AM173">IFERROR(INDEX($AK$10:$AK$258, MATCH(0, IF(TRUE=$AH$10:$AH$258, COUNTIF($AM$9:$AM172, $AK$10:$AK$258), ""), 0)),"")</f>
        <v/>
      </c>
      <c r="AN173" s="156" t="str">
        <f t="array" ref="AN173">IFERROR(INDEX($AK$10:$AK$258, MATCH(0, IF(TRUE=$AI$10:$AI$258, COUNTIF($AN$9:$AN172, $AK$10:$AK$258), ""), 0)),"")</f>
        <v/>
      </c>
    </row>
    <row r="174" spans="3:40" ht="14" x14ac:dyDescent="0.3">
      <c r="C174" s="141">
        <v>165</v>
      </c>
      <c r="D174" s="462"/>
      <c r="E174" s="153"/>
      <c r="F174" s="498" t="str">
        <f>IF(D174="","",VLOOKUP(D174,'G-7 Rivers Data'!$B$2:$G$8,2,FALSE))</f>
        <v/>
      </c>
      <c r="G174" s="499" t="str">
        <f>IFERROR(VLOOKUP(F174,'G-7 Rivers Data'!$C$4:$D$8,2,FALSE),"")</f>
        <v/>
      </c>
      <c r="H174" s="145"/>
      <c r="I174" s="499" t="str">
        <f>IFERROR(INDEX('G-7 Rivers Data'!$H$4:$L$8,MATCH(D174,'G-7 Rivers Data'!$B$4:$B$8,0),MATCH(H174,'G-7 Rivers Data'!$H$3:$L$3,0)),"")</f>
        <v/>
      </c>
      <c r="J174" s="154"/>
      <c r="K174" s="520" t="str">
        <f>IF(J174="","",IF(VLOOKUP(J174,'G-7 Rivers Data'!$AK$4:$AM$9,2,FALSE)=0,"Spatial Data Missing ⚠",VLOOKUP(J174,'G-7 Rivers Data'!$AK$4:$AM$9,2,FALSE)))</f>
        <v/>
      </c>
      <c r="L174" s="524" t="str">
        <f>IF(J174="","",IF(VLOOKUP(J174,'G-7 Rivers Data'!$AK$4:$AM$9,3,FALSE)=0,"Spatial Data Missing ⚠",VLOOKUP(J174,'G-7 Rivers Data'!$AK$4:$AM$9,3,FALSE)))</f>
        <v/>
      </c>
      <c r="M174" s="71"/>
      <c r="N174" s="499" t="str">
        <f>IF(M174="","",IF(VLOOKUP(M174,'G-7 Rivers Data'!$AA$4:$AB$7,2,FALSE)=0,"Spatial Data Missing ⚠",VLOOKUP(M174,'G-7 Rivers Data'!$AA$4:$AB$7,2,FALSE)))</f>
        <v/>
      </c>
      <c r="O174" s="155"/>
      <c r="P174" s="499" t="str">
        <f>IF(O174="","",IF(VLOOKUP(O174,'G-7 Rivers Data'!$AD$4:$AE$8,2,FALSE)=0,"Spatial Data Missing ⚠",VLOOKUP(O174,'G-7 Rivers Data'!$AD$4:$AE$8,2,FALSE)))</f>
        <v/>
      </c>
      <c r="Q174" s="506" t="str">
        <f>IF(D174="","",VLOOKUP(D174,'G-7 Rivers Data'!$B$4:$G$8,6,FALSE))</f>
        <v/>
      </c>
      <c r="R174" s="513" t="str">
        <f t="shared" si="16"/>
        <v/>
      </c>
      <c r="S174" s="40"/>
      <c r="T174" s="145"/>
      <c r="U174" s="157"/>
      <c r="V174" s="511" t="str">
        <f t="shared" si="17"/>
        <v/>
      </c>
      <c r="W174" s="511" t="str">
        <f t="shared" si="18"/>
        <v/>
      </c>
      <c r="X174" s="511" t="str">
        <f t="shared" si="19"/>
        <v/>
      </c>
      <c r="Y174" s="515" t="str">
        <f t="shared" si="20"/>
        <v/>
      </c>
      <c r="Z174" s="151"/>
      <c r="AA174" s="152"/>
      <c r="AF174" s="31" t="str">
        <f>IFERROR(INDEX('G-7 Rivers Data'!$AZ$3:$AZ$7,MATCH(D174,'G-7 Rivers Data'!$AY$3:$AY$7,0)),"")</f>
        <v/>
      </c>
      <c r="AG174" s="31">
        <f t="shared" si="21"/>
        <v>0</v>
      </c>
      <c r="AH174" s="156" t="str">
        <f t="shared" si="22"/>
        <v/>
      </c>
      <c r="AI174" s="156" t="str">
        <f t="shared" si="23"/>
        <v/>
      </c>
      <c r="AK174" s="156">
        <v>165</v>
      </c>
      <c r="AM174" s="156" t="str">
        <f t="array" ref="AM174">IFERROR(INDEX($AK$10:$AK$258, MATCH(0, IF(TRUE=$AH$10:$AH$258, COUNTIF($AM$9:$AM173, $AK$10:$AK$258), ""), 0)),"")</f>
        <v/>
      </c>
      <c r="AN174" s="156" t="str">
        <f t="array" ref="AN174">IFERROR(INDEX($AK$10:$AK$258, MATCH(0, IF(TRUE=$AI$10:$AI$258, COUNTIF($AN$9:$AN173, $AK$10:$AK$258), ""), 0)),"")</f>
        <v/>
      </c>
    </row>
    <row r="175" spans="3:40" ht="14" x14ac:dyDescent="0.3">
      <c r="C175" s="141">
        <v>166</v>
      </c>
      <c r="D175" s="462"/>
      <c r="E175" s="153"/>
      <c r="F175" s="498" t="str">
        <f>IF(D175="","",VLOOKUP(D175,'G-7 Rivers Data'!$B$2:$G$8,2,FALSE))</f>
        <v/>
      </c>
      <c r="G175" s="499" t="str">
        <f>IFERROR(VLOOKUP(F175,'G-7 Rivers Data'!$C$4:$D$8,2,FALSE),"")</f>
        <v/>
      </c>
      <c r="H175" s="145"/>
      <c r="I175" s="499" t="str">
        <f>IFERROR(INDEX('G-7 Rivers Data'!$H$4:$L$8,MATCH(D175,'G-7 Rivers Data'!$B$4:$B$8,0),MATCH(H175,'G-7 Rivers Data'!$H$3:$L$3,0)),"")</f>
        <v/>
      </c>
      <c r="J175" s="154"/>
      <c r="K175" s="520" t="str">
        <f>IF(J175="","",IF(VLOOKUP(J175,'G-7 Rivers Data'!$AK$4:$AM$9,2,FALSE)=0,"Spatial Data Missing ⚠",VLOOKUP(J175,'G-7 Rivers Data'!$AK$4:$AM$9,2,FALSE)))</f>
        <v/>
      </c>
      <c r="L175" s="524" t="str">
        <f>IF(J175="","",IF(VLOOKUP(J175,'G-7 Rivers Data'!$AK$4:$AM$9,3,FALSE)=0,"Spatial Data Missing ⚠",VLOOKUP(J175,'G-7 Rivers Data'!$AK$4:$AM$9,3,FALSE)))</f>
        <v/>
      </c>
      <c r="M175" s="71"/>
      <c r="N175" s="499" t="str">
        <f>IF(M175="","",IF(VLOOKUP(M175,'G-7 Rivers Data'!$AA$4:$AB$7,2,FALSE)=0,"Spatial Data Missing ⚠",VLOOKUP(M175,'G-7 Rivers Data'!$AA$4:$AB$7,2,FALSE)))</f>
        <v/>
      </c>
      <c r="O175" s="155"/>
      <c r="P175" s="499" t="str">
        <f>IF(O175="","",IF(VLOOKUP(O175,'G-7 Rivers Data'!$AD$4:$AE$8,2,FALSE)=0,"Spatial Data Missing ⚠",VLOOKUP(O175,'G-7 Rivers Data'!$AD$4:$AE$8,2,FALSE)))</f>
        <v/>
      </c>
      <c r="Q175" s="506" t="str">
        <f>IF(D175="","",VLOOKUP(D175,'G-7 Rivers Data'!$B$4:$G$8,6,FALSE))</f>
        <v/>
      </c>
      <c r="R175" s="513" t="str">
        <f t="shared" si="16"/>
        <v/>
      </c>
      <c r="S175" s="40"/>
      <c r="T175" s="145"/>
      <c r="U175" s="157"/>
      <c r="V175" s="511" t="str">
        <f t="shared" si="17"/>
        <v/>
      </c>
      <c r="W175" s="511" t="str">
        <f t="shared" si="18"/>
        <v/>
      </c>
      <c r="X175" s="511" t="str">
        <f t="shared" si="19"/>
        <v/>
      </c>
      <c r="Y175" s="515" t="str">
        <f t="shared" si="20"/>
        <v/>
      </c>
      <c r="Z175" s="151"/>
      <c r="AA175" s="152"/>
      <c r="AF175" s="31" t="str">
        <f>IFERROR(INDEX('G-7 Rivers Data'!$AZ$3:$AZ$7,MATCH(D175,'G-7 Rivers Data'!$AY$3:$AY$7,0)),"")</f>
        <v/>
      </c>
      <c r="AG175" s="31">
        <f t="shared" si="21"/>
        <v>0</v>
      </c>
      <c r="AH175" s="156" t="str">
        <f t="shared" si="22"/>
        <v/>
      </c>
      <c r="AI175" s="156" t="str">
        <f t="shared" si="23"/>
        <v/>
      </c>
      <c r="AK175" s="156">
        <v>166</v>
      </c>
      <c r="AM175" s="156" t="str">
        <f t="array" ref="AM175">IFERROR(INDEX($AK$10:$AK$258, MATCH(0, IF(TRUE=$AH$10:$AH$258, COUNTIF($AM$9:$AM174, $AK$10:$AK$258), ""), 0)),"")</f>
        <v/>
      </c>
      <c r="AN175" s="156" t="str">
        <f t="array" ref="AN175">IFERROR(INDEX($AK$10:$AK$258, MATCH(0, IF(TRUE=$AI$10:$AI$258, COUNTIF($AN$9:$AN174, $AK$10:$AK$258), ""), 0)),"")</f>
        <v/>
      </c>
    </row>
    <row r="176" spans="3:40" ht="14" x14ac:dyDescent="0.3">
      <c r="C176" s="141">
        <v>167</v>
      </c>
      <c r="D176" s="462"/>
      <c r="E176" s="153"/>
      <c r="F176" s="498" t="str">
        <f>IF(D176="","",VLOOKUP(D176,'G-7 Rivers Data'!$B$2:$G$8,2,FALSE))</f>
        <v/>
      </c>
      <c r="G176" s="499" t="str">
        <f>IFERROR(VLOOKUP(F176,'G-7 Rivers Data'!$C$4:$D$8,2,FALSE),"")</f>
        <v/>
      </c>
      <c r="H176" s="145"/>
      <c r="I176" s="499" t="str">
        <f>IFERROR(INDEX('G-7 Rivers Data'!$H$4:$L$8,MATCH(D176,'G-7 Rivers Data'!$B$4:$B$8,0),MATCH(H176,'G-7 Rivers Data'!$H$3:$L$3,0)),"")</f>
        <v/>
      </c>
      <c r="J176" s="154"/>
      <c r="K176" s="520" t="str">
        <f>IF(J176="","",IF(VLOOKUP(J176,'G-7 Rivers Data'!$AK$4:$AM$9,2,FALSE)=0,"Spatial Data Missing ⚠",VLOOKUP(J176,'G-7 Rivers Data'!$AK$4:$AM$9,2,FALSE)))</f>
        <v/>
      </c>
      <c r="L176" s="524" t="str">
        <f>IF(J176="","",IF(VLOOKUP(J176,'G-7 Rivers Data'!$AK$4:$AM$9,3,FALSE)=0,"Spatial Data Missing ⚠",VLOOKUP(J176,'G-7 Rivers Data'!$AK$4:$AM$9,3,FALSE)))</f>
        <v/>
      </c>
      <c r="M176" s="71"/>
      <c r="N176" s="499" t="str">
        <f>IF(M176="","",IF(VLOOKUP(M176,'G-7 Rivers Data'!$AA$4:$AB$7,2,FALSE)=0,"Spatial Data Missing ⚠",VLOOKUP(M176,'G-7 Rivers Data'!$AA$4:$AB$7,2,FALSE)))</f>
        <v/>
      </c>
      <c r="O176" s="155"/>
      <c r="P176" s="499" t="str">
        <f>IF(O176="","",IF(VLOOKUP(O176,'G-7 Rivers Data'!$AD$4:$AE$8,2,FALSE)=0,"Spatial Data Missing ⚠",VLOOKUP(O176,'G-7 Rivers Data'!$AD$4:$AE$8,2,FALSE)))</f>
        <v/>
      </c>
      <c r="Q176" s="506" t="str">
        <f>IF(D176="","",VLOOKUP(D176,'G-7 Rivers Data'!$B$4:$G$8,6,FALSE))</f>
        <v/>
      </c>
      <c r="R176" s="513" t="str">
        <f t="shared" si="16"/>
        <v/>
      </c>
      <c r="S176" s="40"/>
      <c r="T176" s="145"/>
      <c r="U176" s="157"/>
      <c r="V176" s="511" t="str">
        <f t="shared" si="17"/>
        <v/>
      </c>
      <c r="W176" s="511" t="str">
        <f t="shared" si="18"/>
        <v/>
      </c>
      <c r="X176" s="511" t="str">
        <f t="shared" si="19"/>
        <v/>
      </c>
      <c r="Y176" s="515" t="str">
        <f t="shared" si="20"/>
        <v/>
      </c>
      <c r="Z176" s="151"/>
      <c r="AA176" s="152"/>
      <c r="AF176" s="31" t="str">
        <f>IFERROR(INDEX('G-7 Rivers Data'!$AZ$3:$AZ$7,MATCH(D176,'G-7 Rivers Data'!$AY$3:$AY$7,0)),"")</f>
        <v/>
      </c>
      <c r="AG176" s="31">
        <f t="shared" si="21"/>
        <v>0</v>
      </c>
      <c r="AH176" s="156" t="str">
        <f t="shared" si="22"/>
        <v/>
      </c>
      <c r="AI176" s="156" t="str">
        <f t="shared" si="23"/>
        <v/>
      </c>
      <c r="AK176" s="156">
        <v>167</v>
      </c>
      <c r="AM176" s="156" t="str">
        <f t="array" ref="AM176">IFERROR(INDEX($AK$10:$AK$258, MATCH(0, IF(TRUE=$AH$10:$AH$258, COUNTIF($AM$9:$AM175, $AK$10:$AK$258), ""), 0)),"")</f>
        <v/>
      </c>
      <c r="AN176" s="156" t="str">
        <f t="array" ref="AN176">IFERROR(INDEX($AK$10:$AK$258, MATCH(0, IF(TRUE=$AI$10:$AI$258, COUNTIF($AN$9:$AN175, $AK$10:$AK$258), ""), 0)),"")</f>
        <v/>
      </c>
    </row>
    <row r="177" spans="3:40" ht="14" x14ac:dyDescent="0.3">
      <c r="C177" s="141">
        <v>168</v>
      </c>
      <c r="D177" s="462"/>
      <c r="E177" s="153"/>
      <c r="F177" s="498" t="str">
        <f>IF(D177="","",VLOOKUP(D177,'G-7 Rivers Data'!$B$2:$G$8,2,FALSE))</f>
        <v/>
      </c>
      <c r="G177" s="499" t="str">
        <f>IFERROR(VLOOKUP(F177,'G-7 Rivers Data'!$C$4:$D$8,2,FALSE),"")</f>
        <v/>
      </c>
      <c r="H177" s="145"/>
      <c r="I177" s="499" t="str">
        <f>IFERROR(INDEX('G-7 Rivers Data'!$H$4:$L$8,MATCH(D177,'G-7 Rivers Data'!$B$4:$B$8,0),MATCH(H177,'G-7 Rivers Data'!$H$3:$L$3,0)),"")</f>
        <v/>
      </c>
      <c r="J177" s="154"/>
      <c r="K177" s="520" t="str">
        <f>IF(J177="","",IF(VLOOKUP(J177,'G-7 Rivers Data'!$AK$4:$AM$9,2,FALSE)=0,"Spatial Data Missing ⚠",VLOOKUP(J177,'G-7 Rivers Data'!$AK$4:$AM$9,2,FALSE)))</f>
        <v/>
      </c>
      <c r="L177" s="524" t="str">
        <f>IF(J177="","",IF(VLOOKUP(J177,'G-7 Rivers Data'!$AK$4:$AM$9,3,FALSE)=0,"Spatial Data Missing ⚠",VLOOKUP(J177,'G-7 Rivers Data'!$AK$4:$AM$9,3,FALSE)))</f>
        <v/>
      </c>
      <c r="M177" s="71"/>
      <c r="N177" s="499" t="str">
        <f>IF(M177="","",IF(VLOOKUP(M177,'G-7 Rivers Data'!$AA$4:$AB$7,2,FALSE)=0,"Spatial Data Missing ⚠",VLOOKUP(M177,'G-7 Rivers Data'!$AA$4:$AB$7,2,FALSE)))</f>
        <v/>
      </c>
      <c r="O177" s="155"/>
      <c r="P177" s="499" t="str">
        <f>IF(O177="","",IF(VLOOKUP(O177,'G-7 Rivers Data'!$AD$4:$AE$8,2,FALSE)=0,"Spatial Data Missing ⚠",VLOOKUP(O177,'G-7 Rivers Data'!$AD$4:$AE$8,2,FALSE)))</f>
        <v/>
      </c>
      <c r="Q177" s="506" t="str">
        <f>IF(D177="","",VLOOKUP(D177,'G-7 Rivers Data'!$B$4:$G$8,6,FALSE))</f>
        <v/>
      </c>
      <c r="R177" s="513" t="str">
        <f t="shared" si="16"/>
        <v/>
      </c>
      <c r="S177" s="40"/>
      <c r="T177" s="145"/>
      <c r="U177" s="157"/>
      <c r="V177" s="511" t="str">
        <f t="shared" si="17"/>
        <v/>
      </c>
      <c r="W177" s="511" t="str">
        <f t="shared" si="18"/>
        <v/>
      </c>
      <c r="X177" s="511" t="str">
        <f t="shared" si="19"/>
        <v/>
      </c>
      <c r="Y177" s="515" t="str">
        <f t="shared" si="20"/>
        <v/>
      </c>
      <c r="Z177" s="151"/>
      <c r="AA177" s="152"/>
      <c r="AF177" s="31" t="str">
        <f>IFERROR(INDEX('G-7 Rivers Data'!$AZ$3:$AZ$7,MATCH(D177,'G-7 Rivers Data'!$AY$3:$AY$7,0)),"")</f>
        <v/>
      </c>
      <c r="AG177" s="31">
        <f t="shared" si="21"/>
        <v>0</v>
      </c>
      <c r="AH177" s="156" t="str">
        <f t="shared" si="22"/>
        <v/>
      </c>
      <c r="AI177" s="156" t="str">
        <f t="shared" si="23"/>
        <v/>
      </c>
      <c r="AK177" s="156">
        <v>168</v>
      </c>
      <c r="AM177" s="156" t="str">
        <f t="array" ref="AM177">IFERROR(INDEX($AK$10:$AK$258, MATCH(0, IF(TRUE=$AH$10:$AH$258, COUNTIF($AM$9:$AM176, $AK$10:$AK$258), ""), 0)),"")</f>
        <v/>
      </c>
      <c r="AN177" s="156" t="str">
        <f t="array" ref="AN177">IFERROR(INDEX($AK$10:$AK$258, MATCH(0, IF(TRUE=$AI$10:$AI$258, COUNTIF($AN$9:$AN176, $AK$10:$AK$258), ""), 0)),"")</f>
        <v/>
      </c>
    </row>
    <row r="178" spans="3:40" ht="14" x14ac:dyDescent="0.3">
      <c r="C178" s="141">
        <v>169</v>
      </c>
      <c r="D178" s="462"/>
      <c r="E178" s="153"/>
      <c r="F178" s="498" t="str">
        <f>IF(D178="","",VLOOKUP(D178,'G-7 Rivers Data'!$B$2:$G$8,2,FALSE))</f>
        <v/>
      </c>
      <c r="G178" s="499" t="str">
        <f>IFERROR(VLOOKUP(F178,'G-7 Rivers Data'!$C$4:$D$8,2,FALSE),"")</f>
        <v/>
      </c>
      <c r="H178" s="145"/>
      <c r="I178" s="499" t="str">
        <f>IFERROR(INDEX('G-7 Rivers Data'!$H$4:$L$8,MATCH(D178,'G-7 Rivers Data'!$B$4:$B$8,0),MATCH(H178,'G-7 Rivers Data'!$H$3:$L$3,0)),"")</f>
        <v/>
      </c>
      <c r="J178" s="154"/>
      <c r="K178" s="520" t="str">
        <f>IF(J178="","",IF(VLOOKUP(J178,'G-7 Rivers Data'!$AK$4:$AM$9,2,FALSE)=0,"Spatial Data Missing ⚠",VLOOKUP(J178,'G-7 Rivers Data'!$AK$4:$AM$9,2,FALSE)))</f>
        <v/>
      </c>
      <c r="L178" s="524" t="str">
        <f>IF(J178="","",IF(VLOOKUP(J178,'G-7 Rivers Data'!$AK$4:$AM$9,3,FALSE)=0,"Spatial Data Missing ⚠",VLOOKUP(J178,'G-7 Rivers Data'!$AK$4:$AM$9,3,FALSE)))</f>
        <v/>
      </c>
      <c r="M178" s="71"/>
      <c r="N178" s="499" t="str">
        <f>IF(M178="","",IF(VLOOKUP(M178,'G-7 Rivers Data'!$AA$4:$AB$7,2,FALSE)=0,"Spatial Data Missing ⚠",VLOOKUP(M178,'G-7 Rivers Data'!$AA$4:$AB$7,2,FALSE)))</f>
        <v/>
      </c>
      <c r="O178" s="155"/>
      <c r="P178" s="499" t="str">
        <f>IF(O178="","",IF(VLOOKUP(O178,'G-7 Rivers Data'!$AD$4:$AE$8,2,FALSE)=0,"Spatial Data Missing ⚠",VLOOKUP(O178,'G-7 Rivers Data'!$AD$4:$AE$8,2,FALSE)))</f>
        <v/>
      </c>
      <c r="Q178" s="506" t="str">
        <f>IF(D178="","",VLOOKUP(D178,'G-7 Rivers Data'!$B$4:$G$8,6,FALSE))</f>
        <v/>
      </c>
      <c r="R178" s="513" t="str">
        <f t="shared" si="16"/>
        <v/>
      </c>
      <c r="S178" s="40"/>
      <c r="T178" s="145"/>
      <c r="U178" s="157"/>
      <c r="V178" s="511" t="str">
        <f t="shared" si="17"/>
        <v/>
      </c>
      <c r="W178" s="511" t="str">
        <f t="shared" si="18"/>
        <v/>
      </c>
      <c r="X178" s="511" t="str">
        <f t="shared" si="19"/>
        <v/>
      </c>
      <c r="Y178" s="515" t="str">
        <f t="shared" si="20"/>
        <v/>
      </c>
      <c r="Z178" s="151"/>
      <c r="AA178" s="152"/>
      <c r="AF178" s="31" t="str">
        <f>IFERROR(INDEX('G-7 Rivers Data'!$AZ$3:$AZ$7,MATCH(D178,'G-7 Rivers Data'!$AY$3:$AY$7,0)),"")</f>
        <v/>
      </c>
      <c r="AG178" s="31">
        <f t="shared" si="21"/>
        <v>0</v>
      </c>
      <c r="AH178" s="156" t="str">
        <f t="shared" si="22"/>
        <v/>
      </c>
      <c r="AI178" s="156" t="str">
        <f t="shared" si="23"/>
        <v/>
      </c>
      <c r="AK178" s="156">
        <v>169</v>
      </c>
      <c r="AM178" s="156" t="str">
        <f t="array" ref="AM178">IFERROR(INDEX($AK$10:$AK$258, MATCH(0, IF(TRUE=$AH$10:$AH$258, COUNTIF($AM$9:$AM177, $AK$10:$AK$258), ""), 0)),"")</f>
        <v/>
      </c>
      <c r="AN178" s="156" t="str">
        <f t="array" ref="AN178">IFERROR(INDEX($AK$10:$AK$258, MATCH(0, IF(TRUE=$AI$10:$AI$258, COUNTIF($AN$9:$AN177, $AK$10:$AK$258), ""), 0)),"")</f>
        <v/>
      </c>
    </row>
    <row r="179" spans="3:40" ht="14" x14ac:dyDescent="0.3">
      <c r="C179" s="141">
        <v>170</v>
      </c>
      <c r="D179" s="462"/>
      <c r="E179" s="153"/>
      <c r="F179" s="498" t="str">
        <f>IF(D179="","",VLOOKUP(D179,'G-7 Rivers Data'!$B$2:$G$8,2,FALSE))</f>
        <v/>
      </c>
      <c r="G179" s="499" t="str">
        <f>IFERROR(VLOOKUP(F179,'G-7 Rivers Data'!$C$4:$D$8,2,FALSE),"")</f>
        <v/>
      </c>
      <c r="H179" s="145"/>
      <c r="I179" s="499" t="str">
        <f>IFERROR(INDEX('G-7 Rivers Data'!$H$4:$L$8,MATCH(D179,'G-7 Rivers Data'!$B$4:$B$8,0),MATCH(H179,'G-7 Rivers Data'!$H$3:$L$3,0)),"")</f>
        <v/>
      </c>
      <c r="J179" s="154"/>
      <c r="K179" s="520" t="str">
        <f>IF(J179="","",IF(VLOOKUP(J179,'G-7 Rivers Data'!$AK$4:$AM$9,2,FALSE)=0,"Spatial Data Missing ⚠",VLOOKUP(J179,'G-7 Rivers Data'!$AK$4:$AM$9,2,FALSE)))</f>
        <v/>
      </c>
      <c r="L179" s="524" t="str">
        <f>IF(J179="","",IF(VLOOKUP(J179,'G-7 Rivers Data'!$AK$4:$AM$9,3,FALSE)=0,"Spatial Data Missing ⚠",VLOOKUP(J179,'G-7 Rivers Data'!$AK$4:$AM$9,3,FALSE)))</f>
        <v/>
      </c>
      <c r="M179" s="71"/>
      <c r="N179" s="499" t="str">
        <f>IF(M179="","",IF(VLOOKUP(M179,'G-7 Rivers Data'!$AA$4:$AB$7,2,FALSE)=0,"Spatial Data Missing ⚠",VLOOKUP(M179,'G-7 Rivers Data'!$AA$4:$AB$7,2,FALSE)))</f>
        <v/>
      </c>
      <c r="O179" s="155"/>
      <c r="P179" s="499" t="str">
        <f>IF(O179="","",IF(VLOOKUP(O179,'G-7 Rivers Data'!$AD$4:$AE$8,2,FALSE)=0,"Spatial Data Missing ⚠",VLOOKUP(O179,'G-7 Rivers Data'!$AD$4:$AE$8,2,FALSE)))</f>
        <v/>
      </c>
      <c r="Q179" s="506" t="str">
        <f>IF(D179="","",VLOOKUP(D179,'G-7 Rivers Data'!$B$4:$G$8,6,FALSE))</f>
        <v/>
      </c>
      <c r="R179" s="513" t="str">
        <f t="shared" si="16"/>
        <v/>
      </c>
      <c r="S179" s="40"/>
      <c r="T179" s="145"/>
      <c r="U179" s="157"/>
      <c r="V179" s="511" t="str">
        <f t="shared" si="17"/>
        <v/>
      </c>
      <c r="W179" s="511" t="str">
        <f t="shared" si="18"/>
        <v/>
      </c>
      <c r="X179" s="511" t="str">
        <f t="shared" si="19"/>
        <v/>
      </c>
      <c r="Y179" s="515" t="str">
        <f t="shared" si="20"/>
        <v/>
      </c>
      <c r="Z179" s="151"/>
      <c r="AA179" s="152"/>
      <c r="AF179" s="31" t="str">
        <f>IFERROR(INDEX('G-7 Rivers Data'!$AZ$3:$AZ$7,MATCH(D179,'G-7 Rivers Data'!$AY$3:$AY$7,0)),"")</f>
        <v/>
      </c>
      <c r="AG179" s="31">
        <f t="shared" si="21"/>
        <v>0</v>
      </c>
      <c r="AH179" s="156" t="str">
        <f t="shared" si="22"/>
        <v/>
      </c>
      <c r="AI179" s="156" t="str">
        <f t="shared" si="23"/>
        <v/>
      </c>
      <c r="AK179" s="156">
        <v>170</v>
      </c>
      <c r="AM179" s="156" t="str">
        <f t="array" ref="AM179">IFERROR(INDEX($AK$10:$AK$258, MATCH(0, IF(TRUE=$AH$10:$AH$258, COUNTIF($AM$9:$AM178, $AK$10:$AK$258), ""), 0)),"")</f>
        <v/>
      </c>
      <c r="AN179" s="156" t="str">
        <f t="array" ref="AN179">IFERROR(INDEX($AK$10:$AK$258, MATCH(0, IF(TRUE=$AI$10:$AI$258, COUNTIF($AN$9:$AN178, $AK$10:$AK$258), ""), 0)),"")</f>
        <v/>
      </c>
    </row>
    <row r="180" spans="3:40" ht="14" x14ac:dyDescent="0.3">
      <c r="C180" s="141">
        <v>171</v>
      </c>
      <c r="D180" s="462"/>
      <c r="E180" s="153"/>
      <c r="F180" s="498" t="str">
        <f>IF(D180="","",VLOOKUP(D180,'G-7 Rivers Data'!$B$2:$G$8,2,FALSE))</f>
        <v/>
      </c>
      <c r="G180" s="499" t="str">
        <f>IFERROR(VLOOKUP(F180,'G-7 Rivers Data'!$C$4:$D$8,2,FALSE),"")</f>
        <v/>
      </c>
      <c r="H180" s="145"/>
      <c r="I180" s="499" t="str">
        <f>IFERROR(INDEX('G-7 Rivers Data'!$H$4:$L$8,MATCH(D180,'G-7 Rivers Data'!$B$4:$B$8,0),MATCH(H180,'G-7 Rivers Data'!$H$3:$L$3,0)),"")</f>
        <v/>
      </c>
      <c r="J180" s="154"/>
      <c r="K180" s="520" t="str">
        <f>IF(J180="","",IF(VLOOKUP(J180,'G-7 Rivers Data'!$AK$4:$AM$9,2,FALSE)=0,"Spatial Data Missing ⚠",VLOOKUP(J180,'G-7 Rivers Data'!$AK$4:$AM$9,2,FALSE)))</f>
        <v/>
      </c>
      <c r="L180" s="524" t="str">
        <f>IF(J180="","",IF(VLOOKUP(J180,'G-7 Rivers Data'!$AK$4:$AM$9,3,FALSE)=0,"Spatial Data Missing ⚠",VLOOKUP(J180,'G-7 Rivers Data'!$AK$4:$AM$9,3,FALSE)))</f>
        <v/>
      </c>
      <c r="M180" s="71"/>
      <c r="N180" s="499" t="str">
        <f>IF(M180="","",IF(VLOOKUP(M180,'G-7 Rivers Data'!$AA$4:$AB$7,2,FALSE)=0,"Spatial Data Missing ⚠",VLOOKUP(M180,'G-7 Rivers Data'!$AA$4:$AB$7,2,FALSE)))</f>
        <v/>
      </c>
      <c r="O180" s="155"/>
      <c r="P180" s="499" t="str">
        <f>IF(O180="","",IF(VLOOKUP(O180,'G-7 Rivers Data'!$AD$4:$AE$8,2,FALSE)=0,"Spatial Data Missing ⚠",VLOOKUP(O180,'G-7 Rivers Data'!$AD$4:$AE$8,2,FALSE)))</f>
        <v/>
      </c>
      <c r="Q180" s="506" t="str">
        <f>IF(D180="","",VLOOKUP(D180,'G-7 Rivers Data'!$B$4:$G$8,6,FALSE))</f>
        <v/>
      </c>
      <c r="R180" s="513" t="str">
        <f t="shared" si="16"/>
        <v/>
      </c>
      <c r="S180" s="40"/>
      <c r="T180" s="145"/>
      <c r="U180" s="157"/>
      <c r="V180" s="511" t="str">
        <f t="shared" si="17"/>
        <v/>
      </c>
      <c r="W180" s="511" t="str">
        <f t="shared" si="18"/>
        <v/>
      </c>
      <c r="X180" s="511" t="str">
        <f t="shared" si="19"/>
        <v/>
      </c>
      <c r="Y180" s="515" t="str">
        <f t="shared" si="20"/>
        <v/>
      </c>
      <c r="Z180" s="151"/>
      <c r="AA180" s="152"/>
      <c r="AF180" s="31" t="str">
        <f>IFERROR(INDEX('G-7 Rivers Data'!$AZ$3:$AZ$7,MATCH(D180,'G-7 Rivers Data'!$AY$3:$AY$7,0)),"")</f>
        <v/>
      </c>
      <c r="AG180" s="31">
        <f t="shared" si="21"/>
        <v>0</v>
      </c>
      <c r="AH180" s="156" t="str">
        <f t="shared" si="22"/>
        <v/>
      </c>
      <c r="AI180" s="156" t="str">
        <f t="shared" si="23"/>
        <v/>
      </c>
      <c r="AK180" s="156">
        <v>171</v>
      </c>
      <c r="AM180" s="156" t="str">
        <f t="array" ref="AM180">IFERROR(INDEX($AK$10:$AK$258, MATCH(0, IF(TRUE=$AH$10:$AH$258, COUNTIF($AM$9:$AM179, $AK$10:$AK$258), ""), 0)),"")</f>
        <v/>
      </c>
      <c r="AN180" s="156" t="str">
        <f t="array" ref="AN180">IFERROR(INDEX($AK$10:$AK$258, MATCH(0, IF(TRUE=$AI$10:$AI$258, COUNTIF($AN$9:$AN179, $AK$10:$AK$258), ""), 0)),"")</f>
        <v/>
      </c>
    </row>
    <row r="181" spans="3:40" ht="14" x14ac:dyDescent="0.3">
      <c r="C181" s="141">
        <v>172</v>
      </c>
      <c r="D181" s="462"/>
      <c r="E181" s="153"/>
      <c r="F181" s="498" t="str">
        <f>IF(D181="","",VLOOKUP(D181,'G-7 Rivers Data'!$B$2:$G$8,2,FALSE))</f>
        <v/>
      </c>
      <c r="G181" s="499" t="str">
        <f>IFERROR(VLOOKUP(F181,'G-7 Rivers Data'!$C$4:$D$8,2,FALSE),"")</f>
        <v/>
      </c>
      <c r="H181" s="145"/>
      <c r="I181" s="499" t="str">
        <f>IFERROR(INDEX('G-7 Rivers Data'!$H$4:$L$8,MATCH(D181,'G-7 Rivers Data'!$B$4:$B$8,0),MATCH(H181,'G-7 Rivers Data'!$H$3:$L$3,0)),"")</f>
        <v/>
      </c>
      <c r="J181" s="154"/>
      <c r="K181" s="520" t="str">
        <f>IF(J181="","",IF(VLOOKUP(J181,'G-7 Rivers Data'!$AK$4:$AM$9,2,FALSE)=0,"Spatial Data Missing ⚠",VLOOKUP(J181,'G-7 Rivers Data'!$AK$4:$AM$9,2,FALSE)))</f>
        <v/>
      </c>
      <c r="L181" s="524" t="str">
        <f>IF(J181="","",IF(VLOOKUP(J181,'G-7 Rivers Data'!$AK$4:$AM$9,3,FALSE)=0,"Spatial Data Missing ⚠",VLOOKUP(J181,'G-7 Rivers Data'!$AK$4:$AM$9,3,FALSE)))</f>
        <v/>
      </c>
      <c r="M181" s="71"/>
      <c r="N181" s="499" t="str">
        <f>IF(M181="","",IF(VLOOKUP(M181,'G-7 Rivers Data'!$AA$4:$AB$7,2,FALSE)=0,"Spatial Data Missing ⚠",VLOOKUP(M181,'G-7 Rivers Data'!$AA$4:$AB$7,2,FALSE)))</f>
        <v/>
      </c>
      <c r="O181" s="155"/>
      <c r="P181" s="499" t="str">
        <f>IF(O181="","",IF(VLOOKUP(O181,'G-7 Rivers Data'!$AD$4:$AE$8,2,FALSE)=0,"Spatial Data Missing ⚠",VLOOKUP(O181,'G-7 Rivers Data'!$AD$4:$AE$8,2,FALSE)))</f>
        <v/>
      </c>
      <c r="Q181" s="506" t="str">
        <f>IF(D181="","",VLOOKUP(D181,'G-7 Rivers Data'!$B$4:$G$8,6,FALSE))</f>
        <v/>
      </c>
      <c r="R181" s="513" t="str">
        <f t="shared" si="16"/>
        <v/>
      </c>
      <c r="S181" s="40"/>
      <c r="T181" s="145"/>
      <c r="U181" s="157"/>
      <c r="V181" s="511" t="str">
        <f t="shared" si="17"/>
        <v/>
      </c>
      <c r="W181" s="511" t="str">
        <f t="shared" si="18"/>
        <v/>
      </c>
      <c r="X181" s="511" t="str">
        <f t="shared" si="19"/>
        <v/>
      </c>
      <c r="Y181" s="515" t="str">
        <f t="shared" si="20"/>
        <v/>
      </c>
      <c r="Z181" s="151"/>
      <c r="AA181" s="152"/>
      <c r="AF181" s="31" t="str">
        <f>IFERROR(INDEX('G-7 Rivers Data'!$AZ$3:$AZ$7,MATCH(D181,'G-7 Rivers Data'!$AY$3:$AY$7,0)),"")</f>
        <v/>
      </c>
      <c r="AG181" s="31">
        <f t="shared" si="21"/>
        <v>0</v>
      </c>
      <c r="AH181" s="156" t="str">
        <f t="shared" si="22"/>
        <v/>
      </c>
      <c r="AI181" s="156" t="str">
        <f t="shared" si="23"/>
        <v/>
      </c>
      <c r="AK181" s="156">
        <v>172</v>
      </c>
      <c r="AM181" s="156" t="str">
        <f t="array" ref="AM181">IFERROR(INDEX($AK$10:$AK$258, MATCH(0, IF(TRUE=$AH$10:$AH$258, COUNTIF($AM$9:$AM180, $AK$10:$AK$258), ""), 0)),"")</f>
        <v/>
      </c>
      <c r="AN181" s="156" t="str">
        <f t="array" ref="AN181">IFERROR(INDEX($AK$10:$AK$258, MATCH(0, IF(TRUE=$AI$10:$AI$258, COUNTIF($AN$9:$AN180, $AK$10:$AK$258), ""), 0)),"")</f>
        <v/>
      </c>
    </row>
    <row r="182" spans="3:40" ht="14" x14ac:dyDescent="0.3">
      <c r="C182" s="141">
        <v>173</v>
      </c>
      <c r="D182" s="462"/>
      <c r="E182" s="153"/>
      <c r="F182" s="498" t="str">
        <f>IF(D182="","",VLOOKUP(D182,'G-7 Rivers Data'!$B$2:$G$8,2,FALSE))</f>
        <v/>
      </c>
      <c r="G182" s="499" t="str">
        <f>IFERROR(VLOOKUP(F182,'G-7 Rivers Data'!$C$4:$D$8,2,FALSE),"")</f>
        <v/>
      </c>
      <c r="H182" s="145"/>
      <c r="I182" s="499" t="str">
        <f>IFERROR(INDEX('G-7 Rivers Data'!$H$4:$L$8,MATCH(D182,'G-7 Rivers Data'!$B$4:$B$8,0),MATCH(H182,'G-7 Rivers Data'!$H$3:$L$3,0)),"")</f>
        <v/>
      </c>
      <c r="J182" s="154"/>
      <c r="K182" s="520" t="str">
        <f>IF(J182="","",IF(VLOOKUP(J182,'G-7 Rivers Data'!$AK$4:$AM$9,2,FALSE)=0,"Spatial Data Missing ⚠",VLOOKUP(J182,'G-7 Rivers Data'!$AK$4:$AM$9,2,FALSE)))</f>
        <v/>
      </c>
      <c r="L182" s="524" t="str">
        <f>IF(J182="","",IF(VLOOKUP(J182,'G-7 Rivers Data'!$AK$4:$AM$9,3,FALSE)=0,"Spatial Data Missing ⚠",VLOOKUP(J182,'G-7 Rivers Data'!$AK$4:$AM$9,3,FALSE)))</f>
        <v/>
      </c>
      <c r="M182" s="71"/>
      <c r="N182" s="499" t="str">
        <f>IF(M182="","",IF(VLOOKUP(M182,'G-7 Rivers Data'!$AA$4:$AB$7,2,FALSE)=0,"Spatial Data Missing ⚠",VLOOKUP(M182,'G-7 Rivers Data'!$AA$4:$AB$7,2,FALSE)))</f>
        <v/>
      </c>
      <c r="O182" s="155"/>
      <c r="P182" s="499" t="str">
        <f>IF(O182="","",IF(VLOOKUP(O182,'G-7 Rivers Data'!$AD$4:$AE$8,2,FALSE)=0,"Spatial Data Missing ⚠",VLOOKUP(O182,'G-7 Rivers Data'!$AD$4:$AE$8,2,FALSE)))</f>
        <v/>
      </c>
      <c r="Q182" s="506" t="str">
        <f>IF(D182="","",VLOOKUP(D182,'G-7 Rivers Data'!$B$4:$G$8,6,FALSE))</f>
        <v/>
      </c>
      <c r="R182" s="513" t="str">
        <f t="shared" si="16"/>
        <v/>
      </c>
      <c r="S182" s="40"/>
      <c r="T182" s="145"/>
      <c r="U182" s="157"/>
      <c r="V182" s="511" t="str">
        <f t="shared" si="17"/>
        <v/>
      </c>
      <c r="W182" s="511" t="str">
        <f t="shared" si="18"/>
        <v/>
      </c>
      <c r="X182" s="511" t="str">
        <f t="shared" si="19"/>
        <v/>
      </c>
      <c r="Y182" s="515" t="str">
        <f t="shared" si="20"/>
        <v/>
      </c>
      <c r="Z182" s="151"/>
      <c r="AA182" s="152"/>
      <c r="AF182" s="31" t="str">
        <f>IFERROR(INDEX('G-7 Rivers Data'!$AZ$3:$AZ$7,MATCH(D182,'G-7 Rivers Data'!$AY$3:$AY$7,0)),"")</f>
        <v/>
      </c>
      <c r="AG182" s="31">
        <f t="shared" si="21"/>
        <v>0</v>
      </c>
      <c r="AH182" s="156" t="str">
        <f t="shared" si="22"/>
        <v/>
      </c>
      <c r="AI182" s="156" t="str">
        <f t="shared" si="23"/>
        <v/>
      </c>
      <c r="AK182" s="156">
        <v>173</v>
      </c>
      <c r="AM182" s="156" t="str">
        <f t="array" ref="AM182">IFERROR(INDEX($AK$10:$AK$258, MATCH(0, IF(TRUE=$AH$10:$AH$258, COUNTIF($AM$9:$AM181, $AK$10:$AK$258), ""), 0)),"")</f>
        <v/>
      </c>
      <c r="AN182" s="156" t="str">
        <f t="array" ref="AN182">IFERROR(INDEX($AK$10:$AK$258, MATCH(0, IF(TRUE=$AI$10:$AI$258, COUNTIF($AN$9:$AN181, $AK$10:$AK$258), ""), 0)),"")</f>
        <v/>
      </c>
    </row>
    <row r="183" spans="3:40" ht="14" x14ac:dyDescent="0.3">
      <c r="C183" s="141">
        <v>174</v>
      </c>
      <c r="D183" s="462"/>
      <c r="E183" s="153"/>
      <c r="F183" s="498" t="str">
        <f>IF(D183="","",VLOOKUP(D183,'G-7 Rivers Data'!$B$2:$G$8,2,FALSE))</f>
        <v/>
      </c>
      <c r="G183" s="499" t="str">
        <f>IFERROR(VLOOKUP(F183,'G-7 Rivers Data'!$C$4:$D$8,2,FALSE),"")</f>
        <v/>
      </c>
      <c r="H183" s="145"/>
      <c r="I183" s="499" t="str">
        <f>IFERROR(INDEX('G-7 Rivers Data'!$H$4:$L$8,MATCH(D183,'G-7 Rivers Data'!$B$4:$B$8,0),MATCH(H183,'G-7 Rivers Data'!$H$3:$L$3,0)),"")</f>
        <v/>
      </c>
      <c r="J183" s="154"/>
      <c r="K183" s="520" t="str">
        <f>IF(J183="","",IF(VLOOKUP(J183,'G-7 Rivers Data'!$AK$4:$AM$9,2,FALSE)=0,"Spatial Data Missing ⚠",VLOOKUP(J183,'G-7 Rivers Data'!$AK$4:$AM$9,2,FALSE)))</f>
        <v/>
      </c>
      <c r="L183" s="524" t="str">
        <f>IF(J183="","",IF(VLOOKUP(J183,'G-7 Rivers Data'!$AK$4:$AM$9,3,FALSE)=0,"Spatial Data Missing ⚠",VLOOKUP(J183,'G-7 Rivers Data'!$AK$4:$AM$9,3,FALSE)))</f>
        <v/>
      </c>
      <c r="M183" s="71"/>
      <c r="N183" s="499" t="str">
        <f>IF(M183="","",IF(VLOOKUP(M183,'G-7 Rivers Data'!$AA$4:$AB$7,2,FALSE)=0,"Spatial Data Missing ⚠",VLOOKUP(M183,'G-7 Rivers Data'!$AA$4:$AB$7,2,FALSE)))</f>
        <v/>
      </c>
      <c r="O183" s="155"/>
      <c r="P183" s="499" t="str">
        <f>IF(O183="","",IF(VLOOKUP(O183,'G-7 Rivers Data'!$AD$4:$AE$8,2,FALSE)=0,"Spatial Data Missing ⚠",VLOOKUP(O183,'G-7 Rivers Data'!$AD$4:$AE$8,2,FALSE)))</f>
        <v/>
      </c>
      <c r="Q183" s="506" t="str">
        <f>IF(D183="","",VLOOKUP(D183,'G-7 Rivers Data'!$B$4:$G$8,6,FALSE))</f>
        <v/>
      </c>
      <c r="R183" s="513" t="str">
        <f t="shared" si="16"/>
        <v/>
      </c>
      <c r="S183" s="40"/>
      <c r="T183" s="145"/>
      <c r="U183" s="157"/>
      <c r="V183" s="511" t="str">
        <f t="shared" si="17"/>
        <v/>
      </c>
      <c r="W183" s="511" t="str">
        <f t="shared" si="18"/>
        <v/>
      </c>
      <c r="X183" s="511" t="str">
        <f t="shared" si="19"/>
        <v/>
      </c>
      <c r="Y183" s="515" t="str">
        <f t="shared" si="20"/>
        <v/>
      </c>
      <c r="Z183" s="151"/>
      <c r="AA183" s="152"/>
      <c r="AF183" s="31" t="str">
        <f>IFERROR(INDEX('G-7 Rivers Data'!$AZ$3:$AZ$7,MATCH(D183,'G-7 Rivers Data'!$AY$3:$AY$7,0)),"")</f>
        <v/>
      </c>
      <c r="AG183" s="31">
        <f t="shared" si="21"/>
        <v>0</v>
      </c>
      <c r="AH183" s="156" t="str">
        <f t="shared" si="22"/>
        <v/>
      </c>
      <c r="AI183" s="156" t="str">
        <f t="shared" si="23"/>
        <v/>
      </c>
      <c r="AK183" s="156">
        <v>174</v>
      </c>
      <c r="AM183" s="156" t="str">
        <f t="array" ref="AM183">IFERROR(INDEX($AK$10:$AK$258, MATCH(0, IF(TRUE=$AH$10:$AH$258, COUNTIF($AM$9:$AM182, $AK$10:$AK$258), ""), 0)),"")</f>
        <v/>
      </c>
      <c r="AN183" s="156" t="str">
        <f t="array" ref="AN183">IFERROR(INDEX($AK$10:$AK$258, MATCH(0, IF(TRUE=$AI$10:$AI$258, COUNTIF($AN$9:$AN182, $AK$10:$AK$258), ""), 0)),"")</f>
        <v/>
      </c>
    </row>
    <row r="184" spans="3:40" ht="14" x14ac:dyDescent="0.3">
      <c r="C184" s="141">
        <v>175</v>
      </c>
      <c r="D184" s="462"/>
      <c r="E184" s="153"/>
      <c r="F184" s="498" t="str">
        <f>IF(D184="","",VLOOKUP(D184,'G-7 Rivers Data'!$B$2:$G$8,2,FALSE))</f>
        <v/>
      </c>
      <c r="G184" s="499" t="str">
        <f>IFERROR(VLOOKUP(F184,'G-7 Rivers Data'!$C$4:$D$8,2,FALSE),"")</f>
        <v/>
      </c>
      <c r="H184" s="145"/>
      <c r="I184" s="499" t="str">
        <f>IFERROR(INDEX('G-7 Rivers Data'!$H$4:$L$8,MATCH(D184,'G-7 Rivers Data'!$B$4:$B$8,0),MATCH(H184,'G-7 Rivers Data'!$H$3:$L$3,0)),"")</f>
        <v/>
      </c>
      <c r="J184" s="154"/>
      <c r="K184" s="520" t="str">
        <f>IF(J184="","",IF(VLOOKUP(J184,'G-7 Rivers Data'!$AK$4:$AM$9,2,FALSE)=0,"Spatial Data Missing ⚠",VLOOKUP(J184,'G-7 Rivers Data'!$AK$4:$AM$9,2,FALSE)))</f>
        <v/>
      </c>
      <c r="L184" s="524" t="str">
        <f>IF(J184="","",IF(VLOOKUP(J184,'G-7 Rivers Data'!$AK$4:$AM$9,3,FALSE)=0,"Spatial Data Missing ⚠",VLOOKUP(J184,'G-7 Rivers Data'!$AK$4:$AM$9,3,FALSE)))</f>
        <v/>
      </c>
      <c r="M184" s="71"/>
      <c r="N184" s="499" t="str">
        <f>IF(M184="","",IF(VLOOKUP(M184,'G-7 Rivers Data'!$AA$4:$AB$7,2,FALSE)=0,"Spatial Data Missing ⚠",VLOOKUP(M184,'G-7 Rivers Data'!$AA$4:$AB$7,2,FALSE)))</f>
        <v/>
      </c>
      <c r="O184" s="155"/>
      <c r="P184" s="499" t="str">
        <f>IF(O184="","",IF(VLOOKUP(O184,'G-7 Rivers Data'!$AD$4:$AE$8,2,FALSE)=0,"Spatial Data Missing ⚠",VLOOKUP(O184,'G-7 Rivers Data'!$AD$4:$AE$8,2,FALSE)))</f>
        <v/>
      </c>
      <c r="Q184" s="506" t="str">
        <f>IF(D184="","",VLOOKUP(D184,'G-7 Rivers Data'!$B$4:$G$8,6,FALSE))</f>
        <v/>
      </c>
      <c r="R184" s="513" t="str">
        <f t="shared" si="16"/>
        <v/>
      </c>
      <c r="S184" s="40"/>
      <c r="T184" s="145"/>
      <c r="U184" s="157"/>
      <c r="V184" s="511" t="str">
        <f t="shared" si="17"/>
        <v/>
      </c>
      <c r="W184" s="511" t="str">
        <f t="shared" si="18"/>
        <v/>
      </c>
      <c r="X184" s="511" t="str">
        <f t="shared" si="19"/>
        <v/>
      </c>
      <c r="Y184" s="515" t="str">
        <f t="shared" si="20"/>
        <v/>
      </c>
      <c r="Z184" s="151"/>
      <c r="AA184" s="152"/>
      <c r="AF184" s="31" t="str">
        <f>IFERROR(INDEX('G-7 Rivers Data'!$AZ$3:$AZ$7,MATCH(D184,'G-7 Rivers Data'!$AY$3:$AY$7,0)),"")</f>
        <v/>
      </c>
      <c r="AG184" s="31">
        <f t="shared" si="21"/>
        <v>0</v>
      </c>
      <c r="AH184" s="156" t="str">
        <f t="shared" si="22"/>
        <v/>
      </c>
      <c r="AI184" s="156" t="str">
        <f t="shared" si="23"/>
        <v/>
      </c>
      <c r="AK184" s="156">
        <v>175</v>
      </c>
      <c r="AM184" s="156" t="str">
        <f t="array" ref="AM184">IFERROR(INDEX($AK$10:$AK$258, MATCH(0, IF(TRUE=$AH$10:$AH$258, COUNTIF($AM$9:$AM183, $AK$10:$AK$258), ""), 0)),"")</f>
        <v/>
      </c>
      <c r="AN184" s="156" t="str">
        <f t="array" ref="AN184">IFERROR(INDEX($AK$10:$AK$258, MATCH(0, IF(TRUE=$AI$10:$AI$258, COUNTIF($AN$9:$AN183, $AK$10:$AK$258), ""), 0)),"")</f>
        <v/>
      </c>
    </row>
    <row r="185" spans="3:40" ht="14" x14ac:dyDescent="0.3">
      <c r="C185" s="141">
        <v>176</v>
      </c>
      <c r="D185" s="462"/>
      <c r="E185" s="153"/>
      <c r="F185" s="498" t="str">
        <f>IF(D185="","",VLOOKUP(D185,'G-7 Rivers Data'!$B$2:$G$8,2,FALSE))</f>
        <v/>
      </c>
      <c r="G185" s="499" t="str">
        <f>IFERROR(VLOOKUP(F185,'G-7 Rivers Data'!$C$4:$D$8,2,FALSE),"")</f>
        <v/>
      </c>
      <c r="H185" s="145"/>
      <c r="I185" s="499" t="str">
        <f>IFERROR(INDEX('G-7 Rivers Data'!$H$4:$L$8,MATCH(D185,'G-7 Rivers Data'!$B$4:$B$8,0),MATCH(H185,'G-7 Rivers Data'!$H$3:$L$3,0)),"")</f>
        <v/>
      </c>
      <c r="J185" s="154"/>
      <c r="K185" s="520" t="str">
        <f>IF(J185="","",IF(VLOOKUP(J185,'G-7 Rivers Data'!$AK$4:$AM$9,2,FALSE)=0,"Spatial Data Missing ⚠",VLOOKUP(J185,'G-7 Rivers Data'!$AK$4:$AM$9,2,FALSE)))</f>
        <v/>
      </c>
      <c r="L185" s="524" t="str">
        <f>IF(J185="","",IF(VLOOKUP(J185,'G-7 Rivers Data'!$AK$4:$AM$9,3,FALSE)=0,"Spatial Data Missing ⚠",VLOOKUP(J185,'G-7 Rivers Data'!$AK$4:$AM$9,3,FALSE)))</f>
        <v/>
      </c>
      <c r="M185" s="71"/>
      <c r="N185" s="499" t="str">
        <f>IF(M185="","",IF(VLOOKUP(M185,'G-7 Rivers Data'!$AA$4:$AB$7,2,FALSE)=0,"Spatial Data Missing ⚠",VLOOKUP(M185,'G-7 Rivers Data'!$AA$4:$AB$7,2,FALSE)))</f>
        <v/>
      </c>
      <c r="O185" s="155"/>
      <c r="P185" s="499" t="str">
        <f>IF(O185="","",IF(VLOOKUP(O185,'G-7 Rivers Data'!$AD$4:$AE$8,2,FALSE)=0,"Spatial Data Missing ⚠",VLOOKUP(O185,'G-7 Rivers Data'!$AD$4:$AE$8,2,FALSE)))</f>
        <v/>
      </c>
      <c r="Q185" s="506" t="str">
        <f>IF(D185="","",VLOOKUP(D185,'G-7 Rivers Data'!$B$4:$G$8,6,FALSE))</f>
        <v/>
      </c>
      <c r="R185" s="513" t="str">
        <f t="shared" si="16"/>
        <v/>
      </c>
      <c r="S185" s="40"/>
      <c r="T185" s="145"/>
      <c r="U185" s="157"/>
      <c r="V185" s="511" t="str">
        <f t="shared" si="17"/>
        <v/>
      </c>
      <c r="W185" s="511" t="str">
        <f t="shared" si="18"/>
        <v/>
      </c>
      <c r="X185" s="511" t="str">
        <f t="shared" si="19"/>
        <v/>
      </c>
      <c r="Y185" s="515" t="str">
        <f t="shared" si="20"/>
        <v/>
      </c>
      <c r="Z185" s="151"/>
      <c r="AA185" s="152"/>
      <c r="AF185" s="31" t="str">
        <f>IFERROR(INDEX('G-7 Rivers Data'!$AZ$3:$AZ$7,MATCH(D185,'G-7 Rivers Data'!$AY$3:$AY$7,0)),"")</f>
        <v/>
      </c>
      <c r="AG185" s="31">
        <f t="shared" si="21"/>
        <v>0</v>
      </c>
      <c r="AH185" s="156" t="str">
        <f t="shared" si="22"/>
        <v/>
      </c>
      <c r="AI185" s="156" t="str">
        <f t="shared" si="23"/>
        <v/>
      </c>
      <c r="AK185" s="156">
        <v>176</v>
      </c>
      <c r="AM185" s="156" t="str">
        <f t="array" ref="AM185">IFERROR(INDEX($AK$10:$AK$258, MATCH(0, IF(TRUE=$AH$10:$AH$258, COUNTIF($AM$9:$AM184, $AK$10:$AK$258), ""), 0)),"")</f>
        <v/>
      </c>
      <c r="AN185" s="156" t="str">
        <f t="array" ref="AN185">IFERROR(INDEX($AK$10:$AK$258, MATCH(0, IF(TRUE=$AI$10:$AI$258, COUNTIF($AN$9:$AN184, $AK$10:$AK$258), ""), 0)),"")</f>
        <v/>
      </c>
    </row>
    <row r="186" spans="3:40" ht="14" x14ac:dyDescent="0.3">
      <c r="C186" s="141">
        <v>177</v>
      </c>
      <c r="D186" s="462"/>
      <c r="E186" s="153"/>
      <c r="F186" s="498" t="str">
        <f>IF(D186="","",VLOOKUP(D186,'G-7 Rivers Data'!$B$2:$G$8,2,FALSE))</f>
        <v/>
      </c>
      <c r="G186" s="499" t="str">
        <f>IFERROR(VLOOKUP(F186,'G-7 Rivers Data'!$C$4:$D$8,2,FALSE),"")</f>
        <v/>
      </c>
      <c r="H186" s="145"/>
      <c r="I186" s="499" t="str">
        <f>IFERROR(INDEX('G-7 Rivers Data'!$H$4:$L$8,MATCH(D186,'G-7 Rivers Data'!$B$4:$B$8,0),MATCH(H186,'G-7 Rivers Data'!$H$3:$L$3,0)),"")</f>
        <v/>
      </c>
      <c r="J186" s="154"/>
      <c r="K186" s="520" t="str">
        <f>IF(J186="","",IF(VLOOKUP(J186,'G-7 Rivers Data'!$AK$4:$AM$9,2,FALSE)=0,"Spatial Data Missing ⚠",VLOOKUP(J186,'G-7 Rivers Data'!$AK$4:$AM$9,2,FALSE)))</f>
        <v/>
      </c>
      <c r="L186" s="524" t="str">
        <f>IF(J186="","",IF(VLOOKUP(J186,'G-7 Rivers Data'!$AK$4:$AM$9,3,FALSE)=0,"Spatial Data Missing ⚠",VLOOKUP(J186,'G-7 Rivers Data'!$AK$4:$AM$9,3,FALSE)))</f>
        <v/>
      </c>
      <c r="M186" s="71"/>
      <c r="N186" s="499" t="str">
        <f>IF(M186="","",IF(VLOOKUP(M186,'G-7 Rivers Data'!$AA$4:$AB$7,2,FALSE)=0,"Spatial Data Missing ⚠",VLOOKUP(M186,'G-7 Rivers Data'!$AA$4:$AB$7,2,FALSE)))</f>
        <v/>
      </c>
      <c r="O186" s="155"/>
      <c r="P186" s="499" t="str">
        <f>IF(O186="","",IF(VLOOKUP(O186,'G-7 Rivers Data'!$AD$4:$AE$8,2,FALSE)=0,"Spatial Data Missing ⚠",VLOOKUP(O186,'G-7 Rivers Data'!$AD$4:$AE$8,2,FALSE)))</f>
        <v/>
      </c>
      <c r="Q186" s="506" t="str">
        <f>IF(D186="","",VLOOKUP(D186,'G-7 Rivers Data'!$B$4:$G$8,6,FALSE))</f>
        <v/>
      </c>
      <c r="R186" s="513" t="str">
        <f t="shared" si="16"/>
        <v/>
      </c>
      <c r="S186" s="40"/>
      <c r="T186" s="145"/>
      <c r="U186" s="157"/>
      <c r="V186" s="511" t="str">
        <f t="shared" si="17"/>
        <v/>
      </c>
      <c r="W186" s="511" t="str">
        <f t="shared" si="18"/>
        <v/>
      </c>
      <c r="X186" s="511" t="str">
        <f t="shared" si="19"/>
        <v/>
      </c>
      <c r="Y186" s="515" t="str">
        <f t="shared" si="20"/>
        <v/>
      </c>
      <c r="Z186" s="151"/>
      <c r="AA186" s="152"/>
      <c r="AF186" s="31" t="str">
        <f>IFERROR(INDEX('G-7 Rivers Data'!$AZ$3:$AZ$7,MATCH(D186,'G-7 Rivers Data'!$AY$3:$AY$7,0)),"")</f>
        <v/>
      </c>
      <c r="AG186" s="31">
        <f t="shared" si="21"/>
        <v>0</v>
      </c>
      <c r="AH186" s="156" t="str">
        <f t="shared" si="22"/>
        <v/>
      </c>
      <c r="AI186" s="156" t="str">
        <f t="shared" si="23"/>
        <v/>
      </c>
      <c r="AK186" s="156">
        <v>177</v>
      </c>
      <c r="AM186" s="156" t="str">
        <f t="array" ref="AM186">IFERROR(INDEX($AK$10:$AK$258, MATCH(0, IF(TRUE=$AH$10:$AH$258, COUNTIF($AM$9:$AM185, $AK$10:$AK$258), ""), 0)),"")</f>
        <v/>
      </c>
      <c r="AN186" s="156" t="str">
        <f t="array" ref="AN186">IFERROR(INDEX($AK$10:$AK$258, MATCH(0, IF(TRUE=$AI$10:$AI$258, COUNTIF($AN$9:$AN185, $AK$10:$AK$258), ""), 0)),"")</f>
        <v/>
      </c>
    </row>
    <row r="187" spans="3:40" ht="14" x14ac:dyDescent="0.3">
      <c r="C187" s="141">
        <v>178</v>
      </c>
      <c r="D187" s="462"/>
      <c r="E187" s="153"/>
      <c r="F187" s="498" t="str">
        <f>IF(D187="","",VLOOKUP(D187,'G-7 Rivers Data'!$B$2:$G$8,2,FALSE))</f>
        <v/>
      </c>
      <c r="G187" s="499" t="str">
        <f>IFERROR(VLOOKUP(F187,'G-7 Rivers Data'!$C$4:$D$8,2,FALSE),"")</f>
        <v/>
      </c>
      <c r="H187" s="145"/>
      <c r="I187" s="499" t="str">
        <f>IFERROR(INDEX('G-7 Rivers Data'!$H$4:$L$8,MATCH(D187,'G-7 Rivers Data'!$B$4:$B$8,0),MATCH(H187,'G-7 Rivers Data'!$H$3:$L$3,0)),"")</f>
        <v/>
      </c>
      <c r="J187" s="154"/>
      <c r="K187" s="520" t="str">
        <f>IF(J187="","",IF(VLOOKUP(J187,'G-7 Rivers Data'!$AK$4:$AM$9,2,FALSE)=0,"Spatial Data Missing ⚠",VLOOKUP(J187,'G-7 Rivers Data'!$AK$4:$AM$9,2,FALSE)))</f>
        <v/>
      </c>
      <c r="L187" s="524" t="str">
        <f>IF(J187="","",IF(VLOOKUP(J187,'G-7 Rivers Data'!$AK$4:$AM$9,3,FALSE)=0,"Spatial Data Missing ⚠",VLOOKUP(J187,'G-7 Rivers Data'!$AK$4:$AM$9,3,FALSE)))</f>
        <v/>
      </c>
      <c r="M187" s="71"/>
      <c r="N187" s="499" t="str">
        <f>IF(M187="","",IF(VLOOKUP(M187,'G-7 Rivers Data'!$AA$4:$AB$7,2,FALSE)=0,"Spatial Data Missing ⚠",VLOOKUP(M187,'G-7 Rivers Data'!$AA$4:$AB$7,2,FALSE)))</f>
        <v/>
      </c>
      <c r="O187" s="155"/>
      <c r="P187" s="499" t="str">
        <f>IF(O187="","",IF(VLOOKUP(O187,'G-7 Rivers Data'!$AD$4:$AE$8,2,FALSE)=0,"Spatial Data Missing ⚠",VLOOKUP(O187,'G-7 Rivers Data'!$AD$4:$AE$8,2,FALSE)))</f>
        <v/>
      </c>
      <c r="Q187" s="506" t="str">
        <f>IF(D187="","",VLOOKUP(D187,'G-7 Rivers Data'!$B$4:$G$8,6,FALSE))</f>
        <v/>
      </c>
      <c r="R187" s="513" t="str">
        <f t="shared" si="16"/>
        <v/>
      </c>
      <c r="S187" s="40"/>
      <c r="T187" s="145"/>
      <c r="U187" s="157"/>
      <c r="V187" s="511" t="str">
        <f t="shared" si="17"/>
        <v/>
      </c>
      <c r="W187" s="511" t="str">
        <f t="shared" si="18"/>
        <v/>
      </c>
      <c r="X187" s="511" t="str">
        <f t="shared" si="19"/>
        <v/>
      </c>
      <c r="Y187" s="515" t="str">
        <f t="shared" si="20"/>
        <v/>
      </c>
      <c r="Z187" s="151"/>
      <c r="AA187" s="152"/>
      <c r="AF187" s="31" t="str">
        <f>IFERROR(INDEX('G-7 Rivers Data'!$AZ$3:$AZ$7,MATCH(D187,'G-7 Rivers Data'!$AY$3:$AY$7,0)),"")</f>
        <v/>
      </c>
      <c r="AG187" s="31">
        <f t="shared" si="21"/>
        <v>0</v>
      </c>
      <c r="AH187" s="156" t="str">
        <f t="shared" si="22"/>
        <v/>
      </c>
      <c r="AI187" s="156" t="str">
        <f t="shared" si="23"/>
        <v/>
      </c>
      <c r="AK187" s="156">
        <v>178</v>
      </c>
      <c r="AM187" s="156" t="str">
        <f t="array" ref="AM187">IFERROR(INDEX($AK$10:$AK$258, MATCH(0, IF(TRUE=$AH$10:$AH$258, COUNTIF($AM$9:$AM186, $AK$10:$AK$258), ""), 0)),"")</f>
        <v/>
      </c>
      <c r="AN187" s="156" t="str">
        <f t="array" ref="AN187">IFERROR(INDEX($AK$10:$AK$258, MATCH(0, IF(TRUE=$AI$10:$AI$258, COUNTIF($AN$9:$AN186, $AK$10:$AK$258), ""), 0)),"")</f>
        <v/>
      </c>
    </row>
    <row r="188" spans="3:40" ht="14" x14ac:dyDescent="0.3">
      <c r="C188" s="141">
        <v>179</v>
      </c>
      <c r="D188" s="462"/>
      <c r="E188" s="153"/>
      <c r="F188" s="498" t="str">
        <f>IF(D188="","",VLOOKUP(D188,'G-7 Rivers Data'!$B$2:$G$8,2,FALSE))</f>
        <v/>
      </c>
      <c r="G188" s="499" t="str">
        <f>IFERROR(VLOOKUP(F188,'G-7 Rivers Data'!$C$4:$D$8,2,FALSE),"")</f>
        <v/>
      </c>
      <c r="H188" s="145"/>
      <c r="I188" s="499" t="str">
        <f>IFERROR(INDEX('G-7 Rivers Data'!$H$4:$L$8,MATCH(D188,'G-7 Rivers Data'!$B$4:$B$8,0),MATCH(H188,'G-7 Rivers Data'!$H$3:$L$3,0)),"")</f>
        <v/>
      </c>
      <c r="J188" s="154"/>
      <c r="K188" s="520" t="str">
        <f>IF(J188="","",IF(VLOOKUP(J188,'G-7 Rivers Data'!$AK$4:$AM$9,2,FALSE)=0,"Spatial Data Missing ⚠",VLOOKUP(J188,'G-7 Rivers Data'!$AK$4:$AM$9,2,FALSE)))</f>
        <v/>
      </c>
      <c r="L188" s="524" t="str">
        <f>IF(J188="","",IF(VLOOKUP(J188,'G-7 Rivers Data'!$AK$4:$AM$9,3,FALSE)=0,"Spatial Data Missing ⚠",VLOOKUP(J188,'G-7 Rivers Data'!$AK$4:$AM$9,3,FALSE)))</f>
        <v/>
      </c>
      <c r="M188" s="71"/>
      <c r="N188" s="499" t="str">
        <f>IF(M188="","",IF(VLOOKUP(M188,'G-7 Rivers Data'!$AA$4:$AB$7,2,FALSE)=0,"Spatial Data Missing ⚠",VLOOKUP(M188,'G-7 Rivers Data'!$AA$4:$AB$7,2,FALSE)))</f>
        <v/>
      </c>
      <c r="O188" s="155"/>
      <c r="P188" s="499" t="str">
        <f>IF(O188="","",IF(VLOOKUP(O188,'G-7 Rivers Data'!$AD$4:$AE$8,2,FALSE)=0,"Spatial Data Missing ⚠",VLOOKUP(O188,'G-7 Rivers Data'!$AD$4:$AE$8,2,FALSE)))</f>
        <v/>
      </c>
      <c r="Q188" s="506" t="str">
        <f>IF(D188="","",VLOOKUP(D188,'G-7 Rivers Data'!$B$4:$G$8,6,FALSE))</f>
        <v/>
      </c>
      <c r="R188" s="513" t="str">
        <f t="shared" si="16"/>
        <v/>
      </c>
      <c r="S188" s="40"/>
      <c r="T188" s="145"/>
      <c r="U188" s="157"/>
      <c r="V188" s="511" t="str">
        <f t="shared" si="17"/>
        <v/>
      </c>
      <c r="W188" s="511" t="str">
        <f t="shared" si="18"/>
        <v/>
      </c>
      <c r="X188" s="511" t="str">
        <f t="shared" si="19"/>
        <v/>
      </c>
      <c r="Y188" s="515" t="str">
        <f t="shared" si="20"/>
        <v/>
      </c>
      <c r="Z188" s="151"/>
      <c r="AA188" s="152"/>
      <c r="AF188" s="31" t="str">
        <f>IFERROR(INDEX('G-7 Rivers Data'!$AZ$3:$AZ$7,MATCH(D188,'G-7 Rivers Data'!$AY$3:$AY$7,0)),"")</f>
        <v/>
      </c>
      <c r="AG188" s="31">
        <f t="shared" si="21"/>
        <v>0</v>
      </c>
      <c r="AH188" s="156" t="str">
        <f t="shared" si="22"/>
        <v/>
      </c>
      <c r="AI188" s="156" t="str">
        <f t="shared" si="23"/>
        <v/>
      </c>
      <c r="AK188" s="156">
        <v>179</v>
      </c>
      <c r="AM188" s="156" t="str">
        <f t="array" ref="AM188">IFERROR(INDEX($AK$10:$AK$258, MATCH(0, IF(TRUE=$AH$10:$AH$258, COUNTIF($AM$9:$AM187, $AK$10:$AK$258), ""), 0)),"")</f>
        <v/>
      </c>
      <c r="AN188" s="156" t="str">
        <f t="array" ref="AN188">IFERROR(INDEX($AK$10:$AK$258, MATCH(0, IF(TRUE=$AI$10:$AI$258, COUNTIF($AN$9:$AN187, $AK$10:$AK$258), ""), 0)),"")</f>
        <v/>
      </c>
    </row>
    <row r="189" spans="3:40" ht="14" x14ac:dyDescent="0.3">
      <c r="C189" s="141">
        <v>180</v>
      </c>
      <c r="D189" s="462"/>
      <c r="E189" s="153"/>
      <c r="F189" s="498" t="str">
        <f>IF(D189="","",VLOOKUP(D189,'G-7 Rivers Data'!$B$2:$G$8,2,FALSE))</f>
        <v/>
      </c>
      <c r="G189" s="499" t="str">
        <f>IFERROR(VLOOKUP(F189,'G-7 Rivers Data'!$C$4:$D$8,2,FALSE),"")</f>
        <v/>
      </c>
      <c r="H189" s="145"/>
      <c r="I189" s="499" t="str">
        <f>IFERROR(INDEX('G-7 Rivers Data'!$H$4:$L$8,MATCH(D189,'G-7 Rivers Data'!$B$4:$B$8,0),MATCH(H189,'G-7 Rivers Data'!$H$3:$L$3,0)),"")</f>
        <v/>
      </c>
      <c r="J189" s="154"/>
      <c r="K189" s="520" t="str">
        <f>IF(J189="","",IF(VLOOKUP(J189,'G-7 Rivers Data'!$AK$4:$AM$9,2,FALSE)=0,"Spatial Data Missing ⚠",VLOOKUP(J189,'G-7 Rivers Data'!$AK$4:$AM$9,2,FALSE)))</f>
        <v/>
      </c>
      <c r="L189" s="524" t="str">
        <f>IF(J189="","",IF(VLOOKUP(J189,'G-7 Rivers Data'!$AK$4:$AM$9,3,FALSE)=0,"Spatial Data Missing ⚠",VLOOKUP(J189,'G-7 Rivers Data'!$AK$4:$AM$9,3,FALSE)))</f>
        <v/>
      </c>
      <c r="M189" s="71"/>
      <c r="N189" s="499" t="str">
        <f>IF(M189="","",IF(VLOOKUP(M189,'G-7 Rivers Data'!$AA$4:$AB$7,2,FALSE)=0,"Spatial Data Missing ⚠",VLOOKUP(M189,'G-7 Rivers Data'!$AA$4:$AB$7,2,FALSE)))</f>
        <v/>
      </c>
      <c r="O189" s="155"/>
      <c r="P189" s="499" t="str">
        <f>IF(O189="","",IF(VLOOKUP(O189,'G-7 Rivers Data'!$AD$4:$AE$8,2,FALSE)=0,"Spatial Data Missing ⚠",VLOOKUP(O189,'G-7 Rivers Data'!$AD$4:$AE$8,2,FALSE)))</f>
        <v/>
      </c>
      <c r="Q189" s="506" t="str">
        <f>IF(D189="","",VLOOKUP(D189,'G-7 Rivers Data'!$B$4:$G$8,6,FALSE))</f>
        <v/>
      </c>
      <c r="R189" s="513" t="str">
        <f t="shared" si="16"/>
        <v/>
      </c>
      <c r="S189" s="40"/>
      <c r="T189" s="145"/>
      <c r="U189" s="157"/>
      <c r="V189" s="511" t="str">
        <f t="shared" si="17"/>
        <v/>
      </c>
      <c r="W189" s="511" t="str">
        <f t="shared" si="18"/>
        <v/>
      </c>
      <c r="X189" s="511" t="str">
        <f t="shared" si="19"/>
        <v/>
      </c>
      <c r="Y189" s="515" t="str">
        <f t="shared" si="20"/>
        <v/>
      </c>
      <c r="Z189" s="151"/>
      <c r="AA189" s="152"/>
      <c r="AF189" s="31" t="str">
        <f>IFERROR(INDEX('G-7 Rivers Data'!$AZ$3:$AZ$7,MATCH(D189,'G-7 Rivers Data'!$AY$3:$AY$7,0)),"")</f>
        <v/>
      </c>
      <c r="AG189" s="31">
        <f t="shared" si="21"/>
        <v>0</v>
      </c>
      <c r="AH189" s="156" t="str">
        <f t="shared" si="22"/>
        <v/>
      </c>
      <c r="AI189" s="156" t="str">
        <f t="shared" si="23"/>
        <v/>
      </c>
      <c r="AK189" s="156">
        <v>180</v>
      </c>
      <c r="AM189" s="156" t="str">
        <f t="array" ref="AM189">IFERROR(INDEX($AK$10:$AK$258, MATCH(0, IF(TRUE=$AH$10:$AH$258, COUNTIF($AM$9:$AM188, $AK$10:$AK$258), ""), 0)),"")</f>
        <v/>
      </c>
      <c r="AN189" s="156" t="str">
        <f t="array" ref="AN189">IFERROR(INDEX($AK$10:$AK$258, MATCH(0, IF(TRUE=$AI$10:$AI$258, COUNTIF($AN$9:$AN188, $AK$10:$AK$258), ""), 0)),"")</f>
        <v/>
      </c>
    </row>
    <row r="190" spans="3:40" ht="14" x14ac:dyDescent="0.3">
      <c r="C190" s="141">
        <v>181</v>
      </c>
      <c r="D190" s="462"/>
      <c r="E190" s="153"/>
      <c r="F190" s="498" t="str">
        <f>IF(D190="","",VLOOKUP(D190,'G-7 Rivers Data'!$B$2:$G$8,2,FALSE))</f>
        <v/>
      </c>
      <c r="G190" s="499" t="str">
        <f>IFERROR(VLOOKUP(F190,'G-7 Rivers Data'!$C$4:$D$8,2,FALSE),"")</f>
        <v/>
      </c>
      <c r="H190" s="145"/>
      <c r="I190" s="499" t="str">
        <f>IFERROR(INDEX('G-7 Rivers Data'!$H$4:$L$8,MATCH(D190,'G-7 Rivers Data'!$B$4:$B$8,0),MATCH(H190,'G-7 Rivers Data'!$H$3:$L$3,0)),"")</f>
        <v/>
      </c>
      <c r="J190" s="154"/>
      <c r="K190" s="520" t="str">
        <f>IF(J190="","",IF(VLOOKUP(J190,'G-7 Rivers Data'!$AK$4:$AM$9,2,FALSE)=0,"Spatial Data Missing ⚠",VLOOKUP(J190,'G-7 Rivers Data'!$AK$4:$AM$9,2,FALSE)))</f>
        <v/>
      </c>
      <c r="L190" s="524" t="str">
        <f>IF(J190="","",IF(VLOOKUP(J190,'G-7 Rivers Data'!$AK$4:$AM$9,3,FALSE)=0,"Spatial Data Missing ⚠",VLOOKUP(J190,'G-7 Rivers Data'!$AK$4:$AM$9,3,FALSE)))</f>
        <v/>
      </c>
      <c r="M190" s="71"/>
      <c r="N190" s="499" t="str">
        <f>IF(M190="","",IF(VLOOKUP(M190,'G-7 Rivers Data'!$AA$4:$AB$7,2,FALSE)=0,"Spatial Data Missing ⚠",VLOOKUP(M190,'G-7 Rivers Data'!$AA$4:$AB$7,2,FALSE)))</f>
        <v/>
      </c>
      <c r="O190" s="155"/>
      <c r="P190" s="499" t="str">
        <f>IF(O190="","",IF(VLOOKUP(O190,'G-7 Rivers Data'!$AD$4:$AE$8,2,FALSE)=0,"Spatial Data Missing ⚠",VLOOKUP(O190,'G-7 Rivers Data'!$AD$4:$AE$8,2,FALSE)))</f>
        <v/>
      </c>
      <c r="Q190" s="506" t="str">
        <f>IF(D190="","",VLOOKUP(D190,'G-7 Rivers Data'!$B$4:$G$8,6,FALSE))</f>
        <v/>
      </c>
      <c r="R190" s="513" t="str">
        <f t="shared" si="16"/>
        <v/>
      </c>
      <c r="S190" s="40"/>
      <c r="T190" s="145"/>
      <c r="U190" s="157"/>
      <c r="V190" s="511" t="str">
        <f t="shared" si="17"/>
        <v/>
      </c>
      <c r="W190" s="511" t="str">
        <f t="shared" si="18"/>
        <v/>
      </c>
      <c r="X190" s="511" t="str">
        <f t="shared" si="19"/>
        <v/>
      </c>
      <c r="Y190" s="515" t="str">
        <f t="shared" si="20"/>
        <v/>
      </c>
      <c r="Z190" s="151"/>
      <c r="AA190" s="152"/>
      <c r="AF190" s="31" t="str">
        <f>IFERROR(INDEX('G-7 Rivers Data'!$AZ$3:$AZ$7,MATCH(D190,'G-7 Rivers Data'!$AY$3:$AY$7,0)),"")</f>
        <v/>
      </c>
      <c r="AG190" s="31">
        <f t="shared" si="21"/>
        <v>0</v>
      </c>
      <c r="AH190" s="156" t="str">
        <f t="shared" si="22"/>
        <v/>
      </c>
      <c r="AI190" s="156" t="str">
        <f t="shared" si="23"/>
        <v/>
      </c>
      <c r="AK190" s="156">
        <v>181</v>
      </c>
      <c r="AM190" s="156" t="str">
        <f t="array" ref="AM190">IFERROR(INDEX($AK$10:$AK$258, MATCH(0, IF(TRUE=$AH$10:$AH$258, COUNTIF($AM$9:$AM189, $AK$10:$AK$258), ""), 0)),"")</f>
        <v/>
      </c>
      <c r="AN190" s="156" t="str">
        <f t="array" ref="AN190">IFERROR(INDEX($AK$10:$AK$258, MATCH(0, IF(TRUE=$AI$10:$AI$258, COUNTIF($AN$9:$AN189, $AK$10:$AK$258), ""), 0)),"")</f>
        <v/>
      </c>
    </row>
    <row r="191" spans="3:40" ht="14" x14ac:dyDescent="0.3">
      <c r="C191" s="141">
        <v>182</v>
      </c>
      <c r="D191" s="462"/>
      <c r="E191" s="153"/>
      <c r="F191" s="498" t="str">
        <f>IF(D191="","",VLOOKUP(D191,'G-7 Rivers Data'!$B$2:$G$8,2,FALSE))</f>
        <v/>
      </c>
      <c r="G191" s="499" t="str">
        <f>IFERROR(VLOOKUP(F191,'G-7 Rivers Data'!$C$4:$D$8,2,FALSE),"")</f>
        <v/>
      </c>
      <c r="H191" s="145"/>
      <c r="I191" s="499" t="str">
        <f>IFERROR(INDEX('G-7 Rivers Data'!$H$4:$L$8,MATCH(D191,'G-7 Rivers Data'!$B$4:$B$8,0),MATCH(H191,'G-7 Rivers Data'!$H$3:$L$3,0)),"")</f>
        <v/>
      </c>
      <c r="J191" s="154"/>
      <c r="K191" s="520" t="str">
        <f>IF(J191="","",IF(VLOOKUP(J191,'G-7 Rivers Data'!$AK$4:$AM$9,2,FALSE)=0,"Spatial Data Missing ⚠",VLOOKUP(J191,'G-7 Rivers Data'!$AK$4:$AM$9,2,FALSE)))</f>
        <v/>
      </c>
      <c r="L191" s="524" t="str">
        <f>IF(J191="","",IF(VLOOKUP(J191,'G-7 Rivers Data'!$AK$4:$AM$9,3,FALSE)=0,"Spatial Data Missing ⚠",VLOOKUP(J191,'G-7 Rivers Data'!$AK$4:$AM$9,3,FALSE)))</f>
        <v/>
      </c>
      <c r="M191" s="71"/>
      <c r="N191" s="499" t="str">
        <f>IF(M191="","",IF(VLOOKUP(M191,'G-7 Rivers Data'!$AA$4:$AB$7,2,FALSE)=0,"Spatial Data Missing ⚠",VLOOKUP(M191,'G-7 Rivers Data'!$AA$4:$AB$7,2,FALSE)))</f>
        <v/>
      </c>
      <c r="O191" s="155"/>
      <c r="P191" s="499" t="str">
        <f>IF(O191="","",IF(VLOOKUP(O191,'G-7 Rivers Data'!$AD$4:$AE$8,2,FALSE)=0,"Spatial Data Missing ⚠",VLOOKUP(O191,'G-7 Rivers Data'!$AD$4:$AE$8,2,FALSE)))</f>
        <v/>
      </c>
      <c r="Q191" s="506" t="str">
        <f>IF(D191="","",VLOOKUP(D191,'G-7 Rivers Data'!$B$4:$G$8,6,FALSE))</f>
        <v/>
      </c>
      <c r="R191" s="513" t="str">
        <f t="shared" si="16"/>
        <v/>
      </c>
      <c r="S191" s="40"/>
      <c r="T191" s="145"/>
      <c r="U191" s="157"/>
      <c r="V191" s="511" t="str">
        <f t="shared" si="17"/>
        <v/>
      </c>
      <c r="W191" s="511" t="str">
        <f t="shared" si="18"/>
        <v/>
      </c>
      <c r="X191" s="511" t="str">
        <f t="shared" si="19"/>
        <v/>
      </c>
      <c r="Y191" s="515" t="str">
        <f t="shared" si="20"/>
        <v/>
      </c>
      <c r="Z191" s="151"/>
      <c r="AA191" s="152"/>
      <c r="AF191" s="31" t="str">
        <f>IFERROR(INDEX('G-7 Rivers Data'!$AZ$3:$AZ$7,MATCH(D191,'G-7 Rivers Data'!$AY$3:$AY$7,0)),"")</f>
        <v/>
      </c>
      <c r="AG191" s="31">
        <f t="shared" si="21"/>
        <v>0</v>
      </c>
      <c r="AH191" s="156" t="str">
        <f t="shared" si="22"/>
        <v/>
      </c>
      <c r="AI191" s="156" t="str">
        <f t="shared" si="23"/>
        <v/>
      </c>
      <c r="AK191" s="156">
        <v>182</v>
      </c>
      <c r="AM191" s="156" t="str">
        <f t="array" ref="AM191">IFERROR(INDEX($AK$10:$AK$258, MATCH(0, IF(TRUE=$AH$10:$AH$258, COUNTIF($AM$9:$AM190, $AK$10:$AK$258), ""), 0)),"")</f>
        <v/>
      </c>
      <c r="AN191" s="156" t="str">
        <f t="array" ref="AN191">IFERROR(INDEX($AK$10:$AK$258, MATCH(0, IF(TRUE=$AI$10:$AI$258, COUNTIF($AN$9:$AN190, $AK$10:$AK$258), ""), 0)),"")</f>
        <v/>
      </c>
    </row>
    <row r="192" spans="3:40" ht="14" x14ac:dyDescent="0.3">
      <c r="C192" s="141">
        <v>183</v>
      </c>
      <c r="D192" s="462"/>
      <c r="E192" s="153"/>
      <c r="F192" s="498" t="str">
        <f>IF(D192="","",VLOOKUP(D192,'G-7 Rivers Data'!$B$2:$G$8,2,FALSE))</f>
        <v/>
      </c>
      <c r="G192" s="499" t="str">
        <f>IFERROR(VLOOKUP(F192,'G-7 Rivers Data'!$C$4:$D$8,2,FALSE),"")</f>
        <v/>
      </c>
      <c r="H192" s="145"/>
      <c r="I192" s="499" t="str">
        <f>IFERROR(INDEX('G-7 Rivers Data'!$H$4:$L$8,MATCH(D192,'G-7 Rivers Data'!$B$4:$B$8,0),MATCH(H192,'G-7 Rivers Data'!$H$3:$L$3,0)),"")</f>
        <v/>
      </c>
      <c r="J192" s="154"/>
      <c r="K192" s="520" t="str">
        <f>IF(J192="","",IF(VLOOKUP(J192,'G-7 Rivers Data'!$AK$4:$AM$9,2,FALSE)=0,"Spatial Data Missing ⚠",VLOOKUP(J192,'G-7 Rivers Data'!$AK$4:$AM$9,2,FALSE)))</f>
        <v/>
      </c>
      <c r="L192" s="524" t="str">
        <f>IF(J192="","",IF(VLOOKUP(J192,'G-7 Rivers Data'!$AK$4:$AM$9,3,FALSE)=0,"Spatial Data Missing ⚠",VLOOKUP(J192,'G-7 Rivers Data'!$AK$4:$AM$9,3,FALSE)))</f>
        <v/>
      </c>
      <c r="M192" s="71"/>
      <c r="N192" s="499" t="str">
        <f>IF(M192="","",IF(VLOOKUP(M192,'G-7 Rivers Data'!$AA$4:$AB$7,2,FALSE)=0,"Spatial Data Missing ⚠",VLOOKUP(M192,'G-7 Rivers Data'!$AA$4:$AB$7,2,FALSE)))</f>
        <v/>
      </c>
      <c r="O192" s="155"/>
      <c r="P192" s="499" t="str">
        <f>IF(O192="","",IF(VLOOKUP(O192,'G-7 Rivers Data'!$AD$4:$AE$8,2,FALSE)=0,"Spatial Data Missing ⚠",VLOOKUP(O192,'G-7 Rivers Data'!$AD$4:$AE$8,2,FALSE)))</f>
        <v/>
      </c>
      <c r="Q192" s="506" t="str">
        <f>IF(D192="","",VLOOKUP(D192,'G-7 Rivers Data'!$B$4:$G$8,6,FALSE))</f>
        <v/>
      </c>
      <c r="R192" s="513" t="str">
        <f t="shared" si="16"/>
        <v/>
      </c>
      <c r="S192" s="40"/>
      <c r="T192" s="145"/>
      <c r="U192" s="157"/>
      <c r="V192" s="511" t="str">
        <f t="shared" si="17"/>
        <v/>
      </c>
      <c r="W192" s="511" t="str">
        <f t="shared" si="18"/>
        <v/>
      </c>
      <c r="X192" s="511" t="str">
        <f t="shared" si="19"/>
        <v/>
      </c>
      <c r="Y192" s="515" t="str">
        <f t="shared" si="20"/>
        <v/>
      </c>
      <c r="Z192" s="151"/>
      <c r="AA192" s="152"/>
      <c r="AF192" s="31" t="str">
        <f>IFERROR(INDEX('G-7 Rivers Data'!$AZ$3:$AZ$7,MATCH(D192,'G-7 Rivers Data'!$AY$3:$AY$7,0)),"")</f>
        <v/>
      </c>
      <c r="AG192" s="31">
        <f t="shared" si="21"/>
        <v>0</v>
      </c>
      <c r="AH192" s="156" t="str">
        <f t="shared" si="22"/>
        <v/>
      </c>
      <c r="AI192" s="156" t="str">
        <f t="shared" si="23"/>
        <v/>
      </c>
      <c r="AK192" s="156">
        <v>183</v>
      </c>
      <c r="AM192" s="156" t="str">
        <f t="array" ref="AM192">IFERROR(INDEX($AK$10:$AK$258, MATCH(0, IF(TRUE=$AH$10:$AH$258, COUNTIF($AM$9:$AM191, $AK$10:$AK$258), ""), 0)),"")</f>
        <v/>
      </c>
      <c r="AN192" s="156" t="str">
        <f t="array" ref="AN192">IFERROR(INDEX($AK$10:$AK$258, MATCH(0, IF(TRUE=$AI$10:$AI$258, COUNTIF($AN$9:$AN191, $AK$10:$AK$258), ""), 0)),"")</f>
        <v/>
      </c>
    </row>
    <row r="193" spans="3:40" ht="14" x14ac:dyDescent="0.3">
      <c r="C193" s="141">
        <v>184</v>
      </c>
      <c r="D193" s="462"/>
      <c r="E193" s="153"/>
      <c r="F193" s="498" t="str">
        <f>IF(D193="","",VLOOKUP(D193,'G-7 Rivers Data'!$B$2:$G$8,2,FALSE))</f>
        <v/>
      </c>
      <c r="G193" s="499" t="str">
        <f>IFERROR(VLOOKUP(F193,'G-7 Rivers Data'!$C$4:$D$8,2,FALSE),"")</f>
        <v/>
      </c>
      <c r="H193" s="145"/>
      <c r="I193" s="499" t="str">
        <f>IFERROR(INDEX('G-7 Rivers Data'!$H$4:$L$8,MATCH(D193,'G-7 Rivers Data'!$B$4:$B$8,0),MATCH(H193,'G-7 Rivers Data'!$H$3:$L$3,0)),"")</f>
        <v/>
      </c>
      <c r="J193" s="154"/>
      <c r="K193" s="520" t="str">
        <f>IF(J193="","",IF(VLOOKUP(J193,'G-7 Rivers Data'!$AK$4:$AM$9,2,FALSE)=0,"Spatial Data Missing ⚠",VLOOKUP(J193,'G-7 Rivers Data'!$AK$4:$AM$9,2,FALSE)))</f>
        <v/>
      </c>
      <c r="L193" s="524" t="str">
        <f>IF(J193="","",IF(VLOOKUP(J193,'G-7 Rivers Data'!$AK$4:$AM$9,3,FALSE)=0,"Spatial Data Missing ⚠",VLOOKUP(J193,'G-7 Rivers Data'!$AK$4:$AM$9,3,FALSE)))</f>
        <v/>
      </c>
      <c r="M193" s="71"/>
      <c r="N193" s="499" t="str">
        <f>IF(M193="","",IF(VLOOKUP(M193,'G-7 Rivers Data'!$AA$4:$AB$7,2,FALSE)=0,"Spatial Data Missing ⚠",VLOOKUP(M193,'G-7 Rivers Data'!$AA$4:$AB$7,2,FALSE)))</f>
        <v/>
      </c>
      <c r="O193" s="155"/>
      <c r="P193" s="499" t="str">
        <f>IF(O193="","",IF(VLOOKUP(O193,'G-7 Rivers Data'!$AD$4:$AE$8,2,FALSE)=0,"Spatial Data Missing ⚠",VLOOKUP(O193,'G-7 Rivers Data'!$AD$4:$AE$8,2,FALSE)))</f>
        <v/>
      </c>
      <c r="Q193" s="506" t="str">
        <f>IF(D193="","",VLOOKUP(D193,'G-7 Rivers Data'!$B$4:$G$8,6,FALSE))</f>
        <v/>
      </c>
      <c r="R193" s="513" t="str">
        <f t="shared" si="16"/>
        <v/>
      </c>
      <c r="S193" s="40"/>
      <c r="T193" s="145"/>
      <c r="U193" s="157"/>
      <c r="V193" s="511" t="str">
        <f t="shared" si="17"/>
        <v/>
      </c>
      <c r="W193" s="511" t="str">
        <f t="shared" si="18"/>
        <v/>
      </c>
      <c r="X193" s="511" t="str">
        <f t="shared" si="19"/>
        <v/>
      </c>
      <c r="Y193" s="515" t="str">
        <f t="shared" si="20"/>
        <v/>
      </c>
      <c r="Z193" s="151"/>
      <c r="AA193" s="152"/>
      <c r="AF193" s="31" t="str">
        <f>IFERROR(INDEX('G-7 Rivers Data'!$AZ$3:$AZ$7,MATCH(D193,'G-7 Rivers Data'!$AY$3:$AY$7,0)),"")</f>
        <v/>
      </c>
      <c r="AG193" s="31">
        <f t="shared" si="21"/>
        <v>0</v>
      </c>
      <c r="AH193" s="156" t="str">
        <f t="shared" si="22"/>
        <v/>
      </c>
      <c r="AI193" s="156" t="str">
        <f t="shared" si="23"/>
        <v/>
      </c>
      <c r="AK193" s="156">
        <v>184</v>
      </c>
      <c r="AM193" s="156" t="str">
        <f t="array" ref="AM193">IFERROR(INDEX($AK$10:$AK$258, MATCH(0, IF(TRUE=$AH$10:$AH$258, COUNTIF($AM$9:$AM192, $AK$10:$AK$258), ""), 0)),"")</f>
        <v/>
      </c>
      <c r="AN193" s="156" t="str">
        <f t="array" ref="AN193">IFERROR(INDEX($AK$10:$AK$258, MATCH(0, IF(TRUE=$AI$10:$AI$258, COUNTIF($AN$9:$AN192, $AK$10:$AK$258), ""), 0)),"")</f>
        <v/>
      </c>
    </row>
    <row r="194" spans="3:40" ht="14" x14ac:dyDescent="0.3">
      <c r="C194" s="141">
        <v>185</v>
      </c>
      <c r="D194" s="462"/>
      <c r="E194" s="153"/>
      <c r="F194" s="498" t="str">
        <f>IF(D194="","",VLOOKUP(D194,'G-7 Rivers Data'!$B$2:$G$8,2,FALSE))</f>
        <v/>
      </c>
      <c r="G194" s="499" t="str">
        <f>IFERROR(VLOOKUP(F194,'G-7 Rivers Data'!$C$4:$D$8,2,FALSE),"")</f>
        <v/>
      </c>
      <c r="H194" s="145"/>
      <c r="I194" s="499" t="str">
        <f>IFERROR(INDEX('G-7 Rivers Data'!$H$4:$L$8,MATCH(D194,'G-7 Rivers Data'!$B$4:$B$8,0),MATCH(H194,'G-7 Rivers Data'!$H$3:$L$3,0)),"")</f>
        <v/>
      </c>
      <c r="J194" s="154"/>
      <c r="K194" s="520" t="str">
        <f>IF(J194="","",IF(VLOOKUP(J194,'G-7 Rivers Data'!$AK$4:$AM$9,2,FALSE)=0,"Spatial Data Missing ⚠",VLOOKUP(J194,'G-7 Rivers Data'!$AK$4:$AM$9,2,FALSE)))</f>
        <v/>
      </c>
      <c r="L194" s="524" t="str">
        <f>IF(J194="","",IF(VLOOKUP(J194,'G-7 Rivers Data'!$AK$4:$AM$9,3,FALSE)=0,"Spatial Data Missing ⚠",VLOOKUP(J194,'G-7 Rivers Data'!$AK$4:$AM$9,3,FALSE)))</f>
        <v/>
      </c>
      <c r="M194" s="71"/>
      <c r="N194" s="499" t="str">
        <f>IF(M194="","",IF(VLOOKUP(M194,'G-7 Rivers Data'!$AA$4:$AB$7,2,FALSE)=0,"Spatial Data Missing ⚠",VLOOKUP(M194,'G-7 Rivers Data'!$AA$4:$AB$7,2,FALSE)))</f>
        <v/>
      </c>
      <c r="O194" s="155"/>
      <c r="P194" s="499" t="str">
        <f>IF(O194="","",IF(VLOOKUP(O194,'G-7 Rivers Data'!$AD$4:$AE$8,2,FALSE)=0,"Spatial Data Missing ⚠",VLOOKUP(O194,'G-7 Rivers Data'!$AD$4:$AE$8,2,FALSE)))</f>
        <v/>
      </c>
      <c r="Q194" s="506" t="str">
        <f>IF(D194="","",VLOOKUP(D194,'G-7 Rivers Data'!$B$4:$G$8,6,FALSE))</f>
        <v/>
      </c>
      <c r="R194" s="513" t="str">
        <f t="shared" si="16"/>
        <v/>
      </c>
      <c r="S194" s="40"/>
      <c r="T194" s="145"/>
      <c r="U194" s="157"/>
      <c r="V194" s="511" t="str">
        <f t="shared" si="17"/>
        <v/>
      </c>
      <c r="W194" s="511" t="str">
        <f t="shared" si="18"/>
        <v/>
      </c>
      <c r="X194" s="511" t="str">
        <f t="shared" si="19"/>
        <v/>
      </c>
      <c r="Y194" s="515" t="str">
        <f t="shared" si="20"/>
        <v/>
      </c>
      <c r="Z194" s="151"/>
      <c r="AA194" s="152"/>
      <c r="AF194" s="31" t="str">
        <f>IFERROR(INDEX('G-7 Rivers Data'!$AZ$3:$AZ$7,MATCH(D194,'G-7 Rivers Data'!$AY$3:$AY$7,0)),"")</f>
        <v/>
      </c>
      <c r="AG194" s="31">
        <f t="shared" si="21"/>
        <v>0</v>
      </c>
      <c r="AH194" s="156" t="str">
        <f t="shared" si="22"/>
        <v/>
      </c>
      <c r="AI194" s="156" t="str">
        <f t="shared" si="23"/>
        <v/>
      </c>
      <c r="AK194" s="156">
        <v>185</v>
      </c>
      <c r="AM194" s="156" t="str">
        <f t="array" ref="AM194">IFERROR(INDEX($AK$10:$AK$258, MATCH(0, IF(TRUE=$AH$10:$AH$258, COUNTIF($AM$9:$AM193, $AK$10:$AK$258), ""), 0)),"")</f>
        <v/>
      </c>
      <c r="AN194" s="156" t="str">
        <f t="array" ref="AN194">IFERROR(INDEX($AK$10:$AK$258, MATCH(0, IF(TRUE=$AI$10:$AI$258, COUNTIF($AN$9:$AN193, $AK$10:$AK$258), ""), 0)),"")</f>
        <v/>
      </c>
    </row>
    <row r="195" spans="3:40" ht="14" x14ac:dyDescent="0.3">
      <c r="C195" s="141">
        <v>186</v>
      </c>
      <c r="D195" s="462"/>
      <c r="E195" s="153"/>
      <c r="F195" s="498" t="str">
        <f>IF(D195="","",VLOOKUP(D195,'G-7 Rivers Data'!$B$2:$G$8,2,FALSE))</f>
        <v/>
      </c>
      <c r="G195" s="499" t="str">
        <f>IFERROR(VLOOKUP(F195,'G-7 Rivers Data'!$C$4:$D$8,2,FALSE),"")</f>
        <v/>
      </c>
      <c r="H195" s="145"/>
      <c r="I195" s="499" t="str">
        <f>IFERROR(INDEX('G-7 Rivers Data'!$H$4:$L$8,MATCH(D195,'G-7 Rivers Data'!$B$4:$B$8,0),MATCH(H195,'G-7 Rivers Data'!$H$3:$L$3,0)),"")</f>
        <v/>
      </c>
      <c r="J195" s="154"/>
      <c r="K195" s="520" t="str">
        <f>IF(J195="","",IF(VLOOKUP(J195,'G-7 Rivers Data'!$AK$4:$AM$9,2,FALSE)=0,"Spatial Data Missing ⚠",VLOOKUP(J195,'G-7 Rivers Data'!$AK$4:$AM$9,2,FALSE)))</f>
        <v/>
      </c>
      <c r="L195" s="524" t="str">
        <f>IF(J195="","",IF(VLOOKUP(J195,'G-7 Rivers Data'!$AK$4:$AM$9,3,FALSE)=0,"Spatial Data Missing ⚠",VLOOKUP(J195,'G-7 Rivers Data'!$AK$4:$AM$9,3,FALSE)))</f>
        <v/>
      </c>
      <c r="M195" s="71"/>
      <c r="N195" s="499" t="str">
        <f>IF(M195="","",IF(VLOOKUP(M195,'G-7 Rivers Data'!$AA$4:$AB$7,2,FALSE)=0,"Spatial Data Missing ⚠",VLOOKUP(M195,'G-7 Rivers Data'!$AA$4:$AB$7,2,FALSE)))</f>
        <v/>
      </c>
      <c r="O195" s="155"/>
      <c r="P195" s="499" t="str">
        <f>IF(O195="","",IF(VLOOKUP(O195,'G-7 Rivers Data'!$AD$4:$AE$8,2,FALSE)=0,"Spatial Data Missing ⚠",VLOOKUP(O195,'G-7 Rivers Data'!$AD$4:$AE$8,2,FALSE)))</f>
        <v/>
      </c>
      <c r="Q195" s="506" t="str">
        <f>IF(D195="","",VLOOKUP(D195,'G-7 Rivers Data'!$B$4:$G$8,6,FALSE))</f>
        <v/>
      </c>
      <c r="R195" s="513" t="str">
        <f t="shared" si="16"/>
        <v/>
      </c>
      <c r="S195" s="40"/>
      <c r="T195" s="145"/>
      <c r="U195" s="157"/>
      <c r="V195" s="511" t="str">
        <f t="shared" si="17"/>
        <v/>
      </c>
      <c r="W195" s="511" t="str">
        <f t="shared" si="18"/>
        <v/>
      </c>
      <c r="X195" s="511" t="str">
        <f t="shared" si="19"/>
        <v/>
      </c>
      <c r="Y195" s="515" t="str">
        <f t="shared" si="20"/>
        <v/>
      </c>
      <c r="Z195" s="151"/>
      <c r="AA195" s="152"/>
      <c r="AF195" s="31" t="str">
        <f>IFERROR(INDEX('G-7 Rivers Data'!$AZ$3:$AZ$7,MATCH(D195,'G-7 Rivers Data'!$AY$3:$AY$7,0)),"")</f>
        <v/>
      </c>
      <c r="AG195" s="31">
        <f t="shared" si="21"/>
        <v>0</v>
      </c>
      <c r="AH195" s="156" t="str">
        <f t="shared" si="22"/>
        <v/>
      </c>
      <c r="AI195" s="156" t="str">
        <f t="shared" si="23"/>
        <v/>
      </c>
      <c r="AK195" s="156">
        <v>186</v>
      </c>
      <c r="AM195" s="156" t="str">
        <f t="array" ref="AM195">IFERROR(INDEX($AK$10:$AK$258, MATCH(0, IF(TRUE=$AH$10:$AH$258, COUNTIF($AM$9:$AM194, $AK$10:$AK$258), ""), 0)),"")</f>
        <v/>
      </c>
      <c r="AN195" s="156" t="str">
        <f t="array" ref="AN195">IFERROR(INDEX($AK$10:$AK$258, MATCH(0, IF(TRUE=$AI$10:$AI$258, COUNTIF($AN$9:$AN194, $AK$10:$AK$258), ""), 0)),"")</f>
        <v/>
      </c>
    </row>
    <row r="196" spans="3:40" ht="14" x14ac:dyDescent="0.3">
      <c r="C196" s="141">
        <v>187</v>
      </c>
      <c r="D196" s="462"/>
      <c r="E196" s="153"/>
      <c r="F196" s="498" t="str">
        <f>IF(D196="","",VLOOKUP(D196,'G-7 Rivers Data'!$B$2:$G$8,2,FALSE))</f>
        <v/>
      </c>
      <c r="G196" s="499" t="str">
        <f>IFERROR(VLOOKUP(F196,'G-7 Rivers Data'!$C$4:$D$8,2,FALSE),"")</f>
        <v/>
      </c>
      <c r="H196" s="145"/>
      <c r="I196" s="499" t="str">
        <f>IFERROR(INDEX('G-7 Rivers Data'!$H$4:$L$8,MATCH(D196,'G-7 Rivers Data'!$B$4:$B$8,0),MATCH(H196,'G-7 Rivers Data'!$H$3:$L$3,0)),"")</f>
        <v/>
      </c>
      <c r="J196" s="154"/>
      <c r="K196" s="520" t="str">
        <f>IF(J196="","",IF(VLOOKUP(J196,'G-7 Rivers Data'!$AK$4:$AM$9,2,FALSE)=0,"Spatial Data Missing ⚠",VLOOKUP(J196,'G-7 Rivers Data'!$AK$4:$AM$9,2,FALSE)))</f>
        <v/>
      </c>
      <c r="L196" s="524" t="str">
        <f>IF(J196="","",IF(VLOOKUP(J196,'G-7 Rivers Data'!$AK$4:$AM$9,3,FALSE)=0,"Spatial Data Missing ⚠",VLOOKUP(J196,'G-7 Rivers Data'!$AK$4:$AM$9,3,FALSE)))</f>
        <v/>
      </c>
      <c r="M196" s="71"/>
      <c r="N196" s="499" t="str">
        <f>IF(M196="","",IF(VLOOKUP(M196,'G-7 Rivers Data'!$AA$4:$AB$7,2,FALSE)=0,"Spatial Data Missing ⚠",VLOOKUP(M196,'G-7 Rivers Data'!$AA$4:$AB$7,2,FALSE)))</f>
        <v/>
      </c>
      <c r="O196" s="155"/>
      <c r="P196" s="499" t="str">
        <f>IF(O196="","",IF(VLOOKUP(O196,'G-7 Rivers Data'!$AD$4:$AE$8,2,FALSE)=0,"Spatial Data Missing ⚠",VLOOKUP(O196,'G-7 Rivers Data'!$AD$4:$AE$8,2,FALSE)))</f>
        <v/>
      </c>
      <c r="Q196" s="506" t="str">
        <f>IF(D196="","",VLOOKUP(D196,'G-7 Rivers Data'!$B$4:$G$8,6,FALSE))</f>
        <v/>
      </c>
      <c r="R196" s="513" t="str">
        <f t="shared" si="16"/>
        <v/>
      </c>
      <c r="S196" s="40"/>
      <c r="T196" s="145"/>
      <c r="U196" s="157"/>
      <c r="V196" s="511" t="str">
        <f t="shared" si="17"/>
        <v/>
      </c>
      <c r="W196" s="511" t="str">
        <f t="shared" si="18"/>
        <v/>
      </c>
      <c r="X196" s="511" t="str">
        <f t="shared" si="19"/>
        <v/>
      </c>
      <c r="Y196" s="515" t="str">
        <f t="shared" si="20"/>
        <v/>
      </c>
      <c r="Z196" s="151"/>
      <c r="AA196" s="152"/>
      <c r="AF196" s="31" t="str">
        <f>IFERROR(INDEX('G-7 Rivers Data'!$AZ$3:$AZ$7,MATCH(D196,'G-7 Rivers Data'!$AY$3:$AY$7,0)),"")</f>
        <v/>
      </c>
      <c r="AG196" s="31">
        <f t="shared" si="21"/>
        <v>0</v>
      </c>
      <c r="AH196" s="156" t="str">
        <f t="shared" si="22"/>
        <v/>
      </c>
      <c r="AI196" s="156" t="str">
        <f t="shared" si="23"/>
        <v/>
      </c>
      <c r="AK196" s="156">
        <v>187</v>
      </c>
      <c r="AM196" s="156" t="str">
        <f t="array" ref="AM196">IFERROR(INDEX($AK$10:$AK$258, MATCH(0, IF(TRUE=$AH$10:$AH$258, COUNTIF($AM$9:$AM195, $AK$10:$AK$258), ""), 0)),"")</f>
        <v/>
      </c>
      <c r="AN196" s="156" t="str">
        <f t="array" ref="AN196">IFERROR(INDEX($AK$10:$AK$258, MATCH(0, IF(TRUE=$AI$10:$AI$258, COUNTIF($AN$9:$AN195, $AK$10:$AK$258), ""), 0)),"")</f>
        <v/>
      </c>
    </row>
    <row r="197" spans="3:40" ht="14" x14ac:dyDescent="0.3">
      <c r="C197" s="141">
        <v>188</v>
      </c>
      <c r="D197" s="462"/>
      <c r="E197" s="153"/>
      <c r="F197" s="498" t="str">
        <f>IF(D197="","",VLOOKUP(D197,'G-7 Rivers Data'!$B$2:$G$8,2,FALSE))</f>
        <v/>
      </c>
      <c r="G197" s="499" t="str">
        <f>IFERROR(VLOOKUP(F197,'G-7 Rivers Data'!$C$4:$D$8,2,FALSE),"")</f>
        <v/>
      </c>
      <c r="H197" s="145"/>
      <c r="I197" s="499" t="str">
        <f>IFERROR(INDEX('G-7 Rivers Data'!$H$4:$L$8,MATCH(D197,'G-7 Rivers Data'!$B$4:$B$8,0),MATCH(H197,'G-7 Rivers Data'!$H$3:$L$3,0)),"")</f>
        <v/>
      </c>
      <c r="J197" s="154"/>
      <c r="K197" s="520" t="str">
        <f>IF(J197="","",IF(VLOOKUP(J197,'G-7 Rivers Data'!$AK$4:$AM$9,2,FALSE)=0,"Spatial Data Missing ⚠",VLOOKUP(J197,'G-7 Rivers Data'!$AK$4:$AM$9,2,FALSE)))</f>
        <v/>
      </c>
      <c r="L197" s="524" t="str">
        <f>IF(J197="","",IF(VLOOKUP(J197,'G-7 Rivers Data'!$AK$4:$AM$9,3,FALSE)=0,"Spatial Data Missing ⚠",VLOOKUP(J197,'G-7 Rivers Data'!$AK$4:$AM$9,3,FALSE)))</f>
        <v/>
      </c>
      <c r="M197" s="71"/>
      <c r="N197" s="499" t="str">
        <f>IF(M197="","",IF(VLOOKUP(M197,'G-7 Rivers Data'!$AA$4:$AB$7,2,FALSE)=0,"Spatial Data Missing ⚠",VLOOKUP(M197,'G-7 Rivers Data'!$AA$4:$AB$7,2,FALSE)))</f>
        <v/>
      </c>
      <c r="O197" s="155"/>
      <c r="P197" s="499" t="str">
        <f>IF(O197="","",IF(VLOOKUP(O197,'G-7 Rivers Data'!$AD$4:$AE$8,2,FALSE)=0,"Spatial Data Missing ⚠",VLOOKUP(O197,'G-7 Rivers Data'!$AD$4:$AE$8,2,FALSE)))</f>
        <v/>
      </c>
      <c r="Q197" s="506" t="str">
        <f>IF(D197="","",VLOOKUP(D197,'G-7 Rivers Data'!$B$4:$G$8,6,FALSE))</f>
        <v/>
      </c>
      <c r="R197" s="513" t="str">
        <f t="shared" si="16"/>
        <v/>
      </c>
      <c r="S197" s="40"/>
      <c r="T197" s="145"/>
      <c r="U197" s="157"/>
      <c r="V197" s="511" t="str">
        <f t="shared" si="17"/>
        <v/>
      </c>
      <c r="W197" s="511" t="str">
        <f t="shared" si="18"/>
        <v/>
      </c>
      <c r="X197" s="511" t="str">
        <f t="shared" si="19"/>
        <v/>
      </c>
      <c r="Y197" s="515" t="str">
        <f t="shared" si="20"/>
        <v/>
      </c>
      <c r="Z197" s="151"/>
      <c r="AA197" s="152"/>
      <c r="AF197" s="31" t="str">
        <f>IFERROR(INDEX('G-7 Rivers Data'!$AZ$3:$AZ$7,MATCH(D197,'G-7 Rivers Data'!$AY$3:$AY$7,0)),"")</f>
        <v/>
      </c>
      <c r="AG197" s="31">
        <f t="shared" si="21"/>
        <v>0</v>
      </c>
      <c r="AH197" s="156" t="str">
        <f t="shared" si="22"/>
        <v/>
      </c>
      <c r="AI197" s="156" t="str">
        <f t="shared" si="23"/>
        <v/>
      </c>
      <c r="AK197" s="156">
        <v>188</v>
      </c>
      <c r="AM197" s="156" t="str">
        <f t="array" ref="AM197">IFERROR(INDEX($AK$10:$AK$258, MATCH(0, IF(TRUE=$AH$10:$AH$258, COUNTIF($AM$9:$AM196, $AK$10:$AK$258), ""), 0)),"")</f>
        <v/>
      </c>
      <c r="AN197" s="156" t="str">
        <f t="array" ref="AN197">IFERROR(INDEX($AK$10:$AK$258, MATCH(0, IF(TRUE=$AI$10:$AI$258, COUNTIF($AN$9:$AN196, $AK$10:$AK$258), ""), 0)),"")</f>
        <v/>
      </c>
    </row>
    <row r="198" spans="3:40" ht="14" x14ac:dyDescent="0.3">
      <c r="C198" s="141">
        <v>189</v>
      </c>
      <c r="D198" s="462"/>
      <c r="E198" s="153"/>
      <c r="F198" s="498" t="str">
        <f>IF(D198="","",VLOOKUP(D198,'G-7 Rivers Data'!$B$2:$G$8,2,FALSE))</f>
        <v/>
      </c>
      <c r="G198" s="499" t="str">
        <f>IFERROR(VLOOKUP(F198,'G-7 Rivers Data'!$C$4:$D$8,2,FALSE),"")</f>
        <v/>
      </c>
      <c r="H198" s="145"/>
      <c r="I198" s="499" t="str">
        <f>IFERROR(INDEX('G-7 Rivers Data'!$H$4:$L$8,MATCH(D198,'G-7 Rivers Data'!$B$4:$B$8,0),MATCH(H198,'G-7 Rivers Data'!$H$3:$L$3,0)),"")</f>
        <v/>
      </c>
      <c r="J198" s="154"/>
      <c r="K198" s="520" t="str">
        <f>IF(J198="","",IF(VLOOKUP(J198,'G-7 Rivers Data'!$AK$4:$AM$9,2,FALSE)=0,"Spatial Data Missing ⚠",VLOOKUP(J198,'G-7 Rivers Data'!$AK$4:$AM$9,2,FALSE)))</f>
        <v/>
      </c>
      <c r="L198" s="524" t="str">
        <f>IF(J198="","",IF(VLOOKUP(J198,'G-7 Rivers Data'!$AK$4:$AM$9,3,FALSE)=0,"Spatial Data Missing ⚠",VLOOKUP(J198,'G-7 Rivers Data'!$AK$4:$AM$9,3,FALSE)))</f>
        <v/>
      </c>
      <c r="M198" s="71"/>
      <c r="N198" s="499" t="str">
        <f>IF(M198="","",IF(VLOOKUP(M198,'G-7 Rivers Data'!$AA$4:$AB$7,2,FALSE)=0,"Spatial Data Missing ⚠",VLOOKUP(M198,'G-7 Rivers Data'!$AA$4:$AB$7,2,FALSE)))</f>
        <v/>
      </c>
      <c r="O198" s="155"/>
      <c r="P198" s="499" t="str">
        <f>IF(O198="","",IF(VLOOKUP(O198,'G-7 Rivers Data'!$AD$4:$AE$8,2,FALSE)=0,"Spatial Data Missing ⚠",VLOOKUP(O198,'G-7 Rivers Data'!$AD$4:$AE$8,2,FALSE)))</f>
        <v/>
      </c>
      <c r="Q198" s="506" t="str">
        <f>IF(D198="","",VLOOKUP(D198,'G-7 Rivers Data'!$B$4:$G$8,6,FALSE))</f>
        <v/>
      </c>
      <c r="R198" s="513" t="str">
        <f t="shared" si="16"/>
        <v/>
      </c>
      <c r="S198" s="40"/>
      <c r="T198" s="145"/>
      <c r="U198" s="157"/>
      <c r="V198" s="511" t="str">
        <f t="shared" si="17"/>
        <v/>
      </c>
      <c r="W198" s="511" t="str">
        <f t="shared" si="18"/>
        <v/>
      </c>
      <c r="X198" s="511" t="str">
        <f t="shared" si="19"/>
        <v/>
      </c>
      <c r="Y198" s="515" t="str">
        <f t="shared" si="20"/>
        <v/>
      </c>
      <c r="Z198" s="151"/>
      <c r="AA198" s="152"/>
      <c r="AF198" s="31" t="str">
        <f>IFERROR(INDEX('G-7 Rivers Data'!$AZ$3:$AZ$7,MATCH(D198,'G-7 Rivers Data'!$AY$3:$AY$7,0)),"")</f>
        <v/>
      </c>
      <c r="AG198" s="31">
        <f t="shared" si="21"/>
        <v>0</v>
      </c>
      <c r="AH198" s="156" t="str">
        <f t="shared" si="22"/>
        <v/>
      </c>
      <c r="AI198" s="156" t="str">
        <f t="shared" si="23"/>
        <v/>
      </c>
      <c r="AK198" s="156">
        <v>189</v>
      </c>
      <c r="AM198" s="156" t="str">
        <f t="array" ref="AM198">IFERROR(INDEX($AK$10:$AK$258, MATCH(0, IF(TRUE=$AH$10:$AH$258, COUNTIF($AM$9:$AM197, $AK$10:$AK$258), ""), 0)),"")</f>
        <v/>
      </c>
      <c r="AN198" s="156" t="str">
        <f t="array" ref="AN198">IFERROR(INDEX($AK$10:$AK$258, MATCH(0, IF(TRUE=$AI$10:$AI$258, COUNTIF($AN$9:$AN197, $AK$10:$AK$258), ""), 0)),"")</f>
        <v/>
      </c>
    </row>
    <row r="199" spans="3:40" ht="14" x14ac:dyDescent="0.3">
      <c r="C199" s="141">
        <v>190</v>
      </c>
      <c r="D199" s="462"/>
      <c r="E199" s="153"/>
      <c r="F199" s="498" t="str">
        <f>IF(D199="","",VLOOKUP(D199,'G-7 Rivers Data'!$B$2:$G$8,2,FALSE))</f>
        <v/>
      </c>
      <c r="G199" s="499" t="str">
        <f>IFERROR(VLOOKUP(F199,'G-7 Rivers Data'!$C$4:$D$8,2,FALSE),"")</f>
        <v/>
      </c>
      <c r="H199" s="145"/>
      <c r="I199" s="499" t="str">
        <f>IFERROR(INDEX('G-7 Rivers Data'!$H$4:$L$8,MATCH(D199,'G-7 Rivers Data'!$B$4:$B$8,0),MATCH(H199,'G-7 Rivers Data'!$H$3:$L$3,0)),"")</f>
        <v/>
      </c>
      <c r="J199" s="154"/>
      <c r="K199" s="520" t="str">
        <f>IF(J199="","",IF(VLOOKUP(J199,'G-7 Rivers Data'!$AK$4:$AM$9,2,FALSE)=0,"Spatial Data Missing ⚠",VLOOKUP(J199,'G-7 Rivers Data'!$AK$4:$AM$9,2,FALSE)))</f>
        <v/>
      </c>
      <c r="L199" s="524" t="str">
        <f>IF(J199="","",IF(VLOOKUP(J199,'G-7 Rivers Data'!$AK$4:$AM$9,3,FALSE)=0,"Spatial Data Missing ⚠",VLOOKUP(J199,'G-7 Rivers Data'!$AK$4:$AM$9,3,FALSE)))</f>
        <v/>
      </c>
      <c r="M199" s="71"/>
      <c r="N199" s="499" t="str">
        <f>IF(M199="","",IF(VLOOKUP(M199,'G-7 Rivers Data'!$AA$4:$AB$7,2,FALSE)=0,"Spatial Data Missing ⚠",VLOOKUP(M199,'G-7 Rivers Data'!$AA$4:$AB$7,2,FALSE)))</f>
        <v/>
      </c>
      <c r="O199" s="155"/>
      <c r="P199" s="499" t="str">
        <f>IF(O199="","",IF(VLOOKUP(O199,'G-7 Rivers Data'!$AD$4:$AE$8,2,FALSE)=0,"Spatial Data Missing ⚠",VLOOKUP(O199,'G-7 Rivers Data'!$AD$4:$AE$8,2,FALSE)))</f>
        <v/>
      </c>
      <c r="Q199" s="506" t="str">
        <f>IF(D199="","",VLOOKUP(D199,'G-7 Rivers Data'!$B$4:$G$8,6,FALSE))</f>
        <v/>
      </c>
      <c r="R199" s="513" t="str">
        <f t="shared" si="16"/>
        <v/>
      </c>
      <c r="S199" s="40"/>
      <c r="T199" s="145"/>
      <c r="U199" s="157"/>
      <c r="V199" s="511" t="str">
        <f t="shared" si="17"/>
        <v/>
      </c>
      <c r="W199" s="511" t="str">
        <f t="shared" si="18"/>
        <v/>
      </c>
      <c r="X199" s="511" t="str">
        <f t="shared" si="19"/>
        <v/>
      </c>
      <c r="Y199" s="515" t="str">
        <f t="shared" si="20"/>
        <v/>
      </c>
      <c r="Z199" s="151"/>
      <c r="AA199" s="152"/>
      <c r="AF199" s="31" t="str">
        <f>IFERROR(INDEX('G-7 Rivers Data'!$AZ$3:$AZ$7,MATCH(D199,'G-7 Rivers Data'!$AY$3:$AY$7,0)),"")</f>
        <v/>
      </c>
      <c r="AG199" s="31">
        <f t="shared" si="21"/>
        <v>0</v>
      </c>
      <c r="AH199" s="156" t="str">
        <f t="shared" si="22"/>
        <v/>
      </c>
      <c r="AI199" s="156" t="str">
        <f t="shared" si="23"/>
        <v/>
      </c>
      <c r="AK199" s="156">
        <v>190</v>
      </c>
      <c r="AM199" s="156" t="str">
        <f t="array" ref="AM199">IFERROR(INDEX($AK$10:$AK$258, MATCH(0, IF(TRUE=$AH$10:$AH$258, COUNTIF($AM$9:$AM198, $AK$10:$AK$258), ""), 0)),"")</f>
        <v/>
      </c>
      <c r="AN199" s="156" t="str">
        <f t="array" ref="AN199">IFERROR(INDEX($AK$10:$AK$258, MATCH(0, IF(TRUE=$AI$10:$AI$258, COUNTIF($AN$9:$AN198, $AK$10:$AK$258), ""), 0)),"")</f>
        <v/>
      </c>
    </row>
    <row r="200" spans="3:40" ht="14" x14ac:dyDescent="0.3">
      <c r="C200" s="141">
        <v>191</v>
      </c>
      <c r="D200" s="462"/>
      <c r="E200" s="153"/>
      <c r="F200" s="498" t="str">
        <f>IF(D200="","",VLOOKUP(D200,'G-7 Rivers Data'!$B$2:$G$8,2,FALSE))</f>
        <v/>
      </c>
      <c r="G200" s="499" t="str">
        <f>IFERROR(VLOOKUP(F200,'G-7 Rivers Data'!$C$4:$D$8,2,FALSE),"")</f>
        <v/>
      </c>
      <c r="H200" s="145"/>
      <c r="I200" s="499" t="str">
        <f>IFERROR(INDEX('G-7 Rivers Data'!$H$4:$L$8,MATCH(D200,'G-7 Rivers Data'!$B$4:$B$8,0),MATCH(H200,'G-7 Rivers Data'!$H$3:$L$3,0)),"")</f>
        <v/>
      </c>
      <c r="J200" s="154"/>
      <c r="K200" s="520" t="str">
        <f>IF(J200="","",IF(VLOOKUP(J200,'G-7 Rivers Data'!$AK$4:$AM$9,2,FALSE)=0,"Spatial Data Missing ⚠",VLOOKUP(J200,'G-7 Rivers Data'!$AK$4:$AM$9,2,FALSE)))</f>
        <v/>
      </c>
      <c r="L200" s="524" t="str">
        <f>IF(J200="","",IF(VLOOKUP(J200,'G-7 Rivers Data'!$AK$4:$AM$9,3,FALSE)=0,"Spatial Data Missing ⚠",VLOOKUP(J200,'G-7 Rivers Data'!$AK$4:$AM$9,3,FALSE)))</f>
        <v/>
      </c>
      <c r="M200" s="71"/>
      <c r="N200" s="499" t="str">
        <f>IF(M200="","",IF(VLOOKUP(M200,'G-7 Rivers Data'!$AA$4:$AB$7,2,FALSE)=0,"Spatial Data Missing ⚠",VLOOKUP(M200,'G-7 Rivers Data'!$AA$4:$AB$7,2,FALSE)))</f>
        <v/>
      </c>
      <c r="O200" s="155"/>
      <c r="P200" s="499" t="str">
        <f>IF(O200="","",IF(VLOOKUP(O200,'G-7 Rivers Data'!$AD$4:$AE$8,2,FALSE)=0,"Spatial Data Missing ⚠",VLOOKUP(O200,'G-7 Rivers Data'!$AD$4:$AE$8,2,FALSE)))</f>
        <v/>
      </c>
      <c r="Q200" s="506" t="str">
        <f>IF(D200="","",VLOOKUP(D200,'G-7 Rivers Data'!$B$4:$G$8,6,FALSE))</f>
        <v/>
      </c>
      <c r="R200" s="513" t="str">
        <f t="shared" si="16"/>
        <v/>
      </c>
      <c r="S200" s="40"/>
      <c r="T200" s="145"/>
      <c r="U200" s="157"/>
      <c r="V200" s="511" t="str">
        <f t="shared" si="17"/>
        <v/>
      </c>
      <c r="W200" s="511" t="str">
        <f t="shared" si="18"/>
        <v/>
      </c>
      <c r="X200" s="511" t="str">
        <f t="shared" si="19"/>
        <v/>
      </c>
      <c r="Y200" s="515" t="str">
        <f t="shared" si="20"/>
        <v/>
      </c>
      <c r="Z200" s="151"/>
      <c r="AA200" s="152"/>
      <c r="AF200" s="31" t="str">
        <f>IFERROR(INDEX('G-7 Rivers Data'!$AZ$3:$AZ$7,MATCH(D200,'G-7 Rivers Data'!$AY$3:$AY$7,0)),"")</f>
        <v/>
      </c>
      <c r="AG200" s="31">
        <f t="shared" si="21"/>
        <v>0</v>
      </c>
      <c r="AH200" s="156" t="str">
        <f t="shared" si="22"/>
        <v/>
      </c>
      <c r="AI200" s="156" t="str">
        <f t="shared" si="23"/>
        <v/>
      </c>
      <c r="AK200" s="156">
        <v>191</v>
      </c>
      <c r="AM200" s="156" t="str">
        <f t="array" ref="AM200">IFERROR(INDEX($AK$10:$AK$258, MATCH(0, IF(TRUE=$AH$10:$AH$258, COUNTIF($AM$9:$AM199, $AK$10:$AK$258), ""), 0)),"")</f>
        <v/>
      </c>
      <c r="AN200" s="156" t="str">
        <f t="array" ref="AN200">IFERROR(INDEX($AK$10:$AK$258, MATCH(0, IF(TRUE=$AI$10:$AI$258, COUNTIF($AN$9:$AN199, $AK$10:$AK$258), ""), 0)),"")</f>
        <v/>
      </c>
    </row>
    <row r="201" spans="3:40" ht="14" x14ac:dyDescent="0.3">
      <c r="C201" s="141">
        <v>192</v>
      </c>
      <c r="D201" s="462"/>
      <c r="E201" s="153"/>
      <c r="F201" s="498" t="str">
        <f>IF(D201="","",VLOOKUP(D201,'G-7 Rivers Data'!$B$2:$G$8,2,FALSE))</f>
        <v/>
      </c>
      <c r="G201" s="499" t="str">
        <f>IFERROR(VLOOKUP(F201,'G-7 Rivers Data'!$C$4:$D$8,2,FALSE),"")</f>
        <v/>
      </c>
      <c r="H201" s="145"/>
      <c r="I201" s="499" t="str">
        <f>IFERROR(INDEX('G-7 Rivers Data'!$H$4:$L$8,MATCH(D201,'G-7 Rivers Data'!$B$4:$B$8,0),MATCH(H201,'G-7 Rivers Data'!$H$3:$L$3,0)),"")</f>
        <v/>
      </c>
      <c r="J201" s="154"/>
      <c r="K201" s="520" t="str">
        <f>IF(J201="","",IF(VLOOKUP(J201,'G-7 Rivers Data'!$AK$4:$AM$9,2,FALSE)=0,"Spatial Data Missing ⚠",VLOOKUP(J201,'G-7 Rivers Data'!$AK$4:$AM$9,2,FALSE)))</f>
        <v/>
      </c>
      <c r="L201" s="524" t="str">
        <f>IF(J201="","",IF(VLOOKUP(J201,'G-7 Rivers Data'!$AK$4:$AM$9,3,FALSE)=0,"Spatial Data Missing ⚠",VLOOKUP(J201,'G-7 Rivers Data'!$AK$4:$AM$9,3,FALSE)))</f>
        <v/>
      </c>
      <c r="M201" s="71"/>
      <c r="N201" s="499" t="str">
        <f>IF(M201="","",IF(VLOOKUP(M201,'G-7 Rivers Data'!$AA$4:$AB$7,2,FALSE)=0,"Spatial Data Missing ⚠",VLOOKUP(M201,'G-7 Rivers Data'!$AA$4:$AB$7,2,FALSE)))</f>
        <v/>
      </c>
      <c r="O201" s="155"/>
      <c r="P201" s="499" t="str">
        <f>IF(O201="","",IF(VLOOKUP(O201,'G-7 Rivers Data'!$AD$4:$AE$8,2,FALSE)=0,"Spatial Data Missing ⚠",VLOOKUP(O201,'G-7 Rivers Data'!$AD$4:$AE$8,2,FALSE)))</f>
        <v/>
      </c>
      <c r="Q201" s="506" t="str">
        <f>IF(D201="","",VLOOKUP(D201,'G-7 Rivers Data'!$B$4:$G$8,6,FALSE))</f>
        <v/>
      </c>
      <c r="R201" s="513" t="str">
        <f t="shared" si="16"/>
        <v/>
      </c>
      <c r="S201" s="40"/>
      <c r="T201" s="145"/>
      <c r="U201" s="157"/>
      <c r="V201" s="511" t="str">
        <f t="shared" si="17"/>
        <v/>
      </c>
      <c r="W201" s="511" t="str">
        <f t="shared" si="18"/>
        <v/>
      </c>
      <c r="X201" s="511" t="str">
        <f t="shared" si="19"/>
        <v/>
      </c>
      <c r="Y201" s="515" t="str">
        <f t="shared" si="20"/>
        <v/>
      </c>
      <c r="Z201" s="151"/>
      <c r="AA201" s="152"/>
      <c r="AF201" s="31" t="str">
        <f>IFERROR(INDEX('G-7 Rivers Data'!$AZ$3:$AZ$7,MATCH(D201,'G-7 Rivers Data'!$AY$3:$AY$7,0)),"")</f>
        <v/>
      </c>
      <c r="AG201" s="31">
        <f t="shared" si="21"/>
        <v>0</v>
      </c>
      <c r="AH201" s="156" t="str">
        <f t="shared" si="22"/>
        <v/>
      </c>
      <c r="AI201" s="156" t="str">
        <f t="shared" si="23"/>
        <v/>
      </c>
      <c r="AK201" s="156">
        <v>192</v>
      </c>
      <c r="AM201" s="156" t="str">
        <f t="array" ref="AM201">IFERROR(INDEX($AK$10:$AK$258, MATCH(0, IF(TRUE=$AH$10:$AH$258, COUNTIF($AM$9:$AM200, $AK$10:$AK$258), ""), 0)),"")</f>
        <v/>
      </c>
      <c r="AN201" s="156" t="str">
        <f t="array" ref="AN201">IFERROR(INDEX($AK$10:$AK$258, MATCH(0, IF(TRUE=$AI$10:$AI$258, COUNTIF($AN$9:$AN200, $AK$10:$AK$258), ""), 0)),"")</f>
        <v/>
      </c>
    </row>
    <row r="202" spans="3:40" ht="14" x14ac:dyDescent="0.3">
      <c r="C202" s="141">
        <v>193</v>
      </c>
      <c r="D202" s="462"/>
      <c r="E202" s="153"/>
      <c r="F202" s="498" t="str">
        <f>IF(D202="","",VLOOKUP(D202,'G-7 Rivers Data'!$B$2:$G$8,2,FALSE))</f>
        <v/>
      </c>
      <c r="G202" s="499" t="str">
        <f>IFERROR(VLOOKUP(F202,'G-7 Rivers Data'!$C$4:$D$8,2,FALSE),"")</f>
        <v/>
      </c>
      <c r="H202" s="145"/>
      <c r="I202" s="499" t="str">
        <f>IFERROR(INDEX('G-7 Rivers Data'!$H$4:$L$8,MATCH(D202,'G-7 Rivers Data'!$B$4:$B$8,0),MATCH(H202,'G-7 Rivers Data'!$H$3:$L$3,0)),"")</f>
        <v/>
      </c>
      <c r="J202" s="154"/>
      <c r="K202" s="520" t="str">
        <f>IF(J202="","",IF(VLOOKUP(J202,'G-7 Rivers Data'!$AK$4:$AM$9,2,FALSE)=0,"Spatial Data Missing ⚠",VLOOKUP(J202,'G-7 Rivers Data'!$AK$4:$AM$9,2,FALSE)))</f>
        <v/>
      </c>
      <c r="L202" s="524" t="str">
        <f>IF(J202="","",IF(VLOOKUP(J202,'G-7 Rivers Data'!$AK$4:$AM$9,3,FALSE)=0,"Spatial Data Missing ⚠",VLOOKUP(J202,'G-7 Rivers Data'!$AK$4:$AM$9,3,FALSE)))</f>
        <v/>
      </c>
      <c r="M202" s="71"/>
      <c r="N202" s="499" t="str">
        <f>IF(M202="","",IF(VLOOKUP(M202,'G-7 Rivers Data'!$AA$4:$AB$7,2,FALSE)=0,"Spatial Data Missing ⚠",VLOOKUP(M202,'G-7 Rivers Data'!$AA$4:$AB$7,2,FALSE)))</f>
        <v/>
      </c>
      <c r="O202" s="155"/>
      <c r="P202" s="499" t="str">
        <f>IF(O202="","",IF(VLOOKUP(O202,'G-7 Rivers Data'!$AD$4:$AE$8,2,FALSE)=0,"Spatial Data Missing ⚠",VLOOKUP(O202,'G-7 Rivers Data'!$AD$4:$AE$8,2,FALSE)))</f>
        <v/>
      </c>
      <c r="Q202" s="506" t="str">
        <f>IF(D202="","",VLOOKUP(D202,'G-7 Rivers Data'!$B$4:$G$8,6,FALSE))</f>
        <v/>
      </c>
      <c r="R202" s="513" t="str">
        <f t="shared" si="16"/>
        <v/>
      </c>
      <c r="S202" s="40"/>
      <c r="T202" s="145"/>
      <c r="U202" s="157"/>
      <c r="V202" s="511" t="str">
        <f t="shared" si="17"/>
        <v/>
      </c>
      <c r="W202" s="511" t="str">
        <f t="shared" si="18"/>
        <v/>
      </c>
      <c r="X202" s="511" t="str">
        <f t="shared" si="19"/>
        <v/>
      </c>
      <c r="Y202" s="515" t="str">
        <f t="shared" si="20"/>
        <v/>
      </c>
      <c r="Z202" s="151"/>
      <c r="AA202" s="152"/>
      <c r="AF202" s="31" t="str">
        <f>IFERROR(INDEX('G-7 Rivers Data'!$AZ$3:$AZ$7,MATCH(D202,'G-7 Rivers Data'!$AY$3:$AY$7,0)),"")</f>
        <v/>
      </c>
      <c r="AG202" s="31">
        <f t="shared" si="21"/>
        <v>0</v>
      </c>
      <c r="AH202" s="156" t="str">
        <f t="shared" si="22"/>
        <v/>
      </c>
      <c r="AI202" s="156" t="str">
        <f t="shared" si="23"/>
        <v/>
      </c>
      <c r="AK202" s="156">
        <v>193</v>
      </c>
      <c r="AM202" s="156" t="str">
        <f t="array" ref="AM202">IFERROR(INDEX($AK$10:$AK$258, MATCH(0, IF(TRUE=$AH$10:$AH$258, COUNTIF($AM$9:$AM201, $AK$10:$AK$258), ""), 0)),"")</f>
        <v/>
      </c>
      <c r="AN202" s="156" t="str">
        <f t="array" ref="AN202">IFERROR(INDEX($AK$10:$AK$258, MATCH(0, IF(TRUE=$AI$10:$AI$258, COUNTIF($AN$9:$AN201, $AK$10:$AK$258), ""), 0)),"")</f>
        <v/>
      </c>
    </row>
    <row r="203" spans="3:40" ht="14" x14ac:dyDescent="0.3">
      <c r="C203" s="141">
        <v>194</v>
      </c>
      <c r="D203" s="462"/>
      <c r="E203" s="153"/>
      <c r="F203" s="498" t="str">
        <f>IF(D203="","",VLOOKUP(D203,'G-7 Rivers Data'!$B$2:$G$8,2,FALSE))</f>
        <v/>
      </c>
      <c r="G203" s="499" t="str">
        <f>IFERROR(VLOOKUP(F203,'G-7 Rivers Data'!$C$4:$D$8,2,FALSE),"")</f>
        <v/>
      </c>
      <c r="H203" s="145"/>
      <c r="I203" s="499" t="str">
        <f>IFERROR(INDEX('G-7 Rivers Data'!$H$4:$L$8,MATCH(D203,'G-7 Rivers Data'!$B$4:$B$8,0),MATCH(H203,'G-7 Rivers Data'!$H$3:$L$3,0)),"")</f>
        <v/>
      </c>
      <c r="J203" s="154"/>
      <c r="K203" s="520" t="str">
        <f>IF(J203="","",IF(VLOOKUP(J203,'G-7 Rivers Data'!$AK$4:$AM$9,2,FALSE)=0,"Spatial Data Missing ⚠",VLOOKUP(J203,'G-7 Rivers Data'!$AK$4:$AM$9,2,FALSE)))</f>
        <v/>
      </c>
      <c r="L203" s="524" t="str">
        <f>IF(J203="","",IF(VLOOKUP(J203,'G-7 Rivers Data'!$AK$4:$AM$9,3,FALSE)=0,"Spatial Data Missing ⚠",VLOOKUP(J203,'G-7 Rivers Data'!$AK$4:$AM$9,3,FALSE)))</f>
        <v/>
      </c>
      <c r="M203" s="71"/>
      <c r="N203" s="499" t="str">
        <f>IF(M203="","",IF(VLOOKUP(M203,'G-7 Rivers Data'!$AA$4:$AB$7,2,FALSE)=0,"Spatial Data Missing ⚠",VLOOKUP(M203,'G-7 Rivers Data'!$AA$4:$AB$7,2,FALSE)))</f>
        <v/>
      </c>
      <c r="O203" s="155"/>
      <c r="P203" s="499" t="str">
        <f>IF(O203="","",IF(VLOOKUP(O203,'G-7 Rivers Data'!$AD$4:$AE$8,2,FALSE)=0,"Spatial Data Missing ⚠",VLOOKUP(O203,'G-7 Rivers Data'!$AD$4:$AE$8,2,FALSE)))</f>
        <v/>
      </c>
      <c r="Q203" s="506" t="str">
        <f>IF(D203="","",VLOOKUP(D203,'G-7 Rivers Data'!$B$4:$G$8,6,FALSE))</f>
        <v/>
      </c>
      <c r="R203" s="513" t="str">
        <f t="shared" ref="R203:R257" si="24">IFERROR(E203*G203*I203*L203*N203*P203,"")</f>
        <v/>
      </c>
      <c r="S203" s="40"/>
      <c r="T203" s="145"/>
      <c r="U203" s="157"/>
      <c r="V203" s="511" t="str">
        <f t="shared" ref="V203:V257" si="25">IFERROR(IF(T203&gt;E203,"Check Lengths",T203*G203*I203*L203*N203*P203),"")</f>
        <v/>
      </c>
      <c r="W203" s="511" t="str">
        <f t="shared" ref="W203:W257" si="26">IFERROR(IF(D203="","",U203*G203*I203*L203*N203*P203),"")</f>
        <v/>
      </c>
      <c r="X203" s="511" t="str">
        <f t="shared" ref="X203:X257" si="27">IFERROR(IF(D203="","",IF(E203&gt;(T203+U203),E203-T203-U203,0)),"")</f>
        <v/>
      </c>
      <c r="Y203" s="515" t="str">
        <f t="shared" ref="Y203:Y258" si="28">IFERROR(IF(E203="","",IF((V203+W203)&gt;R203,0,R203-V203-W203)),"Check Data ⚠")</f>
        <v/>
      </c>
      <c r="Z203" s="151"/>
      <c r="AA203" s="152"/>
      <c r="AF203" s="31" t="str">
        <f>IFERROR(INDEX('G-7 Rivers Data'!$AZ$3:$AZ$7,MATCH(D203,'G-7 Rivers Data'!$AY$3:$AY$7,0)),"")</f>
        <v/>
      </c>
      <c r="AG203" s="31">
        <f t="shared" ref="AG203:AG257" si="29">IFERROR(IF(T203+U203&gt;E203,1,0),"")</f>
        <v>0</v>
      </c>
      <c r="AH203" s="156" t="str">
        <f t="shared" ref="AH203:AH257" si="30">IF(D203="","",IF(T203&gt;0,TRUE,FALSE))</f>
        <v/>
      </c>
      <c r="AI203" s="156" t="str">
        <f t="shared" ref="AI203:AI257" si="31">IF(D203="","",IF(U203&gt;0,TRUE,FALSE))</f>
        <v/>
      </c>
      <c r="AK203" s="156">
        <v>194</v>
      </c>
      <c r="AM203" s="156" t="str">
        <f t="array" ref="AM203">IFERROR(INDEX($AK$10:$AK$258, MATCH(0, IF(TRUE=$AH$10:$AH$258, COUNTIF($AM$9:$AM202, $AK$10:$AK$258), ""), 0)),"")</f>
        <v/>
      </c>
      <c r="AN203" s="156" t="str">
        <f t="array" ref="AN203">IFERROR(INDEX($AK$10:$AK$258, MATCH(0, IF(TRUE=$AI$10:$AI$258, COUNTIF($AN$9:$AN202, $AK$10:$AK$258), ""), 0)),"")</f>
        <v/>
      </c>
    </row>
    <row r="204" spans="3:40" ht="14" x14ac:dyDescent="0.3">
      <c r="C204" s="141">
        <v>195</v>
      </c>
      <c r="D204" s="462"/>
      <c r="E204" s="153"/>
      <c r="F204" s="498" t="str">
        <f>IF(D204="","",VLOOKUP(D204,'G-7 Rivers Data'!$B$2:$G$8,2,FALSE))</f>
        <v/>
      </c>
      <c r="G204" s="499" t="str">
        <f>IFERROR(VLOOKUP(F204,'G-7 Rivers Data'!$C$4:$D$8,2,FALSE),"")</f>
        <v/>
      </c>
      <c r="H204" s="145"/>
      <c r="I204" s="499" t="str">
        <f>IFERROR(INDEX('G-7 Rivers Data'!$H$4:$L$8,MATCH(D204,'G-7 Rivers Data'!$B$4:$B$8,0),MATCH(H204,'G-7 Rivers Data'!$H$3:$L$3,0)),"")</f>
        <v/>
      </c>
      <c r="J204" s="154"/>
      <c r="K204" s="520" t="str">
        <f>IF(J204="","",IF(VLOOKUP(J204,'G-7 Rivers Data'!$AK$4:$AM$9,2,FALSE)=0,"Spatial Data Missing ⚠",VLOOKUP(J204,'G-7 Rivers Data'!$AK$4:$AM$9,2,FALSE)))</f>
        <v/>
      </c>
      <c r="L204" s="524" t="str">
        <f>IF(J204="","",IF(VLOOKUP(J204,'G-7 Rivers Data'!$AK$4:$AM$9,3,FALSE)=0,"Spatial Data Missing ⚠",VLOOKUP(J204,'G-7 Rivers Data'!$AK$4:$AM$9,3,FALSE)))</f>
        <v/>
      </c>
      <c r="M204" s="71"/>
      <c r="N204" s="499" t="str">
        <f>IF(M204="","",IF(VLOOKUP(M204,'G-7 Rivers Data'!$AA$4:$AB$7,2,FALSE)=0,"Spatial Data Missing ⚠",VLOOKUP(M204,'G-7 Rivers Data'!$AA$4:$AB$7,2,FALSE)))</f>
        <v/>
      </c>
      <c r="O204" s="155"/>
      <c r="P204" s="499" t="str">
        <f>IF(O204="","",IF(VLOOKUP(O204,'G-7 Rivers Data'!$AD$4:$AE$8,2,FALSE)=0,"Spatial Data Missing ⚠",VLOOKUP(O204,'G-7 Rivers Data'!$AD$4:$AE$8,2,FALSE)))</f>
        <v/>
      </c>
      <c r="Q204" s="506" t="str">
        <f>IF(D204="","",VLOOKUP(D204,'G-7 Rivers Data'!$B$4:$G$8,6,FALSE))</f>
        <v/>
      </c>
      <c r="R204" s="513" t="str">
        <f t="shared" si="24"/>
        <v/>
      </c>
      <c r="S204" s="40"/>
      <c r="T204" s="145"/>
      <c r="U204" s="157"/>
      <c r="V204" s="511" t="str">
        <f t="shared" si="25"/>
        <v/>
      </c>
      <c r="W204" s="511" t="str">
        <f t="shared" si="26"/>
        <v/>
      </c>
      <c r="X204" s="511" t="str">
        <f t="shared" si="27"/>
        <v/>
      </c>
      <c r="Y204" s="515" t="str">
        <f t="shared" si="28"/>
        <v/>
      </c>
      <c r="Z204" s="151"/>
      <c r="AA204" s="152"/>
      <c r="AF204" s="31" t="str">
        <f>IFERROR(INDEX('G-7 Rivers Data'!$AZ$3:$AZ$7,MATCH(D204,'G-7 Rivers Data'!$AY$3:$AY$7,0)),"")</f>
        <v/>
      </c>
      <c r="AG204" s="31">
        <f t="shared" si="29"/>
        <v>0</v>
      </c>
      <c r="AH204" s="156" t="str">
        <f t="shared" si="30"/>
        <v/>
      </c>
      <c r="AI204" s="156" t="str">
        <f t="shared" si="31"/>
        <v/>
      </c>
      <c r="AK204" s="156">
        <v>195</v>
      </c>
      <c r="AM204" s="156" t="str">
        <f t="array" ref="AM204">IFERROR(INDEX($AK$10:$AK$258, MATCH(0, IF(TRUE=$AH$10:$AH$258, COUNTIF($AM$9:$AM203, $AK$10:$AK$258), ""), 0)),"")</f>
        <v/>
      </c>
      <c r="AN204" s="156" t="str">
        <f t="array" ref="AN204">IFERROR(INDEX($AK$10:$AK$258, MATCH(0, IF(TRUE=$AI$10:$AI$258, COUNTIF($AN$9:$AN203, $AK$10:$AK$258), ""), 0)),"")</f>
        <v/>
      </c>
    </row>
    <row r="205" spans="3:40" ht="14" x14ac:dyDescent="0.3">
      <c r="C205" s="141">
        <v>196</v>
      </c>
      <c r="D205" s="462"/>
      <c r="E205" s="153"/>
      <c r="F205" s="498" t="str">
        <f>IF(D205="","",VLOOKUP(D205,'G-7 Rivers Data'!$B$2:$G$8,2,FALSE))</f>
        <v/>
      </c>
      <c r="G205" s="499" t="str">
        <f>IFERROR(VLOOKUP(F205,'G-7 Rivers Data'!$C$4:$D$8,2,FALSE),"")</f>
        <v/>
      </c>
      <c r="H205" s="145"/>
      <c r="I205" s="499" t="str">
        <f>IFERROR(INDEX('G-7 Rivers Data'!$H$4:$L$8,MATCH(D205,'G-7 Rivers Data'!$B$4:$B$8,0),MATCH(H205,'G-7 Rivers Data'!$H$3:$L$3,0)),"")</f>
        <v/>
      </c>
      <c r="J205" s="154"/>
      <c r="K205" s="520" t="str">
        <f>IF(J205="","",IF(VLOOKUP(J205,'G-7 Rivers Data'!$AK$4:$AM$9,2,FALSE)=0,"Spatial Data Missing ⚠",VLOOKUP(J205,'G-7 Rivers Data'!$AK$4:$AM$9,2,FALSE)))</f>
        <v/>
      </c>
      <c r="L205" s="524" t="str">
        <f>IF(J205="","",IF(VLOOKUP(J205,'G-7 Rivers Data'!$AK$4:$AM$9,3,FALSE)=0,"Spatial Data Missing ⚠",VLOOKUP(J205,'G-7 Rivers Data'!$AK$4:$AM$9,3,FALSE)))</f>
        <v/>
      </c>
      <c r="M205" s="71"/>
      <c r="N205" s="499" t="str">
        <f>IF(M205="","",IF(VLOOKUP(M205,'G-7 Rivers Data'!$AA$4:$AB$7,2,FALSE)=0,"Spatial Data Missing ⚠",VLOOKUP(M205,'G-7 Rivers Data'!$AA$4:$AB$7,2,FALSE)))</f>
        <v/>
      </c>
      <c r="O205" s="155"/>
      <c r="P205" s="499" t="str">
        <f>IF(O205="","",IF(VLOOKUP(O205,'G-7 Rivers Data'!$AD$4:$AE$8,2,FALSE)=0,"Spatial Data Missing ⚠",VLOOKUP(O205,'G-7 Rivers Data'!$AD$4:$AE$8,2,FALSE)))</f>
        <v/>
      </c>
      <c r="Q205" s="506" t="str">
        <f>IF(D205="","",VLOOKUP(D205,'G-7 Rivers Data'!$B$4:$G$8,6,FALSE))</f>
        <v/>
      </c>
      <c r="R205" s="513" t="str">
        <f t="shared" si="24"/>
        <v/>
      </c>
      <c r="S205" s="40"/>
      <c r="T205" s="145"/>
      <c r="U205" s="157"/>
      <c r="V205" s="511" t="str">
        <f t="shared" si="25"/>
        <v/>
      </c>
      <c r="W205" s="511" t="str">
        <f t="shared" si="26"/>
        <v/>
      </c>
      <c r="X205" s="511" t="str">
        <f t="shared" si="27"/>
        <v/>
      </c>
      <c r="Y205" s="515" t="str">
        <f t="shared" si="28"/>
        <v/>
      </c>
      <c r="Z205" s="151"/>
      <c r="AA205" s="152"/>
      <c r="AF205" s="31" t="str">
        <f>IFERROR(INDEX('G-7 Rivers Data'!$AZ$3:$AZ$7,MATCH(D205,'G-7 Rivers Data'!$AY$3:$AY$7,0)),"")</f>
        <v/>
      </c>
      <c r="AG205" s="31">
        <f t="shared" si="29"/>
        <v>0</v>
      </c>
      <c r="AH205" s="156" t="str">
        <f t="shared" si="30"/>
        <v/>
      </c>
      <c r="AI205" s="156" t="str">
        <f t="shared" si="31"/>
        <v/>
      </c>
      <c r="AK205" s="156">
        <v>196</v>
      </c>
      <c r="AM205" s="156" t="str">
        <f t="array" ref="AM205">IFERROR(INDEX($AK$10:$AK$258, MATCH(0, IF(TRUE=$AH$10:$AH$258, COUNTIF($AM$9:$AM204, $AK$10:$AK$258), ""), 0)),"")</f>
        <v/>
      </c>
      <c r="AN205" s="156" t="str">
        <f t="array" ref="AN205">IFERROR(INDEX($AK$10:$AK$258, MATCH(0, IF(TRUE=$AI$10:$AI$258, COUNTIF($AN$9:$AN204, $AK$10:$AK$258), ""), 0)),"")</f>
        <v/>
      </c>
    </row>
    <row r="206" spans="3:40" ht="14" x14ac:dyDescent="0.3">
      <c r="C206" s="141">
        <v>197</v>
      </c>
      <c r="D206" s="462"/>
      <c r="E206" s="153"/>
      <c r="F206" s="498" t="str">
        <f>IF(D206="","",VLOOKUP(D206,'G-7 Rivers Data'!$B$2:$G$8,2,FALSE))</f>
        <v/>
      </c>
      <c r="G206" s="499" t="str">
        <f>IFERROR(VLOOKUP(F206,'G-7 Rivers Data'!$C$4:$D$8,2,FALSE),"")</f>
        <v/>
      </c>
      <c r="H206" s="145"/>
      <c r="I206" s="499" t="str">
        <f>IFERROR(INDEX('G-7 Rivers Data'!$H$4:$L$8,MATCH(D206,'G-7 Rivers Data'!$B$4:$B$8,0),MATCH(H206,'G-7 Rivers Data'!$H$3:$L$3,0)),"")</f>
        <v/>
      </c>
      <c r="J206" s="154"/>
      <c r="K206" s="520" t="str">
        <f>IF(J206="","",IF(VLOOKUP(J206,'G-7 Rivers Data'!$AK$4:$AM$9,2,FALSE)=0,"Spatial Data Missing ⚠",VLOOKUP(J206,'G-7 Rivers Data'!$AK$4:$AM$9,2,FALSE)))</f>
        <v/>
      </c>
      <c r="L206" s="524" t="str">
        <f>IF(J206="","",IF(VLOOKUP(J206,'G-7 Rivers Data'!$AK$4:$AM$9,3,FALSE)=0,"Spatial Data Missing ⚠",VLOOKUP(J206,'G-7 Rivers Data'!$AK$4:$AM$9,3,FALSE)))</f>
        <v/>
      </c>
      <c r="M206" s="71"/>
      <c r="N206" s="499" t="str">
        <f>IF(M206="","",IF(VLOOKUP(M206,'G-7 Rivers Data'!$AA$4:$AB$7,2,FALSE)=0,"Spatial Data Missing ⚠",VLOOKUP(M206,'G-7 Rivers Data'!$AA$4:$AB$7,2,FALSE)))</f>
        <v/>
      </c>
      <c r="O206" s="155"/>
      <c r="P206" s="499" t="str">
        <f>IF(O206="","",IF(VLOOKUP(O206,'G-7 Rivers Data'!$AD$4:$AE$8,2,FALSE)=0,"Spatial Data Missing ⚠",VLOOKUP(O206,'G-7 Rivers Data'!$AD$4:$AE$8,2,FALSE)))</f>
        <v/>
      </c>
      <c r="Q206" s="506" t="str">
        <f>IF(D206="","",VLOOKUP(D206,'G-7 Rivers Data'!$B$4:$G$8,6,FALSE))</f>
        <v/>
      </c>
      <c r="R206" s="513" t="str">
        <f t="shared" si="24"/>
        <v/>
      </c>
      <c r="S206" s="40"/>
      <c r="T206" s="145"/>
      <c r="U206" s="157"/>
      <c r="V206" s="511" t="str">
        <f t="shared" si="25"/>
        <v/>
      </c>
      <c r="W206" s="511" t="str">
        <f t="shared" si="26"/>
        <v/>
      </c>
      <c r="X206" s="511" t="str">
        <f t="shared" si="27"/>
        <v/>
      </c>
      <c r="Y206" s="515" t="str">
        <f t="shared" si="28"/>
        <v/>
      </c>
      <c r="Z206" s="151"/>
      <c r="AA206" s="152"/>
      <c r="AF206" s="31" t="str">
        <f>IFERROR(INDEX('G-7 Rivers Data'!$AZ$3:$AZ$7,MATCH(D206,'G-7 Rivers Data'!$AY$3:$AY$7,0)),"")</f>
        <v/>
      </c>
      <c r="AG206" s="31">
        <f t="shared" si="29"/>
        <v>0</v>
      </c>
      <c r="AH206" s="156" t="str">
        <f t="shared" si="30"/>
        <v/>
      </c>
      <c r="AI206" s="156" t="str">
        <f t="shared" si="31"/>
        <v/>
      </c>
      <c r="AK206" s="156">
        <v>197</v>
      </c>
      <c r="AM206" s="156" t="str">
        <f t="array" ref="AM206">IFERROR(INDEX($AK$10:$AK$258, MATCH(0, IF(TRUE=$AH$10:$AH$258, COUNTIF($AM$9:$AM205, $AK$10:$AK$258), ""), 0)),"")</f>
        <v/>
      </c>
      <c r="AN206" s="156" t="str">
        <f t="array" ref="AN206">IFERROR(INDEX($AK$10:$AK$258, MATCH(0, IF(TRUE=$AI$10:$AI$258, COUNTIF($AN$9:$AN205, $AK$10:$AK$258), ""), 0)),"")</f>
        <v/>
      </c>
    </row>
    <row r="207" spans="3:40" ht="14" x14ac:dyDescent="0.3">
      <c r="C207" s="141">
        <v>198</v>
      </c>
      <c r="D207" s="462"/>
      <c r="E207" s="153"/>
      <c r="F207" s="498" t="str">
        <f>IF(D207="","",VLOOKUP(D207,'G-7 Rivers Data'!$B$2:$G$8,2,FALSE))</f>
        <v/>
      </c>
      <c r="G207" s="499" t="str">
        <f>IFERROR(VLOOKUP(F207,'G-7 Rivers Data'!$C$4:$D$8,2,FALSE),"")</f>
        <v/>
      </c>
      <c r="H207" s="145"/>
      <c r="I207" s="499" t="str">
        <f>IFERROR(INDEX('G-7 Rivers Data'!$H$4:$L$8,MATCH(D207,'G-7 Rivers Data'!$B$4:$B$8,0),MATCH(H207,'G-7 Rivers Data'!$H$3:$L$3,0)),"")</f>
        <v/>
      </c>
      <c r="J207" s="154"/>
      <c r="K207" s="520" t="str">
        <f>IF(J207="","",IF(VLOOKUP(J207,'G-7 Rivers Data'!$AK$4:$AM$9,2,FALSE)=0,"Spatial Data Missing ⚠",VLOOKUP(J207,'G-7 Rivers Data'!$AK$4:$AM$9,2,FALSE)))</f>
        <v/>
      </c>
      <c r="L207" s="524" t="str">
        <f>IF(J207="","",IF(VLOOKUP(J207,'G-7 Rivers Data'!$AK$4:$AM$9,3,FALSE)=0,"Spatial Data Missing ⚠",VLOOKUP(J207,'G-7 Rivers Data'!$AK$4:$AM$9,3,FALSE)))</f>
        <v/>
      </c>
      <c r="M207" s="71"/>
      <c r="N207" s="499" t="str">
        <f>IF(M207="","",IF(VLOOKUP(M207,'G-7 Rivers Data'!$AA$4:$AB$7,2,FALSE)=0,"Spatial Data Missing ⚠",VLOOKUP(M207,'G-7 Rivers Data'!$AA$4:$AB$7,2,FALSE)))</f>
        <v/>
      </c>
      <c r="O207" s="155"/>
      <c r="P207" s="499" t="str">
        <f>IF(O207="","",IF(VLOOKUP(O207,'G-7 Rivers Data'!$AD$4:$AE$8,2,FALSE)=0,"Spatial Data Missing ⚠",VLOOKUP(O207,'G-7 Rivers Data'!$AD$4:$AE$8,2,FALSE)))</f>
        <v/>
      </c>
      <c r="Q207" s="506" t="str">
        <f>IF(D207="","",VLOOKUP(D207,'G-7 Rivers Data'!$B$4:$G$8,6,FALSE))</f>
        <v/>
      </c>
      <c r="R207" s="513" t="str">
        <f t="shared" si="24"/>
        <v/>
      </c>
      <c r="S207" s="40"/>
      <c r="T207" s="145"/>
      <c r="U207" s="157"/>
      <c r="V207" s="511" t="str">
        <f t="shared" si="25"/>
        <v/>
      </c>
      <c r="W207" s="511" t="str">
        <f t="shared" si="26"/>
        <v/>
      </c>
      <c r="X207" s="511" t="str">
        <f t="shared" si="27"/>
        <v/>
      </c>
      <c r="Y207" s="515" t="str">
        <f t="shared" si="28"/>
        <v/>
      </c>
      <c r="Z207" s="151"/>
      <c r="AA207" s="152"/>
      <c r="AF207" s="31" t="str">
        <f>IFERROR(INDEX('G-7 Rivers Data'!$AZ$3:$AZ$7,MATCH(D207,'G-7 Rivers Data'!$AY$3:$AY$7,0)),"")</f>
        <v/>
      </c>
      <c r="AG207" s="31">
        <f t="shared" si="29"/>
        <v>0</v>
      </c>
      <c r="AH207" s="156" t="str">
        <f t="shared" si="30"/>
        <v/>
      </c>
      <c r="AI207" s="156" t="str">
        <f t="shared" si="31"/>
        <v/>
      </c>
      <c r="AK207" s="156">
        <v>198</v>
      </c>
      <c r="AM207" s="156" t="str">
        <f t="array" ref="AM207">IFERROR(INDEX($AK$10:$AK$258, MATCH(0, IF(TRUE=$AH$10:$AH$258, COUNTIF($AM$9:$AM206, $AK$10:$AK$258), ""), 0)),"")</f>
        <v/>
      </c>
      <c r="AN207" s="156" t="str">
        <f t="array" ref="AN207">IFERROR(INDEX($AK$10:$AK$258, MATCH(0, IF(TRUE=$AI$10:$AI$258, COUNTIF($AN$9:$AN206, $AK$10:$AK$258), ""), 0)),"")</f>
        <v/>
      </c>
    </row>
    <row r="208" spans="3:40" ht="14" x14ac:dyDescent="0.3">
      <c r="C208" s="141">
        <v>199</v>
      </c>
      <c r="D208" s="462"/>
      <c r="E208" s="153"/>
      <c r="F208" s="498" t="str">
        <f>IF(D208="","",VLOOKUP(D208,'G-7 Rivers Data'!$B$2:$G$8,2,FALSE))</f>
        <v/>
      </c>
      <c r="G208" s="499" t="str">
        <f>IFERROR(VLOOKUP(F208,'G-7 Rivers Data'!$C$4:$D$8,2,FALSE),"")</f>
        <v/>
      </c>
      <c r="H208" s="145"/>
      <c r="I208" s="499" t="str">
        <f>IFERROR(INDEX('G-7 Rivers Data'!$H$4:$L$8,MATCH(D208,'G-7 Rivers Data'!$B$4:$B$8,0),MATCH(H208,'G-7 Rivers Data'!$H$3:$L$3,0)),"")</f>
        <v/>
      </c>
      <c r="J208" s="154"/>
      <c r="K208" s="520" t="str">
        <f>IF(J208="","",IF(VLOOKUP(J208,'G-7 Rivers Data'!$AK$4:$AM$9,2,FALSE)=0,"Spatial Data Missing ⚠",VLOOKUP(J208,'G-7 Rivers Data'!$AK$4:$AM$9,2,FALSE)))</f>
        <v/>
      </c>
      <c r="L208" s="524" t="str">
        <f>IF(J208="","",IF(VLOOKUP(J208,'G-7 Rivers Data'!$AK$4:$AM$9,3,FALSE)=0,"Spatial Data Missing ⚠",VLOOKUP(J208,'G-7 Rivers Data'!$AK$4:$AM$9,3,FALSE)))</f>
        <v/>
      </c>
      <c r="M208" s="71"/>
      <c r="N208" s="499" t="str">
        <f>IF(M208="","",IF(VLOOKUP(M208,'G-7 Rivers Data'!$AA$4:$AB$7,2,FALSE)=0,"Spatial Data Missing ⚠",VLOOKUP(M208,'G-7 Rivers Data'!$AA$4:$AB$7,2,FALSE)))</f>
        <v/>
      </c>
      <c r="O208" s="155"/>
      <c r="P208" s="499" t="str">
        <f>IF(O208="","",IF(VLOOKUP(O208,'G-7 Rivers Data'!$AD$4:$AE$8,2,FALSE)=0,"Spatial Data Missing ⚠",VLOOKUP(O208,'G-7 Rivers Data'!$AD$4:$AE$8,2,FALSE)))</f>
        <v/>
      </c>
      <c r="Q208" s="506" t="str">
        <f>IF(D208="","",VLOOKUP(D208,'G-7 Rivers Data'!$B$4:$G$8,6,FALSE))</f>
        <v/>
      </c>
      <c r="R208" s="513" t="str">
        <f t="shared" si="24"/>
        <v/>
      </c>
      <c r="S208" s="40"/>
      <c r="T208" s="145"/>
      <c r="U208" s="157"/>
      <c r="V208" s="511" t="str">
        <f t="shared" si="25"/>
        <v/>
      </c>
      <c r="W208" s="511" t="str">
        <f t="shared" si="26"/>
        <v/>
      </c>
      <c r="X208" s="511" t="str">
        <f t="shared" si="27"/>
        <v/>
      </c>
      <c r="Y208" s="515" t="str">
        <f t="shared" si="28"/>
        <v/>
      </c>
      <c r="Z208" s="151"/>
      <c r="AA208" s="152"/>
      <c r="AF208" s="31" t="str">
        <f>IFERROR(INDEX('G-7 Rivers Data'!$AZ$3:$AZ$7,MATCH(D208,'G-7 Rivers Data'!$AY$3:$AY$7,0)),"")</f>
        <v/>
      </c>
      <c r="AG208" s="31">
        <f t="shared" si="29"/>
        <v>0</v>
      </c>
      <c r="AH208" s="156" t="str">
        <f t="shared" si="30"/>
        <v/>
      </c>
      <c r="AI208" s="156" t="str">
        <f t="shared" si="31"/>
        <v/>
      </c>
      <c r="AK208" s="156">
        <v>199</v>
      </c>
      <c r="AM208" s="156" t="str">
        <f t="array" ref="AM208">IFERROR(INDEX($AK$10:$AK$258, MATCH(0, IF(TRUE=$AH$10:$AH$258, COUNTIF($AM$9:$AM207, $AK$10:$AK$258), ""), 0)),"")</f>
        <v/>
      </c>
      <c r="AN208" s="156" t="str">
        <f t="array" ref="AN208">IFERROR(INDEX($AK$10:$AK$258, MATCH(0, IF(TRUE=$AI$10:$AI$258, COUNTIF($AN$9:$AN207, $AK$10:$AK$258), ""), 0)),"")</f>
        <v/>
      </c>
    </row>
    <row r="209" spans="3:40" ht="14" x14ac:dyDescent="0.3">
      <c r="C209" s="141">
        <v>200</v>
      </c>
      <c r="D209" s="462"/>
      <c r="E209" s="153"/>
      <c r="F209" s="498" t="str">
        <f>IF(D209="","",VLOOKUP(D209,'G-7 Rivers Data'!$B$2:$G$8,2,FALSE))</f>
        <v/>
      </c>
      <c r="G209" s="499" t="str">
        <f>IFERROR(VLOOKUP(F209,'G-7 Rivers Data'!$C$4:$D$8,2,FALSE),"")</f>
        <v/>
      </c>
      <c r="H209" s="145"/>
      <c r="I209" s="499" t="str">
        <f>IFERROR(INDEX('G-7 Rivers Data'!$H$4:$L$8,MATCH(D209,'G-7 Rivers Data'!$B$4:$B$8,0),MATCH(H209,'G-7 Rivers Data'!$H$3:$L$3,0)),"")</f>
        <v/>
      </c>
      <c r="J209" s="154"/>
      <c r="K209" s="520" t="str">
        <f>IF(J209="","",IF(VLOOKUP(J209,'G-7 Rivers Data'!$AK$4:$AM$9,2,FALSE)=0,"Spatial Data Missing ⚠",VLOOKUP(J209,'G-7 Rivers Data'!$AK$4:$AM$9,2,FALSE)))</f>
        <v/>
      </c>
      <c r="L209" s="524" t="str">
        <f>IF(J209="","",IF(VLOOKUP(J209,'G-7 Rivers Data'!$AK$4:$AM$9,3,FALSE)=0,"Spatial Data Missing ⚠",VLOOKUP(J209,'G-7 Rivers Data'!$AK$4:$AM$9,3,FALSE)))</f>
        <v/>
      </c>
      <c r="M209" s="71"/>
      <c r="N209" s="499" t="str">
        <f>IF(M209="","",IF(VLOOKUP(M209,'G-7 Rivers Data'!$AA$4:$AB$7,2,FALSE)=0,"Spatial Data Missing ⚠",VLOOKUP(M209,'G-7 Rivers Data'!$AA$4:$AB$7,2,FALSE)))</f>
        <v/>
      </c>
      <c r="O209" s="155"/>
      <c r="P209" s="499" t="str">
        <f>IF(O209="","",IF(VLOOKUP(O209,'G-7 Rivers Data'!$AD$4:$AE$8,2,FALSE)=0,"Spatial Data Missing ⚠",VLOOKUP(O209,'G-7 Rivers Data'!$AD$4:$AE$8,2,FALSE)))</f>
        <v/>
      </c>
      <c r="Q209" s="506" t="str">
        <f>IF(D209="","",VLOOKUP(D209,'G-7 Rivers Data'!$B$4:$G$8,6,FALSE))</f>
        <v/>
      </c>
      <c r="R209" s="513" t="str">
        <f t="shared" si="24"/>
        <v/>
      </c>
      <c r="S209" s="40"/>
      <c r="T209" s="145"/>
      <c r="U209" s="157"/>
      <c r="V209" s="511" t="str">
        <f t="shared" si="25"/>
        <v/>
      </c>
      <c r="W209" s="511" t="str">
        <f t="shared" si="26"/>
        <v/>
      </c>
      <c r="X209" s="511" t="str">
        <f t="shared" si="27"/>
        <v/>
      </c>
      <c r="Y209" s="515" t="str">
        <f t="shared" si="28"/>
        <v/>
      </c>
      <c r="Z209" s="151"/>
      <c r="AA209" s="152"/>
      <c r="AF209" s="31" t="str">
        <f>IFERROR(INDEX('G-7 Rivers Data'!$AZ$3:$AZ$7,MATCH(D209,'G-7 Rivers Data'!$AY$3:$AY$7,0)),"")</f>
        <v/>
      </c>
      <c r="AG209" s="31">
        <f t="shared" si="29"/>
        <v>0</v>
      </c>
      <c r="AH209" s="156" t="str">
        <f t="shared" si="30"/>
        <v/>
      </c>
      <c r="AI209" s="156" t="str">
        <f t="shared" si="31"/>
        <v/>
      </c>
      <c r="AK209" s="156">
        <v>200</v>
      </c>
      <c r="AM209" s="156" t="str">
        <f t="array" ref="AM209">IFERROR(INDEX($AK$10:$AK$258, MATCH(0, IF(TRUE=$AH$10:$AH$258, COUNTIF($AM$9:$AM208, $AK$10:$AK$258), ""), 0)),"")</f>
        <v/>
      </c>
      <c r="AN209" s="156" t="str">
        <f t="array" ref="AN209">IFERROR(INDEX($AK$10:$AK$258, MATCH(0, IF(TRUE=$AI$10:$AI$258, COUNTIF($AN$9:$AN208, $AK$10:$AK$258), ""), 0)),"")</f>
        <v/>
      </c>
    </row>
    <row r="210" spans="3:40" ht="14" x14ac:dyDescent="0.3">
      <c r="C210" s="141">
        <v>201</v>
      </c>
      <c r="D210" s="462"/>
      <c r="E210" s="153"/>
      <c r="F210" s="498" t="str">
        <f>IF(D210="","",VLOOKUP(D210,'G-7 Rivers Data'!$B$2:$G$8,2,FALSE))</f>
        <v/>
      </c>
      <c r="G210" s="499" t="str">
        <f>IFERROR(VLOOKUP(F210,'G-7 Rivers Data'!$C$4:$D$8,2,FALSE),"")</f>
        <v/>
      </c>
      <c r="H210" s="145"/>
      <c r="I210" s="499" t="str">
        <f>IFERROR(INDEX('G-7 Rivers Data'!$H$4:$L$8,MATCH(D210,'G-7 Rivers Data'!$B$4:$B$8,0),MATCH(H210,'G-7 Rivers Data'!$H$3:$L$3,0)),"")</f>
        <v/>
      </c>
      <c r="J210" s="154"/>
      <c r="K210" s="520" t="str">
        <f>IF(J210="","",IF(VLOOKUP(J210,'G-7 Rivers Data'!$AK$4:$AM$9,2,FALSE)=0,"Spatial Data Missing ⚠",VLOOKUP(J210,'G-7 Rivers Data'!$AK$4:$AM$9,2,FALSE)))</f>
        <v/>
      </c>
      <c r="L210" s="524" t="str">
        <f>IF(J210="","",IF(VLOOKUP(J210,'G-7 Rivers Data'!$AK$4:$AM$9,3,FALSE)=0,"Spatial Data Missing ⚠",VLOOKUP(J210,'G-7 Rivers Data'!$AK$4:$AM$9,3,FALSE)))</f>
        <v/>
      </c>
      <c r="M210" s="71"/>
      <c r="N210" s="499" t="str">
        <f>IF(M210="","",IF(VLOOKUP(M210,'G-7 Rivers Data'!$AA$4:$AB$7,2,FALSE)=0,"Spatial Data Missing ⚠",VLOOKUP(M210,'G-7 Rivers Data'!$AA$4:$AB$7,2,FALSE)))</f>
        <v/>
      </c>
      <c r="O210" s="155"/>
      <c r="P210" s="499" t="str">
        <f>IF(O210="","",IF(VLOOKUP(O210,'G-7 Rivers Data'!$AD$4:$AE$8,2,FALSE)=0,"Spatial Data Missing ⚠",VLOOKUP(O210,'G-7 Rivers Data'!$AD$4:$AE$8,2,FALSE)))</f>
        <v/>
      </c>
      <c r="Q210" s="506" t="str">
        <f>IF(D210="","",VLOOKUP(D210,'G-7 Rivers Data'!$B$4:$G$8,6,FALSE))</f>
        <v/>
      </c>
      <c r="R210" s="513" t="str">
        <f t="shared" si="24"/>
        <v/>
      </c>
      <c r="S210" s="40"/>
      <c r="T210" s="145"/>
      <c r="U210" s="157"/>
      <c r="V210" s="511" t="str">
        <f t="shared" si="25"/>
        <v/>
      </c>
      <c r="W210" s="511" t="str">
        <f t="shared" si="26"/>
        <v/>
      </c>
      <c r="X210" s="511" t="str">
        <f t="shared" si="27"/>
        <v/>
      </c>
      <c r="Y210" s="515" t="str">
        <f t="shared" si="28"/>
        <v/>
      </c>
      <c r="Z210" s="151"/>
      <c r="AA210" s="152"/>
      <c r="AF210" s="31" t="str">
        <f>IFERROR(INDEX('G-7 Rivers Data'!$AZ$3:$AZ$7,MATCH(D210,'G-7 Rivers Data'!$AY$3:$AY$7,0)),"")</f>
        <v/>
      </c>
      <c r="AG210" s="31">
        <f t="shared" si="29"/>
        <v>0</v>
      </c>
      <c r="AH210" s="156" t="str">
        <f t="shared" si="30"/>
        <v/>
      </c>
      <c r="AI210" s="156" t="str">
        <f t="shared" si="31"/>
        <v/>
      </c>
      <c r="AK210" s="156">
        <v>201</v>
      </c>
      <c r="AM210" s="156" t="str">
        <f t="array" ref="AM210">IFERROR(INDEX($AK$10:$AK$258, MATCH(0, IF(TRUE=$AH$10:$AH$258, COUNTIF($AM$9:$AM209, $AK$10:$AK$258), ""), 0)),"")</f>
        <v/>
      </c>
      <c r="AN210" s="156" t="str">
        <f t="array" ref="AN210">IFERROR(INDEX($AK$10:$AK$258, MATCH(0, IF(TRUE=$AI$10:$AI$258, COUNTIF($AN$9:$AN209, $AK$10:$AK$258), ""), 0)),"")</f>
        <v/>
      </c>
    </row>
    <row r="211" spans="3:40" ht="14" x14ac:dyDescent="0.3">
      <c r="C211" s="141">
        <v>202</v>
      </c>
      <c r="D211" s="462"/>
      <c r="E211" s="153"/>
      <c r="F211" s="498" t="str">
        <f>IF(D211="","",VLOOKUP(D211,'G-7 Rivers Data'!$B$2:$G$8,2,FALSE))</f>
        <v/>
      </c>
      <c r="G211" s="499" t="str">
        <f>IFERROR(VLOOKUP(F211,'G-7 Rivers Data'!$C$4:$D$8,2,FALSE),"")</f>
        <v/>
      </c>
      <c r="H211" s="145"/>
      <c r="I211" s="499" t="str">
        <f>IFERROR(INDEX('G-7 Rivers Data'!$H$4:$L$8,MATCH(D211,'G-7 Rivers Data'!$B$4:$B$8,0),MATCH(H211,'G-7 Rivers Data'!$H$3:$L$3,0)),"")</f>
        <v/>
      </c>
      <c r="J211" s="154"/>
      <c r="K211" s="520" t="str">
        <f>IF(J211="","",IF(VLOOKUP(J211,'G-7 Rivers Data'!$AK$4:$AM$9,2,FALSE)=0,"Spatial Data Missing ⚠",VLOOKUP(J211,'G-7 Rivers Data'!$AK$4:$AM$9,2,FALSE)))</f>
        <v/>
      </c>
      <c r="L211" s="524" t="str">
        <f>IF(J211="","",IF(VLOOKUP(J211,'G-7 Rivers Data'!$AK$4:$AM$9,3,FALSE)=0,"Spatial Data Missing ⚠",VLOOKUP(J211,'G-7 Rivers Data'!$AK$4:$AM$9,3,FALSE)))</f>
        <v/>
      </c>
      <c r="M211" s="71"/>
      <c r="N211" s="499" t="str">
        <f>IF(M211="","",IF(VLOOKUP(M211,'G-7 Rivers Data'!$AA$4:$AB$7,2,FALSE)=0,"Spatial Data Missing ⚠",VLOOKUP(M211,'G-7 Rivers Data'!$AA$4:$AB$7,2,FALSE)))</f>
        <v/>
      </c>
      <c r="O211" s="155"/>
      <c r="P211" s="499" t="str">
        <f>IF(O211="","",IF(VLOOKUP(O211,'G-7 Rivers Data'!$AD$4:$AE$8,2,FALSE)=0,"Spatial Data Missing ⚠",VLOOKUP(O211,'G-7 Rivers Data'!$AD$4:$AE$8,2,FALSE)))</f>
        <v/>
      </c>
      <c r="Q211" s="506" t="str">
        <f>IF(D211="","",VLOOKUP(D211,'G-7 Rivers Data'!$B$4:$G$8,6,FALSE))</f>
        <v/>
      </c>
      <c r="R211" s="513" t="str">
        <f t="shared" si="24"/>
        <v/>
      </c>
      <c r="S211" s="40"/>
      <c r="T211" s="145"/>
      <c r="U211" s="157"/>
      <c r="V211" s="511" t="str">
        <f t="shared" si="25"/>
        <v/>
      </c>
      <c r="W211" s="511" t="str">
        <f t="shared" si="26"/>
        <v/>
      </c>
      <c r="X211" s="511" t="str">
        <f t="shared" si="27"/>
        <v/>
      </c>
      <c r="Y211" s="515" t="str">
        <f t="shared" si="28"/>
        <v/>
      </c>
      <c r="Z211" s="151"/>
      <c r="AA211" s="152"/>
      <c r="AF211" s="31" t="str">
        <f>IFERROR(INDEX('G-7 Rivers Data'!$AZ$3:$AZ$7,MATCH(D211,'G-7 Rivers Data'!$AY$3:$AY$7,0)),"")</f>
        <v/>
      </c>
      <c r="AG211" s="31">
        <f t="shared" si="29"/>
        <v>0</v>
      </c>
      <c r="AH211" s="156" t="str">
        <f t="shared" si="30"/>
        <v/>
      </c>
      <c r="AI211" s="156" t="str">
        <f t="shared" si="31"/>
        <v/>
      </c>
      <c r="AK211" s="156">
        <v>202</v>
      </c>
      <c r="AM211" s="156" t="str">
        <f t="array" ref="AM211">IFERROR(INDEX($AK$10:$AK$258, MATCH(0, IF(TRUE=$AH$10:$AH$258, COUNTIF($AM$9:$AM210, $AK$10:$AK$258), ""), 0)),"")</f>
        <v/>
      </c>
      <c r="AN211" s="156" t="str">
        <f t="array" ref="AN211">IFERROR(INDEX($AK$10:$AK$258, MATCH(0, IF(TRUE=$AI$10:$AI$258, COUNTIF($AN$9:$AN210, $AK$10:$AK$258), ""), 0)),"")</f>
        <v/>
      </c>
    </row>
    <row r="212" spans="3:40" ht="14" x14ac:dyDescent="0.3">
      <c r="C212" s="141">
        <v>203</v>
      </c>
      <c r="D212" s="462"/>
      <c r="E212" s="153"/>
      <c r="F212" s="498" t="str">
        <f>IF(D212="","",VLOOKUP(D212,'G-7 Rivers Data'!$B$2:$G$8,2,FALSE))</f>
        <v/>
      </c>
      <c r="G212" s="499" t="str">
        <f>IFERROR(VLOOKUP(F212,'G-7 Rivers Data'!$C$4:$D$8,2,FALSE),"")</f>
        <v/>
      </c>
      <c r="H212" s="145"/>
      <c r="I212" s="499" t="str">
        <f>IFERROR(INDEX('G-7 Rivers Data'!$H$4:$L$8,MATCH(D212,'G-7 Rivers Data'!$B$4:$B$8,0),MATCH(H212,'G-7 Rivers Data'!$H$3:$L$3,0)),"")</f>
        <v/>
      </c>
      <c r="J212" s="154"/>
      <c r="K212" s="520" t="str">
        <f>IF(J212="","",IF(VLOOKUP(J212,'G-7 Rivers Data'!$AK$4:$AM$9,2,FALSE)=0,"Spatial Data Missing ⚠",VLOOKUP(J212,'G-7 Rivers Data'!$AK$4:$AM$9,2,FALSE)))</f>
        <v/>
      </c>
      <c r="L212" s="524" t="str">
        <f>IF(J212="","",IF(VLOOKUP(J212,'G-7 Rivers Data'!$AK$4:$AM$9,3,FALSE)=0,"Spatial Data Missing ⚠",VLOOKUP(J212,'G-7 Rivers Data'!$AK$4:$AM$9,3,FALSE)))</f>
        <v/>
      </c>
      <c r="M212" s="71"/>
      <c r="N212" s="499" t="str">
        <f>IF(M212="","",IF(VLOOKUP(M212,'G-7 Rivers Data'!$AA$4:$AB$7,2,FALSE)=0,"Spatial Data Missing ⚠",VLOOKUP(M212,'G-7 Rivers Data'!$AA$4:$AB$7,2,FALSE)))</f>
        <v/>
      </c>
      <c r="O212" s="155"/>
      <c r="P212" s="499" t="str">
        <f>IF(O212="","",IF(VLOOKUP(O212,'G-7 Rivers Data'!$AD$4:$AE$8,2,FALSE)=0,"Spatial Data Missing ⚠",VLOOKUP(O212,'G-7 Rivers Data'!$AD$4:$AE$8,2,FALSE)))</f>
        <v/>
      </c>
      <c r="Q212" s="506" t="str">
        <f>IF(D212="","",VLOOKUP(D212,'G-7 Rivers Data'!$B$4:$G$8,6,FALSE))</f>
        <v/>
      </c>
      <c r="R212" s="513" t="str">
        <f t="shared" si="24"/>
        <v/>
      </c>
      <c r="S212" s="40"/>
      <c r="T212" s="145"/>
      <c r="U212" s="157"/>
      <c r="V212" s="511" t="str">
        <f t="shared" si="25"/>
        <v/>
      </c>
      <c r="W212" s="511" t="str">
        <f t="shared" si="26"/>
        <v/>
      </c>
      <c r="X212" s="511" t="str">
        <f t="shared" si="27"/>
        <v/>
      </c>
      <c r="Y212" s="515" t="str">
        <f t="shared" si="28"/>
        <v/>
      </c>
      <c r="Z212" s="151"/>
      <c r="AA212" s="152"/>
      <c r="AF212" s="31" t="str">
        <f>IFERROR(INDEX('G-7 Rivers Data'!$AZ$3:$AZ$7,MATCH(D212,'G-7 Rivers Data'!$AY$3:$AY$7,0)),"")</f>
        <v/>
      </c>
      <c r="AG212" s="31">
        <f t="shared" si="29"/>
        <v>0</v>
      </c>
      <c r="AH212" s="156" t="str">
        <f t="shared" si="30"/>
        <v/>
      </c>
      <c r="AI212" s="156" t="str">
        <f t="shared" si="31"/>
        <v/>
      </c>
      <c r="AK212" s="156">
        <v>203</v>
      </c>
      <c r="AM212" s="156" t="str">
        <f t="array" ref="AM212">IFERROR(INDEX($AK$10:$AK$258, MATCH(0, IF(TRUE=$AH$10:$AH$258, COUNTIF($AM$9:$AM211, $AK$10:$AK$258), ""), 0)),"")</f>
        <v/>
      </c>
      <c r="AN212" s="156" t="str">
        <f t="array" ref="AN212">IFERROR(INDEX($AK$10:$AK$258, MATCH(0, IF(TRUE=$AI$10:$AI$258, COUNTIF($AN$9:$AN211, $AK$10:$AK$258), ""), 0)),"")</f>
        <v/>
      </c>
    </row>
    <row r="213" spans="3:40" ht="14" x14ac:dyDescent="0.3">
      <c r="C213" s="141">
        <v>204</v>
      </c>
      <c r="D213" s="462"/>
      <c r="E213" s="153"/>
      <c r="F213" s="498" t="str">
        <f>IF(D213="","",VLOOKUP(D213,'G-7 Rivers Data'!$B$2:$G$8,2,FALSE))</f>
        <v/>
      </c>
      <c r="G213" s="499" t="str">
        <f>IFERROR(VLOOKUP(F213,'G-7 Rivers Data'!$C$4:$D$8,2,FALSE),"")</f>
        <v/>
      </c>
      <c r="H213" s="145"/>
      <c r="I213" s="499" t="str">
        <f>IFERROR(INDEX('G-7 Rivers Data'!$H$4:$L$8,MATCH(D213,'G-7 Rivers Data'!$B$4:$B$8,0),MATCH(H213,'G-7 Rivers Data'!$H$3:$L$3,0)),"")</f>
        <v/>
      </c>
      <c r="J213" s="154"/>
      <c r="K213" s="520" t="str">
        <f>IF(J213="","",IF(VLOOKUP(J213,'G-7 Rivers Data'!$AK$4:$AM$9,2,FALSE)=0,"Spatial Data Missing ⚠",VLOOKUP(J213,'G-7 Rivers Data'!$AK$4:$AM$9,2,FALSE)))</f>
        <v/>
      </c>
      <c r="L213" s="524" t="str">
        <f>IF(J213="","",IF(VLOOKUP(J213,'G-7 Rivers Data'!$AK$4:$AM$9,3,FALSE)=0,"Spatial Data Missing ⚠",VLOOKUP(J213,'G-7 Rivers Data'!$AK$4:$AM$9,3,FALSE)))</f>
        <v/>
      </c>
      <c r="M213" s="71"/>
      <c r="N213" s="499" t="str">
        <f>IF(M213="","",IF(VLOOKUP(M213,'G-7 Rivers Data'!$AA$4:$AB$7,2,FALSE)=0,"Spatial Data Missing ⚠",VLOOKUP(M213,'G-7 Rivers Data'!$AA$4:$AB$7,2,FALSE)))</f>
        <v/>
      </c>
      <c r="O213" s="155"/>
      <c r="P213" s="499" t="str">
        <f>IF(O213="","",IF(VLOOKUP(O213,'G-7 Rivers Data'!$AD$4:$AE$8,2,FALSE)=0,"Spatial Data Missing ⚠",VLOOKUP(O213,'G-7 Rivers Data'!$AD$4:$AE$8,2,FALSE)))</f>
        <v/>
      </c>
      <c r="Q213" s="506" t="str">
        <f>IF(D213="","",VLOOKUP(D213,'G-7 Rivers Data'!$B$4:$G$8,6,FALSE))</f>
        <v/>
      </c>
      <c r="R213" s="513" t="str">
        <f t="shared" si="24"/>
        <v/>
      </c>
      <c r="S213" s="40"/>
      <c r="T213" s="145"/>
      <c r="U213" s="157"/>
      <c r="V213" s="511" t="str">
        <f t="shared" si="25"/>
        <v/>
      </c>
      <c r="W213" s="511" t="str">
        <f t="shared" si="26"/>
        <v/>
      </c>
      <c r="X213" s="511" t="str">
        <f t="shared" si="27"/>
        <v/>
      </c>
      <c r="Y213" s="515" t="str">
        <f t="shared" si="28"/>
        <v/>
      </c>
      <c r="Z213" s="151"/>
      <c r="AA213" s="152"/>
      <c r="AF213" s="31" t="str">
        <f>IFERROR(INDEX('G-7 Rivers Data'!$AZ$3:$AZ$7,MATCH(D213,'G-7 Rivers Data'!$AY$3:$AY$7,0)),"")</f>
        <v/>
      </c>
      <c r="AG213" s="31">
        <f t="shared" si="29"/>
        <v>0</v>
      </c>
      <c r="AH213" s="156" t="str">
        <f t="shared" si="30"/>
        <v/>
      </c>
      <c r="AI213" s="156" t="str">
        <f t="shared" si="31"/>
        <v/>
      </c>
      <c r="AK213" s="156">
        <v>204</v>
      </c>
      <c r="AM213" s="156" t="str">
        <f t="array" ref="AM213">IFERROR(INDEX($AK$10:$AK$258, MATCH(0, IF(TRUE=$AH$10:$AH$258, COUNTIF($AM$9:$AM212, $AK$10:$AK$258), ""), 0)),"")</f>
        <v/>
      </c>
      <c r="AN213" s="156" t="str">
        <f t="array" ref="AN213">IFERROR(INDEX($AK$10:$AK$258, MATCH(0, IF(TRUE=$AI$10:$AI$258, COUNTIF($AN$9:$AN212, $AK$10:$AK$258), ""), 0)),"")</f>
        <v/>
      </c>
    </row>
    <row r="214" spans="3:40" ht="14" x14ac:dyDescent="0.3">
      <c r="C214" s="141">
        <v>205</v>
      </c>
      <c r="D214" s="462"/>
      <c r="E214" s="153"/>
      <c r="F214" s="498" t="str">
        <f>IF(D214="","",VLOOKUP(D214,'G-7 Rivers Data'!$B$2:$G$8,2,FALSE))</f>
        <v/>
      </c>
      <c r="G214" s="499" t="str">
        <f>IFERROR(VLOOKUP(F214,'G-7 Rivers Data'!$C$4:$D$8,2,FALSE),"")</f>
        <v/>
      </c>
      <c r="H214" s="145"/>
      <c r="I214" s="499" t="str">
        <f>IFERROR(INDEX('G-7 Rivers Data'!$H$4:$L$8,MATCH(D214,'G-7 Rivers Data'!$B$4:$B$8,0),MATCH(H214,'G-7 Rivers Data'!$H$3:$L$3,0)),"")</f>
        <v/>
      </c>
      <c r="J214" s="154"/>
      <c r="K214" s="520" t="str">
        <f>IF(J214="","",IF(VLOOKUP(J214,'G-7 Rivers Data'!$AK$4:$AM$9,2,FALSE)=0,"Spatial Data Missing ⚠",VLOOKUP(J214,'G-7 Rivers Data'!$AK$4:$AM$9,2,FALSE)))</f>
        <v/>
      </c>
      <c r="L214" s="524" t="str">
        <f>IF(J214="","",IF(VLOOKUP(J214,'G-7 Rivers Data'!$AK$4:$AM$9,3,FALSE)=0,"Spatial Data Missing ⚠",VLOOKUP(J214,'G-7 Rivers Data'!$AK$4:$AM$9,3,FALSE)))</f>
        <v/>
      </c>
      <c r="M214" s="71"/>
      <c r="N214" s="499" t="str">
        <f>IF(M214="","",IF(VLOOKUP(M214,'G-7 Rivers Data'!$AA$4:$AB$7,2,FALSE)=0,"Spatial Data Missing ⚠",VLOOKUP(M214,'G-7 Rivers Data'!$AA$4:$AB$7,2,FALSE)))</f>
        <v/>
      </c>
      <c r="O214" s="155"/>
      <c r="P214" s="499" t="str">
        <f>IF(O214="","",IF(VLOOKUP(O214,'G-7 Rivers Data'!$AD$4:$AE$8,2,FALSE)=0,"Spatial Data Missing ⚠",VLOOKUP(O214,'G-7 Rivers Data'!$AD$4:$AE$8,2,FALSE)))</f>
        <v/>
      </c>
      <c r="Q214" s="506" t="str">
        <f>IF(D214="","",VLOOKUP(D214,'G-7 Rivers Data'!$B$4:$G$8,6,FALSE))</f>
        <v/>
      </c>
      <c r="R214" s="513" t="str">
        <f t="shared" si="24"/>
        <v/>
      </c>
      <c r="S214" s="40"/>
      <c r="T214" s="145"/>
      <c r="U214" s="157"/>
      <c r="V214" s="511" t="str">
        <f t="shared" si="25"/>
        <v/>
      </c>
      <c r="W214" s="511" t="str">
        <f t="shared" si="26"/>
        <v/>
      </c>
      <c r="X214" s="511" t="str">
        <f t="shared" si="27"/>
        <v/>
      </c>
      <c r="Y214" s="515" t="str">
        <f t="shared" si="28"/>
        <v/>
      </c>
      <c r="Z214" s="151"/>
      <c r="AA214" s="152"/>
      <c r="AF214" s="31" t="str">
        <f>IFERROR(INDEX('G-7 Rivers Data'!$AZ$3:$AZ$7,MATCH(D214,'G-7 Rivers Data'!$AY$3:$AY$7,0)),"")</f>
        <v/>
      </c>
      <c r="AG214" s="31">
        <f t="shared" si="29"/>
        <v>0</v>
      </c>
      <c r="AH214" s="156" t="str">
        <f t="shared" si="30"/>
        <v/>
      </c>
      <c r="AI214" s="156" t="str">
        <f t="shared" si="31"/>
        <v/>
      </c>
      <c r="AK214" s="156">
        <v>205</v>
      </c>
      <c r="AM214" s="156" t="str">
        <f t="array" ref="AM214">IFERROR(INDEX($AK$10:$AK$258, MATCH(0, IF(TRUE=$AH$10:$AH$258, COUNTIF($AM$9:$AM213, $AK$10:$AK$258), ""), 0)),"")</f>
        <v/>
      </c>
      <c r="AN214" s="156" t="str">
        <f t="array" ref="AN214">IFERROR(INDEX($AK$10:$AK$258, MATCH(0, IF(TRUE=$AI$10:$AI$258, COUNTIF($AN$9:$AN213, $AK$10:$AK$258), ""), 0)),"")</f>
        <v/>
      </c>
    </row>
    <row r="215" spans="3:40" ht="14" x14ac:dyDescent="0.3">
      <c r="C215" s="141">
        <v>206</v>
      </c>
      <c r="D215" s="462"/>
      <c r="E215" s="153"/>
      <c r="F215" s="498" t="str">
        <f>IF(D215="","",VLOOKUP(D215,'G-7 Rivers Data'!$B$2:$G$8,2,FALSE))</f>
        <v/>
      </c>
      <c r="G215" s="499" t="str">
        <f>IFERROR(VLOOKUP(F215,'G-7 Rivers Data'!$C$4:$D$8,2,FALSE),"")</f>
        <v/>
      </c>
      <c r="H215" s="145"/>
      <c r="I215" s="499" t="str">
        <f>IFERROR(INDEX('G-7 Rivers Data'!$H$4:$L$8,MATCH(D215,'G-7 Rivers Data'!$B$4:$B$8,0),MATCH(H215,'G-7 Rivers Data'!$H$3:$L$3,0)),"")</f>
        <v/>
      </c>
      <c r="J215" s="154"/>
      <c r="K215" s="520" t="str">
        <f>IF(J215="","",IF(VLOOKUP(J215,'G-7 Rivers Data'!$AK$4:$AM$9,2,FALSE)=0,"Spatial Data Missing ⚠",VLOOKUP(J215,'G-7 Rivers Data'!$AK$4:$AM$9,2,FALSE)))</f>
        <v/>
      </c>
      <c r="L215" s="524" t="str">
        <f>IF(J215="","",IF(VLOOKUP(J215,'G-7 Rivers Data'!$AK$4:$AM$9,3,FALSE)=0,"Spatial Data Missing ⚠",VLOOKUP(J215,'G-7 Rivers Data'!$AK$4:$AM$9,3,FALSE)))</f>
        <v/>
      </c>
      <c r="M215" s="71"/>
      <c r="N215" s="499" t="str">
        <f>IF(M215="","",IF(VLOOKUP(M215,'G-7 Rivers Data'!$AA$4:$AB$7,2,FALSE)=0,"Spatial Data Missing ⚠",VLOOKUP(M215,'G-7 Rivers Data'!$AA$4:$AB$7,2,FALSE)))</f>
        <v/>
      </c>
      <c r="O215" s="155"/>
      <c r="P215" s="499" t="str">
        <f>IF(O215="","",IF(VLOOKUP(O215,'G-7 Rivers Data'!$AD$4:$AE$8,2,FALSE)=0,"Spatial Data Missing ⚠",VLOOKUP(O215,'G-7 Rivers Data'!$AD$4:$AE$8,2,FALSE)))</f>
        <v/>
      </c>
      <c r="Q215" s="506" t="str">
        <f>IF(D215="","",VLOOKUP(D215,'G-7 Rivers Data'!$B$4:$G$8,6,FALSE))</f>
        <v/>
      </c>
      <c r="R215" s="513" t="str">
        <f t="shared" si="24"/>
        <v/>
      </c>
      <c r="S215" s="40"/>
      <c r="T215" s="145"/>
      <c r="U215" s="157"/>
      <c r="V215" s="511" t="str">
        <f t="shared" si="25"/>
        <v/>
      </c>
      <c r="W215" s="511" t="str">
        <f t="shared" si="26"/>
        <v/>
      </c>
      <c r="X215" s="511" t="str">
        <f t="shared" si="27"/>
        <v/>
      </c>
      <c r="Y215" s="515" t="str">
        <f t="shared" si="28"/>
        <v/>
      </c>
      <c r="Z215" s="151"/>
      <c r="AA215" s="152"/>
      <c r="AF215" s="31" t="str">
        <f>IFERROR(INDEX('G-7 Rivers Data'!$AZ$3:$AZ$7,MATCH(D215,'G-7 Rivers Data'!$AY$3:$AY$7,0)),"")</f>
        <v/>
      </c>
      <c r="AG215" s="31">
        <f t="shared" si="29"/>
        <v>0</v>
      </c>
      <c r="AH215" s="156" t="str">
        <f t="shared" si="30"/>
        <v/>
      </c>
      <c r="AI215" s="156" t="str">
        <f t="shared" si="31"/>
        <v/>
      </c>
      <c r="AK215" s="156">
        <v>206</v>
      </c>
      <c r="AM215" s="156" t="str">
        <f t="array" ref="AM215">IFERROR(INDEX($AK$10:$AK$258, MATCH(0, IF(TRUE=$AH$10:$AH$258, COUNTIF($AM$9:$AM214, $AK$10:$AK$258), ""), 0)),"")</f>
        <v/>
      </c>
      <c r="AN215" s="156" t="str">
        <f t="array" ref="AN215">IFERROR(INDEX($AK$10:$AK$258, MATCH(0, IF(TRUE=$AI$10:$AI$258, COUNTIF($AN$9:$AN214, $AK$10:$AK$258), ""), 0)),"")</f>
        <v/>
      </c>
    </row>
    <row r="216" spans="3:40" ht="14" x14ac:dyDescent="0.3">
      <c r="C216" s="141">
        <v>207</v>
      </c>
      <c r="D216" s="462"/>
      <c r="E216" s="153"/>
      <c r="F216" s="498" t="str">
        <f>IF(D216="","",VLOOKUP(D216,'G-7 Rivers Data'!$B$2:$G$8,2,FALSE))</f>
        <v/>
      </c>
      <c r="G216" s="499" t="str">
        <f>IFERROR(VLOOKUP(F216,'G-7 Rivers Data'!$C$4:$D$8,2,FALSE),"")</f>
        <v/>
      </c>
      <c r="H216" s="145"/>
      <c r="I216" s="499" t="str">
        <f>IFERROR(INDEX('G-7 Rivers Data'!$H$4:$L$8,MATCH(D216,'G-7 Rivers Data'!$B$4:$B$8,0),MATCH(H216,'G-7 Rivers Data'!$H$3:$L$3,0)),"")</f>
        <v/>
      </c>
      <c r="J216" s="154"/>
      <c r="K216" s="520" t="str">
        <f>IF(J216="","",IF(VLOOKUP(J216,'G-7 Rivers Data'!$AK$4:$AM$9,2,FALSE)=0,"Spatial Data Missing ⚠",VLOOKUP(J216,'G-7 Rivers Data'!$AK$4:$AM$9,2,FALSE)))</f>
        <v/>
      </c>
      <c r="L216" s="524" t="str">
        <f>IF(J216="","",IF(VLOOKUP(J216,'G-7 Rivers Data'!$AK$4:$AM$9,3,FALSE)=0,"Spatial Data Missing ⚠",VLOOKUP(J216,'G-7 Rivers Data'!$AK$4:$AM$9,3,FALSE)))</f>
        <v/>
      </c>
      <c r="M216" s="71"/>
      <c r="N216" s="499" t="str">
        <f>IF(M216="","",IF(VLOOKUP(M216,'G-7 Rivers Data'!$AA$4:$AB$7,2,FALSE)=0,"Spatial Data Missing ⚠",VLOOKUP(M216,'G-7 Rivers Data'!$AA$4:$AB$7,2,FALSE)))</f>
        <v/>
      </c>
      <c r="O216" s="155"/>
      <c r="P216" s="499" t="str">
        <f>IF(O216="","",IF(VLOOKUP(O216,'G-7 Rivers Data'!$AD$4:$AE$8,2,FALSE)=0,"Spatial Data Missing ⚠",VLOOKUP(O216,'G-7 Rivers Data'!$AD$4:$AE$8,2,FALSE)))</f>
        <v/>
      </c>
      <c r="Q216" s="506" t="str">
        <f>IF(D216="","",VLOOKUP(D216,'G-7 Rivers Data'!$B$4:$G$8,6,FALSE))</f>
        <v/>
      </c>
      <c r="R216" s="513" t="str">
        <f t="shared" si="24"/>
        <v/>
      </c>
      <c r="S216" s="40"/>
      <c r="T216" s="145"/>
      <c r="U216" s="157"/>
      <c r="V216" s="511" t="str">
        <f t="shared" si="25"/>
        <v/>
      </c>
      <c r="W216" s="511" t="str">
        <f t="shared" si="26"/>
        <v/>
      </c>
      <c r="X216" s="511" t="str">
        <f t="shared" si="27"/>
        <v/>
      </c>
      <c r="Y216" s="515" t="str">
        <f t="shared" si="28"/>
        <v/>
      </c>
      <c r="Z216" s="151"/>
      <c r="AA216" s="152"/>
      <c r="AF216" s="31" t="str">
        <f>IFERROR(INDEX('G-7 Rivers Data'!$AZ$3:$AZ$7,MATCH(D216,'G-7 Rivers Data'!$AY$3:$AY$7,0)),"")</f>
        <v/>
      </c>
      <c r="AG216" s="31">
        <f t="shared" si="29"/>
        <v>0</v>
      </c>
      <c r="AH216" s="156" t="str">
        <f t="shared" si="30"/>
        <v/>
      </c>
      <c r="AI216" s="156" t="str">
        <f t="shared" si="31"/>
        <v/>
      </c>
      <c r="AK216" s="156">
        <v>207</v>
      </c>
      <c r="AM216" s="156" t="str">
        <f t="array" ref="AM216">IFERROR(INDEX($AK$10:$AK$258, MATCH(0, IF(TRUE=$AH$10:$AH$258, COUNTIF($AM$9:$AM215, $AK$10:$AK$258), ""), 0)),"")</f>
        <v/>
      </c>
      <c r="AN216" s="156" t="str">
        <f t="array" ref="AN216">IFERROR(INDEX($AK$10:$AK$258, MATCH(0, IF(TRUE=$AI$10:$AI$258, COUNTIF($AN$9:$AN215, $AK$10:$AK$258), ""), 0)),"")</f>
        <v/>
      </c>
    </row>
    <row r="217" spans="3:40" ht="14" x14ac:dyDescent="0.3">
      <c r="C217" s="141">
        <v>208</v>
      </c>
      <c r="D217" s="462"/>
      <c r="E217" s="153"/>
      <c r="F217" s="498" t="str">
        <f>IF(D217="","",VLOOKUP(D217,'G-7 Rivers Data'!$B$2:$G$8,2,FALSE))</f>
        <v/>
      </c>
      <c r="G217" s="499" t="str">
        <f>IFERROR(VLOOKUP(F217,'G-7 Rivers Data'!$C$4:$D$8,2,FALSE),"")</f>
        <v/>
      </c>
      <c r="H217" s="145"/>
      <c r="I217" s="499" t="str">
        <f>IFERROR(INDEX('G-7 Rivers Data'!$H$4:$L$8,MATCH(D217,'G-7 Rivers Data'!$B$4:$B$8,0),MATCH(H217,'G-7 Rivers Data'!$H$3:$L$3,0)),"")</f>
        <v/>
      </c>
      <c r="J217" s="154"/>
      <c r="K217" s="520" t="str">
        <f>IF(J217="","",IF(VLOOKUP(J217,'G-7 Rivers Data'!$AK$4:$AM$9,2,FALSE)=0,"Spatial Data Missing ⚠",VLOOKUP(J217,'G-7 Rivers Data'!$AK$4:$AM$9,2,FALSE)))</f>
        <v/>
      </c>
      <c r="L217" s="524" t="str">
        <f>IF(J217="","",IF(VLOOKUP(J217,'G-7 Rivers Data'!$AK$4:$AM$9,3,FALSE)=0,"Spatial Data Missing ⚠",VLOOKUP(J217,'G-7 Rivers Data'!$AK$4:$AM$9,3,FALSE)))</f>
        <v/>
      </c>
      <c r="M217" s="71"/>
      <c r="N217" s="499" t="str">
        <f>IF(M217="","",IF(VLOOKUP(M217,'G-7 Rivers Data'!$AA$4:$AB$7,2,FALSE)=0,"Spatial Data Missing ⚠",VLOOKUP(M217,'G-7 Rivers Data'!$AA$4:$AB$7,2,FALSE)))</f>
        <v/>
      </c>
      <c r="O217" s="155"/>
      <c r="P217" s="499" t="str">
        <f>IF(O217="","",IF(VLOOKUP(O217,'G-7 Rivers Data'!$AD$4:$AE$8,2,FALSE)=0,"Spatial Data Missing ⚠",VLOOKUP(O217,'G-7 Rivers Data'!$AD$4:$AE$8,2,FALSE)))</f>
        <v/>
      </c>
      <c r="Q217" s="506" t="str">
        <f>IF(D217="","",VLOOKUP(D217,'G-7 Rivers Data'!$B$4:$G$8,6,FALSE))</f>
        <v/>
      </c>
      <c r="R217" s="513" t="str">
        <f t="shared" si="24"/>
        <v/>
      </c>
      <c r="S217" s="40"/>
      <c r="T217" s="145"/>
      <c r="U217" s="157"/>
      <c r="V217" s="511" t="str">
        <f t="shared" si="25"/>
        <v/>
      </c>
      <c r="W217" s="511" t="str">
        <f t="shared" si="26"/>
        <v/>
      </c>
      <c r="X217" s="511" t="str">
        <f t="shared" si="27"/>
        <v/>
      </c>
      <c r="Y217" s="515" t="str">
        <f t="shared" si="28"/>
        <v/>
      </c>
      <c r="Z217" s="151"/>
      <c r="AA217" s="152"/>
      <c r="AF217" s="31" t="str">
        <f>IFERROR(INDEX('G-7 Rivers Data'!$AZ$3:$AZ$7,MATCH(D217,'G-7 Rivers Data'!$AY$3:$AY$7,0)),"")</f>
        <v/>
      </c>
      <c r="AG217" s="31">
        <f t="shared" si="29"/>
        <v>0</v>
      </c>
      <c r="AH217" s="156" t="str">
        <f t="shared" si="30"/>
        <v/>
      </c>
      <c r="AI217" s="156" t="str">
        <f t="shared" si="31"/>
        <v/>
      </c>
      <c r="AK217" s="156">
        <v>208</v>
      </c>
      <c r="AM217" s="156" t="str">
        <f t="array" ref="AM217">IFERROR(INDEX($AK$10:$AK$258, MATCH(0, IF(TRUE=$AH$10:$AH$258, COUNTIF($AM$9:$AM216, $AK$10:$AK$258), ""), 0)),"")</f>
        <v/>
      </c>
      <c r="AN217" s="156" t="str">
        <f t="array" ref="AN217">IFERROR(INDEX($AK$10:$AK$258, MATCH(0, IF(TRUE=$AI$10:$AI$258, COUNTIF($AN$9:$AN216, $AK$10:$AK$258), ""), 0)),"")</f>
        <v/>
      </c>
    </row>
    <row r="218" spans="3:40" ht="14" x14ac:dyDescent="0.3">
      <c r="C218" s="141">
        <v>209</v>
      </c>
      <c r="D218" s="462"/>
      <c r="E218" s="153"/>
      <c r="F218" s="498" t="str">
        <f>IF(D218="","",VLOOKUP(D218,'G-7 Rivers Data'!$B$2:$G$8,2,FALSE))</f>
        <v/>
      </c>
      <c r="G218" s="499" t="str">
        <f>IFERROR(VLOOKUP(F218,'G-7 Rivers Data'!$C$4:$D$8,2,FALSE),"")</f>
        <v/>
      </c>
      <c r="H218" s="145"/>
      <c r="I218" s="499" t="str">
        <f>IFERROR(INDEX('G-7 Rivers Data'!$H$4:$L$8,MATCH(D218,'G-7 Rivers Data'!$B$4:$B$8,0),MATCH(H218,'G-7 Rivers Data'!$H$3:$L$3,0)),"")</f>
        <v/>
      </c>
      <c r="J218" s="154"/>
      <c r="K218" s="520" t="str">
        <f>IF(J218="","",IF(VLOOKUP(J218,'G-7 Rivers Data'!$AK$4:$AM$9,2,FALSE)=0,"Spatial Data Missing ⚠",VLOOKUP(J218,'G-7 Rivers Data'!$AK$4:$AM$9,2,FALSE)))</f>
        <v/>
      </c>
      <c r="L218" s="524" t="str">
        <f>IF(J218="","",IF(VLOOKUP(J218,'G-7 Rivers Data'!$AK$4:$AM$9,3,FALSE)=0,"Spatial Data Missing ⚠",VLOOKUP(J218,'G-7 Rivers Data'!$AK$4:$AM$9,3,FALSE)))</f>
        <v/>
      </c>
      <c r="M218" s="71"/>
      <c r="N218" s="499" t="str">
        <f>IF(M218="","",IF(VLOOKUP(M218,'G-7 Rivers Data'!$AA$4:$AB$7,2,FALSE)=0,"Spatial Data Missing ⚠",VLOOKUP(M218,'G-7 Rivers Data'!$AA$4:$AB$7,2,FALSE)))</f>
        <v/>
      </c>
      <c r="O218" s="155"/>
      <c r="P218" s="499" t="str">
        <f>IF(O218="","",IF(VLOOKUP(O218,'G-7 Rivers Data'!$AD$4:$AE$8,2,FALSE)=0,"Spatial Data Missing ⚠",VLOOKUP(O218,'G-7 Rivers Data'!$AD$4:$AE$8,2,FALSE)))</f>
        <v/>
      </c>
      <c r="Q218" s="506" t="str">
        <f>IF(D218="","",VLOOKUP(D218,'G-7 Rivers Data'!$B$4:$G$8,6,FALSE))</f>
        <v/>
      </c>
      <c r="R218" s="513" t="str">
        <f t="shared" si="24"/>
        <v/>
      </c>
      <c r="S218" s="40"/>
      <c r="T218" s="145"/>
      <c r="U218" s="157"/>
      <c r="V218" s="511" t="str">
        <f t="shared" si="25"/>
        <v/>
      </c>
      <c r="W218" s="511" t="str">
        <f t="shared" si="26"/>
        <v/>
      </c>
      <c r="X218" s="511" t="str">
        <f t="shared" si="27"/>
        <v/>
      </c>
      <c r="Y218" s="515" t="str">
        <f t="shared" si="28"/>
        <v/>
      </c>
      <c r="Z218" s="151"/>
      <c r="AA218" s="152"/>
      <c r="AF218" s="31" t="str">
        <f>IFERROR(INDEX('G-7 Rivers Data'!$AZ$3:$AZ$7,MATCH(D218,'G-7 Rivers Data'!$AY$3:$AY$7,0)),"")</f>
        <v/>
      </c>
      <c r="AG218" s="31">
        <f t="shared" si="29"/>
        <v>0</v>
      </c>
      <c r="AH218" s="156" t="str">
        <f t="shared" si="30"/>
        <v/>
      </c>
      <c r="AI218" s="156" t="str">
        <f t="shared" si="31"/>
        <v/>
      </c>
      <c r="AK218" s="156">
        <v>209</v>
      </c>
      <c r="AM218" s="156" t="str">
        <f t="array" ref="AM218">IFERROR(INDEX($AK$10:$AK$258, MATCH(0, IF(TRUE=$AH$10:$AH$258, COUNTIF($AM$9:$AM217, $AK$10:$AK$258), ""), 0)),"")</f>
        <v/>
      </c>
      <c r="AN218" s="156" t="str">
        <f t="array" ref="AN218">IFERROR(INDEX($AK$10:$AK$258, MATCH(0, IF(TRUE=$AI$10:$AI$258, COUNTIF($AN$9:$AN217, $AK$10:$AK$258), ""), 0)),"")</f>
        <v/>
      </c>
    </row>
    <row r="219" spans="3:40" ht="14" x14ac:dyDescent="0.3">
      <c r="C219" s="141">
        <v>210</v>
      </c>
      <c r="D219" s="462"/>
      <c r="E219" s="153"/>
      <c r="F219" s="498" t="str">
        <f>IF(D219="","",VLOOKUP(D219,'G-7 Rivers Data'!$B$2:$G$8,2,FALSE))</f>
        <v/>
      </c>
      <c r="G219" s="499" t="str">
        <f>IFERROR(VLOOKUP(F219,'G-7 Rivers Data'!$C$4:$D$8,2,FALSE),"")</f>
        <v/>
      </c>
      <c r="H219" s="145"/>
      <c r="I219" s="499" t="str">
        <f>IFERROR(INDEX('G-7 Rivers Data'!$H$4:$L$8,MATCH(D219,'G-7 Rivers Data'!$B$4:$B$8,0),MATCH(H219,'G-7 Rivers Data'!$H$3:$L$3,0)),"")</f>
        <v/>
      </c>
      <c r="J219" s="154"/>
      <c r="K219" s="520" t="str">
        <f>IF(J219="","",IF(VLOOKUP(J219,'G-7 Rivers Data'!$AK$4:$AM$9,2,FALSE)=0,"Spatial Data Missing ⚠",VLOOKUP(J219,'G-7 Rivers Data'!$AK$4:$AM$9,2,FALSE)))</f>
        <v/>
      </c>
      <c r="L219" s="524" t="str">
        <f>IF(J219="","",IF(VLOOKUP(J219,'G-7 Rivers Data'!$AK$4:$AM$9,3,FALSE)=0,"Spatial Data Missing ⚠",VLOOKUP(J219,'G-7 Rivers Data'!$AK$4:$AM$9,3,FALSE)))</f>
        <v/>
      </c>
      <c r="M219" s="71"/>
      <c r="N219" s="499" t="str">
        <f>IF(M219="","",IF(VLOOKUP(M219,'G-7 Rivers Data'!$AA$4:$AB$7,2,FALSE)=0,"Spatial Data Missing ⚠",VLOOKUP(M219,'G-7 Rivers Data'!$AA$4:$AB$7,2,FALSE)))</f>
        <v/>
      </c>
      <c r="O219" s="155"/>
      <c r="P219" s="499" t="str">
        <f>IF(O219="","",IF(VLOOKUP(O219,'G-7 Rivers Data'!$AD$4:$AE$8,2,FALSE)=0,"Spatial Data Missing ⚠",VLOOKUP(O219,'G-7 Rivers Data'!$AD$4:$AE$8,2,FALSE)))</f>
        <v/>
      </c>
      <c r="Q219" s="506" t="str">
        <f>IF(D219="","",VLOOKUP(D219,'G-7 Rivers Data'!$B$4:$G$8,6,FALSE))</f>
        <v/>
      </c>
      <c r="R219" s="513" t="str">
        <f t="shared" si="24"/>
        <v/>
      </c>
      <c r="S219" s="40"/>
      <c r="T219" s="145"/>
      <c r="U219" s="157"/>
      <c r="V219" s="511" t="str">
        <f t="shared" si="25"/>
        <v/>
      </c>
      <c r="W219" s="511" t="str">
        <f t="shared" si="26"/>
        <v/>
      </c>
      <c r="X219" s="511" t="str">
        <f t="shared" si="27"/>
        <v/>
      </c>
      <c r="Y219" s="515" t="str">
        <f t="shared" si="28"/>
        <v/>
      </c>
      <c r="Z219" s="151"/>
      <c r="AA219" s="152"/>
      <c r="AF219" s="31" t="str">
        <f>IFERROR(INDEX('G-7 Rivers Data'!$AZ$3:$AZ$7,MATCH(D219,'G-7 Rivers Data'!$AY$3:$AY$7,0)),"")</f>
        <v/>
      </c>
      <c r="AG219" s="31">
        <f t="shared" si="29"/>
        <v>0</v>
      </c>
      <c r="AH219" s="156" t="str">
        <f t="shared" si="30"/>
        <v/>
      </c>
      <c r="AI219" s="156" t="str">
        <f t="shared" si="31"/>
        <v/>
      </c>
      <c r="AK219" s="156">
        <v>210</v>
      </c>
      <c r="AM219" s="156" t="str">
        <f t="array" ref="AM219">IFERROR(INDEX($AK$10:$AK$258, MATCH(0, IF(TRUE=$AH$10:$AH$258, COUNTIF($AM$9:$AM218, $AK$10:$AK$258), ""), 0)),"")</f>
        <v/>
      </c>
      <c r="AN219" s="156" t="str">
        <f t="array" ref="AN219">IFERROR(INDEX($AK$10:$AK$258, MATCH(0, IF(TRUE=$AI$10:$AI$258, COUNTIF($AN$9:$AN218, $AK$10:$AK$258), ""), 0)),"")</f>
        <v/>
      </c>
    </row>
    <row r="220" spans="3:40" ht="14" x14ac:dyDescent="0.3">
      <c r="C220" s="141">
        <v>211</v>
      </c>
      <c r="D220" s="462"/>
      <c r="E220" s="153"/>
      <c r="F220" s="498" t="str">
        <f>IF(D220="","",VLOOKUP(D220,'G-7 Rivers Data'!$B$2:$G$8,2,FALSE))</f>
        <v/>
      </c>
      <c r="G220" s="499" t="str">
        <f>IFERROR(VLOOKUP(F220,'G-7 Rivers Data'!$C$4:$D$8,2,FALSE),"")</f>
        <v/>
      </c>
      <c r="H220" s="145"/>
      <c r="I220" s="499" t="str">
        <f>IFERROR(INDEX('G-7 Rivers Data'!$H$4:$L$8,MATCH(D220,'G-7 Rivers Data'!$B$4:$B$8,0),MATCH(H220,'G-7 Rivers Data'!$H$3:$L$3,0)),"")</f>
        <v/>
      </c>
      <c r="J220" s="154"/>
      <c r="K220" s="520" t="str">
        <f>IF(J220="","",IF(VLOOKUP(J220,'G-7 Rivers Data'!$AK$4:$AM$9,2,FALSE)=0,"Spatial Data Missing ⚠",VLOOKUP(J220,'G-7 Rivers Data'!$AK$4:$AM$9,2,FALSE)))</f>
        <v/>
      </c>
      <c r="L220" s="524" t="str">
        <f>IF(J220="","",IF(VLOOKUP(J220,'G-7 Rivers Data'!$AK$4:$AM$9,3,FALSE)=0,"Spatial Data Missing ⚠",VLOOKUP(J220,'G-7 Rivers Data'!$AK$4:$AM$9,3,FALSE)))</f>
        <v/>
      </c>
      <c r="M220" s="71"/>
      <c r="N220" s="499" t="str">
        <f>IF(M220="","",IF(VLOOKUP(M220,'G-7 Rivers Data'!$AA$4:$AB$7,2,FALSE)=0,"Spatial Data Missing ⚠",VLOOKUP(M220,'G-7 Rivers Data'!$AA$4:$AB$7,2,FALSE)))</f>
        <v/>
      </c>
      <c r="O220" s="155"/>
      <c r="P220" s="499" t="str">
        <f>IF(O220="","",IF(VLOOKUP(O220,'G-7 Rivers Data'!$AD$4:$AE$8,2,FALSE)=0,"Spatial Data Missing ⚠",VLOOKUP(O220,'G-7 Rivers Data'!$AD$4:$AE$8,2,FALSE)))</f>
        <v/>
      </c>
      <c r="Q220" s="506" t="str">
        <f>IF(D220="","",VLOOKUP(D220,'G-7 Rivers Data'!$B$4:$G$8,6,FALSE))</f>
        <v/>
      </c>
      <c r="R220" s="513" t="str">
        <f t="shared" si="24"/>
        <v/>
      </c>
      <c r="S220" s="40"/>
      <c r="T220" s="145"/>
      <c r="U220" s="157"/>
      <c r="V220" s="511" t="str">
        <f t="shared" si="25"/>
        <v/>
      </c>
      <c r="W220" s="511" t="str">
        <f t="shared" si="26"/>
        <v/>
      </c>
      <c r="X220" s="511" t="str">
        <f t="shared" si="27"/>
        <v/>
      </c>
      <c r="Y220" s="515" t="str">
        <f t="shared" si="28"/>
        <v/>
      </c>
      <c r="Z220" s="151"/>
      <c r="AA220" s="152"/>
      <c r="AF220" s="31" t="str">
        <f>IFERROR(INDEX('G-7 Rivers Data'!$AZ$3:$AZ$7,MATCH(D220,'G-7 Rivers Data'!$AY$3:$AY$7,0)),"")</f>
        <v/>
      </c>
      <c r="AG220" s="31">
        <f t="shared" si="29"/>
        <v>0</v>
      </c>
      <c r="AH220" s="156" t="str">
        <f t="shared" si="30"/>
        <v/>
      </c>
      <c r="AI220" s="156" t="str">
        <f t="shared" si="31"/>
        <v/>
      </c>
      <c r="AK220" s="156">
        <v>211</v>
      </c>
      <c r="AM220" s="156" t="str">
        <f t="array" ref="AM220">IFERROR(INDEX($AK$10:$AK$258, MATCH(0, IF(TRUE=$AH$10:$AH$258, COUNTIF($AM$9:$AM219, $AK$10:$AK$258), ""), 0)),"")</f>
        <v/>
      </c>
      <c r="AN220" s="156" t="str">
        <f t="array" ref="AN220">IFERROR(INDEX($AK$10:$AK$258, MATCH(0, IF(TRUE=$AI$10:$AI$258, COUNTIF($AN$9:$AN219, $AK$10:$AK$258), ""), 0)),"")</f>
        <v/>
      </c>
    </row>
    <row r="221" spans="3:40" ht="14" x14ac:dyDescent="0.3">
      <c r="C221" s="141">
        <v>212</v>
      </c>
      <c r="D221" s="462"/>
      <c r="E221" s="153"/>
      <c r="F221" s="498" t="str">
        <f>IF(D221="","",VLOOKUP(D221,'G-7 Rivers Data'!$B$2:$G$8,2,FALSE))</f>
        <v/>
      </c>
      <c r="G221" s="499" t="str">
        <f>IFERROR(VLOOKUP(F221,'G-7 Rivers Data'!$C$4:$D$8,2,FALSE),"")</f>
        <v/>
      </c>
      <c r="H221" s="145"/>
      <c r="I221" s="499" t="str">
        <f>IFERROR(INDEX('G-7 Rivers Data'!$H$4:$L$8,MATCH(D221,'G-7 Rivers Data'!$B$4:$B$8,0),MATCH(H221,'G-7 Rivers Data'!$H$3:$L$3,0)),"")</f>
        <v/>
      </c>
      <c r="J221" s="154"/>
      <c r="K221" s="520" t="str">
        <f>IF(J221="","",IF(VLOOKUP(J221,'G-7 Rivers Data'!$AK$4:$AM$9,2,FALSE)=0,"Spatial Data Missing ⚠",VLOOKUP(J221,'G-7 Rivers Data'!$AK$4:$AM$9,2,FALSE)))</f>
        <v/>
      </c>
      <c r="L221" s="524" t="str">
        <f>IF(J221="","",IF(VLOOKUP(J221,'G-7 Rivers Data'!$AK$4:$AM$9,3,FALSE)=0,"Spatial Data Missing ⚠",VLOOKUP(J221,'G-7 Rivers Data'!$AK$4:$AM$9,3,FALSE)))</f>
        <v/>
      </c>
      <c r="M221" s="71"/>
      <c r="N221" s="499" t="str">
        <f>IF(M221="","",IF(VLOOKUP(M221,'G-7 Rivers Data'!$AA$4:$AB$7,2,FALSE)=0,"Spatial Data Missing ⚠",VLOOKUP(M221,'G-7 Rivers Data'!$AA$4:$AB$7,2,FALSE)))</f>
        <v/>
      </c>
      <c r="O221" s="155"/>
      <c r="P221" s="499" t="str">
        <f>IF(O221="","",IF(VLOOKUP(O221,'G-7 Rivers Data'!$AD$4:$AE$8,2,FALSE)=0,"Spatial Data Missing ⚠",VLOOKUP(O221,'G-7 Rivers Data'!$AD$4:$AE$8,2,FALSE)))</f>
        <v/>
      </c>
      <c r="Q221" s="506" t="str">
        <f>IF(D221="","",VLOOKUP(D221,'G-7 Rivers Data'!$B$4:$G$8,6,FALSE))</f>
        <v/>
      </c>
      <c r="R221" s="513" t="str">
        <f t="shared" si="24"/>
        <v/>
      </c>
      <c r="S221" s="40"/>
      <c r="T221" s="145"/>
      <c r="U221" s="157"/>
      <c r="V221" s="511" t="str">
        <f t="shared" si="25"/>
        <v/>
      </c>
      <c r="W221" s="511" t="str">
        <f t="shared" si="26"/>
        <v/>
      </c>
      <c r="X221" s="511" t="str">
        <f t="shared" si="27"/>
        <v/>
      </c>
      <c r="Y221" s="515" t="str">
        <f t="shared" si="28"/>
        <v/>
      </c>
      <c r="Z221" s="151"/>
      <c r="AA221" s="152"/>
      <c r="AF221" s="31" t="str">
        <f>IFERROR(INDEX('G-7 Rivers Data'!$AZ$3:$AZ$7,MATCH(D221,'G-7 Rivers Data'!$AY$3:$AY$7,0)),"")</f>
        <v/>
      </c>
      <c r="AG221" s="31">
        <f t="shared" si="29"/>
        <v>0</v>
      </c>
      <c r="AH221" s="156" t="str">
        <f t="shared" si="30"/>
        <v/>
      </c>
      <c r="AI221" s="156" t="str">
        <f t="shared" si="31"/>
        <v/>
      </c>
      <c r="AK221" s="156">
        <v>212</v>
      </c>
      <c r="AM221" s="156" t="str">
        <f t="array" ref="AM221">IFERROR(INDEX($AK$10:$AK$258, MATCH(0, IF(TRUE=$AH$10:$AH$258, COUNTIF($AM$9:$AM220, $AK$10:$AK$258), ""), 0)),"")</f>
        <v/>
      </c>
      <c r="AN221" s="156" t="str">
        <f t="array" ref="AN221">IFERROR(INDEX($AK$10:$AK$258, MATCH(0, IF(TRUE=$AI$10:$AI$258, COUNTIF($AN$9:$AN220, $AK$10:$AK$258), ""), 0)),"")</f>
        <v/>
      </c>
    </row>
    <row r="222" spans="3:40" ht="14" x14ac:dyDescent="0.3">
      <c r="C222" s="141">
        <v>213</v>
      </c>
      <c r="D222" s="462"/>
      <c r="E222" s="153"/>
      <c r="F222" s="498" t="str">
        <f>IF(D222="","",VLOOKUP(D222,'G-7 Rivers Data'!$B$2:$G$8,2,FALSE))</f>
        <v/>
      </c>
      <c r="G222" s="499" t="str">
        <f>IFERROR(VLOOKUP(F222,'G-7 Rivers Data'!$C$4:$D$8,2,FALSE),"")</f>
        <v/>
      </c>
      <c r="H222" s="145"/>
      <c r="I222" s="499" t="str">
        <f>IFERROR(INDEX('G-7 Rivers Data'!$H$4:$L$8,MATCH(D222,'G-7 Rivers Data'!$B$4:$B$8,0),MATCH(H222,'G-7 Rivers Data'!$H$3:$L$3,0)),"")</f>
        <v/>
      </c>
      <c r="J222" s="154"/>
      <c r="K222" s="520" t="str">
        <f>IF(J222="","",IF(VLOOKUP(J222,'G-7 Rivers Data'!$AK$4:$AM$9,2,FALSE)=0,"Spatial Data Missing ⚠",VLOOKUP(J222,'G-7 Rivers Data'!$AK$4:$AM$9,2,FALSE)))</f>
        <v/>
      </c>
      <c r="L222" s="524" t="str">
        <f>IF(J222="","",IF(VLOOKUP(J222,'G-7 Rivers Data'!$AK$4:$AM$9,3,FALSE)=0,"Spatial Data Missing ⚠",VLOOKUP(J222,'G-7 Rivers Data'!$AK$4:$AM$9,3,FALSE)))</f>
        <v/>
      </c>
      <c r="M222" s="71"/>
      <c r="N222" s="499" t="str">
        <f>IF(M222="","",IF(VLOOKUP(M222,'G-7 Rivers Data'!$AA$4:$AB$7,2,FALSE)=0,"Spatial Data Missing ⚠",VLOOKUP(M222,'G-7 Rivers Data'!$AA$4:$AB$7,2,FALSE)))</f>
        <v/>
      </c>
      <c r="O222" s="155"/>
      <c r="P222" s="499" t="str">
        <f>IF(O222="","",IF(VLOOKUP(O222,'G-7 Rivers Data'!$AD$4:$AE$8,2,FALSE)=0,"Spatial Data Missing ⚠",VLOOKUP(O222,'G-7 Rivers Data'!$AD$4:$AE$8,2,FALSE)))</f>
        <v/>
      </c>
      <c r="Q222" s="506" t="str">
        <f>IF(D222="","",VLOOKUP(D222,'G-7 Rivers Data'!$B$4:$G$8,6,FALSE))</f>
        <v/>
      </c>
      <c r="R222" s="513" t="str">
        <f t="shared" si="24"/>
        <v/>
      </c>
      <c r="S222" s="40"/>
      <c r="T222" s="145"/>
      <c r="U222" s="157"/>
      <c r="V222" s="511" t="str">
        <f t="shared" si="25"/>
        <v/>
      </c>
      <c r="W222" s="511" t="str">
        <f t="shared" si="26"/>
        <v/>
      </c>
      <c r="X222" s="511" t="str">
        <f t="shared" si="27"/>
        <v/>
      </c>
      <c r="Y222" s="515" t="str">
        <f t="shared" si="28"/>
        <v/>
      </c>
      <c r="Z222" s="151"/>
      <c r="AA222" s="152"/>
      <c r="AF222" s="31" t="str">
        <f>IFERROR(INDEX('G-7 Rivers Data'!$AZ$3:$AZ$7,MATCH(D222,'G-7 Rivers Data'!$AY$3:$AY$7,0)),"")</f>
        <v/>
      </c>
      <c r="AG222" s="31">
        <f t="shared" si="29"/>
        <v>0</v>
      </c>
      <c r="AH222" s="156" t="str">
        <f t="shared" si="30"/>
        <v/>
      </c>
      <c r="AI222" s="156" t="str">
        <f t="shared" si="31"/>
        <v/>
      </c>
      <c r="AK222" s="156">
        <v>213</v>
      </c>
      <c r="AM222" s="156" t="str">
        <f t="array" ref="AM222">IFERROR(INDEX($AK$10:$AK$258, MATCH(0, IF(TRUE=$AH$10:$AH$258, COUNTIF($AM$9:$AM221, $AK$10:$AK$258), ""), 0)),"")</f>
        <v/>
      </c>
      <c r="AN222" s="156" t="str">
        <f t="array" ref="AN222">IFERROR(INDEX($AK$10:$AK$258, MATCH(0, IF(TRUE=$AI$10:$AI$258, COUNTIF($AN$9:$AN221, $AK$10:$AK$258), ""), 0)),"")</f>
        <v/>
      </c>
    </row>
    <row r="223" spans="3:40" ht="14" x14ac:dyDescent="0.3">
      <c r="C223" s="141">
        <v>214</v>
      </c>
      <c r="D223" s="462"/>
      <c r="E223" s="153"/>
      <c r="F223" s="498" t="str">
        <f>IF(D223="","",VLOOKUP(D223,'G-7 Rivers Data'!$B$2:$G$8,2,FALSE))</f>
        <v/>
      </c>
      <c r="G223" s="499" t="str">
        <f>IFERROR(VLOOKUP(F223,'G-7 Rivers Data'!$C$4:$D$8,2,FALSE),"")</f>
        <v/>
      </c>
      <c r="H223" s="145"/>
      <c r="I223" s="499" t="str">
        <f>IFERROR(INDEX('G-7 Rivers Data'!$H$4:$L$8,MATCH(D223,'G-7 Rivers Data'!$B$4:$B$8,0),MATCH(H223,'G-7 Rivers Data'!$H$3:$L$3,0)),"")</f>
        <v/>
      </c>
      <c r="J223" s="154"/>
      <c r="K223" s="520" t="str">
        <f>IF(J223="","",IF(VLOOKUP(J223,'G-7 Rivers Data'!$AK$4:$AM$9,2,FALSE)=0,"Spatial Data Missing ⚠",VLOOKUP(J223,'G-7 Rivers Data'!$AK$4:$AM$9,2,FALSE)))</f>
        <v/>
      </c>
      <c r="L223" s="524" t="str">
        <f>IF(J223="","",IF(VLOOKUP(J223,'G-7 Rivers Data'!$AK$4:$AM$9,3,FALSE)=0,"Spatial Data Missing ⚠",VLOOKUP(J223,'G-7 Rivers Data'!$AK$4:$AM$9,3,FALSE)))</f>
        <v/>
      </c>
      <c r="M223" s="71"/>
      <c r="N223" s="499" t="str">
        <f>IF(M223="","",IF(VLOOKUP(M223,'G-7 Rivers Data'!$AA$4:$AB$7,2,FALSE)=0,"Spatial Data Missing ⚠",VLOOKUP(M223,'G-7 Rivers Data'!$AA$4:$AB$7,2,FALSE)))</f>
        <v/>
      </c>
      <c r="O223" s="155"/>
      <c r="P223" s="499" t="str">
        <f>IF(O223="","",IF(VLOOKUP(O223,'G-7 Rivers Data'!$AD$4:$AE$8,2,FALSE)=0,"Spatial Data Missing ⚠",VLOOKUP(O223,'G-7 Rivers Data'!$AD$4:$AE$8,2,FALSE)))</f>
        <v/>
      </c>
      <c r="Q223" s="506" t="str">
        <f>IF(D223="","",VLOOKUP(D223,'G-7 Rivers Data'!$B$4:$G$8,6,FALSE))</f>
        <v/>
      </c>
      <c r="R223" s="513" t="str">
        <f t="shared" si="24"/>
        <v/>
      </c>
      <c r="S223" s="40"/>
      <c r="T223" s="145"/>
      <c r="U223" s="157"/>
      <c r="V223" s="511" t="str">
        <f t="shared" si="25"/>
        <v/>
      </c>
      <c r="W223" s="511" t="str">
        <f t="shared" si="26"/>
        <v/>
      </c>
      <c r="X223" s="511" t="str">
        <f t="shared" si="27"/>
        <v/>
      </c>
      <c r="Y223" s="515" t="str">
        <f t="shared" si="28"/>
        <v/>
      </c>
      <c r="Z223" s="151"/>
      <c r="AA223" s="152"/>
      <c r="AF223" s="31" t="str">
        <f>IFERROR(INDEX('G-7 Rivers Data'!$AZ$3:$AZ$7,MATCH(D223,'G-7 Rivers Data'!$AY$3:$AY$7,0)),"")</f>
        <v/>
      </c>
      <c r="AG223" s="31">
        <f t="shared" si="29"/>
        <v>0</v>
      </c>
      <c r="AH223" s="156" t="str">
        <f t="shared" si="30"/>
        <v/>
      </c>
      <c r="AI223" s="156" t="str">
        <f t="shared" si="31"/>
        <v/>
      </c>
      <c r="AK223" s="156">
        <v>214</v>
      </c>
      <c r="AM223" s="156" t="str">
        <f t="array" ref="AM223">IFERROR(INDEX($AK$10:$AK$258, MATCH(0, IF(TRUE=$AH$10:$AH$258, COUNTIF($AM$9:$AM222, $AK$10:$AK$258), ""), 0)),"")</f>
        <v/>
      </c>
      <c r="AN223" s="156" t="str">
        <f t="array" ref="AN223">IFERROR(INDEX($AK$10:$AK$258, MATCH(0, IF(TRUE=$AI$10:$AI$258, COUNTIF($AN$9:$AN222, $AK$10:$AK$258), ""), 0)),"")</f>
        <v/>
      </c>
    </row>
    <row r="224" spans="3:40" ht="14" x14ac:dyDescent="0.3">
      <c r="C224" s="141">
        <v>215</v>
      </c>
      <c r="D224" s="462"/>
      <c r="E224" s="153"/>
      <c r="F224" s="498" t="str">
        <f>IF(D224="","",VLOOKUP(D224,'G-7 Rivers Data'!$B$2:$G$8,2,FALSE))</f>
        <v/>
      </c>
      <c r="G224" s="499" t="str">
        <f>IFERROR(VLOOKUP(F224,'G-7 Rivers Data'!$C$4:$D$8,2,FALSE),"")</f>
        <v/>
      </c>
      <c r="H224" s="145"/>
      <c r="I224" s="499" t="str">
        <f>IFERROR(INDEX('G-7 Rivers Data'!$H$4:$L$8,MATCH(D224,'G-7 Rivers Data'!$B$4:$B$8,0),MATCH(H224,'G-7 Rivers Data'!$H$3:$L$3,0)),"")</f>
        <v/>
      </c>
      <c r="J224" s="154"/>
      <c r="K224" s="520" t="str">
        <f>IF(J224="","",IF(VLOOKUP(J224,'G-7 Rivers Data'!$AK$4:$AM$9,2,FALSE)=0,"Spatial Data Missing ⚠",VLOOKUP(J224,'G-7 Rivers Data'!$AK$4:$AM$9,2,FALSE)))</f>
        <v/>
      </c>
      <c r="L224" s="524" t="str">
        <f>IF(J224="","",IF(VLOOKUP(J224,'G-7 Rivers Data'!$AK$4:$AM$9,3,FALSE)=0,"Spatial Data Missing ⚠",VLOOKUP(J224,'G-7 Rivers Data'!$AK$4:$AM$9,3,FALSE)))</f>
        <v/>
      </c>
      <c r="M224" s="71"/>
      <c r="N224" s="499" t="str">
        <f>IF(M224="","",IF(VLOOKUP(M224,'G-7 Rivers Data'!$AA$4:$AB$7,2,FALSE)=0,"Spatial Data Missing ⚠",VLOOKUP(M224,'G-7 Rivers Data'!$AA$4:$AB$7,2,FALSE)))</f>
        <v/>
      </c>
      <c r="O224" s="155"/>
      <c r="P224" s="499" t="str">
        <f>IF(O224="","",IF(VLOOKUP(O224,'G-7 Rivers Data'!$AD$4:$AE$8,2,FALSE)=0,"Spatial Data Missing ⚠",VLOOKUP(O224,'G-7 Rivers Data'!$AD$4:$AE$8,2,FALSE)))</f>
        <v/>
      </c>
      <c r="Q224" s="506" t="str">
        <f>IF(D224="","",VLOOKUP(D224,'G-7 Rivers Data'!$B$4:$G$8,6,FALSE))</f>
        <v/>
      </c>
      <c r="R224" s="513" t="str">
        <f t="shared" si="24"/>
        <v/>
      </c>
      <c r="S224" s="40"/>
      <c r="T224" s="145"/>
      <c r="U224" s="157"/>
      <c r="V224" s="511" t="str">
        <f t="shared" si="25"/>
        <v/>
      </c>
      <c r="W224" s="511" t="str">
        <f t="shared" si="26"/>
        <v/>
      </c>
      <c r="X224" s="511" t="str">
        <f t="shared" si="27"/>
        <v/>
      </c>
      <c r="Y224" s="515" t="str">
        <f t="shared" si="28"/>
        <v/>
      </c>
      <c r="Z224" s="151"/>
      <c r="AA224" s="152"/>
      <c r="AF224" s="31" t="str">
        <f>IFERROR(INDEX('G-7 Rivers Data'!$AZ$3:$AZ$7,MATCH(D224,'G-7 Rivers Data'!$AY$3:$AY$7,0)),"")</f>
        <v/>
      </c>
      <c r="AG224" s="31">
        <f t="shared" si="29"/>
        <v>0</v>
      </c>
      <c r="AH224" s="156" t="str">
        <f t="shared" si="30"/>
        <v/>
      </c>
      <c r="AI224" s="156" t="str">
        <f t="shared" si="31"/>
        <v/>
      </c>
      <c r="AK224" s="156">
        <v>215</v>
      </c>
      <c r="AM224" s="156" t="str">
        <f t="array" ref="AM224">IFERROR(INDEX($AK$10:$AK$258, MATCH(0, IF(TRUE=$AH$10:$AH$258, COUNTIF($AM$9:$AM223, $AK$10:$AK$258), ""), 0)),"")</f>
        <v/>
      </c>
      <c r="AN224" s="156" t="str">
        <f t="array" ref="AN224">IFERROR(INDEX($AK$10:$AK$258, MATCH(0, IF(TRUE=$AI$10:$AI$258, COUNTIF($AN$9:$AN223, $AK$10:$AK$258), ""), 0)),"")</f>
        <v/>
      </c>
    </row>
    <row r="225" spans="3:40" ht="14" x14ac:dyDescent="0.3">
      <c r="C225" s="141">
        <v>216</v>
      </c>
      <c r="D225" s="462"/>
      <c r="E225" s="153"/>
      <c r="F225" s="498" t="str">
        <f>IF(D225="","",VLOOKUP(D225,'G-7 Rivers Data'!$B$2:$G$8,2,FALSE))</f>
        <v/>
      </c>
      <c r="G225" s="499" t="str">
        <f>IFERROR(VLOOKUP(F225,'G-7 Rivers Data'!$C$4:$D$8,2,FALSE),"")</f>
        <v/>
      </c>
      <c r="H225" s="145"/>
      <c r="I225" s="499" t="str">
        <f>IFERROR(INDEX('G-7 Rivers Data'!$H$4:$L$8,MATCH(D225,'G-7 Rivers Data'!$B$4:$B$8,0),MATCH(H225,'G-7 Rivers Data'!$H$3:$L$3,0)),"")</f>
        <v/>
      </c>
      <c r="J225" s="154"/>
      <c r="K225" s="520" t="str">
        <f>IF(J225="","",IF(VLOOKUP(J225,'G-7 Rivers Data'!$AK$4:$AM$9,2,FALSE)=0,"Spatial Data Missing ⚠",VLOOKUP(J225,'G-7 Rivers Data'!$AK$4:$AM$9,2,FALSE)))</f>
        <v/>
      </c>
      <c r="L225" s="524" t="str">
        <f>IF(J225="","",IF(VLOOKUP(J225,'G-7 Rivers Data'!$AK$4:$AM$9,3,FALSE)=0,"Spatial Data Missing ⚠",VLOOKUP(J225,'G-7 Rivers Data'!$AK$4:$AM$9,3,FALSE)))</f>
        <v/>
      </c>
      <c r="M225" s="71"/>
      <c r="N225" s="499" t="str">
        <f>IF(M225="","",IF(VLOOKUP(M225,'G-7 Rivers Data'!$AA$4:$AB$7,2,FALSE)=0,"Spatial Data Missing ⚠",VLOOKUP(M225,'G-7 Rivers Data'!$AA$4:$AB$7,2,FALSE)))</f>
        <v/>
      </c>
      <c r="O225" s="155"/>
      <c r="P225" s="499" t="str">
        <f>IF(O225="","",IF(VLOOKUP(O225,'G-7 Rivers Data'!$AD$4:$AE$8,2,FALSE)=0,"Spatial Data Missing ⚠",VLOOKUP(O225,'G-7 Rivers Data'!$AD$4:$AE$8,2,FALSE)))</f>
        <v/>
      </c>
      <c r="Q225" s="506" t="str">
        <f>IF(D225="","",VLOOKUP(D225,'G-7 Rivers Data'!$B$4:$G$8,6,FALSE))</f>
        <v/>
      </c>
      <c r="R225" s="513" t="str">
        <f t="shared" si="24"/>
        <v/>
      </c>
      <c r="S225" s="40"/>
      <c r="T225" s="145"/>
      <c r="U225" s="157"/>
      <c r="V225" s="511" t="str">
        <f t="shared" si="25"/>
        <v/>
      </c>
      <c r="W225" s="511" t="str">
        <f t="shared" si="26"/>
        <v/>
      </c>
      <c r="X225" s="511" t="str">
        <f t="shared" si="27"/>
        <v/>
      </c>
      <c r="Y225" s="515" t="str">
        <f t="shared" si="28"/>
        <v/>
      </c>
      <c r="Z225" s="151"/>
      <c r="AA225" s="152"/>
      <c r="AF225" s="31" t="str">
        <f>IFERROR(INDEX('G-7 Rivers Data'!$AZ$3:$AZ$7,MATCH(D225,'G-7 Rivers Data'!$AY$3:$AY$7,0)),"")</f>
        <v/>
      </c>
      <c r="AG225" s="31">
        <f t="shared" si="29"/>
        <v>0</v>
      </c>
      <c r="AH225" s="156" t="str">
        <f t="shared" si="30"/>
        <v/>
      </c>
      <c r="AI225" s="156" t="str">
        <f t="shared" si="31"/>
        <v/>
      </c>
      <c r="AK225" s="156">
        <v>216</v>
      </c>
      <c r="AM225" s="156" t="str">
        <f t="array" ref="AM225">IFERROR(INDEX($AK$10:$AK$258, MATCH(0, IF(TRUE=$AH$10:$AH$258, COUNTIF($AM$9:$AM224, $AK$10:$AK$258), ""), 0)),"")</f>
        <v/>
      </c>
      <c r="AN225" s="156" t="str">
        <f t="array" ref="AN225">IFERROR(INDEX($AK$10:$AK$258, MATCH(0, IF(TRUE=$AI$10:$AI$258, COUNTIF($AN$9:$AN224, $AK$10:$AK$258), ""), 0)),"")</f>
        <v/>
      </c>
    </row>
    <row r="226" spans="3:40" ht="14" x14ac:dyDescent="0.3">
      <c r="C226" s="141">
        <v>217</v>
      </c>
      <c r="D226" s="462"/>
      <c r="E226" s="153"/>
      <c r="F226" s="498" t="str">
        <f>IF(D226="","",VLOOKUP(D226,'G-7 Rivers Data'!$B$2:$G$8,2,FALSE))</f>
        <v/>
      </c>
      <c r="G226" s="499" t="str">
        <f>IFERROR(VLOOKUP(F226,'G-7 Rivers Data'!$C$4:$D$8,2,FALSE),"")</f>
        <v/>
      </c>
      <c r="H226" s="145"/>
      <c r="I226" s="499" t="str">
        <f>IFERROR(INDEX('G-7 Rivers Data'!$H$4:$L$8,MATCH(D226,'G-7 Rivers Data'!$B$4:$B$8,0),MATCH(H226,'G-7 Rivers Data'!$H$3:$L$3,0)),"")</f>
        <v/>
      </c>
      <c r="J226" s="154"/>
      <c r="K226" s="520" t="str">
        <f>IF(J226="","",IF(VLOOKUP(J226,'G-7 Rivers Data'!$AK$4:$AM$9,2,FALSE)=0,"Spatial Data Missing ⚠",VLOOKUP(J226,'G-7 Rivers Data'!$AK$4:$AM$9,2,FALSE)))</f>
        <v/>
      </c>
      <c r="L226" s="524" t="str">
        <f>IF(J226="","",IF(VLOOKUP(J226,'G-7 Rivers Data'!$AK$4:$AM$9,3,FALSE)=0,"Spatial Data Missing ⚠",VLOOKUP(J226,'G-7 Rivers Data'!$AK$4:$AM$9,3,FALSE)))</f>
        <v/>
      </c>
      <c r="M226" s="71"/>
      <c r="N226" s="499" t="str">
        <f>IF(M226="","",IF(VLOOKUP(M226,'G-7 Rivers Data'!$AA$4:$AB$7,2,FALSE)=0,"Spatial Data Missing ⚠",VLOOKUP(M226,'G-7 Rivers Data'!$AA$4:$AB$7,2,FALSE)))</f>
        <v/>
      </c>
      <c r="O226" s="155"/>
      <c r="P226" s="499" t="str">
        <f>IF(O226="","",IF(VLOOKUP(O226,'G-7 Rivers Data'!$AD$4:$AE$8,2,FALSE)=0,"Spatial Data Missing ⚠",VLOOKUP(O226,'G-7 Rivers Data'!$AD$4:$AE$8,2,FALSE)))</f>
        <v/>
      </c>
      <c r="Q226" s="506" t="str">
        <f>IF(D226="","",VLOOKUP(D226,'G-7 Rivers Data'!$B$4:$G$8,6,FALSE))</f>
        <v/>
      </c>
      <c r="R226" s="513" t="str">
        <f t="shared" si="24"/>
        <v/>
      </c>
      <c r="S226" s="40"/>
      <c r="T226" s="145"/>
      <c r="U226" s="157"/>
      <c r="V226" s="511" t="str">
        <f t="shared" si="25"/>
        <v/>
      </c>
      <c r="W226" s="511" t="str">
        <f t="shared" si="26"/>
        <v/>
      </c>
      <c r="X226" s="511" t="str">
        <f t="shared" si="27"/>
        <v/>
      </c>
      <c r="Y226" s="515" t="str">
        <f t="shared" si="28"/>
        <v/>
      </c>
      <c r="Z226" s="151"/>
      <c r="AA226" s="152"/>
      <c r="AF226" s="31" t="str">
        <f>IFERROR(INDEX('G-7 Rivers Data'!$AZ$3:$AZ$7,MATCH(D226,'G-7 Rivers Data'!$AY$3:$AY$7,0)),"")</f>
        <v/>
      </c>
      <c r="AG226" s="31">
        <f t="shared" si="29"/>
        <v>0</v>
      </c>
      <c r="AH226" s="156" t="str">
        <f t="shared" si="30"/>
        <v/>
      </c>
      <c r="AI226" s="156" t="str">
        <f t="shared" si="31"/>
        <v/>
      </c>
      <c r="AK226" s="156">
        <v>217</v>
      </c>
      <c r="AM226" s="156" t="str">
        <f t="array" ref="AM226">IFERROR(INDEX($AK$10:$AK$258, MATCH(0, IF(TRUE=$AH$10:$AH$258, COUNTIF($AM$9:$AM225, $AK$10:$AK$258), ""), 0)),"")</f>
        <v/>
      </c>
      <c r="AN226" s="156" t="str">
        <f t="array" ref="AN226">IFERROR(INDEX($AK$10:$AK$258, MATCH(0, IF(TRUE=$AI$10:$AI$258, COUNTIF($AN$9:$AN225, $AK$10:$AK$258), ""), 0)),"")</f>
        <v/>
      </c>
    </row>
    <row r="227" spans="3:40" ht="14" x14ac:dyDescent="0.3">
      <c r="C227" s="141">
        <v>218</v>
      </c>
      <c r="D227" s="462"/>
      <c r="E227" s="153"/>
      <c r="F227" s="498" t="str">
        <f>IF(D227="","",VLOOKUP(D227,'G-7 Rivers Data'!$B$2:$G$8,2,FALSE))</f>
        <v/>
      </c>
      <c r="G227" s="499" t="str">
        <f>IFERROR(VLOOKUP(F227,'G-7 Rivers Data'!$C$4:$D$8,2,FALSE),"")</f>
        <v/>
      </c>
      <c r="H227" s="145"/>
      <c r="I227" s="499" t="str">
        <f>IFERROR(INDEX('G-7 Rivers Data'!$H$4:$L$8,MATCH(D227,'G-7 Rivers Data'!$B$4:$B$8,0),MATCH(H227,'G-7 Rivers Data'!$H$3:$L$3,0)),"")</f>
        <v/>
      </c>
      <c r="J227" s="154"/>
      <c r="K227" s="520" t="str">
        <f>IF(J227="","",IF(VLOOKUP(J227,'G-7 Rivers Data'!$AK$4:$AM$9,2,FALSE)=0,"Spatial Data Missing ⚠",VLOOKUP(J227,'G-7 Rivers Data'!$AK$4:$AM$9,2,FALSE)))</f>
        <v/>
      </c>
      <c r="L227" s="524" t="str">
        <f>IF(J227="","",IF(VLOOKUP(J227,'G-7 Rivers Data'!$AK$4:$AM$9,3,FALSE)=0,"Spatial Data Missing ⚠",VLOOKUP(J227,'G-7 Rivers Data'!$AK$4:$AM$9,3,FALSE)))</f>
        <v/>
      </c>
      <c r="M227" s="71"/>
      <c r="N227" s="499" t="str">
        <f>IF(M227="","",IF(VLOOKUP(M227,'G-7 Rivers Data'!$AA$4:$AB$7,2,FALSE)=0,"Spatial Data Missing ⚠",VLOOKUP(M227,'G-7 Rivers Data'!$AA$4:$AB$7,2,FALSE)))</f>
        <v/>
      </c>
      <c r="O227" s="155"/>
      <c r="P227" s="499" t="str">
        <f>IF(O227="","",IF(VLOOKUP(O227,'G-7 Rivers Data'!$AD$4:$AE$8,2,FALSE)=0,"Spatial Data Missing ⚠",VLOOKUP(O227,'G-7 Rivers Data'!$AD$4:$AE$8,2,FALSE)))</f>
        <v/>
      </c>
      <c r="Q227" s="506" t="str">
        <f>IF(D227="","",VLOOKUP(D227,'G-7 Rivers Data'!$B$4:$G$8,6,FALSE))</f>
        <v/>
      </c>
      <c r="R227" s="513" t="str">
        <f t="shared" si="24"/>
        <v/>
      </c>
      <c r="S227" s="40"/>
      <c r="T227" s="145"/>
      <c r="U227" s="157"/>
      <c r="V227" s="511" t="str">
        <f t="shared" si="25"/>
        <v/>
      </c>
      <c r="W227" s="511" t="str">
        <f t="shared" si="26"/>
        <v/>
      </c>
      <c r="X227" s="511" t="str">
        <f t="shared" si="27"/>
        <v/>
      </c>
      <c r="Y227" s="515" t="str">
        <f t="shared" si="28"/>
        <v/>
      </c>
      <c r="Z227" s="151"/>
      <c r="AA227" s="152"/>
      <c r="AF227" s="31" t="str">
        <f>IFERROR(INDEX('G-7 Rivers Data'!$AZ$3:$AZ$7,MATCH(D227,'G-7 Rivers Data'!$AY$3:$AY$7,0)),"")</f>
        <v/>
      </c>
      <c r="AG227" s="31">
        <f t="shared" si="29"/>
        <v>0</v>
      </c>
      <c r="AH227" s="156" t="str">
        <f t="shared" si="30"/>
        <v/>
      </c>
      <c r="AI227" s="156" t="str">
        <f t="shared" si="31"/>
        <v/>
      </c>
      <c r="AK227" s="156">
        <v>218</v>
      </c>
      <c r="AM227" s="156" t="str">
        <f t="array" ref="AM227">IFERROR(INDEX($AK$10:$AK$258, MATCH(0, IF(TRUE=$AH$10:$AH$258, COUNTIF($AM$9:$AM226, $AK$10:$AK$258), ""), 0)),"")</f>
        <v/>
      </c>
      <c r="AN227" s="156" t="str">
        <f t="array" ref="AN227">IFERROR(INDEX($AK$10:$AK$258, MATCH(0, IF(TRUE=$AI$10:$AI$258, COUNTIF($AN$9:$AN226, $AK$10:$AK$258), ""), 0)),"")</f>
        <v/>
      </c>
    </row>
    <row r="228" spans="3:40" ht="14" x14ac:dyDescent="0.3">
      <c r="C228" s="141">
        <v>219</v>
      </c>
      <c r="D228" s="462"/>
      <c r="E228" s="153"/>
      <c r="F228" s="498" t="str">
        <f>IF(D228="","",VLOOKUP(D228,'G-7 Rivers Data'!$B$2:$G$8,2,FALSE))</f>
        <v/>
      </c>
      <c r="G228" s="499" t="str">
        <f>IFERROR(VLOOKUP(F228,'G-7 Rivers Data'!$C$4:$D$8,2,FALSE),"")</f>
        <v/>
      </c>
      <c r="H228" s="145"/>
      <c r="I228" s="499" t="str">
        <f>IFERROR(INDEX('G-7 Rivers Data'!$H$4:$L$8,MATCH(D228,'G-7 Rivers Data'!$B$4:$B$8,0),MATCH(H228,'G-7 Rivers Data'!$H$3:$L$3,0)),"")</f>
        <v/>
      </c>
      <c r="J228" s="154"/>
      <c r="K228" s="520" t="str">
        <f>IF(J228="","",IF(VLOOKUP(J228,'G-7 Rivers Data'!$AK$4:$AM$9,2,FALSE)=0,"Spatial Data Missing ⚠",VLOOKUP(J228,'G-7 Rivers Data'!$AK$4:$AM$9,2,FALSE)))</f>
        <v/>
      </c>
      <c r="L228" s="524" t="str">
        <f>IF(J228="","",IF(VLOOKUP(J228,'G-7 Rivers Data'!$AK$4:$AM$9,3,FALSE)=0,"Spatial Data Missing ⚠",VLOOKUP(J228,'G-7 Rivers Data'!$AK$4:$AM$9,3,FALSE)))</f>
        <v/>
      </c>
      <c r="M228" s="71"/>
      <c r="N228" s="499" t="str">
        <f>IF(M228="","",IF(VLOOKUP(M228,'G-7 Rivers Data'!$AA$4:$AB$7,2,FALSE)=0,"Spatial Data Missing ⚠",VLOOKUP(M228,'G-7 Rivers Data'!$AA$4:$AB$7,2,FALSE)))</f>
        <v/>
      </c>
      <c r="O228" s="155"/>
      <c r="P228" s="499" t="str">
        <f>IF(O228="","",IF(VLOOKUP(O228,'G-7 Rivers Data'!$AD$4:$AE$8,2,FALSE)=0,"Spatial Data Missing ⚠",VLOOKUP(O228,'G-7 Rivers Data'!$AD$4:$AE$8,2,FALSE)))</f>
        <v/>
      </c>
      <c r="Q228" s="506" t="str">
        <f>IF(D228="","",VLOOKUP(D228,'G-7 Rivers Data'!$B$4:$G$8,6,FALSE))</f>
        <v/>
      </c>
      <c r="R228" s="513" t="str">
        <f t="shared" si="24"/>
        <v/>
      </c>
      <c r="S228" s="40"/>
      <c r="T228" s="145"/>
      <c r="U228" s="157"/>
      <c r="V228" s="511" t="str">
        <f t="shared" si="25"/>
        <v/>
      </c>
      <c r="W228" s="511" t="str">
        <f t="shared" si="26"/>
        <v/>
      </c>
      <c r="X228" s="511" t="str">
        <f t="shared" si="27"/>
        <v/>
      </c>
      <c r="Y228" s="515" t="str">
        <f t="shared" si="28"/>
        <v/>
      </c>
      <c r="Z228" s="151"/>
      <c r="AA228" s="152"/>
      <c r="AF228" s="31" t="str">
        <f>IFERROR(INDEX('G-7 Rivers Data'!$AZ$3:$AZ$7,MATCH(D228,'G-7 Rivers Data'!$AY$3:$AY$7,0)),"")</f>
        <v/>
      </c>
      <c r="AG228" s="31">
        <f t="shared" si="29"/>
        <v>0</v>
      </c>
      <c r="AH228" s="156" t="str">
        <f t="shared" si="30"/>
        <v/>
      </c>
      <c r="AI228" s="156" t="str">
        <f t="shared" si="31"/>
        <v/>
      </c>
      <c r="AK228" s="156">
        <v>219</v>
      </c>
      <c r="AM228" s="156" t="str">
        <f t="array" ref="AM228">IFERROR(INDEX($AK$10:$AK$258, MATCH(0, IF(TRUE=$AH$10:$AH$258, COUNTIF($AM$9:$AM227, $AK$10:$AK$258), ""), 0)),"")</f>
        <v/>
      </c>
      <c r="AN228" s="156" t="str">
        <f t="array" ref="AN228">IFERROR(INDEX($AK$10:$AK$258, MATCH(0, IF(TRUE=$AI$10:$AI$258, COUNTIF($AN$9:$AN227, $AK$10:$AK$258), ""), 0)),"")</f>
        <v/>
      </c>
    </row>
    <row r="229" spans="3:40" ht="14" x14ac:dyDescent="0.3">
      <c r="C229" s="141">
        <v>220</v>
      </c>
      <c r="D229" s="462"/>
      <c r="E229" s="153"/>
      <c r="F229" s="498" t="str">
        <f>IF(D229="","",VLOOKUP(D229,'G-7 Rivers Data'!$B$2:$G$8,2,FALSE))</f>
        <v/>
      </c>
      <c r="G229" s="499" t="str">
        <f>IFERROR(VLOOKUP(F229,'G-7 Rivers Data'!$C$4:$D$8,2,FALSE),"")</f>
        <v/>
      </c>
      <c r="H229" s="145"/>
      <c r="I229" s="499" t="str">
        <f>IFERROR(INDEX('G-7 Rivers Data'!$H$4:$L$8,MATCH(D229,'G-7 Rivers Data'!$B$4:$B$8,0),MATCH(H229,'G-7 Rivers Data'!$H$3:$L$3,0)),"")</f>
        <v/>
      </c>
      <c r="J229" s="154"/>
      <c r="K229" s="520" t="str">
        <f>IF(J229="","",IF(VLOOKUP(J229,'G-7 Rivers Data'!$AK$4:$AM$9,2,FALSE)=0,"Spatial Data Missing ⚠",VLOOKUP(J229,'G-7 Rivers Data'!$AK$4:$AM$9,2,FALSE)))</f>
        <v/>
      </c>
      <c r="L229" s="524" t="str">
        <f>IF(J229="","",IF(VLOOKUP(J229,'G-7 Rivers Data'!$AK$4:$AM$9,3,FALSE)=0,"Spatial Data Missing ⚠",VLOOKUP(J229,'G-7 Rivers Data'!$AK$4:$AM$9,3,FALSE)))</f>
        <v/>
      </c>
      <c r="M229" s="71"/>
      <c r="N229" s="499" t="str">
        <f>IF(M229="","",IF(VLOOKUP(M229,'G-7 Rivers Data'!$AA$4:$AB$7,2,FALSE)=0,"Spatial Data Missing ⚠",VLOOKUP(M229,'G-7 Rivers Data'!$AA$4:$AB$7,2,FALSE)))</f>
        <v/>
      </c>
      <c r="O229" s="155"/>
      <c r="P229" s="499" t="str">
        <f>IF(O229="","",IF(VLOOKUP(O229,'G-7 Rivers Data'!$AD$4:$AE$8,2,FALSE)=0,"Spatial Data Missing ⚠",VLOOKUP(O229,'G-7 Rivers Data'!$AD$4:$AE$8,2,FALSE)))</f>
        <v/>
      </c>
      <c r="Q229" s="506" t="str">
        <f>IF(D229="","",VLOOKUP(D229,'G-7 Rivers Data'!$B$4:$G$8,6,FALSE))</f>
        <v/>
      </c>
      <c r="R229" s="513" t="str">
        <f t="shared" si="24"/>
        <v/>
      </c>
      <c r="S229" s="40"/>
      <c r="T229" s="145"/>
      <c r="U229" s="157"/>
      <c r="V229" s="511" t="str">
        <f t="shared" si="25"/>
        <v/>
      </c>
      <c r="W229" s="511" t="str">
        <f t="shared" si="26"/>
        <v/>
      </c>
      <c r="X229" s="511" t="str">
        <f t="shared" si="27"/>
        <v/>
      </c>
      <c r="Y229" s="515" t="str">
        <f t="shared" si="28"/>
        <v/>
      </c>
      <c r="Z229" s="151"/>
      <c r="AA229" s="152"/>
      <c r="AF229" s="31" t="str">
        <f>IFERROR(INDEX('G-7 Rivers Data'!$AZ$3:$AZ$7,MATCH(D229,'G-7 Rivers Data'!$AY$3:$AY$7,0)),"")</f>
        <v/>
      </c>
      <c r="AG229" s="31">
        <f t="shared" si="29"/>
        <v>0</v>
      </c>
      <c r="AH229" s="156" t="str">
        <f t="shared" si="30"/>
        <v/>
      </c>
      <c r="AI229" s="156" t="str">
        <f t="shared" si="31"/>
        <v/>
      </c>
      <c r="AK229" s="156">
        <v>220</v>
      </c>
      <c r="AM229" s="156" t="str">
        <f t="array" ref="AM229">IFERROR(INDEX($AK$10:$AK$258, MATCH(0, IF(TRUE=$AH$10:$AH$258, COUNTIF($AM$9:$AM228, $AK$10:$AK$258), ""), 0)),"")</f>
        <v/>
      </c>
      <c r="AN229" s="156" t="str">
        <f t="array" ref="AN229">IFERROR(INDEX($AK$10:$AK$258, MATCH(0, IF(TRUE=$AI$10:$AI$258, COUNTIF($AN$9:$AN228, $AK$10:$AK$258), ""), 0)),"")</f>
        <v/>
      </c>
    </row>
    <row r="230" spans="3:40" ht="14" x14ac:dyDescent="0.3">
      <c r="C230" s="141">
        <v>221</v>
      </c>
      <c r="D230" s="462"/>
      <c r="E230" s="153"/>
      <c r="F230" s="498" t="str">
        <f>IF(D230="","",VLOOKUP(D230,'G-7 Rivers Data'!$B$2:$G$8,2,FALSE))</f>
        <v/>
      </c>
      <c r="G230" s="499" t="str">
        <f>IFERROR(VLOOKUP(F230,'G-7 Rivers Data'!$C$4:$D$8,2,FALSE),"")</f>
        <v/>
      </c>
      <c r="H230" s="145"/>
      <c r="I230" s="499" t="str">
        <f>IFERROR(INDEX('G-7 Rivers Data'!$H$4:$L$8,MATCH(D230,'G-7 Rivers Data'!$B$4:$B$8,0),MATCH(H230,'G-7 Rivers Data'!$H$3:$L$3,0)),"")</f>
        <v/>
      </c>
      <c r="J230" s="154"/>
      <c r="K230" s="520" t="str">
        <f>IF(J230="","",IF(VLOOKUP(J230,'G-7 Rivers Data'!$AK$4:$AM$9,2,FALSE)=0,"Spatial Data Missing ⚠",VLOOKUP(J230,'G-7 Rivers Data'!$AK$4:$AM$9,2,FALSE)))</f>
        <v/>
      </c>
      <c r="L230" s="524" t="str">
        <f>IF(J230="","",IF(VLOOKUP(J230,'G-7 Rivers Data'!$AK$4:$AM$9,3,FALSE)=0,"Spatial Data Missing ⚠",VLOOKUP(J230,'G-7 Rivers Data'!$AK$4:$AM$9,3,FALSE)))</f>
        <v/>
      </c>
      <c r="M230" s="71"/>
      <c r="N230" s="499" t="str">
        <f>IF(M230="","",IF(VLOOKUP(M230,'G-7 Rivers Data'!$AA$4:$AB$7,2,FALSE)=0,"Spatial Data Missing ⚠",VLOOKUP(M230,'G-7 Rivers Data'!$AA$4:$AB$7,2,FALSE)))</f>
        <v/>
      </c>
      <c r="O230" s="155"/>
      <c r="P230" s="499" t="str">
        <f>IF(O230="","",IF(VLOOKUP(O230,'G-7 Rivers Data'!$AD$4:$AE$8,2,FALSE)=0,"Spatial Data Missing ⚠",VLOOKUP(O230,'G-7 Rivers Data'!$AD$4:$AE$8,2,FALSE)))</f>
        <v/>
      </c>
      <c r="Q230" s="506" t="str">
        <f>IF(D230="","",VLOOKUP(D230,'G-7 Rivers Data'!$B$4:$G$8,6,FALSE))</f>
        <v/>
      </c>
      <c r="R230" s="513" t="str">
        <f t="shared" si="24"/>
        <v/>
      </c>
      <c r="S230" s="40"/>
      <c r="T230" s="145"/>
      <c r="U230" s="157"/>
      <c r="V230" s="511" t="str">
        <f t="shared" si="25"/>
        <v/>
      </c>
      <c r="W230" s="511" t="str">
        <f t="shared" si="26"/>
        <v/>
      </c>
      <c r="X230" s="511" t="str">
        <f t="shared" si="27"/>
        <v/>
      </c>
      <c r="Y230" s="515" t="str">
        <f t="shared" si="28"/>
        <v/>
      </c>
      <c r="Z230" s="151"/>
      <c r="AA230" s="152"/>
      <c r="AF230" s="31" t="str">
        <f>IFERROR(INDEX('G-7 Rivers Data'!$AZ$3:$AZ$7,MATCH(D230,'G-7 Rivers Data'!$AY$3:$AY$7,0)),"")</f>
        <v/>
      </c>
      <c r="AG230" s="31">
        <f t="shared" si="29"/>
        <v>0</v>
      </c>
      <c r="AH230" s="156" t="str">
        <f t="shared" si="30"/>
        <v/>
      </c>
      <c r="AI230" s="156" t="str">
        <f t="shared" si="31"/>
        <v/>
      </c>
      <c r="AK230" s="156">
        <v>221</v>
      </c>
      <c r="AM230" s="156" t="str">
        <f t="array" ref="AM230">IFERROR(INDEX($AK$10:$AK$258, MATCH(0, IF(TRUE=$AH$10:$AH$258, COUNTIF($AM$9:$AM229, $AK$10:$AK$258), ""), 0)),"")</f>
        <v/>
      </c>
      <c r="AN230" s="156" t="str">
        <f t="array" ref="AN230">IFERROR(INDEX($AK$10:$AK$258, MATCH(0, IF(TRUE=$AI$10:$AI$258, COUNTIF($AN$9:$AN229, $AK$10:$AK$258), ""), 0)),"")</f>
        <v/>
      </c>
    </row>
    <row r="231" spans="3:40" ht="14" x14ac:dyDescent="0.3">
      <c r="C231" s="141">
        <v>222</v>
      </c>
      <c r="D231" s="462"/>
      <c r="E231" s="153"/>
      <c r="F231" s="498" t="str">
        <f>IF(D231="","",VLOOKUP(D231,'G-7 Rivers Data'!$B$2:$G$8,2,FALSE))</f>
        <v/>
      </c>
      <c r="G231" s="499" t="str">
        <f>IFERROR(VLOOKUP(F231,'G-7 Rivers Data'!$C$4:$D$8,2,FALSE),"")</f>
        <v/>
      </c>
      <c r="H231" s="145"/>
      <c r="I231" s="499" t="str">
        <f>IFERROR(INDEX('G-7 Rivers Data'!$H$4:$L$8,MATCH(D231,'G-7 Rivers Data'!$B$4:$B$8,0),MATCH(H231,'G-7 Rivers Data'!$H$3:$L$3,0)),"")</f>
        <v/>
      </c>
      <c r="J231" s="154"/>
      <c r="K231" s="520" t="str">
        <f>IF(J231="","",IF(VLOOKUP(J231,'G-7 Rivers Data'!$AK$4:$AM$9,2,FALSE)=0,"Spatial Data Missing ⚠",VLOOKUP(J231,'G-7 Rivers Data'!$AK$4:$AM$9,2,FALSE)))</f>
        <v/>
      </c>
      <c r="L231" s="524" t="str">
        <f>IF(J231="","",IF(VLOOKUP(J231,'G-7 Rivers Data'!$AK$4:$AM$9,3,FALSE)=0,"Spatial Data Missing ⚠",VLOOKUP(J231,'G-7 Rivers Data'!$AK$4:$AM$9,3,FALSE)))</f>
        <v/>
      </c>
      <c r="M231" s="71"/>
      <c r="N231" s="499" t="str">
        <f>IF(M231="","",IF(VLOOKUP(M231,'G-7 Rivers Data'!$AA$4:$AB$7,2,FALSE)=0,"Spatial Data Missing ⚠",VLOOKUP(M231,'G-7 Rivers Data'!$AA$4:$AB$7,2,FALSE)))</f>
        <v/>
      </c>
      <c r="O231" s="155"/>
      <c r="P231" s="499" t="str">
        <f>IF(O231="","",IF(VLOOKUP(O231,'G-7 Rivers Data'!$AD$4:$AE$8,2,FALSE)=0,"Spatial Data Missing ⚠",VLOOKUP(O231,'G-7 Rivers Data'!$AD$4:$AE$8,2,FALSE)))</f>
        <v/>
      </c>
      <c r="Q231" s="506" t="str">
        <f>IF(D231="","",VLOOKUP(D231,'G-7 Rivers Data'!$B$4:$G$8,6,FALSE))</f>
        <v/>
      </c>
      <c r="R231" s="513" t="str">
        <f t="shared" si="24"/>
        <v/>
      </c>
      <c r="S231" s="40"/>
      <c r="T231" s="145"/>
      <c r="U231" s="157"/>
      <c r="V231" s="511" t="str">
        <f t="shared" si="25"/>
        <v/>
      </c>
      <c r="W231" s="511" t="str">
        <f t="shared" si="26"/>
        <v/>
      </c>
      <c r="X231" s="511" t="str">
        <f t="shared" si="27"/>
        <v/>
      </c>
      <c r="Y231" s="515" t="str">
        <f t="shared" si="28"/>
        <v/>
      </c>
      <c r="Z231" s="151"/>
      <c r="AA231" s="152"/>
      <c r="AF231" s="31" t="str">
        <f>IFERROR(INDEX('G-7 Rivers Data'!$AZ$3:$AZ$7,MATCH(D231,'G-7 Rivers Data'!$AY$3:$AY$7,0)),"")</f>
        <v/>
      </c>
      <c r="AG231" s="31">
        <f t="shared" si="29"/>
        <v>0</v>
      </c>
      <c r="AH231" s="156" t="str">
        <f t="shared" si="30"/>
        <v/>
      </c>
      <c r="AI231" s="156" t="str">
        <f t="shared" si="31"/>
        <v/>
      </c>
      <c r="AK231" s="156">
        <v>222</v>
      </c>
      <c r="AM231" s="156" t="str">
        <f t="array" ref="AM231">IFERROR(INDEX($AK$10:$AK$258, MATCH(0, IF(TRUE=$AH$10:$AH$258, COUNTIF($AM$9:$AM230, $AK$10:$AK$258), ""), 0)),"")</f>
        <v/>
      </c>
      <c r="AN231" s="156" t="str">
        <f t="array" ref="AN231">IFERROR(INDEX($AK$10:$AK$258, MATCH(0, IF(TRUE=$AI$10:$AI$258, COUNTIF($AN$9:$AN230, $AK$10:$AK$258), ""), 0)),"")</f>
        <v/>
      </c>
    </row>
    <row r="232" spans="3:40" ht="14" x14ac:dyDescent="0.3">
      <c r="C232" s="141">
        <v>223</v>
      </c>
      <c r="D232" s="462"/>
      <c r="E232" s="153"/>
      <c r="F232" s="498" t="str">
        <f>IF(D232="","",VLOOKUP(D232,'G-7 Rivers Data'!$B$2:$G$8,2,FALSE))</f>
        <v/>
      </c>
      <c r="G232" s="499" t="str">
        <f>IFERROR(VLOOKUP(F232,'G-7 Rivers Data'!$C$4:$D$8,2,FALSE),"")</f>
        <v/>
      </c>
      <c r="H232" s="145"/>
      <c r="I232" s="499" t="str">
        <f>IFERROR(INDEX('G-7 Rivers Data'!$H$4:$L$8,MATCH(D232,'G-7 Rivers Data'!$B$4:$B$8,0),MATCH(H232,'G-7 Rivers Data'!$H$3:$L$3,0)),"")</f>
        <v/>
      </c>
      <c r="J232" s="154"/>
      <c r="K232" s="520" t="str">
        <f>IF(J232="","",IF(VLOOKUP(J232,'G-7 Rivers Data'!$AK$4:$AM$9,2,FALSE)=0,"Spatial Data Missing ⚠",VLOOKUP(J232,'G-7 Rivers Data'!$AK$4:$AM$9,2,FALSE)))</f>
        <v/>
      </c>
      <c r="L232" s="524" t="str">
        <f>IF(J232="","",IF(VLOOKUP(J232,'G-7 Rivers Data'!$AK$4:$AM$9,3,FALSE)=0,"Spatial Data Missing ⚠",VLOOKUP(J232,'G-7 Rivers Data'!$AK$4:$AM$9,3,FALSE)))</f>
        <v/>
      </c>
      <c r="M232" s="71"/>
      <c r="N232" s="499" t="str">
        <f>IF(M232="","",IF(VLOOKUP(M232,'G-7 Rivers Data'!$AA$4:$AB$7,2,FALSE)=0,"Spatial Data Missing ⚠",VLOOKUP(M232,'G-7 Rivers Data'!$AA$4:$AB$7,2,FALSE)))</f>
        <v/>
      </c>
      <c r="O232" s="155"/>
      <c r="P232" s="499" t="str">
        <f>IF(O232="","",IF(VLOOKUP(O232,'G-7 Rivers Data'!$AD$4:$AE$8,2,FALSE)=0,"Spatial Data Missing ⚠",VLOOKUP(O232,'G-7 Rivers Data'!$AD$4:$AE$8,2,FALSE)))</f>
        <v/>
      </c>
      <c r="Q232" s="506" t="str">
        <f>IF(D232="","",VLOOKUP(D232,'G-7 Rivers Data'!$B$4:$G$8,6,FALSE))</f>
        <v/>
      </c>
      <c r="R232" s="513" t="str">
        <f t="shared" si="24"/>
        <v/>
      </c>
      <c r="S232" s="40"/>
      <c r="T232" s="145"/>
      <c r="U232" s="157"/>
      <c r="V232" s="511" t="str">
        <f t="shared" si="25"/>
        <v/>
      </c>
      <c r="W232" s="511" t="str">
        <f t="shared" si="26"/>
        <v/>
      </c>
      <c r="X232" s="511" t="str">
        <f t="shared" si="27"/>
        <v/>
      </c>
      <c r="Y232" s="515" t="str">
        <f t="shared" si="28"/>
        <v/>
      </c>
      <c r="Z232" s="151"/>
      <c r="AA232" s="152"/>
      <c r="AF232" s="31" t="str">
        <f>IFERROR(INDEX('G-7 Rivers Data'!$AZ$3:$AZ$7,MATCH(D232,'G-7 Rivers Data'!$AY$3:$AY$7,0)),"")</f>
        <v/>
      </c>
      <c r="AG232" s="31">
        <f t="shared" si="29"/>
        <v>0</v>
      </c>
      <c r="AH232" s="156" t="str">
        <f t="shared" si="30"/>
        <v/>
      </c>
      <c r="AI232" s="156" t="str">
        <f t="shared" si="31"/>
        <v/>
      </c>
      <c r="AK232" s="156">
        <v>223</v>
      </c>
      <c r="AM232" s="156" t="str">
        <f t="array" ref="AM232">IFERROR(INDEX($AK$10:$AK$258, MATCH(0, IF(TRUE=$AH$10:$AH$258, COUNTIF($AM$9:$AM231, $AK$10:$AK$258), ""), 0)),"")</f>
        <v/>
      </c>
      <c r="AN232" s="156" t="str">
        <f t="array" ref="AN232">IFERROR(INDEX($AK$10:$AK$258, MATCH(0, IF(TRUE=$AI$10:$AI$258, COUNTIF($AN$9:$AN231, $AK$10:$AK$258), ""), 0)),"")</f>
        <v/>
      </c>
    </row>
    <row r="233" spans="3:40" ht="14" x14ac:dyDescent="0.3">
      <c r="C233" s="141">
        <v>224</v>
      </c>
      <c r="D233" s="462"/>
      <c r="E233" s="153"/>
      <c r="F233" s="498" t="str">
        <f>IF(D233="","",VLOOKUP(D233,'G-7 Rivers Data'!$B$2:$G$8,2,FALSE))</f>
        <v/>
      </c>
      <c r="G233" s="499" t="str">
        <f>IFERROR(VLOOKUP(F233,'G-7 Rivers Data'!$C$4:$D$8,2,FALSE),"")</f>
        <v/>
      </c>
      <c r="H233" s="145"/>
      <c r="I233" s="499" t="str">
        <f>IFERROR(INDEX('G-7 Rivers Data'!$H$4:$L$8,MATCH(D233,'G-7 Rivers Data'!$B$4:$B$8,0),MATCH(H233,'G-7 Rivers Data'!$H$3:$L$3,0)),"")</f>
        <v/>
      </c>
      <c r="J233" s="154"/>
      <c r="K233" s="520" t="str">
        <f>IF(J233="","",IF(VLOOKUP(J233,'G-7 Rivers Data'!$AK$4:$AM$9,2,FALSE)=0,"Spatial Data Missing ⚠",VLOOKUP(J233,'G-7 Rivers Data'!$AK$4:$AM$9,2,FALSE)))</f>
        <v/>
      </c>
      <c r="L233" s="524" t="str">
        <f>IF(J233="","",IF(VLOOKUP(J233,'G-7 Rivers Data'!$AK$4:$AM$9,3,FALSE)=0,"Spatial Data Missing ⚠",VLOOKUP(J233,'G-7 Rivers Data'!$AK$4:$AM$9,3,FALSE)))</f>
        <v/>
      </c>
      <c r="M233" s="71"/>
      <c r="N233" s="499" t="str">
        <f>IF(M233="","",IF(VLOOKUP(M233,'G-7 Rivers Data'!$AA$4:$AB$7,2,FALSE)=0,"Spatial Data Missing ⚠",VLOOKUP(M233,'G-7 Rivers Data'!$AA$4:$AB$7,2,FALSE)))</f>
        <v/>
      </c>
      <c r="O233" s="155"/>
      <c r="P233" s="499" t="str">
        <f>IF(O233="","",IF(VLOOKUP(O233,'G-7 Rivers Data'!$AD$4:$AE$8,2,FALSE)=0,"Spatial Data Missing ⚠",VLOOKUP(O233,'G-7 Rivers Data'!$AD$4:$AE$8,2,FALSE)))</f>
        <v/>
      </c>
      <c r="Q233" s="506" t="str">
        <f>IF(D233="","",VLOOKUP(D233,'G-7 Rivers Data'!$B$4:$G$8,6,FALSE))</f>
        <v/>
      </c>
      <c r="R233" s="513" t="str">
        <f t="shared" si="24"/>
        <v/>
      </c>
      <c r="S233" s="40"/>
      <c r="T233" s="145"/>
      <c r="U233" s="157"/>
      <c r="V233" s="511" t="str">
        <f t="shared" si="25"/>
        <v/>
      </c>
      <c r="W233" s="511" t="str">
        <f t="shared" si="26"/>
        <v/>
      </c>
      <c r="X233" s="511" t="str">
        <f t="shared" si="27"/>
        <v/>
      </c>
      <c r="Y233" s="515" t="str">
        <f t="shared" si="28"/>
        <v/>
      </c>
      <c r="Z233" s="151"/>
      <c r="AA233" s="152"/>
      <c r="AF233" s="31" t="str">
        <f>IFERROR(INDEX('G-7 Rivers Data'!$AZ$3:$AZ$7,MATCH(D233,'G-7 Rivers Data'!$AY$3:$AY$7,0)),"")</f>
        <v/>
      </c>
      <c r="AG233" s="31">
        <f t="shared" si="29"/>
        <v>0</v>
      </c>
      <c r="AH233" s="156" t="str">
        <f t="shared" si="30"/>
        <v/>
      </c>
      <c r="AI233" s="156" t="str">
        <f t="shared" si="31"/>
        <v/>
      </c>
      <c r="AK233" s="156">
        <v>224</v>
      </c>
      <c r="AM233" s="156" t="str">
        <f t="array" ref="AM233">IFERROR(INDEX($AK$10:$AK$258, MATCH(0, IF(TRUE=$AH$10:$AH$258, COUNTIF($AM$9:$AM232, $AK$10:$AK$258), ""), 0)),"")</f>
        <v/>
      </c>
      <c r="AN233" s="156" t="str">
        <f t="array" ref="AN233">IFERROR(INDEX($AK$10:$AK$258, MATCH(0, IF(TRUE=$AI$10:$AI$258, COUNTIF($AN$9:$AN232, $AK$10:$AK$258), ""), 0)),"")</f>
        <v/>
      </c>
    </row>
    <row r="234" spans="3:40" ht="14" x14ac:dyDescent="0.3">
      <c r="C234" s="141">
        <v>225</v>
      </c>
      <c r="D234" s="462"/>
      <c r="E234" s="153"/>
      <c r="F234" s="498" t="str">
        <f>IF(D234="","",VLOOKUP(D234,'G-7 Rivers Data'!$B$2:$G$8,2,FALSE))</f>
        <v/>
      </c>
      <c r="G234" s="499" t="str">
        <f>IFERROR(VLOOKUP(F234,'G-7 Rivers Data'!$C$4:$D$8,2,FALSE),"")</f>
        <v/>
      </c>
      <c r="H234" s="145"/>
      <c r="I234" s="499" t="str">
        <f>IFERROR(INDEX('G-7 Rivers Data'!$H$4:$L$8,MATCH(D234,'G-7 Rivers Data'!$B$4:$B$8,0),MATCH(H234,'G-7 Rivers Data'!$H$3:$L$3,0)),"")</f>
        <v/>
      </c>
      <c r="J234" s="154"/>
      <c r="K234" s="520" t="str">
        <f>IF(J234="","",IF(VLOOKUP(J234,'G-7 Rivers Data'!$AK$4:$AM$9,2,FALSE)=0,"Spatial Data Missing ⚠",VLOOKUP(J234,'G-7 Rivers Data'!$AK$4:$AM$9,2,FALSE)))</f>
        <v/>
      </c>
      <c r="L234" s="524" t="str">
        <f>IF(J234="","",IF(VLOOKUP(J234,'G-7 Rivers Data'!$AK$4:$AM$9,3,FALSE)=0,"Spatial Data Missing ⚠",VLOOKUP(J234,'G-7 Rivers Data'!$AK$4:$AM$9,3,FALSE)))</f>
        <v/>
      </c>
      <c r="M234" s="71"/>
      <c r="N234" s="499" t="str">
        <f>IF(M234="","",IF(VLOOKUP(M234,'G-7 Rivers Data'!$AA$4:$AB$7,2,FALSE)=0,"Spatial Data Missing ⚠",VLOOKUP(M234,'G-7 Rivers Data'!$AA$4:$AB$7,2,FALSE)))</f>
        <v/>
      </c>
      <c r="O234" s="155"/>
      <c r="P234" s="499" t="str">
        <f>IF(O234="","",IF(VLOOKUP(O234,'G-7 Rivers Data'!$AD$4:$AE$8,2,FALSE)=0,"Spatial Data Missing ⚠",VLOOKUP(O234,'G-7 Rivers Data'!$AD$4:$AE$8,2,FALSE)))</f>
        <v/>
      </c>
      <c r="Q234" s="506" t="str">
        <f>IF(D234="","",VLOOKUP(D234,'G-7 Rivers Data'!$B$4:$G$8,6,FALSE))</f>
        <v/>
      </c>
      <c r="R234" s="513" t="str">
        <f t="shared" si="24"/>
        <v/>
      </c>
      <c r="S234" s="40"/>
      <c r="T234" s="145"/>
      <c r="U234" s="157"/>
      <c r="V234" s="511" t="str">
        <f t="shared" si="25"/>
        <v/>
      </c>
      <c r="W234" s="511" t="str">
        <f t="shared" si="26"/>
        <v/>
      </c>
      <c r="X234" s="511" t="str">
        <f t="shared" si="27"/>
        <v/>
      </c>
      <c r="Y234" s="515" t="str">
        <f t="shared" si="28"/>
        <v/>
      </c>
      <c r="Z234" s="151"/>
      <c r="AA234" s="152"/>
      <c r="AF234" s="31" t="str">
        <f>IFERROR(INDEX('G-7 Rivers Data'!$AZ$3:$AZ$7,MATCH(D234,'G-7 Rivers Data'!$AY$3:$AY$7,0)),"")</f>
        <v/>
      </c>
      <c r="AG234" s="31">
        <f t="shared" si="29"/>
        <v>0</v>
      </c>
      <c r="AH234" s="156" t="str">
        <f t="shared" si="30"/>
        <v/>
      </c>
      <c r="AI234" s="156" t="str">
        <f t="shared" si="31"/>
        <v/>
      </c>
      <c r="AK234" s="156">
        <v>225</v>
      </c>
      <c r="AM234" s="156" t="str">
        <f t="array" ref="AM234">IFERROR(INDEX($AK$10:$AK$258, MATCH(0, IF(TRUE=$AH$10:$AH$258, COUNTIF($AM$9:$AM233, $AK$10:$AK$258), ""), 0)),"")</f>
        <v/>
      </c>
      <c r="AN234" s="156" t="str">
        <f t="array" ref="AN234">IFERROR(INDEX($AK$10:$AK$258, MATCH(0, IF(TRUE=$AI$10:$AI$258, COUNTIF($AN$9:$AN233, $AK$10:$AK$258), ""), 0)),"")</f>
        <v/>
      </c>
    </row>
    <row r="235" spans="3:40" ht="14" x14ac:dyDescent="0.3">
      <c r="C235" s="141">
        <v>226</v>
      </c>
      <c r="D235" s="462"/>
      <c r="E235" s="153"/>
      <c r="F235" s="498" t="str">
        <f>IF(D235="","",VLOOKUP(D235,'G-7 Rivers Data'!$B$2:$G$8,2,FALSE))</f>
        <v/>
      </c>
      <c r="G235" s="499" t="str">
        <f>IFERROR(VLOOKUP(F235,'G-7 Rivers Data'!$C$4:$D$8,2,FALSE),"")</f>
        <v/>
      </c>
      <c r="H235" s="145"/>
      <c r="I235" s="499" t="str">
        <f>IFERROR(INDEX('G-7 Rivers Data'!$H$4:$L$8,MATCH(D235,'G-7 Rivers Data'!$B$4:$B$8,0),MATCH(H235,'G-7 Rivers Data'!$H$3:$L$3,0)),"")</f>
        <v/>
      </c>
      <c r="J235" s="154"/>
      <c r="K235" s="520" t="str">
        <f>IF(J235="","",IF(VLOOKUP(J235,'G-7 Rivers Data'!$AK$4:$AM$9,2,FALSE)=0,"Spatial Data Missing ⚠",VLOOKUP(J235,'G-7 Rivers Data'!$AK$4:$AM$9,2,FALSE)))</f>
        <v/>
      </c>
      <c r="L235" s="524" t="str">
        <f>IF(J235="","",IF(VLOOKUP(J235,'G-7 Rivers Data'!$AK$4:$AM$9,3,FALSE)=0,"Spatial Data Missing ⚠",VLOOKUP(J235,'G-7 Rivers Data'!$AK$4:$AM$9,3,FALSE)))</f>
        <v/>
      </c>
      <c r="M235" s="71"/>
      <c r="N235" s="499" t="str">
        <f>IF(M235="","",IF(VLOOKUP(M235,'G-7 Rivers Data'!$AA$4:$AB$7,2,FALSE)=0,"Spatial Data Missing ⚠",VLOOKUP(M235,'G-7 Rivers Data'!$AA$4:$AB$7,2,FALSE)))</f>
        <v/>
      </c>
      <c r="O235" s="155"/>
      <c r="P235" s="499" t="str">
        <f>IF(O235="","",IF(VLOOKUP(O235,'G-7 Rivers Data'!$AD$4:$AE$8,2,FALSE)=0,"Spatial Data Missing ⚠",VLOOKUP(O235,'G-7 Rivers Data'!$AD$4:$AE$8,2,FALSE)))</f>
        <v/>
      </c>
      <c r="Q235" s="506" t="str">
        <f>IF(D235="","",VLOOKUP(D235,'G-7 Rivers Data'!$B$4:$G$8,6,FALSE))</f>
        <v/>
      </c>
      <c r="R235" s="513" t="str">
        <f t="shared" si="24"/>
        <v/>
      </c>
      <c r="S235" s="40"/>
      <c r="T235" s="145"/>
      <c r="U235" s="157"/>
      <c r="V235" s="511" t="str">
        <f t="shared" si="25"/>
        <v/>
      </c>
      <c r="W235" s="511" t="str">
        <f t="shared" si="26"/>
        <v/>
      </c>
      <c r="X235" s="511" t="str">
        <f t="shared" si="27"/>
        <v/>
      </c>
      <c r="Y235" s="515" t="str">
        <f t="shared" si="28"/>
        <v/>
      </c>
      <c r="Z235" s="151"/>
      <c r="AA235" s="152"/>
      <c r="AF235" s="31" t="str">
        <f>IFERROR(INDEX('G-7 Rivers Data'!$AZ$3:$AZ$7,MATCH(D235,'G-7 Rivers Data'!$AY$3:$AY$7,0)),"")</f>
        <v/>
      </c>
      <c r="AG235" s="31">
        <f t="shared" si="29"/>
        <v>0</v>
      </c>
      <c r="AH235" s="156" t="str">
        <f t="shared" si="30"/>
        <v/>
      </c>
      <c r="AI235" s="156" t="str">
        <f t="shared" si="31"/>
        <v/>
      </c>
      <c r="AK235" s="156">
        <v>226</v>
      </c>
      <c r="AM235" s="156" t="str">
        <f t="array" ref="AM235">IFERROR(INDEX($AK$10:$AK$258, MATCH(0, IF(TRUE=$AH$10:$AH$258, COUNTIF($AM$9:$AM234, $AK$10:$AK$258), ""), 0)),"")</f>
        <v/>
      </c>
      <c r="AN235" s="156" t="str">
        <f t="array" ref="AN235">IFERROR(INDEX($AK$10:$AK$258, MATCH(0, IF(TRUE=$AI$10:$AI$258, COUNTIF($AN$9:$AN234, $AK$10:$AK$258), ""), 0)),"")</f>
        <v/>
      </c>
    </row>
    <row r="236" spans="3:40" ht="14" x14ac:dyDescent="0.3">
      <c r="C236" s="141">
        <v>227</v>
      </c>
      <c r="D236" s="462"/>
      <c r="E236" s="153"/>
      <c r="F236" s="498" t="str">
        <f>IF(D236="","",VLOOKUP(D236,'G-7 Rivers Data'!$B$2:$G$8,2,FALSE))</f>
        <v/>
      </c>
      <c r="G236" s="499" t="str">
        <f>IFERROR(VLOOKUP(F236,'G-7 Rivers Data'!$C$4:$D$8,2,FALSE),"")</f>
        <v/>
      </c>
      <c r="H236" s="145"/>
      <c r="I236" s="499" t="str">
        <f>IFERROR(INDEX('G-7 Rivers Data'!$H$4:$L$8,MATCH(D236,'G-7 Rivers Data'!$B$4:$B$8,0),MATCH(H236,'G-7 Rivers Data'!$H$3:$L$3,0)),"")</f>
        <v/>
      </c>
      <c r="J236" s="154"/>
      <c r="K236" s="520" t="str">
        <f>IF(J236="","",IF(VLOOKUP(J236,'G-7 Rivers Data'!$AK$4:$AM$9,2,FALSE)=0,"Spatial Data Missing ⚠",VLOOKUP(J236,'G-7 Rivers Data'!$AK$4:$AM$9,2,FALSE)))</f>
        <v/>
      </c>
      <c r="L236" s="524" t="str">
        <f>IF(J236="","",IF(VLOOKUP(J236,'G-7 Rivers Data'!$AK$4:$AM$9,3,FALSE)=0,"Spatial Data Missing ⚠",VLOOKUP(J236,'G-7 Rivers Data'!$AK$4:$AM$9,3,FALSE)))</f>
        <v/>
      </c>
      <c r="M236" s="71"/>
      <c r="N236" s="499" t="str">
        <f>IF(M236="","",IF(VLOOKUP(M236,'G-7 Rivers Data'!$AA$4:$AB$7,2,FALSE)=0,"Spatial Data Missing ⚠",VLOOKUP(M236,'G-7 Rivers Data'!$AA$4:$AB$7,2,FALSE)))</f>
        <v/>
      </c>
      <c r="O236" s="155"/>
      <c r="P236" s="499" t="str">
        <f>IF(O236="","",IF(VLOOKUP(O236,'G-7 Rivers Data'!$AD$4:$AE$8,2,FALSE)=0,"Spatial Data Missing ⚠",VLOOKUP(O236,'G-7 Rivers Data'!$AD$4:$AE$8,2,FALSE)))</f>
        <v/>
      </c>
      <c r="Q236" s="506" t="str">
        <f>IF(D236="","",VLOOKUP(D236,'G-7 Rivers Data'!$B$4:$G$8,6,FALSE))</f>
        <v/>
      </c>
      <c r="R236" s="513" t="str">
        <f t="shared" si="24"/>
        <v/>
      </c>
      <c r="S236" s="40"/>
      <c r="T236" s="145"/>
      <c r="U236" s="157"/>
      <c r="V236" s="511" t="str">
        <f t="shared" si="25"/>
        <v/>
      </c>
      <c r="W236" s="511" t="str">
        <f t="shared" si="26"/>
        <v/>
      </c>
      <c r="X236" s="511" t="str">
        <f t="shared" si="27"/>
        <v/>
      </c>
      <c r="Y236" s="515" t="str">
        <f t="shared" si="28"/>
        <v/>
      </c>
      <c r="Z236" s="151"/>
      <c r="AA236" s="152"/>
      <c r="AF236" s="31" t="str">
        <f>IFERROR(INDEX('G-7 Rivers Data'!$AZ$3:$AZ$7,MATCH(D236,'G-7 Rivers Data'!$AY$3:$AY$7,0)),"")</f>
        <v/>
      </c>
      <c r="AG236" s="31">
        <f t="shared" si="29"/>
        <v>0</v>
      </c>
      <c r="AH236" s="156" t="str">
        <f t="shared" si="30"/>
        <v/>
      </c>
      <c r="AI236" s="156" t="str">
        <f t="shared" si="31"/>
        <v/>
      </c>
      <c r="AK236" s="156">
        <v>227</v>
      </c>
      <c r="AM236" s="156" t="str">
        <f t="array" ref="AM236">IFERROR(INDEX($AK$10:$AK$258, MATCH(0, IF(TRUE=$AH$10:$AH$258, COUNTIF($AM$9:$AM235, $AK$10:$AK$258), ""), 0)),"")</f>
        <v/>
      </c>
      <c r="AN236" s="156" t="str">
        <f t="array" ref="AN236">IFERROR(INDEX($AK$10:$AK$258, MATCH(0, IF(TRUE=$AI$10:$AI$258, COUNTIF($AN$9:$AN235, $AK$10:$AK$258), ""), 0)),"")</f>
        <v/>
      </c>
    </row>
    <row r="237" spans="3:40" ht="14" x14ac:dyDescent="0.3">
      <c r="C237" s="141">
        <v>228</v>
      </c>
      <c r="D237" s="462"/>
      <c r="E237" s="153"/>
      <c r="F237" s="498" t="str">
        <f>IF(D237="","",VLOOKUP(D237,'G-7 Rivers Data'!$B$2:$G$8,2,FALSE))</f>
        <v/>
      </c>
      <c r="G237" s="499" t="str">
        <f>IFERROR(VLOOKUP(F237,'G-7 Rivers Data'!$C$4:$D$8,2,FALSE),"")</f>
        <v/>
      </c>
      <c r="H237" s="145"/>
      <c r="I237" s="499" t="str">
        <f>IFERROR(INDEX('G-7 Rivers Data'!$H$4:$L$8,MATCH(D237,'G-7 Rivers Data'!$B$4:$B$8,0),MATCH(H237,'G-7 Rivers Data'!$H$3:$L$3,0)),"")</f>
        <v/>
      </c>
      <c r="J237" s="154"/>
      <c r="K237" s="520" t="str">
        <f>IF(J237="","",IF(VLOOKUP(J237,'G-7 Rivers Data'!$AK$4:$AM$9,2,FALSE)=0,"Spatial Data Missing ⚠",VLOOKUP(J237,'G-7 Rivers Data'!$AK$4:$AM$9,2,FALSE)))</f>
        <v/>
      </c>
      <c r="L237" s="524" t="str">
        <f>IF(J237="","",IF(VLOOKUP(J237,'G-7 Rivers Data'!$AK$4:$AM$9,3,FALSE)=0,"Spatial Data Missing ⚠",VLOOKUP(J237,'G-7 Rivers Data'!$AK$4:$AM$9,3,FALSE)))</f>
        <v/>
      </c>
      <c r="M237" s="71"/>
      <c r="N237" s="499" t="str">
        <f>IF(M237="","",IF(VLOOKUP(M237,'G-7 Rivers Data'!$AA$4:$AB$7,2,FALSE)=0,"Spatial Data Missing ⚠",VLOOKUP(M237,'G-7 Rivers Data'!$AA$4:$AB$7,2,FALSE)))</f>
        <v/>
      </c>
      <c r="O237" s="155"/>
      <c r="P237" s="499" t="str">
        <f>IF(O237="","",IF(VLOOKUP(O237,'G-7 Rivers Data'!$AD$4:$AE$8,2,FALSE)=0,"Spatial Data Missing ⚠",VLOOKUP(O237,'G-7 Rivers Data'!$AD$4:$AE$8,2,FALSE)))</f>
        <v/>
      </c>
      <c r="Q237" s="506" t="str">
        <f>IF(D237="","",VLOOKUP(D237,'G-7 Rivers Data'!$B$4:$G$8,6,FALSE))</f>
        <v/>
      </c>
      <c r="R237" s="513" t="str">
        <f t="shared" si="24"/>
        <v/>
      </c>
      <c r="S237" s="40"/>
      <c r="T237" s="145"/>
      <c r="U237" s="157"/>
      <c r="V237" s="511" t="str">
        <f t="shared" si="25"/>
        <v/>
      </c>
      <c r="W237" s="511" t="str">
        <f t="shared" si="26"/>
        <v/>
      </c>
      <c r="X237" s="511" t="str">
        <f t="shared" si="27"/>
        <v/>
      </c>
      <c r="Y237" s="515" t="str">
        <f t="shared" si="28"/>
        <v/>
      </c>
      <c r="Z237" s="151"/>
      <c r="AA237" s="152"/>
      <c r="AF237" s="31" t="str">
        <f>IFERROR(INDEX('G-7 Rivers Data'!$AZ$3:$AZ$7,MATCH(D237,'G-7 Rivers Data'!$AY$3:$AY$7,0)),"")</f>
        <v/>
      </c>
      <c r="AG237" s="31">
        <f t="shared" si="29"/>
        <v>0</v>
      </c>
      <c r="AH237" s="156" t="str">
        <f t="shared" si="30"/>
        <v/>
      </c>
      <c r="AI237" s="156" t="str">
        <f t="shared" si="31"/>
        <v/>
      </c>
      <c r="AK237" s="156">
        <v>228</v>
      </c>
      <c r="AM237" s="156" t="str">
        <f t="array" ref="AM237">IFERROR(INDEX($AK$10:$AK$258, MATCH(0, IF(TRUE=$AH$10:$AH$258, COUNTIF($AM$9:$AM236, $AK$10:$AK$258), ""), 0)),"")</f>
        <v/>
      </c>
      <c r="AN237" s="156" t="str">
        <f t="array" ref="AN237">IFERROR(INDEX($AK$10:$AK$258, MATCH(0, IF(TRUE=$AI$10:$AI$258, COUNTIF($AN$9:$AN236, $AK$10:$AK$258), ""), 0)),"")</f>
        <v/>
      </c>
    </row>
    <row r="238" spans="3:40" ht="14" x14ac:dyDescent="0.3">
      <c r="C238" s="141">
        <v>229</v>
      </c>
      <c r="D238" s="462"/>
      <c r="E238" s="153"/>
      <c r="F238" s="498" t="str">
        <f>IF(D238="","",VLOOKUP(D238,'G-7 Rivers Data'!$B$2:$G$8,2,FALSE))</f>
        <v/>
      </c>
      <c r="G238" s="499" t="str">
        <f>IFERROR(VLOOKUP(F238,'G-7 Rivers Data'!$C$4:$D$8,2,FALSE),"")</f>
        <v/>
      </c>
      <c r="H238" s="145"/>
      <c r="I238" s="499" t="str">
        <f>IFERROR(INDEX('G-7 Rivers Data'!$H$4:$L$8,MATCH(D238,'G-7 Rivers Data'!$B$4:$B$8,0),MATCH(H238,'G-7 Rivers Data'!$H$3:$L$3,0)),"")</f>
        <v/>
      </c>
      <c r="J238" s="154"/>
      <c r="K238" s="520" t="str">
        <f>IF(J238="","",IF(VLOOKUP(J238,'G-7 Rivers Data'!$AK$4:$AM$9,2,FALSE)=0,"Spatial Data Missing ⚠",VLOOKUP(J238,'G-7 Rivers Data'!$AK$4:$AM$9,2,FALSE)))</f>
        <v/>
      </c>
      <c r="L238" s="524" t="str">
        <f>IF(J238="","",IF(VLOOKUP(J238,'G-7 Rivers Data'!$AK$4:$AM$9,3,FALSE)=0,"Spatial Data Missing ⚠",VLOOKUP(J238,'G-7 Rivers Data'!$AK$4:$AM$9,3,FALSE)))</f>
        <v/>
      </c>
      <c r="M238" s="71"/>
      <c r="N238" s="499" t="str">
        <f>IF(M238="","",IF(VLOOKUP(M238,'G-7 Rivers Data'!$AA$4:$AB$7,2,FALSE)=0,"Spatial Data Missing ⚠",VLOOKUP(M238,'G-7 Rivers Data'!$AA$4:$AB$7,2,FALSE)))</f>
        <v/>
      </c>
      <c r="O238" s="155"/>
      <c r="P238" s="499" t="str">
        <f>IF(O238="","",IF(VLOOKUP(O238,'G-7 Rivers Data'!$AD$4:$AE$8,2,FALSE)=0,"Spatial Data Missing ⚠",VLOOKUP(O238,'G-7 Rivers Data'!$AD$4:$AE$8,2,FALSE)))</f>
        <v/>
      </c>
      <c r="Q238" s="506" t="str">
        <f>IF(D238="","",VLOOKUP(D238,'G-7 Rivers Data'!$B$4:$G$8,6,FALSE))</f>
        <v/>
      </c>
      <c r="R238" s="513" t="str">
        <f t="shared" si="24"/>
        <v/>
      </c>
      <c r="S238" s="40"/>
      <c r="T238" s="145"/>
      <c r="U238" s="157"/>
      <c r="V238" s="511" t="str">
        <f t="shared" si="25"/>
        <v/>
      </c>
      <c r="W238" s="511" t="str">
        <f t="shared" si="26"/>
        <v/>
      </c>
      <c r="X238" s="511" t="str">
        <f t="shared" si="27"/>
        <v/>
      </c>
      <c r="Y238" s="515" t="str">
        <f t="shared" si="28"/>
        <v/>
      </c>
      <c r="Z238" s="151"/>
      <c r="AA238" s="152"/>
      <c r="AF238" s="31" t="str">
        <f>IFERROR(INDEX('G-7 Rivers Data'!$AZ$3:$AZ$7,MATCH(D238,'G-7 Rivers Data'!$AY$3:$AY$7,0)),"")</f>
        <v/>
      </c>
      <c r="AG238" s="31">
        <f t="shared" si="29"/>
        <v>0</v>
      </c>
      <c r="AH238" s="156" t="str">
        <f t="shared" si="30"/>
        <v/>
      </c>
      <c r="AI238" s="156" t="str">
        <f t="shared" si="31"/>
        <v/>
      </c>
      <c r="AK238" s="156">
        <v>229</v>
      </c>
      <c r="AM238" s="156" t="str">
        <f t="array" ref="AM238">IFERROR(INDEX($AK$10:$AK$258, MATCH(0, IF(TRUE=$AH$10:$AH$258, COUNTIF($AM$9:$AM237, $AK$10:$AK$258), ""), 0)),"")</f>
        <v/>
      </c>
      <c r="AN238" s="156" t="str">
        <f t="array" ref="AN238">IFERROR(INDEX($AK$10:$AK$258, MATCH(0, IF(TRUE=$AI$10:$AI$258, COUNTIF($AN$9:$AN237, $AK$10:$AK$258), ""), 0)),"")</f>
        <v/>
      </c>
    </row>
    <row r="239" spans="3:40" ht="14" x14ac:dyDescent="0.3">
      <c r="C239" s="141">
        <v>230</v>
      </c>
      <c r="D239" s="462"/>
      <c r="E239" s="153"/>
      <c r="F239" s="498" t="str">
        <f>IF(D239="","",VLOOKUP(D239,'G-7 Rivers Data'!$B$2:$G$8,2,FALSE))</f>
        <v/>
      </c>
      <c r="G239" s="499" t="str">
        <f>IFERROR(VLOOKUP(F239,'G-7 Rivers Data'!$C$4:$D$8,2,FALSE),"")</f>
        <v/>
      </c>
      <c r="H239" s="145"/>
      <c r="I239" s="499" t="str">
        <f>IFERROR(INDEX('G-7 Rivers Data'!$H$4:$L$8,MATCH(D239,'G-7 Rivers Data'!$B$4:$B$8,0),MATCH(H239,'G-7 Rivers Data'!$H$3:$L$3,0)),"")</f>
        <v/>
      </c>
      <c r="J239" s="154"/>
      <c r="K239" s="520" t="str">
        <f>IF(J239="","",IF(VLOOKUP(J239,'G-7 Rivers Data'!$AK$4:$AM$9,2,FALSE)=0,"Spatial Data Missing ⚠",VLOOKUP(J239,'G-7 Rivers Data'!$AK$4:$AM$9,2,FALSE)))</f>
        <v/>
      </c>
      <c r="L239" s="524" t="str">
        <f>IF(J239="","",IF(VLOOKUP(J239,'G-7 Rivers Data'!$AK$4:$AM$9,3,FALSE)=0,"Spatial Data Missing ⚠",VLOOKUP(J239,'G-7 Rivers Data'!$AK$4:$AM$9,3,FALSE)))</f>
        <v/>
      </c>
      <c r="M239" s="71"/>
      <c r="N239" s="499" t="str">
        <f>IF(M239="","",IF(VLOOKUP(M239,'G-7 Rivers Data'!$AA$4:$AB$7,2,FALSE)=0,"Spatial Data Missing ⚠",VLOOKUP(M239,'G-7 Rivers Data'!$AA$4:$AB$7,2,FALSE)))</f>
        <v/>
      </c>
      <c r="O239" s="155"/>
      <c r="P239" s="499" t="str">
        <f>IF(O239="","",IF(VLOOKUP(O239,'G-7 Rivers Data'!$AD$4:$AE$8,2,FALSE)=0,"Spatial Data Missing ⚠",VLOOKUP(O239,'G-7 Rivers Data'!$AD$4:$AE$8,2,FALSE)))</f>
        <v/>
      </c>
      <c r="Q239" s="506" t="str">
        <f>IF(D239="","",VLOOKUP(D239,'G-7 Rivers Data'!$B$4:$G$8,6,FALSE))</f>
        <v/>
      </c>
      <c r="R239" s="513" t="str">
        <f t="shared" si="24"/>
        <v/>
      </c>
      <c r="S239" s="40"/>
      <c r="T239" s="145"/>
      <c r="U239" s="157"/>
      <c r="V239" s="511" t="str">
        <f t="shared" si="25"/>
        <v/>
      </c>
      <c r="W239" s="511" t="str">
        <f t="shared" si="26"/>
        <v/>
      </c>
      <c r="X239" s="511" t="str">
        <f t="shared" si="27"/>
        <v/>
      </c>
      <c r="Y239" s="515" t="str">
        <f t="shared" si="28"/>
        <v/>
      </c>
      <c r="Z239" s="151"/>
      <c r="AA239" s="152"/>
      <c r="AF239" s="31" t="str">
        <f>IFERROR(INDEX('G-7 Rivers Data'!$AZ$3:$AZ$7,MATCH(D239,'G-7 Rivers Data'!$AY$3:$AY$7,0)),"")</f>
        <v/>
      </c>
      <c r="AG239" s="31">
        <f t="shared" si="29"/>
        <v>0</v>
      </c>
      <c r="AH239" s="156" t="str">
        <f t="shared" si="30"/>
        <v/>
      </c>
      <c r="AI239" s="156" t="str">
        <f t="shared" si="31"/>
        <v/>
      </c>
      <c r="AK239" s="156">
        <v>230</v>
      </c>
      <c r="AM239" s="156" t="str">
        <f t="array" ref="AM239">IFERROR(INDEX($AK$10:$AK$258, MATCH(0, IF(TRUE=$AH$10:$AH$258, COUNTIF($AM$9:$AM238, $AK$10:$AK$258), ""), 0)),"")</f>
        <v/>
      </c>
      <c r="AN239" s="156" t="str">
        <f t="array" ref="AN239">IFERROR(INDEX($AK$10:$AK$258, MATCH(0, IF(TRUE=$AI$10:$AI$258, COUNTIF($AN$9:$AN238, $AK$10:$AK$258), ""), 0)),"")</f>
        <v/>
      </c>
    </row>
    <row r="240" spans="3:40" ht="14" x14ac:dyDescent="0.3">
      <c r="C240" s="141">
        <v>231</v>
      </c>
      <c r="D240" s="462"/>
      <c r="E240" s="153"/>
      <c r="F240" s="498" t="str">
        <f>IF(D240="","",VLOOKUP(D240,'G-7 Rivers Data'!$B$2:$G$8,2,FALSE))</f>
        <v/>
      </c>
      <c r="G240" s="499" t="str">
        <f>IFERROR(VLOOKUP(F240,'G-7 Rivers Data'!$C$4:$D$8,2,FALSE),"")</f>
        <v/>
      </c>
      <c r="H240" s="145"/>
      <c r="I240" s="499" t="str">
        <f>IFERROR(INDEX('G-7 Rivers Data'!$H$4:$L$8,MATCH(D240,'G-7 Rivers Data'!$B$4:$B$8,0),MATCH(H240,'G-7 Rivers Data'!$H$3:$L$3,0)),"")</f>
        <v/>
      </c>
      <c r="J240" s="154"/>
      <c r="K240" s="520" t="str">
        <f>IF(J240="","",IF(VLOOKUP(J240,'G-7 Rivers Data'!$AK$4:$AM$9,2,FALSE)=0,"Spatial Data Missing ⚠",VLOOKUP(J240,'G-7 Rivers Data'!$AK$4:$AM$9,2,FALSE)))</f>
        <v/>
      </c>
      <c r="L240" s="524" t="str">
        <f>IF(J240="","",IF(VLOOKUP(J240,'G-7 Rivers Data'!$AK$4:$AM$9,3,FALSE)=0,"Spatial Data Missing ⚠",VLOOKUP(J240,'G-7 Rivers Data'!$AK$4:$AM$9,3,FALSE)))</f>
        <v/>
      </c>
      <c r="M240" s="71"/>
      <c r="N240" s="499" t="str">
        <f>IF(M240="","",IF(VLOOKUP(M240,'G-7 Rivers Data'!$AA$4:$AB$7,2,FALSE)=0,"Spatial Data Missing ⚠",VLOOKUP(M240,'G-7 Rivers Data'!$AA$4:$AB$7,2,FALSE)))</f>
        <v/>
      </c>
      <c r="O240" s="155"/>
      <c r="P240" s="499" t="str">
        <f>IF(O240="","",IF(VLOOKUP(O240,'G-7 Rivers Data'!$AD$4:$AE$8,2,FALSE)=0,"Spatial Data Missing ⚠",VLOOKUP(O240,'G-7 Rivers Data'!$AD$4:$AE$8,2,FALSE)))</f>
        <v/>
      </c>
      <c r="Q240" s="506" t="str">
        <f>IF(D240="","",VLOOKUP(D240,'G-7 Rivers Data'!$B$4:$G$8,6,FALSE))</f>
        <v/>
      </c>
      <c r="R240" s="513" t="str">
        <f t="shared" si="24"/>
        <v/>
      </c>
      <c r="S240" s="40"/>
      <c r="T240" s="145"/>
      <c r="U240" s="157"/>
      <c r="V240" s="511" t="str">
        <f t="shared" si="25"/>
        <v/>
      </c>
      <c r="W240" s="511" t="str">
        <f t="shared" si="26"/>
        <v/>
      </c>
      <c r="X240" s="511" t="str">
        <f t="shared" si="27"/>
        <v/>
      </c>
      <c r="Y240" s="515" t="str">
        <f t="shared" si="28"/>
        <v/>
      </c>
      <c r="Z240" s="151"/>
      <c r="AA240" s="152"/>
      <c r="AF240" s="31" t="str">
        <f>IFERROR(INDEX('G-7 Rivers Data'!$AZ$3:$AZ$7,MATCH(D240,'G-7 Rivers Data'!$AY$3:$AY$7,0)),"")</f>
        <v/>
      </c>
      <c r="AG240" s="31">
        <f t="shared" si="29"/>
        <v>0</v>
      </c>
      <c r="AH240" s="156" t="str">
        <f t="shared" si="30"/>
        <v/>
      </c>
      <c r="AI240" s="156" t="str">
        <f t="shared" si="31"/>
        <v/>
      </c>
      <c r="AK240" s="156">
        <v>231</v>
      </c>
      <c r="AM240" s="156" t="str">
        <f t="array" ref="AM240">IFERROR(INDEX($AK$10:$AK$258, MATCH(0, IF(TRUE=$AH$10:$AH$258, COUNTIF($AM$9:$AM239, $AK$10:$AK$258), ""), 0)),"")</f>
        <v/>
      </c>
      <c r="AN240" s="156" t="str">
        <f t="array" ref="AN240">IFERROR(INDEX($AK$10:$AK$258, MATCH(0, IF(TRUE=$AI$10:$AI$258, COUNTIF($AN$9:$AN239, $AK$10:$AK$258), ""), 0)),"")</f>
        <v/>
      </c>
    </row>
    <row r="241" spans="3:40" ht="14" x14ac:dyDescent="0.3">
      <c r="C241" s="141">
        <v>232</v>
      </c>
      <c r="D241" s="462"/>
      <c r="E241" s="153"/>
      <c r="F241" s="498" t="str">
        <f>IF(D241="","",VLOOKUP(D241,'G-7 Rivers Data'!$B$2:$G$8,2,FALSE))</f>
        <v/>
      </c>
      <c r="G241" s="499" t="str">
        <f>IFERROR(VLOOKUP(F241,'G-7 Rivers Data'!$C$4:$D$8,2,FALSE),"")</f>
        <v/>
      </c>
      <c r="H241" s="145"/>
      <c r="I241" s="499" t="str">
        <f>IFERROR(INDEX('G-7 Rivers Data'!$H$4:$L$8,MATCH(D241,'G-7 Rivers Data'!$B$4:$B$8,0),MATCH(H241,'G-7 Rivers Data'!$H$3:$L$3,0)),"")</f>
        <v/>
      </c>
      <c r="J241" s="154"/>
      <c r="K241" s="520" t="str">
        <f>IF(J241="","",IF(VLOOKUP(J241,'G-7 Rivers Data'!$AK$4:$AM$9,2,FALSE)=0,"Spatial Data Missing ⚠",VLOOKUP(J241,'G-7 Rivers Data'!$AK$4:$AM$9,2,FALSE)))</f>
        <v/>
      </c>
      <c r="L241" s="524" t="str">
        <f>IF(J241="","",IF(VLOOKUP(J241,'G-7 Rivers Data'!$AK$4:$AM$9,3,FALSE)=0,"Spatial Data Missing ⚠",VLOOKUP(J241,'G-7 Rivers Data'!$AK$4:$AM$9,3,FALSE)))</f>
        <v/>
      </c>
      <c r="M241" s="71"/>
      <c r="N241" s="499" t="str">
        <f>IF(M241="","",IF(VLOOKUP(M241,'G-7 Rivers Data'!$AA$4:$AB$7,2,FALSE)=0,"Spatial Data Missing ⚠",VLOOKUP(M241,'G-7 Rivers Data'!$AA$4:$AB$7,2,FALSE)))</f>
        <v/>
      </c>
      <c r="O241" s="155"/>
      <c r="P241" s="499" t="str">
        <f>IF(O241="","",IF(VLOOKUP(O241,'G-7 Rivers Data'!$AD$4:$AE$8,2,FALSE)=0,"Spatial Data Missing ⚠",VLOOKUP(O241,'G-7 Rivers Data'!$AD$4:$AE$8,2,FALSE)))</f>
        <v/>
      </c>
      <c r="Q241" s="506" t="str">
        <f>IF(D241="","",VLOOKUP(D241,'G-7 Rivers Data'!$B$4:$G$8,6,FALSE))</f>
        <v/>
      </c>
      <c r="R241" s="513" t="str">
        <f t="shared" si="24"/>
        <v/>
      </c>
      <c r="S241" s="40"/>
      <c r="T241" s="145"/>
      <c r="U241" s="157"/>
      <c r="V241" s="511" t="str">
        <f t="shared" si="25"/>
        <v/>
      </c>
      <c r="W241" s="511" t="str">
        <f t="shared" si="26"/>
        <v/>
      </c>
      <c r="X241" s="511" t="str">
        <f t="shared" si="27"/>
        <v/>
      </c>
      <c r="Y241" s="515" t="str">
        <f t="shared" si="28"/>
        <v/>
      </c>
      <c r="Z241" s="151"/>
      <c r="AA241" s="152"/>
      <c r="AF241" s="31" t="str">
        <f>IFERROR(INDEX('G-7 Rivers Data'!$AZ$3:$AZ$7,MATCH(D241,'G-7 Rivers Data'!$AY$3:$AY$7,0)),"")</f>
        <v/>
      </c>
      <c r="AG241" s="31">
        <f t="shared" si="29"/>
        <v>0</v>
      </c>
      <c r="AH241" s="156" t="str">
        <f t="shared" si="30"/>
        <v/>
      </c>
      <c r="AI241" s="156" t="str">
        <f t="shared" si="31"/>
        <v/>
      </c>
      <c r="AK241" s="156">
        <v>232</v>
      </c>
      <c r="AM241" s="156" t="str">
        <f t="array" ref="AM241">IFERROR(INDEX($AK$10:$AK$258, MATCH(0, IF(TRUE=$AH$10:$AH$258, COUNTIF($AM$9:$AM240, $AK$10:$AK$258), ""), 0)),"")</f>
        <v/>
      </c>
      <c r="AN241" s="156" t="str">
        <f t="array" ref="AN241">IFERROR(INDEX($AK$10:$AK$258, MATCH(0, IF(TRUE=$AI$10:$AI$258, COUNTIF($AN$9:$AN240, $AK$10:$AK$258), ""), 0)),"")</f>
        <v/>
      </c>
    </row>
    <row r="242" spans="3:40" ht="14" x14ac:dyDescent="0.3">
      <c r="C242" s="141">
        <v>233</v>
      </c>
      <c r="D242" s="462"/>
      <c r="E242" s="153"/>
      <c r="F242" s="498" t="str">
        <f>IF(D242="","",VLOOKUP(D242,'G-7 Rivers Data'!$B$2:$G$8,2,FALSE))</f>
        <v/>
      </c>
      <c r="G242" s="499" t="str">
        <f>IFERROR(VLOOKUP(F242,'G-7 Rivers Data'!$C$4:$D$8,2,FALSE),"")</f>
        <v/>
      </c>
      <c r="H242" s="145"/>
      <c r="I242" s="499" t="str">
        <f>IFERROR(INDEX('G-7 Rivers Data'!$H$4:$L$8,MATCH(D242,'G-7 Rivers Data'!$B$4:$B$8,0),MATCH(H242,'G-7 Rivers Data'!$H$3:$L$3,0)),"")</f>
        <v/>
      </c>
      <c r="J242" s="154"/>
      <c r="K242" s="520" t="str">
        <f>IF(J242="","",IF(VLOOKUP(J242,'G-7 Rivers Data'!$AK$4:$AM$9,2,FALSE)=0,"Spatial Data Missing ⚠",VLOOKUP(J242,'G-7 Rivers Data'!$AK$4:$AM$9,2,FALSE)))</f>
        <v/>
      </c>
      <c r="L242" s="524" t="str">
        <f>IF(J242="","",IF(VLOOKUP(J242,'G-7 Rivers Data'!$AK$4:$AM$9,3,FALSE)=0,"Spatial Data Missing ⚠",VLOOKUP(J242,'G-7 Rivers Data'!$AK$4:$AM$9,3,FALSE)))</f>
        <v/>
      </c>
      <c r="M242" s="71"/>
      <c r="N242" s="499" t="str">
        <f>IF(M242="","",IF(VLOOKUP(M242,'G-7 Rivers Data'!$AA$4:$AB$7,2,FALSE)=0,"Spatial Data Missing ⚠",VLOOKUP(M242,'G-7 Rivers Data'!$AA$4:$AB$7,2,FALSE)))</f>
        <v/>
      </c>
      <c r="O242" s="155"/>
      <c r="P242" s="499" t="str">
        <f>IF(O242="","",IF(VLOOKUP(O242,'G-7 Rivers Data'!$AD$4:$AE$8,2,FALSE)=0,"Spatial Data Missing ⚠",VLOOKUP(O242,'G-7 Rivers Data'!$AD$4:$AE$8,2,FALSE)))</f>
        <v/>
      </c>
      <c r="Q242" s="506" t="str">
        <f>IF(D242="","",VLOOKUP(D242,'G-7 Rivers Data'!$B$4:$G$8,6,FALSE))</f>
        <v/>
      </c>
      <c r="R242" s="513" t="str">
        <f t="shared" si="24"/>
        <v/>
      </c>
      <c r="S242" s="40"/>
      <c r="T242" s="145"/>
      <c r="U242" s="157"/>
      <c r="V242" s="511" t="str">
        <f t="shared" si="25"/>
        <v/>
      </c>
      <c r="W242" s="511" t="str">
        <f t="shared" si="26"/>
        <v/>
      </c>
      <c r="X242" s="511" t="str">
        <f t="shared" si="27"/>
        <v/>
      </c>
      <c r="Y242" s="515" t="str">
        <f t="shared" si="28"/>
        <v/>
      </c>
      <c r="Z242" s="151"/>
      <c r="AA242" s="152"/>
      <c r="AF242" s="31" t="str">
        <f>IFERROR(INDEX('G-7 Rivers Data'!$AZ$3:$AZ$7,MATCH(D242,'G-7 Rivers Data'!$AY$3:$AY$7,0)),"")</f>
        <v/>
      </c>
      <c r="AG242" s="31">
        <f t="shared" si="29"/>
        <v>0</v>
      </c>
      <c r="AH242" s="156" t="str">
        <f t="shared" si="30"/>
        <v/>
      </c>
      <c r="AI242" s="156" t="str">
        <f t="shared" si="31"/>
        <v/>
      </c>
      <c r="AK242" s="156">
        <v>233</v>
      </c>
      <c r="AM242" s="156" t="str">
        <f t="array" ref="AM242">IFERROR(INDEX($AK$10:$AK$258, MATCH(0, IF(TRUE=$AH$10:$AH$258, COUNTIF($AM$9:$AM241, $AK$10:$AK$258), ""), 0)),"")</f>
        <v/>
      </c>
      <c r="AN242" s="156" t="str">
        <f t="array" ref="AN242">IFERROR(INDEX($AK$10:$AK$258, MATCH(0, IF(TRUE=$AI$10:$AI$258, COUNTIF($AN$9:$AN241, $AK$10:$AK$258), ""), 0)),"")</f>
        <v/>
      </c>
    </row>
    <row r="243" spans="3:40" ht="14" x14ac:dyDescent="0.3">
      <c r="C243" s="141">
        <v>234</v>
      </c>
      <c r="D243" s="462"/>
      <c r="E243" s="153"/>
      <c r="F243" s="498" t="str">
        <f>IF(D243="","",VLOOKUP(D243,'G-7 Rivers Data'!$B$2:$G$8,2,FALSE))</f>
        <v/>
      </c>
      <c r="G243" s="499" t="str">
        <f>IFERROR(VLOOKUP(F243,'G-7 Rivers Data'!$C$4:$D$8,2,FALSE),"")</f>
        <v/>
      </c>
      <c r="H243" s="145"/>
      <c r="I243" s="499" t="str">
        <f>IFERROR(INDEX('G-7 Rivers Data'!$H$4:$L$8,MATCH(D243,'G-7 Rivers Data'!$B$4:$B$8,0),MATCH(H243,'G-7 Rivers Data'!$H$3:$L$3,0)),"")</f>
        <v/>
      </c>
      <c r="J243" s="154"/>
      <c r="K243" s="520" t="str">
        <f>IF(J243="","",IF(VLOOKUP(J243,'G-7 Rivers Data'!$AK$4:$AM$9,2,FALSE)=0,"Spatial Data Missing ⚠",VLOOKUP(J243,'G-7 Rivers Data'!$AK$4:$AM$9,2,FALSE)))</f>
        <v/>
      </c>
      <c r="L243" s="524" t="str">
        <f>IF(J243="","",IF(VLOOKUP(J243,'G-7 Rivers Data'!$AK$4:$AM$9,3,FALSE)=0,"Spatial Data Missing ⚠",VLOOKUP(J243,'G-7 Rivers Data'!$AK$4:$AM$9,3,FALSE)))</f>
        <v/>
      </c>
      <c r="M243" s="71"/>
      <c r="N243" s="499" t="str">
        <f>IF(M243="","",IF(VLOOKUP(M243,'G-7 Rivers Data'!$AA$4:$AB$7,2,FALSE)=0,"Spatial Data Missing ⚠",VLOOKUP(M243,'G-7 Rivers Data'!$AA$4:$AB$7,2,FALSE)))</f>
        <v/>
      </c>
      <c r="O243" s="155"/>
      <c r="P243" s="499" t="str">
        <f>IF(O243="","",IF(VLOOKUP(O243,'G-7 Rivers Data'!$AD$4:$AE$8,2,FALSE)=0,"Spatial Data Missing ⚠",VLOOKUP(O243,'G-7 Rivers Data'!$AD$4:$AE$8,2,FALSE)))</f>
        <v/>
      </c>
      <c r="Q243" s="506" t="str">
        <f>IF(D243="","",VLOOKUP(D243,'G-7 Rivers Data'!$B$4:$G$8,6,FALSE))</f>
        <v/>
      </c>
      <c r="R243" s="513" t="str">
        <f t="shared" si="24"/>
        <v/>
      </c>
      <c r="S243" s="40"/>
      <c r="T243" s="145"/>
      <c r="U243" s="157"/>
      <c r="V243" s="511" t="str">
        <f t="shared" si="25"/>
        <v/>
      </c>
      <c r="W243" s="511" t="str">
        <f t="shared" si="26"/>
        <v/>
      </c>
      <c r="X243" s="511" t="str">
        <f t="shared" si="27"/>
        <v/>
      </c>
      <c r="Y243" s="515" t="str">
        <f t="shared" si="28"/>
        <v/>
      </c>
      <c r="Z243" s="151"/>
      <c r="AA243" s="152"/>
      <c r="AF243" s="31" t="str">
        <f>IFERROR(INDEX('G-7 Rivers Data'!$AZ$3:$AZ$7,MATCH(D243,'G-7 Rivers Data'!$AY$3:$AY$7,0)),"")</f>
        <v/>
      </c>
      <c r="AG243" s="31">
        <f t="shared" si="29"/>
        <v>0</v>
      </c>
      <c r="AH243" s="156" t="str">
        <f t="shared" si="30"/>
        <v/>
      </c>
      <c r="AI243" s="156" t="str">
        <f t="shared" si="31"/>
        <v/>
      </c>
      <c r="AK243" s="156">
        <v>234</v>
      </c>
      <c r="AM243" s="156" t="str">
        <f t="array" ref="AM243">IFERROR(INDEX($AK$10:$AK$258, MATCH(0, IF(TRUE=$AH$10:$AH$258, COUNTIF($AM$9:$AM242, $AK$10:$AK$258), ""), 0)),"")</f>
        <v/>
      </c>
      <c r="AN243" s="156" t="str">
        <f t="array" ref="AN243">IFERROR(INDEX($AK$10:$AK$258, MATCH(0, IF(TRUE=$AI$10:$AI$258, COUNTIF($AN$9:$AN242, $AK$10:$AK$258), ""), 0)),"")</f>
        <v/>
      </c>
    </row>
    <row r="244" spans="3:40" ht="14" x14ac:dyDescent="0.3">
      <c r="C244" s="141">
        <v>235</v>
      </c>
      <c r="D244" s="462"/>
      <c r="E244" s="153"/>
      <c r="F244" s="498" t="str">
        <f>IF(D244="","",VLOOKUP(D244,'G-7 Rivers Data'!$B$2:$G$8,2,FALSE))</f>
        <v/>
      </c>
      <c r="G244" s="499" t="str">
        <f>IFERROR(VLOOKUP(F244,'G-7 Rivers Data'!$C$4:$D$8,2,FALSE),"")</f>
        <v/>
      </c>
      <c r="H244" s="145"/>
      <c r="I244" s="499" t="str">
        <f>IFERROR(INDEX('G-7 Rivers Data'!$H$4:$L$8,MATCH(D244,'G-7 Rivers Data'!$B$4:$B$8,0),MATCH(H244,'G-7 Rivers Data'!$H$3:$L$3,0)),"")</f>
        <v/>
      </c>
      <c r="J244" s="154"/>
      <c r="K244" s="520" t="str">
        <f>IF(J244="","",IF(VLOOKUP(J244,'G-7 Rivers Data'!$AK$4:$AM$9,2,FALSE)=0,"Spatial Data Missing ⚠",VLOOKUP(J244,'G-7 Rivers Data'!$AK$4:$AM$9,2,FALSE)))</f>
        <v/>
      </c>
      <c r="L244" s="524" t="str">
        <f>IF(J244="","",IF(VLOOKUP(J244,'G-7 Rivers Data'!$AK$4:$AM$9,3,FALSE)=0,"Spatial Data Missing ⚠",VLOOKUP(J244,'G-7 Rivers Data'!$AK$4:$AM$9,3,FALSE)))</f>
        <v/>
      </c>
      <c r="M244" s="71"/>
      <c r="N244" s="499" t="str">
        <f>IF(M244="","",IF(VLOOKUP(M244,'G-7 Rivers Data'!$AA$4:$AB$7,2,FALSE)=0,"Spatial Data Missing ⚠",VLOOKUP(M244,'G-7 Rivers Data'!$AA$4:$AB$7,2,FALSE)))</f>
        <v/>
      </c>
      <c r="O244" s="155"/>
      <c r="P244" s="499" t="str">
        <f>IF(O244="","",IF(VLOOKUP(O244,'G-7 Rivers Data'!$AD$4:$AE$8,2,FALSE)=0,"Spatial Data Missing ⚠",VLOOKUP(O244,'G-7 Rivers Data'!$AD$4:$AE$8,2,FALSE)))</f>
        <v/>
      </c>
      <c r="Q244" s="506" t="str">
        <f>IF(D244="","",VLOOKUP(D244,'G-7 Rivers Data'!$B$4:$G$8,6,FALSE))</f>
        <v/>
      </c>
      <c r="R244" s="513" t="str">
        <f t="shared" si="24"/>
        <v/>
      </c>
      <c r="S244" s="40"/>
      <c r="T244" s="145"/>
      <c r="U244" s="157"/>
      <c r="V244" s="511" t="str">
        <f t="shared" si="25"/>
        <v/>
      </c>
      <c r="W244" s="511" t="str">
        <f t="shared" si="26"/>
        <v/>
      </c>
      <c r="X244" s="511" t="str">
        <f t="shared" si="27"/>
        <v/>
      </c>
      <c r="Y244" s="515" t="str">
        <f t="shared" si="28"/>
        <v/>
      </c>
      <c r="Z244" s="151"/>
      <c r="AA244" s="152"/>
      <c r="AF244" s="31" t="str">
        <f>IFERROR(INDEX('G-7 Rivers Data'!$AZ$3:$AZ$7,MATCH(D244,'G-7 Rivers Data'!$AY$3:$AY$7,0)),"")</f>
        <v/>
      </c>
      <c r="AG244" s="31">
        <f t="shared" si="29"/>
        <v>0</v>
      </c>
      <c r="AH244" s="156" t="str">
        <f t="shared" si="30"/>
        <v/>
      </c>
      <c r="AI244" s="156" t="str">
        <f t="shared" si="31"/>
        <v/>
      </c>
      <c r="AK244" s="156">
        <v>235</v>
      </c>
      <c r="AM244" s="156" t="str">
        <f t="array" ref="AM244">IFERROR(INDEX($AK$10:$AK$258, MATCH(0, IF(TRUE=$AH$10:$AH$258, COUNTIF($AM$9:$AM243, $AK$10:$AK$258), ""), 0)),"")</f>
        <v/>
      </c>
      <c r="AN244" s="156" t="str">
        <f t="array" ref="AN244">IFERROR(INDEX($AK$10:$AK$258, MATCH(0, IF(TRUE=$AI$10:$AI$258, COUNTIF($AN$9:$AN243, $AK$10:$AK$258), ""), 0)),"")</f>
        <v/>
      </c>
    </row>
    <row r="245" spans="3:40" ht="14" x14ac:dyDescent="0.3">
      <c r="C245" s="141">
        <v>236</v>
      </c>
      <c r="D245" s="462"/>
      <c r="E245" s="153"/>
      <c r="F245" s="498" t="str">
        <f>IF(D245="","",VLOOKUP(D245,'G-7 Rivers Data'!$B$2:$G$8,2,FALSE))</f>
        <v/>
      </c>
      <c r="G245" s="499" t="str">
        <f>IFERROR(VLOOKUP(F245,'G-7 Rivers Data'!$C$4:$D$8,2,FALSE),"")</f>
        <v/>
      </c>
      <c r="H245" s="145"/>
      <c r="I245" s="499" t="str">
        <f>IFERROR(INDEX('G-7 Rivers Data'!$H$4:$L$8,MATCH(D245,'G-7 Rivers Data'!$B$4:$B$8,0),MATCH(H245,'G-7 Rivers Data'!$H$3:$L$3,0)),"")</f>
        <v/>
      </c>
      <c r="J245" s="154"/>
      <c r="K245" s="520" t="str">
        <f>IF(J245="","",IF(VLOOKUP(J245,'G-7 Rivers Data'!$AK$4:$AM$9,2,FALSE)=0,"Spatial Data Missing ⚠",VLOOKUP(J245,'G-7 Rivers Data'!$AK$4:$AM$9,2,FALSE)))</f>
        <v/>
      </c>
      <c r="L245" s="524" t="str">
        <f>IF(J245="","",IF(VLOOKUP(J245,'G-7 Rivers Data'!$AK$4:$AM$9,3,FALSE)=0,"Spatial Data Missing ⚠",VLOOKUP(J245,'G-7 Rivers Data'!$AK$4:$AM$9,3,FALSE)))</f>
        <v/>
      </c>
      <c r="M245" s="71"/>
      <c r="N245" s="499" t="str">
        <f>IF(M245="","",IF(VLOOKUP(M245,'G-7 Rivers Data'!$AA$4:$AB$7,2,FALSE)=0,"Spatial Data Missing ⚠",VLOOKUP(M245,'G-7 Rivers Data'!$AA$4:$AB$7,2,FALSE)))</f>
        <v/>
      </c>
      <c r="O245" s="155"/>
      <c r="P245" s="499" t="str">
        <f>IF(O245="","",IF(VLOOKUP(O245,'G-7 Rivers Data'!$AD$4:$AE$8,2,FALSE)=0,"Spatial Data Missing ⚠",VLOOKUP(O245,'G-7 Rivers Data'!$AD$4:$AE$8,2,FALSE)))</f>
        <v/>
      </c>
      <c r="Q245" s="506" t="str">
        <f>IF(D245="","",VLOOKUP(D245,'G-7 Rivers Data'!$B$4:$G$8,6,FALSE))</f>
        <v/>
      </c>
      <c r="R245" s="513" t="str">
        <f t="shared" si="24"/>
        <v/>
      </c>
      <c r="S245" s="40"/>
      <c r="T245" s="145"/>
      <c r="U245" s="157"/>
      <c r="V245" s="511" t="str">
        <f t="shared" si="25"/>
        <v/>
      </c>
      <c r="W245" s="511" t="str">
        <f t="shared" si="26"/>
        <v/>
      </c>
      <c r="X245" s="511" t="str">
        <f t="shared" si="27"/>
        <v/>
      </c>
      <c r="Y245" s="515" t="str">
        <f t="shared" si="28"/>
        <v/>
      </c>
      <c r="Z245" s="151"/>
      <c r="AA245" s="152"/>
      <c r="AF245" s="31" t="str">
        <f>IFERROR(INDEX('G-7 Rivers Data'!$AZ$3:$AZ$7,MATCH(D245,'G-7 Rivers Data'!$AY$3:$AY$7,0)),"")</f>
        <v/>
      </c>
      <c r="AG245" s="31">
        <f t="shared" si="29"/>
        <v>0</v>
      </c>
      <c r="AH245" s="139" t="str">
        <f t="shared" si="30"/>
        <v/>
      </c>
      <c r="AI245" s="139" t="str">
        <f t="shared" si="31"/>
        <v/>
      </c>
      <c r="AJ245" s="140"/>
      <c r="AK245" s="139">
        <v>236</v>
      </c>
      <c r="AL245" s="140"/>
      <c r="AM245" s="139" t="str">
        <f t="array" ref="AM245">IFERROR(INDEX($AK$10:$AK$258, MATCH(0, IF(TRUE=$AH$10:$AH$258, COUNTIF($AM$9:$AM244, $AK$10:$AK$258), ""), 0)),"")</f>
        <v/>
      </c>
      <c r="AN245" s="139" t="str">
        <f t="array" ref="AN245">IFERROR(INDEX($AK$10:$AK$258, MATCH(0, IF(TRUE=$AI$10:$AI$258, COUNTIF($AN$9:$AN244, $AK$10:$AK$258), ""), 0)),"")</f>
        <v/>
      </c>
    </row>
    <row r="246" spans="3:40" ht="14" x14ac:dyDescent="0.3">
      <c r="C246" s="141">
        <v>237</v>
      </c>
      <c r="D246" s="462"/>
      <c r="E246" s="153"/>
      <c r="F246" s="498" t="str">
        <f>IF(D246="","",VLOOKUP(D246,'G-7 Rivers Data'!$B$2:$G$8,2,FALSE))</f>
        <v/>
      </c>
      <c r="G246" s="499" t="str">
        <f>IFERROR(VLOOKUP(F246,'G-7 Rivers Data'!$C$4:$D$8,2,FALSE),"")</f>
        <v/>
      </c>
      <c r="H246" s="145"/>
      <c r="I246" s="499" t="str">
        <f>IFERROR(INDEX('G-7 Rivers Data'!$H$4:$L$8,MATCH(D246,'G-7 Rivers Data'!$B$4:$B$8,0),MATCH(H246,'G-7 Rivers Data'!$H$3:$L$3,0)),"")</f>
        <v/>
      </c>
      <c r="J246" s="154"/>
      <c r="K246" s="520" t="str">
        <f>IF(J246="","",IF(VLOOKUP(J246,'G-7 Rivers Data'!$AK$4:$AM$9,2,FALSE)=0,"Spatial Data Missing ⚠",VLOOKUP(J246,'G-7 Rivers Data'!$AK$4:$AM$9,2,FALSE)))</f>
        <v/>
      </c>
      <c r="L246" s="524" t="str">
        <f>IF(J246="","",IF(VLOOKUP(J246,'G-7 Rivers Data'!$AK$4:$AM$9,3,FALSE)=0,"Spatial Data Missing ⚠",VLOOKUP(J246,'G-7 Rivers Data'!$AK$4:$AM$9,3,FALSE)))</f>
        <v/>
      </c>
      <c r="M246" s="71"/>
      <c r="N246" s="499" t="str">
        <f>IF(M246="","",IF(VLOOKUP(M246,'G-7 Rivers Data'!$AA$4:$AB$7,2,FALSE)=0,"Spatial Data Missing ⚠",VLOOKUP(M246,'G-7 Rivers Data'!$AA$4:$AB$7,2,FALSE)))</f>
        <v/>
      </c>
      <c r="O246" s="155"/>
      <c r="P246" s="499" t="str">
        <f>IF(O246="","",IF(VLOOKUP(O246,'G-7 Rivers Data'!$AD$4:$AE$8,2,FALSE)=0,"Spatial Data Missing ⚠",VLOOKUP(O246,'G-7 Rivers Data'!$AD$4:$AE$8,2,FALSE)))</f>
        <v/>
      </c>
      <c r="Q246" s="506" t="str">
        <f>IF(D246="","",VLOOKUP(D246,'G-7 Rivers Data'!$B$4:$G$8,6,FALSE))</f>
        <v/>
      </c>
      <c r="R246" s="513" t="str">
        <f t="shared" si="24"/>
        <v/>
      </c>
      <c r="S246" s="40"/>
      <c r="T246" s="145"/>
      <c r="U246" s="157"/>
      <c r="V246" s="511" t="str">
        <f t="shared" si="25"/>
        <v/>
      </c>
      <c r="W246" s="511" t="str">
        <f t="shared" si="26"/>
        <v/>
      </c>
      <c r="X246" s="511" t="str">
        <f t="shared" si="27"/>
        <v/>
      </c>
      <c r="Y246" s="515" t="str">
        <f t="shared" si="28"/>
        <v/>
      </c>
      <c r="Z246" s="151"/>
      <c r="AA246" s="152"/>
      <c r="AF246" s="31" t="str">
        <f>IFERROR(INDEX('G-7 Rivers Data'!$AZ$3:$AZ$7,MATCH(D246,'G-7 Rivers Data'!$AY$3:$AY$7,0)),"")</f>
        <v/>
      </c>
      <c r="AG246" s="31">
        <f t="shared" si="29"/>
        <v>0</v>
      </c>
      <c r="AH246" s="139" t="str">
        <f t="shared" si="30"/>
        <v/>
      </c>
      <c r="AI246" s="139" t="str">
        <f t="shared" si="31"/>
        <v/>
      </c>
      <c r="AJ246" s="140"/>
      <c r="AK246" s="139">
        <v>237</v>
      </c>
      <c r="AL246" s="140"/>
      <c r="AM246" s="139" t="str">
        <f t="array" ref="AM246">IFERROR(INDEX($AK$10:$AK$258, MATCH(0, IF(TRUE=$AH$10:$AH$258, COUNTIF($AM$9:$AM245, $AK$10:$AK$258), ""), 0)),"")</f>
        <v/>
      </c>
      <c r="AN246" s="139" t="str">
        <f t="array" ref="AN246">IFERROR(INDEX($AK$10:$AK$258, MATCH(0, IF(TRUE=$AI$10:$AI$258, COUNTIF($AN$9:$AN245, $AK$10:$AK$258), ""), 0)),"")</f>
        <v/>
      </c>
    </row>
    <row r="247" spans="3:40" ht="14" x14ac:dyDescent="0.3">
      <c r="C247" s="141">
        <v>238</v>
      </c>
      <c r="D247" s="462"/>
      <c r="E247" s="153"/>
      <c r="F247" s="498" t="str">
        <f>IF(D247="","",VLOOKUP(D247,'G-7 Rivers Data'!$B$2:$G$8,2,FALSE))</f>
        <v/>
      </c>
      <c r="G247" s="499" t="str">
        <f>IFERROR(VLOOKUP(F247,'G-7 Rivers Data'!$C$4:$D$8,2,FALSE),"")</f>
        <v/>
      </c>
      <c r="H247" s="145"/>
      <c r="I247" s="499" t="str">
        <f>IFERROR(INDEX('G-7 Rivers Data'!$H$4:$L$8,MATCH(D247,'G-7 Rivers Data'!$B$4:$B$8,0),MATCH(H247,'G-7 Rivers Data'!$H$3:$L$3,0)),"")</f>
        <v/>
      </c>
      <c r="J247" s="154"/>
      <c r="K247" s="520" t="str">
        <f>IF(J247="","",IF(VLOOKUP(J247,'G-7 Rivers Data'!$AK$4:$AM$9,2,FALSE)=0,"Spatial Data Missing ⚠",VLOOKUP(J247,'G-7 Rivers Data'!$AK$4:$AM$9,2,FALSE)))</f>
        <v/>
      </c>
      <c r="L247" s="524" t="str">
        <f>IF(J247="","",IF(VLOOKUP(J247,'G-7 Rivers Data'!$AK$4:$AM$9,3,FALSE)=0,"Spatial Data Missing ⚠",VLOOKUP(J247,'G-7 Rivers Data'!$AK$4:$AM$9,3,FALSE)))</f>
        <v/>
      </c>
      <c r="M247" s="71"/>
      <c r="N247" s="499" t="str">
        <f>IF(M247="","",IF(VLOOKUP(M247,'G-7 Rivers Data'!$AA$4:$AB$7,2,FALSE)=0,"Spatial Data Missing ⚠",VLOOKUP(M247,'G-7 Rivers Data'!$AA$4:$AB$7,2,FALSE)))</f>
        <v/>
      </c>
      <c r="O247" s="155"/>
      <c r="P247" s="499" t="str">
        <f>IF(O247="","",IF(VLOOKUP(O247,'G-7 Rivers Data'!$AD$4:$AE$8,2,FALSE)=0,"Spatial Data Missing ⚠",VLOOKUP(O247,'G-7 Rivers Data'!$AD$4:$AE$8,2,FALSE)))</f>
        <v/>
      </c>
      <c r="Q247" s="506" t="str">
        <f>IF(D247="","",VLOOKUP(D247,'G-7 Rivers Data'!$B$4:$G$8,6,FALSE))</f>
        <v/>
      </c>
      <c r="R247" s="513" t="str">
        <f t="shared" si="24"/>
        <v/>
      </c>
      <c r="S247" s="40"/>
      <c r="T247" s="145"/>
      <c r="U247" s="157"/>
      <c r="V247" s="511" t="str">
        <f t="shared" si="25"/>
        <v/>
      </c>
      <c r="W247" s="511" t="str">
        <f t="shared" si="26"/>
        <v/>
      </c>
      <c r="X247" s="511" t="str">
        <f t="shared" si="27"/>
        <v/>
      </c>
      <c r="Y247" s="515" t="str">
        <f t="shared" si="28"/>
        <v/>
      </c>
      <c r="Z247" s="151"/>
      <c r="AA247" s="152"/>
      <c r="AF247" s="31" t="str">
        <f>IFERROR(INDEX('G-7 Rivers Data'!$AZ$3:$AZ$7,MATCH(D247,'G-7 Rivers Data'!$AY$3:$AY$7,0)),"")</f>
        <v/>
      </c>
      <c r="AG247" s="31">
        <f t="shared" si="29"/>
        <v>0</v>
      </c>
      <c r="AH247" s="139" t="str">
        <f t="shared" si="30"/>
        <v/>
      </c>
      <c r="AI247" s="139" t="str">
        <f t="shared" si="31"/>
        <v/>
      </c>
      <c r="AJ247" s="140"/>
      <c r="AK247" s="139">
        <v>238</v>
      </c>
      <c r="AL247" s="140"/>
      <c r="AM247" s="139" t="str">
        <f t="array" ref="AM247">IFERROR(INDEX($AK$10:$AK$258, MATCH(0, IF(TRUE=$AH$10:$AH$258, COUNTIF($AM$9:$AM246, $AK$10:$AK$258), ""), 0)),"")</f>
        <v/>
      </c>
      <c r="AN247" s="139" t="str">
        <f t="array" ref="AN247">IFERROR(INDEX($AK$10:$AK$258, MATCH(0, IF(TRUE=$AI$10:$AI$258, COUNTIF($AN$9:$AN246, $AK$10:$AK$258), ""), 0)),"")</f>
        <v/>
      </c>
    </row>
    <row r="248" spans="3:40" ht="14" x14ac:dyDescent="0.3">
      <c r="C248" s="141">
        <v>239</v>
      </c>
      <c r="D248" s="462"/>
      <c r="E248" s="153"/>
      <c r="F248" s="498" t="str">
        <f>IF(D248="","",VLOOKUP(D248,'G-7 Rivers Data'!$B$2:$G$8,2,FALSE))</f>
        <v/>
      </c>
      <c r="G248" s="499" t="str">
        <f>IFERROR(VLOOKUP(F248,'G-7 Rivers Data'!$C$4:$D$8,2,FALSE),"")</f>
        <v/>
      </c>
      <c r="H248" s="145"/>
      <c r="I248" s="499" t="str">
        <f>IFERROR(INDEX('G-7 Rivers Data'!$H$4:$L$8,MATCH(D248,'G-7 Rivers Data'!$B$4:$B$8,0),MATCH(H248,'G-7 Rivers Data'!$H$3:$L$3,0)),"")</f>
        <v/>
      </c>
      <c r="J248" s="154"/>
      <c r="K248" s="520" t="str">
        <f>IF(J248="","",IF(VLOOKUP(J248,'G-7 Rivers Data'!$AK$4:$AM$9,2,FALSE)=0,"Spatial Data Missing ⚠",VLOOKUP(J248,'G-7 Rivers Data'!$AK$4:$AM$9,2,FALSE)))</f>
        <v/>
      </c>
      <c r="L248" s="524" t="str">
        <f>IF(J248="","",IF(VLOOKUP(J248,'G-7 Rivers Data'!$AK$4:$AM$9,3,FALSE)=0,"Spatial Data Missing ⚠",VLOOKUP(J248,'G-7 Rivers Data'!$AK$4:$AM$9,3,FALSE)))</f>
        <v/>
      </c>
      <c r="M248" s="71"/>
      <c r="N248" s="499" t="str">
        <f>IF(M248="","",IF(VLOOKUP(M248,'G-7 Rivers Data'!$AA$4:$AB$7,2,FALSE)=0,"Spatial Data Missing ⚠",VLOOKUP(M248,'G-7 Rivers Data'!$AA$4:$AB$7,2,FALSE)))</f>
        <v/>
      </c>
      <c r="O248" s="155"/>
      <c r="P248" s="499" t="str">
        <f>IF(O248="","",IF(VLOOKUP(O248,'G-7 Rivers Data'!$AD$4:$AE$8,2,FALSE)=0,"Spatial Data Missing ⚠",VLOOKUP(O248,'G-7 Rivers Data'!$AD$4:$AE$8,2,FALSE)))</f>
        <v/>
      </c>
      <c r="Q248" s="506" t="str">
        <f>IF(D248="","",VLOOKUP(D248,'G-7 Rivers Data'!$B$4:$G$8,6,FALSE))</f>
        <v/>
      </c>
      <c r="R248" s="513" t="str">
        <f t="shared" si="24"/>
        <v/>
      </c>
      <c r="S248" s="40"/>
      <c r="T248" s="145"/>
      <c r="U248" s="157"/>
      <c r="V248" s="511" t="str">
        <f t="shared" si="25"/>
        <v/>
      </c>
      <c r="W248" s="511" t="str">
        <f t="shared" si="26"/>
        <v/>
      </c>
      <c r="X248" s="511" t="str">
        <f t="shared" si="27"/>
        <v/>
      </c>
      <c r="Y248" s="515" t="str">
        <f t="shared" si="28"/>
        <v/>
      </c>
      <c r="Z248" s="151"/>
      <c r="AA248" s="152"/>
      <c r="AF248" s="31" t="str">
        <f>IFERROR(INDEX('G-7 Rivers Data'!$AZ$3:$AZ$7,MATCH(D248,'G-7 Rivers Data'!$AY$3:$AY$7,0)),"")</f>
        <v/>
      </c>
      <c r="AG248" s="31">
        <f t="shared" si="29"/>
        <v>0</v>
      </c>
      <c r="AH248" s="139" t="str">
        <f t="shared" si="30"/>
        <v/>
      </c>
      <c r="AI248" s="139" t="str">
        <f t="shared" si="31"/>
        <v/>
      </c>
      <c r="AJ248" s="140"/>
      <c r="AK248" s="139">
        <v>239</v>
      </c>
      <c r="AL248" s="140"/>
      <c r="AM248" s="139" t="str">
        <f t="array" ref="AM248">IFERROR(INDEX($AK$10:$AK$258, MATCH(0, IF(TRUE=$AH$10:$AH$258, COUNTIF($AM$9:$AM247, $AK$10:$AK$258), ""), 0)),"")</f>
        <v/>
      </c>
      <c r="AN248" s="139" t="str">
        <f t="array" ref="AN248">IFERROR(INDEX($AK$10:$AK$258, MATCH(0, IF(TRUE=$AI$10:$AI$258, COUNTIF($AN$9:$AN247, $AK$10:$AK$258), ""), 0)),"")</f>
        <v/>
      </c>
    </row>
    <row r="249" spans="3:40" ht="14" x14ac:dyDescent="0.3">
      <c r="C249" s="141">
        <v>240</v>
      </c>
      <c r="D249" s="462"/>
      <c r="E249" s="153"/>
      <c r="F249" s="498" t="str">
        <f>IF(D249="","",VLOOKUP(D249,'G-7 Rivers Data'!$B$2:$G$8,2,FALSE))</f>
        <v/>
      </c>
      <c r="G249" s="499" t="str">
        <f>IFERROR(VLOOKUP(F249,'G-7 Rivers Data'!$C$4:$D$8,2,FALSE),"")</f>
        <v/>
      </c>
      <c r="H249" s="145"/>
      <c r="I249" s="499" t="str">
        <f>IFERROR(INDEX('G-7 Rivers Data'!$H$4:$L$8,MATCH(D249,'G-7 Rivers Data'!$B$4:$B$8,0),MATCH(H249,'G-7 Rivers Data'!$H$3:$L$3,0)),"")</f>
        <v/>
      </c>
      <c r="J249" s="154"/>
      <c r="K249" s="520" t="str">
        <f>IF(J249="","",IF(VLOOKUP(J249,'G-7 Rivers Data'!$AK$4:$AM$9,2,FALSE)=0,"Spatial Data Missing ⚠",VLOOKUP(J249,'G-7 Rivers Data'!$AK$4:$AM$9,2,FALSE)))</f>
        <v/>
      </c>
      <c r="L249" s="524" t="str">
        <f>IF(J249="","",IF(VLOOKUP(J249,'G-7 Rivers Data'!$AK$4:$AM$9,3,FALSE)=0,"Spatial Data Missing ⚠",VLOOKUP(J249,'G-7 Rivers Data'!$AK$4:$AM$9,3,FALSE)))</f>
        <v/>
      </c>
      <c r="M249" s="71"/>
      <c r="N249" s="499" t="str">
        <f>IF(M249="","",IF(VLOOKUP(M249,'G-7 Rivers Data'!$AA$4:$AB$7,2,FALSE)=0,"Spatial Data Missing ⚠",VLOOKUP(M249,'G-7 Rivers Data'!$AA$4:$AB$7,2,FALSE)))</f>
        <v/>
      </c>
      <c r="O249" s="155"/>
      <c r="P249" s="499" t="str">
        <f>IF(O249="","",IF(VLOOKUP(O249,'G-7 Rivers Data'!$AD$4:$AE$8,2,FALSE)=0,"Spatial Data Missing ⚠",VLOOKUP(O249,'G-7 Rivers Data'!$AD$4:$AE$8,2,FALSE)))</f>
        <v/>
      </c>
      <c r="Q249" s="506" t="str">
        <f>IF(D249="","",VLOOKUP(D249,'G-7 Rivers Data'!$B$4:$G$8,6,FALSE))</f>
        <v/>
      </c>
      <c r="R249" s="513" t="str">
        <f t="shared" si="24"/>
        <v/>
      </c>
      <c r="S249" s="40"/>
      <c r="T249" s="145"/>
      <c r="U249" s="157"/>
      <c r="V249" s="511" t="str">
        <f t="shared" si="25"/>
        <v/>
      </c>
      <c r="W249" s="511" t="str">
        <f t="shared" si="26"/>
        <v/>
      </c>
      <c r="X249" s="511" t="str">
        <f t="shared" si="27"/>
        <v/>
      </c>
      <c r="Y249" s="515" t="str">
        <f t="shared" si="28"/>
        <v/>
      </c>
      <c r="Z249" s="151"/>
      <c r="AA249" s="152"/>
      <c r="AF249" s="31" t="str">
        <f>IFERROR(INDEX('G-7 Rivers Data'!$AZ$3:$AZ$7,MATCH(D249,'G-7 Rivers Data'!$AY$3:$AY$7,0)),"")</f>
        <v/>
      </c>
      <c r="AG249" s="31">
        <f t="shared" si="29"/>
        <v>0</v>
      </c>
      <c r="AH249" s="139" t="str">
        <f t="shared" si="30"/>
        <v/>
      </c>
      <c r="AI249" s="139" t="str">
        <f t="shared" si="31"/>
        <v/>
      </c>
      <c r="AJ249" s="140"/>
      <c r="AK249" s="139">
        <v>240</v>
      </c>
      <c r="AL249" s="140"/>
      <c r="AM249" s="139" t="str">
        <f t="array" ref="AM249">IFERROR(INDEX($AK$10:$AK$258, MATCH(0, IF(TRUE=$AH$10:$AH$258, COUNTIF($AM$9:$AM248, $AK$10:$AK$258), ""), 0)),"")</f>
        <v/>
      </c>
      <c r="AN249" s="139" t="str">
        <f t="array" ref="AN249">IFERROR(INDEX($AK$10:$AK$258, MATCH(0, IF(TRUE=$AI$10:$AI$258, COUNTIF($AN$9:$AN248, $AK$10:$AK$258), ""), 0)),"")</f>
        <v/>
      </c>
    </row>
    <row r="250" spans="3:40" ht="14" x14ac:dyDescent="0.3">
      <c r="C250" s="141">
        <v>241</v>
      </c>
      <c r="D250" s="462"/>
      <c r="E250" s="153"/>
      <c r="F250" s="498" t="str">
        <f>IF(D250="","",VLOOKUP(D250,'G-7 Rivers Data'!$B$2:$G$8,2,FALSE))</f>
        <v/>
      </c>
      <c r="G250" s="499" t="str">
        <f>IFERROR(VLOOKUP(F250,'G-7 Rivers Data'!$C$4:$D$8,2,FALSE),"")</f>
        <v/>
      </c>
      <c r="H250" s="145"/>
      <c r="I250" s="499" t="str">
        <f>IFERROR(INDEX('G-7 Rivers Data'!$H$4:$L$8,MATCH(D250,'G-7 Rivers Data'!$B$4:$B$8,0),MATCH(H250,'G-7 Rivers Data'!$H$3:$L$3,0)),"")</f>
        <v/>
      </c>
      <c r="J250" s="154"/>
      <c r="K250" s="520" t="str">
        <f>IF(J250="","",IF(VLOOKUP(J250,'G-7 Rivers Data'!$AK$4:$AM$9,2,FALSE)=0,"Spatial Data Missing ⚠",VLOOKUP(J250,'G-7 Rivers Data'!$AK$4:$AM$9,2,FALSE)))</f>
        <v/>
      </c>
      <c r="L250" s="524" t="str">
        <f>IF(J250="","",IF(VLOOKUP(J250,'G-7 Rivers Data'!$AK$4:$AM$9,3,FALSE)=0,"Spatial Data Missing ⚠",VLOOKUP(J250,'G-7 Rivers Data'!$AK$4:$AM$9,3,FALSE)))</f>
        <v/>
      </c>
      <c r="M250" s="71"/>
      <c r="N250" s="499" t="str">
        <f>IF(M250="","",IF(VLOOKUP(M250,'G-7 Rivers Data'!$AA$4:$AB$7,2,FALSE)=0,"Spatial Data Missing ⚠",VLOOKUP(M250,'G-7 Rivers Data'!$AA$4:$AB$7,2,FALSE)))</f>
        <v/>
      </c>
      <c r="O250" s="155"/>
      <c r="P250" s="499" t="str">
        <f>IF(O250="","",IF(VLOOKUP(O250,'G-7 Rivers Data'!$AD$4:$AE$8,2,FALSE)=0,"Spatial Data Missing ⚠",VLOOKUP(O250,'G-7 Rivers Data'!$AD$4:$AE$8,2,FALSE)))</f>
        <v/>
      </c>
      <c r="Q250" s="506" t="str">
        <f>IF(D250="","",VLOOKUP(D250,'G-7 Rivers Data'!$B$4:$G$8,6,FALSE))</f>
        <v/>
      </c>
      <c r="R250" s="513" t="str">
        <f t="shared" si="24"/>
        <v/>
      </c>
      <c r="S250" s="40"/>
      <c r="T250" s="145"/>
      <c r="U250" s="157"/>
      <c r="V250" s="511" t="str">
        <f t="shared" si="25"/>
        <v/>
      </c>
      <c r="W250" s="511" t="str">
        <f t="shared" si="26"/>
        <v/>
      </c>
      <c r="X250" s="511" t="str">
        <f t="shared" si="27"/>
        <v/>
      </c>
      <c r="Y250" s="515" t="str">
        <f t="shared" si="28"/>
        <v/>
      </c>
      <c r="Z250" s="151"/>
      <c r="AA250" s="152"/>
      <c r="AF250" s="31" t="str">
        <f>IFERROR(INDEX('G-7 Rivers Data'!$AZ$3:$AZ$7,MATCH(D250,'G-7 Rivers Data'!$AY$3:$AY$7,0)),"")</f>
        <v/>
      </c>
      <c r="AG250" s="31">
        <f t="shared" si="29"/>
        <v>0</v>
      </c>
      <c r="AH250" s="139" t="str">
        <f t="shared" si="30"/>
        <v/>
      </c>
      <c r="AI250" s="139" t="str">
        <f t="shared" si="31"/>
        <v/>
      </c>
      <c r="AJ250" s="140"/>
      <c r="AK250" s="139">
        <v>241</v>
      </c>
      <c r="AL250" s="140"/>
      <c r="AM250" s="139" t="str">
        <f t="array" ref="AM250">IFERROR(INDEX($AK$10:$AK$258, MATCH(0, IF(TRUE=$AH$10:$AH$258, COUNTIF($AM$9:$AM249, $AK$10:$AK$258), ""), 0)),"")</f>
        <v/>
      </c>
      <c r="AN250" s="139" t="str">
        <f t="array" ref="AN250">IFERROR(INDEX($AK$10:$AK$258, MATCH(0, IF(TRUE=$AI$10:$AI$258, COUNTIF($AN$9:$AN249, $AK$10:$AK$258), ""), 0)),"")</f>
        <v/>
      </c>
    </row>
    <row r="251" spans="3:40" ht="14" x14ac:dyDescent="0.3">
      <c r="C251" s="141">
        <v>242</v>
      </c>
      <c r="D251" s="462"/>
      <c r="E251" s="153"/>
      <c r="F251" s="498" t="str">
        <f>IF(D251="","",VLOOKUP(D251,'G-7 Rivers Data'!$B$2:$G$8,2,FALSE))</f>
        <v/>
      </c>
      <c r="G251" s="499" t="str">
        <f>IFERROR(VLOOKUP(F251,'G-7 Rivers Data'!$C$4:$D$8,2,FALSE),"")</f>
        <v/>
      </c>
      <c r="H251" s="145"/>
      <c r="I251" s="499" t="str">
        <f>IFERROR(INDEX('G-7 Rivers Data'!$H$4:$L$8,MATCH(D251,'G-7 Rivers Data'!$B$4:$B$8,0),MATCH(H251,'G-7 Rivers Data'!$H$3:$L$3,0)),"")</f>
        <v/>
      </c>
      <c r="J251" s="154"/>
      <c r="K251" s="520" t="str">
        <f>IF(J251="","",IF(VLOOKUP(J251,'G-7 Rivers Data'!$AK$4:$AM$9,2,FALSE)=0,"Spatial Data Missing ⚠",VLOOKUP(J251,'G-7 Rivers Data'!$AK$4:$AM$9,2,FALSE)))</f>
        <v/>
      </c>
      <c r="L251" s="524" t="str">
        <f>IF(J251="","",IF(VLOOKUP(J251,'G-7 Rivers Data'!$AK$4:$AM$9,3,FALSE)=0,"Spatial Data Missing ⚠",VLOOKUP(J251,'G-7 Rivers Data'!$AK$4:$AM$9,3,FALSE)))</f>
        <v/>
      </c>
      <c r="M251" s="71"/>
      <c r="N251" s="499" t="str">
        <f>IF(M251="","",IF(VLOOKUP(M251,'G-7 Rivers Data'!$AA$4:$AB$7,2,FALSE)=0,"Spatial Data Missing ⚠",VLOOKUP(M251,'G-7 Rivers Data'!$AA$4:$AB$7,2,FALSE)))</f>
        <v/>
      </c>
      <c r="O251" s="155"/>
      <c r="P251" s="499" t="str">
        <f>IF(O251="","",IF(VLOOKUP(O251,'G-7 Rivers Data'!$AD$4:$AE$8,2,FALSE)=0,"Spatial Data Missing ⚠",VLOOKUP(O251,'G-7 Rivers Data'!$AD$4:$AE$8,2,FALSE)))</f>
        <v/>
      </c>
      <c r="Q251" s="506" t="str">
        <f>IF(D251="","",VLOOKUP(D251,'G-7 Rivers Data'!$B$4:$G$8,6,FALSE))</f>
        <v/>
      </c>
      <c r="R251" s="513" t="str">
        <f t="shared" si="24"/>
        <v/>
      </c>
      <c r="S251" s="40"/>
      <c r="T251" s="145"/>
      <c r="U251" s="157"/>
      <c r="V251" s="511" t="str">
        <f t="shared" si="25"/>
        <v/>
      </c>
      <c r="W251" s="511" t="str">
        <f t="shared" si="26"/>
        <v/>
      </c>
      <c r="X251" s="511" t="str">
        <f t="shared" si="27"/>
        <v/>
      </c>
      <c r="Y251" s="515" t="str">
        <f t="shared" si="28"/>
        <v/>
      </c>
      <c r="Z251" s="151"/>
      <c r="AA251" s="152"/>
      <c r="AF251" s="31" t="str">
        <f>IFERROR(INDEX('G-7 Rivers Data'!$AZ$3:$AZ$7,MATCH(D251,'G-7 Rivers Data'!$AY$3:$AY$7,0)),"")</f>
        <v/>
      </c>
      <c r="AG251" s="31">
        <f t="shared" si="29"/>
        <v>0</v>
      </c>
      <c r="AH251" s="139" t="str">
        <f t="shared" si="30"/>
        <v/>
      </c>
      <c r="AI251" s="139" t="str">
        <f t="shared" si="31"/>
        <v/>
      </c>
      <c r="AJ251" s="140"/>
      <c r="AK251" s="139">
        <v>242</v>
      </c>
      <c r="AL251" s="140"/>
      <c r="AM251" s="139" t="str">
        <f t="array" ref="AM251">IFERROR(INDEX($AK$10:$AK$258, MATCH(0, IF(TRUE=$AH$10:$AH$258, COUNTIF($AM$9:$AM250, $AK$10:$AK$258), ""), 0)),"")</f>
        <v/>
      </c>
      <c r="AN251" s="139" t="str">
        <f t="array" ref="AN251">IFERROR(INDEX($AK$10:$AK$258, MATCH(0, IF(TRUE=$AI$10:$AI$258, COUNTIF($AN$9:$AN250, $AK$10:$AK$258), ""), 0)),"")</f>
        <v/>
      </c>
    </row>
    <row r="252" spans="3:40" ht="14" x14ac:dyDescent="0.3">
      <c r="C252" s="141">
        <v>243</v>
      </c>
      <c r="D252" s="462"/>
      <c r="E252" s="153"/>
      <c r="F252" s="498" t="str">
        <f>IF(D252="","",VLOOKUP(D252,'G-7 Rivers Data'!$B$2:$G$8,2,FALSE))</f>
        <v/>
      </c>
      <c r="G252" s="499" t="str">
        <f>IFERROR(VLOOKUP(F252,'G-7 Rivers Data'!$C$4:$D$8,2,FALSE),"")</f>
        <v/>
      </c>
      <c r="H252" s="145"/>
      <c r="I252" s="499" t="str">
        <f>IFERROR(INDEX('G-7 Rivers Data'!$H$4:$L$8,MATCH(D252,'G-7 Rivers Data'!$B$4:$B$8,0),MATCH(H252,'G-7 Rivers Data'!$H$3:$L$3,0)),"")</f>
        <v/>
      </c>
      <c r="J252" s="154"/>
      <c r="K252" s="520" t="str">
        <f>IF(J252="","",IF(VLOOKUP(J252,'G-7 Rivers Data'!$AK$4:$AM$9,2,FALSE)=0,"Spatial Data Missing ⚠",VLOOKUP(J252,'G-7 Rivers Data'!$AK$4:$AM$9,2,FALSE)))</f>
        <v/>
      </c>
      <c r="L252" s="524" t="str">
        <f>IF(J252="","",IF(VLOOKUP(J252,'G-7 Rivers Data'!$AK$4:$AM$9,3,FALSE)=0,"Spatial Data Missing ⚠",VLOOKUP(J252,'G-7 Rivers Data'!$AK$4:$AM$9,3,FALSE)))</f>
        <v/>
      </c>
      <c r="M252" s="71"/>
      <c r="N252" s="499" t="str">
        <f>IF(M252="","",IF(VLOOKUP(M252,'G-7 Rivers Data'!$AA$4:$AB$7,2,FALSE)=0,"Spatial Data Missing ⚠",VLOOKUP(M252,'G-7 Rivers Data'!$AA$4:$AB$7,2,FALSE)))</f>
        <v/>
      </c>
      <c r="O252" s="155"/>
      <c r="P252" s="499" t="str">
        <f>IF(O252="","",IF(VLOOKUP(O252,'G-7 Rivers Data'!$AD$4:$AE$8,2,FALSE)=0,"Spatial Data Missing ⚠",VLOOKUP(O252,'G-7 Rivers Data'!$AD$4:$AE$8,2,FALSE)))</f>
        <v/>
      </c>
      <c r="Q252" s="506" t="str">
        <f>IF(D252="","",VLOOKUP(D252,'G-7 Rivers Data'!$B$4:$G$8,6,FALSE))</f>
        <v/>
      </c>
      <c r="R252" s="513" t="str">
        <f t="shared" si="24"/>
        <v/>
      </c>
      <c r="S252" s="40"/>
      <c r="T252" s="145"/>
      <c r="U252" s="157"/>
      <c r="V252" s="511" t="str">
        <f t="shared" si="25"/>
        <v/>
      </c>
      <c r="W252" s="511" t="str">
        <f t="shared" si="26"/>
        <v/>
      </c>
      <c r="X252" s="511" t="str">
        <f t="shared" si="27"/>
        <v/>
      </c>
      <c r="Y252" s="515" t="str">
        <f t="shared" si="28"/>
        <v/>
      </c>
      <c r="Z252" s="151"/>
      <c r="AA252" s="152"/>
      <c r="AF252" s="31" t="str">
        <f>IFERROR(INDEX('G-7 Rivers Data'!$AZ$3:$AZ$7,MATCH(D252,'G-7 Rivers Data'!$AY$3:$AY$7,0)),"")</f>
        <v/>
      </c>
      <c r="AG252" s="31">
        <f t="shared" si="29"/>
        <v>0</v>
      </c>
      <c r="AH252" s="139" t="str">
        <f t="shared" si="30"/>
        <v/>
      </c>
      <c r="AI252" s="139" t="str">
        <f t="shared" si="31"/>
        <v/>
      </c>
      <c r="AJ252" s="140"/>
      <c r="AK252" s="139">
        <v>243</v>
      </c>
      <c r="AL252" s="140"/>
      <c r="AM252" s="139" t="str">
        <f t="array" ref="AM252">IFERROR(INDEX($AK$10:$AK$258, MATCH(0, IF(TRUE=$AH$10:$AH$258, COUNTIF($AM$9:$AM251, $AK$10:$AK$258), ""), 0)),"")</f>
        <v/>
      </c>
      <c r="AN252" s="139" t="str">
        <f t="array" ref="AN252">IFERROR(INDEX($AK$10:$AK$258, MATCH(0, IF(TRUE=$AI$10:$AI$258, COUNTIF($AN$9:$AN251, $AK$10:$AK$258), ""), 0)),"")</f>
        <v/>
      </c>
    </row>
    <row r="253" spans="3:40" ht="14" x14ac:dyDescent="0.3">
      <c r="C253" s="141">
        <v>244</v>
      </c>
      <c r="D253" s="462"/>
      <c r="E253" s="153"/>
      <c r="F253" s="498" t="str">
        <f>IF(D253="","",VLOOKUP(D253,'G-7 Rivers Data'!$B$2:$G$8,2,FALSE))</f>
        <v/>
      </c>
      <c r="G253" s="499" t="str">
        <f>IFERROR(VLOOKUP(F253,'G-7 Rivers Data'!$C$4:$D$8,2,FALSE),"")</f>
        <v/>
      </c>
      <c r="H253" s="145"/>
      <c r="I253" s="499" t="str">
        <f>IFERROR(INDEX('G-7 Rivers Data'!$H$4:$L$8,MATCH(D253,'G-7 Rivers Data'!$B$4:$B$8,0),MATCH(H253,'G-7 Rivers Data'!$H$3:$L$3,0)),"")</f>
        <v/>
      </c>
      <c r="J253" s="154"/>
      <c r="K253" s="520" t="str">
        <f>IF(J253="","",IF(VLOOKUP(J253,'G-7 Rivers Data'!$AK$4:$AM$9,2,FALSE)=0,"Spatial Data Missing ⚠",VLOOKUP(J253,'G-7 Rivers Data'!$AK$4:$AM$9,2,FALSE)))</f>
        <v/>
      </c>
      <c r="L253" s="524" t="str">
        <f>IF(J253="","",IF(VLOOKUP(J253,'G-7 Rivers Data'!$AK$4:$AM$9,3,FALSE)=0,"Spatial Data Missing ⚠",VLOOKUP(J253,'G-7 Rivers Data'!$AK$4:$AM$9,3,FALSE)))</f>
        <v/>
      </c>
      <c r="M253" s="71"/>
      <c r="N253" s="499" t="str">
        <f>IF(M253="","",IF(VLOOKUP(M253,'G-7 Rivers Data'!$AA$4:$AB$7,2,FALSE)=0,"Spatial Data Missing ⚠",VLOOKUP(M253,'G-7 Rivers Data'!$AA$4:$AB$7,2,FALSE)))</f>
        <v/>
      </c>
      <c r="O253" s="155"/>
      <c r="P253" s="499" t="str">
        <f>IF(O253="","",IF(VLOOKUP(O253,'G-7 Rivers Data'!$AD$4:$AE$8,2,FALSE)=0,"Spatial Data Missing ⚠",VLOOKUP(O253,'G-7 Rivers Data'!$AD$4:$AE$8,2,FALSE)))</f>
        <v/>
      </c>
      <c r="Q253" s="506" t="str">
        <f>IF(D253="","",VLOOKUP(D253,'G-7 Rivers Data'!$B$4:$G$8,6,FALSE))</f>
        <v/>
      </c>
      <c r="R253" s="513" t="str">
        <f t="shared" si="24"/>
        <v/>
      </c>
      <c r="S253" s="40"/>
      <c r="T253" s="145"/>
      <c r="U253" s="157"/>
      <c r="V253" s="511" t="str">
        <f t="shared" si="25"/>
        <v/>
      </c>
      <c r="W253" s="511" t="str">
        <f t="shared" si="26"/>
        <v/>
      </c>
      <c r="X253" s="511" t="str">
        <f t="shared" si="27"/>
        <v/>
      </c>
      <c r="Y253" s="515" t="str">
        <f t="shared" si="28"/>
        <v/>
      </c>
      <c r="Z253" s="151"/>
      <c r="AA253" s="152"/>
      <c r="AF253" s="31" t="str">
        <f>IFERROR(INDEX('G-7 Rivers Data'!$AZ$3:$AZ$7,MATCH(D253,'G-7 Rivers Data'!$AY$3:$AY$7,0)),"")</f>
        <v/>
      </c>
      <c r="AG253" s="31">
        <f t="shared" si="29"/>
        <v>0</v>
      </c>
      <c r="AH253" s="139" t="str">
        <f t="shared" si="30"/>
        <v/>
      </c>
      <c r="AI253" s="139" t="str">
        <f t="shared" si="31"/>
        <v/>
      </c>
      <c r="AJ253" s="140"/>
      <c r="AK253" s="139">
        <v>244</v>
      </c>
      <c r="AL253" s="140"/>
      <c r="AM253" s="139" t="str">
        <f t="array" ref="AM253">IFERROR(INDEX($AK$10:$AK$258, MATCH(0, IF(TRUE=$AH$10:$AH$258, COUNTIF($AM$9:$AM252, $AK$10:$AK$258), ""), 0)),"")</f>
        <v/>
      </c>
      <c r="AN253" s="139" t="str">
        <f t="array" ref="AN253">IFERROR(INDEX($AK$10:$AK$258, MATCH(0, IF(TRUE=$AI$10:$AI$258, COUNTIF($AN$9:$AN252, $AK$10:$AK$258), ""), 0)),"")</f>
        <v/>
      </c>
    </row>
    <row r="254" spans="3:40" ht="14" x14ac:dyDescent="0.3">
      <c r="C254" s="141">
        <v>245</v>
      </c>
      <c r="D254" s="462"/>
      <c r="E254" s="153"/>
      <c r="F254" s="498" t="str">
        <f>IF(D254="","",VLOOKUP(D254,'G-7 Rivers Data'!$B$2:$G$8,2,FALSE))</f>
        <v/>
      </c>
      <c r="G254" s="499" t="str">
        <f>IFERROR(VLOOKUP(F254,'G-7 Rivers Data'!$C$4:$D$8,2,FALSE),"")</f>
        <v/>
      </c>
      <c r="H254" s="145"/>
      <c r="I254" s="499" t="str">
        <f>IFERROR(INDEX('G-7 Rivers Data'!$H$4:$L$8,MATCH(D254,'G-7 Rivers Data'!$B$4:$B$8,0),MATCH(H254,'G-7 Rivers Data'!$H$3:$L$3,0)),"")</f>
        <v/>
      </c>
      <c r="J254" s="154"/>
      <c r="K254" s="520" t="str">
        <f>IF(J254="","",IF(VLOOKUP(J254,'G-7 Rivers Data'!$AK$4:$AM$9,2,FALSE)=0,"Spatial Data Missing ⚠",VLOOKUP(J254,'G-7 Rivers Data'!$AK$4:$AM$9,2,FALSE)))</f>
        <v/>
      </c>
      <c r="L254" s="524" t="str">
        <f>IF(J254="","",IF(VLOOKUP(J254,'G-7 Rivers Data'!$AK$4:$AM$9,3,FALSE)=0,"Spatial Data Missing ⚠",VLOOKUP(J254,'G-7 Rivers Data'!$AK$4:$AM$9,3,FALSE)))</f>
        <v/>
      </c>
      <c r="M254" s="71"/>
      <c r="N254" s="499" t="str">
        <f>IF(M254="","",IF(VLOOKUP(M254,'G-7 Rivers Data'!$AA$4:$AB$7,2,FALSE)=0,"Spatial Data Missing ⚠",VLOOKUP(M254,'G-7 Rivers Data'!$AA$4:$AB$7,2,FALSE)))</f>
        <v/>
      </c>
      <c r="O254" s="155"/>
      <c r="P254" s="499" t="str">
        <f>IF(O254="","",IF(VLOOKUP(O254,'G-7 Rivers Data'!$AD$4:$AE$8,2,FALSE)=0,"Spatial Data Missing ⚠",VLOOKUP(O254,'G-7 Rivers Data'!$AD$4:$AE$8,2,FALSE)))</f>
        <v/>
      </c>
      <c r="Q254" s="506" t="str">
        <f>IF(D254="","",VLOOKUP(D254,'G-7 Rivers Data'!$B$4:$G$8,6,FALSE))</f>
        <v/>
      </c>
      <c r="R254" s="513" t="str">
        <f t="shared" si="24"/>
        <v/>
      </c>
      <c r="S254" s="40"/>
      <c r="T254" s="145"/>
      <c r="U254" s="157"/>
      <c r="V254" s="511" t="str">
        <f t="shared" si="25"/>
        <v/>
      </c>
      <c r="W254" s="511" t="str">
        <f t="shared" si="26"/>
        <v/>
      </c>
      <c r="X254" s="511" t="str">
        <f t="shared" si="27"/>
        <v/>
      </c>
      <c r="Y254" s="515" t="str">
        <f t="shared" si="28"/>
        <v/>
      </c>
      <c r="Z254" s="151"/>
      <c r="AA254" s="152"/>
      <c r="AF254" s="31" t="str">
        <f>IFERROR(INDEX('G-7 Rivers Data'!$AZ$3:$AZ$7,MATCH(D254,'G-7 Rivers Data'!$AY$3:$AY$7,0)),"")</f>
        <v/>
      </c>
      <c r="AG254" s="31">
        <f t="shared" si="29"/>
        <v>0</v>
      </c>
      <c r="AH254" s="139" t="str">
        <f t="shared" si="30"/>
        <v/>
      </c>
      <c r="AI254" s="139" t="str">
        <f t="shared" si="31"/>
        <v/>
      </c>
      <c r="AJ254" s="140"/>
      <c r="AK254" s="139">
        <v>245</v>
      </c>
      <c r="AL254" s="140"/>
      <c r="AM254" s="139" t="str">
        <f t="array" ref="AM254">IFERROR(INDEX($AK$10:$AK$258, MATCH(0, IF(TRUE=$AH$10:$AH$258, COUNTIF($AM$9:$AM253, $AK$10:$AK$258), ""), 0)),"")</f>
        <v/>
      </c>
      <c r="AN254" s="139" t="str">
        <f t="array" ref="AN254">IFERROR(INDEX($AK$10:$AK$258, MATCH(0, IF(TRUE=$AI$10:$AI$258, COUNTIF($AN$9:$AN253, $AK$10:$AK$258), ""), 0)),"")</f>
        <v/>
      </c>
    </row>
    <row r="255" spans="3:40" ht="14" x14ac:dyDescent="0.3">
      <c r="C255" s="141">
        <v>246</v>
      </c>
      <c r="D255" s="462"/>
      <c r="E255" s="153"/>
      <c r="F255" s="498" t="str">
        <f>IF(D255="","",VLOOKUP(D255,'G-7 Rivers Data'!$B$2:$G$8,2,FALSE))</f>
        <v/>
      </c>
      <c r="G255" s="499" t="str">
        <f>IFERROR(VLOOKUP(F255,'G-7 Rivers Data'!$C$4:$D$8,2,FALSE),"")</f>
        <v/>
      </c>
      <c r="H255" s="145"/>
      <c r="I255" s="499" t="str">
        <f>IFERROR(INDEX('G-7 Rivers Data'!$H$4:$L$8,MATCH(D255,'G-7 Rivers Data'!$B$4:$B$8,0),MATCH(H255,'G-7 Rivers Data'!$H$3:$L$3,0)),"")</f>
        <v/>
      </c>
      <c r="J255" s="154"/>
      <c r="K255" s="520" t="str">
        <f>IF(J255="","",IF(VLOOKUP(J255,'G-7 Rivers Data'!$AK$4:$AM$9,2,FALSE)=0,"Spatial Data Missing ⚠",VLOOKUP(J255,'G-7 Rivers Data'!$AK$4:$AM$9,2,FALSE)))</f>
        <v/>
      </c>
      <c r="L255" s="524" t="str">
        <f>IF(J255="","",IF(VLOOKUP(J255,'G-7 Rivers Data'!$AK$4:$AM$9,3,FALSE)=0,"Spatial Data Missing ⚠",VLOOKUP(J255,'G-7 Rivers Data'!$AK$4:$AM$9,3,FALSE)))</f>
        <v/>
      </c>
      <c r="M255" s="71"/>
      <c r="N255" s="499" t="str">
        <f>IF(M255="","",IF(VLOOKUP(M255,'G-7 Rivers Data'!$AA$4:$AB$7,2,FALSE)=0,"Spatial Data Missing ⚠",VLOOKUP(M255,'G-7 Rivers Data'!$AA$4:$AB$7,2,FALSE)))</f>
        <v/>
      </c>
      <c r="O255" s="155"/>
      <c r="P255" s="499" t="str">
        <f>IF(O255="","",IF(VLOOKUP(O255,'G-7 Rivers Data'!$AD$4:$AE$8,2,FALSE)=0,"Spatial Data Missing ⚠",VLOOKUP(O255,'G-7 Rivers Data'!$AD$4:$AE$8,2,FALSE)))</f>
        <v/>
      </c>
      <c r="Q255" s="506" t="str">
        <f>IF(D255="","",VLOOKUP(D255,'G-7 Rivers Data'!$B$4:$G$8,6,FALSE))</f>
        <v/>
      </c>
      <c r="R255" s="513" t="str">
        <f t="shared" si="24"/>
        <v/>
      </c>
      <c r="S255" s="40"/>
      <c r="T255" s="145"/>
      <c r="U255" s="157"/>
      <c r="V255" s="511" t="str">
        <f t="shared" si="25"/>
        <v/>
      </c>
      <c r="W255" s="511" t="str">
        <f t="shared" si="26"/>
        <v/>
      </c>
      <c r="X255" s="511" t="str">
        <f t="shared" si="27"/>
        <v/>
      </c>
      <c r="Y255" s="515" t="str">
        <f t="shared" si="28"/>
        <v/>
      </c>
      <c r="Z255" s="151"/>
      <c r="AA255" s="152"/>
      <c r="AF255" s="31" t="str">
        <f>IFERROR(INDEX('G-7 Rivers Data'!$AZ$3:$AZ$7,MATCH(D255,'G-7 Rivers Data'!$AY$3:$AY$7,0)),"")</f>
        <v/>
      </c>
      <c r="AG255" s="31">
        <f t="shared" si="29"/>
        <v>0</v>
      </c>
      <c r="AH255" s="139" t="str">
        <f t="shared" si="30"/>
        <v/>
      </c>
      <c r="AI255" s="139" t="str">
        <f t="shared" si="31"/>
        <v/>
      </c>
      <c r="AJ255" s="140"/>
      <c r="AK255" s="139">
        <v>246</v>
      </c>
      <c r="AL255" s="140"/>
      <c r="AM255" s="139" t="str">
        <f t="array" ref="AM255">IFERROR(INDEX($AK$10:$AK$258, MATCH(0, IF(TRUE=$AH$10:$AH$258, COUNTIF($AM$9:$AM254, $AK$10:$AK$258), ""), 0)),"")</f>
        <v/>
      </c>
      <c r="AN255" s="139" t="str">
        <f t="array" ref="AN255">IFERROR(INDEX($AK$10:$AK$258, MATCH(0, IF(TRUE=$AI$10:$AI$258, COUNTIF($AN$9:$AN254, $AK$10:$AK$258), ""), 0)),"")</f>
        <v/>
      </c>
    </row>
    <row r="256" spans="3:40" ht="14" x14ac:dyDescent="0.3">
      <c r="C256" s="141">
        <v>247</v>
      </c>
      <c r="D256" s="462"/>
      <c r="E256" s="153"/>
      <c r="F256" s="498" t="str">
        <f>IF(D256="","",VLOOKUP(D256,'G-7 Rivers Data'!$B$2:$G$8,2,FALSE))</f>
        <v/>
      </c>
      <c r="G256" s="499" t="str">
        <f>IFERROR(VLOOKUP(F256,'G-7 Rivers Data'!$C$4:$D$8,2,FALSE),"")</f>
        <v/>
      </c>
      <c r="H256" s="145"/>
      <c r="I256" s="499" t="str">
        <f>IFERROR(INDEX('G-7 Rivers Data'!$H$4:$L$8,MATCH(D256,'G-7 Rivers Data'!$B$4:$B$8,0),MATCH(H256,'G-7 Rivers Data'!$H$3:$L$3,0)),"")</f>
        <v/>
      </c>
      <c r="J256" s="154"/>
      <c r="K256" s="520" t="str">
        <f>IF(J256="","",IF(VLOOKUP(J256,'G-7 Rivers Data'!$AK$4:$AM$9,2,FALSE)=0,"Spatial Data Missing ⚠",VLOOKUP(J256,'G-7 Rivers Data'!$AK$4:$AM$9,2,FALSE)))</f>
        <v/>
      </c>
      <c r="L256" s="524" t="str">
        <f>IF(J256="","",IF(VLOOKUP(J256,'G-7 Rivers Data'!$AK$4:$AM$9,3,FALSE)=0,"Spatial Data Missing ⚠",VLOOKUP(J256,'G-7 Rivers Data'!$AK$4:$AM$9,3,FALSE)))</f>
        <v/>
      </c>
      <c r="M256" s="71"/>
      <c r="N256" s="499" t="str">
        <f>IF(M256="","",IF(VLOOKUP(M256,'G-7 Rivers Data'!$AA$4:$AB$7,2,FALSE)=0,"Spatial Data Missing ⚠",VLOOKUP(M256,'G-7 Rivers Data'!$AA$4:$AB$7,2,FALSE)))</f>
        <v/>
      </c>
      <c r="O256" s="155"/>
      <c r="P256" s="499" t="str">
        <f>IF(O256="","",IF(VLOOKUP(O256,'G-7 Rivers Data'!$AD$4:$AE$8,2,FALSE)=0,"Spatial Data Missing ⚠",VLOOKUP(O256,'G-7 Rivers Data'!$AD$4:$AE$8,2,FALSE)))</f>
        <v/>
      </c>
      <c r="Q256" s="506" t="str">
        <f>IF(D256="","",VLOOKUP(D256,'G-7 Rivers Data'!$B$4:$G$8,6,FALSE))</f>
        <v/>
      </c>
      <c r="R256" s="513" t="str">
        <f t="shared" si="24"/>
        <v/>
      </c>
      <c r="S256" s="40"/>
      <c r="T256" s="145"/>
      <c r="U256" s="157"/>
      <c r="V256" s="511" t="str">
        <f t="shared" si="25"/>
        <v/>
      </c>
      <c r="W256" s="511" t="str">
        <f t="shared" si="26"/>
        <v/>
      </c>
      <c r="X256" s="511" t="str">
        <f t="shared" si="27"/>
        <v/>
      </c>
      <c r="Y256" s="515" t="str">
        <f t="shared" si="28"/>
        <v/>
      </c>
      <c r="Z256" s="151"/>
      <c r="AA256" s="152"/>
      <c r="AF256" s="31" t="str">
        <f>IFERROR(INDEX('G-7 Rivers Data'!$AZ$3:$AZ$7,MATCH(D256,'G-7 Rivers Data'!$AY$3:$AY$7,0)),"")</f>
        <v/>
      </c>
      <c r="AG256" s="31">
        <f t="shared" si="29"/>
        <v>0</v>
      </c>
      <c r="AH256" s="139" t="str">
        <f t="shared" si="30"/>
        <v/>
      </c>
      <c r="AI256" s="139" t="str">
        <f t="shared" si="31"/>
        <v/>
      </c>
      <c r="AJ256" s="140"/>
      <c r="AK256" s="139">
        <v>247</v>
      </c>
      <c r="AL256" s="140"/>
      <c r="AM256" s="139" t="str">
        <f t="array" ref="AM256">IFERROR(INDEX($AK$10:$AK$258, MATCH(0, IF(TRUE=$AH$10:$AH$258, COUNTIF($AM$9:$AM255, $AK$10:$AK$258), ""), 0)),"")</f>
        <v/>
      </c>
      <c r="AN256" s="139" t="str">
        <f t="array" ref="AN256">IFERROR(INDEX($AK$10:$AK$258, MATCH(0, IF(TRUE=$AI$10:$AI$258, COUNTIF($AN$9:$AN255, $AK$10:$AK$258), ""), 0)),"")</f>
        <v/>
      </c>
    </row>
    <row r="257" spans="2:40" ht="14.5" thickBot="1" x14ac:dyDescent="0.35">
      <c r="C257" s="158">
        <v>248</v>
      </c>
      <c r="D257" s="463"/>
      <c r="E257" s="160"/>
      <c r="F257" s="500" t="str">
        <f>IF(D257="","",VLOOKUP(D257,'G-7 Rivers Data'!$B$2:$G$8,2,FALSE))</f>
        <v/>
      </c>
      <c r="G257" s="501" t="str">
        <f>IFERROR(VLOOKUP(F257,'G-7 Rivers Data'!$C$4:$D$8,2,FALSE),"")</f>
        <v/>
      </c>
      <c r="H257" s="161"/>
      <c r="I257" s="501" t="str">
        <f>IFERROR(INDEX('G-7 Rivers Data'!$H$4:$L$8,MATCH(D257,'G-7 Rivers Data'!$B$4:$B$8,0),MATCH(H257,'G-7 Rivers Data'!$H$3:$L$3,0)),"")</f>
        <v/>
      </c>
      <c r="J257" s="161"/>
      <c r="K257" s="520" t="str">
        <f>IF(J257="","",IF(VLOOKUP(J257,'G-7 Rivers Data'!$AK$4:$AM$9,2,FALSE)=0,"Spatial Data Missing ⚠",VLOOKUP(J257,'G-7 Rivers Data'!$AK$4:$AM$9,2,FALSE)))</f>
        <v/>
      </c>
      <c r="L257" s="524" t="str">
        <f>IF(J257="","",IF(VLOOKUP(J257,'G-7 Rivers Data'!$AK$4:$AM$9,3,FALSE)=0,"Spatial Data Missing ⚠",VLOOKUP(J257,'G-7 Rivers Data'!$AK$4:$AM$9,3,FALSE)))</f>
        <v/>
      </c>
      <c r="M257" s="452"/>
      <c r="N257" s="499" t="str">
        <f>IF(M257="","",IF(VLOOKUP(M257,'G-7 Rivers Data'!$AA$4:$AB$7,2,FALSE)=0,"Spatial Data Missing ⚠",VLOOKUP(M257,'G-7 Rivers Data'!$AA$4:$AB$7,2,FALSE)))</f>
        <v/>
      </c>
      <c r="O257" s="273"/>
      <c r="P257" s="499" t="str">
        <f>IF(O257="","",IF(VLOOKUP(O257,'G-7 Rivers Data'!$AD$4:$AE$8,2,FALSE)=0,"Spatial Data Missing ⚠",VLOOKUP(O257,'G-7 Rivers Data'!$AD$4:$AE$8,2,FALSE)))</f>
        <v/>
      </c>
      <c r="Q257" s="570" t="str">
        <f>IF(D257="","",VLOOKUP(D257,'G-7 Rivers Data'!$B$4:$G$8,6,FALSE))</f>
        <v/>
      </c>
      <c r="R257" s="513" t="str">
        <f t="shared" si="24"/>
        <v/>
      </c>
      <c r="S257" s="40"/>
      <c r="T257" s="145"/>
      <c r="U257" s="157"/>
      <c r="V257" s="511" t="str">
        <f t="shared" si="25"/>
        <v/>
      </c>
      <c r="W257" s="511" t="str">
        <f t="shared" si="26"/>
        <v/>
      </c>
      <c r="X257" s="511" t="str">
        <f t="shared" si="27"/>
        <v/>
      </c>
      <c r="Y257" s="515" t="str">
        <f t="shared" si="28"/>
        <v/>
      </c>
      <c r="Z257" s="163"/>
      <c r="AA257" s="164"/>
      <c r="AF257" s="31" t="str">
        <f>IFERROR(INDEX('G-7 Rivers Data'!$AZ$3:$AZ$7,MATCH(D257,'G-7 Rivers Data'!$AY$3:$AY$7,0)),"")</f>
        <v/>
      </c>
      <c r="AG257" s="31">
        <f t="shared" si="29"/>
        <v>0</v>
      </c>
      <c r="AH257" s="139" t="str">
        <f t="shared" si="30"/>
        <v/>
      </c>
      <c r="AI257" s="139" t="str">
        <f t="shared" si="31"/>
        <v/>
      </c>
      <c r="AJ257" s="140"/>
      <c r="AK257" s="139">
        <v>248</v>
      </c>
      <c r="AL257" s="140"/>
      <c r="AM257" s="139" t="str">
        <f t="array" ref="AM257">IFERROR(INDEX($AK$10:$AK$258, MATCH(0, IF(TRUE=$AH$10:$AH$258, COUNTIF($AM$9:$AM256, $AK$10:$AK$258), ""), 0)),"")</f>
        <v/>
      </c>
      <c r="AN257" s="139" t="str">
        <f t="array" ref="AN257">IFERROR(INDEX($AK$10:$AK$258, MATCH(0, IF(TRUE=$AI$10:$AI$258, COUNTIF($AN$9:$AN256, $AK$10:$AK$258), ""), 0)),"")</f>
        <v/>
      </c>
    </row>
    <row r="258" spans="2:40" ht="15.75" customHeight="1" thickBot="1" x14ac:dyDescent="0.35">
      <c r="B258" s="31"/>
      <c r="C258" s="46"/>
      <c r="D258" s="443"/>
      <c r="E258" s="563">
        <f>SUM(E10:E257)</f>
        <v>0</v>
      </c>
      <c r="F258" s="46"/>
      <c r="G258" s="46"/>
      <c r="H258" s="46"/>
      <c r="I258" s="46"/>
      <c r="J258" s="46"/>
      <c r="K258" s="46"/>
      <c r="L258" s="46"/>
      <c r="M258" s="46"/>
      <c r="N258" s="46"/>
      <c r="O258" s="46"/>
      <c r="P258" s="1024"/>
      <c r="Q258" s="1025"/>
      <c r="R258" s="563">
        <f>SUM(R10:R257)</f>
        <v>0</v>
      </c>
      <c r="S258" s="166"/>
      <c r="T258" s="517">
        <f>SUM(T10:T257)</f>
        <v>0</v>
      </c>
      <c r="U258" s="518">
        <f t="shared" ref="U258:X258" si="32">SUM(U10:U257)</f>
        <v>0</v>
      </c>
      <c r="V258" s="518">
        <f t="shared" si="32"/>
        <v>0</v>
      </c>
      <c r="W258" s="518">
        <f t="shared" si="32"/>
        <v>0</v>
      </c>
      <c r="X258" s="518">
        <f t="shared" si="32"/>
        <v>0</v>
      </c>
      <c r="Y258" s="515">
        <f t="shared" si="28"/>
        <v>0</v>
      </c>
      <c r="Z258" s="46"/>
      <c r="AA258" s="46"/>
    </row>
    <row r="259" spans="2:40" ht="14" x14ac:dyDescent="0.3">
      <c r="B259" s="31"/>
      <c r="C259" s="31"/>
      <c r="S259" s="166"/>
      <c r="T259" s="166"/>
      <c r="U259" s="166"/>
      <c r="V259" s="166"/>
      <c r="W259" s="166"/>
      <c r="X259" s="166"/>
      <c r="Y259" s="166"/>
    </row>
    <row r="260" spans="2:40" ht="14" x14ac:dyDescent="0.3"/>
    <row r="261" spans="2:40" ht="14" x14ac:dyDescent="0.3"/>
    <row r="262" spans="2:40" ht="14" x14ac:dyDescent="0.3"/>
    <row r="263" spans="2:40" ht="14" x14ac:dyDescent="0.3"/>
    <row r="264" spans="2:40" ht="14" x14ac:dyDescent="0.3"/>
    <row r="265" spans="2:40" ht="14" x14ac:dyDescent="0.3"/>
    <row r="266" spans="2:40" ht="14" x14ac:dyDescent="0.3"/>
    <row r="267" spans="2:40" ht="14" x14ac:dyDescent="0.3"/>
    <row r="268" spans="2:40" ht="14" x14ac:dyDescent="0.3"/>
    <row r="269" spans="2:40" ht="14" x14ac:dyDescent="0.3"/>
    <row r="270" spans="2:40" ht="14" x14ac:dyDescent="0.3"/>
    <row r="271" spans="2:40" ht="14" x14ac:dyDescent="0.3"/>
    <row r="272" spans="2:40" ht="14" x14ac:dyDescent="0.3"/>
  </sheetData>
  <sheetProtection algorithmName="SHA-512" hashValue="mkeeeg4iE7sLCgNbJ0Z2oV8Ct03l03obFFU5LrnG0AaD1tTqYvhrcmoldu2OPW/cZ7ft4dyCFjN4KJ7H/tNDbg==" saltValue="NajSZB9iNQLUmHc9OGtxEg==" spinCount="100000" sheet="1" objects="1" scenarios="1"/>
  <customSheetViews>
    <customSheetView guid="{8BDA793C-C9C5-4FC6-A0A5-F1109F6D4F22}" state="hidden">
      <pane ySplit="9" topLeftCell="A10" activePane="bottomLeft" state="frozen"/>
      <selection pane="bottomLeft" activeCell="D14" sqref="D14"/>
    </customSheetView>
  </customSheetViews>
  <mergeCells count="13">
    <mergeCell ref="P258:Q258"/>
    <mergeCell ref="Z8:AA8"/>
    <mergeCell ref="B2:E2"/>
    <mergeCell ref="B3:E4"/>
    <mergeCell ref="C8:E8"/>
    <mergeCell ref="F8:G8"/>
    <mergeCell ref="H8:I8"/>
    <mergeCell ref="J8:L8"/>
    <mergeCell ref="M8:N8"/>
    <mergeCell ref="O8:P8"/>
    <mergeCell ref="Q8:Q9"/>
    <mergeCell ref="T8:Y8"/>
    <mergeCell ref="T4:Y5"/>
  </mergeCells>
  <conditionalFormatting sqref="Q10:Q257">
    <cfRule type="containsText" dxfId="28" priority="7" operator="containsText" text="Restore">
      <formula>NOT(ISERROR(SEARCH("Restore",Q10)))</formula>
    </cfRule>
  </conditionalFormatting>
  <conditionalFormatting sqref="K10:Q257">
    <cfRule type="containsText" dxfId="27" priority="8" operator="containsText" text="Spatial">
      <formula>NOT(ISERROR(SEARCH("Spatial",K10)))</formula>
    </cfRule>
  </conditionalFormatting>
  <conditionalFormatting sqref="X10:X257">
    <cfRule type="containsText" dxfId="26" priority="4" operator="containsText" text="Error">
      <formula>NOT(ISERROR(SEARCH("Error",X10)))</formula>
    </cfRule>
  </conditionalFormatting>
  <conditionalFormatting sqref="Y10:Y258">
    <cfRule type="containsText" dxfId="25" priority="2" operator="containsText" text="Check">
      <formula>NOT(ISERROR(SEARCH("Check",Y10)))</formula>
    </cfRule>
    <cfRule type="containsText" dxfId="24" priority="3" operator="containsText" text="Error">
      <formula>NOT(ISERROR(SEARCH("Error",Y10)))</formula>
    </cfRule>
  </conditionalFormatting>
  <conditionalFormatting sqref="S5 S4:T4">
    <cfRule type="containsText" dxfId="23" priority="1" operator="containsText" text="Check">
      <formula>NOT(ISERROR(SEARCH("Check",S4)))</formula>
    </cfRule>
  </conditionalFormatting>
  <dataValidations count="1">
    <dataValidation type="list" allowBlank="1" showInputMessage="1" showErrorMessage="1" sqref="H10:H257" xr:uid="{00000000-0002-0000-1800-000000000000}">
      <formula1>INDIRECT(AF10)</formula1>
    </dataValidation>
  </dataValidations>
  <pageMargins left="0.7" right="0.7" top="0.75" bottom="0.75" header="0.3" footer="0.3"/>
  <pageSetup paperSize="9" orientation="portrait" horizontalDpi="90" verticalDpi="90"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1800-000001000000}">
          <x14:formula1>
            <xm:f>'G-7 Rivers Data'!$AK$4:$AK$9</xm:f>
          </x14:formula1>
          <xm:sqref>J10:J257</xm:sqref>
        </x14:dataValidation>
        <x14:dataValidation type="list" allowBlank="1" showInputMessage="1" showErrorMessage="1" xr:uid="{00000000-0002-0000-1800-000003000000}">
          <x14:formula1>
            <xm:f>'G-7 Rivers Data'!$AD$4:$AD$7</xm:f>
          </x14:formula1>
          <xm:sqref>O10:O257</xm:sqref>
        </x14:dataValidation>
        <x14:dataValidation type="list" allowBlank="1" showInputMessage="1" showErrorMessage="1" xr:uid="{00000000-0002-0000-1800-000004000000}">
          <x14:formula1>
            <xm:f>'G-7 Rivers Data'!$B$4:$B$8</xm:f>
          </x14:formula1>
          <xm:sqref>D10:D257</xm:sqref>
        </x14:dataValidation>
        <x14:dataValidation type="list" allowBlank="1" showInputMessage="1" showErrorMessage="1" xr:uid="{05773494-43C1-4C1D-A517-73B9574F65E8}">
          <x14:formula1>
            <xm:f>'G-7 Rivers Data'!$AA$4:$AA$7</xm:f>
          </x14:formula1>
          <xm:sqref>M10:M257</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tabColor rgb="FF0033CC"/>
  </sheetPr>
  <dimension ref="A1:AS1048576"/>
  <sheetViews>
    <sheetView workbookViewId="0"/>
  </sheetViews>
  <sheetFormatPr defaultColWidth="0" defaultRowHeight="0" customHeight="1" zeroHeight="1" x14ac:dyDescent="0.3"/>
  <cols>
    <col min="1" max="1" width="2.81640625" style="31" customWidth="1"/>
    <col min="2" max="2" width="10.7265625" style="31" customWidth="1"/>
    <col min="3" max="3" width="47.1796875" style="31" customWidth="1"/>
    <col min="4" max="4" width="10.453125" style="31" customWidth="1"/>
    <col min="5" max="5" width="17.453125" style="31" customWidth="1"/>
    <col min="6" max="6" width="13.1796875" style="31" customWidth="1"/>
    <col min="7" max="7" width="12.54296875" style="31" bestFit="1" customWidth="1"/>
    <col min="8" max="8" width="12.54296875" style="31" customWidth="1"/>
    <col min="9" max="9" width="33.7265625" style="31" customWidth="1"/>
    <col min="10" max="10" width="15.453125" style="31" customWidth="1"/>
    <col min="11" max="11" width="12.26953125" style="31" customWidth="1"/>
    <col min="12" max="14" width="17.7265625" style="31" customWidth="1"/>
    <col min="15" max="15" width="34.54296875" style="31" customWidth="1"/>
    <col min="16" max="16" width="17.7265625" style="31" customWidth="1"/>
    <col min="17" max="17" width="15.26953125" style="31" customWidth="1"/>
    <col min="18" max="18" width="10.7265625" style="31" customWidth="1"/>
    <col min="19" max="19" width="26.1796875" style="31" customWidth="1"/>
    <col min="20" max="20" width="13.453125" style="31" customWidth="1"/>
    <col min="21" max="21" width="12.26953125" style="31" customWidth="1"/>
    <col min="22" max="22" width="16.453125" style="31" customWidth="1"/>
    <col min="23" max="23" width="12.453125" style="31" customWidth="1"/>
    <col min="24" max="24" width="17" style="31" customWidth="1"/>
    <col min="25" max="25" width="12.54296875" style="31" customWidth="1"/>
    <col min="26" max="26" width="30.26953125" style="31" customWidth="1"/>
    <col min="27" max="27" width="12.7265625" style="31" customWidth="1"/>
    <col min="28" max="28" width="17.26953125" style="31" customWidth="1"/>
    <col min="29" max="30" width="34.81640625" style="31" customWidth="1"/>
    <col min="31" max="36" width="8.81640625" style="31" customWidth="1"/>
    <col min="37" max="37" width="15.453125" style="31" hidden="1" customWidth="1"/>
    <col min="38" max="45" width="0" style="31" hidden="1" customWidth="1"/>
    <col min="46" max="16384" width="8.81640625" style="31" hidden="1"/>
  </cols>
  <sheetData>
    <row r="1" spans="2:37" ht="14.5" thickBot="1" x14ac:dyDescent="0.35"/>
    <row r="2" spans="2:37" ht="18.649999999999999" customHeight="1" thickBot="1" x14ac:dyDescent="0.35">
      <c r="B2" s="744" t="str">
        <f>IF([2]Start!$F$12="","",[2]Start!$F$12)</f>
        <v/>
      </c>
      <c r="C2" s="745"/>
      <c r="D2" s="746"/>
      <c r="L2" s="921" t="str">
        <f>IF(OR(COUNTIF(L$12:$L259,"*30+*")&gt;0,COUNTIF(P$12:$P259,"*30+*")&gt;0),"Note; Habitat selected has a time to target condition greater than 30 years. Non standard agreement may be required.","")</f>
        <v/>
      </c>
      <c r="M2" s="921"/>
      <c r="N2" s="921"/>
      <c r="O2" s="921"/>
      <c r="P2" s="921"/>
      <c r="Q2" s="921"/>
    </row>
    <row r="3" spans="2:37" ht="15.65" customHeight="1" thickBot="1" x14ac:dyDescent="0.35">
      <c r="B3" s="972" t="str">
        <f ca="1">MID(CELL("filename",A1),FIND("]",CELL("filename",A1))+1,256)</f>
        <v>F-2 Off Site River Creation</v>
      </c>
      <c r="C3" s="973"/>
      <c r="D3" s="974"/>
      <c r="L3" s="921"/>
      <c r="M3" s="921"/>
      <c r="N3" s="921"/>
      <c r="O3" s="921"/>
      <c r="P3" s="921"/>
      <c r="Q3" s="921"/>
    </row>
    <row r="4" spans="2:37" ht="9.65" customHeight="1" thickBot="1" x14ac:dyDescent="0.35">
      <c r="B4" s="972"/>
      <c r="C4" s="973"/>
      <c r="D4" s="974"/>
      <c r="L4" s="921"/>
      <c r="M4" s="921"/>
      <c r="N4" s="921"/>
      <c r="O4" s="921"/>
      <c r="P4" s="921"/>
      <c r="Q4" s="921"/>
    </row>
    <row r="5" spans="2:37" ht="26.5" customHeight="1" x14ac:dyDescent="0.3">
      <c r="L5" s="921"/>
      <c r="M5" s="921"/>
      <c r="N5" s="921"/>
      <c r="O5" s="921"/>
      <c r="P5" s="921"/>
      <c r="Q5" s="921"/>
    </row>
    <row r="6" spans="2:37" ht="23.25" customHeight="1" x14ac:dyDescent="0.3">
      <c r="D6" s="131"/>
      <c r="L6" s="403"/>
      <c r="M6" s="403"/>
      <c r="N6" s="403"/>
      <c r="O6" s="403"/>
      <c r="P6" s="403"/>
    </row>
    <row r="7" spans="2:37" ht="14" x14ac:dyDescent="0.3"/>
    <row r="8" spans="2:37" ht="14" x14ac:dyDescent="0.3"/>
    <row r="9" spans="2:37" ht="15.75" customHeight="1" thickBot="1" x14ac:dyDescent="0.35"/>
    <row r="10" spans="2:37" s="42" customFormat="1" ht="29.25" customHeight="1" thickBot="1" x14ac:dyDescent="0.35">
      <c r="B10" s="247"/>
      <c r="C10" s="967" t="s">
        <v>301</v>
      </c>
      <c r="D10" s="969"/>
      <c r="E10" s="967" t="s">
        <v>272</v>
      </c>
      <c r="F10" s="969"/>
      <c r="G10" s="967" t="s">
        <v>336</v>
      </c>
      <c r="H10" s="969"/>
      <c r="I10" s="940" t="s">
        <v>191</v>
      </c>
      <c r="J10" s="940"/>
      <c r="K10" s="940"/>
      <c r="L10" s="940" t="s">
        <v>228</v>
      </c>
      <c r="M10" s="940"/>
      <c r="N10" s="940"/>
      <c r="O10" s="940"/>
      <c r="P10" s="940"/>
      <c r="Q10" s="940"/>
      <c r="R10" s="967" t="s">
        <v>229</v>
      </c>
      <c r="S10" s="968"/>
      <c r="T10" s="968"/>
      <c r="U10" s="969"/>
      <c r="V10" s="940" t="s">
        <v>319</v>
      </c>
      <c r="W10" s="940"/>
      <c r="X10" s="940" t="s">
        <v>320</v>
      </c>
      <c r="Y10" s="940"/>
      <c r="Z10" s="940" t="s">
        <v>283</v>
      </c>
      <c r="AA10" s="940"/>
      <c r="AB10" s="939" t="s">
        <v>329</v>
      </c>
      <c r="AC10" s="880" t="s">
        <v>196</v>
      </c>
      <c r="AD10" s="878"/>
    </row>
    <row r="11" spans="2:37" s="42" customFormat="1" ht="42" x14ac:dyDescent="0.3">
      <c r="B11" s="135" t="s">
        <v>254</v>
      </c>
      <c r="C11" s="304" t="s">
        <v>138</v>
      </c>
      <c r="D11" s="202" t="s">
        <v>337</v>
      </c>
      <c r="E11" s="368" t="s">
        <v>189</v>
      </c>
      <c r="F11" s="202" t="s">
        <v>206</v>
      </c>
      <c r="G11" s="368" t="s">
        <v>190</v>
      </c>
      <c r="H11" s="202" t="s">
        <v>206</v>
      </c>
      <c r="I11" s="368" t="s">
        <v>191</v>
      </c>
      <c r="J11" s="201" t="s">
        <v>191</v>
      </c>
      <c r="K11" s="202" t="s">
        <v>231</v>
      </c>
      <c r="L11" s="368" t="s">
        <v>304</v>
      </c>
      <c r="M11" s="201" t="s">
        <v>233</v>
      </c>
      <c r="N11" s="201" t="s">
        <v>234</v>
      </c>
      <c r="O11" s="201" t="s">
        <v>235</v>
      </c>
      <c r="P11" s="201" t="s">
        <v>236</v>
      </c>
      <c r="Q11" s="202" t="s">
        <v>338</v>
      </c>
      <c r="R11" s="368" t="s">
        <v>238</v>
      </c>
      <c r="S11" s="201" t="s">
        <v>282</v>
      </c>
      <c r="T11" s="201" t="s">
        <v>240</v>
      </c>
      <c r="U11" s="202" t="s">
        <v>241</v>
      </c>
      <c r="V11" s="368" t="s">
        <v>322</v>
      </c>
      <c r="W11" s="202" t="s">
        <v>323</v>
      </c>
      <c r="X11" s="368" t="s">
        <v>322</v>
      </c>
      <c r="Y11" s="202" t="s">
        <v>323</v>
      </c>
      <c r="Z11" s="368" t="s">
        <v>339</v>
      </c>
      <c r="AA11" s="202" t="s">
        <v>323</v>
      </c>
      <c r="AB11" s="940"/>
      <c r="AC11" s="141" t="s">
        <v>215</v>
      </c>
      <c r="AD11" s="359" t="s">
        <v>216</v>
      </c>
      <c r="AK11" s="261" t="s">
        <v>200</v>
      </c>
    </row>
    <row r="12" spans="2:37" ht="14" x14ac:dyDescent="0.3">
      <c r="B12" s="368">
        <v>1</v>
      </c>
      <c r="C12" s="260"/>
      <c r="D12" s="70"/>
      <c r="E12" s="498" t="str">
        <f>IF(C12="","",VLOOKUP(C12,'G-7 Rivers Data'!$B$2:$Z$9,2,FALSE))</f>
        <v/>
      </c>
      <c r="F12" s="499" t="str">
        <f>IFERROR(VLOOKUP(E12,'G-7 Rivers Data'!$C$4:$D$8,2,FALSE),"")</f>
        <v/>
      </c>
      <c r="G12" s="71"/>
      <c r="H12" s="499" t="str">
        <f>IFERROR(INDEX('G-7 Rivers Data'!$H$4:$L$8,MATCH(C12,'G-7 Rivers Data'!$B$4:$B$8,0),MATCH(G12,'G-7 Rivers Data'!$H$3:$L$3,0)),"")</f>
        <v/>
      </c>
      <c r="I12" s="71"/>
      <c r="J12" s="540" t="str">
        <f>IF(I12="","",IF(VLOOKUP(I12,'G-7 Rivers Data'!$AG$4:$AI$9,2,FALSE)=0,"Spatial Data Missing ⚠",VLOOKUP(I12,'G-7 Rivers Data'!$AG$4:$AI$9,2,FALSE)))</f>
        <v/>
      </c>
      <c r="K12" s="499" t="str">
        <f>IF(I12="","",IF(VLOOKUP(I12,'G-7 Rivers Data'!$AG$4:$AI$9,3,FALSE)=0,"Spatial Data Missing ⚠",VLOOKUP(I12,'G-7 Rivers Data'!$AG$4:$AI$9,3,FALSE)))</f>
        <v/>
      </c>
      <c r="L12" s="635" t="str">
        <f>IFERROR(INDEX('G-7 Rivers Data'!$O$3:$O$7,MATCH(G12,'G-7 Rivers Data'!$N$3:$N$7,0)),"")</f>
        <v/>
      </c>
      <c r="M12" s="72"/>
      <c r="N12" s="82"/>
      <c r="O12" s="507" t="str">
        <f>IF(L12="","",IF(AND(M12&gt;0,N12&gt;0),"Error -both advance and delayed habitat creation ▲",IF(AND(OR(M12="Habitat already in target condition",L12&lt;=M12),N12=0),"Check details - Is there evidence that habitat has reached target condition? ⚠",IF(M12&gt;0,"Check details - Is there evidence habitat creation started/in place? ⚠",IF(N12&gt;0,"Check details- Delay in starting habitat in required condition? ⚠","Standard time to target condition applied")))))</f>
        <v/>
      </c>
      <c r="P12" s="521" t="str">
        <f>IF(LEFT(O12,5)="Error ▲","Check Data ⚠",IF(L12="","",IF(M12="30+",0,IF(N12="30+","30+ ⚠",IF(L12+N12&gt;30,"30+ ⚠",IF(L12+N12-M12&gt;0,L12+N12-M12,IF(L12-M12&lt;0,0,L12+N12-M12)))))))</f>
        <v/>
      </c>
      <c r="Q12" s="564" t="str">
        <f>IFERROR(IF(P12="Check Data ⚠","Check Data ⚠",VLOOKUP(P12,'G-4 Temporal multipliers'!$A$4:$C$37,3,FALSE)),"")</f>
        <v/>
      </c>
      <c r="R12" s="498" t="str">
        <f>IF(C12="","",VLOOKUP(C12,'G-7 Rivers Data'!$B$4:$G$8,4,FALSE))</f>
        <v/>
      </c>
      <c r="S12" s="507" t="str">
        <f>IF(C12="","",IF(P12="Check Data ⚠","Check Data ⚠",IF(G12="","",IF($O12="Check details - Is there evidence that habitat has reached target condition? ⚠","No - Low Difficulty - only applicable if all habitat created before losses ⚠","Standard difficulty applied"))))</f>
        <v/>
      </c>
      <c r="T12" s="540" t="str">
        <f>(IF(AND(S12="Standard difficulty applied",L12&gt;M12),R12,IF(AND(S12="No - Low Difficulty - only applicable if all habitat created before losses ⚠",M12&gt;=L12),"Low",R12)))</f>
        <v/>
      </c>
      <c r="U12" s="499" t="str">
        <f t="shared" ref="U12" si="0">IF(C12="","",VLOOKUP(R12,Difficulty,2,FALSE))</f>
        <v/>
      </c>
      <c r="V12" s="146"/>
      <c r="W12" s="499" t="str">
        <f>IF(V12="","",IF(VLOOKUP(V12,'G-7 Rivers Data'!$AA$4:$AB$7,2,FALSE)=0,"Spatial Data Missing ⚠",VLOOKUP(V12,'G-7 Rivers Data'!$AA$4:$AB$7,2,FALSE)))</f>
        <v/>
      </c>
      <c r="X12" s="78"/>
      <c r="Y12" s="499" t="str">
        <f>IF(X12="","",IF(VLOOKUP(X12,'G-7 Rivers Data'!$AD$4:$AE$8,2,FALSE)=0,"Enrcoachment Data Missing ⚠",VLOOKUP(X12,'G-7 Rivers Data'!$AD$4:$AE$8,2,FALSE)))</f>
        <v/>
      </c>
      <c r="Z12" s="146"/>
      <c r="AA12" s="524" t="str">
        <f>IF(Z12="","",VLOOKUP(Z12,'G-7 Rivers Data'!$AO$4:$AP$7,2,FALSE))</f>
        <v/>
      </c>
      <c r="AB12" s="545" t="str">
        <f>IFERROR(D12*F12*H12*K12*Q12*U12*W12*Y12*AA12,"")</f>
        <v/>
      </c>
      <c r="AC12" s="239"/>
      <c r="AD12" s="240"/>
      <c r="AK12" s="31" t="str">
        <f>IFERROR(INDEX('G-7 Rivers Data'!$AZ$3:$AZ$7,MATCH(C12,'G-7 Rivers Data'!$AY$3:$AY$7,0)),"")</f>
        <v/>
      </c>
    </row>
    <row r="13" spans="2:37" ht="14" x14ac:dyDescent="0.3">
      <c r="B13" s="141">
        <v>2</v>
      </c>
      <c r="C13" s="665"/>
      <c r="D13" s="70"/>
      <c r="E13" s="498" t="str">
        <f>IF(C13="","",VLOOKUP(C13,'G-7 Rivers Data'!$B$2:$Z$9,2,FALSE))</f>
        <v/>
      </c>
      <c r="F13" s="499" t="str">
        <f>IFERROR(VLOOKUP(E13,'G-7 Rivers Data'!$C$4:$D$8,2,FALSE),"")</f>
        <v/>
      </c>
      <c r="G13" s="71"/>
      <c r="H13" s="499" t="str">
        <f>IFERROR(INDEX('G-7 Rivers Data'!$H$4:$L$8,MATCH(C13,'G-7 Rivers Data'!$B$4:$B$8,0),MATCH(G13,'G-7 Rivers Data'!$H$3:$L$3,0)),"")</f>
        <v/>
      </c>
      <c r="I13" s="71"/>
      <c r="J13" s="540" t="str">
        <f>IF(I13="","",IF(VLOOKUP(I13,'G-7 Rivers Data'!$AG$4:$AI$9,2,FALSE)=0,"Spatial Data Missing ⚠",VLOOKUP(I13,'G-7 Rivers Data'!$AG$4:$AI$9,2,FALSE)))</f>
        <v/>
      </c>
      <c r="K13" s="499" t="str">
        <f>IF(I13="","",IF(VLOOKUP(I13,'G-7 Rivers Data'!$AG$4:$AI$9,3,FALSE)=0,"Spatial Data Missing ⚠",VLOOKUP(I13,'G-7 Rivers Data'!$AG$4:$AI$9,3,FALSE)))</f>
        <v/>
      </c>
      <c r="L13" s="635" t="str">
        <f>IFERROR(INDEX('G-7 Rivers Data'!$O$3:$O$7,MATCH(G13,'G-7 Rivers Data'!$N$3:$N$7,0)),"")</f>
        <v/>
      </c>
      <c r="M13" s="72"/>
      <c r="N13" s="82"/>
      <c r="O13" s="507" t="str">
        <f t="shared" ref="O13:O76" si="1">IF(L13="","",IF(AND(M13&gt;0,N13&gt;0),"Error -both advance and delayed habitat creation ▲",IF(AND(OR(M13="Habitat already in target condition",L13&lt;=M13),N13=0),"Check details - Is there evidence that habitat has reached target condition? ⚠",IF(M13&gt;0,"Check details - Is there evidence habitat creation started/in place? ⚠",IF(N13&gt;0,"Check details- Delay in starting habitat in required condition? ⚠","Standard time to target condition applied")))))</f>
        <v/>
      </c>
      <c r="P13" s="521" t="str">
        <f t="shared" ref="P13:P76" si="2">IF(LEFT(O13,5)="Error ▲","Check Data ⚠",IF(L13="","",IF(M13="30+",0,IF(N13="30+","30+ ⚠",IF(L13+N13&gt;30,"30+ ⚠",IF(L13+N13-M13&gt;0,L13+N13-M13,IF(L13-M13&lt;0,0,L13+N13-M13)))))))</f>
        <v/>
      </c>
      <c r="Q13" s="564" t="str">
        <f>IFERROR(IF(P13="Check Data ⚠","Check Data ⚠",VLOOKUP(P13,'G-4 Temporal multipliers'!$A$4:$C$37,3,FALSE)),"")</f>
        <v/>
      </c>
      <c r="R13" s="498" t="str">
        <f>IF(C13="","",VLOOKUP(C13,'G-7 Rivers Data'!$B$4:$G$8,4,FALSE))</f>
        <v/>
      </c>
      <c r="S13" s="507" t="str">
        <f t="shared" ref="S13:S76" si="3">IF(C13="","",IF(P13="Check Data ⚠","Check Data ⚠",IF(G13="","",IF($O13="Check details - Is there evidence that habitat has reached target condition? ⚠","No - Low Difficulty - only applicable if all habitat created before losses ⚠","Standard difficulty applied"))))</f>
        <v/>
      </c>
      <c r="T13" s="540" t="str">
        <f t="shared" ref="T13:T76" si="4">(IF(AND(S13="Standard difficulty applied",L13&gt;M13),R13,IF(AND(S13="No - Low Difficulty - only applicable if all habitat created before losses ⚠",M13&gt;=L13),"Low",R13)))</f>
        <v/>
      </c>
      <c r="U13" s="499" t="str">
        <f t="shared" ref="U13:U76" si="5">IF(C13="","",VLOOKUP(R13,Difficulty,2,FALSE))</f>
        <v/>
      </c>
      <c r="V13" s="71"/>
      <c r="W13" s="499" t="str">
        <f>IF(V13="","",IF(VLOOKUP(V13,'G-7 Rivers Data'!$AA$4:$AB$7,2,FALSE)=0,"Spatial Data Missing ⚠",VLOOKUP(V13,'G-7 Rivers Data'!$AA$4:$AB$7,2,FALSE)))</f>
        <v/>
      </c>
      <c r="X13" s="78"/>
      <c r="Y13" s="499" t="str">
        <f>IF(X13="","",IF(VLOOKUP(X13,'G-7 Rivers Data'!$AD$4:$AE$8,2,FALSE)=0,"Enrcoachment Data Missing ⚠",VLOOKUP(X13,'G-7 Rivers Data'!$AD$4:$AE$8,2,FALSE)))</f>
        <v/>
      </c>
      <c r="Z13" s="146"/>
      <c r="AA13" s="524" t="str">
        <f>IF(Z13="","",VLOOKUP(Z13,'G-7 Rivers Data'!$AO$4:$AP$7,2,FALSE))</f>
        <v/>
      </c>
      <c r="AB13" s="545" t="str">
        <f t="shared" ref="AB13:AB76" si="6">IFERROR(D13*F13*H13*K13*Q13*U13*W13*Y13*AA13,"")</f>
        <v/>
      </c>
      <c r="AC13" s="239"/>
      <c r="AD13" s="240"/>
      <c r="AK13" s="31" t="str">
        <f>IFERROR(INDEX('G-7 Rivers Data'!$AZ$3:$AZ$7,MATCH(C13,'G-7 Rivers Data'!$AY$3:$AY$7,0)),"")</f>
        <v/>
      </c>
    </row>
    <row r="14" spans="2:37" ht="14" x14ac:dyDescent="0.3">
      <c r="B14" s="141">
        <v>3</v>
      </c>
      <c r="C14" s="665"/>
      <c r="D14" s="70"/>
      <c r="E14" s="498" t="str">
        <f>IF(C14="","",VLOOKUP(C14,'G-7 Rivers Data'!$B$2:$Z$9,2,FALSE))</f>
        <v/>
      </c>
      <c r="F14" s="499" t="str">
        <f>IFERROR(VLOOKUP(E14,'G-7 Rivers Data'!$C$4:$D$8,2,FALSE),"")</f>
        <v/>
      </c>
      <c r="G14" s="71"/>
      <c r="H14" s="499" t="str">
        <f>IFERROR(INDEX('G-7 Rivers Data'!$H$4:$L$8,MATCH(C14,'G-7 Rivers Data'!$B$4:$B$8,0),MATCH(G14,'G-7 Rivers Data'!$H$3:$L$3,0)),"")</f>
        <v/>
      </c>
      <c r="I14" s="71"/>
      <c r="J14" s="540" t="str">
        <f>IF(I14="","",IF(VLOOKUP(I14,'G-7 Rivers Data'!$AG$4:$AI$9,2,FALSE)=0,"Spatial Data Missing ⚠",VLOOKUP(I14,'G-7 Rivers Data'!$AG$4:$AI$9,2,FALSE)))</f>
        <v/>
      </c>
      <c r="K14" s="499" t="str">
        <f>IF(I14="","",IF(VLOOKUP(I14,'G-7 Rivers Data'!$AG$4:$AI$9,3,FALSE)=0,"Spatial Data Missing ⚠",VLOOKUP(I14,'G-7 Rivers Data'!$AG$4:$AI$9,3,FALSE)))</f>
        <v/>
      </c>
      <c r="L14" s="635" t="str">
        <f>IFERROR(INDEX('G-7 Rivers Data'!$O$3:$O$7,MATCH(G14,'G-7 Rivers Data'!$N$3:$N$7,0)),"")</f>
        <v/>
      </c>
      <c r="M14" s="72"/>
      <c r="N14" s="82"/>
      <c r="O14" s="507" t="str">
        <f t="shared" si="1"/>
        <v/>
      </c>
      <c r="P14" s="521" t="str">
        <f t="shared" si="2"/>
        <v/>
      </c>
      <c r="Q14" s="564" t="str">
        <f>IFERROR(IF(P14="Check Data ⚠","Check Data ⚠",VLOOKUP(P14,'G-4 Temporal multipliers'!$A$4:$C$37,3,FALSE)),"")</f>
        <v/>
      </c>
      <c r="R14" s="498" t="str">
        <f>IF(C14="","",VLOOKUP(C14,'G-7 Rivers Data'!$B$4:$G$8,4,FALSE))</f>
        <v/>
      </c>
      <c r="S14" s="507" t="str">
        <f t="shared" si="3"/>
        <v/>
      </c>
      <c r="T14" s="540" t="str">
        <f t="shared" si="4"/>
        <v/>
      </c>
      <c r="U14" s="499" t="str">
        <f t="shared" si="5"/>
        <v/>
      </c>
      <c r="V14" s="71"/>
      <c r="W14" s="499" t="str">
        <f>IF(V14="","",IF(VLOOKUP(V14,'G-7 Rivers Data'!$AA$4:$AB$7,2,FALSE)=0,"Spatial Data Missing ⚠",VLOOKUP(V14,'G-7 Rivers Data'!$AA$4:$AB$7,2,FALSE)))</f>
        <v/>
      </c>
      <c r="X14" s="78"/>
      <c r="Y14" s="499" t="str">
        <f>IF(X14="","",IF(VLOOKUP(X14,'G-7 Rivers Data'!$AD$4:$AE$8,2,FALSE)=0,"Enrcoachment Data Missing ⚠",VLOOKUP(X14,'G-7 Rivers Data'!$AD$4:$AE$8,2,FALSE)))</f>
        <v/>
      </c>
      <c r="Z14" s="146"/>
      <c r="AA14" s="524" t="str">
        <f>IF(Z14="","",VLOOKUP(Z14,'G-7 Rivers Data'!$AO$4:$AP$7,2,FALSE))</f>
        <v/>
      </c>
      <c r="AB14" s="545" t="str">
        <f t="shared" si="6"/>
        <v/>
      </c>
      <c r="AC14" s="239"/>
      <c r="AD14" s="240"/>
      <c r="AK14" s="31" t="str">
        <f>IFERROR(INDEX('G-7 Rivers Data'!$AZ$3:$AZ$7,MATCH(C14,'G-7 Rivers Data'!$AY$3:$AY$7,0)),"")</f>
        <v/>
      </c>
    </row>
    <row r="15" spans="2:37" ht="14" x14ac:dyDescent="0.3">
      <c r="B15" s="141">
        <v>4</v>
      </c>
      <c r="C15" s="665"/>
      <c r="D15" s="70"/>
      <c r="E15" s="498" t="str">
        <f>IF(C15="","",VLOOKUP(C15,'G-7 Rivers Data'!$B$2:$Z$9,2,FALSE))</f>
        <v/>
      </c>
      <c r="F15" s="499" t="str">
        <f>IFERROR(VLOOKUP(E15,'G-7 Rivers Data'!$C$4:$D$8,2,FALSE),"")</f>
        <v/>
      </c>
      <c r="G15" s="71"/>
      <c r="H15" s="499" t="str">
        <f>IFERROR(INDEX('G-7 Rivers Data'!$H$4:$L$8,MATCH(C15,'G-7 Rivers Data'!$B$4:$B$8,0),MATCH(G15,'G-7 Rivers Data'!$H$3:$L$3,0)),"")</f>
        <v/>
      </c>
      <c r="I15" s="71"/>
      <c r="J15" s="540" t="str">
        <f>IF(I15="","",IF(VLOOKUP(I15,'G-7 Rivers Data'!$AG$4:$AI$9,2,FALSE)=0,"Spatial Data Missing ⚠",VLOOKUP(I15,'G-7 Rivers Data'!$AG$4:$AI$9,2,FALSE)))</f>
        <v/>
      </c>
      <c r="K15" s="499" t="str">
        <f>IF(I15="","",IF(VLOOKUP(I15,'G-7 Rivers Data'!$AG$4:$AI$9,3,FALSE)=0,"Spatial Data Missing ⚠",VLOOKUP(I15,'G-7 Rivers Data'!$AG$4:$AI$9,3,FALSE)))</f>
        <v/>
      </c>
      <c r="L15" s="635" t="str">
        <f>IFERROR(INDEX('G-7 Rivers Data'!$O$3:$O$7,MATCH(G15,'G-7 Rivers Data'!$N$3:$N$7,0)),"")</f>
        <v/>
      </c>
      <c r="M15" s="72"/>
      <c r="N15" s="82"/>
      <c r="O15" s="507" t="str">
        <f t="shared" si="1"/>
        <v/>
      </c>
      <c r="P15" s="521" t="str">
        <f t="shared" si="2"/>
        <v/>
      </c>
      <c r="Q15" s="564" t="str">
        <f>IFERROR(IF(P15="Check Data ⚠","Check Data ⚠",VLOOKUP(P15,'G-4 Temporal multipliers'!$A$4:$C$37,3,FALSE)),"")</f>
        <v/>
      </c>
      <c r="R15" s="498" t="str">
        <f>IF(C15="","",VLOOKUP(C15,'G-7 Rivers Data'!$B$4:$G$8,4,FALSE))</f>
        <v/>
      </c>
      <c r="S15" s="507" t="str">
        <f t="shared" si="3"/>
        <v/>
      </c>
      <c r="T15" s="540" t="str">
        <f t="shared" si="4"/>
        <v/>
      </c>
      <c r="U15" s="499" t="str">
        <f t="shared" si="5"/>
        <v/>
      </c>
      <c r="V15" s="71"/>
      <c r="W15" s="499" t="str">
        <f>IF(V15="","",IF(VLOOKUP(V15,'G-7 Rivers Data'!$AA$4:$AB$7,2,FALSE)=0,"Spatial Data Missing ⚠",VLOOKUP(V15,'G-7 Rivers Data'!$AA$4:$AB$7,2,FALSE)))</f>
        <v/>
      </c>
      <c r="X15" s="78"/>
      <c r="Y15" s="499" t="str">
        <f>IF(X15="","",IF(VLOOKUP(X15,'G-7 Rivers Data'!$AD$4:$AE$8,2,FALSE)=0,"Enrcoachment Data Missing ⚠",VLOOKUP(X15,'G-7 Rivers Data'!$AD$4:$AE$8,2,FALSE)))</f>
        <v/>
      </c>
      <c r="Z15" s="146"/>
      <c r="AA15" s="524" t="str">
        <f>IF(Z15="","",VLOOKUP(Z15,'G-7 Rivers Data'!$AO$4:$AP$7,2,FALSE))</f>
        <v/>
      </c>
      <c r="AB15" s="545" t="str">
        <f t="shared" si="6"/>
        <v/>
      </c>
      <c r="AC15" s="239"/>
      <c r="AD15" s="240"/>
      <c r="AK15" s="31" t="str">
        <f>IFERROR(INDEX('G-7 Rivers Data'!$AZ$3:$AZ$7,MATCH(C15,'G-7 Rivers Data'!$AY$3:$AY$7,0)),"")</f>
        <v/>
      </c>
    </row>
    <row r="16" spans="2:37" ht="14" x14ac:dyDescent="0.3">
      <c r="B16" s="141">
        <v>5</v>
      </c>
      <c r="C16" s="666"/>
      <c r="D16" s="172"/>
      <c r="E16" s="498" t="str">
        <f>IF(C16="","",VLOOKUP(C16,'G-7 Rivers Data'!$B$2:$Z$9,2,FALSE))</f>
        <v/>
      </c>
      <c r="F16" s="499" t="str">
        <f>IFERROR(VLOOKUP(E16,'G-7 Rivers Data'!$C$4:$D$8,2,FALSE),"")</f>
        <v/>
      </c>
      <c r="G16" s="145"/>
      <c r="H16" s="499" t="str">
        <f>IFERROR(INDEX('G-7 Rivers Data'!$H$4:$L$8,MATCH(C16,'G-7 Rivers Data'!$B$4:$B$8,0),MATCH(G16,'G-7 Rivers Data'!$H$3:$L$3,0)),"")</f>
        <v/>
      </c>
      <c r="I16" s="71"/>
      <c r="J16" s="540" t="str">
        <f>IF(I16="","",IF(VLOOKUP(I16,'G-7 Rivers Data'!$AG$4:$AI$9,2,FALSE)=0,"Spatial Data Missing ⚠",VLOOKUP(I16,'G-7 Rivers Data'!$AG$4:$AI$9,2,FALSE)))</f>
        <v/>
      </c>
      <c r="K16" s="499" t="str">
        <f>IF(I16="","",IF(VLOOKUP(I16,'G-7 Rivers Data'!$AG$4:$AI$9,3,FALSE)=0,"Spatial Data Missing ⚠",VLOOKUP(I16,'G-7 Rivers Data'!$AG$4:$AI$9,3,FALSE)))</f>
        <v/>
      </c>
      <c r="L16" s="635" t="str">
        <f>IFERROR(INDEX('G-7 Rivers Data'!$O$3:$O$7,MATCH(G16,'G-7 Rivers Data'!$N$3:$N$7,0)),"")</f>
        <v/>
      </c>
      <c r="M16" s="72"/>
      <c r="N16" s="195"/>
      <c r="O16" s="507" t="str">
        <f t="shared" si="1"/>
        <v/>
      </c>
      <c r="P16" s="521" t="str">
        <f t="shared" si="2"/>
        <v/>
      </c>
      <c r="Q16" s="564" t="str">
        <f>IFERROR(IF(P16="Check Data ⚠","Check Data ⚠",VLOOKUP(P16,'G-4 Temporal multipliers'!$A$4:$C$37,3,FALSE)),"")</f>
        <v/>
      </c>
      <c r="R16" s="498" t="str">
        <f>IF(C16="","",VLOOKUP(C16,'G-7 Rivers Data'!$B$4:$G$8,4,FALSE))</f>
        <v/>
      </c>
      <c r="S16" s="507" t="str">
        <f t="shared" si="3"/>
        <v/>
      </c>
      <c r="T16" s="540" t="str">
        <f t="shared" si="4"/>
        <v/>
      </c>
      <c r="U16" s="499" t="str">
        <f t="shared" si="5"/>
        <v/>
      </c>
      <c r="V16" s="71"/>
      <c r="W16" s="499" t="str">
        <f>IF(V16="","",IF(VLOOKUP(V16,'G-7 Rivers Data'!$AA$4:$AB$7,2,FALSE)=0,"Spatial Data Missing ⚠",VLOOKUP(V16,'G-7 Rivers Data'!$AA$4:$AB$7,2,FALSE)))</f>
        <v/>
      </c>
      <c r="X16" s="78"/>
      <c r="Y16" s="499" t="str">
        <f>IF(X16="","",IF(VLOOKUP(X16,'G-7 Rivers Data'!$AD$4:$AE$8,2,FALSE)=0,"Enrcoachment Data Missing ⚠",VLOOKUP(X16,'G-7 Rivers Data'!$AD$4:$AE$8,2,FALSE)))</f>
        <v/>
      </c>
      <c r="Z16" s="146"/>
      <c r="AA16" s="524" t="str">
        <f>IF(Z16="","",VLOOKUP(Z16,'G-7 Rivers Data'!$AO$4:$AP$7,2,FALSE))</f>
        <v/>
      </c>
      <c r="AB16" s="545" t="str">
        <f t="shared" si="6"/>
        <v/>
      </c>
      <c r="AC16" s="149"/>
      <c r="AD16" s="150"/>
      <c r="AK16" s="31" t="str">
        <f>IFERROR(INDEX('G-7 Rivers Data'!$AZ$3:$AZ$7,MATCH(C16,'G-7 Rivers Data'!$AY$3:$AY$7,0)),"")</f>
        <v/>
      </c>
    </row>
    <row r="17" spans="2:37" ht="14" x14ac:dyDescent="0.3">
      <c r="B17" s="141">
        <v>6</v>
      </c>
      <c r="C17" s="666"/>
      <c r="D17" s="172"/>
      <c r="E17" s="498" t="str">
        <f>IF(C17="","",VLOOKUP(C17,'G-7 Rivers Data'!$B$2:$Z$9,2,FALSE))</f>
        <v/>
      </c>
      <c r="F17" s="499" t="str">
        <f>IFERROR(VLOOKUP(E17,'G-7 Rivers Data'!$C$4:$D$8,2,FALSE),"")</f>
        <v/>
      </c>
      <c r="G17" s="145"/>
      <c r="H17" s="499" t="str">
        <f>IFERROR(INDEX('G-7 Rivers Data'!$H$4:$L$8,MATCH(C17,'G-7 Rivers Data'!$B$4:$B$8,0),MATCH(G17,'G-7 Rivers Data'!$H$3:$L$3,0)),"")</f>
        <v/>
      </c>
      <c r="I17" s="145"/>
      <c r="J17" s="540" t="str">
        <f>IF(I17="","",IF(VLOOKUP(I17,'G-7 Rivers Data'!$AG$4:$AI$9,2,FALSE)=0,"Spatial Data Missing ⚠",VLOOKUP(I17,'G-7 Rivers Data'!$AG$4:$AI$9,2,FALSE)))</f>
        <v/>
      </c>
      <c r="K17" s="499" t="str">
        <f>IF(I17="","",IF(VLOOKUP(I17,'G-7 Rivers Data'!$AG$4:$AI$9,3,FALSE)=0,"Spatial Data Missing ⚠",VLOOKUP(I17,'G-7 Rivers Data'!$AG$4:$AI$9,3,FALSE)))</f>
        <v/>
      </c>
      <c r="L17" s="635" t="str">
        <f>IFERROR(INDEX('G-7 Rivers Data'!$O$3:$O$7,MATCH(G17,'G-7 Rivers Data'!$N$3:$N$7,0)),"")</f>
        <v/>
      </c>
      <c r="M17" s="72"/>
      <c r="N17" s="195"/>
      <c r="O17" s="507" t="str">
        <f t="shared" si="1"/>
        <v/>
      </c>
      <c r="P17" s="521" t="str">
        <f t="shared" si="2"/>
        <v/>
      </c>
      <c r="Q17" s="564" t="str">
        <f>IFERROR(IF(P17="Check Data ⚠","Check Data ⚠",VLOOKUP(P17,'G-4 Temporal multipliers'!$A$4:$C$37,3,FALSE)),"")</f>
        <v/>
      </c>
      <c r="R17" s="498" t="str">
        <f>IF(C17="","",VLOOKUP(C17,'G-7 Rivers Data'!$B$4:$G$8,4,FALSE))</f>
        <v/>
      </c>
      <c r="S17" s="507" t="str">
        <f t="shared" si="3"/>
        <v/>
      </c>
      <c r="T17" s="540" t="str">
        <f t="shared" si="4"/>
        <v/>
      </c>
      <c r="U17" s="499" t="str">
        <f t="shared" si="5"/>
        <v/>
      </c>
      <c r="V17" s="71"/>
      <c r="W17" s="499" t="str">
        <f>IF(V17="","",IF(VLOOKUP(V17,'G-7 Rivers Data'!$AA$4:$AB$7,2,FALSE)=0,"Spatial Data Missing ⚠",VLOOKUP(V17,'G-7 Rivers Data'!$AA$4:$AB$7,2,FALSE)))</f>
        <v/>
      </c>
      <c r="X17" s="155"/>
      <c r="Y17" s="499" t="str">
        <f>IF(X17="","",IF(VLOOKUP(X17,'G-7 Rivers Data'!$AD$4:$AE$8,2,FALSE)=0,"Enrcoachment Data Missing ⚠",VLOOKUP(X17,'G-7 Rivers Data'!$AD$4:$AE$8,2,FALSE)))</f>
        <v/>
      </c>
      <c r="Z17" s="154"/>
      <c r="AA17" s="524" t="str">
        <f>IF(Z17="","",VLOOKUP(Z17,'G-7 Rivers Data'!$AO$4:$AP$7,2,FALSE))</f>
        <v/>
      </c>
      <c r="AB17" s="545" t="str">
        <f t="shared" si="6"/>
        <v/>
      </c>
      <c r="AC17" s="149"/>
      <c r="AD17" s="150"/>
      <c r="AK17" s="31" t="str">
        <f>IFERROR(INDEX('G-7 Rivers Data'!$AZ$3:$AZ$7,MATCH(C17,'G-7 Rivers Data'!$AY$3:$AY$7,0)),"")</f>
        <v/>
      </c>
    </row>
    <row r="18" spans="2:37" ht="14" x14ac:dyDescent="0.3">
      <c r="B18" s="141">
        <v>7</v>
      </c>
      <c r="C18" s="666"/>
      <c r="D18" s="172"/>
      <c r="E18" s="498" t="str">
        <f>IF(C18="","",VLOOKUP(C18,'G-7 Rivers Data'!$B$2:$Z$9,2,FALSE))</f>
        <v/>
      </c>
      <c r="F18" s="499" t="str">
        <f>IFERROR(VLOOKUP(E18,'G-7 Rivers Data'!$C$4:$D$8,2,FALSE),"")</f>
        <v/>
      </c>
      <c r="G18" s="145"/>
      <c r="H18" s="499" t="str">
        <f>IFERROR(INDEX('G-7 Rivers Data'!$H$4:$L$8,MATCH(C18,'G-7 Rivers Data'!$B$4:$B$8,0),MATCH(G18,'G-7 Rivers Data'!$H$3:$L$3,0)),"")</f>
        <v/>
      </c>
      <c r="I18" s="145"/>
      <c r="J18" s="540" t="str">
        <f>IF(I18="","",IF(VLOOKUP(I18,'G-7 Rivers Data'!$AG$4:$AI$9,2,FALSE)=0,"Spatial Data Missing ⚠",VLOOKUP(I18,'G-7 Rivers Data'!$AG$4:$AI$9,2,FALSE)))</f>
        <v/>
      </c>
      <c r="K18" s="499" t="str">
        <f>IF(I18="","",IF(VLOOKUP(I18,'G-7 Rivers Data'!$AG$4:$AI$9,3,FALSE)=0,"Spatial Data Missing ⚠",VLOOKUP(I18,'G-7 Rivers Data'!$AG$4:$AI$9,3,FALSE)))</f>
        <v/>
      </c>
      <c r="L18" s="635" t="str">
        <f>IFERROR(INDEX('G-7 Rivers Data'!$O$3:$O$7,MATCH(G18,'G-7 Rivers Data'!$N$3:$N$7,0)),"")</f>
        <v/>
      </c>
      <c r="M18" s="72"/>
      <c r="N18" s="195"/>
      <c r="O18" s="507" t="str">
        <f t="shared" si="1"/>
        <v/>
      </c>
      <c r="P18" s="521" t="str">
        <f t="shared" si="2"/>
        <v/>
      </c>
      <c r="Q18" s="564" t="str">
        <f>IFERROR(IF(P18="Check Data ⚠","Check Data ⚠",VLOOKUP(P18,'G-4 Temporal multipliers'!$A$4:$C$37,3,FALSE)),"")</f>
        <v/>
      </c>
      <c r="R18" s="498" t="str">
        <f>IF(C18="","",VLOOKUP(C18,'G-7 Rivers Data'!$B$4:$G$8,4,FALSE))</f>
        <v/>
      </c>
      <c r="S18" s="507" t="str">
        <f t="shared" si="3"/>
        <v/>
      </c>
      <c r="T18" s="540" t="str">
        <f t="shared" si="4"/>
        <v/>
      </c>
      <c r="U18" s="499" t="str">
        <f t="shared" si="5"/>
        <v/>
      </c>
      <c r="V18" s="71"/>
      <c r="W18" s="499" t="str">
        <f>IF(V18="","",IF(VLOOKUP(V18,'G-7 Rivers Data'!$AA$4:$AB$7,2,FALSE)=0,"Spatial Data Missing ⚠",VLOOKUP(V18,'G-7 Rivers Data'!$AA$4:$AB$7,2,FALSE)))</f>
        <v/>
      </c>
      <c r="X18" s="155"/>
      <c r="Y18" s="499" t="str">
        <f>IF(X18="","",IF(VLOOKUP(X18,'G-7 Rivers Data'!$AD$4:$AE$8,2,FALSE)=0,"Enrcoachment Data Missing ⚠",VLOOKUP(X18,'G-7 Rivers Data'!$AD$4:$AE$8,2,FALSE)))</f>
        <v/>
      </c>
      <c r="Z18" s="154"/>
      <c r="AA18" s="524" t="str">
        <f>IF(Z18="","",VLOOKUP(Z18,'G-7 Rivers Data'!$AO$4:$AP$7,2,FALSE))</f>
        <v/>
      </c>
      <c r="AB18" s="545" t="str">
        <f t="shared" si="6"/>
        <v/>
      </c>
      <c r="AC18" s="149"/>
      <c r="AD18" s="150"/>
      <c r="AK18" s="31" t="str">
        <f>IFERROR(INDEX('G-7 Rivers Data'!$AZ$3:$AZ$7,MATCH(C18,'G-7 Rivers Data'!$AY$3:$AY$7,0)),"")</f>
        <v/>
      </c>
    </row>
    <row r="19" spans="2:37" ht="14" x14ac:dyDescent="0.3">
      <c r="B19" s="141">
        <v>8</v>
      </c>
      <c r="C19" s="666"/>
      <c r="D19" s="172"/>
      <c r="E19" s="498" t="str">
        <f>IF(C19="","",VLOOKUP(C19,'G-7 Rivers Data'!$B$2:$Z$9,2,FALSE))</f>
        <v/>
      </c>
      <c r="F19" s="499" t="str">
        <f>IFERROR(VLOOKUP(E19,'G-7 Rivers Data'!$C$4:$D$8,2,FALSE),"")</f>
        <v/>
      </c>
      <c r="G19" s="145"/>
      <c r="H19" s="499" t="str">
        <f>IFERROR(INDEX('G-7 Rivers Data'!$H$4:$L$8,MATCH(C19,'G-7 Rivers Data'!$B$4:$B$8,0),MATCH(G19,'G-7 Rivers Data'!$H$3:$L$3,0)),"")</f>
        <v/>
      </c>
      <c r="I19" s="145"/>
      <c r="J19" s="540" t="str">
        <f>IF(I19="","",IF(VLOOKUP(I19,'G-7 Rivers Data'!$AG$4:$AI$9,2,FALSE)=0,"Spatial Data Missing ⚠",VLOOKUP(I19,'G-7 Rivers Data'!$AG$4:$AI$9,2,FALSE)))</f>
        <v/>
      </c>
      <c r="K19" s="499" t="str">
        <f>IF(I19="","",IF(VLOOKUP(I19,'G-7 Rivers Data'!$AG$4:$AI$9,3,FALSE)=0,"Spatial Data Missing ⚠",VLOOKUP(I19,'G-7 Rivers Data'!$AG$4:$AI$9,3,FALSE)))</f>
        <v/>
      </c>
      <c r="L19" s="635" t="str">
        <f>IFERROR(INDEX('G-7 Rivers Data'!$O$3:$O$7,MATCH(G19,'G-7 Rivers Data'!$N$3:$N$7,0)),"")</f>
        <v/>
      </c>
      <c r="M19" s="72"/>
      <c r="N19" s="195"/>
      <c r="O19" s="507" t="str">
        <f t="shared" si="1"/>
        <v/>
      </c>
      <c r="P19" s="521" t="str">
        <f t="shared" si="2"/>
        <v/>
      </c>
      <c r="Q19" s="564" t="str">
        <f>IFERROR(IF(P19="Check Data ⚠","Check Data ⚠",VLOOKUP(P19,'G-4 Temporal multipliers'!$A$4:$C$37,3,FALSE)),"")</f>
        <v/>
      </c>
      <c r="R19" s="498" t="str">
        <f>IF(C19="","",VLOOKUP(C19,'G-7 Rivers Data'!$B$4:$G$8,4,FALSE))</f>
        <v/>
      </c>
      <c r="S19" s="507" t="str">
        <f t="shared" si="3"/>
        <v/>
      </c>
      <c r="T19" s="540" t="str">
        <f t="shared" si="4"/>
        <v/>
      </c>
      <c r="U19" s="499" t="str">
        <f t="shared" si="5"/>
        <v/>
      </c>
      <c r="V19" s="71"/>
      <c r="W19" s="499" t="str">
        <f>IF(V19="","",IF(VLOOKUP(V19,'G-7 Rivers Data'!$AA$4:$AB$7,2,FALSE)=0,"Spatial Data Missing ⚠",VLOOKUP(V19,'G-7 Rivers Data'!$AA$4:$AB$7,2,FALSE)))</f>
        <v/>
      </c>
      <c r="X19" s="155"/>
      <c r="Y19" s="499" t="str">
        <f>IF(X19="","",IF(VLOOKUP(X19,'G-7 Rivers Data'!$AD$4:$AE$8,2,FALSE)=0,"Enrcoachment Data Missing ⚠",VLOOKUP(X19,'G-7 Rivers Data'!$AD$4:$AE$8,2,FALSE)))</f>
        <v/>
      </c>
      <c r="Z19" s="154"/>
      <c r="AA19" s="524" t="str">
        <f>IF(Z19="","",VLOOKUP(Z19,'G-7 Rivers Data'!$AO$4:$AP$7,2,FALSE))</f>
        <v/>
      </c>
      <c r="AB19" s="545" t="str">
        <f t="shared" si="6"/>
        <v/>
      </c>
      <c r="AC19" s="149"/>
      <c r="AD19" s="150"/>
      <c r="AK19" s="31" t="str">
        <f>IFERROR(INDEX('G-7 Rivers Data'!$AZ$3:$AZ$7,MATCH(C19,'G-7 Rivers Data'!$AY$3:$AY$7,0)),"")</f>
        <v/>
      </c>
    </row>
    <row r="20" spans="2:37" ht="14" x14ac:dyDescent="0.3">
      <c r="B20" s="141">
        <v>9</v>
      </c>
      <c r="C20" s="666"/>
      <c r="D20" s="172"/>
      <c r="E20" s="498" t="str">
        <f>IF(C20="","",VLOOKUP(C20,'G-7 Rivers Data'!$B$2:$Z$9,2,FALSE))</f>
        <v/>
      </c>
      <c r="F20" s="499" t="str">
        <f>IFERROR(VLOOKUP(E20,'G-7 Rivers Data'!$C$4:$D$8,2,FALSE),"")</f>
        <v/>
      </c>
      <c r="G20" s="145"/>
      <c r="H20" s="499" t="str">
        <f>IFERROR(INDEX('G-7 Rivers Data'!$H$4:$L$8,MATCH(C20,'G-7 Rivers Data'!$B$4:$B$8,0),MATCH(G20,'G-7 Rivers Data'!$H$3:$L$3,0)),"")</f>
        <v/>
      </c>
      <c r="I20" s="145"/>
      <c r="J20" s="540" t="str">
        <f>IF(I20="","",IF(VLOOKUP(I20,'G-7 Rivers Data'!$AG$4:$AI$9,2,FALSE)=0,"Spatial Data Missing ⚠",VLOOKUP(I20,'G-7 Rivers Data'!$AG$4:$AI$9,2,FALSE)))</f>
        <v/>
      </c>
      <c r="K20" s="499" t="str">
        <f>IF(I20="","",IF(VLOOKUP(I20,'G-7 Rivers Data'!$AG$4:$AI$9,3,FALSE)=0,"Spatial Data Missing ⚠",VLOOKUP(I20,'G-7 Rivers Data'!$AG$4:$AI$9,3,FALSE)))</f>
        <v/>
      </c>
      <c r="L20" s="635" t="str">
        <f>IFERROR(INDEX('G-7 Rivers Data'!$O$3:$O$7,MATCH(G20,'G-7 Rivers Data'!$N$3:$N$7,0)),"")</f>
        <v/>
      </c>
      <c r="M20" s="72"/>
      <c r="N20" s="195"/>
      <c r="O20" s="507" t="str">
        <f t="shared" si="1"/>
        <v/>
      </c>
      <c r="P20" s="521" t="str">
        <f t="shared" si="2"/>
        <v/>
      </c>
      <c r="Q20" s="564" t="str">
        <f>IFERROR(IF(P20="Check Data ⚠","Check Data ⚠",VLOOKUP(P20,'G-4 Temporal multipliers'!$A$4:$C$37,3,FALSE)),"")</f>
        <v/>
      </c>
      <c r="R20" s="498" t="str">
        <f>IF(C20="","",VLOOKUP(C20,'G-7 Rivers Data'!$B$4:$G$8,4,FALSE))</f>
        <v/>
      </c>
      <c r="S20" s="507" t="str">
        <f t="shared" si="3"/>
        <v/>
      </c>
      <c r="T20" s="540" t="str">
        <f t="shared" si="4"/>
        <v/>
      </c>
      <c r="U20" s="499" t="str">
        <f t="shared" si="5"/>
        <v/>
      </c>
      <c r="V20" s="71"/>
      <c r="W20" s="499" t="str">
        <f>IF(V20="","",IF(VLOOKUP(V20,'G-7 Rivers Data'!$AA$4:$AB$7,2,FALSE)=0,"Spatial Data Missing ⚠",VLOOKUP(V20,'G-7 Rivers Data'!$AA$4:$AB$7,2,FALSE)))</f>
        <v/>
      </c>
      <c r="X20" s="155"/>
      <c r="Y20" s="499" t="str">
        <f>IF(X20="","",IF(VLOOKUP(X20,'G-7 Rivers Data'!$AD$4:$AE$8,2,FALSE)=0,"Enrcoachment Data Missing ⚠",VLOOKUP(X20,'G-7 Rivers Data'!$AD$4:$AE$8,2,FALSE)))</f>
        <v/>
      </c>
      <c r="Z20" s="154"/>
      <c r="AA20" s="524" t="str">
        <f>IF(Z20="","",VLOOKUP(Z20,'G-7 Rivers Data'!$AO$4:$AP$7,2,FALSE))</f>
        <v/>
      </c>
      <c r="AB20" s="545" t="str">
        <f t="shared" si="6"/>
        <v/>
      </c>
      <c r="AC20" s="149"/>
      <c r="AD20" s="150"/>
      <c r="AK20" s="31" t="str">
        <f>IFERROR(INDEX('G-7 Rivers Data'!$AZ$3:$AZ$7,MATCH(C20,'G-7 Rivers Data'!$AY$3:$AY$7,0)),"")</f>
        <v/>
      </c>
    </row>
    <row r="21" spans="2:37" ht="14" x14ac:dyDescent="0.3">
      <c r="B21" s="141">
        <v>10</v>
      </c>
      <c r="C21" s="666"/>
      <c r="D21" s="172"/>
      <c r="E21" s="498" t="str">
        <f>IF(C21="","",VLOOKUP(C21,'G-7 Rivers Data'!$B$2:$Z$9,2,FALSE))</f>
        <v/>
      </c>
      <c r="F21" s="499" t="str">
        <f>IFERROR(VLOOKUP(E21,'G-7 Rivers Data'!$C$4:$D$8,2,FALSE),"")</f>
        <v/>
      </c>
      <c r="G21" s="145"/>
      <c r="H21" s="499" t="str">
        <f>IFERROR(INDEX('G-7 Rivers Data'!$H$4:$L$8,MATCH(C21,'G-7 Rivers Data'!$B$4:$B$8,0),MATCH(G21,'G-7 Rivers Data'!$H$3:$L$3,0)),"")</f>
        <v/>
      </c>
      <c r="I21" s="145"/>
      <c r="J21" s="540" t="str">
        <f>IF(I21="","",IF(VLOOKUP(I21,'G-7 Rivers Data'!$AG$4:$AI$9,2,FALSE)=0,"Spatial Data Missing ⚠",VLOOKUP(I21,'G-7 Rivers Data'!$AG$4:$AI$9,2,FALSE)))</f>
        <v/>
      </c>
      <c r="K21" s="499" t="str">
        <f>IF(I21="","",IF(VLOOKUP(I21,'G-7 Rivers Data'!$AG$4:$AI$9,3,FALSE)=0,"Spatial Data Missing ⚠",VLOOKUP(I21,'G-7 Rivers Data'!$AG$4:$AI$9,3,FALSE)))</f>
        <v/>
      </c>
      <c r="L21" s="635" t="str">
        <f>IFERROR(INDEX('G-7 Rivers Data'!$O$3:$O$7,MATCH(G21,'G-7 Rivers Data'!$N$3:$N$7,0)),"")</f>
        <v/>
      </c>
      <c r="M21" s="72"/>
      <c r="N21" s="195"/>
      <c r="O21" s="507" t="str">
        <f t="shared" si="1"/>
        <v/>
      </c>
      <c r="P21" s="521" t="str">
        <f t="shared" si="2"/>
        <v/>
      </c>
      <c r="Q21" s="564" t="str">
        <f>IFERROR(IF(P21="Check Data ⚠","Check Data ⚠",VLOOKUP(P21,'G-4 Temporal multipliers'!$A$4:$C$37,3,FALSE)),"")</f>
        <v/>
      </c>
      <c r="R21" s="498" t="str">
        <f>IF(C21="","",VLOOKUP(C21,'G-7 Rivers Data'!$B$4:$G$8,4,FALSE))</f>
        <v/>
      </c>
      <c r="S21" s="507" t="str">
        <f t="shared" si="3"/>
        <v/>
      </c>
      <c r="T21" s="540" t="str">
        <f t="shared" si="4"/>
        <v/>
      </c>
      <c r="U21" s="499" t="str">
        <f t="shared" si="5"/>
        <v/>
      </c>
      <c r="V21" s="71"/>
      <c r="W21" s="499" t="str">
        <f>IF(V21="","",IF(VLOOKUP(V21,'G-7 Rivers Data'!$AA$4:$AB$7,2,FALSE)=0,"Spatial Data Missing ⚠",VLOOKUP(V21,'G-7 Rivers Data'!$AA$4:$AB$7,2,FALSE)))</f>
        <v/>
      </c>
      <c r="X21" s="155"/>
      <c r="Y21" s="499" t="str">
        <f>IF(X21="","",IF(VLOOKUP(X21,'G-7 Rivers Data'!$AD$4:$AE$8,2,FALSE)=0,"Enrcoachment Data Missing ⚠",VLOOKUP(X21,'G-7 Rivers Data'!$AD$4:$AE$8,2,FALSE)))</f>
        <v/>
      </c>
      <c r="Z21" s="154"/>
      <c r="AA21" s="524" t="str">
        <f>IF(Z21="","",VLOOKUP(Z21,'G-7 Rivers Data'!$AO$4:$AP$7,2,FALSE))</f>
        <v/>
      </c>
      <c r="AB21" s="545" t="str">
        <f t="shared" si="6"/>
        <v/>
      </c>
      <c r="AC21" s="149"/>
      <c r="AD21" s="150"/>
      <c r="AK21" s="31" t="str">
        <f>IFERROR(INDEX('G-7 Rivers Data'!$AZ$3:$AZ$7,MATCH(C21,'G-7 Rivers Data'!$AY$3:$AY$7,0)),"")</f>
        <v/>
      </c>
    </row>
    <row r="22" spans="2:37" ht="14" x14ac:dyDescent="0.3">
      <c r="B22" s="141">
        <v>11</v>
      </c>
      <c r="C22" s="666"/>
      <c r="D22" s="172"/>
      <c r="E22" s="498" t="str">
        <f>IF(C22="","",VLOOKUP(C22,'G-7 Rivers Data'!$B$2:$Z$9,2,FALSE))</f>
        <v/>
      </c>
      <c r="F22" s="499" t="str">
        <f>IFERROR(VLOOKUP(E22,'G-7 Rivers Data'!$C$4:$D$8,2,FALSE),"")</f>
        <v/>
      </c>
      <c r="G22" s="145"/>
      <c r="H22" s="499" t="str">
        <f>IFERROR(INDEX('G-7 Rivers Data'!$H$4:$L$8,MATCH(C22,'G-7 Rivers Data'!$B$4:$B$8,0),MATCH(G22,'G-7 Rivers Data'!$H$3:$L$3,0)),"")</f>
        <v/>
      </c>
      <c r="I22" s="145"/>
      <c r="J22" s="540" t="str">
        <f>IF(I22="","",IF(VLOOKUP(I22,'G-7 Rivers Data'!$AG$4:$AI$9,2,FALSE)=0,"Spatial Data Missing ⚠",VLOOKUP(I22,'G-7 Rivers Data'!$AG$4:$AI$9,2,FALSE)))</f>
        <v/>
      </c>
      <c r="K22" s="499" t="str">
        <f>IF(I22="","",IF(VLOOKUP(I22,'G-7 Rivers Data'!$AG$4:$AI$9,3,FALSE)=0,"Spatial Data Missing ⚠",VLOOKUP(I22,'G-7 Rivers Data'!$AG$4:$AI$9,3,FALSE)))</f>
        <v/>
      </c>
      <c r="L22" s="635" t="str">
        <f>IFERROR(INDEX('G-7 Rivers Data'!$O$3:$O$7,MATCH(G22,'G-7 Rivers Data'!$N$3:$N$7,0)),"")</f>
        <v/>
      </c>
      <c r="M22" s="72"/>
      <c r="N22" s="195"/>
      <c r="O22" s="507" t="str">
        <f t="shared" si="1"/>
        <v/>
      </c>
      <c r="P22" s="521" t="str">
        <f t="shared" si="2"/>
        <v/>
      </c>
      <c r="Q22" s="564" t="str">
        <f>IFERROR(IF(P22="Check Data ⚠","Check Data ⚠",VLOOKUP(P22,'G-4 Temporal multipliers'!$A$4:$C$37,3,FALSE)),"")</f>
        <v/>
      </c>
      <c r="R22" s="498" t="str">
        <f>IF(C22="","",VLOOKUP(C22,'G-7 Rivers Data'!$B$4:$G$8,4,FALSE))</f>
        <v/>
      </c>
      <c r="S22" s="507" t="str">
        <f t="shared" si="3"/>
        <v/>
      </c>
      <c r="T22" s="540" t="str">
        <f t="shared" si="4"/>
        <v/>
      </c>
      <c r="U22" s="499" t="str">
        <f t="shared" si="5"/>
        <v/>
      </c>
      <c r="V22" s="71"/>
      <c r="W22" s="499" t="str">
        <f>IF(V22="","",IF(VLOOKUP(V22,'G-7 Rivers Data'!$AA$4:$AB$7,2,FALSE)=0,"Spatial Data Missing ⚠",VLOOKUP(V22,'G-7 Rivers Data'!$AA$4:$AB$7,2,FALSE)))</f>
        <v/>
      </c>
      <c r="X22" s="155"/>
      <c r="Y22" s="499" t="str">
        <f>IF(X22="","",IF(VLOOKUP(X22,'G-7 Rivers Data'!$AD$4:$AE$8,2,FALSE)=0,"Enrcoachment Data Missing ⚠",VLOOKUP(X22,'G-7 Rivers Data'!$AD$4:$AE$8,2,FALSE)))</f>
        <v/>
      </c>
      <c r="Z22" s="154"/>
      <c r="AA22" s="524" t="str">
        <f>IF(Z22="","",VLOOKUP(Z22,'G-7 Rivers Data'!$AO$4:$AP$7,2,FALSE))</f>
        <v/>
      </c>
      <c r="AB22" s="545" t="str">
        <f t="shared" si="6"/>
        <v/>
      </c>
      <c r="AC22" s="149"/>
      <c r="AD22" s="150"/>
      <c r="AK22" s="31" t="str">
        <f>IFERROR(INDEX('G-7 Rivers Data'!$AZ$3:$AZ$7,MATCH(C22,'G-7 Rivers Data'!$AY$3:$AY$7,0)),"")</f>
        <v/>
      </c>
    </row>
    <row r="23" spans="2:37" ht="14" x14ac:dyDescent="0.3">
      <c r="B23" s="141">
        <v>12</v>
      </c>
      <c r="C23" s="666"/>
      <c r="D23" s="172"/>
      <c r="E23" s="498" t="str">
        <f>IF(C23="","",VLOOKUP(C23,'G-7 Rivers Data'!$B$2:$Z$9,2,FALSE))</f>
        <v/>
      </c>
      <c r="F23" s="499" t="str">
        <f>IFERROR(VLOOKUP(E23,'G-7 Rivers Data'!$C$4:$D$8,2,FALSE),"")</f>
        <v/>
      </c>
      <c r="G23" s="145"/>
      <c r="H23" s="499" t="str">
        <f>IFERROR(INDEX('G-7 Rivers Data'!$H$4:$L$8,MATCH(C23,'G-7 Rivers Data'!$B$4:$B$8,0),MATCH(G23,'G-7 Rivers Data'!$H$3:$L$3,0)),"")</f>
        <v/>
      </c>
      <c r="I23" s="145"/>
      <c r="J23" s="540" t="str">
        <f>IF(I23="","",IF(VLOOKUP(I23,'G-7 Rivers Data'!$AG$4:$AI$9,2,FALSE)=0,"Spatial Data Missing ⚠",VLOOKUP(I23,'G-7 Rivers Data'!$AG$4:$AI$9,2,FALSE)))</f>
        <v/>
      </c>
      <c r="K23" s="499" t="str">
        <f>IF(I23="","",IF(VLOOKUP(I23,'G-7 Rivers Data'!$AG$4:$AI$9,3,FALSE)=0,"Spatial Data Missing ⚠",VLOOKUP(I23,'G-7 Rivers Data'!$AG$4:$AI$9,3,FALSE)))</f>
        <v/>
      </c>
      <c r="L23" s="635" t="str">
        <f>IFERROR(INDEX('G-7 Rivers Data'!$O$3:$O$7,MATCH(G23,'G-7 Rivers Data'!$N$3:$N$7,0)),"")</f>
        <v/>
      </c>
      <c r="M23" s="72"/>
      <c r="N23" s="195"/>
      <c r="O23" s="507" t="str">
        <f t="shared" si="1"/>
        <v/>
      </c>
      <c r="P23" s="521" t="str">
        <f t="shared" si="2"/>
        <v/>
      </c>
      <c r="Q23" s="564" t="str">
        <f>IFERROR(IF(P23="Check Data ⚠","Check Data ⚠",VLOOKUP(P23,'G-4 Temporal multipliers'!$A$4:$C$37,3,FALSE)),"")</f>
        <v/>
      </c>
      <c r="R23" s="498" t="str">
        <f>IF(C23="","",VLOOKUP(C23,'G-7 Rivers Data'!$B$4:$G$8,4,FALSE))</f>
        <v/>
      </c>
      <c r="S23" s="507" t="str">
        <f t="shared" si="3"/>
        <v/>
      </c>
      <c r="T23" s="540" t="str">
        <f t="shared" si="4"/>
        <v/>
      </c>
      <c r="U23" s="499" t="str">
        <f t="shared" si="5"/>
        <v/>
      </c>
      <c r="V23" s="71"/>
      <c r="W23" s="499" t="str">
        <f>IF(V23="","",IF(VLOOKUP(V23,'G-7 Rivers Data'!$AA$4:$AB$7,2,FALSE)=0,"Spatial Data Missing ⚠",VLOOKUP(V23,'G-7 Rivers Data'!$AA$4:$AB$7,2,FALSE)))</f>
        <v/>
      </c>
      <c r="X23" s="155"/>
      <c r="Y23" s="499" t="str">
        <f>IF(X23="","",IF(VLOOKUP(X23,'G-7 Rivers Data'!$AD$4:$AE$8,2,FALSE)=0,"Enrcoachment Data Missing ⚠",VLOOKUP(X23,'G-7 Rivers Data'!$AD$4:$AE$8,2,FALSE)))</f>
        <v/>
      </c>
      <c r="Z23" s="154"/>
      <c r="AA23" s="524" t="str">
        <f>IF(Z23="","",VLOOKUP(Z23,'G-7 Rivers Data'!$AO$4:$AP$7,2,FALSE))</f>
        <v/>
      </c>
      <c r="AB23" s="545" t="str">
        <f t="shared" si="6"/>
        <v/>
      </c>
      <c r="AC23" s="149"/>
      <c r="AD23" s="150"/>
      <c r="AK23" s="31" t="str">
        <f>IFERROR(INDEX('G-7 Rivers Data'!$AZ$3:$AZ$7,MATCH(C23,'G-7 Rivers Data'!$AY$3:$AY$7,0)),"")</f>
        <v/>
      </c>
    </row>
    <row r="24" spans="2:37" ht="14" x14ac:dyDescent="0.3">
      <c r="B24" s="141">
        <v>13</v>
      </c>
      <c r="C24" s="666"/>
      <c r="D24" s="172"/>
      <c r="E24" s="498" t="str">
        <f>IF(C24="","",VLOOKUP(C24,'G-7 Rivers Data'!$B$2:$Z$9,2,FALSE))</f>
        <v/>
      </c>
      <c r="F24" s="499" t="str">
        <f>IFERROR(VLOOKUP(E24,'G-7 Rivers Data'!$C$4:$D$8,2,FALSE),"")</f>
        <v/>
      </c>
      <c r="G24" s="145"/>
      <c r="H24" s="499" t="str">
        <f>IFERROR(INDEX('G-7 Rivers Data'!$H$4:$L$8,MATCH(C24,'G-7 Rivers Data'!$B$4:$B$8,0),MATCH(G24,'G-7 Rivers Data'!$H$3:$L$3,0)),"")</f>
        <v/>
      </c>
      <c r="I24" s="145"/>
      <c r="J24" s="540" t="str">
        <f>IF(I24="","",IF(VLOOKUP(I24,'G-7 Rivers Data'!$AG$4:$AI$9,2,FALSE)=0,"Spatial Data Missing ⚠",VLOOKUP(I24,'G-7 Rivers Data'!$AG$4:$AI$9,2,FALSE)))</f>
        <v/>
      </c>
      <c r="K24" s="499" t="str">
        <f>IF(I24="","",IF(VLOOKUP(I24,'G-7 Rivers Data'!$AG$4:$AI$9,3,FALSE)=0,"Spatial Data Missing ⚠",VLOOKUP(I24,'G-7 Rivers Data'!$AG$4:$AI$9,3,FALSE)))</f>
        <v/>
      </c>
      <c r="L24" s="635" t="str">
        <f>IFERROR(INDEX('G-7 Rivers Data'!$O$3:$O$7,MATCH(G24,'G-7 Rivers Data'!$N$3:$N$7,0)),"")</f>
        <v/>
      </c>
      <c r="M24" s="72"/>
      <c r="N24" s="195"/>
      <c r="O24" s="507" t="str">
        <f t="shared" si="1"/>
        <v/>
      </c>
      <c r="P24" s="521" t="str">
        <f t="shared" si="2"/>
        <v/>
      </c>
      <c r="Q24" s="564" t="str">
        <f>IFERROR(IF(P24="Check Data ⚠","Check Data ⚠",VLOOKUP(P24,'G-4 Temporal multipliers'!$A$4:$C$37,3,FALSE)),"")</f>
        <v/>
      </c>
      <c r="R24" s="498" t="str">
        <f>IF(C24="","",VLOOKUP(C24,'G-7 Rivers Data'!$B$4:$G$8,4,FALSE))</f>
        <v/>
      </c>
      <c r="S24" s="507" t="str">
        <f t="shared" si="3"/>
        <v/>
      </c>
      <c r="T24" s="540" t="str">
        <f t="shared" si="4"/>
        <v/>
      </c>
      <c r="U24" s="499" t="str">
        <f t="shared" si="5"/>
        <v/>
      </c>
      <c r="V24" s="71"/>
      <c r="W24" s="499" t="str">
        <f>IF(V24="","",IF(VLOOKUP(V24,'G-7 Rivers Data'!$AA$4:$AB$7,2,FALSE)=0,"Spatial Data Missing ⚠",VLOOKUP(V24,'G-7 Rivers Data'!$AA$4:$AB$7,2,FALSE)))</f>
        <v/>
      </c>
      <c r="X24" s="155"/>
      <c r="Y24" s="499" t="str">
        <f>IF(X24="","",IF(VLOOKUP(X24,'G-7 Rivers Data'!$AD$4:$AE$8,2,FALSE)=0,"Enrcoachment Data Missing ⚠",VLOOKUP(X24,'G-7 Rivers Data'!$AD$4:$AE$8,2,FALSE)))</f>
        <v/>
      </c>
      <c r="Z24" s="154"/>
      <c r="AA24" s="524" t="str">
        <f>IF(Z24="","",VLOOKUP(Z24,'G-7 Rivers Data'!$AO$4:$AP$7,2,FALSE))</f>
        <v/>
      </c>
      <c r="AB24" s="545" t="str">
        <f t="shared" si="6"/>
        <v/>
      </c>
      <c r="AC24" s="149"/>
      <c r="AD24" s="150"/>
      <c r="AK24" s="31" t="str">
        <f>IFERROR(INDEX('G-7 Rivers Data'!$AZ$3:$AZ$7,MATCH(C24,'G-7 Rivers Data'!$AY$3:$AY$7,0)),"")</f>
        <v/>
      </c>
    </row>
    <row r="25" spans="2:37" ht="14" x14ac:dyDescent="0.3">
      <c r="B25" s="141">
        <v>14</v>
      </c>
      <c r="C25" s="666"/>
      <c r="D25" s="172"/>
      <c r="E25" s="498" t="str">
        <f>IF(C25="","",VLOOKUP(C25,'G-7 Rivers Data'!$B$2:$Z$9,2,FALSE))</f>
        <v/>
      </c>
      <c r="F25" s="499" t="str">
        <f>IFERROR(VLOOKUP(E25,'G-7 Rivers Data'!$C$4:$D$8,2,FALSE),"")</f>
        <v/>
      </c>
      <c r="G25" s="145"/>
      <c r="H25" s="499" t="str">
        <f>IFERROR(INDEX('G-7 Rivers Data'!$H$4:$L$8,MATCH(C25,'G-7 Rivers Data'!$B$4:$B$8,0),MATCH(G25,'G-7 Rivers Data'!$H$3:$L$3,0)),"")</f>
        <v/>
      </c>
      <c r="I25" s="145"/>
      <c r="J25" s="540" t="str">
        <f>IF(I25="","",IF(VLOOKUP(I25,'G-7 Rivers Data'!$AG$4:$AI$9,2,FALSE)=0,"Spatial Data Missing ⚠",VLOOKUP(I25,'G-7 Rivers Data'!$AG$4:$AI$9,2,FALSE)))</f>
        <v/>
      </c>
      <c r="K25" s="499" t="str">
        <f>IF(I25="","",IF(VLOOKUP(I25,'G-7 Rivers Data'!$AG$4:$AI$9,3,FALSE)=0,"Spatial Data Missing ⚠",VLOOKUP(I25,'G-7 Rivers Data'!$AG$4:$AI$9,3,FALSE)))</f>
        <v/>
      </c>
      <c r="L25" s="635" t="str">
        <f>IFERROR(INDEX('G-7 Rivers Data'!$O$3:$O$7,MATCH(G25,'G-7 Rivers Data'!$N$3:$N$7,0)),"")</f>
        <v/>
      </c>
      <c r="M25" s="72"/>
      <c r="N25" s="195"/>
      <c r="O25" s="507" t="str">
        <f t="shared" si="1"/>
        <v/>
      </c>
      <c r="P25" s="521" t="str">
        <f t="shared" si="2"/>
        <v/>
      </c>
      <c r="Q25" s="564" t="str">
        <f>IFERROR(IF(P25="Check Data ⚠","Check Data ⚠",VLOOKUP(P25,'G-4 Temporal multipliers'!$A$4:$C$37,3,FALSE)),"")</f>
        <v/>
      </c>
      <c r="R25" s="498" t="str">
        <f>IF(C25="","",VLOOKUP(C25,'G-7 Rivers Data'!$B$4:$G$8,4,FALSE))</f>
        <v/>
      </c>
      <c r="S25" s="507" t="str">
        <f t="shared" si="3"/>
        <v/>
      </c>
      <c r="T25" s="540" t="str">
        <f t="shared" si="4"/>
        <v/>
      </c>
      <c r="U25" s="499" t="str">
        <f t="shared" si="5"/>
        <v/>
      </c>
      <c r="V25" s="71"/>
      <c r="W25" s="499" t="str">
        <f>IF(V25="","",IF(VLOOKUP(V25,'G-7 Rivers Data'!$AA$4:$AB$7,2,FALSE)=0,"Spatial Data Missing ⚠",VLOOKUP(V25,'G-7 Rivers Data'!$AA$4:$AB$7,2,FALSE)))</f>
        <v/>
      </c>
      <c r="X25" s="155"/>
      <c r="Y25" s="499" t="str">
        <f>IF(X25="","",IF(VLOOKUP(X25,'G-7 Rivers Data'!$AD$4:$AE$8,2,FALSE)=0,"Enrcoachment Data Missing ⚠",VLOOKUP(X25,'G-7 Rivers Data'!$AD$4:$AE$8,2,FALSE)))</f>
        <v/>
      </c>
      <c r="Z25" s="154"/>
      <c r="AA25" s="524" t="str">
        <f>IF(Z25="","",VLOOKUP(Z25,'G-7 Rivers Data'!$AO$4:$AP$7,2,FALSE))</f>
        <v/>
      </c>
      <c r="AB25" s="545" t="str">
        <f t="shared" si="6"/>
        <v/>
      </c>
      <c r="AC25" s="149"/>
      <c r="AD25" s="150"/>
      <c r="AK25" s="31" t="str">
        <f>IFERROR(INDEX('G-7 Rivers Data'!$AZ$3:$AZ$7,MATCH(C25,'G-7 Rivers Data'!$AY$3:$AY$7,0)),"")</f>
        <v/>
      </c>
    </row>
    <row r="26" spans="2:37" ht="14" x14ac:dyDescent="0.3">
      <c r="B26" s="141">
        <v>15</v>
      </c>
      <c r="C26" s="666"/>
      <c r="D26" s="172"/>
      <c r="E26" s="498" t="str">
        <f>IF(C26="","",VLOOKUP(C26,'G-7 Rivers Data'!$B$2:$Z$9,2,FALSE))</f>
        <v/>
      </c>
      <c r="F26" s="499" t="str">
        <f>IFERROR(VLOOKUP(E26,'G-7 Rivers Data'!$C$4:$D$8,2,FALSE),"")</f>
        <v/>
      </c>
      <c r="G26" s="145"/>
      <c r="H26" s="499" t="str">
        <f>IFERROR(INDEX('G-7 Rivers Data'!$H$4:$L$8,MATCH(C26,'G-7 Rivers Data'!$B$4:$B$8,0),MATCH(G26,'G-7 Rivers Data'!$H$3:$L$3,0)),"")</f>
        <v/>
      </c>
      <c r="I26" s="145"/>
      <c r="J26" s="540" t="str">
        <f>IF(I26="","",IF(VLOOKUP(I26,'G-7 Rivers Data'!$AG$4:$AI$9,2,FALSE)=0,"Spatial Data Missing ⚠",VLOOKUP(I26,'G-7 Rivers Data'!$AG$4:$AI$9,2,FALSE)))</f>
        <v/>
      </c>
      <c r="K26" s="499" t="str">
        <f>IF(I26="","",IF(VLOOKUP(I26,'G-7 Rivers Data'!$AG$4:$AI$9,3,FALSE)=0,"Spatial Data Missing ⚠",VLOOKUP(I26,'G-7 Rivers Data'!$AG$4:$AI$9,3,FALSE)))</f>
        <v/>
      </c>
      <c r="L26" s="635" t="str">
        <f>IFERROR(INDEX('G-7 Rivers Data'!$O$3:$O$7,MATCH(G26,'G-7 Rivers Data'!$N$3:$N$7,0)),"")</f>
        <v/>
      </c>
      <c r="M26" s="72"/>
      <c r="N26" s="195"/>
      <c r="O26" s="507" t="str">
        <f t="shared" si="1"/>
        <v/>
      </c>
      <c r="P26" s="521" t="str">
        <f t="shared" si="2"/>
        <v/>
      </c>
      <c r="Q26" s="564" t="str">
        <f>IFERROR(IF(P26="Check Data ⚠","Check Data ⚠",VLOOKUP(P26,'G-4 Temporal multipliers'!$A$4:$C$37,3,FALSE)),"")</f>
        <v/>
      </c>
      <c r="R26" s="498" t="str">
        <f>IF(C26="","",VLOOKUP(C26,'G-7 Rivers Data'!$B$4:$G$8,4,FALSE))</f>
        <v/>
      </c>
      <c r="S26" s="507" t="str">
        <f t="shared" si="3"/>
        <v/>
      </c>
      <c r="T26" s="540" t="str">
        <f t="shared" si="4"/>
        <v/>
      </c>
      <c r="U26" s="499" t="str">
        <f t="shared" si="5"/>
        <v/>
      </c>
      <c r="V26" s="71"/>
      <c r="W26" s="499" t="str">
        <f>IF(V26="","",IF(VLOOKUP(V26,'G-7 Rivers Data'!$AA$4:$AB$7,2,FALSE)=0,"Spatial Data Missing ⚠",VLOOKUP(V26,'G-7 Rivers Data'!$AA$4:$AB$7,2,FALSE)))</f>
        <v/>
      </c>
      <c r="X26" s="155"/>
      <c r="Y26" s="499" t="str">
        <f>IF(X26="","",IF(VLOOKUP(X26,'G-7 Rivers Data'!$AD$4:$AE$8,2,FALSE)=0,"Enrcoachment Data Missing ⚠",VLOOKUP(X26,'G-7 Rivers Data'!$AD$4:$AE$8,2,FALSE)))</f>
        <v/>
      </c>
      <c r="Z26" s="154"/>
      <c r="AA26" s="524" t="str">
        <f>IF(Z26="","",VLOOKUP(Z26,'G-7 Rivers Data'!$AO$4:$AP$7,2,FALSE))</f>
        <v/>
      </c>
      <c r="AB26" s="545" t="str">
        <f t="shared" si="6"/>
        <v/>
      </c>
      <c r="AC26" s="149"/>
      <c r="AD26" s="150"/>
      <c r="AK26" s="31" t="str">
        <f>IFERROR(INDEX('G-7 Rivers Data'!$AZ$3:$AZ$7,MATCH(C26,'G-7 Rivers Data'!$AY$3:$AY$7,0)),"")</f>
        <v/>
      </c>
    </row>
    <row r="27" spans="2:37" ht="14" x14ac:dyDescent="0.3">
      <c r="B27" s="141">
        <v>16</v>
      </c>
      <c r="C27" s="666"/>
      <c r="D27" s="172"/>
      <c r="E27" s="498" t="str">
        <f>IF(C27="","",VLOOKUP(C27,'G-7 Rivers Data'!$B$2:$Z$9,2,FALSE))</f>
        <v/>
      </c>
      <c r="F27" s="499" t="str">
        <f>IFERROR(VLOOKUP(E27,'G-7 Rivers Data'!$C$4:$D$8,2,FALSE),"")</f>
        <v/>
      </c>
      <c r="G27" s="145"/>
      <c r="H27" s="499" t="str">
        <f>IFERROR(INDEX('G-7 Rivers Data'!$H$4:$L$8,MATCH(C27,'G-7 Rivers Data'!$B$4:$B$8,0),MATCH(G27,'G-7 Rivers Data'!$H$3:$L$3,0)),"")</f>
        <v/>
      </c>
      <c r="I27" s="145"/>
      <c r="J27" s="540" t="str">
        <f>IF(I27="","",IF(VLOOKUP(I27,'G-7 Rivers Data'!$AG$4:$AI$9,2,FALSE)=0,"Spatial Data Missing ⚠",VLOOKUP(I27,'G-7 Rivers Data'!$AG$4:$AI$9,2,FALSE)))</f>
        <v/>
      </c>
      <c r="K27" s="499" t="str">
        <f>IF(I27="","",IF(VLOOKUP(I27,'G-7 Rivers Data'!$AG$4:$AI$9,3,FALSE)=0,"Spatial Data Missing ⚠",VLOOKUP(I27,'G-7 Rivers Data'!$AG$4:$AI$9,3,FALSE)))</f>
        <v/>
      </c>
      <c r="L27" s="635" t="str">
        <f>IFERROR(INDEX('G-7 Rivers Data'!$O$3:$O$7,MATCH(G27,'G-7 Rivers Data'!$N$3:$N$7,0)),"")</f>
        <v/>
      </c>
      <c r="M27" s="72"/>
      <c r="N27" s="195"/>
      <c r="O27" s="507" t="str">
        <f t="shared" si="1"/>
        <v/>
      </c>
      <c r="P27" s="521" t="str">
        <f t="shared" si="2"/>
        <v/>
      </c>
      <c r="Q27" s="564" t="str">
        <f>IFERROR(IF(P27="Check Data ⚠","Check Data ⚠",VLOOKUP(P27,'G-4 Temporal multipliers'!$A$4:$C$37,3,FALSE)),"")</f>
        <v/>
      </c>
      <c r="R27" s="498" t="str">
        <f>IF(C27="","",VLOOKUP(C27,'G-7 Rivers Data'!$B$4:$G$8,4,FALSE))</f>
        <v/>
      </c>
      <c r="S27" s="507" t="str">
        <f t="shared" si="3"/>
        <v/>
      </c>
      <c r="T27" s="540" t="str">
        <f t="shared" si="4"/>
        <v/>
      </c>
      <c r="U27" s="499" t="str">
        <f t="shared" si="5"/>
        <v/>
      </c>
      <c r="V27" s="71"/>
      <c r="W27" s="499" t="str">
        <f>IF(V27="","",IF(VLOOKUP(V27,'G-7 Rivers Data'!$AA$4:$AB$7,2,FALSE)=0,"Spatial Data Missing ⚠",VLOOKUP(V27,'G-7 Rivers Data'!$AA$4:$AB$7,2,FALSE)))</f>
        <v/>
      </c>
      <c r="X27" s="155"/>
      <c r="Y27" s="499" t="str">
        <f>IF(X27="","",IF(VLOOKUP(X27,'G-7 Rivers Data'!$AD$4:$AE$8,2,FALSE)=0,"Enrcoachment Data Missing ⚠",VLOOKUP(X27,'G-7 Rivers Data'!$AD$4:$AE$8,2,FALSE)))</f>
        <v/>
      </c>
      <c r="Z27" s="154"/>
      <c r="AA27" s="524" t="str">
        <f>IF(Z27="","",VLOOKUP(Z27,'G-7 Rivers Data'!$AO$4:$AP$7,2,FALSE))</f>
        <v/>
      </c>
      <c r="AB27" s="545" t="str">
        <f t="shared" si="6"/>
        <v/>
      </c>
      <c r="AC27" s="149"/>
      <c r="AD27" s="150"/>
      <c r="AK27" s="31" t="str">
        <f>IFERROR(INDEX('G-7 Rivers Data'!$AZ$3:$AZ$7,MATCH(C27,'G-7 Rivers Data'!$AY$3:$AY$7,0)),"")</f>
        <v/>
      </c>
    </row>
    <row r="28" spans="2:37" ht="14" x14ac:dyDescent="0.3">
      <c r="B28" s="141">
        <v>17</v>
      </c>
      <c r="C28" s="666"/>
      <c r="D28" s="172"/>
      <c r="E28" s="498" t="str">
        <f>IF(C28="","",VLOOKUP(C28,'G-7 Rivers Data'!$B$2:$Z$9,2,FALSE))</f>
        <v/>
      </c>
      <c r="F28" s="499" t="str">
        <f>IFERROR(VLOOKUP(E28,'G-7 Rivers Data'!$C$4:$D$8,2,FALSE),"")</f>
        <v/>
      </c>
      <c r="G28" s="145"/>
      <c r="H28" s="499" t="str">
        <f>IFERROR(INDEX('G-7 Rivers Data'!$H$4:$L$8,MATCH(C28,'G-7 Rivers Data'!$B$4:$B$8,0),MATCH(G28,'G-7 Rivers Data'!$H$3:$L$3,0)),"")</f>
        <v/>
      </c>
      <c r="I28" s="145"/>
      <c r="J28" s="540" t="str">
        <f>IF(I28="","",IF(VLOOKUP(I28,'G-7 Rivers Data'!$AG$4:$AI$9,2,FALSE)=0,"Spatial Data Missing ⚠",VLOOKUP(I28,'G-7 Rivers Data'!$AG$4:$AI$9,2,FALSE)))</f>
        <v/>
      </c>
      <c r="K28" s="499" t="str">
        <f>IF(I28="","",IF(VLOOKUP(I28,'G-7 Rivers Data'!$AG$4:$AI$9,3,FALSE)=0,"Spatial Data Missing ⚠",VLOOKUP(I28,'G-7 Rivers Data'!$AG$4:$AI$9,3,FALSE)))</f>
        <v/>
      </c>
      <c r="L28" s="635" t="str">
        <f>IFERROR(INDEX('G-7 Rivers Data'!$O$3:$O$7,MATCH(G28,'G-7 Rivers Data'!$N$3:$N$7,0)),"")</f>
        <v/>
      </c>
      <c r="M28" s="72"/>
      <c r="N28" s="195"/>
      <c r="O28" s="507" t="str">
        <f t="shared" si="1"/>
        <v/>
      </c>
      <c r="P28" s="521" t="str">
        <f t="shared" si="2"/>
        <v/>
      </c>
      <c r="Q28" s="564" t="str">
        <f>IFERROR(IF(P28="Check Data ⚠","Check Data ⚠",VLOOKUP(P28,'G-4 Temporal multipliers'!$A$4:$C$37,3,FALSE)),"")</f>
        <v/>
      </c>
      <c r="R28" s="498" t="str">
        <f>IF(C28="","",VLOOKUP(C28,'G-7 Rivers Data'!$B$4:$G$8,4,FALSE))</f>
        <v/>
      </c>
      <c r="S28" s="507" t="str">
        <f t="shared" si="3"/>
        <v/>
      </c>
      <c r="T28" s="540" t="str">
        <f t="shared" si="4"/>
        <v/>
      </c>
      <c r="U28" s="499" t="str">
        <f t="shared" si="5"/>
        <v/>
      </c>
      <c r="V28" s="71"/>
      <c r="W28" s="499" t="str">
        <f>IF(V28="","",IF(VLOOKUP(V28,'G-7 Rivers Data'!$AA$4:$AB$7,2,FALSE)=0,"Spatial Data Missing ⚠",VLOOKUP(V28,'G-7 Rivers Data'!$AA$4:$AB$7,2,FALSE)))</f>
        <v/>
      </c>
      <c r="X28" s="155"/>
      <c r="Y28" s="499" t="str">
        <f>IF(X28="","",IF(VLOOKUP(X28,'G-7 Rivers Data'!$AD$4:$AE$8,2,FALSE)=0,"Enrcoachment Data Missing ⚠",VLOOKUP(X28,'G-7 Rivers Data'!$AD$4:$AE$8,2,FALSE)))</f>
        <v/>
      </c>
      <c r="Z28" s="154"/>
      <c r="AA28" s="524" t="str">
        <f>IF(Z28="","",VLOOKUP(Z28,'G-7 Rivers Data'!$AO$4:$AP$7,2,FALSE))</f>
        <v/>
      </c>
      <c r="AB28" s="545" t="str">
        <f t="shared" si="6"/>
        <v/>
      </c>
      <c r="AC28" s="149"/>
      <c r="AD28" s="150"/>
      <c r="AK28" s="31" t="str">
        <f>IFERROR(INDEX('G-7 Rivers Data'!$AZ$3:$AZ$7,MATCH(C28,'G-7 Rivers Data'!$AY$3:$AY$7,0)),"")</f>
        <v/>
      </c>
    </row>
    <row r="29" spans="2:37" ht="14" x14ac:dyDescent="0.3">
      <c r="B29" s="141">
        <v>18</v>
      </c>
      <c r="C29" s="666"/>
      <c r="D29" s="172"/>
      <c r="E29" s="498" t="str">
        <f>IF(C29="","",VLOOKUP(C29,'G-7 Rivers Data'!$B$2:$Z$9,2,FALSE))</f>
        <v/>
      </c>
      <c r="F29" s="499" t="str">
        <f>IFERROR(VLOOKUP(E29,'G-7 Rivers Data'!$C$4:$D$8,2,FALSE),"")</f>
        <v/>
      </c>
      <c r="G29" s="145"/>
      <c r="H29" s="499" t="str">
        <f>IFERROR(INDEX('G-7 Rivers Data'!$H$4:$L$8,MATCH(C29,'G-7 Rivers Data'!$B$4:$B$8,0),MATCH(G29,'G-7 Rivers Data'!$H$3:$L$3,0)),"")</f>
        <v/>
      </c>
      <c r="I29" s="145"/>
      <c r="J29" s="540" t="str">
        <f>IF(I29="","",IF(VLOOKUP(I29,'G-7 Rivers Data'!$AG$4:$AI$9,2,FALSE)=0,"Spatial Data Missing ⚠",VLOOKUP(I29,'G-7 Rivers Data'!$AG$4:$AI$9,2,FALSE)))</f>
        <v/>
      </c>
      <c r="K29" s="499" t="str">
        <f>IF(I29="","",IF(VLOOKUP(I29,'G-7 Rivers Data'!$AG$4:$AI$9,3,FALSE)=0,"Spatial Data Missing ⚠",VLOOKUP(I29,'G-7 Rivers Data'!$AG$4:$AI$9,3,FALSE)))</f>
        <v/>
      </c>
      <c r="L29" s="635" t="str">
        <f>IFERROR(INDEX('G-7 Rivers Data'!$O$3:$O$7,MATCH(G29,'G-7 Rivers Data'!$N$3:$N$7,0)),"")</f>
        <v/>
      </c>
      <c r="M29" s="72"/>
      <c r="N29" s="195"/>
      <c r="O29" s="507" t="str">
        <f t="shared" si="1"/>
        <v/>
      </c>
      <c r="P29" s="521" t="str">
        <f t="shared" si="2"/>
        <v/>
      </c>
      <c r="Q29" s="564" t="str">
        <f>IFERROR(IF(P29="Check Data ⚠","Check Data ⚠",VLOOKUP(P29,'G-4 Temporal multipliers'!$A$4:$C$37,3,FALSE)),"")</f>
        <v/>
      </c>
      <c r="R29" s="498" t="str">
        <f>IF(C29="","",VLOOKUP(C29,'G-7 Rivers Data'!$B$4:$G$8,4,FALSE))</f>
        <v/>
      </c>
      <c r="S29" s="507" t="str">
        <f t="shared" si="3"/>
        <v/>
      </c>
      <c r="T29" s="540" t="str">
        <f t="shared" si="4"/>
        <v/>
      </c>
      <c r="U29" s="499" t="str">
        <f t="shared" si="5"/>
        <v/>
      </c>
      <c r="V29" s="71"/>
      <c r="W29" s="499" t="str">
        <f>IF(V29="","",IF(VLOOKUP(V29,'G-7 Rivers Data'!$AA$4:$AB$7,2,FALSE)=0,"Spatial Data Missing ⚠",VLOOKUP(V29,'G-7 Rivers Data'!$AA$4:$AB$7,2,FALSE)))</f>
        <v/>
      </c>
      <c r="X29" s="155"/>
      <c r="Y29" s="499" t="str">
        <f>IF(X29="","",IF(VLOOKUP(X29,'G-7 Rivers Data'!$AD$4:$AE$8,2,FALSE)=0,"Enrcoachment Data Missing ⚠",VLOOKUP(X29,'G-7 Rivers Data'!$AD$4:$AE$8,2,FALSE)))</f>
        <v/>
      </c>
      <c r="Z29" s="154"/>
      <c r="AA29" s="524" t="str">
        <f>IF(Z29="","",VLOOKUP(Z29,'G-7 Rivers Data'!$AO$4:$AP$7,2,FALSE))</f>
        <v/>
      </c>
      <c r="AB29" s="545" t="str">
        <f t="shared" si="6"/>
        <v/>
      </c>
      <c r="AC29" s="149"/>
      <c r="AD29" s="150"/>
      <c r="AK29" s="31" t="str">
        <f>IFERROR(INDEX('G-7 Rivers Data'!$AZ$3:$AZ$7,MATCH(C29,'G-7 Rivers Data'!$AY$3:$AY$7,0)),"")</f>
        <v/>
      </c>
    </row>
    <row r="30" spans="2:37" ht="14" x14ac:dyDescent="0.3">
      <c r="B30" s="141">
        <v>19</v>
      </c>
      <c r="C30" s="666"/>
      <c r="D30" s="172"/>
      <c r="E30" s="498" t="str">
        <f>IF(C30="","",VLOOKUP(C30,'G-7 Rivers Data'!$B$2:$Z$9,2,FALSE))</f>
        <v/>
      </c>
      <c r="F30" s="499" t="str">
        <f>IFERROR(VLOOKUP(E30,'G-7 Rivers Data'!$C$4:$D$8,2,FALSE),"")</f>
        <v/>
      </c>
      <c r="G30" s="145"/>
      <c r="H30" s="499" t="str">
        <f>IFERROR(INDEX('G-7 Rivers Data'!$H$4:$L$8,MATCH(C30,'G-7 Rivers Data'!$B$4:$B$8,0),MATCH(G30,'G-7 Rivers Data'!$H$3:$L$3,0)),"")</f>
        <v/>
      </c>
      <c r="I30" s="145"/>
      <c r="J30" s="540" t="str">
        <f>IF(I30="","",IF(VLOOKUP(I30,'G-7 Rivers Data'!$AG$4:$AI$9,2,FALSE)=0,"Spatial Data Missing ⚠",VLOOKUP(I30,'G-7 Rivers Data'!$AG$4:$AI$9,2,FALSE)))</f>
        <v/>
      </c>
      <c r="K30" s="499" t="str">
        <f>IF(I30="","",IF(VLOOKUP(I30,'G-7 Rivers Data'!$AG$4:$AI$9,3,FALSE)=0,"Spatial Data Missing ⚠",VLOOKUP(I30,'G-7 Rivers Data'!$AG$4:$AI$9,3,FALSE)))</f>
        <v/>
      </c>
      <c r="L30" s="635" t="str">
        <f>IFERROR(INDEX('G-7 Rivers Data'!$O$3:$O$7,MATCH(G30,'G-7 Rivers Data'!$N$3:$N$7,0)),"")</f>
        <v/>
      </c>
      <c r="M30" s="72"/>
      <c r="N30" s="195"/>
      <c r="O30" s="507" t="str">
        <f t="shared" si="1"/>
        <v/>
      </c>
      <c r="P30" s="521" t="str">
        <f t="shared" si="2"/>
        <v/>
      </c>
      <c r="Q30" s="564" t="str">
        <f>IFERROR(IF(P30="Check Data ⚠","Check Data ⚠",VLOOKUP(P30,'G-4 Temporal multipliers'!$A$4:$C$37,3,FALSE)),"")</f>
        <v/>
      </c>
      <c r="R30" s="498" t="str">
        <f>IF(C30="","",VLOOKUP(C30,'G-7 Rivers Data'!$B$4:$G$8,4,FALSE))</f>
        <v/>
      </c>
      <c r="S30" s="507" t="str">
        <f t="shared" si="3"/>
        <v/>
      </c>
      <c r="T30" s="540" t="str">
        <f t="shared" si="4"/>
        <v/>
      </c>
      <c r="U30" s="499" t="str">
        <f t="shared" si="5"/>
        <v/>
      </c>
      <c r="V30" s="71"/>
      <c r="W30" s="499" t="str">
        <f>IF(V30="","",IF(VLOOKUP(V30,'G-7 Rivers Data'!$AA$4:$AB$7,2,FALSE)=0,"Spatial Data Missing ⚠",VLOOKUP(V30,'G-7 Rivers Data'!$AA$4:$AB$7,2,FALSE)))</f>
        <v/>
      </c>
      <c r="X30" s="155"/>
      <c r="Y30" s="499" t="str">
        <f>IF(X30="","",IF(VLOOKUP(X30,'G-7 Rivers Data'!$AD$4:$AE$8,2,FALSE)=0,"Enrcoachment Data Missing ⚠",VLOOKUP(X30,'G-7 Rivers Data'!$AD$4:$AE$8,2,FALSE)))</f>
        <v/>
      </c>
      <c r="Z30" s="154"/>
      <c r="AA30" s="524" t="str">
        <f>IF(Z30="","",VLOOKUP(Z30,'G-7 Rivers Data'!$AO$4:$AP$7,2,FALSE))</f>
        <v/>
      </c>
      <c r="AB30" s="545" t="str">
        <f t="shared" si="6"/>
        <v/>
      </c>
      <c r="AC30" s="149"/>
      <c r="AD30" s="150"/>
      <c r="AK30" s="31" t="str">
        <f>IFERROR(INDEX('G-7 Rivers Data'!$AZ$3:$AZ$7,MATCH(C30,'G-7 Rivers Data'!$AY$3:$AY$7,0)),"")</f>
        <v/>
      </c>
    </row>
    <row r="31" spans="2:37" ht="14" x14ac:dyDescent="0.3">
      <c r="B31" s="141">
        <v>20</v>
      </c>
      <c r="C31" s="666"/>
      <c r="D31" s="172"/>
      <c r="E31" s="498" t="str">
        <f>IF(C31="","",VLOOKUP(C31,'G-7 Rivers Data'!$B$2:$Z$9,2,FALSE))</f>
        <v/>
      </c>
      <c r="F31" s="499" t="str">
        <f>IFERROR(VLOOKUP(E31,'G-7 Rivers Data'!$C$4:$D$8,2,FALSE),"")</f>
        <v/>
      </c>
      <c r="G31" s="145"/>
      <c r="H31" s="499" t="str">
        <f>IFERROR(INDEX('G-7 Rivers Data'!$H$4:$L$8,MATCH(C31,'G-7 Rivers Data'!$B$4:$B$8,0),MATCH(G31,'G-7 Rivers Data'!$H$3:$L$3,0)),"")</f>
        <v/>
      </c>
      <c r="I31" s="145"/>
      <c r="J31" s="540" t="str">
        <f>IF(I31="","",IF(VLOOKUP(I31,'G-7 Rivers Data'!$AG$4:$AI$9,2,FALSE)=0,"Spatial Data Missing ⚠",VLOOKUP(I31,'G-7 Rivers Data'!$AG$4:$AI$9,2,FALSE)))</f>
        <v/>
      </c>
      <c r="K31" s="499" t="str">
        <f>IF(I31="","",IF(VLOOKUP(I31,'G-7 Rivers Data'!$AG$4:$AI$9,3,FALSE)=0,"Spatial Data Missing ⚠",VLOOKUP(I31,'G-7 Rivers Data'!$AG$4:$AI$9,3,FALSE)))</f>
        <v/>
      </c>
      <c r="L31" s="635" t="str">
        <f>IFERROR(INDEX('G-7 Rivers Data'!$O$3:$O$7,MATCH(G31,'G-7 Rivers Data'!$N$3:$N$7,0)),"")</f>
        <v/>
      </c>
      <c r="M31" s="72"/>
      <c r="N31" s="195"/>
      <c r="O31" s="507" t="str">
        <f t="shared" si="1"/>
        <v/>
      </c>
      <c r="P31" s="521" t="str">
        <f t="shared" si="2"/>
        <v/>
      </c>
      <c r="Q31" s="564" t="str">
        <f>IFERROR(IF(P31="Check Data ⚠","Check Data ⚠",VLOOKUP(P31,'G-4 Temporal multipliers'!$A$4:$C$37,3,FALSE)),"")</f>
        <v/>
      </c>
      <c r="R31" s="498" t="str">
        <f>IF(C31="","",VLOOKUP(C31,'G-7 Rivers Data'!$B$4:$G$8,4,FALSE))</f>
        <v/>
      </c>
      <c r="S31" s="507" t="str">
        <f t="shared" si="3"/>
        <v/>
      </c>
      <c r="T31" s="540" t="str">
        <f t="shared" si="4"/>
        <v/>
      </c>
      <c r="U31" s="499" t="str">
        <f t="shared" si="5"/>
        <v/>
      </c>
      <c r="V31" s="71"/>
      <c r="W31" s="499" t="str">
        <f>IF(V31="","",IF(VLOOKUP(V31,'G-7 Rivers Data'!$AA$4:$AB$7,2,FALSE)=0,"Spatial Data Missing ⚠",VLOOKUP(V31,'G-7 Rivers Data'!$AA$4:$AB$7,2,FALSE)))</f>
        <v/>
      </c>
      <c r="X31" s="155"/>
      <c r="Y31" s="499" t="str">
        <f>IF(X31="","",IF(VLOOKUP(X31,'G-7 Rivers Data'!$AD$4:$AE$8,2,FALSE)=0,"Enrcoachment Data Missing ⚠",VLOOKUP(X31,'G-7 Rivers Data'!$AD$4:$AE$8,2,FALSE)))</f>
        <v/>
      </c>
      <c r="Z31" s="154"/>
      <c r="AA31" s="524" t="str">
        <f>IF(Z31="","",VLOOKUP(Z31,'G-7 Rivers Data'!$AO$4:$AP$7,2,FALSE))</f>
        <v/>
      </c>
      <c r="AB31" s="545" t="str">
        <f t="shared" si="6"/>
        <v/>
      </c>
      <c r="AC31" s="149"/>
      <c r="AD31" s="150"/>
      <c r="AK31" s="31" t="str">
        <f>IFERROR(INDEX('G-7 Rivers Data'!$AZ$3:$AZ$7,MATCH(C31,'G-7 Rivers Data'!$AY$3:$AY$7,0)),"")</f>
        <v/>
      </c>
    </row>
    <row r="32" spans="2:37" ht="14" x14ac:dyDescent="0.3">
      <c r="B32" s="141">
        <v>21</v>
      </c>
      <c r="C32" s="666"/>
      <c r="D32" s="172"/>
      <c r="E32" s="498" t="str">
        <f>IF(C32="","",VLOOKUP(C32,'G-7 Rivers Data'!$B$2:$Z$9,2,FALSE))</f>
        <v/>
      </c>
      <c r="F32" s="499" t="str">
        <f>IFERROR(VLOOKUP(E32,'G-7 Rivers Data'!$C$4:$D$8,2,FALSE),"")</f>
        <v/>
      </c>
      <c r="G32" s="145"/>
      <c r="H32" s="499" t="str">
        <f>IFERROR(INDEX('G-7 Rivers Data'!$H$4:$L$8,MATCH(C32,'G-7 Rivers Data'!$B$4:$B$8,0),MATCH(G32,'G-7 Rivers Data'!$H$3:$L$3,0)),"")</f>
        <v/>
      </c>
      <c r="I32" s="145"/>
      <c r="J32" s="540" t="str">
        <f>IF(I32="","",IF(VLOOKUP(I32,'G-7 Rivers Data'!$AG$4:$AI$9,2,FALSE)=0,"Spatial Data Missing ⚠",VLOOKUP(I32,'G-7 Rivers Data'!$AG$4:$AI$9,2,FALSE)))</f>
        <v/>
      </c>
      <c r="K32" s="499" t="str">
        <f>IF(I32="","",IF(VLOOKUP(I32,'G-7 Rivers Data'!$AG$4:$AI$9,3,FALSE)=0,"Spatial Data Missing ⚠",VLOOKUP(I32,'G-7 Rivers Data'!$AG$4:$AI$9,3,FALSE)))</f>
        <v/>
      </c>
      <c r="L32" s="635" t="str">
        <f>IFERROR(INDEX('G-7 Rivers Data'!$O$3:$O$7,MATCH(G32,'G-7 Rivers Data'!$N$3:$N$7,0)),"")</f>
        <v/>
      </c>
      <c r="M32" s="72"/>
      <c r="N32" s="195"/>
      <c r="O32" s="507" t="str">
        <f t="shared" si="1"/>
        <v/>
      </c>
      <c r="P32" s="521" t="str">
        <f t="shared" si="2"/>
        <v/>
      </c>
      <c r="Q32" s="564" t="str">
        <f>IFERROR(IF(P32="Check Data ⚠","Check Data ⚠",VLOOKUP(P32,'G-4 Temporal multipliers'!$A$4:$C$37,3,FALSE)),"")</f>
        <v/>
      </c>
      <c r="R32" s="498" t="str">
        <f>IF(C32="","",VLOOKUP(C32,'G-7 Rivers Data'!$B$4:$G$8,4,FALSE))</f>
        <v/>
      </c>
      <c r="S32" s="507" t="str">
        <f t="shared" si="3"/>
        <v/>
      </c>
      <c r="T32" s="540" t="str">
        <f t="shared" si="4"/>
        <v/>
      </c>
      <c r="U32" s="499" t="str">
        <f t="shared" si="5"/>
        <v/>
      </c>
      <c r="V32" s="71"/>
      <c r="W32" s="499" t="str">
        <f>IF(V32="","",IF(VLOOKUP(V32,'G-7 Rivers Data'!$AA$4:$AB$7,2,FALSE)=0,"Spatial Data Missing ⚠",VLOOKUP(V32,'G-7 Rivers Data'!$AA$4:$AB$7,2,FALSE)))</f>
        <v/>
      </c>
      <c r="X32" s="155"/>
      <c r="Y32" s="499" t="str">
        <f>IF(X32="","",IF(VLOOKUP(X32,'G-7 Rivers Data'!$AD$4:$AE$8,2,FALSE)=0,"Enrcoachment Data Missing ⚠",VLOOKUP(X32,'G-7 Rivers Data'!$AD$4:$AE$8,2,FALSE)))</f>
        <v/>
      </c>
      <c r="Z32" s="154"/>
      <c r="AA32" s="524" t="str">
        <f>IF(Z32="","",VLOOKUP(Z32,'G-7 Rivers Data'!$AO$4:$AP$7,2,FALSE))</f>
        <v/>
      </c>
      <c r="AB32" s="545" t="str">
        <f t="shared" si="6"/>
        <v/>
      </c>
      <c r="AC32" s="149"/>
      <c r="AD32" s="150"/>
      <c r="AK32" s="31" t="str">
        <f>IFERROR(INDEX('G-7 Rivers Data'!$AZ$3:$AZ$7,MATCH(C32,'G-7 Rivers Data'!$AY$3:$AY$7,0)),"")</f>
        <v/>
      </c>
    </row>
    <row r="33" spans="2:37" ht="14" x14ac:dyDescent="0.3">
      <c r="B33" s="141">
        <v>22</v>
      </c>
      <c r="C33" s="666"/>
      <c r="D33" s="172"/>
      <c r="E33" s="498" t="str">
        <f>IF(C33="","",VLOOKUP(C33,'G-7 Rivers Data'!$B$2:$Z$9,2,FALSE))</f>
        <v/>
      </c>
      <c r="F33" s="499" t="str">
        <f>IFERROR(VLOOKUP(E33,'G-7 Rivers Data'!$C$4:$D$8,2,FALSE),"")</f>
        <v/>
      </c>
      <c r="G33" s="145"/>
      <c r="H33" s="499" t="str">
        <f>IFERROR(INDEX('G-7 Rivers Data'!$H$4:$L$8,MATCH(C33,'G-7 Rivers Data'!$B$4:$B$8,0),MATCH(G33,'G-7 Rivers Data'!$H$3:$L$3,0)),"")</f>
        <v/>
      </c>
      <c r="I33" s="145"/>
      <c r="J33" s="540" t="str">
        <f>IF(I33="","",IF(VLOOKUP(I33,'G-7 Rivers Data'!$AG$4:$AI$9,2,FALSE)=0,"Spatial Data Missing ⚠",VLOOKUP(I33,'G-7 Rivers Data'!$AG$4:$AI$9,2,FALSE)))</f>
        <v/>
      </c>
      <c r="K33" s="499" t="str">
        <f>IF(I33="","",IF(VLOOKUP(I33,'G-7 Rivers Data'!$AG$4:$AI$9,3,FALSE)=0,"Spatial Data Missing ⚠",VLOOKUP(I33,'G-7 Rivers Data'!$AG$4:$AI$9,3,FALSE)))</f>
        <v/>
      </c>
      <c r="L33" s="635" t="str">
        <f>IFERROR(INDEX('G-7 Rivers Data'!$O$3:$O$7,MATCH(G33,'G-7 Rivers Data'!$N$3:$N$7,0)),"")</f>
        <v/>
      </c>
      <c r="M33" s="72"/>
      <c r="N33" s="195"/>
      <c r="O33" s="507" t="str">
        <f t="shared" si="1"/>
        <v/>
      </c>
      <c r="P33" s="521" t="str">
        <f t="shared" si="2"/>
        <v/>
      </c>
      <c r="Q33" s="564" t="str">
        <f>IFERROR(IF(P33="Check Data ⚠","Check Data ⚠",VLOOKUP(P33,'G-4 Temporal multipliers'!$A$4:$C$37,3,FALSE)),"")</f>
        <v/>
      </c>
      <c r="R33" s="498" t="str">
        <f>IF(C33="","",VLOOKUP(C33,'G-7 Rivers Data'!$B$4:$G$8,4,FALSE))</f>
        <v/>
      </c>
      <c r="S33" s="507" t="str">
        <f t="shared" si="3"/>
        <v/>
      </c>
      <c r="T33" s="540" t="str">
        <f t="shared" si="4"/>
        <v/>
      </c>
      <c r="U33" s="499" t="str">
        <f t="shared" si="5"/>
        <v/>
      </c>
      <c r="V33" s="71"/>
      <c r="W33" s="499" t="str">
        <f>IF(V33="","",IF(VLOOKUP(V33,'G-7 Rivers Data'!$AA$4:$AB$7,2,FALSE)=0,"Spatial Data Missing ⚠",VLOOKUP(V33,'G-7 Rivers Data'!$AA$4:$AB$7,2,FALSE)))</f>
        <v/>
      </c>
      <c r="X33" s="155"/>
      <c r="Y33" s="499" t="str">
        <f>IF(X33="","",IF(VLOOKUP(X33,'G-7 Rivers Data'!$AD$4:$AE$8,2,FALSE)=0,"Enrcoachment Data Missing ⚠",VLOOKUP(X33,'G-7 Rivers Data'!$AD$4:$AE$8,2,FALSE)))</f>
        <v/>
      </c>
      <c r="Z33" s="154"/>
      <c r="AA33" s="524" t="str">
        <f>IF(Z33="","",VLOOKUP(Z33,'G-7 Rivers Data'!$AO$4:$AP$7,2,FALSE))</f>
        <v/>
      </c>
      <c r="AB33" s="545" t="str">
        <f t="shared" si="6"/>
        <v/>
      </c>
      <c r="AC33" s="149"/>
      <c r="AD33" s="150"/>
      <c r="AK33" s="31" t="str">
        <f>IFERROR(INDEX('G-7 Rivers Data'!$AZ$3:$AZ$7,MATCH(C33,'G-7 Rivers Data'!$AY$3:$AY$7,0)),"")</f>
        <v/>
      </c>
    </row>
    <row r="34" spans="2:37" ht="14" x14ac:dyDescent="0.3">
      <c r="B34" s="141">
        <v>23</v>
      </c>
      <c r="C34" s="666"/>
      <c r="D34" s="172"/>
      <c r="E34" s="498" t="str">
        <f>IF(C34="","",VLOOKUP(C34,'G-7 Rivers Data'!$B$2:$Z$9,2,FALSE))</f>
        <v/>
      </c>
      <c r="F34" s="499" t="str">
        <f>IFERROR(VLOOKUP(E34,'G-7 Rivers Data'!$C$4:$D$8,2,FALSE),"")</f>
        <v/>
      </c>
      <c r="G34" s="145"/>
      <c r="H34" s="499" t="str">
        <f>IFERROR(INDEX('G-7 Rivers Data'!$H$4:$L$8,MATCH(C34,'G-7 Rivers Data'!$B$4:$B$8,0),MATCH(G34,'G-7 Rivers Data'!$H$3:$L$3,0)),"")</f>
        <v/>
      </c>
      <c r="I34" s="145"/>
      <c r="J34" s="540" t="str">
        <f>IF(I34="","",IF(VLOOKUP(I34,'G-7 Rivers Data'!$AG$4:$AI$9,2,FALSE)=0,"Spatial Data Missing ⚠",VLOOKUP(I34,'G-7 Rivers Data'!$AG$4:$AI$9,2,FALSE)))</f>
        <v/>
      </c>
      <c r="K34" s="499" t="str">
        <f>IF(I34="","",IF(VLOOKUP(I34,'G-7 Rivers Data'!$AG$4:$AI$9,3,FALSE)=0,"Spatial Data Missing ⚠",VLOOKUP(I34,'G-7 Rivers Data'!$AG$4:$AI$9,3,FALSE)))</f>
        <v/>
      </c>
      <c r="L34" s="635" t="str">
        <f>IFERROR(INDEX('G-7 Rivers Data'!$O$3:$O$7,MATCH(G34,'G-7 Rivers Data'!$N$3:$N$7,0)),"")</f>
        <v/>
      </c>
      <c r="M34" s="72"/>
      <c r="N34" s="195"/>
      <c r="O34" s="507" t="str">
        <f t="shared" si="1"/>
        <v/>
      </c>
      <c r="P34" s="521" t="str">
        <f t="shared" si="2"/>
        <v/>
      </c>
      <c r="Q34" s="564" t="str">
        <f>IFERROR(IF(P34="Check Data ⚠","Check Data ⚠",VLOOKUP(P34,'G-4 Temporal multipliers'!$A$4:$C$37,3,FALSE)),"")</f>
        <v/>
      </c>
      <c r="R34" s="498" t="str">
        <f>IF(C34="","",VLOOKUP(C34,'G-7 Rivers Data'!$B$4:$G$8,4,FALSE))</f>
        <v/>
      </c>
      <c r="S34" s="507" t="str">
        <f t="shared" si="3"/>
        <v/>
      </c>
      <c r="T34" s="540" t="str">
        <f t="shared" si="4"/>
        <v/>
      </c>
      <c r="U34" s="499" t="str">
        <f t="shared" si="5"/>
        <v/>
      </c>
      <c r="V34" s="71"/>
      <c r="W34" s="499" t="str">
        <f>IF(V34="","",IF(VLOOKUP(V34,'G-7 Rivers Data'!$AA$4:$AB$7,2,FALSE)=0,"Spatial Data Missing ⚠",VLOOKUP(V34,'G-7 Rivers Data'!$AA$4:$AB$7,2,FALSE)))</f>
        <v/>
      </c>
      <c r="X34" s="155"/>
      <c r="Y34" s="499" t="str">
        <f>IF(X34="","",IF(VLOOKUP(X34,'G-7 Rivers Data'!$AD$4:$AE$8,2,FALSE)=0,"Enrcoachment Data Missing ⚠",VLOOKUP(X34,'G-7 Rivers Data'!$AD$4:$AE$8,2,FALSE)))</f>
        <v/>
      </c>
      <c r="Z34" s="154"/>
      <c r="AA34" s="524" t="str">
        <f>IF(Z34="","",VLOOKUP(Z34,'G-7 Rivers Data'!$AO$4:$AP$7,2,FALSE))</f>
        <v/>
      </c>
      <c r="AB34" s="545" t="str">
        <f t="shared" si="6"/>
        <v/>
      </c>
      <c r="AC34" s="149"/>
      <c r="AD34" s="150"/>
      <c r="AK34" s="31" t="str">
        <f>IFERROR(INDEX('G-7 Rivers Data'!$AZ$3:$AZ$7,MATCH(C34,'G-7 Rivers Data'!$AY$3:$AY$7,0)),"")</f>
        <v/>
      </c>
    </row>
    <row r="35" spans="2:37" ht="14" x14ac:dyDescent="0.3">
      <c r="B35" s="141">
        <v>24</v>
      </c>
      <c r="C35" s="666"/>
      <c r="D35" s="172"/>
      <c r="E35" s="498" t="str">
        <f>IF(C35="","",VLOOKUP(C35,'G-7 Rivers Data'!$B$2:$Z$9,2,FALSE))</f>
        <v/>
      </c>
      <c r="F35" s="499" t="str">
        <f>IFERROR(VLOOKUP(E35,'G-7 Rivers Data'!$C$4:$D$8,2,FALSE),"")</f>
        <v/>
      </c>
      <c r="G35" s="145"/>
      <c r="H35" s="499" t="str">
        <f>IFERROR(INDEX('G-7 Rivers Data'!$H$4:$L$8,MATCH(C35,'G-7 Rivers Data'!$B$4:$B$8,0),MATCH(G35,'G-7 Rivers Data'!$H$3:$L$3,0)),"")</f>
        <v/>
      </c>
      <c r="I35" s="145"/>
      <c r="J35" s="540" t="str">
        <f>IF(I35="","",IF(VLOOKUP(I35,'G-7 Rivers Data'!$AG$4:$AI$9,2,FALSE)=0,"Spatial Data Missing ⚠",VLOOKUP(I35,'G-7 Rivers Data'!$AG$4:$AI$9,2,FALSE)))</f>
        <v/>
      </c>
      <c r="K35" s="499" t="str">
        <f>IF(I35="","",IF(VLOOKUP(I35,'G-7 Rivers Data'!$AG$4:$AI$9,3,FALSE)=0,"Spatial Data Missing ⚠",VLOOKUP(I35,'G-7 Rivers Data'!$AG$4:$AI$9,3,FALSE)))</f>
        <v/>
      </c>
      <c r="L35" s="635" t="str">
        <f>IFERROR(INDEX('G-7 Rivers Data'!$O$3:$O$7,MATCH(G35,'G-7 Rivers Data'!$N$3:$N$7,0)),"")</f>
        <v/>
      </c>
      <c r="M35" s="72"/>
      <c r="N35" s="195"/>
      <c r="O35" s="507" t="str">
        <f t="shared" si="1"/>
        <v/>
      </c>
      <c r="P35" s="521" t="str">
        <f t="shared" si="2"/>
        <v/>
      </c>
      <c r="Q35" s="564" t="str">
        <f>IFERROR(IF(P35="Check Data ⚠","Check Data ⚠",VLOOKUP(P35,'G-4 Temporal multipliers'!$A$4:$C$37,3,FALSE)),"")</f>
        <v/>
      </c>
      <c r="R35" s="498" t="str">
        <f>IF(C35="","",VLOOKUP(C35,'G-7 Rivers Data'!$B$4:$G$8,4,FALSE))</f>
        <v/>
      </c>
      <c r="S35" s="507" t="str">
        <f t="shared" si="3"/>
        <v/>
      </c>
      <c r="T35" s="540" t="str">
        <f t="shared" si="4"/>
        <v/>
      </c>
      <c r="U35" s="499" t="str">
        <f t="shared" si="5"/>
        <v/>
      </c>
      <c r="V35" s="71"/>
      <c r="W35" s="499" t="str">
        <f>IF(V35="","",IF(VLOOKUP(V35,'G-7 Rivers Data'!$AA$4:$AB$7,2,FALSE)=0,"Spatial Data Missing ⚠",VLOOKUP(V35,'G-7 Rivers Data'!$AA$4:$AB$7,2,FALSE)))</f>
        <v/>
      </c>
      <c r="X35" s="155"/>
      <c r="Y35" s="499" t="str">
        <f>IF(X35="","",IF(VLOOKUP(X35,'G-7 Rivers Data'!$AD$4:$AE$8,2,FALSE)=0,"Enrcoachment Data Missing ⚠",VLOOKUP(X35,'G-7 Rivers Data'!$AD$4:$AE$8,2,FALSE)))</f>
        <v/>
      </c>
      <c r="Z35" s="154"/>
      <c r="AA35" s="524" t="str">
        <f>IF(Z35="","",VLOOKUP(Z35,'G-7 Rivers Data'!$AO$4:$AP$7,2,FALSE))</f>
        <v/>
      </c>
      <c r="AB35" s="545" t="str">
        <f t="shared" si="6"/>
        <v/>
      </c>
      <c r="AC35" s="149"/>
      <c r="AD35" s="150"/>
      <c r="AK35" s="31" t="str">
        <f>IFERROR(INDEX('G-7 Rivers Data'!$AZ$3:$AZ$7,MATCH(C35,'G-7 Rivers Data'!$AY$3:$AY$7,0)),"")</f>
        <v/>
      </c>
    </row>
    <row r="36" spans="2:37" ht="14" x14ac:dyDescent="0.3">
      <c r="B36" s="141">
        <v>25</v>
      </c>
      <c r="C36" s="666"/>
      <c r="D36" s="172"/>
      <c r="E36" s="498" t="str">
        <f>IF(C36="","",VLOOKUP(C36,'G-7 Rivers Data'!$B$2:$Z$9,2,FALSE))</f>
        <v/>
      </c>
      <c r="F36" s="499" t="str">
        <f>IFERROR(VLOOKUP(E36,'G-7 Rivers Data'!$C$4:$D$8,2,FALSE),"")</f>
        <v/>
      </c>
      <c r="G36" s="145"/>
      <c r="H36" s="499" t="str">
        <f>IFERROR(INDEX('G-7 Rivers Data'!$H$4:$L$8,MATCH(C36,'G-7 Rivers Data'!$B$4:$B$8,0),MATCH(G36,'G-7 Rivers Data'!$H$3:$L$3,0)),"")</f>
        <v/>
      </c>
      <c r="I36" s="145"/>
      <c r="J36" s="540" t="str">
        <f>IF(I36="","",IF(VLOOKUP(I36,'G-7 Rivers Data'!$AG$4:$AI$9,2,FALSE)=0,"Spatial Data Missing ⚠",VLOOKUP(I36,'G-7 Rivers Data'!$AG$4:$AI$9,2,FALSE)))</f>
        <v/>
      </c>
      <c r="K36" s="499" t="str">
        <f>IF(I36="","",IF(VLOOKUP(I36,'G-7 Rivers Data'!$AG$4:$AI$9,3,FALSE)=0,"Spatial Data Missing ⚠",VLOOKUP(I36,'G-7 Rivers Data'!$AG$4:$AI$9,3,FALSE)))</f>
        <v/>
      </c>
      <c r="L36" s="635" t="str">
        <f>IFERROR(INDEX('G-7 Rivers Data'!$O$3:$O$7,MATCH(G36,'G-7 Rivers Data'!$N$3:$N$7,0)),"")</f>
        <v/>
      </c>
      <c r="M36" s="72"/>
      <c r="N36" s="195"/>
      <c r="O36" s="507" t="str">
        <f t="shared" si="1"/>
        <v/>
      </c>
      <c r="P36" s="521" t="str">
        <f t="shared" si="2"/>
        <v/>
      </c>
      <c r="Q36" s="564" t="str">
        <f>IFERROR(IF(P36="Check Data ⚠","Check Data ⚠",VLOOKUP(P36,'G-4 Temporal multipliers'!$A$4:$C$37,3,FALSE)),"")</f>
        <v/>
      </c>
      <c r="R36" s="498" t="str">
        <f>IF(C36="","",VLOOKUP(C36,'G-7 Rivers Data'!$B$4:$G$8,4,FALSE))</f>
        <v/>
      </c>
      <c r="S36" s="507" t="str">
        <f t="shared" si="3"/>
        <v/>
      </c>
      <c r="T36" s="540" t="str">
        <f t="shared" si="4"/>
        <v/>
      </c>
      <c r="U36" s="499" t="str">
        <f t="shared" si="5"/>
        <v/>
      </c>
      <c r="V36" s="71"/>
      <c r="W36" s="499" t="str">
        <f>IF(V36="","",IF(VLOOKUP(V36,'G-7 Rivers Data'!$AA$4:$AB$7,2,FALSE)=0,"Spatial Data Missing ⚠",VLOOKUP(V36,'G-7 Rivers Data'!$AA$4:$AB$7,2,FALSE)))</f>
        <v/>
      </c>
      <c r="X36" s="155"/>
      <c r="Y36" s="499" t="str">
        <f>IF(X36="","",IF(VLOOKUP(X36,'G-7 Rivers Data'!$AD$4:$AE$8,2,FALSE)=0,"Enrcoachment Data Missing ⚠",VLOOKUP(X36,'G-7 Rivers Data'!$AD$4:$AE$8,2,FALSE)))</f>
        <v/>
      </c>
      <c r="Z36" s="154"/>
      <c r="AA36" s="524" t="str">
        <f>IF(Z36="","",VLOOKUP(Z36,'G-7 Rivers Data'!$AO$4:$AP$7,2,FALSE))</f>
        <v/>
      </c>
      <c r="AB36" s="545" t="str">
        <f t="shared" si="6"/>
        <v/>
      </c>
      <c r="AC36" s="149"/>
      <c r="AD36" s="150"/>
      <c r="AK36" s="31" t="str">
        <f>IFERROR(INDEX('G-7 Rivers Data'!$AZ$3:$AZ$7,MATCH(C36,'G-7 Rivers Data'!$AY$3:$AY$7,0)),"")</f>
        <v/>
      </c>
    </row>
    <row r="37" spans="2:37" ht="14" x14ac:dyDescent="0.3">
      <c r="B37" s="141">
        <v>26</v>
      </c>
      <c r="C37" s="666"/>
      <c r="D37" s="172"/>
      <c r="E37" s="498" t="str">
        <f>IF(C37="","",VLOOKUP(C37,'G-7 Rivers Data'!$B$2:$Z$9,2,FALSE))</f>
        <v/>
      </c>
      <c r="F37" s="499" t="str">
        <f>IFERROR(VLOOKUP(E37,'G-7 Rivers Data'!$C$4:$D$8,2,FALSE),"")</f>
        <v/>
      </c>
      <c r="G37" s="145"/>
      <c r="H37" s="499" t="str">
        <f>IFERROR(INDEX('G-7 Rivers Data'!$H$4:$L$8,MATCH(C37,'G-7 Rivers Data'!$B$4:$B$8,0),MATCH(G37,'G-7 Rivers Data'!$H$3:$L$3,0)),"")</f>
        <v/>
      </c>
      <c r="I37" s="145"/>
      <c r="J37" s="540" t="str">
        <f>IF(I37="","",IF(VLOOKUP(I37,'G-7 Rivers Data'!$AG$4:$AI$9,2,FALSE)=0,"Spatial Data Missing ⚠",VLOOKUP(I37,'G-7 Rivers Data'!$AG$4:$AI$9,2,FALSE)))</f>
        <v/>
      </c>
      <c r="K37" s="499" t="str">
        <f>IF(I37="","",IF(VLOOKUP(I37,'G-7 Rivers Data'!$AG$4:$AI$9,3,FALSE)=0,"Spatial Data Missing ⚠",VLOOKUP(I37,'G-7 Rivers Data'!$AG$4:$AI$9,3,FALSE)))</f>
        <v/>
      </c>
      <c r="L37" s="635" t="str">
        <f>IFERROR(INDEX('G-7 Rivers Data'!$O$3:$O$7,MATCH(G37,'G-7 Rivers Data'!$N$3:$N$7,0)),"")</f>
        <v/>
      </c>
      <c r="M37" s="72"/>
      <c r="N37" s="195"/>
      <c r="O37" s="507" t="str">
        <f t="shared" si="1"/>
        <v/>
      </c>
      <c r="P37" s="521" t="str">
        <f t="shared" si="2"/>
        <v/>
      </c>
      <c r="Q37" s="564" t="str">
        <f>IFERROR(IF(P37="Check Data ⚠","Check Data ⚠",VLOOKUP(P37,'G-4 Temporal multipliers'!$A$4:$C$37,3,FALSE)),"")</f>
        <v/>
      </c>
      <c r="R37" s="498" t="str">
        <f>IF(C37="","",VLOOKUP(C37,'G-7 Rivers Data'!$B$4:$G$8,4,FALSE))</f>
        <v/>
      </c>
      <c r="S37" s="507" t="str">
        <f t="shared" si="3"/>
        <v/>
      </c>
      <c r="T37" s="540" t="str">
        <f t="shared" si="4"/>
        <v/>
      </c>
      <c r="U37" s="499" t="str">
        <f t="shared" si="5"/>
        <v/>
      </c>
      <c r="V37" s="71"/>
      <c r="W37" s="499" t="str">
        <f>IF(V37="","",IF(VLOOKUP(V37,'G-7 Rivers Data'!$AA$4:$AB$7,2,FALSE)=0,"Spatial Data Missing ⚠",VLOOKUP(V37,'G-7 Rivers Data'!$AA$4:$AB$7,2,FALSE)))</f>
        <v/>
      </c>
      <c r="X37" s="155"/>
      <c r="Y37" s="499" t="str">
        <f>IF(X37="","",IF(VLOOKUP(X37,'G-7 Rivers Data'!$AD$4:$AE$8,2,FALSE)=0,"Enrcoachment Data Missing ⚠",VLOOKUP(X37,'G-7 Rivers Data'!$AD$4:$AE$8,2,FALSE)))</f>
        <v/>
      </c>
      <c r="Z37" s="154"/>
      <c r="AA37" s="524" t="str">
        <f>IF(Z37="","",VLOOKUP(Z37,'G-7 Rivers Data'!$AO$4:$AP$7,2,FALSE))</f>
        <v/>
      </c>
      <c r="AB37" s="545" t="str">
        <f t="shared" si="6"/>
        <v/>
      </c>
      <c r="AC37" s="149"/>
      <c r="AD37" s="150"/>
      <c r="AK37" s="31" t="str">
        <f>IFERROR(INDEX('G-7 Rivers Data'!$AZ$3:$AZ$7,MATCH(C37,'G-7 Rivers Data'!$AY$3:$AY$7,0)),"")</f>
        <v/>
      </c>
    </row>
    <row r="38" spans="2:37" ht="14" x14ac:dyDescent="0.3">
      <c r="B38" s="141">
        <v>27</v>
      </c>
      <c r="C38" s="666"/>
      <c r="D38" s="172"/>
      <c r="E38" s="498" t="str">
        <f>IF(C38="","",VLOOKUP(C38,'G-7 Rivers Data'!$B$2:$Z$9,2,FALSE))</f>
        <v/>
      </c>
      <c r="F38" s="499" t="str">
        <f>IFERROR(VLOOKUP(E38,'G-7 Rivers Data'!$C$4:$D$8,2,FALSE),"")</f>
        <v/>
      </c>
      <c r="G38" s="145"/>
      <c r="H38" s="499" t="str">
        <f>IFERROR(INDEX('G-7 Rivers Data'!$H$4:$L$8,MATCH(C38,'G-7 Rivers Data'!$B$4:$B$8,0),MATCH(G38,'G-7 Rivers Data'!$H$3:$L$3,0)),"")</f>
        <v/>
      </c>
      <c r="I38" s="145"/>
      <c r="J38" s="540" t="str">
        <f>IF(I38="","",IF(VLOOKUP(I38,'G-7 Rivers Data'!$AG$4:$AI$9,2,FALSE)=0,"Spatial Data Missing ⚠",VLOOKUP(I38,'G-7 Rivers Data'!$AG$4:$AI$9,2,FALSE)))</f>
        <v/>
      </c>
      <c r="K38" s="499" t="str">
        <f>IF(I38="","",IF(VLOOKUP(I38,'G-7 Rivers Data'!$AG$4:$AI$9,3,FALSE)=0,"Spatial Data Missing ⚠",VLOOKUP(I38,'G-7 Rivers Data'!$AG$4:$AI$9,3,FALSE)))</f>
        <v/>
      </c>
      <c r="L38" s="635" t="str">
        <f>IFERROR(INDEX('G-7 Rivers Data'!$O$3:$O$7,MATCH(G38,'G-7 Rivers Data'!$N$3:$N$7,0)),"")</f>
        <v/>
      </c>
      <c r="M38" s="72"/>
      <c r="N38" s="195"/>
      <c r="O38" s="507" t="str">
        <f t="shared" si="1"/>
        <v/>
      </c>
      <c r="P38" s="521" t="str">
        <f t="shared" si="2"/>
        <v/>
      </c>
      <c r="Q38" s="564" t="str">
        <f>IFERROR(IF(P38="Check Data ⚠","Check Data ⚠",VLOOKUP(P38,'G-4 Temporal multipliers'!$A$4:$C$37,3,FALSE)),"")</f>
        <v/>
      </c>
      <c r="R38" s="498" t="str">
        <f>IF(C38="","",VLOOKUP(C38,'G-7 Rivers Data'!$B$4:$G$8,4,FALSE))</f>
        <v/>
      </c>
      <c r="S38" s="507" t="str">
        <f t="shared" si="3"/>
        <v/>
      </c>
      <c r="T38" s="540" t="str">
        <f t="shared" si="4"/>
        <v/>
      </c>
      <c r="U38" s="499" t="str">
        <f t="shared" si="5"/>
        <v/>
      </c>
      <c r="V38" s="71"/>
      <c r="W38" s="499" t="str">
        <f>IF(V38="","",IF(VLOOKUP(V38,'G-7 Rivers Data'!$AA$4:$AB$7,2,FALSE)=0,"Spatial Data Missing ⚠",VLOOKUP(V38,'G-7 Rivers Data'!$AA$4:$AB$7,2,FALSE)))</f>
        <v/>
      </c>
      <c r="X38" s="155"/>
      <c r="Y38" s="499" t="str">
        <f>IF(X38="","",IF(VLOOKUP(X38,'G-7 Rivers Data'!$AD$4:$AE$8,2,FALSE)=0,"Enrcoachment Data Missing ⚠",VLOOKUP(X38,'G-7 Rivers Data'!$AD$4:$AE$8,2,FALSE)))</f>
        <v/>
      </c>
      <c r="Z38" s="154"/>
      <c r="AA38" s="524" t="str">
        <f>IF(Z38="","",VLOOKUP(Z38,'G-7 Rivers Data'!$AO$4:$AP$7,2,FALSE))</f>
        <v/>
      </c>
      <c r="AB38" s="545" t="str">
        <f t="shared" si="6"/>
        <v/>
      </c>
      <c r="AC38" s="149"/>
      <c r="AD38" s="150"/>
      <c r="AK38" s="31" t="str">
        <f>IFERROR(INDEX('G-7 Rivers Data'!$AZ$3:$AZ$7,MATCH(C38,'G-7 Rivers Data'!$AY$3:$AY$7,0)),"")</f>
        <v/>
      </c>
    </row>
    <row r="39" spans="2:37" ht="14" x14ac:dyDescent="0.3">
      <c r="B39" s="141">
        <v>28</v>
      </c>
      <c r="C39" s="666"/>
      <c r="D39" s="172"/>
      <c r="E39" s="498" t="str">
        <f>IF(C39="","",VLOOKUP(C39,'G-7 Rivers Data'!$B$2:$Z$9,2,FALSE))</f>
        <v/>
      </c>
      <c r="F39" s="499" t="str">
        <f>IFERROR(VLOOKUP(E39,'G-7 Rivers Data'!$C$4:$D$8,2,FALSE),"")</f>
        <v/>
      </c>
      <c r="G39" s="145"/>
      <c r="H39" s="499" t="str">
        <f>IFERROR(INDEX('G-7 Rivers Data'!$H$4:$L$8,MATCH(C39,'G-7 Rivers Data'!$B$4:$B$8,0),MATCH(G39,'G-7 Rivers Data'!$H$3:$L$3,0)),"")</f>
        <v/>
      </c>
      <c r="I39" s="145"/>
      <c r="J39" s="540" t="str">
        <f>IF(I39="","",IF(VLOOKUP(I39,'G-7 Rivers Data'!$AG$4:$AI$9,2,FALSE)=0,"Spatial Data Missing ⚠",VLOOKUP(I39,'G-7 Rivers Data'!$AG$4:$AI$9,2,FALSE)))</f>
        <v/>
      </c>
      <c r="K39" s="499" t="str">
        <f>IF(I39="","",IF(VLOOKUP(I39,'G-7 Rivers Data'!$AG$4:$AI$9,3,FALSE)=0,"Spatial Data Missing ⚠",VLOOKUP(I39,'G-7 Rivers Data'!$AG$4:$AI$9,3,FALSE)))</f>
        <v/>
      </c>
      <c r="L39" s="635" t="str">
        <f>IFERROR(INDEX('G-7 Rivers Data'!$O$3:$O$7,MATCH(G39,'G-7 Rivers Data'!$N$3:$N$7,0)),"")</f>
        <v/>
      </c>
      <c r="M39" s="72"/>
      <c r="N39" s="195"/>
      <c r="O39" s="507" t="str">
        <f t="shared" si="1"/>
        <v/>
      </c>
      <c r="P39" s="521" t="str">
        <f t="shared" si="2"/>
        <v/>
      </c>
      <c r="Q39" s="564" t="str">
        <f>IFERROR(IF(P39="Check Data ⚠","Check Data ⚠",VLOOKUP(P39,'G-4 Temporal multipliers'!$A$4:$C$37,3,FALSE)),"")</f>
        <v/>
      </c>
      <c r="R39" s="498" t="str">
        <f>IF(C39="","",VLOOKUP(C39,'G-7 Rivers Data'!$B$4:$G$8,4,FALSE))</f>
        <v/>
      </c>
      <c r="S39" s="507" t="str">
        <f t="shared" si="3"/>
        <v/>
      </c>
      <c r="T39" s="540" t="str">
        <f t="shared" si="4"/>
        <v/>
      </c>
      <c r="U39" s="499" t="str">
        <f t="shared" si="5"/>
        <v/>
      </c>
      <c r="V39" s="71"/>
      <c r="W39" s="499" t="str">
        <f>IF(V39="","",IF(VLOOKUP(V39,'G-7 Rivers Data'!$AA$4:$AB$7,2,FALSE)=0,"Spatial Data Missing ⚠",VLOOKUP(V39,'G-7 Rivers Data'!$AA$4:$AB$7,2,FALSE)))</f>
        <v/>
      </c>
      <c r="X39" s="155"/>
      <c r="Y39" s="499" t="str">
        <f>IF(X39="","",IF(VLOOKUP(X39,'G-7 Rivers Data'!$AD$4:$AE$8,2,FALSE)=0,"Enrcoachment Data Missing ⚠",VLOOKUP(X39,'G-7 Rivers Data'!$AD$4:$AE$8,2,FALSE)))</f>
        <v/>
      </c>
      <c r="Z39" s="154"/>
      <c r="AA39" s="524" t="str">
        <f>IF(Z39="","",VLOOKUP(Z39,'G-7 Rivers Data'!$AO$4:$AP$7,2,FALSE))</f>
        <v/>
      </c>
      <c r="AB39" s="545" t="str">
        <f t="shared" si="6"/>
        <v/>
      </c>
      <c r="AC39" s="149"/>
      <c r="AD39" s="150"/>
      <c r="AK39" s="31" t="str">
        <f>IFERROR(INDEX('G-7 Rivers Data'!$AZ$3:$AZ$7,MATCH(C39,'G-7 Rivers Data'!$AY$3:$AY$7,0)),"")</f>
        <v/>
      </c>
    </row>
    <row r="40" spans="2:37" ht="14" x14ac:dyDescent="0.3">
      <c r="B40" s="141">
        <v>29</v>
      </c>
      <c r="C40" s="666"/>
      <c r="D40" s="172"/>
      <c r="E40" s="498" t="str">
        <f>IF(C40="","",VLOOKUP(C40,'G-7 Rivers Data'!$B$2:$Z$9,2,FALSE))</f>
        <v/>
      </c>
      <c r="F40" s="499" t="str">
        <f>IFERROR(VLOOKUP(E40,'G-7 Rivers Data'!$C$4:$D$8,2,FALSE),"")</f>
        <v/>
      </c>
      <c r="G40" s="145"/>
      <c r="H40" s="499" t="str">
        <f>IFERROR(INDEX('G-7 Rivers Data'!$H$4:$L$8,MATCH(C40,'G-7 Rivers Data'!$B$4:$B$8,0),MATCH(G40,'G-7 Rivers Data'!$H$3:$L$3,0)),"")</f>
        <v/>
      </c>
      <c r="I40" s="145"/>
      <c r="J40" s="540" t="str">
        <f>IF(I40="","",IF(VLOOKUP(I40,'G-7 Rivers Data'!$AG$4:$AI$9,2,FALSE)=0,"Spatial Data Missing ⚠",VLOOKUP(I40,'G-7 Rivers Data'!$AG$4:$AI$9,2,FALSE)))</f>
        <v/>
      </c>
      <c r="K40" s="499" t="str">
        <f>IF(I40="","",IF(VLOOKUP(I40,'G-7 Rivers Data'!$AG$4:$AI$9,3,FALSE)=0,"Spatial Data Missing ⚠",VLOOKUP(I40,'G-7 Rivers Data'!$AG$4:$AI$9,3,FALSE)))</f>
        <v/>
      </c>
      <c r="L40" s="635" t="str">
        <f>IFERROR(INDEX('G-7 Rivers Data'!$O$3:$O$7,MATCH(G40,'G-7 Rivers Data'!$N$3:$N$7,0)),"")</f>
        <v/>
      </c>
      <c r="M40" s="72"/>
      <c r="N40" s="195"/>
      <c r="O40" s="507" t="str">
        <f t="shared" si="1"/>
        <v/>
      </c>
      <c r="P40" s="521" t="str">
        <f t="shared" si="2"/>
        <v/>
      </c>
      <c r="Q40" s="564" t="str">
        <f>IFERROR(IF(P40="Check Data ⚠","Check Data ⚠",VLOOKUP(P40,'G-4 Temporal multipliers'!$A$4:$C$37,3,FALSE)),"")</f>
        <v/>
      </c>
      <c r="R40" s="498" t="str">
        <f>IF(C40="","",VLOOKUP(C40,'G-7 Rivers Data'!$B$4:$G$8,4,FALSE))</f>
        <v/>
      </c>
      <c r="S40" s="507" t="str">
        <f t="shared" si="3"/>
        <v/>
      </c>
      <c r="T40" s="540" t="str">
        <f t="shared" si="4"/>
        <v/>
      </c>
      <c r="U40" s="499" t="str">
        <f t="shared" si="5"/>
        <v/>
      </c>
      <c r="V40" s="71"/>
      <c r="W40" s="499" t="str">
        <f>IF(V40="","",IF(VLOOKUP(V40,'G-7 Rivers Data'!$AA$4:$AB$7,2,FALSE)=0,"Spatial Data Missing ⚠",VLOOKUP(V40,'G-7 Rivers Data'!$AA$4:$AB$7,2,FALSE)))</f>
        <v/>
      </c>
      <c r="X40" s="155"/>
      <c r="Y40" s="499" t="str">
        <f>IF(X40="","",IF(VLOOKUP(X40,'G-7 Rivers Data'!$AD$4:$AE$8,2,FALSE)=0,"Enrcoachment Data Missing ⚠",VLOOKUP(X40,'G-7 Rivers Data'!$AD$4:$AE$8,2,FALSE)))</f>
        <v/>
      </c>
      <c r="Z40" s="154"/>
      <c r="AA40" s="524" t="str">
        <f>IF(Z40="","",VLOOKUP(Z40,'G-7 Rivers Data'!$AO$4:$AP$7,2,FALSE))</f>
        <v/>
      </c>
      <c r="AB40" s="545" t="str">
        <f t="shared" si="6"/>
        <v/>
      </c>
      <c r="AC40" s="149"/>
      <c r="AD40" s="150"/>
      <c r="AK40" s="31" t="str">
        <f>IFERROR(INDEX('G-7 Rivers Data'!$AZ$3:$AZ$7,MATCH(C40,'G-7 Rivers Data'!$AY$3:$AY$7,0)),"")</f>
        <v/>
      </c>
    </row>
    <row r="41" spans="2:37" ht="14" x14ac:dyDescent="0.3">
      <c r="B41" s="141">
        <v>30</v>
      </c>
      <c r="C41" s="666"/>
      <c r="D41" s="172"/>
      <c r="E41" s="498" t="str">
        <f>IF(C41="","",VLOOKUP(C41,'G-7 Rivers Data'!$B$2:$Z$9,2,FALSE))</f>
        <v/>
      </c>
      <c r="F41" s="499" t="str">
        <f>IFERROR(VLOOKUP(E41,'G-7 Rivers Data'!$C$4:$D$8,2,FALSE),"")</f>
        <v/>
      </c>
      <c r="G41" s="145"/>
      <c r="H41" s="499" t="str">
        <f>IFERROR(INDEX('G-7 Rivers Data'!$H$4:$L$8,MATCH(C41,'G-7 Rivers Data'!$B$4:$B$8,0),MATCH(G41,'G-7 Rivers Data'!$H$3:$L$3,0)),"")</f>
        <v/>
      </c>
      <c r="I41" s="145"/>
      <c r="J41" s="540" t="str">
        <f>IF(I41="","",IF(VLOOKUP(I41,'G-7 Rivers Data'!$AG$4:$AI$9,2,FALSE)=0,"Spatial Data Missing ⚠",VLOOKUP(I41,'G-7 Rivers Data'!$AG$4:$AI$9,2,FALSE)))</f>
        <v/>
      </c>
      <c r="K41" s="499" t="str">
        <f>IF(I41="","",IF(VLOOKUP(I41,'G-7 Rivers Data'!$AG$4:$AI$9,3,FALSE)=0,"Spatial Data Missing ⚠",VLOOKUP(I41,'G-7 Rivers Data'!$AG$4:$AI$9,3,FALSE)))</f>
        <v/>
      </c>
      <c r="L41" s="635" t="str">
        <f>IFERROR(INDEX('G-7 Rivers Data'!$O$3:$O$7,MATCH(G41,'G-7 Rivers Data'!$N$3:$N$7,0)),"")</f>
        <v/>
      </c>
      <c r="M41" s="72"/>
      <c r="N41" s="195"/>
      <c r="O41" s="507" t="str">
        <f t="shared" si="1"/>
        <v/>
      </c>
      <c r="P41" s="521" t="str">
        <f t="shared" si="2"/>
        <v/>
      </c>
      <c r="Q41" s="564" t="str">
        <f>IFERROR(IF(P41="Check Data ⚠","Check Data ⚠",VLOOKUP(P41,'G-4 Temporal multipliers'!$A$4:$C$37,3,FALSE)),"")</f>
        <v/>
      </c>
      <c r="R41" s="498" t="str">
        <f>IF(C41="","",VLOOKUP(C41,'G-7 Rivers Data'!$B$4:$G$8,4,FALSE))</f>
        <v/>
      </c>
      <c r="S41" s="507" t="str">
        <f t="shared" si="3"/>
        <v/>
      </c>
      <c r="T41" s="540" t="str">
        <f t="shared" si="4"/>
        <v/>
      </c>
      <c r="U41" s="499" t="str">
        <f t="shared" si="5"/>
        <v/>
      </c>
      <c r="V41" s="71"/>
      <c r="W41" s="499" t="str">
        <f>IF(V41="","",IF(VLOOKUP(V41,'G-7 Rivers Data'!$AA$4:$AB$7,2,FALSE)=0,"Spatial Data Missing ⚠",VLOOKUP(V41,'G-7 Rivers Data'!$AA$4:$AB$7,2,FALSE)))</f>
        <v/>
      </c>
      <c r="X41" s="155"/>
      <c r="Y41" s="499" t="str">
        <f>IF(X41="","",IF(VLOOKUP(X41,'G-7 Rivers Data'!$AD$4:$AE$8,2,FALSE)=0,"Enrcoachment Data Missing ⚠",VLOOKUP(X41,'G-7 Rivers Data'!$AD$4:$AE$8,2,FALSE)))</f>
        <v/>
      </c>
      <c r="Z41" s="154"/>
      <c r="AA41" s="524" t="str">
        <f>IF(Z41="","",VLOOKUP(Z41,'G-7 Rivers Data'!$AO$4:$AP$7,2,FALSE))</f>
        <v/>
      </c>
      <c r="AB41" s="545" t="str">
        <f t="shared" si="6"/>
        <v/>
      </c>
      <c r="AC41" s="149"/>
      <c r="AD41" s="150"/>
      <c r="AK41" s="31" t="str">
        <f>IFERROR(INDEX('G-7 Rivers Data'!$AZ$3:$AZ$7,MATCH(C41,'G-7 Rivers Data'!$AY$3:$AY$7,0)),"")</f>
        <v/>
      </c>
    </row>
    <row r="42" spans="2:37" ht="14" x14ac:dyDescent="0.3">
      <c r="B42" s="141">
        <v>31</v>
      </c>
      <c r="C42" s="666"/>
      <c r="D42" s="172"/>
      <c r="E42" s="498" t="str">
        <f>IF(C42="","",VLOOKUP(C42,'G-7 Rivers Data'!$B$2:$Z$9,2,FALSE))</f>
        <v/>
      </c>
      <c r="F42" s="499" t="str">
        <f>IFERROR(VLOOKUP(E42,'G-7 Rivers Data'!$C$4:$D$8,2,FALSE),"")</f>
        <v/>
      </c>
      <c r="G42" s="145"/>
      <c r="H42" s="499" t="str">
        <f>IFERROR(INDEX('G-7 Rivers Data'!$H$4:$L$8,MATCH(C42,'G-7 Rivers Data'!$B$4:$B$8,0),MATCH(G42,'G-7 Rivers Data'!$H$3:$L$3,0)),"")</f>
        <v/>
      </c>
      <c r="I42" s="145"/>
      <c r="J42" s="540" t="str">
        <f>IF(I42="","",IF(VLOOKUP(I42,'G-7 Rivers Data'!$AG$4:$AI$9,2,FALSE)=0,"Spatial Data Missing ⚠",VLOOKUP(I42,'G-7 Rivers Data'!$AG$4:$AI$9,2,FALSE)))</f>
        <v/>
      </c>
      <c r="K42" s="499" t="str">
        <f>IF(I42="","",IF(VLOOKUP(I42,'G-7 Rivers Data'!$AG$4:$AI$9,3,FALSE)=0,"Spatial Data Missing ⚠",VLOOKUP(I42,'G-7 Rivers Data'!$AG$4:$AI$9,3,FALSE)))</f>
        <v/>
      </c>
      <c r="L42" s="635" t="str">
        <f>IFERROR(INDEX('G-7 Rivers Data'!$O$3:$O$7,MATCH(G42,'G-7 Rivers Data'!$N$3:$N$7,0)),"")</f>
        <v/>
      </c>
      <c r="M42" s="72"/>
      <c r="N42" s="195"/>
      <c r="O42" s="507" t="str">
        <f t="shared" si="1"/>
        <v/>
      </c>
      <c r="P42" s="521" t="str">
        <f t="shared" si="2"/>
        <v/>
      </c>
      <c r="Q42" s="564" t="str">
        <f>IFERROR(IF(P42="Check Data ⚠","Check Data ⚠",VLOOKUP(P42,'G-4 Temporal multipliers'!$A$4:$C$37,3,FALSE)),"")</f>
        <v/>
      </c>
      <c r="R42" s="498" t="str">
        <f>IF(C42="","",VLOOKUP(C42,'G-7 Rivers Data'!$B$4:$G$8,4,FALSE))</f>
        <v/>
      </c>
      <c r="S42" s="507" t="str">
        <f t="shared" si="3"/>
        <v/>
      </c>
      <c r="T42" s="540" t="str">
        <f t="shared" si="4"/>
        <v/>
      </c>
      <c r="U42" s="499" t="str">
        <f t="shared" si="5"/>
        <v/>
      </c>
      <c r="V42" s="71"/>
      <c r="W42" s="499" t="str">
        <f>IF(V42="","",IF(VLOOKUP(V42,'G-7 Rivers Data'!$AA$4:$AB$7,2,FALSE)=0,"Spatial Data Missing ⚠",VLOOKUP(V42,'G-7 Rivers Data'!$AA$4:$AB$7,2,FALSE)))</f>
        <v/>
      </c>
      <c r="X42" s="155"/>
      <c r="Y42" s="499" t="str">
        <f>IF(X42="","",IF(VLOOKUP(X42,'G-7 Rivers Data'!$AD$4:$AE$8,2,FALSE)=0,"Enrcoachment Data Missing ⚠",VLOOKUP(X42,'G-7 Rivers Data'!$AD$4:$AE$8,2,FALSE)))</f>
        <v/>
      </c>
      <c r="Z42" s="154"/>
      <c r="AA42" s="524" t="str">
        <f>IF(Z42="","",VLOOKUP(Z42,'G-7 Rivers Data'!$AO$4:$AP$7,2,FALSE))</f>
        <v/>
      </c>
      <c r="AB42" s="545" t="str">
        <f t="shared" si="6"/>
        <v/>
      </c>
      <c r="AC42" s="149"/>
      <c r="AD42" s="150"/>
      <c r="AK42" s="31" t="str">
        <f>IFERROR(INDEX('G-7 Rivers Data'!$AZ$3:$AZ$7,MATCH(C42,'G-7 Rivers Data'!$AY$3:$AY$7,0)),"")</f>
        <v/>
      </c>
    </row>
    <row r="43" spans="2:37" ht="14" x14ac:dyDescent="0.3">
      <c r="B43" s="141">
        <v>32</v>
      </c>
      <c r="C43" s="666"/>
      <c r="D43" s="172"/>
      <c r="E43" s="498" t="str">
        <f>IF(C43="","",VLOOKUP(C43,'G-7 Rivers Data'!$B$2:$Z$9,2,FALSE))</f>
        <v/>
      </c>
      <c r="F43" s="499" t="str">
        <f>IFERROR(VLOOKUP(E43,'G-7 Rivers Data'!$C$4:$D$8,2,FALSE),"")</f>
        <v/>
      </c>
      <c r="G43" s="145"/>
      <c r="H43" s="499" t="str">
        <f>IFERROR(INDEX('G-7 Rivers Data'!$H$4:$L$8,MATCH(C43,'G-7 Rivers Data'!$B$4:$B$8,0),MATCH(G43,'G-7 Rivers Data'!$H$3:$L$3,0)),"")</f>
        <v/>
      </c>
      <c r="I43" s="145"/>
      <c r="J43" s="540" t="str">
        <f>IF(I43="","",IF(VLOOKUP(I43,'G-7 Rivers Data'!$AG$4:$AI$9,2,FALSE)=0,"Spatial Data Missing ⚠",VLOOKUP(I43,'G-7 Rivers Data'!$AG$4:$AI$9,2,FALSE)))</f>
        <v/>
      </c>
      <c r="K43" s="499" t="str">
        <f>IF(I43="","",IF(VLOOKUP(I43,'G-7 Rivers Data'!$AG$4:$AI$9,3,FALSE)=0,"Spatial Data Missing ⚠",VLOOKUP(I43,'G-7 Rivers Data'!$AG$4:$AI$9,3,FALSE)))</f>
        <v/>
      </c>
      <c r="L43" s="635" t="str">
        <f>IFERROR(INDEX('G-7 Rivers Data'!$O$3:$O$7,MATCH(G43,'G-7 Rivers Data'!$N$3:$N$7,0)),"")</f>
        <v/>
      </c>
      <c r="M43" s="72"/>
      <c r="N43" s="195"/>
      <c r="O43" s="507" t="str">
        <f t="shared" si="1"/>
        <v/>
      </c>
      <c r="P43" s="521" t="str">
        <f t="shared" si="2"/>
        <v/>
      </c>
      <c r="Q43" s="564" t="str">
        <f>IFERROR(IF(P43="Check Data ⚠","Check Data ⚠",VLOOKUP(P43,'G-4 Temporal multipliers'!$A$4:$C$37,3,FALSE)),"")</f>
        <v/>
      </c>
      <c r="R43" s="498" t="str">
        <f>IF(C43="","",VLOOKUP(C43,'G-7 Rivers Data'!$B$4:$G$8,4,FALSE))</f>
        <v/>
      </c>
      <c r="S43" s="507" t="str">
        <f t="shared" si="3"/>
        <v/>
      </c>
      <c r="T43" s="540" t="str">
        <f t="shared" si="4"/>
        <v/>
      </c>
      <c r="U43" s="499" t="str">
        <f t="shared" si="5"/>
        <v/>
      </c>
      <c r="V43" s="71"/>
      <c r="W43" s="499" t="str">
        <f>IF(V43="","",IF(VLOOKUP(V43,'G-7 Rivers Data'!$AA$4:$AB$7,2,FALSE)=0,"Spatial Data Missing ⚠",VLOOKUP(V43,'G-7 Rivers Data'!$AA$4:$AB$7,2,FALSE)))</f>
        <v/>
      </c>
      <c r="X43" s="155"/>
      <c r="Y43" s="499" t="str">
        <f>IF(X43="","",IF(VLOOKUP(X43,'G-7 Rivers Data'!$AD$4:$AE$8,2,FALSE)=0,"Enrcoachment Data Missing ⚠",VLOOKUP(X43,'G-7 Rivers Data'!$AD$4:$AE$8,2,FALSE)))</f>
        <v/>
      </c>
      <c r="Z43" s="154"/>
      <c r="AA43" s="524" t="str">
        <f>IF(Z43="","",VLOOKUP(Z43,'G-7 Rivers Data'!$AO$4:$AP$7,2,FALSE))</f>
        <v/>
      </c>
      <c r="AB43" s="545" t="str">
        <f t="shared" si="6"/>
        <v/>
      </c>
      <c r="AC43" s="149"/>
      <c r="AD43" s="150"/>
      <c r="AK43" s="31" t="str">
        <f>IFERROR(INDEX('G-7 Rivers Data'!$AZ$3:$AZ$7,MATCH(C43,'G-7 Rivers Data'!$AY$3:$AY$7,0)),"")</f>
        <v/>
      </c>
    </row>
    <row r="44" spans="2:37" ht="14" x14ac:dyDescent="0.3">
      <c r="B44" s="141">
        <v>33</v>
      </c>
      <c r="C44" s="666"/>
      <c r="D44" s="172"/>
      <c r="E44" s="498" t="str">
        <f>IF(C44="","",VLOOKUP(C44,'G-7 Rivers Data'!$B$2:$Z$9,2,FALSE))</f>
        <v/>
      </c>
      <c r="F44" s="499" t="str">
        <f>IFERROR(VLOOKUP(E44,'G-7 Rivers Data'!$C$4:$D$8,2,FALSE),"")</f>
        <v/>
      </c>
      <c r="G44" s="145"/>
      <c r="H44" s="499" t="str">
        <f>IFERROR(INDEX('G-7 Rivers Data'!$H$4:$L$8,MATCH(C44,'G-7 Rivers Data'!$B$4:$B$8,0),MATCH(G44,'G-7 Rivers Data'!$H$3:$L$3,0)),"")</f>
        <v/>
      </c>
      <c r="I44" s="145"/>
      <c r="J44" s="540" t="str">
        <f>IF(I44="","",IF(VLOOKUP(I44,'G-7 Rivers Data'!$AG$4:$AI$9,2,FALSE)=0,"Spatial Data Missing ⚠",VLOOKUP(I44,'G-7 Rivers Data'!$AG$4:$AI$9,2,FALSE)))</f>
        <v/>
      </c>
      <c r="K44" s="499" t="str">
        <f>IF(I44="","",IF(VLOOKUP(I44,'G-7 Rivers Data'!$AG$4:$AI$9,3,FALSE)=0,"Spatial Data Missing ⚠",VLOOKUP(I44,'G-7 Rivers Data'!$AG$4:$AI$9,3,FALSE)))</f>
        <v/>
      </c>
      <c r="L44" s="635" t="str">
        <f>IFERROR(INDEX('G-7 Rivers Data'!$O$3:$O$7,MATCH(G44,'G-7 Rivers Data'!$N$3:$N$7,0)),"")</f>
        <v/>
      </c>
      <c r="M44" s="72"/>
      <c r="N44" s="195"/>
      <c r="O44" s="507" t="str">
        <f t="shared" si="1"/>
        <v/>
      </c>
      <c r="P44" s="521" t="str">
        <f t="shared" si="2"/>
        <v/>
      </c>
      <c r="Q44" s="564" t="str">
        <f>IFERROR(IF(P44="Check Data ⚠","Check Data ⚠",VLOOKUP(P44,'G-4 Temporal multipliers'!$A$4:$C$37,3,FALSE)),"")</f>
        <v/>
      </c>
      <c r="R44" s="498" t="str">
        <f>IF(C44="","",VLOOKUP(C44,'G-7 Rivers Data'!$B$4:$G$8,4,FALSE))</f>
        <v/>
      </c>
      <c r="S44" s="507" t="str">
        <f t="shared" si="3"/>
        <v/>
      </c>
      <c r="T44" s="540" t="str">
        <f t="shared" si="4"/>
        <v/>
      </c>
      <c r="U44" s="499" t="str">
        <f t="shared" si="5"/>
        <v/>
      </c>
      <c r="V44" s="71"/>
      <c r="W44" s="499" t="str">
        <f>IF(V44="","",IF(VLOOKUP(V44,'G-7 Rivers Data'!$AA$4:$AB$7,2,FALSE)=0,"Spatial Data Missing ⚠",VLOOKUP(V44,'G-7 Rivers Data'!$AA$4:$AB$7,2,FALSE)))</f>
        <v/>
      </c>
      <c r="X44" s="155"/>
      <c r="Y44" s="499" t="str">
        <f>IF(X44="","",IF(VLOOKUP(X44,'G-7 Rivers Data'!$AD$4:$AE$8,2,FALSE)=0,"Enrcoachment Data Missing ⚠",VLOOKUP(X44,'G-7 Rivers Data'!$AD$4:$AE$8,2,FALSE)))</f>
        <v/>
      </c>
      <c r="Z44" s="154"/>
      <c r="AA44" s="524" t="str">
        <f>IF(Z44="","",VLOOKUP(Z44,'G-7 Rivers Data'!$AO$4:$AP$7,2,FALSE))</f>
        <v/>
      </c>
      <c r="AB44" s="545" t="str">
        <f t="shared" si="6"/>
        <v/>
      </c>
      <c r="AC44" s="149"/>
      <c r="AD44" s="150"/>
      <c r="AK44" s="31" t="str">
        <f>IFERROR(INDEX('G-7 Rivers Data'!$AZ$3:$AZ$7,MATCH(C44,'G-7 Rivers Data'!$AY$3:$AY$7,0)),"")</f>
        <v/>
      </c>
    </row>
    <row r="45" spans="2:37" ht="14" x14ac:dyDescent="0.3">
      <c r="B45" s="141">
        <v>34</v>
      </c>
      <c r="C45" s="666"/>
      <c r="D45" s="172"/>
      <c r="E45" s="498" t="str">
        <f>IF(C45="","",VLOOKUP(C45,'G-7 Rivers Data'!$B$2:$Z$9,2,FALSE))</f>
        <v/>
      </c>
      <c r="F45" s="499" t="str">
        <f>IFERROR(VLOOKUP(E45,'G-7 Rivers Data'!$C$4:$D$8,2,FALSE),"")</f>
        <v/>
      </c>
      <c r="G45" s="145"/>
      <c r="H45" s="499" t="str">
        <f>IFERROR(INDEX('G-7 Rivers Data'!$H$4:$L$8,MATCH(C45,'G-7 Rivers Data'!$B$4:$B$8,0),MATCH(G45,'G-7 Rivers Data'!$H$3:$L$3,0)),"")</f>
        <v/>
      </c>
      <c r="I45" s="145"/>
      <c r="J45" s="540" t="str">
        <f>IF(I45="","",IF(VLOOKUP(I45,'G-7 Rivers Data'!$AG$4:$AI$9,2,FALSE)=0,"Spatial Data Missing ⚠",VLOOKUP(I45,'G-7 Rivers Data'!$AG$4:$AI$9,2,FALSE)))</f>
        <v/>
      </c>
      <c r="K45" s="499" t="str">
        <f>IF(I45="","",IF(VLOOKUP(I45,'G-7 Rivers Data'!$AG$4:$AI$9,3,FALSE)=0,"Spatial Data Missing ⚠",VLOOKUP(I45,'G-7 Rivers Data'!$AG$4:$AI$9,3,FALSE)))</f>
        <v/>
      </c>
      <c r="L45" s="635" t="str">
        <f>IFERROR(INDEX('G-7 Rivers Data'!$O$3:$O$7,MATCH(G45,'G-7 Rivers Data'!$N$3:$N$7,0)),"")</f>
        <v/>
      </c>
      <c r="M45" s="72"/>
      <c r="N45" s="195"/>
      <c r="O45" s="507" t="str">
        <f t="shared" si="1"/>
        <v/>
      </c>
      <c r="P45" s="521" t="str">
        <f t="shared" si="2"/>
        <v/>
      </c>
      <c r="Q45" s="564" t="str">
        <f>IFERROR(IF(P45="Check Data ⚠","Check Data ⚠",VLOOKUP(P45,'G-4 Temporal multipliers'!$A$4:$C$37,3,FALSE)),"")</f>
        <v/>
      </c>
      <c r="R45" s="498" t="str">
        <f>IF(C45="","",VLOOKUP(C45,'G-7 Rivers Data'!$B$4:$G$8,4,FALSE))</f>
        <v/>
      </c>
      <c r="S45" s="507" t="str">
        <f t="shared" si="3"/>
        <v/>
      </c>
      <c r="T45" s="540" t="str">
        <f t="shared" si="4"/>
        <v/>
      </c>
      <c r="U45" s="499" t="str">
        <f t="shared" si="5"/>
        <v/>
      </c>
      <c r="V45" s="71"/>
      <c r="W45" s="499" t="str">
        <f>IF(V45="","",IF(VLOOKUP(V45,'G-7 Rivers Data'!$AA$4:$AB$7,2,FALSE)=0,"Spatial Data Missing ⚠",VLOOKUP(V45,'G-7 Rivers Data'!$AA$4:$AB$7,2,FALSE)))</f>
        <v/>
      </c>
      <c r="X45" s="155"/>
      <c r="Y45" s="499" t="str">
        <f>IF(X45="","",IF(VLOOKUP(X45,'G-7 Rivers Data'!$AD$4:$AE$8,2,FALSE)=0,"Enrcoachment Data Missing ⚠",VLOOKUP(X45,'G-7 Rivers Data'!$AD$4:$AE$8,2,FALSE)))</f>
        <v/>
      </c>
      <c r="Z45" s="154"/>
      <c r="AA45" s="524" t="str">
        <f>IF(Z45="","",VLOOKUP(Z45,'G-7 Rivers Data'!$AO$4:$AP$7,2,FALSE))</f>
        <v/>
      </c>
      <c r="AB45" s="545" t="str">
        <f t="shared" si="6"/>
        <v/>
      </c>
      <c r="AC45" s="149"/>
      <c r="AD45" s="150"/>
      <c r="AK45" s="31" t="str">
        <f>IFERROR(INDEX('G-7 Rivers Data'!$AZ$3:$AZ$7,MATCH(C45,'G-7 Rivers Data'!$AY$3:$AY$7,0)),"")</f>
        <v/>
      </c>
    </row>
    <row r="46" spans="2:37" ht="14" x14ac:dyDescent="0.3">
      <c r="B46" s="141">
        <v>35</v>
      </c>
      <c r="C46" s="666"/>
      <c r="D46" s="172"/>
      <c r="E46" s="498" t="str">
        <f>IF(C46="","",VLOOKUP(C46,'G-7 Rivers Data'!$B$2:$Z$9,2,FALSE))</f>
        <v/>
      </c>
      <c r="F46" s="499" t="str">
        <f>IFERROR(VLOOKUP(E46,'G-7 Rivers Data'!$C$4:$D$8,2,FALSE),"")</f>
        <v/>
      </c>
      <c r="G46" s="145"/>
      <c r="H46" s="499" t="str">
        <f>IFERROR(INDEX('G-7 Rivers Data'!$H$4:$L$8,MATCH(C46,'G-7 Rivers Data'!$B$4:$B$8,0),MATCH(G46,'G-7 Rivers Data'!$H$3:$L$3,0)),"")</f>
        <v/>
      </c>
      <c r="I46" s="145"/>
      <c r="J46" s="540" t="str">
        <f>IF(I46="","",IF(VLOOKUP(I46,'G-7 Rivers Data'!$AG$4:$AI$9,2,FALSE)=0,"Spatial Data Missing ⚠",VLOOKUP(I46,'G-7 Rivers Data'!$AG$4:$AI$9,2,FALSE)))</f>
        <v/>
      </c>
      <c r="K46" s="499" t="str">
        <f>IF(I46="","",IF(VLOOKUP(I46,'G-7 Rivers Data'!$AG$4:$AI$9,3,FALSE)=0,"Spatial Data Missing ⚠",VLOOKUP(I46,'G-7 Rivers Data'!$AG$4:$AI$9,3,FALSE)))</f>
        <v/>
      </c>
      <c r="L46" s="635" t="str">
        <f>IFERROR(INDEX('G-7 Rivers Data'!$O$3:$O$7,MATCH(G46,'G-7 Rivers Data'!$N$3:$N$7,0)),"")</f>
        <v/>
      </c>
      <c r="M46" s="72"/>
      <c r="N46" s="195"/>
      <c r="O46" s="507" t="str">
        <f t="shared" si="1"/>
        <v/>
      </c>
      <c r="P46" s="521" t="str">
        <f t="shared" si="2"/>
        <v/>
      </c>
      <c r="Q46" s="564" t="str">
        <f>IFERROR(IF(P46="Check Data ⚠","Check Data ⚠",VLOOKUP(P46,'G-4 Temporal multipliers'!$A$4:$C$37,3,FALSE)),"")</f>
        <v/>
      </c>
      <c r="R46" s="498" t="str">
        <f>IF(C46="","",VLOOKUP(C46,'G-7 Rivers Data'!$B$4:$G$8,4,FALSE))</f>
        <v/>
      </c>
      <c r="S46" s="507" t="str">
        <f t="shared" si="3"/>
        <v/>
      </c>
      <c r="T46" s="540" t="str">
        <f t="shared" si="4"/>
        <v/>
      </c>
      <c r="U46" s="499" t="str">
        <f t="shared" si="5"/>
        <v/>
      </c>
      <c r="V46" s="71"/>
      <c r="W46" s="499" t="str">
        <f>IF(V46="","",IF(VLOOKUP(V46,'G-7 Rivers Data'!$AA$4:$AB$7,2,FALSE)=0,"Spatial Data Missing ⚠",VLOOKUP(V46,'G-7 Rivers Data'!$AA$4:$AB$7,2,FALSE)))</f>
        <v/>
      </c>
      <c r="X46" s="155"/>
      <c r="Y46" s="499" t="str">
        <f>IF(X46="","",IF(VLOOKUP(X46,'G-7 Rivers Data'!$AD$4:$AE$8,2,FALSE)=0,"Enrcoachment Data Missing ⚠",VLOOKUP(X46,'G-7 Rivers Data'!$AD$4:$AE$8,2,FALSE)))</f>
        <v/>
      </c>
      <c r="Z46" s="154"/>
      <c r="AA46" s="524" t="str">
        <f>IF(Z46="","",VLOOKUP(Z46,'G-7 Rivers Data'!$AO$4:$AP$7,2,FALSE))</f>
        <v/>
      </c>
      <c r="AB46" s="545" t="str">
        <f t="shared" si="6"/>
        <v/>
      </c>
      <c r="AC46" s="149"/>
      <c r="AD46" s="150"/>
      <c r="AK46" s="31" t="str">
        <f>IFERROR(INDEX('G-7 Rivers Data'!$AZ$3:$AZ$7,MATCH(C46,'G-7 Rivers Data'!$AY$3:$AY$7,0)),"")</f>
        <v/>
      </c>
    </row>
    <row r="47" spans="2:37" ht="14" x14ac:dyDescent="0.3">
      <c r="B47" s="141">
        <v>36</v>
      </c>
      <c r="C47" s="666"/>
      <c r="D47" s="172"/>
      <c r="E47" s="498" t="str">
        <f>IF(C47="","",VLOOKUP(C47,'G-7 Rivers Data'!$B$2:$Z$9,2,FALSE))</f>
        <v/>
      </c>
      <c r="F47" s="499" t="str">
        <f>IFERROR(VLOOKUP(E47,'G-7 Rivers Data'!$C$4:$D$8,2,FALSE),"")</f>
        <v/>
      </c>
      <c r="G47" s="145"/>
      <c r="H47" s="499" t="str">
        <f>IFERROR(INDEX('G-7 Rivers Data'!$H$4:$L$8,MATCH(C47,'G-7 Rivers Data'!$B$4:$B$8,0),MATCH(G47,'G-7 Rivers Data'!$H$3:$L$3,0)),"")</f>
        <v/>
      </c>
      <c r="I47" s="145"/>
      <c r="J47" s="540" t="str">
        <f>IF(I47="","",IF(VLOOKUP(I47,'G-7 Rivers Data'!$AG$4:$AI$9,2,FALSE)=0,"Spatial Data Missing ⚠",VLOOKUP(I47,'G-7 Rivers Data'!$AG$4:$AI$9,2,FALSE)))</f>
        <v/>
      </c>
      <c r="K47" s="499" t="str">
        <f>IF(I47="","",IF(VLOOKUP(I47,'G-7 Rivers Data'!$AG$4:$AI$9,3,FALSE)=0,"Spatial Data Missing ⚠",VLOOKUP(I47,'G-7 Rivers Data'!$AG$4:$AI$9,3,FALSE)))</f>
        <v/>
      </c>
      <c r="L47" s="635" t="str">
        <f>IFERROR(INDEX('G-7 Rivers Data'!$O$3:$O$7,MATCH(G47,'G-7 Rivers Data'!$N$3:$N$7,0)),"")</f>
        <v/>
      </c>
      <c r="M47" s="72"/>
      <c r="N47" s="195"/>
      <c r="O47" s="507" t="str">
        <f t="shared" si="1"/>
        <v/>
      </c>
      <c r="P47" s="521" t="str">
        <f t="shared" si="2"/>
        <v/>
      </c>
      <c r="Q47" s="564" t="str">
        <f>IFERROR(IF(P47="Check Data ⚠","Check Data ⚠",VLOOKUP(P47,'G-4 Temporal multipliers'!$A$4:$C$37,3,FALSE)),"")</f>
        <v/>
      </c>
      <c r="R47" s="498" t="str">
        <f>IF(C47="","",VLOOKUP(C47,'G-7 Rivers Data'!$B$4:$G$8,4,FALSE))</f>
        <v/>
      </c>
      <c r="S47" s="507" t="str">
        <f t="shared" si="3"/>
        <v/>
      </c>
      <c r="T47" s="540" t="str">
        <f t="shared" si="4"/>
        <v/>
      </c>
      <c r="U47" s="499" t="str">
        <f t="shared" si="5"/>
        <v/>
      </c>
      <c r="V47" s="71"/>
      <c r="W47" s="499" t="str">
        <f>IF(V47="","",IF(VLOOKUP(V47,'G-7 Rivers Data'!$AA$4:$AB$7,2,FALSE)=0,"Spatial Data Missing ⚠",VLOOKUP(V47,'G-7 Rivers Data'!$AA$4:$AB$7,2,FALSE)))</f>
        <v/>
      </c>
      <c r="X47" s="155"/>
      <c r="Y47" s="499" t="str">
        <f>IF(X47="","",IF(VLOOKUP(X47,'G-7 Rivers Data'!$AD$4:$AE$8,2,FALSE)=0,"Enrcoachment Data Missing ⚠",VLOOKUP(X47,'G-7 Rivers Data'!$AD$4:$AE$8,2,FALSE)))</f>
        <v/>
      </c>
      <c r="Z47" s="154"/>
      <c r="AA47" s="524" t="str">
        <f>IF(Z47="","",VLOOKUP(Z47,'G-7 Rivers Data'!$AO$4:$AP$7,2,FALSE))</f>
        <v/>
      </c>
      <c r="AB47" s="545" t="str">
        <f t="shared" si="6"/>
        <v/>
      </c>
      <c r="AC47" s="149"/>
      <c r="AD47" s="150"/>
      <c r="AK47" s="31" t="str">
        <f>IFERROR(INDEX('G-7 Rivers Data'!$AZ$3:$AZ$7,MATCH(C47,'G-7 Rivers Data'!$AY$3:$AY$7,0)),"")</f>
        <v/>
      </c>
    </row>
    <row r="48" spans="2:37" ht="14" x14ac:dyDescent="0.3">
      <c r="B48" s="141">
        <v>37</v>
      </c>
      <c r="C48" s="666"/>
      <c r="D48" s="172"/>
      <c r="E48" s="498" t="str">
        <f>IF(C48="","",VLOOKUP(C48,'G-7 Rivers Data'!$B$2:$Z$9,2,FALSE))</f>
        <v/>
      </c>
      <c r="F48" s="499" t="str">
        <f>IFERROR(VLOOKUP(E48,'G-7 Rivers Data'!$C$4:$D$8,2,FALSE),"")</f>
        <v/>
      </c>
      <c r="G48" s="145"/>
      <c r="H48" s="499" t="str">
        <f>IFERROR(INDEX('G-7 Rivers Data'!$H$4:$L$8,MATCH(C48,'G-7 Rivers Data'!$B$4:$B$8,0),MATCH(G48,'G-7 Rivers Data'!$H$3:$L$3,0)),"")</f>
        <v/>
      </c>
      <c r="I48" s="145"/>
      <c r="J48" s="540" t="str">
        <f>IF(I48="","",IF(VLOOKUP(I48,'G-7 Rivers Data'!$AG$4:$AI$9,2,FALSE)=0,"Spatial Data Missing ⚠",VLOOKUP(I48,'G-7 Rivers Data'!$AG$4:$AI$9,2,FALSE)))</f>
        <v/>
      </c>
      <c r="K48" s="499" t="str">
        <f>IF(I48="","",IF(VLOOKUP(I48,'G-7 Rivers Data'!$AG$4:$AI$9,3,FALSE)=0,"Spatial Data Missing ⚠",VLOOKUP(I48,'G-7 Rivers Data'!$AG$4:$AI$9,3,FALSE)))</f>
        <v/>
      </c>
      <c r="L48" s="635" t="str">
        <f>IFERROR(INDEX('G-7 Rivers Data'!$O$3:$O$7,MATCH(G48,'G-7 Rivers Data'!$N$3:$N$7,0)),"")</f>
        <v/>
      </c>
      <c r="M48" s="72"/>
      <c r="N48" s="195"/>
      <c r="O48" s="507" t="str">
        <f t="shared" si="1"/>
        <v/>
      </c>
      <c r="P48" s="521" t="str">
        <f t="shared" si="2"/>
        <v/>
      </c>
      <c r="Q48" s="564" t="str">
        <f>IFERROR(IF(P48="Check Data ⚠","Check Data ⚠",VLOOKUP(P48,'G-4 Temporal multipliers'!$A$4:$C$37,3,FALSE)),"")</f>
        <v/>
      </c>
      <c r="R48" s="498" t="str">
        <f>IF(C48="","",VLOOKUP(C48,'G-7 Rivers Data'!$B$4:$G$8,4,FALSE))</f>
        <v/>
      </c>
      <c r="S48" s="507" t="str">
        <f t="shared" si="3"/>
        <v/>
      </c>
      <c r="T48" s="540" t="str">
        <f t="shared" si="4"/>
        <v/>
      </c>
      <c r="U48" s="499" t="str">
        <f t="shared" si="5"/>
        <v/>
      </c>
      <c r="V48" s="71"/>
      <c r="W48" s="499" t="str">
        <f>IF(V48="","",IF(VLOOKUP(V48,'G-7 Rivers Data'!$AA$4:$AB$7,2,FALSE)=0,"Spatial Data Missing ⚠",VLOOKUP(V48,'G-7 Rivers Data'!$AA$4:$AB$7,2,FALSE)))</f>
        <v/>
      </c>
      <c r="X48" s="155"/>
      <c r="Y48" s="499" t="str">
        <f>IF(X48="","",IF(VLOOKUP(X48,'G-7 Rivers Data'!$AD$4:$AE$8,2,FALSE)=0,"Enrcoachment Data Missing ⚠",VLOOKUP(X48,'G-7 Rivers Data'!$AD$4:$AE$8,2,FALSE)))</f>
        <v/>
      </c>
      <c r="Z48" s="154"/>
      <c r="AA48" s="524" t="str">
        <f>IF(Z48="","",VLOOKUP(Z48,'G-7 Rivers Data'!$AO$4:$AP$7,2,FALSE))</f>
        <v/>
      </c>
      <c r="AB48" s="545" t="str">
        <f t="shared" si="6"/>
        <v/>
      </c>
      <c r="AC48" s="149"/>
      <c r="AD48" s="150"/>
      <c r="AK48" s="31" t="str">
        <f>IFERROR(INDEX('G-7 Rivers Data'!$AZ$3:$AZ$7,MATCH(C48,'G-7 Rivers Data'!$AY$3:$AY$7,0)),"")</f>
        <v/>
      </c>
    </row>
    <row r="49" spans="2:37" ht="14" x14ac:dyDescent="0.3">
      <c r="B49" s="141">
        <v>38</v>
      </c>
      <c r="C49" s="666"/>
      <c r="D49" s="172"/>
      <c r="E49" s="498" t="str">
        <f>IF(C49="","",VLOOKUP(C49,'G-7 Rivers Data'!$B$2:$Z$9,2,FALSE))</f>
        <v/>
      </c>
      <c r="F49" s="499" t="str">
        <f>IFERROR(VLOOKUP(E49,'G-7 Rivers Data'!$C$4:$D$8,2,FALSE),"")</f>
        <v/>
      </c>
      <c r="G49" s="145"/>
      <c r="H49" s="499" t="str">
        <f>IFERROR(INDEX('G-7 Rivers Data'!$H$4:$L$8,MATCH(C49,'G-7 Rivers Data'!$B$4:$B$8,0),MATCH(G49,'G-7 Rivers Data'!$H$3:$L$3,0)),"")</f>
        <v/>
      </c>
      <c r="I49" s="145"/>
      <c r="J49" s="540" t="str">
        <f>IF(I49="","",IF(VLOOKUP(I49,'G-7 Rivers Data'!$AG$4:$AI$9,2,FALSE)=0,"Spatial Data Missing ⚠",VLOOKUP(I49,'G-7 Rivers Data'!$AG$4:$AI$9,2,FALSE)))</f>
        <v/>
      </c>
      <c r="K49" s="499" t="str">
        <f>IF(I49="","",IF(VLOOKUP(I49,'G-7 Rivers Data'!$AG$4:$AI$9,3,FALSE)=0,"Spatial Data Missing ⚠",VLOOKUP(I49,'G-7 Rivers Data'!$AG$4:$AI$9,3,FALSE)))</f>
        <v/>
      </c>
      <c r="L49" s="635" t="str">
        <f>IFERROR(INDEX('G-7 Rivers Data'!$O$3:$O$7,MATCH(G49,'G-7 Rivers Data'!$N$3:$N$7,0)),"")</f>
        <v/>
      </c>
      <c r="M49" s="72"/>
      <c r="N49" s="195"/>
      <c r="O49" s="507" t="str">
        <f t="shared" si="1"/>
        <v/>
      </c>
      <c r="P49" s="521" t="str">
        <f t="shared" si="2"/>
        <v/>
      </c>
      <c r="Q49" s="564" t="str">
        <f>IFERROR(IF(P49="Check Data ⚠","Check Data ⚠",VLOOKUP(P49,'G-4 Temporal multipliers'!$A$4:$C$37,3,FALSE)),"")</f>
        <v/>
      </c>
      <c r="R49" s="498" t="str">
        <f>IF(C49="","",VLOOKUP(C49,'G-7 Rivers Data'!$B$4:$G$8,4,FALSE))</f>
        <v/>
      </c>
      <c r="S49" s="507" t="str">
        <f t="shared" si="3"/>
        <v/>
      </c>
      <c r="T49" s="540" t="str">
        <f t="shared" si="4"/>
        <v/>
      </c>
      <c r="U49" s="499" t="str">
        <f t="shared" si="5"/>
        <v/>
      </c>
      <c r="V49" s="71"/>
      <c r="W49" s="499" t="str">
        <f>IF(V49="","",IF(VLOOKUP(V49,'G-7 Rivers Data'!$AA$4:$AB$7,2,FALSE)=0,"Spatial Data Missing ⚠",VLOOKUP(V49,'G-7 Rivers Data'!$AA$4:$AB$7,2,FALSE)))</f>
        <v/>
      </c>
      <c r="X49" s="155"/>
      <c r="Y49" s="499" t="str">
        <f>IF(X49="","",IF(VLOOKUP(X49,'G-7 Rivers Data'!$AD$4:$AE$8,2,FALSE)=0,"Enrcoachment Data Missing ⚠",VLOOKUP(X49,'G-7 Rivers Data'!$AD$4:$AE$8,2,FALSE)))</f>
        <v/>
      </c>
      <c r="Z49" s="154"/>
      <c r="AA49" s="524" t="str">
        <f>IF(Z49="","",VLOOKUP(Z49,'G-7 Rivers Data'!$AO$4:$AP$7,2,FALSE))</f>
        <v/>
      </c>
      <c r="AB49" s="545" t="str">
        <f t="shared" si="6"/>
        <v/>
      </c>
      <c r="AC49" s="149"/>
      <c r="AD49" s="150"/>
      <c r="AK49" s="31" t="str">
        <f>IFERROR(INDEX('G-7 Rivers Data'!$AZ$3:$AZ$7,MATCH(C49,'G-7 Rivers Data'!$AY$3:$AY$7,0)),"")</f>
        <v/>
      </c>
    </row>
    <row r="50" spans="2:37" ht="14" x14ac:dyDescent="0.3">
      <c r="B50" s="141">
        <v>39</v>
      </c>
      <c r="C50" s="666"/>
      <c r="D50" s="172"/>
      <c r="E50" s="498" t="str">
        <f>IF(C50="","",VLOOKUP(C50,'G-7 Rivers Data'!$B$2:$Z$9,2,FALSE))</f>
        <v/>
      </c>
      <c r="F50" s="499" t="str">
        <f>IFERROR(VLOOKUP(E50,'G-7 Rivers Data'!$C$4:$D$8,2,FALSE),"")</f>
        <v/>
      </c>
      <c r="G50" s="145"/>
      <c r="H50" s="499" t="str">
        <f>IFERROR(INDEX('G-7 Rivers Data'!$H$4:$L$8,MATCH(C50,'G-7 Rivers Data'!$B$4:$B$8,0),MATCH(G50,'G-7 Rivers Data'!$H$3:$L$3,0)),"")</f>
        <v/>
      </c>
      <c r="I50" s="145"/>
      <c r="J50" s="540" t="str">
        <f>IF(I50="","",IF(VLOOKUP(I50,'G-7 Rivers Data'!$AG$4:$AI$9,2,FALSE)=0,"Spatial Data Missing ⚠",VLOOKUP(I50,'G-7 Rivers Data'!$AG$4:$AI$9,2,FALSE)))</f>
        <v/>
      </c>
      <c r="K50" s="499" t="str">
        <f>IF(I50="","",IF(VLOOKUP(I50,'G-7 Rivers Data'!$AG$4:$AI$9,3,FALSE)=0,"Spatial Data Missing ⚠",VLOOKUP(I50,'G-7 Rivers Data'!$AG$4:$AI$9,3,FALSE)))</f>
        <v/>
      </c>
      <c r="L50" s="635" t="str">
        <f>IFERROR(INDEX('G-7 Rivers Data'!$O$3:$O$7,MATCH(G50,'G-7 Rivers Data'!$N$3:$N$7,0)),"")</f>
        <v/>
      </c>
      <c r="M50" s="72"/>
      <c r="N50" s="195"/>
      <c r="O50" s="507" t="str">
        <f t="shared" si="1"/>
        <v/>
      </c>
      <c r="P50" s="521" t="str">
        <f t="shared" si="2"/>
        <v/>
      </c>
      <c r="Q50" s="564" t="str">
        <f>IFERROR(IF(P50="Check Data ⚠","Check Data ⚠",VLOOKUP(P50,'G-4 Temporal multipliers'!$A$4:$C$37,3,FALSE)),"")</f>
        <v/>
      </c>
      <c r="R50" s="498" t="str">
        <f>IF(C50="","",VLOOKUP(C50,'G-7 Rivers Data'!$B$4:$G$8,4,FALSE))</f>
        <v/>
      </c>
      <c r="S50" s="507" t="str">
        <f t="shared" si="3"/>
        <v/>
      </c>
      <c r="T50" s="540" t="str">
        <f t="shared" si="4"/>
        <v/>
      </c>
      <c r="U50" s="499" t="str">
        <f t="shared" si="5"/>
        <v/>
      </c>
      <c r="V50" s="71"/>
      <c r="W50" s="499" t="str">
        <f>IF(V50="","",IF(VLOOKUP(V50,'G-7 Rivers Data'!$AA$4:$AB$7,2,FALSE)=0,"Spatial Data Missing ⚠",VLOOKUP(V50,'G-7 Rivers Data'!$AA$4:$AB$7,2,FALSE)))</f>
        <v/>
      </c>
      <c r="X50" s="155"/>
      <c r="Y50" s="499" t="str">
        <f>IF(X50="","",IF(VLOOKUP(X50,'G-7 Rivers Data'!$AD$4:$AE$8,2,FALSE)=0,"Enrcoachment Data Missing ⚠",VLOOKUP(X50,'G-7 Rivers Data'!$AD$4:$AE$8,2,FALSE)))</f>
        <v/>
      </c>
      <c r="Z50" s="154"/>
      <c r="AA50" s="524" t="str">
        <f>IF(Z50="","",VLOOKUP(Z50,'G-7 Rivers Data'!$AO$4:$AP$7,2,FALSE))</f>
        <v/>
      </c>
      <c r="AB50" s="545" t="str">
        <f t="shared" si="6"/>
        <v/>
      </c>
      <c r="AC50" s="149"/>
      <c r="AD50" s="150"/>
      <c r="AK50" s="31" t="str">
        <f>IFERROR(INDEX('G-7 Rivers Data'!$AZ$3:$AZ$7,MATCH(C50,'G-7 Rivers Data'!$AY$3:$AY$7,0)),"")</f>
        <v/>
      </c>
    </row>
    <row r="51" spans="2:37" ht="14" x14ac:dyDescent="0.3">
      <c r="B51" s="141">
        <v>40</v>
      </c>
      <c r="C51" s="666"/>
      <c r="D51" s="172"/>
      <c r="E51" s="498" t="str">
        <f>IF(C51="","",VLOOKUP(C51,'G-7 Rivers Data'!$B$2:$Z$9,2,FALSE))</f>
        <v/>
      </c>
      <c r="F51" s="499" t="str">
        <f>IFERROR(VLOOKUP(E51,'G-7 Rivers Data'!$C$4:$D$8,2,FALSE),"")</f>
        <v/>
      </c>
      <c r="G51" s="145"/>
      <c r="H51" s="499" t="str">
        <f>IFERROR(INDEX('G-7 Rivers Data'!$H$4:$L$8,MATCH(C51,'G-7 Rivers Data'!$B$4:$B$8,0),MATCH(G51,'G-7 Rivers Data'!$H$3:$L$3,0)),"")</f>
        <v/>
      </c>
      <c r="I51" s="145"/>
      <c r="J51" s="540" t="str">
        <f>IF(I51="","",IF(VLOOKUP(I51,'G-7 Rivers Data'!$AG$4:$AI$9,2,FALSE)=0,"Spatial Data Missing ⚠",VLOOKUP(I51,'G-7 Rivers Data'!$AG$4:$AI$9,2,FALSE)))</f>
        <v/>
      </c>
      <c r="K51" s="499" t="str">
        <f>IF(I51="","",IF(VLOOKUP(I51,'G-7 Rivers Data'!$AG$4:$AI$9,3,FALSE)=0,"Spatial Data Missing ⚠",VLOOKUP(I51,'G-7 Rivers Data'!$AG$4:$AI$9,3,FALSE)))</f>
        <v/>
      </c>
      <c r="L51" s="635" t="str">
        <f>IFERROR(INDEX('G-7 Rivers Data'!$O$3:$O$7,MATCH(G51,'G-7 Rivers Data'!$N$3:$N$7,0)),"")</f>
        <v/>
      </c>
      <c r="M51" s="72"/>
      <c r="N51" s="195"/>
      <c r="O51" s="507" t="str">
        <f t="shared" si="1"/>
        <v/>
      </c>
      <c r="P51" s="521" t="str">
        <f t="shared" si="2"/>
        <v/>
      </c>
      <c r="Q51" s="564" t="str">
        <f>IFERROR(IF(P51="Check Data ⚠","Check Data ⚠",VLOOKUP(P51,'G-4 Temporal multipliers'!$A$4:$C$37,3,FALSE)),"")</f>
        <v/>
      </c>
      <c r="R51" s="498" t="str">
        <f>IF(C51="","",VLOOKUP(C51,'G-7 Rivers Data'!$B$4:$G$8,4,FALSE))</f>
        <v/>
      </c>
      <c r="S51" s="507" t="str">
        <f t="shared" si="3"/>
        <v/>
      </c>
      <c r="T51" s="540" t="str">
        <f t="shared" si="4"/>
        <v/>
      </c>
      <c r="U51" s="499" t="str">
        <f t="shared" si="5"/>
        <v/>
      </c>
      <c r="V51" s="71"/>
      <c r="W51" s="499" t="str">
        <f>IF(V51="","",IF(VLOOKUP(V51,'G-7 Rivers Data'!$AA$4:$AB$7,2,FALSE)=0,"Spatial Data Missing ⚠",VLOOKUP(V51,'G-7 Rivers Data'!$AA$4:$AB$7,2,FALSE)))</f>
        <v/>
      </c>
      <c r="X51" s="155"/>
      <c r="Y51" s="499" t="str">
        <f>IF(X51="","",IF(VLOOKUP(X51,'G-7 Rivers Data'!$AD$4:$AE$8,2,FALSE)=0,"Enrcoachment Data Missing ⚠",VLOOKUP(X51,'G-7 Rivers Data'!$AD$4:$AE$8,2,FALSE)))</f>
        <v/>
      </c>
      <c r="Z51" s="154"/>
      <c r="AA51" s="524" t="str">
        <f>IF(Z51="","",VLOOKUP(Z51,'G-7 Rivers Data'!$AO$4:$AP$7,2,FALSE))</f>
        <v/>
      </c>
      <c r="AB51" s="545" t="str">
        <f t="shared" si="6"/>
        <v/>
      </c>
      <c r="AC51" s="149"/>
      <c r="AD51" s="150"/>
      <c r="AK51" s="31" t="str">
        <f>IFERROR(INDEX('G-7 Rivers Data'!$AZ$3:$AZ$7,MATCH(C51,'G-7 Rivers Data'!$AY$3:$AY$7,0)),"")</f>
        <v/>
      </c>
    </row>
    <row r="52" spans="2:37" ht="14" x14ac:dyDescent="0.3">
      <c r="B52" s="141">
        <v>41</v>
      </c>
      <c r="C52" s="666"/>
      <c r="D52" s="172"/>
      <c r="E52" s="498" t="str">
        <f>IF(C52="","",VLOOKUP(C52,'G-7 Rivers Data'!$B$2:$Z$9,2,FALSE))</f>
        <v/>
      </c>
      <c r="F52" s="499" t="str">
        <f>IFERROR(VLOOKUP(E52,'G-7 Rivers Data'!$C$4:$D$8,2,FALSE),"")</f>
        <v/>
      </c>
      <c r="G52" s="145"/>
      <c r="H52" s="499" t="str">
        <f>IFERROR(INDEX('G-7 Rivers Data'!$H$4:$L$8,MATCH(C52,'G-7 Rivers Data'!$B$4:$B$8,0),MATCH(G52,'G-7 Rivers Data'!$H$3:$L$3,0)),"")</f>
        <v/>
      </c>
      <c r="I52" s="145"/>
      <c r="J52" s="540" t="str">
        <f>IF(I52="","",IF(VLOOKUP(I52,'G-7 Rivers Data'!$AG$4:$AI$9,2,FALSE)=0,"Spatial Data Missing ⚠",VLOOKUP(I52,'G-7 Rivers Data'!$AG$4:$AI$9,2,FALSE)))</f>
        <v/>
      </c>
      <c r="K52" s="499" t="str">
        <f>IF(I52="","",IF(VLOOKUP(I52,'G-7 Rivers Data'!$AG$4:$AI$9,3,FALSE)=0,"Spatial Data Missing ⚠",VLOOKUP(I52,'G-7 Rivers Data'!$AG$4:$AI$9,3,FALSE)))</f>
        <v/>
      </c>
      <c r="L52" s="635" t="str">
        <f>IFERROR(INDEX('G-7 Rivers Data'!$O$3:$O$7,MATCH(G52,'G-7 Rivers Data'!$N$3:$N$7,0)),"")</f>
        <v/>
      </c>
      <c r="M52" s="72"/>
      <c r="N52" s="195"/>
      <c r="O52" s="507" t="str">
        <f t="shared" si="1"/>
        <v/>
      </c>
      <c r="P52" s="521" t="str">
        <f t="shared" si="2"/>
        <v/>
      </c>
      <c r="Q52" s="564" t="str">
        <f>IFERROR(IF(P52="Check Data ⚠","Check Data ⚠",VLOOKUP(P52,'G-4 Temporal multipliers'!$A$4:$C$37,3,FALSE)),"")</f>
        <v/>
      </c>
      <c r="R52" s="498" t="str">
        <f>IF(C52="","",VLOOKUP(C52,'G-7 Rivers Data'!$B$4:$G$8,4,FALSE))</f>
        <v/>
      </c>
      <c r="S52" s="507" t="str">
        <f t="shared" si="3"/>
        <v/>
      </c>
      <c r="T52" s="540" t="str">
        <f t="shared" si="4"/>
        <v/>
      </c>
      <c r="U52" s="499" t="str">
        <f t="shared" si="5"/>
        <v/>
      </c>
      <c r="V52" s="71"/>
      <c r="W52" s="499" t="str">
        <f>IF(V52="","",IF(VLOOKUP(V52,'G-7 Rivers Data'!$AA$4:$AB$7,2,FALSE)=0,"Spatial Data Missing ⚠",VLOOKUP(V52,'G-7 Rivers Data'!$AA$4:$AB$7,2,FALSE)))</f>
        <v/>
      </c>
      <c r="X52" s="155"/>
      <c r="Y52" s="499" t="str">
        <f>IF(X52="","",IF(VLOOKUP(X52,'G-7 Rivers Data'!$AD$4:$AE$8,2,FALSE)=0,"Enrcoachment Data Missing ⚠",VLOOKUP(X52,'G-7 Rivers Data'!$AD$4:$AE$8,2,FALSE)))</f>
        <v/>
      </c>
      <c r="Z52" s="154"/>
      <c r="AA52" s="524" t="str">
        <f>IF(Z52="","",VLOOKUP(Z52,'G-7 Rivers Data'!$AO$4:$AP$7,2,FALSE))</f>
        <v/>
      </c>
      <c r="AB52" s="545" t="str">
        <f t="shared" si="6"/>
        <v/>
      </c>
      <c r="AC52" s="149"/>
      <c r="AD52" s="150"/>
      <c r="AK52" s="31" t="str">
        <f>IFERROR(INDEX('G-7 Rivers Data'!$AZ$3:$AZ$7,MATCH(C52,'G-7 Rivers Data'!$AY$3:$AY$7,0)),"")</f>
        <v/>
      </c>
    </row>
    <row r="53" spans="2:37" ht="14" x14ac:dyDescent="0.3">
      <c r="B53" s="141">
        <v>42</v>
      </c>
      <c r="C53" s="666"/>
      <c r="D53" s="172"/>
      <c r="E53" s="498" t="str">
        <f>IF(C53="","",VLOOKUP(C53,'G-7 Rivers Data'!$B$2:$Z$9,2,FALSE))</f>
        <v/>
      </c>
      <c r="F53" s="499" t="str">
        <f>IFERROR(VLOOKUP(E53,'G-7 Rivers Data'!$C$4:$D$8,2,FALSE),"")</f>
        <v/>
      </c>
      <c r="G53" s="145"/>
      <c r="H53" s="499" t="str">
        <f>IFERROR(INDEX('G-7 Rivers Data'!$H$4:$L$8,MATCH(C53,'G-7 Rivers Data'!$B$4:$B$8,0),MATCH(G53,'G-7 Rivers Data'!$H$3:$L$3,0)),"")</f>
        <v/>
      </c>
      <c r="I53" s="145"/>
      <c r="J53" s="540" t="str">
        <f>IF(I53="","",IF(VLOOKUP(I53,'G-7 Rivers Data'!$AG$4:$AI$9,2,FALSE)=0,"Spatial Data Missing ⚠",VLOOKUP(I53,'G-7 Rivers Data'!$AG$4:$AI$9,2,FALSE)))</f>
        <v/>
      </c>
      <c r="K53" s="499" t="str">
        <f>IF(I53="","",IF(VLOOKUP(I53,'G-7 Rivers Data'!$AG$4:$AI$9,3,FALSE)=0,"Spatial Data Missing ⚠",VLOOKUP(I53,'G-7 Rivers Data'!$AG$4:$AI$9,3,FALSE)))</f>
        <v/>
      </c>
      <c r="L53" s="635" t="str">
        <f>IFERROR(INDEX('G-7 Rivers Data'!$O$3:$O$7,MATCH(G53,'G-7 Rivers Data'!$N$3:$N$7,0)),"")</f>
        <v/>
      </c>
      <c r="M53" s="72"/>
      <c r="N53" s="195"/>
      <c r="O53" s="507" t="str">
        <f t="shared" si="1"/>
        <v/>
      </c>
      <c r="P53" s="521" t="str">
        <f t="shared" si="2"/>
        <v/>
      </c>
      <c r="Q53" s="564" t="str">
        <f>IFERROR(IF(P53="Check Data ⚠","Check Data ⚠",VLOOKUP(P53,'G-4 Temporal multipliers'!$A$4:$C$37,3,FALSE)),"")</f>
        <v/>
      </c>
      <c r="R53" s="498" t="str">
        <f>IF(C53="","",VLOOKUP(C53,'G-7 Rivers Data'!$B$4:$G$8,4,FALSE))</f>
        <v/>
      </c>
      <c r="S53" s="507" t="str">
        <f t="shared" si="3"/>
        <v/>
      </c>
      <c r="T53" s="540" t="str">
        <f t="shared" si="4"/>
        <v/>
      </c>
      <c r="U53" s="499" t="str">
        <f t="shared" si="5"/>
        <v/>
      </c>
      <c r="V53" s="71"/>
      <c r="W53" s="499" t="str">
        <f>IF(V53="","",IF(VLOOKUP(V53,'G-7 Rivers Data'!$AA$4:$AB$7,2,FALSE)=0,"Spatial Data Missing ⚠",VLOOKUP(V53,'G-7 Rivers Data'!$AA$4:$AB$7,2,FALSE)))</f>
        <v/>
      </c>
      <c r="X53" s="155"/>
      <c r="Y53" s="499" t="str">
        <f>IF(X53="","",IF(VLOOKUP(X53,'G-7 Rivers Data'!$AD$4:$AE$8,2,FALSE)=0,"Enrcoachment Data Missing ⚠",VLOOKUP(X53,'G-7 Rivers Data'!$AD$4:$AE$8,2,FALSE)))</f>
        <v/>
      </c>
      <c r="Z53" s="154"/>
      <c r="AA53" s="524" t="str">
        <f>IF(Z53="","",VLOOKUP(Z53,'G-7 Rivers Data'!$AO$4:$AP$7,2,FALSE))</f>
        <v/>
      </c>
      <c r="AB53" s="545" t="str">
        <f t="shared" si="6"/>
        <v/>
      </c>
      <c r="AC53" s="149"/>
      <c r="AD53" s="150"/>
      <c r="AK53" s="31" t="str">
        <f>IFERROR(INDEX('G-7 Rivers Data'!$AZ$3:$AZ$7,MATCH(C53,'G-7 Rivers Data'!$AY$3:$AY$7,0)),"")</f>
        <v/>
      </c>
    </row>
    <row r="54" spans="2:37" ht="14" x14ac:dyDescent="0.3">
      <c r="B54" s="141">
        <v>43</v>
      </c>
      <c r="C54" s="666"/>
      <c r="D54" s="172"/>
      <c r="E54" s="498" t="str">
        <f>IF(C54="","",VLOOKUP(C54,'G-7 Rivers Data'!$B$2:$Z$9,2,FALSE))</f>
        <v/>
      </c>
      <c r="F54" s="499" t="str">
        <f>IFERROR(VLOOKUP(E54,'G-7 Rivers Data'!$C$4:$D$8,2,FALSE),"")</f>
        <v/>
      </c>
      <c r="G54" s="145"/>
      <c r="H54" s="499" t="str">
        <f>IFERROR(INDEX('G-7 Rivers Data'!$H$4:$L$8,MATCH(C54,'G-7 Rivers Data'!$B$4:$B$8,0),MATCH(G54,'G-7 Rivers Data'!$H$3:$L$3,0)),"")</f>
        <v/>
      </c>
      <c r="I54" s="145"/>
      <c r="J54" s="540" t="str">
        <f>IF(I54="","",IF(VLOOKUP(I54,'G-7 Rivers Data'!$AG$4:$AI$9,2,FALSE)=0,"Spatial Data Missing ⚠",VLOOKUP(I54,'G-7 Rivers Data'!$AG$4:$AI$9,2,FALSE)))</f>
        <v/>
      </c>
      <c r="K54" s="499" t="str">
        <f>IF(I54="","",IF(VLOOKUP(I54,'G-7 Rivers Data'!$AG$4:$AI$9,3,FALSE)=0,"Spatial Data Missing ⚠",VLOOKUP(I54,'G-7 Rivers Data'!$AG$4:$AI$9,3,FALSE)))</f>
        <v/>
      </c>
      <c r="L54" s="635" t="str">
        <f>IFERROR(INDEX('G-7 Rivers Data'!$O$3:$O$7,MATCH(G54,'G-7 Rivers Data'!$N$3:$N$7,0)),"")</f>
        <v/>
      </c>
      <c r="M54" s="72"/>
      <c r="N54" s="195"/>
      <c r="O54" s="507" t="str">
        <f t="shared" si="1"/>
        <v/>
      </c>
      <c r="P54" s="521" t="str">
        <f t="shared" si="2"/>
        <v/>
      </c>
      <c r="Q54" s="564" t="str">
        <f>IFERROR(IF(P54="Check Data ⚠","Check Data ⚠",VLOOKUP(P54,'G-4 Temporal multipliers'!$A$4:$C$37,3,FALSE)),"")</f>
        <v/>
      </c>
      <c r="R54" s="498" t="str">
        <f>IF(C54="","",VLOOKUP(C54,'G-7 Rivers Data'!$B$4:$G$8,4,FALSE))</f>
        <v/>
      </c>
      <c r="S54" s="507" t="str">
        <f t="shared" si="3"/>
        <v/>
      </c>
      <c r="T54" s="540" t="str">
        <f t="shared" si="4"/>
        <v/>
      </c>
      <c r="U54" s="499" t="str">
        <f t="shared" si="5"/>
        <v/>
      </c>
      <c r="V54" s="71"/>
      <c r="W54" s="499" t="str">
        <f>IF(V54="","",IF(VLOOKUP(V54,'G-7 Rivers Data'!$AA$4:$AB$7,2,FALSE)=0,"Spatial Data Missing ⚠",VLOOKUP(V54,'G-7 Rivers Data'!$AA$4:$AB$7,2,FALSE)))</f>
        <v/>
      </c>
      <c r="X54" s="155"/>
      <c r="Y54" s="499" t="str">
        <f>IF(X54="","",IF(VLOOKUP(X54,'G-7 Rivers Data'!$AD$4:$AE$8,2,FALSE)=0,"Enrcoachment Data Missing ⚠",VLOOKUP(X54,'G-7 Rivers Data'!$AD$4:$AE$8,2,FALSE)))</f>
        <v/>
      </c>
      <c r="Z54" s="154"/>
      <c r="AA54" s="524" t="str">
        <f>IF(Z54="","",VLOOKUP(Z54,'G-7 Rivers Data'!$AO$4:$AP$7,2,FALSE))</f>
        <v/>
      </c>
      <c r="AB54" s="545" t="str">
        <f t="shared" si="6"/>
        <v/>
      </c>
      <c r="AC54" s="149"/>
      <c r="AD54" s="150"/>
      <c r="AK54" s="31" t="str">
        <f>IFERROR(INDEX('G-7 Rivers Data'!$AZ$3:$AZ$7,MATCH(C54,'G-7 Rivers Data'!$AY$3:$AY$7,0)),"")</f>
        <v/>
      </c>
    </row>
    <row r="55" spans="2:37" ht="14" x14ac:dyDescent="0.3">
      <c r="B55" s="141">
        <v>44</v>
      </c>
      <c r="C55" s="666"/>
      <c r="D55" s="172"/>
      <c r="E55" s="498" t="str">
        <f>IF(C55="","",VLOOKUP(C55,'G-7 Rivers Data'!$B$2:$Z$9,2,FALSE))</f>
        <v/>
      </c>
      <c r="F55" s="499" t="str">
        <f>IFERROR(VLOOKUP(E55,'G-7 Rivers Data'!$C$4:$D$8,2,FALSE),"")</f>
        <v/>
      </c>
      <c r="G55" s="145"/>
      <c r="H55" s="499" t="str">
        <f>IFERROR(INDEX('G-7 Rivers Data'!$H$4:$L$8,MATCH(C55,'G-7 Rivers Data'!$B$4:$B$8,0),MATCH(G55,'G-7 Rivers Data'!$H$3:$L$3,0)),"")</f>
        <v/>
      </c>
      <c r="I55" s="145"/>
      <c r="J55" s="540" t="str">
        <f>IF(I55="","",IF(VLOOKUP(I55,'G-7 Rivers Data'!$AG$4:$AI$9,2,FALSE)=0,"Spatial Data Missing ⚠",VLOOKUP(I55,'G-7 Rivers Data'!$AG$4:$AI$9,2,FALSE)))</f>
        <v/>
      </c>
      <c r="K55" s="499" t="str">
        <f>IF(I55="","",IF(VLOOKUP(I55,'G-7 Rivers Data'!$AG$4:$AI$9,3,FALSE)=0,"Spatial Data Missing ⚠",VLOOKUP(I55,'G-7 Rivers Data'!$AG$4:$AI$9,3,FALSE)))</f>
        <v/>
      </c>
      <c r="L55" s="635" t="str">
        <f>IFERROR(INDEX('G-7 Rivers Data'!$O$3:$O$7,MATCH(G55,'G-7 Rivers Data'!$N$3:$N$7,0)),"")</f>
        <v/>
      </c>
      <c r="M55" s="72"/>
      <c r="N55" s="195"/>
      <c r="O55" s="507" t="str">
        <f t="shared" si="1"/>
        <v/>
      </c>
      <c r="P55" s="521" t="str">
        <f t="shared" si="2"/>
        <v/>
      </c>
      <c r="Q55" s="564" t="str">
        <f>IFERROR(IF(P55="Check Data ⚠","Check Data ⚠",VLOOKUP(P55,'G-4 Temporal multipliers'!$A$4:$C$37,3,FALSE)),"")</f>
        <v/>
      </c>
      <c r="R55" s="498" t="str">
        <f>IF(C55="","",VLOOKUP(C55,'G-7 Rivers Data'!$B$4:$G$8,4,FALSE))</f>
        <v/>
      </c>
      <c r="S55" s="507" t="str">
        <f t="shared" si="3"/>
        <v/>
      </c>
      <c r="T55" s="540" t="str">
        <f t="shared" si="4"/>
        <v/>
      </c>
      <c r="U55" s="499" t="str">
        <f t="shared" si="5"/>
        <v/>
      </c>
      <c r="V55" s="71"/>
      <c r="W55" s="499" t="str">
        <f>IF(V55="","",IF(VLOOKUP(V55,'G-7 Rivers Data'!$AA$4:$AB$7,2,FALSE)=0,"Spatial Data Missing ⚠",VLOOKUP(V55,'G-7 Rivers Data'!$AA$4:$AB$7,2,FALSE)))</f>
        <v/>
      </c>
      <c r="X55" s="155"/>
      <c r="Y55" s="499" t="str">
        <f>IF(X55="","",IF(VLOOKUP(X55,'G-7 Rivers Data'!$AD$4:$AE$8,2,FALSE)=0,"Enrcoachment Data Missing ⚠",VLOOKUP(X55,'G-7 Rivers Data'!$AD$4:$AE$8,2,FALSE)))</f>
        <v/>
      </c>
      <c r="Z55" s="154"/>
      <c r="AA55" s="524" t="str">
        <f>IF(Z55="","",VLOOKUP(Z55,'G-7 Rivers Data'!$AO$4:$AP$7,2,FALSE))</f>
        <v/>
      </c>
      <c r="AB55" s="545" t="str">
        <f t="shared" si="6"/>
        <v/>
      </c>
      <c r="AC55" s="149"/>
      <c r="AD55" s="150"/>
      <c r="AK55" s="31" t="str">
        <f>IFERROR(INDEX('G-7 Rivers Data'!$AZ$3:$AZ$7,MATCH(C55,'G-7 Rivers Data'!$AY$3:$AY$7,0)),"")</f>
        <v/>
      </c>
    </row>
    <row r="56" spans="2:37" ht="14" x14ac:dyDescent="0.3">
      <c r="B56" s="141">
        <v>45</v>
      </c>
      <c r="C56" s="666"/>
      <c r="D56" s="172"/>
      <c r="E56" s="498" t="str">
        <f>IF(C56="","",VLOOKUP(C56,'G-7 Rivers Data'!$B$2:$Z$9,2,FALSE))</f>
        <v/>
      </c>
      <c r="F56" s="499" t="str">
        <f>IFERROR(VLOOKUP(E56,'G-7 Rivers Data'!$C$4:$D$8,2,FALSE),"")</f>
        <v/>
      </c>
      <c r="G56" s="145"/>
      <c r="H56" s="499" t="str">
        <f>IFERROR(INDEX('G-7 Rivers Data'!$H$4:$L$8,MATCH(C56,'G-7 Rivers Data'!$B$4:$B$8,0),MATCH(G56,'G-7 Rivers Data'!$H$3:$L$3,0)),"")</f>
        <v/>
      </c>
      <c r="I56" s="145"/>
      <c r="J56" s="540" t="str">
        <f>IF(I56="","",IF(VLOOKUP(I56,'G-7 Rivers Data'!$AG$4:$AI$9,2,FALSE)=0,"Spatial Data Missing ⚠",VLOOKUP(I56,'G-7 Rivers Data'!$AG$4:$AI$9,2,FALSE)))</f>
        <v/>
      </c>
      <c r="K56" s="499" t="str">
        <f>IF(I56="","",IF(VLOOKUP(I56,'G-7 Rivers Data'!$AG$4:$AI$9,3,FALSE)=0,"Spatial Data Missing ⚠",VLOOKUP(I56,'G-7 Rivers Data'!$AG$4:$AI$9,3,FALSE)))</f>
        <v/>
      </c>
      <c r="L56" s="635" t="str">
        <f>IFERROR(INDEX('G-7 Rivers Data'!$O$3:$O$7,MATCH(G56,'G-7 Rivers Data'!$N$3:$N$7,0)),"")</f>
        <v/>
      </c>
      <c r="M56" s="72"/>
      <c r="N56" s="195"/>
      <c r="O56" s="507" t="str">
        <f t="shared" si="1"/>
        <v/>
      </c>
      <c r="P56" s="521" t="str">
        <f t="shared" si="2"/>
        <v/>
      </c>
      <c r="Q56" s="564" t="str">
        <f>IFERROR(IF(P56="Check Data ⚠","Check Data ⚠",VLOOKUP(P56,'G-4 Temporal multipliers'!$A$4:$C$37,3,FALSE)),"")</f>
        <v/>
      </c>
      <c r="R56" s="498" t="str">
        <f>IF(C56="","",VLOOKUP(C56,'G-7 Rivers Data'!$B$4:$G$8,4,FALSE))</f>
        <v/>
      </c>
      <c r="S56" s="507" t="str">
        <f t="shared" si="3"/>
        <v/>
      </c>
      <c r="T56" s="540" t="str">
        <f t="shared" si="4"/>
        <v/>
      </c>
      <c r="U56" s="499" t="str">
        <f t="shared" si="5"/>
        <v/>
      </c>
      <c r="V56" s="71"/>
      <c r="W56" s="499" t="str">
        <f>IF(V56="","",IF(VLOOKUP(V56,'G-7 Rivers Data'!$AA$4:$AB$7,2,FALSE)=0,"Spatial Data Missing ⚠",VLOOKUP(V56,'G-7 Rivers Data'!$AA$4:$AB$7,2,FALSE)))</f>
        <v/>
      </c>
      <c r="X56" s="155"/>
      <c r="Y56" s="499" t="str">
        <f>IF(X56="","",IF(VLOOKUP(X56,'G-7 Rivers Data'!$AD$4:$AE$8,2,FALSE)=0,"Enrcoachment Data Missing ⚠",VLOOKUP(X56,'G-7 Rivers Data'!$AD$4:$AE$8,2,FALSE)))</f>
        <v/>
      </c>
      <c r="Z56" s="154"/>
      <c r="AA56" s="524" t="str">
        <f>IF(Z56="","",VLOOKUP(Z56,'G-7 Rivers Data'!$AO$4:$AP$7,2,FALSE))</f>
        <v/>
      </c>
      <c r="AB56" s="545" t="str">
        <f t="shared" si="6"/>
        <v/>
      </c>
      <c r="AC56" s="149"/>
      <c r="AD56" s="150"/>
      <c r="AK56" s="31" t="str">
        <f>IFERROR(INDEX('G-7 Rivers Data'!$AZ$3:$AZ$7,MATCH(C56,'G-7 Rivers Data'!$AY$3:$AY$7,0)),"")</f>
        <v/>
      </c>
    </row>
    <row r="57" spans="2:37" ht="14" x14ac:dyDescent="0.3">
      <c r="B57" s="141">
        <v>46</v>
      </c>
      <c r="C57" s="666"/>
      <c r="D57" s="172"/>
      <c r="E57" s="498" t="str">
        <f>IF(C57="","",VLOOKUP(C57,'G-7 Rivers Data'!$B$2:$Z$9,2,FALSE))</f>
        <v/>
      </c>
      <c r="F57" s="499" t="str">
        <f>IFERROR(VLOOKUP(E57,'G-7 Rivers Data'!$C$4:$D$8,2,FALSE),"")</f>
        <v/>
      </c>
      <c r="G57" s="145"/>
      <c r="H57" s="499" t="str">
        <f>IFERROR(INDEX('G-7 Rivers Data'!$H$4:$L$8,MATCH(C57,'G-7 Rivers Data'!$B$4:$B$8,0),MATCH(G57,'G-7 Rivers Data'!$H$3:$L$3,0)),"")</f>
        <v/>
      </c>
      <c r="I57" s="145"/>
      <c r="J57" s="540" t="str">
        <f>IF(I57="","",IF(VLOOKUP(I57,'G-7 Rivers Data'!$AG$4:$AI$9,2,FALSE)=0,"Spatial Data Missing ⚠",VLOOKUP(I57,'G-7 Rivers Data'!$AG$4:$AI$9,2,FALSE)))</f>
        <v/>
      </c>
      <c r="K57" s="499" t="str">
        <f>IF(I57="","",IF(VLOOKUP(I57,'G-7 Rivers Data'!$AG$4:$AI$9,3,FALSE)=0,"Spatial Data Missing ⚠",VLOOKUP(I57,'G-7 Rivers Data'!$AG$4:$AI$9,3,FALSE)))</f>
        <v/>
      </c>
      <c r="L57" s="635" t="str">
        <f>IFERROR(INDEX('G-7 Rivers Data'!$O$3:$O$7,MATCH(G57,'G-7 Rivers Data'!$N$3:$N$7,0)),"")</f>
        <v/>
      </c>
      <c r="M57" s="72"/>
      <c r="N57" s="195"/>
      <c r="O57" s="507" t="str">
        <f t="shared" si="1"/>
        <v/>
      </c>
      <c r="P57" s="521" t="str">
        <f t="shared" si="2"/>
        <v/>
      </c>
      <c r="Q57" s="564" t="str">
        <f>IFERROR(IF(P57="Check Data ⚠","Check Data ⚠",VLOOKUP(P57,'G-4 Temporal multipliers'!$A$4:$C$37,3,FALSE)),"")</f>
        <v/>
      </c>
      <c r="R57" s="498" t="str">
        <f>IF(C57="","",VLOOKUP(C57,'G-7 Rivers Data'!$B$4:$G$8,4,FALSE))</f>
        <v/>
      </c>
      <c r="S57" s="507" t="str">
        <f t="shared" si="3"/>
        <v/>
      </c>
      <c r="T57" s="540" t="str">
        <f t="shared" si="4"/>
        <v/>
      </c>
      <c r="U57" s="499" t="str">
        <f t="shared" si="5"/>
        <v/>
      </c>
      <c r="V57" s="71"/>
      <c r="W57" s="499" t="str">
        <f>IF(V57="","",IF(VLOOKUP(V57,'G-7 Rivers Data'!$AA$4:$AB$7,2,FALSE)=0,"Spatial Data Missing ⚠",VLOOKUP(V57,'G-7 Rivers Data'!$AA$4:$AB$7,2,FALSE)))</f>
        <v/>
      </c>
      <c r="X57" s="155"/>
      <c r="Y57" s="499" t="str">
        <f>IF(X57="","",IF(VLOOKUP(X57,'G-7 Rivers Data'!$AD$4:$AE$8,2,FALSE)=0,"Enrcoachment Data Missing ⚠",VLOOKUP(X57,'G-7 Rivers Data'!$AD$4:$AE$8,2,FALSE)))</f>
        <v/>
      </c>
      <c r="Z57" s="154"/>
      <c r="AA57" s="524" t="str">
        <f>IF(Z57="","",VLOOKUP(Z57,'G-7 Rivers Data'!$AO$4:$AP$7,2,FALSE))</f>
        <v/>
      </c>
      <c r="AB57" s="545" t="str">
        <f t="shared" si="6"/>
        <v/>
      </c>
      <c r="AC57" s="149"/>
      <c r="AD57" s="150"/>
      <c r="AK57" s="31" t="str">
        <f>IFERROR(INDEX('G-7 Rivers Data'!$AZ$3:$AZ$7,MATCH(C57,'G-7 Rivers Data'!$AY$3:$AY$7,0)),"")</f>
        <v/>
      </c>
    </row>
    <row r="58" spans="2:37" ht="14" x14ac:dyDescent="0.3">
      <c r="B58" s="141">
        <v>47</v>
      </c>
      <c r="C58" s="666"/>
      <c r="D58" s="172"/>
      <c r="E58" s="498" t="str">
        <f>IF(C58="","",VLOOKUP(C58,'G-7 Rivers Data'!$B$2:$Z$9,2,FALSE))</f>
        <v/>
      </c>
      <c r="F58" s="499" t="str">
        <f>IFERROR(VLOOKUP(E58,'G-7 Rivers Data'!$C$4:$D$8,2,FALSE),"")</f>
        <v/>
      </c>
      <c r="G58" s="145"/>
      <c r="H58" s="499" t="str">
        <f>IFERROR(INDEX('G-7 Rivers Data'!$H$4:$L$8,MATCH(C58,'G-7 Rivers Data'!$B$4:$B$8,0),MATCH(G58,'G-7 Rivers Data'!$H$3:$L$3,0)),"")</f>
        <v/>
      </c>
      <c r="I58" s="145"/>
      <c r="J58" s="540" t="str">
        <f>IF(I58="","",IF(VLOOKUP(I58,'G-7 Rivers Data'!$AG$4:$AI$9,2,FALSE)=0,"Spatial Data Missing ⚠",VLOOKUP(I58,'G-7 Rivers Data'!$AG$4:$AI$9,2,FALSE)))</f>
        <v/>
      </c>
      <c r="K58" s="499" t="str">
        <f>IF(I58="","",IF(VLOOKUP(I58,'G-7 Rivers Data'!$AG$4:$AI$9,3,FALSE)=0,"Spatial Data Missing ⚠",VLOOKUP(I58,'G-7 Rivers Data'!$AG$4:$AI$9,3,FALSE)))</f>
        <v/>
      </c>
      <c r="L58" s="635" t="str">
        <f>IFERROR(INDEX('G-7 Rivers Data'!$O$3:$O$7,MATCH(G58,'G-7 Rivers Data'!$N$3:$N$7,0)),"")</f>
        <v/>
      </c>
      <c r="M58" s="72"/>
      <c r="N58" s="195"/>
      <c r="O58" s="507" t="str">
        <f t="shared" si="1"/>
        <v/>
      </c>
      <c r="P58" s="521" t="str">
        <f t="shared" si="2"/>
        <v/>
      </c>
      <c r="Q58" s="564" t="str">
        <f>IFERROR(IF(P58="Check Data ⚠","Check Data ⚠",VLOOKUP(P58,'G-4 Temporal multipliers'!$A$4:$C$37,3,FALSE)),"")</f>
        <v/>
      </c>
      <c r="R58" s="498" t="str">
        <f>IF(C58="","",VLOOKUP(C58,'G-7 Rivers Data'!$B$4:$G$8,4,FALSE))</f>
        <v/>
      </c>
      <c r="S58" s="507" t="str">
        <f t="shared" si="3"/>
        <v/>
      </c>
      <c r="T58" s="540" t="str">
        <f t="shared" si="4"/>
        <v/>
      </c>
      <c r="U58" s="499" t="str">
        <f t="shared" si="5"/>
        <v/>
      </c>
      <c r="V58" s="71"/>
      <c r="W58" s="499" t="str">
        <f>IF(V58="","",IF(VLOOKUP(V58,'G-7 Rivers Data'!$AA$4:$AB$7,2,FALSE)=0,"Spatial Data Missing ⚠",VLOOKUP(V58,'G-7 Rivers Data'!$AA$4:$AB$7,2,FALSE)))</f>
        <v/>
      </c>
      <c r="X58" s="155"/>
      <c r="Y58" s="499" t="str">
        <f>IF(X58="","",IF(VLOOKUP(X58,'G-7 Rivers Data'!$AD$4:$AE$8,2,FALSE)=0,"Enrcoachment Data Missing ⚠",VLOOKUP(X58,'G-7 Rivers Data'!$AD$4:$AE$8,2,FALSE)))</f>
        <v/>
      </c>
      <c r="Z58" s="154"/>
      <c r="AA58" s="524" t="str">
        <f>IF(Z58="","",VLOOKUP(Z58,'G-7 Rivers Data'!$AO$4:$AP$7,2,FALSE))</f>
        <v/>
      </c>
      <c r="AB58" s="545" t="str">
        <f t="shared" si="6"/>
        <v/>
      </c>
      <c r="AC58" s="149"/>
      <c r="AD58" s="150"/>
      <c r="AK58" s="31" t="str">
        <f>IFERROR(INDEX('G-7 Rivers Data'!$AZ$3:$AZ$7,MATCH(C58,'G-7 Rivers Data'!$AY$3:$AY$7,0)),"")</f>
        <v/>
      </c>
    </row>
    <row r="59" spans="2:37" ht="14" x14ac:dyDescent="0.3">
      <c r="B59" s="141">
        <v>48</v>
      </c>
      <c r="C59" s="666"/>
      <c r="D59" s="172"/>
      <c r="E59" s="498" t="str">
        <f>IF(C59="","",VLOOKUP(C59,'G-7 Rivers Data'!$B$2:$Z$9,2,FALSE))</f>
        <v/>
      </c>
      <c r="F59" s="499" t="str">
        <f>IFERROR(VLOOKUP(E59,'G-7 Rivers Data'!$C$4:$D$8,2,FALSE),"")</f>
        <v/>
      </c>
      <c r="G59" s="145"/>
      <c r="H59" s="499" t="str">
        <f>IFERROR(INDEX('G-7 Rivers Data'!$H$4:$L$8,MATCH(C59,'G-7 Rivers Data'!$B$4:$B$8,0),MATCH(G59,'G-7 Rivers Data'!$H$3:$L$3,0)),"")</f>
        <v/>
      </c>
      <c r="I59" s="145"/>
      <c r="J59" s="540" t="str">
        <f>IF(I59="","",IF(VLOOKUP(I59,'G-7 Rivers Data'!$AG$4:$AI$9,2,FALSE)=0,"Spatial Data Missing ⚠",VLOOKUP(I59,'G-7 Rivers Data'!$AG$4:$AI$9,2,FALSE)))</f>
        <v/>
      </c>
      <c r="K59" s="499" t="str">
        <f>IF(I59="","",IF(VLOOKUP(I59,'G-7 Rivers Data'!$AG$4:$AI$9,3,FALSE)=0,"Spatial Data Missing ⚠",VLOOKUP(I59,'G-7 Rivers Data'!$AG$4:$AI$9,3,FALSE)))</f>
        <v/>
      </c>
      <c r="L59" s="635" t="str">
        <f>IFERROR(INDEX('G-7 Rivers Data'!$O$3:$O$7,MATCH(G59,'G-7 Rivers Data'!$N$3:$N$7,0)),"")</f>
        <v/>
      </c>
      <c r="M59" s="72"/>
      <c r="N59" s="195"/>
      <c r="O59" s="507" t="str">
        <f t="shared" si="1"/>
        <v/>
      </c>
      <c r="P59" s="521" t="str">
        <f t="shared" si="2"/>
        <v/>
      </c>
      <c r="Q59" s="564" t="str">
        <f>IFERROR(IF(P59="Check Data ⚠","Check Data ⚠",VLOOKUP(P59,'G-4 Temporal multipliers'!$A$4:$C$37,3,FALSE)),"")</f>
        <v/>
      </c>
      <c r="R59" s="498" t="str">
        <f>IF(C59="","",VLOOKUP(C59,'G-7 Rivers Data'!$B$4:$G$8,4,FALSE))</f>
        <v/>
      </c>
      <c r="S59" s="507" t="str">
        <f t="shared" si="3"/>
        <v/>
      </c>
      <c r="T59" s="540" t="str">
        <f t="shared" si="4"/>
        <v/>
      </c>
      <c r="U59" s="499" t="str">
        <f t="shared" si="5"/>
        <v/>
      </c>
      <c r="V59" s="71"/>
      <c r="W59" s="499" t="str">
        <f>IF(V59="","",IF(VLOOKUP(V59,'G-7 Rivers Data'!$AA$4:$AB$7,2,FALSE)=0,"Spatial Data Missing ⚠",VLOOKUP(V59,'G-7 Rivers Data'!$AA$4:$AB$7,2,FALSE)))</f>
        <v/>
      </c>
      <c r="X59" s="155"/>
      <c r="Y59" s="499" t="str">
        <f>IF(X59="","",IF(VLOOKUP(X59,'G-7 Rivers Data'!$AD$4:$AE$8,2,FALSE)=0,"Enrcoachment Data Missing ⚠",VLOOKUP(X59,'G-7 Rivers Data'!$AD$4:$AE$8,2,FALSE)))</f>
        <v/>
      </c>
      <c r="Z59" s="154"/>
      <c r="AA59" s="524" t="str">
        <f>IF(Z59="","",VLOOKUP(Z59,'G-7 Rivers Data'!$AO$4:$AP$7,2,FALSE))</f>
        <v/>
      </c>
      <c r="AB59" s="545" t="str">
        <f t="shared" si="6"/>
        <v/>
      </c>
      <c r="AC59" s="149"/>
      <c r="AD59" s="150"/>
      <c r="AK59" s="31" t="str">
        <f>IFERROR(INDEX('G-7 Rivers Data'!$AZ$3:$AZ$7,MATCH(C59,'G-7 Rivers Data'!$AY$3:$AY$7,0)),"")</f>
        <v/>
      </c>
    </row>
    <row r="60" spans="2:37" ht="14" x14ac:dyDescent="0.3">
      <c r="B60" s="141">
        <v>49</v>
      </c>
      <c r="C60" s="666"/>
      <c r="D60" s="172"/>
      <c r="E60" s="498" t="str">
        <f>IF(C60="","",VLOOKUP(C60,'G-7 Rivers Data'!$B$2:$Z$9,2,FALSE))</f>
        <v/>
      </c>
      <c r="F60" s="499" t="str">
        <f>IFERROR(VLOOKUP(E60,'G-7 Rivers Data'!$C$4:$D$8,2,FALSE),"")</f>
        <v/>
      </c>
      <c r="G60" s="145"/>
      <c r="H60" s="499" t="str">
        <f>IFERROR(INDEX('G-7 Rivers Data'!$H$4:$L$8,MATCH(C60,'G-7 Rivers Data'!$B$4:$B$8,0),MATCH(G60,'G-7 Rivers Data'!$H$3:$L$3,0)),"")</f>
        <v/>
      </c>
      <c r="I60" s="145"/>
      <c r="J60" s="540" t="str">
        <f>IF(I60="","",IF(VLOOKUP(I60,'G-7 Rivers Data'!$AG$4:$AI$9,2,FALSE)=0,"Spatial Data Missing ⚠",VLOOKUP(I60,'G-7 Rivers Data'!$AG$4:$AI$9,2,FALSE)))</f>
        <v/>
      </c>
      <c r="K60" s="499" t="str">
        <f>IF(I60="","",IF(VLOOKUP(I60,'G-7 Rivers Data'!$AG$4:$AI$9,3,FALSE)=0,"Spatial Data Missing ⚠",VLOOKUP(I60,'G-7 Rivers Data'!$AG$4:$AI$9,3,FALSE)))</f>
        <v/>
      </c>
      <c r="L60" s="635" t="str">
        <f>IFERROR(INDEX('G-7 Rivers Data'!$O$3:$O$7,MATCH(G60,'G-7 Rivers Data'!$N$3:$N$7,0)),"")</f>
        <v/>
      </c>
      <c r="M60" s="72"/>
      <c r="N60" s="195"/>
      <c r="O60" s="507" t="str">
        <f t="shared" si="1"/>
        <v/>
      </c>
      <c r="P60" s="521" t="str">
        <f t="shared" si="2"/>
        <v/>
      </c>
      <c r="Q60" s="564" t="str">
        <f>IFERROR(IF(P60="Check Data ⚠","Check Data ⚠",VLOOKUP(P60,'G-4 Temporal multipliers'!$A$4:$C$37,3,FALSE)),"")</f>
        <v/>
      </c>
      <c r="R60" s="498" t="str">
        <f>IF(C60="","",VLOOKUP(C60,'G-7 Rivers Data'!$B$4:$G$8,4,FALSE))</f>
        <v/>
      </c>
      <c r="S60" s="507" t="str">
        <f t="shared" si="3"/>
        <v/>
      </c>
      <c r="T60" s="540" t="str">
        <f t="shared" si="4"/>
        <v/>
      </c>
      <c r="U60" s="499" t="str">
        <f t="shared" si="5"/>
        <v/>
      </c>
      <c r="V60" s="71"/>
      <c r="W60" s="499" t="str">
        <f>IF(V60="","",IF(VLOOKUP(V60,'G-7 Rivers Data'!$AA$4:$AB$7,2,FALSE)=0,"Spatial Data Missing ⚠",VLOOKUP(V60,'G-7 Rivers Data'!$AA$4:$AB$7,2,FALSE)))</f>
        <v/>
      </c>
      <c r="X60" s="155"/>
      <c r="Y60" s="499" t="str">
        <f>IF(X60="","",IF(VLOOKUP(X60,'G-7 Rivers Data'!$AD$4:$AE$8,2,FALSE)=0,"Enrcoachment Data Missing ⚠",VLOOKUP(X60,'G-7 Rivers Data'!$AD$4:$AE$8,2,FALSE)))</f>
        <v/>
      </c>
      <c r="Z60" s="154"/>
      <c r="AA60" s="524" t="str">
        <f>IF(Z60="","",VLOOKUP(Z60,'G-7 Rivers Data'!$AO$4:$AP$7,2,FALSE))</f>
        <v/>
      </c>
      <c r="AB60" s="545" t="str">
        <f t="shared" si="6"/>
        <v/>
      </c>
      <c r="AC60" s="149"/>
      <c r="AD60" s="150"/>
      <c r="AK60" s="31" t="str">
        <f>IFERROR(INDEX('G-7 Rivers Data'!$AZ$3:$AZ$7,MATCH(C60,'G-7 Rivers Data'!$AY$3:$AY$7,0)),"")</f>
        <v/>
      </c>
    </row>
    <row r="61" spans="2:37" ht="14" x14ac:dyDescent="0.3">
      <c r="B61" s="141">
        <v>50</v>
      </c>
      <c r="C61" s="666"/>
      <c r="D61" s="172"/>
      <c r="E61" s="498" t="str">
        <f>IF(C61="","",VLOOKUP(C61,'G-7 Rivers Data'!$B$2:$Z$9,2,FALSE))</f>
        <v/>
      </c>
      <c r="F61" s="499" t="str">
        <f>IFERROR(VLOOKUP(E61,'G-7 Rivers Data'!$C$4:$D$8,2,FALSE),"")</f>
        <v/>
      </c>
      <c r="G61" s="145"/>
      <c r="H61" s="499" t="str">
        <f>IFERROR(INDEX('G-7 Rivers Data'!$H$4:$L$8,MATCH(C61,'G-7 Rivers Data'!$B$4:$B$8,0),MATCH(G61,'G-7 Rivers Data'!$H$3:$L$3,0)),"")</f>
        <v/>
      </c>
      <c r="I61" s="145"/>
      <c r="J61" s="540" t="str">
        <f>IF(I61="","",IF(VLOOKUP(I61,'G-7 Rivers Data'!$AG$4:$AI$9,2,FALSE)=0,"Spatial Data Missing ⚠",VLOOKUP(I61,'G-7 Rivers Data'!$AG$4:$AI$9,2,FALSE)))</f>
        <v/>
      </c>
      <c r="K61" s="499" t="str">
        <f>IF(I61="","",IF(VLOOKUP(I61,'G-7 Rivers Data'!$AG$4:$AI$9,3,FALSE)=0,"Spatial Data Missing ⚠",VLOOKUP(I61,'G-7 Rivers Data'!$AG$4:$AI$9,3,FALSE)))</f>
        <v/>
      </c>
      <c r="L61" s="635" t="str">
        <f>IFERROR(INDEX('G-7 Rivers Data'!$O$3:$O$7,MATCH(G61,'G-7 Rivers Data'!$N$3:$N$7,0)),"")</f>
        <v/>
      </c>
      <c r="M61" s="72"/>
      <c r="N61" s="195"/>
      <c r="O61" s="507" t="str">
        <f t="shared" si="1"/>
        <v/>
      </c>
      <c r="P61" s="521" t="str">
        <f t="shared" si="2"/>
        <v/>
      </c>
      <c r="Q61" s="564" t="str">
        <f>IFERROR(IF(P61="Check Data ⚠","Check Data ⚠",VLOOKUP(P61,'G-4 Temporal multipliers'!$A$4:$C$37,3,FALSE)),"")</f>
        <v/>
      </c>
      <c r="R61" s="498" t="str">
        <f>IF(C61="","",VLOOKUP(C61,'G-7 Rivers Data'!$B$4:$G$8,4,FALSE))</f>
        <v/>
      </c>
      <c r="S61" s="507" t="str">
        <f t="shared" si="3"/>
        <v/>
      </c>
      <c r="T61" s="540" t="str">
        <f t="shared" si="4"/>
        <v/>
      </c>
      <c r="U61" s="499" t="str">
        <f t="shared" si="5"/>
        <v/>
      </c>
      <c r="V61" s="71"/>
      <c r="W61" s="499" t="str">
        <f>IF(V61="","",IF(VLOOKUP(V61,'G-7 Rivers Data'!$AA$4:$AB$7,2,FALSE)=0,"Spatial Data Missing ⚠",VLOOKUP(V61,'G-7 Rivers Data'!$AA$4:$AB$7,2,FALSE)))</f>
        <v/>
      </c>
      <c r="X61" s="155"/>
      <c r="Y61" s="499" t="str">
        <f>IF(X61="","",IF(VLOOKUP(X61,'G-7 Rivers Data'!$AD$4:$AE$8,2,FALSE)=0,"Enrcoachment Data Missing ⚠",VLOOKUP(X61,'G-7 Rivers Data'!$AD$4:$AE$8,2,FALSE)))</f>
        <v/>
      </c>
      <c r="Z61" s="154"/>
      <c r="AA61" s="524" t="str">
        <f>IF(Z61="","",VLOOKUP(Z61,'G-7 Rivers Data'!$AO$4:$AP$7,2,FALSE))</f>
        <v/>
      </c>
      <c r="AB61" s="545" t="str">
        <f t="shared" si="6"/>
        <v/>
      </c>
      <c r="AC61" s="149"/>
      <c r="AD61" s="150"/>
      <c r="AK61" s="31" t="str">
        <f>IFERROR(INDEX('G-7 Rivers Data'!$AZ$3:$AZ$7,MATCH(C61,'G-7 Rivers Data'!$AY$3:$AY$7,0)),"")</f>
        <v/>
      </c>
    </row>
    <row r="62" spans="2:37" ht="14" x14ac:dyDescent="0.3">
      <c r="B62" s="141">
        <v>51</v>
      </c>
      <c r="C62" s="666"/>
      <c r="D62" s="172"/>
      <c r="E62" s="498" t="str">
        <f>IF(C62="","",VLOOKUP(C62,'G-7 Rivers Data'!$B$2:$Z$9,2,FALSE))</f>
        <v/>
      </c>
      <c r="F62" s="499" t="str">
        <f>IFERROR(VLOOKUP(E62,'G-7 Rivers Data'!$C$4:$D$8,2,FALSE),"")</f>
        <v/>
      </c>
      <c r="G62" s="145"/>
      <c r="H62" s="499" t="str">
        <f>IFERROR(INDEX('G-7 Rivers Data'!$H$4:$L$8,MATCH(C62,'G-7 Rivers Data'!$B$4:$B$8,0),MATCH(G62,'G-7 Rivers Data'!$H$3:$L$3,0)),"")</f>
        <v/>
      </c>
      <c r="I62" s="145"/>
      <c r="J62" s="540" t="str">
        <f>IF(I62="","",IF(VLOOKUP(I62,'G-7 Rivers Data'!$AG$4:$AI$9,2,FALSE)=0,"Spatial Data Missing ⚠",VLOOKUP(I62,'G-7 Rivers Data'!$AG$4:$AI$9,2,FALSE)))</f>
        <v/>
      </c>
      <c r="K62" s="499" t="str">
        <f>IF(I62="","",IF(VLOOKUP(I62,'G-7 Rivers Data'!$AG$4:$AI$9,3,FALSE)=0,"Spatial Data Missing ⚠",VLOOKUP(I62,'G-7 Rivers Data'!$AG$4:$AI$9,3,FALSE)))</f>
        <v/>
      </c>
      <c r="L62" s="635" t="str">
        <f>IFERROR(INDEX('G-7 Rivers Data'!$O$3:$O$7,MATCH(G62,'G-7 Rivers Data'!$N$3:$N$7,0)),"")</f>
        <v/>
      </c>
      <c r="M62" s="72"/>
      <c r="N62" s="195"/>
      <c r="O62" s="507" t="str">
        <f t="shared" si="1"/>
        <v/>
      </c>
      <c r="P62" s="521" t="str">
        <f t="shared" si="2"/>
        <v/>
      </c>
      <c r="Q62" s="564" t="str">
        <f>IFERROR(IF(P62="Check Data ⚠","Check Data ⚠",VLOOKUP(P62,'G-4 Temporal multipliers'!$A$4:$C$37,3,FALSE)),"")</f>
        <v/>
      </c>
      <c r="R62" s="498" t="str">
        <f>IF(C62="","",VLOOKUP(C62,'G-7 Rivers Data'!$B$4:$G$8,4,FALSE))</f>
        <v/>
      </c>
      <c r="S62" s="507" t="str">
        <f t="shared" si="3"/>
        <v/>
      </c>
      <c r="T62" s="540" t="str">
        <f t="shared" si="4"/>
        <v/>
      </c>
      <c r="U62" s="499" t="str">
        <f t="shared" si="5"/>
        <v/>
      </c>
      <c r="V62" s="71"/>
      <c r="W62" s="499" t="str">
        <f>IF(V62="","",IF(VLOOKUP(V62,'G-7 Rivers Data'!$AA$4:$AB$7,2,FALSE)=0,"Spatial Data Missing ⚠",VLOOKUP(V62,'G-7 Rivers Data'!$AA$4:$AB$7,2,FALSE)))</f>
        <v/>
      </c>
      <c r="X62" s="155"/>
      <c r="Y62" s="499" t="str">
        <f>IF(X62="","",IF(VLOOKUP(X62,'G-7 Rivers Data'!$AD$4:$AE$8,2,FALSE)=0,"Enrcoachment Data Missing ⚠",VLOOKUP(X62,'G-7 Rivers Data'!$AD$4:$AE$8,2,FALSE)))</f>
        <v/>
      </c>
      <c r="Z62" s="154"/>
      <c r="AA62" s="524" t="str">
        <f>IF(Z62="","",VLOOKUP(Z62,'G-7 Rivers Data'!$AO$4:$AP$7,2,FALSE))</f>
        <v/>
      </c>
      <c r="AB62" s="545" t="str">
        <f t="shared" si="6"/>
        <v/>
      </c>
      <c r="AC62" s="149"/>
      <c r="AD62" s="150"/>
      <c r="AK62" s="31" t="str">
        <f>IFERROR(INDEX('G-7 Rivers Data'!$AZ$3:$AZ$7,MATCH(C62,'G-7 Rivers Data'!$AY$3:$AY$7,0)),"")</f>
        <v/>
      </c>
    </row>
    <row r="63" spans="2:37" ht="14" x14ac:dyDescent="0.3">
      <c r="B63" s="141">
        <v>52</v>
      </c>
      <c r="C63" s="666"/>
      <c r="D63" s="172"/>
      <c r="E63" s="498" t="str">
        <f>IF(C63="","",VLOOKUP(C63,'G-7 Rivers Data'!$B$2:$Z$9,2,FALSE))</f>
        <v/>
      </c>
      <c r="F63" s="499" t="str">
        <f>IFERROR(VLOOKUP(E63,'G-7 Rivers Data'!$C$4:$D$8,2,FALSE),"")</f>
        <v/>
      </c>
      <c r="G63" s="145"/>
      <c r="H63" s="499" t="str">
        <f>IFERROR(INDEX('G-7 Rivers Data'!$H$4:$L$8,MATCH(C63,'G-7 Rivers Data'!$B$4:$B$8,0),MATCH(G63,'G-7 Rivers Data'!$H$3:$L$3,0)),"")</f>
        <v/>
      </c>
      <c r="I63" s="145"/>
      <c r="J63" s="540" t="str">
        <f>IF(I63="","",IF(VLOOKUP(I63,'G-7 Rivers Data'!$AG$4:$AI$9,2,FALSE)=0,"Spatial Data Missing ⚠",VLOOKUP(I63,'G-7 Rivers Data'!$AG$4:$AI$9,2,FALSE)))</f>
        <v/>
      </c>
      <c r="K63" s="499" t="str">
        <f>IF(I63="","",IF(VLOOKUP(I63,'G-7 Rivers Data'!$AG$4:$AI$9,3,FALSE)=0,"Spatial Data Missing ⚠",VLOOKUP(I63,'G-7 Rivers Data'!$AG$4:$AI$9,3,FALSE)))</f>
        <v/>
      </c>
      <c r="L63" s="635" t="str">
        <f>IFERROR(INDEX('G-7 Rivers Data'!$O$3:$O$7,MATCH(G63,'G-7 Rivers Data'!$N$3:$N$7,0)),"")</f>
        <v/>
      </c>
      <c r="M63" s="72"/>
      <c r="N63" s="195"/>
      <c r="O63" s="507" t="str">
        <f t="shared" si="1"/>
        <v/>
      </c>
      <c r="P63" s="521" t="str">
        <f t="shared" si="2"/>
        <v/>
      </c>
      <c r="Q63" s="564" t="str">
        <f>IFERROR(IF(P63="Check Data ⚠","Check Data ⚠",VLOOKUP(P63,'G-4 Temporal multipliers'!$A$4:$C$37,3,FALSE)),"")</f>
        <v/>
      </c>
      <c r="R63" s="498" t="str">
        <f>IF(C63="","",VLOOKUP(C63,'G-7 Rivers Data'!$B$4:$G$8,4,FALSE))</f>
        <v/>
      </c>
      <c r="S63" s="507" t="str">
        <f t="shared" si="3"/>
        <v/>
      </c>
      <c r="T63" s="540" t="str">
        <f t="shared" si="4"/>
        <v/>
      </c>
      <c r="U63" s="499" t="str">
        <f t="shared" si="5"/>
        <v/>
      </c>
      <c r="V63" s="71"/>
      <c r="W63" s="499" t="str">
        <f>IF(V63="","",IF(VLOOKUP(V63,'G-7 Rivers Data'!$AA$4:$AB$7,2,FALSE)=0,"Spatial Data Missing ⚠",VLOOKUP(V63,'G-7 Rivers Data'!$AA$4:$AB$7,2,FALSE)))</f>
        <v/>
      </c>
      <c r="X63" s="155"/>
      <c r="Y63" s="499" t="str">
        <f>IF(X63="","",IF(VLOOKUP(X63,'G-7 Rivers Data'!$AD$4:$AE$8,2,FALSE)=0,"Enrcoachment Data Missing ⚠",VLOOKUP(X63,'G-7 Rivers Data'!$AD$4:$AE$8,2,FALSE)))</f>
        <v/>
      </c>
      <c r="Z63" s="154"/>
      <c r="AA63" s="524" t="str">
        <f>IF(Z63="","",VLOOKUP(Z63,'G-7 Rivers Data'!$AO$4:$AP$7,2,FALSE))</f>
        <v/>
      </c>
      <c r="AB63" s="545" t="str">
        <f t="shared" si="6"/>
        <v/>
      </c>
      <c r="AC63" s="149"/>
      <c r="AD63" s="150"/>
      <c r="AK63" s="31" t="str">
        <f>IFERROR(INDEX('G-7 Rivers Data'!$AZ$3:$AZ$7,MATCH(C63,'G-7 Rivers Data'!$AY$3:$AY$7,0)),"")</f>
        <v/>
      </c>
    </row>
    <row r="64" spans="2:37" ht="14" x14ac:dyDescent="0.3">
      <c r="B64" s="141">
        <v>53</v>
      </c>
      <c r="C64" s="666"/>
      <c r="D64" s="172"/>
      <c r="E64" s="498" t="str">
        <f>IF(C64="","",VLOOKUP(C64,'G-7 Rivers Data'!$B$2:$Z$9,2,FALSE))</f>
        <v/>
      </c>
      <c r="F64" s="499" t="str">
        <f>IFERROR(VLOOKUP(E64,'G-7 Rivers Data'!$C$4:$D$8,2,FALSE),"")</f>
        <v/>
      </c>
      <c r="G64" s="145"/>
      <c r="H64" s="499" t="str">
        <f>IFERROR(INDEX('G-7 Rivers Data'!$H$4:$L$8,MATCH(C64,'G-7 Rivers Data'!$B$4:$B$8,0),MATCH(G64,'G-7 Rivers Data'!$H$3:$L$3,0)),"")</f>
        <v/>
      </c>
      <c r="I64" s="145"/>
      <c r="J64" s="540" t="str">
        <f>IF(I64="","",IF(VLOOKUP(I64,'G-7 Rivers Data'!$AG$4:$AI$9,2,FALSE)=0,"Spatial Data Missing ⚠",VLOOKUP(I64,'G-7 Rivers Data'!$AG$4:$AI$9,2,FALSE)))</f>
        <v/>
      </c>
      <c r="K64" s="499" t="str">
        <f>IF(I64="","",IF(VLOOKUP(I64,'G-7 Rivers Data'!$AG$4:$AI$9,3,FALSE)=0,"Spatial Data Missing ⚠",VLOOKUP(I64,'G-7 Rivers Data'!$AG$4:$AI$9,3,FALSE)))</f>
        <v/>
      </c>
      <c r="L64" s="635" t="str">
        <f>IFERROR(INDEX('G-7 Rivers Data'!$O$3:$O$7,MATCH(G64,'G-7 Rivers Data'!$N$3:$N$7,0)),"")</f>
        <v/>
      </c>
      <c r="M64" s="72"/>
      <c r="N64" s="195"/>
      <c r="O64" s="507" t="str">
        <f t="shared" si="1"/>
        <v/>
      </c>
      <c r="P64" s="521" t="str">
        <f t="shared" si="2"/>
        <v/>
      </c>
      <c r="Q64" s="564" t="str">
        <f>IFERROR(IF(P64="Check Data ⚠","Check Data ⚠",VLOOKUP(P64,'G-4 Temporal multipliers'!$A$4:$C$37,3,FALSE)),"")</f>
        <v/>
      </c>
      <c r="R64" s="498" t="str">
        <f>IF(C64="","",VLOOKUP(C64,'G-7 Rivers Data'!$B$4:$G$8,4,FALSE))</f>
        <v/>
      </c>
      <c r="S64" s="507" t="str">
        <f t="shared" si="3"/>
        <v/>
      </c>
      <c r="T64" s="540" t="str">
        <f t="shared" si="4"/>
        <v/>
      </c>
      <c r="U64" s="499" t="str">
        <f t="shared" si="5"/>
        <v/>
      </c>
      <c r="V64" s="71"/>
      <c r="W64" s="499" t="str">
        <f>IF(V64="","",IF(VLOOKUP(V64,'G-7 Rivers Data'!$AA$4:$AB$7,2,FALSE)=0,"Spatial Data Missing ⚠",VLOOKUP(V64,'G-7 Rivers Data'!$AA$4:$AB$7,2,FALSE)))</f>
        <v/>
      </c>
      <c r="X64" s="155"/>
      <c r="Y64" s="499" t="str">
        <f>IF(X64="","",IF(VLOOKUP(X64,'G-7 Rivers Data'!$AD$4:$AE$8,2,FALSE)=0,"Enrcoachment Data Missing ⚠",VLOOKUP(X64,'G-7 Rivers Data'!$AD$4:$AE$8,2,FALSE)))</f>
        <v/>
      </c>
      <c r="Z64" s="154"/>
      <c r="AA64" s="524" t="str">
        <f>IF(Z64="","",VLOOKUP(Z64,'G-7 Rivers Data'!$AO$4:$AP$7,2,FALSE))</f>
        <v/>
      </c>
      <c r="AB64" s="545" t="str">
        <f t="shared" si="6"/>
        <v/>
      </c>
      <c r="AC64" s="149"/>
      <c r="AD64" s="150"/>
      <c r="AK64" s="31" t="str">
        <f>IFERROR(INDEX('G-7 Rivers Data'!$AZ$3:$AZ$7,MATCH(C64,'G-7 Rivers Data'!$AY$3:$AY$7,0)),"")</f>
        <v/>
      </c>
    </row>
    <row r="65" spans="2:37" ht="14" x14ac:dyDescent="0.3">
      <c r="B65" s="141">
        <v>54</v>
      </c>
      <c r="C65" s="666"/>
      <c r="D65" s="172"/>
      <c r="E65" s="498" t="str">
        <f>IF(C65="","",VLOOKUP(C65,'G-7 Rivers Data'!$B$2:$Z$9,2,FALSE))</f>
        <v/>
      </c>
      <c r="F65" s="499" t="str">
        <f>IFERROR(VLOOKUP(E65,'G-7 Rivers Data'!$C$4:$D$8,2,FALSE),"")</f>
        <v/>
      </c>
      <c r="G65" s="145"/>
      <c r="H65" s="499" t="str">
        <f>IFERROR(INDEX('G-7 Rivers Data'!$H$4:$L$8,MATCH(C65,'G-7 Rivers Data'!$B$4:$B$8,0),MATCH(G65,'G-7 Rivers Data'!$H$3:$L$3,0)),"")</f>
        <v/>
      </c>
      <c r="I65" s="145"/>
      <c r="J65" s="540" t="str">
        <f>IF(I65="","",IF(VLOOKUP(I65,'G-7 Rivers Data'!$AG$4:$AI$9,2,FALSE)=0,"Spatial Data Missing ⚠",VLOOKUP(I65,'G-7 Rivers Data'!$AG$4:$AI$9,2,FALSE)))</f>
        <v/>
      </c>
      <c r="K65" s="499" t="str">
        <f>IF(I65="","",IF(VLOOKUP(I65,'G-7 Rivers Data'!$AG$4:$AI$9,3,FALSE)=0,"Spatial Data Missing ⚠",VLOOKUP(I65,'G-7 Rivers Data'!$AG$4:$AI$9,3,FALSE)))</f>
        <v/>
      </c>
      <c r="L65" s="635" t="str">
        <f>IFERROR(INDEX('G-7 Rivers Data'!$O$3:$O$7,MATCH(G65,'G-7 Rivers Data'!$N$3:$N$7,0)),"")</f>
        <v/>
      </c>
      <c r="M65" s="72"/>
      <c r="N65" s="195"/>
      <c r="O65" s="507" t="str">
        <f t="shared" si="1"/>
        <v/>
      </c>
      <c r="P65" s="521" t="str">
        <f t="shared" si="2"/>
        <v/>
      </c>
      <c r="Q65" s="564" t="str">
        <f>IFERROR(IF(P65="Check Data ⚠","Check Data ⚠",VLOOKUP(P65,'G-4 Temporal multipliers'!$A$4:$C$37,3,FALSE)),"")</f>
        <v/>
      </c>
      <c r="R65" s="498" t="str">
        <f>IF(C65="","",VLOOKUP(C65,'G-7 Rivers Data'!$B$4:$G$8,4,FALSE))</f>
        <v/>
      </c>
      <c r="S65" s="507" t="str">
        <f t="shared" si="3"/>
        <v/>
      </c>
      <c r="T65" s="540" t="str">
        <f t="shared" si="4"/>
        <v/>
      </c>
      <c r="U65" s="499" t="str">
        <f t="shared" si="5"/>
        <v/>
      </c>
      <c r="V65" s="71"/>
      <c r="W65" s="499" t="str">
        <f>IF(V65="","",IF(VLOOKUP(V65,'G-7 Rivers Data'!$AA$4:$AB$7,2,FALSE)=0,"Spatial Data Missing ⚠",VLOOKUP(V65,'G-7 Rivers Data'!$AA$4:$AB$7,2,FALSE)))</f>
        <v/>
      </c>
      <c r="X65" s="155"/>
      <c r="Y65" s="499" t="str">
        <f>IF(X65="","",IF(VLOOKUP(X65,'G-7 Rivers Data'!$AD$4:$AE$8,2,FALSE)=0,"Enrcoachment Data Missing ⚠",VLOOKUP(X65,'G-7 Rivers Data'!$AD$4:$AE$8,2,FALSE)))</f>
        <v/>
      </c>
      <c r="Z65" s="154"/>
      <c r="AA65" s="524" t="str">
        <f>IF(Z65="","",VLOOKUP(Z65,'G-7 Rivers Data'!$AO$4:$AP$7,2,FALSE))</f>
        <v/>
      </c>
      <c r="AB65" s="545" t="str">
        <f t="shared" si="6"/>
        <v/>
      </c>
      <c r="AC65" s="149"/>
      <c r="AD65" s="150"/>
      <c r="AK65" s="31" t="str">
        <f>IFERROR(INDEX('G-7 Rivers Data'!$AZ$3:$AZ$7,MATCH(C65,'G-7 Rivers Data'!$AY$3:$AY$7,0)),"")</f>
        <v/>
      </c>
    </row>
    <row r="66" spans="2:37" ht="14" x14ac:dyDescent="0.3">
      <c r="B66" s="141">
        <v>55</v>
      </c>
      <c r="C66" s="666"/>
      <c r="D66" s="172"/>
      <c r="E66" s="498" t="str">
        <f>IF(C66="","",VLOOKUP(C66,'G-7 Rivers Data'!$B$2:$Z$9,2,FALSE))</f>
        <v/>
      </c>
      <c r="F66" s="499" t="str">
        <f>IFERROR(VLOOKUP(E66,'G-7 Rivers Data'!$C$4:$D$8,2,FALSE),"")</f>
        <v/>
      </c>
      <c r="G66" s="145"/>
      <c r="H66" s="499" t="str">
        <f>IFERROR(INDEX('G-7 Rivers Data'!$H$4:$L$8,MATCH(C66,'G-7 Rivers Data'!$B$4:$B$8,0),MATCH(G66,'G-7 Rivers Data'!$H$3:$L$3,0)),"")</f>
        <v/>
      </c>
      <c r="I66" s="145"/>
      <c r="J66" s="540" t="str">
        <f>IF(I66="","",IF(VLOOKUP(I66,'G-7 Rivers Data'!$AG$4:$AI$9,2,FALSE)=0,"Spatial Data Missing ⚠",VLOOKUP(I66,'G-7 Rivers Data'!$AG$4:$AI$9,2,FALSE)))</f>
        <v/>
      </c>
      <c r="K66" s="499" t="str">
        <f>IF(I66="","",IF(VLOOKUP(I66,'G-7 Rivers Data'!$AG$4:$AI$9,3,FALSE)=0,"Spatial Data Missing ⚠",VLOOKUP(I66,'G-7 Rivers Data'!$AG$4:$AI$9,3,FALSE)))</f>
        <v/>
      </c>
      <c r="L66" s="635" t="str">
        <f>IFERROR(INDEX('G-7 Rivers Data'!$O$3:$O$7,MATCH(G66,'G-7 Rivers Data'!$N$3:$N$7,0)),"")</f>
        <v/>
      </c>
      <c r="M66" s="72"/>
      <c r="N66" s="195"/>
      <c r="O66" s="507" t="str">
        <f t="shared" si="1"/>
        <v/>
      </c>
      <c r="P66" s="521" t="str">
        <f t="shared" si="2"/>
        <v/>
      </c>
      <c r="Q66" s="564" t="str">
        <f>IFERROR(IF(P66="Check Data ⚠","Check Data ⚠",VLOOKUP(P66,'G-4 Temporal multipliers'!$A$4:$C$37,3,FALSE)),"")</f>
        <v/>
      </c>
      <c r="R66" s="498" t="str">
        <f>IF(C66="","",VLOOKUP(C66,'G-7 Rivers Data'!$B$4:$G$8,4,FALSE))</f>
        <v/>
      </c>
      <c r="S66" s="507" t="str">
        <f t="shared" si="3"/>
        <v/>
      </c>
      <c r="T66" s="540" t="str">
        <f t="shared" si="4"/>
        <v/>
      </c>
      <c r="U66" s="499" t="str">
        <f t="shared" si="5"/>
        <v/>
      </c>
      <c r="V66" s="71"/>
      <c r="W66" s="499" t="str">
        <f>IF(V66="","",IF(VLOOKUP(V66,'G-7 Rivers Data'!$AA$4:$AB$7,2,FALSE)=0,"Spatial Data Missing ⚠",VLOOKUP(V66,'G-7 Rivers Data'!$AA$4:$AB$7,2,FALSE)))</f>
        <v/>
      </c>
      <c r="X66" s="155"/>
      <c r="Y66" s="499" t="str">
        <f>IF(X66="","",IF(VLOOKUP(X66,'G-7 Rivers Data'!$AD$4:$AE$8,2,FALSE)=0,"Enrcoachment Data Missing ⚠",VLOOKUP(X66,'G-7 Rivers Data'!$AD$4:$AE$8,2,FALSE)))</f>
        <v/>
      </c>
      <c r="Z66" s="154"/>
      <c r="AA66" s="524" t="str">
        <f>IF(Z66="","",VLOOKUP(Z66,'G-7 Rivers Data'!$AO$4:$AP$7,2,FALSE))</f>
        <v/>
      </c>
      <c r="AB66" s="545" t="str">
        <f t="shared" si="6"/>
        <v/>
      </c>
      <c r="AC66" s="149"/>
      <c r="AD66" s="150"/>
      <c r="AK66" s="31" t="str">
        <f>IFERROR(INDEX('G-7 Rivers Data'!$AZ$3:$AZ$7,MATCH(C66,'G-7 Rivers Data'!$AY$3:$AY$7,0)),"")</f>
        <v/>
      </c>
    </row>
    <row r="67" spans="2:37" ht="14" x14ac:dyDescent="0.3">
      <c r="B67" s="141">
        <v>56</v>
      </c>
      <c r="C67" s="666"/>
      <c r="D67" s="172"/>
      <c r="E67" s="498" t="str">
        <f>IF(C67="","",VLOOKUP(C67,'G-7 Rivers Data'!$B$2:$Z$9,2,FALSE))</f>
        <v/>
      </c>
      <c r="F67" s="499" t="str">
        <f>IFERROR(VLOOKUP(E67,'G-7 Rivers Data'!$C$4:$D$8,2,FALSE),"")</f>
        <v/>
      </c>
      <c r="G67" s="145"/>
      <c r="H67" s="499" t="str">
        <f>IFERROR(INDEX('G-7 Rivers Data'!$H$4:$L$8,MATCH(C67,'G-7 Rivers Data'!$B$4:$B$8,0),MATCH(G67,'G-7 Rivers Data'!$H$3:$L$3,0)),"")</f>
        <v/>
      </c>
      <c r="I67" s="145"/>
      <c r="J67" s="540" t="str">
        <f>IF(I67="","",IF(VLOOKUP(I67,'G-7 Rivers Data'!$AG$4:$AI$9,2,FALSE)=0,"Spatial Data Missing ⚠",VLOOKUP(I67,'G-7 Rivers Data'!$AG$4:$AI$9,2,FALSE)))</f>
        <v/>
      </c>
      <c r="K67" s="499" t="str">
        <f>IF(I67="","",IF(VLOOKUP(I67,'G-7 Rivers Data'!$AG$4:$AI$9,3,FALSE)=0,"Spatial Data Missing ⚠",VLOOKUP(I67,'G-7 Rivers Data'!$AG$4:$AI$9,3,FALSE)))</f>
        <v/>
      </c>
      <c r="L67" s="635" t="str">
        <f>IFERROR(INDEX('G-7 Rivers Data'!$O$3:$O$7,MATCH(G67,'G-7 Rivers Data'!$N$3:$N$7,0)),"")</f>
        <v/>
      </c>
      <c r="M67" s="72"/>
      <c r="N67" s="195"/>
      <c r="O67" s="507" t="str">
        <f t="shared" si="1"/>
        <v/>
      </c>
      <c r="P67" s="521" t="str">
        <f t="shared" si="2"/>
        <v/>
      </c>
      <c r="Q67" s="564" t="str">
        <f>IFERROR(IF(P67="Check Data ⚠","Check Data ⚠",VLOOKUP(P67,'G-4 Temporal multipliers'!$A$4:$C$37,3,FALSE)),"")</f>
        <v/>
      </c>
      <c r="R67" s="498" t="str">
        <f>IF(C67="","",VLOOKUP(C67,'G-7 Rivers Data'!$B$4:$G$8,4,FALSE))</f>
        <v/>
      </c>
      <c r="S67" s="507" t="str">
        <f t="shared" si="3"/>
        <v/>
      </c>
      <c r="T67" s="540" t="str">
        <f t="shared" si="4"/>
        <v/>
      </c>
      <c r="U67" s="499" t="str">
        <f t="shared" si="5"/>
        <v/>
      </c>
      <c r="V67" s="71"/>
      <c r="W67" s="499" t="str">
        <f>IF(V67="","",IF(VLOOKUP(V67,'G-7 Rivers Data'!$AA$4:$AB$7,2,FALSE)=0,"Spatial Data Missing ⚠",VLOOKUP(V67,'G-7 Rivers Data'!$AA$4:$AB$7,2,FALSE)))</f>
        <v/>
      </c>
      <c r="X67" s="155"/>
      <c r="Y67" s="499" t="str">
        <f>IF(X67="","",IF(VLOOKUP(X67,'G-7 Rivers Data'!$AD$4:$AE$8,2,FALSE)=0,"Enrcoachment Data Missing ⚠",VLOOKUP(X67,'G-7 Rivers Data'!$AD$4:$AE$8,2,FALSE)))</f>
        <v/>
      </c>
      <c r="Z67" s="154"/>
      <c r="AA67" s="524" t="str">
        <f>IF(Z67="","",VLOOKUP(Z67,'G-7 Rivers Data'!$AO$4:$AP$7,2,FALSE))</f>
        <v/>
      </c>
      <c r="AB67" s="545" t="str">
        <f t="shared" si="6"/>
        <v/>
      </c>
      <c r="AC67" s="149"/>
      <c r="AD67" s="150"/>
      <c r="AK67" s="31" t="str">
        <f>IFERROR(INDEX('G-7 Rivers Data'!$AZ$3:$AZ$7,MATCH(C67,'G-7 Rivers Data'!$AY$3:$AY$7,0)),"")</f>
        <v/>
      </c>
    </row>
    <row r="68" spans="2:37" ht="14" x14ac:dyDescent="0.3">
      <c r="B68" s="141">
        <v>57</v>
      </c>
      <c r="C68" s="666"/>
      <c r="D68" s="172"/>
      <c r="E68" s="498" t="str">
        <f>IF(C68="","",VLOOKUP(C68,'G-7 Rivers Data'!$B$2:$Z$9,2,FALSE))</f>
        <v/>
      </c>
      <c r="F68" s="499" t="str">
        <f>IFERROR(VLOOKUP(E68,'G-7 Rivers Data'!$C$4:$D$8,2,FALSE),"")</f>
        <v/>
      </c>
      <c r="G68" s="145"/>
      <c r="H68" s="499" t="str">
        <f>IFERROR(INDEX('G-7 Rivers Data'!$H$4:$L$8,MATCH(C68,'G-7 Rivers Data'!$B$4:$B$8,0),MATCH(G68,'G-7 Rivers Data'!$H$3:$L$3,0)),"")</f>
        <v/>
      </c>
      <c r="I68" s="145"/>
      <c r="J68" s="540" t="str">
        <f>IF(I68="","",IF(VLOOKUP(I68,'G-7 Rivers Data'!$AG$4:$AI$9,2,FALSE)=0,"Spatial Data Missing ⚠",VLOOKUP(I68,'G-7 Rivers Data'!$AG$4:$AI$9,2,FALSE)))</f>
        <v/>
      </c>
      <c r="K68" s="499" t="str">
        <f>IF(I68="","",IF(VLOOKUP(I68,'G-7 Rivers Data'!$AG$4:$AI$9,3,FALSE)=0,"Spatial Data Missing ⚠",VLOOKUP(I68,'G-7 Rivers Data'!$AG$4:$AI$9,3,FALSE)))</f>
        <v/>
      </c>
      <c r="L68" s="635" t="str">
        <f>IFERROR(INDEX('G-7 Rivers Data'!$O$3:$O$7,MATCH(G68,'G-7 Rivers Data'!$N$3:$N$7,0)),"")</f>
        <v/>
      </c>
      <c r="M68" s="72"/>
      <c r="N68" s="195"/>
      <c r="O68" s="507" t="str">
        <f t="shared" si="1"/>
        <v/>
      </c>
      <c r="P68" s="521" t="str">
        <f t="shared" si="2"/>
        <v/>
      </c>
      <c r="Q68" s="564" t="str">
        <f>IFERROR(IF(P68="Check Data ⚠","Check Data ⚠",VLOOKUP(P68,'G-4 Temporal multipliers'!$A$4:$C$37,3,FALSE)),"")</f>
        <v/>
      </c>
      <c r="R68" s="498" t="str">
        <f>IF(C68="","",VLOOKUP(C68,'G-7 Rivers Data'!$B$4:$G$8,4,FALSE))</f>
        <v/>
      </c>
      <c r="S68" s="507" t="str">
        <f t="shared" si="3"/>
        <v/>
      </c>
      <c r="T68" s="540" t="str">
        <f t="shared" si="4"/>
        <v/>
      </c>
      <c r="U68" s="499" t="str">
        <f t="shared" si="5"/>
        <v/>
      </c>
      <c r="V68" s="71"/>
      <c r="W68" s="499" t="str">
        <f>IF(V68="","",IF(VLOOKUP(V68,'G-7 Rivers Data'!$AA$4:$AB$7,2,FALSE)=0,"Spatial Data Missing ⚠",VLOOKUP(V68,'G-7 Rivers Data'!$AA$4:$AB$7,2,FALSE)))</f>
        <v/>
      </c>
      <c r="X68" s="155"/>
      <c r="Y68" s="499" t="str">
        <f>IF(X68="","",IF(VLOOKUP(X68,'G-7 Rivers Data'!$AD$4:$AE$8,2,FALSE)=0,"Enrcoachment Data Missing ⚠",VLOOKUP(X68,'G-7 Rivers Data'!$AD$4:$AE$8,2,FALSE)))</f>
        <v/>
      </c>
      <c r="Z68" s="154"/>
      <c r="AA68" s="524" t="str">
        <f>IF(Z68="","",VLOOKUP(Z68,'G-7 Rivers Data'!$AO$4:$AP$7,2,FALSE))</f>
        <v/>
      </c>
      <c r="AB68" s="545" t="str">
        <f t="shared" si="6"/>
        <v/>
      </c>
      <c r="AC68" s="149"/>
      <c r="AD68" s="150"/>
      <c r="AK68" s="31" t="str">
        <f>IFERROR(INDEX('G-7 Rivers Data'!$AZ$3:$AZ$7,MATCH(C68,'G-7 Rivers Data'!$AY$3:$AY$7,0)),"")</f>
        <v/>
      </c>
    </row>
    <row r="69" spans="2:37" ht="14" x14ac:dyDescent="0.3">
      <c r="B69" s="141">
        <v>58</v>
      </c>
      <c r="C69" s="666"/>
      <c r="D69" s="172"/>
      <c r="E69" s="498" t="str">
        <f>IF(C69="","",VLOOKUP(C69,'G-7 Rivers Data'!$B$2:$Z$9,2,FALSE))</f>
        <v/>
      </c>
      <c r="F69" s="499" t="str">
        <f>IFERROR(VLOOKUP(E69,'G-7 Rivers Data'!$C$4:$D$8,2,FALSE),"")</f>
        <v/>
      </c>
      <c r="G69" s="145"/>
      <c r="H69" s="499" t="str">
        <f>IFERROR(INDEX('G-7 Rivers Data'!$H$4:$L$8,MATCH(C69,'G-7 Rivers Data'!$B$4:$B$8,0),MATCH(G69,'G-7 Rivers Data'!$H$3:$L$3,0)),"")</f>
        <v/>
      </c>
      <c r="I69" s="145"/>
      <c r="J69" s="540" t="str">
        <f>IF(I69="","",IF(VLOOKUP(I69,'G-7 Rivers Data'!$AG$4:$AI$9,2,FALSE)=0,"Spatial Data Missing ⚠",VLOOKUP(I69,'G-7 Rivers Data'!$AG$4:$AI$9,2,FALSE)))</f>
        <v/>
      </c>
      <c r="K69" s="499" t="str">
        <f>IF(I69="","",IF(VLOOKUP(I69,'G-7 Rivers Data'!$AG$4:$AI$9,3,FALSE)=0,"Spatial Data Missing ⚠",VLOOKUP(I69,'G-7 Rivers Data'!$AG$4:$AI$9,3,FALSE)))</f>
        <v/>
      </c>
      <c r="L69" s="635" t="str">
        <f>IFERROR(INDEX('G-7 Rivers Data'!$O$3:$O$7,MATCH(G69,'G-7 Rivers Data'!$N$3:$N$7,0)),"")</f>
        <v/>
      </c>
      <c r="M69" s="72"/>
      <c r="N69" s="195"/>
      <c r="O69" s="507" t="str">
        <f t="shared" si="1"/>
        <v/>
      </c>
      <c r="P69" s="521" t="str">
        <f t="shared" si="2"/>
        <v/>
      </c>
      <c r="Q69" s="564" t="str">
        <f>IFERROR(IF(P69="Check Data ⚠","Check Data ⚠",VLOOKUP(P69,'G-4 Temporal multipliers'!$A$4:$C$37,3,FALSE)),"")</f>
        <v/>
      </c>
      <c r="R69" s="498" t="str">
        <f>IF(C69="","",VLOOKUP(C69,'G-7 Rivers Data'!$B$4:$G$8,4,FALSE))</f>
        <v/>
      </c>
      <c r="S69" s="507" t="str">
        <f t="shared" si="3"/>
        <v/>
      </c>
      <c r="T69" s="540" t="str">
        <f t="shared" si="4"/>
        <v/>
      </c>
      <c r="U69" s="499" t="str">
        <f t="shared" si="5"/>
        <v/>
      </c>
      <c r="V69" s="71"/>
      <c r="W69" s="499" t="str">
        <f>IF(V69="","",IF(VLOOKUP(V69,'G-7 Rivers Data'!$AA$4:$AB$7,2,FALSE)=0,"Spatial Data Missing ⚠",VLOOKUP(V69,'G-7 Rivers Data'!$AA$4:$AB$7,2,FALSE)))</f>
        <v/>
      </c>
      <c r="X69" s="155"/>
      <c r="Y69" s="499" t="str">
        <f>IF(X69="","",IF(VLOOKUP(X69,'G-7 Rivers Data'!$AD$4:$AE$8,2,FALSE)=0,"Enrcoachment Data Missing ⚠",VLOOKUP(X69,'G-7 Rivers Data'!$AD$4:$AE$8,2,FALSE)))</f>
        <v/>
      </c>
      <c r="Z69" s="154"/>
      <c r="AA69" s="524" t="str">
        <f>IF(Z69="","",VLOOKUP(Z69,'G-7 Rivers Data'!$AO$4:$AP$7,2,FALSE))</f>
        <v/>
      </c>
      <c r="AB69" s="545" t="str">
        <f t="shared" si="6"/>
        <v/>
      </c>
      <c r="AC69" s="149"/>
      <c r="AD69" s="150"/>
      <c r="AK69" s="31" t="str">
        <f>IFERROR(INDEX('G-7 Rivers Data'!$AZ$3:$AZ$7,MATCH(C69,'G-7 Rivers Data'!$AY$3:$AY$7,0)),"")</f>
        <v/>
      </c>
    </row>
    <row r="70" spans="2:37" ht="14" x14ac:dyDescent="0.3">
      <c r="B70" s="141">
        <v>59</v>
      </c>
      <c r="C70" s="666"/>
      <c r="D70" s="172"/>
      <c r="E70" s="498" t="str">
        <f>IF(C70="","",VLOOKUP(C70,'G-7 Rivers Data'!$B$2:$Z$9,2,FALSE))</f>
        <v/>
      </c>
      <c r="F70" s="499" t="str">
        <f>IFERROR(VLOOKUP(E70,'G-7 Rivers Data'!$C$4:$D$8,2,FALSE),"")</f>
        <v/>
      </c>
      <c r="G70" s="145"/>
      <c r="H70" s="499" t="str">
        <f>IFERROR(INDEX('G-7 Rivers Data'!$H$4:$L$8,MATCH(C70,'G-7 Rivers Data'!$B$4:$B$8,0),MATCH(G70,'G-7 Rivers Data'!$H$3:$L$3,0)),"")</f>
        <v/>
      </c>
      <c r="I70" s="145"/>
      <c r="J70" s="540" t="str">
        <f>IF(I70="","",IF(VLOOKUP(I70,'G-7 Rivers Data'!$AG$4:$AI$9,2,FALSE)=0,"Spatial Data Missing ⚠",VLOOKUP(I70,'G-7 Rivers Data'!$AG$4:$AI$9,2,FALSE)))</f>
        <v/>
      </c>
      <c r="K70" s="499" t="str">
        <f>IF(I70="","",IF(VLOOKUP(I70,'G-7 Rivers Data'!$AG$4:$AI$9,3,FALSE)=0,"Spatial Data Missing ⚠",VLOOKUP(I70,'G-7 Rivers Data'!$AG$4:$AI$9,3,FALSE)))</f>
        <v/>
      </c>
      <c r="L70" s="635" t="str">
        <f>IFERROR(INDEX('G-7 Rivers Data'!$O$3:$O$7,MATCH(G70,'G-7 Rivers Data'!$N$3:$N$7,0)),"")</f>
        <v/>
      </c>
      <c r="M70" s="72"/>
      <c r="N70" s="195"/>
      <c r="O70" s="507" t="str">
        <f t="shared" si="1"/>
        <v/>
      </c>
      <c r="P70" s="521" t="str">
        <f t="shared" si="2"/>
        <v/>
      </c>
      <c r="Q70" s="564" t="str">
        <f>IFERROR(IF(P70="Check Data ⚠","Check Data ⚠",VLOOKUP(P70,'G-4 Temporal multipliers'!$A$4:$C$37,3,FALSE)),"")</f>
        <v/>
      </c>
      <c r="R70" s="498" t="str">
        <f>IF(C70="","",VLOOKUP(C70,'G-7 Rivers Data'!$B$4:$G$8,4,FALSE))</f>
        <v/>
      </c>
      <c r="S70" s="507" t="str">
        <f t="shared" si="3"/>
        <v/>
      </c>
      <c r="T70" s="540" t="str">
        <f t="shared" si="4"/>
        <v/>
      </c>
      <c r="U70" s="499" t="str">
        <f t="shared" si="5"/>
        <v/>
      </c>
      <c r="V70" s="71"/>
      <c r="W70" s="499" t="str">
        <f>IF(V70="","",IF(VLOOKUP(V70,'G-7 Rivers Data'!$AA$4:$AB$7,2,FALSE)=0,"Spatial Data Missing ⚠",VLOOKUP(V70,'G-7 Rivers Data'!$AA$4:$AB$7,2,FALSE)))</f>
        <v/>
      </c>
      <c r="X70" s="155"/>
      <c r="Y70" s="499" t="str">
        <f>IF(X70="","",IF(VLOOKUP(X70,'G-7 Rivers Data'!$AD$4:$AE$8,2,FALSE)=0,"Enrcoachment Data Missing ⚠",VLOOKUP(X70,'G-7 Rivers Data'!$AD$4:$AE$8,2,FALSE)))</f>
        <v/>
      </c>
      <c r="Z70" s="154"/>
      <c r="AA70" s="524" t="str">
        <f>IF(Z70="","",VLOOKUP(Z70,'G-7 Rivers Data'!$AO$4:$AP$7,2,FALSE))</f>
        <v/>
      </c>
      <c r="AB70" s="545" t="str">
        <f t="shared" si="6"/>
        <v/>
      </c>
      <c r="AC70" s="149"/>
      <c r="AD70" s="150"/>
      <c r="AK70" s="31" t="str">
        <f>IFERROR(INDEX('G-7 Rivers Data'!$AZ$3:$AZ$7,MATCH(C70,'G-7 Rivers Data'!$AY$3:$AY$7,0)),"")</f>
        <v/>
      </c>
    </row>
    <row r="71" spans="2:37" ht="14" x14ac:dyDescent="0.3">
      <c r="B71" s="141">
        <v>60</v>
      </c>
      <c r="C71" s="666"/>
      <c r="D71" s="172"/>
      <c r="E71" s="498" t="str">
        <f>IF(C71="","",VLOOKUP(C71,'G-7 Rivers Data'!$B$2:$Z$9,2,FALSE))</f>
        <v/>
      </c>
      <c r="F71" s="499" t="str">
        <f>IFERROR(VLOOKUP(E71,'G-7 Rivers Data'!$C$4:$D$8,2,FALSE),"")</f>
        <v/>
      </c>
      <c r="G71" s="145"/>
      <c r="H71" s="499" t="str">
        <f>IFERROR(INDEX('G-7 Rivers Data'!$H$4:$L$8,MATCH(C71,'G-7 Rivers Data'!$B$4:$B$8,0),MATCH(G71,'G-7 Rivers Data'!$H$3:$L$3,0)),"")</f>
        <v/>
      </c>
      <c r="I71" s="145"/>
      <c r="J71" s="540" t="str">
        <f>IF(I71="","",IF(VLOOKUP(I71,'G-7 Rivers Data'!$AG$4:$AI$9,2,FALSE)=0,"Spatial Data Missing ⚠",VLOOKUP(I71,'G-7 Rivers Data'!$AG$4:$AI$9,2,FALSE)))</f>
        <v/>
      </c>
      <c r="K71" s="499" t="str">
        <f>IF(I71="","",IF(VLOOKUP(I71,'G-7 Rivers Data'!$AG$4:$AI$9,3,FALSE)=0,"Spatial Data Missing ⚠",VLOOKUP(I71,'G-7 Rivers Data'!$AG$4:$AI$9,3,FALSE)))</f>
        <v/>
      </c>
      <c r="L71" s="635" t="str">
        <f>IFERROR(INDEX('G-7 Rivers Data'!$O$3:$O$7,MATCH(G71,'G-7 Rivers Data'!$N$3:$N$7,0)),"")</f>
        <v/>
      </c>
      <c r="M71" s="72"/>
      <c r="N71" s="195"/>
      <c r="O71" s="507" t="str">
        <f t="shared" si="1"/>
        <v/>
      </c>
      <c r="P71" s="521" t="str">
        <f t="shared" si="2"/>
        <v/>
      </c>
      <c r="Q71" s="564" t="str">
        <f>IFERROR(IF(P71="Check Data ⚠","Check Data ⚠",VLOOKUP(P71,'G-4 Temporal multipliers'!$A$4:$C$37,3,FALSE)),"")</f>
        <v/>
      </c>
      <c r="R71" s="498" t="str">
        <f>IF(C71="","",VLOOKUP(C71,'G-7 Rivers Data'!$B$4:$G$8,4,FALSE))</f>
        <v/>
      </c>
      <c r="S71" s="507" t="str">
        <f t="shared" si="3"/>
        <v/>
      </c>
      <c r="T71" s="540" t="str">
        <f t="shared" si="4"/>
        <v/>
      </c>
      <c r="U71" s="499" t="str">
        <f t="shared" si="5"/>
        <v/>
      </c>
      <c r="V71" s="71"/>
      <c r="W71" s="499" t="str">
        <f>IF(V71="","",IF(VLOOKUP(V71,'G-7 Rivers Data'!$AA$4:$AB$7,2,FALSE)=0,"Spatial Data Missing ⚠",VLOOKUP(V71,'G-7 Rivers Data'!$AA$4:$AB$7,2,FALSE)))</f>
        <v/>
      </c>
      <c r="X71" s="155"/>
      <c r="Y71" s="499" t="str">
        <f>IF(X71="","",IF(VLOOKUP(X71,'G-7 Rivers Data'!$AD$4:$AE$8,2,FALSE)=0,"Enrcoachment Data Missing ⚠",VLOOKUP(X71,'G-7 Rivers Data'!$AD$4:$AE$8,2,FALSE)))</f>
        <v/>
      </c>
      <c r="Z71" s="154"/>
      <c r="AA71" s="524" t="str">
        <f>IF(Z71="","",VLOOKUP(Z71,'G-7 Rivers Data'!$AO$4:$AP$7,2,FALSE))</f>
        <v/>
      </c>
      <c r="AB71" s="545" t="str">
        <f t="shared" si="6"/>
        <v/>
      </c>
      <c r="AC71" s="149"/>
      <c r="AD71" s="150"/>
      <c r="AK71" s="31" t="str">
        <f>IFERROR(INDEX('G-7 Rivers Data'!$AZ$3:$AZ$7,MATCH(C71,'G-7 Rivers Data'!$AY$3:$AY$7,0)),"")</f>
        <v/>
      </c>
    </row>
    <row r="72" spans="2:37" ht="14" x14ac:dyDescent="0.3">
      <c r="B72" s="141">
        <v>61</v>
      </c>
      <c r="C72" s="666"/>
      <c r="D72" s="172"/>
      <c r="E72" s="498" t="str">
        <f>IF(C72="","",VLOOKUP(C72,'G-7 Rivers Data'!$B$2:$Z$9,2,FALSE))</f>
        <v/>
      </c>
      <c r="F72" s="499" t="str">
        <f>IFERROR(VLOOKUP(E72,'G-7 Rivers Data'!$C$4:$D$8,2,FALSE),"")</f>
        <v/>
      </c>
      <c r="G72" s="145"/>
      <c r="H72" s="499" t="str">
        <f>IFERROR(INDEX('G-7 Rivers Data'!$H$4:$L$8,MATCH(C72,'G-7 Rivers Data'!$B$4:$B$8,0),MATCH(G72,'G-7 Rivers Data'!$H$3:$L$3,0)),"")</f>
        <v/>
      </c>
      <c r="I72" s="145"/>
      <c r="J72" s="540" t="str">
        <f>IF(I72="","",IF(VLOOKUP(I72,'G-7 Rivers Data'!$AG$4:$AI$9,2,FALSE)=0,"Spatial Data Missing ⚠",VLOOKUP(I72,'G-7 Rivers Data'!$AG$4:$AI$9,2,FALSE)))</f>
        <v/>
      </c>
      <c r="K72" s="499" t="str">
        <f>IF(I72="","",IF(VLOOKUP(I72,'G-7 Rivers Data'!$AG$4:$AI$9,3,FALSE)=0,"Spatial Data Missing ⚠",VLOOKUP(I72,'G-7 Rivers Data'!$AG$4:$AI$9,3,FALSE)))</f>
        <v/>
      </c>
      <c r="L72" s="635" t="str">
        <f>IFERROR(INDEX('G-7 Rivers Data'!$O$3:$O$7,MATCH(G72,'G-7 Rivers Data'!$N$3:$N$7,0)),"")</f>
        <v/>
      </c>
      <c r="M72" s="72"/>
      <c r="N72" s="195"/>
      <c r="O72" s="507" t="str">
        <f t="shared" si="1"/>
        <v/>
      </c>
      <c r="P72" s="521" t="str">
        <f t="shared" si="2"/>
        <v/>
      </c>
      <c r="Q72" s="564" t="str">
        <f>IFERROR(IF(P72="Check Data ⚠","Check Data ⚠",VLOOKUP(P72,'G-4 Temporal multipliers'!$A$4:$C$37,3,FALSE)),"")</f>
        <v/>
      </c>
      <c r="R72" s="498" t="str">
        <f>IF(C72="","",VLOOKUP(C72,'G-7 Rivers Data'!$B$4:$G$8,4,FALSE))</f>
        <v/>
      </c>
      <c r="S72" s="507" t="str">
        <f t="shared" si="3"/>
        <v/>
      </c>
      <c r="T72" s="540" t="str">
        <f t="shared" si="4"/>
        <v/>
      </c>
      <c r="U72" s="499" t="str">
        <f t="shared" si="5"/>
        <v/>
      </c>
      <c r="V72" s="71"/>
      <c r="W72" s="499" t="str">
        <f>IF(V72="","",IF(VLOOKUP(V72,'G-7 Rivers Data'!$AA$4:$AB$7,2,FALSE)=0,"Spatial Data Missing ⚠",VLOOKUP(V72,'G-7 Rivers Data'!$AA$4:$AB$7,2,FALSE)))</f>
        <v/>
      </c>
      <c r="X72" s="155"/>
      <c r="Y72" s="499" t="str">
        <f>IF(X72="","",IF(VLOOKUP(X72,'G-7 Rivers Data'!$AD$4:$AE$8,2,FALSE)=0,"Enrcoachment Data Missing ⚠",VLOOKUP(X72,'G-7 Rivers Data'!$AD$4:$AE$8,2,FALSE)))</f>
        <v/>
      </c>
      <c r="Z72" s="154"/>
      <c r="AA72" s="524" t="str">
        <f>IF(Z72="","",VLOOKUP(Z72,'G-7 Rivers Data'!$AO$4:$AP$7,2,FALSE))</f>
        <v/>
      </c>
      <c r="AB72" s="545" t="str">
        <f t="shared" si="6"/>
        <v/>
      </c>
      <c r="AC72" s="149"/>
      <c r="AD72" s="150"/>
      <c r="AK72" s="31" t="str">
        <f>IFERROR(INDEX('G-7 Rivers Data'!$AZ$3:$AZ$7,MATCH(C72,'G-7 Rivers Data'!$AY$3:$AY$7,0)),"")</f>
        <v/>
      </c>
    </row>
    <row r="73" spans="2:37" ht="14" x14ac:dyDescent="0.3">
      <c r="B73" s="141">
        <v>62</v>
      </c>
      <c r="C73" s="666"/>
      <c r="D73" s="172"/>
      <c r="E73" s="498" t="str">
        <f>IF(C73="","",VLOOKUP(C73,'G-7 Rivers Data'!$B$2:$Z$9,2,FALSE))</f>
        <v/>
      </c>
      <c r="F73" s="499" t="str">
        <f>IFERROR(VLOOKUP(E73,'G-7 Rivers Data'!$C$4:$D$8,2,FALSE),"")</f>
        <v/>
      </c>
      <c r="G73" s="145"/>
      <c r="H73" s="499" t="str">
        <f>IFERROR(INDEX('G-7 Rivers Data'!$H$4:$L$8,MATCH(C73,'G-7 Rivers Data'!$B$4:$B$8,0),MATCH(G73,'G-7 Rivers Data'!$H$3:$L$3,0)),"")</f>
        <v/>
      </c>
      <c r="I73" s="145"/>
      <c r="J73" s="540" t="str">
        <f>IF(I73="","",IF(VLOOKUP(I73,'G-7 Rivers Data'!$AG$4:$AI$9,2,FALSE)=0,"Spatial Data Missing ⚠",VLOOKUP(I73,'G-7 Rivers Data'!$AG$4:$AI$9,2,FALSE)))</f>
        <v/>
      </c>
      <c r="K73" s="499" t="str">
        <f>IF(I73="","",IF(VLOOKUP(I73,'G-7 Rivers Data'!$AG$4:$AI$9,3,FALSE)=0,"Spatial Data Missing ⚠",VLOOKUP(I73,'G-7 Rivers Data'!$AG$4:$AI$9,3,FALSE)))</f>
        <v/>
      </c>
      <c r="L73" s="635" t="str">
        <f>IFERROR(INDEX('G-7 Rivers Data'!$O$3:$O$7,MATCH(G73,'G-7 Rivers Data'!$N$3:$N$7,0)),"")</f>
        <v/>
      </c>
      <c r="M73" s="72"/>
      <c r="N73" s="195"/>
      <c r="O73" s="507" t="str">
        <f t="shared" si="1"/>
        <v/>
      </c>
      <c r="P73" s="521" t="str">
        <f t="shared" si="2"/>
        <v/>
      </c>
      <c r="Q73" s="564" t="str">
        <f>IFERROR(IF(P73="Check Data ⚠","Check Data ⚠",VLOOKUP(P73,'G-4 Temporal multipliers'!$A$4:$C$37,3,FALSE)),"")</f>
        <v/>
      </c>
      <c r="R73" s="498" t="str">
        <f>IF(C73="","",VLOOKUP(C73,'G-7 Rivers Data'!$B$4:$G$8,4,FALSE))</f>
        <v/>
      </c>
      <c r="S73" s="507" t="str">
        <f t="shared" si="3"/>
        <v/>
      </c>
      <c r="T73" s="540" t="str">
        <f t="shared" si="4"/>
        <v/>
      </c>
      <c r="U73" s="499" t="str">
        <f t="shared" si="5"/>
        <v/>
      </c>
      <c r="V73" s="71"/>
      <c r="W73" s="499" t="str">
        <f>IF(V73="","",IF(VLOOKUP(V73,'G-7 Rivers Data'!$AA$4:$AB$7,2,FALSE)=0,"Spatial Data Missing ⚠",VLOOKUP(V73,'G-7 Rivers Data'!$AA$4:$AB$7,2,FALSE)))</f>
        <v/>
      </c>
      <c r="X73" s="155"/>
      <c r="Y73" s="499" t="str">
        <f>IF(X73="","",IF(VLOOKUP(X73,'G-7 Rivers Data'!$AD$4:$AE$8,2,FALSE)=0,"Enrcoachment Data Missing ⚠",VLOOKUP(X73,'G-7 Rivers Data'!$AD$4:$AE$8,2,FALSE)))</f>
        <v/>
      </c>
      <c r="Z73" s="154"/>
      <c r="AA73" s="524" t="str">
        <f>IF(Z73="","",VLOOKUP(Z73,'G-7 Rivers Data'!$AO$4:$AP$7,2,FALSE))</f>
        <v/>
      </c>
      <c r="AB73" s="545" t="str">
        <f t="shared" si="6"/>
        <v/>
      </c>
      <c r="AC73" s="149"/>
      <c r="AD73" s="150"/>
      <c r="AK73" s="31" t="str">
        <f>IFERROR(INDEX('G-7 Rivers Data'!$AZ$3:$AZ$7,MATCH(C73,'G-7 Rivers Data'!$AY$3:$AY$7,0)),"")</f>
        <v/>
      </c>
    </row>
    <row r="74" spans="2:37" ht="14" x14ac:dyDescent="0.3">
      <c r="B74" s="141">
        <v>63</v>
      </c>
      <c r="C74" s="666"/>
      <c r="D74" s="172"/>
      <c r="E74" s="498" t="str">
        <f>IF(C74="","",VLOOKUP(C74,'G-7 Rivers Data'!$B$2:$Z$9,2,FALSE))</f>
        <v/>
      </c>
      <c r="F74" s="499" t="str">
        <f>IFERROR(VLOOKUP(E74,'G-7 Rivers Data'!$C$4:$D$8,2,FALSE),"")</f>
        <v/>
      </c>
      <c r="G74" s="145"/>
      <c r="H74" s="499" t="str">
        <f>IFERROR(INDEX('G-7 Rivers Data'!$H$4:$L$8,MATCH(C74,'G-7 Rivers Data'!$B$4:$B$8,0),MATCH(G74,'G-7 Rivers Data'!$H$3:$L$3,0)),"")</f>
        <v/>
      </c>
      <c r="I74" s="145"/>
      <c r="J74" s="540" t="str">
        <f>IF(I74="","",IF(VLOOKUP(I74,'G-7 Rivers Data'!$AG$4:$AI$9,2,FALSE)=0,"Spatial Data Missing ⚠",VLOOKUP(I74,'G-7 Rivers Data'!$AG$4:$AI$9,2,FALSE)))</f>
        <v/>
      </c>
      <c r="K74" s="499" t="str">
        <f>IF(I74="","",IF(VLOOKUP(I74,'G-7 Rivers Data'!$AG$4:$AI$9,3,FALSE)=0,"Spatial Data Missing ⚠",VLOOKUP(I74,'G-7 Rivers Data'!$AG$4:$AI$9,3,FALSE)))</f>
        <v/>
      </c>
      <c r="L74" s="635" t="str">
        <f>IFERROR(INDEX('G-7 Rivers Data'!$O$3:$O$7,MATCH(G74,'G-7 Rivers Data'!$N$3:$N$7,0)),"")</f>
        <v/>
      </c>
      <c r="M74" s="72"/>
      <c r="N74" s="195"/>
      <c r="O74" s="507" t="str">
        <f t="shared" si="1"/>
        <v/>
      </c>
      <c r="P74" s="521" t="str">
        <f t="shared" si="2"/>
        <v/>
      </c>
      <c r="Q74" s="564" t="str">
        <f>IFERROR(IF(P74="Check Data ⚠","Check Data ⚠",VLOOKUP(P74,'G-4 Temporal multipliers'!$A$4:$C$37,3,FALSE)),"")</f>
        <v/>
      </c>
      <c r="R74" s="498" t="str">
        <f>IF(C74="","",VLOOKUP(C74,'G-7 Rivers Data'!$B$4:$G$8,4,FALSE))</f>
        <v/>
      </c>
      <c r="S74" s="507" t="str">
        <f t="shared" si="3"/>
        <v/>
      </c>
      <c r="T74" s="540" t="str">
        <f t="shared" si="4"/>
        <v/>
      </c>
      <c r="U74" s="499" t="str">
        <f t="shared" si="5"/>
        <v/>
      </c>
      <c r="V74" s="71"/>
      <c r="W74" s="499" t="str">
        <f>IF(V74="","",IF(VLOOKUP(V74,'G-7 Rivers Data'!$AA$4:$AB$7,2,FALSE)=0,"Spatial Data Missing ⚠",VLOOKUP(V74,'G-7 Rivers Data'!$AA$4:$AB$7,2,FALSE)))</f>
        <v/>
      </c>
      <c r="X74" s="155"/>
      <c r="Y74" s="499" t="str">
        <f>IF(X74="","",IF(VLOOKUP(X74,'G-7 Rivers Data'!$AD$4:$AE$8,2,FALSE)=0,"Enrcoachment Data Missing ⚠",VLOOKUP(X74,'G-7 Rivers Data'!$AD$4:$AE$8,2,FALSE)))</f>
        <v/>
      </c>
      <c r="Z74" s="154"/>
      <c r="AA74" s="524" t="str">
        <f>IF(Z74="","",VLOOKUP(Z74,'G-7 Rivers Data'!$AO$4:$AP$7,2,FALSE))</f>
        <v/>
      </c>
      <c r="AB74" s="545" t="str">
        <f t="shared" si="6"/>
        <v/>
      </c>
      <c r="AC74" s="149"/>
      <c r="AD74" s="150"/>
      <c r="AK74" s="31" t="str">
        <f>IFERROR(INDEX('G-7 Rivers Data'!$AZ$3:$AZ$7,MATCH(C74,'G-7 Rivers Data'!$AY$3:$AY$7,0)),"")</f>
        <v/>
      </c>
    </row>
    <row r="75" spans="2:37" ht="14" x14ac:dyDescent="0.3">
      <c r="B75" s="141">
        <v>64</v>
      </c>
      <c r="C75" s="666"/>
      <c r="D75" s="172"/>
      <c r="E75" s="498" t="str">
        <f>IF(C75="","",VLOOKUP(C75,'G-7 Rivers Data'!$B$2:$Z$9,2,FALSE))</f>
        <v/>
      </c>
      <c r="F75" s="499" t="str">
        <f>IFERROR(VLOOKUP(E75,'G-7 Rivers Data'!$C$4:$D$8,2,FALSE),"")</f>
        <v/>
      </c>
      <c r="G75" s="145"/>
      <c r="H75" s="499" t="str">
        <f>IFERROR(INDEX('G-7 Rivers Data'!$H$4:$L$8,MATCH(C75,'G-7 Rivers Data'!$B$4:$B$8,0),MATCH(G75,'G-7 Rivers Data'!$H$3:$L$3,0)),"")</f>
        <v/>
      </c>
      <c r="I75" s="145"/>
      <c r="J75" s="540" t="str">
        <f>IF(I75="","",IF(VLOOKUP(I75,'G-7 Rivers Data'!$AG$4:$AI$9,2,FALSE)=0,"Spatial Data Missing ⚠",VLOOKUP(I75,'G-7 Rivers Data'!$AG$4:$AI$9,2,FALSE)))</f>
        <v/>
      </c>
      <c r="K75" s="499" t="str">
        <f>IF(I75="","",IF(VLOOKUP(I75,'G-7 Rivers Data'!$AG$4:$AI$9,3,FALSE)=0,"Spatial Data Missing ⚠",VLOOKUP(I75,'G-7 Rivers Data'!$AG$4:$AI$9,3,FALSE)))</f>
        <v/>
      </c>
      <c r="L75" s="635" t="str">
        <f>IFERROR(INDEX('G-7 Rivers Data'!$O$3:$O$7,MATCH(G75,'G-7 Rivers Data'!$N$3:$N$7,0)),"")</f>
        <v/>
      </c>
      <c r="M75" s="72"/>
      <c r="N75" s="195"/>
      <c r="O75" s="507" t="str">
        <f t="shared" si="1"/>
        <v/>
      </c>
      <c r="P75" s="521" t="str">
        <f t="shared" si="2"/>
        <v/>
      </c>
      <c r="Q75" s="564" t="str">
        <f>IFERROR(IF(P75="Check Data ⚠","Check Data ⚠",VLOOKUP(P75,'G-4 Temporal multipliers'!$A$4:$C$37,3,FALSE)),"")</f>
        <v/>
      </c>
      <c r="R75" s="498" t="str">
        <f>IF(C75="","",VLOOKUP(C75,'G-7 Rivers Data'!$B$4:$G$8,4,FALSE))</f>
        <v/>
      </c>
      <c r="S75" s="507" t="str">
        <f t="shared" si="3"/>
        <v/>
      </c>
      <c r="T75" s="540" t="str">
        <f t="shared" si="4"/>
        <v/>
      </c>
      <c r="U75" s="499" t="str">
        <f t="shared" si="5"/>
        <v/>
      </c>
      <c r="V75" s="71"/>
      <c r="W75" s="499" t="str">
        <f>IF(V75="","",IF(VLOOKUP(V75,'G-7 Rivers Data'!$AA$4:$AB$7,2,FALSE)=0,"Spatial Data Missing ⚠",VLOOKUP(V75,'G-7 Rivers Data'!$AA$4:$AB$7,2,FALSE)))</f>
        <v/>
      </c>
      <c r="X75" s="155"/>
      <c r="Y75" s="499" t="str">
        <f>IF(X75="","",IF(VLOOKUP(X75,'G-7 Rivers Data'!$AD$4:$AE$8,2,FALSE)=0,"Enrcoachment Data Missing ⚠",VLOOKUP(X75,'G-7 Rivers Data'!$AD$4:$AE$8,2,FALSE)))</f>
        <v/>
      </c>
      <c r="Z75" s="154"/>
      <c r="AA75" s="524" t="str">
        <f>IF(Z75="","",VLOOKUP(Z75,'G-7 Rivers Data'!$AO$4:$AP$7,2,FALSE))</f>
        <v/>
      </c>
      <c r="AB75" s="545" t="str">
        <f t="shared" si="6"/>
        <v/>
      </c>
      <c r="AC75" s="149"/>
      <c r="AD75" s="150"/>
      <c r="AK75" s="31" t="str">
        <f>IFERROR(INDEX('G-7 Rivers Data'!$AZ$3:$AZ$7,MATCH(C75,'G-7 Rivers Data'!$AY$3:$AY$7,0)),"")</f>
        <v/>
      </c>
    </row>
    <row r="76" spans="2:37" ht="14" x14ac:dyDescent="0.3">
      <c r="B76" s="141">
        <v>65</v>
      </c>
      <c r="C76" s="666"/>
      <c r="D76" s="172"/>
      <c r="E76" s="498" t="str">
        <f>IF(C76="","",VLOOKUP(C76,'G-7 Rivers Data'!$B$2:$Z$9,2,FALSE))</f>
        <v/>
      </c>
      <c r="F76" s="499" t="str">
        <f>IFERROR(VLOOKUP(E76,'G-7 Rivers Data'!$C$4:$D$8,2,FALSE),"")</f>
        <v/>
      </c>
      <c r="G76" s="145"/>
      <c r="H76" s="499" t="str">
        <f>IFERROR(INDEX('G-7 Rivers Data'!$H$4:$L$8,MATCH(C76,'G-7 Rivers Data'!$B$4:$B$8,0),MATCH(G76,'G-7 Rivers Data'!$H$3:$L$3,0)),"")</f>
        <v/>
      </c>
      <c r="I76" s="145"/>
      <c r="J76" s="540" t="str">
        <f>IF(I76="","",IF(VLOOKUP(I76,'G-7 Rivers Data'!$AG$4:$AI$9,2,FALSE)=0,"Spatial Data Missing ⚠",VLOOKUP(I76,'G-7 Rivers Data'!$AG$4:$AI$9,2,FALSE)))</f>
        <v/>
      </c>
      <c r="K76" s="499" t="str">
        <f>IF(I76="","",IF(VLOOKUP(I76,'G-7 Rivers Data'!$AG$4:$AI$9,3,FALSE)=0,"Spatial Data Missing ⚠",VLOOKUP(I76,'G-7 Rivers Data'!$AG$4:$AI$9,3,FALSE)))</f>
        <v/>
      </c>
      <c r="L76" s="635" t="str">
        <f>IFERROR(INDEX('G-7 Rivers Data'!$O$3:$O$7,MATCH(G76,'G-7 Rivers Data'!$N$3:$N$7,0)),"")</f>
        <v/>
      </c>
      <c r="M76" s="72"/>
      <c r="N76" s="195"/>
      <c r="O76" s="507" t="str">
        <f t="shared" si="1"/>
        <v/>
      </c>
      <c r="P76" s="521" t="str">
        <f t="shared" si="2"/>
        <v/>
      </c>
      <c r="Q76" s="564" t="str">
        <f>IFERROR(IF(P76="Check Data ⚠","Check Data ⚠",VLOOKUP(P76,'G-4 Temporal multipliers'!$A$4:$C$37,3,FALSE)),"")</f>
        <v/>
      </c>
      <c r="R76" s="498" t="str">
        <f>IF(C76="","",VLOOKUP(C76,'G-7 Rivers Data'!$B$4:$G$8,4,FALSE))</f>
        <v/>
      </c>
      <c r="S76" s="507" t="str">
        <f t="shared" si="3"/>
        <v/>
      </c>
      <c r="T76" s="540" t="str">
        <f t="shared" si="4"/>
        <v/>
      </c>
      <c r="U76" s="499" t="str">
        <f t="shared" si="5"/>
        <v/>
      </c>
      <c r="V76" s="71"/>
      <c r="W76" s="499" t="str">
        <f>IF(V76="","",IF(VLOOKUP(V76,'G-7 Rivers Data'!$AA$4:$AB$7,2,FALSE)=0,"Spatial Data Missing ⚠",VLOOKUP(V76,'G-7 Rivers Data'!$AA$4:$AB$7,2,FALSE)))</f>
        <v/>
      </c>
      <c r="X76" s="155"/>
      <c r="Y76" s="499" t="str">
        <f>IF(X76="","",IF(VLOOKUP(X76,'G-7 Rivers Data'!$AD$4:$AE$8,2,FALSE)=0,"Enrcoachment Data Missing ⚠",VLOOKUP(X76,'G-7 Rivers Data'!$AD$4:$AE$8,2,FALSE)))</f>
        <v/>
      </c>
      <c r="Z76" s="154"/>
      <c r="AA76" s="524" t="str">
        <f>IF(Z76="","",VLOOKUP(Z76,'G-7 Rivers Data'!$AO$4:$AP$7,2,FALSE))</f>
        <v/>
      </c>
      <c r="AB76" s="545" t="str">
        <f t="shared" si="6"/>
        <v/>
      </c>
      <c r="AC76" s="149"/>
      <c r="AD76" s="150"/>
      <c r="AK76" s="31" t="str">
        <f>IFERROR(INDEX('G-7 Rivers Data'!$AZ$3:$AZ$7,MATCH(C76,'G-7 Rivers Data'!$AY$3:$AY$7,0)),"")</f>
        <v/>
      </c>
    </row>
    <row r="77" spans="2:37" ht="14" x14ac:dyDescent="0.3">
      <c r="B77" s="141">
        <v>66</v>
      </c>
      <c r="C77" s="666"/>
      <c r="D77" s="172"/>
      <c r="E77" s="498" t="str">
        <f>IF(C77="","",VLOOKUP(C77,'G-7 Rivers Data'!$B$2:$Z$9,2,FALSE))</f>
        <v/>
      </c>
      <c r="F77" s="499" t="str">
        <f>IFERROR(VLOOKUP(E77,'G-7 Rivers Data'!$C$4:$D$8,2,FALSE),"")</f>
        <v/>
      </c>
      <c r="G77" s="145"/>
      <c r="H77" s="499" t="str">
        <f>IFERROR(INDEX('G-7 Rivers Data'!$H$4:$L$8,MATCH(C77,'G-7 Rivers Data'!$B$4:$B$8,0),MATCH(G77,'G-7 Rivers Data'!$H$3:$L$3,0)),"")</f>
        <v/>
      </c>
      <c r="I77" s="145"/>
      <c r="J77" s="540" t="str">
        <f>IF(I77="","",IF(VLOOKUP(I77,'G-7 Rivers Data'!$AG$4:$AI$9,2,FALSE)=0,"Spatial Data Missing ⚠",VLOOKUP(I77,'G-7 Rivers Data'!$AG$4:$AI$9,2,FALSE)))</f>
        <v/>
      </c>
      <c r="K77" s="499" t="str">
        <f>IF(I77="","",IF(VLOOKUP(I77,'G-7 Rivers Data'!$AG$4:$AI$9,3,FALSE)=0,"Spatial Data Missing ⚠",VLOOKUP(I77,'G-7 Rivers Data'!$AG$4:$AI$9,3,FALSE)))</f>
        <v/>
      </c>
      <c r="L77" s="635" t="str">
        <f>IFERROR(INDEX('G-7 Rivers Data'!$O$3:$O$7,MATCH(G77,'G-7 Rivers Data'!$N$3:$N$7,0)),"")</f>
        <v/>
      </c>
      <c r="M77" s="72"/>
      <c r="N77" s="195"/>
      <c r="O77" s="507" t="str">
        <f t="shared" ref="O77:O140" si="7">IF(L77="","",IF(AND(M77&gt;0,N77&gt;0),"Error -both advance and delayed habitat creation ▲",IF(AND(OR(M77="Habitat already in target condition",L77&lt;=M77),N77=0),"Check details - Is there evidence that habitat has reached target condition? ⚠",IF(M77&gt;0,"Check details - Is there evidence habitat creation started/in place? ⚠",IF(N77&gt;0,"Check details- Delay in starting habitat in required condition? ⚠","Standard time to target condition applied")))))</f>
        <v/>
      </c>
      <c r="P77" s="521" t="str">
        <f t="shared" ref="P77:P140" si="8">IF(LEFT(O77,5)="Error ▲","Check Data ⚠",IF(L77="","",IF(M77="30+",0,IF(N77="30+","30+ ⚠",IF(L77+N77&gt;30,"30+ ⚠",IF(L77+N77-M77&gt;0,L77+N77-M77,IF(L77-M77&lt;0,0,L77+N77-M77)))))))</f>
        <v/>
      </c>
      <c r="Q77" s="564" t="str">
        <f>IFERROR(IF(P77="Check Data ⚠","Check Data ⚠",VLOOKUP(P77,'G-4 Temporal multipliers'!$A$4:$C$37,3,FALSE)),"")</f>
        <v/>
      </c>
      <c r="R77" s="498" t="str">
        <f>IF(C77="","",VLOOKUP(C77,'G-7 Rivers Data'!$B$4:$G$8,4,FALSE))</f>
        <v/>
      </c>
      <c r="S77" s="507" t="str">
        <f t="shared" ref="S77:S140" si="9">IF(C77="","",IF(P77="Check Data ⚠","Check Data ⚠",IF(G77="","",IF($O77="Check details - Is there evidence that habitat has reached target condition? ⚠","No - Low Difficulty - only applicable if all habitat created before losses ⚠","Standard difficulty applied"))))</f>
        <v/>
      </c>
      <c r="T77" s="540" t="str">
        <f t="shared" ref="T77:T140" si="10">(IF(AND(S77="Standard difficulty applied",L77&gt;M77),R77,IF(AND(S77="No - Low Difficulty - only applicable if all habitat created before losses ⚠",M77&gt;=L77),"Low",R77)))</f>
        <v/>
      </c>
      <c r="U77" s="499" t="str">
        <f t="shared" ref="U77:U140" si="11">IF(C77="","",VLOOKUP(R77,Difficulty,2,FALSE))</f>
        <v/>
      </c>
      <c r="V77" s="71"/>
      <c r="W77" s="499" t="str">
        <f>IF(V77="","",IF(VLOOKUP(V77,'G-7 Rivers Data'!$AA$4:$AB$7,2,FALSE)=0,"Spatial Data Missing ⚠",VLOOKUP(V77,'G-7 Rivers Data'!$AA$4:$AB$7,2,FALSE)))</f>
        <v/>
      </c>
      <c r="X77" s="155"/>
      <c r="Y77" s="499" t="str">
        <f>IF(X77="","",IF(VLOOKUP(X77,'G-7 Rivers Data'!$AD$4:$AE$8,2,FALSE)=0,"Enrcoachment Data Missing ⚠",VLOOKUP(X77,'G-7 Rivers Data'!$AD$4:$AE$8,2,FALSE)))</f>
        <v/>
      </c>
      <c r="Z77" s="154"/>
      <c r="AA77" s="524" t="str">
        <f>IF(Z77="","",VLOOKUP(Z77,'G-7 Rivers Data'!$AO$4:$AP$7,2,FALSE))</f>
        <v/>
      </c>
      <c r="AB77" s="545" t="str">
        <f t="shared" ref="AB77:AB140" si="12">IFERROR(D77*F77*H77*K77*Q77*U77*W77*Y77*AA77,"")</f>
        <v/>
      </c>
      <c r="AC77" s="149"/>
      <c r="AD77" s="150"/>
      <c r="AK77" s="31" t="str">
        <f>IFERROR(INDEX('G-7 Rivers Data'!$AZ$3:$AZ$7,MATCH(C77,'G-7 Rivers Data'!$AY$3:$AY$7,0)),"")</f>
        <v/>
      </c>
    </row>
    <row r="78" spans="2:37" ht="14" x14ac:dyDescent="0.3">
      <c r="B78" s="141">
        <v>67</v>
      </c>
      <c r="C78" s="666"/>
      <c r="D78" s="172"/>
      <c r="E78" s="498" t="str">
        <f>IF(C78="","",VLOOKUP(C78,'G-7 Rivers Data'!$B$2:$Z$9,2,FALSE))</f>
        <v/>
      </c>
      <c r="F78" s="499" t="str">
        <f>IFERROR(VLOOKUP(E78,'G-7 Rivers Data'!$C$4:$D$8,2,FALSE),"")</f>
        <v/>
      </c>
      <c r="G78" s="145"/>
      <c r="H78" s="499" t="str">
        <f>IFERROR(INDEX('G-7 Rivers Data'!$H$4:$L$8,MATCH(C78,'G-7 Rivers Data'!$B$4:$B$8,0),MATCH(G78,'G-7 Rivers Data'!$H$3:$L$3,0)),"")</f>
        <v/>
      </c>
      <c r="I78" s="145"/>
      <c r="J78" s="540" t="str">
        <f>IF(I78="","",IF(VLOOKUP(I78,'G-7 Rivers Data'!$AG$4:$AI$9,2,FALSE)=0,"Spatial Data Missing ⚠",VLOOKUP(I78,'G-7 Rivers Data'!$AG$4:$AI$9,2,FALSE)))</f>
        <v/>
      </c>
      <c r="K78" s="499" t="str">
        <f>IF(I78="","",IF(VLOOKUP(I78,'G-7 Rivers Data'!$AG$4:$AI$9,3,FALSE)=0,"Spatial Data Missing ⚠",VLOOKUP(I78,'G-7 Rivers Data'!$AG$4:$AI$9,3,FALSE)))</f>
        <v/>
      </c>
      <c r="L78" s="635" t="str">
        <f>IFERROR(INDEX('G-7 Rivers Data'!$O$3:$O$7,MATCH(G78,'G-7 Rivers Data'!$N$3:$N$7,0)),"")</f>
        <v/>
      </c>
      <c r="M78" s="72"/>
      <c r="N78" s="195"/>
      <c r="O78" s="507" t="str">
        <f t="shared" si="7"/>
        <v/>
      </c>
      <c r="P78" s="521" t="str">
        <f t="shared" si="8"/>
        <v/>
      </c>
      <c r="Q78" s="564" t="str">
        <f>IFERROR(IF(P78="Check Data ⚠","Check Data ⚠",VLOOKUP(P78,'G-4 Temporal multipliers'!$A$4:$C$37,3,FALSE)),"")</f>
        <v/>
      </c>
      <c r="R78" s="498" t="str">
        <f>IF(C78="","",VLOOKUP(C78,'G-7 Rivers Data'!$B$4:$G$8,4,FALSE))</f>
        <v/>
      </c>
      <c r="S78" s="507" t="str">
        <f t="shared" si="9"/>
        <v/>
      </c>
      <c r="T78" s="540" t="str">
        <f t="shared" si="10"/>
        <v/>
      </c>
      <c r="U78" s="499" t="str">
        <f t="shared" si="11"/>
        <v/>
      </c>
      <c r="V78" s="71"/>
      <c r="W78" s="499" t="str">
        <f>IF(V78="","",IF(VLOOKUP(V78,'G-7 Rivers Data'!$AA$4:$AB$7,2,FALSE)=0,"Spatial Data Missing ⚠",VLOOKUP(V78,'G-7 Rivers Data'!$AA$4:$AB$7,2,FALSE)))</f>
        <v/>
      </c>
      <c r="X78" s="155"/>
      <c r="Y78" s="499" t="str">
        <f>IF(X78="","",IF(VLOOKUP(X78,'G-7 Rivers Data'!$AD$4:$AE$8,2,FALSE)=0,"Enrcoachment Data Missing ⚠",VLOOKUP(X78,'G-7 Rivers Data'!$AD$4:$AE$8,2,FALSE)))</f>
        <v/>
      </c>
      <c r="Z78" s="154"/>
      <c r="AA78" s="524" t="str">
        <f>IF(Z78="","",VLOOKUP(Z78,'G-7 Rivers Data'!$AO$4:$AP$7,2,FALSE))</f>
        <v/>
      </c>
      <c r="AB78" s="545" t="str">
        <f t="shared" si="12"/>
        <v/>
      </c>
      <c r="AC78" s="149"/>
      <c r="AD78" s="150"/>
      <c r="AK78" s="31" t="str">
        <f>IFERROR(INDEX('G-7 Rivers Data'!$AZ$3:$AZ$7,MATCH(C78,'G-7 Rivers Data'!$AY$3:$AY$7,0)),"")</f>
        <v/>
      </c>
    </row>
    <row r="79" spans="2:37" ht="14" x14ac:dyDescent="0.3">
      <c r="B79" s="141">
        <v>68</v>
      </c>
      <c r="C79" s="666"/>
      <c r="D79" s="172"/>
      <c r="E79" s="498" t="str">
        <f>IF(C79="","",VLOOKUP(C79,'G-7 Rivers Data'!$B$2:$Z$9,2,FALSE))</f>
        <v/>
      </c>
      <c r="F79" s="499" t="str">
        <f>IFERROR(VLOOKUP(E79,'G-7 Rivers Data'!$C$4:$D$8,2,FALSE),"")</f>
        <v/>
      </c>
      <c r="G79" s="145"/>
      <c r="H79" s="499" t="str">
        <f>IFERROR(INDEX('G-7 Rivers Data'!$H$4:$L$8,MATCH(C79,'G-7 Rivers Data'!$B$4:$B$8,0),MATCH(G79,'G-7 Rivers Data'!$H$3:$L$3,0)),"")</f>
        <v/>
      </c>
      <c r="I79" s="145"/>
      <c r="J79" s="540" t="str">
        <f>IF(I79="","",IF(VLOOKUP(I79,'G-7 Rivers Data'!$AG$4:$AI$9,2,FALSE)=0,"Spatial Data Missing ⚠",VLOOKUP(I79,'G-7 Rivers Data'!$AG$4:$AI$9,2,FALSE)))</f>
        <v/>
      </c>
      <c r="K79" s="499" t="str">
        <f>IF(I79="","",IF(VLOOKUP(I79,'G-7 Rivers Data'!$AG$4:$AI$9,3,FALSE)=0,"Spatial Data Missing ⚠",VLOOKUP(I79,'G-7 Rivers Data'!$AG$4:$AI$9,3,FALSE)))</f>
        <v/>
      </c>
      <c r="L79" s="635" t="str">
        <f>IFERROR(INDEX('G-7 Rivers Data'!$O$3:$O$7,MATCH(G79,'G-7 Rivers Data'!$N$3:$N$7,0)),"")</f>
        <v/>
      </c>
      <c r="M79" s="72"/>
      <c r="N79" s="195"/>
      <c r="O79" s="507" t="str">
        <f t="shared" si="7"/>
        <v/>
      </c>
      <c r="P79" s="521" t="str">
        <f t="shared" si="8"/>
        <v/>
      </c>
      <c r="Q79" s="564" t="str">
        <f>IFERROR(IF(P79="Check Data ⚠","Check Data ⚠",VLOOKUP(P79,'G-4 Temporal multipliers'!$A$4:$C$37,3,FALSE)),"")</f>
        <v/>
      </c>
      <c r="R79" s="498" t="str">
        <f>IF(C79="","",VLOOKUP(C79,'G-7 Rivers Data'!$B$4:$G$8,4,FALSE))</f>
        <v/>
      </c>
      <c r="S79" s="507" t="str">
        <f t="shared" si="9"/>
        <v/>
      </c>
      <c r="T79" s="540" t="str">
        <f t="shared" si="10"/>
        <v/>
      </c>
      <c r="U79" s="499" t="str">
        <f t="shared" si="11"/>
        <v/>
      </c>
      <c r="V79" s="71"/>
      <c r="W79" s="499" t="str">
        <f>IF(V79="","",IF(VLOOKUP(V79,'G-7 Rivers Data'!$AA$4:$AB$7,2,FALSE)=0,"Spatial Data Missing ⚠",VLOOKUP(V79,'G-7 Rivers Data'!$AA$4:$AB$7,2,FALSE)))</f>
        <v/>
      </c>
      <c r="X79" s="155"/>
      <c r="Y79" s="499" t="str">
        <f>IF(X79="","",IF(VLOOKUP(X79,'G-7 Rivers Data'!$AD$4:$AE$8,2,FALSE)=0,"Enrcoachment Data Missing ⚠",VLOOKUP(X79,'G-7 Rivers Data'!$AD$4:$AE$8,2,FALSE)))</f>
        <v/>
      </c>
      <c r="Z79" s="154"/>
      <c r="AA79" s="524" t="str">
        <f>IF(Z79="","",VLOOKUP(Z79,'G-7 Rivers Data'!$AO$4:$AP$7,2,FALSE))</f>
        <v/>
      </c>
      <c r="AB79" s="545" t="str">
        <f t="shared" si="12"/>
        <v/>
      </c>
      <c r="AC79" s="149"/>
      <c r="AD79" s="150"/>
      <c r="AK79" s="31" t="str">
        <f>IFERROR(INDEX('G-7 Rivers Data'!$AZ$3:$AZ$7,MATCH(C79,'G-7 Rivers Data'!$AY$3:$AY$7,0)),"")</f>
        <v/>
      </c>
    </row>
    <row r="80" spans="2:37" ht="14" x14ac:dyDescent="0.3">
      <c r="B80" s="141">
        <v>69</v>
      </c>
      <c r="C80" s="666"/>
      <c r="D80" s="172"/>
      <c r="E80" s="498" t="str">
        <f>IF(C80="","",VLOOKUP(C80,'G-7 Rivers Data'!$B$2:$Z$9,2,FALSE))</f>
        <v/>
      </c>
      <c r="F80" s="499" t="str">
        <f>IFERROR(VLOOKUP(E80,'G-7 Rivers Data'!$C$4:$D$8,2,FALSE),"")</f>
        <v/>
      </c>
      <c r="G80" s="145"/>
      <c r="H80" s="499" t="str">
        <f>IFERROR(INDEX('G-7 Rivers Data'!$H$4:$L$8,MATCH(C80,'G-7 Rivers Data'!$B$4:$B$8,0),MATCH(G80,'G-7 Rivers Data'!$H$3:$L$3,0)),"")</f>
        <v/>
      </c>
      <c r="I80" s="145"/>
      <c r="J80" s="540" t="str">
        <f>IF(I80="","",IF(VLOOKUP(I80,'G-7 Rivers Data'!$AG$4:$AI$9,2,FALSE)=0,"Spatial Data Missing ⚠",VLOOKUP(I80,'G-7 Rivers Data'!$AG$4:$AI$9,2,FALSE)))</f>
        <v/>
      </c>
      <c r="K80" s="499" t="str">
        <f>IF(I80="","",IF(VLOOKUP(I80,'G-7 Rivers Data'!$AG$4:$AI$9,3,FALSE)=0,"Spatial Data Missing ⚠",VLOOKUP(I80,'G-7 Rivers Data'!$AG$4:$AI$9,3,FALSE)))</f>
        <v/>
      </c>
      <c r="L80" s="635" t="str">
        <f>IFERROR(INDEX('G-7 Rivers Data'!$O$3:$O$7,MATCH(G80,'G-7 Rivers Data'!$N$3:$N$7,0)),"")</f>
        <v/>
      </c>
      <c r="M80" s="72"/>
      <c r="N80" s="195"/>
      <c r="O80" s="507" t="str">
        <f t="shared" si="7"/>
        <v/>
      </c>
      <c r="P80" s="521" t="str">
        <f t="shared" si="8"/>
        <v/>
      </c>
      <c r="Q80" s="564" t="str">
        <f>IFERROR(IF(P80="Check Data ⚠","Check Data ⚠",VLOOKUP(P80,'G-4 Temporal multipliers'!$A$4:$C$37,3,FALSE)),"")</f>
        <v/>
      </c>
      <c r="R80" s="498" t="str">
        <f>IF(C80="","",VLOOKUP(C80,'G-7 Rivers Data'!$B$4:$G$8,4,FALSE))</f>
        <v/>
      </c>
      <c r="S80" s="507" t="str">
        <f t="shared" si="9"/>
        <v/>
      </c>
      <c r="T80" s="540" t="str">
        <f t="shared" si="10"/>
        <v/>
      </c>
      <c r="U80" s="499" t="str">
        <f t="shared" si="11"/>
        <v/>
      </c>
      <c r="V80" s="71"/>
      <c r="W80" s="499" t="str">
        <f>IF(V80="","",IF(VLOOKUP(V80,'G-7 Rivers Data'!$AA$4:$AB$7,2,FALSE)=0,"Spatial Data Missing ⚠",VLOOKUP(V80,'G-7 Rivers Data'!$AA$4:$AB$7,2,FALSE)))</f>
        <v/>
      </c>
      <c r="X80" s="155"/>
      <c r="Y80" s="499" t="str">
        <f>IF(X80="","",IF(VLOOKUP(X80,'G-7 Rivers Data'!$AD$4:$AE$8,2,FALSE)=0,"Enrcoachment Data Missing ⚠",VLOOKUP(X80,'G-7 Rivers Data'!$AD$4:$AE$8,2,FALSE)))</f>
        <v/>
      </c>
      <c r="Z80" s="154"/>
      <c r="AA80" s="524" t="str">
        <f>IF(Z80="","",VLOOKUP(Z80,'G-7 Rivers Data'!$AO$4:$AP$7,2,FALSE))</f>
        <v/>
      </c>
      <c r="AB80" s="545" t="str">
        <f t="shared" si="12"/>
        <v/>
      </c>
      <c r="AC80" s="149"/>
      <c r="AD80" s="150"/>
      <c r="AK80" s="31" t="str">
        <f>IFERROR(INDEX('G-7 Rivers Data'!$AZ$3:$AZ$7,MATCH(C80,'G-7 Rivers Data'!$AY$3:$AY$7,0)),"")</f>
        <v/>
      </c>
    </row>
    <row r="81" spans="2:37" ht="14" x14ac:dyDescent="0.3">
      <c r="B81" s="141">
        <v>70</v>
      </c>
      <c r="C81" s="666"/>
      <c r="D81" s="172"/>
      <c r="E81" s="498" t="str">
        <f>IF(C81="","",VLOOKUP(C81,'G-7 Rivers Data'!$B$2:$Z$9,2,FALSE))</f>
        <v/>
      </c>
      <c r="F81" s="499" t="str">
        <f>IFERROR(VLOOKUP(E81,'G-7 Rivers Data'!$C$4:$D$8,2,FALSE),"")</f>
        <v/>
      </c>
      <c r="G81" s="145"/>
      <c r="H81" s="499" t="str">
        <f>IFERROR(INDEX('G-7 Rivers Data'!$H$4:$L$8,MATCH(C81,'G-7 Rivers Data'!$B$4:$B$8,0),MATCH(G81,'G-7 Rivers Data'!$H$3:$L$3,0)),"")</f>
        <v/>
      </c>
      <c r="I81" s="145"/>
      <c r="J81" s="540" t="str">
        <f>IF(I81="","",IF(VLOOKUP(I81,'G-7 Rivers Data'!$AG$4:$AI$9,2,FALSE)=0,"Spatial Data Missing ⚠",VLOOKUP(I81,'G-7 Rivers Data'!$AG$4:$AI$9,2,FALSE)))</f>
        <v/>
      </c>
      <c r="K81" s="499" t="str">
        <f>IF(I81="","",IF(VLOOKUP(I81,'G-7 Rivers Data'!$AG$4:$AI$9,3,FALSE)=0,"Spatial Data Missing ⚠",VLOOKUP(I81,'G-7 Rivers Data'!$AG$4:$AI$9,3,FALSE)))</f>
        <v/>
      </c>
      <c r="L81" s="635" t="str">
        <f>IFERROR(INDEX('G-7 Rivers Data'!$O$3:$O$7,MATCH(G81,'G-7 Rivers Data'!$N$3:$N$7,0)),"")</f>
        <v/>
      </c>
      <c r="M81" s="72"/>
      <c r="N81" s="195"/>
      <c r="O81" s="507" t="str">
        <f t="shared" si="7"/>
        <v/>
      </c>
      <c r="P81" s="521" t="str">
        <f t="shared" si="8"/>
        <v/>
      </c>
      <c r="Q81" s="564" t="str">
        <f>IFERROR(IF(P81="Check Data ⚠","Check Data ⚠",VLOOKUP(P81,'G-4 Temporal multipliers'!$A$4:$C$37,3,FALSE)),"")</f>
        <v/>
      </c>
      <c r="R81" s="498" t="str">
        <f>IF(C81="","",VLOOKUP(C81,'G-7 Rivers Data'!$B$4:$G$8,4,FALSE))</f>
        <v/>
      </c>
      <c r="S81" s="507" t="str">
        <f t="shared" si="9"/>
        <v/>
      </c>
      <c r="T81" s="540" t="str">
        <f t="shared" si="10"/>
        <v/>
      </c>
      <c r="U81" s="499" t="str">
        <f t="shared" si="11"/>
        <v/>
      </c>
      <c r="V81" s="71"/>
      <c r="W81" s="499" t="str">
        <f>IF(V81="","",IF(VLOOKUP(V81,'G-7 Rivers Data'!$AA$4:$AB$7,2,FALSE)=0,"Spatial Data Missing ⚠",VLOOKUP(V81,'G-7 Rivers Data'!$AA$4:$AB$7,2,FALSE)))</f>
        <v/>
      </c>
      <c r="X81" s="155"/>
      <c r="Y81" s="499" t="str">
        <f>IF(X81="","",IF(VLOOKUP(X81,'G-7 Rivers Data'!$AD$4:$AE$8,2,FALSE)=0,"Enrcoachment Data Missing ⚠",VLOOKUP(X81,'G-7 Rivers Data'!$AD$4:$AE$8,2,FALSE)))</f>
        <v/>
      </c>
      <c r="Z81" s="154"/>
      <c r="AA81" s="524" t="str">
        <f>IF(Z81="","",VLOOKUP(Z81,'G-7 Rivers Data'!$AO$4:$AP$7,2,FALSE))</f>
        <v/>
      </c>
      <c r="AB81" s="545" t="str">
        <f t="shared" si="12"/>
        <v/>
      </c>
      <c r="AC81" s="149"/>
      <c r="AD81" s="150"/>
      <c r="AK81" s="31" t="str">
        <f>IFERROR(INDEX('G-7 Rivers Data'!$AZ$3:$AZ$7,MATCH(C81,'G-7 Rivers Data'!$AY$3:$AY$7,0)),"")</f>
        <v/>
      </c>
    </row>
    <row r="82" spans="2:37" ht="14" x14ac:dyDescent="0.3">
      <c r="B82" s="141">
        <v>71</v>
      </c>
      <c r="C82" s="666"/>
      <c r="D82" s="172"/>
      <c r="E82" s="498" t="str">
        <f>IF(C82="","",VLOOKUP(C82,'G-7 Rivers Data'!$B$2:$Z$9,2,FALSE))</f>
        <v/>
      </c>
      <c r="F82" s="499" t="str">
        <f>IFERROR(VLOOKUP(E82,'G-7 Rivers Data'!$C$4:$D$8,2,FALSE),"")</f>
        <v/>
      </c>
      <c r="G82" s="145"/>
      <c r="H82" s="499" t="str">
        <f>IFERROR(INDEX('G-7 Rivers Data'!$H$4:$L$8,MATCH(C82,'G-7 Rivers Data'!$B$4:$B$8,0),MATCH(G82,'G-7 Rivers Data'!$H$3:$L$3,0)),"")</f>
        <v/>
      </c>
      <c r="I82" s="145"/>
      <c r="J82" s="540" t="str">
        <f>IF(I82="","",IF(VLOOKUP(I82,'G-7 Rivers Data'!$AG$4:$AI$9,2,FALSE)=0,"Spatial Data Missing ⚠",VLOOKUP(I82,'G-7 Rivers Data'!$AG$4:$AI$9,2,FALSE)))</f>
        <v/>
      </c>
      <c r="K82" s="499" t="str">
        <f>IF(I82="","",IF(VLOOKUP(I82,'G-7 Rivers Data'!$AG$4:$AI$9,3,FALSE)=0,"Spatial Data Missing ⚠",VLOOKUP(I82,'G-7 Rivers Data'!$AG$4:$AI$9,3,FALSE)))</f>
        <v/>
      </c>
      <c r="L82" s="635" t="str">
        <f>IFERROR(INDEX('G-7 Rivers Data'!$O$3:$O$7,MATCH(G82,'G-7 Rivers Data'!$N$3:$N$7,0)),"")</f>
        <v/>
      </c>
      <c r="M82" s="72"/>
      <c r="N82" s="195"/>
      <c r="O82" s="507" t="str">
        <f t="shared" si="7"/>
        <v/>
      </c>
      <c r="P82" s="521" t="str">
        <f t="shared" si="8"/>
        <v/>
      </c>
      <c r="Q82" s="564" t="str">
        <f>IFERROR(IF(P82="Check Data ⚠","Check Data ⚠",VLOOKUP(P82,'G-4 Temporal multipliers'!$A$4:$C$37,3,FALSE)),"")</f>
        <v/>
      </c>
      <c r="R82" s="498" t="str">
        <f>IF(C82="","",VLOOKUP(C82,'G-7 Rivers Data'!$B$4:$G$8,4,FALSE))</f>
        <v/>
      </c>
      <c r="S82" s="507" t="str">
        <f t="shared" si="9"/>
        <v/>
      </c>
      <c r="T82" s="540" t="str">
        <f t="shared" si="10"/>
        <v/>
      </c>
      <c r="U82" s="499" t="str">
        <f t="shared" si="11"/>
        <v/>
      </c>
      <c r="V82" s="71"/>
      <c r="W82" s="499" t="str">
        <f>IF(V82="","",IF(VLOOKUP(V82,'G-7 Rivers Data'!$AA$4:$AB$7,2,FALSE)=0,"Spatial Data Missing ⚠",VLOOKUP(V82,'G-7 Rivers Data'!$AA$4:$AB$7,2,FALSE)))</f>
        <v/>
      </c>
      <c r="X82" s="155"/>
      <c r="Y82" s="499" t="str">
        <f>IF(X82="","",IF(VLOOKUP(X82,'G-7 Rivers Data'!$AD$4:$AE$8,2,FALSE)=0,"Enrcoachment Data Missing ⚠",VLOOKUP(X82,'G-7 Rivers Data'!$AD$4:$AE$8,2,FALSE)))</f>
        <v/>
      </c>
      <c r="Z82" s="154"/>
      <c r="AA82" s="524" t="str">
        <f>IF(Z82="","",VLOOKUP(Z82,'G-7 Rivers Data'!$AO$4:$AP$7,2,FALSE))</f>
        <v/>
      </c>
      <c r="AB82" s="545" t="str">
        <f t="shared" si="12"/>
        <v/>
      </c>
      <c r="AC82" s="149"/>
      <c r="AD82" s="150"/>
      <c r="AK82" s="31" t="str">
        <f>IFERROR(INDEX('G-7 Rivers Data'!$AZ$3:$AZ$7,MATCH(C82,'G-7 Rivers Data'!$AY$3:$AY$7,0)),"")</f>
        <v/>
      </c>
    </row>
    <row r="83" spans="2:37" ht="14" x14ac:dyDescent="0.3">
      <c r="B83" s="141">
        <v>72</v>
      </c>
      <c r="C83" s="666"/>
      <c r="D83" s="172"/>
      <c r="E83" s="498" t="str">
        <f>IF(C83="","",VLOOKUP(C83,'G-7 Rivers Data'!$B$2:$Z$9,2,FALSE))</f>
        <v/>
      </c>
      <c r="F83" s="499" t="str">
        <f>IFERROR(VLOOKUP(E83,'G-7 Rivers Data'!$C$4:$D$8,2,FALSE),"")</f>
        <v/>
      </c>
      <c r="G83" s="145"/>
      <c r="H83" s="499" t="str">
        <f>IFERROR(INDEX('G-7 Rivers Data'!$H$4:$L$8,MATCH(C83,'G-7 Rivers Data'!$B$4:$B$8,0),MATCH(G83,'G-7 Rivers Data'!$H$3:$L$3,0)),"")</f>
        <v/>
      </c>
      <c r="I83" s="145"/>
      <c r="J83" s="540" t="str">
        <f>IF(I83="","",IF(VLOOKUP(I83,'G-7 Rivers Data'!$AG$4:$AI$9,2,FALSE)=0,"Spatial Data Missing ⚠",VLOOKUP(I83,'G-7 Rivers Data'!$AG$4:$AI$9,2,FALSE)))</f>
        <v/>
      </c>
      <c r="K83" s="499" t="str">
        <f>IF(I83="","",IF(VLOOKUP(I83,'G-7 Rivers Data'!$AG$4:$AI$9,3,FALSE)=0,"Spatial Data Missing ⚠",VLOOKUP(I83,'G-7 Rivers Data'!$AG$4:$AI$9,3,FALSE)))</f>
        <v/>
      </c>
      <c r="L83" s="635" t="str">
        <f>IFERROR(INDEX('G-7 Rivers Data'!$O$3:$O$7,MATCH(G83,'G-7 Rivers Data'!$N$3:$N$7,0)),"")</f>
        <v/>
      </c>
      <c r="M83" s="72"/>
      <c r="N83" s="195"/>
      <c r="O83" s="507" t="str">
        <f t="shared" si="7"/>
        <v/>
      </c>
      <c r="P83" s="521" t="str">
        <f t="shared" si="8"/>
        <v/>
      </c>
      <c r="Q83" s="564" t="str">
        <f>IFERROR(IF(P83="Check Data ⚠","Check Data ⚠",VLOOKUP(P83,'G-4 Temporal multipliers'!$A$4:$C$37,3,FALSE)),"")</f>
        <v/>
      </c>
      <c r="R83" s="498" t="str">
        <f>IF(C83="","",VLOOKUP(C83,'G-7 Rivers Data'!$B$4:$G$8,4,FALSE))</f>
        <v/>
      </c>
      <c r="S83" s="507" t="str">
        <f t="shared" si="9"/>
        <v/>
      </c>
      <c r="T83" s="540" t="str">
        <f t="shared" si="10"/>
        <v/>
      </c>
      <c r="U83" s="499" t="str">
        <f t="shared" si="11"/>
        <v/>
      </c>
      <c r="V83" s="71"/>
      <c r="W83" s="499" t="str">
        <f>IF(V83="","",IF(VLOOKUP(V83,'G-7 Rivers Data'!$AA$4:$AB$7,2,FALSE)=0,"Spatial Data Missing ⚠",VLOOKUP(V83,'G-7 Rivers Data'!$AA$4:$AB$7,2,FALSE)))</f>
        <v/>
      </c>
      <c r="X83" s="155"/>
      <c r="Y83" s="499" t="str">
        <f>IF(X83="","",IF(VLOOKUP(X83,'G-7 Rivers Data'!$AD$4:$AE$8,2,FALSE)=0,"Enrcoachment Data Missing ⚠",VLOOKUP(X83,'G-7 Rivers Data'!$AD$4:$AE$8,2,FALSE)))</f>
        <v/>
      </c>
      <c r="Z83" s="154"/>
      <c r="AA83" s="524" t="str">
        <f>IF(Z83="","",VLOOKUP(Z83,'G-7 Rivers Data'!$AO$4:$AP$7,2,FALSE))</f>
        <v/>
      </c>
      <c r="AB83" s="545" t="str">
        <f t="shared" si="12"/>
        <v/>
      </c>
      <c r="AC83" s="149"/>
      <c r="AD83" s="150"/>
      <c r="AK83" s="31" t="str">
        <f>IFERROR(INDEX('G-7 Rivers Data'!$AZ$3:$AZ$7,MATCH(C83,'G-7 Rivers Data'!$AY$3:$AY$7,0)),"")</f>
        <v/>
      </c>
    </row>
    <row r="84" spans="2:37" ht="14" x14ac:dyDescent="0.3">
      <c r="B84" s="141">
        <v>73</v>
      </c>
      <c r="C84" s="666"/>
      <c r="D84" s="172"/>
      <c r="E84" s="498" t="str">
        <f>IF(C84="","",VLOOKUP(C84,'G-7 Rivers Data'!$B$2:$Z$9,2,FALSE))</f>
        <v/>
      </c>
      <c r="F84" s="499" t="str">
        <f>IFERROR(VLOOKUP(E84,'G-7 Rivers Data'!$C$4:$D$8,2,FALSE),"")</f>
        <v/>
      </c>
      <c r="G84" s="145"/>
      <c r="H84" s="499" t="str">
        <f>IFERROR(INDEX('G-7 Rivers Data'!$H$4:$L$8,MATCH(C84,'G-7 Rivers Data'!$B$4:$B$8,0),MATCH(G84,'G-7 Rivers Data'!$H$3:$L$3,0)),"")</f>
        <v/>
      </c>
      <c r="I84" s="145"/>
      <c r="J84" s="540" t="str">
        <f>IF(I84="","",IF(VLOOKUP(I84,'G-7 Rivers Data'!$AG$4:$AI$9,2,FALSE)=0,"Spatial Data Missing ⚠",VLOOKUP(I84,'G-7 Rivers Data'!$AG$4:$AI$9,2,FALSE)))</f>
        <v/>
      </c>
      <c r="K84" s="499" t="str">
        <f>IF(I84="","",IF(VLOOKUP(I84,'G-7 Rivers Data'!$AG$4:$AI$9,3,FALSE)=0,"Spatial Data Missing ⚠",VLOOKUP(I84,'G-7 Rivers Data'!$AG$4:$AI$9,3,FALSE)))</f>
        <v/>
      </c>
      <c r="L84" s="635" t="str">
        <f>IFERROR(INDEX('G-7 Rivers Data'!$O$3:$O$7,MATCH(G84,'G-7 Rivers Data'!$N$3:$N$7,0)),"")</f>
        <v/>
      </c>
      <c r="M84" s="72"/>
      <c r="N84" s="195"/>
      <c r="O84" s="507" t="str">
        <f t="shared" si="7"/>
        <v/>
      </c>
      <c r="P84" s="521" t="str">
        <f t="shared" si="8"/>
        <v/>
      </c>
      <c r="Q84" s="564" t="str">
        <f>IFERROR(IF(P84="Check Data ⚠","Check Data ⚠",VLOOKUP(P84,'G-4 Temporal multipliers'!$A$4:$C$37,3,FALSE)),"")</f>
        <v/>
      </c>
      <c r="R84" s="498" t="str">
        <f>IF(C84="","",VLOOKUP(C84,'G-7 Rivers Data'!$B$4:$G$8,4,FALSE))</f>
        <v/>
      </c>
      <c r="S84" s="507" t="str">
        <f t="shared" si="9"/>
        <v/>
      </c>
      <c r="T84" s="540" t="str">
        <f t="shared" si="10"/>
        <v/>
      </c>
      <c r="U84" s="499" t="str">
        <f t="shared" si="11"/>
        <v/>
      </c>
      <c r="V84" s="71"/>
      <c r="W84" s="499" t="str">
        <f>IF(V84="","",IF(VLOOKUP(V84,'G-7 Rivers Data'!$AA$4:$AB$7,2,FALSE)=0,"Spatial Data Missing ⚠",VLOOKUP(V84,'G-7 Rivers Data'!$AA$4:$AB$7,2,FALSE)))</f>
        <v/>
      </c>
      <c r="X84" s="155"/>
      <c r="Y84" s="499" t="str">
        <f>IF(X84="","",IF(VLOOKUP(X84,'G-7 Rivers Data'!$AD$4:$AE$8,2,FALSE)=0,"Enrcoachment Data Missing ⚠",VLOOKUP(X84,'G-7 Rivers Data'!$AD$4:$AE$8,2,FALSE)))</f>
        <v/>
      </c>
      <c r="Z84" s="154"/>
      <c r="AA84" s="524" t="str">
        <f>IF(Z84="","",VLOOKUP(Z84,'G-7 Rivers Data'!$AO$4:$AP$7,2,FALSE))</f>
        <v/>
      </c>
      <c r="AB84" s="545" t="str">
        <f t="shared" si="12"/>
        <v/>
      </c>
      <c r="AC84" s="149"/>
      <c r="AD84" s="150"/>
      <c r="AK84" s="31" t="str">
        <f>IFERROR(INDEX('G-7 Rivers Data'!$AZ$3:$AZ$7,MATCH(C84,'G-7 Rivers Data'!$AY$3:$AY$7,0)),"")</f>
        <v/>
      </c>
    </row>
    <row r="85" spans="2:37" ht="14" x14ac:dyDescent="0.3">
      <c r="B85" s="141">
        <v>74</v>
      </c>
      <c r="C85" s="666"/>
      <c r="D85" s="172"/>
      <c r="E85" s="498" t="str">
        <f>IF(C85="","",VLOOKUP(C85,'G-7 Rivers Data'!$B$2:$Z$9,2,FALSE))</f>
        <v/>
      </c>
      <c r="F85" s="499" t="str">
        <f>IFERROR(VLOOKUP(E85,'G-7 Rivers Data'!$C$4:$D$8,2,FALSE),"")</f>
        <v/>
      </c>
      <c r="G85" s="145"/>
      <c r="H85" s="499" t="str">
        <f>IFERROR(INDEX('G-7 Rivers Data'!$H$4:$L$8,MATCH(C85,'G-7 Rivers Data'!$B$4:$B$8,0),MATCH(G85,'G-7 Rivers Data'!$H$3:$L$3,0)),"")</f>
        <v/>
      </c>
      <c r="I85" s="145"/>
      <c r="J85" s="540" t="str">
        <f>IF(I85="","",IF(VLOOKUP(I85,'G-7 Rivers Data'!$AG$4:$AI$9,2,FALSE)=0,"Spatial Data Missing ⚠",VLOOKUP(I85,'G-7 Rivers Data'!$AG$4:$AI$9,2,FALSE)))</f>
        <v/>
      </c>
      <c r="K85" s="499" t="str">
        <f>IF(I85="","",IF(VLOOKUP(I85,'G-7 Rivers Data'!$AG$4:$AI$9,3,FALSE)=0,"Spatial Data Missing ⚠",VLOOKUP(I85,'G-7 Rivers Data'!$AG$4:$AI$9,3,FALSE)))</f>
        <v/>
      </c>
      <c r="L85" s="635" t="str">
        <f>IFERROR(INDEX('G-7 Rivers Data'!$O$3:$O$7,MATCH(G85,'G-7 Rivers Data'!$N$3:$N$7,0)),"")</f>
        <v/>
      </c>
      <c r="M85" s="72"/>
      <c r="N85" s="195"/>
      <c r="O85" s="507" t="str">
        <f t="shared" si="7"/>
        <v/>
      </c>
      <c r="P85" s="521" t="str">
        <f t="shared" si="8"/>
        <v/>
      </c>
      <c r="Q85" s="564" t="str">
        <f>IFERROR(IF(P85="Check Data ⚠","Check Data ⚠",VLOOKUP(P85,'G-4 Temporal multipliers'!$A$4:$C$37,3,FALSE)),"")</f>
        <v/>
      </c>
      <c r="R85" s="498" t="str">
        <f>IF(C85="","",VLOOKUP(C85,'G-7 Rivers Data'!$B$4:$G$8,4,FALSE))</f>
        <v/>
      </c>
      <c r="S85" s="507" t="str">
        <f t="shared" si="9"/>
        <v/>
      </c>
      <c r="T85" s="540" t="str">
        <f t="shared" si="10"/>
        <v/>
      </c>
      <c r="U85" s="499" t="str">
        <f t="shared" si="11"/>
        <v/>
      </c>
      <c r="V85" s="71"/>
      <c r="W85" s="499" t="str">
        <f>IF(V85="","",IF(VLOOKUP(V85,'G-7 Rivers Data'!$AA$4:$AB$7,2,FALSE)=0,"Spatial Data Missing ⚠",VLOOKUP(V85,'G-7 Rivers Data'!$AA$4:$AB$7,2,FALSE)))</f>
        <v/>
      </c>
      <c r="X85" s="155"/>
      <c r="Y85" s="499" t="str">
        <f>IF(X85="","",IF(VLOOKUP(X85,'G-7 Rivers Data'!$AD$4:$AE$8,2,FALSE)=0,"Enrcoachment Data Missing ⚠",VLOOKUP(X85,'G-7 Rivers Data'!$AD$4:$AE$8,2,FALSE)))</f>
        <v/>
      </c>
      <c r="Z85" s="154"/>
      <c r="AA85" s="524" t="str">
        <f>IF(Z85="","",VLOOKUP(Z85,'G-7 Rivers Data'!$AO$4:$AP$7,2,FALSE))</f>
        <v/>
      </c>
      <c r="AB85" s="545" t="str">
        <f t="shared" si="12"/>
        <v/>
      </c>
      <c r="AC85" s="149"/>
      <c r="AD85" s="150"/>
      <c r="AK85" s="31" t="str">
        <f>IFERROR(INDEX('G-7 Rivers Data'!$AZ$3:$AZ$7,MATCH(C85,'G-7 Rivers Data'!$AY$3:$AY$7,0)),"")</f>
        <v/>
      </c>
    </row>
    <row r="86" spans="2:37" ht="14" x14ac:dyDescent="0.3">
      <c r="B86" s="141">
        <v>75</v>
      </c>
      <c r="C86" s="666"/>
      <c r="D86" s="172"/>
      <c r="E86" s="498" t="str">
        <f>IF(C86="","",VLOOKUP(C86,'G-7 Rivers Data'!$B$2:$Z$9,2,FALSE))</f>
        <v/>
      </c>
      <c r="F86" s="499" t="str">
        <f>IFERROR(VLOOKUP(E86,'G-7 Rivers Data'!$C$4:$D$8,2,FALSE),"")</f>
        <v/>
      </c>
      <c r="G86" s="145"/>
      <c r="H86" s="499" t="str">
        <f>IFERROR(INDEX('G-7 Rivers Data'!$H$4:$L$8,MATCH(C86,'G-7 Rivers Data'!$B$4:$B$8,0),MATCH(G86,'G-7 Rivers Data'!$H$3:$L$3,0)),"")</f>
        <v/>
      </c>
      <c r="I86" s="145"/>
      <c r="J86" s="540" t="str">
        <f>IF(I86="","",IF(VLOOKUP(I86,'G-7 Rivers Data'!$AG$4:$AI$9,2,FALSE)=0,"Spatial Data Missing ⚠",VLOOKUP(I86,'G-7 Rivers Data'!$AG$4:$AI$9,2,FALSE)))</f>
        <v/>
      </c>
      <c r="K86" s="499" t="str">
        <f>IF(I86="","",IF(VLOOKUP(I86,'G-7 Rivers Data'!$AG$4:$AI$9,3,FALSE)=0,"Spatial Data Missing ⚠",VLOOKUP(I86,'G-7 Rivers Data'!$AG$4:$AI$9,3,FALSE)))</f>
        <v/>
      </c>
      <c r="L86" s="635" t="str">
        <f>IFERROR(INDEX('G-7 Rivers Data'!$O$3:$O$7,MATCH(G86,'G-7 Rivers Data'!$N$3:$N$7,0)),"")</f>
        <v/>
      </c>
      <c r="M86" s="72"/>
      <c r="N86" s="195"/>
      <c r="O86" s="507" t="str">
        <f t="shared" si="7"/>
        <v/>
      </c>
      <c r="P86" s="521" t="str">
        <f t="shared" si="8"/>
        <v/>
      </c>
      <c r="Q86" s="564" t="str">
        <f>IFERROR(IF(P86="Check Data ⚠","Check Data ⚠",VLOOKUP(P86,'G-4 Temporal multipliers'!$A$4:$C$37,3,FALSE)),"")</f>
        <v/>
      </c>
      <c r="R86" s="498" t="str">
        <f>IF(C86="","",VLOOKUP(C86,'G-7 Rivers Data'!$B$4:$G$8,4,FALSE))</f>
        <v/>
      </c>
      <c r="S86" s="507" t="str">
        <f t="shared" si="9"/>
        <v/>
      </c>
      <c r="T86" s="540" t="str">
        <f t="shared" si="10"/>
        <v/>
      </c>
      <c r="U86" s="499" t="str">
        <f t="shared" si="11"/>
        <v/>
      </c>
      <c r="V86" s="71"/>
      <c r="W86" s="499" t="str">
        <f>IF(V86="","",IF(VLOOKUP(V86,'G-7 Rivers Data'!$AA$4:$AB$7,2,FALSE)=0,"Spatial Data Missing ⚠",VLOOKUP(V86,'G-7 Rivers Data'!$AA$4:$AB$7,2,FALSE)))</f>
        <v/>
      </c>
      <c r="X86" s="155"/>
      <c r="Y86" s="499" t="str">
        <f>IF(X86="","",IF(VLOOKUP(X86,'G-7 Rivers Data'!$AD$4:$AE$8,2,FALSE)=0,"Enrcoachment Data Missing ⚠",VLOOKUP(X86,'G-7 Rivers Data'!$AD$4:$AE$8,2,FALSE)))</f>
        <v/>
      </c>
      <c r="Z86" s="154"/>
      <c r="AA86" s="524" t="str">
        <f>IF(Z86="","",VLOOKUP(Z86,'G-7 Rivers Data'!$AO$4:$AP$7,2,FALSE))</f>
        <v/>
      </c>
      <c r="AB86" s="545" t="str">
        <f t="shared" si="12"/>
        <v/>
      </c>
      <c r="AC86" s="149"/>
      <c r="AD86" s="150"/>
      <c r="AK86" s="31" t="str">
        <f>IFERROR(INDEX('G-7 Rivers Data'!$AZ$3:$AZ$7,MATCH(C86,'G-7 Rivers Data'!$AY$3:$AY$7,0)),"")</f>
        <v/>
      </c>
    </row>
    <row r="87" spans="2:37" ht="14" x14ac:dyDescent="0.3">
      <c r="B87" s="141">
        <v>76</v>
      </c>
      <c r="C87" s="666"/>
      <c r="D87" s="172"/>
      <c r="E87" s="498" t="str">
        <f>IF(C87="","",VLOOKUP(C87,'G-7 Rivers Data'!$B$2:$Z$9,2,FALSE))</f>
        <v/>
      </c>
      <c r="F87" s="499" t="str">
        <f>IFERROR(VLOOKUP(E87,'G-7 Rivers Data'!$C$4:$D$8,2,FALSE),"")</f>
        <v/>
      </c>
      <c r="G87" s="145"/>
      <c r="H87" s="499" t="str">
        <f>IFERROR(INDEX('G-7 Rivers Data'!$H$4:$L$8,MATCH(C87,'G-7 Rivers Data'!$B$4:$B$8,0),MATCH(G87,'G-7 Rivers Data'!$H$3:$L$3,0)),"")</f>
        <v/>
      </c>
      <c r="I87" s="145"/>
      <c r="J87" s="540" t="str">
        <f>IF(I87="","",IF(VLOOKUP(I87,'G-7 Rivers Data'!$AG$4:$AI$9,2,FALSE)=0,"Spatial Data Missing ⚠",VLOOKUP(I87,'G-7 Rivers Data'!$AG$4:$AI$9,2,FALSE)))</f>
        <v/>
      </c>
      <c r="K87" s="499" t="str">
        <f>IF(I87="","",IF(VLOOKUP(I87,'G-7 Rivers Data'!$AG$4:$AI$9,3,FALSE)=0,"Spatial Data Missing ⚠",VLOOKUP(I87,'G-7 Rivers Data'!$AG$4:$AI$9,3,FALSE)))</f>
        <v/>
      </c>
      <c r="L87" s="635" t="str">
        <f>IFERROR(INDEX('G-7 Rivers Data'!$O$3:$O$7,MATCH(G87,'G-7 Rivers Data'!$N$3:$N$7,0)),"")</f>
        <v/>
      </c>
      <c r="M87" s="72"/>
      <c r="N87" s="195"/>
      <c r="O87" s="507" t="str">
        <f t="shared" si="7"/>
        <v/>
      </c>
      <c r="P87" s="521" t="str">
        <f t="shared" si="8"/>
        <v/>
      </c>
      <c r="Q87" s="564" t="str">
        <f>IFERROR(IF(P87="Check Data ⚠","Check Data ⚠",VLOOKUP(P87,'G-4 Temporal multipliers'!$A$4:$C$37,3,FALSE)),"")</f>
        <v/>
      </c>
      <c r="R87" s="498" t="str">
        <f>IF(C87="","",VLOOKUP(C87,'G-7 Rivers Data'!$B$4:$G$8,4,FALSE))</f>
        <v/>
      </c>
      <c r="S87" s="507" t="str">
        <f t="shared" si="9"/>
        <v/>
      </c>
      <c r="T87" s="540" t="str">
        <f t="shared" si="10"/>
        <v/>
      </c>
      <c r="U87" s="499" t="str">
        <f t="shared" si="11"/>
        <v/>
      </c>
      <c r="V87" s="71"/>
      <c r="W87" s="499" t="str">
        <f>IF(V87="","",IF(VLOOKUP(V87,'G-7 Rivers Data'!$AA$4:$AB$7,2,FALSE)=0,"Spatial Data Missing ⚠",VLOOKUP(V87,'G-7 Rivers Data'!$AA$4:$AB$7,2,FALSE)))</f>
        <v/>
      </c>
      <c r="X87" s="155"/>
      <c r="Y87" s="499" t="str">
        <f>IF(X87="","",IF(VLOOKUP(X87,'G-7 Rivers Data'!$AD$4:$AE$8,2,FALSE)=0,"Enrcoachment Data Missing ⚠",VLOOKUP(X87,'G-7 Rivers Data'!$AD$4:$AE$8,2,FALSE)))</f>
        <v/>
      </c>
      <c r="Z87" s="154"/>
      <c r="AA87" s="524" t="str">
        <f>IF(Z87="","",VLOOKUP(Z87,'G-7 Rivers Data'!$AO$4:$AP$7,2,FALSE))</f>
        <v/>
      </c>
      <c r="AB87" s="545" t="str">
        <f t="shared" si="12"/>
        <v/>
      </c>
      <c r="AC87" s="149"/>
      <c r="AD87" s="150"/>
      <c r="AK87" s="31" t="str">
        <f>IFERROR(INDEX('G-7 Rivers Data'!$AZ$3:$AZ$7,MATCH(C87,'G-7 Rivers Data'!$AY$3:$AY$7,0)),"")</f>
        <v/>
      </c>
    </row>
    <row r="88" spans="2:37" ht="14" x14ac:dyDescent="0.3">
      <c r="B88" s="141">
        <v>77</v>
      </c>
      <c r="C88" s="666"/>
      <c r="D88" s="172"/>
      <c r="E88" s="498" t="str">
        <f>IF(C88="","",VLOOKUP(C88,'G-7 Rivers Data'!$B$2:$Z$9,2,FALSE))</f>
        <v/>
      </c>
      <c r="F88" s="499" t="str">
        <f>IFERROR(VLOOKUP(E88,'G-7 Rivers Data'!$C$4:$D$8,2,FALSE),"")</f>
        <v/>
      </c>
      <c r="G88" s="145"/>
      <c r="H88" s="499" t="str">
        <f>IFERROR(INDEX('G-7 Rivers Data'!$H$4:$L$8,MATCH(C88,'G-7 Rivers Data'!$B$4:$B$8,0),MATCH(G88,'G-7 Rivers Data'!$H$3:$L$3,0)),"")</f>
        <v/>
      </c>
      <c r="I88" s="145"/>
      <c r="J88" s="540" t="str">
        <f>IF(I88="","",IF(VLOOKUP(I88,'G-7 Rivers Data'!$AG$4:$AI$9,2,FALSE)=0,"Spatial Data Missing ⚠",VLOOKUP(I88,'G-7 Rivers Data'!$AG$4:$AI$9,2,FALSE)))</f>
        <v/>
      </c>
      <c r="K88" s="499" t="str">
        <f>IF(I88="","",IF(VLOOKUP(I88,'G-7 Rivers Data'!$AG$4:$AI$9,3,FALSE)=0,"Spatial Data Missing ⚠",VLOOKUP(I88,'G-7 Rivers Data'!$AG$4:$AI$9,3,FALSE)))</f>
        <v/>
      </c>
      <c r="L88" s="635" t="str">
        <f>IFERROR(INDEX('G-7 Rivers Data'!$O$3:$O$7,MATCH(G88,'G-7 Rivers Data'!$N$3:$N$7,0)),"")</f>
        <v/>
      </c>
      <c r="M88" s="72"/>
      <c r="N88" s="195"/>
      <c r="O88" s="507" t="str">
        <f t="shared" si="7"/>
        <v/>
      </c>
      <c r="P88" s="521" t="str">
        <f t="shared" si="8"/>
        <v/>
      </c>
      <c r="Q88" s="564" t="str">
        <f>IFERROR(IF(P88="Check Data ⚠","Check Data ⚠",VLOOKUP(P88,'G-4 Temporal multipliers'!$A$4:$C$37,3,FALSE)),"")</f>
        <v/>
      </c>
      <c r="R88" s="498" t="str">
        <f>IF(C88="","",VLOOKUP(C88,'G-7 Rivers Data'!$B$4:$G$8,4,FALSE))</f>
        <v/>
      </c>
      <c r="S88" s="507" t="str">
        <f t="shared" si="9"/>
        <v/>
      </c>
      <c r="T88" s="540" t="str">
        <f t="shared" si="10"/>
        <v/>
      </c>
      <c r="U88" s="499" t="str">
        <f t="shared" si="11"/>
        <v/>
      </c>
      <c r="V88" s="71"/>
      <c r="W88" s="499" t="str">
        <f>IF(V88="","",IF(VLOOKUP(V88,'G-7 Rivers Data'!$AA$4:$AB$7,2,FALSE)=0,"Spatial Data Missing ⚠",VLOOKUP(V88,'G-7 Rivers Data'!$AA$4:$AB$7,2,FALSE)))</f>
        <v/>
      </c>
      <c r="X88" s="155"/>
      <c r="Y88" s="499" t="str">
        <f>IF(X88="","",IF(VLOOKUP(X88,'G-7 Rivers Data'!$AD$4:$AE$8,2,FALSE)=0,"Enrcoachment Data Missing ⚠",VLOOKUP(X88,'G-7 Rivers Data'!$AD$4:$AE$8,2,FALSE)))</f>
        <v/>
      </c>
      <c r="Z88" s="154"/>
      <c r="AA88" s="524" t="str">
        <f>IF(Z88="","",VLOOKUP(Z88,'G-7 Rivers Data'!$AO$4:$AP$7,2,FALSE))</f>
        <v/>
      </c>
      <c r="AB88" s="545" t="str">
        <f t="shared" si="12"/>
        <v/>
      </c>
      <c r="AC88" s="149"/>
      <c r="AD88" s="150"/>
      <c r="AK88" s="31" t="str">
        <f>IFERROR(INDEX('G-7 Rivers Data'!$AZ$3:$AZ$7,MATCH(C88,'G-7 Rivers Data'!$AY$3:$AY$7,0)),"")</f>
        <v/>
      </c>
    </row>
    <row r="89" spans="2:37" ht="14" x14ac:dyDescent="0.3">
      <c r="B89" s="141">
        <v>78</v>
      </c>
      <c r="C89" s="666"/>
      <c r="D89" s="172"/>
      <c r="E89" s="498" t="str">
        <f>IF(C89="","",VLOOKUP(C89,'G-7 Rivers Data'!$B$2:$Z$9,2,FALSE))</f>
        <v/>
      </c>
      <c r="F89" s="499" t="str">
        <f>IFERROR(VLOOKUP(E89,'G-7 Rivers Data'!$C$4:$D$8,2,FALSE),"")</f>
        <v/>
      </c>
      <c r="G89" s="145"/>
      <c r="H89" s="499" t="str">
        <f>IFERROR(INDEX('G-7 Rivers Data'!$H$4:$L$8,MATCH(C89,'G-7 Rivers Data'!$B$4:$B$8,0),MATCH(G89,'G-7 Rivers Data'!$H$3:$L$3,0)),"")</f>
        <v/>
      </c>
      <c r="I89" s="145"/>
      <c r="J89" s="540" t="str">
        <f>IF(I89="","",IF(VLOOKUP(I89,'G-7 Rivers Data'!$AG$4:$AI$9,2,FALSE)=0,"Spatial Data Missing ⚠",VLOOKUP(I89,'G-7 Rivers Data'!$AG$4:$AI$9,2,FALSE)))</f>
        <v/>
      </c>
      <c r="K89" s="499" t="str">
        <f>IF(I89="","",IF(VLOOKUP(I89,'G-7 Rivers Data'!$AG$4:$AI$9,3,FALSE)=0,"Spatial Data Missing ⚠",VLOOKUP(I89,'G-7 Rivers Data'!$AG$4:$AI$9,3,FALSE)))</f>
        <v/>
      </c>
      <c r="L89" s="635" t="str">
        <f>IFERROR(INDEX('G-7 Rivers Data'!$O$3:$O$7,MATCH(G89,'G-7 Rivers Data'!$N$3:$N$7,0)),"")</f>
        <v/>
      </c>
      <c r="M89" s="72"/>
      <c r="N89" s="195"/>
      <c r="O89" s="507" t="str">
        <f t="shared" si="7"/>
        <v/>
      </c>
      <c r="P89" s="521" t="str">
        <f t="shared" si="8"/>
        <v/>
      </c>
      <c r="Q89" s="564" t="str">
        <f>IFERROR(IF(P89="Check Data ⚠","Check Data ⚠",VLOOKUP(P89,'G-4 Temporal multipliers'!$A$4:$C$37,3,FALSE)),"")</f>
        <v/>
      </c>
      <c r="R89" s="498" t="str">
        <f>IF(C89="","",VLOOKUP(C89,'G-7 Rivers Data'!$B$4:$G$8,4,FALSE))</f>
        <v/>
      </c>
      <c r="S89" s="507" t="str">
        <f t="shared" si="9"/>
        <v/>
      </c>
      <c r="T89" s="540" t="str">
        <f t="shared" si="10"/>
        <v/>
      </c>
      <c r="U89" s="499" t="str">
        <f t="shared" si="11"/>
        <v/>
      </c>
      <c r="V89" s="71"/>
      <c r="W89" s="499" t="str">
        <f>IF(V89="","",IF(VLOOKUP(V89,'G-7 Rivers Data'!$AA$4:$AB$7,2,FALSE)=0,"Spatial Data Missing ⚠",VLOOKUP(V89,'G-7 Rivers Data'!$AA$4:$AB$7,2,FALSE)))</f>
        <v/>
      </c>
      <c r="X89" s="155"/>
      <c r="Y89" s="499" t="str">
        <f>IF(X89="","",IF(VLOOKUP(X89,'G-7 Rivers Data'!$AD$4:$AE$8,2,FALSE)=0,"Enrcoachment Data Missing ⚠",VLOOKUP(X89,'G-7 Rivers Data'!$AD$4:$AE$8,2,FALSE)))</f>
        <v/>
      </c>
      <c r="Z89" s="154"/>
      <c r="AA89" s="524" t="str">
        <f>IF(Z89="","",VLOOKUP(Z89,'G-7 Rivers Data'!$AO$4:$AP$7,2,FALSE))</f>
        <v/>
      </c>
      <c r="AB89" s="545" t="str">
        <f t="shared" si="12"/>
        <v/>
      </c>
      <c r="AC89" s="149"/>
      <c r="AD89" s="150"/>
      <c r="AK89" s="31" t="str">
        <f>IFERROR(INDEX('G-7 Rivers Data'!$AZ$3:$AZ$7,MATCH(C89,'G-7 Rivers Data'!$AY$3:$AY$7,0)),"")</f>
        <v/>
      </c>
    </row>
    <row r="90" spans="2:37" ht="14" x14ac:dyDescent="0.3">
      <c r="B90" s="141">
        <v>79</v>
      </c>
      <c r="C90" s="666"/>
      <c r="D90" s="172"/>
      <c r="E90" s="498" t="str">
        <f>IF(C90="","",VLOOKUP(C90,'G-7 Rivers Data'!$B$2:$Z$9,2,FALSE))</f>
        <v/>
      </c>
      <c r="F90" s="499" t="str">
        <f>IFERROR(VLOOKUP(E90,'G-7 Rivers Data'!$C$4:$D$8,2,FALSE),"")</f>
        <v/>
      </c>
      <c r="G90" s="145"/>
      <c r="H90" s="499" t="str">
        <f>IFERROR(INDEX('G-7 Rivers Data'!$H$4:$L$8,MATCH(C90,'G-7 Rivers Data'!$B$4:$B$8,0),MATCH(G90,'G-7 Rivers Data'!$H$3:$L$3,0)),"")</f>
        <v/>
      </c>
      <c r="I90" s="145"/>
      <c r="J90" s="540" t="str">
        <f>IF(I90="","",IF(VLOOKUP(I90,'G-7 Rivers Data'!$AG$4:$AI$9,2,FALSE)=0,"Spatial Data Missing ⚠",VLOOKUP(I90,'G-7 Rivers Data'!$AG$4:$AI$9,2,FALSE)))</f>
        <v/>
      </c>
      <c r="K90" s="499" t="str">
        <f>IF(I90="","",IF(VLOOKUP(I90,'G-7 Rivers Data'!$AG$4:$AI$9,3,FALSE)=0,"Spatial Data Missing ⚠",VLOOKUP(I90,'G-7 Rivers Data'!$AG$4:$AI$9,3,FALSE)))</f>
        <v/>
      </c>
      <c r="L90" s="635" t="str">
        <f>IFERROR(INDEX('G-7 Rivers Data'!$O$3:$O$7,MATCH(G90,'G-7 Rivers Data'!$N$3:$N$7,0)),"")</f>
        <v/>
      </c>
      <c r="M90" s="72"/>
      <c r="N90" s="195"/>
      <c r="O90" s="507" t="str">
        <f t="shared" si="7"/>
        <v/>
      </c>
      <c r="P90" s="521" t="str">
        <f t="shared" si="8"/>
        <v/>
      </c>
      <c r="Q90" s="564" t="str">
        <f>IFERROR(IF(P90="Check Data ⚠","Check Data ⚠",VLOOKUP(P90,'G-4 Temporal multipliers'!$A$4:$C$37,3,FALSE)),"")</f>
        <v/>
      </c>
      <c r="R90" s="498" t="str">
        <f>IF(C90="","",VLOOKUP(C90,'G-7 Rivers Data'!$B$4:$G$8,4,FALSE))</f>
        <v/>
      </c>
      <c r="S90" s="507" t="str">
        <f t="shared" si="9"/>
        <v/>
      </c>
      <c r="T90" s="540" t="str">
        <f t="shared" si="10"/>
        <v/>
      </c>
      <c r="U90" s="499" t="str">
        <f t="shared" si="11"/>
        <v/>
      </c>
      <c r="V90" s="71"/>
      <c r="W90" s="499" t="str">
        <f>IF(V90="","",IF(VLOOKUP(V90,'G-7 Rivers Data'!$AA$4:$AB$7,2,FALSE)=0,"Spatial Data Missing ⚠",VLOOKUP(V90,'G-7 Rivers Data'!$AA$4:$AB$7,2,FALSE)))</f>
        <v/>
      </c>
      <c r="X90" s="155"/>
      <c r="Y90" s="499" t="str">
        <f>IF(X90="","",IF(VLOOKUP(X90,'G-7 Rivers Data'!$AD$4:$AE$8,2,FALSE)=0,"Enrcoachment Data Missing ⚠",VLOOKUP(X90,'G-7 Rivers Data'!$AD$4:$AE$8,2,FALSE)))</f>
        <v/>
      </c>
      <c r="Z90" s="154"/>
      <c r="AA90" s="524" t="str">
        <f>IF(Z90="","",VLOOKUP(Z90,'G-7 Rivers Data'!$AO$4:$AP$7,2,FALSE))</f>
        <v/>
      </c>
      <c r="AB90" s="545" t="str">
        <f t="shared" si="12"/>
        <v/>
      </c>
      <c r="AC90" s="149"/>
      <c r="AD90" s="150"/>
      <c r="AK90" s="31" t="str">
        <f>IFERROR(INDEX('G-7 Rivers Data'!$AZ$3:$AZ$7,MATCH(C90,'G-7 Rivers Data'!$AY$3:$AY$7,0)),"")</f>
        <v/>
      </c>
    </row>
    <row r="91" spans="2:37" ht="14" x14ac:dyDescent="0.3">
      <c r="B91" s="141">
        <v>80</v>
      </c>
      <c r="C91" s="666"/>
      <c r="D91" s="172"/>
      <c r="E91" s="498" t="str">
        <f>IF(C91="","",VLOOKUP(C91,'G-7 Rivers Data'!$B$2:$Z$9,2,FALSE))</f>
        <v/>
      </c>
      <c r="F91" s="499" t="str">
        <f>IFERROR(VLOOKUP(E91,'G-7 Rivers Data'!$C$4:$D$8,2,FALSE),"")</f>
        <v/>
      </c>
      <c r="G91" s="145"/>
      <c r="H91" s="499" t="str">
        <f>IFERROR(INDEX('G-7 Rivers Data'!$H$4:$L$8,MATCH(C91,'G-7 Rivers Data'!$B$4:$B$8,0),MATCH(G91,'G-7 Rivers Data'!$H$3:$L$3,0)),"")</f>
        <v/>
      </c>
      <c r="I91" s="145"/>
      <c r="J91" s="540" t="str">
        <f>IF(I91="","",IF(VLOOKUP(I91,'G-7 Rivers Data'!$AG$4:$AI$9,2,FALSE)=0,"Spatial Data Missing ⚠",VLOOKUP(I91,'G-7 Rivers Data'!$AG$4:$AI$9,2,FALSE)))</f>
        <v/>
      </c>
      <c r="K91" s="499" t="str">
        <f>IF(I91="","",IF(VLOOKUP(I91,'G-7 Rivers Data'!$AG$4:$AI$9,3,FALSE)=0,"Spatial Data Missing ⚠",VLOOKUP(I91,'G-7 Rivers Data'!$AG$4:$AI$9,3,FALSE)))</f>
        <v/>
      </c>
      <c r="L91" s="635" t="str">
        <f>IFERROR(INDEX('G-7 Rivers Data'!$O$3:$O$7,MATCH(G91,'G-7 Rivers Data'!$N$3:$N$7,0)),"")</f>
        <v/>
      </c>
      <c r="M91" s="72"/>
      <c r="N91" s="195"/>
      <c r="O91" s="507" t="str">
        <f t="shared" si="7"/>
        <v/>
      </c>
      <c r="P91" s="521" t="str">
        <f t="shared" si="8"/>
        <v/>
      </c>
      <c r="Q91" s="564" t="str">
        <f>IFERROR(IF(P91="Check Data ⚠","Check Data ⚠",VLOOKUP(P91,'G-4 Temporal multipliers'!$A$4:$C$37,3,FALSE)),"")</f>
        <v/>
      </c>
      <c r="R91" s="498" t="str">
        <f>IF(C91="","",VLOOKUP(C91,'G-7 Rivers Data'!$B$4:$G$8,4,FALSE))</f>
        <v/>
      </c>
      <c r="S91" s="507" t="str">
        <f t="shared" si="9"/>
        <v/>
      </c>
      <c r="T91" s="540" t="str">
        <f t="shared" si="10"/>
        <v/>
      </c>
      <c r="U91" s="499" t="str">
        <f t="shared" si="11"/>
        <v/>
      </c>
      <c r="V91" s="71"/>
      <c r="W91" s="499" t="str">
        <f>IF(V91="","",IF(VLOOKUP(V91,'G-7 Rivers Data'!$AA$4:$AB$7,2,FALSE)=0,"Spatial Data Missing ⚠",VLOOKUP(V91,'G-7 Rivers Data'!$AA$4:$AB$7,2,FALSE)))</f>
        <v/>
      </c>
      <c r="X91" s="155"/>
      <c r="Y91" s="499" t="str">
        <f>IF(X91="","",IF(VLOOKUP(X91,'G-7 Rivers Data'!$AD$4:$AE$8,2,FALSE)=0,"Enrcoachment Data Missing ⚠",VLOOKUP(X91,'G-7 Rivers Data'!$AD$4:$AE$8,2,FALSE)))</f>
        <v/>
      </c>
      <c r="Z91" s="154"/>
      <c r="AA91" s="524" t="str">
        <f>IF(Z91="","",VLOOKUP(Z91,'G-7 Rivers Data'!$AO$4:$AP$7,2,FALSE))</f>
        <v/>
      </c>
      <c r="AB91" s="545" t="str">
        <f t="shared" si="12"/>
        <v/>
      </c>
      <c r="AC91" s="149"/>
      <c r="AD91" s="150"/>
      <c r="AK91" s="31" t="str">
        <f>IFERROR(INDEX('G-7 Rivers Data'!$AZ$3:$AZ$7,MATCH(C91,'G-7 Rivers Data'!$AY$3:$AY$7,0)),"")</f>
        <v/>
      </c>
    </row>
    <row r="92" spans="2:37" ht="14" x14ac:dyDescent="0.3">
      <c r="B92" s="141">
        <v>81</v>
      </c>
      <c r="C92" s="666"/>
      <c r="D92" s="172"/>
      <c r="E92" s="498" t="str">
        <f>IF(C92="","",VLOOKUP(C92,'G-7 Rivers Data'!$B$2:$Z$9,2,FALSE))</f>
        <v/>
      </c>
      <c r="F92" s="499" t="str">
        <f>IFERROR(VLOOKUP(E92,'G-7 Rivers Data'!$C$4:$D$8,2,FALSE),"")</f>
        <v/>
      </c>
      <c r="G92" s="145"/>
      <c r="H92" s="499" t="str">
        <f>IFERROR(INDEX('G-7 Rivers Data'!$H$4:$L$8,MATCH(C92,'G-7 Rivers Data'!$B$4:$B$8,0),MATCH(G92,'G-7 Rivers Data'!$H$3:$L$3,0)),"")</f>
        <v/>
      </c>
      <c r="I92" s="145"/>
      <c r="J92" s="540" t="str">
        <f>IF(I92="","",IF(VLOOKUP(I92,'G-7 Rivers Data'!$AG$4:$AI$9,2,FALSE)=0,"Spatial Data Missing ⚠",VLOOKUP(I92,'G-7 Rivers Data'!$AG$4:$AI$9,2,FALSE)))</f>
        <v/>
      </c>
      <c r="K92" s="499" t="str">
        <f>IF(I92="","",IF(VLOOKUP(I92,'G-7 Rivers Data'!$AG$4:$AI$9,3,FALSE)=0,"Spatial Data Missing ⚠",VLOOKUP(I92,'G-7 Rivers Data'!$AG$4:$AI$9,3,FALSE)))</f>
        <v/>
      </c>
      <c r="L92" s="635" t="str">
        <f>IFERROR(INDEX('G-7 Rivers Data'!$O$3:$O$7,MATCH(G92,'G-7 Rivers Data'!$N$3:$N$7,0)),"")</f>
        <v/>
      </c>
      <c r="M92" s="72"/>
      <c r="N92" s="195"/>
      <c r="O92" s="507" t="str">
        <f t="shared" si="7"/>
        <v/>
      </c>
      <c r="P92" s="521" t="str">
        <f t="shared" si="8"/>
        <v/>
      </c>
      <c r="Q92" s="564" t="str">
        <f>IFERROR(IF(P92="Check Data ⚠","Check Data ⚠",VLOOKUP(P92,'G-4 Temporal multipliers'!$A$4:$C$37,3,FALSE)),"")</f>
        <v/>
      </c>
      <c r="R92" s="498" t="str">
        <f>IF(C92="","",VLOOKUP(C92,'G-7 Rivers Data'!$B$4:$G$8,4,FALSE))</f>
        <v/>
      </c>
      <c r="S92" s="507" t="str">
        <f t="shared" si="9"/>
        <v/>
      </c>
      <c r="T92" s="540" t="str">
        <f t="shared" si="10"/>
        <v/>
      </c>
      <c r="U92" s="499" t="str">
        <f t="shared" si="11"/>
        <v/>
      </c>
      <c r="V92" s="71"/>
      <c r="W92" s="499" t="str">
        <f>IF(V92="","",IF(VLOOKUP(V92,'G-7 Rivers Data'!$AA$4:$AB$7,2,FALSE)=0,"Spatial Data Missing ⚠",VLOOKUP(V92,'G-7 Rivers Data'!$AA$4:$AB$7,2,FALSE)))</f>
        <v/>
      </c>
      <c r="X92" s="155"/>
      <c r="Y92" s="499" t="str">
        <f>IF(X92="","",IF(VLOOKUP(X92,'G-7 Rivers Data'!$AD$4:$AE$8,2,FALSE)=0,"Enrcoachment Data Missing ⚠",VLOOKUP(X92,'G-7 Rivers Data'!$AD$4:$AE$8,2,FALSE)))</f>
        <v/>
      </c>
      <c r="Z92" s="154"/>
      <c r="AA92" s="524" t="str">
        <f>IF(Z92="","",VLOOKUP(Z92,'G-7 Rivers Data'!$AO$4:$AP$7,2,FALSE))</f>
        <v/>
      </c>
      <c r="AB92" s="545" t="str">
        <f t="shared" si="12"/>
        <v/>
      </c>
      <c r="AC92" s="149"/>
      <c r="AD92" s="150"/>
      <c r="AK92" s="31" t="str">
        <f>IFERROR(INDEX('G-7 Rivers Data'!$AZ$3:$AZ$7,MATCH(C92,'G-7 Rivers Data'!$AY$3:$AY$7,0)),"")</f>
        <v/>
      </c>
    </row>
    <row r="93" spans="2:37" ht="14" x14ac:dyDescent="0.3">
      <c r="B93" s="141">
        <v>82</v>
      </c>
      <c r="C93" s="666"/>
      <c r="D93" s="172"/>
      <c r="E93" s="498" t="str">
        <f>IF(C93="","",VLOOKUP(C93,'G-7 Rivers Data'!$B$2:$Z$9,2,FALSE))</f>
        <v/>
      </c>
      <c r="F93" s="499" t="str">
        <f>IFERROR(VLOOKUP(E93,'G-7 Rivers Data'!$C$4:$D$8,2,FALSE),"")</f>
        <v/>
      </c>
      <c r="G93" s="145"/>
      <c r="H93" s="499" t="str">
        <f>IFERROR(INDEX('G-7 Rivers Data'!$H$4:$L$8,MATCH(C93,'G-7 Rivers Data'!$B$4:$B$8,0),MATCH(G93,'G-7 Rivers Data'!$H$3:$L$3,0)),"")</f>
        <v/>
      </c>
      <c r="I93" s="145"/>
      <c r="J93" s="540" t="str">
        <f>IF(I93="","",IF(VLOOKUP(I93,'G-7 Rivers Data'!$AG$4:$AI$9,2,FALSE)=0,"Spatial Data Missing ⚠",VLOOKUP(I93,'G-7 Rivers Data'!$AG$4:$AI$9,2,FALSE)))</f>
        <v/>
      </c>
      <c r="K93" s="499" t="str">
        <f>IF(I93="","",IF(VLOOKUP(I93,'G-7 Rivers Data'!$AG$4:$AI$9,3,FALSE)=0,"Spatial Data Missing ⚠",VLOOKUP(I93,'G-7 Rivers Data'!$AG$4:$AI$9,3,FALSE)))</f>
        <v/>
      </c>
      <c r="L93" s="635" t="str">
        <f>IFERROR(INDEX('G-7 Rivers Data'!$O$3:$O$7,MATCH(G93,'G-7 Rivers Data'!$N$3:$N$7,0)),"")</f>
        <v/>
      </c>
      <c r="M93" s="72"/>
      <c r="N93" s="195"/>
      <c r="O93" s="507" t="str">
        <f t="shared" si="7"/>
        <v/>
      </c>
      <c r="P93" s="521" t="str">
        <f t="shared" si="8"/>
        <v/>
      </c>
      <c r="Q93" s="564" t="str">
        <f>IFERROR(IF(P93="Check Data ⚠","Check Data ⚠",VLOOKUP(P93,'G-4 Temporal multipliers'!$A$4:$C$37,3,FALSE)),"")</f>
        <v/>
      </c>
      <c r="R93" s="498" t="str">
        <f>IF(C93="","",VLOOKUP(C93,'G-7 Rivers Data'!$B$4:$G$8,4,FALSE))</f>
        <v/>
      </c>
      <c r="S93" s="507" t="str">
        <f t="shared" si="9"/>
        <v/>
      </c>
      <c r="T93" s="540" t="str">
        <f t="shared" si="10"/>
        <v/>
      </c>
      <c r="U93" s="499" t="str">
        <f t="shared" si="11"/>
        <v/>
      </c>
      <c r="V93" s="71"/>
      <c r="W93" s="499" t="str">
        <f>IF(V93="","",IF(VLOOKUP(V93,'G-7 Rivers Data'!$AA$4:$AB$7,2,FALSE)=0,"Spatial Data Missing ⚠",VLOOKUP(V93,'G-7 Rivers Data'!$AA$4:$AB$7,2,FALSE)))</f>
        <v/>
      </c>
      <c r="X93" s="155"/>
      <c r="Y93" s="499" t="str">
        <f>IF(X93="","",IF(VLOOKUP(X93,'G-7 Rivers Data'!$AD$4:$AE$8,2,FALSE)=0,"Enrcoachment Data Missing ⚠",VLOOKUP(X93,'G-7 Rivers Data'!$AD$4:$AE$8,2,FALSE)))</f>
        <v/>
      </c>
      <c r="Z93" s="154"/>
      <c r="AA93" s="524" t="str">
        <f>IF(Z93="","",VLOOKUP(Z93,'G-7 Rivers Data'!$AO$4:$AP$7,2,FALSE))</f>
        <v/>
      </c>
      <c r="AB93" s="545" t="str">
        <f t="shared" si="12"/>
        <v/>
      </c>
      <c r="AC93" s="149"/>
      <c r="AD93" s="150"/>
      <c r="AK93" s="31" t="str">
        <f>IFERROR(INDEX('G-7 Rivers Data'!$AZ$3:$AZ$7,MATCH(C93,'G-7 Rivers Data'!$AY$3:$AY$7,0)),"")</f>
        <v/>
      </c>
    </row>
    <row r="94" spans="2:37" ht="14" x14ac:dyDescent="0.3">
      <c r="B94" s="141">
        <v>83</v>
      </c>
      <c r="C94" s="666"/>
      <c r="D94" s="172"/>
      <c r="E94" s="498" t="str">
        <f>IF(C94="","",VLOOKUP(C94,'G-7 Rivers Data'!$B$2:$Z$9,2,FALSE))</f>
        <v/>
      </c>
      <c r="F94" s="499" t="str">
        <f>IFERROR(VLOOKUP(E94,'G-7 Rivers Data'!$C$4:$D$8,2,FALSE),"")</f>
        <v/>
      </c>
      <c r="G94" s="145"/>
      <c r="H94" s="499" t="str">
        <f>IFERROR(INDEX('G-7 Rivers Data'!$H$4:$L$8,MATCH(C94,'G-7 Rivers Data'!$B$4:$B$8,0),MATCH(G94,'G-7 Rivers Data'!$H$3:$L$3,0)),"")</f>
        <v/>
      </c>
      <c r="I94" s="145"/>
      <c r="J94" s="540" t="str">
        <f>IF(I94="","",IF(VLOOKUP(I94,'G-7 Rivers Data'!$AG$4:$AI$9,2,FALSE)=0,"Spatial Data Missing ⚠",VLOOKUP(I94,'G-7 Rivers Data'!$AG$4:$AI$9,2,FALSE)))</f>
        <v/>
      </c>
      <c r="K94" s="499" t="str">
        <f>IF(I94="","",IF(VLOOKUP(I94,'G-7 Rivers Data'!$AG$4:$AI$9,3,FALSE)=0,"Spatial Data Missing ⚠",VLOOKUP(I94,'G-7 Rivers Data'!$AG$4:$AI$9,3,FALSE)))</f>
        <v/>
      </c>
      <c r="L94" s="635" t="str">
        <f>IFERROR(INDEX('G-7 Rivers Data'!$O$3:$O$7,MATCH(G94,'G-7 Rivers Data'!$N$3:$N$7,0)),"")</f>
        <v/>
      </c>
      <c r="M94" s="72"/>
      <c r="N94" s="195"/>
      <c r="O94" s="507" t="str">
        <f t="shared" si="7"/>
        <v/>
      </c>
      <c r="P94" s="521" t="str">
        <f t="shared" si="8"/>
        <v/>
      </c>
      <c r="Q94" s="564" t="str">
        <f>IFERROR(IF(P94="Check Data ⚠","Check Data ⚠",VLOOKUP(P94,'G-4 Temporal multipliers'!$A$4:$C$37,3,FALSE)),"")</f>
        <v/>
      </c>
      <c r="R94" s="498" t="str">
        <f>IF(C94="","",VLOOKUP(C94,'G-7 Rivers Data'!$B$4:$G$8,4,FALSE))</f>
        <v/>
      </c>
      <c r="S94" s="507" t="str">
        <f t="shared" si="9"/>
        <v/>
      </c>
      <c r="T94" s="540" t="str">
        <f t="shared" si="10"/>
        <v/>
      </c>
      <c r="U94" s="499" t="str">
        <f t="shared" si="11"/>
        <v/>
      </c>
      <c r="V94" s="71"/>
      <c r="W94" s="499" t="str">
        <f>IF(V94="","",IF(VLOOKUP(V94,'G-7 Rivers Data'!$AA$4:$AB$7,2,FALSE)=0,"Spatial Data Missing ⚠",VLOOKUP(V94,'G-7 Rivers Data'!$AA$4:$AB$7,2,FALSE)))</f>
        <v/>
      </c>
      <c r="X94" s="155"/>
      <c r="Y94" s="499" t="str">
        <f>IF(X94="","",IF(VLOOKUP(X94,'G-7 Rivers Data'!$AD$4:$AE$8,2,FALSE)=0,"Enrcoachment Data Missing ⚠",VLOOKUP(X94,'G-7 Rivers Data'!$AD$4:$AE$8,2,FALSE)))</f>
        <v/>
      </c>
      <c r="Z94" s="154"/>
      <c r="AA94" s="524" t="str">
        <f>IF(Z94="","",VLOOKUP(Z94,'G-7 Rivers Data'!$AO$4:$AP$7,2,FALSE))</f>
        <v/>
      </c>
      <c r="AB94" s="545" t="str">
        <f t="shared" si="12"/>
        <v/>
      </c>
      <c r="AC94" s="149"/>
      <c r="AD94" s="150"/>
      <c r="AK94" s="31" t="str">
        <f>IFERROR(INDEX('G-7 Rivers Data'!$AZ$3:$AZ$7,MATCH(C94,'G-7 Rivers Data'!$AY$3:$AY$7,0)),"")</f>
        <v/>
      </c>
    </row>
    <row r="95" spans="2:37" ht="14" x14ac:dyDescent="0.3">
      <c r="B95" s="141">
        <v>84</v>
      </c>
      <c r="C95" s="666"/>
      <c r="D95" s="172"/>
      <c r="E95" s="498" t="str">
        <f>IF(C95="","",VLOOKUP(C95,'G-7 Rivers Data'!$B$2:$Z$9,2,FALSE))</f>
        <v/>
      </c>
      <c r="F95" s="499" t="str">
        <f>IFERROR(VLOOKUP(E95,'G-7 Rivers Data'!$C$4:$D$8,2,FALSE),"")</f>
        <v/>
      </c>
      <c r="G95" s="145"/>
      <c r="H95" s="499" t="str">
        <f>IFERROR(INDEX('G-7 Rivers Data'!$H$4:$L$8,MATCH(C95,'G-7 Rivers Data'!$B$4:$B$8,0),MATCH(G95,'G-7 Rivers Data'!$H$3:$L$3,0)),"")</f>
        <v/>
      </c>
      <c r="I95" s="145"/>
      <c r="J95" s="540" t="str">
        <f>IF(I95="","",IF(VLOOKUP(I95,'G-7 Rivers Data'!$AG$4:$AI$9,2,FALSE)=0,"Spatial Data Missing ⚠",VLOOKUP(I95,'G-7 Rivers Data'!$AG$4:$AI$9,2,FALSE)))</f>
        <v/>
      </c>
      <c r="K95" s="499" t="str">
        <f>IF(I95="","",IF(VLOOKUP(I95,'G-7 Rivers Data'!$AG$4:$AI$9,3,FALSE)=0,"Spatial Data Missing ⚠",VLOOKUP(I95,'G-7 Rivers Data'!$AG$4:$AI$9,3,FALSE)))</f>
        <v/>
      </c>
      <c r="L95" s="635" t="str">
        <f>IFERROR(INDEX('G-7 Rivers Data'!$O$3:$O$7,MATCH(G95,'G-7 Rivers Data'!$N$3:$N$7,0)),"")</f>
        <v/>
      </c>
      <c r="M95" s="72"/>
      <c r="N95" s="195"/>
      <c r="O95" s="507" t="str">
        <f t="shared" si="7"/>
        <v/>
      </c>
      <c r="P95" s="521" t="str">
        <f t="shared" si="8"/>
        <v/>
      </c>
      <c r="Q95" s="564" t="str">
        <f>IFERROR(IF(P95="Check Data ⚠","Check Data ⚠",VLOOKUP(P95,'G-4 Temporal multipliers'!$A$4:$C$37,3,FALSE)),"")</f>
        <v/>
      </c>
      <c r="R95" s="498" t="str">
        <f>IF(C95="","",VLOOKUP(C95,'G-7 Rivers Data'!$B$4:$G$8,4,FALSE))</f>
        <v/>
      </c>
      <c r="S95" s="507" t="str">
        <f t="shared" si="9"/>
        <v/>
      </c>
      <c r="T95" s="540" t="str">
        <f t="shared" si="10"/>
        <v/>
      </c>
      <c r="U95" s="499" t="str">
        <f t="shared" si="11"/>
        <v/>
      </c>
      <c r="V95" s="71"/>
      <c r="W95" s="499" t="str">
        <f>IF(V95="","",IF(VLOOKUP(V95,'G-7 Rivers Data'!$AA$4:$AB$7,2,FALSE)=0,"Spatial Data Missing ⚠",VLOOKUP(V95,'G-7 Rivers Data'!$AA$4:$AB$7,2,FALSE)))</f>
        <v/>
      </c>
      <c r="X95" s="155"/>
      <c r="Y95" s="499" t="str">
        <f>IF(X95="","",IF(VLOOKUP(X95,'G-7 Rivers Data'!$AD$4:$AE$8,2,FALSE)=0,"Enrcoachment Data Missing ⚠",VLOOKUP(X95,'G-7 Rivers Data'!$AD$4:$AE$8,2,FALSE)))</f>
        <v/>
      </c>
      <c r="Z95" s="154"/>
      <c r="AA95" s="524" t="str">
        <f>IF(Z95="","",VLOOKUP(Z95,'G-7 Rivers Data'!$AO$4:$AP$7,2,FALSE))</f>
        <v/>
      </c>
      <c r="AB95" s="545" t="str">
        <f t="shared" si="12"/>
        <v/>
      </c>
      <c r="AC95" s="149"/>
      <c r="AD95" s="150"/>
      <c r="AK95" s="31" t="str">
        <f>IFERROR(INDEX('G-7 Rivers Data'!$AZ$3:$AZ$7,MATCH(C95,'G-7 Rivers Data'!$AY$3:$AY$7,0)),"")</f>
        <v/>
      </c>
    </row>
    <row r="96" spans="2:37" ht="14" x14ac:dyDescent="0.3">
      <c r="B96" s="141">
        <v>85</v>
      </c>
      <c r="C96" s="666"/>
      <c r="D96" s="172"/>
      <c r="E96" s="498" t="str">
        <f>IF(C96="","",VLOOKUP(C96,'G-7 Rivers Data'!$B$2:$Z$9,2,FALSE))</f>
        <v/>
      </c>
      <c r="F96" s="499" t="str">
        <f>IFERROR(VLOOKUP(E96,'G-7 Rivers Data'!$C$4:$D$8,2,FALSE),"")</f>
        <v/>
      </c>
      <c r="G96" s="145"/>
      <c r="H96" s="499" t="str">
        <f>IFERROR(INDEX('G-7 Rivers Data'!$H$4:$L$8,MATCH(C96,'G-7 Rivers Data'!$B$4:$B$8,0),MATCH(G96,'G-7 Rivers Data'!$H$3:$L$3,0)),"")</f>
        <v/>
      </c>
      <c r="I96" s="145"/>
      <c r="J96" s="540" t="str">
        <f>IF(I96="","",IF(VLOOKUP(I96,'G-7 Rivers Data'!$AG$4:$AI$9,2,FALSE)=0,"Spatial Data Missing ⚠",VLOOKUP(I96,'G-7 Rivers Data'!$AG$4:$AI$9,2,FALSE)))</f>
        <v/>
      </c>
      <c r="K96" s="499" t="str">
        <f>IF(I96="","",IF(VLOOKUP(I96,'G-7 Rivers Data'!$AG$4:$AI$9,3,FALSE)=0,"Spatial Data Missing ⚠",VLOOKUP(I96,'G-7 Rivers Data'!$AG$4:$AI$9,3,FALSE)))</f>
        <v/>
      </c>
      <c r="L96" s="635" t="str">
        <f>IFERROR(INDEX('G-7 Rivers Data'!$O$3:$O$7,MATCH(G96,'G-7 Rivers Data'!$N$3:$N$7,0)),"")</f>
        <v/>
      </c>
      <c r="M96" s="72"/>
      <c r="N96" s="195"/>
      <c r="O96" s="507" t="str">
        <f t="shared" si="7"/>
        <v/>
      </c>
      <c r="P96" s="521" t="str">
        <f t="shared" si="8"/>
        <v/>
      </c>
      <c r="Q96" s="564" t="str">
        <f>IFERROR(IF(P96="Check Data ⚠","Check Data ⚠",VLOOKUP(P96,'G-4 Temporal multipliers'!$A$4:$C$37,3,FALSE)),"")</f>
        <v/>
      </c>
      <c r="R96" s="498" t="str">
        <f>IF(C96="","",VLOOKUP(C96,'G-7 Rivers Data'!$B$4:$G$8,4,FALSE))</f>
        <v/>
      </c>
      <c r="S96" s="507" t="str">
        <f t="shared" si="9"/>
        <v/>
      </c>
      <c r="T96" s="540" t="str">
        <f t="shared" si="10"/>
        <v/>
      </c>
      <c r="U96" s="499" t="str">
        <f t="shared" si="11"/>
        <v/>
      </c>
      <c r="V96" s="71"/>
      <c r="W96" s="499" t="str">
        <f>IF(V96="","",IF(VLOOKUP(V96,'G-7 Rivers Data'!$AA$4:$AB$7,2,FALSE)=0,"Spatial Data Missing ⚠",VLOOKUP(V96,'G-7 Rivers Data'!$AA$4:$AB$7,2,FALSE)))</f>
        <v/>
      </c>
      <c r="X96" s="155"/>
      <c r="Y96" s="499" t="str">
        <f>IF(X96="","",IF(VLOOKUP(X96,'G-7 Rivers Data'!$AD$4:$AE$8,2,FALSE)=0,"Enrcoachment Data Missing ⚠",VLOOKUP(X96,'G-7 Rivers Data'!$AD$4:$AE$8,2,FALSE)))</f>
        <v/>
      </c>
      <c r="Z96" s="154"/>
      <c r="AA96" s="524" t="str">
        <f>IF(Z96="","",VLOOKUP(Z96,'G-7 Rivers Data'!$AO$4:$AP$7,2,FALSE))</f>
        <v/>
      </c>
      <c r="AB96" s="545" t="str">
        <f t="shared" si="12"/>
        <v/>
      </c>
      <c r="AC96" s="149"/>
      <c r="AD96" s="150"/>
      <c r="AK96" s="31" t="str">
        <f>IFERROR(INDEX('G-7 Rivers Data'!$AZ$3:$AZ$7,MATCH(C96,'G-7 Rivers Data'!$AY$3:$AY$7,0)),"")</f>
        <v/>
      </c>
    </row>
    <row r="97" spans="2:37" ht="14" x14ac:dyDescent="0.3">
      <c r="B97" s="141">
        <v>86</v>
      </c>
      <c r="C97" s="666"/>
      <c r="D97" s="172"/>
      <c r="E97" s="498" t="str">
        <f>IF(C97="","",VLOOKUP(C97,'G-7 Rivers Data'!$B$2:$Z$9,2,FALSE))</f>
        <v/>
      </c>
      <c r="F97" s="499" t="str">
        <f>IFERROR(VLOOKUP(E97,'G-7 Rivers Data'!$C$4:$D$8,2,FALSE),"")</f>
        <v/>
      </c>
      <c r="G97" s="145"/>
      <c r="H97" s="499" t="str">
        <f>IFERROR(INDEX('G-7 Rivers Data'!$H$4:$L$8,MATCH(C97,'G-7 Rivers Data'!$B$4:$B$8,0),MATCH(G97,'G-7 Rivers Data'!$H$3:$L$3,0)),"")</f>
        <v/>
      </c>
      <c r="I97" s="145"/>
      <c r="J97" s="540" t="str">
        <f>IF(I97="","",IF(VLOOKUP(I97,'G-7 Rivers Data'!$AG$4:$AI$9,2,FALSE)=0,"Spatial Data Missing ⚠",VLOOKUP(I97,'G-7 Rivers Data'!$AG$4:$AI$9,2,FALSE)))</f>
        <v/>
      </c>
      <c r="K97" s="499" t="str">
        <f>IF(I97="","",IF(VLOOKUP(I97,'G-7 Rivers Data'!$AG$4:$AI$9,3,FALSE)=0,"Spatial Data Missing ⚠",VLOOKUP(I97,'G-7 Rivers Data'!$AG$4:$AI$9,3,FALSE)))</f>
        <v/>
      </c>
      <c r="L97" s="635" t="str">
        <f>IFERROR(INDEX('G-7 Rivers Data'!$O$3:$O$7,MATCH(G97,'G-7 Rivers Data'!$N$3:$N$7,0)),"")</f>
        <v/>
      </c>
      <c r="M97" s="72"/>
      <c r="N97" s="195"/>
      <c r="O97" s="507" t="str">
        <f t="shared" si="7"/>
        <v/>
      </c>
      <c r="P97" s="521" t="str">
        <f t="shared" si="8"/>
        <v/>
      </c>
      <c r="Q97" s="564" t="str">
        <f>IFERROR(IF(P97="Check Data ⚠","Check Data ⚠",VLOOKUP(P97,'G-4 Temporal multipliers'!$A$4:$C$37,3,FALSE)),"")</f>
        <v/>
      </c>
      <c r="R97" s="498" t="str">
        <f>IF(C97="","",VLOOKUP(C97,'G-7 Rivers Data'!$B$4:$G$8,4,FALSE))</f>
        <v/>
      </c>
      <c r="S97" s="507" t="str">
        <f t="shared" si="9"/>
        <v/>
      </c>
      <c r="T97" s="540" t="str">
        <f t="shared" si="10"/>
        <v/>
      </c>
      <c r="U97" s="499" t="str">
        <f t="shared" si="11"/>
        <v/>
      </c>
      <c r="V97" s="71"/>
      <c r="W97" s="499" t="str">
        <f>IF(V97="","",IF(VLOOKUP(V97,'G-7 Rivers Data'!$AA$4:$AB$7,2,FALSE)=0,"Spatial Data Missing ⚠",VLOOKUP(V97,'G-7 Rivers Data'!$AA$4:$AB$7,2,FALSE)))</f>
        <v/>
      </c>
      <c r="X97" s="155"/>
      <c r="Y97" s="499" t="str">
        <f>IF(X97="","",IF(VLOOKUP(X97,'G-7 Rivers Data'!$AD$4:$AE$8,2,FALSE)=0,"Enrcoachment Data Missing ⚠",VLOOKUP(X97,'G-7 Rivers Data'!$AD$4:$AE$8,2,FALSE)))</f>
        <v/>
      </c>
      <c r="Z97" s="154"/>
      <c r="AA97" s="524" t="str">
        <f>IF(Z97="","",VLOOKUP(Z97,'G-7 Rivers Data'!$AO$4:$AP$7,2,FALSE))</f>
        <v/>
      </c>
      <c r="AB97" s="545" t="str">
        <f t="shared" si="12"/>
        <v/>
      </c>
      <c r="AC97" s="149"/>
      <c r="AD97" s="150"/>
      <c r="AK97" s="31" t="str">
        <f>IFERROR(INDEX('G-7 Rivers Data'!$AZ$3:$AZ$7,MATCH(C97,'G-7 Rivers Data'!$AY$3:$AY$7,0)),"")</f>
        <v/>
      </c>
    </row>
    <row r="98" spans="2:37" ht="14" x14ac:dyDescent="0.3">
      <c r="B98" s="141">
        <v>87</v>
      </c>
      <c r="C98" s="666"/>
      <c r="D98" s="172"/>
      <c r="E98" s="498" t="str">
        <f>IF(C98="","",VLOOKUP(C98,'G-7 Rivers Data'!$B$2:$Z$9,2,FALSE))</f>
        <v/>
      </c>
      <c r="F98" s="499" t="str">
        <f>IFERROR(VLOOKUP(E98,'G-7 Rivers Data'!$C$4:$D$8,2,FALSE),"")</f>
        <v/>
      </c>
      <c r="G98" s="145"/>
      <c r="H98" s="499" t="str">
        <f>IFERROR(INDEX('G-7 Rivers Data'!$H$4:$L$8,MATCH(C98,'G-7 Rivers Data'!$B$4:$B$8,0),MATCH(G98,'G-7 Rivers Data'!$H$3:$L$3,0)),"")</f>
        <v/>
      </c>
      <c r="I98" s="145"/>
      <c r="J98" s="540" t="str">
        <f>IF(I98="","",IF(VLOOKUP(I98,'G-7 Rivers Data'!$AG$4:$AI$9,2,FALSE)=0,"Spatial Data Missing ⚠",VLOOKUP(I98,'G-7 Rivers Data'!$AG$4:$AI$9,2,FALSE)))</f>
        <v/>
      </c>
      <c r="K98" s="499" t="str">
        <f>IF(I98="","",IF(VLOOKUP(I98,'G-7 Rivers Data'!$AG$4:$AI$9,3,FALSE)=0,"Spatial Data Missing ⚠",VLOOKUP(I98,'G-7 Rivers Data'!$AG$4:$AI$9,3,FALSE)))</f>
        <v/>
      </c>
      <c r="L98" s="635" t="str">
        <f>IFERROR(INDEX('G-7 Rivers Data'!$O$3:$O$7,MATCH(G98,'G-7 Rivers Data'!$N$3:$N$7,0)),"")</f>
        <v/>
      </c>
      <c r="M98" s="72"/>
      <c r="N98" s="195"/>
      <c r="O98" s="507" t="str">
        <f t="shared" si="7"/>
        <v/>
      </c>
      <c r="P98" s="521" t="str">
        <f t="shared" si="8"/>
        <v/>
      </c>
      <c r="Q98" s="564" t="str">
        <f>IFERROR(IF(P98="Check Data ⚠","Check Data ⚠",VLOOKUP(P98,'G-4 Temporal multipliers'!$A$4:$C$37,3,FALSE)),"")</f>
        <v/>
      </c>
      <c r="R98" s="498" t="str">
        <f>IF(C98="","",VLOOKUP(C98,'G-7 Rivers Data'!$B$4:$G$8,4,FALSE))</f>
        <v/>
      </c>
      <c r="S98" s="507" t="str">
        <f t="shared" si="9"/>
        <v/>
      </c>
      <c r="T98" s="540" t="str">
        <f t="shared" si="10"/>
        <v/>
      </c>
      <c r="U98" s="499" t="str">
        <f t="shared" si="11"/>
        <v/>
      </c>
      <c r="V98" s="71"/>
      <c r="W98" s="499" t="str">
        <f>IF(V98="","",IF(VLOOKUP(V98,'G-7 Rivers Data'!$AA$4:$AB$7,2,FALSE)=0,"Spatial Data Missing ⚠",VLOOKUP(V98,'G-7 Rivers Data'!$AA$4:$AB$7,2,FALSE)))</f>
        <v/>
      </c>
      <c r="X98" s="155"/>
      <c r="Y98" s="499" t="str">
        <f>IF(X98="","",IF(VLOOKUP(X98,'G-7 Rivers Data'!$AD$4:$AE$8,2,FALSE)=0,"Enrcoachment Data Missing ⚠",VLOOKUP(X98,'G-7 Rivers Data'!$AD$4:$AE$8,2,FALSE)))</f>
        <v/>
      </c>
      <c r="Z98" s="154"/>
      <c r="AA98" s="524" t="str">
        <f>IF(Z98="","",VLOOKUP(Z98,'G-7 Rivers Data'!$AO$4:$AP$7,2,FALSE))</f>
        <v/>
      </c>
      <c r="AB98" s="545" t="str">
        <f t="shared" si="12"/>
        <v/>
      </c>
      <c r="AC98" s="149"/>
      <c r="AD98" s="150"/>
      <c r="AK98" s="31" t="str">
        <f>IFERROR(INDEX('G-7 Rivers Data'!$AZ$3:$AZ$7,MATCH(C98,'G-7 Rivers Data'!$AY$3:$AY$7,0)),"")</f>
        <v/>
      </c>
    </row>
    <row r="99" spans="2:37" ht="14" x14ac:dyDescent="0.3">
      <c r="B99" s="141">
        <v>88</v>
      </c>
      <c r="C99" s="666"/>
      <c r="D99" s="172"/>
      <c r="E99" s="498" t="str">
        <f>IF(C99="","",VLOOKUP(C99,'G-7 Rivers Data'!$B$2:$Z$9,2,FALSE))</f>
        <v/>
      </c>
      <c r="F99" s="499" t="str">
        <f>IFERROR(VLOOKUP(E99,'G-7 Rivers Data'!$C$4:$D$8,2,FALSE),"")</f>
        <v/>
      </c>
      <c r="G99" s="145"/>
      <c r="H99" s="499" t="str">
        <f>IFERROR(INDEX('G-7 Rivers Data'!$H$4:$L$8,MATCH(C99,'G-7 Rivers Data'!$B$4:$B$8,0),MATCH(G99,'G-7 Rivers Data'!$H$3:$L$3,0)),"")</f>
        <v/>
      </c>
      <c r="I99" s="145"/>
      <c r="J99" s="540" t="str">
        <f>IF(I99="","",IF(VLOOKUP(I99,'G-7 Rivers Data'!$AG$4:$AI$9,2,FALSE)=0,"Spatial Data Missing ⚠",VLOOKUP(I99,'G-7 Rivers Data'!$AG$4:$AI$9,2,FALSE)))</f>
        <v/>
      </c>
      <c r="K99" s="499" t="str">
        <f>IF(I99="","",IF(VLOOKUP(I99,'G-7 Rivers Data'!$AG$4:$AI$9,3,FALSE)=0,"Spatial Data Missing ⚠",VLOOKUP(I99,'G-7 Rivers Data'!$AG$4:$AI$9,3,FALSE)))</f>
        <v/>
      </c>
      <c r="L99" s="635" t="str">
        <f>IFERROR(INDEX('G-7 Rivers Data'!$O$3:$O$7,MATCH(G99,'G-7 Rivers Data'!$N$3:$N$7,0)),"")</f>
        <v/>
      </c>
      <c r="M99" s="72"/>
      <c r="N99" s="195"/>
      <c r="O99" s="507" t="str">
        <f t="shared" si="7"/>
        <v/>
      </c>
      <c r="P99" s="521" t="str">
        <f t="shared" si="8"/>
        <v/>
      </c>
      <c r="Q99" s="564" t="str">
        <f>IFERROR(IF(P99="Check Data ⚠","Check Data ⚠",VLOOKUP(P99,'G-4 Temporal multipliers'!$A$4:$C$37,3,FALSE)),"")</f>
        <v/>
      </c>
      <c r="R99" s="498" t="str">
        <f>IF(C99="","",VLOOKUP(C99,'G-7 Rivers Data'!$B$4:$G$8,4,FALSE))</f>
        <v/>
      </c>
      <c r="S99" s="507" t="str">
        <f t="shared" si="9"/>
        <v/>
      </c>
      <c r="T99" s="540" t="str">
        <f t="shared" si="10"/>
        <v/>
      </c>
      <c r="U99" s="499" t="str">
        <f t="shared" si="11"/>
        <v/>
      </c>
      <c r="V99" s="71"/>
      <c r="W99" s="499" t="str">
        <f>IF(V99="","",IF(VLOOKUP(V99,'G-7 Rivers Data'!$AA$4:$AB$7,2,FALSE)=0,"Spatial Data Missing ⚠",VLOOKUP(V99,'G-7 Rivers Data'!$AA$4:$AB$7,2,FALSE)))</f>
        <v/>
      </c>
      <c r="X99" s="155"/>
      <c r="Y99" s="499" t="str">
        <f>IF(X99="","",IF(VLOOKUP(X99,'G-7 Rivers Data'!$AD$4:$AE$8,2,FALSE)=0,"Enrcoachment Data Missing ⚠",VLOOKUP(X99,'G-7 Rivers Data'!$AD$4:$AE$8,2,FALSE)))</f>
        <v/>
      </c>
      <c r="Z99" s="154"/>
      <c r="AA99" s="524" t="str">
        <f>IF(Z99="","",VLOOKUP(Z99,'G-7 Rivers Data'!$AO$4:$AP$7,2,FALSE))</f>
        <v/>
      </c>
      <c r="AB99" s="545" t="str">
        <f t="shared" si="12"/>
        <v/>
      </c>
      <c r="AC99" s="149"/>
      <c r="AD99" s="150"/>
      <c r="AK99" s="31" t="str">
        <f>IFERROR(INDEX('G-7 Rivers Data'!$AZ$3:$AZ$7,MATCH(C99,'G-7 Rivers Data'!$AY$3:$AY$7,0)),"")</f>
        <v/>
      </c>
    </row>
    <row r="100" spans="2:37" ht="14" x14ac:dyDescent="0.3">
      <c r="B100" s="141">
        <v>89</v>
      </c>
      <c r="C100" s="666"/>
      <c r="D100" s="172"/>
      <c r="E100" s="498" t="str">
        <f>IF(C100="","",VLOOKUP(C100,'G-7 Rivers Data'!$B$2:$Z$9,2,FALSE))</f>
        <v/>
      </c>
      <c r="F100" s="499" t="str">
        <f>IFERROR(VLOOKUP(E100,'G-7 Rivers Data'!$C$4:$D$8,2,FALSE),"")</f>
        <v/>
      </c>
      <c r="G100" s="145"/>
      <c r="H100" s="499" t="str">
        <f>IFERROR(INDEX('G-7 Rivers Data'!$H$4:$L$8,MATCH(C100,'G-7 Rivers Data'!$B$4:$B$8,0),MATCH(G100,'G-7 Rivers Data'!$H$3:$L$3,0)),"")</f>
        <v/>
      </c>
      <c r="I100" s="145"/>
      <c r="J100" s="540" t="str">
        <f>IF(I100="","",IF(VLOOKUP(I100,'G-7 Rivers Data'!$AG$4:$AI$9,2,FALSE)=0,"Spatial Data Missing ⚠",VLOOKUP(I100,'G-7 Rivers Data'!$AG$4:$AI$9,2,FALSE)))</f>
        <v/>
      </c>
      <c r="K100" s="499" t="str">
        <f>IF(I100="","",IF(VLOOKUP(I100,'G-7 Rivers Data'!$AG$4:$AI$9,3,FALSE)=0,"Spatial Data Missing ⚠",VLOOKUP(I100,'G-7 Rivers Data'!$AG$4:$AI$9,3,FALSE)))</f>
        <v/>
      </c>
      <c r="L100" s="635" t="str">
        <f>IFERROR(INDEX('G-7 Rivers Data'!$O$3:$O$7,MATCH(G100,'G-7 Rivers Data'!$N$3:$N$7,0)),"")</f>
        <v/>
      </c>
      <c r="M100" s="72"/>
      <c r="N100" s="195"/>
      <c r="O100" s="507" t="str">
        <f t="shared" si="7"/>
        <v/>
      </c>
      <c r="P100" s="521" t="str">
        <f t="shared" si="8"/>
        <v/>
      </c>
      <c r="Q100" s="564" t="str">
        <f>IFERROR(IF(P100="Check Data ⚠","Check Data ⚠",VLOOKUP(P100,'G-4 Temporal multipliers'!$A$4:$C$37,3,FALSE)),"")</f>
        <v/>
      </c>
      <c r="R100" s="498" t="str">
        <f>IF(C100="","",VLOOKUP(C100,'G-7 Rivers Data'!$B$4:$G$8,4,FALSE))</f>
        <v/>
      </c>
      <c r="S100" s="507" t="str">
        <f t="shared" si="9"/>
        <v/>
      </c>
      <c r="T100" s="540" t="str">
        <f t="shared" si="10"/>
        <v/>
      </c>
      <c r="U100" s="499" t="str">
        <f t="shared" si="11"/>
        <v/>
      </c>
      <c r="V100" s="71"/>
      <c r="W100" s="499" t="str">
        <f>IF(V100="","",IF(VLOOKUP(V100,'G-7 Rivers Data'!$AA$4:$AB$7,2,FALSE)=0,"Spatial Data Missing ⚠",VLOOKUP(V100,'G-7 Rivers Data'!$AA$4:$AB$7,2,FALSE)))</f>
        <v/>
      </c>
      <c r="X100" s="155"/>
      <c r="Y100" s="499" t="str">
        <f>IF(X100="","",IF(VLOOKUP(X100,'G-7 Rivers Data'!$AD$4:$AE$8,2,FALSE)=0,"Enrcoachment Data Missing ⚠",VLOOKUP(X100,'G-7 Rivers Data'!$AD$4:$AE$8,2,FALSE)))</f>
        <v/>
      </c>
      <c r="Z100" s="154"/>
      <c r="AA100" s="524" t="str">
        <f>IF(Z100="","",VLOOKUP(Z100,'G-7 Rivers Data'!$AO$4:$AP$7,2,FALSE))</f>
        <v/>
      </c>
      <c r="AB100" s="545" t="str">
        <f t="shared" si="12"/>
        <v/>
      </c>
      <c r="AC100" s="149"/>
      <c r="AD100" s="150"/>
      <c r="AK100" s="31" t="str">
        <f>IFERROR(INDEX('G-7 Rivers Data'!$AZ$3:$AZ$7,MATCH(C100,'G-7 Rivers Data'!$AY$3:$AY$7,0)),"")</f>
        <v/>
      </c>
    </row>
    <row r="101" spans="2:37" ht="14" x14ac:dyDescent="0.3">
      <c r="B101" s="141">
        <v>90</v>
      </c>
      <c r="C101" s="666"/>
      <c r="D101" s="172"/>
      <c r="E101" s="498" t="str">
        <f>IF(C101="","",VLOOKUP(C101,'G-7 Rivers Data'!$B$2:$Z$9,2,FALSE))</f>
        <v/>
      </c>
      <c r="F101" s="499" t="str">
        <f>IFERROR(VLOOKUP(E101,'G-7 Rivers Data'!$C$4:$D$8,2,FALSE),"")</f>
        <v/>
      </c>
      <c r="G101" s="145"/>
      <c r="H101" s="499" t="str">
        <f>IFERROR(INDEX('G-7 Rivers Data'!$H$4:$L$8,MATCH(C101,'G-7 Rivers Data'!$B$4:$B$8,0),MATCH(G101,'G-7 Rivers Data'!$H$3:$L$3,0)),"")</f>
        <v/>
      </c>
      <c r="I101" s="145"/>
      <c r="J101" s="540" t="str">
        <f>IF(I101="","",IF(VLOOKUP(I101,'G-7 Rivers Data'!$AG$4:$AI$9,2,FALSE)=0,"Spatial Data Missing ⚠",VLOOKUP(I101,'G-7 Rivers Data'!$AG$4:$AI$9,2,FALSE)))</f>
        <v/>
      </c>
      <c r="K101" s="499" t="str">
        <f>IF(I101="","",IF(VLOOKUP(I101,'G-7 Rivers Data'!$AG$4:$AI$9,3,FALSE)=0,"Spatial Data Missing ⚠",VLOOKUP(I101,'G-7 Rivers Data'!$AG$4:$AI$9,3,FALSE)))</f>
        <v/>
      </c>
      <c r="L101" s="635" t="str">
        <f>IFERROR(INDEX('G-7 Rivers Data'!$O$3:$O$7,MATCH(G101,'G-7 Rivers Data'!$N$3:$N$7,0)),"")</f>
        <v/>
      </c>
      <c r="M101" s="72"/>
      <c r="N101" s="195"/>
      <c r="O101" s="507" t="str">
        <f t="shared" si="7"/>
        <v/>
      </c>
      <c r="P101" s="521" t="str">
        <f t="shared" si="8"/>
        <v/>
      </c>
      <c r="Q101" s="564" t="str">
        <f>IFERROR(IF(P101="Check Data ⚠","Check Data ⚠",VLOOKUP(P101,'G-4 Temporal multipliers'!$A$4:$C$37,3,FALSE)),"")</f>
        <v/>
      </c>
      <c r="R101" s="498" t="str">
        <f>IF(C101="","",VLOOKUP(C101,'G-7 Rivers Data'!$B$4:$G$8,4,FALSE))</f>
        <v/>
      </c>
      <c r="S101" s="507" t="str">
        <f t="shared" si="9"/>
        <v/>
      </c>
      <c r="T101" s="540" t="str">
        <f t="shared" si="10"/>
        <v/>
      </c>
      <c r="U101" s="499" t="str">
        <f t="shared" si="11"/>
        <v/>
      </c>
      <c r="V101" s="71"/>
      <c r="W101" s="499" t="str">
        <f>IF(V101="","",IF(VLOOKUP(V101,'G-7 Rivers Data'!$AA$4:$AB$7,2,FALSE)=0,"Spatial Data Missing ⚠",VLOOKUP(V101,'G-7 Rivers Data'!$AA$4:$AB$7,2,FALSE)))</f>
        <v/>
      </c>
      <c r="X101" s="155"/>
      <c r="Y101" s="499" t="str">
        <f>IF(X101="","",IF(VLOOKUP(X101,'G-7 Rivers Data'!$AD$4:$AE$8,2,FALSE)=0,"Enrcoachment Data Missing ⚠",VLOOKUP(X101,'G-7 Rivers Data'!$AD$4:$AE$8,2,FALSE)))</f>
        <v/>
      </c>
      <c r="Z101" s="154"/>
      <c r="AA101" s="524" t="str">
        <f>IF(Z101="","",VLOOKUP(Z101,'G-7 Rivers Data'!$AO$4:$AP$7,2,FALSE))</f>
        <v/>
      </c>
      <c r="AB101" s="545" t="str">
        <f t="shared" si="12"/>
        <v/>
      </c>
      <c r="AC101" s="149"/>
      <c r="AD101" s="150"/>
      <c r="AK101" s="31" t="str">
        <f>IFERROR(INDEX('G-7 Rivers Data'!$AZ$3:$AZ$7,MATCH(C101,'G-7 Rivers Data'!$AY$3:$AY$7,0)),"")</f>
        <v/>
      </c>
    </row>
    <row r="102" spans="2:37" ht="14" x14ac:dyDescent="0.3">
      <c r="B102" s="141">
        <v>91</v>
      </c>
      <c r="C102" s="666"/>
      <c r="D102" s="172"/>
      <c r="E102" s="498" t="str">
        <f>IF(C102="","",VLOOKUP(C102,'G-7 Rivers Data'!$B$2:$Z$9,2,FALSE))</f>
        <v/>
      </c>
      <c r="F102" s="499" t="str">
        <f>IFERROR(VLOOKUP(E102,'G-7 Rivers Data'!$C$4:$D$8,2,FALSE),"")</f>
        <v/>
      </c>
      <c r="G102" s="145"/>
      <c r="H102" s="499" t="str">
        <f>IFERROR(INDEX('G-7 Rivers Data'!$H$4:$L$8,MATCH(C102,'G-7 Rivers Data'!$B$4:$B$8,0),MATCH(G102,'G-7 Rivers Data'!$H$3:$L$3,0)),"")</f>
        <v/>
      </c>
      <c r="I102" s="145"/>
      <c r="J102" s="540" t="str">
        <f>IF(I102="","",IF(VLOOKUP(I102,'G-7 Rivers Data'!$AG$4:$AI$9,2,FALSE)=0,"Spatial Data Missing ⚠",VLOOKUP(I102,'G-7 Rivers Data'!$AG$4:$AI$9,2,FALSE)))</f>
        <v/>
      </c>
      <c r="K102" s="499" t="str">
        <f>IF(I102="","",IF(VLOOKUP(I102,'G-7 Rivers Data'!$AG$4:$AI$9,3,FALSE)=0,"Spatial Data Missing ⚠",VLOOKUP(I102,'G-7 Rivers Data'!$AG$4:$AI$9,3,FALSE)))</f>
        <v/>
      </c>
      <c r="L102" s="635" t="str">
        <f>IFERROR(INDEX('G-7 Rivers Data'!$O$3:$O$7,MATCH(G102,'G-7 Rivers Data'!$N$3:$N$7,0)),"")</f>
        <v/>
      </c>
      <c r="M102" s="72"/>
      <c r="N102" s="195"/>
      <c r="O102" s="507" t="str">
        <f t="shared" si="7"/>
        <v/>
      </c>
      <c r="P102" s="521" t="str">
        <f t="shared" si="8"/>
        <v/>
      </c>
      <c r="Q102" s="564" t="str">
        <f>IFERROR(IF(P102="Check Data ⚠","Check Data ⚠",VLOOKUP(P102,'G-4 Temporal multipliers'!$A$4:$C$37,3,FALSE)),"")</f>
        <v/>
      </c>
      <c r="R102" s="498" t="str">
        <f>IF(C102="","",VLOOKUP(C102,'G-7 Rivers Data'!$B$4:$G$8,4,FALSE))</f>
        <v/>
      </c>
      <c r="S102" s="507" t="str">
        <f t="shared" si="9"/>
        <v/>
      </c>
      <c r="T102" s="540" t="str">
        <f t="shared" si="10"/>
        <v/>
      </c>
      <c r="U102" s="499" t="str">
        <f t="shared" si="11"/>
        <v/>
      </c>
      <c r="V102" s="71"/>
      <c r="W102" s="499" t="str">
        <f>IF(V102="","",IF(VLOOKUP(V102,'G-7 Rivers Data'!$AA$4:$AB$7,2,FALSE)=0,"Spatial Data Missing ⚠",VLOOKUP(V102,'G-7 Rivers Data'!$AA$4:$AB$7,2,FALSE)))</f>
        <v/>
      </c>
      <c r="X102" s="155"/>
      <c r="Y102" s="499" t="str">
        <f>IF(X102="","",IF(VLOOKUP(X102,'G-7 Rivers Data'!$AD$4:$AE$8,2,FALSE)=0,"Enrcoachment Data Missing ⚠",VLOOKUP(X102,'G-7 Rivers Data'!$AD$4:$AE$8,2,FALSE)))</f>
        <v/>
      </c>
      <c r="Z102" s="154"/>
      <c r="AA102" s="524" t="str">
        <f>IF(Z102="","",VLOOKUP(Z102,'G-7 Rivers Data'!$AO$4:$AP$7,2,FALSE))</f>
        <v/>
      </c>
      <c r="AB102" s="545" t="str">
        <f t="shared" si="12"/>
        <v/>
      </c>
      <c r="AC102" s="149"/>
      <c r="AD102" s="150"/>
      <c r="AK102" s="31" t="str">
        <f>IFERROR(INDEX('G-7 Rivers Data'!$AZ$3:$AZ$7,MATCH(C102,'G-7 Rivers Data'!$AY$3:$AY$7,0)),"")</f>
        <v/>
      </c>
    </row>
    <row r="103" spans="2:37" ht="14" x14ac:dyDescent="0.3">
      <c r="B103" s="141">
        <v>92</v>
      </c>
      <c r="C103" s="666"/>
      <c r="D103" s="172"/>
      <c r="E103" s="498" t="str">
        <f>IF(C103="","",VLOOKUP(C103,'G-7 Rivers Data'!$B$2:$Z$9,2,FALSE))</f>
        <v/>
      </c>
      <c r="F103" s="499" t="str">
        <f>IFERROR(VLOOKUP(E103,'G-7 Rivers Data'!$C$4:$D$8,2,FALSE),"")</f>
        <v/>
      </c>
      <c r="G103" s="145"/>
      <c r="H103" s="499" t="str">
        <f>IFERROR(INDEX('G-7 Rivers Data'!$H$4:$L$8,MATCH(C103,'G-7 Rivers Data'!$B$4:$B$8,0),MATCH(G103,'G-7 Rivers Data'!$H$3:$L$3,0)),"")</f>
        <v/>
      </c>
      <c r="I103" s="145"/>
      <c r="J103" s="540" t="str">
        <f>IF(I103="","",IF(VLOOKUP(I103,'G-7 Rivers Data'!$AG$4:$AI$9,2,FALSE)=0,"Spatial Data Missing ⚠",VLOOKUP(I103,'G-7 Rivers Data'!$AG$4:$AI$9,2,FALSE)))</f>
        <v/>
      </c>
      <c r="K103" s="499" t="str">
        <f>IF(I103="","",IF(VLOOKUP(I103,'G-7 Rivers Data'!$AG$4:$AI$9,3,FALSE)=0,"Spatial Data Missing ⚠",VLOOKUP(I103,'G-7 Rivers Data'!$AG$4:$AI$9,3,FALSE)))</f>
        <v/>
      </c>
      <c r="L103" s="635" t="str">
        <f>IFERROR(INDEX('G-7 Rivers Data'!$O$3:$O$7,MATCH(G103,'G-7 Rivers Data'!$N$3:$N$7,0)),"")</f>
        <v/>
      </c>
      <c r="M103" s="72"/>
      <c r="N103" s="195"/>
      <c r="O103" s="507" t="str">
        <f t="shared" si="7"/>
        <v/>
      </c>
      <c r="P103" s="521" t="str">
        <f t="shared" si="8"/>
        <v/>
      </c>
      <c r="Q103" s="564" t="str">
        <f>IFERROR(IF(P103="Check Data ⚠","Check Data ⚠",VLOOKUP(P103,'G-4 Temporal multipliers'!$A$4:$C$37,3,FALSE)),"")</f>
        <v/>
      </c>
      <c r="R103" s="498" t="str">
        <f>IF(C103="","",VLOOKUP(C103,'G-7 Rivers Data'!$B$4:$G$8,4,FALSE))</f>
        <v/>
      </c>
      <c r="S103" s="507" t="str">
        <f t="shared" si="9"/>
        <v/>
      </c>
      <c r="T103" s="540" t="str">
        <f t="shared" si="10"/>
        <v/>
      </c>
      <c r="U103" s="499" t="str">
        <f t="shared" si="11"/>
        <v/>
      </c>
      <c r="V103" s="71"/>
      <c r="W103" s="499" t="str">
        <f>IF(V103="","",IF(VLOOKUP(V103,'G-7 Rivers Data'!$AA$4:$AB$7,2,FALSE)=0,"Spatial Data Missing ⚠",VLOOKUP(V103,'G-7 Rivers Data'!$AA$4:$AB$7,2,FALSE)))</f>
        <v/>
      </c>
      <c r="X103" s="155"/>
      <c r="Y103" s="499" t="str">
        <f>IF(X103="","",IF(VLOOKUP(X103,'G-7 Rivers Data'!$AD$4:$AE$8,2,FALSE)=0,"Enrcoachment Data Missing ⚠",VLOOKUP(X103,'G-7 Rivers Data'!$AD$4:$AE$8,2,FALSE)))</f>
        <v/>
      </c>
      <c r="Z103" s="154"/>
      <c r="AA103" s="524" t="str">
        <f>IF(Z103="","",VLOOKUP(Z103,'G-7 Rivers Data'!$AO$4:$AP$7,2,FALSE))</f>
        <v/>
      </c>
      <c r="AB103" s="545" t="str">
        <f t="shared" si="12"/>
        <v/>
      </c>
      <c r="AC103" s="149"/>
      <c r="AD103" s="150"/>
      <c r="AK103" s="31" t="str">
        <f>IFERROR(INDEX('G-7 Rivers Data'!$AZ$3:$AZ$7,MATCH(C103,'G-7 Rivers Data'!$AY$3:$AY$7,0)),"")</f>
        <v/>
      </c>
    </row>
    <row r="104" spans="2:37" ht="14" x14ac:dyDescent="0.3">
      <c r="B104" s="141">
        <v>93</v>
      </c>
      <c r="C104" s="666"/>
      <c r="D104" s="172"/>
      <c r="E104" s="498" t="str">
        <f>IF(C104="","",VLOOKUP(C104,'G-7 Rivers Data'!$B$2:$Z$9,2,FALSE))</f>
        <v/>
      </c>
      <c r="F104" s="499" t="str">
        <f>IFERROR(VLOOKUP(E104,'G-7 Rivers Data'!$C$4:$D$8,2,FALSE),"")</f>
        <v/>
      </c>
      <c r="G104" s="145"/>
      <c r="H104" s="499" t="str">
        <f>IFERROR(INDEX('G-7 Rivers Data'!$H$4:$L$8,MATCH(C104,'G-7 Rivers Data'!$B$4:$B$8,0),MATCH(G104,'G-7 Rivers Data'!$H$3:$L$3,0)),"")</f>
        <v/>
      </c>
      <c r="I104" s="145"/>
      <c r="J104" s="540" t="str">
        <f>IF(I104="","",IF(VLOOKUP(I104,'G-7 Rivers Data'!$AG$4:$AI$9,2,FALSE)=0,"Spatial Data Missing ⚠",VLOOKUP(I104,'G-7 Rivers Data'!$AG$4:$AI$9,2,FALSE)))</f>
        <v/>
      </c>
      <c r="K104" s="499" t="str">
        <f>IF(I104="","",IF(VLOOKUP(I104,'G-7 Rivers Data'!$AG$4:$AI$9,3,FALSE)=0,"Spatial Data Missing ⚠",VLOOKUP(I104,'G-7 Rivers Data'!$AG$4:$AI$9,3,FALSE)))</f>
        <v/>
      </c>
      <c r="L104" s="635" t="str">
        <f>IFERROR(INDEX('G-7 Rivers Data'!$O$3:$O$7,MATCH(G104,'G-7 Rivers Data'!$N$3:$N$7,0)),"")</f>
        <v/>
      </c>
      <c r="M104" s="72"/>
      <c r="N104" s="195"/>
      <c r="O104" s="507" t="str">
        <f t="shared" si="7"/>
        <v/>
      </c>
      <c r="P104" s="521" t="str">
        <f t="shared" si="8"/>
        <v/>
      </c>
      <c r="Q104" s="564" t="str">
        <f>IFERROR(IF(P104="Check Data ⚠","Check Data ⚠",VLOOKUP(P104,'G-4 Temporal multipliers'!$A$4:$C$37,3,FALSE)),"")</f>
        <v/>
      </c>
      <c r="R104" s="498" t="str">
        <f>IF(C104="","",VLOOKUP(C104,'G-7 Rivers Data'!$B$4:$G$8,4,FALSE))</f>
        <v/>
      </c>
      <c r="S104" s="507" t="str">
        <f t="shared" si="9"/>
        <v/>
      </c>
      <c r="T104" s="540" t="str">
        <f t="shared" si="10"/>
        <v/>
      </c>
      <c r="U104" s="499" t="str">
        <f t="shared" si="11"/>
        <v/>
      </c>
      <c r="V104" s="71"/>
      <c r="W104" s="499" t="str">
        <f>IF(V104="","",IF(VLOOKUP(V104,'G-7 Rivers Data'!$AA$4:$AB$7,2,FALSE)=0,"Spatial Data Missing ⚠",VLOOKUP(V104,'G-7 Rivers Data'!$AA$4:$AB$7,2,FALSE)))</f>
        <v/>
      </c>
      <c r="X104" s="155"/>
      <c r="Y104" s="499" t="str">
        <f>IF(X104="","",IF(VLOOKUP(X104,'G-7 Rivers Data'!$AD$4:$AE$8,2,FALSE)=0,"Enrcoachment Data Missing ⚠",VLOOKUP(X104,'G-7 Rivers Data'!$AD$4:$AE$8,2,FALSE)))</f>
        <v/>
      </c>
      <c r="Z104" s="154"/>
      <c r="AA104" s="524" t="str">
        <f>IF(Z104="","",VLOOKUP(Z104,'G-7 Rivers Data'!$AO$4:$AP$7,2,FALSE))</f>
        <v/>
      </c>
      <c r="AB104" s="545" t="str">
        <f t="shared" si="12"/>
        <v/>
      </c>
      <c r="AC104" s="149"/>
      <c r="AD104" s="150"/>
      <c r="AK104" s="31" t="str">
        <f>IFERROR(INDEX('G-7 Rivers Data'!$AZ$3:$AZ$7,MATCH(C104,'G-7 Rivers Data'!$AY$3:$AY$7,0)),"")</f>
        <v/>
      </c>
    </row>
    <row r="105" spans="2:37" ht="14" x14ac:dyDescent="0.3">
      <c r="B105" s="141">
        <v>94</v>
      </c>
      <c r="C105" s="666"/>
      <c r="D105" s="172"/>
      <c r="E105" s="498" t="str">
        <f>IF(C105="","",VLOOKUP(C105,'G-7 Rivers Data'!$B$2:$Z$9,2,FALSE))</f>
        <v/>
      </c>
      <c r="F105" s="499" t="str">
        <f>IFERROR(VLOOKUP(E105,'G-7 Rivers Data'!$C$4:$D$8,2,FALSE),"")</f>
        <v/>
      </c>
      <c r="G105" s="145"/>
      <c r="H105" s="499" t="str">
        <f>IFERROR(INDEX('G-7 Rivers Data'!$H$4:$L$8,MATCH(C105,'G-7 Rivers Data'!$B$4:$B$8,0),MATCH(G105,'G-7 Rivers Data'!$H$3:$L$3,0)),"")</f>
        <v/>
      </c>
      <c r="I105" s="145"/>
      <c r="J105" s="540" t="str">
        <f>IF(I105="","",IF(VLOOKUP(I105,'G-7 Rivers Data'!$AG$4:$AI$9,2,FALSE)=0,"Spatial Data Missing ⚠",VLOOKUP(I105,'G-7 Rivers Data'!$AG$4:$AI$9,2,FALSE)))</f>
        <v/>
      </c>
      <c r="K105" s="499" t="str">
        <f>IF(I105="","",IF(VLOOKUP(I105,'G-7 Rivers Data'!$AG$4:$AI$9,3,FALSE)=0,"Spatial Data Missing ⚠",VLOOKUP(I105,'G-7 Rivers Data'!$AG$4:$AI$9,3,FALSE)))</f>
        <v/>
      </c>
      <c r="L105" s="635" t="str">
        <f>IFERROR(INDEX('G-7 Rivers Data'!$O$3:$O$7,MATCH(G105,'G-7 Rivers Data'!$N$3:$N$7,0)),"")</f>
        <v/>
      </c>
      <c r="M105" s="72"/>
      <c r="N105" s="195"/>
      <c r="O105" s="507" t="str">
        <f t="shared" si="7"/>
        <v/>
      </c>
      <c r="P105" s="521" t="str">
        <f t="shared" si="8"/>
        <v/>
      </c>
      <c r="Q105" s="564" t="str">
        <f>IFERROR(IF(P105="Check Data ⚠","Check Data ⚠",VLOOKUP(P105,'G-4 Temporal multipliers'!$A$4:$C$37,3,FALSE)),"")</f>
        <v/>
      </c>
      <c r="R105" s="498" t="str">
        <f>IF(C105="","",VLOOKUP(C105,'G-7 Rivers Data'!$B$4:$G$8,4,FALSE))</f>
        <v/>
      </c>
      <c r="S105" s="507" t="str">
        <f t="shared" si="9"/>
        <v/>
      </c>
      <c r="T105" s="540" t="str">
        <f t="shared" si="10"/>
        <v/>
      </c>
      <c r="U105" s="499" t="str">
        <f t="shared" si="11"/>
        <v/>
      </c>
      <c r="V105" s="71"/>
      <c r="W105" s="499" t="str">
        <f>IF(V105="","",IF(VLOOKUP(V105,'G-7 Rivers Data'!$AA$4:$AB$7,2,FALSE)=0,"Spatial Data Missing ⚠",VLOOKUP(V105,'G-7 Rivers Data'!$AA$4:$AB$7,2,FALSE)))</f>
        <v/>
      </c>
      <c r="X105" s="155"/>
      <c r="Y105" s="499" t="str">
        <f>IF(X105="","",IF(VLOOKUP(X105,'G-7 Rivers Data'!$AD$4:$AE$8,2,FALSE)=0,"Enrcoachment Data Missing ⚠",VLOOKUP(X105,'G-7 Rivers Data'!$AD$4:$AE$8,2,FALSE)))</f>
        <v/>
      </c>
      <c r="Z105" s="154"/>
      <c r="AA105" s="524" t="str">
        <f>IF(Z105="","",VLOOKUP(Z105,'G-7 Rivers Data'!$AO$4:$AP$7,2,FALSE))</f>
        <v/>
      </c>
      <c r="AB105" s="545" t="str">
        <f t="shared" si="12"/>
        <v/>
      </c>
      <c r="AC105" s="149"/>
      <c r="AD105" s="150"/>
      <c r="AK105" s="31" t="str">
        <f>IFERROR(INDEX('G-7 Rivers Data'!$AZ$3:$AZ$7,MATCH(C105,'G-7 Rivers Data'!$AY$3:$AY$7,0)),"")</f>
        <v/>
      </c>
    </row>
    <row r="106" spans="2:37" ht="14" x14ac:dyDescent="0.3">
      <c r="B106" s="141">
        <v>95</v>
      </c>
      <c r="C106" s="666"/>
      <c r="D106" s="172"/>
      <c r="E106" s="498" t="str">
        <f>IF(C106="","",VLOOKUP(C106,'G-7 Rivers Data'!$B$2:$Z$9,2,FALSE))</f>
        <v/>
      </c>
      <c r="F106" s="499" t="str">
        <f>IFERROR(VLOOKUP(E106,'G-7 Rivers Data'!$C$4:$D$8,2,FALSE),"")</f>
        <v/>
      </c>
      <c r="G106" s="145"/>
      <c r="H106" s="499" t="str">
        <f>IFERROR(INDEX('G-7 Rivers Data'!$H$4:$L$8,MATCH(C106,'G-7 Rivers Data'!$B$4:$B$8,0),MATCH(G106,'G-7 Rivers Data'!$H$3:$L$3,0)),"")</f>
        <v/>
      </c>
      <c r="I106" s="145"/>
      <c r="J106" s="540" t="str">
        <f>IF(I106="","",IF(VLOOKUP(I106,'G-7 Rivers Data'!$AG$4:$AI$9,2,FALSE)=0,"Spatial Data Missing ⚠",VLOOKUP(I106,'G-7 Rivers Data'!$AG$4:$AI$9,2,FALSE)))</f>
        <v/>
      </c>
      <c r="K106" s="499" t="str">
        <f>IF(I106="","",IF(VLOOKUP(I106,'G-7 Rivers Data'!$AG$4:$AI$9,3,FALSE)=0,"Spatial Data Missing ⚠",VLOOKUP(I106,'G-7 Rivers Data'!$AG$4:$AI$9,3,FALSE)))</f>
        <v/>
      </c>
      <c r="L106" s="635" t="str">
        <f>IFERROR(INDEX('G-7 Rivers Data'!$O$3:$O$7,MATCH(G106,'G-7 Rivers Data'!$N$3:$N$7,0)),"")</f>
        <v/>
      </c>
      <c r="M106" s="72"/>
      <c r="N106" s="195"/>
      <c r="O106" s="507" t="str">
        <f t="shared" si="7"/>
        <v/>
      </c>
      <c r="P106" s="521" t="str">
        <f t="shared" si="8"/>
        <v/>
      </c>
      <c r="Q106" s="564" t="str">
        <f>IFERROR(IF(P106="Check Data ⚠","Check Data ⚠",VLOOKUP(P106,'G-4 Temporal multipliers'!$A$4:$C$37,3,FALSE)),"")</f>
        <v/>
      </c>
      <c r="R106" s="498" t="str">
        <f>IF(C106="","",VLOOKUP(C106,'G-7 Rivers Data'!$B$4:$G$8,4,FALSE))</f>
        <v/>
      </c>
      <c r="S106" s="507" t="str">
        <f t="shared" si="9"/>
        <v/>
      </c>
      <c r="T106" s="540" t="str">
        <f t="shared" si="10"/>
        <v/>
      </c>
      <c r="U106" s="499" t="str">
        <f t="shared" si="11"/>
        <v/>
      </c>
      <c r="V106" s="71"/>
      <c r="W106" s="499" t="str">
        <f>IF(V106="","",IF(VLOOKUP(V106,'G-7 Rivers Data'!$AA$4:$AB$7,2,FALSE)=0,"Spatial Data Missing ⚠",VLOOKUP(V106,'G-7 Rivers Data'!$AA$4:$AB$7,2,FALSE)))</f>
        <v/>
      </c>
      <c r="X106" s="155"/>
      <c r="Y106" s="499" t="str">
        <f>IF(X106="","",IF(VLOOKUP(X106,'G-7 Rivers Data'!$AD$4:$AE$8,2,FALSE)=0,"Enrcoachment Data Missing ⚠",VLOOKUP(X106,'G-7 Rivers Data'!$AD$4:$AE$8,2,FALSE)))</f>
        <v/>
      </c>
      <c r="Z106" s="154"/>
      <c r="AA106" s="524" t="str">
        <f>IF(Z106="","",VLOOKUP(Z106,'G-7 Rivers Data'!$AO$4:$AP$7,2,FALSE))</f>
        <v/>
      </c>
      <c r="AB106" s="545" t="str">
        <f t="shared" si="12"/>
        <v/>
      </c>
      <c r="AC106" s="149"/>
      <c r="AD106" s="150"/>
      <c r="AK106" s="31" t="str">
        <f>IFERROR(INDEX('G-7 Rivers Data'!$AZ$3:$AZ$7,MATCH(C106,'G-7 Rivers Data'!$AY$3:$AY$7,0)),"")</f>
        <v/>
      </c>
    </row>
    <row r="107" spans="2:37" ht="14" x14ac:dyDescent="0.3">
      <c r="B107" s="141">
        <v>96</v>
      </c>
      <c r="C107" s="666"/>
      <c r="D107" s="172"/>
      <c r="E107" s="498" t="str">
        <f>IF(C107="","",VLOOKUP(C107,'G-7 Rivers Data'!$B$2:$Z$9,2,FALSE))</f>
        <v/>
      </c>
      <c r="F107" s="499" t="str">
        <f>IFERROR(VLOOKUP(E107,'G-7 Rivers Data'!$C$4:$D$8,2,FALSE),"")</f>
        <v/>
      </c>
      <c r="G107" s="145"/>
      <c r="H107" s="499" t="str">
        <f>IFERROR(INDEX('G-7 Rivers Data'!$H$4:$L$8,MATCH(C107,'G-7 Rivers Data'!$B$4:$B$8,0),MATCH(G107,'G-7 Rivers Data'!$H$3:$L$3,0)),"")</f>
        <v/>
      </c>
      <c r="I107" s="145"/>
      <c r="J107" s="540" t="str">
        <f>IF(I107="","",IF(VLOOKUP(I107,'G-7 Rivers Data'!$AG$4:$AI$9,2,FALSE)=0,"Spatial Data Missing ⚠",VLOOKUP(I107,'G-7 Rivers Data'!$AG$4:$AI$9,2,FALSE)))</f>
        <v/>
      </c>
      <c r="K107" s="499" t="str">
        <f>IF(I107="","",IF(VLOOKUP(I107,'G-7 Rivers Data'!$AG$4:$AI$9,3,FALSE)=0,"Spatial Data Missing ⚠",VLOOKUP(I107,'G-7 Rivers Data'!$AG$4:$AI$9,3,FALSE)))</f>
        <v/>
      </c>
      <c r="L107" s="635" t="str">
        <f>IFERROR(INDEX('G-7 Rivers Data'!$O$3:$O$7,MATCH(G107,'G-7 Rivers Data'!$N$3:$N$7,0)),"")</f>
        <v/>
      </c>
      <c r="M107" s="72"/>
      <c r="N107" s="195"/>
      <c r="O107" s="507" t="str">
        <f t="shared" si="7"/>
        <v/>
      </c>
      <c r="P107" s="521" t="str">
        <f t="shared" si="8"/>
        <v/>
      </c>
      <c r="Q107" s="564" t="str">
        <f>IFERROR(IF(P107="Check Data ⚠","Check Data ⚠",VLOOKUP(P107,'G-4 Temporal multipliers'!$A$4:$C$37,3,FALSE)),"")</f>
        <v/>
      </c>
      <c r="R107" s="498" t="str">
        <f>IF(C107="","",VLOOKUP(C107,'G-7 Rivers Data'!$B$4:$G$8,4,FALSE))</f>
        <v/>
      </c>
      <c r="S107" s="507" t="str">
        <f t="shared" si="9"/>
        <v/>
      </c>
      <c r="T107" s="540" t="str">
        <f t="shared" si="10"/>
        <v/>
      </c>
      <c r="U107" s="499" t="str">
        <f t="shared" si="11"/>
        <v/>
      </c>
      <c r="V107" s="71"/>
      <c r="W107" s="499" t="str">
        <f>IF(V107="","",IF(VLOOKUP(V107,'G-7 Rivers Data'!$AA$4:$AB$7,2,FALSE)=0,"Spatial Data Missing ⚠",VLOOKUP(V107,'G-7 Rivers Data'!$AA$4:$AB$7,2,FALSE)))</f>
        <v/>
      </c>
      <c r="X107" s="155"/>
      <c r="Y107" s="499" t="str">
        <f>IF(X107="","",IF(VLOOKUP(X107,'G-7 Rivers Data'!$AD$4:$AE$8,2,FALSE)=0,"Enrcoachment Data Missing ⚠",VLOOKUP(X107,'G-7 Rivers Data'!$AD$4:$AE$8,2,FALSE)))</f>
        <v/>
      </c>
      <c r="Z107" s="154"/>
      <c r="AA107" s="524" t="str">
        <f>IF(Z107="","",VLOOKUP(Z107,'G-7 Rivers Data'!$AO$4:$AP$7,2,FALSE))</f>
        <v/>
      </c>
      <c r="AB107" s="545" t="str">
        <f t="shared" si="12"/>
        <v/>
      </c>
      <c r="AC107" s="149"/>
      <c r="AD107" s="150"/>
      <c r="AK107" s="31" t="str">
        <f>IFERROR(INDEX('G-7 Rivers Data'!$AZ$3:$AZ$7,MATCH(C107,'G-7 Rivers Data'!$AY$3:$AY$7,0)),"")</f>
        <v/>
      </c>
    </row>
    <row r="108" spans="2:37" ht="14" x14ac:dyDescent="0.3">
      <c r="B108" s="141">
        <v>97</v>
      </c>
      <c r="C108" s="666"/>
      <c r="D108" s="172"/>
      <c r="E108" s="498" t="str">
        <f>IF(C108="","",VLOOKUP(C108,'G-7 Rivers Data'!$B$2:$Z$9,2,FALSE))</f>
        <v/>
      </c>
      <c r="F108" s="499" t="str">
        <f>IFERROR(VLOOKUP(E108,'G-7 Rivers Data'!$C$4:$D$8,2,FALSE),"")</f>
        <v/>
      </c>
      <c r="G108" s="145"/>
      <c r="H108" s="499" t="str">
        <f>IFERROR(INDEX('G-7 Rivers Data'!$H$4:$L$8,MATCH(C108,'G-7 Rivers Data'!$B$4:$B$8,0),MATCH(G108,'G-7 Rivers Data'!$H$3:$L$3,0)),"")</f>
        <v/>
      </c>
      <c r="I108" s="145"/>
      <c r="J108" s="540" t="str">
        <f>IF(I108="","",IF(VLOOKUP(I108,'G-7 Rivers Data'!$AG$4:$AI$9,2,FALSE)=0,"Spatial Data Missing ⚠",VLOOKUP(I108,'G-7 Rivers Data'!$AG$4:$AI$9,2,FALSE)))</f>
        <v/>
      </c>
      <c r="K108" s="499" t="str">
        <f>IF(I108="","",IF(VLOOKUP(I108,'G-7 Rivers Data'!$AG$4:$AI$9,3,FALSE)=0,"Spatial Data Missing ⚠",VLOOKUP(I108,'G-7 Rivers Data'!$AG$4:$AI$9,3,FALSE)))</f>
        <v/>
      </c>
      <c r="L108" s="635" t="str">
        <f>IFERROR(INDEX('G-7 Rivers Data'!$O$3:$O$7,MATCH(G108,'G-7 Rivers Data'!$N$3:$N$7,0)),"")</f>
        <v/>
      </c>
      <c r="M108" s="72"/>
      <c r="N108" s="195"/>
      <c r="O108" s="507" t="str">
        <f t="shared" si="7"/>
        <v/>
      </c>
      <c r="P108" s="521" t="str">
        <f t="shared" si="8"/>
        <v/>
      </c>
      <c r="Q108" s="564" t="str">
        <f>IFERROR(IF(P108="Check Data ⚠","Check Data ⚠",VLOOKUP(P108,'G-4 Temporal multipliers'!$A$4:$C$37,3,FALSE)),"")</f>
        <v/>
      </c>
      <c r="R108" s="498" t="str">
        <f>IF(C108="","",VLOOKUP(C108,'G-7 Rivers Data'!$B$4:$G$8,4,FALSE))</f>
        <v/>
      </c>
      <c r="S108" s="507" t="str">
        <f t="shared" si="9"/>
        <v/>
      </c>
      <c r="T108" s="540" t="str">
        <f t="shared" si="10"/>
        <v/>
      </c>
      <c r="U108" s="499" t="str">
        <f t="shared" si="11"/>
        <v/>
      </c>
      <c r="V108" s="71"/>
      <c r="W108" s="499" t="str">
        <f>IF(V108="","",IF(VLOOKUP(V108,'G-7 Rivers Data'!$AA$4:$AB$7,2,FALSE)=0,"Spatial Data Missing ⚠",VLOOKUP(V108,'G-7 Rivers Data'!$AA$4:$AB$7,2,FALSE)))</f>
        <v/>
      </c>
      <c r="X108" s="155"/>
      <c r="Y108" s="499" t="str">
        <f>IF(X108="","",IF(VLOOKUP(X108,'G-7 Rivers Data'!$AD$4:$AE$8,2,FALSE)=0,"Enrcoachment Data Missing ⚠",VLOOKUP(X108,'G-7 Rivers Data'!$AD$4:$AE$8,2,FALSE)))</f>
        <v/>
      </c>
      <c r="Z108" s="154"/>
      <c r="AA108" s="524" t="str">
        <f>IF(Z108="","",VLOOKUP(Z108,'G-7 Rivers Data'!$AO$4:$AP$7,2,FALSE))</f>
        <v/>
      </c>
      <c r="AB108" s="545" t="str">
        <f t="shared" si="12"/>
        <v/>
      </c>
      <c r="AC108" s="149"/>
      <c r="AD108" s="150"/>
      <c r="AK108" s="31" t="str">
        <f>IFERROR(INDEX('G-7 Rivers Data'!$AZ$3:$AZ$7,MATCH(C108,'G-7 Rivers Data'!$AY$3:$AY$7,0)),"")</f>
        <v/>
      </c>
    </row>
    <row r="109" spans="2:37" ht="14" x14ac:dyDescent="0.3">
      <c r="B109" s="141">
        <v>98</v>
      </c>
      <c r="C109" s="666"/>
      <c r="D109" s="172"/>
      <c r="E109" s="498" t="str">
        <f>IF(C109="","",VLOOKUP(C109,'G-7 Rivers Data'!$B$2:$Z$9,2,FALSE))</f>
        <v/>
      </c>
      <c r="F109" s="499" t="str">
        <f>IFERROR(VLOOKUP(E109,'G-7 Rivers Data'!$C$4:$D$8,2,FALSE),"")</f>
        <v/>
      </c>
      <c r="G109" s="145"/>
      <c r="H109" s="499" t="str">
        <f>IFERROR(INDEX('G-7 Rivers Data'!$H$4:$L$8,MATCH(C109,'G-7 Rivers Data'!$B$4:$B$8,0),MATCH(G109,'G-7 Rivers Data'!$H$3:$L$3,0)),"")</f>
        <v/>
      </c>
      <c r="I109" s="145"/>
      <c r="J109" s="540" t="str">
        <f>IF(I109="","",IF(VLOOKUP(I109,'G-7 Rivers Data'!$AG$4:$AI$9,2,FALSE)=0,"Spatial Data Missing ⚠",VLOOKUP(I109,'G-7 Rivers Data'!$AG$4:$AI$9,2,FALSE)))</f>
        <v/>
      </c>
      <c r="K109" s="499" t="str">
        <f>IF(I109="","",IF(VLOOKUP(I109,'G-7 Rivers Data'!$AG$4:$AI$9,3,FALSE)=0,"Spatial Data Missing ⚠",VLOOKUP(I109,'G-7 Rivers Data'!$AG$4:$AI$9,3,FALSE)))</f>
        <v/>
      </c>
      <c r="L109" s="635" t="str">
        <f>IFERROR(INDEX('G-7 Rivers Data'!$O$3:$O$7,MATCH(G109,'G-7 Rivers Data'!$N$3:$N$7,0)),"")</f>
        <v/>
      </c>
      <c r="M109" s="72"/>
      <c r="N109" s="195"/>
      <c r="O109" s="507" t="str">
        <f t="shared" si="7"/>
        <v/>
      </c>
      <c r="P109" s="521" t="str">
        <f t="shared" si="8"/>
        <v/>
      </c>
      <c r="Q109" s="564" t="str">
        <f>IFERROR(IF(P109="Check Data ⚠","Check Data ⚠",VLOOKUP(P109,'G-4 Temporal multipliers'!$A$4:$C$37,3,FALSE)),"")</f>
        <v/>
      </c>
      <c r="R109" s="498" t="str">
        <f>IF(C109="","",VLOOKUP(C109,'G-7 Rivers Data'!$B$4:$G$8,4,FALSE))</f>
        <v/>
      </c>
      <c r="S109" s="507" t="str">
        <f t="shared" si="9"/>
        <v/>
      </c>
      <c r="T109" s="540" t="str">
        <f t="shared" si="10"/>
        <v/>
      </c>
      <c r="U109" s="499" t="str">
        <f t="shared" si="11"/>
        <v/>
      </c>
      <c r="V109" s="71"/>
      <c r="W109" s="499" t="str">
        <f>IF(V109="","",IF(VLOOKUP(V109,'G-7 Rivers Data'!$AA$4:$AB$7,2,FALSE)=0,"Spatial Data Missing ⚠",VLOOKUP(V109,'G-7 Rivers Data'!$AA$4:$AB$7,2,FALSE)))</f>
        <v/>
      </c>
      <c r="X109" s="155"/>
      <c r="Y109" s="499" t="str">
        <f>IF(X109="","",IF(VLOOKUP(X109,'G-7 Rivers Data'!$AD$4:$AE$8,2,FALSE)=0,"Enrcoachment Data Missing ⚠",VLOOKUP(X109,'G-7 Rivers Data'!$AD$4:$AE$8,2,FALSE)))</f>
        <v/>
      </c>
      <c r="Z109" s="154"/>
      <c r="AA109" s="524" t="str">
        <f>IF(Z109="","",VLOOKUP(Z109,'G-7 Rivers Data'!$AO$4:$AP$7,2,FALSE))</f>
        <v/>
      </c>
      <c r="AB109" s="545" t="str">
        <f t="shared" si="12"/>
        <v/>
      </c>
      <c r="AC109" s="149"/>
      <c r="AD109" s="150"/>
      <c r="AK109" s="31" t="str">
        <f>IFERROR(INDEX('G-7 Rivers Data'!$AZ$3:$AZ$7,MATCH(C109,'G-7 Rivers Data'!$AY$3:$AY$7,0)),"")</f>
        <v/>
      </c>
    </row>
    <row r="110" spans="2:37" ht="14" x14ac:dyDescent="0.3">
      <c r="B110" s="141">
        <v>99</v>
      </c>
      <c r="C110" s="666"/>
      <c r="D110" s="172"/>
      <c r="E110" s="498" t="str">
        <f>IF(C110="","",VLOOKUP(C110,'G-7 Rivers Data'!$B$2:$Z$9,2,FALSE))</f>
        <v/>
      </c>
      <c r="F110" s="499" t="str">
        <f>IFERROR(VLOOKUP(E110,'G-7 Rivers Data'!$C$4:$D$8,2,FALSE),"")</f>
        <v/>
      </c>
      <c r="G110" s="145"/>
      <c r="H110" s="499" t="str">
        <f>IFERROR(INDEX('G-7 Rivers Data'!$H$4:$L$8,MATCH(C110,'G-7 Rivers Data'!$B$4:$B$8,0),MATCH(G110,'G-7 Rivers Data'!$H$3:$L$3,0)),"")</f>
        <v/>
      </c>
      <c r="I110" s="145"/>
      <c r="J110" s="540" t="str">
        <f>IF(I110="","",IF(VLOOKUP(I110,'G-7 Rivers Data'!$AG$4:$AI$9,2,FALSE)=0,"Spatial Data Missing ⚠",VLOOKUP(I110,'G-7 Rivers Data'!$AG$4:$AI$9,2,FALSE)))</f>
        <v/>
      </c>
      <c r="K110" s="499" t="str">
        <f>IF(I110="","",IF(VLOOKUP(I110,'G-7 Rivers Data'!$AG$4:$AI$9,3,FALSE)=0,"Spatial Data Missing ⚠",VLOOKUP(I110,'G-7 Rivers Data'!$AG$4:$AI$9,3,FALSE)))</f>
        <v/>
      </c>
      <c r="L110" s="635" t="str">
        <f>IFERROR(INDEX('G-7 Rivers Data'!$O$3:$O$7,MATCH(G110,'G-7 Rivers Data'!$N$3:$N$7,0)),"")</f>
        <v/>
      </c>
      <c r="M110" s="72"/>
      <c r="N110" s="195"/>
      <c r="O110" s="507" t="str">
        <f t="shared" si="7"/>
        <v/>
      </c>
      <c r="P110" s="521" t="str">
        <f t="shared" si="8"/>
        <v/>
      </c>
      <c r="Q110" s="564" t="str">
        <f>IFERROR(IF(P110="Check Data ⚠","Check Data ⚠",VLOOKUP(P110,'G-4 Temporal multipliers'!$A$4:$C$37,3,FALSE)),"")</f>
        <v/>
      </c>
      <c r="R110" s="498" t="str">
        <f>IF(C110="","",VLOOKUP(C110,'G-7 Rivers Data'!$B$4:$G$8,4,FALSE))</f>
        <v/>
      </c>
      <c r="S110" s="507" t="str">
        <f t="shared" si="9"/>
        <v/>
      </c>
      <c r="T110" s="540" t="str">
        <f t="shared" si="10"/>
        <v/>
      </c>
      <c r="U110" s="499" t="str">
        <f t="shared" si="11"/>
        <v/>
      </c>
      <c r="V110" s="71"/>
      <c r="W110" s="499" t="str">
        <f>IF(V110="","",IF(VLOOKUP(V110,'G-7 Rivers Data'!$AA$4:$AB$7,2,FALSE)=0,"Spatial Data Missing ⚠",VLOOKUP(V110,'G-7 Rivers Data'!$AA$4:$AB$7,2,FALSE)))</f>
        <v/>
      </c>
      <c r="X110" s="155"/>
      <c r="Y110" s="499" t="str">
        <f>IF(X110="","",IF(VLOOKUP(X110,'G-7 Rivers Data'!$AD$4:$AE$8,2,FALSE)=0,"Enrcoachment Data Missing ⚠",VLOOKUP(X110,'G-7 Rivers Data'!$AD$4:$AE$8,2,FALSE)))</f>
        <v/>
      </c>
      <c r="Z110" s="154"/>
      <c r="AA110" s="524" t="str">
        <f>IF(Z110="","",VLOOKUP(Z110,'G-7 Rivers Data'!$AO$4:$AP$7,2,FALSE))</f>
        <v/>
      </c>
      <c r="AB110" s="545" t="str">
        <f t="shared" si="12"/>
        <v/>
      </c>
      <c r="AC110" s="149"/>
      <c r="AD110" s="150"/>
      <c r="AK110" s="31" t="str">
        <f>IFERROR(INDEX('G-7 Rivers Data'!$AZ$3:$AZ$7,MATCH(C110,'G-7 Rivers Data'!$AY$3:$AY$7,0)),"")</f>
        <v/>
      </c>
    </row>
    <row r="111" spans="2:37" ht="14" x14ac:dyDescent="0.3">
      <c r="B111" s="141">
        <v>100</v>
      </c>
      <c r="C111" s="666"/>
      <c r="D111" s="172"/>
      <c r="E111" s="498" t="str">
        <f>IF(C111="","",VLOOKUP(C111,'G-7 Rivers Data'!$B$2:$Z$9,2,FALSE))</f>
        <v/>
      </c>
      <c r="F111" s="499" t="str">
        <f>IFERROR(VLOOKUP(E111,'G-7 Rivers Data'!$C$4:$D$8,2,FALSE),"")</f>
        <v/>
      </c>
      <c r="G111" s="145"/>
      <c r="H111" s="499" t="str">
        <f>IFERROR(INDEX('G-7 Rivers Data'!$H$4:$L$8,MATCH(C111,'G-7 Rivers Data'!$B$4:$B$8,0),MATCH(G111,'G-7 Rivers Data'!$H$3:$L$3,0)),"")</f>
        <v/>
      </c>
      <c r="I111" s="145"/>
      <c r="J111" s="540" t="str">
        <f>IF(I111="","",IF(VLOOKUP(I111,'G-7 Rivers Data'!$AG$4:$AI$9,2,FALSE)=0,"Spatial Data Missing ⚠",VLOOKUP(I111,'G-7 Rivers Data'!$AG$4:$AI$9,2,FALSE)))</f>
        <v/>
      </c>
      <c r="K111" s="499" t="str">
        <f>IF(I111="","",IF(VLOOKUP(I111,'G-7 Rivers Data'!$AG$4:$AI$9,3,FALSE)=0,"Spatial Data Missing ⚠",VLOOKUP(I111,'G-7 Rivers Data'!$AG$4:$AI$9,3,FALSE)))</f>
        <v/>
      </c>
      <c r="L111" s="635" t="str">
        <f>IFERROR(INDEX('G-7 Rivers Data'!$O$3:$O$7,MATCH(G111,'G-7 Rivers Data'!$N$3:$N$7,0)),"")</f>
        <v/>
      </c>
      <c r="M111" s="72"/>
      <c r="N111" s="195"/>
      <c r="O111" s="507" t="str">
        <f t="shared" si="7"/>
        <v/>
      </c>
      <c r="P111" s="521" t="str">
        <f t="shared" si="8"/>
        <v/>
      </c>
      <c r="Q111" s="564" t="str">
        <f>IFERROR(IF(P111="Check Data ⚠","Check Data ⚠",VLOOKUP(P111,'G-4 Temporal multipliers'!$A$4:$C$37,3,FALSE)),"")</f>
        <v/>
      </c>
      <c r="R111" s="498" t="str">
        <f>IF(C111="","",VLOOKUP(C111,'G-7 Rivers Data'!$B$4:$G$8,4,FALSE))</f>
        <v/>
      </c>
      <c r="S111" s="507" t="str">
        <f t="shared" si="9"/>
        <v/>
      </c>
      <c r="T111" s="540" t="str">
        <f t="shared" si="10"/>
        <v/>
      </c>
      <c r="U111" s="499" t="str">
        <f t="shared" si="11"/>
        <v/>
      </c>
      <c r="V111" s="71"/>
      <c r="W111" s="499" t="str">
        <f>IF(V111="","",IF(VLOOKUP(V111,'G-7 Rivers Data'!$AA$4:$AB$7,2,FALSE)=0,"Spatial Data Missing ⚠",VLOOKUP(V111,'G-7 Rivers Data'!$AA$4:$AB$7,2,FALSE)))</f>
        <v/>
      </c>
      <c r="X111" s="155"/>
      <c r="Y111" s="499" t="str">
        <f>IF(X111="","",IF(VLOOKUP(X111,'G-7 Rivers Data'!$AD$4:$AE$8,2,FALSE)=0,"Enrcoachment Data Missing ⚠",VLOOKUP(X111,'G-7 Rivers Data'!$AD$4:$AE$8,2,FALSE)))</f>
        <v/>
      </c>
      <c r="Z111" s="154"/>
      <c r="AA111" s="524" t="str">
        <f>IF(Z111="","",VLOOKUP(Z111,'G-7 Rivers Data'!$AO$4:$AP$7,2,FALSE))</f>
        <v/>
      </c>
      <c r="AB111" s="545" t="str">
        <f t="shared" si="12"/>
        <v/>
      </c>
      <c r="AC111" s="149"/>
      <c r="AD111" s="150"/>
      <c r="AK111" s="31" t="str">
        <f>IFERROR(INDEX('G-7 Rivers Data'!$AZ$3:$AZ$7,MATCH(C111,'G-7 Rivers Data'!$AY$3:$AY$7,0)),"")</f>
        <v/>
      </c>
    </row>
    <row r="112" spans="2:37" ht="14" x14ac:dyDescent="0.3">
      <c r="B112" s="141">
        <v>101</v>
      </c>
      <c r="C112" s="666"/>
      <c r="D112" s="172"/>
      <c r="E112" s="498" t="str">
        <f>IF(C112="","",VLOOKUP(C112,'G-7 Rivers Data'!$B$2:$Z$9,2,FALSE))</f>
        <v/>
      </c>
      <c r="F112" s="499" t="str">
        <f>IFERROR(VLOOKUP(E112,'G-7 Rivers Data'!$C$4:$D$8,2,FALSE),"")</f>
        <v/>
      </c>
      <c r="G112" s="145"/>
      <c r="H112" s="499" t="str">
        <f>IFERROR(INDEX('G-7 Rivers Data'!$H$4:$L$8,MATCH(C112,'G-7 Rivers Data'!$B$4:$B$8,0),MATCH(G112,'G-7 Rivers Data'!$H$3:$L$3,0)),"")</f>
        <v/>
      </c>
      <c r="I112" s="145"/>
      <c r="J112" s="540" t="str">
        <f>IF(I112="","",IF(VLOOKUP(I112,'G-7 Rivers Data'!$AG$4:$AI$9,2,FALSE)=0,"Spatial Data Missing ⚠",VLOOKUP(I112,'G-7 Rivers Data'!$AG$4:$AI$9,2,FALSE)))</f>
        <v/>
      </c>
      <c r="K112" s="499" t="str">
        <f>IF(I112="","",IF(VLOOKUP(I112,'G-7 Rivers Data'!$AG$4:$AI$9,3,FALSE)=0,"Spatial Data Missing ⚠",VLOOKUP(I112,'G-7 Rivers Data'!$AG$4:$AI$9,3,FALSE)))</f>
        <v/>
      </c>
      <c r="L112" s="635" t="str">
        <f>IFERROR(INDEX('G-7 Rivers Data'!$O$3:$O$7,MATCH(G112,'G-7 Rivers Data'!$N$3:$N$7,0)),"")</f>
        <v/>
      </c>
      <c r="M112" s="72"/>
      <c r="N112" s="195"/>
      <c r="O112" s="507" t="str">
        <f t="shared" si="7"/>
        <v/>
      </c>
      <c r="P112" s="521" t="str">
        <f t="shared" si="8"/>
        <v/>
      </c>
      <c r="Q112" s="564" t="str">
        <f>IFERROR(IF(P112="Check Data ⚠","Check Data ⚠",VLOOKUP(P112,'G-4 Temporal multipliers'!$A$4:$C$37,3,FALSE)),"")</f>
        <v/>
      </c>
      <c r="R112" s="498" t="str">
        <f>IF(C112="","",VLOOKUP(C112,'G-7 Rivers Data'!$B$4:$G$8,4,FALSE))</f>
        <v/>
      </c>
      <c r="S112" s="507" t="str">
        <f t="shared" si="9"/>
        <v/>
      </c>
      <c r="T112" s="540" t="str">
        <f t="shared" si="10"/>
        <v/>
      </c>
      <c r="U112" s="499" t="str">
        <f t="shared" si="11"/>
        <v/>
      </c>
      <c r="V112" s="71"/>
      <c r="W112" s="499" t="str">
        <f>IF(V112="","",IF(VLOOKUP(V112,'G-7 Rivers Data'!$AA$4:$AB$7,2,FALSE)=0,"Spatial Data Missing ⚠",VLOOKUP(V112,'G-7 Rivers Data'!$AA$4:$AB$7,2,FALSE)))</f>
        <v/>
      </c>
      <c r="X112" s="155"/>
      <c r="Y112" s="499" t="str">
        <f>IF(X112="","",IF(VLOOKUP(X112,'G-7 Rivers Data'!$AD$4:$AE$8,2,FALSE)=0,"Enrcoachment Data Missing ⚠",VLOOKUP(X112,'G-7 Rivers Data'!$AD$4:$AE$8,2,FALSE)))</f>
        <v/>
      </c>
      <c r="Z112" s="154"/>
      <c r="AA112" s="524" t="str">
        <f>IF(Z112="","",VLOOKUP(Z112,'G-7 Rivers Data'!$AO$4:$AP$7,2,FALSE))</f>
        <v/>
      </c>
      <c r="AB112" s="545" t="str">
        <f t="shared" si="12"/>
        <v/>
      </c>
      <c r="AC112" s="149"/>
      <c r="AD112" s="150"/>
      <c r="AK112" s="31" t="str">
        <f>IFERROR(INDEX('G-7 Rivers Data'!$AZ$3:$AZ$7,MATCH(C112,'G-7 Rivers Data'!$AY$3:$AY$7,0)),"")</f>
        <v/>
      </c>
    </row>
    <row r="113" spans="2:37" ht="14" x14ac:dyDescent="0.3">
      <c r="B113" s="141">
        <v>102</v>
      </c>
      <c r="C113" s="666"/>
      <c r="D113" s="172"/>
      <c r="E113" s="498" t="str">
        <f>IF(C113="","",VLOOKUP(C113,'G-7 Rivers Data'!$B$2:$Z$9,2,FALSE))</f>
        <v/>
      </c>
      <c r="F113" s="499" t="str">
        <f>IFERROR(VLOOKUP(E113,'G-7 Rivers Data'!$C$4:$D$8,2,FALSE),"")</f>
        <v/>
      </c>
      <c r="G113" s="145"/>
      <c r="H113" s="499" t="str">
        <f>IFERROR(INDEX('G-7 Rivers Data'!$H$4:$L$8,MATCH(C113,'G-7 Rivers Data'!$B$4:$B$8,0),MATCH(G113,'G-7 Rivers Data'!$H$3:$L$3,0)),"")</f>
        <v/>
      </c>
      <c r="I113" s="145"/>
      <c r="J113" s="540" t="str">
        <f>IF(I113="","",IF(VLOOKUP(I113,'G-7 Rivers Data'!$AG$4:$AI$9,2,FALSE)=0,"Spatial Data Missing ⚠",VLOOKUP(I113,'G-7 Rivers Data'!$AG$4:$AI$9,2,FALSE)))</f>
        <v/>
      </c>
      <c r="K113" s="499" t="str">
        <f>IF(I113="","",IF(VLOOKUP(I113,'G-7 Rivers Data'!$AG$4:$AI$9,3,FALSE)=0,"Spatial Data Missing ⚠",VLOOKUP(I113,'G-7 Rivers Data'!$AG$4:$AI$9,3,FALSE)))</f>
        <v/>
      </c>
      <c r="L113" s="635" t="str">
        <f>IFERROR(INDEX('G-7 Rivers Data'!$O$3:$O$7,MATCH(G113,'G-7 Rivers Data'!$N$3:$N$7,0)),"")</f>
        <v/>
      </c>
      <c r="M113" s="72"/>
      <c r="N113" s="195"/>
      <c r="O113" s="507" t="str">
        <f t="shared" si="7"/>
        <v/>
      </c>
      <c r="P113" s="521" t="str">
        <f t="shared" si="8"/>
        <v/>
      </c>
      <c r="Q113" s="564" t="str">
        <f>IFERROR(IF(P113="Check Data ⚠","Check Data ⚠",VLOOKUP(P113,'G-4 Temporal multipliers'!$A$4:$C$37,3,FALSE)),"")</f>
        <v/>
      </c>
      <c r="R113" s="498" t="str">
        <f>IF(C113="","",VLOOKUP(C113,'G-7 Rivers Data'!$B$4:$G$8,4,FALSE))</f>
        <v/>
      </c>
      <c r="S113" s="507" t="str">
        <f t="shared" si="9"/>
        <v/>
      </c>
      <c r="T113" s="540" t="str">
        <f t="shared" si="10"/>
        <v/>
      </c>
      <c r="U113" s="499" t="str">
        <f t="shared" si="11"/>
        <v/>
      </c>
      <c r="V113" s="71"/>
      <c r="W113" s="499" t="str">
        <f>IF(V113="","",IF(VLOOKUP(V113,'G-7 Rivers Data'!$AA$4:$AB$7,2,FALSE)=0,"Spatial Data Missing ⚠",VLOOKUP(V113,'G-7 Rivers Data'!$AA$4:$AB$7,2,FALSE)))</f>
        <v/>
      </c>
      <c r="X113" s="155"/>
      <c r="Y113" s="499" t="str">
        <f>IF(X113="","",IF(VLOOKUP(X113,'G-7 Rivers Data'!$AD$4:$AE$8,2,FALSE)=0,"Enrcoachment Data Missing ⚠",VLOOKUP(X113,'G-7 Rivers Data'!$AD$4:$AE$8,2,FALSE)))</f>
        <v/>
      </c>
      <c r="Z113" s="154"/>
      <c r="AA113" s="524" t="str">
        <f>IF(Z113="","",VLOOKUP(Z113,'G-7 Rivers Data'!$AO$4:$AP$7,2,FALSE))</f>
        <v/>
      </c>
      <c r="AB113" s="545" t="str">
        <f t="shared" si="12"/>
        <v/>
      </c>
      <c r="AC113" s="149"/>
      <c r="AD113" s="150"/>
      <c r="AK113" s="31" t="str">
        <f>IFERROR(INDEX('G-7 Rivers Data'!$AZ$3:$AZ$7,MATCH(C113,'G-7 Rivers Data'!$AY$3:$AY$7,0)),"")</f>
        <v/>
      </c>
    </row>
    <row r="114" spans="2:37" ht="14" x14ac:dyDescent="0.3">
      <c r="B114" s="141">
        <v>103</v>
      </c>
      <c r="C114" s="666"/>
      <c r="D114" s="172"/>
      <c r="E114" s="498" t="str">
        <f>IF(C114="","",VLOOKUP(C114,'G-7 Rivers Data'!$B$2:$Z$9,2,FALSE))</f>
        <v/>
      </c>
      <c r="F114" s="499" t="str">
        <f>IFERROR(VLOOKUP(E114,'G-7 Rivers Data'!$C$4:$D$8,2,FALSE),"")</f>
        <v/>
      </c>
      <c r="G114" s="145"/>
      <c r="H114" s="499" t="str">
        <f>IFERROR(INDEX('G-7 Rivers Data'!$H$4:$L$8,MATCH(C114,'G-7 Rivers Data'!$B$4:$B$8,0),MATCH(G114,'G-7 Rivers Data'!$H$3:$L$3,0)),"")</f>
        <v/>
      </c>
      <c r="I114" s="145"/>
      <c r="J114" s="540" t="str">
        <f>IF(I114="","",IF(VLOOKUP(I114,'G-7 Rivers Data'!$AG$4:$AI$9,2,FALSE)=0,"Spatial Data Missing ⚠",VLOOKUP(I114,'G-7 Rivers Data'!$AG$4:$AI$9,2,FALSE)))</f>
        <v/>
      </c>
      <c r="K114" s="499" t="str">
        <f>IF(I114="","",IF(VLOOKUP(I114,'G-7 Rivers Data'!$AG$4:$AI$9,3,FALSE)=0,"Spatial Data Missing ⚠",VLOOKUP(I114,'G-7 Rivers Data'!$AG$4:$AI$9,3,FALSE)))</f>
        <v/>
      </c>
      <c r="L114" s="635" t="str">
        <f>IFERROR(INDEX('G-7 Rivers Data'!$O$3:$O$7,MATCH(G114,'G-7 Rivers Data'!$N$3:$N$7,0)),"")</f>
        <v/>
      </c>
      <c r="M114" s="72"/>
      <c r="N114" s="195"/>
      <c r="O114" s="507" t="str">
        <f t="shared" si="7"/>
        <v/>
      </c>
      <c r="P114" s="521" t="str">
        <f t="shared" si="8"/>
        <v/>
      </c>
      <c r="Q114" s="564" t="str">
        <f>IFERROR(IF(P114="Check Data ⚠","Check Data ⚠",VLOOKUP(P114,'G-4 Temporal multipliers'!$A$4:$C$37,3,FALSE)),"")</f>
        <v/>
      </c>
      <c r="R114" s="498" t="str">
        <f>IF(C114="","",VLOOKUP(C114,'G-7 Rivers Data'!$B$4:$G$8,4,FALSE))</f>
        <v/>
      </c>
      <c r="S114" s="507" t="str">
        <f t="shared" si="9"/>
        <v/>
      </c>
      <c r="T114" s="540" t="str">
        <f t="shared" si="10"/>
        <v/>
      </c>
      <c r="U114" s="499" t="str">
        <f t="shared" si="11"/>
        <v/>
      </c>
      <c r="V114" s="71"/>
      <c r="W114" s="499" t="str">
        <f>IF(V114="","",IF(VLOOKUP(V114,'G-7 Rivers Data'!$AA$4:$AB$7,2,FALSE)=0,"Spatial Data Missing ⚠",VLOOKUP(V114,'G-7 Rivers Data'!$AA$4:$AB$7,2,FALSE)))</f>
        <v/>
      </c>
      <c r="X114" s="155"/>
      <c r="Y114" s="499" t="str">
        <f>IF(X114="","",IF(VLOOKUP(X114,'G-7 Rivers Data'!$AD$4:$AE$8,2,FALSE)=0,"Enrcoachment Data Missing ⚠",VLOOKUP(X114,'G-7 Rivers Data'!$AD$4:$AE$8,2,FALSE)))</f>
        <v/>
      </c>
      <c r="Z114" s="154"/>
      <c r="AA114" s="524" t="str">
        <f>IF(Z114="","",VLOOKUP(Z114,'G-7 Rivers Data'!$AO$4:$AP$7,2,FALSE))</f>
        <v/>
      </c>
      <c r="AB114" s="545" t="str">
        <f t="shared" si="12"/>
        <v/>
      </c>
      <c r="AC114" s="149"/>
      <c r="AD114" s="150"/>
      <c r="AK114" s="31" t="str">
        <f>IFERROR(INDEX('G-7 Rivers Data'!$AZ$3:$AZ$7,MATCH(C114,'G-7 Rivers Data'!$AY$3:$AY$7,0)),"")</f>
        <v/>
      </c>
    </row>
    <row r="115" spans="2:37" ht="14" x14ac:dyDescent="0.3">
      <c r="B115" s="141">
        <v>104</v>
      </c>
      <c r="C115" s="666"/>
      <c r="D115" s="172"/>
      <c r="E115" s="498" t="str">
        <f>IF(C115="","",VLOOKUP(C115,'G-7 Rivers Data'!$B$2:$Z$9,2,FALSE))</f>
        <v/>
      </c>
      <c r="F115" s="499" t="str">
        <f>IFERROR(VLOOKUP(E115,'G-7 Rivers Data'!$C$4:$D$8,2,FALSE),"")</f>
        <v/>
      </c>
      <c r="G115" s="145"/>
      <c r="H115" s="499" t="str">
        <f>IFERROR(INDEX('G-7 Rivers Data'!$H$4:$L$8,MATCH(C115,'G-7 Rivers Data'!$B$4:$B$8,0),MATCH(G115,'G-7 Rivers Data'!$H$3:$L$3,0)),"")</f>
        <v/>
      </c>
      <c r="I115" s="145"/>
      <c r="J115" s="540" t="str">
        <f>IF(I115="","",IF(VLOOKUP(I115,'G-7 Rivers Data'!$AG$4:$AI$9,2,FALSE)=0,"Spatial Data Missing ⚠",VLOOKUP(I115,'G-7 Rivers Data'!$AG$4:$AI$9,2,FALSE)))</f>
        <v/>
      </c>
      <c r="K115" s="499" t="str">
        <f>IF(I115="","",IF(VLOOKUP(I115,'G-7 Rivers Data'!$AG$4:$AI$9,3,FALSE)=0,"Spatial Data Missing ⚠",VLOOKUP(I115,'G-7 Rivers Data'!$AG$4:$AI$9,3,FALSE)))</f>
        <v/>
      </c>
      <c r="L115" s="635" t="str">
        <f>IFERROR(INDEX('G-7 Rivers Data'!$O$3:$O$7,MATCH(G115,'G-7 Rivers Data'!$N$3:$N$7,0)),"")</f>
        <v/>
      </c>
      <c r="M115" s="72"/>
      <c r="N115" s="195"/>
      <c r="O115" s="507" t="str">
        <f t="shared" si="7"/>
        <v/>
      </c>
      <c r="P115" s="521" t="str">
        <f t="shared" si="8"/>
        <v/>
      </c>
      <c r="Q115" s="564" t="str">
        <f>IFERROR(IF(P115="Check Data ⚠","Check Data ⚠",VLOOKUP(P115,'G-4 Temporal multipliers'!$A$4:$C$37,3,FALSE)),"")</f>
        <v/>
      </c>
      <c r="R115" s="498" t="str">
        <f>IF(C115="","",VLOOKUP(C115,'G-7 Rivers Data'!$B$4:$G$8,4,FALSE))</f>
        <v/>
      </c>
      <c r="S115" s="507" t="str">
        <f t="shared" si="9"/>
        <v/>
      </c>
      <c r="T115" s="540" t="str">
        <f t="shared" si="10"/>
        <v/>
      </c>
      <c r="U115" s="499" t="str">
        <f t="shared" si="11"/>
        <v/>
      </c>
      <c r="V115" s="71"/>
      <c r="W115" s="499" t="str">
        <f>IF(V115="","",IF(VLOOKUP(V115,'G-7 Rivers Data'!$AA$4:$AB$7,2,FALSE)=0,"Spatial Data Missing ⚠",VLOOKUP(V115,'G-7 Rivers Data'!$AA$4:$AB$7,2,FALSE)))</f>
        <v/>
      </c>
      <c r="X115" s="155"/>
      <c r="Y115" s="499" t="str">
        <f>IF(X115="","",IF(VLOOKUP(X115,'G-7 Rivers Data'!$AD$4:$AE$8,2,FALSE)=0,"Enrcoachment Data Missing ⚠",VLOOKUP(X115,'G-7 Rivers Data'!$AD$4:$AE$8,2,FALSE)))</f>
        <v/>
      </c>
      <c r="Z115" s="154"/>
      <c r="AA115" s="524" t="str">
        <f>IF(Z115="","",VLOOKUP(Z115,'G-7 Rivers Data'!$AO$4:$AP$7,2,FALSE))</f>
        <v/>
      </c>
      <c r="AB115" s="545" t="str">
        <f t="shared" si="12"/>
        <v/>
      </c>
      <c r="AC115" s="149"/>
      <c r="AD115" s="150"/>
      <c r="AK115" s="31" t="str">
        <f>IFERROR(INDEX('G-7 Rivers Data'!$AZ$3:$AZ$7,MATCH(C115,'G-7 Rivers Data'!$AY$3:$AY$7,0)),"")</f>
        <v/>
      </c>
    </row>
    <row r="116" spans="2:37" ht="14" x14ac:dyDescent="0.3">
      <c r="B116" s="141">
        <v>105</v>
      </c>
      <c r="C116" s="666"/>
      <c r="D116" s="172"/>
      <c r="E116" s="498" t="str">
        <f>IF(C116="","",VLOOKUP(C116,'G-7 Rivers Data'!$B$2:$Z$9,2,FALSE))</f>
        <v/>
      </c>
      <c r="F116" s="499" t="str">
        <f>IFERROR(VLOOKUP(E116,'G-7 Rivers Data'!$C$4:$D$8,2,FALSE),"")</f>
        <v/>
      </c>
      <c r="G116" s="145"/>
      <c r="H116" s="499" t="str">
        <f>IFERROR(INDEX('G-7 Rivers Data'!$H$4:$L$8,MATCH(C116,'G-7 Rivers Data'!$B$4:$B$8,0),MATCH(G116,'G-7 Rivers Data'!$H$3:$L$3,0)),"")</f>
        <v/>
      </c>
      <c r="I116" s="145"/>
      <c r="J116" s="540" t="str">
        <f>IF(I116="","",IF(VLOOKUP(I116,'G-7 Rivers Data'!$AG$4:$AI$9,2,FALSE)=0,"Spatial Data Missing ⚠",VLOOKUP(I116,'G-7 Rivers Data'!$AG$4:$AI$9,2,FALSE)))</f>
        <v/>
      </c>
      <c r="K116" s="499" t="str">
        <f>IF(I116="","",IF(VLOOKUP(I116,'G-7 Rivers Data'!$AG$4:$AI$9,3,FALSE)=0,"Spatial Data Missing ⚠",VLOOKUP(I116,'G-7 Rivers Data'!$AG$4:$AI$9,3,FALSE)))</f>
        <v/>
      </c>
      <c r="L116" s="635" t="str">
        <f>IFERROR(INDEX('G-7 Rivers Data'!$O$3:$O$7,MATCH(G116,'G-7 Rivers Data'!$N$3:$N$7,0)),"")</f>
        <v/>
      </c>
      <c r="M116" s="72"/>
      <c r="N116" s="195"/>
      <c r="O116" s="507" t="str">
        <f t="shared" si="7"/>
        <v/>
      </c>
      <c r="P116" s="521" t="str">
        <f t="shared" si="8"/>
        <v/>
      </c>
      <c r="Q116" s="564" t="str">
        <f>IFERROR(IF(P116="Check Data ⚠","Check Data ⚠",VLOOKUP(P116,'G-4 Temporal multipliers'!$A$4:$C$37,3,FALSE)),"")</f>
        <v/>
      </c>
      <c r="R116" s="498" t="str">
        <f>IF(C116="","",VLOOKUP(C116,'G-7 Rivers Data'!$B$4:$G$8,4,FALSE))</f>
        <v/>
      </c>
      <c r="S116" s="507" t="str">
        <f t="shared" si="9"/>
        <v/>
      </c>
      <c r="T116" s="540" t="str">
        <f t="shared" si="10"/>
        <v/>
      </c>
      <c r="U116" s="499" t="str">
        <f t="shared" si="11"/>
        <v/>
      </c>
      <c r="V116" s="71"/>
      <c r="W116" s="499" t="str">
        <f>IF(V116="","",IF(VLOOKUP(V116,'G-7 Rivers Data'!$AA$4:$AB$7,2,FALSE)=0,"Spatial Data Missing ⚠",VLOOKUP(V116,'G-7 Rivers Data'!$AA$4:$AB$7,2,FALSE)))</f>
        <v/>
      </c>
      <c r="X116" s="155"/>
      <c r="Y116" s="499" t="str">
        <f>IF(X116="","",IF(VLOOKUP(X116,'G-7 Rivers Data'!$AD$4:$AE$8,2,FALSE)=0,"Enrcoachment Data Missing ⚠",VLOOKUP(X116,'G-7 Rivers Data'!$AD$4:$AE$8,2,FALSE)))</f>
        <v/>
      </c>
      <c r="Z116" s="154"/>
      <c r="AA116" s="524" t="str">
        <f>IF(Z116="","",VLOOKUP(Z116,'G-7 Rivers Data'!$AO$4:$AP$7,2,FALSE))</f>
        <v/>
      </c>
      <c r="AB116" s="545" t="str">
        <f t="shared" si="12"/>
        <v/>
      </c>
      <c r="AC116" s="149"/>
      <c r="AD116" s="150"/>
      <c r="AK116" s="31" t="str">
        <f>IFERROR(INDEX('G-7 Rivers Data'!$AZ$3:$AZ$7,MATCH(C116,'G-7 Rivers Data'!$AY$3:$AY$7,0)),"")</f>
        <v/>
      </c>
    </row>
    <row r="117" spans="2:37" ht="14" x14ac:dyDescent="0.3">
      <c r="B117" s="141">
        <v>106</v>
      </c>
      <c r="C117" s="666"/>
      <c r="D117" s="172"/>
      <c r="E117" s="498" t="str">
        <f>IF(C117="","",VLOOKUP(C117,'G-7 Rivers Data'!$B$2:$Z$9,2,FALSE))</f>
        <v/>
      </c>
      <c r="F117" s="499" t="str">
        <f>IFERROR(VLOOKUP(E117,'G-7 Rivers Data'!$C$4:$D$8,2,FALSE),"")</f>
        <v/>
      </c>
      <c r="G117" s="145"/>
      <c r="H117" s="499" t="str">
        <f>IFERROR(INDEX('G-7 Rivers Data'!$H$4:$L$8,MATCH(C117,'G-7 Rivers Data'!$B$4:$B$8,0),MATCH(G117,'G-7 Rivers Data'!$H$3:$L$3,0)),"")</f>
        <v/>
      </c>
      <c r="I117" s="145"/>
      <c r="J117" s="540" t="str">
        <f>IF(I117="","",IF(VLOOKUP(I117,'G-7 Rivers Data'!$AG$4:$AI$9,2,FALSE)=0,"Spatial Data Missing ⚠",VLOOKUP(I117,'G-7 Rivers Data'!$AG$4:$AI$9,2,FALSE)))</f>
        <v/>
      </c>
      <c r="K117" s="499" t="str">
        <f>IF(I117="","",IF(VLOOKUP(I117,'G-7 Rivers Data'!$AG$4:$AI$9,3,FALSE)=0,"Spatial Data Missing ⚠",VLOOKUP(I117,'G-7 Rivers Data'!$AG$4:$AI$9,3,FALSE)))</f>
        <v/>
      </c>
      <c r="L117" s="635" t="str">
        <f>IFERROR(INDEX('G-7 Rivers Data'!$O$3:$O$7,MATCH(G117,'G-7 Rivers Data'!$N$3:$N$7,0)),"")</f>
        <v/>
      </c>
      <c r="M117" s="72"/>
      <c r="N117" s="195"/>
      <c r="O117" s="507" t="str">
        <f t="shared" si="7"/>
        <v/>
      </c>
      <c r="P117" s="521" t="str">
        <f t="shared" si="8"/>
        <v/>
      </c>
      <c r="Q117" s="564" t="str">
        <f>IFERROR(IF(P117="Check Data ⚠","Check Data ⚠",VLOOKUP(P117,'G-4 Temporal multipliers'!$A$4:$C$37,3,FALSE)),"")</f>
        <v/>
      </c>
      <c r="R117" s="498" t="str">
        <f>IF(C117="","",VLOOKUP(C117,'G-7 Rivers Data'!$B$4:$G$8,4,FALSE))</f>
        <v/>
      </c>
      <c r="S117" s="507" t="str">
        <f t="shared" si="9"/>
        <v/>
      </c>
      <c r="T117" s="540" t="str">
        <f t="shared" si="10"/>
        <v/>
      </c>
      <c r="U117" s="499" t="str">
        <f t="shared" si="11"/>
        <v/>
      </c>
      <c r="V117" s="71"/>
      <c r="W117" s="499" t="str">
        <f>IF(V117="","",IF(VLOOKUP(V117,'G-7 Rivers Data'!$AA$4:$AB$7,2,FALSE)=0,"Spatial Data Missing ⚠",VLOOKUP(V117,'G-7 Rivers Data'!$AA$4:$AB$7,2,FALSE)))</f>
        <v/>
      </c>
      <c r="X117" s="155"/>
      <c r="Y117" s="499" t="str">
        <f>IF(X117="","",IF(VLOOKUP(X117,'G-7 Rivers Data'!$AD$4:$AE$8,2,FALSE)=0,"Enrcoachment Data Missing ⚠",VLOOKUP(X117,'G-7 Rivers Data'!$AD$4:$AE$8,2,FALSE)))</f>
        <v/>
      </c>
      <c r="Z117" s="154"/>
      <c r="AA117" s="524" t="str">
        <f>IF(Z117="","",VLOOKUP(Z117,'G-7 Rivers Data'!$AO$4:$AP$7,2,FALSE))</f>
        <v/>
      </c>
      <c r="AB117" s="545" t="str">
        <f t="shared" si="12"/>
        <v/>
      </c>
      <c r="AC117" s="149"/>
      <c r="AD117" s="150"/>
      <c r="AK117" s="31" t="str">
        <f>IFERROR(INDEX('G-7 Rivers Data'!$AZ$3:$AZ$7,MATCH(C117,'G-7 Rivers Data'!$AY$3:$AY$7,0)),"")</f>
        <v/>
      </c>
    </row>
    <row r="118" spans="2:37" ht="14" x14ac:dyDescent="0.3">
      <c r="B118" s="141">
        <v>107</v>
      </c>
      <c r="C118" s="666"/>
      <c r="D118" s="172"/>
      <c r="E118" s="498" t="str">
        <f>IF(C118="","",VLOOKUP(C118,'G-7 Rivers Data'!$B$2:$Z$9,2,FALSE))</f>
        <v/>
      </c>
      <c r="F118" s="499" t="str">
        <f>IFERROR(VLOOKUP(E118,'G-7 Rivers Data'!$C$4:$D$8,2,FALSE),"")</f>
        <v/>
      </c>
      <c r="G118" s="145"/>
      <c r="H118" s="499" t="str">
        <f>IFERROR(INDEX('G-7 Rivers Data'!$H$4:$L$8,MATCH(C118,'G-7 Rivers Data'!$B$4:$B$8,0),MATCH(G118,'G-7 Rivers Data'!$H$3:$L$3,0)),"")</f>
        <v/>
      </c>
      <c r="I118" s="145"/>
      <c r="J118" s="540" t="str">
        <f>IF(I118="","",IF(VLOOKUP(I118,'G-7 Rivers Data'!$AG$4:$AI$9,2,FALSE)=0,"Spatial Data Missing ⚠",VLOOKUP(I118,'G-7 Rivers Data'!$AG$4:$AI$9,2,FALSE)))</f>
        <v/>
      </c>
      <c r="K118" s="499" t="str">
        <f>IF(I118="","",IF(VLOOKUP(I118,'G-7 Rivers Data'!$AG$4:$AI$9,3,FALSE)=0,"Spatial Data Missing ⚠",VLOOKUP(I118,'G-7 Rivers Data'!$AG$4:$AI$9,3,FALSE)))</f>
        <v/>
      </c>
      <c r="L118" s="635" t="str">
        <f>IFERROR(INDEX('G-7 Rivers Data'!$O$3:$O$7,MATCH(G118,'G-7 Rivers Data'!$N$3:$N$7,0)),"")</f>
        <v/>
      </c>
      <c r="M118" s="72"/>
      <c r="N118" s="195"/>
      <c r="O118" s="507" t="str">
        <f t="shared" si="7"/>
        <v/>
      </c>
      <c r="P118" s="521" t="str">
        <f t="shared" si="8"/>
        <v/>
      </c>
      <c r="Q118" s="564" t="str">
        <f>IFERROR(IF(P118="Check Data ⚠","Check Data ⚠",VLOOKUP(P118,'G-4 Temporal multipliers'!$A$4:$C$37,3,FALSE)),"")</f>
        <v/>
      </c>
      <c r="R118" s="498" t="str">
        <f>IF(C118="","",VLOOKUP(C118,'G-7 Rivers Data'!$B$4:$G$8,4,FALSE))</f>
        <v/>
      </c>
      <c r="S118" s="507" t="str">
        <f t="shared" si="9"/>
        <v/>
      </c>
      <c r="T118" s="540" t="str">
        <f t="shared" si="10"/>
        <v/>
      </c>
      <c r="U118" s="499" t="str">
        <f t="shared" si="11"/>
        <v/>
      </c>
      <c r="V118" s="71"/>
      <c r="W118" s="499" t="str">
        <f>IF(V118="","",IF(VLOOKUP(V118,'G-7 Rivers Data'!$AA$4:$AB$7,2,FALSE)=0,"Spatial Data Missing ⚠",VLOOKUP(V118,'G-7 Rivers Data'!$AA$4:$AB$7,2,FALSE)))</f>
        <v/>
      </c>
      <c r="X118" s="155"/>
      <c r="Y118" s="499" t="str">
        <f>IF(X118="","",IF(VLOOKUP(X118,'G-7 Rivers Data'!$AD$4:$AE$8,2,FALSE)=0,"Enrcoachment Data Missing ⚠",VLOOKUP(X118,'G-7 Rivers Data'!$AD$4:$AE$8,2,FALSE)))</f>
        <v/>
      </c>
      <c r="Z118" s="154"/>
      <c r="AA118" s="524" t="str">
        <f>IF(Z118="","",VLOOKUP(Z118,'G-7 Rivers Data'!$AO$4:$AP$7,2,FALSE))</f>
        <v/>
      </c>
      <c r="AB118" s="545" t="str">
        <f t="shared" si="12"/>
        <v/>
      </c>
      <c r="AC118" s="149"/>
      <c r="AD118" s="150"/>
      <c r="AK118" s="31" t="str">
        <f>IFERROR(INDEX('G-7 Rivers Data'!$AZ$3:$AZ$7,MATCH(C118,'G-7 Rivers Data'!$AY$3:$AY$7,0)),"")</f>
        <v/>
      </c>
    </row>
    <row r="119" spans="2:37" ht="14" x14ac:dyDescent="0.3">
      <c r="B119" s="141">
        <v>108</v>
      </c>
      <c r="C119" s="666"/>
      <c r="D119" s="172"/>
      <c r="E119" s="498" t="str">
        <f>IF(C119="","",VLOOKUP(C119,'G-7 Rivers Data'!$B$2:$Z$9,2,FALSE))</f>
        <v/>
      </c>
      <c r="F119" s="499" t="str">
        <f>IFERROR(VLOOKUP(E119,'G-7 Rivers Data'!$C$4:$D$8,2,FALSE),"")</f>
        <v/>
      </c>
      <c r="G119" s="145"/>
      <c r="H119" s="499" t="str">
        <f>IFERROR(INDEX('G-7 Rivers Data'!$H$4:$L$8,MATCH(C119,'G-7 Rivers Data'!$B$4:$B$8,0),MATCH(G119,'G-7 Rivers Data'!$H$3:$L$3,0)),"")</f>
        <v/>
      </c>
      <c r="I119" s="145"/>
      <c r="J119" s="540" t="str">
        <f>IF(I119="","",IF(VLOOKUP(I119,'G-7 Rivers Data'!$AG$4:$AI$9,2,FALSE)=0,"Spatial Data Missing ⚠",VLOOKUP(I119,'G-7 Rivers Data'!$AG$4:$AI$9,2,FALSE)))</f>
        <v/>
      </c>
      <c r="K119" s="499" t="str">
        <f>IF(I119="","",IF(VLOOKUP(I119,'G-7 Rivers Data'!$AG$4:$AI$9,3,FALSE)=0,"Spatial Data Missing ⚠",VLOOKUP(I119,'G-7 Rivers Data'!$AG$4:$AI$9,3,FALSE)))</f>
        <v/>
      </c>
      <c r="L119" s="635" t="str">
        <f>IFERROR(INDEX('G-7 Rivers Data'!$O$3:$O$7,MATCH(G119,'G-7 Rivers Data'!$N$3:$N$7,0)),"")</f>
        <v/>
      </c>
      <c r="M119" s="72"/>
      <c r="N119" s="195"/>
      <c r="O119" s="507" t="str">
        <f t="shared" si="7"/>
        <v/>
      </c>
      <c r="P119" s="521" t="str">
        <f t="shared" si="8"/>
        <v/>
      </c>
      <c r="Q119" s="564" t="str">
        <f>IFERROR(IF(P119="Check Data ⚠","Check Data ⚠",VLOOKUP(P119,'G-4 Temporal multipliers'!$A$4:$C$37,3,FALSE)),"")</f>
        <v/>
      </c>
      <c r="R119" s="498" t="str">
        <f>IF(C119="","",VLOOKUP(C119,'G-7 Rivers Data'!$B$4:$G$8,4,FALSE))</f>
        <v/>
      </c>
      <c r="S119" s="507" t="str">
        <f t="shared" si="9"/>
        <v/>
      </c>
      <c r="T119" s="540" t="str">
        <f t="shared" si="10"/>
        <v/>
      </c>
      <c r="U119" s="499" t="str">
        <f t="shared" si="11"/>
        <v/>
      </c>
      <c r="V119" s="71"/>
      <c r="W119" s="499" t="str">
        <f>IF(V119="","",IF(VLOOKUP(V119,'G-7 Rivers Data'!$AA$4:$AB$7,2,FALSE)=0,"Spatial Data Missing ⚠",VLOOKUP(V119,'G-7 Rivers Data'!$AA$4:$AB$7,2,FALSE)))</f>
        <v/>
      </c>
      <c r="X119" s="155"/>
      <c r="Y119" s="499" t="str">
        <f>IF(X119="","",IF(VLOOKUP(X119,'G-7 Rivers Data'!$AD$4:$AE$8,2,FALSE)=0,"Enrcoachment Data Missing ⚠",VLOOKUP(X119,'G-7 Rivers Data'!$AD$4:$AE$8,2,FALSE)))</f>
        <v/>
      </c>
      <c r="Z119" s="154"/>
      <c r="AA119" s="524" t="str">
        <f>IF(Z119="","",VLOOKUP(Z119,'G-7 Rivers Data'!$AO$4:$AP$7,2,FALSE))</f>
        <v/>
      </c>
      <c r="AB119" s="545" t="str">
        <f t="shared" si="12"/>
        <v/>
      </c>
      <c r="AC119" s="149"/>
      <c r="AD119" s="150"/>
      <c r="AK119" s="31" t="str">
        <f>IFERROR(INDEX('G-7 Rivers Data'!$AZ$3:$AZ$7,MATCH(C119,'G-7 Rivers Data'!$AY$3:$AY$7,0)),"")</f>
        <v/>
      </c>
    </row>
    <row r="120" spans="2:37" ht="14" x14ac:dyDescent="0.3">
      <c r="B120" s="141">
        <v>109</v>
      </c>
      <c r="C120" s="666"/>
      <c r="D120" s="172"/>
      <c r="E120" s="498" t="str">
        <f>IF(C120="","",VLOOKUP(C120,'G-7 Rivers Data'!$B$2:$Z$9,2,FALSE))</f>
        <v/>
      </c>
      <c r="F120" s="499" t="str">
        <f>IFERROR(VLOOKUP(E120,'G-7 Rivers Data'!$C$4:$D$8,2,FALSE),"")</f>
        <v/>
      </c>
      <c r="G120" s="145"/>
      <c r="H120" s="499" t="str">
        <f>IFERROR(INDEX('G-7 Rivers Data'!$H$4:$L$8,MATCH(C120,'G-7 Rivers Data'!$B$4:$B$8,0),MATCH(G120,'G-7 Rivers Data'!$H$3:$L$3,0)),"")</f>
        <v/>
      </c>
      <c r="I120" s="145"/>
      <c r="J120" s="540" t="str">
        <f>IF(I120="","",IF(VLOOKUP(I120,'G-7 Rivers Data'!$AG$4:$AI$9,2,FALSE)=0,"Spatial Data Missing ⚠",VLOOKUP(I120,'G-7 Rivers Data'!$AG$4:$AI$9,2,FALSE)))</f>
        <v/>
      </c>
      <c r="K120" s="499" t="str">
        <f>IF(I120="","",IF(VLOOKUP(I120,'G-7 Rivers Data'!$AG$4:$AI$9,3,FALSE)=0,"Spatial Data Missing ⚠",VLOOKUP(I120,'G-7 Rivers Data'!$AG$4:$AI$9,3,FALSE)))</f>
        <v/>
      </c>
      <c r="L120" s="635" t="str">
        <f>IFERROR(INDEX('G-7 Rivers Data'!$O$3:$O$7,MATCH(G120,'G-7 Rivers Data'!$N$3:$N$7,0)),"")</f>
        <v/>
      </c>
      <c r="M120" s="72"/>
      <c r="N120" s="195"/>
      <c r="O120" s="507" t="str">
        <f t="shared" si="7"/>
        <v/>
      </c>
      <c r="P120" s="521" t="str">
        <f t="shared" si="8"/>
        <v/>
      </c>
      <c r="Q120" s="564" t="str">
        <f>IFERROR(IF(P120="Check Data ⚠","Check Data ⚠",VLOOKUP(P120,'G-4 Temporal multipliers'!$A$4:$C$37,3,FALSE)),"")</f>
        <v/>
      </c>
      <c r="R120" s="498" t="str">
        <f>IF(C120="","",VLOOKUP(C120,'G-7 Rivers Data'!$B$4:$G$8,4,FALSE))</f>
        <v/>
      </c>
      <c r="S120" s="507" t="str">
        <f t="shared" si="9"/>
        <v/>
      </c>
      <c r="T120" s="540" t="str">
        <f t="shared" si="10"/>
        <v/>
      </c>
      <c r="U120" s="499" t="str">
        <f t="shared" si="11"/>
        <v/>
      </c>
      <c r="V120" s="71"/>
      <c r="W120" s="499" t="str">
        <f>IF(V120="","",IF(VLOOKUP(V120,'G-7 Rivers Data'!$AA$4:$AB$7,2,FALSE)=0,"Spatial Data Missing ⚠",VLOOKUP(V120,'G-7 Rivers Data'!$AA$4:$AB$7,2,FALSE)))</f>
        <v/>
      </c>
      <c r="X120" s="155"/>
      <c r="Y120" s="499" t="str">
        <f>IF(X120="","",IF(VLOOKUP(X120,'G-7 Rivers Data'!$AD$4:$AE$8,2,FALSE)=0,"Enrcoachment Data Missing ⚠",VLOOKUP(X120,'G-7 Rivers Data'!$AD$4:$AE$8,2,FALSE)))</f>
        <v/>
      </c>
      <c r="Z120" s="154"/>
      <c r="AA120" s="524" t="str">
        <f>IF(Z120="","",VLOOKUP(Z120,'G-7 Rivers Data'!$AO$4:$AP$7,2,FALSE))</f>
        <v/>
      </c>
      <c r="AB120" s="545" t="str">
        <f t="shared" si="12"/>
        <v/>
      </c>
      <c r="AC120" s="149"/>
      <c r="AD120" s="150"/>
      <c r="AK120" s="31" t="str">
        <f>IFERROR(INDEX('G-7 Rivers Data'!$AZ$3:$AZ$7,MATCH(C120,'G-7 Rivers Data'!$AY$3:$AY$7,0)),"")</f>
        <v/>
      </c>
    </row>
    <row r="121" spans="2:37" ht="14" x14ac:dyDescent="0.3">
      <c r="B121" s="141">
        <v>110</v>
      </c>
      <c r="C121" s="666"/>
      <c r="D121" s="172"/>
      <c r="E121" s="498" t="str">
        <f>IF(C121="","",VLOOKUP(C121,'G-7 Rivers Data'!$B$2:$Z$9,2,FALSE))</f>
        <v/>
      </c>
      <c r="F121" s="499" t="str">
        <f>IFERROR(VLOOKUP(E121,'G-7 Rivers Data'!$C$4:$D$8,2,FALSE),"")</f>
        <v/>
      </c>
      <c r="G121" s="145"/>
      <c r="H121" s="499" t="str">
        <f>IFERROR(INDEX('G-7 Rivers Data'!$H$4:$L$8,MATCH(C121,'G-7 Rivers Data'!$B$4:$B$8,0),MATCH(G121,'G-7 Rivers Data'!$H$3:$L$3,0)),"")</f>
        <v/>
      </c>
      <c r="I121" s="145"/>
      <c r="J121" s="540" t="str">
        <f>IF(I121="","",IF(VLOOKUP(I121,'G-7 Rivers Data'!$AG$4:$AI$9,2,FALSE)=0,"Spatial Data Missing ⚠",VLOOKUP(I121,'G-7 Rivers Data'!$AG$4:$AI$9,2,FALSE)))</f>
        <v/>
      </c>
      <c r="K121" s="499" t="str">
        <f>IF(I121="","",IF(VLOOKUP(I121,'G-7 Rivers Data'!$AG$4:$AI$9,3,FALSE)=0,"Spatial Data Missing ⚠",VLOOKUP(I121,'G-7 Rivers Data'!$AG$4:$AI$9,3,FALSE)))</f>
        <v/>
      </c>
      <c r="L121" s="635" t="str">
        <f>IFERROR(INDEX('G-7 Rivers Data'!$O$3:$O$7,MATCH(G121,'G-7 Rivers Data'!$N$3:$N$7,0)),"")</f>
        <v/>
      </c>
      <c r="M121" s="72"/>
      <c r="N121" s="195"/>
      <c r="O121" s="507" t="str">
        <f t="shared" si="7"/>
        <v/>
      </c>
      <c r="P121" s="521" t="str">
        <f t="shared" si="8"/>
        <v/>
      </c>
      <c r="Q121" s="564" t="str">
        <f>IFERROR(IF(P121="Check Data ⚠","Check Data ⚠",VLOOKUP(P121,'G-4 Temporal multipliers'!$A$4:$C$37,3,FALSE)),"")</f>
        <v/>
      </c>
      <c r="R121" s="498" t="str">
        <f>IF(C121="","",VLOOKUP(C121,'G-7 Rivers Data'!$B$4:$G$8,4,FALSE))</f>
        <v/>
      </c>
      <c r="S121" s="507" t="str">
        <f t="shared" si="9"/>
        <v/>
      </c>
      <c r="T121" s="540" t="str">
        <f t="shared" si="10"/>
        <v/>
      </c>
      <c r="U121" s="499" t="str">
        <f t="shared" si="11"/>
        <v/>
      </c>
      <c r="V121" s="71"/>
      <c r="W121" s="499" t="str">
        <f>IF(V121="","",IF(VLOOKUP(V121,'G-7 Rivers Data'!$AA$4:$AB$7,2,FALSE)=0,"Spatial Data Missing ⚠",VLOOKUP(V121,'G-7 Rivers Data'!$AA$4:$AB$7,2,FALSE)))</f>
        <v/>
      </c>
      <c r="X121" s="155"/>
      <c r="Y121" s="499" t="str">
        <f>IF(X121="","",IF(VLOOKUP(X121,'G-7 Rivers Data'!$AD$4:$AE$8,2,FALSE)=0,"Enrcoachment Data Missing ⚠",VLOOKUP(X121,'G-7 Rivers Data'!$AD$4:$AE$8,2,FALSE)))</f>
        <v/>
      </c>
      <c r="Z121" s="154"/>
      <c r="AA121" s="524" t="str">
        <f>IF(Z121="","",VLOOKUP(Z121,'G-7 Rivers Data'!$AO$4:$AP$7,2,FALSE))</f>
        <v/>
      </c>
      <c r="AB121" s="545" t="str">
        <f t="shared" si="12"/>
        <v/>
      </c>
      <c r="AC121" s="149"/>
      <c r="AD121" s="150"/>
      <c r="AK121" s="31" t="str">
        <f>IFERROR(INDEX('G-7 Rivers Data'!$AZ$3:$AZ$7,MATCH(C121,'G-7 Rivers Data'!$AY$3:$AY$7,0)),"")</f>
        <v/>
      </c>
    </row>
    <row r="122" spans="2:37" ht="14" x14ac:dyDescent="0.3">
      <c r="B122" s="141">
        <v>111</v>
      </c>
      <c r="C122" s="666"/>
      <c r="D122" s="172"/>
      <c r="E122" s="498" t="str">
        <f>IF(C122="","",VLOOKUP(C122,'G-7 Rivers Data'!$B$2:$Z$9,2,FALSE))</f>
        <v/>
      </c>
      <c r="F122" s="499" t="str">
        <f>IFERROR(VLOOKUP(E122,'G-7 Rivers Data'!$C$4:$D$8,2,FALSE),"")</f>
        <v/>
      </c>
      <c r="G122" s="145"/>
      <c r="H122" s="499" t="str">
        <f>IFERROR(INDEX('G-7 Rivers Data'!$H$4:$L$8,MATCH(C122,'G-7 Rivers Data'!$B$4:$B$8,0),MATCH(G122,'G-7 Rivers Data'!$H$3:$L$3,0)),"")</f>
        <v/>
      </c>
      <c r="I122" s="145"/>
      <c r="J122" s="540" t="str">
        <f>IF(I122="","",IF(VLOOKUP(I122,'G-7 Rivers Data'!$AG$4:$AI$9,2,FALSE)=0,"Spatial Data Missing ⚠",VLOOKUP(I122,'G-7 Rivers Data'!$AG$4:$AI$9,2,FALSE)))</f>
        <v/>
      </c>
      <c r="K122" s="499" t="str">
        <f>IF(I122="","",IF(VLOOKUP(I122,'G-7 Rivers Data'!$AG$4:$AI$9,3,FALSE)=0,"Spatial Data Missing ⚠",VLOOKUP(I122,'G-7 Rivers Data'!$AG$4:$AI$9,3,FALSE)))</f>
        <v/>
      </c>
      <c r="L122" s="635" t="str">
        <f>IFERROR(INDEX('G-7 Rivers Data'!$O$3:$O$7,MATCH(G122,'G-7 Rivers Data'!$N$3:$N$7,0)),"")</f>
        <v/>
      </c>
      <c r="M122" s="72"/>
      <c r="N122" s="195"/>
      <c r="O122" s="507" t="str">
        <f t="shared" si="7"/>
        <v/>
      </c>
      <c r="P122" s="521" t="str">
        <f t="shared" si="8"/>
        <v/>
      </c>
      <c r="Q122" s="564" t="str">
        <f>IFERROR(IF(P122="Check Data ⚠","Check Data ⚠",VLOOKUP(P122,'G-4 Temporal multipliers'!$A$4:$C$37,3,FALSE)),"")</f>
        <v/>
      </c>
      <c r="R122" s="498" t="str">
        <f>IF(C122="","",VLOOKUP(C122,'G-7 Rivers Data'!$B$4:$G$8,4,FALSE))</f>
        <v/>
      </c>
      <c r="S122" s="507" t="str">
        <f t="shared" si="9"/>
        <v/>
      </c>
      <c r="T122" s="540" t="str">
        <f t="shared" si="10"/>
        <v/>
      </c>
      <c r="U122" s="499" t="str">
        <f t="shared" si="11"/>
        <v/>
      </c>
      <c r="V122" s="71"/>
      <c r="W122" s="499" t="str">
        <f>IF(V122="","",IF(VLOOKUP(V122,'G-7 Rivers Data'!$AA$4:$AB$7,2,FALSE)=0,"Spatial Data Missing ⚠",VLOOKUP(V122,'G-7 Rivers Data'!$AA$4:$AB$7,2,FALSE)))</f>
        <v/>
      </c>
      <c r="X122" s="155"/>
      <c r="Y122" s="499" t="str">
        <f>IF(X122="","",IF(VLOOKUP(X122,'G-7 Rivers Data'!$AD$4:$AE$8,2,FALSE)=0,"Enrcoachment Data Missing ⚠",VLOOKUP(X122,'G-7 Rivers Data'!$AD$4:$AE$8,2,FALSE)))</f>
        <v/>
      </c>
      <c r="Z122" s="154"/>
      <c r="AA122" s="524" t="str">
        <f>IF(Z122="","",VLOOKUP(Z122,'G-7 Rivers Data'!$AO$4:$AP$7,2,FALSE))</f>
        <v/>
      </c>
      <c r="AB122" s="545" t="str">
        <f t="shared" si="12"/>
        <v/>
      </c>
      <c r="AC122" s="149"/>
      <c r="AD122" s="150"/>
      <c r="AK122" s="31" t="str">
        <f>IFERROR(INDEX('G-7 Rivers Data'!$AZ$3:$AZ$7,MATCH(C122,'G-7 Rivers Data'!$AY$3:$AY$7,0)),"")</f>
        <v/>
      </c>
    </row>
    <row r="123" spans="2:37" ht="14" x14ac:dyDescent="0.3">
      <c r="B123" s="141">
        <v>112</v>
      </c>
      <c r="C123" s="666"/>
      <c r="D123" s="172"/>
      <c r="E123" s="498" t="str">
        <f>IF(C123="","",VLOOKUP(C123,'G-7 Rivers Data'!$B$2:$Z$9,2,FALSE))</f>
        <v/>
      </c>
      <c r="F123" s="499" t="str">
        <f>IFERROR(VLOOKUP(E123,'G-7 Rivers Data'!$C$4:$D$8,2,FALSE),"")</f>
        <v/>
      </c>
      <c r="G123" s="145"/>
      <c r="H123" s="499" t="str">
        <f>IFERROR(INDEX('G-7 Rivers Data'!$H$4:$L$8,MATCH(C123,'G-7 Rivers Data'!$B$4:$B$8,0),MATCH(G123,'G-7 Rivers Data'!$H$3:$L$3,0)),"")</f>
        <v/>
      </c>
      <c r="I123" s="145"/>
      <c r="J123" s="540" t="str">
        <f>IF(I123="","",IF(VLOOKUP(I123,'G-7 Rivers Data'!$AG$4:$AI$9,2,FALSE)=0,"Spatial Data Missing ⚠",VLOOKUP(I123,'G-7 Rivers Data'!$AG$4:$AI$9,2,FALSE)))</f>
        <v/>
      </c>
      <c r="K123" s="499" t="str">
        <f>IF(I123="","",IF(VLOOKUP(I123,'G-7 Rivers Data'!$AG$4:$AI$9,3,FALSE)=0,"Spatial Data Missing ⚠",VLOOKUP(I123,'G-7 Rivers Data'!$AG$4:$AI$9,3,FALSE)))</f>
        <v/>
      </c>
      <c r="L123" s="635" t="str">
        <f>IFERROR(INDEX('G-7 Rivers Data'!$O$3:$O$7,MATCH(G123,'G-7 Rivers Data'!$N$3:$N$7,0)),"")</f>
        <v/>
      </c>
      <c r="M123" s="72"/>
      <c r="N123" s="195"/>
      <c r="O123" s="507" t="str">
        <f t="shared" si="7"/>
        <v/>
      </c>
      <c r="P123" s="521" t="str">
        <f t="shared" si="8"/>
        <v/>
      </c>
      <c r="Q123" s="564" t="str">
        <f>IFERROR(IF(P123="Check Data ⚠","Check Data ⚠",VLOOKUP(P123,'G-4 Temporal multipliers'!$A$4:$C$37,3,FALSE)),"")</f>
        <v/>
      </c>
      <c r="R123" s="498" t="str">
        <f>IF(C123="","",VLOOKUP(C123,'G-7 Rivers Data'!$B$4:$G$8,4,FALSE))</f>
        <v/>
      </c>
      <c r="S123" s="507" t="str">
        <f t="shared" si="9"/>
        <v/>
      </c>
      <c r="T123" s="540" t="str">
        <f t="shared" si="10"/>
        <v/>
      </c>
      <c r="U123" s="499" t="str">
        <f t="shared" si="11"/>
        <v/>
      </c>
      <c r="V123" s="71"/>
      <c r="W123" s="499" t="str">
        <f>IF(V123="","",IF(VLOOKUP(V123,'G-7 Rivers Data'!$AA$4:$AB$7,2,FALSE)=0,"Spatial Data Missing ⚠",VLOOKUP(V123,'G-7 Rivers Data'!$AA$4:$AB$7,2,FALSE)))</f>
        <v/>
      </c>
      <c r="X123" s="155"/>
      <c r="Y123" s="499" t="str">
        <f>IF(X123="","",IF(VLOOKUP(X123,'G-7 Rivers Data'!$AD$4:$AE$8,2,FALSE)=0,"Enrcoachment Data Missing ⚠",VLOOKUP(X123,'G-7 Rivers Data'!$AD$4:$AE$8,2,FALSE)))</f>
        <v/>
      </c>
      <c r="Z123" s="154"/>
      <c r="AA123" s="524" t="str">
        <f>IF(Z123="","",VLOOKUP(Z123,'G-7 Rivers Data'!$AO$4:$AP$7,2,FALSE))</f>
        <v/>
      </c>
      <c r="AB123" s="545" t="str">
        <f t="shared" si="12"/>
        <v/>
      </c>
      <c r="AC123" s="149"/>
      <c r="AD123" s="150"/>
      <c r="AK123" s="31" t="str">
        <f>IFERROR(INDEX('G-7 Rivers Data'!$AZ$3:$AZ$7,MATCH(C123,'G-7 Rivers Data'!$AY$3:$AY$7,0)),"")</f>
        <v/>
      </c>
    </row>
    <row r="124" spans="2:37" ht="14" x14ac:dyDescent="0.3">
      <c r="B124" s="141">
        <v>113</v>
      </c>
      <c r="C124" s="666"/>
      <c r="D124" s="172"/>
      <c r="E124" s="498" t="str">
        <f>IF(C124="","",VLOOKUP(C124,'G-7 Rivers Data'!$B$2:$Z$9,2,FALSE))</f>
        <v/>
      </c>
      <c r="F124" s="499" t="str">
        <f>IFERROR(VLOOKUP(E124,'G-7 Rivers Data'!$C$4:$D$8,2,FALSE),"")</f>
        <v/>
      </c>
      <c r="G124" s="145"/>
      <c r="H124" s="499" t="str">
        <f>IFERROR(INDEX('G-7 Rivers Data'!$H$4:$L$8,MATCH(C124,'G-7 Rivers Data'!$B$4:$B$8,0),MATCH(G124,'G-7 Rivers Data'!$H$3:$L$3,0)),"")</f>
        <v/>
      </c>
      <c r="I124" s="145"/>
      <c r="J124" s="540" t="str">
        <f>IF(I124="","",IF(VLOOKUP(I124,'G-7 Rivers Data'!$AG$4:$AI$9,2,FALSE)=0,"Spatial Data Missing ⚠",VLOOKUP(I124,'G-7 Rivers Data'!$AG$4:$AI$9,2,FALSE)))</f>
        <v/>
      </c>
      <c r="K124" s="499" t="str">
        <f>IF(I124="","",IF(VLOOKUP(I124,'G-7 Rivers Data'!$AG$4:$AI$9,3,FALSE)=0,"Spatial Data Missing ⚠",VLOOKUP(I124,'G-7 Rivers Data'!$AG$4:$AI$9,3,FALSE)))</f>
        <v/>
      </c>
      <c r="L124" s="635" t="str">
        <f>IFERROR(INDEX('G-7 Rivers Data'!$O$3:$O$7,MATCH(G124,'G-7 Rivers Data'!$N$3:$N$7,0)),"")</f>
        <v/>
      </c>
      <c r="M124" s="72"/>
      <c r="N124" s="195"/>
      <c r="O124" s="507" t="str">
        <f t="shared" si="7"/>
        <v/>
      </c>
      <c r="P124" s="521" t="str">
        <f t="shared" si="8"/>
        <v/>
      </c>
      <c r="Q124" s="564" t="str">
        <f>IFERROR(IF(P124="Check Data ⚠","Check Data ⚠",VLOOKUP(P124,'G-4 Temporal multipliers'!$A$4:$C$37,3,FALSE)),"")</f>
        <v/>
      </c>
      <c r="R124" s="498" t="str">
        <f>IF(C124="","",VLOOKUP(C124,'G-7 Rivers Data'!$B$4:$G$8,4,FALSE))</f>
        <v/>
      </c>
      <c r="S124" s="507" t="str">
        <f t="shared" si="9"/>
        <v/>
      </c>
      <c r="T124" s="540" t="str">
        <f t="shared" si="10"/>
        <v/>
      </c>
      <c r="U124" s="499" t="str">
        <f t="shared" si="11"/>
        <v/>
      </c>
      <c r="V124" s="71"/>
      <c r="W124" s="499" t="str">
        <f>IF(V124="","",IF(VLOOKUP(V124,'G-7 Rivers Data'!$AA$4:$AB$7,2,FALSE)=0,"Spatial Data Missing ⚠",VLOOKUP(V124,'G-7 Rivers Data'!$AA$4:$AB$7,2,FALSE)))</f>
        <v/>
      </c>
      <c r="X124" s="155"/>
      <c r="Y124" s="499" t="str">
        <f>IF(X124="","",IF(VLOOKUP(X124,'G-7 Rivers Data'!$AD$4:$AE$8,2,FALSE)=0,"Enrcoachment Data Missing ⚠",VLOOKUP(X124,'G-7 Rivers Data'!$AD$4:$AE$8,2,FALSE)))</f>
        <v/>
      </c>
      <c r="Z124" s="154"/>
      <c r="AA124" s="524" t="str">
        <f>IF(Z124="","",VLOOKUP(Z124,'G-7 Rivers Data'!$AO$4:$AP$7,2,FALSE))</f>
        <v/>
      </c>
      <c r="AB124" s="545" t="str">
        <f t="shared" si="12"/>
        <v/>
      </c>
      <c r="AC124" s="149"/>
      <c r="AD124" s="150"/>
      <c r="AK124" s="31" t="str">
        <f>IFERROR(INDEX('G-7 Rivers Data'!$AZ$3:$AZ$7,MATCH(C124,'G-7 Rivers Data'!$AY$3:$AY$7,0)),"")</f>
        <v/>
      </c>
    </row>
    <row r="125" spans="2:37" ht="14" x14ac:dyDescent="0.3">
      <c r="B125" s="141">
        <v>114</v>
      </c>
      <c r="C125" s="666"/>
      <c r="D125" s="172"/>
      <c r="E125" s="498" t="str">
        <f>IF(C125="","",VLOOKUP(C125,'G-7 Rivers Data'!$B$2:$Z$9,2,FALSE))</f>
        <v/>
      </c>
      <c r="F125" s="499" t="str">
        <f>IFERROR(VLOOKUP(E125,'G-7 Rivers Data'!$C$4:$D$8,2,FALSE),"")</f>
        <v/>
      </c>
      <c r="G125" s="145"/>
      <c r="H125" s="499" t="str">
        <f>IFERROR(INDEX('G-7 Rivers Data'!$H$4:$L$8,MATCH(C125,'G-7 Rivers Data'!$B$4:$B$8,0),MATCH(G125,'G-7 Rivers Data'!$H$3:$L$3,0)),"")</f>
        <v/>
      </c>
      <c r="I125" s="145"/>
      <c r="J125" s="540" t="str">
        <f>IF(I125="","",IF(VLOOKUP(I125,'G-7 Rivers Data'!$AG$4:$AI$9,2,FALSE)=0,"Spatial Data Missing ⚠",VLOOKUP(I125,'G-7 Rivers Data'!$AG$4:$AI$9,2,FALSE)))</f>
        <v/>
      </c>
      <c r="K125" s="499" t="str">
        <f>IF(I125="","",IF(VLOOKUP(I125,'G-7 Rivers Data'!$AG$4:$AI$9,3,FALSE)=0,"Spatial Data Missing ⚠",VLOOKUP(I125,'G-7 Rivers Data'!$AG$4:$AI$9,3,FALSE)))</f>
        <v/>
      </c>
      <c r="L125" s="635" t="str">
        <f>IFERROR(INDEX('G-7 Rivers Data'!$O$3:$O$7,MATCH(G125,'G-7 Rivers Data'!$N$3:$N$7,0)),"")</f>
        <v/>
      </c>
      <c r="M125" s="72"/>
      <c r="N125" s="195"/>
      <c r="O125" s="507" t="str">
        <f t="shared" si="7"/>
        <v/>
      </c>
      <c r="P125" s="521" t="str">
        <f t="shared" si="8"/>
        <v/>
      </c>
      <c r="Q125" s="564" t="str">
        <f>IFERROR(IF(P125="Check Data ⚠","Check Data ⚠",VLOOKUP(P125,'G-4 Temporal multipliers'!$A$4:$C$37,3,FALSE)),"")</f>
        <v/>
      </c>
      <c r="R125" s="498" t="str">
        <f>IF(C125="","",VLOOKUP(C125,'G-7 Rivers Data'!$B$4:$G$8,4,FALSE))</f>
        <v/>
      </c>
      <c r="S125" s="507" t="str">
        <f t="shared" si="9"/>
        <v/>
      </c>
      <c r="T125" s="540" t="str">
        <f t="shared" si="10"/>
        <v/>
      </c>
      <c r="U125" s="499" t="str">
        <f t="shared" si="11"/>
        <v/>
      </c>
      <c r="V125" s="71"/>
      <c r="W125" s="499" t="str">
        <f>IF(V125="","",IF(VLOOKUP(V125,'G-7 Rivers Data'!$AA$4:$AB$7,2,FALSE)=0,"Spatial Data Missing ⚠",VLOOKUP(V125,'G-7 Rivers Data'!$AA$4:$AB$7,2,FALSE)))</f>
        <v/>
      </c>
      <c r="X125" s="155"/>
      <c r="Y125" s="499" t="str">
        <f>IF(X125="","",IF(VLOOKUP(X125,'G-7 Rivers Data'!$AD$4:$AE$8,2,FALSE)=0,"Enrcoachment Data Missing ⚠",VLOOKUP(X125,'G-7 Rivers Data'!$AD$4:$AE$8,2,FALSE)))</f>
        <v/>
      </c>
      <c r="Z125" s="154"/>
      <c r="AA125" s="524" t="str">
        <f>IF(Z125="","",VLOOKUP(Z125,'G-7 Rivers Data'!$AO$4:$AP$7,2,FALSE))</f>
        <v/>
      </c>
      <c r="AB125" s="545" t="str">
        <f t="shared" si="12"/>
        <v/>
      </c>
      <c r="AC125" s="149"/>
      <c r="AD125" s="150"/>
      <c r="AK125" s="31" t="str">
        <f>IFERROR(INDEX('G-7 Rivers Data'!$AZ$3:$AZ$7,MATCH(C125,'G-7 Rivers Data'!$AY$3:$AY$7,0)),"")</f>
        <v/>
      </c>
    </row>
    <row r="126" spans="2:37" ht="14" x14ac:dyDescent="0.3">
      <c r="B126" s="141">
        <v>115</v>
      </c>
      <c r="C126" s="666"/>
      <c r="D126" s="172"/>
      <c r="E126" s="498" t="str">
        <f>IF(C126="","",VLOOKUP(C126,'G-7 Rivers Data'!$B$2:$Z$9,2,FALSE))</f>
        <v/>
      </c>
      <c r="F126" s="499" t="str">
        <f>IFERROR(VLOOKUP(E126,'G-7 Rivers Data'!$C$4:$D$8,2,FALSE),"")</f>
        <v/>
      </c>
      <c r="G126" s="145"/>
      <c r="H126" s="499" t="str">
        <f>IFERROR(INDEX('G-7 Rivers Data'!$H$4:$L$8,MATCH(C126,'G-7 Rivers Data'!$B$4:$B$8,0),MATCH(G126,'G-7 Rivers Data'!$H$3:$L$3,0)),"")</f>
        <v/>
      </c>
      <c r="I126" s="145"/>
      <c r="J126" s="540" t="str">
        <f>IF(I126="","",IF(VLOOKUP(I126,'G-7 Rivers Data'!$AG$4:$AI$9,2,FALSE)=0,"Spatial Data Missing ⚠",VLOOKUP(I126,'G-7 Rivers Data'!$AG$4:$AI$9,2,FALSE)))</f>
        <v/>
      </c>
      <c r="K126" s="499" t="str">
        <f>IF(I126="","",IF(VLOOKUP(I126,'G-7 Rivers Data'!$AG$4:$AI$9,3,FALSE)=0,"Spatial Data Missing ⚠",VLOOKUP(I126,'G-7 Rivers Data'!$AG$4:$AI$9,3,FALSE)))</f>
        <v/>
      </c>
      <c r="L126" s="635" t="str">
        <f>IFERROR(INDEX('G-7 Rivers Data'!$O$3:$O$7,MATCH(G126,'G-7 Rivers Data'!$N$3:$N$7,0)),"")</f>
        <v/>
      </c>
      <c r="M126" s="72"/>
      <c r="N126" s="195"/>
      <c r="O126" s="507" t="str">
        <f t="shared" si="7"/>
        <v/>
      </c>
      <c r="P126" s="521" t="str">
        <f t="shared" si="8"/>
        <v/>
      </c>
      <c r="Q126" s="564" t="str">
        <f>IFERROR(IF(P126="Check Data ⚠","Check Data ⚠",VLOOKUP(P126,'G-4 Temporal multipliers'!$A$4:$C$37,3,FALSE)),"")</f>
        <v/>
      </c>
      <c r="R126" s="498" t="str">
        <f>IF(C126="","",VLOOKUP(C126,'G-7 Rivers Data'!$B$4:$G$8,4,FALSE))</f>
        <v/>
      </c>
      <c r="S126" s="507" t="str">
        <f t="shared" si="9"/>
        <v/>
      </c>
      <c r="T126" s="540" t="str">
        <f t="shared" si="10"/>
        <v/>
      </c>
      <c r="U126" s="499" t="str">
        <f t="shared" si="11"/>
        <v/>
      </c>
      <c r="V126" s="71"/>
      <c r="W126" s="499" t="str">
        <f>IF(V126="","",IF(VLOOKUP(V126,'G-7 Rivers Data'!$AA$4:$AB$7,2,FALSE)=0,"Spatial Data Missing ⚠",VLOOKUP(V126,'G-7 Rivers Data'!$AA$4:$AB$7,2,FALSE)))</f>
        <v/>
      </c>
      <c r="X126" s="155"/>
      <c r="Y126" s="499" t="str">
        <f>IF(X126="","",IF(VLOOKUP(X126,'G-7 Rivers Data'!$AD$4:$AE$8,2,FALSE)=0,"Enrcoachment Data Missing ⚠",VLOOKUP(X126,'G-7 Rivers Data'!$AD$4:$AE$8,2,FALSE)))</f>
        <v/>
      </c>
      <c r="Z126" s="154"/>
      <c r="AA126" s="524" t="str">
        <f>IF(Z126="","",VLOOKUP(Z126,'G-7 Rivers Data'!$AO$4:$AP$7,2,FALSE))</f>
        <v/>
      </c>
      <c r="AB126" s="545" t="str">
        <f t="shared" si="12"/>
        <v/>
      </c>
      <c r="AC126" s="149"/>
      <c r="AD126" s="150"/>
      <c r="AK126" s="31" t="str">
        <f>IFERROR(INDEX('G-7 Rivers Data'!$AZ$3:$AZ$7,MATCH(C126,'G-7 Rivers Data'!$AY$3:$AY$7,0)),"")</f>
        <v/>
      </c>
    </row>
    <row r="127" spans="2:37" ht="14" x14ac:dyDescent="0.3">
      <c r="B127" s="141">
        <v>116</v>
      </c>
      <c r="C127" s="666"/>
      <c r="D127" s="172"/>
      <c r="E127" s="498" t="str">
        <f>IF(C127="","",VLOOKUP(C127,'G-7 Rivers Data'!$B$2:$Z$9,2,FALSE))</f>
        <v/>
      </c>
      <c r="F127" s="499" t="str">
        <f>IFERROR(VLOOKUP(E127,'G-7 Rivers Data'!$C$4:$D$8,2,FALSE),"")</f>
        <v/>
      </c>
      <c r="G127" s="145"/>
      <c r="H127" s="499" t="str">
        <f>IFERROR(INDEX('G-7 Rivers Data'!$H$4:$L$8,MATCH(C127,'G-7 Rivers Data'!$B$4:$B$8,0),MATCH(G127,'G-7 Rivers Data'!$H$3:$L$3,0)),"")</f>
        <v/>
      </c>
      <c r="I127" s="145"/>
      <c r="J127" s="540" t="str">
        <f>IF(I127="","",IF(VLOOKUP(I127,'G-7 Rivers Data'!$AG$4:$AI$9,2,FALSE)=0,"Spatial Data Missing ⚠",VLOOKUP(I127,'G-7 Rivers Data'!$AG$4:$AI$9,2,FALSE)))</f>
        <v/>
      </c>
      <c r="K127" s="499" t="str">
        <f>IF(I127="","",IF(VLOOKUP(I127,'G-7 Rivers Data'!$AG$4:$AI$9,3,FALSE)=0,"Spatial Data Missing ⚠",VLOOKUP(I127,'G-7 Rivers Data'!$AG$4:$AI$9,3,FALSE)))</f>
        <v/>
      </c>
      <c r="L127" s="635" t="str">
        <f>IFERROR(INDEX('G-7 Rivers Data'!$O$3:$O$7,MATCH(G127,'G-7 Rivers Data'!$N$3:$N$7,0)),"")</f>
        <v/>
      </c>
      <c r="M127" s="72"/>
      <c r="N127" s="195"/>
      <c r="O127" s="507" t="str">
        <f t="shared" si="7"/>
        <v/>
      </c>
      <c r="P127" s="521" t="str">
        <f t="shared" si="8"/>
        <v/>
      </c>
      <c r="Q127" s="564" t="str">
        <f>IFERROR(IF(P127="Check Data ⚠","Check Data ⚠",VLOOKUP(P127,'G-4 Temporal multipliers'!$A$4:$C$37,3,FALSE)),"")</f>
        <v/>
      </c>
      <c r="R127" s="498" t="str">
        <f>IF(C127="","",VLOOKUP(C127,'G-7 Rivers Data'!$B$4:$G$8,4,FALSE))</f>
        <v/>
      </c>
      <c r="S127" s="507" t="str">
        <f t="shared" si="9"/>
        <v/>
      </c>
      <c r="T127" s="540" t="str">
        <f t="shared" si="10"/>
        <v/>
      </c>
      <c r="U127" s="499" t="str">
        <f t="shared" si="11"/>
        <v/>
      </c>
      <c r="V127" s="71"/>
      <c r="W127" s="499" t="str">
        <f>IF(V127="","",IF(VLOOKUP(V127,'G-7 Rivers Data'!$AA$4:$AB$7,2,FALSE)=0,"Spatial Data Missing ⚠",VLOOKUP(V127,'G-7 Rivers Data'!$AA$4:$AB$7,2,FALSE)))</f>
        <v/>
      </c>
      <c r="X127" s="155"/>
      <c r="Y127" s="499" t="str">
        <f>IF(X127="","",IF(VLOOKUP(X127,'G-7 Rivers Data'!$AD$4:$AE$8,2,FALSE)=0,"Enrcoachment Data Missing ⚠",VLOOKUP(X127,'G-7 Rivers Data'!$AD$4:$AE$8,2,FALSE)))</f>
        <v/>
      </c>
      <c r="Z127" s="154"/>
      <c r="AA127" s="524" t="str">
        <f>IF(Z127="","",VLOOKUP(Z127,'G-7 Rivers Data'!$AO$4:$AP$7,2,FALSE))</f>
        <v/>
      </c>
      <c r="AB127" s="545" t="str">
        <f t="shared" si="12"/>
        <v/>
      </c>
      <c r="AC127" s="149"/>
      <c r="AD127" s="150"/>
      <c r="AK127" s="31" t="str">
        <f>IFERROR(INDEX('G-7 Rivers Data'!$AZ$3:$AZ$7,MATCH(C127,'G-7 Rivers Data'!$AY$3:$AY$7,0)),"")</f>
        <v/>
      </c>
    </row>
    <row r="128" spans="2:37" ht="14" x14ac:dyDescent="0.3">
      <c r="B128" s="141">
        <v>117</v>
      </c>
      <c r="C128" s="666"/>
      <c r="D128" s="172"/>
      <c r="E128" s="498" t="str">
        <f>IF(C128="","",VLOOKUP(C128,'G-7 Rivers Data'!$B$2:$Z$9,2,FALSE))</f>
        <v/>
      </c>
      <c r="F128" s="499" t="str">
        <f>IFERROR(VLOOKUP(E128,'G-7 Rivers Data'!$C$4:$D$8,2,FALSE),"")</f>
        <v/>
      </c>
      <c r="G128" s="145"/>
      <c r="H128" s="499" t="str">
        <f>IFERROR(INDEX('G-7 Rivers Data'!$H$4:$L$8,MATCH(C128,'G-7 Rivers Data'!$B$4:$B$8,0),MATCH(G128,'G-7 Rivers Data'!$H$3:$L$3,0)),"")</f>
        <v/>
      </c>
      <c r="I128" s="145"/>
      <c r="J128" s="540" t="str">
        <f>IF(I128="","",IF(VLOOKUP(I128,'G-7 Rivers Data'!$AG$4:$AI$9,2,FALSE)=0,"Spatial Data Missing ⚠",VLOOKUP(I128,'G-7 Rivers Data'!$AG$4:$AI$9,2,FALSE)))</f>
        <v/>
      </c>
      <c r="K128" s="499" t="str">
        <f>IF(I128="","",IF(VLOOKUP(I128,'G-7 Rivers Data'!$AG$4:$AI$9,3,FALSE)=0,"Spatial Data Missing ⚠",VLOOKUP(I128,'G-7 Rivers Data'!$AG$4:$AI$9,3,FALSE)))</f>
        <v/>
      </c>
      <c r="L128" s="635" t="str">
        <f>IFERROR(INDEX('G-7 Rivers Data'!$O$3:$O$7,MATCH(G128,'G-7 Rivers Data'!$N$3:$N$7,0)),"")</f>
        <v/>
      </c>
      <c r="M128" s="72"/>
      <c r="N128" s="195"/>
      <c r="O128" s="507" t="str">
        <f t="shared" si="7"/>
        <v/>
      </c>
      <c r="P128" s="521" t="str">
        <f t="shared" si="8"/>
        <v/>
      </c>
      <c r="Q128" s="564" t="str">
        <f>IFERROR(IF(P128="Check Data ⚠","Check Data ⚠",VLOOKUP(P128,'G-4 Temporal multipliers'!$A$4:$C$37,3,FALSE)),"")</f>
        <v/>
      </c>
      <c r="R128" s="498" t="str">
        <f>IF(C128="","",VLOOKUP(C128,'G-7 Rivers Data'!$B$4:$G$8,4,FALSE))</f>
        <v/>
      </c>
      <c r="S128" s="507" t="str">
        <f t="shared" si="9"/>
        <v/>
      </c>
      <c r="T128" s="540" t="str">
        <f t="shared" si="10"/>
        <v/>
      </c>
      <c r="U128" s="499" t="str">
        <f t="shared" si="11"/>
        <v/>
      </c>
      <c r="V128" s="71"/>
      <c r="W128" s="499" t="str">
        <f>IF(V128="","",IF(VLOOKUP(V128,'G-7 Rivers Data'!$AA$4:$AB$7,2,FALSE)=0,"Spatial Data Missing ⚠",VLOOKUP(V128,'G-7 Rivers Data'!$AA$4:$AB$7,2,FALSE)))</f>
        <v/>
      </c>
      <c r="X128" s="155"/>
      <c r="Y128" s="499" t="str">
        <f>IF(X128="","",IF(VLOOKUP(X128,'G-7 Rivers Data'!$AD$4:$AE$8,2,FALSE)=0,"Enrcoachment Data Missing ⚠",VLOOKUP(X128,'G-7 Rivers Data'!$AD$4:$AE$8,2,FALSE)))</f>
        <v/>
      </c>
      <c r="Z128" s="154"/>
      <c r="AA128" s="524" t="str">
        <f>IF(Z128="","",VLOOKUP(Z128,'G-7 Rivers Data'!$AO$4:$AP$7,2,FALSE))</f>
        <v/>
      </c>
      <c r="AB128" s="545" t="str">
        <f t="shared" si="12"/>
        <v/>
      </c>
      <c r="AC128" s="149"/>
      <c r="AD128" s="150"/>
      <c r="AK128" s="31" t="str">
        <f>IFERROR(INDEX('G-7 Rivers Data'!$AZ$3:$AZ$7,MATCH(C128,'G-7 Rivers Data'!$AY$3:$AY$7,0)),"")</f>
        <v/>
      </c>
    </row>
    <row r="129" spans="2:37" ht="14" x14ac:dyDescent="0.3">
      <c r="B129" s="141">
        <v>118</v>
      </c>
      <c r="C129" s="666"/>
      <c r="D129" s="172"/>
      <c r="E129" s="498" t="str">
        <f>IF(C129="","",VLOOKUP(C129,'G-7 Rivers Data'!$B$2:$Z$9,2,FALSE))</f>
        <v/>
      </c>
      <c r="F129" s="499" t="str">
        <f>IFERROR(VLOOKUP(E129,'G-7 Rivers Data'!$C$4:$D$8,2,FALSE),"")</f>
        <v/>
      </c>
      <c r="G129" s="145"/>
      <c r="H129" s="499" t="str">
        <f>IFERROR(INDEX('G-7 Rivers Data'!$H$4:$L$8,MATCH(C129,'G-7 Rivers Data'!$B$4:$B$8,0),MATCH(G129,'G-7 Rivers Data'!$H$3:$L$3,0)),"")</f>
        <v/>
      </c>
      <c r="I129" s="145"/>
      <c r="J129" s="540" t="str">
        <f>IF(I129="","",IF(VLOOKUP(I129,'G-7 Rivers Data'!$AG$4:$AI$9,2,FALSE)=0,"Spatial Data Missing ⚠",VLOOKUP(I129,'G-7 Rivers Data'!$AG$4:$AI$9,2,FALSE)))</f>
        <v/>
      </c>
      <c r="K129" s="499" t="str">
        <f>IF(I129="","",IF(VLOOKUP(I129,'G-7 Rivers Data'!$AG$4:$AI$9,3,FALSE)=0,"Spatial Data Missing ⚠",VLOOKUP(I129,'G-7 Rivers Data'!$AG$4:$AI$9,3,FALSE)))</f>
        <v/>
      </c>
      <c r="L129" s="635" t="str">
        <f>IFERROR(INDEX('G-7 Rivers Data'!$O$3:$O$7,MATCH(G129,'G-7 Rivers Data'!$N$3:$N$7,0)),"")</f>
        <v/>
      </c>
      <c r="M129" s="72"/>
      <c r="N129" s="195"/>
      <c r="O129" s="507" t="str">
        <f t="shared" si="7"/>
        <v/>
      </c>
      <c r="P129" s="521" t="str">
        <f t="shared" si="8"/>
        <v/>
      </c>
      <c r="Q129" s="564" t="str">
        <f>IFERROR(IF(P129="Check Data ⚠","Check Data ⚠",VLOOKUP(P129,'G-4 Temporal multipliers'!$A$4:$C$37,3,FALSE)),"")</f>
        <v/>
      </c>
      <c r="R129" s="498" t="str">
        <f>IF(C129="","",VLOOKUP(C129,'G-7 Rivers Data'!$B$4:$G$8,4,FALSE))</f>
        <v/>
      </c>
      <c r="S129" s="507" t="str">
        <f t="shared" si="9"/>
        <v/>
      </c>
      <c r="T129" s="540" t="str">
        <f t="shared" si="10"/>
        <v/>
      </c>
      <c r="U129" s="499" t="str">
        <f t="shared" si="11"/>
        <v/>
      </c>
      <c r="V129" s="71"/>
      <c r="W129" s="499" t="str">
        <f>IF(V129="","",IF(VLOOKUP(V129,'G-7 Rivers Data'!$AA$4:$AB$7,2,FALSE)=0,"Spatial Data Missing ⚠",VLOOKUP(V129,'G-7 Rivers Data'!$AA$4:$AB$7,2,FALSE)))</f>
        <v/>
      </c>
      <c r="X129" s="155"/>
      <c r="Y129" s="499" t="str">
        <f>IF(X129="","",IF(VLOOKUP(X129,'G-7 Rivers Data'!$AD$4:$AE$8,2,FALSE)=0,"Enrcoachment Data Missing ⚠",VLOOKUP(X129,'G-7 Rivers Data'!$AD$4:$AE$8,2,FALSE)))</f>
        <v/>
      </c>
      <c r="Z129" s="154"/>
      <c r="AA129" s="524" t="str">
        <f>IF(Z129="","",VLOOKUP(Z129,'G-7 Rivers Data'!$AO$4:$AP$7,2,FALSE))</f>
        <v/>
      </c>
      <c r="AB129" s="545" t="str">
        <f t="shared" si="12"/>
        <v/>
      </c>
      <c r="AC129" s="149"/>
      <c r="AD129" s="150"/>
      <c r="AK129" s="31" t="str">
        <f>IFERROR(INDEX('G-7 Rivers Data'!$AZ$3:$AZ$7,MATCH(C129,'G-7 Rivers Data'!$AY$3:$AY$7,0)),"")</f>
        <v/>
      </c>
    </row>
    <row r="130" spans="2:37" ht="14" x14ac:dyDescent="0.3">
      <c r="B130" s="141">
        <v>119</v>
      </c>
      <c r="C130" s="666"/>
      <c r="D130" s="172"/>
      <c r="E130" s="498" t="str">
        <f>IF(C130="","",VLOOKUP(C130,'G-7 Rivers Data'!$B$2:$Z$9,2,FALSE))</f>
        <v/>
      </c>
      <c r="F130" s="499" t="str">
        <f>IFERROR(VLOOKUP(E130,'G-7 Rivers Data'!$C$4:$D$8,2,FALSE),"")</f>
        <v/>
      </c>
      <c r="G130" s="145"/>
      <c r="H130" s="499" t="str">
        <f>IFERROR(INDEX('G-7 Rivers Data'!$H$4:$L$8,MATCH(C130,'G-7 Rivers Data'!$B$4:$B$8,0),MATCH(G130,'G-7 Rivers Data'!$H$3:$L$3,0)),"")</f>
        <v/>
      </c>
      <c r="I130" s="145"/>
      <c r="J130" s="540" t="str">
        <f>IF(I130="","",IF(VLOOKUP(I130,'G-7 Rivers Data'!$AG$4:$AI$9,2,FALSE)=0,"Spatial Data Missing ⚠",VLOOKUP(I130,'G-7 Rivers Data'!$AG$4:$AI$9,2,FALSE)))</f>
        <v/>
      </c>
      <c r="K130" s="499" t="str">
        <f>IF(I130="","",IF(VLOOKUP(I130,'G-7 Rivers Data'!$AG$4:$AI$9,3,FALSE)=0,"Spatial Data Missing ⚠",VLOOKUP(I130,'G-7 Rivers Data'!$AG$4:$AI$9,3,FALSE)))</f>
        <v/>
      </c>
      <c r="L130" s="635" t="str">
        <f>IFERROR(INDEX('G-7 Rivers Data'!$O$3:$O$7,MATCH(G130,'G-7 Rivers Data'!$N$3:$N$7,0)),"")</f>
        <v/>
      </c>
      <c r="M130" s="72"/>
      <c r="N130" s="195"/>
      <c r="O130" s="507" t="str">
        <f t="shared" si="7"/>
        <v/>
      </c>
      <c r="P130" s="521" t="str">
        <f t="shared" si="8"/>
        <v/>
      </c>
      <c r="Q130" s="564" t="str">
        <f>IFERROR(IF(P130="Check Data ⚠","Check Data ⚠",VLOOKUP(P130,'G-4 Temporal multipliers'!$A$4:$C$37,3,FALSE)),"")</f>
        <v/>
      </c>
      <c r="R130" s="498" t="str">
        <f>IF(C130="","",VLOOKUP(C130,'G-7 Rivers Data'!$B$4:$G$8,4,FALSE))</f>
        <v/>
      </c>
      <c r="S130" s="507" t="str">
        <f t="shared" si="9"/>
        <v/>
      </c>
      <c r="T130" s="540" t="str">
        <f t="shared" si="10"/>
        <v/>
      </c>
      <c r="U130" s="499" t="str">
        <f t="shared" si="11"/>
        <v/>
      </c>
      <c r="V130" s="71"/>
      <c r="W130" s="499" t="str">
        <f>IF(V130="","",IF(VLOOKUP(V130,'G-7 Rivers Data'!$AA$4:$AB$7,2,FALSE)=0,"Spatial Data Missing ⚠",VLOOKUP(V130,'G-7 Rivers Data'!$AA$4:$AB$7,2,FALSE)))</f>
        <v/>
      </c>
      <c r="X130" s="155"/>
      <c r="Y130" s="499" t="str">
        <f>IF(X130="","",IF(VLOOKUP(X130,'G-7 Rivers Data'!$AD$4:$AE$8,2,FALSE)=0,"Enrcoachment Data Missing ⚠",VLOOKUP(X130,'G-7 Rivers Data'!$AD$4:$AE$8,2,FALSE)))</f>
        <v/>
      </c>
      <c r="Z130" s="154"/>
      <c r="AA130" s="524" t="str">
        <f>IF(Z130="","",VLOOKUP(Z130,'G-7 Rivers Data'!$AO$4:$AP$7,2,FALSE))</f>
        <v/>
      </c>
      <c r="AB130" s="545" t="str">
        <f t="shared" si="12"/>
        <v/>
      </c>
      <c r="AC130" s="149"/>
      <c r="AD130" s="150"/>
      <c r="AK130" s="31" t="str">
        <f>IFERROR(INDEX('G-7 Rivers Data'!$AZ$3:$AZ$7,MATCH(C130,'G-7 Rivers Data'!$AY$3:$AY$7,0)),"")</f>
        <v/>
      </c>
    </row>
    <row r="131" spans="2:37" ht="14" x14ac:dyDescent="0.3">
      <c r="B131" s="141">
        <v>120</v>
      </c>
      <c r="C131" s="666"/>
      <c r="D131" s="172"/>
      <c r="E131" s="498" t="str">
        <f>IF(C131="","",VLOOKUP(C131,'G-7 Rivers Data'!$B$2:$Z$9,2,FALSE))</f>
        <v/>
      </c>
      <c r="F131" s="499" t="str">
        <f>IFERROR(VLOOKUP(E131,'G-7 Rivers Data'!$C$4:$D$8,2,FALSE),"")</f>
        <v/>
      </c>
      <c r="G131" s="145"/>
      <c r="H131" s="499" t="str">
        <f>IFERROR(INDEX('G-7 Rivers Data'!$H$4:$L$8,MATCH(C131,'G-7 Rivers Data'!$B$4:$B$8,0),MATCH(G131,'G-7 Rivers Data'!$H$3:$L$3,0)),"")</f>
        <v/>
      </c>
      <c r="I131" s="145"/>
      <c r="J131" s="540" t="str">
        <f>IF(I131="","",IF(VLOOKUP(I131,'G-7 Rivers Data'!$AG$4:$AI$9,2,FALSE)=0,"Spatial Data Missing ⚠",VLOOKUP(I131,'G-7 Rivers Data'!$AG$4:$AI$9,2,FALSE)))</f>
        <v/>
      </c>
      <c r="K131" s="499" t="str">
        <f>IF(I131="","",IF(VLOOKUP(I131,'G-7 Rivers Data'!$AG$4:$AI$9,3,FALSE)=0,"Spatial Data Missing ⚠",VLOOKUP(I131,'G-7 Rivers Data'!$AG$4:$AI$9,3,FALSE)))</f>
        <v/>
      </c>
      <c r="L131" s="635" t="str">
        <f>IFERROR(INDEX('G-7 Rivers Data'!$O$3:$O$7,MATCH(G131,'G-7 Rivers Data'!$N$3:$N$7,0)),"")</f>
        <v/>
      </c>
      <c r="M131" s="72"/>
      <c r="N131" s="195"/>
      <c r="O131" s="507" t="str">
        <f t="shared" si="7"/>
        <v/>
      </c>
      <c r="P131" s="521" t="str">
        <f t="shared" si="8"/>
        <v/>
      </c>
      <c r="Q131" s="564" t="str">
        <f>IFERROR(IF(P131="Check Data ⚠","Check Data ⚠",VLOOKUP(P131,'G-4 Temporal multipliers'!$A$4:$C$37,3,FALSE)),"")</f>
        <v/>
      </c>
      <c r="R131" s="498" t="str">
        <f>IF(C131="","",VLOOKUP(C131,'G-7 Rivers Data'!$B$4:$G$8,4,FALSE))</f>
        <v/>
      </c>
      <c r="S131" s="507" t="str">
        <f t="shared" si="9"/>
        <v/>
      </c>
      <c r="T131" s="540" t="str">
        <f t="shared" si="10"/>
        <v/>
      </c>
      <c r="U131" s="499" t="str">
        <f t="shared" si="11"/>
        <v/>
      </c>
      <c r="V131" s="71"/>
      <c r="W131" s="499" t="str">
        <f>IF(V131="","",IF(VLOOKUP(V131,'G-7 Rivers Data'!$AA$4:$AB$7,2,FALSE)=0,"Spatial Data Missing ⚠",VLOOKUP(V131,'G-7 Rivers Data'!$AA$4:$AB$7,2,FALSE)))</f>
        <v/>
      </c>
      <c r="X131" s="155"/>
      <c r="Y131" s="499" t="str">
        <f>IF(X131="","",IF(VLOOKUP(X131,'G-7 Rivers Data'!$AD$4:$AE$8,2,FALSE)=0,"Enrcoachment Data Missing ⚠",VLOOKUP(X131,'G-7 Rivers Data'!$AD$4:$AE$8,2,FALSE)))</f>
        <v/>
      </c>
      <c r="Z131" s="154"/>
      <c r="AA131" s="524" t="str">
        <f>IF(Z131="","",VLOOKUP(Z131,'G-7 Rivers Data'!$AO$4:$AP$7,2,FALSE))</f>
        <v/>
      </c>
      <c r="AB131" s="545" t="str">
        <f t="shared" si="12"/>
        <v/>
      </c>
      <c r="AC131" s="149"/>
      <c r="AD131" s="150"/>
      <c r="AK131" s="31" t="str">
        <f>IFERROR(INDEX('G-7 Rivers Data'!$AZ$3:$AZ$7,MATCH(C131,'G-7 Rivers Data'!$AY$3:$AY$7,0)),"")</f>
        <v/>
      </c>
    </row>
    <row r="132" spans="2:37" ht="14" x14ac:dyDescent="0.3">
      <c r="B132" s="141">
        <v>121</v>
      </c>
      <c r="C132" s="666"/>
      <c r="D132" s="172"/>
      <c r="E132" s="498" t="str">
        <f>IF(C132="","",VLOOKUP(C132,'G-7 Rivers Data'!$B$2:$Z$9,2,FALSE))</f>
        <v/>
      </c>
      <c r="F132" s="499" t="str">
        <f>IFERROR(VLOOKUP(E132,'G-7 Rivers Data'!$C$4:$D$8,2,FALSE),"")</f>
        <v/>
      </c>
      <c r="G132" s="145"/>
      <c r="H132" s="499" t="str">
        <f>IFERROR(INDEX('G-7 Rivers Data'!$H$4:$L$8,MATCH(C132,'G-7 Rivers Data'!$B$4:$B$8,0),MATCH(G132,'G-7 Rivers Data'!$H$3:$L$3,0)),"")</f>
        <v/>
      </c>
      <c r="I132" s="145"/>
      <c r="J132" s="540" t="str">
        <f>IF(I132="","",IF(VLOOKUP(I132,'G-7 Rivers Data'!$AG$4:$AI$9,2,FALSE)=0,"Spatial Data Missing ⚠",VLOOKUP(I132,'G-7 Rivers Data'!$AG$4:$AI$9,2,FALSE)))</f>
        <v/>
      </c>
      <c r="K132" s="499" t="str">
        <f>IF(I132="","",IF(VLOOKUP(I132,'G-7 Rivers Data'!$AG$4:$AI$9,3,FALSE)=0,"Spatial Data Missing ⚠",VLOOKUP(I132,'G-7 Rivers Data'!$AG$4:$AI$9,3,FALSE)))</f>
        <v/>
      </c>
      <c r="L132" s="635" t="str">
        <f>IFERROR(INDEX('G-7 Rivers Data'!$O$3:$O$7,MATCH(G132,'G-7 Rivers Data'!$N$3:$N$7,0)),"")</f>
        <v/>
      </c>
      <c r="M132" s="72"/>
      <c r="N132" s="195"/>
      <c r="O132" s="507" t="str">
        <f t="shared" si="7"/>
        <v/>
      </c>
      <c r="P132" s="521" t="str">
        <f t="shared" si="8"/>
        <v/>
      </c>
      <c r="Q132" s="564" t="str">
        <f>IFERROR(IF(P132="Check Data ⚠","Check Data ⚠",VLOOKUP(P132,'G-4 Temporal multipliers'!$A$4:$C$37,3,FALSE)),"")</f>
        <v/>
      </c>
      <c r="R132" s="498" t="str">
        <f>IF(C132="","",VLOOKUP(C132,'G-7 Rivers Data'!$B$4:$G$8,4,FALSE))</f>
        <v/>
      </c>
      <c r="S132" s="507" t="str">
        <f t="shared" si="9"/>
        <v/>
      </c>
      <c r="T132" s="540" t="str">
        <f t="shared" si="10"/>
        <v/>
      </c>
      <c r="U132" s="499" t="str">
        <f t="shared" si="11"/>
        <v/>
      </c>
      <c r="V132" s="71"/>
      <c r="W132" s="499" t="str">
        <f>IF(V132="","",IF(VLOOKUP(V132,'G-7 Rivers Data'!$AA$4:$AB$7,2,FALSE)=0,"Spatial Data Missing ⚠",VLOOKUP(V132,'G-7 Rivers Data'!$AA$4:$AB$7,2,FALSE)))</f>
        <v/>
      </c>
      <c r="X132" s="155"/>
      <c r="Y132" s="499" t="str">
        <f>IF(X132="","",IF(VLOOKUP(X132,'G-7 Rivers Data'!$AD$4:$AE$8,2,FALSE)=0,"Enrcoachment Data Missing ⚠",VLOOKUP(X132,'G-7 Rivers Data'!$AD$4:$AE$8,2,FALSE)))</f>
        <v/>
      </c>
      <c r="Z132" s="154"/>
      <c r="AA132" s="524" t="str">
        <f>IF(Z132="","",VLOOKUP(Z132,'G-7 Rivers Data'!$AO$4:$AP$7,2,FALSE))</f>
        <v/>
      </c>
      <c r="AB132" s="545" t="str">
        <f t="shared" si="12"/>
        <v/>
      </c>
      <c r="AC132" s="149"/>
      <c r="AD132" s="150"/>
      <c r="AK132" s="31" t="str">
        <f>IFERROR(INDEX('G-7 Rivers Data'!$AZ$3:$AZ$7,MATCH(C132,'G-7 Rivers Data'!$AY$3:$AY$7,0)),"")</f>
        <v/>
      </c>
    </row>
    <row r="133" spans="2:37" ht="14" x14ac:dyDescent="0.3">
      <c r="B133" s="141">
        <v>122</v>
      </c>
      <c r="C133" s="666"/>
      <c r="D133" s="172"/>
      <c r="E133" s="498" t="str">
        <f>IF(C133="","",VLOOKUP(C133,'G-7 Rivers Data'!$B$2:$Z$9,2,FALSE))</f>
        <v/>
      </c>
      <c r="F133" s="499" t="str">
        <f>IFERROR(VLOOKUP(E133,'G-7 Rivers Data'!$C$4:$D$8,2,FALSE),"")</f>
        <v/>
      </c>
      <c r="G133" s="145"/>
      <c r="H133" s="499" t="str">
        <f>IFERROR(INDEX('G-7 Rivers Data'!$H$4:$L$8,MATCH(C133,'G-7 Rivers Data'!$B$4:$B$8,0),MATCH(G133,'G-7 Rivers Data'!$H$3:$L$3,0)),"")</f>
        <v/>
      </c>
      <c r="I133" s="145"/>
      <c r="J133" s="540" t="str">
        <f>IF(I133="","",IF(VLOOKUP(I133,'G-7 Rivers Data'!$AG$4:$AI$9,2,FALSE)=0,"Spatial Data Missing ⚠",VLOOKUP(I133,'G-7 Rivers Data'!$AG$4:$AI$9,2,FALSE)))</f>
        <v/>
      </c>
      <c r="K133" s="499" t="str">
        <f>IF(I133="","",IF(VLOOKUP(I133,'G-7 Rivers Data'!$AG$4:$AI$9,3,FALSE)=0,"Spatial Data Missing ⚠",VLOOKUP(I133,'G-7 Rivers Data'!$AG$4:$AI$9,3,FALSE)))</f>
        <v/>
      </c>
      <c r="L133" s="635" t="str">
        <f>IFERROR(INDEX('G-7 Rivers Data'!$O$3:$O$7,MATCH(G133,'G-7 Rivers Data'!$N$3:$N$7,0)),"")</f>
        <v/>
      </c>
      <c r="M133" s="72"/>
      <c r="N133" s="195"/>
      <c r="O133" s="507" t="str">
        <f t="shared" si="7"/>
        <v/>
      </c>
      <c r="P133" s="521" t="str">
        <f t="shared" si="8"/>
        <v/>
      </c>
      <c r="Q133" s="564" t="str">
        <f>IFERROR(IF(P133="Check Data ⚠","Check Data ⚠",VLOOKUP(P133,'G-4 Temporal multipliers'!$A$4:$C$37,3,FALSE)),"")</f>
        <v/>
      </c>
      <c r="R133" s="498" t="str">
        <f>IF(C133="","",VLOOKUP(C133,'G-7 Rivers Data'!$B$4:$G$8,4,FALSE))</f>
        <v/>
      </c>
      <c r="S133" s="507" t="str">
        <f t="shared" si="9"/>
        <v/>
      </c>
      <c r="T133" s="540" t="str">
        <f t="shared" si="10"/>
        <v/>
      </c>
      <c r="U133" s="499" t="str">
        <f t="shared" si="11"/>
        <v/>
      </c>
      <c r="V133" s="71"/>
      <c r="W133" s="499" t="str">
        <f>IF(V133="","",IF(VLOOKUP(V133,'G-7 Rivers Data'!$AA$4:$AB$7,2,FALSE)=0,"Spatial Data Missing ⚠",VLOOKUP(V133,'G-7 Rivers Data'!$AA$4:$AB$7,2,FALSE)))</f>
        <v/>
      </c>
      <c r="X133" s="155"/>
      <c r="Y133" s="499" t="str">
        <f>IF(X133="","",IF(VLOOKUP(X133,'G-7 Rivers Data'!$AD$4:$AE$8,2,FALSE)=0,"Enrcoachment Data Missing ⚠",VLOOKUP(X133,'G-7 Rivers Data'!$AD$4:$AE$8,2,FALSE)))</f>
        <v/>
      </c>
      <c r="Z133" s="154"/>
      <c r="AA133" s="524" t="str">
        <f>IF(Z133="","",VLOOKUP(Z133,'G-7 Rivers Data'!$AO$4:$AP$7,2,FALSE))</f>
        <v/>
      </c>
      <c r="AB133" s="545" t="str">
        <f t="shared" si="12"/>
        <v/>
      </c>
      <c r="AC133" s="149"/>
      <c r="AD133" s="150"/>
      <c r="AK133" s="31" t="str">
        <f>IFERROR(INDEX('G-7 Rivers Data'!$AZ$3:$AZ$7,MATCH(C133,'G-7 Rivers Data'!$AY$3:$AY$7,0)),"")</f>
        <v/>
      </c>
    </row>
    <row r="134" spans="2:37" ht="14" x14ac:dyDescent="0.3">
      <c r="B134" s="141">
        <v>123</v>
      </c>
      <c r="C134" s="666"/>
      <c r="D134" s="172"/>
      <c r="E134" s="498" t="str">
        <f>IF(C134="","",VLOOKUP(C134,'G-7 Rivers Data'!$B$2:$Z$9,2,FALSE))</f>
        <v/>
      </c>
      <c r="F134" s="499" t="str">
        <f>IFERROR(VLOOKUP(E134,'G-7 Rivers Data'!$C$4:$D$8,2,FALSE),"")</f>
        <v/>
      </c>
      <c r="G134" s="145"/>
      <c r="H134" s="499" t="str">
        <f>IFERROR(INDEX('G-7 Rivers Data'!$H$4:$L$8,MATCH(C134,'G-7 Rivers Data'!$B$4:$B$8,0),MATCH(G134,'G-7 Rivers Data'!$H$3:$L$3,0)),"")</f>
        <v/>
      </c>
      <c r="I134" s="145"/>
      <c r="J134" s="540" t="str">
        <f>IF(I134="","",IF(VLOOKUP(I134,'G-7 Rivers Data'!$AG$4:$AI$9,2,FALSE)=0,"Spatial Data Missing ⚠",VLOOKUP(I134,'G-7 Rivers Data'!$AG$4:$AI$9,2,FALSE)))</f>
        <v/>
      </c>
      <c r="K134" s="499" t="str">
        <f>IF(I134="","",IF(VLOOKUP(I134,'G-7 Rivers Data'!$AG$4:$AI$9,3,FALSE)=0,"Spatial Data Missing ⚠",VLOOKUP(I134,'G-7 Rivers Data'!$AG$4:$AI$9,3,FALSE)))</f>
        <v/>
      </c>
      <c r="L134" s="635" t="str">
        <f>IFERROR(INDEX('G-7 Rivers Data'!$O$3:$O$7,MATCH(G134,'G-7 Rivers Data'!$N$3:$N$7,0)),"")</f>
        <v/>
      </c>
      <c r="M134" s="72"/>
      <c r="N134" s="195"/>
      <c r="O134" s="507" t="str">
        <f t="shared" si="7"/>
        <v/>
      </c>
      <c r="P134" s="521" t="str">
        <f t="shared" si="8"/>
        <v/>
      </c>
      <c r="Q134" s="564" t="str">
        <f>IFERROR(IF(P134="Check Data ⚠","Check Data ⚠",VLOOKUP(P134,'G-4 Temporal multipliers'!$A$4:$C$37,3,FALSE)),"")</f>
        <v/>
      </c>
      <c r="R134" s="498" t="str">
        <f>IF(C134="","",VLOOKUP(C134,'G-7 Rivers Data'!$B$4:$G$8,4,FALSE))</f>
        <v/>
      </c>
      <c r="S134" s="507" t="str">
        <f t="shared" si="9"/>
        <v/>
      </c>
      <c r="T134" s="540" t="str">
        <f t="shared" si="10"/>
        <v/>
      </c>
      <c r="U134" s="499" t="str">
        <f t="shared" si="11"/>
        <v/>
      </c>
      <c r="V134" s="71"/>
      <c r="W134" s="499" t="str">
        <f>IF(V134="","",IF(VLOOKUP(V134,'G-7 Rivers Data'!$AA$4:$AB$7,2,FALSE)=0,"Spatial Data Missing ⚠",VLOOKUP(V134,'G-7 Rivers Data'!$AA$4:$AB$7,2,FALSE)))</f>
        <v/>
      </c>
      <c r="X134" s="155"/>
      <c r="Y134" s="499" t="str">
        <f>IF(X134="","",IF(VLOOKUP(X134,'G-7 Rivers Data'!$AD$4:$AE$8,2,FALSE)=0,"Enrcoachment Data Missing ⚠",VLOOKUP(X134,'G-7 Rivers Data'!$AD$4:$AE$8,2,FALSE)))</f>
        <v/>
      </c>
      <c r="Z134" s="154"/>
      <c r="AA134" s="524" t="str">
        <f>IF(Z134="","",VLOOKUP(Z134,'G-7 Rivers Data'!$AO$4:$AP$7,2,FALSE))</f>
        <v/>
      </c>
      <c r="AB134" s="545" t="str">
        <f t="shared" si="12"/>
        <v/>
      </c>
      <c r="AC134" s="149"/>
      <c r="AD134" s="150"/>
      <c r="AK134" s="31" t="str">
        <f>IFERROR(INDEX('G-7 Rivers Data'!$AZ$3:$AZ$7,MATCH(C134,'G-7 Rivers Data'!$AY$3:$AY$7,0)),"")</f>
        <v/>
      </c>
    </row>
    <row r="135" spans="2:37" ht="14" x14ac:dyDescent="0.3">
      <c r="B135" s="141">
        <v>124</v>
      </c>
      <c r="C135" s="666"/>
      <c r="D135" s="172"/>
      <c r="E135" s="498" t="str">
        <f>IF(C135="","",VLOOKUP(C135,'G-7 Rivers Data'!$B$2:$Z$9,2,FALSE))</f>
        <v/>
      </c>
      <c r="F135" s="499" t="str">
        <f>IFERROR(VLOOKUP(E135,'G-7 Rivers Data'!$C$4:$D$8,2,FALSE),"")</f>
        <v/>
      </c>
      <c r="G135" s="145"/>
      <c r="H135" s="499" t="str">
        <f>IFERROR(INDEX('G-7 Rivers Data'!$H$4:$L$8,MATCH(C135,'G-7 Rivers Data'!$B$4:$B$8,0),MATCH(G135,'G-7 Rivers Data'!$H$3:$L$3,0)),"")</f>
        <v/>
      </c>
      <c r="I135" s="145"/>
      <c r="J135" s="540" t="str">
        <f>IF(I135="","",IF(VLOOKUP(I135,'G-7 Rivers Data'!$AG$4:$AI$9,2,FALSE)=0,"Spatial Data Missing ⚠",VLOOKUP(I135,'G-7 Rivers Data'!$AG$4:$AI$9,2,FALSE)))</f>
        <v/>
      </c>
      <c r="K135" s="499" t="str">
        <f>IF(I135="","",IF(VLOOKUP(I135,'G-7 Rivers Data'!$AG$4:$AI$9,3,FALSE)=0,"Spatial Data Missing ⚠",VLOOKUP(I135,'G-7 Rivers Data'!$AG$4:$AI$9,3,FALSE)))</f>
        <v/>
      </c>
      <c r="L135" s="635" t="str">
        <f>IFERROR(INDEX('G-7 Rivers Data'!$O$3:$O$7,MATCH(G135,'G-7 Rivers Data'!$N$3:$N$7,0)),"")</f>
        <v/>
      </c>
      <c r="M135" s="72"/>
      <c r="N135" s="195"/>
      <c r="O135" s="507" t="str">
        <f t="shared" si="7"/>
        <v/>
      </c>
      <c r="P135" s="521" t="str">
        <f t="shared" si="8"/>
        <v/>
      </c>
      <c r="Q135" s="564" t="str">
        <f>IFERROR(IF(P135="Check Data ⚠","Check Data ⚠",VLOOKUP(P135,'G-4 Temporal multipliers'!$A$4:$C$37,3,FALSE)),"")</f>
        <v/>
      </c>
      <c r="R135" s="498" t="str">
        <f>IF(C135="","",VLOOKUP(C135,'G-7 Rivers Data'!$B$4:$G$8,4,FALSE))</f>
        <v/>
      </c>
      <c r="S135" s="507" t="str">
        <f t="shared" si="9"/>
        <v/>
      </c>
      <c r="T135" s="540" t="str">
        <f t="shared" si="10"/>
        <v/>
      </c>
      <c r="U135" s="499" t="str">
        <f t="shared" si="11"/>
        <v/>
      </c>
      <c r="V135" s="71"/>
      <c r="W135" s="499" t="str">
        <f>IF(V135="","",IF(VLOOKUP(V135,'G-7 Rivers Data'!$AA$4:$AB$7,2,FALSE)=0,"Spatial Data Missing ⚠",VLOOKUP(V135,'G-7 Rivers Data'!$AA$4:$AB$7,2,FALSE)))</f>
        <v/>
      </c>
      <c r="X135" s="155"/>
      <c r="Y135" s="499" t="str">
        <f>IF(X135="","",IF(VLOOKUP(X135,'G-7 Rivers Data'!$AD$4:$AE$8,2,FALSE)=0,"Enrcoachment Data Missing ⚠",VLOOKUP(X135,'G-7 Rivers Data'!$AD$4:$AE$8,2,FALSE)))</f>
        <v/>
      </c>
      <c r="Z135" s="154"/>
      <c r="AA135" s="524" t="str">
        <f>IF(Z135="","",VLOOKUP(Z135,'G-7 Rivers Data'!$AO$4:$AP$7,2,FALSE))</f>
        <v/>
      </c>
      <c r="AB135" s="545" t="str">
        <f t="shared" si="12"/>
        <v/>
      </c>
      <c r="AC135" s="149"/>
      <c r="AD135" s="150"/>
      <c r="AK135" s="31" t="str">
        <f>IFERROR(INDEX('G-7 Rivers Data'!$AZ$3:$AZ$7,MATCH(C135,'G-7 Rivers Data'!$AY$3:$AY$7,0)),"")</f>
        <v/>
      </c>
    </row>
    <row r="136" spans="2:37" ht="14" x14ac:dyDescent="0.3">
      <c r="B136" s="141">
        <v>125</v>
      </c>
      <c r="C136" s="666"/>
      <c r="D136" s="172"/>
      <c r="E136" s="498" t="str">
        <f>IF(C136="","",VLOOKUP(C136,'G-7 Rivers Data'!$B$2:$Z$9,2,FALSE))</f>
        <v/>
      </c>
      <c r="F136" s="499" t="str">
        <f>IFERROR(VLOOKUP(E136,'G-7 Rivers Data'!$C$4:$D$8,2,FALSE),"")</f>
        <v/>
      </c>
      <c r="G136" s="145"/>
      <c r="H136" s="499" t="str">
        <f>IFERROR(INDEX('G-7 Rivers Data'!$H$4:$L$8,MATCH(C136,'G-7 Rivers Data'!$B$4:$B$8,0),MATCH(G136,'G-7 Rivers Data'!$H$3:$L$3,0)),"")</f>
        <v/>
      </c>
      <c r="I136" s="145"/>
      <c r="J136" s="540" t="str">
        <f>IF(I136="","",IF(VLOOKUP(I136,'G-7 Rivers Data'!$AG$4:$AI$9,2,FALSE)=0,"Spatial Data Missing ⚠",VLOOKUP(I136,'G-7 Rivers Data'!$AG$4:$AI$9,2,FALSE)))</f>
        <v/>
      </c>
      <c r="K136" s="499" t="str">
        <f>IF(I136="","",IF(VLOOKUP(I136,'G-7 Rivers Data'!$AG$4:$AI$9,3,FALSE)=0,"Spatial Data Missing ⚠",VLOOKUP(I136,'G-7 Rivers Data'!$AG$4:$AI$9,3,FALSE)))</f>
        <v/>
      </c>
      <c r="L136" s="635" t="str">
        <f>IFERROR(INDEX('G-7 Rivers Data'!$O$3:$O$7,MATCH(G136,'G-7 Rivers Data'!$N$3:$N$7,0)),"")</f>
        <v/>
      </c>
      <c r="M136" s="72"/>
      <c r="N136" s="195"/>
      <c r="O136" s="507" t="str">
        <f t="shared" si="7"/>
        <v/>
      </c>
      <c r="P136" s="521" t="str">
        <f t="shared" si="8"/>
        <v/>
      </c>
      <c r="Q136" s="564" t="str">
        <f>IFERROR(IF(P136="Check Data ⚠","Check Data ⚠",VLOOKUP(P136,'G-4 Temporal multipliers'!$A$4:$C$37,3,FALSE)),"")</f>
        <v/>
      </c>
      <c r="R136" s="498" t="str">
        <f>IF(C136="","",VLOOKUP(C136,'G-7 Rivers Data'!$B$4:$G$8,4,FALSE))</f>
        <v/>
      </c>
      <c r="S136" s="507" t="str">
        <f t="shared" si="9"/>
        <v/>
      </c>
      <c r="T136" s="540" t="str">
        <f t="shared" si="10"/>
        <v/>
      </c>
      <c r="U136" s="499" t="str">
        <f t="shared" si="11"/>
        <v/>
      </c>
      <c r="V136" s="71"/>
      <c r="W136" s="499" t="str">
        <f>IF(V136="","",IF(VLOOKUP(V136,'G-7 Rivers Data'!$AA$4:$AB$7,2,FALSE)=0,"Spatial Data Missing ⚠",VLOOKUP(V136,'G-7 Rivers Data'!$AA$4:$AB$7,2,FALSE)))</f>
        <v/>
      </c>
      <c r="X136" s="155"/>
      <c r="Y136" s="499" t="str">
        <f>IF(X136="","",IF(VLOOKUP(X136,'G-7 Rivers Data'!$AD$4:$AE$8,2,FALSE)=0,"Enrcoachment Data Missing ⚠",VLOOKUP(X136,'G-7 Rivers Data'!$AD$4:$AE$8,2,FALSE)))</f>
        <v/>
      </c>
      <c r="Z136" s="154"/>
      <c r="AA136" s="524" t="str">
        <f>IF(Z136="","",VLOOKUP(Z136,'G-7 Rivers Data'!$AO$4:$AP$7,2,FALSE))</f>
        <v/>
      </c>
      <c r="AB136" s="545" t="str">
        <f t="shared" si="12"/>
        <v/>
      </c>
      <c r="AC136" s="149"/>
      <c r="AD136" s="150"/>
      <c r="AK136" s="31" t="str">
        <f>IFERROR(INDEX('G-7 Rivers Data'!$AZ$3:$AZ$7,MATCH(C136,'G-7 Rivers Data'!$AY$3:$AY$7,0)),"")</f>
        <v/>
      </c>
    </row>
    <row r="137" spans="2:37" ht="14" x14ac:dyDescent="0.3">
      <c r="B137" s="141">
        <v>126</v>
      </c>
      <c r="C137" s="666"/>
      <c r="D137" s="172"/>
      <c r="E137" s="498" t="str">
        <f>IF(C137="","",VLOOKUP(C137,'G-7 Rivers Data'!$B$2:$Z$9,2,FALSE))</f>
        <v/>
      </c>
      <c r="F137" s="499" t="str">
        <f>IFERROR(VLOOKUP(E137,'G-7 Rivers Data'!$C$4:$D$8,2,FALSE),"")</f>
        <v/>
      </c>
      <c r="G137" s="145"/>
      <c r="H137" s="499" t="str">
        <f>IFERROR(INDEX('G-7 Rivers Data'!$H$4:$L$8,MATCH(C137,'G-7 Rivers Data'!$B$4:$B$8,0),MATCH(G137,'G-7 Rivers Data'!$H$3:$L$3,0)),"")</f>
        <v/>
      </c>
      <c r="I137" s="145"/>
      <c r="J137" s="540" t="str">
        <f>IF(I137="","",IF(VLOOKUP(I137,'G-7 Rivers Data'!$AG$4:$AI$9,2,FALSE)=0,"Spatial Data Missing ⚠",VLOOKUP(I137,'G-7 Rivers Data'!$AG$4:$AI$9,2,FALSE)))</f>
        <v/>
      </c>
      <c r="K137" s="499" t="str">
        <f>IF(I137="","",IF(VLOOKUP(I137,'G-7 Rivers Data'!$AG$4:$AI$9,3,FALSE)=0,"Spatial Data Missing ⚠",VLOOKUP(I137,'G-7 Rivers Data'!$AG$4:$AI$9,3,FALSE)))</f>
        <v/>
      </c>
      <c r="L137" s="635" t="str">
        <f>IFERROR(INDEX('G-7 Rivers Data'!$O$3:$O$7,MATCH(G137,'G-7 Rivers Data'!$N$3:$N$7,0)),"")</f>
        <v/>
      </c>
      <c r="M137" s="72"/>
      <c r="N137" s="195"/>
      <c r="O137" s="507" t="str">
        <f t="shared" si="7"/>
        <v/>
      </c>
      <c r="P137" s="521" t="str">
        <f t="shared" si="8"/>
        <v/>
      </c>
      <c r="Q137" s="564" t="str">
        <f>IFERROR(IF(P137="Check Data ⚠","Check Data ⚠",VLOOKUP(P137,'G-4 Temporal multipliers'!$A$4:$C$37,3,FALSE)),"")</f>
        <v/>
      </c>
      <c r="R137" s="498" t="str">
        <f>IF(C137="","",VLOOKUP(C137,'G-7 Rivers Data'!$B$4:$G$8,4,FALSE))</f>
        <v/>
      </c>
      <c r="S137" s="507" t="str">
        <f t="shared" si="9"/>
        <v/>
      </c>
      <c r="T137" s="540" t="str">
        <f t="shared" si="10"/>
        <v/>
      </c>
      <c r="U137" s="499" t="str">
        <f t="shared" si="11"/>
        <v/>
      </c>
      <c r="V137" s="71"/>
      <c r="W137" s="499" t="str">
        <f>IF(V137="","",IF(VLOOKUP(V137,'G-7 Rivers Data'!$AA$4:$AB$7,2,FALSE)=0,"Spatial Data Missing ⚠",VLOOKUP(V137,'G-7 Rivers Data'!$AA$4:$AB$7,2,FALSE)))</f>
        <v/>
      </c>
      <c r="X137" s="155"/>
      <c r="Y137" s="499" t="str">
        <f>IF(X137="","",IF(VLOOKUP(X137,'G-7 Rivers Data'!$AD$4:$AE$8,2,FALSE)=0,"Enrcoachment Data Missing ⚠",VLOOKUP(X137,'G-7 Rivers Data'!$AD$4:$AE$8,2,FALSE)))</f>
        <v/>
      </c>
      <c r="Z137" s="154"/>
      <c r="AA137" s="524" t="str">
        <f>IF(Z137="","",VLOOKUP(Z137,'G-7 Rivers Data'!$AO$4:$AP$7,2,FALSE))</f>
        <v/>
      </c>
      <c r="AB137" s="545" t="str">
        <f t="shared" si="12"/>
        <v/>
      </c>
      <c r="AC137" s="149"/>
      <c r="AD137" s="150"/>
      <c r="AK137" s="31" t="str">
        <f>IFERROR(INDEX('G-7 Rivers Data'!$AZ$3:$AZ$7,MATCH(C137,'G-7 Rivers Data'!$AY$3:$AY$7,0)),"")</f>
        <v/>
      </c>
    </row>
    <row r="138" spans="2:37" ht="14" x14ac:dyDescent="0.3">
      <c r="B138" s="141">
        <v>127</v>
      </c>
      <c r="C138" s="666"/>
      <c r="D138" s="172"/>
      <c r="E138" s="498" t="str">
        <f>IF(C138="","",VLOOKUP(C138,'G-7 Rivers Data'!$B$2:$Z$9,2,FALSE))</f>
        <v/>
      </c>
      <c r="F138" s="499" t="str">
        <f>IFERROR(VLOOKUP(E138,'G-7 Rivers Data'!$C$4:$D$8,2,FALSE),"")</f>
        <v/>
      </c>
      <c r="G138" s="145"/>
      <c r="H138" s="499" t="str">
        <f>IFERROR(INDEX('G-7 Rivers Data'!$H$4:$L$8,MATCH(C138,'G-7 Rivers Data'!$B$4:$B$8,0),MATCH(G138,'G-7 Rivers Data'!$H$3:$L$3,0)),"")</f>
        <v/>
      </c>
      <c r="I138" s="145"/>
      <c r="J138" s="540" t="str">
        <f>IF(I138="","",IF(VLOOKUP(I138,'G-7 Rivers Data'!$AG$4:$AI$9,2,FALSE)=0,"Spatial Data Missing ⚠",VLOOKUP(I138,'G-7 Rivers Data'!$AG$4:$AI$9,2,FALSE)))</f>
        <v/>
      </c>
      <c r="K138" s="499" t="str">
        <f>IF(I138="","",IF(VLOOKUP(I138,'G-7 Rivers Data'!$AG$4:$AI$9,3,FALSE)=0,"Spatial Data Missing ⚠",VLOOKUP(I138,'G-7 Rivers Data'!$AG$4:$AI$9,3,FALSE)))</f>
        <v/>
      </c>
      <c r="L138" s="635" t="str">
        <f>IFERROR(INDEX('G-7 Rivers Data'!$O$3:$O$7,MATCH(G138,'G-7 Rivers Data'!$N$3:$N$7,0)),"")</f>
        <v/>
      </c>
      <c r="M138" s="72"/>
      <c r="N138" s="195"/>
      <c r="O138" s="507" t="str">
        <f t="shared" si="7"/>
        <v/>
      </c>
      <c r="P138" s="521" t="str">
        <f t="shared" si="8"/>
        <v/>
      </c>
      <c r="Q138" s="564" t="str">
        <f>IFERROR(IF(P138="Check Data ⚠","Check Data ⚠",VLOOKUP(P138,'G-4 Temporal multipliers'!$A$4:$C$37,3,FALSE)),"")</f>
        <v/>
      </c>
      <c r="R138" s="498" t="str">
        <f>IF(C138="","",VLOOKUP(C138,'G-7 Rivers Data'!$B$4:$G$8,4,FALSE))</f>
        <v/>
      </c>
      <c r="S138" s="507" t="str">
        <f t="shared" si="9"/>
        <v/>
      </c>
      <c r="T138" s="540" t="str">
        <f t="shared" si="10"/>
        <v/>
      </c>
      <c r="U138" s="499" t="str">
        <f t="shared" si="11"/>
        <v/>
      </c>
      <c r="V138" s="71"/>
      <c r="W138" s="499" t="str">
        <f>IF(V138="","",IF(VLOOKUP(V138,'G-7 Rivers Data'!$AA$4:$AB$7,2,FALSE)=0,"Spatial Data Missing ⚠",VLOOKUP(V138,'G-7 Rivers Data'!$AA$4:$AB$7,2,FALSE)))</f>
        <v/>
      </c>
      <c r="X138" s="155"/>
      <c r="Y138" s="499" t="str">
        <f>IF(X138="","",IF(VLOOKUP(X138,'G-7 Rivers Data'!$AD$4:$AE$8,2,FALSE)=0,"Enrcoachment Data Missing ⚠",VLOOKUP(X138,'G-7 Rivers Data'!$AD$4:$AE$8,2,FALSE)))</f>
        <v/>
      </c>
      <c r="Z138" s="154"/>
      <c r="AA138" s="524" t="str">
        <f>IF(Z138="","",VLOOKUP(Z138,'G-7 Rivers Data'!$AO$4:$AP$7,2,FALSE))</f>
        <v/>
      </c>
      <c r="AB138" s="545" t="str">
        <f t="shared" si="12"/>
        <v/>
      </c>
      <c r="AC138" s="149"/>
      <c r="AD138" s="150"/>
      <c r="AK138" s="31" t="str">
        <f>IFERROR(INDEX('G-7 Rivers Data'!$AZ$3:$AZ$7,MATCH(C138,'G-7 Rivers Data'!$AY$3:$AY$7,0)),"")</f>
        <v/>
      </c>
    </row>
    <row r="139" spans="2:37" ht="14" x14ac:dyDescent="0.3">
      <c r="B139" s="141">
        <v>128</v>
      </c>
      <c r="C139" s="666"/>
      <c r="D139" s="172"/>
      <c r="E139" s="498" t="str">
        <f>IF(C139="","",VLOOKUP(C139,'G-7 Rivers Data'!$B$2:$Z$9,2,FALSE))</f>
        <v/>
      </c>
      <c r="F139" s="499" t="str">
        <f>IFERROR(VLOOKUP(E139,'G-7 Rivers Data'!$C$4:$D$8,2,FALSE),"")</f>
        <v/>
      </c>
      <c r="G139" s="145"/>
      <c r="H139" s="499" t="str">
        <f>IFERROR(INDEX('G-7 Rivers Data'!$H$4:$L$8,MATCH(C139,'G-7 Rivers Data'!$B$4:$B$8,0),MATCH(G139,'G-7 Rivers Data'!$H$3:$L$3,0)),"")</f>
        <v/>
      </c>
      <c r="I139" s="145"/>
      <c r="J139" s="540" t="str">
        <f>IF(I139="","",IF(VLOOKUP(I139,'G-7 Rivers Data'!$AG$4:$AI$9,2,FALSE)=0,"Spatial Data Missing ⚠",VLOOKUP(I139,'G-7 Rivers Data'!$AG$4:$AI$9,2,FALSE)))</f>
        <v/>
      </c>
      <c r="K139" s="499" t="str">
        <f>IF(I139="","",IF(VLOOKUP(I139,'G-7 Rivers Data'!$AG$4:$AI$9,3,FALSE)=0,"Spatial Data Missing ⚠",VLOOKUP(I139,'G-7 Rivers Data'!$AG$4:$AI$9,3,FALSE)))</f>
        <v/>
      </c>
      <c r="L139" s="635" t="str">
        <f>IFERROR(INDEX('G-7 Rivers Data'!$O$3:$O$7,MATCH(G139,'G-7 Rivers Data'!$N$3:$N$7,0)),"")</f>
        <v/>
      </c>
      <c r="M139" s="72"/>
      <c r="N139" s="195"/>
      <c r="O139" s="507" t="str">
        <f t="shared" si="7"/>
        <v/>
      </c>
      <c r="P139" s="521" t="str">
        <f t="shared" si="8"/>
        <v/>
      </c>
      <c r="Q139" s="564" t="str">
        <f>IFERROR(IF(P139="Check Data ⚠","Check Data ⚠",VLOOKUP(P139,'G-4 Temporal multipliers'!$A$4:$C$37,3,FALSE)),"")</f>
        <v/>
      </c>
      <c r="R139" s="498" t="str">
        <f>IF(C139="","",VLOOKUP(C139,'G-7 Rivers Data'!$B$4:$G$8,4,FALSE))</f>
        <v/>
      </c>
      <c r="S139" s="507" t="str">
        <f t="shared" si="9"/>
        <v/>
      </c>
      <c r="T139" s="540" t="str">
        <f t="shared" si="10"/>
        <v/>
      </c>
      <c r="U139" s="499" t="str">
        <f t="shared" si="11"/>
        <v/>
      </c>
      <c r="V139" s="71"/>
      <c r="W139" s="499" t="str">
        <f>IF(V139="","",IF(VLOOKUP(V139,'G-7 Rivers Data'!$AA$4:$AB$7,2,FALSE)=0,"Spatial Data Missing ⚠",VLOOKUP(V139,'G-7 Rivers Data'!$AA$4:$AB$7,2,FALSE)))</f>
        <v/>
      </c>
      <c r="X139" s="155"/>
      <c r="Y139" s="499" t="str">
        <f>IF(X139="","",IF(VLOOKUP(X139,'G-7 Rivers Data'!$AD$4:$AE$8,2,FALSE)=0,"Enrcoachment Data Missing ⚠",VLOOKUP(X139,'G-7 Rivers Data'!$AD$4:$AE$8,2,FALSE)))</f>
        <v/>
      </c>
      <c r="Z139" s="154"/>
      <c r="AA139" s="524" t="str">
        <f>IF(Z139="","",VLOOKUP(Z139,'G-7 Rivers Data'!$AO$4:$AP$7,2,FALSE))</f>
        <v/>
      </c>
      <c r="AB139" s="545" t="str">
        <f t="shared" si="12"/>
        <v/>
      </c>
      <c r="AC139" s="149"/>
      <c r="AD139" s="150"/>
      <c r="AK139" s="31" t="str">
        <f>IFERROR(INDEX('G-7 Rivers Data'!$AZ$3:$AZ$7,MATCH(C139,'G-7 Rivers Data'!$AY$3:$AY$7,0)),"")</f>
        <v/>
      </c>
    </row>
    <row r="140" spans="2:37" ht="14" x14ac:dyDescent="0.3">
      <c r="B140" s="141">
        <v>129</v>
      </c>
      <c r="C140" s="666"/>
      <c r="D140" s="172"/>
      <c r="E140" s="498" t="str">
        <f>IF(C140="","",VLOOKUP(C140,'G-7 Rivers Data'!$B$2:$Z$9,2,FALSE))</f>
        <v/>
      </c>
      <c r="F140" s="499" t="str">
        <f>IFERROR(VLOOKUP(E140,'G-7 Rivers Data'!$C$4:$D$8,2,FALSE),"")</f>
        <v/>
      </c>
      <c r="G140" s="145"/>
      <c r="H140" s="499" t="str">
        <f>IFERROR(INDEX('G-7 Rivers Data'!$H$4:$L$8,MATCH(C140,'G-7 Rivers Data'!$B$4:$B$8,0),MATCH(G140,'G-7 Rivers Data'!$H$3:$L$3,0)),"")</f>
        <v/>
      </c>
      <c r="I140" s="145"/>
      <c r="J140" s="540" t="str">
        <f>IF(I140="","",IF(VLOOKUP(I140,'G-7 Rivers Data'!$AG$4:$AI$9,2,FALSE)=0,"Spatial Data Missing ⚠",VLOOKUP(I140,'G-7 Rivers Data'!$AG$4:$AI$9,2,FALSE)))</f>
        <v/>
      </c>
      <c r="K140" s="499" t="str">
        <f>IF(I140="","",IF(VLOOKUP(I140,'G-7 Rivers Data'!$AG$4:$AI$9,3,FALSE)=0,"Spatial Data Missing ⚠",VLOOKUP(I140,'G-7 Rivers Data'!$AG$4:$AI$9,3,FALSE)))</f>
        <v/>
      </c>
      <c r="L140" s="635" t="str">
        <f>IFERROR(INDEX('G-7 Rivers Data'!$O$3:$O$7,MATCH(G140,'G-7 Rivers Data'!$N$3:$N$7,0)),"")</f>
        <v/>
      </c>
      <c r="M140" s="72"/>
      <c r="N140" s="195"/>
      <c r="O140" s="507" t="str">
        <f t="shared" si="7"/>
        <v/>
      </c>
      <c r="P140" s="521" t="str">
        <f t="shared" si="8"/>
        <v/>
      </c>
      <c r="Q140" s="564" t="str">
        <f>IFERROR(IF(P140="Check Data ⚠","Check Data ⚠",VLOOKUP(P140,'G-4 Temporal multipliers'!$A$4:$C$37,3,FALSE)),"")</f>
        <v/>
      </c>
      <c r="R140" s="498" t="str">
        <f>IF(C140="","",VLOOKUP(C140,'G-7 Rivers Data'!$B$4:$G$8,4,FALSE))</f>
        <v/>
      </c>
      <c r="S140" s="507" t="str">
        <f t="shared" si="9"/>
        <v/>
      </c>
      <c r="T140" s="540" t="str">
        <f t="shared" si="10"/>
        <v/>
      </c>
      <c r="U140" s="499" t="str">
        <f t="shared" si="11"/>
        <v/>
      </c>
      <c r="V140" s="71"/>
      <c r="W140" s="499" t="str">
        <f>IF(V140="","",IF(VLOOKUP(V140,'G-7 Rivers Data'!$AA$4:$AB$7,2,FALSE)=0,"Spatial Data Missing ⚠",VLOOKUP(V140,'G-7 Rivers Data'!$AA$4:$AB$7,2,FALSE)))</f>
        <v/>
      </c>
      <c r="X140" s="155"/>
      <c r="Y140" s="499" t="str">
        <f>IF(X140="","",IF(VLOOKUP(X140,'G-7 Rivers Data'!$AD$4:$AE$8,2,FALSE)=0,"Enrcoachment Data Missing ⚠",VLOOKUP(X140,'G-7 Rivers Data'!$AD$4:$AE$8,2,FALSE)))</f>
        <v/>
      </c>
      <c r="Z140" s="154"/>
      <c r="AA140" s="524" t="str">
        <f>IF(Z140="","",VLOOKUP(Z140,'G-7 Rivers Data'!$AO$4:$AP$7,2,FALSE))</f>
        <v/>
      </c>
      <c r="AB140" s="545" t="str">
        <f t="shared" si="12"/>
        <v/>
      </c>
      <c r="AC140" s="149"/>
      <c r="AD140" s="150"/>
      <c r="AK140" s="31" t="str">
        <f>IFERROR(INDEX('G-7 Rivers Data'!$AZ$3:$AZ$7,MATCH(C140,'G-7 Rivers Data'!$AY$3:$AY$7,0)),"")</f>
        <v/>
      </c>
    </row>
    <row r="141" spans="2:37" ht="14" x14ac:dyDescent="0.3">
      <c r="B141" s="141">
        <v>130</v>
      </c>
      <c r="C141" s="666"/>
      <c r="D141" s="172"/>
      <c r="E141" s="498" t="str">
        <f>IF(C141="","",VLOOKUP(C141,'G-7 Rivers Data'!$B$2:$Z$9,2,FALSE))</f>
        <v/>
      </c>
      <c r="F141" s="499" t="str">
        <f>IFERROR(VLOOKUP(E141,'G-7 Rivers Data'!$C$4:$D$8,2,FALSE),"")</f>
        <v/>
      </c>
      <c r="G141" s="145"/>
      <c r="H141" s="499" t="str">
        <f>IFERROR(INDEX('G-7 Rivers Data'!$H$4:$L$8,MATCH(C141,'G-7 Rivers Data'!$B$4:$B$8,0),MATCH(G141,'G-7 Rivers Data'!$H$3:$L$3,0)),"")</f>
        <v/>
      </c>
      <c r="I141" s="145"/>
      <c r="J141" s="540" t="str">
        <f>IF(I141="","",IF(VLOOKUP(I141,'G-7 Rivers Data'!$AG$4:$AI$9,2,FALSE)=0,"Spatial Data Missing ⚠",VLOOKUP(I141,'G-7 Rivers Data'!$AG$4:$AI$9,2,FALSE)))</f>
        <v/>
      </c>
      <c r="K141" s="499" t="str">
        <f>IF(I141="","",IF(VLOOKUP(I141,'G-7 Rivers Data'!$AG$4:$AI$9,3,FALSE)=0,"Spatial Data Missing ⚠",VLOOKUP(I141,'G-7 Rivers Data'!$AG$4:$AI$9,3,FALSE)))</f>
        <v/>
      </c>
      <c r="L141" s="635" t="str">
        <f>IFERROR(INDEX('G-7 Rivers Data'!$O$3:$O$7,MATCH(G141,'G-7 Rivers Data'!$N$3:$N$7,0)),"")</f>
        <v/>
      </c>
      <c r="M141" s="72"/>
      <c r="N141" s="195"/>
      <c r="O141" s="507" t="str">
        <f t="shared" ref="O141:O204" si="13">IF(L141="","",IF(AND(M141&gt;0,N141&gt;0),"Error -both advance and delayed habitat creation ▲",IF(AND(OR(M141="Habitat already in target condition",L141&lt;=M141),N141=0),"Check details - Is there evidence that habitat has reached target condition? ⚠",IF(M141&gt;0,"Check details - Is there evidence habitat creation started/in place? ⚠",IF(N141&gt;0,"Check details- Delay in starting habitat in required condition? ⚠","Standard time to target condition applied")))))</f>
        <v/>
      </c>
      <c r="P141" s="521" t="str">
        <f t="shared" ref="P141:P204" si="14">IF(LEFT(O141,5)="Error ▲","Check Data ⚠",IF(L141="","",IF(M141="30+",0,IF(N141="30+","30+ ⚠",IF(L141+N141&gt;30,"30+ ⚠",IF(L141+N141-M141&gt;0,L141+N141-M141,IF(L141-M141&lt;0,0,L141+N141-M141)))))))</f>
        <v/>
      </c>
      <c r="Q141" s="564" t="str">
        <f>IFERROR(IF(P141="Check Data ⚠","Check Data ⚠",VLOOKUP(P141,'G-4 Temporal multipliers'!$A$4:$C$37,3,FALSE)),"")</f>
        <v/>
      </c>
      <c r="R141" s="498" t="str">
        <f>IF(C141="","",VLOOKUP(C141,'G-7 Rivers Data'!$B$4:$G$8,4,FALSE))</f>
        <v/>
      </c>
      <c r="S141" s="507" t="str">
        <f t="shared" ref="S141:S204" si="15">IF(C141="","",IF(P141="Check Data ⚠","Check Data ⚠",IF(G141="","",IF($O141="Check details - Is there evidence that habitat has reached target condition? ⚠","No - Low Difficulty - only applicable if all habitat created before losses ⚠","Standard difficulty applied"))))</f>
        <v/>
      </c>
      <c r="T141" s="540" t="str">
        <f t="shared" ref="T141:T204" si="16">(IF(AND(S141="Standard difficulty applied",L141&gt;M141),R141,IF(AND(S141="No - Low Difficulty - only applicable if all habitat created before losses ⚠",M141&gt;=L141),"Low",R141)))</f>
        <v/>
      </c>
      <c r="U141" s="499" t="str">
        <f t="shared" ref="U141:U204" si="17">IF(C141="","",VLOOKUP(R141,Difficulty,2,FALSE))</f>
        <v/>
      </c>
      <c r="V141" s="71"/>
      <c r="W141" s="499" t="str">
        <f>IF(V141="","",IF(VLOOKUP(V141,'G-7 Rivers Data'!$AA$4:$AB$7,2,FALSE)=0,"Spatial Data Missing ⚠",VLOOKUP(V141,'G-7 Rivers Data'!$AA$4:$AB$7,2,FALSE)))</f>
        <v/>
      </c>
      <c r="X141" s="155"/>
      <c r="Y141" s="499" t="str">
        <f>IF(X141="","",IF(VLOOKUP(X141,'G-7 Rivers Data'!$AD$4:$AE$8,2,FALSE)=0,"Enrcoachment Data Missing ⚠",VLOOKUP(X141,'G-7 Rivers Data'!$AD$4:$AE$8,2,FALSE)))</f>
        <v/>
      </c>
      <c r="Z141" s="154"/>
      <c r="AA141" s="524" t="str">
        <f>IF(Z141="","",VLOOKUP(Z141,'G-7 Rivers Data'!$AO$4:$AP$7,2,FALSE))</f>
        <v/>
      </c>
      <c r="AB141" s="545" t="str">
        <f t="shared" ref="AB141:AB204" si="18">IFERROR(D141*F141*H141*K141*Q141*U141*W141*Y141*AA141,"")</f>
        <v/>
      </c>
      <c r="AC141" s="149"/>
      <c r="AD141" s="150"/>
      <c r="AK141" s="31" t="str">
        <f>IFERROR(INDEX('G-7 Rivers Data'!$AZ$3:$AZ$7,MATCH(C141,'G-7 Rivers Data'!$AY$3:$AY$7,0)),"")</f>
        <v/>
      </c>
    </row>
    <row r="142" spans="2:37" ht="14" x14ac:dyDescent="0.3">
      <c r="B142" s="141">
        <v>131</v>
      </c>
      <c r="C142" s="666"/>
      <c r="D142" s="172"/>
      <c r="E142" s="498" t="str">
        <f>IF(C142="","",VLOOKUP(C142,'G-7 Rivers Data'!$B$2:$Z$9,2,FALSE))</f>
        <v/>
      </c>
      <c r="F142" s="499" t="str">
        <f>IFERROR(VLOOKUP(E142,'G-7 Rivers Data'!$C$4:$D$8,2,FALSE),"")</f>
        <v/>
      </c>
      <c r="G142" s="145"/>
      <c r="H142" s="499" t="str">
        <f>IFERROR(INDEX('G-7 Rivers Data'!$H$4:$L$8,MATCH(C142,'G-7 Rivers Data'!$B$4:$B$8,0),MATCH(G142,'G-7 Rivers Data'!$H$3:$L$3,0)),"")</f>
        <v/>
      </c>
      <c r="I142" s="145"/>
      <c r="J142" s="540" t="str">
        <f>IF(I142="","",IF(VLOOKUP(I142,'G-7 Rivers Data'!$AG$4:$AI$9,2,FALSE)=0,"Spatial Data Missing ⚠",VLOOKUP(I142,'G-7 Rivers Data'!$AG$4:$AI$9,2,FALSE)))</f>
        <v/>
      </c>
      <c r="K142" s="499" t="str">
        <f>IF(I142="","",IF(VLOOKUP(I142,'G-7 Rivers Data'!$AG$4:$AI$9,3,FALSE)=0,"Spatial Data Missing ⚠",VLOOKUP(I142,'G-7 Rivers Data'!$AG$4:$AI$9,3,FALSE)))</f>
        <v/>
      </c>
      <c r="L142" s="635" t="str">
        <f>IFERROR(INDEX('G-7 Rivers Data'!$O$3:$O$7,MATCH(G142,'G-7 Rivers Data'!$N$3:$N$7,0)),"")</f>
        <v/>
      </c>
      <c r="M142" s="72"/>
      <c r="N142" s="195"/>
      <c r="O142" s="507" t="str">
        <f t="shared" si="13"/>
        <v/>
      </c>
      <c r="P142" s="521" t="str">
        <f t="shared" si="14"/>
        <v/>
      </c>
      <c r="Q142" s="564" t="str">
        <f>IFERROR(IF(P142="Check Data ⚠","Check Data ⚠",VLOOKUP(P142,'G-4 Temporal multipliers'!$A$4:$C$37,3,FALSE)),"")</f>
        <v/>
      </c>
      <c r="R142" s="498" t="str">
        <f>IF(C142="","",VLOOKUP(C142,'G-7 Rivers Data'!$B$4:$G$8,4,FALSE))</f>
        <v/>
      </c>
      <c r="S142" s="507" t="str">
        <f t="shared" si="15"/>
        <v/>
      </c>
      <c r="T142" s="540" t="str">
        <f t="shared" si="16"/>
        <v/>
      </c>
      <c r="U142" s="499" t="str">
        <f t="shared" si="17"/>
        <v/>
      </c>
      <c r="V142" s="71"/>
      <c r="W142" s="499" t="str">
        <f>IF(V142="","",IF(VLOOKUP(V142,'G-7 Rivers Data'!$AA$4:$AB$7,2,FALSE)=0,"Spatial Data Missing ⚠",VLOOKUP(V142,'G-7 Rivers Data'!$AA$4:$AB$7,2,FALSE)))</f>
        <v/>
      </c>
      <c r="X142" s="155"/>
      <c r="Y142" s="499" t="str">
        <f>IF(X142="","",IF(VLOOKUP(X142,'G-7 Rivers Data'!$AD$4:$AE$8,2,FALSE)=0,"Enrcoachment Data Missing ⚠",VLOOKUP(X142,'G-7 Rivers Data'!$AD$4:$AE$8,2,FALSE)))</f>
        <v/>
      </c>
      <c r="Z142" s="154"/>
      <c r="AA142" s="524" t="str">
        <f>IF(Z142="","",VLOOKUP(Z142,'G-7 Rivers Data'!$AO$4:$AP$7,2,FALSE))</f>
        <v/>
      </c>
      <c r="AB142" s="545" t="str">
        <f t="shared" si="18"/>
        <v/>
      </c>
      <c r="AC142" s="149"/>
      <c r="AD142" s="150"/>
      <c r="AK142" s="31" t="str">
        <f>IFERROR(INDEX('G-7 Rivers Data'!$AZ$3:$AZ$7,MATCH(C142,'G-7 Rivers Data'!$AY$3:$AY$7,0)),"")</f>
        <v/>
      </c>
    </row>
    <row r="143" spans="2:37" ht="14" x14ac:dyDescent="0.3">
      <c r="B143" s="141">
        <v>132</v>
      </c>
      <c r="C143" s="666"/>
      <c r="D143" s="172"/>
      <c r="E143" s="498" t="str">
        <f>IF(C143="","",VLOOKUP(C143,'G-7 Rivers Data'!$B$2:$Z$9,2,FALSE))</f>
        <v/>
      </c>
      <c r="F143" s="499" t="str">
        <f>IFERROR(VLOOKUP(E143,'G-7 Rivers Data'!$C$4:$D$8,2,FALSE),"")</f>
        <v/>
      </c>
      <c r="G143" s="145"/>
      <c r="H143" s="499" t="str">
        <f>IFERROR(INDEX('G-7 Rivers Data'!$H$4:$L$8,MATCH(C143,'G-7 Rivers Data'!$B$4:$B$8,0),MATCH(G143,'G-7 Rivers Data'!$H$3:$L$3,0)),"")</f>
        <v/>
      </c>
      <c r="I143" s="145"/>
      <c r="J143" s="540" t="str">
        <f>IF(I143="","",IF(VLOOKUP(I143,'G-7 Rivers Data'!$AG$4:$AI$9,2,FALSE)=0,"Spatial Data Missing ⚠",VLOOKUP(I143,'G-7 Rivers Data'!$AG$4:$AI$9,2,FALSE)))</f>
        <v/>
      </c>
      <c r="K143" s="499" t="str">
        <f>IF(I143="","",IF(VLOOKUP(I143,'G-7 Rivers Data'!$AG$4:$AI$9,3,FALSE)=0,"Spatial Data Missing ⚠",VLOOKUP(I143,'G-7 Rivers Data'!$AG$4:$AI$9,3,FALSE)))</f>
        <v/>
      </c>
      <c r="L143" s="635" t="str">
        <f>IFERROR(INDEX('G-7 Rivers Data'!$O$3:$O$7,MATCH(G143,'G-7 Rivers Data'!$N$3:$N$7,0)),"")</f>
        <v/>
      </c>
      <c r="M143" s="72"/>
      <c r="N143" s="195"/>
      <c r="O143" s="507" t="str">
        <f t="shared" si="13"/>
        <v/>
      </c>
      <c r="P143" s="521" t="str">
        <f t="shared" si="14"/>
        <v/>
      </c>
      <c r="Q143" s="564" t="str">
        <f>IFERROR(IF(P143="Check Data ⚠","Check Data ⚠",VLOOKUP(P143,'G-4 Temporal multipliers'!$A$4:$C$37,3,FALSE)),"")</f>
        <v/>
      </c>
      <c r="R143" s="498" t="str">
        <f>IF(C143="","",VLOOKUP(C143,'G-7 Rivers Data'!$B$4:$G$8,4,FALSE))</f>
        <v/>
      </c>
      <c r="S143" s="507" t="str">
        <f t="shared" si="15"/>
        <v/>
      </c>
      <c r="T143" s="540" t="str">
        <f t="shared" si="16"/>
        <v/>
      </c>
      <c r="U143" s="499" t="str">
        <f t="shared" si="17"/>
        <v/>
      </c>
      <c r="V143" s="71"/>
      <c r="W143" s="499" t="str">
        <f>IF(V143="","",IF(VLOOKUP(V143,'G-7 Rivers Data'!$AA$4:$AB$7,2,FALSE)=0,"Spatial Data Missing ⚠",VLOOKUP(V143,'G-7 Rivers Data'!$AA$4:$AB$7,2,FALSE)))</f>
        <v/>
      </c>
      <c r="X143" s="155"/>
      <c r="Y143" s="499" t="str">
        <f>IF(X143="","",IF(VLOOKUP(X143,'G-7 Rivers Data'!$AD$4:$AE$8,2,FALSE)=0,"Enrcoachment Data Missing ⚠",VLOOKUP(X143,'G-7 Rivers Data'!$AD$4:$AE$8,2,FALSE)))</f>
        <v/>
      </c>
      <c r="Z143" s="154"/>
      <c r="AA143" s="524" t="str">
        <f>IF(Z143="","",VLOOKUP(Z143,'G-7 Rivers Data'!$AO$4:$AP$7,2,FALSE))</f>
        <v/>
      </c>
      <c r="AB143" s="545" t="str">
        <f t="shared" si="18"/>
        <v/>
      </c>
      <c r="AC143" s="149"/>
      <c r="AD143" s="150"/>
      <c r="AK143" s="31" t="str">
        <f>IFERROR(INDEX('G-7 Rivers Data'!$AZ$3:$AZ$7,MATCH(C143,'G-7 Rivers Data'!$AY$3:$AY$7,0)),"")</f>
        <v/>
      </c>
    </row>
    <row r="144" spans="2:37" ht="14" x14ac:dyDescent="0.3">
      <c r="B144" s="141">
        <v>133</v>
      </c>
      <c r="C144" s="666"/>
      <c r="D144" s="172"/>
      <c r="E144" s="498" t="str">
        <f>IF(C144="","",VLOOKUP(C144,'G-7 Rivers Data'!$B$2:$Z$9,2,FALSE))</f>
        <v/>
      </c>
      <c r="F144" s="499" t="str">
        <f>IFERROR(VLOOKUP(E144,'G-7 Rivers Data'!$C$4:$D$8,2,FALSE),"")</f>
        <v/>
      </c>
      <c r="G144" s="145"/>
      <c r="H144" s="499" t="str">
        <f>IFERROR(INDEX('G-7 Rivers Data'!$H$4:$L$8,MATCH(C144,'G-7 Rivers Data'!$B$4:$B$8,0),MATCH(G144,'G-7 Rivers Data'!$H$3:$L$3,0)),"")</f>
        <v/>
      </c>
      <c r="I144" s="145"/>
      <c r="J144" s="540" t="str">
        <f>IF(I144="","",IF(VLOOKUP(I144,'G-7 Rivers Data'!$AG$4:$AI$9,2,FALSE)=0,"Spatial Data Missing ⚠",VLOOKUP(I144,'G-7 Rivers Data'!$AG$4:$AI$9,2,FALSE)))</f>
        <v/>
      </c>
      <c r="K144" s="499" t="str">
        <f>IF(I144="","",IF(VLOOKUP(I144,'G-7 Rivers Data'!$AG$4:$AI$9,3,FALSE)=0,"Spatial Data Missing ⚠",VLOOKUP(I144,'G-7 Rivers Data'!$AG$4:$AI$9,3,FALSE)))</f>
        <v/>
      </c>
      <c r="L144" s="635" t="str">
        <f>IFERROR(INDEX('G-7 Rivers Data'!$O$3:$O$7,MATCH(G144,'G-7 Rivers Data'!$N$3:$N$7,0)),"")</f>
        <v/>
      </c>
      <c r="M144" s="72"/>
      <c r="N144" s="195"/>
      <c r="O144" s="507" t="str">
        <f t="shared" si="13"/>
        <v/>
      </c>
      <c r="P144" s="521" t="str">
        <f t="shared" si="14"/>
        <v/>
      </c>
      <c r="Q144" s="564" t="str">
        <f>IFERROR(IF(P144="Check Data ⚠","Check Data ⚠",VLOOKUP(P144,'G-4 Temporal multipliers'!$A$4:$C$37,3,FALSE)),"")</f>
        <v/>
      </c>
      <c r="R144" s="498" t="str">
        <f>IF(C144="","",VLOOKUP(C144,'G-7 Rivers Data'!$B$4:$G$8,4,FALSE))</f>
        <v/>
      </c>
      <c r="S144" s="507" t="str">
        <f t="shared" si="15"/>
        <v/>
      </c>
      <c r="T144" s="540" t="str">
        <f t="shared" si="16"/>
        <v/>
      </c>
      <c r="U144" s="499" t="str">
        <f t="shared" si="17"/>
        <v/>
      </c>
      <c r="V144" s="71"/>
      <c r="W144" s="499" t="str">
        <f>IF(V144="","",IF(VLOOKUP(V144,'G-7 Rivers Data'!$AA$4:$AB$7,2,FALSE)=0,"Spatial Data Missing ⚠",VLOOKUP(V144,'G-7 Rivers Data'!$AA$4:$AB$7,2,FALSE)))</f>
        <v/>
      </c>
      <c r="X144" s="155"/>
      <c r="Y144" s="499" t="str">
        <f>IF(X144="","",IF(VLOOKUP(X144,'G-7 Rivers Data'!$AD$4:$AE$8,2,FALSE)=0,"Enrcoachment Data Missing ⚠",VLOOKUP(X144,'G-7 Rivers Data'!$AD$4:$AE$8,2,FALSE)))</f>
        <v/>
      </c>
      <c r="Z144" s="154"/>
      <c r="AA144" s="524" t="str">
        <f>IF(Z144="","",VLOOKUP(Z144,'G-7 Rivers Data'!$AO$4:$AP$7,2,FALSE))</f>
        <v/>
      </c>
      <c r="AB144" s="545" t="str">
        <f t="shared" si="18"/>
        <v/>
      </c>
      <c r="AC144" s="149"/>
      <c r="AD144" s="150"/>
      <c r="AK144" s="31" t="str">
        <f>IFERROR(INDEX('G-7 Rivers Data'!$AZ$3:$AZ$7,MATCH(C144,'G-7 Rivers Data'!$AY$3:$AY$7,0)),"")</f>
        <v/>
      </c>
    </row>
    <row r="145" spans="2:37" ht="14" x14ac:dyDescent="0.3">
      <c r="B145" s="141">
        <v>134</v>
      </c>
      <c r="C145" s="666"/>
      <c r="D145" s="172"/>
      <c r="E145" s="498" t="str">
        <f>IF(C145="","",VLOOKUP(C145,'G-7 Rivers Data'!$B$2:$Z$9,2,FALSE))</f>
        <v/>
      </c>
      <c r="F145" s="499" t="str">
        <f>IFERROR(VLOOKUP(E145,'G-7 Rivers Data'!$C$4:$D$8,2,FALSE),"")</f>
        <v/>
      </c>
      <c r="G145" s="145"/>
      <c r="H145" s="499" t="str">
        <f>IFERROR(INDEX('G-7 Rivers Data'!$H$4:$L$8,MATCH(C145,'G-7 Rivers Data'!$B$4:$B$8,0),MATCH(G145,'G-7 Rivers Data'!$H$3:$L$3,0)),"")</f>
        <v/>
      </c>
      <c r="I145" s="145"/>
      <c r="J145" s="540" t="str">
        <f>IF(I145="","",IF(VLOOKUP(I145,'G-7 Rivers Data'!$AG$4:$AI$9,2,FALSE)=0,"Spatial Data Missing ⚠",VLOOKUP(I145,'G-7 Rivers Data'!$AG$4:$AI$9,2,FALSE)))</f>
        <v/>
      </c>
      <c r="K145" s="499" t="str">
        <f>IF(I145="","",IF(VLOOKUP(I145,'G-7 Rivers Data'!$AG$4:$AI$9,3,FALSE)=0,"Spatial Data Missing ⚠",VLOOKUP(I145,'G-7 Rivers Data'!$AG$4:$AI$9,3,FALSE)))</f>
        <v/>
      </c>
      <c r="L145" s="635" t="str">
        <f>IFERROR(INDEX('G-7 Rivers Data'!$O$3:$O$7,MATCH(G145,'G-7 Rivers Data'!$N$3:$N$7,0)),"")</f>
        <v/>
      </c>
      <c r="M145" s="72"/>
      <c r="N145" s="195"/>
      <c r="O145" s="507" t="str">
        <f t="shared" si="13"/>
        <v/>
      </c>
      <c r="P145" s="521" t="str">
        <f t="shared" si="14"/>
        <v/>
      </c>
      <c r="Q145" s="564" t="str">
        <f>IFERROR(IF(P145="Check Data ⚠","Check Data ⚠",VLOOKUP(P145,'G-4 Temporal multipliers'!$A$4:$C$37,3,FALSE)),"")</f>
        <v/>
      </c>
      <c r="R145" s="498" t="str">
        <f>IF(C145="","",VLOOKUP(C145,'G-7 Rivers Data'!$B$4:$G$8,4,FALSE))</f>
        <v/>
      </c>
      <c r="S145" s="507" t="str">
        <f t="shared" si="15"/>
        <v/>
      </c>
      <c r="T145" s="540" t="str">
        <f t="shared" si="16"/>
        <v/>
      </c>
      <c r="U145" s="499" t="str">
        <f t="shared" si="17"/>
        <v/>
      </c>
      <c r="V145" s="71"/>
      <c r="W145" s="499" t="str">
        <f>IF(V145="","",IF(VLOOKUP(V145,'G-7 Rivers Data'!$AA$4:$AB$7,2,FALSE)=0,"Spatial Data Missing ⚠",VLOOKUP(V145,'G-7 Rivers Data'!$AA$4:$AB$7,2,FALSE)))</f>
        <v/>
      </c>
      <c r="X145" s="155"/>
      <c r="Y145" s="499" t="str">
        <f>IF(X145="","",IF(VLOOKUP(X145,'G-7 Rivers Data'!$AD$4:$AE$8,2,FALSE)=0,"Enrcoachment Data Missing ⚠",VLOOKUP(X145,'G-7 Rivers Data'!$AD$4:$AE$8,2,FALSE)))</f>
        <v/>
      </c>
      <c r="Z145" s="154"/>
      <c r="AA145" s="524" t="str">
        <f>IF(Z145="","",VLOOKUP(Z145,'G-7 Rivers Data'!$AO$4:$AP$7,2,FALSE))</f>
        <v/>
      </c>
      <c r="AB145" s="545" t="str">
        <f t="shared" si="18"/>
        <v/>
      </c>
      <c r="AC145" s="149"/>
      <c r="AD145" s="150"/>
      <c r="AK145" s="31" t="str">
        <f>IFERROR(INDEX('G-7 Rivers Data'!$AZ$3:$AZ$7,MATCH(C145,'G-7 Rivers Data'!$AY$3:$AY$7,0)),"")</f>
        <v/>
      </c>
    </row>
    <row r="146" spans="2:37" ht="14" x14ac:dyDescent="0.3">
      <c r="B146" s="141">
        <v>135</v>
      </c>
      <c r="C146" s="666"/>
      <c r="D146" s="172"/>
      <c r="E146" s="498" t="str">
        <f>IF(C146="","",VLOOKUP(C146,'G-7 Rivers Data'!$B$2:$Z$9,2,FALSE))</f>
        <v/>
      </c>
      <c r="F146" s="499" t="str">
        <f>IFERROR(VLOOKUP(E146,'G-7 Rivers Data'!$C$4:$D$8,2,FALSE),"")</f>
        <v/>
      </c>
      <c r="G146" s="145"/>
      <c r="H146" s="499" t="str">
        <f>IFERROR(INDEX('G-7 Rivers Data'!$H$4:$L$8,MATCH(C146,'G-7 Rivers Data'!$B$4:$B$8,0),MATCH(G146,'G-7 Rivers Data'!$H$3:$L$3,0)),"")</f>
        <v/>
      </c>
      <c r="I146" s="145"/>
      <c r="J146" s="540" t="str">
        <f>IF(I146="","",IF(VLOOKUP(I146,'G-7 Rivers Data'!$AG$4:$AI$9,2,FALSE)=0,"Spatial Data Missing ⚠",VLOOKUP(I146,'G-7 Rivers Data'!$AG$4:$AI$9,2,FALSE)))</f>
        <v/>
      </c>
      <c r="K146" s="499" t="str">
        <f>IF(I146="","",IF(VLOOKUP(I146,'G-7 Rivers Data'!$AG$4:$AI$9,3,FALSE)=0,"Spatial Data Missing ⚠",VLOOKUP(I146,'G-7 Rivers Data'!$AG$4:$AI$9,3,FALSE)))</f>
        <v/>
      </c>
      <c r="L146" s="635" t="str">
        <f>IFERROR(INDEX('G-7 Rivers Data'!$O$3:$O$7,MATCH(G146,'G-7 Rivers Data'!$N$3:$N$7,0)),"")</f>
        <v/>
      </c>
      <c r="M146" s="72"/>
      <c r="N146" s="195"/>
      <c r="O146" s="507" t="str">
        <f t="shared" si="13"/>
        <v/>
      </c>
      <c r="P146" s="521" t="str">
        <f t="shared" si="14"/>
        <v/>
      </c>
      <c r="Q146" s="564" t="str">
        <f>IFERROR(IF(P146="Check Data ⚠","Check Data ⚠",VLOOKUP(P146,'G-4 Temporal multipliers'!$A$4:$C$37,3,FALSE)),"")</f>
        <v/>
      </c>
      <c r="R146" s="498" t="str">
        <f>IF(C146="","",VLOOKUP(C146,'G-7 Rivers Data'!$B$4:$G$8,4,FALSE))</f>
        <v/>
      </c>
      <c r="S146" s="507" t="str">
        <f t="shared" si="15"/>
        <v/>
      </c>
      <c r="T146" s="540" t="str">
        <f t="shared" si="16"/>
        <v/>
      </c>
      <c r="U146" s="499" t="str">
        <f t="shared" si="17"/>
        <v/>
      </c>
      <c r="V146" s="71"/>
      <c r="W146" s="499" t="str">
        <f>IF(V146="","",IF(VLOOKUP(V146,'G-7 Rivers Data'!$AA$4:$AB$7,2,FALSE)=0,"Spatial Data Missing ⚠",VLOOKUP(V146,'G-7 Rivers Data'!$AA$4:$AB$7,2,FALSE)))</f>
        <v/>
      </c>
      <c r="X146" s="155"/>
      <c r="Y146" s="499" t="str">
        <f>IF(X146="","",IF(VLOOKUP(X146,'G-7 Rivers Data'!$AD$4:$AE$8,2,FALSE)=0,"Enrcoachment Data Missing ⚠",VLOOKUP(X146,'G-7 Rivers Data'!$AD$4:$AE$8,2,FALSE)))</f>
        <v/>
      </c>
      <c r="Z146" s="154"/>
      <c r="AA146" s="524" t="str">
        <f>IF(Z146="","",VLOOKUP(Z146,'G-7 Rivers Data'!$AO$4:$AP$7,2,FALSE))</f>
        <v/>
      </c>
      <c r="AB146" s="545" t="str">
        <f t="shared" si="18"/>
        <v/>
      </c>
      <c r="AC146" s="149"/>
      <c r="AD146" s="150"/>
      <c r="AK146" s="31" t="str">
        <f>IFERROR(INDEX('G-7 Rivers Data'!$AZ$3:$AZ$7,MATCH(C146,'G-7 Rivers Data'!$AY$3:$AY$7,0)),"")</f>
        <v/>
      </c>
    </row>
    <row r="147" spans="2:37" ht="14" x14ac:dyDescent="0.3">
      <c r="B147" s="141">
        <v>136</v>
      </c>
      <c r="C147" s="666"/>
      <c r="D147" s="172"/>
      <c r="E147" s="498" t="str">
        <f>IF(C147="","",VLOOKUP(C147,'G-7 Rivers Data'!$B$2:$Z$9,2,FALSE))</f>
        <v/>
      </c>
      <c r="F147" s="499" t="str">
        <f>IFERROR(VLOOKUP(E147,'G-7 Rivers Data'!$C$4:$D$8,2,FALSE),"")</f>
        <v/>
      </c>
      <c r="G147" s="145"/>
      <c r="H147" s="499" t="str">
        <f>IFERROR(INDEX('G-7 Rivers Data'!$H$4:$L$8,MATCH(C147,'G-7 Rivers Data'!$B$4:$B$8,0),MATCH(G147,'G-7 Rivers Data'!$H$3:$L$3,0)),"")</f>
        <v/>
      </c>
      <c r="I147" s="145"/>
      <c r="J147" s="540" t="str">
        <f>IF(I147="","",IF(VLOOKUP(I147,'G-7 Rivers Data'!$AG$4:$AI$9,2,FALSE)=0,"Spatial Data Missing ⚠",VLOOKUP(I147,'G-7 Rivers Data'!$AG$4:$AI$9,2,FALSE)))</f>
        <v/>
      </c>
      <c r="K147" s="499" t="str">
        <f>IF(I147="","",IF(VLOOKUP(I147,'G-7 Rivers Data'!$AG$4:$AI$9,3,FALSE)=0,"Spatial Data Missing ⚠",VLOOKUP(I147,'G-7 Rivers Data'!$AG$4:$AI$9,3,FALSE)))</f>
        <v/>
      </c>
      <c r="L147" s="635" t="str">
        <f>IFERROR(INDEX('G-7 Rivers Data'!$O$3:$O$7,MATCH(G147,'G-7 Rivers Data'!$N$3:$N$7,0)),"")</f>
        <v/>
      </c>
      <c r="M147" s="72"/>
      <c r="N147" s="195"/>
      <c r="O147" s="507" t="str">
        <f t="shared" si="13"/>
        <v/>
      </c>
      <c r="P147" s="521" t="str">
        <f t="shared" si="14"/>
        <v/>
      </c>
      <c r="Q147" s="564" t="str">
        <f>IFERROR(IF(P147="Check Data ⚠","Check Data ⚠",VLOOKUP(P147,'G-4 Temporal multipliers'!$A$4:$C$37,3,FALSE)),"")</f>
        <v/>
      </c>
      <c r="R147" s="498" t="str">
        <f>IF(C147="","",VLOOKUP(C147,'G-7 Rivers Data'!$B$4:$G$8,4,FALSE))</f>
        <v/>
      </c>
      <c r="S147" s="507" t="str">
        <f t="shared" si="15"/>
        <v/>
      </c>
      <c r="T147" s="540" t="str">
        <f t="shared" si="16"/>
        <v/>
      </c>
      <c r="U147" s="499" t="str">
        <f t="shared" si="17"/>
        <v/>
      </c>
      <c r="V147" s="71"/>
      <c r="W147" s="499" t="str">
        <f>IF(V147="","",IF(VLOOKUP(V147,'G-7 Rivers Data'!$AA$4:$AB$7,2,FALSE)=0,"Spatial Data Missing ⚠",VLOOKUP(V147,'G-7 Rivers Data'!$AA$4:$AB$7,2,FALSE)))</f>
        <v/>
      </c>
      <c r="X147" s="155"/>
      <c r="Y147" s="499" t="str">
        <f>IF(X147="","",IF(VLOOKUP(X147,'G-7 Rivers Data'!$AD$4:$AE$8,2,FALSE)=0,"Enrcoachment Data Missing ⚠",VLOOKUP(X147,'G-7 Rivers Data'!$AD$4:$AE$8,2,FALSE)))</f>
        <v/>
      </c>
      <c r="Z147" s="154"/>
      <c r="AA147" s="524" t="str">
        <f>IF(Z147="","",VLOOKUP(Z147,'G-7 Rivers Data'!$AO$4:$AP$7,2,FALSE))</f>
        <v/>
      </c>
      <c r="AB147" s="545" t="str">
        <f t="shared" si="18"/>
        <v/>
      </c>
      <c r="AC147" s="149"/>
      <c r="AD147" s="150"/>
      <c r="AK147" s="31" t="str">
        <f>IFERROR(INDEX('G-7 Rivers Data'!$AZ$3:$AZ$7,MATCH(C147,'G-7 Rivers Data'!$AY$3:$AY$7,0)),"")</f>
        <v/>
      </c>
    </row>
    <row r="148" spans="2:37" ht="14" x14ac:dyDescent="0.3">
      <c r="B148" s="141">
        <v>137</v>
      </c>
      <c r="C148" s="666"/>
      <c r="D148" s="172"/>
      <c r="E148" s="498" t="str">
        <f>IF(C148="","",VLOOKUP(C148,'G-7 Rivers Data'!$B$2:$Z$9,2,FALSE))</f>
        <v/>
      </c>
      <c r="F148" s="499" t="str">
        <f>IFERROR(VLOOKUP(E148,'G-7 Rivers Data'!$C$4:$D$8,2,FALSE),"")</f>
        <v/>
      </c>
      <c r="G148" s="145"/>
      <c r="H148" s="499" t="str">
        <f>IFERROR(INDEX('G-7 Rivers Data'!$H$4:$L$8,MATCH(C148,'G-7 Rivers Data'!$B$4:$B$8,0),MATCH(G148,'G-7 Rivers Data'!$H$3:$L$3,0)),"")</f>
        <v/>
      </c>
      <c r="I148" s="145"/>
      <c r="J148" s="540" t="str">
        <f>IF(I148="","",IF(VLOOKUP(I148,'G-7 Rivers Data'!$AG$4:$AI$9,2,FALSE)=0,"Spatial Data Missing ⚠",VLOOKUP(I148,'G-7 Rivers Data'!$AG$4:$AI$9,2,FALSE)))</f>
        <v/>
      </c>
      <c r="K148" s="499" t="str">
        <f>IF(I148="","",IF(VLOOKUP(I148,'G-7 Rivers Data'!$AG$4:$AI$9,3,FALSE)=0,"Spatial Data Missing ⚠",VLOOKUP(I148,'G-7 Rivers Data'!$AG$4:$AI$9,3,FALSE)))</f>
        <v/>
      </c>
      <c r="L148" s="635" t="str">
        <f>IFERROR(INDEX('G-7 Rivers Data'!$O$3:$O$7,MATCH(G148,'G-7 Rivers Data'!$N$3:$N$7,0)),"")</f>
        <v/>
      </c>
      <c r="M148" s="72"/>
      <c r="N148" s="195"/>
      <c r="O148" s="507" t="str">
        <f t="shared" si="13"/>
        <v/>
      </c>
      <c r="P148" s="521" t="str">
        <f t="shared" si="14"/>
        <v/>
      </c>
      <c r="Q148" s="564" t="str">
        <f>IFERROR(IF(P148="Check Data ⚠","Check Data ⚠",VLOOKUP(P148,'G-4 Temporal multipliers'!$A$4:$C$37,3,FALSE)),"")</f>
        <v/>
      </c>
      <c r="R148" s="498" t="str">
        <f>IF(C148="","",VLOOKUP(C148,'G-7 Rivers Data'!$B$4:$G$8,4,FALSE))</f>
        <v/>
      </c>
      <c r="S148" s="507" t="str">
        <f t="shared" si="15"/>
        <v/>
      </c>
      <c r="T148" s="540" t="str">
        <f t="shared" si="16"/>
        <v/>
      </c>
      <c r="U148" s="499" t="str">
        <f t="shared" si="17"/>
        <v/>
      </c>
      <c r="V148" s="71"/>
      <c r="W148" s="499" t="str">
        <f>IF(V148="","",IF(VLOOKUP(V148,'G-7 Rivers Data'!$AA$4:$AB$7,2,FALSE)=0,"Spatial Data Missing ⚠",VLOOKUP(V148,'G-7 Rivers Data'!$AA$4:$AB$7,2,FALSE)))</f>
        <v/>
      </c>
      <c r="X148" s="155"/>
      <c r="Y148" s="499" t="str">
        <f>IF(X148="","",IF(VLOOKUP(X148,'G-7 Rivers Data'!$AD$4:$AE$8,2,FALSE)=0,"Enrcoachment Data Missing ⚠",VLOOKUP(X148,'G-7 Rivers Data'!$AD$4:$AE$8,2,FALSE)))</f>
        <v/>
      </c>
      <c r="Z148" s="154"/>
      <c r="AA148" s="524" t="str">
        <f>IF(Z148="","",VLOOKUP(Z148,'G-7 Rivers Data'!$AO$4:$AP$7,2,FALSE))</f>
        <v/>
      </c>
      <c r="AB148" s="545" t="str">
        <f t="shared" si="18"/>
        <v/>
      </c>
      <c r="AC148" s="149"/>
      <c r="AD148" s="150"/>
      <c r="AK148" s="31" t="str">
        <f>IFERROR(INDEX('G-7 Rivers Data'!$AZ$3:$AZ$7,MATCH(C148,'G-7 Rivers Data'!$AY$3:$AY$7,0)),"")</f>
        <v/>
      </c>
    </row>
    <row r="149" spans="2:37" ht="14" x14ac:dyDescent="0.3">
      <c r="B149" s="141">
        <v>138</v>
      </c>
      <c r="C149" s="666"/>
      <c r="D149" s="172"/>
      <c r="E149" s="498" t="str">
        <f>IF(C149="","",VLOOKUP(C149,'G-7 Rivers Data'!$B$2:$Z$9,2,FALSE))</f>
        <v/>
      </c>
      <c r="F149" s="499" t="str">
        <f>IFERROR(VLOOKUP(E149,'G-7 Rivers Data'!$C$4:$D$8,2,FALSE),"")</f>
        <v/>
      </c>
      <c r="G149" s="145"/>
      <c r="H149" s="499" t="str">
        <f>IFERROR(INDEX('G-7 Rivers Data'!$H$4:$L$8,MATCH(C149,'G-7 Rivers Data'!$B$4:$B$8,0),MATCH(G149,'G-7 Rivers Data'!$H$3:$L$3,0)),"")</f>
        <v/>
      </c>
      <c r="I149" s="145"/>
      <c r="J149" s="540" t="str">
        <f>IF(I149="","",IF(VLOOKUP(I149,'G-7 Rivers Data'!$AG$4:$AI$9,2,FALSE)=0,"Spatial Data Missing ⚠",VLOOKUP(I149,'G-7 Rivers Data'!$AG$4:$AI$9,2,FALSE)))</f>
        <v/>
      </c>
      <c r="K149" s="499" t="str">
        <f>IF(I149="","",IF(VLOOKUP(I149,'G-7 Rivers Data'!$AG$4:$AI$9,3,FALSE)=0,"Spatial Data Missing ⚠",VLOOKUP(I149,'G-7 Rivers Data'!$AG$4:$AI$9,3,FALSE)))</f>
        <v/>
      </c>
      <c r="L149" s="635" t="str">
        <f>IFERROR(INDEX('G-7 Rivers Data'!$O$3:$O$7,MATCH(G149,'G-7 Rivers Data'!$N$3:$N$7,0)),"")</f>
        <v/>
      </c>
      <c r="M149" s="72"/>
      <c r="N149" s="195"/>
      <c r="O149" s="507" t="str">
        <f t="shared" si="13"/>
        <v/>
      </c>
      <c r="P149" s="521" t="str">
        <f t="shared" si="14"/>
        <v/>
      </c>
      <c r="Q149" s="564" t="str">
        <f>IFERROR(IF(P149="Check Data ⚠","Check Data ⚠",VLOOKUP(P149,'G-4 Temporal multipliers'!$A$4:$C$37,3,FALSE)),"")</f>
        <v/>
      </c>
      <c r="R149" s="498" t="str">
        <f>IF(C149="","",VLOOKUP(C149,'G-7 Rivers Data'!$B$4:$G$8,4,FALSE))</f>
        <v/>
      </c>
      <c r="S149" s="507" t="str">
        <f t="shared" si="15"/>
        <v/>
      </c>
      <c r="T149" s="540" t="str">
        <f t="shared" si="16"/>
        <v/>
      </c>
      <c r="U149" s="499" t="str">
        <f t="shared" si="17"/>
        <v/>
      </c>
      <c r="V149" s="71"/>
      <c r="W149" s="499" t="str">
        <f>IF(V149="","",IF(VLOOKUP(V149,'G-7 Rivers Data'!$AA$4:$AB$7,2,FALSE)=0,"Spatial Data Missing ⚠",VLOOKUP(V149,'G-7 Rivers Data'!$AA$4:$AB$7,2,FALSE)))</f>
        <v/>
      </c>
      <c r="X149" s="155"/>
      <c r="Y149" s="499" t="str">
        <f>IF(X149="","",IF(VLOOKUP(X149,'G-7 Rivers Data'!$AD$4:$AE$8,2,FALSE)=0,"Enrcoachment Data Missing ⚠",VLOOKUP(X149,'G-7 Rivers Data'!$AD$4:$AE$8,2,FALSE)))</f>
        <v/>
      </c>
      <c r="Z149" s="154"/>
      <c r="AA149" s="524" t="str">
        <f>IF(Z149="","",VLOOKUP(Z149,'G-7 Rivers Data'!$AO$4:$AP$7,2,FALSE))</f>
        <v/>
      </c>
      <c r="AB149" s="545" t="str">
        <f t="shared" si="18"/>
        <v/>
      </c>
      <c r="AC149" s="149"/>
      <c r="AD149" s="150"/>
      <c r="AK149" s="31" t="str">
        <f>IFERROR(INDEX('G-7 Rivers Data'!$AZ$3:$AZ$7,MATCH(C149,'G-7 Rivers Data'!$AY$3:$AY$7,0)),"")</f>
        <v/>
      </c>
    </row>
    <row r="150" spans="2:37" ht="14" x14ac:dyDescent="0.3">
      <c r="B150" s="141">
        <v>139</v>
      </c>
      <c r="C150" s="666"/>
      <c r="D150" s="172"/>
      <c r="E150" s="498" t="str">
        <f>IF(C150="","",VLOOKUP(C150,'G-7 Rivers Data'!$B$2:$Z$9,2,FALSE))</f>
        <v/>
      </c>
      <c r="F150" s="499" t="str">
        <f>IFERROR(VLOOKUP(E150,'G-7 Rivers Data'!$C$4:$D$8,2,FALSE),"")</f>
        <v/>
      </c>
      <c r="G150" s="145"/>
      <c r="H150" s="499" t="str">
        <f>IFERROR(INDEX('G-7 Rivers Data'!$H$4:$L$8,MATCH(C150,'G-7 Rivers Data'!$B$4:$B$8,0),MATCH(G150,'G-7 Rivers Data'!$H$3:$L$3,0)),"")</f>
        <v/>
      </c>
      <c r="I150" s="145"/>
      <c r="J150" s="540" t="str">
        <f>IF(I150="","",IF(VLOOKUP(I150,'G-7 Rivers Data'!$AG$4:$AI$9,2,FALSE)=0,"Spatial Data Missing ⚠",VLOOKUP(I150,'G-7 Rivers Data'!$AG$4:$AI$9,2,FALSE)))</f>
        <v/>
      </c>
      <c r="K150" s="499" t="str">
        <f>IF(I150="","",IF(VLOOKUP(I150,'G-7 Rivers Data'!$AG$4:$AI$9,3,FALSE)=0,"Spatial Data Missing ⚠",VLOOKUP(I150,'G-7 Rivers Data'!$AG$4:$AI$9,3,FALSE)))</f>
        <v/>
      </c>
      <c r="L150" s="635" t="str">
        <f>IFERROR(INDEX('G-7 Rivers Data'!$O$3:$O$7,MATCH(G150,'G-7 Rivers Data'!$N$3:$N$7,0)),"")</f>
        <v/>
      </c>
      <c r="M150" s="72"/>
      <c r="N150" s="195"/>
      <c r="O150" s="507" t="str">
        <f t="shared" si="13"/>
        <v/>
      </c>
      <c r="P150" s="521" t="str">
        <f t="shared" si="14"/>
        <v/>
      </c>
      <c r="Q150" s="564" t="str">
        <f>IFERROR(IF(P150="Check Data ⚠","Check Data ⚠",VLOOKUP(P150,'G-4 Temporal multipliers'!$A$4:$C$37,3,FALSE)),"")</f>
        <v/>
      </c>
      <c r="R150" s="498" t="str">
        <f>IF(C150="","",VLOOKUP(C150,'G-7 Rivers Data'!$B$4:$G$8,4,FALSE))</f>
        <v/>
      </c>
      <c r="S150" s="507" t="str">
        <f t="shared" si="15"/>
        <v/>
      </c>
      <c r="T150" s="540" t="str">
        <f t="shared" si="16"/>
        <v/>
      </c>
      <c r="U150" s="499" t="str">
        <f t="shared" si="17"/>
        <v/>
      </c>
      <c r="V150" s="71"/>
      <c r="W150" s="499" t="str">
        <f>IF(V150="","",IF(VLOOKUP(V150,'G-7 Rivers Data'!$AA$4:$AB$7,2,FALSE)=0,"Spatial Data Missing ⚠",VLOOKUP(V150,'G-7 Rivers Data'!$AA$4:$AB$7,2,FALSE)))</f>
        <v/>
      </c>
      <c r="X150" s="155"/>
      <c r="Y150" s="499" t="str">
        <f>IF(X150="","",IF(VLOOKUP(X150,'G-7 Rivers Data'!$AD$4:$AE$8,2,FALSE)=0,"Enrcoachment Data Missing ⚠",VLOOKUP(X150,'G-7 Rivers Data'!$AD$4:$AE$8,2,FALSE)))</f>
        <v/>
      </c>
      <c r="Z150" s="154"/>
      <c r="AA150" s="524" t="str">
        <f>IF(Z150="","",VLOOKUP(Z150,'G-7 Rivers Data'!$AO$4:$AP$7,2,FALSE))</f>
        <v/>
      </c>
      <c r="AB150" s="545" t="str">
        <f t="shared" si="18"/>
        <v/>
      </c>
      <c r="AC150" s="149"/>
      <c r="AD150" s="150"/>
      <c r="AK150" s="31" t="str">
        <f>IFERROR(INDEX('G-7 Rivers Data'!$AZ$3:$AZ$7,MATCH(C150,'G-7 Rivers Data'!$AY$3:$AY$7,0)),"")</f>
        <v/>
      </c>
    </row>
    <row r="151" spans="2:37" ht="14" x14ac:dyDescent="0.3">
      <c r="B151" s="141">
        <v>140</v>
      </c>
      <c r="C151" s="666"/>
      <c r="D151" s="172"/>
      <c r="E151" s="498" t="str">
        <f>IF(C151="","",VLOOKUP(C151,'G-7 Rivers Data'!$B$2:$Z$9,2,FALSE))</f>
        <v/>
      </c>
      <c r="F151" s="499" t="str">
        <f>IFERROR(VLOOKUP(E151,'G-7 Rivers Data'!$C$4:$D$8,2,FALSE),"")</f>
        <v/>
      </c>
      <c r="G151" s="145"/>
      <c r="H151" s="499" t="str">
        <f>IFERROR(INDEX('G-7 Rivers Data'!$H$4:$L$8,MATCH(C151,'G-7 Rivers Data'!$B$4:$B$8,0),MATCH(G151,'G-7 Rivers Data'!$H$3:$L$3,0)),"")</f>
        <v/>
      </c>
      <c r="I151" s="145"/>
      <c r="J151" s="540" t="str">
        <f>IF(I151="","",IF(VLOOKUP(I151,'G-7 Rivers Data'!$AG$4:$AI$9,2,FALSE)=0,"Spatial Data Missing ⚠",VLOOKUP(I151,'G-7 Rivers Data'!$AG$4:$AI$9,2,FALSE)))</f>
        <v/>
      </c>
      <c r="K151" s="499" t="str">
        <f>IF(I151="","",IF(VLOOKUP(I151,'G-7 Rivers Data'!$AG$4:$AI$9,3,FALSE)=0,"Spatial Data Missing ⚠",VLOOKUP(I151,'G-7 Rivers Data'!$AG$4:$AI$9,3,FALSE)))</f>
        <v/>
      </c>
      <c r="L151" s="635" t="str">
        <f>IFERROR(INDEX('G-7 Rivers Data'!$O$3:$O$7,MATCH(G151,'G-7 Rivers Data'!$N$3:$N$7,0)),"")</f>
        <v/>
      </c>
      <c r="M151" s="72"/>
      <c r="N151" s="195"/>
      <c r="O151" s="507" t="str">
        <f t="shared" si="13"/>
        <v/>
      </c>
      <c r="P151" s="521" t="str">
        <f t="shared" si="14"/>
        <v/>
      </c>
      <c r="Q151" s="564" t="str">
        <f>IFERROR(IF(P151="Check Data ⚠","Check Data ⚠",VLOOKUP(P151,'G-4 Temporal multipliers'!$A$4:$C$37,3,FALSE)),"")</f>
        <v/>
      </c>
      <c r="R151" s="498" t="str">
        <f>IF(C151="","",VLOOKUP(C151,'G-7 Rivers Data'!$B$4:$G$8,4,FALSE))</f>
        <v/>
      </c>
      <c r="S151" s="507" t="str">
        <f t="shared" si="15"/>
        <v/>
      </c>
      <c r="T151" s="540" t="str">
        <f t="shared" si="16"/>
        <v/>
      </c>
      <c r="U151" s="499" t="str">
        <f t="shared" si="17"/>
        <v/>
      </c>
      <c r="V151" s="71"/>
      <c r="W151" s="499" t="str">
        <f>IF(V151="","",IF(VLOOKUP(V151,'G-7 Rivers Data'!$AA$4:$AB$7,2,FALSE)=0,"Spatial Data Missing ⚠",VLOOKUP(V151,'G-7 Rivers Data'!$AA$4:$AB$7,2,FALSE)))</f>
        <v/>
      </c>
      <c r="X151" s="155"/>
      <c r="Y151" s="499" t="str">
        <f>IF(X151="","",IF(VLOOKUP(X151,'G-7 Rivers Data'!$AD$4:$AE$8,2,FALSE)=0,"Enrcoachment Data Missing ⚠",VLOOKUP(X151,'G-7 Rivers Data'!$AD$4:$AE$8,2,FALSE)))</f>
        <v/>
      </c>
      <c r="Z151" s="154"/>
      <c r="AA151" s="524" t="str">
        <f>IF(Z151="","",VLOOKUP(Z151,'G-7 Rivers Data'!$AO$4:$AP$7,2,FALSE))</f>
        <v/>
      </c>
      <c r="AB151" s="545" t="str">
        <f t="shared" si="18"/>
        <v/>
      </c>
      <c r="AC151" s="149"/>
      <c r="AD151" s="150"/>
      <c r="AK151" s="31" t="str">
        <f>IFERROR(INDEX('G-7 Rivers Data'!$AZ$3:$AZ$7,MATCH(C151,'G-7 Rivers Data'!$AY$3:$AY$7,0)),"")</f>
        <v/>
      </c>
    </row>
    <row r="152" spans="2:37" ht="14" x14ac:dyDescent="0.3">
      <c r="B152" s="141">
        <v>141</v>
      </c>
      <c r="C152" s="666"/>
      <c r="D152" s="172"/>
      <c r="E152" s="498" t="str">
        <f>IF(C152="","",VLOOKUP(C152,'G-7 Rivers Data'!$B$2:$Z$9,2,FALSE))</f>
        <v/>
      </c>
      <c r="F152" s="499" t="str">
        <f>IFERROR(VLOOKUP(E152,'G-7 Rivers Data'!$C$4:$D$8,2,FALSE),"")</f>
        <v/>
      </c>
      <c r="G152" s="145"/>
      <c r="H152" s="499" t="str">
        <f>IFERROR(INDEX('G-7 Rivers Data'!$H$4:$L$8,MATCH(C152,'G-7 Rivers Data'!$B$4:$B$8,0),MATCH(G152,'G-7 Rivers Data'!$H$3:$L$3,0)),"")</f>
        <v/>
      </c>
      <c r="I152" s="145"/>
      <c r="J152" s="540" t="str">
        <f>IF(I152="","",IF(VLOOKUP(I152,'G-7 Rivers Data'!$AG$4:$AI$9,2,FALSE)=0,"Spatial Data Missing ⚠",VLOOKUP(I152,'G-7 Rivers Data'!$AG$4:$AI$9,2,FALSE)))</f>
        <v/>
      </c>
      <c r="K152" s="499" t="str">
        <f>IF(I152="","",IF(VLOOKUP(I152,'G-7 Rivers Data'!$AG$4:$AI$9,3,FALSE)=0,"Spatial Data Missing ⚠",VLOOKUP(I152,'G-7 Rivers Data'!$AG$4:$AI$9,3,FALSE)))</f>
        <v/>
      </c>
      <c r="L152" s="635" t="str">
        <f>IFERROR(INDEX('G-7 Rivers Data'!$O$3:$O$7,MATCH(G152,'G-7 Rivers Data'!$N$3:$N$7,0)),"")</f>
        <v/>
      </c>
      <c r="M152" s="72"/>
      <c r="N152" s="195"/>
      <c r="O152" s="507" t="str">
        <f t="shared" si="13"/>
        <v/>
      </c>
      <c r="P152" s="521" t="str">
        <f t="shared" si="14"/>
        <v/>
      </c>
      <c r="Q152" s="564" t="str">
        <f>IFERROR(IF(P152="Check Data ⚠","Check Data ⚠",VLOOKUP(P152,'G-4 Temporal multipliers'!$A$4:$C$37,3,FALSE)),"")</f>
        <v/>
      </c>
      <c r="R152" s="498" t="str">
        <f>IF(C152="","",VLOOKUP(C152,'G-7 Rivers Data'!$B$4:$G$8,4,FALSE))</f>
        <v/>
      </c>
      <c r="S152" s="507" t="str">
        <f t="shared" si="15"/>
        <v/>
      </c>
      <c r="T152" s="540" t="str">
        <f t="shared" si="16"/>
        <v/>
      </c>
      <c r="U152" s="499" t="str">
        <f t="shared" si="17"/>
        <v/>
      </c>
      <c r="V152" s="71"/>
      <c r="W152" s="499" t="str">
        <f>IF(V152="","",IF(VLOOKUP(V152,'G-7 Rivers Data'!$AA$4:$AB$7,2,FALSE)=0,"Spatial Data Missing ⚠",VLOOKUP(V152,'G-7 Rivers Data'!$AA$4:$AB$7,2,FALSE)))</f>
        <v/>
      </c>
      <c r="X152" s="155"/>
      <c r="Y152" s="499" t="str">
        <f>IF(X152="","",IF(VLOOKUP(X152,'G-7 Rivers Data'!$AD$4:$AE$8,2,FALSE)=0,"Enrcoachment Data Missing ⚠",VLOOKUP(X152,'G-7 Rivers Data'!$AD$4:$AE$8,2,FALSE)))</f>
        <v/>
      </c>
      <c r="Z152" s="154"/>
      <c r="AA152" s="524" t="str">
        <f>IF(Z152="","",VLOOKUP(Z152,'G-7 Rivers Data'!$AO$4:$AP$7,2,FALSE))</f>
        <v/>
      </c>
      <c r="AB152" s="545" t="str">
        <f t="shared" si="18"/>
        <v/>
      </c>
      <c r="AC152" s="149"/>
      <c r="AD152" s="150"/>
      <c r="AK152" s="31" t="str">
        <f>IFERROR(INDEX('G-7 Rivers Data'!$AZ$3:$AZ$7,MATCH(C152,'G-7 Rivers Data'!$AY$3:$AY$7,0)),"")</f>
        <v/>
      </c>
    </row>
    <row r="153" spans="2:37" ht="14" x14ac:dyDescent="0.3">
      <c r="B153" s="141">
        <v>142</v>
      </c>
      <c r="C153" s="666"/>
      <c r="D153" s="172"/>
      <c r="E153" s="498" t="str">
        <f>IF(C153="","",VLOOKUP(C153,'G-7 Rivers Data'!$B$2:$Z$9,2,FALSE))</f>
        <v/>
      </c>
      <c r="F153" s="499" t="str">
        <f>IFERROR(VLOOKUP(E153,'G-7 Rivers Data'!$C$4:$D$8,2,FALSE),"")</f>
        <v/>
      </c>
      <c r="G153" s="145"/>
      <c r="H153" s="499" t="str">
        <f>IFERROR(INDEX('G-7 Rivers Data'!$H$4:$L$8,MATCH(C153,'G-7 Rivers Data'!$B$4:$B$8,0),MATCH(G153,'G-7 Rivers Data'!$H$3:$L$3,0)),"")</f>
        <v/>
      </c>
      <c r="I153" s="145"/>
      <c r="J153" s="540" t="str">
        <f>IF(I153="","",IF(VLOOKUP(I153,'G-7 Rivers Data'!$AG$4:$AI$9,2,FALSE)=0,"Spatial Data Missing ⚠",VLOOKUP(I153,'G-7 Rivers Data'!$AG$4:$AI$9,2,FALSE)))</f>
        <v/>
      </c>
      <c r="K153" s="499" t="str">
        <f>IF(I153="","",IF(VLOOKUP(I153,'G-7 Rivers Data'!$AG$4:$AI$9,3,FALSE)=0,"Spatial Data Missing ⚠",VLOOKUP(I153,'G-7 Rivers Data'!$AG$4:$AI$9,3,FALSE)))</f>
        <v/>
      </c>
      <c r="L153" s="635" t="str">
        <f>IFERROR(INDEX('G-7 Rivers Data'!$O$3:$O$7,MATCH(G153,'G-7 Rivers Data'!$N$3:$N$7,0)),"")</f>
        <v/>
      </c>
      <c r="M153" s="72"/>
      <c r="N153" s="195"/>
      <c r="O153" s="507" t="str">
        <f t="shared" si="13"/>
        <v/>
      </c>
      <c r="P153" s="521" t="str">
        <f t="shared" si="14"/>
        <v/>
      </c>
      <c r="Q153" s="564" t="str">
        <f>IFERROR(IF(P153="Check Data ⚠","Check Data ⚠",VLOOKUP(P153,'G-4 Temporal multipliers'!$A$4:$C$37,3,FALSE)),"")</f>
        <v/>
      </c>
      <c r="R153" s="498" t="str">
        <f>IF(C153="","",VLOOKUP(C153,'G-7 Rivers Data'!$B$4:$G$8,4,FALSE))</f>
        <v/>
      </c>
      <c r="S153" s="507" t="str">
        <f t="shared" si="15"/>
        <v/>
      </c>
      <c r="T153" s="540" t="str">
        <f t="shared" si="16"/>
        <v/>
      </c>
      <c r="U153" s="499" t="str">
        <f t="shared" si="17"/>
        <v/>
      </c>
      <c r="V153" s="71"/>
      <c r="W153" s="499" t="str">
        <f>IF(V153="","",IF(VLOOKUP(V153,'G-7 Rivers Data'!$AA$4:$AB$7,2,FALSE)=0,"Spatial Data Missing ⚠",VLOOKUP(V153,'G-7 Rivers Data'!$AA$4:$AB$7,2,FALSE)))</f>
        <v/>
      </c>
      <c r="X153" s="155"/>
      <c r="Y153" s="499" t="str">
        <f>IF(X153="","",IF(VLOOKUP(X153,'G-7 Rivers Data'!$AD$4:$AE$8,2,FALSE)=0,"Enrcoachment Data Missing ⚠",VLOOKUP(X153,'G-7 Rivers Data'!$AD$4:$AE$8,2,FALSE)))</f>
        <v/>
      </c>
      <c r="Z153" s="154"/>
      <c r="AA153" s="524" t="str">
        <f>IF(Z153="","",VLOOKUP(Z153,'G-7 Rivers Data'!$AO$4:$AP$7,2,FALSE))</f>
        <v/>
      </c>
      <c r="AB153" s="545" t="str">
        <f t="shared" si="18"/>
        <v/>
      </c>
      <c r="AC153" s="149"/>
      <c r="AD153" s="150"/>
      <c r="AK153" s="31" t="str">
        <f>IFERROR(INDEX('G-7 Rivers Data'!$AZ$3:$AZ$7,MATCH(C153,'G-7 Rivers Data'!$AY$3:$AY$7,0)),"")</f>
        <v/>
      </c>
    </row>
    <row r="154" spans="2:37" ht="14" x14ac:dyDescent="0.3">
      <c r="B154" s="141">
        <v>143</v>
      </c>
      <c r="C154" s="666"/>
      <c r="D154" s="172"/>
      <c r="E154" s="498" t="str">
        <f>IF(C154="","",VLOOKUP(C154,'G-7 Rivers Data'!$B$2:$Z$9,2,FALSE))</f>
        <v/>
      </c>
      <c r="F154" s="499" t="str">
        <f>IFERROR(VLOOKUP(E154,'G-7 Rivers Data'!$C$4:$D$8,2,FALSE),"")</f>
        <v/>
      </c>
      <c r="G154" s="145"/>
      <c r="H154" s="499" t="str">
        <f>IFERROR(INDEX('G-7 Rivers Data'!$H$4:$L$8,MATCH(C154,'G-7 Rivers Data'!$B$4:$B$8,0),MATCH(G154,'G-7 Rivers Data'!$H$3:$L$3,0)),"")</f>
        <v/>
      </c>
      <c r="I154" s="145"/>
      <c r="J154" s="540" t="str">
        <f>IF(I154="","",IF(VLOOKUP(I154,'G-7 Rivers Data'!$AG$4:$AI$9,2,FALSE)=0,"Spatial Data Missing ⚠",VLOOKUP(I154,'G-7 Rivers Data'!$AG$4:$AI$9,2,FALSE)))</f>
        <v/>
      </c>
      <c r="K154" s="499" t="str">
        <f>IF(I154="","",IF(VLOOKUP(I154,'G-7 Rivers Data'!$AG$4:$AI$9,3,FALSE)=0,"Spatial Data Missing ⚠",VLOOKUP(I154,'G-7 Rivers Data'!$AG$4:$AI$9,3,FALSE)))</f>
        <v/>
      </c>
      <c r="L154" s="635" t="str">
        <f>IFERROR(INDEX('G-7 Rivers Data'!$O$3:$O$7,MATCH(G154,'G-7 Rivers Data'!$N$3:$N$7,0)),"")</f>
        <v/>
      </c>
      <c r="M154" s="72"/>
      <c r="N154" s="195"/>
      <c r="O154" s="507" t="str">
        <f t="shared" si="13"/>
        <v/>
      </c>
      <c r="P154" s="521" t="str">
        <f t="shared" si="14"/>
        <v/>
      </c>
      <c r="Q154" s="564" t="str">
        <f>IFERROR(IF(P154="Check Data ⚠","Check Data ⚠",VLOOKUP(P154,'G-4 Temporal multipliers'!$A$4:$C$37,3,FALSE)),"")</f>
        <v/>
      </c>
      <c r="R154" s="498" t="str">
        <f>IF(C154="","",VLOOKUP(C154,'G-7 Rivers Data'!$B$4:$G$8,4,FALSE))</f>
        <v/>
      </c>
      <c r="S154" s="507" t="str">
        <f t="shared" si="15"/>
        <v/>
      </c>
      <c r="T154" s="540" t="str">
        <f t="shared" si="16"/>
        <v/>
      </c>
      <c r="U154" s="499" t="str">
        <f t="shared" si="17"/>
        <v/>
      </c>
      <c r="V154" s="71"/>
      <c r="W154" s="499" t="str">
        <f>IF(V154="","",IF(VLOOKUP(V154,'G-7 Rivers Data'!$AA$4:$AB$7,2,FALSE)=0,"Spatial Data Missing ⚠",VLOOKUP(V154,'G-7 Rivers Data'!$AA$4:$AB$7,2,FALSE)))</f>
        <v/>
      </c>
      <c r="X154" s="155"/>
      <c r="Y154" s="499" t="str">
        <f>IF(X154="","",IF(VLOOKUP(X154,'G-7 Rivers Data'!$AD$4:$AE$8,2,FALSE)=0,"Enrcoachment Data Missing ⚠",VLOOKUP(X154,'G-7 Rivers Data'!$AD$4:$AE$8,2,FALSE)))</f>
        <v/>
      </c>
      <c r="Z154" s="154"/>
      <c r="AA154" s="524" t="str">
        <f>IF(Z154="","",VLOOKUP(Z154,'G-7 Rivers Data'!$AO$4:$AP$7,2,FALSE))</f>
        <v/>
      </c>
      <c r="AB154" s="545" t="str">
        <f t="shared" si="18"/>
        <v/>
      </c>
      <c r="AC154" s="149"/>
      <c r="AD154" s="150"/>
      <c r="AK154" s="31" t="str">
        <f>IFERROR(INDEX('G-7 Rivers Data'!$AZ$3:$AZ$7,MATCH(C154,'G-7 Rivers Data'!$AY$3:$AY$7,0)),"")</f>
        <v/>
      </c>
    </row>
    <row r="155" spans="2:37" ht="14" x14ac:dyDescent="0.3">
      <c r="B155" s="141">
        <v>144</v>
      </c>
      <c r="C155" s="666"/>
      <c r="D155" s="172"/>
      <c r="E155" s="498" t="str">
        <f>IF(C155="","",VLOOKUP(C155,'G-7 Rivers Data'!$B$2:$Z$9,2,FALSE))</f>
        <v/>
      </c>
      <c r="F155" s="499" t="str">
        <f>IFERROR(VLOOKUP(E155,'G-7 Rivers Data'!$C$4:$D$8,2,FALSE),"")</f>
        <v/>
      </c>
      <c r="G155" s="145"/>
      <c r="H155" s="499" t="str">
        <f>IFERROR(INDEX('G-7 Rivers Data'!$H$4:$L$8,MATCH(C155,'G-7 Rivers Data'!$B$4:$B$8,0),MATCH(G155,'G-7 Rivers Data'!$H$3:$L$3,0)),"")</f>
        <v/>
      </c>
      <c r="I155" s="145"/>
      <c r="J155" s="540" t="str">
        <f>IF(I155="","",IF(VLOOKUP(I155,'G-7 Rivers Data'!$AG$4:$AI$9,2,FALSE)=0,"Spatial Data Missing ⚠",VLOOKUP(I155,'G-7 Rivers Data'!$AG$4:$AI$9,2,FALSE)))</f>
        <v/>
      </c>
      <c r="K155" s="499" t="str">
        <f>IF(I155="","",IF(VLOOKUP(I155,'G-7 Rivers Data'!$AG$4:$AI$9,3,FALSE)=0,"Spatial Data Missing ⚠",VLOOKUP(I155,'G-7 Rivers Data'!$AG$4:$AI$9,3,FALSE)))</f>
        <v/>
      </c>
      <c r="L155" s="635" t="str">
        <f>IFERROR(INDEX('G-7 Rivers Data'!$O$3:$O$7,MATCH(G155,'G-7 Rivers Data'!$N$3:$N$7,0)),"")</f>
        <v/>
      </c>
      <c r="M155" s="72"/>
      <c r="N155" s="195"/>
      <c r="O155" s="507" t="str">
        <f t="shared" si="13"/>
        <v/>
      </c>
      <c r="P155" s="521" t="str">
        <f t="shared" si="14"/>
        <v/>
      </c>
      <c r="Q155" s="564" t="str">
        <f>IFERROR(IF(P155="Check Data ⚠","Check Data ⚠",VLOOKUP(P155,'G-4 Temporal multipliers'!$A$4:$C$37,3,FALSE)),"")</f>
        <v/>
      </c>
      <c r="R155" s="498" t="str">
        <f>IF(C155="","",VLOOKUP(C155,'G-7 Rivers Data'!$B$4:$G$8,4,FALSE))</f>
        <v/>
      </c>
      <c r="S155" s="507" t="str">
        <f t="shared" si="15"/>
        <v/>
      </c>
      <c r="T155" s="540" t="str">
        <f t="shared" si="16"/>
        <v/>
      </c>
      <c r="U155" s="499" t="str">
        <f t="shared" si="17"/>
        <v/>
      </c>
      <c r="V155" s="71"/>
      <c r="W155" s="499" t="str">
        <f>IF(V155="","",IF(VLOOKUP(V155,'G-7 Rivers Data'!$AA$4:$AB$7,2,FALSE)=0,"Spatial Data Missing ⚠",VLOOKUP(V155,'G-7 Rivers Data'!$AA$4:$AB$7,2,FALSE)))</f>
        <v/>
      </c>
      <c r="X155" s="155"/>
      <c r="Y155" s="499" t="str">
        <f>IF(X155="","",IF(VLOOKUP(X155,'G-7 Rivers Data'!$AD$4:$AE$8,2,FALSE)=0,"Enrcoachment Data Missing ⚠",VLOOKUP(X155,'G-7 Rivers Data'!$AD$4:$AE$8,2,FALSE)))</f>
        <v/>
      </c>
      <c r="Z155" s="154"/>
      <c r="AA155" s="524" t="str">
        <f>IF(Z155="","",VLOOKUP(Z155,'G-7 Rivers Data'!$AO$4:$AP$7,2,FALSE))</f>
        <v/>
      </c>
      <c r="AB155" s="545" t="str">
        <f t="shared" si="18"/>
        <v/>
      </c>
      <c r="AC155" s="149"/>
      <c r="AD155" s="150"/>
      <c r="AK155" s="31" t="str">
        <f>IFERROR(INDEX('G-7 Rivers Data'!$AZ$3:$AZ$7,MATCH(C155,'G-7 Rivers Data'!$AY$3:$AY$7,0)),"")</f>
        <v/>
      </c>
    </row>
    <row r="156" spans="2:37" ht="14" x14ac:dyDescent="0.3">
      <c r="B156" s="141">
        <v>145</v>
      </c>
      <c r="C156" s="666"/>
      <c r="D156" s="172"/>
      <c r="E156" s="498" t="str">
        <f>IF(C156="","",VLOOKUP(C156,'G-7 Rivers Data'!$B$2:$Z$9,2,FALSE))</f>
        <v/>
      </c>
      <c r="F156" s="499" t="str">
        <f>IFERROR(VLOOKUP(E156,'G-7 Rivers Data'!$C$4:$D$8,2,FALSE),"")</f>
        <v/>
      </c>
      <c r="G156" s="145"/>
      <c r="H156" s="499" t="str">
        <f>IFERROR(INDEX('G-7 Rivers Data'!$H$4:$L$8,MATCH(C156,'G-7 Rivers Data'!$B$4:$B$8,0),MATCH(G156,'G-7 Rivers Data'!$H$3:$L$3,0)),"")</f>
        <v/>
      </c>
      <c r="I156" s="145"/>
      <c r="J156" s="540" t="str">
        <f>IF(I156="","",IF(VLOOKUP(I156,'G-7 Rivers Data'!$AG$4:$AI$9,2,FALSE)=0,"Spatial Data Missing ⚠",VLOOKUP(I156,'G-7 Rivers Data'!$AG$4:$AI$9,2,FALSE)))</f>
        <v/>
      </c>
      <c r="K156" s="499" t="str">
        <f>IF(I156="","",IF(VLOOKUP(I156,'G-7 Rivers Data'!$AG$4:$AI$9,3,FALSE)=0,"Spatial Data Missing ⚠",VLOOKUP(I156,'G-7 Rivers Data'!$AG$4:$AI$9,3,FALSE)))</f>
        <v/>
      </c>
      <c r="L156" s="635" t="str">
        <f>IFERROR(INDEX('G-7 Rivers Data'!$O$3:$O$7,MATCH(G156,'G-7 Rivers Data'!$N$3:$N$7,0)),"")</f>
        <v/>
      </c>
      <c r="M156" s="72"/>
      <c r="N156" s="195"/>
      <c r="O156" s="507" t="str">
        <f t="shared" si="13"/>
        <v/>
      </c>
      <c r="P156" s="521" t="str">
        <f t="shared" si="14"/>
        <v/>
      </c>
      <c r="Q156" s="564" t="str">
        <f>IFERROR(IF(P156="Check Data ⚠","Check Data ⚠",VLOOKUP(P156,'G-4 Temporal multipliers'!$A$4:$C$37,3,FALSE)),"")</f>
        <v/>
      </c>
      <c r="R156" s="498" t="str">
        <f>IF(C156="","",VLOOKUP(C156,'G-7 Rivers Data'!$B$4:$G$8,4,FALSE))</f>
        <v/>
      </c>
      <c r="S156" s="507" t="str">
        <f t="shared" si="15"/>
        <v/>
      </c>
      <c r="T156" s="540" t="str">
        <f t="shared" si="16"/>
        <v/>
      </c>
      <c r="U156" s="499" t="str">
        <f t="shared" si="17"/>
        <v/>
      </c>
      <c r="V156" s="71"/>
      <c r="W156" s="499" t="str">
        <f>IF(V156="","",IF(VLOOKUP(V156,'G-7 Rivers Data'!$AA$4:$AB$7,2,FALSE)=0,"Spatial Data Missing ⚠",VLOOKUP(V156,'G-7 Rivers Data'!$AA$4:$AB$7,2,FALSE)))</f>
        <v/>
      </c>
      <c r="X156" s="155"/>
      <c r="Y156" s="499" t="str">
        <f>IF(X156="","",IF(VLOOKUP(X156,'G-7 Rivers Data'!$AD$4:$AE$8,2,FALSE)=0,"Enrcoachment Data Missing ⚠",VLOOKUP(X156,'G-7 Rivers Data'!$AD$4:$AE$8,2,FALSE)))</f>
        <v/>
      </c>
      <c r="Z156" s="154"/>
      <c r="AA156" s="524" t="str">
        <f>IF(Z156="","",VLOOKUP(Z156,'G-7 Rivers Data'!$AO$4:$AP$7,2,FALSE))</f>
        <v/>
      </c>
      <c r="AB156" s="545" t="str">
        <f t="shared" si="18"/>
        <v/>
      </c>
      <c r="AC156" s="149"/>
      <c r="AD156" s="150"/>
      <c r="AK156" s="31" t="str">
        <f>IFERROR(INDEX('G-7 Rivers Data'!$AZ$3:$AZ$7,MATCH(C156,'G-7 Rivers Data'!$AY$3:$AY$7,0)),"")</f>
        <v/>
      </c>
    </row>
    <row r="157" spans="2:37" ht="14" x14ac:dyDescent="0.3">
      <c r="B157" s="141">
        <v>146</v>
      </c>
      <c r="C157" s="666"/>
      <c r="D157" s="172"/>
      <c r="E157" s="498" t="str">
        <f>IF(C157="","",VLOOKUP(C157,'G-7 Rivers Data'!$B$2:$Z$9,2,FALSE))</f>
        <v/>
      </c>
      <c r="F157" s="499" t="str">
        <f>IFERROR(VLOOKUP(E157,'G-7 Rivers Data'!$C$4:$D$8,2,FALSE),"")</f>
        <v/>
      </c>
      <c r="G157" s="145"/>
      <c r="H157" s="499" t="str">
        <f>IFERROR(INDEX('G-7 Rivers Data'!$H$4:$L$8,MATCH(C157,'G-7 Rivers Data'!$B$4:$B$8,0),MATCH(G157,'G-7 Rivers Data'!$H$3:$L$3,0)),"")</f>
        <v/>
      </c>
      <c r="I157" s="145"/>
      <c r="J157" s="540" t="str">
        <f>IF(I157="","",IF(VLOOKUP(I157,'G-7 Rivers Data'!$AG$4:$AI$9,2,FALSE)=0,"Spatial Data Missing ⚠",VLOOKUP(I157,'G-7 Rivers Data'!$AG$4:$AI$9,2,FALSE)))</f>
        <v/>
      </c>
      <c r="K157" s="499" t="str">
        <f>IF(I157="","",IF(VLOOKUP(I157,'G-7 Rivers Data'!$AG$4:$AI$9,3,FALSE)=0,"Spatial Data Missing ⚠",VLOOKUP(I157,'G-7 Rivers Data'!$AG$4:$AI$9,3,FALSE)))</f>
        <v/>
      </c>
      <c r="L157" s="635" t="str">
        <f>IFERROR(INDEX('G-7 Rivers Data'!$O$3:$O$7,MATCH(G157,'G-7 Rivers Data'!$N$3:$N$7,0)),"")</f>
        <v/>
      </c>
      <c r="M157" s="72"/>
      <c r="N157" s="195"/>
      <c r="O157" s="507" t="str">
        <f t="shared" si="13"/>
        <v/>
      </c>
      <c r="P157" s="521" t="str">
        <f t="shared" si="14"/>
        <v/>
      </c>
      <c r="Q157" s="564" t="str">
        <f>IFERROR(IF(P157="Check Data ⚠","Check Data ⚠",VLOOKUP(P157,'G-4 Temporal multipliers'!$A$4:$C$37,3,FALSE)),"")</f>
        <v/>
      </c>
      <c r="R157" s="498" t="str">
        <f>IF(C157="","",VLOOKUP(C157,'G-7 Rivers Data'!$B$4:$G$8,4,FALSE))</f>
        <v/>
      </c>
      <c r="S157" s="507" t="str">
        <f t="shared" si="15"/>
        <v/>
      </c>
      <c r="T157" s="540" t="str">
        <f t="shared" si="16"/>
        <v/>
      </c>
      <c r="U157" s="499" t="str">
        <f t="shared" si="17"/>
        <v/>
      </c>
      <c r="V157" s="71"/>
      <c r="W157" s="499" t="str">
        <f>IF(V157="","",IF(VLOOKUP(V157,'G-7 Rivers Data'!$AA$4:$AB$7,2,FALSE)=0,"Spatial Data Missing ⚠",VLOOKUP(V157,'G-7 Rivers Data'!$AA$4:$AB$7,2,FALSE)))</f>
        <v/>
      </c>
      <c r="X157" s="155"/>
      <c r="Y157" s="499" t="str">
        <f>IF(X157="","",IF(VLOOKUP(X157,'G-7 Rivers Data'!$AD$4:$AE$8,2,FALSE)=0,"Enrcoachment Data Missing ⚠",VLOOKUP(X157,'G-7 Rivers Data'!$AD$4:$AE$8,2,FALSE)))</f>
        <v/>
      </c>
      <c r="Z157" s="154"/>
      <c r="AA157" s="524" t="str">
        <f>IF(Z157="","",VLOOKUP(Z157,'G-7 Rivers Data'!$AO$4:$AP$7,2,FALSE))</f>
        <v/>
      </c>
      <c r="AB157" s="545" t="str">
        <f t="shared" si="18"/>
        <v/>
      </c>
      <c r="AC157" s="149"/>
      <c r="AD157" s="150"/>
      <c r="AK157" s="31" t="str">
        <f>IFERROR(INDEX('G-7 Rivers Data'!$AZ$3:$AZ$7,MATCH(C157,'G-7 Rivers Data'!$AY$3:$AY$7,0)),"")</f>
        <v/>
      </c>
    </row>
    <row r="158" spans="2:37" ht="14" x14ac:dyDescent="0.3">
      <c r="B158" s="141">
        <v>147</v>
      </c>
      <c r="C158" s="666"/>
      <c r="D158" s="172"/>
      <c r="E158" s="498" t="str">
        <f>IF(C158="","",VLOOKUP(C158,'G-7 Rivers Data'!$B$2:$Z$9,2,FALSE))</f>
        <v/>
      </c>
      <c r="F158" s="499" t="str">
        <f>IFERROR(VLOOKUP(E158,'G-7 Rivers Data'!$C$4:$D$8,2,FALSE),"")</f>
        <v/>
      </c>
      <c r="G158" s="145"/>
      <c r="H158" s="499" t="str">
        <f>IFERROR(INDEX('G-7 Rivers Data'!$H$4:$L$8,MATCH(C158,'G-7 Rivers Data'!$B$4:$B$8,0),MATCH(G158,'G-7 Rivers Data'!$H$3:$L$3,0)),"")</f>
        <v/>
      </c>
      <c r="I158" s="145"/>
      <c r="J158" s="540" t="str">
        <f>IF(I158="","",IF(VLOOKUP(I158,'G-7 Rivers Data'!$AG$4:$AI$9,2,FALSE)=0,"Spatial Data Missing ⚠",VLOOKUP(I158,'G-7 Rivers Data'!$AG$4:$AI$9,2,FALSE)))</f>
        <v/>
      </c>
      <c r="K158" s="499" t="str">
        <f>IF(I158="","",IF(VLOOKUP(I158,'G-7 Rivers Data'!$AG$4:$AI$9,3,FALSE)=0,"Spatial Data Missing ⚠",VLOOKUP(I158,'G-7 Rivers Data'!$AG$4:$AI$9,3,FALSE)))</f>
        <v/>
      </c>
      <c r="L158" s="635" t="str">
        <f>IFERROR(INDEX('G-7 Rivers Data'!$O$3:$O$7,MATCH(G158,'G-7 Rivers Data'!$N$3:$N$7,0)),"")</f>
        <v/>
      </c>
      <c r="M158" s="72"/>
      <c r="N158" s="195"/>
      <c r="O158" s="507" t="str">
        <f t="shared" si="13"/>
        <v/>
      </c>
      <c r="P158" s="521" t="str">
        <f t="shared" si="14"/>
        <v/>
      </c>
      <c r="Q158" s="564" t="str">
        <f>IFERROR(IF(P158="Check Data ⚠","Check Data ⚠",VLOOKUP(P158,'G-4 Temporal multipliers'!$A$4:$C$37,3,FALSE)),"")</f>
        <v/>
      </c>
      <c r="R158" s="498" t="str">
        <f>IF(C158="","",VLOOKUP(C158,'G-7 Rivers Data'!$B$4:$G$8,4,FALSE))</f>
        <v/>
      </c>
      <c r="S158" s="507" t="str">
        <f t="shared" si="15"/>
        <v/>
      </c>
      <c r="T158" s="540" t="str">
        <f t="shared" si="16"/>
        <v/>
      </c>
      <c r="U158" s="499" t="str">
        <f t="shared" si="17"/>
        <v/>
      </c>
      <c r="V158" s="71"/>
      <c r="W158" s="499" t="str">
        <f>IF(V158="","",IF(VLOOKUP(V158,'G-7 Rivers Data'!$AA$4:$AB$7,2,FALSE)=0,"Spatial Data Missing ⚠",VLOOKUP(V158,'G-7 Rivers Data'!$AA$4:$AB$7,2,FALSE)))</f>
        <v/>
      </c>
      <c r="X158" s="155"/>
      <c r="Y158" s="499" t="str">
        <f>IF(X158="","",IF(VLOOKUP(X158,'G-7 Rivers Data'!$AD$4:$AE$8,2,FALSE)=0,"Enrcoachment Data Missing ⚠",VLOOKUP(X158,'G-7 Rivers Data'!$AD$4:$AE$8,2,FALSE)))</f>
        <v/>
      </c>
      <c r="Z158" s="154"/>
      <c r="AA158" s="524" t="str">
        <f>IF(Z158="","",VLOOKUP(Z158,'G-7 Rivers Data'!$AO$4:$AP$7,2,FALSE))</f>
        <v/>
      </c>
      <c r="AB158" s="545" t="str">
        <f t="shared" si="18"/>
        <v/>
      </c>
      <c r="AC158" s="149"/>
      <c r="AD158" s="150"/>
      <c r="AK158" s="31" t="str">
        <f>IFERROR(INDEX('G-7 Rivers Data'!$AZ$3:$AZ$7,MATCH(C158,'G-7 Rivers Data'!$AY$3:$AY$7,0)),"")</f>
        <v/>
      </c>
    </row>
    <row r="159" spans="2:37" ht="14" x14ac:dyDescent="0.3">
      <c r="B159" s="141">
        <v>148</v>
      </c>
      <c r="C159" s="666"/>
      <c r="D159" s="172"/>
      <c r="E159" s="498" t="str">
        <f>IF(C159="","",VLOOKUP(C159,'G-7 Rivers Data'!$B$2:$Z$9,2,FALSE))</f>
        <v/>
      </c>
      <c r="F159" s="499" t="str">
        <f>IFERROR(VLOOKUP(E159,'G-7 Rivers Data'!$C$4:$D$8,2,FALSE),"")</f>
        <v/>
      </c>
      <c r="G159" s="145"/>
      <c r="H159" s="499" t="str">
        <f>IFERROR(INDEX('G-7 Rivers Data'!$H$4:$L$8,MATCH(C159,'G-7 Rivers Data'!$B$4:$B$8,0),MATCH(G159,'G-7 Rivers Data'!$H$3:$L$3,0)),"")</f>
        <v/>
      </c>
      <c r="I159" s="145"/>
      <c r="J159" s="540" t="str">
        <f>IF(I159="","",IF(VLOOKUP(I159,'G-7 Rivers Data'!$AG$4:$AI$9,2,FALSE)=0,"Spatial Data Missing ⚠",VLOOKUP(I159,'G-7 Rivers Data'!$AG$4:$AI$9,2,FALSE)))</f>
        <v/>
      </c>
      <c r="K159" s="499" t="str">
        <f>IF(I159="","",IF(VLOOKUP(I159,'G-7 Rivers Data'!$AG$4:$AI$9,3,FALSE)=0,"Spatial Data Missing ⚠",VLOOKUP(I159,'G-7 Rivers Data'!$AG$4:$AI$9,3,FALSE)))</f>
        <v/>
      </c>
      <c r="L159" s="635" t="str">
        <f>IFERROR(INDEX('G-7 Rivers Data'!$O$3:$O$7,MATCH(G159,'G-7 Rivers Data'!$N$3:$N$7,0)),"")</f>
        <v/>
      </c>
      <c r="M159" s="72"/>
      <c r="N159" s="195"/>
      <c r="O159" s="507" t="str">
        <f t="shared" si="13"/>
        <v/>
      </c>
      <c r="P159" s="521" t="str">
        <f t="shared" si="14"/>
        <v/>
      </c>
      <c r="Q159" s="564" t="str">
        <f>IFERROR(IF(P159="Check Data ⚠","Check Data ⚠",VLOOKUP(P159,'G-4 Temporal multipliers'!$A$4:$C$37,3,FALSE)),"")</f>
        <v/>
      </c>
      <c r="R159" s="498" t="str">
        <f>IF(C159="","",VLOOKUP(C159,'G-7 Rivers Data'!$B$4:$G$8,4,FALSE))</f>
        <v/>
      </c>
      <c r="S159" s="507" t="str">
        <f t="shared" si="15"/>
        <v/>
      </c>
      <c r="T159" s="540" t="str">
        <f t="shared" si="16"/>
        <v/>
      </c>
      <c r="U159" s="499" t="str">
        <f t="shared" si="17"/>
        <v/>
      </c>
      <c r="V159" s="71"/>
      <c r="W159" s="499" t="str">
        <f>IF(V159="","",IF(VLOOKUP(V159,'G-7 Rivers Data'!$AA$4:$AB$7,2,FALSE)=0,"Spatial Data Missing ⚠",VLOOKUP(V159,'G-7 Rivers Data'!$AA$4:$AB$7,2,FALSE)))</f>
        <v/>
      </c>
      <c r="X159" s="155"/>
      <c r="Y159" s="499" t="str">
        <f>IF(X159="","",IF(VLOOKUP(X159,'G-7 Rivers Data'!$AD$4:$AE$8,2,FALSE)=0,"Enrcoachment Data Missing ⚠",VLOOKUP(X159,'G-7 Rivers Data'!$AD$4:$AE$8,2,FALSE)))</f>
        <v/>
      </c>
      <c r="Z159" s="154"/>
      <c r="AA159" s="524" t="str">
        <f>IF(Z159="","",VLOOKUP(Z159,'G-7 Rivers Data'!$AO$4:$AP$7,2,FALSE))</f>
        <v/>
      </c>
      <c r="AB159" s="545" t="str">
        <f t="shared" si="18"/>
        <v/>
      </c>
      <c r="AC159" s="149"/>
      <c r="AD159" s="150"/>
      <c r="AK159" s="31" t="str">
        <f>IFERROR(INDEX('G-7 Rivers Data'!$AZ$3:$AZ$7,MATCH(C159,'G-7 Rivers Data'!$AY$3:$AY$7,0)),"")</f>
        <v/>
      </c>
    </row>
    <row r="160" spans="2:37" ht="14" x14ac:dyDescent="0.3">
      <c r="B160" s="141">
        <v>149</v>
      </c>
      <c r="C160" s="666"/>
      <c r="D160" s="172"/>
      <c r="E160" s="498" t="str">
        <f>IF(C160="","",VLOOKUP(C160,'G-7 Rivers Data'!$B$2:$Z$9,2,FALSE))</f>
        <v/>
      </c>
      <c r="F160" s="499" t="str">
        <f>IFERROR(VLOOKUP(E160,'G-7 Rivers Data'!$C$4:$D$8,2,FALSE),"")</f>
        <v/>
      </c>
      <c r="G160" s="145"/>
      <c r="H160" s="499" t="str">
        <f>IFERROR(INDEX('G-7 Rivers Data'!$H$4:$L$8,MATCH(C160,'G-7 Rivers Data'!$B$4:$B$8,0),MATCH(G160,'G-7 Rivers Data'!$H$3:$L$3,0)),"")</f>
        <v/>
      </c>
      <c r="I160" s="145"/>
      <c r="J160" s="540" t="str">
        <f>IF(I160="","",IF(VLOOKUP(I160,'G-7 Rivers Data'!$AG$4:$AI$9,2,FALSE)=0,"Spatial Data Missing ⚠",VLOOKUP(I160,'G-7 Rivers Data'!$AG$4:$AI$9,2,FALSE)))</f>
        <v/>
      </c>
      <c r="K160" s="499" t="str">
        <f>IF(I160="","",IF(VLOOKUP(I160,'G-7 Rivers Data'!$AG$4:$AI$9,3,FALSE)=0,"Spatial Data Missing ⚠",VLOOKUP(I160,'G-7 Rivers Data'!$AG$4:$AI$9,3,FALSE)))</f>
        <v/>
      </c>
      <c r="L160" s="635" t="str">
        <f>IFERROR(INDEX('G-7 Rivers Data'!$O$3:$O$7,MATCH(G160,'G-7 Rivers Data'!$N$3:$N$7,0)),"")</f>
        <v/>
      </c>
      <c r="M160" s="72"/>
      <c r="N160" s="195"/>
      <c r="O160" s="507" t="str">
        <f t="shared" si="13"/>
        <v/>
      </c>
      <c r="P160" s="521" t="str">
        <f t="shared" si="14"/>
        <v/>
      </c>
      <c r="Q160" s="564" t="str">
        <f>IFERROR(IF(P160="Check Data ⚠","Check Data ⚠",VLOOKUP(P160,'G-4 Temporal multipliers'!$A$4:$C$37,3,FALSE)),"")</f>
        <v/>
      </c>
      <c r="R160" s="498" t="str">
        <f>IF(C160="","",VLOOKUP(C160,'G-7 Rivers Data'!$B$4:$G$8,4,FALSE))</f>
        <v/>
      </c>
      <c r="S160" s="507" t="str">
        <f t="shared" si="15"/>
        <v/>
      </c>
      <c r="T160" s="540" t="str">
        <f t="shared" si="16"/>
        <v/>
      </c>
      <c r="U160" s="499" t="str">
        <f t="shared" si="17"/>
        <v/>
      </c>
      <c r="V160" s="71"/>
      <c r="W160" s="499" t="str">
        <f>IF(V160="","",IF(VLOOKUP(V160,'G-7 Rivers Data'!$AA$4:$AB$7,2,FALSE)=0,"Spatial Data Missing ⚠",VLOOKUP(V160,'G-7 Rivers Data'!$AA$4:$AB$7,2,FALSE)))</f>
        <v/>
      </c>
      <c r="X160" s="155"/>
      <c r="Y160" s="499" t="str">
        <f>IF(X160="","",IF(VLOOKUP(X160,'G-7 Rivers Data'!$AD$4:$AE$8,2,FALSE)=0,"Enrcoachment Data Missing ⚠",VLOOKUP(X160,'G-7 Rivers Data'!$AD$4:$AE$8,2,FALSE)))</f>
        <v/>
      </c>
      <c r="Z160" s="154"/>
      <c r="AA160" s="524" t="str">
        <f>IF(Z160="","",VLOOKUP(Z160,'G-7 Rivers Data'!$AO$4:$AP$7,2,FALSE))</f>
        <v/>
      </c>
      <c r="AB160" s="545" t="str">
        <f t="shared" si="18"/>
        <v/>
      </c>
      <c r="AC160" s="149"/>
      <c r="AD160" s="150"/>
      <c r="AK160" s="31" t="str">
        <f>IFERROR(INDEX('G-7 Rivers Data'!$AZ$3:$AZ$7,MATCH(C160,'G-7 Rivers Data'!$AY$3:$AY$7,0)),"")</f>
        <v/>
      </c>
    </row>
    <row r="161" spans="2:37" ht="14" x14ac:dyDescent="0.3">
      <c r="B161" s="141">
        <v>150</v>
      </c>
      <c r="C161" s="666"/>
      <c r="D161" s="172"/>
      <c r="E161" s="498" t="str">
        <f>IF(C161="","",VLOOKUP(C161,'G-7 Rivers Data'!$B$2:$Z$9,2,FALSE))</f>
        <v/>
      </c>
      <c r="F161" s="499" t="str">
        <f>IFERROR(VLOOKUP(E161,'G-7 Rivers Data'!$C$4:$D$8,2,FALSE),"")</f>
        <v/>
      </c>
      <c r="G161" s="145"/>
      <c r="H161" s="499" t="str">
        <f>IFERROR(INDEX('G-7 Rivers Data'!$H$4:$L$8,MATCH(C161,'G-7 Rivers Data'!$B$4:$B$8,0),MATCH(G161,'G-7 Rivers Data'!$H$3:$L$3,0)),"")</f>
        <v/>
      </c>
      <c r="I161" s="145"/>
      <c r="J161" s="540" t="str">
        <f>IF(I161="","",IF(VLOOKUP(I161,'G-7 Rivers Data'!$AG$4:$AI$9,2,FALSE)=0,"Spatial Data Missing ⚠",VLOOKUP(I161,'G-7 Rivers Data'!$AG$4:$AI$9,2,FALSE)))</f>
        <v/>
      </c>
      <c r="K161" s="499" t="str">
        <f>IF(I161="","",IF(VLOOKUP(I161,'G-7 Rivers Data'!$AG$4:$AI$9,3,FALSE)=0,"Spatial Data Missing ⚠",VLOOKUP(I161,'G-7 Rivers Data'!$AG$4:$AI$9,3,FALSE)))</f>
        <v/>
      </c>
      <c r="L161" s="635" t="str">
        <f>IFERROR(INDEX('G-7 Rivers Data'!$O$3:$O$7,MATCH(G161,'G-7 Rivers Data'!$N$3:$N$7,0)),"")</f>
        <v/>
      </c>
      <c r="M161" s="72"/>
      <c r="N161" s="195"/>
      <c r="O161" s="507" t="str">
        <f t="shared" si="13"/>
        <v/>
      </c>
      <c r="P161" s="521" t="str">
        <f t="shared" si="14"/>
        <v/>
      </c>
      <c r="Q161" s="564" t="str">
        <f>IFERROR(IF(P161="Check Data ⚠","Check Data ⚠",VLOOKUP(P161,'G-4 Temporal multipliers'!$A$4:$C$37,3,FALSE)),"")</f>
        <v/>
      </c>
      <c r="R161" s="498" t="str">
        <f>IF(C161="","",VLOOKUP(C161,'G-7 Rivers Data'!$B$4:$G$8,4,FALSE))</f>
        <v/>
      </c>
      <c r="S161" s="507" t="str">
        <f t="shared" si="15"/>
        <v/>
      </c>
      <c r="T161" s="540" t="str">
        <f t="shared" si="16"/>
        <v/>
      </c>
      <c r="U161" s="499" t="str">
        <f t="shared" si="17"/>
        <v/>
      </c>
      <c r="V161" s="71"/>
      <c r="W161" s="499" t="str">
        <f>IF(V161="","",IF(VLOOKUP(V161,'G-7 Rivers Data'!$AA$4:$AB$7,2,FALSE)=0,"Spatial Data Missing ⚠",VLOOKUP(V161,'G-7 Rivers Data'!$AA$4:$AB$7,2,FALSE)))</f>
        <v/>
      </c>
      <c r="X161" s="155"/>
      <c r="Y161" s="499" t="str">
        <f>IF(X161="","",IF(VLOOKUP(X161,'G-7 Rivers Data'!$AD$4:$AE$8,2,FALSE)=0,"Enrcoachment Data Missing ⚠",VLOOKUP(X161,'G-7 Rivers Data'!$AD$4:$AE$8,2,FALSE)))</f>
        <v/>
      </c>
      <c r="Z161" s="154"/>
      <c r="AA161" s="524" t="str">
        <f>IF(Z161="","",VLOOKUP(Z161,'G-7 Rivers Data'!$AO$4:$AP$7,2,FALSE))</f>
        <v/>
      </c>
      <c r="AB161" s="545" t="str">
        <f t="shared" si="18"/>
        <v/>
      </c>
      <c r="AC161" s="149"/>
      <c r="AD161" s="150"/>
      <c r="AK161" s="31" t="str">
        <f>IFERROR(INDEX('G-7 Rivers Data'!$AZ$3:$AZ$7,MATCH(C161,'G-7 Rivers Data'!$AY$3:$AY$7,0)),"")</f>
        <v/>
      </c>
    </row>
    <row r="162" spans="2:37" ht="14" x14ac:dyDescent="0.3">
      <c r="B162" s="141">
        <v>151</v>
      </c>
      <c r="C162" s="666"/>
      <c r="D162" s="172"/>
      <c r="E162" s="498" t="str">
        <f>IF(C162="","",VLOOKUP(C162,'G-7 Rivers Data'!$B$2:$Z$9,2,FALSE))</f>
        <v/>
      </c>
      <c r="F162" s="499" t="str">
        <f>IFERROR(VLOOKUP(E162,'G-7 Rivers Data'!$C$4:$D$8,2,FALSE),"")</f>
        <v/>
      </c>
      <c r="G162" s="145"/>
      <c r="H162" s="499" t="str">
        <f>IFERROR(INDEX('G-7 Rivers Data'!$H$4:$L$8,MATCH(C162,'G-7 Rivers Data'!$B$4:$B$8,0),MATCH(G162,'G-7 Rivers Data'!$H$3:$L$3,0)),"")</f>
        <v/>
      </c>
      <c r="I162" s="145"/>
      <c r="J162" s="540" t="str">
        <f>IF(I162="","",IF(VLOOKUP(I162,'G-7 Rivers Data'!$AG$4:$AI$9,2,FALSE)=0,"Spatial Data Missing ⚠",VLOOKUP(I162,'G-7 Rivers Data'!$AG$4:$AI$9,2,FALSE)))</f>
        <v/>
      </c>
      <c r="K162" s="499" t="str">
        <f>IF(I162="","",IF(VLOOKUP(I162,'G-7 Rivers Data'!$AG$4:$AI$9,3,FALSE)=0,"Spatial Data Missing ⚠",VLOOKUP(I162,'G-7 Rivers Data'!$AG$4:$AI$9,3,FALSE)))</f>
        <v/>
      </c>
      <c r="L162" s="635" t="str">
        <f>IFERROR(INDEX('G-7 Rivers Data'!$O$3:$O$7,MATCH(G162,'G-7 Rivers Data'!$N$3:$N$7,0)),"")</f>
        <v/>
      </c>
      <c r="M162" s="72"/>
      <c r="N162" s="195"/>
      <c r="O162" s="507" t="str">
        <f t="shared" si="13"/>
        <v/>
      </c>
      <c r="P162" s="521" t="str">
        <f t="shared" si="14"/>
        <v/>
      </c>
      <c r="Q162" s="564" t="str">
        <f>IFERROR(IF(P162="Check Data ⚠","Check Data ⚠",VLOOKUP(P162,'G-4 Temporal multipliers'!$A$4:$C$37,3,FALSE)),"")</f>
        <v/>
      </c>
      <c r="R162" s="498" t="str">
        <f>IF(C162="","",VLOOKUP(C162,'G-7 Rivers Data'!$B$4:$G$8,4,FALSE))</f>
        <v/>
      </c>
      <c r="S162" s="507" t="str">
        <f t="shared" si="15"/>
        <v/>
      </c>
      <c r="T162" s="540" t="str">
        <f t="shared" si="16"/>
        <v/>
      </c>
      <c r="U162" s="499" t="str">
        <f t="shared" si="17"/>
        <v/>
      </c>
      <c r="V162" s="71"/>
      <c r="W162" s="499" t="str">
        <f>IF(V162="","",IF(VLOOKUP(V162,'G-7 Rivers Data'!$AA$4:$AB$7,2,FALSE)=0,"Spatial Data Missing ⚠",VLOOKUP(V162,'G-7 Rivers Data'!$AA$4:$AB$7,2,FALSE)))</f>
        <v/>
      </c>
      <c r="X162" s="155"/>
      <c r="Y162" s="499" t="str">
        <f>IF(X162="","",IF(VLOOKUP(X162,'G-7 Rivers Data'!$AD$4:$AE$8,2,FALSE)=0,"Enrcoachment Data Missing ⚠",VLOOKUP(X162,'G-7 Rivers Data'!$AD$4:$AE$8,2,FALSE)))</f>
        <v/>
      </c>
      <c r="Z162" s="154"/>
      <c r="AA162" s="524" t="str">
        <f>IF(Z162="","",VLOOKUP(Z162,'G-7 Rivers Data'!$AO$4:$AP$7,2,FALSE))</f>
        <v/>
      </c>
      <c r="AB162" s="545" t="str">
        <f t="shared" si="18"/>
        <v/>
      </c>
      <c r="AC162" s="149"/>
      <c r="AD162" s="150"/>
      <c r="AK162" s="31" t="str">
        <f>IFERROR(INDEX('G-7 Rivers Data'!$AZ$3:$AZ$7,MATCH(C162,'G-7 Rivers Data'!$AY$3:$AY$7,0)),"")</f>
        <v/>
      </c>
    </row>
    <row r="163" spans="2:37" ht="14" x14ac:dyDescent="0.3">
      <c r="B163" s="141">
        <v>152</v>
      </c>
      <c r="C163" s="666"/>
      <c r="D163" s="172"/>
      <c r="E163" s="498" t="str">
        <f>IF(C163="","",VLOOKUP(C163,'G-7 Rivers Data'!$B$2:$Z$9,2,FALSE))</f>
        <v/>
      </c>
      <c r="F163" s="499" t="str">
        <f>IFERROR(VLOOKUP(E163,'G-7 Rivers Data'!$C$4:$D$8,2,FALSE),"")</f>
        <v/>
      </c>
      <c r="G163" s="145"/>
      <c r="H163" s="499" t="str">
        <f>IFERROR(INDEX('G-7 Rivers Data'!$H$4:$L$8,MATCH(C163,'G-7 Rivers Data'!$B$4:$B$8,0),MATCH(G163,'G-7 Rivers Data'!$H$3:$L$3,0)),"")</f>
        <v/>
      </c>
      <c r="I163" s="145"/>
      <c r="J163" s="540" t="str">
        <f>IF(I163="","",IF(VLOOKUP(I163,'G-7 Rivers Data'!$AG$4:$AI$9,2,FALSE)=0,"Spatial Data Missing ⚠",VLOOKUP(I163,'G-7 Rivers Data'!$AG$4:$AI$9,2,FALSE)))</f>
        <v/>
      </c>
      <c r="K163" s="499" t="str">
        <f>IF(I163="","",IF(VLOOKUP(I163,'G-7 Rivers Data'!$AG$4:$AI$9,3,FALSE)=0,"Spatial Data Missing ⚠",VLOOKUP(I163,'G-7 Rivers Data'!$AG$4:$AI$9,3,FALSE)))</f>
        <v/>
      </c>
      <c r="L163" s="635" t="str">
        <f>IFERROR(INDEX('G-7 Rivers Data'!$O$3:$O$7,MATCH(G163,'G-7 Rivers Data'!$N$3:$N$7,0)),"")</f>
        <v/>
      </c>
      <c r="M163" s="72"/>
      <c r="N163" s="195"/>
      <c r="O163" s="507" t="str">
        <f t="shared" si="13"/>
        <v/>
      </c>
      <c r="P163" s="521" t="str">
        <f t="shared" si="14"/>
        <v/>
      </c>
      <c r="Q163" s="564" t="str">
        <f>IFERROR(IF(P163="Check Data ⚠","Check Data ⚠",VLOOKUP(P163,'G-4 Temporal multipliers'!$A$4:$C$37,3,FALSE)),"")</f>
        <v/>
      </c>
      <c r="R163" s="498" t="str">
        <f>IF(C163="","",VLOOKUP(C163,'G-7 Rivers Data'!$B$4:$G$8,4,FALSE))</f>
        <v/>
      </c>
      <c r="S163" s="507" t="str">
        <f t="shared" si="15"/>
        <v/>
      </c>
      <c r="T163" s="540" t="str">
        <f t="shared" si="16"/>
        <v/>
      </c>
      <c r="U163" s="499" t="str">
        <f t="shared" si="17"/>
        <v/>
      </c>
      <c r="V163" s="71"/>
      <c r="W163" s="499" t="str">
        <f>IF(V163="","",IF(VLOOKUP(V163,'G-7 Rivers Data'!$AA$4:$AB$7,2,FALSE)=0,"Spatial Data Missing ⚠",VLOOKUP(V163,'G-7 Rivers Data'!$AA$4:$AB$7,2,FALSE)))</f>
        <v/>
      </c>
      <c r="X163" s="155"/>
      <c r="Y163" s="499" t="str">
        <f>IF(X163="","",IF(VLOOKUP(X163,'G-7 Rivers Data'!$AD$4:$AE$8,2,FALSE)=0,"Enrcoachment Data Missing ⚠",VLOOKUP(X163,'G-7 Rivers Data'!$AD$4:$AE$8,2,FALSE)))</f>
        <v/>
      </c>
      <c r="Z163" s="154"/>
      <c r="AA163" s="524" t="str">
        <f>IF(Z163="","",VLOOKUP(Z163,'G-7 Rivers Data'!$AO$4:$AP$7,2,FALSE))</f>
        <v/>
      </c>
      <c r="AB163" s="545" t="str">
        <f t="shared" si="18"/>
        <v/>
      </c>
      <c r="AC163" s="149"/>
      <c r="AD163" s="150"/>
      <c r="AK163" s="31" t="str">
        <f>IFERROR(INDEX('G-7 Rivers Data'!$AZ$3:$AZ$7,MATCH(C163,'G-7 Rivers Data'!$AY$3:$AY$7,0)),"")</f>
        <v/>
      </c>
    </row>
    <row r="164" spans="2:37" ht="14" x14ac:dyDescent="0.3">
      <c r="B164" s="141">
        <v>153</v>
      </c>
      <c r="C164" s="666"/>
      <c r="D164" s="172"/>
      <c r="E164" s="498" t="str">
        <f>IF(C164="","",VLOOKUP(C164,'G-7 Rivers Data'!$B$2:$Z$9,2,FALSE))</f>
        <v/>
      </c>
      <c r="F164" s="499" t="str">
        <f>IFERROR(VLOOKUP(E164,'G-7 Rivers Data'!$C$4:$D$8,2,FALSE),"")</f>
        <v/>
      </c>
      <c r="G164" s="145"/>
      <c r="H164" s="499" t="str">
        <f>IFERROR(INDEX('G-7 Rivers Data'!$H$4:$L$8,MATCH(C164,'G-7 Rivers Data'!$B$4:$B$8,0),MATCH(G164,'G-7 Rivers Data'!$H$3:$L$3,0)),"")</f>
        <v/>
      </c>
      <c r="I164" s="145"/>
      <c r="J164" s="540" t="str">
        <f>IF(I164="","",IF(VLOOKUP(I164,'G-7 Rivers Data'!$AG$4:$AI$9,2,FALSE)=0,"Spatial Data Missing ⚠",VLOOKUP(I164,'G-7 Rivers Data'!$AG$4:$AI$9,2,FALSE)))</f>
        <v/>
      </c>
      <c r="K164" s="499" t="str">
        <f>IF(I164="","",IF(VLOOKUP(I164,'G-7 Rivers Data'!$AG$4:$AI$9,3,FALSE)=0,"Spatial Data Missing ⚠",VLOOKUP(I164,'G-7 Rivers Data'!$AG$4:$AI$9,3,FALSE)))</f>
        <v/>
      </c>
      <c r="L164" s="635" t="str">
        <f>IFERROR(INDEX('G-7 Rivers Data'!$O$3:$O$7,MATCH(G164,'G-7 Rivers Data'!$N$3:$N$7,0)),"")</f>
        <v/>
      </c>
      <c r="M164" s="72"/>
      <c r="N164" s="195"/>
      <c r="O164" s="507" t="str">
        <f t="shared" si="13"/>
        <v/>
      </c>
      <c r="P164" s="521" t="str">
        <f t="shared" si="14"/>
        <v/>
      </c>
      <c r="Q164" s="564" t="str">
        <f>IFERROR(IF(P164="Check Data ⚠","Check Data ⚠",VLOOKUP(P164,'G-4 Temporal multipliers'!$A$4:$C$37,3,FALSE)),"")</f>
        <v/>
      </c>
      <c r="R164" s="498" t="str">
        <f>IF(C164="","",VLOOKUP(C164,'G-7 Rivers Data'!$B$4:$G$8,4,FALSE))</f>
        <v/>
      </c>
      <c r="S164" s="507" t="str">
        <f t="shared" si="15"/>
        <v/>
      </c>
      <c r="T164" s="540" t="str">
        <f t="shared" si="16"/>
        <v/>
      </c>
      <c r="U164" s="499" t="str">
        <f t="shared" si="17"/>
        <v/>
      </c>
      <c r="V164" s="71"/>
      <c r="W164" s="499" t="str">
        <f>IF(V164="","",IF(VLOOKUP(V164,'G-7 Rivers Data'!$AA$4:$AB$7,2,FALSE)=0,"Spatial Data Missing ⚠",VLOOKUP(V164,'G-7 Rivers Data'!$AA$4:$AB$7,2,FALSE)))</f>
        <v/>
      </c>
      <c r="X164" s="155"/>
      <c r="Y164" s="499" t="str">
        <f>IF(X164="","",IF(VLOOKUP(X164,'G-7 Rivers Data'!$AD$4:$AE$8,2,FALSE)=0,"Enrcoachment Data Missing ⚠",VLOOKUP(X164,'G-7 Rivers Data'!$AD$4:$AE$8,2,FALSE)))</f>
        <v/>
      </c>
      <c r="Z164" s="154"/>
      <c r="AA164" s="524" t="str">
        <f>IF(Z164="","",VLOOKUP(Z164,'G-7 Rivers Data'!$AO$4:$AP$7,2,FALSE))</f>
        <v/>
      </c>
      <c r="AB164" s="545" t="str">
        <f t="shared" si="18"/>
        <v/>
      </c>
      <c r="AC164" s="149"/>
      <c r="AD164" s="150"/>
      <c r="AK164" s="31" t="str">
        <f>IFERROR(INDEX('G-7 Rivers Data'!$AZ$3:$AZ$7,MATCH(C164,'G-7 Rivers Data'!$AY$3:$AY$7,0)),"")</f>
        <v/>
      </c>
    </row>
    <row r="165" spans="2:37" ht="14" x14ac:dyDescent="0.3">
      <c r="B165" s="141">
        <v>154</v>
      </c>
      <c r="C165" s="666"/>
      <c r="D165" s="172"/>
      <c r="E165" s="498" t="str">
        <f>IF(C165="","",VLOOKUP(C165,'G-7 Rivers Data'!$B$2:$Z$9,2,FALSE))</f>
        <v/>
      </c>
      <c r="F165" s="499" t="str">
        <f>IFERROR(VLOOKUP(E165,'G-7 Rivers Data'!$C$4:$D$8,2,FALSE),"")</f>
        <v/>
      </c>
      <c r="G165" s="145"/>
      <c r="H165" s="499" t="str">
        <f>IFERROR(INDEX('G-7 Rivers Data'!$H$4:$L$8,MATCH(C165,'G-7 Rivers Data'!$B$4:$B$8,0),MATCH(G165,'G-7 Rivers Data'!$H$3:$L$3,0)),"")</f>
        <v/>
      </c>
      <c r="I165" s="145"/>
      <c r="J165" s="540" t="str">
        <f>IF(I165="","",IF(VLOOKUP(I165,'G-7 Rivers Data'!$AG$4:$AI$9,2,FALSE)=0,"Spatial Data Missing ⚠",VLOOKUP(I165,'G-7 Rivers Data'!$AG$4:$AI$9,2,FALSE)))</f>
        <v/>
      </c>
      <c r="K165" s="499" t="str">
        <f>IF(I165="","",IF(VLOOKUP(I165,'G-7 Rivers Data'!$AG$4:$AI$9,3,FALSE)=0,"Spatial Data Missing ⚠",VLOOKUP(I165,'G-7 Rivers Data'!$AG$4:$AI$9,3,FALSE)))</f>
        <v/>
      </c>
      <c r="L165" s="635" t="str">
        <f>IFERROR(INDEX('G-7 Rivers Data'!$O$3:$O$7,MATCH(G165,'G-7 Rivers Data'!$N$3:$N$7,0)),"")</f>
        <v/>
      </c>
      <c r="M165" s="72"/>
      <c r="N165" s="195"/>
      <c r="O165" s="507" t="str">
        <f t="shared" si="13"/>
        <v/>
      </c>
      <c r="P165" s="521" t="str">
        <f t="shared" si="14"/>
        <v/>
      </c>
      <c r="Q165" s="564" t="str">
        <f>IFERROR(IF(P165="Check Data ⚠","Check Data ⚠",VLOOKUP(P165,'G-4 Temporal multipliers'!$A$4:$C$37,3,FALSE)),"")</f>
        <v/>
      </c>
      <c r="R165" s="498" t="str">
        <f>IF(C165="","",VLOOKUP(C165,'G-7 Rivers Data'!$B$4:$G$8,4,FALSE))</f>
        <v/>
      </c>
      <c r="S165" s="507" t="str">
        <f t="shared" si="15"/>
        <v/>
      </c>
      <c r="T165" s="540" t="str">
        <f t="shared" si="16"/>
        <v/>
      </c>
      <c r="U165" s="499" t="str">
        <f t="shared" si="17"/>
        <v/>
      </c>
      <c r="V165" s="71"/>
      <c r="W165" s="499" t="str">
        <f>IF(V165="","",IF(VLOOKUP(V165,'G-7 Rivers Data'!$AA$4:$AB$7,2,FALSE)=0,"Spatial Data Missing ⚠",VLOOKUP(V165,'G-7 Rivers Data'!$AA$4:$AB$7,2,FALSE)))</f>
        <v/>
      </c>
      <c r="X165" s="155"/>
      <c r="Y165" s="499" t="str">
        <f>IF(X165="","",IF(VLOOKUP(X165,'G-7 Rivers Data'!$AD$4:$AE$8,2,FALSE)=0,"Enrcoachment Data Missing ⚠",VLOOKUP(X165,'G-7 Rivers Data'!$AD$4:$AE$8,2,FALSE)))</f>
        <v/>
      </c>
      <c r="Z165" s="154"/>
      <c r="AA165" s="524" t="str">
        <f>IF(Z165="","",VLOOKUP(Z165,'G-7 Rivers Data'!$AO$4:$AP$7,2,FALSE))</f>
        <v/>
      </c>
      <c r="AB165" s="545" t="str">
        <f t="shared" si="18"/>
        <v/>
      </c>
      <c r="AC165" s="149"/>
      <c r="AD165" s="150"/>
      <c r="AK165" s="31" t="str">
        <f>IFERROR(INDEX('G-7 Rivers Data'!$AZ$3:$AZ$7,MATCH(C165,'G-7 Rivers Data'!$AY$3:$AY$7,0)),"")</f>
        <v/>
      </c>
    </row>
    <row r="166" spans="2:37" ht="14" x14ac:dyDescent="0.3">
      <c r="B166" s="141">
        <v>155</v>
      </c>
      <c r="C166" s="666"/>
      <c r="D166" s="172"/>
      <c r="E166" s="498" t="str">
        <f>IF(C166="","",VLOOKUP(C166,'G-7 Rivers Data'!$B$2:$Z$9,2,FALSE))</f>
        <v/>
      </c>
      <c r="F166" s="499" t="str">
        <f>IFERROR(VLOOKUP(E166,'G-7 Rivers Data'!$C$4:$D$8,2,FALSE),"")</f>
        <v/>
      </c>
      <c r="G166" s="145"/>
      <c r="H166" s="499" t="str">
        <f>IFERROR(INDEX('G-7 Rivers Data'!$H$4:$L$8,MATCH(C166,'G-7 Rivers Data'!$B$4:$B$8,0),MATCH(G166,'G-7 Rivers Data'!$H$3:$L$3,0)),"")</f>
        <v/>
      </c>
      <c r="I166" s="145"/>
      <c r="J166" s="540" t="str">
        <f>IF(I166="","",IF(VLOOKUP(I166,'G-7 Rivers Data'!$AG$4:$AI$9,2,FALSE)=0,"Spatial Data Missing ⚠",VLOOKUP(I166,'G-7 Rivers Data'!$AG$4:$AI$9,2,FALSE)))</f>
        <v/>
      </c>
      <c r="K166" s="499" t="str">
        <f>IF(I166="","",IF(VLOOKUP(I166,'G-7 Rivers Data'!$AG$4:$AI$9,3,FALSE)=0,"Spatial Data Missing ⚠",VLOOKUP(I166,'G-7 Rivers Data'!$AG$4:$AI$9,3,FALSE)))</f>
        <v/>
      </c>
      <c r="L166" s="635" t="str">
        <f>IFERROR(INDEX('G-7 Rivers Data'!$O$3:$O$7,MATCH(G166,'G-7 Rivers Data'!$N$3:$N$7,0)),"")</f>
        <v/>
      </c>
      <c r="M166" s="72"/>
      <c r="N166" s="195"/>
      <c r="O166" s="507" t="str">
        <f t="shared" si="13"/>
        <v/>
      </c>
      <c r="P166" s="521" t="str">
        <f t="shared" si="14"/>
        <v/>
      </c>
      <c r="Q166" s="564" t="str">
        <f>IFERROR(IF(P166="Check Data ⚠","Check Data ⚠",VLOOKUP(P166,'G-4 Temporal multipliers'!$A$4:$C$37,3,FALSE)),"")</f>
        <v/>
      </c>
      <c r="R166" s="498" t="str">
        <f>IF(C166="","",VLOOKUP(C166,'G-7 Rivers Data'!$B$4:$G$8,4,FALSE))</f>
        <v/>
      </c>
      <c r="S166" s="507" t="str">
        <f t="shared" si="15"/>
        <v/>
      </c>
      <c r="T166" s="540" t="str">
        <f t="shared" si="16"/>
        <v/>
      </c>
      <c r="U166" s="499" t="str">
        <f t="shared" si="17"/>
        <v/>
      </c>
      <c r="V166" s="71"/>
      <c r="W166" s="499" t="str">
        <f>IF(V166="","",IF(VLOOKUP(V166,'G-7 Rivers Data'!$AA$4:$AB$7,2,FALSE)=0,"Spatial Data Missing ⚠",VLOOKUP(V166,'G-7 Rivers Data'!$AA$4:$AB$7,2,FALSE)))</f>
        <v/>
      </c>
      <c r="X166" s="155"/>
      <c r="Y166" s="499" t="str">
        <f>IF(X166="","",IF(VLOOKUP(X166,'G-7 Rivers Data'!$AD$4:$AE$8,2,FALSE)=0,"Enrcoachment Data Missing ⚠",VLOOKUP(X166,'G-7 Rivers Data'!$AD$4:$AE$8,2,FALSE)))</f>
        <v/>
      </c>
      <c r="Z166" s="154"/>
      <c r="AA166" s="524" t="str">
        <f>IF(Z166="","",VLOOKUP(Z166,'G-7 Rivers Data'!$AO$4:$AP$7,2,FALSE))</f>
        <v/>
      </c>
      <c r="AB166" s="545" t="str">
        <f t="shared" si="18"/>
        <v/>
      </c>
      <c r="AC166" s="149"/>
      <c r="AD166" s="150"/>
      <c r="AK166" s="31" t="str">
        <f>IFERROR(INDEX('G-7 Rivers Data'!$AZ$3:$AZ$7,MATCH(C166,'G-7 Rivers Data'!$AY$3:$AY$7,0)),"")</f>
        <v/>
      </c>
    </row>
    <row r="167" spans="2:37" ht="14" x14ac:dyDescent="0.3">
      <c r="B167" s="141">
        <v>156</v>
      </c>
      <c r="C167" s="666"/>
      <c r="D167" s="172"/>
      <c r="E167" s="498" t="str">
        <f>IF(C167="","",VLOOKUP(C167,'G-7 Rivers Data'!$B$2:$Z$9,2,FALSE))</f>
        <v/>
      </c>
      <c r="F167" s="499" t="str">
        <f>IFERROR(VLOOKUP(E167,'G-7 Rivers Data'!$C$4:$D$8,2,FALSE),"")</f>
        <v/>
      </c>
      <c r="G167" s="145"/>
      <c r="H167" s="499" t="str">
        <f>IFERROR(INDEX('G-7 Rivers Data'!$H$4:$L$8,MATCH(C167,'G-7 Rivers Data'!$B$4:$B$8,0),MATCH(G167,'G-7 Rivers Data'!$H$3:$L$3,0)),"")</f>
        <v/>
      </c>
      <c r="I167" s="145"/>
      <c r="J167" s="540" t="str">
        <f>IF(I167="","",IF(VLOOKUP(I167,'G-7 Rivers Data'!$AG$4:$AI$9,2,FALSE)=0,"Spatial Data Missing ⚠",VLOOKUP(I167,'G-7 Rivers Data'!$AG$4:$AI$9,2,FALSE)))</f>
        <v/>
      </c>
      <c r="K167" s="499" t="str">
        <f>IF(I167="","",IF(VLOOKUP(I167,'G-7 Rivers Data'!$AG$4:$AI$9,3,FALSE)=0,"Spatial Data Missing ⚠",VLOOKUP(I167,'G-7 Rivers Data'!$AG$4:$AI$9,3,FALSE)))</f>
        <v/>
      </c>
      <c r="L167" s="635" t="str">
        <f>IFERROR(INDEX('G-7 Rivers Data'!$O$3:$O$7,MATCH(G167,'G-7 Rivers Data'!$N$3:$N$7,0)),"")</f>
        <v/>
      </c>
      <c r="M167" s="72"/>
      <c r="N167" s="195"/>
      <c r="O167" s="507" t="str">
        <f t="shared" si="13"/>
        <v/>
      </c>
      <c r="P167" s="521" t="str">
        <f t="shared" si="14"/>
        <v/>
      </c>
      <c r="Q167" s="564" t="str">
        <f>IFERROR(IF(P167="Check Data ⚠","Check Data ⚠",VLOOKUP(P167,'G-4 Temporal multipliers'!$A$4:$C$37,3,FALSE)),"")</f>
        <v/>
      </c>
      <c r="R167" s="498" t="str">
        <f>IF(C167="","",VLOOKUP(C167,'G-7 Rivers Data'!$B$4:$G$8,4,FALSE))</f>
        <v/>
      </c>
      <c r="S167" s="507" t="str">
        <f t="shared" si="15"/>
        <v/>
      </c>
      <c r="T167" s="540" t="str">
        <f t="shared" si="16"/>
        <v/>
      </c>
      <c r="U167" s="499" t="str">
        <f t="shared" si="17"/>
        <v/>
      </c>
      <c r="V167" s="71"/>
      <c r="W167" s="499" t="str">
        <f>IF(V167="","",IF(VLOOKUP(V167,'G-7 Rivers Data'!$AA$4:$AB$7,2,FALSE)=0,"Spatial Data Missing ⚠",VLOOKUP(V167,'G-7 Rivers Data'!$AA$4:$AB$7,2,FALSE)))</f>
        <v/>
      </c>
      <c r="X167" s="155"/>
      <c r="Y167" s="499" t="str">
        <f>IF(X167="","",IF(VLOOKUP(X167,'G-7 Rivers Data'!$AD$4:$AE$8,2,FALSE)=0,"Enrcoachment Data Missing ⚠",VLOOKUP(X167,'G-7 Rivers Data'!$AD$4:$AE$8,2,FALSE)))</f>
        <v/>
      </c>
      <c r="Z167" s="154"/>
      <c r="AA167" s="524" t="str">
        <f>IF(Z167="","",VLOOKUP(Z167,'G-7 Rivers Data'!$AO$4:$AP$7,2,FALSE))</f>
        <v/>
      </c>
      <c r="AB167" s="545" t="str">
        <f t="shared" si="18"/>
        <v/>
      </c>
      <c r="AC167" s="149"/>
      <c r="AD167" s="150"/>
      <c r="AK167" s="31" t="str">
        <f>IFERROR(INDEX('G-7 Rivers Data'!$AZ$3:$AZ$7,MATCH(C167,'G-7 Rivers Data'!$AY$3:$AY$7,0)),"")</f>
        <v/>
      </c>
    </row>
    <row r="168" spans="2:37" ht="14" x14ac:dyDescent="0.3">
      <c r="B168" s="141">
        <v>157</v>
      </c>
      <c r="C168" s="666"/>
      <c r="D168" s="172"/>
      <c r="E168" s="498" t="str">
        <f>IF(C168="","",VLOOKUP(C168,'G-7 Rivers Data'!$B$2:$Z$9,2,FALSE))</f>
        <v/>
      </c>
      <c r="F168" s="499" t="str">
        <f>IFERROR(VLOOKUP(E168,'G-7 Rivers Data'!$C$4:$D$8,2,FALSE),"")</f>
        <v/>
      </c>
      <c r="G168" s="145"/>
      <c r="H168" s="499" t="str">
        <f>IFERROR(INDEX('G-7 Rivers Data'!$H$4:$L$8,MATCH(C168,'G-7 Rivers Data'!$B$4:$B$8,0),MATCH(G168,'G-7 Rivers Data'!$H$3:$L$3,0)),"")</f>
        <v/>
      </c>
      <c r="I168" s="145"/>
      <c r="J168" s="540" t="str">
        <f>IF(I168="","",IF(VLOOKUP(I168,'G-7 Rivers Data'!$AG$4:$AI$9,2,FALSE)=0,"Spatial Data Missing ⚠",VLOOKUP(I168,'G-7 Rivers Data'!$AG$4:$AI$9,2,FALSE)))</f>
        <v/>
      </c>
      <c r="K168" s="499" t="str">
        <f>IF(I168="","",IF(VLOOKUP(I168,'G-7 Rivers Data'!$AG$4:$AI$9,3,FALSE)=0,"Spatial Data Missing ⚠",VLOOKUP(I168,'G-7 Rivers Data'!$AG$4:$AI$9,3,FALSE)))</f>
        <v/>
      </c>
      <c r="L168" s="635" t="str">
        <f>IFERROR(INDEX('G-7 Rivers Data'!$O$3:$O$7,MATCH(G168,'G-7 Rivers Data'!$N$3:$N$7,0)),"")</f>
        <v/>
      </c>
      <c r="M168" s="72"/>
      <c r="N168" s="195"/>
      <c r="O168" s="507" t="str">
        <f t="shared" si="13"/>
        <v/>
      </c>
      <c r="P168" s="521" t="str">
        <f t="shared" si="14"/>
        <v/>
      </c>
      <c r="Q168" s="564" t="str">
        <f>IFERROR(IF(P168="Check Data ⚠","Check Data ⚠",VLOOKUP(P168,'G-4 Temporal multipliers'!$A$4:$C$37,3,FALSE)),"")</f>
        <v/>
      </c>
      <c r="R168" s="498" t="str">
        <f>IF(C168="","",VLOOKUP(C168,'G-7 Rivers Data'!$B$4:$G$8,4,FALSE))</f>
        <v/>
      </c>
      <c r="S168" s="507" t="str">
        <f t="shared" si="15"/>
        <v/>
      </c>
      <c r="T168" s="540" t="str">
        <f t="shared" si="16"/>
        <v/>
      </c>
      <c r="U168" s="499" t="str">
        <f t="shared" si="17"/>
        <v/>
      </c>
      <c r="V168" s="71"/>
      <c r="W168" s="499" t="str">
        <f>IF(V168="","",IF(VLOOKUP(V168,'G-7 Rivers Data'!$AA$4:$AB$7,2,FALSE)=0,"Spatial Data Missing ⚠",VLOOKUP(V168,'G-7 Rivers Data'!$AA$4:$AB$7,2,FALSE)))</f>
        <v/>
      </c>
      <c r="X168" s="155"/>
      <c r="Y168" s="499" t="str">
        <f>IF(X168="","",IF(VLOOKUP(X168,'G-7 Rivers Data'!$AD$4:$AE$8,2,FALSE)=0,"Enrcoachment Data Missing ⚠",VLOOKUP(X168,'G-7 Rivers Data'!$AD$4:$AE$8,2,FALSE)))</f>
        <v/>
      </c>
      <c r="Z168" s="154"/>
      <c r="AA168" s="524" t="str">
        <f>IF(Z168="","",VLOOKUP(Z168,'G-7 Rivers Data'!$AO$4:$AP$7,2,FALSE))</f>
        <v/>
      </c>
      <c r="AB168" s="545" t="str">
        <f t="shared" si="18"/>
        <v/>
      </c>
      <c r="AC168" s="149"/>
      <c r="AD168" s="150"/>
      <c r="AK168" s="31" t="str">
        <f>IFERROR(INDEX('G-7 Rivers Data'!$AZ$3:$AZ$7,MATCH(C168,'G-7 Rivers Data'!$AY$3:$AY$7,0)),"")</f>
        <v/>
      </c>
    </row>
    <row r="169" spans="2:37" ht="14" x14ac:dyDescent="0.3">
      <c r="B169" s="141">
        <v>158</v>
      </c>
      <c r="C169" s="666"/>
      <c r="D169" s="172"/>
      <c r="E169" s="498" t="str">
        <f>IF(C169="","",VLOOKUP(C169,'G-7 Rivers Data'!$B$2:$Z$9,2,FALSE))</f>
        <v/>
      </c>
      <c r="F169" s="499" t="str">
        <f>IFERROR(VLOOKUP(E169,'G-7 Rivers Data'!$C$4:$D$8,2,FALSE),"")</f>
        <v/>
      </c>
      <c r="G169" s="145"/>
      <c r="H169" s="499" t="str">
        <f>IFERROR(INDEX('G-7 Rivers Data'!$H$4:$L$8,MATCH(C169,'G-7 Rivers Data'!$B$4:$B$8,0),MATCH(G169,'G-7 Rivers Data'!$H$3:$L$3,0)),"")</f>
        <v/>
      </c>
      <c r="I169" s="145"/>
      <c r="J169" s="540" t="str">
        <f>IF(I169="","",IF(VLOOKUP(I169,'G-7 Rivers Data'!$AG$4:$AI$9,2,FALSE)=0,"Spatial Data Missing ⚠",VLOOKUP(I169,'G-7 Rivers Data'!$AG$4:$AI$9,2,FALSE)))</f>
        <v/>
      </c>
      <c r="K169" s="499" t="str">
        <f>IF(I169="","",IF(VLOOKUP(I169,'G-7 Rivers Data'!$AG$4:$AI$9,3,FALSE)=0,"Spatial Data Missing ⚠",VLOOKUP(I169,'G-7 Rivers Data'!$AG$4:$AI$9,3,FALSE)))</f>
        <v/>
      </c>
      <c r="L169" s="635" t="str">
        <f>IFERROR(INDEX('G-7 Rivers Data'!$O$3:$O$7,MATCH(G169,'G-7 Rivers Data'!$N$3:$N$7,0)),"")</f>
        <v/>
      </c>
      <c r="M169" s="72"/>
      <c r="N169" s="195"/>
      <c r="O169" s="507" t="str">
        <f t="shared" si="13"/>
        <v/>
      </c>
      <c r="P169" s="521" t="str">
        <f t="shared" si="14"/>
        <v/>
      </c>
      <c r="Q169" s="564" t="str">
        <f>IFERROR(IF(P169="Check Data ⚠","Check Data ⚠",VLOOKUP(P169,'G-4 Temporal multipliers'!$A$4:$C$37,3,FALSE)),"")</f>
        <v/>
      </c>
      <c r="R169" s="498" t="str">
        <f>IF(C169="","",VLOOKUP(C169,'G-7 Rivers Data'!$B$4:$G$8,4,FALSE))</f>
        <v/>
      </c>
      <c r="S169" s="507" t="str">
        <f t="shared" si="15"/>
        <v/>
      </c>
      <c r="T169" s="540" t="str">
        <f t="shared" si="16"/>
        <v/>
      </c>
      <c r="U169" s="499" t="str">
        <f t="shared" si="17"/>
        <v/>
      </c>
      <c r="V169" s="71"/>
      <c r="W169" s="499" t="str">
        <f>IF(V169="","",IF(VLOOKUP(V169,'G-7 Rivers Data'!$AA$4:$AB$7,2,FALSE)=0,"Spatial Data Missing ⚠",VLOOKUP(V169,'G-7 Rivers Data'!$AA$4:$AB$7,2,FALSE)))</f>
        <v/>
      </c>
      <c r="X169" s="155"/>
      <c r="Y169" s="499" t="str">
        <f>IF(X169="","",IF(VLOOKUP(X169,'G-7 Rivers Data'!$AD$4:$AE$8,2,FALSE)=0,"Enrcoachment Data Missing ⚠",VLOOKUP(X169,'G-7 Rivers Data'!$AD$4:$AE$8,2,FALSE)))</f>
        <v/>
      </c>
      <c r="Z169" s="154"/>
      <c r="AA169" s="524" t="str">
        <f>IF(Z169="","",VLOOKUP(Z169,'G-7 Rivers Data'!$AO$4:$AP$7,2,FALSE))</f>
        <v/>
      </c>
      <c r="AB169" s="545" t="str">
        <f t="shared" si="18"/>
        <v/>
      </c>
      <c r="AC169" s="149"/>
      <c r="AD169" s="150"/>
      <c r="AK169" s="31" t="str">
        <f>IFERROR(INDEX('G-7 Rivers Data'!$AZ$3:$AZ$7,MATCH(C169,'G-7 Rivers Data'!$AY$3:$AY$7,0)),"")</f>
        <v/>
      </c>
    </row>
    <row r="170" spans="2:37" ht="14" x14ac:dyDescent="0.3">
      <c r="B170" s="141">
        <v>159</v>
      </c>
      <c r="C170" s="666"/>
      <c r="D170" s="172"/>
      <c r="E170" s="498" t="str">
        <f>IF(C170="","",VLOOKUP(C170,'G-7 Rivers Data'!$B$2:$Z$9,2,FALSE))</f>
        <v/>
      </c>
      <c r="F170" s="499" t="str">
        <f>IFERROR(VLOOKUP(E170,'G-7 Rivers Data'!$C$4:$D$8,2,FALSE),"")</f>
        <v/>
      </c>
      <c r="G170" s="145"/>
      <c r="H170" s="499" t="str">
        <f>IFERROR(INDEX('G-7 Rivers Data'!$H$4:$L$8,MATCH(C170,'G-7 Rivers Data'!$B$4:$B$8,0),MATCH(G170,'G-7 Rivers Data'!$H$3:$L$3,0)),"")</f>
        <v/>
      </c>
      <c r="I170" s="145"/>
      <c r="J170" s="540" t="str">
        <f>IF(I170="","",IF(VLOOKUP(I170,'G-7 Rivers Data'!$AG$4:$AI$9,2,FALSE)=0,"Spatial Data Missing ⚠",VLOOKUP(I170,'G-7 Rivers Data'!$AG$4:$AI$9,2,FALSE)))</f>
        <v/>
      </c>
      <c r="K170" s="499" t="str">
        <f>IF(I170="","",IF(VLOOKUP(I170,'G-7 Rivers Data'!$AG$4:$AI$9,3,FALSE)=0,"Spatial Data Missing ⚠",VLOOKUP(I170,'G-7 Rivers Data'!$AG$4:$AI$9,3,FALSE)))</f>
        <v/>
      </c>
      <c r="L170" s="635" t="str">
        <f>IFERROR(INDEX('G-7 Rivers Data'!$O$3:$O$7,MATCH(G170,'G-7 Rivers Data'!$N$3:$N$7,0)),"")</f>
        <v/>
      </c>
      <c r="M170" s="72"/>
      <c r="N170" s="195"/>
      <c r="O170" s="507" t="str">
        <f t="shared" si="13"/>
        <v/>
      </c>
      <c r="P170" s="521" t="str">
        <f t="shared" si="14"/>
        <v/>
      </c>
      <c r="Q170" s="564" t="str">
        <f>IFERROR(IF(P170="Check Data ⚠","Check Data ⚠",VLOOKUP(P170,'G-4 Temporal multipliers'!$A$4:$C$37,3,FALSE)),"")</f>
        <v/>
      </c>
      <c r="R170" s="498" t="str">
        <f>IF(C170="","",VLOOKUP(C170,'G-7 Rivers Data'!$B$4:$G$8,4,FALSE))</f>
        <v/>
      </c>
      <c r="S170" s="507" t="str">
        <f t="shared" si="15"/>
        <v/>
      </c>
      <c r="T170" s="540" t="str">
        <f t="shared" si="16"/>
        <v/>
      </c>
      <c r="U170" s="499" t="str">
        <f t="shared" si="17"/>
        <v/>
      </c>
      <c r="V170" s="71"/>
      <c r="W170" s="499" t="str">
        <f>IF(V170="","",IF(VLOOKUP(V170,'G-7 Rivers Data'!$AA$4:$AB$7,2,FALSE)=0,"Spatial Data Missing ⚠",VLOOKUP(V170,'G-7 Rivers Data'!$AA$4:$AB$7,2,FALSE)))</f>
        <v/>
      </c>
      <c r="X170" s="155"/>
      <c r="Y170" s="499" t="str">
        <f>IF(X170="","",IF(VLOOKUP(X170,'G-7 Rivers Data'!$AD$4:$AE$8,2,FALSE)=0,"Enrcoachment Data Missing ⚠",VLOOKUP(X170,'G-7 Rivers Data'!$AD$4:$AE$8,2,FALSE)))</f>
        <v/>
      </c>
      <c r="Z170" s="154"/>
      <c r="AA170" s="524" t="str">
        <f>IF(Z170="","",VLOOKUP(Z170,'G-7 Rivers Data'!$AO$4:$AP$7,2,FALSE))</f>
        <v/>
      </c>
      <c r="AB170" s="545" t="str">
        <f t="shared" si="18"/>
        <v/>
      </c>
      <c r="AC170" s="149"/>
      <c r="AD170" s="150"/>
      <c r="AK170" s="31" t="str">
        <f>IFERROR(INDEX('G-7 Rivers Data'!$AZ$3:$AZ$7,MATCH(C170,'G-7 Rivers Data'!$AY$3:$AY$7,0)),"")</f>
        <v/>
      </c>
    </row>
    <row r="171" spans="2:37" ht="14" x14ac:dyDescent="0.3">
      <c r="B171" s="141">
        <v>160</v>
      </c>
      <c r="C171" s="666"/>
      <c r="D171" s="172"/>
      <c r="E171" s="498" t="str">
        <f>IF(C171="","",VLOOKUP(C171,'G-7 Rivers Data'!$B$2:$Z$9,2,FALSE))</f>
        <v/>
      </c>
      <c r="F171" s="499" t="str">
        <f>IFERROR(VLOOKUP(E171,'G-7 Rivers Data'!$C$4:$D$8,2,FALSE),"")</f>
        <v/>
      </c>
      <c r="G171" s="145"/>
      <c r="H171" s="499" t="str">
        <f>IFERROR(INDEX('G-7 Rivers Data'!$H$4:$L$8,MATCH(C171,'G-7 Rivers Data'!$B$4:$B$8,0),MATCH(G171,'G-7 Rivers Data'!$H$3:$L$3,0)),"")</f>
        <v/>
      </c>
      <c r="I171" s="145"/>
      <c r="J171" s="540" t="str">
        <f>IF(I171="","",IF(VLOOKUP(I171,'G-7 Rivers Data'!$AG$4:$AI$9,2,FALSE)=0,"Spatial Data Missing ⚠",VLOOKUP(I171,'G-7 Rivers Data'!$AG$4:$AI$9,2,FALSE)))</f>
        <v/>
      </c>
      <c r="K171" s="499" t="str">
        <f>IF(I171="","",IF(VLOOKUP(I171,'G-7 Rivers Data'!$AG$4:$AI$9,3,FALSE)=0,"Spatial Data Missing ⚠",VLOOKUP(I171,'G-7 Rivers Data'!$AG$4:$AI$9,3,FALSE)))</f>
        <v/>
      </c>
      <c r="L171" s="635" t="str">
        <f>IFERROR(INDEX('G-7 Rivers Data'!$O$3:$O$7,MATCH(G171,'G-7 Rivers Data'!$N$3:$N$7,0)),"")</f>
        <v/>
      </c>
      <c r="M171" s="72"/>
      <c r="N171" s="195"/>
      <c r="O171" s="507" t="str">
        <f t="shared" si="13"/>
        <v/>
      </c>
      <c r="P171" s="521" t="str">
        <f t="shared" si="14"/>
        <v/>
      </c>
      <c r="Q171" s="564" t="str">
        <f>IFERROR(IF(P171="Check Data ⚠","Check Data ⚠",VLOOKUP(P171,'G-4 Temporal multipliers'!$A$4:$C$37,3,FALSE)),"")</f>
        <v/>
      </c>
      <c r="R171" s="498" t="str">
        <f>IF(C171="","",VLOOKUP(C171,'G-7 Rivers Data'!$B$4:$G$8,4,FALSE))</f>
        <v/>
      </c>
      <c r="S171" s="507" t="str">
        <f t="shared" si="15"/>
        <v/>
      </c>
      <c r="T171" s="540" t="str">
        <f t="shared" si="16"/>
        <v/>
      </c>
      <c r="U171" s="499" t="str">
        <f t="shared" si="17"/>
        <v/>
      </c>
      <c r="V171" s="71"/>
      <c r="W171" s="499" t="str">
        <f>IF(V171="","",IF(VLOOKUP(V171,'G-7 Rivers Data'!$AA$4:$AB$7,2,FALSE)=0,"Spatial Data Missing ⚠",VLOOKUP(V171,'G-7 Rivers Data'!$AA$4:$AB$7,2,FALSE)))</f>
        <v/>
      </c>
      <c r="X171" s="155"/>
      <c r="Y171" s="499" t="str">
        <f>IF(X171="","",IF(VLOOKUP(X171,'G-7 Rivers Data'!$AD$4:$AE$8,2,FALSE)=0,"Enrcoachment Data Missing ⚠",VLOOKUP(X171,'G-7 Rivers Data'!$AD$4:$AE$8,2,FALSE)))</f>
        <v/>
      </c>
      <c r="Z171" s="154"/>
      <c r="AA171" s="524" t="str">
        <f>IF(Z171="","",VLOOKUP(Z171,'G-7 Rivers Data'!$AO$4:$AP$7,2,FALSE))</f>
        <v/>
      </c>
      <c r="AB171" s="545" t="str">
        <f t="shared" si="18"/>
        <v/>
      </c>
      <c r="AC171" s="149"/>
      <c r="AD171" s="150"/>
      <c r="AK171" s="31" t="str">
        <f>IFERROR(INDEX('G-7 Rivers Data'!$AZ$3:$AZ$7,MATCH(C171,'G-7 Rivers Data'!$AY$3:$AY$7,0)),"")</f>
        <v/>
      </c>
    </row>
    <row r="172" spans="2:37" ht="14" x14ac:dyDescent="0.3">
      <c r="B172" s="141">
        <v>161</v>
      </c>
      <c r="C172" s="666"/>
      <c r="D172" s="172"/>
      <c r="E172" s="498" t="str">
        <f>IF(C172="","",VLOOKUP(C172,'G-7 Rivers Data'!$B$2:$Z$9,2,FALSE))</f>
        <v/>
      </c>
      <c r="F172" s="499" t="str">
        <f>IFERROR(VLOOKUP(E172,'G-7 Rivers Data'!$C$4:$D$8,2,FALSE),"")</f>
        <v/>
      </c>
      <c r="G172" s="145"/>
      <c r="H172" s="499" t="str">
        <f>IFERROR(INDEX('G-7 Rivers Data'!$H$4:$L$8,MATCH(C172,'G-7 Rivers Data'!$B$4:$B$8,0),MATCH(G172,'G-7 Rivers Data'!$H$3:$L$3,0)),"")</f>
        <v/>
      </c>
      <c r="I172" s="145"/>
      <c r="J172" s="540" t="str">
        <f>IF(I172="","",IF(VLOOKUP(I172,'G-7 Rivers Data'!$AG$4:$AI$9,2,FALSE)=0,"Spatial Data Missing ⚠",VLOOKUP(I172,'G-7 Rivers Data'!$AG$4:$AI$9,2,FALSE)))</f>
        <v/>
      </c>
      <c r="K172" s="499" t="str">
        <f>IF(I172="","",IF(VLOOKUP(I172,'G-7 Rivers Data'!$AG$4:$AI$9,3,FALSE)=0,"Spatial Data Missing ⚠",VLOOKUP(I172,'G-7 Rivers Data'!$AG$4:$AI$9,3,FALSE)))</f>
        <v/>
      </c>
      <c r="L172" s="635" t="str">
        <f>IFERROR(INDEX('G-7 Rivers Data'!$O$3:$O$7,MATCH(G172,'G-7 Rivers Data'!$N$3:$N$7,0)),"")</f>
        <v/>
      </c>
      <c r="M172" s="72"/>
      <c r="N172" s="195"/>
      <c r="O172" s="507" t="str">
        <f t="shared" si="13"/>
        <v/>
      </c>
      <c r="P172" s="521" t="str">
        <f t="shared" si="14"/>
        <v/>
      </c>
      <c r="Q172" s="564" t="str">
        <f>IFERROR(IF(P172="Check Data ⚠","Check Data ⚠",VLOOKUP(P172,'G-4 Temporal multipliers'!$A$4:$C$37,3,FALSE)),"")</f>
        <v/>
      </c>
      <c r="R172" s="498" t="str">
        <f>IF(C172="","",VLOOKUP(C172,'G-7 Rivers Data'!$B$4:$G$8,4,FALSE))</f>
        <v/>
      </c>
      <c r="S172" s="507" t="str">
        <f t="shared" si="15"/>
        <v/>
      </c>
      <c r="T172" s="540" t="str">
        <f t="shared" si="16"/>
        <v/>
      </c>
      <c r="U172" s="499" t="str">
        <f t="shared" si="17"/>
        <v/>
      </c>
      <c r="V172" s="71"/>
      <c r="W172" s="499" t="str">
        <f>IF(V172="","",IF(VLOOKUP(V172,'G-7 Rivers Data'!$AA$4:$AB$7,2,FALSE)=0,"Spatial Data Missing ⚠",VLOOKUP(V172,'G-7 Rivers Data'!$AA$4:$AB$7,2,FALSE)))</f>
        <v/>
      </c>
      <c r="X172" s="155"/>
      <c r="Y172" s="499" t="str">
        <f>IF(X172="","",IF(VLOOKUP(X172,'G-7 Rivers Data'!$AD$4:$AE$8,2,FALSE)=0,"Enrcoachment Data Missing ⚠",VLOOKUP(X172,'G-7 Rivers Data'!$AD$4:$AE$8,2,FALSE)))</f>
        <v/>
      </c>
      <c r="Z172" s="154"/>
      <c r="AA172" s="524" t="str">
        <f>IF(Z172="","",VLOOKUP(Z172,'G-7 Rivers Data'!$AO$4:$AP$7,2,FALSE))</f>
        <v/>
      </c>
      <c r="AB172" s="545" t="str">
        <f t="shared" si="18"/>
        <v/>
      </c>
      <c r="AC172" s="149"/>
      <c r="AD172" s="150"/>
      <c r="AK172" s="31" t="str">
        <f>IFERROR(INDEX('G-7 Rivers Data'!$AZ$3:$AZ$7,MATCH(C172,'G-7 Rivers Data'!$AY$3:$AY$7,0)),"")</f>
        <v/>
      </c>
    </row>
    <row r="173" spans="2:37" ht="14" x14ac:dyDescent="0.3">
      <c r="B173" s="141">
        <v>162</v>
      </c>
      <c r="C173" s="666"/>
      <c r="D173" s="172"/>
      <c r="E173" s="498" t="str">
        <f>IF(C173="","",VLOOKUP(C173,'G-7 Rivers Data'!$B$2:$Z$9,2,FALSE))</f>
        <v/>
      </c>
      <c r="F173" s="499" t="str">
        <f>IFERROR(VLOOKUP(E173,'G-7 Rivers Data'!$C$4:$D$8,2,FALSE),"")</f>
        <v/>
      </c>
      <c r="G173" s="145"/>
      <c r="H173" s="499" t="str">
        <f>IFERROR(INDEX('G-7 Rivers Data'!$H$4:$L$8,MATCH(C173,'G-7 Rivers Data'!$B$4:$B$8,0),MATCH(G173,'G-7 Rivers Data'!$H$3:$L$3,0)),"")</f>
        <v/>
      </c>
      <c r="I173" s="145"/>
      <c r="J173" s="540" t="str">
        <f>IF(I173="","",IF(VLOOKUP(I173,'G-7 Rivers Data'!$AG$4:$AI$9,2,FALSE)=0,"Spatial Data Missing ⚠",VLOOKUP(I173,'G-7 Rivers Data'!$AG$4:$AI$9,2,FALSE)))</f>
        <v/>
      </c>
      <c r="K173" s="499" t="str">
        <f>IF(I173="","",IF(VLOOKUP(I173,'G-7 Rivers Data'!$AG$4:$AI$9,3,FALSE)=0,"Spatial Data Missing ⚠",VLOOKUP(I173,'G-7 Rivers Data'!$AG$4:$AI$9,3,FALSE)))</f>
        <v/>
      </c>
      <c r="L173" s="635" t="str">
        <f>IFERROR(INDEX('G-7 Rivers Data'!$O$3:$O$7,MATCH(G173,'G-7 Rivers Data'!$N$3:$N$7,0)),"")</f>
        <v/>
      </c>
      <c r="M173" s="72"/>
      <c r="N173" s="195"/>
      <c r="O173" s="507" t="str">
        <f t="shared" si="13"/>
        <v/>
      </c>
      <c r="P173" s="521" t="str">
        <f t="shared" si="14"/>
        <v/>
      </c>
      <c r="Q173" s="564" t="str">
        <f>IFERROR(IF(P173="Check Data ⚠","Check Data ⚠",VLOOKUP(P173,'G-4 Temporal multipliers'!$A$4:$C$37,3,FALSE)),"")</f>
        <v/>
      </c>
      <c r="R173" s="498" t="str">
        <f>IF(C173="","",VLOOKUP(C173,'G-7 Rivers Data'!$B$4:$G$8,4,FALSE))</f>
        <v/>
      </c>
      <c r="S173" s="507" t="str">
        <f t="shared" si="15"/>
        <v/>
      </c>
      <c r="T173" s="540" t="str">
        <f t="shared" si="16"/>
        <v/>
      </c>
      <c r="U173" s="499" t="str">
        <f t="shared" si="17"/>
        <v/>
      </c>
      <c r="V173" s="71"/>
      <c r="W173" s="499" t="str">
        <f>IF(V173="","",IF(VLOOKUP(V173,'G-7 Rivers Data'!$AA$4:$AB$7,2,FALSE)=0,"Spatial Data Missing ⚠",VLOOKUP(V173,'G-7 Rivers Data'!$AA$4:$AB$7,2,FALSE)))</f>
        <v/>
      </c>
      <c r="X173" s="155"/>
      <c r="Y173" s="499" t="str">
        <f>IF(X173="","",IF(VLOOKUP(X173,'G-7 Rivers Data'!$AD$4:$AE$8,2,FALSE)=0,"Enrcoachment Data Missing ⚠",VLOOKUP(X173,'G-7 Rivers Data'!$AD$4:$AE$8,2,FALSE)))</f>
        <v/>
      </c>
      <c r="Z173" s="154"/>
      <c r="AA173" s="524" t="str">
        <f>IF(Z173="","",VLOOKUP(Z173,'G-7 Rivers Data'!$AO$4:$AP$7,2,FALSE))</f>
        <v/>
      </c>
      <c r="AB173" s="545" t="str">
        <f t="shared" si="18"/>
        <v/>
      </c>
      <c r="AC173" s="149"/>
      <c r="AD173" s="150"/>
      <c r="AK173" s="31" t="str">
        <f>IFERROR(INDEX('G-7 Rivers Data'!$AZ$3:$AZ$7,MATCH(C173,'G-7 Rivers Data'!$AY$3:$AY$7,0)),"")</f>
        <v/>
      </c>
    </row>
    <row r="174" spans="2:37" ht="14" x14ac:dyDescent="0.3">
      <c r="B174" s="141">
        <v>163</v>
      </c>
      <c r="C174" s="666"/>
      <c r="D174" s="172"/>
      <c r="E174" s="498" t="str">
        <f>IF(C174="","",VLOOKUP(C174,'G-7 Rivers Data'!$B$2:$Z$9,2,FALSE))</f>
        <v/>
      </c>
      <c r="F174" s="499" t="str">
        <f>IFERROR(VLOOKUP(E174,'G-7 Rivers Data'!$C$4:$D$8,2,FALSE),"")</f>
        <v/>
      </c>
      <c r="G174" s="145"/>
      <c r="H174" s="499" t="str">
        <f>IFERROR(INDEX('G-7 Rivers Data'!$H$4:$L$8,MATCH(C174,'G-7 Rivers Data'!$B$4:$B$8,0),MATCH(G174,'G-7 Rivers Data'!$H$3:$L$3,0)),"")</f>
        <v/>
      </c>
      <c r="I174" s="145"/>
      <c r="J174" s="540" t="str">
        <f>IF(I174="","",IF(VLOOKUP(I174,'G-7 Rivers Data'!$AG$4:$AI$9,2,FALSE)=0,"Spatial Data Missing ⚠",VLOOKUP(I174,'G-7 Rivers Data'!$AG$4:$AI$9,2,FALSE)))</f>
        <v/>
      </c>
      <c r="K174" s="499" t="str">
        <f>IF(I174="","",IF(VLOOKUP(I174,'G-7 Rivers Data'!$AG$4:$AI$9,3,FALSE)=0,"Spatial Data Missing ⚠",VLOOKUP(I174,'G-7 Rivers Data'!$AG$4:$AI$9,3,FALSE)))</f>
        <v/>
      </c>
      <c r="L174" s="635" t="str">
        <f>IFERROR(INDEX('G-7 Rivers Data'!$O$3:$O$7,MATCH(G174,'G-7 Rivers Data'!$N$3:$N$7,0)),"")</f>
        <v/>
      </c>
      <c r="M174" s="72"/>
      <c r="N174" s="195"/>
      <c r="O174" s="507" t="str">
        <f t="shared" si="13"/>
        <v/>
      </c>
      <c r="P174" s="521" t="str">
        <f t="shared" si="14"/>
        <v/>
      </c>
      <c r="Q174" s="564" t="str">
        <f>IFERROR(IF(P174="Check Data ⚠","Check Data ⚠",VLOOKUP(P174,'G-4 Temporal multipliers'!$A$4:$C$37,3,FALSE)),"")</f>
        <v/>
      </c>
      <c r="R174" s="498" t="str">
        <f>IF(C174="","",VLOOKUP(C174,'G-7 Rivers Data'!$B$4:$G$8,4,FALSE))</f>
        <v/>
      </c>
      <c r="S174" s="507" t="str">
        <f t="shared" si="15"/>
        <v/>
      </c>
      <c r="T174" s="540" t="str">
        <f t="shared" si="16"/>
        <v/>
      </c>
      <c r="U174" s="499" t="str">
        <f t="shared" si="17"/>
        <v/>
      </c>
      <c r="V174" s="71"/>
      <c r="W174" s="499" t="str">
        <f>IF(V174="","",IF(VLOOKUP(V174,'G-7 Rivers Data'!$AA$4:$AB$7,2,FALSE)=0,"Spatial Data Missing ⚠",VLOOKUP(V174,'G-7 Rivers Data'!$AA$4:$AB$7,2,FALSE)))</f>
        <v/>
      </c>
      <c r="X174" s="155"/>
      <c r="Y174" s="499" t="str">
        <f>IF(X174="","",IF(VLOOKUP(X174,'G-7 Rivers Data'!$AD$4:$AE$8,2,FALSE)=0,"Enrcoachment Data Missing ⚠",VLOOKUP(X174,'G-7 Rivers Data'!$AD$4:$AE$8,2,FALSE)))</f>
        <v/>
      </c>
      <c r="Z174" s="154"/>
      <c r="AA174" s="524" t="str">
        <f>IF(Z174="","",VLOOKUP(Z174,'G-7 Rivers Data'!$AO$4:$AP$7,2,FALSE))</f>
        <v/>
      </c>
      <c r="AB174" s="545" t="str">
        <f t="shared" si="18"/>
        <v/>
      </c>
      <c r="AC174" s="149"/>
      <c r="AD174" s="150"/>
      <c r="AK174" s="31" t="str">
        <f>IFERROR(INDEX('G-7 Rivers Data'!$AZ$3:$AZ$7,MATCH(C174,'G-7 Rivers Data'!$AY$3:$AY$7,0)),"")</f>
        <v/>
      </c>
    </row>
    <row r="175" spans="2:37" ht="14" x14ac:dyDescent="0.3">
      <c r="B175" s="141">
        <v>164</v>
      </c>
      <c r="C175" s="666"/>
      <c r="D175" s="172"/>
      <c r="E175" s="498" t="str">
        <f>IF(C175="","",VLOOKUP(C175,'G-7 Rivers Data'!$B$2:$Z$9,2,FALSE))</f>
        <v/>
      </c>
      <c r="F175" s="499" t="str">
        <f>IFERROR(VLOOKUP(E175,'G-7 Rivers Data'!$C$4:$D$8,2,FALSE),"")</f>
        <v/>
      </c>
      <c r="G175" s="145"/>
      <c r="H175" s="499" t="str">
        <f>IFERROR(INDEX('G-7 Rivers Data'!$H$4:$L$8,MATCH(C175,'G-7 Rivers Data'!$B$4:$B$8,0),MATCH(G175,'G-7 Rivers Data'!$H$3:$L$3,0)),"")</f>
        <v/>
      </c>
      <c r="I175" s="145"/>
      <c r="J175" s="540" t="str">
        <f>IF(I175="","",IF(VLOOKUP(I175,'G-7 Rivers Data'!$AG$4:$AI$9,2,FALSE)=0,"Spatial Data Missing ⚠",VLOOKUP(I175,'G-7 Rivers Data'!$AG$4:$AI$9,2,FALSE)))</f>
        <v/>
      </c>
      <c r="K175" s="499" t="str">
        <f>IF(I175="","",IF(VLOOKUP(I175,'G-7 Rivers Data'!$AG$4:$AI$9,3,FALSE)=0,"Spatial Data Missing ⚠",VLOOKUP(I175,'G-7 Rivers Data'!$AG$4:$AI$9,3,FALSE)))</f>
        <v/>
      </c>
      <c r="L175" s="635" t="str">
        <f>IFERROR(INDEX('G-7 Rivers Data'!$O$3:$O$7,MATCH(G175,'G-7 Rivers Data'!$N$3:$N$7,0)),"")</f>
        <v/>
      </c>
      <c r="M175" s="72"/>
      <c r="N175" s="195"/>
      <c r="O175" s="507" t="str">
        <f t="shared" si="13"/>
        <v/>
      </c>
      <c r="P175" s="521" t="str">
        <f t="shared" si="14"/>
        <v/>
      </c>
      <c r="Q175" s="564" t="str">
        <f>IFERROR(IF(P175="Check Data ⚠","Check Data ⚠",VLOOKUP(P175,'G-4 Temporal multipliers'!$A$4:$C$37,3,FALSE)),"")</f>
        <v/>
      </c>
      <c r="R175" s="498" t="str">
        <f>IF(C175="","",VLOOKUP(C175,'G-7 Rivers Data'!$B$4:$G$8,4,FALSE))</f>
        <v/>
      </c>
      <c r="S175" s="507" t="str">
        <f t="shared" si="15"/>
        <v/>
      </c>
      <c r="T175" s="540" t="str">
        <f t="shared" si="16"/>
        <v/>
      </c>
      <c r="U175" s="499" t="str">
        <f t="shared" si="17"/>
        <v/>
      </c>
      <c r="V175" s="71"/>
      <c r="W175" s="499" t="str">
        <f>IF(V175="","",IF(VLOOKUP(V175,'G-7 Rivers Data'!$AA$4:$AB$7,2,FALSE)=0,"Spatial Data Missing ⚠",VLOOKUP(V175,'G-7 Rivers Data'!$AA$4:$AB$7,2,FALSE)))</f>
        <v/>
      </c>
      <c r="X175" s="155"/>
      <c r="Y175" s="499" t="str">
        <f>IF(X175="","",IF(VLOOKUP(X175,'G-7 Rivers Data'!$AD$4:$AE$8,2,FALSE)=0,"Enrcoachment Data Missing ⚠",VLOOKUP(X175,'G-7 Rivers Data'!$AD$4:$AE$8,2,FALSE)))</f>
        <v/>
      </c>
      <c r="Z175" s="154"/>
      <c r="AA175" s="524" t="str">
        <f>IF(Z175="","",VLOOKUP(Z175,'G-7 Rivers Data'!$AO$4:$AP$7,2,FALSE))</f>
        <v/>
      </c>
      <c r="AB175" s="545" t="str">
        <f t="shared" si="18"/>
        <v/>
      </c>
      <c r="AC175" s="149"/>
      <c r="AD175" s="150"/>
      <c r="AK175" s="31" t="str">
        <f>IFERROR(INDEX('G-7 Rivers Data'!$AZ$3:$AZ$7,MATCH(C175,'G-7 Rivers Data'!$AY$3:$AY$7,0)),"")</f>
        <v/>
      </c>
    </row>
    <row r="176" spans="2:37" ht="14" x14ac:dyDescent="0.3">
      <c r="B176" s="141">
        <v>165</v>
      </c>
      <c r="C176" s="666"/>
      <c r="D176" s="172"/>
      <c r="E176" s="498" t="str">
        <f>IF(C176="","",VLOOKUP(C176,'G-7 Rivers Data'!$B$2:$Z$9,2,FALSE))</f>
        <v/>
      </c>
      <c r="F176" s="499" t="str">
        <f>IFERROR(VLOOKUP(E176,'G-7 Rivers Data'!$C$4:$D$8,2,FALSE),"")</f>
        <v/>
      </c>
      <c r="G176" s="145"/>
      <c r="H176" s="499" t="str">
        <f>IFERROR(INDEX('G-7 Rivers Data'!$H$4:$L$8,MATCH(C176,'G-7 Rivers Data'!$B$4:$B$8,0),MATCH(G176,'G-7 Rivers Data'!$H$3:$L$3,0)),"")</f>
        <v/>
      </c>
      <c r="I176" s="145"/>
      <c r="J176" s="540" t="str">
        <f>IF(I176="","",IF(VLOOKUP(I176,'G-7 Rivers Data'!$AG$4:$AI$9,2,FALSE)=0,"Spatial Data Missing ⚠",VLOOKUP(I176,'G-7 Rivers Data'!$AG$4:$AI$9,2,FALSE)))</f>
        <v/>
      </c>
      <c r="K176" s="499" t="str">
        <f>IF(I176="","",IF(VLOOKUP(I176,'G-7 Rivers Data'!$AG$4:$AI$9,3,FALSE)=0,"Spatial Data Missing ⚠",VLOOKUP(I176,'G-7 Rivers Data'!$AG$4:$AI$9,3,FALSE)))</f>
        <v/>
      </c>
      <c r="L176" s="635" t="str">
        <f>IFERROR(INDEX('G-7 Rivers Data'!$O$3:$O$7,MATCH(G176,'G-7 Rivers Data'!$N$3:$N$7,0)),"")</f>
        <v/>
      </c>
      <c r="M176" s="72"/>
      <c r="N176" s="195"/>
      <c r="O176" s="507" t="str">
        <f t="shared" si="13"/>
        <v/>
      </c>
      <c r="P176" s="521" t="str">
        <f t="shared" si="14"/>
        <v/>
      </c>
      <c r="Q176" s="564" t="str">
        <f>IFERROR(IF(P176="Check Data ⚠","Check Data ⚠",VLOOKUP(P176,'G-4 Temporal multipliers'!$A$4:$C$37,3,FALSE)),"")</f>
        <v/>
      </c>
      <c r="R176" s="498" t="str">
        <f>IF(C176="","",VLOOKUP(C176,'G-7 Rivers Data'!$B$4:$G$8,4,FALSE))</f>
        <v/>
      </c>
      <c r="S176" s="507" t="str">
        <f t="shared" si="15"/>
        <v/>
      </c>
      <c r="T176" s="540" t="str">
        <f t="shared" si="16"/>
        <v/>
      </c>
      <c r="U176" s="499" t="str">
        <f t="shared" si="17"/>
        <v/>
      </c>
      <c r="V176" s="71"/>
      <c r="W176" s="499" t="str">
        <f>IF(V176="","",IF(VLOOKUP(V176,'G-7 Rivers Data'!$AA$4:$AB$7,2,FALSE)=0,"Spatial Data Missing ⚠",VLOOKUP(V176,'G-7 Rivers Data'!$AA$4:$AB$7,2,FALSE)))</f>
        <v/>
      </c>
      <c r="X176" s="155"/>
      <c r="Y176" s="499" t="str">
        <f>IF(X176="","",IF(VLOOKUP(X176,'G-7 Rivers Data'!$AD$4:$AE$8,2,FALSE)=0,"Enrcoachment Data Missing ⚠",VLOOKUP(X176,'G-7 Rivers Data'!$AD$4:$AE$8,2,FALSE)))</f>
        <v/>
      </c>
      <c r="Z176" s="154"/>
      <c r="AA176" s="524" t="str">
        <f>IF(Z176="","",VLOOKUP(Z176,'G-7 Rivers Data'!$AO$4:$AP$7,2,FALSE))</f>
        <v/>
      </c>
      <c r="AB176" s="545" t="str">
        <f t="shared" si="18"/>
        <v/>
      </c>
      <c r="AC176" s="149"/>
      <c r="AD176" s="150"/>
      <c r="AK176" s="31" t="str">
        <f>IFERROR(INDEX('G-7 Rivers Data'!$AZ$3:$AZ$7,MATCH(C176,'G-7 Rivers Data'!$AY$3:$AY$7,0)),"")</f>
        <v/>
      </c>
    </row>
    <row r="177" spans="2:37" ht="14" x14ac:dyDescent="0.3">
      <c r="B177" s="141">
        <v>166</v>
      </c>
      <c r="C177" s="666"/>
      <c r="D177" s="172"/>
      <c r="E177" s="498" t="str">
        <f>IF(C177="","",VLOOKUP(C177,'G-7 Rivers Data'!$B$2:$Z$9,2,FALSE))</f>
        <v/>
      </c>
      <c r="F177" s="499" t="str">
        <f>IFERROR(VLOOKUP(E177,'G-7 Rivers Data'!$C$4:$D$8,2,FALSE),"")</f>
        <v/>
      </c>
      <c r="G177" s="145"/>
      <c r="H177" s="499" t="str">
        <f>IFERROR(INDEX('G-7 Rivers Data'!$H$4:$L$8,MATCH(C177,'G-7 Rivers Data'!$B$4:$B$8,0),MATCH(G177,'G-7 Rivers Data'!$H$3:$L$3,0)),"")</f>
        <v/>
      </c>
      <c r="I177" s="145"/>
      <c r="J177" s="540" t="str">
        <f>IF(I177="","",IF(VLOOKUP(I177,'G-7 Rivers Data'!$AG$4:$AI$9,2,FALSE)=0,"Spatial Data Missing ⚠",VLOOKUP(I177,'G-7 Rivers Data'!$AG$4:$AI$9,2,FALSE)))</f>
        <v/>
      </c>
      <c r="K177" s="499" t="str">
        <f>IF(I177="","",IF(VLOOKUP(I177,'G-7 Rivers Data'!$AG$4:$AI$9,3,FALSE)=0,"Spatial Data Missing ⚠",VLOOKUP(I177,'G-7 Rivers Data'!$AG$4:$AI$9,3,FALSE)))</f>
        <v/>
      </c>
      <c r="L177" s="635" t="str">
        <f>IFERROR(INDEX('G-7 Rivers Data'!$O$3:$O$7,MATCH(G177,'G-7 Rivers Data'!$N$3:$N$7,0)),"")</f>
        <v/>
      </c>
      <c r="M177" s="72"/>
      <c r="N177" s="195"/>
      <c r="O177" s="507" t="str">
        <f t="shared" si="13"/>
        <v/>
      </c>
      <c r="P177" s="521" t="str">
        <f t="shared" si="14"/>
        <v/>
      </c>
      <c r="Q177" s="564" t="str">
        <f>IFERROR(IF(P177="Check Data ⚠","Check Data ⚠",VLOOKUP(P177,'G-4 Temporal multipliers'!$A$4:$C$37,3,FALSE)),"")</f>
        <v/>
      </c>
      <c r="R177" s="498" t="str">
        <f>IF(C177="","",VLOOKUP(C177,'G-7 Rivers Data'!$B$4:$G$8,4,FALSE))</f>
        <v/>
      </c>
      <c r="S177" s="507" t="str">
        <f t="shared" si="15"/>
        <v/>
      </c>
      <c r="T177" s="540" t="str">
        <f t="shared" si="16"/>
        <v/>
      </c>
      <c r="U177" s="499" t="str">
        <f t="shared" si="17"/>
        <v/>
      </c>
      <c r="V177" s="71"/>
      <c r="W177" s="499" t="str">
        <f>IF(V177="","",IF(VLOOKUP(V177,'G-7 Rivers Data'!$AA$4:$AB$7,2,FALSE)=0,"Spatial Data Missing ⚠",VLOOKUP(V177,'G-7 Rivers Data'!$AA$4:$AB$7,2,FALSE)))</f>
        <v/>
      </c>
      <c r="X177" s="155"/>
      <c r="Y177" s="499" t="str">
        <f>IF(X177="","",IF(VLOOKUP(X177,'G-7 Rivers Data'!$AD$4:$AE$8,2,FALSE)=0,"Enrcoachment Data Missing ⚠",VLOOKUP(X177,'G-7 Rivers Data'!$AD$4:$AE$8,2,FALSE)))</f>
        <v/>
      </c>
      <c r="Z177" s="154"/>
      <c r="AA177" s="524" t="str">
        <f>IF(Z177="","",VLOOKUP(Z177,'G-7 Rivers Data'!$AO$4:$AP$7,2,FALSE))</f>
        <v/>
      </c>
      <c r="AB177" s="545" t="str">
        <f t="shared" si="18"/>
        <v/>
      </c>
      <c r="AC177" s="149"/>
      <c r="AD177" s="150"/>
      <c r="AK177" s="31" t="str">
        <f>IFERROR(INDEX('G-7 Rivers Data'!$AZ$3:$AZ$7,MATCH(C177,'G-7 Rivers Data'!$AY$3:$AY$7,0)),"")</f>
        <v/>
      </c>
    </row>
    <row r="178" spans="2:37" ht="14" x14ac:dyDescent="0.3">
      <c r="B178" s="141">
        <v>167</v>
      </c>
      <c r="C178" s="666"/>
      <c r="D178" s="172"/>
      <c r="E178" s="498" t="str">
        <f>IF(C178="","",VLOOKUP(C178,'G-7 Rivers Data'!$B$2:$Z$9,2,FALSE))</f>
        <v/>
      </c>
      <c r="F178" s="499" t="str">
        <f>IFERROR(VLOOKUP(E178,'G-7 Rivers Data'!$C$4:$D$8,2,FALSE),"")</f>
        <v/>
      </c>
      <c r="G178" s="145"/>
      <c r="H178" s="499" t="str">
        <f>IFERROR(INDEX('G-7 Rivers Data'!$H$4:$L$8,MATCH(C178,'G-7 Rivers Data'!$B$4:$B$8,0),MATCH(G178,'G-7 Rivers Data'!$H$3:$L$3,0)),"")</f>
        <v/>
      </c>
      <c r="I178" s="145"/>
      <c r="J178" s="540" t="str">
        <f>IF(I178="","",IF(VLOOKUP(I178,'G-7 Rivers Data'!$AG$4:$AI$9,2,FALSE)=0,"Spatial Data Missing ⚠",VLOOKUP(I178,'G-7 Rivers Data'!$AG$4:$AI$9,2,FALSE)))</f>
        <v/>
      </c>
      <c r="K178" s="499" t="str">
        <f>IF(I178="","",IF(VLOOKUP(I178,'G-7 Rivers Data'!$AG$4:$AI$9,3,FALSE)=0,"Spatial Data Missing ⚠",VLOOKUP(I178,'G-7 Rivers Data'!$AG$4:$AI$9,3,FALSE)))</f>
        <v/>
      </c>
      <c r="L178" s="635" t="str">
        <f>IFERROR(INDEX('G-7 Rivers Data'!$O$3:$O$7,MATCH(G178,'G-7 Rivers Data'!$N$3:$N$7,0)),"")</f>
        <v/>
      </c>
      <c r="M178" s="72"/>
      <c r="N178" s="195"/>
      <c r="O178" s="507" t="str">
        <f t="shared" si="13"/>
        <v/>
      </c>
      <c r="P178" s="521" t="str">
        <f t="shared" si="14"/>
        <v/>
      </c>
      <c r="Q178" s="564" t="str">
        <f>IFERROR(IF(P178="Check Data ⚠","Check Data ⚠",VLOOKUP(P178,'G-4 Temporal multipliers'!$A$4:$C$37,3,FALSE)),"")</f>
        <v/>
      </c>
      <c r="R178" s="498" t="str">
        <f>IF(C178="","",VLOOKUP(C178,'G-7 Rivers Data'!$B$4:$G$8,4,FALSE))</f>
        <v/>
      </c>
      <c r="S178" s="507" t="str">
        <f t="shared" si="15"/>
        <v/>
      </c>
      <c r="T178" s="540" t="str">
        <f t="shared" si="16"/>
        <v/>
      </c>
      <c r="U178" s="499" t="str">
        <f t="shared" si="17"/>
        <v/>
      </c>
      <c r="V178" s="71"/>
      <c r="W178" s="499" t="str">
        <f>IF(V178="","",IF(VLOOKUP(V178,'G-7 Rivers Data'!$AA$4:$AB$7,2,FALSE)=0,"Spatial Data Missing ⚠",VLOOKUP(V178,'G-7 Rivers Data'!$AA$4:$AB$7,2,FALSE)))</f>
        <v/>
      </c>
      <c r="X178" s="155"/>
      <c r="Y178" s="499" t="str">
        <f>IF(X178="","",IF(VLOOKUP(X178,'G-7 Rivers Data'!$AD$4:$AE$8,2,FALSE)=0,"Enrcoachment Data Missing ⚠",VLOOKUP(X178,'G-7 Rivers Data'!$AD$4:$AE$8,2,FALSE)))</f>
        <v/>
      </c>
      <c r="Z178" s="154"/>
      <c r="AA178" s="524" t="str">
        <f>IF(Z178="","",VLOOKUP(Z178,'G-7 Rivers Data'!$AO$4:$AP$7,2,FALSE))</f>
        <v/>
      </c>
      <c r="AB178" s="545" t="str">
        <f t="shared" si="18"/>
        <v/>
      </c>
      <c r="AC178" s="149"/>
      <c r="AD178" s="150"/>
      <c r="AK178" s="31" t="str">
        <f>IFERROR(INDEX('G-7 Rivers Data'!$AZ$3:$AZ$7,MATCH(C178,'G-7 Rivers Data'!$AY$3:$AY$7,0)),"")</f>
        <v/>
      </c>
    </row>
    <row r="179" spans="2:37" ht="14" x14ac:dyDescent="0.3">
      <c r="B179" s="141">
        <v>168</v>
      </c>
      <c r="C179" s="666"/>
      <c r="D179" s="172"/>
      <c r="E179" s="498" t="str">
        <f>IF(C179="","",VLOOKUP(C179,'G-7 Rivers Data'!$B$2:$Z$9,2,FALSE))</f>
        <v/>
      </c>
      <c r="F179" s="499" t="str">
        <f>IFERROR(VLOOKUP(E179,'G-7 Rivers Data'!$C$4:$D$8,2,FALSE),"")</f>
        <v/>
      </c>
      <c r="G179" s="145"/>
      <c r="H179" s="499" t="str">
        <f>IFERROR(INDEX('G-7 Rivers Data'!$H$4:$L$8,MATCH(C179,'G-7 Rivers Data'!$B$4:$B$8,0),MATCH(G179,'G-7 Rivers Data'!$H$3:$L$3,0)),"")</f>
        <v/>
      </c>
      <c r="I179" s="145"/>
      <c r="J179" s="540" t="str">
        <f>IF(I179="","",IF(VLOOKUP(I179,'G-7 Rivers Data'!$AG$4:$AI$9,2,FALSE)=0,"Spatial Data Missing ⚠",VLOOKUP(I179,'G-7 Rivers Data'!$AG$4:$AI$9,2,FALSE)))</f>
        <v/>
      </c>
      <c r="K179" s="499" t="str">
        <f>IF(I179="","",IF(VLOOKUP(I179,'G-7 Rivers Data'!$AG$4:$AI$9,3,FALSE)=0,"Spatial Data Missing ⚠",VLOOKUP(I179,'G-7 Rivers Data'!$AG$4:$AI$9,3,FALSE)))</f>
        <v/>
      </c>
      <c r="L179" s="635" t="str">
        <f>IFERROR(INDEX('G-7 Rivers Data'!$O$3:$O$7,MATCH(G179,'G-7 Rivers Data'!$N$3:$N$7,0)),"")</f>
        <v/>
      </c>
      <c r="M179" s="72"/>
      <c r="N179" s="195"/>
      <c r="O179" s="507" t="str">
        <f t="shared" si="13"/>
        <v/>
      </c>
      <c r="P179" s="521" t="str">
        <f t="shared" si="14"/>
        <v/>
      </c>
      <c r="Q179" s="564" t="str">
        <f>IFERROR(IF(P179="Check Data ⚠","Check Data ⚠",VLOOKUP(P179,'G-4 Temporal multipliers'!$A$4:$C$37,3,FALSE)),"")</f>
        <v/>
      </c>
      <c r="R179" s="498" t="str">
        <f>IF(C179="","",VLOOKUP(C179,'G-7 Rivers Data'!$B$4:$G$8,4,FALSE))</f>
        <v/>
      </c>
      <c r="S179" s="507" t="str">
        <f t="shared" si="15"/>
        <v/>
      </c>
      <c r="T179" s="540" t="str">
        <f t="shared" si="16"/>
        <v/>
      </c>
      <c r="U179" s="499" t="str">
        <f t="shared" si="17"/>
        <v/>
      </c>
      <c r="V179" s="71"/>
      <c r="W179" s="499" t="str">
        <f>IF(V179="","",IF(VLOOKUP(V179,'G-7 Rivers Data'!$AA$4:$AB$7,2,FALSE)=0,"Spatial Data Missing ⚠",VLOOKUP(V179,'G-7 Rivers Data'!$AA$4:$AB$7,2,FALSE)))</f>
        <v/>
      </c>
      <c r="X179" s="155"/>
      <c r="Y179" s="499" t="str">
        <f>IF(X179="","",IF(VLOOKUP(X179,'G-7 Rivers Data'!$AD$4:$AE$8,2,FALSE)=0,"Enrcoachment Data Missing ⚠",VLOOKUP(X179,'G-7 Rivers Data'!$AD$4:$AE$8,2,FALSE)))</f>
        <v/>
      </c>
      <c r="Z179" s="154"/>
      <c r="AA179" s="524" t="str">
        <f>IF(Z179="","",VLOOKUP(Z179,'G-7 Rivers Data'!$AO$4:$AP$7,2,FALSE))</f>
        <v/>
      </c>
      <c r="AB179" s="545" t="str">
        <f t="shared" si="18"/>
        <v/>
      </c>
      <c r="AC179" s="149"/>
      <c r="AD179" s="150"/>
      <c r="AK179" s="31" t="str">
        <f>IFERROR(INDEX('G-7 Rivers Data'!$AZ$3:$AZ$7,MATCH(C179,'G-7 Rivers Data'!$AY$3:$AY$7,0)),"")</f>
        <v/>
      </c>
    </row>
    <row r="180" spans="2:37" ht="14" x14ac:dyDescent="0.3">
      <c r="B180" s="141">
        <v>169</v>
      </c>
      <c r="C180" s="666"/>
      <c r="D180" s="172"/>
      <c r="E180" s="498" t="str">
        <f>IF(C180="","",VLOOKUP(C180,'G-7 Rivers Data'!$B$2:$Z$9,2,FALSE))</f>
        <v/>
      </c>
      <c r="F180" s="499" t="str">
        <f>IFERROR(VLOOKUP(E180,'G-7 Rivers Data'!$C$4:$D$8,2,FALSE),"")</f>
        <v/>
      </c>
      <c r="G180" s="145"/>
      <c r="H180" s="499" t="str">
        <f>IFERROR(INDEX('G-7 Rivers Data'!$H$4:$L$8,MATCH(C180,'G-7 Rivers Data'!$B$4:$B$8,0),MATCH(G180,'G-7 Rivers Data'!$H$3:$L$3,0)),"")</f>
        <v/>
      </c>
      <c r="I180" s="145"/>
      <c r="J180" s="540" t="str">
        <f>IF(I180="","",IF(VLOOKUP(I180,'G-7 Rivers Data'!$AG$4:$AI$9,2,FALSE)=0,"Spatial Data Missing ⚠",VLOOKUP(I180,'G-7 Rivers Data'!$AG$4:$AI$9,2,FALSE)))</f>
        <v/>
      </c>
      <c r="K180" s="499" t="str">
        <f>IF(I180="","",IF(VLOOKUP(I180,'G-7 Rivers Data'!$AG$4:$AI$9,3,FALSE)=0,"Spatial Data Missing ⚠",VLOOKUP(I180,'G-7 Rivers Data'!$AG$4:$AI$9,3,FALSE)))</f>
        <v/>
      </c>
      <c r="L180" s="635" t="str">
        <f>IFERROR(INDEX('G-7 Rivers Data'!$O$3:$O$7,MATCH(G180,'G-7 Rivers Data'!$N$3:$N$7,0)),"")</f>
        <v/>
      </c>
      <c r="M180" s="72"/>
      <c r="N180" s="195"/>
      <c r="O180" s="507" t="str">
        <f t="shared" si="13"/>
        <v/>
      </c>
      <c r="P180" s="521" t="str">
        <f t="shared" si="14"/>
        <v/>
      </c>
      <c r="Q180" s="564" t="str">
        <f>IFERROR(IF(P180="Check Data ⚠","Check Data ⚠",VLOOKUP(P180,'G-4 Temporal multipliers'!$A$4:$C$37,3,FALSE)),"")</f>
        <v/>
      </c>
      <c r="R180" s="498" t="str">
        <f>IF(C180="","",VLOOKUP(C180,'G-7 Rivers Data'!$B$4:$G$8,4,FALSE))</f>
        <v/>
      </c>
      <c r="S180" s="507" t="str">
        <f t="shared" si="15"/>
        <v/>
      </c>
      <c r="T180" s="540" t="str">
        <f t="shared" si="16"/>
        <v/>
      </c>
      <c r="U180" s="499" t="str">
        <f t="shared" si="17"/>
        <v/>
      </c>
      <c r="V180" s="71"/>
      <c r="W180" s="499" t="str">
        <f>IF(V180="","",IF(VLOOKUP(V180,'G-7 Rivers Data'!$AA$4:$AB$7,2,FALSE)=0,"Spatial Data Missing ⚠",VLOOKUP(V180,'G-7 Rivers Data'!$AA$4:$AB$7,2,FALSE)))</f>
        <v/>
      </c>
      <c r="X180" s="155"/>
      <c r="Y180" s="499" t="str">
        <f>IF(X180="","",IF(VLOOKUP(X180,'G-7 Rivers Data'!$AD$4:$AE$8,2,FALSE)=0,"Enrcoachment Data Missing ⚠",VLOOKUP(X180,'G-7 Rivers Data'!$AD$4:$AE$8,2,FALSE)))</f>
        <v/>
      </c>
      <c r="Z180" s="154"/>
      <c r="AA180" s="524" t="str">
        <f>IF(Z180="","",VLOOKUP(Z180,'G-7 Rivers Data'!$AO$4:$AP$7,2,FALSE))</f>
        <v/>
      </c>
      <c r="AB180" s="545" t="str">
        <f t="shared" si="18"/>
        <v/>
      </c>
      <c r="AC180" s="149"/>
      <c r="AD180" s="150"/>
      <c r="AK180" s="31" t="str">
        <f>IFERROR(INDEX('G-7 Rivers Data'!$AZ$3:$AZ$7,MATCH(C180,'G-7 Rivers Data'!$AY$3:$AY$7,0)),"")</f>
        <v/>
      </c>
    </row>
    <row r="181" spans="2:37" ht="14" x14ac:dyDescent="0.3">
      <c r="B181" s="141">
        <v>170</v>
      </c>
      <c r="C181" s="666"/>
      <c r="D181" s="172"/>
      <c r="E181" s="498" t="str">
        <f>IF(C181="","",VLOOKUP(C181,'G-7 Rivers Data'!$B$2:$Z$9,2,FALSE))</f>
        <v/>
      </c>
      <c r="F181" s="499" t="str">
        <f>IFERROR(VLOOKUP(E181,'G-7 Rivers Data'!$C$4:$D$8,2,FALSE),"")</f>
        <v/>
      </c>
      <c r="G181" s="145"/>
      <c r="H181" s="499" t="str">
        <f>IFERROR(INDEX('G-7 Rivers Data'!$H$4:$L$8,MATCH(C181,'G-7 Rivers Data'!$B$4:$B$8,0),MATCH(G181,'G-7 Rivers Data'!$H$3:$L$3,0)),"")</f>
        <v/>
      </c>
      <c r="I181" s="145"/>
      <c r="J181" s="540" t="str">
        <f>IF(I181="","",IF(VLOOKUP(I181,'G-7 Rivers Data'!$AG$4:$AI$9,2,FALSE)=0,"Spatial Data Missing ⚠",VLOOKUP(I181,'G-7 Rivers Data'!$AG$4:$AI$9,2,FALSE)))</f>
        <v/>
      </c>
      <c r="K181" s="499" t="str">
        <f>IF(I181="","",IF(VLOOKUP(I181,'G-7 Rivers Data'!$AG$4:$AI$9,3,FALSE)=0,"Spatial Data Missing ⚠",VLOOKUP(I181,'G-7 Rivers Data'!$AG$4:$AI$9,3,FALSE)))</f>
        <v/>
      </c>
      <c r="L181" s="635" t="str">
        <f>IFERROR(INDEX('G-7 Rivers Data'!$O$3:$O$7,MATCH(G181,'G-7 Rivers Data'!$N$3:$N$7,0)),"")</f>
        <v/>
      </c>
      <c r="M181" s="72"/>
      <c r="N181" s="195"/>
      <c r="O181" s="507" t="str">
        <f t="shared" si="13"/>
        <v/>
      </c>
      <c r="P181" s="521" t="str">
        <f t="shared" si="14"/>
        <v/>
      </c>
      <c r="Q181" s="564" t="str">
        <f>IFERROR(IF(P181="Check Data ⚠","Check Data ⚠",VLOOKUP(P181,'G-4 Temporal multipliers'!$A$4:$C$37,3,FALSE)),"")</f>
        <v/>
      </c>
      <c r="R181" s="498" t="str">
        <f>IF(C181="","",VLOOKUP(C181,'G-7 Rivers Data'!$B$4:$G$8,4,FALSE))</f>
        <v/>
      </c>
      <c r="S181" s="507" t="str">
        <f t="shared" si="15"/>
        <v/>
      </c>
      <c r="T181" s="540" t="str">
        <f t="shared" si="16"/>
        <v/>
      </c>
      <c r="U181" s="499" t="str">
        <f t="shared" si="17"/>
        <v/>
      </c>
      <c r="V181" s="71"/>
      <c r="W181" s="499" t="str">
        <f>IF(V181="","",IF(VLOOKUP(V181,'G-7 Rivers Data'!$AA$4:$AB$7,2,FALSE)=0,"Spatial Data Missing ⚠",VLOOKUP(V181,'G-7 Rivers Data'!$AA$4:$AB$7,2,FALSE)))</f>
        <v/>
      </c>
      <c r="X181" s="155"/>
      <c r="Y181" s="499" t="str">
        <f>IF(X181="","",IF(VLOOKUP(X181,'G-7 Rivers Data'!$AD$4:$AE$8,2,FALSE)=0,"Enrcoachment Data Missing ⚠",VLOOKUP(X181,'G-7 Rivers Data'!$AD$4:$AE$8,2,FALSE)))</f>
        <v/>
      </c>
      <c r="Z181" s="154"/>
      <c r="AA181" s="524" t="str">
        <f>IF(Z181="","",VLOOKUP(Z181,'G-7 Rivers Data'!$AO$4:$AP$7,2,FALSE))</f>
        <v/>
      </c>
      <c r="AB181" s="545" t="str">
        <f t="shared" si="18"/>
        <v/>
      </c>
      <c r="AC181" s="149"/>
      <c r="AD181" s="150"/>
      <c r="AK181" s="31" t="str">
        <f>IFERROR(INDEX('G-7 Rivers Data'!$AZ$3:$AZ$7,MATCH(C181,'G-7 Rivers Data'!$AY$3:$AY$7,0)),"")</f>
        <v/>
      </c>
    </row>
    <row r="182" spans="2:37" ht="14" x14ac:dyDescent="0.3">
      <c r="B182" s="141">
        <v>171</v>
      </c>
      <c r="C182" s="666"/>
      <c r="D182" s="172"/>
      <c r="E182" s="498" t="str">
        <f>IF(C182="","",VLOOKUP(C182,'G-7 Rivers Data'!$B$2:$Z$9,2,FALSE))</f>
        <v/>
      </c>
      <c r="F182" s="499" t="str">
        <f>IFERROR(VLOOKUP(E182,'G-7 Rivers Data'!$C$4:$D$8,2,FALSE),"")</f>
        <v/>
      </c>
      <c r="G182" s="145"/>
      <c r="H182" s="499" t="str">
        <f>IFERROR(INDEX('G-7 Rivers Data'!$H$4:$L$8,MATCH(C182,'G-7 Rivers Data'!$B$4:$B$8,0),MATCH(G182,'G-7 Rivers Data'!$H$3:$L$3,0)),"")</f>
        <v/>
      </c>
      <c r="I182" s="145"/>
      <c r="J182" s="540" t="str">
        <f>IF(I182="","",IF(VLOOKUP(I182,'G-7 Rivers Data'!$AG$4:$AI$9,2,FALSE)=0,"Spatial Data Missing ⚠",VLOOKUP(I182,'G-7 Rivers Data'!$AG$4:$AI$9,2,FALSE)))</f>
        <v/>
      </c>
      <c r="K182" s="499" t="str">
        <f>IF(I182="","",IF(VLOOKUP(I182,'G-7 Rivers Data'!$AG$4:$AI$9,3,FALSE)=0,"Spatial Data Missing ⚠",VLOOKUP(I182,'G-7 Rivers Data'!$AG$4:$AI$9,3,FALSE)))</f>
        <v/>
      </c>
      <c r="L182" s="635" t="str">
        <f>IFERROR(INDEX('G-7 Rivers Data'!$O$3:$O$7,MATCH(G182,'G-7 Rivers Data'!$N$3:$N$7,0)),"")</f>
        <v/>
      </c>
      <c r="M182" s="72"/>
      <c r="N182" s="195"/>
      <c r="O182" s="507" t="str">
        <f t="shared" si="13"/>
        <v/>
      </c>
      <c r="P182" s="521" t="str">
        <f t="shared" si="14"/>
        <v/>
      </c>
      <c r="Q182" s="564" t="str">
        <f>IFERROR(IF(P182="Check Data ⚠","Check Data ⚠",VLOOKUP(P182,'G-4 Temporal multipliers'!$A$4:$C$37,3,FALSE)),"")</f>
        <v/>
      </c>
      <c r="R182" s="498" t="str">
        <f>IF(C182="","",VLOOKUP(C182,'G-7 Rivers Data'!$B$4:$G$8,4,FALSE))</f>
        <v/>
      </c>
      <c r="S182" s="507" t="str">
        <f t="shared" si="15"/>
        <v/>
      </c>
      <c r="T182" s="540" t="str">
        <f t="shared" si="16"/>
        <v/>
      </c>
      <c r="U182" s="499" t="str">
        <f t="shared" si="17"/>
        <v/>
      </c>
      <c r="V182" s="71"/>
      <c r="W182" s="499" t="str">
        <f>IF(V182="","",IF(VLOOKUP(V182,'G-7 Rivers Data'!$AA$4:$AB$7,2,FALSE)=0,"Spatial Data Missing ⚠",VLOOKUP(V182,'G-7 Rivers Data'!$AA$4:$AB$7,2,FALSE)))</f>
        <v/>
      </c>
      <c r="X182" s="155"/>
      <c r="Y182" s="499" t="str">
        <f>IF(X182="","",IF(VLOOKUP(X182,'G-7 Rivers Data'!$AD$4:$AE$8,2,FALSE)=0,"Enrcoachment Data Missing ⚠",VLOOKUP(X182,'G-7 Rivers Data'!$AD$4:$AE$8,2,FALSE)))</f>
        <v/>
      </c>
      <c r="Z182" s="154"/>
      <c r="AA182" s="524" t="str">
        <f>IF(Z182="","",VLOOKUP(Z182,'G-7 Rivers Data'!$AO$4:$AP$7,2,FALSE))</f>
        <v/>
      </c>
      <c r="AB182" s="545" t="str">
        <f t="shared" si="18"/>
        <v/>
      </c>
      <c r="AC182" s="149"/>
      <c r="AD182" s="150"/>
      <c r="AK182" s="31" t="str">
        <f>IFERROR(INDEX('G-7 Rivers Data'!$AZ$3:$AZ$7,MATCH(C182,'G-7 Rivers Data'!$AY$3:$AY$7,0)),"")</f>
        <v/>
      </c>
    </row>
    <row r="183" spans="2:37" ht="14" x14ac:dyDescent="0.3">
      <c r="B183" s="141">
        <v>172</v>
      </c>
      <c r="C183" s="666"/>
      <c r="D183" s="172"/>
      <c r="E183" s="498" t="str">
        <f>IF(C183="","",VLOOKUP(C183,'G-7 Rivers Data'!$B$2:$Z$9,2,FALSE))</f>
        <v/>
      </c>
      <c r="F183" s="499" t="str">
        <f>IFERROR(VLOOKUP(E183,'G-7 Rivers Data'!$C$4:$D$8,2,FALSE),"")</f>
        <v/>
      </c>
      <c r="G183" s="145"/>
      <c r="H183" s="499" t="str">
        <f>IFERROR(INDEX('G-7 Rivers Data'!$H$4:$L$8,MATCH(C183,'G-7 Rivers Data'!$B$4:$B$8,0),MATCH(G183,'G-7 Rivers Data'!$H$3:$L$3,0)),"")</f>
        <v/>
      </c>
      <c r="I183" s="145"/>
      <c r="J183" s="540" t="str">
        <f>IF(I183="","",IF(VLOOKUP(I183,'G-7 Rivers Data'!$AG$4:$AI$9,2,FALSE)=0,"Spatial Data Missing ⚠",VLOOKUP(I183,'G-7 Rivers Data'!$AG$4:$AI$9,2,FALSE)))</f>
        <v/>
      </c>
      <c r="K183" s="499" t="str">
        <f>IF(I183="","",IF(VLOOKUP(I183,'G-7 Rivers Data'!$AG$4:$AI$9,3,FALSE)=0,"Spatial Data Missing ⚠",VLOOKUP(I183,'G-7 Rivers Data'!$AG$4:$AI$9,3,FALSE)))</f>
        <v/>
      </c>
      <c r="L183" s="635" t="str">
        <f>IFERROR(INDEX('G-7 Rivers Data'!$O$3:$O$7,MATCH(G183,'G-7 Rivers Data'!$N$3:$N$7,0)),"")</f>
        <v/>
      </c>
      <c r="M183" s="72"/>
      <c r="N183" s="195"/>
      <c r="O183" s="507" t="str">
        <f t="shared" si="13"/>
        <v/>
      </c>
      <c r="P183" s="521" t="str">
        <f t="shared" si="14"/>
        <v/>
      </c>
      <c r="Q183" s="564" t="str">
        <f>IFERROR(IF(P183="Check Data ⚠","Check Data ⚠",VLOOKUP(P183,'G-4 Temporal multipliers'!$A$4:$C$37,3,FALSE)),"")</f>
        <v/>
      </c>
      <c r="R183" s="498" t="str">
        <f>IF(C183="","",VLOOKUP(C183,'G-7 Rivers Data'!$B$4:$G$8,4,FALSE))</f>
        <v/>
      </c>
      <c r="S183" s="507" t="str">
        <f t="shared" si="15"/>
        <v/>
      </c>
      <c r="T183" s="540" t="str">
        <f t="shared" si="16"/>
        <v/>
      </c>
      <c r="U183" s="499" t="str">
        <f t="shared" si="17"/>
        <v/>
      </c>
      <c r="V183" s="71"/>
      <c r="W183" s="499" t="str">
        <f>IF(V183="","",IF(VLOOKUP(V183,'G-7 Rivers Data'!$AA$4:$AB$7,2,FALSE)=0,"Spatial Data Missing ⚠",VLOOKUP(V183,'G-7 Rivers Data'!$AA$4:$AB$7,2,FALSE)))</f>
        <v/>
      </c>
      <c r="X183" s="155"/>
      <c r="Y183" s="499" t="str">
        <f>IF(X183="","",IF(VLOOKUP(X183,'G-7 Rivers Data'!$AD$4:$AE$8,2,FALSE)=0,"Enrcoachment Data Missing ⚠",VLOOKUP(X183,'G-7 Rivers Data'!$AD$4:$AE$8,2,FALSE)))</f>
        <v/>
      </c>
      <c r="Z183" s="154"/>
      <c r="AA183" s="524" t="str">
        <f>IF(Z183="","",VLOOKUP(Z183,'G-7 Rivers Data'!$AO$4:$AP$7,2,FALSE))</f>
        <v/>
      </c>
      <c r="AB183" s="545" t="str">
        <f t="shared" si="18"/>
        <v/>
      </c>
      <c r="AC183" s="149"/>
      <c r="AD183" s="150"/>
      <c r="AK183" s="31" t="str">
        <f>IFERROR(INDEX('G-7 Rivers Data'!$AZ$3:$AZ$7,MATCH(C183,'G-7 Rivers Data'!$AY$3:$AY$7,0)),"")</f>
        <v/>
      </c>
    </row>
    <row r="184" spans="2:37" ht="14" x14ac:dyDescent="0.3">
      <c r="B184" s="141">
        <v>173</v>
      </c>
      <c r="C184" s="666"/>
      <c r="D184" s="172"/>
      <c r="E184" s="498" t="str">
        <f>IF(C184="","",VLOOKUP(C184,'G-7 Rivers Data'!$B$2:$Z$9,2,FALSE))</f>
        <v/>
      </c>
      <c r="F184" s="499" t="str">
        <f>IFERROR(VLOOKUP(E184,'G-7 Rivers Data'!$C$4:$D$8,2,FALSE),"")</f>
        <v/>
      </c>
      <c r="G184" s="145"/>
      <c r="H184" s="499" t="str">
        <f>IFERROR(INDEX('G-7 Rivers Data'!$H$4:$L$8,MATCH(C184,'G-7 Rivers Data'!$B$4:$B$8,0),MATCH(G184,'G-7 Rivers Data'!$H$3:$L$3,0)),"")</f>
        <v/>
      </c>
      <c r="I184" s="145"/>
      <c r="J184" s="540" t="str">
        <f>IF(I184="","",IF(VLOOKUP(I184,'G-7 Rivers Data'!$AG$4:$AI$9,2,FALSE)=0,"Spatial Data Missing ⚠",VLOOKUP(I184,'G-7 Rivers Data'!$AG$4:$AI$9,2,FALSE)))</f>
        <v/>
      </c>
      <c r="K184" s="499" t="str">
        <f>IF(I184="","",IF(VLOOKUP(I184,'G-7 Rivers Data'!$AG$4:$AI$9,3,FALSE)=0,"Spatial Data Missing ⚠",VLOOKUP(I184,'G-7 Rivers Data'!$AG$4:$AI$9,3,FALSE)))</f>
        <v/>
      </c>
      <c r="L184" s="635" t="str">
        <f>IFERROR(INDEX('G-7 Rivers Data'!$O$3:$O$7,MATCH(G184,'G-7 Rivers Data'!$N$3:$N$7,0)),"")</f>
        <v/>
      </c>
      <c r="M184" s="72"/>
      <c r="N184" s="195"/>
      <c r="O184" s="507" t="str">
        <f t="shared" si="13"/>
        <v/>
      </c>
      <c r="P184" s="521" t="str">
        <f t="shared" si="14"/>
        <v/>
      </c>
      <c r="Q184" s="564" t="str">
        <f>IFERROR(IF(P184="Check Data ⚠","Check Data ⚠",VLOOKUP(P184,'G-4 Temporal multipliers'!$A$4:$C$37,3,FALSE)),"")</f>
        <v/>
      </c>
      <c r="R184" s="498" t="str">
        <f>IF(C184="","",VLOOKUP(C184,'G-7 Rivers Data'!$B$4:$G$8,4,FALSE))</f>
        <v/>
      </c>
      <c r="S184" s="507" t="str">
        <f t="shared" si="15"/>
        <v/>
      </c>
      <c r="T184" s="540" t="str">
        <f t="shared" si="16"/>
        <v/>
      </c>
      <c r="U184" s="499" t="str">
        <f t="shared" si="17"/>
        <v/>
      </c>
      <c r="V184" s="71"/>
      <c r="W184" s="499" t="str">
        <f>IF(V184="","",IF(VLOOKUP(V184,'G-7 Rivers Data'!$AA$4:$AB$7,2,FALSE)=0,"Spatial Data Missing ⚠",VLOOKUP(V184,'G-7 Rivers Data'!$AA$4:$AB$7,2,FALSE)))</f>
        <v/>
      </c>
      <c r="X184" s="155"/>
      <c r="Y184" s="499" t="str">
        <f>IF(X184="","",IF(VLOOKUP(X184,'G-7 Rivers Data'!$AD$4:$AE$8,2,FALSE)=0,"Enrcoachment Data Missing ⚠",VLOOKUP(X184,'G-7 Rivers Data'!$AD$4:$AE$8,2,FALSE)))</f>
        <v/>
      </c>
      <c r="Z184" s="154"/>
      <c r="AA184" s="524" t="str">
        <f>IF(Z184="","",VLOOKUP(Z184,'G-7 Rivers Data'!$AO$4:$AP$7,2,FALSE))</f>
        <v/>
      </c>
      <c r="AB184" s="545" t="str">
        <f t="shared" si="18"/>
        <v/>
      </c>
      <c r="AC184" s="149"/>
      <c r="AD184" s="150"/>
      <c r="AK184" s="31" t="str">
        <f>IFERROR(INDEX('G-7 Rivers Data'!$AZ$3:$AZ$7,MATCH(C184,'G-7 Rivers Data'!$AY$3:$AY$7,0)),"")</f>
        <v/>
      </c>
    </row>
    <row r="185" spans="2:37" ht="14" x14ac:dyDescent="0.3">
      <c r="B185" s="141">
        <v>174</v>
      </c>
      <c r="C185" s="666"/>
      <c r="D185" s="172"/>
      <c r="E185" s="498" t="str">
        <f>IF(C185="","",VLOOKUP(C185,'G-7 Rivers Data'!$B$2:$Z$9,2,FALSE))</f>
        <v/>
      </c>
      <c r="F185" s="499" t="str">
        <f>IFERROR(VLOOKUP(E185,'G-7 Rivers Data'!$C$4:$D$8,2,FALSE),"")</f>
        <v/>
      </c>
      <c r="G185" s="145"/>
      <c r="H185" s="499" t="str">
        <f>IFERROR(INDEX('G-7 Rivers Data'!$H$4:$L$8,MATCH(C185,'G-7 Rivers Data'!$B$4:$B$8,0),MATCH(G185,'G-7 Rivers Data'!$H$3:$L$3,0)),"")</f>
        <v/>
      </c>
      <c r="I185" s="145"/>
      <c r="J185" s="540" t="str">
        <f>IF(I185="","",IF(VLOOKUP(I185,'G-7 Rivers Data'!$AG$4:$AI$9,2,FALSE)=0,"Spatial Data Missing ⚠",VLOOKUP(I185,'G-7 Rivers Data'!$AG$4:$AI$9,2,FALSE)))</f>
        <v/>
      </c>
      <c r="K185" s="499" t="str">
        <f>IF(I185="","",IF(VLOOKUP(I185,'G-7 Rivers Data'!$AG$4:$AI$9,3,FALSE)=0,"Spatial Data Missing ⚠",VLOOKUP(I185,'G-7 Rivers Data'!$AG$4:$AI$9,3,FALSE)))</f>
        <v/>
      </c>
      <c r="L185" s="635" t="str">
        <f>IFERROR(INDEX('G-7 Rivers Data'!$O$3:$O$7,MATCH(G185,'G-7 Rivers Data'!$N$3:$N$7,0)),"")</f>
        <v/>
      </c>
      <c r="M185" s="72"/>
      <c r="N185" s="195"/>
      <c r="O185" s="507" t="str">
        <f t="shared" si="13"/>
        <v/>
      </c>
      <c r="P185" s="521" t="str">
        <f t="shared" si="14"/>
        <v/>
      </c>
      <c r="Q185" s="564" t="str">
        <f>IFERROR(IF(P185="Check Data ⚠","Check Data ⚠",VLOOKUP(P185,'G-4 Temporal multipliers'!$A$4:$C$37,3,FALSE)),"")</f>
        <v/>
      </c>
      <c r="R185" s="498" t="str">
        <f>IF(C185="","",VLOOKUP(C185,'G-7 Rivers Data'!$B$4:$G$8,4,FALSE))</f>
        <v/>
      </c>
      <c r="S185" s="507" t="str">
        <f t="shared" si="15"/>
        <v/>
      </c>
      <c r="T185" s="540" t="str">
        <f t="shared" si="16"/>
        <v/>
      </c>
      <c r="U185" s="499" t="str">
        <f t="shared" si="17"/>
        <v/>
      </c>
      <c r="V185" s="71"/>
      <c r="W185" s="499" t="str">
        <f>IF(V185="","",IF(VLOOKUP(V185,'G-7 Rivers Data'!$AA$4:$AB$7,2,FALSE)=0,"Spatial Data Missing ⚠",VLOOKUP(V185,'G-7 Rivers Data'!$AA$4:$AB$7,2,FALSE)))</f>
        <v/>
      </c>
      <c r="X185" s="155"/>
      <c r="Y185" s="499" t="str">
        <f>IF(X185="","",IF(VLOOKUP(X185,'G-7 Rivers Data'!$AD$4:$AE$8,2,FALSE)=0,"Enrcoachment Data Missing ⚠",VLOOKUP(X185,'G-7 Rivers Data'!$AD$4:$AE$8,2,FALSE)))</f>
        <v/>
      </c>
      <c r="Z185" s="154"/>
      <c r="AA185" s="524" t="str">
        <f>IF(Z185="","",VLOOKUP(Z185,'G-7 Rivers Data'!$AO$4:$AP$7,2,FALSE))</f>
        <v/>
      </c>
      <c r="AB185" s="545" t="str">
        <f t="shared" si="18"/>
        <v/>
      </c>
      <c r="AC185" s="149"/>
      <c r="AD185" s="150"/>
      <c r="AK185" s="31" t="str">
        <f>IFERROR(INDEX('G-7 Rivers Data'!$AZ$3:$AZ$7,MATCH(C185,'G-7 Rivers Data'!$AY$3:$AY$7,0)),"")</f>
        <v/>
      </c>
    </row>
    <row r="186" spans="2:37" ht="14" x14ac:dyDescent="0.3">
      <c r="B186" s="141">
        <v>175</v>
      </c>
      <c r="C186" s="666"/>
      <c r="D186" s="172"/>
      <c r="E186" s="498" t="str">
        <f>IF(C186="","",VLOOKUP(C186,'G-7 Rivers Data'!$B$2:$Z$9,2,FALSE))</f>
        <v/>
      </c>
      <c r="F186" s="499" t="str">
        <f>IFERROR(VLOOKUP(E186,'G-7 Rivers Data'!$C$4:$D$8,2,FALSE),"")</f>
        <v/>
      </c>
      <c r="G186" s="145"/>
      <c r="H186" s="499" t="str">
        <f>IFERROR(INDEX('G-7 Rivers Data'!$H$4:$L$8,MATCH(C186,'G-7 Rivers Data'!$B$4:$B$8,0),MATCH(G186,'G-7 Rivers Data'!$H$3:$L$3,0)),"")</f>
        <v/>
      </c>
      <c r="I186" s="145"/>
      <c r="J186" s="540" t="str">
        <f>IF(I186="","",IF(VLOOKUP(I186,'G-7 Rivers Data'!$AG$4:$AI$9,2,FALSE)=0,"Spatial Data Missing ⚠",VLOOKUP(I186,'G-7 Rivers Data'!$AG$4:$AI$9,2,FALSE)))</f>
        <v/>
      </c>
      <c r="K186" s="499" t="str">
        <f>IF(I186="","",IF(VLOOKUP(I186,'G-7 Rivers Data'!$AG$4:$AI$9,3,FALSE)=0,"Spatial Data Missing ⚠",VLOOKUP(I186,'G-7 Rivers Data'!$AG$4:$AI$9,3,FALSE)))</f>
        <v/>
      </c>
      <c r="L186" s="635" t="str">
        <f>IFERROR(INDEX('G-7 Rivers Data'!$O$3:$O$7,MATCH(G186,'G-7 Rivers Data'!$N$3:$N$7,0)),"")</f>
        <v/>
      </c>
      <c r="M186" s="72"/>
      <c r="N186" s="195"/>
      <c r="O186" s="507" t="str">
        <f t="shared" si="13"/>
        <v/>
      </c>
      <c r="P186" s="521" t="str">
        <f t="shared" si="14"/>
        <v/>
      </c>
      <c r="Q186" s="564" t="str">
        <f>IFERROR(IF(P186="Check Data ⚠","Check Data ⚠",VLOOKUP(P186,'G-4 Temporal multipliers'!$A$4:$C$37,3,FALSE)),"")</f>
        <v/>
      </c>
      <c r="R186" s="498" t="str">
        <f>IF(C186="","",VLOOKUP(C186,'G-7 Rivers Data'!$B$4:$G$8,4,FALSE))</f>
        <v/>
      </c>
      <c r="S186" s="507" t="str">
        <f t="shared" si="15"/>
        <v/>
      </c>
      <c r="T186" s="540" t="str">
        <f t="shared" si="16"/>
        <v/>
      </c>
      <c r="U186" s="499" t="str">
        <f t="shared" si="17"/>
        <v/>
      </c>
      <c r="V186" s="71"/>
      <c r="W186" s="499" t="str">
        <f>IF(V186="","",IF(VLOOKUP(V186,'G-7 Rivers Data'!$AA$4:$AB$7,2,FALSE)=0,"Spatial Data Missing ⚠",VLOOKUP(V186,'G-7 Rivers Data'!$AA$4:$AB$7,2,FALSE)))</f>
        <v/>
      </c>
      <c r="X186" s="155"/>
      <c r="Y186" s="499" t="str">
        <f>IF(X186="","",IF(VLOOKUP(X186,'G-7 Rivers Data'!$AD$4:$AE$8,2,FALSE)=0,"Enrcoachment Data Missing ⚠",VLOOKUP(X186,'G-7 Rivers Data'!$AD$4:$AE$8,2,FALSE)))</f>
        <v/>
      </c>
      <c r="Z186" s="154"/>
      <c r="AA186" s="524" t="str">
        <f>IF(Z186="","",VLOOKUP(Z186,'G-7 Rivers Data'!$AO$4:$AP$7,2,FALSE))</f>
        <v/>
      </c>
      <c r="AB186" s="545" t="str">
        <f t="shared" si="18"/>
        <v/>
      </c>
      <c r="AC186" s="149"/>
      <c r="AD186" s="150"/>
      <c r="AK186" s="31" t="str">
        <f>IFERROR(INDEX('G-7 Rivers Data'!$AZ$3:$AZ$7,MATCH(C186,'G-7 Rivers Data'!$AY$3:$AY$7,0)),"")</f>
        <v/>
      </c>
    </row>
    <row r="187" spans="2:37" ht="14" x14ac:dyDescent="0.3">
      <c r="B187" s="141">
        <v>176</v>
      </c>
      <c r="C187" s="666"/>
      <c r="D187" s="172"/>
      <c r="E187" s="498" t="str">
        <f>IF(C187="","",VLOOKUP(C187,'G-7 Rivers Data'!$B$2:$Z$9,2,FALSE))</f>
        <v/>
      </c>
      <c r="F187" s="499" t="str">
        <f>IFERROR(VLOOKUP(E187,'G-7 Rivers Data'!$C$4:$D$8,2,FALSE),"")</f>
        <v/>
      </c>
      <c r="G187" s="145"/>
      <c r="H187" s="499" t="str">
        <f>IFERROR(INDEX('G-7 Rivers Data'!$H$4:$L$8,MATCH(C187,'G-7 Rivers Data'!$B$4:$B$8,0),MATCH(G187,'G-7 Rivers Data'!$H$3:$L$3,0)),"")</f>
        <v/>
      </c>
      <c r="I187" s="145"/>
      <c r="J187" s="540" t="str">
        <f>IF(I187="","",IF(VLOOKUP(I187,'G-7 Rivers Data'!$AG$4:$AI$9,2,FALSE)=0,"Spatial Data Missing ⚠",VLOOKUP(I187,'G-7 Rivers Data'!$AG$4:$AI$9,2,FALSE)))</f>
        <v/>
      </c>
      <c r="K187" s="499" t="str">
        <f>IF(I187="","",IF(VLOOKUP(I187,'G-7 Rivers Data'!$AG$4:$AI$9,3,FALSE)=0,"Spatial Data Missing ⚠",VLOOKUP(I187,'G-7 Rivers Data'!$AG$4:$AI$9,3,FALSE)))</f>
        <v/>
      </c>
      <c r="L187" s="635" t="str">
        <f>IFERROR(INDEX('G-7 Rivers Data'!$O$3:$O$7,MATCH(G187,'G-7 Rivers Data'!$N$3:$N$7,0)),"")</f>
        <v/>
      </c>
      <c r="M187" s="72"/>
      <c r="N187" s="195"/>
      <c r="O187" s="507" t="str">
        <f t="shared" si="13"/>
        <v/>
      </c>
      <c r="P187" s="521" t="str">
        <f t="shared" si="14"/>
        <v/>
      </c>
      <c r="Q187" s="564" t="str">
        <f>IFERROR(IF(P187="Check Data ⚠","Check Data ⚠",VLOOKUP(P187,'G-4 Temporal multipliers'!$A$4:$C$37,3,FALSE)),"")</f>
        <v/>
      </c>
      <c r="R187" s="498" t="str">
        <f>IF(C187="","",VLOOKUP(C187,'G-7 Rivers Data'!$B$4:$G$8,4,FALSE))</f>
        <v/>
      </c>
      <c r="S187" s="507" t="str">
        <f t="shared" si="15"/>
        <v/>
      </c>
      <c r="T187" s="540" t="str">
        <f t="shared" si="16"/>
        <v/>
      </c>
      <c r="U187" s="499" t="str">
        <f t="shared" si="17"/>
        <v/>
      </c>
      <c r="V187" s="71"/>
      <c r="W187" s="499" t="str">
        <f>IF(V187="","",IF(VLOOKUP(V187,'G-7 Rivers Data'!$AA$4:$AB$7,2,FALSE)=0,"Spatial Data Missing ⚠",VLOOKUP(V187,'G-7 Rivers Data'!$AA$4:$AB$7,2,FALSE)))</f>
        <v/>
      </c>
      <c r="X187" s="155"/>
      <c r="Y187" s="499" t="str">
        <f>IF(X187="","",IF(VLOOKUP(X187,'G-7 Rivers Data'!$AD$4:$AE$8,2,FALSE)=0,"Enrcoachment Data Missing ⚠",VLOOKUP(X187,'G-7 Rivers Data'!$AD$4:$AE$8,2,FALSE)))</f>
        <v/>
      </c>
      <c r="Z187" s="154"/>
      <c r="AA187" s="524" t="str">
        <f>IF(Z187="","",VLOOKUP(Z187,'G-7 Rivers Data'!$AO$4:$AP$7,2,FALSE))</f>
        <v/>
      </c>
      <c r="AB187" s="545" t="str">
        <f t="shared" si="18"/>
        <v/>
      </c>
      <c r="AC187" s="149"/>
      <c r="AD187" s="150"/>
      <c r="AK187" s="31" t="str">
        <f>IFERROR(INDEX('G-7 Rivers Data'!$AZ$3:$AZ$7,MATCH(C187,'G-7 Rivers Data'!$AY$3:$AY$7,0)),"")</f>
        <v/>
      </c>
    </row>
    <row r="188" spans="2:37" ht="14" x14ac:dyDescent="0.3">
      <c r="B188" s="141">
        <v>177</v>
      </c>
      <c r="C188" s="666"/>
      <c r="D188" s="172"/>
      <c r="E188" s="498" t="str">
        <f>IF(C188="","",VLOOKUP(C188,'G-7 Rivers Data'!$B$2:$Z$9,2,FALSE))</f>
        <v/>
      </c>
      <c r="F188" s="499" t="str">
        <f>IFERROR(VLOOKUP(E188,'G-7 Rivers Data'!$C$4:$D$8,2,FALSE),"")</f>
        <v/>
      </c>
      <c r="G188" s="145"/>
      <c r="H188" s="499" t="str">
        <f>IFERROR(INDEX('G-7 Rivers Data'!$H$4:$L$8,MATCH(C188,'G-7 Rivers Data'!$B$4:$B$8,0),MATCH(G188,'G-7 Rivers Data'!$H$3:$L$3,0)),"")</f>
        <v/>
      </c>
      <c r="I188" s="145"/>
      <c r="J188" s="540" t="str">
        <f>IF(I188="","",IF(VLOOKUP(I188,'G-7 Rivers Data'!$AG$4:$AI$9,2,FALSE)=0,"Spatial Data Missing ⚠",VLOOKUP(I188,'G-7 Rivers Data'!$AG$4:$AI$9,2,FALSE)))</f>
        <v/>
      </c>
      <c r="K188" s="499" t="str">
        <f>IF(I188="","",IF(VLOOKUP(I188,'G-7 Rivers Data'!$AG$4:$AI$9,3,FALSE)=0,"Spatial Data Missing ⚠",VLOOKUP(I188,'G-7 Rivers Data'!$AG$4:$AI$9,3,FALSE)))</f>
        <v/>
      </c>
      <c r="L188" s="635" t="str">
        <f>IFERROR(INDEX('G-7 Rivers Data'!$O$3:$O$7,MATCH(G188,'G-7 Rivers Data'!$N$3:$N$7,0)),"")</f>
        <v/>
      </c>
      <c r="M188" s="72"/>
      <c r="N188" s="195"/>
      <c r="O188" s="507" t="str">
        <f t="shared" si="13"/>
        <v/>
      </c>
      <c r="P188" s="521" t="str">
        <f t="shared" si="14"/>
        <v/>
      </c>
      <c r="Q188" s="564" t="str">
        <f>IFERROR(IF(P188="Check Data ⚠","Check Data ⚠",VLOOKUP(P188,'G-4 Temporal multipliers'!$A$4:$C$37,3,FALSE)),"")</f>
        <v/>
      </c>
      <c r="R188" s="498" t="str">
        <f>IF(C188="","",VLOOKUP(C188,'G-7 Rivers Data'!$B$4:$G$8,4,FALSE))</f>
        <v/>
      </c>
      <c r="S188" s="507" t="str">
        <f t="shared" si="15"/>
        <v/>
      </c>
      <c r="T188" s="540" t="str">
        <f t="shared" si="16"/>
        <v/>
      </c>
      <c r="U188" s="499" t="str">
        <f t="shared" si="17"/>
        <v/>
      </c>
      <c r="V188" s="71"/>
      <c r="W188" s="499" t="str">
        <f>IF(V188="","",IF(VLOOKUP(V188,'G-7 Rivers Data'!$AA$4:$AB$7,2,FALSE)=0,"Spatial Data Missing ⚠",VLOOKUP(V188,'G-7 Rivers Data'!$AA$4:$AB$7,2,FALSE)))</f>
        <v/>
      </c>
      <c r="X188" s="155"/>
      <c r="Y188" s="499" t="str">
        <f>IF(X188="","",IF(VLOOKUP(X188,'G-7 Rivers Data'!$AD$4:$AE$8,2,FALSE)=0,"Enrcoachment Data Missing ⚠",VLOOKUP(X188,'G-7 Rivers Data'!$AD$4:$AE$8,2,FALSE)))</f>
        <v/>
      </c>
      <c r="Z188" s="154"/>
      <c r="AA188" s="524" t="str">
        <f>IF(Z188="","",VLOOKUP(Z188,'G-7 Rivers Data'!$AO$4:$AP$7,2,FALSE))</f>
        <v/>
      </c>
      <c r="AB188" s="545" t="str">
        <f t="shared" si="18"/>
        <v/>
      </c>
      <c r="AC188" s="149"/>
      <c r="AD188" s="150"/>
      <c r="AK188" s="31" t="str">
        <f>IFERROR(INDEX('G-7 Rivers Data'!$AZ$3:$AZ$7,MATCH(C188,'G-7 Rivers Data'!$AY$3:$AY$7,0)),"")</f>
        <v/>
      </c>
    </row>
    <row r="189" spans="2:37" ht="14" x14ac:dyDescent="0.3">
      <c r="B189" s="141">
        <v>178</v>
      </c>
      <c r="C189" s="666"/>
      <c r="D189" s="172"/>
      <c r="E189" s="498" t="str">
        <f>IF(C189="","",VLOOKUP(C189,'G-7 Rivers Data'!$B$2:$Z$9,2,FALSE))</f>
        <v/>
      </c>
      <c r="F189" s="499" t="str">
        <f>IFERROR(VLOOKUP(E189,'G-7 Rivers Data'!$C$4:$D$8,2,FALSE),"")</f>
        <v/>
      </c>
      <c r="G189" s="145"/>
      <c r="H189" s="499" t="str">
        <f>IFERROR(INDEX('G-7 Rivers Data'!$H$4:$L$8,MATCH(C189,'G-7 Rivers Data'!$B$4:$B$8,0),MATCH(G189,'G-7 Rivers Data'!$H$3:$L$3,0)),"")</f>
        <v/>
      </c>
      <c r="I189" s="145"/>
      <c r="J189" s="540" t="str">
        <f>IF(I189="","",IF(VLOOKUP(I189,'G-7 Rivers Data'!$AG$4:$AI$9,2,FALSE)=0,"Spatial Data Missing ⚠",VLOOKUP(I189,'G-7 Rivers Data'!$AG$4:$AI$9,2,FALSE)))</f>
        <v/>
      </c>
      <c r="K189" s="499" t="str">
        <f>IF(I189="","",IF(VLOOKUP(I189,'G-7 Rivers Data'!$AG$4:$AI$9,3,FALSE)=0,"Spatial Data Missing ⚠",VLOOKUP(I189,'G-7 Rivers Data'!$AG$4:$AI$9,3,FALSE)))</f>
        <v/>
      </c>
      <c r="L189" s="635" t="str">
        <f>IFERROR(INDEX('G-7 Rivers Data'!$O$3:$O$7,MATCH(G189,'G-7 Rivers Data'!$N$3:$N$7,0)),"")</f>
        <v/>
      </c>
      <c r="M189" s="72"/>
      <c r="N189" s="195"/>
      <c r="O189" s="507" t="str">
        <f t="shared" si="13"/>
        <v/>
      </c>
      <c r="P189" s="521" t="str">
        <f t="shared" si="14"/>
        <v/>
      </c>
      <c r="Q189" s="564" t="str">
        <f>IFERROR(IF(P189="Check Data ⚠","Check Data ⚠",VLOOKUP(P189,'G-4 Temporal multipliers'!$A$4:$C$37,3,FALSE)),"")</f>
        <v/>
      </c>
      <c r="R189" s="498" t="str">
        <f>IF(C189="","",VLOOKUP(C189,'G-7 Rivers Data'!$B$4:$G$8,4,FALSE))</f>
        <v/>
      </c>
      <c r="S189" s="507" t="str">
        <f t="shared" si="15"/>
        <v/>
      </c>
      <c r="T189" s="540" t="str">
        <f t="shared" si="16"/>
        <v/>
      </c>
      <c r="U189" s="499" t="str">
        <f t="shared" si="17"/>
        <v/>
      </c>
      <c r="V189" s="71"/>
      <c r="W189" s="499" t="str">
        <f>IF(V189="","",IF(VLOOKUP(V189,'G-7 Rivers Data'!$AA$4:$AB$7,2,FALSE)=0,"Spatial Data Missing ⚠",VLOOKUP(V189,'G-7 Rivers Data'!$AA$4:$AB$7,2,FALSE)))</f>
        <v/>
      </c>
      <c r="X189" s="155"/>
      <c r="Y189" s="499" t="str">
        <f>IF(X189="","",IF(VLOOKUP(X189,'G-7 Rivers Data'!$AD$4:$AE$8,2,FALSE)=0,"Enrcoachment Data Missing ⚠",VLOOKUP(X189,'G-7 Rivers Data'!$AD$4:$AE$8,2,FALSE)))</f>
        <v/>
      </c>
      <c r="Z189" s="154"/>
      <c r="AA189" s="524" t="str">
        <f>IF(Z189="","",VLOOKUP(Z189,'G-7 Rivers Data'!$AO$4:$AP$7,2,FALSE))</f>
        <v/>
      </c>
      <c r="AB189" s="545" t="str">
        <f t="shared" si="18"/>
        <v/>
      </c>
      <c r="AC189" s="149"/>
      <c r="AD189" s="150"/>
      <c r="AK189" s="31" t="str">
        <f>IFERROR(INDEX('G-7 Rivers Data'!$AZ$3:$AZ$7,MATCH(C189,'G-7 Rivers Data'!$AY$3:$AY$7,0)),"")</f>
        <v/>
      </c>
    </row>
    <row r="190" spans="2:37" ht="14" x14ac:dyDescent="0.3">
      <c r="B190" s="141">
        <v>179</v>
      </c>
      <c r="C190" s="666"/>
      <c r="D190" s="172"/>
      <c r="E190" s="498" t="str">
        <f>IF(C190="","",VLOOKUP(C190,'G-7 Rivers Data'!$B$2:$Z$9,2,FALSE))</f>
        <v/>
      </c>
      <c r="F190" s="499" t="str">
        <f>IFERROR(VLOOKUP(E190,'G-7 Rivers Data'!$C$4:$D$8,2,FALSE),"")</f>
        <v/>
      </c>
      <c r="G190" s="145"/>
      <c r="H190" s="499" t="str">
        <f>IFERROR(INDEX('G-7 Rivers Data'!$H$4:$L$8,MATCH(C190,'G-7 Rivers Data'!$B$4:$B$8,0),MATCH(G190,'G-7 Rivers Data'!$H$3:$L$3,0)),"")</f>
        <v/>
      </c>
      <c r="I190" s="145"/>
      <c r="J190" s="540" t="str">
        <f>IF(I190="","",IF(VLOOKUP(I190,'G-7 Rivers Data'!$AG$4:$AI$9,2,FALSE)=0,"Spatial Data Missing ⚠",VLOOKUP(I190,'G-7 Rivers Data'!$AG$4:$AI$9,2,FALSE)))</f>
        <v/>
      </c>
      <c r="K190" s="499" t="str">
        <f>IF(I190="","",IF(VLOOKUP(I190,'G-7 Rivers Data'!$AG$4:$AI$9,3,FALSE)=0,"Spatial Data Missing ⚠",VLOOKUP(I190,'G-7 Rivers Data'!$AG$4:$AI$9,3,FALSE)))</f>
        <v/>
      </c>
      <c r="L190" s="635" t="str">
        <f>IFERROR(INDEX('G-7 Rivers Data'!$O$3:$O$7,MATCH(G190,'G-7 Rivers Data'!$N$3:$N$7,0)),"")</f>
        <v/>
      </c>
      <c r="M190" s="72"/>
      <c r="N190" s="195"/>
      <c r="O190" s="507" t="str">
        <f t="shared" si="13"/>
        <v/>
      </c>
      <c r="P190" s="521" t="str">
        <f t="shared" si="14"/>
        <v/>
      </c>
      <c r="Q190" s="564" t="str">
        <f>IFERROR(IF(P190="Check Data ⚠","Check Data ⚠",VLOOKUP(P190,'G-4 Temporal multipliers'!$A$4:$C$37,3,FALSE)),"")</f>
        <v/>
      </c>
      <c r="R190" s="498" t="str">
        <f>IF(C190="","",VLOOKUP(C190,'G-7 Rivers Data'!$B$4:$G$8,4,FALSE))</f>
        <v/>
      </c>
      <c r="S190" s="507" t="str">
        <f t="shared" si="15"/>
        <v/>
      </c>
      <c r="T190" s="540" t="str">
        <f t="shared" si="16"/>
        <v/>
      </c>
      <c r="U190" s="499" t="str">
        <f t="shared" si="17"/>
        <v/>
      </c>
      <c r="V190" s="71"/>
      <c r="W190" s="499" t="str">
        <f>IF(V190="","",IF(VLOOKUP(V190,'G-7 Rivers Data'!$AA$4:$AB$7,2,FALSE)=0,"Spatial Data Missing ⚠",VLOOKUP(V190,'G-7 Rivers Data'!$AA$4:$AB$7,2,FALSE)))</f>
        <v/>
      </c>
      <c r="X190" s="155"/>
      <c r="Y190" s="499" t="str">
        <f>IF(X190="","",IF(VLOOKUP(X190,'G-7 Rivers Data'!$AD$4:$AE$8,2,FALSE)=0,"Enrcoachment Data Missing ⚠",VLOOKUP(X190,'G-7 Rivers Data'!$AD$4:$AE$8,2,FALSE)))</f>
        <v/>
      </c>
      <c r="Z190" s="154"/>
      <c r="AA190" s="524" t="str">
        <f>IF(Z190="","",VLOOKUP(Z190,'G-7 Rivers Data'!$AO$4:$AP$7,2,FALSE))</f>
        <v/>
      </c>
      <c r="AB190" s="545" t="str">
        <f t="shared" si="18"/>
        <v/>
      </c>
      <c r="AC190" s="149"/>
      <c r="AD190" s="150"/>
      <c r="AK190" s="31" t="str">
        <f>IFERROR(INDEX('G-7 Rivers Data'!$AZ$3:$AZ$7,MATCH(C190,'G-7 Rivers Data'!$AY$3:$AY$7,0)),"")</f>
        <v/>
      </c>
    </row>
    <row r="191" spans="2:37" ht="14" x14ac:dyDescent="0.3">
      <c r="B191" s="141">
        <v>180</v>
      </c>
      <c r="C191" s="666"/>
      <c r="D191" s="172"/>
      <c r="E191" s="498" t="str">
        <f>IF(C191="","",VLOOKUP(C191,'G-7 Rivers Data'!$B$2:$Z$9,2,FALSE))</f>
        <v/>
      </c>
      <c r="F191" s="499" t="str">
        <f>IFERROR(VLOOKUP(E191,'G-7 Rivers Data'!$C$4:$D$8,2,FALSE),"")</f>
        <v/>
      </c>
      <c r="G191" s="145"/>
      <c r="H191" s="499" t="str">
        <f>IFERROR(INDEX('G-7 Rivers Data'!$H$4:$L$8,MATCH(C191,'G-7 Rivers Data'!$B$4:$B$8,0),MATCH(G191,'G-7 Rivers Data'!$H$3:$L$3,0)),"")</f>
        <v/>
      </c>
      <c r="I191" s="145"/>
      <c r="J191" s="540" t="str">
        <f>IF(I191="","",IF(VLOOKUP(I191,'G-7 Rivers Data'!$AG$4:$AI$9,2,FALSE)=0,"Spatial Data Missing ⚠",VLOOKUP(I191,'G-7 Rivers Data'!$AG$4:$AI$9,2,FALSE)))</f>
        <v/>
      </c>
      <c r="K191" s="499" t="str">
        <f>IF(I191="","",IF(VLOOKUP(I191,'G-7 Rivers Data'!$AG$4:$AI$9,3,FALSE)=0,"Spatial Data Missing ⚠",VLOOKUP(I191,'G-7 Rivers Data'!$AG$4:$AI$9,3,FALSE)))</f>
        <v/>
      </c>
      <c r="L191" s="635" t="str">
        <f>IFERROR(INDEX('G-7 Rivers Data'!$O$3:$O$7,MATCH(G191,'G-7 Rivers Data'!$N$3:$N$7,0)),"")</f>
        <v/>
      </c>
      <c r="M191" s="72"/>
      <c r="N191" s="195"/>
      <c r="O191" s="507" t="str">
        <f t="shared" si="13"/>
        <v/>
      </c>
      <c r="P191" s="521" t="str">
        <f t="shared" si="14"/>
        <v/>
      </c>
      <c r="Q191" s="564" t="str">
        <f>IFERROR(IF(P191="Check Data ⚠","Check Data ⚠",VLOOKUP(P191,'G-4 Temporal multipliers'!$A$4:$C$37,3,FALSE)),"")</f>
        <v/>
      </c>
      <c r="R191" s="498" t="str">
        <f>IF(C191="","",VLOOKUP(C191,'G-7 Rivers Data'!$B$4:$G$8,4,FALSE))</f>
        <v/>
      </c>
      <c r="S191" s="507" t="str">
        <f t="shared" si="15"/>
        <v/>
      </c>
      <c r="T191" s="540" t="str">
        <f t="shared" si="16"/>
        <v/>
      </c>
      <c r="U191" s="499" t="str">
        <f t="shared" si="17"/>
        <v/>
      </c>
      <c r="V191" s="71"/>
      <c r="W191" s="499" t="str">
        <f>IF(V191="","",IF(VLOOKUP(V191,'G-7 Rivers Data'!$AA$4:$AB$7,2,FALSE)=0,"Spatial Data Missing ⚠",VLOOKUP(V191,'G-7 Rivers Data'!$AA$4:$AB$7,2,FALSE)))</f>
        <v/>
      </c>
      <c r="X191" s="155"/>
      <c r="Y191" s="499" t="str">
        <f>IF(X191="","",IF(VLOOKUP(X191,'G-7 Rivers Data'!$AD$4:$AE$8,2,FALSE)=0,"Enrcoachment Data Missing ⚠",VLOOKUP(X191,'G-7 Rivers Data'!$AD$4:$AE$8,2,FALSE)))</f>
        <v/>
      </c>
      <c r="Z191" s="154"/>
      <c r="AA191" s="524" t="str">
        <f>IF(Z191="","",VLOOKUP(Z191,'G-7 Rivers Data'!$AO$4:$AP$7,2,FALSE))</f>
        <v/>
      </c>
      <c r="AB191" s="545" t="str">
        <f t="shared" si="18"/>
        <v/>
      </c>
      <c r="AC191" s="149"/>
      <c r="AD191" s="150"/>
      <c r="AK191" s="31" t="str">
        <f>IFERROR(INDEX('G-7 Rivers Data'!$AZ$3:$AZ$7,MATCH(C191,'G-7 Rivers Data'!$AY$3:$AY$7,0)),"")</f>
        <v/>
      </c>
    </row>
    <row r="192" spans="2:37" ht="14" x14ac:dyDescent="0.3">
      <c r="B192" s="141">
        <v>181</v>
      </c>
      <c r="C192" s="666"/>
      <c r="D192" s="172"/>
      <c r="E192" s="498" t="str">
        <f>IF(C192="","",VLOOKUP(C192,'G-7 Rivers Data'!$B$2:$Z$9,2,FALSE))</f>
        <v/>
      </c>
      <c r="F192" s="499" t="str">
        <f>IFERROR(VLOOKUP(E192,'G-7 Rivers Data'!$C$4:$D$8,2,FALSE),"")</f>
        <v/>
      </c>
      <c r="G192" s="145"/>
      <c r="H192" s="499" t="str">
        <f>IFERROR(INDEX('G-7 Rivers Data'!$H$4:$L$8,MATCH(C192,'G-7 Rivers Data'!$B$4:$B$8,0),MATCH(G192,'G-7 Rivers Data'!$H$3:$L$3,0)),"")</f>
        <v/>
      </c>
      <c r="I192" s="145"/>
      <c r="J192" s="540" t="str">
        <f>IF(I192="","",IF(VLOOKUP(I192,'G-7 Rivers Data'!$AG$4:$AI$9,2,FALSE)=0,"Spatial Data Missing ⚠",VLOOKUP(I192,'G-7 Rivers Data'!$AG$4:$AI$9,2,FALSE)))</f>
        <v/>
      </c>
      <c r="K192" s="499" t="str">
        <f>IF(I192="","",IF(VLOOKUP(I192,'G-7 Rivers Data'!$AG$4:$AI$9,3,FALSE)=0,"Spatial Data Missing ⚠",VLOOKUP(I192,'G-7 Rivers Data'!$AG$4:$AI$9,3,FALSE)))</f>
        <v/>
      </c>
      <c r="L192" s="635" t="str">
        <f>IFERROR(INDEX('G-7 Rivers Data'!$O$3:$O$7,MATCH(G192,'G-7 Rivers Data'!$N$3:$N$7,0)),"")</f>
        <v/>
      </c>
      <c r="M192" s="72"/>
      <c r="N192" s="195"/>
      <c r="O192" s="507" t="str">
        <f t="shared" si="13"/>
        <v/>
      </c>
      <c r="P192" s="521" t="str">
        <f t="shared" si="14"/>
        <v/>
      </c>
      <c r="Q192" s="564" t="str">
        <f>IFERROR(IF(P192="Check Data ⚠","Check Data ⚠",VLOOKUP(P192,'G-4 Temporal multipliers'!$A$4:$C$37,3,FALSE)),"")</f>
        <v/>
      </c>
      <c r="R192" s="498" t="str">
        <f>IF(C192="","",VLOOKUP(C192,'G-7 Rivers Data'!$B$4:$G$8,4,FALSE))</f>
        <v/>
      </c>
      <c r="S192" s="507" t="str">
        <f t="shared" si="15"/>
        <v/>
      </c>
      <c r="T192" s="540" t="str">
        <f t="shared" si="16"/>
        <v/>
      </c>
      <c r="U192" s="499" t="str">
        <f t="shared" si="17"/>
        <v/>
      </c>
      <c r="V192" s="71"/>
      <c r="W192" s="499" t="str">
        <f>IF(V192="","",IF(VLOOKUP(V192,'G-7 Rivers Data'!$AA$4:$AB$7,2,FALSE)=0,"Spatial Data Missing ⚠",VLOOKUP(V192,'G-7 Rivers Data'!$AA$4:$AB$7,2,FALSE)))</f>
        <v/>
      </c>
      <c r="X192" s="155"/>
      <c r="Y192" s="499" t="str">
        <f>IF(X192="","",IF(VLOOKUP(X192,'G-7 Rivers Data'!$AD$4:$AE$8,2,FALSE)=0,"Enrcoachment Data Missing ⚠",VLOOKUP(X192,'G-7 Rivers Data'!$AD$4:$AE$8,2,FALSE)))</f>
        <v/>
      </c>
      <c r="Z192" s="154"/>
      <c r="AA192" s="524" t="str">
        <f>IF(Z192="","",VLOOKUP(Z192,'G-7 Rivers Data'!$AO$4:$AP$7,2,FALSE))</f>
        <v/>
      </c>
      <c r="AB192" s="545" t="str">
        <f t="shared" si="18"/>
        <v/>
      </c>
      <c r="AC192" s="149"/>
      <c r="AD192" s="150"/>
      <c r="AK192" s="31" t="str">
        <f>IFERROR(INDEX('G-7 Rivers Data'!$AZ$3:$AZ$7,MATCH(C192,'G-7 Rivers Data'!$AY$3:$AY$7,0)),"")</f>
        <v/>
      </c>
    </row>
    <row r="193" spans="2:37" ht="14" x14ac:dyDescent="0.3">
      <c r="B193" s="141">
        <v>182</v>
      </c>
      <c r="C193" s="666"/>
      <c r="D193" s="172"/>
      <c r="E193" s="498" t="str">
        <f>IF(C193="","",VLOOKUP(C193,'G-7 Rivers Data'!$B$2:$Z$9,2,FALSE))</f>
        <v/>
      </c>
      <c r="F193" s="499" t="str">
        <f>IFERROR(VLOOKUP(E193,'G-7 Rivers Data'!$C$4:$D$8,2,FALSE),"")</f>
        <v/>
      </c>
      <c r="G193" s="145"/>
      <c r="H193" s="499" t="str">
        <f>IFERROR(INDEX('G-7 Rivers Data'!$H$4:$L$8,MATCH(C193,'G-7 Rivers Data'!$B$4:$B$8,0),MATCH(G193,'G-7 Rivers Data'!$H$3:$L$3,0)),"")</f>
        <v/>
      </c>
      <c r="I193" s="145"/>
      <c r="J193" s="540" t="str">
        <f>IF(I193="","",IF(VLOOKUP(I193,'G-7 Rivers Data'!$AG$4:$AI$9,2,FALSE)=0,"Spatial Data Missing ⚠",VLOOKUP(I193,'G-7 Rivers Data'!$AG$4:$AI$9,2,FALSE)))</f>
        <v/>
      </c>
      <c r="K193" s="499" t="str">
        <f>IF(I193="","",IF(VLOOKUP(I193,'G-7 Rivers Data'!$AG$4:$AI$9,3,FALSE)=0,"Spatial Data Missing ⚠",VLOOKUP(I193,'G-7 Rivers Data'!$AG$4:$AI$9,3,FALSE)))</f>
        <v/>
      </c>
      <c r="L193" s="635" t="str">
        <f>IFERROR(INDEX('G-7 Rivers Data'!$O$3:$O$7,MATCH(G193,'G-7 Rivers Data'!$N$3:$N$7,0)),"")</f>
        <v/>
      </c>
      <c r="M193" s="72"/>
      <c r="N193" s="195"/>
      <c r="O193" s="507" t="str">
        <f t="shared" si="13"/>
        <v/>
      </c>
      <c r="P193" s="521" t="str">
        <f t="shared" si="14"/>
        <v/>
      </c>
      <c r="Q193" s="564" t="str">
        <f>IFERROR(IF(P193="Check Data ⚠","Check Data ⚠",VLOOKUP(P193,'G-4 Temporal multipliers'!$A$4:$C$37,3,FALSE)),"")</f>
        <v/>
      </c>
      <c r="R193" s="498" t="str">
        <f>IF(C193="","",VLOOKUP(C193,'G-7 Rivers Data'!$B$4:$G$8,4,FALSE))</f>
        <v/>
      </c>
      <c r="S193" s="507" t="str">
        <f t="shared" si="15"/>
        <v/>
      </c>
      <c r="T193" s="540" t="str">
        <f t="shared" si="16"/>
        <v/>
      </c>
      <c r="U193" s="499" t="str">
        <f t="shared" si="17"/>
        <v/>
      </c>
      <c r="V193" s="71"/>
      <c r="W193" s="499" t="str">
        <f>IF(V193="","",IF(VLOOKUP(V193,'G-7 Rivers Data'!$AA$4:$AB$7,2,FALSE)=0,"Spatial Data Missing ⚠",VLOOKUP(V193,'G-7 Rivers Data'!$AA$4:$AB$7,2,FALSE)))</f>
        <v/>
      </c>
      <c r="X193" s="155"/>
      <c r="Y193" s="499" t="str">
        <f>IF(X193="","",IF(VLOOKUP(X193,'G-7 Rivers Data'!$AD$4:$AE$8,2,FALSE)=0,"Enrcoachment Data Missing ⚠",VLOOKUP(X193,'G-7 Rivers Data'!$AD$4:$AE$8,2,FALSE)))</f>
        <v/>
      </c>
      <c r="Z193" s="154"/>
      <c r="AA193" s="524" t="str">
        <f>IF(Z193="","",VLOOKUP(Z193,'G-7 Rivers Data'!$AO$4:$AP$7,2,FALSE))</f>
        <v/>
      </c>
      <c r="AB193" s="545" t="str">
        <f t="shared" si="18"/>
        <v/>
      </c>
      <c r="AC193" s="149"/>
      <c r="AD193" s="150"/>
      <c r="AK193" s="31" t="str">
        <f>IFERROR(INDEX('G-7 Rivers Data'!$AZ$3:$AZ$7,MATCH(C193,'G-7 Rivers Data'!$AY$3:$AY$7,0)),"")</f>
        <v/>
      </c>
    </row>
    <row r="194" spans="2:37" ht="14" x14ac:dyDescent="0.3">
      <c r="B194" s="141">
        <v>183</v>
      </c>
      <c r="C194" s="666"/>
      <c r="D194" s="172"/>
      <c r="E194" s="498" t="str">
        <f>IF(C194="","",VLOOKUP(C194,'G-7 Rivers Data'!$B$2:$Z$9,2,FALSE))</f>
        <v/>
      </c>
      <c r="F194" s="499" t="str">
        <f>IFERROR(VLOOKUP(E194,'G-7 Rivers Data'!$C$4:$D$8,2,FALSE),"")</f>
        <v/>
      </c>
      <c r="G194" s="145"/>
      <c r="H194" s="499" t="str">
        <f>IFERROR(INDEX('G-7 Rivers Data'!$H$4:$L$8,MATCH(C194,'G-7 Rivers Data'!$B$4:$B$8,0),MATCH(G194,'G-7 Rivers Data'!$H$3:$L$3,0)),"")</f>
        <v/>
      </c>
      <c r="I194" s="145"/>
      <c r="J194" s="540" t="str">
        <f>IF(I194="","",IF(VLOOKUP(I194,'G-7 Rivers Data'!$AG$4:$AI$9,2,FALSE)=0,"Spatial Data Missing ⚠",VLOOKUP(I194,'G-7 Rivers Data'!$AG$4:$AI$9,2,FALSE)))</f>
        <v/>
      </c>
      <c r="K194" s="499" t="str">
        <f>IF(I194="","",IF(VLOOKUP(I194,'G-7 Rivers Data'!$AG$4:$AI$9,3,FALSE)=0,"Spatial Data Missing ⚠",VLOOKUP(I194,'G-7 Rivers Data'!$AG$4:$AI$9,3,FALSE)))</f>
        <v/>
      </c>
      <c r="L194" s="635" t="str">
        <f>IFERROR(INDEX('G-7 Rivers Data'!$O$3:$O$7,MATCH(G194,'G-7 Rivers Data'!$N$3:$N$7,0)),"")</f>
        <v/>
      </c>
      <c r="M194" s="72"/>
      <c r="N194" s="195"/>
      <c r="O194" s="507" t="str">
        <f t="shared" si="13"/>
        <v/>
      </c>
      <c r="P194" s="521" t="str">
        <f t="shared" si="14"/>
        <v/>
      </c>
      <c r="Q194" s="564" t="str">
        <f>IFERROR(IF(P194="Check Data ⚠","Check Data ⚠",VLOOKUP(P194,'G-4 Temporal multipliers'!$A$4:$C$37,3,FALSE)),"")</f>
        <v/>
      </c>
      <c r="R194" s="498" t="str">
        <f>IF(C194="","",VLOOKUP(C194,'G-7 Rivers Data'!$B$4:$G$8,4,FALSE))</f>
        <v/>
      </c>
      <c r="S194" s="507" t="str">
        <f t="shared" si="15"/>
        <v/>
      </c>
      <c r="T194" s="540" t="str">
        <f t="shared" si="16"/>
        <v/>
      </c>
      <c r="U194" s="499" t="str">
        <f t="shared" si="17"/>
        <v/>
      </c>
      <c r="V194" s="71"/>
      <c r="W194" s="499" t="str">
        <f>IF(V194="","",IF(VLOOKUP(V194,'G-7 Rivers Data'!$AA$4:$AB$7,2,FALSE)=0,"Spatial Data Missing ⚠",VLOOKUP(V194,'G-7 Rivers Data'!$AA$4:$AB$7,2,FALSE)))</f>
        <v/>
      </c>
      <c r="X194" s="155"/>
      <c r="Y194" s="499" t="str">
        <f>IF(X194="","",IF(VLOOKUP(X194,'G-7 Rivers Data'!$AD$4:$AE$8,2,FALSE)=0,"Enrcoachment Data Missing ⚠",VLOOKUP(X194,'G-7 Rivers Data'!$AD$4:$AE$8,2,FALSE)))</f>
        <v/>
      </c>
      <c r="Z194" s="154"/>
      <c r="AA194" s="524" t="str">
        <f>IF(Z194="","",VLOOKUP(Z194,'G-7 Rivers Data'!$AO$4:$AP$7,2,FALSE))</f>
        <v/>
      </c>
      <c r="AB194" s="545" t="str">
        <f t="shared" si="18"/>
        <v/>
      </c>
      <c r="AC194" s="149"/>
      <c r="AD194" s="150"/>
      <c r="AK194" s="31" t="str">
        <f>IFERROR(INDEX('G-7 Rivers Data'!$AZ$3:$AZ$7,MATCH(C194,'G-7 Rivers Data'!$AY$3:$AY$7,0)),"")</f>
        <v/>
      </c>
    </row>
    <row r="195" spans="2:37" ht="14" x14ac:dyDescent="0.3">
      <c r="B195" s="141">
        <v>184</v>
      </c>
      <c r="C195" s="666"/>
      <c r="D195" s="172"/>
      <c r="E195" s="498" t="str">
        <f>IF(C195="","",VLOOKUP(C195,'G-7 Rivers Data'!$B$2:$Z$9,2,FALSE))</f>
        <v/>
      </c>
      <c r="F195" s="499" t="str">
        <f>IFERROR(VLOOKUP(E195,'G-7 Rivers Data'!$C$4:$D$8,2,FALSE),"")</f>
        <v/>
      </c>
      <c r="G195" s="145"/>
      <c r="H195" s="499" t="str">
        <f>IFERROR(INDEX('G-7 Rivers Data'!$H$4:$L$8,MATCH(C195,'G-7 Rivers Data'!$B$4:$B$8,0),MATCH(G195,'G-7 Rivers Data'!$H$3:$L$3,0)),"")</f>
        <v/>
      </c>
      <c r="I195" s="145"/>
      <c r="J195" s="540" t="str">
        <f>IF(I195="","",IF(VLOOKUP(I195,'G-7 Rivers Data'!$AG$4:$AI$9,2,FALSE)=0,"Spatial Data Missing ⚠",VLOOKUP(I195,'G-7 Rivers Data'!$AG$4:$AI$9,2,FALSE)))</f>
        <v/>
      </c>
      <c r="K195" s="499" t="str">
        <f>IF(I195="","",IF(VLOOKUP(I195,'G-7 Rivers Data'!$AG$4:$AI$9,3,FALSE)=0,"Spatial Data Missing ⚠",VLOOKUP(I195,'G-7 Rivers Data'!$AG$4:$AI$9,3,FALSE)))</f>
        <v/>
      </c>
      <c r="L195" s="635" t="str">
        <f>IFERROR(INDEX('G-7 Rivers Data'!$O$3:$O$7,MATCH(G195,'G-7 Rivers Data'!$N$3:$N$7,0)),"")</f>
        <v/>
      </c>
      <c r="M195" s="72"/>
      <c r="N195" s="195"/>
      <c r="O195" s="507" t="str">
        <f t="shared" si="13"/>
        <v/>
      </c>
      <c r="P195" s="521" t="str">
        <f t="shared" si="14"/>
        <v/>
      </c>
      <c r="Q195" s="564" t="str">
        <f>IFERROR(IF(P195="Check Data ⚠","Check Data ⚠",VLOOKUP(P195,'G-4 Temporal multipliers'!$A$4:$C$37,3,FALSE)),"")</f>
        <v/>
      </c>
      <c r="R195" s="498" t="str">
        <f>IF(C195="","",VLOOKUP(C195,'G-7 Rivers Data'!$B$4:$G$8,4,FALSE))</f>
        <v/>
      </c>
      <c r="S195" s="507" t="str">
        <f t="shared" si="15"/>
        <v/>
      </c>
      <c r="T195" s="540" t="str">
        <f t="shared" si="16"/>
        <v/>
      </c>
      <c r="U195" s="499" t="str">
        <f t="shared" si="17"/>
        <v/>
      </c>
      <c r="V195" s="71"/>
      <c r="W195" s="499" t="str">
        <f>IF(V195="","",IF(VLOOKUP(V195,'G-7 Rivers Data'!$AA$4:$AB$7,2,FALSE)=0,"Spatial Data Missing ⚠",VLOOKUP(V195,'G-7 Rivers Data'!$AA$4:$AB$7,2,FALSE)))</f>
        <v/>
      </c>
      <c r="X195" s="155"/>
      <c r="Y195" s="499" t="str">
        <f>IF(X195="","",IF(VLOOKUP(X195,'G-7 Rivers Data'!$AD$4:$AE$8,2,FALSE)=0,"Enrcoachment Data Missing ⚠",VLOOKUP(X195,'G-7 Rivers Data'!$AD$4:$AE$8,2,FALSE)))</f>
        <v/>
      </c>
      <c r="Z195" s="154"/>
      <c r="AA195" s="524" t="str">
        <f>IF(Z195="","",VLOOKUP(Z195,'G-7 Rivers Data'!$AO$4:$AP$7,2,FALSE))</f>
        <v/>
      </c>
      <c r="AB195" s="545" t="str">
        <f t="shared" si="18"/>
        <v/>
      </c>
      <c r="AC195" s="149"/>
      <c r="AD195" s="150"/>
      <c r="AK195" s="31" t="str">
        <f>IFERROR(INDEX('G-7 Rivers Data'!$AZ$3:$AZ$7,MATCH(C195,'G-7 Rivers Data'!$AY$3:$AY$7,0)),"")</f>
        <v/>
      </c>
    </row>
    <row r="196" spans="2:37" ht="14" x14ac:dyDescent="0.3">
      <c r="B196" s="141">
        <v>185</v>
      </c>
      <c r="C196" s="666"/>
      <c r="D196" s="172"/>
      <c r="E196" s="498" t="str">
        <f>IF(C196="","",VLOOKUP(C196,'G-7 Rivers Data'!$B$2:$Z$9,2,FALSE))</f>
        <v/>
      </c>
      <c r="F196" s="499" t="str">
        <f>IFERROR(VLOOKUP(E196,'G-7 Rivers Data'!$C$4:$D$8,2,FALSE),"")</f>
        <v/>
      </c>
      <c r="G196" s="145"/>
      <c r="H196" s="499" t="str">
        <f>IFERROR(INDEX('G-7 Rivers Data'!$H$4:$L$8,MATCH(C196,'G-7 Rivers Data'!$B$4:$B$8,0),MATCH(G196,'G-7 Rivers Data'!$H$3:$L$3,0)),"")</f>
        <v/>
      </c>
      <c r="I196" s="145"/>
      <c r="J196" s="540" t="str">
        <f>IF(I196="","",IF(VLOOKUP(I196,'G-7 Rivers Data'!$AG$4:$AI$9,2,FALSE)=0,"Spatial Data Missing ⚠",VLOOKUP(I196,'G-7 Rivers Data'!$AG$4:$AI$9,2,FALSE)))</f>
        <v/>
      </c>
      <c r="K196" s="499" t="str">
        <f>IF(I196="","",IF(VLOOKUP(I196,'G-7 Rivers Data'!$AG$4:$AI$9,3,FALSE)=0,"Spatial Data Missing ⚠",VLOOKUP(I196,'G-7 Rivers Data'!$AG$4:$AI$9,3,FALSE)))</f>
        <v/>
      </c>
      <c r="L196" s="635" t="str">
        <f>IFERROR(INDEX('G-7 Rivers Data'!$O$3:$O$7,MATCH(G196,'G-7 Rivers Data'!$N$3:$N$7,0)),"")</f>
        <v/>
      </c>
      <c r="M196" s="72"/>
      <c r="N196" s="195"/>
      <c r="O196" s="507" t="str">
        <f t="shared" si="13"/>
        <v/>
      </c>
      <c r="P196" s="521" t="str">
        <f t="shared" si="14"/>
        <v/>
      </c>
      <c r="Q196" s="564" t="str">
        <f>IFERROR(IF(P196="Check Data ⚠","Check Data ⚠",VLOOKUP(P196,'G-4 Temporal multipliers'!$A$4:$C$37,3,FALSE)),"")</f>
        <v/>
      </c>
      <c r="R196" s="498" t="str">
        <f>IF(C196="","",VLOOKUP(C196,'G-7 Rivers Data'!$B$4:$G$8,4,FALSE))</f>
        <v/>
      </c>
      <c r="S196" s="507" t="str">
        <f t="shared" si="15"/>
        <v/>
      </c>
      <c r="T196" s="540" t="str">
        <f t="shared" si="16"/>
        <v/>
      </c>
      <c r="U196" s="499" t="str">
        <f t="shared" si="17"/>
        <v/>
      </c>
      <c r="V196" s="71"/>
      <c r="W196" s="499" t="str">
        <f>IF(V196="","",IF(VLOOKUP(V196,'G-7 Rivers Data'!$AA$4:$AB$7,2,FALSE)=0,"Spatial Data Missing ⚠",VLOOKUP(V196,'G-7 Rivers Data'!$AA$4:$AB$7,2,FALSE)))</f>
        <v/>
      </c>
      <c r="X196" s="155"/>
      <c r="Y196" s="499" t="str">
        <f>IF(X196="","",IF(VLOOKUP(X196,'G-7 Rivers Data'!$AD$4:$AE$8,2,FALSE)=0,"Enrcoachment Data Missing ⚠",VLOOKUP(X196,'G-7 Rivers Data'!$AD$4:$AE$8,2,FALSE)))</f>
        <v/>
      </c>
      <c r="Z196" s="154"/>
      <c r="AA196" s="524" t="str">
        <f>IF(Z196="","",VLOOKUP(Z196,'G-7 Rivers Data'!$AO$4:$AP$7,2,FALSE))</f>
        <v/>
      </c>
      <c r="AB196" s="545" t="str">
        <f t="shared" si="18"/>
        <v/>
      </c>
      <c r="AC196" s="149"/>
      <c r="AD196" s="150"/>
      <c r="AK196" s="31" t="str">
        <f>IFERROR(INDEX('G-7 Rivers Data'!$AZ$3:$AZ$7,MATCH(C196,'G-7 Rivers Data'!$AY$3:$AY$7,0)),"")</f>
        <v/>
      </c>
    </row>
    <row r="197" spans="2:37" ht="14" x14ac:dyDescent="0.3">
      <c r="B197" s="141">
        <v>186</v>
      </c>
      <c r="C197" s="666"/>
      <c r="D197" s="172"/>
      <c r="E197" s="498" t="str">
        <f>IF(C197="","",VLOOKUP(C197,'G-7 Rivers Data'!$B$2:$Z$9,2,FALSE))</f>
        <v/>
      </c>
      <c r="F197" s="499" t="str">
        <f>IFERROR(VLOOKUP(E197,'G-7 Rivers Data'!$C$4:$D$8,2,FALSE),"")</f>
        <v/>
      </c>
      <c r="G197" s="145"/>
      <c r="H197" s="499" t="str">
        <f>IFERROR(INDEX('G-7 Rivers Data'!$H$4:$L$8,MATCH(C197,'G-7 Rivers Data'!$B$4:$B$8,0),MATCH(G197,'G-7 Rivers Data'!$H$3:$L$3,0)),"")</f>
        <v/>
      </c>
      <c r="I197" s="145"/>
      <c r="J197" s="540" t="str">
        <f>IF(I197="","",IF(VLOOKUP(I197,'G-7 Rivers Data'!$AG$4:$AI$9,2,FALSE)=0,"Spatial Data Missing ⚠",VLOOKUP(I197,'G-7 Rivers Data'!$AG$4:$AI$9,2,FALSE)))</f>
        <v/>
      </c>
      <c r="K197" s="499" t="str">
        <f>IF(I197="","",IF(VLOOKUP(I197,'G-7 Rivers Data'!$AG$4:$AI$9,3,FALSE)=0,"Spatial Data Missing ⚠",VLOOKUP(I197,'G-7 Rivers Data'!$AG$4:$AI$9,3,FALSE)))</f>
        <v/>
      </c>
      <c r="L197" s="635" t="str">
        <f>IFERROR(INDEX('G-7 Rivers Data'!$O$3:$O$7,MATCH(G197,'G-7 Rivers Data'!$N$3:$N$7,0)),"")</f>
        <v/>
      </c>
      <c r="M197" s="72"/>
      <c r="N197" s="195"/>
      <c r="O197" s="507" t="str">
        <f t="shared" si="13"/>
        <v/>
      </c>
      <c r="P197" s="521" t="str">
        <f t="shared" si="14"/>
        <v/>
      </c>
      <c r="Q197" s="564" t="str">
        <f>IFERROR(IF(P197="Check Data ⚠","Check Data ⚠",VLOOKUP(P197,'G-4 Temporal multipliers'!$A$4:$C$37,3,FALSE)),"")</f>
        <v/>
      </c>
      <c r="R197" s="498" t="str">
        <f>IF(C197="","",VLOOKUP(C197,'G-7 Rivers Data'!$B$4:$G$8,4,FALSE))</f>
        <v/>
      </c>
      <c r="S197" s="507" t="str">
        <f t="shared" si="15"/>
        <v/>
      </c>
      <c r="T197" s="540" t="str">
        <f t="shared" si="16"/>
        <v/>
      </c>
      <c r="U197" s="499" t="str">
        <f t="shared" si="17"/>
        <v/>
      </c>
      <c r="V197" s="71"/>
      <c r="W197" s="499" t="str">
        <f>IF(V197="","",IF(VLOOKUP(V197,'G-7 Rivers Data'!$AA$4:$AB$7,2,FALSE)=0,"Spatial Data Missing ⚠",VLOOKUP(V197,'G-7 Rivers Data'!$AA$4:$AB$7,2,FALSE)))</f>
        <v/>
      </c>
      <c r="X197" s="155"/>
      <c r="Y197" s="499" t="str">
        <f>IF(X197="","",IF(VLOOKUP(X197,'G-7 Rivers Data'!$AD$4:$AE$8,2,FALSE)=0,"Enrcoachment Data Missing ⚠",VLOOKUP(X197,'G-7 Rivers Data'!$AD$4:$AE$8,2,FALSE)))</f>
        <v/>
      </c>
      <c r="Z197" s="154"/>
      <c r="AA197" s="524" t="str">
        <f>IF(Z197="","",VLOOKUP(Z197,'G-7 Rivers Data'!$AO$4:$AP$7,2,FALSE))</f>
        <v/>
      </c>
      <c r="AB197" s="545" t="str">
        <f t="shared" si="18"/>
        <v/>
      </c>
      <c r="AC197" s="149"/>
      <c r="AD197" s="150"/>
      <c r="AK197" s="31" t="str">
        <f>IFERROR(INDEX('G-7 Rivers Data'!$AZ$3:$AZ$7,MATCH(C197,'G-7 Rivers Data'!$AY$3:$AY$7,0)),"")</f>
        <v/>
      </c>
    </row>
    <row r="198" spans="2:37" ht="14" x14ac:dyDescent="0.3">
      <c r="B198" s="141">
        <v>187</v>
      </c>
      <c r="C198" s="666"/>
      <c r="D198" s="172"/>
      <c r="E198" s="498" t="str">
        <f>IF(C198="","",VLOOKUP(C198,'G-7 Rivers Data'!$B$2:$Z$9,2,FALSE))</f>
        <v/>
      </c>
      <c r="F198" s="499" t="str">
        <f>IFERROR(VLOOKUP(E198,'G-7 Rivers Data'!$C$4:$D$8,2,FALSE),"")</f>
        <v/>
      </c>
      <c r="G198" s="145"/>
      <c r="H198" s="499" t="str">
        <f>IFERROR(INDEX('G-7 Rivers Data'!$H$4:$L$8,MATCH(C198,'G-7 Rivers Data'!$B$4:$B$8,0),MATCH(G198,'G-7 Rivers Data'!$H$3:$L$3,0)),"")</f>
        <v/>
      </c>
      <c r="I198" s="145"/>
      <c r="J198" s="540" t="str">
        <f>IF(I198="","",IF(VLOOKUP(I198,'G-7 Rivers Data'!$AG$4:$AI$9,2,FALSE)=0,"Spatial Data Missing ⚠",VLOOKUP(I198,'G-7 Rivers Data'!$AG$4:$AI$9,2,FALSE)))</f>
        <v/>
      </c>
      <c r="K198" s="499" t="str">
        <f>IF(I198="","",IF(VLOOKUP(I198,'G-7 Rivers Data'!$AG$4:$AI$9,3,FALSE)=0,"Spatial Data Missing ⚠",VLOOKUP(I198,'G-7 Rivers Data'!$AG$4:$AI$9,3,FALSE)))</f>
        <v/>
      </c>
      <c r="L198" s="635" t="str">
        <f>IFERROR(INDEX('G-7 Rivers Data'!$O$3:$O$7,MATCH(G198,'G-7 Rivers Data'!$N$3:$N$7,0)),"")</f>
        <v/>
      </c>
      <c r="M198" s="72"/>
      <c r="N198" s="195"/>
      <c r="O198" s="507" t="str">
        <f t="shared" si="13"/>
        <v/>
      </c>
      <c r="P198" s="521" t="str">
        <f t="shared" si="14"/>
        <v/>
      </c>
      <c r="Q198" s="564" t="str">
        <f>IFERROR(IF(P198="Check Data ⚠","Check Data ⚠",VLOOKUP(P198,'G-4 Temporal multipliers'!$A$4:$C$37,3,FALSE)),"")</f>
        <v/>
      </c>
      <c r="R198" s="498" t="str">
        <f>IF(C198="","",VLOOKUP(C198,'G-7 Rivers Data'!$B$4:$G$8,4,FALSE))</f>
        <v/>
      </c>
      <c r="S198" s="507" t="str">
        <f t="shared" si="15"/>
        <v/>
      </c>
      <c r="T198" s="540" t="str">
        <f t="shared" si="16"/>
        <v/>
      </c>
      <c r="U198" s="499" t="str">
        <f t="shared" si="17"/>
        <v/>
      </c>
      <c r="V198" s="71"/>
      <c r="W198" s="499" t="str">
        <f>IF(V198="","",IF(VLOOKUP(V198,'G-7 Rivers Data'!$AA$4:$AB$7,2,FALSE)=0,"Spatial Data Missing ⚠",VLOOKUP(V198,'G-7 Rivers Data'!$AA$4:$AB$7,2,FALSE)))</f>
        <v/>
      </c>
      <c r="X198" s="155"/>
      <c r="Y198" s="499" t="str">
        <f>IF(X198="","",IF(VLOOKUP(X198,'G-7 Rivers Data'!$AD$4:$AE$8,2,FALSE)=0,"Enrcoachment Data Missing ⚠",VLOOKUP(X198,'G-7 Rivers Data'!$AD$4:$AE$8,2,FALSE)))</f>
        <v/>
      </c>
      <c r="Z198" s="154"/>
      <c r="AA198" s="524" t="str">
        <f>IF(Z198="","",VLOOKUP(Z198,'G-7 Rivers Data'!$AO$4:$AP$7,2,FALSE))</f>
        <v/>
      </c>
      <c r="AB198" s="545" t="str">
        <f t="shared" si="18"/>
        <v/>
      </c>
      <c r="AC198" s="149"/>
      <c r="AD198" s="150"/>
      <c r="AK198" s="31" t="str">
        <f>IFERROR(INDEX('G-7 Rivers Data'!$AZ$3:$AZ$7,MATCH(C198,'G-7 Rivers Data'!$AY$3:$AY$7,0)),"")</f>
        <v/>
      </c>
    </row>
    <row r="199" spans="2:37" ht="14" x14ac:dyDescent="0.3">
      <c r="B199" s="141">
        <v>188</v>
      </c>
      <c r="C199" s="666"/>
      <c r="D199" s="172"/>
      <c r="E199" s="498" t="str">
        <f>IF(C199="","",VLOOKUP(C199,'G-7 Rivers Data'!$B$2:$Z$9,2,FALSE))</f>
        <v/>
      </c>
      <c r="F199" s="499" t="str">
        <f>IFERROR(VLOOKUP(E199,'G-7 Rivers Data'!$C$4:$D$8,2,FALSE),"")</f>
        <v/>
      </c>
      <c r="G199" s="145"/>
      <c r="H199" s="499" t="str">
        <f>IFERROR(INDEX('G-7 Rivers Data'!$H$4:$L$8,MATCH(C199,'G-7 Rivers Data'!$B$4:$B$8,0),MATCH(G199,'G-7 Rivers Data'!$H$3:$L$3,0)),"")</f>
        <v/>
      </c>
      <c r="I199" s="145"/>
      <c r="J199" s="540" t="str">
        <f>IF(I199="","",IF(VLOOKUP(I199,'G-7 Rivers Data'!$AG$4:$AI$9,2,FALSE)=0,"Spatial Data Missing ⚠",VLOOKUP(I199,'G-7 Rivers Data'!$AG$4:$AI$9,2,FALSE)))</f>
        <v/>
      </c>
      <c r="K199" s="499" t="str">
        <f>IF(I199="","",IF(VLOOKUP(I199,'G-7 Rivers Data'!$AG$4:$AI$9,3,FALSE)=0,"Spatial Data Missing ⚠",VLOOKUP(I199,'G-7 Rivers Data'!$AG$4:$AI$9,3,FALSE)))</f>
        <v/>
      </c>
      <c r="L199" s="635" t="str">
        <f>IFERROR(INDEX('G-7 Rivers Data'!$O$3:$O$7,MATCH(G199,'G-7 Rivers Data'!$N$3:$N$7,0)),"")</f>
        <v/>
      </c>
      <c r="M199" s="72"/>
      <c r="N199" s="195"/>
      <c r="O199" s="507" t="str">
        <f t="shared" si="13"/>
        <v/>
      </c>
      <c r="P199" s="521" t="str">
        <f t="shared" si="14"/>
        <v/>
      </c>
      <c r="Q199" s="564" t="str">
        <f>IFERROR(IF(P199="Check Data ⚠","Check Data ⚠",VLOOKUP(P199,'G-4 Temporal multipliers'!$A$4:$C$37,3,FALSE)),"")</f>
        <v/>
      </c>
      <c r="R199" s="498" t="str">
        <f>IF(C199="","",VLOOKUP(C199,'G-7 Rivers Data'!$B$4:$G$8,4,FALSE))</f>
        <v/>
      </c>
      <c r="S199" s="507" t="str">
        <f t="shared" si="15"/>
        <v/>
      </c>
      <c r="T199" s="540" t="str">
        <f t="shared" si="16"/>
        <v/>
      </c>
      <c r="U199" s="499" t="str">
        <f t="shared" si="17"/>
        <v/>
      </c>
      <c r="V199" s="71"/>
      <c r="W199" s="499" t="str">
        <f>IF(V199="","",IF(VLOOKUP(V199,'G-7 Rivers Data'!$AA$4:$AB$7,2,FALSE)=0,"Spatial Data Missing ⚠",VLOOKUP(V199,'G-7 Rivers Data'!$AA$4:$AB$7,2,FALSE)))</f>
        <v/>
      </c>
      <c r="X199" s="155"/>
      <c r="Y199" s="499" t="str">
        <f>IF(X199="","",IF(VLOOKUP(X199,'G-7 Rivers Data'!$AD$4:$AE$8,2,FALSE)=0,"Enrcoachment Data Missing ⚠",VLOOKUP(X199,'G-7 Rivers Data'!$AD$4:$AE$8,2,FALSE)))</f>
        <v/>
      </c>
      <c r="Z199" s="154"/>
      <c r="AA199" s="524" t="str">
        <f>IF(Z199="","",VLOOKUP(Z199,'G-7 Rivers Data'!$AO$4:$AP$7,2,FALSE))</f>
        <v/>
      </c>
      <c r="AB199" s="545" t="str">
        <f t="shared" si="18"/>
        <v/>
      </c>
      <c r="AC199" s="149"/>
      <c r="AD199" s="150"/>
      <c r="AK199" s="31" t="str">
        <f>IFERROR(INDEX('G-7 Rivers Data'!$AZ$3:$AZ$7,MATCH(C199,'G-7 Rivers Data'!$AY$3:$AY$7,0)),"")</f>
        <v/>
      </c>
    </row>
    <row r="200" spans="2:37" ht="14" x14ac:dyDescent="0.3">
      <c r="B200" s="141">
        <v>189</v>
      </c>
      <c r="C200" s="666"/>
      <c r="D200" s="172"/>
      <c r="E200" s="498" t="str">
        <f>IF(C200="","",VLOOKUP(C200,'G-7 Rivers Data'!$B$2:$Z$9,2,FALSE))</f>
        <v/>
      </c>
      <c r="F200" s="499" t="str">
        <f>IFERROR(VLOOKUP(E200,'G-7 Rivers Data'!$C$4:$D$8,2,FALSE),"")</f>
        <v/>
      </c>
      <c r="G200" s="145"/>
      <c r="H200" s="499" t="str">
        <f>IFERROR(INDEX('G-7 Rivers Data'!$H$4:$L$8,MATCH(C200,'G-7 Rivers Data'!$B$4:$B$8,0),MATCH(G200,'G-7 Rivers Data'!$H$3:$L$3,0)),"")</f>
        <v/>
      </c>
      <c r="I200" s="145"/>
      <c r="J200" s="540" t="str">
        <f>IF(I200="","",IF(VLOOKUP(I200,'G-7 Rivers Data'!$AG$4:$AI$9,2,FALSE)=0,"Spatial Data Missing ⚠",VLOOKUP(I200,'G-7 Rivers Data'!$AG$4:$AI$9,2,FALSE)))</f>
        <v/>
      </c>
      <c r="K200" s="499" t="str">
        <f>IF(I200="","",IF(VLOOKUP(I200,'G-7 Rivers Data'!$AG$4:$AI$9,3,FALSE)=0,"Spatial Data Missing ⚠",VLOOKUP(I200,'G-7 Rivers Data'!$AG$4:$AI$9,3,FALSE)))</f>
        <v/>
      </c>
      <c r="L200" s="635" t="str">
        <f>IFERROR(INDEX('G-7 Rivers Data'!$O$3:$O$7,MATCH(G200,'G-7 Rivers Data'!$N$3:$N$7,0)),"")</f>
        <v/>
      </c>
      <c r="M200" s="72"/>
      <c r="N200" s="195"/>
      <c r="O200" s="507" t="str">
        <f t="shared" si="13"/>
        <v/>
      </c>
      <c r="P200" s="521" t="str">
        <f t="shared" si="14"/>
        <v/>
      </c>
      <c r="Q200" s="564" t="str">
        <f>IFERROR(IF(P200="Check Data ⚠","Check Data ⚠",VLOOKUP(P200,'G-4 Temporal multipliers'!$A$4:$C$37,3,FALSE)),"")</f>
        <v/>
      </c>
      <c r="R200" s="498" t="str">
        <f>IF(C200="","",VLOOKUP(C200,'G-7 Rivers Data'!$B$4:$G$8,4,FALSE))</f>
        <v/>
      </c>
      <c r="S200" s="507" t="str">
        <f t="shared" si="15"/>
        <v/>
      </c>
      <c r="T200" s="540" t="str">
        <f t="shared" si="16"/>
        <v/>
      </c>
      <c r="U200" s="499" t="str">
        <f t="shared" si="17"/>
        <v/>
      </c>
      <c r="V200" s="71"/>
      <c r="W200" s="499" t="str">
        <f>IF(V200="","",IF(VLOOKUP(V200,'G-7 Rivers Data'!$AA$4:$AB$7,2,FALSE)=0,"Spatial Data Missing ⚠",VLOOKUP(V200,'G-7 Rivers Data'!$AA$4:$AB$7,2,FALSE)))</f>
        <v/>
      </c>
      <c r="X200" s="155"/>
      <c r="Y200" s="499" t="str">
        <f>IF(X200="","",IF(VLOOKUP(X200,'G-7 Rivers Data'!$AD$4:$AE$8,2,FALSE)=0,"Enrcoachment Data Missing ⚠",VLOOKUP(X200,'G-7 Rivers Data'!$AD$4:$AE$8,2,FALSE)))</f>
        <v/>
      </c>
      <c r="Z200" s="154"/>
      <c r="AA200" s="524" t="str">
        <f>IF(Z200="","",VLOOKUP(Z200,'G-7 Rivers Data'!$AO$4:$AP$7,2,FALSE))</f>
        <v/>
      </c>
      <c r="AB200" s="545" t="str">
        <f t="shared" si="18"/>
        <v/>
      </c>
      <c r="AC200" s="149"/>
      <c r="AD200" s="150"/>
      <c r="AK200" s="31" t="str">
        <f>IFERROR(INDEX('G-7 Rivers Data'!$AZ$3:$AZ$7,MATCH(C200,'G-7 Rivers Data'!$AY$3:$AY$7,0)),"")</f>
        <v/>
      </c>
    </row>
    <row r="201" spans="2:37" ht="14" x14ac:dyDescent="0.3">
      <c r="B201" s="141">
        <v>190</v>
      </c>
      <c r="C201" s="666"/>
      <c r="D201" s="172"/>
      <c r="E201" s="498" t="str">
        <f>IF(C201="","",VLOOKUP(C201,'G-7 Rivers Data'!$B$2:$Z$9,2,FALSE))</f>
        <v/>
      </c>
      <c r="F201" s="499" t="str">
        <f>IFERROR(VLOOKUP(E201,'G-7 Rivers Data'!$C$4:$D$8,2,FALSE),"")</f>
        <v/>
      </c>
      <c r="G201" s="145"/>
      <c r="H201" s="499" t="str">
        <f>IFERROR(INDEX('G-7 Rivers Data'!$H$4:$L$8,MATCH(C201,'G-7 Rivers Data'!$B$4:$B$8,0),MATCH(G201,'G-7 Rivers Data'!$H$3:$L$3,0)),"")</f>
        <v/>
      </c>
      <c r="I201" s="145"/>
      <c r="J201" s="540" t="str">
        <f>IF(I201="","",IF(VLOOKUP(I201,'G-7 Rivers Data'!$AG$4:$AI$9,2,FALSE)=0,"Spatial Data Missing ⚠",VLOOKUP(I201,'G-7 Rivers Data'!$AG$4:$AI$9,2,FALSE)))</f>
        <v/>
      </c>
      <c r="K201" s="499" t="str">
        <f>IF(I201="","",IF(VLOOKUP(I201,'G-7 Rivers Data'!$AG$4:$AI$9,3,FALSE)=0,"Spatial Data Missing ⚠",VLOOKUP(I201,'G-7 Rivers Data'!$AG$4:$AI$9,3,FALSE)))</f>
        <v/>
      </c>
      <c r="L201" s="635" t="str">
        <f>IFERROR(INDEX('G-7 Rivers Data'!$O$3:$O$7,MATCH(G201,'G-7 Rivers Data'!$N$3:$N$7,0)),"")</f>
        <v/>
      </c>
      <c r="M201" s="72"/>
      <c r="N201" s="195"/>
      <c r="O201" s="507" t="str">
        <f t="shared" si="13"/>
        <v/>
      </c>
      <c r="P201" s="521" t="str">
        <f t="shared" si="14"/>
        <v/>
      </c>
      <c r="Q201" s="564" t="str">
        <f>IFERROR(IF(P201="Check Data ⚠","Check Data ⚠",VLOOKUP(P201,'G-4 Temporal multipliers'!$A$4:$C$37,3,FALSE)),"")</f>
        <v/>
      </c>
      <c r="R201" s="498" t="str">
        <f>IF(C201="","",VLOOKUP(C201,'G-7 Rivers Data'!$B$4:$G$8,4,FALSE))</f>
        <v/>
      </c>
      <c r="S201" s="507" t="str">
        <f t="shared" si="15"/>
        <v/>
      </c>
      <c r="T201" s="540" t="str">
        <f t="shared" si="16"/>
        <v/>
      </c>
      <c r="U201" s="499" t="str">
        <f t="shared" si="17"/>
        <v/>
      </c>
      <c r="V201" s="71"/>
      <c r="W201" s="499" t="str">
        <f>IF(V201="","",IF(VLOOKUP(V201,'G-7 Rivers Data'!$AA$4:$AB$7,2,FALSE)=0,"Spatial Data Missing ⚠",VLOOKUP(V201,'G-7 Rivers Data'!$AA$4:$AB$7,2,FALSE)))</f>
        <v/>
      </c>
      <c r="X201" s="155"/>
      <c r="Y201" s="499" t="str">
        <f>IF(X201="","",IF(VLOOKUP(X201,'G-7 Rivers Data'!$AD$4:$AE$8,2,FALSE)=0,"Enrcoachment Data Missing ⚠",VLOOKUP(X201,'G-7 Rivers Data'!$AD$4:$AE$8,2,FALSE)))</f>
        <v/>
      </c>
      <c r="Z201" s="154"/>
      <c r="AA201" s="524" t="str">
        <f>IF(Z201="","",VLOOKUP(Z201,'G-7 Rivers Data'!$AO$4:$AP$7,2,FALSE))</f>
        <v/>
      </c>
      <c r="AB201" s="545" t="str">
        <f t="shared" si="18"/>
        <v/>
      </c>
      <c r="AC201" s="149"/>
      <c r="AD201" s="150"/>
      <c r="AK201" s="31" t="str">
        <f>IFERROR(INDEX('G-7 Rivers Data'!$AZ$3:$AZ$7,MATCH(C201,'G-7 Rivers Data'!$AY$3:$AY$7,0)),"")</f>
        <v/>
      </c>
    </row>
    <row r="202" spans="2:37" ht="14" x14ac:dyDescent="0.3">
      <c r="B202" s="141">
        <v>191</v>
      </c>
      <c r="C202" s="666"/>
      <c r="D202" s="172"/>
      <c r="E202" s="498" t="str">
        <f>IF(C202="","",VLOOKUP(C202,'G-7 Rivers Data'!$B$2:$Z$9,2,FALSE))</f>
        <v/>
      </c>
      <c r="F202" s="499" t="str">
        <f>IFERROR(VLOOKUP(E202,'G-7 Rivers Data'!$C$4:$D$8,2,FALSE),"")</f>
        <v/>
      </c>
      <c r="G202" s="145"/>
      <c r="H202" s="499" t="str">
        <f>IFERROR(INDEX('G-7 Rivers Data'!$H$4:$L$8,MATCH(C202,'G-7 Rivers Data'!$B$4:$B$8,0),MATCH(G202,'G-7 Rivers Data'!$H$3:$L$3,0)),"")</f>
        <v/>
      </c>
      <c r="I202" s="145"/>
      <c r="J202" s="540" t="str">
        <f>IF(I202="","",IF(VLOOKUP(I202,'G-7 Rivers Data'!$AG$4:$AI$9,2,FALSE)=0,"Spatial Data Missing ⚠",VLOOKUP(I202,'G-7 Rivers Data'!$AG$4:$AI$9,2,FALSE)))</f>
        <v/>
      </c>
      <c r="K202" s="499" t="str">
        <f>IF(I202="","",IF(VLOOKUP(I202,'G-7 Rivers Data'!$AG$4:$AI$9,3,FALSE)=0,"Spatial Data Missing ⚠",VLOOKUP(I202,'G-7 Rivers Data'!$AG$4:$AI$9,3,FALSE)))</f>
        <v/>
      </c>
      <c r="L202" s="635" t="str">
        <f>IFERROR(INDEX('G-7 Rivers Data'!$O$3:$O$7,MATCH(G202,'G-7 Rivers Data'!$N$3:$N$7,0)),"")</f>
        <v/>
      </c>
      <c r="M202" s="72"/>
      <c r="N202" s="195"/>
      <c r="O202" s="507" t="str">
        <f t="shared" si="13"/>
        <v/>
      </c>
      <c r="P202" s="521" t="str">
        <f t="shared" si="14"/>
        <v/>
      </c>
      <c r="Q202" s="564" t="str">
        <f>IFERROR(IF(P202="Check Data ⚠","Check Data ⚠",VLOOKUP(P202,'G-4 Temporal multipliers'!$A$4:$C$37,3,FALSE)),"")</f>
        <v/>
      </c>
      <c r="R202" s="498" t="str">
        <f>IF(C202="","",VLOOKUP(C202,'G-7 Rivers Data'!$B$4:$G$8,4,FALSE))</f>
        <v/>
      </c>
      <c r="S202" s="507" t="str">
        <f t="shared" si="15"/>
        <v/>
      </c>
      <c r="T202" s="540" t="str">
        <f t="shared" si="16"/>
        <v/>
      </c>
      <c r="U202" s="499" t="str">
        <f t="shared" si="17"/>
        <v/>
      </c>
      <c r="V202" s="71"/>
      <c r="W202" s="499" t="str">
        <f>IF(V202="","",IF(VLOOKUP(V202,'G-7 Rivers Data'!$AA$4:$AB$7,2,FALSE)=0,"Spatial Data Missing ⚠",VLOOKUP(V202,'G-7 Rivers Data'!$AA$4:$AB$7,2,FALSE)))</f>
        <v/>
      </c>
      <c r="X202" s="155"/>
      <c r="Y202" s="499" t="str">
        <f>IF(X202="","",IF(VLOOKUP(X202,'G-7 Rivers Data'!$AD$4:$AE$8,2,FALSE)=0,"Enrcoachment Data Missing ⚠",VLOOKUP(X202,'G-7 Rivers Data'!$AD$4:$AE$8,2,FALSE)))</f>
        <v/>
      </c>
      <c r="Z202" s="154"/>
      <c r="AA202" s="524" t="str">
        <f>IF(Z202="","",VLOOKUP(Z202,'G-7 Rivers Data'!$AO$4:$AP$7,2,FALSE))</f>
        <v/>
      </c>
      <c r="AB202" s="545" t="str">
        <f t="shared" si="18"/>
        <v/>
      </c>
      <c r="AC202" s="149"/>
      <c r="AD202" s="150"/>
      <c r="AK202" s="31" t="str">
        <f>IFERROR(INDEX('G-7 Rivers Data'!$AZ$3:$AZ$7,MATCH(C202,'G-7 Rivers Data'!$AY$3:$AY$7,0)),"")</f>
        <v/>
      </c>
    </row>
    <row r="203" spans="2:37" ht="14" x14ac:dyDescent="0.3">
      <c r="B203" s="141">
        <v>192</v>
      </c>
      <c r="C203" s="666"/>
      <c r="D203" s="172"/>
      <c r="E203" s="498" t="str">
        <f>IF(C203="","",VLOOKUP(C203,'G-7 Rivers Data'!$B$2:$Z$9,2,FALSE))</f>
        <v/>
      </c>
      <c r="F203" s="499" t="str">
        <f>IFERROR(VLOOKUP(E203,'G-7 Rivers Data'!$C$4:$D$8,2,FALSE),"")</f>
        <v/>
      </c>
      <c r="G203" s="145"/>
      <c r="H203" s="499" t="str">
        <f>IFERROR(INDEX('G-7 Rivers Data'!$H$4:$L$8,MATCH(C203,'G-7 Rivers Data'!$B$4:$B$8,0),MATCH(G203,'G-7 Rivers Data'!$H$3:$L$3,0)),"")</f>
        <v/>
      </c>
      <c r="I203" s="145"/>
      <c r="J203" s="540" t="str">
        <f>IF(I203="","",IF(VLOOKUP(I203,'G-7 Rivers Data'!$AG$4:$AI$9,2,FALSE)=0,"Spatial Data Missing ⚠",VLOOKUP(I203,'G-7 Rivers Data'!$AG$4:$AI$9,2,FALSE)))</f>
        <v/>
      </c>
      <c r="K203" s="499" t="str">
        <f>IF(I203="","",IF(VLOOKUP(I203,'G-7 Rivers Data'!$AG$4:$AI$9,3,FALSE)=0,"Spatial Data Missing ⚠",VLOOKUP(I203,'G-7 Rivers Data'!$AG$4:$AI$9,3,FALSE)))</f>
        <v/>
      </c>
      <c r="L203" s="635" t="str">
        <f>IFERROR(INDEX('G-7 Rivers Data'!$O$3:$O$7,MATCH(G203,'G-7 Rivers Data'!$N$3:$N$7,0)),"")</f>
        <v/>
      </c>
      <c r="M203" s="72"/>
      <c r="N203" s="195"/>
      <c r="O203" s="507" t="str">
        <f t="shared" si="13"/>
        <v/>
      </c>
      <c r="P203" s="521" t="str">
        <f t="shared" si="14"/>
        <v/>
      </c>
      <c r="Q203" s="564" t="str">
        <f>IFERROR(IF(P203="Check Data ⚠","Check Data ⚠",VLOOKUP(P203,'G-4 Temporal multipliers'!$A$4:$C$37,3,FALSE)),"")</f>
        <v/>
      </c>
      <c r="R203" s="498" t="str">
        <f>IF(C203="","",VLOOKUP(C203,'G-7 Rivers Data'!$B$4:$G$8,4,FALSE))</f>
        <v/>
      </c>
      <c r="S203" s="507" t="str">
        <f t="shared" si="15"/>
        <v/>
      </c>
      <c r="T203" s="540" t="str">
        <f t="shared" si="16"/>
        <v/>
      </c>
      <c r="U203" s="499" t="str">
        <f t="shared" si="17"/>
        <v/>
      </c>
      <c r="V203" s="71"/>
      <c r="W203" s="499" t="str">
        <f>IF(V203="","",IF(VLOOKUP(V203,'G-7 Rivers Data'!$AA$4:$AB$7,2,FALSE)=0,"Spatial Data Missing ⚠",VLOOKUP(V203,'G-7 Rivers Data'!$AA$4:$AB$7,2,FALSE)))</f>
        <v/>
      </c>
      <c r="X203" s="155"/>
      <c r="Y203" s="499" t="str">
        <f>IF(X203="","",IF(VLOOKUP(X203,'G-7 Rivers Data'!$AD$4:$AE$8,2,FALSE)=0,"Enrcoachment Data Missing ⚠",VLOOKUP(X203,'G-7 Rivers Data'!$AD$4:$AE$8,2,FALSE)))</f>
        <v/>
      </c>
      <c r="Z203" s="154"/>
      <c r="AA203" s="524" t="str">
        <f>IF(Z203="","",VLOOKUP(Z203,'G-7 Rivers Data'!$AO$4:$AP$7,2,FALSE))</f>
        <v/>
      </c>
      <c r="AB203" s="545" t="str">
        <f t="shared" si="18"/>
        <v/>
      </c>
      <c r="AC203" s="149"/>
      <c r="AD203" s="150"/>
      <c r="AK203" s="31" t="str">
        <f>IFERROR(INDEX('G-7 Rivers Data'!$AZ$3:$AZ$7,MATCH(C203,'G-7 Rivers Data'!$AY$3:$AY$7,0)),"")</f>
        <v/>
      </c>
    </row>
    <row r="204" spans="2:37" ht="14" x14ac:dyDescent="0.3">
      <c r="B204" s="141">
        <v>193</v>
      </c>
      <c r="C204" s="666"/>
      <c r="D204" s="172"/>
      <c r="E204" s="498" t="str">
        <f>IF(C204="","",VLOOKUP(C204,'G-7 Rivers Data'!$B$2:$Z$9,2,FALSE))</f>
        <v/>
      </c>
      <c r="F204" s="499" t="str">
        <f>IFERROR(VLOOKUP(E204,'G-7 Rivers Data'!$C$4:$D$8,2,FALSE),"")</f>
        <v/>
      </c>
      <c r="G204" s="145"/>
      <c r="H204" s="499" t="str">
        <f>IFERROR(INDEX('G-7 Rivers Data'!$H$4:$L$8,MATCH(C204,'G-7 Rivers Data'!$B$4:$B$8,0),MATCH(G204,'G-7 Rivers Data'!$H$3:$L$3,0)),"")</f>
        <v/>
      </c>
      <c r="I204" s="145"/>
      <c r="J204" s="540" t="str">
        <f>IF(I204="","",IF(VLOOKUP(I204,'G-7 Rivers Data'!$AG$4:$AI$9,2,FALSE)=0,"Spatial Data Missing ⚠",VLOOKUP(I204,'G-7 Rivers Data'!$AG$4:$AI$9,2,FALSE)))</f>
        <v/>
      </c>
      <c r="K204" s="499" t="str">
        <f>IF(I204="","",IF(VLOOKUP(I204,'G-7 Rivers Data'!$AG$4:$AI$9,3,FALSE)=0,"Spatial Data Missing ⚠",VLOOKUP(I204,'G-7 Rivers Data'!$AG$4:$AI$9,3,FALSE)))</f>
        <v/>
      </c>
      <c r="L204" s="635" t="str">
        <f>IFERROR(INDEX('G-7 Rivers Data'!$O$3:$O$7,MATCH(G204,'G-7 Rivers Data'!$N$3:$N$7,0)),"")</f>
        <v/>
      </c>
      <c r="M204" s="72"/>
      <c r="N204" s="195"/>
      <c r="O204" s="507" t="str">
        <f t="shared" si="13"/>
        <v/>
      </c>
      <c r="P204" s="521" t="str">
        <f t="shared" si="14"/>
        <v/>
      </c>
      <c r="Q204" s="564" t="str">
        <f>IFERROR(IF(P204="Check Data ⚠","Check Data ⚠",VLOOKUP(P204,'G-4 Temporal multipliers'!$A$4:$C$37,3,FALSE)),"")</f>
        <v/>
      </c>
      <c r="R204" s="498" t="str">
        <f>IF(C204="","",VLOOKUP(C204,'G-7 Rivers Data'!$B$4:$G$8,4,FALSE))</f>
        <v/>
      </c>
      <c r="S204" s="507" t="str">
        <f t="shared" si="15"/>
        <v/>
      </c>
      <c r="T204" s="540" t="str">
        <f t="shared" si="16"/>
        <v/>
      </c>
      <c r="U204" s="499" t="str">
        <f t="shared" si="17"/>
        <v/>
      </c>
      <c r="V204" s="71"/>
      <c r="W204" s="499" t="str">
        <f>IF(V204="","",IF(VLOOKUP(V204,'G-7 Rivers Data'!$AA$4:$AB$7,2,FALSE)=0,"Spatial Data Missing ⚠",VLOOKUP(V204,'G-7 Rivers Data'!$AA$4:$AB$7,2,FALSE)))</f>
        <v/>
      </c>
      <c r="X204" s="155"/>
      <c r="Y204" s="499" t="str">
        <f>IF(X204="","",IF(VLOOKUP(X204,'G-7 Rivers Data'!$AD$4:$AE$8,2,FALSE)=0,"Enrcoachment Data Missing ⚠",VLOOKUP(X204,'G-7 Rivers Data'!$AD$4:$AE$8,2,FALSE)))</f>
        <v/>
      </c>
      <c r="Z204" s="154"/>
      <c r="AA204" s="524" t="str">
        <f>IF(Z204="","",VLOOKUP(Z204,'G-7 Rivers Data'!$AO$4:$AP$7,2,FALSE))</f>
        <v/>
      </c>
      <c r="AB204" s="545" t="str">
        <f t="shared" si="18"/>
        <v/>
      </c>
      <c r="AC204" s="149"/>
      <c r="AD204" s="150"/>
      <c r="AK204" s="31" t="str">
        <f>IFERROR(INDEX('G-7 Rivers Data'!$AZ$3:$AZ$7,MATCH(C204,'G-7 Rivers Data'!$AY$3:$AY$7,0)),"")</f>
        <v/>
      </c>
    </row>
    <row r="205" spans="2:37" ht="14" x14ac:dyDescent="0.3">
      <c r="B205" s="141">
        <v>194</v>
      </c>
      <c r="C205" s="666"/>
      <c r="D205" s="172"/>
      <c r="E205" s="498" t="str">
        <f>IF(C205="","",VLOOKUP(C205,'G-7 Rivers Data'!$B$2:$Z$9,2,FALSE))</f>
        <v/>
      </c>
      <c r="F205" s="499" t="str">
        <f>IFERROR(VLOOKUP(E205,'G-7 Rivers Data'!$C$4:$D$8,2,FALSE),"")</f>
        <v/>
      </c>
      <c r="G205" s="145"/>
      <c r="H205" s="499" t="str">
        <f>IFERROR(INDEX('G-7 Rivers Data'!$H$4:$L$8,MATCH(C205,'G-7 Rivers Data'!$B$4:$B$8,0),MATCH(G205,'G-7 Rivers Data'!$H$3:$L$3,0)),"")</f>
        <v/>
      </c>
      <c r="I205" s="145"/>
      <c r="J205" s="540" t="str">
        <f>IF(I205="","",IF(VLOOKUP(I205,'G-7 Rivers Data'!$AG$4:$AI$9,2,FALSE)=0,"Spatial Data Missing ⚠",VLOOKUP(I205,'G-7 Rivers Data'!$AG$4:$AI$9,2,FALSE)))</f>
        <v/>
      </c>
      <c r="K205" s="499" t="str">
        <f>IF(I205="","",IF(VLOOKUP(I205,'G-7 Rivers Data'!$AG$4:$AI$9,3,FALSE)=0,"Spatial Data Missing ⚠",VLOOKUP(I205,'G-7 Rivers Data'!$AG$4:$AI$9,3,FALSE)))</f>
        <v/>
      </c>
      <c r="L205" s="635" t="str">
        <f>IFERROR(INDEX('G-7 Rivers Data'!$O$3:$O$7,MATCH(G205,'G-7 Rivers Data'!$N$3:$N$7,0)),"")</f>
        <v/>
      </c>
      <c r="M205" s="72"/>
      <c r="N205" s="195"/>
      <c r="O205" s="507" t="str">
        <f t="shared" ref="O205:O259" si="19">IF(L205="","",IF(AND(M205&gt;0,N205&gt;0),"Error -both advance and delayed habitat creation ▲",IF(AND(OR(M205="Habitat already in target condition",L205&lt;=M205),N205=0),"Check details - Is there evidence that habitat has reached target condition? ⚠",IF(M205&gt;0,"Check details - Is there evidence habitat creation started/in place? ⚠",IF(N205&gt;0,"Check details- Delay in starting habitat in required condition? ⚠","Standard time to target condition applied")))))</f>
        <v/>
      </c>
      <c r="P205" s="521" t="str">
        <f t="shared" ref="P205:P259" si="20">IF(LEFT(O205,5)="Error ▲","Check Data ⚠",IF(L205="","",IF(M205="30+",0,IF(N205="30+","30+ ⚠",IF(L205+N205&gt;30,"30+ ⚠",IF(L205+N205-M205&gt;0,L205+N205-M205,IF(L205-M205&lt;0,0,L205+N205-M205)))))))</f>
        <v/>
      </c>
      <c r="Q205" s="564" t="str">
        <f>IFERROR(IF(P205="Check Data ⚠","Check Data ⚠",VLOOKUP(P205,'G-4 Temporal multipliers'!$A$4:$C$37,3,FALSE)),"")</f>
        <v/>
      </c>
      <c r="R205" s="498" t="str">
        <f>IF(C205="","",VLOOKUP(C205,'G-7 Rivers Data'!$B$4:$G$8,4,FALSE))</f>
        <v/>
      </c>
      <c r="S205" s="507" t="str">
        <f t="shared" ref="S205:S259" si="21">IF(C205="","",IF(P205="Check Data ⚠","Check Data ⚠",IF(G205="","",IF($O205="Check details - Is there evidence that habitat has reached target condition? ⚠","No - Low Difficulty - only applicable if all habitat created before losses ⚠","Standard difficulty applied"))))</f>
        <v/>
      </c>
      <c r="T205" s="540" t="str">
        <f t="shared" ref="T205:T259" si="22">(IF(AND(S205="Standard difficulty applied",L205&gt;M205),R205,IF(AND(S205="No - Low Difficulty - only applicable if all habitat created before losses ⚠",M205&gt;=L205),"Low",R205)))</f>
        <v/>
      </c>
      <c r="U205" s="499" t="str">
        <f t="shared" ref="U205:U259" si="23">IF(C205="","",VLOOKUP(R205,Difficulty,2,FALSE))</f>
        <v/>
      </c>
      <c r="V205" s="71"/>
      <c r="W205" s="499" t="str">
        <f>IF(V205="","",IF(VLOOKUP(V205,'G-7 Rivers Data'!$AA$4:$AB$7,2,FALSE)=0,"Spatial Data Missing ⚠",VLOOKUP(V205,'G-7 Rivers Data'!$AA$4:$AB$7,2,FALSE)))</f>
        <v/>
      </c>
      <c r="X205" s="155"/>
      <c r="Y205" s="499" t="str">
        <f>IF(X205="","",IF(VLOOKUP(X205,'G-7 Rivers Data'!$AD$4:$AE$8,2,FALSE)=0,"Enrcoachment Data Missing ⚠",VLOOKUP(X205,'G-7 Rivers Data'!$AD$4:$AE$8,2,FALSE)))</f>
        <v/>
      </c>
      <c r="Z205" s="154"/>
      <c r="AA205" s="524" t="str">
        <f>IF(Z205="","",VLOOKUP(Z205,'G-7 Rivers Data'!$AO$4:$AP$7,2,FALSE))</f>
        <v/>
      </c>
      <c r="AB205" s="545" t="str">
        <f t="shared" ref="AB205:AB259" si="24">IFERROR(D205*F205*H205*K205*Q205*U205*W205*Y205*AA205,"")</f>
        <v/>
      </c>
      <c r="AC205" s="149"/>
      <c r="AD205" s="150"/>
      <c r="AK205" s="31" t="str">
        <f>IFERROR(INDEX('G-7 Rivers Data'!$AZ$3:$AZ$7,MATCH(C205,'G-7 Rivers Data'!$AY$3:$AY$7,0)),"")</f>
        <v/>
      </c>
    </row>
    <row r="206" spans="2:37" ht="14" x14ac:dyDescent="0.3">
      <c r="B206" s="141">
        <v>195</v>
      </c>
      <c r="C206" s="666"/>
      <c r="D206" s="172"/>
      <c r="E206" s="498" t="str">
        <f>IF(C206="","",VLOOKUP(C206,'G-7 Rivers Data'!$B$2:$Z$9,2,FALSE))</f>
        <v/>
      </c>
      <c r="F206" s="499" t="str">
        <f>IFERROR(VLOOKUP(E206,'G-7 Rivers Data'!$C$4:$D$8,2,FALSE),"")</f>
        <v/>
      </c>
      <c r="G206" s="145"/>
      <c r="H206" s="499" t="str">
        <f>IFERROR(INDEX('G-7 Rivers Data'!$H$4:$L$8,MATCH(C206,'G-7 Rivers Data'!$B$4:$B$8,0),MATCH(G206,'G-7 Rivers Data'!$H$3:$L$3,0)),"")</f>
        <v/>
      </c>
      <c r="I206" s="145"/>
      <c r="J206" s="540" t="str">
        <f>IF(I206="","",IF(VLOOKUP(I206,'G-7 Rivers Data'!$AG$4:$AI$9,2,FALSE)=0,"Spatial Data Missing ⚠",VLOOKUP(I206,'G-7 Rivers Data'!$AG$4:$AI$9,2,FALSE)))</f>
        <v/>
      </c>
      <c r="K206" s="499" t="str">
        <f>IF(I206="","",IF(VLOOKUP(I206,'G-7 Rivers Data'!$AG$4:$AI$9,3,FALSE)=0,"Spatial Data Missing ⚠",VLOOKUP(I206,'G-7 Rivers Data'!$AG$4:$AI$9,3,FALSE)))</f>
        <v/>
      </c>
      <c r="L206" s="635" t="str">
        <f>IFERROR(INDEX('G-7 Rivers Data'!$O$3:$O$7,MATCH(G206,'G-7 Rivers Data'!$N$3:$N$7,0)),"")</f>
        <v/>
      </c>
      <c r="M206" s="72"/>
      <c r="N206" s="195"/>
      <c r="O206" s="507" t="str">
        <f t="shared" si="19"/>
        <v/>
      </c>
      <c r="P206" s="521" t="str">
        <f t="shared" si="20"/>
        <v/>
      </c>
      <c r="Q206" s="564" t="str">
        <f>IFERROR(IF(P206="Check Data ⚠","Check Data ⚠",VLOOKUP(P206,'G-4 Temporal multipliers'!$A$4:$C$37,3,FALSE)),"")</f>
        <v/>
      </c>
      <c r="R206" s="498" t="str">
        <f>IF(C206="","",VLOOKUP(C206,'G-7 Rivers Data'!$B$4:$G$8,4,FALSE))</f>
        <v/>
      </c>
      <c r="S206" s="507" t="str">
        <f t="shared" si="21"/>
        <v/>
      </c>
      <c r="T206" s="540" t="str">
        <f t="shared" si="22"/>
        <v/>
      </c>
      <c r="U206" s="499" t="str">
        <f t="shared" si="23"/>
        <v/>
      </c>
      <c r="V206" s="71"/>
      <c r="W206" s="499" t="str">
        <f>IF(V206="","",IF(VLOOKUP(V206,'G-7 Rivers Data'!$AA$4:$AB$7,2,FALSE)=0,"Spatial Data Missing ⚠",VLOOKUP(V206,'G-7 Rivers Data'!$AA$4:$AB$7,2,FALSE)))</f>
        <v/>
      </c>
      <c r="X206" s="155"/>
      <c r="Y206" s="499" t="str">
        <f>IF(X206="","",IF(VLOOKUP(X206,'G-7 Rivers Data'!$AD$4:$AE$8,2,FALSE)=0,"Enrcoachment Data Missing ⚠",VLOOKUP(X206,'G-7 Rivers Data'!$AD$4:$AE$8,2,FALSE)))</f>
        <v/>
      </c>
      <c r="Z206" s="154"/>
      <c r="AA206" s="524" t="str">
        <f>IF(Z206="","",VLOOKUP(Z206,'G-7 Rivers Data'!$AO$4:$AP$7,2,FALSE))</f>
        <v/>
      </c>
      <c r="AB206" s="545" t="str">
        <f t="shared" si="24"/>
        <v/>
      </c>
      <c r="AC206" s="149"/>
      <c r="AD206" s="150"/>
      <c r="AK206" s="31" t="str">
        <f>IFERROR(INDEX('G-7 Rivers Data'!$AZ$3:$AZ$7,MATCH(C206,'G-7 Rivers Data'!$AY$3:$AY$7,0)),"")</f>
        <v/>
      </c>
    </row>
    <row r="207" spans="2:37" ht="14" x14ac:dyDescent="0.3">
      <c r="B207" s="141">
        <v>196</v>
      </c>
      <c r="C207" s="666"/>
      <c r="D207" s="172"/>
      <c r="E207" s="498" t="str">
        <f>IF(C207="","",VLOOKUP(C207,'G-7 Rivers Data'!$B$2:$Z$9,2,FALSE))</f>
        <v/>
      </c>
      <c r="F207" s="499" t="str">
        <f>IFERROR(VLOOKUP(E207,'G-7 Rivers Data'!$C$4:$D$8,2,FALSE),"")</f>
        <v/>
      </c>
      <c r="G207" s="145"/>
      <c r="H207" s="499" t="str">
        <f>IFERROR(INDEX('G-7 Rivers Data'!$H$4:$L$8,MATCH(C207,'G-7 Rivers Data'!$B$4:$B$8,0),MATCH(G207,'G-7 Rivers Data'!$H$3:$L$3,0)),"")</f>
        <v/>
      </c>
      <c r="I207" s="145"/>
      <c r="J207" s="540" t="str">
        <f>IF(I207="","",IF(VLOOKUP(I207,'G-7 Rivers Data'!$AG$4:$AI$9,2,FALSE)=0,"Spatial Data Missing ⚠",VLOOKUP(I207,'G-7 Rivers Data'!$AG$4:$AI$9,2,FALSE)))</f>
        <v/>
      </c>
      <c r="K207" s="499" t="str">
        <f>IF(I207="","",IF(VLOOKUP(I207,'G-7 Rivers Data'!$AG$4:$AI$9,3,FALSE)=0,"Spatial Data Missing ⚠",VLOOKUP(I207,'G-7 Rivers Data'!$AG$4:$AI$9,3,FALSE)))</f>
        <v/>
      </c>
      <c r="L207" s="635" t="str">
        <f>IFERROR(INDEX('G-7 Rivers Data'!$O$3:$O$7,MATCH(G207,'G-7 Rivers Data'!$N$3:$N$7,0)),"")</f>
        <v/>
      </c>
      <c r="M207" s="72"/>
      <c r="N207" s="195"/>
      <c r="O207" s="507" t="str">
        <f t="shared" si="19"/>
        <v/>
      </c>
      <c r="P207" s="521" t="str">
        <f t="shared" si="20"/>
        <v/>
      </c>
      <c r="Q207" s="564" t="str">
        <f>IFERROR(IF(P207="Check Data ⚠","Check Data ⚠",VLOOKUP(P207,'G-4 Temporal multipliers'!$A$4:$C$37,3,FALSE)),"")</f>
        <v/>
      </c>
      <c r="R207" s="498" t="str">
        <f>IF(C207="","",VLOOKUP(C207,'G-7 Rivers Data'!$B$4:$G$8,4,FALSE))</f>
        <v/>
      </c>
      <c r="S207" s="507" t="str">
        <f t="shared" si="21"/>
        <v/>
      </c>
      <c r="T207" s="540" t="str">
        <f t="shared" si="22"/>
        <v/>
      </c>
      <c r="U207" s="499" t="str">
        <f t="shared" si="23"/>
        <v/>
      </c>
      <c r="V207" s="71"/>
      <c r="W207" s="499" t="str">
        <f>IF(V207="","",IF(VLOOKUP(V207,'G-7 Rivers Data'!$AA$4:$AB$7,2,FALSE)=0,"Spatial Data Missing ⚠",VLOOKUP(V207,'G-7 Rivers Data'!$AA$4:$AB$7,2,FALSE)))</f>
        <v/>
      </c>
      <c r="X207" s="155"/>
      <c r="Y207" s="499" t="str">
        <f>IF(X207="","",IF(VLOOKUP(X207,'G-7 Rivers Data'!$AD$4:$AE$8,2,FALSE)=0,"Enrcoachment Data Missing ⚠",VLOOKUP(X207,'G-7 Rivers Data'!$AD$4:$AE$8,2,FALSE)))</f>
        <v/>
      </c>
      <c r="Z207" s="154"/>
      <c r="AA207" s="524" t="str">
        <f>IF(Z207="","",VLOOKUP(Z207,'G-7 Rivers Data'!$AO$4:$AP$7,2,FALSE))</f>
        <v/>
      </c>
      <c r="AB207" s="545" t="str">
        <f t="shared" si="24"/>
        <v/>
      </c>
      <c r="AC207" s="149"/>
      <c r="AD207" s="150"/>
      <c r="AK207" s="31" t="str">
        <f>IFERROR(INDEX('G-7 Rivers Data'!$AZ$3:$AZ$7,MATCH(C207,'G-7 Rivers Data'!$AY$3:$AY$7,0)),"")</f>
        <v/>
      </c>
    </row>
    <row r="208" spans="2:37" ht="14" x14ac:dyDescent="0.3">
      <c r="B208" s="141">
        <v>197</v>
      </c>
      <c r="C208" s="666"/>
      <c r="D208" s="172"/>
      <c r="E208" s="498" t="str">
        <f>IF(C208="","",VLOOKUP(C208,'G-7 Rivers Data'!$B$2:$Z$9,2,FALSE))</f>
        <v/>
      </c>
      <c r="F208" s="499" t="str">
        <f>IFERROR(VLOOKUP(E208,'G-7 Rivers Data'!$C$4:$D$8,2,FALSE),"")</f>
        <v/>
      </c>
      <c r="G208" s="145"/>
      <c r="H208" s="499" t="str">
        <f>IFERROR(INDEX('G-7 Rivers Data'!$H$4:$L$8,MATCH(C208,'G-7 Rivers Data'!$B$4:$B$8,0),MATCH(G208,'G-7 Rivers Data'!$H$3:$L$3,0)),"")</f>
        <v/>
      </c>
      <c r="I208" s="145"/>
      <c r="J208" s="540" t="str">
        <f>IF(I208="","",IF(VLOOKUP(I208,'G-7 Rivers Data'!$AG$4:$AI$9,2,FALSE)=0,"Spatial Data Missing ⚠",VLOOKUP(I208,'G-7 Rivers Data'!$AG$4:$AI$9,2,FALSE)))</f>
        <v/>
      </c>
      <c r="K208" s="499" t="str">
        <f>IF(I208="","",IF(VLOOKUP(I208,'G-7 Rivers Data'!$AG$4:$AI$9,3,FALSE)=0,"Spatial Data Missing ⚠",VLOOKUP(I208,'G-7 Rivers Data'!$AG$4:$AI$9,3,FALSE)))</f>
        <v/>
      </c>
      <c r="L208" s="635" t="str">
        <f>IFERROR(INDEX('G-7 Rivers Data'!$O$3:$O$7,MATCH(G208,'G-7 Rivers Data'!$N$3:$N$7,0)),"")</f>
        <v/>
      </c>
      <c r="M208" s="72"/>
      <c r="N208" s="195"/>
      <c r="O208" s="507" t="str">
        <f t="shared" si="19"/>
        <v/>
      </c>
      <c r="P208" s="521" t="str">
        <f t="shared" si="20"/>
        <v/>
      </c>
      <c r="Q208" s="564" t="str">
        <f>IFERROR(IF(P208="Check Data ⚠","Check Data ⚠",VLOOKUP(P208,'G-4 Temporal multipliers'!$A$4:$C$37,3,FALSE)),"")</f>
        <v/>
      </c>
      <c r="R208" s="498" t="str">
        <f>IF(C208="","",VLOOKUP(C208,'G-7 Rivers Data'!$B$4:$G$8,4,FALSE))</f>
        <v/>
      </c>
      <c r="S208" s="507" t="str">
        <f t="shared" si="21"/>
        <v/>
      </c>
      <c r="T208" s="540" t="str">
        <f t="shared" si="22"/>
        <v/>
      </c>
      <c r="U208" s="499" t="str">
        <f t="shared" si="23"/>
        <v/>
      </c>
      <c r="V208" s="71"/>
      <c r="W208" s="499" t="str">
        <f>IF(V208="","",IF(VLOOKUP(V208,'G-7 Rivers Data'!$AA$4:$AB$7,2,FALSE)=0,"Spatial Data Missing ⚠",VLOOKUP(V208,'G-7 Rivers Data'!$AA$4:$AB$7,2,FALSE)))</f>
        <v/>
      </c>
      <c r="X208" s="155"/>
      <c r="Y208" s="499" t="str">
        <f>IF(X208="","",IF(VLOOKUP(X208,'G-7 Rivers Data'!$AD$4:$AE$8,2,FALSE)=0,"Enrcoachment Data Missing ⚠",VLOOKUP(X208,'G-7 Rivers Data'!$AD$4:$AE$8,2,FALSE)))</f>
        <v/>
      </c>
      <c r="Z208" s="154"/>
      <c r="AA208" s="524" t="str">
        <f>IF(Z208="","",VLOOKUP(Z208,'G-7 Rivers Data'!$AO$4:$AP$7,2,FALSE))</f>
        <v/>
      </c>
      <c r="AB208" s="545" t="str">
        <f t="shared" si="24"/>
        <v/>
      </c>
      <c r="AC208" s="149"/>
      <c r="AD208" s="150"/>
      <c r="AK208" s="31" t="str">
        <f>IFERROR(INDEX('G-7 Rivers Data'!$AZ$3:$AZ$7,MATCH(C208,'G-7 Rivers Data'!$AY$3:$AY$7,0)),"")</f>
        <v/>
      </c>
    </row>
    <row r="209" spans="2:37" ht="14" x14ac:dyDescent="0.3">
      <c r="B209" s="141">
        <v>198</v>
      </c>
      <c r="C209" s="666"/>
      <c r="D209" s="172"/>
      <c r="E209" s="498" t="str">
        <f>IF(C209="","",VLOOKUP(C209,'G-7 Rivers Data'!$B$2:$Z$9,2,FALSE))</f>
        <v/>
      </c>
      <c r="F209" s="499" t="str">
        <f>IFERROR(VLOOKUP(E209,'G-7 Rivers Data'!$C$4:$D$8,2,FALSE),"")</f>
        <v/>
      </c>
      <c r="G209" s="145"/>
      <c r="H209" s="499" t="str">
        <f>IFERROR(INDEX('G-7 Rivers Data'!$H$4:$L$8,MATCH(C209,'G-7 Rivers Data'!$B$4:$B$8,0),MATCH(G209,'G-7 Rivers Data'!$H$3:$L$3,0)),"")</f>
        <v/>
      </c>
      <c r="I209" s="145"/>
      <c r="J209" s="540" t="str">
        <f>IF(I209="","",IF(VLOOKUP(I209,'G-7 Rivers Data'!$AG$4:$AI$9,2,FALSE)=0,"Spatial Data Missing ⚠",VLOOKUP(I209,'G-7 Rivers Data'!$AG$4:$AI$9,2,FALSE)))</f>
        <v/>
      </c>
      <c r="K209" s="499" t="str">
        <f>IF(I209="","",IF(VLOOKUP(I209,'G-7 Rivers Data'!$AG$4:$AI$9,3,FALSE)=0,"Spatial Data Missing ⚠",VLOOKUP(I209,'G-7 Rivers Data'!$AG$4:$AI$9,3,FALSE)))</f>
        <v/>
      </c>
      <c r="L209" s="635" t="str">
        <f>IFERROR(INDEX('G-7 Rivers Data'!$O$3:$O$7,MATCH(G209,'G-7 Rivers Data'!$N$3:$N$7,0)),"")</f>
        <v/>
      </c>
      <c r="M209" s="72"/>
      <c r="N209" s="195"/>
      <c r="O209" s="507" t="str">
        <f t="shared" si="19"/>
        <v/>
      </c>
      <c r="P209" s="521" t="str">
        <f t="shared" si="20"/>
        <v/>
      </c>
      <c r="Q209" s="564" t="str">
        <f>IFERROR(IF(P209="Check Data ⚠","Check Data ⚠",VLOOKUP(P209,'G-4 Temporal multipliers'!$A$4:$C$37,3,FALSE)),"")</f>
        <v/>
      </c>
      <c r="R209" s="498" t="str">
        <f>IF(C209="","",VLOOKUP(C209,'G-7 Rivers Data'!$B$4:$G$8,4,FALSE))</f>
        <v/>
      </c>
      <c r="S209" s="507" t="str">
        <f t="shared" si="21"/>
        <v/>
      </c>
      <c r="T209" s="540" t="str">
        <f t="shared" si="22"/>
        <v/>
      </c>
      <c r="U209" s="499" t="str">
        <f t="shared" si="23"/>
        <v/>
      </c>
      <c r="V209" s="71"/>
      <c r="W209" s="499" t="str">
        <f>IF(V209="","",IF(VLOOKUP(V209,'G-7 Rivers Data'!$AA$4:$AB$7,2,FALSE)=0,"Spatial Data Missing ⚠",VLOOKUP(V209,'G-7 Rivers Data'!$AA$4:$AB$7,2,FALSE)))</f>
        <v/>
      </c>
      <c r="X209" s="155"/>
      <c r="Y209" s="499" t="str">
        <f>IF(X209="","",IF(VLOOKUP(X209,'G-7 Rivers Data'!$AD$4:$AE$8,2,FALSE)=0,"Enrcoachment Data Missing ⚠",VLOOKUP(X209,'G-7 Rivers Data'!$AD$4:$AE$8,2,FALSE)))</f>
        <v/>
      </c>
      <c r="Z209" s="154"/>
      <c r="AA209" s="524" t="str">
        <f>IF(Z209="","",VLOOKUP(Z209,'G-7 Rivers Data'!$AO$4:$AP$7,2,FALSE))</f>
        <v/>
      </c>
      <c r="AB209" s="545" t="str">
        <f t="shared" si="24"/>
        <v/>
      </c>
      <c r="AC209" s="149"/>
      <c r="AD209" s="150"/>
      <c r="AK209" s="31" t="str">
        <f>IFERROR(INDEX('G-7 Rivers Data'!$AZ$3:$AZ$7,MATCH(C209,'G-7 Rivers Data'!$AY$3:$AY$7,0)),"")</f>
        <v/>
      </c>
    </row>
    <row r="210" spans="2:37" ht="14" x14ac:dyDescent="0.3">
      <c r="B210" s="141">
        <v>199</v>
      </c>
      <c r="C210" s="666"/>
      <c r="D210" s="172"/>
      <c r="E210" s="498" t="str">
        <f>IF(C210="","",VLOOKUP(C210,'G-7 Rivers Data'!$B$2:$Z$9,2,FALSE))</f>
        <v/>
      </c>
      <c r="F210" s="499" t="str">
        <f>IFERROR(VLOOKUP(E210,'G-7 Rivers Data'!$C$4:$D$8,2,FALSE),"")</f>
        <v/>
      </c>
      <c r="G210" s="145"/>
      <c r="H210" s="499" t="str">
        <f>IFERROR(INDEX('G-7 Rivers Data'!$H$4:$L$8,MATCH(C210,'G-7 Rivers Data'!$B$4:$B$8,0),MATCH(G210,'G-7 Rivers Data'!$H$3:$L$3,0)),"")</f>
        <v/>
      </c>
      <c r="I210" s="145"/>
      <c r="J210" s="540" t="str">
        <f>IF(I210="","",IF(VLOOKUP(I210,'G-7 Rivers Data'!$AG$4:$AI$9,2,FALSE)=0,"Spatial Data Missing ⚠",VLOOKUP(I210,'G-7 Rivers Data'!$AG$4:$AI$9,2,FALSE)))</f>
        <v/>
      </c>
      <c r="K210" s="499" t="str">
        <f>IF(I210="","",IF(VLOOKUP(I210,'G-7 Rivers Data'!$AG$4:$AI$9,3,FALSE)=0,"Spatial Data Missing ⚠",VLOOKUP(I210,'G-7 Rivers Data'!$AG$4:$AI$9,3,FALSE)))</f>
        <v/>
      </c>
      <c r="L210" s="635" t="str">
        <f>IFERROR(INDEX('G-7 Rivers Data'!$O$3:$O$7,MATCH(G210,'G-7 Rivers Data'!$N$3:$N$7,0)),"")</f>
        <v/>
      </c>
      <c r="M210" s="72"/>
      <c r="N210" s="195"/>
      <c r="O210" s="507" t="str">
        <f t="shared" si="19"/>
        <v/>
      </c>
      <c r="P210" s="521" t="str">
        <f t="shared" si="20"/>
        <v/>
      </c>
      <c r="Q210" s="564" t="str">
        <f>IFERROR(IF(P210="Check Data ⚠","Check Data ⚠",VLOOKUP(P210,'G-4 Temporal multipliers'!$A$4:$C$37,3,FALSE)),"")</f>
        <v/>
      </c>
      <c r="R210" s="498" t="str">
        <f>IF(C210="","",VLOOKUP(C210,'G-7 Rivers Data'!$B$4:$G$8,4,FALSE))</f>
        <v/>
      </c>
      <c r="S210" s="507" t="str">
        <f t="shared" si="21"/>
        <v/>
      </c>
      <c r="T210" s="540" t="str">
        <f t="shared" si="22"/>
        <v/>
      </c>
      <c r="U210" s="499" t="str">
        <f t="shared" si="23"/>
        <v/>
      </c>
      <c r="V210" s="71"/>
      <c r="W210" s="499" t="str">
        <f>IF(V210="","",IF(VLOOKUP(V210,'G-7 Rivers Data'!$AA$4:$AB$7,2,FALSE)=0,"Spatial Data Missing ⚠",VLOOKUP(V210,'G-7 Rivers Data'!$AA$4:$AB$7,2,FALSE)))</f>
        <v/>
      </c>
      <c r="X210" s="155"/>
      <c r="Y210" s="499" t="str">
        <f>IF(X210="","",IF(VLOOKUP(X210,'G-7 Rivers Data'!$AD$4:$AE$8,2,FALSE)=0,"Enrcoachment Data Missing ⚠",VLOOKUP(X210,'G-7 Rivers Data'!$AD$4:$AE$8,2,FALSE)))</f>
        <v/>
      </c>
      <c r="Z210" s="154"/>
      <c r="AA210" s="524" t="str">
        <f>IF(Z210="","",VLOOKUP(Z210,'G-7 Rivers Data'!$AO$4:$AP$7,2,FALSE))</f>
        <v/>
      </c>
      <c r="AB210" s="545" t="str">
        <f t="shared" si="24"/>
        <v/>
      </c>
      <c r="AC210" s="149"/>
      <c r="AD210" s="150"/>
      <c r="AK210" s="31" t="str">
        <f>IFERROR(INDEX('G-7 Rivers Data'!$AZ$3:$AZ$7,MATCH(C210,'G-7 Rivers Data'!$AY$3:$AY$7,0)),"")</f>
        <v/>
      </c>
    </row>
    <row r="211" spans="2:37" ht="14" x14ac:dyDescent="0.3">
      <c r="B211" s="141">
        <v>200</v>
      </c>
      <c r="C211" s="666"/>
      <c r="D211" s="172"/>
      <c r="E211" s="498" t="str">
        <f>IF(C211="","",VLOOKUP(C211,'G-7 Rivers Data'!$B$2:$Z$9,2,FALSE))</f>
        <v/>
      </c>
      <c r="F211" s="499" t="str">
        <f>IFERROR(VLOOKUP(E211,'G-7 Rivers Data'!$C$4:$D$8,2,FALSE),"")</f>
        <v/>
      </c>
      <c r="G211" s="145"/>
      <c r="H211" s="499" t="str">
        <f>IFERROR(INDEX('G-7 Rivers Data'!$H$4:$L$8,MATCH(C211,'G-7 Rivers Data'!$B$4:$B$8,0),MATCH(G211,'G-7 Rivers Data'!$H$3:$L$3,0)),"")</f>
        <v/>
      </c>
      <c r="I211" s="145"/>
      <c r="J211" s="540" t="str">
        <f>IF(I211="","",IF(VLOOKUP(I211,'G-7 Rivers Data'!$AG$4:$AI$9,2,FALSE)=0,"Spatial Data Missing ⚠",VLOOKUP(I211,'G-7 Rivers Data'!$AG$4:$AI$9,2,FALSE)))</f>
        <v/>
      </c>
      <c r="K211" s="499" t="str">
        <f>IF(I211="","",IF(VLOOKUP(I211,'G-7 Rivers Data'!$AG$4:$AI$9,3,FALSE)=0,"Spatial Data Missing ⚠",VLOOKUP(I211,'G-7 Rivers Data'!$AG$4:$AI$9,3,FALSE)))</f>
        <v/>
      </c>
      <c r="L211" s="635" t="str">
        <f>IFERROR(INDEX('G-7 Rivers Data'!$O$3:$O$7,MATCH(G211,'G-7 Rivers Data'!$N$3:$N$7,0)),"")</f>
        <v/>
      </c>
      <c r="M211" s="72"/>
      <c r="N211" s="195"/>
      <c r="O211" s="507" t="str">
        <f t="shared" si="19"/>
        <v/>
      </c>
      <c r="P211" s="521" t="str">
        <f t="shared" si="20"/>
        <v/>
      </c>
      <c r="Q211" s="564" t="str">
        <f>IFERROR(IF(P211="Check Data ⚠","Check Data ⚠",VLOOKUP(P211,'G-4 Temporal multipliers'!$A$4:$C$37,3,FALSE)),"")</f>
        <v/>
      </c>
      <c r="R211" s="498" t="str">
        <f>IF(C211="","",VLOOKUP(C211,'G-7 Rivers Data'!$B$4:$G$8,4,FALSE))</f>
        <v/>
      </c>
      <c r="S211" s="507" t="str">
        <f t="shared" si="21"/>
        <v/>
      </c>
      <c r="T211" s="540" t="str">
        <f t="shared" si="22"/>
        <v/>
      </c>
      <c r="U211" s="499" t="str">
        <f t="shared" si="23"/>
        <v/>
      </c>
      <c r="V211" s="71"/>
      <c r="W211" s="499" t="str">
        <f>IF(V211="","",IF(VLOOKUP(V211,'G-7 Rivers Data'!$AA$4:$AB$7,2,FALSE)=0,"Spatial Data Missing ⚠",VLOOKUP(V211,'G-7 Rivers Data'!$AA$4:$AB$7,2,FALSE)))</f>
        <v/>
      </c>
      <c r="X211" s="155"/>
      <c r="Y211" s="499" t="str">
        <f>IF(X211="","",IF(VLOOKUP(X211,'G-7 Rivers Data'!$AD$4:$AE$8,2,FALSE)=0,"Enrcoachment Data Missing ⚠",VLOOKUP(X211,'G-7 Rivers Data'!$AD$4:$AE$8,2,FALSE)))</f>
        <v/>
      </c>
      <c r="Z211" s="154"/>
      <c r="AA211" s="524" t="str">
        <f>IF(Z211="","",VLOOKUP(Z211,'G-7 Rivers Data'!$AO$4:$AP$7,2,FALSE))</f>
        <v/>
      </c>
      <c r="AB211" s="545" t="str">
        <f t="shared" si="24"/>
        <v/>
      </c>
      <c r="AC211" s="149"/>
      <c r="AD211" s="150"/>
      <c r="AK211" s="31" t="str">
        <f>IFERROR(INDEX('G-7 Rivers Data'!$AZ$3:$AZ$7,MATCH(C211,'G-7 Rivers Data'!$AY$3:$AY$7,0)),"")</f>
        <v/>
      </c>
    </row>
    <row r="212" spans="2:37" ht="14" x14ac:dyDescent="0.3">
      <c r="B212" s="141">
        <v>201</v>
      </c>
      <c r="C212" s="666"/>
      <c r="D212" s="172"/>
      <c r="E212" s="498" t="str">
        <f>IF(C212="","",VLOOKUP(C212,'G-7 Rivers Data'!$B$2:$Z$9,2,FALSE))</f>
        <v/>
      </c>
      <c r="F212" s="499" t="str">
        <f>IFERROR(VLOOKUP(E212,'G-7 Rivers Data'!$C$4:$D$8,2,FALSE),"")</f>
        <v/>
      </c>
      <c r="G212" s="145"/>
      <c r="H212" s="499" t="str">
        <f>IFERROR(INDEX('G-7 Rivers Data'!$H$4:$L$8,MATCH(C212,'G-7 Rivers Data'!$B$4:$B$8,0),MATCH(G212,'G-7 Rivers Data'!$H$3:$L$3,0)),"")</f>
        <v/>
      </c>
      <c r="I212" s="145"/>
      <c r="J212" s="540" t="str">
        <f>IF(I212="","",IF(VLOOKUP(I212,'G-7 Rivers Data'!$AG$4:$AI$9,2,FALSE)=0,"Spatial Data Missing ⚠",VLOOKUP(I212,'G-7 Rivers Data'!$AG$4:$AI$9,2,FALSE)))</f>
        <v/>
      </c>
      <c r="K212" s="499" t="str">
        <f>IF(I212="","",IF(VLOOKUP(I212,'G-7 Rivers Data'!$AG$4:$AI$9,3,FALSE)=0,"Spatial Data Missing ⚠",VLOOKUP(I212,'G-7 Rivers Data'!$AG$4:$AI$9,3,FALSE)))</f>
        <v/>
      </c>
      <c r="L212" s="635" t="str">
        <f>IFERROR(INDEX('G-7 Rivers Data'!$O$3:$O$7,MATCH(G212,'G-7 Rivers Data'!$N$3:$N$7,0)),"")</f>
        <v/>
      </c>
      <c r="M212" s="72"/>
      <c r="N212" s="195"/>
      <c r="O212" s="507" t="str">
        <f t="shared" si="19"/>
        <v/>
      </c>
      <c r="P212" s="521" t="str">
        <f t="shared" si="20"/>
        <v/>
      </c>
      <c r="Q212" s="564" t="str">
        <f>IFERROR(IF(P212="Check Data ⚠","Check Data ⚠",VLOOKUP(P212,'G-4 Temporal multipliers'!$A$4:$C$37,3,FALSE)),"")</f>
        <v/>
      </c>
      <c r="R212" s="498" t="str">
        <f>IF(C212="","",VLOOKUP(C212,'G-7 Rivers Data'!$B$4:$G$8,4,FALSE))</f>
        <v/>
      </c>
      <c r="S212" s="507" t="str">
        <f t="shared" si="21"/>
        <v/>
      </c>
      <c r="T212" s="540" t="str">
        <f t="shared" si="22"/>
        <v/>
      </c>
      <c r="U212" s="499" t="str">
        <f t="shared" si="23"/>
        <v/>
      </c>
      <c r="V212" s="71"/>
      <c r="W212" s="499" t="str">
        <f>IF(V212="","",IF(VLOOKUP(V212,'G-7 Rivers Data'!$AA$4:$AB$7,2,FALSE)=0,"Spatial Data Missing ⚠",VLOOKUP(V212,'G-7 Rivers Data'!$AA$4:$AB$7,2,FALSE)))</f>
        <v/>
      </c>
      <c r="X212" s="155"/>
      <c r="Y212" s="499" t="str">
        <f>IF(X212="","",IF(VLOOKUP(X212,'G-7 Rivers Data'!$AD$4:$AE$8,2,FALSE)=0,"Enrcoachment Data Missing ⚠",VLOOKUP(X212,'G-7 Rivers Data'!$AD$4:$AE$8,2,FALSE)))</f>
        <v/>
      </c>
      <c r="Z212" s="154"/>
      <c r="AA212" s="524" t="str">
        <f>IF(Z212="","",VLOOKUP(Z212,'G-7 Rivers Data'!$AO$4:$AP$7,2,FALSE))</f>
        <v/>
      </c>
      <c r="AB212" s="545" t="str">
        <f t="shared" si="24"/>
        <v/>
      </c>
      <c r="AC212" s="149"/>
      <c r="AD212" s="150"/>
      <c r="AK212" s="31" t="str">
        <f>IFERROR(INDEX('G-7 Rivers Data'!$AZ$3:$AZ$7,MATCH(C212,'G-7 Rivers Data'!$AY$3:$AY$7,0)),"")</f>
        <v/>
      </c>
    </row>
    <row r="213" spans="2:37" ht="14" x14ac:dyDescent="0.3">
      <c r="B213" s="141">
        <v>202</v>
      </c>
      <c r="C213" s="666"/>
      <c r="D213" s="172"/>
      <c r="E213" s="498" t="str">
        <f>IF(C213="","",VLOOKUP(C213,'G-7 Rivers Data'!$B$2:$Z$9,2,FALSE))</f>
        <v/>
      </c>
      <c r="F213" s="499" t="str">
        <f>IFERROR(VLOOKUP(E213,'G-7 Rivers Data'!$C$4:$D$8,2,FALSE),"")</f>
        <v/>
      </c>
      <c r="G213" s="145"/>
      <c r="H213" s="499" t="str">
        <f>IFERROR(INDEX('G-7 Rivers Data'!$H$4:$L$8,MATCH(C213,'G-7 Rivers Data'!$B$4:$B$8,0),MATCH(G213,'G-7 Rivers Data'!$H$3:$L$3,0)),"")</f>
        <v/>
      </c>
      <c r="I213" s="145"/>
      <c r="J213" s="540" t="str">
        <f>IF(I213="","",IF(VLOOKUP(I213,'G-7 Rivers Data'!$AG$4:$AI$9,2,FALSE)=0,"Spatial Data Missing ⚠",VLOOKUP(I213,'G-7 Rivers Data'!$AG$4:$AI$9,2,FALSE)))</f>
        <v/>
      </c>
      <c r="K213" s="499" t="str">
        <f>IF(I213="","",IF(VLOOKUP(I213,'G-7 Rivers Data'!$AG$4:$AI$9,3,FALSE)=0,"Spatial Data Missing ⚠",VLOOKUP(I213,'G-7 Rivers Data'!$AG$4:$AI$9,3,FALSE)))</f>
        <v/>
      </c>
      <c r="L213" s="635" t="str">
        <f>IFERROR(INDEX('G-7 Rivers Data'!$O$3:$O$7,MATCH(G213,'G-7 Rivers Data'!$N$3:$N$7,0)),"")</f>
        <v/>
      </c>
      <c r="M213" s="72"/>
      <c r="N213" s="195"/>
      <c r="O213" s="507" t="str">
        <f t="shared" si="19"/>
        <v/>
      </c>
      <c r="P213" s="521" t="str">
        <f t="shared" si="20"/>
        <v/>
      </c>
      <c r="Q213" s="564" t="str">
        <f>IFERROR(IF(P213="Check Data ⚠","Check Data ⚠",VLOOKUP(P213,'G-4 Temporal multipliers'!$A$4:$C$37,3,FALSE)),"")</f>
        <v/>
      </c>
      <c r="R213" s="498" t="str">
        <f>IF(C213="","",VLOOKUP(C213,'G-7 Rivers Data'!$B$4:$G$8,4,FALSE))</f>
        <v/>
      </c>
      <c r="S213" s="507" t="str">
        <f t="shared" si="21"/>
        <v/>
      </c>
      <c r="T213" s="540" t="str">
        <f t="shared" si="22"/>
        <v/>
      </c>
      <c r="U213" s="499" t="str">
        <f t="shared" si="23"/>
        <v/>
      </c>
      <c r="V213" s="71"/>
      <c r="W213" s="499" t="str">
        <f>IF(V213="","",IF(VLOOKUP(V213,'G-7 Rivers Data'!$AA$4:$AB$7,2,FALSE)=0,"Spatial Data Missing ⚠",VLOOKUP(V213,'G-7 Rivers Data'!$AA$4:$AB$7,2,FALSE)))</f>
        <v/>
      </c>
      <c r="X213" s="155"/>
      <c r="Y213" s="499" t="str">
        <f>IF(X213="","",IF(VLOOKUP(X213,'G-7 Rivers Data'!$AD$4:$AE$8,2,FALSE)=0,"Enrcoachment Data Missing ⚠",VLOOKUP(X213,'G-7 Rivers Data'!$AD$4:$AE$8,2,FALSE)))</f>
        <v/>
      </c>
      <c r="Z213" s="154"/>
      <c r="AA213" s="524" t="str">
        <f>IF(Z213="","",VLOOKUP(Z213,'G-7 Rivers Data'!$AO$4:$AP$7,2,FALSE))</f>
        <v/>
      </c>
      <c r="AB213" s="545" t="str">
        <f t="shared" si="24"/>
        <v/>
      </c>
      <c r="AC213" s="149"/>
      <c r="AD213" s="150"/>
      <c r="AK213" s="31" t="str">
        <f>IFERROR(INDEX('G-7 Rivers Data'!$AZ$3:$AZ$7,MATCH(C213,'G-7 Rivers Data'!$AY$3:$AY$7,0)),"")</f>
        <v/>
      </c>
    </row>
    <row r="214" spans="2:37" ht="14" x14ac:dyDescent="0.3">
      <c r="B214" s="141">
        <v>203</v>
      </c>
      <c r="C214" s="666"/>
      <c r="D214" s="172"/>
      <c r="E214" s="498" t="str">
        <f>IF(C214="","",VLOOKUP(C214,'G-7 Rivers Data'!$B$2:$Z$9,2,FALSE))</f>
        <v/>
      </c>
      <c r="F214" s="499" t="str">
        <f>IFERROR(VLOOKUP(E214,'G-7 Rivers Data'!$C$4:$D$8,2,FALSE),"")</f>
        <v/>
      </c>
      <c r="G214" s="145"/>
      <c r="H214" s="499" t="str">
        <f>IFERROR(INDEX('G-7 Rivers Data'!$H$4:$L$8,MATCH(C214,'G-7 Rivers Data'!$B$4:$B$8,0),MATCH(G214,'G-7 Rivers Data'!$H$3:$L$3,0)),"")</f>
        <v/>
      </c>
      <c r="I214" s="145"/>
      <c r="J214" s="540" t="str">
        <f>IF(I214="","",IF(VLOOKUP(I214,'G-7 Rivers Data'!$AG$4:$AI$9,2,FALSE)=0,"Spatial Data Missing ⚠",VLOOKUP(I214,'G-7 Rivers Data'!$AG$4:$AI$9,2,FALSE)))</f>
        <v/>
      </c>
      <c r="K214" s="499" t="str">
        <f>IF(I214="","",IF(VLOOKUP(I214,'G-7 Rivers Data'!$AG$4:$AI$9,3,FALSE)=0,"Spatial Data Missing ⚠",VLOOKUP(I214,'G-7 Rivers Data'!$AG$4:$AI$9,3,FALSE)))</f>
        <v/>
      </c>
      <c r="L214" s="635" t="str">
        <f>IFERROR(INDEX('G-7 Rivers Data'!$O$3:$O$7,MATCH(G214,'G-7 Rivers Data'!$N$3:$N$7,0)),"")</f>
        <v/>
      </c>
      <c r="M214" s="72"/>
      <c r="N214" s="195"/>
      <c r="O214" s="507" t="str">
        <f t="shared" si="19"/>
        <v/>
      </c>
      <c r="P214" s="521" t="str">
        <f t="shared" si="20"/>
        <v/>
      </c>
      <c r="Q214" s="564" t="str">
        <f>IFERROR(IF(P214="Check Data ⚠","Check Data ⚠",VLOOKUP(P214,'G-4 Temporal multipliers'!$A$4:$C$37,3,FALSE)),"")</f>
        <v/>
      </c>
      <c r="R214" s="498" t="str">
        <f>IF(C214="","",VLOOKUP(C214,'G-7 Rivers Data'!$B$4:$G$8,4,FALSE))</f>
        <v/>
      </c>
      <c r="S214" s="507" t="str">
        <f t="shared" si="21"/>
        <v/>
      </c>
      <c r="T214" s="540" t="str">
        <f t="shared" si="22"/>
        <v/>
      </c>
      <c r="U214" s="499" t="str">
        <f t="shared" si="23"/>
        <v/>
      </c>
      <c r="V214" s="71"/>
      <c r="W214" s="499" t="str">
        <f>IF(V214="","",IF(VLOOKUP(V214,'G-7 Rivers Data'!$AA$4:$AB$7,2,FALSE)=0,"Spatial Data Missing ⚠",VLOOKUP(V214,'G-7 Rivers Data'!$AA$4:$AB$7,2,FALSE)))</f>
        <v/>
      </c>
      <c r="X214" s="155"/>
      <c r="Y214" s="499" t="str">
        <f>IF(X214="","",IF(VLOOKUP(X214,'G-7 Rivers Data'!$AD$4:$AE$8,2,FALSE)=0,"Enrcoachment Data Missing ⚠",VLOOKUP(X214,'G-7 Rivers Data'!$AD$4:$AE$8,2,FALSE)))</f>
        <v/>
      </c>
      <c r="Z214" s="154"/>
      <c r="AA214" s="524" t="str">
        <f>IF(Z214="","",VLOOKUP(Z214,'G-7 Rivers Data'!$AO$4:$AP$7,2,FALSE))</f>
        <v/>
      </c>
      <c r="AB214" s="545" t="str">
        <f t="shared" si="24"/>
        <v/>
      </c>
      <c r="AC214" s="149"/>
      <c r="AD214" s="150"/>
      <c r="AK214" s="31" t="str">
        <f>IFERROR(INDEX('G-7 Rivers Data'!$AZ$3:$AZ$7,MATCH(C214,'G-7 Rivers Data'!$AY$3:$AY$7,0)),"")</f>
        <v/>
      </c>
    </row>
    <row r="215" spans="2:37" ht="14" x14ac:dyDescent="0.3">
      <c r="B215" s="141">
        <v>204</v>
      </c>
      <c r="C215" s="666"/>
      <c r="D215" s="172"/>
      <c r="E215" s="498" t="str">
        <f>IF(C215="","",VLOOKUP(C215,'G-7 Rivers Data'!$B$2:$Z$9,2,FALSE))</f>
        <v/>
      </c>
      <c r="F215" s="499" t="str">
        <f>IFERROR(VLOOKUP(E215,'G-7 Rivers Data'!$C$4:$D$8,2,FALSE),"")</f>
        <v/>
      </c>
      <c r="G215" s="145"/>
      <c r="H215" s="499" t="str">
        <f>IFERROR(INDEX('G-7 Rivers Data'!$H$4:$L$8,MATCH(C215,'G-7 Rivers Data'!$B$4:$B$8,0),MATCH(G215,'G-7 Rivers Data'!$H$3:$L$3,0)),"")</f>
        <v/>
      </c>
      <c r="I215" s="145"/>
      <c r="J215" s="540" t="str">
        <f>IF(I215="","",IF(VLOOKUP(I215,'G-7 Rivers Data'!$AG$4:$AI$9,2,FALSE)=0,"Spatial Data Missing ⚠",VLOOKUP(I215,'G-7 Rivers Data'!$AG$4:$AI$9,2,FALSE)))</f>
        <v/>
      </c>
      <c r="K215" s="499" t="str">
        <f>IF(I215="","",IF(VLOOKUP(I215,'G-7 Rivers Data'!$AG$4:$AI$9,3,FALSE)=0,"Spatial Data Missing ⚠",VLOOKUP(I215,'G-7 Rivers Data'!$AG$4:$AI$9,3,FALSE)))</f>
        <v/>
      </c>
      <c r="L215" s="635" t="str">
        <f>IFERROR(INDEX('G-7 Rivers Data'!$O$3:$O$7,MATCH(G215,'G-7 Rivers Data'!$N$3:$N$7,0)),"")</f>
        <v/>
      </c>
      <c r="M215" s="72"/>
      <c r="N215" s="195"/>
      <c r="O215" s="507" t="str">
        <f t="shared" si="19"/>
        <v/>
      </c>
      <c r="P215" s="521" t="str">
        <f t="shared" si="20"/>
        <v/>
      </c>
      <c r="Q215" s="564" t="str">
        <f>IFERROR(IF(P215="Check Data ⚠","Check Data ⚠",VLOOKUP(P215,'G-4 Temporal multipliers'!$A$4:$C$37,3,FALSE)),"")</f>
        <v/>
      </c>
      <c r="R215" s="498" t="str">
        <f>IF(C215="","",VLOOKUP(C215,'G-7 Rivers Data'!$B$4:$G$8,4,FALSE))</f>
        <v/>
      </c>
      <c r="S215" s="507" t="str">
        <f t="shared" si="21"/>
        <v/>
      </c>
      <c r="T215" s="540" t="str">
        <f t="shared" si="22"/>
        <v/>
      </c>
      <c r="U215" s="499" t="str">
        <f t="shared" si="23"/>
        <v/>
      </c>
      <c r="V215" s="71"/>
      <c r="W215" s="499" t="str">
        <f>IF(V215="","",IF(VLOOKUP(V215,'G-7 Rivers Data'!$AA$4:$AB$7,2,FALSE)=0,"Spatial Data Missing ⚠",VLOOKUP(V215,'G-7 Rivers Data'!$AA$4:$AB$7,2,FALSE)))</f>
        <v/>
      </c>
      <c r="X215" s="155"/>
      <c r="Y215" s="499" t="str">
        <f>IF(X215="","",IF(VLOOKUP(X215,'G-7 Rivers Data'!$AD$4:$AE$8,2,FALSE)=0,"Enrcoachment Data Missing ⚠",VLOOKUP(X215,'G-7 Rivers Data'!$AD$4:$AE$8,2,FALSE)))</f>
        <v/>
      </c>
      <c r="Z215" s="154"/>
      <c r="AA215" s="524" t="str">
        <f>IF(Z215="","",VLOOKUP(Z215,'G-7 Rivers Data'!$AO$4:$AP$7,2,FALSE))</f>
        <v/>
      </c>
      <c r="AB215" s="545" t="str">
        <f t="shared" si="24"/>
        <v/>
      </c>
      <c r="AC215" s="149"/>
      <c r="AD215" s="150"/>
      <c r="AK215" s="31" t="str">
        <f>IFERROR(INDEX('G-7 Rivers Data'!$AZ$3:$AZ$7,MATCH(C215,'G-7 Rivers Data'!$AY$3:$AY$7,0)),"")</f>
        <v/>
      </c>
    </row>
    <row r="216" spans="2:37" ht="14" x14ac:dyDescent="0.3">
      <c r="B216" s="141">
        <v>205</v>
      </c>
      <c r="C216" s="666"/>
      <c r="D216" s="172"/>
      <c r="E216" s="498" t="str">
        <f>IF(C216="","",VLOOKUP(C216,'G-7 Rivers Data'!$B$2:$Z$9,2,FALSE))</f>
        <v/>
      </c>
      <c r="F216" s="499" t="str">
        <f>IFERROR(VLOOKUP(E216,'G-7 Rivers Data'!$C$4:$D$8,2,FALSE),"")</f>
        <v/>
      </c>
      <c r="G216" s="145"/>
      <c r="H216" s="499" t="str">
        <f>IFERROR(INDEX('G-7 Rivers Data'!$H$4:$L$8,MATCH(C216,'G-7 Rivers Data'!$B$4:$B$8,0),MATCH(G216,'G-7 Rivers Data'!$H$3:$L$3,0)),"")</f>
        <v/>
      </c>
      <c r="I216" s="145"/>
      <c r="J216" s="540" t="str">
        <f>IF(I216="","",IF(VLOOKUP(I216,'G-7 Rivers Data'!$AG$4:$AI$9,2,FALSE)=0,"Spatial Data Missing ⚠",VLOOKUP(I216,'G-7 Rivers Data'!$AG$4:$AI$9,2,FALSE)))</f>
        <v/>
      </c>
      <c r="K216" s="499" t="str">
        <f>IF(I216="","",IF(VLOOKUP(I216,'G-7 Rivers Data'!$AG$4:$AI$9,3,FALSE)=0,"Spatial Data Missing ⚠",VLOOKUP(I216,'G-7 Rivers Data'!$AG$4:$AI$9,3,FALSE)))</f>
        <v/>
      </c>
      <c r="L216" s="635" t="str">
        <f>IFERROR(INDEX('G-7 Rivers Data'!$O$3:$O$7,MATCH(G216,'G-7 Rivers Data'!$N$3:$N$7,0)),"")</f>
        <v/>
      </c>
      <c r="M216" s="72"/>
      <c r="N216" s="195"/>
      <c r="O216" s="507" t="str">
        <f t="shared" si="19"/>
        <v/>
      </c>
      <c r="P216" s="521" t="str">
        <f t="shared" si="20"/>
        <v/>
      </c>
      <c r="Q216" s="564" t="str">
        <f>IFERROR(IF(P216="Check Data ⚠","Check Data ⚠",VLOOKUP(P216,'G-4 Temporal multipliers'!$A$4:$C$37,3,FALSE)),"")</f>
        <v/>
      </c>
      <c r="R216" s="498" t="str">
        <f>IF(C216="","",VLOOKUP(C216,'G-7 Rivers Data'!$B$4:$G$8,4,FALSE))</f>
        <v/>
      </c>
      <c r="S216" s="507" t="str">
        <f t="shared" si="21"/>
        <v/>
      </c>
      <c r="T216" s="540" t="str">
        <f t="shared" si="22"/>
        <v/>
      </c>
      <c r="U216" s="499" t="str">
        <f t="shared" si="23"/>
        <v/>
      </c>
      <c r="V216" s="71"/>
      <c r="W216" s="499" t="str">
        <f>IF(V216="","",IF(VLOOKUP(V216,'G-7 Rivers Data'!$AA$4:$AB$7,2,FALSE)=0,"Spatial Data Missing ⚠",VLOOKUP(V216,'G-7 Rivers Data'!$AA$4:$AB$7,2,FALSE)))</f>
        <v/>
      </c>
      <c r="X216" s="155"/>
      <c r="Y216" s="499" t="str">
        <f>IF(X216="","",IF(VLOOKUP(X216,'G-7 Rivers Data'!$AD$4:$AE$8,2,FALSE)=0,"Enrcoachment Data Missing ⚠",VLOOKUP(X216,'G-7 Rivers Data'!$AD$4:$AE$8,2,FALSE)))</f>
        <v/>
      </c>
      <c r="Z216" s="154"/>
      <c r="AA216" s="524" t="str">
        <f>IF(Z216="","",VLOOKUP(Z216,'G-7 Rivers Data'!$AO$4:$AP$7,2,FALSE))</f>
        <v/>
      </c>
      <c r="AB216" s="545" t="str">
        <f t="shared" si="24"/>
        <v/>
      </c>
      <c r="AC216" s="149"/>
      <c r="AD216" s="150"/>
      <c r="AK216" s="31" t="str">
        <f>IFERROR(INDEX('G-7 Rivers Data'!$AZ$3:$AZ$7,MATCH(C216,'G-7 Rivers Data'!$AY$3:$AY$7,0)),"")</f>
        <v/>
      </c>
    </row>
    <row r="217" spans="2:37" ht="14" x14ac:dyDescent="0.3">
      <c r="B217" s="141">
        <v>206</v>
      </c>
      <c r="C217" s="666"/>
      <c r="D217" s="172"/>
      <c r="E217" s="498" t="str">
        <f>IF(C217="","",VLOOKUP(C217,'G-7 Rivers Data'!$B$2:$Z$9,2,FALSE))</f>
        <v/>
      </c>
      <c r="F217" s="499" t="str">
        <f>IFERROR(VLOOKUP(E217,'G-7 Rivers Data'!$C$4:$D$8,2,FALSE),"")</f>
        <v/>
      </c>
      <c r="G217" s="145"/>
      <c r="H217" s="499" t="str">
        <f>IFERROR(INDEX('G-7 Rivers Data'!$H$4:$L$8,MATCH(C217,'G-7 Rivers Data'!$B$4:$B$8,0),MATCH(G217,'G-7 Rivers Data'!$H$3:$L$3,0)),"")</f>
        <v/>
      </c>
      <c r="I217" s="145"/>
      <c r="J217" s="540" t="str">
        <f>IF(I217="","",IF(VLOOKUP(I217,'G-7 Rivers Data'!$AG$4:$AI$9,2,FALSE)=0,"Spatial Data Missing ⚠",VLOOKUP(I217,'G-7 Rivers Data'!$AG$4:$AI$9,2,FALSE)))</f>
        <v/>
      </c>
      <c r="K217" s="499" t="str">
        <f>IF(I217="","",IF(VLOOKUP(I217,'G-7 Rivers Data'!$AG$4:$AI$9,3,FALSE)=0,"Spatial Data Missing ⚠",VLOOKUP(I217,'G-7 Rivers Data'!$AG$4:$AI$9,3,FALSE)))</f>
        <v/>
      </c>
      <c r="L217" s="635" t="str">
        <f>IFERROR(INDEX('G-7 Rivers Data'!$O$3:$O$7,MATCH(G217,'G-7 Rivers Data'!$N$3:$N$7,0)),"")</f>
        <v/>
      </c>
      <c r="M217" s="72"/>
      <c r="N217" s="195"/>
      <c r="O217" s="507" t="str">
        <f t="shared" si="19"/>
        <v/>
      </c>
      <c r="P217" s="521" t="str">
        <f t="shared" si="20"/>
        <v/>
      </c>
      <c r="Q217" s="564" t="str">
        <f>IFERROR(IF(P217="Check Data ⚠","Check Data ⚠",VLOOKUP(P217,'G-4 Temporal multipliers'!$A$4:$C$37,3,FALSE)),"")</f>
        <v/>
      </c>
      <c r="R217" s="498" t="str">
        <f>IF(C217="","",VLOOKUP(C217,'G-7 Rivers Data'!$B$4:$G$8,4,FALSE))</f>
        <v/>
      </c>
      <c r="S217" s="507" t="str">
        <f t="shared" si="21"/>
        <v/>
      </c>
      <c r="T217" s="540" t="str">
        <f t="shared" si="22"/>
        <v/>
      </c>
      <c r="U217" s="499" t="str">
        <f t="shared" si="23"/>
        <v/>
      </c>
      <c r="V217" s="71"/>
      <c r="W217" s="499" t="str">
        <f>IF(V217="","",IF(VLOOKUP(V217,'G-7 Rivers Data'!$AA$4:$AB$7,2,FALSE)=0,"Spatial Data Missing ⚠",VLOOKUP(V217,'G-7 Rivers Data'!$AA$4:$AB$7,2,FALSE)))</f>
        <v/>
      </c>
      <c r="X217" s="155"/>
      <c r="Y217" s="499" t="str">
        <f>IF(X217="","",IF(VLOOKUP(X217,'G-7 Rivers Data'!$AD$4:$AE$8,2,FALSE)=0,"Enrcoachment Data Missing ⚠",VLOOKUP(X217,'G-7 Rivers Data'!$AD$4:$AE$8,2,FALSE)))</f>
        <v/>
      </c>
      <c r="Z217" s="154"/>
      <c r="AA217" s="524" t="str">
        <f>IF(Z217="","",VLOOKUP(Z217,'G-7 Rivers Data'!$AO$4:$AP$7,2,FALSE))</f>
        <v/>
      </c>
      <c r="AB217" s="545" t="str">
        <f t="shared" si="24"/>
        <v/>
      </c>
      <c r="AC217" s="149"/>
      <c r="AD217" s="150"/>
      <c r="AK217" s="31" t="str">
        <f>IFERROR(INDEX('G-7 Rivers Data'!$AZ$3:$AZ$7,MATCH(C217,'G-7 Rivers Data'!$AY$3:$AY$7,0)),"")</f>
        <v/>
      </c>
    </row>
    <row r="218" spans="2:37" ht="14" x14ac:dyDescent="0.3">
      <c r="B218" s="141">
        <v>207</v>
      </c>
      <c r="C218" s="666"/>
      <c r="D218" s="172"/>
      <c r="E218" s="498" t="str">
        <f>IF(C218="","",VLOOKUP(C218,'G-7 Rivers Data'!$B$2:$Z$9,2,FALSE))</f>
        <v/>
      </c>
      <c r="F218" s="499" t="str">
        <f>IFERROR(VLOOKUP(E218,'G-7 Rivers Data'!$C$4:$D$8,2,FALSE),"")</f>
        <v/>
      </c>
      <c r="G218" s="145"/>
      <c r="H218" s="499" t="str">
        <f>IFERROR(INDEX('G-7 Rivers Data'!$H$4:$L$8,MATCH(C218,'G-7 Rivers Data'!$B$4:$B$8,0),MATCH(G218,'G-7 Rivers Data'!$H$3:$L$3,0)),"")</f>
        <v/>
      </c>
      <c r="I218" s="145"/>
      <c r="J218" s="540" t="str">
        <f>IF(I218="","",IF(VLOOKUP(I218,'G-7 Rivers Data'!$AG$4:$AI$9,2,FALSE)=0,"Spatial Data Missing ⚠",VLOOKUP(I218,'G-7 Rivers Data'!$AG$4:$AI$9,2,FALSE)))</f>
        <v/>
      </c>
      <c r="K218" s="499" t="str">
        <f>IF(I218="","",IF(VLOOKUP(I218,'G-7 Rivers Data'!$AG$4:$AI$9,3,FALSE)=0,"Spatial Data Missing ⚠",VLOOKUP(I218,'G-7 Rivers Data'!$AG$4:$AI$9,3,FALSE)))</f>
        <v/>
      </c>
      <c r="L218" s="635" t="str">
        <f>IFERROR(INDEX('G-7 Rivers Data'!$O$3:$O$7,MATCH(G218,'G-7 Rivers Data'!$N$3:$N$7,0)),"")</f>
        <v/>
      </c>
      <c r="M218" s="72"/>
      <c r="N218" s="195"/>
      <c r="O218" s="507" t="str">
        <f t="shared" si="19"/>
        <v/>
      </c>
      <c r="P218" s="521" t="str">
        <f t="shared" si="20"/>
        <v/>
      </c>
      <c r="Q218" s="564" t="str">
        <f>IFERROR(IF(P218="Check Data ⚠","Check Data ⚠",VLOOKUP(P218,'G-4 Temporal multipliers'!$A$4:$C$37,3,FALSE)),"")</f>
        <v/>
      </c>
      <c r="R218" s="498" t="str">
        <f>IF(C218="","",VLOOKUP(C218,'G-7 Rivers Data'!$B$4:$G$8,4,FALSE))</f>
        <v/>
      </c>
      <c r="S218" s="507" t="str">
        <f t="shared" si="21"/>
        <v/>
      </c>
      <c r="T218" s="540" t="str">
        <f t="shared" si="22"/>
        <v/>
      </c>
      <c r="U218" s="499" t="str">
        <f t="shared" si="23"/>
        <v/>
      </c>
      <c r="V218" s="71"/>
      <c r="W218" s="499" t="str">
        <f>IF(V218="","",IF(VLOOKUP(V218,'G-7 Rivers Data'!$AA$4:$AB$7,2,FALSE)=0,"Spatial Data Missing ⚠",VLOOKUP(V218,'G-7 Rivers Data'!$AA$4:$AB$7,2,FALSE)))</f>
        <v/>
      </c>
      <c r="X218" s="155"/>
      <c r="Y218" s="499" t="str">
        <f>IF(X218="","",IF(VLOOKUP(X218,'G-7 Rivers Data'!$AD$4:$AE$8,2,FALSE)=0,"Enrcoachment Data Missing ⚠",VLOOKUP(X218,'G-7 Rivers Data'!$AD$4:$AE$8,2,FALSE)))</f>
        <v/>
      </c>
      <c r="Z218" s="154"/>
      <c r="AA218" s="524" t="str">
        <f>IF(Z218="","",VLOOKUP(Z218,'G-7 Rivers Data'!$AO$4:$AP$7,2,FALSE))</f>
        <v/>
      </c>
      <c r="AB218" s="545" t="str">
        <f t="shared" si="24"/>
        <v/>
      </c>
      <c r="AC218" s="149"/>
      <c r="AD218" s="150"/>
      <c r="AK218" s="31" t="str">
        <f>IFERROR(INDEX('G-7 Rivers Data'!$AZ$3:$AZ$7,MATCH(C218,'G-7 Rivers Data'!$AY$3:$AY$7,0)),"")</f>
        <v/>
      </c>
    </row>
    <row r="219" spans="2:37" ht="14" x14ac:dyDescent="0.3">
      <c r="B219" s="141">
        <v>208</v>
      </c>
      <c r="C219" s="666"/>
      <c r="D219" s="172"/>
      <c r="E219" s="498" t="str">
        <f>IF(C219="","",VLOOKUP(C219,'G-7 Rivers Data'!$B$2:$Z$9,2,FALSE))</f>
        <v/>
      </c>
      <c r="F219" s="499" t="str">
        <f>IFERROR(VLOOKUP(E219,'G-7 Rivers Data'!$C$4:$D$8,2,FALSE),"")</f>
        <v/>
      </c>
      <c r="G219" s="145"/>
      <c r="H219" s="499" t="str">
        <f>IFERROR(INDEX('G-7 Rivers Data'!$H$4:$L$8,MATCH(C219,'G-7 Rivers Data'!$B$4:$B$8,0),MATCH(G219,'G-7 Rivers Data'!$H$3:$L$3,0)),"")</f>
        <v/>
      </c>
      <c r="I219" s="145"/>
      <c r="J219" s="540" t="str">
        <f>IF(I219="","",IF(VLOOKUP(I219,'G-7 Rivers Data'!$AG$4:$AI$9,2,FALSE)=0,"Spatial Data Missing ⚠",VLOOKUP(I219,'G-7 Rivers Data'!$AG$4:$AI$9,2,FALSE)))</f>
        <v/>
      </c>
      <c r="K219" s="499" t="str">
        <f>IF(I219="","",IF(VLOOKUP(I219,'G-7 Rivers Data'!$AG$4:$AI$9,3,FALSE)=0,"Spatial Data Missing ⚠",VLOOKUP(I219,'G-7 Rivers Data'!$AG$4:$AI$9,3,FALSE)))</f>
        <v/>
      </c>
      <c r="L219" s="635" t="str">
        <f>IFERROR(INDEX('G-7 Rivers Data'!$O$3:$O$7,MATCH(G219,'G-7 Rivers Data'!$N$3:$N$7,0)),"")</f>
        <v/>
      </c>
      <c r="M219" s="72"/>
      <c r="N219" s="195"/>
      <c r="O219" s="507" t="str">
        <f t="shared" si="19"/>
        <v/>
      </c>
      <c r="P219" s="521" t="str">
        <f t="shared" si="20"/>
        <v/>
      </c>
      <c r="Q219" s="564" t="str">
        <f>IFERROR(IF(P219="Check Data ⚠","Check Data ⚠",VLOOKUP(P219,'G-4 Temporal multipliers'!$A$4:$C$37,3,FALSE)),"")</f>
        <v/>
      </c>
      <c r="R219" s="498" t="str">
        <f>IF(C219="","",VLOOKUP(C219,'G-7 Rivers Data'!$B$4:$G$8,4,FALSE))</f>
        <v/>
      </c>
      <c r="S219" s="507" t="str">
        <f t="shared" si="21"/>
        <v/>
      </c>
      <c r="T219" s="540" t="str">
        <f t="shared" si="22"/>
        <v/>
      </c>
      <c r="U219" s="499" t="str">
        <f t="shared" si="23"/>
        <v/>
      </c>
      <c r="V219" s="71"/>
      <c r="W219" s="499" t="str">
        <f>IF(V219="","",IF(VLOOKUP(V219,'G-7 Rivers Data'!$AA$4:$AB$7,2,FALSE)=0,"Spatial Data Missing ⚠",VLOOKUP(V219,'G-7 Rivers Data'!$AA$4:$AB$7,2,FALSE)))</f>
        <v/>
      </c>
      <c r="X219" s="155"/>
      <c r="Y219" s="499" t="str">
        <f>IF(X219="","",IF(VLOOKUP(X219,'G-7 Rivers Data'!$AD$4:$AE$8,2,FALSE)=0,"Enrcoachment Data Missing ⚠",VLOOKUP(X219,'G-7 Rivers Data'!$AD$4:$AE$8,2,FALSE)))</f>
        <v/>
      </c>
      <c r="Z219" s="154"/>
      <c r="AA219" s="524" t="str">
        <f>IF(Z219="","",VLOOKUP(Z219,'G-7 Rivers Data'!$AO$4:$AP$7,2,FALSE))</f>
        <v/>
      </c>
      <c r="AB219" s="545" t="str">
        <f t="shared" si="24"/>
        <v/>
      </c>
      <c r="AC219" s="149"/>
      <c r="AD219" s="150"/>
      <c r="AK219" s="31" t="str">
        <f>IFERROR(INDEX('G-7 Rivers Data'!$AZ$3:$AZ$7,MATCH(C219,'G-7 Rivers Data'!$AY$3:$AY$7,0)),"")</f>
        <v/>
      </c>
    </row>
    <row r="220" spans="2:37" ht="14" x14ac:dyDescent="0.3">
      <c r="B220" s="141">
        <v>209</v>
      </c>
      <c r="C220" s="666"/>
      <c r="D220" s="172"/>
      <c r="E220" s="498" t="str">
        <f>IF(C220="","",VLOOKUP(C220,'G-7 Rivers Data'!$B$2:$Z$9,2,FALSE))</f>
        <v/>
      </c>
      <c r="F220" s="499" t="str">
        <f>IFERROR(VLOOKUP(E220,'G-7 Rivers Data'!$C$4:$D$8,2,FALSE),"")</f>
        <v/>
      </c>
      <c r="G220" s="145"/>
      <c r="H220" s="499" t="str">
        <f>IFERROR(INDEX('G-7 Rivers Data'!$H$4:$L$8,MATCH(C220,'G-7 Rivers Data'!$B$4:$B$8,0),MATCH(G220,'G-7 Rivers Data'!$H$3:$L$3,0)),"")</f>
        <v/>
      </c>
      <c r="I220" s="145"/>
      <c r="J220" s="540" t="str">
        <f>IF(I220="","",IF(VLOOKUP(I220,'G-7 Rivers Data'!$AG$4:$AI$9,2,FALSE)=0,"Spatial Data Missing ⚠",VLOOKUP(I220,'G-7 Rivers Data'!$AG$4:$AI$9,2,FALSE)))</f>
        <v/>
      </c>
      <c r="K220" s="499" t="str">
        <f>IF(I220="","",IF(VLOOKUP(I220,'G-7 Rivers Data'!$AG$4:$AI$9,3,FALSE)=0,"Spatial Data Missing ⚠",VLOOKUP(I220,'G-7 Rivers Data'!$AG$4:$AI$9,3,FALSE)))</f>
        <v/>
      </c>
      <c r="L220" s="635" t="str">
        <f>IFERROR(INDEX('G-7 Rivers Data'!$O$3:$O$7,MATCH(G220,'G-7 Rivers Data'!$N$3:$N$7,0)),"")</f>
        <v/>
      </c>
      <c r="M220" s="72"/>
      <c r="N220" s="195"/>
      <c r="O220" s="507" t="str">
        <f t="shared" si="19"/>
        <v/>
      </c>
      <c r="P220" s="521" t="str">
        <f t="shared" si="20"/>
        <v/>
      </c>
      <c r="Q220" s="564" t="str">
        <f>IFERROR(IF(P220="Check Data ⚠","Check Data ⚠",VLOOKUP(P220,'G-4 Temporal multipliers'!$A$4:$C$37,3,FALSE)),"")</f>
        <v/>
      </c>
      <c r="R220" s="498" t="str">
        <f>IF(C220="","",VLOOKUP(C220,'G-7 Rivers Data'!$B$4:$G$8,4,FALSE))</f>
        <v/>
      </c>
      <c r="S220" s="507" t="str">
        <f t="shared" si="21"/>
        <v/>
      </c>
      <c r="T220" s="540" t="str">
        <f t="shared" si="22"/>
        <v/>
      </c>
      <c r="U220" s="499" t="str">
        <f t="shared" si="23"/>
        <v/>
      </c>
      <c r="V220" s="71"/>
      <c r="W220" s="499" t="str">
        <f>IF(V220="","",IF(VLOOKUP(V220,'G-7 Rivers Data'!$AA$4:$AB$7,2,FALSE)=0,"Spatial Data Missing ⚠",VLOOKUP(V220,'G-7 Rivers Data'!$AA$4:$AB$7,2,FALSE)))</f>
        <v/>
      </c>
      <c r="X220" s="155"/>
      <c r="Y220" s="499" t="str">
        <f>IF(X220="","",IF(VLOOKUP(X220,'G-7 Rivers Data'!$AD$4:$AE$8,2,FALSE)=0,"Enrcoachment Data Missing ⚠",VLOOKUP(X220,'G-7 Rivers Data'!$AD$4:$AE$8,2,FALSE)))</f>
        <v/>
      </c>
      <c r="Z220" s="154"/>
      <c r="AA220" s="524" t="str">
        <f>IF(Z220="","",VLOOKUP(Z220,'G-7 Rivers Data'!$AO$4:$AP$7,2,FALSE))</f>
        <v/>
      </c>
      <c r="AB220" s="545" t="str">
        <f t="shared" si="24"/>
        <v/>
      </c>
      <c r="AC220" s="149"/>
      <c r="AD220" s="150"/>
      <c r="AK220" s="31" t="str">
        <f>IFERROR(INDEX('G-7 Rivers Data'!$AZ$3:$AZ$7,MATCH(C220,'G-7 Rivers Data'!$AY$3:$AY$7,0)),"")</f>
        <v/>
      </c>
    </row>
    <row r="221" spans="2:37" ht="14" x14ac:dyDescent="0.3">
      <c r="B221" s="141">
        <v>210</v>
      </c>
      <c r="C221" s="666"/>
      <c r="D221" s="172"/>
      <c r="E221" s="498" t="str">
        <f>IF(C221="","",VLOOKUP(C221,'G-7 Rivers Data'!$B$2:$Z$9,2,FALSE))</f>
        <v/>
      </c>
      <c r="F221" s="499" t="str">
        <f>IFERROR(VLOOKUP(E221,'G-7 Rivers Data'!$C$4:$D$8,2,FALSE),"")</f>
        <v/>
      </c>
      <c r="G221" s="145"/>
      <c r="H221" s="499" t="str">
        <f>IFERROR(INDEX('G-7 Rivers Data'!$H$4:$L$8,MATCH(C221,'G-7 Rivers Data'!$B$4:$B$8,0),MATCH(G221,'G-7 Rivers Data'!$H$3:$L$3,0)),"")</f>
        <v/>
      </c>
      <c r="I221" s="145"/>
      <c r="J221" s="540" t="str">
        <f>IF(I221="","",IF(VLOOKUP(I221,'G-7 Rivers Data'!$AG$4:$AI$9,2,FALSE)=0,"Spatial Data Missing ⚠",VLOOKUP(I221,'G-7 Rivers Data'!$AG$4:$AI$9,2,FALSE)))</f>
        <v/>
      </c>
      <c r="K221" s="499" t="str">
        <f>IF(I221="","",IF(VLOOKUP(I221,'G-7 Rivers Data'!$AG$4:$AI$9,3,FALSE)=0,"Spatial Data Missing ⚠",VLOOKUP(I221,'G-7 Rivers Data'!$AG$4:$AI$9,3,FALSE)))</f>
        <v/>
      </c>
      <c r="L221" s="635" t="str">
        <f>IFERROR(INDEX('G-7 Rivers Data'!$O$3:$O$7,MATCH(G221,'G-7 Rivers Data'!$N$3:$N$7,0)),"")</f>
        <v/>
      </c>
      <c r="M221" s="72"/>
      <c r="N221" s="195"/>
      <c r="O221" s="507" t="str">
        <f t="shared" si="19"/>
        <v/>
      </c>
      <c r="P221" s="521" t="str">
        <f t="shared" si="20"/>
        <v/>
      </c>
      <c r="Q221" s="564" t="str">
        <f>IFERROR(IF(P221="Check Data ⚠","Check Data ⚠",VLOOKUP(P221,'G-4 Temporal multipliers'!$A$4:$C$37,3,FALSE)),"")</f>
        <v/>
      </c>
      <c r="R221" s="498" t="str">
        <f>IF(C221="","",VLOOKUP(C221,'G-7 Rivers Data'!$B$4:$G$8,4,FALSE))</f>
        <v/>
      </c>
      <c r="S221" s="507" t="str">
        <f t="shared" si="21"/>
        <v/>
      </c>
      <c r="T221" s="540" t="str">
        <f t="shared" si="22"/>
        <v/>
      </c>
      <c r="U221" s="499" t="str">
        <f t="shared" si="23"/>
        <v/>
      </c>
      <c r="V221" s="71"/>
      <c r="W221" s="499" t="str">
        <f>IF(V221="","",IF(VLOOKUP(V221,'G-7 Rivers Data'!$AA$4:$AB$7,2,FALSE)=0,"Spatial Data Missing ⚠",VLOOKUP(V221,'G-7 Rivers Data'!$AA$4:$AB$7,2,FALSE)))</f>
        <v/>
      </c>
      <c r="X221" s="155"/>
      <c r="Y221" s="499" t="str">
        <f>IF(X221="","",IF(VLOOKUP(X221,'G-7 Rivers Data'!$AD$4:$AE$8,2,FALSE)=0,"Enrcoachment Data Missing ⚠",VLOOKUP(X221,'G-7 Rivers Data'!$AD$4:$AE$8,2,FALSE)))</f>
        <v/>
      </c>
      <c r="Z221" s="154"/>
      <c r="AA221" s="524" t="str">
        <f>IF(Z221="","",VLOOKUP(Z221,'G-7 Rivers Data'!$AO$4:$AP$7,2,FALSE))</f>
        <v/>
      </c>
      <c r="AB221" s="545" t="str">
        <f t="shared" si="24"/>
        <v/>
      </c>
      <c r="AC221" s="149"/>
      <c r="AD221" s="150"/>
      <c r="AK221" s="31" t="str">
        <f>IFERROR(INDEX('G-7 Rivers Data'!$AZ$3:$AZ$7,MATCH(C221,'G-7 Rivers Data'!$AY$3:$AY$7,0)),"")</f>
        <v/>
      </c>
    </row>
    <row r="222" spans="2:37" ht="14" x14ac:dyDescent="0.3">
      <c r="B222" s="141">
        <v>211</v>
      </c>
      <c r="C222" s="666"/>
      <c r="D222" s="172"/>
      <c r="E222" s="498" t="str">
        <f>IF(C222="","",VLOOKUP(C222,'G-7 Rivers Data'!$B$2:$Z$9,2,FALSE))</f>
        <v/>
      </c>
      <c r="F222" s="499" t="str">
        <f>IFERROR(VLOOKUP(E222,'G-7 Rivers Data'!$C$4:$D$8,2,FALSE),"")</f>
        <v/>
      </c>
      <c r="G222" s="145"/>
      <c r="H222" s="499" t="str">
        <f>IFERROR(INDEX('G-7 Rivers Data'!$H$4:$L$8,MATCH(C222,'G-7 Rivers Data'!$B$4:$B$8,0),MATCH(G222,'G-7 Rivers Data'!$H$3:$L$3,0)),"")</f>
        <v/>
      </c>
      <c r="I222" s="145"/>
      <c r="J222" s="540" t="str">
        <f>IF(I222="","",IF(VLOOKUP(I222,'G-7 Rivers Data'!$AG$4:$AI$9,2,FALSE)=0,"Spatial Data Missing ⚠",VLOOKUP(I222,'G-7 Rivers Data'!$AG$4:$AI$9,2,FALSE)))</f>
        <v/>
      </c>
      <c r="K222" s="499" t="str">
        <f>IF(I222="","",IF(VLOOKUP(I222,'G-7 Rivers Data'!$AG$4:$AI$9,3,FALSE)=0,"Spatial Data Missing ⚠",VLOOKUP(I222,'G-7 Rivers Data'!$AG$4:$AI$9,3,FALSE)))</f>
        <v/>
      </c>
      <c r="L222" s="635" t="str">
        <f>IFERROR(INDEX('G-7 Rivers Data'!$O$3:$O$7,MATCH(G222,'G-7 Rivers Data'!$N$3:$N$7,0)),"")</f>
        <v/>
      </c>
      <c r="M222" s="72"/>
      <c r="N222" s="195"/>
      <c r="O222" s="507" t="str">
        <f t="shared" si="19"/>
        <v/>
      </c>
      <c r="P222" s="521" t="str">
        <f t="shared" si="20"/>
        <v/>
      </c>
      <c r="Q222" s="564" t="str">
        <f>IFERROR(IF(P222="Check Data ⚠","Check Data ⚠",VLOOKUP(P222,'G-4 Temporal multipliers'!$A$4:$C$37,3,FALSE)),"")</f>
        <v/>
      </c>
      <c r="R222" s="498" t="str">
        <f>IF(C222="","",VLOOKUP(C222,'G-7 Rivers Data'!$B$4:$G$8,4,FALSE))</f>
        <v/>
      </c>
      <c r="S222" s="507" t="str">
        <f t="shared" si="21"/>
        <v/>
      </c>
      <c r="T222" s="540" t="str">
        <f t="shared" si="22"/>
        <v/>
      </c>
      <c r="U222" s="499" t="str">
        <f t="shared" si="23"/>
        <v/>
      </c>
      <c r="V222" s="71"/>
      <c r="W222" s="499" t="str">
        <f>IF(V222="","",IF(VLOOKUP(V222,'G-7 Rivers Data'!$AA$4:$AB$7,2,FALSE)=0,"Spatial Data Missing ⚠",VLOOKUP(V222,'G-7 Rivers Data'!$AA$4:$AB$7,2,FALSE)))</f>
        <v/>
      </c>
      <c r="X222" s="155"/>
      <c r="Y222" s="499" t="str">
        <f>IF(X222="","",IF(VLOOKUP(X222,'G-7 Rivers Data'!$AD$4:$AE$8,2,FALSE)=0,"Enrcoachment Data Missing ⚠",VLOOKUP(X222,'G-7 Rivers Data'!$AD$4:$AE$8,2,FALSE)))</f>
        <v/>
      </c>
      <c r="Z222" s="154"/>
      <c r="AA222" s="524" t="str">
        <f>IF(Z222="","",VLOOKUP(Z222,'G-7 Rivers Data'!$AO$4:$AP$7,2,FALSE))</f>
        <v/>
      </c>
      <c r="AB222" s="545" t="str">
        <f t="shared" si="24"/>
        <v/>
      </c>
      <c r="AC222" s="149"/>
      <c r="AD222" s="150"/>
      <c r="AK222" s="31" t="str">
        <f>IFERROR(INDEX('G-7 Rivers Data'!$AZ$3:$AZ$7,MATCH(C222,'G-7 Rivers Data'!$AY$3:$AY$7,0)),"")</f>
        <v/>
      </c>
    </row>
    <row r="223" spans="2:37" ht="14" x14ac:dyDescent="0.3">
      <c r="B223" s="141">
        <v>212</v>
      </c>
      <c r="C223" s="666"/>
      <c r="D223" s="172"/>
      <c r="E223" s="498" t="str">
        <f>IF(C223="","",VLOOKUP(C223,'G-7 Rivers Data'!$B$2:$Z$9,2,FALSE))</f>
        <v/>
      </c>
      <c r="F223" s="499" t="str">
        <f>IFERROR(VLOOKUP(E223,'G-7 Rivers Data'!$C$4:$D$8,2,FALSE),"")</f>
        <v/>
      </c>
      <c r="G223" s="145"/>
      <c r="H223" s="499" t="str">
        <f>IFERROR(INDEX('G-7 Rivers Data'!$H$4:$L$8,MATCH(C223,'G-7 Rivers Data'!$B$4:$B$8,0),MATCH(G223,'G-7 Rivers Data'!$H$3:$L$3,0)),"")</f>
        <v/>
      </c>
      <c r="I223" s="145"/>
      <c r="J223" s="540" t="str">
        <f>IF(I223="","",IF(VLOOKUP(I223,'G-7 Rivers Data'!$AG$4:$AI$9,2,FALSE)=0,"Spatial Data Missing ⚠",VLOOKUP(I223,'G-7 Rivers Data'!$AG$4:$AI$9,2,FALSE)))</f>
        <v/>
      </c>
      <c r="K223" s="499" t="str">
        <f>IF(I223="","",IF(VLOOKUP(I223,'G-7 Rivers Data'!$AG$4:$AI$9,3,FALSE)=0,"Spatial Data Missing ⚠",VLOOKUP(I223,'G-7 Rivers Data'!$AG$4:$AI$9,3,FALSE)))</f>
        <v/>
      </c>
      <c r="L223" s="635" t="str">
        <f>IFERROR(INDEX('G-7 Rivers Data'!$O$3:$O$7,MATCH(G223,'G-7 Rivers Data'!$N$3:$N$7,0)),"")</f>
        <v/>
      </c>
      <c r="M223" s="72"/>
      <c r="N223" s="195"/>
      <c r="O223" s="507" t="str">
        <f t="shared" si="19"/>
        <v/>
      </c>
      <c r="P223" s="521" t="str">
        <f t="shared" si="20"/>
        <v/>
      </c>
      <c r="Q223" s="564" t="str">
        <f>IFERROR(IF(P223="Check Data ⚠","Check Data ⚠",VLOOKUP(P223,'G-4 Temporal multipliers'!$A$4:$C$37,3,FALSE)),"")</f>
        <v/>
      </c>
      <c r="R223" s="498" t="str">
        <f>IF(C223="","",VLOOKUP(C223,'G-7 Rivers Data'!$B$4:$G$8,4,FALSE))</f>
        <v/>
      </c>
      <c r="S223" s="507" t="str">
        <f t="shared" si="21"/>
        <v/>
      </c>
      <c r="T223" s="540" t="str">
        <f t="shared" si="22"/>
        <v/>
      </c>
      <c r="U223" s="499" t="str">
        <f t="shared" si="23"/>
        <v/>
      </c>
      <c r="V223" s="71"/>
      <c r="W223" s="499" t="str">
        <f>IF(V223="","",IF(VLOOKUP(V223,'G-7 Rivers Data'!$AA$4:$AB$7,2,FALSE)=0,"Spatial Data Missing ⚠",VLOOKUP(V223,'G-7 Rivers Data'!$AA$4:$AB$7,2,FALSE)))</f>
        <v/>
      </c>
      <c r="X223" s="155"/>
      <c r="Y223" s="499" t="str">
        <f>IF(X223="","",IF(VLOOKUP(X223,'G-7 Rivers Data'!$AD$4:$AE$8,2,FALSE)=0,"Enrcoachment Data Missing ⚠",VLOOKUP(X223,'G-7 Rivers Data'!$AD$4:$AE$8,2,FALSE)))</f>
        <v/>
      </c>
      <c r="Z223" s="154"/>
      <c r="AA223" s="524" t="str">
        <f>IF(Z223="","",VLOOKUP(Z223,'G-7 Rivers Data'!$AO$4:$AP$7,2,FALSE))</f>
        <v/>
      </c>
      <c r="AB223" s="545" t="str">
        <f t="shared" si="24"/>
        <v/>
      </c>
      <c r="AC223" s="149"/>
      <c r="AD223" s="150"/>
      <c r="AK223" s="31" t="str">
        <f>IFERROR(INDEX('G-7 Rivers Data'!$AZ$3:$AZ$7,MATCH(C223,'G-7 Rivers Data'!$AY$3:$AY$7,0)),"")</f>
        <v/>
      </c>
    </row>
    <row r="224" spans="2:37" ht="14" x14ac:dyDescent="0.3">
      <c r="B224" s="141">
        <v>213</v>
      </c>
      <c r="C224" s="666"/>
      <c r="D224" s="172"/>
      <c r="E224" s="498" t="str">
        <f>IF(C224="","",VLOOKUP(C224,'G-7 Rivers Data'!$B$2:$Z$9,2,FALSE))</f>
        <v/>
      </c>
      <c r="F224" s="499" t="str">
        <f>IFERROR(VLOOKUP(E224,'G-7 Rivers Data'!$C$4:$D$8,2,FALSE),"")</f>
        <v/>
      </c>
      <c r="G224" s="145"/>
      <c r="H224" s="499" t="str">
        <f>IFERROR(INDEX('G-7 Rivers Data'!$H$4:$L$8,MATCH(C224,'G-7 Rivers Data'!$B$4:$B$8,0),MATCH(G224,'G-7 Rivers Data'!$H$3:$L$3,0)),"")</f>
        <v/>
      </c>
      <c r="I224" s="145"/>
      <c r="J224" s="540" t="str">
        <f>IF(I224="","",IF(VLOOKUP(I224,'G-7 Rivers Data'!$AG$4:$AI$9,2,FALSE)=0,"Spatial Data Missing ⚠",VLOOKUP(I224,'G-7 Rivers Data'!$AG$4:$AI$9,2,FALSE)))</f>
        <v/>
      </c>
      <c r="K224" s="499" t="str">
        <f>IF(I224="","",IF(VLOOKUP(I224,'G-7 Rivers Data'!$AG$4:$AI$9,3,FALSE)=0,"Spatial Data Missing ⚠",VLOOKUP(I224,'G-7 Rivers Data'!$AG$4:$AI$9,3,FALSE)))</f>
        <v/>
      </c>
      <c r="L224" s="635" t="str">
        <f>IFERROR(INDEX('G-7 Rivers Data'!$O$3:$O$7,MATCH(G224,'G-7 Rivers Data'!$N$3:$N$7,0)),"")</f>
        <v/>
      </c>
      <c r="M224" s="72"/>
      <c r="N224" s="195"/>
      <c r="O224" s="507" t="str">
        <f t="shared" si="19"/>
        <v/>
      </c>
      <c r="P224" s="521" t="str">
        <f t="shared" si="20"/>
        <v/>
      </c>
      <c r="Q224" s="564" t="str">
        <f>IFERROR(IF(P224="Check Data ⚠","Check Data ⚠",VLOOKUP(P224,'G-4 Temporal multipliers'!$A$4:$C$37,3,FALSE)),"")</f>
        <v/>
      </c>
      <c r="R224" s="498" t="str">
        <f>IF(C224="","",VLOOKUP(C224,'G-7 Rivers Data'!$B$4:$G$8,4,FALSE))</f>
        <v/>
      </c>
      <c r="S224" s="507" t="str">
        <f t="shared" si="21"/>
        <v/>
      </c>
      <c r="T224" s="540" t="str">
        <f t="shared" si="22"/>
        <v/>
      </c>
      <c r="U224" s="499" t="str">
        <f t="shared" si="23"/>
        <v/>
      </c>
      <c r="V224" s="71"/>
      <c r="W224" s="499" t="str">
        <f>IF(V224="","",IF(VLOOKUP(V224,'G-7 Rivers Data'!$AA$4:$AB$7,2,FALSE)=0,"Spatial Data Missing ⚠",VLOOKUP(V224,'G-7 Rivers Data'!$AA$4:$AB$7,2,FALSE)))</f>
        <v/>
      </c>
      <c r="X224" s="155"/>
      <c r="Y224" s="499" t="str">
        <f>IF(X224="","",IF(VLOOKUP(X224,'G-7 Rivers Data'!$AD$4:$AE$8,2,FALSE)=0,"Enrcoachment Data Missing ⚠",VLOOKUP(X224,'G-7 Rivers Data'!$AD$4:$AE$8,2,FALSE)))</f>
        <v/>
      </c>
      <c r="Z224" s="154"/>
      <c r="AA224" s="524" t="str">
        <f>IF(Z224="","",VLOOKUP(Z224,'G-7 Rivers Data'!$AO$4:$AP$7,2,FALSE))</f>
        <v/>
      </c>
      <c r="AB224" s="545" t="str">
        <f t="shared" si="24"/>
        <v/>
      </c>
      <c r="AC224" s="149"/>
      <c r="AD224" s="150"/>
      <c r="AK224" s="31" t="str">
        <f>IFERROR(INDEX('G-7 Rivers Data'!$AZ$3:$AZ$7,MATCH(C224,'G-7 Rivers Data'!$AY$3:$AY$7,0)),"")</f>
        <v/>
      </c>
    </row>
    <row r="225" spans="2:37" ht="14" x14ac:dyDescent="0.3">
      <c r="B225" s="141">
        <v>214</v>
      </c>
      <c r="C225" s="666"/>
      <c r="D225" s="172"/>
      <c r="E225" s="498" t="str">
        <f>IF(C225="","",VLOOKUP(C225,'G-7 Rivers Data'!$B$2:$Z$9,2,FALSE))</f>
        <v/>
      </c>
      <c r="F225" s="499" t="str">
        <f>IFERROR(VLOOKUP(E225,'G-7 Rivers Data'!$C$4:$D$8,2,FALSE),"")</f>
        <v/>
      </c>
      <c r="G225" s="145"/>
      <c r="H225" s="499" t="str">
        <f>IFERROR(INDEX('G-7 Rivers Data'!$H$4:$L$8,MATCH(C225,'G-7 Rivers Data'!$B$4:$B$8,0),MATCH(G225,'G-7 Rivers Data'!$H$3:$L$3,0)),"")</f>
        <v/>
      </c>
      <c r="I225" s="145"/>
      <c r="J225" s="540" t="str">
        <f>IF(I225="","",IF(VLOOKUP(I225,'G-7 Rivers Data'!$AG$4:$AI$9,2,FALSE)=0,"Spatial Data Missing ⚠",VLOOKUP(I225,'G-7 Rivers Data'!$AG$4:$AI$9,2,FALSE)))</f>
        <v/>
      </c>
      <c r="K225" s="499" t="str">
        <f>IF(I225="","",IF(VLOOKUP(I225,'G-7 Rivers Data'!$AG$4:$AI$9,3,FALSE)=0,"Spatial Data Missing ⚠",VLOOKUP(I225,'G-7 Rivers Data'!$AG$4:$AI$9,3,FALSE)))</f>
        <v/>
      </c>
      <c r="L225" s="635" t="str">
        <f>IFERROR(INDEX('G-7 Rivers Data'!$O$3:$O$7,MATCH(G225,'G-7 Rivers Data'!$N$3:$N$7,0)),"")</f>
        <v/>
      </c>
      <c r="M225" s="72"/>
      <c r="N225" s="195"/>
      <c r="O225" s="507" t="str">
        <f t="shared" si="19"/>
        <v/>
      </c>
      <c r="P225" s="521" t="str">
        <f t="shared" si="20"/>
        <v/>
      </c>
      <c r="Q225" s="564" t="str">
        <f>IFERROR(IF(P225="Check Data ⚠","Check Data ⚠",VLOOKUP(P225,'G-4 Temporal multipliers'!$A$4:$C$37,3,FALSE)),"")</f>
        <v/>
      </c>
      <c r="R225" s="498" t="str">
        <f>IF(C225="","",VLOOKUP(C225,'G-7 Rivers Data'!$B$4:$G$8,4,FALSE))</f>
        <v/>
      </c>
      <c r="S225" s="507" t="str">
        <f t="shared" si="21"/>
        <v/>
      </c>
      <c r="T225" s="540" t="str">
        <f t="shared" si="22"/>
        <v/>
      </c>
      <c r="U225" s="499" t="str">
        <f t="shared" si="23"/>
        <v/>
      </c>
      <c r="V225" s="71"/>
      <c r="W225" s="499" t="str">
        <f>IF(V225="","",IF(VLOOKUP(V225,'G-7 Rivers Data'!$AA$4:$AB$7,2,FALSE)=0,"Spatial Data Missing ⚠",VLOOKUP(V225,'G-7 Rivers Data'!$AA$4:$AB$7,2,FALSE)))</f>
        <v/>
      </c>
      <c r="X225" s="155"/>
      <c r="Y225" s="499" t="str">
        <f>IF(X225="","",IF(VLOOKUP(X225,'G-7 Rivers Data'!$AD$4:$AE$8,2,FALSE)=0,"Enrcoachment Data Missing ⚠",VLOOKUP(X225,'G-7 Rivers Data'!$AD$4:$AE$8,2,FALSE)))</f>
        <v/>
      </c>
      <c r="Z225" s="154"/>
      <c r="AA225" s="524" t="str">
        <f>IF(Z225="","",VLOOKUP(Z225,'G-7 Rivers Data'!$AO$4:$AP$7,2,FALSE))</f>
        <v/>
      </c>
      <c r="AB225" s="545" t="str">
        <f t="shared" si="24"/>
        <v/>
      </c>
      <c r="AC225" s="149"/>
      <c r="AD225" s="150"/>
      <c r="AK225" s="31" t="str">
        <f>IFERROR(INDEX('G-7 Rivers Data'!$AZ$3:$AZ$7,MATCH(C225,'G-7 Rivers Data'!$AY$3:$AY$7,0)),"")</f>
        <v/>
      </c>
    </row>
    <row r="226" spans="2:37" ht="14" x14ac:dyDescent="0.3">
      <c r="B226" s="141">
        <v>215</v>
      </c>
      <c r="C226" s="666"/>
      <c r="D226" s="172"/>
      <c r="E226" s="498" t="str">
        <f>IF(C226="","",VLOOKUP(C226,'G-7 Rivers Data'!$B$2:$Z$9,2,FALSE))</f>
        <v/>
      </c>
      <c r="F226" s="499" t="str">
        <f>IFERROR(VLOOKUP(E226,'G-7 Rivers Data'!$C$4:$D$8,2,FALSE),"")</f>
        <v/>
      </c>
      <c r="G226" s="145"/>
      <c r="H226" s="499" t="str">
        <f>IFERROR(INDEX('G-7 Rivers Data'!$H$4:$L$8,MATCH(C226,'G-7 Rivers Data'!$B$4:$B$8,0),MATCH(G226,'G-7 Rivers Data'!$H$3:$L$3,0)),"")</f>
        <v/>
      </c>
      <c r="I226" s="145"/>
      <c r="J226" s="540" t="str">
        <f>IF(I226="","",IF(VLOOKUP(I226,'G-7 Rivers Data'!$AG$4:$AI$9,2,FALSE)=0,"Spatial Data Missing ⚠",VLOOKUP(I226,'G-7 Rivers Data'!$AG$4:$AI$9,2,FALSE)))</f>
        <v/>
      </c>
      <c r="K226" s="499" t="str">
        <f>IF(I226="","",IF(VLOOKUP(I226,'G-7 Rivers Data'!$AG$4:$AI$9,3,FALSE)=0,"Spatial Data Missing ⚠",VLOOKUP(I226,'G-7 Rivers Data'!$AG$4:$AI$9,3,FALSE)))</f>
        <v/>
      </c>
      <c r="L226" s="635" t="str">
        <f>IFERROR(INDEX('G-7 Rivers Data'!$O$3:$O$7,MATCH(G226,'G-7 Rivers Data'!$N$3:$N$7,0)),"")</f>
        <v/>
      </c>
      <c r="M226" s="72"/>
      <c r="N226" s="195"/>
      <c r="O226" s="507" t="str">
        <f t="shared" si="19"/>
        <v/>
      </c>
      <c r="P226" s="521" t="str">
        <f t="shared" si="20"/>
        <v/>
      </c>
      <c r="Q226" s="564" t="str">
        <f>IFERROR(IF(P226="Check Data ⚠","Check Data ⚠",VLOOKUP(P226,'G-4 Temporal multipliers'!$A$4:$C$37,3,FALSE)),"")</f>
        <v/>
      </c>
      <c r="R226" s="498" t="str">
        <f>IF(C226="","",VLOOKUP(C226,'G-7 Rivers Data'!$B$4:$G$8,4,FALSE))</f>
        <v/>
      </c>
      <c r="S226" s="507" t="str">
        <f t="shared" si="21"/>
        <v/>
      </c>
      <c r="T226" s="540" t="str">
        <f t="shared" si="22"/>
        <v/>
      </c>
      <c r="U226" s="499" t="str">
        <f t="shared" si="23"/>
        <v/>
      </c>
      <c r="V226" s="71"/>
      <c r="W226" s="499" t="str">
        <f>IF(V226="","",IF(VLOOKUP(V226,'G-7 Rivers Data'!$AA$4:$AB$7,2,FALSE)=0,"Spatial Data Missing ⚠",VLOOKUP(V226,'G-7 Rivers Data'!$AA$4:$AB$7,2,FALSE)))</f>
        <v/>
      </c>
      <c r="X226" s="155"/>
      <c r="Y226" s="499" t="str">
        <f>IF(X226="","",IF(VLOOKUP(X226,'G-7 Rivers Data'!$AD$4:$AE$8,2,FALSE)=0,"Enrcoachment Data Missing ⚠",VLOOKUP(X226,'G-7 Rivers Data'!$AD$4:$AE$8,2,FALSE)))</f>
        <v/>
      </c>
      <c r="Z226" s="154"/>
      <c r="AA226" s="524" t="str">
        <f>IF(Z226="","",VLOOKUP(Z226,'G-7 Rivers Data'!$AO$4:$AP$7,2,FALSE))</f>
        <v/>
      </c>
      <c r="AB226" s="545" t="str">
        <f t="shared" si="24"/>
        <v/>
      </c>
      <c r="AC226" s="149"/>
      <c r="AD226" s="150"/>
      <c r="AK226" s="31" t="str">
        <f>IFERROR(INDEX('G-7 Rivers Data'!$AZ$3:$AZ$7,MATCH(C226,'G-7 Rivers Data'!$AY$3:$AY$7,0)),"")</f>
        <v/>
      </c>
    </row>
    <row r="227" spans="2:37" ht="14" x14ac:dyDescent="0.3">
      <c r="B227" s="141">
        <v>216</v>
      </c>
      <c r="C227" s="666"/>
      <c r="D227" s="172"/>
      <c r="E227" s="498" t="str">
        <f>IF(C227="","",VLOOKUP(C227,'G-7 Rivers Data'!$B$2:$Z$9,2,FALSE))</f>
        <v/>
      </c>
      <c r="F227" s="499" t="str">
        <f>IFERROR(VLOOKUP(E227,'G-7 Rivers Data'!$C$4:$D$8,2,FALSE),"")</f>
        <v/>
      </c>
      <c r="G227" s="145"/>
      <c r="H227" s="499" t="str">
        <f>IFERROR(INDEX('G-7 Rivers Data'!$H$4:$L$8,MATCH(C227,'G-7 Rivers Data'!$B$4:$B$8,0),MATCH(G227,'G-7 Rivers Data'!$H$3:$L$3,0)),"")</f>
        <v/>
      </c>
      <c r="I227" s="145"/>
      <c r="J227" s="540" t="str">
        <f>IF(I227="","",IF(VLOOKUP(I227,'G-7 Rivers Data'!$AG$4:$AI$9,2,FALSE)=0,"Spatial Data Missing ⚠",VLOOKUP(I227,'G-7 Rivers Data'!$AG$4:$AI$9,2,FALSE)))</f>
        <v/>
      </c>
      <c r="K227" s="499" t="str">
        <f>IF(I227="","",IF(VLOOKUP(I227,'G-7 Rivers Data'!$AG$4:$AI$9,3,FALSE)=0,"Spatial Data Missing ⚠",VLOOKUP(I227,'G-7 Rivers Data'!$AG$4:$AI$9,3,FALSE)))</f>
        <v/>
      </c>
      <c r="L227" s="635" t="str">
        <f>IFERROR(INDEX('G-7 Rivers Data'!$O$3:$O$7,MATCH(G227,'G-7 Rivers Data'!$N$3:$N$7,0)),"")</f>
        <v/>
      </c>
      <c r="M227" s="72"/>
      <c r="N227" s="195"/>
      <c r="O227" s="507" t="str">
        <f t="shared" si="19"/>
        <v/>
      </c>
      <c r="P227" s="521" t="str">
        <f t="shared" si="20"/>
        <v/>
      </c>
      <c r="Q227" s="564" t="str">
        <f>IFERROR(IF(P227="Check Data ⚠","Check Data ⚠",VLOOKUP(P227,'G-4 Temporal multipliers'!$A$4:$C$37,3,FALSE)),"")</f>
        <v/>
      </c>
      <c r="R227" s="498" t="str">
        <f>IF(C227="","",VLOOKUP(C227,'G-7 Rivers Data'!$B$4:$G$8,4,FALSE))</f>
        <v/>
      </c>
      <c r="S227" s="507" t="str">
        <f t="shared" si="21"/>
        <v/>
      </c>
      <c r="T227" s="540" t="str">
        <f t="shared" si="22"/>
        <v/>
      </c>
      <c r="U227" s="499" t="str">
        <f t="shared" si="23"/>
        <v/>
      </c>
      <c r="V227" s="71"/>
      <c r="W227" s="499" t="str">
        <f>IF(V227="","",IF(VLOOKUP(V227,'G-7 Rivers Data'!$AA$4:$AB$7,2,FALSE)=0,"Spatial Data Missing ⚠",VLOOKUP(V227,'G-7 Rivers Data'!$AA$4:$AB$7,2,FALSE)))</f>
        <v/>
      </c>
      <c r="X227" s="155"/>
      <c r="Y227" s="499" t="str">
        <f>IF(X227="","",IF(VLOOKUP(X227,'G-7 Rivers Data'!$AD$4:$AE$8,2,FALSE)=0,"Enrcoachment Data Missing ⚠",VLOOKUP(X227,'G-7 Rivers Data'!$AD$4:$AE$8,2,FALSE)))</f>
        <v/>
      </c>
      <c r="Z227" s="154"/>
      <c r="AA227" s="524" t="str">
        <f>IF(Z227="","",VLOOKUP(Z227,'G-7 Rivers Data'!$AO$4:$AP$7,2,FALSE))</f>
        <v/>
      </c>
      <c r="AB227" s="545" t="str">
        <f t="shared" si="24"/>
        <v/>
      </c>
      <c r="AC227" s="149"/>
      <c r="AD227" s="150"/>
      <c r="AK227" s="31" t="str">
        <f>IFERROR(INDEX('G-7 Rivers Data'!$AZ$3:$AZ$7,MATCH(C227,'G-7 Rivers Data'!$AY$3:$AY$7,0)),"")</f>
        <v/>
      </c>
    </row>
    <row r="228" spans="2:37" ht="14" x14ac:dyDescent="0.3">
      <c r="B228" s="141">
        <v>217</v>
      </c>
      <c r="C228" s="666"/>
      <c r="D228" s="172"/>
      <c r="E228" s="498" t="str">
        <f>IF(C228="","",VLOOKUP(C228,'G-7 Rivers Data'!$B$2:$Z$9,2,FALSE))</f>
        <v/>
      </c>
      <c r="F228" s="499" t="str">
        <f>IFERROR(VLOOKUP(E228,'G-7 Rivers Data'!$C$4:$D$8,2,FALSE),"")</f>
        <v/>
      </c>
      <c r="G228" s="145"/>
      <c r="H228" s="499" t="str">
        <f>IFERROR(INDEX('G-7 Rivers Data'!$H$4:$L$8,MATCH(C228,'G-7 Rivers Data'!$B$4:$B$8,0),MATCH(G228,'G-7 Rivers Data'!$H$3:$L$3,0)),"")</f>
        <v/>
      </c>
      <c r="I228" s="145"/>
      <c r="J228" s="540" t="str">
        <f>IF(I228="","",IF(VLOOKUP(I228,'G-7 Rivers Data'!$AG$4:$AI$9,2,FALSE)=0,"Spatial Data Missing ⚠",VLOOKUP(I228,'G-7 Rivers Data'!$AG$4:$AI$9,2,FALSE)))</f>
        <v/>
      </c>
      <c r="K228" s="499" t="str">
        <f>IF(I228="","",IF(VLOOKUP(I228,'G-7 Rivers Data'!$AG$4:$AI$9,3,FALSE)=0,"Spatial Data Missing ⚠",VLOOKUP(I228,'G-7 Rivers Data'!$AG$4:$AI$9,3,FALSE)))</f>
        <v/>
      </c>
      <c r="L228" s="635" t="str">
        <f>IFERROR(INDEX('G-7 Rivers Data'!$O$3:$O$7,MATCH(G228,'G-7 Rivers Data'!$N$3:$N$7,0)),"")</f>
        <v/>
      </c>
      <c r="M228" s="72"/>
      <c r="N228" s="195"/>
      <c r="O228" s="507" t="str">
        <f t="shared" si="19"/>
        <v/>
      </c>
      <c r="P228" s="521" t="str">
        <f t="shared" si="20"/>
        <v/>
      </c>
      <c r="Q228" s="564" t="str">
        <f>IFERROR(IF(P228="Check Data ⚠","Check Data ⚠",VLOOKUP(P228,'G-4 Temporal multipliers'!$A$4:$C$37,3,FALSE)),"")</f>
        <v/>
      </c>
      <c r="R228" s="498" t="str">
        <f>IF(C228="","",VLOOKUP(C228,'G-7 Rivers Data'!$B$4:$G$8,4,FALSE))</f>
        <v/>
      </c>
      <c r="S228" s="507" t="str">
        <f t="shared" si="21"/>
        <v/>
      </c>
      <c r="T228" s="540" t="str">
        <f t="shared" si="22"/>
        <v/>
      </c>
      <c r="U228" s="499" t="str">
        <f t="shared" si="23"/>
        <v/>
      </c>
      <c r="V228" s="71"/>
      <c r="W228" s="499" t="str">
        <f>IF(V228="","",IF(VLOOKUP(V228,'G-7 Rivers Data'!$AA$4:$AB$7,2,FALSE)=0,"Spatial Data Missing ⚠",VLOOKUP(V228,'G-7 Rivers Data'!$AA$4:$AB$7,2,FALSE)))</f>
        <v/>
      </c>
      <c r="X228" s="155"/>
      <c r="Y228" s="499" t="str">
        <f>IF(X228="","",IF(VLOOKUP(X228,'G-7 Rivers Data'!$AD$4:$AE$8,2,FALSE)=0,"Enrcoachment Data Missing ⚠",VLOOKUP(X228,'G-7 Rivers Data'!$AD$4:$AE$8,2,FALSE)))</f>
        <v/>
      </c>
      <c r="Z228" s="154"/>
      <c r="AA228" s="524" t="str">
        <f>IF(Z228="","",VLOOKUP(Z228,'G-7 Rivers Data'!$AO$4:$AP$7,2,FALSE))</f>
        <v/>
      </c>
      <c r="AB228" s="545" t="str">
        <f t="shared" si="24"/>
        <v/>
      </c>
      <c r="AC228" s="149"/>
      <c r="AD228" s="150"/>
      <c r="AK228" s="31" t="str">
        <f>IFERROR(INDEX('G-7 Rivers Data'!$AZ$3:$AZ$7,MATCH(C228,'G-7 Rivers Data'!$AY$3:$AY$7,0)),"")</f>
        <v/>
      </c>
    </row>
    <row r="229" spans="2:37" ht="14" x14ac:dyDescent="0.3">
      <c r="B229" s="141">
        <v>218</v>
      </c>
      <c r="C229" s="666"/>
      <c r="D229" s="172"/>
      <c r="E229" s="498" t="str">
        <f>IF(C229="","",VLOOKUP(C229,'G-7 Rivers Data'!$B$2:$Z$9,2,FALSE))</f>
        <v/>
      </c>
      <c r="F229" s="499" t="str">
        <f>IFERROR(VLOOKUP(E229,'G-7 Rivers Data'!$C$4:$D$8,2,FALSE),"")</f>
        <v/>
      </c>
      <c r="G229" s="145"/>
      <c r="H229" s="499" t="str">
        <f>IFERROR(INDEX('G-7 Rivers Data'!$H$4:$L$8,MATCH(C229,'G-7 Rivers Data'!$B$4:$B$8,0),MATCH(G229,'G-7 Rivers Data'!$H$3:$L$3,0)),"")</f>
        <v/>
      </c>
      <c r="I229" s="145"/>
      <c r="J229" s="540" t="str">
        <f>IF(I229="","",IF(VLOOKUP(I229,'G-7 Rivers Data'!$AG$4:$AI$9,2,FALSE)=0,"Spatial Data Missing ⚠",VLOOKUP(I229,'G-7 Rivers Data'!$AG$4:$AI$9,2,FALSE)))</f>
        <v/>
      </c>
      <c r="K229" s="499" t="str">
        <f>IF(I229="","",IF(VLOOKUP(I229,'G-7 Rivers Data'!$AG$4:$AI$9,3,FALSE)=0,"Spatial Data Missing ⚠",VLOOKUP(I229,'G-7 Rivers Data'!$AG$4:$AI$9,3,FALSE)))</f>
        <v/>
      </c>
      <c r="L229" s="635" t="str">
        <f>IFERROR(INDEX('G-7 Rivers Data'!$O$3:$O$7,MATCH(G229,'G-7 Rivers Data'!$N$3:$N$7,0)),"")</f>
        <v/>
      </c>
      <c r="M229" s="72"/>
      <c r="N229" s="195"/>
      <c r="O229" s="507" t="str">
        <f t="shared" si="19"/>
        <v/>
      </c>
      <c r="P229" s="521" t="str">
        <f t="shared" si="20"/>
        <v/>
      </c>
      <c r="Q229" s="564" t="str">
        <f>IFERROR(IF(P229="Check Data ⚠","Check Data ⚠",VLOOKUP(P229,'G-4 Temporal multipliers'!$A$4:$C$37,3,FALSE)),"")</f>
        <v/>
      </c>
      <c r="R229" s="498" t="str">
        <f>IF(C229="","",VLOOKUP(C229,'G-7 Rivers Data'!$B$4:$G$8,4,FALSE))</f>
        <v/>
      </c>
      <c r="S229" s="507" t="str">
        <f t="shared" si="21"/>
        <v/>
      </c>
      <c r="T229" s="540" t="str">
        <f t="shared" si="22"/>
        <v/>
      </c>
      <c r="U229" s="499" t="str">
        <f t="shared" si="23"/>
        <v/>
      </c>
      <c r="V229" s="71"/>
      <c r="W229" s="499" t="str">
        <f>IF(V229="","",IF(VLOOKUP(V229,'G-7 Rivers Data'!$AA$4:$AB$7,2,FALSE)=0,"Spatial Data Missing ⚠",VLOOKUP(V229,'G-7 Rivers Data'!$AA$4:$AB$7,2,FALSE)))</f>
        <v/>
      </c>
      <c r="X229" s="155"/>
      <c r="Y229" s="499" t="str">
        <f>IF(X229="","",IF(VLOOKUP(X229,'G-7 Rivers Data'!$AD$4:$AE$8,2,FALSE)=0,"Enrcoachment Data Missing ⚠",VLOOKUP(X229,'G-7 Rivers Data'!$AD$4:$AE$8,2,FALSE)))</f>
        <v/>
      </c>
      <c r="Z229" s="154"/>
      <c r="AA229" s="524" t="str">
        <f>IF(Z229="","",VLOOKUP(Z229,'G-7 Rivers Data'!$AO$4:$AP$7,2,FALSE))</f>
        <v/>
      </c>
      <c r="AB229" s="545" t="str">
        <f t="shared" si="24"/>
        <v/>
      </c>
      <c r="AC229" s="149"/>
      <c r="AD229" s="150"/>
      <c r="AK229" s="31" t="str">
        <f>IFERROR(INDEX('G-7 Rivers Data'!$AZ$3:$AZ$7,MATCH(C229,'G-7 Rivers Data'!$AY$3:$AY$7,0)),"")</f>
        <v/>
      </c>
    </row>
    <row r="230" spans="2:37" ht="14" x14ac:dyDescent="0.3">
      <c r="B230" s="141">
        <v>219</v>
      </c>
      <c r="C230" s="666"/>
      <c r="D230" s="172"/>
      <c r="E230" s="498" t="str">
        <f>IF(C230="","",VLOOKUP(C230,'G-7 Rivers Data'!$B$2:$Z$9,2,FALSE))</f>
        <v/>
      </c>
      <c r="F230" s="499" t="str">
        <f>IFERROR(VLOOKUP(E230,'G-7 Rivers Data'!$C$4:$D$8,2,FALSE),"")</f>
        <v/>
      </c>
      <c r="G230" s="145"/>
      <c r="H230" s="499" t="str">
        <f>IFERROR(INDEX('G-7 Rivers Data'!$H$4:$L$8,MATCH(C230,'G-7 Rivers Data'!$B$4:$B$8,0),MATCH(G230,'G-7 Rivers Data'!$H$3:$L$3,0)),"")</f>
        <v/>
      </c>
      <c r="I230" s="145"/>
      <c r="J230" s="540" t="str">
        <f>IF(I230="","",IF(VLOOKUP(I230,'G-7 Rivers Data'!$AG$4:$AI$9,2,FALSE)=0,"Spatial Data Missing ⚠",VLOOKUP(I230,'G-7 Rivers Data'!$AG$4:$AI$9,2,FALSE)))</f>
        <v/>
      </c>
      <c r="K230" s="499" t="str">
        <f>IF(I230="","",IF(VLOOKUP(I230,'G-7 Rivers Data'!$AG$4:$AI$9,3,FALSE)=0,"Spatial Data Missing ⚠",VLOOKUP(I230,'G-7 Rivers Data'!$AG$4:$AI$9,3,FALSE)))</f>
        <v/>
      </c>
      <c r="L230" s="635" t="str">
        <f>IFERROR(INDEX('G-7 Rivers Data'!$O$3:$O$7,MATCH(G230,'G-7 Rivers Data'!$N$3:$N$7,0)),"")</f>
        <v/>
      </c>
      <c r="M230" s="72"/>
      <c r="N230" s="195"/>
      <c r="O230" s="507" t="str">
        <f t="shared" si="19"/>
        <v/>
      </c>
      <c r="P230" s="521" t="str">
        <f t="shared" si="20"/>
        <v/>
      </c>
      <c r="Q230" s="564" t="str">
        <f>IFERROR(IF(P230="Check Data ⚠","Check Data ⚠",VLOOKUP(P230,'G-4 Temporal multipliers'!$A$4:$C$37,3,FALSE)),"")</f>
        <v/>
      </c>
      <c r="R230" s="498" t="str">
        <f>IF(C230="","",VLOOKUP(C230,'G-7 Rivers Data'!$B$4:$G$8,4,FALSE))</f>
        <v/>
      </c>
      <c r="S230" s="507" t="str">
        <f t="shared" si="21"/>
        <v/>
      </c>
      <c r="T230" s="540" t="str">
        <f t="shared" si="22"/>
        <v/>
      </c>
      <c r="U230" s="499" t="str">
        <f t="shared" si="23"/>
        <v/>
      </c>
      <c r="V230" s="71"/>
      <c r="W230" s="499" t="str">
        <f>IF(V230="","",IF(VLOOKUP(V230,'G-7 Rivers Data'!$AA$4:$AB$7,2,FALSE)=0,"Spatial Data Missing ⚠",VLOOKUP(V230,'G-7 Rivers Data'!$AA$4:$AB$7,2,FALSE)))</f>
        <v/>
      </c>
      <c r="X230" s="155"/>
      <c r="Y230" s="499" t="str">
        <f>IF(X230="","",IF(VLOOKUP(X230,'G-7 Rivers Data'!$AD$4:$AE$8,2,FALSE)=0,"Enrcoachment Data Missing ⚠",VLOOKUP(X230,'G-7 Rivers Data'!$AD$4:$AE$8,2,FALSE)))</f>
        <v/>
      </c>
      <c r="Z230" s="154"/>
      <c r="AA230" s="524" t="str">
        <f>IF(Z230="","",VLOOKUP(Z230,'G-7 Rivers Data'!$AO$4:$AP$7,2,FALSE))</f>
        <v/>
      </c>
      <c r="AB230" s="545" t="str">
        <f t="shared" si="24"/>
        <v/>
      </c>
      <c r="AC230" s="149"/>
      <c r="AD230" s="150"/>
      <c r="AK230" s="31" t="str">
        <f>IFERROR(INDEX('G-7 Rivers Data'!$AZ$3:$AZ$7,MATCH(C230,'G-7 Rivers Data'!$AY$3:$AY$7,0)),"")</f>
        <v/>
      </c>
    </row>
    <row r="231" spans="2:37" ht="14" x14ac:dyDescent="0.3">
      <c r="B231" s="141">
        <v>220</v>
      </c>
      <c r="C231" s="666"/>
      <c r="D231" s="172"/>
      <c r="E231" s="498" t="str">
        <f>IF(C231="","",VLOOKUP(C231,'G-7 Rivers Data'!$B$2:$Z$9,2,FALSE))</f>
        <v/>
      </c>
      <c r="F231" s="499" t="str">
        <f>IFERROR(VLOOKUP(E231,'G-7 Rivers Data'!$C$4:$D$8,2,FALSE),"")</f>
        <v/>
      </c>
      <c r="G231" s="145"/>
      <c r="H231" s="499" t="str">
        <f>IFERROR(INDEX('G-7 Rivers Data'!$H$4:$L$8,MATCH(C231,'G-7 Rivers Data'!$B$4:$B$8,0),MATCH(G231,'G-7 Rivers Data'!$H$3:$L$3,0)),"")</f>
        <v/>
      </c>
      <c r="I231" s="145"/>
      <c r="J231" s="540" t="str">
        <f>IF(I231="","",IF(VLOOKUP(I231,'G-7 Rivers Data'!$AG$4:$AI$9,2,FALSE)=0,"Spatial Data Missing ⚠",VLOOKUP(I231,'G-7 Rivers Data'!$AG$4:$AI$9,2,FALSE)))</f>
        <v/>
      </c>
      <c r="K231" s="499" t="str">
        <f>IF(I231="","",IF(VLOOKUP(I231,'G-7 Rivers Data'!$AG$4:$AI$9,3,FALSE)=0,"Spatial Data Missing ⚠",VLOOKUP(I231,'G-7 Rivers Data'!$AG$4:$AI$9,3,FALSE)))</f>
        <v/>
      </c>
      <c r="L231" s="635" t="str">
        <f>IFERROR(INDEX('G-7 Rivers Data'!$O$3:$O$7,MATCH(G231,'G-7 Rivers Data'!$N$3:$N$7,0)),"")</f>
        <v/>
      </c>
      <c r="M231" s="72"/>
      <c r="N231" s="195"/>
      <c r="O231" s="507" t="str">
        <f t="shared" si="19"/>
        <v/>
      </c>
      <c r="P231" s="521" t="str">
        <f t="shared" si="20"/>
        <v/>
      </c>
      <c r="Q231" s="564" t="str">
        <f>IFERROR(IF(P231="Check Data ⚠","Check Data ⚠",VLOOKUP(P231,'G-4 Temporal multipliers'!$A$4:$C$37,3,FALSE)),"")</f>
        <v/>
      </c>
      <c r="R231" s="498" t="str">
        <f>IF(C231="","",VLOOKUP(C231,'G-7 Rivers Data'!$B$4:$G$8,4,FALSE))</f>
        <v/>
      </c>
      <c r="S231" s="507" t="str">
        <f t="shared" si="21"/>
        <v/>
      </c>
      <c r="T231" s="540" t="str">
        <f t="shared" si="22"/>
        <v/>
      </c>
      <c r="U231" s="499" t="str">
        <f t="shared" si="23"/>
        <v/>
      </c>
      <c r="V231" s="71"/>
      <c r="W231" s="499" t="str">
        <f>IF(V231="","",IF(VLOOKUP(V231,'G-7 Rivers Data'!$AA$4:$AB$7,2,FALSE)=0,"Spatial Data Missing ⚠",VLOOKUP(V231,'G-7 Rivers Data'!$AA$4:$AB$7,2,FALSE)))</f>
        <v/>
      </c>
      <c r="X231" s="155"/>
      <c r="Y231" s="499" t="str">
        <f>IF(X231="","",IF(VLOOKUP(X231,'G-7 Rivers Data'!$AD$4:$AE$8,2,FALSE)=0,"Enrcoachment Data Missing ⚠",VLOOKUP(X231,'G-7 Rivers Data'!$AD$4:$AE$8,2,FALSE)))</f>
        <v/>
      </c>
      <c r="Z231" s="154"/>
      <c r="AA231" s="524" t="str">
        <f>IF(Z231="","",VLOOKUP(Z231,'G-7 Rivers Data'!$AO$4:$AP$7,2,FALSE))</f>
        <v/>
      </c>
      <c r="AB231" s="545" t="str">
        <f t="shared" si="24"/>
        <v/>
      </c>
      <c r="AC231" s="149"/>
      <c r="AD231" s="150"/>
      <c r="AK231" s="31" t="str">
        <f>IFERROR(INDEX('G-7 Rivers Data'!$AZ$3:$AZ$7,MATCH(C231,'G-7 Rivers Data'!$AY$3:$AY$7,0)),"")</f>
        <v/>
      </c>
    </row>
    <row r="232" spans="2:37" ht="14" x14ac:dyDescent="0.3">
      <c r="B232" s="141">
        <v>221</v>
      </c>
      <c r="C232" s="666"/>
      <c r="D232" s="172"/>
      <c r="E232" s="498" t="str">
        <f>IF(C232="","",VLOOKUP(C232,'G-7 Rivers Data'!$B$2:$Z$9,2,FALSE))</f>
        <v/>
      </c>
      <c r="F232" s="499" t="str">
        <f>IFERROR(VLOOKUP(E232,'G-7 Rivers Data'!$C$4:$D$8,2,FALSE),"")</f>
        <v/>
      </c>
      <c r="G232" s="145"/>
      <c r="H232" s="499" t="str">
        <f>IFERROR(INDEX('G-7 Rivers Data'!$H$4:$L$8,MATCH(C232,'G-7 Rivers Data'!$B$4:$B$8,0),MATCH(G232,'G-7 Rivers Data'!$H$3:$L$3,0)),"")</f>
        <v/>
      </c>
      <c r="I232" s="145"/>
      <c r="J232" s="540" t="str">
        <f>IF(I232="","",IF(VLOOKUP(I232,'G-7 Rivers Data'!$AG$4:$AI$9,2,FALSE)=0,"Spatial Data Missing ⚠",VLOOKUP(I232,'G-7 Rivers Data'!$AG$4:$AI$9,2,FALSE)))</f>
        <v/>
      </c>
      <c r="K232" s="499" t="str">
        <f>IF(I232="","",IF(VLOOKUP(I232,'G-7 Rivers Data'!$AG$4:$AI$9,3,FALSE)=0,"Spatial Data Missing ⚠",VLOOKUP(I232,'G-7 Rivers Data'!$AG$4:$AI$9,3,FALSE)))</f>
        <v/>
      </c>
      <c r="L232" s="635" t="str">
        <f>IFERROR(INDEX('G-7 Rivers Data'!$O$3:$O$7,MATCH(G232,'G-7 Rivers Data'!$N$3:$N$7,0)),"")</f>
        <v/>
      </c>
      <c r="M232" s="72"/>
      <c r="N232" s="195"/>
      <c r="O232" s="507" t="str">
        <f t="shared" si="19"/>
        <v/>
      </c>
      <c r="P232" s="521" t="str">
        <f t="shared" si="20"/>
        <v/>
      </c>
      <c r="Q232" s="564" t="str">
        <f>IFERROR(IF(P232="Check Data ⚠","Check Data ⚠",VLOOKUP(P232,'G-4 Temporal multipliers'!$A$4:$C$37,3,FALSE)),"")</f>
        <v/>
      </c>
      <c r="R232" s="498" t="str">
        <f>IF(C232="","",VLOOKUP(C232,'G-7 Rivers Data'!$B$4:$G$8,4,FALSE))</f>
        <v/>
      </c>
      <c r="S232" s="507" t="str">
        <f t="shared" si="21"/>
        <v/>
      </c>
      <c r="T232" s="540" t="str">
        <f t="shared" si="22"/>
        <v/>
      </c>
      <c r="U232" s="499" t="str">
        <f t="shared" si="23"/>
        <v/>
      </c>
      <c r="V232" s="71"/>
      <c r="W232" s="499" t="str">
        <f>IF(V232="","",IF(VLOOKUP(V232,'G-7 Rivers Data'!$AA$4:$AB$7,2,FALSE)=0,"Spatial Data Missing ⚠",VLOOKUP(V232,'G-7 Rivers Data'!$AA$4:$AB$7,2,FALSE)))</f>
        <v/>
      </c>
      <c r="X232" s="155"/>
      <c r="Y232" s="499" t="str">
        <f>IF(X232="","",IF(VLOOKUP(X232,'G-7 Rivers Data'!$AD$4:$AE$8,2,FALSE)=0,"Enrcoachment Data Missing ⚠",VLOOKUP(X232,'G-7 Rivers Data'!$AD$4:$AE$8,2,FALSE)))</f>
        <v/>
      </c>
      <c r="Z232" s="154"/>
      <c r="AA232" s="524" t="str">
        <f>IF(Z232="","",VLOOKUP(Z232,'G-7 Rivers Data'!$AO$4:$AP$7,2,FALSE))</f>
        <v/>
      </c>
      <c r="AB232" s="545" t="str">
        <f t="shared" si="24"/>
        <v/>
      </c>
      <c r="AC232" s="149"/>
      <c r="AD232" s="150"/>
      <c r="AK232" s="31" t="str">
        <f>IFERROR(INDEX('G-7 Rivers Data'!$AZ$3:$AZ$7,MATCH(C232,'G-7 Rivers Data'!$AY$3:$AY$7,0)),"")</f>
        <v/>
      </c>
    </row>
    <row r="233" spans="2:37" ht="14" x14ac:dyDescent="0.3">
      <c r="B233" s="141">
        <v>222</v>
      </c>
      <c r="C233" s="666"/>
      <c r="D233" s="172"/>
      <c r="E233" s="498" t="str">
        <f>IF(C233="","",VLOOKUP(C233,'G-7 Rivers Data'!$B$2:$Z$9,2,FALSE))</f>
        <v/>
      </c>
      <c r="F233" s="499" t="str">
        <f>IFERROR(VLOOKUP(E233,'G-7 Rivers Data'!$C$4:$D$8,2,FALSE),"")</f>
        <v/>
      </c>
      <c r="G233" s="145"/>
      <c r="H233" s="499" t="str">
        <f>IFERROR(INDEX('G-7 Rivers Data'!$H$4:$L$8,MATCH(C233,'G-7 Rivers Data'!$B$4:$B$8,0),MATCH(G233,'G-7 Rivers Data'!$H$3:$L$3,0)),"")</f>
        <v/>
      </c>
      <c r="I233" s="145"/>
      <c r="J233" s="540" t="str">
        <f>IF(I233="","",IF(VLOOKUP(I233,'G-7 Rivers Data'!$AG$4:$AI$9,2,FALSE)=0,"Spatial Data Missing ⚠",VLOOKUP(I233,'G-7 Rivers Data'!$AG$4:$AI$9,2,FALSE)))</f>
        <v/>
      </c>
      <c r="K233" s="499" t="str">
        <f>IF(I233="","",IF(VLOOKUP(I233,'G-7 Rivers Data'!$AG$4:$AI$9,3,FALSE)=0,"Spatial Data Missing ⚠",VLOOKUP(I233,'G-7 Rivers Data'!$AG$4:$AI$9,3,FALSE)))</f>
        <v/>
      </c>
      <c r="L233" s="635" t="str">
        <f>IFERROR(INDEX('G-7 Rivers Data'!$O$3:$O$7,MATCH(G233,'G-7 Rivers Data'!$N$3:$N$7,0)),"")</f>
        <v/>
      </c>
      <c r="M233" s="72"/>
      <c r="N233" s="195"/>
      <c r="O233" s="507" t="str">
        <f t="shared" si="19"/>
        <v/>
      </c>
      <c r="P233" s="521" t="str">
        <f t="shared" si="20"/>
        <v/>
      </c>
      <c r="Q233" s="564" t="str">
        <f>IFERROR(IF(P233="Check Data ⚠","Check Data ⚠",VLOOKUP(P233,'G-4 Temporal multipliers'!$A$4:$C$37,3,FALSE)),"")</f>
        <v/>
      </c>
      <c r="R233" s="498" t="str">
        <f>IF(C233="","",VLOOKUP(C233,'G-7 Rivers Data'!$B$4:$G$8,4,FALSE))</f>
        <v/>
      </c>
      <c r="S233" s="507" t="str">
        <f t="shared" si="21"/>
        <v/>
      </c>
      <c r="T233" s="540" t="str">
        <f t="shared" si="22"/>
        <v/>
      </c>
      <c r="U233" s="499" t="str">
        <f t="shared" si="23"/>
        <v/>
      </c>
      <c r="V233" s="71"/>
      <c r="W233" s="499" t="str">
        <f>IF(V233="","",IF(VLOOKUP(V233,'G-7 Rivers Data'!$AA$4:$AB$7,2,FALSE)=0,"Spatial Data Missing ⚠",VLOOKUP(V233,'G-7 Rivers Data'!$AA$4:$AB$7,2,FALSE)))</f>
        <v/>
      </c>
      <c r="X233" s="155"/>
      <c r="Y233" s="499" t="str">
        <f>IF(X233="","",IF(VLOOKUP(X233,'G-7 Rivers Data'!$AD$4:$AE$8,2,FALSE)=0,"Enrcoachment Data Missing ⚠",VLOOKUP(X233,'G-7 Rivers Data'!$AD$4:$AE$8,2,FALSE)))</f>
        <v/>
      </c>
      <c r="Z233" s="154"/>
      <c r="AA233" s="524" t="str">
        <f>IF(Z233="","",VLOOKUP(Z233,'G-7 Rivers Data'!$AO$4:$AP$7,2,FALSE))</f>
        <v/>
      </c>
      <c r="AB233" s="545" t="str">
        <f t="shared" si="24"/>
        <v/>
      </c>
      <c r="AC233" s="149"/>
      <c r="AD233" s="150"/>
      <c r="AK233" s="31" t="str">
        <f>IFERROR(INDEX('G-7 Rivers Data'!$AZ$3:$AZ$7,MATCH(C233,'G-7 Rivers Data'!$AY$3:$AY$7,0)),"")</f>
        <v/>
      </c>
    </row>
    <row r="234" spans="2:37" ht="14" x14ac:dyDescent="0.3">
      <c r="B234" s="141">
        <v>223</v>
      </c>
      <c r="C234" s="666"/>
      <c r="D234" s="172"/>
      <c r="E234" s="498" t="str">
        <f>IF(C234="","",VLOOKUP(C234,'G-7 Rivers Data'!$B$2:$Z$9,2,FALSE))</f>
        <v/>
      </c>
      <c r="F234" s="499" t="str">
        <f>IFERROR(VLOOKUP(E234,'G-7 Rivers Data'!$C$4:$D$8,2,FALSE),"")</f>
        <v/>
      </c>
      <c r="G234" s="145"/>
      <c r="H234" s="499" t="str">
        <f>IFERROR(INDEX('G-7 Rivers Data'!$H$4:$L$8,MATCH(C234,'G-7 Rivers Data'!$B$4:$B$8,0),MATCH(G234,'G-7 Rivers Data'!$H$3:$L$3,0)),"")</f>
        <v/>
      </c>
      <c r="I234" s="145"/>
      <c r="J234" s="540" t="str">
        <f>IF(I234="","",IF(VLOOKUP(I234,'G-7 Rivers Data'!$AG$4:$AI$9,2,FALSE)=0,"Spatial Data Missing ⚠",VLOOKUP(I234,'G-7 Rivers Data'!$AG$4:$AI$9,2,FALSE)))</f>
        <v/>
      </c>
      <c r="K234" s="499" t="str">
        <f>IF(I234="","",IF(VLOOKUP(I234,'G-7 Rivers Data'!$AG$4:$AI$9,3,FALSE)=0,"Spatial Data Missing ⚠",VLOOKUP(I234,'G-7 Rivers Data'!$AG$4:$AI$9,3,FALSE)))</f>
        <v/>
      </c>
      <c r="L234" s="635" t="str">
        <f>IFERROR(INDEX('G-7 Rivers Data'!$O$3:$O$7,MATCH(G234,'G-7 Rivers Data'!$N$3:$N$7,0)),"")</f>
        <v/>
      </c>
      <c r="M234" s="72"/>
      <c r="N234" s="195"/>
      <c r="O234" s="507" t="str">
        <f t="shared" si="19"/>
        <v/>
      </c>
      <c r="P234" s="521" t="str">
        <f t="shared" si="20"/>
        <v/>
      </c>
      <c r="Q234" s="564" t="str">
        <f>IFERROR(IF(P234="Check Data ⚠","Check Data ⚠",VLOOKUP(P234,'G-4 Temporal multipliers'!$A$4:$C$37,3,FALSE)),"")</f>
        <v/>
      </c>
      <c r="R234" s="498" t="str">
        <f>IF(C234="","",VLOOKUP(C234,'G-7 Rivers Data'!$B$4:$G$8,4,FALSE))</f>
        <v/>
      </c>
      <c r="S234" s="507" t="str">
        <f t="shared" si="21"/>
        <v/>
      </c>
      <c r="T234" s="540" t="str">
        <f t="shared" si="22"/>
        <v/>
      </c>
      <c r="U234" s="499" t="str">
        <f t="shared" si="23"/>
        <v/>
      </c>
      <c r="V234" s="71"/>
      <c r="W234" s="499" t="str">
        <f>IF(V234="","",IF(VLOOKUP(V234,'G-7 Rivers Data'!$AA$4:$AB$7,2,FALSE)=0,"Spatial Data Missing ⚠",VLOOKUP(V234,'G-7 Rivers Data'!$AA$4:$AB$7,2,FALSE)))</f>
        <v/>
      </c>
      <c r="X234" s="155"/>
      <c r="Y234" s="499" t="str">
        <f>IF(X234="","",IF(VLOOKUP(X234,'G-7 Rivers Data'!$AD$4:$AE$8,2,FALSE)=0,"Enrcoachment Data Missing ⚠",VLOOKUP(X234,'G-7 Rivers Data'!$AD$4:$AE$8,2,FALSE)))</f>
        <v/>
      </c>
      <c r="Z234" s="154"/>
      <c r="AA234" s="524" t="str">
        <f>IF(Z234="","",VLOOKUP(Z234,'G-7 Rivers Data'!$AO$4:$AP$7,2,FALSE))</f>
        <v/>
      </c>
      <c r="AB234" s="545" t="str">
        <f t="shared" si="24"/>
        <v/>
      </c>
      <c r="AC234" s="149"/>
      <c r="AD234" s="150"/>
      <c r="AK234" s="31" t="str">
        <f>IFERROR(INDEX('G-7 Rivers Data'!$AZ$3:$AZ$7,MATCH(C234,'G-7 Rivers Data'!$AY$3:$AY$7,0)),"")</f>
        <v/>
      </c>
    </row>
    <row r="235" spans="2:37" ht="14" x14ac:dyDescent="0.3">
      <c r="B235" s="141">
        <v>224</v>
      </c>
      <c r="C235" s="666"/>
      <c r="D235" s="172"/>
      <c r="E235" s="498" t="str">
        <f>IF(C235="","",VLOOKUP(C235,'G-7 Rivers Data'!$B$2:$Z$9,2,FALSE))</f>
        <v/>
      </c>
      <c r="F235" s="499" t="str">
        <f>IFERROR(VLOOKUP(E235,'G-7 Rivers Data'!$C$4:$D$8,2,FALSE),"")</f>
        <v/>
      </c>
      <c r="G235" s="145"/>
      <c r="H235" s="499" t="str">
        <f>IFERROR(INDEX('G-7 Rivers Data'!$H$4:$L$8,MATCH(C235,'G-7 Rivers Data'!$B$4:$B$8,0),MATCH(G235,'G-7 Rivers Data'!$H$3:$L$3,0)),"")</f>
        <v/>
      </c>
      <c r="I235" s="145"/>
      <c r="J235" s="540" t="str">
        <f>IF(I235="","",IF(VLOOKUP(I235,'G-7 Rivers Data'!$AG$4:$AI$9,2,FALSE)=0,"Spatial Data Missing ⚠",VLOOKUP(I235,'G-7 Rivers Data'!$AG$4:$AI$9,2,FALSE)))</f>
        <v/>
      </c>
      <c r="K235" s="499" t="str">
        <f>IF(I235="","",IF(VLOOKUP(I235,'G-7 Rivers Data'!$AG$4:$AI$9,3,FALSE)=0,"Spatial Data Missing ⚠",VLOOKUP(I235,'G-7 Rivers Data'!$AG$4:$AI$9,3,FALSE)))</f>
        <v/>
      </c>
      <c r="L235" s="635" t="str">
        <f>IFERROR(INDEX('G-7 Rivers Data'!$O$3:$O$7,MATCH(G235,'G-7 Rivers Data'!$N$3:$N$7,0)),"")</f>
        <v/>
      </c>
      <c r="M235" s="72"/>
      <c r="N235" s="195"/>
      <c r="O235" s="507" t="str">
        <f t="shared" si="19"/>
        <v/>
      </c>
      <c r="P235" s="521" t="str">
        <f t="shared" si="20"/>
        <v/>
      </c>
      <c r="Q235" s="564" t="str">
        <f>IFERROR(IF(P235="Check Data ⚠","Check Data ⚠",VLOOKUP(P235,'G-4 Temporal multipliers'!$A$4:$C$37,3,FALSE)),"")</f>
        <v/>
      </c>
      <c r="R235" s="498" t="str">
        <f>IF(C235="","",VLOOKUP(C235,'G-7 Rivers Data'!$B$4:$G$8,4,FALSE))</f>
        <v/>
      </c>
      <c r="S235" s="507" t="str">
        <f t="shared" si="21"/>
        <v/>
      </c>
      <c r="T235" s="540" t="str">
        <f t="shared" si="22"/>
        <v/>
      </c>
      <c r="U235" s="499" t="str">
        <f t="shared" si="23"/>
        <v/>
      </c>
      <c r="V235" s="71"/>
      <c r="W235" s="499" t="str">
        <f>IF(V235="","",IF(VLOOKUP(V235,'G-7 Rivers Data'!$AA$4:$AB$7,2,FALSE)=0,"Spatial Data Missing ⚠",VLOOKUP(V235,'G-7 Rivers Data'!$AA$4:$AB$7,2,FALSE)))</f>
        <v/>
      </c>
      <c r="X235" s="155"/>
      <c r="Y235" s="499" t="str">
        <f>IF(X235="","",IF(VLOOKUP(X235,'G-7 Rivers Data'!$AD$4:$AE$8,2,FALSE)=0,"Enrcoachment Data Missing ⚠",VLOOKUP(X235,'G-7 Rivers Data'!$AD$4:$AE$8,2,FALSE)))</f>
        <v/>
      </c>
      <c r="Z235" s="154"/>
      <c r="AA235" s="524" t="str">
        <f>IF(Z235="","",VLOOKUP(Z235,'G-7 Rivers Data'!$AO$4:$AP$7,2,FALSE))</f>
        <v/>
      </c>
      <c r="AB235" s="545" t="str">
        <f t="shared" si="24"/>
        <v/>
      </c>
      <c r="AC235" s="149"/>
      <c r="AD235" s="150"/>
      <c r="AK235" s="31" t="str">
        <f>IFERROR(INDEX('G-7 Rivers Data'!$AZ$3:$AZ$7,MATCH(C235,'G-7 Rivers Data'!$AY$3:$AY$7,0)),"")</f>
        <v/>
      </c>
    </row>
    <row r="236" spans="2:37" ht="14" x14ac:dyDescent="0.3">
      <c r="B236" s="141">
        <v>225</v>
      </c>
      <c r="C236" s="666"/>
      <c r="D236" s="172"/>
      <c r="E236" s="498" t="str">
        <f>IF(C236="","",VLOOKUP(C236,'G-7 Rivers Data'!$B$2:$Z$9,2,FALSE))</f>
        <v/>
      </c>
      <c r="F236" s="499" t="str">
        <f>IFERROR(VLOOKUP(E236,'G-7 Rivers Data'!$C$4:$D$8,2,FALSE),"")</f>
        <v/>
      </c>
      <c r="G236" s="145"/>
      <c r="H236" s="499" t="str">
        <f>IFERROR(INDEX('G-7 Rivers Data'!$H$4:$L$8,MATCH(C236,'G-7 Rivers Data'!$B$4:$B$8,0),MATCH(G236,'G-7 Rivers Data'!$H$3:$L$3,0)),"")</f>
        <v/>
      </c>
      <c r="I236" s="145"/>
      <c r="J236" s="540" t="str">
        <f>IF(I236="","",IF(VLOOKUP(I236,'G-7 Rivers Data'!$AG$4:$AI$9,2,FALSE)=0,"Spatial Data Missing ⚠",VLOOKUP(I236,'G-7 Rivers Data'!$AG$4:$AI$9,2,FALSE)))</f>
        <v/>
      </c>
      <c r="K236" s="499" t="str">
        <f>IF(I236="","",IF(VLOOKUP(I236,'G-7 Rivers Data'!$AG$4:$AI$9,3,FALSE)=0,"Spatial Data Missing ⚠",VLOOKUP(I236,'G-7 Rivers Data'!$AG$4:$AI$9,3,FALSE)))</f>
        <v/>
      </c>
      <c r="L236" s="635" t="str">
        <f>IFERROR(INDEX('G-7 Rivers Data'!$O$3:$O$7,MATCH(G236,'G-7 Rivers Data'!$N$3:$N$7,0)),"")</f>
        <v/>
      </c>
      <c r="M236" s="72"/>
      <c r="N236" s="195"/>
      <c r="O236" s="507" t="str">
        <f t="shared" si="19"/>
        <v/>
      </c>
      <c r="P236" s="521" t="str">
        <f t="shared" si="20"/>
        <v/>
      </c>
      <c r="Q236" s="564" t="str">
        <f>IFERROR(IF(P236="Check Data ⚠","Check Data ⚠",VLOOKUP(P236,'G-4 Temporal multipliers'!$A$4:$C$37,3,FALSE)),"")</f>
        <v/>
      </c>
      <c r="R236" s="498" t="str">
        <f>IF(C236="","",VLOOKUP(C236,'G-7 Rivers Data'!$B$4:$G$8,4,FALSE))</f>
        <v/>
      </c>
      <c r="S236" s="507" t="str">
        <f t="shared" si="21"/>
        <v/>
      </c>
      <c r="T236" s="540" t="str">
        <f t="shared" si="22"/>
        <v/>
      </c>
      <c r="U236" s="499" t="str">
        <f t="shared" si="23"/>
        <v/>
      </c>
      <c r="V236" s="71"/>
      <c r="W236" s="499" t="str">
        <f>IF(V236="","",IF(VLOOKUP(V236,'G-7 Rivers Data'!$AA$4:$AB$7,2,FALSE)=0,"Spatial Data Missing ⚠",VLOOKUP(V236,'G-7 Rivers Data'!$AA$4:$AB$7,2,FALSE)))</f>
        <v/>
      </c>
      <c r="X236" s="155"/>
      <c r="Y236" s="499" t="str">
        <f>IF(X236="","",IF(VLOOKUP(X236,'G-7 Rivers Data'!$AD$4:$AE$8,2,FALSE)=0,"Enrcoachment Data Missing ⚠",VLOOKUP(X236,'G-7 Rivers Data'!$AD$4:$AE$8,2,FALSE)))</f>
        <v/>
      </c>
      <c r="Z236" s="154"/>
      <c r="AA236" s="524" t="str">
        <f>IF(Z236="","",VLOOKUP(Z236,'G-7 Rivers Data'!$AO$4:$AP$7,2,FALSE))</f>
        <v/>
      </c>
      <c r="AB236" s="545" t="str">
        <f t="shared" si="24"/>
        <v/>
      </c>
      <c r="AC236" s="149"/>
      <c r="AD236" s="150"/>
      <c r="AK236" s="31" t="str">
        <f>IFERROR(INDEX('G-7 Rivers Data'!$AZ$3:$AZ$7,MATCH(C236,'G-7 Rivers Data'!$AY$3:$AY$7,0)),"")</f>
        <v/>
      </c>
    </row>
    <row r="237" spans="2:37" ht="14" x14ac:dyDescent="0.3">
      <c r="B237" s="141">
        <v>226</v>
      </c>
      <c r="C237" s="666"/>
      <c r="D237" s="172"/>
      <c r="E237" s="498" t="str">
        <f>IF(C237="","",VLOOKUP(C237,'G-7 Rivers Data'!$B$2:$Z$9,2,FALSE))</f>
        <v/>
      </c>
      <c r="F237" s="499" t="str">
        <f>IFERROR(VLOOKUP(E237,'G-7 Rivers Data'!$C$4:$D$8,2,FALSE),"")</f>
        <v/>
      </c>
      <c r="G237" s="145"/>
      <c r="H237" s="499" t="str">
        <f>IFERROR(INDEX('G-7 Rivers Data'!$H$4:$L$8,MATCH(C237,'G-7 Rivers Data'!$B$4:$B$8,0),MATCH(G237,'G-7 Rivers Data'!$H$3:$L$3,0)),"")</f>
        <v/>
      </c>
      <c r="I237" s="145"/>
      <c r="J237" s="540" t="str">
        <f>IF(I237="","",IF(VLOOKUP(I237,'G-7 Rivers Data'!$AG$4:$AI$9,2,FALSE)=0,"Spatial Data Missing ⚠",VLOOKUP(I237,'G-7 Rivers Data'!$AG$4:$AI$9,2,FALSE)))</f>
        <v/>
      </c>
      <c r="K237" s="499" t="str">
        <f>IF(I237="","",IF(VLOOKUP(I237,'G-7 Rivers Data'!$AG$4:$AI$9,3,FALSE)=0,"Spatial Data Missing ⚠",VLOOKUP(I237,'G-7 Rivers Data'!$AG$4:$AI$9,3,FALSE)))</f>
        <v/>
      </c>
      <c r="L237" s="635" t="str">
        <f>IFERROR(INDEX('G-7 Rivers Data'!$O$3:$O$7,MATCH(G237,'G-7 Rivers Data'!$N$3:$N$7,0)),"")</f>
        <v/>
      </c>
      <c r="M237" s="72"/>
      <c r="N237" s="195"/>
      <c r="O237" s="507" t="str">
        <f t="shared" si="19"/>
        <v/>
      </c>
      <c r="P237" s="521" t="str">
        <f t="shared" si="20"/>
        <v/>
      </c>
      <c r="Q237" s="564" t="str">
        <f>IFERROR(IF(P237="Check Data ⚠","Check Data ⚠",VLOOKUP(P237,'G-4 Temporal multipliers'!$A$4:$C$37,3,FALSE)),"")</f>
        <v/>
      </c>
      <c r="R237" s="498" t="str">
        <f>IF(C237="","",VLOOKUP(C237,'G-7 Rivers Data'!$B$4:$G$8,4,FALSE))</f>
        <v/>
      </c>
      <c r="S237" s="507" t="str">
        <f t="shared" si="21"/>
        <v/>
      </c>
      <c r="T237" s="540" t="str">
        <f t="shared" si="22"/>
        <v/>
      </c>
      <c r="U237" s="499" t="str">
        <f t="shared" si="23"/>
        <v/>
      </c>
      <c r="V237" s="71"/>
      <c r="W237" s="499" t="str">
        <f>IF(V237="","",IF(VLOOKUP(V237,'G-7 Rivers Data'!$AA$4:$AB$7,2,FALSE)=0,"Spatial Data Missing ⚠",VLOOKUP(V237,'G-7 Rivers Data'!$AA$4:$AB$7,2,FALSE)))</f>
        <v/>
      </c>
      <c r="X237" s="155"/>
      <c r="Y237" s="499" t="str">
        <f>IF(X237="","",IF(VLOOKUP(X237,'G-7 Rivers Data'!$AD$4:$AE$8,2,FALSE)=0,"Enrcoachment Data Missing ⚠",VLOOKUP(X237,'G-7 Rivers Data'!$AD$4:$AE$8,2,FALSE)))</f>
        <v/>
      </c>
      <c r="Z237" s="154"/>
      <c r="AA237" s="524" t="str">
        <f>IF(Z237="","",VLOOKUP(Z237,'G-7 Rivers Data'!$AO$4:$AP$7,2,FALSE))</f>
        <v/>
      </c>
      <c r="AB237" s="545" t="str">
        <f t="shared" si="24"/>
        <v/>
      </c>
      <c r="AC237" s="149"/>
      <c r="AD237" s="150"/>
      <c r="AK237" s="31" t="str">
        <f>IFERROR(INDEX('G-7 Rivers Data'!$AZ$3:$AZ$7,MATCH(C237,'G-7 Rivers Data'!$AY$3:$AY$7,0)),"")</f>
        <v/>
      </c>
    </row>
    <row r="238" spans="2:37" ht="14" x14ac:dyDescent="0.3">
      <c r="B238" s="141">
        <v>227</v>
      </c>
      <c r="C238" s="666"/>
      <c r="D238" s="172"/>
      <c r="E238" s="498" t="str">
        <f>IF(C238="","",VLOOKUP(C238,'G-7 Rivers Data'!$B$2:$Z$9,2,FALSE))</f>
        <v/>
      </c>
      <c r="F238" s="499" t="str">
        <f>IFERROR(VLOOKUP(E238,'G-7 Rivers Data'!$C$4:$D$8,2,FALSE),"")</f>
        <v/>
      </c>
      <c r="G238" s="145"/>
      <c r="H238" s="499" t="str">
        <f>IFERROR(INDEX('G-7 Rivers Data'!$H$4:$L$8,MATCH(C238,'G-7 Rivers Data'!$B$4:$B$8,0),MATCH(G238,'G-7 Rivers Data'!$H$3:$L$3,0)),"")</f>
        <v/>
      </c>
      <c r="I238" s="145"/>
      <c r="J238" s="540" t="str">
        <f>IF(I238="","",IF(VLOOKUP(I238,'G-7 Rivers Data'!$AG$4:$AI$9,2,FALSE)=0,"Spatial Data Missing ⚠",VLOOKUP(I238,'G-7 Rivers Data'!$AG$4:$AI$9,2,FALSE)))</f>
        <v/>
      </c>
      <c r="K238" s="499" t="str">
        <f>IF(I238="","",IF(VLOOKUP(I238,'G-7 Rivers Data'!$AG$4:$AI$9,3,FALSE)=0,"Spatial Data Missing ⚠",VLOOKUP(I238,'G-7 Rivers Data'!$AG$4:$AI$9,3,FALSE)))</f>
        <v/>
      </c>
      <c r="L238" s="635" t="str">
        <f>IFERROR(INDEX('G-7 Rivers Data'!$O$3:$O$7,MATCH(G238,'G-7 Rivers Data'!$N$3:$N$7,0)),"")</f>
        <v/>
      </c>
      <c r="M238" s="72"/>
      <c r="N238" s="195"/>
      <c r="O238" s="507" t="str">
        <f t="shared" si="19"/>
        <v/>
      </c>
      <c r="P238" s="521" t="str">
        <f t="shared" si="20"/>
        <v/>
      </c>
      <c r="Q238" s="564" t="str">
        <f>IFERROR(IF(P238="Check Data ⚠","Check Data ⚠",VLOOKUP(P238,'G-4 Temporal multipliers'!$A$4:$C$37,3,FALSE)),"")</f>
        <v/>
      </c>
      <c r="R238" s="498" t="str">
        <f>IF(C238="","",VLOOKUP(C238,'G-7 Rivers Data'!$B$4:$G$8,4,FALSE))</f>
        <v/>
      </c>
      <c r="S238" s="507" t="str">
        <f t="shared" si="21"/>
        <v/>
      </c>
      <c r="T238" s="540" t="str">
        <f t="shared" si="22"/>
        <v/>
      </c>
      <c r="U238" s="499" t="str">
        <f t="shared" si="23"/>
        <v/>
      </c>
      <c r="V238" s="71"/>
      <c r="W238" s="499" t="str">
        <f>IF(V238="","",IF(VLOOKUP(V238,'G-7 Rivers Data'!$AA$4:$AB$7,2,FALSE)=0,"Spatial Data Missing ⚠",VLOOKUP(V238,'G-7 Rivers Data'!$AA$4:$AB$7,2,FALSE)))</f>
        <v/>
      </c>
      <c r="X238" s="155"/>
      <c r="Y238" s="499" t="str">
        <f>IF(X238="","",IF(VLOOKUP(X238,'G-7 Rivers Data'!$AD$4:$AE$8,2,FALSE)=0,"Enrcoachment Data Missing ⚠",VLOOKUP(X238,'G-7 Rivers Data'!$AD$4:$AE$8,2,FALSE)))</f>
        <v/>
      </c>
      <c r="Z238" s="154"/>
      <c r="AA238" s="524" t="str">
        <f>IF(Z238="","",VLOOKUP(Z238,'G-7 Rivers Data'!$AO$4:$AP$7,2,FALSE))</f>
        <v/>
      </c>
      <c r="AB238" s="545" t="str">
        <f t="shared" si="24"/>
        <v/>
      </c>
      <c r="AC238" s="149"/>
      <c r="AD238" s="150"/>
      <c r="AK238" s="31" t="str">
        <f>IFERROR(INDEX('G-7 Rivers Data'!$AZ$3:$AZ$7,MATCH(C238,'G-7 Rivers Data'!$AY$3:$AY$7,0)),"")</f>
        <v/>
      </c>
    </row>
    <row r="239" spans="2:37" ht="14" x14ac:dyDescent="0.3">
      <c r="B239" s="141">
        <v>228</v>
      </c>
      <c r="C239" s="666"/>
      <c r="D239" s="172"/>
      <c r="E239" s="498" t="str">
        <f>IF(C239="","",VLOOKUP(C239,'G-7 Rivers Data'!$B$2:$Z$9,2,FALSE))</f>
        <v/>
      </c>
      <c r="F239" s="499" t="str">
        <f>IFERROR(VLOOKUP(E239,'G-7 Rivers Data'!$C$4:$D$8,2,FALSE),"")</f>
        <v/>
      </c>
      <c r="G239" s="145"/>
      <c r="H239" s="499" t="str">
        <f>IFERROR(INDEX('G-7 Rivers Data'!$H$4:$L$8,MATCH(C239,'G-7 Rivers Data'!$B$4:$B$8,0),MATCH(G239,'G-7 Rivers Data'!$H$3:$L$3,0)),"")</f>
        <v/>
      </c>
      <c r="I239" s="145"/>
      <c r="J239" s="540" t="str">
        <f>IF(I239="","",IF(VLOOKUP(I239,'G-7 Rivers Data'!$AG$4:$AI$9,2,FALSE)=0,"Spatial Data Missing ⚠",VLOOKUP(I239,'G-7 Rivers Data'!$AG$4:$AI$9,2,FALSE)))</f>
        <v/>
      </c>
      <c r="K239" s="499" t="str">
        <f>IF(I239="","",IF(VLOOKUP(I239,'G-7 Rivers Data'!$AG$4:$AI$9,3,FALSE)=0,"Spatial Data Missing ⚠",VLOOKUP(I239,'G-7 Rivers Data'!$AG$4:$AI$9,3,FALSE)))</f>
        <v/>
      </c>
      <c r="L239" s="635" t="str">
        <f>IFERROR(INDEX('G-7 Rivers Data'!$O$3:$O$7,MATCH(G239,'G-7 Rivers Data'!$N$3:$N$7,0)),"")</f>
        <v/>
      </c>
      <c r="M239" s="72"/>
      <c r="N239" s="195"/>
      <c r="O239" s="507" t="str">
        <f t="shared" si="19"/>
        <v/>
      </c>
      <c r="P239" s="521" t="str">
        <f t="shared" si="20"/>
        <v/>
      </c>
      <c r="Q239" s="564" t="str">
        <f>IFERROR(IF(P239="Check Data ⚠","Check Data ⚠",VLOOKUP(P239,'G-4 Temporal multipliers'!$A$4:$C$37,3,FALSE)),"")</f>
        <v/>
      </c>
      <c r="R239" s="498" t="str">
        <f>IF(C239="","",VLOOKUP(C239,'G-7 Rivers Data'!$B$4:$G$8,4,FALSE))</f>
        <v/>
      </c>
      <c r="S239" s="507" t="str">
        <f t="shared" si="21"/>
        <v/>
      </c>
      <c r="T239" s="540" t="str">
        <f t="shared" si="22"/>
        <v/>
      </c>
      <c r="U239" s="499" t="str">
        <f t="shared" si="23"/>
        <v/>
      </c>
      <c r="V239" s="71"/>
      <c r="W239" s="499" t="str">
        <f>IF(V239="","",IF(VLOOKUP(V239,'G-7 Rivers Data'!$AA$4:$AB$7,2,FALSE)=0,"Spatial Data Missing ⚠",VLOOKUP(V239,'G-7 Rivers Data'!$AA$4:$AB$7,2,FALSE)))</f>
        <v/>
      </c>
      <c r="X239" s="155"/>
      <c r="Y239" s="499" t="str">
        <f>IF(X239="","",IF(VLOOKUP(X239,'G-7 Rivers Data'!$AD$4:$AE$8,2,FALSE)=0,"Enrcoachment Data Missing ⚠",VLOOKUP(X239,'G-7 Rivers Data'!$AD$4:$AE$8,2,FALSE)))</f>
        <v/>
      </c>
      <c r="Z239" s="154"/>
      <c r="AA239" s="524" t="str">
        <f>IF(Z239="","",VLOOKUP(Z239,'G-7 Rivers Data'!$AO$4:$AP$7,2,FALSE))</f>
        <v/>
      </c>
      <c r="AB239" s="545" t="str">
        <f t="shared" si="24"/>
        <v/>
      </c>
      <c r="AC239" s="149"/>
      <c r="AD239" s="150"/>
      <c r="AK239" s="31" t="str">
        <f>IFERROR(INDEX('G-7 Rivers Data'!$AZ$3:$AZ$7,MATCH(C239,'G-7 Rivers Data'!$AY$3:$AY$7,0)),"")</f>
        <v/>
      </c>
    </row>
    <row r="240" spans="2:37" ht="14" x14ac:dyDescent="0.3">
      <c r="B240" s="141">
        <v>229</v>
      </c>
      <c r="C240" s="666"/>
      <c r="D240" s="172"/>
      <c r="E240" s="498" t="str">
        <f>IF(C240="","",VLOOKUP(C240,'G-7 Rivers Data'!$B$2:$Z$9,2,FALSE))</f>
        <v/>
      </c>
      <c r="F240" s="499" t="str">
        <f>IFERROR(VLOOKUP(E240,'G-7 Rivers Data'!$C$4:$D$8,2,FALSE),"")</f>
        <v/>
      </c>
      <c r="G240" s="145"/>
      <c r="H240" s="499" t="str">
        <f>IFERROR(INDEX('G-7 Rivers Data'!$H$4:$L$8,MATCH(C240,'G-7 Rivers Data'!$B$4:$B$8,0),MATCH(G240,'G-7 Rivers Data'!$H$3:$L$3,0)),"")</f>
        <v/>
      </c>
      <c r="I240" s="145"/>
      <c r="J240" s="540" t="str">
        <f>IF(I240="","",IF(VLOOKUP(I240,'G-7 Rivers Data'!$AG$4:$AI$9,2,FALSE)=0,"Spatial Data Missing ⚠",VLOOKUP(I240,'G-7 Rivers Data'!$AG$4:$AI$9,2,FALSE)))</f>
        <v/>
      </c>
      <c r="K240" s="499" t="str">
        <f>IF(I240="","",IF(VLOOKUP(I240,'G-7 Rivers Data'!$AG$4:$AI$9,3,FALSE)=0,"Spatial Data Missing ⚠",VLOOKUP(I240,'G-7 Rivers Data'!$AG$4:$AI$9,3,FALSE)))</f>
        <v/>
      </c>
      <c r="L240" s="635" t="str">
        <f>IFERROR(INDEX('G-7 Rivers Data'!$O$3:$O$7,MATCH(G240,'G-7 Rivers Data'!$N$3:$N$7,0)),"")</f>
        <v/>
      </c>
      <c r="M240" s="72"/>
      <c r="N240" s="195"/>
      <c r="O240" s="507" t="str">
        <f t="shared" si="19"/>
        <v/>
      </c>
      <c r="P240" s="521" t="str">
        <f t="shared" si="20"/>
        <v/>
      </c>
      <c r="Q240" s="564" t="str">
        <f>IFERROR(IF(P240="Check Data ⚠","Check Data ⚠",VLOOKUP(P240,'G-4 Temporal multipliers'!$A$4:$C$37,3,FALSE)),"")</f>
        <v/>
      </c>
      <c r="R240" s="498" t="str">
        <f>IF(C240="","",VLOOKUP(C240,'G-7 Rivers Data'!$B$4:$G$8,4,FALSE))</f>
        <v/>
      </c>
      <c r="S240" s="507" t="str">
        <f t="shared" si="21"/>
        <v/>
      </c>
      <c r="T240" s="540" t="str">
        <f t="shared" si="22"/>
        <v/>
      </c>
      <c r="U240" s="499" t="str">
        <f t="shared" si="23"/>
        <v/>
      </c>
      <c r="V240" s="71"/>
      <c r="W240" s="499" t="str">
        <f>IF(V240="","",IF(VLOOKUP(V240,'G-7 Rivers Data'!$AA$4:$AB$7,2,FALSE)=0,"Spatial Data Missing ⚠",VLOOKUP(V240,'G-7 Rivers Data'!$AA$4:$AB$7,2,FALSE)))</f>
        <v/>
      </c>
      <c r="X240" s="155"/>
      <c r="Y240" s="499" t="str">
        <f>IF(X240="","",IF(VLOOKUP(X240,'G-7 Rivers Data'!$AD$4:$AE$8,2,FALSE)=0,"Enrcoachment Data Missing ⚠",VLOOKUP(X240,'G-7 Rivers Data'!$AD$4:$AE$8,2,FALSE)))</f>
        <v/>
      </c>
      <c r="Z240" s="154"/>
      <c r="AA240" s="524" t="str">
        <f>IF(Z240="","",VLOOKUP(Z240,'G-7 Rivers Data'!$AO$4:$AP$7,2,FALSE))</f>
        <v/>
      </c>
      <c r="AB240" s="545" t="str">
        <f t="shared" si="24"/>
        <v/>
      </c>
      <c r="AC240" s="149"/>
      <c r="AD240" s="150"/>
      <c r="AK240" s="31" t="str">
        <f>IFERROR(INDEX('G-7 Rivers Data'!$AZ$3:$AZ$7,MATCH(C240,'G-7 Rivers Data'!$AY$3:$AY$7,0)),"")</f>
        <v/>
      </c>
    </row>
    <row r="241" spans="2:37" ht="14" x14ac:dyDescent="0.3">
      <c r="B241" s="141">
        <v>230</v>
      </c>
      <c r="C241" s="666"/>
      <c r="D241" s="172"/>
      <c r="E241" s="498" t="str">
        <f>IF(C241="","",VLOOKUP(C241,'G-7 Rivers Data'!$B$2:$Z$9,2,FALSE))</f>
        <v/>
      </c>
      <c r="F241" s="499" t="str">
        <f>IFERROR(VLOOKUP(E241,'G-7 Rivers Data'!$C$4:$D$8,2,FALSE),"")</f>
        <v/>
      </c>
      <c r="G241" s="145"/>
      <c r="H241" s="499" t="str">
        <f>IFERROR(INDEX('G-7 Rivers Data'!$H$4:$L$8,MATCH(C241,'G-7 Rivers Data'!$B$4:$B$8,0),MATCH(G241,'G-7 Rivers Data'!$H$3:$L$3,0)),"")</f>
        <v/>
      </c>
      <c r="I241" s="145"/>
      <c r="J241" s="540" t="str">
        <f>IF(I241="","",IF(VLOOKUP(I241,'G-7 Rivers Data'!$AG$4:$AI$9,2,FALSE)=0,"Spatial Data Missing ⚠",VLOOKUP(I241,'G-7 Rivers Data'!$AG$4:$AI$9,2,FALSE)))</f>
        <v/>
      </c>
      <c r="K241" s="499" t="str">
        <f>IF(I241="","",IF(VLOOKUP(I241,'G-7 Rivers Data'!$AG$4:$AI$9,3,FALSE)=0,"Spatial Data Missing ⚠",VLOOKUP(I241,'G-7 Rivers Data'!$AG$4:$AI$9,3,FALSE)))</f>
        <v/>
      </c>
      <c r="L241" s="635" t="str">
        <f>IFERROR(INDEX('G-7 Rivers Data'!$O$3:$O$7,MATCH(G241,'G-7 Rivers Data'!$N$3:$N$7,0)),"")</f>
        <v/>
      </c>
      <c r="M241" s="72"/>
      <c r="N241" s="195"/>
      <c r="O241" s="507" t="str">
        <f t="shared" si="19"/>
        <v/>
      </c>
      <c r="P241" s="521" t="str">
        <f t="shared" si="20"/>
        <v/>
      </c>
      <c r="Q241" s="564" t="str">
        <f>IFERROR(IF(P241="Check Data ⚠","Check Data ⚠",VLOOKUP(P241,'G-4 Temporal multipliers'!$A$4:$C$37,3,FALSE)),"")</f>
        <v/>
      </c>
      <c r="R241" s="498" t="str">
        <f>IF(C241="","",VLOOKUP(C241,'G-7 Rivers Data'!$B$4:$G$8,4,FALSE))</f>
        <v/>
      </c>
      <c r="S241" s="507" t="str">
        <f t="shared" si="21"/>
        <v/>
      </c>
      <c r="T241" s="540" t="str">
        <f t="shared" si="22"/>
        <v/>
      </c>
      <c r="U241" s="499" t="str">
        <f t="shared" si="23"/>
        <v/>
      </c>
      <c r="V241" s="71"/>
      <c r="W241" s="499" t="str">
        <f>IF(V241="","",IF(VLOOKUP(V241,'G-7 Rivers Data'!$AA$4:$AB$7,2,FALSE)=0,"Spatial Data Missing ⚠",VLOOKUP(V241,'G-7 Rivers Data'!$AA$4:$AB$7,2,FALSE)))</f>
        <v/>
      </c>
      <c r="X241" s="155"/>
      <c r="Y241" s="499" t="str">
        <f>IF(X241="","",IF(VLOOKUP(X241,'G-7 Rivers Data'!$AD$4:$AE$8,2,FALSE)=0,"Enrcoachment Data Missing ⚠",VLOOKUP(X241,'G-7 Rivers Data'!$AD$4:$AE$8,2,FALSE)))</f>
        <v/>
      </c>
      <c r="Z241" s="154"/>
      <c r="AA241" s="524" t="str">
        <f>IF(Z241="","",VLOOKUP(Z241,'G-7 Rivers Data'!$AO$4:$AP$7,2,FALSE))</f>
        <v/>
      </c>
      <c r="AB241" s="545" t="str">
        <f t="shared" si="24"/>
        <v/>
      </c>
      <c r="AC241" s="149"/>
      <c r="AD241" s="150"/>
      <c r="AK241" s="31" t="str">
        <f>IFERROR(INDEX('G-7 Rivers Data'!$AZ$3:$AZ$7,MATCH(C241,'G-7 Rivers Data'!$AY$3:$AY$7,0)),"")</f>
        <v/>
      </c>
    </row>
    <row r="242" spans="2:37" ht="14" x14ac:dyDescent="0.3">
      <c r="B242" s="141">
        <v>231</v>
      </c>
      <c r="C242" s="666"/>
      <c r="D242" s="172"/>
      <c r="E242" s="498" t="str">
        <f>IF(C242="","",VLOOKUP(C242,'G-7 Rivers Data'!$B$2:$Z$9,2,FALSE))</f>
        <v/>
      </c>
      <c r="F242" s="499" t="str">
        <f>IFERROR(VLOOKUP(E242,'G-7 Rivers Data'!$C$4:$D$8,2,FALSE),"")</f>
        <v/>
      </c>
      <c r="G242" s="145"/>
      <c r="H242" s="499" t="str">
        <f>IFERROR(INDEX('G-7 Rivers Data'!$H$4:$L$8,MATCH(C242,'G-7 Rivers Data'!$B$4:$B$8,0),MATCH(G242,'G-7 Rivers Data'!$H$3:$L$3,0)),"")</f>
        <v/>
      </c>
      <c r="I242" s="145"/>
      <c r="J242" s="540" t="str">
        <f>IF(I242="","",IF(VLOOKUP(I242,'G-7 Rivers Data'!$AG$4:$AI$9,2,FALSE)=0,"Spatial Data Missing ⚠",VLOOKUP(I242,'G-7 Rivers Data'!$AG$4:$AI$9,2,FALSE)))</f>
        <v/>
      </c>
      <c r="K242" s="499" t="str">
        <f>IF(I242="","",IF(VLOOKUP(I242,'G-7 Rivers Data'!$AG$4:$AI$9,3,FALSE)=0,"Spatial Data Missing ⚠",VLOOKUP(I242,'G-7 Rivers Data'!$AG$4:$AI$9,3,FALSE)))</f>
        <v/>
      </c>
      <c r="L242" s="635" t="str">
        <f>IFERROR(INDEX('G-7 Rivers Data'!$O$3:$O$7,MATCH(G242,'G-7 Rivers Data'!$N$3:$N$7,0)),"")</f>
        <v/>
      </c>
      <c r="M242" s="72"/>
      <c r="N242" s="195"/>
      <c r="O242" s="507" t="str">
        <f t="shared" si="19"/>
        <v/>
      </c>
      <c r="P242" s="521" t="str">
        <f t="shared" si="20"/>
        <v/>
      </c>
      <c r="Q242" s="564" t="str">
        <f>IFERROR(IF(P242="Check Data ⚠","Check Data ⚠",VLOOKUP(P242,'G-4 Temporal multipliers'!$A$4:$C$37,3,FALSE)),"")</f>
        <v/>
      </c>
      <c r="R242" s="498" t="str">
        <f>IF(C242="","",VLOOKUP(C242,'G-7 Rivers Data'!$B$4:$G$8,4,FALSE))</f>
        <v/>
      </c>
      <c r="S242" s="507" t="str">
        <f t="shared" si="21"/>
        <v/>
      </c>
      <c r="T242" s="540" t="str">
        <f t="shared" si="22"/>
        <v/>
      </c>
      <c r="U242" s="499" t="str">
        <f t="shared" si="23"/>
        <v/>
      </c>
      <c r="V242" s="71"/>
      <c r="W242" s="499" t="str">
        <f>IF(V242="","",IF(VLOOKUP(V242,'G-7 Rivers Data'!$AA$4:$AB$7,2,FALSE)=0,"Spatial Data Missing ⚠",VLOOKUP(V242,'G-7 Rivers Data'!$AA$4:$AB$7,2,FALSE)))</f>
        <v/>
      </c>
      <c r="X242" s="155"/>
      <c r="Y242" s="499" t="str">
        <f>IF(X242="","",IF(VLOOKUP(X242,'G-7 Rivers Data'!$AD$4:$AE$8,2,FALSE)=0,"Enrcoachment Data Missing ⚠",VLOOKUP(X242,'G-7 Rivers Data'!$AD$4:$AE$8,2,FALSE)))</f>
        <v/>
      </c>
      <c r="Z242" s="154"/>
      <c r="AA242" s="524" t="str">
        <f>IF(Z242="","",VLOOKUP(Z242,'G-7 Rivers Data'!$AO$4:$AP$7,2,FALSE))</f>
        <v/>
      </c>
      <c r="AB242" s="545" t="str">
        <f t="shared" si="24"/>
        <v/>
      </c>
      <c r="AC242" s="149"/>
      <c r="AD242" s="150"/>
      <c r="AK242" s="31" t="str">
        <f>IFERROR(INDEX('G-7 Rivers Data'!$AZ$3:$AZ$7,MATCH(C242,'G-7 Rivers Data'!$AY$3:$AY$7,0)),"")</f>
        <v/>
      </c>
    </row>
    <row r="243" spans="2:37" ht="14" x14ac:dyDescent="0.3">
      <c r="B243" s="141">
        <v>232</v>
      </c>
      <c r="C243" s="666"/>
      <c r="D243" s="172"/>
      <c r="E243" s="498" t="str">
        <f>IF(C243="","",VLOOKUP(C243,'G-7 Rivers Data'!$B$2:$Z$9,2,FALSE))</f>
        <v/>
      </c>
      <c r="F243" s="499" t="str">
        <f>IFERROR(VLOOKUP(E243,'G-7 Rivers Data'!$C$4:$D$8,2,FALSE),"")</f>
        <v/>
      </c>
      <c r="G243" s="145"/>
      <c r="H243" s="499" t="str">
        <f>IFERROR(INDEX('G-7 Rivers Data'!$H$4:$L$8,MATCH(C243,'G-7 Rivers Data'!$B$4:$B$8,0),MATCH(G243,'G-7 Rivers Data'!$H$3:$L$3,0)),"")</f>
        <v/>
      </c>
      <c r="I243" s="145"/>
      <c r="J243" s="540" t="str">
        <f>IF(I243="","",IF(VLOOKUP(I243,'G-7 Rivers Data'!$AG$4:$AI$9,2,FALSE)=0,"Spatial Data Missing ⚠",VLOOKUP(I243,'G-7 Rivers Data'!$AG$4:$AI$9,2,FALSE)))</f>
        <v/>
      </c>
      <c r="K243" s="499" t="str">
        <f>IF(I243="","",IF(VLOOKUP(I243,'G-7 Rivers Data'!$AG$4:$AI$9,3,FALSE)=0,"Spatial Data Missing ⚠",VLOOKUP(I243,'G-7 Rivers Data'!$AG$4:$AI$9,3,FALSE)))</f>
        <v/>
      </c>
      <c r="L243" s="635" t="str">
        <f>IFERROR(INDEX('G-7 Rivers Data'!$O$3:$O$7,MATCH(G243,'G-7 Rivers Data'!$N$3:$N$7,0)),"")</f>
        <v/>
      </c>
      <c r="M243" s="72"/>
      <c r="N243" s="195"/>
      <c r="O243" s="507" t="str">
        <f t="shared" si="19"/>
        <v/>
      </c>
      <c r="P243" s="521" t="str">
        <f t="shared" si="20"/>
        <v/>
      </c>
      <c r="Q243" s="564" t="str">
        <f>IFERROR(IF(P243="Check Data ⚠","Check Data ⚠",VLOOKUP(P243,'G-4 Temporal multipliers'!$A$4:$C$37,3,FALSE)),"")</f>
        <v/>
      </c>
      <c r="R243" s="498" t="str">
        <f>IF(C243="","",VLOOKUP(C243,'G-7 Rivers Data'!$B$4:$G$8,4,FALSE))</f>
        <v/>
      </c>
      <c r="S243" s="507" t="str">
        <f t="shared" si="21"/>
        <v/>
      </c>
      <c r="T243" s="540" t="str">
        <f t="shared" si="22"/>
        <v/>
      </c>
      <c r="U243" s="499" t="str">
        <f t="shared" si="23"/>
        <v/>
      </c>
      <c r="V243" s="71"/>
      <c r="W243" s="499" t="str">
        <f>IF(V243="","",IF(VLOOKUP(V243,'G-7 Rivers Data'!$AA$4:$AB$7,2,FALSE)=0,"Spatial Data Missing ⚠",VLOOKUP(V243,'G-7 Rivers Data'!$AA$4:$AB$7,2,FALSE)))</f>
        <v/>
      </c>
      <c r="X243" s="155"/>
      <c r="Y243" s="499" t="str">
        <f>IF(X243="","",IF(VLOOKUP(X243,'G-7 Rivers Data'!$AD$4:$AE$8,2,FALSE)=0,"Enrcoachment Data Missing ⚠",VLOOKUP(X243,'G-7 Rivers Data'!$AD$4:$AE$8,2,FALSE)))</f>
        <v/>
      </c>
      <c r="Z243" s="154"/>
      <c r="AA243" s="524" t="str">
        <f>IF(Z243="","",VLOOKUP(Z243,'G-7 Rivers Data'!$AO$4:$AP$7,2,FALSE))</f>
        <v/>
      </c>
      <c r="AB243" s="545" t="str">
        <f t="shared" si="24"/>
        <v/>
      </c>
      <c r="AC243" s="149"/>
      <c r="AD243" s="150"/>
      <c r="AK243" s="31" t="str">
        <f>IFERROR(INDEX('G-7 Rivers Data'!$AZ$3:$AZ$7,MATCH(C243,'G-7 Rivers Data'!$AY$3:$AY$7,0)),"")</f>
        <v/>
      </c>
    </row>
    <row r="244" spans="2:37" ht="14" x14ac:dyDescent="0.3">
      <c r="B244" s="141">
        <v>233</v>
      </c>
      <c r="C244" s="666"/>
      <c r="D244" s="172"/>
      <c r="E244" s="498" t="str">
        <f>IF(C244="","",VLOOKUP(C244,'G-7 Rivers Data'!$B$2:$Z$9,2,FALSE))</f>
        <v/>
      </c>
      <c r="F244" s="499" t="str">
        <f>IFERROR(VLOOKUP(E244,'G-7 Rivers Data'!$C$4:$D$8,2,FALSE),"")</f>
        <v/>
      </c>
      <c r="G244" s="145"/>
      <c r="H244" s="499" t="str">
        <f>IFERROR(INDEX('G-7 Rivers Data'!$H$4:$L$8,MATCH(C244,'G-7 Rivers Data'!$B$4:$B$8,0),MATCH(G244,'G-7 Rivers Data'!$H$3:$L$3,0)),"")</f>
        <v/>
      </c>
      <c r="I244" s="145"/>
      <c r="J244" s="540" t="str">
        <f>IF(I244="","",IF(VLOOKUP(I244,'G-7 Rivers Data'!$AG$4:$AI$9,2,FALSE)=0,"Spatial Data Missing ⚠",VLOOKUP(I244,'G-7 Rivers Data'!$AG$4:$AI$9,2,FALSE)))</f>
        <v/>
      </c>
      <c r="K244" s="499" t="str">
        <f>IF(I244="","",IF(VLOOKUP(I244,'G-7 Rivers Data'!$AG$4:$AI$9,3,FALSE)=0,"Spatial Data Missing ⚠",VLOOKUP(I244,'G-7 Rivers Data'!$AG$4:$AI$9,3,FALSE)))</f>
        <v/>
      </c>
      <c r="L244" s="635" t="str">
        <f>IFERROR(INDEX('G-7 Rivers Data'!$O$3:$O$7,MATCH(G244,'G-7 Rivers Data'!$N$3:$N$7,0)),"")</f>
        <v/>
      </c>
      <c r="M244" s="72"/>
      <c r="N244" s="195"/>
      <c r="O244" s="507" t="str">
        <f t="shared" si="19"/>
        <v/>
      </c>
      <c r="P244" s="521" t="str">
        <f t="shared" si="20"/>
        <v/>
      </c>
      <c r="Q244" s="564" t="str">
        <f>IFERROR(IF(P244="Check Data ⚠","Check Data ⚠",VLOOKUP(P244,'G-4 Temporal multipliers'!$A$4:$C$37,3,FALSE)),"")</f>
        <v/>
      </c>
      <c r="R244" s="498" t="str">
        <f>IF(C244="","",VLOOKUP(C244,'G-7 Rivers Data'!$B$4:$G$8,4,FALSE))</f>
        <v/>
      </c>
      <c r="S244" s="507" t="str">
        <f t="shared" si="21"/>
        <v/>
      </c>
      <c r="T244" s="540" t="str">
        <f t="shared" si="22"/>
        <v/>
      </c>
      <c r="U244" s="499" t="str">
        <f t="shared" si="23"/>
        <v/>
      </c>
      <c r="V244" s="71"/>
      <c r="W244" s="499" t="str">
        <f>IF(V244="","",IF(VLOOKUP(V244,'G-7 Rivers Data'!$AA$4:$AB$7,2,FALSE)=0,"Spatial Data Missing ⚠",VLOOKUP(V244,'G-7 Rivers Data'!$AA$4:$AB$7,2,FALSE)))</f>
        <v/>
      </c>
      <c r="X244" s="155"/>
      <c r="Y244" s="499" t="str">
        <f>IF(X244="","",IF(VLOOKUP(X244,'G-7 Rivers Data'!$AD$4:$AE$8,2,FALSE)=0,"Enrcoachment Data Missing ⚠",VLOOKUP(X244,'G-7 Rivers Data'!$AD$4:$AE$8,2,FALSE)))</f>
        <v/>
      </c>
      <c r="Z244" s="154"/>
      <c r="AA244" s="524" t="str">
        <f>IF(Z244="","",VLOOKUP(Z244,'G-7 Rivers Data'!$AO$4:$AP$7,2,FALSE))</f>
        <v/>
      </c>
      <c r="AB244" s="545" t="str">
        <f t="shared" si="24"/>
        <v/>
      </c>
      <c r="AC244" s="149"/>
      <c r="AD244" s="150"/>
      <c r="AK244" s="31" t="str">
        <f>IFERROR(INDEX('G-7 Rivers Data'!$AZ$3:$AZ$7,MATCH(C244,'G-7 Rivers Data'!$AY$3:$AY$7,0)),"")</f>
        <v/>
      </c>
    </row>
    <row r="245" spans="2:37" ht="14" x14ac:dyDescent="0.3">
      <c r="B245" s="141">
        <v>234</v>
      </c>
      <c r="C245" s="666"/>
      <c r="D245" s="172"/>
      <c r="E245" s="498" t="str">
        <f>IF(C245="","",VLOOKUP(C245,'G-7 Rivers Data'!$B$2:$Z$9,2,FALSE))</f>
        <v/>
      </c>
      <c r="F245" s="499" t="str">
        <f>IFERROR(VLOOKUP(E245,'G-7 Rivers Data'!$C$4:$D$8,2,FALSE),"")</f>
        <v/>
      </c>
      <c r="G245" s="145"/>
      <c r="H245" s="499" t="str">
        <f>IFERROR(INDEX('G-7 Rivers Data'!$H$4:$L$8,MATCH(C245,'G-7 Rivers Data'!$B$4:$B$8,0),MATCH(G245,'G-7 Rivers Data'!$H$3:$L$3,0)),"")</f>
        <v/>
      </c>
      <c r="I245" s="145"/>
      <c r="J245" s="540" t="str">
        <f>IF(I245="","",IF(VLOOKUP(I245,'G-7 Rivers Data'!$AG$4:$AI$9,2,FALSE)=0,"Spatial Data Missing ⚠",VLOOKUP(I245,'G-7 Rivers Data'!$AG$4:$AI$9,2,FALSE)))</f>
        <v/>
      </c>
      <c r="K245" s="499" t="str">
        <f>IF(I245="","",IF(VLOOKUP(I245,'G-7 Rivers Data'!$AG$4:$AI$9,3,FALSE)=0,"Spatial Data Missing ⚠",VLOOKUP(I245,'G-7 Rivers Data'!$AG$4:$AI$9,3,FALSE)))</f>
        <v/>
      </c>
      <c r="L245" s="635" t="str">
        <f>IFERROR(INDEX('G-7 Rivers Data'!$O$3:$O$7,MATCH(G245,'G-7 Rivers Data'!$N$3:$N$7,0)),"")</f>
        <v/>
      </c>
      <c r="M245" s="72"/>
      <c r="N245" s="195"/>
      <c r="O245" s="507" t="str">
        <f t="shared" si="19"/>
        <v/>
      </c>
      <c r="P245" s="521" t="str">
        <f t="shared" si="20"/>
        <v/>
      </c>
      <c r="Q245" s="564" t="str">
        <f>IFERROR(IF(P245="Check Data ⚠","Check Data ⚠",VLOOKUP(P245,'G-4 Temporal multipliers'!$A$4:$C$37,3,FALSE)),"")</f>
        <v/>
      </c>
      <c r="R245" s="498" t="str">
        <f>IF(C245="","",VLOOKUP(C245,'G-7 Rivers Data'!$B$4:$G$8,4,FALSE))</f>
        <v/>
      </c>
      <c r="S245" s="507" t="str">
        <f t="shared" si="21"/>
        <v/>
      </c>
      <c r="T245" s="540" t="str">
        <f t="shared" si="22"/>
        <v/>
      </c>
      <c r="U245" s="499" t="str">
        <f t="shared" si="23"/>
        <v/>
      </c>
      <c r="V245" s="71"/>
      <c r="W245" s="499" t="str">
        <f>IF(V245="","",IF(VLOOKUP(V245,'G-7 Rivers Data'!$AA$4:$AB$7,2,FALSE)=0,"Spatial Data Missing ⚠",VLOOKUP(V245,'G-7 Rivers Data'!$AA$4:$AB$7,2,FALSE)))</f>
        <v/>
      </c>
      <c r="X245" s="155"/>
      <c r="Y245" s="499" t="str">
        <f>IF(X245="","",IF(VLOOKUP(X245,'G-7 Rivers Data'!$AD$4:$AE$8,2,FALSE)=0,"Enrcoachment Data Missing ⚠",VLOOKUP(X245,'G-7 Rivers Data'!$AD$4:$AE$8,2,FALSE)))</f>
        <v/>
      </c>
      <c r="Z245" s="154"/>
      <c r="AA245" s="524" t="str">
        <f>IF(Z245="","",VLOOKUP(Z245,'G-7 Rivers Data'!$AO$4:$AP$7,2,FALSE))</f>
        <v/>
      </c>
      <c r="AB245" s="545" t="str">
        <f t="shared" si="24"/>
        <v/>
      </c>
      <c r="AC245" s="149"/>
      <c r="AD245" s="150"/>
      <c r="AK245" s="31" t="str">
        <f>IFERROR(INDEX('G-7 Rivers Data'!$AZ$3:$AZ$7,MATCH(C245,'G-7 Rivers Data'!$AY$3:$AY$7,0)),"")</f>
        <v/>
      </c>
    </row>
    <row r="246" spans="2:37" ht="14" x14ac:dyDescent="0.3">
      <c r="B246" s="141">
        <v>235</v>
      </c>
      <c r="C246" s="666"/>
      <c r="D246" s="172"/>
      <c r="E246" s="498" t="str">
        <f>IF(C246="","",VLOOKUP(C246,'G-7 Rivers Data'!$B$2:$Z$9,2,FALSE))</f>
        <v/>
      </c>
      <c r="F246" s="499" t="str">
        <f>IFERROR(VLOOKUP(E246,'G-7 Rivers Data'!$C$4:$D$8,2,FALSE),"")</f>
        <v/>
      </c>
      <c r="G246" s="145"/>
      <c r="H246" s="499" t="str">
        <f>IFERROR(INDEX('G-7 Rivers Data'!$H$4:$L$8,MATCH(C246,'G-7 Rivers Data'!$B$4:$B$8,0),MATCH(G246,'G-7 Rivers Data'!$H$3:$L$3,0)),"")</f>
        <v/>
      </c>
      <c r="I246" s="145"/>
      <c r="J246" s="540" t="str">
        <f>IF(I246="","",IF(VLOOKUP(I246,'G-7 Rivers Data'!$AG$4:$AI$9,2,FALSE)=0,"Spatial Data Missing ⚠",VLOOKUP(I246,'G-7 Rivers Data'!$AG$4:$AI$9,2,FALSE)))</f>
        <v/>
      </c>
      <c r="K246" s="499" t="str">
        <f>IF(I246="","",IF(VLOOKUP(I246,'G-7 Rivers Data'!$AG$4:$AI$9,3,FALSE)=0,"Spatial Data Missing ⚠",VLOOKUP(I246,'G-7 Rivers Data'!$AG$4:$AI$9,3,FALSE)))</f>
        <v/>
      </c>
      <c r="L246" s="635" t="str">
        <f>IFERROR(INDEX('G-7 Rivers Data'!$O$3:$O$7,MATCH(G246,'G-7 Rivers Data'!$N$3:$N$7,0)),"")</f>
        <v/>
      </c>
      <c r="M246" s="72"/>
      <c r="N246" s="195"/>
      <c r="O246" s="507" t="str">
        <f t="shared" si="19"/>
        <v/>
      </c>
      <c r="P246" s="521" t="str">
        <f t="shared" si="20"/>
        <v/>
      </c>
      <c r="Q246" s="564" t="str">
        <f>IFERROR(IF(P246="Check Data ⚠","Check Data ⚠",VLOOKUP(P246,'G-4 Temporal multipliers'!$A$4:$C$37,3,FALSE)),"")</f>
        <v/>
      </c>
      <c r="R246" s="498" t="str">
        <f>IF(C246="","",VLOOKUP(C246,'G-7 Rivers Data'!$B$4:$G$8,4,FALSE))</f>
        <v/>
      </c>
      <c r="S246" s="507" t="str">
        <f t="shared" si="21"/>
        <v/>
      </c>
      <c r="T246" s="540" t="str">
        <f t="shared" si="22"/>
        <v/>
      </c>
      <c r="U246" s="499" t="str">
        <f t="shared" si="23"/>
        <v/>
      </c>
      <c r="V246" s="71"/>
      <c r="W246" s="499" t="str">
        <f>IF(V246="","",IF(VLOOKUP(V246,'G-7 Rivers Data'!$AA$4:$AB$7,2,FALSE)=0,"Spatial Data Missing ⚠",VLOOKUP(V246,'G-7 Rivers Data'!$AA$4:$AB$7,2,FALSE)))</f>
        <v/>
      </c>
      <c r="X246" s="155"/>
      <c r="Y246" s="499" t="str">
        <f>IF(X246="","",IF(VLOOKUP(X246,'G-7 Rivers Data'!$AD$4:$AE$8,2,FALSE)=0,"Enrcoachment Data Missing ⚠",VLOOKUP(X246,'G-7 Rivers Data'!$AD$4:$AE$8,2,FALSE)))</f>
        <v/>
      </c>
      <c r="Z246" s="154"/>
      <c r="AA246" s="524" t="str">
        <f>IF(Z246="","",VLOOKUP(Z246,'G-7 Rivers Data'!$AO$4:$AP$7,2,FALSE))</f>
        <v/>
      </c>
      <c r="AB246" s="545" t="str">
        <f t="shared" si="24"/>
        <v/>
      </c>
      <c r="AC246" s="149"/>
      <c r="AD246" s="150"/>
      <c r="AK246" s="31" t="str">
        <f>IFERROR(INDEX('G-7 Rivers Data'!$AZ$3:$AZ$7,MATCH(C246,'G-7 Rivers Data'!$AY$3:$AY$7,0)),"")</f>
        <v/>
      </c>
    </row>
    <row r="247" spans="2:37" ht="14" x14ac:dyDescent="0.3">
      <c r="B247" s="141">
        <v>236</v>
      </c>
      <c r="C247" s="666"/>
      <c r="D247" s="172"/>
      <c r="E247" s="498" t="str">
        <f>IF(C247="","",VLOOKUP(C247,'G-7 Rivers Data'!$B$2:$Z$9,2,FALSE))</f>
        <v/>
      </c>
      <c r="F247" s="499" t="str">
        <f>IFERROR(VLOOKUP(E247,'G-7 Rivers Data'!$C$4:$D$8,2,FALSE),"")</f>
        <v/>
      </c>
      <c r="G247" s="145"/>
      <c r="H247" s="499" t="str">
        <f>IFERROR(INDEX('G-7 Rivers Data'!$H$4:$L$8,MATCH(C247,'G-7 Rivers Data'!$B$4:$B$8,0),MATCH(G247,'G-7 Rivers Data'!$H$3:$L$3,0)),"")</f>
        <v/>
      </c>
      <c r="I247" s="145"/>
      <c r="J247" s="540" t="str">
        <f>IF(I247="","",IF(VLOOKUP(I247,'G-7 Rivers Data'!$AG$4:$AI$9,2,FALSE)=0,"Spatial Data Missing ⚠",VLOOKUP(I247,'G-7 Rivers Data'!$AG$4:$AI$9,2,FALSE)))</f>
        <v/>
      </c>
      <c r="K247" s="499" t="str">
        <f>IF(I247="","",IF(VLOOKUP(I247,'G-7 Rivers Data'!$AG$4:$AI$9,3,FALSE)=0,"Spatial Data Missing ⚠",VLOOKUP(I247,'G-7 Rivers Data'!$AG$4:$AI$9,3,FALSE)))</f>
        <v/>
      </c>
      <c r="L247" s="635" t="str">
        <f>IFERROR(INDEX('G-7 Rivers Data'!$O$3:$O$7,MATCH(G247,'G-7 Rivers Data'!$N$3:$N$7,0)),"")</f>
        <v/>
      </c>
      <c r="M247" s="72"/>
      <c r="N247" s="195"/>
      <c r="O247" s="507" t="str">
        <f t="shared" si="19"/>
        <v/>
      </c>
      <c r="P247" s="521" t="str">
        <f t="shared" si="20"/>
        <v/>
      </c>
      <c r="Q247" s="564" t="str">
        <f>IFERROR(IF(P247="Check Data ⚠","Check Data ⚠",VLOOKUP(P247,'G-4 Temporal multipliers'!$A$4:$C$37,3,FALSE)),"")</f>
        <v/>
      </c>
      <c r="R247" s="498" t="str">
        <f>IF(C247="","",VLOOKUP(C247,'G-7 Rivers Data'!$B$4:$G$8,4,FALSE))</f>
        <v/>
      </c>
      <c r="S247" s="507" t="str">
        <f t="shared" si="21"/>
        <v/>
      </c>
      <c r="T247" s="540" t="str">
        <f t="shared" si="22"/>
        <v/>
      </c>
      <c r="U247" s="499" t="str">
        <f t="shared" si="23"/>
        <v/>
      </c>
      <c r="V247" s="71"/>
      <c r="W247" s="499" t="str">
        <f>IF(V247="","",IF(VLOOKUP(V247,'G-7 Rivers Data'!$AA$4:$AB$7,2,FALSE)=0,"Spatial Data Missing ⚠",VLOOKUP(V247,'G-7 Rivers Data'!$AA$4:$AB$7,2,FALSE)))</f>
        <v/>
      </c>
      <c r="X247" s="155"/>
      <c r="Y247" s="499" t="str">
        <f>IF(X247="","",IF(VLOOKUP(X247,'G-7 Rivers Data'!$AD$4:$AE$8,2,FALSE)=0,"Enrcoachment Data Missing ⚠",VLOOKUP(X247,'G-7 Rivers Data'!$AD$4:$AE$8,2,FALSE)))</f>
        <v/>
      </c>
      <c r="Z247" s="154"/>
      <c r="AA247" s="524" t="str">
        <f>IF(Z247="","",VLOOKUP(Z247,'G-7 Rivers Data'!$AO$4:$AP$7,2,FALSE))</f>
        <v/>
      </c>
      <c r="AB247" s="545" t="str">
        <f t="shared" si="24"/>
        <v/>
      </c>
      <c r="AC247" s="149"/>
      <c r="AD247" s="150"/>
      <c r="AK247" s="31" t="str">
        <f>IFERROR(INDEX('G-7 Rivers Data'!$AZ$3:$AZ$7,MATCH(C247,'G-7 Rivers Data'!$AY$3:$AY$7,0)),"")</f>
        <v/>
      </c>
    </row>
    <row r="248" spans="2:37" ht="14" x14ac:dyDescent="0.3">
      <c r="B248" s="141">
        <v>237</v>
      </c>
      <c r="C248" s="666"/>
      <c r="D248" s="172"/>
      <c r="E248" s="498" t="str">
        <f>IF(C248="","",VLOOKUP(C248,'G-7 Rivers Data'!$B$2:$Z$9,2,FALSE))</f>
        <v/>
      </c>
      <c r="F248" s="499" t="str">
        <f>IFERROR(VLOOKUP(E248,'G-7 Rivers Data'!$C$4:$D$8,2,FALSE),"")</f>
        <v/>
      </c>
      <c r="G248" s="145"/>
      <c r="H248" s="499" t="str">
        <f>IFERROR(INDEX('G-7 Rivers Data'!$H$4:$L$8,MATCH(C248,'G-7 Rivers Data'!$B$4:$B$8,0),MATCH(G248,'G-7 Rivers Data'!$H$3:$L$3,0)),"")</f>
        <v/>
      </c>
      <c r="I248" s="145"/>
      <c r="J248" s="540" t="str">
        <f>IF(I248="","",IF(VLOOKUP(I248,'G-7 Rivers Data'!$AG$4:$AI$9,2,FALSE)=0,"Spatial Data Missing ⚠",VLOOKUP(I248,'G-7 Rivers Data'!$AG$4:$AI$9,2,FALSE)))</f>
        <v/>
      </c>
      <c r="K248" s="499" t="str">
        <f>IF(I248="","",IF(VLOOKUP(I248,'G-7 Rivers Data'!$AG$4:$AI$9,3,FALSE)=0,"Spatial Data Missing ⚠",VLOOKUP(I248,'G-7 Rivers Data'!$AG$4:$AI$9,3,FALSE)))</f>
        <v/>
      </c>
      <c r="L248" s="635" t="str">
        <f>IFERROR(INDEX('G-7 Rivers Data'!$O$3:$O$7,MATCH(G248,'G-7 Rivers Data'!$N$3:$N$7,0)),"")</f>
        <v/>
      </c>
      <c r="M248" s="72"/>
      <c r="N248" s="195"/>
      <c r="O248" s="507" t="str">
        <f t="shared" si="19"/>
        <v/>
      </c>
      <c r="P248" s="521" t="str">
        <f t="shared" si="20"/>
        <v/>
      </c>
      <c r="Q248" s="564" t="str">
        <f>IFERROR(IF(P248="Check Data ⚠","Check Data ⚠",VLOOKUP(P248,'G-4 Temporal multipliers'!$A$4:$C$37,3,FALSE)),"")</f>
        <v/>
      </c>
      <c r="R248" s="498" t="str">
        <f>IF(C248="","",VLOOKUP(C248,'G-7 Rivers Data'!$B$4:$G$8,4,FALSE))</f>
        <v/>
      </c>
      <c r="S248" s="507" t="str">
        <f t="shared" si="21"/>
        <v/>
      </c>
      <c r="T248" s="540" t="str">
        <f t="shared" si="22"/>
        <v/>
      </c>
      <c r="U248" s="499" t="str">
        <f t="shared" si="23"/>
        <v/>
      </c>
      <c r="V248" s="71"/>
      <c r="W248" s="499" t="str">
        <f>IF(V248="","",IF(VLOOKUP(V248,'G-7 Rivers Data'!$AA$4:$AB$7,2,FALSE)=0,"Spatial Data Missing ⚠",VLOOKUP(V248,'G-7 Rivers Data'!$AA$4:$AB$7,2,FALSE)))</f>
        <v/>
      </c>
      <c r="X248" s="155"/>
      <c r="Y248" s="499" t="str">
        <f>IF(X248="","",IF(VLOOKUP(X248,'G-7 Rivers Data'!$AD$4:$AE$8,2,FALSE)=0,"Enrcoachment Data Missing ⚠",VLOOKUP(X248,'G-7 Rivers Data'!$AD$4:$AE$8,2,FALSE)))</f>
        <v/>
      </c>
      <c r="Z248" s="154"/>
      <c r="AA248" s="524" t="str">
        <f>IF(Z248="","",VLOOKUP(Z248,'G-7 Rivers Data'!$AO$4:$AP$7,2,FALSE))</f>
        <v/>
      </c>
      <c r="AB248" s="545" t="str">
        <f t="shared" si="24"/>
        <v/>
      </c>
      <c r="AC248" s="149"/>
      <c r="AD248" s="150"/>
      <c r="AK248" s="31" t="str">
        <f>IFERROR(INDEX('G-7 Rivers Data'!$AZ$3:$AZ$7,MATCH(C248,'G-7 Rivers Data'!$AY$3:$AY$7,0)),"")</f>
        <v/>
      </c>
    </row>
    <row r="249" spans="2:37" ht="14" x14ac:dyDescent="0.3">
      <c r="B249" s="141">
        <v>238</v>
      </c>
      <c r="C249" s="666"/>
      <c r="D249" s="172"/>
      <c r="E249" s="498" t="str">
        <f>IF(C249="","",VLOOKUP(C249,'G-7 Rivers Data'!$B$2:$Z$9,2,FALSE))</f>
        <v/>
      </c>
      <c r="F249" s="499" t="str">
        <f>IFERROR(VLOOKUP(E249,'G-7 Rivers Data'!$C$4:$D$8,2,FALSE),"")</f>
        <v/>
      </c>
      <c r="G249" s="145"/>
      <c r="H249" s="499" t="str">
        <f>IFERROR(INDEX('G-7 Rivers Data'!$H$4:$L$8,MATCH(C249,'G-7 Rivers Data'!$B$4:$B$8,0),MATCH(G249,'G-7 Rivers Data'!$H$3:$L$3,0)),"")</f>
        <v/>
      </c>
      <c r="I249" s="145"/>
      <c r="J249" s="540" t="str">
        <f>IF(I249="","",IF(VLOOKUP(I249,'G-7 Rivers Data'!$AG$4:$AI$9,2,FALSE)=0,"Spatial Data Missing ⚠",VLOOKUP(I249,'G-7 Rivers Data'!$AG$4:$AI$9,2,FALSE)))</f>
        <v/>
      </c>
      <c r="K249" s="499" t="str">
        <f>IF(I249="","",IF(VLOOKUP(I249,'G-7 Rivers Data'!$AG$4:$AI$9,3,FALSE)=0,"Spatial Data Missing ⚠",VLOOKUP(I249,'G-7 Rivers Data'!$AG$4:$AI$9,3,FALSE)))</f>
        <v/>
      </c>
      <c r="L249" s="635" t="str">
        <f>IFERROR(INDEX('G-7 Rivers Data'!$O$3:$O$7,MATCH(G249,'G-7 Rivers Data'!$N$3:$N$7,0)),"")</f>
        <v/>
      </c>
      <c r="M249" s="72"/>
      <c r="N249" s="195"/>
      <c r="O249" s="507" t="str">
        <f t="shared" si="19"/>
        <v/>
      </c>
      <c r="P249" s="521" t="str">
        <f t="shared" si="20"/>
        <v/>
      </c>
      <c r="Q249" s="564" t="str">
        <f>IFERROR(IF(P249="Check Data ⚠","Check Data ⚠",VLOOKUP(P249,'G-4 Temporal multipliers'!$A$4:$C$37,3,FALSE)),"")</f>
        <v/>
      </c>
      <c r="R249" s="498" t="str">
        <f>IF(C249="","",VLOOKUP(C249,'G-7 Rivers Data'!$B$4:$G$8,4,FALSE))</f>
        <v/>
      </c>
      <c r="S249" s="507" t="str">
        <f t="shared" si="21"/>
        <v/>
      </c>
      <c r="T249" s="540" t="str">
        <f t="shared" si="22"/>
        <v/>
      </c>
      <c r="U249" s="499" t="str">
        <f t="shared" si="23"/>
        <v/>
      </c>
      <c r="V249" s="71"/>
      <c r="W249" s="499" t="str">
        <f>IF(V249="","",IF(VLOOKUP(V249,'G-7 Rivers Data'!$AA$4:$AB$7,2,FALSE)=0,"Spatial Data Missing ⚠",VLOOKUP(V249,'G-7 Rivers Data'!$AA$4:$AB$7,2,FALSE)))</f>
        <v/>
      </c>
      <c r="X249" s="155"/>
      <c r="Y249" s="499" t="str">
        <f>IF(X249="","",IF(VLOOKUP(X249,'G-7 Rivers Data'!$AD$4:$AE$8,2,FALSE)=0,"Enrcoachment Data Missing ⚠",VLOOKUP(X249,'G-7 Rivers Data'!$AD$4:$AE$8,2,FALSE)))</f>
        <v/>
      </c>
      <c r="Z249" s="154"/>
      <c r="AA249" s="524" t="str">
        <f>IF(Z249="","",VLOOKUP(Z249,'G-7 Rivers Data'!$AO$4:$AP$7,2,FALSE))</f>
        <v/>
      </c>
      <c r="AB249" s="545" t="str">
        <f t="shared" si="24"/>
        <v/>
      </c>
      <c r="AC249" s="149"/>
      <c r="AD249" s="150"/>
      <c r="AK249" s="31" t="str">
        <f>IFERROR(INDEX('G-7 Rivers Data'!$AZ$3:$AZ$7,MATCH(C249,'G-7 Rivers Data'!$AY$3:$AY$7,0)),"")</f>
        <v/>
      </c>
    </row>
    <row r="250" spans="2:37" ht="14" x14ac:dyDescent="0.3">
      <c r="B250" s="141">
        <v>239</v>
      </c>
      <c r="C250" s="666"/>
      <c r="D250" s="172"/>
      <c r="E250" s="498" t="str">
        <f>IF(C250="","",VLOOKUP(C250,'G-7 Rivers Data'!$B$2:$Z$9,2,FALSE))</f>
        <v/>
      </c>
      <c r="F250" s="499" t="str">
        <f>IFERROR(VLOOKUP(E250,'G-7 Rivers Data'!$C$4:$D$8,2,FALSE),"")</f>
        <v/>
      </c>
      <c r="G250" s="145"/>
      <c r="H250" s="499" t="str">
        <f>IFERROR(INDEX('G-7 Rivers Data'!$H$4:$L$8,MATCH(C250,'G-7 Rivers Data'!$B$4:$B$8,0),MATCH(G250,'G-7 Rivers Data'!$H$3:$L$3,0)),"")</f>
        <v/>
      </c>
      <c r="I250" s="145"/>
      <c r="J250" s="540" t="str">
        <f>IF(I250="","",IF(VLOOKUP(I250,'G-7 Rivers Data'!$AG$4:$AI$9,2,FALSE)=0,"Spatial Data Missing ⚠",VLOOKUP(I250,'G-7 Rivers Data'!$AG$4:$AI$9,2,FALSE)))</f>
        <v/>
      </c>
      <c r="K250" s="499" t="str">
        <f>IF(I250="","",IF(VLOOKUP(I250,'G-7 Rivers Data'!$AG$4:$AI$9,3,FALSE)=0,"Spatial Data Missing ⚠",VLOOKUP(I250,'G-7 Rivers Data'!$AG$4:$AI$9,3,FALSE)))</f>
        <v/>
      </c>
      <c r="L250" s="635" t="str">
        <f>IFERROR(INDEX('G-7 Rivers Data'!$O$3:$O$7,MATCH(G250,'G-7 Rivers Data'!$N$3:$N$7,0)),"")</f>
        <v/>
      </c>
      <c r="M250" s="72"/>
      <c r="N250" s="195"/>
      <c r="O250" s="507" t="str">
        <f t="shared" si="19"/>
        <v/>
      </c>
      <c r="P250" s="521" t="str">
        <f t="shared" si="20"/>
        <v/>
      </c>
      <c r="Q250" s="564" t="str">
        <f>IFERROR(IF(P250="Check Data ⚠","Check Data ⚠",VLOOKUP(P250,'G-4 Temporal multipliers'!$A$4:$C$37,3,FALSE)),"")</f>
        <v/>
      </c>
      <c r="R250" s="498" t="str">
        <f>IF(C250="","",VLOOKUP(C250,'G-7 Rivers Data'!$B$4:$G$8,4,FALSE))</f>
        <v/>
      </c>
      <c r="S250" s="507" t="str">
        <f t="shared" si="21"/>
        <v/>
      </c>
      <c r="T250" s="540" t="str">
        <f t="shared" si="22"/>
        <v/>
      </c>
      <c r="U250" s="499" t="str">
        <f t="shared" si="23"/>
        <v/>
      </c>
      <c r="V250" s="71"/>
      <c r="W250" s="499" t="str">
        <f>IF(V250="","",IF(VLOOKUP(V250,'G-7 Rivers Data'!$AA$4:$AB$7,2,FALSE)=0,"Spatial Data Missing ⚠",VLOOKUP(V250,'G-7 Rivers Data'!$AA$4:$AB$7,2,FALSE)))</f>
        <v/>
      </c>
      <c r="X250" s="155"/>
      <c r="Y250" s="499" t="str">
        <f>IF(X250="","",IF(VLOOKUP(X250,'G-7 Rivers Data'!$AD$4:$AE$8,2,FALSE)=0,"Enrcoachment Data Missing ⚠",VLOOKUP(X250,'G-7 Rivers Data'!$AD$4:$AE$8,2,FALSE)))</f>
        <v/>
      </c>
      <c r="Z250" s="154"/>
      <c r="AA250" s="524" t="str">
        <f>IF(Z250="","",VLOOKUP(Z250,'G-7 Rivers Data'!$AO$4:$AP$7,2,FALSE))</f>
        <v/>
      </c>
      <c r="AB250" s="545" t="str">
        <f t="shared" si="24"/>
        <v/>
      </c>
      <c r="AC250" s="149"/>
      <c r="AD250" s="150"/>
      <c r="AK250" s="31" t="str">
        <f>IFERROR(INDEX('G-7 Rivers Data'!$AZ$3:$AZ$7,MATCH(C250,'G-7 Rivers Data'!$AY$3:$AY$7,0)),"")</f>
        <v/>
      </c>
    </row>
    <row r="251" spans="2:37" ht="14" x14ac:dyDescent="0.3">
      <c r="B251" s="141">
        <v>240</v>
      </c>
      <c r="C251" s="666"/>
      <c r="D251" s="172"/>
      <c r="E251" s="498" t="str">
        <f>IF(C251="","",VLOOKUP(C251,'G-7 Rivers Data'!$B$2:$Z$9,2,FALSE))</f>
        <v/>
      </c>
      <c r="F251" s="499" t="str">
        <f>IFERROR(VLOOKUP(E251,'G-7 Rivers Data'!$C$4:$D$8,2,FALSE),"")</f>
        <v/>
      </c>
      <c r="G251" s="145"/>
      <c r="H251" s="499" t="str">
        <f>IFERROR(INDEX('G-7 Rivers Data'!$H$4:$L$8,MATCH(C251,'G-7 Rivers Data'!$B$4:$B$8,0),MATCH(G251,'G-7 Rivers Data'!$H$3:$L$3,0)),"")</f>
        <v/>
      </c>
      <c r="I251" s="145"/>
      <c r="J251" s="540" t="str">
        <f>IF(I251="","",IF(VLOOKUP(I251,'G-7 Rivers Data'!$AG$4:$AI$9,2,FALSE)=0,"Spatial Data Missing ⚠",VLOOKUP(I251,'G-7 Rivers Data'!$AG$4:$AI$9,2,FALSE)))</f>
        <v/>
      </c>
      <c r="K251" s="499" t="str">
        <f>IF(I251="","",IF(VLOOKUP(I251,'G-7 Rivers Data'!$AG$4:$AI$9,3,FALSE)=0,"Spatial Data Missing ⚠",VLOOKUP(I251,'G-7 Rivers Data'!$AG$4:$AI$9,3,FALSE)))</f>
        <v/>
      </c>
      <c r="L251" s="635" t="str">
        <f>IFERROR(INDEX('G-7 Rivers Data'!$O$3:$O$7,MATCH(G251,'G-7 Rivers Data'!$N$3:$N$7,0)),"")</f>
        <v/>
      </c>
      <c r="M251" s="72"/>
      <c r="N251" s="195"/>
      <c r="O251" s="507" t="str">
        <f t="shared" si="19"/>
        <v/>
      </c>
      <c r="P251" s="521" t="str">
        <f t="shared" si="20"/>
        <v/>
      </c>
      <c r="Q251" s="564" t="str">
        <f>IFERROR(IF(P251="Check Data ⚠","Check Data ⚠",VLOOKUP(P251,'G-4 Temporal multipliers'!$A$4:$C$37,3,FALSE)),"")</f>
        <v/>
      </c>
      <c r="R251" s="498" t="str">
        <f>IF(C251="","",VLOOKUP(C251,'G-7 Rivers Data'!$B$4:$G$8,4,FALSE))</f>
        <v/>
      </c>
      <c r="S251" s="507" t="str">
        <f t="shared" si="21"/>
        <v/>
      </c>
      <c r="T251" s="540" t="str">
        <f t="shared" si="22"/>
        <v/>
      </c>
      <c r="U251" s="499" t="str">
        <f t="shared" si="23"/>
        <v/>
      </c>
      <c r="V251" s="71"/>
      <c r="W251" s="499" t="str">
        <f>IF(V251="","",IF(VLOOKUP(V251,'G-7 Rivers Data'!$AA$4:$AB$7,2,FALSE)=0,"Spatial Data Missing ⚠",VLOOKUP(V251,'G-7 Rivers Data'!$AA$4:$AB$7,2,FALSE)))</f>
        <v/>
      </c>
      <c r="X251" s="155"/>
      <c r="Y251" s="499" t="str">
        <f>IF(X251="","",IF(VLOOKUP(X251,'G-7 Rivers Data'!$AD$4:$AE$8,2,FALSE)=0,"Enrcoachment Data Missing ⚠",VLOOKUP(X251,'G-7 Rivers Data'!$AD$4:$AE$8,2,FALSE)))</f>
        <v/>
      </c>
      <c r="Z251" s="154"/>
      <c r="AA251" s="524" t="str">
        <f>IF(Z251="","",VLOOKUP(Z251,'G-7 Rivers Data'!$AO$4:$AP$7,2,FALSE))</f>
        <v/>
      </c>
      <c r="AB251" s="545" t="str">
        <f t="shared" si="24"/>
        <v/>
      </c>
      <c r="AC251" s="149"/>
      <c r="AD251" s="150"/>
      <c r="AK251" s="31" t="str">
        <f>IFERROR(INDEX('G-7 Rivers Data'!$AZ$3:$AZ$7,MATCH(C251,'G-7 Rivers Data'!$AY$3:$AY$7,0)),"")</f>
        <v/>
      </c>
    </row>
    <row r="252" spans="2:37" ht="14" x14ac:dyDescent="0.3">
      <c r="B252" s="141">
        <v>241</v>
      </c>
      <c r="C252" s="666"/>
      <c r="D252" s="172"/>
      <c r="E252" s="498" t="str">
        <f>IF(C252="","",VLOOKUP(C252,'G-7 Rivers Data'!$B$2:$Z$9,2,FALSE))</f>
        <v/>
      </c>
      <c r="F252" s="499" t="str">
        <f>IFERROR(VLOOKUP(E252,'G-7 Rivers Data'!$C$4:$D$8,2,FALSE),"")</f>
        <v/>
      </c>
      <c r="G252" s="145"/>
      <c r="H252" s="499" t="str">
        <f>IFERROR(INDEX('G-7 Rivers Data'!$H$4:$L$8,MATCH(C252,'G-7 Rivers Data'!$B$4:$B$8,0),MATCH(G252,'G-7 Rivers Data'!$H$3:$L$3,0)),"")</f>
        <v/>
      </c>
      <c r="I252" s="145"/>
      <c r="J252" s="540" t="str">
        <f>IF(I252="","",IF(VLOOKUP(I252,'G-7 Rivers Data'!$AG$4:$AI$9,2,FALSE)=0,"Spatial Data Missing ⚠",VLOOKUP(I252,'G-7 Rivers Data'!$AG$4:$AI$9,2,FALSE)))</f>
        <v/>
      </c>
      <c r="K252" s="499" t="str">
        <f>IF(I252="","",IF(VLOOKUP(I252,'G-7 Rivers Data'!$AG$4:$AI$9,3,FALSE)=0,"Spatial Data Missing ⚠",VLOOKUP(I252,'G-7 Rivers Data'!$AG$4:$AI$9,3,FALSE)))</f>
        <v/>
      </c>
      <c r="L252" s="635" t="str">
        <f>IFERROR(INDEX('G-7 Rivers Data'!$O$3:$O$7,MATCH(G252,'G-7 Rivers Data'!$N$3:$N$7,0)),"")</f>
        <v/>
      </c>
      <c r="M252" s="72"/>
      <c r="N252" s="195"/>
      <c r="O252" s="507" t="str">
        <f t="shared" si="19"/>
        <v/>
      </c>
      <c r="P252" s="521" t="str">
        <f t="shared" si="20"/>
        <v/>
      </c>
      <c r="Q252" s="564" t="str">
        <f>IFERROR(IF(P252="Check Data ⚠","Check Data ⚠",VLOOKUP(P252,'G-4 Temporal multipliers'!$A$4:$C$37,3,FALSE)),"")</f>
        <v/>
      </c>
      <c r="R252" s="498" t="str">
        <f>IF(C252="","",VLOOKUP(C252,'G-7 Rivers Data'!$B$4:$G$8,4,FALSE))</f>
        <v/>
      </c>
      <c r="S252" s="507" t="str">
        <f t="shared" si="21"/>
        <v/>
      </c>
      <c r="T252" s="540" t="str">
        <f t="shared" si="22"/>
        <v/>
      </c>
      <c r="U252" s="499" t="str">
        <f t="shared" si="23"/>
        <v/>
      </c>
      <c r="V252" s="71"/>
      <c r="W252" s="499" t="str">
        <f>IF(V252="","",IF(VLOOKUP(V252,'G-7 Rivers Data'!$AA$4:$AB$7,2,FALSE)=0,"Spatial Data Missing ⚠",VLOOKUP(V252,'G-7 Rivers Data'!$AA$4:$AB$7,2,FALSE)))</f>
        <v/>
      </c>
      <c r="X252" s="155"/>
      <c r="Y252" s="499" t="str">
        <f>IF(X252="","",IF(VLOOKUP(X252,'G-7 Rivers Data'!$AD$4:$AE$8,2,FALSE)=0,"Enrcoachment Data Missing ⚠",VLOOKUP(X252,'G-7 Rivers Data'!$AD$4:$AE$8,2,FALSE)))</f>
        <v/>
      </c>
      <c r="Z252" s="154"/>
      <c r="AA252" s="524" t="str">
        <f>IF(Z252="","",VLOOKUP(Z252,'G-7 Rivers Data'!$AO$4:$AP$7,2,FALSE))</f>
        <v/>
      </c>
      <c r="AB252" s="545" t="str">
        <f t="shared" si="24"/>
        <v/>
      </c>
      <c r="AC252" s="149"/>
      <c r="AD252" s="150"/>
      <c r="AK252" s="31" t="str">
        <f>IFERROR(INDEX('G-7 Rivers Data'!$AZ$3:$AZ$7,MATCH(C252,'G-7 Rivers Data'!$AY$3:$AY$7,0)),"")</f>
        <v/>
      </c>
    </row>
    <row r="253" spans="2:37" ht="14" x14ac:dyDescent="0.3">
      <c r="B253" s="141">
        <v>242</v>
      </c>
      <c r="C253" s="666"/>
      <c r="D253" s="172"/>
      <c r="E253" s="498" t="str">
        <f>IF(C253="","",VLOOKUP(C253,'G-7 Rivers Data'!$B$2:$Z$9,2,FALSE))</f>
        <v/>
      </c>
      <c r="F253" s="499" t="str">
        <f>IFERROR(VLOOKUP(E253,'G-7 Rivers Data'!$C$4:$D$8,2,FALSE),"")</f>
        <v/>
      </c>
      <c r="G253" s="145"/>
      <c r="H253" s="499" t="str">
        <f>IFERROR(INDEX('G-7 Rivers Data'!$H$4:$L$8,MATCH(C253,'G-7 Rivers Data'!$B$4:$B$8,0),MATCH(G253,'G-7 Rivers Data'!$H$3:$L$3,0)),"")</f>
        <v/>
      </c>
      <c r="I253" s="145"/>
      <c r="J253" s="540" t="str">
        <f>IF(I253="","",IF(VLOOKUP(I253,'G-7 Rivers Data'!$AG$4:$AI$9,2,FALSE)=0,"Spatial Data Missing ⚠",VLOOKUP(I253,'G-7 Rivers Data'!$AG$4:$AI$9,2,FALSE)))</f>
        <v/>
      </c>
      <c r="K253" s="499" t="str">
        <f>IF(I253="","",IF(VLOOKUP(I253,'G-7 Rivers Data'!$AG$4:$AI$9,3,FALSE)=0,"Spatial Data Missing ⚠",VLOOKUP(I253,'G-7 Rivers Data'!$AG$4:$AI$9,3,FALSE)))</f>
        <v/>
      </c>
      <c r="L253" s="635" t="str">
        <f>IFERROR(INDEX('G-7 Rivers Data'!$O$3:$O$7,MATCH(G253,'G-7 Rivers Data'!$N$3:$N$7,0)),"")</f>
        <v/>
      </c>
      <c r="M253" s="72"/>
      <c r="N253" s="195"/>
      <c r="O253" s="507" t="str">
        <f t="shared" si="19"/>
        <v/>
      </c>
      <c r="P253" s="521" t="str">
        <f t="shared" si="20"/>
        <v/>
      </c>
      <c r="Q253" s="564" t="str">
        <f>IFERROR(IF(P253="Check Data ⚠","Check Data ⚠",VLOOKUP(P253,'G-4 Temporal multipliers'!$A$4:$C$37,3,FALSE)),"")</f>
        <v/>
      </c>
      <c r="R253" s="498" t="str">
        <f>IF(C253="","",VLOOKUP(C253,'G-7 Rivers Data'!$B$4:$G$8,4,FALSE))</f>
        <v/>
      </c>
      <c r="S253" s="507" t="str">
        <f t="shared" si="21"/>
        <v/>
      </c>
      <c r="T253" s="540" t="str">
        <f t="shared" si="22"/>
        <v/>
      </c>
      <c r="U253" s="499" t="str">
        <f t="shared" si="23"/>
        <v/>
      </c>
      <c r="V253" s="71"/>
      <c r="W253" s="499" t="str">
        <f>IF(V253="","",IF(VLOOKUP(V253,'G-7 Rivers Data'!$AA$4:$AB$7,2,FALSE)=0,"Spatial Data Missing ⚠",VLOOKUP(V253,'G-7 Rivers Data'!$AA$4:$AB$7,2,FALSE)))</f>
        <v/>
      </c>
      <c r="X253" s="155"/>
      <c r="Y253" s="499" t="str">
        <f>IF(X253="","",IF(VLOOKUP(X253,'G-7 Rivers Data'!$AD$4:$AE$8,2,FALSE)=0,"Enrcoachment Data Missing ⚠",VLOOKUP(X253,'G-7 Rivers Data'!$AD$4:$AE$8,2,FALSE)))</f>
        <v/>
      </c>
      <c r="Z253" s="154"/>
      <c r="AA253" s="524" t="str">
        <f>IF(Z253="","",VLOOKUP(Z253,'G-7 Rivers Data'!$AO$4:$AP$7,2,FALSE))</f>
        <v/>
      </c>
      <c r="AB253" s="545" t="str">
        <f t="shared" si="24"/>
        <v/>
      </c>
      <c r="AC253" s="149"/>
      <c r="AD253" s="150"/>
      <c r="AK253" s="31" t="str">
        <f>IFERROR(INDEX('G-7 Rivers Data'!$AZ$3:$AZ$7,MATCH(C253,'G-7 Rivers Data'!$AY$3:$AY$7,0)),"")</f>
        <v/>
      </c>
    </row>
    <row r="254" spans="2:37" ht="14" x14ac:dyDescent="0.3">
      <c r="B254" s="141">
        <v>243</v>
      </c>
      <c r="C254" s="666"/>
      <c r="D254" s="172"/>
      <c r="E254" s="498" t="str">
        <f>IF(C254="","",VLOOKUP(C254,'G-7 Rivers Data'!$B$2:$Z$9,2,FALSE))</f>
        <v/>
      </c>
      <c r="F254" s="499" t="str">
        <f>IFERROR(VLOOKUP(E254,'G-7 Rivers Data'!$C$4:$D$8,2,FALSE),"")</f>
        <v/>
      </c>
      <c r="G254" s="145"/>
      <c r="H254" s="499" t="str">
        <f>IFERROR(INDEX('G-7 Rivers Data'!$H$4:$L$8,MATCH(C254,'G-7 Rivers Data'!$B$4:$B$8,0),MATCH(G254,'G-7 Rivers Data'!$H$3:$L$3,0)),"")</f>
        <v/>
      </c>
      <c r="I254" s="145"/>
      <c r="J254" s="540" t="str">
        <f>IF(I254="","",IF(VLOOKUP(I254,'G-7 Rivers Data'!$AG$4:$AI$9,2,FALSE)=0,"Spatial Data Missing ⚠",VLOOKUP(I254,'G-7 Rivers Data'!$AG$4:$AI$9,2,FALSE)))</f>
        <v/>
      </c>
      <c r="K254" s="499" t="str">
        <f>IF(I254="","",IF(VLOOKUP(I254,'G-7 Rivers Data'!$AG$4:$AI$9,3,FALSE)=0,"Spatial Data Missing ⚠",VLOOKUP(I254,'G-7 Rivers Data'!$AG$4:$AI$9,3,FALSE)))</f>
        <v/>
      </c>
      <c r="L254" s="635" t="str">
        <f>IFERROR(INDEX('G-7 Rivers Data'!$O$3:$O$7,MATCH(G254,'G-7 Rivers Data'!$N$3:$N$7,0)),"")</f>
        <v/>
      </c>
      <c r="M254" s="72"/>
      <c r="N254" s="195"/>
      <c r="O254" s="507" t="str">
        <f t="shared" si="19"/>
        <v/>
      </c>
      <c r="P254" s="521" t="str">
        <f t="shared" si="20"/>
        <v/>
      </c>
      <c r="Q254" s="564" t="str">
        <f>IFERROR(IF(P254="Check Data ⚠","Check Data ⚠",VLOOKUP(P254,'G-4 Temporal multipliers'!$A$4:$C$37,3,FALSE)),"")</f>
        <v/>
      </c>
      <c r="R254" s="498" t="str">
        <f>IF(C254="","",VLOOKUP(C254,'G-7 Rivers Data'!$B$4:$G$8,4,FALSE))</f>
        <v/>
      </c>
      <c r="S254" s="507" t="str">
        <f t="shared" si="21"/>
        <v/>
      </c>
      <c r="T254" s="540" t="str">
        <f t="shared" si="22"/>
        <v/>
      </c>
      <c r="U254" s="499" t="str">
        <f t="shared" si="23"/>
        <v/>
      </c>
      <c r="V254" s="71"/>
      <c r="W254" s="499" t="str">
        <f>IF(V254="","",IF(VLOOKUP(V254,'G-7 Rivers Data'!$AA$4:$AB$7,2,FALSE)=0,"Spatial Data Missing ⚠",VLOOKUP(V254,'G-7 Rivers Data'!$AA$4:$AB$7,2,FALSE)))</f>
        <v/>
      </c>
      <c r="X254" s="155"/>
      <c r="Y254" s="499" t="str">
        <f>IF(X254="","",IF(VLOOKUP(X254,'G-7 Rivers Data'!$AD$4:$AE$8,2,FALSE)=0,"Enrcoachment Data Missing ⚠",VLOOKUP(X254,'G-7 Rivers Data'!$AD$4:$AE$8,2,FALSE)))</f>
        <v/>
      </c>
      <c r="Z254" s="154"/>
      <c r="AA254" s="524" t="str">
        <f>IF(Z254="","",VLOOKUP(Z254,'G-7 Rivers Data'!$AO$4:$AP$7,2,FALSE))</f>
        <v/>
      </c>
      <c r="AB254" s="545" t="str">
        <f t="shared" si="24"/>
        <v/>
      </c>
      <c r="AC254" s="149"/>
      <c r="AD254" s="150"/>
      <c r="AK254" s="31" t="str">
        <f>IFERROR(INDEX('G-7 Rivers Data'!$AZ$3:$AZ$7,MATCH(C254,'G-7 Rivers Data'!$AY$3:$AY$7,0)),"")</f>
        <v/>
      </c>
    </row>
    <row r="255" spans="2:37" ht="14" x14ac:dyDescent="0.3">
      <c r="B255" s="141">
        <v>244</v>
      </c>
      <c r="C255" s="666"/>
      <c r="D255" s="172"/>
      <c r="E255" s="498" t="str">
        <f>IF(C255="","",VLOOKUP(C255,'G-7 Rivers Data'!$B$2:$Z$9,2,FALSE))</f>
        <v/>
      </c>
      <c r="F255" s="499" t="str">
        <f>IFERROR(VLOOKUP(E255,'G-7 Rivers Data'!$C$4:$D$8,2,FALSE),"")</f>
        <v/>
      </c>
      <c r="G255" s="145"/>
      <c r="H255" s="499" t="str">
        <f>IFERROR(INDEX('G-7 Rivers Data'!$H$4:$L$8,MATCH(C255,'G-7 Rivers Data'!$B$4:$B$8,0),MATCH(G255,'G-7 Rivers Data'!$H$3:$L$3,0)),"")</f>
        <v/>
      </c>
      <c r="I255" s="145"/>
      <c r="J255" s="540" t="str">
        <f>IF(I255="","",IF(VLOOKUP(I255,'G-7 Rivers Data'!$AG$4:$AI$9,2,FALSE)=0,"Spatial Data Missing ⚠",VLOOKUP(I255,'G-7 Rivers Data'!$AG$4:$AI$9,2,FALSE)))</f>
        <v/>
      </c>
      <c r="K255" s="499" t="str">
        <f>IF(I255="","",IF(VLOOKUP(I255,'G-7 Rivers Data'!$AG$4:$AI$9,3,FALSE)=0,"Spatial Data Missing ⚠",VLOOKUP(I255,'G-7 Rivers Data'!$AG$4:$AI$9,3,FALSE)))</f>
        <v/>
      </c>
      <c r="L255" s="635" t="str">
        <f>IFERROR(INDEX('G-7 Rivers Data'!$O$3:$O$7,MATCH(G255,'G-7 Rivers Data'!$N$3:$N$7,0)),"")</f>
        <v/>
      </c>
      <c r="M255" s="72"/>
      <c r="N255" s="195"/>
      <c r="O255" s="507" t="str">
        <f t="shared" si="19"/>
        <v/>
      </c>
      <c r="P255" s="521" t="str">
        <f t="shared" si="20"/>
        <v/>
      </c>
      <c r="Q255" s="564" t="str">
        <f>IFERROR(IF(P255="Check Data ⚠","Check Data ⚠",VLOOKUP(P255,'G-4 Temporal multipliers'!$A$4:$C$37,3,FALSE)),"")</f>
        <v/>
      </c>
      <c r="R255" s="498" t="str">
        <f>IF(C255="","",VLOOKUP(C255,'G-7 Rivers Data'!$B$4:$G$8,4,FALSE))</f>
        <v/>
      </c>
      <c r="S255" s="507" t="str">
        <f t="shared" si="21"/>
        <v/>
      </c>
      <c r="T255" s="540" t="str">
        <f t="shared" si="22"/>
        <v/>
      </c>
      <c r="U255" s="499" t="str">
        <f t="shared" si="23"/>
        <v/>
      </c>
      <c r="V255" s="71"/>
      <c r="W255" s="499" t="str">
        <f>IF(V255="","",IF(VLOOKUP(V255,'G-7 Rivers Data'!$AA$4:$AB$7,2,FALSE)=0,"Spatial Data Missing ⚠",VLOOKUP(V255,'G-7 Rivers Data'!$AA$4:$AB$7,2,FALSE)))</f>
        <v/>
      </c>
      <c r="X255" s="155"/>
      <c r="Y255" s="499" t="str">
        <f>IF(X255="","",IF(VLOOKUP(X255,'G-7 Rivers Data'!$AD$4:$AE$8,2,FALSE)=0,"Enrcoachment Data Missing ⚠",VLOOKUP(X255,'G-7 Rivers Data'!$AD$4:$AE$8,2,FALSE)))</f>
        <v/>
      </c>
      <c r="Z255" s="154"/>
      <c r="AA255" s="524" t="str">
        <f>IF(Z255="","",VLOOKUP(Z255,'G-7 Rivers Data'!$AO$4:$AP$7,2,FALSE))</f>
        <v/>
      </c>
      <c r="AB255" s="545" t="str">
        <f t="shared" si="24"/>
        <v/>
      </c>
      <c r="AC255" s="149"/>
      <c r="AD255" s="150"/>
      <c r="AK255" s="31" t="str">
        <f>IFERROR(INDEX('G-7 Rivers Data'!$AZ$3:$AZ$7,MATCH(C255,'G-7 Rivers Data'!$AY$3:$AY$7,0)),"")</f>
        <v/>
      </c>
    </row>
    <row r="256" spans="2:37" ht="14" x14ac:dyDescent="0.3">
      <c r="B256" s="141">
        <v>245</v>
      </c>
      <c r="C256" s="666"/>
      <c r="D256" s="172"/>
      <c r="E256" s="498" t="str">
        <f>IF(C256="","",VLOOKUP(C256,'G-7 Rivers Data'!$B$2:$Z$9,2,FALSE))</f>
        <v/>
      </c>
      <c r="F256" s="499" t="str">
        <f>IFERROR(VLOOKUP(E256,'G-7 Rivers Data'!$C$4:$D$8,2,FALSE),"")</f>
        <v/>
      </c>
      <c r="G256" s="145"/>
      <c r="H256" s="499" t="str">
        <f>IFERROR(INDEX('G-7 Rivers Data'!$H$4:$L$8,MATCH(C256,'G-7 Rivers Data'!$B$4:$B$8,0),MATCH(G256,'G-7 Rivers Data'!$H$3:$L$3,0)),"")</f>
        <v/>
      </c>
      <c r="I256" s="145"/>
      <c r="J256" s="540" t="str">
        <f>IF(I256="","",IF(VLOOKUP(I256,'G-7 Rivers Data'!$AG$4:$AI$9,2,FALSE)=0,"Spatial Data Missing ⚠",VLOOKUP(I256,'G-7 Rivers Data'!$AG$4:$AI$9,2,FALSE)))</f>
        <v/>
      </c>
      <c r="K256" s="499" t="str">
        <f>IF(I256="","",IF(VLOOKUP(I256,'G-7 Rivers Data'!$AG$4:$AI$9,3,FALSE)=0,"Spatial Data Missing ⚠",VLOOKUP(I256,'G-7 Rivers Data'!$AG$4:$AI$9,3,FALSE)))</f>
        <v/>
      </c>
      <c r="L256" s="635" t="str">
        <f>IFERROR(INDEX('G-7 Rivers Data'!$O$3:$O$7,MATCH(G256,'G-7 Rivers Data'!$N$3:$N$7,0)),"")</f>
        <v/>
      </c>
      <c r="M256" s="72"/>
      <c r="N256" s="195"/>
      <c r="O256" s="507" t="str">
        <f t="shared" si="19"/>
        <v/>
      </c>
      <c r="P256" s="521" t="str">
        <f t="shared" si="20"/>
        <v/>
      </c>
      <c r="Q256" s="564" t="str">
        <f>IFERROR(IF(P256="Check Data ⚠","Check Data ⚠",VLOOKUP(P256,'G-4 Temporal multipliers'!$A$4:$C$37,3,FALSE)),"")</f>
        <v/>
      </c>
      <c r="R256" s="498" t="str">
        <f>IF(C256="","",VLOOKUP(C256,'G-7 Rivers Data'!$B$4:$G$8,4,FALSE))</f>
        <v/>
      </c>
      <c r="S256" s="507" t="str">
        <f t="shared" si="21"/>
        <v/>
      </c>
      <c r="T256" s="540" t="str">
        <f t="shared" si="22"/>
        <v/>
      </c>
      <c r="U256" s="499" t="str">
        <f t="shared" si="23"/>
        <v/>
      </c>
      <c r="V256" s="71"/>
      <c r="W256" s="499" t="str">
        <f>IF(V256="","",IF(VLOOKUP(V256,'G-7 Rivers Data'!$AA$4:$AB$7,2,FALSE)=0,"Spatial Data Missing ⚠",VLOOKUP(V256,'G-7 Rivers Data'!$AA$4:$AB$7,2,FALSE)))</f>
        <v/>
      </c>
      <c r="X256" s="155"/>
      <c r="Y256" s="499" t="str">
        <f>IF(X256="","",IF(VLOOKUP(X256,'G-7 Rivers Data'!$AD$4:$AE$8,2,FALSE)=0,"Enrcoachment Data Missing ⚠",VLOOKUP(X256,'G-7 Rivers Data'!$AD$4:$AE$8,2,FALSE)))</f>
        <v/>
      </c>
      <c r="Z256" s="154"/>
      <c r="AA256" s="524" t="str">
        <f>IF(Z256="","",VLOOKUP(Z256,'G-7 Rivers Data'!$AO$4:$AP$7,2,FALSE))</f>
        <v/>
      </c>
      <c r="AB256" s="545" t="str">
        <f t="shared" si="24"/>
        <v/>
      </c>
      <c r="AC256" s="149"/>
      <c r="AD256" s="150"/>
      <c r="AK256" s="31" t="str">
        <f>IFERROR(INDEX('G-7 Rivers Data'!$AZ$3:$AZ$7,MATCH(C256,'G-7 Rivers Data'!$AY$3:$AY$7,0)),"")</f>
        <v/>
      </c>
    </row>
    <row r="257" spans="2:37" ht="14" x14ac:dyDescent="0.3">
      <c r="B257" s="141">
        <v>246</v>
      </c>
      <c r="C257" s="666"/>
      <c r="D257" s="172"/>
      <c r="E257" s="498" t="str">
        <f>IF(C257="","",VLOOKUP(C257,'G-7 Rivers Data'!$B$2:$Z$9,2,FALSE))</f>
        <v/>
      </c>
      <c r="F257" s="499" t="str">
        <f>IFERROR(VLOOKUP(E257,'G-7 Rivers Data'!$C$4:$D$8,2,FALSE),"")</f>
        <v/>
      </c>
      <c r="G257" s="145"/>
      <c r="H257" s="499" t="str">
        <f>IFERROR(INDEX('G-7 Rivers Data'!$H$4:$L$8,MATCH(C257,'G-7 Rivers Data'!$B$4:$B$8,0),MATCH(G257,'G-7 Rivers Data'!$H$3:$L$3,0)),"")</f>
        <v/>
      </c>
      <c r="I257" s="145"/>
      <c r="J257" s="540" t="str">
        <f>IF(I257="","",IF(VLOOKUP(I257,'G-7 Rivers Data'!$AG$4:$AI$9,2,FALSE)=0,"Spatial Data Missing ⚠",VLOOKUP(I257,'G-7 Rivers Data'!$AG$4:$AI$9,2,FALSE)))</f>
        <v/>
      </c>
      <c r="K257" s="499" t="str">
        <f>IF(I257="","",IF(VLOOKUP(I257,'G-7 Rivers Data'!$AG$4:$AI$9,3,FALSE)=0,"Spatial Data Missing ⚠",VLOOKUP(I257,'G-7 Rivers Data'!$AG$4:$AI$9,3,FALSE)))</f>
        <v/>
      </c>
      <c r="L257" s="635" t="str">
        <f>IFERROR(INDEX('G-7 Rivers Data'!$O$3:$O$7,MATCH(G257,'G-7 Rivers Data'!$N$3:$N$7,0)),"")</f>
        <v/>
      </c>
      <c r="M257" s="72"/>
      <c r="N257" s="195"/>
      <c r="O257" s="507" t="str">
        <f t="shared" si="19"/>
        <v/>
      </c>
      <c r="P257" s="521" t="str">
        <f t="shared" si="20"/>
        <v/>
      </c>
      <c r="Q257" s="564" t="str">
        <f>IFERROR(IF(P257="Check Data ⚠","Check Data ⚠",VLOOKUP(P257,'G-4 Temporal multipliers'!$A$4:$C$37,3,FALSE)),"")</f>
        <v/>
      </c>
      <c r="R257" s="498" t="str">
        <f>IF(C257="","",VLOOKUP(C257,'G-7 Rivers Data'!$B$4:$G$8,4,FALSE))</f>
        <v/>
      </c>
      <c r="S257" s="507" t="str">
        <f t="shared" si="21"/>
        <v/>
      </c>
      <c r="T257" s="540" t="str">
        <f t="shared" si="22"/>
        <v/>
      </c>
      <c r="U257" s="499" t="str">
        <f t="shared" si="23"/>
        <v/>
      </c>
      <c r="V257" s="71"/>
      <c r="W257" s="499" t="str">
        <f>IF(V257="","",IF(VLOOKUP(V257,'G-7 Rivers Data'!$AA$4:$AB$7,2,FALSE)=0,"Spatial Data Missing ⚠",VLOOKUP(V257,'G-7 Rivers Data'!$AA$4:$AB$7,2,FALSE)))</f>
        <v/>
      </c>
      <c r="X257" s="155"/>
      <c r="Y257" s="499" t="str">
        <f>IF(X257="","",IF(VLOOKUP(X257,'G-7 Rivers Data'!$AD$4:$AE$8,2,FALSE)=0,"Enrcoachment Data Missing ⚠",VLOOKUP(X257,'G-7 Rivers Data'!$AD$4:$AE$8,2,FALSE)))</f>
        <v/>
      </c>
      <c r="Z257" s="154"/>
      <c r="AA257" s="524" t="str">
        <f>IF(Z257="","",VLOOKUP(Z257,'G-7 Rivers Data'!$AO$4:$AP$7,2,FALSE))</f>
        <v/>
      </c>
      <c r="AB257" s="545" t="str">
        <f t="shared" si="24"/>
        <v/>
      </c>
      <c r="AC257" s="149"/>
      <c r="AD257" s="150"/>
      <c r="AK257" s="31" t="str">
        <f>IFERROR(INDEX('G-7 Rivers Data'!$AZ$3:$AZ$7,MATCH(C257,'G-7 Rivers Data'!$AY$3:$AY$7,0)),"")</f>
        <v/>
      </c>
    </row>
    <row r="258" spans="2:37" ht="14" x14ac:dyDescent="0.3">
      <c r="B258" s="141">
        <v>247</v>
      </c>
      <c r="C258" s="666"/>
      <c r="D258" s="172"/>
      <c r="E258" s="498" t="str">
        <f>IF(C258="","",VLOOKUP(C258,'G-7 Rivers Data'!$B$2:$Z$9,2,FALSE))</f>
        <v/>
      </c>
      <c r="F258" s="499" t="str">
        <f>IFERROR(VLOOKUP(E258,'G-7 Rivers Data'!$C$4:$D$8,2,FALSE),"")</f>
        <v/>
      </c>
      <c r="G258" s="145"/>
      <c r="H258" s="499" t="str">
        <f>IFERROR(INDEX('G-7 Rivers Data'!$H$4:$L$8,MATCH(C258,'G-7 Rivers Data'!$B$4:$B$8,0),MATCH(G258,'G-7 Rivers Data'!$H$3:$L$3,0)),"")</f>
        <v/>
      </c>
      <c r="I258" s="145"/>
      <c r="J258" s="540" t="str">
        <f>IF(I258="","",IF(VLOOKUP(I258,'G-7 Rivers Data'!$AG$4:$AI$9,2,FALSE)=0,"Spatial Data Missing ⚠",VLOOKUP(I258,'G-7 Rivers Data'!$AG$4:$AI$9,2,FALSE)))</f>
        <v/>
      </c>
      <c r="K258" s="499" t="str">
        <f>IF(I258="","",IF(VLOOKUP(I258,'G-7 Rivers Data'!$AG$4:$AI$9,3,FALSE)=0,"Spatial Data Missing ⚠",VLOOKUP(I258,'G-7 Rivers Data'!$AG$4:$AI$9,3,FALSE)))</f>
        <v/>
      </c>
      <c r="L258" s="635" t="str">
        <f>IFERROR(INDEX('G-7 Rivers Data'!$O$3:$O$7,MATCH(G258,'G-7 Rivers Data'!$N$3:$N$7,0)),"")</f>
        <v/>
      </c>
      <c r="M258" s="72"/>
      <c r="N258" s="195"/>
      <c r="O258" s="507" t="str">
        <f t="shared" si="19"/>
        <v/>
      </c>
      <c r="P258" s="521" t="str">
        <f>IF(LEFT(O258,5)="Error ▲","Check Data ⚠",IF(L258="","",IF(M258="30+",0,IF(N258="30+","30+ ⚠",IF(L258+N258&gt;30,"30+ ⚠",IF(L258+N258-M258&gt;0,L258+N258-M258,IF(L258-M258&lt;0,0,L258+N258-M258)))))))</f>
        <v/>
      </c>
      <c r="Q258" s="564" t="str">
        <f>IFERROR(IF(P258="Check Data ⚠","Check Data ⚠",VLOOKUP(P258,'G-4 Temporal multipliers'!$A$4:$C$37,3,FALSE)),"")</f>
        <v/>
      </c>
      <c r="R258" s="498" t="str">
        <f>IF(C258="","",VLOOKUP(C258,'G-7 Rivers Data'!$B$4:$G$8,4,FALSE))</f>
        <v/>
      </c>
      <c r="S258" s="507" t="str">
        <f t="shared" si="21"/>
        <v/>
      </c>
      <c r="T258" s="540" t="str">
        <f>(IF(AND(S258="Standard difficulty applied",L258&gt;M258),R258,IF(AND(S258="No - Low Difficulty - only applicable if all habitat created before losses ⚠",M258&gt;=L258),"Low",R258)))</f>
        <v/>
      </c>
      <c r="U258" s="499" t="str">
        <f t="shared" si="23"/>
        <v/>
      </c>
      <c r="V258" s="71"/>
      <c r="W258" s="499" t="str">
        <f>IF(V258="","",IF(VLOOKUP(V258,'G-7 Rivers Data'!$AA$4:$AB$7,2,FALSE)=0,"Spatial Data Missing ⚠",VLOOKUP(V258,'G-7 Rivers Data'!$AA$4:$AB$7,2,FALSE)))</f>
        <v/>
      </c>
      <c r="X258" s="155"/>
      <c r="Y258" s="499" t="str">
        <f>IF(X258="","",IF(VLOOKUP(X258,'G-7 Rivers Data'!$AD$4:$AE$8,2,FALSE)=0,"Enrcoachment Data Missing ⚠",VLOOKUP(X258,'G-7 Rivers Data'!$AD$4:$AE$8,2,FALSE)))</f>
        <v/>
      </c>
      <c r="Z258" s="154"/>
      <c r="AA258" s="524" t="str">
        <f>IF(Z258="","",VLOOKUP(Z258,'G-7 Rivers Data'!$AO$4:$AP$7,2,FALSE))</f>
        <v/>
      </c>
      <c r="AB258" s="545" t="str">
        <f t="shared" si="24"/>
        <v/>
      </c>
      <c r="AC258" s="149"/>
      <c r="AD258" s="150"/>
      <c r="AK258" s="31" t="str">
        <f>IFERROR(INDEX('G-7 Rivers Data'!$AZ$3:$AZ$7,MATCH(C258,'G-7 Rivers Data'!$AY$3:$AY$7,0)),"")</f>
        <v/>
      </c>
    </row>
    <row r="259" spans="2:37" ht="14.5" thickBot="1" x14ac:dyDescent="0.35">
      <c r="B259" s="158">
        <v>248</v>
      </c>
      <c r="C259" s="667"/>
      <c r="D259" s="160"/>
      <c r="E259" s="500" t="str">
        <f>IF(C259="","",VLOOKUP(C259,'G-7 Rivers Data'!$B$2:$Z$9,2,FALSE))</f>
        <v/>
      </c>
      <c r="F259" s="501" t="str">
        <f>IFERROR(VLOOKUP(E259,'G-7 Rivers Data'!$C$4:$D$8,2,FALSE),"")</f>
        <v/>
      </c>
      <c r="G259" s="161"/>
      <c r="H259" s="501" t="str">
        <f>IFERROR(INDEX('G-7 Rivers Data'!$H$4:$L$8,MATCH(C259,'G-7 Rivers Data'!$B$4:$B$8,0),MATCH(G259,'G-7 Rivers Data'!$H$3:$L$3,0)),"")</f>
        <v/>
      </c>
      <c r="I259" s="161"/>
      <c r="J259" s="540" t="str">
        <f>IF(I259="","",IF(VLOOKUP(I259,'G-7 Rivers Data'!$AG$4:$AI$9,2,FALSE)=0,"Spatial Data Missing ⚠",VLOOKUP(I259,'G-7 Rivers Data'!$AG$4:$AI$9,2,FALSE)))</f>
        <v/>
      </c>
      <c r="K259" s="499" t="str">
        <f>IF(I259="","",IF(VLOOKUP(I259,'G-7 Rivers Data'!$AG$4:$AI$9,3,FALSE)=0,"Spatial Data Missing ⚠",VLOOKUP(I259,'G-7 Rivers Data'!$AG$4:$AI$9,3,FALSE)))</f>
        <v/>
      </c>
      <c r="L259" s="636" t="str">
        <f>IFERROR(INDEX('G-7 Rivers Data'!$O$3:$O$7,MATCH(G259,'G-7 Rivers Data'!$N$3:$N$7,0)),"")</f>
        <v/>
      </c>
      <c r="M259" s="72"/>
      <c r="N259" s="206"/>
      <c r="O259" s="507" t="str">
        <f t="shared" si="19"/>
        <v/>
      </c>
      <c r="P259" s="521" t="str">
        <f t="shared" si="20"/>
        <v/>
      </c>
      <c r="Q259" s="564" t="str">
        <f>IFERROR(IF(P259="Check Data ⚠","Check Data ⚠",VLOOKUP(P259,'G-4 Temporal multipliers'!$A$4:$C$37,3,FALSE)),"")</f>
        <v/>
      </c>
      <c r="R259" s="500" t="str">
        <f>IF(C259="","",VLOOKUP(C259,'G-7 Rivers Data'!$B$4:$G$8,4,FALSE))</f>
        <v/>
      </c>
      <c r="S259" s="507" t="str">
        <f t="shared" si="21"/>
        <v/>
      </c>
      <c r="T259" s="540" t="str">
        <f t="shared" si="22"/>
        <v/>
      </c>
      <c r="U259" s="501" t="str">
        <f t="shared" si="23"/>
        <v/>
      </c>
      <c r="V259" s="452"/>
      <c r="W259" s="499" t="str">
        <f>IF(V259="","",IF(VLOOKUP(V259,'G-7 Rivers Data'!$AA$4:$AB$7,2,FALSE)=0,"Spatial Data Missing ⚠",VLOOKUP(V259,'G-7 Rivers Data'!$AA$4:$AB$7,2,FALSE)))</f>
        <v/>
      </c>
      <c r="X259" s="273"/>
      <c r="Y259" s="499" t="str">
        <f>IF(X259="","",IF(VLOOKUP(X259,'G-7 Rivers Data'!$AD$4:$AE$8,2,FALSE)=0,"Enrcoachment Data Missing ⚠",VLOOKUP(X259,'G-7 Rivers Data'!$AD$4:$AE$8,2,FALSE)))</f>
        <v/>
      </c>
      <c r="Z259" s="161"/>
      <c r="AA259" s="501" t="str">
        <f>IF(Z259="","",VLOOKUP(Z259,'G-7 Rivers Data'!$AO$4:$AP$7,2,FALSE))</f>
        <v/>
      </c>
      <c r="AB259" s="546" t="str">
        <f t="shared" si="24"/>
        <v/>
      </c>
      <c r="AC259" s="163"/>
      <c r="AD259" s="164"/>
      <c r="AK259" s="31" t="str">
        <f>IFERROR(INDEX('G-7 Rivers Data'!$AZ$3:$AZ$7,MATCH(C259,'G-7 Rivers Data'!$AY$3:$AY$7,0)),"")</f>
        <v/>
      </c>
    </row>
    <row r="260" spans="2:37" ht="14.5" thickBot="1" x14ac:dyDescent="0.35">
      <c r="B260" s="46"/>
      <c r="C260" s="277"/>
      <c r="D260" s="503">
        <f>SUM(D12:D259)</f>
        <v>0</v>
      </c>
      <c r="E260" s="46"/>
      <c r="F260" s="46"/>
      <c r="G260" s="46"/>
      <c r="H260" s="46"/>
      <c r="I260" s="46"/>
      <c r="J260" s="46"/>
      <c r="K260" s="46"/>
      <c r="L260" s="46"/>
      <c r="M260" s="46"/>
      <c r="N260" s="46"/>
      <c r="O260" s="46"/>
      <c r="P260" s="46"/>
      <c r="Q260" s="46"/>
      <c r="R260" s="46"/>
      <c r="S260" s="46"/>
      <c r="T260" s="46"/>
      <c r="U260" s="46"/>
      <c r="V260" s="46"/>
      <c r="W260" s="46"/>
      <c r="X260" s="46"/>
      <c r="Y260" s="46"/>
      <c r="Z260" s="1024"/>
      <c r="AA260" s="1026"/>
      <c r="AB260" s="503">
        <f>SUM(AB12:AB259)</f>
        <v>0</v>
      </c>
      <c r="AC260" s="46"/>
      <c r="AD260" s="46"/>
    </row>
    <row r="261" spans="2:37" ht="28.9" customHeight="1" x14ac:dyDescent="0.3"/>
    <row r="262" spans="2:37" ht="27" customHeight="1" x14ac:dyDescent="0.3"/>
    <row r="263" spans="2:37" ht="14" x14ac:dyDescent="0.3"/>
    <row r="264" spans="2:37" ht="14" x14ac:dyDescent="0.3"/>
    <row r="265" spans="2:37" ht="14" x14ac:dyDescent="0.3"/>
    <row r="266" spans="2:37" ht="14" x14ac:dyDescent="0.3"/>
    <row r="267" spans="2:37" ht="14" x14ac:dyDescent="0.3"/>
    <row r="268" spans="2:37" ht="14" x14ac:dyDescent="0.3"/>
    <row r="269" spans="2:37" ht="14" hidden="1" x14ac:dyDescent="0.3"/>
    <row r="270" spans="2:37" ht="14" hidden="1" x14ac:dyDescent="0.3"/>
    <row r="271" spans="2:37" ht="14" hidden="1" x14ac:dyDescent="0.3"/>
    <row r="272" spans="2:37" ht="14" hidden="1" x14ac:dyDescent="0.3"/>
    <row r="273" ht="14" hidden="1" x14ac:dyDescent="0.3"/>
    <row r="274" ht="14" hidden="1" x14ac:dyDescent="0.3"/>
    <row r="275" ht="14" hidden="1" x14ac:dyDescent="0.3"/>
    <row r="1048576" ht="14" x14ac:dyDescent="0.3"/>
  </sheetData>
  <sheetProtection algorithmName="SHA-512" hashValue="3E84xxZkwAQ0zjFuxAe/A7hNxWEfeHWtbF409I3v6ZNWMjd4OUhSMqqLPeijwMyst4ad4bR/gJRtxw1rlzZKHw==" saltValue="+d3YxuEOQdtxWl3abYc2qQ=="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15">
    <mergeCell ref="Z260:AA260"/>
    <mergeCell ref="AC10:AD10"/>
    <mergeCell ref="B2:D2"/>
    <mergeCell ref="B3:D4"/>
    <mergeCell ref="X10:Y10"/>
    <mergeCell ref="L10:Q10"/>
    <mergeCell ref="V10:W10"/>
    <mergeCell ref="I10:K10"/>
    <mergeCell ref="R10:U10"/>
    <mergeCell ref="Z10:AA10"/>
    <mergeCell ref="C10:D10"/>
    <mergeCell ref="E10:F10"/>
    <mergeCell ref="G10:H10"/>
    <mergeCell ref="AB10:AB11"/>
    <mergeCell ref="L2:Q5"/>
  </mergeCells>
  <conditionalFormatting sqref="H12:H259">
    <cfRule type="beginsWith" dxfId="22" priority="7" operator="beginsWith" text="Not Possible">
      <formula>LEFT(H12,LEN("Not Possible"))="Not Possible"</formula>
    </cfRule>
  </conditionalFormatting>
  <conditionalFormatting sqref="J12:K259">
    <cfRule type="containsText" dxfId="21" priority="6" operator="containsText" text="Spatial">
      <formula>NOT(ISERROR(SEARCH("Spatial",J12)))</formula>
    </cfRule>
  </conditionalFormatting>
  <conditionalFormatting sqref="O12:AB259">
    <cfRule type="containsText" dxfId="20" priority="4" operator="containsText" text="Check">
      <formula>NOT(ISERROR(SEARCH("Check",O12)))</formula>
    </cfRule>
    <cfRule type="containsText" dxfId="19" priority="5" operator="containsText" text="Error">
      <formula>NOT(ISERROR(SEARCH("Error",O12)))</formula>
    </cfRule>
  </conditionalFormatting>
  <conditionalFormatting sqref="L12:Q259">
    <cfRule type="containsText" dxfId="18" priority="3" operator="containsText" text="30+">
      <formula>NOT(ISERROR(SEARCH("30+",L12)))</formula>
    </cfRule>
  </conditionalFormatting>
  <conditionalFormatting sqref="L6:P6 L2">
    <cfRule type="containsText" dxfId="17" priority="2" operator="containsText" text="Note">
      <formula>NOT(ISERROR(SEARCH("Note",L2)))</formula>
    </cfRule>
  </conditionalFormatting>
  <conditionalFormatting sqref="W12:Y259">
    <cfRule type="containsText" dxfId="16" priority="1" operator="containsText" text="Spatial">
      <formula>NOT(ISERROR(SEARCH("Spatial",W12)))</formula>
    </cfRule>
  </conditionalFormatting>
  <dataValidations count="1">
    <dataValidation type="list" allowBlank="1" showInputMessage="1" showErrorMessage="1" sqref="G12:G259" xr:uid="{00000000-0002-0000-1A00-000000000000}">
      <formula1>INDIRECT(AK12)</formula1>
    </dataValidation>
  </dataValidations>
  <pageMargins left="0.7" right="0.7" top="0.75" bottom="0.75" header="0.3" footer="0.3"/>
  <pageSetup paperSize="9" orientation="portrait" horizontalDpi="90" verticalDpi="90"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1A00-000001000000}">
          <x14:formula1>
            <xm:f>'G-7 Rivers Data'!$AG$4:$AG$9</xm:f>
          </x14:formula1>
          <xm:sqref>I12:I259</xm:sqref>
        </x14:dataValidation>
        <x14:dataValidation type="list" allowBlank="1" showInputMessage="1" showErrorMessage="1" xr:uid="{00000000-0002-0000-1A00-000003000000}">
          <x14:formula1>
            <xm:f>'G-7 Rivers Data'!$AD$4:$AD$7</xm:f>
          </x14:formula1>
          <xm:sqref>X12:X259</xm:sqref>
        </x14:dataValidation>
        <x14:dataValidation type="list" allowBlank="1" showInputMessage="1" showErrorMessage="1" xr:uid="{00000000-0002-0000-1A00-000004000000}">
          <x14:formula1>
            <xm:f>'G-7 Rivers Data'!$AO$4:$AO$6</xm:f>
          </x14:formula1>
          <xm:sqref>Z12:Z259</xm:sqref>
        </x14:dataValidation>
        <x14:dataValidation type="list" allowBlank="1" showInputMessage="1" showErrorMessage="1" xr:uid="{00000000-0002-0000-1A00-000005000000}">
          <x14:formula1>
            <xm:f>'G-7 Rivers Data'!$B$4:$B$8</xm:f>
          </x14:formula1>
          <xm:sqref>C12:C259</xm:sqref>
        </x14:dataValidation>
        <x14:dataValidation type="list" allowBlank="1" showInputMessage="1" showErrorMessage="1" xr:uid="{00000000-0002-0000-1A00-000006000000}">
          <x14:formula1>
            <xm:f>'G-4 Temporal multipliers'!$A$41:$A$72</xm:f>
          </x14:formula1>
          <xm:sqref>M12:N259</xm:sqref>
        </x14:dataValidation>
        <x14:dataValidation type="list" allowBlank="1" showInputMessage="1" showErrorMessage="1" xr:uid="{9FE2C034-893E-41D1-8D37-6AE30E2BE3D3}">
          <x14:formula1>
            <xm:f>'G-7 Rivers Data'!$AA$4:$AA$7</xm:f>
          </x14:formula1>
          <xm:sqref>V12:V259</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tabColor rgb="FF0033CC"/>
  </sheetPr>
  <dimension ref="A1:BF266"/>
  <sheetViews>
    <sheetView workbookViewId="0"/>
  </sheetViews>
  <sheetFormatPr defaultColWidth="0" defaultRowHeight="0" customHeight="1" zeroHeight="1" x14ac:dyDescent="0.3"/>
  <cols>
    <col min="1" max="1" width="2.81640625" style="31" customWidth="1"/>
    <col min="2" max="2" width="14.1796875" style="31" customWidth="1"/>
    <col min="3" max="3" width="51.1796875" style="31" customWidth="1"/>
    <col min="4" max="4" width="10.453125" style="31" customWidth="1"/>
    <col min="5" max="5" width="17.453125" style="31" customWidth="1"/>
    <col min="6" max="6" width="17.54296875" style="31" customWidth="1"/>
    <col min="7" max="7" width="18.1796875" style="31" customWidth="1"/>
    <col min="8" max="8" width="19.26953125" style="31" customWidth="1"/>
    <col min="9" max="9" width="34.54296875" style="31" customWidth="1"/>
    <col min="10" max="13" width="19.26953125" style="31" customWidth="1"/>
    <col min="14" max="14" width="56.81640625" style="31" customWidth="1"/>
    <col min="15" max="16" width="34.26953125" style="31" customWidth="1"/>
    <col min="17" max="17" width="9.7265625" style="31" customWidth="1"/>
    <col min="18" max="18" width="18.26953125" style="31" customWidth="1"/>
    <col min="19" max="19" width="13.1796875" style="31" customWidth="1"/>
    <col min="20" max="20" width="12.54296875" style="31" bestFit="1" customWidth="1"/>
    <col min="21" max="21" width="12.54296875" style="31" customWidth="1"/>
    <col min="22" max="22" width="33.7265625" style="31" customWidth="1"/>
    <col min="23" max="23" width="15.453125" style="31" customWidth="1"/>
    <col min="24" max="24" width="12.26953125" style="31" customWidth="1"/>
    <col min="25" max="25" width="18.453125" style="31" customWidth="1"/>
    <col min="26" max="26" width="20.453125" style="31" customWidth="1"/>
    <col min="27" max="27" width="23.1796875" style="31" customWidth="1"/>
    <col min="28" max="28" width="26.81640625" style="31" customWidth="1"/>
    <col min="29" max="29" width="18.453125" style="31" customWidth="1"/>
    <col min="30" max="30" width="15.26953125" style="31" customWidth="1"/>
    <col min="31" max="31" width="17.7265625" style="31" customWidth="1"/>
    <col min="32" max="32" width="27.1796875" style="31" customWidth="1"/>
    <col min="33" max="33" width="17.453125" style="31" customWidth="1"/>
    <col min="34" max="34" width="12.7265625" style="31" customWidth="1"/>
    <col min="35" max="35" width="16.7265625" style="31" customWidth="1"/>
    <col min="36" max="36" width="12.7265625" style="31" customWidth="1"/>
    <col min="37" max="37" width="19.54296875" style="31" customWidth="1"/>
    <col min="38" max="38" width="12.7265625" style="31" customWidth="1"/>
    <col min="39" max="39" width="24.7265625" style="31" customWidth="1"/>
    <col min="40" max="41" width="12.7265625" style="31" customWidth="1"/>
    <col min="42" max="42" width="42.1796875" style="31" customWidth="1"/>
    <col min="43" max="43" width="42.453125" style="31" customWidth="1"/>
    <col min="44" max="49" width="8.81640625" style="31" customWidth="1"/>
    <col min="50" max="50" width="8.81640625" style="31" hidden="1" customWidth="1"/>
    <col min="51" max="58" width="0" style="31" hidden="1" customWidth="1"/>
    <col min="59" max="16384" width="8.81640625" style="31" hidden="1"/>
  </cols>
  <sheetData>
    <row r="1" spans="2:50" ht="20.5" customHeight="1" thickBot="1" x14ac:dyDescent="0.35"/>
    <row r="2" spans="2:50" ht="27" customHeight="1" thickBot="1" x14ac:dyDescent="0.35">
      <c r="B2" s="744" t="str">
        <f>IF([2]Start!$F$12="","",[2]Start!$F$12)</f>
        <v/>
      </c>
      <c r="C2" s="746"/>
      <c r="R2" s="132"/>
      <c r="Y2" s="921" t="str">
        <f>IF(OR(COUNTIF($Y$12:Y259,"*30+*")&gt;0,COUNTIF($AC$12:AC259,"*30+*")&gt;0),"Note; Habitat selected has a time to target condition greater than 30 years. Non standard agreement may be required. ⚠","")</f>
        <v/>
      </c>
      <c r="Z2" s="921"/>
      <c r="AA2" s="921"/>
      <c r="AB2" s="921"/>
      <c r="AC2" s="921"/>
      <c r="AD2" s="921"/>
    </row>
    <row r="3" spans="2:50" ht="21" customHeight="1" x14ac:dyDescent="0.3">
      <c r="B3" s="1028" t="str">
        <f ca="1">MID(CELL("filename",A1),FIND("]",CELL("filename",A1))+1,256)</f>
        <v>F-3 Off Site River Enhancement</v>
      </c>
      <c r="C3" s="1029"/>
      <c r="Y3" s="921"/>
      <c r="Z3" s="921"/>
      <c r="AA3" s="921"/>
      <c r="AB3" s="921"/>
      <c r="AC3" s="921"/>
      <c r="AD3" s="921"/>
    </row>
    <row r="4" spans="2:50" ht="21" customHeight="1" thickBot="1" x14ac:dyDescent="0.35">
      <c r="B4" s="1030"/>
      <c r="C4" s="1031"/>
      <c r="Y4" s="921"/>
      <c r="Z4" s="921"/>
      <c r="AA4" s="921"/>
      <c r="AB4" s="921"/>
      <c r="AC4" s="921"/>
      <c r="AD4" s="921"/>
    </row>
    <row r="5" spans="2:50" ht="15.65" customHeight="1" x14ac:dyDescent="0.35">
      <c r="Q5" s="31" t="s">
        <v>340</v>
      </c>
      <c r="AH5" s="193"/>
      <c r="AI5" s="193"/>
      <c r="AJ5" s="193"/>
      <c r="AK5" s="193"/>
      <c r="AL5" s="193"/>
      <c r="AM5" s="193"/>
      <c r="AN5" s="193"/>
    </row>
    <row r="6" spans="2:50" ht="15" customHeight="1" x14ac:dyDescent="0.3"/>
    <row r="7" spans="2:50" ht="14" x14ac:dyDescent="0.3">
      <c r="C7" s="131"/>
    </row>
    <row r="8" spans="2:50" ht="14.5" thickBot="1" x14ac:dyDescent="0.35"/>
    <row r="9" spans="2:50" ht="14.5" thickBot="1" x14ac:dyDescent="0.35">
      <c r="C9" s="131"/>
      <c r="D9" s="131"/>
      <c r="E9" s="131"/>
      <c r="F9" s="131"/>
      <c r="G9" s="131"/>
      <c r="H9" s="131"/>
      <c r="I9" s="131"/>
      <c r="J9" s="131"/>
      <c r="K9" s="131"/>
      <c r="L9" s="131"/>
      <c r="M9" s="131"/>
      <c r="N9" s="951" t="s">
        <v>225</v>
      </c>
      <c r="O9" s="952"/>
      <c r="P9" s="952"/>
      <c r="Q9" s="952"/>
      <c r="R9" s="952"/>
      <c r="S9" s="952"/>
      <c r="T9" s="952"/>
      <c r="U9" s="952"/>
      <c r="V9" s="952"/>
      <c r="W9" s="952"/>
      <c r="X9" s="952"/>
      <c r="Y9" s="952"/>
      <c r="Z9" s="952"/>
      <c r="AA9" s="952"/>
      <c r="AB9" s="952"/>
      <c r="AC9" s="952"/>
      <c r="AD9" s="952"/>
      <c r="AE9" s="952"/>
      <c r="AF9" s="952"/>
      <c r="AG9" s="952"/>
      <c r="AH9" s="952"/>
      <c r="AI9" s="952"/>
      <c r="AJ9" s="952"/>
      <c r="AK9" s="952"/>
      <c r="AL9" s="952"/>
      <c r="AM9" s="952"/>
      <c r="AN9" s="953"/>
      <c r="AO9" s="450"/>
    </row>
    <row r="10" spans="2:50" s="42" customFormat="1" ht="27" customHeight="1" thickBot="1" x14ac:dyDescent="0.35">
      <c r="C10" s="1006" t="s">
        <v>247</v>
      </c>
      <c r="D10" s="1012"/>
      <c r="E10" s="1012"/>
      <c r="F10" s="1012"/>
      <c r="G10" s="1012"/>
      <c r="H10" s="1012"/>
      <c r="I10" s="1012"/>
      <c r="J10" s="1012"/>
      <c r="K10" s="1012"/>
      <c r="L10" s="1012"/>
      <c r="M10" s="1012"/>
      <c r="N10" s="1034" t="s">
        <v>341</v>
      </c>
      <c r="O10" s="1032" t="s">
        <v>249</v>
      </c>
      <c r="P10" s="1033"/>
      <c r="Q10" s="940" t="s">
        <v>294</v>
      </c>
      <c r="R10" s="940" t="s">
        <v>272</v>
      </c>
      <c r="S10" s="940"/>
      <c r="T10" s="940" t="s">
        <v>273</v>
      </c>
      <c r="U10" s="940"/>
      <c r="V10" s="967" t="s">
        <v>191</v>
      </c>
      <c r="W10" s="968"/>
      <c r="X10" s="969"/>
      <c r="Y10" s="967" t="s">
        <v>228</v>
      </c>
      <c r="Z10" s="968"/>
      <c r="AA10" s="968"/>
      <c r="AB10" s="968"/>
      <c r="AC10" s="968"/>
      <c r="AD10" s="969"/>
      <c r="AE10" s="967" t="s">
        <v>229</v>
      </c>
      <c r="AF10" s="968"/>
      <c r="AG10" s="968"/>
      <c r="AH10" s="969"/>
      <c r="AI10" s="940" t="s">
        <v>319</v>
      </c>
      <c r="AJ10" s="940"/>
      <c r="AK10" s="967" t="s">
        <v>320</v>
      </c>
      <c r="AL10" s="969"/>
      <c r="AM10" s="940" t="s">
        <v>283</v>
      </c>
      <c r="AN10" s="967"/>
      <c r="AO10" s="961" t="s">
        <v>329</v>
      </c>
      <c r="AP10" s="880" t="s">
        <v>196</v>
      </c>
      <c r="AQ10" s="878"/>
    </row>
    <row r="11" spans="2:50" ht="60" customHeight="1" thickBot="1" x14ac:dyDescent="0.35">
      <c r="B11" s="135" t="s">
        <v>254</v>
      </c>
      <c r="C11" s="136" t="s">
        <v>255</v>
      </c>
      <c r="D11" s="136" t="s">
        <v>294</v>
      </c>
      <c r="E11" s="136" t="s">
        <v>257</v>
      </c>
      <c r="F11" s="136" t="s">
        <v>258</v>
      </c>
      <c r="G11" s="136" t="s">
        <v>259</v>
      </c>
      <c r="H11" s="136" t="s">
        <v>260</v>
      </c>
      <c r="I11" s="136" t="s">
        <v>261</v>
      </c>
      <c r="J11" s="136" t="s">
        <v>191</v>
      </c>
      <c r="K11" s="136" t="s">
        <v>262</v>
      </c>
      <c r="L11" s="136" t="s">
        <v>309</v>
      </c>
      <c r="M11" s="137" t="s">
        <v>333</v>
      </c>
      <c r="N11" s="1035"/>
      <c r="O11" s="368" t="s">
        <v>310</v>
      </c>
      <c r="P11" s="359" t="s">
        <v>311</v>
      </c>
      <c r="Q11" s="1036"/>
      <c r="R11" s="368" t="s">
        <v>189</v>
      </c>
      <c r="S11" s="202" t="s">
        <v>206</v>
      </c>
      <c r="T11" s="368" t="s">
        <v>190</v>
      </c>
      <c r="U11" s="202" t="s">
        <v>206</v>
      </c>
      <c r="V11" s="368" t="s">
        <v>191</v>
      </c>
      <c r="W11" s="201" t="s">
        <v>191</v>
      </c>
      <c r="X11" s="202" t="s">
        <v>231</v>
      </c>
      <c r="Y11" s="368" t="s">
        <v>304</v>
      </c>
      <c r="Z11" s="201" t="s">
        <v>268</v>
      </c>
      <c r="AA11" s="201" t="s">
        <v>269</v>
      </c>
      <c r="AB11" s="201" t="s">
        <v>235</v>
      </c>
      <c r="AC11" s="201" t="s">
        <v>236</v>
      </c>
      <c r="AD11" s="202" t="s">
        <v>312</v>
      </c>
      <c r="AE11" s="368" t="s">
        <v>313</v>
      </c>
      <c r="AF11" s="201" t="s">
        <v>305</v>
      </c>
      <c r="AG11" s="201" t="s">
        <v>271</v>
      </c>
      <c r="AH11" s="202" t="s">
        <v>241</v>
      </c>
      <c r="AI11" s="368" t="s">
        <v>322</v>
      </c>
      <c r="AJ11" s="202" t="s">
        <v>323</v>
      </c>
      <c r="AK11" s="368" t="s">
        <v>322</v>
      </c>
      <c r="AL11" s="202" t="s">
        <v>323</v>
      </c>
      <c r="AM11" s="368" t="s">
        <v>339</v>
      </c>
      <c r="AN11" s="451" t="s">
        <v>323</v>
      </c>
      <c r="AO11" s="1027"/>
      <c r="AP11" s="141" t="s">
        <v>215</v>
      </c>
      <c r="AQ11" s="359" t="s">
        <v>216</v>
      </c>
      <c r="AX11" s="261" t="s">
        <v>200</v>
      </c>
    </row>
    <row r="12" spans="2:50" ht="14" x14ac:dyDescent="0.3">
      <c r="B12" s="531" t="str">
        <f>'F-1 Off Site River Baseline'!AN10</f>
        <v/>
      </c>
      <c r="C12" s="520" t="str">
        <f>IF(B12="","",VLOOKUP($B12,'F-1 Off Site River Baseline'!$C$9:$R$257,2,FALSE))</f>
        <v/>
      </c>
      <c r="D12" s="520" t="str">
        <f>IF(C12="","",VLOOKUP($B12,'F-1 Off Site River Baseline'!$C$9:$R$257,3,FALSE))</f>
        <v/>
      </c>
      <c r="E12" s="520" t="str">
        <f>IF(D12="","",VLOOKUP($B12,'F-1 Off Site River Baseline'!$C$9:$R$257,4,FALSE))</f>
        <v/>
      </c>
      <c r="F12" s="520" t="str">
        <f>IF(E12="","",VLOOKUP($B12,'F-1 Off Site River Baseline'!$C$9:$R$257,5,FALSE))</f>
        <v/>
      </c>
      <c r="G12" s="520" t="str">
        <f>IF(F12="","",VLOOKUP($B12,'F-1 Off Site River Baseline'!$C$9:$R$257,6,FALSE))</f>
        <v/>
      </c>
      <c r="H12" s="520" t="str">
        <f>IF(G12="","",VLOOKUP($B12,'F-1 Off Site River Baseline'!$C$9:$R$257,7,FALSE))</f>
        <v/>
      </c>
      <c r="I12" s="520" t="str">
        <f>IF(H12="","",VLOOKUP($B12,'F-1 Off Site River Baseline'!$C$9:$R$257,8,FALSE))</f>
        <v/>
      </c>
      <c r="J12" s="520" t="str">
        <f>IF(I12="","",VLOOKUP($B12,'F-1 Off Site River Baseline'!$C$9:$R$257,9,FALSE))</f>
        <v/>
      </c>
      <c r="K12" s="520" t="str">
        <f>IF(J12="","",VLOOKUP($B12,'F-1 Off Site River Baseline'!$C$9:$R$257,10,FALSE))</f>
        <v/>
      </c>
      <c r="L12" s="520" t="str">
        <f>IF(B12="","",VLOOKUP($B12,'C-1 Site River Baseline'!$C$9:$R$257,15,FALSE))</f>
        <v/>
      </c>
      <c r="M12" s="524" t="str">
        <f>IF(L12="","",VLOOKUP($B12,'F-1 Off Site River Baseline'!$C$9:$R$257,16,FALSE))</f>
        <v/>
      </c>
      <c r="N12" s="418" t="str">
        <f t="shared" ref="N12:N76" si="0">C12</f>
        <v/>
      </c>
      <c r="O12" s="498" t="str">
        <f>IF(B12="","",IF(S12&lt;F12,"Error Trading Down ▲",E12&amp;" - "&amp;R12))</f>
        <v/>
      </c>
      <c r="P12" s="499" t="str">
        <f>IF(C12="","",IF(AND(LEFT(C12,55)&lt;&gt;LEFT(N12,55),O12="High - High"),"Error - Not like for like ▲",IF(AND(F12=S12,H12&gt;U12),"Error - Can not reduce condition ▲",IF(AND(F12=S12,H12=U12,AJ12='F-1 Off Site River Baseline'!N10,'F-1 Off Site River Baseline'!P10=AL12),"Error - No enhancement ▲",IF(AND(C12&lt;&gt;N12,F12&lt;S12),"Lower Distinctiveness Habitat"&amp;" - "&amp;T12,G12&amp;" - "&amp;T12)))))</f>
        <v/>
      </c>
      <c r="Q12" s="505" t="str">
        <f>IF(N12="","",VLOOKUP(B12,'F-1 Off Site River Baseline'!$C$10:$AA$257,19,FALSE))</f>
        <v/>
      </c>
      <c r="R12" s="498" t="str">
        <f>IF(N12="","",VLOOKUP(N12,'G-7 Rivers Data'!$B$2:$G$8,2,FALSE))</f>
        <v/>
      </c>
      <c r="S12" s="499" t="str">
        <f>IFERROR(VLOOKUP(R12,'G-7 Rivers Data'!$C$4:$D$8,2,FALSE),"")</f>
        <v/>
      </c>
      <c r="T12" s="145"/>
      <c r="U12" s="499" t="str">
        <f>IFERROR(INDEX('G-7 Rivers Data'!$H$4:$L$8,MATCH(N12,'G-7 Rivers Data'!$B$4:$B$8,0),MATCH(T12,'G-7 Rivers Data'!$H$3:$L$3,0)),"")</f>
        <v/>
      </c>
      <c r="V12" s="154"/>
      <c r="W12" s="520" t="str">
        <f>IF(V12="","",IF(VLOOKUP(V12,'G-7 Rivers Data'!$AG$4:$AI$9,2,FALSE)=0,"Spatial Data Missing ⚠",VLOOKUP(V12,'G-7 Rivers Data'!$AG$4:$AI$9,2,FALSE)))</f>
        <v/>
      </c>
      <c r="X12" s="524" t="str">
        <f>IF(V12="","",IF(VLOOKUP(V12,'G-7 Rivers Data'!$AG$4:$AI$9,3,FALSE)=0,"Spatial Data Missing ⚠",VLOOKUP(V12,'G-7 Rivers Data'!$AG$4:$AI$9,3,FALSE)))</f>
        <v/>
      </c>
      <c r="Y12" s="537" t="str">
        <f>IFERROR(IF(OR(LEFT(P12,5)="Error ▲",LEFT(O12,5)="Error ▲"),"Check Data ⚠",IF(F12&lt;S12,'G-7 Rivers Data'!$R$3,INDEX('G-7 Rivers Data'!$U$5:$Y$9,MATCH(G12,'G-7 Rivers Data'!$T$5:$T$9,0),MATCH(T12,'G-7 Rivers Data'!$U$4:$Y$4,0)))),"")</f>
        <v/>
      </c>
      <c r="Z12" s="203"/>
      <c r="AA12" s="203"/>
      <c r="AB12" s="534" t="str">
        <f t="shared" ref="AB12:AB75" si="1">IF(Y12="","",IF(Y12="Check Data ⚠","Check Data ⚠",IF(AND(Z12&gt;0,AA12&gt;0),"Error -both advance and delayed habitat creation ▲",IF(AND(OR(Z12="Habitat already in target condition",Y12&lt;=Z12),AA12=0),"Check details - Is there evidence that habitat has reached target condition? ⚠",IF(Z12&gt;0,"Check details - Is there evidence habitat creation started/in place? ⚠",IF(AA12&gt;0,"Check details- Delay in starting habitat in required condition? ⚠","Standard time to target condition applied"))))))</f>
        <v/>
      </c>
      <c r="AC12" s="521" t="str">
        <f t="shared" ref="AC12:AC75" si="2">IF(LEFT(AB12,5)="Error ▲","Check Data ⚠",IF(AB12="Check Data ⚠","Check Data ⚠",IF(Y12="","",IF(Z12="30+",0,IF(AA12="30+","30+ ⚠",IF(Y12+AA12&gt;30,"30+ ⚠",IF(Y12+AA12-Z12&gt;0,Y12+AA12-Z12,IF(Y12-Z12&lt;0,0,Y12+AA12-Z12))))))))</f>
        <v/>
      </c>
      <c r="AD12" s="564" t="str">
        <f>IFERROR(IF(AC12="Check Data ⚠","Check Data ⚠",VLOOKUP(AC12,'G-4 Temporal multipliers'!$A$4:$C$37,3,FALSE)),"")</f>
        <v/>
      </c>
      <c r="AE12" s="537" t="str">
        <f>IF(N12="","",VLOOKUP(N12,'G-7 Rivers Data'!$B$4:$G$8,4,FALSE))</f>
        <v/>
      </c>
      <c r="AF12" s="520" t="str">
        <f t="shared" ref="AF12:AF75" si="3">IF(N12="","",IF(AC12="Check Data ⚠","Check Data ⚠",IF(T12="","",IF($AB12="Check details - Is there evidence that habitat has reached target condition? ⚠","Low Difficulty - only applicable if all habitat created before losses ⚠","Standard difficulty applied"))))</f>
        <v/>
      </c>
      <c r="AG12" s="520" t="str">
        <f>(IF(AND(AF12="Standard difficulty applied",Y12&gt;Z12),AE12,IF(AND(AF12="Low Difficulty - only applicable if all habitat created before losses ⚠",Z12&gt;=Y12),"Low",AE12)))</f>
        <v/>
      </c>
      <c r="AH12" s="524" t="str">
        <f t="shared" ref="AH12:AH75" si="4">IF(N12="","",VLOOKUP(AE12,Difficulty,2,FALSE))</f>
        <v/>
      </c>
      <c r="AI12" s="154"/>
      <c r="AJ12" s="499" t="str">
        <f>IF(AI12="","",IF(VLOOKUP(AI12,'G-7 Rivers Data'!$AA$4:$AB$7,2,FALSE)=0,"Spatial Data Missing ⚠",VLOOKUP(AI12,'G-7 Rivers Data'!$AA$4:$AB$7,2,FALSE)))</f>
        <v/>
      </c>
      <c r="AK12" s="155"/>
      <c r="AL12" s="536" t="str">
        <f>IF(AK12="","",IF(VLOOKUP(AK12,'G-7 Rivers Data'!$AD$4:$AE$8,2,FALSE)=0,"Spatial Data Missing ⚠",VLOOKUP(AK12,'G-7 Rivers Data'!$AD$4:$AE$8,2,FALSE)))</f>
        <v/>
      </c>
      <c r="AM12" s="154"/>
      <c r="AN12" s="524" t="str">
        <f>IF(AM12="","",VLOOKUP(AM12,'G-7 Rivers Data'!$AO$4:$AP$7,2,FALSE))</f>
        <v/>
      </c>
      <c r="AO12" s="545" t="str">
        <f>IFERROR(IF(C12="","",IF(Q12&gt;D12,((((Q12*S12*U12)-(D12*F12*H12))*(AH12*AD12))+(D12*F12*H12))*(AL12*X12*AJ12*AN12),((((Q12*S12*U12)-(Q12*F12*H12))*(AH12*AD12))+(Q12*F12*H12))*(AL12*X12*AJ12*AN12))),"")</f>
        <v/>
      </c>
      <c r="AP12" s="149"/>
      <c r="AQ12" s="150"/>
      <c r="AX12" s="31" t="str">
        <f>IFERROR(INDEX('G-7 Rivers Data'!$AZ$3:$AZ$7,MATCH(N12,'G-7 Rivers Data'!$AY$3:$AY$7,0)),"")</f>
        <v/>
      </c>
    </row>
    <row r="13" spans="2:50" ht="14" x14ac:dyDescent="0.3">
      <c r="B13" s="531" t="str">
        <f>'F-1 Off Site River Baseline'!AN11</f>
        <v/>
      </c>
      <c r="C13" s="520" t="str">
        <f>IF(B13="","",VLOOKUP($B13,'F-1 Off Site River Baseline'!$C$9:$R$257,2,FALSE))</f>
        <v/>
      </c>
      <c r="D13" s="520" t="str">
        <f>IF(C13="","",VLOOKUP($B13,'F-1 Off Site River Baseline'!$C$9:$R$257,3,FALSE))</f>
        <v/>
      </c>
      <c r="E13" s="520" t="str">
        <f>IF(D13="","",VLOOKUP($B13,'F-1 Off Site River Baseline'!$C$9:$R$257,4,FALSE))</f>
        <v/>
      </c>
      <c r="F13" s="520" t="str">
        <f>IF(E13="","",VLOOKUP($B13,'F-1 Off Site River Baseline'!$C$9:$R$257,5,FALSE))</f>
        <v/>
      </c>
      <c r="G13" s="520" t="str">
        <f>IF(F13="","",VLOOKUP($B13,'F-1 Off Site River Baseline'!$C$9:$R$257,6,FALSE))</f>
        <v/>
      </c>
      <c r="H13" s="520" t="str">
        <f>IF(G13="","",VLOOKUP($B13,'F-1 Off Site River Baseline'!$C$9:$R$257,7,FALSE))</f>
        <v/>
      </c>
      <c r="I13" s="520" t="str">
        <f>IF(H13="","",VLOOKUP($B13,'F-1 Off Site River Baseline'!$C$9:$R$257,8,FALSE))</f>
        <v/>
      </c>
      <c r="J13" s="520" t="str">
        <f>IF(I13="","",VLOOKUP($B13,'F-1 Off Site River Baseline'!$C$9:$R$257,9,FALSE))</f>
        <v/>
      </c>
      <c r="K13" s="520" t="str">
        <f>IF(J13="","",VLOOKUP($B13,'F-1 Off Site River Baseline'!$C$9:$R$257,10,FALSE))</f>
        <v/>
      </c>
      <c r="L13" s="520" t="str">
        <f>IF(B13="","",VLOOKUP($B13,'C-1 Site River Baseline'!$C$9:$R$257,15,FALSE))</f>
        <v/>
      </c>
      <c r="M13" s="524" t="str">
        <f>IF(L13="","",VLOOKUP($B13,'F-1 Off Site River Baseline'!$C$9:$R$257,16,FALSE))</f>
        <v/>
      </c>
      <c r="N13" s="418" t="str">
        <f t="shared" si="0"/>
        <v/>
      </c>
      <c r="O13" s="498" t="str">
        <f t="shared" ref="O13:O76" si="5">IF(B13="","",IF(S13&lt;F13,"Error Trading Down ▲",E13&amp;" - "&amp;R13))</f>
        <v/>
      </c>
      <c r="P13" s="499" t="str">
        <f>IF(C13="","",IF(AND(LEFT(C13,55)&lt;&gt;LEFT(N13,55),O13="High - High"),"Error - Not like for like ▲",IF(AND(F13=S13,H13&gt;U13),"Error - Can not reduce condition ▲",IF(AND(F13=S13,H13=U13,AJ13='F-1 Off Site River Baseline'!N11,'F-1 Off Site River Baseline'!P11=AL13),"Error - No enhancement ▲",IF(AND(C13&lt;&gt;N13,F13&lt;S13),"Lower Distinctiveness Habitat"&amp;" - "&amp;T13,G13&amp;" - "&amp;T13)))))</f>
        <v/>
      </c>
      <c r="Q13" s="505" t="str">
        <f>IF(N13="","",VLOOKUP(B13,'F-1 Off Site River Baseline'!$C$10:$AA$257,19,FALSE))</f>
        <v/>
      </c>
      <c r="R13" s="498" t="str">
        <f>IF(N13="","",VLOOKUP(N13,'G-7 Rivers Data'!$B$2:$G$8,2,FALSE))</f>
        <v/>
      </c>
      <c r="S13" s="499" t="str">
        <f>IFERROR(VLOOKUP(R13,'G-7 Rivers Data'!$C$4:$D$8,2,FALSE),"")</f>
        <v/>
      </c>
      <c r="T13" s="145"/>
      <c r="U13" s="499" t="str">
        <f>IFERROR(INDEX('G-7 Rivers Data'!$H$4:$L$8,MATCH(N13,'G-7 Rivers Data'!$B$4:$B$8,0),MATCH(T13,'G-7 Rivers Data'!$H$3:$L$3,0)),"")</f>
        <v/>
      </c>
      <c r="V13" s="154"/>
      <c r="W13" s="520" t="str">
        <f>IF(V13="","",IF(VLOOKUP(V13,'G-7 Rivers Data'!$AG$4:$AI$9,2,FALSE)=0,"Spatial Data Missing ⚠",VLOOKUP(V13,'G-7 Rivers Data'!$AG$4:$AI$9,2,FALSE)))</f>
        <v/>
      </c>
      <c r="X13" s="524" t="str">
        <f>IF(V13="","",IF(VLOOKUP(V13,'G-7 Rivers Data'!$AG$4:$AI$9,3,FALSE)=0,"Spatial Data Missing ⚠",VLOOKUP(V13,'G-7 Rivers Data'!$AG$4:$AI$9,3,FALSE)))</f>
        <v/>
      </c>
      <c r="Y13" s="537" t="str">
        <f>IFERROR(IF(OR(LEFT(P13,5)="Error ▲",LEFT(O13,5)="Error ▲"),"Check Data ⚠",IF(F13&lt;S13,'G-7 Rivers Data'!$R$3,INDEX('G-7 Rivers Data'!$U$5:$Y$9,MATCH(G13,'G-7 Rivers Data'!$T$5:$T$9,0),MATCH(T13,'G-7 Rivers Data'!$U$4:$Y$4,0)))),"")</f>
        <v/>
      </c>
      <c r="Z13" s="203"/>
      <c r="AA13" s="203"/>
      <c r="AB13" s="534" t="str">
        <f t="shared" si="1"/>
        <v/>
      </c>
      <c r="AC13" s="521" t="str">
        <f t="shared" si="2"/>
        <v/>
      </c>
      <c r="AD13" s="564" t="str">
        <f>IFERROR(IF(AC13="Check Data ⚠","Check Data ⚠",VLOOKUP(AC13,'G-4 Temporal multipliers'!$A$4:$C$37,3,FALSE)),"")</f>
        <v/>
      </c>
      <c r="AE13" s="537" t="str">
        <f>IF(N13="","",VLOOKUP(N13,'G-7 Rivers Data'!$B$4:$G$8,5,FALSE))</f>
        <v/>
      </c>
      <c r="AF13" s="520" t="str">
        <f t="shared" si="3"/>
        <v/>
      </c>
      <c r="AG13" s="520" t="str">
        <f t="shared" ref="AG13:AG76" si="6">(IF(AND(AF13="Standard difficulty applied",Y13&gt;Z13),AE13,IF(AND(AF13="Low Difficulty - only applicable if all habitat created before losses ⚠",Z13&gt;=Y13),"Low",AE13)))</f>
        <v/>
      </c>
      <c r="AH13" s="524" t="str">
        <f t="shared" si="4"/>
        <v/>
      </c>
      <c r="AI13" s="145"/>
      <c r="AJ13" s="499" t="str">
        <f>IF(AI13="","",IF(VLOOKUP(AI13,'G-7 Rivers Data'!$AA$4:$AB$7,2,FALSE)=0,"Spatial Data Missing ⚠",VLOOKUP(AI13,'G-7 Rivers Data'!$AA$4:$AB$7,2,FALSE)))</f>
        <v/>
      </c>
      <c r="AK13" s="155"/>
      <c r="AL13" s="536" t="str">
        <f>IF(AK13="","",IF(VLOOKUP(AK13,'G-7 Rivers Data'!$AD$4:$AE$8,2,FALSE)=0,"Spatial Data Missing ⚠",VLOOKUP(AK13,'G-7 Rivers Data'!$AD$4:$AE$8,2,FALSE)))</f>
        <v/>
      </c>
      <c r="AM13" s="154"/>
      <c r="AN13" s="524" t="str">
        <f>IF(AM13="","",VLOOKUP(AM13,'G-7 Rivers Data'!$AO$4:$AP$7,2,FALSE))</f>
        <v/>
      </c>
      <c r="AO13" s="545" t="str">
        <f t="shared" ref="AO13:AO76" si="7">IFERROR(IF(C13="","",IF(Q13&gt;D13,((((Q13*S13*U13)-(D13*F13*H13))*(AH13*AD13))+(D13*F13*H13))*(AL13*X13*AJ13*AN13),((((Q13*S13*U13)-(Q13*F13*H13))*(AH13*AD13))+(Q13*F13*H13))*(AL13*X13*AJ13*AN13))),"")</f>
        <v/>
      </c>
      <c r="AP13" s="149"/>
      <c r="AQ13" s="150"/>
      <c r="AX13" s="31" t="str">
        <f>IFERROR(INDEX('G-7 Rivers Data'!$AZ$3:$AZ$7,MATCH(N13,'G-7 Rivers Data'!$AY$3:$AY$7,0)),"")</f>
        <v/>
      </c>
    </row>
    <row r="14" spans="2:50" ht="14" x14ac:dyDescent="0.3">
      <c r="B14" s="531" t="str">
        <f>'F-1 Off Site River Baseline'!AN12</f>
        <v/>
      </c>
      <c r="C14" s="520" t="str">
        <f>IF(B14="","",VLOOKUP($B14,'F-1 Off Site River Baseline'!$C$9:$R$257,2,FALSE))</f>
        <v/>
      </c>
      <c r="D14" s="520" t="str">
        <f>IF(C14="","",VLOOKUP($B14,'F-1 Off Site River Baseline'!$C$9:$R$257,3,FALSE))</f>
        <v/>
      </c>
      <c r="E14" s="520" t="str">
        <f>IF(D14="","",VLOOKUP($B14,'F-1 Off Site River Baseline'!$C$9:$R$257,4,FALSE))</f>
        <v/>
      </c>
      <c r="F14" s="520" t="str">
        <f>IF(E14="","",VLOOKUP($B14,'F-1 Off Site River Baseline'!$C$9:$R$257,5,FALSE))</f>
        <v/>
      </c>
      <c r="G14" s="520" t="str">
        <f>IF(F14="","",VLOOKUP($B14,'F-1 Off Site River Baseline'!$C$9:$R$257,6,FALSE))</f>
        <v/>
      </c>
      <c r="H14" s="520" t="str">
        <f>IF(G14="","",VLOOKUP($B14,'F-1 Off Site River Baseline'!$C$9:$R$257,7,FALSE))</f>
        <v/>
      </c>
      <c r="I14" s="520" t="str">
        <f>IF(H14="","",VLOOKUP($B14,'F-1 Off Site River Baseline'!$C$9:$R$257,8,FALSE))</f>
        <v/>
      </c>
      <c r="J14" s="520" t="str">
        <f>IF(I14="","",VLOOKUP($B14,'F-1 Off Site River Baseline'!$C$9:$R$257,9,FALSE))</f>
        <v/>
      </c>
      <c r="K14" s="520" t="str">
        <f>IF(J14="","",VLOOKUP($B14,'F-1 Off Site River Baseline'!$C$9:$R$257,10,FALSE))</f>
        <v/>
      </c>
      <c r="L14" s="520" t="str">
        <f>IF(B14="","",VLOOKUP($B14,'C-1 Site River Baseline'!$C$9:$R$257,15,FALSE))</f>
        <v/>
      </c>
      <c r="M14" s="524" t="str">
        <f>IF(L14="","",VLOOKUP($B14,'F-1 Off Site River Baseline'!$C$9:$R$257,16,FALSE))</f>
        <v/>
      </c>
      <c r="N14" s="418" t="str">
        <f t="shared" si="0"/>
        <v/>
      </c>
      <c r="O14" s="498" t="str">
        <f t="shared" si="5"/>
        <v/>
      </c>
      <c r="P14" s="499" t="str">
        <f>IF(C14="","",IF(AND(LEFT(C14,55)&lt;&gt;LEFT(N14,55),O14="High - High"),"Error - Not like for like ▲",IF(AND(F14=S14,H14&gt;U14),"Error - Can not reduce condition ▲",IF(AND(F14=S14,H14=U14,AJ14='F-1 Off Site River Baseline'!N12,'F-1 Off Site River Baseline'!P12=AL14),"Error - No enhancement ▲",IF(AND(C14&lt;&gt;N14,F14&lt;S14),"Lower Distinctiveness Habitat"&amp;" - "&amp;T14,G14&amp;" - "&amp;T14)))))</f>
        <v/>
      </c>
      <c r="Q14" s="505" t="str">
        <f>IF(N14="","",VLOOKUP(B14,'F-1 Off Site River Baseline'!$C$10:$AA$257,19,FALSE))</f>
        <v/>
      </c>
      <c r="R14" s="498" t="str">
        <f>IF(N14="","",VLOOKUP(N14,'G-7 Rivers Data'!$B$2:$G$8,2,FALSE))</f>
        <v/>
      </c>
      <c r="S14" s="499" t="str">
        <f>IFERROR(VLOOKUP(R14,'G-7 Rivers Data'!$C$4:$D$8,2,FALSE),"")</f>
        <v/>
      </c>
      <c r="T14" s="145"/>
      <c r="U14" s="499" t="str">
        <f>IFERROR(INDEX('G-7 Rivers Data'!$H$4:$L$8,MATCH(N14,'G-7 Rivers Data'!$B$4:$B$8,0),MATCH(T14,'G-7 Rivers Data'!$H$3:$L$3,0)),"")</f>
        <v/>
      </c>
      <c r="V14" s="154"/>
      <c r="W14" s="520" t="str">
        <f>IF(V14="","",IF(VLOOKUP(V14,'G-7 Rivers Data'!$AG$4:$AI$9,2,FALSE)=0,"Spatial Data Missing ⚠",VLOOKUP(V14,'G-7 Rivers Data'!$AG$4:$AI$9,2,FALSE)))</f>
        <v/>
      </c>
      <c r="X14" s="524" t="str">
        <f>IF(V14="","",IF(VLOOKUP(V14,'G-7 Rivers Data'!$AG$4:$AI$9,3,FALSE)=0,"Spatial Data Missing ⚠",VLOOKUP(V14,'G-7 Rivers Data'!$AG$4:$AI$9,3,FALSE)))</f>
        <v/>
      </c>
      <c r="Y14" s="537" t="str">
        <f>IFERROR(IF(OR(LEFT(P14,5)="Error ▲",LEFT(O14,5)="Error ▲"),"Check Data ⚠",IF(F14&lt;S14,'G-7 Rivers Data'!$R$3,INDEX('G-7 Rivers Data'!$U$5:$Y$9,MATCH(G14,'G-7 Rivers Data'!$T$5:$T$9,0),MATCH(T14,'G-7 Rivers Data'!$U$4:$Y$4,0)))),"")</f>
        <v/>
      </c>
      <c r="Z14" s="203"/>
      <c r="AA14" s="203"/>
      <c r="AB14" s="534" t="str">
        <f t="shared" si="1"/>
        <v/>
      </c>
      <c r="AC14" s="521" t="str">
        <f t="shared" si="2"/>
        <v/>
      </c>
      <c r="AD14" s="564" t="str">
        <f>IFERROR(IF(AC14="Check Data ⚠","Check Data ⚠",VLOOKUP(AC14,'G-4 Temporal multipliers'!$A$4:$C$37,3,FALSE)),"")</f>
        <v/>
      </c>
      <c r="AE14" s="537" t="str">
        <f>IF(N14="","",VLOOKUP(N14,'G-7 Rivers Data'!$B$4:$G$8,5,FALSE))</f>
        <v/>
      </c>
      <c r="AF14" s="520" t="str">
        <f t="shared" si="3"/>
        <v/>
      </c>
      <c r="AG14" s="520" t="str">
        <f t="shared" si="6"/>
        <v/>
      </c>
      <c r="AH14" s="524" t="str">
        <f t="shared" si="4"/>
        <v/>
      </c>
      <c r="AI14" s="145"/>
      <c r="AJ14" s="499" t="str">
        <f>IF(AI14="","",IF(VLOOKUP(AI14,'G-7 Rivers Data'!$AA$4:$AB$7,2,FALSE)=0,"Spatial Data Missing ⚠",VLOOKUP(AI14,'G-7 Rivers Data'!$AA$4:$AB$7,2,FALSE)))</f>
        <v/>
      </c>
      <c r="AK14" s="155"/>
      <c r="AL14" s="536" t="str">
        <f>IF(AK14="","",IF(VLOOKUP(AK14,'G-7 Rivers Data'!$AD$4:$AE$8,2,FALSE)=0,"Spatial Data Missing ⚠",VLOOKUP(AK14,'G-7 Rivers Data'!$AD$4:$AE$8,2,FALSE)))</f>
        <v/>
      </c>
      <c r="AM14" s="154"/>
      <c r="AN14" s="524" t="str">
        <f>IF(AM14="","",VLOOKUP(AM14,'G-7 Rivers Data'!$AO$4:$AP$7,2,FALSE))</f>
        <v/>
      </c>
      <c r="AO14" s="545" t="str">
        <f t="shared" si="7"/>
        <v/>
      </c>
      <c r="AP14" s="149"/>
      <c r="AQ14" s="150"/>
      <c r="AX14" s="31" t="str">
        <f>IFERROR(INDEX('G-7 Rivers Data'!$AZ$3:$AZ$7,MATCH(N14,'G-7 Rivers Data'!$AY$3:$AY$7,0)),"")</f>
        <v/>
      </c>
    </row>
    <row r="15" spans="2:50" ht="14" x14ac:dyDescent="0.3">
      <c r="B15" s="531" t="str">
        <f>'F-1 Off Site River Baseline'!AN13</f>
        <v/>
      </c>
      <c r="C15" s="520" t="str">
        <f>IF(B15="","",VLOOKUP($B15,'F-1 Off Site River Baseline'!$C$9:$R$257,2,FALSE))</f>
        <v/>
      </c>
      <c r="D15" s="520" t="str">
        <f>IF(C15="","",VLOOKUP($B15,'F-1 Off Site River Baseline'!$C$9:$R$257,3,FALSE))</f>
        <v/>
      </c>
      <c r="E15" s="520" t="str">
        <f>IF(D15="","",VLOOKUP($B15,'F-1 Off Site River Baseline'!$C$9:$R$257,4,FALSE))</f>
        <v/>
      </c>
      <c r="F15" s="520" t="str">
        <f>IF(E15="","",VLOOKUP($B15,'F-1 Off Site River Baseline'!$C$9:$R$257,5,FALSE))</f>
        <v/>
      </c>
      <c r="G15" s="520" t="str">
        <f>IF(F15="","",VLOOKUP($B15,'F-1 Off Site River Baseline'!$C$9:$R$257,6,FALSE))</f>
        <v/>
      </c>
      <c r="H15" s="520" t="str">
        <f>IF(G15="","",VLOOKUP($B15,'F-1 Off Site River Baseline'!$C$9:$R$257,7,FALSE))</f>
        <v/>
      </c>
      <c r="I15" s="520" t="str">
        <f>IF(H15="","",VLOOKUP($B15,'F-1 Off Site River Baseline'!$C$9:$R$257,8,FALSE))</f>
        <v/>
      </c>
      <c r="J15" s="520" t="str">
        <f>IF(I15="","",VLOOKUP($B15,'F-1 Off Site River Baseline'!$C$9:$R$257,9,FALSE))</f>
        <v/>
      </c>
      <c r="K15" s="520" t="str">
        <f>IF(J15="","",VLOOKUP($B15,'F-1 Off Site River Baseline'!$C$9:$R$257,10,FALSE))</f>
        <v/>
      </c>
      <c r="L15" s="520" t="str">
        <f>IF(B15="","",VLOOKUP($B15,'C-1 Site River Baseline'!$C$9:$R$257,15,FALSE))</f>
        <v/>
      </c>
      <c r="M15" s="524" t="str">
        <f>IF(L15="","",VLOOKUP($B15,'F-1 Off Site River Baseline'!$C$9:$R$257,16,FALSE))</f>
        <v/>
      </c>
      <c r="N15" s="418" t="str">
        <f t="shared" si="0"/>
        <v/>
      </c>
      <c r="O15" s="498" t="str">
        <f t="shared" si="5"/>
        <v/>
      </c>
      <c r="P15" s="499" t="str">
        <f>IF(C15="","",IF(AND(LEFT(C15,55)&lt;&gt;LEFT(N15,55),O15="High - High"),"Error - Not like for like ▲",IF(AND(F15=S15,H15&gt;U15),"Error - Can not reduce condition ▲",IF(AND(F15=S15,H15=U15,AJ15='F-1 Off Site River Baseline'!N13,'F-1 Off Site River Baseline'!P13=AL15),"Error - No enhancement ▲",IF(AND(C15&lt;&gt;N15,F15&lt;S15),"Lower Distinctiveness Habitat"&amp;" - "&amp;T15,G15&amp;" - "&amp;T15)))))</f>
        <v/>
      </c>
      <c r="Q15" s="505" t="str">
        <f>IF(N15="","",VLOOKUP(B15,'F-1 Off Site River Baseline'!$C$10:$AA$257,19,FALSE))</f>
        <v/>
      </c>
      <c r="R15" s="498" t="str">
        <f>IF(N15="","",VLOOKUP(N15,'G-7 Rivers Data'!$B$2:$G$8,2,FALSE))</f>
        <v/>
      </c>
      <c r="S15" s="499" t="str">
        <f>IFERROR(VLOOKUP(R15,'G-7 Rivers Data'!$C$4:$D$8,2,FALSE),"")</f>
        <v/>
      </c>
      <c r="T15" s="145"/>
      <c r="U15" s="499" t="str">
        <f>IFERROR(INDEX('G-7 Rivers Data'!$H$4:$L$8,MATCH(N15,'G-7 Rivers Data'!$B$4:$B$8,0),MATCH(T15,'G-7 Rivers Data'!$H$3:$L$3,0)),"")</f>
        <v/>
      </c>
      <c r="V15" s="154"/>
      <c r="W15" s="520" t="str">
        <f>IF(V15="","",IF(VLOOKUP(V15,'G-7 Rivers Data'!$AG$4:$AI$9,2,FALSE)=0,"Spatial Data Missing ⚠",VLOOKUP(V15,'G-7 Rivers Data'!$AG$4:$AI$9,2,FALSE)))</f>
        <v/>
      </c>
      <c r="X15" s="524" t="str">
        <f>IF(V15="","",IF(VLOOKUP(V15,'G-7 Rivers Data'!$AG$4:$AI$9,3,FALSE)=0,"Spatial Data Missing ⚠",VLOOKUP(V15,'G-7 Rivers Data'!$AG$4:$AI$9,3,FALSE)))</f>
        <v/>
      </c>
      <c r="Y15" s="537" t="str">
        <f>IFERROR(IF(OR(LEFT(P15,5)="Error ▲",LEFT(O15,5)="Error ▲"),"Check Data ⚠",IF(F15&lt;S15,'G-7 Rivers Data'!$R$3,INDEX('G-7 Rivers Data'!$U$5:$Y$9,MATCH(G15,'G-7 Rivers Data'!$T$5:$T$9,0),MATCH(T15,'G-7 Rivers Data'!$U$4:$Y$4,0)))),"")</f>
        <v/>
      </c>
      <c r="Z15" s="203"/>
      <c r="AA15" s="203"/>
      <c r="AB15" s="534" t="str">
        <f t="shared" si="1"/>
        <v/>
      </c>
      <c r="AC15" s="521" t="str">
        <f t="shared" si="2"/>
        <v/>
      </c>
      <c r="AD15" s="564" t="str">
        <f>IFERROR(IF(AC15="Check Data ⚠","Check Data ⚠",VLOOKUP(AC15,'G-4 Temporal multipliers'!$A$4:$C$37,3,FALSE)),"")</f>
        <v/>
      </c>
      <c r="AE15" s="537" t="str">
        <f>IF(N15="","",VLOOKUP(N15,'G-7 Rivers Data'!$B$4:$G$8,5,FALSE))</f>
        <v/>
      </c>
      <c r="AF15" s="520" t="str">
        <f t="shared" si="3"/>
        <v/>
      </c>
      <c r="AG15" s="520" t="str">
        <f t="shared" si="6"/>
        <v/>
      </c>
      <c r="AH15" s="524" t="str">
        <f t="shared" si="4"/>
        <v/>
      </c>
      <c r="AI15" s="145"/>
      <c r="AJ15" s="499" t="str">
        <f>IF(AI15="","",IF(VLOOKUP(AI15,'G-7 Rivers Data'!$AA$4:$AB$7,2,FALSE)=0,"Spatial Data Missing ⚠",VLOOKUP(AI15,'G-7 Rivers Data'!$AA$4:$AB$7,2,FALSE)))</f>
        <v/>
      </c>
      <c r="AK15" s="155"/>
      <c r="AL15" s="536" t="str">
        <f>IF(AK15="","",IF(VLOOKUP(AK15,'G-7 Rivers Data'!$AD$4:$AE$8,2,FALSE)=0,"Spatial Data Missing ⚠",VLOOKUP(AK15,'G-7 Rivers Data'!$AD$4:$AE$8,2,FALSE)))</f>
        <v/>
      </c>
      <c r="AM15" s="154"/>
      <c r="AN15" s="524" t="str">
        <f>IF(AM15="","",VLOOKUP(AM15,'G-7 Rivers Data'!$AO$4:$AP$7,2,FALSE))</f>
        <v/>
      </c>
      <c r="AO15" s="545" t="str">
        <f t="shared" si="7"/>
        <v/>
      </c>
      <c r="AP15" s="149"/>
      <c r="AQ15" s="150"/>
      <c r="AX15" s="31" t="str">
        <f>IFERROR(INDEX('G-7 Rivers Data'!$AZ$3:$AZ$7,MATCH(N15,'G-7 Rivers Data'!$AY$3:$AY$7,0)),"")</f>
        <v/>
      </c>
    </row>
    <row r="16" spans="2:50" ht="14" x14ac:dyDescent="0.3">
      <c r="B16" s="531" t="str">
        <f>'F-1 Off Site River Baseline'!AN14</f>
        <v/>
      </c>
      <c r="C16" s="520" t="str">
        <f>IF(B16="","",VLOOKUP($B16,'F-1 Off Site River Baseline'!$C$9:$R$257,2,FALSE))</f>
        <v/>
      </c>
      <c r="D16" s="520" t="str">
        <f>IF(C16="","",VLOOKUP($B16,'F-1 Off Site River Baseline'!$C$9:$R$257,3,FALSE))</f>
        <v/>
      </c>
      <c r="E16" s="520" t="str">
        <f>IF(D16="","",VLOOKUP($B16,'F-1 Off Site River Baseline'!$C$9:$R$257,4,FALSE))</f>
        <v/>
      </c>
      <c r="F16" s="520" t="str">
        <f>IF(E16="","",VLOOKUP($B16,'F-1 Off Site River Baseline'!$C$9:$R$257,5,FALSE))</f>
        <v/>
      </c>
      <c r="G16" s="520" t="str">
        <f>IF(F16="","",VLOOKUP($B16,'F-1 Off Site River Baseline'!$C$9:$R$257,6,FALSE))</f>
        <v/>
      </c>
      <c r="H16" s="520" t="str">
        <f>IF(G16="","",VLOOKUP($B16,'F-1 Off Site River Baseline'!$C$9:$R$257,7,FALSE))</f>
        <v/>
      </c>
      <c r="I16" s="520" t="str">
        <f>IF(H16="","",VLOOKUP($B16,'F-1 Off Site River Baseline'!$C$9:$R$257,8,FALSE))</f>
        <v/>
      </c>
      <c r="J16" s="520" t="str">
        <f>IF(I16="","",VLOOKUP($B16,'F-1 Off Site River Baseline'!$C$9:$R$257,9,FALSE))</f>
        <v/>
      </c>
      <c r="K16" s="520" t="str">
        <f>IF(J16="","",VLOOKUP($B16,'F-1 Off Site River Baseline'!$C$9:$R$257,10,FALSE))</f>
        <v/>
      </c>
      <c r="L16" s="520" t="str">
        <f>IF(B16="","",VLOOKUP($B16,'C-1 Site River Baseline'!$C$9:$R$257,15,FALSE))</f>
        <v/>
      </c>
      <c r="M16" s="524" t="str">
        <f>IF(L16="","",VLOOKUP($B16,'F-1 Off Site River Baseline'!$C$9:$R$257,16,FALSE))</f>
        <v/>
      </c>
      <c r="N16" s="418" t="str">
        <f t="shared" si="0"/>
        <v/>
      </c>
      <c r="O16" s="498" t="str">
        <f t="shared" si="5"/>
        <v/>
      </c>
      <c r="P16" s="499" t="str">
        <f>IF(C16="","",IF(AND(LEFT(C16,55)&lt;&gt;LEFT(N16,55),O16="High - High"),"Error - Not like for like ▲",IF(AND(F16=S16,H16&gt;U16),"Error - Can not reduce condition ▲",IF(AND(F16=S16,H16=U16,AJ16='F-1 Off Site River Baseline'!N14,'F-1 Off Site River Baseline'!P14=AL16),"Error - No enhancement ▲",IF(AND(C16&lt;&gt;N16,F16&lt;S16),"Lower Distinctiveness Habitat"&amp;" - "&amp;T16,G16&amp;" - "&amp;T16)))))</f>
        <v/>
      </c>
      <c r="Q16" s="505" t="str">
        <f>IF(N16="","",VLOOKUP(B16,'F-1 Off Site River Baseline'!$C$10:$AA$257,19,FALSE))</f>
        <v/>
      </c>
      <c r="R16" s="498" t="str">
        <f>IF(N16="","",VLOOKUP(N16,'G-7 Rivers Data'!$B$2:$G$8,2,FALSE))</f>
        <v/>
      </c>
      <c r="S16" s="499" t="str">
        <f>IFERROR(VLOOKUP(R16,'G-7 Rivers Data'!$C$4:$D$8,2,FALSE),"")</f>
        <v/>
      </c>
      <c r="T16" s="145"/>
      <c r="U16" s="499" t="str">
        <f>IFERROR(INDEX('G-7 Rivers Data'!$H$4:$L$8,MATCH(N16,'G-7 Rivers Data'!$B$4:$B$8,0),MATCH(T16,'G-7 Rivers Data'!$H$3:$L$3,0)),"")</f>
        <v/>
      </c>
      <c r="V16" s="154"/>
      <c r="W16" s="520" t="str">
        <f>IF(V16="","",IF(VLOOKUP(V16,'G-7 Rivers Data'!$AG$4:$AI$9,2,FALSE)=0,"Spatial Data Missing ⚠",VLOOKUP(V16,'G-7 Rivers Data'!$AG$4:$AI$9,2,FALSE)))</f>
        <v/>
      </c>
      <c r="X16" s="524" t="str">
        <f>IF(V16="","",IF(VLOOKUP(V16,'G-7 Rivers Data'!$AG$4:$AI$9,3,FALSE)=0,"Spatial Data Missing ⚠",VLOOKUP(V16,'G-7 Rivers Data'!$AG$4:$AI$9,3,FALSE)))</f>
        <v/>
      </c>
      <c r="Y16" s="537" t="str">
        <f>IFERROR(IF(OR(LEFT(P16,5)="Error ▲",LEFT(O16,5)="Error ▲"),"Check Data ⚠",IF(F16&lt;S16,'G-7 Rivers Data'!$R$3,INDEX('G-7 Rivers Data'!$U$5:$Y$9,MATCH(G16,'G-7 Rivers Data'!$T$5:$T$9,0),MATCH(T16,'G-7 Rivers Data'!$U$4:$Y$4,0)))),"")</f>
        <v/>
      </c>
      <c r="Z16" s="203"/>
      <c r="AA16" s="203"/>
      <c r="AB16" s="534" t="str">
        <f t="shared" si="1"/>
        <v/>
      </c>
      <c r="AC16" s="521" t="str">
        <f t="shared" si="2"/>
        <v/>
      </c>
      <c r="AD16" s="564" t="str">
        <f>IFERROR(IF(AC16="Check Data ⚠","Check Data ⚠",VLOOKUP(AC16,'G-4 Temporal multipliers'!$A$4:$C$37,3,FALSE)),"")</f>
        <v/>
      </c>
      <c r="AE16" s="537" t="str">
        <f>IF(N16="","",VLOOKUP(N16,'G-7 Rivers Data'!$B$4:$G$8,5,FALSE))</f>
        <v/>
      </c>
      <c r="AF16" s="520" t="str">
        <f t="shared" si="3"/>
        <v/>
      </c>
      <c r="AG16" s="520" t="str">
        <f t="shared" si="6"/>
        <v/>
      </c>
      <c r="AH16" s="524" t="str">
        <f t="shared" si="4"/>
        <v/>
      </c>
      <c r="AI16" s="145"/>
      <c r="AJ16" s="499" t="str">
        <f>IF(AI16="","",IF(VLOOKUP(AI16,'G-7 Rivers Data'!$AA$4:$AB$7,2,FALSE)=0,"Spatial Data Missing ⚠",VLOOKUP(AI16,'G-7 Rivers Data'!$AA$4:$AB$7,2,FALSE)))</f>
        <v/>
      </c>
      <c r="AK16" s="155"/>
      <c r="AL16" s="536" t="str">
        <f>IF(AK16="","",IF(VLOOKUP(AK16,'G-7 Rivers Data'!$AD$4:$AE$8,2,FALSE)=0,"Spatial Data Missing ⚠",VLOOKUP(AK16,'G-7 Rivers Data'!$AD$4:$AE$8,2,FALSE)))</f>
        <v/>
      </c>
      <c r="AM16" s="154"/>
      <c r="AN16" s="524" t="str">
        <f>IF(AM16="","",VLOOKUP(AM16,'G-7 Rivers Data'!$AO$4:$AP$7,2,FALSE))</f>
        <v/>
      </c>
      <c r="AO16" s="545" t="str">
        <f t="shared" si="7"/>
        <v/>
      </c>
      <c r="AP16" s="149"/>
      <c r="AQ16" s="150"/>
      <c r="AX16" s="31" t="str">
        <f>IFERROR(INDEX('G-7 Rivers Data'!$AZ$3:$AZ$7,MATCH(N16,'G-7 Rivers Data'!$AY$3:$AY$7,0)),"")</f>
        <v/>
      </c>
    </row>
    <row r="17" spans="2:50" ht="14" x14ac:dyDescent="0.3">
      <c r="B17" s="531" t="str">
        <f>'F-1 Off Site River Baseline'!AN15</f>
        <v/>
      </c>
      <c r="C17" s="520" t="str">
        <f>IF(B17="","",VLOOKUP($B17,'F-1 Off Site River Baseline'!$C$9:$R$257,2,FALSE))</f>
        <v/>
      </c>
      <c r="D17" s="520" t="str">
        <f>IF(C17="","",VLOOKUP($B17,'F-1 Off Site River Baseline'!$C$9:$R$257,3,FALSE))</f>
        <v/>
      </c>
      <c r="E17" s="520" t="str">
        <f>IF(D17="","",VLOOKUP($B17,'F-1 Off Site River Baseline'!$C$9:$R$257,4,FALSE))</f>
        <v/>
      </c>
      <c r="F17" s="520" t="str">
        <f>IF(E17="","",VLOOKUP($B17,'F-1 Off Site River Baseline'!$C$9:$R$257,5,FALSE))</f>
        <v/>
      </c>
      <c r="G17" s="520" t="str">
        <f>IF(F17="","",VLOOKUP($B17,'F-1 Off Site River Baseline'!$C$9:$R$257,6,FALSE))</f>
        <v/>
      </c>
      <c r="H17" s="520" t="str">
        <f>IF(G17="","",VLOOKUP($B17,'F-1 Off Site River Baseline'!$C$9:$R$257,7,FALSE))</f>
        <v/>
      </c>
      <c r="I17" s="520" t="str">
        <f>IF(H17="","",VLOOKUP($B17,'F-1 Off Site River Baseline'!$C$9:$R$257,8,FALSE))</f>
        <v/>
      </c>
      <c r="J17" s="520" t="str">
        <f>IF(I17="","",VLOOKUP($B17,'F-1 Off Site River Baseline'!$C$9:$R$257,9,FALSE))</f>
        <v/>
      </c>
      <c r="K17" s="520" t="str">
        <f>IF(J17="","",VLOOKUP($B17,'F-1 Off Site River Baseline'!$C$9:$R$257,10,FALSE))</f>
        <v/>
      </c>
      <c r="L17" s="520" t="str">
        <f>IF(B17="","",VLOOKUP($B17,'C-1 Site River Baseline'!$C$9:$R$257,15,FALSE))</f>
        <v/>
      </c>
      <c r="M17" s="524" t="str">
        <f>IF(L17="","",VLOOKUP($B17,'F-1 Off Site River Baseline'!$C$9:$R$257,16,FALSE))</f>
        <v/>
      </c>
      <c r="N17" s="418" t="str">
        <f t="shared" si="0"/>
        <v/>
      </c>
      <c r="O17" s="498" t="str">
        <f t="shared" si="5"/>
        <v/>
      </c>
      <c r="P17" s="499" t="str">
        <f>IF(C17="","",IF(AND(LEFT(C17,55)&lt;&gt;LEFT(N17,55),O17="High - High"),"Error - Not like for like ▲",IF(AND(F17=S17,H17&gt;U17),"Error - Can not reduce condition ▲",IF(AND(F17=S17,H17=U17,AJ17='F-1 Off Site River Baseline'!N15,'F-1 Off Site River Baseline'!P15=AL17),"Error - No enhancement ▲",IF(AND(C17&lt;&gt;N17,F17&lt;S17),"Lower Distinctiveness Habitat"&amp;" - "&amp;T17,G17&amp;" - "&amp;T17)))))</f>
        <v/>
      </c>
      <c r="Q17" s="505" t="str">
        <f>IF(N17="","",VLOOKUP(B17,'F-1 Off Site River Baseline'!$C$10:$AA$257,19,FALSE))</f>
        <v/>
      </c>
      <c r="R17" s="498" t="str">
        <f>IF(N17="","",VLOOKUP(N17,'G-7 Rivers Data'!$B$2:$G$8,2,FALSE))</f>
        <v/>
      </c>
      <c r="S17" s="499" t="str">
        <f>IFERROR(VLOOKUP(R17,'G-7 Rivers Data'!$C$4:$D$8,2,FALSE),"")</f>
        <v/>
      </c>
      <c r="T17" s="145"/>
      <c r="U17" s="499" t="str">
        <f>IFERROR(INDEX('G-7 Rivers Data'!$H$4:$L$8,MATCH(N17,'G-7 Rivers Data'!$B$4:$B$8,0),MATCH(T17,'G-7 Rivers Data'!$H$3:$L$3,0)),"")</f>
        <v/>
      </c>
      <c r="V17" s="154"/>
      <c r="W17" s="520" t="str">
        <f>IF(V17="","",IF(VLOOKUP(V17,'G-7 Rivers Data'!$AG$4:$AI$9,2,FALSE)=0,"Spatial Data Missing ⚠",VLOOKUP(V17,'G-7 Rivers Data'!$AG$4:$AI$9,2,FALSE)))</f>
        <v/>
      </c>
      <c r="X17" s="524" t="str">
        <f>IF(V17="","",IF(VLOOKUP(V17,'G-7 Rivers Data'!$AG$4:$AI$9,3,FALSE)=0,"Spatial Data Missing ⚠",VLOOKUP(V17,'G-7 Rivers Data'!$AG$4:$AI$9,3,FALSE)))</f>
        <v/>
      </c>
      <c r="Y17" s="537" t="str">
        <f>IFERROR(IF(OR(LEFT(P17,5)="Error ▲",LEFT(O17,5)="Error ▲"),"Check Data ⚠",IF(F17&lt;S17,'G-7 Rivers Data'!$R$3,INDEX('G-7 Rivers Data'!$U$5:$Y$9,MATCH(G17,'G-7 Rivers Data'!$T$5:$T$9,0),MATCH(T17,'G-7 Rivers Data'!$U$4:$Y$4,0)))),"")</f>
        <v/>
      </c>
      <c r="Z17" s="203"/>
      <c r="AA17" s="203"/>
      <c r="AB17" s="534" t="str">
        <f t="shared" si="1"/>
        <v/>
      </c>
      <c r="AC17" s="521" t="str">
        <f t="shared" si="2"/>
        <v/>
      </c>
      <c r="AD17" s="564" t="str">
        <f>IFERROR(IF(AC17="Check Data ⚠","Check Data ⚠",VLOOKUP(AC17,'G-4 Temporal multipliers'!$A$4:$C$37,3,FALSE)),"")</f>
        <v/>
      </c>
      <c r="AE17" s="537" t="str">
        <f>IF(N17="","",VLOOKUP(N17,'G-7 Rivers Data'!$B$4:$G$8,5,FALSE))</f>
        <v/>
      </c>
      <c r="AF17" s="520" t="str">
        <f t="shared" si="3"/>
        <v/>
      </c>
      <c r="AG17" s="520" t="str">
        <f t="shared" si="6"/>
        <v/>
      </c>
      <c r="AH17" s="524" t="str">
        <f t="shared" si="4"/>
        <v/>
      </c>
      <c r="AI17" s="145"/>
      <c r="AJ17" s="499" t="str">
        <f>IF(AI17="","",IF(VLOOKUP(AI17,'G-7 Rivers Data'!$AA$4:$AB$7,2,FALSE)=0,"Spatial Data Missing ⚠",VLOOKUP(AI17,'G-7 Rivers Data'!$AA$4:$AB$7,2,FALSE)))</f>
        <v/>
      </c>
      <c r="AK17" s="155"/>
      <c r="AL17" s="536" t="str">
        <f>IF(AK17="","",IF(VLOOKUP(AK17,'G-7 Rivers Data'!$AD$4:$AE$8,2,FALSE)=0,"Spatial Data Missing ⚠",VLOOKUP(AK17,'G-7 Rivers Data'!$AD$4:$AE$8,2,FALSE)))</f>
        <v/>
      </c>
      <c r="AM17" s="154"/>
      <c r="AN17" s="524" t="str">
        <f>IF(AM17="","",VLOOKUP(AM17,'G-7 Rivers Data'!$AO$4:$AP$7,2,FALSE))</f>
        <v/>
      </c>
      <c r="AO17" s="545" t="str">
        <f t="shared" si="7"/>
        <v/>
      </c>
      <c r="AP17" s="149"/>
      <c r="AQ17" s="150"/>
      <c r="AX17" s="31" t="str">
        <f>IFERROR(INDEX('G-7 Rivers Data'!$AZ$3:$AZ$7,MATCH(N17,'G-7 Rivers Data'!$AY$3:$AY$7,0)),"")</f>
        <v/>
      </c>
    </row>
    <row r="18" spans="2:50" ht="14" x14ac:dyDescent="0.3">
      <c r="B18" s="531" t="str">
        <f>'F-1 Off Site River Baseline'!AN16</f>
        <v/>
      </c>
      <c r="C18" s="520" t="str">
        <f>IF(B18="","",VLOOKUP($B18,'F-1 Off Site River Baseline'!$C$9:$R$257,2,FALSE))</f>
        <v/>
      </c>
      <c r="D18" s="520" t="str">
        <f>IF(C18="","",VLOOKUP($B18,'F-1 Off Site River Baseline'!$C$9:$R$257,3,FALSE))</f>
        <v/>
      </c>
      <c r="E18" s="520" t="str">
        <f>IF(D18="","",VLOOKUP($B18,'F-1 Off Site River Baseline'!$C$9:$R$257,4,FALSE))</f>
        <v/>
      </c>
      <c r="F18" s="520" t="str">
        <f>IF(E18="","",VLOOKUP($B18,'F-1 Off Site River Baseline'!$C$9:$R$257,5,FALSE))</f>
        <v/>
      </c>
      <c r="G18" s="520" t="str">
        <f>IF(F18="","",VLOOKUP($B18,'F-1 Off Site River Baseline'!$C$9:$R$257,6,FALSE))</f>
        <v/>
      </c>
      <c r="H18" s="520" t="str">
        <f>IF(G18="","",VLOOKUP($B18,'F-1 Off Site River Baseline'!$C$9:$R$257,7,FALSE))</f>
        <v/>
      </c>
      <c r="I18" s="520" t="str">
        <f>IF(H18="","",VLOOKUP($B18,'F-1 Off Site River Baseline'!$C$9:$R$257,8,FALSE))</f>
        <v/>
      </c>
      <c r="J18" s="520" t="str">
        <f>IF(I18="","",VLOOKUP($B18,'F-1 Off Site River Baseline'!$C$9:$R$257,9,FALSE))</f>
        <v/>
      </c>
      <c r="K18" s="520" t="str">
        <f>IF(J18="","",VLOOKUP($B18,'F-1 Off Site River Baseline'!$C$9:$R$257,10,FALSE))</f>
        <v/>
      </c>
      <c r="L18" s="520" t="str">
        <f>IF(B18="","",VLOOKUP($B18,'C-1 Site River Baseline'!$C$9:$R$257,15,FALSE))</f>
        <v/>
      </c>
      <c r="M18" s="524" t="str">
        <f>IF(L18="","",VLOOKUP($B18,'F-1 Off Site River Baseline'!$C$9:$R$257,16,FALSE))</f>
        <v/>
      </c>
      <c r="N18" s="418" t="str">
        <f t="shared" si="0"/>
        <v/>
      </c>
      <c r="O18" s="498" t="str">
        <f t="shared" si="5"/>
        <v/>
      </c>
      <c r="P18" s="499" t="str">
        <f>IF(C18="","",IF(AND(LEFT(C18,55)&lt;&gt;LEFT(N18,55),O18="High - High"),"Error - Not like for like ▲",IF(AND(F18=S18,H18&gt;U18),"Error - Can not reduce condition ▲",IF(AND(F18=S18,H18=U18,AJ18='F-1 Off Site River Baseline'!N16,'F-1 Off Site River Baseline'!P16=AL18),"Error - No enhancement ▲",IF(AND(C18&lt;&gt;N18,F18&lt;S18),"Lower Distinctiveness Habitat"&amp;" - "&amp;T18,G18&amp;" - "&amp;T18)))))</f>
        <v/>
      </c>
      <c r="Q18" s="505" t="str">
        <f>IF(N18="","",VLOOKUP(B18,'F-1 Off Site River Baseline'!$C$10:$AA$257,19,FALSE))</f>
        <v/>
      </c>
      <c r="R18" s="498" t="str">
        <f>IF(N18="","",VLOOKUP(N18,'G-7 Rivers Data'!$B$2:$G$8,2,FALSE))</f>
        <v/>
      </c>
      <c r="S18" s="499" t="str">
        <f>IFERROR(VLOOKUP(R18,'G-7 Rivers Data'!$C$4:$D$8,2,FALSE),"")</f>
        <v/>
      </c>
      <c r="T18" s="145"/>
      <c r="U18" s="499" t="str">
        <f>IFERROR(INDEX('G-7 Rivers Data'!$H$4:$L$8,MATCH(N18,'G-7 Rivers Data'!$B$4:$B$8,0),MATCH(T18,'G-7 Rivers Data'!$H$3:$L$3,0)),"")</f>
        <v/>
      </c>
      <c r="V18" s="154"/>
      <c r="W18" s="520" t="str">
        <f>IF(V18="","",IF(VLOOKUP(V18,'G-7 Rivers Data'!$AG$4:$AI$9,2,FALSE)=0,"Spatial Data Missing ⚠",VLOOKUP(V18,'G-7 Rivers Data'!$AG$4:$AI$9,2,FALSE)))</f>
        <v/>
      </c>
      <c r="X18" s="524" t="str">
        <f>IF(V18="","",IF(VLOOKUP(V18,'G-7 Rivers Data'!$AG$4:$AI$9,3,FALSE)=0,"Spatial Data Missing ⚠",VLOOKUP(V18,'G-7 Rivers Data'!$AG$4:$AI$9,3,FALSE)))</f>
        <v/>
      </c>
      <c r="Y18" s="537" t="str">
        <f>IFERROR(IF(OR(LEFT(P18,5)="Error ▲",LEFT(O18,5)="Error ▲"),"Check Data ⚠",IF(F18&lt;S18,'G-7 Rivers Data'!$R$3,INDEX('G-7 Rivers Data'!$U$5:$Y$9,MATCH(G18,'G-7 Rivers Data'!$T$5:$T$9,0),MATCH(T18,'G-7 Rivers Data'!$U$4:$Y$4,0)))),"")</f>
        <v/>
      </c>
      <c r="Z18" s="203"/>
      <c r="AA18" s="203"/>
      <c r="AB18" s="534" t="str">
        <f t="shared" si="1"/>
        <v/>
      </c>
      <c r="AC18" s="521" t="str">
        <f t="shared" si="2"/>
        <v/>
      </c>
      <c r="AD18" s="564" t="str">
        <f>IFERROR(IF(AC18="Check Data ⚠","Check Data ⚠",VLOOKUP(AC18,'G-4 Temporal multipliers'!$A$4:$C$37,3,FALSE)),"")</f>
        <v/>
      </c>
      <c r="AE18" s="537" t="str">
        <f>IF(N18="","",VLOOKUP(N18,'G-7 Rivers Data'!$B$4:$G$8,5,FALSE))</f>
        <v/>
      </c>
      <c r="AF18" s="520" t="str">
        <f t="shared" si="3"/>
        <v/>
      </c>
      <c r="AG18" s="520" t="str">
        <f t="shared" si="6"/>
        <v/>
      </c>
      <c r="AH18" s="524" t="str">
        <f t="shared" si="4"/>
        <v/>
      </c>
      <c r="AI18" s="145"/>
      <c r="AJ18" s="499" t="str">
        <f>IF(AI18="","",IF(VLOOKUP(AI18,'G-7 Rivers Data'!$AA$4:$AB$7,2,FALSE)=0,"Spatial Data Missing ⚠",VLOOKUP(AI18,'G-7 Rivers Data'!$AA$4:$AB$7,2,FALSE)))</f>
        <v/>
      </c>
      <c r="AK18" s="155"/>
      <c r="AL18" s="536" t="str">
        <f>IF(AK18="","",IF(VLOOKUP(AK18,'G-7 Rivers Data'!$AD$4:$AE$8,2,FALSE)=0,"Spatial Data Missing ⚠",VLOOKUP(AK18,'G-7 Rivers Data'!$AD$4:$AE$8,2,FALSE)))</f>
        <v/>
      </c>
      <c r="AM18" s="154"/>
      <c r="AN18" s="524" t="str">
        <f>IF(AM18="","",VLOOKUP(AM18,'G-7 Rivers Data'!$AO$4:$AP$7,2,FALSE))</f>
        <v/>
      </c>
      <c r="AO18" s="545" t="str">
        <f t="shared" si="7"/>
        <v/>
      </c>
      <c r="AP18" s="149"/>
      <c r="AQ18" s="150"/>
      <c r="AX18" s="31" t="str">
        <f>IFERROR(INDEX('G-7 Rivers Data'!$AZ$3:$AZ$7,MATCH(N18,'G-7 Rivers Data'!$AY$3:$AY$7,0)),"")</f>
        <v/>
      </c>
    </row>
    <row r="19" spans="2:50" ht="14" x14ac:dyDescent="0.3">
      <c r="B19" s="531" t="str">
        <f>'F-1 Off Site River Baseline'!AN17</f>
        <v/>
      </c>
      <c r="C19" s="520" t="str">
        <f>IF(B19="","",VLOOKUP($B19,'F-1 Off Site River Baseline'!$C$9:$R$257,2,FALSE))</f>
        <v/>
      </c>
      <c r="D19" s="520" t="str">
        <f>IF(C19="","",VLOOKUP($B19,'F-1 Off Site River Baseline'!$C$9:$R$257,3,FALSE))</f>
        <v/>
      </c>
      <c r="E19" s="520" t="str">
        <f>IF(D19="","",VLOOKUP($B19,'F-1 Off Site River Baseline'!$C$9:$R$257,4,FALSE))</f>
        <v/>
      </c>
      <c r="F19" s="520" t="str">
        <f>IF(E19="","",VLOOKUP($B19,'F-1 Off Site River Baseline'!$C$9:$R$257,5,FALSE))</f>
        <v/>
      </c>
      <c r="G19" s="520" t="str">
        <f>IF(F19="","",VLOOKUP($B19,'F-1 Off Site River Baseline'!$C$9:$R$257,6,FALSE))</f>
        <v/>
      </c>
      <c r="H19" s="520" t="str">
        <f>IF(G19="","",VLOOKUP($B19,'F-1 Off Site River Baseline'!$C$9:$R$257,7,FALSE))</f>
        <v/>
      </c>
      <c r="I19" s="520" t="str">
        <f>IF(H19="","",VLOOKUP($B19,'F-1 Off Site River Baseline'!$C$9:$R$257,8,FALSE))</f>
        <v/>
      </c>
      <c r="J19" s="520" t="str">
        <f>IF(I19="","",VLOOKUP($B19,'F-1 Off Site River Baseline'!$C$9:$R$257,9,FALSE))</f>
        <v/>
      </c>
      <c r="K19" s="520" t="str">
        <f>IF(J19="","",VLOOKUP($B19,'F-1 Off Site River Baseline'!$C$9:$R$257,10,FALSE))</f>
        <v/>
      </c>
      <c r="L19" s="520" t="str">
        <f>IF(B19="","",VLOOKUP($B19,'C-1 Site River Baseline'!$C$9:$R$257,15,FALSE))</f>
        <v/>
      </c>
      <c r="M19" s="524" t="str">
        <f>IF(L19="","",VLOOKUP($B19,'F-1 Off Site River Baseline'!$C$9:$R$257,16,FALSE))</f>
        <v/>
      </c>
      <c r="N19" s="418" t="str">
        <f t="shared" si="0"/>
        <v/>
      </c>
      <c r="O19" s="498" t="str">
        <f t="shared" si="5"/>
        <v/>
      </c>
      <c r="P19" s="499" t="str">
        <f>IF(C19="","",IF(AND(LEFT(C19,55)&lt;&gt;LEFT(N19,55),O19="High - High"),"Error - Not like for like ▲",IF(AND(F19=S19,H19&gt;U19),"Error - Can not reduce condition ▲",IF(AND(F19=S19,H19=U19,AJ19='F-1 Off Site River Baseline'!N17,'F-1 Off Site River Baseline'!P17=AL19),"Error - No enhancement ▲",IF(AND(C19&lt;&gt;N19,F19&lt;S19),"Lower Distinctiveness Habitat"&amp;" - "&amp;T19,G19&amp;" - "&amp;T19)))))</f>
        <v/>
      </c>
      <c r="Q19" s="505" t="str">
        <f>IF(N19="","",VLOOKUP(B19,'F-1 Off Site River Baseline'!$C$10:$AA$257,19,FALSE))</f>
        <v/>
      </c>
      <c r="R19" s="498" t="str">
        <f>IF(N19="","",VLOOKUP(N19,'G-7 Rivers Data'!$B$2:$G$8,2,FALSE))</f>
        <v/>
      </c>
      <c r="S19" s="499" t="str">
        <f>IFERROR(VLOOKUP(R19,'G-7 Rivers Data'!$C$4:$D$8,2,FALSE),"")</f>
        <v/>
      </c>
      <c r="T19" s="145"/>
      <c r="U19" s="499" t="str">
        <f>IFERROR(INDEX('G-7 Rivers Data'!$H$4:$L$8,MATCH(N19,'G-7 Rivers Data'!$B$4:$B$8,0),MATCH(T19,'G-7 Rivers Data'!$H$3:$L$3,0)),"")</f>
        <v/>
      </c>
      <c r="V19" s="154"/>
      <c r="W19" s="520" t="str">
        <f>IF(V19="","",IF(VLOOKUP(V19,'G-7 Rivers Data'!$AG$4:$AI$9,2,FALSE)=0,"Spatial Data Missing ⚠",VLOOKUP(V19,'G-7 Rivers Data'!$AG$4:$AI$9,2,FALSE)))</f>
        <v/>
      </c>
      <c r="X19" s="524" t="str">
        <f>IF(V19="","",IF(VLOOKUP(V19,'G-7 Rivers Data'!$AG$4:$AI$9,3,FALSE)=0,"Spatial Data Missing ⚠",VLOOKUP(V19,'G-7 Rivers Data'!$AG$4:$AI$9,3,FALSE)))</f>
        <v/>
      </c>
      <c r="Y19" s="537" t="str">
        <f>IFERROR(IF(OR(LEFT(P19,5)="Error ▲",LEFT(O19,5)="Error ▲"),"Check Data ⚠",IF(F19&lt;S19,'G-7 Rivers Data'!$R$3,INDEX('G-7 Rivers Data'!$U$5:$Y$9,MATCH(G19,'G-7 Rivers Data'!$T$5:$T$9,0),MATCH(T19,'G-7 Rivers Data'!$U$4:$Y$4,0)))),"")</f>
        <v/>
      </c>
      <c r="Z19" s="203"/>
      <c r="AA19" s="203"/>
      <c r="AB19" s="534" t="str">
        <f t="shared" si="1"/>
        <v/>
      </c>
      <c r="AC19" s="521" t="str">
        <f t="shared" si="2"/>
        <v/>
      </c>
      <c r="AD19" s="564" t="str">
        <f>IFERROR(IF(AC19="Check Data ⚠","Check Data ⚠",VLOOKUP(AC19,'G-4 Temporal multipliers'!$A$4:$C$37,3,FALSE)),"")</f>
        <v/>
      </c>
      <c r="AE19" s="537" t="str">
        <f>IF(N19="","",VLOOKUP(N19,'G-7 Rivers Data'!$B$4:$G$8,5,FALSE))</f>
        <v/>
      </c>
      <c r="AF19" s="520" t="str">
        <f t="shared" si="3"/>
        <v/>
      </c>
      <c r="AG19" s="520" t="str">
        <f t="shared" si="6"/>
        <v/>
      </c>
      <c r="AH19" s="524" t="str">
        <f t="shared" si="4"/>
        <v/>
      </c>
      <c r="AI19" s="145"/>
      <c r="AJ19" s="499" t="str">
        <f>IF(AI19="","",IF(VLOOKUP(AI19,'G-7 Rivers Data'!$AA$4:$AB$7,2,FALSE)=0,"Spatial Data Missing ⚠",VLOOKUP(AI19,'G-7 Rivers Data'!$AA$4:$AB$7,2,FALSE)))</f>
        <v/>
      </c>
      <c r="AK19" s="155"/>
      <c r="AL19" s="536" t="str">
        <f>IF(AK19="","",IF(VLOOKUP(AK19,'G-7 Rivers Data'!$AD$4:$AE$8,2,FALSE)=0,"Spatial Data Missing ⚠",VLOOKUP(AK19,'G-7 Rivers Data'!$AD$4:$AE$8,2,FALSE)))</f>
        <v/>
      </c>
      <c r="AM19" s="154"/>
      <c r="AN19" s="524" t="str">
        <f>IF(AM19="","",VLOOKUP(AM19,'G-7 Rivers Data'!$AO$4:$AP$7,2,FALSE))</f>
        <v/>
      </c>
      <c r="AO19" s="545" t="str">
        <f t="shared" si="7"/>
        <v/>
      </c>
      <c r="AP19" s="149"/>
      <c r="AQ19" s="150"/>
      <c r="AX19" s="31" t="str">
        <f>IFERROR(INDEX('G-7 Rivers Data'!$AZ$3:$AZ$7,MATCH(N19,'G-7 Rivers Data'!$AY$3:$AY$7,0)),"")</f>
        <v/>
      </c>
    </row>
    <row r="20" spans="2:50" ht="14" x14ac:dyDescent="0.3">
      <c r="B20" s="531" t="str">
        <f>'F-1 Off Site River Baseline'!AN18</f>
        <v/>
      </c>
      <c r="C20" s="520" t="str">
        <f>IF(B20="","",VLOOKUP($B20,'F-1 Off Site River Baseline'!$C$9:$R$257,2,FALSE))</f>
        <v/>
      </c>
      <c r="D20" s="520" t="str">
        <f>IF(C20="","",VLOOKUP($B20,'F-1 Off Site River Baseline'!$C$9:$R$257,3,FALSE))</f>
        <v/>
      </c>
      <c r="E20" s="520" t="str">
        <f>IF(D20="","",VLOOKUP($B20,'F-1 Off Site River Baseline'!$C$9:$R$257,4,FALSE))</f>
        <v/>
      </c>
      <c r="F20" s="520" t="str">
        <f>IF(E20="","",VLOOKUP($B20,'F-1 Off Site River Baseline'!$C$9:$R$257,5,FALSE))</f>
        <v/>
      </c>
      <c r="G20" s="520" t="str">
        <f>IF(F20="","",VLOOKUP($B20,'F-1 Off Site River Baseline'!$C$9:$R$257,6,FALSE))</f>
        <v/>
      </c>
      <c r="H20" s="520" t="str">
        <f>IF(G20="","",VLOOKUP($B20,'F-1 Off Site River Baseline'!$C$9:$R$257,7,FALSE))</f>
        <v/>
      </c>
      <c r="I20" s="520" t="str">
        <f>IF(H20="","",VLOOKUP($B20,'F-1 Off Site River Baseline'!$C$9:$R$257,8,FALSE))</f>
        <v/>
      </c>
      <c r="J20" s="520" t="str">
        <f>IF(I20="","",VLOOKUP($B20,'F-1 Off Site River Baseline'!$C$9:$R$257,9,FALSE))</f>
        <v/>
      </c>
      <c r="K20" s="520" t="str">
        <f>IF(J20="","",VLOOKUP($B20,'F-1 Off Site River Baseline'!$C$9:$R$257,10,FALSE))</f>
        <v/>
      </c>
      <c r="L20" s="520" t="str">
        <f>IF(B20="","",VLOOKUP($B20,'C-1 Site River Baseline'!$C$9:$R$257,15,FALSE))</f>
        <v/>
      </c>
      <c r="M20" s="524" t="str">
        <f>IF(L20="","",VLOOKUP($B20,'F-1 Off Site River Baseline'!$C$9:$R$257,16,FALSE))</f>
        <v/>
      </c>
      <c r="N20" s="418" t="str">
        <f t="shared" si="0"/>
        <v/>
      </c>
      <c r="O20" s="498" t="str">
        <f t="shared" si="5"/>
        <v/>
      </c>
      <c r="P20" s="499" t="str">
        <f>IF(C20="","",IF(AND(LEFT(C20,55)&lt;&gt;LEFT(N20,55),O20="High - High"),"Error - Not like for like ▲",IF(AND(F20=S20,H20&gt;U20),"Error - Can not reduce condition ▲",IF(AND(F20=S20,H20=U20,AJ20='F-1 Off Site River Baseline'!N18,'F-1 Off Site River Baseline'!P18=AL20),"Error - No enhancement ▲",IF(AND(C20&lt;&gt;N20,F20&lt;S20),"Lower Distinctiveness Habitat"&amp;" - "&amp;T20,G20&amp;" - "&amp;T20)))))</f>
        <v/>
      </c>
      <c r="Q20" s="505" t="str">
        <f>IF(N20="","",VLOOKUP(B20,'F-1 Off Site River Baseline'!$C$10:$AA$257,19,FALSE))</f>
        <v/>
      </c>
      <c r="R20" s="498" t="str">
        <f>IF(N20="","",VLOOKUP(N20,'G-7 Rivers Data'!$B$2:$G$8,2,FALSE))</f>
        <v/>
      </c>
      <c r="S20" s="499" t="str">
        <f>IFERROR(VLOOKUP(R20,'G-7 Rivers Data'!$C$4:$D$8,2,FALSE),"")</f>
        <v/>
      </c>
      <c r="T20" s="145"/>
      <c r="U20" s="499" t="str">
        <f>IFERROR(INDEX('G-7 Rivers Data'!$H$4:$L$8,MATCH(N20,'G-7 Rivers Data'!$B$4:$B$8,0),MATCH(T20,'G-7 Rivers Data'!$H$3:$L$3,0)),"")</f>
        <v/>
      </c>
      <c r="V20" s="154"/>
      <c r="W20" s="520" t="str">
        <f>IF(V20="","",IF(VLOOKUP(V20,'G-7 Rivers Data'!$AG$4:$AI$9,2,FALSE)=0,"Spatial Data Missing ⚠",VLOOKUP(V20,'G-7 Rivers Data'!$AG$4:$AI$9,2,FALSE)))</f>
        <v/>
      </c>
      <c r="X20" s="524" t="str">
        <f>IF(V20="","",IF(VLOOKUP(V20,'G-7 Rivers Data'!$AG$4:$AI$9,3,FALSE)=0,"Spatial Data Missing ⚠",VLOOKUP(V20,'G-7 Rivers Data'!$AG$4:$AI$9,3,FALSE)))</f>
        <v/>
      </c>
      <c r="Y20" s="537" t="str">
        <f>IFERROR(IF(OR(LEFT(P20,5)="Error ▲",LEFT(O20,5)="Error ▲"),"Check Data ⚠",IF(F20&lt;S20,'G-7 Rivers Data'!$R$3,INDEX('G-7 Rivers Data'!$U$5:$Y$9,MATCH(G20,'G-7 Rivers Data'!$T$5:$T$9,0),MATCH(T20,'G-7 Rivers Data'!$U$4:$Y$4,0)))),"")</f>
        <v/>
      </c>
      <c r="Z20" s="203"/>
      <c r="AA20" s="203"/>
      <c r="AB20" s="534" t="str">
        <f t="shared" si="1"/>
        <v/>
      </c>
      <c r="AC20" s="521" t="str">
        <f t="shared" si="2"/>
        <v/>
      </c>
      <c r="AD20" s="564" t="str">
        <f>IFERROR(IF(AC20="Check Data ⚠","Check Data ⚠",VLOOKUP(AC20,'G-4 Temporal multipliers'!$A$4:$C$37,3,FALSE)),"")</f>
        <v/>
      </c>
      <c r="AE20" s="537" t="str">
        <f>IF(N20="","",VLOOKUP(N20,'G-7 Rivers Data'!$B$4:$G$8,5,FALSE))</f>
        <v/>
      </c>
      <c r="AF20" s="520" t="str">
        <f t="shared" si="3"/>
        <v/>
      </c>
      <c r="AG20" s="520" t="str">
        <f t="shared" si="6"/>
        <v/>
      </c>
      <c r="AH20" s="524" t="str">
        <f t="shared" si="4"/>
        <v/>
      </c>
      <c r="AI20" s="145"/>
      <c r="AJ20" s="499" t="str">
        <f>IF(AI20="","",IF(VLOOKUP(AI20,'G-7 Rivers Data'!$AA$4:$AB$7,2,FALSE)=0,"Spatial Data Missing ⚠",VLOOKUP(AI20,'G-7 Rivers Data'!$AA$4:$AB$7,2,FALSE)))</f>
        <v/>
      </c>
      <c r="AK20" s="155"/>
      <c r="AL20" s="536" t="str">
        <f>IF(AK20="","",IF(VLOOKUP(AK20,'G-7 Rivers Data'!$AD$4:$AE$8,2,FALSE)=0,"Spatial Data Missing ⚠",VLOOKUP(AK20,'G-7 Rivers Data'!$AD$4:$AE$8,2,FALSE)))</f>
        <v/>
      </c>
      <c r="AM20" s="154"/>
      <c r="AN20" s="524" t="str">
        <f>IF(AM20="","",VLOOKUP(AM20,'G-7 Rivers Data'!$AO$4:$AP$7,2,FALSE))</f>
        <v/>
      </c>
      <c r="AO20" s="545" t="str">
        <f t="shared" si="7"/>
        <v/>
      </c>
      <c r="AP20" s="149"/>
      <c r="AQ20" s="150"/>
      <c r="AX20" s="31" t="str">
        <f>IFERROR(INDEX('G-7 Rivers Data'!$AZ$3:$AZ$7,MATCH(N20,'G-7 Rivers Data'!$AY$3:$AY$7,0)),"")</f>
        <v/>
      </c>
    </row>
    <row r="21" spans="2:50" ht="14" x14ac:dyDescent="0.3">
      <c r="B21" s="531" t="str">
        <f>'F-1 Off Site River Baseline'!AN19</f>
        <v/>
      </c>
      <c r="C21" s="520" t="str">
        <f>IF(B21="","",VLOOKUP($B21,'F-1 Off Site River Baseline'!$C$9:$R$257,2,FALSE))</f>
        <v/>
      </c>
      <c r="D21" s="520" t="str">
        <f>IF(C21="","",VLOOKUP($B21,'F-1 Off Site River Baseline'!$C$9:$R$257,3,FALSE))</f>
        <v/>
      </c>
      <c r="E21" s="520" t="str">
        <f>IF(D21="","",VLOOKUP($B21,'F-1 Off Site River Baseline'!$C$9:$R$257,4,FALSE))</f>
        <v/>
      </c>
      <c r="F21" s="520" t="str">
        <f>IF(E21="","",VLOOKUP($B21,'F-1 Off Site River Baseline'!$C$9:$R$257,5,FALSE))</f>
        <v/>
      </c>
      <c r="G21" s="520" t="str">
        <f>IF(F21="","",VLOOKUP($B21,'F-1 Off Site River Baseline'!$C$9:$R$257,6,FALSE))</f>
        <v/>
      </c>
      <c r="H21" s="520" t="str">
        <f>IF(G21="","",VLOOKUP($B21,'F-1 Off Site River Baseline'!$C$9:$R$257,7,FALSE))</f>
        <v/>
      </c>
      <c r="I21" s="520" t="str">
        <f>IF(H21="","",VLOOKUP($B21,'F-1 Off Site River Baseline'!$C$9:$R$257,8,FALSE))</f>
        <v/>
      </c>
      <c r="J21" s="520" t="str">
        <f>IF(I21="","",VLOOKUP($B21,'F-1 Off Site River Baseline'!$C$9:$R$257,9,FALSE))</f>
        <v/>
      </c>
      <c r="K21" s="520" t="str">
        <f>IF(J21="","",VLOOKUP($B21,'F-1 Off Site River Baseline'!$C$9:$R$257,10,FALSE))</f>
        <v/>
      </c>
      <c r="L21" s="520" t="str">
        <f>IF(B21="","",VLOOKUP($B21,'C-1 Site River Baseline'!$C$9:$R$257,15,FALSE))</f>
        <v/>
      </c>
      <c r="M21" s="524" t="str">
        <f>IF(L21="","",VLOOKUP($B21,'F-1 Off Site River Baseline'!$C$9:$R$257,16,FALSE))</f>
        <v/>
      </c>
      <c r="N21" s="418" t="str">
        <f t="shared" si="0"/>
        <v/>
      </c>
      <c r="O21" s="498" t="str">
        <f t="shared" si="5"/>
        <v/>
      </c>
      <c r="P21" s="499" t="str">
        <f>IF(C21="","",IF(AND(LEFT(C21,55)&lt;&gt;LEFT(N21,55),O21="High - High"),"Error - Not like for like ▲",IF(AND(F21=S21,H21&gt;U21),"Error - Can not reduce condition ▲",IF(AND(F21=S21,H21=U21,AJ21='F-1 Off Site River Baseline'!N19,'F-1 Off Site River Baseline'!P19=AL21),"Error - No enhancement ▲",IF(AND(C21&lt;&gt;N21,F21&lt;S21),"Lower Distinctiveness Habitat"&amp;" - "&amp;T21,G21&amp;" - "&amp;T21)))))</f>
        <v/>
      </c>
      <c r="Q21" s="505" t="str">
        <f>IF(N21="","",VLOOKUP(B21,'F-1 Off Site River Baseline'!$C$10:$AA$257,19,FALSE))</f>
        <v/>
      </c>
      <c r="R21" s="498" t="str">
        <f>IF(N21="","",VLOOKUP(N21,'G-7 Rivers Data'!$B$2:$G$8,2,FALSE))</f>
        <v/>
      </c>
      <c r="S21" s="499" t="str">
        <f>IFERROR(VLOOKUP(R21,'G-7 Rivers Data'!$C$4:$D$8,2,FALSE),"")</f>
        <v/>
      </c>
      <c r="T21" s="145"/>
      <c r="U21" s="499" t="str">
        <f>IFERROR(INDEX('G-7 Rivers Data'!$H$4:$L$8,MATCH(N21,'G-7 Rivers Data'!$B$4:$B$8,0),MATCH(T21,'G-7 Rivers Data'!$H$3:$L$3,0)),"")</f>
        <v/>
      </c>
      <c r="V21" s="154"/>
      <c r="W21" s="520" t="str">
        <f>IF(V21="","",IF(VLOOKUP(V21,'G-7 Rivers Data'!$AG$4:$AI$9,2,FALSE)=0,"Spatial Data Missing ⚠",VLOOKUP(V21,'G-7 Rivers Data'!$AG$4:$AI$9,2,FALSE)))</f>
        <v/>
      </c>
      <c r="X21" s="524" t="str">
        <f>IF(V21="","",IF(VLOOKUP(V21,'G-7 Rivers Data'!$AG$4:$AI$9,3,FALSE)=0,"Spatial Data Missing ⚠",VLOOKUP(V21,'G-7 Rivers Data'!$AG$4:$AI$9,3,FALSE)))</f>
        <v/>
      </c>
      <c r="Y21" s="537" t="str">
        <f>IFERROR(IF(OR(LEFT(P21,5)="Error ▲",LEFT(O21,5)="Error ▲"),"Check Data ⚠",IF(F21&lt;S21,'G-7 Rivers Data'!$R$3,INDEX('G-7 Rivers Data'!$U$5:$Y$9,MATCH(G21,'G-7 Rivers Data'!$T$5:$T$9,0),MATCH(T21,'G-7 Rivers Data'!$U$4:$Y$4,0)))),"")</f>
        <v/>
      </c>
      <c r="Z21" s="203"/>
      <c r="AA21" s="203"/>
      <c r="AB21" s="534" t="str">
        <f t="shared" si="1"/>
        <v/>
      </c>
      <c r="AC21" s="521" t="str">
        <f t="shared" si="2"/>
        <v/>
      </c>
      <c r="AD21" s="564" t="str">
        <f>IFERROR(IF(AC21="Check Data ⚠","Check Data ⚠",VLOOKUP(AC21,'G-4 Temporal multipliers'!$A$4:$C$37,3,FALSE)),"")</f>
        <v/>
      </c>
      <c r="AE21" s="537" t="str">
        <f>IF(N21="","",VLOOKUP(N21,'G-7 Rivers Data'!$B$4:$G$8,5,FALSE))</f>
        <v/>
      </c>
      <c r="AF21" s="520" t="str">
        <f t="shared" si="3"/>
        <v/>
      </c>
      <c r="AG21" s="520" t="str">
        <f t="shared" si="6"/>
        <v/>
      </c>
      <c r="AH21" s="524" t="str">
        <f t="shared" si="4"/>
        <v/>
      </c>
      <c r="AI21" s="145"/>
      <c r="AJ21" s="499" t="str">
        <f>IF(AI21="","",IF(VLOOKUP(AI21,'G-7 Rivers Data'!$AA$4:$AB$7,2,FALSE)=0,"Spatial Data Missing ⚠",VLOOKUP(AI21,'G-7 Rivers Data'!$AA$4:$AB$7,2,FALSE)))</f>
        <v/>
      </c>
      <c r="AK21" s="155"/>
      <c r="AL21" s="536" t="str">
        <f>IF(AK21="","",IF(VLOOKUP(AK21,'G-7 Rivers Data'!$AD$4:$AE$8,2,FALSE)=0,"Spatial Data Missing ⚠",VLOOKUP(AK21,'G-7 Rivers Data'!$AD$4:$AE$8,2,FALSE)))</f>
        <v/>
      </c>
      <c r="AM21" s="154"/>
      <c r="AN21" s="524" t="str">
        <f>IF(AM21="","",VLOOKUP(AM21,'G-7 Rivers Data'!$AO$4:$AP$7,2,FALSE))</f>
        <v/>
      </c>
      <c r="AO21" s="545" t="str">
        <f t="shared" si="7"/>
        <v/>
      </c>
      <c r="AP21" s="149"/>
      <c r="AQ21" s="150"/>
      <c r="AX21" s="31" t="str">
        <f>IFERROR(INDEX('G-7 Rivers Data'!$AZ$3:$AZ$7,MATCH(N21,'G-7 Rivers Data'!$AY$3:$AY$7,0)),"")</f>
        <v/>
      </c>
    </row>
    <row r="22" spans="2:50" ht="14" x14ac:dyDescent="0.3">
      <c r="B22" s="531" t="str">
        <f>'F-1 Off Site River Baseline'!AN20</f>
        <v/>
      </c>
      <c r="C22" s="520" t="str">
        <f>IF(B22="","",VLOOKUP($B22,'F-1 Off Site River Baseline'!$C$9:$R$257,2,FALSE))</f>
        <v/>
      </c>
      <c r="D22" s="520" t="str">
        <f>IF(C22="","",VLOOKUP($B22,'F-1 Off Site River Baseline'!$C$9:$R$257,3,FALSE))</f>
        <v/>
      </c>
      <c r="E22" s="520" t="str">
        <f>IF(D22="","",VLOOKUP($B22,'F-1 Off Site River Baseline'!$C$9:$R$257,4,FALSE))</f>
        <v/>
      </c>
      <c r="F22" s="520" t="str">
        <f>IF(E22="","",VLOOKUP($B22,'F-1 Off Site River Baseline'!$C$9:$R$257,5,FALSE))</f>
        <v/>
      </c>
      <c r="G22" s="520" t="str">
        <f>IF(F22="","",VLOOKUP($B22,'F-1 Off Site River Baseline'!$C$9:$R$257,6,FALSE))</f>
        <v/>
      </c>
      <c r="H22" s="520" t="str">
        <f>IF(G22="","",VLOOKUP($B22,'F-1 Off Site River Baseline'!$C$9:$R$257,7,FALSE))</f>
        <v/>
      </c>
      <c r="I22" s="520" t="str">
        <f>IF(H22="","",VLOOKUP($B22,'F-1 Off Site River Baseline'!$C$9:$R$257,8,FALSE))</f>
        <v/>
      </c>
      <c r="J22" s="520" t="str">
        <f>IF(I22="","",VLOOKUP($B22,'F-1 Off Site River Baseline'!$C$9:$R$257,9,FALSE))</f>
        <v/>
      </c>
      <c r="K22" s="520" t="str">
        <f>IF(J22="","",VLOOKUP($B22,'F-1 Off Site River Baseline'!$C$9:$R$257,10,FALSE))</f>
        <v/>
      </c>
      <c r="L22" s="520" t="str">
        <f>IF(B22="","",VLOOKUP($B22,'C-1 Site River Baseline'!$C$9:$R$257,15,FALSE))</f>
        <v/>
      </c>
      <c r="M22" s="524" t="str">
        <f>IF(L22="","",VLOOKUP($B22,'F-1 Off Site River Baseline'!$C$9:$R$257,16,FALSE))</f>
        <v/>
      </c>
      <c r="N22" s="418" t="str">
        <f t="shared" si="0"/>
        <v/>
      </c>
      <c r="O22" s="498" t="str">
        <f t="shared" si="5"/>
        <v/>
      </c>
      <c r="P22" s="499" t="str">
        <f>IF(C22="","",IF(AND(LEFT(C22,55)&lt;&gt;LEFT(N22,55),O22="High - High"),"Error - Not like for like ▲",IF(AND(F22=S22,H22&gt;U22),"Error - Can not reduce condition ▲",IF(AND(F22=S22,H22=U22,AJ22='F-1 Off Site River Baseline'!N20,'F-1 Off Site River Baseline'!P20=AL22),"Error - No enhancement ▲",IF(AND(C22&lt;&gt;N22,F22&lt;S22),"Lower Distinctiveness Habitat"&amp;" - "&amp;T22,G22&amp;" - "&amp;T22)))))</f>
        <v/>
      </c>
      <c r="Q22" s="505" t="str">
        <f>IF(N22="","",VLOOKUP(B22,'F-1 Off Site River Baseline'!$C$10:$AA$257,19,FALSE))</f>
        <v/>
      </c>
      <c r="R22" s="498" t="str">
        <f>IF(N22="","",VLOOKUP(N22,'G-7 Rivers Data'!$B$2:$G$8,2,FALSE))</f>
        <v/>
      </c>
      <c r="S22" s="499" t="str">
        <f>IFERROR(VLOOKUP(R22,'G-7 Rivers Data'!$C$4:$D$8,2,FALSE),"")</f>
        <v/>
      </c>
      <c r="T22" s="145"/>
      <c r="U22" s="499" t="str">
        <f>IFERROR(INDEX('G-7 Rivers Data'!$H$4:$L$8,MATCH(N22,'G-7 Rivers Data'!$B$4:$B$8,0),MATCH(T22,'G-7 Rivers Data'!$H$3:$L$3,0)),"")</f>
        <v/>
      </c>
      <c r="V22" s="154"/>
      <c r="W22" s="520" t="str">
        <f>IF(V22="","",IF(VLOOKUP(V22,'G-7 Rivers Data'!$AG$4:$AI$9,2,FALSE)=0,"Spatial Data Missing ⚠",VLOOKUP(V22,'G-7 Rivers Data'!$AG$4:$AI$9,2,FALSE)))</f>
        <v/>
      </c>
      <c r="X22" s="524" t="str">
        <f>IF(V22="","",IF(VLOOKUP(V22,'G-7 Rivers Data'!$AG$4:$AI$9,3,FALSE)=0,"Spatial Data Missing ⚠",VLOOKUP(V22,'G-7 Rivers Data'!$AG$4:$AI$9,3,FALSE)))</f>
        <v/>
      </c>
      <c r="Y22" s="537" t="str">
        <f>IFERROR(IF(OR(LEFT(P22,5)="Error ▲",LEFT(O22,5)="Error ▲"),"Check Data ⚠",IF(F22&lt;S22,'G-7 Rivers Data'!$R$3,INDEX('G-7 Rivers Data'!$U$5:$Y$9,MATCH(G22,'G-7 Rivers Data'!$T$5:$T$9,0),MATCH(T22,'G-7 Rivers Data'!$U$4:$Y$4,0)))),"")</f>
        <v/>
      </c>
      <c r="Z22" s="203"/>
      <c r="AA22" s="203"/>
      <c r="AB22" s="534" t="str">
        <f t="shared" si="1"/>
        <v/>
      </c>
      <c r="AC22" s="521" t="str">
        <f t="shared" si="2"/>
        <v/>
      </c>
      <c r="AD22" s="564" t="str">
        <f>IFERROR(IF(AC22="Check Data ⚠","Check Data ⚠",VLOOKUP(AC22,'G-4 Temporal multipliers'!$A$4:$C$37,3,FALSE)),"")</f>
        <v/>
      </c>
      <c r="AE22" s="537" t="str">
        <f>IF(N22="","",VLOOKUP(N22,'G-7 Rivers Data'!$B$4:$G$8,5,FALSE))</f>
        <v/>
      </c>
      <c r="AF22" s="520" t="str">
        <f t="shared" si="3"/>
        <v/>
      </c>
      <c r="AG22" s="520" t="str">
        <f t="shared" si="6"/>
        <v/>
      </c>
      <c r="AH22" s="524" t="str">
        <f t="shared" si="4"/>
        <v/>
      </c>
      <c r="AI22" s="145"/>
      <c r="AJ22" s="499" t="str">
        <f>IF(AI22="","",IF(VLOOKUP(AI22,'G-7 Rivers Data'!$AA$4:$AB$7,2,FALSE)=0,"Spatial Data Missing ⚠",VLOOKUP(AI22,'G-7 Rivers Data'!$AA$4:$AB$7,2,FALSE)))</f>
        <v/>
      </c>
      <c r="AK22" s="155"/>
      <c r="AL22" s="536" t="str">
        <f>IF(AK22="","",IF(VLOOKUP(AK22,'G-7 Rivers Data'!$AD$4:$AE$8,2,FALSE)=0,"Spatial Data Missing ⚠",VLOOKUP(AK22,'G-7 Rivers Data'!$AD$4:$AE$8,2,FALSE)))</f>
        <v/>
      </c>
      <c r="AM22" s="154"/>
      <c r="AN22" s="524" t="str">
        <f>IF(AM22="","",VLOOKUP(AM22,'G-7 Rivers Data'!$AO$4:$AP$7,2,FALSE))</f>
        <v/>
      </c>
      <c r="AO22" s="545" t="str">
        <f t="shared" si="7"/>
        <v/>
      </c>
      <c r="AP22" s="149"/>
      <c r="AQ22" s="150"/>
      <c r="AX22" s="31" t="str">
        <f>IFERROR(INDEX('G-7 Rivers Data'!$AZ$3:$AZ$7,MATCH(N22,'G-7 Rivers Data'!$AY$3:$AY$7,0)),"")</f>
        <v/>
      </c>
    </row>
    <row r="23" spans="2:50" ht="14" x14ac:dyDescent="0.3">
      <c r="B23" s="531" t="str">
        <f>'F-1 Off Site River Baseline'!AN21</f>
        <v/>
      </c>
      <c r="C23" s="520" t="str">
        <f>IF(B23="","",VLOOKUP($B23,'F-1 Off Site River Baseline'!$C$9:$R$257,2,FALSE))</f>
        <v/>
      </c>
      <c r="D23" s="520" t="str">
        <f>IF(C23="","",VLOOKUP($B23,'F-1 Off Site River Baseline'!$C$9:$R$257,3,FALSE))</f>
        <v/>
      </c>
      <c r="E23" s="520" t="str">
        <f>IF(D23="","",VLOOKUP($B23,'F-1 Off Site River Baseline'!$C$9:$R$257,4,FALSE))</f>
        <v/>
      </c>
      <c r="F23" s="520" t="str">
        <f>IF(E23="","",VLOOKUP($B23,'F-1 Off Site River Baseline'!$C$9:$R$257,5,FALSE))</f>
        <v/>
      </c>
      <c r="G23" s="520" t="str">
        <f>IF(F23="","",VLOOKUP($B23,'F-1 Off Site River Baseline'!$C$9:$R$257,6,FALSE))</f>
        <v/>
      </c>
      <c r="H23" s="520" t="str">
        <f>IF(G23="","",VLOOKUP($B23,'F-1 Off Site River Baseline'!$C$9:$R$257,7,FALSE))</f>
        <v/>
      </c>
      <c r="I23" s="520" t="str">
        <f>IF(H23="","",VLOOKUP($B23,'F-1 Off Site River Baseline'!$C$9:$R$257,8,FALSE))</f>
        <v/>
      </c>
      <c r="J23" s="520" t="str">
        <f>IF(I23="","",VLOOKUP($B23,'F-1 Off Site River Baseline'!$C$9:$R$257,9,FALSE))</f>
        <v/>
      </c>
      <c r="K23" s="520" t="str">
        <f>IF(J23="","",VLOOKUP($B23,'F-1 Off Site River Baseline'!$C$9:$R$257,10,FALSE))</f>
        <v/>
      </c>
      <c r="L23" s="520" t="str">
        <f>IF(B23="","",VLOOKUP($B23,'C-1 Site River Baseline'!$C$9:$R$257,15,FALSE))</f>
        <v/>
      </c>
      <c r="M23" s="524" t="str">
        <f>IF(L23="","",VLOOKUP($B23,'F-1 Off Site River Baseline'!$C$9:$R$257,16,FALSE))</f>
        <v/>
      </c>
      <c r="N23" s="418" t="str">
        <f t="shared" si="0"/>
        <v/>
      </c>
      <c r="O23" s="498" t="str">
        <f t="shared" si="5"/>
        <v/>
      </c>
      <c r="P23" s="499" t="str">
        <f>IF(C23="","",IF(AND(LEFT(C23,55)&lt;&gt;LEFT(N23,55),O23="High - High"),"Error - Not like for like ▲",IF(AND(F23=S23,H23&gt;U23),"Error - Can not reduce condition ▲",IF(AND(F23=S23,H23=U23,AJ23='F-1 Off Site River Baseline'!N21,'F-1 Off Site River Baseline'!P21=AL23),"Error - No enhancement ▲",IF(AND(C23&lt;&gt;N23,F23&lt;S23),"Lower Distinctiveness Habitat"&amp;" - "&amp;T23,G23&amp;" - "&amp;T23)))))</f>
        <v/>
      </c>
      <c r="Q23" s="505" t="str">
        <f>IF(N23="","",VLOOKUP(B23,'F-1 Off Site River Baseline'!$C$10:$AA$257,19,FALSE))</f>
        <v/>
      </c>
      <c r="R23" s="498" t="str">
        <f>IF(N23="","",VLOOKUP(N23,'G-7 Rivers Data'!$B$2:$G$8,2,FALSE))</f>
        <v/>
      </c>
      <c r="S23" s="499" t="str">
        <f>IFERROR(VLOOKUP(R23,'G-7 Rivers Data'!$C$4:$D$8,2,FALSE),"")</f>
        <v/>
      </c>
      <c r="T23" s="145"/>
      <c r="U23" s="499" t="str">
        <f>IFERROR(INDEX('G-7 Rivers Data'!$H$4:$L$8,MATCH(N23,'G-7 Rivers Data'!$B$4:$B$8,0),MATCH(T23,'G-7 Rivers Data'!$H$3:$L$3,0)),"")</f>
        <v/>
      </c>
      <c r="V23" s="154"/>
      <c r="W23" s="520" t="str">
        <f>IF(V23="","",IF(VLOOKUP(V23,'G-7 Rivers Data'!$AG$4:$AI$9,2,FALSE)=0,"Spatial Data Missing ⚠",VLOOKUP(V23,'G-7 Rivers Data'!$AG$4:$AI$9,2,FALSE)))</f>
        <v/>
      </c>
      <c r="X23" s="524" t="str">
        <f>IF(V23="","",IF(VLOOKUP(V23,'G-7 Rivers Data'!$AG$4:$AI$9,3,FALSE)=0,"Spatial Data Missing ⚠",VLOOKUP(V23,'G-7 Rivers Data'!$AG$4:$AI$9,3,FALSE)))</f>
        <v/>
      </c>
      <c r="Y23" s="537" t="str">
        <f>IFERROR(IF(OR(LEFT(P23,5)="Error ▲",LEFT(O23,5)="Error ▲"),"Check Data ⚠",IF(F23&lt;S23,'G-7 Rivers Data'!$R$3,INDEX('G-7 Rivers Data'!$U$5:$Y$9,MATCH(G23,'G-7 Rivers Data'!$T$5:$T$9,0),MATCH(T23,'G-7 Rivers Data'!$U$4:$Y$4,0)))),"")</f>
        <v/>
      </c>
      <c r="Z23" s="203"/>
      <c r="AA23" s="203"/>
      <c r="AB23" s="534" t="str">
        <f t="shared" si="1"/>
        <v/>
      </c>
      <c r="AC23" s="521" t="str">
        <f t="shared" si="2"/>
        <v/>
      </c>
      <c r="AD23" s="564" t="str">
        <f>IFERROR(IF(AC23="Check Data ⚠","Check Data ⚠",VLOOKUP(AC23,'G-4 Temporal multipliers'!$A$4:$C$37,3,FALSE)),"")</f>
        <v/>
      </c>
      <c r="AE23" s="537" t="str">
        <f>IF(N23="","",VLOOKUP(N23,'G-7 Rivers Data'!$B$4:$G$8,5,FALSE))</f>
        <v/>
      </c>
      <c r="AF23" s="520" t="str">
        <f t="shared" si="3"/>
        <v/>
      </c>
      <c r="AG23" s="520" t="str">
        <f t="shared" si="6"/>
        <v/>
      </c>
      <c r="AH23" s="524" t="str">
        <f t="shared" si="4"/>
        <v/>
      </c>
      <c r="AI23" s="145"/>
      <c r="AJ23" s="499" t="str">
        <f>IF(AI23="","",IF(VLOOKUP(AI23,'G-7 Rivers Data'!$AA$4:$AB$7,2,FALSE)=0,"Spatial Data Missing ⚠",VLOOKUP(AI23,'G-7 Rivers Data'!$AA$4:$AB$7,2,FALSE)))</f>
        <v/>
      </c>
      <c r="AK23" s="155"/>
      <c r="AL23" s="536" t="str">
        <f>IF(AK23="","",IF(VLOOKUP(AK23,'G-7 Rivers Data'!$AD$4:$AE$8,2,FALSE)=0,"Spatial Data Missing ⚠",VLOOKUP(AK23,'G-7 Rivers Data'!$AD$4:$AE$8,2,FALSE)))</f>
        <v/>
      </c>
      <c r="AM23" s="154"/>
      <c r="AN23" s="524" t="str">
        <f>IF(AM23="","",VLOOKUP(AM23,'G-7 Rivers Data'!$AO$4:$AP$7,2,FALSE))</f>
        <v/>
      </c>
      <c r="AO23" s="545" t="str">
        <f t="shared" si="7"/>
        <v/>
      </c>
      <c r="AP23" s="149"/>
      <c r="AQ23" s="150"/>
      <c r="AX23" s="31" t="str">
        <f>IFERROR(INDEX('G-7 Rivers Data'!$AZ$3:$AZ$7,MATCH(N23,'G-7 Rivers Data'!$AY$3:$AY$7,0)),"")</f>
        <v/>
      </c>
    </row>
    <row r="24" spans="2:50" ht="14" x14ac:dyDescent="0.3">
      <c r="B24" s="531" t="str">
        <f>'F-1 Off Site River Baseline'!AN22</f>
        <v/>
      </c>
      <c r="C24" s="520" t="str">
        <f>IF(B24="","",VLOOKUP($B24,'F-1 Off Site River Baseline'!$C$9:$R$257,2,FALSE))</f>
        <v/>
      </c>
      <c r="D24" s="520" t="str">
        <f>IF(C24="","",VLOOKUP($B24,'F-1 Off Site River Baseline'!$C$9:$R$257,3,FALSE))</f>
        <v/>
      </c>
      <c r="E24" s="520" t="str">
        <f>IF(D24="","",VLOOKUP($B24,'F-1 Off Site River Baseline'!$C$9:$R$257,4,FALSE))</f>
        <v/>
      </c>
      <c r="F24" s="520" t="str">
        <f>IF(E24="","",VLOOKUP($B24,'F-1 Off Site River Baseline'!$C$9:$R$257,5,FALSE))</f>
        <v/>
      </c>
      <c r="G24" s="520" t="str">
        <f>IF(F24="","",VLOOKUP($B24,'F-1 Off Site River Baseline'!$C$9:$R$257,6,FALSE))</f>
        <v/>
      </c>
      <c r="H24" s="520" t="str">
        <f>IF(G24="","",VLOOKUP($B24,'F-1 Off Site River Baseline'!$C$9:$R$257,7,FALSE))</f>
        <v/>
      </c>
      <c r="I24" s="520" t="str">
        <f>IF(H24="","",VLOOKUP($B24,'F-1 Off Site River Baseline'!$C$9:$R$257,8,FALSE))</f>
        <v/>
      </c>
      <c r="J24" s="520" t="str">
        <f>IF(I24="","",VLOOKUP($B24,'F-1 Off Site River Baseline'!$C$9:$R$257,9,FALSE))</f>
        <v/>
      </c>
      <c r="K24" s="520" t="str">
        <f>IF(J24="","",VLOOKUP($B24,'F-1 Off Site River Baseline'!$C$9:$R$257,10,FALSE))</f>
        <v/>
      </c>
      <c r="L24" s="520" t="str">
        <f>IF(B24="","",VLOOKUP($B24,'C-1 Site River Baseline'!$C$9:$R$257,15,FALSE))</f>
        <v/>
      </c>
      <c r="M24" s="524" t="str">
        <f>IF(L24="","",VLOOKUP($B24,'F-1 Off Site River Baseline'!$C$9:$R$257,16,FALSE))</f>
        <v/>
      </c>
      <c r="N24" s="418" t="str">
        <f t="shared" si="0"/>
        <v/>
      </c>
      <c r="O24" s="498" t="str">
        <f t="shared" si="5"/>
        <v/>
      </c>
      <c r="P24" s="499" t="str">
        <f>IF(C24="","",IF(AND(LEFT(C24,55)&lt;&gt;LEFT(N24,55),O24="High - High"),"Error - Not like for like ▲",IF(AND(F24=S24,H24&gt;U24),"Error - Can not reduce condition ▲",IF(AND(F24=S24,H24=U24,AJ24='F-1 Off Site River Baseline'!N22,'F-1 Off Site River Baseline'!P22=AL24),"Error - No enhancement ▲",IF(AND(C24&lt;&gt;N24,F24&lt;S24),"Lower Distinctiveness Habitat"&amp;" - "&amp;T24,G24&amp;" - "&amp;T24)))))</f>
        <v/>
      </c>
      <c r="Q24" s="505" t="str">
        <f>IF(N24="","",VLOOKUP(B24,'F-1 Off Site River Baseline'!$C$10:$AA$257,19,FALSE))</f>
        <v/>
      </c>
      <c r="R24" s="498" t="str">
        <f>IF(N24="","",VLOOKUP(N24,'G-7 Rivers Data'!$B$2:$G$8,2,FALSE))</f>
        <v/>
      </c>
      <c r="S24" s="499" t="str">
        <f>IFERROR(VLOOKUP(R24,'G-7 Rivers Data'!$C$4:$D$8,2,FALSE),"")</f>
        <v/>
      </c>
      <c r="T24" s="145"/>
      <c r="U24" s="499" t="str">
        <f>IFERROR(INDEX('G-7 Rivers Data'!$H$4:$L$8,MATCH(N24,'G-7 Rivers Data'!$B$4:$B$8,0),MATCH(T24,'G-7 Rivers Data'!$H$3:$L$3,0)),"")</f>
        <v/>
      </c>
      <c r="V24" s="154"/>
      <c r="W24" s="520" t="str">
        <f>IF(V24="","",IF(VLOOKUP(V24,'G-7 Rivers Data'!$AG$4:$AI$9,2,FALSE)=0,"Spatial Data Missing ⚠",VLOOKUP(V24,'G-7 Rivers Data'!$AG$4:$AI$9,2,FALSE)))</f>
        <v/>
      </c>
      <c r="X24" s="524" t="str">
        <f>IF(V24="","",IF(VLOOKUP(V24,'G-7 Rivers Data'!$AG$4:$AI$9,3,FALSE)=0,"Spatial Data Missing ⚠",VLOOKUP(V24,'G-7 Rivers Data'!$AG$4:$AI$9,3,FALSE)))</f>
        <v/>
      </c>
      <c r="Y24" s="537" t="str">
        <f>IFERROR(IF(OR(LEFT(P24,5)="Error ▲",LEFT(O24,5)="Error ▲"),"Check Data ⚠",IF(F24&lt;S24,'G-7 Rivers Data'!$R$3,INDEX('G-7 Rivers Data'!$U$5:$Y$9,MATCH(G24,'G-7 Rivers Data'!$T$5:$T$9,0),MATCH(T24,'G-7 Rivers Data'!$U$4:$Y$4,0)))),"")</f>
        <v/>
      </c>
      <c r="Z24" s="203"/>
      <c r="AA24" s="203"/>
      <c r="AB24" s="534" t="str">
        <f t="shared" si="1"/>
        <v/>
      </c>
      <c r="AC24" s="521" t="str">
        <f t="shared" si="2"/>
        <v/>
      </c>
      <c r="AD24" s="564" t="str">
        <f>IFERROR(IF(AC24="Check Data ⚠","Check Data ⚠",VLOOKUP(AC24,'G-4 Temporal multipliers'!$A$4:$C$37,3,FALSE)),"")</f>
        <v/>
      </c>
      <c r="AE24" s="537" t="str">
        <f>IF(N24="","",VLOOKUP(N24,'G-7 Rivers Data'!$B$4:$G$8,5,FALSE))</f>
        <v/>
      </c>
      <c r="AF24" s="520" t="str">
        <f t="shared" si="3"/>
        <v/>
      </c>
      <c r="AG24" s="520" t="str">
        <f t="shared" si="6"/>
        <v/>
      </c>
      <c r="AH24" s="524" t="str">
        <f t="shared" si="4"/>
        <v/>
      </c>
      <c r="AI24" s="145"/>
      <c r="AJ24" s="499" t="str">
        <f>IF(AI24="","",IF(VLOOKUP(AI24,'G-7 Rivers Data'!$AA$4:$AB$7,2,FALSE)=0,"Spatial Data Missing ⚠",VLOOKUP(AI24,'G-7 Rivers Data'!$AA$4:$AB$7,2,FALSE)))</f>
        <v/>
      </c>
      <c r="AK24" s="155"/>
      <c r="AL24" s="536" t="str">
        <f>IF(AK24="","",IF(VLOOKUP(AK24,'G-7 Rivers Data'!$AD$4:$AE$8,2,FALSE)=0,"Spatial Data Missing ⚠",VLOOKUP(AK24,'G-7 Rivers Data'!$AD$4:$AE$8,2,FALSE)))</f>
        <v/>
      </c>
      <c r="AM24" s="154"/>
      <c r="AN24" s="524" t="str">
        <f>IF(AM24="","",VLOOKUP(AM24,'G-7 Rivers Data'!$AO$4:$AP$7,2,FALSE))</f>
        <v/>
      </c>
      <c r="AO24" s="545" t="str">
        <f t="shared" si="7"/>
        <v/>
      </c>
      <c r="AP24" s="149"/>
      <c r="AQ24" s="150"/>
      <c r="AX24" s="31" t="str">
        <f>IFERROR(INDEX('G-7 Rivers Data'!$AZ$3:$AZ$7,MATCH(N24,'G-7 Rivers Data'!$AY$3:$AY$7,0)),"")</f>
        <v/>
      </c>
    </row>
    <row r="25" spans="2:50" ht="14" x14ac:dyDescent="0.3">
      <c r="B25" s="531" t="str">
        <f>'F-1 Off Site River Baseline'!AN23</f>
        <v/>
      </c>
      <c r="C25" s="520" t="str">
        <f>IF(B25="","",VLOOKUP($B25,'F-1 Off Site River Baseline'!$C$9:$R$257,2,FALSE))</f>
        <v/>
      </c>
      <c r="D25" s="520" t="str">
        <f>IF(C25="","",VLOOKUP($B25,'F-1 Off Site River Baseline'!$C$9:$R$257,3,FALSE))</f>
        <v/>
      </c>
      <c r="E25" s="520" t="str">
        <f>IF(D25="","",VLOOKUP($B25,'F-1 Off Site River Baseline'!$C$9:$R$257,4,FALSE))</f>
        <v/>
      </c>
      <c r="F25" s="520" t="str">
        <f>IF(E25="","",VLOOKUP($B25,'F-1 Off Site River Baseline'!$C$9:$R$257,5,FALSE))</f>
        <v/>
      </c>
      <c r="G25" s="520" t="str">
        <f>IF(F25="","",VLOOKUP($B25,'F-1 Off Site River Baseline'!$C$9:$R$257,6,FALSE))</f>
        <v/>
      </c>
      <c r="H25" s="520" t="str">
        <f>IF(G25="","",VLOOKUP($B25,'F-1 Off Site River Baseline'!$C$9:$R$257,7,FALSE))</f>
        <v/>
      </c>
      <c r="I25" s="520" t="str">
        <f>IF(H25="","",VLOOKUP($B25,'F-1 Off Site River Baseline'!$C$9:$R$257,8,FALSE))</f>
        <v/>
      </c>
      <c r="J25" s="520" t="str">
        <f>IF(I25="","",VLOOKUP($B25,'F-1 Off Site River Baseline'!$C$9:$R$257,9,FALSE))</f>
        <v/>
      </c>
      <c r="K25" s="520" t="str">
        <f>IF(J25="","",VLOOKUP($B25,'F-1 Off Site River Baseline'!$C$9:$R$257,10,FALSE))</f>
        <v/>
      </c>
      <c r="L25" s="520" t="str">
        <f>IF(B25="","",VLOOKUP($B25,'C-1 Site River Baseline'!$C$9:$R$257,15,FALSE))</f>
        <v/>
      </c>
      <c r="M25" s="524" t="str">
        <f>IF(L25="","",VLOOKUP($B25,'F-1 Off Site River Baseline'!$C$9:$R$257,16,FALSE))</f>
        <v/>
      </c>
      <c r="N25" s="418" t="str">
        <f t="shared" si="0"/>
        <v/>
      </c>
      <c r="O25" s="498" t="str">
        <f t="shared" si="5"/>
        <v/>
      </c>
      <c r="P25" s="499" t="str">
        <f>IF(C25="","",IF(AND(LEFT(C25,55)&lt;&gt;LEFT(N25,55),O25="High - High"),"Error - Not like for like ▲",IF(AND(F25=S25,H25&gt;U25),"Error - Can not reduce condition ▲",IF(AND(F25=S25,H25=U25,AJ25='F-1 Off Site River Baseline'!N23,'F-1 Off Site River Baseline'!P23=AL25),"Error - No enhancement ▲",IF(AND(C25&lt;&gt;N25,F25&lt;S25),"Lower Distinctiveness Habitat"&amp;" - "&amp;T25,G25&amp;" - "&amp;T25)))))</f>
        <v/>
      </c>
      <c r="Q25" s="505" t="str">
        <f>IF(N25="","",VLOOKUP(B25,'F-1 Off Site River Baseline'!$C$10:$AA$257,19,FALSE))</f>
        <v/>
      </c>
      <c r="R25" s="498" t="str">
        <f>IF(N25="","",VLOOKUP(N25,'G-7 Rivers Data'!$B$2:$G$8,2,FALSE))</f>
        <v/>
      </c>
      <c r="S25" s="499" t="str">
        <f>IFERROR(VLOOKUP(R25,'G-7 Rivers Data'!$C$4:$D$8,2,FALSE),"")</f>
        <v/>
      </c>
      <c r="T25" s="145"/>
      <c r="U25" s="499" t="str">
        <f>IFERROR(INDEX('G-7 Rivers Data'!$H$4:$L$8,MATCH(N25,'G-7 Rivers Data'!$B$4:$B$8,0),MATCH(T25,'G-7 Rivers Data'!$H$3:$L$3,0)),"")</f>
        <v/>
      </c>
      <c r="V25" s="154"/>
      <c r="W25" s="520" t="str">
        <f>IF(V25="","",IF(VLOOKUP(V25,'G-7 Rivers Data'!$AG$4:$AI$9,2,FALSE)=0,"Spatial Data Missing ⚠",VLOOKUP(V25,'G-7 Rivers Data'!$AG$4:$AI$9,2,FALSE)))</f>
        <v/>
      </c>
      <c r="X25" s="524" t="str">
        <f>IF(V25="","",IF(VLOOKUP(V25,'G-7 Rivers Data'!$AG$4:$AI$9,3,FALSE)=0,"Spatial Data Missing ⚠",VLOOKUP(V25,'G-7 Rivers Data'!$AG$4:$AI$9,3,FALSE)))</f>
        <v/>
      </c>
      <c r="Y25" s="537" t="str">
        <f>IFERROR(IF(OR(LEFT(P25,5)="Error ▲",LEFT(O25,5)="Error ▲"),"Check Data ⚠",IF(F25&lt;S25,'G-7 Rivers Data'!$R$3,INDEX('G-7 Rivers Data'!$U$5:$Y$9,MATCH(G25,'G-7 Rivers Data'!$T$5:$T$9,0),MATCH(T25,'G-7 Rivers Data'!$U$4:$Y$4,0)))),"")</f>
        <v/>
      </c>
      <c r="Z25" s="203"/>
      <c r="AA25" s="203"/>
      <c r="AB25" s="534" t="str">
        <f t="shared" si="1"/>
        <v/>
      </c>
      <c r="AC25" s="521" t="str">
        <f t="shared" si="2"/>
        <v/>
      </c>
      <c r="AD25" s="564" t="str">
        <f>IFERROR(IF(AC25="Check Data ⚠","Check Data ⚠",VLOOKUP(AC25,'G-4 Temporal multipliers'!$A$4:$C$37,3,FALSE)),"")</f>
        <v/>
      </c>
      <c r="AE25" s="537" t="str">
        <f>IF(N25="","",VLOOKUP(N25,'G-7 Rivers Data'!$B$4:$G$8,5,FALSE))</f>
        <v/>
      </c>
      <c r="AF25" s="520" t="str">
        <f t="shared" si="3"/>
        <v/>
      </c>
      <c r="AG25" s="520" t="str">
        <f t="shared" si="6"/>
        <v/>
      </c>
      <c r="AH25" s="524" t="str">
        <f t="shared" si="4"/>
        <v/>
      </c>
      <c r="AI25" s="145"/>
      <c r="AJ25" s="499" t="str">
        <f>IF(AI25="","",IF(VLOOKUP(AI25,'G-7 Rivers Data'!$AA$4:$AB$7,2,FALSE)=0,"Spatial Data Missing ⚠",VLOOKUP(AI25,'G-7 Rivers Data'!$AA$4:$AB$7,2,FALSE)))</f>
        <v/>
      </c>
      <c r="AK25" s="155"/>
      <c r="AL25" s="536" t="str">
        <f>IF(AK25="","",IF(VLOOKUP(AK25,'G-7 Rivers Data'!$AD$4:$AE$8,2,FALSE)=0,"Spatial Data Missing ⚠",VLOOKUP(AK25,'G-7 Rivers Data'!$AD$4:$AE$8,2,FALSE)))</f>
        <v/>
      </c>
      <c r="AM25" s="154"/>
      <c r="AN25" s="524" t="str">
        <f>IF(AM25="","",VLOOKUP(AM25,'G-7 Rivers Data'!$AO$4:$AP$7,2,FALSE))</f>
        <v/>
      </c>
      <c r="AO25" s="545" t="str">
        <f t="shared" si="7"/>
        <v/>
      </c>
      <c r="AP25" s="149"/>
      <c r="AQ25" s="150"/>
      <c r="AX25" s="31" t="str">
        <f>IFERROR(INDEX('G-7 Rivers Data'!$AZ$3:$AZ$7,MATCH(N25,'G-7 Rivers Data'!$AY$3:$AY$7,0)),"")</f>
        <v/>
      </c>
    </row>
    <row r="26" spans="2:50" ht="14" x14ac:dyDescent="0.3">
      <c r="B26" s="531" t="str">
        <f>'F-1 Off Site River Baseline'!AN24</f>
        <v/>
      </c>
      <c r="C26" s="520" t="str">
        <f>IF(B26="","",VLOOKUP($B26,'F-1 Off Site River Baseline'!$C$9:$R$257,2,FALSE))</f>
        <v/>
      </c>
      <c r="D26" s="520" t="str">
        <f>IF(C26="","",VLOOKUP($B26,'F-1 Off Site River Baseline'!$C$9:$R$257,3,FALSE))</f>
        <v/>
      </c>
      <c r="E26" s="520" t="str">
        <f>IF(D26="","",VLOOKUP($B26,'F-1 Off Site River Baseline'!$C$9:$R$257,4,FALSE))</f>
        <v/>
      </c>
      <c r="F26" s="520" t="str">
        <f>IF(E26="","",VLOOKUP($B26,'F-1 Off Site River Baseline'!$C$9:$R$257,5,FALSE))</f>
        <v/>
      </c>
      <c r="G26" s="520" t="str">
        <f>IF(F26="","",VLOOKUP($B26,'F-1 Off Site River Baseline'!$C$9:$R$257,6,FALSE))</f>
        <v/>
      </c>
      <c r="H26" s="520" t="str">
        <f>IF(G26="","",VLOOKUP($B26,'F-1 Off Site River Baseline'!$C$9:$R$257,7,FALSE))</f>
        <v/>
      </c>
      <c r="I26" s="520" t="str">
        <f>IF(H26="","",VLOOKUP($B26,'F-1 Off Site River Baseline'!$C$9:$R$257,8,FALSE))</f>
        <v/>
      </c>
      <c r="J26" s="520" t="str">
        <f>IF(I26="","",VLOOKUP($B26,'F-1 Off Site River Baseline'!$C$9:$R$257,9,FALSE))</f>
        <v/>
      </c>
      <c r="K26" s="520" t="str">
        <f>IF(J26="","",VLOOKUP($B26,'F-1 Off Site River Baseline'!$C$9:$R$257,10,FALSE))</f>
        <v/>
      </c>
      <c r="L26" s="520" t="str">
        <f>IF(B26="","",VLOOKUP($B26,'C-1 Site River Baseline'!$C$9:$R$257,15,FALSE))</f>
        <v/>
      </c>
      <c r="M26" s="524" t="str">
        <f>IF(L26="","",VLOOKUP($B26,'F-1 Off Site River Baseline'!$C$9:$R$257,16,FALSE))</f>
        <v/>
      </c>
      <c r="N26" s="418" t="str">
        <f t="shared" si="0"/>
        <v/>
      </c>
      <c r="O26" s="498" t="str">
        <f t="shared" si="5"/>
        <v/>
      </c>
      <c r="P26" s="499" t="str">
        <f>IF(C26="","",IF(AND(LEFT(C26,55)&lt;&gt;LEFT(N26,55),O26="High - High"),"Error - Not like for like ▲",IF(AND(F26=S26,H26&gt;U26),"Error - Can not reduce condition ▲",IF(AND(F26=S26,H26=U26,AJ26='F-1 Off Site River Baseline'!N24,'F-1 Off Site River Baseline'!P24=AL26),"Error - No enhancement ▲",IF(AND(C26&lt;&gt;N26,F26&lt;S26),"Lower Distinctiveness Habitat"&amp;" - "&amp;T26,G26&amp;" - "&amp;T26)))))</f>
        <v/>
      </c>
      <c r="Q26" s="505" t="str">
        <f>IF(N26="","",VLOOKUP(B26,'F-1 Off Site River Baseline'!$C$10:$AA$257,19,FALSE))</f>
        <v/>
      </c>
      <c r="R26" s="498" t="str">
        <f>IF(N26="","",VLOOKUP(N26,'G-7 Rivers Data'!$B$2:$G$8,2,FALSE))</f>
        <v/>
      </c>
      <c r="S26" s="499" t="str">
        <f>IFERROR(VLOOKUP(R26,'G-7 Rivers Data'!$C$4:$D$8,2,FALSE),"")</f>
        <v/>
      </c>
      <c r="T26" s="145"/>
      <c r="U26" s="499" t="str">
        <f>IFERROR(INDEX('G-7 Rivers Data'!$H$4:$L$8,MATCH(N26,'G-7 Rivers Data'!$B$4:$B$8,0),MATCH(T26,'G-7 Rivers Data'!$H$3:$L$3,0)),"")</f>
        <v/>
      </c>
      <c r="V26" s="154"/>
      <c r="W26" s="520" t="str">
        <f>IF(V26="","",IF(VLOOKUP(V26,'G-7 Rivers Data'!$AG$4:$AI$9,2,FALSE)=0,"Spatial Data Missing ⚠",VLOOKUP(V26,'G-7 Rivers Data'!$AG$4:$AI$9,2,FALSE)))</f>
        <v/>
      </c>
      <c r="X26" s="524" t="str">
        <f>IF(V26="","",IF(VLOOKUP(V26,'G-7 Rivers Data'!$AG$4:$AI$9,3,FALSE)=0,"Spatial Data Missing ⚠",VLOOKUP(V26,'G-7 Rivers Data'!$AG$4:$AI$9,3,FALSE)))</f>
        <v/>
      </c>
      <c r="Y26" s="537" t="str">
        <f>IFERROR(IF(OR(LEFT(P26,5)="Error ▲",LEFT(O26,5)="Error ▲"),"Check Data ⚠",IF(F26&lt;S26,'G-7 Rivers Data'!$R$3,INDEX('G-7 Rivers Data'!$U$5:$Y$9,MATCH(G26,'G-7 Rivers Data'!$T$5:$T$9,0),MATCH(T26,'G-7 Rivers Data'!$U$4:$Y$4,0)))),"")</f>
        <v/>
      </c>
      <c r="Z26" s="203"/>
      <c r="AA26" s="203"/>
      <c r="AB26" s="534" t="str">
        <f t="shared" si="1"/>
        <v/>
      </c>
      <c r="AC26" s="521" t="str">
        <f t="shared" si="2"/>
        <v/>
      </c>
      <c r="AD26" s="564" t="str">
        <f>IFERROR(IF(AC26="Check Data ⚠","Check Data ⚠",VLOOKUP(AC26,'G-4 Temporal multipliers'!$A$4:$C$37,3,FALSE)),"")</f>
        <v/>
      </c>
      <c r="AE26" s="537" t="str">
        <f>IF(N26="","",VLOOKUP(N26,'G-7 Rivers Data'!$B$4:$G$8,5,FALSE))</f>
        <v/>
      </c>
      <c r="AF26" s="520" t="str">
        <f t="shared" si="3"/>
        <v/>
      </c>
      <c r="AG26" s="520" t="str">
        <f t="shared" si="6"/>
        <v/>
      </c>
      <c r="AH26" s="524" t="str">
        <f t="shared" si="4"/>
        <v/>
      </c>
      <c r="AI26" s="145"/>
      <c r="AJ26" s="499" t="str">
        <f>IF(AI26="","",IF(VLOOKUP(AI26,'G-7 Rivers Data'!$AA$4:$AB$7,2,FALSE)=0,"Spatial Data Missing ⚠",VLOOKUP(AI26,'G-7 Rivers Data'!$AA$4:$AB$7,2,FALSE)))</f>
        <v/>
      </c>
      <c r="AK26" s="155"/>
      <c r="AL26" s="536" t="str">
        <f>IF(AK26="","",IF(VLOOKUP(AK26,'G-7 Rivers Data'!$AD$4:$AE$8,2,FALSE)=0,"Spatial Data Missing ⚠",VLOOKUP(AK26,'G-7 Rivers Data'!$AD$4:$AE$8,2,FALSE)))</f>
        <v/>
      </c>
      <c r="AM26" s="154"/>
      <c r="AN26" s="524" t="str">
        <f>IF(AM26="","",VLOOKUP(AM26,'G-7 Rivers Data'!$AO$4:$AP$7,2,FALSE))</f>
        <v/>
      </c>
      <c r="AO26" s="545" t="str">
        <f t="shared" si="7"/>
        <v/>
      </c>
      <c r="AP26" s="149"/>
      <c r="AQ26" s="150"/>
      <c r="AX26" s="31" t="str">
        <f>IFERROR(INDEX('G-7 Rivers Data'!$AZ$3:$AZ$7,MATCH(N26,'G-7 Rivers Data'!$AY$3:$AY$7,0)),"")</f>
        <v/>
      </c>
    </row>
    <row r="27" spans="2:50" ht="14" x14ac:dyDescent="0.3">
      <c r="B27" s="531" t="str">
        <f>'F-1 Off Site River Baseline'!AN25</f>
        <v/>
      </c>
      <c r="C27" s="520" t="str">
        <f>IF(B27="","",VLOOKUP($B27,'F-1 Off Site River Baseline'!$C$9:$R$257,2,FALSE))</f>
        <v/>
      </c>
      <c r="D27" s="520" t="str">
        <f>IF(C27="","",VLOOKUP($B27,'F-1 Off Site River Baseline'!$C$9:$R$257,3,FALSE))</f>
        <v/>
      </c>
      <c r="E27" s="520" t="str">
        <f>IF(D27="","",VLOOKUP($B27,'F-1 Off Site River Baseline'!$C$9:$R$257,4,FALSE))</f>
        <v/>
      </c>
      <c r="F27" s="520" t="str">
        <f>IF(E27="","",VLOOKUP($B27,'F-1 Off Site River Baseline'!$C$9:$R$257,5,FALSE))</f>
        <v/>
      </c>
      <c r="G27" s="520" t="str">
        <f>IF(F27="","",VLOOKUP($B27,'F-1 Off Site River Baseline'!$C$9:$R$257,6,FALSE))</f>
        <v/>
      </c>
      <c r="H27" s="520" t="str">
        <f>IF(G27="","",VLOOKUP($B27,'F-1 Off Site River Baseline'!$C$9:$R$257,7,FALSE))</f>
        <v/>
      </c>
      <c r="I27" s="520" t="str">
        <f>IF(H27="","",VLOOKUP($B27,'F-1 Off Site River Baseline'!$C$9:$R$257,8,FALSE))</f>
        <v/>
      </c>
      <c r="J27" s="520" t="str">
        <f>IF(I27="","",VLOOKUP($B27,'F-1 Off Site River Baseline'!$C$9:$R$257,9,FALSE))</f>
        <v/>
      </c>
      <c r="K27" s="520" t="str">
        <f>IF(J27="","",VLOOKUP($B27,'F-1 Off Site River Baseline'!$C$9:$R$257,10,FALSE))</f>
        <v/>
      </c>
      <c r="L27" s="520" t="str">
        <f>IF(B27="","",VLOOKUP($B27,'C-1 Site River Baseline'!$C$9:$R$257,15,FALSE))</f>
        <v/>
      </c>
      <c r="M27" s="524" t="str">
        <f>IF(L27="","",VLOOKUP($B27,'F-1 Off Site River Baseline'!$C$9:$R$257,16,FALSE))</f>
        <v/>
      </c>
      <c r="N27" s="418" t="str">
        <f t="shared" si="0"/>
        <v/>
      </c>
      <c r="O27" s="498" t="str">
        <f t="shared" si="5"/>
        <v/>
      </c>
      <c r="P27" s="499" t="str">
        <f>IF(C27="","",IF(AND(LEFT(C27,55)&lt;&gt;LEFT(N27,55),O27="High - High"),"Error - Not like for like ▲",IF(AND(F27=S27,H27&gt;U27),"Error - Can not reduce condition ▲",IF(AND(F27=S27,H27=U27,AJ27='F-1 Off Site River Baseline'!N25,'F-1 Off Site River Baseline'!P25=AL27),"Error - No enhancement ▲",IF(AND(C27&lt;&gt;N27,F27&lt;S27),"Lower Distinctiveness Habitat"&amp;" - "&amp;T27,G27&amp;" - "&amp;T27)))))</f>
        <v/>
      </c>
      <c r="Q27" s="505" t="str">
        <f>IF(N27="","",VLOOKUP(B27,'F-1 Off Site River Baseline'!$C$10:$AA$257,19,FALSE))</f>
        <v/>
      </c>
      <c r="R27" s="498" t="str">
        <f>IF(N27="","",VLOOKUP(N27,'G-7 Rivers Data'!$B$2:$G$8,2,FALSE))</f>
        <v/>
      </c>
      <c r="S27" s="499" t="str">
        <f>IFERROR(VLOOKUP(R27,'G-7 Rivers Data'!$C$4:$D$8,2,FALSE),"")</f>
        <v/>
      </c>
      <c r="T27" s="145"/>
      <c r="U27" s="499" t="str">
        <f>IFERROR(INDEX('G-7 Rivers Data'!$H$4:$L$8,MATCH(N27,'G-7 Rivers Data'!$B$4:$B$8,0),MATCH(T27,'G-7 Rivers Data'!$H$3:$L$3,0)),"")</f>
        <v/>
      </c>
      <c r="V27" s="154"/>
      <c r="W27" s="520" t="str">
        <f>IF(V27="","",IF(VLOOKUP(V27,'G-7 Rivers Data'!$AG$4:$AI$9,2,FALSE)=0,"Spatial Data Missing ⚠",VLOOKUP(V27,'G-7 Rivers Data'!$AG$4:$AI$9,2,FALSE)))</f>
        <v/>
      </c>
      <c r="X27" s="524" t="str">
        <f>IF(V27="","",IF(VLOOKUP(V27,'G-7 Rivers Data'!$AG$4:$AI$9,3,FALSE)=0,"Spatial Data Missing ⚠",VLOOKUP(V27,'G-7 Rivers Data'!$AG$4:$AI$9,3,FALSE)))</f>
        <v/>
      </c>
      <c r="Y27" s="537" t="str">
        <f>IFERROR(IF(OR(LEFT(P27,5)="Error ▲",LEFT(O27,5)="Error ▲"),"Check Data ⚠",IF(F27&lt;S27,'G-7 Rivers Data'!$R$3,INDEX('G-7 Rivers Data'!$U$5:$Y$9,MATCH(G27,'G-7 Rivers Data'!$T$5:$T$9,0),MATCH(T27,'G-7 Rivers Data'!$U$4:$Y$4,0)))),"")</f>
        <v/>
      </c>
      <c r="Z27" s="203"/>
      <c r="AA27" s="203"/>
      <c r="AB27" s="534" t="str">
        <f t="shared" si="1"/>
        <v/>
      </c>
      <c r="AC27" s="521" t="str">
        <f t="shared" si="2"/>
        <v/>
      </c>
      <c r="AD27" s="564" t="str">
        <f>IFERROR(IF(AC27="Check Data ⚠","Check Data ⚠",VLOOKUP(AC27,'G-4 Temporal multipliers'!$A$4:$C$37,3,FALSE)),"")</f>
        <v/>
      </c>
      <c r="AE27" s="537" t="str">
        <f>IF(N27="","",VLOOKUP(N27,'G-7 Rivers Data'!$B$4:$G$8,5,FALSE))</f>
        <v/>
      </c>
      <c r="AF27" s="520" t="str">
        <f t="shared" si="3"/>
        <v/>
      </c>
      <c r="AG27" s="520" t="str">
        <f t="shared" si="6"/>
        <v/>
      </c>
      <c r="AH27" s="524" t="str">
        <f t="shared" si="4"/>
        <v/>
      </c>
      <c r="AI27" s="145"/>
      <c r="AJ27" s="499" t="str">
        <f>IF(AI27="","",IF(VLOOKUP(AI27,'G-7 Rivers Data'!$AA$4:$AB$7,2,FALSE)=0,"Spatial Data Missing ⚠",VLOOKUP(AI27,'G-7 Rivers Data'!$AA$4:$AB$7,2,FALSE)))</f>
        <v/>
      </c>
      <c r="AK27" s="155"/>
      <c r="AL27" s="536" t="str">
        <f>IF(AK27="","",IF(VLOOKUP(AK27,'G-7 Rivers Data'!$AD$4:$AE$8,2,FALSE)=0,"Spatial Data Missing ⚠",VLOOKUP(AK27,'G-7 Rivers Data'!$AD$4:$AE$8,2,FALSE)))</f>
        <v/>
      </c>
      <c r="AM27" s="154"/>
      <c r="AN27" s="524" t="str">
        <f>IF(AM27="","",VLOOKUP(AM27,'G-7 Rivers Data'!$AO$4:$AP$7,2,FALSE))</f>
        <v/>
      </c>
      <c r="AO27" s="545" t="str">
        <f t="shared" si="7"/>
        <v/>
      </c>
      <c r="AP27" s="149"/>
      <c r="AQ27" s="150"/>
      <c r="AX27" s="31" t="str">
        <f>IFERROR(INDEX('G-7 Rivers Data'!$AZ$3:$AZ$7,MATCH(N27,'G-7 Rivers Data'!$AY$3:$AY$7,0)),"")</f>
        <v/>
      </c>
    </row>
    <row r="28" spans="2:50" ht="14" x14ac:dyDescent="0.3">
      <c r="B28" s="531" t="str">
        <f>'F-1 Off Site River Baseline'!AN26</f>
        <v/>
      </c>
      <c r="C28" s="520" t="str">
        <f>IF(B28="","",VLOOKUP($B28,'F-1 Off Site River Baseline'!$C$9:$R$257,2,FALSE))</f>
        <v/>
      </c>
      <c r="D28" s="520" t="str">
        <f>IF(C28="","",VLOOKUP($B28,'F-1 Off Site River Baseline'!$C$9:$R$257,3,FALSE))</f>
        <v/>
      </c>
      <c r="E28" s="520" t="str">
        <f>IF(D28="","",VLOOKUP($B28,'F-1 Off Site River Baseline'!$C$9:$R$257,4,FALSE))</f>
        <v/>
      </c>
      <c r="F28" s="520" t="str">
        <f>IF(E28="","",VLOOKUP($B28,'F-1 Off Site River Baseline'!$C$9:$R$257,5,FALSE))</f>
        <v/>
      </c>
      <c r="G28" s="520" t="str">
        <f>IF(F28="","",VLOOKUP($B28,'F-1 Off Site River Baseline'!$C$9:$R$257,6,FALSE))</f>
        <v/>
      </c>
      <c r="H28" s="520" t="str">
        <f>IF(G28="","",VLOOKUP($B28,'F-1 Off Site River Baseline'!$C$9:$R$257,7,FALSE))</f>
        <v/>
      </c>
      <c r="I28" s="520" t="str">
        <f>IF(H28="","",VLOOKUP($B28,'F-1 Off Site River Baseline'!$C$9:$R$257,8,FALSE))</f>
        <v/>
      </c>
      <c r="J28" s="520" t="str">
        <f>IF(I28="","",VLOOKUP($B28,'F-1 Off Site River Baseline'!$C$9:$R$257,9,FALSE))</f>
        <v/>
      </c>
      <c r="K28" s="520" t="str">
        <f>IF(J28="","",VLOOKUP($B28,'F-1 Off Site River Baseline'!$C$9:$R$257,10,FALSE))</f>
        <v/>
      </c>
      <c r="L28" s="520" t="str">
        <f>IF(B28="","",VLOOKUP($B28,'C-1 Site River Baseline'!$C$9:$R$257,15,FALSE))</f>
        <v/>
      </c>
      <c r="M28" s="524" t="str">
        <f>IF(L28="","",VLOOKUP($B28,'F-1 Off Site River Baseline'!$C$9:$R$257,16,FALSE))</f>
        <v/>
      </c>
      <c r="N28" s="418" t="str">
        <f t="shared" si="0"/>
        <v/>
      </c>
      <c r="O28" s="498" t="str">
        <f t="shared" si="5"/>
        <v/>
      </c>
      <c r="P28" s="499" t="str">
        <f>IF(C28="","",IF(AND(LEFT(C28,55)&lt;&gt;LEFT(N28,55),O28="High - High"),"Error - Not like for like ▲",IF(AND(F28=S28,H28&gt;U28),"Error - Can not reduce condition ▲",IF(AND(F28=S28,H28=U28,AJ28='F-1 Off Site River Baseline'!N26,'F-1 Off Site River Baseline'!P26=AL28),"Error - No enhancement ▲",IF(AND(C28&lt;&gt;N28,F28&lt;S28),"Lower Distinctiveness Habitat"&amp;" - "&amp;T28,G28&amp;" - "&amp;T28)))))</f>
        <v/>
      </c>
      <c r="Q28" s="505" t="str">
        <f>IF(N28="","",VLOOKUP(B28,'F-1 Off Site River Baseline'!$C$10:$AA$257,19,FALSE))</f>
        <v/>
      </c>
      <c r="R28" s="498" t="str">
        <f>IF(N28="","",VLOOKUP(N28,'G-7 Rivers Data'!$B$2:$G$8,2,FALSE))</f>
        <v/>
      </c>
      <c r="S28" s="499" t="str">
        <f>IFERROR(VLOOKUP(R28,'G-7 Rivers Data'!$C$4:$D$8,2,FALSE),"")</f>
        <v/>
      </c>
      <c r="T28" s="145"/>
      <c r="U28" s="499" t="str">
        <f>IFERROR(INDEX('G-7 Rivers Data'!$H$4:$L$8,MATCH(N28,'G-7 Rivers Data'!$B$4:$B$8,0),MATCH(T28,'G-7 Rivers Data'!$H$3:$L$3,0)),"")</f>
        <v/>
      </c>
      <c r="V28" s="154"/>
      <c r="W28" s="520" t="str">
        <f>IF(V28="","",IF(VLOOKUP(V28,'G-7 Rivers Data'!$AG$4:$AI$9,2,FALSE)=0,"Spatial Data Missing ⚠",VLOOKUP(V28,'G-7 Rivers Data'!$AG$4:$AI$9,2,FALSE)))</f>
        <v/>
      </c>
      <c r="X28" s="524" t="str">
        <f>IF(V28="","",IF(VLOOKUP(V28,'G-7 Rivers Data'!$AG$4:$AI$9,3,FALSE)=0,"Spatial Data Missing ⚠",VLOOKUP(V28,'G-7 Rivers Data'!$AG$4:$AI$9,3,FALSE)))</f>
        <v/>
      </c>
      <c r="Y28" s="537" t="str">
        <f>IFERROR(IF(OR(LEFT(P28,5)="Error ▲",LEFT(O28,5)="Error ▲"),"Check Data ⚠",IF(F28&lt;S28,'G-7 Rivers Data'!$R$3,INDEX('G-7 Rivers Data'!$U$5:$Y$9,MATCH(G28,'G-7 Rivers Data'!$T$5:$T$9,0),MATCH(T28,'G-7 Rivers Data'!$U$4:$Y$4,0)))),"")</f>
        <v/>
      </c>
      <c r="Z28" s="203"/>
      <c r="AA28" s="203"/>
      <c r="AB28" s="534" t="str">
        <f t="shared" si="1"/>
        <v/>
      </c>
      <c r="AC28" s="521" t="str">
        <f t="shared" si="2"/>
        <v/>
      </c>
      <c r="AD28" s="564" t="str">
        <f>IFERROR(IF(AC28="Check Data ⚠","Check Data ⚠",VLOOKUP(AC28,'G-4 Temporal multipliers'!$A$4:$C$37,3,FALSE)),"")</f>
        <v/>
      </c>
      <c r="AE28" s="537" t="str">
        <f>IF(N28="","",VLOOKUP(N28,'G-7 Rivers Data'!$B$4:$G$8,5,FALSE))</f>
        <v/>
      </c>
      <c r="AF28" s="520" t="str">
        <f t="shared" si="3"/>
        <v/>
      </c>
      <c r="AG28" s="520" t="str">
        <f t="shared" si="6"/>
        <v/>
      </c>
      <c r="AH28" s="524" t="str">
        <f t="shared" si="4"/>
        <v/>
      </c>
      <c r="AI28" s="145"/>
      <c r="AJ28" s="499" t="str">
        <f>IF(AI28="","",IF(VLOOKUP(AI28,'G-7 Rivers Data'!$AA$4:$AB$7,2,FALSE)=0,"Spatial Data Missing ⚠",VLOOKUP(AI28,'G-7 Rivers Data'!$AA$4:$AB$7,2,FALSE)))</f>
        <v/>
      </c>
      <c r="AK28" s="155"/>
      <c r="AL28" s="536" t="str">
        <f>IF(AK28="","",IF(VLOOKUP(AK28,'G-7 Rivers Data'!$AD$4:$AE$8,2,FALSE)=0,"Spatial Data Missing ⚠",VLOOKUP(AK28,'G-7 Rivers Data'!$AD$4:$AE$8,2,FALSE)))</f>
        <v/>
      </c>
      <c r="AM28" s="154"/>
      <c r="AN28" s="524" t="str">
        <f>IF(AM28="","",VLOOKUP(AM28,'G-7 Rivers Data'!$AO$4:$AP$7,2,FALSE))</f>
        <v/>
      </c>
      <c r="AO28" s="545" t="str">
        <f t="shared" si="7"/>
        <v/>
      </c>
      <c r="AP28" s="149"/>
      <c r="AQ28" s="150"/>
      <c r="AX28" s="31" t="str">
        <f>IFERROR(INDEX('G-7 Rivers Data'!$AZ$3:$AZ$7,MATCH(N28,'G-7 Rivers Data'!$AY$3:$AY$7,0)),"")</f>
        <v/>
      </c>
    </row>
    <row r="29" spans="2:50" ht="14" x14ac:dyDescent="0.3">
      <c r="B29" s="531" t="str">
        <f>'F-1 Off Site River Baseline'!AN27</f>
        <v/>
      </c>
      <c r="C29" s="520" t="str">
        <f>IF(B29="","",VLOOKUP($B29,'F-1 Off Site River Baseline'!$C$9:$R$257,2,FALSE))</f>
        <v/>
      </c>
      <c r="D29" s="520" t="str">
        <f>IF(C29="","",VLOOKUP($B29,'F-1 Off Site River Baseline'!$C$9:$R$257,3,FALSE))</f>
        <v/>
      </c>
      <c r="E29" s="520" t="str">
        <f>IF(D29="","",VLOOKUP($B29,'F-1 Off Site River Baseline'!$C$9:$R$257,4,FALSE))</f>
        <v/>
      </c>
      <c r="F29" s="520" t="str">
        <f>IF(E29="","",VLOOKUP($B29,'F-1 Off Site River Baseline'!$C$9:$R$257,5,FALSE))</f>
        <v/>
      </c>
      <c r="G29" s="520" t="str">
        <f>IF(F29="","",VLOOKUP($B29,'F-1 Off Site River Baseline'!$C$9:$R$257,6,FALSE))</f>
        <v/>
      </c>
      <c r="H29" s="520" t="str">
        <f>IF(G29="","",VLOOKUP($B29,'F-1 Off Site River Baseline'!$C$9:$R$257,7,FALSE))</f>
        <v/>
      </c>
      <c r="I29" s="520" t="str">
        <f>IF(H29="","",VLOOKUP($B29,'F-1 Off Site River Baseline'!$C$9:$R$257,8,FALSE))</f>
        <v/>
      </c>
      <c r="J29" s="520" t="str">
        <f>IF(I29="","",VLOOKUP($B29,'F-1 Off Site River Baseline'!$C$9:$R$257,9,FALSE))</f>
        <v/>
      </c>
      <c r="K29" s="520" t="str">
        <f>IF(J29="","",VLOOKUP($B29,'F-1 Off Site River Baseline'!$C$9:$R$257,10,FALSE))</f>
        <v/>
      </c>
      <c r="L29" s="520" t="str">
        <f>IF(B29="","",VLOOKUP($B29,'C-1 Site River Baseline'!$C$9:$R$257,15,FALSE))</f>
        <v/>
      </c>
      <c r="M29" s="524" t="str">
        <f>IF(L29="","",VLOOKUP($B29,'F-1 Off Site River Baseline'!$C$9:$R$257,16,FALSE))</f>
        <v/>
      </c>
      <c r="N29" s="418" t="str">
        <f t="shared" si="0"/>
        <v/>
      </c>
      <c r="O29" s="498" t="str">
        <f t="shared" si="5"/>
        <v/>
      </c>
      <c r="P29" s="499" t="str">
        <f>IF(C29="","",IF(AND(LEFT(C29,55)&lt;&gt;LEFT(N29,55),O29="High - High"),"Error - Not like for like ▲",IF(AND(F29=S29,H29&gt;U29),"Error - Can not reduce condition ▲",IF(AND(F29=S29,H29=U29,AJ29='F-1 Off Site River Baseline'!N27,'F-1 Off Site River Baseline'!P27=AL29),"Error - No enhancement ▲",IF(AND(C29&lt;&gt;N29,F29&lt;S29),"Lower Distinctiveness Habitat"&amp;" - "&amp;T29,G29&amp;" - "&amp;T29)))))</f>
        <v/>
      </c>
      <c r="Q29" s="505" t="str">
        <f>IF(N29="","",VLOOKUP(B29,'F-1 Off Site River Baseline'!$C$10:$AA$257,19,FALSE))</f>
        <v/>
      </c>
      <c r="R29" s="498" t="str">
        <f>IF(N29="","",VLOOKUP(N29,'G-7 Rivers Data'!$B$2:$G$8,2,FALSE))</f>
        <v/>
      </c>
      <c r="S29" s="499" t="str">
        <f>IFERROR(VLOOKUP(R29,'G-7 Rivers Data'!$C$4:$D$8,2,FALSE),"")</f>
        <v/>
      </c>
      <c r="T29" s="145"/>
      <c r="U29" s="499" t="str">
        <f>IFERROR(INDEX('G-7 Rivers Data'!$H$4:$L$8,MATCH(N29,'G-7 Rivers Data'!$B$4:$B$8,0),MATCH(T29,'G-7 Rivers Data'!$H$3:$L$3,0)),"")</f>
        <v/>
      </c>
      <c r="V29" s="154"/>
      <c r="W29" s="520" t="str">
        <f>IF(V29="","",IF(VLOOKUP(V29,'G-7 Rivers Data'!$AG$4:$AI$9,2,FALSE)=0,"Spatial Data Missing ⚠",VLOOKUP(V29,'G-7 Rivers Data'!$AG$4:$AI$9,2,FALSE)))</f>
        <v/>
      </c>
      <c r="X29" s="524" t="str">
        <f>IF(V29="","",IF(VLOOKUP(V29,'G-7 Rivers Data'!$AG$4:$AI$9,3,FALSE)=0,"Spatial Data Missing ⚠",VLOOKUP(V29,'G-7 Rivers Data'!$AG$4:$AI$9,3,FALSE)))</f>
        <v/>
      </c>
      <c r="Y29" s="537" t="str">
        <f>IFERROR(IF(OR(LEFT(P29,5)="Error ▲",LEFT(O29,5)="Error ▲"),"Check Data ⚠",IF(F29&lt;S29,'G-7 Rivers Data'!$R$3,INDEX('G-7 Rivers Data'!$U$5:$Y$9,MATCH(G29,'G-7 Rivers Data'!$T$5:$T$9,0),MATCH(T29,'G-7 Rivers Data'!$U$4:$Y$4,0)))),"")</f>
        <v/>
      </c>
      <c r="Z29" s="203"/>
      <c r="AA29" s="203"/>
      <c r="AB29" s="534" t="str">
        <f t="shared" si="1"/>
        <v/>
      </c>
      <c r="AC29" s="521" t="str">
        <f t="shared" si="2"/>
        <v/>
      </c>
      <c r="AD29" s="564" t="str">
        <f>IFERROR(IF(AC29="Check Data ⚠","Check Data ⚠",VLOOKUP(AC29,'G-4 Temporal multipliers'!$A$4:$C$37,3,FALSE)),"")</f>
        <v/>
      </c>
      <c r="AE29" s="537" t="str">
        <f>IF(N29="","",VLOOKUP(N29,'G-7 Rivers Data'!$B$4:$G$8,5,FALSE))</f>
        <v/>
      </c>
      <c r="AF29" s="520" t="str">
        <f t="shared" si="3"/>
        <v/>
      </c>
      <c r="AG29" s="520" t="str">
        <f t="shared" si="6"/>
        <v/>
      </c>
      <c r="AH29" s="524" t="str">
        <f t="shared" si="4"/>
        <v/>
      </c>
      <c r="AI29" s="145"/>
      <c r="AJ29" s="499" t="str">
        <f>IF(AI29="","",IF(VLOOKUP(AI29,'G-7 Rivers Data'!$AA$4:$AB$7,2,FALSE)=0,"Spatial Data Missing ⚠",VLOOKUP(AI29,'G-7 Rivers Data'!$AA$4:$AB$7,2,FALSE)))</f>
        <v/>
      </c>
      <c r="AK29" s="155"/>
      <c r="AL29" s="536" t="str">
        <f>IF(AK29="","",IF(VLOOKUP(AK29,'G-7 Rivers Data'!$AD$4:$AE$8,2,FALSE)=0,"Spatial Data Missing ⚠",VLOOKUP(AK29,'G-7 Rivers Data'!$AD$4:$AE$8,2,FALSE)))</f>
        <v/>
      </c>
      <c r="AM29" s="154"/>
      <c r="AN29" s="524" t="str">
        <f>IF(AM29="","",VLOOKUP(AM29,'G-7 Rivers Data'!$AO$4:$AP$7,2,FALSE))</f>
        <v/>
      </c>
      <c r="AO29" s="545" t="str">
        <f t="shared" si="7"/>
        <v/>
      </c>
      <c r="AP29" s="149"/>
      <c r="AQ29" s="150"/>
      <c r="AX29" s="31" t="str">
        <f>IFERROR(INDEX('G-7 Rivers Data'!$AZ$3:$AZ$7,MATCH(N29,'G-7 Rivers Data'!$AY$3:$AY$7,0)),"")</f>
        <v/>
      </c>
    </row>
    <row r="30" spans="2:50" ht="14" x14ac:dyDescent="0.3">
      <c r="B30" s="531" t="str">
        <f>'F-1 Off Site River Baseline'!AN28</f>
        <v/>
      </c>
      <c r="C30" s="520" t="str">
        <f>IF(B30="","",VLOOKUP($B30,'F-1 Off Site River Baseline'!$C$9:$R$257,2,FALSE))</f>
        <v/>
      </c>
      <c r="D30" s="520" t="str">
        <f>IF(C30="","",VLOOKUP($B30,'F-1 Off Site River Baseline'!$C$9:$R$257,3,FALSE))</f>
        <v/>
      </c>
      <c r="E30" s="520" t="str">
        <f>IF(D30="","",VLOOKUP($B30,'F-1 Off Site River Baseline'!$C$9:$R$257,4,FALSE))</f>
        <v/>
      </c>
      <c r="F30" s="520" t="str">
        <f>IF(E30="","",VLOOKUP($B30,'F-1 Off Site River Baseline'!$C$9:$R$257,5,FALSE))</f>
        <v/>
      </c>
      <c r="G30" s="520" t="str">
        <f>IF(F30="","",VLOOKUP($B30,'F-1 Off Site River Baseline'!$C$9:$R$257,6,FALSE))</f>
        <v/>
      </c>
      <c r="H30" s="520" t="str">
        <f>IF(G30="","",VLOOKUP($B30,'F-1 Off Site River Baseline'!$C$9:$R$257,7,FALSE))</f>
        <v/>
      </c>
      <c r="I30" s="520" t="str">
        <f>IF(H30="","",VLOOKUP($B30,'F-1 Off Site River Baseline'!$C$9:$R$257,8,FALSE))</f>
        <v/>
      </c>
      <c r="J30" s="520" t="str">
        <f>IF(I30="","",VLOOKUP($B30,'F-1 Off Site River Baseline'!$C$9:$R$257,9,FALSE))</f>
        <v/>
      </c>
      <c r="K30" s="520" t="str">
        <f>IF(J30="","",VLOOKUP($B30,'F-1 Off Site River Baseline'!$C$9:$R$257,10,FALSE))</f>
        <v/>
      </c>
      <c r="L30" s="520" t="str">
        <f>IF(B30="","",VLOOKUP($B30,'C-1 Site River Baseline'!$C$9:$R$257,15,FALSE))</f>
        <v/>
      </c>
      <c r="M30" s="524" t="str">
        <f>IF(L30="","",VLOOKUP($B30,'F-1 Off Site River Baseline'!$C$9:$R$257,16,FALSE))</f>
        <v/>
      </c>
      <c r="N30" s="418" t="str">
        <f t="shared" si="0"/>
        <v/>
      </c>
      <c r="O30" s="498" t="str">
        <f t="shared" si="5"/>
        <v/>
      </c>
      <c r="P30" s="499" t="str">
        <f>IF(C30="","",IF(AND(LEFT(C30,55)&lt;&gt;LEFT(N30,55),O30="High - High"),"Error - Not like for like ▲",IF(AND(F30=S30,H30&gt;U30),"Error - Can not reduce condition ▲",IF(AND(F30=S30,H30=U30,AJ30='F-1 Off Site River Baseline'!N28,'F-1 Off Site River Baseline'!P28=AL30),"Error - No enhancement ▲",IF(AND(C30&lt;&gt;N30,F30&lt;S30),"Lower Distinctiveness Habitat"&amp;" - "&amp;T30,G30&amp;" - "&amp;T30)))))</f>
        <v/>
      </c>
      <c r="Q30" s="505" t="str">
        <f>IF(N30="","",VLOOKUP(B30,'F-1 Off Site River Baseline'!$C$10:$AA$257,19,FALSE))</f>
        <v/>
      </c>
      <c r="R30" s="498" t="str">
        <f>IF(N30="","",VLOOKUP(N30,'G-7 Rivers Data'!$B$2:$G$8,2,FALSE))</f>
        <v/>
      </c>
      <c r="S30" s="499" t="str">
        <f>IFERROR(VLOOKUP(R30,'G-7 Rivers Data'!$C$4:$D$8,2,FALSE),"")</f>
        <v/>
      </c>
      <c r="T30" s="145"/>
      <c r="U30" s="499" t="str">
        <f>IFERROR(INDEX('G-7 Rivers Data'!$H$4:$L$8,MATCH(N30,'G-7 Rivers Data'!$B$4:$B$8,0),MATCH(T30,'G-7 Rivers Data'!$H$3:$L$3,0)),"")</f>
        <v/>
      </c>
      <c r="V30" s="154"/>
      <c r="W30" s="520" t="str">
        <f>IF(V30="","",IF(VLOOKUP(V30,'G-7 Rivers Data'!$AG$4:$AI$9,2,FALSE)=0,"Spatial Data Missing ⚠",VLOOKUP(V30,'G-7 Rivers Data'!$AG$4:$AI$9,2,FALSE)))</f>
        <v/>
      </c>
      <c r="X30" s="524" t="str">
        <f>IF(V30="","",IF(VLOOKUP(V30,'G-7 Rivers Data'!$AG$4:$AI$9,3,FALSE)=0,"Spatial Data Missing ⚠",VLOOKUP(V30,'G-7 Rivers Data'!$AG$4:$AI$9,3,FALSE)))</f>
        <v/>
      </c>
      <c r="Y30" s="537" t="str">
        <f>IFERROR(IF(OR(LEFT(P30,5)="Error ▲",LEFT(O30,5)="Error ▲"),"Check Data ⚠",IF(F30&lt;S30,'G-7 Rivers Data'!$R$3,INDEX('G-7 Rivers Data'!$U$5:$Y$9,MATCH(G30,'G-7 Rivers Data'!$T$5:$T$9,0),MATCH(T30,'G-7 Rivers Data'!$U$4:$Y$4,0)))),"")</f>
        <v/>
      </c>
      <c r="Z30" s="203"/>
      <c r="AA30" s="203"/>
      <c r="AB30" s="534" t="str">
        <f t="shared" si="1"/>
        <v/>
      </c>
      <c r="AC30" s="521" t="str">
        <f t="shared" si="2"/>
        <v/>
      </c>
      <c r="AD30" s="564" t="str">
        <f>IFERROR(IF(AC30="Check Data ⚠","Check Data ⚠",VLOOKUP(AC30,'G-4 Temporal multipliers'!$A$4:$C$37,3,FALSE)),"")</f>
        <v/>
      </c>
      <c r="AE30" s="537" t="str">
        <f>IF(N30="","",VLOOKUP(N30,'G-7 Rivers Data'!$B$4:$G$8,5,FALSE))</f>
        <v/>
      </c>
      <c r="AF30" s="520" t="str">
        <f t="shared" si="3"/>
        <v/>
      </c>
      <c r="AG30" s="520" t="str">
        <f t="shared" si="6"/>
        <v/>
      </c>
      <c r="AH30" s="524" t="str">
        <f t="shared" si="4"/>
        <v/>
      </c>
      <c r="AI30" s="145"/>
      <c r="AJ30" s="499" t="str">
        <f>IF(AI30="","",IF(VLOOKUP(AI30,'G-7 Rivers Data'!$AA$4:$AB$7,2,FALSE)=0,"Spatial Data Missing ⚠",VLOOKUP(AI30,'G-7 Rivers Data'!$AA$4:$AB$7,2,FALSE)))</f>
        <v/>
      </c>
      <c r="AK30" s="155"/>
      <c r="AL30" s="536" t="str">
        <f>IF(AK30="","",IF(VLOOKUP(AK30,'G-7 Rivers Data'!$AD$4:$AE$8,2,FALSE)=0,"Spatial Data Missing ⚠",VLOOKUP(AK30,'G-7 Rivers Data'!$AD$4:$AE$8,2,FALSE)))</f>
        <v/>
      </c>
      <c r="AM30" s="154"/>
      <c r="AN30" s="524" t="str">
        <f>IF(AM30="","",VLOOKUP(AM30,'G-7 Rivers Data'!$AO$4:$AP$7,2,FALSE))</f>
        <v/>
      </c>
      <c r="AO30" s="545" t="str">
        <f t="shared" si="7"/>
        <v/>
      </c>
      <c r="AP30" s="149"/>
      <c r="AQ30" s="150"/>
      <c r="AX30" s="31" t="str">
        <f>IFERROR(INDEX('G-7 Rivers Data'!$AZ$3:$AZ$7,MATCH(N30,'G-7 Rivers Data'!$AY$3:$AY$7,0)),"")</f>
        <v/>
      </c>
    </row>
    <row r="31" spans="2:50" ht="14" x14ac:dyDescent="0.3">
      <c r="B31" s="531" t="str">
        <f>'F-1 Off Site River Baseline'!AN29</f>
        <v/>
      </c>
      <c r="C31" s="520" t="str">
        <f>IF(B31="","",VLOOKUP($B31,'F-1 Off Site River Baseline'!$C$9:$R$257,2,FALSE))</f>
        <v/>
      </c>
      <c r="D31" s="520" t="str">
        <f>IF(C31="","",VLOOKUP($B31,'F-1 Off Site River Baseline'!$C$9:$R$257,3,FALSE))</f>
        <v/>
      </c>
      <c r="E31" s="520" t="str">
        <f>IF(D31="","",VLOOKUP($B31,'F-1 Off Site River Baseline'!$C$9:$R$257,4,FALSE))</f>
        <v/>
      </c>
      <c r="F31" s="520" t="str">
        <f>IF(E31="","",VLOOKUP($B31,'F-1 Off Site River Baseline'!$C$9:$R$257,5,FALSE))</f>
        <v/>
      </c>
      <c r="G31" s="520" t="str">
        <f>IF(F31="","",VLOOKUP($B31,'F-1 Off Site River Baseline'!$C$9:$R$257,6,FALSE))</f>
        <v/>
      </c>
      <c r="H31" s="520" t="str">
        <f>IF(G31="","",VLOOKUP($B31,'F-1 Off Site River Baseline'!$C$9:$R$257,7,FALSE))</f>
        <v/>
      </c>
      <c r="I31" s="520" t="str">
        <f>IF(H31="","",VLOOKUP($B31,'F-1 Off Site River Baseline'!$C$9:$R$257,8,FALSE))</f>
        <v/>
      </c>
      <c r="J31" s="520" t="str">
        <f>IF(I31="","",VLOOKUP($B31,'F-1 Off Site River Baseline'!$C$9:$R$257,9,FALSE))</f>
        <v/>
      </c>
      <c r="K31" s="520" t="str">
        <f>IF(J31="","",VLOOKUP($B31,'F-1 Off Site River Baseline'!$C$9:$R$257,10,FALSE))</f>
        <v/>
      </c>
      <c r="L31" s="520" t="str">
        <f>IF(B31="","",VLOOKUP($B31,'C-1 Site River Baseline'!$C$9:$R$257,15,FALSE))</f>
        <v/>
      </c>
      <c r="M31" s="524" t="str">
        <f>IF(L31="","",VLOOKUP($B31,'F-1 Off Site River Baseline'!$C$9:$R$257,16,FALSE))</f>
        <v/>
      </c>
      <c r="N31" s="418" t="str">
        <f t="shared" si="0"/>
        <v/>
      </c>
      <c r="O31" s="498" t="str">
        <f t="shared" si="5"/>
        <v/>
      </c>
      <c r="P31" s="499" t="str">
        <f>IF(C31="","",IF(AND(LEFT(C31,55)&lt;&gt;LEFT(N31,55),O31="High - High"),"Error - Not like for like ▲",IF(AND(F31=S31,H31&gt;U31),"Error - Can not reduce condition ▲",IF(AND(F31=S31,H31=U31,AJ31='F-1 Off Site River Baseline'!N29,'F-1 Off Site River Baseline'!P29=AL31),"Error - No enhancement ▲",IF(AND(C31&lt;&gt;N31,F31&lt;S31),"Lower Distinctiveness Habitat"&amp;" - "&amp;T31,G31&amp;" - "&amp;T31)))))</f>
        <v/>
      </c>
      <c r="Q31" s="505" t="str">
        <f>IF(N31="","",VLOOKUP(B31,'F-1 Off Site River Baseline'!$C$10:$AA$257,19,FALSE))</f>
        <v/>
      </c>
      <c r="R31" s="498" t="str">
        <f>IF(N31="","",VLOOKUP(N31,'G-7 Rivers Data'!$B$2:$G$8,2,FALSE))</f>
        <v/>
      </c>
      <c r="S31" s="499" t="str">
        <f>IFERROR(VLOOKUP(R31,'G-7 Rivers Data'!$C$4:$D$8,2,FALSE),"")</f>
        <v/>
      </c>
      <c r="T31" s="145"/>
      <c r="U31" s="499" t="str">
        <f>IFERROR(INDEX('G-7 Rivers Data'!$H$4:$L$8,MATCH(N31,'G-7 Rivers Data'!$B$4:$B$8,0),MATCH(T31,'G-7 Rivers Data'!$H$3:$L$3,0)),"")</f>
        <v/>
      </c>
      <c r="V31" s="154"/>
      <c r="W31" s="520" t="str">
        <f>IF(V31="","",IF(VLOOKUP(V31,'G-7 Rivers Data'!$AG$4:$AI$9,2,FALSE)=0,"Spatial Data Missing ⚠",VLOOKUP(V31,'G-7 Rivers Data'!$AG$4:$AI$9,2,FALSE)))</f>
        <v/>
      </c>
      <c r="X31" s="524" t="str">
        <f>IF(V31="","",IF(VLOOKUP(V31,'G-7 Rivers Data'!$AG$4:$AI$9,3,FALSE)=0,"Spatial Data Missing ⚠",VLOOKUP(V31,'G-7 Rivers Data'!$AG$4:$AI$9,3,FALSE)))</f>
        <v/>
      </c>
      <c r="Y31" s="537" t="str">
        <f>IFERROR(IF(OR(LEFT(P31,5)="Error ▲",LEFT(O31,5)="Error ▲"),"Check Data ⚠",IF(F31&lt;S31,'G-7 Rivers Data'!$R$3,INDEX('G-7 Rivers Data'!$U$5:$Y$9,MATCH(G31,'G-7 Rivers Data'!$T$5:$T$9,0),MATCH(T31,'G-7 Rivers Data'!$U$4:$Y$4,0)))),"")</f>
        <v/>
      </c>
      <c r="Z31" s="203"/>
      <c r="AA31" s="203"/>
      <c r="AB31" s="534" t="str">
        <f t="shared" si="1"/>
        <v/>
      </c>
      <c r="AC31" s="521" t="str">
        <f t="shared" si="2"/>
        <v/>
      </c>
      <c r="AD31" s="564" t="str">
        <f>IFERROR(IF(AC31="Check Data ⚠","Check Data ⚠",VLOOKUP(AC31,'G-4 Temporal multipliers'!$A$4:$C$37,3,FALSE)),"")</f>
        <v/>
      </c>
      <c r="AE31" s="537" t="str">
        <f>IF(N31="","",VLOOKUP(N31,'G-7 Rivers Data'!$B$4:$G$8,5,FALSE))</f>
        <v/>
      </c>
      <c r="AF31" s="520" t="str">
        <f t="shared" si="3"/>
        <v/>
      </c>
      <c r="AG31" s="520" t="str">
        <f t="shared" si="6"/>
        <v/>
      </c>
      <c r="AH31" s="524" t="str">
        <f t="shared" si="4"/>
        <v/>
      </c>
      <c r="AI31" s="145"/>
      <c r="AJ31" s="499" t="str">
        <f>IF(AI31="","",IF(VLOOKUP(AI31,'G-7 Rivers Data'!$AA$4:$AB$7,2,FALSE)=0,"Spatial Data Missing ⚠",VLOOKUP(AI31,'G-7 Rivers Data'!$AA$4:$AB$7,2,FALSE)))</f>
        <v/>
      </c>
      <c r="AK31" s="155"/>
      <c r="AL31" s="536" t="str">
        <f>IF(AK31="","",IF(VLOOKUP(AK31,'G-7 Rivers Data'!$AD$4:$AE$8,2,FALSE)=0,"Spatial Data Missing ⚠",VLOOKUP(AK31,'G-7 Rivers Data'!$AD$4:$AE$8,2,FALSE)))</f>
        <v/>
      </c>
      <c r="AM31" s="154"/>
      <c r="AN31" s="524" t="str">
        <f>IF(AM31="","",VLOOKUP(AM31,'G-7 Rivers Data'!$AO$4:$AP$7,2,FALSE))</f>
        <v/>
      </c>
      <c r="AO31" s="545" t="str">
        <f t="shared" si="7"/>
        <v/>
      </c>
      <c r="AP31" s="149"/>
      <c r="AQ31" s="150"/>
      <c r="AX31" s="31" t="str">
        <f>IFERROR(INDEX('G-7 Rivers Data'!$AZ$3:$AZ$7,MATCH(N31,'G-7 Rivers Data'!$AY$3:$AY$7,0)),"")</f>
        <v/>
      </c>
    </row>
    <row r="32" spans="2:50" ht="14" x14ac:dyDescent="0.3">
      <c r="B32" s="531" t="str">
        <f>'F-1 Off Site River Baseline'!AN30</f>
        <v/>
      </c>
      <c r="C32" s="520" t="str">
        <f>IF(B32="","",VLOOKUP($B32,'F-1 Off Site River Baseline'!$C$9:$R$257,2,FALSE))</f>
        <v/>
      </c>
      <c r="D32" s="520" t="str">
        <f>IF(C32="","",VLOOKUP($B32,'F-1 Off Site River Baseline'!$C$9:$R$257,3,FALSE))</f>
        <v/>
      </c>
      <c r="E32" s="520" t="str">
        <f>IF(D32="","",VLOOKUP($B32,'F-1 Off Site River Baseline'!$C$9:$R$257,4,FALSE))</f>
        <v/>
      </c>
      <c r="F32" s="520" t="str">
        <f>IF(E32="","",VLOOKUP($B32,'F-1 Off Site River Baseline'!$C$9:$R$257,5,FALSE))</f>
        <v/>
      </c>
      <c r="G32" s="520" t="str">
        <f>IF(F32="","",VLOOKUP($B32,'F-1 Off Site River Baseline'!$C$9:$R$257,6,FALSE))</f>
        <v/>
      </c>
      <c r="H32" s="520" t="str">
        <f>IF(G32="","",VLOOKUP($B32,'F-1 Off Site River Baseline'!$C$9:$R$257,7,FALSE))</f>
        <v/>
      </c>
      <c r="I32" s="520" t="str">
        <f>IF(H32="","",VLOOKUP($B32,'F-1 Off Site River Baseline'!$C$9:$R$257,8,FALSE))</f>
        <v/>
      </c>
      <c r="J32" s="520" t="str">
        <f>IF(I32="","",VLOOKUP($B32,'F-1 Off Site River Baseline'!$C$9:$R$257,9,FALSE))</f>
        <v/>
      </c>
      <c r="K32" s="520" t="str">
        <f>IF(J32="","",VLOOKUP($B32,'F-1 Off Site River Baseline'!$C$9:$R$257,10,FALSE))</f>
        <v/>
      </c>
      <c r="L32" s="520" t="str">
        <f>IF(B32="","",VLOOKUP($B32,'C-1 Site River Baseline'!$C$9:$R$257,15,FALSE))</f>
        <v/>
      </c>
      <c r="M32" s="524" t="str">
        <f>IF(L32="","",VLOOKUP($B32,'F-1 Off Site River Baseline'!$C$9:$R$257,16,FALSE))</f>
        <v/>
      </c>
      <c r="N32" s="418" t="str">
        <f t="shared" si="0"/>
        <v/>
      </c>
      <c r="O32" s="498" t="str">
        <f t="shared" si="5"/>
        <v/>
      </c>
      <c r="P32" s="499" t="str">
        <f>IF(C32="","",IF(AND(LEFT(C32,55)&lt;&gt;LEFT(N32,55),O32="High - High"),"Error - Not like for like ▲",IF(AND(F32=S32,H32&gt;U32),"Error - Can not reduce condition ▲",IF(AND(F32=S32,H32=U32,AJ32='F-1 Off Site River Baseline'!N30,'F-1 Off Site River Baseline'!P30=AL32),"Error - No enhancement ▲",IF(AND(C32&lt;&gt;N32,F32&lt;S32),"Lower Distinctiveness Habitat"&amp;" - "&amp;T32,G32&amp;" - "&amp;T32)))))</f>
        <v/>
      </c>
      <c r="Q32" s="505" t="str">
        <f>IF(N32="","",VLOOKUP(B32,'F-1 Off Site River Baseline'!$C$10:$AA$257,19,FALSE))</f>
        <v/>
      </c>
      <c r="R32" s="498" t="str">
        <f>IF(N32="","",VLOOKUP(N32,'G-7 Rivers Data'!$B$2:$G$8,2,FALSE))</f>
        <v/>
      </c>
      <c r="S32" s="499" t="str">
        <f>IFERROR(VLOOKUP(R32,'G-7 Rivers Data'!$C$4:$D$8,2,FALSE),"")</f>
        <v/>
      </c>
      <c r="T32" s="145"/>
      <c r="U32" s="499" t="str">
        <f>IFERROR(INDEX('G-7 Rivers Data'!$H$4:$L$8,MATCH(N32,'G-7 Rivers Data'!$B$4:$B$8,0),MATCH(T32,'G-7 Rivers Data'!$H$3:$L$3,0)),"")</f>
        <v/>
      </c>
      <c r="V32" s="154"/>
      <c r="W32" s="520" t="str">
        <f>IF(V32="","",IF(VLOOKUP(V32,'G-7 Rivers Data'!$AG$4:$AI$9,2,FALSE)=0,"Spatial Data Missing ⚠",VLOOKUP(V32,'G-7 Rivers Data'!$AG$4:$AI$9,2,FALSE)))</f>
        <v/>
      </c>
      <c r="X32" s="524" t="str">
        <f>IF(V32="","",IF(VLOOKUP(V32,'G-7 Rivers Data'!$AG$4:$AI$9,3,FALSE)=0,"Spatial Data Missing ⚠",VLOOKUP(V32,'G-7 Rivers Data'!$AG$4:$AI$9,3,FALSE)))</f>
        <v/>
      </c>
      <c r="Y32" s="537" t="str">
        <f>IFERROR(IF(OR(LEFT(P32,5)="Error ▲",LEFT(O32,5)="Error ▲"),"Check Data ⚠",IF(F32&lt;S32,'G-7 Rivers Data'!$R$3,INDEX('G-7 Rivers Data'!$U$5:$Y$9,MATCH(G32,'G-7 Rivers Data'!$T$5:$T$9,0),MATCH(T32,'G-7 Rivers Data'!$U$4:$Y$4,0)))),"")</f>
        <v/>
      </c>
      <c r="Z32" s="203"/>
      <c r="AA32" s="203"/>
      <c r="AB32" s="534" t="str">
        <f t="shared" si="1"/>
        <v/>
      </c>
      <c r="AC32" s="521" t="str">
        <f t="shared" si="2"/>
        <v/>
      </c>
      <c r="AD32" s="564" t="str">
        <f>IFERROR(IF(AC32="Check Data ⚠","Check Data ⚠",VLOOKUP(AC32,'G-4 Temporal multipliers'!$A$4:$C$37,3,FALSE)),"")</f>
        <v/>
      </c>
      <c r="AE32" s="537" t="str">
        <f>IF(N32="","",VLOOKUP(N32,'G-7 Rivers Data'!$B$4:$G$8,5,FALSE))</f>
        <v/>
      </c>
      <c r="AF32" s="520" t="str">
        <f t="shared" si="3"/>
        <v/>
      </c>
      <c r="AG32" s="520" t="str">
        <f t="shared" si="6"/>
        <v/>
      </c>
      <c r="AH32" s="524" t="str">
        <f t="shared" si="4"/>
        <v/>
      </c>
      <c r="AI32" s="145"/>
      <c r="AJ32" s="499" t="str">
        <f>IF(AI32="","",IF(VLOOKUP(AI32,'G-7 Rivers Data'!$AA$4:$AB$7,2,FALSE)=0,"Spatial Data Missing ⚠",VLOOKUP(AI32,'G-7 Rivers Data'!$AA$4:$AB$7,2,FALSE)))</f>
        <v/>
      </c>
      <c r="AK32" s="155"/>
      <c r="AL32" s="536" t="str">
        <f>IF(AK32="","",IF(VLOOKUP(AK32,'G-7 Rivers Data'!$AD$4:$AE$8,2,FALSE)=0,"Spatial Data Missing ⚠",VLOOKUP(AK32,'G-7 Rivers Data'!$AD$4:$AE$8,2,FALSE)))</f>
        <v/>
      </c>
      <c r="AM32" s="154"/>
      <c r="AN32" s="524" t="str">
        <f>IF(AM32="","",VLOOKUP(AM32,'G-7 Rivers Data'!$AO$4:$AP$7,2,FALSE))</f>
        <v/>
      </c>
      <c r="AO32" s="545" t="str">
        <f t="shared" si="7"/>
        <v/>
      </c>
      <c r="AP32" s="149"/>
      <c r="AQ32" s="150"/>
      <c r="AX32" s="31" t="str">
        <f>IFERROR(INDEX('G-7 Rivers Data'!$AZ$3:$AZ$7,MATCH(N32,'G-7 Rivers Data'!$AY$3:$AY$7,0)),"")</f>
        <v/>
      </c>
    </row>
    <row r="33" spans="2:50" ht="14" x14ac:dyDescent="0.3">
      <c r="B33" s="531" t="str">
        <f>'F-1 Off Site River Baseline'!AN31</f>
        <v/>
      </c>
      <c r="C33" s="520" t="str">
        <f>IF(B33="","",VLOOKUP($B33,'F-1 Off Site River Baseline'!$C$9:$R$257,2,FALSE))</f>
        <v/>
      </c>
      <c r="D33" s="520" t="str">
        <f>IF(C33="","",VLOOKUP($B33,'F-1 Off Site River Baseline'!$C$9:$R$257,3,FALSE))</f>
        <v/>
      </c>
      <c r="E33" s="520" t="str">
        <f>IF(D33="","",VLOOKUP($B33,'F-1 Off Site River Baseline'!$C$9:$R$257,4,FALSE))</f>
        <v/>
      </c>
      <c r="F33" s="520" t="str">
        <f>IF(E33="","",VLOOKUP($B33,'F-1 Off Site River Baseline'!$C$9:$R$257,5,FALSE))</f>
        <v/>
      </c>
      <c r="G33" s="520" t="str">
        <f>IF(F33="","",VLOOKUP($B33,'F-1 Off Site River Baseline'!$C$9:$R$257,6,FALSE))</f>
        <v/>
      </c>
      <c r="H33" s="520" t="str">
        <f>IF(G33="","",VLOOKUP($B33,'F-1 Off Site River Baseline'!$C$9:$R$257,7,FALSE))</f>
        <v/>
      </c>
      <c r="I33" s="520" t="str">
        <f>IF(H33="","",VLOOKUP($B33,'F-1 Off Site River Baseline'!$C$9:$R$257,8,FALSE))</f>
        <v/>
      </c>
      <c r="J33" s="520" t="str">
        <f>IF(I33="","",VLOOKUP($B33,'F-1 Off Site River Baseline'!$C$9:$R$257,9,FALSE))</f>
        <v/>
      </c>
      <c r="K33" s="520" t="str">
        <f>IF(J33="","",VLOOKUP($B33,'F-1 Off Site River Baseline'!$C$9:$R$257,10,FALSE))</f>
        <v/>
      </c>
      <c r="L33" s="520" t="str">
        <f>IF(B33="","",VLOOKUP($B33,'C-1 Site River Baseline'!$C$9:$R$257,15,FALSE))</f>
        <v/>
      </c>
      <c r="M33" s="524" t="str">
        <f>IF(L33="","",VLOOKUP($B33,'F-1 Off Site River Baseline'!$C$9:$R$257,16,FALSE))</f>
        <v/>
      </c>
      <c r="N33" s="418" t="str">
        <f t="shared" si="0"/>
        <v/>
      </c>
      <c r="O33" s="498" t="str">
        <f t="shared" si="5"/>
        <v/>
      </c>
      <c r="P33" s="499" t="str">
        <f>IF(C33="","",IF(AND(LEFT(C33,55)&lt;&gt;LEFT(N33,55),O33="High - High"),"Error - Not like for like ▲",IF(AND(F33=S33,H33&gt;U33),"Error - Can not reduce condition ▲",IF(AND(F33=S33,H33=U33,AJ33='F-1 Off Site River Baseline'!N31,'F-1 Off Site River Baseline'!P31=AL33),"Error - No enhancement ▲",IF(AND(C33&lt;&gt;N33,F33&lt;S33),"Lower Distinctiveness Habitat"&amp;" - "&amp;T33,G33&amp;" - "&amp;T33)))))</f>
        <v/>
      </c>
      <c r="Q33" s="505" t="str">
        <f>IF(N33="","",VLOOKUP(B33,'F-1 Off Site River Baseline'!$C$10:$AA$257,19,FALSE))</f>
        <v/>
      </c>
      <c r="R33" s="498" t="str">
        <f>IF(N33="","",VLOOKUP(N33,'G-7 Rivers Data'!$B$2:$G$8,2,FALSE))</f>
        <v/>
      </c>
      <c r="S33" s="499" t="str">
        <f>IFERROR(VLOOKUP(R33,'G-7 Rivers Data'!$C$4:$D$8,2,FALSE),"")</f>
        <v/>
      </c>
      <c r="T33" s="145"/>
      <c r="U33" s="499" t="str">
        <f>IFERROR(INDEX('G-7 Rivers Data'!$H$4:$L$8,MATCH(N33,'G-7 Rivers Data'!$B$4:$B$8,0),MATCH(T33,'G-7 Rivers Data'!$H$3:$L$3,0)),"")</f>
        <v/>
      </c>
      <c r="V33" s="154"/>
      <c r="W33" s="520" t="str">
        <f>IF(V33="","",IF(VLOOKUP(V33,'G-7 Rivers Data'!$AG$4:$AI$9,2,FALSE)=0,"Spatial Data Missing ⚠",VLOOKUP(V33,'G-7 Rivers Data'!$AG$4:$AI$9,2,FALSE)))</f>
        <v/>
      </c>
      <c r="X33" s="524" t="str">
        <f>IF(V33="","",IF(VLOOKUP(V33,'G-7 Rivers Data'!$AG$4:$AI$9,3,FALSE)=0,"Spatial Data Missing ⚠",VLOOKUP(V33,'G-7 Rivers Data'!$AG$4:$AI$9,3,FALSE)))</f>
        <v/>
      </c>
      <c r="Y33" s="537" t="str">
        <f>IFERROR(IF(OR(LEFT(P33,5)="Error ▲",LEFT(O33,5)="Error ▲"),"Check Data ⚠",IF(F33&lt;S33,'G-7 Rivers Data'!$R$3,INDEX('G-7 Rivers Data'!$U$5:$Y$9,MATCH(G33,'G-7 Rivers Data'!$T$5:$T$9,0),MATCH(T33,'G-7 Rivers Data'!$U$4:$Y$4,0)))),"")</f>
        <v/>
      </c>
      <c r="Z33" s="203"/>
      <c r="AA33" s="203"/>
      <c r="AB33" s="534" t="str">
        <f t="shared" si="1"/>
        <v/>
      </c>
      <c r="AC33" s="521" t="str">
        <f t="shared" si="2"/>
        <v/>
      </c>
      <c r="AD33" s="564" t="str">
        <f>IFERROR(IF(AC33="Check Data ⚠","Check Data ⚠",VLOOKUP(AC33,'G-4 Temporal multipliers'!$A$4:$C$37,3,FALSE)),"")</f>
        <v/>
      </c>
      <c r="AE33" s="537" t="str">
        <f>IF(N33="","",VLOOKUP(N33,'G-7 Rivers Data'!$B$4:$G$8,5,FALSE))</f>
        <v/>
      </c>
      <c r="AF33" s="520" t="str">
        <f t="shared" si="3"/>
        <v/>
      </c>
      <c r="AG33" s="520" t="str">
        <f t="shared" si="6"/>
        <v/>
      </c>
      <c r="AH33" s="524" t="str">
        <f t="shared" si="4"/>
        <v/>
      </c>
      <c r="AI33" s="145"/>
      <c r="AJ33" s="499" t="str">
        <f>IF(AI33="","",IF(VLOOKUP(AI33,'G-7 Rivers Data'!$AA$4:$AB$7,2,FALSE)=0,"Spatial Data Missing ⚠",VLOOKUP(AI33,'G-7 Rivers Data'!$AA$4:$AB$7,2,FALSE)))</f>
        <v/>
      </c>
      <c r="AK33" s="155"/>
      <c r="AL33" s="536" t="str">
        <f>IF(AK33="","",IF(VLOOKUP(AK33,'G-7 Rivers Data'!$AD$4:$AE$8,2,FALSE)=0,"Spatial Data Missing ⚠",VLOOKUP(AK33,'G-7 Rivers Data'!$AD$4:$AE$8,2,FALSE)))</f>
        <v/>
      </c>
      <c r="AM33" s="154"/>
      <c r="AN33" s="524" t="str">
        <f>IF(AM33="","",VLOOKUP(AM33,'G-7 Rivers Data'!$AO$4:$AP$7,2,FALSE))</f>
        <v/>
      </c>
      <c r="AO33" s="545" t="str">
        <f t="shared" si="7"/>
        <v/>
      </c>
      <c r="AP33" s="149"/>
      <c r="AQ33" s="150"/>
      <c r="AX33" s="31" t="str">
        <f>IFERROR(INDEX('G-7 Rivers Data'!$AZ$3:$AZ$7,MATCH(N33,'G-7 Rivers Data'!$AY$3:$AY$7,0)),"")</f>
        <v/>
      </c>
    </row>
    <row r="34" spans="2:50" ht="14" x14ac:dyDescent="0.3">
      <c r="B34" s="531" t="str">
        <f>'F-1 Off Site River Baseline'!AN32</f>
        <v/>
      </c>
      <c r="C34" s="520" t="str">
        <f>IF(B34="","",VLOOKUP($B34,'F-1 Off Site River Baseline'!$C$9:$R$257,2,FALSE))</f>
        <v/>
      </c>
      <c r="D34" s="520" t="str">
        <f>IF(C34="","",VLOOKUP($B34,'F-1 Off Site River Baseline'!$C$9:$R$257,3,FALSE))</f>
        <v/>
      </c>
      <c r="E34" s="520" t="str">
        <f>IF(D34="","",VLOOKUP($B34,'F-1 Off Site River Baseline'!$C$9:$R$257,4,FALSE))</f>
        <v/>
      </c>
      <c r="F34" s="520" t="str">
        <f>IF(E34="","",VLOOKUP($B34,'F-1 Off Site River Baseline'!$C$9:$R$257,5,FALSE))</f>
        <v/>
      </c>
      <c r="G34" s="520" t="str">
        <f>IF(F34="","",VLOOKUP($B34,'F-1 Off Site River Baseline'!$C$9:$R$257,6,FALSE))</f>
        <v/>
      </c>
      <c r="H34" s="520" t="str">
        <f>IF(G34="","",VLOOKUP($B34,'F-1 Off Site River Baseline'!$C$9:$R$257,7,FALSE))</f>
        <v/>
      </c>
      <c r="I34" s="520" t="str">
        <f>IF(H34="","",VLOOKUP($B34,'F-1 Off Site River Baseline'!$C$9:$R$257,8,FALSE))</f>
        <v/>
      </c>
      <c r="J34" s="520" t="str">
        <f>IF(I34="","",VLOOKUP($B34,'F-1 Off Site River Baseline'!$C$9:$R$257,9,FALSE))</f>
        <v/>
      </c>
      <c r="K34" s="520" t="str">
        <f>IF(J34="","",VLOOKUP($B34,'F-1 Off Site River Baseline'!$C$9:$R$257,10,FALSE))</f>
        <v/>
      </c>
      <c r="L34" s="520" t="str">
        <f>IF(B34="","",VLOOKUP($B34,'C-1 Site River Baseline'!$C$9:$R$257,15,FALSE))</f>
        <v/>
      </c>
      <c r="M34" s="524" t="str">
        <f>IF(L34="","",VLOOKUP($B34,'F-1 Off Site River Baseline'!$C$9:$R$257,16,FALSE))</f>
        <v/>
      </c>
      <c r="N34" s="418" t="str">
        <f t="shared" si="0"/>
        <v/>
      </c>
      <c r="O34" s="498" t="str">
        <f t="shared" si="5"/>
        <v/>
      </c>
      <c r="P34" s="499" t="str">
        <f>IF(C34="","",IF(AND(LEFT(C34,55)&lt;&gt;LEFT(N34,55),O34="High - High"),"Error - Not like for like ▲",IF(AND(F34=S34,H34&gt;U34),"Error - Can not reduce condition ▲",IF(AND(F34=S34,H34=U34,AJ34='F-1 Off Site River Baseline'!N32,'F-1 Off Site River Baseline'!P32=AL34),"Error - No enhancement ▲",IF(AND(C34&lt;&gt;N34,F34&lt;S34),"Lower Distinctiveness Habitat"&amp;" - "&amp;T34,G34&amp;" - "&amp;T34)))))</f>
        <v/>
      </c>
      <c r="Q34" s="505" t="str">
        <f>IF(N34="","",VLOOKUP(B34,'F-1 Off Site River Baseline'!$C$10:$AA$257,19,FALSE))</f>
        <v/>
      </c>
      <c r="R34" s="498" t="str">
        <f>IF(N34="","",VLOOKUP(N34,'G-7 Rivers Data'!$B$2:$G$8,2,FALSE))</f>
        <v/>
      </c>
      <c r="S34" s="499" t="str">
        <f>IFERROR(VLOOKUP(R34,'G-7 Rivers Data'!$C$4:$D$8,2,FALSE),"")</f>
        <v/>
      </c>
      <c r="T34" s="145"/>
      <c r="U34" s="499" t="str">
        <f>IFERROR(INDEX('G-7 Rivers Data'!$H$4:$L$8,MATCH(N34,'G-7 Rivers Data'!$B$4:$B$8,0),MATCH(T34,'G-7 Rivers Data'!$H$3:$L$3,0)),"")</f>
        <v/>
      </c>
      <c r="V34" s="154"/>
      <c r="W34" s="520" t="str">
        <f>IF(V34="","",IF(VLOOKUP(V34,'G-7 Rivers Data'!$AG$4:$AI$9,2,FALSE)=0,"Spatial Data Missing ⚠",VLOOKUP(V34,'G-7 Rivers Data'!$AG$4:$AI$9,2,FALSE)))</f>
        <v/>
      </c>
      <c r="X34" s="524" t="str">
        <f>IF(V34="","",IF(VLOOKUP(V34,'G-7 Rivers Data'!$AG$4:$AI$9,3,FALSE)=0,"Spatial Data Missing ⚠",VLOOKUP(V34,'G-7 Rivers Data'!$AG$4:$AI$9,3,FALSE)))</f>
        <v/>
      </c>
      <c r="Y34" s="537" t="str">
        <f>IFERROR(IF(OR(LEFT(P34,5)="Error ▲",LEFT(O34,5)="Error ▲"),"Check Data ⚠",IF(F34&lt;S34,'G-7 Rivers Data'!$R$3,INDEX('G-7 Rivers Data'!$U$5:$Y$9,MATCH(G34,'G-7 Rivers Data'!$T$5:$T$9,0),MATCH(T34,'G-7 Rivers Data'!$U$4:$Y$4,0)))),"")</f>
        <v/>
      </c>
      <c r="Z34" s="203"/>
      <c r="AA34" s="203"/>
      <c r="AB34" s="534" t="str">
        <f t="shared" si="1"/>
        <v/>
      </c>
      <c r="AC34" s="521" t="str">
        <f t="shared" si="2"/>
        <v/>
      </c>
      <c r="AD34" s="564" t="str">
        <f>IFERROR(IF(AC34="Check Data ⚠","Check Data ⚠",VLOOKUP(AC34,'G-4 Temporal multipliers'!$A$4:$C$37,3,FALSE)),"")</f>
        <v/>
      </c>
      <c r="AE34" s="537" t="str">
        <f>IF(N34="","",VLOOKUP(N34,'G-7 Rivers Data'!$B$4:$G$8,5,FALSE))</f>
        <v/>
      </c>
      <c r="AF34" s="520" t="str">
        <f t="shared" si="3"/>
        <v/>
      </c>
      <c r="AG34" s="520" t="str">
        <f t="shared" si="6"/>
        <v/>
      </c>
      <c r="AH34" s="524" t="str">
        <f t="shared" si="4"/>
        <v/>
      </c>
      <c r="AI34" s="145"/>
      <c r="AJ34" s="499" t="str">
        <f>IF(AI34="","",IF(VLOOKUP(AI34,'G-7 Rivers Data'!$AA$4:$AB$7,2,FALSE)=0,"Spatial Data Missing ⚠",VLOOKUP(AI34,'G-7 Rivers Data'!$AA$4:$AB$7,2,FALSE)))</f>
        <v/>
      </c>
      <c r="AK34" s="155"/>
      <c r="AL34" s="536" t="str">
        <f>IF(AK34="","",IF(VLOOKUP(AK34,'G-7 Rivers Data'!$AD$4:$AE$8,2,FALSE)=0,"Spatial Data Missing ⚠",VLOOKUP(AK34,'G-7 Rivers Data'!$AD$4:$AE$8,2,FALSE)))</f>
        <v/>
      </c>
      <c r="AM34" s="154"/>
      <c r="AN34" s="524" t="str">
        <f>IF(AM34="","",VLOOKUP(AM34,'G-7 Rivers Data'!$AO$4:$AP$7,2,FALSE))</f>
        <v/>
      </c>
      <c r="AO34" s="545" t="str">
        <f t="shared" si="7"/>
        <v/>
      </c>
      <c r="AP34" s="149"/>
      <c r="AQ34" s="150"/>
      <c r="AX34" s="31" t="str">
        <f>IFERROR(INDEX('G-7 Rivers Data'!$AZ$3:$AZ$7,MATCH(N34,'G-7 Rivers Data'!$AY$3:$AY$7,0)),"")</f>
        <v/>
      </c>
    </row>
    <row r="35" spans="2:50" ht="14" x14ac:dyDescent="0.3">
      <c r="B35" s="531" t="str">
        <f>'F-1 Off Site River Baseline'!AN33</f>
        <v/>
      </c>
      <c r="C35" s="520" t="str">
        <f>IF(B35="","",VLOOKUP($B35,'F-1 Off Site River Baseline'!$C$9:$R$257,2,FALSE))</f>
        <v/>
      </c>
      <c r="D35" s="520" t="str">
        <f>IF(C35="","",VLOOKUP($B35,'F-1 Off Site River Baseline'!$C$9:$R$257,3,FALSE))</f>
        <v/>
      </c>
      <c r="E35" s="520" t="str">
        <f>IF(D35="","",VLOOKUP($B35,'F-1 Off Site River Baseline'!$C$9:$R$257,4,FALSE))</f>
        <v/>
      </c>
      <c r="F35" s="520" t="str">
        <f>IF(E35="","",VLOOKUP($B35,'F-1 Off Site River Baseline'!$C$9:$R$257,5,FALSE))</f>
        <v/>
      </c>
      <c r="G35" s="520" t="str">
        <f>IF(F35="","",VLOOKUP($B35,'F-1 Off Site River Baseline'!$C$9:$R$257,6,FALSE))</f>
        <v/>
      </c>
      <c r="H35" s="520" t="str">
        <f>IF(G35="","",VLOOKUP($B35,'F-1 Off Site River Baseline'!$C$9:$R$257,7,FALSE))</f>
        <v/>
      </c>
      <c r="I35" s="520" t="str">
        <f>IF(H35="","",VLOOKUP($B35,'F-1 Off Site River Baseline'!$C$9:$R$257,8,FALSE))</f>
        <v/>
      </c>
      <c r="J35" s="520" t="str">
        <f>IF(I35="","",VLOOKUP($B35,'F-1 Off Site River Baseline'!$C$9:$R$257,9,FALSE))</f>
        <v/>
      </c>
      <c r="K35" s="520" t="str">
        <f>IF(J35="","",VLOOKUP($B35,'F-1 Off Site River Baseline'!$C$9:$R$257,10,FALSE))</f>
        <v/>
      </c>
      <c r="L35" s="520" t="str">
        <f>IF(B35="","",VLOOKUP($B35,'C-1 Site River Baseline'!$C$9:$R$257,15,FALSE))</f>
        <v/>
      </c>
      <c r="M35" s="524" t="str">
        <f>IF(L35="","",VLOOKUP($B35,'F-1 Off Site River Baseline'!$C$9:$R$257,16,FALSE))</f>
        <v/>
      </c>
      <c r="N35" s="418" t="str">
        <f t="shared" si="0"/>
        <v/>
      </c>
      <c r="O35" s="498" t="str">
        <f t="shared" si="5"/>
        <v/>
      </c>
      <c r="P35" s="499" t="str">
        <f>IF(C35="","",IF(AND(LEFT(C35,55)&lt;&gt;LEFT(N35,55),O35="High - High"),"Error - Not like for like ▲",IF(AND(F35=S35,H35&gt;U35),"Error - Can not reduce condition ▲",IF(AND(F35=S35,H35=U35,AJ35='F-1 Off Site River Baseline'!N33,'F-1 Off Site River Baseline'!P33=AL35),"Error - No enhancement ▲",IF(AND(C35&lt;&gt;N35,F35&lt;S35),"Lower Distinctiveness Habitat"&amp;" - "&amp;T35,G35&amp;" - "&amp;T35)))))</f>
        <v/>
      </c>
      <c r="Q35" s="505" t="str">
        <f>IF(N35="","",VLOOKUP(B35,'F-1 Off Site River Baseline'!$C$10:$AA$257,19,FALSE))</f>
        <v/>
      </c>
      <c r="R35" s="498" t="str">
        <f>IF(N35="","",VLOOKUP(N35,'G-7 Rivers Data'!$B$2:$G$8,2,FALSE))</f>
        <v/>
      </c>
      <c r="S35" s="499" t="str">
        <f>IFERROR(VLOOKUP(R35,'G-7 Rivers Data'!$C$4:$D$8,2,FALSE),"")</f>
        <v/>
      </c>
      <c r="T35" s="145"/>
      <c r="U35" s="499" t="str">
        <f>IFERROR(INDEX('G-7 Rivers Data'!$H$4:$L$8,MATCH(N35,'G-7 Rivers Data'!$B$4:$B$8,0),MATCH(T35,'G-7 Rivers Data'!$H$3:$L$3,0)),"")</f>
        <v/>
      </c>
      <c r="V35" s="154"/>
      <c r="W35" s="520" t="str">
        <f>IF(V35="","",IF(VLOOKUP(V35,'G-7 Rivers Data'!$AG$4:$AI$9,2,FALSE)=0,"Spatial Data Missing ⚠",VLOOKUP(V35,'G-7 Rivers Data'!$AG$4:$AI$9,2,FALSE)))</f>
        <v/>
      </c>
      <c r="X35" s="524" t="str">
        <f>IF(V35="","",IF(VLOOKUP(V35,'G-7 Rivers Data'!$AG$4:$AI$9,3,FALSE)=0,"Spatial Data Missing ⚠",VLOOKUP(V35,'G-7 Rivers Data'!$AG$4:$AI$9,3,FALSE)))</f>
        <v/>
      </c>
      <c r="Y35" s="537" t="str">
        <f>IFERROR(IF(OR(LEFT(P35,5)="Error ▲",LEFT(O35,5)="Error ▲"),"Check Data ⚠",IF(F35&lt;S35,'G-7 Rivers Data'!$R$3,INDEX('G-7 Rivers Data'!$U$5:$Y$9,MATCH(G35,'G-7 Rivers Data'!$T$5:$T$9,0),MATCH(T35,'G-7 Rivers Data'!$U$4:$Y$4,0)))),"")</f>
        <v/>
      </c>
      <c r="Z35" s="203"/>
      <c r="AA35" s="203"/>
      <c r="AB35" s="534" t="str">
        <f t="shared" si="1"/>
        <v/>
      </c>
      <c r="AC35" s="521" t="str">
        <f t="shared" si="2"/>
        <v/>
      </c>
      <c r="AD35" s="564" t="str">
        <f>IFERROR(IF(AC35="Check Data ⚠","Check Data ⚠",VLOOKUP(AC35,'G-4 Temporal multipliers'!$A$4:$C$37,3,FALSE)),"")</f>
        <v/>
      </c>
      <c r="AE35" s="537" t="str">
        <f>IF(N35="","",VLOOKUP(N35,'G-7 Rivers Data'!$B$4:$G$8,5,FALSE))</f>
        <v/>
      </c>
      <c r="AF35" s="520" t="str">
        <f t="shared" si="3"/>
        <v/>
      </c>
      <c r="AG35" s="520" t="str">
        <f t="shared" si="6"/>
        <v/>
      </c>
      <c r="AH35" s="524" t="str">
        <f t="shared" si="4"/>
        <v/>
      </c>
      <c r="AI35" s="145"/>
      <c r="AJ35" s="499" t="str">
        <f>IF(AI35="","",IF(VLOOKUP(AI35,'G-7 Rivers Data'!$AA$4:$AB$7,2,FALSE)=0,"Spatial Data Missing ⚠",VLOOKUP(AI35,'G-7 Rivers Data'!$AA$4:$AB$7,2,FALSE)))</f>
        <v/>
      </c>
      <c r="AK35" s="155"/>
      <c r="AL35" s="536" t="str">
        <f>IF(AK35="","",IF(VLOOKUP(AK35,'G-7 Rivers Data'!$AD$4:$AE$8,2,FALSE)=0,"Spatial Data Missing ⚠",VLOOKUP(AK35,'G-7 Rivers Data'!$AD$4:$AE$8,2,FALSE)))</f>
        <v/>
      </c>
      <c r="AM35" s="154"/>
      <c r="AN35" s="524" t="str">
        <f>IF(AM35="","",VLOOKUP(AM35,'G-7 Rivers Data'!$AO$4:$AP$7,2,FALSE))</f>
        <v/>
      </c>
      <c r="AO35" s="545" t="str">
        <f t="shared" si="7"/>
        <v/>
      </c>
      <c r="AP35" s="149"/>
      <c r="AQ35" s="150"/>
      <c r="AX35" s="31" t="str">
        <f>IFERROR(INDEX('G-7 Rivers Data'!$AZ$3:$AZ$7,MATCH(N35,'G-7 Rivers Data'!$AY$3:$AY$7,0)),"")</f>
        <v/>
      </c>
    </row>
    <row r="36" spans="2:50" ht="14" x14ac:dyDescent="0.3">
      <c r="B36" s="531" t="str">
        <f>'F-1 Off Site River Baseline'!AN34</f>
        <v/>
      </c>
      <c r="C36" s="520" t="str">
        <f>IF(B36="","",VLOOKUP($B36,'F-1 Off Site River Baseline'!$C$9:$R$257,2,FALSE))</f>
        <v/>
      </c>
      <c r="D36" s="520" t="str">
        <f>IF(C36="","",VLOOKUP($B36,'F-1 Off Site River Baseline'!$C$9:$R$257,3,FALSE))</f>
        <v/>
      </c>
      <c r="E36" s="520" t="str">
        <f>IF(D36="","",VLOOKUP($B36,'F-1 Off Site River Baseline'!$C$9:$R$257,4,FALSE))</f>
        <v/>
      </c>
      <c r="F36" s="520" t="str">
        <f>IF(E36="","",VLOOKUP($B36,'F-1 Off Site River Baseline'!$C$9:$R$257,5,FALSE))</f>
        <v/>
      </c>
      <c r="G36" s="520" t="str">
        <f>IF(F36="","",VLOOKUP($B36,'F-1 Off Site River Baseline'!$C$9:$R$257,6,FALSE))</f>
        <v/>
      </c>
      <c r="H36" s="520" t="str">
        <f>IF(G36="","",VLOOKUP($B36,'F-1 Off Site River Baseline'!$C$9:$R$257,7,FALSE))</f>
        <v/>
      </c>
      <c r="I36" s="520" t="str">
        <f>IF(H36="","",VLOOKUP($B36,'F-1 Off Site River Baseline'!$C$9:$R$257,8,FALSE))</f>
        <v/>
      </c>
      <c r="J36" s="520" t="str">
        <f>IF(I36="","",VLOOKUP($B36,'F-1 Off Site River Baseline'!$C$9:$R$257,9,FALSE))</f>
        <v/>
      </c>
      <c r="K36" s="520" t="str">
        <f>IF(J36="","",VLOOKUP($B36,'F-1 Off Site River Baseline'!$C$9:$R$257,10,FALSE))</f>
        <v/>
      </c>
      <c r="L36" s="520" t="str">
        <f>IF(B36="","",VLOOKUP($B36,'C-1 Site River Baseline'!$C$9:$R$257,15,FALSE))</f>
        <v/>
      </c>
      <c r="M36" s="524" t="str">
        <f>IF(L36="","",VLOOKUP($B36,'F-1 Off Site River Baseline'!$C$9:$R$257,16,FALSE))</f>
        <v/>
      </c>
      <c r="N36" s="418" t="str">
        <f t="shared" si="0"/>
        <v/>
      </c>
      <c r="O36" s="498" t="str">
        <f t="shared" si="5"/>
        <v/>
      </c>
      <c r="P36" s="499" t="str">
        <f>IF(C36="","",IF(AND(LEFT(C36,55)&lt;&gt;LEFT(N36,55),O36="High - High"),"Error - Not like for like ▲",IF(AND(F36=S36,H36&gt;U36),"Error - Can not reduce condition ▲",IF(AND(F36=S36,H36=U36,AJ36='F-1 Off Site River Baseline'!N34,'F-1 Off Site River Baseline'!P34=AL36),"Error - No enhancement ▲",IF(AND(C36&lt;&gt;N36,F36&lt;S36),"Lower Distinctiveness Habitat"&amp;" - "&amp;T36,G36&amp;" - "&amp;T36)))))</f>
        <v/>
      </c>
      <c r="Q36" s="505" t="str">
        <f>IF(N36="","",VLOOKUP(B36,'F-1 Off Site River Baseline'!$C$10:$AA$257,19,FALSE))</f>
        <v/>
      </c>
      <c r="R36" s="498" t="str">
        <f>IF(N36="","",VLOOKUP(N36,'G-7 Rivers Data'!$B$2:$G$8,2,FALSE))</f>
        <v/>
      </c>
      <c r="S36" s="499" t="str">
        <f>IFERROR(VLOOKUP(R36,'G-7 Rivers Data'!$C$4:$D$8,2,FALSE),"")</f>
        <v/>
      </c>
      <c r="T36" s="145"/>
      <c r="U36" s="499" t="str">
        <f>IFERROR(INDEX('G-7 Rivers Data'!$H$4:$L$8,MATCH(N36,'G-7 Rivers Data'!$B$4:$B$8,0),MATCH(T36,'G-7 Rivers Data'!$H$3:$L$3,0)),"")</f>
        <v/>
      </c>
      <c r="V36" s="154"/>
      <c r="W36" s="520" t="str">
        <f>IF(V36="","",IF(VLOOKUP(V36,'G-7 Rivers Data'!$AG$4:$AI$9,2,FALSE)=0,"Spatial Data Missing ⚠",VLOOKUP(V36,'G-7 Rivers Data'!$AG$4:$AI$9,2,FALSE)))</f>
        <v/>
      </c>
      <c r="X36" s="524" t="str">
        <f>IF(V36="","",IF(VLOOKUP(V36,'G-7 Rivers Data'!$AG$4:$AI$9,3,FALSE)=0,"Spatial Data Missing ⚠",VLOOKUP(V36,'G-7 Rivers Data'!$AG$4:$AI$9,3,FALSE)))</f>
        <v/>
      </c>
      <c r="Y36" s="537" t="str">
        <f>IFERROR(IF(OR(LEFT(P36,5)="Error ▲",LEFT(O36,5)="Error ▲"),"Check Data ⚠",IF(F36&lt;S36,'G-7 Rivers Data'!$R$3,INDEX('G-7 Rivers Data'!$U$5:$Y$9,MATCH(G36,'G-7 Rivers Data'!$T$5:$T$9,0),MATCH(T36,'G-7 Rivers Data'!$U$4:$Y$4,0)))),"")</f>
        <v/>
      </c>
      <c r="Z36" s="203"/>
      <c r="AA36" s="203"/>
      <c r="AB36" s="534" t="str">
        <f t="shared" si="1"/>
        <v/>
      </c>
      <c r="AC36" s="521" t="str">
        <f t="shared" si="2"/>
        <v/>
      </c>
      <c r="AD36" s="564" t="str">
        <f>IFERROR(IF(AC36="Check Data ⚠","Check Data ⚠",VLOOKUP(AC36,'G-4 Temporal multipliers'!$A$4:$C$37,3,FALSE)),"")</f>
        <v/>
      </c>
      <c r="AE36" s="537" t="str">
        <f>IF(N36="","",VLOOKUP(N36,'G-7 Rivers Data'!$B$4:$G$8,5,FALSE))</f>
        <v/>
      </c>
      <c r="AF36" s="520" t="str">
        <f t="shared" si="3"/>
        <v/>
      </c>
      <c r="AG36" s="520" t="str">
        <f t="shared" si="6"/>
        <v/>
      </c>
      <c r="AH36" s="524" t="str">
        <f t="shared" si="4"/>
        <v/>
      </c>
      <c r="AI36" s="145"/>
      <c r="AJ36" s="499" t="str">
        <f>IF(AI36="","",IF(VLOOKUP(AI36,'G-7 Rivers Data'!$AA$4:$AB$7,2,FALSE)=0,"Spatial Data Missing ⚠",VLOOKUP(AI36,'G-7 Rivers Data'!$AA$4:$AB$7,2,FALSE)))</f>
        <v/>
      </c>
      <c r="AK36" s="155"/>
      <c r="AL36" s="536" t="str">
        <f>IF(AK36="","",IF(VLOOKUP(AK36,'G-7 Rivers Data'!$AD$4:$AE$8,2,FALSE)=0,"Spatial Data Missing ⚠",VLOOKUP(AK36,'G-7 Rivers Data'!$AD$4:$AE$8,2,FALSE)))</f>
        <v/>
      </c>
      <c r="AM36" s="154"/>
      <c r="AN36" s="524" t="str">
        <f>IF(AM36="","",VLOOKUP(AM36,'G-7 Rivers Data'!$AO$4:$AP$7,2,FALSE))</f>
        <v/>
      </c>
      <c r="AO36" s="545" t="str">
        <f t="shared" si="7"/>
        <v/>
      </c>
      <c r="AP36" s="149"/>
      <c r="AQ36" s="150"/>
      <c r="AX36" s="31" t="str">
        <f>IFERROR(INDEX('G-7 Rivers Data'!$AZ$3:$AZ$7,MATCH(N36,'G-7 Rivers Data'!$AY$3:$AY$7,0)),"")</f>
        <v/>
      </c>
    </row>
    <row r="37" spans="2:50" ht="14" x14ac:dyDescent="0.3">
      <c r="B37" s="531" t="str">
        <f>'F-1 Off Site River Baseline'!AN35</f>
        <v/>
      </c>
      <c r="C37" s="520" t="str">
        <f>IF(B37="","",VLOOKUP($B37,'F-1 Off Site River Baseline'!$C$9:$R$257,2,FALSE))</f>
        <v/>
      </c>
      <c r="D37" s="520" t="str">
        <f>IF(C37="","",VLOOKUP($B37,'F-1 Off Site River Baseline'!$C$9:$R$257,3,FALSE))</f>
        <v/>
      </c>
      <c r="E37" s="520" t="str">
        <f>IF(D37="","",VLOOKUP($B37,'F-1 Off Site River Baseline'!$C$9:$R$257,4,FALSE))</f>
        <v/>
      </c>
      <c r="F37" s="520" t="str">
        <f>IF(E37="","",VLOOKUP($B37,'F-1 Off Site River Baseline'!$C$9:$R$257,5,FALSE))</f>
        <v/>
      </c>
      <c r="G37" s="520" t="str">
        <f>IF(F37="","",VLOOKUP($B37,'F-1 Off Site River Baseline'!$C$9:$R$257,6,FALSE))</f>
        <v/>
      </c>
      <c r="H37" s="520" t="str">
        <f>IF(G37="","",VLOOKUP($B37,'F-1 Off Site River Baseline'!$C$9:$R$257,7,FALSE))</f>
        <v/>
      </c>
      <c r="I37" s="520" t="str">
        <f>IF(H37="","",VLOOKUP($B37,'F-1 Off Site River Baseline'!$C$9:$R$257,8,FALSE))</f>
        <v/>
      </c>
      <c r="J37" s="520" t="str">
        <f>IF(I37="","",VLOOKUP($B37,'F-1 Off Site River Baseline'!$C$9:$R$257,9,FALSE))</f>
        <v/>
      </c>
      <c r="K37" s="520" t="str">
        <f>IF(J37="","",VLOOKUP($B37,'F-1 Off Site River Baseline'!$C$9:$R$257,10,FALSE))</f>
        <v/>
      </c>
      <c r="L37" s="520" t="str">
        <f>IF(B37="","",VLOOKUP($B37,'C-1 Site River Baseline'!$C$9:$R$257,15,FALSE))</f>
        <v/>
      </c>
      <c r="M37" s="524" t="str">
        <f>IF(L37="","",VLOOKUP($B37,'F-1 Off Site River Baseline'!$C$9:$R$257,16,FALSE))</f>
        <v/>
      </c>
      <c r="N37" s="418" t="str">
        <f t="shared" si="0"/>
        <v/>
      </c>
      <c r="O37" s="498" t="str">
        <f t="shared" si="5"/>
        <v/>
      </c>
      <c r="P37" s="499" t="str">
        <f>IF(C37="","",IF(AND(LEFT(C37,55)&lt;&gt;LEFT(N37,55),O37="High - High"),"Error - Not like for like ▲",IF(AND(F37=S37,H37&gt;U37),"Error - Can not reduce condition ▲",IF(AND(F37=S37,H37=U37,AJ37='F-1 Off Site River Baseline'!N35,'F-1 Off Site River Baseline'!P35=AL37),"Error - No enhancement ▲",IF(AND(C37&lt;&gt;N37,F37&lt;S37),"Lower Distinctiveness Habitat"&amp;" - "&amp;T37,G37&amp;" - "&amp;T37)))))</f>
        <v/>
      </c>
      <c r="Q37" s="505" t="str">
        <f>IF(N37="","",VLOOKUP(B37,'F-1 Off Site River Baseline'!$C$10:$AA$257,19,FALSE))</f>
        <v/>
      </c>
      <c r="R37" s="498" t="str">
        <f>IF(N37="","",VLOOKUP(N37,'G-7 Rivers Data'!$B$2:$G$8,2,FALSE))</f>
        <v/>
      </c>
      <c r="S37" s="499" t="str">
        <f>IFERROR(VLOOKUP(R37,'G-7 Rivers Data'!$C$4:$D$8,2,FALSE),"")</f>
        <v/>
      </c>
      <c r="T37" s="145"/>
      <c r="U37" s="499" t="str">
        <f>IFERROR(INDEX('G-7 Rivers Data'!$H$4:$L$8,MATCH(N37,'G-7 Rivers Data'!$B$4:$B$8,0),MATCH(T37,'G-7 Rivers Data'!$H$3:$L$3,0)),"")</f>
        <v/>
      </c>
      <c r="V37" s="154"/>
      <c r="W37" s="520" t="str">
        <f>IF(V37="","",IF(VLOOKUP(V37,'G-7 Rivers Data'!$AG$4:$AI$9,2,FALSE)=0,"Spatial Data Missing ⚠",VLOOKUP(V37,'G-7 Rivers Data'!$AG$4:$AI$9,2,FALSE)))</f>
        <v/>
      </c>
      <c r="X37" s="524" t="str">
        <f>IF(V37="","",IF(VLOOKUP(V37,'G-7 Rivers Data'!$AG$4:$AI$9,3,FALSE)=0,"Spatial Data Missing ⚠",VLOOKUP(V37,'G-7 Rivers Data'!$AG$4:$AI$9,3,FALSE)))</f>
        <v/>
      </c>
      <c r="Y37" s="537" t="str">
        <f>IFERROR(IF(OR(LEFT(P37,5)="Error ▲",LEFT(O37,5)="Error ▲"),"Check Data ⚠",IF(F37&lt;S37,'G-7 Rivers Data'!$R$3,INDEX('G-7 Rivers Data'!$U$5:$Y$9,MATCH(G37,'G-7 Rivers Data'!$T$5:$T$9,0),MATCH(T37,'G-7 Rivers Data'!$U$4:$Y$4,0)))),"")</f>
        <v/>
      </c>
      <c r="Z37" s="203"/>
      <c r="AA37" s="203"/>
      <c r="AB37" s="534" t="str">
        <f t="shared" si="1"/>
        <v/>
      </c>
      <c r="AC37" s="521" t="str">
        <f t="shared" si="2"/>
        <v/>
      </c>
      <c r="AD37" s="564" t="str">
        <f>IFERROR(IF(AC37="Check Data ⚠","Check Data ⚠",VLOOKUP(AC37,'G-4 Temporal multipliers'!$A$4:$C$37,3,FALSE)),"")</f>
        <v/>
      </c>
      <c r="AE37" s="537" t="str">
        <f>IF(N37="","",VLOOKUP(N37,'G-7 Rivers Data'!$B$4:$G$8,5,FALSE))</f>
        <v/>
      </c>
      <c r="AF37" s="520" t="str">
        <f t="shared" si="3"/>
        <v/>
      </c>
      <c r="AG37" s="520" t="str">
        <f t="shared" si="6"/>
        <v/>
      </c>
      <c r="AH37" s="524" t="str">
        <f t="shared" si="4"/>
        <v/>
      </c>
      <c r="AI37" s="145"/>
      <c r="AJ37" s="499" t="str">
        <f>IF(AI37="","",IF(VLOOKUP(AI37,'G-7 Rivers Data'!$AA$4:$AB$7,2,FALSE)=0,"Spatial Data Missing ⚠",VLOOKUP(AI37,'G-7 Rivers Data'!$AA$4:$AB$7,2,FALSE)))</f>
        <v/>
      </c>
      <c r="AK37" s="155"/>
      <c r="AL37" s="536" t="str">
        <f>IF(AK37="","",IF(VLOOKUP(AK37,'G-7 Rivers Data'!$AD$4:$AE$8,2,FALSE)=0,"Spatial Data Missing ⚠",VLOOKUP(AK37,'G-7 Rivers Data'!$AD$4:$AE$8,2,FALSE)))</f>
        <v/>
      </c>
      <c r="AM37" s="154"/>
      <c r="AN37" s="524" t="str">
        <f>IF(AM37="","",VLOOKUP(AM37,'G-7 Rivers Data'!$AO$4:$AP$7,2,FALSE))</f>
        <v/>
      </c>
      <c r="AO37" s="545" t="str">
        <f t="shared" si="7"/>
        <v/>
      </c>
      <c r="AP37" s="149"/>
      <c r="AQ37" s="150"/>
      <c r="AX37" s="31" t="str">
        <f>IFERROR(INDEX('G-7 Rivers Data'!$AZ$3:$AZ$7,MATCH(N37,'G-7 Rivers Data'!$AY$3:$AY$7,0)),"")</f>
        <v/>
      </c>
    </row>
    <row r="38" spans="2:50" ht="14" x14ac:dyDescent="0.3">
      <c r="B38" s="531" t="str">
        <f>'F-1 Off Site River Baseline'!AN36</f>
        <v/>
      </c>
      <c r="C38" s="520" t="str">
        <f>IF(B38="","",VLOOKUP($B38,'F-1 Off Site River Baseline'!$C$9:$R$257,2,FALSE))</f>
        <v/>
      </c>
      <c r="D38" s="520" t="str">
        <f>IF(C38="","",VLOOKUP($B38,'F-1 Off Site River Baseline'!$C$9:$R$257,3,FALSE))</f>
        <v/>
      </c>
      <c r="E38" s="520" t="str">
        <f>IF(D38="","",VLOOKUP($B38,'F-1 Off Site River Baseline'!$C$9:$R$257,4,FALSE))</f>
        <v/>
      </c>
      <c r="F38" s="520" t="str">
        <f>IF(E38="","",VLOOKUP($B38,'F-1 Off Site River Baseline'!$C$9:$R$257,5,FALSE))</f>
        <v/>
      </c>
      <c r="G38" s="520" t="str">
        <f>IF(F38="","",VLOOKUP($B38,'F-1 Off Site River Baseline'!$C$9:$R$257,6,FALSE))</f>
        <v/>
      </c>
      <c r="H38" s="520" t="str">
        <f>IF(G38="","",VLOOKUP($B38,'F-1 Off Site River Baseline'!$C$9:$R$257,7,FALSE))</f>
        <v/>
      </c>
      <c r="I38" s="520" t="str">
        <f>IF(H38="","",VLOOKUP($B38,'F-1 Off Site River Baseline'!$C$9:$R$257,8,FALSE))</f>
        <v/>
      </c>
      <c r="J38" s="520" t="str">
        <f>IF(I38="","",VLOOKUP($B38,'F-1 Off Site River Baseline'!$C$9:$R$257,9,FALSE))</f>
        <v/>
      </c>
      <c r="K38" s="520" t="str">
        <f>IF(J38="","",VLOOKUP($B38,'F-1 Off Site River Baseline'!$C$9:$R$257,10,FALSE))</f>
        <v/>
      </c>
      <c r="L38" s="520" t="str">
        <f>IF(B38="","",VLOOKUP($B38,'C-1 Site River Baseline'!$C$9:$R$257,15,FALSE))</f>
        <v/>
      </c>
      <c r="M38" s="524" t="str">
        <f>IF(L38="","",VLOOKUP($B38,'F-1 Off Site River Baseline'!$C$9:$R$257,16,FALSE))</f>
        <v/>
      </c>
      <c r="N38" s="418" t="str">
        <f t="shared" si="0"/>
        <v/>
      </c>
      <c r="O38" s="498" t="str">
        <f t="shared" si="5"/>
        <v/>
      </c>
      <c r="P38" s="499" t="str">
        <f>IF(C38="","",IF(AND(LEFT(C38,55)&lt;&gt;LEFT(N38,55),O38="High - High"),"Error - Not like for like ▲",IF(AND(F38=S38,H38&gt;U38),"Error - Can not reduce condition ▲",IF(AND(F38=S38,H38=U38,AJ38='F-1 Off Site River Baseline'!N36,'F-1 Off Site River Baseline'!P36=AL38),"Error - No enhancement ▲",IF(AND(C38&lt;&gt;N38,F38&lt;S38),"Lower Distinctiveness Habitat"&amp;" - "&amp;T38,G38&amp;" - "&amp;T38)))))</f>
        <v/>
      </c>
      <c r="Q38" s="505" t="str">
        <f>IF(N38="","",VLOOKUP(B38,'F-1 Off Site River Baseline'!$C$10:$AA$257,19,FALSE))</f>
        <v/>
      </c>
      <c r="R38" s="498" t="str">
        <f>IF(N38="","",VLOOKUP(N38,'G-7 Rivers Data'!$B$2:$G$8,2,FALSE))</f>
        <v/>
      </c>
      <c r="S38" s="499" t="str">
        <f>IFERROR(VLOOKUP(R38,'G-7 Rivers Data'!$C$4:$D$8,2,FALSE),"")</f>
        <v/>
      </c>
      <c r="T38" s="145"/>
      <c r="U38" s="499" t="str">
        <f>IFERROR(INDEX('G-7 Rivers Data'!$H$4:$L$8,MATCH(N38,'G-7 Rivers Data'!$B$4:$B$8,0),MATCH(T38,'G-7 Rivers Data'!$H$3:$L$3,0)),"")</f>
        <v/>
      </c>
      <c r="V38" s="154"/>
      <c r="W38" s="520" t="str">
        <f>IF(V38="","",IF(VLOOKUP(V38,'G-7 Rivers Data'!$AG$4:$AI$9,2,FALSE)=0,"Spatial Data Missing ⚠",VLOOKUP(V38,'G-7 Rivers Data'!$AG$4:$AI$9,2,FALSE)))</f>
        <v/>
      </c>
      <c r="X38" s="524" t="str">
        <f>IF(V38="","",IF(VLOOKUP(V38,'G-7 Rivers Data'!$AG$4:$AI$9,3,FALSE)=0,"Spatial Data Missing ⚠",VLOOKUP(V38,'G-7 Rivers Data'!$AG$4:$AI$9,3,FALSE)))</f>
        <v/>
      </c>
      <c r="Y38" s="537" t="str">
        <f>IFERROR(IF(OR(LEFT(P38,5)="Error ▲",LEFT(O38,5)="Error ▲"),"Check Data ⚠",IF(F38&lt;S38,'G-7 Rivers Data'!$R$3,INDEX('G-7 Rivers Data'!$U$5:$Y$9,MATCH(G38,'G-7 Rivers Data'!$T$5:$T$9,0),MATCH(T38,'G-7 Rivers Data'!$U$4:$Y$4,0)))),"")</f>
        <v/>
      </c>
      <c r="Z38" s="203"/>
      <c r="AA38" s="203"/>
      <c r="AB38" s="534" t="str">
        <f t="shared" si="1"/>
        <v/>
      </c>
      <c r="AC38" s="521" t="str">
        <f t="shared" si="2"/>
        <v/>
      </c>
      <c r="AD38" s="564" t="str">
        <f>IFERROR(IF(AC38="Check Data ⚠","Check Data ⚠",VLOOKUP(AC38,'G-4 Temporal multipliers'!$A$4:$C$37,3,FALSE)),"")</f>
        <v/>
      </c>
      <c r="AE38" s="537" t="str">
        <f>IF(N38="","",VLOOKUP(N38,'G-7 Rivers Data'!$B$4:$G$8,5,FALSE))</f>
        <v/>
      </c>
      <c r="AF38" s="520" t="str">
        <f t="shared" si="3"/>
        <v/>
      </c>
      <c r="AG38" s="520" t="str">
        <f t="shared" si="6"/>
        <v/>
      </c>
      <c r="AH38" s="524" t="str">
        <f t="shared" si="4"/>
        <v/>
      </c>
      <c r="AI38" s="145"/>
      <c r="AJ38" s="499" t="str">
        <f>IF(AI38="","",IF(VLOOKUP(AI38,'G-7 Rivers Data'!$AA$4:$AB$7,2,FALSE)=0,"Spatial Data Missing ⚠",VLOOKUP(AI38,'G-7 Rivers Data'!$AA$4:$AB$7,2,FALSE)))</f>
        <v/>
      </c>
      <c r="AK38" s="155"/>
      <c r="AL38" s="536" t="str">
        <f>IF(AK38="","",IF(VLOOKUP(AK38,'G-7 Rivers Data'!$AD$4:$AE$8,2,FALSE)=0,"Spatial Data Missing ⚠",VLOOKUP(AK38,'G-7 Rivers Data'!$AD$4:$AE$8,2,FALSE)))</f>
        <v/>
      </c>
      <c r="AM38" s="154"/>
      <c r="AN38" s="524" t="str">
        <f>IF(AM38="","",VLOOKUP(AM38,'G-7 Rivers Data'!$AO$4:$AP$7,2,FALSE))</f>
        <v/>
      </c>
      <c r="AO38" s="545" t="str">
        <f t="shared" si="7"/>
        <v/>
      </c>
      <c r="AP38" s="149"/>
      <c r="AQ38" s="150"/>
      <c r="AX38" s="31" t="str">
        <f>IFERROR(INDEX('G-7 Rivers Data'!$AZ$3:$AZ$7,MATCH(N38,'G-7 Rivers Data'!$AY$3:$AY$7,0)),"")</f>
        <v/>
      </c>
    </row>
    <row r="39" spans="2:50" ht="14" x14ac:dyDescent="0.3">
      <c r="B39" s="531" t="str">
        <f>'F-1 Off Site River Baseline'!AN37</f>
        <v/>
      </c>
      <c r="C39" s="520" t="str">
        <f>IF(B39="","",VLOOKUP($B39,'F-1 Off Site River Baseline'!$C$9:$R$257,2,FALSE))</f>
        <v/>
      </c>
      <c r="D39" s="520" t="str">
        <f>IF(C39="","",VLOOKUP($B39,'F-1 Off Site River Baseline'!$C$9:$R$257,3,FALSE))</f>
        <v/>
      </c>
      <c r="E39" s="520" t="str">
        <f>IF(D39="","",VLOOKUP($B39,'F-1 Off Site River Baseline'!$C$9:$R$257,4,FALSE))</f>
        <v/>
      </c>
      <c r="F39" s="520" t="str">
        <f>IF(E39="","",VLOOKUP($B39,'F-1 Off Site River Baseline'!$C$9:$R$257,5,FALSE))</f>
        <v/>
      </c>
      <c r="G39" s="520" t="str">
        <f>IF(F39="","",VLOOKUP($B39,'F-1 Off Site River Baseline'!$C$9:$R$257,6,FALSE))</f>
        <v/>
      </c>
      <c r="H39" s="520" t="str">
        <f>IF(G39="","",VLOOKUP($B39,'F-1 Off Site River Baseline'!$C$9:$R$257,7,FALSE))</f>
        <v/>
      </c>
      <c r="I39" s="520" t="str">
        <f>IF(H39="","",VLOOKUP($B39,'F-1 Off Site River Baseline'!$C$9:$R$257,8,FALSE))</f>
        <v/>
      </c>
      <c r="J39" s="520" t="str">
        <f>IF(I39="","",VLOOKUP($B39,'F-1 Off Site River Baseline'!$C$9:$R$257,9,FALSE))</f>
        <v/>
      </c>
      <c r="K39" s="520" t="str">
        <f>IF(J39="","",VLOOKUP($B39,'F-1 Off Site River Baseline'!$C$9:$R$257,10,FALSE))</f>
        <v/>
      </c>
      <c r="L39" s="520" t="str">
        <f>IF(B39="","",VLOOKUP($B39,'C-1 Site River Baseline'!$C$9:$R$257,15,FALSE))</f>
        <v/>
      </c>
      <c r="M39" s="524" t="str">
        <f>IF(L39="","",VLOOKUP($B39,'F-1 Off Site River Baseline'!$C$9:$R$257,16,FALSE))</f>
        <v/>
      </c>
      <c r="N39" s="418" t="str">
        <f t="shared" si="0"/>
        <v/>
      </c>
      <c r="O39" s="498" t="str">
        <f t="shared" si="5"/>
        <v/>
      </c>
      <c r="P39" s="499" t="str">
        <f>IF(C39="","",IF(AND(LEFT(C39,55)&lt;&gt;LEFT(N39,55),O39="High - High"),"Error - Not like for like ▲",IF(AND(F39=S39,H39&gt;U39),"Error - Can not reduce condition ▲",IF(AND(F39=S39,H39=U39,AJ39='F-1 Off Site River Baseline'!N37,'F-1 Off Site River Baseline'!P37=AL39),"Error - No enhancement ▲",IF(AND(C39&lt;&gt;N39,F39&lt;S39),"Lower Distinctiveness Habitat"&amp;" - "&amp;T39,G39&amp;" - "&amp;T39)))))</f>
        <v/>
      </c>
      <c r="Q39" s="505" t="str">
        <f>IF(N39="","",VLOOKUP(B39,'F-1 Off Site River Baseline'!$C$10:$AA$257,19,FALSE))</f>
        <v/>
      </c>
      <c r="R39" s="498" t="str">
        <f>IF(N39="","",VLOOKUP(N39,'G-7 Rivers Data'!$B$2:$G$8,2,FALSE))</f>
        <v/>
      </c>
      <c r="S39" s="499" t="str">
        <f>IFERROR(VLOOKUP(R39,'G-7 Rivers Data'!$C$4:$D$8,2,FALSE),"")</f>
        <v/>
      </c>
      <c r="T39" s="145"/>
      <c r="U39" s="499" t="str">
        <f>IFERROR(INDEX('G-7 Rivers Data'!$H$4:$L$8,MATCH(N39,'G-7 Rivers Data'!$B$4:$B$8,0),MATCH(T39,'G-7 Rivers Data'!$H$3:$L$3,0)),"")</f>
        <v/>
      </c>
      <c r="V39" s="154"/>
      <c r="W39" s="520" t="str">
        <f>IF(V39="","",IF(VLOOKUP(V39,'G-7 Rivers Data'!$AG$4:$AI$9,2,FALSE)=0,"Spatial Data Missing ⚠",VLOOKUP(V39,'G-7 Rivers Data'!$AG$4:$AI$9,2,FALSE)))</f>
        <v/>
      </c>
      <c r="X39" s="524" t="str">
        <f>IF(V39="","",IF(VLOOKUP(V39,'G-7 Rivers Data'!$AG$4:$AI$9,3,FALSE)=0,"Spatial Data Missing ⚠",VLOOKUP(V39,'G-7 Rivers Data'!$AG$4:$AI$9,3,FALSE)))</f>
        <v/>
      </c>
      <c r="Y39" s="537" t="str">
        <f>IFERROR(IF(OR(LEFT(P39,5)="Error ▲",LEFT(O39,5)="Error ▲"),"Check Data ⚠",IF(F39&lt;S39,'G-7 Rivers Data'!$R$3,INDEX('G-7 Rivers Data'!$U$5:$Y$9,MATCH(G39,'G-7 Rivers Data'!$T$5:$T$9,0),MATCH(T39,'G-7 Rivers Data'!$U$4:$Y$4,0)))),"")</f>
        <v/>
      </c>
      <c r="Z39" s="203"/>
      <c r="AA39" s="203"/>
      <c r="AB39" s="534" t="str">
        <f t="shared" si="1"/>
        <v/>
      </c>
      <c r="AC39" s="521" t="str">
        <f t="shared" si="2"/>
        <v/>
      </c>
      <c r="AD39" s="564" t="str">
        <f>IFERROR(IF(AC39="Check Data ⚠","Check Data ⚠",VLOOKUP(AC39,'G-4 Temporal multipliers'!$A$4:$C$37,3,FALSE)),"")</f>
        <v/>
      </c>
      <c r="AE39" s="537" t="str">
        <f>IF(N39="","",VLOOKUP(N39,'G-7 Rivers Data'!$B$4:$G$8,5,FALSE))</f>
        <v/>
      </c>
      <c r="AF39" s="520" t="str">
        <f t="shared" si="3"/>
        <v/>
      </c>
      <c r="AG39" s="520" t="str">
        <f t="shared" si="6"/>
        <v/>
      </c>
      <c r="AH39" s="524" t="str">
        <f t="shared" si="4"/>
        <v/>
      </c>
      <c r="AI39" s="145"/>
      <c r="AJ39" s="499" t="str">
        <f>IF(AI39="","",IF(VLOOKUP(AI39,'G-7 Rivers Data'!$AA$4:$AB$7,2,FALSE)=0,"Spatial Data Missing ⚠",VLOOKUP(AI39,'G-7 Rivers Data'!$AA$4:$AB$7,2,FALSE)))</f>
        <v/>
      </c>
      <c r="AK39" s="155"/>
      <c r="AL39" s="536" t="str">
        <f>IF(AK39="","",IF(VLOOKUP(AK39,'G-7 Rivers Data'!$AD$4:$AE$8,2,FALSE)=0,"Spatial Data Missing ⚠",VLOOKUP(AK39,'G-7 Rivers Data'!$AD$4:$AE$8,2,FALSE)))</f>
        <v/>
      </c>
      <c r="AM39" s="154"/>
      <c r="AN39" s="524" t="str">
        <f>IF(AM39="","",VLOOKUP(AM39,'G-7 Rivers Data'!$AO$4:$AP$7,2,FALSE))</f>
        <v/>
      </c>
      <c r="AO39" s="545" t="str">
        <f t="shared" si="7"/>
        <v/>
      </c>
      <c r="AP39" s="149"/>
      <c r="AQ39" s="150"/>
      <c r="AX39" s="31" t="str">
        <f>IFERROR(INDEX('G-7 Rivers Data'!$AZ$3:$AZ$7,MATCH(N39,'G-7 Rivers Data'!$AY$3:$AY$7,0)),"")</f>
        <v/>
      </c>
    </row>
    <row r="40" spans="2:50" ht="14" x14ac:dyDescent="0.3">
      <c r="B40" s="531" t="str">
        <f>'F-1 Off Site River Baseline'!AN38</f>
        <v/>
      </c>
      <c r="C40" s="520" t="str">
        <f>IF(B40="","",VLOOKUP($B40,'F-1 Off Site River Baseline'!$C$9:$R$257,2,FALSE))</f>
        <v/>
      </c>
      <c r="D40" s="520" t="str">
        <f>IF(C40="","",VLOOKUP($B40,'F-1 Off Site River Baseline'!$C$9:$R$257,3,FALSE))</f>
        <v/>
      </c>
      <c r="E40" s="520" t="str">
        <f>IF(D40="","",VLOOKUP($B40,'F-1 Off Site River Baseline'!$C$9:$R$257,4,FALSE))</f>
        <v/>
      </c>
      <c r="F40" s="520" t="str">
        <f>IF(E40="","",VLOOKUP($B40,'F-1 Off Site River Baseline'!$C$9:$R$257,5,FALSE))</f>
        <v/>
      </c>
      <c r="G40" s="520" t="str">
        <f>IF(F40="","",VLOOKUP($B40,'F-1 Off Site River Baseline'!$C$9:$R$257,6,FALSE))</f>
        <v/>
      </c>
      <c r="H40" s="520" t="str">
        <f>IF(G40="","",VLOOKUP($B40,'F-1 Off Site River Baseline'!$C$9:$R$257,7,FALSE))</f>
        <v/>
      </c>
      <c r="I40" s="520" t="str">
        <f>IF(H40="","",VLOOKUP($B40,'F-1 Off Site River Baseline'!$C$9:$R$257,8,FALSE))</f>
        <v/>
      </c>
      <c r="J40" s="520" t="str">
        <f>IF(I40="","",VLOOKUP($B40,'F-1 Off Site River Baseline'!$C$9:$R$257,9,FALSE))</f>
        <v/>
      </c>
      <c r="K40" s="520" t="str">
        <f>IF(J40="","",VLOOKUP($B40,'F-1 Off Site River Baseline'!$C$9:$R$257,10,FALSE))</f>
        <v/>
      </c>
      <c r="L40" s="520" t="str">
        <f>IF(B40="","",VLOOKUP($B40,'C-1 Site River Baseline'!$C$9:$R$257,15,FALSE))</f>
        <v/>
      </c>
      <c r="M40" s="524" t="str">
        <f>IF(L40="","",VLOOKUP($B40,'F-1 Off Site River Baseline'!$C$9:$R$257,16,FALSE))</f>
        <v/>
      </c>
      <c r="N40" s="418" t="str">
        <f t="shared" si="0"/>
        <v/>
      </c>
      <c r="O40" s="498" t="str">
        <f t="shared" si="5"/>
        <v/>
      </c>
      <c r="P40" s="499" t="str">
        <f>IF(C40="","",IF(AND(LEFT(C40,55)&lt;&gt;LEFT(N40,55),O40="High - High"),"Error - Not like for like ▲",IF(AND(F40=S40,H40&gt;U40),"Error - Can not reduce condition ▲",IF(AND(F40=S40,H40=U40,AJ40='F-1 Off Site River Baseline'!N38,'F-1 Off Site River Baseline'!P38=AL40),"Error - No enhancement ▲",IF(AND(C40&lt;&gt;N40,F40&lt;S40),"Lower Distinctiveness Habitat"&amp;" - "&amp;T40,G40&amp;" - "&amp;T40)))))</f>
        <v/>
      </c>
      <c r="Q40" s="505" t="str">
        <f>IF(N40="","",VLOOKUP(B40,'F-1 Off Site River Baseline'!$C$10:$AA$257,19,FALSE))</f>
        <v/>
      </c>
      <c r="R40" s="498" t="str">
        <f>IF(N40="","",VLOOKUP(N40,'G-7 Rivers Data'!$B$2:$G$8,2,FALSE))</f>
        <v/>
      </c>
      <c r="S40" s="499" t="str">
        <f>IFERROR(VLOOKUP(R40,'G-7 Rivers Data'!$C$4:$D$8,2,FALSE),"")</f>
        <v/>
      </c>
      <c r="T40" s="145"/>
      <c r="U40" s="499" t="str">
        <f>IFERROR(INDEX('G-7 Rivers Data'!$H$4:$L$8,MATCH(N40,'G-7 Rivers Data'!$B$4:$B$8,0),MATCH(T40,'G-7 Rivers Data'!$H$3:$L$3,0)),"")</f>
        <v/>
      </c>
      <c r="V40" s="154"/>
      <c r="W40" s="520" t="str">
        <f>IF(V40="","",IF(VLOOKUP(V40,'G-7 Rivers Data'!$AG$4:$AI$9,2,FALSE)=0,"Spatial Data Missing ⚠",VLOOKUP(V40,'G-7 Rivers Data'!$AG$4:$AI$9,2,FALSE)))</f>
        <v/>
      </c>
      <c r="X40" s="524" t="str">
        <f>IF(V40="","",IF(VLOOKUP(V40,'G-7 Rivers Data'!$AG$4:$AI$9,3,FALSE)=0,"Spatial Data Missing ⚠",VLOOKUP(V40,'G-7 Rivers Data'!$AG$4:$AI$9,3,FALSE)))</f>
        <v/>
      </c>
      <c r="Y40" s="537" t="str">
        <f>IFERROR(IF(OR(LEFT(P40,5)="Error ▲",LEFT(O40,5)="Error ▲"),"Check Data ⚠",IF(F40&lt;S40,'G-7 Rivers Data'!$R$3,INDEX('G-7 Rivers Data'!$U$5:$Y$9,MATCH(G40,'G-7 Rivers Data'!$T$5:$T$9,0),MATCH(T40,'G-7 Rivers Data'!$U$4:$Y$4,0)))),"")</f>
        <v/>
      </c>
      <c r="Z40" s="203"/>
      <c r="AA40" s="203"/>
      <c r="AB40" s="534" t="str">
        <f t="shared" si="1"/>
        <v/>
      </c>
      <c r="AC40" s="521" t="str">
        <f t="shared" si="2"/>
        <v/>
      </c>
      <c r="AD40" s="564" t="str">
        <f>IFERROR(IF(AC40="Check Data ⚠","Check Data ⚠",VLOOKUP(AC40,'G-4 Temporal multipliers'!$A$4:$C$37,3,FALSE)),"")</f>
        <v/>
      </c>
      <c r="AE40" s="537" t="str">
        <f>IF(N40="","",VLOOKUP(N40,'G-7 Rivers Data'!$B$4:$G$8,5,FALSE))</f>
        <v/>
      </c>
      <c r="AF40" s="520" t="str">
        <f t="shared" si="3"/>
        <v/>
      </c>
      <c r="AG40" s="520" t="str">
        <f t="shared" si="6"/>
        <v/>
      </c>
      <c r="AH40" s="524" t="str">
        <f t="shared" si="4"/>
        <v/>
      </c>
      <c r="AI40" s="145"/>
      <c r="AJ40" s="499" t="str">
        <f>IF(AI40="","",IF(VLOOKUP(AI40,'G-7 Rivers Data'!$AA$4:$AB$7,2,FALSE)=0,"Spatial Data Missing ⚠",VLOOKUP(AI40,'G-7 Rivers Data'!$AA$4:$AB$7,2,FALSE)))</f>
        <v/>
      </c>
      <c r="AK40" s="155"/>
      <c r="AL40" s="536" t="str">
        <f>IF(AK40="","",IF(VLOOKUP(AK40,'G-7 Rivers Data'!$AD$4:$AE$8,2,FALSE)=0,"Spatial Data Missing ⚠",VLOOKUP(AK40,'G-7 Rivers Data'!$AD$4:$AE$8,2,FALSE)))</f>
        <v/>
      </c>
      <c r="AM40" s="154"/>
      <c r="AN40" s="524" t="str">
        <f>IF(AM40="","",VLOOKUP(AM40,'G-7 Rivers Data'!$AO$4:$AP$7,2,FALSE))</f>
        <v/>
      </c>
      <c r="AO40" s="545" t="str">
        <f t="shared" si="7"/>
        <v/>
      </c>
      <c r="AP40" s="149"/>
      <c r="AQ40" s="150"/>
      <c r="AX40" s="31" t="str">
        <f>IFERROR(INDEX('G-7 Rivers Data'!$AZ$3:$AZ$7,MATCH(N40,'G-7 Rivers Data'!$AY$3:$AY$7,0)),"")</f>
        <v/>
      </c>
    </row>
    <row r="41" spans="2:50" ht="14" x14ac:dyDescent="0.3">
      <c r="B41" s="531" t="str">
        <f>'F-1 Off Site River Baseline'!AN39</f>
        <v/>
      </c>
      <c r="C41" s="520" t="str">
        <f>IF(B41="","",VLOOKUP($B41,'F-1 Off Site River Baseline'!$C$9:$R$257,2,FALSE))</f>
        <v/>
      </c>
      <c r="D41" s="520" t="str">
        <f>IF(C41="","",VLOOKUP($B41,'F-1 Off Site River Baseline'!$C$9:$R$257,3,FALSE))</f>
        <v/>
      </c>
      <c r="E41" s="520" t="str">
        <f>IF(D41="","",VLOOKUP($B41,'F-1 Off Site River Baseline'!$C$9:$R$257,4,FALSE))</f>
        <v/>
      </c>
      <c r="F41" s="520" t="str">
        <f>IF(E41="","",VLOOKUP($B41,'F-1 Off Site River Baseline'!$C$9:$R$257,5,FALSE))</f>
        <v/>
      </c>
      <c r="G41" s="520" t="str">
        <f>IF(F41="","",VLOOKUP($B41,'F-1 Off Site River Baseline'!$C$9:$R$257,6,FALSE))</f>
        <v/>
      </c>
      <c r="H41" s="520" t="str">
        <f>IF(G41="","",VLOOKUP($B41,'F-1 Off Site River Baseline'!$C$9:$R$257,7,FALSE))</f>
        <v/>
      </c>
      <c r="I41" s="520" t="str">
        <f>IF(H41="","",VLOOKUP($B41,'F-1 Off Site River Baseline'!$C$9:$R$257,8,FALSE))</f>
        <v/>
      </c>
      <c r="J41" s="520" t="str">
        <f>IF(I41="","",VLOOKUP($B41,'F-1 Off Site River Baseline'!$C$9:$R$257,9,FALSE))</f>
        <v/>
      </c>
      <c r="K41" s="520" t="str">
        <f>IF(J41="","",VLOOKUP($B41,'F-1 Off Site River Baseline'!$C$9:$R$257,10,FALSE))</f>
        <v/>
      </c>
      <c r="L41" s="520" t="str">
        <f>IF(B41="","",VLOOKUP($B41,'C-1 Site River Baseline'!$C$9:$R$257,15,FALSE))</f>
        <v/>
      </c>
      <c r="M41" s="524" t="str">
        <f>IF(L41="","",VLOOKUP($B41,'F-1 Off Site River Baseline'!$C$9:$R$257,16,FALSE))</f>
        <v/>
      </c>
      <c r="N41" s="418" t="str">
        <f t="shared" si="0"/>
        <v/>
      </c>
      <c r="O41" s="498" t="str">
        <f t="shared" si="5"/>
        <v/>
      </c>
      <c r="P41" s="499" t="str">
        <f>IF(C41="","",IF(AND(LEFT(C41,55)&lt;&gt;LEFT(N41,55),O41="High - High"),"Error - Not like for like ▲",IF(AND(F41=S41,H41&gt;U41),"Error - Can not reduce condition ▲",IF(AND(F41=S41,H41=U41,AJ41='F-1 Off Site River Baseline'!N39,'F-1 Off Site River Baseline'!P39=AL41),"Error - No enhancement ▲",IF(AND(C41&lt;&gt;N41,F41&lt;S41),"Lower Distinctiveness Habitat"&amp;" - "&amp;T41,G41&amp;" - "&amp;T41)))))</f>
        <v/>
      </c>
      <c r="Q41" s="505" t="str">
        <f>IF(N41="","",VLOOKUP(B41,'F-1 Off Site River Baseline'!$C$10:$AA$257,19,FALSE))</f>
        <v/>
      </c>
      <c r="R41" s="498" t="str">
        <f>IF(N41="","",VLOOKUP(N41,'G-7 Rivers Data'!$B$2:$G$8,2,FALSE))</f>
        <v/>
      </c>
      <c r="S41" s="499" t="str">
        <f>IFERROR(VLOOKUP(R41,'G-7 Rivers Data'!$C$4:$D$8,2,FALSE),"")</f>
        <v/>
      </c>
      <c r="T41" s="145"/>
      <c r="U41" s="499" t="str">
        <f>IFERROR(INDEX('G-7 Rivers Data'!$H$4:$L$8,MATCH(N41,'G-7 Rivers Data'!$B$4:$B$8,0),MATCH(T41,'G-7 Rivers Data'!$H$3:$L$3,0)),"")</f>
        <v/>
      </c>
      <c r="V41" s="154"/>
      <c r="W41" s="520" t="str">
        <f>IF(V41="","",IF(VLOOKUP(V41,'G-7 Rivers Data'!$AG$4:$AI$9,2,FALSE)=0,"Spatial Data Missing ⚠",VLOOKUP(V41,'G-7 Rivers Data'!$AG$4:$AI$9,2,FALSE)))</f>
        <v/>
      </c>
      <c r="X41" s="524" t="str">
        <f>IF(V41="","",IF(VLOOKUP(V41,'G-7 Rivers Data'!$AG$4:$AI$9,3,FALSE)=0,"Spatial Data Missing ⚠",VLOOKUP(V41,'G-7 Rivers Data'!$AG$4:$AI$9,3,FALSE)))</f>
        <v/>
      </c>
      <c r="Y41" s="537" t="str">
        <f>IFERROR(IF(OR(LEFT(P41,5)="Error ▲",LEFT(O41,5)="Error ▲"),"Check Data ⚠",IF(F41&lt;S41,'G-7 Rivers Data'!$R$3,INDEX('G-7 Rivers Data'!$U$5:$Y$9,MATCH(G41,'G-7 Rivers Data'!$T$5:$T$9,0),MATCH(T41,'G-7 Rivers Data'!$U$4:$Y$4,0)))),"")</f>
        <v/>
      </c>
      <c r="Z41" s="203"/>
      <c r="AA41" s="203"/>
      <c r="AB41" s="534" t="str">
        <f t="shared" si="1"/>
        <v/>
      </c>
      <c r="AC41" s="521" t="str">
        <f t="shared" si="2"/>
        <v/>
      </c>
      <c r="AD41" s="564" t="str">
        <f>IFERROR(IF(AC41="Check Data ⚠","Check Data ⚠",VLOOKUP(AC41,'G-4 Temporal multipliers'!$A$4:$C$37,3,FALSE)),"")</f>
        <v/>
      </c>
      <c r="AE41" s="537" t="str">
        <f>IF(N41="","",VLOOKUP(N41,'G-7 Rivers Data'!$B$4:$G$8,5,FALSE))</f>
        <v/>
      </c>
      <c r="AF41" s="520" t="str">
        <f t="shared" si="3"/>
        <v/>
      </c>
      <c r="AG41" s="520" t="str">
        <f t="shared" si="6"/>
        <v/>
      </c>
      <c r="AH41" s="524" t="str">
        <f t="shared" si="4"/>
        <v/>
      </c>
      <c r="AI41" s="145"/>
      <c r="AJ41" s="499" t="str">
        <f>IF(AI41="","",IF(VLOOKUP(AI41,'G-7 Rivers Data'!$AA$4:$AB$7,2,FALSE)=0,"Spatial Data Missing ⚠",VLOOKUP(AI41,'G-7 Rivers Data'!$AA$4:$AB$7,2,FALSE)))</f>
        <v/>
      </c>
      <c r="AK41" s="155"/>
      <c r="AL41" s="536" t="str">
        <f>IF(AK41="","",IF(VLOOKUP(AK41,'G-7 Rivers Data'!$AD$4:$AE$8,2,FALSE)=0,"Spatial Data Missing ⚠",VLOOKUP(AK41,'G-7 Rivers Data'!$AD$4:$AE$8,2,FALSE)))</f>
        <v/>
      </c>
      <c r="AM41" s="154"/>
      <c r="AN41" s="524" t="str">
        <f>IF(AM41="","",VLOOKUP(AM41,'G-7 Rivers Data'!$AO$4:$AP$7,2,FALSE))</f>
        <v/>
      </c>
      <c r="AO41" s="545" t="str">
        <f t="shared" si="7"/>
        <v/>
      </c>
      <c r="AP41" s="149"/>
      <c r="AQ41" s="150"/>
      <c r="AX41" s="31" t="str">
        <f>IFERROR(INDEX('G-7 Rivers Data'!$AZ$3:$AZ$7,MATCH(N41,'G-7 Rivers Data'!$AY$3:$AY$7,0)),"")</f>
        <v/>
      </c>
    </row>
    <row r="42" spans="2:50" ht="14" x14ac:dyDescent="0.3">
      <c r="B42" s="531" t="str">
        <f>'F-1 Off Site River Baseline'!AN40</f>
        <v/>
      </c>
      <c r="C42" s="520" t="str">
        <f>IF(B42="","",VLOOKUP($B42,'F-1 Off Site River Baseline'!$C$9:$R$257,2,FALSE))</f>
        <v/>
      </c>
      <c r="D42" s="520" t="str">
        <f>IF(C42="","",VLOOKUP($B42,'F-1 Off Site River Baseline'!$C$9:$R$257,3,FALSE))</f>
        <v/>
      </c>
      <c r="E42" s="520" t="str">
        <f>IF(D42="","",VLOOKUP($B42,'F-1 Off Site River Baseline'!$C$9:$R$257,4,FALSE))</f>
        <v/>
      </c>
      <c r="F42" s="520" t="str">
        <f>IF(E42="","",VLOOKUP($B42,'F-1 Off Site River Baseline'!$C$9:$R$257,5,FALSE))</f>
        <v/>
      </c>
      <c r="G42" s="520" t="str">
        <f>IF(F42="","",VLOOKUP($B42,'F-1 Off Site River Baseline'!$C$9:$R$257,6,FALSE))</f>
        <v/>
      </c>
      <c r="H42" s="520" t="str">
        <f>IF(G42="","",VLOOKUP($B42,'F-1 Off Site River Baseline'!$C$9:$R$257,7,FALSE))</f>
        <v/>
      </c>
      <c r="I42" s="520" t="str">
        <f>IF(H42="","",VLOOKUP($B42,'F-1 Off Site River Baseline'!$C$9:$R$257,8,FALSE))</f>
        <v/>
      </c>
      <c r="J42" s="520" t="str">
        <f>IF(I42="","",VLOOKUP($B42,'F-1 Off Site River Baseline'!$C$9:$R$257,9,FALSE))</f>
        <v/>
      </c>
      <c r="K42" s="520" t="str">
        <f>IF(J42="","",VLOOKUP($B42,'F-1 Off Site River Baseline'!$C$9:$R$257,10,FALSE))</f>
        <v/>
      </c>
      <c r="L42" s="520" t="str">
        <f>IF(B42="","",VLOOKUP($B42,'C-1 Site River Baseline'!$C$9:$R$257,15,FALSE))</f>
        <v/>
      </c>
      <c r="M42" s="524" t="str">
        <f>IF(L42="","",VLOOKUP($B42,'F-1 Off Site River Baseline'!$C$9:$R$257,16,FALSE))</f>
        <v/>
      </c>
      <c r="N42" s="418" t="str">
        <f t="shared" si="0"/>
        <v/>
      </c>
      <c r="O42" s="498" t="str">
        <f t="shared" si="5"/>
        <v/>
      </c>
      <c r="P42" s="499" t="str">
        <f>IF(C42="","",IF(AND(LEFT(C42,55)&lt;&gt;LEFT(N42,55),O42="High - High"),"Error - Not like for like ▲",IF(AND(F42=S42,H42&gt;U42),"Error - Can not reduce condition ▲",IF(AND(F42=S42,H42=U42,AJ42='F-1 Off Site River Baseline'!N40,'F-1 Off Site River Baseline'!P40=AL42),"Error - No enhancement ▲",IF(AND(C42&lt;&gt;N42,F42&lt;S42),"Lower Distinctiveness Habitat"&amp;" - "&amp;T42,G42&amp;" - "&amp;T42)))))</f>
        <v/>
      </c>
      <c r="Q42" s="505" t="str">
        <f>IF(N42="","",VLOOKUP(B42,'F-1 Off Site River Baseline'!$C$10:$AA$257,19,FALSE))</f>
        <v/>
      </c>
      <c r="R42" s="498" t="str">
        <f>IF(N42="","",VLOOKUP(N42,'G-7 Rivers Data'!$B$2:$G$8,2,FALSE))</f>
        <v/>
      </c>
      <c r="S42" s="499" t="str">
        <f>IFERROR(VLOOKUP(R42,'G-7 Rivers Data'!$C$4:$D$8,2,FALSE),"")</f>
        <v/>
      </c>
      <c r="T42" s="145"/>
      <c r="U42" s="499" t="str">
        <f>IFERROR(INDEX('G-7 Rivers Data'!$H$4:$L$8,MATCH(N42,'G-7 Rivers Data'!$B$4:$B$8,0),MATCH(T42,'G-7 Rivers Data'!$H$3:$L$3,0)),"")</f>
        <v/>
      </c>
      <c r="V42" s="154"/>
      <c r="W42" s="520" t="str">
        <f>IF(V42="","",IF(VLOOKUP(V42,'G-7 Rivers Data'!$AG$4:$AI$9,2,FALSE)=0,"Spatial Data Missing ⚠",VLOOKUP(V42,'G-7 Rivers Data'!$AG$4:$AI$9,2,FALSE)))</f>
        <v/>
      </c>
      <c r="X42" s="524" t="str">
        <f>IF(V42="","",IF(VLOOKUP(V42,'G-7 Rivers Data'!$AG$4:$AI$9,3,FALSE)=0,"Spatial Data Missing ⚠",VLOOKUP(V42,'G-7 Rivers Data'!$AG$4:$AI$9,3,FALSE)))</f>
        <v/>
      </c>
      <c r="Y42" s="537" t="str">
        <f>IFERROR(IF(OR(LEFT(P42,5)="Error ▲",LEFT(O42,5)="Error ▲"),"Check Data ⚠",IF(F42&lt;S42,'G-7 Rivers Data'!$R$3,INDEX('G-7 Rivers Data'!$U$5:$Y$9,MATCH(G42,'G-7 Rivers Data'!$T$5:$T$9,0),MATCH(T42,'G-7 Rivers Data'!$U$4:$Y$4,0)))),"")</f>
        <v/>
      </c>
      <c r="Z42" s="203"/>
      <c r="AA42" s="203"/>
      <c r="AB42" s="534" t="str">
        <f t="shared" si="1"/>
        <v/>
      </c>
      <c r="AC42" s="521" t="str">
        <f t="shared" si="2"/>
        <v/>
      </c>
      <c r="AD42" s="564" t="str">
        <f>IFERROR(IF(AC42="Check Data ⚠","Check Data ⚠",VLOOKUP(AC42,'G-4 Temporal multipliers'!$A$4:$C$37,3,FALSE)),"")</f>
        <v/>
      </c>
      <c r="AE42" s="537" t="str">
        <f>IF(N42="","",VLOOKUP(N42,'G-7 Rivers Data'!$B$4:$G$8,5,FALSE))</f>
        <v/>
      </c>
      <c r="AF42" s="520" t="str">
        <f t="shared" si="3"/>
        <v/>
      </c>
      <c r="AG42" s="520" t="str">
        <f t="shared" si="6"/>
        <v/>
      </c>
      <c r="AH42" s="524" t="str">
        <f t="shared" si="4"/>
        <v/>
      </c>
      <c r="AI42" s="145"/>
      <c r="AJ42" s="499" t="str">
        <f>IF(AI42="","",IF(VLOOKUP(AI42,'G-7 Rivers Data'!$AA$4:$AB$7,2,FALSE)=0,"Spatial Data Missing ⚠",VLOOKUP(AI42,'G-7 Rivers Data'!$AA$4:$AB$7,2,FALSE)))</f>
        <v/>
      </c>
      <c r="AK42" s="155"/>
      <c r="AL42" s="536" t="str">
        <f>IF(AK42="","",IF(VLOOKUP(AK42,'G-7 Rivers Data'!$AD$4:$AE$8,2,FALSE)=0,"Spatial Data Missing ⚠",VLOOKUP(AK42,'G-7 Rivers Data'!$AD$4:$AE$8,2,FALSE)))</f>
        <v/>
      </c>
      <c r="AM42" s="154"/>
      <c r="AN42" s="524" t="str">
        <f>IF(AM42="","",VLOOKUP(AM42,'G-7 Rivers Data'!$AO$4:$AP$7,2,FALSE))</f>
        <v/>
      </c>
      <c r="AO42" s="545" t="str">
        <f t="shared" si="7"/>
        <v/>
      </c>
      <c r="AP42" s="149"/>
      <c r="AQ42" s="150"/>
      <c r="AX42" s="31" t="str">
        <f>IFERROR(INDEX('G-7 Rivers Data'!$AZ$3:$AZ$7,MATCH(N42,'G-7 Rivers Data'!$AY$3:$AY$7,0)),"")</f>
        <v/>
      </c>
    </row>
    <row r="43" spans="2:50" ht="14" x14ac:dyDescent="0.3">
      <c r="B43" s="531" t="str">
        <f>'F-1 Off Site River Baseline'!AN41</f>
        <v/>
      </c>
      <c r="C43" s="520" t="str">
        <f>IF(B43="","",VLOOKUP($B43,'F-1 Off Site River Baseline'!$C$9:$R$257,2,FALSE))</f>
        <v/>
      </c>
      <c r="D43" s="520" t="str">
        <f>IF(C43="","",VLOOKUP($B43,'F-1 Off Site River Baseline'!$C$9:$R$257,3,FALSE))</f>
        <v/>
      </c>
      <c r="E43" s="520" t="str">
        <f>IF(D43="","",VLOOKUP($B43,'F-1 Off Site River Baseline'!$C$9:$R$257,4,FALSE))</f>
        <v/>
      </c>
      <c r="F43" s="520" t="str">
        <f>IF(E43="","",VLOOKUP($B43,'F-1 Off Site River Baseline'!$C$9:$R$257,5,FALSE))</f>
        <v/>
      </c>
      <c r="G43" s="520" t="str">
        <f>IF(F43="","",VLOOKUP($B43,'F-1 Off Site River Baseline'!$C$9:$R$257,6,FALSE))</f>
        <v/>
      </c>
      <c r="H43" s="520" t="str">
        <f>IF(G43="","",VLOOKUP($B43,'F-1 Off Site River Baseline'!$C$9:$R$257,7,FALSE))</f>
        <v/>
      </c>
      <c r="I43" s="520" t="str">
        <f>IF(H43="","",VLOOKUP($B43,'F-1 Off Site River Baseline'!$C$9:$R$257,8,FALSE))</f>
        <v/>
      </c>
      <c r="J43" s="520" t="str">
        <f>IF(I43="","",VLOOKUP($B43,'F-1 Off Site River Baseline'!$C$9:$R$257,9,FALSE))</f>
        <v/>
      </c>
      <c r="K43" s="520" t="str">
        <f>IF(J43="","",VLOOKUP($B43,'F-1 Off Site River Baseline'!$C$9:$R$257,10,FALSE))</f>
        <v/>
      </c>
      <c r="L43" s="520" t="str">
        <f>IF(B43="","",VLOOKUP($B43,'C-1 Site River Baseline'!$C$9:$R$257,15,FALSE))</f>
        <v/>
      </c>
      <c r="M43" s="524" t="str">
        <f>IF(L43="","",VLOOKUP($B43,'F-1 Off Site River Baseline'!$C$9:$R$257,16,FALSE))</f>
        <v/>
      </c>
      <c r="N43" s="418" t="str">
        <f t="shared" si="0"/>
        <v/>
      </c>
      <c r="O43" s="498" t="str">
        <f t="shared" si="5"/>
        <v/>
      </c>
      <c r="P43" s="499" t="str">
        <f>IF(C43="","",IF(AND(LEFT(C43,55)&lt;&gt;LEFT(N43,55),O43="High - High"),"Error - Not like for like ▲",IF(AND(F43=S43,H43&gt;U43),"Error - Can not reduce condition ▲",IF(AND(F43=S43,H43=U43,AJ43='F-1 Off Site River Baseline'!N41,'F-1 Off Site River Baseline'!P41=AL43),"Error - No enhancement ▲",IF(AND(C43&lt;&gt;N43,F43&lt;S43),"Lower Distinctiveness Habitat"&amp;" - "&amp;T43,G43&amp;" - "&amp;T43)))))</f>
        <v/>
      </c>
      <c r="Q43" s="505" t="str">
        <f>IF(N43="","",VLOOKUP(B43,'F-1 Off Site River Baseline'!$C$10:$AA$257,19,FALSE))</f>
        <v/>
      </c>
      <c r="R43" s="498" t="str">
        <f>IF(N43="","",VLOOKUP(N43,'G-7 Rivers Data'!$B$2:$G$8,2,FALSE))</f>
        <v/>
      </c>
      <c r="S43" s="499" t="str">
        <f>IFERROR(VLOOKUP(R43,'G-7 Rivers Data'!$C$4:$D$8,2,FALSE),"")</f>
        <v/>
      </c>
      <c r="T43" s="145"/>
      <c r="U43" s="499" t="str">
        <f>IFERROR(INDEX('G-7 Rivers Data'!$H$4:$L$8,MATCH(N43,'G-7 Rivers Data'!$B$4:$B$8,0),MATCH(T43,'G-7 Rivers Data'!$H$3:$L$3,0)),"")</f>
        <v/>
      </c>
      <c r="V43" s="154"/>
      <c r="W43" s="520" t="str">
        <f>IF(V43="","",IF(VLOOKUP(V43,'G-7 Rivers Data'!$AG$4:$AI$9,2,FALSE)=0,"Spatial Data Missing ⚠",VLOOKUP(V43,'G-7 Rivers Data'!$AG$4:$AI$9,2,FALSE)))</f>
        <v/>
      </c>
      <c r="X43" s="524" t="str">
        <f>IF(V43="","",IF(VLOOKUP(V43,'G-7 Rivers Data'!$AG$4:$AI$9,3,FALSE)=0,"Spatial Data Missing ⚠",VLOOKUP(V43,'G-7 Rivers Data'!$AG$4:$AI$9,3,FALSE)))</f>
        <v/>
      </c>
      <c r="Y43" s="537" t="str">
        <f>IFERROR(IF(OR(LEFT(P43,5)="Error ▲",LEFT(O43,5)="Error ▲"),"Check Data ⚠",IF(F43&lt;S43,'G-7 Rivers Data'!$R$3,INDEX('G-7 Rivers Data'!$U$5:$Y$9,MATCH(G43,'G-7 Rivers Data'!$T$5:$T$9,0),MATCH(T43,'G-7 Rivers Data'!$U$4:$Y$4,0)))),"")</f>
        <v/>
      </c>
      <c r="Z43" s="203"/>
      <c r="AA43" s="203"/>
      <c r="AB43" s="534" t="str">
        <f t="shared" si="1"/>
        <v/>
      </c>
      <c r="AC43" s="521" t="str">
        <f t="shared" si="2"/>
        <v/>
      </c>
      <c r="AD43" s="564" t="str">
        <f>IFERROR(IF(AC43="Check Data ⚠","Check Data ⚠",VLOOKUP(AC43,'G-4 Temporal multipliers'!$A$4:$C$37,3,FALSE)),"")</f>
        <v/>
      </c>
      <c r="AE43" s="537" t="str">
        <f>IF(N43="","",VLOOKUP(N43,'G-7 Rivers Data'!$B$4:$G$8,5,FALSE))</f>
        <v/>
      </c>
      <c r="AF43" s="520" t="str">
        <f t="shared" si="3"/>
        <v/>
      </c>
      <c r="AG43" s="520" t="str">
        <f t="shared" si="6"/>
        <v/>
      </c>
      <c r="AH43" s="524" t="str">
        <f t="shared" si="4"/>
        <v/>
      </c>
      <c r="AI43" s="145"/>
      <c r="AJ43" s="499" t="str">
        <f>IF(AI43="","",IF(VLOOKUP(AI43,'G-7 Rivers Data'!$AA$4:$AB$7,2,FALSE)=0,"Spatial Data Missing ⚠",VLOOKUP(AI43,'G-7 Rivers Data'!$AA$4:$AB$7,2,FALSE)))</f>
        <v/>
      </c>
      <c r="AK43" s="155"/>
      <c r="AL43" s="536" t="str">
        <f>IF(AK43="","",IF(VLOOKUP(AK43,'G-7 Rivers Data'!$AD$4:$AE$8,2,FALSE)=0,"Spatial Data Missing ⚠",VLOOKUP(AK43,'G-7 Rivers Data'!$AD$4:$AE$8,2,FALSE)))</f>
        <v/>
      </c>
      <c r="AM43" s="154"/>
      <c r="AN43" s="524" t="str">
        <f>IF(AM43="","",VLOOKUP(AM43,'G-7 Rivers Data'!$AO$4:$AP$7,2,FALSE))</f>
        <v/>
      </c>
      <c r="AO43" s="545" t="str">
        <f t="shared" si="7"/>
        <v/>
      </c>
      <c r="AP43" s="149"/>
      <c r="AQ43" s="150"/>
      <c r="AX43" s="31" t="str">
        <f>IFERROR(INDEX('G-7 Rivers Data'!$AZ$3:$AZ$7,MATCH(N43,'G-7 Rivers Data'!$AY$3:$AY$7,0)),"")</f>
        <v/>
      </c>
    </row>
    <row r="44" spans="2:50" ht="14" x14ac:dyDescent="0.3">
      <c r="B44" s="531" t="str">
        <f>'F-1 Off Site River Baseline'!AN42</f>
        <v/>
      </c>
      <c r="C44" s="520" t="str">
        <f>IF(B44="","",VLOOKUP($B44,'F-1 Off Site River Baseline'!$C$9:$R$257,2,FALSE))</f>
        <v/>
      </c>
      <c r="D44" s="520" t="str">
        <f>IF(C44="","",VLOOKUP($B44,'F-1 Off Site River Baseline'!$C$9:$R$257,3,FALSE))</f>
        <v/>
      </c>
      <c r="E44" s="520" t="str">
        <f>IF(D44="","",VLOOKUP($B44,'F-1 Off Site River Baseline'!$C$9:$R$257,4,FALSE))</f>
        <v/>
      </c>
      <c r="F44" s="520" t="str">
        <f>IF(E44="","",VLOOKUP($B44,'F-1 Off Site River Baseline'!$C$9:$R$257,5,FALSE))</f>
        <v/>
      </c>
      <c r="G44" s="520" t="str">
        <f>IF(F44="","",VLOOKUP($B44,'F-1 Off Site River Baseline'!$C$9:$R$257,6,FALSE))</f>
        <v/>
      </c>
      <c r="H44" s="520" t="str">
        <f>IF(G44="","",VLOOKUP($B44,'F-1 Off Site River Baseline'!$C$9:$R$257,7,FALSE))</f>
        <v/>
      </c>
      <c r="I44" s="520" t="str">
        <f>IF(H44="","",VLOOKUP($B44,'F-1 Off Site River Baseline'!$C$9:$R$257,8,FALSE))</f>
        <v/>
      </c>
      <c r="J44" s="520" t="str">
        <f>IF(I44="","",VLOOKUP($B44,'F-1 Off Site River Baseline'!$C$9:$R$257,9,FALSE))</f>
        <v/>
      </c>
      <c r="K44" s="520" t="str">
        <f>IF(J44="","",VLOOKUP($B44,'F-1 Off Site River Baseline'!$C$9:$R$257,10,FALSE))</f>
        <v/>
      </c>
      <c r="L44" s="520" t="str">
        <f>IF(B44="","",VLOOKUP($B44,'C-1 Site River Baseline'!$C$9:$R$257,15,FALSE))</f>
        <v/>
      </c>
      <c r="M44" s="524" t="str">
        <f>IF(L44="","",VLOOKUP($B44,'F-1 Off Site River Baseline'!$C$9:$R$257,16,FALSE))</f>
        <v/>
      </c>
      <c r="N44" s="418" t="str">
        <f t="shared" si="0"/>
        <v/>
      </c>
      <c r="O44" s="498" t="str">
        <f t="shared" si="5"/>
        <v/>
      </c>
      <c r="P44" s="499" t="str">
        <f>IF(C44="","",IF(AND(LEFT(C44,55)&lt;&gt;LEFT(N44,55),O44="High - High"),"Error - Not like for like ▲",IF(AND(F44=S44,H44&gt;U44),"Error - Can not reduce condition ▲",IF(AND(F44=S44,H44=U44,AJ44='F-1 Off Site River Baseline'!N42,'F-1 Off Site River Baseline'!P42=AL44),"Error - No enhancement ▲",IF(AND(C44&lt;&gt;N44,F44&lt;S44),"Lower Distinctiveness Habitat"&amp;" - "&amp;T44,G44&amp;" - "&amp;T44)))))</f>
        <v/>
      </c>
      <c r="Q44" s="505" t="str">
        <f>IF(N44="","",VLOOKUP(B44,'F-1 Off Site River Baseline'!$C$10:$AA$257,19,FALSE))</f>
        <v/>
      </c>
      <c r="R44" s="498" t="str">
        <f>IF(N44="","",VLOOKUP(N44,'G-7 Rivers Data'!$B$2:$G$8,2,FALSE))</f>
        <v/>
      </c>
      <c r="S44" s="499" t="str">
        <f>IFERROR(VLOOKUP(R44,'G-7 Rivers Data'!$C$4:$D$8,2,FALSE),"")</f>
        <v/>
      </c>
      <c r="T44" s="145"/>
      <c r="U44" s="499" t="str">
        <f>IFERROR(INDEX('G-7 Rivers Data'!$H$4:$L$8,MATCH(N44,'G-7 Rivers Data'!$B$4:$B$8,0),MATCH(T44,'G-7 Rivers Data'!$H$3:$L$3,0)),"")</f>
        <v/>
      </c>
      <c r="V44" s="154"/>
      <c r="W44" s="520" t="str">
        <f>IF(V44="","",IF(VLOOKUP(V44,'G-7 Rivers Data'!$AG$4:$AI$9,2,FALSE)=0,"Spatial Data Missing ⚠",VLOOKUP(V44,'G-7 Rivers Data'!$AG$4:$AI$9,2,FALSE)))</f>
        <v/>
      </c>
      <c r="X44" s="524" t="str">
        <f>IF(V44="","",IF(VLOOKUP(V44,'G-7 Rivers Data'!$AG$4:$AI$9,3,FALSE)=0,"Spatial Data Missing ⚠",VLOOKUP(V44,'G-7 Rivers Data'!$AG$4:$AI$9,3,FALSE)))</f>
        <v/>
      </c>
      <c r="Y44" s="537" t="str">
        <f>IFERROR(IF(OR(LEFT(P44,5)="Error ▲",LEFT(O44,5)="Error ▲"),"Check Data ⚠",IF(F44&lt;S44,'G-7 Rivers Data'!$R$3,INDEX('G-7 Rivers Data'!$U$5:$Y$9,MATCH(G44,'G-7 Rivers Data'!$T$5:$T$9,0),MATCH(T44,'G-7 Rivers Data'!$U$4:$Y$4,0)))),"")</f>
        <v/>
      </c>
      <c r="Z44" s="203"/>
      <c r="AA44" s="203"/>
      <c r="AB44" s="534" t="str">
        <f t="shared" si="1"/>
        <v/>
      </c>
      <c r="AC44" s="521" t="str">
        <f t="shared" si="2"/>
        <v/>
      </c>
      <c r="AD44" s="564" t="str">
        <f>IFERROR(IF(AC44="Check Data ⚠","Check Data ⚠",VLOOKUP(AC44,'G-4 Temporal multipliers'!$A$4:$C$37,3,FALSE)),"")</f>
        <v/>
      </c>
      <c r="AE44" s="537" t="str">
        <f>IF(N44="","",VLOOKUP(N44,'G-7 Rivers Data'!$B$4:$G$8,5,FALSE))</f>
        <v/>
      </c>
      <c r="AF44" s="520" t="str">
        <f t="shared" si="3"/>
        <v/>
      </c>
      <c r="AG44" s="520" t="str">
        <f t="shared" si="6"/>
        <v/>
      </c>
      <c r="AH44" s="524" t="str">
        <f t="shared" si="4"/>
        <v/>
      </c>
      <c r="AI44" s="145"/>
      <c r="AJ44" s="499" t="str">
        <f>IF(AI44="","",IF(VLOOKUP(AI44,'G-7 Rivers Data'!$AA$4:$AB$7,2,FALSE)=0,"Spatial Data Missing ⚠",VLOOKUP(AI44,'G-7 Rivers Data'!$AA$4:$AB$7,2,FALSE)))</f>
        <v/>
      </c>
      <c r="AK44" s="155"/>
      <c r="AL44" s="536" t="str">
        <f>IF(AK44="","",IF(VLOOKUP(AK44,'G-7 Rivers Data'!$AD$4:$AE$8,2,FALSE)=0,"Spatial Data Missing ⚠",VLOOKUP(AK44,'G-7 Rivers Data'!$AD$4:$AE$8,2,FALSE)))</f>
        <v/>
      </c>
      <c r="AM44" s="154"/>
      <c r="AN44" s="524" t="str">
        <f>IF(AM44="","",VLOOKUP(AM44,'G-7 Rivers Data'!$AO$4:$AP$7,2,FALSE))</f>
        <v/>
      </c>
      <c r="AO44" s="545" t="str">
        <f t="shared" si="7"/>
        <v/>
      </c>
      <c r="AP44" s="149"/>
      <c r="AQ44" s="150"/>
      <c r="AX44" s="31" t="str">
        <f>IFERROR(INDEX('G-7 Rivers Data'!$AZ$3:$AZ$7,MATCH(N44,'G-7 Rivers Data'!$AY$3:$AY$7,0)),"")</f>
        <v/>
      </c>
    </row>
    <row r="45" spans="2:50" ht="14" x14ac:dyDescent="0.3">
      <c r="B45" s="531" t="str">
        <f>'F-1 Off Site River Baseline'!AN43</f>
        <v/>
      </c>
      <c r="C45" s="520" t="str">
        <f>IF(B45="","",VLOOKUP($B45,'F-1 Off Site River Baseline'!$C$9:$R$257,2,FALSE))</f>
        <v/>
      </c>
      <c r="D45" s="520" t="str">
        <f>IF(C45="","",VLOOKUP($B45,'F-1 Off Site River Baseline'!$C$9:$R$257,3,FALSE))</f>
        <v/>
      </c>
      <c r="E45" s="520" t="str">
        <f>IF(D45="","",VLOOKUP($B45,'F-1 Off Site River Baseline'!$C$9:$R$257,4,FALSE))</f>
        <v/>
      </c>
      <c r="F45" s="520" t="str">
        <f>IF(E45="","",VLOOKUP($B45,'F-1 Off Site River Baseline'!$C$9:$R$257,5,FALSE))</f>
        <v/>
      </c>
      <c r="G45" s="520" t="str">
        <f>IF(F45="","",VLOOKUP($B45,'F-1 Off Site River Baseline'!$C$9:$R$257,6,FALSE))</f>
        <v/>
      </c>
      <c r="H45" s="520" t="str">
        <f>IF(G45="","",VLOOKUP($B45,'F-1 Off Site River Baseline'!$C$9:$R$257,7,FALSE))</f>
        <v/>
      </c>
      <c r="I45" s="520" t="str">
        <f>IF(H45="","",VLOOKUP($B45,'F-1 Off Site River Baseline'!$C$9:$R$257,8,FALSE))</f>
        <v/>
      </c>
      <c r="J45" s="520" t="str">
        <f>IF(I45="","",VLOOKUP($B45,'F-1 Off Site River Baseline'!$C$9:$R$257,9,FALSE))</f>
        <v/>
      </c>
      <c r="K45" s="520" t="str">
        <f>IF(J45="","",VLOOKUP($B45,'F-1 Off Site River Baseline'!$C$9:$R$257,10,FALSE))</f>
        <v/>
      </c>
      <c r="L45" s="520" t="str">
        <f>IF(B45="","",VLOOKUP($B45,'C-1 Site River Baseline'!$C$9:$R$257,15,FALSE))</f>
        <v/>
      </c>
      <c r="M45" s="524" t="str">
        <f>IF(L45="","",VLOOKUP($B45,'F-1 Off Site River Baseline'!$C$9:$R$257,16,FALSE))</f>
        <v/>
      </c>
      <c r="N45" s="418" t="str">
        <f t="shared" si="0"/>
        <v/>
      </c>
      <c r="O45" s="498" t="str">
        <f t="shared" si="5"/>
        <v/>
      </c>
      <c r="P45" s="499" t="str">
        <f>IF(C45="","",IF(AND(LEFT(C45,55)&lt;&gt;LEFT(N45,55),O45="High - High"),"Error - Not like for like ▲",IF(AND(F45=S45,H45&gt;U45),"Error - Can not reduce condition ▲",IF(AND(F45=S45,H45=U45,AJ45='F-1 Off Site River Baseline'!N43,'F-1 Off Site River Baseline'!P43=AL45),"Error - No enhancement ▲",IF(AND(C45&lt;&gt;N45,F45&lt;S45),"Lower Distinctiveness Habitat"&amp;" - "&amp;T45,G45&amp;" - "&amp;T45)))))</f>
        <v/>
      </c>
      <c r="Q45" s="505" t="str">
        <f>IF(N45="","",VLOOKUP(B45,'F-1 Off Site River Baseline'!$C$10:$AA$257,19,FALSE))</f>
        <v/>
      </c>
      <c r="R45" s="498" t="str">
        <f>IF(N45="","",VLOOKUP(N45,'G-7 Rivers Data'!$B$2:$G$8,2,FALSE))</f>
        <v/>
      </c>
      <c r="S45" s="499" t="str">
        <f>IFERROR(VLOOKUP(R45,'G-7 Rivers Data'!$C$4:$D$8,2,FALSE),"")</f>
        <v/>
      </c>
      <c r="T45" s="145"/>
      <c r="U45" s="499" t="str">
        <f>IFERROR(INDEX('G-7 Rivers Data'!$H$4:$L$8,MATCH(N45,'G-7 Rivers Data'!$B$4:$B$8,0),MATCH(T45,'G-7 Rivers Data'!$H$3:$L$3,0)),"")</f>
        <v/>
      </c>
      <c r="V45" s="154"/>
      <c r="W45" s="520" t="str">
        <f>IF(V45="","",IF(VLOOKUP(V45,'G-7 Rivers Data'!$AG$4:$AI$9,2,FALSE)=0,"Spatial Data Missing ⚠",VLOOKUP(V45,'G-7 Rivers Data'!$AG$4:$AI$9,2,FALSE)))</f>
        <v/>
      </c>
      <c r="X45" s="524" t="str">
        <f>IF(V45="","",IF(VLOOKUP(V45,'G-7 Rivers Data'!$AG$4:$AI$9,3,FALSE)=0,"Spatial Data Missing ⚠",VLOOKUP(V45,'G-7 Rivers Data'!$AG$4:$AI$9,3,FALSE)))</f>
        <v/>
      </c>
      <c r="Y45" s="537" t="str">
        <f>IFERROR(IF(OR(LEFT(P45,5)="Error ▲",LEFT(O45,5)="Error ▲"),"Check Data ⚠",IF(F45&lt;S45,'G-7 Rivers Data'!$R$3,INDEX('G-7 Rivers Data'!$U$5:$Y$9,MATCH(G45,'G-7 Rivers Data'!$T$5:$T$9,0),MATCH(T45,'G-7 Rivers Data'!$U$4:$Y$4,0)))),"")</f>
        <v/>
      </c>
      <c r="Z45" s="203"/>
      <c r="AA45" s="203"/>
      <c r="AB45" s="534" t="str">
        <f t="shared" si="1"/>
        <v/>
      </c>
      <c r="AC45" s="521" t="str">
        <f t="shared" si="2"/>
        <v/>
      </c>
      <c r="AD45" s="564" t="str">
        <f>IFERROR(IF(AC45="Check Data ⚠","Check Data ⚠",VLOOKUP(AC45,'G-4 Temporal multipliers'!$A$4:$C$37,3,FALSE)),"")</f>
        <v/>
      </c>
      <c r="AE45" s="537" t="str">
        <f>IF(N45="","",VLOOKUP(N45,'G-7 Rivers Data'!$B$4:$G$8,5,FALSE))</f>
        <v/>
      </c>
      <c r="AF45" s="520" t="str">
        <f t="shared" si="3"/>
        <v/>
      </c>
      <c r="AG45" s="520" t="str">
        <f t="shared" si="6"/>
        <v/>
      </c>
      <c r="AH45" s="524" t="str">
        <f t="shared" si="4"/>
        <v/>
      </c>
      <c r="AI45" s="145"/>
      <c r="AJ45" s="499" t="str">
        <f>IF(AI45="","",IF(VLOOKUP(AI45,'G-7 Rivers Data'!$AA$4:$AB$7,2,FALSE)=0,"Spatial Data Missing ⚠",VLOOKUP(AI45,'G-7 Rivers Data'!$AA$4:$AB$7,2,FALSE)))</f>
        <v/>
      </c>
      <c r="AK45" s="155"/>
      <c r="AL45" s="536" t="str">
        <f>IF(AK45="","",IF(VLOOKUP(AK45,'G-7 Rivers Data'!$AD$4:$AE$8,2,FALSE)=0,"Spatial Data Missing ⚠",VLOOKUP(AK45,'G-7 Rivers Data'!$AD$4:$AE$8,2,FALSE)))</f>
        <v/>
      </c>
      <c r="AM45" s="154"/>
      <c r="AN45" s="524" t="str">
        <f>IF(AM45="","",VLOOKUP(AM45,'G-7 Rivers Data'!$AO$4:$AP$7,2,FALSE))</f>
        <v/>
      </c>
      <c r="AO45" s="545" t="str">
        <f t="shared" si="7"/>
        <v/>
      </c>
      <c r="AP45" s="149"/>
      <c r="AQ45" s="150"/>
      <c r="AX45" s="31" t="str">
        <f>IFERROR(INDEX('G-7 Rivers Data'!$AZ$3:$AZ$7,MATCH(N45,'G-7 Rivers Data'!$AY$3:$AY$7,0)),"")</f>
        <v/>
      </c>
    </row>
    <row r="46" spans="2:50" ht="14" x14ac:dyDescent="0.3">
      <c r="B46" s="531" t="str">
        <f>'F-1 Off Site River Baseline'!AN44</f>
        <v/>
      </c>
      <c r="C46" s="520" t="str">
        <f>IF(B46="","",VLOOKUP($B46,'F-1 Off Site River Baseline'!$C$9:$R$257,2,FALSE))</f>
        <v/>
      </c>
      <c r="D46" s="520" t="str">
        <f>IF(C46="","",VLOOKUP($B46,'F-1 Off Site River Baseline'!$C$9:$R$257,3,FALSE))</f>
        <v/>
      </c>
      <c r="E46" s="520" t="str">
        <f>IF(D46="","",VLOOKUP($B46,'F-1 Off Site River Baseline'!$C$9:$R$257,4,FALSE))</f>
        <v/>
      </c>
      <c r="F46" s="520" t="str">
        <f>IF(E46="","",VLOOKUP($B46,'F-1 Off Site River Baseline'!$C$9:$R$257,5,FALSE))</f>
        <v/>
      </c>
      <c r="G46" s="520" t="str">
        <f>IF(F46="","",VLOOKUP($B46,'F-1 Off Site River Baseline'!$C$9:$R$257,6,FALSE))</f>
        <v/>
      </c>
      <c r="H46" s="520" t="str">
        <f>IF(G46="","",VLOOKUP($B46,'F-1 Off Site River Baseline'!$C$9:$R$257,7,FALSE))</f>
        <v/>
      </c>
      <c r="I46" s="520" t="str">
        <f>IF(H46="","",VLOOKUP($B46,'F-1 Off Site River Baseline'!$C$9:$R$257,8,FALSE))</f>
        <v/>
      </c>
      <c r="J46" s="520" t="str">
        <f>IF(I46="","",VLOOKUP($B46,'F-1 Off Site River Baseline'!$C$9:$R$257,9,FALSE))</f>
        <v/>
      </c>
      <c r="K46" s="520" t="str">
        <f>IF(J46="","",VLOOKUP($B46,'F-1 Off Site River Baseline'!$C$9:$R$257,10,FALSE))</f>
        <v/>
      </c>
      <c r="L46" s="520" t="str">
        <f>IF(B46="","",VLOOKUP($B46,'C-1 Site River Baseline'!$C$9:$R$257,15,FALSE))</f>
        <v/>
      </c>
      <c r="M46" s="524" t="str">
        <f>IF(L46="","",VLOOKUP($B46,'F-1 Off Site River Baseline'!$C$9:$R$257,16,FALSE))</f>
        <v/>
      </c>
      <c r="N46" s="418" t="str">
        <f t="shared" si="0"/>
        <v/>
      </c>
      <c r="O46" s="498" t="str">
        <f t="shared" si="5"/>
        <v/>
      </c>
      <c r="P46" s="499" t="str">
        <f>IF(C46="","",IF(AND(LEFT(C46,55)&lt;&gt;LEFT(N46,55),O46="High - High"),"Error - Not like for like ▲",IF(AND(F46=S46,H46&gt;U46),"Error - Can not reduce condition ▲",IF(AND(F46=S46,H46=U46,AJ46='F-1 Off Site River Baseline'!N44,'F-1 Off Site River Baseline'!P44=AL46),"Error - No enhancement ▲",IF(AND(C46&lt;&gt;N46,F46&lt;S46),"Lower Distinctiveness Habitat"&amp;" - "&amp;T46,G46&amp;" - "&amp;T46)))))</f>
        <v/>
      </c>
      <c r="Q46" s="505" t="str">
        <f>IF(N46="","",VLOOKUP(B46,'F-1 Off Site River Baseline'!$C$10:$AA$257,19,FALSE))</f>
        <v/>
      </c>
      <c r="R46" s="498" t="str">
        <f>IF(N46="","",VLOOKUP(N46,'G-7 Rivers Data'!$B$2:$G$8,2,FALSE))</f>
        <v/>
      </c>
      <c r="S46" s="499" t="str">
        <f>IFERROR(VLOOKUP(R46,'G-7 Rivers Data'!$C$4:$D$8,2,FALSE),"")</f>
        <v/>
      </c>
      <c r="T46" s="145"/>
      <c r="U46" s="499" t="str">
        <f>IFERROR(INDEX('G-7 Rivers Data'!$H$4:$L$8,MATCH(N46,'G-7 Rivers Data'!$B$4:$B$8,0),MATCH(T46,'G-7 Rivers Data'!$H$3:$L$3,0)),"")</f>
        <v/>
      </c>
      <c r="V46" s="154"/>
      <c r="W46" s="520" t="str">
        <f>IF(V46="","",IF(VLOOKUP(V46,'G-7 Rivers Data'!$AG$4:$AI$9,2,FALSE)=0,"Spatial Data Missing ⚠",VLOOKUP(V46,'G-7 Rivers Data'!$AG$4:$AI$9,2,FALSE)))</f>
        <v/>
      </c>
      <c r="X46" s="524" t="str">
        <f>IF(V46="","",IF(VLOOKUP(V46,'G-7 Rivers Data'!$AG$4:$AI$9,3,FALSE)=0,"Spatial Data Missing ⚠",VLOOKUP(V46,'G-7 Rivers Data'!$AG$4:$AI$9,3,FALSE)))</f>
        <v/>
      </c>
      <c r="Y46" s="537" t="str">
        <f>IFERROR(IF(OR(LEFT(P46,5)="Error ▲",LEFT(O46,5)="Error ▲"),"Check Data ⚠",IF(F46&lt;S46,'G-7 Rivers Data'!$R$3,INDEX('G-7 Rivers Data'!$U$5:$Y$9,MATCH(G46,'G-7 Rivers Data'!$T$5:$T$9,0),MATCH(T46,'G-7 Rivers Data'!$U$4:$Y$4,0)))),"")</f>
        <v/>
      </c>
      <c r="Z46" s="203"/>
      <c r="AA46" s="203"/>
      <c r="AB46" s="534" t="str">
        <f t="shared" si="1"/>
        <v/>
      </c>
      <c r="AC46" s="521" t="str">
        <f t="shared" si="2"/>
        <v/>
      </c>
      <c r="AD46" s="564" t="str">
        <f>IFERROR(IF(AC46="Check Data ⚠","Check Data ⚠",VLOOKUP(AC46,'G-4 Temporal multipliers'!$A$4:$C$37,3,FALSE)),"")</f>
        <v/>
      </c>
      <c r="AE46" s="537" t="str">
        <f>IF(N46="","",VLOOKUP(N46,'G-7 Rivers Data'!$B$4:$G$8,5,FALSE))</f>
        <v/>
      </c>
      <c r="AF46" s="520" t="str">
        <f t="shared" si="3"/>
        <v/>
      </c>
      <c r="AG46" s="520" t="str">
        <f t="shared" si="6"/>
        <v/>
      </c>
      <c r="AH46" s="524" t="str">
        <f t="shared" si="4"/>
        <v/>
      </c>
      <c r="AI46" s="145"/>
      <c r="AJ46" s="499" t="str">
        <f>IF(AI46="","",IF(VLOOKUP(AI46,'G-7 Rivers Data'!$AA$4:$AB$7,2,FALSE)=0,"Spatial Data Missing ⚠",VLOOKUP(AI46,'G-7 Rivers Data'!$AA$4:$AB$7,2,FALSE)))</f>
        <v/>
      </c>
      <c r="AK46" s="155"/>
      <c r="AL46" s="536" t="str">
        <f>IF(AK46="","",IF(VLOOKUP(AK46,'G-7 Rivers Data'!$AD$4:$AE$8,2,FALSE)=0,"Spatial Data Missing ⚠",VLOOKUP(AK46,'G-7 Rivers Data'!$AD$4:$AE$8,2,FALSE)))</f>
        <v/>
      </c>
      <c r="AM46" s="154"/>
      <c r="AN46" s="524" t="str">
        <f>IF(AM46="","",VLOOKUP(AM46,'G-7 Rivers Data'!$AO$4:$AP$7,2,FALSE))</f>
        <v/>
      </c>
      <c r="AO46" s="545" t="str">
        <f t="shared" si="7"/>
        <v/>
      </c>
      <c r="AP46" s="149"/>
      <c r="AQ46" s="150"/>
      <c r="AX46" s="31" t="str">
        <f>IFERROR(INDEX('G-7 Rivers Data'!$AZ$3:$AZ$7,MATCH(N46,'G-7 Rivers Data'!$AY$3:$AY$7,0)),"")</f>
        <v/>
      </c>
    </row>
    <row r="47" spans="2:50" ht="14" x14ac:dyDescent="0.3">
      <c r="B47" s="531" t="str">
        <f>'F-1 Off Site River Baseline'!AN45</f>
        <v/>
      </c>
      <c r="C47" s="520" t="str">
        <f>IF(B47="","",VLOOKUP($B47,'F-1 Off Site River Baseline'!$C$9:$R$257,2,FALSE))</f>
        <v/>
      </c>
      <c r="D47" s="520" t="str">
        <f>IF(C47="","",VLOOKUP($B47,'F-1 Off Site River Baseline'!$C$9:$R$257,3,FALSE))</f>
        <v/>
      </c>
      <c r="E47" s="520" t="str">
        <f>IF(D47="","",VLOOKUP($B47,'F-1 Off Site River Baseline'!$C$9:$R$257,4,FALSE))</f>
        <v/>
      </c>
      <c r="F47" s="520" t="str">
        <f>IF(E47="","",VLOOKUP($B47,'F-1 Off Site River Baseline'!$C$9:$R$257,5,FALSE))</f>
        <v/>
      </c>
      <c r="G47" s="520" t="str">
        <f>IF(F47="","",VLOOKUP($B47,'F-1 Off Site River Baseline'!$C$9:$R$257,6,FALSE))</f>
        <v/>
      </c>
      <c r="H47" s="520" t="str">
        <f>IF(G47="","",VLOOKUP($B47,'F-1 Off Site River Baseline'!$C$9:$R$257,7,FALSE))</f>
        <v/>
      </c>
      <c r="I47" s="520" t="str">
        <f>IF(H47="","",VLOOKUP($B47,'F-1 Off Site River Baseline'!$C$9:$R$257,8,FALSE))</f>
        <v/>
      </c>
      <c r="J47" s="520" t="str">
        <f>IF(I47="","",VLOOKUP($B47,'F-1 Off Site River Baseline'!$C$9:$R$257,9,FALSE))</f>
        <v/>
      </c>
      <c r="K47" s="520" t="str">
        <f>IF(J47="","",VLOOKUP($B47,'F-1 Off Site River Baseline'!$C$9:$R$257,10,FALSE))</f>
        <v/>
      </c>
      <c r="L47" s="520" t="str">
        <f>IF(B47="","",VLOOKUP($B47,'C-1 Site River Baseline'!$C$9:$R$257,15,FALSE))</f>
        <v/>
      </c>
      <c r="M47" s="524" t="str">
        <f>IF(L47="","",VLOOKUP($B47,'F-1 Off Site River Baseline'!$C$9:$R$257,16,FALSE))</f>
        <v/>
      </c>
      <c r="N47" s="418" t="str">
        <f t="shared" si="0"/>
        <v/>
      </c>
      <c r="O47" s="498" t="str">
        <f t="shared" si="5"/>
        <v/>
      </c>
      <c r="P47" s="499" t="str">
        <f>IF(C47="","",IF(AND(LEFT(C47,55)&lt;&gt;LEFT(N47,55),O47="High - High"),"Error - Not like for like ▲",IF(AND(F47=S47,H47&gt;U47),"Error - Can not reduce condition ▲",IF(AND(F47=S47,H47=U47,AJ47='F-1 Off Site River Baseline'!N45,'F-1 Off Site River Baseline'!P45=AL47),"Error - No enhancement ▲",IF(AND(C47&lt;&gt;N47,F47&lt;S47),"Lower Distinctiveness Habitat"&amp;" - "&amp;T47,G47&amp;" - "&amp;T47)))))</f>
        <v/>
      </c>
      <c r="Q47" s="505" t="str">
        <f>IF(N47="","",VLOOKUP(B47,'F-1 Off Site River Baseline'!$C$10:$AA$257,19,FALSE))</f>
        <v/>
      </c>
      <c r="R47" s="498" t="str">
        <f>IF(N47="","",VLOOKUP(N47,'G-7 Rivers Data'!$B$2:$G$8,2,FALSE))</f>
        <v/>
      </c>
      <c r="S47" s="499" t="str">
        <f>IFERROR(VLOOKUP(R47,'G-7 Rivers Data'!$C$4:$D$8,2,FALSE),"")</f>
        <v/>
      </c>
      <c r="T47" s="145"/>
      <c r="U47" s="499" t="str">
        <f>IFERROR(INDEX('G-7 Rivers Data'!$H$4:$L$8,MATCH(N47,'G-7 Rivers Data'!$B$4:$B$8,0),MATCH(T47,'G-7 Rivers Data'!$H$3:$L$3,0)),"")</f>
        <v/>
      </c>
      <c r="V47" s="154"/>
      <c r="W47" s="520" t="str">
        <f>IF(V47="","",IF(VLOOKUP(V47,'G-7 Rivers Data'!$AG$4:$AI$9,2,FALSE)=0,"Spatial Data Missing ⚠",VLOOKUP(V47,'G-7 Rivers Data'!$AG$4:$AI$9,2,FALSE)))</f>
        <v/>
      </c>
      <c r="X47" s="524" t="str">
        <f>IF(V47="","",IF(VLOOKUP(V47,'G-7 Rivers Data'!$AG$4:$AI$9,3,FALSE)=0,"Spatial Data Missing ⚠",VLOOKUP(V47,'G-7 Rivers Data'!$AG$4:$AI$9,3,FALSE)))</f>
        <v/>
      </c>
      <c r="Y47" s="537" t="str">
        <f>IFERROR(IF(OR(LEFT(P47,5)="Error ▲",LEFT(O47,5)="Error ▲"),"Check Data ⚠",IF(F47&lt;S47,'G-7 Rivers Data'!$R$3,INDEX('G-7 Rivers Data'!$U$5:$Y$9,MATCH(G47,'G-7 Rivers Data'!$T$5:$T$9,0),MATCH(T47,'G-7 Rivers Data'!$U$4:$Y$4,0)))),"")</f>
        <v/>
      </c>
      <c r="Z47" s="203"/>
      <c r="AA47" s="203"/>
      <c r="AB47" s="534" t="str">
        <f t="shared" si="1"/>
        <v/>
      </c>
      <c r="AC47" s="521" t="str">
        <f t="shared" si="2"/>
        <v/>
      </c>
      <c r="AD47" s="564" t="str">
        <f>IFERROR(IF(AC47="Check Data ⚠","Check Data ⚠",VLOOKUP(AC47,'G-4 Temporal multipliers'!$A$4:$C$37,3,FALSE)),"")</f>
        <v/>
      </c>
      <c r="AE47" s="537" t="str">
        <f>IF(N47="","",VLOOKUP(N47,'G-7 Rivers Data'!$B$4:$G$8,5,FALSE))</f>
        <v/>
      </c>
      <c r="AF47" s="520" t="str">
        <f t="shared" si="3"/>
        <v/>
      </c>
      <c r="AG47" s="520" t="str">
        <f t="shared" si="6"/>
        <v/>
      </c>
      <c r="AH47" s="524" t="str">
        <f t="shared" si="4"/>
        <v/>
      </c>
      <c r="AI47" s="145"/>
      <c r="AJ47" s="499" t="str">
        <f>IF(AI47="","",IF(VLOOKUP(AI47,'G-7 Rivers Data'!$AA$4:$AB$7,2,FALSE)=0,"Spatial Data Missing ⚠",VLOOKUP(AI47,'G-7 Rivers Data'!$AA$4:$AB$7,2,FALSE)))</f>
        <v/>
      </c>
      <c r="AK47" s="155"/>
      <c r="AL47" s="536" t="str">
        <f>IF(AK47="","",IF(VLOOKUP(AK47,'G-7 Rivers Data'!$AD$4:$AE$8,2,FALSE)=0,"Spatial Data Missing ⚠",VLOOKUP(AK47,'G-7 Rivers Data'!$AD$4:$AE$8,2,FALSE)))</f>
        <v/>
      </c>
      <c r="AM47" s="154"/>
      <c r="AN47" s="524" t="str">
        <f>IF(AM47="","",VLOOKUP(AM47,'G-7 Rivers Data'!$AO$4:$AP$7,2,FALSE))</f>
        <v/>
      </c>
      <c r="AO47" s="545" t="str">
        <f t="shared" si="7"/>
        <v/>
      </c>
      <c r="AP47" s="149"/>
      <c r="AQ47" s="150"/>
      <c r="AX47" s="31" t="str">
        <f>IFERROR(INDEX('G-7 Rivers Data'!$AZ$3:$AZ$7,MATCH(N47,'G-7 Rivers Data'!$AY$3:$AY$7,0)),"")</f>
        <v/>
      </c>
    </row>
    <row r="48" spans="2:50" ht="14" x14ac:dyDescent="0.3">
      <c r="B48" s="531" t="str">
        <f>'F-1 Off Site River Baseline'!AN46</f>
        <v/>
      </c>
      <c r="C48" s="520" t="str">
        <f>IF(B48="","",VLOOKUP($B48,'F-1 Off Site River Baseline'!$C$9:$R$257,2,FALSE))</f>
        <v/>
      </c>
      <c r="D48" s="520" t="str">
        <f>IF(C48="","",VLOOKUP($B48,'F-1 Off Site River Baseline'!$C$9:$R$257,3,FALSE))</f>
        <v/>
      </c>
      <c r="E48" s="520" t="str">
        <f>IF(D48="","",VLOOKUP($B48,'F-1 Off Site River Baseline'!$C$9:$R$257,4,FALSE))</f>
        <v/>
      </c>
      <c r="F48" s="520" t="str">
        <f>IF(E48="","",VLOOKUP($B48,'F-1 Off Site River Baseline'!$C$9:$R$257,5,FALSE))</f>
        <v/>
      </c>
      <c r="G48" s="520" t="str">
        <f>IF(F48="","",VLOOKUP($B48,'F-1 Off Site River Baseline'!$C$9:$R$257,6,FALSE))</f>
        <v/>
      </c>
      <c r="H48" s="520" t="str">
        <f>IF(G48="","",VLOOKUP($B48,'F-1 Off Site River Baseline'!$C$9:$R$257,7,FALSE))</f>
        <v/>
      </c>
      <c r="I48" s="520" t="str">
        <f>IF(H48="","",VLOOKUP($B48,'F-1 Off Site River Baseline'!$C$9:$R$257,8,FALSE))</f>
        <v/>
      </c>
      <c r="J48" s="520" t="str">
        <f>IF(I48="","",VLOOKUP($B48,'F-1 Off Site River Baseline'!$C$9:$R$257,9,FALSE))</f>
        <v/>
      </c>
      <c r="K48" s="520" t="str">
        <f>IF(J48="","",VLOOKUP($B48,'F-1 Off Site River Baseline'!$C$9:$R$257,10,FALSE))</f>
        <v/>
      </c>
      <c r="L48" s="520" t="str">
        <f>IF(B48="","",VLOOKUP($B48,'C-1 Site River Baseline'!$C$9:$R$257,15,FALSE))</f>
        <v/>
      </c>
      <c r="M48" s="524" t="str">
        <f>IF(L48="","",VLOOKUP($B48,'F-1 Off Site River Baseline'!$C$9:$R$257,16,FALSE))</f>
        <v/>
      </c>
      <c r="N48" s="418" t="str">
        <f t="shared" si="0"/>
        <v/>
      </c>
      <c r="O48" s="498" t="str">
        <f t="shared" si="5"/>
        <v/>
      </c>
      <c r="P48" s="499" t="str">
        <f>IF(C48="","",IF(AND(LEFT(C48,55)&lt;&gt;LEFT(N48,55),O48="High - High"),"Error - Not like for like ▲",IF(AND(F48=S48,H48&gt;U48),"Error - Can not reduce condition ▲",IF(AND(F48=S48,H48=U48,AJ48='F-1 Off Site River Baseline'!N46,'F-1 Off Site River Baseline'!P46=AL48),"Error - No enhancement ▲",IF(AND(C48&lt;&gt;N48,F48&lt;S48),"Lower Distinctiveness Habitat"&amp;" - "&amp;T48,G48&amp;" - "&amp;T48)))))</f>
        <v/>
      </c>
      <c r="Q48" s="505" t="str">
        <f>IF(N48="","",VLOOKUP(B48,'F-1 Off Site River Baseline'!$C$10:$AA$257,19,FALSE))</f>
        <v/>
      </c>
      <c r="R48" s="498" t="str">
        <f>IF(N48="","",VLOOKUP(N48,'G-7 Rivers Data'!$B$2:$G$8,2,FALSE))</f>
        <v/>
      </c>
      <c r="S48" s="499" t="str">
        <f>IFERROR(VLOOKUP(R48,'G-7 Rivers Data'!$C$4:$D$8,2,FALSE),"")</f>
        <v/>
      </c>
      <c r="T48" s="145"/>
      <c r="U48" s="499" t="str">
        <f>IFERROR(INDEX('G-7 Rivers Data'!$H$4:$L$8,MATCH(N48,'G-7 Rivers Data'!$B$4:$B$8,0),MATCH(T48,'G-7 Rivers Data'!$H$3:$L$3,0)),"")</f>
        <v/>
      </c>
      <c r="V48" s="154"/>
      <c r="W48" s="520" t="str">
        <f>IF(V48="","",IF(VLOOKUP(V48,'G-7 Rivers Data'!$AG$4:$AI$9,2,FALSE)=0,"Spatial Data Missing ⚠",VLOOKUP(V48,'G-7 Rivers Data'!$AG$4:$AI$9,2,FALSE)))</f>
        <v/>
      </c>
      <c r="X48" s="524" t="str">
        <f>IF(V48="","",IF(VLOOKUP(V48,'G-7 Rivers Data'!$AG$4:$AI$9,3,FALSE)=0,"Spatial Data Missing ⚠",VLOOKUP(V48,'G-7 Rivers Data'!$AG$4:$AI$9,3,FALSE)))</f>
        <v/>
      </c>
      <c r="Y48" s="537" t="str">
        <f>IFERROR(IF(OR(LEFT(P48,5)="Error ▲",LEFT(O48,5)="Error ▲"),"Check Data ⚠",IF(F48&lt;S48,'G-7 Rivers Data'!$R$3,INDEX('G-7 Rivers Data'!$U$5:$Y$9,MATCH(G48,'G-7 Rivers Data'!$T$5:$T$9,0),MATCH(T48,'G-7 Rivers Data'!$U$4:$Y$4,0)))),"")</f>
        <v/>
      </c>
      <c r="Z48" s="203"/>
      <c r="AA48" s="203"/>
      <c r="AB48" s="534" t="str">
        <f t="shared" si="1"/>
        <v/>
      </c>
      <c r="AC48" s="521" t="str">
        <f t="shared" si="2"/>
        <v/>
      </c>
      <c r="AD48" s="564" t="str">
        <f>IFERROR(IF(AC48="Check Data ⚠","Check Data ⚠",VLOOKUP(AC48,'G-4 Temporal multipliers'!$A$4:$C$37,3,FALSE)),"")</f>
        <v/>
      </c>
      <c r="AE48" s="537" t="str">
        <f>IF(N48="","",VLOOKUP(N48,'G-7 Rivers Data'!$B$4:$G$8,5,FALSE))</f>
        <v/>
      </c>
      <c r="AF48" s="520" t="str">
        <f t="shared" si="3"/>
        <v/>
      </c>
      <c r="AG48" s="520" t="str">
        <f t="shared" si="6"/>
        <v/>
      </c>
      <c r="AH48" s="524" t="str">
        <f t="shared" si="4"/>
        <v/>
      </c>
      <c r="AI48" s="145"/>
      <c r="AJ48" s="499" t="str">
        <f>IF(AI48="","",IF(VLOOKUP(AI48,'G-7 Rivers Data'!$AA$4:$AB$7,2,FALSE)=0,"Spatial Data Missing ⚠",VLOOKUP(AI48,'G-7 Rivers Data'!$AA$4:$AB$7,2,FALSE)))</f>
        <v/>
      </c>
      <c r="AK48" s="155"/>
      <c r="AL48" s="536" t="str">
        <f>IF(AK48="","",IF(VLOOKUP(AK48,'G-7 Rivers Data'!$AD$4:$AE$8,2,FALSE)=0,"Spatial Data Missing ⚠",VLOOKUP(AK48,'G-7 Rivers Data'!$AD$4:$AE$8,2,FALSE)))</f>
        <v/>
      </c>
      <c r="AM48" s="154"/>
      <c r="AN48" s="524" t="str">
        <f>IF(AM48="","",VLOOKUP(AM48,'G-7 Rivers Data'!$AO$4:$AP$7,2,FALSE))</f>
        <v/>
      </c>
      <c r="AO48" s="545" t="str">
        <f t="shared" si="7"/>
        <v/>
      </c>
      <c r="AP48" s="149"/>
      <c r="AQ48" s="150"/>
      <c r="AX48" s="31" t="str">
        <f>IFERROR(INDEX('G-7 Rivers Data'!$AZ$3:$AZ$7,MATCH(N48,'G-7 Rivers Data'!$AY$3:$AY$7,0)),"")</f>
        <v/>
      </c>
    </row>
    <row r="49" spans="2:50" ht="14" x14ac:dyDescent="0.3">
      <c r="B49" s="531" t="str">
        <f>'F-1 Off Site River Baseline'!AN47</f>
        <v/>
      </c>
      <c r="C49" s="520" t="str">
        <f>IF(B49="","",VLOOKUP($B49,'F-1 Off Site River Baseline'!$C$9:$R$257,2,FALSE))</f>
        <v/>
      </c>
      <c r="D49" s="520" t="str">
        <f>IF(C49="","",VLOOKUP($B49,'F-1 Off Site River Baseline'!$C$9:$R$257,3,FALSE))</f>
        <v/>
      </c>
      <c r="E49" s="520" t="str">
        <f>IF(D49="","",VLOOKUP($B49,'F-1 Off Site River Baseline'!$C$9:$R$257,4,FALSE))</f>
        <v/>
      </c>
      <c r="F49" s="520" t="str">
        <f>IF(E49="","",VLOOKUP($B49,'F-1 Off Site River Baseline'!$C$9:$R$257,5,FALSE))</f>
        <v/>
      </c>
      <c r="G49" s="520" t="str">
        <f>IF(F49="","",VLOOKUP($B49,'F-1 Off Site River Baseline'!$C$9:$R$257,6,FALSE))</f>
        <v/>
      </c>
      <c r="H49" s="520" t="str">
        <f>IF(G49="","",VLOOKUP($B49,'F-1 Off Site River Baseline'!$C$9:$R$257,7,FALSE))</f>
        <v/>
      </c>
      <c r="I49" s="520" t="str">
        <f>IF(H49="","",VLOOKUP($B49,'F-1 Off Site River Baseline'!$C$9:$R$257,8,FALSE))</f>
        <v/>
      </c>
      <c r="J49" s="520" t="str">
        <f>IF(I49="","",VLOOKUP($B49,'F-1 Off Site River Baseline'!$C$9:$R$257,9,FALSE))</f>
        <v/>
      </c>
      <c r="K49" s="520" t="str">
        <f>IF(J49="","",VLOOKUP($B49,'F-1 Off Site River Baseline'!$C$9:$R$257,10,FALSE))</f>
        <v/>
      </c>
      <c r="L49" s="520" t="str">
        <f>IF(B49="","",VLOOKUP($B49,'C-1 Site River Baseline'!$C$9:$R$257,15,FALSE))</f>
        <v/>
      </c>
      <c r="M49" s="524" t="str">
        <f>IF(L49="","",VLOOKUP($B49,'F-1 Off Site River Baseline'!$C$9:$R$257,16,FALSE))</f>
        <v/>
      </c>
      <c r="N49" s="418" t="str">
        <f t="shared" si="0"/>
        <v/>
      </c>
      <c r="O49" s="498" t="str">
        <f t="shared" si="5"/>
        <v/>
      </c>
      <c r="P49" s="499" t="str">
        <f>IF(C49="","",IF(AND(LEFT(C49,55)&lt;&gt;LEFT(N49,55),O49="High - High"),"Error - Not like for like ▲",IF(AND(F49=S49,H49&gt;U49),"Error - Can not reduce condition ▲",IF(AND(F49=S49,H49=U49,AJ49='F-1 Off Site River Baseline'!N47,'F-1 Off Site River Baseline'!P47=AL49),"Error - No enhancement ▲",IF(AND(C49&lt;&gt;N49,F49&lt;S49),"Lower Distinctiveness Habitat"&amp;" - "&amp;T49,G49&amp;" - "&amp;T49)))))</f>
        <v/>
      </c>
      <c r="Q49" s="505" t="str">
        <f>IF(N49="","",VLOOKUP(B49,'F-1 Off Site River Baseline'!$C$10:$AA$257,19,FALSE))</f>
        <v/>
      </c>
      <c r="R49" s="498" t="str">
        <f>IF(N49="","",VLOOKUP(N49,'G-7 Rivers Data'!$B$2:$G$8,2,FALSE))</f>
        <v/>
      </c>
      <c r="S49" s="499" t="str">
        <f>IFERROR(VLOOKUP(R49,'G-7 Rivers Data'!$C$4:$D$8,2,FALSE),"")</f>
        <v/>
      </c>
      <c r="T49" s="145"/>
      <c r="U49" s="499" t="str">
        <f>IFERROR(INDEX('G-7 Rivers Data'!$H$4:$L$8,MATCH(N49,'G-7 Rivers Data'!$B$4:$B$8,0),MATCH(T49,'G-7 Rivers Data'!$H$3:$L$3,0)),"")</f>
        <v/>
      </c>
      <c r="V49" s="154"/>
      <c r="W49" s="520" t="str">
        <f>IF(V49="","",IF(VLOOKUP(V49,'G-7 Rivers Data'!$AG$4:$AI$9,2,FALSE)=0,"Spatial Data Missing ⚠",VLOOKUP(V49,'G-7 Rivers Data'!$AG$4:$AI$9,2,FALSE)))</f>
        <v/>
      </c>
      <c r="X49" s="524" t="str">
        <f>IF(V49="","",IF(VLOOKUP(V49,'G-7 Rivers Data'!$AG$4:$AI$9,3,FALSE)=0,"Spatial Data Missing ⚠",VLOOKUP(V49,'G-7 Rivers Data'!$AG$4:$AI$9,3,FALSE)))</f>
        <v/>
      </c>
      <c r="Y49" s="537" t="str">
        <f>IFERROR(IF(OR(LEFT(P49,5)="Error ▲",LEFT(O49,5)="Error ▲"),"Check Data ⚠",IF(F49&lt;S49,'G-7 Rivers Data'!$R$3,INDEX('G-7 Rivers Data'!$U$5:$Y$9,MATCH(G49,'G-7 Rivers Data'!$T$5:$T$9,0),MATCH(T49,'G-7 Rivers Data'!$U$4:$Y$4,0)))),"")</f>
        <v/>
      </c>
      <c r="Z49" s="203"/>
      <c r="AA49" s="203"/>
      <c r="AB49" s="534" t="str">
        <f t="shared" si="1"/>
        <v/>
      </c>
      <c r="AC49" s="521" t="str">
        <f t="shared" si="2"/>
        <v/>
      </c>
      <c r="AD49" s="564" t="str">
        <f>IFERROR(IF(AC49="Check Data ⚠","Check Data ⚠",VLOOKUP(AC49,'G-4 Temporal multipliers'!$A$4:$C$37,3,FALSE)),"")</f>
        <v/>
      </c>
      <c r="AE49" s="537" t="str">
        <f>IF(N49="","",VLOOKUP(N49,'G-7 Rivers Data'!$B$4:$G$8,5,FALSE))</f>
        <v/>
      </c>
      <c r="AF49" s="520" t="str">
        <f t="shared" si="3"/>
        <v/>
      </c>
      <c r="AG49" s="520" t="str">
        <f t="shared" si="6"/>
        <v/>
      </c>
      <c r="AH49" s="524" t="str">
        <f t="shared" si="4"/>
        <v/>
      </c>
      <c r="AI49" s="145"/>
      <c r="AJ49" s="499" t="str">
        <f>IF(AI49="","",IF(VLOOKUP(AI49,'G-7 Rivers Data'!$AA$4:$AB$7,2,FALSE)=0,"Spatial Data Missing ⚠",VLOOKUP(AI49,'G-7 Rivers Data'!$AA$4:$AB$7,2,FALSE)))</f>
        <v/>
      </c>
      <c r="AK49" s="155"/>
      <c r="AL49" s="536" t="str">
        <f>IF(AK49="","",IF(VLOOKUP(AK49,'G-7 Rivers Data'!$AD$4:$AE$8,2,FALSE)=0,"Spatial Data Missing ⚠",VLOOKUP(AK49,'G-7 Rivers Data'!$AD$4:$AE$8,2,FALSE)))</f>
        <v/>
      </c>
      <c r="AM49" s="154"/>
      <c r="AN49" s="524" t="str">
        <f>IF(AM49="","",VLOOKUP(AM49,'G-7 Rivers Data'!$AO$4:$AP$7,2,FALSE))</f>
        <v/>
      </c>
      <c r="AO49" s="545" t="str">
        <f t="shared" si="7"/>
        <v/>
      </c>
      <c r="AP49" s="149"/>
      <c r="AQ49" s="150"/>
      <c r="AX49" s="31" t="str">
        <f>IFERROR(INDEX('G-7 Rivers Data'!$AZ$3:$AZ$7,MATCH(N49,'G-7 Rivers Data'!$AY$3:$AY$7,0)),"")</f>
        <v/>
      </c>
    </row>
    <row r="50" spans="2:50" ht="14" x14ac:dyDescent="0.3">
      <c r="B50" s="531" t="str">
        <f>'F-1 Off Site River Baseline'!AN48</f>
        <v/>
      </c>
      <c r="C50" s="520" t="str">
        <f>IF(B50="","",VLOOKUP($B50,'F-1 Off Site River Baseline'!$C$9:$R$257,2,FALSE))</f>
        <v/>
      </c>
      <c r="D50" s="520" t="str">
        <f>IF(C50="","",VLOOKUP($B50,'F-1 Off Site River Baseline'!$C$9:$R$257,3,FALSE))</f>
        <v/>
      </c>
      <c r="E50" s="520" t="str">
        <f>IF(D50="","",VLOOKUP($B50,'F-1 Off Site River Baseline'!$C$9:$R$257,4,FALSE))</f>
        <v/>
      </c>
      <c r="F50" s="520" t="str">
        <f>IF(E50="","",VLOOKUP($B50,'F-1 Off Site River Baseline'!$C$9:$R$257,5,FALSE))</f>
        <v/>
      </c>
      <c r="G50" s="520" t="str">
        <f>IF(F50="","",VLOOKUP($B50,'F-1 Off Site River Baseline'!$C$9:$R$257,6,FALSE))</f>
        <v/>
      </c>
      <c r="H50" s="520" t="str">
        <f>IF(G50="","",VLOOKUP($B50,'F-1 Off Site River Baseline'!$C$9:$R$257,7,FALSE))</f>
        <v/>
      </c>
      <c r="I50" s="520" t="str">
        <f>IF(H50="","",VLOOKUP($B50,'F-1 Off Site River Baseline'!$C$9:$R$257,8,FALSE))</f>
        <v/>
      </c>
      <c r="J50" s="520" t="str">
        <f>IF(I50="","",VLOOKUP($B50,'F-1 Off Site River Baseline'!$C$9:$R$257,9,FALSE))</f>
        <v/>
      </c>
      <c r="K50" s="520" t="str">
        <f>IF(J50="","",VLOOKUP($B50,'F-1 Off Site River Baseline'!$C$9:$R$257,10,FALSE))</f>
        <v/>
      </c>
      <c r="L50" s="520" t="str">
        <f>IF(B50="","",VLOOKUP($B50,'C-1 Site River Baseline'!$C$9:$R$257,15,FALSE))</f>
        <v/>
      </c>
      <c r="M50" s="524" t="str">
        <f>IF(L50="","",VLOOKUP($B50,'F-1 Off Site River Baseline'!$C$9:$R$257,16,FALSE))</f>
        <v/>
      </c>
      <c r="N50" s="418" t="str">
        <f t="shared" si="0"/>
        <v/>
      </c>
      <c r="O50" s="498" t="str">
        <f t="shared" si="5"/>
        <v/>
      </c>
      <c r="P50" s="499" t="str">
        <f>IF(C50="","",IF(AND(LEFT(C50,55)&lt;&gt;LEFT(N50,55),O50="High - High"),"Error - Not like for like ▲",IF(AND(F50=S50,H50&gt;U50),"Error - Can not reduce condition ▲",IF(AND(F50=S50,H50=U50,AJ50='F-1 Off Site River Baseline'!N48,'F-1 Off Site River Baseline'!P48=AL50),"Error - No enhancement ▲",IF(AND(C50&lt;&gt;N50,F50&lt;S50),"Lower Distinctiveness Habitat"&amp;" - "&amp;T50,G50&amp;" - "&amp;T50)))))</f>
        <v/>
      </c>
      <c r="Q50" s="505" t="str">
        <f>IF(N50="","",VLOOKUP(B50,'F-1 Off Site River Baseline'!$C$10:$AA$257,19,FALSE))</f>
        <v/>
      </c>
      <c r="R50" s="498" t="str">
        <f>IF(N50="","",VLOOKUP(N50,'G-7 Rivers Data'!$B$2:$G$8,2,FALSE))</f>
        <v/>
      </c>
      <c r="S50" s="499" t="str">
        <f>IFERROR(VLOOKUP(R50,'G-7 Rivers Data'!$C$4:$D$8,2,FALSE),"")</f>
        <v/>
      </c>
      <c r="T50" s="145"/>
      <c r="U50" s="499" t="str">
        <f>IFERROR(INDEX('G-7 Rivers Data'!$H$4:$L$8,MATCH(N50,'G-7 Rivers Data'!$B$4:$B$8,0),MATCH(T50,'G-7 Rivers Data'!$H$3:$L$3,0)),"")</f>
        <v/>
      </c>
      <c r="V50" s="154"/>
      <c r="W50" s="520" t="str">
        <f>IF(V50="","",IF(VLOOKUP(V50,'G-7 Rivers Data'!$AG$4:$AI$9,2,FALSE)=0,"Spatial Data Missing ⚠",VLOOKUP(V50,'G-7 Rivers Data'!$AG$4:$AI$9,2,FALSE)))</f>
        <v/>
      </c>
      <c r="X50" s="524" t="str">
        <f>IF(V50="","",IF(VLOOKUP(V50,'G-7 Rivers Data'!$AG$4:$AI$9,3,FALSE)=0,"Spatial Data Missing ⚠",VLOOKUP(V50,'G-7 Rivers Data'!$AG$4:$AI$9,3,FALSE)))</f>
        <v/>
      </c>
      <c r="Y50" s="537" t="str">
        <f>IFERROR(IF(OR(LEFT(P50,5)="Error ▲",LEFT(O50,5)="Error ▲"),"Check Data ⚠",IF(F50&lt;S50,'G-7 Rivers Data'!$R$3,INDEX('G-7 Rivers Data'!$U$5:$Y$9,MATCH(G50,'G-7 Rivers Data'!$T$5:$T$9,0),MATCH(T50,'G-7 Rivers Data'!$U$4:$Y$4,0)))),"")</f>
        <v/>
      </c>
      <c r="Z50" s="203"/>
      <c r="AA50" s="203"/>
      <c r="AB50" s="534" t="str">
        <f t="shared" si="1"/>
        <v/>
      </c>
      <c r="AC50" s="521" t="str">
        <f t="shared" si="2"/>
        <v/>
      </c>
      <c r="AD50" s="564" t="str">
        <f>IFERROR(IF(AC50="Check Data ⚠","Check Data ⚠",VLOOKUP(AC50,'G-4 Temporal multipliers'!$A$4:$C$37,3,FALSE)),"")</f>
        <v/>
      </c>
      <c r="AE50" s="537" t="str">
        <f>IF(N50="","",VLOOKUP(N50,'G-7 Rivers Data'!$B$4:$G$8,5,FALSE))</f>
        <v/>
      </c>
      <c r="AF50" s="520" t="str">
        <f t="shared" si="3"/>
        <v/>
      </c>
      <c r="AG50" s="520" t="str">
        <f t="shared" si="6"/>
        <v/>
      </c>
      <c r="AH50" s="524" t="str">
        <f t="shared" si="4"/>
        <v/>
      </c>
      <c r="AI50" s="145"/>
      <c r="AJ50" s="499" t="str">
        <f>IF(AI50="","",IF(VLOOKUP(AI50,'G-7 Rivers Data'!$AA$4:$AB$7,2,FALSE)=0,"Spatial Data Missing ⚠",VLOOKUP(AI50,'G-7 Rivers Data'!$AA$4:$AB$7,2,FALSE)))</f>
        <v/>
      </c>
      <c r="AK50" s="155"/>
      <c r="AL50" s="536" t="str">
        <f>IF(AK50="","",IF(VLOOKUP(AK50,'G-7 Rivers Data'!$AD$4:$AE$8,2,FALSE)=0,"Spatial Data Missing ⚠",VLOOKUP(AK50,'G-7 Rivers Data'!$AD$4:$AE$8,2,FALSE)))</f>
        <v/>
      </c>
      <c r="AM50" s="154"/>
      <c r="AN50" s="524" t="str">
        <f>IF(AM50="","",VLOOKUP(AM50,'G-7 Rivers Data'!$AO$4:$AP$7,2,FALSE))</f>
        <v/>
      </c>
      <c r="AO50" s="545" t="str">
        <f t="shared" si="7"/>
        <v/>
      </c>
      <c r="AP50" s="149"/>
      <c r="AQ50" s="150"/>
      <c r="AX50" s="31" t="str">
        <f>IFERROR(INDEX('G-7 Rivers Data'!$AZ$3:$AZ$7,MATCH(N50,'G-7 Rivers Data'!$AY$3:$AY$7,0)),"")</f>
        <v/>
      </c>
    </row>
    <row r="51" spans="2:50" ht="14" x14ac:dyDescent="0.3">
      <c r="B51" s="531" t="str">
        <f>'F-1 Off Site River Baseline'!AN49</f>
        <v/>
      </c>
      <c r="C51" s="520" t="str">
        <f>IF(B51="","",VLOOKUP($B51,'F-1 Off Site River Baseline'!$C$9:$R$257,2,FALSE))</f>
        <v/>
      </c>
      <c r="D51" s="520" t="str">
        <f>IF(C51="","",VLOOKUP($B51,'F-1 Off Site River Baseline'!$C$9:$R$257,3,FALSE))</f>
        <v/>
      </c>
      <c r="E51" s="520" t="str">
        <f>IF(D51="","",VLOOKUP($B51,'F-1 Off Site River Baseline'!$C$9:$R$257,4,FALSE))</f>
        <v/>
      </c>
      <c r="F51" s="520" t="str">
        <f>IF(E51="","",VLOOKUP($B51,'F-1 Off Site River Baseline'!$C$9:$R$257,5,FALSE))</f>
        <v/>
      </c>
      <c r="G51" s="520" t="str">
        <f>IF(F51="","",VLOOKUP($B51,'F-1 Off Site River Baseline'!$C$9:$R$257,6,FALSE))</f>
        <v/>
      </c>
      <c r="H51" s="520" t="str">
        <f>IF(G51="","",VLOOKUP($B51,'F-1 Off Site River Baseline'!$C$9:$R$257,7,FALSE))</f>
        <v/>
      </c>
      <c r="I51" s="520" t="str">
        <f>IF(H51="","",VLOOKUP($B51,'F-1 Off Site River Baseline'!$C$9:$R$257,8,FALSE))</f>
        <v/>
      </c>
      <c r="J51" s="520" t="str">
        <f>IF(I51="","",VLOOKUP($B51,'F-1 Off Site River Baseline'!$C$9:$R$257,9,FALSE))</f>
        <v/>
      </c>
      <c r="K51" s="520" t="str">
        <f>IF(J51="","",VLOOKUP($B51,'F-1 Off Site River Baseline'!$C$9:$R$257,10,FALSE))</f>
        <v/>
      </c>
      <c r="L51" s="520" t="str">
        <f>IF(B51="","",VLOOKUP($B51,'C-1 Site River Baseline'!$C$9:$R$257,15,FALSE))</f>
        <v/>
      </c>
      <c r="M51" s="524" t="str">
        <f>IF(L51="","",VLOOKUP($B51,'F-1 Off Site River Baseline'!$C$9:$R$257,16,FALSE))</f>
        <v/>
      </c>
      <c r="N51" s="418" t="str">
        <f t="shared" si="0"/>
        <v/>
      </c>
      <c r="O51" s="498" t="str">
        <f t="shared" si="5"/>
        <v/>
      </c>
      <c r="P51" s="499" t="str">
        <f>IF(C51="","",IF(AND(LEFT(C51,55)&lt;&gt;LEFT(N51,55),O51="High - High"),"Error - Not like for like ▲",IF(AND(F51=S51,H51&gt;U51),"Error - Can not reduce condition ▲",IF(AND(F51=S51,H51=U51,AJ51='F-1 Off Site River Baseline'!N49,'F-1 Off Site River Baseline'!P49=AL51),"Error - No enhancement ▲",IF(AND(C51&lt;&gt;N51,F51&lt;S51),"Lower Distinctiveness Habitat"&amp;" - "&amp;T51,G51&amp;" - "&amp;T51)))))</f>
        <v/>
      </c>
      <c r="Q51" s="505" t="str">
        <f>IF(N51="","",VLOOKUP(B51,'F-1 Off Site River Baseline'!$C$10:$AA$257,19,FALSE))</f>
        <v/>
      </c>
      <c r="R51" s="498" t="str">
        <f>IF(N51="","",VLOOKUP(N51,'G-7 Rivers Data'!$B$2:$G$8,2,FALSE))</f>
        <v/>
      </c>
      <c r="S51" s="499" t="str">
        <f>IFERROR(VLOOKUP(R51,'G-7 Rivers Data'!$C$4:$D$8,2,FALSE),"")</f>
        <v/>
      </c>
      <c r="T51" s="145"/>
      <c r="U51" s="499" t="str">
        <f>IFERROR(INDEX('G-7 Rivers Data'!$H$4:$L$8,MATCH(N51,'G-7 Rivers Data'!$B$4:$B$8,0),MATCH(T51,'G-7 Rivers Data'!$H$3:$L$3,0)),"")</f>
        <v/>
      </c>
      <c r="V51" s="154"/>
      <c r="W51" s="520" t="str">
        <f>IF(V51="","",IF(VLOOKUP(V51,'G-7 Rivers Data'!$AG$4:$AI$9,2,FALSE)=0,"Spatial Data Missing ⚠",VLOOKUP(V51,'G-7 Rivers Data'!$AG$4:$AI$9,2,FALSE)))</f>
        <v/>
      </c>
      <c r="X51" s="524" t="str">
        <f>IF(V51="","",IF(VLOOKUP(V51,'G-7 Rivers Data'!$AG$4:$AI$9,3,FALSE)=0,"Spatial Data Missing ⚠",VLOOKUP(V51,'G-7 Rivers Data'!$AG$4:$AI$9,3,FALSE)))</f>
        <v/>
      </c>
      <c r="Y51" s="537" t="str">
        <f>IFERROR(IF(OR(LEFT(P51,5)="Error ▲",LEFT(O51,5)="Error ▲"),"Check Data ⚠",IF(F51&lt;S51,'G-7 Rivers Data'!$R$3,INDEX('G-7 Rivers Data'!$U$5:$Y$9,MATCH(G51,'G-7 Rivers Data'!$T$5:$T$9,0),MATCH(T51,'G-7 Rivers Data'!$U$4:$Y$4,0)))),"")</f>
        <v/>
      </c>
      <c r="Z51" s="203"/>
      <c r="AA51" s="203"/>
      <c r="AB51" s="534" t="str">
        <f t="shared" si="1"/>
        <v/>
      </c>
      <c r="AC51" s="521" t="str">
        <f t="shared" si="2"/>
        <v/>
      </c>
      <c r="AD51" s="564" t="str">
        <f>IFERROR(IF(AC51="Check Data ⚠","Check Data ⚠",VLOOKUP(AC51,'G-4 Temporal multipliers'!$A$4:$C$37,3,FALSE)),"")</f>
        <v/>
      </c>
      <c r="AE51" s="537" t="str">
        <f>IF(N51="","",VLOOKUP(N51,'G-7 Rivers Data'!$B$4:$G$8,5,FALSE))</f>
        <v/>
      </c>
      <c r="AF51" s="520" t="str">
        <f t="shared" si="3"/>
        <v/>
      </c>
      <c r="AG51" s="520" t="str">
        <f t="shared" si="6"/>
        <v/>
      </c>
      <c r="AH51" s="524" t="str">
        <f t="shared" si="4"/>
        <v/>
      </c>
      <c r="AI51" s="145"/>
      <c r="AJ51" s="499" t="str">
        <f>IF(AI51="","",IF(VLOOKUP(AI51,'G-7 Rivers Data'!$AA$4:$AB$7,2,FALSE)=0,"Spatial Data Missing ⚠",VLOOKUP(AI51,'G-7 Rivers Data'!$AA$4:$AB$7,2,FALSE)))</f>
        <v/>
      </c>
      <c r="AK51" s="155"/>
      <c r="AL51" s="536" t="str">
        <f>IF(AK51="","",IF(VLOOKUP(AK51,'G-7 Rivers Data'!$AD$4:$AE$8,2,FALSE)=0,"Spatial Data Missing ⚠",VLOOKUP(AK51,'G-7 Rivers Data'!$AD$4:$AE$8,2,FALSE)))</f>
        <v/>
      </c>
      <c r="AM51" s="154"/>
      <c r="AN51" s="524" t="str">
        <f>IF(AM51="","",VLOOKUP(AM51,'G-7 Rivers Data'!$AO$4:$AP$7,2,FALSE))</f>
        <v/>
      </c>
      <c r="AO51" s="545" t="str">
        <f t="shared" si="7"/>
        <v/>
      </c>
      <c r="AP51" s="149"/>
      <c r="AQ51" s="150"/>
      <c r="AX51" s="31" t="str">
        <f>IFERROR(INDEX('G-7 Rivers Data'!$AZ$3:$AZ$7,MATCH(N51,'G-7 Rivers Data'!$AY$3:$AY$7,0)),"")</f>
        <v/>
      </c>
    </row>
    <row r="52" spans="2:50" ht="14" x14ac:dyDescent="0.3">
      <c r="B52" s="531" t="str">
        <f>'F-1 Off Site River Baseline'!AN50</f>
        <v/>
      </c>
      <c r="C52" s="520" t="str">
        <f>IF(B52="","",VLOOKUP($B52,'F-1 Off Site River Baseline'!$C$9:$R$257,2,FALSE))</f>
        <v/>
      </c>
      <c r="D52" s="520" t="str">
        <f>IF(C52="","",VLOOKUP($B52,'F-1 Off Site River Baseline'!$C$9:$R$257,3,FALSE))</f>
        <v/>
      </c>
      <c r="E52" s="520" t="str">
        <f>IF(D52="","",VLOOKUP($B52,'F-1 Off Site River Baseline'!$C$9:$R$257,4,FALSE))</f>
        <v/>
      </c>
      <c r="F52" s="520" t="str">
        <f>IF(E52="","",VLOOKUP($B52,'F-1 Off Site River Baseline'!$C$9:$R$257,5,FALSE))</f>
        <v/>
      </c>
      <c r="G52" s="520" t="str">
        <f>IF(F52="","",VLOOKUP($B52,'F-1 Off Site River Baseline'!$C$9:$R$257,6,FALSE))</f>
        <v/>
      </c>
      <c r="H52" s="520" t="str">
        <f>IF(G52="","",VLOOKUP($B52,'F-1 Off Site River Baseline'!$C$9:$R$257,7,FALSE))</f>
        <v/>
      </c>
      <c r="I52" s="520" t="str">
        <f>IF(H52="","",VLOOKUP($B52,'F-1 Off Site River Baseline'!$C$9:$R$257,8,FALSE))</f>
        <v/>
      </c>
      <c r="J52" s="520" t="str">
        <f>IF(I52="","",VLOOKUP($B52,'F-1 Off Site River Baseline'!$C$9:$R$257,9,FALSE))</f>
        <v/>
      </c>
      <c r="K52" s="520" t="str">
        <f>IF(J52="","",VLOOKUP($B52,'F-1 Off Site River Baseline'!$C$9:$R$257,10,FALSE))</f>
        <v/>
      </c>
      <c r="L52" s="520" t="str">
        <f>IF(B52="","",VLOOKUP($B52,'C-1 Site River Baseline'!$C$9:$R$257,15,FALSE))</f>
        <v/>
      </c>
      <c r="M52" s="524" t="str">
        <f>IF(L52="","",VLOOKUP($B52,'F-1 Off Site River Baseline'!$C$9:$R$257,16,FALSE))</f>
        <v/>
      </c>
      <c r="N52" s="418" t="str">
        <f t="shared" si="0"/>
        <v/>
      </c>
      <c r="O52" s="498" t="str">
        <f t="shared" si="5"/>
        <v/>
      </c>
      <c r="P52" s="499" t="str">
        <f>IF(C52="","",IF(AND(LEFT(C52,55)&lt;&gt;LEFT(N52,55),O52="High - High"),"Error - Not like for like ▲",IF(AND(F52=S52,H52&gt;U52),"Error - Can not reduce condition ▲",IF(AND(F52=S52,H52=U52,AJ52='F-1 Off Site River Baseline'!N50,'F-1 Off Site River Baseline'!P50=AL52),"Error - No enhancement ▲",IF(AND(C52&lt;&gt;N52,F52&lt;S52),"Lower Distinctiveness Habitat"&amp;" - "&amp;T52,G52&amp;" - "&amp;T52)))))</f>
        <v/>
      </c>
      <c r="Q52" s="505" t="str">
        <f>IF(N52="","",VLOOKUP(B52,'F-1 Off Site River Baseline'!$C$10:$AA$257,19,FALSE))</f>
        <v/>
      </c>
      <c r="R52" s="498" t="str">
        <f>IF(N52="","",VLOOKUP(N52,'G-7 Rivers Data'!$B$2:$G$8,2,FALSE))</f>
        <v/>
      </c>
      <c r="S52" s="499" t="str">
        <f>IFERROR(VLOOKUP(R52,'G-7 Rivers Data'!$C$4:$D$8,2,FALSE),"")</f>
        <v/>
      </c>
      <c r="T52" s="145"/>
      <c r="U52" s="499" t="str">
        <f>IFERROR(INDEX('G-7 Rivers Data'!$H$4:$L$8,MATCH(N52,'G-7 Rivers Data'!$B$4:$B$8,0),MATCH(T52,'G-7 Rivers Data'!$H$3:$L$3,0)),"")</f>
        <v/>
      </c>
      <c r="V52" s="154"/>
      <c r="W52" s="520" t="str">
        <f>IF(V52="","",IF(VLOOKUP(V52,'G-7 Rivers Data'!$AG$4:$AI$9,2,FALSE)=0,"Spatial Data Missing ⚠",VLOOKUP(V52,'G-7 Rivers Data'!$AG$4:$AI$9,2,FALSE)))</f>
        <v/>
      </c>
      <c r="X52" s="524" t="str">
        <f>IF(V52="","",IF(VLOOKUP(V52,'G-7 Rivers Data'!$AG$4:$AI$9,3,FALSE)=0,"Spatial Data Missing ⚠",VLOOKUP(V52,'G-7 Rivers Data'!$AG$4:$AI$9,3,FALSE)))</f>
        <v/>
      </c>
      <c r="Y52" s="537" t="str">
        <f>IFERROR(IF(OR(LEFT(P52,5)="Error ▲",LEFT(O52,5)="Error ▲"),"Check Data ⚠",IF(F52&lt;S52,'G-7 Rivers Data'!$R$3,INDEX('G-7 Rivers Data'!$U$5:$Y$9,MATCH(G52,'G-7 Rivers Data'!$T$5:$T$9,0),MATCH(T52,'G-7 Rivers Data'!$U$4:$Y$4,0)))),"")</f>
        <v/>
      </c>
      <c r="Z52" s="203"/>
      <c r="AA52" s="203"/>
      <c r="AB52" s="534" t="str">
        <f t="shared" si="1"/>
        <v/>
      </c>
      <c r="AC52" s="521" t="str">
        <f t="shared" si="2"/>
        <v/>
      </c>
      <c r="AD52" s="564" t="str">
        <f>IFERROR(IF(AC52="Check Data ⚠","Check Data ⚠",VLOOKUP(AC52,'G-4 Temporal multipliers'!$A$4:$C$37,3,FALSE)),"")</f>
        <v/>
      </c>
      <c r="AE52" s="537" t="str">
        <f>IF(N52="","",VLOOKUP(N52,'G-7 Rivers Data'!$B$4:$G$8,5,FALSE))</f>
        <v/>
      </c>
      <c r="AF52" s="520" t="str">
        <f t="shared" si="3"/>
        <v/>
      </c>
      <c r="AG52" s="520" t="str">
        <f t="shared" si="6"/>
        <v/>
      </c>
      <c r="AH52" s="524" t="str">
        <f t="shared" si="4"/>
        <v/>
      </c>
      <c r="AI52" s="145"/>
      <c r="AJ52" s="499" t="str">
        <f>IF(AI52="","",IF(VLOOKUP(AI52,'G-7 Rivers Data'!$AA$4:$AB$7,2,FALSE)=0,"Spatial Data Missing ⚠",VLOOKUP(AI52,'G-7 Rivers Data'!$AA$4:$AB$7,2,FALSE)))</f>
        <v/>
      </c>
      <c r="AK52" s="155"/>
      <c r="AL52" s="536" t="str">
        <f>IF(AK52="","",IF(VLOOKUP(AK52,'G-7 Rivers Data'!$AD$4:$AE$8,2,FALSE)=0,"Spatial Data Missing ⚠",VLOOKUP(AK52,'G-7 Rivers Data'!$AD$4:$AE$8,2,FALSE)))</f>
        <v/>
      </c>
      <c r="AM52" s="154"/>
      <c r="AN52" s="524" t="str">
        <f>IF(AM52="","",VLOOKUP(AM52,'G-7 Rivers Data'!$AO$4:$AP$7,2,FALSE))</f>
        <v/>
      </c>
      <c r="AO52" s="545" t="str">
        <f t="shared" si="7"/>
        <v/>
      </c>
      <c r="AP52" s="149"/>
      <c r="AQ52" s="150"/>
      <c r="AX52" s="31" t="str">
        <f>IFERROR(INDEX('G-7 Rivers Data'!$AZ$3:$AZ$7,MATCH(N52,'G-7 Rivers Data'!$AY$3:$AY$7,0)),"")</f>
        <v/>
      </c>
    </row>
    <row r="53" spans="2:50" ht="14" x14ac:dyDescent="0.3">
      <c r="B53" s="531" t="str">
        <f>'F-1 Off Site River Baseline'!AN51</f>
        <v/>
      </c>
      <c r="C53" s="520" t="str">
        <f>IF(B53="","",VLOOKUP($B53,'F-1 Off Site River Baseline'!$C$9:$R$257,2,FALSE))</f>
        <v/>
      </c>
      <c r="D53" s="520" t="str">
        <f>IF(C53="","",VLOOKUP($B53,'F-1 Off Site River Baseline'!$C$9:$R$257,3,FALSE))</f>
        <v/>
      </c>
      <c r="E53" s="520" t="str">
        <f>IF(D53="","",VLOOKUP($B53,'F-1 Off Site River Baseline'!$C$9:$R$257,4,FALSE))</f>
        <v/>
      </c>
      <c r="F53" s="520" t="str">
        <f>IF(E53="","",VLOOKUP($B53,'F-1 Off Site River Baseline'!$C$9:$R$257,5,FALSE))</f>
        <v/>
      </c>
      <c r="G53" s="520" t="str">
        <f>IF(F53="","",VLOOKUP($B53,'F-1 Off Site River Baseline'!$C$9:$R$257,6,FALSE))</f>
        <v/>
      </c>
      <c r="H53" s="520" t="str">
        <f>IF(G53="","",VLOOKUP($B53,'F-1 Off Site River Baseline'!$C$9:$R$257,7,FALSE))</f>
        <v/>
      </c>
      <c r="I53" s="520" t="str">
        <f>IF(H53="","",VLOOKUP($B53,'F-1 Off Site River Baseline'!$C$9:$R$257,8,FALSE))</f>
        <v/>
      </c>
      <c r="J53" s="520" t="str">
        <f>IF(I53="","",VLOOKUP($B53,'F-1 Off Site River Baseline'!$C$9:$R$257,9,FALSE))</f>
        <v/>
      </c>
      <c r="K53" s="520" t="str">
        <f>IF(J53="","",VLOOKUP($B53,'F-1 Off Site River Baseline'!$C$9:$R$257,10,FALSE))</f>
        <v/>
      </c>
      <c r="L53" s="520" t="str">
        <f>IF(B53="","",VLOOKUP($B53,'C-1 Site River Baseline'!$C$9:$R$257,15,FALSE))</f>
        <v/>
      </c>
      <c r="M53" s="524" t="str">
        <f>IF(L53="","",VLOOKUP($B53,'F-1 Off Site River Baseline'!$C$9:$R$257,16,FALSE))</f>
        <v/>
      </c>
      <c r="N53" s="418" t="str">
        <f t="shared" si="0"/>
        <v/>
      </c>
      <c r="O53" s="498" t="str">
        <f t="shared" si="5"/>
        <v/>
      </c>
      <c r="P53" s="499" t="str">
        <f>IF(C53="","",IF(AND(LEFT(C53,55)&lt;&gt;LEFT(N53,55),O53="High - High"),"Error - Not like for like ▲",IF(AND(F53=S53,H53&gt;U53),"Error - Can not reduce condition ▲",IF(AND(F53=S53,H53=U53,AJ53='F-1 Off Site River Baseline'!N51,'F-1 Off Site River Baseline'!P51=AL53),"Error - No enhancement ▲",IF(AND(C53&lt;&gt;N53,F53&lt;S53),"Lower Distinctiveness Habitat"&amp;" - "&amp;T53,G53&amp;" - "&amp;T53)))))</f>
        <v/>
      </c>
      <c r="Q53" s="505" t="str">
        <f>IF(N53="","",VLOOKUP(B53,'F-1 Off Site River Baseline'!$C$10:$AA$257,19,FALSE))</f>
        <v/>
      </c>
      <c r="R53" s="498" t="str">
        <f>IF(N53="","",VLOOKUP(N53,'G-7 Rivers Data'!$B$2:$G$8,2,FALSE))</f>
        <v/>
      </c>
      <c r="S53" s="499" t="str">
        <f>IFERROR(VLOOKUP(R53,'G-7 Rivers Data'!$C$4:$D$8,2,FALSE),"")</f>
        <v/>
      </c>
      <c r="T53" s="145"/>
      <c r="U53" s="499" t="str">
        <f>IFERROR(INDEX('G-7 Rivers Data'!$H$4:$L$8,MATCH(N53,'G-7 Rivers Data'!$B$4:$B$8,0),MATCH(T53,'G-7 Rivers Data'!$H$3:$L$3,0)),"")</f>
        <v/>
      </c>
      <c r="V53" s="154"/>
      <c r="W53" s="520" t="str">
        <f>IF(V53="","",IF(VLOOKUP(V53,'G-7 Rivers Data'!$AG$4:$AI$9,2,FALSE)=0,"Spatial Data Missing ⚠",VLOOKUP(V53,'G-7 Rivers Data'!$AG$4:$AI$9,2,FALSE)))</f>
        <v/>
      </c>
      <c r="X53" s="524" t="str">
        <f>IF(V53="","",IF(VLOOKUP(V53,'G-7 Rivers Data'!$AG$4:$AI$9,3,FALSE)=0,"Spatial Data Missing ⚠",VLOOKUP(V53,'G-7 Rivers Data'!$AG$4:$AI$9,3,FALSE)))</f>
        <v/>
      </c>
      <c r="Y53" s="537" t="str">
        <f>IFERROR(IF(OR(LEFT(P53,5)="Error ▲",LEFT(O53,5)="Error ▲"),"Check Data ⚠",IF(F53&lt;S53,'G-7 Rivers Data'!$R$3,INDEX('G-7 Rivers Data'!$U$5:$Y$9,MATCH(G53,'G-7 Rivers Data'!$T$5:$T$9,0),MATCH(T53,'G-7 Rivers Data'!$U$4:$Y$4,0)))),"")</f>
        <v/>
      </c>
      <c r="Z53" s="203"/>
      <c r="AA53" s="203"/>
      <c r="AB53" s="534" t="str">
        <f t="shared" si="1"/>
        <v/>
      </c>
      <c r="AC53" s="521" t="str">
        <f t="shared" si="2"/>
        <v/>
      </c>
      <c r="AD53" s="564" t="str">
        <f>IFERROR(IF(AC53="Check Data ⚠","Check Data ⚠",VLOOKUP(AC53,'G-4 Temporal multipliers'!$A$4:$C$37,3,FALSE)),"")</f>
        <v/>
      </c>
      <c r="AE53" s="537" t="str">
        <f>IF(N53="","",VLOOKUP(N53,'G-7 Rivers Data'!$B$4:$G$8,5,FALSE))</f>
        <v/>
      </c>
      <c r="AF53" s="520" t="str">
        <f t="shared" si="3"/>
        <v/>
      </c>
      <c r="AG53" s="520" t="str">
        <f t="shared" si="6"/>
        <v/>
      </c>
      <c r="AH53" s="524" t="str">
        <f t="shared" si="4"/>
        <v/>
      </c>
      <c r="AI53" s="145"/>
      <c r="AJ53" s="499" t="str">
        <f>IF(AI53="","",IF(VLOOKUP(AI53,'G-7 Rivers Data'!$AA$4:$AB$7,2,FALSE)=0,"Spatial Data Missing ⚠",VLOOKUP(AI53,'G-7 Rivers Data'!$AA$4:$AB$7,2,FALSE)))</f>
        <v/>
      </c>
      <c r="AK53" s="155"/>
      <c r="AL53" s="536" t="str">
        <f>IF(AK53="","",IF(VLOOKUP(AK53,'G-7 Rivers Data'!$AD$4:$AE$8,2,FALSE)=0,"Spatial Data Missing ⚠",VLOOKUP(AK53,'G-7 Rivers Data'!$AD$4:$AE$8,2,FALSE)))</f>
        <v/>
      </c>
      <c r="AM53" s="154"/>
      <c r="AN53" s="524" t="str">
        <f>IF(AM53="","",VLOOKUP(AM53,'G-7 Rivers Data'!$AO$4:$AP$7,2,FALSE))</f>
        <v/>
      </c>
      <c r="AO53" s="545" t="str">
        <f t="shared" si="7"/>
        <v/>
      </c>
      <c r="AP53" s="149"/>
      <c r="AQ53" s="150"/>
      <c r="AX53" s="31" t="str">
        <f>IFERROR(INDEX('G-7 Rivers Data'!$AZ$3:$AZ$7,MATCH(N53,'G-7 Rivers Data'!$AY$3:$AY$7,0)),"")</f>
        <v/>
      </c>
    </row>
    <row r="54" spans="2:50" ht="14" x14ac:dyDescent="0.3">
      <c r="B54" s="531" t="str">
        <f>'F-1 Off Site River Baseline'!AN52</f>
        <v/>
      </c>
      <c r="C54" s="520" t="str">
        <f>IF(B54="","",VLOOKUP($B54,'F-1 Off Site River Baseline'!$C$9:$R$257,2,FALSE))</f>
        <v/>
      </c>
      <c r="D54" s="520" t="str">
        <f>IF(C54="","",VLOOKUP($B54,'F-1 Off Site River Baseline'!$C$9:$R$257,3,FALSE))</f>
        <v/>
      </c>
      <c r="E54" s="520" t="str">
        <f>IF(D54="","",VLOOKUP($B54,'F-1 Off Site River Baseline'!$C$9:$R$257,4,FALSE))</f>
        <v/>
      </c>
      <c r="F54" s="520" t="str">
        <f>IF(E54="","",VLOOKUP($B54,'F-1 Off Site River Baseline'!$C$9:$R$257,5,FALSE))</f>
        <v/>
      </c>
      <c r="G54" s="520" t="str">
        <f>IF(F54="","",VLOOKUP($B54,'F-1 Off Site River Baseline'!$C$9:$R$257,6,FALSE))</f>
        <v/>
      </c>
      <c r="H54" s="520" t="str">
        <f>IF(G54="","",VLOOKUP($B54,'F-1 Off Site River Baseline'!$C$9:$R$257,7,FALSE))</f>
        <v/>
      </c>
      <c r="I54" s="520" t="str">
        <f>IF(H54="","",VLOOKUP($B54,'F-1 Off Site River Baseline'!$C$9:$R$257,8,FALSE))</f>
        <v/>
      </c>
      <c r="J54" s="520" t="str">
        <f>IF(I54="","",VLOOKUP($B54,'F-1 Off Site River Baseline'!$C$9:$R$257,9,FALSE))</f>
        <v/>
      </c>
      <c r="K54" s="520" t="str">
        <f>IF(J54="","",VLOOKUP($B54,'F-1 Off Site River Baseline'!$C$9:$R$257,10,FALSE))</f>
        <v/>
      </c>
      <c r="L54" s="520" t="str">
        <f>IF(B54="","",VLOOKUP($B54,'C-1 Site River Baseline'!$C$9:$R$257,15,FALSE))</f>
        <v/>
      </c>
      <c r="M54" s="524" t="str">
        <f>IF(L54="","",VLOOKUP($B54,'F-1 Off Site River Baseline'!$C$9:$R$257,16,FALSE))</f>
        <v/>
      </c>
      <c r="N54" s="418" t="str">
        <f t="shared" si="0"/>
        <v/>
      </c>
      <c r="O54" s="498" t="str">
        <f t="shared" si="5"/>
        <v/>
      </c>
      <c r="P54" s="499" t="str">
        <f>IF(C54="","",IF(AND(LEFT(C54,55)&lt;&gt;LEFT(N54,55),O54="High - High"),"Error - Not like for like ▲",IF(AND(F54=S54,H54&gt;U54),"Error - Can not reduce condition ▲",IF(AND(F54=S54,H54=U54,AJ54='F-1 Off Site River Baseline'!N52,'F-1 Off Site River Baseline'!P52=AL54),"Error - No enhancement ▲",IF(AND(C54&lt;&gt;N54,F54&lt;S54),"Lower Distinctiveness Habitat"&amp;" - "&amp;T54,G54&amp;" - "&amp;T54)))))</f>
        <v/>
      </c>
      <c r="Q54" s="505" t="str">
        <f>IF(N54="","",VLOOKUP(B54,'F-1 Off Site River Baseline'!$C$10:$AA$257,19,FALSE))</f>
        <v/>
      </c>
      <c r="R54" s="498" t="str">
        <f>IF(N54="","",VLOOKUP(N54,'G-7 Rivers Data'!$B$2:$G$8,2,FALSE))</f>
        <v/>
      </c>
      <c r="S54" s="499" t="str">
        <f>IFERROR(VLOOKUP(R54,'G-7 Rivers Data'!$C$4:$D$8,2,FALSE),"")</f>
        <v/>
      </c>
      <c r="T54" s="145"/>
      <c r="U54" s="499" t="str">
        <f>IFERROR(INDEX('G-7 Rivers Data'!$H$4:$L$8,MATCH(N54,'G-7 Rivers Data'!$B$4:$B$8,0),MATCH(T54,'G-7 Rivers Data'!$H$3:$L$3,0)),"")</f>
        <v/>
      </c>
      <c r="V54" s="154"/>
      <c r="W54" s="520" t="str">
        <f>IF(V54="","",IF(VLOOKUP(V54,'G-7 Rivers Data'!$AG$4:$AI$9,2,FALSE)=0,"Spatial Data Missing ⚠",VLOOKUP(V54,'G-7 Rivers Data'!$AG$4:$AI$9,2,FALSE)))</f>
        <v/>
      </c>
      <c r="X54" s="524" t="str">
        <f>IF(V54="","",IF(VLOOKUP(V54,'G-7 Rivers Data'!$AG$4:$AI$9,3,FALSE)=0,"Spatial Data Missing ⚠",VLOOKUP(V54,'G-7 Rivers Data'!$AG$4:$AI$9,3,FALSE)))</f>
        <v/>
      </c>
      <c r="Y54" s="537" t="str">
        <f>IFERROR(IF(OR(LEFT(P54,5)="Error ▲",LEFT(O54,5)="Error ▲"),"Check Data ⚠",IF(F54&lt;S54,'G-7 Rivers Data'!$R$3,INDEX('G-7 Rivers Data'!$U$5:$Y$9,MATCH(G54,'G-7 Rivers Data'!$T$5:$T$9,0),MATCH(T54,'G-7 Rivers Data'!$U$4:$Y$4,0)))),"")</f>
        <v/>
      </c>
      <c r="Z54" s="203"/>
      <c r="AA54" s="203"/>
      <c r="AB54" s="534" t="str">
        <f t="shared" si="1"/>
        <v/>
      </c>
      <c r="AC54" s="521" t="str">
        <f t="shared" si="2"/>
        <v/>
      </c>
      <c r="AD54" s="564" t="str">
        <f>IFERROR(IF(AC54="Check Data ⚠","Check Data ⚠",VLOOKUP(AC54,'G-4 Temporal multipliers'!$A$4:$C$37,3,FALSE)),"")</f>
        <v/>
      </c>
      <c r="AE54" s="537" t="str">
        <f>IF(N54="","",VLOOKUP(N54,'G-7 Rivers Data'!$B$4:$G$8,5,FALSE))</f>
        <v/>
      </c>
      <c r="AF54" s="520" t="str">
        <f t="shared" si="3"/>
        <v/>
      </c>
      <c r="AG54" s="520" t="str">
        <f t="shared" si="6"/>
        <v/>
      </c>
      <c r="AH54" s="524" t="str">
        <f t="shared" si="4"/>
        <v/>
      </c>
      <c r="AI54" s="145"/>
      <c r="AJ54" s="499" t="str">
        <f>IF(AI54="","",IF(VLOOKUP(AI54,'G-7 Rivers Data'!$AA$4:$AB$7,2,FALSE)=0,"Spatial Data Missing ⚠",VLOOKUP(AI54,'G-7 Rivers Data'!$AA$4:$AB$7,2,FALSE)))</f>
        <v/>
      </c>
      <c r="AK54" s="155"/>
      <c r="AL54" s="536" t="str">
        <f>IF(AK54="","",IF(VLOOKUP(AK54,'G-7 Rivers Data'!$AD$4:$AE$8,2,FALSE)=0,"Spatial Data Missing ⚠",VLOOKUP(AK54,'G-7 Rivers Data'!$AD$4:$AE$8,2,FALSE)))</f>
        <v/>
      </c>
      <c r="AM54" s="154"/>
      <c r="AN54" s="524" t="str">
        <f>IF(AM54="","",VLOOKUP(AM54,'G-7 Rivers Data'!$AO$4:$AP$7,2,FALSE))</f>
        <v/>
      </c>
      <c r="AO54" s="545" t="str">
        <f t="shared" si="7"/>
        <v/>
      </c>
      <c r="AP54" s="149"/>
      <c r="AQ54" s="150"/>
      <c r="AX54" s="31" t="str">
        <f>IFERROR(INDEX('G-7 Rivers Data'!$AZ$3:$AZ$7,MATCH(N54,'G-7 Rivers Data'!$AY$3:$AY$7,0)),"")</f>
        <v/>
      </c>
    </row>
    <row r="55" spans="2:50" ht="14" x14ac:dyDescent="0.3">
      <c r="B55" s="531" t="str">
        <f>'F-1 Off Site River Baseline'!AN53</f>
        <v/>
      </c>
      <c r="C55" s="520" t="str">
        <f>IF(B55="","",VLOOKUP($B55,'F-1 Off Site River Baseline'!$C$9:$R$257,2,FALSE))</f>
        <v/>
      </c>
      <c r="D55" s="520" t="str">
        <f>IF(C55="","",VLOOKUP($B55,'F-1 Off Site River Baseline'!$C$9:$R$257,3,FALSE))</f>
        <v/>
      </c>
      <c r="E55" s="520" t="str">
        <f>IF(D55="","",VLOOKUP($B55,'F-1 Off Site River Baseline'!$C$9:$R$257,4,FALSE))</f>
        <v/>
      </c>
      <c r="F55" s="520" t="str">
        <f>IF(E55="","",VLOOKUP($B55,'F-1 Off Site River Baseline'!$C$9:$R$257,5,FALSE))</f>
        <v/>
      </c>
      <c r="G55" s="520" t="str">
        <f>IF(F55="","",VLOOKUP($B55,'F-1 Off Site River Baseline'!$C$9:$R$257,6,FALSE))</f>
        <v/>
      </c>
      <c r="H55" s="520" t="str">
        <f>IF(G55="","",VLOOKUP($B55,'F-1 Off Site River Baseline'!$C$9:$R$257,7,FALSE))</f>
        <v/>
      </c>
      <c r="I55" s="520" t="str">
        <f>IF(H55="","",VLOOKUP($B55,'F-1 Off Site River Baseline'!$C$9:$R$257,8,FALSE))</f>
        <v/>
      </c>
      <c r="J55" s="520" t="str">
        <f>IF(I55="","",VLOOKUP($B55,'F-1 Off Site River Baseline'!$C$9:$R$257,9,FALSE))</f>
        <v/>
      </c>
      <c r="K55" s="520" t="str">
        <f>IF(J55="","",VLOOKUP($B55,'F-1 Off Site River Baseline'!$C$9:$R$257,10,FALSE))</f>
        <v/>
      </c>
      <c r="L55" s="520" t="str">
        <f>IF(B55="","",VLOOKUP($B55,'C-1 Site River Baseline'!$C$9:$R$257,15,FALSE))</f>
        <v/>
      </c>
      <c r="M55" s="524" t="str">
        <f>IF(L55="","",VLOOKUP($B55,'F-1 Off Site River Baseline'!$C$9:$R$257,16,FALSE))</f>
        <v/>
      </c>
      <c r="N55" s="418" t="str">
        <f t="shared" si="0"/>
        <v/>
      </c>
      <c r="O55" s="498" t="str">
        <f t="shared" si="5"/>
        <v/>
      </c>
      <c r="P55" s="499" t="str">
        <f>IF(C55="","",IF(AND(LEFT(C55,55)&lt;&gt;LEFT(N55,55),O55="High - High"),"Error - Not like for like ▲",IF(AND(F55=S55,H55&gt;U55),"Error - Can not reduce condition ▲",IF(AND(F55=S55,H55=U55,AJ55='F-1 Off Site River Baseline'!N53,'F-1 Off Site River Baseline'!P53=AL55),"Error - No enhancement ▲",IF(AND(C55&lt;&gt;N55,F55&lt;S55),"Lower Distinctiveness Habitat"&amp;" - "&amp;T55,G55&amp;" - "&amp;T55)))))</f>
        <v/>
      </c>
      <c r="Q55" s="505" t="str">
        <f>IF(N55="","",VLOOKUP(B55,'F-1 Off Site River Baseline'!$C$10:$AA$257,19,FALSE))</f>
        <v/>
      </c>
      <c r="R55" s="498" t="str">
        <f>IF(N55="","",VLOOKUP(N55,'G-7 Rivers Data'!$B$2:$G$8,2,FALSE))</f>
        <v/>
      </c>
      <c r="S55" s="499" t="str">
        <f>IFERROR(VLOOKUP(R55,'G-7 Rivers Data'!$C$4:$D$8,2,FALSE),"")</f>
        <v/>
      </c>
      <c r="T55" s="145"/>
      <c r="U55" s="499" t="str">
        <f>IFERROR(INDEX('G-7 Rivers Data'!$H$4:$L$8,MATCH(N55,'G-7 Rivers Data'!$B$4:$B$8,0),MATCH(T55,'G-7 Rivers Data'!$H$3:$L$3,0)),"")</f>
        <v/>
      </c>
      <c r="V55" s="154"/>
      <c r="W55" s="520" t="str">
        <f>IF(V55="","",IF(VLOOKUP(V55,'G-7 Rivers Data'!$AG$4:$AI$9,2,FALSE)=0,"Spatial Data Missing ⚠",VLOOKUP(V55,'G-7 Rivers Data'!$AG$4:$AI$9,2,FALSE)))</f>
        <v/>
      </c>
      <c r="X55" s="524" t="str">
        <f>IF(V55="","",IF(VLOOKUP(V55,'G-7 Rivers Data'!$AG$4:$AI$9,3,FALSE)=0,"Spatial Data Missing ⚠",VLOOKUP(V55,'G-7 Rivers Data'!$AG$4:$AI$9,3,FALSE)))</f>
        <v/>
      </c>
      <c r="Y55" s="537" t="str">
        <f>IFERROR(IF(OR(LEFT(P55,5)="Error ▲",LEFT(O55,5)="Error ▲"),"Check Data ⚠",IF(F55&lt;S55,'G-7 Rivers Data'!$R$3,INDEX('G-7 Rivers Data'!$U$5:$Y$9,MATCH(G55,'G-7 Rivers Data'!$T$5:$T$9,0),MATCH(T55,'G-7 Rivers Data'!$U$4:$Y$4,0)))),"")</f>
        <v/>
      </c>
      <c r="Z55" s="203"/>
      <c r="AA55" s="203"/>
      <c r="AB55" s="534" t="str">
        <f t="shared" si="1"/>
        <v/>
      </c>
      <c r="AC55" s="521" t="str">
        <f t="shared" si="2"/>
        <v/>
      </c>
      <c r="AD55" s="564" t="str">
        <f>IFERROR(IF(AC55="Check Data ⚠","Check Data ⚠",VLOOKUP(AC55,'G-4 Temporal multipliers'!$A$4:$C$37,3,FALSE)),"")</f>
        <v/>
      </c>
      <c r="AE55" s="537" t="str">
        <f>IF(N55="","",VLOOKUP(N55,'G-7 Rivers Data'!$B$4:$G$8,5,FALSE))</f>
        <v/>
      </c>
      <c r="AF55" s="520" t="str">
        <f t="shared" si="3"/>
        <v/>
      </c>
      <c r="AG55" s="520" t="str">
        <f t="shared" si="6"/>
        <v/>
      </c>
      <c r="AH55" s="524" t="str">
        <f t="shared" si="4"/>
        <v/>
      </c>
      <c r="AI55" s="145"/>
      <c r="AJ55" s="499" t="str">
        <f>IF(AI55="","",IF(VLOOKUP(AI55,'G-7 Rivers Data'!$AA$4:$AB$7,2,FALSE)=0,"Spatial Data Missing ⚠",VLOOKUP(AI55,'G-7 Rivers Data'!$AA$4:$AB$7,2,FALSE)))</f>
        <v/>
      </c>
      <c r="AK55" s="155"/>
      <c r="AL55" s="536" t="str">
        <f>IF(AK55="","",IF(VLOOKUP(AK55,'G-7 Rivers Data'!$AD$4:$AE$8,2,FALSE)=0,"Spatial Data Missing ⚠",VLOOKUP(AK55,'G-7 Rivers Data'!$AD$4:$AE$8,2,FALSE)))</f>
        <v/>
      </c>
      <c r="AM55" s="154"/>
      <c r="AN55" s="524" t="str">
        <f>IF(AM55="","",VLOOKUP(AM55,'G-7 Rivers Data'!$AO$4:$AP$7,2,FALSE))</f>
        <v/>
      </c>
      <c r="AO55" s="545" t="str">
        <f t="shared" si="7"/>
        <v/>
      </c>
      <c r="AP55" s="149"/>
      <c r="AQ55" s="150"/>
      <c r="AX55" s="31" t="str">
        <f>IFERROR(INDEX('G-7 Rivers Data'!$AZ$3:$AZ$7,MATCH(N55,'G-7 Rivers Data'!$AY$3:$AY$7,0)),"")</f>
        <v/>
      </c>
    </row>
    <row r="56" spans="2:50" ht="14" x14ac:dyDescent="0.3">
      <c r="B56" s="531" t="str">
        <f>'F-1 Off Site River Baseline'!AN54</f>
        <v/>
      </c>
      <c r="C56" s="520" t="str">
        <f>IF(B56="","",VLOOKUP($B56,'F-1 Off Site River Baseline'!$C$9:$R$257,2,FALSE))</f>
        <v/>
      </c>
      <c r="D56" s="520" t="str">
        <f>IF(C56="","",VLOOKUP($B56,'F-1 Off Site River Baseline'!$C$9:$R$257,3,FALSE))</f>
        <v/>
      </c>
      <c r="E56" s="520" t="str">
        <f>IF(D56="","",VLOOKUP($B56,'F-1 Off Site River Baseline'!$C$9:$R$257,4,FALSE))</f>
        <v/>
      </c>
      <c r="F56" s="520" t="str">
        <f>IF(E56="","",VLOOKUP($B56,'F-1 Off Site River Baseline'!$C$9:$R$257,5,FALSE))</f>
        <v/>
      </c>
      <c r="G56" s="520" t="str">
        <f>IF(F56="","",VLOOKUP($B56,'F-1 Off Site River Baseline'!$C$9:$R$257,6,FALSE))</f>
        <v/>
      </c>
      <c r="H56" s="520" t="str">
        <f>IF(G56="","",VLOOKUP($B56,'F-1 Off Site River Baseline'!$C$9:$R$257,7,FALSE))</f>
        <v/>
      </c>
      <c r="I56" s="520" t="str">
        <f>IF(H56="","",VLOOKUP($B56,'F-1 Off Site River Baseline'!$C$9:$R$257,8,FALSE))</f>
        <v/>
      </c>
      <c r="J56" s="520" t="str">
        <f>IF(I56="","",VLOOKUP($B56,'F-1 Off Site River Baseline'!$C$9:$R$257,9,FALSE))</f>
        <v/>
      </c>
      <c r="K56" s="520" t="str">
        <f>IF(J56="","",VLOOKUP($B56,'F-1 Off Site River Baseline'!$C$9:$R$257,10,FALSE))</f>
        <v/>
      </c>
      <c r="L56" s="520" t="str">
        <f>IF(B56="","",VLOOKUP($B56,'C-1 Site River Baseline'!$C$9:$R$257,15,FALSE))</f>
        <v/>
      </c>
      <c r="M56" s="524" t="str">
        <f>IF(L56="","",VLOOKUP($B56,'F-1 Off Site River Baseline'!$C$9:$R$257,16,FALSE))</f>
        <v/>
      </c>
      <c r="N56" s="418" t="str">
        <f t="shared" si="0"/>
        <v/>
      </c>
      <c r="O56" s="498" t="str">
        <f t="shared" si="5"/>
        <v/>
      </c>
      <c r="P56" s="499" t="str">
        <f>IF(C56="","",IF(AND(LEFT(C56,55)&lt;&gt;LEFT(N56,55),O56="High - High"),"Error - Not like for like ▲",IF(AND(F56=S56,H56&gt;U56),"Error - Can not reduce condition ▲",IF(AND(F56=S56,H56=U56,AJ56='F-1 Off Site River Baseline'!N54,'F-1 Off Site River Baseline'!P54=AL56),"Error - No enhancement ▲",IF(AND(C56&lt;&gt;N56,F56&lt;S56),"Lower Distinctiveness Habitat"&amp;" - "&amp;T56,G56&amp;" - "&amp;T56)))))</f>
        <v/>
      </c>
      <c r="Q56" s="505" t="str">
        <f>IF(N56="","",VLOOKUP(B56,'F-1 Off Site River Baseline'!$C$10:$AA$257,19,FALSE))</f>
        <v/>
      </c>
      <c r="R56" s="498" t="str">
        <f>IF(N56="","",VLOOKUP(N56,'G-7 Rivers Data'!$B$2:$G$8,2,FALSE))</f>
        <v/>
      </c>
      <c r="S56" s="499" t="str">
        <f>IFERROR(VLOOKUP(R56,'G-7 Rivers Data'!$C$4:$D$8,2,FALSE),"")</f>
        <v/>
      </c>
      <c r="T56" s="145"/>
      <c r="U56" s="499" t="str">
        <f>IFERROR(INDEX('G-7 Rivers Data'!$H$4:$L$8,MATCH(N56,'G-7 Rivers Data'!$B$4:$B$8,0),MATCH(T56,'G-7 Rivers Data'!$H$3:$L$3,0)),"")</f>
        <v/>
      </c>
      <c r="V56" s="154"/>
      <c r="W56" s="520" t="str">
        <f>IF(V56="","",IF(VLOOKUP(V56,'G-7 Rivers Data'!$AG$4:$AI$9,2,FALSE)=0,"Spatial Data Missing ⚠",VLOOKUP(V56,'G-7 Rivers Data'!$AG$4:$AI$9,2,FALSE)))</f>
        <v/>
      </c>
      <c r="X56" s="524" t="str">
        <f>IF(V56="","",IF(VLOOKUP(V56,'G-7 Rivers Data'!$AG$4:$AI$9,3,FALSE)=0,"Spatial Data Missing ⚠",VLOOKUP(V56,'G-7 Rivers Data'!$AG$4:$AI$9,3,FALSE)))</f>
        <v/>
      </c>
      <c r="Y56" s="537" t="str">
        <f>IFERROR(IF(OR(LEFT(P56,5)="Error ▲",LEFT(O56,5)="Error ▲"),"Check Data ⚠",IF(F56&lt;S56,'G-7 Rivers Data'!$R$3,INDEX('G-7 Rivers Data'!$U$5:$Y$9,MATCH(G56,'G-7 Rivers Data'!$T$5:$T$9,0),MATCH(T56,'G-7 Rivers Data'!$U$4:$Y$4,0)))),"")</f>
        <v/>
      </c>
      <c r="Z56" s="203"/>
      <c r="AA56" s="203"/>
      <c r="AB56" s="534" t="str">
        <f t="shared" si="1"/>
        <v/>
      </c>
      <c r="AC56" s="521" t="str">
        <f t="shared" si="2"/>
        <v/>
      </c>
      <c r="AD56" s="564" t="str">
        <f>IFERROR(IF(AC56="Check Data ⚠","Check Data ⚠",VLOOKUP(AC56,'G-4 Temporal multipliers'!$A$4:$C$37,3,FALSE)),"")</f>
        <v/>
      </c>
      <c r="AE56" s="537" t="str">
        <f>IF(N56="","",VLOOKUP(N56,'G-7 Rivers Data'!$B$4:$G$8,5,FALSE))</f>
        <v/>
      </c>
      <c r="AF56" s="520" t="str">
        <f t="shared" si="3"/>
        <v/>
      </c>
      <c r="AG56" s="520" t="str">
        <f t="shared" si="6"/>
        <v/>
      </c>
      <c r="AH56" s="524" t="str">
        <f t="shared" si="4"/>
        <v/>
      </c>
      <c r="AI56" s="145"/>
      <c r="AJ56" s="499" t="str">
        <f>IF(AI56="","",IF(VLOOKUP(AI56,'G-7 Rivers Data'!$AA$4:$AB$7,2,FALSE)=0,"Spatial Data Missing ⚠",VLOOKUP(AI56,'G-7 Rivers Data'!$AA$4:$AB$7,2,FALSE)))</f>
        <v/>
      </c>
      <c r="AK56" s="155"/>
      <c r="AL56" s="536" t="str">
        <f>IF(AK56="","",IF(VLOOKUP(AK56,'G-7 Rivers Data'!$AD$4:$AE$8,2,FALSE)=0,"Spatial Data Missing ⚠",VLOOKUP(AK56,'G-7 Rivers Data'!$AD$4:$AE$8,2,FALSE)))</f>
        <v/>
      </c>
      <c r="AM56" s="154"/>
      <c r="AN56" s="524" t="str">
        <f>IF(AM56="","",VLOOKUP(AM56,'G-7 Rivers Data'!$AO$4:$AP$7,2,FALSE))</f>
        <v/>
      </c>
      <c r="AO56" s="545" t="str">
        <f t="shared" si="7"/>
        <v/>
      </c>
      <c r="AP56" s="149"/>
      <c r="AQ56" s="150"/>
      <c r="AX56" s="31" t="str">
        <f>IFERROR(INDEX('G-7 Rivers Data'!$AZ$3:$AZ$7,MATCH(N56,'G-7 Rivers Data'!$AY$3:$AY$7,0)),"")</f>
        <v/>
      </c>
    </row>
    <row r="57" spans="2:50" ht="14" x14ac:dyDescent="0.3">
      <c r="B57" s="531" t="str">
        <f>'F-1 Off Site River Baseline'!AN55</f>
        <v/>
      </c>
      <c r="C57" s="520" t="str">
        <f>IF(B57="","",VLOOKUP($B57,'F-1 Off Site River Baseline'!$C$9:$R$257,2,FALSE))</f>
        <v/>
      </c>
      <c r="D57" s="520" t="str">
        <f>IF(C57="","",VLOOKUP($B57,'F-1 Off Site River Baseline'!$C$9:$R$257,3,FALSE))</f>
        <v/>
      </c>
      <c r="E57" s="520" t="str">
        <f>IF(D57="","",VLOOKUP($B57,'F-1 Off Site River Baseline'!$C$9:$R$257,4,FALSE))</f>
        <v/>
      </c>
      <c r="F57" s="520" t="str">
        <f>IF(E57="","",VLOOKUP($B57,'F-1 Off Site River Baseline'!$C$9:$R$257,5,FALSE))</f>
        <v/>
      </c>
      <c r="G57" s="520" t="str">
        <f>IF(F57="","",VLOOKUP($B57,'F-1 Off Site River Baseline'!$C$9:$R$257,6,FALSE))</f>
        <v/>
      </c>
      <c r="H57" s="520" t="str">
        <f>IF(G57="","",VLOOKUP($B57,'F-1 Off Site River Baseline'!$C$9:$R$257,7,FALSE))</f>
        <v/>
      </c>
      <c r="I57" s="520" t="str">
        <f>IF(H57="","",VLOOKUP($B57,'F-1 Off Site River Baseline'!$C$9:$R$257,8,FALSE))</f>
        <v/>
      </c>
      <c r="J57" s="520" t="str">
        <f>IF(I57="","",VLOOKUP($B57,'F-1 Off Site River Baseline'!$C$9:$R$257,9,FALSE))</f>
        <v/>
      </c>
      <c r="K57" s="520" t="str">
        <f>IF(J57="","",VLOOKUP($B57,'F-1 Off Site River Baseline'!$C$9:$R$257,10,FALSE))</f>
        <v/>
      </c>
      <c r="L57" s="520" t="str">
        <f>IF(B57="","",VLOOKUP($B57,'C-1 Site River Baseline'!$C$9:$R$257,15,FALSE))</f>
        <v/>
      </c>
      <c r="M57" s="524" t="str">
        <f>IF(L57="","",VLOOKUP($B57,'F-1 Off Site River Baseline'!$C$9:$R$257,16,FALSE))</f>
        <v/>
      </c>
      <c r="N57" s="418" t="str">
        <f t="shared" si="0"/>
        <v/>
      </c>
      <c r="O57" s="498" t="str">
        <f t="shared" si="5"/>
        <v/>
      </c>
      <c r="P57" s="499" t="str">
        <f>IF(C57="","",IF(AND(LEFT(C57,55)&lt;&gt;LEFT(N57,55),O57="High - High"),"Error - Not like for like ▲",IF(AND(F57=S57,H57&gt;U57),"Error - Can not reduce condition ▲",IF(AND(F57=S57,H57=U57,AJ57='F-1 Off Site River Baseline'!N55,'F-1 Off Site River Baseline'!P55=AL57),"Error - No enhancement ▲",IF(AND(C57&lt;&gt;N57,F57&lt;S57),"Lower Distinctiveness Habitat"&amp;" - "&amp;T57,G57&amp;" - "&amp;T57)))))</f>
        <v/>
      </c>
      <c r="Q57" s="505" t="str">
        <f>IF(N57="","",VLOOKUP(B57,'F-1 Off Site River Baseline'!$C$10:$AA$257,19,FALSE))</f>
        <v/>
      </c>
      <c r="R57" s="498" t="str">
        <f>IF(N57="","",VLOOKUP(N57,'G-7 Rivers Data'!$B$2:$G$8,2,FALSE))</f>
        <v/>
      </c>
      <c r="S57" s="499" t="str">
        <f>IFERROR(VLOOKUP(R57,'G-7 Rivers Data'!$C$4:$D$8,2,FALSE),"")</f>
        <v/>
      </c>
      <c r="T57" s="145"/>
      <c r="U57" s="499" t="str">
        <f>IFERROR(INDEX('G-7 Rivers Data'!$H$4:$L$8,MATCH(N57,'G-7 Rivers Data'!$B$4:$B$8,0),MATCH(T57,'G-7 Rivers Data'!$H$3:$L$3,0)),"")</f>
        <v/>
      </c>
      <c r="V57" s="154"/>
      <c r="W57" s="520" t="str">
        <f>IF(V57="","",IF(VLOOKUP(V57,'G-7 Rivers Data'!$AG$4:$AI$9,2,FALSE)=0,"Spatial Data Missing ⚠",VLOOKUP(V57,'G-7 Rivers Data'!$AG$4:$AI$9,2,FALSE)))</f>
        <v/>
      </c>
      <c r="X57" s="524" t="str">
        <f>IF(V57="","",IF(VLOOKUP(V57,'G-7 Rivers Data'!$AG$4:$AI$9,3,FALSE)=0,"Spatial Data Missing ⚠",VLOOKUP(V57,'G-7 Rivers Data'!$AG$4:$AI$9,3,FALSE)))</f>
        <v/>
      </c>
      <c r="Y57" s="537" t="str">
        <f>IFERROR(IF(OR(LEFT(P57,5)="Error ▲",LEFT(O57,5)="Error ▲"),"Check Data ⚠",IF(F57&lt;S57,'G-7 Rivers Data'!$R$3,INDEX('G-7 Rivers Data'!$U$5:$Y$9,MATCH(G57,'G-7 Rivers Data'!$T$5:$T$9,0),MATCH(T57,'G-7 Rivers Data'!$U$4:$Y$4,0)))),"")</f>
        <v/>
      </c>
      <c r="Z57" s="203"/>
      <c r="AA57" s="203"/>
      <c r="AB57" s="534" t="str">
        <f t="shared" si="1"/>
        <v/>
      </c>
      <c r="AC57" s="521" t="str">
        <f t="shared" si="2"/>
        <v/>
      </c>
      <c r="AD57" s="564" t="str">
        <f>IFERROR(IF(AC57="Check Data ⚠","Check Data ⚠",VLOOKUP(AC57,'G-4 Temporal multipliers'!$A$4:$C$37,3,FALSE)),"")</f>
        <v/>
      </c>
      <c r="AE57" s="537" t="str">
        <f>IF(N57="","",VLOOKUP(N57,'G-7 Rivers Data'!$B$4:$G$8,5,FALSE))</f>
        <v/>
      </c>
      <c r="AF57" s="520" t="str">
        <f t="shared" si="3"/>
        <v/>
      </c>
      <c r="AG57" s="520" t="str">
        <f t="shared" si="6"/>
        <v/>
      </c>
      <c r="AH57" s="524" t="str">
        <f t="shared" si="4"/>
        <v/>
      </c>
      <c r="AI57" s="145"/>
      <c r="AJ57" s="499" t="str">
        <f>IF(AI57="","",IF(VLOOKUP(AI57,'G-7 Rivers Data'!$AA$4:$AB$7,2,FALSE)=0,"Spatial Data Missing ⚠",VLOOKUP(AI57,'G-7 Rivers Data'!$AA$4:$AB$7,2,FALSE)))</f>
        <v/>
      </c>
      <c r="AK57" s="155"/>
      <c r="AL57" s="536" t="str">
        <f>IF(AK57="","",IF(VLOOKUP(AK57,'G-7 Rivers Data'!$AD$4:$AE$8,2,FALSE)=0,"Spatial Data Missing ⚠",VLOOKUP(AK57,'G-7 Rivers Data'!$AD$4:$AE$8,2,FALSE)))</f>
        <v/>
      </c>
      <c r="AM57" s="154"/>
      <c r="AN57" s="524" t="str">
        <f>IF(AM57="","",VLOOKUP(AM57,'G-7 Rivers Data'!$AO$4:$AP$7,2,FALSE))</f>
        <v/>
      </c>
      <c r="AO57" s="545" t="str">
        <f t="shared" si="7"/>
        <v/>
      </c>
      <c r="AP57" s="149"/>
      <c r="AQ57" s="150"/>
      <c r="AX57" s="31" t="str">
        <f>IFERROR(INDEX('G-7 Rivers Data'!$AZ$3:$AZ$7,MATCH(N57,'G-7 Rivers Data'!$AY$3:$AY$7,0)),"")</f>
        <v/>
      </c>
    </row>
    <row r="58" spans="2:50" ht="14" x14ac:dyDescent="0.3">
      <c r="B58" s="531" t="str">
        <f>'F-1 Off Site River Baseline'!AN56</f>
        <v/>
      </c>
      <c r="C58" s="520" t="str">
        <f>IF(B58="","",VLOOKUP($B58,'F-1 Off Site River Baseline'!$C$9:$R$257,2,FALSE))</f>
        <v/>
      </c>
      <c r="D58" s="520" t="str">
        <f>IF(C58="","",VLOOKUP($B58,'F-1 Off Site River Baseline'!$C$9:$R$257,3,FALSE))</f>
        <v/>
      </c>
      <c r="E58" s="520" t="str">
        <f>IF(D58="","",VLOOKUP($B58,'F-1 Off Site River Baseline'!$C$9:$R$257,4,FALSE))</f>
        <v/>
      </c>
      <c r="F58" s="520" t="str">
        <f>IF(E58="","",VLOOKUP($B58,'F-1 Off Site River Baseline'!$C$9:$R$257,5,FALSE))</f>
        <v/>
      </c>
      <c r="G58" s="520" t="str">
        <f>IF(F58="","",VLOOKUP($B58,'F-1 Off Site River Baseline'!$C$9:$R$257,6,FALSE))</f>
        <v/>
      </c>
      <c r="H58" s="520" t="str">
        <f>IF(G58="","",VLOOKUP($B58,'F-1 Off Site River Baseline'!$C$9:$R$257,7,FALSE))</f>
        <v/>
      </c>
      <c r="I58" s="520" t="str">
        <f>IF(H58="","",VLOOKUP($B58,'F-1 Off Site River Baseline'!$C$9:$R$257,8,FALSE))</f>
        <v/>
      </c>
      <c r="J58" s="520" t="str">
        <f>IF(I58="","",VLOOKUP($B58,'F-1 Off Site River Baseline'!$C$9:$R$257,9,FALSE))</f>
        <v/>
      </c>
      <c r="K58" s="520" t="str">
        <f>IF(J58="","",VLOOKUP($B58,'F-1 Off Site River Baseline'!$C$9:$R$257,10,FALSE))</f>
        <v/>
      </c>
      <c r="L58" s="520" t="str">
        <f>IF(B58="","",VLOOKUP($B58,'C-1 Site River Baseline'!$C$9:$R$257,15,FALSE))</f>
        <v/>
      </c>
      <c r="M58" s="524" t="str">
        <f>IF(L58="","",VLOOKUP($B58,'F-1 Off Site River Baseline'!$C$9:$R$257,16,FALSE))</f>
        <v/>
      </c>
      <c r="N58" s="418" t="str">
        <f t="shared" si="0"/>
        <v/>
      </c>
      <c r="O58" s="498" t="str">
        <f t="shared" si="5"/>
        <v/>
      </c>
      <c r="P58" s="499" t="str">
        <f>IF(C58="","",IF(AND(LEFT(C58,55)&lt;&gt;LEFT(N58,55),O58="High - High"),"Error - Not like for like ▲",IF(AND(F58=S58,H58&gt;U58),"Error - Can not reduce condition ▲",IF(AND(F58=S58,H58=U58,AJ58='F-1 Off Site River Baseline'!N56,'F-1 Off Site River Baseline'!P56=AL58),"Error - No enhancement ▲",IF(AND(C58&lt;&gt;N58,F58&lt;S58),"Lower Distinctiveness Habitat"&amp;" - "&amp;T58,G58&amp;" - "&amp;T58)))))</f>
        <v/>
      </c>
      <c r="Q58" s="505" t="str">
        <f>IF(N58="","",VLOOKUP(B58,'F-1 Off Site River Baseline'!$C$10:$AA$257,19,FALSE))</f>
        <v/>
      </c>
      <c r="R58" s="498" t="str">
        <f>IF(N58="","",VLOOKUP(N58,'G-7 Rivers Data'!$B$2:$G$8,2,FALSE))</f>
        <v/>
      </c>
      <c r="S58" s="499" t="str">
        <f>IFERROR(VLOOKUP(R58,'G-7 Rivers Data'!$C$4:$D$8,2,FALSE),"")</f>
        <v/>
      </c>
      <c r="T58" s="145"/>
      <c r="U58" s="499" t="str">
        <f>IFERROR(INDEX('G-7 Rivers Data'!$H$4:$L$8,MATCH(N58,'G-7 Rivers Data'!$B$4:$B$8,0),MATCH(T58,'G-7 Rivers Data'!$H$3:$L$3,0)),"")</f>
        <v/>
      </c>
      <c r="V58" s="154"/>
      <c r="W58" s="520" t="str">
        <f>IF(V58="","",IF(VLOOKUP(V58,'G-7 Rivers Data'!$AG$4:$AI$9,2,FALSE)=0,"Spatial Data Missing ⚠",VLOOKUP(V58,'G-7 Rivers Data'!$AG$4:$AI$9,2,FALSE)))</f>
        <v/>
      </c>
      <c r="X58" s="524" t="str">
        <f>IF(V58="","",IF(VLOOKUP(V58,'G-7 Rivers Data'!$AG$4:$AI$9,3,FALSE)=0,"Spatial Data Missing ⚠",VLOOKUP(V58,'G-7 Rivers Data'!$AG$4:$AI$9,3,FALSE)))</f>
        <v/>
      </c>
      <c r="Y58" s="537" t="str">
        <f>IFERROR(IF(OR(LEFT(P58,5)="Error ▲",LEFT(O58,5)="Error ▲"),"Check Data ⚠",IF(F58&lt;S58,'G-7 Rivers Data'!$R$3,INDEX('G-7 Rivers Data'!$U$5:$Y$9,MATCH(G58,'G-7 Rivers Data'!$T$5:$T$9,0),MATCH(T58,'G-7 Rivers Data'!$U$4:$Y$4,0)))),"")</f>
        <v/>
      </c>
      <c r="Z58" s="203"/>
      <c r="AA58" s="203"/>
      <c r="AB58" s="534" t="str">
        <f t="shared" si="1"/>
        <v/>
      </c>
      <c r="AC58" s="521" t="str">
        <f t="shared" si="2"/>
        <v/>
      </c>
      <c r="AD58" s="564" t="str">
        <f>IFERROR(IF(AC58="Check Data ⚠","Check Data ⚠",VLOOKUP(AC58,'G-4 Temporal multipliers'!$A$4:$C$37,3,FALSE)),"")</f>
        <v/>
      </c>
      <c r="AE58" s="537" t="str">
        <f>IF(N58="","",VLOOKUP(N58,'G-7 Rivers Data'!$B$4:$G$8,5,FALSE))</f>
        <v/>
      </c>
      <c r="AF58" s="520" t="str">
        <f t="shared" si="3"/>
        <v/>
      </c>
      <c r="AG58" s="520" t="str">
        <f t="shared" si="6"/>
        <v/>
      </c>
      <c r="AH58" s="524" t="str">
        <f t="shared" si="4"/>
        <v/>
      </c>
      <c r="AI58" s="145"/>
      <c r="AJ58" s="499" t="str">
        <f>IF(AI58="","",IF(VLOOKUP(AI58,'G-7 Rivers Data'!$AA$4:$AB$7,2,FALSE)=0,"Spatial Data Missing ⚠",VLOOKUP(AI58,'G-7 Rivers Data'!$AA$4:$AB$7,2,FALSE)))</f>
        <v/>
      </c>
      <c r="AK58" s="155"/>
      <c r="AL58" s="536" t="str">
        <f>IF(AK58="","",IF(VLOOKUP(AK58,'G-7 Rivers Data'!$AD$4:$AE$8,2,FALSE)=0,"Spatial Data Missing ⚠",VLOOKUP(AK58,'G-7 Rivers Data'!$AD$4:$AE$8,2,FALSE)))</f>
        <v/>
      </c>
      <c r="AM58" s="154"/>
      <c r="AN58" s="524" t="str">
        <f>IF(AM58="","",VLOOKUP(AM58,'G-7 Rivers Data'!$AO$4:$AP$7,2,FALSE))</f>
        <v/>
      </c>
      <c r="AO58" s="545" t="str">
        <f t="shared" si="7"/>
        <v/>
      </c>
      <c r="AP58" s="149"/>
      <c r="AQ58" s="150"/>
      <c r="AX58" s="31" t="str">
        <f>IFERROR(INDEX('G-7 Rivers Data'!$AZ$3:$AZ$7,MATCH(N58,'G-7 Rivers Data'!$AY$3:$AY$7,0)),"")</f>
        <v/>
      </c>
    </row>
    <row r="59" spans="2:50" ht="14" x14ac:dyDescent="0.3">
      <c r="B59" s="531" t="str">
        <f>'F-1 Off Site River Baseline'!AN57</f>
        <v/>
      </c>
      <c r="C59" s="520" t="str">
        <f>IF(B59="","",VLOOKUP($B59,'F-1 Off Site River Baseline'!$C$9:$R$257,2,FALSE))</f>
        <v/>
      </c>
      <c r="D59" s="520" t="str">
        <f>IF(C59="","",VLOOKUP($B59,'F-1 Off Site River Baseline'!$C$9:$R$257,3,FALSE))</f>
        <v/>
      </c>
      <c r="E59" s="520" t="str">
        <f>IF(D59="","",VLOOKUP($B59,'F-1 Off Site River Baseline'!$C$9:$R$257,4,FALSE))</f>
        <v/>
      </c>
      <c r="F59" s="520" t="str">
        <f>IF(E59="","",VLOOKUP($B59,'F-1 Off Site River Baseline'!$C$9:$R$257,5,FALSE))</f>
        <v/>
      </c>
      <c r="G59" s="520" t="str">
        <f>IF(F59="","",VLOOKUP($B59,'F-1 Off Site River Baseline'!$C$9:$R$257,6,FALSE))</f>
        <v/>
      </c>
      <c r="H59" s="520" t="str">
        <f>IF(G59="","",VLOOKUP($B59,'F-1 Off Site River Baseline'!$C$9:$R$257,7,FALSE))</f>
        <v/>
      </c>
      <c r="I59" s="520" t="str">
        <f>IF(H59="","",VLOOKUP($B59,'F-1 Off Site River Baseline'!$C$9:$R$257,8,FALSE))</f>
        <v/>
      </c>
      <c r="J59" s="520" t="str">
        <f>IF(I59="","",VLOOKUP($B59,'F-1 Off Site River Baseline'!$C$9:$R$257,9,FALSE))</f>
        <v/>
      </c>
      <c r="K59" s="520" t="str">
        <f>IF(J59="","",VLOOKUP($B59,'F-1 Off Site River Baseline'!$C$9:$R$257,10,FALSE))</f>
        <v/>
      </c>
      <c r="L59" s="520" t="str">
        <f>IF(B59="","",VLOOKUP($B59,'C-1 Site River Baseline'!$C$9:$R$257,15,FALSE))</f>
        <v/>
      </c>
      <c r="M59" s="524" t="str">
        <f>IF(L59="","",VLOOKUP($B59,'F-1 Off Site River Baseline'!$C$9:$R$257,16,FALSE))</f>
        <v/>
      </c>
      <c r="N59" s="418" t="str">
        <f t="shared" si="0"/>
        <v/>
      </c>
      <c r="O59" s="498" t="str">
        <f t="shared" si="5"/>
        <v/>
      </c>
      <c r="P59" s="499" t="str">
        <f>IF(C59="","",IF(AND(LEFT(C59,55)&lt;&gt;LEFT(N59,55),O59="High - High"),"Error - Not like for like ▲",IF(AND(F59=S59,H59&gt;U59),"Error - Can not reduce condition ▲",IF(AND(F59=S59,H59=U59,AJ59='F-1 Off Site River Baseline'!N57,'F-1 Off Site River Baseline'!P57=AL59),"Error - No enhancement ▲",IF(AND(C59&lt;&gt;N59,F59&lt;S59),"Lower Distinctiveness Habitat"&amp;" - "&amp;T59,G59&amp;" - "&amp;T59)))))</f>
        <v/>
      </c>
      <c r="Q59" s="505" t="str">
        <f>IF(N59="","",VLOOKUP(B59,'F-1 Off Site River Baseline'!$C$10:$AA$257,19,FALSE))</f>
        <v/>
      </c>
      <c r="R59" s="498" t="str">
        <f>IF(N59="","",VLOOKUP(N59,'G-7 Rivers Data'!$B$2:$G$8,2,FALSE))</f>
        <v/>
      </c>
      <c r="S59" s="499" t="str">
        <f>IFERROR(VLOOKUP(R59,'G-7 Rivers Data'!$C$4:$D$8,2,FALSE),"")</f>
        <v/>
      </c>
      <c r="T59" s="145"/>
      <c r="U59" s="499" t="str">
        <f>IFERROR(INDEX('G-7 Rivers Data'!$H$4:$L$8,MATCH(N59,'G-7 Rivers Data'!$B$4:$B$8,0),MATCH(T59,'G-7 Rivers Data'!$H$3:$L$3,0)),"")</f>
        <v/>
      </c>
      <c r="V59" s="154"/>
      <c r="W59" s="520" t="str">
        <f>IF(V59="","",IF(VLOOKUP(V59,'G-7 Rivers Data'!$AG$4:$AI$9,2,FALSE)=0,"Spatial Data Missing ⚠",VLOOKUP(V59,'G-7 Rivers Data'!$AG$4:$AI$9,2,FALSE)))</f>
        <v/>
      </c>
      <c r="X59" s="524" t="str">
        <f>IF(V59="","",IF(VLOOKUP(V59,'G-7 Rivers Data'!$AG$4:$AI$9,3,FALSE)=0,"Spatial Data Missing ⚠",VLOOKUP(V59,'G-7 Rivers Data'!$AG$4:$AI$9,3,FALSE)))</f>
        <v/>
      </c>
      <c r="Y59" s="537" t="str">
        <f>IFERROR(IF(OR(LEFT(P59,5)="Error ▲",LEFT(O59,5)="Error ▲"),"Check Data ⚠",IF(F59&lt;S59,'G-7 Rivers Data'!$R$3,INDEX('G-7 Rivers Data'!$U$5:$Y$9,MATCH(G59,'G-7 Rivers Data'!$T$5:$T$9,0),MATCH(T59,'G-7 Rivers Data'!$U$4:$Y$4,0)))),"")</f>
        <v/>
      </c>
      <c r="Z59" s="203"/>
      <c r="AA59" s="203"/>
      <c r="AB59" s="534" t="str">
        <f t="shared" si="1"/>
        <v/>
      </c>
      <c r="AC59" s="521" t="str">
        <f t="shared" si="2"/>
        <v/>
      </c>
      <c r="AD59" s="564" t="str">
        <f>IFERROR(IF(AC59="Check Data ⚠","Check Data ⚠",VLOOKUP(AC59,'G-4 Temporal multipliers'!$A$4:$C$37,3,FALSE)),"")</f>
        <v/>
      </c>
      <c r="AE59" s="537" t="str">
        <f>IF(N59="","",VLOOKUP(N59,'G-7 Rivers Data'!$B$4:$G$8,5,FALSE))</f>
        <v/>
      </c>
      <c r="AF59" s="520" t="str">
        <f t="shared" si="3"/>
        <v/>
      </c>
      <c r="AG59" s="520" t="str">
        <f t="shared" si="6"/>
        <v/>
      </c>
      <c r="AH59" s="524" t="str">
        <f t="shared" si="4"/>
        <v/>
      </c>
      <c r="AI59" s="145"/>
      <c r="AJ59" s="499" t="str">
        <f>IF(AI59="","",IF(VLOOKUP(AI59,'G-7 Rivers Data'!$AA$4:$AB$7,2,FALSE)=0,"Spatial Data Missing ⚠",VLOOKUP(AI59,'G-7 Rivers Data'!$AA$4:$AB$7,2,FALSE)))</f>
        <v/>
      </c>
      <c r="AK59" s="155"/>
      <c r="AL59" s="536" t="str">
        <f>IF(AK59="","",IF(VLOOKUP(AK59,'G-7 Rivers Data'!$AD$4:$AE$8,2,FALSE)=0,"Spatial Data Missing ⚠",VLOOKUP(AK59,'G-7 Rivers Data'!$AD$4:$AE$8,2,FALSE)))</f>
        <v/>
      </c>
      <c r="AM59" s="154"/>
      <c r="AN59" s="524" t="str">
        <f>IF(AM59="","",VLOOKUP(AM59,'G-7 Rivers Data'!$AO$4:$AP$7,2,FALSE))</f>
        <v/>
      </c>
      <c r="AO59" s="545" t="str">
        <f t="shared" si="7"/>
        <v/>
      </c>
      <c r="AP59" s="149"/>
      <c r="AQ59" s="150"/>
      <c r="AX59" s="31" t="str">
        <f>IFERROR(INDEX('G-7 Rivers Data'!$AZ$3:$AZ$7,MATCH(N59,'G-7 Rivers Data'!$AY$3:$AY$7,0)),"")</f>
        <v/>
      </c>
    </row>
    <row r="60" spans="2:50" ht="14" x14ac:dyDescent="0.3">
      <c r="B60" s="531" t="str">
        <f>'F-1 Off Site River Baseline'!AN58</f>
        <v/>
      </c>
      <c r="C60" s="520" t="str">
        <f>IF(B60="","",VLOOKUP($B60,'F-1 Off Site River Baseline'!$C$9:$R$257,2,FALSE))</f>
        <v/>
      </c>
      <c r="D60" s="520" t="str">
        <f>IF(C60="","",VLOOKUP($B60,'F-1 Off Site River Baseline'!$C$9:$R$257,3,FALSE))</f>
        <v/>
      </c>
      <c r="E60" s="520" t="str">
        <f>IF(D60="","",VLOOKUP($B60,'F-1 Off Site River Baseline'!$C$9:$R$257,4,FALSE))</f>
        <v/>
      </c>
      <c r="F60" s="520" t="str">
        <f>IF(E60="","",VLOOKUP($B60,'F-1 Off Site River Baseline'!$C$9:$R$257,5,FALSE))</f>
        <v/>
      </c>
      <c r="G60" s="520" t="str">
        <f>IF(F60="","",VLOOKUP($B60,'F-1 Off Site River Baseline'!$C$9:$R$257,6,FALSE))</f>
        <v/>
      </c>
      <c r="H60" s="520" t="str">
        <f>IF(G60="","",VLOOKUP($B60,'F-1 Off Site River Baseline'!$C$9:$R$257,7,FALSE))</f>
        <v/>
      </c>
      <c r="I60" s="520" t="str">
        <f>IF(H60="","",VLOOKUP($B60,'F-1 Off Site River Baseline'!$C$9:$R$257,8,FALSE))</f>
        <v/>
      </c>
      <c r="J60" s="520" t="str">
        <f>IF(I60="","",VLOOKUP($B60,'F-1 Off Site River Baseline'!$C$9:$R$257,9,FALSE))</f>
        <v/>
      </c>
      <c r="K60" s="520" t="str">
        <f>IF(J60="","",VLOOKUP($B60,'F-1 Off Site River Baseline'!$C$9:$R$257,10,FALSE))</f>
        <v/>
      </c>
      <c r="L60" s="520" t="str">
        <f>IF(B60="","",VLOOKUP($B60,'C-1 Site River Baseline'!$C$9:$R$257,15,FALSE))</f>
        <v/>
      </c>
      <c r="M60" s="524" t="str">
        <f>IF(L60="","",VLOOKUP($B60,'F-1 Off Site River Baseline'!$C$9:$R$257,16,FALSE))</f>
        <v/>
      </c>
      <c r="N60" s="418" t="str">
        <f t="shared" si="0"/>
        <v/>
      </c>
      <c r="O60" s="498" t="str">
        <f t="shared" si="5"/>
        <v/>
      </c>
      <c r="P60" s="499" t="str">
        <f>IF(C60="","",IF(AND(LEFT(C60,55)&lt;&gt;LEFT(N60,55),O60="High - High"),"Error - Not like for like ▲",IF(AND(F60=S60,H60&gt;U60),"Error - Can not reduce condition ▲",IF(AND(F60=S60,H60=U60,AJ60='F-1 Off Site River Baseline'!N58,'F-1 Off Site River Baseline'!P58=AL60),"Error - No enhancement ▲",IF(AND(C60&lt;&gt;N60,F60&lt;S60),"Lower Distinctiveness Habitat"&amp;" - "&amp;T60,G60&amp;" - "&amp;T60)))))</f>
        <v/>
      </c>
      <c r="Q60" s="505" t="str">
        <f>IF(N60="","",VLOOKUP(B60,'F-1 Off Site River Baseline'!$C$10:$AA$257,19,FALSE))</f>
        <v/>
      </c>
      <c r="R60" s="498" t="str">
        <f>IF(N60="","",VLOOKUP(N60,'G-7 Rivers Data'!$B$2:$G$8,2,FALSE))</f>
        <v/>
      </c>
      <c r="S60" s="499" t="str">
        <f>IFERROR(VLOOKUP(R60,'G-7 Rivers Data'!$C$4:$D$8,2,FALSE),"")</f>
        <v/>
      </c>
      <c r="T60" s="145"/>
      <c r="U60" s="499" t="str">
        <f>IFERROR(INDEX('G-7 Rivers Data'!$H$4:$L$8,MATCH(N60,'G-7 Rivers Data'!$B$4:$B$8,0),MATCH(T60,'G-7 Rivers Data'!$H$3:$L$3,0)),"")</f>
        <v/>
      </c>
      <c r="V60" s="154"/>
      <c r="W60" s="520" t="str">
        <f>IF(V60="","",IF(VLOOKUP(V60,'G-7 Rivers Data'!$AG$4:$AI$9,2,FALSE)=0,"Spatial Data Missing ⚠",VLOOKUP(V60,'G-7 Rivers Data'!$AG$4:$AI$9,2,FALSE)))</f>
        <v/>
      </c>
      <c r="X60" s="524" t="str">
        <f>IF(V60="","",IF(VLOOKUP(V60,'G-7 Rivers Data'!$AG$4:$AI$9,3,FALSE)=0,"Spatial Data Missing ⚠",VLOOKUP(V60,'G-7 Rivers Data'!$AG$4:$AI$9,3,FALSE)))</f>
        <v/>
      </c>
      <c r="Y60" s="537" t="str">
        <f>IFERROR(IF(OR(LEFT(P60,5)="Error ▲",LEFT(O60,5)="Error ▲"),"Check Data ⚠",IF(F60&lt;S60,'G-7 Rivers Data'!$R$3,INDEX('G-7 Rivers Data'!$U$5:$Y$9,MATCH(G60,'G-7 Rivers Data'!$T$5:$T$9,0),MATCH(T60,'G-7 Rivers Data'!$U$4:$Y$4,0)))),"")</f>
        <v/>
      </c>
      <c r="Z60" s="203"/>
      <c r="AA60" s="203"/>
      <c r="AB60" s="534" t="str">
        <f t="shared" si="1"/>
        <v/>
      </c>
      <c r="AC60" s="521" t="str">
        <f t="shared" si="2"/>
        <v/>
      </c>
      <c r="AD60" s="564" t="str">
        <f>IFERROR(IF(AC60="Check Data ⚠","Check Data ⚠",VLOOKUP(AC60,'G-4 Temporal multipliers'!$A$4:$C$37,3,FALSE)),"")</f>
        <v/>
      </c>
      <c r="AE60" s="537" t="str">
        <f>IF(N60="","",VLOOKUP(N60,'G-7 Rivers Data'!$B$4:$G$8,5,FALSE))</f>
        <v/>
      </c>
      <c r="AF60" s="520" t="str">
        <f t="shared" si="3"/>
        <v/>
      </c>
      <c r="AG60" s="520" t="str">
        <f t="shared" si="6"/>
        <v/>
      </c>
      <c r="AH60" s="524" t="str">
        <f t="shared" si="4"/>
        <v/>
      </c>
      <c r="AI60" s="145"/>
      <c r="AJ60" s="499" t="str">
        <f>IF(AI60="","",IF(VLOOKUP(AI60,'G-7 Rivers Data'!$AA$4:$AB$7,2,FALSE)=0,"Spatial Data Missing ⚠",VLOOKUP(AI60,'G-7 Rivers Data'!$AA$4:$AB$7,2,FALSE)))</f>
        <v/>
      </c>
      <c r="AK60" s="155"/>
      <c r="AL60" s="536" t="str">
        <f>IF(AK60="","",IF(VLOOKUP(AK60,'G-7 Rivers Data'!$AD$4:$AE$8,2,FALSE)=0,"Spatial Data Missing ⚠",VLOOKUP(AK60,'G-7 Rivers Data'!$AD$4:$AE$8,2,FALSE)))</f>
        <v/>
      </c>
      <c r="AM60" s="154"/>
      <c r="AN60" s="524" t="str">
        <f>IF(AM60="","",VLOOKUP(AM60,'G-7 Rivers Data'!$AO$4:$AP$7,2,FALSE))</f>
        <v/>
      </c>
      <c r="AO60" s="545" t="str">
        <f t="shared" si="7"/>
        <v/>
      </c>
      <c r="AP60" s="149"/>
      <c r="AQ60" s="150"/>
      <c r="AX60" s="31" t="str">
        <f>IFERROR(INDEX('G-7 Rivers Data'!$AZ$3:$AZ$7,MATCH(N60,'G-7 Rivers Data'!$AY$3:$AY$7,0)),"")</f>
        <v/>
      </c>
    </row>
    <row r="61" spans="2:50" ht="14" x14ac:dyDescent="0.3">
      <c r="B61" s="531" t="str">
        <f>'F-1 Off Site River Baseline'!AN59</f>
        <v/>
      </c>
      <c r="C61" s="520" t="str">
        <f>IF(B61="","",VLOOKUP($B61,'F-1 Off Site River Baseline'!$C$9:$R$257,2,FALSE))</f>
        <v/>
      </c>
      <c r="D61" s="520" t="str">
        <f>IF(C61="","",VLOOKUP($B61,'F-1 Off Site River Baseline'!$C$9:$R$257,3,FALSE))</f>
        <v/>
      </c>
      <c r="E61" s="520" t="str">
        <f>IF(D61="","",VLOOKUP($B61,'F-1 Off Site River Baseline'!$C$9:$R$257,4,FALSE))</f>
        <v/>
      </c>
      <c r="F61" s="520" t="str">
        <f>IF(E61="","",VLOOKUP($B61,'F-1 Off Site River Baseline'!$C$9:$R$257,5,FALSE))</f>
        <v/>
      </c>
      <c r="G61" s="520" t="str">
        <f>IF(F61="","",VLOOKUP($B61,'F-1 Off Site River Baseline'!$C$9:$R$257,6,FALSE))</f>
        <v/>
      </c>
      <c r="H61" s="520" t="str">
        <f>IF(G61="","",VLOOKUP($B61,'F-1 Off Site River Baseline'!$C$9:$R$257,7,FALSE))</f>
        <v/>
      </c>
      <c r="I61" s="520" t="str">
        <f>IF(H61="","",VLOOKUP($B61,'F-1 Off Site River Baseline'!$C$9:$R$257,8,FALSE))</f>
        <v/>
      </c>
      <c r="J61" s="520" t="str">
        <f>IF(I61="","",VLOOKUP($B61,'F-1 Off Site River Baseline'!$C$9:$R$257,9,FALSE))</f>
        <v/>
      </c>
      <c r="K61" s="520" t="str">
        <f>IF(J61="","",VLOOKUP($B61,'F-1 Off Site River Baseline'!$C$9:$R$257,10,FALSE))</f>
        <v/>
      </c>
      <c r="L61" s="520" t="str">
        <f>IF(B61="","",VLOOKUP($B61,'C-1 Site River Baseline'!$C$9:$R$257,15,FALSE))</f>
        <v/>
      </c>
      <c r="M61" s="524" t="str">
        <f>IF(L61="","",VLOOKUP($B61,'F-1 Off Site River Baseline'!$C$9:$R$257,16,FALSE))</f>
        <v/>
      </c>
      <c r="N61" s="418" t="str">
        <f t="shared" si="0"/>
        <v/>
      </c>
      <c r="O61" s="498" t="str">
        <f t="shared" si="5"/>
        <v/>
      </c>
      <c r="P61" s="499" t="str">
        <f>IF(C61="","",IF(AND(LEFT(C61,55)&lt;&gt;LEFT(N61,55),O61="High - High"),"Error - Not like for like ▲",IF(AND(F61=S61,H61&gt;U61),"Error - Can not reduce condition ▲",IF(AND(F61=S61,H61=U61,AJ61='F-1 Off Site River Baseline'!N59,'F-1 Off Site River Baseline'!P59=AL61),"Error - No enhancement ▲",IF(AND(C61&lt;&gt;N61,F61&lt;S61),"Lower Distinctiveness Habitat"&amp;" - "&amp;T61,G61&amp;" - "&amp;T61)))))</f>
        <v/>
      </c>
      <c r="Q61" s="505" t="str">
        <f>IF(N61="","",VLOOKUP(B61,'F-1 Off Site River Baseline'!$C$10:$AA$257,19,FALSE))</f>
        <v/>
      </c>
      <c r="R61" s="498" t="str">
        <f>IF(N61="","",VLOOKUP(N61,'G-7 Rivers Data'!$B$2:$G$8,2,FALSE))</f>
        <v/>
      </c>
      <c r="S61" s="499" t="str">
        <f>IFERROR(VLOOKUP(R61,'G-7 Rivers Data'!$C$4:$D$8,2,FALSE),"")</f>
        <v/>
      </c>
      <c r="T61" s="145"/>
      <c r="U61" s="499" t="str">
        <f>IFERROR(INDEX('G-7 Rivers Data'!$H$4:$L$8,MATCH(N61,'G-7 Rivers Data'!$B$4:$B$8,0),MATCH(T61,'G-7 Rivers Data'!$H$3:$L$3,0)),"")</f>
        <v/>
      </c>
      <c r="V61" s="154"/>
      <c r="W61" s="520" t="str">
        <f>IF(V61="","",IF(VLOOKUP(V61,'G-7 Rivers Data'!$AG$4:$AI$9,2,FALSE)=0,"Spatial Data Missing ⚠",VLOOKUP(V61,'G-7 Rivers Data'!$AG$4:$AI$9,2,FALSE)))</f>
        <v/>
      </c>
      <c r="X61" s="524" t="str">
        <f>IF(V61="","",IF(VLOOKUP(V61,'G-7 Rivers Data'!$AG$4:$AI$9,3,FALSE)=0,"Spatial Data Missing ⚠",VLOOKUP(V61,'G-7 Rivers Data'!$AG$4:$AI$9,3,FALSE)))</f>
        <v/>
      </c>
      <c r="Y61" s="537" t="str">
        <f>IFERROR(IF(OR(LEFT(P61,5)="Error ▲",LEFT(O61,5)="Error ▲"),"Check Data ⚠",IF(F61&lt;S61,'G-7 Rivers Data'!$R$3,INDEX('G-7 Rivers Data'!$U$5:$Y$9,MATCH(G61,'G-7 Rivers Data'!$T$5:$T$9,0),MATCH(T61,'G-7 Rivers Data'!$U$4:$Y$4,0)))),"")</f>
        <v/>
      </c>
      <c r="Z61" s="203"/>
      <c r="AA61" s="203"/>
      <c r="AB61" s="534" t="str">
        <f t="shared" si="1"/>
        <v/>
      </c>
      <c r="AC61" s="521" t="str">
        <f t="shared" si="2"/>
        <v/>
      </c>
      <c r="AD61" s="564" t="str">
        <f>IFERROR(IF(AC61="Check Data ⚠","Check Data ⚠",VLOOKUP(AC61,'G-4 Temporal multipliers'!$A$4:$C$37,3,FALSE)),"")</f>
        <v/>
      </c>
      <c r="AE61" s="537" t="str">
        <f>IF(N61="","",VLOOKUP(N61,'G-7 Rivers Data'!$B$4:$G$8,5,FALSE))</f>
        <v/>
      </c>
      <c r="AF61" s="520" t="str">
        <f t="shared" si="3"/>
        <v/>
      </c>
      <c r="AG61" s="520" t="str">
        <f t="shared" si="6"/>
        <v/>
      </c>
      <c r="AH61" s="524" t="str">
        <f t="shared" si="4"/>
        <v/>
      </c>
      <c r="AI61" s="145"/>
      <c r="AJ61" s="499" t="str">
        <f>IF(AI61="","",IF(VLOOKUP(AI61,'G-7 Rivers Data'!$AA$4:$AB$7,2,FALSE)=0,"Spatial Data Missing ⚠",VLOOKUP(AI61,'G-7 Rivers Data'!$AA$4:$AB$7,2,FALSE)))</f>
        <v/>
      </c>
      <c r="AK61" s="155"/>
      <c r="AL61" s="536" t="str">
        <f>IF(AK61="","",IF(VLOOKUP(AK61,'G-7 Rivers Data'!$AD$4:$AE$8,2,FALSE)=0,"Spatial Data Missing ⚠",VLOOKUP(AK61,'G-7 Rivers Data'!$AD$4:$AE$8,2,FALSE)))</f>
        <v/>
      </c>
      <c r="AM61" s="154"/>
      <c r="AN61" s="524" t="str">
        <f>IF(AM61="","",VLOOKUP(AM61,'G-7 Rivers Data'!$AO$4:$AP$7,2,FALSE))</f>
        <v/>
      </c>
      <c r="AO61" s="545" t="str">
        <f t="shared" si="7"/>
        <v/>
      </c>
      <c r="AP61" s="149"/>
      <c r="AQ61" s="150"/>
      <c r="AX61" s="31" t="str">
        <f>IFERROR(INDEX('G-7 Rivers Data'!$AZ$3:$AZ$7,MATCH(N61,'G-7 Rivers Data'!$AY$3:$AY$7,0)),"")</f>
        <v/>
      </c>
    </row>
    <row r="62" spans="2:50" ht="14" x14ac:dyDescent="0.3">
      <c r="B62" s="531" t="str">
        <f>'F-1 Off Site River Baseline'!AN60</f>
        <v/>
      </c>
      <c r="C62" s="520" t="str">
        <f>IF(B62="","",VLOOKUP($B62,'F-1 Off Site River Baseline'!$C$9:$R$257,2,FALSE))</f>
        <v/>
      </c>
      <c r="D62" s="520" t="str">
        <f>IF(C62="","",VLOOKUP($B62,'F-1 Off Site River Baseline'!$C$9:$R$257,3,FALSE))</f>
        <v/>
      </c>
      <c r="E62" s="520" t="str">
        <f>IF(D62="","",VLOOKUP($B62,'F-1 Off Site River Baseline'!$C$9:$R$257,4,FALSE))</f>
        <v/>
      </c>
      <c r="F62" s="520" t="str">
        <f>IF(E62="","",VLOOKUP($B62,'F-1 Off Site River Baseline'!$C$9:$R$257,5,FALSE))</f>
        <v/>
      </c>
      <c r="G62" s="520" t="str">
        <f>IF(F62="","",VLOOKUP($B62,'F-1 Off Site River Baseline'!$C$9:$R$257,6,FALSE))</f>
        <v/>
      </c>
      <c r="H62" s="520" t="str">
        <f>IF(G62="","",VLOOKUP($B62,'F-1 Off Site River Baseline'!$C$9:$R$257,7,FALSE))</f>
        <v/>
      </c>
      <c r="I62" s="520" t="str">
        <f>IF(H62="","",VLOOKUP($B62,'F-1 Off Site River Baseline'!$C$9:$R$257,8,FALSE))</f>
        <v/>
      </c>
      <c r="J62" s="520" t="str">
        <f>IF(I62="","",VLOOKUP($B62,'F-1 Off Site River Baseline'!$C$9:$R$257,9,FALSE))</f>
        <v/>
      </c>
      <c r="K62" s="520" t="str">
        <f>IF(J62="","",VLOOKUP($B62,'F-1 Off Site River Baseline'!$C$9:$R$257,10,FALSE))</f>
        <v/>
      </c>
      <c r="L62" s="520" t="str">
        <f>IF(B62="","",VLOOKUP($B62,'C-1 Site River Baseline'!$C$9:$R$257,15,FALSE))</f>
        <v/>
      </c>
      <c r="M62" s="524" t="str">
        <f>IF(L62="","",VLOOKUP($B62,'F-1 Off Site River Baseline'!$C$9:$R$257,16,FALSE))</f>
        <v/>
      </c>
      <c r="N62" s="418" t="str">
        <f t="shared" si="0"/>
        <v/>
      </c>
      <c r="O62" s="498" t="str">
        <f t="shared" si="5"/>
        <v/>
      </c>
      <c r="P62" s="499" t="str">
        <f>IF(C62="","",IF(AND(LEFT(C62,55)&lt;&gt;LEFT(N62,55),O62="High - High"),"Error - Not like for like ▲",IF(AND(F62=S62,H62&gt;U62),"Error - Can not reduce condition ▲",IF(AND(F62=S62,H62=U62,AJ62='F-1 Off Site River Baseline'!N60,'F-1 Off Site River Baseline'!P60=AL62),"Error - No enhancement ▲",IF(AND(C62&lt;&gt;N62,F62&lt;S62),"Lower Distinctiveness Habitat"&amp;" - "&amp;T62,G62&amp;" - "&amp;T62)))))</f>
        <v/>
      </c>
      <c r="Q62" s="505" t="str">
        <f>IF(N62="","",VLOOKUP(B62,'F-1 Off Site River Baseline'!$C$10:$AA$257,19,FALSE))</f>
        <v/>
      </c>
      <c r="R62" s="498" t="str">
        <f>IF(N62="","",VLOOKUP(N62,'G-7 Rivers Data'!$B$2:$G$8,2,FALSE))</f>
        <v/>
      </c>
      <c r="S62" s="499" t="str">
        <f>IFERROR(VLOOKUP(R62,'G-7 Rivers Data'!$C$4:$D$8,2,FALSE),"")</f>
        <v/>
      </c>
      <c r="T62" s="145"/>
      <c r="U62" s="499" t="str">
        <f>IFERROR(INDEX('G-7 Rivers Data'!$H$4:$L$8,MATCH(N62,'G-7 Rivers Data'!$B$4:$B$8,0),MATCH(T62,'G-7 Rivers Data'!$H$3:$L$3,0)),"")</f>
        <v/>
      </c>
      <c r="V62" s="154"/>
      <c r="W62" s="520" t="str">
        <f>IF(V62="","",IF(VLOOKUP(V62,'G-7 Rivers Data'!$AG$4:$AI$9,2,FALSE)=0,"Spatial Data Missing ⚠",VLOOKUP(V62,'G-7 Rivers Data'!$AG$4:$AI$9,2,FALSE)))</f>
        <v/>
      </c>
      <c r="X62" s="524" t="str">
        <f>IF(V62="","",IF(VLOOKUP(V62,'G-7 Rivers Data'!$AG$4:$AI$9,3,FALSE)=0,"Spatial Data Missing ⚠",VLOOKUP(V62,'G-7 Rivers Data'!$AG$4:$AI$9,3,FALSE)))</f>
        <v/>
      </c>
      <c r="Y62" s="537" t="str">
        <f>IFERROR(IF(OR(LEFT(P62,5)="Error ▲",LEFT(O62,5)="Error ▲"),"Check Data ⚠",IF(F62&lt;S62,'G-7 Rivers Data'!$R$3,INDEX('G-7 Rivers Data'!$U$5:$Y$9,MATCH(G62,'G-7 Rivers Data'!$T$5:$T$9,0),MATCH(T62,'G-7 Rivers Data'!$U$4:$Y$4,0)))),"")</f>
        <v/>
      </c>
      <c r="Z62" s="203"/>
      <c r="AA62" s="203"/>
      <c r="AB62" s="534" t="str">
        <f t="shared" si="1"/>
        <v/>
      </c>
      <c r="AC62" s="521" t="str">
        <f t="shared" si="2"/>
        <v/>
      </c>
      <c r="AD62" s="564" t="str">
        <f>IFERROR(IF(AC62="Check Data ⚠","Check Data ⚠",VLOOKUP(AC62,'G-4 Temporal multipliers'!$A$4:$C$37,3,FALSE)),"")</f>
        <v/>
      </c>
      <c r="AE62" s="537" t="str">
        <f>IF(N62="","",VLOOKUP(N62,'G-7 Rivers Data'!$B$4:$G$8,5,FALSE))</f>
        <v/>
      </c>
      <c r="AF62" s="520" t="str">
        <f t="shared" si="3"/>
        <v/>
      </c>
      <c r="AG62" s="520" t="str">
        <f t="shared" si="6"/>
        <v/>
      </c>
      <c r="AH62" s="524" t="str">
        <f t="shared" si="4"/>
        <v/>
      </c>
      <c r="AI62" s="145"/>
      <c r="AJ62" s="499" t="str">
        <f>IF(AI62="","",IF(VLOOKUP(AI62,'G-7 Rivers Data'!$AA$4:$AB$7,2,FALSE)=0,"Spatial Data Missing ⚠",VLOOKUP(AI62,'G-7 Rivers Data'!$AA$4:$AB$7,2,FALSE)))</f>
        <v/>
      </c>
      <c r="AK62" s="155"/>
      <c r="AL62" s="536" t="str">
        <f>IF(AK62="","",IF(VLOOKUP(AK62,'G-7 Rivers Data'!$AD$4:$AE$8,2,FALSE)=0,"Spatial Data Missing ⚠",VLOOKUP(AK62,'G-7 Rivers Data'!$AD$4:$AE$8,2,FALSE)))</f>
        <v/>
      </c>
      <c r="AM62" s="154"/>
      <c r="AN62" s="524" t="str">
        <f>IF(AM62="","",VLOOKUP(AM62,'G-7 Rivers Data'!$AO$4:$AP$7,2,FALSE))</f>
        <v/>
      </c>
      <c r="AO62" s="545" t="str">
        <f t="shared" si="7"/>
        <v/>
      </c>
      <c r="AP62" s="149"/>
      <c r="AQ62" s="150"/>
      <c r="AX62" s="31" t="str">
        <f>IFERROR(INDEX('G-7 Rivers Data'!$AZ$3:$AZ$7,MATCH(N62,'G-7 Rivers Data'!$AY$3:$AY$7,0)),"")</f>
        <v/>
      </c>
    </row>
    <row r="63" spans="2:50" ht="14" x14ac:dyDescent="0.3">
      <c r="B63" s="531" t="str">
        <f>'F-1 Off Site River Baseline'!AN61</f>
        <v/>
      </c>
      <c r="C63" s="520" t="str">
        <f>IF(B63="","",VLOOKUP($B63,'F-1 Off Site River Baseline'!$C$9:$R$257,2,FALSE))</f>
        <v/>
      </c>
      <c r="D63" s="520" t="str">
        <f>IF(C63="","",VLOOKUP($B63,'F-1 Off Site River Baseline'!$C$9:$R$257,3,FALSE))</f>
        <v/>
      </c>
      <c r="E63" s="520" t="str">
        <f>IF(D63="","",VLOOKUP($B63,'F-1 Off Site River Baseline'!$C$9:$R$257,4,FALSE))</f>
        <v/>
      </c>
      <c r="F63" s="520" t="str">
        <f>IF(E63="","",VLOOKUP($B63,'F-1 Off Site River Baseline'!$C$9:$R$257,5,FALSE))</f>
        <v/>
      </c>
      <c r="G63" s="520" t="str">
        <f>IF(F63="","",VLOOKUP($B63,'F-1 Off Site River Baseline'!$C$9:$R$257,6,FALSE))</f>
        <v/>
      </c>
      <c r="H63" s="520" t="str">
        <f>IF(G63="","",VLOOKUP($B63,'F-1 Off Site River Baseline'!$C$9:$R$257,7,FALSE))</f>
        <v/>
      </c>
      <c r="I63" s="520" t="str">
        <f>IF(H63="","",VLOOKUP($B63,'F-1 Off Site River Baseline'!$C$9:$R$257,8,FALSE))</f>
        <v/>
      </c>
      <c r="J63" s="520" t="str">
        <f>IF(I63="","",VLOOKUP($B63,'F-1 Off Site River Baseline'!$C$9:$R$257,9,FALSE))</f>
        <v/>
      </c>
      <c r="K63" s="520" t="str">
        <f>IF(J63="","",VLOOKUP($B63,'F-1 Off Site River Baseline'!$C$9:$R$257,10,FALSE))</f>
        <v/>
      </c>
      <c r="L63" s="520" t="str">
        <f>IF(B63="","",VLOOKUP($B63,'C-1 Site River Baseline'!$C$9:$R$257,15,FALSE))</f>
        <v/>
      </c>
      <c r="M63" s="524" t="str">
        <f>IF(L63="","",VLOOKUP($B63,'F-1 Off Site River Baseline'!$C$9:$R$257,16,FALSE))</f>
        <v/>
      </c>
      <c r="N63" s="418" t="str">
        <f t="shared" si="0"/>
        <v/>
      </c>
      <c r="O63" s="498" t="str">
        <f t="shared" si="5"/>
        <v/>
      </c>
      <c r="P63" s="499" t="str">
        <f>IF(C63="","",IF(AND(LEFT(C63,55)&lt;&gt;LEFT(N63,55),O63="High - High"),"Error - Not like for like ▲",IF(AND(F63=S63,H63&gt;U63),"Error - Can not reduce condition ▲",IF(AND(F63=S63,H63=U63,AJ63='F-1 Off Site River Baseline'!N61,'F-1 Off Site River Baseline'!P61=AL63),"Error - No enhancement ▲",IF(AND(C63&lt;&gt;N63,F63&lt;S63),"Lower Distinctiveness Habitat"&amp;" - "&amp;T63,G63&amp;" - "&amp;T63)))))</f>
        <v/>
      </c>
      <c r="Q63" s="505" t="str">
        <f>IF(N63="","",VLOOKUP(B63,'F-1 Off Site River Baseline'!$C$10:$AA$257,19,FALSE))</f>
        <v/>
      </c>
      <c r="R63" s="498" t="str">
        <f>IF(N63="","",VLOOKUP(N63,'G-7 Rivers Data'!$B$2:$G$8,2,FALSE))</f>
        <v/>
      </c>
      <c r="S63" s="499" t="str">
        <f>IFERROR(VLOOKUP(R63,'G-7 Rivers Data'!$C$4:$D$8,2,FALSE),"")</f>
        <v/>
      </c>
      <c r="T63" s="145"/>
      <c r="U63" s="499" t="str">
        <f>IFERROR(INDEX('G-7 Rivers Data'!$H$4:$L$8,MATCH(N63,'G-7 Rivers Data'!$B$4:$B$8,0),MATCH(T63,'G-7 Rivers Data'!$H$3:$L$3,0)),"")</f>
        <v/>
      </c>
      <c r="V63" s="154"/>
      <c r="W63" s="520" t="str">
        <f>IF(V63="","",IF(VLOOKUP(V63,'G-7 Rivers Data'!$AG$4:$AI$9,2,FALSE)=0,"Spatial Data Missing ⚠",VLOOKUP(V63,'G-7 Rivers Data'!$AG$4:$AI$9,2,FALSE)))</f>
        <v/>
      </c>
      <c r="X63" s="524" t="str">
        <f>IF(V63="","",IF(VLOOKUP(V63,'G-7 Rivers Data'!$AG$4:$AI$9,3,FALSE)=0,"Spatial Data Missing ⚠",VLOOKUP(V63,'G-7 Rivers Data'!$AG$4:$AI$9,3,FALSE)))</f>
        <v/>
      </c>
      <c r="Y63" s="537" t="str">
        <f>IFERROR(IF(OR(LEFT(P63,5)="Error ▲",LEFT(O63,5)="Error ▲"),"Check Data ⚠",IF(F63&lt;S63,'G-7 Rivers Data'!$R$3,INDEX('G-7 Rivers Data'!$U$5:$Y$9,MATCH(G63,'G-7 Rivers Data'!$T$5:$T$9,0),MATCH(T63,'G-7 Rivers Data'!$U$4:$Y$4,0)))),"")</f>
        <v/>
      </c>
      <c r="Z63" s="203"/>
      <c r="AA63" s="203"/>
      <c r="AB63" s="534" t="str">
        <f t="shared" si="1"/>
        <v/>
      </c>
      <c r="AC63" s="521" t="str">
        <f t="shared" si="2"/>
        <v/>
      </c>
      <c r="AD63" s="564" t="str">
        <f>IFERROR(IF(AC63="Check Data ⚠","Check Data ⚠",VLOOKUP(AC63,'G-4 Temporal multipliers'!$A$4:$C$37,3,FALSE)),"")</f>
        <v/>
      </c>
      <c r="AE63" s="537" t="str">
        <f>IF(N63="","",VLOOKUP(N63,'G-7 Rivers Data'!$B$4:$G$8,5,FALSE))</f>
        <v/>
      </c>
      <c r="AF63" s="520" t="str">
        <f t="shared" si="3"/>
        <v/>
      </c>
      <c r="AG63" s="520" t="str">
        <f t="shared" si="6"/>
        <v/>
      </c>
      <c r="AH63" s="524" t="str">
        <f t="shared" si="4"/>
        <v/>
      </c>
      <c r="AI63" s="145"/>
      <c r="AJ63" s="499" t="str">
        <f>IF(AI63="","",IF(VLOOKUP(AI63,'G-7 Rivers Data'!$AA$4:$AB$7,2,FALSE)=0,"Spatial Data Missing ⚠",VLOOKUP(AI63,'G-7 Rivers Data'!$AA$4:$AB$7,2,FALSE)))</f>
        <v/>
      </c>
      <c r="AK63" s="155"/>
      <c r="AL63" s="536" t="str">
        <f>IF(AK63="","",IF(VLOOKUP(AK63,'G-7 Rivers Data'!$AD$4:$AE$8,2,FALSE)=0,"Spatial Data Missing ⚠",VLOOKUP(AK63,'G-7 Rivers Data'!$AD$4:$AE$8,2,FALSE)))</f>
        <v/>
      </c>
      <c r="AM63" s="154"/>
      <c r="AN63" s="524" t="str">
        <f>IF(AM63="","",VLOOKUP(AM63,'G-7 Rivers Data'!$AO$4:$AP$7,2,FALSE))</f>
        <v/>
      </c>
      <c r="AO63" s="545" t="str">
        <f t="shared" si="7"/>
        <v/>
      </c>
      <c r="AP63" s="149"/>
      <c r="AQ63" s="150"/>
      <c r="AX63" s="31" t="str">
        <f>IFERROR(INDEX('G-7 Rivers Data'!$AZ$3:$AZ$7,MATCH(N63,'G-7 Rivers Data'!$AY$3:$AY$7,0)),"")</f>
        <v/>
      </c>
    </row>
    <row r="64" spans="2:50" ht="14" x14ac:dyDescent="0.3">
      <c r="B64" s="531" t="str">
        <f>'F-1 Off Site River Baseline'!AN62</f>
        <v/>
      </c>
      <c r="C64" s="520" t="str">
        <f>IF(B64="","",VLOOKUP($B64,'F-1 Off Site River Baseline'!$C$9:$R$257,2,FALSE))</f>
        <v/>
      </c>
      <c r="D64" s="520" t="str">
        <f>IF(C64="","",VLOOKUP($B64,'F-1 Off Site River Baseline'!$C$9:$R$257,3,FALSE))</f>
        <v/>
      </c>
      <c r="E64" s="520" t="str">
        <f>IF(D64="","",VLOOKUP($B64,'F-1 Off Site River Baseline'!$C$9:$R$257,4,FALSE))</f>
        <v/>
      </c>
      <c r="F64" s="520" t="str">
        <f>IF(E64="","",VLOOKUP($B64,'F-1 Off Site River Baseline'!$C$9:$R$257,5,FALSE))</f>
        <v/>
      </c>
      <c r="G64" s="520" t="str">
        <f>IF(F64="","",VLOOKUP($B64,'F-1 Off Site River Baseline'!$C$9:$R$257,6,FALSE))</f>
        <v/>
      </c>
      <c r="H64" s="520" t="str">
        <f>IF(G64="","",VLOOKUP($B64,'F-1 Off Site River Baseline'!$C$9:$R$257,7,FALSE))</f>
        <v/>
      </c>
      <c r="I64" s="520" t="str">
        <f>IF(H64="","",VLOOKUP($B64,'F-1 Off Site River Baseline'!$C$9:$R$257,8,FALSE))</f>
        <v/>
      </c>
      <c r="J64" s="520" t="str">
        <f>IF(I64="","",VLOOKUP($B64,'F-1 Off Site River Baseline'!$C$9:$R$257,9,FALSE))</f>
        <v/>
      </c>
      <c r="K64" s="520" t="str">
        <f>IF(J64="","",VLOOKUP($B64,'F-1 Off Site River Baseline'!$C$9:$R$257,10,FALSE))</f>
        <v/>
      </c>
      <c r="L64" s="520" t="str">
        <f>IF(B64="","",VLOOKUP($B64,'C-1 Site River Baseline'!$C$9:$R$257,15,FALSE))</f>
        <v/>
      </c>
      <c r="M64" s="524" t="str">
        <f>IF(L64="","",VLOOKUP($B64,'F-1 Off Site River Baseline'!$C$9:$R$257,16,FALSE))</f>
        <v/>
      </c>
      <c r="N64" s="418" t="str">
        <f t="shared" si="0"/>
        <v/>
      </c>
      <c r="O64" s="498" t="str">
        <f t="shared" si="5"/>
        <v/>
      </c>
      <c r="P64" s="499" t="str">
        <f>IF(C64="","",IF(AND(LEFT(C64,55)&lt;&gt;LEFT(N64,55),O64="High - High"),"Error - Not like for like ▲",IF(AND(F64=S64,H64&gt;U64),"Error - Can not reduce condition ▲",IF(AND(F64=S64,H64=U64,AJ64='F-1 Off Site River Baseline'!N62,'F-1 Off Site River Baseline'!P62=AL64),"Error - No enhancement ▲",IF(AND(C64&lt;&gt;N64,F64&lt;S64),"Lower Distinctiveness Habitat"&amp;" - "&amp;T64,G64&amp;" - "&amp;T64)))))</f>
        <v/>
      </c>
      <c r="Q64" s="505" t="str">
        <f>IF(N64="","",VLOOKUP(B64,'F-1 Off Site River Baseline'!$C$10:$AA$257,19,FALSE))</f>
        <v/>
      </c>
      <c r="R64" s="498" t="str">
        <f>IF(N64="","",VLOOKUP(N64,'G-7 Rivers Data'!$B$2:$G$8,2,FALSE))</f>
        <v/>
      </c>
      <c r="S64" s="499" t="str">
        <f>IFERROR(VLOOKUP(R64,'G-7 Rivers Data'!$C$4:$D$8,2,FALSE),"")</f>
        <v/>
      </c>
      <c r="T64" s="145"/>
      <c r="U64" s="499" t="str">
        <f>IFERROR(INDEX('G-7 Rivers Data'!$H$4:$L$8,MATCH(N64,'G-7 Rivers Data'!$B$4:$B$8,0),MATCH(T64,'G-7 Rivers Data'!$H$3:$L$3,0)),"")</f>
        <v/>
      </c>
      <c r="V64" s="154"/>
      <c r="W64" s="520" t="str">
        <f>IF(V64="","",IF(VLOOKUP(V64,'G-7 Rivers Data'!$AG$4:$AI$9,2,FALSE)=0,"Spatial Data Missing ⚠",VLOOKUP(V64,'G-7 Rivers Data'!$AG$4:$AI$9,2,FALSE)))</f>
        <v/>
      </c>
      <c r="X64" s="524" t="str">
        <f>IF(V64="","",IF(VLOOKUP(V64,'G-7 Rivers Data'!$AG$4:$AI$9,3,FALSE)=0,"Spatial Data Missing ⚠",VLOOKUP(V64,'G-7 Rivers Data'!$AG$4:$AI$9,3,FALSE)))</f>
        <v/>
      </c>
      <c r="Y64" s="537" t="str">
        <f>IFERROR(IF(OR(LEFT(P64,5)="Error ▲",LEFT(O64,5)="Error ▲"),"Check Data ⚠",IF(F64&lt;S64,'G-7 Rivers Data'!$R$3,INDEX('G-7 Rivers Data'!$U$5:$Y$9,MATCH(G64,'G-7 Rivers Data'!$T$5:$T$9,0),MATCH(T64,'G-7 Rivers Data'!$U$4:$Y$4,0)))),"")</f>
        <v/>
      </c>
      <c r="Z64" s="203"/>
      <c r="AA64" s="203"/>
      <c r="AB64" s="534" t="str">
        <f t="shared" si="1"/>
        <v/>
      </c>
      <c r="AC64" s="521" t="str">
        <f t="shared" si="2"/>
        <v/>
      </c>
      <c r="AD64" s="564" t="str">
        <f>IFERROR(IF(AC64="Check Data ⚠","Check Data ⚠",VLOOKUP(AC64,'G-4 Temporal multipliers'!$A$4:$C$37,3,FALSE)),"")</f>
        <v/>
      </c>
      <c r="AE64" s="537" t="str">
        <f>IF(N64="","",VLOOKUP(N64,'G-7 Rivers Data'!$B$4:$G$8,5,FALSE))</f>
        <v/>
      </c>
      <c r="AF64" s="520" t="str">
        <f t="shared" si="3"/>
        <v/>
      </c>
      <c r="AG64" s="520" t="str">
        <f t="shared" si="6"/>
        <v/>
      </c>
      <c r="AH64" s="524" t="str">
        <f t="shared" si="4"/>
        <v/>
      </c>
      <c r="AI64" s="145"/>
      <c r="AJ64" s="499" t="str">
        <f>IF(AI64="","",IF(VLOOKUP(AI64,'G-7 Rivers Data'!$AA$4:$AB$7,2,FALSE)=0,"Spatial Data Missing ⚠",VLOOKUP(AI64,'G-7 Rivers Data'!$AA$4:$AB$7,2,FALSE)))</f>
        <v/>
      </c>
      <c r="AK64" s="155"/>
      <c r="AL64" s="536" t="str">
        <f>IF(AK64="","",IF(VLOOKUP(AK64,'G-7 Rivers Data'!$AD$4:$AE$8,2,FALSE)=0,"Spatial Data Missing ⚠",VLOOKUP(AK64,'G-7 Rivers Data'!$AD$4:$AE$8,2,FALSE)))</f>
        <v/>
      </c>
      <c r="AM64" s="154"/>
      <c r="AN64" s="524" t="str">
        <f>IF(AM64="","",VLOOKUP(AM64,'G-7 Rivers Data'!$AO$4:$AP$7,2,FALSE))</f>
        <v/>
      </c>
      <c r="AO64" s="545" t="str">
        <f t="shared" si="7"/>
        <v/>
      </c>
      <c r="AP64" s="149"/>
      <c r="AQ64" s="150"/>
      <c r="AX64" s="31" t="str">
        <f>IFERROR(INDEX('G-7 Rivers Data'!$AZ$3:$AZ$7,MATCH(N64,'G-7 Rivers Data'!$AY$3:$AY$7,0)),"")</f>
        <v/>
      </c>
    </row>
    <row r="65" spans="2:50" ht="14" x14ac:dyDescent="0.3">
      <c r="B65" s="531" t="str">
        <f>'F-1 Off Site River Baseline'!AN63</f>
        <v/>
      </c>
      <c r="C65" s="520" t="str">
        <f>IF(B65="","",VLOOKUP($B65,'F-1 Off Site River Baseline'!$C$9:$R$257,2,FALSE))</f>
        <v/>
      </c>
      <c r="D65" s="520" t="str">
        <f>IF(C65="","",VLOOKUP($B65,'F-1 Off Site River Baseline'!$C$9:$R$257,3,FALSE))</f>
        <v/>
      </c>
      <c r="E65" s="520" t="str">
        <f>IF(D65="","",VLOOKUP($B65,'F-1 Off Site River Baseline'!$C$9:$R$257,4,FALSE))</f>
        <v/>
      </c>
      <c r="F65" s="520" t="str">
        <f>IF(E65="","",VLOOKUP($B65,'F-1 Off Site River Baseline'!$C$9:$R$257,5,FALSE))</f>
        <v/>
      </c>
      <c r="G65" s="520" t="str">
        <f>IF(F65="","",VLOOKUP($B65,'F-1 Off Site River Baseline'!$C$9:$R$257,6,FALSE))</f>
        <v/>
      </c>
      <c r="H65" s="520" t="str">
        <f>IF(G65="","",VLOOKUP($B65,'F-1 Off Site River Baseline'!$C$9:$R$257,7,FALSE))</f>
        <v/>
      </c>
      <c r="I65" s="520" t="str">
        <f>IF(H65="","",VLOOKUP($B65,'F-1 Off Site River Baseline'!$C$9:$R$257,8,FALSE))</f>
        <v/>
      </c>
      <c r="J65" s="520" t="str">
        <f>IF(I65="","",VLOOKUP($B65,'F-1 Off Site River Baseline'!$C$9:$R$257,9,FALSE))</f>
        <v/>
      </c>
      <c r="K65" s="520" t="str">
        <f>IF(J65="","",VLOOKUP($B65,'F-1 Off Site River Baseline'!$C$9:$R$257,10,FALSE))</f>
        <v/>
      </c>
      <c r="L65" s="520" t="str">
        <f>IF(B65="","",VLOOKUP($B65,'C-1 Site River Baseline'!$C$9:$R$257,15,FALSE))</f>
        <v/>
      </c>
      <c r="M65" s="524" t="str">
        <f>IF(L65="","",VLOOKUP($B65,'F-1 Off Site River Baseline'!$C$9:$R$257,16,FALSE))</f>
        <v/>
      </c>
      <c r="N65" s="418" t="str">
        <f t="shared" si="0"/>
        <v/>
      </c>
      <c r="O65" s="498" t="str">
        <f t="shared" si="5"/>
        <v/>
      </c>
      <c r="P65" s="499" t="str">
        <f>IF(C65="","",IF(AND(LEFT(C65,55)&lt;&gt;LEFT(N65,55),O65="High - High"),"Error - Not like for like ▲",IF(AND(F65=S65,H65&gt;U65),"Error - Can not reduce condition ▲",IF(AND(F65=S65,H65=U65,AJ65='F-1 Off Site River Baseline'!N63,'F-1 Off Site River Baseline'!P63=AL65),"Error - No enhancement ▲",IF(AND(C65&lt;&gt;N65,F65&lt;S65),"Lower Distinctiveness Habitat"&amp;" - "&amp;T65,G65&amp;" - "&amp;T65)))))</f>
        <v/>
      </c>
      <c r="Q65" s="505" t="str">
        <f>IF(N65="","",VLOOKUP(B65,'F-1 Off Site River Baseline'!$C$10:$AA$257,19,FALSE))</f>
        <v/>
      </c>
      <c r="R65" s="498" t="str">
        <f>IF(N65="","",VLOOKUP(N65,'G-7 Rivers Data'!$B$2:$G$8,2,FALSE))</f>
        <v/>
      </c>
      <c r="S65" s="499" t="str">
        <f>IFERROR(VLOOKUP(R65,'G-7 Rivers Data'!$C$4:$D$8,2,FALSE),"")</f>
        <v/>
      </c>
      <c r="T65" s="145"/>
      <c r="U65" s="499" t="str">
        <f>IFERROR(INDEX('G-7 Rivers Data'!$H$4:$L$8,MATCH(N65,'G-7 Rivers Data'!$B$4:$B$8,0),MATCH(T65,'G-7 Rivers Data'!$H$3:$L$3,0)),"")</f>
        <v/>
      </c>
      <c r="V65" s="154"/>
      <c r="W65" s="520" t="str">
        <f>IF(V65="","",IF(VLOOKUP(V65,'G-7 Rivers Data'!$AG$4:$AI$9,2,FALSE)=0,"Spatial Data Missing ⚠",VLOOKUP(V65,'G-7 Rivers Data'!$AG$4:$AI$9,2,FALSE)))</f>
        <v/>
      </c>
      <c r="X65" s="524" t="str">
        <f>IF(V65="","",IF(VLOOKUP(V65,'G-7 Rivers Data'!$AG$4:$AI$9,3,FALSE)=0,"Spatial Data Missing ⚠",VLOOKUP(V65,'G-7 Rivers Data'!$AG$4:$AI$9,3,FALSE)))</f>
        <v/>
      </c>
      <c r="Y65" s="537" t="str">
        <f>IFERROR(IF(OR(LEFT(P65,5)="Error ▲",LEFT(O65,5)="Error ▲"),"Check Data ⚠",IF(F65&lt;S65,'G-7 Rivers Data'!$R$3,INDEX('G-7 Rivers Data'!$U$5:$Y$9,MATCH(G65,'G-7 Rivers Data'!$T$5:$T$9,0),MATCH(T65,'G-7 Rivers Data'!$U$4:$Y$4,0)))),"")</f>
        <v/>
      </c>
      <c r="Z65" s="203"/>
      <c r="AA65" s="203"/>
      <c r="AB65" s="534" t="str">
        <f t="shared" si="1"/>
        <v/>
      </c>
      <c r="AC65" s="521" t="str">
        <f t="shared" si="2"/>
        <v/>
      </c>
      <c r="AD65" s="564" t="str">
        <f>IFERROR(IF(AC65="Check Data ⚠","Check Data ⚠",VLOOKUP(AC65,'G-4 Temporal multipliers'!$A$4:$C$37,3,FALSE)),"")</f>
        <v/>
      </c>
      <c r="AE65" s="537" t="str">
        <f>IF(N65="","",VLOOKUP(N65,'G-7 Rivers Data'!$B$4:$G$8,5,FALSE))</f>
        <v/>
      </c>
      <c r="AF65" s="520" t="str">
        <f t="shared" si="3"/>
        <v/>
      </c>
      <c r="AG65" s="520" t="str">
        <f t="shared" si="6"/>
        <v/>
      </c>
      <c r="AH65" s="524" t="str">
        <f t="shared" si="4"/>
        <v/>
      </c>
      <c r="AI65" s="145"/>
      <c r="AJ65" s="499" t="str">
        <f>IF(AI65="","",IF(VLOOKUP(AI65,'G-7 Rivers Data'!$AA$4:$AB$7,2,FALSE)=0,"Spatial Data Missing ⚠",VLOOKUP(AI65,'G-7 Rivers Data'!$AA$4:$AB$7,2,FALSE)))</f>
        <v/>
      </c>
      <c r="AK65" s="155"/>
      <c r="AL65" s="536" t="str">
        <f>IF(AK65="","",IF(VLOOKUP(AK65,'G-7 Rivers Data'!$AD$4:$AE$8,2,FALSE)=0,"Spatial Data Missing ⚠",VLOOKUP(AK65,'G-7 Rivers Data'!$AD$4:$AE$8,2,FALSE)))</f>
        <v/>
      </c>
      <c r="AM65" s="154"/>
      <c r="AN65" s="524" t="str">
        <f>IF(AM65="","",VLOOKUP(AM65,'G-7 Rivers Data'!$AO$4:$AP$7,2,FALSE))</f>
        <v/>
      </c>
      <c r="AO65" s="545" t="str">
        <f t="shared" si="7"/>
        <v/>
      </c>
      <c r="AP65" s="149"/>
      <c r="AQ65" s="150"/>
      <c r="AX65" s="31" t="str">
        <f>IFERROR(INDEX('G-7 Rivers Data'!$AZ$3:$AZ$7,MATCH(N65,'G-7 Rivers Data'!$AY$3:$AY$7,0)),"")</f>
        <v/>
      </c>
    </row>
    <row r="66" spans="2:50" ht="14" x14ac:dyDescent="0.3">
      <c r="B66" s="531" t="str">
        <f>'F-1 Off Site River Baseline'!AN64</f>
        <v/>
      </c>
      <c r="C66" s="520" t="str">
        <f>IF(B66="","",VLOOKUP($B66,'F-1 Off Site River Baseline'!$C$9:$R$257,2,FALSE))</f>
        <v/>
      </c>
      <c r="D66" s="520" t="str">
        <f>IF(C66="","",VLOOKUP($B66,'F-1 Off Site River Baseline'!$C$9:$R$257,3,FALSE))</f>
        <v/>
      </c>
      <c r="E66" s="520" t="str">
        <f>IF(D66="","",VLOOKUP($B66,'F-1 Off Site River Baseline'!$C$9:$R$257,4,FALSE))</f>
        <v/>
      </c>
      <c r="F66" s="520" t="str">
        <f>IF(E66="","",VLOOKUP($B66,'F-1 Off Site River Baseline'!$C$9:$R$257,5,FALSE))</f>
        <v/>
      </c>
      <c r="G66" s="520" t="str">
        <f>IF(F66="","",VLOOKUP($B66,'F-1 Off Site River Baseline'!$C$9:$R$257,6,FALSE))</f>
        <v/>
      </c>
      <c r="H66" s="520" t="str">
        <f>IF(G66="","",VLOOKUP($B66,'F-1 Off Site River Baseline'!$C$9:$R$257,7,FALSE))</f>
        <v/>
      </c>
      <c r="I66" s="520" t="str">
        <f>IF(H66="","",VLOOKUP($B66,'F-1 Off Site River Baseline'!$C$9:$R$257,8,FALSE))</f>
        <v/>
      </c>
      <c r="J66" s="520" t="str">
        <f>IF(I66="","",VLOOKUP($B66,'F-1 Off Site River Baseline'!$C$9:$R$257,9,FALSE))</f>
        <v/>
      </c>
      <c r="K66" s="520" t="str">
        <f>IF(J66="","",VLOOKUP($B66,'F-1 Off Site River Baseline'!$C$9:$R$257,10,FALSE))</f>
        <v/>
      </c>
      <c r="L66" s="520" t="str">
        <f>IF(B66="","",VLOOKUP($B66,'C-1 Site River Baseline'!$C$9:$R$257,15,FALSE))</f>
        <v/>
      </c>
      <c r="M66" s="524" t="str">
        <f>IF(L66="","",VLOOKUP($B66,'F-1 Off Site River Baseline'!$C$9:$R$257,16,FALSE))</f>
        <v/>
      </c>
      <c r="N66" s="418" t="str">
        <f t="shared" si="0"/>
        <v/>
      </c>
      <c r="O66" s="498" t="str">
        <f t="shared" si="5"/>
        <v/>
      </c>
      <c r="P66" s="499" t="str">
        <f>IF(C66="","",IF(AND(LEFT(C66,55)&lt;&gt;LEFT(N66,55),O66="High - High"),"Error - Not like for like ▲",IF(AND(F66=S66,H66&gt;U66),"Error - Can not reduce condition ▲",IF(AND(F66=S66,H66=U66,AJ66='F-1 Off Site River Baseline'!N64,'F-1 Off Site River Baseline'!P64=AL66),"Error - No enhancement ▲",IF(AND(C66&lt;&gt;N66,F66&lt;S66),"Lower Distinctiveness Habitat"&amp;" - "&amp;T66,G66&amp;" - "&amp;T66)))))</f>
        <v/>
      </c>
      <c r="Q66" s="505" t="str">
        <f>IF(N66="","",VLOOKUP(B66,'F-1 Off Site River Baseline'!$C$10:$AA$257,19,FALSE))</f>
        <v/>
      </c>
      <c r="R66" s="498" t="str">
        <f>IF(N66="","",VLOOKUP(N66,'G-7 Rivers Data'!$B$2:$G$8,2,FALSE))</f>
        <v/>
      </c>
      <c r="S66" s="499" t="str">
        <f>IFERROR(VLOOKUP(R66,'G-7 Rivers Data'!$C$4:$D$8,2,FALSE),"")</f>
        <v/>
      </c>
      <c r="T66" s="145"/>
      <c r="U66" s="499" t="str">
        <f>IFERROR(INDEX('G-7 Rivers Data'!$H$4:$L$8,MATCH(N66,'G-7 Rivers Data'!$B$4:$B$8,0),MATCH(T66,'G-7 Rivers Data'!$H$3:$L$3,0)),"")</f>
        <v/>
      </c>
      <c r="V66" s="154"/>
      <c r="W66" s="520" t="str">
        <f>IF(V66="","",IF(VLOOKUP(V66,'G-7 Rivers Data'!$AG$4:$AI$9,2,FALSE)=0,"Spatial Data Missing ⚠",VLOOKUP(V66,'G-7 Rivers Data'!$AG$4:$AI$9,2,FALSE)))</f>
        <v/>
      </c>
      <c r="X66" s="524" t="str">
        <f>IF(V66="","",IF(VLOOKUP(V66,'G-7 Rivers Data'!$AG$4:$AI$9,3,FALSE)=0,"Spatial Data Missing ⚠",VLOOKUP(V66,'G-7 Rivers Data'!$AG$4:$AI$9,3,FALSE)))</f>
        <v/>
      </c>
      <c r="Y66" s="537" t="str">
        <f>IFERROR(IF(OR(LEFT(P66,5)="Error ▲",LEFT(O66,5)="Error ▲"),"Check Data ⚠",IF(F66&lt;S66,'G-7 Rivers Data'!$R$3,INDEX('G-7 Rivers Data'!$U$5:$Y$9,MATCH(G66,'G-7 Rivers Data'!$T$5:$T$9,0),MATCH(T66,'G-7 Rivers Data'!$U$4:$Y$4,0)))),"")</f>
        <v/>
      </c>
      <c r="Z66" s="203"/>
      <c r="AA66" s="203"/>
      <c r="AB66" s="534" t="str">
        <f t="shared" si="1"/>
        <v/>
      </c>
      <c r="AC66" s="521" t="str">
        <f t="shared" si="2"/>
        <v/>
      </c>
      <c r="AD66" s="564" t="str">
        <f>IFERROR(IF(AC66="Check Data ⚠","Check Data ⚠",VLOOKUP(AC66,'G-4 Temporal multipliers'!$A$4:$C$37,3,FALSE)),"")</f>
        <v/>
      </c>
      <c r="AE66" s="537" t="str">
        <f>IF(N66="","",VLOOKUP(N66,'G-7 Rivers Data'!$B$4:$G$8,5,FALSE))</f>
        <v/>
      </c>
      <c r="AF66" s="520" t="str">
        <f t="shared" si="3"/>
        <v/>
      </c>
      <c r="AG66" s="520" t="str">
        <f t="shared" si="6"/>
        <v/>
      </c>
      <c r="AH66" s="524" t="str">
        <f t="shared" si="4"/>
        <v/>
      </c>
      <c r="AI66" s="145"/>
      <c r="AJ66" s="499" t="str">
        <f>IF(AI66="","",IF(VLOOKUP(AI66,'G-7 Rivers Data'!$AA$4:$AB$7,2,FALSE)=0,"Spatial Data Missing ⚠",VLOOKUP(AI66,'G-7 Rivers Data'!$AA$4:$AB$7,2,FALSE)))</f>
        <v/>
      </c>
      <c r="AK66" s="155"/>
      <c r="AL66" s="536" t="str">
        <f>IF(AK66="","",IF(VLOOKUP(AK66,'G-7 Rivers Data'!$AD$4:$AE$8,2,FALSE)=0,"Spatial Data Missing ⚠",VLOOKUP(AK66,'G-7 Rivers Data'!$AD$4:$AE$8,2,FALSE)))</f>
        <v/>
      </c>
      <c r="AM66" s="154"/>
      <c r="AN66" s="524" t="str">
        <f>IF(AM66="","",VLOOKUP(AM66,'G-7 Rivers Data'!$AO$4:$AP$7,2,FALSE))</f>
        <v/>
      </c>
      <c r="AO66" s="545" t="str">
        <f t="shared" si="7"/>
        <v/>
      </c>
      <c r="AP66" s="149"/>
      <c r="AQ66" s="150"/>
      <c r="AX66" s="31" t="str">
        <f>IFERROR(INDEX('G-7 Rivers Data'!$AZ$3:$AZ$7,MATCH(N66,'G-7 Rivers Data'!$AY$3:$AY$7,0)),"")</f>
        <v/>
      </c>
    </row>
    <row r="67" spans="2:50" ht="14" x14ac:dyDescent="0.3">
      <c r="B67" s="531" t="str">
        <f>'F-1 Off Site River Baseline'!AN65</f>
        <v/>
      </c>
      <c r="C67" s="520" t="str">
        <f>IF(B67="","",VLOOKUP($B67,'F-1 Off Site River Baseline'!$C$9:$R$257,2,FALSE))</f>
        <v/>
      </c>
      <c r="D67" s="520" t="str">
        <f>IF(C67="","",VLOOKUP($B67,'F-1 Off Site River Baseline'!$C$9:$R$257,3,FALSE))</f>
        <v/>
      </c>
      <c r="E67" s="520" t="str">
        <f>IF(D67="","",VLOOKUP($B67,'F-1 Off Site River Baseline'!$C$9:$R$257,4,FALSE))</f>
        <v/>
      </c>
      <c r="F67" s="520" t="str">
        <f>IF(E67="","",VLOOKUP($B67,'F-1 Off Site River Baseline'!$C$9:$R$257,5,FALSE))</f>
        <v/>
      </c>
      <c r="G67" s="520" t="str">
        <f>IF(F67="","",VLOOKUP($B67,'F-1 Off Site River Baseline'!$C$9:$R$257,6,FALSE))</f>
        <v/>
      </c>
      <c r="H67" s="520" t="str">
        <f>IF(G67="","",VLOOKUP($B67,'F-1 Off Site River Baseline'!$C$9:$R$257,7,FALSE))</f>
        <v/>
      </c>
      <c r="I67" s="520" t="str">
        <f>IF(H67="","",VLOOKUP($B67,'F-1 Off Site River Baseline'!$C$9:$R$257,8,FALSE))</f>
        <v/>
      </c>
      <c r="J67" s="520" t="str">
        <f>IF(I67="","",VLOOKUP($B67,'F-1 Off Site River Baseline'!$C$9:$R$257,9,FALSE))</f>
        <v/>
      </c>
      <c r="K67" s="520" t="str">
        <f>IF(J67="","",VLOOKUP($B67,'F-1 Off Site River Baseline'!$C$9:$R$257,10,FALSE))</f>
        <v/>
      </c>
      <c r="L67" s="520" t="str">
        <f>IF(B67="","",VLOOKUP($B67,'C-1 Site River Baseline'!$C$9:$R$257,15,FALSE))</f>
        <v/>
      </c>
      <c r="M67" s="524" t="str">
        <f>IF(L67="","",VLOOKUP($B67,'F-1 Off Site River Baseline'!$C$9:$R$257,16,FALSE))</f>
        <v/>
      </c>
      <c r="N67" s="418" t="str">
        <f t="shared" si="0"/>
        <v/>
      </c>
      <c r="O67" s="498" t="str">
        <f t="shared" si="5"/>
        <v/>
      </c>
      <c r="P67" s="499" t="str">
        <f>IF(C67="","",IF(AND(LEFT(C67,55)&lt;&gt;LEFT(N67,55),O67="High - High"),"Error - Not like for like ▲",IF(AND(F67=S67,H67&gt;U67),"Error - Can not reduce condition ▲",IF(AND(F67=S67,H67=U67,AJ67='F-1 Off Site River Baseline'!N65,'F-1 Off Site River Baseline'!P65=AL67),"Error - No enhancement ▲",IF(AND(C67&lt;&gt;N67,F67&lt;S67),"Lower Distinctiveness Habitat"&amp;" - "&amp;T67,G67&amp;" - "&amp;T67)))))</f>
        <v/>
      </c>
      <c r="Q67" s="505" t="str">
        <f>IF(N67="","",VLOOKUP(B67,'F-1 Off Site River Baseline'!$C$10:$AA$257,19,FALSE))</f>
        <v/>
      </c>
      <c r="R67" s="498" t="str">
        <f>IF(N67="","",VLOOKUP(N67,'G-7 Rivers Data'!$B$2:$G$8,2,FALSE))</f>
        <v/>
      </c>
      <c r="S67" s="499" t="str">
        <f>IFERROR(VLOOKUP(R67,'G-7 Rivers Data'!$C$4:$D$8,2,FALSE),"")</f>
        <v/>
      </c>
      <c r="T67" s="145"/>
      <c r="U67" s="499" t="str">
        <f>IFERROR(INDEX('G-7 Rivers Data'!$H$4:$L$8,MATCH(N67,'G-7 Rivers Data'!$B$4:$B$8,0),MATCH(T67,'G-7 Rivers Data'!$H$3:$L$3,0)),"")</f>
        <v/>
      </c>
      <c r="V67" s="154"/>
      <c r="W67" s="520" t="str">
        <f>IF(V67="","",IF(VLOOKUP(V67,'G-7 Rivers Data'!$AG$4:$AI$9,2,FALSE)=0,"Spatial Data Missing ⚠",VLOOKUP(V67,'G-7 Rivers Data'!$AG$4:$AI$9,2,FALSE)))</f>
        <v/>
      </c>
      <c r="X67" s="524" t="str">
        <f>IF(V67="","",IF(VLOOKUP(V67,'G-7 Rivers Data'!$AG$4:$AI$9,3,FALSE)=0,"Spatial Data Missing ⚠",VLOOKUP(V67,'G-7 Rivers Data'!$AG$4:$AI$9,3,FALSE)))</f>
        <v/>
      </c>
      <c r="Y67" s="537" t="str">
        <f>IFERROR(IF(OR(LEFT(P67,5)="Error ▲",LEFT(O67,5)="Error ▲"),"Check Data ⚠",IF(F67&lt;S67,'G-7 Rivers Data'!$R$3,INDEX('G-7 Rivers Data'!$U$5:$Y$9,MATCH(G67,'G-7 Rivers Data'!$T$5:$T$9,0),MATCH(T67,'G-7 Rivers Data'!$U$4:$Y$4,0)))),"")</f>
        <v/>
      </c>
      <c r="Z67" s="203"/>
      <c r="AA67" s="203"/>
      <c r="AB67" s="534" t="str">
        <f t="shared" si="1"/>
        <v/>
      </c>
      <c r="AC67" s="521" t="str">
        <f t="shared" si="2"/>
        <v/>
      </c>
      <c r="AD67" s="564" t="str">
        <f>IFERROR(IF(AC67="Check Data ⚠","Check Data ⚠",VLOOKUP(AC67,'G-4 Temporal multipliers'!$A$4:$C$37,3,FALSE)),"")</f>
        <v/>
      </c>
      <c r="AE67" s="537" t="str">
        <f>IF(N67="","",VLOOKUP(N67,'G-7 Rivers Data'!$B$4:$G$8,5,FALSE))</f>
        <v/>
      </c>
      <c r="AF67" s="520" t="str">
        <f t="shared" si="3"/>
        <v/>
      </c>
      <c r="AG67" s="520" t="str">
        <f t="shared" si="6"/>
        <v/>
      </c>
      <c r="AH67" s="524" t="str">
        <f t="shared" si="4"/>
        <v/>
      </c>
      <c r="AI67" s="145"/>
      <c r="AJ67" s="499" t="str">
        <f>IF(AI67="","",IF(VLOOKUP(AI67,'G-7 Rivers Data'!$AA$4:$AB$7,2,FALSE)=0,"Spatial Data Missing ⚠",VLOOKUP(AI67,'G-7 Rivers Data'!$AA$4:$AB$7,2,FALSE)))</f>
        <v/>
      </c>
      <c r="AK67" s="155"/>
      <c r="AL67" s="536" t="str">
        <f>IF(AK67="","",IF(VLOOKUP(AK67,'G-7 Rivers Data'!$AD$4:$AE$8,2,FALSE)=0,"Spatial Data Missing ⚠",VLOOKUP(AK67,'G-7 Rivers Data'!$AD$4:$AE$8,2,FALSE)))</f>
        <v/>
      </c>
      <c r="AM67" s="154"/>
      <c r="AN67" s="524" t="str">
        <f>IF(AM67="","",VLOOKUP(AM67,'G-7 Rivers Data'!$AO$4:$AP$7,2,FALSE))</f>
        <v/>
      </c>
      <c r="AO67" s="545" t="str">
        <f t="shared" si="7"/>
        <v/>
      </c>
      <c r="AP67" s="149"/>
      <c r="AQ67" s="150"/>
      <c r="AX67" s="31" t="str">
        <f>IFERROR(INDEX('G-7 Rivers Data'!$AZ$3:$AZ$7,MATCH(N67,'G-7 Rivers Data'!$AY$3:$AY$7,0)),"")</f>
        <v/>
      </c>
    </row>
    <row r="68" spans="2:50" ht="14" x14ac:dyDescent="0.3">
      <c r="B68" s="531" t="str">
        <f>'F-1 Off Site River Baseline'!AN66</f>
        <v/>
      </c>
      <c r="C68" s="520" t="str">
        <f>IF(B68="","",VLOOKUP($B68,'F-1 Off Site River Baseline'!$C$9:$R$257,2,FALSE))</f>
        <v/>
      </c>
      <c r="D68" s="520" t="str">
        <f>IF(C68="","",VLOOKUP($B68,'F-1 Off Site River Baseline'!$C$9:$R$257,3,FALSE))</f>
        <v/>
      </c>
      <c r="E68" s="520" t="str">
        <f>IF(D68="","",VLOOKUP($B68,'F-1 Off Site River Baseline'!$C$9:$R$257,4,FALSE))</f>
        <v/>
      </c>
      <c r="F68" s="520" t="str">
        <f>IF(E68="","",VLOOKUP($B68,'F-1 Off Site River Baseline'!$C$9:$R$257,5,FALSE))</f>
        <v/>
      </c>
      <c r="G68" s="520" t="str">
        <f>IF(F68="","",VLOOKUP($B68,'F-1 Off Site River Baseline'!$C$9:$R$257,6,FALSE))</f>
        <v/>
      </c>
      <c r="H68" s="520" t="str">
        <f>IF(G68="","",VLOOKUP($B68,'F-1 Off Site River Baseline'!$C$9:$R$257,7,FALSE))</f>
        <v/>
      </c>
      <c r="I68" s="520" t="str">
        <f>IF(H68="","",VLOOKUP($B68,'F-1 Off Site River Baseline'!$C$9:$R$257,8,FALSE))</f>
        <v/>
      </c>
      <c r="J68" s="520" t="str">
        <f>IF(I68="","",VLOOKUP($B68,'F-1 Off Site River Baseline'!$C$9:$R$257,9,FALSE))</f>
        <v/>
      </c>
      <c r="K68" s="520" t="str">
        <f>IF(J68="","",VLOOKUP($B68,'F-1 Off Site River Baseline'!$C$9:$R$257,10,FALSE))</f>
        <v/>
      </c>
      <c r="L68" s="520" t="str">
        <f>IF(B68="","",VLOOKUP($B68,'C-1 Site River Baseline'!$C$9:$R$257,15,FALSE))</f>
        <v/>
      </c>
      <c r="M68" s="524" t="str">
        <f>IF(L68="","",VLOOKUP($B68,'F-1 Off Site River Baseline'!$C$9:$R$257,16,FALSE))</f>
        <v/>
      </c>
      <c r="N68" s="418" t="str">
        <f t="shared" si="0"/>
        <v/>
      </c>
      <c r="O68" s="498" t="str">
        <f t="shared" si="5"/>
        <v/>
      </c>
      <c r="P68" s="499" t="str">
        <f>IF(C68="","",IF(AND(LEFT(C68,55)&lt;&gt;LEFT(N68,55),O68="High - High"),"Error - Not like for like ▲",IF(AND(F68=S68,H68&gt;U68),"Error - Can not reduce condition ▲",IF(AND(F68=S68,H68=U68,AJ68='F-1 Off Site River Baseline'!N66,'F-1 Off Site River Baseline'!P66=AL68),"Error - No enhancement ▲",IF(AND(C68&lt;&gt;N68,F68&lt;S68),"Lower Distinctiveness Habitat"&amp;" - "&amp;T68,G68&amp;" - "&amp;T68)))))</f>
        <v/>
      </c>
      <c r="Q68" s="505" t="str">
        <f>IF(N68="","",VLOOKUP(B68,'F-1 Off Site River Baseline'!$C$10:$AA$257,19,FALSE))</f>
        <v/>
      </c>
      <c r="R68" s="498" t="str">
        <f>IF(N68="","",VLOOKUP(N68,'G-7 Rivers Data'!$B$2:$G$8,2,FALSE))</f>
        <v/>
      </c>
      <c r="S68" s="499" t="str">
        <f>IFERROR(VLOOKUP(R68,'G-7 Rivers Data'!$C$4:$D$8,2,FALSE),"")</f>
        <v/>
      </c>
      <c r="T68" s="145"/>
      <c r="U68" s="499" t="str">
        <f>IFERROR(INDEX('G-7 Rivers Data'!$H$4:$L$8,MATCH(N68,'G-7 Rivers Data'!$B$4:$B$8,0),MATCH(T68,'G-7 Rivers Data'!$H$3:$L$3,0)),"")</f>
        <v/>
      </c>
      <c r="V68" s="154"/>
      <c r="W68" s="520" t="str">
        <f>IF(V68="","",IF(VLOOKUP(V68,'G-7 Rivers Data'!$AG$4:$AI$9,2,FALSE)=0,"Spatial Data Missing ⚠",VLOOKUP(V68,'G-7 Rivers Data'!$AG$4:$AI$9,2,FALSE)))</f>
        <v/>
      </c>
      <c r="X68" s="524" t="str">
        <f>IF(V68="","",IF(VLOOKUP(V68,'G-7 Rivers Data'!$AG$4:$AI$9,3,FALSE)=0,"Spatial Data Missing ⚠",VLOOKUP(V68,'G-7 Rivers Data'!$AG$4:$AI$9,3,FALSE)))</f>
        <v/>
      </c>
      <c r="Y68" s="537" t="str">
        <f>IFERROR(IF(OR(LEFT(P68,5)="Error ▲",LEFT(O68,5)="Error ▲"),"Check Data ⚠",IF(F68&lt;S68,'G-7 Rivers Data'!$R$3,INDEX('G-7 Rivers Data'!$U$5:$Y$9,MATCH(G68,'G-7 Rivers Data'!$T$5:$T$9,0),MATCH(T68,'G-7 Rivers Data'!$U$4:$Y$4,0)))),"")</f>
        <v/>
      </c>
      <c r="Z68" s="203"/>
      <c r="AA68" s="203"/>
      <c r="AB68" s="534" t="str">
        <f t="shared" si="1"/>
        <v/>
      </c>
      <c r="AC68" s="521" t="str">
        <f t="shared" si="2"/>
        <v/>
      </c>
      <c r="AD68" s="564" t="str">
        <f>IFERROR(IF(AC68="Check Data ⚠","Check Data ⚠",VLOOKUP(AC68,'G-4 Temporal multipliers'!$A$4:$C$37,3,FALSE)),"")</f>
        <v/>
      </c>
      <c r="AE68" s="537" t="str">
        <f>IF(N68="","",VLOOKUP(N68,'G-7 Rivers Data'!$B$4:$G$8,5,FALSE))</f>
        <v/>
      </c>
      <c r="AF68" s="520" t="str">
        <f t="shared" si="3"/>
        <v/>
      </c>
      <c r="AG68" s="520" t="str">
        <f t="shared" si="6"/>
        <v/>
      </c>
      <c r="AH68" s="524" t="str">
        <f t="shared" si="4"/>
        <v/>
      </c>
      <c r="AI68" s="145"/>
      <c r="AJ68" s="499" t="str">
        <f>IF(AI68="","",IF(VLOOKUP(AI68,'G-7 Rivers Data'!$AA$4:$AB$7,2,FALSE)=0,"Spatial Data Missing ⚠",VLOOKUP(AI68,'G-7 Rivers Data'!$AA$4:$AB$7,2,FALSE)))</f>
        <v/>
      </c>
      <c r="AK68" s="155"/>
      <c r="AL68" s="536" t="str">
        <f>IF(AK68="","",IF(VLOOKUP(AK68,'G-7 Rivers Data'!$AD$4:$AE$8,2,FALSE)=0,"Spatial Data Missing ⚠",VLOOKUP(AK68,'G-7 Rivers Data'!$AD$4:$AE$8,2,FALSE)))</f>
        <v/>
      </c>
      <c r="AM68" s="154"/>
      <c r="AN68" s="524" t="str">
        <f>IF(AM68="","",VLOOKUP(AM68,'G-7 Rivers Data'!$AO$4:$AP$7,2,FALSE))</f>
        <v/>
      </c>
      <c r="AO68" s="545" t="str">
        <f t="shared" si="7"/>
        <v/>
      </c>
      <c r="AP68" s="149"/>
      <c r="AQ68" s="150"/>
      <c r="AX68" s="31" t="str">
        <f>IFERROR(INDEX('G-7 Rivers Data'!$AZ$3:$AZ$7,MATCH(N68,'G-7 Rivers Data'!$AY$3:$AY$7,0)),"")</f>
        <v/>
      </c>
    </row>
    <row r="69" spans="2:50" ht="14" x14ac:dyDescent="0.3">
      <c r="B69" s="531" t="str">
        <f>'F-1 Off Site River Baseline'!AN67</f>
        <v/>
      </c>
      <c r="C69" s="520" t="str">
        <f>IF(B69="","",VLOOKUP($B69,'F-1 Off Site River Baseline'!$C$9:$R$257,2,FALSE))</f>
        <v/>
      </c>
      <c r="D69" s="520" t="str">
        <f>IF(C69="","",VLOOKUP($B69,'F-1 Off Site River Baseline'!$C$9:$R$257,3,FALSE))</f>
        <v/>
      </c>
      <c r="E69" s="520" t="str">
        <f>IF(D69="","",VLOOKUP($B69,'F-1 Off Site River Baseline'!$C$9:$R$257,4,FALSE))</f>
        <v/>
      </c>
      <c r="F69" s="520" t="str">
        <f>IF(E69="","",VLOOKUP($B69,'F-1 Off Site River Baseline'!$C$9:$R$257,5,FALSE))</f>
        <v/>
      </c>
      <c r="G69" s="520" t="str">
        <f>IF(F69="","",VLOOKUP($B69,'F-1 Off Site River Baseline'!$C$9:$R$257,6,FALSE))</f>
        <v/>
      </c>
      <c r="H69" s="520" t="str">
        <f>IF(G69="","",VLOOKUP($B69,'F-1 Off Site River Baseline'!$C$9:$R$257,7,FALSE))</f>
        <v/>
      </c>
      <c r="I69" s="520" t="str">
        <f>IF(H69="","",VLOOKUP($B69,'F-1 Off Site River Baseline'!$C$9:$R$257,8,FALSE))</f>
        <v/>
      </c>
      <c r="J69" s="520" t="str">
        <f>IF(I69="","",VLOOKUP($B69,'F-1 Off Site River Baseline'!$C$9:$R$257,9,FALSE))</f>
        <v/>
      </c>
      <c r="K69" s="520" t="str">
        <f>IF(J69="","",VLOOKUP($B69,'F-1 Off Site River Baseline'!$C$9:$R$257,10,FALSE))</f>
        <v/>
      </c>
      <c r="L69" s="520" t="str">
        <f>IF(B69="","",VLOOKUP($B69,'C-1 Site River Baseline'!$C$9:$R$257,15,FALSE))</f>
        <v/>
      </c>
      <c r="M69" s="524" t="str">
        <f>IF(L69="","",VLOOKUP($B69,'F-1 Off Site River Baseline'!$C$9:$R$257,16,FALSE))</f>
        <v/>
      </c>
      <c r="N69" s="418" t="str">
        <f t="shared" si="0"/>
        <v/>
      </c>
      <c r="O69" s="498" t="str">
        <f t="shared" si="5"/>
        <v/>
      </c>
      <c r="P69" s="499" t="str">
        <f>IF(C69="","",IF(AND(LEFT(C69,55)&lt;&gt;LEFT(N69,55),O69="High - High"),"Error - Not like for like ▲",IF(AND(F69=S69,H69&gt;U69),"Error - Can not reduce condition ▲",IF(AND(F69=S69,H69=U69,AJ69='F-1 Off Site River Baseline'!N67,'F-1 Off Site River Baseline'!P67=AL69),"Error - No enhancement ▲",IF(AND(C69&lt;&gt;N69,F69&lt;S69),"Lower Distinctiveness Habitat"&amp;" - "&amp;T69,G69&amp;" - "&amp;T69)))))</f>
        <v/>
      </c>
      <c r="Q69" s="505" t="str">
        <f>IF(N69="","",VLOOKUP(B69,'F-1 Off Site River Baseline'!$C$10:$AA$257,19,FALSE))</f>
        <v/>
      </c>
      <c r="R69" s="498" t="str">
        <f>IF(N69="","",VLOOKUP(N69,'G-7 Rivers Data'!$B$2:$G$8,2,FALSE))</f>
        <v/>
      </c>
      <c r="S69" s="499" t="str">
        <f>IFERROR(VLOOKUP(R69,'G-7 Rivers Data'!$C$4:$D$8,2,FALSE),"")</f>
        <v/>
      </c>
      <c r="T69" s="145"/>
      <c r="U69" s="499" t="str">
        <f>IFERROR(INDEX('G-7 Rivers Data'!$H$4:$L$8,MATCH(N69,'G-7 Rivers Data'!$B$4:$B$8,0),MATCH(T69,'G-7 Rivers Data'!$H$3:$L$3,0)),"")</f>
        <v/>
      </c>
      <c r="V69" s="154"/>
      <c r="W69" s="520" t="str">
        <f>IF(V69="","",IF(VLOOKUP(V69,'G-7 Rivers Data'!$AG$4:$AI$9,2,FALSE)=0,"Spatial Data Missing ⚠",VLOOKUP(V69,'G-7 Rivers Data'!$AG$4:$AI$9,2,FALSE)))</f>
        <v/>
      </c>
      <c r="X69" s="524" t="str">
        <f>IF(V69="","",IF(VLOOKUP(V69,'G-7 Rivers Data'!$AG$4:$AI$9,3,FALSE)=0,"Spatial Data Missing ⚠",VLOOKUP(V69,'G-7 Rivers Data'!$AG$4:$AI$9,3,FALSE)))</f>
        <v/>
      </c>
      <c r="Y69" s="537" t="str">
        <f>IFERROR(IF(OR(LEFT(P69,5)="Error ▲",LEFT(O69,5)="Error ▲"),"Check Data ⚠",IF(F69&lt;S69,'G-7 Rivers Data'!$R$3,INDEX('G-7 Rivers Data'!$U$5:$Y$9,MATCH(G69,'G-7 Rivers Data'!$T$5:$T$9,0),MATCH(T69,'G-7 Rivers Data'!$U$4:$Y$4,0)))),"")</f>
        <v/>
      </c>
      <c r="Z69" s="203"/>
      <c r="AA69" s="203"/>
      <c r="AB69" s="534" t="str">
        <f t="shared" si="1"/>
        <v/>
      </c>
      <c r="AC69" s="521" t="str">
        <f t="shared" si="2"/>
        <v/>
      </c>
      <c r="AD69" s="564" t="str">
        <f>IFERROR(IF(AC69="Check Data ⚠","Check Data ⚠",VLOOKUP(AC69,'G-4 Temporal multipliers'!$A$4:$C$37,3,FALSE)),"")</f>
        <v/>
      </c>
      <c r="AE69" s="537" t="str">
        <f>IF(N69="","",VLOOKUP(N69,'G-7 Rivers Data'!$B$4:$G$8,5,FALSE))</f>
        <v/>
      </c>
      <c r="AF69" s="520" t="str">
        <f t="shared" si="3"/>
        <v/>
      </c>
      <c r="AG69" s="520" t="str">
        <f t="shared" si="6"/>
        <v/>
      </c>
      <c r="AH69" s="524" t="str">
        <f t="shared" si="4"/>
        <v/>
      </c>
      <c r="AI69" s="145"/>
      <c r="AJ69" s="499" t="str">
        <f>IF(AI69="","",IF(VLOOKUP(AI69,'G-7 Rivers Data'!$AA$4:$AB$7,2,FALSE)=0,"Spatial Data Missing ⚠",VLOOKUP(AI69,'G-7 Rivers Data'!$AA$4:$AB$7,2,FALSE)))</f>
        <v/>
      </c>
      <c r="AK69" s="155"/>
      <c r="AL69" s="536" t="str">
        <f>IF(AK69="","",IF(VLOOKUP(AK69,'G-7 Rivers Data'!$AD$4:$AE$8,2,FALSE)=0,"Spatial Data Missing ⚠",VLOOKUP(AK69,'G-7 Rivers Data'!$AD$4:$AE$8,2,FALSE)))</f>
        <v/>
      </c>
      <c r="AM69" s="154"/>
      <c r="AN69" s="524" t="str">
        <f>IF(AM69="","",VLOOKUP(AM69,'G-7 Rivers Data'!$AO$4:$AP$7,2,FALSE))</f>
        <v/>
      </c>
      <c r="AO69" s="545" t="str">
        <f t="shared" si="7"/>
        <v/>
      </c>
      <c r="AP69" s="149"/>
      <c r="AQ69" s="150"/>
      <c r="AX69" s="31" t="str">
        <f>IFERROR(INDEX('G-7 Rivers Data'!$AZ$3:$AZ$7,MATCH(N69,'G-7 Rivers Data'!$AY$3:$AY$7,0)),"")</f>
        <v/>
      </c>
    </row>
    <row r="70" spans="2:50" ht="14" x14ac:dyDescent="0.3">
      <c r="B70" s="531" t="str">
        <f>'F-1 Off Site River Baseline'!AN68</f>
        <v/>
      </c>
      <c r="C70" s="520" t="str">
        <f>IF(B70="","",VLOOKUP($B70,'F-1 Off Site River Baseline'!$C$9:$R$257,2,FALSE))</f>
        <v/>
      </c>
      <c r="D70" s="520" t="str">
        <f>IF(C70="","",VLOOKUP($B70,'F-1 Off Site River Baseline'!$C$9:$R$257,3,FALSE))</f>
        <v/>
      </c>
      <c r="E70" s="520" t="str">
        <f>IF(D70="","",VLOOKUP($B70,'F-1 Off Site River Baseline'!$C$9:$R$257,4,FALSE))</f>
        <v/>
      </c>
      <c r="F70" s="520" t="str">
        <f>IF(E70="","",VLOOKUP($B70,'F-1 Off Site River Baseline'!$C$9:$R$257,5,FALSE))</f>
        <v/>
      </c>
      <c r="G70" s="520" t="str">
        <f>IF(F70="","",VLOOKUP($B70,'F-1 Off Site River Baseline'!$C$9:$R$257,6,FALSE))</f>
        <v/>
      </c>
      <c r="H70" s="520" t="str">
        <f>IF(G70="","",VLOOKUP($B70,'F-1 Off Site River Baseline'!$C$9:$R$257,7,FALSE))</f>
        <v/>
      </c>
      <c r="I70" s="520" t="str">
        <f>IF(H70="","",VLOOKUP($B70,'F-1 Off Site River Baseline'!$C$9:$R$257,8,FALSE))</f>
        <v/>
      </c>
      <c r="J70" s="520" t="str">
        <f>IF(I70="","",VLOOKUP($B70,'F-1 Off Site River Baseline'!$C$9:$R$257,9,FALSE))</f>
        <v/>
      </c>
      <c r="K70" s="520" t="str">
        <f>IF(J70="","",VLOOKUP($B70,'F-1 Off Site River Baseline'!$C$9:$R$257,10,FALSE))</f>
        <v/>
      </c>
      <c r="L70" s="520" t="str">
        <f>IF(B70="","",VLOOKUP($B70,'C-1 Site River Baseline'!$C$9:$R$257,15,FALSE))</f>
        <v/>
      </c>
      <c r="M70" s="524" t="str">
        <f>IF(L70="","",VLOOKUP($B70,'F-1 Off Site River Baseline'!$C$9:$R$257,16,FALSE))</f>
        <v/>
      </c>
      <c r="N70" s="418" t="str">
        <f t="shared" si="0"/>
        <v/>
      </c>
      <c r="O70" s="498" t="str">
        <f t="shared" si="5"/>
        <v/>
      </c>
      <c r="P70" s="499" t="str">
        <f>IF(C70="","",IF(AND(LEFT(C70,55)&lt;&gt;LEFT(N70,55),O70="High - High"),"Error - Not like for like ▲",IF(AND(F70=S70,H70&gt;U70),"Error - Can not reduce condition ▲",IF(AND(F70=S70,H70=U70,AJ70='F-1 Off Site River Baseline'!N68,'F-1 Off Site River Baseline'!P68=AL70),"Error - No enhancement ▲",IF(AND(C70&lt;&gt;N70,F70&lt;S70),"Lower Distinctiveness Habitat"&amp;" - "&amp;T70,G70&amp;" - "&amp;T70)))))</f>
        <v/>
      </c>
      <c r="Q70" s="505" t="str">
        <f>IF(N70="","",VLOOKUP(B70,'F-1 Off Site River Baseline'!$C$10:$AA$257,19,FALSE))</f>
        <v/>
      </c>
      <c r="R70" s="498" t="str">
        <f>IF(N70="","",VLOOKUP(N70,'G-7 Rivers Data'!$B$2:$G$8,2,FALSE))</f>
        <v/>
      </c>
      <c r="S70" s="499" t="str">
        <f>IFERROR(VLOOKUP(R70,'G-7 Rivers Data'!$C$4:$D$8,2,FALSE),"")</f>
        <v/>
      </c>
      <c r="T70" s="145"/>
      <c r="U70" s="499" t="str">
        <f>IFERROR(INDEX('G-7 Rivers Data'!$H$4:$L$8,MATCH(N70,'G-7 Rivers Data'!$B$4:$B$8,0),MATCH(T70,'G-7 Rivers Data'!$H$3:$L$3,0)),"")</f>
        <v/>
      </c>
      <c r="V70" s="154"/>
      <c r="W70" s="520" t="str">
        <f>IF(V70="","",IF(VLOOKUP(V70,'G-7 Rivers Data'!$AG$4:$AI$9,2,FALSE)=0,"Spatial Data Missing ⚠",VLOOKUP(V70,'G-7 Rivers Data'!$AG$4:$AI$9,2,FALSE)))</f>
        <v/>
      </c>
      <c r="X70" s="524" t="str">
        <f>IF(V70="","",IF(VLOOKUP(V70,'G-7 Rivers Data'!$AG$4:$AI$9,3,FALSE)=0,"Spatial Data Missing ⚠",VLOOKUP(V70,'G-7 Rivers Data'!$AG$4:$AI$9,3,FALSE)))</f>
        <v/>
      </c>
      <c r="Y70" s="537" t="str">
        <f>IFERROR(IF(OR(LEFT(P70,5)="Error ▲",LEFT(O70,5)="Error ▲"),"Check Data ⚠",IF(F70&lt;S70,'G-7 Rivers Data'!$R$3,INDEX('G-7 Rivers Data'!$U$5:$Y$9,MATCH(G70,'G-7 Rivers Data'!$T$5:$T$9,0),MATCH(T70,'G-7 Rivers Data'!$U$4:$Y$4,0)))),"")</f>
        <v/>
      </c>
      <c r="Z70" s="203"/>
      <c r="AA70" s="203"/>
      <c r="AB70" s="534" t="str">
        <f t="shared" si="1"/>
        <v/>
      </c>
      <c r="AC70" s="521" t="str">
        <f t="shared" si="2"/>
        <v/>
      </c>
      <c r="AD70" s="564" t="str">
        <f>IFERROR(IF(AC70="Check Data ⚠","Check Data ⚠",VLOOKUP(AC70,'G-4 Temporal multipliers'!$A$4:$C$37,3,FALSE)),"")</f>
        <v/>
      </c>
      <c r="AE70" s="537" t="str">
        <f>IF(N70="","",VLOOKUP(N70,'G-7 Rivers Data'!$B$4:$G$8,5,FALSE))</f>
        <v/>
      </c>
      <c r="AF70" s="520" t="str">
        <f t="shared" si="3"/>
        <v/>
      </c>
      <c r="AG70" s="520" t="str">
        <f t="shared" si="6"/>
        <v/>
      </c>
      <c r="AH70" s="524" t="str">
        <f t="shared" si="4"/>
        <v/>
      </c>
      <c r="AI70" s="145"/>
      <c r="AJ70" s="499" t="str">
        <f>IF(AI70="","",IF(VLOOKUP(AI70,'G-7 Rivers Data'!$AA$4:$AB$7,2,FALSE)=0,"Spatial Data Missing ⚠",VLOOKUP(AI70,'G-7 Rivers Data'!$AA$4:$AB$7,2,FALSE)))</f>
        <v/>
      </c>
      <c r="AK70" s="155"/>
      <c r="AL70" s="536" t="str">
        <f>IF(AK70="","",IF(VLOOKUP(AK70,'G-7 Rivers Data'!$AD$4:$AE$8,2,FALSE)=0,"Spatial Data Missing ⚠",VLOOKUP(AK70,'G-7 Rivers Data'!$AD$4:$AE$8,2,FALSE)))</f>
        <v/>
      </c>
      <c r="AM70" s="154"/>
      <c r="AN70" s="524" t="str">
        <f>IF(AM70="","",VLOOKUP(AM70,'G-7 Rivers Data'!$AO$4:$AP$7,2,FALSE))</f>
        <v/>
      </c>
      <c r="AO70" s="545" t="str">
        <f t="shared" si="7"/>
        <v/>
      </c>
      <c r="AP70" s="149"/>
      <c r="AQ70" s="150"/>
      <c r="AX70" s="31" t="str">
        <f>IFERROR(INDEX('G-7 Rivers Data'!$AZ$3:$AZ$7,MATCH(N70,'G-7 Rivers Data'!$AY$3:$AY$7,0)),"")</f>
        <v/>
      </c>
    </row>
    <row r="71" spans="2:50" ht="14" x14ac:dyDescent="0.3">
      <c r="B71" s="531" t="str">
        <f>'F-1 Off Site River Baseline'!AN69</f>
        <v/>
      </c>
      <c r="C71" s="520" t="str">
        <f>IF(B71="","",VLOOKUP($B71,'F-1 Off Site River Baseline'!$C$9:$R$257,2,FALSE))</f>
        <v/>
      </c>
      <c r="D71" s="520" t="str">
        <f>IF(C71="","",VLOOKUP($B71,'F-1 Off Site River Baseline'!$C$9:$R$257,3,FALSE))</f>
        <v/>
      </c>
      <c r="E71" s="520" t="str">
        <f>IF(D71="","",VLOOKUP($B71,'F-1 Off Site River Baseline'!$C$9:$R$257,4,FALSE))</f>
        <v/>
      </c>
      <c r="F71" s="520" t="str">
        <f>IF(E71="","",VLOOKUP($B71,'F-1 Off Site River Baseline'!$C$9:$R$257,5,FALSE))</f>
        <v/>
      </c>
      <c r="G71" s="520" t="str">
        <f>IF(F71="","",VLOOKUP($B71,'F-1 Off Site River Baseline'!$C$9:$R$257,6,FALSE))</f>
        <v/>
      </c>
      <c r="H71" s="520" t="str">
        <f>IF(G71="","",VLOOKUP($B71,'F-1 Off Site River Baseline'!$C$9:$R$257,7,FALSE))</f>
        <v/>
      </c>
      <c r="I71" s="520" t="str">
        <f>IF(H71="","",VLOOKUP($B71,'F-1 Off Site River Baseline'!$C$9:$R$257,8,FALSE))</f>
        <v/>
      </c>
      <c r="J71" s="520" t="str">
        <f>IF(I71="","",VLOOKUP($B71,'F-1 Off Site River Baseline'!$C$9:$R$257,9,FALSE))</f>
        <v/>
      </c>
      <c r="K71" s="520" t="str">
        <f>IF(J71="","",VLOOKUP($B71,'F-1 Off Site River Baseline'!$C$9:$R$257,10,FALSE))</f>
        <v/>
      </c>
      <c r="L71" s="520" t="str">
        <f>IF(B71="","",VLOOKUP($B71,'C-1 Site River Baseline'!$C$9:$R$257,15,FALSE))</f>
        <v/>
      </c>
      <c r="M71" s="524" t="str">
        <f>IF(L71="","",VLOOKUP($B71,'F-1 Off Site River Baseline'!$C$9:$R$257,16,FALSE))</f>
        <v/>
      </c>
      <c r="N71" s="418" t="str">
        <f t="shared" si="0"/>
        <v/>
      </c>
      <c r="O71" s="498" t="str">
        <f t="shared" si="5"/>
        <v/>
      </c>
      <c r="P71" s="499" t="str">
        <f>IF(C71="","",IF(AND(LEFT(C71,55)&lt;&gt;LEFT(N71,55),O71="High - High"),"Error - Not like for like ▲",IF(AND(F71=S71,H71&gt;U71),"Error - Can not reduce condition ▲",IF(AND(F71=S71,H71=U71,AJ71='F-1 Off Site River Baseline'!N69,'F-1 Off Site River Baseline'!P69=AL71),"Error - No enhancement ▲",IF(AND(C71&lt;&gt;N71,F71&lt;S71),"Lower Distinctiveness Habitat"&amp;" - "&amp;T71,G71&amp;" - "&amp;T71)))))</f>
        <v/>
      </c>
      <c r="Q71" s="505" t="str">
        <f>IF(N71="","",VLOOKUP(B71,'F-1 Off Site River Baseline'!$C$10:$AA$257,19,FALSE))</f>
        <v/>
      </c>
      <c r="R71" s="498" t="str">
        <f>IF(N71="","",VLOOKUP(N71,'G-7 Rivers Data'!$B$2:$G$8,2,FALSE))</f>
        <v/>
      </c>
      <c r="S71" s="499" t="str">
        <f>IFERROR(VLOOKUP(R71,'G-7 Rivers Data'!$C$4:$D$8,2,FALSE),"")</f>
        <v/>
      </c>
      <c r="T71" s="145"/>
      <c r="U71" s="499" t="str">
        <f>IFERROR(INDEX('G-7 Rivers Data'!$H$4:$L$8,MATCH(N71,'G-7 Rivers Data'!$B$4:$B$8,0),MATCH(T71,'G-7 Rivers Data'!$H$3:$L$3,0)),"")</f>
        <v/>
      </c>
      <c r="V71" s="154"/>
      <c r="W71" s="520" t="str">
        <f>IF(V71="","",IF(VLOOKUP(V71,'G-7 Rivers Data'!$AG$4:$AI$9,2,FALSE)=0,"Spatial Data Missing ⚠",VLOOKUP(V71,'G-7 Rivers Data'!$AG$4:$AI$9,2,FALSE)))</f>
        <v/>
      </c>
      <c r="X71" s="524" t="str">
        <f>IF(V71="","",IF(VLOOKUP(V71,'G-7 Rivers Data'!$AG$4:$AI$9,3,FALSE)=0,"Spatial Data Missing ⚠",VLOOKUP(V71,'G-7 Rivers Data'!$AG$4:$AI$9,3,FALSE)))</f>
        <v/>
      </c>
      <c r="Y71" s="537" t="str">
        <f>IFERROR(IF(OR(LEFT(P71,5)="Error ▲",LEFT(O71,5)="Error ▲"),"Check Data ⚠",IF(F71&lt;S71,'G-7 Rivers Data'!$R$3,INDEX('G-7 Rivers Data'!$U$5:$Y$9,MATCH(G71,'G-7 Rivers Data'!$T$5:$T$9,0),MATCH(T71,'G-7 Rivers Data'!$U$4:$Y$4,0)))),"")</f>
        <v/>
      </c>
      <c r="Z71" s="203"/>
      <c r="AA71" s="203"/>
      <c r="AB71" s="534" t="str">
        <f t="shared" si="1"/>
        <v/>
      </c>
      <c r="AC71" s="521" t="str">
        <f t="shared" si="2"/>
        <v/>
      </c>
      <c r="AD71" s="564" t="str">
        <f>IFERROR(IF(AC71="Check Data ⚠","Check Data ⚠",VLOOKUP(AC71,'G-4 Temporal multipliers'!$A$4:$C$37,3,FALSE)),"")</f>
        <v/>
      </c>
      <c r="AE71" s="537" t="str">
        <f>IF(N71="","",VLOOKUP(N71,'G-7 Rivers Data'!$B$4:$G$8,5,FALSE))</f>
        <v/>
      </c>
      <c r="AF71" s="520" t="str">
        <f t="shared" si="3"/>
        <v/>
      </c>
      <c r="AG71" s="520" t="str">
        <f t="shared" si="6"/>
        <v/>
      </c>
      <c r="AH71" s="524" t="str">
        <f t="shared" si="4"/>
        <v/>
      </c>
      <c r="AI71" s="145"/>
      <c r="AJ71" s="499" t="str">
        <f>IF(AI71="","",IF(VLOOKUP(AI71,'G-7 Rivers Data'!$AA$4:$AB$7,2,FALSE)=0,"Spatial Data Missing ⚠",VLOOKUP(AI71,'G-7 Rivers Data'!$AA$4:$AB$7,2,FALSE)))</f>
        <v/>
      </c>
      <c r="AK71" s="155"/>
      <c r="AL71" s="536" t="str">
        <f>IF(AK71="","",IF(VLOOKUP(AK71,'G-7 Rivers Data'!$AD$4:$AE$8,2,FALSE)=0,"Spatial Data Missing ⚠",VLOOKUP(AK71,'G-7 Rivers Data'!$AD$4:$AE$8,2,FALSE)))</f>
        <v/>
      </c>
      <c r="AM71" s="154"/>
      <c r="AN71" s="524" t="str">
        <f>IF(AM71="","",VLOOKUP(AM71,'G-7 Rivers Data'!$AO$4:$AP$7,2,FALSE))</f>
        <v/>
      </c>
      <c r="AO71" s="545" t="str">
        <f t="shared" si="7"/>
        <v/>
      </c>
      <c r="AP71" s="149"/>
      <c r="AQ71" s="150"/>
      <c r="AX71" s="31" t="str">
        <f>IFERROR(INDEX('G-7 Rivers Data'!$AZ$3:$AZ$7,MATCH(N71,'G-7 Rivers Data'!$AY$3:$AY$7,0)),"")</f>
        <v/>
      </c>
    </row>
    <row r="72" spans="2:50" ht="14" x14ac:dyDescent="0.3">
      <c r="B72" s="531" t="str">
        <f>'F-1 Off Site River Baseline'!AN70</f>
        <v/>
      </c>
      <c r="C72" s="520" t="str">
        <f>IF(B72="","",VLOOKUP($B72,'F-1 Off Site River Baseline'!$C$9:$R$257,2,FALSE))</f>
        <v/>
      </c>
      <c r="D72" s="520" t="str">
        <f>IF(C72="","",VLOOKUP($B72,'F-1 Off Site River Baseline'!$C$9:$R$257,3,FALSE))</f>
        <v/>
      </c>
      <c r="E72" s="520" t="str">
        <f>IF(D72="","",VLOOKUP($B72,'F-1 Off Site River Baseline'!$C$9:$R$257,4,FALSE))</f>
        <v/>
      </c>
      <c r="F72" s="520" t="str">
        <f>IF(E72="","",VLOOKUP($B72,'F-1 Off Site River Baseline'!$C$9:$R$257,5,FALSE))</f>
        <v/>
      </c>
      <c r="G72" s="520" t="str">
        <f>IF(F72="","",VLOOKUP($B72,'F-1 Off Site River Baseline'!$C$9:$R$257,6,FALSE))</f>
        <v/>
      </c>
      <c r="H72" s="520" t="str">
        <f>IF(G72="","",VLOOKUP($B72,'F-1 Off Site River Baseline'!$C$9:$R$257,7,FALSE))</f>
        <v/>
      </c>
      <c r="I72" s="520" t="str">
        <f>IF(H72="","",VLOOKUP($B72,'F-1 Off Site River Baseline'!$C$9:$R$257,8,FALSE))</f>
        <v/>
      </c>
      <c r="J72" s="520" t="str">
        <f>IF(I72="","",VLOOKUP($B72,'F-1 Off Site River Baseline'!$C$9:$R$257,9,FALSE))</f>
        <v/>
      </c>
      <c r="K72" s="520" t="str">
        <f>IF(J72="","",VLOOKUP($B72,'F-1 Off Site River Baseline'!$C$9:$R$257,10,FALSE))</f>
        <v/>
      </c>
      <c r="L72" s="520" t="str">
        <f>IF(B72="","",VLOOKUP($B72,'C-1 Site River Baseline'!$C$9:$R$257,15,FALSE))</f>
        <v/>
      </c>
      <c r="M72" s="524" t="str">
        <f>IF(L72="","",VLOOKUP($B72,'F-1 Off Site River Baseline'!$C$9:$R$257,16,FALSE))</f>
        <v/>
      </c>
      <c r="N72" s="418" t="str">
        <f t="shared" si="0"/>
        <v/>
      </c>
      <c r="O72" s="498" t="str">
        <f t="shared" si="5"/>
        <v/>
      </c>
      <c r="P72" s="499" t="str">
        <f>IF(C72="","",IF(AND(LEFT(C72,55)&lt;&gt;LEFT(N72,55),O72="High - High"),"Error - Not like for like ▲",IF(AND(F72=S72,H72&gt;U72),"Error - Can not reduce condition ▲",IF(AND(F72=S72,H72=U72,AJ72='F-1 Off Site River Baseline'!N70,'F-1 Off Site River Baseline'!P70=AL72),"Error - No enhancement ▲",IF(AND(C72&lt;&gt;N72,F72&lt;S72),"Lower Distinctiveness Habitat"&amp;" - "&amp;T72,G72&amp;" - "&amp;T72)))))</f>
        <v/>
      </c>
      <c r="Q72" s="505" t="str">
        <f>IF(N72="","",VLOOKUP(B72,'F-1 Off Site River Baseline'!$C$10:$AA$257,19,FALSE))</f>
        <v/>
      </c>
      <c r="R72" s="498" t="str">
        <f>IF(N72="","",VLOOKUP(N72,'G-7 Rivers Data'!$B$2:$G$8,2,FALSE))</f>
        <v/>
      </c>
      <c r="S72" s="499" t="str">
        <f>IFERROR(VLOOKUP(R72,'G-7 Rivers Data'!$C$4:$D$8,2,FALSE),"")</f>
        <v/>
      </c>
      <c r="T72" s="145"/>
      <c r="U72" s="499" t="str">
        <f>IFERROR(INDEX('G-7 Rivers Data'!$H$4:$L$8,MATCH(N72,'G-7 Rivers Data'!$B$4:$B$8,0),MATCH(T72,'G-7 Rivers Data'!$H$3:$L$3,0)),"")</f>
        <v/>
      </c>
      <c r="V72" s="154"/>
      <c r="W72" s="520" t="str">
        <f>IF(V72="","",IF(VLOOKUP(V72,'G-7 Rivers Data'!$AG$4:$AI$9,2,FALSE)=0,"Spatial Data Missing ⚠",VLOOKUP(V72,'G-7 Rivers Data'!$AG$4:$AI$9,2,FALSE)))</f>
        <v/>
      </c>
      <c r="X72" s="524" t="str">
        <f>IF(V72="","",IF(VLOOKUP(V72,'G-7 Rivers Data'!$AG$4:$AI$9,3,FALSE)=0,"Spatial Data Missing ⚠",VLOOKUP(V72,'G-7 Rivers Data'!$AG$4:$AI$9,3,FALSE)))</f>
        <v/>
      </c>
      <c r="Y72" s="537" t="str">
        <f>IFERROR(IF(OR(LEFT(P72,5)="Error ▲",LEFT(O72,5)="Error ▲"),"Check Data ⚠",IF(F72&lt;S72,'G-7 Rivers Data'!$R$3,INDEX('G-7 Rivers Data'!$U$5:$Y$9,MATCH(G72,'G-7 Rivers Data'!$T$5:$T$9,0),MATCH(T72,'G-7 Rivers Data'!$U$4:$Y$4,0)))),"")</f>
        <v/>
      </c>
      <c r="Z72" s="203"/>
      <c r="AA72" s="203"/>
      <c r="AB72" s="534" t="str">
        <f t="shared" si="1"/>
        <v/>
      </c>
      <c r="AC72" s="521" t="str">
        <f t="shared" si="2"/>
        <v/>
      </c>
      <c r="AD72" s="564" t="str">
        <f>IFERROR(IF(AC72="Check Data ⚠","Check Data ⚠",VLOOKUP(AC72,'G-4 Temporal multipliers'!$A$4:$C$37,3,FALSE)),"")</f>
        <v/>
      </c>
      <c r="AE72" s="537" t="str">
        <f>IF(N72="","",VLOOKUP(N72,'G-7 Rivers Data'!$B$4:$G$8,5,FALSE))</f>
        <v/>
      </c>
      <c r="AF72" s="520" t="str">
        <f t="shared" si="3"/>
        <v/>
      </c>
      <c r="AG72" s="520" t="str">
        <f t="shared" si="6"/>
        <v/>
      </c>
      <c r="AH72" s="524" t="str">
        <f t="shared" si="4"/>
        <v/>
      </c>
      <c r="AI72" s="145"/>
      <c r="AJ72" s="499" t="str">
        <f>IF(AI72="","",IF(VLOOKUP(AI72,'G-7 Rivers Data'!$AA$4:$AB$7,2,FALSE)=0,"Spatial Data Missing ⚠",VLOOKUP(AI72,'G-7 Rivers Data'!$AA$4:$AB$7,2,FALSE)))</f>
        <v/>
      </c>
      <c r="AK72" s="155"/>
      <c r="AL72" s="536" t="str">
        <f>IF(AK72="","",IF(VLOOKUP(AK72,'G-7 Rivers Data'!$AD$4:$AE$8,2,FALSE)=0,"Spatial Data Missing ⚠",VLOOKUP(AK72,'G-7 Rivers Data'!$AD$4:$AE$8,2,FALSE)))</f>
        <v/>
      </c>
      <c r="AM72" s="154"/>
      <c r="AN72" s="524" t="str">
        <f>IF(AM72="","",VLOOKUP(AM72,'G-7 Rivers Data'!$AO$4:$AP$7,2,FALSE))</f>
        <v/>
      </c>
      <c r="AO72" s="545" t="str">
        <f t="shared" si="7"/>
        <v/>
      </c>
      <c r="AP72" s="149"/>
      <c r="AQ72" s="150"/>
      <c r="AX72" s="31" t="str">
        <f>IFERROR(INDEX('G-7 Rivers Data'!$AZ$3:$AZ$7,MATCH(N72,'G-7 Rivers Data'!$AY$3:$AY$7,0)),"")</f>
        <v/>
      </c>
    </row>
    <row r="73" spans="2:50" ht="14" x14ac:dyDescent="0.3">
      <c r="B73" s="531" t="str">
        <f>'F-1 Off Site River Baseline'!AN71</f>
        <v/>
      </c>
      <c r="C73" s="520" t="str">
        <f>IF(B73="","",VLOOKUP($B73,'F-1 Off Site River Baseline'!$C$9:$R$257,2,FALSE))</f>
        <v/>
      </c>
      <c r="D73" s="520" t="str">
        <f>IF(C73="","",VLOOKUP($B73,'F-1 Off Site River Baseline'!$C$9:$R$257,3,FALSE))</f>
        <v/>
      </c>
      <c r="E73" s="520" t="str">
        <f>IF(D73="","",VLOOKUP($B73,'F-1 Off Site River Baseline'!$C$9:$R$257,4,FALSE))</f>
        <v/>
      </c>
      <c r="F73" s="520" t="str">
        <f>IF(E73="","",VLOOKUP($B73,'F-1 Off Site River Baseline'!$C$9:$R$257,5,FALSE))</f>
        <v/>
      </c>
      <c r="G73" s="520" t="str">
        <f>IF(F73="","",VLOOKUP($B73,'F-1 Off Site River Baseline'!$C$9:$R$257,6,FALSE))</f>
        <v/>
      </c>
      <c r="H73" s="520" t="str">
        <f>IF(G73="","",VLOOKUP($B73,'F-1 Off Site River Baseline'!$C$9:$R$257,7,FALSE))</f>
        <v/>
      </c>
      <c r="I73" s="520" t="str">
        <f>IF(H73="","",VLOOKUP($B73,'F-1 Off Site River Baseline'!$C$9:$R$257,8,FALSE))</f>
        <v/>
      </c>
      <c r="J73" s="520" t="str">
        <f>IF(I73="","",VLOOKUP($B73,'F-1 Off Site River Baseline'!$C$9:$R$257,9,FALSE))</f>
        <v/>
      </c>
      <c r="K73" s="520" t="str">
        <f>IF(J73="","",VLOOKUP($B73,'F-1 Off Site River Baseline'!$C$9:$R$257,10,FALSE))</f>
        <v/>
      </c>
      <c r="L73" s="520" t="str">
        <f>IF(B73="","",VLOOKUP($B73,'C-1 Site River Baseline'!$C$9:$R$257,15,FALSE))</f>
        <v/>
      </c>
      <c r="M73" s="524" t="str">
        <f>IF(L73="","",VLOOKUP($B73,'F-1 Off Site River Baseline'!$C$9:$R$257,16,FALSE))</f>
        <v/>
      </c>
      <c r="N73" s="418" t="str">
        <f t="shared" si="0"/>
        <v/>
      </c>
      <c r="O73" s="498" t="str">
        <f t="shared" si="5"/>
        <v/>
      </c>
      <c r="P73" s="499" t="str">
        <f>IF(C73="","",IF(AND(LEFT(C73,55)&lt;&gt;LEFT(N73,55),O73="High - High"),"Error - Not like for like ▲",IF(AND(F73=S73,H73&gt;U73),"Error - Can not reduce condition ▲",IF(AND(F73=S73,H73=U73,AJ73='F-1 Off Site River Baseline'!N71,'F-1 Off Site River Baseline'!P71=AL73),"Error - No enhancement ▲",IF(AND(C73&lt;&gt;N73,F73&lt;S73),"Lower Distinctiveness Habitat"&amp;" - "&amp;T73,G73&amp;" - "&amp;T73)))))</f>
        <v/>
      </c>
      <c r="Q73" s="505" t="str">
        <f>IF(N73="","",VLOOKUP(B73,'F-1 Off Site River Baseline'!$C$10:$AA$257,19,FALSE))</f>
        <v/>
      </c>
      <c r="R73" s="498" t="str">
        <f>IF(N73="","",VLOOKUP(N73,'G-7 Rivers Data'!$B$2:$G$8,2,FALSE))</f>
        <v/>
      </c>
      <c r="S73" s="499" t="str">
        <f>IFERROR(VLOOKUP(R73,'G-7 Rivers Data'!$C$4:$D$8,2,FALSE),"")</f>
        <v/>
      </c>
      <c r="T73" s="145"/>
      <c r="U73" s="499" t="str">
        <f>IFERROR(INDEX('G-7 Rivers Data'!$H$4:$L$8,MATCH(N73,'G-7 Rivers Data'!$B$4:$B$8,0),MATCH(T73,'G-7 Rivers Data'!$H$3:$L$3,0)),"")</f>
        <v/>
      </c>
      <c r="V73" s="154"/>
      <c r="W73" s="520" t="str">
        <f>IF(V73="","",IF(VLOOKUP(V73,'G-7 Rivers Data'!$AG$4:$AI$9,2,FALSE)=0,"Spatial Data Missing ⚠",VLOOKUP(V73,'G-7 Rivers Data'!$AG$4:$AI$9,2,FALSE)))</f>
        <v/>
      </c>
      <c r="X73" s="524" t="str">
        <f>IF(V73="","",IF(VLOOKUP(V73,'G-7 Rivers Data'!$AG$4:$AI$9,3,FALSE)=0,"Spatial Data Missing ⚠",VLOOKUP(V73,'G-7 Rivers Data'!$AG$4:$AI$9,3,FALSE)))</f>
        <v/>
      </c>
      <c r="Y73" s="537" t="str">
        <f>IFERROR(IF(OR(LEFT(P73,5)="Error ▲",LEFT(O73,5)="Error ▲"),"Check Data ⚠",IF(F73&lt;S73,'G-7 Rivers Data'!$R$3,INDEX('G-7 Rivers Data'!$U$5:$Y$9,MATCH(G73,'G-7 Rivers Data'!$T$5:$T$9,0),MATCH(T73,'G-7 Rivers Data'!$U$4:$Y$4,0)))),"")</f>
        <v/>
      </c>
      <c r="Z73" s="203"/>
      <c r="AA73" s="203"/>
      <c r="AB73" s="534" t="str">
        <f t="shared" si="1"/>
        <v/>
      </c>
      <c r="AC73" s="521" t="str">
        <f t="shared" si="2"/>
        <v/>
      </c>
      <c r="AD73" s="564" t="str">
        <f>IFERROR(IF(AC73="Check Data ⚠","Check Data ⚠",VLOOKUP(AC73,'G-4 Temporal multipliers'!$A$4:$C$37,3,FALSE)),"")</f>
        <v/>
      </c>
      <c r="AE73" s="537" t="str">
        <f>IF(N73="","",VLOOKUP(N73,'G-7 Rivers Data'!$B$4:$G$8,5,FALSE))</f>
        <v/>
      </c>
      <c r="AF73" s="520" t="str">
        <f t="shared" si="3"/>
        <v/>
      </c>
      <c r="AG73" s="520" t="str">
        <f t="shared" si="6"/>
        <v/>
      </c>
      <c r="AH73" s="524" t="str">
        <f t="shared" si="4"/>
        <v/>
      </c>
      <c r="AI73" s="145"/>
      <c r="AJ73" s="499" t="str">
        <f>IF(AI73="","",IF(VLOOKUP(AI73,'G-7 Rivers Data'!$AA$4:$AB$7,2,FALSE)=0,"Spatial Data Missing ⚠",VLOOKUP(AI73,'G-7 Rivers Data'!$AA$4:$AB$7,2,FALSE)))</f>
        <v/>
      </c>
      <c r="AK73" s="155"/>
      <c r="AL73" s="536" t="str">
        <f>IF(AK73="","",IF(VLOOKUP(AK73,'G-7 Rivers Data'!$AD$4:$AE$8,2,FALSE)=0,"Spatial Data Missing ⚠",VLOOKUP(AK73,'G-7 Rivers Data'!$AD$4:$AE$8,2,FALSE)))</f>
        <v/>
      </c>
      <c r="AM73" s="154"/>
      <c r="AN73" s="524" t="str">
        <f>IF(AM73="","",VLOOKUP(AM73,'G-7 Rivers Data'!$AO$4:$AP$7,2,FALSE))</f>
        <v/>
      </c>
      <c r="AO73" s="545" t="str">
        <f t="shared" si="7"/>
        <v/>
      </c>
      <c r="AP73" s="149"/>
      <c r="AQ73" s="150"/>
      <c r="AX73" s="31" t="str">
        <f>IFERROR(INDEX('G-7 Rivers Data'!$AZ$3:$AZ$7,MATCH(N73,'G-7 Rivers Data'!$AY$3:$AY$7,0)),"")</f>
        <v/>
      </c>
    </row>
    <row r="74" spans="2:50" ht="14" x14ac:dyDescent="0.3">
      <c r="B74" s="531" t="str">
        <f>'F-1 Off Site River Baseline'!AN72</f>
        <v/>
      </c>
      <c r="C74" s="520" t="str">
        <f>IF(B74="","",VLOOKUP($B74,'F-1 Off Site River Baseline'!$C$9:$R$257,2,FALSE))</f>
        <v/>
      </c>
      <c r="D74" s="520" t="str">
        <f>IF(C74="","",VLOOKUP($B74,'F-1 Off Site River Baseline'!$C$9:$R$257,3,FALSE))</f>
        <v/>
      </c>
      <c r="E74" s="520" t="str">
        <f>IF(D74="","",VLOOKUP($B74,'F-1 Off Site River Baseline'!$C$9:$R$257,4,FALSE))</f>
        <v/>
      </c>
      <c r="F74" s="520" t="str">
        <f>IF(E74="","",VLOOKUP($B74,'F-1 Off Site River Baseline'!$C$9:$R$257,5,FALSE))</f>
        <v/>
      </c>
      <c r="G74" s="520" t="str">
        <f>IF(F74="","",VLOOKUP($B74,'F-1 Off Site River Baseline'!$C$9:$R$257,6,FALSE))</f>
        <v/>
      </c>
      <c r="H74" s="520" t="str">
        <f>IF(G74="","",VLOOKUP($B74,'F-1 Off Site River Baseline'!$C$9:$R$257,7,FALSE))</f>
        <v/>
      </c>
      <c r="I74" s="520" t="str">
        <f>IF(H74="","",VLOOKUP($B74,'F-1 Off Site River Baseline'!$C$9:$R$257,8,FALSE))</f>
        <v/>
      </c>
      <c r="J74" s="520" t="str">
        <f>IF(I74="","",VLOOKUP($B74,'F-1 Off Site River Baseline'!$C$9:$R$257,9,FALSE))</f>
        <v/>
      </c>
      <c r="K74" s="520" t="str">
        <f>IF(J74="","",VLOOKUP($B74,'F-1 Off Site River Baseline'!$C$9:$R$257,10,FALSE))</f>
        <v/>
      </c>
      <c r="L74" s="520" t="str">
        <f>IF(B74="","",VLOOKUP($B74,'C-1 Site River Baseline'!$C$9:$R$257,15,FALSE))</f>
        <v/>
      </c>
      <c r="M74" s="524" t="str">
        <f>IF(L74="","",VLOOKUP($B74,'F-1 Off Site River Baseline'!$C$9:$R$257,16,FALSE))</f>
        <v/>
      </c>
      <c r="N74" s="418" t="str">
        <f t="shared" si="0"/>
        <v/>
      </c>
      <c r="O74" s="498" t="str">
        <f t="shared" si="5"/>
        <v/>
      </c>
      <c r="P74" s="499" t="str">
        <f>IF(C74="","",IF(AND(LEFT(C74,55)&lt;&gt;LEFT(N74,55),O74="High - High"),"Error - Not like for like ▲",IF(AND(F74=S74,H74&gt;U74),"Error - Can not reduce condition ▲",IF(AND(F74=S74,H74=U74,AJ74='F-1 Off Site River Baseline'!N72,'F-1 Off Site River Baseline'!P72=AL74),"Error - No enhancement ▲",IF(AND(C74&lt;&gt;N74,F74&lt;S74),"Lower Distinctiveness Habitat"&amp;" - "&amp;T74,G74&amp;" - "&amp;T74)))))</f>
        <v/>
      </c>
      <c r="Q74" s="505" t="str">
        <f>IF(N74="","",VLOOKUP(B74,'F-1 Off Site River Baseline'!$C$10:$AA$257,19,FALSE))</f>
        <v/>
      </c>
      <c r="R74" s="498" t="str">
        <f>IF(N74="","",VLOOKUP(N74,'G-7 Rivers Data'!$B$2:$G$8,2,FALSE))</f>
        <v/>
      </c>
      <c r="S74" s="499" t="str">
        <f>IFERROR(VLOOKUP(R74,'G-7 Rivers Data'!$C$4:$D$8,2,FALSE),"")</f>
        <v/>
      </c>
      <c r="T74" s="145"/>
      <c r="U74" s="499" t="str">
        <f>IFERROR(INDEX('G-7 Rivers Data'!$H$4:$L$8,MATCH(N74,'G-7 Rivers Data'!$B$4:$B$8,0),MATCH(T74,'G-7 Rivers Data'!$H$3:$L$3,0)),"")</f>
        <v/>
      </c>
      <c r="V74" s="154"/>
      <c r="W74" s="520" t="str">
        <f>IF(V74="","",IF(VLOOKUP(V74,'G-7 Rivers Data'!$AG$4:$AI$9,2,FALSE)=0,"Spatial Data Missing ⚠",VLOOKUP(V74,'G-7 Rivers Data'!$AG$4:$AI$9,2,FALSE)))</f>
        <v/>
      </c>
      <c r="X74" s="524" t="str">
        <f>IF(V74="","",IF(VLOOKUP(V74,'G-7 Rivers Data'!$AG$4:$AI$9,3,FALSE)=0,"Spatial Data Missing ⚠",VLOOKUP(V74,'G-7 Rivers Data'!$AG$4:$AI$9,3,FALSE)))</f>
        <v/>
      </c>
      <c r="Y74" s="537" t="str">
        <f>IFERROR(IF(OR(LEFT(P74,5)="Error ▲",LEFT(O74,5)="Error ▲"),"Check Data ⚠",IF(F74&lt;S74,'G-7 Rivers Data'!$R$3,INDEX('G-7 Rivers Data'!$U$5:$Y$9,MATCH(G74,'G-7 Rivers Data'!$T$5:$T$9,0),MATCH(T74,'G-7 Rivers Data'!$U$4:$Y$4,0)))),"")</f>
        <v/>
      </c>
      <c r="Z74" s="203"/>
      <c r="AA74" s="203"/>
      <c r="AB74" s="534" t="str">
        <f t="shared" si="1"/>
        <v/>
      </c>
      <c r="AC74" s="521" t="str">
        <f t="shared" si="2"/>
        <v/>
      </c>
      <c r="AD74" s="564" t="str">
        <f>IFERROR(IF(AC74="Check Data ⚠","Check Data ⚠",VLOOKUP(AC74,'G-4 Temporal multipliers'!$A$4:$C$37,3,FALSE)),"")</f>
        <v/>
      </c>
      <c r="AE74" s="537" t="str">
        <f>IF(N74="","",VLOOKUP(N74,'G-7 Rivers Data'!$B$4:$G$8,5,FALSE))</f>
        <v/>
      </c>
      <c r="AF74" s="520" t="str">
        <f t="shared" si="3"/>
        <v/>
      </c>
      <c r="AG74" s="520" t="str">
        <f t="shared" si="6"/>
        <v/>
      </c>
      <c r="AH74" s="524" t="str">
        <f t="shared" si="4"/>
        <v/>
      </c>
      <c r="AI74" s="145"/>
      <c r="AJ74" s="499" t="str">
        <f>IF(AI74="","",IF(VLOOKUP(AI74,'G-7 Rivers Data'!$AA$4:$AB$7,2,FALSE)=0,"Spatial Data Missing ⚠",VLOOKUP(AI74,'G-7 Rivers Data'!$AA$4:$AB$7,2,FALSE)))</f>
        <v/>
      </c>
      <c r="AK74" s="155"/>
      <c r="AL74" s="536" t="str">
        <f>IF(AK74="","",IF(VLOOKUP(AK74,'G-7 Rivers Data'!$AD$4:$AE$8,2,FALSE)=0,"Spatial Data Missing ⚠",VLOOKUP(AK74,'G-7 Rivers Data'!$AD$4:$AE$8,2,FALSE)))</f>
        <v/>
      </c>
      <c r="AM74" s="154"/>
      <c r="AN74" s="524" t="str">
        <f>IF(AM74="","",VLOOKUP(AM74,'G-7 Rivers Data'!$AO$4:$AP$7,2,FALSE))</f>
        <v/>
      </c>
      <c r="AO74" s="545" t="str">
        <f t="shared" si="7"/>
        <v/>
      </c>
      <c r="AP74" s="149"/>
      <c r="AQ74" s="150"/>
      <c r="AX74" s="31" t="str">
        <f>IFERROR(INDEX('G-7 Rivers Data'!$AZ$3:$AZ$7,MATCH(N74,'G-7 Rivers Data'!$AY$3:$AY$7,0)),"")</f>
        <v/>
      </c>
    </row>
    <row r="75" spans="2:50" ht="14" x14ac:dyDescent="0.3">
      <c r="B75" s="531" t="str">
        <f>'F-1 Off Site River Baseline'!AN73</f>
        <v/>
      </c>
      <c r="C75" s="520" t="str">
        <f>IF(B75="","",VLOOKUP($B75,'F-1 Off Site River Baseline'!$C$9:$R$257,2,FALSE))</f>
        <v/>
      </c>
      <c r="D75" s="520" t="str">
        <f>IF(C75="","",VLOOKUP($B75,'F-1 Off Site River Baseline'!$C$9:$R$257,3,FALSE))</f>
        <v/>
      </c>
      <c r="E75" s="520" t="str">
        <f>IF(D75="","",VLOOKUP($B75,'F-1 Off Site River Baseline'!$C$9:$R$257,4,FALSE))</f>
        <v/>
      </c>
      <c r="F75" s="520" t="str">
        <f>IF(E75="","",VLOOKUP($B75,'F-1 Off Site River Baseline'!$C$9:$R$257,5,FALSE))</f>
        <v/>
      </c>
      <c r="G75" s="520" t="str">
        <f>IF(F75="","",VLOOKUP($B75,'F-1 Off Site River Baseline'!$C$9:$R$257,6,FALSE))</f>
        <v/>
      </c>
      <c r="H75" s="520" t="str">
        <f>IF(G75="","",VLOOKUP($B75,'F-1 Off Site River Baseline'!$C$9:$R$257,7,FALSE))</f>
        <v/>
      </c>
      <c r="I75" s="520" t="str">
        <f>IF(H75="","",VLOOKUP($B75,'F-1 Off Site River Baseline'!$C$9:$R$257,8,FALSE))</f>
        <v/>
      </c>
      <c r="J75" s="520" t="str">
        <f>IF(I75="","",VLOOKUP($B75,'F-1 Off Site River Baseline'!$C$9:$R$257,9,FALSE))</f>
        <v/>
      </c>
      <c r="K75" s="520" t="str">
        <f>IF(J75="","",VLOOKUP($B75,'F-1 Off Site River Baseline'!$C$9:$R$257,10,FALSE))</f>
        <v/>
      </c>
      <c r="L75" s="520" t="str">
        <f>IF(B75="","",VLOOKUP($B75,'C-1 Site River Baseline'!$C$9:$R$257,15,FALSE))</f>
        <v/>
      </c>
      <c r="M75" s="524" t="str">
        <f>IF(L75="","",VLOOKUP($B75,'F-1 Off Site River Baseline'!$C$9:$R$257,16,FALSE))</f>
        <v/>
      </c>
      <c r="N75" s="418" t="str">
        <f t="shared" si="0"/>
        <v/>
      </c>
      <c r="O75" s="498" t="str">
        <f t="shared" si="5"/>
        <v/>
      </c>
      <c r="P75" s="499" t="str">
        <f>IF(C75="","",IF(AND(LEFT(C75,55)&lt;&gt;LEFT(N75,55),O75="High - High"),"Error - Not like for like ▲",IF(AND(F75=S75,H75&gt;U75),"Error - Can not reduce condition ▲",IF(AND(F75=S75,H75=U75,AJ75='F-1 Off Site River Baseline'!N73,'F-1 Off Site River Baseline'!P73=AL75),"Error - No enhancement ▲",IF(AND(C75&lt;&gt;N75,F75&lt;S75),"Lower Distinctiveness Habitat"&amp;" - "&amp;T75,G75&amp;" - "&amp;T75)))))</f>
        <v/>
      </c>
      <c r="Q75" s="505" t="str">
        <f>IF(N75="","",VLOOKUP(B75,'F-1 Off Site River Baseline'!$C$10:$AA$257,19,FALSE))</f>
        <v/>
      </c>
      <c r="R75" s="498" t="str">
        <f>IF(N75="","",VLOOKUP(N75,'G-7 Rivers Data'!$B$2:$G$8,2,FALSE))</f>
        <v/>
      </c>
      <c r="S75" s="499" t="str">
        <f>IFERROR(VLOOKUP(R75,'G-7 Rivers Data'!$C$4:$D$8,2,FALSE),"")</f>
        <v/>
      </c>
      <c r="T75" s="145"/>
      <c r="U75" s="499" t="str">
        <f>IFERROR(INDEX('G-7 Rivers Data'!$H$4:$L$8,MATCH(N75,'G-7 Rivers Data'!$B$4:$B$8,0),MATCH(T75,'G-7 Rivers Data'!$H$3:$L$3,0)),"")</f>
        <v/>
      </c>
      <c r="V75" s="154"/>
      <c r="W75" s="520" t="str">
        <f>IF(V75="","",IF(VLOOKUP(V75,'G-7 Rivers Data'!$AG$4:$AI$9,2,FALSE)=0,"Spatial Data Missing ⚠",VLOOKUP(V75,'G-7 Rivers Data'!$AG$4:$AI$9,2,FALSE)))</f>
        <v/>
      </c>
      <c r="X75" s="524" t="str">
        <f>IF(V75="","",IF(VLOOKUP(V75,'G-7 Rivers Data'!$AG$4:$AI$9,3,FALSE)=0,"Spatial Data Missing ⚠",VLOOKUP(V75,'G-7 Rivers Data'!$AG$4:$AI$9,3,FALSE)))</f>
        <v/>
      </c>
      <c r="Y75" s="537" t="str">
        <f>IFERROR(IF(OR(LEFT(P75,5)="Error ▲",LEFT(O75,5)="Error ▲"),"Check Data ⚠",IF(F75&lt;S75,'G-7 Rivers Data'!$R$3,INDEX('G-7 Rivers Data'!$U$5:$Y$9,MATCH(G75,'G-7 Rivers Data'!$T$5:$T$9,0),MATCH(T75,'G-7 Rivers Data'!$U$4:$Y$4,0)))),"")</f>
        <v/>
      </c>
      <c r="Z75" s="203"/>
      <c r="AA75" s="203"/>
      <c r="AB75" s="534" t="str">
        <f t="shared" si="1"/>
        <v/>
      </c>
      <c r="AC75" s="521" t="str">
        <f t="shared" si="2"/>
        <v/>
      </c>
      <c r="AD75" s="564" t="str">
        <f>IFERROR(IF(AC75="Check Data ⚠","Check Data ⚠",VLOOKUP(AC75,'G-4 Temporal multipliers'!$A$4:$C$37,3,FALSE)),"")</f>
        <v/>
      </c>
      <c r="AE75" s="537" t="str">
        <f>IF(N75="","",VLOOKUP(N75,'G-7 Rivers Data'!$B$4:$G$8,5,FALSE))</f>
        <v/>
      </c>
      <c r="AF75" s="520" t="str">
        <f t="shared" si="3"/>
        <v/>
      </c>
      <c r="AG75" s="520" t="str">
        <f t="shared" si="6"/>
        <v/>
      </c>
      <c r="AH75" s="524" t="str">
        <f t="shared" si="4"/>
        <v/>
      </c>
      <c r="AI75" s="145"/>
      <c r="AJ75" s="499" t="str">
        <f>IF(AI75="","",IF(VLOOKUP(AI75,'G-7 Rivers Data'!$AA$4:$AB$7,2,FALSE)=0,"Spatial Data Missing ⚠",VLOOKUP(AI75,'G-7 Rivers Data'!$AA$4:$AB$7,2,FALSE)))</f>
        <v/>
      </c>
      <c r="AK75" s="155"/>
      <c r="AL75" s="536" t="str">
        <f>IF(AK75="","",IF(VLOOKUP(AK75,'G-7 Rivers Data'!$AD$4:$AE$8,2,FALSE)=0,"Spatial Data Missing ⚠",VLOOKUP(AK75,'G-7 Rivers Data'!$AD$4:$AE$8,2,FALSE)))</f>
        <v/>
      </c>
      <c r="AM75" s="154"/>
      <c r="AN75" s="524" t="str">
        <f>IF(AM75="","",VLOOKUP(AM75,'G-7 Rivers Data'!$AO$4:$AP$7,2,FALSE))</f>
        <v/>
      </c>
      <c r="AO75" s="545" t="str">
        <f t="shared" si="7"/>
        <v/>
      </c>
      <c r="AP75" s="149"/>
      <c r="AQ75" s="150"/>
      <c r="AX75" s="31" t="str">
        <f>IFERROR(INDEX('G-7 Rivers Data'!$AZ$3:$AZ$7,MATCH(N75,'G-7 Rivers Data'!$AY$3:$AY$7,0)),"")</f>
        <v/>
      </c>
    </row>
    <row r="76" spans="2:50" ht="14" x14ac:dyDescent="0.3">
      <c r="B76" s="531" t="str">
        <f>'F-1 Off Site River Baseline'!AN74</f>
        <v/>
      </c>
      <c r="C76" s="520" t="str">
        <f>IF(B76="","",VLOOKUP($B76,'F-1 Off Site River Baseline'!$C$9:$R$257,2,FALSE))</f>
        <v/>
      </c>
      <c r="D76" s="520" t="str">
        <f>IF(C76="","",VLOOKUP($B76,'F-1 Off Site River Baseline'!$C$9:$R$257,3,FALSE))</f>
        <v/>
      </c>
      <c r="E76" s="520" t="str">
        <f>IF(D76="","",VLOOKUP($B76,'F-1 Off Site River Baseline'!$C$9:$R$257,4,FALSE))</f>
        <v/>
      </c>
      <c r="F76" s="520" t="str">
        <f>IF(E76="","",VLOOKUP($B76,'F-1 Off Site River Baseline'!$C$9:$R$257,5,FALSE))</f>
        <v/>
      </c>
      <c r="G76" s="520" t="str">
        <f>IF(F76="","",VLOOKUP($B76,'F-1 Off Site River Baseline'!$C$9:$R$257,6,FALSE))</f>
        <v/>
      </c>
      <c r="H76" s="520" t="str">
        <f>IF(G76="","",VLOOKUP($B76,'F-1 Off Site River Baseline'!$C$9:$R$257,7,FALSE))</f>
        <v/>
      </c>
      <c r="I76" s="520" t="str">
        <f>IF(H76="","",VLOOKUP($B76,'F-1 Off Site River Baseline'!$C$9:$R$257,8,FALSE))</f>
        <v/>
      </c>
      <c r="J76" s="520" t="str">
        <f>IF(I76="","",VLOOKUP($B76,'F-1 Off Site River Baseline'!$C$9:$R$257,9,FALSE))</f>
        <v/>
      </c>
      <c r="K76" s="520" t="str">
        <f>IF(J76="","",VLOOKUP($B76,'F-1 Off Site River Baseline'!$C$9:$R$257,10,FALSE))</f>
        <v/>
      </c>
      <c r="L76" s="520" t="str">
        <f>IF(B76="","",VLOOKUP($B76,'C-1 Site River Baseline'!$C$9:$R$257,15,FALSE))</f>
        <v/>
      </c>
      <c r="M76" s="524" t="str">
        <f>IF(L76="","",VLOOKUP($B76,'F-1 Off Site River Baseline'!$C$9:$R$257,16,FALSE))</f>
        <v/>
      </c>
      <c r="N76" s="418" t="str">
        <f t="shared" si="0"/>
        <v/>
      </c>
      <c r="O76" s="498" t="str">
        <f t="shared" si="5"/>
        <v/>
      </c>
      <c r="P76" s="499" t="str">
        <f>IF(C76="","",IF(AND(LEFT(C76,55)&lt;&gt;LEFT(N76,55),O76="High - High"),"Error - Not like for like ▲",IF(AND(F76=S76,H76&gt;U76),"Error - Can not reduce condition ▲",IF(AND(F76=S76,H76=U76,AJ76='F-1 Off Site River Baseline'!N74,'F-1 Off Site River Baseline'!P74=AL76),"Error - No enhancement ▲",IF(AND(C76&lt;&gt;N76,F76&lt;S76),"Lower Distinctiveness Habitat"&amp;" - "&amp;T76,G76&amp;" - "&amp;T76)))))</f>
        <v/>
      </c>
      <c r="Q76" s="505" t="str">
        <f>IF(N76="","",VLOOKUP(B76,'F-1 Off Site River Baseline'!$C$10:$AA$257,19,FALSE))</f>
        <v/>
      </c>
      <c r="R76" s="498" t="str">
        <f>IF(N76="","",VLOOKUP(N76,'G-7 Rivers Data'!$B$2:$G$8,2,FALSE))</f>
        <v/>
      </c>
      <c r="S76" s="499" t="str">
        <f>IFERROR(VLOOKUP(R76,'G-7 Rivers Data'!$C$4:$D$8,2,FALSE),"")</f>
        <v/>
      </c>
      <c r="T76" s="145"/>
      <c r="U76" s="499" t="str">
        <f>IFERROR(INDEX('G-7 Rivers Data'!$H$4:$L$8,MATCH(N76,'G-7 Rivers Data'!$B$4:$B$8,0),MATCH(T76,'G-7 Rivers Data'!$H$3:$L$3,0)),"")</f>
        <v/>
      </c>
      <c r="V76" s="154"/>
      <c r="W76" s="520" t="str">
        <f>IF(V76="","",IF(VLOOKUP(V76,'G-7 Rivers Data'!$AG$4:$AI$9,2,FALSE)=0,"Spatial Data Missing ⚠",VLOOKUP(V76,'G-7 Rivers Data'!$AG$4:$AI$9,2,FALSE)))</f>
        <v/>
      </c>
      <c r="X76" s="524" t="str">
        <f>IF(V76="","",IF(VLOOKUP(V76,'G-7 Rivers Data'!$AG$4:$AI$9,3,FALSE)=0,"Spatial Data Missing ⚠",VLOOKUP(V76,'G-7 Rivers Data'!$AG$4:$AI$9,3,FALSE)))</f>
        <v/>
      </c>
      <c r="Y76" s="537" t="str">
        <f>IFERROR(IF(OR(LEFT(P76,5)="Error ▲",LEFT(O76,5)="Error ▲"),"Check Data ⚠",IF(F76&lt;S76,'G-7 Rivers Data'!$R$3,INDEX('G-7 Rivers Data'!$U$5:$Y$9,MATCH(G76,'G-7 Rivers Data'!$T$5:$T$9,0),MATCH(T76,'G-7 Rivers Data'!$U$4:$Y$4,0)))),"")</f>
        <v/>
      </c>
      <c r="Z76" s="203"/>
      <c r="AA76" s="203"/>
      <c r="AB76" s="534" t="str">
        <f t="shared" ref="AB76:AB139" si="8">IF(Y76="","",IF(Y76="Check Data ⚠","Check Data ⚠",IF(AND(Z76&gt;0,AA76&gt;0),"Error -both advance and delayed habitat creation ▲",IF(AND(OR(Z76="Habitat already in target condition",Y76&lt;=Z76),AA76=0),"Check details - Is there evidence that habitat has reached target condition? ⚠",IF(Z76&gt;0,"Check details - Is there evidence habitat creation started/in place? ⚠",IF(AA76&gt;0,"Check details- Delay in starting habitat in required condition? ⚠","Standard time to target condition applied"))))))</f>
        <v/>
      </c>
      <c r="AC76" s="521" t="str">
        <f t="shared" ref="AC76:AC139" si="9">IF(LEFT(AB76,5)="Error ▲","Check Data ⚠",IF(AB76="Check Data ⚠","Check Data ⚠",IF(Y76="","",IF(Z76="30+",0,IF(AA76="30+","30+ ⚠",IF(Y76+AA76&gt;30,"30+ ⚠",IF(Y76+AA76-Z76&gt;0,Y76+AA76-Z76,IF(Y76-Z76&lt;0,0,Y76+AA76-Z76))))))))</f>
        <v/>
      </c>
      <c r="AD76" s="564" t="str">
        <f>IFERROR(IF(AC76="Check Data ⚠","Check Data ⚠",VLOOKUP(AC76,'G-4 Temporal multipliers'!$A$4:$C$37,3,FALSE)),"")</f>
        <v/>
      </c>
      <c r="AE76" s="537" t="str">
        <f>IF(N76="","",VLOOKUP(N76,'G-7 Rivers Data'!$B$4:$G$8,5,FALSE))</f>
        <v/>
      </c>
      <c r="AF76" s="520" t="str">
        <f t="shared" ref="AF76:AF139" si="10">IF(N76="","",IF(AC76="Check Data ⚠","Check Data ⚠",IF(T76="","",IF($AB76="Check details - Is there evidence that habitat has reached target condition? ⚠","Low Difficulty - only applicable if all habitat created before losses ⚠","Standard difficulty applied"))))</f>
        <v/>
      </c>
      <c r="AG76" s="520" t="str">
        <f t="shared" si="6"/>
        <v/>
      </c>
      <c r="AH76" s="524" t="str">
        <f t="shared" ref="AH76:AH139" si="11">IF(N76="","",VLOOKUP(AE76,Difficulty,2,FALSE))</f>
        <v/>
      </c>
      <c r="AI76" s="145"/>
      <c r="AJ76" s="499" t="str">
        <f>IF(AI76="","",IF(VLOOKUP(AI76,'G-7 Rivers Data'!$AA$4:$AB$7,2,FALSE)=0,"Spatial Data Missing ⚠",VLOOKUP(AI76,'G-7 Rivers Data'!$AA$4:$AB$7,2,FALSE)))</f>
        <v/>
      </c>
      <c r="AK76" s="155"/>
      <c r="AL76" s="536" t="str">
        <f>IF(AK76="","",IF(VLOOKUP(AK76,'G-7 Rivers Data'!$AD$4:$AE$8,2,FALSE)=0,"Spatial Data Missing ⚠",VLOOKUP(AK76,'G-7 Rivers Data'!$AD$4:$AE$8,2,FALSE)))</f>
        <v/>
      </c>
      <c r="AM76" s="154"/>
      <c r="AN76" s="524" t="str">
        <f>IF(AM76="","",VLOOKUP(AM76,'G-7 Rivers Data'!$AO$4:$AP$7,2,FALSE))</f>
        <v/>
      </c>
      <c r="AO76" s="545" t="str">
        <f t="shared" si="7"/>
        <v/>
      </c>
      <c r="AP76" s="149"/>
      <c r="AQ76" s="150"/>
      <c r="AX76" s="31" t="str">
        <f>IFERROR(INDEX('G-7 Rivers Data'!$AZ$3:$AZ$7,MATCH(N76,'G-7 Rivers Data'!$AY$3:$AY$7,0)),"")</f>
        <v/>
      </c>
    </row>
    <row r="77" spans="2:50" ht="14" x14ac:dyDescent="0.3">
      <c r="B77" s="531" t="str">
        <f>'F-1 Off Site River Baseline'!AN75</f>
        <v/>
      </c>
      <c r="C77" s="520" t="str">
        <f>IF(B77="","",VLOOKUP($B77,'F-1 Off Site River Baseline'!$C$9:$R$257,2,FALSE))</f>
        <v/>
      </c>
      <c r="D77" s="520" t="str">
        <f>IF(C77="","",VLOOKUP($B77,'F-1 Off Site River Baseline'!$C$9:$R$257,3,FALSE))</f>
        <v/>
      </c>
      <c r="E77" s="520" t="str">
        <f>IF(D77="","",VLOOKUP($B77,'F-1 Off Site River Baseline'!$C$9:$R$257,4,FALSE))</f>
        <v/>
      </c>
      <c r="F77" s="520" t="str">
        <f>IF(E77="","",VLOOKUP($B77,'F-1 Off Site River Baseline'!$C$9:$R$257,5,FALSE))</f>
        <v/>
      </c>
      <c r="G77" s="520" t="str">
        <f>IF(F77="","",VLOOKUP($B77,'F-1 Off Site River Baseline'!$C$9:$R$257,6,FALSE))</f>
        <v/>
      </c>
      <c r="H77" s="520" t="str">
        <f>IF(G77="","",VLOOKUP($B77,'F-1 Off Site River Baseline'!$C$9:$R$257,7,FALSE))</f>
        <v/>
      </c>
      <c r="I77" s="520" t="str">
        <f>IF(H77="","",VLOOKUP($B77,'F-1 Off Site River Baseline'!$C$9:$R$257,8,FALSE))</f>
        <v/>
      </c>
      <c r="J77" s="520" t="str">
        <f>IF(I77="","",VLOOKUP($B77,'F-1 Off Site River Baseline'!$C$9:$R$257,9,FALSE))</f>
        <v/>
      </c>
      <c r="K77" s="520" t="str">
        <f>IF(J77="","",VLOOKUP($B77,'F-1 Off Site River Baseline'!$C$9:$R$257,10,FALSE))</f>
        <v/>
      </c>
      <c r="L77" s="520" t="str">
        <f>IF(B77="","",VLOOKUP($B77,'C-1 Site River Baseline'!$C$9:$R$257,15,FALSE))</f>
        <v/>
      </c>
      <c r="M77" s="524" t="str">
        <f>IF(L77="","",VLOOKUP($B77,'F-1 Off Site River Baseline'!$C$9:$R$257,16,FALSE))</f>
        <v/>
      </c>
      <c r="N77" s="418" t="str">
        <f t="shared" ref="N77:N140" si="12">C77</f>
        <v/>
      </c>
      <c r="O77" s="498" t="str">
        <f t="shared" ref="O77:O140" si="13">IF(B77="","",IF(S77&lt;F77,"Error Trading Down ▲",E77&amp;" - "&amp;R77))</f>
        <v/>
      </c>
      <c r="P77" s="499" t="str">
        <f>IF(C77="","",IF(AND(LEFT(C77,55)&lt;&gt;LEFT(N77,55),O77="High - High"),"Error - Not like for like ▲",IF(AND(F77=S77,H77&gt;U77),"Error - Can not reduce condition ▲",IF(AND(F77=S77,H77=U77,AJ77='F-1 Off Site River Baseline'!N75,'F-1 Off Site River Baseline'!P75=AL77),"Error - No enhancement ▲",IF(AND(C77&lt;&gt;N77,F77&lt;S77),"Lower Distinctiveness Habitat"&amp;" - "&amp;T77,G77&amp;" - "&amp;T77)))))</f>
        <v/>
      </c>
      <c r="Q77" s="505" t="str">
        <f>IF(N77="","",VLOOKUP(B77,'F-1 Off Site River Baseline'!$C$10:$AA$257,19,FALSE))</f>
        <v/>
      </c>
      <c r="R77" s="498" t="str">
        <f>IF(N77="","",VLOOKUP(N77,'G-7 Rivers Data'!$B$2:$G$8,2,FALSE))</f>
        <v/>
      </c>
      <c r="S77" s="499" t="str">
        <f>IFERROR(VLOOKUP(R77,'G-7 Rivers Data'!$C$4:$D$8,2,FALSE),"")</f>
        <v/>
      </c>
      <c r="T77" s="145"/>
      <c r="U77" s="499" t="str">
        <f>IFERROR(INDEX('G-7 Rivers Data'!$H$4:$L$8,MATCH(N77,'G-7 Rivers Data'!$B$4:$B$8,0),MATCH(T77,'G-7 Rivers Data'!$H$3:$L$3,0)),"")</f>
        <v/>
      </c>
      <c r="V77" s="154"/>
      <c r="W77" s="520" t="str">
        <f>IF(V77="","",IF(VLOOKUP(V77,'G-7 Rivers Data'!$AG$4:$AI$9,2,FALSE)=0,"Spatial Data Missing ⚠",VLOOKUP(V77,'G-7 Rivers Data'!$AG$4:$AI$9,2,FALSE)))</f>
        <v/>
      </c>
      <c r="X77" s="524" t="str">
        <f>IF(V77="","",IF(VLOOKUP(V77,'G-7 Rivers Data'!$AG$4:$AI$9,3,FALSE)=0,"Spatial Data Missing ⚠",VLOOKUP(V77,'G-7 Rivers Data'!$AG$4:$AI$9,3,FALSE)))</f>
        <v/>
      </c>
      <c r="Y77" s="537" t="str">
        <f>IFERROR(IF(OR(LEFT(P77,5)="Error ▲",LEFT(O77,5)="Error ▲"),"Check Data ⚠",IF(F77&lt;S77,'G-7 Rivers Data'!$R$3,INDEX('G-7 Rivers Data'!$U$5:$Y$9,MATCH(G77,'G-7 Rivers Data'!$T$5:$T$9,0),MATCH(T77,'G-7 Rivers Data'!$U$4:$Y$4,0)))),"")</f>
        <v/>
      </c>
      <c r="Z77" s="203"/>
      <c r="AA77" s="203"/>
      <c r="AB77" s="534" t="str">
        <f t="shared" si="8"/>
        <v/>
      </c>
      <c r="AC77" s="521" t="str">
        <f t="shared" si="9"/>
        <v/>
      </c>
      <c r="AD77" s="564" t="str">
        <f>IFERROR(IF(AC77="Check Data ⚠","Check Data ⚠",VLOOKUP(AC77,'G-4 Temporal multipliers'!$A$4:$C$37,3,FALSE)),"")</f>
        <v/>
      </c>
      <c r="AE77" s="537" t="str">
        <f>IF(N77="","",VLOOKUP(N77,'G-7 Rivers Data'!$B$4:$G$8,5,FALSE))</f>
        <v/>
      </c>
      <c r="AF77" s="520" t="str">
        <f t="shared" si="10"/>
        <v/>
      </c>
      <c r="AG77" s="520" t="str">
        <f t="shared" ref="AG77:AG140" si="14">(IF(AND(AF77="Standard difficulty applied",Y77&gt;Z77),AE77,IF(AND(AF77="Low Difficulty - only applicable if all habitat created before losses ⚠",Z77&gt;=Y77),"Low",AE77)))</f>
        <v/>
      </c>
      <c r="AH77" s="524" t="str">
        <f t="shared" si="11"/>
        <v/>
      </c>
      <c r="AI77" s="145"/>
      <c r="AJ77" s="499" t="str">
        <f>IF(AI77="","",IF(VLOOKUP(AI77,'G-7 Rivers Data'!$AA$4:$AB$7,2,FALSE)=0,"Spatial Data Missing ⚠",VLOOKUP(AI77,'G-7 Rivers Data'!$AA$4:$AB$7,2,FALSE)))</f>
        <v/>
      </c>
      <c r="AK77" s="155"/>
      <c r="AL77" s="536" t="str">
        <f>IF(AK77="","",IF(VLOOKUP(AK77,'G-7 Rivers Data'!$AD$4:$AE$8,2,FALSE)=0,"Spatial Data Missing ⚠",VLOOKUP(AK77,'G-7 Rivers Data'!$AD$4:$AE$8,2,FALSE)))</f>
        <v/>
      </c>
      <c r="AM77" s="154"/>
      <c r="AN77" s="524" t="str">
        <f>IF(AM77="","",VLOOKUP(AM77,'G-7 Rivers Data'!$AO$4:$AP$7,2,FALSE))</f>
        <v/>
      </c>
      <c r="AO77" s="545" t="str">
        <f t="shared" ref="AO77:AO140" si="15">IFERROR(IF(C77="","",IF(Q77&gt;D77,((((Q77*S77*U77)-(D77*F77*H77))*(AH77*AD77))+(D77*F77*H77))*(AL77*X77*AJ77*AN77),((((Q77*S77*U77)-(Q77*F77*H77))*(AH77*AD77))+(Q77*F77*H77))*(AL77*X77*AJ77*AN77))),"")</f>
        <v/>
      </c>
      <c r="AP77" s="149"/>
      <c r="AQ77" s="150"/>
      <c r="AX77" s="31" t="str">
        <f>IFERROR(INDEX('G-7 Rivers Data'!$AZ$3:$AZ$7,MATCH(N77,'G-7 Rivers Data'!$AY$3:$AY$7,0)),"")</f>
        <v/>
      </c>
    </row>
    <row r="78" spans="2:50" ht="14" x14ac:dyDescent="0.3">
      <c r="B78" s="531" t="str">
        <f>'F-1 Off Site River Baseline'!AN76</f>
        <v/>
      </c>
      <c r="C78" s="520" t="str">
        <f>IF(B78="","",VLOOKUP($B78,'F-1 Off Site River Baseline'!$C$9:$R$257,2,FALSE))</f>
        <v/>
      </c>
      <c r="D78" s="520" t="str">
        <f>IF(C78="","",VLOOKUP($B78,'F-1 Off Site River Baseline'!$C$9:$R$257,3,FALSE))</f>
        <v/>
      </c>
      <c r="E78" s="520" t="str">
        <f>IF(D78="","",VLOOKUP($B78,'F-1 Off Site River Baseline'!$C$9:$R$257,4,FALSE))</f>
        <v/>
      </c>
      <c r="F78" s="520" t="str">
        <f>IF(E78="","",VLOOKUP($B78,'F-1 Off Site River Baseline'!$C$9:$R$257,5,FALSE))</f>
        <v/>
      </c>
      <c r="G78" s="520" t="str">
        <f>IF(F78="","",VLOOKUP($B78,'F-1 Off Site River Baseline'!$C$9:$R$257,6,FALSE))</f>
        <v/>
      </c>
      <c r="H78" s="520" t="str">
        <f>IF(G78="","",VLOOKUP($B78,'F-1 Off Site River Baseline'!$C$9:$R$257,7,FALSE))</f>
        <v/>
      </c>
      <c r="I78" s="520" t="str">
        <f>IF(H78="","",VLOOKUP($B78,'F-1 Off Site River Baseline'!$C$9:$R$257,8,FALSE))</f>
        <v/>
      </c>
      <c r="J78" s="520" t="str">
        <f>IF(I78="","",VLOOKUP($B78,'F-1 Off Site River Baseline'!$C$9:$R$257,9,FALSE))</f>
        <v/>
      </c>
      <c r="K78" s="520" t="str">
        <f>IF(J78="","",VLOOKUP($B78,'F-1 Off Site River Baseline'!$C$9:$R$257,10,FALSE))</f>
        <v/>
      </c>
      <c r="L78" s="520" t="str">
        <f>IF(B78="","",VLOOKUP($B78,'C-1 Site River Baseline'!$C$9:$R$257,15,FALSE))</f>
        <v/>
      </c>
      <c r="M78" s="524" t="str">
        <f>IF(L78="","",VLOOKUP($B78,'F-1 Off Site River Baseline'!$C$9:$R$257,16,FALSE))</f>
        <v/>
      </c>
      <c r="N78" s="418" t="str">
        <f t="shared" si="12"/>
        <v/>
      </c>
      <c r="O78" s="498" t="str">
        <f t="shared" si="13"/>
        <v/>
      </c>
      <c r="P78" s="499" t="str">
        <f>IF(C78="","",IF(AND(LEFT(C78,55)&lt;&gt;LEFT(N78,55),O78="High - High"),"Error - Not like for like ▲",IF(AND(F78=S78,H78&gt;U78),"Error - Can not reduce condition ▲",IF(AND(F78=S78,H78=U78,AJ78='F-1 Off Site River Baseline'!N76,'F-1 Off Site River Baseline'!P76=AL78),"Error - No enhancement ▲",IF(AND(C78&lt;&gt;N78,F78&lt;S78),"Lower Distinctiveness Habitat"&amp;" - "&amp;T78,G78&amp;" - "&amp;T78)))))</f>
        <v/>
      </c>
      <c r="Q78" s="505" t="str">
        <f>IF(N78="","",VLOOKUP(B78,'F-1 Off Site River Baseline'!$C$10:$AA$257,19,FALSE))</f>
        <v/>
      </c>
      <c r="R78" s="498" t="str">
        <f>IF(N78="","",VLOOKUP(N78,'G-7 Rivers Data'!$B$2:$G$8,2,FALSE))</f>
        <v/>
      </c>
      <c r="S78" s="499" t="str">
        <f>IFERROR(VLOOKUP(R78,'G-7 Rivers Data'!$C$4:$D$8,2,FALSE),"")</f>
        <v/>
      </c>
      <c r="T78" s="145"/>
      <c r="U78" s="499" t="str">
        <f>IFERROR(INDEX('G-7 Rivers Data'!$H$4:$L$8,MATCH(N78,'G-7 Rivers Data'!$B$4:$B$8,0),MATCH(T78,'G-7 Rivers Data'!$H$3:$L$3,0)),"")</f>
        <v/>
      </c>
      <c r="V78" s="154"/>
      <c r="W78" s="520" t="str">
        <f>IF(V78="","",IF(VLOOKUP(V78,'G-7 Rivers Data'!$AG$4:$AI$9,2,FALSE)=0,"Spatial Data Missing ⚠",VLOOKUP(V78,'G-7 Rivers Data'!$AG$4:$AI$9,2,FALSE)))</f>
        <v/>
      </c>
      <c r="X78" s="524" t="str">
        <f>IF(V78="","",IF(VLOOKUP(V78,'G-7 Rivers Data'!$AG$4:$AI$9,3,FALSE)=0,"Spatial Data Missing ⚠",VLOOKUP(V78,'G-7 Rivers Data'!$AG$4:$AI$9,3,FALSE)))</f>
        <v/>
      </c>
      <c r="Y78" s="537" t="str">
        <f>IFERROR(IF(OR(LEFT(P78,5)="Error ▲",LEFT(O78,5)="Error ▲"),"Check Data ⚠",IF(F78&lt;S78,'G-7 Rivers Data'!$R$3,INDEX('G-7 Rivers Data'!$U$5:$Y$9,MATCH(G78,'G-7 Rivers Data'!$T$5:$T$9,0),MATCH(T78,'G-7 Rivers Data'!$U$4:$Y$4,0)))),"")</f>
        <v/>
      </c>
      <c r="Z78" s="203"/>
      <c r="AA78" s="203"/>
      <c r="AB78" s="534" t="str">
        <f t="shared" si="8"/>
        <v/>
      </c>
      <c r="AC78" s="521" t="str">
        <f t="shared" si="9"/>
        <v/>
      </c>
      <c r="AD78" s="564" t="str">
        <f>IFERROR(IF(AC78="Check Data ⚠","Check Data ⚠",VLOOKUP(AC78,'G-4 Temporal multipliers'!$A$4:$C$37,3,FALSE)),"")</f>
        <v/>
      </c>
      <c r="AE78" s="537" t="str">
        <f>IF(N78="","",VLOOKUP(N78,'G-7 Rivers Data'!$B$4:$G$8,5,FALSE))</f>
        <v/>
      </c>
      <c r="AF78" s="520" t="str">
        <f t="shared" si="10"/>
        <v/>
      </c>
      <c r="AG78" s="520" t="str">
        <f t="shared" si="14"/>
        <v/>
      </c>
      <c r="AH78" s="524" t="str">
        <f t="shared" si="11"/>
        <v/>
      </c>
      <c r="AI78" s="145"/>
      <c r="AJ78" s="499" t="str">
        <f>IF(AI78="","",IF(VLOOKUP(AI78,'G-7 Rivers Data'!$AA$4:$AB$7,2,FALSE)=0,"Spatial Data Missing ⚠",VLOOKUP(AI78,'G-7 Rivers Data'!$AA$4:$AB$7,2,FALSE)))</f>
        <v/>
      </c>
      <c r="AK78" s="155"/>
      <c r="AL78" s="536" t="str">
        <f>IF(AK78="","",IF(VLOOKUP(AK78,'G-7 Rivers Data'!$AD$4:$AE$8,2,FALSE)=0,"Spatial Data Missing ⚠",VLOOKUP(AK78,'G-7 Rivers Data'!$AD$4:$AE$8,2,FALSE)))</f>
        <v/>
      </c>
      <c r="AM78" s="154"/>
      <c r="AN78" s="524" t="str">
        <f>IF(AM78="","",VLOOKUP(AM78,'G-7 Rivers Data'!$AO$4:$AP$7,2,FALSE))</f>
        <v/>
      </c>
      <c r="AO78" s="545" t="str">
        <f t="shared" si="15"/>
        <v/>
      </c>
      <c r="AP78" s="149"/>
      <c r="AQ78" s="150"/>
      <c r="AX78" s="31" t="str">
        <f>IFERROR(INDEX('G-7 Rivers Data'!$AZ$3:$AZ$7,MATCH(N78,'G-7 Rivers Data'!$AY$3:$AY$7,0)),"")</f>
        <v/>
      </c>
    </row>
    <row r="79" spans="2:50" ht="14" x14ac:dyDescent="0.3">
      <c r="B79" s="531" t="str">
        <f>'F-1 Off Site River Baseline'!AN77</f>
        <v/>
      </c>
      <c r="C79" s="520" t="str">
        <f>IF(B79="","",VLOOKUP($B79,'F-1 Off Site River Baseline'!$C$9:$R$257,2,FALSE))</f>
        <v/>
      </c>
      <c r="D79" s="520" t="str">
        <f>IF(C79="","",VLOOKUP($B79,'F-1 Off Site River Baseline'!$C$9:$R$257,3,FALSE))</f>
        <v/>
      </c>
      <c r="E79" s="520" t="str">
        <f>IF(D79="","",VLOOKUP($B79,'F-1 Off Site River Baseline'!$C$9:$R$257,4,FALSE))</f>
        <v/>
      </c>
      <c r="F79" s="520" t="str">
        <f>IF(E79="","",VLOOKUP($B79,'F-1 Off Site River Baseline'!$C$9:$R$257,5,FALSE))</f>
        <v/>
      </c>
      <c r="G79" s="520" t="str">
        <f>IF(F79="","",VLOOKUP($B79,'F-1 Off Site River Baseline'!$C$9:$R$257,6,FALSE))</f>
        <v/>
      </c>
      <c r="H79" s="520" t="str">
        <f>IF(G79="","",VLOOKUP($B79,'F-1 Off Site River Baseline'!$C$9:$R$257,7,FALSE))</f>
        <v/>
      </c>
      <c r="I79" s="520" t="str">
        <f>IF(H79="","",VLOOKUP($B79,'F-1 Off Site River Baseline'!$C$9:$R$257,8,FALSE))</f>
        <v/>
      </c>
      <c r="J79" s="520" t="str">
        <f>IF(I79="","",VLOOKUP($B79,'F-1 Off Site River Baseline'!$C$9:$R$257,9,FALSE))</f>
        <v/>
      </c>
      <c r="K79" s="520" t="str">
        <f>IF(J79="","",VLOOKUP($B79,'F-1 Off Site River Baseline'!$C$9:$R$257,10,FALSE))</f>
        <v/>
      </c>
      <c r="L79" s="520" t="str">
        <f>IF(B79="","",VLOOKUP($B79,'C-1 Site River Baseline'!$C$9:$R$257,15,FALSE))</f>
        <v/>
      </c>
      <c r="M79" s="524" t="str">
        <f>IF(L79="","",VLOOKUP($B79,'F-1 Off Site River Baseline'!$C$9:$R$257,16,FALSE))</f>
        <v/>
      </c>
      <c r="N79" s="418" t="str">
        <f t="shared" si="12"/>
        <v/>
      </c>
      <c r="O79" s="498" t="str">
        <f t="shared" si="13"/>
        <v/>
      </c>
      <c r="P79" s="499" t="str">
        <f>IF(C79="","",IF(AND(LEFT(C79,55)&lt;&gt;LEFT(N79,55),O79="High - High"),"Error - Not like for like ▲",IF(AND(F79=S79,H79&gt;U79),"Error - Can not reduce condition ▲",IF(AND(F79=S79,H79=U79,AJ79='F-1 Off Site River Baseline'!N77,'F-1 Off Site River Baseline'!P77=AL79),"Error - No enhancement ▲",IF(AND(C79&lt;&gt;N79,F79&lt;S79),"Lower Distinctiveness Habitat"&amp;" - "&amp;T79,G79&amp;" - "&amp;T79)))))</f>
        <v/>
      </c>
      <c r="Q79" s="505" t="str">
        <f>IF(N79="","",VLOOKUP(B79,'F-1 Off Site River Baseline'!$C$10:$AA$257,19,FALSE))</f>
        <v/>
      </c>
      <c r="R79" s="498" t="str">
        <f>IF(N79="","",VLOOKUP(N79,'G-7 Rivers Data'!$B$2:$G$8,2,FALSE))</f>
        <v/>
      </c>
      <c r="S79" s="499" t="str">
        <f>IFERROR(VLOOKUP(R79,'G-7 Rivers Data'!$C$4:$D$8,2,FALSE),"")</f>
        <v/>
      </c>
      <c r="T79" s="145"/>
      <c r="U79" s="499" t="str">
        <f>IFERROR(INDEX('G-7 Rivers Data'!$H$4:$L$8,MATCH(N79,'G-7 Rivers Data'!$B$4:$B$8,0),MATCH(T79,'G-7 Rivers Data'!$H$3:$L$3,0)),"")</f>
        <v/>
      </c>
      <c r="V79" s="154"/>
      <c r="W79" s="520" t="str">
        <f>IF(V79="","",IF(VLOOKUP(V79,'G-7 Rivers Data'!$AG$4:$AI$9,2,FALSE)=0,"Spatial Data Missing ⚠",VLOOKUP(V79,'G-7 Rivers Data'!$AG$4:$AI$9,2,FALSE)))</f>
        <v/>
      </c>
      <c r="X79" s="524" t="str">
        <f>IF(V79="","",IF(VLOOKUP(V79,'G-7 Rivers Data'!$AG$4:$AI$9,3,FALSE)=0,"Spatial Data Missing ⚠",VLOOKUP(V79,'G-7 Rivers Data'!$AG$4:$AI$9,3,FALSE)))</f>
        <v/>
      </c>
      <c r="Y79" s="537" t="str">
        <f>IFERROR(IF(OR(LEFT(P79,5)="Error ▲",LEFT(O79,5)="Error ▲"),"Check Data ⚠",IF(F79&lt;S79,'G-7 Rivers Data'!$R$3,INDEX('G-7 Rivers Data'!$U$5:$Y$9,MATCH(G79,'G-7 Rivers Data'!$T$5:$T$9,0),MATCH(T79,'G-7 Rivers Data'!$U$4:$Y$4,0)))),"")</f>
        <v/>
      </c>
      <c r="Z79" s="203"/>
      <c r="AA79" s="203"/>
      <c r="AB79" s="534" t="str">
        <f t="shared" si="8"/>
        <v/>
      </c>
      <c r="AC79" s="521" t="str">
        <f t="shared" si="9"/>
        <v/>
      </c>
      <c r="AD79" s="564" t="str">
        <f>IFERROR(IF(AC79="Check Data ⚠","Check Data ⚠",VLOOKUP(AC79,'G-4 Temporal multipliers'!$A$4:$C$37,3,FALSE)),"")</f>
        <v/>
      </c>
      <c r="AE79" s="537" t="str">
        <f>IF(N79="","",VLOOKUP(N79,'G-7 Rivers Data'!$B$4:$G$8,5,FALSE))</f>
        <v/>
      </c>
      <c r="AF79" s="520" t="str">
        <f t="shared" si="10"/>
        <v/>
      </c>
      <c r="AG79" s="520" t="str">
        <f t="shared" si="14"/>
        <v/>
      </c>
      <c r="AH79" s="524" t="str">
        <f t="shared" si="11"/>
        <v/>
      </c>
      <c r="AI79" s="145"/>
      <c r="AJ79" s="499" t="str">
        <f>IF(AI79="","",IF(VLOOKUP(AI79,'G-7 Rivers Data'!$AA$4:$AB$7,2,FALSE)=0,"Spatial Data Missing ⚠",VLOOKUP(AI79,'G-7 Rivers Data'!$AA$4:$AB$7,2,FALSE)))</f>
        <v/>
      </c>
      <c r="AK79" s="155"/>
      <c r="AL79" s="536" t="str">
        <f>IF(AK79="","",IF(VLOOKUP(AK79,'G-7 Rivers Data'!$AD$4:$AE$8,2,FALSE)=0,"Spatial Data Missing ⚠",VLOOKUP(AK79,'G-7 Rivers Data'!$AD$4:$AE$8,2,FALSE)))</f>
        <v/>
      </c>
      <c r="AM79" s="154"/>
      <c r="AN79" s="524" t="str">
        <f>IF(AM79="","",VLOOKUP(AM79,'G-7 Rivers Data'!$AO$4:$AP$7,2,FALSE))</f>
        <v/>
      </c>
      <c r="AO79" s="545" t="str">
        <f t="shared" si="15"/>
        <v/>
      </c>
      <c r="AP79" s="149"/>
      <c r="AQ79" s="150"/>
      <c r="AX79" s="31" t="str">
        <f>IFERROR(INDEX('G-7 Rivers Data'!$AZ$3:$AZ$7,MATCH(N79,'G-7 Rivers Data'!$AY$3:$AY$7,0)),"")</f>
        <v/>
      </c>
    </row>
    <row r="80" spans="2:50" ht="14" x14ac:dyDescent="0.3">
      <c r="B80" s="531" t="str">
        <f>'F-1 Off Site River Baseline'!AN78</f>
        <v/>
      </c>
      <c r="C80" s="520" t="str">
        <f>IF(B80="","",VLOOKUP($B80,'F-1 Off Site River Baseline'!$C$9:$R$257,2,FALSE))</f>
        <v/>
      </c>
      <c r="D80" s="520" t="str">
        <f>IF(C80="","",VLOOKUP($B80,'F-1 Off Site River Baseline'!$C$9:$R$257,3,FALSE))</f>
        <v/>
      </c>
      <c r="E80" s="520" t="str">
        <f>IF(D80="","",VLOOKUP($B80,'F-1 Off Site River Baseline'!$C$9:$R$257,4,FALSE))</f>
        <v/>
      </c>
      <c r="F80" s="520" t="str">
        <f>IF(E80="","",VLOOKUP($B80,'F-1 Off Site River Baseline'!$C$9:$R$257,5,FALSE))</f>
        <v/>
      </c>
      <c r="G80" s="520" t="str">
        <f>IF(F80="","",VLOOKUP($B80,'F-1 Off Site River Baseline'!$C$9:$R$257,6,FALSE))</f>
        <v/>
      </c>
      <c r="H80" s="520" t="str">
        <f>IF(G80="","",VLOOKUP($B80,'F-1 Off Site River Baseline'!$C$9:$R$257,7,FALSE))</f>
        <v/>
      </c>
      <c r="I80" s="520" t="str">
        <f>IF(H80="","",VLOOKUP($B80,'F-1 Off Site River Baseline'!$C$9:$R$257,8,FALSE))</f>
        <v/>
      </c>
      <c r="J80" s="520" t="str">
        <f>IF(I80="","",VLOOKUP($B80,'F-1 Off Site River Baseline'!$C$9:$R$257,9,FALSE))</f>
        <v/>
      </c>
      <c r="K80" s="520" t="str">
        <f>IF(J80="","",VLOOKUP($B80,'F-1 Off Site River Baseline'!$C$9:$R$257,10,FALSE))</f>
        <v/>
      </c>
      <c r="L80" s="520" t="str">
        <f>IF(B80="","",VLOOKUP($B80,'C-1 Site River Baseline'!$C$9:$R$257,15,FALSE))</f>
        <v/>
      </c>
      <c r="M80" s="524" t="str">
        <f>IF(L80="","",VLOOKUP($B80,'F-1 Off Site River Baseline'!$C$9:$R$257,16,FALSE))</f>
        <v/>
      </c>
      <c r="N80" s="418" t="str">
        <f t="shared" si="12"/>
        <v/>
      </c>
      <c r="O80" s="498" t="str">
        <f t="shared" si="13"/>
        <v/>
      </c>
      <c r="P80" s="499" t="str">
        <f>IF(C80="","",IF(AND(LEFT(C80,55)&lt;&gt;LEFT(N80,55),O80="High - High"),"Error - Not like for like ▲",IF(AND(F80=S80,H80&gt;U80),"Error - Can not reduce condition ▲",IF(AND(F80=S80,H80=U80,AJ80='F-1 Off Site River Baseline'!N78,'F-1 Off Site River Baseline'!P78=AL80),"Error - No enhancement ▲",IF(AND(C80&lt;&gt;N80,F80&lt;S80),"Lower Distinctiveness Habitat"&amp;" - "&amp;T80,G80&amp;" - "&amp;T80)))))</f>
        <v/>
      </c>
      <c r="Q80" s="505" t="str">
        <f>IF(N80="","",VLOOKUP(B80,'F-1 Off Site River Baseline'!$C$10:$AA$257,19,FALSE))</f>
        <v/>
      </c>
      <c r="R80" s="498" t="str">
        <f>IF(N80="","",VLOOKUP(N80,'G-7 Rivers Data'!$B$2:$G$8,2,FALSE))</f>
        <v/>
      </c>
      <c r="S80" s="499" t="str">
        <f>IFERROR(VLOOKUP(R80,'G-7 Rivers Data'!$C$4:$D$8,2,FALSE),"")</f>
        <v/>
      </c>
      <c r="T80" s="145"/>
      <c r="U80" s="499" t="str">
        <f>IFERROR(INDEX('G-7 Rivers Data'!$H$4:$L$8,MATCH(N80,'G-7 Rivers Data'!$B$4:$B$8,0),MATCH(T80,'G-7 Rivers Data'!$H$3:$L$3,0)),"")</f>
        <v/>
      </c>
      <c r="V80" s="154"/>
      <c r="W80" s="520" t="str">
        <f>IF(V80="","",IF(VLOOKUP(V80,'G-7 Rivers Data'!$AG$4:$AI$9,2,FALSE)=0,"Spatial Data Missing ⚠",VLOOKUP(V80,'G-7 Rivers Data'!$AG$4:$AI$9,2,FALSE)))</f>
        <v/>
      </c>
      <c r="X80" s="524" t="str">
        <f>IF(V80="","",IF(VLOOKUP(V80,'G-7 Rivers Data'!$AG$4:$AI$9,3,FALSE)=0,"Spatial Data Missing ⚠",VLOOKUP(V80,'G-7 Rivers Data'!$AG$4:$AI$9,3,FALSE)))</f>
        <v/>
      </c>
      <c r="Y80" s="537" t="str">
        <f>IFERROR(IF(OR(LEFT(P80,5)="Error ▲",LEFT(O80,5)="Error ▲"),"Check Data ⚠",IF(F80&lt;S80,'G-7 Rivers Data'!$R$3,INDEX('G-7 Rivers Data'!$U$5:$Y$9,MATCH(G80,'G-7 Rivers Data'!$T$5:$T$9,0),MATCH(T80,'G-7 Rivers Data'!$U$4:$Y$4,0)))),"")</f>
        <v/>
      </c>
      <c r="Z80" s="203"/>
      <c r="AA80" s="203"/>
      <c r="AB80" s="534" t="str">
        <f t="shared" si="8"/>
        <v/>
      </c>
      <c r="AC80" s="521" t="str">
        <f t="shared" si="9"/>
        <v/>
      </c>
      <c r="AD80" s="564" t="str">
        <f>IFERROR(IF(AC80="Check Data ⚠","Check Data ⚠",VLOOKUP(AC80,'G-4 Temporal multipliers'!$A$4:$C$37,3,FALSE)),"")</f>
        <v/>
      </c>
      <c r="AE80" s="537" t="str">
        <f>IF(N80="","",VLOOKUP(N80,'G-7 Rivers Data'!$B$4:$G$8,5,FALSE))</f>
        <v/>
      </c>
      <c r="AF80" s="520" t="str">
        <f t="shared" si="10"/>
        <v/>
      </c>
      <c r="AG80" s="520" t="str">
        <f t="shared" si="14"/>
        <v/>
      </c>
      <c r="AH80" s="524" t="str">
        <f t="shared" si="11"/>
        <v/>
      </c>
      <c r="AI80" s="145"/>
      <c r="AJ80" s="499" t="str">
        <f>IF(AI80="","",IF(VLOOKUP(AI80,'G-7 Rivers Data'!$AA$4:$AB$7,2,FALSE)=0,"Spatial Data Missing ⚠",VLOOKUP(AI80,'G-7 Rivers Data'!$AA$4:$AB$7,2,FALSE)))</f>
        <v/>
      </c>
      <c r="AK80" s="155"/>
      <c r="AL80" s="536" t="str">
        <f>IF(AK80="","",IF(VLOOKUP(AK80,'G-7 Rivers Data'!$AD$4:$AE$8,2,FALSE)=0,"Spatial Data Missing ⚠",VLOOKUP(AK80,'G-7 Rivers Data'!$AD$4:$AE$8,2,FALSE)))</f>
        <v/>
      </c>
      <c r="AM80" s="154"/>
      <c r="AN80" s="524" t="str">
        <f>IF(AM80="","",VLOOKUP(AM80,'G-7 Rivers Data'!$AO$4:$AP$7,2,FALSE))</f>
        <v/>
      </c>
      <c r="AO80" s="545" t="str">
        <f t="shared" si="15"/>
        <v/>
      </c>
      <c r="AP80" s="149"/>
      <c r="AQ80" s="150"/>
      <c r="AX80" s="31" t="str">
        <f>IFERROR(INDEX('G-7 Rivers Data'!$AZ$3:$AZ$7,MATCH(N80,'G-7 Rivers Data'!$AY$3:$AY$7,0)),"")</f>
        <v/>
      </c>
    </row>
    <row r="81" spans="2:50" ht="14" x14ac:dyDescent="0.3">
      <c r="B81" s="531" t="str">
        <f>'F-1 Off Site River Baseline'!AN79</f>
        <v/>
      </c>
      <c r="C81" s="520" t="str">
        <f>IF(B81="","",VLOOKUP($B81,'F-1 Off Site River Baseline'!$C$9:$R$257,2,FALSE))</f>
        <v/>
      </c>
      <c r="D81" s="520" t="str">
        <f>IF(C81="","",VLOOKUP($B81,'F-1 Off Site River Baseline'!$C$9:$R$257,3,FALSE))</f>
        <v/>
      </c>
      <c r="E81" s="520" t="str">
        <f>IF(D81="","",VLOOKUP($B81,'F-1 Off Site River Baseline'!$C$9:$R$257,4,FALSE))</f>
        <v/>
      </c>
      <c r="F81" s="520" t="str">
        <f>IF(E81="","",VLOOKUP($B81,'F-1 Off Site River Baseline'!$C$9:$R$257,5,FALSE))</f>
        <v/>
      </c>
      <c r="G81" s="520" t="str">
        <f>IF(F81="","",VLOOKUP($B81,'F-1 Off Site River Baseline'!$C$9:$R$257,6,FALSE))</f>
        <v/>
      </c>
      <c r="H81" s="520" t="str">
        <f>IF(G81="","",VLOOKUP($B81,'F-1 Off Site River Baseline'!$C$9:$R$257,7,FALSE))</f>
        <v/>
      </c>
      <c r="I81" s="520" t="str">
        <f>IF(H81="","",VLOOKUP($B81,'F-1 Off Site River Baseline'!$C$9:$R$257,8,FALSE))</f>
        <v/>
      </c>
      <c r="J81" s="520" t="str">
        <f>IF(I81="","",VLOOKUP($B81,'F-1 Off Site River Baseline'!$C$9:$R$257,9,FALSE))</f>
        <v/>
      </c>
      <c r="K81" s="520" t="str">
        <f>IF(J81="","",VLOOKUP($B81,'F-1 Off Site River Baseline'!$C$9:$R$257,10,FALSE))</f>
        <v/>
      </c>
      <c r="L81" s="520" t="str">
        <f>IF(B81="","",VLOOKUP($B81,'C-1 Site River Baseline'!$C$9:$R$257,15,FALSE))</f>
        <v/>
      </c>
      <c r="M81" s="524" t="str">
        <f>IF(L81="","",VLOOKUP($B81,'F-1 Off Site River Baseline'!$C$9:$R$257,16,FALSE))</f>
        <v/>
      </c>
      <c r="N81" s="418" t="str">
        <f t="shared" si="12"/>
        <v/>
      </c>
      <c r="O81" s="498" t="str">
        <f t="shared" si="13"/>
        <v/>
      </c>
      <c r="P81" s="499" t="str">
        <f>IF(C81="","",IF(AND(LEFT(C81,55)&lt;&gt;LEFT(N81,55),O81="High - High"),"Error - Not like for like ▲",IF(AND(F81=S81,H81&gt;U81),"Error - Can not reduce condition ▲",IF(AND(F81=S81,H81=U81,AJ81='F-1 Off Site River Baseline'!N79,'F-1 Off Site River Baseline'!P79=AL81),"Error - No enhancement ▲",IF(AND(C81&lt;&gt;N81,F81&lt;S81),"Lower Distinctiveness Habitat"&amp;" - "&amp;T81,G81&amp;" - "&amp;T81)))))</f>
        <v/>
      </c>
      <c r="Q81" s="505" t="str">
        <f>IF(N81="","",VLOOKUP(B81,'F-1 Off Site River Baseline'!$C$10:$AA$257,19,FALSE))</f>
        <v/>
      </c>
      <c r="R81" s="498" t="str">
        <f>IF(N81="","",VLOOKUP(N81,'G-7 Rivers Data'!$B$2:$G$8,2,FALSE))</f>
        <v/>
      </c>
      <c r="S81" s="499" t="str">
        <f>IFERROR(VLOOKUP(R81,'G-7 Rivers Data'!$C$4:$D$8,2,FALSE),"")</f>
        <v/>
      </c>
      <c r="T81" s="145"/>
      <c r="U81" s="499" t="str">
        <f>IFERROR(INDEX('G-7 Rivers Data'!$H$4:$L$8,MATCH(N81,'G-7 Rivers Data'!$B$4:$B$8,0),MATCH(T81,'G-7 Rivers Data'!$H$3:$L$3,0)),"")</f>
        <v/>
      </c>
      <c r="V81" s="154"/>
      <c r="W81" s="520" t="str">
        <f>IF(V81="","",IF(VLOOKUP(V81,'G-7 Rivers Data'!$AG$4:$AI$9,2,FALSE)=0,"Spatial Data Missing ⚠",VLOOKUP(V81,'G-7 Rivers Data'!$AG$4:$AI$9,2,FALSE)))</f>
        <v/>
      </c>
      <c r="X81" s="524" t="str">
        <f>IF(V81="","",IF(VLOOKUP(V81,'G-7 Rivers Data'!$AG$4:$AI$9,3,FALSE)=0,"Spatial Data Missing ⚠",VLOOKUP(V81,'G-7 Rivers Data'!$AG$4:$AI$9,3,FALSE)))</f>
        <v/>
      </c>
      <c r="Y81" s="537" t="str">
        <f>IFERROR(IF(OR(LEFT(P81,5)="Error ▲",LEFT(O81,5)="Error ▲"),"Check Data ⚠",IF(F81&lt;S81,'G-7 Rivers Data'!$R$3,INDEX('G-7 Rivers Data'!$U$5:$Y$9,MATCH(G81,'G-7 Rivers Data'!$T$5:$T$9,0),MATCH(T81,'G-7 Rivers Data'!$U$4:$Y$4,0)))),"")</f>
        <v/>
      </c>
      <c r="Z81" s="203"/>
      <c r="AA81" s="203"/>
      <c r="AB81" s="534" t="str">
        <f t="shared" si="8"/>
        <v/>
      </c>
      <c r="AC81" s="521" t="str">
        <f t="shared" si="9"/>
        <v/>
      </c>
      <c r="AD81" s="564" t="str">
        <f>IFERROR(IF(AC81="Check Data ⚠","Check Data ⚠",VLOOKUP(AC81,'G-4 Temporal multipliers'!$A$4:$C$37,3,FALSE)),"")</f>
        <v/>
      </c>
      <c r="AE81" s="537" t="str">
        <f>IF(N81="","",VLOOKUP(N81,'G-7 Rivers Data'!$B$4:$G$8,5,FALSE))</f>
        <v/>
      </c>
      <c r="AF81" s="520" t="str">
        <f t="shared" si="10"/>
        <v/>
      </c>
      <c r="AG81" s="520" t="str">
        <f t="shared" si="14"/>
        <v/>
      </c>
      <c r="AH81" s="524" t="str">
        <f t="shared" si="11"/>
        <v/>
      </c>
      <c r="AI81" s="145"/>
      <c r="AJ81" s="499" t="str">
        <f>IF(AI81="","",IF(VLOOKUP(AI81,'G-7 Rivers Data'!$AA$4:$AB$7,2,FALSE)=0,"Spatial Data Missing ⚠",VLOOKUP(AI81,'G-7 Rivers Data'!$AA$4:$AB$7,2,FALSE)))</f>
        <v/>
      </c>
      <c r="AK81" s="155"/>
      <c r="AL81" s="536" t="str">
        <f>IF(AK81="","",IF(VLOOKUP(AK81,'G-7 Rivers Data'!$AD$4:$AE$8,2,FALSE)=0,"Spatial Data Missing ⚠",VLOOKUP(AK81,'G-7 Rivers Data'!$AD$4:$AE$8,2,FALSE)))</f>
        <v/>
      </c>
      <c r="AM81" s="154"/>
      <c r="AN81" s="524" t="str">
        <f>IF(AM81="","",VLOOKUP(AM81,'G-7 Rivers Data'!$AO$4:$AP$7,2,FALSE))</f>
        <v/>
      </c>
      <c r="AO81" s="545" t="str">
        <f t="shared" si="15"/>
        <v/>
      </c>
      <c r="AP81" s="149"/>
      <c r="AQ81" s="150"/>
      <c r="AX81" s="31" t="str">
        <f>IFERROR(INDEX('G-7 Rivers Data'!$AZ$3:$AZ$7,MATCH(N81,'G-7 Rivers Data'!$AY$3:$AY$7,0)),"")</f>
        <v/>
      </c>
    </row>
    <row r="82" spans="2:50" ht="14" x14ac:dyDescent="0.3">
      <c r="B82" s="531" t="str">
        <f>'F-1 Off Site River Baseline'!AN80</f>
        <v/>
      </c>
      <c r="C82" s="520" t="str">
        <f>IF(B82="","",VLOOKUP($B82,'F-1 Off Site River Baseline'!$C$9:$R$257,2,FALSE))</f>
        <v/>
      </c>
      <c r="D82" s="520" t="str">
        <f>IF(C82="","",VLOOKUP($B82,'F-1 Off Site River Baseline'!$C$9:$R$257,3,FALSE))</f>
        <v/>
      </c>
      <c r="E82" s="520" t="str">
        <f>IF(D82="","",VLOOKUP($B82,'F-1 Off Site River Baseline'!$C$9:$R$257,4,FALSE))</f>
        <v/>
      </c>
      <c r="F82" s="520" t="str">
        <f>IF(E82="","",VLOOKUP($B82,'F-1 Off Site River Baseline'!$C$9:$R$257,5,FALSE))</f>
        <v/>
      </c>
      <c r="G82" s="520" t="str">
        <f>IF(F82="","",VLOOKUP($B82,'F-1 Off Site River Baseline'!$C$9:$R$257,6,FALSE))</f>
        <v/>
      </c>
      <c r="H82" s="520" t="str">
        <f>IF(G82="","",VLOOKUP($B82,'F-1 Off Site River Baseline'!$C$9:$R$257,7,FALSE))</f>
        <v/>
      </c>
      <c r="I82" s="520" t="str">
        <f>IF(H82="","",VLOOKUP($B82,'F-1 Off Site River Baseline'!$C$9:$R$257,8,FALSE))</f>
        <v/>
      </c>
      <c r="J82" s="520" t="str">
        <f>IF(I82="","",VLOOKUP($B82,'F-1 Off Site River Baseline'!$C$9:$R$257,9,FALSE))</f>
        <v/>
      </c>
      <c r="K82" s="520" t="str">
        <f>IF(J82="","",VLOOKUP($B82,'F-1 Off Site River Baseline'!$C$9:$R$257,10,FALSE))</f>
        <v/>
      </c>
      <c r="L82" s="520" t="str">
        <f>IF(B82="","",VLOOKUP($B82,'C-1 Site River Baseline'!$C$9:$R$257,15,FALSE))</f>
        <v/>
      </c>
      <c r="M82" s="524" t="str">
        <f>IF(L82="","",VLOOKUP($B82,'F-1 Off Site River Baseline'!$C$9:$R$257,16,FALSE))</f>
        <v/>
      </c>
      <c r="N82" s="418" t="str">
        <f t="shared" si="12"/>
        <v/>
      </c>
      <c r="O82" s="498" t="str">
        <f t="shared" si="13"/>
        <v/>
      </c>
      <c r="P82" s="499" t="str">
        <f>IF(C82="","",IF(AND(LEFT(C82,55)&lt;&gt;LEFT(N82,55),O82="High - High"),"Error - Not like for like ▲",IF(AND(F82=S82,H82&gt;U82),"Error - Can not reduce condition ▲",IF(AND(F82=S82,H82=U82,AJ82='F-1 Off Site River Baseline'!N80,'F-1 Off Site River Baseline'!P80=AL82),"Error - No enhancement ▲",IF(AND(C82&lt;&gt;N82,F82&lt;S82),"Lower Distinctiveness Habitat"&amp;" - "&amp;T82,G82&amp;" - "&amp;T82)))))</f>
        <v/>
      </c>
      <c r="Q82" s="505" t="str">
        <f>IF(N82="","",VLOOKUP(B82,'F-1 Off Site River Baseline'!$C$10:$AA$257,19,FALSE))</f>
        <v/>
      </c>
      <c r="R82" s="498" t="str">
        <f>IF(N82="","",VLOOKUP(N82,'G-7 Rivers Data'!$B$2:$G$8,2,FALSE))</f>
        <v/>
      </c>
      <c r="S82" s="499" t="str">
        <f>IFERROR(VLOOKUP(R82,'G-7 Rivers Data'!$C$4:$D$8,2,FALSE),"")</f>
        <v/>
      </c>
      <c r="T82" s="145"/>
      <c r="U82" s="499" t="str">
        <f>IFERROR(INDEX('G-7 Rivers Data'!$H$4:$L$8,MATCH(N82,'G-7 Rivers Data'!$B$4:$B$8,0),MATCH(T82,'G-7 Rivers Data'!$H$3:$L$3,0)),"")</f>
        <v/>
      </c>
      <c r="V82" s="154"/>
      <c r="W82" s="520" t="str">
        <f>IF(V82="","",IF(VLOOKUP(V82,'G-7 Rivers Data'!$AG$4:$AI$9,2,FALSE)=0,"Spatial Data Missing ⚠",VLOOKUP(V82,'G-7 Rivers Data'!$AG$4:$AI$9,2,FALSE)))</f>
        <v/>
      </c>
      <c r="X82" s="524" t="str">
        <f>IF(V82="","",IF(VLOOKUP(V82,'G-7 Rivers Data'!$AG$4:$AI$9,3,FALSE)=0,"Spatial Data Missing ⚠",VLOOKUP(V82,'G-7 Rivers Data'!$AG$4:$AI$9,3,FALSE)))</f>
        <v/>
      </c>
      <c r="Y82" s="537" t="str">
        <f>IFERROR(IF(OR(LEFT(P82,5)="Error ▲",LEFT(O82,5)="Error ▲"),"Check Data ⚠",IF(F82&lt;S82,'G-7 Rivers Data'!$R$3,INDEX('G-7 Rivers Data'!$U$5:$Y$9,MATCH(G82,'G-7 Rivers Data'!$T$5:$T$9,0),MATCH(T82,'G-7 Rivers Data'!$U$4:$Y$4,0)))),"")</f>
        <v/>
      </c>
      <c r="Z82" s="203"/>
      <c r="AA82" s="203"/>
      <c r="AB82" s="534" t="str">
        <f t="shared" si="8"/>
        <v/>
      </c>
      <c r="AC82" s="521" t="str">
        <f t="shared" si="9"/>
        <v/>
      </c>
      <c r="AD82" s="564" t="str">
        <f>IFERROR(IF(AC82="Check Data ⚠","Check Data ⚠",VLOOKUP(AC82,'G-4 Temporal multipliers'!$A$4:$C$37,3,FALSE)),"")</f>
        <v/>
      </c>
      <c r="AE82" s="537" t="str">
        <f>IF(N82="","",VLOOKUP(N82,'G-7 Rivers Data'!$B$4:$G$8,5,FALSE))</f>
        <v/>
      </c>
      <c r="AF82" s="520" t="str">
        <f t="shared" si="10"/>
        <v/>
      </c>
      <c r="AG82" s="520" t="str">
        <f t="shared" si="14"/>
        <v/>
      </c>
      <c r="AH82" s="524" t="str">
        <f t="shared" si="11"/>
        <v/>
      </c>
      <c r="AI82" s="145"/>
      <c r="AJ82" s="499" t="str">
        <f>IF(AI82="","",IF(VLOOKUP(AI82,'G-7 Rivers Data'!$AA$4:$AB$7,2,FALSE)=0,"Spatial Data Missing ⚠",VLOOKUP(AI82,'G-7 Rivers Data'!$AA$4:$AB$7,2,FALSE)))</f>
        <v/>
      </c>
      <c r="AK82" s="155"/>
      <c r="AL82" s="536" t="str">
        <f>IF(AK82="","",IF(VLOOKUP(AK82,'G-7 Rivers Data'!$AD$4:$AE$8,2,FALSE)=0,"Spatial Data Missing ⚠",VLOOKUP(AK82,'G-7 Rivers Data'!$AD$4:$AE$8,2,FALSE)))</f>
        <v/>
      </c>
      <c r="AM82" s="154"/>
      <c r="AN82" s="524" t="str">
        <f>IF(AM82="","",VLOOKUP(AM82,'G-7 Rivers Data'!$AO$4:$AP$7,2,FALSE))</f>
        <v/>
      </c>
      <c r="AO82" s="545" t="str">
        <f t="shared" si="15"/>
        <v/>
      </c>
      <c r="AP82" s="149"/>
      <c r="AQ82" s="150"/>
      <c r="AX82" s="31" t="str">
        <f>IFERROR(INDEX('G-7 Rivers Data'!$AZ$3:$AZ$7,MATCH(N82,'G-7 Rivers Data'!$AY$3:$AY$7,0)),"")</f>
        <v/>
      </c>
    </row>
    <row r="83" spans="2:50" ht="14" x14ac:dyDescent="0.3">
      <c r="B83" s="531" t="str">
        <f>'F-1 Off Site River Baseline'!AN81</f>
        <v/>
      </c>
      <c r="C83" s="520" t="str">
        <f>IF(B83="","",VLOOKUP($B83,'F-1 Off Site River Baseline'!$C$9:$R$257,2,FALSE))</f>
        <v/>
      </c>
      <c r="D83" s="520" t="str">
        <f>IF(C83="","",VLOOKUP($B83,'F-1 Off Site River Baseline'!$C$9:$R$257,3,FALSE))</f>
        <v/>
      </c>
      <c r="E83" s="520" t="str">
        <f>IF(D83="","",VLOOKUP($B83,'F-1 Off Site River Baseline'!$C$9:$R$257,4,FALSE))</f>
        <v/>
      </c>
      <c r="F83" s="520" t="str">
        <f>IF(E83="","",VLOOKUP($B83,'F-1 Off Site River Baseline'!$C$9:$R$257,5,FALSE))</f>
        <v/>
      </c>
      <c r="G83" s="520" t="str">
        <f>IF(F83="","",VLOOKUP($B83,'F-1 Off Site River Baseline'!$C$9:$R$257,6,FALSE))</f>
        <v/>
      </c>
      <c r="H83" s="520" t="str">
        <f>IF(G83="","",VLOOKUP($B83,'F-1 Off Site River Baseline'!$C$9:$R$257,7,FALSE))</f>
        <v/>
      </c>
      <c r="I83" s="520" t="str">
        <f>IF(H83="","",VLOOKUP($B83,'F-1 Off Site River Baseline'!$C$9:$R$257,8,FALSE))</f>
        <v/>
      </c>
      <c r="J83" s="520" t="str">
        <f>IF(I83="","",VLOOKUP($B83,'F-1 Off Site River Baseline'!$C$9:$R$257,9,FALSE))</f>
        <v/>
      </c>
      <c r="K83" s="520" t="str">
        <f>IF(J83="","",VLOOKUP($B83,'F-1 Off Site River Baseline'!$C$9:$R$257,10,FALSE))</f>
        <v/>
      </c>
      <c r="L83" s="520" t="str">
        <f>IF(B83="","",VLOOKUP($B83,'C-1 Site River Baseline'!$C$9:$R$257,15,FALSE))</f>
        <v/>
      </c>
      <c r="M83" s="524" t="str">
        <f>IF(L83="","",VLOOKUP($B83,'F-1 Off Site River Baseline'!$C$9:$R$257,16,FALSE))</f>
        <v/>
      </c>
      <c r="N83" s="418" t="str">
        <f t="shared" si="12"/>
        <v/>
      </c>
      <c r="O83" s="498" t="str">
        <f t="shared" si="13"/>
        <v/>
      </c>
      <c r="P83" s="499" t="str">
        <f>IF(C83="","",IF(AND(LEFT(C83,55)&lt;&gt;LEFT(N83,55),O83="High - High"),"Error - Not like for like ▲",IF(AND(F83=S83,H83&gt;U83),"Error - Can not reduce condition ▲",IF(AND(F83=S83,H83=U83,AJ83='F-1 Off Site River Baseline'!N81,'F-1 Off Site River Baseline'!P81=AL83),"Error - No enhancement ▲",IF(AND(C83&lt;&gt;N83,F83&lt;S83),"Lower Distinctiveness Habitat"&amp;" - "&amp;T83,G83&amp;" - "&amp;T83)))))</f>
        <v/>
      </c>
      <c r="Q83" s="505" t="str">
        <f>IF(N83="","",VLOOKUP(B83,'F-1 Off Site River Baseline'!$C$10:$AA$257,19,FALSE))</f>
        <v/>
      </c>
      <c r="R83" s="498" t="str">
        <f>IF(N83="","",VLOOKUP(N83,'G-7 Rivers Data'!$B$2:$G$8,2,FALSE))</f>
        <v/>
      </c>
      <c r="S83" s="499" t="str">
        <f>IFERROR(VLOOKUP(R83,'G-7 Rivers Data'!$C$4:$D$8,2,FALSE),"")</f>
        <v/>
      </c>
      <c r="T83" s="145"/>
      <c r="U83" s="499" t="str">
        <f>IFERROR(INDEX('G-7 Rivers Data'!$H$4:$L$8,MATCH(N83,'G-7 Rivers Data'!$B$4:$B$8,0),MATCH(T83,'G-7 Rivers Data'!$H$3:$L$3,0)),"")</f>
        <v/>
      </c>
      <c r="V83" s="154"/>
      <c r="W83" s="520" t="str">
        <f>IF(V83="","",IF(VLOOKUP(V83,'G-7 Rivers Data'!$AG$4:$AI$9,2,FALSE)=0,"Spatial Data Missing ⚠",VLOOKUP(V83,'G-7 Rivers Data'!$AG$4:$AI$9,2,FALSE)))</f>
        <v/>
      </c>
      <c r="X83" s="524" t="str">
        <f>IF(V83="","",IF(VLOOKUP(V83,'G-7 Rivers Data'!$AG$4:$AI$9,3,FALSE)=0,"Spatial Data Missing ⚠",VLOOKUP(V83,'G-7 Rivers Data'!$AG$4:$AI$9,3,FALSE)))</f>
        <v/>
      </c>
      <c r="Y83" s="537" t="str">
        <f>IFERROR(IF(OR(LEFT(P83,5)="Error ▲",LEFT(O83,5)="Error ▲"),"Check Data ⚠",IF(F83&lt;S83,'G-7 Rivers Data'!$R$3,INDEX('G-7 Rivers Data'!$U$5:$Y$9,MATCH(G83,'G-7 Rivers Data'!$T$5:$T$9,0),MATCH(T83,'G-7 Rivers Data'!$U$4:$Y$4,0)))),"")</f>
        <v/>
      </c>
      <c r="Z83" s="203"/>
      <c r="AA83" s="203"/>
      <c r="AB83" s="534" t="str">
        <f t="shared" si="8"/>
        <v/>
      </c>
      <c r="AC83" s="521" t="str">
        <f t="shared" si="9"/>
        <v/>
      </c>
      <c r="AD83" s="564" t="str">
        <f>IFERROR(IF(AC83="Check Data ⚠","Check Data ⚠",VLOOKUP(AC83,'G-4 Temporal multipliers'!$A$4:$C$37,3,FALSE)),"")</f>
        <v/>
      </c>
      <c r="AE83" s="537" t="str">
        <f>IF(N83="","",VLOOKUP(N83,'G-7 Rivers Data'!$B$4:$G$8,5,FALSE))</f>
        <v/>
      </c>
      <c r="AF83" s="520" t="str">
        <f t="shared" si="10"/>
        <v/>
      </c>
      <c r="AG83" s="520" t="str">
        <f t="shared" si="14"/>
        <v/>
      </c>
      <c r="AH83" s="524" t="str">
        <f t="shared" si="11"/>
        <v/>
      </c>
      <c r="AI83" s="145"/>
      <c r="AJ83" s="499" t="str">
        <f>IF(AI83="","",IF(VLOOKUP(AI83,'G-7 Rivers Data'!$AA$4:$AB$7,2,FALSE)=0,"Spatial Data Missing ⚠",VLOOKUP(AI83,'G-7 Rivers Data'!$AA$4:$AB$7,2,FALSE)))</f>
        <v/>
      </c>
      <c r="AK83" s="155"/>
      <c r="AL83" s="536" t="str">
        <f>IF(AK83="","",IF(VLOOKUP(AK83,'G-7 Rivers Data'!$AD$4:$AE$8,2,FALSE)=0,"Spatial Data Missing ⚠",VLOOKUP(AK83,'G-7 Rivers Data'!$AD$4:$AE$8,2,FALSE)))</f>
        <v/>
      </c>
      <c r="AM83" s="154"/>
      <c r="AN83" s="524" t="str">
        <f>IF(AM83="","",VLOOKUP(AM83,'G-7 Rivers Data'!$AO$4:$AP$7,2,FALSE))</f>
        <v/>
      </c>
      <c r="AO83" s="545" t="str">
        <f t="shared" si="15"/>
        <v/>
      </c>
      <c r="AP83" s="149"/>
      <c r="AQ83" s="150"/>
      <c r="AX83" s="31" t="str">
        <f>IFERROR(INDEX('G-7 Rivers Data'!$AZ$3:$AZ$7,MATCH(N83,'G-7 Rivers Data'!$AY$3:$AY$7,0)),"")</f>
        <v/>
      </c>
    </row>
    <row r="84" spans="2:50" ht="14" x14ac:dyDescent="0.3">
      <c r="B84" s="531" t="str">
        <f>'F-1 Off Site River Baseline'!AN82</f>
        <v/>
      </c>
      <c r="C84" s="520" t="str">
        <f>IF(B84="","",VLOOKUP($B84,'F-1 Off Site River Baseline'!$C$9:$R$257,2,FALSE))</f>
        <v/>
      </c>
      <c r="D84" s="520" t="str">
        <f>IF(C84="","",VLOOKUP($B84,'F-1 Off Site River Baseline'!$C$9:$R$257,3,FALSE))</f>
        <v/>
      </c>
      <c r="E84" s="520" t="str">
        <f>IF(D84="","",VLOOKUP($B84,'F-1 Off Site River Baseline'!$C$9:$R$257,4,FALSE))</f>
        <v/>
      </c>
      <c r="F84" s="520" t="str">
        <f>IF(E84="","",VLOOKUP($B84,'F-1 Off Site River Baseline'!$C$9:$R$257,5,FALSE))</f>
        <v/>
      </c>
      <c r="G84" s="520" t="str">
        <f>IF(F84="","",VLOOKUP($B84,'F-1 Off Site River Baseline'!$C$9:$R$257,6,FALSE))</f>
        <v/>
      </c>
      <c r="H84" s="520" t="str">
        <f>IF(G84="","",VLOOKUP($B84,'F-1 Off Site River Baseline'!$C$9:$R$257,7,FALSE))</f>
        <v/>
      </c>
      <c r="I84" s="520" t="str">
        <f>IF(H84="","",VLOOKUP($B84,'F-1 Off Site River Baseline'!$C$9:$R$257,8,FALSE))</f>
        <v/>
      </c>
      <c r="J84" s="520" t="str">
        <f>IF(I84="","",VLOOKUP($B84,'F-1 Off Site River Baseline'!$C$9:$R$257,9,FALSE))</f>
        <v/>
      </c>
      <c r="K84" s="520" t="str">
        <f>IF(J84="","",VLOOKUP($B84,'F-1 Off Site River Baseline'!$C$9:$R$257,10,FALSE))</f>
        <v/>
      </c>
      <c r="L84" s="520" t="str">
        <f>IF(B84="","",VLOOKUP($B84,'C-1 Site River Baseline'!$C$9:$R$257,15,FALSE))</f>
        <v/>
      </c>
      <c r="M84" s="524" t="str">
        <f>IF(L84="","",VLOOKUP($B84,'F-1 Off Site River Baseline'!$C$9:$R$257,16,FALSE))</f>
        <v/>
      </c>
      <c r="N84" s="418" t="str">
        <f t="shared" si="12"/>
        <v/>
      </c>
      <c r="O84" s="498" t="str">
        <f t="shared" si="13"/>
        <v/>
      </c>
      <c r="P84" s="499" t="str">
        <f>IF(C84="","",IF(AND(LEFT(C84,55)&lt;&gt;LEFT(N84,55),O84="High - High"),"Error - Not like for like ▲",IF(AND(F84=S84,H84&gt;U84),"Error - Can not reduce condition ▲",IF(AND(F84=S84,H84=U84,AJ84='F-1 Off Site River Baseline'!N82,'F-1 Off Site River Baseline'!P82=AL84),"Error - No enhancement ▲",IF(AND(C84&lt;&gt;N84,F84&lt;S84),"Lower Distinctiveness Habitat"&amp;" - "&amp;T84,G84&amp;" - "&amp;T84)))))</f>
        <v/>
      </c>
      <c r="Q84" s="505" t="str">
        <f>IF(N84="","",VLOOKUP(B84,'F-1 Off Site River Baseline'!$C$10:$AA$257,19,FALSE))</f>
        <v/>
      </c>
      <c r="R84" s="498" t="str">
        <f>IF(N84="","",VLOOKUP(N84,'G-7 Rivers Data'!$B$2:$G$8,2,FALSE))</f>
        <v/>
      </c>
      <c r="S84" s="499" t="str">
        <f>IFERROR(VLOOKUP(R84,'G-7 Rivers Data'!$C$4:$D$8,2,FALSE),"")</f>
        <v/>
      </c>
      <c r="T84" s="145"/>
      <c r="U84" s="499" t="str">
        <f>IFERROR(INDEX('G-7 Rivers Data'!$H$4:$L$8,MATCH(N84,'G-7 Rivers Data'!$B$4:$B$8,0),MATCH(T84,'G-7 Rivers Data'!$H$3:$L$3,0)),"")</f>
        <v/>
      </c>
      <c r="V84" s="154"/>
      <c r="W84" s="520" t="str">
        <f>IF(V84="","",IF(VLOOKUP(V84,'G-7 Rivers Data'!$AG$4:$AI$9,2,FALSE)=0,"Spatial Data Missing ⚠",VLOOKUP(V84,'G-7 Rivers Data'!$AG$4:$AI$9,2,FALSE)))</f>
        <v/>
      </c>
      <c r="X84" s="524" t="str">
        <f>IF(V84="","",IF(VLOOKUP(V84,'G-7 Rivers Data'!$AG$4:$AI$9,3,FALSE)=0,"Spatial Data Missing ⚠",VLOOKUP(V84,'G-7 Rivers Data'!$AG$4:$AI$9,3,FALSE)))</f>
        <v/>
      </c>
      <c r="Y84" s="537" t="str">
        <f>IFERROR(IF(OR(LEFT(P84,5)="Error ▲",LEFT(O84,5)="Error ▲"),"Check Data ⚠",IF(F84&lt;S84,'G-7 Rivers Data'!$R$3,INDEX('G-7 Rivers Data'!$U$5:$Y$9,MATCH(G84,'G-7 Rivers Data'!$T$5:$T$9,0),MATCH(T84,'G-7 Rivers Data'!$U$4:$Y$4,0)))),"")</f>
        <v/>
      </c>
      <c r="Z84" s="203"/>
      <c r="AA84" s="203"/>
      <c r="AB84" s="534" t="str">
        <f t="shared" si="8"/>
        <v/>
      </c>
      <c r="AC84" s="521" t="str">
        <f t="shared" si="9"/>
        <v/>
      </c>
      <c r="AD84" s="564" t="str">
        <f>IFERROR(IF(AC84="Check Data ⚠","Check Data ⚠",VLOOKUP(AC84,'G-4 Temporal multipliers'!$A$4:$C$37,3,FALSE)),"")</f>
        <v/>
      </c>
      <c r="AE84" s="537" t="str">
        <f>IF(N84="","",VLOOKUP(N84,'G-7 Rivers Data'!$B$4:$G$8,5,FALSE))</f>
        <v/>
      </c>
      <c r="AF84" s="520" t="str">
        <f t="shared" si="10"/>
        <v/>
      </c>
      <c r="AG84" s="520" t="str">
        <f t="shared" si="14"/>
        <v/>
      </c>
      <c r="AH84" s="524" t="str">
        <f t="shared" si="11"/>
        <v/>
      </c>
      <c r="AI84" s="145"/>
      <c r="AJ84" s="499" t="str">
        <f>IF(AI84="","",IF(VLOOKUP(AI84,'G-7 Rivers Data'!$AA$4:$AB$7,2,FALSE)=0,"Spatial Data Missing ⚠",VLOOKUP(AI84,'G-7 Rivers Data'!$AA$4:$AB$7,2,FALSE)))</f>
        <v/>
      </c>
      <c r="AK84" s="155"/>
      <c r="AL84" s="536" t="str">
        <f>IF(AK84="","",IF(VLOOKUP(AK84,'G-7 Rivers Data'!$AD$4:$AE$8,2,FALSE)=0,"Spatial Data Missing ⚠",VLOOKUP(AK84,'G-7 Rivers Data'!$AD$4:$AE$8,2,FALSE)))</f>
        <v/>
      </c>
      <c r="AM84" s="154"/>
      <c r="AN84" s="524" t="str">
        <f>IF(AM84="","",VLOOKUP(AM84,'G-7 Rivers Data'!$AO$4:$AP$7,2,FALSE))</f>
        <v/>
      </c>
      <c r="AO84" s="545" t="str">
        <f t="shared" si="15"/>
        <v/>
      </c>
      <c r="AP84" s="149"/>
      <c r="AQ84" s="150"/>
      <c r="AX84" s="31" t="str">
        <f>IFERROR(INDEX('G-7 Rivers Data'!$AZ$3:$AZ$7,MATCH(N84,'G-7 Rivers Data'!$AY$3:$AY$7,0)),"")</f>
        <v/>
      </c>
    </row>
    <row r="85" spans="2:50" ht="14" x14ac:dyDescent="0.3">
      <c r="B85" s="531" t="str">
        <f>'F-1 Off Site River Baseline'!AN83</f>
        <v/>
      </c>
      <c r="C85" s="520" t="str">
        <f>IF(B85="","",VLOOKUP($B85,'F-1 Off Site River Baseline'!$C$9:$R$257,2,FALSE))</f>
        <v/>
      </c>
      <c r="D85" s="520" t="str">
        <f>IF(C85="","",VLOOKUP($B85,'F-1 Off Site River Baseline'!$C$9:$R$257,3,FALSE))</f>
        <v/>
      </c>
      <c r="E85" s="520" t="str">
        <f>IF(D85="","",VLOOKUP($B85,'F-1 Off Site River Baseline'!$C$9:$R$257,4,FALSE))</f>
        <v/>
      </c>
      <c r="F85" s="520" t="str">
        <f>IF(E85="","",VLOOKUP($B85,'F-1 Off Site River Baseline'!$C$9:$R$257,5,FALSE))</f>
        <v/>
      </c>
      <c r="G85" s="520" t="str">
        <f>IF(F85="","",VLOOKUP($B85,'F-1 Off Site River Baseline'!$C$9:$R$257,6,FALSE))</f>
        <v/>
      </c>
      <c r="H85" s="520" t="str">
        <f>IF(G85="","",VLOOKUP($B85,'F-1 Off Site River Baseline'!$C$9:$R$257,7,FALSE))</f>
        <v/>
      </c>
      <c r="I85" s="520" t="str">
        <f>IF(H85="","",VLOOKUP($B85,'F-1 Off Site River Baseline'!$C$9:$R$257,8,FALSE))</f>
        <v/>
      </c>
      <c r="J85" s="520" t="str">
        <f>IF(I85="","",VLOOKUP($B85,'F-1 Off Site River Baseline'!$C$9:$R$257,9,FALSE))</f>
        <v/>
      </c>
      <c r="K85" s="520" t="str">
        <f>IF(J85="","",VLOOKUP($B85,'F-1 Off Site River Baseline'!$C$9:$R$257,10,FALSE))</f>
        <v/>
      </c>
      <c r="L85" s="520" t="str">
        <f>IF(B85="","",VLOOKUP($B85,'C-1 Site River Baseline'!$C$9:$R$257,15,FALSE))</f>
        <v/>
      </c>
      <c r="M85" s="524" t="str">
        <f>IF(L85="","",VLOOKUP($B85,'F-1 Off Site River Baseline'!$C$9:$R$257,16,FALSE))</f>
        <v/>
      </c>
      <c r="N85" s="418" t="str">
        <f t="shared" si="12"/>
        <v/>
      </c>
      <c r="O85" s="498" t="str">
        <f t="shared" si="13"/>
        <v/>
      </c>
      <c r="P85" s="499" t="str">
        <f>IF(C85="","",IF(AND(LEFT(C85,55)&lt;&gt;LEFT(N85,55),O85="High - High"),"Error - Not like for like ▲",IF(AND(F85=S85,H85&gt;U85),"Error - Can not reduce condition ▲",IF(AND(F85=S85,H85=U85,AJ85='F-1 Off Site River Baseline'!N83,'F-1 Off Site River Baseline'!P83=AL85),"Error - No enhancement ▲",IF(AND(C85&lt;&gt;N85,F85&lt;S85),"Lower Distinctiveness Habitat"&amp;" - "&amp;T85,G85&amp;" - "&amp;T85)))))</f>
        <v/>
      </c>
      <c r="Q85" s="505" t="str">
        <f>IF(N85="","",VLOOKUP(B85,'F-1 Off Site River Baseline'!$C$10:$AA$257,19,FALSE))</f>
        <v/>
      </c>
      <c r="R85" s="498" t="str">
        <f>IF(N85="","",VLOOKUP(N85,'G-7 Rivers Data'!$B$2:$G$8,2,FALSE))</f>
        <v/>
      </c>
      <c r="S85" s="499" t="str">
        <f>IFERROR(VLOOKUP(R85,'G-7 Rivers Data'!$C$4:$D$8,2,FALSE),"")</f>
        <v/>
      </c>
      <c r="T85" s="145"/>
      <c r="U85" s="499" t="str">
        <f>IFERROR(INDEX('G-7 Rivers Data'!$H$4:$L$8,MATCH(N85,'G-7 Rivers Data'!$B$4:$B$8,0),MATCH(T85,'G-7 Rivers Data'!$H$3:$L$3,0)),"")</f>
        <v/>
      </c>
      <c r="V85" s="154"/>
      <c r="W85" s="520" t="str">
        <f>IF(V85="","",IF(VLOOKUP(V85,'G-7 Rivers Data'!$AG$4:$AI$9,2,FALSE)=0,"Spatial Data Missing ⚠",VLOOKUP(V85,'G-7 Rivers Data'!$AG$4:$AI$9,2,FALSE)))</f>
        <v/>
      </c>
      <c r="X85" s="524" t="str">
        <f>IF(V85="","",IF(VLOOKUP(V85,'G-7 Rivers Data'!$AG$4:$AI$9,3,FALSE)=0,"Spatial Data Missing ⚠",VLOOKUP(V85,'G-7 Rivers Data'!$AG$4:$AI$9,3,FALSE)))</f>
        <v/>
      </c>
      <c r="Y85" s="537" t="str">
        <f>IFERROR(IF(OR(LEFT(P85,5)="Error ▲",LEFT(O85,5)="Error ▲"),"Check Data ⚠",IF(F85&lt;S85,'G-7 Rivers Data'!$R$3,INDEX('G-7 Rivers Data'!$U$5:$Y$9,MATCH(G85,'G-7 Rivers Data'!$T$5:$T$9,0),MATCH(T85,'G-7 Rivers Data'!$U$4:$Y$4,0)))),"")</f>
        <v/>
      </c>
      <c r="Z85" s="203"/>
      <c r="AA85" s="203"/>
      <c r="AB85" s="534" t="str">
        <f t="shared" si="8"/>
        <v/>
      </c>
      <c r="AC85" s="521" t="str">
        <f t="shared" si="9"/>
        <v/>
      </c>
      <c r="AD85" s="564" t="str">
        <f>IFERROR(IF(AC85="Check Data ⚠","Check Data ⚠",VLOOKUP(AC85,'G-4 Temporal multipliers'!$A$4:$C$37,3,FALSE)),"")</f>
        <v/>
      </c>
      <c r="AE85" s="537" t="str">
        <f>IF(N85="","",VLOOKUP(N85,'G-7 Rivers Data'!$B$4:$G$8,5,FALSE))</f>
        <v/>
      </c>
      <c r="AF85" s="520" t="str">
        <f t="shared" si="10"/>
        <v/>
      </c>
      <c r="AG85" s="520" t="str">
        <f t="shared" si="14"/>
        <v/>
      </c>
      <c r="AH85" s="524" t="str">
        <f t="shared" si="11"/>
        <v/>
      </c>
      <c r="AI85" s="145"/>
      <c r="AJ85" s="499" t="str">
        <f>IF(AI85="","",IF(VLOOKUP(AI85,'G-7 Rivers Data'!$AA$4:$AB$7,2,FALSE)=0,"Spatial Data Missing ⚠",VLOOKUP(AI85,'G-7 Rivers Data'!$AA$4:$AB$7,2,FALSE)))</f>
        <v/>
      </c>
      <c r="AK85" s="155"/>
      <c r="AL85" s="536" t="str">
        <f>IF(AK85="","",IF(VLOOKUP(AK85,'G-7 Rivers Data'!$AD$4:$AE$8,2,FALSE)=0,"Spatial Data Missing ⚠",VLOOKUP(AK85,'G-7 Rivers Data'!$AD$4:$AE$8,2,FALSE)))</f>
        <v/>
      </c>
      <c r="AM85" s="154"/>
      <c r="AN85" s="524" t="str">
        <f>IF(AM85="","",VLOOKUP(AM85,'G-7 Rivers Data'!$AO$4:$AP$7,2,FALSE))</f>
        <v/>
      </c>
      <c r="AO85" s="545" t="str">
        <f t="shared" si="15"/>
        <v/>
      </c>
      <c r="AP85" s="149"/>
      <c r="AQ85" s="150"/>
      <c r="AX85" s="31" t="str">
        <f>IFERROR(INDEX('G-7 Rivers Data'!$AZ$3:$AZ$7,MATCH(N85,'G-7 Rivers Data'!$AY$3:$AY$7,0)),"")</f>
        <v/>
      </c>
    </row>
    <row r="86" spans="2:50" ht="14" x14ac:dyDescent="0.3">
      <c r="B86" s="531" t="str">
        <f>'F-1 Off Site River Baseline'!AN84</f>
        <v/>
      </c>
      <c r="C86" s="520" t="str">
        <f>IF(B86="","",VLOOKUP($B86,'F-1 Off Site River Baseline'!$C$9:$R$257,2,FALSE))</f>
        <v/>
      </c>
      <c r="D86" s="520" t="str">
        <f>IF(C86="","",VLOOKUP($B86,'F-1 Off Site River Baseline'!$C$9:$R$257,3,FALSE))</f>
        <v/>
      </c>
      <c r="E86" s="520" t="str">
        <f>IF(D86="","",VLOOKUP($B86,'F-1 Off Site River Baseline'!$C$9:$R$257,4,FALSE))</f>
        <v/>
      </c>
      <c r="F86" s="520" t="str">
        <f>IF(E86="","",VLOOKUP($B86,'F-1 Off Site River Baseline'!$C$9:$R$257,5,FALSE))</f>
        <v/>
      </c>
      <c r="G86" s="520" t="str">
        <f>IF(F86="","",VLOOKUP($B86,'F-1 Off Site River Baseline'!$C$9:$R$257,6,FALSE))</f>
        <v/>
      </c>
      <c r="H86" s="520" t="str">
        <f>IF(G86="","",VLOOKUP($B86,'F-1 Off Site River Baseline'!$C$9:$R$257,7,FALSE))</f>
        <v/>
      </c>
      <c r="I86" s="520" t="str">
        <f>IF(H86="","",VLOOKUP($B86,'F-1 Off Site River Baseline'!$C$9:$R$257,8,FALSE))</f>
        <v/>
      </c>
      <c r="J86" s="520" t="str">
        <f>IF(I86="","",VLOOKUP($B86,'F-1 Off Site River Baseline'!$C$9:$R$257,9,FALSE))</f>
        <v/>
      </c>
      <c r="K86" s="520" t="str">
        <f>IF(J86="","",VLOOKUP($B86,'F-1 Off Site River Baseline'!$C$9:$R$257,10,FALSE))</f>
        <v/>
      </c>
      <c r="L86" s="520" t="str">
        <f>IF(B86="","",VLOOKUP($B86,'C-1 Site River Baseline'!$C$9:$R$257,15,FALSE))</f>
        <v/>
      </c>
      <c r="M86" s="524" t="str">
        <f>IF(L86="","",VLOOKUP($B86,'F-1 Off Site River Baseline'!$C$9:$R$257,16,FALSE))</f>
        <v/>
      </c>
      <c r="N86" s="418" t="str">
        <f t="shared" si="12"/>
        <v/>
      </c>
      <c r="O86" s="498" t="str">
        <f t="shared" si="13"/>
        <v/>
      </c>
      <c r="P86" s="499" t="str">
        <f>IF(C86="","",IF(AND(LEFT(C86,55)&lt;&gt;LEFT(N86,55),O86="High - High"),"Error - Not like for like ▲",IF(AND(F86=S86,H86&gt;U86),"Error - Can not reduce condition ▲",IF(AND(F86=S86,H86=U86,AJ86='F-1 Off Site River Baseline'!N84,'F-1 Off Site River Baseline'!P84=AL86),"Error - No enhancement ▲",IF(AND(C86&lt;&gt;N86,F86&lt;S86),"Lower Distinctiveness Habitat"&amp;" - "&amp;T86,G86&amp;" - "&amp;T86)))))</f>
        <v/>
      </c>
      <c r="Q86" s="505" t="str">
        <f>IF(N86="","",VLOOKUP(B86,'F-1 Off Site River Baseline'!$C$10:$AA$257,19,FALSE))</f>
        <v/>
      </c>
      <c r="R86" s="498" t="str">
        <f>IF(N86="","",VLOOKUP(N86,'G-7 Rivers Data'!$B$2:$G$8,2,FALSE))</f>
        <v/>
      </c>
      <c r="S86" s="499" t="str">
        <f>IFERROR(VLOOKUP(R86,'G-7 Rivers Data'!$C$4:$D$8,2,FALSE),"")</f>
        <v/>
      </c>
      <c r="T86" s="145"/>
      <c r="U86" s="499" t="str">
        <f>IFERROR(INDEX('G-7 Rivers Data'!$H$4:$L$8,MATCH(N86,'G-7 Rivers Data'!$B$4:$B$8,0),MATCH(T86,'G-7 Rivers Data'!$H$3:$L$3,0)),"")</f>
        <v/>
      </c>
      <c r="V86" s="154"/>
      <c r="W86" s="520" t="str">
        <f>IF(V86="","",IF(VLOOKUP(V86,'G-7 Rivers Data'!$AG$4:$AI$9,2,FALSE)=0,"Spatial Data Missing ⚠",VLOOKUP(V86,'G-7 Rivers Data'!$AG$4:$AI$9,2,FALSE)))</f>
        <v/>
      </c>
      <c r="X86" s="524" t="str">
        <f>IF(V86="","",IF(VLOOKUP(V86,'G-7 Rivers Data'!$AG$4:$AI$9,3,FALSE)=0,"Spatial Data Missing ⚠",VLOOKUP(V86,'G-7 Rivers Data'!$AG$4:$AI$9,3,FALSE)))</f>
        <v/>
      </c>
      <c r="Y86" s="537" t="str">
        <f>IFERROR(IF(OR(LEFT(P86,5)="Error ▲",LEFT(O86,5)="Error ▲"),"Check Data ⚠",IF(F86&lt;S86,'G-7 Rivers Data'!$R$3,INDEX('G-7 Rivers Data'!$U$5:$Y$9,MATCH(G86,'G-7 Rivers Data'!$T$5:$T$9,0),MATCH(T86,'G-7 Rivers Data'!$U$4:$Y$4,0)))),"")</f>
        <v/>
      </c>
      <c r="Z86" s="203"/>
      <c r="AA86" s="203"/>
      <c r="AB86" s="534" t="str">
        <f t="shared" si="8"/>
        <v/>
      </c>
      <c r="AC86" s="521" t="str">
        <f t="shared" si="9"/>
        <v/>
      </c>
      <c r="AD86" s="564" t="str">
        <f>IFERROR(IF(AC86="Check Data ⚠","Check Data ⚠",VLOOKUP(AC86,'G-4 Temporal multipliers'!$A$4:$C$37,3,FALSE)),"")</f>
        <v/>
      </c>
      <c r="AE86" s="537" t="str">
        <f>IF(N86="","",VLOOKUP(N86,'G-7 Rivers Data'!$B$4:$G$8,5,FALSE))</f>
        <v/>
      </c>
      <c r="AF86" s="520" t="str">
        <f t="shared" si="10"/>
        <v/>
      </c>
      <c r="AG86" s="520" t="str">
        <f t="shared" si="14"/>
        <v/>
      </c>
      <c r="AH86" s="524" t="str">
        <f t="shared" si="11"/>
        <v/>
      </c>
      <c r="AI86" s="145"/>
      <c r="AJ86" s="499" t="str">
        <f>IF(AI86="","",IF(VLOOKUP(AI86,'G-7 Rivers Data'!$AA$4:$AB$7,2,FALSE)=0,"Spatial Data Missing ⚠",VLOOKUP(AI86,'G-7 Rivers Data'!$AA$4:$AB$7,2,FALSE)))</f>
        <v/>
      </c>
      <c r="AK86" s="155"/>
      <c r="AL86" s="536" t="str">
        <f>IF(AK86="","",IF(VLOOKUP(AK86,'G-7 Rivers Data'!$AD$4:$AE$8,2,FALSE)=0,"Spatial Data Missing ⚠",VLOOKUP(AK86,'G-7 Rivers Data'!$AD$4:$AE$8,2,FALSE)))</f>
        <v/>
      </c>
      <c r="AM86" s="154"/>
      <c r="AN86" s="524" t="str">
        <f>IF(AM86="","",VLOOKUP(AM86,'G-7 Rivers Data'!$AO$4:$AP$7,2,FALSE))</f>
        <v/>
      </c>
      <c r="AO86" s="545" t="str">
        <f t="shared" si="15"/>
        <v/>
      </c>
      <c r="AP86" s="149"/>
      <c r="AQ86" s="150"/>
      <c r="AX86" s="31" t="str">
        <f>IFERROR(INDEX('G-7 Rivers Data'!$AZ$3:$AZ$7,MATCH(N86,'G-7 Rivers Data'!$AY$3:$AY$7,0)),"")</f>
        <v/>
      </c>
    </row>
    <row r="87" spans="2:50" ht="14" x14ac:dyDescent="0.3">
      <c r="B87" s="531" t="str">
        <f>'F-1 Off Site River Baseline'!AN85</f>
        <v/>
      </c>
      <c r="C87" s="520" t="str">
        <f>IF(B87="","",VLOOKUP($B87,'F-1 Off Site River Baseline'!$C$9:$R$257,2,FALSE))</f>
        <v/>
      </c>
      <c r="D87" s="520" t="str">
        <f>IF(C87="","",VLOOKUP($B87,'F-1 Off Site River Baseline'!$C$9:$R$257,3,FALSE))</f>
        <v/>
      </c>
      <c r="E87" s="520" t="str">
        <f>IF(D87="","",VLOOKUP($B87,'F-1 Off Site River Baseline'!$C$9:$R$257,4,FALSE))</f>
        <v/>
      </c>
      <c r="F87" s="520" t="str">
        <f>IF(E87="","",VLOOKUP($B87,'F-1 Off Site River Baseline'!$C$9:$R$257,5,FALSE))</f>
        <v/>
      </c>
      <c r="G87" s="520" t="str">
        <f>IF(F87="","",VLOOKUP($B87,'F-1 Off Site River Baseline'!$C$9:$R$257,6,FALSE))</f>
        <v/>
      </c>
      <c r="H87" s="520" t="str">
        <f>IF(G87="","",VLOOKUP($B87,'F-1 Off Site River Baseline'!$C$9:$R$257,7,FALSE))</f>
        <v/>
      </c>
      <c r="I87" s="520" t="str">
        <f>IF(H87="","",VLOOKUP($B87,'F-1 Off Site River Baseline'!$C$9:$R$257,8,FALSE))</f>
        <v/>
      </c>
      <c r="J87" s="520" t="str">
        <f>IF(I87="","",VLOOKUP($B87,'F-1 Off Site River Baseline'!$C$9:$R$257,9,FALSE))</f>
        <v/>
      </c>
      <c r="K87" s="520" t="str">
        <f>IF(J87="","",VLOOKUP($B87,'F-1 Off Site River Baseline'!$C$9:$R$257,10,FALSE))</f>
        <v/>
      </c>
      <c r="L87" s="520" t="str">
        <f>IF(B87="","",VLOOKUP($B87,'C-1 Site River Baseline'!$C$9:$R$257,15,FALSE))</f>
        <v/>
      </c>
      <c r="M87" s="524" t="str">
        <f>IF(L87="","",VLOOKUP($B87,'F-1 Off Site River Baseline'!$C$9:$R$257,16,FALSE))</f>
        <v/>
      </c>
      <c r="N87" s="418" t="str">
        <f t="shared" si="12"/>
        <v/>
      </c>
      <c r="O87" s="498" t="str">
        <f t="shared" si="13"/>
        <v/>
      </c>
      <c r="P87" s="499" t="str">
        <f>IF(C87="","",IF(AND(LEFT(C87,55)&lt;&gt;LEFT(N87,55),O87="High - High"),"Error - Not like for like ▲",IF(AND(F87=S87,H87&gt;U87),"Error - Can not reduce condition ▲",IF(AND(F87=S87,H87=U87,AJ87='F-1 Off Site River Baseline'!N85,'F-1 Off Site River Baseline'!P85=AL87),"Error - No enhancement ▲",IF(AND(C87&lt;&gt;N87,F87&lt;S87),"Lower Distinctiveness Habitat"&amp;" - "&amp;T87,G87&amp;" - "&amp;T87)))))</f>
        <v/>
      </c>
      <c r="Q87" s="505" t="str">
        <f>IF(N87="","",VLOOKUP(B87,'F-1 Off Site River Baseline'!$C$10:$AA$257,19,FALSE))</f>
        <v/>
      </c>
      <c r="R87" s="498" t="str">
        <f>IF(N87="","",VLOOKUP(N87,'G-7 Rivers Data'!$B$2:$G$8,2,FALSE))</f>
        <v/>
      </c>
      <c r="S87" s="499" t="str">
        <f>IFERROR(VLOOKUP(R87,'G-7 Rivers Data'!$C$4:$D$8,2,FALSE),"")</f>
        <v/>
      </c>
      <c r="T87" s="145"/>
      <c r="U87" s="499" t="str">
        <f>IFERROR(INDEX('G-7 Rivers Data'!$H$4:$L$8,MATCH(N87,'G-7 Rivers Data'!$B$4:$B$8,0),MATCH(T87,'G-7 Rivers Data'!$H$3:$L$3,0)),"")</f>
        <v/>
      </c>
      <c r="V87" s="154"/>
      <c r="W87" s="520" t="str">
        <f>IF(V87="","",IF(VLOOKUP(V87,'G-7 Rivers Data'!$AG$4:$AI$9,2,FALSE)=0,"Spatial Data Missing ⚠",VLOOKUP(V87,'G-7 Rivers Data'!$AG$4:$AI$9,2,FALSE)))</f>
        <v/>
      </c>
      <c r="X87" s="524" t="str">
        <f>IF(V87="","",IF(VLOOKUP(V87,'G-7 Rivers Data'!$AG$4:$AI$9,3,FALSE)=0,"Spatial Data Missing ⚠",VLOOKUP(V87,'G-7 Rivers Data'!$AG$4:$AI$9,3,FALSE)))</f>
        <v/>
      </c>
      <c r="Y87" s="537" t="str">
        <f>IFERROR(IF(OR(LEFT(P87,5)="Error ▲",LEFT(O87,5)="Error ▲"),"Check Data ⚠",IF(F87&lt;S87,'G-7 Rivers Data'!$R$3,INDEX('G-7 Rivers Data'!$U$5:$Y$9,MATCH(G87,'G-7 Rivers Data'!$T$5:$T$9,0),MATCH(T87,'G-7 Rivers Data'!$U$4:$Y$4,0)))),"")</f>
        <v/>
      </c>
      <c r="Z87" s="203"/>
      <c r="AA87" s="203"/>
      <c r="AB87" s="534" t="str">
        <f t="shared" si="8"/>
        <v/>
      </c>
      <c r="AC87" s="521" t="str">
        <f t="shared" si="9"/>
        <v/>
      </c>
      <c r="AD87" s="564" t="str">
        <f>IFERROR(IF(AC87="Check Data ⚠","Check Data ⚠",VLOOKUP(AC87,'G-4 Temporal multipliers'!$A$4:$C$37,3,FALSE)),"")</f>
        <v/>
      </c>
      <c r="AE87" s="537" t="str">
        <f>IF(N87="","",VLOOKUP(N87,'G-7 Rivers Data'!$B$4:$G$8,5,FALSE))</f>
        <v/>
      </c>
      <c r="AF87" s="520" t="str">
        <f t="shared" si="10"/>
        <v/>
      </c>
      <c r="AG87" s="520" t="str">
        <f t="shared" si="14"/>
        <v/>
      </c>
      <c r="AH87" s="524" t="str">
        <f t="shared" si="11"/>
        <v/>
      </c>
      <c r="AI87" s="145"/>
      <c r="AJ87" s="499" t="str">
        <f>IF(AI87="","",IF(VLOOKUP(AI87,'G-7 Rivers Data'!$AA$4:$AB$7,2,FALSE)=0,"Spatial Data Missing ⚠",VLOOKUP(AI87,'G-7 Rivers Data'!$AA$4:$AB$7,2,FALSE)))</f>
        <v/>
      </c>
      <c r="AK87" s="155"/>
      <c r="AL87" s="536" t="str">
        <f>IF(AK87="","",IF(VLOOKUP(AK87,'G-7 Rivers Data'!$AD$4:$AE$8,2,FALSE)=0,"Spatial Data Missing ⚠",VLOOKUP(AK87,'G-7 Rivers Data'!$AD$4:$AE$8,2,FALSE)))</f>
        <v/>
      </c>
      <c r="AM87" s="154"/>
      <c r="AN87" s="524" t="str">
        <f>IF(AM87="","",VLOOKUP(AM87,'G-7 Rivers Data'!$AO$4:$AP$7,2,FALSE))</f>
        <v/>
      </c>
      <c r="AO87" s="545" t="str">
        <f t="shared" si="15"/>
        <v/>
      </c>
      <c r="AP87" s="149"/>
      <c r="AQ87" s="150"/>
      <c r="AX87" s="31" t="str">
        <f>IFERROR(INDEX('G-7 Rivers Data'!$AZ$3:$AZ$7,MATCH(N87,'G-7 Rivers Data'!$AY$3:$AY$7,0)),"")</f>
        <v/>
      </c>
    </row>
    <row r="88" spans="2:50" ht="14" x14ac:dyDescent="0.3">
      <c r="B88" s="531" t="str">
        <f>'F-1 Off Site River Baseline'!AN86</f>
        <v/>
      </c>
      <c r="C88" s="520" t="str">
        <f>IF(B88="","",VLOOKUP($B88,'F-1 Off Site River Baseline'!$C$9:$R$257,2,FALSE))</f>
        <v/>
      </c>
      <c r="D88" s="520" t="str">
        <f>IF(C88="","",VLOOKUP($B88,'F-1 Off Site River Baseline'!$C$9:$R$257,3,FALSE))</f>
        <v/>
      </c>
      <c r="E88" s="520" t="str">
        <f>IF(D88="","",VLOOKUP($B88,'F-1 Off Site River Baseline'!$C$9:$R$257,4,FALSE))</f>
        <v/>
      </c>
      <c r="F88" s="520" t="str">
        <f>IF(E88="","",VLOOKUP($B88,'F-1 Off Site River Baseline'!$C$9:$R$257,5,FALSE))</f>
        <v/>
      </c>
      <c r="G88" s="520" t="str">
        <f>IF(F88="","",VLOOKUP($B88,'F-1 Off Site River Baseline'!$C$9:$R$257,6,FALSE))</f>
        <v/>
      </c>
      <c r="H88" s="520" t="str">
        <f>IF(G88="","",VLOOKUP($B88,'F-1 Off Site River Baseline'!$C$9:$R$257,7,FALSE))</f>
        <v/>
      </c>
      <c r="I88" s="520" t="str">
        <f>IF(H88="","",VLOOKUP($B88,'F-1 Off Site River Baseline'!$C$9:$R$257,8,FALSE))</f>
        <v/>
      </c>
      <c r="J88" s="520" t="str">
        <f>IF(I88="","",VLOOKUP($B88,'F-1 Off Site River Baseline'!$C$9:$R$257,9,FALSE))</f>
        <v/>
      </c>
      <c r="K88" s="520" t="str">
        <f>IF(J88="","",VLOOKUP($B88,'F-1 Off Site River Baseline'!$C$9:$R$257,10,FALSE))</f>
        <v/>
      </c>
      <c r="L88" s="520" t="str">
        <f>IF(B88="","",VLOOKUP($B88,'C-1 Site River Baseline'!$C$9:$R$257,15,FALSE))</f>
        <v/>
      </c>
      <c r="M88" s="524" t="str">
        <f>IF(L88="","",VLOOKUP($B88,'F-1 Off Site River Baseline'!$C$9:$R$257,16,FALSE))</f>
        <v/>
      </c>
      <c r="N88" s="418" t="str">
        <f t="shared" si="12"/>
        <v/>
      </c>
      <c r="O88" s="498" t="str">
        <f t="shared" si="13"/>
        <v/>
      </c>
      <c r="P88" s="499" t="str">
        <f>IF(C88="","",IF(AND(LEFT(C88,55)&lt;&gt;LEFT(N88,55),O88="High - High"),"Error - Not like for like ▲",IF(AND(F88=S88,H88&gt;U88),"Error - Can not reduce condition ▲",IF(AND(F88=S88,H88=U88,AJ88='F-1 Off Site River Baseline'!N86,'F-1 Off Site River Baseline'!P86=AL88),"Error - No enhancement ▲",IF(AND(C88&lt;&gt;N88,F88&lt;S88),"Lower Distinctiveness Habitat"&amp;" - "&amp;T88,G88&amp;" - "&amp;T88)))))</f>
        <v/>
      </c>
      <c r="Q88" s="505" t="str">
        <f>IF(N88="","",VLOOKUP(B88,'F-1 Off Site River Baseline'!$C$10:$AA$257,19,FALSE))</f>
        <v/>
      </c>
      <c r="R88" s="498" t="str">
        <f>IF(N88="","",VLOOKUP(N88,'G-7 Rivers Data'!$B$2:$G$8,2,FALSE))</f>
        <v/>
      </c>
      <c r="S88" s="499" t="str">
        <f>IFERROR(VLOOKUP(R88,'G-7 Rivers Data'!$C$4:$D$8,2,FALSE),"")</f>
        <v/>
      </c>
      <c r="T88" s="145"/>
      <c r="U88" s="499" t="str">
        <f>IFERROR(INDEX('G-7 Rivers Data'!$H$4:$L$8,MATCH(N88,'G-7 Rivers Data'!$B$4:$B$8,0),MATCH(T88,'G-7 Rivers Data'!$H$3:$L$3,0)),"")</f>
        <v/>
      </c>
      <c r="V88" s="154"/>
      <c r="W88" s="520" t="str">
        <f>IF(V88="","",IF(VLOOKUP(V88,'G-7 Rivers Data'!$AG$4:$AI$9,2,FALSE)=0,"Spatial Data Missing ⚠",VLOOKUP(V88,'G-7 Rivers Data'!$AG$4:$AI$9,2,FALSE)))</f>
        <v/>
      </c>
      <c r="X88" s="524" t="str">
        <f>IF(V88="","",IF(VLOOKUP(V88,'G-7 Rivers Data'!$AG$4:$AI$9,3,FALSE)=0,"Spatial Data Missing ⚠",VLOOKUP(V88,'G-7 Rivers Data'!$AG$4:$AI$9,3,FALSE)))</f>
        <v/>
      </c>
      <c r="Y88" s="537" t="str">
        <f>IFERROR(IF(OR(LEFT(P88,5)="Error ▲",LEFT(O88,5)="Error ▲"),"Check Data ⚠",IF(F88&lt;S88,'G-7 Rivers Data'!$R$3,INDEX('G-7 Rivers Data'!$U$5:$Y$9,MATCH(G88,'G-7 Rivers Data'!$T$5:$T$9,0),MATCH(T88,'G-7 Rivers Data'!$U$4:$Y$4,0)))),"")</f>
        <v/>
      </c>
      <c r="Z88" s="203"/>
      <c r="AA88" s="203"/>
      <c r="AB88" s="534" t="str">
        <f t="shared" si="8"/>
        <v/>
      </c>
      <c r="AC88" s="521" t="str">
        <f t="shared" si="9"/>
        <v/>
      </c>
      <c r="AD88" s="564" t="str">
        <f>IFERROR(IF(AC88="Check Data ⚠","Check Data ⚠",VLOOKUP(AC88,'G-4 Temporal multipliers'!$A$4:$C$37,3,FALSE)),"")</f>
        <v/>
      </c>
      <c r="AE88" s="537" t="str">
        <f>IF(N88="","",VLOOKUP(N88,'G-7 Rivers Data'!$B$4:$G$8,5,FALSE))</f>
        <v/>
      </c>
      <c r="AF88" s="520" t="str">
        <f t="shared" si="10"/>
        <v/>
      </c>
      <c r="AG88" s="520" t="str">
        <f t="shared" si="14"/>
        <v/>
      </c>
      <c r="AH88" s="524" t="str">
        <f t="shared" si="11"/>
        <v/>
      </c>
      <c r="AI88" s="145"/>
      <c r="AJ88" s="499" t="str">
        <f>IF(AI88="","",IF(VLOOKUP(AI88,'G-7 Rivers Data'!$AA$4:$AB$7,2,FALSE)=0,"Spatial Data Missing ⚠",VLOOKUP(AI88,'G-7 Rivers Data'!$AA$4:$AB$7,2,FALSE)))</f>
        <v/>
      </c>
      <c r="AK88" s="155"/>
      <c r="AL88" s="536" t="str">
        <f>IF(AK88="","",IF(VLOOKUP(AK88,'G-7 Rivers Data'!$AD$4:$AE$8,2,FALSE)=0,"Spatial Data Missing ⚠",VLOOKUP(AK88,'G-7 Rivers Data'!$AD$4:$AE$8,2,FALSE)))</f>
        <v/>
      </c>
      <c r="AM88" s="154"/>
      <c r="AN88" s="524" t="str">
        <f>IF(AM88="","",VLOOKUP(AM88,'G-7 Rivers Data'!$AO$4:$AP$7,2,FALSE))</f>
        <v/>
      </c>
      <c r="AO88" s="545" t="str">
        <f t="shared" si="15"/>
        <v/>
      </c>
      <c r="AP88" s="149"/>
      <c r="AQ88" s="150"/>
      <c r="AX88" s="31" t="str">
        <f>IFERROR(INDEX('G-7 Rivers Data'!$AZ$3:$AZ$7,MATCH(N88,'G-7 Rivers Data'!$AY$3:$AY$7,0)),"")</f>
        <v/>
      </c>
    </row>
    <row r="89" spans="2:50" ht="14" x14ac:dyDescent="0.3">
      <c r="B89" s="531" t="str">
        <f>'F-1 Off Site River Baseline'!AN87</f>
        <v/>
      </c>
      <c r="C89" s="520" t="str">
        <f>IF(B89="","",VLOOKUP($B89,'F-1 Off Site River Baseline'!$C$9:$R$257,2,FALSE))</f>
        <v/>
      </c>
      <c r="D89" s="520" t="str">
        <f>IF(C89="","",VLOOKUP($B89,'F-1 Off Site River Baseline'!$C$9:$R$257,3,FALSE))</f>
        <v/>
      </c>
      <c r="E89" s="520" t="str">
        <f>IF(D89="","",VLOOKUP($B89,'F-1 Off Site River Baseline'!$C$9:$R$257,4,FALSE))</f>
        <v/>
      </c>
      <c r="F89" s="520" t="str">
        <f>IF(E89="","",VLOOKUP($B89,'F-1 Off Site River Baseline'!$C$9:$R$257,5,FALSE))</f>
        <v/>
      </c>
      <c r="G89" s="520" t="str">
        <f>IF(F89="","",VLOOKUP($B89,'F-1 Off Site River Baseline'!$C$9:$R$257,6,FALSE))</f>
        <v/>
      </c>
      <c r="H89" s="520" t="str">
        <f>IF(G89="","",VLOOKUP($B89,'F-1 Off Site River Baseline'!$C$9:$R$257,7,FALSE))</f>
        <v/>
      </c>
      <c r="I89" s="520" t="str">
        <f>IF(H89="","",VLOOKUP($B89,'F-1 Off Site River Baseline'!$C$9:$R$257,8,FALSE))</f>
        <v/>
      </c>
      <c r="J89" s="520" t="str">
        <f>IF(I89="","",VLOOKUP($B89,'F-1 Off Site River Baseline'!$C$9:$R$257,9,FALSE))</f>
        <v/>
      </c>
      <c r="K89" s="520" t="str">
        <f>IF(J89="","",VLOOKUP($B89,'F-1 Off Site River Baseline'!$C$9:$R$257,10,FALSE))</f>
        <v/>
      </c>
      <c r="L89" s="520" t="str">
        <f>IF(B89="","",VLOOKUP($B89,'C-1 Site River Baseline'!$C$9:$R$257,15,FALSE))</f>
        <v/>
      </c>
      <c r="M89" s="524" t="str">
        <f>IF(L89="","",VLOOKUP($B89,'F-1 Off Site River Baseline'!$C$9:$R$257,16,FALSE))</f>
        <v/>
      </c>
      <c r="N89" s="418" t="str">
        <f t="shared" si="12"/>
        <v/>
      </c>
      <c r="O89" s="498" t="str">
        <f t="shared" si="13"/>
        <v/>
      </c>
      <c r="P89" s="499" t="str">
        <f>IF(C89="","",IF(AND(LEFT(C89,55)&lt;&gt;LEFT(N89,55),O89="High - High"),"Error - Not like for like ▲",IF(AND(F89=S89,H89&gt;U89),"Error - Can not reduce condition ▲",IF(AND(F89=S89,H89=U89,AJ89='F-1 Off Site River Baseline'!N87,'F-1 Off Site River Baseline'!P87=AL89),"Error - No enhancement ▲",IF(AND(C89&lt;&gt;N89,F89&lt;S89),"Lower Distinctiveness Habitat"&amp;" - "&amp;T89,G89&amp;" - "&amp;T89)))))</f>
        <v/>
      </c>
      <c r="Q89" s="505" t="str">
        <f>IF(N89="","",VLOOKUP(B89,'F-1 Off Site River Baseline'!$C$10:$AA$257,19,FALSE))</f>
        <v/>
      </c>
      <c r="R89" s="498" t="str">
        <f>IF(N89="","",VLOOKUP(N89,'G-7 Rivers Data'!$B$2:$G$8,2,FALSE))</f>
        <v/>
      </c>
      <c r="S89" s="499" t="str">
        <f>IFERROR(VLOOKUP(R89,'G-7 Rivers Data'!$C$4:$D$8,2,FALSE),"")</f>
        <v/>
      </c>
      <c r="T89" s="145"/>
      <c r="U89" s="499" t="str">
        <f>IFERROR(INDEX('G-7 Rivers Data'!$H$4:$L$8,MATCH(N89,'G-7 Rivers Data'!$B$4:$B$8,0),MATCH(T89,'G-7 Rivers Data'!$H$3:$L$3,0)),"")</f>
        <v/>
      </c>
      <c r="V89" s="154"/>
      <c r="W89" s="520" t="str">
        <f>IF(V89="","",IF(VLOOKUP(V89,'G-7 Rivers Data'!$AG$4:$AI$9,2,FALSE)=0,"Spatial Data Missing ⚠",VLOOKUP(V89,'G-7 Rivers Data'!$AG$4:$AI$9,2,FALSE)))</f>
        <v/>
      </c>
      <c r="X89" s="524" t="str">
        <f>IF(V89="","",IF(VLOOKUP(V89,'G-7 Rivers Data'!$AG$4:$AI$9,3,FALSE)=0,"Spatial Data Missing ⚠",VLOOKUP(V89,'G-7 Rivers Data'!$AG$4:$AI$9,3,FALSE)))</f>
        <v/>
      </c>
      <c r="Y89" s="537" t="str">
        <f>IFERROR(IF(OR(LEFT(P89,5)="Error ▲",LEFT(O89,5)="Error ▲"),"Check Data ⚠",IF(F89&lt;S89,'G-7 Rivers Data'!$R$3,INDEX('G-7 Rivers Data'!$U$5:$Y$9,MATCH(G89,'G-7 Rivers Data'!$T$5:$T$9,0),MATCH(T89,'G-7 Rivers Data'!$U$4:$Y$4,0)))),"")</f>
        <v/>
      </c>
      <c r="Z89" s="203"/>
      <c r="AA89" s="203"/>
      <c r="AB89" s="534" t="str">
        <f t="shared" si="8"/>
        <v/>
      </c>
      <c r="AC89" s="521" t="str">
        <f t="shared" si="9"/>
        <v/>
      </c>
      <c r="AD89" s="564" t="str">
        <f>IFERROR(IF(AC89="Check Data ⚠","Check Data ⚠",VLOOKUP(AC89,'G-4 Temporal multipliers'!$A$4:$C$37,3,FALSE)),"")</f>
        <v/>
      </c>
      <c r="AE89" s="537" t="str">
        <f>IF(N89="","",VLOOKUP(N89,'G-7 Rivers Data'!$B$4:$G$8,5,FALSE))</f>
        <v/>
      </c>
      <c r="AF89" s="520" t="str">
        <f t="shared" si="10"/>
        <v/>
      </c>
      <c r="AG89" s="520" t="str">
        <f t="shared" si="14"/>
        <v/>
      </c>
      <c r="AH89" s="524" t="str">
        <f t="shared" si="11"/>
        <v/>
      </c>
      <c r="AI89" s="145"/>
      <c r="AJ89" s="499" t="str">
        <f>IF(AI89="","",IF(VLOOKUP(AI89,'G-7 Rivers Data'!$AA$4:$AB$7,2,FALSE)=0,"Spatial Data Missing ⚠",VLOOKUP(AI89,'G-7 Rivers Data'!$AA$4:$AB$7,2,FALSE)))</f>
        <v/>
      </c>
      <c r="AK89" s="155"/>
      <c r="AL89" s="536" t="str">
        <f>IF(AK89="","",IF(VLOOKUP(AK89,'G-7 Rivers Data'!$AD$4:$AE$8,2,FALSE)=0,"Spatial Data Missing ⚠",VLOOKUP(AK89,'G-7 Rivers Data'!$AD$4:$AE$8,2,FALSE)))</f>
        <v/>
      </c>
      <c r="AM89" s="154"/>
      <c r="AN89" s="524" t="str">
        <f>IF(AM89="","",VLOOKUP(AM89,'G-7 Rivers Data'!$AO$4:$AP$7,2,FALSE))</f>
        <v/>
      </c>
      <c r="AO89" s="545" t="str">
        <f t="shared" si="15"/>
        <v/>
      </c>
      <c r="AP89" s="149"/>
      <c r="AQ89" s="150"/>
      <c r="AX89" s="31" t="str">
        <f>IFERROR(INDEX('G-7 Rivers Data'!$AZ$3:$AZ$7,MATCH(N89,'G-7 Rivers Data'!$AY$3:$AY$7,0)),"")</f>
        <v/>
      </c>
    </row>
    <row r="90" spans="2:50" ht="14" x14ac:dyDescent="0.3">
      <c r="B90" s="531" t="str">
        <f>'F-1 Off Site River Baseline'!AN88</f>
        <v/>
      </c>
      <c r="C90" s="520" t="str">
        <f>IF(B90="","",VLOOKUP($B90,'F-1 Off Site River Baseline'!$C$9:$R$257,2,FALSE))</f>
        <v/>
      </c>
      <c r="D90" s="520" t="str">
        <f>IF(C90="","",VLOOKUP($B90,'F-1 Off Site River Baseline'!$C$9:$R$257,3,FALSE))</f>
        <v/>
      </c>
      <c r="E90" s="520" t="str">
        <f>IF(D90="","",VLOOKUP($B90,'F-1 Off Site River Baseline'!$C$9:$R$257,4,FALSE))</f>
        <v/>
      </c>
      <c r="F90" s="520" t="str">
        <f>IF(E90="","",VLOOKUP($B90,'F-1 Off Site River Baseline'!$C$9:$R$257,5,FALSE))</f>
        <v/>
      </c>
      <c r="G90" s="520" t="str">
        <f>IF(F90="","",VLOOKUP($B90,'F-1 Off Site River Baseline'!$C$9:$R$257,6,FALSE))</f>
        <v/>
      </c>
      <c r="H90" s="520" t="str">
        <f>IF(G90="","",VLOOKUP($B90,'F-1 Off Site River Baseline'!$C$9:$R$257,7,FALSE))</f>
        <v/>
      </c>
      <c r="I90" s="520" t="str">
        <f>IF(H90="","",VLOOKUP($B90,'F-1 Off Site River Baseline'!$C$9:$R$257,8,FALSE))</f>
        <v/>
      </c>
      <c r="J90" s="520" t="str">
        <f>IF(I90="","",VLOOKUP($B90,'F-1 Off Site River Baseline'!$C$9:$R$257,9,FALSE))</f>
        <v/>
      </c>
      <c r="K90" s="520" t="str">
        <f>IF(J90="","",VLOOKUP($B90,'F-1 Off Site River Baseline'!$C$9:$R$257,10,FALSE))</f>
        <v/>
      </c>
      <c r="L90" s="520" t="str">
        <f>IF(B90="","",VLOOKUP($B90,'C-1 Site River Baseline'!$C$9:$R$257,15,FALSE))</f>
        <v/>
      </c>
      <c r="M90" s="524" t="str">
        <f>IF(L90="","",VLOOKUP($B90,'F-1 Off Site River Baseline'!$C$9:$R$257,16,FALSE))</f>
        <v/>
      </c>
      <c r="N90" s="418" t="str">
        <f t="shared" si="12"/>
        <v/>
      </c>
      <c r="O90" s="498" t="str">
        <f t="shared" si="13"/>
        <v/>
      </c>
      <c r="P90" s="499" t="str">
        <f>IF(C90="","",IF(AND(LEFT(C90,55)&lt;&gt;LEFT(N90,55),O90="High - High"),"Error - Not like for like ▲",IF(AND(F90=S90,H90&gt;U90),"Error - Can not reduce condition ▲",IF(AND(F90=S90,H90=U90,AJ90='F-1 Off Site River Baseline'!N88,'F-1 Off Site River Baseline'!P88=AL90),"Error - No enhancement ▲",IF(AND(C90&lt;&gt;N90,F90&lt;S90),"Lower Distinctiveness Habitat"&amp;" - "&amp;T90,G90&amp;" - "&amp;T90)))))</f>
        <v/>
      </c>
      <c r="Q90" s="505" t="str">
        <f>IF(N90="","",VLOOKUP(B90,'F-1 Off Site River Baseline'!$C$10:$AA$257,19,FALSE))</f>
        <v/>
      </c>
      <c r="R90" s="498" t="str">
        <f>IF(N90="","",VLOOKUP(N90,'G-7 Rivers Data'!$B$2:$G$8,2,FALSE))</f>
        <v/>
      </c>
      <c r="S90" s="499" t="str">
        <f>IFERROR(VLOOKUP(R90,'G-7 Rivers Data'!$C$4:$D$8,2,FALSE),"")</f>
        <v/>
      </c>
      <c r="T90" s="145"/>
      <c r="U90" s="499" t="str">
        <f>IFERROR(INDEX('G-7 Rivers Data'!$H$4:$L$8,MATCH(N90,'G-7 Rivers Data'!$B$4:$B$8,0),MATCH(T90,'G-7 Rivers Data'!$H$3:$L$3,0)),"")</f>
        <v/>
      </c>
      <c r="V90" s="154"/>
      <c r="W90" s="520" t="str">
        <f>IF(V90="","",IF(VLOOKUP(V90,'G-7 Rivers Data'!$AG$4:$AI$9,2,FALSE)=0,"Spatial Data Missing ⚠",VLOOKUP(V90,'G-7 Rivers Data'!$AG$4:$AI$9,2,FALSE)))</f>
        <v/>
      </c>
      <c r="X90" s="524" t="str">
        <f>IF(V90="","",IF(VLOOKUP(V90,'G-7 Rivers Data'!$AG$4:$AI$9,3,FALSE)=0,"Spatial Data Missing ⚠",VLOOKUP(V90,'G-7 Rivers Data'!$AG$4:$AI$9,3,FALSE)))</f>
        <v/>
      </c>
      <c r="Y90" s="537" t="str">
        <f>IFERROR(IF(OR(LEFT(P90,5)="Error ▲",LEFT(O90,5)="Error ▲"),"Check Data ⚠",IF(F90&lt;S90,'G-7 Rivers Data'!$R$3,INDEX('G-7 Rivers Data'!$U$5:$Y$9,MATCH(G90,'G-7 Rivers Data'!$T$5:$T$9,0),MATCH(T90,'G-7 Rivers Data'!$U$4:$Y$4,0)))),"")</f>
        <v/>
      </c>
      <c r="Z90" s="203"/>
      <c r="AA90" s="203"/>
      <c r="AB90" s="534" t="str">
        <f t="shared" si="8"/>
        <v/>
      </c>
      <c r="AC90" s="521" t="str">
        <f t="shared" si="9"/>
        <v/>
      </c>
      <c r="AD90" s="564" t="str">
        <f>IFERROR(IF(AC90="Check Data ⚠","Check Data ⚠",VLOOKUP(AC90,'G-4 Temporal multipliers'!$A$4:$C$37,3,FALSE)),"")</f>
        <v/>
      </c>
      <c r="AE90" s="537" t="str">
        <f>IF(N90="","",VLOOKUP(N90,'G-7 Rivers Data'!$B$4:$G$8,5,FALSE))</f>
        <v/>
      </c>
      <c r="AF90" s="520" t="str">
        <f t="shared" si="10"/>
        <v/>
      </c>
      <c r="AG90" s="520" t="str">
        <f t="shared" si="14"/>
        <v/>
      </c>
      <c r="AH90" s="524" t="str">
        <f t="shared" si="11"/>
        <v/>
      </c>
      <c r="AI90" s="145"/>
      <c r="AJ90" s="499" t="str">
        <f>IF(AI90="","",IF(VLOOKUP(AI90,'G-7 Rivers Data'!$AA$4:$AB$7,2,FALSE)=0,"Spatial Data Missing ⚠",VLOOKUP(AI90,'G-7 Rivers Data'!$AA$4:$AB$7,2,FALSE)))</f>
        <v/>
      </c>
      <c r="AK90" s="155"/>
      <c r="AL90" s="536" t="str">
        <f>IF(AK90="","",IF(VLOOKUP(AK90,'G-7 Rivers Data'!$AD$4:$AE$8,2,FALSE)=0,"Spatial Data Missing ⚠",VLOOKUP(AK90,'G-7 Rivers Data'!$AD$4:$AE$8,2,FALSE)))</f>
        <v/>
      </c>
      <c r="AM90" s="154"/>
      <c r="AN90" s="524" t="str">
        <f>IF(AM90="","",VLOOKUP(AM90,'G-7 Rivers Data'!$AO$4:$AP$7,2,FALSE))</f>
        <v/>
      </c>
      <c r="AO90" s="545" t="str">
        <f t="shared" si="15"/>
        <v/>
      </c>
      <c r="AP90" s="149"/>
      <c r="AQ90" s="150"/>
      <c r="AX90" s="31" t="str">
        <f>IFERROR(INDEX('G-7 Rivers Data'!$AZ$3:$AZ$7,MATCH(N90,'G-7 Rivers Data'!$AY$3:$AY$7,0)),"")</f>
        <v/>
      </c>
    </row>
    <row r="91" spans="2:50" ht="14" x14ac:dyDescent="0.3">
      <c r="B91" s="531" t="str">
        <f>'F-1 Off Site River Baseline'!AN89</f>
        <v/>
      </c>
      <c r="C91" s="520" t="str">
        <f>IF(B91="","",VLOOKUP($B91,'F-1 Off Site River Baseline'!$C$9:$R$257,2,FALSE))</f>
        <v/>
      </c>
      <c r="D91" s="520" t="str">
        <f>IF(C91="","",VLOOKUP($B91,'F-1 Off Site River Baseline'!$C$9:$R$257,3,FALSE))</f>
        <v/>
      </c>
      <c r="E91" s="520" t="str">
        <f>IF(D91="","",VLOOKUP($B91,'F-1 Off Site River Baseline'!$C$9:$R$257,4,FALSE))</f>
        <v/>
      </c>
      <c r="F91" s="520" t="str">
        <f>IF(E91="","",VLOOKUP($B91,'F-1 Off Site River Baseline'!$C$9:$R$257,5,FALSE))</f>
        <v/>
      </c>
      <c r="G91" s="520" t="str">
        <f>IF(F91="","",VLOOKUP($B91,'F-1 Off Site River Baseline'!$C$9:$R$257,6,FALSE))</f>
        <v/>
      </c>
      <c r="H91" s="520" t="str">
        <f>IF(G91="","",VLOOKUP($B91,'F-1 Off Site River Baseline'!$C$9:$R$257,7,FALSE))</f>
        <v/>
      </c>
      <c r="I91" s="520" t="str">
        <f>IF(H91="","",VLOOKUP($B91,'F-1 Off Site River Baseline'!$C$9:$R$257,8,FALSE))</f>
        <v/>
      </c>
      <c r="J91" s="520" t="str">
        <f>IF(I91="","",VLOOKUP($B91,'F-1 Off Site River Baseline'!$C$9:$R$257,9,FALSE))</f>
        <v/>
      </c>
      <c r="K91" s="520" t="str">
        <f>IF(J91="","",VLOOKUP($B91,'F-1 Off Site River Baseline'!$C$9:$R$257,10,FALSE))</f>
        <v/>
      </c>
      <c r="L91" s="520" t="str">
        <f>IF(B91="","",VLOOKUP($B91,'C-1 Site River Baseline'!$C$9:$R$257,15,FALSE))</f>
        <v/>
      </c>
      <c r="M91" s="524" t="str">
        <f>IF(L91="","",VLOOKUP($B91,'F-1 Off Site River Baseline'!$C$9:$R$257,16,FALSE))</f>
        <v/>
      </c>
      <c r="N91" s="418" t="str">
        <f t="shared" si="12"/>
        <v/>
      </c>
      <c r="O91" s="498" t="str">
        <f t="shared" si="13"/>
        <v/>
      </c>
      <c r="P91" s="499" t="str">
        <f>IF(C91="","",IF(AND(LEFT(C91,55)&lt;&gt;LEFT(N91,55),O91="High - High"),"Error - Not like for like ▲",IF(AND(F91=S91,H91&gt;U91),"Error - Can not reduce condition ▲",IF(AND(F91=S91,H91=U91,AJ91='F-1 Off Site River Baseline'!N89,'F-1 Off Site River Baseline'!P89=AL91),"Error - No enhancement ▲",IF(AND(C91&lt;&gt;N91,F91&lt;S91),"Lower Distinctiveness Habitat"&amp;" - "&amp;T91,G91&amp;" - "&amp;T91)))))</f>
        <v/>
      </c>
      <c r="Q91" s="505" t="str">
        <f>IF(N91="","",VLOOKUP(B91,'F-1 Off Site River Baseline'!$C$10:$AA$257,19,FALSE))</f>
        <v/>
      </c>
      <c r="R91" s="498" t="str">
        <f>IF(N91="","",VLOOKUP(N91,'G-7 Rivers Data'!$B$2:$G$8,2,FALSE))</f>
        <v/>
      </c>
      <c r="S91" s="499" t="str">
        <f>IFERROR(VLOOKUP(R91,'G-7 Rivers Data'!$C$4:$D$8,2,FALSE),"")</f>
        <v/>
      </c>
      <c r="T91" s="145"/>
      <c r="U91" s="499" t="str">
        <f>IFERROR(INDEX('G-7 Rivers Data'!$H$4:$L$8,MATCH(N91,'G-7 Rivers Data'!$B$4:$B$8,0),MATCH(T91,'G-7 Rivers Data'!$H$3:$L$3,0)),"")</f>
        <v/>
      </c>
      <c r="V91" s="154"/>
      <c r="W91" s="520" t="str">
        <f>IF(V91="","",IF(VLOOKUP(V91,'G-7 Rivers Data'!$AG$4:$AI$9,2,FALSE)=0,"Spatial Data Missing ⚠",VLOOKUP(V91,'G-7 Rivers Data'!$AG$4:$AI$9,2,FALSE)))</f>
        <v/>
      </c>
      <c r="X91" s="524" t="str">
        <f>IF(V91="","",IF(VLOOKUP(V91,'G-7 Rivers Data'!$AG$4:$AI$9,3,FALSE)=0,"Spatial Data Missing ⚠",VLOOKUP(V91,'G-7 Rivers Data'!$AG$4:$AI$9,3,FALSE)))</f>
        <v/>
      </c>
      <c r="Y91" s="537" t="str">
        <f>IFERROR(IF(OR(LEFT(P91,5)="Error ▲",LEFT(O91,5)="Error ▲"),"Check Data ⚠",IF(F91&lt;S91,'G-7 Rivers Data'!$R$3,INDEX('G-7 Rivers Data'!$U$5:$Y$9,MATCH(G91,'G-7 Rivers Data'!$T$5:$T$9,0),MATCH(T91,'G-7 Rivers Data'!$U$4:$Y$4,0)))),"")</f>
        <v/>
      </c>
      <c r="Z91" s="203"/>
      <c r="AA91" s="203"/>
      <c r="AB91" s="534" t="str">
        <f t="shared" si="8"/>
        <v/>
      </c>
      <c r="AC91" s="521" t="str">
        <f t="shared" si="9"/>
        <v/>
      </c>
      <c r="AD91" s="564" t="str">
        <f>IFERROR(IF(AC91="Check Data ⚠","Check Data ⚠",VLOOKUP(AC91,'G-4 Temporal multipliers'!$A$4:$C$37,3,FALSE)),"")</f>
        <v/>
      </c>
      <c r="AE91" s="537" t="str">
        <f>IF(N91="","",VLOOKUP(N91,'G-7 Rivers Data'!$B$4:$G$8,5,FALSE))</f>
        <v/>
      </c>
      <c r="AF91" s="520" t="str">
        <f t="shared" si="10"/>
        <v/>
      </c>
      <c r="AG91" s="520" t="str">
        <f t="shared" si="14"/>
        <v/>
      </c>
      <c r="AH91" s="524" t="str">
        <f t="shared" si="11"/>
        <v/>
      </c>
      <c r="AI91" s="145"/>
      <c r="AJ91" s="499" t="str">
        <f>IF(AI91="","",IF(VLOOKUP(AI91,'G-7 Rivers Data'!$AA$4:$AB$7,2,FALSE)=0,"Spatial Data Missing ⚠",VLOOKUP(AI91,'G-7 Rivers Data'!$AA$4:$AB$7,2,FALSE)))</f>
        <v/>
      </c>
      <c r="AK91" s="155"/>
      <c r="AL91" s="536" t="str">
        <f>IF(AK91="","",IF(VLOOKUP(AK91,'G-7 Rivers Data'!$AD$4:$AE$8,2,FALSE)=0,"Spatial Data Missing ⚠",VLOOKUP(AK91,'G-7 Rivers Data'!$AD$4:$AE$8,2,FALSE)))</f>
        <v/>
      </c>
      <c r="AM91" s="154"/>
      <c r="AN91" s="524" t="str">
        <f>IF(AM91="","",VLOOKUP(AM91,'G-7 Rivers Data'!$AO$4:$AP$7,2,FALSE))</f>
        <v/>
      </c>
      <c r="AO91" s="545" t="str">
        <f t="shared" si="15"/>
        <v/>
      </c>
      <c r="AP91" s="149"/>
      <c r="AQ91" s="150"/>
      <c r="AX91" s="31" t="str">
        <f>IFERROR(INDEX('G-7 Rivers Data'!$AZ$3:$AZ$7,MATCH(N91,'G-7 Rivers Data'!$AY$3:$AY$7,0)),"")</f>
        <v/>
      </c>
    </row>
    <row r="92" spans="2:50" ht="14" x14ac:dyDescent="0.3">
      <c r="B92" s="531" t="str">
        <f>'F-1 Off Site River Baseline'!AN90</f>
        <v/>
      </c>
      <c r="C92" s="520" t="str">
        <f>IF(B92="","",VLOOKUP($B92,'F-1 Off Site River Baseline'!$C$9:$R$257,2,FALSE))</f>
        <v/>
      </c>
      <c r="D92" s="520" t="str">
        <f>IF(C92="","",VLOOKUP($B92,'F-1 Off Site River Baseline'!$C$9:$R$257,3,FALSE))</f>
        <v/>
      </c>
      <c r="E92" s="520" t="str">
        <f>IF(D92="","",VLOOKUP($B92,'F-1 Off Site River Baseline'!$C$9:$R$257,4,FALSE))</f>
        <v/>
      </c>
      <c r="F92" s="520" t="str">
        <f>IF(E92="","",VLOOKUP($B92,'F-1 Off Site River Baseline'!$C$9:$R$257,5,FALSE))</f>
        <v/>
      </c>
      <c r="G92" s="520" t="str">
        <f>IF(F92="","",VLOOKUP($B92,'F-1 Off Site River Baseline'!$C$9:$R$257,6,FALSE))</f>
        <v/>
      </c>
      <c r="H92" s="520" t="str">
        <f>IF(G92="","",VLOOKUP($B92,'F-1 Off Site River Baseline'!$C$9:$R$257,7,FALSE))</f>
        <v/>
      </c>
      <c r="I92" s="520" t="str">
        <f>IF(H92="","",VLOOKUP($B92,'F-1 Off Site River Baseline'!$C$9:$R$257,8,FALSE))</f>
        <v/>
      </c>
      <c r="J92" s="520" t="str">
        <f>IF(I92="","",VLOOKUP($B92,'F-1 Off Site River Baseline'!$C$9:$R$257,9,FALSE))</f>
        <v/>
      </c>
      <c r="K92" s="520" t="str">
        <f>IF(J92="","",VLOOKUP($B92,'F-1 Off Site River Baseline'!$C$9:$R$257,10,FALSE))</f>
        <v/>
      </c>
      <c r="L92" s="520" t="str">
        <f>IF(B92="","",VLOOKUP($B92,'C-1 Site River Baseline'!$C$9:$R$257,15,FALSE))</f>
        <v/>
      </c>
      <c r="M92" s="524" t="str">
        <f>IF(L92="","",VLOOKUP($B92,'F-1 Off Site River Baseline'!$C$9:$R$257,16,FALSE))</f>
        <v/>
      </c>
      <c r="N92" s="418" t="str">
        <f t="shared" si="12"/>
        <v/>
      </c>
      <c r="O92" s="498" t="str">
        <f t="shared" si="13"/>
        <v/>
      </c>
      <c r="P92" s="499" t="str">
        <f>IF(C92="","",IF(AND(LEFT(C92,55)&lt;&gt;LEFT(N92,55),O92="High - High"),"Error - Not like for like ▲",IF(AND(F92=S92,H92&gt;U92),"Error - Can not reduce condition ▲",IF(AND(F92=S92,H92=U92,AJ92='F-1 Off Site River Baseline'!N90,'F-1 Off Site River Baseline'!P90=AL92),"Error - No enhancement ▲",IF(AND(C92&lt;&gt;N92,F92&lt;S92),"Lower Distinctiveness Habitat"&amp;" - "&amp;T92,G92&amp;" - "&amp;T92)))))</f>
        <v/>
      </c>
      <c r="Q92" s="505" t="str">
        <f>IF(N92="","",VLOOKUP(B92,'F-1 Off Site River Baseline'!$C$10:$AA$257,19,FALSE))</f>
        <v/>
      </c>
      <c r="R92" s="498" t="str">
        <f>IF(N92="","",VLOOKUP(N92,'G-7 Rivers Data'!$B$2:$G$8,2,FALSE))</f>
        <v/>
      </c>
      <c r="S92" s="499" t="str">
        <f>IFERROR(VLOOKUP(R92,'G-7 Rivers Data'!$C$4:$D$8,2,FALSE),"")</f>
        <v/>
      </c>
      <c r="T92" s="145"/>
      <c r="U92" s="499" t="str">
        <f>IFERROR(INDEX('G-7 Rivers Data'!$H$4:$L$8,MATCH(N92,'G-7 Rivers Data'!$B$4:$B$8,0),MATCH(T92,'G-7 Rivers Data'!$H$3:$L$3,0)),"")</f>
        <v/>
      </c>
      <c r="V92" s="154"/>
      <c r="W92" s="520" t="str">
        <f>IF(V92="","",IF(VLOOKUP(V92,'G-7 Rivers Data'!$AG$4:$AI$9,2,FALSE)=0,"Spatial Data Missing ⚠",VLOOKUP(V92,'G-7 Rivers Data'!$AG$4:$AI$9,2,FALSE)))</f>
        <v/>
      </c>
      <c r="X92" s="524" t="str">
        <f>IF(V92="","",IF(VLOOKUP(V92,'G-7 Rivers Data'!$AG$4:$AI$9,3,FALSE)=0,"Spatial Data Missing ⚠",VLOOKUP(V92,'G-7 Rivers Data'!$AG$4:$AI$9,3,FALSE)))</f>
        <v/>
      </c>
      <c r="Y92" s="537" t="str">
        <f>IFERROR(IF(OR(LEFT(P92,5)="Error ▲",LEFT(O92,5)="Error ▲"),"Check Data ⚠",IF(F92&lt;S92,'G-7 Rivers Data'!$R$3,INDEX('G-7 Rivers Data'!$U$5:$Y$9,MATCH(G92,'G-7 Rivers Data'!$T$5:$T$9,0),MATCH(T92,'G-7 Rivers Data'!$U$4:$Y$4,0)))),"")</f>
        <v/>
      </c>
      <c r="Z92" s="203"/>
      <c r="AA92" s="203"/>
      <c r="AB92" s="534" t="str">
        <f t="shared" si="8"/>
        <v/>
      </c>
      <c r="AC92" s="521" t="str">
        <f t="shared" si="9"/>
        <v/>
      </c>
      <c r="AD92" s="564" t="str">
        <f>IFERROR(IF(AC92="Check Data ⚠","Check Data ⚠",VLOOKUP(AC92,'G-4 Temporal multipliers'!$A$4:$C$37,3,FALSE)),"")</f>
        <v/>
      </c>
      <c r="AE92" s="537" t="str">
        <f>IF(N92="","",VLOOKUP(N92,'G-7 Rivers Data'!$B$4:$G$8,5,FALSE))</f>
        <v/>
      </c>
      <c r="AF92" s="520" t="str">
        <f t="shared" si="10"/>
        <v/>
      </c>
      <c r="AG92" s="520" t="str">
        <f t="shared" si="14"/>
        <v/>
      </c>
      <c r="AH92" s="524" t="str">
        <f t="shared" si="11"/>
        <v/>
      </c>
      <c r="AI92" s="145"/>
      <c r="AJ92" s="499" t="str">
        <f>IF(AI92="","",IF(VLOOKUP(AI92,'G-7 Rivers Data'!$AA$4:$AB$7,2,FALSE)=0,"Spatial Data Missing ⚠",VLOOKUP(AI92,'G-7 Rivers Data'!$AA$4:$AB$7,2,FALSE)))</f>
        <v/>
      </c>
      <c r="AK92" s="155"/>
      <c r="AL92" s="536" t="str">
        <f>IF(AK92="","",IF(VLOOKUP(AK92,'G-7 Rivers Data'!$AD$4:$AE$8,2,FALSE)=0,"Spatial Data Missing ⚠",VLOOKUP(AK92,'G-7 Rivers Data'!$AD$4:$AE$8,2,FALSE)))</f>
        <v/>
      </c>
      <c r="AM92" s="154"/>
      <c r="AN92" s="524" t="str">
        <f>IF(AM92="","",VLOOKUP(AM92,'G-7 Rivers Data'!$AO$4:$AP$7,2,FALSE))</f>
        <v/>
      </c>
      <c r="AO92" s="545" t="str">
        <f t="shared" si="15"/>
        <v/>
      </c>
      <c r="AP92" s="149"/>
      <c r="AQ92" s="150"/>
      <c r="AX92" s="31" t="str">
        <f>IFERROR(INDEX('G-7 Rivers Data'!$AZ$3:$AZ$7,MATCH(N92,'G-7 Rivers Data'!$AY$3:$AY$7,0)),"")</f>
        <v/>
      </c>
    </row>
    <row r="93" spans="2:50" ht="14" x14ac:dyDescent="0.3">
      <c r="B93" s="531" t="str">
        <f>'F-1 Off Site River Baseline'!AN91</f>
        <v/>
      </c>
      <c r="C93" s="520" t="str">
        <f>IF(B93="","",VLOOKUP($B93,'F-1 Off Site River Baseline'!$C$9:$R$257,2,FALSE))</f>
        <v/>
      </c>
      <c r="D93" s="520" t="str">
        <f>IF(C93="","",VLOOKUP($B93,'F-1 Off Site River Baseline'!$C$9:$R$257,3,FALSE))</f>
        <v/>
      </c>
      <c r="E93" s="520" t="str">
        <f>IF(D93="","",VLOOKUP($B93,'F-1 Off Site River Baseline'!$C$9:$R$257,4,FALSE))</f>
        <v/>
      </c>
      <c r="F93" s="520" t="str">
        <f>IF(E93="","",VLOOKUP($B93,'F-1 Off Site River Baseline'!$C$9:$R$257,5,FALSE))</f>
        <v/>
      </c>
      <c r="G93" s="520" t="str">
        <f>IF(F93="","",VLOOKUP($B93,'F-1 Off Site River Baseline'!$C$9:$R$257,6,FALSE))</f>
        <v/>
      </c>
      <c r="H93" s="520" t="str">
        <f>IF(G93="","",VLOOKUP($B93,'F-1 Off Site River Baseline'!$C$9:$R$257,7,FALSE))</f>
        <v/>
      </c>
      <c r="I93" s="520" t="str">
        <f>IF(H93="","",VLOOKUP($B93,'F-1 Off Site River Baseline'!$C$9:$R$257,8,FALSE))</f>
        <v/>
      </c>
      <c r="J93" s="520" t="str">
        <f>IF(I93="","",VLOOKUP($B93,'F-1 Off Site River Baseline'!$C$9:$R$257,9,FALSE))</f>
        <v/>
      </c>
      <c r="K93" s="520" t="str">
        <f>IF(J93="","",VLOOKUP($B93,'F-1 Off Site River Baseline'!$C$9:$R$257,10,FALSE))</f>
        <v/>
      </c>
      <c r="L93" s="520" t="str">
        <f>IF(B93="","",VLOOKUP($B93,'C-1 Site River Baseline'!$C$9:$R$257,15,FALSE))</f>
        <v/>
      </c>
      <c r="M93" s="524" t="str">
        <f>IF(L93="","",VLOOKUP($B93,'F-1 Off Site River Baseline'!$C$9:$R$257,16,FALSE))</f>
        <v/>
      </c>
      <c r="N93" s="418" t="str">
        <f t="shared" si="12"/>
        <v/>
      </c>
      <c r="O93" s="498" t="str">
        <f t="shared" si="13"/>
        <v/>
      </c>
      <c r="P93" s="499" t="str">
        <f>IF(C93="","",IF(AND(LEFT(C93,55)&lt;&gt;LEFT(N93,55),O93="High - High"),"Error - Not like for like ▲",IF(AND(F93=S93,H93&gt;U93),"Error - Can not reduce condition ▲",IF(AND(F93=S93,H93=U93,AJ93='F-1 Off Site River Baseline'!N91,'F-1 Off Site River Baseline'!P91=AL93),"Error - No enhancement ▲",IF(AND(C93&lt;&gt;N93,F93&lt;S93),"Lower Distinctiveness Habitat"&amp;" - "&amp;T93,G93&amp;" - "&amp;T93)))))</f>
        <v/>
      </c>
      <c r="Q93" s="505" t="str">
        <f>IF(N93="","",VLOOKUP(B93,'F-1 Off Site River Baseline'!$C$10:$AA$257,19,FALSE))</f>
        <v/>
      </c>
      <c r="R93" s="498" t="str">
        <f>IF(N93="","",VLOOKUP(N93,'G-7 Rivers Data'!$B$2:$G$8,2,FALSE))</f>
        <v/>
      </c>
      <c r="S93" s="499" t="str">
        <f>IFERROR(VLOOKUP(R93,'G-7 Rivers Data'!$C$4:$D$8,2,FALSE),"")</f>
        <v/>
      </c>
      <c r="T93" s="145"/>
      <c r="U93" s="499" t="str">
        <f>IFERROR(INDEX('G-7 Rivers Data'!$H$4:$L$8,MATCH(N93,'G-7 Rivers Data'!$B$4:$B$8,0),MATCH(T93,'G-7 Rivers Data'!$H$3:$L$3,0)),"")</f>
        <v/>
      </c>
      <c r="V93" s="154"/>
      <c r="W93" s="520" t="str">
        <f>IF(V93="","",IF(VLOOKUP(V93,'G-7 Rivers Data'!$AG$4:$AI$9,2,FALSE)=0,"Spatial Data Missing ⚠",VLOOKUP(V93,'G-7 Rivers Data'!$AG$4:$AI$9,2,FALSE)))</f>
        <v/>
      </c>
      <c r="X93" s="524" t="str">
        <f>IF(V93="","",IF(VLOOKUP(V93,'G-7 Rivers Data'!$AG$4:$AI$9,3,FALSE)=0,"Spatial Data Missing ⚠",VLOOKUP(V93,'G-7 Rivers Data'!$AG$4:$AI$9,3,FALSE)))</f>
        <v/>
      </c>
      <c r="Y93" s="537" t="str">
        <f>IFERROR(IF(OR(LEFT(P93,5)="Error ▲",LEFT(O93,5)="Error ▲"),"Check Data ⚠",IF(F93&lt;S93,'G-7 Rivers Data'!$R$3,INDEX('G-7 Rivers Data'!$U$5:$Y$9,MATCH(G93,'G-7 Rivers Data'!$T$5:$T$9,0),MATCH(T93,'G-7 Rivers Data'!$U$4:$Y$4,0)))),"")</f>
        <v/>
      </c>
      <c r="Z93" s="203"/>
      <c r="AA93" s="203"/>
      <c r="AB93" s="534" t="str">
        <f t="shared" si="8"/>
        <v/>
      </c>
      <c r="AC93" s="521" t="str">
        <f t="shared" si="9"/>
        <v/>
      </c>
      <c r="AD93" s="564" t="str">
        <f>IFERROR(IF(AC93="Check Data ⚠","Check Data ⚠",VLOOKUP(AC93,'G-4 Temporal multipliers'!$A$4:$C$37,3,FALSE)),"")</f>
        <v/>
      </c>
      <c r="AE93" s="537" t="str">
        <f>IF(N93="","",VLOOKUP(N93,'G-7 Rivers Data'!$B$4:$G$8,5,FALSE))</f>
        <v/>
      </c>
      <c r="AF93" s="520" t="str">
        <f t="shared" si="10"/>
        <v/>
      </c>
      <c r="AG93" s="520" t="str">
        <f t="shared" si="14"/>
        <v/>
      </c>
      <c r="AH93" s="524" t="str">
        <f t="shared" si="11"/>
        <v/>
      </c>
      <c r="AI93" s="145"/>
      <c r="AJ93" s="499" t="str">
        <f>IF(AI93="","",IF(VLOOKUP(AI93,'G-7 Rivers Data'!$AA$4:$AB$7,2,FALSE)=0,"Spatial Data Missing ⚠",VLOOKUP(AI93,'G-7 Rivers Data'!$AA$4:$AB$7,2,FALSE)))</f>
        <v/>
      </c>
      <c r="AK93" s="155"/>
      <c r="AL93" s="536" t="str">
        <f>IF(AK93="","",IF(VLOOKUP(AK93,'G-7 Rivers Data'!$AD$4:$AE$8,2,FALSE)=0,"Spatial Data Missing ⚠",VLOOKUP(AK93,'G-7 Rivers Data'!$AD$4:$AE$8,2,FALSE)))</f>
        <v/>
      </c>
      <c r="AM93" s="154"/>
      <c r="AN93" s="524" t="str">
        <f>IF(AM93="","",VLOOKUP(AM93,'G-7 Rivers Data'!$AO$4:$AP$7,2,FALSE))</f>
        <v/>
      </c>
      <c r="AO93" s="545" t="str">
        <f t="shared" si="15"/>
        <v/>
      </c>
      <c r="AP93" s="149"/>
      <c r="AQ93" s="150"/>
      <c r="AX93" s="31" t="str">
        <f>IFERROR(INDEX('G-7 Rivers Data'!$AZ$3:$AZ$7,MATCH(N93,'G-7 Rivers Data'!$AY$3:$AY$7,0)),"")</f>
        <v/>
      </c>
    </row>
    <row r="94" spans="2:50" ht="14" x14ac:dyDescent="0.3">
      <c r="B94" s="531" t="str">
        <f>'F-1 Off Site River Baseline'!AN92</f>
        <v/>
      </c>
      <c r="C94" s="520" t="str">
        <f>IF(B94="","",VLOOKUP($B94,'F-1 Off Site River Baseline'!$C$9:$R$257,2,FALSE))</f>
        <v/>
      </c>
      <c r="D94" s="520" t="str">
        <f>IF(C94="","",VLOOKUP($B94,'F-1 Off Site River Baseline'!$C$9:$R$257,3,FALSE))</f>
        <v/>
      </c>
      <c r="E94" s="520" t="str">
        <f>IF(D94="","",VLOOKUP($B94,'F-1 Off Site River Baseline'!$C$9:$R$257,4,FALSE))</f>
        <v/>
      </c>
      <c r="F94" s="520" t="str">
        <f>IF(E94="","",VLOOKUP($B94,'F-1 Off Site River Baseline'!$C$9:$R$257,5,FALSE))</f>
        <v/>
      </c>
      <c r="G94" s="520" t="str">
        <f>IF(F94="","",VLOOKUP($B94,'F-1 Off Site River Baseline'!$C$9:$R$257,6,FALSE))</f>
        <v/>
      </c>
      <c r="H94" s="520" t="str">
        <f>IF(G94="","",VLOOKUP($B94,'F-1 Off Site River Baseline'!$C$9:$R$257,7,FALSE))</f>
        <v/>
      </c>
      <c r="I94" s="520" t="str">
        <f>IF(H94="","",VLOOKUP($B94,'F-1 Off Site River Baseline'!$C$9:$R$257,8,FALSE))</f>
        <v/>
      </c>
      <c r="J94" s="520" t="str">
        <f>IF(I94="","",VLOOKUP($B94,'F-1 Off Site River Baseline'!$C$9:$R$257,9,FALSE))</f>
        <v/>
      </c>
      <c r="K94" s="520" t="str">
        <f>IF(J94="","",VLOOKUP($B94,'F-1 Off Site River Baseline'!$C$9:$R$257,10,FALSE))</f>
        <v/>
      </c>
      <c r="L94" s="520" t="str">
        <f>IF(B94="","",VLOOKUP($B94,'C-1 Site River Baseline'!$C$9:$R$257,15,FALSE))</f>
        <v/>
      </c>
      <c r="M94" s="524" t="str">
        <f>IF(L94="","",VLOOKUP($B94,'F-1 Off Site River Baseline'!$C$9:$R$257,16,FALSE))</f>
        <v/>
      </c>
      <c r="N94" s="418" t="str">
        <f t="shared" si="12"/>
        <v/>
      </c>
      <c r="O94" s="498" t="str">
        <f t="shared" si="13"/>
        <v/>
      </c>
      <c r="P94" s="499" t="str">
        <f>IF(C94="","",IF(AND(LEFT(C94,55)&lt;&gt;LEFT(N94,55),O94="High - High"),"Error - Not like for like ▲",IF(AND(F94=S94,H94&gt;U94),"Error - Can not reduce condition ▲",IF(AND(F94=S94,H94=U94,AJ94='F-1 Off Site River Baseline'!N92,'F-1 Off Site River Baseline'!P92=AL94),"Error - No enhancement ▲",IF(AND(C94&lt;&gt;N94,F94&lt;S94),"Lower Distinctiveness Habitat"&amp;" - "&amp;T94,G94&amp;" - "&amp;T94)))))</f>
        <v/>
      </c>
      <c r="Q94" s="505" t="str">
        <f>IF(N94="","",VLOOKUP(B94,'F-1 Off Site River Baseline'!$C$10:$AA$257,19,FALSE))</f>
        <v/>
      </c>
      <c r="R94" s="498" t="str">
        <f>IF(N94="","",VLOOKUP(N94,'G-7 Rivers Data'!$B$2:$G$8,2,FALSE))</f>
        <v/>
      </c>
      <c r="S94" s="499" t="str">
        <f>IFERROR(VLOOKUP(R94,'G-7 Rivers Data'!$C$4:$D$8,2,FALSE),"")</f>
        <v/>
      </c>
      <c r="T94" s="145"/>
      <c r="U94" s="499" t="str">
        <f>IFERROR(INDEX('G-7 Rivers Data'!$H$4:$L$8,MATCH(N94,'G-7 Rivers Data'!$B$4:$B$8,0),MATCH(T94,'G-7 Rivers Data'!$H$3:$L$3,0)),"")</f>
        <v/>
      </c>
      <c r="V94" s="154"/>
      <c r="W94" s="520" t="str">
        <f>IF(V94="","",IF(VLOOKUP(V94,'G-7 Rivers Data'!$AG$4:$AI$9,2,FALSE)=0,"Spatial Data Missing ⚠",VLOOKUP(V94,'G-7 Rivers Data'!$AG$4:$AI$9,2,FALSE)))</f>
        <v/>
      </c>
      <c r="X94" s="524" t="str">
        <f>IF(V94="","",IF(VLOOKUP(V94,'G-7 Rivers Data'!$AG$4:$AI$9,3,FALSE)=0,"Spatial Data Missing ⚠",VLOOKUP(V94,'G-7 Rivers Data'!$AG$4:$AI$9,3,FALSE)))</f>
        <v/>
      </c>
      <c r="Y94" s="537" t="str">
        <f>IFERROR(IF(OR(LEFT(P94,5)="Error ▲",LEFT(O94,5)="Error ▲"),"Check Data ⚠",IF(F94&lt;S94,'G-7 Rivers Data'!$R$3,INDEX('G-7 Rivers Data'!$U$5:$Y$9,MATCH(G94,'G-7 Rivers Data'!$T$5:$T$9,0),MATCH(T94,'G-7 Rivers Data'!$U$4:$Y$4,0)))),"")</f>
        <v/>
      </c>
      <c r="Z94" s="203"/>
      <c r="AA94" s="203"/>
      <c r="AB94" s="534" t="str">
        <f t="shared" si="8"/>
        <v/>
      </c>
      <c r="AC94" s="521" t="str">
        <f t="shared" si="9"/>
        <v/>
      </c>
      <c r="AD94" s="564" t="str">
        <f>IFERROR(IF(AC94="Check Data ⚠","Check Data ⚠",VLOOKUP(AC94,'G-4 Temporal multipliers'!$A$4:$C$37,3,FALSE)),"")</f>
        <v/>
      </c>
      <c r="AE94" s="537" t="str">
        <f>IF(N94="","",VLOOKUP(N94,'G-7 Rivers Data'!$B$4:$G$8,5,FALSE))</f>
        <v/>
      </c>
      <c r="AF94" s="520" t="str">
        <f t="shared" si="10"/>
        <v/>
      </c>
      <c r="AG94" s="520" t="str">
        <f t="shared" si="14"/>
        <v/>
      </c>
      <c r="AH94" s="524" t="str">
        <f t="shared" si="11"/>
        <v/>
      </c>
      <c r="AI94" s="145"/>
      <c r="AJ94" s="499" t="str">
        <f>IF(AI94="","",IF(VLOOKUP(AI94,'G-7 Rivers Data'!$AA$4:$AB$7,2,FALSE)=0,"Spatial Data Missing ⚠",VLOOKUP(AI94,'G-7 Rivers Data'!$AA$4:$AB$7,2,FALSE)))</f>
        <v/>
      </c>
      <c r="AK94" s="155"/>
      <c r="AL94" s="536" t="str">
        <f>IF(AK94="","",IF(VLOOKUP(AK94,'G-7 Rivers Data'!$AD$4:$AE$8,2,FALSE)=0,"Spatial Data Missing ⚠",VLOOKUP(AK94,'G-7 Rivers Data'!$AD$4:$AE$8,2,FALSE)))</f>
        <v/>
      </c>
      <c r="AM94" s="154"/>
      <c r="AN94" s="524" t="str">
        <f>IF(AM94="","",VLOOKUP(AM94,'G-7 Rivers Data'!$AO$4:$AP$7,2,FALSE))</f>
        <v/>
      </c>
      <c r="AO94" s="545" t="str">
        <f t="shared" si="15"/>
        <v/>
      </c>
      <c r="AP94" s="149"/>
      <c r="AQ94" s="150"/>
      <c r="AX94" s="31" t="str">
        <f>IFERROR(INDEX('G-7 Rivers Data'!$AZ$3:$AZ$7,MATCH(N94,'G-7 Rivers Data'!$AY$3:$AY$7,0)),"")</f>
        <v/>
      </c>
    </row>
    <row r="95" spans="2:50" ht="14" x14ac:dyDescent="0.3">
      <c r="B95" s="531" t="str">
        <f>'F-1 Off Site River Baseline'!AN93</f>
        <v/>
      </c>
      <c r="C95" s="520" t="str">
        <f>IF(B95="","",VLOOKUP($B95,'F-1 Off Site River Baseline'!$C$9:$R$257,2,FALSE))</f>
        <v/>
      </c>
      <c r="D95" s="520" t="str">
        <f>IF(C95="","",VLOOKUP($B95,'F-1 Off Site River Baseline'!$C$9:$R$257,3,FALSE))</f>
        <v/>
      </c>
      <c r="E95" s="520" t="str">
        <f>IF(D95="","",VLOOKUP($B95,'F-1 Off Site River Baseline'!$C$9:$R$257,4,FALSE))</f>
        <v/>
      </c>
      <c r="F95" s="520" t="str">
        <f>IF(E95="","",VLOOKUP($B95,'F-1 Off Site River Baseline'!$C$9:$R$257,5,FALSE))</f>
        <v/>
      </c>
      <c r="G95" s="520" t="str">
        <f>IF(F95="","",VLOOKUP($B95,'F-1 Off Site River Baseline'!$C$9:$R$257,6,FALSE))</f>
        <v/>
      </c>
      <c r="H95" s="520" t="str">
        <f>IF(G95="","",VLOOKUP($B95,'F-1 Off Site River Baseline'!$C$9:$R$257,7,FALSE))</f>
        <v/>
      </c>
      <c r="I95" s="520" t="str">
        <f>IF(H95="","",VLOOKUP($B95,'F-1 Off Site River Baseline'!$C$9:$R$257,8,FALSE))</f>
        <v/>
      </c>
      <c r="J95" s="520" t="str">
        <f>IF(I95="","",VLOOKUP($B95,'F-1 Off Site River Baseline'!$C$9:$R$257,9,FALSE))</f>
        <v/>
      </c>
      <c r="K95" s="520" t="str">
        <f>IF(J95="","",VLOOKUP($B95,'F-1 Off Site River Baseline'!$C$9:$R$257,10,FALSE))</f>
        <v/>
      </c>
      <c r="L95" s="520" t="str">
        <f>IF(B95="","",VLOOKUP($B95,'C-1 Site River Baseline'!$C$9:$R$257,15,FALSE))</f>
        <v/>
      </c>
      <c r="M95" s="524" t="str">
        <f>IF(L95="","",VLOOKUP($B95,'F-1 Off Site River Baseline'!$C$9:$R$257,16,FALSE))</f>
        <v/>
      </c>
      <c r="N95" s="418" t="str">
        <f t="shared" si="12"/>
        <v/>
      </c>
      <c r="O95" s="498" t="str">
        <f t="shared" si="13"/>
        <v/>
      </c>
      <c r="P95" s="499" t="str">
        <f>IF(C95="","",IF(AND(LEFT(C95,55)&lt;&gt;LEFT(N95,55),O95="High - High"),"Error - Not like for like ▲",IF(AND(F95=S95,H95&gt;U95),"Error - Can not reduce condition ▲",IF(AND(F95=S95,H95=U95,AJ95='F-1 Off Site River Baseline'!N93,'F-1 Off Site River Baseline'!P93=AL95),"Error - No enhancement ▲",IF(AND(C95&lt;&gt;N95,F95&lt;S95),"Lower Distinctiveness Habitat"&amp;" - "&amp;T95,G95&amp;" - "&amp;T95)))))</f>
        <v/>
      </c>
      <c r="Q95" s="505" t="str">
        <f>IF(N95="","",VLOOKUP(B95,'F-1 Off Site River Baseline'!$C$10:$AA$257,19,FALSE))</f>
        <v/>
      </c>
      <c r="R95" s="498" t="str">
        <f>IF(N95="","",VLOOKUP(N95,'G-7 Rivers Data'!$B$2:$G$8,2,FALSE))</f>
        <v/>
      </c>
      <c r="S95" s="499" t="str">
        <f>IFERROR(VLOOKUP(R95,'G-7 Rivers Data'!$C$4:$D$8,2,FALSE),"")</f>
        <v/>
      </c>
      <c r="T95" s="145"/>
      <c r="U95" s="499" t="str">
        <f>IFERROR(INDEX('G-7 Rivers Data'!$H$4:$L$8,MATCH(N95,'G-7 Rivers Data'!$B$4:$B$8,0),MATCH(T95,'G-7 Rivers Data'!$H$3:$L$3,0)),"")</f>
        <v/>
      </c>
      <c r="V95" s="154"/>
      <c r="W95" s="520" t="str">
        <f>IF(V95="","",IF(VLOOKUP(V95,'G-7 Rivers Data'!$AG$4:$AI$9,2,FALSE)=0,"Spatial Data Missing ⚠",VLOOKUP(V95,'G-7 Rivers Data'!$AG$4:$AI$9,2,FALSE)))</f>
        <v/>
      </c>
      <c r="X95" s="524" t="str">
        <f>IF(V95="","",IF(VLOOKUP(V95,'G-7 Rivers Data'!$AG$4:$AI$9,3,FALSE)=0,"Spatial Data Missing ⚠",VLOOKUP(V95,'G-7 Rivers Data'!$AG$4:$AI$9,3,FALSE)))</f>
        <v/>
      </c>
      <c r="Y95" s="537" t="str">
        <f>IFERROR(IF(OR(LEFT(P95,5)="Error ▲",LEFT(O95,5)="Error ▲"),"Check Data ⚠",IF(F95&lt;S95,'G-7 Rivers Data'!$R$3,INDEX('G-7 Rivers Data'!$U$5:$Y$9,MATCH(G95,'G-7 Rivers Data'!$T$5:$T$9,0),MATCH(T95,'G-7 Rivers Data'!$U$4:$Y$4,0)))),"")</f>
        <v/>
      </c>
      <c r="Z95" s="203"/>
      <c r="AA95" s="203"/>
      <c r="AB95" s="534" t="str">
        <f t="shared" si="8"/>
        <v/>
      </c>
      <c r="AC95" s="521" t="str">
        <f t="shared" si="9"/>
        <v/>
      </c>
      <c r="AD95" s="564" t="str">
        <f>IFERROR(IF(AC95="Check Data ⚠","Check Data ⚠",VLOOKUP(AC95,'G-4 Temporal multipliers'!$A$4:$C$37,3,FALSE)),"")</f>
        <v/>
      </c>
      <c r="AE95" s="537" t="str">
        <f>IF(N95="","",VLOOKUP(N95,'G-7 Rivers Data'!$B$4:$G$8,5,FALSE))</f>
        <v/>
      </c>
      <c r="AF95" s="520" t="str">
        <f t="shared" si="10"/>
        <v/>
      </c>
      <c r="AG95" s="520" t="str">
        <f t="shared" si="14"/>
        <v/>
      </c>
      <c r="AH95" s="524" t="str">
        <f t="shared" si="11"/>
        <v/>
      </c>
      <c r="AI95" s="145"/>
      <c r="AJ95" s="499" t="str">
        <f>IF(AI95="","",IF(VLOOKUP(AI95,'G-7 Rivers Data'!$AA$4:$AB$7,2,FALSE)=0,"Spatial Data Missing ⚠",VLOOKUP(AI95,'G-7 Rivers Data'!$AA$4:$AB$7,2,FALSE)))</f>
        <v/>
      </c>
      <c r="AK95" s="155"/>
      <c r="AL95" s="536" t="str">
        <f>IF(AK95="","",IF(VLOOKUP(AK95,'G-7 Rivers Data'!$AD$4:$AE$8,2,FALSE)=0,"Spatial Data Missing ⚠",VLOOKUP(AK95,'G-7 Rivers Data'!$AD$4:$AE$8,2,FALSE)))</f>
        <v/>
      </c>
      <c r="AM95" s="154"/>
      <c r="AN95" s="524" t="str">
        <f>IF(AM95="","",VLOOKUP(AM95,'G-7 Rivers Data'!$AO$4:$AP$7,2,FALSE))</f>
        <v/>
      </c>
      <c r="AO95" s="545" t="str">
        <f t="shared" si="15"/>
        <v/>
      </c>
      <c r="AP95" s="149"/>
      <c r="AQ95" s="150"/>
      <c r="AX95" s="31" t="str">
        <f>IFERROR(INDEX('G-7 Rivers Data'!$AZ$3:$AZ$7,MATCH(N95,'G-7 Rivers Data'!$AY$3:$AY$7,0)),"")</f>
        <v/>
      </c>
    </row>
    <row r="96" spans="2:50" ht="14" x14ac:dyDescent="0.3">
      <c r="B96" s="531" t="str">
        <f>'F-1 Off Site River Baseline'!AN94</f>
        <v/>
      </c>
      <c r="C96" s="520" t="str">
        <f>IF(B96="","",VLOOKUP($B96,'F-1 Off Site River Baseline'!$C$9:$R$257,2,FALSE))</f>
        <v/>
      </c>
      <c r="D96" s="520" t="str">
        <f>IF(C96="","",VLOOKUP($B96,'F-1 Off Site River Baseline'!$C$9:$R$257,3,FALSE))</f>
        <v/>
      </c>
      <c r="E96" s="520" t="str">
        <f>IF(D96="","",VLOOKUP($B96,'F-1 Off Site River Baseline'!$C$9:$R$257,4,FALSE))</f>
        <v/>
      </c>
      <c r="F96" s="520" t="str">
        <f>IF(E96="","",VLOOKUP($B96,'F-1 Off Site River Baseline'!$C$9:$R$257,5,FALSE))</f>
        <v/>
      </c>
      <c r="G96" s="520" t="str">
        <f>IF(F96="","",VLOOKUP($B96,'F-1 Off Site River Baseline'!$C$9:$R$257,6,FALSE))</f>
        <v/>
      </c>
      <c r="H96" s="520" t="str">
        <f>IF(G96="","",VLOOKUP($B96,'F-1 Off Site River Baseline'!$C$9:$R$257,7,FALSE))</f>
        <v/>
      </c>
      <c r="I96" s="520" t="str">
        <f>IF(H96="","",VLOOKUP($B96,'F-1 Off Site River Baseline'!$C$9:$R$257,8,FALSE))</f>
        <v/>
      </c>
      <c r="J96" s="520" t="str">
        <f>IF(I96="","",VLOOKUP($B96,'F-1 Off Site River Baseline'!$C$9:$R$257,9,FALSE))</f>
        <v/>
      </c>
      <c r="K96" s="520" t="str">
        <f>IF(J96="","",VLOOKUP($B96,'F-1 Off Site River Baseline'!$C$9:$R$257,10,FALSE))</f>
        <v/>
      </c>
      <c r="L96" s="520" t="str">
        <f>IF(B96="","",VLOOKUP($B96,'C-1 Site River Baseline'!$C$9:$R$257,15,FALSE))</f>
        <v/>
      </c>
      <c r="M96" s="524" t="str">
        <f>IF(L96="","",VLOOKUP($B96,'F-1 Off Site River Baseline'!$C$9:$R$257,16,FALSE))</f>
        <v/>
      </c>
      <c r="N96" s="418" t="str">
        <f t="shared" si="12"/>
        <v/>
      </c>
      <c r="O96" s="498" t="str">
        <f t="shared" si="13"/>
        <v/>
      </c>
      <c r="P96" s="499" t="str">
        <f>IF(C96="","",IF(AND(LEFT(C96,55)&lt;&gt;LEFT(N96,55),O96="High - High"),"Error - Not like for like ▲",IF(AND(F96=S96,H96&gt;U96),"Error - Can not reduce condition ▲",IF(AND(F96=S96,H96=U96,AJ96='F-1 Off Site River Baseline'!N94,'F-1 Off Site River Baseline'!P94=AL96),"Error - No enhancement ▲",IF(AND(C96&lt;&gt;N96,F96&lt;S96),"Lower Distinctiveness Habitat"&amp;" - "&amp;T96,G96&amp;" - "&amp;T96)))))</f>
        <v/>
      </c>
      <c r="Q96" s="505" t="str">
        <f>IF(N96="","",VLOOKUP(B96,'F-1 Off Site River Baseline'!$C$10:$AA$257,19,FALSE))</f>
        <v/>
      </c>
      <c r="R96" s="498" t="str">
        <f>IF(N96="","",VLOOKUP(N96,'G-7 Rivers Data'!$B$2:$G$8,2,FALSE))</f>
        <v/>
      </c>
      <c r="S96" s="499" t="str">
        <f>IFERROR(VLOOKUP(R96,'G-7 Rivers Data'!$C$4:$D$8,2,FALSE),"")</f>
        <v/>
      </c>
      <c r="T96" s="145"/>
      <c r="U96" s="499" t="str">
        <f>IFERROR(INDEX('G-7 Rivers Data'!$H$4:$L$8,MATCH(N96,'G-7 Rivers Data'!$B$4:$B$8,0),MATCH(T96,'G-7 Rivers Data'!$H$3:$L$3,0)),"")</f>
        <v/>
      </c>
      <c r="V96" s="154"/>
      <c r="W96" s="520" t="str">
        <f>IF(V96="","",IF(VLOOKUP(V96,'G-7 Rivers Data'!$AG$4:$AI$9,2,FALSE)=0,"Spatial Data Missing ⚠",VLOOKUP(V96,'G-7 Rivers Data'!$AG$4:$AI$9,2,FALSE)))</f>
        <v/>
      </c>
      <c r="X96" s="524" t="str">
        <f>IF(V96="","",IF(VLOOKUP(V96,'G-7 Rivers Data'!$AG$4:$AI$9,3,FALSE)=0,"Spatial Data Missing ⚠",VLOOKUP(V96,'G-7 Rivers Data'!$AG$4:$AI$9,3,FALSE)))</f>
        <v/>
      </c>
      <c r="Y96" s="537" t="str">
        <f>IFERROR(IF(OR(LEFT(P96,5)="Error ▲",LEFT(O96,5)="Error ▲"),"Check Data ⚠",IF(F96&lt;S96,'G-7 Rivers Data'!$R$3,INDEX('G-7 Rivers Data'!$U$5:$Y$9,MATCH(G96,'G-7 Rivers Data'!$T$5:$T$9,0),MATCH(T96,'G-7 Rivers Data'!$U$4:$Y$4,0)))),"")</f>
        <v/>
      </c>
      <c r="Z96" s="203"/>
      <c r="AA96" s="203"/>
      <c r="AB96" s="534" t="str">
        <f t="shared" si="8"/>
        <v/>
      </c>
      <c r="AC96" s="521" t="str">
        <f t="shared" si="9"/>
        <v/>
      </c>
      <c r="AD96" s="564" t="str">
        <f>IFERROR(IF(AC96="Check Data ⚠","Check Data ⚠",VLOOKUP(AC96,'G-4 Temporal multipliers'!$A$4:$C$37,3,FALSE)),"")</f>
        <v/>
      </c>
      <c r="AE96" s="537" t="str">
        <f>IF(N96="","",VLOOKUP(N96,'G-7 Rivers Data'!$B$4:$G$8,5,FALSE))</f>
        <v/>
      </c>
      <c r="AF96" s="520" t="str">
        <f t="shared" si="10"/>
        <v/>
      </c>
      <c r="AG96" s="520" t="str">
        <f t="shared" si="14"/>
        <v/>
      </c>
      <c r="AH96" s="524" t="str">
        <f t="shared" si="11"/>
        <v/>
      </c>
      <c r="AI96" s="145"/>
      <c r="AJ96" s="499" t="str">
        <f>IF(AI96="","",IF(VLOOKUP(AI96,'G-7 Rivers Data'!$AA$4:$AB$7,2,FALSE)=0,"Spatial Data Missing ⚠",VLOOKUP(AI96,'G-7 Rivers Data'!$AA$4:$AB$7,2,FALSE)))</f>
        <v/>
      </c>
      <c r="AK96" s="155"/>
      <c r="AL96" s="536" t="str">
        <f>IF(AK96="","",IF(VLOOKUP(AK96,'G-7 Rivers Data'!$AD$4:$AE$8,2,FALSE)=0,"Spatial Data Missing ⚠",VLOOKUP(AK96,'G-7 Rivers Data'!$AD$4:$AE$8,2,FALSE)))</f>
        <v/>
      </c>
      <c r="AM96" s="154"/>
      <c r="AN96" s="524" t="str">
        <f>IF(AM96="","",VLOOKUP(AM96,'G-7 Rivers Data'!$AO$4:$AP$7,2,FALSE))</f>
        <v/>
      </c>
      <c r="AO96" s="545" t="str">
        <f t="shared" si="15"/>
        <v/>
      </c>
      <c r="AP96" s="149"/>
      <c r="AQ96" s="150"/>
      <c r="AX96" s="31" t="str">
        <f>IFERROR(INDEX('G-7 Rivers Data'!$AZ$3:$AZ$7,MATCH(N96,'G-7 Rivers Data'!$AY$3:$AY$7,0)),"")</f>
        <v/>
      </c>
    </row>
    <row r="97" spans="2:50" ht="14" x14ac:dyDescent="0.3">
      <c r="B97" s="531" t="str">
        <f>'F-1 Off Site River Baseline'!AN95</f>
        <v/>
      </c>
      <c r="C97" s="520" t="str">
        <f>IF(B97="","",VLOOKUP($B97,'F-1 Off Site River Baseline'!$C$9:$R$257,2,FALSE))</f>
        <v/>
      </c>
      <c r="D97" s="520" t="str">
        <f>IF(C97="","",VLOOKUP($B97,'F-1 Off Site River Baseline'!$C$9:$R$257,3,FALSE))</f>
        <v/>
      </c>
      <c r="E97" s="520" t="str">
        <f>IF(D97="","",VLOOKUP($B97,'F-1 Off Site River Baseline'!$C$9:$R$257,4,FALSE))</f>
        <v/>
      </c>
      <c r="F97" s="520" t="str">
        <f>IF(E97="","",VLOOKUP($B97,'F-1 Off Site River Baseline'!$C$9:$R$257,5,FALSE))</f>
        <v/>
      </c>
      <c r="G97" s="520" t="str">
        <f>IF(F97="","",VLOOKUP($B97,'F-1 Off Site River Baseline'!$C$9:$R$257,6,FALSE))</f>
        <v/>
      </c>
      <c r="H97" s="520" t="str">
        <f>IF(G97="","",VLOOKUP($B97,'F-1 Off Site River Baseline'!$C$9:$R$257,7,FALSE))</f>
        <v/>
      </c>
      <c r="I97" s="520" t="str">
        <f>IF(H97="","",VLOOKUP($B97,'F-1 Off Site River Baseline'!$C$9:$R$257,8,FALSE))</f>
        <v/>
      </c>
      <c r="J97" s="520" t="str">
        <f>IF(I97="","",VLOOKUP($B97,'F-1 Off Site River Baseline'!$C$9:$R$257,9,FALSE))</f>
        <v/>
      </c>
      <c r="K97" s="520" t="str">
        <f>IF(J97="","",VLOOKUP($B97,'F-1 Off Site River Baseline'!$C$9:$R$257,10,FALSE))</f>
        <v/>
      </c>
      <c r="L97" s="520" t="str">
        <f>IF(B97="","",VLOOKUP($B97,'C-1 Site River Baseline'!$C$9:$R$257,15,FALSE))</f>
        <v/>
      </c>
      <c r="M97" s="524" t="str">
        <f>IF(L97="","",VLOOKUP($B97,'F-1 Off Site River Baseline'!$C$9:$R$257,16,FALSE))</f>
        <v/>
      </c>
      <c r="N97" s="418" t="str">
        <f t="shared" si="12"/>
        <v/>
      </c>
      <c r="O97" s="498" t="str">
        <f t="shared" si="13"/>
        <v/>
      </c>
      <c r="P97" s="499" t="str">
        <f>IF(C97="","",IF(AND(LEFT(C97,55)&lt;&gt;LEFT(N97,55),O97="High - High"),"Error - Not like for like ▲",IF(AND(F97=S97,H97&gt;U97),"Error - Can not reduce condition ▲",IF(AND(F97=S97,H97=U97,AJ97='F-1 Off Site River Baseline'!N95,'F-1 Off Site River Baseline'!P95=AL97),"Error - No enhancement ▲",IF(AND(C97&lt;&gt;N97,F97&lt;S97),"Lower Distinctiveness Habitat"&amp;" - "&amp;T97,G97&amp;" - "&amp;T97)))))</f>
        <v/>
      </c>
      <c r="Q97" s="505" t="str">
        <f>IF(N97="","",VLOOKUP(B97,'F-1 Off Site River Baseline'!$C$10:$AA$257,19,FALSE))</f>
        <v/>
      </c>
      <c r="R97" s="498" t="str">
        <f>IF(N97="","",VLOOKUP(N97,'G-7 Rivers Data'!$B$2:$G$8,2,FALSE))</f>
        <v/>
      </c>
      <c r="S97" s="499" t="str">
        <f>IFERROR(VLOOKUP(R97,'G-7 Rivers Data'!$C$4:$D$8,2,FALSE),"")</f>
        <v/>
      </c>
      <c r="T97" s="145"/>
      <c r="U97" s="499" t="str">
        <f>IFERROR(INDEX('G-7 Rivers Data'!$H$4:$L$8,MATCH(N97,'G-7 Rivers Data'!$B$4:$B$8,0),MATCH(T97,'G-7 Rivers Data'!$H$3:$L$3,0)),"")</f>
        <v/>
      </c>
      <c r="V97" s="154"/>
      <c r="W97" s="520" t="str">
        <f>IF(V97="","",IF(VLOOKUP(V97,'G-7 Rivers Data'!$AG$4:$AI$9,2,FALSE)=0,"Spatial Data Missing ⚠",VLOOKUP(V97,'G-7 Rivers Data'!$AG$4:$AI$9,2,FALSE)))</f>
        <v/>
      </c>
      <c r="X97" s="524" t="str">
        <f>IF(V97="","",IF(VLOOKUP(V97,'G-7 Rivers Data'!$AG$4:$AI$9,3,FALSE)=0,"Spatial Data Missing ⚠",VLOOKUP(V97,'G-7 Rivers Data'!$AG$4:$AI$9,3,FALSE)))</f>
        <v/>
      </c>
      <c r="Y97" s="537" t="str">
        <f>IFERROR(IF(OR(LEFT(P97,5)="Error ▲",LEFT(O97,5)="Error ▲"),"Check Data ⚠",IF(F97&lt;S97,'G-7 Rivers Data'!$R$3,INDEX('G-7 Rivers Data'!$U$5:$Y$9,MATCH(G97,'G-7 Rivers Data'!$T$5:$T$9,0),MATCH(T97,'G-7 Rivers Data'!$U$4:$Y$4,0)))),"")</f>
        <v/>
      </c>
      <c r="Z97" s="203"/>
      <c r="AA97" s="203"/>
      <c r="AB97" s="534" t="str">
        <f t="shared" si="8"/>
        <v/>
      </c>
      <c r="AC97" s="521" t="str">
        <f t="shared" si="9"/>
        <v/>
      </c>
      <c r="AD97" s="564" t="str">
        <f>IFERROR(IF(AC97="Check Data ⚠","Check Data ⚠",VLOOKUP(AC97,'G-4 Temporal multipliers'!$A$4:$C$37,3,FALSE)),"")</f>
        <v/>
      </c>
      <c r="AE97" s="537" t="str">
        <f>IF(N97="","",VLOOKUP(N97,'G-7 Rivers Data'!$B$4:$G$8,5,FALSE))</f>
        <v/>
      </c>
      <c r="AF97" s="520" t="str">
        <f t="shared" si="10"/>
        <v/>
      </c>
      <c r="AG97" s="520" t="str">
        <f t="shared" si="14"/>
        <v/>
      </c>
      <c r="AH97" s="524" t="str">
        <f t="shared" si="11"/>
        <v/>
      </c>
      <c r="AI97" s="145"/>
      <c r="AJ97" s="499" t="str">
        <f>IF(AI97="","",IF(VLOOKUP(AI97,'G-7 Rivers Data'!$AA$4:$AB$7,2,FALSE)=0,"Spatial Data Missing ⚠",VLOOKUP(AI97,'G-7 Rivers Data'!$AA$4:$AB$7,2,FALSE)))</f>
        <v/>
      </c>
      <c r="AK97" s="155"/>
      <c r="AL97" s="536" t="str">
        <f>IF(AK97="","",IF(VLOOKUP(AK97,'G-7 Rivers Data'!$AD$4:$AE$8,2,FALSE)=0,"Spatial Data Missing ⚠",VLOOKUP(AK97,'G-7 Rivers Data'!$AD$4:$AE$8,2,FALSE)))</f>
        <v/>
      </c>
      <c r="AM97" s="154"/>
      <c r="AN97" s="524" t="str">
        <f>IF(AM97="","",VLOOKUP(AM97,'G-7 Rivers Data'!$AO$4:$AP$7,2,FALSE))</f>
        <v/>
      </c>
      <c r="AO97" s="545" t="str">
        <f t="shared" si="15"/>
        <v/>
      </c>
      <c r="AP97" s="149"/>
      <c r="AQ97" s="150"/>
      <c r="AX97" s="31" t="str">
        <f>IFERROR(INDEX('G-7 Rivers Data'!$AZ$3:$AZ$7,MATCH(N97,'G-7 Rivers Data'!$AY$3:$AY$7,0)),"")</f>
        <v/>
      </c>
    </row>
    <row r="98" spans="2:50" ht="14" x14ac:dyDescent="0.3">
      <c r="B98" s="531" t="str">
        <f>'F-1 Off Site River Baseline'!AN96</f>
        <v/>
      </c>
      <c r="C98" s="520" t="str">
        <f>IF(B98="","",VLOOKUP($B98,'F-1 Off Site River Baseline'!$C$9:$R$257,2,FALSE))</f>
        <v/>
      </c>
      <c r="D98" s="520" t="str">
        <f>IF(C98="","",VLOOKUP($B98,'F-1 Off Site River Baseline'!$C$9:$R$257,3,FALSE))</f>
        <v/>
      </c>
      <c r="E98" s="520" t="str">
        <f>IF(D98="","",VLOOKUP($B98,'F-1 Off Site River Baseline'!$C$9:$R$257,4,FALSE))</f>
        <v/>
      </c>
      <c r="F98" s="520" t="str">
        <f>IF(E98="","",VLOOKUP($B98,'F-1 Off Site River Baseline'!$C$9:$R$257,5,FALSE))</f>
        <v/>
      </c>
      <c r="G98" s="520" t="str">
        <f>IF(F98="","",VLOOKUP($B98,'F-1 Off Site River Baseline'!$C$9:$R$257,6,FALSE))</f>
        <v/>
      </c>
      <c r="H98" s="520" t="str">
        <f>IF(G98="","",VLOOKUP($B98,'F-1 Off Site River Baseline'!$C$9:$R$257,7,FALSE))</f>
        <v/>
      </c>
      <c r="I98" s="520" t="str">
        <f>IF(H98="","",VLOOKUP($B98,'F-1 Off Site River Baseline'!$C$9:$R$257,8,FALSE))</f>
        <v/>
      </c>
      <c r="J98" s="520" t="str">
        <f>IF(I98="","",VLOOKUP($B98,'F-1 Off Site River Baseline'!$C$9:$R$257,9,FALSE))</f>
        <v/>
      </c>
      <c r="K98" s="520" t="str">
        <f>IF(J98="","",VLOOKUP($B98,'F-1 Off Site River Baseline'!$C$9:$R$257,10,FALSE))</f>
        <v/>
      </c>
      <c r="L98" s="520" t="str">
        <f>IF(B98="","",VLOOKUP($B98,'C-1 Site River Baseline'!$C$9:$R$257,15,FALSE))</f>
        <v/>
      </c>
      <c r="M98" s="524" t="str">
        <f>IF(L98="","",VLOOKUP($B98,'F-1 Off Site River Baseline'!$C$9:$R$257,16,FALSE))</f>
        <v/>
      </c>
      <c r="N98" s="418" t="str">
        <f t="shared" si="12"/>
        <v/>
      </c>
      <c r="O98" s="498" t="str">
        <f t="shared" si="13"/>
        <v/>
      </c>
      <c r="P98" s="499" t="str">
        <f>IF(C98="","",IF(AND(LEFT(C98,55)&lt;&gt;LEFT(N98,55),O98="High - High"),"Error - Not like for like ▲",IF(AND(F98=S98,H98&gt;U98),"Error - Can not reduce condition ▲",IF(AND(F98=S98,H98=U98,AJ98='F-1 Off Site River Baseline'!N96,'F-1 Off Site River Baseline'!P96=AL98),"Error - No enhancement ▲",IF(AND(C98&lt;&gt;N98,F98&lt;S98),"Lower Distinctiveness Habitat"&amp;" - "&amp;T98,G98&amp;" - "&amp;T98)))))</f>
        <v/>
      </c>
      <c r="Q98" s="505" t="str">
        <f>IF(N98="","",VLOOKUP(B98,'F-1 Off Site River Baseline'!$C$10:$AA$257,19,FALSE))</f>
        <v/>
      </c>
      <c r="R98" s="498" t="str">
        <f>IF(N98="","",VLOOKUP(N98,'G-7 Rivers Data'!$B$2:$G$8,2,FALSE))</f>
        <v/>
      </c>
      <c r="S98" s="499" t="str">
        <f>IFERROR(VLOOKUP(R98,'G-7 Rivers Data'!$C$4:$D$8,2,FALSE),"")</f>
        <v/>
      </c>
      <c r="T98" s="145"/>
      <c r="U98" s="499" t="str">
        <f>IFERROR(INDEX('G-7 Rivers Data'!$H$4:$L$8,MATCH(N98,'G-7 Rivers Data'!$B$4:$B$8,0),MATCH(T98,'G-7 Rivers Data'!$H$3:$L$3,0)),"")</f>
        <v/>
      </c>
      <c r="V98" s="154"/>
      <c r="W98" s="520" t="str">
        <f>IF(V98="","",IF(VLOOKUP(V98,'G-7 Rivers Data'!$AG$4:$AI$9,2,FALSE)=0,"Spatial Data Missing ⚠",VLOOKUP(V98,'G-7 Rivers Data'!$AG$4:$AI$9,2,FALSE)))</f>
        <v/>
      </c>
      <c r="X98" s="524" t="str">
        <f>IF(V98="","",IF(VLOOKUP(V98,'G-7 Rivers Data'!$AG$4:$AI$9,3,FALSE)=0,"Spatial Data Missing ⚠",VLOOKUP(V98,'G-7 Rivers Data'!$AG$4:$AI$9,3,FALSE)))</f>
        <v/>
      </c>
      <c r="Y98" s="537" t="str">
        <f>IFERROR(IF(OR(LEFT(P98,5)="Error ▲",LEFT(O98,5)="Error ▲"),"Check Data ⚠",IF(F98&lt;S98,'G-7 Rivers Data'!$R$3,INDEX('G-7 Rivers Data'!$U$5:$Y$9,MATCH(G98,'G-7 Rivers Data'!$T$5:$T$9,0),MATCH(T98,'G-7 Rivers Data'!$U$4:$Y$4,0)))),"")</f>
        <v/>
      </c>
      <c r="Z98" s="203"/>
      <c r="AA98" s="203"/>
      <c r="AB98" s="534" t="str">
        <f t="shared" si="8"/>
        <v/>
      </c>
      <c r="AC98" s="521" t="str">
        <f t="shared" si="9"/>
        <v/>
      </c>
      <c r="AD98" s="564" t="str">
        <f>IFERROR(IF(AC98="Check Data ⚠","Check Data ⚠",VLOOKUP(AC98,'G-4 Temporal multipliers'!$A$4:$C$37,3,FALSE)),"")</f>
        <v/>
      </c>
      <c r="AE98" s="537" t="str">
        <f>IF(N98="","",VLOOKUP(N98,'G-7 Rivers Data'!$B$4:$G$8,5,FALSE))</f>
        <v/>
      </c>
      <c r="AF98" s="520" t="str">
        <f t="shared" si="10"/>
        <v/>
      </c>
      <c r="AG98" s="520" t="str">
        <f t="shared" si="14"/>
        <v/>
      </c>
      <c r="AH98" s="524" t="str">
        <f t="shared" si="11"/>
        <v/>
      </c>
      <c r="AI98" s="145"/>
      <c r="AJ98" s="499" t="str">
        <f>IF(AI98="","",IF(VLOOKUP(AI98,'G-7 Rivers Data'!$AA$4:$AB$7,2,FALSE)=0,"Spatial Data Missing ⚠",VLOOKUP(AI98,'G-7 Rivers Data'!$AA$4:$AB$7,2,FALSE)))</f>
        <v/>
      </c>
      <c r="AK98" s="155"/>
      <c r="AL98" s="536" t="str">
        <f>IF(AK98="","",IF(VLOOKUP(AK98,'G-7 Rivers Data'!$AD$4:$AE$8,2,FALSE)=0,"Spatial Data Missing ⚠",VLOOKUP(AK98,'G-7 Rivers Data'!$AD$4:$AE$8,2,FALSE)))</f>
        <v/>
      </c>
      <c r="AM98" s="154"/>
      <c r="AN98" s="524" t="str">
        <f>IF(AM98="","",VLOOKUP(AM98,'G-7 Rivers Data'!$AO$4:$AP$7,2,FALSE))</f>
        <v/>
      </c>
      <c r="AO98" s="545" t="str">
        <f t="shared" si="15"/>
        <v/>
      </c>
      <c r="AP98" s="149"/>
      <c r="AQ98" s="150"/>
      <c r="AX98" s="31" t="str">
        <f>IFERROR(INDEX('G-7 Rivers Data'!$AZ$3:$AZ$7,MATCH(N98,'G-7 Rivers Data'!$AY$3:$AY$7,0)),"")</f>
        <v/>
      </c>
    </row>
    <row r="99" spans="2:50" ht="14" x14ac:dyDescent="0.3">
      <c r="B99" s="531" t="str">
        <f>'F-1 Off Site River Baseline'!AN97</f>
        <v/>
      </c>
      <c r="C99" s="520" t="str">
        <f>IF(B99="","",VLOOKUP($B99,'F-1 Off Site River Baseline'!$C$9:$R$257,2,FALSE))</f>
        <v/>
      </c>
      <c r="D99" s="520" t="str">
        <f>IF(C99="","",VLOOKUP($B99,'F-1 Off Site River Baseline'!$C$9:$R$257,3,FALSE))</f>
        <v/>
      </c>
      <c r="E99" s="520" t="str">
        <f>IF(D99="","",VLOOKUP($B99,'F-1 Off Site River Baseline'!$C$9:$R$257,4,FALSE))</f>
        <v/>
      </c>
      <c r="F99" s="520" t="str">
        <f>IF(E99="","",VLOOKUP($B99,'F-1 Off Site River Baseline'!$C$9:$R$257,5,FALSE))</f>
        <v/>
      </c>
      <c r="G99" s="520" t="str">
        <f>IF(F99="","",VLOOKUP($B99,'F-1 Off Site River Baseline'!$C$9:$R$257,6,FALSE))</f>
        <v/>
      </c>
      <c r="H99" s="520" t="str">
        <f>IF(G99="","",VLOOKUP($B99,'F-1 Off Site River Baseline'!$C$9:$R$257,7,FALSE))</f>
        <v/>
      </c>
      <c r="I99" s="520" t="str">
        <f>IF(H99="","",VLOOKUP($B99,'F-1 Off Site River Baseline'!$C$9:$R$257,8,FALSE))</f>
        <v/>
      </c>
      <c r="J99" s="520" t="str">
        <f>IF(I99="","",VLOOKUP($B99,'F-1 Off Site River Baseline'!$C$9:$R$257,9,FALSE))</f>
        <v/>
      </c>
      <c r="K99" s="520" t="str">
        <f>IF(J99="","",VLOOKUP($B99,'F-1 Off Site River Baseline'!$C$9:$R$257,10,FALSE))</f>
        <v/>
      </c>
      <c r="L99" s="520" t="str">
        <f>IF(B99="","",VLOOKUP($B99,'C-1 Site River Baseline'!$C$9:$R$257,15,FALSE))</f>
        <v/>
      </c>
      <c r="M99" s="524" t="str">
        <f>IF(L99="","",VLOOKUP($B99,'F-1 Off Site River Baseline'!$C$9:$R$257,16,FALSE))</f>
        <v/>
      </c>
      <c r="N99" s="418" t="str">
        <f t="shared" si="12"/>
        <v/>
      </c>
      <c r="O99" s="498" t="str">
        <f t="shared" si="13"/>
        <v/>
      </c>
      <c r="P99" s="499" t="str">
        <f>IF(C99="","",IF(AND(LEFT(C99,55)&lt;&gt;LEFT(N99,55),O99="High - High"),"Error - Not like for like ▲",IF(AND(F99=S99,H99&gt;U99),"Error - Can not reduce condition ▲",IF(AND(F99=S99,H99=U99,AJ99='F-1 Off Site River Baseline'!N97,'F-1 Off Site River Baseline'!P97=AL99),"Error - No enhancement ▲",IF(AND(C99&lt;&gt;N99,F99&lt;S99),"Lower Distinctiveness Habitat"&amp;" - "&amp;T99,G99&amp;" - "&amp;T99)))))</f>
        <v/>
      </c>
      <c r="Q99" s="505" t="str">
        <f>IF(N99="","",VLOOKUP(B99,'F-1 Off Site River Baseline'!$C$10:$AA$257,19,FALSE))</f>
        <v/>
      </c>
      <c r="R99" s="498" t="str">
        <f>IF(N99="","",VLOOKUP(N99,'G-7 Rivers Data'!$B$2:$G$8,2,FALSE))</f>
        <v/>
      </c>
      <c r="S99" s="499" t="str">
        <f>IFERROR(VLOOKUP(R99,'G-7 Rivers Data'!$C$4:$D$8,2,FALSE),"")</f>
        <v/>
      </c>
      <c r="T99" s="145"/>
      <c r="U99" s="499" t="str">
        <f>IFERROR(INDEX('G-7 Rivers Data'!$H$4:$L$8,MATCH(N99,'G-7 Rivers Data'!$B$4:$B$8,0),MATCH(T99,'G-7 Rivers Data'!$H$3:$L$3,0)),"")</f>
        <v/>
      </c>
      <c r="V99" s="154"/>
      <c r="W99" s="520" t="str">
        <f>IF(V99="","",IF(VLOOKUP(V99,'G-7 Rivers Data'!$AG$4:$AI$9,2,FALSE)=0,"Spatial Data Missing ⚠",VLOOKUP(V99,'G-7 Rivers Data'!$AG$4:$AI$9,2,FALSE)))</f>
        <v/>
      </c>
      <c r="X99" s="524" t="str">
        <f>IF(V99="","",IF(VLOOKUP(V99,'G-7 Rivers Data'!$AG$4:$AI$9,3,FALSE)=0,"Spatial Data Missing ⚠",VLOOKUP(V99,'G-7 Rivers Data'!$AG$4:$AI$9,3,FALSE)))</f>
        <v/>
      </c>
      <c r="Y99" s="537" t="str">
        <f>IFERROR(IF(OR(LEFT(P99,5)="Error ▲",LEFT(O99,5)="Error ▲"),"Check Data ⚠",IF(F99&lt;S99,'G-7 Rivers Data'!$R$3,INDEX('G-7 Rivers Data'!$U$5:$Y$9,MATCH(G99,'G-7 Rivers Data'!$T$5:$T$9,0),MATCH(T99,'G-7 Rivers Data'!$U$4:$Y$4,0)))),"")</f>
        <v/>
      </c>
      <c r="Z99" s="203"/>
      <c r="AA99" s="203"/>
      <c r="AB99" s="534" t="str">
        <f t="shared" si="8"/>
        <v/>
      </c>
      <c r="AC99" s="521" t="str">
        <f t="shared" si="9"/>
        <v/>
      </c>
      <c r="AD99" s="564" t="str">
        <f>IFERROR(IF(AC99="Check Data ⚠","Check Data ⚠",VLOOKUP(AC99,'G-4 Temporal multipliers'!$A$4:$C$37,3,FALSE)),"")</f>
        <v/>
      </c>
      <c r="AE99" s="537" t="str">
        <f>IF(N99="","",VLOOKUP(N99,'G-7 Rivers Data'!$B$4:$G$8,5,FALSE))</f>
        <v/>
      </c>
      <c r="AF99" s="520" t="str">
        <f t="shared" si="10"/>
        <v/>
      </c>
      <c r="AG99" s="520" t="str">
        <f t="shared" si="14"/>
        <v/>
      </c>
      <c r="AH99" s="524" t="str">
        <f t="shared" si="11"/>
        <v/>
      </c>
      <c r="AI99" s="145"/>
      <c r="AJ99" s="499" t="str">
        <f>IF(AI99="","",IF(VLOOKUP(AI99,'G-7 Rivers Data'!$AA$4:$AB$7,2,FALSE)=0,"Spatial Data Missing ⚠",VLOOKUP(AI99,'G-7 Rivers Data'!$AA$4:$AB$7,2,FALSE)))</f>
        <v/>
      </c>
      <c r="AK99" s="155"/>
      <c r="AL99" s="536" t="str">
        <f>IF(AK99="","",IF(VLOOKUP(AK99,'G-7 Rivers Data'!$AD$4:$AE$8,2,FALSE)=0,"Spatial Data Missing ⚠",VLOOKUP(AK99,'G-7 Rivers Data'!$AD$4:$AE$8,2,FALSE)))</f>
        <v/>
      </c>
      <c r="AM99" s="154"/>
      <c r="AN99" s="524" t="str">
        <f>IF(AM99="","",VLOOKUP(AM99,'G-7 Rivers Data'!$AO$4:$AP$7,2,FALSE))</f>
        <v/>
      </c>
      <c r="AO99" s="545" t="str">
        <f t="shared" si="15"/>
        <v/>
      </c>
      <c r="AP99" s="149"/>
      <c r="AQ99" s="150"/>
      <c r="AX99" s="31" t="str">
        <f>IFERROR(INDEX('G-7 Rivers Data'!$AZ$3:$AZ$7,MATCH(N99,'G-7 Rivers Data'!$AY$3:$AY$7,0)),"")</f>
        <v/>
      </c>
    </row>
    <row r="100" spans="2:50" ht="14" x14ac:dyDescent="0.3">
      <c r="B100" s="531" t="str">
        <f>'F-1 Off Site River Baseline'!AN98</f>
        <v/>
      </c>
      <c r="C100" s="520" t="str">
        <f>IF(B100="","",VLOOKUP($B100,'F-1 Off Site River Baseline'!$C$9:$R$257,2,FALSE))</f>
        <v/>
      </c>
      <c r="D100" s="520" t="str">
        <f>IF(C100="","",VLOOKUP($B100,'F-1 Off Site River Baseline'!$C$9:$R$257,3,FALSE))</f>
        <v/>
      </c>
      <c r="E100" s="520" t="str">
        <f>IF(D100="","",VLOOKUP($B100,'F-1 Off Site River Baseline'!$C$9:$R$257,4,FALSE))</f>
        <v/>
      </c>
      <c r="F100" s="520" t="str">
        <f>IF(E100="","",VLOOKUP($B100,'F-1 Off Site River Baseline'!$C$9:$R$257,5,FALSE))</f>
        <v/>
      </c>
      <c r="G100" s="520" t="str">
        <f>IF(F100="","",VLOOKUP($B100,'F-1 Off Site River Baseline'!$C$9:$R$257,6,FALSE))</f>
        <v/>
      </c>
      <c r="H100" s="520" t="str">
        <f>IF(G100="","",VLOOKUP($B100,'F-1 Off Site River Baseline'!$C$9:$R$257,7,FALSE))</f>
        <v/>
      </c>
      <c r="I100" s="520" t="str">
        <f>IF(H100="","",VLOOKUP($B100,'F-1 Off Site River Baseline'!$C$9:$R$257,8,FALSE))</f>
        <v/>
      </c>
      <c r="J100" s="520" t="str">
        <f>IF(I100="","",VLOOKUP($B100,'F-1 Off Site River Baseline'!$C$9:$R$257,9,FALSE))</f>
        <v/>
      </c>
      <c r="K100" s="520" t="str">
        <f>IF(J100="","",VLOOKUP($B100,'F-1 Off Site River Baseline'!$C$9:$R$257,10,FALSE))</f>
        <v/>
      </c>
      <c r="L100" s="520" t="str">
        <f>IF(B100="","",VLOOKUP($B100,'C-1 Site River Baseline'!$C$9:$R$257,15,FALSE))</f>
        <v/>
      </c>
      <c r="M100" s="524" t="str">
        <f>IF(L100="","",VLOOKUP($B100,'F-1 Off Site River Baseline'!$C$9:$R$257,16,FALSE))</f>
        <v/>
      </c>
      <c r="N100" s="418" t="str">
        <f t="shared" si="12"/>
        <v/>
      </c>
      <c r="O100" s="498" t="str">
        <f t="shared" si="13"/>
        <v/>
      </c>
      <c r="P100" s="499" t="str">
        <f>IF(C100="","",IF(AND(LEFT(C100,55)&lt;&gt;LEFT(N100,55),O100="High - High"),"Error - Not like for like ▲",IF(AND(F100=S100,H100&gt;U100),"Error - Can not reduce condition ▲",IF(AND(F100=S100,H100=U100,AJ100='F-1 Off Site River Baseline'!N98,'F-1 Off Site River Baseline'!P98=AL100),"Error - No enhancement ▲",IF(AND(C100&lt;&gt;N100,F100&lt;S100),"Lower Distinctiveness Habitat"&amp;" - "&amp;T100,G100&amp;" - "&amp;T100)))))</f>
        <v/>
      </c>
      <c r="Q100" s="505" t="str">
        <f>IF(N100="","",VLOOKUP(B100,'F-1 Off Site River Baseline'!$C$10:$AA$257,19,FALSE))</f>
        <v/>
      </c>
      <c r="R100" s="498" t="str">
        <f>IF(N100="","",VLOOKUP(N100,'G-7 Rivers Data'!$B$2:$G$8,2,FALSE))</f>
        <v/>
      </c>
      <c r="S100" s="499" t="str">
        <f>IFERROR(VLOOKUP(R100,'G-7 Rivers Data'!$C$4:$D$8,2,FALSE),"")</f>
        <v/>
      </c>
      <c r="T100" s="145"/>
      <c r="U100" s="499" t="str">
        <f>IFERROR(INDEX('G-7 Rivers Data'!$H$4:$L$8,MATCH(N100,'G-7 Rivers Data'!$B$4:$B$8,0),MATCH(T100,'G-7 Rivers Data'!$H$3:$L$3,0)),"")</f>
        <v/>
      </c>
      <c r="V100" s="154"/>
      <c r="W100" s="520" t="str">
        <f>IF(V100="","",IF(VLOOKUP(V100,'G-7 Rivers Data'!$AG$4:$AI$9,2,FALSE)=0,"Spatial Data Missing ⚠",VLOOKUP(V100,'G-7 Rivers Data'!$AG$4:$AI$9,2,FALSE)))</f>
        <v/>
      </c>
      <c r="X100" s="524" t="str">
        <f>IF(V100="","",IF(VLOOKUP(V100,'G-7 Rivers Data'!$AG$4:$AI$9,3,FALSE)=0,"Spatial Data Missing ⚠",VLOOKUP(V100,'G-7 Rivers Data'!$AG$4:$AI$9,3,FALSE)))</f>
        <v/>
      </c>
      <c r="Y100" s="537" t="str">
        <f>IFERROR(IF(OR(LEFT(P100,5)="Error ▲",LEFT(O100,5)="Error ▲"),"Check Data ⚠",IF(F100&lt;S100,'G-7 Rivers Data'!$R$3,INDEX('G-7 Rivers Data'!$U$5:$Y$9,MATCH(G100,'G-7 Rivers Data'!$T$5:$T$9,0),MATCH(T100,'G-7 Rivers Data'!$U$4:$Y$4,0)))),"")</f>
        <v/>
      </c>
      <c r="Z100" s="203"/>
      <c r="AA100" s="203"/>
      <c r="AB100" s="534" t="str">
        <f t="shared" si="8"/>
        <v/>
      </c>
      <c r="AC100" s="521" t="str">
        <f t="shared" si="9"/>
        <v/>
      </c>
      <c r="AD100" s="564" t="str">
        <f>IFERROR(IF(AC100="Check Data ⚠","Check Data ⚠",VLOOKUP(AC100,'G-4 Temporal multipliers'!$A$4:$C$37,3,FALSE)),"")</f>
        <v/>
      </c>
      <c r="AE100" s="537" t="str">
        <f>IF(N100="","",VLOOKUP(N100,'G-7 Rivers Data'!$B$4:$G$8,5,FALSE))</f>
        <v/>
      </c>
      <c r="AF100" s="520" t="str">
        <f t="shared" si="10"/>
        <v/>
      </c>
      <c r="AG100" s="520" t="str">
        <f t="shared" si="14"/>
        <v/>
      </c>
      <c r="AH100" s="524" t="str">
        <f t="shared" si="11"/>
        <v/>
      </c>
      <c r="AI100" s="145"/>
      <c r="AJ100" s="499" t="str">
        <f>IF(AI100="","",IF(VLOOKUP(AI100,'G-7 Rivers Data'!$AA$4:$AB$7,2,FALSE)=0,"Spatial Data Missing ⚠",VLOOKUP(AI100,'G-7 Rivers Data'!$AA$4:$AB$7,2,FALSE)))</f>
        <v/>
      </c>
      <c r="AK100" s="155"/>
      <c r="AL100" s="536" t="str">
        <f>IF(AK100="","",IF(VLOOKUP(AK100,'G-7 Rivers Data'!$AD$4:$AE$8,2,FALSE)=0,"Spatial Data Missing ⚠",VLOOKUP(AK100,'G-7 Rivers Data'!$AD$4:$AE$8,2,FALSE)))</f>
        <v/>
      </c>
      <c r="AM100" s="154"/>
      <c r="AN100" s="524" t="str">
        <f>IF(AM100="","",VLOOKUP(AM100,'G-7 Rivers Data'!$AO$4:$AP$7,2,FALSE))</f>
        <v/>
      </c>
      <c r="AO100" s="545" t="str">
        <f t="shared" si="15"/>
        <v/>
      </c>
      <c r="AP100" s="149"/>
      <c r="AQ100" s="150"/>
      <c r="AX100" s="31" t="str">
        <f>IFERROR(INDEX('G-7 Rivers Data'!$AZ$3:$AZ$7,MATCH(N100,'G-7 Rivers Data'!$AY$3:$AY$7,0)),"")</f>
        <v/>
      </c>
    </row>
    <row r="101" spans="2:50" ht="14" x14ac:dyDescent="0.3">
      <c r="B101" s="531" t="str">
        <f>'F-1 Off Site River Baseline'!AN99</f>
        <v/>
      </c>
      <c r="C101" s="520" t="str">
        <f>IF(B101="","",VLOOKUP($B101,'F-1 Off Site River Baseline'!$C$9:$R$257,2,FALSE))</f>
        <v/>
      </c>
      <c r="D101" s="520" t="str">
        <f>IF(C101="","",VLOOKUP($B101,'F-1 Off Site River Baseline'!$C$9:$R$257,3,FALSE))</f>
        <v/>
      </c>
      <c r="E101" s="520" t="str">
        <f>IF(D101="","",VLOOKUP($B101,'F-1 Off Site River Baseline'!$C$9:$R$257,4,FALSE))</f>
        <v/>
      </c>
      <c r="F101" s="520" t="str">
        <f>IF(E101="","",VLOOKUP($B101,'F-1 Off Site River Baseline'!$C$9:$R$257,5,FALSE))</f>
        <v/>
      </c>
      <c r="G101" s="520" t="str">
        <f>IF(F101="","",VLOOKUP($B101,'F-1 Off Site River Baseline'!$C$9:$R$257,6,FALSE))</f>
        <v/>
      </c>
      <c r="H101" s="520" t="str">
        <f>IF(G101="","",VLOOKUP($B101,'F-1 Off Site River Baseline'!$C$9:$R$257,7,FALSE))</f>
        <v/>
      </c>
      <c r="I101" s="520" t="str">
        <f>IF(H101="","",VLOOKUP($B101,'F-1 Off Site River Baseline'!$C$9:$R$257,8,FALSE))</f>
        <v/>
      </c>
      <c r="J101" s="520" t="str">
        <f>IF(I101="","",VLOOKUP($B101,'F-1 Off Site River Baseline'!$C$9:$R$257,9,FALSE))</f>
        <v/>
      </c>
      <c r="K101" s="520" t="str">
        <f>IF(J101="","",VLOOKUP($B101,'F-1 Off Site River Baseline'!$C$9:$R$257,10,FALSE))</f>
        <v/>
      </c>
      <c r="L101" s="520" t="str">
        <f>IF(B101="","",VLOOKUP($B101,'C-1 Site River Baseline'!$C$9:$R$257,15,FALSE))</f>
        <v/>
      </c>
      <c r="M101" s="524" t="str">
        <f>IF(L101="","",VLOOKUP($B101,'F-1 Off Site River Baseline'!$C$9:$R$257,16,FALSE))</f>
        <v/>
      </c>
      <c r="N101" s="418" t="str">
        <f t="shared" si="12"/>
        <v/>
      </c>
      <c r="O101" s="498" t="str">
        <f t="shared" si="13"/>
        <v/>
      </c>
      <c r="P101" s="499" t="str">
        <f>IF(C101="","",IF(AND(LEFT(C101,55)&lt;&gt;LEFT(N101,55),O101="High - High"),"Error - Not like for like ▲",IF(AND(F101=S101,H101&gt;U101),"Error - Can not reduce condition ▲",IF(AND(F101=S101,H101=U101,AJ101='F-1 Off Site River Baseline'!N99,'F-1 Off Site River Baseline'!P99=AL101),"Error - No enhancement ▲",IF(AND(C101&lt;&gt;N101,F101&lt;S101),"Lower Distinctiveness Habitat"&amp;" - "&amp;T101,G101&amp;" - "&amp;T101)))))</f>
        <v/>
      </c>
      <c r="Q101" s="505" t="str">
        <f>IF(N101="","",VLOOKUP(B101,'F-1 Off Site River Baseline'!$C$10:$AA$257,19,FALSE))</f>
        <v/>
      </c>
      <c r="R101" s="498" t="str">
        <f>IF(N101="","",VLOOKUP(N101,'G-7 Rivers Data'!$B$2:$G$8,2,FALSE))</f>
        <v/>
      </c>
      <c r="S101" s="499" t="str">
        <f>IFERROR(VLOOKUP(R101,'G-7 Rivers Data'!$C$4:$D$8,2,FALSE),"")</f>
        <v/>
      </c>
      <c r="T101" s="145"/>
      <c r="U101" s="499" t="str">
        <f>IFERROR(INDEX('G-7 Rivers Data'!$H$4:$L$8,MATCH(N101,'G-7 Rivers Data'!$B$4:$B$8,0),MATCH(T101,'G-7 Rivers Data'!$H$3:$L$3,0)),"")</f>
        <v/>
      </c>
      <c r="V101" s="154"/>
      <c r="W101" s="520" t="str">
        <f>IF(V101="","",IF(VLOOKUP(V101,'G-7 Rivers Data'!$AG$4:$AI$9,2,FALSE)=0,"Spatial Data Missing ⚠",VLOOKUP(V101,'G-7 Rivers Data'!$AG$4:$AI$9,2,FALSE)))</f>
        <v/>
      </c>
      <c r="X101" s="524" t="str">
        <f>IF(V101="","",IF(VLOOKUP(V101,'G-7 Rivers Data'!$AG$4:$AI$9,3,FALSE)=0,"Spatial Data Missing ⚠",VLOOKUP(V101,'G-7 Rivers Data'!$AG$4:$AI$9,3,FALSE)))</f>
        <v/>
      </c>
      <c r="Y101" s="537" t="str">
        <f>IFERROR(IF(OR(LEFT(P101,5)="Error ▲",LEFT(O101,5)="Error ▲"),"Check Data ⚠",IF(F101&lt;S101,'G-7 Rivers Data'!$R$3,INDEX('G-7 Rivers Data'!$U$5:$Y$9,MATCH(G101,'G-7 Rivers Data'!$T$5:$T$9,0),MATCH(T101,'G-7 Rivers Data'!$U$4:$Y$4,0)))),"")</f>
        <v/>
      </c>
      <c r="Z101" s="203"/>
      <c r="AA101" s="203"/>
      <c r="AB101" s="534" t="str">
        <f t="shared" si="8"/>
        <v/>
      </c>
      <c r="AC101" s="521" t="str">
        <f t="shared" si="9"/>
        <v/>
      </c>
      <c r="AD101" s="564" t="str">
        <f>IFERROR(IF(AC101="Check Data ⚠","Check Data ⚠",VLOOKUP(AC101,'G-4 Temporal multipliers'!$A$4:$C$37,3,FALSE)),"")</f>
        <v/>
      </c>
      <c r="AE101" s="537" t="str">
        <f>IF(N101="","",VLOOKUP(N101,'G-7 Rivers Data'!$B$4:$G$8,5,FALSE))</f>
        <v/>
      </c>
      <c r="AF101" s="520" t="str">
        <f t="shared" si="10"/>
        <v/>
      </c>
      <c r="AG101" s="520" t="str">
        <f t="shared" si="14"/>
        <v/>
      </c>
      <c r="AH101" s="524" t="str">
        <f t="shared" si="11"/>
        <v/>
      </c>
      <c r="AI101" s="145"/>
      <c r="AJ101" s="499" t="str">
        <f>IF(AI101="","",IF(VLOOKUP(AI101,'G-7 Rivers Data'!$AA$4:$AB$7,2,FALSE)=0,"Spatial Data Missing ⚠",VLOOKUP(AI101,'G-7 Rivers Data'!$AA$4:$AB$7,2,FALSE)))</f>
        <v/>
      </c>
      <c r="AK101" s="155"/>
      <c r="AL101" s="536" t="str">
        <f>IF(AK101="","",IF(VLOOKUP(AK101,'G-7 Rivers Data'!$AD$4:$AE$8,2,FALSE)=0,"Spatial Data Missing ⚠",VLOOKUP(AK101,'G-7 Rivers Data'!$AD$4:$AE$8,2,FALSE)))</f>
        <v/>
      </c>
      <c r="AM101" s="154"/>
      <c r="AN101" s="524" t="str">
        <f>IF(AM101="","",VLOOKUP(AM101,'G-7 Rivers Data'!$AO$4:$AP$7,2,FALSE))</f>
        <v/>
      </c>
      <c r="AO101" s="545" t="str">
        <f t="shared" si="15"/>
        <v/>
      </c>
      <c r="AP101" s="149"/>
      <c r="AQ101" s="150"/>
      <c r="AX101" s="31" t="str">
        <f>IFERROR(INDEX('G-7 Rivers Data'!$AZ$3:$AZ$7,MATCH(N101,'G-7 Rivers Data'!$AY$3:$AY$7,0)),"")</f>
        <v/>
      </c>
    </row>
    <row r="102" spans="2:50" ht="14" x14ac:dyDescent="0.3">
      <c r="B102" s="531" t="str">
        <f>'F-1 Off Site River Baseline'!AN100</f>
        <v/>
      </c>
      <c r="C102" s="520" t="str">
        <f>IF(B102="","",VLOOKUP($B102,'F-1 Off Site River Baseline'!$C$9:$R$257,2,FALSE))</f>
        <v/>
      </c>
      <c r="D102" s="520" t="str">
        <f>IF(C102="","",VLOOKUP($B102,'F-1 Off Site River Baseline'!$C$9:$R$257,3,FALSE))</f>
        <v/>
      </c>
      <c r="E102" s="520" t="str">
        <f>IF(D102="","",VLOOKUP($B102,'F-1 Off Site River Baseline'!$C$9:$R$257,4,FALSE))</f>
        <v/>
      </c>
      <c r="F102" s="520" t="str">
        <f>IF(E102="","",VLOOKUP($B102,'F-1 Off Site River Baseline'!$C$9:$R$257,5,FALSE))</f>
        <v/>
      </c>
      <c r="G102" s="520" t="str">
        <f>IF(F102="","",VLOOKUP($B102,'F-1 Off Site River Baseline'!$C$9:$R$257,6,FALSE))</f>
        <v/>
      </c>
      <c r="H102" s="520" t="str">
        <f>IF(G102="","",VLOOKUP($B102,'F-1 Off Site River Baseline'!$C$9:$R$257,7,FALSE))</f>
        <v/>
      </c>
      <c r="I102" s="520" t="str">
        <f>IF(H102="","",VLOOKUP($B102,'F-1 Off Site River Baseline'!$C$9:$R$257,8,FALSE))</f>
        <v/>
      </c>
      <c r="J102" s="520" t="str">
        <f>IF(I102="","",VLOOKUP($B102,'F-1 Off Site River Baseline'!$C$9:$R$257,9,FALSE))</f>
        <v/>
      </c>
      <c r="K102" s="520" t="str">
        <f>IF(J102="","",VLOOKUP($B102,'F-1 Off Site River Baseline'!$C$9:$R$257,10,FALSE))</f>
        <v/>
      </c>
      <c r="L102" s="520" t="str">
        <f>IF(B102="","",VLOOKUP($B102,'C-1 Site River Baseline'!$C$9:$R$257,15,FALSE))</f>
        <v/>
      </c>
      <c r="M102" s="524" t="str">
        <f>IF(L102="","",VLOOKUP($B102,'F-1 Off Site River Baseline'!$C$9:$R$257,16,FALSE))</f>
        <v/>
      </c>
      <c r="N102" s="418" t="str">
        <f t="shared" si="12"/>
        <v/>
      </c>
      <c r="O102" s="498" t="str">
        <f t="shared" si="13"/>
        <v/>
      </c>
      <c r="P102" s="499" t="str">
        <f>IF(C102="","",IF(AND(LEFT(C102,55)&lt;&gt;LEFT(N102,55),O102="High - High"),"Error - Not like for like ▲",IF(AND(F102=S102,H102&gt;U102),"Error - Can not reduce condition ▲",IF(AND(F102=S102,H102=U102,AJ102='F-1 Off Site River Baseline'!N100,'F-1 Off Site River Baseline'!P100=AL102),"Error - No enhancement ▲",IF(AND(C102&lt;&gt;N102,F102&lt;S102),"Lower Distinctiveness Habitat"&amp;" - "&amp;T102,G102&amp;" - "&amp;T102)))))</f>
        <v/>
      </c>
      <c r="Q102" s="505" t="str">
        <f>IF(N102="","",VLOOKUP(B102,'F-1 Off Site River Baseline'!$C$10:$AA$257,19,FALSE))</f>
        <v/>
      </c>
      <c r="R102" s="498" t="str">
        <f>IF(N102="","",VLOOKUP(N102,'G-7 Rivers Data'!$B$2:$G$8,2,FALSE))</f>
        <v/>
      </c>
      <c r="S102" s="499" t="str">
        <f>IFERROR(VLOOKUP(R102,'G-7 Rivers Data'!$C$4:$D$8,2,FALSE),"")</f>
        <v/>
      </c>
      <c r="T102" s="145"/>
      <c r="U102" s="499" t="str">
        <f>IFERROR(INDEX('G-7 Rivers Data'!$H$4:$L$8,MATCH(N102,'G-7 Rivers Data'!$B$4:$B$8,0),MATCH(T102,'G-7 Rivers Data'!$H$3:$L$3,0)),"")</f>
        <v/>
      </c>
      <c r="V102" s="154"/>
      <c r="W102" s="520" t="str">
        <f>IF(V102="","",IF(VLOOKUP(V102,'G-7 Rivers Data'!$AG$4:$AI$9,2,FALSE)=0,"Spatial Data Missing ⚠",VLOOKUP(V102,'G-7 Rivers Data'!$AG$4:$AI$9,2,FALSE)))</f>
        <v/>
      </c>
      <c r="X102" s="524" t="str">
        <f>IF(V102="","",IF(VLOOKUP(V102,'G-7 Rivers Data'!$AG$4:$AI$9,3,FALSE)=0,"Spatial Data Missing ⚠",VLOOKUP(V102,'G-7 Rivers Data'!$AG$4:$AI$9,3,FALSE)))</f>
        <v/>
      </c>
      <c r="Y102" s="537" t="str">
        <f>IFERROR(IF(OR(LEFT(P102,5)="Error ▲",LEFT(O102,5)="Error ▲"),"Check Data ⚠",IF(F102&lt;S102,'G-7 Rivers Data'!$R$3,INDEX('G-7 Rivers Data'!$U$5:$Y$9,MATCH(G102,'G-7 Rivers Data'!$T$5:$T$9,0),MATCH(T102,'G-7 Rivers Data'!$U$4:$Y$4,0)))),"")</f>
        <v/>
      </c>
      <c r="Z102" s="203"/>
      <c r="AA102" s="203"/>
      <c r="AB102" s="534" t="str">
        <f t="shared" si="8"/>
        <v/>
      </c>
      <c r="AC102" s="521" t="str">
        <f t="shared" si="9"/>
        <v/>
      </c>
      <c r="AD102" s="564" t="str">
        <f>IFERROR(IF(AC102="Check Data ⚠","Check Data ⚠",VLOOKUP(AC102,'G-4 Temporal multipliers'!$A$4:$C$37,3,FALSE)),"")</f>
        <v/>
      </c>
      <c r="AE102" s="537" t="str">
        <f>IF(N102="","",VLOOKUP(N102,'G-7 Rivers Data'!$B$4:$G$8,5,FALSE))</f>
        <v/>
      </c>
      <c r="AF102" s="520" t="str">
        <f t="shared" si="10"/>
        <v/>
      </c>
      <c r="AG102" s="520" t="str">
        <f t="shared" si="14"/>
        <v/>
      </c>
      <c r="AH102" s="524" t="str">
        <f t="shared" si="11"/>
        <v/>
      </c>
      <c r="AI102" s="145"/>
      <c r="AJ102" s="499" t="str">
        <f>IF(AI102="","",IF(VLOOKUP(AI102,'G-7 Rivers Data'!$AA$4:$AB$7,2,FALSE)=0,"Spatial Data Missing ⚠",VLOOKUP(AI102,'G-7 Rivers Data'!$AA$4:$AB$7,2,FALSE)))</f>
        <v/>
      </c>
      <c r="AK102" s="155"/>
      <c r="AL102" s="536" t="str">
        <f>IF(AK102="","",IF(VLOOKUP(AK102,'G-7 Rivers Data'!$AD$4:$AE$8,2,FALSE)=0,"Spatial Data Missing ⚠",VLOOKUP(AK102,'G-7 Rivers Data'!$AD$4:$AE$8,2,FALSE)))</f>
        <v/>
      </c>
      <c r="AM102" s="154"/>
      <c r="AN102" s="524" t="str">
        <f>IF(AM102="","",VLOOKUP(AM102,'G-7 Rivers Data'!$AO$4:$AP$7,2,FALSE))</f>
        <v/>
      </c>
      <c r="AO102" s="545" t="str">
        <f t="shared" si="15"/>
        <v/>
      </c>
      <c r="AP102" s="149"/>
      <c r="AQ102" s="150"/>
      <c r="AX102" s="31" t="str">
        <f>IFERROR(INDEX('G-7 Rivers Data'!$AZ$3:$AZ$7,MATCH(N102,'G-7 Rivers Data'!$AY$3:$AY$7,0)),"")</f>
        <v/>
      </c>
    </row>
    <row r="103" spans="2:50" ht="14" x14ac:dyDescent="0.3">
      <c r="B103" s="531" t="str">
        <f>'F-1 Off Site River Baseline'!AN101</f>
        <v/>
      </c>
      <c r="C103" s="520" t="str">
        <f>IF(B103="","",VLOOKUP($B103,'F-1 Off Site River Baseline'!$C$9:$R$257,2,FALSE))</f>
        <v/>
      </c>
      <c r="D103" s="520" t="str">
        <f>IF(C103="","",VLOOKUP($B103,'F-1 Off Site River Baseline'!$C$9:$R$257,3,FALSE))</f>
        <v/>
      </c>
      <c r="E103" s="520" t="str">
        <f>IF(D103="","",VLOOKUP($B103,'F-1 Off Site River Baseline'!$C$9:$R$257,4,FALSE))</f>
        <v/>
      </c>
      <c r="F103" s="520" t="str">
        <f>IF(E103="","",VLOOKUP($B103,'F-1 Off Site River Baseline'!$C$9:$R$257,5,FALSE))</f>
        <v/>
      </c>
      <c r="G103" s="520" t="str">
        <f>IF(F103="","",VLOOKUP($B103,'F-1 Off Site River Baseline'!$C$9:$R$257,6,FALSE))</f>
        <v/>
      </c>
      <c r="H103" s="520" t="str">
        <f>IF(G103="","",VLOOKUP($B103,'F-1 Off Site River Baseline'!$C$9:$R$257,7,FALSE))</f>
        <v/>
      </c>
      <c r="I103" s="520" t="str">
        <f>IF(H103="","",VLOOKUP($B103,'F-1 Off Site River Baseline'!$C$9:$R$257,8,FALSE))</f>
        <v/>
      </c>
      <c r="J103" s="520" t="str">
        <f>IF(I103="","",VLOOKUP($B103,'F-1 Off Site River Baseline'!$C$9:$R$257,9,FALSE))</f>
        <v/>
      </c>
      <c r="K103" s="520" t="str">
        <f>IF(J103="","",VLOOKUP($B103,'F-1 Off Site River Baseline'!$C$9:$R$257,10,FALSE))</f>
        <v/>
      </c>
      <c r="L103" s="520" t="str">
        <f>IF(B103="","",VLOOKUP($B103,'C-1 Site River Baseline'!$C$9:$R$257,15,FALSE))</f>
        <v/>
      </c>
      <c r="M103" s="524" t="str">
        <f>IF(L103="","",VLOOKUP($B103,'F-1 Off Site River Baseline'!$C$9:$R$257,16,FALSE))</f>
        <v/>
      </c>
      <c r="N103" s="418" t="str">
        <f t="shared" si="12"/>
        <v/>
      </c>
      <c r="O103" s="498" t="str">
        <f t="shared" si="13"/>
        <v/>
      </c>
      <c r="P103" s="499" t="str">
        <f>IF(C103="","",IF(AND(LEFT(C103,55)&lt;&gt;LEFT(N103,55),O103="High - High"),"Error - Not like for like ▲",IF(AND(F103=S103,H103&gt;U103),"Error - Can not reduce condition ▲",IF(AND(F103=S103,H103=U103,AJ103='F-1 Off Site River Baseline'!N101,'F-1 Off Site River Baseline'!P101=AL103),"Error - No enhancement ▲",IF(AND(C103&lt;&gt;N103,F103&lt;S103),"Lower Distinctiveness Habitat"&amp;" - "&amp;T103,G103&amp;" - "&amp;T103)))))</f>
        <v/>
      </c>
      <c r="Q103" s="505" t="str">
        <f>IF(N103="","",VLOOKUP(B103,'F-1 Off Site River Baseline'!$C$10:$AA$257,19,FALSE))</f>
        <v/>
      </c>
      <c r="R103" s="498" t="str">
        <f>IF(N103="","",VLOOKUP(N103,'G-7 Rivers Data'!$B$2:$G$8,2,FALSE))</f>
        <v/>
      </c>
      <c r="S103" s="499" t="str">
        <f>IFERROR(VLOOKUP(R103,'G-7 Rivers Data'!$C$4:$D$8,2,FALSE),"")</f>
        <v/>
      </c>
      <c r="T103" s="145"/>
      <c r="U103" s="499" t="str">
        <f>IFERROR(INDEX('G-7 Rivers Data'!$H$4:$L$8,MATCH(N103,'G-7 Rivers Data'!$B$4:$B$8,0),MATCH(T103,'G-7 Rivers Data'!$H$3:$L$3,0)),"")</f>
        <v/>
      </c>
      <c r="V103" s="154"/>
      <c r="W103" s="520" t="str">
        <f>IF(V103="","",IF(VLOOKUP(V103,'G-7 Rivers Data'!$AG$4:$AI$9,2,FALSE)=0,"Spatial Data Missing ⚠",VLOOKUP(V103,'G-7 Rivers Data'!$AG$4:$AI$9,2,FALSE)))</f>
        <v/>
      </c>
      <c r="X103" s="524" t="str">
        <f>IF(V103="","",IF(VLOOKUP(V103,'G-7 Rivers Data'!$AG$4:$AI$9,3,FALSE)=0,"Spatial Data Missing ⚠",VLOOKUP(V103,'G-7 Rivers Data'!$AG$4:$AI$9,3,FALSE)))</f>
        <v/>
      </c>
      <c r="Y103" s="537" t="str">
        <f>IFERROR(IF(OR(LEFT(P103,5)="Error ▲",LEFT(O103,5)="Error ▲"),"Check Data ⚠",IF(F103&lt;S103,'G-7 Rivers Data'!$R$3,INDEX('G-7 Rivers Data'!$U$5:$Y$9,MATCH(G103,'G-7 Rivers Data'!$T$5:$T$9,0),MATCH(T103,'G-7 Rivers Data'!$U$4:$Y$4,0)))),"")</f>
        <v/>
      </c>
      <c r="Z103" s="203"/>
      <c r="AA103" s="203"/>
      <c r="AB103" s="534" t="str">
        <f t="shared" si="8"/>
        <v/>
      </c>
      <c r="AC103" s="521" t="str">
        <f t="shared" si="9"/>
        <v/>
      </c>
      <c r="AD103" s="564" t="str">
        <f>IFERROR(IF(AC103="Check Data ⚠","Check Data ⚠",VLOOKUP(AC103,'G-4 Temporal multipliers'!$A$4:$C$37,3,FALSE)),"")</f>
        <v/>
      </c>
      <c r="AE103" s="537" t="str">
        <f>IF(N103="","",VLOOKUP(N103,'G-7 Rivers Data'!$B$4:$G$8,5,FALSE))</f>
        <v/>
      </c>
      <c r="AF103" s="520" t="str">
        <f t="shared" si="10"/>
        <v/>
      </c>
      <c r="AG103" s="520" t="str">
        <f t="shared" si="14"/>
        <v/>
      </c>
      <c r="AH103" s="524" t="str">
        <f t="shared" si="11"/>
        <v/>
      </c>
      <c r="AI103" s="145"/>
      <c r="AJ103" s="499" t="str">
        <f>IF(AI103="","",IF(VLOOKUP(AI103,'G-7 Rivers Data'!$AA$4:$AB$7,2,FALSE)=0,"Spatial Data Missing ⚠",VLOOKUP(AI103,'G-7 Rivers Data'!$AA$4:$AB$7,2,FALSE)))</f>
        <v/>
      </c>
      <c r="AK103" s="155"/>
      <c r="AL103" s="536" t="str">
        <f>IF(AK103="","",IF(VLOOKUP(AK103,'G-7 Rivers Data'!$AD$4:$AE$8,2,FALSE)=0,"Spatial Data Missing ⚠",VLOOKUP(AK103,'G-7 Rivers Data'!$AD$4:$AE$8,2,FALSE)))</f>
        <v/>
      </c>
      <c r="AM103" s="154"/>
      <c r="AN103" s="524" t="str">
        <f>IF(AM103="","",VLOOKUP(AM103,'G-7 Rivers Data'!$AO$4:$AP$7,2,FALSE))</f>
        <v/>
      </c>
      <c r="AO103" s="545" t="str">
        <f t="shared" si="15"/>
        <v/>
      </c>
      <c r="AP103" s="149"/>
      <c r="AQ103" s="150"/>
      <c r="AX103" s="31" t="str">
        <f>IFERROR(INDEX('G-7 Rivers Data'!$AZ$3:$AZ$7,MATCH(N103,'G-7 Rivers Data'!$AY$3:$AY$7,0)),"")</f>
        <v/>
      </c>
    </row>
    <row r="104" spans="2:50" ht="14" x14ac:dyDescent="0.3">
      <c r="B104" s="531" t="str">
        <f>'F-1 Off Site River Baseline'!AN102</f>
        <v/>
      </c>
      <c r="C104" s="520" t="str">
        <f>IF(B104="","",VLOOKUP($B104,'F-1 Off Site River Baseline'!$C$9:$R$257,2,FALSE))</f>
        <v/>
      </c>
      <c r="D104" s="520" t="str">
        <f>IF(C104="","",VLOOKUP($B104,'F-1 Off Site River Baseline'!$C$9:$R$257,3,FALSE))</f>
        <v/>
      </c>
      <c r="E104" s="520" t="str">
        <f>IF(D104="","",VLOOKUP($B104,'F-1 Off Site River Baseline'!$C$9:$R$257,4,FALSE))</f>
        <v/>
      </c>
      <c r="F104" s="520" t="str">
        <f>IF(E104="","",VLOOKUP($B104,'F-1 Off Site River Baseline'!$C$9:$R$257,5,FALSE))</f>
        <v/>
      </c>
      <c r="G104" s="520" t="str">
        <f>IF(F104="","",VLOOKUP($B104,'F-1 Off Site River Baseline'!$C$9:$R$257,6,FALSE))</f>
        <v/>
      </c>
      <c r="H104" s="520" t="str">
        <f>IF(G104="","",VLOOKUP($B104,'F-1 Off Site River Baseline'!$C$9:$R$257,7,FALSE))</f>
        <v/>
      </c>
      <c r="I104" s="520" t="str">
        <f>IF(H104="","",VLOOKUP($B104,'F-1 Off Site River Baseline'!$C$9:$R$257,8,FALSE))</f>
        <v/>
      </c>
      <c r="J104" s="520" t="str">
        <f>IF(I104="","",VLOOKUP($B104,'F-1 Off Site River Baseline'!$C$9:$R$257,9,FALSE))</f>
        <v/>
      </c>
      <c r="K104" s="520" t="str">
        <f>IF(J104="","",VLOOKUP($B104,'F-1 Off Site River Baseline'!$C$9:$R$257,10,FALSE))</f>
        <v/>
      </c>
      <c r="L104" s="520" t="str">
        <f>IF(B104="","",VLOOKUP($B104,'C-1 Site River Baseline'!$C$9:$R$257,15,FALSE))</f>
        <v/>
      </c>
      <c r="M104" s="524" t="str">
        <f>IF(L104="","",VLOOKUP($B104,'F-1 Off Site River Baseline'!$C$9:$R$257,16,FALSE))</f>
        <v/>
      </c>
      <c r="N104" s="418" t="str">
        <f t="shared" si="12"/>
        <v/>
      </c>
      <c r="O104" s="498" t="str">
        <f t="shared" si="13"/>
        <v/>
      </c>
      <c r="P104" s="499" t="str">
        <f>IF(C104="","",IF(AND(LEFT(C104,55)&lt;&gt;LEFT(N104,55),O104="High - High"),"Error - Not like for like ▲",IF(AND(F104=S104,H104&gt;U104),"Error - Can not reduce condition ▲",IF(AND(F104=S104,H104=U104,AJ104='F-1 Off Site River Baseline'!N102,'F-1 Off Site River Baseline'!P102=AL104),"Error - No enhancement ▲",IF(AND(C104&lt;&gt;N104,F104&lt;S104),"Lower Distinctiveness Habitat"&amp;" - "&amp;T104,G104&amp;" - "&amp;T104)))))</f>
        <v/>
      </c>
      <c r="Q104" s="505" t="str">
        <f>IF(N104="","",VLOOKUP(B104,'F-1 Off Site River Baseline'!$C$10:$AA$257,19,FALSE))</f>
        <v/>
      </c>
      <c r="R104" s="498" t="str">
        <f>IF(N104="","",VLOOKUP(N104,'G-7 Rivers Data'!$B$2:$G$8,2,FALSE))</f>
        <v/>
      </c>
      <c r="S104" s="499" t="str">
        <f>IFERROR(VLOOKUP(R104,'G-7 Rivers Data'!$C$4:$D$8,2,FALSE),"")</f>
        <v/>
      </c>
      <c r="T104" s="145"/>
      <c r="U104" s="499" t="str">
        <f>IFERROR(INDEX('G-7 Rivers Data'!$H$4:$L$8,MATCH(N104,'G-7 Rivers Data'!$B$4:$B$8,0),MATCH(T104,'G-7 Rivers Data'!$H$3:$L$3,0)),"")</f>
        <v/>
      </c>
      <c r="V104" s="154"/>
      <c r="W104" s="520" t="str">
        <f>IF(V104="","",IF(VLOOKUP(V104,'G-7 Rivers Data'!$AG$4:$AI$9,2,FALSE)=0,"Spatial Data Missing ⚠",VLOOKUP(V104,'G-7 Rivers Data'!$AG$4:$AI$9,2,FALSE)))</f>
        <v/>
      </c>
      <c r="X104" s="524" t="str">
        <f>IF(V104="","",IF(VLOOKUP(V104,'G-7 Rivers Data'!$AG$4:$AI$9,3,FALSE)=0,"Spatial Data Missing ⚠",VLOOKUP(V104,'G-7 Rivers Data'!$AG$4:$AI$9,3,FALSE)))</f>
        <v/>
      </c>
      <c r="Y104" s="537" t="str">
        <f>IFERROR(IF(OR(LEFT(P104,5)="Error ▲",LEFT(O104,5)="Error ▲"),"Check Data ⚠",IF(F104&lt;S104,'G-7 Rivers Data'!$R$3,INDEX('G-7 Rivers Data'!$U$5:$Y$9,MATCH(G104,'G-7 Rivers Data'!$T$5:$T$9,0),MATCH(T104,'G-7 Rivers Data'!$U$4:$Y$4,0)))),"")</f>
        <v/>
      </c>
      <c r="Z104" s="203"/>
      <c r="AA104" s="203"/>
      <c r="AB104" s="534" t="str">
        <f t="shared" si="8"/>
        <v/>
      </c>
      <c r="AC104" s="521" t="str">
        <f t="shared" si="9"/>
        <v/>
      </c>
      <c r="AD104" s="564" t="str">
        <f>IFERROR(IF(AC104="Check Data ⚠","Check Data ⚠",VLOOKUP(AC104,'G-4 Temporal multipliers'!$A$4:$C$37,3,FALSE)),"")</f>
        <v/>
      </c>
      <c r="AE104" s="537" t="str">
        <f>IF(N104="","",VLOOKUP(N104,'G-7 Rivers Data'!$B$4:$G$8,5,FALSE))</f>
        <v/>
      </c>
      <c r="AF104" s="520" t="str">
        <f t="shared" si="10"/>
        <v/>
      </c>
      <c r="AG104" s="520" t="str">
        <f t="shared" si="14"/>
        <v/>
      </c>
      <c r="AH104" s="524" t="str">
        <f t="shared" si="11"/>
        <v/>
      </c>
      <c r="AI104" s="145"/>
      <c r="AJ104" s="499" t="str">
        <f>IF(AI104="","",IF(VLOOKUP(AI104,'G-7 Rivers Data'!$AA$4:$AB$7,2,FALSE)=0,"Spatial Data Missing ⚠",VLOOKUP(AI104,'G-7 Rivers Data'!$AA$4:$AB$7,2,FALSE)))</f>
        <v/>
      </c>
      <c r="AK104" s="155"/>
      <c r="AL104" s="536" t="str">
        <f>IF(AK104="","",IF(VLOOKUP(AK104,'G-7 Rivers Data'!$AD$4:$AE$8,2,FALSE)=0,"Spatial Data Missing ⚠",VLOOKUP(AK104,'G-7 Rivers Data'!$AD$4:$AE$8,2,FALSE)))</f>
        <v/>
      </c>
      <c r="AM104" s="154"/>
      <c r="AN104" s="524" t="str">
        <f>IF(AM104="","",VLOOKUP(AM104,'G-7 Rivers Data'!$AO$4:$AP$7,2,FALSE))</f>
        <v/>
      </c>
      <c r="AO104" s="545" t="str">
        <f t="shared" si="15"/>
        <v/>
      </c>
      <c r="AP104" s="149"/>
      <c r="AQ104" s="150"/>
      <c r="AX104" s="31" t="str">
        <f>IFERROR(INDEX('G-7 Rivers Data'!$AZ$3:$AZ$7,MATCH(N104,'G-7 Rivers Data'!$AY$3:$AY$7,0)),"")</f>
        <v/>
      </c>
    </row>
    <row r="105" spans="2:50" ht="14" x14ac:dyDescent="0.3">
      <c r="B105" s="531" t="str">
        <f>'F-1 Off Site River Baseline'!AN103</f>
        <v/>
      </c>
      <c r="C105" s="520" t="str">
        <f>IF(B105="","",VLOOKUP($B105,'F-1 Off Site River Baseline'!$C$9:$R$257,2,FALSE))</f>
        <v/>
      </c>
      <c r="D105" s="520" t="str">
        <f>IF(C105="","",VLOOKUP($B105,'F-1 Off Site River Baseline'!$C$9:$R$257,3,FALSE))</f>
        <v/>
      </c>
      <c r="E105" s="520" t="str">
        <f>IF(D105="","",VLOOKUP($B105,'F-1 Off Site River Baseline'!$C$9:$R$257,4,FALSE))</f>
        <v/>
      </c>
      <c r="F105" s="520" t="str">
        <f>IF(E105="","",VLOOKUP($B105,'F-1 Off Site River Baseline'!$C$9:$R$257,5,FALSE))</f>
        <v/>
      </c>
      <c r="G105" s="520" t="str">
        <f>IF(F105="","",VLOOKUP($B105,'F-1 Off Site River Baseline'!$C$9:$R$257,6,FALSE))</f>
        <v/>
      </c>
      <c r="H105" s="520" t="str">
        <f>IF(G105="","",VLOOKUP($B105,'F-1 Off Site River Baseline'!$C$9:$R$257,7,FALSE))</f>
        <v/>
      </c>
      <c r="I105" s="520" t="str">
        <f>IF(H105="","",VLOOKUP($B105,'F-1 Off Site River Baseline'!$C$9:$R$257,8,FALSE))</f>
        <v/>
      </c>
      <c r="J105" s="520" t="str">
        <f>IF(I105="","",VLOOKUP($B105,'F-1 Off Site River Baseline'!$C$9:$R$257,9,FALSE))</f>
        <v/>
      </c>
      <c r="K105" s="520" t="str">
        <f>IF(J105="","",VLOOKUP($B105,'F-1 Off Site River Baseline'!$C$9:$R$257,10,FALSE))</f>
        <v/>
      </c>
      <c r="L105" s="520" t="str">
        <f>IF(B105="","",VLOOKUP($B105,'C-1 Site River Baseline'!$C$9:$R$257,15,FALSE))</f>
        <v/>
      </c>
      <c r="M105" s="524" t="str">
        <f>IF(L105="","",VLOOKUP($B105,'F-1 Off Site River Baseline'!$C$9:$R$257,16,FALSE))</f>
        <v/>
      </c>
      <c r="N105" s="418" t="str">
        <f t="shared" si="12"/>
        <v/>
      </c>
      <c r="O105" s="498" t="str">
        <f t="shared" si="13"/>
        <v/>
      </c>
      <c r="P105" s="499" t="str">
        <f>IF(C105="","",IF(AND(LEFT(C105,55)&lt;&gt;LEFT(N105,55),O105="High - High"),"Error - Not like for like ▲",IF(AND(F105=S105,H105&gt;U105),"Error - Can not reduce condition ▲",IF(AND(F105=S105,H105=U105,AJ105='F-1 Off Site River Baseline'!N103,'F-1 Off Site River Baseline'!P103=AL105),"Error - No enhancement ▲",IF(AND(C105&lt;&gt;N105,F105&lt;S105),"Lower Distinctiveness Habitat"&amp;" - "&amp;T105,G105&amp;" - "&amp;T105)))))</f>
        <v/>
      </c>
      <c r="Q105" s="505" t="str">
        <f>IF(N105="","",VLOOKUP(B105,'F-1 Off Site River Baseline'!$C$10:$AA$257,19,FALSE))</f>
        <v/>
      </c>
      <c r="R105" s="498" t="str">
        <f>IF(N105="","",VLOOKUP(N105,'G-7 Rivers Data'!$B$2:$G$8,2,FALSE))</f>
        <v/>
      </c>
      <c r="S105" s="499" t="str">
        <f>IFERROR(VLOOKUP(R105,'G-7 Rivers Data'!$C$4:$D$8,2,FALSE),"")</f>
        <v/>
      </c>
      <c r="T105" s="145"/>
      <c r="U105" s="499" t="str">
        <f>IFERROR(INDEX('G-7 Rivers Data'!$H$4:$L$8,MATCH(N105,'G-7 Rivers Data'!$B$4:$B$8,0),MATCH(T105,'G-7 Rivers Data'!$H$3:$L$3,0)),"")</f>
        <v/>
      </c>
      <c r="V105" s="154"/>
      <c r="W105" s="520" t="str">
        <f>IF(V105="","",IF(VLOOKUP(V105,'G-7 Rivers Data'!$AG$4:$AI$9,2,FALSE)=0,"Spatial Data Missing ⚠",VLOOKUP(V105,'G-7 Rivers Data'!$AG$4:$AI$9,2,FALSE)))</f>
        <v/>
      </c>
      <c r="X105" s="524" t="str">
        <f>IF(V105="","",IF(VLOOKUP(V105,'G-7 Rivers Data'!$AG$4:$AI$9,3,FALSE)=0,"Spatial Data Missing ⚠",VLOOKUP(V105,'G-7 Rivers Data'!$AG$4:$AI$9,3,FALSE)))</f>
        <v/>
      </c>
      <c r="Y105" s="537" t="str">
        <f>IFERROR(IF(OR(LEFT(P105,5)="Error ▲",LEFT(O105,5)="Error ▲"),"Check Data ⚠",IF(F105&lt;S105,'G-7 Rivers Data'!$R$3,INDEX('G-7 Rivers Data'!$U$5:$Y$9,MATCH(G105,'G-7 Rivers Data'!$T$5:$T$9,0),MATCH(T105,'G-7 Rivers Data'!$U$4:$Y$4,0)))),"")</f>
        <v/>
      </c>
      <c r="Z105" s="203"/>
      <c r="AA105" s="203"/>
      <c r="AB105" s="534" t="str">
        <f t="shared" si="8"/>
        <v/>
      </c>
      <c r="AC105" s="521" t="str">
        <f t="shared" si="9"/>
        <v/>
      </c>
      <c r="AD105" s="564" t="str">
        <f>IFERROR(IF(AC105="Check Data ⚠","Check Data ⚠",VLOOKUP(AC105,'G-4 Temporal multipliers'!$A$4:$C$37,3,FALSE)),"")</f>
        <v/>
      </c>
      <c r="AE105" s="537" t="str">
        <f>IF(N105="","",VLOOKUP(N105,'G-7 Rivers Data'!$B$4:$G$8,5,FALSE))</f>
        <v/>
      </c>
      <c r="AF105" s="520" t="str">
        <f t="shared" si="10"/>
        <v/>
      </c>
      <c r="AG105" s="520" t="str">
        <f t="shared" si="14"/>
        <v/>
      </c>
      <c r="AH105" s="524" t="str">
        <f t="shared" si="11"/>
        <v/>
      </c>
      <c r="AI105" s="145"/>
      <c r="AJ105" s="499" t="str">
        <f>IF(AI105="","",IF(VLOOKUP(AI105,'G-7 Rivers Data'!$AA$4:$AB$7,2,FALSE)=0,"Spatial Data Missing ⚠",VLOOKUP(AI105,'G-7 Rivers Data'!$AA$4:$AB$7,2,FALSE)))</f>
        <v/>
      </c>
      <c r="AK105" s="155"/>
      <c r="AL105" s="536" t="str">
        <f>IF(AK105="","",IF(VLOOKUP(AK105,'G-7 Rivers Data'!$AD$4:$AE$8,2,FALSE)=0,"Spatial Data Missing ⚠",VLOOKUP(AK105,'G-7 Rivers Data'!$AD$4:$AE$8,2,FALSE)))</f>
        <v/>
      </c>
      <c r="AM105" s="154"/>
      <c r="AN105" s="524" t="str">
        <f>IF(AM105="","",VLOOKUP(AM105,'G-7 Rivers Data'!$AO$4:$AP$7,2,FALSE))</f>
        <v/>
      </c>
      <c r="AO105" s="545" t="str">
        <f t="shared" si="15"/>
        <v/>
      </c>
      <c r="AP105" s="149"/>
      <c r="AQ105" s="150"/>
      <c r="AX105" s="31" t="str">
        <f>IFERROR(INDEX('G-7 Rivers Data'!$AZ$3:$AZ$7,MATCH(N105,'G-7 Rivers Data'!$AY$3:$AY$7,0)),"")</f>
        <v/>
      </c>
    </row>
    <row r="106" spans="2:50" ht="14" x14ac:dyDescent="0.3">
      <c r="B106" s="531" t="str">
        <f>'F-1 Off Site River Baseline'!AN104</f>
        <v/>
      </c>
      <c r="C106" s="520" t="str">
        <f>IF(B106="","",VLOOKUP($B106,'F-1 Off Site River Baseline'!$C$9:$R$257,2,FALSE))</f>
        <v/>
      </c>
      <c r="D106" s="520" t="str">
        <f>IF(C106="","",VLOOKUP($B106,'F-1 Off Site River Baseline'!$C$9:$R$257,3,FALSE))</f>
        <v/>
      </c>
      <c r="E106" s="520" t="str">
        <f>IF(D106="","",VLOOKUP($B106,'F-1 Off Site River Baseline'!$C$9:$R$257,4,FALSE))</f>
        <v/>
      </c>
      <c r="F106" s="520" t="str">
        <f>IF(E106="","",VLOOKUP($B106,'F-1 Off Site River Baseline'!$C$9:$R$257,5,FALSE))</f>
        <v/>
      </c>
      <c r="G106" s="520" t="str">
        <f>IF(F106="","",VLOOKUP($B106,'F-1 Off Site River Baseline'!$C$9:$R$257,6,FALSE))</f>
        <v/>
      </c>
      <c r="H106" s="520" t="str">
        <f>IF(G106="","",VLOOKUP($B106,'F-1 Off Site River Baseline'!$C$9:$R$257,7,FALSE))</f>
        <v/>
      </c>
      <c r="I106" s="520" t="str">
        <f>IF(H106="","",VLOOKUP($B106,'F-1 Off Site River Baseline'!$C$9:$R$257,8,FALSE))</f>
        <v/>
      </c>
      <c r="J106" s="520" t="str">
        <f>IF(I106="","",VLOOKUP($B106,'F-1 Off Site River Baseline'!$C$9:$R$257,9,FALSE))</f>
        <v/>
      </c>
      <c r="K106" s="520" t="str">
        <f>IF(J106="","",VLOOKUP($B106,'F-1 Off Site River Baseline'!$C$9:$R$257,10,FALSE))</f>
        <v/>
      </c>
      <c r="L106" s="520" t="str">
        <f>IF(B106="","",VLOOKUP($B106,'C-1 Site River Baseline'!$C$9:$R$257,15,FALSE))</f>
        <v/>
      </c>
      <c r="M106" s="524" t="str">
        <f>IF(L106="","",VLOOKUP($B106,'F-1 Off Site River Baseline'!$C$9:$R$257,16,FALSE))</f>
        <v/>
      </c>
      <c r="N106" s="418" t="str">
        <f t="shared" si="12"/>
        <v/>
      </c>
      <c r="O106" s="498" t="str">
        <f t="shared" si="13"/>
        <v/>
      </c>
      <c r="P106" s="499" t="str">
        <f>IF(C106="","",IF(AND(LEFT(C106,55)&lt;&gt;LEFT(N106,55),O106="High - High"),"Error - Not like for like ▲",IF(AND(F106=S106,H106&gt;U106),"Error - Can not reduce condition ▲",IF(AND(F106=S106,H106=U106,AJ106='F-1 Off Site River Baseline'!N104,'F-1 Off Site River Baseline'!P104=AL106),"Error - No enhancement ▲",IF(AND(C106&lt;&gt;N106,F106&lt;S106),"Lower Distinctiveness Habitat"&amp;" - "&amp;T106,G106&amp;" - "&amp;T106)))))</f>
        <v/>
      </c>
      <c r="Q106" s="505" t="str">
        <f>IF(N106="","",VLOOKUP(B106,'F-1 Off Site River Baseline'!$C$10:$AA$257,19,FALSE))</f>
        <v/>
      </c>
      <c r="R106" s="498" t="str">
        <f>IF(N106="","",VLOOKUP(N106,'G-7 Rivers Data'!$B$2:$G$8,2,FALSE))</f>
        <v/>
      </c>
      <c r="S106" s="499" t="str">
        <f>IFERROR(VLOOKUP(R106,'G-7 Rivers Data'!$C$4:$D$8,2,FALSE),"")</f>
        <v/>
      </c>
      <c r="T106" s="145"/>
      <c r="U106" s="499" t="str">
        <f>IFERROR(INDEX('G-7 Rivers Data'!$H$4:$L$8,MATCH(N106,'G-7 Rivers Data'!$B$4:$B$8,0),MATCH(T106,'G-7 Rivers Data'!$H$3:$L$3,0)),"")</f>
        <v/>
      </c>
      <c r="V106" s="154"/>
      <c r="W106" s="520" t="str">
        <f>IF(V106="","",IF(VLOOKUP(V106,'G-7 Rivers Data'!$AG$4:$AI$9,2,FALSE)=0,"Spatial Data Missing ⚠",VLOOKUP(V106,'G-7 Rivers Data'!$AG$4:$AI$9,2,FALSE)))</f>
        <v/>
      </c>
      <c r="X106" s="524" t="str">
        <f>IF(V106="","",IF(VLOOKUP(V106,'G-7 Rivers Data'!$AG$4:$AI$9,3,FALSE)=0,"Spatial Data Missing ⚠",VLOOKUP(V106,'G-7 Rivers Data'!$AG$4:$AI$9,3,FALSE)))</f>
        <v/>
      </c>
      <c r="Y106" s="537" t="str">
        <f>IFERROR(IF(OR(LEFT(P106,5)="Error ▲",LEFT(O106,5)="Error ▲"),"Check Data ⚠",IF(F106&lt;S106,'G-7 Rivers Data'!$R$3,INDEX('G-7 Rivers Data'!$U$5:$Y$9,MATCH(G106,'G-7 Rivers Data'!$T$5:$T$9,0),MATCH(T106,'G-7 Rivers Data'!$U$4:$Y$4,0)))),"")</f>
        <v/>
      </c>
      <c r="Z106" s="203"/>
      <c r="AA106" s="203"/>
      <c r="AB106" s="534" t="str">
        <f t="shared" si="8"/>
        <v/>
      </c>
      <c r="AC106" s="521" t="str">
        <f t="shared" si="9"/>
        <v/>
      </c>
      <c r="AD106" s="564" t="str">
        <f>IFERROR(IF(AC106="Check Data ⚠","Check Data ⚠",VLOOKUP(AC106,'G-4 Temporal multipliers'!$A$4:$C$37,3,FALSE)),"")</f>
        <v/>
      </c>
      <c r="AE106" s="537" t="str">
        <f>IF(N106="","",VLOOKUP(N106,'G-7 Rivers Data'!$B$4:$G$8,5,FALSE))</f>
        <v/>
      </c>
      <c r="AF106" s="520" t="str">
        <f t="shared" si="10"/>
        <v/>
      </c>
      <c r="AG106" s="520" t="str">
        <f t="shared" si="14"/>
        <v/>
      </c>
      <c r="AH106" s="524" t="str">
        <f t="shared" si="11"/>
        <v/>
      </c>
      <c r="AI106" s="145"/>
      <c r="AJ106" s="499" t="str">
        <f>IF(AI106="","",IF(VLOOKUP(AI106,'G-7 Rivers Data'!$AA$4:$AB$7,2,FALSE)=0,"Spatial Data Missing ⚠",VLOOKUP(AI106,'G-7 Rivers Data'!$AA$4:$AB$7,2,FALSE)))</f>
        <v/>
      </c>
      <c r="AK106" s="155"/>
      <c r="AL106" s="536" t="str">
        <f>IF(AK106="","",IF(VLOOKUP(AK106,'G-7 Rivers Data'!$AD$4:$AE$8,2,FALSE)=0,"Spatial Data Missing ⚠",VLOOKUP(AK106,'G-7 Rivers Data'!$AD$4:$AE$8,2,FALSE)))</f>
        <v/>
      </c>
      <c r="AM106" s="154"/>
      <c r="AN106" s="524" t="str">
        <f>IF(AM106="","",VLOOKUP(AM106,'G-7 Rivers Data'!$AO$4:$AP$7,2,FALSE))</f>
        <v/>
      </c>
      <c r="AO106" s="545" t="str">
        <f t="shared" si="15"/>
        <v/>
      </c>
      <c r="AP106" s="149"/>
      <c r="AQ106" s="150"/>
      <c r="AX106" s="31" t="str">
        <f>IFERROR(INDEX('G-7 Rivers Data'!$AZ$3:$AZ$7,MATCH(N106,'G-7 Rivers Data'!$AY$3:$AY$7,0)),"")</f>
        <v/>
      </c>
    </row>
    <row r="107" spans="2:50" ht="14" x14ac:dyDescent="0.3">
      <c r="B107" s="531" t="str">
        <f>'F-1 Off Site River Baseline'!AN105</f>
        <v/>
      </c>
      <c r="C107" s="520" t="str">
        <f>IF(B107="","",VLOOKUP($B107,'F-1 Off Site River Baseline'!$C$9:$R$257,2,FALSE))</f>
        <v/>
      </c>
      <c r="D107" s="520" t="str">
        <f>IF(C107="","",VLOOKUP($B107,'F-1 Off Site River Baseline'!$C$9:$R$257,3,FALSE))</f>
        <v/>
      </c>
      <c r="E107" s="520" t="str">
        <f>IF(D107="","",VLOOKUP($B107,'F-1 Off Site River Baseline'!$C$9:$R$257,4,FALSE))</f>
        <v/>
      </c>
      <c r="F107" s="520" t="str">
        <f>IF(E107="","",VLOOKUP($B107,'F-1 Off Site River Baseline'!$C$9:$R$257,5,FALSE))</f>
        <v/>
      </c>
      <c r="G107" s="520" t="str">
        <f>IF(F107="","",VLOOKUP($B107,'F-1 Off Site River Baseline'!$C$9:$R$257,6,FALSE))</f>
        <v/>
      </c>
      <c r="H107" s="520" t="str">
        <f>IF(G107="","",VLOOKUP($B107,'F-1 Off Site River Baseline'!$C$9:$R$257,7,FALSE))</f>
        <v/>
      </c>
      <c r="I107" s="520" t="str">
        <f>IF(H107="","",VLOOKUP($B107,'F-1 Off Site River Baseline'!$C$9:$R$257,8,FALSE))</f>
        <v/>
      </c>
      <c r="J107" s="520" t="str">
        <f>IF(I107="","",VLOOKUP($B107,'F-1 Off Site River Baseline'!$C$9:$R$257,9,FALSE))</f>
        <v/>
      </c>
      <c r="K107" s="520" t="str">
        <f>IF(J107="","",VLOOKUP($B107,'F-1 Off Site River Baseline'!$C$9:$R$257,10,FALSE))</f>
        <v/>
      </c>
      <c r="L107" s="520" t="str">
        <f>IF(B107="","",VLOOKUP($B107,'C-1 Site River Baseline'!$C$9:$R$257,15,FALSE))</f>
        <v/>
      </c>
      <c r="M107" s="524" t="str">
        <f>IF(L107="","",VLOOKUP($B107,'F-1 Off Site River Baseline'!$C$9:$R$257,16,FALSE))</f>
        <v/>
      </c>
      <c r="N107" s="418" t="str">
        <f t="shared" si="12"/>
        <v/>
      </c>
      <c r="O107" s="498" t="str">
        <f t="shared" si="13"/>
        <v/>
      </c>
      <c r="P107" s="499" t="str">
        <f>IF(C107="","",IF(AND(LEFT(C107,55)&lt;&gt;LEFT(N107,55),O107="High - High"),"Error - Not like for like ▲",IF(AND(F107=S107,H107&gt;U107),"Error - Can not reduce condition ▲",IF(AND(F107=S107,H107=U107,AJ107='F-1 Off Site River Baseline'!N105,'F-1 Off Site River Baseline'!P105=AL107),"Error - No enhancement ▲",IF(AND(C107&lt;&gt;N107,F107&lt;S107),"Lower Distinctiveness Habitat"&amp;" - "&amp;T107,G107&amp;" - "&amp;T107)))))</f>
        <v/>
      </c>
      <c r="Q107" s="505" t="str">
        <f>IF(N107="","",VLOOKUP(B107,'F-1 Off Site River Baseline'!$C$10:$AA$257,19,FALSE))</f>
        <v/>
      </c>
      <c r="R107" s="498" t="str">
        <f>IF(N107="","",VLOOKUP(N107,'G-7 Rivers Data'!$B$2:$G$8,2,FALSE))</f>
        <v/>
      </c>
      <c r="S107" s="499" t="str">
        <f>IFERROR(VLOOKUP(R107,'G-7 Rivers Data'!$C$4:$D$8,2,FALSE),"")</f>
        <v/>
      </c>
      <c r="T107" s="145"/>
      <c r="U107" s="499" t="str">
        <f>IFERROR(INDEX('G-7 Rivers Data'!$H$4:$L$8,MATCH(N107,'G-7 Rivers Data'!$B$4:$B$8,0),MATCH(T107,'G-7 Rivers Data'!$H$3:$L$3,0)),"")</f>
        <v/>
      </c>
      <c r="V107" s="154"/>
      <c r="W107" s="520" t="str">
        <f>IF(V107="","",IF(VLOOKUP(V107,'G-7 Rivers Data'!$AG$4:$AI$9,2,FALSE)=0,"Spatial Data Missing ⚠",VLOOKUP(V107,'G-7 Rivers Data'!$AG$4:$AI$9,2,FALSE)))</f>
        <v/>
      </c>
      <c r="X107" s="524" t="str">
        <f>IF(V107="","",IF(VLOOKUP(V107,'G-7 Rivers Data'!$AG$4:$AI$9,3,FALSE)=0,"Spatial Data Missing ⚠",VLOOKUP(V107,'G-7 Rivers Data'!$AG$4:$AI$9,3,FALSE)))</f>
        <v/>
      </c>
      <c r="Y107" s="537" t="str">
        <f>IFERROR(IF(OR(LEFT(P107,5)="Error ▲",LEFT(O107,5)="Error ▲"),"Check Data ⚠",IF(F107&lt;S107,'G-7 Rivers Data'!$R$3,INDEX('G-7 Rivers Data'!$U$5:$Y$9,MATCH(G107,'G-7 Rivers Data'!$T$5:$T$9,0),MATCH(T107,'G-7 Rivers Data'!$U$4:$Y$4,0)))),"")</f>
        <v/>
      </c>
      <c r="Z107" s="203"/>
      <c r="AA107" s="203"/>
      <c r="AB107" s="534" t="str">
        <f t="shared" si="8"/>
        <v/>
      </c>
      <c r="AC107" s="521" t="str">
        <f t="shared" si="9"/>
        <v/>
      </c>
      <c r="AD107" s="564" t="str">
        <f>IFERROR(IF(AC107="Check Data ⚠","Check Data ⚠",VLOOKUP(AC107,'G-4 Temporal multipliers'!$A$4:$C$37,3,FALSE)),"")</f>
        <v/>
      </c>
      <c r="AE107" s="537" t="str">
        <f>IF(N107="","",VLOOKUP(N107,'G-7 Rivers Data'!$B$4:$G$8,5,FALSE))</f>
        <v/>
      </c>
      <c r="AF107" s="520" t="str">
        <f t="shared" si="10"/>
        <v/>
      </c>
      <c r="AG107" s="520" t="str">
        <f t="shared" si="14"/>
        <v/>
      </c>
      <c r="AH107" s="524" t="str">
        <f t="shared" si="11"/>
        <v/>
      </c>
      <c r="AI107" s="145"/>
      <c r="AJ107" s="499" t="str">
        <f>IF(AI107="","",IF(VLOOKUP(AI107,'G-7 Rivers Data'!$AA$4:$AB$7,2,FALSE)=0,"Spatial Data Missing ⚠",VLOOKUP(AI107,'G-7 Rivers Data'!$AA$4:$AB$7,2,FALSE)))</f>
        <v/>
      </c>
      <c r="AK107" s="155"/>
      <c r="AL107" s="536" t="str">
        <f>IF(AK107="","",IF(VLOOKUP(AK107,'G-7 Rivers Data'!$AD$4:$AE$8,2,FALSE)=0,"Spatial Data Missing ⚠",VLOOKUP(AK107,'G-7 Rivers Data'!$AD$4:$AE$8,2,FALSE)))</f>
        <v/>
      </c>
      <c r="AM107" s="154"/>
      <c r="AN107" s="524" t="str">
        <f>IF(AM107="","",VLOOKUP(AM107,'G-7 Rivers Data'!$AO$4:$AP$7,2,FALSE))</f>
        <v/>
      </c>
      <c r="AO107" s="545" t="str">
        <f t="shared" si="15"/>
        <v/>
      </c>
      <c r="AP107" s="149"/>
      <c r="AQ107" s="150"/>
      <c r="AX107" s="31" t="str">
        <f>IFERROR(INDEX('G-7 Rivers Data'!$AZ$3:$AZ$7,MATCH(N107,'G-7 Rivers Data'!$AY$3:$AY$7,0)),"")</f>
        <v/>
      </c>
    </row>
    <row r="108" spans="2:50" ht="14" x14ac:dyDescent="0.3">
      <c r="B108" s="531" t="str">
        <f>'F-1 Off Site River Baseline'!AN106</f>
        <v/>
      </c>
      <c r="C108" s="520" t="str">
        <f>IF(B108="","",VLOOKUP($B108,'F-1 Off Site River Baseline'!$C$9:$R$257,2,FALSE))</f>
        <v/>
      </c>
      <c r="D108" s="520" t="str">
        <f>IF(C108="","",VLOOKUP($B108,'F-1 Off Site River Baseline'!$C$9:$R$257,3,FALSE))</f>
        <v/>
      </c>
      <c r="E108" s="520" t="str">
        <f>IF(D108="","",VLOOKUP($B108,'F-1 Off Site River Baseline'!$C$9:$R$257,4,FALSE))</f>
        <v/>
      </c>
      <c r="F108" s="520" t="str">
        <f>IF(E108="","",VLOOKUP($B108,'F-1 Off Site River Baseline'!$C$9:$R$257,5,FALSE))</f>
        <v/>
      </c>
      <c r="G108" s="520" t="str">
        <f>IF(F108="","",VLOOKUP($B108,'F-1 Off Site River Baseline'!$C$9:$R$257,6,FALSE))</f>
        <v/>
      </c>
      <c r="H108" s="520" t="str">
        <f>IF(G108="","",VLOOKUP($B108,'F-1 Off Site River Baseline'!$C$9:$R$257,7,FALSE))</f>
        <v/>
      </c>
      <c r="I108" s="520" t="str">
        <f>IF(H108="","",VLOOKUP($B108,'F-1 Off Site River Baseline'!$C$9:$R$257,8,FALSE))</f>
        <v/>
      </c>
      <c r="J108" s="520" t="str">
        <f>IF(I108="","",VLOOKUP($B108,'F-1 Off Site River Baseline'!$C$9:$R$257,9,FALSE))</f>
        <v/>
      </c>
      <c r="K108" s="520" t="str">
        <f>IF(J108="","",VLOOKUP($B108,'F-1 Off Site River Baseline'!$C$9:$R$257,10,FALSE))</f>
        <v/>
      </c>
      <c r="L108" s="520" t="str">
        <f>IF(B108="","",VLOOKUP($B108,'C-1 Site River Baseline'!$C$9:$R$257,15,FALSE))</f>
        <v/>
      </c>
      <c r="M108" s="524" t="str">
        <f>IF(L108="","",VLOOKUP($B108,'F-1 Off Site River Baseline'!$C$9:$R$257,16,FALSE))</f>
        <v/>
      </c>
      <c r="N108" s="418" t="str">
        <f t="shared" si="12"/>
        <v/>
      </c>
      <c r="O108" s="498" t="str">
        <f t="shared" si="13"/>
        <v/>
      </c>
      <c r="P108" s="499" t="str">
        <f>IF(C108="","",IF(AND(LEFT(C108,55)&lt;&gt;LEFT(N108,55),O108="High - High"),"Error - Not like for like ▲",IF(AND(F108=S108,H108&gt;U108),"Error - Can not reduce condition ▲",IF(AND(F108=S108,H108=U108,AJ108='F-1 Off Site River Baseline'!N106,'F-1 Off Site River Baseline'!P106=AL108),"Error - No enhancement ▲",IF(AND(C108&lt;&gt;N108,F108&lt;S108),"Lower Distinctiveness Habitat"&amp;" - "&amp;T108,G108&amp;" - "&amp;T108)))))</f>
        <v/>
      </c>
      <c r="Q108" s="505" t="str">
        <f>IF(N108="","",VLOOKUP(B108,'F-1 Off Site River Baseline'!$C$10:$AA$257,19,FALSE))</f>
        <v/>
      </c>
      <c r="R108" s="498" t="str">
        <f>IF(N108="","",VLOOKUP(N108,'G-7 Rivers Data'!$B$2:$G$8,2,FALSE))</f>
        <v/>
      </c>
      <c r="S108" s="499" t="str">
        <f>IFERROR(VLOOKUP(R108,'G-7 Rivers Data'!$C$4:$D$8,2,FALSE),"")</f>
        <v/>
      </c>
      <c r="T108" s="145"/>
      <c r="U108" s="499" t="str">
        <f>IFERROR(INDEX('G-7 Rivers Data'!$H$4:$L$8,MATCH(N108,'G-7 Rivers Data'!$B$4:$B$8,0),MATCH(T108,'G-7 Rivers Data'!$H$3:$L$3,0)),"")</f>
        <v/>
      </c>
      <c r="V108" s="154"/>
      <c r="W108" s="520" t="str">
        <f>IF(V108="","",IF(VLOOKUP(V108,'G-7 Rivers Data'!$AG$4:$AI$9,2,FALSE)=0,"Spatial Data Missing ⚠",VLOOKUP(V108,'G-7 Rivers Data'!$AG$4:$AI$9,2,FALSE)))</f>
        <v/>
      </c>
      <c r="X108" s="524" t="str">
        <f>IF(V108="","",IF(VLOOKUP(V108,'G-7 Rivers Data'!$AG$4:$AI$9,3,FALSE)=0,"Spatial Data Missing ⚠",VLOOKUP(V108,'G-7 Rivers Data'!$AG$4:$AI$9,3,FALSE)))</f>
        <v/>
      </c>
      <c r="Y108" s="537" t="str">
        <f>IFERROR(IF(OR(LEFT(P108,5)="Error ▲",LEFT(O108,5)="Error ▲"),"Check Data ⚠",IF(F108&lt;S108,'G-7 Rivers Data'!$R$3,INDEX('G-7 Rivers Data'!$U$5:$Y$9,MATCH(G108,'G-7 Rivers Data'!$T$5:$T$9,0),MATCH(T108,'G-7 Rivers Data'!$U$4:$Y$4,0)))),"")</f>
        <v/>
      </c>
      <c r="Z108" s="203"/>
      <c r="AA108" s="203"/>
      <c r="AB108" s="534" t="str">
        <f t="shared" si="8"/>
        <v/>
      </c>
      <c r="AC108" s="521" t="str">
        <f t="shared" si="9"/>
        <v/>
      </c>
      <c r="AD108" s="564" t="str">
        <f>IFERROR(IF(AC108="Check Data ⚠","Check Data ⚠",VLOOKUP(AC108,'G-4 Temporal multipliers'!$A$4:$C$37,3,FALSE)),"")</f>
        <v/>
      </c>
      <c r="AE108" s="537" t="str">
        <f>IF(N108="","",VLOOKUP(N108,'G-7 Rivers Data'!$B$4:$G$8,5,FALSE))</f>
        <v/>
      </c>
      <c r="AF108" s="520" t="str">
        <f t="shared" si="10"/>
        <v/>
      </c>
      <c r="AG108" s="520" t="str">
        <f t="shared" si="14"/>
        <v/>
      </c>
      <c r="AH108" s="524" t="str">
        <f t="shared" si="11"/>
        <v/>
      </c>
      <c r="AI108" s="145"/>
      <c r="AJ108" s="499" t="str">
        <f>IF(AI108="","",IF(VLOOKUP(AI108,'G-7 Rivers Data'!$AA$4:$AB$7,2,FALSE)=0,"Spatial Data Missing ⚠",VLOOKUP(AI108,'G-7 Rivers Data'!$AA$4:$AB$7,2,FALSE)))</f>
        <v/>
      </c>
      <c r="AK108" s="155"/>
      <c r="AL108" s="536" t="str">
        <f>IF(AK108="","",IF(VLOOKUP(AK108,'G-7 Rivers Data'!$AD$4:$AE$8,2,FALSE)=0,"Spatial Data Missing ⚠",VLOOKUP(AK108,'G-7 Rivers Data'!$AD$4:$AE$8,2,FALSE)))</f>
        <v/>
      </c>
      <c r="AM108" s="154"/>
      <c r="AN108" s="524" t="str">
        <f>IF(AM108="","",VLOOKUP(AM108,'G-7 Rivers Data'!$AO$4:$AP$7,2,FALSE))</f>
        <v/>
      </c>
      <c r="AO108" s="545" t="str">
        <f t="shared" si="15"/>
        <v/>
      </c>
      <c r="AP108" s="149"/>
      <c r="AQ108" s="150"/>
      <c r="AX108" s="31" t="str">
        <f>IFERROR(INDEX('G-7 Rivers Data'!$AZ$3:$AZ$7,MATCH(N108,'G-7 Rivers Data'!$AY$3:$AY$7,0)),"")</f>
        <v/>
      </c>
    </row>
    <row r="109" spans="2:50" ht="14" x14ac:dyDescent="0.3">
      <c r="B109" s="531" t="str">
        <f>'F-1 Off Site River Baseline'!AN107</f>
        <v/>
      </c>
      <c r="C109" s="520" t="str">
        <f>IF(B109="","",VLOOKUP($B109,'F-1 Off Site River Baseline'!$C$9:$R$257,2,FALSE))</f>
        <v/>
      </c>
      <c r="D109" s="520" t="str">
        <f>IF(C109="","",VLOOKUP($B109,'F-1 Off Site River Baseline'!$C$9:$R$257,3,FALSE))</f>
        <v/>
      </c>
      <c r="E109" s="520" t="str">
        <f>IF(D109="","",VLOOKUP($B109,'F-1 Off Site River Baseline'!$C$9:$R$257,4,FALSE))</f>
        <v/>
      </c>
      <c r="F109" s="520" t="str">
        <f>IF(E109="","",VLOOKUP($B109,'F-1 Off Site River Baseline'!$C$9:$R$257,5,FALSE))</f>
        <v/>
      </c>
      <c r="G109" s="520" t="str">
        <f>IF(F109="","",VLOOKUP($B109,'F-1 Off Site River Baseline'!$C$9:$R$257,6,FALSE))</f>
        <v/>
      </c>
      <c r="H109" s="520" t="str">
        <f>IF(G109="","",VLOOKUP($B109,'F-1 Off Site River Baseline'!$C$9:$R$257,7,FALSE))</f>
        <v/>
      </c>
      <c r="I109" s="520" t="str">
        <f>IF(H109="","",VLOOKUP($B109,'F-1 Off Site River Baseline'!$C$9:$R$257,8,FALSE))</f>
        <v/>
      </c>
      <c r="J109" s="520" t="str">
        <f>IF(I109="","",VLOOKUP($B109,'F-1 Off Site River Baseline'!$C$9:$R$257,9,FALSE))</f>
        <v/>
      </c>
      <c r="K109" s="520" t="str">
        <f>IF(J109="","",VLOOKUP($B109,'F-1 Off Site River Baseline'!$C$9:$R$257,10,FALSE))</f>
        <v/>
      </c>
      <c r="L109" s="520" t="str">
        <f>IF(B109="","",VLOOKUP($B109,'C-1 Site River Baseline'!$C$9:$R$257,15,FALSE))</f>
        <v/>
      </c>
      <c r="M109" s="524" t="str">
        <f>IF(L109="","",VLOOKUP($B109,'F-1 Off Site River Baseline'!$C$9:$R$257,16,FALSE))</f>
        <v/>
      </c>
      <c r="N109" s="418" t="str">
        <f t="shared" si="12"/>
        <v/>
      </c>
      <c r="O109" s="498" t="str">
        <f t="shared" si="13"/>
        <v/>
      </c>
      <c r="P109" s="499" t="str">
        <f>IF(C109="","",IF(AND(LEFT(C109,55)&lt;&gt;LEFT(N109,55),O109="High - High"),"Error - Not like for like ▲",IF(AND(F109=S109,H109&gt;U109),"Error - Can not reduce condition ▲",IF(AND(F109=S109,H109=U109,AJ109='F-1 Off Site River Baseline'!N107,'F-1 Off Site River Baseline'!P107=AL109),"Error - No enhancement ▲",IF(AND(C109&lt;&gt;N109,F109&lt;S109),"Lower Distinctiveness Habitat"&amp;" - "&amp;T109,G109&amp;" - "&amp;T109)))))</f>
        <v/>
      </c>
      <c r="Q109" s="505" t="str">
        <f>IF(N109="","",VLOOKUP(B109,'F-1 Off Site River Baseline'!$C$10:$AA$257,19,FALSE))</f>
        <v/>
      </c>
      <c r="R109" s="498" t="str">
        <f>IF(N109="","",VLOOKUP(N109,'G-7 Rivers Data'!$B$2:$G$8,2,FALSE))</f>
        <v/>
      </c>
      <c r="S109" s="499" t="str">
        <f>IFERROR(VLOOKUP(R109,'G-7 Rivers Data'!$C$4:$D$8,2,FALSE),"")</f>
        <v/>
      </c>
      <c r="T109" s="145"/>
      <c r="U109" s="499" t="str">
        <f>IFERROR(INDEX('G-7 Rivers Data'!$H$4:$L$8,MATCH(N109,'G-7 Rivers Data'!$B$4:$B$8,0),MATCH(T109,'G-7 Rivers Data'!$H$3:$L$3,0)),"")</f>
        <v/>
      </c>
      <c r="V109" s="154"/>
      <c r="W109" s="520" t="str">
        <f>IF(V109="","",IF(VLOOKUP(V109,'G-7 Rivers Data'!$AG$4:$AI$9,2,FALSE)=0,"Spatial Data Missing ⚠",VLOOKUP(V109,'G-7 Rivers Data'!$AG$4:$AI$9,2,FALSE)))</f>
        <v/>
      </c>
      <c r="X109" s="524" t="str">
        <f>IF(V109="","",IF(VLOOKUP(V109,'G-7 Rivers Data'!$AG$4:$AI$9,3,FALSE)=0,"Spatial Data Missing ⚠",VLOOKUP(V109,'G-7 Rivers Data'!$AG$4:$AI$9,3,FALSE)))</f>
        <v/>
      </c>
      <c r="Y109" s="537" t="str">
        <f>IFERROR(IF(OR(LEFT(P109,5)="Error ▲",LEFT(O109,5)="Error ▲"),"Check Data ⚠",IF(F109&lt;S109,'G-7 Rivers Data'!$R$3,INDEX('G-7 Rivers Data'!$U$5:$Y$9,MATCH(G109,'G-7 Rivers Data'!$T$5:$T$9,0),MATCH(T109,'G-7 Rivers Data'!$U$4:$Y$4,0)))),"")</f>
        <v/>
      </c>
      <c r="Z109" s="203"/>
      <c r="AA109" s="203"/>
      <c r="AB109" s="534" t="str">
        <f t="shared" si="8"/>
        <v/>
      </c>
      <c r="AC109" s="521" t="str">
        <f t="shared" si="9"/>
        <v/>
      </c>
      <c r="AD109" s="564" t="str">
        <f>IFERROR(IF(AC109="Check Data ⚠","Check Data ⚠",VLOOKUP(AC109,'G-4 Temporal multipliers'!$A$4:$C$37,3,FALSE)),"")</f>
        <v/>
      </c>
      <c r="AE109" s="537" t="str">
        <f>IF(N109="","",VLOOKUP(N109,'G-7 Rivers Data'!$B$4:$G$8,5,FALSE))</f>
        <v/>
      </c>
      <c r="AF109" s="520" t="str">
        <f t="shared" si="10"/>
        <v/>
      </c>
      <c r="AG109" s="520" t="str">
        <f t="shared" si="14"/>
        <v/>
      </c>
      <c r="AH109" s="524" t="str">
        <f t="shared" si="11"/>
        <v/>
      </c>
      <c r="AI109" s="145"/>
      <c r="AJ109" s="499" t="str">
        <f>IF(AI109="","",IF(VLOOKUP(AI109,'G-7 Rivers Data'!$AA$4:$AB$7,2,FALSE)=0,"Spatial Data Missing ⚠",VLOOKUP(AI109,'G-7 Rivers Data'!$AA$4:$AB$7,2,FALSE)))</f>
        <v/>
      </c>
      <c r="AK109" s="155"/>
      <c r="AL109" s="536" t="str">
        <f>IF(AK109="","",IF(VLOOKUP(AK109,'G-7 Rivers Data'!$AD$4:$AE$8,2,FALSE)=0,"Spatial Data Missing ⚠",VLOOKUP(AK109,'G-7 Rivers Data'!$AD$4:$AE$8,2,FALSE)))</f>
        <v/>
      </c>
      <c r="AM109" s="154"/>
      <c r="AN109" s="524" t="str">
        <f>IF(AM109="","",VLOOKUP(AM109,'G-7 Rivers Data'!$AO$4:$AP$7,2,FALSE))</f>
        <v/>
      </c>
      <c r="AO109" s="545" t="str">
        <f t="shared" si="15"/>
        <v/>
      </c>
      <c r="AP109" s="149"/>
      <c r="AQ109" s="150"/>
      <c r="AX109" s="31" t="str">
        <f>IFERROR(INDEX('G-7 Rivers Data'!$AZ$3:$AZ$7,MATCH(N109,'G-7 Rivers Data'!$AY$3:$AY$7,0)),"")</f>
        <v/>
      </c>
    </row>
    <row r="110" spans="2:50" ht="14" x14ac:dyDescent="0.3">
      <c r="B110" s="531" t="str">
        <f>'F-1 Off Site River Baseline'!AN108</f>
        <v/>
      </c>
      <c r="C110" s="520" t="str">
        <f>IF(B110="","",VLOOKUP($B110,'F-1 Off Site River Baseline'!$C$9:$R$257,2,FALSE))</f>
        <v/>
      </c>
      <c r="D110" s="520" t="str">
        <f>IF(C110="","",VLOOKUP($B110,'F-1 Off Site River Baseline'!$C$9:$R$257,3,FALSE))</f>
        <v/>
      </c>
      <c r="E110" s="520" t="str">
        <f>IF(D110="","",VLOOKUP($B110,'F-1 Off Site River Baseline'!$C$9:$R$257,4,FALSE))</f>
        <v/>
      </c>
      <c r="F110" s="520" t="str">
        <f>IF(E110="","",VLOOKUP($B110,'F-1 Off Site River Baseline'!$C$9:$R$257,5,FALSE))</f>
        <v/>
      </c>
      <c r="G110" s="520" t="str">
        <f>IF(F110="","",VLOOKUP($B110,'F-1 Off Site River Baseline'!$C$9:$R$257,6,FALSE))</f>
        <v/>
      </c>
      <c r="H110" s="520" t="str">
        <f>IF(G110="","",VLOOKUP($B110,'F-1 Off Site River Baseline'!$C$9:$R$257,7,FALSE))</f>
        <v/>
      </c>
      <c r="I110" s="520" t="str">
        <f>IF(H110="","",VLOOKUP($B110,'F-1 Off Site River Baseline'!$C$9:$R$257,8,FALSE))</f>
        <v/>
      </c>
      <c r="J110" s="520" t="str">
        <f>IF(I110="","",VLOOKUP($B110,'F-1 Off Site River Baseline'!$C$9:$R$257,9,FALSE))</f>
        <v/>
      </c>
      <c r="K110" s="520" t="str">
        <f>IF(J110="","",VLOOKUP($B110,'F-1 Off Site River Baseline'!$C$9:$R$257,10,FALSE))</f>
        <v/>
      </c>
      <c r="L110" s="520" t="str">
        <f>IF(B110="","",VLOOKUP($B110,'C-1 Site River Baseline'!$C$9:$R$257,15,FALSE))</f>
        <v/>
      </c>
      <c r="M110" s="524" t="str">
        <f>IF(L110="","",VLOOKUP($B110,'F-1 Off Site River Baseline'!$C$9:$R$257,16,FALSE))</f>
        <v/>
      </c>
      <c r="N110" s="418" t="str">
        <f t="shared" si="12"/>
        <v/>
      </c>
      <c r="O110" s="498" t="str">
        <f t="shared" si="13"/>
        <v/>
      </c>
      <c r="P110" s="499" t="str">
        <f>IF(C110="","",IF(AND(LEFT(C110,55)&lt;&gt;LEFT(N110,55),O110="High - High"),"Error - Not like for like ▲",IF(AND(F110=S110,H110&gt;U110),"Error - Can not reduce condition ▲",IF(AND(F110=S110,H110=U110,AJ110='F-1 Off Site River Baseline'!N108,'F-1 Off Site River Baseline'!P108=AL110),"Error - No enhancement ▲",IF(AND(C110&lt;&gt;N110,F110&lt;S110),"Lower Distinctiveness Habitat"&amp;" - "&amp;T110,G110&amp;" - "&amp;T110)))))</f>
        <v/>
      </c>
      <c r="Q110" s="505" t="str">
        <f>IF(N110="","",VLOOKUP(B110,'F-1 Off Site River Baseline'!$C$10:$AA$257,19,FALSE))</f>
        <v/>
      </c>
      <c r="R110" s="498" t="str">
        <f>IF(N110="","",VLOOKUP(N110,'G-7 Rivers Data'!$B$2:$G$8,2,FALSE))</f>
        <v/>
      </c>
      <c r="S110" s="499" t="str">
        <f>IFERROR(VLOOKUP(R110,'G-7 Rivers Data'!$C$4:$D$8,2,FALSE),"")</f>
        <v/>
      </c>
      <c r="T110" s="145"/>
      <c r="U110" s="499" t="str">
        <f>IFERROR(INDEX('G-7 Rivers Data'!$H$4:$L$8,MATCH(N110,'G-7 Rivers Data'!$B$4:$B$8,0),MATCH(T110,'G-7 Rivers Data'!$H$3:$L$3,0)),"")</f>
        <v/>
      </c>
      <c r="V110" s="154"/>
      <c r="W110" s="520" t="str">
        <f>IF(V110="","",IF(VLOOKUP(V110,'G-7 Rivers Data'!$AG$4:$AI$9,2,FALSE)=0,"Spatial Data Missing ⚠",VLOOKUP(V110,'G-7 Rivers Data'!$AG$4:$AI$9,2,FALSE)))</f>
        <v/>
      </c>
      <c r="X110" s="524" t="str">
        <f>IF(V110="","",IF(VLOOKUP(V110,'G-7 Rivers Data'!$AG$4:$AI$9,3,FALSE)=0,"Spatial Data Missing ⚠",VLOOKUP(V110,'G-7 Rivers Data'!$AG$4:$AI$9,3,FALSE)))</f>
        <v/>
      </c>
      <c r="Y110" s="537" t="str">
        <f>IFERROR(IF(OR(LEFT(P110,5)="Error ▲",LEFT(O110,5)="Error ▲"),"Check Data ⚠",IF(F110&lt;S110,'G-7 Rivers Data'!$R$3,INDEX('G-7 Rivers Data'!$U$5:$Y$9,MATCH(G110,'G-7 Rivers Data'!$T$5:$T$9,0),MATCH(T110,'G-7 Rivers Data'!$U$4:$Y$4,0)))),"")</f>
        <v/>
      </c>
      <c r="Z110" s="203"/>
      <c r="AA110" s="203"/>
      <c r="AB110" s="534" t="str">
        <f t="shared" si="8"/>
        <v/>
      </c>
      <c r="AC110" s="521" t="str">
        <f t="shared" si="9"/>
        <v/>
      </c>
      <c r="AD110" s="564" t="str">
        <f>IFERROR(IF(AC110="Check Data ⚠","Check Data ⚠",VLOOKUP(AC110,'G-4 Temporal multipliers'!$A$4:$C$37,3,FALSE)),"")</f>
        <v/>
      </c>
      <c r="AE110" s="537" t="str">
        <f>IF(N110="","",VLOOKUP(N110,'G-7 Rivers Data'!$B$4:$G$8,5,FALSE))</f>
        <v/>
      </c>
      <c r="AF110" s="520" t="str">
        <f t="shared" si="10"/>
        <v/>
      </c>
      <c r="AG110" s="520" t="str">
        <f t="shared" si="14"/>
        <v/>
      </c>
      <c r="AH110" s="524" t="str">
        <f t="shared" si="11"/>
        <v/>
      </c>
      <c r="AI110" s="145"/>
      <c r="AJ110" s="499" t="str">
        <f>IF(AI110="","",IF(VLOOKUP(AI110,'G-7 Rivers Data'!$AA$4:$AB$7,2,FALSE)=0,"Spatial Data Missing ⚠",VLOOKUP(AI110,'G-7 Rivers Data'!$AA$4:$AB$7,2,FALSE)))</f>
        <v/>
      </c>
      <c r="AK110" s="155"/>
      <c r="AL110" s="536" t="str">
        <f>IF(AK110="","",IF(VLOOKUP(AK110,'G-7 Rivers Data'!$AD$4:$AE$8,2,FALSE)=0,"Spatial Data Missing ⚠",VLOOKUP(AK110,'G-7 Rivers Data'!$AD$4:$AE$8,2,FALSE)))</f>
        <v/>
      </c>
      <c r="AM110" s="154"/>
      <c r="AN110" s="524" t="str">
        <f>IF(AM110="","",VLOOKUP(AM110,'G-7 Rivers Data'!$AO$4:$AP$7,2,FALSE))</f>
        <v/>
      </c>
      <c r="AO110" s="545" t="str">
        <f t="shared" si="15"/>
        <v/>
      </c>
      <c r="AP110" s="149"/>
      <c r="AQ110" s="150"/>
      <c r="AX110" s="31" t="str">
        <f>IFERROR(INDEX('G-7 Rivers Data'!$AZ$3:$AZ$7,MATCH(N110,'G-7 Rivers Data'!$AY$3:$AY$7,0)),"")</f>
        <v/>
      </c>
    </row>
    <row r="111" spans="2:50" ht="14" x14ac:dyDescent="0.3">
      <c r="B111" s="531" t="str">
        <f>'F-1 Off Site River Baseline'!AN109</f>
        <v/>
      </c>
      <c r="C111" s="520" t="str">
        <f>IF(B111="","",VLOOKUP($B111,'F-1 Off Site River Baseline'!$C$9:$R$257,2,FALSE))</f>
        <v/>
      </c>
      <c r="D111" s="520" t="str">
        <f>IF(C111="","",VLOOKUP($B111,'F-1 Off Site River Baseline'!$C$9:$R$257,3,FALSE))</f>
        <v/>
      </c>
      <c r="E111" s="520" t="str">
        <f>IF(D111="","",VLOOKUP($B111,'F-1 Off Site River Baseline'!$C$9:$R$257,4,FALSE))</f>
        <v/>
      </c>
      <c r="F111" s="520" t="str">
        <f>IF(E111="","",VLOOKUP($B111,'F-1 Off Site River Baseline'!$C$9:$R$257,5,FALSE))</f>
        <v/>
      </c>
      <c r="G111" s="520" t="str">
        <f>IF(F111="","",VLOOKUP($B111,'F-1 Off Site River Baseline'!$C$9:$R$257,6,FALSE))</f>
        <v/>
      </c>
      <c r="H111" s="520" t="str">
        <f>IF(G111="","",VLOOKUP($B111,'F-1 Off Site River Baseline'!$C$9:$R$257,7,FALSE))</f>
        <v/>
      </c>
      <c r="I111" s="520" t="str">
        <f>IF(H111="","",VLOOKUP($B111,'F-1 Off Site River Baseline'!$C$9:$R$257,8,FALSE))</f>
        <v/>
      </c>
      <c r="J111" s="520" t="str">
        <f>IF(I111="","",VLOOKUP($B111,'F-1 Off Site River Baseline'!$C$9:$R$257,9,FALSE))</f>
        <v/>
      </c>
      <c r="K111" s="520" t="str">
        <f>IF(J111="","",VLOOKUP($B111,'F-1 Off Site River Baseline'!$C$9:$R$257,10,FALSE))</f>
        <v/>
      </c>
      <c r="L111" s="520" t="str">
        <f>IF(B111="","",VLOOKUP($B111,'C-1 Site River Baseline'!$C$9:$R$257,15,FALSE))</f>
        <v/>
      </c>
      <c r="M111" s="524" t="str">
        <f>IF(L111="","",VLOOKUP($B111,'F-1 Off Site River Baseline'!$C$9:$R$257,16,FALSE))</f>
        <v/>
      </c>
      <c r="N111" s="418" t="str">
        <f t="shared" si="12"/>
        <v/>
      </c>
      <c r="O111" s="498" t="str">
        <f t="shared" si="13"/>
        <v/>
      </c>
      <c r="P111" s="499" t="str">
        <f>IF(C111="","",IF(AND(LEFT(C111,55)&lt;&gt;LEFT(N111,55),O111="High - High"),"Error - Not like for like ▲",IF(AND(F111=S111,H111&gt;U111),"Error - Can not reduce condition ▲",IF(AND(F111=S111,H111=U111,AJ111='F-1 Off Site River Baseline'!N109,'F-1 Off Site River Baseline'!P109=AL111),"Error - No enhancement ▲",IF(AND(C111&lt;&gt;N111,F111&lt;S111),"Lower Distinctiveness Habitat"&amp;" - "&amp;T111,G111&amp;" - "&amp;T111)))))</f>
        <v/>
      </c>
      <c r="Q111" s="505" t="str">
        <f>IF(N111="","",VLOOKUP(B111,'F-1 Off Site River Baseline'!$C$10:$AA$257,19,FALSE))</f>
        <v/>
      </c>
      <c r="R111" s="498" t="str">
        <f>IF(N111="","",VLOOKUP(N111,'G-7 Rivers Data'!$B$2:$G$8,2,FALSE))</f>
        <v/>
      </c>
      <c r="S111" s="499" t="str">
        <f>IFERROR(VLOOKUP(R111,'G-7 Rivers Data'!$C$4:$D$8,2,FALSE),"")</f>
        <v/>
      </c>
      <c r="T111" s="145"/>
      <c r="U111" s="499" t="str">
        <f>IFERROR(INDEX('G-7 Rivers Data'!$H$4:$L$8,MATCH(N111,'G-7 Rivers Data'!$B$4:$B$8,0),MATCH(T111,'G-7 Rivers Data'!$H$3:$L$3,0)),"")</f>
        <v/>
      </c>
      <c r="V111" s="154"/>
      <c r="W111" s="520" t="str">
        <f>IF(V111="","",IF(VLOOKUP(V111,'G-7 Rivers Data'!$AG$4:$AI$9,2,FALSE)=0,"Spatial Data Missing ⚠",VLOOKUP(V111,'G-7 Rivers Data'!$AG$4:$AI$9,2,FALSE)))</f>
        <v/>
      </c>
      <c r="X111" s="524" t="str">
        <f>IF(V111="","",IF(VLOOKUP(V111,'G-7 Rivers Data'!$AG$4:$AI$9,3,FALSE)=0,"Spatial Data Missing ⚠",VLOOKUP(V111,'G-7 Rivers Data'!$AG$4:$AI$9,3,FALSE)))</f>
        <v/>
      </c>
      <c r="Y111" s="537" t="str">
        <f>IFERROR(IF(OR(LEFT(P111,5)="Error ▲",LEFT(O111,5)="Error ▲"),"Check Data ⚠",IF(F111&lt;S111,'G-7 Rivers Data'!$R$3,INDEX('G-7 Rivers Data'!$U$5:$Y$9,MATCH(G111,'G-7 Rivers Data'!$T$5:$T$9,0),MATCH(T111,'G-7 Rivers Data'!$U$4:$Y$4,0)))),"")</f>
        <v/>
      </c>
      <c r="Z111" s="203"/>
      <c r="AA111" s="203"/>
      <c r="AB111" s="534" t="str">
        <f t="shared" si="8"/>
        <v/>
      </c>
      <c r="AC111" s="521" t="str">
        <f t="shared" si="9"/>
        <v/>
      </c>
      <c r="AD111" s="564" t="str">
        <f>IFERROR(IF(AC111="Check Data ⚠","Check Data ⚠",VLOOKUP(AC111,'G-4 Temporal multipliers'!$A$4:$C$37,3,FALSE)),"")</f>
        <v/>
      </c>
      <c r="AE111" s="537" t="str">
        <f>IF(N111="","",VLOOKUP(N111,'G-7 Rivers Data'!$B$4:$G$8,5,FALSE))</f>
        <v/>
      </c>
      <c r="AF111" s="520" t="str">
        <f t="shared" si="10"/>
        <v/>
      </c>
      <c r="AG111" s="520" t="str">
        <f t="shared" si="14"/>
        <v/>
      </c>
      <c r="AH111" s="524" t="str">
        <f t="shared" si="11"/>
        <v/>
      </c>
      <c r="AI111" s="145"/>
      <c r="AJ111" s="499" t="str">
        <f>IF(AI111="","",IF(VLOOKUP(AI111,'G-7 Rivers Data'!$AA$4:$AB$7,2,FALSE)=0,"Spatial Data Missing ⚠",VLOOKUP(AI111,'G-7 Rivers Data'!$AA$4:$AB$7,2,FALSE)))</f>
        <v/>
      </c>
      <c r="AK111" s="155"/>
      <c r="AL111" s="536" t="str">
        <f>IF(AK111="","",IF(VLOOKUP(AK111,'G-7 Rivers Data'!$AD$4:$AE$8,2,FALSE)=0,"Spatial Data Missing ⚠",VLOOKUP(AK111,'G-7 Rivers Data'!$AD$4:$AE$8,2,FALSE)))</f>
        <v/>
      </c>
      <c r="AM111" s="154"/>
      <c r="AN111" s="524" t="str">
        <f>IF(AM111="","",VLOOKUP(AM111,'G-7 Rivers Data'!$AO$4:$AP$7,2,FALSE))</f>
        <v/>
      </c>
      <c r="AO111" s="545" t="str">
        <f t="shared" si="15"/>
        <v/>
      </c>
      <c r="AP111" s="149"/>
      <c r="AQ111" s="150"/>
      <c r="AX111" s="31" t="str">
        <f>IFERROR(INDEX('G-7 Rivers Data'!$AZ$3:$AZ$7,MATCH(N111,'G-7 Rivers Data'!$AY$3:$AY$7,0)),"")</f>
        <v/>
      </c>
    </row>
    <row r="112" spans="2:50" ht="14" x14ac:dyDescent="0.3">
      <c r="B112" s="531" t="str">
        <f>'F-1 Off Site River Baseline'!AN110</f>
        <v/>
      </c>
      <c r="C112" s="520" t="str">
        <f>IF(B112="","",VLOOKUP($B112,'F-1 Off Site River Baseline'!$C$9:$R$257,2,FALSE))</f>
        <v/>
      </c>
      <c r="D112" s="520" t="str">
        <f>IF(C112="","",VLOOKUP($B112,'F-1 Off Site River Baseline'!$C$9:$R$257,3,FALSE))</f>
        <v/>
      </c>
      <c r="E112" s="520" t="str">
        <f>IF(D112="","",VLOOKUP($B112,'F-1 Off Site River Baseline'!$C$9:$R$257,4,FALSE))</f>
        <v/>
      </c>
      <c r="F112" s="520" t="str">
        <f>IF(E112="","",VLOOKUP($B112,'F-1 Off Site River Baseline'!$C$9:$R$257,5,FALSE))</f>
        <v/>
      </c>
      <c r="G112" s="520" t="str">
        <f>IF(F112="","",VLOOKUP($B112,'F-1 Off Site River Baseline'!$C$9:$R$257,6,FALSE))</f>
        <v/>
      </c>
      <c r="H112" s="520" t="str">
        <f>IF(G112="","",VLOOKUP($B112,'F-1 Off Site River Baseline'!$C$9:$R$257,7,FALSE))</f>
        <v/>
      </c>
      <c r="I112" s="520" t="str">
        <f>IF(H112="","",VLOOKUP($B112,'F-1 Off Site River Baseline'!$C$9:$R$257,8,FALSE))</f>
        <v/>
      </c>
      <c r="J112" s="520" t="str">
        <f>IF(I112="","",VLOOKUP($B112,'F-1 Off Site River Baseline'!$C$9:$R$257,9,FALSE))</f>
        <v/>
      </c>
      <c r="K112" s="520" t="str">
        <f>IF(J112="","",VLOOKUP($B112,'F-1 Off Site River Baseline'!$C$9:$R$257,10,FALSE))</f>
        <v/>
      </c>
      <c r="L112" s="520" t="str">
        <f>IF(B112="","",VLOOKUP($B112,'C-1 Site River Baseline'!$C$9:$R$257,15,FALSE))</f>
        <v/>
      </c>
      <c r="M112" s="524" t="str">
        <f>IF(L112="","",VLOOKUP($B112,'F-1 Off Site River Baseline'!$C$9:$R$257,16,FALSE))</f>
        <v/>
      </c>
      <c r="N112" s="418" t="str">
        <f t="shared" si="12"/>
        <v/>
      </c>
      <c r="O112" s="498" t="str">
        <f t="shared" si="13"/>
        <v/>
      </c>
      <c r="P112" s="499" t="str">
        <f>IF(C112="","",IF(AND(LEFT(C112,55)&lt;&gt;LEFT(N112,55),O112="High - High"),"Error - Not like for like ▲",IF(AND(F112=S112,H112&gt;U112),"Error - Can not reduce condition ▲",IF(AND(F112=S112,H112=U112,AJ112='F-1 Off Site River Baseline'!N110,'F-1 Off Site River Baseline'!P110=AL112),"Error - No enhancement ▲",IF(AND(C112&lt;&gt;N112,F112&lt;S112),"Lower Distinctiveness Habitat"&amp;" - "&amp;T112,G112&amp;" - "&amp;T112)))))</f>
        <v/>
      </c>
      <c r="Q112" s="505" t="str">
        <f>IF(N112="","",VLOOKUP(B112,'F-1 Off Site River Baseline'!$C$10:$AA$257,19,FALSE))</f>
        <v/>
      </c>
      <c r="R112" s="498" t="str">
        <f>IF(N112="","",VLOOKUP(N112,'G-7 Rivers Data'!$B$2:$G$8,2,FALSE))</f>
        <v/>
      </c>
      <c r="S112" s="499" t="str">
        <f>IFERROR(VLOOKUP(R112,'G-7 Rivers Data'!$C$4:$D$8,2,FALSE),"")</f>
        <v/>
      </c>
      <c r="T112" s="145"/>
      <c r="U112" s="499" t="str">
        <f>IFERROR(INDEX('G-7 Rivers Data'!$H$4:$L$8,MATCH(N112,'G-7 Rivers Data'!$B$4:$B$8,0),MATCH(T112,'G-7 Rivers Data'!$H$3:$L$3,0)),"")</f>
        <v/>
      </c>
      <c r="V112" s="154"/>
      <c r="W112" s="520" t="str">
        <f>IF(V112="","",IF(VLOOKUP(V112,'G-7 Rivers Data'!$AG$4:$AI$9,2,FALSE)=0,"Spatial Data Missing ⚠",VLOOKUP(V112,'G-7 Rivers Data'!$AG$4:$AI$9,2,FALSE)))</f>
        <v/>
      </c>
      <c r="X112" s="524" t="str">
        <f>IF(V112="","",IF(VLOOKUP(V112,'G-7 Rivers Data'!$AG$4:$AI$9,3,FALSE)=0,"Spatial Data Missing ⚠",VLOOKUP(V112,'G-7 Rivers Data'!$AG$4:$AI$9,3,FALSE)))</f>
        <v/>
      </c>
      <c r="Y112" s="537" t="str">
        <f>IFERROR(IF(OR(LEFT(P112,5)="Error ▲",LEFT(O112,5)="Error ▲"),"Check Data ⚠",IF(F112&lt;S112,'G-7 Rivers Data'!$R$3,INDEX('G-7 Rivers Data'!$U$5:$Y$9,MATCH(G112,'G-7 Rivers Data'!$T$5:$T$9,0),MATCH(T112,'G-7 Rivers Data'!$U$4:$Y$4,0)))),"")</f>
        <v/>
      </c>
      <c r="Z112" s="203"/>
      <c r="AA112" s="203"/>
      <c r="AB112" s="534" t="str">
        <f t="shared" si="8"/>
        <v/>
      </c>
      <c r="AC112" s="521" t="str">
        <f t="shared" si="9"/>
        <v/>
      </c>
      <c r="AD112" s="564" t="str">
        <f>IFERROR(IF(AC112="Check Data ⚠","Check Data ⚠",VLOOKUP(AC112,'G-4 Temporal multipliers'!$A$4:$C$37,3,FALSE)),"")</f>
        <v/>
      </c>
      <c r="AE112" s="537" t="str">
        <f>IF(N112="","",VLOOKUP(N112,'G-7 Rivers Data'!$B$4:$G$8,5,FALSE))</f>
        <v/>
      </c>
      <c r="AF112" s="520" t="str">
        <f t="shared" si="10"/>
        <v/>
      </c>
      <c r="AG112" s="520" t="str">
        <f t="shared" si="14"/>
        <v/>
      </c>
      <c r="AH112" s="524" t="str">
        <f t="shared" si="11"/>
        <v/>
      </c>
      <c r="AI112" s="145"/>
      <c r="AJ112" s="499" t="str">
        <f>IF(AI112="","",IF(VLOOKUP(AI112,'G-7 Rivers Data'!$AA$4:$AB$7,2,FALSE)=0,"Spatial Data Missing ⚠",VLOOKUP(AI112,'G-7 Rivers Data'!$AA$4:$AB$7,2,FALSE)))</f>
        <v/>
      </c>
      <c r="AK112" s="155"/>
      <c r="AL112" s="536" t="str">
        <f>IF(AK112="","",IF(VLOOKUP(AK112,'G-7 Rivers Data'!$AD$4:$AE$8,2,FALSE)=0,"Spatial Data Missing ⚠",VLOOKUP(AK112,'G-7 Rivers Data'!$AD$4:$AE$8,2,FALSE)))</f>
        <v/>
      </c>
      <c r="AM112" s="154"/>
      <c r="AN112" s="524" t="str">
        <f>IF(AM112="","",VLOOKUP(AM112,'G-7 Rivers Data'!$AO$4:$AP$7,2,FALSE))</f>
        <v/>
      </c>
      <c r="AO112" s="545" t="str">
        <f t="shared" si="15"/>
        <v/>
      </c>
      <c r="AP112" s="149"/>
      <c r="AQ112" s="150"/>
      <c r="AX112" s="31" t="str">
        <f>IFERROR(INDEX('G-7 Rivers Data'!$AZ$3:$AZ$7,MATCH(N112,'G-7 Rivers Data'!$AY$3:$AY$7,0)),"")</f>
        <v/>
      </c>
    </row>
    <row r="113" spans="2:50" ht="14" x14ac:dyDescent="0.3">
      <c r="B113" s="531" t="str">
        <f>'F-1 Off Site River Baseline'!AN111</f>
        <v/>
      </c>
      <c r="C113" s="520" t="str">
        <f>IF(B113="","",VLOOKUP($B113,'F-1 Off Site River Baseline'!$C$9:$R$257,2,FALSE))</f>
        <v/>
      </c>
      <c r="D113" s="520" t="str">
        <f>IF(C113="","",VLOOKUP($B113,'F-1 Off Site River Baseline'!$C$9:$R$257,3,FALSE))</f>
        <v/>
      </c>
      <c r="E113" s="520" t="str">
        <f>IF(D113="","",VLOOKUP($B113,'F-1 Off Site River Baseline'!$C$9:$R$257,4,FALSE))</f>
        <v/>
      </c>
      <c r="F113" s="520" t="str">
        <f>IF(E113="","",VLOOKUP($B113,'F-1 Off Site River Baseline'!$C$9:$R$257,5,FALSE))</f>
        <v/>
      </c>
      <c r="G113" s="520" t="str">
        <f>IF(F113="","",VLOOKUP($B113,'F-1 Off Site River Baseline'!$C$9:$R$257,6,FALSE))</f>
        <v/>
      </c>
      <c r="H113" s="520" t="str">
        <f>IF(G113="","",VLOOKUP($B113,'F-1 Off Site River Baseline'!$C$9:$R$257,7,FALSE))</f>
        <v/>
      </c>
      <c r="I113" s="520" t="str">
        <f>IF(H113="","",VLOOKUP($B113,'F-1 Off Site River Baseline'!$C$9:$R$257,8,FALSE))</f>
        <v/>
      </c>
      <c r="J113" s="520" t="str">
        <f>IF(I113="","",VLOOKUP($B113,'F-1 Off Site River Baseline'!$C$9:$R$257,9,FALSE))</f>
        <v/>
      </c>
      <c r="K113" s="520" t="str">
        <f>IF(J113="","",VLOOKUP($B113,'F-1 Off Site River Baseline'!$C$9:$R$257,10,FALSE))</f>
        <v/>
      </c>
      <c r="L113" s="520" t="str">
        <f>IF(B113="","",VLOOKUP($B113,'C-1 Site River Baseline'!$C$9:$R$257,15,FALSE))</f>
        <v/>
      </c>
      <c r="M113" s="524" t="str">
        <f>IF(L113="","",VLOOKUP($B113,'F-1 Off Site River Baseline'!$C$9:$R$257,16,FALSE))</f>
        <v/>
      </c>
      <c r="N113" s="418" t="str">
        <f t="shared" si="12"/>
        <v/>
      </c>
      <c r="O113" s="498" t="str">
        <f t="shared" si="13"/>
        <v/>
      </c>
      <c r="P113" s="499" t="str">
        <f>IF(C113="","",IF(AND(LEFT(C113,55)&lt;&gt;LEFT(N113,55),O113="High - High"),"Error - Not like for like ▲",IF(AND(F113=S113,H113&gt;U113),"Error - Can not reduce condition ▲",IF(AND(F113=S113,H113=U113,AJ113='F-1 Off Site River Baseline'!N111,'F-1 Off Site River Baseline'!P111=AL113),"Error - No enhancement ▲",IF(AND(C113&lt;&gt;N113,F113&lt;S113),"Lower Distinctiveness Habitat"&amp;" - "&amp;T113,G113&amp;" - "&amp;T113)))))</f>
        <v/>
      </c>
      <c r="Q113" s="505" t="str">
        <f>IF(N113="","",VLOOKUP(B113,'F-1 Off Site River Baseline'!$C$10:$AA$257,19,FALSE))</f>
        <v/>
      </c>
      <c r="R113" s="498" t="str">
        <f>IF(N113="","",VLOOKUP(N113,'G-7 Rivers Data'!$B$2:$G$8,2,FALSE))</f>
        <v/>
      </c>
      <c r="S113" s="499" t="str">
        <f>IFERROR(VLOOKUP(R113,'G-7 Rivers Data'!$C$4:$D$8,2,FALSE),"")</f>
        <v/>
      </c>
      <c r="T113" s="145"/>
      <c r="U113" s="499" t="str">
        <f>IFERROR(INDEX('G-7 Rivers Data'!$H$4:$L$8,MATCH(N113,'G-7 Rivers Data'!$B$4:$B$8,0),MATCH(T113,'G-7 Rivers Data'!$H$3:$L$3,0)),"")</f>
        <v/>
      </c>
      <c r="V113" s="154"/>
      <c r="W113" s="520" t="str">
        <f>IF(V113="","",IF(VLOOKUP(V113,'G-7 Rivers Data'!$AG$4:$AI$9,2,FALSE)=0,"Spatial Data Missing ⚠",VLOOKUP(V113,'G-7 Rivers Data'!$AG$4:$AI$9,2,FALSE)))</f>
        <v/>
      </c>
      <c r="X113" s="524" t="str">
        <f>IF(V113="","",IF(VLOOKUP(V113,'G-7 Rivers Data'!$AG$4:$AI$9,3,FALSE)=0,"Spatial Data Missing ⚠",VLOOKUP(V113,'G-7 Rivers Data'!$AG$4:$AI$9,3,FALSE)))</f>
        <v/>
      </c>
      <c r="Y113" s="537" t="str">
        <f>IFERROR(IF(OR(LEFT(P113,5)="Error ▲",LEFT(O113,5)="Error ▲"),"Check Data ⚠",IF(F113&lt;S113,'G-7 Rivers Data'!$R$3,INDEX('G-7 Rivers Data'!$U$5:$Y$9,MATCH(G113,'G-7 Rivers Data'!$T$5:$T$9,0),MATCH(T113,'G-7 Rivers Data'!$U$4:$Y$4,0)))),"")</f>
        <v/>
      </c>
      <c r="Z113" s="203"/>
      <c r="AA113" s="203"/>
      <c r="AB113" s="534" t="str">
        <f t="shared" si="8"/>
        <v/>
      </c>
      <c r="AC113" s="521" t="str">
        <f t="shared" si="9"/>
        <v/>
      </c>
      <c r="AD113" s="564" t="str">
        <f>IFERROR(IF(AC113="Check Data ⚠","Check Data ⚠",VLOOKUP(AC113,'G-4 Temporal multipliers'!$A$4:$C$37,3,FALSE)),"")</f>
        <v/>
      </c>
      <c r="AE113" s="537" t="str">
        <f>IF(N113="","",VLOOKUP(N113,'G-7 Rivers Data'!$B$4:$G$8,5,FALSE))</f>
        <v/>
      </c>
      <c r="AF113" s="520" t="str">
        <f t="shared" si="10"/>
        <v/>
      </c>
      <c r="AG113" s="520" t="str">
        <f t="shared" si="14"/>
        <v/>
      </c>
      <c r="AH113" s="524" t="str">
        <f t="shared" si="11"/>
        <v/>
      </c>
      <c r="AI113" s="145"/>
      <c r="AJ113" s="499" t="str">
        <f>IF(AI113="","",IF(VLOOKUP(AI113,'G-7 Rivers Data'!$AA$4:$AB$7,2,FALSE)=0,"Spatial Data Missing ⚠",VLOOKUP(AI113,'G-7 Rivers Data'!$AA$4:$AB$7,2,FALSE)))</f>
        <v/>
      </c>
      <c r="AK113" s="155"/>
      <c r="AL113" s="536" t="str">
        <f>IF(AK113="","",IF(VLOOKUP(AK113,'G-7 Rivers Data'!$AD$4:$AE$8,2,FALSE)=0,"Spatial Data Missing ⚠",VLOOKUP(AK113,'G-7 Rivers Data'!$AD$4:$AE$8,2,FALSE)))</f>
        <v/>
      </c>
      <c r="AM113" s="154"/>
      <c r="AN113" s="524" t="str">
        <f>IF(AM113="","",VLOOKUP(AM113,'G-7 Rivers Data'!$AO$4:$AP$7,2,FALSE))</f>
        <v/>
      </c>
      <c r="AO113" s="545" t="str">
        <f t="shared" si="15"/>
        <v/>
      </c>
      <c r="AP113" s="149"/>
      <c r="AQ113" s="150"/>
      <c r="AX113" s="31" t="str">
        <f>IFERROR(INDEX('G-7 Rivers Data'!$AZ$3:$AZ$7,MATCH(N113,'G-7 Rivers Data'!$AY$3:$AY$7,0)),"")</f>
        <v/>
      </c>
    </row>
    <row r="114" spans="2:50" ht="14" x14ac:dyDescent="0.3">
      <c r="B114" s="531" t="str">
        <f>'F-1 Off Site River Baseline'!AN112</f>
        <v/>
      </c>
      <c r="C114" s="520" t="str">
        <f>IF(B114="","",VLOOKUP($B114,'F-1 Off Site River Baseline'!$C$9:$R$257,2,FALSE))</f>
        <v/>
      </c>
      <c r="D114" s="520" t="str">
        <f>IF(C114="","",VLOOKUP($B114,'F-1 Off Site River Baseline'!$C$9:$R$257,3,FALSE))</f>
        <v/>
      </c>
      <c r="E114" s="520" t="str">
        <f>IF(D114="","",VLOOKUP($B114,'F-1 Off Site River Baseline'!$C$9:$R$257,4,FALSE))</f>
        <v/>
      </c>
      <c r="F114" s="520" t="str">
        <f>IF(E114="","",VLOOKUP($B114,'F-1 Off Site River Baseline'!$C$9:$R$257,5,FALSE))</f>
        <v/>
      </c>
      <c r="G114" s="520" t="str">
        <f>IF(F114="","",VLOOKUP($B114,'F-1 Off Site River Baseline'!$C$9:$R$257,6,FALSE))</f>
        <v/>
      </c>
      <c r="H114" s="520" t="str">
        <f>IF(G114="","",VLOOKUP($B114,'F-1 Off Site River Baseline'!$C$9:$R$257,7,FALSE))</f>
        <v/>
      </c>
      <c r="I114" s="520" t="str">
        <f>IF(H114="","",VLOOKUP($B114,'F-1 Off Site River Baseline'!$C$9:$R$257,8,FALSE))</f>
        <v/>
      </c>
      <c r="J114" s="520" t="str">
        <f>IF(I114="","",VLOOKUP($B114,'F-1 Off Site River Baseline'!$C$9:$R$257,9,FALSE))</f>
        <v/>
      </c>
      <c r="K114" s="520" t="str">
        <f>IF(J114="","",VLOOKUP($B114,'F-1 Off Site River Baseline'!$C$9:$R$257,10,FALSE))</f>
        <v/>
      </c>
      <c r="L114" s="520" t="str">
        <f>IF(B114="","",VLOOKUP($B114,'C-1 Site River Baseline'!$C$9:$R$257,15,FALSE))</f>
        <v/>
      </c>
      <c r="M114" s="524" t="str">
        <f>IF(L114="","",VLOOKUP($B114,'F-1 Off Site River Baseline'!$C$9:$R$257,16,FALSE))</f>
        <v/>
      </c>
      <c r="N114" s="418" t="str">
        <f t="shared" si="12"/>
        <v/>
      </c>
      <c r="O114" s="498" t="str">
        <f t="shared" si="13"/>
        <v/>
      </c>
      <c r="P114" s="499" t="str">
        <f>IF(C114="","",IF(AND(LEFT(C114,55)&lt;&gt;LEFT(N114,55),O114="High - High"),"Error - Not like for like ▲",IF(AND(F114=S114,H114&gt;U114),"Error - Can not reduce condition ▲",IF(AND(F114=S114,H114=U114,AJ114='F-1 Off Site River Baseline'!N112,'F-1 Off Site River Baseline'!P112=AL114),"Error - No enhancement ▲",IF(AND(C114&lt;&gt;N114,F114&lt;S114),"Lower Distinctiveness Habitat"&amp;" - "&amp;T114,G114&amp;" - "&amp;T114)))))</f>
        <v/>
      </c>
      <c r="Q114" s="505" t="str">
        <f>IF(N114="","",VLOOKUP(B114,'F-1 Off Site River Baseline'!$C$10:$AA$257,19,FALSE))</f>
        <v/>
      </c>
      <c r="R114" s="498" t="str">
        <f>IF(N114="","",VLOOKUP(N114,'G-7 Rivers Data'!$B$2:$G$8,2,FALSE))</f>
        <v/>
      </c>
      <c r="S114" s="499" t="str">
        <f>IFERROR(VLOOKUP(R114,'G-7 Rivers Data'!$C$4:$D$8,2,FALSE),"")</f>
        <v/>
      </c>
      <c r="T114" s="145"/>
      <c r="U114" s="499" t="str">
        <f>IFERROR(INDEX('G-7 Rivers Data'!$H$4:$L$8,MATCH(N114,'G-7 Rivers Data'!$B$4:$B$8,0),MATCH(T114,'G-7 Rivers Data'!$H$3:$L$3,0)),"")</f>
        <v/>
      </c>
      <c r="V114" s="154"/>
      <c r="W114" s="520" t="str">
        <f>IF(V114="","",IF(VLOOKUP(V114,'G-7 Rivers Data'!$AG$4:$AI$9,2,FALSE)=0,"Spatial Data Missing ⚠",VLOOKUP(V114,'G-7 Rivers Data'!$AG$4:$AI$9,2,FALSE)))</f>
        <v/>
      </c>
      <c r="X114" s="524" t="str">
        <f>IF(V114="","",IF(VLOOKUP(V114,'G-7 Rivers Data'!$AG$4:$AI$9,3,FALSE)=0,"Spatial Data Missing ⚠",VLOOKUP(V114,'G-7 Rivers Data'!$AG$4:$AI$9,3,FALSE)))</f>
        <v/>
      </c>
      <c r="Y114" s="537" t="str">
        <f>IFERROR(IF(OR(LEFT(P114,5)="Error ▲",LEFT(O114,5)="Error ▲"),"Check Data ⚠",IF(F114&lt;S114,'G-7 Rivers Data'!$R$3,INDEX('G-7 Rivers Data'!$U$5:$Y$9,MATCH(G114,'G-7 Rivers Data'!$T$5:$T$9,0),MATCH(T114,'G-7 Rivers Data'!$U$4:$Y$4,0)))),"")</f>
        <v/>
      </c>
      <c r="Z114" s="203"/>
      <c r="AA114" s="203"/>
      <c r="AB114" s="534" t="str">
        <f t="shared" si="8"/>
        <v/>
      </c>
      <c r="AC114" s="521" t="str">
        <f t="shared" si="9"/>
        <v/>
      </c>
      <c r="AD114" s="564" t="str">
        <f>IFERROR(IF(AC114="Check Data ⚠","Check Data ⚠",VLOOKUP(AC114,'G-4 Temporal multipliers'!$A$4:$C$37,3,FALSE)),"")</f>
        <v/>
      </c>
      <c r="AE114" s="537" t="str">
        <f>IF(N114="","",VLOOKUP(N114,'G-7 Rivers Data'!$B$4:$G$8,5,FALSE))</f>
        <v/>
      </c>
      <c r="AF114" s="520" t="str">
        <f t="shared" si="10"/>
        <v/>
      </c>
      <c r="AG114" s="520" t="str">
        <f t="shared" si="14"/>
        <v/>
      </c>
      <c r="AH114" s="524" t="str">
        <f t="shared" si="11"/>
        <v/>
      </c>
      <c r="AI114" s="145"/>
      <c r="AJ114" s="499" t="str">
        <f>IF(AI114="","",IF(VLOOKUP(AI114,'G-7 Rivers Data'!$AA$4:$AB$7,2,FALSE)=0,"Spatial Data Missing ⚠",VLOOKUP(AI114,'G-7 Rivers Data'!$AA$4:$AB$7,2,FALSE)))</f>
        <v/>
      </c>
      <c r="AK114" s="155"/>
      <c r="AL114" s="536" t="str">
        <f>IF(AK114="","",IF(VLOOKUP(AK114,'G-7 Rivers Data'!$AD$4:$AE$8,2,FALSE)=0,"Spatial Data Missing ⚠",VLOOKUP(AK114,'G-7 Rivers Data'!$AD$4:$AE$8,2,FALSE)))</f>
        <v/>
      </c>
      <c r="AM114" s="154"/>
      <c r="AN114" s="524" t="str">
        <f>IF(AM114="","",VLOOKUP(AM114,'G-7 Rivers Data'!$AO$4:$AP$7,2,FALSE))</f>
        <v/>
      </c>
      <c r="AO114" s="545" t="str">
        <f t="shared" si="15"/>
        <v/>
      </c>
      <c r="AP114" s="149"/>
      <c r="AQ114" s="150"/>
      <c r="AX114" s="31" t="str">
        <f>IFERROR(INDEX('G-7 Rivers Data'!$AZ$3:$AZ$7,MATCH(N114,'G-7 Rivers Data'!$AY$3:$AY$7,0)),"")</f>
        <v/>
      </c>
    </row>
    <row r="115" spans="2:50" ht="14" x14ac:dyDescent="0.3">
      <c r="B115" s="531" t="str">
        <f>'F-1 Off Site River Baseline'!AN113</f>
        <v/>
      </c>
      <c r="C115" s="520" t="str">
        <f>IF(B115="","",VLOOKUP($B115,'F-1 Off Site River Baseline'!$C$9:$R$257,2,FALSE))</f>
        <v/>
      </c>
      <c r="D115" s="520" t="str">
        <f>IF(C115="","",VLOOKUP($B115,'F-1 Off Site River Baseline'!$C$9:$R$257,3,FALSE))</f>
        <v/>
      </c>
      <c r="E115" s="520" t="str">
        <f>IF(D115="","",VLOOKUP($B115,'F-1 Off Site River Baseline'!$C$9:$R$257,4,FALSE))</f>
        <v/>
      </c>
      <c r="F115" s="520" t="str">
        <f>IF(E115="","",VLOOKUP($B115,'F-1 Off Site River Baseline'!$C$9:$R$257,5,FALSE))</f>
        <v/>
      </c>
      <c r="G115" s="520" t="str">
        <f>IF(F115="","",VLOOKUP($B115,'F-1 Off Site River Baseline'!$C$9:$R$257,6,FALSE))</f>
        <v/>
      </c>
      <c r="H115" s="520" t="str">
        <f>IF(G115="","",VLOOKUP($B115,'F-1 Off Site River Baseline'!$C$9:$R$257,7,FALSE))</f>
        <v/>
      </c>
      <c r="I115" s="520" t="str">
        <f>IF(H115="","",VLOOKUP($B115,'F-1 Off Site River Baseline'!$C$9:$R$257,8,FALSE))</f>
        <v/>
      </c>
      <c r="J115" s="520" t="str">
        <f>IF(I115="","",VLOOKUP($B115,'F-1 Off Site River Baseline'!$C$9:$R$257,9,FALSE))</f>
        <v/>
      </c>
      <c r="K115" s="520" t="str">
        <f>IF(J115="","",VLOOKUP($B115,'F-1 Off Site River Baseline'!$C$9:$R$257,10,FALSE))</f>
        <v/>
      </c>
      <c r="L115" s="520" t="str">
        <f>IF(B115="","",VLOOKUP($B115,'C-1 Site River Baseline'!$C$9:$R$257,15,FALSE))</f>
        <v/>
      </c>
      <c r="M115" s="524" t="str">
        <f>IF(L115="","",VLOOKUP($B115,'F-1 Off Site River Baseline'!$C$9:$R$257,16,FALSE))</f>
        <v/>
      </c>
      <c r="N115" s="418" t="str">
        <f t="shared" si="12"/>
        <v/>
      </c>
      <c r="O115" s="498" t="str">
        <f t="shared" si="13"/>
        <v/>
      </c>
      <c r="P115" s="499" t="str">
        <f>IF(C115="","",IF(AND(LEFT(C115,55)&lt;&gt;LEFT(N115,55),O115="High - High"),"Error - Not like for like ▲",IF(AND(F115=S115,H115&gt;U115),"Error - Can not reduce condition ▲",IF(AND(F115=S115,H115=U115,AJ115='F-1 Off Site River Baseline'!N113,'F-1 Off Site River Baseline'!P113=AL115),"Error - No enhancement ▲",IF(AND(C115&lt;&gt;N115,F115&lt;S115),"Lower Distinctiveness Habitat"&amp;" - "&amp;T115,G115&amp;" - "&amp;T115)))))</f>
        <v/>
      </c>
      <c r="Q115" s="505" t="str">
        <f>IF(N115="","",VLOOKUP(B115,'F-1 Off Site River Baseline'!$C$10:$AA$257,19,FALSE))</f>
        <v/>
      </c>
      <c r="R115" s="498" t="str">
        <f>IF(N115="","",VLOOKUP(N115,'G-7 Rivers Data'!$B$2:$G$8,2,FALSE))</f>
        <v/>
      </c>
      <c r="S115" s="499" t="str">
        <f>IFERROR(VLOOKUP(R115,'G-7 Rivers Data'!$C$4:$D$8,2,FALSE),"")</f>
        <v/>
      </c>
      <c r="T115" s="145"/>
      <c r="U115" s="499" t="str">
        <f>IFERROR(INDEX('G-7 Rivers Data'!$H$4:$L$8,MATCH(N115,'G-7 Rivers Data'!$B$4:$B$8,0),MATCH(T115,'G-7 Rivers Data'!$H$3:$L$3,0)),"")</f>
        <v/>
      </c>
      <c r="V115" s="154"/>
      <c r="W115" s="520" t="str">
        <f>IF(V115="","",IF(VLOOKUP(V115,'G-7 Rivers Data'!$AG$4:$AI$9,2,FALSE)=0,"Spatial Data Missing ⚠",VLOOKUP(V115,'G-7 Rivers Data'!$AG$4:$AI$9,2,FALSE)))</f>
        <v/>
      </c>
      <c r="X115" s="524" t="str">
        <f>IF(V115="","",IF(VLOOKUP(V115,'G-7 Rivers Data'!$AG$4:$AI$9,3,FALSE)=0,"Spatial Data Missing ⚠",VLOOKUP(V115,'G-7 Rivers Data'!$AG$4:$AI$9,3,FALSE)))</f>
        <v/>
      </c>
      <c r="Y115" s="537" t="str">
        <f>IFERROR(IF(OR(LEFT(P115,5)="Error ▲",LEFT(O115,5)="Error ▲"),"Check Data ⚠",IF(F115&lt;S115,'G-7 Rivers Data'!$R$3,INDEX('G-7 Rivers Data'!$U$5:$Y$9,MATCH(G115,'G-7 Rivers Data'!$T$5:$T$9,0),MATCH(T115,'G-7 Rivers Data'!$U$4:$Y$4,0)))),"")</f>
        <v/>
      </c>
      <c r="Z115" s="203"/>
      <c r="AA115" s="203"/>
      <c r="AB115" s="534" t="str">
        <f t="shared" si="8"/>
        <v/>
      </c>
      <c r="AC115" s="521" t="str">
        <f t="shared" si="9"/>
        <v/>
      </c>
      <c r="AD115" s="564" t="str">
        <f>IFERROR(IF(AC115="Check Data ⚠","Check Data ⚠",VLOOKUP(AC115,'G-4 Temporal multipliers'!$A$4:$C$37,3,FALSE)),"")</f>
        <v/>
      </c>
      <c r="AE115" s="537" t="str">
        <f>IF(N115="","",VLOOKUP(N115,'G-7 Rivers Data'!$B$4:$G$8,5,FALSE))</f>
        <v/>
      </c>
      <c r="AF115" s="520" t="str">
        <f t="shared" si="10"/>
        <v/>
      </c>
      <c r="AG115" s="520" t="str">
        <f t="shared" si="14"/>
        <v/>
      </c>
      <c r="AH115" s="524" t="str">
        <f t="shared" si="11"/>
        <v/>
      </c>
      <c r="AI115" s="145"/>
      <c r="AJ115" s="499" t="str">
        <f>IF(AI115="","",IF(VLOOKUP(AI115,'G-7 Rivers Data'!$AA$4:$AB$7,2,FALSE)=0,"Spatial Data Missing ⚠",VLOOKUP(AI115,'G-7 Rivers Data'!$AA$4:$AB$7,2,FALSE)))</f>
        <v/>
      </c>
      <c r="AK115" s="155"/>
      <c r="AL115" s="536" t="str">
        <f>IF(AK115="","",IF(VLOOKUP(AK115,'G-7 Rivers Data'!$AD$4:$AE$8,2,FALSE)=0,"Spatial Data Missing ⚠",VLOOKUP(AK115,'G-7 Rivers Data'!$AD$4:$AE$8,2,FALSE)))</f>
        <v/>
      </c>
      <c r="AM115" s="154"/>
      <c r="AN115" s="524" t="str">
        <f>IF(AM115="","",VLOOKUP(AM115,'G-7 Rivers Data'!$AO$4:$AP$7,2,FALSE))</f>
        <v/>
      </c>
      <c r="AO115" s="545" t="str">
        <f t="shared" si="15"/>
        <v/>
      </c>
      <c r="AP115" s="149"/>
      <c r="AQ115" s="150"/>
      <c r="AX115" s="31" t="str">
        <f>IFERROR(INDEX('G-7 Rivers Data'!$AZ$3:$AZ$7,MATCH(N115,'G-7 Rivers Data'!$AY$3:$AY$7,0)),"")</f>
        <v/>
      </c>
    </row>
    <row r="116" spans="2:50" ht="14" x14ac:dyDescent="0.3">
      <c r="B116" s="531" t="str">
        <f>'F-1 Off Site River Baseline'!AN114</f>
        <v/>
      </c>
      <c r="C116" s="520" t="str">
        <f>IF(B116="","",VLOOKUP($B116,'F-1 Off Site River Baseline'!$C$9:$R$257,2,FALSE))</f>
        <v/>
      </c>
      <c r="D116" s="520" t="str">
        <f>IF(C116="","",VLOOKUP($B116,'F-1 Off Site River Baseline'!$C$9:$R$257,3,FALSE))</f>
        <v/>
      </c>
      <c r="E116" s="520" t="str">
        <f>IF(D116="","",VLOOKUP($B116,'F-1 Off Site River Baseline'!$C$9:$R$257,4,FALSE))</f>
        <v/>
      </c>
      <c r="F116" s="520" t="str">
        <f>IF(E116="","",VLOOKUP($B116,'F-1 Off Site River Baseline'!$C$9:$R$257,5,FALSE))</f>
        <v/>
      </c>
      <c r="G116" s="520" t="str">
        <f>IF(F116="","",VLOOKUP($B116,'F-1 Off Site River Baseline'!$C$9:$R$257,6,FALSE))</f>
        <v/>
      </c>
      <c r="H116" s="520" t="str">
        <f>IF(G116="","",VLOOKUP($B116,'F-1 Off Site River Baseline'!$C$9:$R$257,7,FALSE))</f>
        <v/>
      </c>
      <c r="I116" s="520" t="str">
        <f>IF(H116="","",VLOOKUP($B116,'F-1 Off Site River Baseline'!$C$9:$R$257,8,FALSE))</f>
        <v/>
      </c>
      <c r="J116" s="520" t="str">
        <f>IF(I116="","",VLOOKUP($B116,'F-1 Off Site River Baseline'!$C$9:$R$257,9,FALSE))</f>
        <v/>
      </c>
      <c r="K116" s="520" t="str">
        <f>IF(J116="","",VLOOKUP($B116,'F-1 Off Site River Baseline'!$C$9:$R$257,10,FALSE))</f>
        <v/>
      </c>
      <c r="L116" s="520" t="str">
        <f>IF(B116="","",VLOOKUP($B116,'C-1 Site River Baseline'!$C$9:$R$257,15,FALSE))</f>
        <v/>
      </c>
      <c r="M116" s="524" t="str">
        <f>IF(L116="","",VLOOKUP($B116,'F-1 Off Site River Baseline'!$C$9:$R$257,16,FALSE))</f>
        <v/>
      </c>
      <c r="N116" s="418" t="str">
        <f t="shared" si="12"/>
        <v/>
      </c>
      <c r="O116" s="498" t="str">
        <f t="shared" si="13"/>
        <v/>
      </c>
      <c r="P116" s="499" t="str">
        <f>IF(C116="","",IF(AND(LEFT(C116,55)&lt;&gt;LEFT(N116,55),O116="High - High"),"Error - Not like for like ▲",IF(AND(F116=S116,H116&gt;U116),"Error - Can not reduce condition ▲",IF(AND(F116=S116,H116=U116,AJ116='F-1 Off Site River Baseline'!N114,'F-1 Off Site River Baseline'!P114=AL116),"Error - No enhancement ▲",IF(AND(C116&lt;&gt;N116,F116&lt;S116),"Lower Distinctiveness Habitat"&amp;" - "&amp;T116,G116&amp;" - "&amp;T116)))))</f>
        <v/>
      </c>
      <c r="Q116" s="505" t="str">
        <f>IF(N116="","",VLOOKUP(B116,'F-1 Off Site River Baseline'!$C$10:$AA$257,19,FALSE))</f>
        <v/>
      </c>
      <c r="R116" s="498" t="str">
        <f>IF(N116="","",VLOOKUP(N116,'G-7 Rivers Data'!$B$2:$G$8,2,FALSE))</f>
        <v/>
      </c>
      <c r="S116" s="499" t="str">
        <f>IFERROR(VLOOKUP(R116,'G-7 Rivers Data'!$C$4:$D$8,2,FALSE),"")</f>
        <v/>
      </c>
      <c r="T116" s="145"/>
      <c r="U116" s="499" t="str">
        <f>IFERROR(INDEX('G-7 Rivers Data'!$H$4:$L$8,MATCH(N116,'G-7 Rivers Data'!$B$4:$B$8,0),MATCH(T116,'G-7 Rivers Data'!$H$3:$L$3,0)),"")</f>
        <v/>
      </c>
      <c r="V116" s="154"/>
      <c r="W116" s="520" t="str">
        <f>IF(V116="","",IF(VLOOKUP(V116,'G-7 Rivers Data'!$AG$4:$AI$9,2,FALSE)=0,"Spatial Data Missing ⚠",VLOOKUP(V116,'G-7 Rivers Data'!$AG$4:$AI$9,2,FALSE)))</f>
        <v/>
      </c>
      <c r="X116" s="524" t="str">
        <f>IF(V116="","",IF(VLOOKUP(V116,'G-7 Rivers Data'!$AG$4:$AI$9,3,FALSE)=0,"Spatial Data Missing ⚠",VLOOKUP(V116,'G-7 Rivers Data'!$AG$4:$AI$9,3,FALSE)))</f>
        <v/>
      </c>
      <c r="Y116" s="537" t="str">
        <f>IFERROR(IF(OR(LEFT(P116,5)="Error ▲",LEFT(O116,5)="Error ▲"),"Check Data ⚠",IF(F116&lt;S116,'G-7 Rivers Data'!$R$3,INDEX('G-7 Rivers Data'!$U$5:$Y$9,MATCH(G116,'G-7 Rivers Data'!$T$5:$T$9,0),MATCH(T116,'G-7 Rivers Data'!$U$4:$Y$4,0)))),"")</f>
        <v/>
      </c>
      <c r="Z116" s="203"/>
      <c r="AA116" s="203"/>
      <c r="AB116" s="534" t="str">
        <f t="shared" si="8"/>
        <v/>
      </c>
      <c r="AC116" s="521" t="str">
        <f t="shared" si="9"/>
        <v/>
      </c>
      <c r="AD116" s="564" t="str">
        <f>IFERROR(IF(AC116="Check Data ⚠","Check Data ⚠",VLOOKUP(AC116,'G-4 Temporal multipliers'!$A$4:$C$37,3,FALSE)),"")</f>
        <v/>
      </c>
      <c r="AE116" s="537" t="str">
        <f>IF(N116="","",VLOOKUP(N116,'G-7 Rivers Data'!$B$4:$G$8,5,FALSE))</f>
        <v/>
      </c>
      <c r="AF116" s="520" t="str">
        <f t="shared" si="10"/>
        <v/>
      </c>
      <c r="AG116" s="520" t="str">
        <f t="shared" si="14"/>
        <v/>
      </c>
      <c r="AH116" s="524" t="str">
        <f t="shared" si="11"/>
        <v/>
      </c>
      <c r="AI116" s="145"/>
      <c r="AJ116" s="499" t="str">
        <f>IF(AI116="","",IF(VLOOKUP(AI116,'G-7 Rivers Data'!$AA$4:$AB$7,2,FALSE)=0,"Spatial Data Missing ⚠",VLOOKUP(AI116,'G-7 Rivers Data'!$AA$4:$AB$7,2,FALSE)))</f>
        <v/>
      </c>
      <c r="AK116" s="155"/>
      <c r="AL116" s="536" t="str">
        <f>IF(AK116="","",IF(VLOOKUP(AK116,'G-7 Rivers Data'!$AD$4:$AE$8,2,FALSE)=0,"Spatial Data Missing ⚠",VLOOKUP(AK116,'G-7 Rivers Data'!$AD$4:$AE$8,2,FALSE)))</f>
        <v/>
      </c>
      <c r="AM116" s="154"/>
      <c r="AN116" s="524" t="str">
        <f>IF(AM116="","",VLOOKUP(AM116,'G-7 Rivers Data'!$AO$4:$AP$7,2,FALSE))</f>
        <v/>
      </c>
      <c r="AO116" s="545" t="str">
        <f t="shared" si="15"/>
        <v/>
      </c>
      <c r="AP116" s="149"/>
      <c r="AQ116" s="150"/>
      <c r="AX116" s="31" t="str">
        <f>IFERROR(INDEX('G-7 Rivers Data'!$AZ$3:$AZ$7,MATCH(N116,'G-7 Rivers Data'!$AY$3:$AY$7,0)),"")</f>
        <v/>
      </c>
    </row>
    <row r="117" spans="2:50" ht="14" x14ac:dyDescent="0.3">
      <c r="B117" s="531" t="str">
        <f>'F-1 Off Site River Baseline'!AN115</f>
        <v/>
      </c>
      <c r="C117" s="520" t="str">
        <f>IF(B117="","",VLOOKUP($B117,'F-1 Off Site River Baseline'!$C$9:$R$257,2,FALSE))</f>
        <v/>
      </c>
      <c r="D117" s="520" t="str">
        <f>IF(C117="","",VLOOKUP($B117,'F-1 Off Site River Baseline'!$C$9:$R$257,3,FALSE))</f>
        <v/>
      </c>
      <c r="E117" s="520" t="str">
        <f>IF(D117="","",VLOOKUP($B117,'F-1 Off Site River Baseline'!$C$9:$R$257,4,FALSE))</f>
        <v/>
      </c>
      <c r="F117" s="520" t="str">
        <f>IF(E117="","",VLOOKUP($B117,'F-1 Off Site River Baseline'!$C$9:$R$257,5,FALSE))</f>
        <v/>
      </c>
      <c r="G117" s="520" t="str">
        <f>IF(F117="","",VLOOKUP($B117,'F-1 Off Site River Baseline'!$C$9:$R$257,6,FALSE))</f>
        <v/>
      </c>
      <c r="H117" s="520" t="str">
        <f>IF(G117="","",VLOOKUP($B117,'F-1 Off Site River Baseline'!$C$9:$R$257,7,FALSE))</f>
        <v/>
      </c>
      <c r="I117" s="520" t="str">
        <f>IF(H117="","",VLOOKUP($B117,'F-1 Off Site River Baseline'!$C$9:$R$257,8,FALSE))</f>
        <v/>
      </c>
      <c r="J117" s="520" t="str">
        <f>IF(I117="","",VLOOKUP($B117,'F-1 Off Site River Baseline'!$C$9:$R$257,9,FALSE))</f>
        <v/>
      </c>
      <c r="K117" s="520" t="str">
        <f>IF(J117="","",VLOOKUP($B117,'F-1 Off Site River Baseline'!$C$9:$R$257,10,FALSE))</f>
        <v/>
      </c>
      <c r="L117" s="520" t="str">
        <f>IF(B117="","",VLOOKUP($B117,'C-1 Site River Baseline'!$C$9:$R$257,15,FALSE))</f>
        <v/>
      </c>
      <c r="M117" s="524" t="str">
        <f>IF(L117="","",VLOOKUP($B117,'F-1 Off Site River Baseline'!$C$9:$R$257,16,FALSE))</f>
        <v/>
      </c>
      <c r="N117" s="418" t="str">
        <f t="shared" si="12"/>
        <v/>
      </c>
      <c r="O117" s="498" t="str">
        <f t="shared" si="13"/>
        <v/>
      </c>
      <c r="P117" s="499" t="str">
        <f>IF(C117="","",IF(AND(LEFT(C117,55)&lt;&gt;LEFT(N117,55),O117="High - High"),"Error - Not like for like ▲",IF(AND(F117=S117,H117&gt;U117),"Error - Can not reduce condition ▲",IF(AND(F117=S117,H117=U117,AJ117='F-1 Off Site River Baseline'!N115,'F-1 Off Site River Baseline'!P115=AL117),"Error - No enhancement ▲",IF(AND(C117&lt;&gt;N117,F117&lt;S117),"Lower Distinctiveness Habitat"&amp;" - "&amp;T117,G117&amp;" - "&amp;T117)))))</f>
        <v/>
      </c>
      <c r="Q117" s="505" t="str">
        <f>IF(N117="","",VLOOKUP(B117,'F-1 Off Site River Baseline'!$C$10:$AA$257,19,FALSE))</f>
        <v/>
      </c>
      <c r="R117" s="498" t="str">
        <f>IF(N117="","",VLOOKUP(N117,'G-7 Rivers Data'!$B$2:$G$8,2,FALSE))</f>
        <v/>
      </c>
      <c r="S117" s="499" t="str">
        <f>IFERROR(VLOOKUP(R117,'G-7 Rivers Data'!$C$4:$D$8,2,FALSE),"")</f>
        <v/>
      </c>
      <c r="T117" s="145"/>
      <c r="U117" s="499" t="str">
        <f>IFERROR(INDEX('G-7 Rivers Data'!$H$4:$L$8,MATCH(N117,'G-7 Rivers Data'!$B$4:$B$8,0),MATCH(T117,'G-7 Rivers Data'!$H$3:$L$3,0)),"")</f>
        <v/>
      </c>
      <c r="V117" s="154"/>
      <c r="W117" s="520" t="str">
        <f>IF(V117="","",IF(VLOOKUP(V117,'G-7 Rivers Data'!$AG$4:$AI$9,2,FALSE)=0,"Spatial Data Missing ⚠",VLOOKUP(V117,'G-7 Rivers Data'!$AG$4:$AI$9,2,FALSE)))</f>
        <v/>
      </c>
      <c r="X117" s="524" t="str">
        <f>IF(V117="","",IF(VLOOKUP(V117,'G-7 Rivers Data'!$AG$4:$AI$9,3,FALSE)=0,"Spatial Data Missing ⚠",VLOOKUP(V117,'G-7 Rivers Data'!$AG$4:$AI$9,3,FALSE)))</f>
        <v/>
      </c>
      <c r="Y117" s="537" t="str">
        <f>IFERROR(IF(OR(LEFT(P117,5)="Error ▲",LEFT(O117,5)="Error ▲"),"Check Data ⚠",IF(F117&lt;S117,'G-7 Rivers Data'!$R$3,INDEX('G-7 Rivers Data'!$U$5:$Y$9,MATCH(G117,'G-7 Rivers Data'!$T$5:$T$9,0),MATCH(T117,'G-7 Rivers Data'!$U$4:$Y$4,0)))),"")</f>
        <v/>
      </c>
      <c r="Z117" s="203"/>
      <c r="AA117" s="203"/>
      <c r="AB117" s="534" t="str">
        <f t="shared" si="8"/>
        <v/>
      </c>
      <c r="AC117" s="521" t="str">
        <f t="shared" si="9"/>
        <v/>
      </c>
      <c r="AD117" s="564" t="str">
        <f>IFERROR(IF(AC117="Check Data ⚠","Check Data ⚠",VLOOKUP(AC117,'G-4 Temporal multipliers'!$A$4:$C$37,3,FALSE)),"")</f>
        <v/>
      </c>
      <c r="AE117" s="537" t="str">
        <f>IF(N117="","",VLOOKUP(N117,'G-7 Rivers Data'!$B$4:$G$8,5,FALSE))</f>
        <v/>
      </c>
      <c r="AF117" s="520" t="str">
        <f t="shared" si="10"/>
        <v/>
      </c>
      <c r="AG117" s="520" t="str">
        <f t="shared" si="14"/>
        <v/>
      </c>
      <c r="AH117" s="524" t="str">
        <f t="shared" si="11"/>
        <v/>
      </c>
      <c r="AI117" s="145"/>
      <c r="AJ117" s="499" t="str">
        <f>IF(AI117="","",IF(VLOOKUP(AI117,'G-7 Rivers Data'!$AA$4:$AB$7,2,FALSE)=0,"Spatial Data Missing ⚠",VLOOKUP(AI117,'G-7 Rivers Data'!$AA$4:$AB$7,2,FALSE)))</f>
        <v/>
      </c>
      <c r="AK117" s="155"/>
      <c r="AL117" s="536" t="str">
        <f>IF(AK117="","",IF(VLOOKUP(AK117,'G-7 Rivers Data'!$AD$4:$AE$8,2,FALSE)=0,"Spatial Data Missing ⚠",VLOOKUP(AK117,'G-7 Rivers Data'!$AD$4:$AE$8,2,FALSE)))</f>
        <v/>
      </c>
      <c r="AM117" s="154"/>
      <c r="AN117" s="524" t="str">
        <f>IF(AM117="","",VLOOKUP(AM117,'G-7 Rivers Data'!$AO$4:$AP$7,2,FALSE))</f>
        <v/>
      </c>
      <c r="AO117" s="545" t="str">
        <f t="shared" si="15"/>
        <v/>
      </c>
      <c r="AP117" s="149"/>
      <c r="AQ117" s="150"/>
      <c r="AX117" s="31" t="str">
        <f>IFERROR(INDEX('G-7 Rivers Data'!$AZ$3:$AZ$7,MATCH(N117,'G-7 Rivers Data'!$AY$3:$AY$7,0)),"")</f>
        <v/>
      </c>
    </row>
    <row r="118" spans="2:50" ht="14" x14ac:dyDescent="0.3">
      <c r="B118" s="531" t="str">
        <f>'F-1 Off Site River Baseline'!AN116</f>
        <v/>
      </c>
      <c r="C118" s="520" t="str">
        <f>IF(B118="","",VLOOKUP($B118,'F-1 Off Site River Baseline'!$C$9:$R$257,2,FALSE))</f>
        <v/>
      </c>
      <c r="D118" s="520" t="str">
        <f>IF(C118="","",VLOOKUP($B118,'F-1 Off Site River Baseline'!$C$9:$R$257,3,FALSE))</f>
        <v/>
      </c>
      <c r="E118" s="520" t="str">
        <f>IF(D118="","",VLOOKUP($B118,'F-1 Off Site River Baseline'!$C$9:$R$257,4,FALSE))</f>
        <v/>
      </c>
      <c r="F118" s="520" t="str">
        <f>IF(E118="","",VLOOKUP($B118,'F-1 Off Site River Baseline'!$C$9:$R$257,5,FALSE))</f>
        <v/>
      </c>
      <c r="G118" s="520" t="str">
        <f>IF(F118="","",VLOOKUP($B118,'F-1 Off Site River Baseline'!$C$9:$R$257,6,FALSE))</f>
        <v/>
      </c>
      <c r="H118" s="520" t="str">
        <f>IF(G118="","",VLOOKUP($B118,'F-1 Off Site River Baseline'!$C$9:$R$257,7,FALSE))</f>
        <v/>
      </c>
      <c r="I118" s="520" t="str">
        <f>IF(H118="","",VLOOKUP($B118,'F-1 Off Site River Baseline'!$C$9:$R$257,8,FALSE))</f>
        <v/>
      </c>
      <c r="J118" s="520" t="str">
        <f>IF(I118="","",VLOOKUP($B118,'F-1 Off Site River Baseline'!$C$9:$R$257,9,FALSE))</f>
        <v/>
      </c>
      <c r="K118" s="520" t="str">
        <f>IF(J118="","",VLOOKUP($B118,'F-1 Off Site River Baseline'!$C$9:$R$257,10,FALSE))</f>
        <v/>
      </c>
      <c r="L118" s="520" t="str">
        <f>IF(B118="","",VLOOKUP($B118,'C-1 Site River Baseline'!$C$9:$R$257,15,FALSE))</f>
        <v/>
      </c>
      <c r="M118" s="524" t="str">
        <f>IF(L118="","",VLOOKUP($B118,'F-1 Off Site River Baseline'!$C$9:$R$257,16,FALSE))</f>
        <v/>
      </c>
      <c r="N118" s="418" t="str">
        <f t="shared" si="12"/>
        <v/>
      </c>
      <c r="O118" s="498" t="str">
        <f t="shared" si="13"/>
        <v/>
      </c>
      <c r="P118" s="499" t="str">
        <f>IF(C118="","",IF(AND(LEFT(C118,55)&lt;&gt;LEFT(N118,55),O118="High - High"),"Error - Not like for like ▲",IF(AND(F118=S118,H118&gt;U118),"Error - Can not reduce condition ▲",IF(AND(F118=S118,H118=U118,AJ118='F-1 Off Site River Baseline'!N116,'F-1 Off Site River Baseline'!P116=AL118),"Error - No enhancement ▲",IF(AND(C118&lt;&gt;N118,F118&lt;S118),"Lower Distinctiveness Habitat"&amp;" - "&amp;T118,G118&amp;" - "&amp;T118)))))</f>
        <v/>
      </c>
      <c r="Q118" s="505" t="str">
        <f>IF(N118="","",VLOOKUP(B118,'F-1 Off Site River Baseline'!$C$10:$AA$257,19,FALSE))</f>
        <v/>
      </c>
      <c r="R118" s="498" t="str">
        <f>IF(N118="","",VLOOKUP(N118,'G-7 Rivers Data'!$B$2:$G$8,2,FALSE))</f>
        <v/>
      </c>
      <c r="S118" s="499" t="str">
        <f>IFERROR(VLOOKUP(R118,'G-7 Rivers Data'!$C$4:$D$8,2,FALSE),"")</f>
        <v/>
      </c>
      <c r="T118" s="145"/>
      <c r="U118" s="499" t="str">
        <f>IFERROR(INDEX('G-7 Rivers Data'!$H$4:$L$8,MATCH(N118,'G-7 Rivers Data'!$B$4:$B$8,0),MATCH(T118,'G-7 Rivers Data'!$H$3:$L$3,0)),"")</f>
        <v/>
      </c>
      <c r="V118" s="154"/>
      <c r="W118" s="520" t="str">
        <f>IF(V118="","",IF(VLOOKUP(V118,'G-7 Rivers Data'!$AG$4:$AI$9,2,FALSE)=0,"Spatial Data Missing ⚠",VLOOKUP(V118,'G-7 Rivers Data'!$AG$4:$AI$9,2,FALSE)))</f>
        <v/>
      </c>
      <c r="X118" s="524" t="str">
        <f>IF(V118="","",IF(VLOOKUP(V118,'G-7 Rivers Data'!$AG$4:$AI$9,3,FALSE)=0,"Spatial Data Missing ⚠",VLOOKUP(V118,'G-7 Rivers Data'!$AG$4:$AI$9,3,FALSE)))</f>
        <v/>
      </c>
      <c r="Y118" s="537" t="str">
        <f>IFERROR(IF(OR(LEFT(P118,5)="Error ▲",LEFT(O118,5)="Error ▲"),"Check Data ⚠",IF(F118&lt;S118,'G-7 Rivers Data'!$R$3,INDEX('G-7 Rivers Data'!$U$5:$Y$9,MATCH(G118,'G-7 Rivers Data'!$T$5:$T$9,0),MATCH(T118,'G-7 Rivers Data'!$U$4:$Y$4,0)))),"")</f>
        <v/>
      </c>
      <c r="Z118" s="203"/>
      <c r="AA118" s="203"/>
      <c r="AB118" s="534" t="str">
        <f t="shared" si="8"/>
        <v/>
      </c>
      <c r="AC118" s="521" t="str">
        <f t="shared" si="9"/>
        <v/>
      </c>
      <c r="AD118" s="564" t="str">
        <f>IFERROR(IF(AC118="Check Data ⚠","Check Data ⚠",VLOOKUP(AC118,'G-4 Temporal multipliers'!$A$4:$C$37,3,FALSE)),"")</f>
        <v/>
      </c>
      <c r="AE118" s="537" t="str">
        <f>IF(N118="","",VLOOKUP(N118,'G-7 Rivers Data'!$B$4:$G$8,5,FALSE))</f>
        <v/>
      </c>
      <c r="AF118" s="520" t="str">
        <f t="shared" si="10"/>
        <v/>
      </c>
      <c r="AG118" s="520" t="str">
        <f t="shared" si="14"/>
        <v/>
      </c>
      <c r="AH118" s="524" t="str">
        <f t="shared" si="11"/>
        <v/>
      </c>
      <c r="AI118" s="145"/>
      <c r="AJ118" s="499" t="str">
        <f>IF(AI118="","",IF(VLOOKUP(AI118,'G-7 Rivers Data'!$AA$4:$AB$7,2,FALSE)=0,"Spatial Data Missing ⚠",VLOOKUP(AI118,'G-7 Rivers Data'!$AA$4:$AB$7,2,FALSE)))</f>
        <v/>
      </c>
      <c r="AK118" s="155"/>
      <c r="AL118" s="536" t="str">
        <f>IF(AK118="","",IF(VLOOKUP(AK118,'G-7 Rivers Data'!$AD$4:$AE$8,2,FALSE)=0,"Spatial Data Missing ⚠",VLOOKUP(AK118,'G-7 Rivers Data'!$AD$4:$AE$8,2,FALSE)))</f>
        <v/>
      </c>
      <c r="AM118" s="154"/>
      <c r="AN118" s="524" t="str">
        <f>IF(AM118="","",VLOOKUP(AM118,'G-7 Rivers Data'!$AO$4:$AP$7,2,FALSE))</f>
        <v/>
      </c>
      <c r="AO118" s="545" t="str">
        <f t="shared" si="15"/>
        <v/>
      </c>
      <c r="AP118" s="149"/>
      <c r="AQ118" s="150"/>
      <c r="AX118" s="31" t="str">
        <f>IFERROR(INDEX('G-7 Rivers Data'!$AZ$3:$AZ$7,MATCH(N118,'G-7 Rivers Data'!$AY$3:$AY$7,0)),"")</f>
        <v/>
      </c>
    </row>
    <row r="119" spans="2:50" ht="14" x14ac:dyDescent="0.3">
      <c r="B119" s="531" t="str">
        <f>'F-1 Off Site River Baseline'!AN117</f>
        <v/>
      </c>
      <c r="C119" s="520" t="str">
        <f>IF(B119="","",VLOOKUP($B119,'F-1 Off Site River Baseline'!$C$9:$R$257,2,FALSE))</f>
        <v/>
      </c>
      <c r="D119" s="520" t="str">
        <f>IF(C119="","",VLOOKUP($B119,'F-1 Off Site River Baseline'!$C$9:$R$257,3,FALSE))</f>
        <v/>
      </c>
      <c r="E119" s="520" t="str">
        <f>IF(D119="","",VLOOKUP($B119,'F-1 Off Site River Baseline'!$C$9:$R$257,4,FALSE))</f>
        <v/>
      </c>
      <c r="F119" s="520" t="str">
        <f>IF(E119="","",VLOOKUP($B119,'F-1 Off Site River Baseline'!$C$9:$R$257,5,FALSE))</f>
        <v/>
      </c>
      <c r="G119" s="520" t="str">
        <f>IF(F119="","",VLOOKUP($B119,'F-1 Off Site River Baseline'!$C$9:$R$257,6,FALSE))</f>
        <v/>
      </c>
      <c r="H119" s="520" t="str">
        <f>IF(G119="","",VLOOKUP($B119,'F-1 Off Site River Baseline'!$C$9:$R$257,7,FALSE))</f>
        <v/>
      </c>
      <c r="I119" s="520" t="str">
        <f>IF(H119="","",VLOOKUP($B119,'F-1 Off Site River Baseline'!$C$9:$R$257,8,FALSE))</f>
        <v/>
      </c>
      <c r="J119" s="520" t="str">
        <f>IF(I119="","",VLOOKUP($B119,'F-1 Off Site River Baseline'!$C$9:$R$257,9,FALSE))</f>
        <v/>
      </c>
      <c r="K119" s="520" t="str">
        <f>IF(J119="","",VLOOKUP($B119,'F-1 Off Site River Baseline'!$C$9:$R$257,10,FALSE))</f>
        <v/>
      </c>
      <c r="L119" s="520" t="str">
        <f>IF(B119="","",VLOOKUP($B119,'C-1 Site River Baseline'!$C$9:$R$257,15,FALSE))</f>
        <v/>
      </c>
      <c r="M119" s="524" t="str">
        <f>IF(L119="","",VLOOKUP($B119,'F-1 Off Site River Baseline'!$C$9:$R$257,16,FALSE))</f>
        <v/>
      </c>
      <c r="N119" s="418" t="str">
        <f t="shared" si="12"/>
        <v/>
      </c>
      <c r="O119" s="498" t="str">
        <f t="shared" si="13"/>
        <v/>
      </c>
      <c r="P119" s="499" t="str">
        <f>IF(C119="","",IF(AND(LEFT(C119,55)&lt;&gt;LEFT(N119,55),O119="High - High"),"Error - Not like for like ▲",IF(AND(F119=S119,H119&gt;U119),"Error - Can not reduce condition ▲",IF(AND(F119=S119,H119=U119,AJ119='F-1 Off Site River Baseline'!N117,'F-1 Off Site River Baseline'!P117=AL119),"Error - No enhancement ▲",IF(AND(C119&lt;&gt;N119,F119&lt;S119),"Lower Distinctiveness Habitat"&amp;" - "&amp;T119,G119&amp;" - "&amp;T119)))))</f>
        <v/>
      </c>
      <c r="Q119" s="505" t="str">
        <f>IF(N119="","",VLOOKUP(B119,'F-1 Off Site River Baseline'!$C$10:$AA$257,19,FALSE))</f>
        <v/>
      </c>
      <c r="R119" s="498" t="str">
        <f>IF(N119="","",VLOOKUP(N119,'G-7 Rivers Data'!$B$2:$G$8,2,FALSE))</f>
        <v/>
      </c>
      <c r="S119" s="499" t="str">
        <f>IFERROR(VLOOKUP(R119,'G-7 Rivers Data'!$C$4:$D$8,2,FALSE),"")</f>
        <v/>
      </c>
      <c r="T119" s="145"/>
      <c r="U119" s="499" t="str">
        <f>IFERROR(INDEX('G-7 Rivers Data'!$H$4:$L$8,MATCH(N119,'G-7 Rivers Data'!$B$4:$B$8,0),MATCH(T119,'G-7 Rivers Data'!$H$3:$L$3,0)),"")</f>
        <v/>
      </c>
      <c r="V119" s="154"/>
      <c r="W119" s="520" t="str">
        <f>IF(V119="","",IF(VLOOKUP(V119,'G-7 Rivers Data'!$AG$4:$AI$9,2,FALSE)=0,"Spatial Data Missing ⚠",VLOOKUP(V119,'G-7 Rivers Data'!$AG$4:$AI$9,2,FALSE)))</f>
        <v/>
      </c>
      <c r="X119" s="524" t="str">
        <f>IF(V119="","",IF(VLOOKUP(V119,'G-7 Rivers Data'!$AG$4:$AI$9,3,FALSE)=0,"Spatial Data Missing ⚠",VLOOKUP(V119,'G-7 Rivers Data'!$AG$4:$AI$9,3,FALSE)))</f>
        <v/>
      </c>
      <c r="Y119" s="537" t="str">
        <f>IFERROR(IF(OR(LEFT(P119,5)="Error ▲",LEFT(O119,5)="Error ▲"),"Check Data ⚠",IF(F119&lt;S119,'G-7 Rivers Data'!$R$3,INDEX('G-7 Rivers Data'!$U$5:$Y$9,MATCH(G119,'G-7 Rivers Data'!$T$5:$T$9,0),MATCH(T119,'G-7 Rivers Data'!$U$4:$Y$4,0)))),"")</f>
        <v/>
      </c>
      <c r="Z119" s="203"/>
      <c r="AA119" s="203"/>
      <c r="AB119" s="534" t="str">
        <f t="shared" si="8"/>
        <v/>
      </c>
      <c r="AC119" s="521" t="str">
        <f t="shared" si="9"/>
        <v/>
      </c>
      <c r="AD119" s="564" t="str">
        <f>IFERROR(IF(AC119="Check Data ⚠","Check Data ⚠",VLOOKUP(AC119,'G-4 Temporal multipliers'!$A$4:$C$37,3,FALSE)),"")</f>
        <v/>
      </c>
      <c r="AE119" s="537" t="str">
        <f>IF(N119="","",VLOOKUP(N119,'G-7 Rivers Data'!$B$4:$G$8,5,FALSE))</f>
        <v/>
      </c>
      <c r="AF119" s="520" t="str">
        <f t="shared" si="10"/>
        <v/>
      </c>
      <c r="AG119" s="520" t="str">
        <f t="shared" si="14"/>
        <v/>
      </c>
      <c r="AH119" s="524" t="str">
        <f t="shared" si="11"/>
        <v/>
      </c>
      <c r="AI119" s="145"/>
      <c r="AJ119" s="499" t="str">
        <f>IF(AI119="","",IF(VLOOKUP(AI119,'G-7 Rivers Data'!$AA$4:$AB$7,2,FALSE)=0,"Spatial Data Missing ⚠",VLOOKUP(AI119,'G-7 Rivers Data'!$AA$4:$AB$7,2,FALSE)))</f>
        <v/>
      </c>
      <c r="AK119" s="155"/>
      <c r="AL119" s="536" t="str">
        <f>IF(AK119="","",IF(VLOOKUP(AK119,'G-7 Rivers Data'!$AD$4:$AE$8,2,FALSE)=0,"Spatial Data Missing ⚠",VLOOKUP(AK119,'G-7 Rivers Data'!$AD$4:$AE$8,2,FALSE)))</f>
        <v/>
      </c>
      <c r="AM119" s="154"/>
      <c r="AN119" s="524" t="str">
        <f>IF(AM119="","",VLOOKUP(AM119,'G-7 Rivers Data'!$AO$4:$AP$7,2,FALSE))</f>
        <v/>
      </c>
      <c r="AO119" s="545" t="str">
        <f t="shared" si="15"/>
        <v/>
      </c>
      <c r="AP119" s="149"/>
      <c r="AQ119" s="150"/>
      <c r="AX119" s="31" t="str">
        <f>IFERROR(INDEX('G-7 Rivers Data'!$AZ$3:$AZ$7,MATCH(N119,'G-7 Rivers Data'!$AY$3:$AY$7,0)),"")</f>
        <v/>
      </c>
    </row>
    <row r="120" spans="2:50" ht="14" x14ac:dyDescent="0.3">
      <c r="B120" s="531" t="str">
        <f>'F-1 Off Site River Baseline'!AN118</f>
        <v/>
      </c>
      <c r="C120" s="520" t="str">
        <f>IF(B120="","",VLOOKUP($B120,'F-1 Off Site River Baseline'!$C$9:$R$257,2,FALSE))</f>
        <v/>
      </c>
      <c r="D120" s="520" t="str">
        <f>IF(C120="","",VLOOKUP($B120,'F-1 Off Site River Baseline'!$C$9:$R$257,3,FALSE))</f>
        <v/>
      </c>
      <c r="E120" s="520" t="str">
        <f>IF(D120="","",VLOOKUP($B120,'F-1 Off Site River Baseline'!$C$9:$R$257,4,FALSE))</f>
        <v/>
      </c>
      <c r="F120" s="520" t="str">
        <f>IF(E120="","",VLOOKUP($B120,'F-1 Off Site River Baseline'!$C$9:$R$257,5,FALSE))</f>
        <v/>
      </c>
      <c r="G120" s="520" t="str">
        <f>IF(F120="","",VLOOKUP($B120,'F-1 Off Site River Baseline'!$C$9:$R$257,6,FALSE))</f>
        <v/>
      </c>
      <c r="H120" s="520" t="str">
        <f>IF(G120="","",VLOOKUP($B120,'F-1 Off Site River Baseline'!$C$9:$R$257,7,FALSE))</f>
        <v/>
      </c>
      <c r="I120" s="520" t="str">
        <f>IF(H120="","",VLOOKUP($B120,'F-1 Off Site River Baseline'!$C$9:$R$257,8,FALSE))</f>
        <v/>
      </c>
      <c r="J120" s="520" t="str">
        <f>IF(I120="","",VLOOKUP($B120,'F-1 Off Site River Baseline'!$C$9:$R$257,9,FALSE))</f>
        <v/>
      </c>
      <c r="K120" s="520" t="str">
        <f>IF(J120="","",VLOOKUP($B120,'F-1 Off Site River Baseline'!$C$9:$R$257,10,FALSE))</f>
        <v/>
      </c>
      <c r="L120" s="520" t="str">
        <f>IF(B120="","",VLOOKUP($B120,'C-1 Site River Baseline'!$C$9:$R$257,15,FALSE))</f>
        <v/>
      </c>
      <c r="M120" s="524" t="str">
        <f>IF(L120="","",VLOOKUP($B120,'F-1 Off Site River Baseline'!$C$9:$R$257,16,FALSE))</f>
        <v/>
      </c>
      <c r="N120" s="418" t="str">
        <f t="shared" si="12"/>
        <v/>
      </c>
      <c r="O120" s="498" t="str">
        <f t="shared" si="13"/>
        <v/>
      </c>
      <c r="P120" s="499" t="str">
        <f>IF(C120="","",IF(AND(LEFT(C120,55)&lt;&gt;LEFT(N120,55),O120="High - High"),"Error - Not like for like ▲",IF(AND(F120=S120,H120&gt;U120),"Error - Can not reduce condition ▲",IF(AND(F120=S120,H120=U120,AJ120='F-1 Off Site River Baseline'!N118,'F-1 Off Site River Baseline'!P118=AL120),"Error - No enhancement ▲",IF(AND(C120&lt;&gt;N120,F120&lt;S120),"Lower Distinctiveness Habitat"&amp;" - "&amp;T120,G120&amp;" - "&amp;T120)))))</f>
        <v/>
      </c>
      <c r="Q120" s="505" t="str">
        <f>IF(N120="","",VLOOKUP(B120,'F-1 Off Site River Baseline'!$C$10:$AA$257,19,FALSE))</f>
        <v/>
      </c>
      <c r="R120" s="498" t="str">
        <f>IF(N120="","",VLOOKUP(N120,'G-7 Rivers Data'!$B$2:$G$8,2,FALSE))</f>
        <v/>
      </c>
      <c r="S120" s="499" t="str">
        <f>IFERROR(VLOOKUP(R120,'G-7 Rivers Data'!$C$4:$D$8,2,FALSE),"")</f>
        <v/>
      </c>
      <c r="T120" s="145"/>
      <c r="U120" s="499" t="str">
        <f>IFERROR(INDEX('G-7 Rivers Data'!$H$4:$L$8,MATCH(N120,'G-7 Rivers Data'!$B$4:$B$8,0),MATCH(T120,'G-7 Rivers Data'!$H$3:$L$3,0)),"")</f>
        <v/>
      </c>
      <c r="V120" s="154"/>
      <c r="W120" s="520" t="str">
        <f>IF(V120="","",IF(VLOOKUP(V120,'G-7 Rivers Data'!$AG$4:$AI$9,2,FALSE)=0,"Spatial Data Missing ⚠",VLOOKUP(V120,'G-7 Rivers Data'!$AG$4:$AI$9,2,FALSE)))</f>
        <v/>
      </c>
      <c r="X120" s="524" t="str">
        <f>IF(V120="","",IF(VLOOKUP(V120,'G-7 Rivers Data'!$AG$4:$AI$9,3,FALSE)=0,"Spatial Data Missing ⚠",VLOOKUP(V120,'G-7 Rivers Data'!$AG$4:$AI$9,3,FALSE)))</f>
        <v/>
      </c>
      <c r="Y120" s="537" t="str">
        <f>IFERROR(IF(OR(LEFT(P120,5)="Error ▲",LEFT(O120,5)="Error ▲"),"Check Data ⚠",IF(F120&lt;S120,'G-7 Rivers Data'!$R$3,INDEX('G-7 Rivers Data'!$U$5:$Y$9,MATCH(G120,'G-7 Rivers Data'!$T$5:$T$9,0),MATCH(T120,'G-7 Rivers Data'!$U$4:$Y$4,0)))),"")</f>
        <v/>
      </c>
      <c r="Z120" s="203"/>
      <c r="AA120" s="203"/>
      <c r="AB120" s="534" t="str">
        <f t="shared" si="8"/>
        <v/>
      </c>
      <c r="AC120" s="521" t="str">
        <f t="shared" si="9"/>
        <v/>
      </c>
      <c r="AD120" s="564" t="str">
        <f>IFERROR(IF(AC120="Check Data ⚠","Check Data ⚠",VLOOKUP(AC120,'G-4 Temporal multipliers'!$A$4:$C$37,3,FALSE)),"")</f>
        <v/>
      </c>
      <c r="AE120" s="537" t="str">
        <f>IF(N120="","",VLOOKUP(N120,'G-7 Rivers Data'!$B$4:$G$8,5,FALSE))</f>
        <v/>
      </c>
      <c r="AF120" s="520" t="str">
        <f t="shared" si="10"/>
        <v/>
      </c>
      <c r="AG120" s="520" t="str">
        <f t="shared" si="14"/>
        <v/>
      </c>
      <c r="AH120" s="524" t="str">
        <f t="shared" si="11"/>
        <v/>
      </c>
      <c r="AI120" s="145"/>
      <c r="AJ120" s="499" t="str">
        <f>IF(AI120="","",IF(VLOOKUP(AI120,'G-7 Rivers Data'!$AA$4:$AB$7,2,FALSE)=0,"Spatial Data Missing ⚠",VLOOKUP(AI120,'G-7 Rivers Data'!$AA$4:$AB$7,2,FALSE)))</f>
        <v/>
      </c>
      <c r="AK120" s="155"/>
      <c r="AL120" s="536" t="str">
        <f>IF(AK120="","",IF(VLOOKUP(AK120,'G-7 Rivers Data'!$AD$4:$AE$8,2,FALSE)=0,"Spatial Data Missing ⚠",VLOOKUP(AK120,'G-7 Rivers Data'!$AD$4:$AE$8,2,FALSE)))</f>
        <v/>
      </c>
      <c r="AM120" s="154"/>
      <c r="AN120" s="524" t="str">
        <f>IF(AM120="","",VLOOKUP(AM120,'G-7 Rivers Data'!$AO$4:$AP$7,2,FALSE))</f>
        <v/>
      </c>
      <c r="AO120" s="545" t="str">
        <f t="shared" si="15"/>
        <v/>
      </c>
      <c r="AP120" s="149"/>
      <c r="AQ120" s="150"/>
      <c r="AX120" s="31" t="str">
        <f>IFERROR(INDEX('G-7 Rivers Data'!$AZ$3:$AZ$7,MATCH(N120,'G-7 Rivers Data'!$AY$3:$AY$7,0)),"")</f>
        <v/>
      </c>
    </row>
    <row r="121" spans="2:50" ht="14" x14ac:dyDescent="0.3">
      <c r="B121" s="531" t="str">
        <f>'F-1 Off Site River Baseline'!AN119</f>
        <v/>
      </c>
      <c r="C121" s="520" t="str">
        <f>IF(B121="","",VLOOKUP($B121,'F-1 Off Site River Baseline'!$C$9:$R$257,2,FALSE))</f>
        <v/>
      </c>
      <c r="D121" s="520" t="str">
        <f>IF(C121="","",VLOOKUP($B121,'F-1 Off Site River Baseline'!$C$9:$R$257,3,FALSE))</f>
        <v/>
      </c>
      <c r="E121" s="520" t="str">
        <f>IF(D121="","",VLOOKUP($B121,'F-1 Off Site River Baseline'!$C$9:$R$257,4,FALSE))</f>
        <v/>
      </c>
      <c r="F121" s="520" t="str">
        <f>IF(E121="","",VLOOKUP($B121,'F-1 Off Site River Baseline'!$C$9:$R$257,5,FALSE))</f>
        <v/>
      </c>
      <c r="G121" s="520" t="str">
        <f>IF(F121="","",VLOOKUP($B121,'F-1 Off Site River Baseline'!$C$9:$R$257,6,FALSE))</f>
        <v/>
      </c>
      <c r="H121" s="520" t="str">
        <f>IF(G121="","",VLOOKUP($B121,'F-1 Off Site River Baseline'!$C$9:$R$257,7,FALSE))</f>
        <v/>
      </c>
      <c r="I121" s="520" t="str">
        <f>IF(H121="","",VLOOKUP($B121,'F-1 Off Site River Baseline'!$C$9:$R$257,8,FALSE))</f>
        <v/>
      </c>
      <c r="J121" s="520" t="str">
        <f>IF(I121="","",VLOOKUP($B121,'F-1 Off Site River Baseline'!$C$9:$R$257,9,FALSE))</f>
        <v/>
      </c>
      <c r="K121" s="520" t="str">
        <f>IF(J121="","",VLOOKUP($B121,'F-1 Off Site River Baseline'!$C$9:$R$257,10,FALSE))</f>
        <v/>
      </c>
      <c r="L121" s="520" t="str">
        <f>IF(B121="","",VLOOKUP($B121,'C-1 Site River Baseline'!$C$9:$R$257,15,FALSE))</f>
        <v/>
      </c>
      <c r="M121" s="524" t="str">
        <f>IF(L121="","",VLOOKUP($B121,'F-1 Off Site River Baseline'!$C$9:$R$257,16,FALSE))</f>
        <v/>
      </c>
      <c r="N121" s="418" t="str">
        <f t="shared" si="12"/>
        <v/>
      </c>
      <c r="O121" s="498" t="str">
        <f t="shared" si="13"/>
        <v/>
      </c>
      <c r="P121" s="499" t="str">
        <f>IF(C121="","",IF(AND(LEFT(C121,55)&lt;&gt;LEFT(N121,55),O121="High - High"),"Error - Not like for like ▲",IF(AND(F121=S121,H121&gt;U121),"Error - Can not reduce condition ▲",IF(AND(F121=S121,H121=U121,AJ121='F-1 Off Site River Baseline'!N119,'F-1 Off Site River Baseline'!P119=AL121),"Error - No enhancement ▲",IF(AND(C121&lt;&gt;N121,F121&lt;S121),"Lower Distinctiveness Habitat"&amp;" - "&amp;T121,G121&amp;" - "&amp;T121)))))</f>
        <v/>
      </c>
      <c r="Q121" s="505" t="str">
        <f>IF(N121="","",VLOOKUP(B121,'F-1 Off Site River Baseline'!$C$10:$AA$257,19,FALSE))</f>
        <v/>
      </c>
      <c r="R121" s="498" t="str">
        <f>IF(N121="","",VLOOKUP(N121,'G-7 Rivers Data'!$B$2:$G$8,2,FALSE))</f>
        <v/>
      </c>
      <c r="S121" s="499" t="str">
        <f>IFERROR(VLOOKUP(R121,'G-7 Rivers Data'!$C$4:$D$8,2,FALSE),"")</f>
        <v/>
      </c>
      <c r="T121" s="145"/>
      <c r="U121" s="499" t="str">
        <f>IFERROR(INDEX('G-7 Rivers Data'!$H$4:$L$8,MATCH(N121,'G-7 Rivers Data'!$B$4:$B$8,0),MATCH(T121,'G-7 Rivers Data'!$H$3:$L$3,0)),"")</f>
        <v/>
      </c>
      <c r="V121" s="154"/>
      <c r="W121" s="520" t="str">
        <f>IF(V121="","",IF(VLOOKUP(V121,'G-7 Rivers Data'!$AG$4:$AI$9,2,FALSE)=0,"Spatial Data Missing ⚠",VLOOKUP(V121,'G-7 Rivers Data'!$AG$4:$AI$9,2,FALSE)))</f>
        <v/>
      </c>
      <c r="X121" s="524" t="str">
        <f>IF(V121="","",IF(VLOOKUP(V121,'G-7 Rivers Data'!$AG$4:$AI$9,3,FALSE)=0,"Spatial Data Missing ⚠",VLOOKUP(V121,'G-7 Rivers Data'!$AG$4:$AI$9,3,FALSE)))</f>
        <v/>
      </c>
      <c r="Y121" s="537" t="str">
        <f>IFERROR(IF(OR(LEFT(P121,5)="Error ▲",LEFT(O121,5)="Error ▲"),"Check Data ⚠",IF(F121&lt;S121,'G-7 Rivers Data'!$R$3,INDEX('G-7 Rivers Data'!$U$5:$Y$9,MATCH(G121,'G-7 Rivers Data'!$T$5:$T$9,0),MATCH(T121,'G-7 Rivers Data'!$U$4:$Y$4,0)))),"")</f>
        <v/>
      </c>
      <c r="Z121" s="203"/>
      <c r="AA121" s="203"/>
      <c r="AB121" s="534" t="str">
        <f t="shared" si="8"/>
        <v/>
      </c>
      <c r="AC121" s="521" t="str">
        <f t="shared" si="9"/>
        <v/>
      </c>
      <c r="AD121" s="564" t="str">
        <f>IFERROR(IF(AC121="Check Data ⚠","Check Data ⚠",VLOOKUP(AC121,'G-4 Temporal multipliers'!$A$4:$C$37,3,FALSE)),"")</f>
        <v/>
      </c>
      <c r="AE121" s="537" t="str">
        <f>IF(N121="","",VLOOKUP(N121,'G-7 Rivers Data'!$B$4:$G$8,5,FALSE))</f>
        <v/>
      </c>
      <c r="AF121" s="520" t="str">
        <f t="shared" si="10"/>
        <v/>
      </c>
      <c r="AG121" s="520" t="str">
        <f t="shared" si="14"/>
        <v/>
      </c>
      <c r="AH121" s="524" t="str">
        <f t="shared" si="11"/>
        <v/>
      </c>
      <c r="AI121" s="145"/>
      <c r="AJ121" s="499" t="str">
        <f>IF(AI121="","",IF(VLOOKUP(AI121,'G-7 Rivers Data'!$AA$4:$AB$7,2,FALSE)=0,"Spatial Data Missing ⚠",VLOOKUP(AI121,'G-7 Rivers Data'!$AA$4:$AB$7,2,FALSE)))</f>
        <v/>
      </c>
      <c r="AK121" s="155"/>
      <c r="AL121" s="536" t="str">
        <f>IF(AK121="","",IF(VLOOKUP(AK121,'G-7 Rivers Data'!$AD$4:$AE$8,2,FALSE)=0,"Spatial Data Missing ⚠",VLOOKUP(AK121,'G-7 Rivers Data'!$AD$4:$AE$8,2,FALSE)))</f>
        <v/>
      </c>
      <c r="AM121" s="154"/>
      <c r="AN121" s="524" t="str">
        <f>IF(AM121="","",VLOOKUP(AM121,'G-7 Rivers Data'!$AO$4:$AP$7,2,FALSE))</f>
        <v/>
      </c>
      <c r="AO121" s="545" t="str">
        <f t="shared" si="15"/>
        <v/>
      </c>
      <c r="AP121" s="149"/>
      <c r="AQ121" s="150"/>
      <c r="AX121" s="31" t="str">
        <f>IFERROR(INDEX('G-7 Rivers Data'!$AZ$3:$AZ$7,MATCH(N121,'G-7 Rivers Data'!$AY$3:$AY$7,0)),"")</f>
        <v/>
      </c>
    </row>
    <row r="122" spans="2:50" ht="14" x14ac:dyDescent="0.3">
      <c r="B122" s="531" t="str">
        <f>'F-1 Off Site River Baseline'!AN120</f>
        <v/>
      </c>
      <c r="C122" s="520" t="str">
        <f>IF(B122="","",VLOOKUP($B122,'F-1 Off Site River Baseline'!$C$9:$R$257,2,FALSE))</f>
        <v/>
      </c>
      <c r="D122" s="520" t="str">
        <f>IF(C122="","",VLOOKUP($B122,'F-1 Off Site River Baseline'!$C$9:$R$257,3,FALSE))</f>
        <v/>
      </c>
      <c r="E122" s="520" t="str">
        <f>IF(D122="","",VLOOKUP($B122,'F-1 Off Site River Baseline'!$C$9:$R$257,4,FALSE))</f>
        <v/>
      </c>
      <c r="F122" s="520" t="str">
        <f>IF(E122="","",VLOOKUP($B122,'F-1 Off Site River Baseline'!$C$9:$R$257,5,FALSE))</f>
        <v/>
      </c>
      <c r="G122" s="520" t="str">
        <f>IF(F122="","",VLOOKUP($B122,'F-1 Off Site River Baseline'!$C$9:$R$257,6,FALSE))</f>
        <v/>
      </c>
      <c r="H122" s="520" t="str">
        <f>IF(G122="","",VLOOKUP($B122,'F-1 Off Site River Baseline'!$C$9:$R$257,7,FALSE))</f>
        <v/>
      </c>
      <c r="I122" s="520" t="str">
        <f>IF(H122="","",VLOOKUP($B122,'F-1 Off Site River Baseline'!$C$9:$R$257,8,FALSE))</f>
        <v/>
      </c>
      <c r="J122" s="520" t="str">
        <f>IF(I122="","",VLOOKUP($B122,'F-1 Off Site River Baseline'!$C$9:$R$257,9,FALSE))</f>
        <v/>
      </c>
      <c r="K122" s="520" t="str">
        <f>IF(J122="","",VLOOKUP($B122,'F-1 Off Site River Baseline'!$C$9:$R$257,10,FALSE))</f>
        <v/>
      </c>
      <c r="L122" s="520" t="str">
        <f>IF(B122="","",VLOOKUP($B122,'C-1 Site River Baseline'!$C$9:$R$257,15,FALSE))</f>
        <v/>
      </c>
      <c r="M122" s="524" t="str">
        <f>IF(L122="","",VLOOKUP($B122,'F-1 Off Site River Baseline'!$C$9:$R$257,16,FALSE))</f>
        <v/>
      </c>
      <c r="N122" s="418" t="str">
        <f t="shared" si="12"/>
        <v/>
      </c>
      <c r="O122" s="498" t="str">
        <f t="shared" si="13"/>
        <v/>
      </c>
      <c r="P122" s="499" t="str">
        <f>IF(C122="","",IF(AND(LEFT(C122,55)&lt;&gt;LEFT(N122,55),O122="High - High"),"Error - Not like for like ▲",IF(AND(F122=S122,H122&gt;U122),"Error - Can not reduce condition ▲",IF(AND(F122=S122,H122=U122,AJ122='F-1 Off Site River Baseline'!N120,'F-1 Off Site River Baseline'!P120=AL122),"Error - No enhancement ▲",IF(AND(C122&lt;&gt;N122,F122&lt;S122),"Lower Distinctiveness Habitat"&amp;" - "&amp;T122,G122&amp;" - "&amp;T122)))))</f>
        <v/>
      </c>
      <c r="Q122" s="505" t="str">
        <f>IF(N122="","",VLOOKUP(B122,'F-1 Off Site River Baseline'!$C$10:$AA$257,19,FALSE))</f>
        <v/>
      </c>
      <c r="R122" s="498" t="str">
        <f>IF(N122="","",VLOOKUP(N122,'G-7 Rivers Data'!$B$2:$G$8,2,FALSE))</f>
        <v/>
      </c>
      <c r="S122" s="499" t="str">
        <f>IFERROR(VLOOKUP(R122,'G-7 Rivers Data'!$C$4:$D$8,2,FALSE),"")</f>
        <v/>
      </c>
      <c r="T122" s="145"/>
      <c r="U122" s="499" t="str">
        <f>IFERROR(INDEX('G-7 Rivers Data'!$H$4:$L$8,MATCH(N122,'G-7 Rivers Data'!$B$4:$B$8,0),MATCH(T122,'G-7 Rivers Data'!$H$3:$L$3,0)),"")</f>
        <v/>
      </c>
      <c r="V122" s="154"/>
      <c r="W122" s="520" t="str">
        <f>IF(V122="","",IF(VLOOKUP(V122,'G-7 Rivers Data'!$AG$4:$AI$9,2,FALSE)=0,"Spatial Data Missing ⚠",VLOOKUP(V122,'G-7 Rivers Data'!$AG$4:$AI$9,2,FALSE)))</f>
        <v/>
      </c>
      <c r="X122" s="524" t="str">
        <f>IF(V122="","",IF(VLOOKUP(V122,'G-7 Rivers Data'!$AG$4:$AI$9,3,FALSE)=0,"Spatial Data Missing ⚠",VLOOKUP(V122,'G-7 Rivers Data'!$AG$4:$AI$9,3,FALSE)))</f>
        <v/>
      </c>
      <c r="Y122" s="537" t="str">
        <f>IFERROR(IF(OR(LEFT(P122,5)="Error ▲",LEFT(O122,5)="Error ▲"),"Check Data ⚠",IF(F122&lt;S122,'G-7 Rivers Data'!$R$3,INDEX('G-7 Rivers Data'!$U$5:$Y$9,MATCH(G122,'G-7 Rivers Data'!$T$5:$T$9,0),MATCH(T122,'G-7 Rivers Data'!$U$4:$Y$4,0)))),"")</f>
        <v/>
      </c>
      <c r="Z122" s="203"/>
      <c r="AA122" s="203"/>
      <c r="AB122" s="534" t="str">
        <f t="shared" si="8"/>
        <v/>
      </c>
      <c r="AC122" s="521" t="str">
        <f t="shared" si="9"/>
        <v/>
      </c>
      <c r="AD122" s="564" t="str">
        <f>IFERROR(IF(AC122="Check Data ⚠","Check Data ⚠",VLOOKUP(AC122,'G-4 Temporal multipliers'!$A$4:$C$37,3,FALSE)),"")</f>
        <v/>
      </c>
      <c r="AE122" s="537" t="str">
        <f>IF(N122="","",VLOOKUP(N122,'G-7 Rivers Data'!$B$4:$G$8,5,FALSE))</f>
        <v/>
      </c>
      <c r="AF122" s="520" t="str">
        <f t="shared" si="10"/>
        <v/>
      </c>
      <c r="AG122" s="520" t="str">
        <f t="shared" si="14"/>
        <v/>
      </c>
      <c r="AH122" s="524" t="str">
        <f t="shared" si="11"/>
        <v/>
      </c>
      <c r="AI122" s="145"/>
      <c r="AJ122" s="499" t="str">
        <f>IF(AI122="","",IF(VLOOKUP(AI122,'G-7 Rivers Data'!$AA$4:$AB$7,2,FALSE)=0,"Spatial Data Missing ⚠",VLOOKUP(AI122,'G-7 Rivers Data'!$AA$4:$AB$7,2,FALSE)))</f>
        <v/>
      </c>
      <c r="AK122" s="155"/>
      <c r="AL122" s="536" t="str">
        <f>IF(AK122="","",IF(VLOOKUP(AK122,'G-7 Rivers Data'!$AD$4:$AE$8,2,FALSE)=0,"Spatial Data Missing ⚠",VLOOKUP(AK122,'G-7 Rivers Data'!$AD$4:$AE$8,2,FALSE)))</f>
        <v/>
      </c>
      <c r="AM122" s="154"/>
      <c r="AN122" s="524" t="str">
        <f>IF(AM122="","",VLOOKUP(AM122,'G-7 Rivers Data'!$AO$4:$AP$7,2,FALSE))</f>
        <v/>
      </c>
      <c r="AO122" s="545" t="str">
        <f t="shared" si="15"/>
        <v/>
      </c>
      <c r="AP122" s="149"/>
      <c r="AQ122" s="150"/>
      <c r="AX122" s="31" t="str">
        <f>IFERROR(INDEX('G-7 Rivers Data'!$AZ$3:$AZ$7,MATCH(N122,'G-7 Rivers Data'!$AY$3:$AY$7,0)),"")</f>
        <v/>
      </c>
    </row>
    <row r="123" spans="2:50" ht="14" x14ac:dyDescent="0.3">
      <c r="B123" s="531" t="str">
        <f>'F-1 Off Site River Baseline'!AN121</f>
        <v/>
      </c>
      <c r="C123" s="520" t="str">
        <f>IF(B123="","",VLOOKUP($B123,'F-1 Off Site River Baseline'!$C$9:$R$257,2,FALSE))</f>
        <v/>
      </c>
      <c r="D123" s="520" t="str">
        <f>IF(C123="","",VLOOKUP($B123,'F-1 Off Site River Baseline'!$C$9:$R$257,3,FALSE))</f>
        <v/>
      </c>
      <c r="E123" s="520" t="str">
        <f>IF(D123="","",VLOOKUP($B123,'F-1 Off Site River Baseline'!$C$9:$R$257,4,FALSE))</f>
        <v/>
      </c>
      <c r="F123" s="520" t="str">
        <f>IF(E123="","",VLOOKUP($B123,'F-1 Off Site River Baseline'!$C$9:$R$257,5,FALSE))</f>
        <v/>
      </c>
      <c r="G123" s="520" t="str">
        <f>IF(F123="","",VLOOKUP($B123,'F-1 Off Site River Baseline'!$C$9:$R$257,6,FALSE))</f>
        <v/>
      </c>
      <c r="H123" s="520" t="str">
        <f>IF(G123="","",VLOOKUP($B123,'F-1 Off Site River Baseline'!$C$9:$R$257,7,FALSE))</f>
        <v/>
      </c>
      <c r="I123" s="520" t="str">
        <f>IF(H123="","",VLOOKUP($B123,'F-1 Off Site River Baseline'!$C$9:$R$257,8,FALSE))</f>
        <v/>
      </c>
      <c r="J123" s="520" t="str">
        <f>IF(I123="","",VLOOKUP($B123,'F-1 Off Site River Baseline'!$C$9:$R$257,9,FALSE))</f>
        <v/>
      </c>
      <c r="K123" s="520" t="str">
        <f>IF(J123="","",VLOOKUP($B123,'F-1 Off Site River Baseline'!$C$9:$R$257,10,FALSE))</f>
        <v/>
      </c>
      <c r="L123" s="520" t="str">
        <f>IF(B123="","",VLOOKUP($B123,'C-1 Site River Baseline'!$C$9:$R$257,15,FALSE))</f>
        <v/>
      </c>
      <c r="M123" s="524" t="str">
        <f>IF(L123="","",VLOOKUP($B123,'F-1 Off Site River Baseline'!$C$9:$R$257,16,FALSE))</f>
        <v/>
      </c>
      <c r="N123" s="418" t="str">
        <f t="shared" si="12"/>
        <v/>
      </c>
      <c r="O123" s="498" t="str">
        <f t="shared" si="13"/>
        <v/>
      </c>
      <c r="P123" s="499" t="str">
        <f>IF(C123="","",IF(AND(LEFT(C123,55)&lt;&gt;LEFT(N123,55),O123="High - High"),"Error - Not like for like ▲",IF(AND(F123=S123,H123&gt;U123),"Error - Can not reduce condition ▲",IF(AND(F123=S123,H123=U123,AJ123='F-1 Off Site River Baseline'!N121,'F-1 Off Site River Baseline'!P121=AL123),"Error - No enhancement ▲",IF(AND(C123&lt;&gt;N123,F123&lt;S123),"Lower Distinctiveness Habitat"&amp;" - "&amp;T123,G123&amp;" - "&amp;T123)))))</f>
        <v/>
      </c>
      <c r="Q123" s="505" t="str">
        <f>IF(N123="","",VLOOKUP(B123,'F-1 Off Site River Baseline'!$C$10:$AA$257,19,FALSE))</f>
        <v/>
      </c>
      <c r="R123" s="498" t="str">
        <f>IF(N123="","",VLOOKUP(N123,'G-7 Rivers Data'!$B$2:$G$8,2,FALSE))</f>
        <v/>
      </c>
      <c r="S123" s="499" t="str">
        <f>IFERROR(VLOOKUP(R123,'G-7 Rivers Data'!$C$4:$D$8,2,FALSE),"")</f>
        <v/>
      </c>
      <c r="T123" s="145"/>
      <c r="U123" s="499" t="str">
        <f>IFERROR(INDEX('G-7 Rivers Data'!$H$4:$L$8,MATCH(N123,'G-7 Rivers Data'!$B$4:$B$8,0),MATCH(T123,'G-7 Rivers Data'!$H$3:$L$3,0)),"")</f>
        <v/>
      </c>
      <c r="V123" s="154"/>
      <c r="W123" s="520" t="str">
        <f>IF(V123="","",IF(VLOOKUP(V123,'G-7 Rivers Data'!$AG$4:$AI$9,2,FALSE)=0,"Spatial Data Missing ⚠",VLOOKUP(V123,'G-7 Rivers Data'!$AG$4:$AI$9,2,FALSE)))</f>
        <v/>
      </c>
      <c r="X123" s="524" t="str">
        <f>IF(V123="","",IF(VLOOKUP(V123,'G-7 Rivers Data'!$AG$4:$AI$9,3,FALSE)=0,"Spatial Data Missing ⚠",VLOOKUP(V123,'G-7 Rivers Data'!$AG$4:$AI$9,3,FALSE)))</f>
        <v/>
      </c>
      <c r="Y123" s="537" t="str">
        <f>IFERROR(IF(OR(LEFT(P123,5)="Error ▲",LEFT(O123,5)="Error ▲"),"Check Data ⚠",IF(F123&lt;S123,'G-7 Rivers Data'!$R$3,INDEX('G-7 Rivers Data'!$U$5:$Y$9,MATCH(G123,'G-7 Rivers Data'!$T$5:$T$9,0),MATCH(T123,'G-7 Rivers Data'!$U$4:$Y$4,0)))),"")</f>
        <v/>
      </c>
      <c r="Z123" s="203"/>
      <c r="AA123" s="203"/>
      <c r="AB123" s="534" t="str">
        <f t="shared" si="8"/>
        <v/>
      </c>
      <c r="AC123" s="521" t="str">
        <f t="shared" si="9"/>
        <v/>
      </c>
      <c r="AD123" s="564" t="str">
        <f>IFERROR(IF(AC123="Check Data ⚠","Check Data ⚠",VLOOKUP(AC123,'G-4 Temporal multipliers'!$A$4:$C$37,3,FALSE)),"")</f>
        <v/>
      </c>
      <c r="AE123" s="537" t="str">
        <f>IF(N123="","",VLOOKUP(N123,'G-7 Rivers Data'!$B$4:$G$8,5,FALSE))</f>
        <v/>
      </c>
      <c r="AF123" s="520" t="str">
        <f t="shared" si="10"/>
        <v/>
      </c>
      <c r="AG123" s="520" t="str">
        <f t="shared" si="14"/>
        <v/>
      </c>
      <c r="AH123" s="524" t="str">
        <f t="shared" si="11"/>
        <v/>
      </c>
      <c r="AI123" s="145"/>
      <c r="AJ123" s="499" t="str">
        <f>IF(AI123="","",IF(VLOOKUP(AI123,'G-7 Rivers Data'!$AA$4:$AB$7,2,FALSE)=0,"Spatial Data Missing ⚠",VLOOKUP(AI123,'G-7 Rivers Data'!$AA$4:$AB$7,2,FALSE)))</f>
        <v/>
      </c>
      <c r="AK123" s="155"/>
      <c r="AL123" s="536" t="str">
        <f>IF(AK123="","",IF(VLOOKUP(AK123,'G-7 Rivers Data'!$AD$4:$AE$8,2,FALSE)=0,"Spatial Data Missing ⚠",VLOOKUP(AK123,'G-7 Rivers Data'!$AD$4:$AE$8,2,FALSE)))</f>
        <v/>
      </c>
      <c r="AM123" s="154"/>
      <c r="AN123" s="524" t="str">
        <f>IF(AM123="","",VLOOKUP(AM123,'G-7 Rivers Data'!$AO$4:$AP$7,2,FALSE))</f>
        <v/>
      </c>
      <c r="AO123" s="545" t="str">
        <f t="shared" si="15"/>
        <v/>
      </c>
      <c r="AP123" s="149"/>
      <c r="AQ123" s="150"/>
      <c r="AX123" s="31" t="str">
        <f>IFERROR(INDEX('G-7 Rivers Data'!$AZ$3:$AZ$7,MATCH(N123,'G-7 Rivers Data'!$AY$3:$AY$7,0)),"")</f>
        <v/>
      </c>
    </row>
    <row r="124" spans="2:50" ht="14" x14ac:dyDescent="0.3">
      <c r="B124" s="531" t="str">
        <f>'F-1 Off Site River Baseline'!AN122</f>
        <v/>
      </c>
      <c r="C124" s="520" t="str">
        <f>IF(B124="","",VLOOKUP($B124,'F-1 Off Site River Baseline'!$C$9:$R$257,2,FALSE))</f>
        <v/>
      </c>
      <c r="D124" s="520" t="str">
        <f>IF(C124="","",VLOOKUP($B124,'F-1 Off Site River Baseline'!$C$9:$R$257,3,FALSE))</f>
        <v/>
      </c>
      <c r="E124" s="520" t="str">
        <f>IF(D124="","",VLOOKUP($B124,'F-1 Off Site River Baseline'!$C$9:$R$257,4,FALSE))</f>
        <v/>
      </c>
      <c r="F124" s="520" t="str">
        <f>IF(E124="","",VLOOKUP($B124,'F-1 Off Site River Baseline'!$C$9:$R$257,5,FALSE))</f>
        <v/>
      </c>
      <c r="G124" s="520" t="str">
        <f>IF(F124="","",VLOOKUP($B124,'F-1 Off Site River Baseline'!$C$9:$R$257,6,FALSE))</f>
        <v/>
      </c>
      <c r="H124" s="520" t="str">
        <f>IF(G124="","",VLOOKUP($B124,'F-1 Off Site River Baseline'!$C$9:$R$257,7,FALSE))</f>
        <v/>
      </c>
      <c r="I124" s="520" t="str">
        <f>IF(H124="","",VLOOKUP($B124,'F-1 Off Site River Baseline'!$C$9:$R$257,8,FALSE))</f>
        <v/>
      </c>
      <c r="J124" s="520" t="str">
        <f>IF(I124="","",VLOOKUP($B124,'F-1 Off Site River Baseline'!$C$9:$R$257,9,FALSE))</f>
        <v/>
      </c>
      <c r="K124" s="520" t="str">
        <f>IF(J124="","",VLOOKUP($B124,'F-1 Off Site River Baseline'!$C$9:$R$257,10,FALSE))</f>
        <v/>
      </c>
      <c r="L124" s="520" t="str">
        <f>IF(B124="","",VLOOKUP($B124,'C-1 Site River Baseline'!$C$9:$R$257,15,FALSE))</f>
        <v/>
      </c>
      <c r="M124" s="524" t="str">
        <f>IF(L124="","",VLOOKUP($B124,'F-1 Off Site River Baseline'!$C$9:$R$257,16,FALSE))</f>
        <v/>
      </c>
      <c r="N124" s="418" t="str">
        <f t="shared" si="12"/>
        <v/>
      </c>
      <c r="O124" s="498" t="str">
        <f t="shared" si="13"/>
        <v/>
      </c>
      <c r="P124" s="499" t="str">
        <f>IF(C124="","",IF(AND(LEFT(C124,55)&lt;&gt;LEFT(N124,55),O124="High - High"),"Error - Not like for like ▲",IF(AND(F124=S124,H124&gt;U124),"Error - Can not reduce condition ▲",IF(AND(F124=S124,H124=U124,AJ124='F-1 Off Site River Baseline'!N122,'F-1 Off Site River Baseline'!P122=AL124),"Error - No enhancement ▲",IF(AND(C124&lt;&gt;N124,F124&lt;S124),"Lower Distinctiveness Habitat"&amp;" - "&amp;T124,G124&amp;" - "&amp;T124)))))</f>
        <v/>
      </c>
      <c r="Q124" s="505" t="str">
        <f>IF(N124="","",VLOOKUP(B124,'F-1 Off Site River Baseline'!$C$10:$AA$257,19,FALSE))</f>
        <v/>
      </c>
      <c r="R124" s="498" t="str">
        <f>IF(N124="","",VLOOKUP(N124,'G-7 Rivers Data'!$B$2:$G$8,2,FALSE))</f>
        <v/>
      </c>
      <c r="S124" s="499" t="str">
        <f>IFERROR(VLOOKUP(R124,'G-7 Rivers Data'!$C$4:$D$8,2,FALSE),"")</f>
        <v/>
      </c>
      <c r="T124" s="145"/>
      <c r="U124" s="499" t="str">
        <f>IFERROR(INDEX('G-7 Rivers Data'!$H$4:$L$8,MATCH(N124,'G-7 Rivers Data'!$B$4:$B$8,0),MATCH(T124,'G-7 Rivers Data'!$H$3:$L$3,0)),"")</f>
        <v/>
      </c>
      <c r="V124" s="154"/>
      <c r="W124" s="520" t="str">
        <f>IF(V124="","",IF(VLOOKUP(V124,'G-7 Rivers Data'!$AG$4:$AI$9,2,FALSE)=0,"Spatial Data Missing ⚠",VLOOKUP(V124,'G-7 Rivers Data'!$AG$4:$AI$9,2,FALSE)))</f>
        <v/>
      </c>
      <c r="X124" s="524" t="str">
        <f>IF(V124="","",IF(VLOOKUP(V124,'G-7 Rivers Data'!$AG$4:$AI$9,3,FALSE)=0,"Spatial Data Missing ⚠",VLOOKUP(V124,'G-7 Rivers Data'!$AG$4:$AI$9,3,FALSE)))</f>
        <v/>
      </c>
      <c r="Y124" s="537" t="str">
        <f>IFERROR(IF(OR(LEFT(P124,5)="Error ▲",LEFT(O124,5)="Error ▲"),"Check Data ⚠",IF(F124&lt;S124,'G-7 Rivers Data'!$R$3,INDEX('G-7 Rivers Data'!$U$5:$Y$9,MATCH(G124,'G-7 Rivers Data'!$T$5:$T$9,0),MATCH(T124,'G-7 Rivers Data'!$U$4:$Y$4,0)))),"")</f>
        <v/>
      </c>
      <c r="Z124" s="203"/>
      <c r="AA124" s="203"/>
      <c r="AB124" s="534" t="str">
        <f t="shared" si="8"/>
        <v/>
      </c>
      <c r="AC124" s="521" t="str">
        <f t="shared" si="9"/>
        <v/>
      </c>
      <c r="AD124" s="564" t="str">
        <f>IFERROR(IF(AC124="Check Data ⚠","Check Data ⚠",VLOOKUP(AC124,'G-4 Temporal multipliers'!$A$4:$C$37,3,FALSE)),"")</f>
        <v/>
      </c>
      <c r="AE124" s="537" t="str">
        <f>IF(N124="","",VLOOKUP(N124,'G-7 Rivers Data'!$B$4:$G$8,5,FALSE))</f>
        <v/>
      </c>
      <c r="AF124" s="520" t="str">
        <f t="shared" si="10"/>
        <v/>
      </c>
      <c r="AG124" s="520" t="str">
        <f t="shared" si="14"/>
        <v/>
      </c>
      <c r="AH124" s="524" t="str">
        <f t="shared" si="11"/>
        <v/>
      </c>
      <c r="AI124" s="145"/>
      <c r="AJ124" s="499" t="str">
        <f>IF(AI124="","",IF(VLOOKUP(AI124,'G-7 Rivers Data'!$AA$4:$AB$7,2,FALSE)=0,"Spatial Data Missing ⚠",VLOOKUP(AI124,'G-7 Rivers Data'!$AA$4:$AB$7,2,FALSE)))</f>
        <v/>
      </c>
      <c r="AK124" s="155"/>
      <c r="AL124" s="536" t="str">
        <f>IF(AK124="","",IF(VLOOKUP(AK124,'G-7 Rivers Data'!$AD$4:$AE$8,2,FALSE)=0,"Spatial Data Missing ⚠",VLOOKUP(AK124,'G-7 Rivers Data'!$AD$4:$AE$8,2,FALSE)))</f>
        <v/>
      </c>
      <c r="AM124" s="154"/>
      <c r="AN124" s="524" t="str">
        <f>IF(AM124="","",VLOOKUP(AM124,'G-7 Rivers Data'!$AO$4:$AP$7,2,FALSE))</f>
        <v/>
      </c>
      <c r="AO124" s="545" t="str">
        <f t="shared" si="15"/>
        <v/>
      </c>
      <c r="AP124" s="149"/>
      <c r="AQ124" s="150"/>
      <c r="AX124" s="31" t="str">
        <f>IFERROR(INDEX('G-7 Rivers Data'!$AZ$3:$AZ$7,MATCH(N124,'G-7 Rivers Data'!$AY$3:$AY$7,0)),"")</f>
        <v/>
      </c>
    </row>
    <row r="125" spans="2:50" ht="14" x14ac:dyDescent="0.3">
      <c r="B125" s="531" t="str">
        <f>'F-1 Off Site River Baseline'!AN123</f>
        <v/>
      </c>
      <c r="C125" s="520" t="str">
        <f>IF(B125="","",VLOOKUP($B125,'F-1 Off Site River Baseline'!$C$9:$R$257,2,FALSE))</f>
        <v/>
      </c>
      <c r="D125" s="520" t="str">
        <f>IF(C125="","",VLOOKUP($B125,'F-1 Off Site River Baseline'!$C$9:$R$257,3,FALSE))</f>
        <v/>
      </c>
      <c r="E125" s="520" t="str">
        <f>IF(D125="","",VLOOKUP($B125,'F-1 Off Site River Baseline'!$C$9:$R$257,4,FALSE))</f>
        <v/>
      </c>
      <c r="F125" s="520" t="str">
        <f>IF(E125="","",VLOOKUP($B125,'F-1 Off Site River Baseline'!$C$9:$R$257,5,FALSE))</f>
        <v/>
      </c>
      <c r="G125" s="520" t="str">
        <f>IF(F125="","",VLOOKUP($B125,'F-1 Off Site River Baseline'!$C$9:$R$257,6,FALSE))</f>
        <v/>
      </c>
      <c r="H125" s="520" t="str">
        <f>IF(G125="","",VLOOKUP($B125,'F-1 Off Site River Baseline'!$C$9:$R$257,7,FALSE))</f>
        <v/>
      </c>
      <c r="I125" s="520" t="str">
        <f>IF(H125="","",VLOOKUP($B125,'F-1 Off Site River Baseline'!$C$9:$R$257,8,FALSE))</f>
        <v/>
      </c>
      <c r="J125" s="520" t="str">
        <f>IF(I125="","",VLOOKUP($B125,'F-1 Off Site River Baseline'!$C$9:$R$257,9,FALSE))</f>
        <v/>
      </c>
      <c r="K125" s="520" t="str">
        <f>IF(J125="","",VLOOKUP($B125,'F-1 Off Site River Baseline'!$C$9:$R$257,10,FALSE))</f>
        <v/>
      </c>
      <c r="L125" s="520" t="str">
        <f>IF(B125="","",VLOOKUP($B125,'C-1 Site River Baseline'!$C$9:$R$257,15,FALSE))</f>
        <v/>
      </c>
      <c r="M125" s="524" t="str">
        <f>IF(L125="","",VLOOKUP($B125,'F-1 Off Site River Baseline'!$C$9:$R$257,16,FALSE))</f>
        <v/>
      </c>
      <c r="N125" s="418" t="str">
        <f t="shared" si="12"/>
        <v/>
      </c>
      <c r="O125" s="498" t="str">
        <f t="shared" si="13"/>
        <v/>
      </c>
      <c r="P125" s="499" t="str">
        <f>IF(C125="","",IF(AND(LEFT(C125,55)&lt;&gt;LEFT(N125,55),O125="High - High"),"Error - Not like for like ▲",IF(AND(F125=S125,H125&gt;U125),"Error - Can not reduce condition ▲",IF(AND(F125=S125,H125=U125,AJ125='F-1 Off Site River Baseline'!N123,'F-1 Off Site River Baseline'!P123=AL125),"Error - No enhancement ▲",IF(AND(C125&lt;&gt;N125,F125&lt;S125),"Lower Distinctiveness Habitat"&amp;" - "&amp;T125,G125&amp;" - "&amp;T125)))))</f>
        <v/>
      </c>
      <c r="Q125" s="505" t="str">
        <f>IF(N125="","",VLOOKUP(B125,'F-1 Off Site River Baseline'!$C$10:$AA$257,19,FALSE))</f>
        <v/>
      </c>
      <c r="R125" s="498" t="str">
        <f>IF(N125="","",VLOOKUP(N125,'G-7 Rivers Data'!$B$2:$G$8,2,FALSE))</f>
        <v/>
      </c>
      <c r="S125" s="499" t="str">
        <f>IFERROR(VLOOKUP(R125,'G-7 Rivers Data'!$C$4:$D$8,2,FALSE),"")</f>
        <v/>
      </c>
      <c r="T125" s="145"/>
      <c r="U125" s="499" t="str">
        <f>IFERROR(INDEX('G-7 Rivers Data'!$H$4:$L$8,MATCH(N125,'G-7 Rivers Data'!$B$4:$B$8,0),MATCH(T125,'G-7 Rivers Data'!$H$3:$L$3,0)),"")</f>
        <v/>
      </c>
      <c r="V125" s="154"/>
      <c r="W125" s="520" t="str">
        <f>IF(V125="","",IF(VLOOKUP(V125,'G-7 Rivers Data'!$AG$4:$AI$9,2,FALSE)=0,"Spatial Data Missing ⚠",VLOOKUP(V125,'G-7 Rivers Data'!$AG$4:$AI$9,2,FALSE)))</f>
        <v/>
      </c>
      <c r="X125" s="524" t="str">
        <f>IF(V125="","",IF(VLOOKUP(V125,'G-7 Rivers Data'!$AG$4:$AI$9,3,FALSE)=0,"Spatial Data Missing ⚠",VLOOKUP(V125,'G-7 Rivers Data'!$AG$4:$AI$9,3,FALSE)))</f>
        <v/>
      </c>
      <c r="Y125" s="537" t="str">
        <f>IFERROR(IF(OR(LEFT(P125,5)="Error ▲",LEFT(O125,5)="Error ▲"),"Check Data ⚠",IF(F125&lt;S125,'G-7 Rivers Data'!$R$3,INDEX('G-7 Rivers Data'!$U$5:$Y$9,MATCH(G125,'G-7 Rivers Data'!$T$5:$T$9,0),MATCH(T125,'G-7 Rivers Data'!$U$4:$Y$4,0)))),"")</f>
        <v/>
      </c>
      <c r="Z125" s="203"/>
      <c r="AA125" s="203"/>
      <c r="AB125" s="534" t="str">
        <f t="shared" si="8"/>
        <v/>
      </c>
      <c r="AC125" s="521" t="str">
        <f t="shared" si="9"/>
        <v/>
      </c>
      <c r="AD125" s="564" t="str">
        <f>IFERROR(IF(AC125="Check Data ⚠","Check Data ⚠",VLOOKUP(AC125,'G-4 Temporal multipliers'!$A$4:$C$37,3,FALSE)),"")</f>
        <v/>
      </c>
      <c r="AE125" s="537" t="str">
        <f>IF(N125="","",VLOOKUP(N125,'G-7 Rivers Data'!$B$4:$G$8,5,FALSE))</f>
        <v/>
      </c>
      <c r="AF125" s="520" t="str">
        <f t="shared" si="10"/>
        <v/>
      </c>
      <c r="AG125" s="520" t="str">
        <f t="shared" si="14"/>
        <v/>
      </c>
      <c r="AH125" s="524" t="str">
        <f t="shared" si="11"/>
        <v/>
      </c>
      <c r="AI125" s="145"/>
      <c r="AJ125" s="499" t="str">
        <f>IF(AI125="","",IF(VLOOKUP(AI125,'G-7 Rivers Data'!$AA$4:$AB$7,2,FALSE)=0,"Spatial Data Missing ⚠",VLOOKUP(AI125,'G-7 Rivers Data'!$AA$4:$AB$7,2,FALSE)))</f>
        <v/>
      </c>
      <c r="AK125" s="155"/>
      <c r="AL125" s="536" t="str">
        <f>IF(AK125="","",IF(VLOOKUP(AK125,'G-7 Rivers Data'!$AD$4:$AE$8,2,FALSE)=0,"Spatial Data Missing ⚠",VLOOKUP(AK125,'G-7 Rivers Data'!$AD$4:$AE$8,2,FALSE)))</f>
        <v/>
      </c>
      <c r="AM125" s="154"/>
      <c r="AN125" s="524" t="str">
        <f>IF(AM125="","",VLOOKUP(AM125,'G-7 Rivers Data'!$AO$4:$AP$7,2,FALSE))</f>
        <v/>
      </c>
      <c r="AO125" s="545" t="str">
        <f t="shared" si="15"/>
        <v/>
      </c>
      <c r="AP125" s="149"/>
      <c r="AQ125" s="150"/>
      <c r="AX125" s="31" t="str">
        <f>IFERROR(INDEX('G-7 Rivers Data'!$AZ$3:$AZ$7,MATCH(N125,'G-7 Rivers Data'!$AY$3:$AY$7,0)),"")</f>
        <v/>
      </c>
    </row>
    <row r="126" spans="2:50" ht="14" x14ac:dyDescent="0.3">
      <c r="B126" s="531" t="str">
        <f>'F-1 Off Site River Baseline'!AN124</f>
        <v/>
      </c>
      <c r="C126" s="520" t="str">
        <f>IF(B126="","",VLOOKUP($B126,'F-1 Off Site River Baseline'!$C$9:$R$257,2,FALSE))</f>
        <v/>
      </c>
      <c r="D126" s="520" t="str">
        <f>IF(C126="","",VLOOKUP($B126,'F-1 Off Site River Baseline'!$C$9:$R$257,3,FALSE))</f>
        <v/>
      </c>
      <c r="E126" s="520" t="str">
        <f>IF(D126="","",VLOOKUP($B126,'F-1 Off Site River Baseline'!$C$9:$R$257,4,FALSE))</f>
        <v/>
      </c>
      <c r="F126" s="520" t="str">
        <f>IF(E126="","",VLOOKUP($B126,'F-1 Off Site River Baseline'!$C$9:$R$257,5,FALSE))</f>
        <v/>
      </c>
      <c r="G126" s="520" t="str">
        <f>IF(F126="","",VLOOKUP($B126,'F-1 Off Site River Baseline'!$C$9:$R$257,6,FALSE))</f>
        <v/>
      </c>
      <c r="H126" s="520" t="str">
        <f>IF(G126="","",VLOOKUP($B126,'F-1 Off Site River Baseline'!$C$9:$R$257,7,FALSE))</f>
        <v/>
      </c>
      <c r="I126" s="520" t="str">
        <f>IF(H126="","",VLOOKUP($B126,'F-1 Off Site River Baseline'!$C$9:$R$257,8,FALSE))</f>
        <v/>
      </c>
      <c r="J126" s="520" t="str">
        <f>IF(I126="","",VLOOKUP($B126,'F-1 Off Site River Baseline'!$C$9:$R$257,9,FALSE))</f>
        <v/>
      </c>
      <c r="K126" s="520" t="str">
        <f>IF(J126="","",VLOOKUP($B126,'F-1 Off Site River Baseline'!$C$9:$R$257,10,FALSE))</f>
        <v/>
      </c>
      <c r="L126" s="520" t="str">
        <f>IF(B126="","",VLOOKUP($B126,'C-1 Site River Baseline'!$C$9:$R$257,15,FALSE))</f>
        <v/>
      </c>
      <c r="M126" s="524" t="str">
        <f>IF(L126="","",VLOOKUP($B126,'F-1 Off Site River Baseline'!$C$9:$R$257,16,FALSE))</f>
        <v/>
      </c>
      <c r="N126" s="418" t="str">
        <f t="shared" si="12"/>
        <v/>
      </c>
      <c r="O126" s="498" t="str">
        <f t="shared" si="13"/>
        <v/>
      </c>
      <c r="P126" s="499" t="str">
        <f>IF(C126="","",IF(AND(LEFT(C126,55)&lt;&gt;LEFT(N126,55),O126="High - High"),"Error - Not like for like ▲",IF(AND(F126=S126,H126&gt;U126),"Error - Can not reduce condition ▲",IF(AND(F126=S126,H126=U126,AJ126='F-1 Off Site River Baseline'!N124,'F-1 Off Site River Baseline'!P124=AL126),"Error - No enhancement ▲",IF(AND(C126&lt;&gt;N126,F126&lt;S126),"Lower Distinctiveness Habitat"&amp;" - "&amp;T126,G126&amp;" - "&amp;T126)))))</f>
        <v/>
      </c>
      <c r="Q126" s="505" t="str">
        <f>IF(N126="","",VLOOKUP(B126,'F-1 Off Site River Baseline'!$C$10:$AA$257,19,FALSE))</f>
        <v/>
      </c>
      <c r="R126" s="498" t="str">
        <f>IF(N126="","",VLOOKUP(N126,'G-7 Rivers Data'!$B$2:$G$8,2,FALSE))</f>
        <v/>
      </c>
      <c r="S126" s="499" t="str">
        <f>IFERROR(VLOOKUP(R126,'G-7 Rivers Data'!$C$4:$D$8,2,FALSE),"")</f>
        <v/>
      </c>
      <c r="T126" s="145"/>
      <c r="U126" s="499" t="str">
        <f>IFERROR(INDEX('G-7 Rivers Data'!$H$4:$L$8,MATCH(N126,'G-7 Rivers Data'!$B$4:$B$8,0),MATCH(T126,'G-7 Rivers Data'!$H$3:$L$3,0)),"")</f>
        <v/>
      </c>
      <c r="V126" s="154"/>
      <c r="W126" s="520" t="str">
        <f>IF(V126="","",IF(VLOOKUP(V126,'G-7 Rivers Data'!$AG$4:$AI$9,2,FALSE)=0,"Spatial Data Missing ⚠",VLOOKUP(V126,'G-7 Rivers Data'!$AG$4:$AI$9,2,FALSE)))</f>
        <v/>
      </c>
      <c r="X126" s="524" t="str">
        <f>IF(V126="","",IF(VLOOKUP(V126,'G-7 Rivers Data'!$AG$4:$AI$9,3,FALSE)=0,"Spatial Data Missing ⚠",VLOOKUP(V126,'G-7 Rivers Data'!$AG$4:$AI$9,3,FALSE)))</f>
        <v/>
      </c>
      <c r="Y126" s="537" t="str">
        <f>IFERROR(IF(OR(LEFT(P126,5)="Error ▲",LEFT(O126,5)="Error ▲"),"Check Data ⚠",IF(F126&lt;S126,'G-7 Rivers Data'!$R$3,INDEX('G-7 Rivers Data'!$U$5:$Y$9,MATCH(G126,'G-7 Rivers Data'!$T$5:$T$9,0),MATCH(T126,'G-7 Rivers Data'!$U$4:$Y$4,0)))),"")</f>
        <v/>
      </c>
      <c r="Z126" s="203"/>
      <c r="AA126" s="203"/>
      <c r="AB126" s="534" t="str">
        <f t="shared" si="8"/>
        <v/>
      </c>
      <c r="AC126" s="521" t="str">
        <f t="shared" si="9"/>
        <v/>
      </c>
      <c r="AD126" s="564" t="str">
        <f>IFERROR(IF(AC126="Check Data ⚠","Check Data ⚠",VLOOKUP(AC126,'G-4 Temporal multipliers'!$A$4:$C$37,3,FALSE)),"")</f>
        <v/>
      </c>
      <c r="AE126" s="537" t="str">
        <f>IF(N126="","",VLOOKUP(N126,'G-7 Rivers Data'!$B$4:$G$8,5,FALSE))</f>
        <v/>
      </c>
      <c r="AF126" s="520" t="str">
        <f t="shared" si="10"/>
        <v/>
      </c>
      <c r="AG126" s="520" t="str">
        <f t="shared" si="14"/>
        <v/>
      </c>
      <c r="AH126" s="524" t="str">
        <f t="shared" si="11"/>
        <v/>
      </c>
      <c r="AI126" s="145"/>
      <c r="AJ126" s="499" t="str">
        <f>IF(AI126="","",IF(VLOOKUP(AI126,'G-7 Rivers Data'!$AA$4:$AB$7,2,FALSE)=0,"Spatial Data Missing ⚠",VLOOKUP(AI126,'G-7 Rivers Data'!$AA$4:$AB$7,2,FALSE)))</f>
        <v/>
      </c>
      <c r="AK126" s="155"/>
      <c r="AL126" s="536" t="str">
        <f>IF(AK126="","",IF(VLOOKUP(AK126,'G-7 Rivers Data'!$AD$4:$AE$8,2,FALSE)=0,"Spatial Data Missing ⚠",VLOOKUP(AK126,'G-7 Rivers Data'!$AD$4:$AE$8,2,FALSE)))</f>
        <v/>
      </c>
      <c r="AM126" s="154"/>
      <c r="AN126" s="524" t="str">
        <f>IF(AM126="","",VLOOKUP(AM126,'G-7 Rivers Data'!$AO$4:$AP$7,2,FALSE))</f>
        <v/>
      </c>
      <c r="AO126" s="545" t="str">
        <f t="shared" si="15"/>
        <v/>
      </c>
      <c r="AP126" s="149"/>
      <c r="AQ126" s="150"/>
      <c r="AX126" s="31" t="str">
        <f>IFERROR(INDEX('G-7 Rivers Data'!$AZ$3:$AZ$7,MATCH(N126,'G-7 Rivers Data'!$AY$3:$AY$7,0)),"")</f>
        <v/>
      </c>
    </row>
    <row r="127" spans="2:50" ht="14" x14ac:dyDescent="0.3">
      <c r="B127" s="531" t="str">
        <f>'F-1 Off Site River Baseline'!AN125</f>
        <v/>
      </c>
      <c r="C127" s="520" t="str">
        <f>IF(B127="","",VLOOKUP($B127,'F-1 Off Site River Baseline'!$C$9:$R$257,2,FALSE))</f>
        <v/>
      </c>
      <c r="D127" s="520" t="str">
        <f>IF(C127="","",VLOOKUP($B127,'F-1 Off Site River Baseline'!$C$9:$R$257,3,FALSE))</f>
        <v/>
      </c>
      <c r="E127" s="520" t="str">
        <f>IF(D127="","",VLOOKUP($B127,'F-1 Off Site River Baseline'!$C$9:$R$257,4,FALSE))</f>
        <v/>
      </c>
      <c r="F127" s="520" t="str">
        <f>IF(E127="","",VLOOKUP($B127,'F-1 Off Site River Baseline'!$C$9:$R$257,5,FALSE))</f>
        <v/>
      </c>
      <c r="G127" s="520" t="str">
        <f>IF(F127="","",VLOOKUP($B127,'F-1 Off Site River Baseline'!$C$9:$R$257,6,FALSE))</f>
        <v/>
      </c>
      <c r="H127" s="520" t="str">
        <f>IF(G127="","",VLOOKUP($B127,'F-1 Off Site River Baseline'!$C$9:$R$257,7,FALSE))</f>
        <v/>
      </c>
      <c r="I127" s="520" t="str">
        <f>IF(H127="","",VLOOKUP($B127,'F-1 Off Site River Baseline'!$C$9:$R$257,8,FALSE))</f>
        <v/>
      </c>
      <c r="J127" s="520" t="str">
        <f>IF(I127="","",VLOOKUP($B127,'F-1 Off Site River Baseline'!$C$9:$R$257,9,FALSE))</f>
        <v/>
      </c>
      <c r="K127" s="520" t="str">
        <f>IF(J127="","",VLOOKUP($B127,'F-1 Off Site River Baseline'!$C$9:$R$257,10,FALSE))</f>
        <v/>
      </c>
      <c r="L127" s="520" t="str">
        <f>IF(B127="","",VLOOKUP($B127,'C-1 Site River Baseline'!$C$9:$R$257,15,FALSE))</f>
        <v/>
      </c>
      <c r="M127" s="524" t="str">
        <f>IF(L127="","",VLOOKUP($B127,'F-1 Off Site River Baseline'!$C$9:$R$257,16,FALSE))</f>
        <v/>
      </c>
      <c r="N127" s="418" t="str">
        <f t="shared" si="12"/>
        <v/>
      </c>
      <c r="O127" s="498" t="str">
        <f t="shared" si="13"/>
        <v/>
      </c>
      <c r="P127" s="499" t="str">
        <f>IF(C127="","",IF(AND(LEFT(C127,55)&lt;&gt;LEFT(N127,55),O127="High - High"),"Error - Not like for like ▲",IF(AND(F127=S127,H127&gt;U127),"Error - Can not reduce condition ▲",IF(AND(F127=S127,H127=U127,AJ127='F-1 Off Site River Baseline'!N125,'F-1 Off Site River Baseline'!P125=AL127),"Error - No enhancement ▲",IF(AND(C127&lt;&gt;N127,F127&lt;S127),"Lower Distinctiveness Habitat"&amp;" - "&amp;T127,G127&amp;" - "&amp;T127)))))</f>
        <v/>
      </c>
      <c r="Q127" s="505" t="str">
        <f>IF(N127="","",VLOOKUP(B127,'F-1 Off Site River Baseline'!$C$10:$AA$257,19,FALSE))</f>
        <v/>
      </c>
      <c r="R127" s="498" t="str">
        <f>IF(N127="","",VLOOKUP(N127,'G-7 Rivers Data'!$B$2:$G$8,2,FALSE))</f>
        <v/>
      </c>
      <c r="S127" s="499" t="str">
        <f>IFERROR(VLOOKUP(R127,'G-7 Rivers Data'!$C$4:$D$8,2,FALSE),"")</f>
        <v/>
      </c>
      <c r="T127" s="145"/>
      <c r="U127" s="499" t="str">
        <f>IFERROR(INDEX('G-7 Rivers Data'!$H$4:$L$8,MATCH(N127,'G-7 Rivers Data'!$B$4:$B$8,0),MATCH(T127,'G-7 Rivers Data'!$H$3:$L$3,0)),"")</f>
        <v/>
      </c>
      <c r="V127" s="154"/>
      <c r="W127" s="520" t="str">
        <f>IF(V127="","",IF(VLOOKUP(V127,'G-7 Rivers Data'!$AG$4:$AI$9,2,FALSE)=0,"Spatial Data Missing ⚠",VLOOKUP(V127,'G-7 Rivers Data'!$AG$4:$AI$9,2,FALSE)))</f>
        <v/>
      </c>
      <c r="X127" s="524" t="str">
        <f>IF(V127="","",IF(VLOOKUP(V127,'G-7 Rivers Data'!$AG$4:$AI$9,3,FALSE)=0,"Spatial Data Missing ⚠",VLOOKUP(V127,'G-7 Rivers Data'!$AG$4:$AI$9,3,FALSE)))</f>
        <v/>
      </c>
      <c r="Y127" s="537" t="str">
        <f>IFERROR(IF(OR(LEFT(P127,5)="Error ▲",LEFT(O127,5)="Error ▲"),"Check Data ⚠",IF(F127&lt;S127,'G-7 Rivers Data'!$R$3,INDEX('G-7 Rivers Data'!$U$5:$Y$9,MATCH(G127,'G-7 Rivers Data'!$T$5:$T$9,0),MATCH(T127,'G-7 Rivers Data'!$U$4:$Y$4,0)))),"")</f>
        <v/>
      </c>
      <c r="Z127" s="203"/>
      <c r="AA127" s="203"/>
      <c r="AB127" s="534" t="str">
        <f t="shared" si="8"/>
        <v/>
      </c>
      <c r="AC127" s="521" t="str">
        <f t="shared" si="9"/>
        <v/>
      </c>
      <c r="AD127" s="564" t="str">
        <f>IFERROR(IF(AC127="Check Data ⚠","Check Data ⚠",VLOOKUP(AC127,'G-4 Temporal multipliers'!$A$4:$C$37,3,FALSE)),"")</f>
        <v/>
      </c>
      <c r="AE127" s="537" t="str">
        <f>IF(N127="","",VLOOKUP(N127,'G-7 Rivers Data'!$B$4:$G$8,5,FALSE))</f>
        <v/>
      </c>
      <c r="AF127" s="520" t="str">
        <f t="shared" si="10"/>
        <v/>
      </c>
      <c r="AG127" s="520" t="str">
        <f t="shared" si="14"/>
        <v/>
      </c>
      <c r="AH127" s="524" t="str">
        <f t="shared" si="11"/>
        <v/>
      </c>
      <c r="AI127" s="145"/>
      <c r="AJ127" s="499" t="str">
        <f>IF(AI127="","",IF(VLOOKUP(AI127,'G-7 Rivers Data'!$AA$4:$AB$7,2,FALSE)=0,"Spatial Data Missing ⚠",VLOOKUP(AI127,'G-7 Rivers Data'!$AA$4:$AB$7,2,FALSE)))</f>
        <v/>
      </c>
      <c r="AK127" s="155"/>
      <c r="AL127" s="536" t="str">
        <f>IF(AK127="","",IF(VLOOKUP(AK127,'G-7 Rivers Data'!$AD$4:$AE$8,2,FALSE)=0,"Spatial Data Missing ⚠",VLOOKUP(AK127,'G-7 Rivers Data'!$AD$4:$AE$8,2,FALSE)))</f>
        <v/>
      </c>
      <c r="AM127" s="154"/>
      <c r="AN127" s="524" t="str">
        <f>IF(AM127="","",VLOOKUP(AM127,'G-7 Rivers Data'!$AO$4:$AP$7,2,FALSE))</f>
        <v/>
      </c>
      <c r="AO127" s="545" t="str">
        <f t="shared" si="15"/>
        <v/>
      </c>
      <c r="AP127" s="149"/>
      <c r="AQ127" s="150"/>
      <c r="AX127" s="31" t="str">
        <f>IFERROR(INDEX('G-7 Rivers Data'!$AZ$3:$AZ$7,MATCH(N127,'G-7 Rivers Data'!$AY$3:$AY$7,0)),"")</f>
        <v/>
      </c>
    </row>
    <row r="128" spans="2:50" ht="14" x14ac:dyDescent="0.3">
      <c r="B128" s="531" t="str">
        <f>'F-1 Off Site River Baseline'!AN126</f>
        <v/>
      </c>
      <c r="C128" s="520" t="str">
        <f>IF(B128="","",VLOOKUP($B128,'F-1 Off Site River Baseline'!$C$9:$R$257,2,FALSE))</f>
        <v/>
      </c>
      <c r="D128" s="520" t="str">
        <f>IF(C128="","",VLOOKUP($B128,'F-1 Off Site River Baseline'!$C$9:$R$257,3,FALSE))</f>
        <v/>
      </c>
      <c r="E128" s="520" t="str">
        <f>IF(D128="","",VLOOKUP($B128,'F-1 Off Site River Baseline'!$C$9:$R$257,4,FALSE))</f>
        <v/>
      </c>
      <c r="F128" s="520" t="str">
        <f>IF(E128="","",VLOOKUP($B128,'F-1 Off Site River Baseline'!$C$9:$R$257,5,FALSE))</f>
        <v/>
      </c>
      <c r="G128" s="520" t="str">
        <f>IF(F128="","",VLOOKUP($B128,'F-1 Off Site River Baseline'!$C$9:$R$257,6,FALSE))</f>
        <v/>
      </c>
      <c r="H128" s="520" t="str">
        <f>IF(G128="","",VLOOKUP($B128,'F-1 Off Site River Baseline'!$C$9:$R$257,7,FALSE))</f>
        <v/>
      </c>
      <c r="I128" s="520" t="str">
        <f>IF(H128="","",VLOOKUP($B128,'F-1 Off Site River Baseline'!$C$9:$R$257,8,FALSE))</f>
        <v/>
      </c>
      <c r="J128" s="520" t="str">
        <f>IF(I128="","",VLOOKUP($B128,'F-1 Off Site River Baseline'!$C$9:$R$257,9,FALSE))</f>
        <v/>
      </c>
      <c r="K128" s="520" t="str">
        <f>IF(J128="","",VLOOKUP($B128,'F-1 Off Site River Baseline'!$C$9:$R$257,10,FALSE))</f>
        <v/>
      </c>
      <c r="L128" s="520" t="str">
        <f>IF(B128="","",VLOOKUP($B128,'C-1 Site River Baseline'!$C$9:$R$257,15,FALSE))</f>
        <v/>
      </c>
      <c r="M128" s="524" t="str">
        <f>IF(L128="","",VLOOKUP($B128,'F-1 Off Site River Baseline'!$C$9:$R$257,16,FALSE))</f>
        <v/>
      </c>
      <c r="N128" s="418" t="str">
        <f t="shared" si="12"/>
        <v/>
      </c>
      <c r="O128" s="498" t="str">
        <f t="shared" si="13"/>
        <v/>
      </c>
      <c r="P128" s="499" t="str">
        <f>IF(C128="","",IF(AND(LEFT(C128,55)&lt;&gt;LEFT(N128,55),O128="High - High"),"Error - Not like for like ▲",IF(AND(F128=S128,H128&gt;U128),"Error - Can not reduce condition ▲",IF(AND(F128=S128,H128=U128,AJ128='F-1 Off Site River Baseline'!N126,'F-1 Off Site River Baseline'!P126=AL128),"Error - No enhancement ▲",IF(AND(C128&lt;&gt;N128,F128&lt;S128),"Lower Distinctiveness Habitat"&amp;" - "&amp;T128,G128&amp;" - "&amp;T128)))))</f>
        <v/>
      </c>
      <c r="Q128" s="505" t="str">
        <f>IF(N128="","",VLOOKUP(B128,'F-1 Off Site River Baseline'!$C$10:$AA$257,19,FALSE))</f>
        <v/>
      </c>
      <c r="R128" s="498" t="str">
        <f>IF(N128="","",VLOOKUP(N128,'G-7 Rivers Data'!$B$2:$G$8,2,FALSE))</f>
        <v/>
      </c>
      <c r="S128" s="499" t="str">
        <f>IFERROR(VLOOKUP(R128,'G-7 Rivers Data'!$C$4:$D$8,2,FALSE),"")</f>
        <v/>
      </c>
      <c r="T128" s="145"/>
      <c r="U128" s="499" t="str">
        <f>IFERROR(INDEX('G-7 Rivers Data'!$H$4:$L$8,MATCH(N128,'G-7 Rivers Data'!$B$4:$B$8,0),MATCH(T128,'G-7 Rivers Data'!$H$3:$L$3,0)),"")</f>
        <v/>
      </c>
      <c r="V128" s="154"/>
      <c r="W128" s="520" t="str">
        <f>IF(V128="","",IF(VLOOKUP(V128,'G-7 Rivers Data'!$AG$4:$AI$9,2,FALSE)=0,"Spatial Data Missing ⚠",VLOOKUP(V128,'G-7 Rivers Data'!$AG$4:$AI$9,2,FALSE)))</f>
        <v/>
      </c>
      <c r="X128" s="524" t="str">
        <f>IF(V128="","",IF(VLOOKUP(V128,'G-7 Rivers Data'!$AG$4:$AI$9,3,FALSE)=0,"Spatial Data Missing ⚠",VLOOKUP(V128,'G-7 Rivers Data'!$AG$4:$AI$9,3,FALSE)))</f>
        <v/>
      </c>
      <c r="Y128" s="537" t="str">
        <f>IFERROR(IF(OR(LEFT(P128,5)="Error ▲",LEFT(O128,5)="Error ▲"),"Check Data ⚠",IF(F128&lt;S128,'G-7 Rivers Data'!$R$3,INDEX('G-7 Rivers Data'!$U$5:$Y$9,MATCH(G128,'G-7 Rivers Data'!$T$5:$T$9,0),MATCH(T128,'G-7 Rivers Data'!$U$4:$Y$4,0)))),"")</f>
        <v/>
      </c>
      <c r="Z128" s="203"/>
      <c r="AA128" s="203"/>
      <c r="AB128" s="534" t="str">
        <f t="shared" si="8"/>
        <v/>
      </c>
      <c r="AC128" s="521" t="str">
        <f t="shared" si="9"/>
        <v/>
      </c>
      <c r="AD128" s="564" t="str">
        <f>IFERROR(IF(AC128="Check Data ⚠","Check Data ⚠",VLOOKUP(AC128,'G-4 Temporal multipliers'!$A$4:$C$37,3,FALSE)),"")</f>
        <v/>
      </c>
      <c r="AE128" s="537" t="str">
        <f>IF(N128="","",VLOOKUP(N128,'G-7 Rivers Data'!$B$4:$G$8,5,FALSE))</f>
        <v/>
      </c>
      <c r="AF128" s="520" t="str">
        <f t="shared" si="10"/>
        <v/>
      </c>
      <c r="AG128" s="520" t="str">
        <f t="shared" si="14"/>
        <v/>
      </c>
      <c r="AH128" s="524" t="str">
        <f t="shared" si="11"/>
        <v/>
      </c>
      <c r="AI128" s="145"/>
      <c r="AJ128" s="499" t="str">
        <f>IF(AI128="","",IF(VLOOKUP(AI128,'G-7 Rivers Data'!$AA$4:$AB$7,2,FALSE)=0,"Spatial Data Missing ⚠",VLOOKUP(AI128,'G-7 Rivers Data'!$AA$4:$AB$7,2,FALSE)))</f>
        <v/>
      </c>
      <c r="AK128" s="155"/>
      <c r="AL128" s="536" t="str">
        <f>IF(AK128="","",IF(VLOOKUP(AK128,'G-7 Rivers Data'!$AD$4:$AE$8,2,FALSE)=0,"Spatial Data Missing ⚠",VLOOKUP(AK128,'G-7 Rivers Data'!$AD$4:$AE$8,2,FALSE)))</f>
        <v/>
      </c>
      <c r="AM128" s="154"/>
      <c r="AN128" s="524" t="str">
        <f>IF(AM128="","",VLOOKUP(AM128,'G-7 Rivers Data'!$AO$4:$AP$7,2,FALSE))</f>
        <v/>
      </c>
      <c r="AO128" s="545" t="str">
        <f t="shared" si="15"/>
        <v/>
      </c>
      <c r="AP128" s="149"/>
      <c r="AQ128" s="150"/>
      <c r="AX128" s="31" t="str">
        <f>IFERROR(INDEX('G-7 Rivers Data'!$AZ$3:$AZ$7,MATCH(N128,'G-7 Rivers Data'!$AY$3:$AY$7,0)),"")</f>
        <v/>
      </c>
    </row>
    <row r="129" spans="2:50" ht="14" x14ac:dyDescent="0.3">
      <c r="B129" s="531" t="str">
        <f>'F-1 Off Site River Baseline'!AN127</f>
        <v/>
      </c>
      <c r="C129" s="520" t="str">
        <f>IF(B129="","",VLOOKUP($B129,'F-1 Off Site River Baseline'!$C$9:$R$257,2,FALSE))</f>
        <v/>
      </c>
      <c r="D129" s="520" t="str">
        <f>IF(C129="","",VLOOKUP($B129,'F-1 Off Site River Baseline'!$C$9:$R$257,3,FALSE))</f>
        <v/>
      </c>
      <c r="E129" s="520" t="str">
        <f>IF(D129="","",VLOOKUP($B129,'F-1 Off Site River Baseline'!$C$9:$R$257,4,FALSE))</f>
        <v/>
      </c>
      <c r="F129" s="520" t="str">
        <f>IF(E129="","",VLOOKUP($B129,'F-1 Off Site River Baseline'!$C$9:$R$257,5,FALSE))</f>
        <v/>
      </c>
      <c r="G129" s="520" t="str">
        <f>IF(F129="","",VLOOKUP($B129,'F-1 Off Site River Baseline'!$C$9:$R$257,6,FALSE))</f>
        <v/>
      </c>
      <c r="H129" s="520" t="str">
        <f>IF(G129="","",VLOOKUP($B129,'F-1 Off Site River Baseline'!$C$9:$R$257,7,FALSE))</f>
        <v/>
      </c>
      <c r="I129" s="520" t="str">
        <f>IF(H129="","",VLOOKUP($B129,'F-1 Off Site River Baseline'!$C$9:$R$257,8,FALSE))</f>
        <v/>
      </c>
      <c r="J129" s="520" t="str">
        <f>IF(I129="","",VLOOKUP($B129,'F-1 Off Site River Baseline'!$C$9:$R$257,9,FALSE))</f>
        <v/>
      </c>
      <c r="K129" s="520" t="str">
        <f>IF(J129="","",VLOOKUP($B129,'F-1 Off Site River Baseline'!$C$9:$R$257,10,FALSE))</f>
        <v/>
      </c>
      <c r="L129" s="520" t="str">
        <f>IF(B129="","",VLOOKUP($B129,'C-1 Site River Baseline'!$C$9:$R$257,15,FALSE))</f>
        <v/>
      </c>
      <c r="M129" s="524" t="str">
        <f>IF(L129="","",VLOOKUP($B129,'F-1 Off Site River Baseline'!$C$9:$R$257,16,FALSE))</f>
        <v/>
      </c>
      <c r="N129" s="418" t="str">
        <f t="shared" si="12"/>
        <v/>
      </c>
      <c r="O129" s="498" t="str">
        <f t="shared" si="13"/>
        <v/>
      </c>
      <c r="P129" s="499" t="str">
        <f>IF(C129="","",IF(AND(LEFT(C129,55)&lt;&gt;LEFT(N129,55),O129="High - High"),"Error - Not like for like ▲",IF(AND(F129=S129,H129&gt;U129),"Error - Can not reduce condition ▲",IF(AND(F129=S129,H129=U129,AJ129='F-1 Off Site River Baseline'!N127,'F-1 Off Site River Baseline'!P127=AL129),"Error - No enhancement ▲",IF(AND(C129&lt;&gt;N129,F129&lt;S129),"Lower Distinctiveness Habitat"&amp;" - "&amp;T129,G129&amp;" - "&amp;T129)))))</f>
        <v/>
      </c>
      <c r="Q129" s="505" t="str">
        <f>IF(N129="","",VLOOKUP(B129,'F-1 Off Site River Baseline'!$C$10:$AA$257,19,FALSE))</f>
        <v/>
      </c>
      <c r="R129" s="498" t="str">
        <f>IF(N129="","",VLOOKUP(N129,'G-7 Rivers Data'!$B$2:$G$8,2,FALSE))</f>
        <v/>
      </c>
      <c r="S129" s="499" t="str">
        <f>IFERROR(VLOOKUP(R129,'G-7 Rivers Data'!$C$4:$D$8,2,FALSE),"")</f>
        <v/>
      </c>
      <c r="T129" s="145"/>
      <c r="U129" s="499" t="str">
        <f>IFERROR(INDEX('G-7 Rivers Data'!$H$4:$L$8,MATCH(N129,'G-7 Rivers Data'!$B$4:$B$8,0),MATCH(T129,'G-7 Rivers Data'!$H$3:$L$3,0)),"")</f>
        <v/>
      </c>
      <c r="V129" s="154"/>
      <c r="W129" s="520" t="str">
        <f>IF(V129="","",IF(VLOOKUP(V129,'G-7 Rivers Data'!$AG$4:$AI$9,2,FALSE)=0,"Spatial Data Missing ⚠",VLOOKUP(V129,'G-7 Rivers Data'!$AG$4:$AI$9,2,FALSE)))</f>
        <v/>
      </c>
      <c r="X129" s="524" t="str">
        <f>IF(V129="","",IF(VLOOKUP(V129,'G-7 Rivers Data'!$AG$4:$AI$9,3,FALSE)=0,"Spatial Data Missing ⚠",VLOOKUP(V129,'G-7 Rivers Data'!$AG$4:$AI$9,3,FALSE)))</f>
        <v/>
      </c>
      <c r="Y129" s="537" t="str">
        <f>IFERROR(IF(OR(LEFT(P129,5)="Error ▲",LEFT(O129,5)="Error ▲"),"Check Data ⚠",IF(F129&lt;S129,'G-7 Rivers Data'!$R$3,INDEX('G-7 Rivers Data'!$U$5:$Y$9,MATCH(G129,'G-7 Rivers Data'!$T$5:$T$9,0),MATCH(T129,'G-7 Rivers Data'!$U$4:$Y$4,0)))),"")</f>
        <v/>
      </c>
      <c r="Z129" s="203"/>
      <c r="AA129" s="203"/>
      <c r="AB129" s="534" t="str">
        <f t="shared" si="8"/>
        <v/>
      </c>
      <c r="AC129" s="521" t="str">
        <f t="shared" si="9"/>
        <v/>
      </c>
      <c r="AD129" s="564" t="str">
        <f>IFERROR(IF(AC129="Check Data ⚠","Check Data ⚠",VLOOKUP(AC129,'G-4 Temporal multipliers'!$A$4:$C$37,3,FALSE)),"")</f>
        <v/>
      </c>
      <c r="AE129" s="537" t="str">
        <f>IF(N129="","",VLOOKUP(N129,'G-7 Rivers Data'!$B$4:$G$8,5,FALSE))</f>
        <v/>
      </c>
      <c r="AF129" s="520" t="str">
        <f t="shared" si="10"/>
        <v/>
      </c>
      <c r="AG129" s="520" t="str">
        <f t="shared" si="14"/>
        <v/>
      </c>
      <c r="AH129" s="524" t="str">
        <f t="shared" si="11"/>
        <v/>
      </c>
      <c r="AI129" s="145"/>
      <c r="AJ129" s="499" t="str">
        <f>IF(AI129="","",IF(VLOOKUP(AI129,'G-7 Rivers Data'!$AA$4:$AB$7,2,FALSE)=0,"Spatial Data Missing ⚠",VLOOKUP(AI129,'G-7 Rivers Data'!$AA$4:$AB$7,2,FALSE)))</f>
        <v/>
      </c>
      <c r="AK129" s="155"/>
      <c r="AL129" s="536" t="str">
        <f>IF(AK129="","",IF(VLOOKUP(AK129,'G-7 Rivers Data'!$AD$4:$AE$8,2,FALSE)=0,"Spatial Data Missing ⚠",VLOOKUP(AK129,'G-7 Rivers Data'!$AD$4:$AE$8,2,FALSE)))</f>
        <v/>
      </c>
      <c r="AM129" s="154"/>
      <c r="AN129" s="524" t="str">
        <f>IF(AM129="","",VLOOKUP(AM129,'G-7 Rivers Data'!$AO$4:$AP$7,2,FALSE))</f>
        <v/>
      </c>
      <c r="AO129" s="545" t="str">
        <f t="shared" si="15"/>
        <v/>
      </c>
      <c r="AP129" s="149"/>
      <c r="AQ129" s="150"/>
      <c r="AX129" s="31" t="str">
        <f>IFERROR(INDEX('G-7 Rivers Data'!$AZ$3:$AZ$7,MATCH(N129,'G-7 Rivers Data'!$AY$3:$AY$7,0)),"")</f>
        <v/>
      </c>
    </row>
    <row r="130" spans="2:50" ht="14" x14ac:dyDescent="0.3">
      <c r="B130" s="531" t="str">
        <f>'F-1 Off Site River Baseline'!AN128</f>
        <v/>
      </c>
      <c r="C130" s="520" t="str">
        <f>IF(B130="","",VLOOKUP($B130,'F-1 Off Site River Baseline'!$C$9:$R$257,2,FALSE))</f>
        <v/>
      </c>
      <c r="D130" s="520" t="str">
        <f>IF(C130="","",VLOOKUP($B130,'F-1 Off Site River Baseline'!$C$9:$R$257,3,FALSE))</f>
        <v/>
      </c>
      <c r="E130" s="520" t="str">
        <f>IF(D130="","",VLOOKUP($B130,'F-1 Off Site River Baseline'!$C$9:$R$257,4,FALSE))</f>
        <v/>
      </c>
      <c r="F130" s="520" t="str">
        <f>IF(E130="","",VLOOKUP($B130,'F-1 Off Site River Baseline'!$C$9:$R$257,5,FALSE))</f>
        <v/>
      </c>
      <c r="G130" s="520" t="str">
        <f>IF(F130="","",VLOOKUP($B130,'F-1 Off Site River Baseline'!$C$9:$R$257,6,FALSE))</f>
        <v/>
      </c>
      <c r="H130" s="520" t="str">
        <f>IF(G130="","",VLOOKUP($B130,'F-1 Off Site River Baseline'!$C$9:$R$257,7,FALSE))</f>
        <v/>
      </c>
      <c r="I130" s="520" t="str">
        <f>IF(H130="","",VLOOKUP($B130,'F-1 Off Site River Baseline'!$C$9:$R$257,8,FALSE))</f>
        <v/>
      </c>
      <c r="J130" s="520" t="str">
        <f>IF(I130="","",VLOOKUP($B130,'F-1 Off Site River Baseline'!$C$9:$R$257,9,FALSE))</f>
        <v/>
      </c>
      <c r="K130" s="520" t="str">
        <f>IF(J130="","",VLOOKUP($B130,'F-1 Off Site River Baseline'!$C$9:$R$257,10,FALSE))</f>
        <v/>
      </c>
      <c r="L130" s="520" t="str">
        <f>IF(B130="","",VLOOKUP($B130,'C-1 Site River Baseline'!$C$9:$R$257,15,FALSE))</f>
        <v/>
      </c>
      <c r="M130" s="524" t="str">
        <f>IF(L130="","",VLOOKUP($B130,'F-1 Off Site River Baseline'!$C$9:$R$257,16,FALSE))</f>
        <v/>
      </c>
      <c r="N130" s="418" t="str">
        <f t="shared" si="12"/>
        <v/>
      </c>
      <c r="O130" s="498" t="str">
        <f t="shared" si="13"/>
        <v/>
      </c>
      <c r="P130" s="499" t="str">
        <f>IF(C130="","",IF(AND(LEFT(C130,55)&lt;&gt;LEFT(N130,55),O130="High - High"),"Error - Not like for like ▲",IF(AND(F130=S130,H130&gt;U130),"Error - Can not reduce condition ▲",IF(AND(F130=S130,H130=U130,AJ130='F-1 Off Site River Baseline'!N128,'F-1 Off Site River Baseline'!P128=AL130),"Error - No enhancement ▲",IF(AND(C130&lt;&gt;N130,F130&lt;S130),"Lower Distinctiveness Habitat"&amp;" - "&amp;T130,G130&amp;" - "&amp;T130)))))</f>
        <v/>
      </c>
      <c r="Q130" s="505" t="str">
        <f>IF(N130="","",VLOOKUP(B130,'F-1 Off Site River Baseline'!$C$10:$AA$257,19,FALSE))</f>
        <v/>
      </c>
      <c r="R130" s="498" t="str">
        <f>IF(N130="","",VLOOKUP(N130,'G-7 Rivers Data'!$B$2:$G$8,2,FALSE))</f>
        <v/>
      </c>
      <c r="S130" s="499" t="str">
        <f>IFERROR(VLOOKUP(R130,'G-7 Rivers Data'!$C$4:$D$8,2,FALSE),"")</f>
        <v/>
      </c>
      <c r="T130" s="145"/>
      <c r="U130" s="499" t="str">
        <f>IFERROR(INDEX('G-7 Rivers Data'!$H$4:$L$8,MATCH(N130,'G-7 Rivers Data'!$B$4:$B$8,0),MATCH(T130,'G-7 Rivers Data'!$H$3:$L$3,0)),"")</f>
        <v/>
      </c>
      <c r="V130" s="154"/>
      <c r="W130" s="520" t="str">
        <f>IF(V130="","",IF(VLOOKUP(V130,'G-7 Rivers Data'!$AG$4:$AI$9,2,FALSE)=0,"Spatial Data Missing ⚠",VLOOKUP(V130,'G-7 Rivers Data'!$AG$4:$AI$9,2,FALSE)))</f>
        <v/>
      </c>
      <c r="X130" s="524" t="str">
        <f>IF(V130="","",IF(VLOOKUP(V130,'G-7 Rivers Data'!$AG$4:$AI$9,3,FALSE)=0,"Spatial Data Missing ⚠",VLOOKUP(V130,'G-7 Rivers Data'!$AG$4:$AI$9,3,FALSE)))</f>
        <v/>
      </c>
      <c r="Y130" s="537" t="str">
        <f>IFERROR(IF(OR(LEFT(P130,5)="Error ▲",LEFT(O130,5)="Error ▲"),"Check Data ⚠",IF(F130&lt;S130,'G-7 Rivers Data'!$R$3,INDEX('G-7 Rivers Data'!$U$5:$Y$9,MATCH(G130,'G-7 Rivers Data'!$T$5:$T$9,0),MATCH(T130,'G-7 Rivers Data'!$U$4:$Y$4,0)))),"")</f>
        <v/>
      </c>
      <c r="Z130" s="203"/>
      <c r="AA130" s="203"/>
      <c r="AB130" s="534" t="str">
        <f t="shared" si="8"/>
        <v/>
      </c>
      <c r="AC130" s="521" t="str">
        <f t="shared" si="9"/>
        <v/>
      </c>
      <c r="AD130" s="564" t="str">
        <f>IFERROR(IF(AC130="Check Data ⚠","Check Data ⚠",VLOOKUP(AC130,'G-4 Temporal multipliers'!$A$4:$C$37,3,FALSE)),"")</f>
        <v/>
      </c>
      <c r="AE130" s="537" t="str">
        <f>IF(N130="","",VLOOKUP(N130,'G-7 Rivers Data'!$B$4:$G$8,5,FALSE))</f>
        <v/>
      </c>
      <c r="AF130" s="520" t="str">
        <f t="shared" si="10"/>
        <v/>
      </c>
      <c r="AG130" s="520" t="str">
        <f t="shared" si="14"/>
        <v/>
      </c>
      <c r="AH130" s="524" t="str">
        <f t="shared" si="11"/>
        <v/>
      </c>
      <c r="AI130" s="145"/>
      <c r="AJ130" s="499" t="str">
        <f>IF(AI130="","",IF(VLOOKUP(AI130,'G-7 Rivers Data'!$AA$4:$AB$7,2,FALSE)=0,"Spatial Data Missing ⚠",VLOOKUP(AI130,'G-7 Rivers Data'!$AA$4:$AB$7,2,FALSE)))</f>
        <v/>
      </c>
      <c r="AK130" s="155"/>
      <c r="AL130" s="536" t="str">
        <f>IF(AK130="","",IF(VLOOKUP(AK130,'G-7 Rivers Data'!$AD$4:$AE$8,2,FALSE)=0,"Spatial Data Missing ⚠",VLOOKUP(AK130,'G-7 Rivers Data'!$AD$4:$AE$8,2,FALSE)))</f>
        <v/>
      </c>
      <c r="AM130" s="154"/>
      <c r="AN130" s="524" t="str">
        <f>IF(AM130="","",VLOOKUP(AM130,'G-7 Rivers Data'!$AO$4:$AP$7,2,FALSE))</f>
        <v/>
      </c>
      <c r="AO130" s="545" t="str">
        <f t="shared" si="15"/>
        <v/>
      </c>
      <c r="AP130" s="149"/>
      <c r="AQ130" s="150"/>
      <c r="AX130" s="31" t="str">
        <f>IFERROR(INDEX('G-7 Rivers Data'!$AZ$3:$AZ$7,MATCH(N130,'G-7 Rivers Data'!$AY$3:$AY$7,0)),"")</f>
        <v/>
      </c>
    </row>
    <row r="131" spans="2:50" ht="14" x14ac:dyDescent="0.3">
      <c r="B131" s="531" t="str">
        <f>'F-1 Off Site River Baseline'!AN129</f>
        <v/>
      </c>
      <c r="C131" s="520" t="str">
        <f>IF(B131="","",VLOOKUP($B131,'F-1 Off Site River Baseline'!$C$9:$R$257,2,FALSE))</f>
        <v/>
      </c>
      <c r="D131" s="520" t="str">
        <f>IF(C131="","",VLOOKUP($B131,'F-1 Off Site River Baseline'!$C$9:$R$257,3,FALSE))</f>
        <v/>
      </c>
      <c r="E131" s="520" t="str">
        <f>IF(D131="","",VLOOKUP($B131,'F-1 Off Site River Baseline'!$C$9:$R$257,4,FALSE))</f>
        <v/>
      </c>
      <c r="F131" s="520" t="str">
        <f>IF(E131="","",VLOOKUP($B131,'F-1 Off Site River Baseline'!$C$9:$R$257,5,FALSE))</f>
        <v/>
      </c>
      <c r="G131" s="520" t="str">
        <f>IF(F131="","",VLOOKUP($B131,'F-1 Off Site River Baseline'!$C$9:$R$257,6,FALSE))</f>
        <v/>
      </c>
      <c r="H131" s="520" t="str">
        <f>IF(G131="","",VLOOKUP($B131,'F-1 Off Site River Baseline'!$C$9:$R$257,7,FALSE))</f>
        <v/>
      </c>
      <c r="I131" s="520" t="str">
        <f>IF(H131="","",VLOOKUP($B131,'F-1 Off Site River Baseline'!$C$9:$R$257,8,FALSE))</f>
        <v/>
      </c>
      <c r="J131" s="520" t="str">
        <f>IF(I131="","",VLOOKUP($B131,'F-1 Off Site River Baseline'!$C$9:$R$257,9,FALSE))</f>
        <v/>
      </c>
      <c r="K131" s="520" t="str">
        <f>IF(J131="","",VLOOKUP($B131,'F-1 Off Site River Baseline'!$C$9:$R$257,10,FALSE))</f>
        <v/>
      </c>
      <c r="L131" s="520" t="str">
        <f>IF(B131="","",VLOOKUP($B131,'C-1 Site River Baseline'!$C$9:$R$257,15,FALSE))</f>
        <v/>
      </c>
      <c r="M131" s="524" t="str">
        <f>IF(L131="","",VLOOKUP($B131,'F-1 Off Site River Baseline'!$C$9:$R$257,16,FALSE))</f>
        <v/>
      </c>
      <c r="N131" s="418" t="str">
        <f t="shared" si="12"/>
        <v/>
      </c>
      <c r="O131" s="498" t="str">
        <f t="shared" si="13"/>
        <v/>
      </c>
      <c r="P131" s="499" t="str">
        <f>IF(C131="","",IF(AND(LEFT(C131,55)&lt;&gt;LEFT(N131,55),O131="High - High"),"Error - Not like for like ▲",IF(AND(F131=S131,H131&gt;U131),"Error - Can not reduce condition ▲",IF(AND(F131=S131,H131=U131,AJ131='F-1 Off Site River Baseline'!N129,'F-1 Off Site River Baseline'!P129=AL131),"Error - No enhancement ▲",IF(AND(C131&lt;&gt;N131,F131&lt;S131),"Lower Distinctiveness Habitat"&amp;" - "&amp;T131,G131&amp;" - "&amp;T131)))))</f>
        <v/>
      </c>
      <c r="Q131" s="505" t="str">
        <f>IF(N131="","",VLOOKUP(B131,'F-1 Off Site River Baseline'!$C$10:$AA$257,19,FALSE))</f>
        <v/>
      </c>
      <c r="R131" s="498" t="str">
        <f>IF(N131="","",VLOOKUP(N131,'G-7 Rivers Data'!$B$2:$G$8,2,FALSE))</f>
        <v/>
      </c>
      <c r="S131" s="499" t="str">
        <f>IFERROR(VLOOKUP(R131,'G-7 Rivers Data'!$C$4:$D$8,2,FALSE),"")</f>
        <v/>
      </c>
      <c r="T131" s="145"/>
      <c r="U131" s="499" t="str">
        <f>IFERROR(INDEX('G-7 Rivers Data'!$H$4:$L$8,MATCH(N131,'G-7 Rivers Data'!$B$4:$B$8,0),MATCH(T131,'G-7 Rivers Data'!$H$3:$L$3,0)),"")</f>
        <v/>
      </c>
      <c r="V131" s="154"/>
      <c r="W131" s="520" t="str">
        <f>IF(V131="","",IF(VLOOKUP(V131,'G-7 Rivers Data'!$AG$4:$AI$9,2,FALSE)=0,"Spatial Data Missing ⚠",VLOOKUP(V131,'G-7 Rivers Data'!$AG$4:$AI$9,2,FALSE)))</f>
        <v/>
      </c>
      <c r="X131" s="524" t="str">
        <f>IF(V131="","",IF(VLOOKUP(V131,'G-7 Rivers Data'!$AG$4:$AI$9,3,FALSE)=0,"Spatial Data Missing ⚠",VLOOKUP(V131,'G-7 Rivers Data'!$AG$4:$AI$9,3,FALSE)))</f>
        <v/>
      </c>
      <c r="Y131" s="537" t="str">
        <f>IFERROR(IF(OR(LEFT(P131,5)="Error ▲",LEFT(O131,5)="Error ▲"),"Check Data ⚠",IF(F131&lt;S131,'G-7 Rivers Data'!$R$3,INDEX('G-7 Rivers Data'!$U$5:$Y$9,MATCH(G131,'G-7 Rivers Data'!$T$5:$T$9,0),MATCH(T131,'G-7 Rivers Data'!$U$4:$Y$4,0)))),"")</f>
        <v/>
      </c>
      <c r="Z131" s="203"/>
      <c r="AA131" s="203"/>
      <c r="AB131" s="534" t="str">
        <f t="shared" si="8"/>
        <v/>
      </c>
      <c r="AC131" s="521" t="str">
        <f t="shared" si="9"/>
        <v/>
      </c>
      <c r="AD131" s="564" t="str">
        <f>IFERROR(IF(AC131="Check Data ⚠","Check Data ⚠",VLOOKUP(AC131,'G-4 Temporal multipliers'!$A$4:$C$37,3,FALSE)),"")</f>
        <v/>
      </c>
      <c r="AE131" s="537" t="str">
        <f>IF(N131="","",VLOOKUP(N131,'G-7 Rivers Data'!$B$4:$G$8,5,FALSE))</f>
        <v/>
      </c>
      <c r="AF131" s="520" t="str">
        <f t="shared" si="10"/>
        <v/>
      </c>
      <c r="AG131" s="520" t="str">
        <f t="shared" si="14"/>
        <v/>
      </c>
      <c r="AH131" s="524" t="str">
        <f t="shared" si="11"/>
        <v/>
      </c>
      <c r="AI131" s="145"/>
      <c r="AJ131" s="499" t="str">
        <f>IF(AI131="","",IF(VLOOKUP(AI131,'G-7 Rivers Data'!$AA$4:$AB$7,2,FALSE)=0,"Spatial Data Missing ⚠",VLOOKUP(AI131,'G-7 Rivers Data'!$AA$4:$AB$7,2,FALSE)))</f>
        <v/>
      </c>
      <c r="AK131" s="155"/>
      <c r="AL131" s="536" t="str">
        <f>IF(AK131="","",IF(VLOOKUP(AK131,'G-7 Rivers Data'!$AD$4:$AE$8,2,FALSE)=0,"Spatial Data Missing ⚠",VLOOKUP(AK131,'G-7 Rivers Data'!$AD$4:$AE$8,2,FALSE)))</f>
        <v/>
      </c>
      <c r="AM131" s="154"/>
      <c r="AN131" s="524" t="str">
        <f>IF(AM131="","",VLOOKUP(AM131,'G-7 Rivers Data'!$AO$4:$AP$7,2,FALSE))</f>
        <v/>
      </c>
      <c r="AO131" s="545" t="str">
        <f t="shared" si="15"/>
        <v/>
      </c>
      <c r="AP131" s="149"/>
      <c r="AQ131" s="150"/>
      <c r="AX131" s="31" t="str">
        <f>IFERROR(INDEX('G-7 Rivers Data'!$AZ$3:$AZ$7,MATCH(N131,'G-7 Rivers Data'!$AY$3:$AY$7,0)),"")</f>
        <v/>
      </c>
    </row>
    <row r="132" spans="2:50" ht="14" x14ac:dyDescent="0.3">
      <c r="B132" s="531" t="str">
        <f>'F-1 Off Site River Baseline'!AN130</f>
        <v/>
      </c>
      <c r="C132" s="520" t="str">
        <f>IF(B132="","",VLOOKUP($B132,'F-1 Off Site River Baseline'!$C$9:$R$257,2,FALSE))</f>
        <v/>
      </c>
      <c r="D132" s="520" t="str">
        <f>IF(C132="","",VLOOKUP($B132,'F-1 Off Site River Baseline'!$C$9:$R$257,3,FALSE))</f>
        <v/>
      </c>
      <c r="E132" s="520" t="str">
        <f>IF(D132="","",VLOOKUP($B132,'F-1 Off Site River Baseline'!$C$9:$R$257,4,FALSE))</f>
        <v/>
      </c>
      <c r="F132" s="520" t="str">
        <f>IF(E132="","",VLOOKUP($B132,'F-1 Off Site River Baseline'!$C$9:$R$257,5,FALSE))</f>
        <v/>
      </c>
      <c r="G132" s="520" t="str">
        <f>IF(F132="","",VLOOKUP($B132,'F-1 Off Site River Baseline'!$C$9:$R$257,6,FALSE))</f>
        <v/>
      </c>
      <c r="H132" s="520" t="str">
        <f>IF(G132="","",VLOOKUP($B132,'F-1 Off Site River Baseline'!$C$9:$R$257,7,FALSE))</f>
        <v/>
      </c>
      <c r="I132" s="520" t="str">
        <f>IF(H132="","",VLOOKUP($B132,'F-1 Off Site River Baseline'!$C$9:$R$257,8,FALSE))</f>
        <v/>
      </c>
      <c r="J132" s="520" t="str">
        <f>IF(I132="","",VLOOKUP($B132,'F-1 Off Site River Baseline'!$C$9:$R$257,9,FALSE))</f>
        <v/>
      </c>
      <c r="K132" s="520" t="str">
        <f>IF(J132="","",VLOOKUP($B132,'F-1 Off Site River Baseline'!$C$9:$R$257,10,FALSE))</f>
        <v/>
      </c>
      <c r="L132" s="520" t="str">
        <f>IF(B132="","",VLOOKUP($B132,'C-1 Site River Baseline'!$C$9:$R$257,15,FALSE))</f>
        <v/>
      </c>
      <c r="M132" s="524" t="str">
        <f>IF(L132="","",VLOOKUP($B132,'F-1 Off Site River Baseline'!$C$9:$R$257,16,FALSE))</f>
        <v/>
      </c>
      <c r="N132" s="418" t="str">
        <f t="shared" si="12"/>
        <v/>
      </c>
      <c r="O132" s="498" t="str">
        <f t="shared" si="13"/>
        <v/>
      </c>
      <c r="P132" s="499" t="str">
        <f>IF(C132="","",IF(AND(LEFT(C132,55)&lt;&gt;LEFT(N132,55),O132="High - High"),"Error - Not like for like ▲",IF(AND(F132=S132,H132&gt;U132),"Error - Can not reduce condition ▲",IF(AND(F132=S132,H132=U132,AJ132='F-1 Off Site River Baseline'!N130,'F-1 Off Site River Baseline'!P130=AL132),"Error - No enhancement ▲",IF(AND(C132&lt;&gt;N132,F132&lt;S132),"Lower Distinctiveness Habitat"&amp;" - "&amp;T132,G132&amp;" - "&amp;T132)))))</f>
        <v/>
      </c>
      <c r="Q132" s="505" t="str">
        <f>IF(N132="","",VLOOKUP(B132,'F-1 Off Site River Baseline'!$C$10:$AA$257,19,FALSE))</f>
        <v/>
      </c>
      <c r="R132" s="498" t="str">
        <f>IF(N132="","",VLOOKUP(N132,'G-7 Rivers Data'!$B$2:$G$8,2,FALSE))</f>
        <v/>
      </c>
      <c r="S132" s="499" t="str">
        <f>IFERROR(VLOOKUP(R132,'G-7 Rivers Data'!$C$4:$D$8,2,FALSE),"")</f>
        <v/>
      </c>
      <c r="T132" s="145"/>
      <c r="U132" s="499" t="str">
        <f>IFERROR(INDEX('G-7 Rivers Data'!$H$4:$L$8,MATCH(N132,'G-7 Rivers Data'!$B$4:$B$8,0),MATCH(T132,'G-7 Rivers Data'!$H$3:$L$3,0)),"")</f>
        <v/>
      </c>
      <c r="V132" s="154"/>
      <c r="W132" s="520" t="str">
        <f>IF(V132="","",IF(VLOOKUP(V132,'G-7 Rivers Data'!$AG$4:$AI$9,2,FALSE)=0,"Spatial Data Missing ⚠",VLOOKUP(V132,'G-7 Rivers Data'!$AG$4:$AI$9,2,FALSE)))</f>
        <v/>
      </c>
      <c r="X132" s="524" t="str">
        <f>IF(V132="","",IF(VLOOKUP(V132,'G-7 Rivers Data'!$AG$4:$AI$9,3,FALSE)=0,"Spatial Data Missing ⚠",VLOOKUP(V132,'G-7 Rivers Data'!$AG$4:$AI$9,3,FALSE)))</f>
        <v/>
      </c>
      <c r="Y132" s="537" t="str">
        <f>IFERROR(IF(OR(LEFT(P132,5)="Error ▲",LEFT(O132,5)="Error ▲"),"Check Data ⚠",IF(F132&lt;S132,'G-7 Rivers Data'!$R$3,INDEX('G-7 Rivers Data'!$U$5:$Y$9,MATCH(G132,'G-7 Rivers Data'!$T$5:$T$9,0),MATCH(T132,'G-7 Rivers Data'!$U$4:$Y$4,0)))),"")</f>
        <v/>
      </c>
      <c r="Z132" s="203"/>
      <c r="AA132" s="203"/>
      <c r="AB132" s="534" t="str">
        <f t="shared" si="8"/>
        <v/>
      </c>
      <c r="AC132" s="521" t="str">
        <f t="shared" si="9"/>
        <v/>
      </c>
      <c r="AD132" s="564" t="str">
        <f>IFERROR(IF(AC132="Check Data ⚠","Check Data ⚠",VLOOKUP(AC132,'G-4 Temporal multipliers'!$A$4:$C$37,3,FALSE)),"")</f>
        <v/>
      </c>
      <c r="AE132" s="537" t="str">
        <f>IF(N132="","",VLOOKUP(N132,'G-7 Rivers Data'!$B$4:$G$8,5,FALSE))</f>
        <v/>
      </c>
      <c r="AF132" s="520" t="str">
        <f t="shared" si="10"/>
        <v/>
      </c>
      <c r="AG132" s="520" t="str">
        <f t="shared" si="14"/>
        <v/>
      </c>
      <c r="AH132" s="524" t="str">
        <f t="shared" si="11"/>
        <v/>
      </c>
      <c r="AI132" s="145"/>
      <c r="AJ132" s="499" t="str">
        <f>IF(AI132="","",IF(VLOOKUP(AI132,'G-7 Rivers Data'!$AA$4:$AB$7,2,FALSE)=0,"Spatial Data Missing ⚠",VLOOKUP(AI132,'G-7 Rivers Data'!$AA$4:$AB$7,2,FALSE)))</f>
        <v/>
      </c>
      <c r="AK132" s="155"/>
      <c r="AL132" s="536" t="str">
        <f>IF(AK132="","",IF(VLOOKUP(AK132,'G-7 Rivers Data'!$AD$4:$AE$8,2,FALSE)=0,"Spatial Data Missing ⚠",VLOOKUP(AK132,'G-7 Rivers Data'!$AD$4:$AE$8,2,FALSE)))</f>
        <v/>
      </c>
      <c r="AM132" s="154"/>
      <c r="AN132" s="524" t="str">
        <f>IF(AM132="","",VLOOKUP(AM132,'G-7 Rivers Data'!$AO$4:$AP$7,2,FALSE))</f>
        <v/>
      </c>
      <c r="AO132" s="545" t="str">
        <f t="shared" si="15"/>
        <v/>
      </c>
      <c r="AP132" s="149"/>
      <c r="AQ132" s="150"/>
      <c r="AX132" s="31" t="str">
        <f>IFERROR(INDEX('G-7 Rivers Data'!$AZ$3:$AZ$7,MATCH(N132,'G-7 Rivers Data'!$AY$3:$AY$7,0)),"")</f>
        <v/>
      </c>
    </row>
    <row r="133" spans="2:50" ht="14" x14ac:dyDescent="0.3">
      <c r="B133" s="531" t="str">
        <f>'F-1 Off Site River Baseline'!AN131</f>
        <v/>
      </c>
      <c r="C133" s="520" t="str">
        <f>IF(B133="","",VLOOKUP($B133,'F-1 Off Site River Baseline'!$C$9:$R$257,2,FALSE))</f>
        <v/>
      </c>
      <c r="D133" s="520" t="str">
        <f>IF(C133="","",VLOOKUP($B133,'F-1 Off Site River Baseline'!$C$9:$R$257,3,FALSE))</f>
        <v/>
      </c>
      <c r="E133" s="520" t="str">
        <f>IF(D133="","",VLOOKUP($B133,'F-1 Off Site River Baseline'!$C$9:$R$257,4,FALSE))</f>
        <v/>
      </c>
      <c r="F133" s="520" t="str">
        <f>IF(E133="","",VLOOKUP($B133,'F-1 Off Site River Baseline'!$C$9:$R$257,5,FALSE))</f>
        <v/>
      </c>
      <c r="G133" s="520" t="str">
        <f>IF(F133="","",VLOOKUP($B133,'F-1 Off Site River Baseline'!$C$9:$R$257,6,FALSE))</f>
        <v/>
      </c>
      <c r="H133" s="520" t="str">
        <f>IF(G133="","",VLOOKUP($B133,'F-1 Off Site River Baseline'!$C$9:$R$257,7,FALSE))</f>
        <v/>
      </c>
      <c r="I133" s="520" t="str">
        <f>IF(H133="","",VLOOKUP($B133,'F-1 Off Site River Baseline'!$C$9:$R$257,8,FALSE))</f>
        <v/>
      </c>
      <c r="J133" s="520" t="str">
        <f>IF(I133="","",VLOOKUP($B133,'F-1 Off Site River Baseline'!$C$9:$R$257,9,FALSE))</f>
        <v/>
      </c>
      <c r="K133" s="520" t="str">
        <f>IF(J133="","",VLOOKUP($B133,'F-1 Off Site River Baseline'!$C$9:$R$257,10,FALSE))</f>
        <v/>
      </c>
      <c r="L133" s="520" t="str">
        <f>IF(B133="","",VLOOKUP($B133,'C-1 Site River Baseline'!$C$9:$R$257,15,FALSE))</f>
        <v/>
      </c>
      <c r="M133" s="524" t="str">
        <f>IF(L133="","",VLOOKUP($B133,'F-1 Off Site River Baseline'!$C$9:$R$257,16,FALSE))</f>
        <v/>
      </c>
      <c r="N133" s="418" t="str">
        <f t="shared" si="12"/>
        <v/>
      </c>
      <c r="O133" s="498" t="str">
        <f t="shared" si="13"/>
        <v/>
      </c>
      <c r="P133" s="499" t="str">
        <f>IF(C133="","",IF(AND(LEFT(C133,55)&lt;&gt;LEFT(N133,55),O133="High - High"),"Error - Not like for like ▲",IF(AND(F133=S133,H133&gt;U133),"Error - Can not reduce condition ▲",IF(AND(F133=S133,H133=U133,AJ133='F-1 Off Site River Baseline'!N131,'F-1 Off Site River Baseline'!P131=AL133),"Error - No enhancement ▲",IF(AND(C133&lt;&gt;N133,F133&lt;S133),"Lower Distinctiveness Habitat"&amp;" - "&amp;T133,G133&amp;" - "&amp;T133)))))</f>
        <v/>
      </c>
      <c r="Q133" s="505" t="str">
        <f>IF(N133="","",VLOOKUP(B133,'F-1 Off Site River Baseline'!$C$10:$AA$257,19,FALSE))</f>
        <v/>
      </c>
      <c r="R133" s="498" t="str">
        <f>IF(N133="","",VLOOKUP(N133,'G-7 Rivers Data'!$B$2:$G$8,2,FALSE))</f>
        <v/>
      </c>
      <c r="S133" s="499" t="str">
        <f>IFERROR(VLOOKUP(R133,'G-7 Rivers Data'!$C$4:$D$8,2,FALSE),"")</f>
        <v/>
      </c>
      <c r="T133" s="145"/>
      <c r="U133" s="499" t="str">
        <f>IFERROR(INDEX('G-7 Rivers Data'!$H$4:$L$8,MATCH(N133,'G-7 Rivers Data'!$B$4:$B$8,0),MATCH(T133,'G-7 Rivers Data'!$H$3:$L$3,0)),"")</f>
        <v/>
      </c>
      <c r="V133" s="154"/>
      <c r="W133" s="520" t="str">
        <f>IF(V133="","",IF(VLOOKUP(V133,'G-7 Rivers Data'!$AG$4:$AI$9,2,FALSE)=0,"Spatial Data Missing ⚠",VLOOKUP(V133,'G-7 Rivers Data'!$AG$4:$AI$9,2,FALSE)))</f>
        <v/>
      </c>
      <c r="X133" s="524" t="str">
        <f>IF(V133="","",IF(VLOOKUP(V133,'G-7 Rivers Data'!$AG$4:$AI$9,3,FALSE)=0,"Spatial Data Missing ⚠",VLOOKUP(V133,'G-7 Rivers Data'!$AG$4:$AI$9,3,FALSE)))</f>
        <v/>
      </c>
      <c r="Y133" s="537" t="str">
        <f>IFERROR(IF(OR(LEFT(P133,5)="Error ▲",LEFT(O133,5)="Error ▲"),"Check Data ⚠",IF(F133&lt;S133,'G-7 Rivers Data'!$R$3,INDEX('G-7 Rivers Data'!$U$5:$Y$9,MATCH(G133,'G-7 Rivers Data'!$T$5:$T$9,0),MATCH(T133,'G-7 Rivers Data'!$U$4:$Y$4,0)))),"")</f>
        <v/>
      </c>
      <c r="Z133" s="203"/>
      <c r="AA133" s="203"/>
      <c r="AB133" s="534" t="str">
        <f t="shared" si="8"/>
        <v/>
      </c>
      <c r="AC133" s="521" t="str">
        <f t="shared" si="9"/>
        <v/>
      </c>
      <c r="AD133" s="564" t="str">
        <f>IFERROR(IF(AC133="Check Data ⚠","Check Data ⚠",VLOOKUP(AC133,'G-4 Temporal multipliers'!$A$4:$C$37,3,FALSE)),"")</f>
        <v/>
      </c>
      <c r="AE133" s="537" t="str">
        <f>IF(N133="","",VLOOKUP(N133,'G-7 Rivers Data'!$B$4:$G$8,5,FALSE))</f>
        <v/>
      </c>
      <c r="AF133" s="520" t="str">
        <f t="shared" si="10"/>
        <v/>
      </c>
      <c r="AG133" s="520" t="str">
        <f t="shared" si="14"/>
        <v/>
      </c>
      <c r="AH133" s="524" t="str">
        <f t="shared" si="11"/>
        <v/>
      </c>
      <c r="AI133" s="145"/>
      <c r="AJ133" s="499" t="str">
        <f>IF(AI133="","",IF(VLOOKUP(AI133,'G-7 Rivers Data'!$AA$4:$AB$7,2,FALSE)=0,"Spatial Data Missing ⚠",VLOOKUP(AI133,'G-7 Rivers Data'!$AA$4:$AB$7,2,FALSE)))</f>
        <v/>
      </c>
      <c r="AK133" s="155"/>
      <c r="AL133" s="536" t="str">
        <f>IF(AK133="","",IF(VLOOKUP(AK133,'G-7 Rivers Data'!$AD$4:$AE$8,2,FALSE)=0,"Spatial Data Missing ⚠",VLOOKUP(AK133,'G-7 Rivers Data'!$AD$4:$AE$8,2,FALSE)))</f>
        <v/>
      </c>
      <c r="AM133" s="154"/>
      <c r="AN133" s="524" t="str">
        <f>IF(AM133="","",VLOOKUP(AM133,'G-7 Rivers Data'!$AO$4:$AP$7,2,FALSE))</f>
        <v/>
      </c>
      <c r="AO133" s="545" t="str">
        <f t="shared" si="15"/>
        <v/>
      </c>
      <c r="AP133" s="149"/>
      <c r="AQ133" s="150"/>
      <c r="AX133" s="31" t="str">
        <f>IFERROR(INDEX('G-7 Rivers Data'!$AZ$3:$AZ$7,MATCH(N133,'G-7 Rivers Data'!$AY$3:$AY$7,0)),"")</f>
        <v/>
      </c>
    </row>
    <row r="134" spans="2:50" ht="14" x14ac:dyDescent="0.3">
      <c r="B134" s="531" t="str">
        <f>'F-1 Off Site River Baseline'!AN132</f>
        <v/>
      </c>
      <c r="C134" s="520" t="str">
        <f>IF(B134="","",VLOOKUP($B134,'F-1 Off Site River Baseline'!$C$9:$R$257,2,FALSE))</f>
        <v/>
      </c>
      <c r="D134" s="520" t="str">
        <f>IF(C134="","",VLOOKUP($B134,'F-1 Off Site River Baseline'!$C$9:$R$257,3,FALSE))</f>
        <v/>
      </c>
      <c r="E134" s="520" t="str">
        <f>IF(D134="","",VLOOKUP($B134,'F-1 Off Site River Baseline'!$C$9:$R$257,4,FALSE))</f>
        <v/>
      </c>
      <c r="F134" s="520" t="str">
        <f>IF(E134="","",VLOOKUP($B134,'F-1 Off Site River Baseline'!$C$9:$R$257,5,FALSE))</f>
        <v/>
      </c>
      <c r="G134" s="520" t="str">
        <f>IF(F134="","",VLOOKUP($B134,'F-1 Off Site River Baseline'!$C$9:$R$257,6,FALSE))</f>
        <v/>
      </c>
      <c r="H134" s="520" t="str">
        <f>IF(G134="","",VLOOKUP($B134,'F-1 Off Site River Baseline'!$C$9:$R$257,7,FALSE))</f>
        <v/>
      </c>
      <c r="I134" s="520" t="str">
        <f>IF(H134="","",VLOOKUP($B134,'F-1 Off Site River Baseline'!$C$9:$R$257,8,FALSE))</f>
        <v/>
      </c>
      <c r="J134" s="520" t="str">
        <f>IF(I134="","",VLOOKUP($B134,'F-1 Off Site River Baseline'!$C$9:$R$257,9,FALSE))</f>
        <v/>
      </c>
      <c r="K134" s="520" t="str">
        <f>IF(J134="","",VLOOKUP($B134,'F-1 Off Site River Baseline'!$C$9:$R$257,10,FALSE))</f>
        <v/>
      </c>
      <c r="L134" s="520" t="str">
        <f>IF(B134="","",VLOOKUP($B134,'C-1 Site River Baseline'!$C$9:$R$257,15,FALSE))</f>
        <v/>
      </c>
      <c r="M134" s="524" t="str">
        <f>IF(L134="","",VLOOKUP($B134,'F-1 Off Site River Baseline'!$C$9:$R$257,16,FALSE))</f>
        <v/>
      </c>
      <c r="N134" s="418" t="str">
        <f t="shared" si="12"/>
        <v/>
      </c>
      <c r="O134" s="498" t="str">
        <f t="shared" si="13"/>
        <v/>
      </c>
      <c r="P134" s="499" t="str">
        <f>IF(C134="","",IF(AND(LEFT(C134,55)&lt;&gt;LEFT(N134,55),O134="High - High"),"Error - Not like for like ▲",IF(AND(F134=S134,H134&gt;U134),"Error - Can not reduce condition ▲",IF(AND(F134=S134,H134=U134,AJ134='F-1 Off Site River Baseline'!N132,'F-1 Off Site River Baseline'!P132=AL134),"Error - No enhancement ▲",IF(AND(C134&lt;&gt;N134,F134&lt;S134),"Lower Distinctiveness Habitat"&amp;" - "&amp;T134,G134&amp;" - "&amp;T134)))))</f>
        <v/>
      </c>
      <c r="Q134" s="505" t="str">
        <f>IF(N134="","",VLOOKUP(B134,'F-1 Off Site River Baseline'!$C$10:$AA$257,19,FALSE))</f>
        <v/>
      </c>
      <c r="R134" s="498" t="str">
        <f>IF(N134="","",VLOOKUP(N134,'G-7 Rivers Data'!$B$2:$G$8,2,FALSE))</f>
        <v/>
      </c>
      <c r="S134" s="499" t="str">
        <f>IFERROR(VLOOKUP(R134,'G-7 Rivers Data'!$C$4:$D$8,2,FALSE),"")</f>
        <v/>
      </c>
      <c r="T134" s="145"/>
      <c r="U134" s="499" t="str">
        <f>IFERROR(INDEX('G-7 Rivers Data'!$H$4:$L$8,MATCH(N134,'G-7 Rivers Data'!$B$4:$B$8,0),MATCH(T134,'G-7 Rivers Data'!$H$3:$L$3,0)),"")</f>
        <v/>
      </c>
      <c r="V134" s="154"/>
      <c r="W134" s="520" t="str">
        <f>IF(V134="","",IF(VLOOKUP(V134,'G-7 Rivers Data'!$AG$4:$AI$9,2,FALSE)=0,"Spatial Data Missing ⚠",VLOOKUP(V134,'G-7 Rivers Data'!$AG$4:$AI$9,2,FALSE)))</f>
        <v/>
      </c>
      <c r="X134" s="524" t="str">
        <f>IF(V134="","",IF(VLOOKUP(V134,'G-7 Rivers Data'!$AG$4:$AI$9,3,FALSE)=0,"Spatial Data Missing ⚠",VLOOKUP(V134,'G-7 Rivers Data'!$AG$4:$AI$9,3,FALSE)))</f>
        <v/>
      </c>
      <c r="Y134" s="537" t="str">
        <f>IFERROR(IF(OR(LEFT(P134,5)="Error ▲",LEFT(O134,5)="Error ▲"),"Check Data ⚠",IF(F134&lt;S134,'G-7 Rivers Data'!$R$3,INDEX('G-7 Rivers Data'!$U$5:$Y$9,MATCH(G134,'G-7 Rivers Data'!$T$5:$T$9,0),MATCH(T134,'G-7 Rivers Data'!$U$4:$Y$4,0)))),"")</f>
        <v/>
      </c>
      <c r="Z134" s="203"/>
      <c r="AA134" s="203"/>
      <c r="AB134" s="534" t="str">
        <f t="shared" si="8"/>
        <v/>
      </c>
      <c r="AC134" s="521" t="str">
        <f t="shared" si="9"/>
        <v/>
      </c>
      <c r="AD134" s="564" t="str">
        <f>IFERROR(IF(AC134="Check Data ⚠","Check Data ⚠",VLOOKUP(AC134,'G-4 Temporal multipliers'!$A$4:$C$37,3,FALSE)),"")</f>
        <v/>
      </c>
      <c r="AE134" s="537" t="str">
        <f>IF(N134="","",VLOOKUP(N134,'G-7 Rivers Data'!$B$4:$G$8,5,FALSE))</f>
        <v/>
      </c>
      <c r="AF134" s="520" t="str">
        <f t="shared" si="10"/>
        <v/>
      </c>
      <c r="AG134" s="520" t="str">
        <f t="shared" si="14"/>
        <v/>
      </c>
      <c r="AH134" s="524" t="str">
        <f t="shared" si="11"/>
        <v/>
      </c>
      <c r="AI134" s="145"/>
      <c r="AJ134" s="499" t="str">
        <f>IF(AI134="","",IF(VLOOKUP(AI134,'G-7 Rivers Data'!$AA$4:$AB$7,2,FALSE)=0,"Spatial Data Missing ⚠",VLOOKUP(AI134,'G-7 Rivers Data'!$AA$4:$AB$7,2,FALSE)))</f>
        <v/>
      </c>
      <c r="AK134" s="155"/>
      <c r="AL134" s="536" t="str">
        <f>IF(AK134="","",IF(VLOOKUP(AK134,'G-7 Rivers Data'!$AD$4:$AE$8,2,FALSE)=0,"Spatial Data Missing ⚠",VLOOKUP(AK134,'G-7 Rivers Data'!$AD$4:$AE$8,2,FALSE)))</f>
        <v/>
      </c>
      <c r="AM134" s="154"/>
      <c r="AN134" s="524" t="str">
        <f>IF(AM134="","",VLOOKUP(AM134,'G-7 Rivers Data'!$AO$4:$AP$7,2,FALSE))</f>
        <v/>
      </c>
      <c r="AO134" s="545" t="str">
        <f t="shared" si="15"/>
        <v/>
      </c>
      <c r="AP134" s="149"/>
      <c r="AQ134" s="150"/>
      <c r="AX134" s="31" t="str">
        <f>IFERROR(INDEX('G-7 Rivers Data'!$AZ$3:$AZ$7,MATCH(N134,'G-7 Rivers Data'!$AY$3:$AY$7,0)),"")</f>
        <v/>
      </c>
    </row>
    <row r="135" spans="2:50" ht="14" x14ac:dyDescent="0.3">
      <c r="B135" s="531" t="str">
        <f>'F-1 Off Site River Baseline'!AN133</f>
        <v/>
      </c>
      <c r="C135" s="520" t="str">
        <f>IF(B135="","",VLOOKUP($B135,'F-1 Off Site River Baseline'!$C$9:$R$257,2,FALSE))</f>
        <v/>
      </c>
      <c r="D135" s="520" t="str">
        <f>IF(C135="","",VLOOKUP($B135,'F-1 Off Site River Baseline'!$C$9:$R$257,3,FALSE))</f>
        <v/>
      </c>
      <c r="E135" s="520" t="str">
        <f>IF(D135="","",VLOOKUP($B135,'F-1 Off Site River Baseline'!$C$9:$R$257,4,FALSE))</f>
        <v/>
      </c>
      <c r="F135" s="520" t="str">
        <f>IF(E135="","",VLOOKUP($B135,'F-1 Off Site River Baseline'!$C$9:$R$257,5,FALSE))</f>
        <v/>
      </c>
      <c r="G135" s="520" t="str">
        <f>IF(F135="","",VLOOKUP($B135,'F-1 Off Site River Baseline'!$C$9:$R$257,6,FALSE))</f>
        <v/>
      </c>
      <c r="H135" s="520" t="str">
        <f>IF(G135="","",VLOOKUP($B135,'F-1 Off Site River Baseline'!$C$9:$R$257,7,FALSE))</f>
        <v/>
      </c>
      <c r="I135" s="520" t="str">
        <f>IF(H135="","",VLOOKUP($B135,'F-1 Off Site River Baseline'!$C$9:$R$257,8,FALSE))</f>
        <v/>
      </c>
      <c r="J135" s="520" t="str">
        <f>IF(I135="","",VLOOKUP($B135,'F-1 Off Site River Baseline'!$C$9:$R$257,9,FALSE))</f>
        <v/>
      </c>
      <c r="K135" s="520" t="str">
        <f>IF(J135="","",VLOOKUP($B135,'F-1 Off Site River Baseline'!$C$9:$R$257,10,FALSE))</f>
        <v/>
      </c>
      <c r="L135" s="520" t="str">
        <f>IF(B135="","",VLOOKUP($B135,'C-1 Site River Baseline'!$C$9:$R$257,15,FALSE))</f>
        <v/>
      </c>
      <c r="M135" s="524" t="str">
        <f>IF(L135="","",VLOOKUP($B135,'F-1 Off Site River Baseline'!$C$9:$R$257,16,FALSE))</f>
        <v/>
      </c>
      <c r="N135" s="418" t="str">
        <f t="shared" si="12"/>
        <v/>
      </c>
      <c r="O135" s="498" t="str">
        <f t="shared" si="13"/>
        <v/>
      </c>
      <c r="P135" s="499" t="str">
        <f>IF(C135="","",IF(AND(LEFT(C135,55)&lt;&gt;LEFT(N135,55),O135="High - High"),"Error - Not like for like ▲",IF(AND(F135=S135,H135&gt;U135),"Error - Can not reduce condition ▲",IF(AND(F135=S135,H135=U135,AJ135='F-1 Off Site River Baseline'!N133,'F-1 Off Site River Baseline'!P133=AL135),"Error - No enhancement ▲",IF(AND(C135&lt;&gt;N135,F135&lt;S135),"Lower Distinctiveness Habitat"&amp;" - "&amp;T135,G135&amp;" - "&amp;T135)))))</f>
        <v/>
      </c>
      <c r="Q135" s="505" t="str">
        <f>IF(N135="","",VLOOKUP(B135,'F-1 Off Site River Baseline'!$C$10:$AA$257,19,FALSE))</f>
        <v/>
      </c>
      <c r="R135" s="498" t="str">
        <f>IF(N135="","",VLOOKUP(N135,'G-7 Rivers Data'!$B$2:$G$8,2,FALSE))</f>
        <v/>
      </c>
      <c r="S135" s="499" t="str">
        <f>IFERROR(VLOOKUP(R135,'G-7 Rivers Data'!$C$4:$D$8,2,FALSE),"")</f>
        <v/>
      </c>
      <c r="T135" s="145"/>
      <c r="U135" s="499" t="str">
        <f>IFERROR(INDEX('G-7 Rivers Data'!$H$4:$L$8,MATCH(N135,'G-7 Rivers Data'!$B$4:$B$8,0),MATCH(T135,'G-7 Rivers Data'!$H$3:$L$3,0)),"")</f>
        <v/>
      </c>
      <c r="V135" s="154"/>
      <c r="W135" s="520" t="str">
        <f>IF(V135="","",IF(VLOOKUP(V135,'G-7 Rivers Data'!$AG$4:$AI$9,2,FALSE)=0,"Spatial Data Missing ⚠",VLOOKUP(V135,'G-7 Rivers Data'!$AG$4:$AI$9,2,FALSE)))</f>
        <v/>
      </c>
      <c r="X135" s="524" t="str">
        <f>IF(V135="","",IF(VLOOKUP(V135,'G-7 Rivers Data'!$AG$4:$AI$9,3,FALSE)=0,"Spatial Data Missing ⚠",VLOOKUP(V135,'G-7 Rivers Data'!$AG$4:$AI$9,3,FALSE)))</f>
        <v/>
      </c>
      <c r="Y135" s="537" t="str">
        <f>IFERROR(IF(OR(LEFT(P135,5)="Error ▲",LEFT(O135,5)="Error ▲"),"Check Data ⚠",IF(F135&lt;S135,'G-7 Rivers Data'!$R$3,INDEX('G-7 Rivers Data'!$U$5:$Y$9,MATCH(G135,'G-7 Rivers Data'!$T$5:$T$9,0),MATCH(T135,'G-7 Rivers Data'!$U$4:$Y$4,0)))),"")</f>
        <v/>
      </c>
      <c r="Z135" s="203"/>
      <c r="AA135" s="203"/>
      <c r="AB135" s="534" t="str">
        <f t="shared" si="8"/>
        <v/>
      </c>
      <c r="AC135" s="521" t="str">
        <f t="shared" si="9"/>
        <v/>
      </c>
      <c r="AD135" s="564" t="str">
        <f>IFERROR(IF(AC135="Check Data ⚠","Check Data ⚠",VLOOKUP(AC135,'G-4 Temporal multipliers'!$A$4:$C$37,3,FALSE)),"")</f>
        <v/>
      </c>
      <c r="AE135" s="537" t="str">
        <f>IF(N135="","",VLOOKUP(N135,'G-7 Rivers Data'!$B$4:$G$8,5,FALSE))</f>
        <v/>
      </c>
      <c r="AF135" s="520" t="str">
        <f t="shared" si="10"/>
        <v/>
      </c>
      <c r="AG135" s="520" t="str">
        <f t="shared" si="14"/>
        <v/>
      </c>
      <c r="AH135" s="524" t="str">
        <f t="shared" si="11"/>
        <v/>
      </c>
      <c r="AI135" s="145"/>
      <c r="AJ135" s="499" t="str">
        <f>IF(AI135="","",IF(VLOOKUP(AI135,'G-7 Rivers Data'!$AA$4:$AB$7,2,FALSE)=0,"Spatial Data Missing ⚠",VLOOKUP(AI135,'G-7 Rivers Data'!$AA$4:$AB$7,2,FALSE)))</f>
        <v/>
      </c>
      <c r="AK135" s="155"/>
      <c r="AL135" s="536" t="str">
        <f>IF(AK135="","",IF(VLOOKUP(AK135,'G-7 Rivers Data'!$AD$4:$AE$8,2,FALSE)=0,"Spatial Data Missing ⚠",VLOOKUP(AK135,'G-7 Rivers Data'!$AD$4:$AE$8,2,FALSE)))</f>
        <v/>
      </c>
      <c r="AM135" s="154"/>
      <c r="AN135" s="524" t="str">
        <f>IF(AM135="","",VLOOKUP(AM135,'G-7 Rivers Data'!$AO$4:$AP$7,2,FALSE))</f>
        <v/>
      </c>
      <c r="AO135" s="545" t="str">
        <f t="shared" si="15"/>
        <v/>
      </c>
      <c r="AP135" s="149"/>
      <c r="AQ135" s="150"/>
      <c r="AX135" s="31" t="str">
        <f>IFERROR(INDEX('G-7 Rivers Data'!$AZ$3:$AZ$7,MATCH(N135,'G-7 Rivers Data'!$AY$3:$AY$7,0)),"")</f>
        <v/>
      </c>
    </row>
    <row r="136" spans="2:50" ht="14" x14ac:dyDescent="0.3">
      <c r="B136" s="531" t="str">
        <f>'F-1 Off Site River Baseline'!AN134</f>
        <v/>
      </c>
      <c r="C136" s="520" t="str">
        <f>IF(B136="","",VLOOKUP($B136,'F-1 Off Site River Baseline'!$C$9:$R$257,2,FALSE))</f>
        <v/>
      </c>
      <c r="D136" s="520" t="str">
        <f>IF(C136="","",VLOOKUP($B136,'F-1 Off Site River Baseline'!$C$9:$R$257,3,FALSE))</f>
        <v/>
      </c>
      <c r="E136" s="520" t="str">
        <f>IF(D136="","",VLOOKUP($B136,'F-1 Off Site River Baseline'!$C$9:$R$257,4,FALSE))</f>
        <v/>
      </c>
      <c r="F136" s="520" t="str">
        <f>IF(E136="","",VLOOKUP($B136,'F-1 Off Site River Baseline'!$C$9:$R$257,5,FALSE))</f>
        <v/>
      </c>
      <c r="G136" s="520" t="str">
        <f>IF(F136="","",VLOOKUP($B136,'F-1 Off Site River Baseline'!$C$9:$R$257,6,FALSE))</f>
        <v/>
      </c>
      <c r="H136" s="520" t="str">
        <f>IF(G136="","",VLOOKUP($B136,'F-1 Off Site River Baseline'!$C$9:$R$257,7,FALSE))</f>
        <v/>
      </c>
      <c r="I136" s="520" t="str">
        <f>IF(H136="","",VLOOKUP($B136,'F-1 Off Site River Baseline'!$C$9:$R$257,8,FALSE))</f>
        <v/>
      </c>
      <c r="J136" s="520" t="str">
        <f>IF(I136="","",VLOOKUP($B136,'F-1 Off Site River Baseline'!$C$9:$R$257,9,FALSE))</f>
        <v/>
      </c>
      <c r="K136" s="520" t="str">
        <f>IF(J136="","",VLOOKUP($B136,'F-1 Off Site River Baseline'!$C$9:$R$257,10,FALSE))</f>
        <v/>
      </c>
      <c r="L136" s="520" t="str">
        <f>IF(B136="","",VLOOKUP($B136,'C-1 Site River Baseline'!$C$9:$R$257,15,FALSE))</f>
        <v/>
      </c>
      <c r="M136" s="524" t="str">
        <f>IF(L136="","",VLOOKUP($B136,'F-1 Off Site River Baseline'!$C$9:$R$257,16,FALSE))</f>
        <v/>
      </c>
      <c r="N136" s="418" t="str">
        <f t="shared" si="12"/>
        <v/>
      </c>
      <c r="O136" s="498" t="str">
        <f t="shared" si="13"/>
        <v/>
      </c>
      <c r="P136" s="499" t="str">
        <f>IF(C136="","",IF(AND(LEFT(C136,55)&lt;&gt;LEFT(N136,55),O136="High - High"),"Error - Not like for like ▲",IF(AND(F136=S136,H136&gt;U136),"Error - Can not reduce condition ▲",IF(AND(F136=S136,H136=U136,AJ136='F-1 Off Site River Baseline'!N134,'F-1 Off Site River Baseline'!P134=AL136),"Error - No enhancement ▲",IF(AND(C136&lt;&gt;N136,F136&lt;S136),"Lower Distinctiveness Habitat"&amp;" - "&amp;T136,G136&amp;" - "&amp;T136)))))</f>
        <v/>
      </c>
      <c r="Q136" s="505" t="str">
        <f>IF(N136="","",VLOOKUP(B136,'F-1 Off Site River Baseline'!$C$10:$AA$257,19,FALSE))</f>
        <v/>
      </c>
      <c r="R136" s="498" t="str">
        <f>IF(N136="","",VLOOKUP(N136,'G-7 Rivers Data'!$B$2:$G$8,2,FALSE))</f>
        <v/>
      </c>
      <c r="S136" s="499" t="str">
        <f>IFERROR(VLOOKUP(R136,'G-7 Rivers Data'!$C$4:$D$8,2,FALSE),"")</f>
        <v/>
      </c>
      <c r="T136" s="145"/>
      <c r="U136" s="499" t="str">
        <f>IFERROR(INDEX('G-7 Rivers Data'!$H$4:$L$8,MATCH(N136,'G-7 Rivers Data'!$B$4:$B$8,0),MATCH(T136,'G-7 Rivers Data'!$H$3:$L$3,0)),"")</f>
        <v/>
      </c>
      <c r="V136" s="154"/>
      <c r="W136" s="520" t="str">
        <f>IF(V136="","",IF(VLOOKUP(V136,'G-7 Rivers Data'!$AG$4:$AI$9,2,FALSE)=0,"Spatial Data Missing ⚠",VLOOKUP(V136,'G-7 Rivers Data'!$AG$4:$AI$9,2,FALSE)))</f>
        <v/>
      </c>
      <c r="X136" s="524" t="str">
        <f>IF(V136="","",IF(VLOOKUP(V136,'G-7 Rivers Data'!$AG$4:$AI$9,3,FALSE)=0,"Spatial Data Missing ⚠",VLOOKUP(V136,'G-7 Rivers Data'!$AG$4:$AI$9,3,FALSE)))</f>
        <v/>
      </c>
      <c r="Y136" s="537" t="str">
        <f>IFERROR(IF(OR(LEFT(P136,5)="Error ▲",LEFT(O136,5)="Error ▲"),"Check Data ⚠",IF(F136&lt;S136,'G-7 Rivers Data'!$R$3,INDEX('G-7 Rivers Data'!$U$5:$Y$9,MATCH(G136,'G-7 Rivers Data'!$T$5:$T$9,0),MATCH(T136,'G-7 Rivers Data'!$U$4:$Y$4,0)))),"")</f>
        <v/>
      </c>
      <c r="Z136" s="203"/>
      <c r="AA136" s="203"/>
      <c r="AB136" s="534" t="str">
        <f t="shared" si="8"/>
        <v/>
      </c>
      <c r="AC136" s="521" t="str">
        <f t="shared" si="9"/>
        <v/>
      </c>
      <c r="AD136" s="564" t="str">
        <f>IFERROR(IF(AC136="Check Data ⚠","Check Data ⚠",VLOOKUP(AC136,'G-4 Temporal multipliers'!$A$4:$C$37,3,FALSE)),"")</f>
        <v/>
      </c>
      <c r="AE136" s="537" t="str">
        <f>IF(N136="","",VLOOKUP(N136,'G-7 Rivers Data'!$B$4:$G$8,5,FALSE))</f>
        <v/>
      </c>
      <c r="AF136" s="520" t="str">
        <f t="shared" si="10"/>
        <v/>
      </c>
      <c r="AG136" s="520" t="str">
        <f t="shared" si="14"/>
        <v/>
      </c>
      <c r="AH136" s="524" t="str">
        <f t="shared" si="11"/>
        <v/>
      </c>
      <c r="AI136" s="145"/>
      <c r="AJ136" s="499" t="str">
        <f>IF(AI136="","",IF(VLOOKUP(AI136,'G-7 Rivers Data'!$AA$4:$AB$7,2,FALSE)=0,"Spatial Data Missing ⚠",VLOOKUP(AI136,'G-7 Rivers Data'!$AA$4:$AB$7,2,FALSE)))</f>
        <v/>
      </c>
      <c r="AK136" s="155"/>
      <c r="AL136" s="536" t="str">
        <f>IF(AK136="","",IF(VLOOKUP(AK136,'G-7 Rivers Data'!$AD$4:$AE$8,2,FALSE)=0,"Spatial Data Missing ⚠",VLOOKUP(AK136,'G-7 Rivers Data'!$AD$4:$AE$8,2,FALSE)))</f>
        <v/>
      </c>
      <c r="AM136" s="154"/>
      <c r="AN136" s="524" t="str">
        <f>IF(AM136="","",VLOOKUP(AM136,'G-7 Rivers Data'!$AO$4:$AP$7,2,FALSE))</f>
        <v/>
      </c>
      <c r="AO136" s="545" t="str">
        <f t="shared" si="15"/>
        <v/>
      </c>
      <c r="AP136" s="149"/>
      <c r="AQ136" s="150"/>
      <c r="AX136" s="31" t="str">
        <f>IFERROR(INDEX('G-7 Rivers Data'!$AZ$3:$AZ$7,MATCH(N136,'G-7 Rivers Data'!$AY$3:$AY$7,0)),"")</f>
        <v/>
      </c>
    </row>
    <row r="137" spans="2:50" ht="14" x14ac:dyDescent="0.3">
      <c r="B137" s="531" t="str">
        <f>'F-1 Off Site River Baseline'!AN135</f>
        <v/>
      </c>
      <c r="C137" s="520" t="str">
        <f>IF(B137="","",VLOOKUP($B137,'F-1 Off Site River Baseline'!$C$9:$R$257,2,FALSE))</f>
        <v/>
      </c>
      <c r="D137" s="520" t="str">
        <f>IF(C137="","",VLOOKUP($B137,'F-1 Off Site River Baseline'!$C$9:$R$257,3,FALSE))</f>
        <v/>
      </c>
      <c r="E137" s="520" t="str">
        <f>IF(D137="","",VLOOKUP($B137,'F-1 Off Site River Baseline'!$C$9:$R$257,4,FALSE))</f>
        <v/>
      </c>
      <c r="F137" s="520" t="str">
        <f>IF(E137="","",VLOOKUP($B137,'F-1 Off Site River Baseline'!$C$9:$R$257,5,FALSE))</f>
        <v/>
      </c>
      <c r="G137" s="520" t="str">
        <f>IF(F137="","",VLOOKUP($B137,'F-1 Off Site River Baseline'!$C$9:$R$257,6,FALSE))</f>
        <v/>
      </c>
      <c r="H137" s="520" t="str">
        <f>IF(G137="","",VLOOKUP($B137,'F-1 Off Site River Baseline'!$C$9:$R$257,7,FALSE))</f>
        <v/>
      </c>
      <c r="I137" s="520" t="str">
        <f>IF(H137="","",VLOOKUP($B137,'F-1 Off Site River Baseline'!$C$9:$R$257,8,FALSE))</f>
        <v/>
      </c>
      <c r="J137" s="520" t="str">
        <f>IF(I137="","",VLOOKUP($B137,'F-1 Off Site River Baseline'!$C$9:$R$257,9,FALSE))</f>
        <v/>
      </c>
      <c r="K137" s="520" t="str">
        <f>IF(J137="","",VLOOKUP($B137,'F-1 Off Site River Baseline'!$C$9:$R$257,10,FALSE))</f>
        <v/>
      </c>
      <c r="L137" s="520" t="str">
        <f>IF(B137="","",VLOOKUP($B137,'C-1 Site River Baseline'!$C$9:$R$257,15,FALSE))</f>
        <v/>
      </c>
      <c r="M137" s="524" t="str">
        <f>IF(L137="","",VLOOKUP($B137,'F-1 Off Site River Baseline'!$C$9:$R$257,16,FALSE))</f>
        <v/>
      </c>
      <c r="N137" s="418" t="str">
        <f t="shared" si="12"/>
        <v/>
      </c>
      <c r="O137" s="498" t="str">
        <f t="shared" si="13"/>
        <v/>
      </c>
      <c r="P137" s="499" t="str">
        <f>IF(C137="","",IF(AND(LEFT(C137,55)&lt;&gt;LEFT(N137,55),O137="High - High"),"Error - Not like for like ▲",IF(AND(F137=S137,H137&gt;U137),"Error - Can not reduce condition ▲",IF(AND(F137=S137,H137=U137,AJ137='F-1 Off Site River Baseline'!N135,'F-1 Off Site River Baseline'!P135=AL137),"Error - No enhancement ▲",IF(AND(C137&lt;&gt;N137,F137&lt;S137),"Lower Distinctiveness Habitat"&amp;" - "&amp;T137,G137&amp;" - "&amp;T137)))))</f>
        <v/>
      </c>
      <c r="Q137" s="505" t="str">
        <f>IF(N137="","",VLOOKUP(B137,'F-1 Off Site River Baseline'!$C$10:$AA$257,19,FALSE))</f>
        <v/>
      </c>
      <c r="R137" s="498" t="str">
        <f>IF(N137="","",VLOOKUP(N137,'G-7 Rivers Data'!$B$2:$G$8,2,FALSE))</f>
        <v/>
      </c>
      <c r="S137" s="499" t="str">
        <f>IFERROR(VLOOKUP(R137,'G-7 Rivers Data'!$C$4:$D$8,2,FALSE),"")</f>
        <v/>
      </c>
      <c r="T137" s="145"/>
      <c r="U137" s="499" t="str">
        <f>IFERROR(INDEX('G-7 Rivers Data'!$H$4:$L$8,MATCH(N137,'G-7 Rivers Data'!$B$4:$B$8,0),MATCH(T137,'G-7 Rivers Data'!$H$3:$L$3,0)),"")</f>
        <v/>
      </c>
      <c r="V137" s="154"/>
      <c r="W137" s="520" t="str">
        <f>IF(V137="","",IF(VLOOKUP(V137,'G-7 Rivers Data'!$AG$4:$AI$9,2,FALSE)=0,"Spatial Data Missing ⚠",VLOOKUP(V137,'G-7 Rivers Data'!$AG$4:$AI$9,2,FALSE)))</f>
        <v/>
      </c>
      <c r="X137" s="524" t="str">
        <f>IF(V137="","",IF(VLOOKUP(V137,'G-7 Rivers Data'!$AG$4:$AI$9,3,FALSE)=0,"Spatial Data Missing ⚠",VLOOKUP(V137,'G-7 Rivers Data'!$AG$4:$AI$9,3,FALSE)))</f>
        <v/>
      </c>
      <c r="Y137" s="537" t="str">
        <f>IFERROR(IF(OR(LEFT(P137,5)="Error ▲",LEFT(O137,5)="Error ▲"),"Check Data ⚠",IF(F137&lt;S137,'G-7 Rivers Data'!$R$3,INDEX('G-7 Rivers Data'!$U$5:$Y$9,MATCH(G137,'G-7 Rivers Data'!$T$5:$T$9,0),MATCH(T137,'G-7 Rivers Data'!$U$4:$Y$4,0)))),"")</f>
        <v/>
      </c>
      <c r="Z137" s="203"/>
      <c r="AA137" s="203"/>
      <c r="AB137" s="534" t="str">
        <f t="shared" si="8"/>
        <v/>
      </c>
      <c r="AC137" s="521" t="str">
        <f t="shared" si="9"/>
        <v/>
      </c>
      <c r="AD137" s="564" t="str">
        <f>IFERROR(IF(AC137="Check Data ⚠","Check Data ⚠",VLOOKUP(AC137,'G-4 Temporal multipliers'!$A$4:$C$37,3,FALSE)),"")</f>
        <v/>
      </c>
      <c r="AE137" s="537" t="str">
        <f>IF(N137="","",VLOOKUP(N137,'G-7 Rivers Data'!$B$4:$G$8,5,FALSE))</f>
        <v/>
      </c>
      <c r="AF137" s="520" t="str">
        <f t="shared" si="10"/>
        <v/>
      </c>
      <c r="AG137" s="520" t="str">
        <f t="shared" si="14"/>
        <v/>
      </c>
      <c r="AH137" s="524" t="str">
        <f t="shared" si="11"/>
        <v/>
      </c>
      <c r="AI137" s="145"/>
      <c r="AJ137" s="499" t="str">
        <f>IF(AI137="","",IF(VLOOKUP(AI137,'G-7 Rivers Data'!$AA$4:$AB$7,2,FALSE)=0,"Spatial Data Missing ⚠",VLOOKUP(AI137,'G-7 Rivers Data'!$AA$4:$AB$7,2,FALSE)))</f>
        <v/>
      </c>
      <c r="AK137" s="155"/>
      <c r="AL137" s="536" t="str">
        <f>IF(AK137="","",IF(VLOOKUP(AK137,'G-7 Rivers Data'!$AD$4:$AE$8,2,FALSE)=0,"Spatial Data Missing ⚠",VLOOKUP(AK137,'G-7 Rivers Data'!$AD$4:$AE$8,2,FALSE)))</f>
        <v/>
      </c>
      <c r="AM137" s="154"/>
      <c r="AN137" s="524" t="str">
        <f>IF(AM137="","",VLOOKUP(AM137,'G-7 Rivers Data'!$AO$4:$AP$7,2,FALSE))</f>
        <v/>
      </c>
      <c r="AO137" s="545" t="str">
        <f t="shared" si="15"/>
        <v/>
      </c>
      <c r="AP137" s="149"/>
      <c r="AQ137" s="150"/>
      <c r="AX137" s="31" t="str">
        <f>IFERROR(INDEX('G-7 Rivers Data'!$AZ$3:$AZ$7,MATCH(N137,'G-7 Rivers Data'!$AY$3:$AY$7,0)),"")</f>
        <v/>
      </c>
    </row>
    <row r="138" spans="2:50" ht="14" x14ac:dyDescent="0.3">
      <c r="B138" s="531" t="str">
        <f>'F-1 Off Site River Baseline'!AN136</f>
        <v/>
      </c>
      <c r="C138" s="520" t="str">
        <f>IF(B138="","",VLOOKUP($B138,'F-1 Off Site River Baseline'!$C$9:$R$257,2,FALSE))</f>
        <v/>
      </c>
      <c r="D138" s="520" t="str">
        <f>IF(C138="","",VLOOKUP($B138,'F-1 Off Site River Baseline'!$C$9:$R$257,3,FALSE))</f>
        <v/>
      </c>
      <c r="E138" s="520" t="str">
        <f>IF(D138="","",VLOOKUP($B138,'F-1 Off Site River Baseline'!$C$9:$R$257,4,FALSE))</f>
        <v/>
      </c>
      <c r="F138" s="520" t="str">
        <f>IF(E138="","",VLOOKUP($B138,'F-1 Off Site River Baseline'!$C$9:$R$257,5,FALSE))</f>
        <v/>
      </c>
      <c r="G138" s="520" t="str">
        <f>IF(F138="","",VLOOKUP($B138,'F-1 Off Site River Baseline'!$C$9:$R$257,6,FALSE))</f>
        <v/>
      </c>
      <c r="H138" s="520" t="str">
        <f>IF(G138="","",VLOOKUP($B138,'F-1 Off Site River Baseline'!$C$9:$R$257,7,FALSE))</f>
        <v/>
      </c>
      <c r="I138" s="520" t="str">
        <f>IF(H138="","",VLOOKUP($B138,'F-1 Off Site River Baseline'!$C$9:$R$257,8,FALSE))</f>
        <v/>
      </c>
      <c r="J138" s="520" t="str">
        <f>IF(I138="","",VLOOKUP($B138,'F-1 Off Site River Baseline'!$C$9:$R$257,9,FALSE))</f>
        <v/>
      </c>
      <c r="K138" s="520" t="str">
        <f>IF(J138="","",VLOOKUP($B138,'F-1 Off Site River Baseline'!$C$9:$R$257,10,FALSE))</f>
        <v/>
      </c>
      <c r="L138" s="520" t="str">
        <f>IF(B138="","",VLOOKUP($B138,'C-1 Site River Baseline'!$C$9:$R$257,15,FALSE))</f>
        <v/>
      </c>
      <c r="M138" s="524" t="str">
        <f>IF(L138="","",VLOOKUP($B138,'F-1 Off Site River Baseline'!$C$9:$R$257,16,FALSE))</f>
        <v/>
      </c>
      <c r="N138" s="418" t="str">
        <f t="shared" si="12"/>
        <v/>
      </c>
      <c r="O138" s="498" t="str">
        <f t="shared" si="13"/>
        <v/>
      </c>
      <c r="P138" s="499" t="str">
        <f>IF(C138="","",IF(AND(LEFT(C138,55)&lt;&gt;LEFT(N138,55),O138="High - High"),"Error - Not like for like ▲",IF(AND(F138=S138,H138&gt;U138),"Error - Can not reduce condition ▲",IF(AND(F138=S138,H138=U138,AJ138='F-1 Off Site River Baseline'!N136,'F-1 Off Site River Baseline'!P136=AL138),"Error - No enhancement ▲",IF(AND(C138&lt;&gt;N138,F138&lt;S138),"Lower Distinctiveness Habitat"&amp;" - "&amp;T138,G138&amp;" - "&amp;T138)))))</f>
        <v/>
      </c>
      <c r="Q138" s="505" t="str">
        <f>IF(N138="","",VLOOKUP(B138,'F-1 Off Site River Baseline'!$C$10:$AA$257,19,FALSE))</f>
        <v/>
      </c>
      <c r="R138" s="498" t="str">
        <f>IF(N138="","",VLOOKUP(N138,'G-7 Rivers Data'!$B$2:$G$8,2,FALSE))</f>
        <v/>
      </c>
      <c r="S138" s="499" t="str">
        <f>IFERROR(VLOOKUP(R138,'G-7 Rivers Data'!$C$4:$D$8,2,FALSE),"")</f>
        <v/>
      </c>
      <c r="T138" s="145"/>
      <c r="U138" s="499" t="str">
        <f>IFERROR(INDEX('G-7 Rivers Data'!$H$4:$L$8,MATCH(N138,'G-7 Rivers Data'!$B$4:$B$8,0),MATCH(T138,'G-7 Rivers Data'!$H$3:$L$3,0)),"")</f>
        <v/>
      </c>
      <c r="V138" s="154"/>
      <c r="W138" s="520" t="str">
        <f>IF(V138="","",IF(VLOOKUP(V138,'G-7 Rivers Data'!$AG$4:$AI$9,2,FALSE)=0,"Spatial Data Missing ⚠",VLOOKUP(V138,'G-7 Rivers Data'!$AG$4:$AI$9,2,FALSE)))</f>
        <v/>
      </c>
      <c r="X138" s="524" t="str">
        <f>IF(V138="","",IF(VLOOKUP(V138,'G-7 Rivers Data'!$AG$4:$AI$9,3,FALSE)=0,"Spatial Data Missing ⚠",VLOOKUP(V138,'G-7 Rivers Data'!$AG$4:$AI$9,3,FALSE)))</f>
        <v/>
      </c>
      <c r="Y138" s="537" t="str">
        <f>IFERROR(IF(OR(LEFT(P138,5)="Error ▲",LEFT(O138,5)="Error ▲"),"Check Data ⚠",IF(F138&lt;S138,'G-7 Rivers Data'!$R$3,INDEX('G-7 Rivers Data'!$U$5:$Y$9,MATCH(G138,'G-7 Rivers Data'!$T$5:$T$9,0),MATCH(T138,'G-7 Rivers Data'!$U$4:$Y$4,0)))),"")</f>
        <v/>
      </c>
      <c r="Z138" s="203"/>
      <c r="AA138" s="203"/>
      <c r="AB138" s="534" t="str">
        <f t="shared" si="8"/>
        <v/>
      </c>
      <c r="AC138" s="521" t="str">
        <f t="shared" si="9"/>
        <v/>
      </c>
      <c r="AD138" s="564" t="str">
        <f>IFERROR(IF(AC138="Check Data ⚠","Check Data ⚠",VLOOKUP(AC138,'G-4 Temporal multipliers'!$A$4:$C$37,3,FALSE)),"")</f>
        <v/>
      </c>
      <c r="AE138" s="537" t="str">
        <f>IF(N138="","",VLOOKUP(N138,'G-7 Rivers Data'!$B$4:$G$8,5,FALSE))</f>
        <v/>
      </c>
      <c r="AF138" s="520" t="str">
        <f t="shared" si="10"/>
        <v/>
      </c>
      <c r="AG138" s="520" t="str">
        <f t="shared" si="14"/>
        <v/>
      </c>
      <c r="AH138" s="524" t="str">
        <f t="shared" si="11"/>
        <v/>
      </c>
      <c r="AI138" s="145"/>
      <c r="AJ138" s="499" t="str">
        <f>IF(AI138="","",IF(VLOOKUP(AI138,'G-7 Rivers Data'!$AA$4:$AB$7,2,FALSE)=0,"Spatial Data Missing ⚠",VLOOKUP(AI138,'G-7 Rivers Data'!$AA$4:$AB$7,2,FALSE)))</f>
        <v/>
      </c>
      <c r="AK138" s="155"/>
      <c r="AL138" s="536" t="str">
        <f>IF(AK138="","",IF(VLOOKUP(AK138,'G-7 Rivers Data'!$AD$4:$AE$8,2,FALSE)=0,"Spatial Data Missing ⚠",VLOOKUP(AK138,'G-7 Rivers Data'!$AD$4:$AE$8,2,FALSE)))</f>
        <v/>
      </c>
      <c r="AM138" s="154"/>
      <c r="AN138" s="524" t="str">
        <f>IF(AM138="","",VLOOKUP(AM138,'G-7 Rivers Data'!$AO$4:$AP$7,2,FALSE))</f>
        <v/>
      </c>
      <c r="AO138" s="545" t="str">
        <f t="shared" si="15"/>
        <v/>
      </c>
      <c r="AP138" s="149"/>
      <c r="AQ138" s="150"/>
      <c r="AX138" s="31" t="str">
        <f>IFERROR(INDEX('G-7 Rivers Data'!$AZ$3:$AZ$7,MATCH(N138,'G-7 Rivers Data'!$AY$3:$AY$7,0)),"")</f>
        <v/>
      </c>
    </row>
    <row r="139" spans="2:50" ht="14" x14ac:dyDescent="0.3">
      <c r="B139" s="531" t="str">
        <f>'F-1 Off Site River Baseline'!AN137</f>
        <v/>
      </c>
      <c r="C139" s="520" t="str">
        <f>IF(B139="","",VLOOKUP($B139,'F-1 Off Site River Baseline'!$C$9:$R$257,2,FALSE))</f>
        <v/>
      </c>
      <c r="D139" s="520" t="str">
        <f>IF(C139="","",VLOOKUP($B139,'F-1 Off Site River Baseline'!$C$9:$R$257,3,FALSE))</f>
        <v/>
      </c>
      <c r="E139" s="520" t="str">
        <f>IF(D139="","",VLOOKUP($B139,'F-1 Off Site River Baseline'!$C$9:$R$257,4,FALSE))</f>
        <v/>
      </c>
      <c r="F139" s="520" t="str">
        <f>IF(E139="","",VLOOKUP($B139,'F-1 Off Site River Baseline'!$C$9:$R$257,5,FALSE))</f>
        <v/>
      </c>
      <c r="G139" s="520" t="str">
        <f>IF(F139="","",VLOOKUP($B139,'F-1 Off Site River Baseline'!$C$9:$R$257,6,FALSE))</f>
        <v/>
      </c>
      <c r="H139" s="520" t="str">
        <f>IF(G139="","",VLOOKUP($B139,'F-1 Off Site River Baseline'!$C$9:$R$257,7,FALSE))</f>
        <v/>
      </c>
      <c r="I139" s="520" t="str">
        <f>IF(H139="","",VLOOKUP($B139,'F-1 Off Site River Baseline'!$C$9:$R$257,8,FALSE))</f>
        <v/>
      </c>
      <c r="J139" s="520" t="str">
        <f>IF(I139="","",VLOOKUP($B139,'F-1 Off Site River Baseline'!$C$9:$R$257,9,FALSE))</f>
        <v/>
      </c>
      <c r="K139" s="520" t="str">
        <f>IF(J139="","",VLOOKUP($B139,'F-1 Off Site River Baseline'!$C$9:$R$257,10,FALSE))</f>
        <v/>
      </c>
      <c r="L139" s="520" t="str">
        <f>IF(B139="","",VLOOKUP($B139,'C-1 Site River Baseline'!$C$9:$R$257,15,FALSE))</f>
        <v/>
      </c>
      <c r="M139" s="524" t="str">
        <f>IF(L139="","",VLOOKUP($B139,'F-1 Off Site River Baseline'!$C$9:$R$257,16,FALSE))</f>
        <v/>
      </c>
      <c r="N139" s="418" t="str">
        <f t="shared" si="12"/>
        <v/>
      </c>
      <c r="O139" s="498" t="str">
        <f t="shared" si="13"/>
        <v/>
      </c>
      <c r="P139" s="499" t="str">
        <f>IF(C139="","",IF(AND(LEFT(C139,55)&lt;&gt;LEFT(N139,55),O139="High - High"),"Error - Not like for like ▲",IF(AND(F139=S139,H139&gt;U139),"Error - Can not reduce condition ▲",IF(AND(F139=S139,H139=U139,AJ139='F-1 Off Site River Baseline'!N137,'F-1 Off Site River Baseline'!P137=AL139),"Error - No enhancement ▲",IF(AND(C139&lt;&gt;N139,F139&lt;S139),"Lower Distinctiveness Habitat"&amp;" - "&amp;T139,G139&amp;" - "&amp;T139)))))</f>
        <v/>
      </c>
      <c r="Q139" s="505" t="str">
        <f>IF(N139="","",VLOOKUP(B139,'F-1 Off Site River Baseline'!$C$10:$AA$257,19,FALSE))</f>
        <v/>
      </c>
      <c r="R139" s="498" t="str">
        <f>IF(N139="","",VLOOKUP(N139,'G-7 Rivers Data'!$B$2:$G$8,2,FALSE))</f>
        <v/>
      </c>
      <c r="S139" s="499" t="str">
        <f>IFERROR(VLOOKUP(R139,'G-7 Rivers Data'!$C$4:$D$8,2,FALSE),"")</f>
        <v/>
      </c>
      <c r="T139" s="145"/>
      <c r="U139" s="499" t="str">
        <f>IFERROR(INDEX('G-7 Rivers Data'!$H$4:$L$8,MATCH(N139,'G-7 Rivers Data'!$B$4:$B$8,0),MATCH(T139,'G-7 Rivers Data'!$H$3:$L$3,0)),"")</f>
        <v/>
      </c>
      <c r="V139" s="154"/>
      <c r="W139" s="520" t="str">
        <f>IF(V139="","",IF(VLOOKUP(V139,'G-7 Rivers Data'!$AG$4:$AI$9,2,FALSE)=0,"Spatial Data Missing ⚠",VLOOKUP(V139,'G-7 Rivers Data'!$AG$4:$AI$9,2,FALSE)))</f>
        <v/>
      </c>
      <c r="X139" s="524" t="str">
        <f>IF(V139="","",IF(VLOOKUP(V139,'G-7 Rivers Data'!$AG$4:$AI$9,3,FALSE)=0,"Spatial Data Missing ⚠",VLOOKUP(V139,'G-7 Rivers Data'!$AG$4:$AI$9,3,FALSE)))</f>
        <v/>
      </c>
      <c r="Y139" s="537" t="str">
        <f>IFERROR(IF(OR(LEFT(P139,5)="Error ▲",LEFT(O139,5)="Error ▲"),"Check Data ⚠",IF(F139&lt;S139,'G-7 Rivers Data'!$R$3,INDEX('G-7 Rivers Data'!$U$5:$Y$9,MATCH(G139,'G-7 Rivers Data'!$T$5:$T$9,0),MATCH(T139,'G-7 Rivers Data'!$U$4:$Y$4,0)))),"")</f>
        <v/>
      </c>
      <c r="Z139" s="203"/>
      <c r="AA139" s="203"/>
      <c r="AB139" s="534" t="str">
        <f t="shared" si="8"/>
        <v/>
      </c>
      <c r="AC139" s="521" t="str">
        <f t="shared" si="9"/>
        <v/>
      </c>
      <c r="AD139" s="564" t="str">
        <f>IFERROR(IF(AC139="Check Data ⚠","Check Data ⚠",VLOOKUP(AC139,'G-4 Temporal multipliers'!$A$4:$C$37,3,FALSE)),"")</f>
        <v/>
      </c>
      <c r="AE139" s="537" t="str">
        <f>IF(N139="","",VLOOKUP(N139,'G-7 Rivers Data'!$B$4:$G$8,5,FALSE))</f>
        <v/>
      </c>
      <c r="AF139" s="520" t="str">
        <f t="shared" si="10"/>
        <v/>
      </c>
      <c r="AG139" s="520" t="str">
        <f t="shared" si="14"/>
        <v/>
      </c>
      <c r="AH139" s="524" t="str">
        <f t="shared" si="11"/>
        <v/>
      </c>
      <c r="AI139" s="145"/>
      <c r="AJ139" s="499" t="str">
        <f>IF(AI139="","",IF(VLOOKUP(AI139,'G-7 Rivers Data'!$AA$4:$AB$7,2,FALSE)=0,"Spatial Data Missing ⚠",VLOOKUP(AI139,'G-7 Rivers Data'!$AA$4:$AB$7,2,FALSE)))</f>
        <v/>
      </c>
      <c r="AK139" s="155"/>
      <c r="AL139" s="536" t="str">
        <f>IF(AK139="","",IF(VLOOKUP(AK139,'G-7 Rivers Data'!$AD$4:$AE$8,2,FALSE)=0,"Spatial Data Missing ⚠",VLOOKUP(AK139,'G-7 Rivers Data'!$AD$4:$AE$8,2,FALSE)))</f>
        <v/>
      </c>
      <c r="AM139" s="154"/>
      <c r="AN139" s="524" t="str">
        <f>IF(AM139="","",VLOOKUP(AM139,'G-7 Rivers Data'!$AO$4:$AP$7,2,FALSE))</f>
        <v/>
      </c>
      <c r="AO139" s="545" t="str">
        <f t="shared" si="15"/>
        <v/>
      </c>
      <c r="AP139" s="149"/>
      <c r="AQ139" s="150"/>
      <c r="AX139" s="31" t="str">
        <f>IFERROR(INDEX('G-7 Rivers Data'!$AZ$3:$AZ$7,MATCH(N139,'G-7 Rivers Data'!$AY$3:$AY$7,0)),"")</f>
        <v/>
      </c>
    </row>
    <row r="140" spans="2:50" ht="14" x14ac:dyDescent="0.3">
      <c r="B140" s="531" t="str">
        <f>'F-1 Off Site River Baseline'!AN138</f>
        <v/>
      </c>
      <c r="C140" s="520" t="str">
        <f>IF(B140="","",VLOOKUP($B140,'F-1 Off Site River Baseline'!$C$9:$R$257,2,FALSE))</f>
        <v/>
      </c>
      <c r="D140" s="520" t="str">
        <f>IF(C140="","",VLOOKUP($B140,'F-1 Off Site River Baseline'!$C$9:$R$257,3,FALSE))</f>
        <v/>
      </c>
      <c r="E140" s="520" t="str">
        <f>IF(D140="","",VLOOKUP($B140,'F-1 Off Site River Baseline'!$C$9:$R$257,4,FALSE))</f>
        <v/>
      </c>
      <c r="F140" s="520" t="str">
        <f>IF(E140="","",VLOOKUP($B140,'F-1 Off Site River Baseline'!$C$9:$R$257,5,FALSE))</f>
        <v/>
      </c>
      <c r="G140" s="520" t="str">
        <f>IF(F140="","",VLOOKUP($B140,'F-1 Off Site River Baseline'!$C$9:$R$257,6,FALSE))</f>
        <v/>
      </c>
      <c r="H140" s="520" t="str">
        <f>IF(G140="","",VLOOKUP($B140,'F-1 Off Site River Baseline'!$C$9:$R$257,7,FALSE))</f>
        <v/>
      </c>
      <c r="I140" s="520" t="str">
        <f>IF(H140="","",VLOOKUP($B140,'F-1 Off Site River Baseline'!$C$9:$R$257,8,FALSE))</f>
        <v/>
      </c>
      <c r="J140" s="520" t="str">
        <f>IF(I140="","",VLOOKUP($B140,'F-1 Off Site River Baseline'!$C$9:$R$257,9,FALSE))</f>
        <v/>
      </c>
      <c r="K140" s="520" t="str">
        <f>IF(J140="","",VLOOKUP($B140,'F-1 Off Site River Baseline'!$C$9:$R$257,10,FALSE))</f>
        <v/>
      </c>
      <c r="L140" s="520" t="str">
        <f>IF(B140="","",VLOOKUP($B140,'C-1 Site River Baseline'!$C$9:$R$257,15,FALSE))</f>
        <v/>
      </c>
      <c r="M140" s="524" t="str">
        <f>IF(L140="","",VLOOKUP($B140,'F-1 Off Site River Baseline'!$C$9:$R$257,16,FALSE))</f>
        <v/>
      </c>
      <c r="N140" s="418" t="str">
        <f t="shared" si="12"/>
        <v/>
      </c>
      <c r="O140" s="498" t="str">
        <f t="shared" si="13"/>
        <v/>
      </c>
      <c r="P140" s="499" t="str">
        <f>IF(C140="","",IF(AND(LEFT(C140,55)&lt;&gt;LEFT(N140,55),O140="High - High"),"Error - Not like for like ▲",IF(AND(F140=S140,H140&gt;U140),"Error - Can not reduce condition ▲",IF(AND(F140=S140,H140=U140,AJ140='F-1 Off Site River Baseline'!N138,'F-1 Off Site River Baseline'!P138=AL140),"Error - No enhancement ▲",IF(AND(C140&lt;&gt;N140,F140&lt;S140),"Lower Distinctiveness Habitat"&amp;" - "&amp;T140,G140&amp;" - "&amp;T140)))))</f>
        <v/>
      </c>
      <c r="Q140" s="505" t="str">
        <f>IF(N140="","",VLOOKUP(B140,'F-1 Off Site River Baseline'!$C$10:$AA$257,19,FALSE))</f>
        <v/>
      </c>
      <c r="R140" s="498" t="str">
        <f>IF(N140="","",VLOOKUP(N140,'G-7 Rivers Data'!$B$2:$G$8,2,FALSE))</f>
        <v/>
      </c>
      <c r="S140" s="499" t="str">
        <f>IFERROR(VLOOKUP(R140,'G-7 Rivers Data'!$C$4:$D$8,2,FALSE),"")</f>
        <v/>
      </c>
      <c r="T140" s="145"/>
      <c r="U140" s="499" t="str">
        <f>IFERROR(INDEX('G-7 Rivers Data'!$H$4:$L$8,MATCH(N140,'G-7 Rivers Data'!$B$4:$B$8,0),MATCH(T140,'G-7 Rivers Data'!$H$3:$L$3,0)),"")</f>
        <v/>
      </c>
      <c r="V140" s="154"/>
      <c r="W140" s="520" t="str">
        <f>IF(V140="","",IF(VLOOKUP(V140,'G-7 Rivers Data'!$AG$4:$AI$9,2,FALSE)=0,"Spatial Data Missing ⚠",VLOOKUP(V140,'G-7 Rivers Data'!$AG$4:$AI$9,2,FALSE)))</f>
        <v/>
      </c>
      <c r="X140" s="524" t="str">
        <f>IF(V140="","",IF(VLOOKUP(V140,'G-7 Rivers Data'!$AG$4:$AI$9,3,FALSE)=0,"Spatial Data Missing ⚠",VLOOKUP(V140,'G-7 Rivers Data'!$AG$4:$AI$9,3,FALSE)))</f>
        <v/>
      </c>
      <c r="Y140" s="537" t="str">
        <f>IFERROR(IF(OR(LEFT(P140,5)="Error ▲",LEFT(O140,5)="Error ▲"),"Check Data ⚠",IF(F140&lt;S140,'G-7 Rivers Data'!$R$3,INDEX('G-7 Rivers Data'!$U$5:$Y$9,MATCH(G140,'G-7 Rivers Data'!$T$5:$T$9,0),MATCH(T140,'G-7 Rivers Data'!$U$4:$Y$4,0)))),"")</f>
        <v/>
      </c>
      <c r="Z140" s="203"/>
      <c r="AA140" s="203"/>
      <c r="AB140" s="534" t="str">
        <f t="shared" ref="AB140:AB203" si="16">IF(Y140="","",IF(Y140="Check Data ⚠","Check Data ⚠",IF(AND(Z140&gt;0,AA140&gt;0),"Error -both advance and delayed habitat creation ▲",IF(AND(OR(Z140="Habitat already in target condition",Y140&lt;=Z140),AA140=0),"Check details - Is there evidence that habitat has reached target condition? ⚠",IF(Z140&gt;0,"Check details - Is there evidence habitat creation started/in place? ⚠",IF(AA140&gt;0,"Check details- Delay in starting habitat in required condition? ⚠","Standard time to target condition applied"))))))</f>
        <v/>
      </c>
      <c r="AC140" s="521" t="str">
        <f t="shared" ref="AC140:AC203" si="17">IF(LEFT(AB140,5)="Error ▲","Check Data ⚠",IF(AB140="Check Data ⚠","Check Data ⚠",IF(Y140="","",IF(Z140="30+",0,IF(AA140="30+","30+ ⚠",IF(Y140+AA140&gt;30,"30+ ⚠",IF(Y140+AA140-Z140&gt;0,Y140+AA140-Z140,IF(Y140-Z140&lt;0,0,Y140+AA140-Z140))))))))</f>
        <v/>
      </c>
      <c r="AD140" s="564" t="str">
        <f>IFERROR(IF(AC140="Check Data ⚠","Check Data ⚠",VLOOKUP(AC140,'G-4 Temporal multipliers'!$A$4:$C$37,3,FALSE)),"")</f>
        <v/>
      </c>
      <c r="AE140" s="537" t="str">
        <f>IF(N140="","",VLOOKUP(N140,'G-7 Rivers Data'!$B$4:$G$8,5,FALSE))</f>
        <v/>
      </c>
      <c r="AF140" s="520" t="str">
        <f t="shared" ref="AF140:AF203" si="18">IF(N140="","",IF(AC140="Check Data ⚠","Check Data ⚠",IF(T140="","",IF($AB140="Check details - Is there evidence that habitat has reached target condition? ⚠","Low Difficulty - only applicable if all habitat created before losses ⚠","Standard difficulty applied"))))</f>
        <v/>
      </c>
      <c r="AG140" s="520" t="str">
        <f t="shared" si="14"/>
        <v/>
      </c>
      <c r="AH140" s="524" t="str">
        <f t="shared" ref="AH140:AH203" si="19">IF(N140="","",VLOOKUP(AE140,Difficulty,2,FALSE))</f>
        <v/>
      </c>
      <c r="AI140" s="145"/>
      <c r="AJ140" s="499" t="str">
        <f>IF(AI140="","",IF(VLOOKUP(AI140,'G-7 Rivers Data'!$AA$4:$AB$7,2,FALSE)=0,"Spatial Data Missing ⚠",VLOOKUP(AI140,'G-7 Rivers Data'!$AA$4:$AB$7,2,FALSE)))</f>
        <v/>
      </c>
      <c r="AK140" s="155"/>
      <c r="AL140" s="536" t="str">
        <f>IF(AK140="","",IF(VLOOKUP(AK140,'G-7 Rivers Data'!$AD$4:$AE$8,2,FALSE)=0,"Spatial Data Missing ⚠",VLOOKUP(AK140,'G-7 Rivers Data'!$AD$4:$AE$8,2,FALSE)))</f>
        <v/>
      </c>
      <c r="AM140" s="154"/>
      <c r="AN140" s="524" t="str">
        <f>IF(AM140="","",VLOOKUP(AM140,'G-7 Rivers Data'!$AO$4:$AP$7,2,FALSE))</f>
        <v/>
      </c>
      <c r="AO140" s="545" t="str">
        <f t="shared" si="15"/>
        <v/>
      </c>
      <c r="AP140" s="149"/>
      <c r="AQ140" s="150"/>
      <c r="AX140" s="31" t="str">
        <f>IFERROR(INDEX('G-7 Rivers Data'!$AZ$3:$AZ$7,MATCH(N140,'G-7 Rivers Data'!$AY$3:$AY$7,0)),"")</f>
        <v/>
      </c>
    </row>
    <row r="141" spans="2:50" ht="14" x14ac:dyDescent="0.3">
      <c r="B141" s="531" t="str">
        <f>'F-1 Off Site River Baseline'!AN139</f>
        <v/>
      </c>
      <c r="C141" s="520" t="str">
        <f>IF(B141="","",VLOOKUP($B141,'F-1 Off Site River Baseline'!$C$9:$R$257,2,FALSE))</f>
        <v/>
      </c>
      <c r="D141" s="520" t="str">
        <f>IF(C141="","",VLOOKUP($B141,'F-1 Off Site River Baseline'!$C$9:$R$257,3,FALSE))</f>
        <v/>
      </c>
      <c r="E141" s="520" t="str">
        <f>IF(D141="","",VLOOKUP($B141,'F-1 Off Site River Baseline'!$C$9:$R$257,4,FALSE))</f>
        <v/>
      </c>
      <c r="F141" s="520" t="str">
        <f>IF(E141="","",VLOOKUP($B141,'F-1 Off Site River Baseline'!$C$9:$R$257,5,FALSE))</f>
        <v/>
      </c>
      <c r="G141" s="520" t="str">
        <f>IF(F141="","",VLOOKUP($B141,'F-1 Off Site River Baseline'!$C$9:$R$257,6,FALSE))</f>
        <v/>
      </c>
      <c r="H141" s="520" t="str">
        <f>IF(G141="","",VLOOKUP($B141,'F-1 Off Site River Baseline'!$C$9:$R$257,7,FALSE))</f>
        <v/>
      </c>
      <c r="I141" s="520" t="str">
        <f>IF(H141="","",VLOOKUP($B141,'F-1 Off Site River Baseline'!$C$9:$R$257,8,FALSE))</f>
        <v/>
      </c>
      <c r="J141" s="520" t="str">
        <f>IF(I141="","",VLOOKUP($B141,'F-1 Off Site River Baseline'!$C$9:$R$257,9,FALSE))</f>
        <v/>
      </c>
      <c r="K141" s="520" t="str">
        <f>IF(J141="","",VLOOKUP($B141,'F-1 Off Site River Baseline'!$C$9:$R$257,10,FALSE))</f>
        <v/>
      </c>
      <c r="L141" s="520" t="str">
        <f>IF(B141="","",VLOOKUP($B141,'C-1 Site River Baseline'!$C$9:$R$257,15,FALSE))</f>
        <v/>
      </c>
      <c r="M141" s="524" t="str">
        <f>IF(L141="","",VLOOKUP($B141,'F-1 Off Site River Baseline'!$C$9:$R$257,16,FALSE))</f>
        <v/>
      </c>
      <c r="N141" s="418" t="str">
        <f t="shared" ref="N141:N204" si="20">C141</f>
        <v/>
      </c>
      <c r="O141" s="498" t="str">
        <f t="shared" ref="O141:O204" si="21">IF(B141="","",IF(S141&lt;F141,"Error Trading Down ▲",E141&amp;" - "&amp;R141))</f>
        <v/>
      </c>
      <c r="P141" s="499" t="str">
        <f>IF(C141="","",IF(AND(LEFT(C141,55)&lt;&gt;LEFT(N141,55),O141="High - High"),"Error - Not like for like ▲",IF(AND(F141=S141,H141&gt;U141),"Error - Can not reduce condition ▲",IF(AND(F141=S141,H141=U141,AJ141='F-1 Off Site River Baseline'!N139,'F-1 Off Site River Baseline'!P139=AL141),"Error - No enhancement ▲",IF(AND(C141&lt;&gt;N141,F141&lt;S141),"Lower Distinctiveness Habitat"&amp;" - "&amp;T141,G141&amp;" - "&amp;T141)))))</f>
        <v/>
      </c>
      <c r="Q141" s="505" t="str">
        <f>IF(N141="","",VLOOKUP(B141,'F-1 Off Site River Baseline'!$C$10:$AA$257,19,FALSE))</f>
        <v/>
      </c>
      <c r="R141" s="498" t="str">
        <f>IF(N141="","",VLOOKUP(N141,'G-7 Rivers Data'!$B$2:$G$8,2,FALSE))</f>
        <v/>
      </c>
      <c r="S141" s="499" t="str">
        <f>IFERROR(VLOOKUP(R141,'G-7 Rivers Data'!$C$4:$D$8,2,FALSE),"")</f>
        <v/>
      </c>
      <c r="T141" s="145"/>
      <c r="U141" s="499" t="str">
        <f>IFERROR(INDEX('G-7 Rivers Data'!$H$4:$L$8,MATCH(N141,'G-7 Rivers Data'!$B$4:$B$8,0),MATCH(T141,'G-7 Rivers Data'!$H$3:$L$3,0)),"")</f>
        <v/>
      </c>
      <c r="V141" s="154"/>
      <c r="W141" s="520" t="str">
        <f>IF(V141="","",IF(VLOOKUP(V141,'G-7 Rivers Data'!$AG$4:$AI$9,2,FALSE)=0,"Spatial Data Missing ⚠",VLOOKUP(V141,'G-7 Rivers Data'!$AG$4:$AI$9,2,FALSE)))</f>
        <v/>
      </c>
      <c r="X141" s="524" t="str">
        <f>IF(V141="","",IF(VLOOKUP(V141,'G-7 Rivers Data'!$AG$4:$AI$9,3,FALSE)=0,"Spatial Data Missing ⚠",VLOOKUP(V141,'G-7 Rivers Data'!$AG$4:$AI$9,3,FALSE)))</f>
        <v/>
      </c>
      <c r="Y141" s="537" t="str">
        <f>IFERROR(IF(OR(LEFT(P141,5)="Error ▲",LEFT(O141,5)="Error ▲"),"Check Data ⚠",IF(F141&lt;S141,'G-7 Rivers Data'!$R$3,INDEX('G-7 Rivers Data'!$U$5:$Y$9,MATCH(G141,'G-7 Rivers Data'!$T$5:$T$9,0),MATCH(T141,'G-7 Rivers Data'!$U$4:$Y$4,0)))),"")</f>
        <v/>
      </c>
      <c r="Z141" s="203"/>
      <c r="AA141" s="203"/>
      <c r="AB141" s="534" t="str">
        <f t="shared" si="16"/>
        <v/>
      </c>
      <c r="AC141" s="521" t="str">
        <f t="shared" si="17"/>
        <v/>
      </c>
      <c r="AD141" s="564" t="str">
        <f>IFERROR(IF(AC141="Check Data ⚠","Check Data ⚠",VLOOKUP(AC141,'G-4 Temporal multipliers'!$A$4:$C$37,3,FALSE)),"")</f>
        <v/>
      </c>
      <c r="AE141" s="537" t="str">
        <f>IF(N141="","",VLOOKUP(N141,'G-7 Rivers Data'!$B$4:$G$8,5,FALSE))</f>
        <v/>
      </c>
      <c r="AF141" s="520" t="str">
        <f t="shared" si="18"/>
        <v/>
      </c>
      <c r="AG141" s="520" t="str">
        <f t="shared" ref="AG141:AG204" si="22">(IF(AND(AF141="Standard difficulty applied",Y141&gt;Z141),AE141,IF(AND(AF141="Low Difficulty - only applicable if all habitat created before losses ⚠",Z141&gt;=Y141),"Low",AE141)))</f>
        <v/>
      </c>
      <c r="AH141" s="524" t="str">
        <f t="shared" si="19"/>
        <v/>
      </c>
      <c r="AI141" s="145"/>
      <c r="AJ141" s="499" t="str">
        <f>IF(AI141="","",IF(VLOOKUP(AI141,'G-7 Rivers Data'!$AA$4:$AB$7,2,FALSE)=0,"Spatial Data Missing ⚠",VLOOKUP(AI141,'G-7 Rivers Data'!$AA$4:$AB$7,2,FALSE)))</f>
        <v/>
      </c>
      <c r="AK141" s="155"/>
      <c r="AL141" s="536" t="str">
        <f>IF(AK141="","",IF(VLOOKUP(AK141,'G-7 Rivers Data'!$AD$4:$AE$8,2,FALSE)=0,"Spatial Data Missing ⚠",VLOOKUP(AK141,'G-7 Rivers Data'!$AD$4:$AE$8,2,FALSE)))</f>
        <v/>
      </c>
      <c r="AM141" s="154"/>
      <c r="AN141" s="524" t="str">
        <f>IF(AM141="","",VLOOKUP(AM141,'G-7 Rivers Data'!$AO$4:$AP$7,2,FALSE))</f>
        <v/>
      </c>
      <c r="AO141" s="545" t="str">
        <f t="shared" ref="AO141:AO204" si="23">IFERROR(IF(C141="","",IF(Q141&gt;D141,((((Q141*S141*U141)-(D141*F141*H141))*(AH141*AD141))+(D141*F141*H141))*(AL141*X141*AJ141*AN141),((((Q141*S141*U141)-(Q141*F141*H141))*(AH141*AD141))+(Q141*F141*H141))*(AL141*X141*AJ141*AN141))),"")</f>
        <v/>
      </c>
      <c r="AP141" s="149"/>
      <c r="AQ141" s="150"/>
      <c r="AX141" s="31" t="str">
        <f>IFERROR(INDEX('G-7 Rivers Data'!$AZ$3:$AZ$7,MATCH(N141,'G-7 Rivers Data'!$AY$3:$AY$7,0)),"")</f>
        <v/>
      </c>
    </row>
    <row r="142" spans="2:50" ht="14" x14ac:dyDescent="0.3">
      <c r="B142" s="531" t="str">
        <f>'F-1 Off Site River Baseline'!AN140</f>
        <v/>
      </c>
      <c r="C142" s="520" t="str">
        <f>IF(B142="","",VLOOKUP($B142,'F-1 Off Site River Baseline'!$C$9:$R$257,2,FALSE))</f>
        <v/>
      </c>
      <c r="D142" s="520" t="str">
        <f>IF(C142="","",VLOOKUP($B142,'F-1 Off Site River Baseline'!$C$9:$R$257,3,FALSE))</f>
        <v/>
      </c>
      <c r="E142" s="520" t="str">
        <f>IF(D142="","",VLOOKUP($B142,'F-1 Off Site River Baseline'!$C$9:$R$257,4,FALSE))</f>
        <v/>
      </c>
      <c r="F142" s="520" t="str">
        <f>IF(E142="","",VLOOKUP($B142,'F-1 Off Site River Baseline'!$C$9:$R$257,5,FALSE))</f>
        <v/>
      </c>
      <c r="G142" s="520" t="str">
        <f>IF(F142="","",VLOOKUP($B142,'F-1 Off Site River Baseline'!$C$9:$R$257,6,FALSE))</f>
        <v/>
      </c>
      <c r="H142" s="520" t="str">
        <f>IF(G142="","",VLOOKUP($B142,'F-1 Off Site River Baseline'!$C$9:$R$257,7,FALSE))</f>
        <v/>
      </c>
      <c r="I142" s="520" t="str">
        <f>IF(H142="","",VLOOKUP($B142,'F-1 Off Site River Baseline'!$C$9:$R$257,8,FALSE))</f>
        <v/>
      </c>
      <c r="J142" s="520" t="str">
        <f>IF(I142="","",VLOOKUP($B142,'F-1 Off Site River Baseline'!$C$9:$R$257,9,FALSE))</f>
        <v/>
      </c>
      <c r="K142" s="520" t="str">
        <f>IF(J142="","",VLOOKUP($B142,'F-1 Off Site River Baseline'!$C$9:$R$257,10,FALSE))</f>
        <v/>
      </c>
      <c r="L142" s="520" t="str">
        <f>IF(B142="","",VLOOKUP($B142,'C-1 Site River Baseline'!$C$9:$R$257,15,FALSE))</f>
        <v/>
      </c>
      <c r="M142" s="524" t="str">
        <f>IF(L142="","",VLOOKUP($B142,'F-1 Off Site River Baseline'!$C$9:$R$257,16,FALSE))</f>
        <v/>
      </c>
      <c r="N142" s="418" t="str">
        <f t="shared" si="20"/>
        <v/>
      </c>
      <c r="O142" s="498" t="str">
        <f t="shared" si="21"/>
        <v/>
      </c>
      <c r="P142" s="499" t="str">
        <f>IF(C142="","",IF(AND(LEFT(C142,55)&lt;&gt;LEFT(N142,55),O142="High - High"),"Error - Not like for like ▲",IF(AND(F142=S142,H142&gt;U142),"Error - Can not reduce condition ▲",IF(AND(F142=S142,H142=U142,AJ142='F-1 Off Site River Baseline'!N140,'F-1 Off Site River Baseline'!P140=AL142),"Error - No enhancement ▲",IF(AND(C142&lt;&gt;N142,F142&lt;S142),"Lower Distinctiveness Habitat"&amp;" - "&amp;T142,G142&amp;" - "&amp;T142)))))</f>
        <v/>
      </c>
      <c r="Q142" s="505" t="str">
        <f>IF(N142="","",VLOOKUP(B142,'F-1 Off Site River Baseline'!$C$10:$AA$257,19,FALSE))</f>
        <v/>
      </c>
      <c r="R142" s="498" t="str">
        <f>IF(N142="","",VLOOKUP(N142,'G-7 Rivers Data'!$B$2:$G$8,2,FALSE))</f>
        <v/>
      </c>
      <c r="S142" s="499" t="str">
        <f>IFERROR(VLOOKUP(R142,'G-7 Rivers Data'!$C$4:$D$8,2,FALSE),"")</f>
        <v/>
      </c>
      <c r="T142" s="145"/>
      <c r="U142" s="499" t="str">
        <f>IFERROR(INDEX('G-7 Rivers Data'!$H$4:$L$8,MATCH(N142,'G-7 Rivers Data'!$B$4:$B$8,0),MATCH(T142,'G-7 Rivers Data'!$H$3:$L$3,0)),"")</f>
        <v/>
      </c>
      <c r="V142" s="154"/>
      <c r="W142" s="520" t="str">
        <f>IF(V142="","",IF(VLOOKUP(V142,'G-7 Rivers Data'!$AG$4:$AI$9,2,FALSE)=0,"Spatial Data Missing ⚠",VLOOKUP(V142,'G-7 Rivers Data'!$AG$4:$AI$9,2,FALSE)))</f>
        <v/>
      </c>
      <c r="X142" s="524" t="str">
        <f>IF(V142="","",IF(VLOOKUP(V142,'G-7 Rivers Data'!$AG$4:$AI$9,3,FALSE)=0,"Spatial Data Missing ⚠",VLOOKUP(V142,'G-7 Rivers Data'!$AG$4:$AI$9,3,FALSE)))</f>
        <v/>
      </c>
      <c r="Y142" s="537" t="str">
        <f>IFERROR(IF(OR(LEFT(P142,5)="Error ▲",LEFT(O142,5)="Error ▲"),"Check Data ⚠",IF(F142&lt;S142,'G-7 Rivers Data'!$R$3,INDEX('G-7 Rivers Data'!$U$5:$Y$9,MATCH(G142,'G-7 Rivers Data'!$T$5:$T$9,0),MATCH(T142,'G-7 Rivers Data'!$U$4:$Y$4,0)))),"")</f>
        <v/>
      </c>
      <c r="Z142" s="203"/>
      <c r="AA142" s="203"/>
      <c r="AB142" s="534" t="str">
        <f t="shared" si="16"/>
        <v/>
      </c>
      <c r="AC142" s="521" t="str">
        <f t="shared" si="17"/>
        <v/>
      </c>
      <c r="AD142" s="564" t="str">
        <f>IFERROR(IF(AC142="Check Data ⚠","Check Data ⚠",VLOOKUP(AC142,'G-4 Temporal multipliers'!$A$4:$C$37,3,FALSE)),"")</f>
        <v/>
      </c>
      <c r="AE142" s="537" t="str">
        <f>IF(N142="","",VLOOKUP(N142,'G-7 Rivers Data'!$B$4:$G$8,5,FALSE))</f>
        <v/>
      </c>
      <c r="AF142" s="520" t="str">
        <f t="shared" si="18"/>
        <v/>
      </c>
      <c r="AG142" s="520" t="str">
        <f t="shared" si="22"/>
        <v/>
      </c>
      <c r="AH142" s="524" t="str">
        <f t="shared" si="19"/>
        <v/>
      </c>
      <c r="AI142" s="145"/>
      <c r="AJ142" s="499" t="str">
        <f>IF(AI142="","",IF(VLOOKUP(AI142,'G-7 Rivers Data'!$AA$4:$AB$7,2,FALSE)=0,"Spatial Data Missing ⚠",VLOOKUP(AI142,'G-7 Rivers Data'!$AA$4:$AB$7,2,FALSE)))</f>
        <v/>
      </c>
      <c r="AK142" s="155"/>
      <c r="AL142" s="536" t="str">
        <f>IF(AK142="","",IF(VLOOKUP(AK142,'G-7 Rivers Data'!$AD$4:$AE$8,2,FALSE)=0,"Spatial Data Missing ⚠",VLOOKUP(AK142,'G-7 Rivers Data'!$AD$4:$AE$8,2,FALSE)))</f>
        <v/>
      </c>
      <c r="AM142" s="154"/>
      <c r="AN142" s="524" t="str">
        <f>IF(AM142="","",VLOOKUP(AM142,'G-7 Rivers Data'!$AO$4:$AP$7,2,FALSE))</f>
        <v/>
      </c>
      <c r="AO142" s="545" t="str">
        <f t="shared" si="23"/>
        <v/>
      </c>
      <c r="AP142" s="149"/>
      <c r="AQ142" s="150"/>
      <c r="AX142" s="31" t="str">
        <f>IFERROR(INDEX('G-7 Rivers Data'!$AZ$3:$AZ$7,MATCH(N142,'G-7 Rivers Data'!$AY$3:$AY$7,0)),"")</f>
        <v/>
      </c>
    </row>
    <row r="143" spans="2:50" ht="14" x14ac:dyDescent="0.3">
      <c r="B143" s="531" t="str">
        <f>'F-1 Off Site River Baseline'!AN141</f>
        <v/>
      </c>
      <c r="C143" s="520" t="str">
        <f>IF(B143="","",VLOOKUP($B143,'F-1 Off Site River Baseline'!$C$9:$R$257,2,FALSE))</f>
        <v/>
      </c>
      <c r="D143" s="520" t="str">
        <f>IF(C143="","",VLOOKUP($B143,'F-1 Off Site River Baseline'!$C$9:$R$257,3,FALSE))</f>
        <v/>
      </c>
      <c r="E143" s="520" t="str">
        <f>IF(D143="","",VLOOKUP($B143,'F-1 Off Site River Baseline'!$C$9:$R$257,4,FALSE))</f>
        <v/>
      </c>
      <c r="F143" s="520" t="str">
        <f>IF(E143="","",VLOOKUP($B143,'F-1 Off Site River Baseline'!$C$9:$R$257,5,FALSE))</f>
        <v/>
      </c>
      <c r="G143" s="520" t="str">
        <f>IF(F143="","",VLOOKUP($B143,'F-1 Off Site River Baseline'!$C$9:$R$257,6,FALSE))</f>
        <v/>
      </c>
      <c r="H143" s="520" t="str">
        <f>IF(G143="","",VLOOKUP($B143,'F-1 Off Site River Baseline'!$C$9:$R$257,7,FALSE))</f>
        <v/>
      </c>
      <c r="I143" s="520" t="str">
        <f>IF(H143="","",VLOOKUP($B143,'F-1 Off Site River Baseline'!$C$9:$R$257,8,FALSE))</f>
        <v/>
      </c>
      <c r="J143" s="520" t="str">
        <f>IF(I143="","",VLOOKUP($B143,'F-1 Off Site River Baseline'!$C$9:$R$257,9,FALSE))</f>
        <v/>
      </c>
      <c r="K143" s="520" t="str">
        <f>IF(J143="","",VLOOKUP($B143,'F-1 Off Site River Baseline'!$C$9:$R$257,10,FALSE))</f>
        <v/>
      </c>
      <c r="L143" s="520" t="str">
        <f>IF(B143="","",VLOOKUP($B143,'C-1 Site River Baseline'!$C$9:$R$257,15,FALSE))</f>
        <v/>
      </c>
      <c r="M143" s="524" t="str">
        <f>IF(L143="","",VLOOKUP($B143,'F-1 Off Site River Baseline'!$C$9:$R$257,16,FALSE))</f>
        <v/>
      </c>
      <c r="N143" s="418" t="str">
        <f t="shared" si="20"/>
        <v/>
      </c>
      <c r="O143" s="498" t="str">
        <f t="shared" si="21"/>
        <v/>
      </c>
      <c r="P143" s="499" t="str">
        <f>IF(C143="","",IF(AND(LEFT(C143,55)&lt;&gt;LEFT(N143,55),O143="High - High"),"Error - Not like for like ▲",IF(AND(F143=S143,H143&gt;U143),"Error - Can not reduce condition ▲",IF(AND(F143=S143,H143=U143,AJ143='F-1 Off Site River Baseline'!N141,'F-1 Off Site River Baseline'!P141=AL143),"Error - No enhancement ▲",IF(AND(C143&lt;&gt;N143,F143&lt;S143),"Lower Distinctiveness Habitat"&amp;" - "&amp;T143,G143&amp;" - "&amp;T143)))))</f>
        <v/>
      </c>
      <c r="Q143" s="505" t="str">
        <f>IF(N143="","",VLOOKUP(B143,'F-1 Off Site River Baseline'!$C$10:$AA$257,19,FALSE))</f>
        <v/>
      </c>
      <c r="R143" s="498" t="str">
        <f>IF(N143="","",VLOOKUP(N143,'G-7 Rivers Data'!$B$2:$G$8,2,FALSE))</f>
        <v/>
      </c>
      <c r="S143" s="499" t="str">
        <f>IFERROR(VLOOKUP(R143,'G-7 Rivers Data'!$C$4:$D$8,2,FALSE),"")</f>
        <v/>
      </c>
      <c r="T143" s="145"/>
      <c r="U143" s="499" t="str">
        <f>IFERROR(INDEX('G-7 Rivers Data'!$H$4:$L$8,MATCH(N143,'G-7 Rivers Data'!$B$4:$B$8,0),MATCH(T143,'G-7 Rivers Data'!$H$3:$L$3,0)),"")</f>
        <v/>
      </c>
      <c r="V143" s="154"/>
      <c r="W143" s="520" t="str">
        <f>IF(V143="","",IF(VLOOKUP(V143,'G-7 Rivers Data'!$AG$4:$AI$9,2,FALSE)=0,"Spatial Data Missing ⚠",VLOOKUP(V143,'G-7 Rivers Data'!$AG$4:$AI$9,2,FALSE)))</f>
        <v/>
      </c>
      <c r="X143" s="524" t="str">
        <f>IF(V143="","",IF(VLOOKUP(V143,'G-7 Rivers Data'!$AG$4:$AI$9,3,FALSE)=0,"Spatial Data Missing ⚠",VLOOKUP(V143,'G-7 Rivers Data'!$AG$4:$AI$9,3,FALSE)))</f>
        <v/>
      </c>
      <c r="Y143" s="537" t="str">
        <f>IFERROR(IF(OR(LEFT(P143,5)="Error ▲",LEFT(O143,5)="Error ▲"),"Check Data ⚠",IF(F143&lt;S143,'G-7 Rivers Data'!$R$3,INDEX('G-7 Rivers Data'!$U$5:$Y$9,MATCH(G143,'G-7 Rivers Data'!$T$5:$T$9,0),MATCH(T143,'G-7 Rivers Data'!$U$4:$Y$4,0)))),"")</f>
        <v/>
      </c>
      <c r="Z143" s="203"/>
      <c r="AA143" s="203"/>
      <c r="AB143" s="534" t="str">
        <f t="shared" si="16"/>
        <v/>
      </c>
      <c r="AC143" s="521" t="str">
        <f t="shared" si="17"/>
        <v/>
      </c>
      <c r="AD143" s="564" t="str">
        <f>IFERROR(IF(AC143="Check Data ⚠","Check Data ⚠",VLOOKUP(AC143,'G-4 Temporal multipliers'!$A$4:$C$37,3,FALSE)),"")</f>
        <v/>
      </c>
      <c r="AE143" s="537" t="str">
        <f>IF(N143="","",VLOOKUP(N143,'G-7 Rivers Data'!$B$4:$G$8,5,FALSE))</f>
        <v/>
      </c>
      <c r="AF143" s="520" t="str">
        <f t="shared" si="18"/>
        <v/>
      </c>
      <c r="AG143" s="520" t="str">
        <f t="shared" si="22"/>
        <v/>
      </c>
      <c r="AH143" s="524" t="str">
        <f t="shared" si="19"/>
        <v/>
      </c>
      <c r="AI143" s="145"/>
      <c r="AJ143" s="499" t="str">
        <f>IF(AI143="","",IF(VLOOKUP(AI143,'G-7 Rivers Data'!$AA$4:$AB$7,2,FALSE)=0,"Spatial Data Missing ⚠",VLOOKUP(AI143,'G-7 Rivers Data'!$AA$4:$AB$7,2,FALSE)))</f>
        <v/>
      </c>
      <c r="AK143" s="155"/>
      <c r="AL143" s="536" t="str">
        <f>IF(AK143="","",IF(VLOOKUP(AK143,'G-7 Rivers Data'!$AD$4:$AE$8,2,FALSE)=0,"Spatial Data Missing ⚠",VLOOKUP(AK143,'G-7 Rivers Data'!$AD$4:$AE$8,2,FALSE)))</f>
        <v/>
      </c>
      <c r="AM143" s="154"/>
      <c r="AN143" s="524" t="str">
        <f>IF(AM143="","",VLOOKUP(AM143,'G-7 Rivers Data'!$AO$4:$AP$7,2,FALSE))</f>
        <v/>
      </c>
      <c r="AO143" s="545" t="str">
        <f t="shared" si="23"/>
        <v/>
      </c>
      <c r="AP143" s="149"/>
      <c r="AQ143" s="150"/>
      <c r="AX143" s="31" t="str">
        <f>IFERROR(INDEX('G-7 Rivers Data'!$AZ$3:$AZ$7,MATCH(N143,'G-7 Rivers Data'!$AY$3:$AY$7,0)),"")</f>
        <v/>
      </c>
    </row>
    <row r="144" spans="2:50" ht="14" x14ac:dyDescent="0.3">
      <c r="B144" s="531" t="str">
        <f>'F-1 Off Site River Baseline'!AN142</f>
        <v/>
      </c>
      <c r="C144" s="520" t="str">
        <f>IF(B144="","",VLOOKUP($B144,'F-1 Off Site River Baseline'!$C$9:$R$257,2,FALSE))</f>
        <v/>
      </c>
      <c r="D144" s="520" t="str">
        <f>IF(C144="","",VLOOKUP($B144,'F-1 Off Site River Baseline'!$C$9:$R$257,3,FALSE))</f>
        <v/>
      </c>
      <c r="E144" s="520" t="str">
        <f>IF(D144="","",VLOOKUP($B144,'F-1 Off Site River Baseline'!$C$9:$R$257,4,FALSE))</f>
        <v/>
      </c>
      <c r="F144" s="520" t="str">
        <f>IF(E144="","",VLOOKUP($B144,'F-1 Off Site River Baseline'!$C$9:$R$257,5,FALSE))</f>
        <v/>
      </c>
      <c r="G144" s="520" t="str">
        <f>IF(F144="","",VLOOKUP($B144,'F-1 Off Site River Baseline'!$C$9:$R$257,6,FALSE))</f>
        <v/>
      </c>
      <c r="H144" s="520" t="str">
        <f>IF(G144="","",VLOOKUP($B144,'F-1 Off Site River Baseline'!$C$9:$R$257,7,FALSE))</f>
        <v/>
      </c>
      <c r="I144" s="520" t="str">
        <f>IF(H144="","",VLOOKUP($B144,'F-1 Off Site River Baseline'!$C$9:$R$257,8,FALSE))</f>
        <v/>
      </c>
      <c r="J144" s="520" t="str">
        <f>IF(I144="","",VLOOKUP($B144,'F-1 Off Site River Baseline'!$C$9:$R$257,9,FALSE))</f>
        <v/>
      </c>
      <c r="K144" s="520" t="str">
        <f>IF(J144="","",VLOOKUP($B144,'F-1 Off Site River Baseline'!$C$9:$R$257,10,FALSE))</f>
        <v/>
      </c>
      <c r="L144" s="520" t="str">
        <f>IF(B144="","",VLOOKUP($B144,'C-1 Site River Baseline'!$C$9:$R$257,15,FALSE))</f>
        <v/>
      </c>
      <c r="M144" s="524" t="str">
        <f>IF(L144="","",VLOOKUP($B144,'F-1 Off Site River Baseline'!$C$9:$R$257,16,FALSE))</f>
        <v/>
      </c>
      <c r="N144" s="418" t="str">
        <f t="shared" si="20"/>
        <v/>
      </c>
      <c r="O144" s="498" t="str">
        <f t="shared" si="21"/>
        <v/>
      </c>
      <c r="P144" s="499" t="str">
        <f>IF(C144="","",IF(AND(LEFT(C144,55)&lt;&gt;LEFT(N144,55),O144="High - High"),"Error - Not like for like ▲",IF(AND(F144=S144,H144&gt;U144),"Error - Can not reduce condition ▲",IF(AND(F144=S144,H144=U144,AJ144='F-1 Off Site River Baseline'!N142,'F-1 Off Site River Baseline'!P142=AL144),"Error - No enhancement ▲",IF(AND(C144&lt;&gt;N144,F144&lt;S144),"Lower Distinctiveness Habitat"&amp;" - "&amp;T144,G144&amp;" - "&amp;T144)))))</f>
        <v/>
      </c>
      <c r="Q144" s="505" t="str">
        <f>IF(N144="","",VLOOKUP(B144,'F-1 Off Site River Baseline'!$C$10:$AA$257,19,FALSE))</f>
        <v/>
      </c>
      <c r="R144" s="498" t="str">
        <f>IF(N144="","",VLOOKUP(N144,'G-7 Rivers Data'!$B$2:$G$8,2,FALSE))</f>
        <v/>
      </c>
      <c r="S144" s="499" t="str">
        <f>IFERROR(VLOOKUP(R144,'G-7 Rivers Data'!$C$4:$D$8,2,FALSE),"")</f>
        <v/>
      </c>
      <c r="T144" s="145"/>
      <c r="U144" s="499" t="str">
        <f>IFERROR(INDEX('G-7 Rivers Data'!$H$4:$L$8,MATCH(N144,'G-7 Rivers Data'!$B$4:$B$8,0),MATCH(T144,'G-7 Rivers Data'!$H$3:$L$3,0)),"")</f>
        <v/>
      </c>
      <c r="V144" s="154"/>
      <c r="W144" s="520" t="str">
        <f>IF(V144="","",IF(VLOOKUP(V144,'G-7 Rivers Data'!$AG$4:$AI$9,2,FALSE)=0,"Spatial Data Missing ⚠",VLOOKUP(V144,'G-7 Rivers Data'!$AG$4:$AI$9,2,FALSE)))</f>
        <v/>
      </c>
      <c r="X144" s="524" t="str">
        <f>IF(V144="","",IF(VLOOKUP(V144,'G-7 Rivers Data'!$AG$4:$AI$9,3,FALSE)=0,"Spatial Data Missing ⚠",VLOOKUP(V144,'G-7 Rivers Data'!$AG$4:$AI$9,3,FALSE)))</f>
        <v/>
      </c>
      <c r="Y144" s="537" t="str">
        <f>IFERROR(IF(OR(LEFT(P144,5)="Error ▲",LEFT(O144,5)="Error ▲"),"Check Data ⚠",IF(F144&lt;S144,'G-7 Rivers Data'!$R$3,INDEX('G-7 Rivers Data'!$U$5:$Y$9,MATCH(G144,'G-7 Rivers Data'!$T$5:$T$9,0),MATCH(T144,'G-7 Rivers Data'!$U$4:$Y$4,0)))),"")</f>
        <v/>
      </c>
      <c r="Z144" s="203"/>
      <c r="AA144" s="203"/>
      <c r="AB144" s="534" t="str">
        <f t="shared" si="16"/>
        <v/>
      </c>
      <c r="AC144" s="521" t="str">
        <f t="shared" si="17"/>
        <v/>
      </c>
      <c r="AD144" s="564" t="str">
        <f>IFERROR(IF(AC144="Check Data ⚠","Check Data ⚠",VLOOKUP(AC144,'G-4 Temporal multipliers'!$A$4:$C$37,3,FALSE)),"")</f>
        <v/>
      </c>
      <c r="AE144" s="537" t="str">
        <f>IF(N144="","",VLOOKUP(N144,'G-7 Rivers Data'!$B$4:$G$8,5,FALSE))</f>
        <v/>
      </c>
      <c r="AF144" s="520" t="str">
        <f t="shared" si="18"/>
        <v/>
      </c>
      <c r="AG144" s="520" t="str">
        <f t="shared" si="22"/>
        <v/>
      </c>
      <c r="AH144" s="524" t="str">
        <f t="shared" si="19"/>
        <v/>
      </c>
      <c r="AI144" s="145"/>
      <c r="AJ144" s="499" t="str">
        <f>IF(AI144="","",IF(VLOOKUP(AI144,'G-7 Rivers Data'!$AA$4:$AB$7,2,FALSE)=0,"Spatial Data Missing ⚠",VLOOKUP(AI144,'G-7 Rivers Data'!$AA$4:$AB$7,2,FALSE)))</f>
        <v/>
      </c>
      <c r="AK144" s="155"/>
      <c r="AL144" s="536" t="str">
        <f>IF(AK144="","",IF(VLOOKUP(AK144,'G-7 Rivers Data'!$AD$4:$AE$8,2,FALSE)=0,"Spatial Data Missing ⚠",VLOOKUP(AK144,'G-7 Rivers Data'!$AD$4:$AE$8,2,FALSE)))</f>
        <v/>
      </c>
      <c r="AM144" s="154"/>
      <c r="AN144" s="524" t="str">
        <f>IF(AM144="","",VLOOKUP(AM144,'G-7 Rivers Data'!$AO$4:$AP$7,2,FALSE))</f>
        <v/>
      </c>
      <c r="AO144" s="545" t="str">
        <f t="shared" si="23"/>
        <v/>
      </c>
      <c r="AP144" s="149"/>
      <c r="AQ144" s="150"/>
      <c r="AX144" s="31" t="str">
        <f>IFERROR(INDEX('G-7 Rivers Data'!$AZ$3:$AZ$7,MATCH(N144,'G-7 Rivers Data'!$AY$3:$AY$7,0)),"")</f>
        <v/>
      </c>
    </row>
    <row r="145" spans="2:50" ht="14" x14ac:dyDescent="0.3">
      <c r="B145" s="531" t="str">
        <f>'F-1 Off Site River Baseline'!AN143</f>
        <v/>
      </c>
      <c r="C145" s="520" t="str">
        <f>IF(B145="","",VLOOKUP($B145,'F-1 Off Site River Baseline'!$C$9:$R$257,2,FALSE))</f>
        <v/>
      </c>
      <c r="D145" s="520" t="str">
        <f>IF(C145="","",VLOOKUP($B145,'F-1 Off Site River Baseline'!$C$9:$R$257,3,FALSE))</f>
        <v/>
      </c>
      <c r="E145" s="520" t="str">
        <f>IF(D145="","",VLOOKUP($B145,'F-1 Off Site River Baseline'!$C$9:$R$257,4,FALSE))</f>
        <v/>
      </c>
      <c r="F145" s="520" t="str">
        <f>IF(E145="","",VLOOKUP($B145,'F-1 Off Site River Baseline'!$C$9:$R$257,5,FALSE))</f>
        <v/>
      </c>
      <c r="G145" s="520" t="str">
        <f>IF(F145="","",VLOOKUP($B145,'F-1 Off Site River Baseline'!$C$9:$R$257,6,FALSE))</f>
        <v/>
      </c>
      <c r="H145" s="520" t="str">
        <f>IF(G145="","",VLOOKUP($B145,'F-1 Off Site River Baseline'!$C$9:$R$257,7,FALSE))</f>
        <v/>
      </c>
      <c r="I145" s="520" t="str">
        <f>IF(H145="","",VLOOKUP($B145,'F-1 Off Site River Baseline'!$C$9:$R$257,8,FALSE))</f>
        <v/>
      </c>
      <c r="J145" s="520" t="str">
        <f>IF(I145="","",VLOOKUP($B145,'F-1 Off Site River Baseline'!$C$9:$R$257,9,FALSE))</f>
        <v/>
      </c>
      <c r="K145" s="520" t="str">
        <f>IF(J145="","",VLOOKUP($B145,'F-1 Off Site River Baseline'!$C$9:$R$257,10,FALSE))</f>
        <v/>
      </c>
      <c r="L145" s="520" t="str">
        <f>IF(B145="","",VLOOKUP($B145,'C-1 Site River Baseline'!$C$9:$R$257,15,FALSE))</f>
        <v/>
      </c>
      <c r="M145" s="524" t="str">
        <f>IF(L145="","",VLOOKUP($B145,'F-1 Off Site River Baseline'!$C$9:$R$257,16,FALSE))</f>
        <v/>
      </c>
      <c r="N145" s="418" t="str">
        <f t="shared" si="20"/>
        <v/>
      </c>
      <c r="O145" s="498" t="str">
        <f t="shared" si="21"/>
        <v/>
      </c>
      <c r="P145" s="499" t="str">
        <f>IF(C145="","",IF(AND(LEFT(C145,55)&lt;&gt;LEFT(N145,55),O145="High - High"),"Error - Not like for like ▲",IF(AND(F145=S145,H145&gt;U145),"Error - Can not reduce condition ▲",IF(AND(F145=S145,H145=U145,AJ145='F-1 Off Site River Baseline'!N143,'F-1 Off Site River Baseline'!P143=AL145),"Error - No enhancement ▲",IF(AND(C145&lt;&gt;N145,F145&lt;S145),"Lower Distinctiveness Habitat"&amp;" - "&amp;T145,G145&amp;" - "&amp;T145)))))</f>
        <v/>
      </c>
      <c r="Q145" s="505" t="str">
        <f>IF(N145="","",VLOOKUP(B145,'F-1 Off Site River Baseline'!$C$10:$AA$257,19,FALSE))</f>
        <v/>
      </c>
      <c r="R145" s="498" t="str">
        <f>IF(N145="","",VLOOKUP(N145,'G-7 Rivers Data'!$B$2:$G$8,2,FALSE))</f>
        <v/>
      </c>
      <c r="S145" s="499" t="str">
        <f>IFERROR(VLOOKUP(R145,'G-7 Rivers Data'!$C$4:$D$8,2,FALSE),"")</f>
        <v/>
      </c>
      <c r="T145" s="145"/>
      <c r="U145" s="499" t="str">
        <f>IFERROR(INDEX('G-7 Rivers Data'!$H$4:$L$8,MATCH(N145,'G-7 Rivers Data'!$B$4:$B$8,0),MATCH(T145,'G-7 Rivers Data'!$H$3:$L$3,0)),"")</f>
        <v/>
      </c>
      <c r="V145" s="154"/>
      <c r="W145" s="520" t="str">
        <f>IF(V145="","",IF(VLOOKUP(V145,'G-7 Rivers Data'!$AG$4:$AI$9,2,FALSE)=0,"Spatial Data Missing ⚠",VLOOKUP(V145,'G-7 Rivers Data'!$AG$4:$AI$9,2,FALSE)))</f>
        <v/>
      </c>
      <c r="X145" s="524" t="str">
        <f>IF(V145="","",IF(VLOOKUP(V145,'G-7 Rivers Data'!$AG$4:$AI$9,3,FALSE)=0,"Spatial Data Missing ⚠",VLOOKUP(V145,'G-7 Rivers Data'!$AG$4:$AI$9,3,FALSE)))</f>
        <v/>
      </c>
      <c r="Y145" s="537" t="str">
        <f>IFERROR(IF(OR(LEFT(P145,5)="Error ▲",LEFT(O145,5)="Error ▲"),"Check Data ⚠",IF(F145&lt;S145,'G-7 Rivers Data'!$R$3,INDEX('G-7 Rivers Data'!$U$5:$Y$9,MATCH(G145,'G-7 Rivers Data'!$T$5:$T$9,0),MATCH(T145,'G-7 Rivers Data'!$U$4:$Y$4,0)))),"")</f>
        <v/>
      </c>
      <c r="Z145" s="203"/>
      <c r="AA145" s="203"/>
      <c r="AB145" s="534" t="str">
        <f t="shared" si="16"/>
        <v/>
      </c>
      <c r="AC145" s="521" t="str">
        <f t="shared" si="17"/>
        <v/>
      </c>
      <c r="AD145" s="564" t="str">
        <f>IFERROR(IF(AC145="Check Data ⚠","Check Data ⚠",VLOOKUP(AC145,'G-4 Temporal multipliers'!$A$4:$C$37,3,FALSE)),"")</f>
        <v/>
      </c>
      <c r="AE145" s="537" t="str">
        <f>IF(N145="","",VLOOKUP(N145,'G-7 Rivers Data'!$B$4:$G$8,5,FALSE))</f>
        <v/>
      </c>
      <c r="AF145" s="520" t="str">
        <f t="shared" si="18"/>
        <v/>
      </c>
      <c r="AG145" s="520" t="str">
        <f t="shared" si="22"/>
        <v/>
      </c>
      <c r="AH145" s="524" t="str">
        <f t="shared" si="19"/>
        <v/>
      </c>
      <c r="AI145" s="145"/>
      <c r="AJ145" s="499" t="str">
        <f>IF(AI145="","",IF(VLOOKUP(AI145,'G-7 Rivers Data'!$AA$4:$AB$7,2,FALSE)=0,"Spatial Data Missing ⚠",VLOOKUP(AI145,'G-7 Rivers Data'!$AA$4:$AB$7,2,FALSE)))</f>
        <v/>
      </c>
      <c r="AK145" s="155"/>
      <c r="AL145" s="536" t="str">
        <f>IF(AK145="","",IF(VLOOKUP(AK145,'G-7 Rivers Data'!$AD$4:$AE$8,2,FALSE)=0,"Spatial Data Missing ⚠",VLOOKUP(AK145,'G-7 Rivers Data'!$AD$4:$AE$8,2,FALSE)))</f>
        <v/>
      </c>
      <c r="AM145" s="154"/>
      <c r="AN145" s="524" t="str">
        <f>IF(AM145="","",VLOOKUP(AM145,'G-7 Rivers Data'!$AO$4:$AP$7,2,FALSE))</f>
        <v/>
      </c>
      <c r="AO145" s="545" t="str">
        <f t="shared" si="23"/>
        <v/>
      </c>
      <c r="AP145" s="149"/>
      <c r="AQ145" s="150"/>
      <c r="AX145" s="31" t="str">
        <f>IFERROR(INDEX('G-7 Rivers Data'!$AZ$3:$AZ$7,MATCH(N145,'G-7 Rivers Data'!$AY$3:$AY$7,0)),"")</f>
        <v/>
      </c>
    </row>
    <row r="146" spans="2:50" ht="14" x14ac:dyDescent="0.3">
      <c r="B146" s="531" t="str">
        <f>'F-1 Off Site River Baseline'!AN144</f>
        <v/>
      </c>
      <c r="C146" s="520" t="str">
        <f>IF(B146="","",VLOOKUP($B146,'F-1 Off Site River Baseline'!$C$9:$R$257,2,FALSE))</f>
        <v/>
      </c>
      <c r="D146" s="520" t="str">
        <f>IF(C146="","",VLOOKUP($B146,'F-1 Off Site River Baseline'!$C$9:$R$257,3,FALSE))</f>
        <v/>
      </c>
      <c r="E146" s="520" t="str">
        <f>IF(D146="","",VLOOKUP($B146,'F-1 Off Site River Baseline'!$C$9:$R$257,4,FALSE))</f>
        <v/>
      </c>
      <c r="F146" s="520" t="str">
        <f>IF(E146="","",VLOOKUP($B146,'F-1 Off Site River Baseline'!$C$9:$R$257,5,FALSE))</f>
        <v/>
      </c>
      <c r="G146" s="520" t="str">
        <f>IF(F146="","",VLOOKUP($B146,'F-1 Off Site River Baseline'!$C$9:$R$257,6,FALSE))</f>
        <v/>
      </c>
      <c r="H146" s="520" t="str">
        <f>IF(G146="","",VLOOKUP($B146,'F-1 Off Site River Baseline'!$C$9:$R$257,7,FALSE))</f>
        <v/>
      </c>
      <c r="I146" s="520" t="str">
        <f>IF(H146="","",VLOOKUP($B146,'F-1 Off Site River Baseline'!$C$9:$R$257,8,FALSE))</f>
        <v/>
      </c>
      <c r="J146" s="520" t="str">
        <f>IF(I146="","",VLOOKUP($B146,'F-1 Off Site River Baseline'!$C$9:$R$257,9,FALSE))</f>
        <v/>
      </c>
      <c r="K146" s="520" t="str">
        <f>IF(J146="","",VLOOKUP($B146,'F-1 Off Site River Baseline'!$C$9:$R$257,10,FALSE))</f>
        <v/>
      </c>
      <c r="L146" s="520" t="str">
        <f>IF(B146="","",VLOOKUP($B146,'C-1 Site River Baseline'!$C$9:$R$257,15,FALSE))</f>
        <v/>
      </c>
      <c r="M146" s="524" t="str">
        <f>IF(L146="","",VLOOKUP($B146,'F-1 Off Site River Baseline'!$C$9:$R$257,16,FALSE))</f>
        <v/>
      </c>
      <c r="N146" s="418" t="str">
        <f t="shared" si="20"/>
        <v/>
      </c>
      <c r="O146" s="498" t="str">
        <f t="shared" si="21"/>
        <v/>
      </c>
      <c r="P146" s="499" t="str">
        <f>IF(C146="","",IF(AND(LEFT(C146,55)&lt;&gt;LEFT(N146,55),O146="High - High"),"Error - Not like for like ▲",IF(AND(F146=S146,H146&gt;U146),"Error - Can not reduce condition ▲",IF(AND(F146=S146,H146=U146,AJ146='F-1 Off Site River Baseline'!N144,'F-1 Off Site River Baseline'!P144=AL146),"Error - No enhancement ▲",IF(AND(C146&lt;&gt;N146,F146&lt;S146),"Lower Distinctiveness Habitat"&amp;" - "&amp;T146,G146&amp;" - "&amp;T146)))))</f>
        <v/>
      </c>
      <c r="Q146" s="505" t="str">
        <f>IF(N146="","",VLOOKUP(B146,'F-1 Off Site River Baseline'!$C$10:$AA$257,19,FALSE))</f>
        <v/>
      </c>
      <c r="R146" s="498" t="str">
        <f>IF(N146="","",VLOOKUP(N146,'G-7 Rivers Data'!$B$2:$G$8,2,FALSE))</f>
        <v/>
      </c>
      <c r="S146" s="499" t="str">
        <f>IFERROR(VLOOKUP(R146,'G-7 Rivers Data'!$C$4:$D$8,2,FALSE),"")</f>
        <v/>
      </c>
      <c r="T146" s="145"/>
      <c r="U146" s="499" t="str">
        <f>IFERROR(INDEX('G-7 Rivers Data'!$H$4:$L$8,MATCH(N146,'G-7 Rivers Data'!$B$4:$B$8,0),MATCH(T146,'G-7 Rivers Data'!$H$3:$L$3,0)),"")</f>
        <v/>
      </c>
      <c r="V146" s="154"/>
      <c r="W146" s="520" t="str">
        <f>IF(V146="","",IF(VLOOKUP(V146,'G-7 Rivers Data'!$AG$4:$AI$9,2,FALSE)=0,"Spatial Data Missing ⚠",VLOOKUP(V146,'G-7 Rivers Data'!$AG$4:$AI$9,2,FALSE)))</f>
        <v/>
      </c>
      <c r="X146" s="524" t="str">
        <f>IF(V146="","",IF(VLOOKUP(V146,'G-7 Rivers Data'!$AG$4:$AI$9,3,FALSE)=0,"Spatial Data Missing ⚠",VLOOKUP(V146,'G-7 Rivers Data'!$AG$4:$AI$9,3,FALSE)))</f>
        <v/>
      </c>
      <c r="Y146" s="537" t="str">
        <f>IFERROR(IF(OR(LEFT(P146,5)="Error ▲",LEFT(O146,5)="Error ▲"),"Check Data ⚠",IF(F146&lt;S146,'G-7 Rivers Data'!$R$3,INDEX('G-7 Rivers Data'!$U$5:$Y$9,MATCH(G146,'G-7 Rivers Data'!$T$5:$T$9,0),MATCH(T146,'G-7 Rivers Data'!$U$4:$Y$4,0)))),"")</f>
        <v/>
      </c>
      <c r="Z146" s="203"/>
      <c r="AA146" s="203"/>
      <c r="AB146" s="534" t="str">
        <f t="shared" si="16"/>
        <v/>
      </c>
      <c r="AC146" s="521" t="str">
        <f t="shared" si="17"/>
        <v/>
      </c>
      <c r="AD146" s="564" t="str">
        <f>IFERROR(IF(AC146="Check Data ⚠","Check Data ⚠",VLOOKUP(AC146,'G-4 Temporal multipliers'!$A$4:$C$37,3,FALSE)),"")</f>
        <v/>
      </c>
      <c r="AE146" s="537" t="str">
        <f>IF(N146="","",VLOOKUP(N146,'G-7 Rivers Data'!$B$4:$G$8,5,FALSE))</f>
        <v/>
      </c>
      <c r="AF146" s="520" t="str">
        <f t="shared" si="18"/>
        <v/>
      </c>
      <c r="AG146" s="520" t="str">
        <f t="shared" si="22"/>
        <v/>
      </c>
      <c r="AH146" s="524" t="str">
        <f t="shared" si="19"/>
        <v/>
      </c>
      <c r="AI146" s="145"/>
      <c r="AJ146" s="499" t="str">
        <f>IF(AI146="","",IF(VLOOKUP(AI146,'G-7 Rivers Data'!$AA$4:$AB$7,2,FALSE)=0,"Spatial Data Missing ⚠",VLOOKUP(AI146,'G-7 Rivers Data'!$AA$4:$AB$7,2,FALSE)))</f>
        <v/>
      </c>
      <c r="AK146" s="155"/>
      <c r="AL146" s="536" t="str">
        <f>IF(AK146="","",IF(VLOOKUP(AK146,'G-7 Rivers Data'!$AD$4:$AE$8,2,FALSE)=0,"Spatial Data Missing ⚠",VLOOKUP(AK146,'G-7 Rivers Data'!$AD$4:$AE$8,2,FALSE)))</f>
        <v/>
      </c>
      <c r="AM146" s="154"/>
      <c r="AN146" s="524" t="str">
        <f>IF(AM146="","",VLOOKUP(AM146,'G-7 Rivers Data'!$AO$4:$AP$7,2,FALSE))</f>
        <v/>
      </c>
      <c r="AO146" s="545" t="str">
        <f t="shared" si="23"/>
        <v/>
      </c>
      <c r="AP146" s="149"/>
      <c r="AQ146" s="150"/>
      <c r="AX146" s="31" t="str">
        <f>IFERROR(INDEX('G-7 Rivers Data'!$AZ$3:$AZ$7,MATCH(N146,'G-7 Rivers Data'!$AY$3:$AY$7,0)),"")</f>
        <v/>
      </c>
    </row>
    <row r="147" spans="2:50" ht="14" x14ac:dyDescent="0.3">
      <c r="B147" s="531" t="str">
        <f>'F-1 Off Site River Baseline'!AN145</f>
        <v/>
      </c>
      <c r="C147" s="520" t="str">
        <f>IF(B147="","",VLOOKUP($B147,'F-1 Off Site River Baseline'!$C$9:$R$257,2,FALSE))</f>
        <v/>
      </c>
      <c r="D147" s="520" t="str">
        <f>IF(C147="","",VLOOKUP($B147,'F-1 Off Site River Baseline'!$C$9:$R$257,3,FALSE))</f>
        <v/>
      </c>
      <c r="E147" s="520" t="str">
        <f>IF(D147="","",VLOOKUP($B147,'F-1 Off Site River Baseline'!$C$9:$R$257,4,FALSE))</f>
        <v/>
      </c>
      <c r="F147" s="520" t="str">
        <f>IF(E147="","",VLOOKUP($B147,'F-1 Off Site River Baseline'!$C$9:$R$257,5,FALSE))</f>
        <v/>
      </c>
      <c r="G147" s="520" t="str">
        <f>IF(F147="","",VLOOKUP($B147,'F-1 Off Site River Baseline'!$C$9:$R$257,6,FALSE))</f>
        <v/>
      </c>
      <c r="H147" s="520" t="str">
        <f>IF(G147="","",VLOOKUP($B147,'F-1 Off Site River Baseline'!$C$9:$R$257,7,FALSE))</f>
        <v/>
      </c>
      <c r="I147" s="520" t="str">
        <f>IF(H147="","",VLOOKUP($B147,'F-1 Off Site River Baseline'!$C$9:$R$257,8,FALSE))</f>
        <v/>
      </c>
      <c r="J147" s="520" t="str">
        <f>IF(I147="","",VLOOKUP($B147,'F-1 Off Site River Baseline'!$C$9:$R$257,9,FALSE))</f>
        <v/>
      </c>
      <c r="K147" s="520" t="str">
        <f>IF(J147="","",VLOOKUP($B147,'F-1 Off Site River Baseline'!$C$9:$R$257,10,FALSE))</f>
        <v/>
      </c>
      <c r="L147" s="520" t="str">
        <f>IF(B147="","",VLOOKUP($B147,'C-1 Site River Baseline'!$C$9:$R$257,15,FALSE))</f>
        <v/>
      </c>
      <c r="M147" s="524" t="str">
        <f>IF(L147="","",VLOOKUP($B147,'F-1 Off Site River Baseline'!$C$9:$R$257,16,FALSE))</f>
        <v/>
      </c>
      <c r="N147" s="418" t="str">
        <f t="shared" si="20"/>
        <v/>
      </c>
      <c r="O147" s="498" t="str">
        <f t="shared" si="21"/>
        <v/>
      </c>
      <c r="P147" s="499" t="str">
        <f>IF(C147="","",IF(AND(LEFT(C147,55)&lt;&gt;LEFT(N147,55),O147="High - High"),"Error - Not like for like ▲",IF(AND(F147=S147,H147&gt;U147),"Error - Can not reduce condition ▲",IF(AND(F147=S147,H147=U147,AJ147='F-1 Off Site River Baseline'!N145,'F-1 Off Site River Baseline'!P145=AL147),"Error - No enhancement ▲",IF(AND(C147&lt;&gt;N147,F147&lt;S147),"Lower Distinctiveness Habitat"&amp;" - "&amp;T147,G147&amp;" - "&amp;T147)))))</f>
        <v/>
      </c>
      <c r="Q147" s="505" t="str">
        <f>IF(N147="","",VLOOKUP(B147,'F-1 Off Site River Baseline'!$C$10:$AA$257,19,FALSE))</f>
        <v/>
      </c>
      <c r="R147" s="498" t="str">
        <f>IF(N147="","",VLOOKUP(N147,'G-7 Rivers Data'!$B$2:$G$8,2,FALSE))</f>
        <v/>
      </c>
      <c r="S147" s="499" t="str">
        <f>IFERROR(VLOOKUP(R147,'G-7 Rivers Data'!$C$4:$D$8,2,FALSE),"")</f>
        <v/>
      </c>
      <c r="T147" s="145"/>
      <c r="U147" s="499" t="str">
        <f>IFERROR(INDEX('G-7 Rivers Data'!$H$4:$L$8,MATCH(N147,'G-7 Rivers Data'!$B$4:$B$8,0),MATCH(T147,'G-7 Rivers Data'!$H$3:$L$3,0)),"")</f>
        <v/>
      </c>
      <c r="V147" s="154"/>
      <c r="W147" s="520" t="str">
        <f>IF(V147="","",IF(VLOOKUP(V147,'G-7 Rivers Data'!$AG$4:$AI$9,2,FALSE)=0,"Spatial Data Missing ⚠",VLOOKUP(V147,'G-7 Rivers Data'!$AG$4:$AI$9,2,FALSE)))</f>
        <v/>
      </c>
      <c r="X147" s="524" t="str">
        <f>IF(V147="","",IF(VLOOKUP(V147,'G-7 Rivers Data'!$AG$4:$AI$9,3,FALSE)=0,"Spatial Data Missing ⚠",VLOOKUP(V147,'G-7 Rivers Data'!$AG$4:$AI$9,3,FALSE)))</f>
        <v/>
      </c>
      <c r="Y147" s="537" t="str">
        <f>IFERROR(IF(OR(LEFT(P147,5)="Error ▲",LEFT(O147,5)="Error ▲"),"Check Data ⚠",IF(F147&lt;S147,'G-7 Rivers Data'!$R$3,INDEX('G-7 Rivers Data'!$U$5:$Y$9,MATCH(G147,'G-7 Rivers Data'!$T$5:$T$9,0),MATCH(T147,'G-7 Rivers Data'!$U$4:$Y$4,0)))),"")</f>
        <v/>
      </c>
      <c r="Z147" s="203"/>
      <c r="AA147" s="203"/>
      <c r="AB147" s="534" t="str">
        <f t="shared" si="16"/>
        <v/>
      </c>
      <c r="AC147" s="521" t="str">
        <f t="shared" si="17"/>
        <v/>
      </c>
      <c r="AD147" s="564" t="str">
        <f>IFERROR(IF(AC147="Check Data ⚠","Check Data ⚠",VLOOKUP(AC147,'G-4 Temporal multipliers'!$A$4:$C$37,3,FALSE)),"")</f>
        <v/>
      </c>
      <c r="AE147" s="537" t="str">
        <f>IF(N147="","",VLOOKUP(N147,'G-7 Rivers Data'!$B$4:$G$8,5,FALSE))</f>
        <v/>
      </c>
      <c r="AF147" s="520" t="str">
        <f t="shared" si="18"/>
        <v/>
      </c>
      <c r="AG147" s="520" t="str">
        <f t="shared" si="22"/>
        <v/>
      </c>
      <c r="AH147" s="524" t="str">
        <f t="shared" si="19"/>
        <v/>
      </c>
      <c r="AI147" s="145"/>
      <c r="AJ147" s="499" t="str">
        <f>IF(AI147="","",IF(VLOOKUP(AI147,'G-7 Rivers Data'!$AA$4:$AB$7,2,FALSE)=0,"Spatial Data Missing ⚠",VLOOKUP(AI147,'G-7 Rivers Data'!$AA$4:$AB$7,2,FALSE)))</f>
        <v/>
      </c>
      <c r="AK147" s="155"/>
      <c r="AL147" s="536" t="str">
        <f>IF(AK147="","",IF(VLOOKUP(AK147,'G-7 Rivers Data'!$AD$4:$AE$8,2,FALSE)=0,"Spatial Data Missing ⚠",VLOOKUP(AK147,'G-7 Rivers Data'!$AD$4:$AE$8,2,FALSE)))</f>
        <v/>
      </c>
      <c r="AM147" s="154"/>
      <c r="AN147" s="524" t="str">
        <f>IF(AM147="","",VLOOKUP(AM147,'G-7 Rivers Data'!$AO$4:$AP$7,2,FALSE))</f>
        <v/>
      </c>
      <c r="AO147" s="545" t="str">
        <f t="shared" si="23"/>
        <v/>
      </c>
      <c r="AP147" s="149"/>
      <c r="AQ147" s="150"/>
      <c r="AX147" s="31" t="str">
        <f>IFERROR(INDEX('G-7 Rivers Data'!$AZ$3:$AZ$7,MATCH(N147,'G-7 Rivers Data'!$AY$3:$AY$7,0)),"")</f>
        <v/>
      </c>
    </row>
    <row r="148" spans="2:50" ht="14" x14ac:dyDescent="0.3">
      <c r="B148" s="531" t="str">
        <f>'F-1 Off Site River Baseline'!AN146</f>
        <v/>
      </c>
      <c r="C148" s="520" t="str">
        <f>IF(B148="","",VLOOKUP($B148,'F-1 Off Site River Baseline'!$C$9:$R$257,2,FALSE))</f>
        <v/>
      </c>
      <c r="D148" s="520" t="str">
        <f>IF(C148="","",VLOOKUP($B148,'F-1 Off Site River Baseline'!$C$9:$R$257,3,FALSE))</f>
        <v/>
      </c>
      <c r="E148" s="520" t="str">
        <f>IF(D148="","",VLOOKUP($B148,'F-1 Off Site River Baseline'!$C$9:$R$257,4,FALSE))</f>
        <v/>
      </c>
      <c r="F148" s="520" t="str">
        <f>IF(E148="","",VLOOKUP($B148,'F-1 Off Site River Baseline'!$C$9:$R$257,5,FALSE))</f>
        <v/>
      </c>
      <c r="G148" s="520" t="str">
        <f>IF(F148="","",VLOOKUP($B148,'F-1 Off Site River Baseline'!$C$9:$R$257,6,FALSE))</f>
        <v/>
      </c>
      <c r="H148" s="520" t="str">
        <f>IF(G148="","",VLOOKUP($B148,'F-1 Off Site River Baseline'!$C$9:$R$257,7,FALSE))</f>
        <v/>
      </c>
      <c r="I148" s="520" t="str">
        <f>IF(H148="","",VLOOKUP($B148,'F-1 Off Site River Baseline'!$C$9:$R$257,8,FALSE))</f>
        <v/>
      </c>
      <c r="J148" s="520" t="str">
        <f>IF(I148="","",VLOOKUP($B148,'F-1 Off Site River Baseline'!$C$9:$R$257,9,FALSE))</f>
        <v/>
      </c>
      <c r="K148" s="520" t="str">
        <f>IF(J148="","",VLOOKUP($B148,'F-1 Off Site River Baseline'!$C$9:$R$257,10,FALSE))</f>
        <v/>
      </c>
      <c r="L148" s="520" t="str">
        <f>IF(B148="","",VLOOKUP($B148,'C-1 Site River Baseline'!$C$9:$R$257,15,FALSE))</f>
        <v/>
      </c>
      <c r="M148" s="524" t="str">
        <f>IF(L148="","",VLOOKUP($B148,'F-1 Off Site River Baseline'!$C$9:$R$257,16,FALSE))</f>
        <v/>
      </c>
      <c r="N148" s="418" t="str">
        <f t="shared" si="20"/>
        <v/>
      </c>
      <c r="O148" s="498" t="str">
        <f t="shared" si="21"/>
        <v/>
      </c>
      <c r="P148" s="499" t="str">
        <f>IF(C148="","",IF(AND(LEFT(C148,55)&lt;&gt;LEFT(N148,55),O148="High - High"),"Error - Not like for like ▲",IF(AND(F148=S148,H148&gt;U148),"Error - Can not reduce condition ▲",IF(AND(F148=S148,H148=U148,AJ148='F-1 Off Site River Baseline'!N146,'F-1 Off Site River Baseline'!P146=AL148),"Error - No enhancement ▲",IF(AND(C148&lt;&gt;N148,F148&lt;S148),"Lower Distinctiveness Habitat"&amp;" - "&amp;T148,G148&amp;" - "&amp;T148)))))</f>
        <v/>
      </c>
      <c r="Q148" s="505" t="str">
        <f>IF(N148="","",VLOOKUP(B148,'F-1 Off Site River Baseline'!$C$10:$AA$257,19,FALSE))</f>
        <v/>
      </c>
      <c r="R148" s="498" t="str">
        <f>IF(N148="","",VLOOKUP(N148,'G-7 Rivers Data'!$B$2:$G$8,2,FALSE))</f>
        <v/>
      </c>
      <c r="S148" s="499" t="str">
        <f>IFERROR(VLOOKUP(R148,'G-7 Rivers Data'!$C$4:$D$8,2,FALSE),"")</f>
        <v/>
      </c>
      <c r="T148" s="145"/>
      <c r="U148" s="499" t="str">
        <f>IFERROR(INDEX('G-7 Rivers Data'!$H$4:$L$8,MATCH(N148,'G-7 Rivers Data'!$B$4:$B$8,0),MATCH(T148,'G-7 Rivers Data'!$H$3:$L$3,0)),"")</f>
        <v/>
      </c>
      <c r="V148" s="154"/>
      <c r="W148" s="520" t="str">
        <f>IF(V148="","",IF(VLOOKUP(V148,'G-7 Rivers Data'!$AG$4:$AI$9,2,FALSE)=0,"Spatial Data Missing ⚠",VLOOKUP(V148,'G-7 Rivers Data'!$AG$4:$AI$9,2,FALSE)))</f>
        <v/>
      </c>
      <c r="X148" s="524" t="str">
        <f>IF(V148="","",IF(VLOOKUP(V148,'G-7 Rivers Data'!$AG$4:$AI$9,3,FALSE)=0,"Spatial Data Missing ⚠",VLOOKUP(V148,'G-7 Rivers Data'!$AG$4:$AI$9,3,FALSE)))</f>
        <v/>
      </c>
      <c r="Y148" s="537" t="str">
        <f>IFERROR(IF(OR(LEFT(P148,5)="Error ▲",LEFT(O148,5)="Error ▲"),"Check Data ⚠",IF(F148&lt;S148,'G-7 Rivers Data'!$R$3,INDEX('G-7 Rivers Data'!$U$5:$Y$9,MATCH(G148,'G-7 Rivers Data'!$T$5:$T$9,0),MATCH(T148,'G-7 Rivers Data'!$U$4:$Y$4,0)))),"")</f>
        <v/>
      </c>
      <c r="Z148" s="203"/>
      <c r="AA148" s="203"/>
      <c r="AB148" s="534" t="str">
        <f t="shared" si="16"/>
        <v/>
      </c>
      <c r="AC148" s="521" t="str">
        <f t="shared" si="17"/>
        <v/>
      </c>
      <c r="AD148" s="564" t="str">
        <f>IFERROR(IF(AC148="Check Data ⚠","Check Data ⚠",VLOOKUP(AC148,'G-4 Temporal multipliers'!$A$4:$C$37,3,FALSE)),"")</f>
        <v/>
      </c>
      <c r="AE148" s="537" t="str">
        <f>IF(N148="","",VLOOKUP(N148,'G-7 Rivers Data'!$B$4:$G$8,5,FALSE))</f>
        <v/>
      </c>
      <c r="AF148" s="520" t="str">
        <f t="shared" si="18"/>
        <v/>
      </c>
      <c r="AG148" s="520" t="str">
        <f t="shared" si="22"/>
        <v/>
      </c>
      <c r="AH148" s="524" t="str">
        <f t="shared" si="19"/>
        <v/>
      </c>
      <c r="AI148" s="145"/>
      <c r="AJ148" s="499" t="str">
        <f>IF(AI148="","",IF(VLOOKUP(AI148,'G-7 Rivers Data'!$AA$4:$AB$7,2,FALSE)=0,"Spatial Data Missing ⚠",VLOOKUP(AI148,'G-7 Rivers Data'!$AA$4:$AB$7,2,FALSE)))</f>
        <v/>
      </c>
      <c r="AK148" s="155"/>
      <c r="AL148" s="536" t="str">
        <f>IF(AK148="","",IF(VLOOKUP(AK148,'G-7 Rivers Data'!$AD$4:$AE$8,2,FALSE)=0,"Spatial Data Missing ⚠",VLOOKUP(AK148,'G-7 Rivers Data'!$AD$4:$AE$8,2,FALSE)))</f>
        <v/>
      </c>
      <c r="AM148" s="154"/>
      <c r="AN148" s="524" t="str">
        <f>IF(AM148="","",VLOOKUP(AM148,'G-7 Rivers Data'!$AO$4:$AP$7,2,FALSE))</f>
        <v/>
      </c>
      <c r="AO148" s="545" t="str">
        <f t="shared" si="23"/>
        <v/>
      </c>
      <c r="AP148" s="149"/>
      <c r="AQ148" s="150"/>
      <c r="AX148" s="31" t="str">
        <f>IFERROR(INDEX('G-7 Rivers Data'!$AZ$3:$AZ$7,MATCH(N148,'G-7 Rivers Data'!$AY$3:$AY$7,0)),"")</f>
        <v/>
      </c>
    </row>
    <row r="149" spans="2:50" ht="14" x14ac:dyDescent="0.3">
      <c r="B149" s="531" t="str">
        <f>'F-1 Off Site River Baseline'!AN147</f>
        <v/>
      </c>
      <c r="C149" s="520" t="str">
        <f>IF(B149="","",VLOOKUP($B149,'F-1 Off Site River Baseline'!$C$9:$R$257,2,FALSE))</f>
        <v/>
      </c>
      <c r="D149" s="520" t="str">
        <f>IF(C149="","",VLOOKUP($B149,'F-1 Off Site River Baseline'!$C$9:$R$257,3,FALSE))</f>
        <v/>
      </c>
      <c r="E149" s="520" t="str">
        <f>IF(D149="","",VLOOKUP($B149,'F-1 Off Site River Baseline'!$C$9:$R$257,4,FALSE))</f>
        <v/>
      </c>
      <c r="F149" s="520" t="str">
        <f>IF(E149="","",VLOOKUP($B149,'F-1 Off Site River Baseline'!$C$9:$R$257,5,FALSE))</f>
        <v/>
      </c>
      <c r="G149" s="520" t="str">
        <f>IF(F149="","",VLOOKUP($B149,'F-1 Off Site River Baseline'!$C$9:$R$257,6,FALSE))</f>
        <v/>
      </c>
      <c r="H149" s="520" t="str">
        <f>IF(G149="","",VLOOKUP($B149,'F-1 Off Site River Baseline'!$C$9:$R$257,7,FALSE))</f>
        <v/>
      </c>
      <c r="I149" s="520" t="str">
        <f>IF(H149="","",VLOOKUP($B149,'F-1 Off Site River Baseline'!$C$9:$R$257,8,FALSE))</f>
        <v/>
      </c>
      <c r="J149" s="520" t="str">
        <f>IF(I149="","",VLOOKUP($B149,'F-1 Off Site River Baseline'!$C$9:$R$257,9,FALSE))</f>
        <v/>
      </c>
      <c r="K149" s="520" t="str">
        <f>IF(J149="","",VLOOKUP($B149,'F-1 Off Site River Baseline'!$C$9:$R$257,10,FALSE))</f>
        <v/>
      </c>
      <c r="L149" s="520" t="str">
        <f>IF(B149="","",VLOOKUP($B149,'C-1 Site River Baseline'!$C$9:$R$257,15,FALSE))</f>
        <v/>
      </c>
      <c r="M149" s="524" t="str">
        <f>IF(L149="","",VLOOKUP($B149,'F-1 Off Site River Baseline'!$C$9:$R$257,16,FALSE))</f>
        <v/>
      </c>
      <c r="N149" s="418" t="str">
        <f t="shared" si="20"/>
        <v/>
      </c>
      <c r="O149" s="498" t="str">
        <f t="shared" si="21"/>
        <v/>
      </c>
      <c r="P149" s="499" t="str">
        <f>IF(C149="","",IF(AND(LEFT(C149,55)&lt;&gt;LEFT(N149,55),O149="High - High"),"Error - Not like for like ▲",IF(AND(F149=S149,H149&gt;U149),"Error - Can not reduce condition ▲",IF(AND(F149=S149,H149=U149,AJ149='F-1 Off Site River Baseline'!N147,'F-1 Off Site River Baseline'!P147=AL149),"Error - No enhancement ▲",IF(AND(C149&lt;&gt;N149,F149&lt;S149),"Lower Distinctiveness Habitat"&amp;" - "&amp;T149,G149&amp;" - "&amp;T149)))))</f>
        <v/>
      </c>
      <c r="Q149" s="505" t="str">
        <f>IF(N149="","",VLOOKUP(B149,'F-1 Off Site River Baseline'!$C$10:$AA$257,19,FALSE))</f>
        <v/>
      </c>
      <c r="R149" s="498" t="str">
        <f>IF(N149="","",VLOOKUP(N149,'G-7 Rivers Data'!$B$2:$G$8,2,FALSE))</f>
        <v/>
      </c>
      <c r="S149" s="499" t="str">
        <f>IFERROR(VLOOKUP(R149,'G-7 Rivers Data'!$C$4:$D$8,2,FALSE),"")</f>
        <v/>
      </c>
      <c r="T149" s="145"/>
      <c r="U149" s="499" t="str">
        <f>IFERROR(INDEX('G-7 Rivers Data'!$H$4:$L$8,MATCH(N149,'G-7 Rivers Data'!$B$4:$B$8,0),MATCH(T149,'G-7 Rivers Data'!$H$3:$L$3,0)),"")</f>
        <v/>
      </c>
      <c r="V149" s="154"/>
      <c r="W149" s="520" t="str">
        <f>IF(V149="","",IF(VLOOKUP(V149,'G-7 Rivers Data'!$AG$4:$AI$9,2,FALSE)=0,"Spatial Data Missing ⚠",VLOOKUP(V149,'G-7 Rivers Data'!$AG$4:$AI$9,2,FALSE)))</f>
        <v/>
      </c>
      <c r="X149" s="524" t="str">
        <f>IF(V149="","",IF(VLOOKUP(V149,'G-7 Rivers Data'!$AG$4:$AI$9,3,FALSE)=0,"Spatial Data Missing ⚠",VLOOKUP(V149,'G-7 Rivers Data'!$AG$4:$AI$9,3,FALSE)))</f>
        <v/>
      </c>
      <c r="Y149" s="537" t="str">
        <f>IFERROR(IF(OR(LEFT(P149,5)="Error ▲",LEFT(O149,5)="Error ▲"),"Check Data ⚠",IF(F149&lt;S149,'G-7 Rivers Data'!$R$3,INDEX('G-7 Rivers Data'!$U$5:$Y$9,MATCH(G149,'G-7 Rivers Data'!$T$5:$T$9,0),MATCH(T149,'G-7 Rivers Data'!$U$4:$Y$4,0)))),"")</f>
        <v/>
      </c>
      <c r="Z149" s="203"/>
      <c r="AA149" s="203"/>
      <c r="AB149" s="534" t="str">
        <f t="shared" si="16"/>
        <v/>
      </c>
      <c r="AC149" s="521" t="str">
        <f t="shared" si="17"/>
        <v/>
      </c>
      <c r="AD149" s="564" t="str">
        <f>IFERROR(IF(AC149="Check Data ⚠","Check Data ⚠",VLOOKUP(AC149,'G-4 Temporal multipliers'!$A$4:$C$37,3,FALSE)),"")</f>
        <v/>
      </c>
      <c r="AE149" s="537" t="str">
        <f>IF(N149="","",VLOOKUP(N149,'G-7 Rivers Data'!$B$4:$G$8,5,FALSE))</f>
        <v/>
      </c>
      <c r="AF149" s="520" t="str">
        <f t="shared" si="18"/>
        <v/>
      </c>
      <c r="AG149" s="520" t="str">
        <f t="shared" si="22"/>
        <v/>
      </c>
      <c r="AH149" s="524" t="str">
        <f t="shared" si="19"/>
        <v/>
      </c>
      <c r="AI149" s="145"/>
      <c r="AJ149" s="499" t="str">
        <f>IF(AI149="","",IF(VLOOKUP(AI149,'G-7 Rivers Data'!$AA$4:$AB$7,2,FALSE)=0,"Spatial Data Missing ⚠",VLOOKUP(AI149,'G-7 Rivers Data'!$AA$4:$AB$7,2,FALSE)))</f>
        <v/>
      </c>
      <c r="AK149" s="155"/>
      <c r="AL149" s="536" t="str">
        <f>IF(AK149="","",IF(VLOOKUP(AK149,'G-7 Rivers Data'!$AD$4:$AE$8,2,FALSE)=0,"Spatial Data Missing ⚠",VLOOKUP(AK149,'G-7 Rivers Data'!$AD$4:$AE$8,2,FALSE)))</f>
        <v/>
      </c>
      <c r="AM149" s="154"/>
      <c r="AN149" s="524" t="str">
        <f>IF(AM149="","",VLOOKUP(AM149,'G-7 Rivers Data'!$AO$4:$AP$7,2,FALSE))</f>
        <v/>
      </c>
      <c r="AO149" s="545" t="str">
        <f t="shared" si="23"/>
        <v/>
      </c>
      <c r="AP149" s="149"/>
      <c r="AQ149" s="150"/>
      <c r="AX149" s="31" t="str">
        <f>IFERROR(INDEX('G-7 Rivers Data'!$AZ$3:$AZ$7,MATCH(N149,'G-7 Rivers Data'!$AY$3:$AY$7,0)),"")</f>
        <v/>
      </c>
    </row>
    <row r="150" spans="2:50" ht="14" x14ac:dyDescent="0.3">
      <c r="B150" s="531" t="str">
        <f>'F-1 Off Site River Baseline'!AN148</f>
        <v/>
      </c>
      <c r="C150" s="520" t="str">
        <f>IF(B150="","",VLOOKUP($B150,'F-1 Off Site River Baseline'!$C$9:$R$257,2,FALSE))</f>
        <v/>
      </c>
      <c r="D150" s="520" t="str">
        <f>IF(C150="","",VLOOKUP($B150,'F-1 Off Site River Baseline'!$C$9:$R$257,3,FALSE))</f>
        <v/>
      </c>
      <c r="E150" s="520" t="str">
        <f>IF(D150="","",VLOOKUP($B150,'F-1 Off Site River Baseline'!$C$9:$R$257,4,FALSE))</f>
        <v/>
      </c>
      <c r="F150" s="520" t="str">
        <f>IF(E150="","",VLOOKUP($B150,'F-1 Off Site River Baseline'!$C$9:$R$257,5,FALSE))</f>
        <v/>
      </c>
      <c r="G150" s="520" t="str">
        <f>IF(F150="","",VLOOKUP($B150,'F-1 Off Site River Baseline'!$C$9:$R$257,6,FALSE))</f>
        <v/>
      </c>
      <c r="H150" s="520" t="str">
        <f>IF(G150="","",VLOOKUP($B150,'F-1 Off Site River Baseline'!$C$9:$R$257,7,FALSE))</f>
        <v/>
      </c>
      <c r="I150" s="520" t="str">
        <f>IF(H150="","",VLOOKUP($B150,'F-1 Off Site River Baseline'!$C$9:$R$257,8,FALSE))</f>
        <v/>
      </c>
      <c r="J150" s="520" t="str">
        <f>IF(I150="","",VLOOKUP($B150,'F-1 Off Site River Baseline'!$C$9:$R$257,9,FALSE))</f>
        <v/>
      </c>
      <c r="K150" s="520" t="str">
        <f>IF(J150="","",VLOOKUP($B150,'F-1 Off Site River Baseline'!$C$9:$R$257,10,FALSE))</f>
        <v/>
      </c>
      <c r="L150" s="520" t="str">
        <f>IF(B150="","",VLOOKUP($B150,'C-1 Site River Baseline'!$C$9:$R$257,15,FALSE))</f>
        <v/>
      </c>
      <c r="M150" s="524" t="str">
        <f>IF(L150="","",VLOOKUP($B150,'F-1 Off Site River Baseline'!$C$9:$R$257,16,FALSE))</f>
        <v/>
      </c>
      <c r="N150" s="418" t="str">
        <f t="shared" si="20"/>
        <v/>
      </c>
      <c r="O150" s="498" t="str">
        <f t="shared" si="21"/>
        <v/>
      </c>
      <c r="P150" s="499" t="str">
        <f>IF(C150="","",IF(AND(LEFT(C150,55)&lt;&gt;LEFT(N150,55),O150="High - High"),"Error - Not like for like ▲",IF(AND(F150=S150,H150&gt;U150),"Error - Can not reduce condition ▲",IF(AND(F150=S150,H150=U150,AJ150='F-1 Off Site River Baseline'!N148,'F-1 Off Site River Baseline'!P148=AL150),"Error - No enhancement ▲",IF(AND(C150&lt;&gt;N150,F150&lt;S150),"Lower Distinctiveness Habitat"&amp;" - "&amp;T150,G150&amp;" - "&amp;T150)))))</f>
        <v/>
      </c>
      <c r="Q150" s="505" t="str">
        <f>IF(N150="","",VLOOKUP(B150,'F-1 Off Site River Baseline'!$C$10:$AA$257,19,FALSE))</f>
        <v/>
      </c>
      <c r="R150" s="498" t="str">
        <f>IF(N150="","",VLOOKUP(N150,'G-7 Rivers Data'!$B$2:$G$8,2,FALSE))</f>
        <v/>
      </c>
      <c r="S150" s="499" t="str">
        <f>IFERROR(VLOOKUP(R150,'G-7 Rivers Data'!$C$4:$D$8,2,FALSE),"")</f>
        <v/>
      </c>
      <c r="T150" s="145"/>
      <c r="U150" s="499" t="str">
        <f>IFERROR(INDEX('G-7 Rivers Data'!$H$4:$L$8,MATCH(N150,'G-7 Rivers Data'!$B$4:$B$8,0),MATCH(T150,'G-7 Rivers Data'!$H$3:$L$3,0)),"")</f>
        <v/>
      </c>
      <c r="V150" s="154"/>
      <c r="W150" s="520" t="str">
        <f>IF(V150="","",IF(VLOOKUP(V150,'G-7 Rivers Data'!$AG$4:$AI$9,2,FALSE)=0,"Spatial Data Missing ⚠",VLOOKUP(V150,'G-7 Rivers Data'!$AG$4:$AI$9,2,FALSE)))</f>
        <v/>
      </c>
      <c r="X150" s="524" t="str">
        <f>IF(V150="","",IF(VLOOKUP(V150,'G-7 Rivers Data'!$AG$4:$AI$9,3,FALSE)=0,"Spatial Data Missing ⚠",VLOOKUP(V150,'G-7 Rivers Data'!$AG$4:$AI$9,3,FALSE)))</f>
        <v/>
      </c>
      <c r="Y150" s="537" t="str">
        <f>IFERROR(IF(OR(LEFT(P150,5)="Error ▲",LEFT(O150,5)="Error ▲"),"Check Data ⚠",IF(F150&lt;S150,'G-7 Rivers Data'!$R$3,INDEX('G-7 Rivers Data'!$U$5:$Y$9,MATCH(G150,'G-7 Rivers Data'!$T$5:$T$9,0),MATCH(T150,'G-7 Rivers Data'!$U$4:$Y$4,0)))),"")</f>
        <v/>
      </c>
      <c r="Z150" s="203"/>
      <c r="AA150" s="203"/>
      <c r="AB150" s="534" t="str">
        <f t="shared" si="16"/>
        <v/>
      </c>
      <c r="AC150" s="521" t="str">
        <f t="shared" si="17"/>
        <v/>
      </c>
      <c r="AD150" s="564" t="str">
        <f>IFERROR(IF(AC150="Check Data ⚠","Check Data ⚠",VLOOKUP(AC150,'G-4 Temporal multipliers'!$A$4:$C$37,3,FALSE)),"")</f>
        <v/>
      </c>
      <c r="AE150" s="537" t="str">
        <f>IF(N150="","",VLOOKUP(N150,'G-7 Rivers Data'!$B$4:$G$8,5,FALSE))</f>
        <v/>
      </c>
      <c r="AF150" s="520" t="str">
        <f t="shared" si="18"/>
        <v/>
      </c>
      <c r="AG150" s="520" t="str">
        <f t="shared" si="22"/>
        <v/>
      </c>
      <c r="AH150" s="524" t="str">
        <f t="shared" si="19"/>
        <v/>
      </c>
      <c r="AI150" s="145"/>
      <c r="AJ150" s="499" t="str">
        <f>IF(AI150="","",IF(VLOOKUP(AI150,'G-7 Rivers Data'!$AA$4:$AB$7,2,FALSE)=0,"Spatial Data Missing ⚠",VLOOKUP(AI150,'G-7 Rivers Data'!$AA$4:$AB$7,2,FALSE)))</f>
        <v/>
      </c>
      <c r="AK150" s="155"/>
      <c r="AL150" s="536" t="str">
        <f>IF(AK150="","",IF(VLOOKUP(AK150,'G-7 Rivers Data'!$AD$4:$AE$8,2,FALSE)=0,"Spatial Data Missing ⚠",VLOOKUP(AK150,'G-7 Rivers Data'!$AD$4:$AE$8,2,FALSE)))</f>
        <v/>
      </c>
      <c r="AM150" s="154"/>
      <c r="AN150" s="524" t="str">
        <f>IF(AM150="","",VLOOKUP(AM150,'G-7 Rivers Data'!$AO$4:$AP$7,2,FALSE))</f>
        <v/>
      </c>
      <c r="AO150" s="545" t="str">
        <f t="shared" si="23"/>
        <v/>
      </c>
      <c r="AP150" s="149"/>
      <c r="AQ150" s="150"/>
      <c r="AX150" s="31" t="str">
        <f>IFERROR(INDEX('G-7 Rivers Data'!$AZ$3:$AZ$7,MATCH(N150,'G-7 Rivers Data'!$AY$3:$AY$7,0)),"")</f>
        <v/>
      </c>
    </row>
    <row r="151" spans="2:50" ht="14" x14ac:dyDescent="0.3">
      <c r="B151" s="531" t="str">
        <f>'F-1 Off Site River Baseline'!AN149</f>
        <v/>
      </c>
      <c r="C151" s="520" t="str">
        <f>IF(B151="","",VLOOKUP($B151,'F-1 Off Site River Baseline'!$C$9:$R$257,2,FALSE))</f>
        <v/>
      </c>
      <c r="D151" s="520" t="str">
        <f>IF(C151="","",VLOOKUP($B151,'F-1 Off Site River Baseline'!$C$9:$R$257,3,FALSE))</f>
        <v/>
      </c>
      <c r="E151" s="520" t="str">
        <f>IF(D151="","",VLOOKUP($B151,'F-1 Off Site River Baseline'!$C$9:$R$257,4,FALSE))</f>
        <v/>
      </c>
      <c r="F151" s="520" t="str">
        <f>IF(E151="","",VLOOKUP($B151,'F-1 Off Site River Baseline'!$C$9:$R$257,5,FALSE))</f>
        <v/>
      </c>
      <c r="G151" s="520" t="str">
        <f>IF(F151="","",VLOOKUP($B151,'F-1 Off Site River Baseline'!$C$9:$R$257,6,FALSE))</f>
        <v/>
      </c>
      <c r="H151" s="520" t="str">
        <f>IF(G151="","",VLOOKUP($B151,'F-1 Off Site River Baseline'!$C$9:$R$257,7,FALSE))</f>
        <v/>
      </c>
      <c r="I151" s="520" t="str">
        <f>IF(H151="","",VLOOKUP($B151,'F-1 Off Site River Baseline'!$C$9:$R$257,8,FALSE))</f>
        <v/>
      </c>
      <c r="J151" s="520" t="str">
        <f>IF(I151="","",VLOOKUP($B151,'F-1 Off Site River Baseline'!$C$9:$R$257,9,FALSE))</f>
        <v/>
      </c>
      <c r="K151" s="520" t="str">
        <f>IF(J151="","",VLOOKUP($B151,'F-1 Off Site River Baseline'!$C$9:$R$257,10,FALSE))</f>
        <v/>
      </c>
      <c r="L151" s="520" t="str">
        <f>IF(B151="","",VLOOKUP($B151,'C-1 Site River Baseline'!$C$9:$R$257,15,FALSE))</f>
        <v/>
      </c>
      <c r="M151" s="524" t="str">
        <f>IF(L151="","",VLOOKUP($B151,'F-1 Off Site River Baseline'!$C$9:$R$257,16,FALSE))</f>
        <v/>
      </c>
      <c r="N151" s="418" t="str">
        <f t="shared" si="20"/>
        <v/>
      </c>
      <c r="O151" s="498" t="str">
        <f t="shared" si="21"/>
        <v/>
      </c>
      <c r="P151" s="499" t="str">
        <f>IF(C151="","",IF(AND(LEFT(C151,55)&lt;&gt;LEFT(N151,55),O151="High - High"),"Error - Not like for like ▲",IF(AND(F151=S151,H151&gt;U151),"Error - Can not reduce condition ▲",IF(AND(F151=S151,H151=U151,AJ151='F-1 Off Site River Baseline'!N149,'F-1 Off Site River Baseline'!P149=AL151),"Error - No enhancement ▲",IF(AND(C151&lt;&gt;N151,F151&lt;S151),"Lower Distinctiveness Habitat"&amp;" - "&amp;T151,G151&amp;" - "&amp;T151)))))</f>
        <v/>
      </c>
      <c r="Q151" s="505" t="str">
        <f>IF(N151="","",VLOOKUP(B151,'F-1 Off Site River Baseline'!$C$10:$AA$257,19,FALSE))</f>
        <v/>
      </c>
      <c r="R151" s="498" t="str">
        <f>IF(N151="","",VLOOKUP(N151,'G-7 Rivers Data'!$B$2:$G$8,2,FALSE))</f>
        <v/>
      </c>
      <c r="S151" s="499" t="str">
        <f>IFERROR(VLOOKUP(R151,'G-7 Rivers Data'!$C$4:$D$8,2,FALSE),"")</f>
        <v/>
      </c>
      <c r="T151" s="145"/>
      <c r="U151" s="499" t="str">
        <f>IFERROR(INDEX('G-7 Rivers Data'!$H$4:$L$8,MATCH(N151,'G-7 Rivers Data'!$B$4:$B$8,0),MATCH(T151,'G-7 Rivers Data'!$H$3:$L$3,0)),"")</f>
        <v/>
      </c>
      <c r="V151" s="154"/>
      <c r="W151" s="520" t="str">
        <f>IF(V151="","",IF(VLOOKUP(V151,'G-7 Rivers Data'!$AG$4:$AI$9,2,FALSE)=0,"Spatial Data Missing ⚠",VLOOKUP(V151,'G-7 Rivers Data'!$AG$4:$AI$9,2,FALSE)))</f>
        <v/>
      </c>
      <c r="X151" s="524" t="str">
        <f>IF(V151="","",IF(VLOOKUP(V151,'G-7 Rivers Data'!$AG$4:$AI$9,3,FALSE)=0,"Spatial Data Missing ⚠",VLOOKUP(V151,'G-7 Rivers Data'!$AG$4:$AI$9,3,FALSE)))</f>
        <v/>
      </c>
      <c r="Y151" s="537" t="str">
        <f>IFERROR(IF(OR(LEFT(P151,5)="Error ▲",LEFT(O151,5)="Error ▲"),"Check Data ⚠",IF(F151&lt;S151,'G-7 Rivers Data'!$R$3,INDEX('G-7 Rivers Data'!$U$5:$Y$9,MATCH(G151,'G-7 Rivers Data'!$T$5:$T$9,0),MATCH(T151,'G-7 Rivers Data'!$U$4:$Y$4,0)))),"")</f>
        <v/>
      </c>
      <c r="Z151" s="203"/>
      <c r="AA151" s="203"/>
      <c r="AB151" s="534" t="str">
        <f t="shared" si="16"/>
        <v/>
      </c>
      <c r="AC151" s="521" t="str">
        <f t="shared" si="17"/>
        <v/>
      </c>
      <c r="AD151" s="564" t="str">
        <f>IFERROR(IF(AC151="Check Data ⚠","Check Data ⚠",VLOOKUP(AC151,'G-4 Temporal multipliers'!$A$4:$C$37,3,FALSE)),"")</f>
        <v/>
      </c>
      <c r="AE151" s="537" t="str">
        <f>IF(N151="","",VLOOKUP(N151,'G-7 Rivers Data'!$B$4:$G$8,5,FALSE))</f>
        <v/>
      </c>
      <c r="AF151" s="520" t="str">
        <f t="shared" si="18"/>
        <v/>
      </c>
      <c r="AG151" s="520" t="str">
        <f t="shared" si="22"/>
        <v/>
      </c>
      <c r="AH151" s="524" t="str">
        <f t="shared" si="19"/>
        <v/>
      </c>
      <c r="AI151" s="145"/>
      <c r="AJ151" s="499" t="str">
        <f>IF(AI151="","",IF(VLOOKUP(AI151,'G-7 Rivers Data'!$AA$4:$AB$7,2,FALSE)=0,"Spatial Data Missing ⚠",VLOOKUP(AI151,'G-7 Rivers Data'!$AA$4:$AB$7,2,FALSE)))</f>
        <v/>
      </c>
      <c r="AK151" s="155"/>
      <c r="AL151" s="536" t="str">
        <f>IF(AK151="","",IF(VLOOKUP(AK151,'G-7 Rivers Data'!$AD$4:$AE$8,2,FALSE)=0,"Spatial Data Missing ⚠",VLOOKUP(AK151,'G-7 Rivers Data'!$AD$4:$AE$8,2,FALSE)))</f>
        <v/>
      </c>
      <c r="AM151" s="154"/>
      <c r="AN151" s="524" t="str">
        <f>IF(AM151="","",VLOOKUP(AM151,'G-7 Rivers Data'!$AO$4:$AP$7,2,FALSE))</f>
        <v/>
      </c>
      <c r="AO151" s="545" t="str">
        <f t="shared" si="23"/>
        <v/>
      </c>
      <c r="AP151" s="149"/>
      <c r="AQ151" s="150"/>
      <c r="AX151" s="31" t="str">
        <f>IFERROR(INDEX('G-7 Rivers Data'!$AZ$3:$AZ$7,MATCH(N151,'G-7 Rivers Data'!$AY$3:$AY$7,0)),"")</f>
        <v/>
      </c>
    </row>
    <row r="152" spans="2:50" ht="14" x14ac:dyDescent="0.3">
      <c r="B152" s="531" t="str">
        <f>'F-1 Off Site River Baseline'!AN150</f>
        <v/>
      </c>
      <c r="C152" s="520" t="str">
        <f>IF(B152="","",VLOOKUP($B152,'F-1 Off Site River Baseline'!$C$9:$R$257,2,FALSE))</f>
        <v/>
      </c>
      <c r="D152" s="520" t="str">
        <f>IF(C152="","",VLOOKUP($B152,'F-1 Off Site River Baseline'!$C$9:$R$257,3,FALSE))</f>
        <v/>
      </c>
      <c r="E152" s="520" t="str">
        <f>IF(D152="","",VLOOKUP($B152,'F-1 Off Site River Baseline'!$C$9:$R$257,4,FALSE))</f>
        <v/>
      </c>
      <c r="F152" s="520" t="str">
        <f>IF(E152="","",VLOOKUP($B152,'F-1 Off Site River Baseline'!$C$9:$R$257,5,FALSE))</f>
        <v/>
      </c>
      <c r="G152" s="520" t="str">
        <f>IF(F152="","",VLOOKUP($B152,'F-1 Off Site River Baseline'!$C$9:$R$257,6,FALSE))</f>
        <v/>
      </c>
      <c r="H152" s="520" t="str">
        <f>IF(G152="","",VLOOKUP($B152,'F-1 Off Site River Baseline'!$C$9:$R$257,7,FALSE))</f>
        <v/>
      </c>
      <c r="I152" s="520" t="str">
        <f>IF(H152="","",VLOOKUP($B152,'F-1 Off Site River Baseline'!$C$9:$R$257,8,FALSE))</f>
        <v/>
      </c>
      <c r="J152" s="520" t="str">
        <f>IF(I152="","",VLOOKUP($B152,'F-1 Off Site River Baseline'!$C$9:$R$257,9,FALSE))</f>
        <v/>
      </c>
      <c r="K152" s="520" t="str">
        <f>IF(J152="","",VLOOKUP($B152,'F-1 Off Site River Baseline'!$C$9:$R$257,10,FALSE))</f>
        <v/>
      </c>
      <c r="L152" s="520" t="str">
        <f>IF(B152="","",VLOOKUP($B152,'C-1 Site River Baseline'!$C$9:$R$257,15,FALSE))</f>
        <v/>
      </c>
      <c r="M152" s="524" t="str">
        <f>IF(L152="","",VLOOKUP($B152,'F-1 Off Site River Baseline'!$C$9:$R$257,16,FALSE))</f>
        <v/>
      </c>
      <c r="N152" s="418" t="str">
        <f t="shared" si="20"/>
        <v/>
      </c>
      <c r="O152" s="498" t="str">
        <f t="shared" si="21"/>
        <v/>
      </c>
      <c r="P152" s="499" t="str">
        <f>IF(C152="","",IF(AND(LEFT(C152,55)&lt;&gt;LEFT(N152,55),O152="High - High"),"Error - Not like for like ▲",IF(AND(F152=S152,H152&gt;U152),"Error - Can not reduce condition ▲",IF(AND(F152=S152,H152=U152,AJ152='F-1 Off Site River Baseline'!N150,'F-1 Off Site River Baseline'!P150=AL152),"Error - No enhancement ▲",IF(AND(C152&lt;&gt;N152,F152&lt;S152),"Lower Distinctiveness Habitat"&amp;" - "&amp;T152,G152&amp;" - "&amp;T152)))))</f>
        <v/>
      </c>
      <c r="Q152" s="505" t="str">
        <f>IF(N152="","",VLOOKUP(B152,'F-1 Off Site River Baseline'!$C$10:$AA$257,19,FALSE))</f>
        <v/>
      </c>
      <c r="R152" s="498" t="str">
        <f>IF(N152="","",VLOOKUP(N152,'G-7 Rivers Data'!$B$2:$G$8,2,FALSE))</f>
        <v/>
      </c>
      <c r="S152" s="499" t="str">
        <f>IFERROR(VLOOKUP(R152,'G-7 Rivers Data'!$C$4:$D$8,2,FALSE),"")</f>
        <v/>
      </c>
      <c r="T152" s="145"/>
      <c r="U152" s="499" t="str">
        <f>IFERROR(INDEX('G-7 Rivers Data'!$H$4:$L$8,MATCH(N152,'G-7 Rivers Data'!$B$4:$B$8,0),MATCH(T152,'G-7 Rivers Data'!$H$3:$L$3,0)),"")</f>
        <v/>
      </c>
      <c r="V152" s="154"/>
      <c r="W152" s="520" t="str">
        <f>IF(V152="","",IF(VLOOKUP(V152,'G-7 Rivers Data'!$AG$4:$AI$9,2,FALSE)=0,"Spatial Data Missing ⚠",VLOOKUP(V152,'G-7 Rivers Data'!$AG$4:$AI$9,2,FALSE)))</f>
        <v/>
      </c>
      <c r="X152" s="524" t="str">
        <f>IF(V152="","",IF(VLOOKUP(V152,'G-7 Rivers Data'!$AG$4:$AI$9,3,FALSE)=0,"Spatial Data Missing ⚠",VLOOKUP(V152,'G-7 Rivers Data'!$AG$4:$AI$9,3,FALSE)))</f>
        <v/>
      </c>
      <c r="Y152" s="537" t="str">
        <f>IFERROR(IF(OR(LEFT(P152,5)="Error ▲",LEFT(O152,5)="Error ▲"),"Check Data ⚠",IF(F152&lt;S152,'G-7 Rivers Data'!$R$3,INDEX('G-7 Rivers Data'!$U$5:$Y$9,MATCH(G152,'G-7 Rivers Data'!$T$5:$T$9,0),MATCH(T152,'G-7 Rivers Data'!$U$4:$Y$4,0)))),"")</f>
        <v/>
      </c>
      <c r="Z152" s="203"/>
      <c r="AA152" s="203"/>
      <c r="AB152" s="534" t="str">
        <f t="shared" si="16"/>
        <v/>
      </c>
      <c r="AC152" s="521" t="str">
        <f t="shared" si="17"/>
        <v/>
      </c>
      <c r="AD152" s="564" t="str">
        <f>IFERROR(IF(AC152="Check Data ⚠","Check Data ⚠",VLOOKUP(AC152,'G-4 Temporal multipliers'!$A$4:$C$37,3,FALSE)),"")</f>
        <v/>
      </c>
      <c r="AE152" s="537" t="str">
        <f>IF(N152="","",VLOOKUP(N152,'G-7 Rivers Data'!$B$4:$G$8,5,FALSE))</f>
        <v/>
      </c>
      <c r="AF152" s="520" t="str">
        <f t="shared" si="18"/>
        <v/>
      </c>
      <c r="AG152" s="520" t="str">
        <f t="shared" si="22"/>
        <v/>
      </c>
      <c r="AH152" s="524" t="str">
        <f t="shared" si="19"/>
        <v/>
      </c>
      <c r="AI152" s="145"/>
      <c r="AJ152" s="499" t="str">
        <f>IF(AI152="","",IF(VLOOKUP(AI152,'G-7 Rivers Data'!$AA$4:$AB$7,2,FALSE)=0,"Spatial Data Missing ⚠",VLOOKUP(AI152,'G-7 Rivers Data'!$AA$4:$AB$7,2,FALSE)))</f>
        <v/>
      </c>
      <c r="AK152" s="155"/>
      <c r="AL152" s="536" t="str">
        <f>IF(AK152="","",IF(VLOOKUP(AK152,'G-7 Rivers Data'!$AD$4:$AE$8,2,FALSE)=0,"Spatial Data Missing ⚠",VLOOKUP(AK152,'G-7 Rivers Data'!$AD$4:$AE$8,2,FALSE)))</f>
        <v/>
      </c>
      <c r="AM152" s="154"/>
      <c r="AN152" s="524" t="str">
        <f>IF(AM152="","",VLOOKUP(AM152,'G-7 Rivers Data'!$AO$4:$AP$7,2,FALSE))</f>
        <v/>
      </c>
      <c r="AO152" s="545" t="str">
        <f t="shared" si="23"/>
        <v/>
      </c>
      <c r="AP152" s="149"/>
      <c r="AQ152" s="150"/>
      <c r="AX152" s="31" t="str">
        <f>IFERROR(INDEX('G-7 Rivers Data'!$AZ$3:$AZ$7,MATCH(N152,'G-7 Rivers Data'!$AY$3:$AY$7,0)),"")</f>
        <v/>
      </c>
    </row>
    <row r="153" spans="2:50" ht="14" x14ac:dyDescent="0.3">
      <c r="B153" s="531" t="str">
        <f>'F-1 Off Site River Baseline'!AN151</f>
        <v/>
      </c>
      <c r="C153" s="520" t="str">
        <f>IF(B153="","",VLOOKUP($B153,'F-1 Off Site River Baseline'!$C$9:$R$257,2,FALSE))</f>
        <v/>
      </c>
      <c r="D153" s="520" t="str">
        <f>IF(C153="","",VLOOKUP($B153,'F-1 Off Site River Baseline'!$C$9:$R$257,3,FALSE))</f>
        <v/>
      </c>
      <c r="E153" s="520" t="str">
        <f>IF(D153="","",VLOOKUP($B153,'F-1 Off Site River Baseline'!$C$9:$R$257,4,FALSE))</f>
        <v/>
      </c>
      <c r="F153" s="520" t="str">
        <f>IF(E153="","",VLOOKUP($B153,'F-1 Off Site River Baseline'!$C$9:$R$257,5,FALSE))</f>
        <v/>
      </c>
      <c r="G153" s="520" t="str">
        <f>IF(F153="","",VLOOKUP($B153,'F-1 Off Site River Baseline'!$C$9:$R$257,6,FALSE))</f>
        <v/>
      </c>
      <c r="H153" s="520" t="str">
        <f>IF(G153="","",VLOOKUP($B153,'F-1 Off Site River Baseline'!$C$9:$R$257,7,FALSE))</f>
        <v/>
      </c>
      <c r="I153" s="520" t="str">
        <f>IF(H153="","",VLOOKUP($B153,'F-1 Off Site River Baseline'!$C$9:$R$257,8,FALSE))</f>
        <v/>
      </c>
      <c r="J153" s="520" t="str">
        <f>IF(I153="","",VLOOKUP($B153,'F-1 Off Site River Baseline'!$C$9:$R$257,9,FALSE))</f>
        <v/>
      </c>
      <c r="K153" s="520" t="str">
        <f>IF(J153="","",VLOOKUP($B153,'F-1 Off Site River Baseline'!$C$9:$R$257,10,FALSE))</f>
        <v/>
      </c>
      <c r="L153" s="520" t="str">
        <f>IF(B153="","",VLOOKUP($B153,'C-1 Site River Baseline'!$C$9:$R$257,15,FALSE))</f>
        <v/>
      </c>
      <c r="M153" s="524" t="str">
        <f>IF(L153="","",VLOOKUP($B153,'F-1 Off Site River Baseline'!$C$9:$R$257,16,FALSE))</f>
        <v/>
      </c>
      <c r="N153" s="418" t="str">
        <f t="shared" si="20"/>
        <v/>
      </c>
      <c r="O153" s="498" t="str">
        <f t="shared" si="21"/>
        <v/>
      </c>
      <c r="P153" s="499" t="str">
        <f>IF(C153="","",IF(AND(LEFT(C153,55)&lt;&gt;LEFT(N153,55),O153="High - High"),"Error - Not like for like ▲",IF(AND(F153=S153,H153&gt;U153),"Error - Can not reduce condition ▲",IF(AND(F153=S153,H153=U153,AJ153='F-1 Off Site River Baseline'!N151,'F-1 Off Site River Baseline'!P151=AL153),"Error - No enhancement ▲",IF(AND(C153&lt;&gt;N153,F153&lt;S153),"Lower Distinctiveness Habitat"&amp;" - "&amp;T153,G153&amp;" - "&amp;T153)))))</f>
        <v/>
      </c>
      <c r="Q153" s="505" t="str">
        <f>IF(N153="","",VLOOKUP(B153,'F-1 Off Site River Baseline'!$C$10:$AA$257,19,FALSE))</f>
        <v/>
      </c>
      <c r="R153" s="498" t="str">
        <f>IF(N153="","",VLOOKUP(N153,'G-7 Rivers Data'!$B$2:$G$8,2,FALSE))</f>
        <v/>
      </c>
      <c r="S153" s="499" t="str">
        <f>IFERROR(VLOOKUP(R153,'G-7 Rivers Data'!$C$4:$D$8,2,FALSE),"")</f>
        <v/>
      </c>
      <c r="T153" s="145"/>
      <c r="U153" s="499" t="str">
        <f>IFERROR(INDEX('G-7 Rivers Data'!$H$4:$L$8,MATCH(N153,'G-7 Rivers Data'!$B$4:$B$8,0),MATCH(T153,'G-7 Rivers Data'!$H$3:$L$3,0)),"")</f>
        <v/>
      </c>
      <c r="V153" s="154"/>
      <c r="W153" s="520" t="str">
        <f>IF(V153="","",IF(VLOOKUP(V153,'G-7 Rivers Data'!$AG$4:$AI$9,2,FALSE)=0,"Spatial Data Missing ⚠",VLOOKUP(V153,'G-7 Rivers Data'!$AG$4:$AI$9,2,FALSE)))</f>
        <v/>
      </c>
      <c r="X153" s="524" t="str">
        <f>IF(V153="","",IF(VLOOKUP(V153,'G-7 Rivers Data'!$AG$4:$AI$9,3,FALSE)=0,"Spatial Data Missing ⚠",VLOOKUP(V153,'G-7 Rivers Data'!$AG$4:$AI$9,3,FALSE)))</f>
        <v/>
      </c>
      <c r="Y153" s="537" t="str">
        <f>IFERROR(IF(OR(LEFT(P153,5)="Error ▲",LEFT(O153,5)="Error ▲"),"Check Data ⚠",IF(F153&lt;S153,'G-7 Rivers Data'!$R$3,INDEX('G-7 Rivers Data'!$U$5:$Y$9,MATCH(G153,'G-7 Rivers Data'!$T$5:$T$9,0),MATCH(T153,'G-7 Rivers Data'!$U$4:$Y$4,0)))),"")</f>
        <v/>
      </c>
      <c r="Z153" s="203"/>
      <c r="AA153" s="203"/>
      <c r="AB153" s="534" t="str">
        <f t="shared" si="16"/>
        <v/>
      </c>
      <c r="AC153" s="521" t="str">
        <f t="shared" si="17"/>
        <v/>
      </c>
      <c r="AD153" s="564" t="str">
        <f>IFERROR(IF(AC153="Check Data ⚠","Check Data ⚠",VLOOKUP(AC153,'G-4 Temporal multipliers'!$A$4:$C$37,3,FALSE)),"")</f>
        <v/>
      </c>
      <c r="AE153" s="537" t="str">
        <f>IF(N153="","",VLOOKUP(N153,'G-7 Rivers Data'!$B$4:$G$8,5,FALSE))</f>
        <v/>
      </c>
      <c r="AF153" s="520" t="str">
        <f t="shared" si="18"/>
        <v/>
      </c>
      <c r="AG153" s="520" t="str">
        <f t="shared" si="22"/>
        <v/>
      </c>
      <c r="AH153" s="524" t="str">
        <f t="shared" si="19"/>
        <v/>
      </c>
      <c r="AI153" s="145"/>
      <c r="AJ153" s="499" t="str">
        <f>IF(AI153="","",IF(VLOOKUP(AI153,'G-7 Rivers Data'!$AA$4:$AB$7,2,FALSE)=0,"Spatial Data Missing ⚠",VLOOKUP(AI153,'G-7 Rivers Data'!$AA$4:$AB$7,2,FALSE)))</f>
        <v/>
      </c>
      <c r="AK153" s="155"/>
      <c r="AL153" s="536" t="str">
        <f>IF(AK153="","",IF(VLOOKUP(AK153,'G-7 Rivers Data'!$AD$4:$AE$8,2,FALSE)=0,"Spatial Data Missing ⚠",VLOOKUP(AK153,'G-7 Rivers Data'!$AD$4:$AE$8,2,FALSE)))</f>
        <v/>
      </c>
      <c r="AM153" s="154"/>
      <c r="AN153" s="524" t="str">
        <f>IF(AM153="","",VLOOKUP(AM153,'G-7 Rivers Data'!$AO$4:$AP$7,2,FALSE))</f>
        <v/>
      </c>
      <c r="AO153" s="545" t="str">
        <f t="shared" si="23"/>
        <v/>
      </c>
      <c r="AP153" s="149"/>
      <c r="AQ153" s="150"/>
      <c r="AX153" s="31" t="str">
        <f>IFERROR(INDEX('G-7 Rivers Data'!$AZ$3:$AZ$7,MATCH(N153,'G-7 Rivers Data'!$AY$3:$AY$7,0)),"")</f>
        <v/>
      </c>
    </row>
    <row r="154" spans="2:50" ht="14" x14ac:dyDescent="0.3">
      <c r="B154" s="531" t="str">
        <f>'F-1 Off Site River Baseline'!AN152</f>
        <v/>
      </c>
      <c r="C154" s="520" t="str">
        <f>IF(B154="","",VLOOKUP($B154,'F-1 Off Site River Baseline'!$C$9:$R$257,2,FALSE))</f>
        <v/>
      </c>
      <c r="D154" s="520" t="str">
        <f>IF(C154="","",VLOOKUP($B154,'F-1 Off Site River Baseline'!$C$9:$R$257,3,FALSE))</f>
        <v/>
      </c>
      <c r="E154" s="520" t="str">
        <f>IF(D154="","",VLOOKUP($B154,'F-1 Off Site River Baseline'!$C$9:$R$257,4,FALSE))</f>
        <v/>
      </c>
      <c r="F154" s="520" t="str">
        <f>IF(E154="","",VLOOKUP($B154,'F-1 Off Site River Baseline'!$C$9:$R$257,5,FALSE))</f>
        <v/>
      </c>
      <c r="G154" s="520" t="str">
        <f>IF(F154="","",VLOOKUP($B154,'F-1 Off Site River Baseline'!$C$9:$R$257,6,FALSE))</f>
        <v/>
      </c>
      <c r="H154" s="520" t="str">
        <f>IF(G154="","",VLOOKUP($B154,'F-1 Off Site River Baseline'!$C$9:$R$257,7,FALSE))</f>
        <v/>
      </c>
      <c r="I154" s="520" t="str">
        <f>IF(H154="","",VLOOKUP($B154,'F-1 Off Site River Baseline'!$C$9:$R$257,8,FALSE))</f>
        <v/>
      </c>
      <c r="J154" s="520" t="str">
        <f>IF(I154="","",VLOOKUP($B154,'F-1 Off Site River Baseline'!$C$9:$R$257,9,FALSE))</f>
        <v/>
      </c>
      <c r="K154" s="520" t="str">
        <f>IF(J154="","",VLOOKUP($B154,'F-1 Off Site River Baseline'!$C$9:$R$257,10,FALSE))</f>
        <v/>
      </c>
      <c r="L154" s="520" t="str">
        <f>IF(B154="","",VLOOKUP($B154,'C-1 Site River Baseline'!$C$9:$R$257,15,FALSE))</f>
        <v/>
      </c>
      <c r="M154" s="524" t="str">
        <f>IF(L154="","",VLOOKUP($B154,'F-1 Off Site River Baseline'!$C$9:$R$257,16,FALSE))</f>
        <v/>
      </c>
      <c r="N154" s="418" t="str">
        <f t="shared" si="20"/>
        <v/>
      </c>
      <c r="O154" s="498" t="str">
        <f t="shared" si="21"/>
        <v/>
      </c>
      <c r="P154" s="499" t="str">
        <f>IF(C154="","",IF(AND(LEFT(C154,55)&lt;&gt;LEFT(N154,55),O154="High - High"),"Error - Not like for like ▲",IF(AND(F154=S154,H154&gt;U154),"Error - Can not reduce condition ▲",IF(AND(F154=S154,H154=U154,AJ154='F-1 Off Site River Baseline'!N152,'F-1 Off Site River Baseline'!P152=AL154),"Error - No enhancement ▲",IF(AND(C154&lt;&gt;N154,F154&lt;S154),"Lower Distinctiveness Habitat"&amp;" - "&amp;T154,G154&amp;" - "&amp;T154)))))</f>
        <v/>
      </c>
      <c r="Q154" s="505" t="str">
        <f>IF(N154="","",VLOOKUP(B154,'F-1 Off Site River Baseline'!$C$10:$AA$257,19,FALSE))</f>
        <v/>
      </c>
      <c r="R154" s="498" t="str">
        <f>IF(N154="","",VLOOKUP(N154,'G-7 Rivers Data'!$B$2:$G$8,2,FALSE))</f>
        <v/>
      </c>
      <c r="S154" s="499" t="str">
        <f>IFERROR(VLOOKUP(R154,'G-7 Rivers Data'!$C$4:$D$8,2,FALSE),"")</f>
        <v/>
      </c>
      <c r="T154" s="145"/>
      <c r="U154" s="499" t="str">
        <f>IFERROR(INDEX('G-7 Rivers Data'!$H$4:$L$8,MATCH(N154,'G-7 Rivers Data'!$B$4:$B$8,0),MATCH(T154,'G-7 Rivers Data'!$H$3:$L$3,0)),"")</f>
        <v/>
      </c>
      <c r="V154" s="154"/>
      <c r="W154" s="520" t="str">
        <f>IF(V154="","",IF(VLOOKUP(V154,'G-7 Rivers Data'!$AG$4:$AI$9,2,FALSE)=0,"Spatial Data Missing ⚠",VLOOKUP(V154,'G-7 Rivers Data'!$AG$4:$AI$9,2,FALSE)))</f>
        <v/>
      </c>
      <c r="X154" s="524" t="str">
        <f>IF(V154="","",IF(VLOOKUP(V154,'G-7 Rivers Data'!$AG$4:$AI$9,3,FALSE)=0,"Spatial Data Missing ⚠",VLOOKUP(V154,'G-7 Rivers Data'!$AG$4:$AI$9,3,FALSE)))</f>
        <v/>
      </c>
      <c r="Y154" s="537" t="str">
        <f>IFERROR(IF(OR(LEFT(P154,5)="Error ▲",LEFT(O154,5)="Error ▲"),"Check Data ⚠",IF(F154&lt;S154,'G-7 Rivers Data'!$R$3,INDEX('G-7 Rivers Data'!$U$5:$Y$9,MATCH(G154,'G-7 Rivers Data'!$T$5:$T$9,0),MATCH(T154,'G-7 Rivers Data'!$U$4:$Y$4,0)))),"")</f>
        <v/>
      </c>
      <c r="Z154" s="203"/>
      <c r="AA154" s="203"/>
      <c r="AB154" s="534" t="str">
        <f t="shared" si="16"/>
        <v/>
      </c>
      <c r="AC154" s="521" t="str">
        <f t="shared" si="17"/>
        <v/>
      </c>
      <c r="AD154" s="564" t="str">
        <f>IFERROR(IF(AC154="Check Data ⚠","Check Data ⚠",VLOOKUP(AC154,'G-4 Temporal multipliers'!$A$4:$C$37,3,FALSE)),"")</f>
        <v/>
      </c>
      <c r="AE154" s="537" t="str">
        <f>IF(N154="","",VLOOKUP(N154,'G-7 Rivers Data'!$B$4:$G$8,5,FALSE))</f>
        <v/>
      </c>
      <c r="AF154" s="520" t="str">
        <f t="shared" si="18"/>
        <v/>
      </c>
      <c r="AG154" s="520" t="str">
        <f t="shared" si="22"/>
        <v/>
      </c>
      <c r="AH154" s="524" t="str">
        <f t="shared" si="19"/>
        <v/>
      </c>
      <c r="AI154" s="145"/>
      <c r="AJ154" s="499" t="str">
        <f>IF(AI154="","",IF(VLOOKUP(AI154,'G-7 Rivers Data'!$AA$4:$AB$7,2,FALSE)=0,"Spatial Data Missing ⚠",VLOOKUP(AI154,'G-7 Rivers Data'!$AA$4:$AB$7,2,FALSE)))</f>
        <v/>
      </c>
      <c r="AK154" s="155"/>
      <c r="AL154" s="536" t="str">
        <f>IF(AK154="","",IF(VLOOKUP(AK154,'G-7 Rivers Data'!$AD$4:$AE$8,2,FALSE)=0,"Spatial Data Missing ⚠",VLOOKUP(AK154,'G-7 Rivers Data'!$AD$4:$AE$8,2,FALSE)))</f>
        <v/>
      </c>
      <c r="AM154" s="154"/>
      <c r="AN154" s="524" t="str">
        <f>IF(AM154="","",VLOOKUP(AM154,'G-7 Rivers Data'!$AO$4:$AP$7,2,FALSE))</f>
        <v/>
      </c>
      <c r="AO154" s="545" t="str">
        <f t="shared" si="23"/>
        <v/>
      </c>
      <c r="AP154" s="149"/>
      <c r="AQ154" s="150"/>
      <c r="AX154" s="31" t="str">
        <f>IFERROR(INDEX('G-7 Rivers Data'!$AZ$3:$AZ$7,MATCH(N154,'G-7 Rivers Data'!$AY$3:$AY$7,0)),"")</f>
        <v/>
      </c>
    </row>
    <row r="155" spans="2:50" ht="14" x14ac:dyDescent="0.3">
      <c r="B155" s="531" t="str">
        <f>'F-1 Off Site River Baseline'!AN153</f>
        <v/>
      </c>
      <c r="C155" s="520" t="str">
        <f>IF(B155="","",VLOOKUP($B155,'F-1 Off Site River Baseline'!$C$9:$R$257,2,FALSE))</f>
        <v/>
      </c>
      <c r="D155" s="520" t="str">
        <f>IF(C155="","",VLOOKUP($B155,'F-1 Off Site River Baseline'!$C$9:$R$257,3,FALSE))</f>
        <v/>
      </c>
      <c r="E155" s="520" t="str">
        <f>IF(D155="","",VLOOKUP($B155,'F-1 Off Site River Baseline'!$C$9:$R$257,4,FALSE))</f>
        <v/>
      </c>
      <c r="F155" s="520" t="str">
        <f>IF(E155="","",VLOOKUP($B155,'F-1 Off Site River Baseline'!$C$9:$R$257,5,FALSE))</f>
        <v/>
      </c>
      <c r="G155" s="520" t="str">
        <f>IF(F155="","",VLOOKUP($B155,'F-1 Off Site River Baseline'!$C$9:$R$257,6,FALSE))</f>
        <v/>
      </c>
      <c r="H155" s="520" t="str">
        <f>IF(G155="","",VLOOKUP($B155,'F-1 Off Site River Baseline'!$C$9:$R$257,7,FALSE))</f>
        <v/>
      </c>
      <c r="I155" s="520" t="str">
        <f>IF(H155="","",VLOOKUP($B155,'F-1 Off Site River Baseline'!$C$9:$R$257,8,FALSE))</f>
        <v/>
      </c>
      <c r="J155" s="520" t="str">
        <f>IF(I155="","",VLOOKUP($B155,'F-1 Off Site River Baseline'!$C$9:$R$257,9,FALSE))</f>
        <v/>
      </c>
      <c r="K155" s="520" t="str">
        <f>IF(J155="","",VLOOKUP($B155,'F-1 Off Site River Baseline'!$C$9:$R$257,10,FALSE))</f>
        <v/>
      </c>
      <c r="L155" s="520" t="str">
        <f>IF(B155="","",VLOOKUP($B155,'C-1 Site River Baseline'!$C$9:$R$257,15,FALSE))</f>
        <v/>
      </c>
      <c r="M155" s="524" t="str">
        <f>IF(L155="","",VLOOKUP($B155,'F-1 Off Site River Baseline'!$C$9:$R$257,16,FALSE))</f>
        <v/>
      </c>
      <c r="N155" s="418" t="str">
        <f t="shared" si="20"/>
        <v/>
      </c>
      <c r="O155" s="498" t="str">
        <f t="shared" si="21"/>
        <v/>
      </c>
      <c r="P155" s="499" t="str">
        <f>IF(C155="","",IF(AND(LEFT(C155,55)&lt;&gt;LEFT(N155,55),O155="High - High"),"Error - Not like for like ▲",IF(AND(F155=S155,H155&gt;U155),"Error - Can not reduce condition ▲",IF(AND(F155=S155,H155=U155,AJ155='F-1 Off Site River Baseline'!N153,'F-1 Off Site River Baseline'!P153=AL155),"Error - No enhancement ▲",IF(AND(C155&lt;&gt;N155,F155&lt;S155),"Lower Distinctiveness Habitat"&amp;" - "&amp;T155,G155&amp;" - "&amp;T155)))))</f>
        <v/>
      </c>
      <c r="Q155" s="505" t="str">
        <f>IF(N155="","",VLOOKUP(B155,'F-1 Off Site River Baseline'!$C$10:$AA$257,19,FALSE))</f>
        <v/>
      </c>
      <c r="R155" s="498" t="str">
        <f>IF(N155="","",VLOOKUP(N155,'G-7 Rivers Data'!$B$2:$G$8,2,FALSE))</f>
        <v/>
      </c>
      <c r="S155" s="499" t="str">
        <f>IFERROR(VLOOKUP(R155,'G-7 Rivers Data'!$C$4:$D$8,2,FALSE),"")</f>
        <v/>
      </c>
      <c r="T155" s="145"/>
      <c r="U155" s="499" t="str">
        <f>IFERROR(INDEX('G-7 Rivers Data'!$H$4:$L$8,MATCH(N155,'G-7 Rivers Data'!$B$4:$B$8,0),MATCH(T155,'G-7 Rivers Data'!$H$3:$L$3,0)),"")</f>
        <v/>
      </c>
      <c r="V155" s="154"/>
      <c r="W155" s="520" t="str">
        <f>IF(V155="","",IF(VLOOKUP(V155,'G-7 Rivers Data'!$AG$4:$AI$9,2,FALSE)=0,"Spatial Data Missing ⚠",VLOOKUP(V155,'G-7 Rivers Data'!$AG$4:$AI$9,2,FALSE)))</f>
        <v/>
      </c>
      <c r="X155" s="524" t="str">
        <f>IF(V155="","",IF(VLOOKUP(V155,'G-7 Rivers Data'!$AG$4:$AI$9,3,FALSE)=0,"Spatial Data Missing ⚠",VLOOKUP(V155,'G-7 Rivers Data'!$AG$4:$AI$9,3,FALSE)))</f>
        <v/>
      </c>
      <c r="Y155" s="537" t="str">
        <f>IFERROR(IF(OR(LEFT(P155,5)="Error ▲",LEFT(O155,5)="Error ▲"),"Check Data ⚠",IF(F155&lt;S155,'G-7 Rivers Data'!$R$3,INDEX('G-7 Rivers Data'!$U$5:$Y$9,MATCH(G155,'G-7 Rivers Data'!$T$5:$T$9,0),MATCH(T155,'G-7 Rivers Data'!$U$4:$Y$4,0)))),"")</f>
        <v/>
      </c>
      <c r="Z155" s="203"/>
      <c r="AA155" s="203"/>
      <c r="AB155" s="534" t="str">
        <f t="shared" si="16"/>
        <v/>
      </c>
      <c r="AC155" s="521" t="str">
        <f t="shared" si="17"/>
        <v/>
      </c>
      <c r="AD155" s="564" t="str">
        <f>IFERROR(IF(AC155="Check Data ⚠","Check Data ⚠",VLOOKUP(AC155,'G-4 Temporal multipliers'!$A$4:$C$37,3,FALSE)),"")</f>
        <v/>
      </c>
      <c r="AE155" s="537" t="str">
        <f>IF(N155="","",VLOOKUP(N155,'G-7 Rivers Data'!$B$4:$G$8,5,FALSE))</f>
        <v/>
      </c>
      <c r="AF155" s="520" t="str">
        <f t="shared" si="18"/>
        <v/>
      </c>
      <c r="AG155" s="520" t="str">
        <f t="shared" si="22"/>
        <v/>
      </c>
      <c r="AH155" s="524" t="str">
        <f t="shared" si="19"/>
        <v/>
      </c>
      <c r="AI155" s="145"/>
      <c r="AJ155" s="499" t="str">
        <f>IF(AI155="","",IF(VLOOKUP(AI155,'G-7 Rivers Data'!$AA$4:$AB$7,2,FALSE)=0,"Spatial Data Missing ⚠",VLOOKUP(AI155,'G-7 Rivers Data'!$AA$4:$AB$7,2,FALSE)))</f>
        <v/>
      </c>
      <c r="AK155" s="155"/>
      <c r="AL155" s="536" t="str">
        <f>IF(AK155="","",IF(VLOOKUP(AK155,'G-7 Rivers Data'!$AD$4:$AE$8,2,FALSE)=0,"Spatial Data Missing ⚠",VLOOKUP(AK155,'G-7 Rivers Data'!$AD$4:$AE$8,2,FALSE)))</f>
        <v/>
      </c>
      <c r="AM155" s="154"/>
      <c r="AN155" s="524" t="str">
        <f>IF(AM155="","",VLOOKUP(AM155,'G-7 Rivers Data'!$AO$4:$AP$7,2,FALSE))</f>
        <v/>
      </c>
      <c r="AO155" s="545" t="str">
        <f t="shared" si="23"/>
        <v/>
      </c>
      <c r="AP155" s="149"/>
      <c r="AQ155" s="150"/>
      <c r="AX155" s="31" t="str">
        <f>IFERROR(INDEX('G-7 Rivers Data'!$AZ$3:$AZ$7,MATCH(N155,'G-7 Rivers Data'!$AY$3:$AY$7,0)),"")</f>
        <v/>
      </c>
    </row>
    <row r="156" spans="2:50" ht="14" x14ac:dyDescent="0.3">
      <c r="B156" s="531" t="str">
        <f>'F-1 Off Site River Baseline'!AN154</f>
        <v/>
      </c>
      <c r="C156" s="520" t="str">
        <f>IF(B156="","",VLOOKUP($B156,'F-1 Off Site River Baseline'!$C$9:$R$257,2,FALSE))</f>
        <v/>
      </c>
      <c r="D156" s="520" t="str">
        <f>IF(C156="","",VLOOKUP($B156,'F-1 Off Site River Baseline'!$C$9:$R$257,3,FALSE))</f>
        <v/>
      </c>
      <c r="E156" s="520" t="str">
        <f>IF(D156="","",VLOOKUP($B156,'F-1 Off Site River Baseline'!$C$9:$R$257,4,FALSE))</f>
        <v/>
      </c>
      <c r="F156" s="520" t="str">
        <f>IF(E156="","",VLOOKUP($B156,'F-1 Off Site River Baseline'!$C$9:$R$257,5,FALSE))</f>
        <v/>
      </c>
      <c r="G156" s="520" t="str">
        <f>IF(F156="","",VLOOKUP($B156,'F-1 Off Site River Baseline'!$C$9:$R$257,6,FALSE))</f>
        <v/>
      </c>
      <c r="H156" s="520" t="str">
        <f>IF(G156="","",VLOOKUP($B156,'F-1 Off Site River Baseline'!$C$9:$R$257,7,FALSE))</f>
        <v/>
      </c>
      <c r="I156" s="520" t="str">
        <f>IF(H156="","",VLOOKUP($B156,'F-1 Off Site River Baseline'!$C$9:$R$257,8,FALSE))</f>
        <v/>
      </c>
      <c r="J156" s="520" t="str">
        <f>IF(I156="","",VLOOKUP($B156,'F-1 Off Site River Baseline'!$C$9:$R$257,9,FALSE))</f>
        <v/>
      </c>
      <c r="K156" s="520" t="str">
        <f>IF(J156="","",VLOOKUP($B156,'F-1 Off Site River Baseline'!$C$9:$R$257,10,FALSE))</f>
        <v/>
      </c>
      <c r="L156" s="520" t="str">
        <f>IF(B156="","",VLOOKUP($B156,'C-1 Site River Baseline'!$C$9:$R$257,15,FALSE))</f>
        <v/>
      </c>
      <c r="M156" s="524" t="str">
        <f>IF(L156="","",VLOOKUP($B156,'F-1 Off Site River Baseline'!$C$9:$R$257,16,FALSE))</f>
        <v/>
      </c>
      <c r="N156" s="418" t="str">
        <f t="shared" si="20"/>
        <v/>
      </c>
      <c r="O156" s="498" t="str">
        <f t="shared" si="21"/>
        <v/>
      </c>
      <c r="P156" s="499" t="str">
        <f>IF(C156="","",IF(AND(LEFT(C156,55)&lt;&gt;LEFT(N156,55),O156="High - High"),"Error - Not like for like ▲",IF(AND(F156=S156,H156&gt;U156),"Error - Can not reduce condition ▲",IF(AND(F156=S156,H156=U156,AJ156='F-1 Off Site River Baseline'!N154,'F-1 Off Site River Baseline'!P154=AL156),"Error - No enhancement ▲",IF(AND(C156&lt;&gt;N156,F156&lt;S156),"Lower Distinctiveness Habitat"&amp;" - "&amp;T156,G156&amp;" - "&amp;T156)))))</f>
        <v/>
      </c>
      <c r="Q156" s="505" t="str">
        <f>IF(N156="","",VLOOKUP(B156,'F-1 Off Site River Baseline'!$C$10:$AA$257,19,FALSE))</f>
        <v/>
      </c>
      <c r="R156" s="498" t="str">
        <f>IF(N156="","",VLOOKUP(N156,'G-7 Rivers Data'!$B$2:$G$8,2,FALSE))</f>
        <v/>
      </c>
      <c r="S156" s="499" t="str">
        <f>IFERROR(VLOOKUP(R156,'G-7 Rivers Data'!$C$4:$D$8,2,FALSE),"")</f>
        <v/>
      </c>
      <c r="T156" s="145"/>
      <c r="U156" s="499" t="str">
        <f>IFERROR(INDEX('G-7 Rivers Data'!$H$4:$L$8,MATCH(N156,'G-7 Rivers Data'!$B$4:$B$8,0),MATCH(T156,'G-7 Rivers Data'!$H$3:$L$3,0)),"")</f>
        <v/>
      </c>
      <c r="V156" s="154"/>
      <c r="W156" s="520" t="str">
        <f>IF(V156="","",IF(VLOOKUP(V156,'G-7 Rivers Data'!$AG$4:$AI$9,2,FALSE)=0,"Spatial Data Missing ⚠",VLOOKUP(V156,'G-7 Rivers Data'!$AG$4:$AI$9,2,FALSE)))</f>
        <v/>
      </c>
      <c r="X156" s="524" t="str">
        <f>IF(V156="","",IF(VLOOKUP(V156,'G-7 Rivers Data'!$AG$4:$AI$9,3,FALSE)=0,"Spatial Data Missing ⚠",VLOOKUP(V156,'G-7 Rivers Data'!$AG$4:$AI$9,3,FALSE)))</f>
        <v/>
      </c>
      <c r="Y156" s="537" t="str">
        <f>IFERROR(IF(OR(LEFT(P156,5)="Error ▲",LEFT(O156,5)="Error ▲"),"Check Data ⚠",IF(F156&lt;S156,'G-7 Rivers Data'!$R$3,INDEX('G-7 Rivers Data'!$U$5:$Y$9,MATCH(G156,'G-7 Rivers Data'!$T$5:$T$9,0),MATCH(T156,'G-7 Rivers Data'!$U$4:$Y$4,0)))),"")</f>
        <v/>
      </c>
      <c r="Z156" s="203"/>
      <c r="AA156" s="203"/>
      <c r="AB156" s="534" t="str">
        <f t="shared" si="16"/>
        <v/>
      </c>
      <c r="AC156" s="521" t="str">
        <f t="shared" si="17"/>
        <v/>
      </c>
      <c r="AD156" s="564" t="str">
        <f>IFERROR(IF(AC156="Check Data ⚠","Check Data ⚠",VLOOKUP(AC156,'G-4 Temporal multipliers'!$A$4:$C$37,3,FALSE)),"")</f>
        <v/>
      </c>
      <c r="AE156" s="537" t="str">
        <f>IF(N156="","",VLOOKUP(N156,'G-7 Rivers Data'!$B$4:$G$8,5,FALSE))</f>
        <v/>
      </c>
      <c r="AF156" s="520" t="str">
        <f t="shared" si="18"/>
        <v/>
      </c>
      <c r="AG156" s="520" t="str">
        <f t="shared" si="22"/>
        <v/>
      </c>
      <c r="AH156" s="524" t="str">
        <f t="shared" si="19"/>
        <v/>
      </c>
      <c r="AI156" s="145"/>
      <c r="AJ156" s="499" t="str">
        <f>IF(AI156="","",IF(VLOOKUP(AI156,'G-7 Rivers Data'!$AA$4:$AB$7,2,FALSE)=0,"Spatial Data Missing ⚠",VLOOKUP(AI156,'G-7 Rivers Data'!$AA$4:$AB$7,2,FALSE)))</f>
        <v/>
      </c>
      <c r="AK156" s="155"/>
      <c r="AL156" s="536" t="str">
        <f>IF(AK156="","",IF(VLOOKUP(AK156,'G-7 Rivers Data'!$AD$4:$AE$8,2,FALSE)=0,"Spatial Data Missing ⚠",VLOOKUP(AK156,'G-7 Rivers Data'!$AD$4:$AE$8,2,FALSE)))</f>
        <v/>
      </c>
      <c r="AM156" s="154"/>
      <c r="AN156" s="524" t="str">
        <f>IF(AM156="","",VLOOKUP(AM156,'G-7 Rivers Data'!$AO$4:$AP$7,2,FALSE))</f>
        <v/>
      </c>
      <c r="AO156" s="545" t="str">
        <f t="shared" si="23"/>
        <v/>
      </c>
      <c r="AP156" s="149"/>
      <c r="AQ156" s="150"/>
      <c r="AX156" s="31" t="str">
        <f>IFERROR(INDEX('G-7 Rivers Data'!$AZ$3:$AZ$7,MATCH(N156,'G-7 Rivers Data'!$AY$3:$AY$7,0)),"")</f>
        <v/>
      </c>
    </row>
    <row r="157" spans="2:50" ht="14" x14ac:dyDescent="0.3">
      <c r="B157" s="531" t="str">
        <f>'F-1 Off Site River Baseline'!AN155</f>
        <v/>
      </c>
      <c r="C157" s="520" t="str">
        <f>IF(B157="","",VLOOKUP($B157,'F-1 Off Site River Baseline'!$C$9:$R$257,2,FALSE))</f>
        <v/>
      </c>
      <c r="D157" s="520" t="str">
        <f>IF(C157="","",VLOOKUP($B157,'F-1 Off Site River Baseline'!$C$9:$R$257,3,FALSE))</f>
        <v/>
      </c>
      <c r="E157" s="520" t="str">
        <f>IF(D157="","",VLOOKUP($B157,'F-1 Off Site River Baseline'!$C$9:$R$257,4,FALSE))</f>
        <v/>
      </c>
      <c r="F157" s="520" t="str">
        <f>IF(E157="","",VLOOKUP($B157,'F-1 Off Site River Baseline'!$C$9:$R$257,5,FALSE))</f>
        <v/>
      </c>
      <c r="G157" s="520" t="str">
        <f>IF(F157="","",VLOOKUP($B157,'F-1 Off Site River Baseline'!$C$9:$R$257,6,FALSE))</f>
        <v/>
      </c>
      <c r="H157" s="520" t="str">
        <f>IF(G157="","",VLOOKUP($B157,'F-1 Off Site River Baseline'!$C$9:$R$257,7,FALSE))</f>
        <v/>
      </c>
      <c r="I157" s="520" t="str">
        <f>IF(H157="","",VLOOKUP($B157,'F-1 Off Site River Baseline'!$C$9:$R$257,8,FALSE))</f>
        <v/>
      </c>
      <c r="J157" s="520" t="str">
        <f>IF(I157="","",VLOOKUP($B157,'F-1 Off Site River Baseline'!$C$9:$R$257,9,FALSE))</f>
        <v/>
      </c>
      <c r="K157" s="520" t="str">
        <f>IF(J157="","",VLOOKUP($B157,'F-1 Off Site River Baseline'!$C$9:$R$257,10,FALSE))</f>
        <v/>
      </c>
      <c r="L157" s="520" t="str">
        <f>IF(B157="","",VLOOKUP($B157,'C-1 Site River Baseline'!$C$9:$R$257,15,FALSE))</f>
        <v/>
      </c>
      <c r="M157" s="524" t="str">
        <f>IF(L157="","",VLOOKUP($B157,'F-1 Off Site River Baseline'!$C$9:$R$257,16,FALSE))</f>
        <v/>
      </c>
      <c r="N157" s="418" t="str">
        <f t="shared" si="20"/>
        <v/>
      </c>
      <c r="O157" s="498" t="str">
        <f t="shared" si="21"/>
        <v/>
      </c>
      <c r="P157" s="499" t="str">
        <f>IF(C157="","",IF(AND(LEFT(C157,55)&lt;&gt;LEFT(N157,55),O157="High - High"),"Error - Not like for like ▲",IF(AND(F157=S157,H157&gt;U157),"Error - Can not reduce condition ▲",IF(AND(F157=S157,H157=U157,AJ157='F-1 Off Site River Baseline'!N155,'F-1 Off Site River Baseline'!P155=AL157),"Error - No enhancement ▲",IF(AND(C157&lt;&gt;N157,F157&lt;S157),"Lower Distinctiveness Habitat"&amp;" - "&amp;T157,G157&amp;" - "&amp;T157)))))</f>
        <v/>
      </c>
      <c r="Q157" s="505" t="str">
        <f>IF(N157="","",VLOOKUP(B157,'F-1 Off Site River Baseline'!$C$10:$AA$257,19,FALSE))</f>
        <v/>
      </c>
      <c r="R157" s="498" t="str">
        <f>IF(N157="","",VLOOKUP(N157,'G-7 Rivers Data'!$B$2:$G$8,2,FALSE))</f>
        <v/>
      </c>
      <c r="S157" s="499" t="str">
        <f>IFERROR(VLOOKUP(R157,'G-7 Rivers Data'!$C$4:$D$8,2,FALSE),"")</f>
        <v/>
      </c>
      <c r="T157" s="145"/>
      <c r="U157" s="499" t="str">
        <f>IFERROR(INDEX('G-7 Rivers Data'!$H$4:$L$8,MATCH(N157,'G-7 Rivers Data'!$B$4:$B$8,0),MATCH(T157,'G-7 Rivers Data'!$H$3:$L$3,0)),"")</f>
        <v/>
      </c>
      <c r="V157" s="154"/>
      <c r="W157" s="520" t="str">
        <f>IF(V157="","",IF(VLOOKUP(V157,'G-7 Rivers Data'!$AG$4:$AI$9,2,FALSE)=0,"Spatial Data Missing ⚠",VLOOKUP(V157,'G-7 Rivers Data'!$AG$4:$AI$9,2,FALSE)))</f>
        <v/>
      </c>
      <c r="X157" s="524" t="str">
        <f>IF(V157="","",IF(VLOOKUP(V157,'G-7 Rivers Data'!$AG$4:$AI$9,3,FALSE)=0,"Spatial Data Missing ⚠",VLOOKUP(V157,'G-7 Rivers Data'!$AG$4:$AI$9,3,FALSE)))</f>
        <v/>
      </c>
      <c r="Y157" s="537" t="str">
        <f>IFERROR(IF(OR(LEFT(P157,5)="Error ▲",LEFT(O157,5)="Error ▲"),"Check Data ⚠",IF(F157&lt;S157,'G-7 Rivers Data'!$R$3,INDEX('G-7 Rivers Data'!$U$5:$Y$9,MATCH(G157,'G-7 Rivers Data'!$T$5:$T$9,0),MATCH(T157,'G-7 Rivers Data'!$U$4:$Y$4,0)))),"")</f>
        <v/>
      </c>
      <c r="Z157" s="203"/>
      <c r="AA157" s="203"/>
      <c r="AB157" s="534" t="str">
        <f t="shared" si="16"/>
        <v/>
      </c>
      <c r="AC157" s="521" t="str">
        <f t="shared" si="17"/>
        <v/>
      </c>
      <c r="AD157" s="564" t="str">
        <f>IFERROR(IF(AC157="Check Data ⚠","Check Data ⚠",VLOOKUP(AC157,'G-4 Temporal multipliers'!$A$4:$C$37,3,FALSE)),"")</f>
        <v/>
      </c>
      <c r="AE157" s="537" t="str">
        <f>IF(N157="","",VLOOKUP(N157,'G-7 Rivers Data'!$B$4:$G$8,5,FALSE))</f>
        <v/>
      </c>
      <c r="AF157" s="520" t="str">
        <f t="shared" si="18"/>
        <v/>
      </c>
      <c r="AG157" s="520" t="str">
        <f t="shared" si="22"/>
        <v/>
      </c>
      <c r="AH157" s="524" t="str">
        <f t="shared" si="19"/>
        <v/>
      </c>
      <c r="AI157" s="145"/>
      <c r="AJ157" s="499" t="str">
        <f>IF(AI157="","",IF(VLOOKUP(AI157,'G-7 Rivers Data'!$AA$4:$AB$7,2,FALSE)=0,"Spatial Data Missing ⚠",VLOOKUP(AI157,'G-7 Rivers Data'!$AA$4:$AB$7,2,FALSE)))</f>
        <v/>
      </c>
      <c r="AK157" s="155"/>
      <c r="AL157" s="536" t="str">
        <f>IF(AK157="","",IF(VLOOKUP(AK157,'G-7 Rivers Data'!$AD$4:$AE$8,2,FALSE)=0,"Spatial Data Missing ⚠",VLOOKUP(AK157,'G-7 Rivers Data'!$AD$4:$AE$8,2,FALSE)))</f>
        <v/>
      </c>
      <c r="AM157" s="154"/>
      <c r="AN157" s="524" t="str">
        <f>IF(AM157="","",VLOOKUP(AM157,'G-7 Rivers Data'!$AO$4:$AP$7,2,FALSE))</f>
        <v/>
      </c>
      <c r="AO157" s="545" t="str">
        <f t="shared" si="23"/>
        <v/>
      </c>
      <c r="AP157" s="149"/>
      <c r="AQ157" s="150"/>
      <c r="AX157" s="31" t="str">
        <f>IFERROR(INDEX('G-7 Rivers Data'!$AZ$3:$AZ$7,MATCH(N157,'G-7 Rivers Data'!$AY$3:$AY$7,0)),"")</f>
        <v/>
      </c>
    </row>
    <row r="158" spans="2:50" ht="14" x14ac:dyDescent="0.3">
      <c r="B158" s="531" t="str">
        <f>'F-1 Off Site River Baseline'!AN156</f>
        <v/>
      </c>
      <c r="C158" s="520" t="str">
        <f>IF(B158="","",VLOOKUP($B158,'F-1 Off Site River Baseline'!$C$9:$R$257,2,FALSE))</f>
        <v/>
      </c>
      <c r="D158" s="520" t="str">
        <f>IF(C158="","",VLOOKUP($B158,'F-1 Off Site River Baseline'!$C$9:$R$257,3,FALSE))</f>
        <v/>
      </c>
      <c r="E158" s="520" t="str">
        <f>IF(D158="","",VLOOKUP($B158,'F-1 Off Site River Baseline'!$C$9:$R$257,4,FALSE))</f>
        <v/>
      </c>
      <c r="F158" s="520" t="str">
        <f>IF(E158="","",VLOOKUP($B158,'F-1 Off Site River Baseline'!$C$9:$R$257,5,FALSE))</f>
        <v/>
      </c>
      <c r="G158" s="520" t="str">
        <f>IF(F158="","",VLOOKUP($B158,'F-1 Off Site River Baseline'!$C$9:$R$257,6,FALSE))</f>
        <v/>
      </c>
      <c r="H158" s="520" t="str">
        <f>IF(G158="","",VLOOKUP($B158,'F-1 Off Site River Baseline'!$C$9:$R$257,7,FALSE))</f>
        <v/>
      </c>
      <c r="I158" s="520" t="str">
        <f>IF(H158="","",VLOOKUP($B158,'F-1 Off Site River Baseline'!$C$9:$R$257,8,FALSE))</f>
        <v/>
      </c>
      <c r="J158" s="520" t="str">
        <f>IF(I158="","",VLOOKUP($B158,'F-1 Off Site River Baseline'!$C$9:$R$257,9,FALSE))</f>
        <v/>
      </c>
      <c r="K158" s="520" t="str">
        <f>IF(J158="","",VLOOKUP($B158,'F-1 Off Site River Baseline'!$C$9:$R$257,10,FALSE))</f>
        <v/>
      </c>
      <c r="L158" s="520" t="str">
        <f>IF(B158="","",VLOOKUP($B158,'C-1 Site River Baseline'!$C$9:$R$257,15,FALSE))</f>
        <v/>
      </c>
      <c r="M158" s="524" t="str">
        <f>IF(L158="","",VLOOKUP($B158,'F-1 Off Site River Baseline'!$C$9:$R$257,16,FALSE))</f>
        <v/>
      </c>
      <c r="N158" s="418" t="str">
        <f t="shared" si="20"/>
        <v/>
      </c>
      <c r="O158" s="498" t="str">
        <f t="shared" si="21"/>
        <v/>
      </c>
      <c r="P158" s="499" t="str">
        <f>IF(C158="","",IF(AND(LEFT(C158,55)&lt;&gt;LEFT(N158,55),O158="High - High"),"Error - Not like for like ▲",IF(AND(F158=S158,H158&gt;U158),"Error - Can not reduce condition ▲",IF(AND(F158=S158,H158=U158,AJ158='F-1 Off Site River Baseline'!N156,'F-1 Off Site River Baseline'!P156=AL158),"Error - No enhancement ▲",IF(AND(C158&lt;&gt;N158,F158&lt;S158),"Lower Distinctiveness Habitat"&amp;" - "&amp;T158,G158&amp;" - "&amp;T158)))))</f>
        <v/>
      </c>
      <c r="Q158" s="505" t="str">
        <f>IF(N158="","",VLOOKUP(B158,'F-1 Off Site River Baseline'!$C$10:$AA$257,19,FALSE))</f>
        <v/>
      </c>
      <c r="R158" s="498" t="str">
        <f>IF(N158="","",VLOOKUP(N158,'G-7 Rivers Data'!$B$2:$G$8,2,FALSE))</f>
        <v/>
      </c>
      <c r="S158" s="499" t="str">
        <f>IFERROR(VLOOKUP(R158,'G-7 Rivers Data'!$C$4:$D$8,2,FALSE),"")</f>
        <v/>
      </c>
      <c r="T158" s="145"/>
      <c r="U158" s="499" t="str">
        <f>IFERROR(INDEX('G-7 Rivers Data'!$H$4:$L$8,MATCH(N158,'G-7 Rivers Data'!$B$4:$B$8,0),MATCH(T158,'G-7 Rivers Data'!$H$3:$L$3,0)),"")</f>
        <v/>
      </c>
      <c r="V158" s="154"/>
      <c r="W158" s="520" t="str">
        <f>IF(V158="","",IF(VLOOKUP(V158,'G-7 Rivers Data'!$AG$4:$AI$9,2,FALSE)=0,"Spatial Data Missing ⚠",VLOOKUP(V158,'G-7 Rivers Data'!$AG$4:$AI$9,2,FALSE)))</f>
        <v/>
      </c>
      <c r="X158" s="524" t="str">
        <f>IF(V158="","",IF(VLOOKUP(V158,'G-7 Rivers Data'!$AG$4:$AI$9,3,FALSE)=0,"Spatial Data Missing ⚠",VLOOKUP(V158,'G-7 Rivers Data'!$AG$4:$AI$9,3,FALSE)))</f>
        <v/>
      </c>
      <c r="Y158" s="537" t="str">
        <f>IFERROR(IF(OR(LEFT(P158,5)="Error ▲",LEFT(O158,5)="Error ▲"),"Check Data ⚠",IF(F158&lt;S158,'G-7 Rivers Data'!$R$3,INDEX('G-7 Rivers Data'!$U$5:$Y$9,MATCH(G158,'G-7 Rivers Data'!$T$5:$T$9,0),MATCH(T158,'G-7 Rivers Data'!$U$4:$Y$4,0)))),"")</f>
        <v/>
      </c>
      <c r="Z158" s="203"/>
      <c r="AA158" s="203"/>
      <c r="AB158" s="534" t="str">
        <f t="shared" si="16"/>
        <v/>
      </c>
      <c r="AC158" s="521" t="str">
        <f t="shared" si="17"/>
        <v/>
      </c>
      <c r="AD158" s="564" t="str">
        <f>IFERROR(IF(AC158="Check Data ⚠","Check Data ⚠",VLOOKUP(AC158,'G-4 Temporal multipliers'!$A$4:$C$37,3,FALSE)),"")</f>
        <v/>
      </c>
      <c r="AE158" s="537" t="str">
        <f>IF(N158="","",VLOOKUP(N158,'G-7 Rivers Data'!$B$4:$G$8,5,FALSE))</f>
        <v/>
      </c>
      <c r="AF158" s="520" t="str">
        <f t="shared" si="18"/>
        <v/>
      </c>
      <c r="AG158" s="520" t="str">
        <f t="shared" si="22"/>
        <v/>
      </c>
      <c r="AH158" s="524" t="str">
        <f t="shared" si="19"/>
        <v/>
      </c>
      <c r="AI158" s="145"/>
      <c r="AJ158" s="499" t="str">
        <f>IF(AI158="","",IF(VLOOKUP(AI158,'G-7 Rivers Data'!$AA$4:$AB$7,2,FALSE)=0,"Spatial Data Missing ⚠",VLOOKUP(AI158,'G-7 Rivers Data'!$AA$4:$AB$7,2,FALSE)))</f>
        <v/>
      </c>
      <c r="AK158" s="155"/>
      <c r="AL158" s="536" t="str">
        <f>IF(AK158="","",IF(VLOOKUP(AK158,'G-7 Rivers Data'!$AD$4:$AE$8,2,FALSE)=0,"Spatial Data Missing ⚠",VLOOKUP(AK158,'G-7 Rivers Data'!$AD$4:$AE$8,2,FALSE)))</f>
        <v/>
      </c>
      <c r="AM158" s="154"/>
      <c r="AN158" s="524" t="str">
        <f>IF(AM158="","",VLOOKUP(AM158,'G-7 Rivers Data'!$AO$4:$AP$7,2,FALSE))</f>
        <v/>
      </c>
      <c r="AO158" s="545" t="str">
        <f t="shared" si="23"/>
        <v/>
      </c>
      <c r="AP158" s="149"/>
      <c r="AQ158" s="150"/>
      <c r="AX158" s="31" t="str">
        <f>IFERROR(INDEX('G-7 Rivers Data'!$AZ$3:$AZ$7,MATCH(N158,'G-7 Rivers Data'!$AY$3:$AY$7,0)),"")</f>
        <v/>
      </c>
    </row>
    <row r="159" spans="2:50" ht="14" x14ac:dyDescent="0.3">
      <c r="B159" s="531" t="str">
        <f>'F-1 Off Site River Baseline'!AN157</f>
        <v/>
      </c>
      <c r="C159" s="520" t="str">
        <f>IF(B159="","",VLOOKUP($B159,'F-1 Off Site River Baseline'!$C$9:$R$257,2,FALSE))</f>
        <v/>
      </c>
      <c r="D159" s="520" t="str">
        <f>IF(C159="","",VLOOKUP($B159,'F-1 Off Site River Baseline'!$C$9:$R$257,3,FALSE))</f>
        <v/>
      </c>
      <c r="E159" s="520" t="str">
        <f>IF(D159="","",VLOOKUP($B159,'F-1 Off Site River Baseline'!$C$9:$R$257,4,FALSE))</f>
        <v/>
      </c>
      <c r="F159" s="520" t="str">
        <f>IF(E159="","",VLOOKUP($B159,'F-1 Off Site River Baseline'!$C$9:$R$257,5,FALSE))</f>
        <v/>
      </c>
      <c r="G159" s="520" t="str">
        <f>IF(F159="","",VLOOKUP($B159,'F-1 Off Site River Baseline'!$C$9:$R$257,6,FALSE))</f>
        <v/>
      </c>
      <c r="H159" s="520" t="str">
        <f>IF(G159="","",VLOOKUP($B159,'F-1 Off Site River Baseline'!$C$9:$R$257,7,FALSE))</f>
        <v/>
      </c>
      <c r="I159" s="520" t="str">
        <f>IF(H159="","",VLOOKUP($B159,'F-1 Off Site River Baseline'!$C$9:$R$257,8,FALSE))</f>
        <v/>
      </c>
      <c r="J159" s="520" t="str">
        <f>IF(I159="","",VLOOKUP($B159,'F-1 Off Site River Baseline'!$C$9:$R$257,9,FALSE))</f>
        <v/>
      </c>
      <c r="K159" s="520" t="str">
        <f>IF(J159="","",VLOOKUP($B159,'F-1 Off Site River Baseline'!$C$9:$R$257,10,FALSE))</f>
        <v/>
      </c>
      <c r="L159" s="520" t="str">
        <f>IF(B159="","",VLOOKUP($B159,'C-1 Site River Baseline'!$C$9:$R$257,15,FALSE))</f>
        <v/>
      </c>
      <c r="M159" s="524" t="str">
        <f>IF(L159="","",VLOOKUP($B159,'F-1 Off Site River Baseline'!$C$9:$R$257,16,FALSE))</f>
        <v/>
      </c>
      <c r="N159" s="418" t="str">
        <f t="shared" si="20"/>
        <v/>
      </c>
      <c r="O159" s="498" t="str">
        <f t="shared" si="21"/>
        <v/>
      </c>
      <c r="P159" s="499" t="str">
        <f>IF(C159="","",IF(AND(LEFT(C159,55)&lt;&gt;LEFT(N159,55),O159="High - High"),"Error - Not like for like ▲",IF(AND(F159=S159,H159&gt;U159),"Error - Can not reduce condition ▲",IF(AND(F159=S159,H159=U159,AJ159='F-1 Off Site River Baseline'!N157,'F-1 Off Site River Baseline'!P157=AL159),"Error - No enhancement ▲",IF(AND(C159&lt;&gt;N159,F159&lt;S159),"Lower Distinctiveness Habitat"&amp;" - "&amp;T159,G159&amp;" - "&amp;T159)))))</f>
        <v/>
      </c>
      <c r="Q159" s="505" t="str">
        <f>IF(N159="","",VLOOKUP(B159,'F-1 Off Site River Baseline'!$C$10:$AA$257,19,FALSE))</f>
        <v/>
      </c>
      <c r="R159" s="498" t="str">
        <f>IF(N159="","",VLOOKUP(N159,'G-7 Rivers Data'!$B$2:$G$8,2,FALSE))</f>
        <v/>
      </c>
      <c r="S159" s="499" t="str">
        <f>IFERROR(VLOOKUP(R159,'G-7 Rivers Data'!$C$4:$D$8,2,FALSE),"")</f>
        <v/>
      </c>
      <c r="T159" s="145"/>
      <c r="U159" s="499" t="str">
        <f>IFERROR(INDEX('G-7 Rivers Data'!$H$4:$L$8,MATCH(N159,'G-7 Rivers Data'!$B$4:$B$8,0),MATCH(T159,'G-7 Rivers Data'!$H$3:$L$3,0)),"")</f>
        <v/>
      </c>
      <c r="V159" s="154"/>
      <c r="W159" s="520" t="str">
        <f>IF(V159="","",IF(VLOOKUP(V159,'G-7 Rivers Data'!$AG$4:$AI$9,2,FALSE)=0,"Spatial Data Missing ⚠",VLOOKUP(V159,'G-7 Rivers Data'!$AG$4:$AI$9,2,FALSE)))</f>
        <v/>
      </c>
      <c r="X159" s="524" t="str">
        <f>IF(V159="","",IF(VLOOKUP(V159,'G-7 Rivers Data'!$AG$4:$AI$9,3,FALSE)=0,"Spatial Data Missing ⚠",VLOOKUP(V159,'G-7 Rivers Data'!$AG$4:$AI$9,3,FALSE)))</f>
        <v/>
      </c>
      <c r="Y159" s="537" t="str">
        <f>IFERROR(IF(OR(LEFT(P159,5)="Error ▲",LEFT(O159,5)="Error ▲"),"Check Data ⚠",IF(F159&lt;S159,'G-7 Rivers Data'!$R$3,INDEX('G-7 Rivers Data'!$U$5:$Y$9,MATCH(G159,'G-7 Rivers Data'!$T$5:$T$9,0),MATCH(T159,'G-7 Rivers Data'!$U$4:$Y$4,0)))),"")</f>
        <v/>
      </c>
      <c r="Z159" s="203"/>
      <c r="AA159" s="203"/>
      <c r="AB159" s="534" t="str">
        <f t="shared" si="16"/>
        <v/>
      </c>
      <c r="AC159" s="521" t="str">
        <f t="shared" si="17"/>
        <v/>
      </c>
      <c r="AD159" s="564" t="str">
        <f>IFERROR(IF(AC159="Check Data ⚠","Check Data ⚠",VLOOKUP(AC159,'G-4 Temporal multipliers'!$A$4:$C$37,3,FALSE)),"")</f>
        <v/>
      </c>
      <c r="AE159" s="537" t="str">
        <f>IF(N159="","",VLOOKUP(N159,'G-7 Rivers Data'!$B$4:$G$8,5,FALSE))</f>
        <v/>
      </c>
      <c r="AF159" s="520" t="str">
        <f t="shared" si="18"/>
        <v/>
      </c>
      <c r="AG159" s="520" t="str">
        <f t="shared" si="22"/>
        <v/>
      </c>
      <c r="AH159" s="524" t="str">
        <f t="shared" si="19"/>
        <v/>
      </c>
      <c r="AI159" s="145"/>
      <c r="AJ159" s="499" t="str">
        <f>IF(AI159="","",IF(VLOOKUP(AI159,'G-7 Rivers Data'!$AA$4:$AB$7,2,FALSE)=0,"Spatial Data Missing ⚠",VLOOKUP(AI159,'G-7 Rivers Data'!$AA$4:$AB$7,2,FALSE)))</f>
        <v/>
      </c>
      <c r="AK159" s="155"/>
      <c r="AL159" s="536" t="str">
        <f>IF(AK159="","",IF(VLOOKUP(AK159,'G-7 Rivers Data'!$AD$4:$AE$8,2,FALSE)=0,"Spatial Data Missing ⚠",VLOOKUP(AK159,'G-7 Rivers Data'!$AD$4:$AE$8,2,FALSE)))</f>
        <v/>
      </c>
      <c r="AM159" s="154"/>
      <c r="AN159" s="524" t="str">
        <f>IF(AM159="","",VLOOKUP(AM159,'G-7 Rivers Data'!$AO$4:$AP$7,2,FALSE))</f>
        <v/>
      </c>
      <c r="AO159" s="545" t="str">
        <f t="shared" si="23"/>
        <v/>
      </c>
      <c r="AP159" s="149"/>
      <c r="AQ159" s="150"/>
      <c r="AX159" s="31" t="str">
        <f>IFERROR(INDEX('G-7 Rivers Data'!$AZ$3:$AZ$7,MATCH(N159,'G-7 Rivers Data'!$AY$3:$AY$7,0)),"")</f>
        <v/>
      </c>
    </row>
    <row r="160" spans="2:50" ht="14" x14ac:dyDescent="0.3">
      <c r="B160" s="531" t="str">
        <f>'F-1 Off Site River Baseline'!AN158</f>
        <v/>
      </c>
      <c r="C160" s="520" t="str">
        <f>IF(B160="","",VLOOKUP($B160,'F-1 Off Site River Baseline'!$C$9:$R$257,2,FALSE))</f>
        <v/>
      </c>
      <c r="D160" s="520" t="str">
        <f>IF(C160="","",VLOOKUP($B160,'F-1 Off Site River Baseline'!$C$9:$R$257,3,FALSE))</f>
        <v/>
      </c>
      <c r="E160" s="520" t="str">
        <f>IF(D160="","",VLOOKUP($B160,'F-1 Off Site River Baseline'!$C$9:$R$257,4,FALSE))</f>
        <v/>
      </c>
      <c r="F160" s="520" t="str">
        <f>IF(E160="","",VLOOKUP($B160,'F-1 Off Site River Baseline'!$C$9:$R$257,5,FALSE))</f>
        <v/>
      </c>
      <c r="G160" s="520" t="str">
        <f>IF(F160="","",VLOOKUP($B160,'F-1 Off Site River Baseline'!$C$9:$R$257,6,FALSE))</f>
        <v/>
      </c>
      <c r="H160" s="520" t="str">
        <f>IF(G160="","",VLOOKUP($B160,'F-1 Off Site River Baseline'!$C$9:$R$257,7,FALSE))</f>
        <v/>
      </c>
      <c r="I160" s="520" t="str">
        <f>IF(H160="","",VLOOKUP($B160,'F-1 Off Site River Baseline'!$C$9:$R$257,8,FALSE))</f>
        <v/>
      </c>
      <c r="J160" s="520" t="str">
        <f>IF(I160="","",VLOOKUP($B160,'F-1 Off Site River Baseline'!$C$9:$R$257,9,FALSE))</f>
        <v/>
      </c>
      <c r="K160" s="520" t="str">
        <f>IF(J160="","",VLOOKUP($B160,'F-1 Off Site River Baseline'!$C$9:$R$257,10,FALSE))</f>
        <v/>
      </c>
      <c r="L160" s="520" t="str">
        <f>IF(B160="","",VLOOKUP($B160,'C-1 Site River Baseline'!$C$9:$R$257,15,FALSE))</f>
        <v/>
      </c>
      <c r="M160" s="524" t="str">
        <f>IF(L160="","",VLOOKUP($B160,'F-1 Off Site River Baseline'!$C$9:$R$257,16,FALSE))</f>
        <v/>
      </c>
      <c r="N160" s="418" t="str">
        <f t="shared" si="20"/>
        <v/>
      </c>
      <c r="O160" s="498" t="str">
        <f t="shared" si="21"/>
        <v/>
      </c>
      <c r="P160" s="499" t="str">
        <f>IF(C160="","",IF(AND(LEFT(C160,55)&lt;&gt;LEFT(N160,55),O160="High - High"),"Error - Not like for like ▲",IF(AND(F160=S160,H160&gt;U160),"Error - Can not reduce condition ▲",IF(AND(F160=S160,H160=U160,AJ160='F-1 Off Site River Baseline'!N158,'F-1 Off Site River Baseline'!P158=AL160),"Error - No enhancement ▲",IF(AND(C160&lt;&gt;N160,F160&lt;S160),"Lower Distinctiveness Habitat"&amp;" - "&amp;T160,G160&amp;" - "&amp;T160)))))</f>
        <v/>
      </c>
      <c r="Q160" s="505" t="str">
        <f>IF(N160="","",VLOOKUP(B160,'F-1 Off Site River Baseline'!$C$10:$AA$257,19,FALSE))</f>
        <v/>
      </c>
      <c r="R160" s="498" t="str">
        <f>IF(N160="","",VLOOKUP(N160,'G-7 Rivers Data'!$B$2:$G$8,2,FALSE))</f>
        <v/>
      </c>
      <c r="S160" s="499" t="str">
        <f>IFERROR(VLOOKUP(R160,'G-7 Rivers Data'!$C$4:$D$8,2,FALSE),"")</f>
        <v/>
      </c>
      <c r="T160" s="145"/>
      <c r="U160" s="499" t="str">
        <f>IFERROR(INDEX('G-7 Rivers Data'!$H$4:$L$8,MATCH(N160,'G-7 Rivers Data'!$B$4:$B$8,0),MATCH(T160,'G-7 Rivers Data'!$H$3:$L$3,0)),"")</f>
        <v/>
      </c>
      <c r="V160" s="154"/>
      <c r="W160" s="520" t="str">
        <f>IF(V160="","",IF(VLOOKUP(V160,'G-7 Rivers Data'!$AG$4:$AI$9,2,FALSE)=0,"Spatial Data Missing ⚠",VLOOKUP(V160,'G-7 Rivers Data'!$AG$4:$AI$9,2,FALSE)))</f>
        <v/>
      </c>
      <c r="X160" s="524" t="str">
        <f>IF(V160="","",IF(VLOOKUP(V160,'G-7 Rivers Data'!$AG$4:$AI$9,3,FALSE)=0,"Spatial Data Missing ⚠",VLOOKUP(V160,'G-7 Rivers Data'!$AG$4:$AI$9,3,FALSE)))</f>
        <v/>
      </c>
      <c r="Y160" s="537" t="str">
        <f>IFERROR(IF(OR(LEFT(P160,5)="Error ▲",LEFT(O160,5)="Error ▲"),"Check Data ⚠",IF(F160&lt;S160,'G-7 Rivers Data'!$R$3,INDEX('G-7 Rivers Data'!$U$5:$Y$9,MATCH(G160,'G-7 Rivers Data'!$T$5:$T$9,0),MATCH(T160,'G-7 Rivers Data'!$U$4:$Y$4,0)))),"")</f>
        <v/>
      </c>
      <c r="Z160" s="203"/>
      <c r="AA160" s="203"/>
      <c r="AB160" s="534" t="str">
        <f t="shared" si="16"/>
        <v/>
      </c>
      <c r="AC160" s="521" t="str">
        <f t="shared" si="17"/>
        <v/>
      </c>
      <c r="AD160" s="564" t="str">
        <f>IFERROR(IF(AC160="Check Data ⚠","Check Data ⚠",VLOOKUP(AC160,'G-4 Temporal multipliers'!$A$4:$C$37,3,FALSE)),"")</f>
        <v/>
      </c>
      <c r="AE160" s="537" t="str">
        <f>IF(N160="","",VLOOKUP(N160,'G-7 Rivers Data'!$B$4:$G$8,5,FALSE))</f>
        <v/>
      </c>
      <c r="AF160" s="520" t="str">
        <f t="shared" si="18"/>
        <v/>
      </c>
      <c r="AG160" s="520" t="str">
        <f t="shared" si="22"/>
        <v/>
      </c>
      <c r="AH160" s="524" t="str">
        <f t="shared" si="19"/>
        <v/>
      </c>
      <c r="AI160" s="145"/>
      <c r="AJ160" s="499" t="str">
        <f>IF(AI160="","",IF(VLOOKUP(AI160,'G-7 Rivers Data'!$AA$4:$AB$7,2,FALSE)=0,"Spatial Data Missing ⚠",VLOOKUP(AI160,'G-7 Rivers Data'!$AA$4:$AB$7,2,FALSE)))</f>
        <v/>
      </c>
      <c r="AK160" s="155"/>
      <c r="AL160" s="536" t="str">
        <f>IF(AK160="","",IF(VLOOKUP(AK160,'G-7 Rivers Data'!$AD$4:$AE$8,2,FALSE)=0,"Spatial Data Missing ⚠",VLOOKUP(AK160,'G-7 Rivers Data'!$AD$4:$AE$8,2,FALSE)))</f>
        <v/>
      </c>
      <c r="AM160" s="154"/>
      <c r="AN160" s="524" t="str">
        <f>IF(AM160="","",VLOOKUP(AM160,'G-7 Rivers Data'!$AO$4:$AP$7,2,FALSE))</f>
        <v/>
      </c>
      <c r="AO160" s="545" t="str">
        <f t="shared" si="23"/>
        <v/>
      </c>
      <c r="AP160" s="149"/>
      <c r="AQ160" s="150"/>
      <c r="AX160" s="31" t="str">
        <f>IFERROR(INDEX('G-7 Rivers Data'!$AZ$3:$AZ$7,MATCH(N160,'G-7 Rivers Data'!$AY$3:$AY$7,0)),"")</f>
        <v/>
      </c>
    </row>
    <row r="161" spans="2:50" ht="14" x14ac:dyDescent="0.3">
      <c r="B161" s="531" t="str">
        <f>'F-1 Off Site River Baseline'!AN159</f>
        <v/>
      </c>
      <c r="C161" s="520" t="str">
        <f>IF(B161="","",VLOOKUP($B161,'F-1 Off Site River Baseline'!$C$9:$R$257,2,FALSE))</f>
        <v/>
      </c>
      <c r="D161" s="520" t="str">
        <f>IF(C161="","",VLOOKUP($B161,'F-1 Off Site River Baseline'!$C$9:$R$257,3,FALSE))</f>
        <v/>
      </c>
      <c r="E161" s="520" t="str">
        <f>IF(D161="","",VLOOKUP($B161,'F-1 Off Site River Baseline'!$C$9:$R$257,4,FALSE))</f>
        <v/>
      </c>
      <c r="F161" s="520" t="str">
        <f>IF(E161="","",VLOOKUP($B161,'F-1 Off Site River Baseline'!$C$9:$R$257,5,FALSE))</f>
        <v/>
      </c>
      <c r="G161" s="520" t="str">
        <f>IF(F161="","",VLOOKUP($B161,'F-1 Off Site River Baseline'!$C$9:$R$257,6,FALSE))</f>
        <v/>
      </c>
      <c r="H161" s="520" t="str">
        <f>IF(G161="","",VLOOKUP($B161,'F-1 Off Site River Baseline'!$C$9:$R$257,7,FALSE))</f>
        <v/>
      </c>
      <c r="I161" s="520" t="str">
        <f>IF(H161="","",VLOOKUP($B161,'F-1 Off Site River Baseline'!$C$9:$R$257,8,FALSE))</f>
        <v/>
      </c>
      <c r="J161" s="520" t="str">
        <f>IF(I161="","",VLOOKUP($B161,'F-1 Off Site River Baseline'!$C$9:$R$257,9,FALSE))</f>
        <v/>
      </c>
      <c r="K161" s="520" t="str">
        <f>IF(J161="","",VLOOKUP($B161,'F-1 Off Site River Baseline'!$C$9:$R$257,10,FALSE))</f>
        <v/>
      </c>
      <c r="L161" s="520" t="str">
        <f>IF(B161="","",VLOOKUP($B161,'C-1 Site River Baseline'!$C$9:$R$257,15,FALSE))</f>
        <v/>
      </c>
      <c r="M161" s="524" t="str">
        <f>IF(L161="","",VLOOKUP($B161,'F-1 Off Site River Baseline'!$C$9:$R$257,16,FALSE))</f>
        <v/>
      </c>
      <c r="N161" s="418" t="str">
        <f t="shared" si="20"/>
        <v/>
      </c>
      <c r="O161" s="498" t="str">
        <f t="shared" si="21"/>
        <v/>
      </c>
      <c r="P161" s="499" t="str">
        <f>IF(C161="","",IF(AND(LEFT(C161,55)&lt;&gt;LEFT(N161,55),O161="High - High"),"Error - Not like for like ▲",IF(AND(F161=S161,H161&gt;U161),"Error - Can not reduce condition ▲",IF(AND(F161=S161,H161=U161,AJ161='F-1 Off Site River Baseline'!N159,'F-1 Off Site River Baseline'!P159=AL161),"Error - No enhancement ▲",IF(AND(C161&lt;&gt;N161,F161&lt;S161),"Lower Distinctiveness Habitat"&amp;" - "&amp;T161,G161&amp;" - "&amp;T161)))))</f>
        <v/>
      </c>
      <c r="Q161" s="505" t="str">
        <f>IF(N161="","",VLOOKUP(B161,'F-1 Off Site River Baseline'!$C$10:$AA$257,19,FALSE))</f>
        <v/>
      </c>
      <c r="R161" s="498" t="str">
        <f>IF(N161="","",VLOOKUP(N161,'G-7 Rivers Data'!$B$2:$G$8,2,FALSE))</f>
        <v/>
      </c>
      <c r="S161" s="499" t="str">
        <f>IFERROR(VLOOKUP(R161,'G-7 Rivers Data'!$C$4:$D$8,2,FALSE),"")</f>
        <v/>
      </c>
      <c r="T161" s="145"/>
      <c r="U161" s="499" t="str">
        <f>IFERROR(INDEX('G-7 Rivers Data'!$H$4:$L$8,MATCH(N161,'G-7 Rivers Data'!$B$4:$B$8,0),MATCH(T161,'G-7 Rivers Data'!$H$3:$L$3,0)),"")</f>
        <v/>
      </c>
      <c r="V161" s="154"/>
      <c r="W161" s="520" t="str">
        <f>IF(V161="","",IF(VLOOKUP(V161,'G-7 Rivers Data'!$AG$4:$AI$9,2,FALSE)=0,"Spatial Data Missing ⚠",VLOOKUP(V161,'G-7 Rivers Data'!$AG$4:$AI$9,2,FALSE)))</f>
        <v/>
      </c>
      <c r="X161" s="524" t="str">
        <f>IF(V161="","",IF(VLOOKUP(V161,'G-7 Rivers Data'!$AG$4:$AI$9,3,FALSE)=0,"Spatial Data Missing ⚠",VLOOKUP(V161,'G-7 Rivers Data'!$AG$4:$AI$9,3,FALSE)))</f>
        <v/>
      </c>
      <c r="Y161" s="537" t="str">
        <f>IFERROR(IF(OR(LEFT(P161,5)="Error ▲",LEFT(O161,5)="Error ▲"),"Check Data ⚠",IF(F161&lt;S161,'G-7 Rivers Data'!$R$3,INDEX('G-7 Rivers Data'!$U$5:$Y$9,MATCH(G161,'G-7 Rivers Data'!$T$5:$T$9,0),MATCH(T161,'G-7 Rivers Data'!$U$4:$Y$4,0)))),"")</f>
        <v/>
      </c>
      <c r="Z161" s="203"/>
      <c r="AA161" s="203"/>
      <c r="AB161" s="534" t="str">
        <f t="shared" si="16"/>
        <v/>
      </c>
      <c r="AC161" s="521" t="str">
        <f t="shared" si="17"/>
        <v/>
      </c>
      <c r="AD161" s="564" t="str">
        <f>IFERROR(IF(AC161="Check Data ⚠","Check Data ⚠",VLOOKUP(AC161,'G-4 Temporal multipliers'!$A$4:$C$37,3,FALSE)),"")</f>
        <v/>
      </c>
      <c r="AE161" s="537" t="str">
        <f>IF(N161="","",VLOOKUP(N161,'G-7 Rivers Data'!$B$4:$G$8,5,FALSE))</f>
        <v/>
      </c>
      <c r="AF161" s="520" t="str">
        <f t="shared" si="18"/>
        <v/>
      </c>
      <c r="AG161" s="520" t="str">
        <f t="shared" si="22"/>
        <v/>
      </c>
      <c r="AH161" s="524" t="str">
        <f t="shared" si="19"/>
        <v/>
      </c>
      <c r="AI161" s="145"/>
      <c r="AJ161" s="499" t="str">
        <f>IF(AI161="","",IF(VLOOKUP(AI161,'G-7 Rivers Data'!$AA$4:$AB$7,2,FALSE)=0,"Spatial Data Missing ⚠",VLOOKUP(AI161,'G-7 Rivers Data'!$AA$4:$AB$7,2,FALSE)))</f>
        <v/>
      </c>
      <c r="AK161" s="155"/>
      <c r="AL161" s="536" t="str">
        <f>IF(AK161="","",IF(VLOOKUP(AK161,'G-7 Rivers Data'!$AD$4:$AE$8,2,FALSE)=0,"Spatial Data Missing ⚠",VLOOKUP(AK161,'G-7 Rivers Data'!$AD$4:$AE$8,2,FALSE)))</f>
        <v/>
      </c>
      <c r="AM161" s="154"/>
      <c r="AN161" s="524" t="str">
        <f>IF(AM161="","",VLOOKUP(AM161,'G-7 Rivers Data'!$AO$4:$AP$7,2,FALSE))</f>
        <v/>
      </c>
      <c r="AO161" s="545" t="str">
        <f t="shared" si="23"/>
        <v/>
      </c>
      <c r="AP161" s="149"/>
      <c r="AQ161" s="150"/>
      <c r="AX161" s="31" t="str">
        <f>IFERROR(INDEX('G-7 Rivers Data'!$AZ$3:$AZ$7,MATCH(N161,'G-7 Rivers Data'!$AY$3:$AY$7,0)),"")</f>
        <v/>
      </c>
    </row>
    <row r="162" spans="2:50" ht="14" x14ac:dyDescent="0.3">
      <c r="B162" s="531" t="str">
        <f>'F-1 Off Site River Baseline'!AN160</f>
        <v/>
      </c>
      <c r="C162" s="520" t="str">
        <f>IF(B162="","",VLOOKUP($B162,'F-1 Off Site River Baseline'!$C$9:$R$257,2,FALSE))</f>
        <v/>
      </c>
      <c r="D162" s="520" t="str">
        <f>IF(C162="","",VLOOKUP($B162,'F-1 Off Site River Baseline'!$C$9:$R$257,3,FALSE))</f>
        <v/>
      </c>
      <c r="E162" s="520" t="str">
        <f>IF(D162="","",VLOOKUP($B162,'F-1 Off Site River Baseline'!$C$9:$R$257,4,FALSE))</f>
        <v/>
      </c>
      <c r="F162" s="520" t="str">
        <f>IF(E162="","",VLOOKUP($B162,'F-1 Off Site River Baseline'!$C$9:$R$257,5,FALSE))</f>
        <v/>
      </c>
      <c r="G162" s="520" t="str">
        <f>IF(F162="","",VLOOKUP($B162,'F-1 Off Site River Baseline'!$C$9:$R$257,6,FALSE))</f>
        <v/>
      </c>
      <c r="H162" s="520" t="str">
        <f>IF(G162="","",VLOOKUP($B162,'F-1 Off Site River Baseline'!$C$9:$R$257,7,FALSE))</f>
        <v/>
      </c>
      <c r="I162" s="520" t="str">
        <f>IF(H162="","",VLOOKUP($B162,'F-1 Off Site River Baseline'!$C$9:$R$257,8,FALSE))</f>
        <v/>
      </c>
      <c r="J162" s="520" t="str">
        <f>IF(I162="","",VLOOKUP($B162,'F-1 Off Site River Baseline'!$C$9:$R$257,9,FALSE))</f>
        <v/>
      </c>
      <c r="K162" s="520" t="str">
        <f>IF(J162="","",VLOOKUP($B162,'F-1 Off Site River Baseline'!$C$9:$R$257,10,FALSE))</f>
        <v/>
      </c>
      <c r="L162" s="520" t="str">
        <f>IF(B162="","",VLOOKUP($B162,'C-1 Site River Baseline'!$C$9:$R$257,15,FALSE))</f>
        <v/>
      </c>
      <c r="M162" s="524" t="str">
        <f>IF(L162="","",VLOOKUP($B162,'F-1 Off Site River Baseline'!$C$9:$R$257,16,FALSE))</f>
        <v/>
      </c>
      <c r="N162" s="418" t="str">
        <f t="shared" si="20"/>
        <v/>
      </c>
      <c r="O162" s="498" t="str">
        <f t="shared" si="21"/>
        <v/>
      </c>
      <c r="P162" s="499" t="str">
        <f>IF(C162="","",IF(AND(LEFT(C162,55)&lt;&gt;LEFT(N162,55),O162="High - High"),"Error - Not like for like ▲",IF(AND(F162=S162,H162&gt;U162),"Error - Can not reduce condition ▲",IF(AND(F162=S162,H162=U162,AJ162='F-1 Off Site River Baseline'!N160,'F-1 Off Site River Baseline'!P160=AL162),"Error - No enhancement ▲",IF(AND(C162&lt;&gt;N162,F162&lt;S162),"Lower Distinctiveness Habitat"&amp;" - "&amp;T162,G162&amp;" - "&amp;T162)))))</f>
        <v/>
      </c>
      <c r="Q162" s="505" t="str">
        <f>IF(N162="","",VLOOKUP(B162,'F-1 Off Site River Baseline'!$C$10:$AA$257,19,FALSE))</f>
        <v/>
      </c>
      <c r="R162" s="498" t="str">
        <f>IF(N162="","",VLOOKUP(N162,'G-7 Rivers Data'!$B$2:$G$8,2,FALSE))</f>
        <v/>
      </c>
      <c r="S162" s="499" t="str">
        <f>IFERROR(VLOOKUP(R162,'G-7 Rivers Data'!$C$4:$D$8,2,FALSE),"")</f>
        <v/>
      </c>
      <c r="T162" s="145"/>
      <c r="U162" s="499" t="str">
        <f>IFERROR(INDEX('G-7 Rivers Data'!$H$4:$L$8,MATCH(N162,'G-7 Rivers Data'!$B$4:$B$8,0),MATCH(T162,'G-7 Rivers Data'!$H$3:$L$3,0)),"")</f>
        <v/>
      </c>
      <c r="V162" s="154"/>
      <c r="W162" s="520" t="str">
        <f>IF(V162="","",IF(VLOOKUP(V162,'G-7 Rivers Data'!$AG$4:$AI$9,2,FALSE)=0,"Spatial Data Missing ⚠",VLOOKUP(V162,'G-7 Rivers Data'!$AG$4:$AI$9,2,FALSE)))</f>
        <v/>
      </c>
      <c r="X162" s="524" t="str">
        <f>IF(V162="","",IF(VLOOKUP(V162,'G-7 Rivers Data'!$AG$4:$AI$9,3,FALSE)=0,"Spatial Data Missing ⚠",VLOOKUP(V162,'G-7 Rivers Data'!$AG$4:$AI$9,3,FALSE)))</f>
        <v/>
      </c>
      <c r="Y162" s="537" t="str">
        <f>IFERROR(IF(OR(LEFT(P162,5)="Error ▲",LEFT(O162,5)="Error ▲"),"Check Data ⚠",IF(F162&lt;S162,'G-7 Rivers Data'!$R$3,INDEX('G-7 Rivers Data'!$U$5:$Y$9,MATCH(G162,'G-7 Rivers Data'!$T$5:$T$9,0),MATCH(T162,'G-7 Rivers Data'!$U$4:$Y$4,0)))),"")</f>
        <v/>
      </c>
      <c r="Z162" s="203"/>
      <c r="AA162" s="203"/>
      <c r="AB162" s="534" t="str">
        <f t="shared" si="16"/>
        <v/>
      </c>
      <c r="AC162" s="521" t="str">
        <f t="shared" si="17"/>
        <v/>
      </c>
      <c r="AD162" s="564" t="str">
        <f>IFERROR(IF(AC162="Check Data ⚠","Check Data ⚠",VLOOKUP(AC162,'G-4 Temporal multipliers'!$A$4:$C$37,3,FALSE)),"")</f>
        <v/>
      </c>
      <c r="AE162" s="537" t="str">
        <f>IF(N162="","",VLOOKUP(N162,'G-7 Rivers Data'!$B$4:$G$8,5,FALSE))</f>
        <v/>
      </c>
      <c r="AF162" s="520" t="str">
        <f t="shared" si="18"/>
        <v/>
      </c>
      <c r="AG162" s="520" t="str">
        <f t="shared" si="22"/>
        <v/>
      </c>
      <c r="AH162" s="524" t="str">
        <f t="shared" si="19"/>
        <v/>
      </c>
      <c r="AI162" s="145"/>
      <c r="AJ162" s="499" t="str">
        <f>IF(AI162="","",IF(VLOOKUP(AI162,'G-7 Rivers Data'!$AA$4:$AB$7,2,FALSE)=0,"Spatial Data Missing ⚠",VLOOKUP(AI162,'G-7 Rivers Data'!$AA$4:$AB$7,2,FALSE)))</f>
        <v/>
      </c>
      <c r="AK162" s="155"/>
      <c r="AL162" s="536" t="str">
        <f>IF(AK162="","",IF(VLOOKUP(AK162,'G-7 Rivers Data'!$AD$4:$AE$8,2,FALSE)=0,"Spatial Data Missing ⚠",VLOOKUP(AK162,'G-7 Rivers Data'!$AD$4:$AE$8,2,FALSE)))</f>
        <v/>
      </c>
      <c r="AM162" s="154"/>
      <c r="AN162" s="524" t="str">
        <f>IF(AM162="","",VLOOKUP(AM162,'G-7 Rivers Data'!$AO$4:$AP$7,2,FALSE))</f>
        <v/>
      </c>
      <c r="AO162" s="545" t="str">
        <f t="shared" si="23"/>
        <v/>
      </c>
      <c r="AP162" s="149"/>
      <c r="AQ162" s="150"/>
      <c r="AX162" s="31" t="str">
        <f>IFERROR(INDEX('G-7 Rivers Data'!$AZ$3:$AZ$7,MATCH(N162,'G-7 Rivers Data'!$AY$3:$AY$7,0)),"")</f>
        <v/>
      </c>
    </row>
    <row r="163" spans="2:50" ht="14" x14ac:dyDescent="0.3">
      <c r="B163" s="531" t="str">
        <f>'F-1 Off Site River Baseline'!AN161</f>
        <v/>
      </c>
      <c r="C163" s="520" t="str">
        <f>IF(B163="","",VLOOKUP($B163,'F-1 Off Site River Baseline'!$C$9:$R$257,2,FALSE))</f>
        <v/>
      </c>
      <c r="D163" s="520" t="str">
        <f>IF(C163="","",VLOOKUP($B163,'F-1 Off Site River Baseline'!$C$9:$R$257,3,FALSE))</f>
        <v/>
      </c>
      <c r="E163" s="520" t="str">
        <f>IF(D163="","",VLOOKUP($B163,'F-1 Off Site River Baseline'!$C$9:$R$257,4,FALSE))</f>
        <v/>
      </c>
      <c r="F163" s="520" t="str">
        <f>IF(E163="","",VLOOKUP($B163,'F-1 Off Site River Baseline'!$C$9:$R$257,5,FALSE))</f>
        <v/>
      </c>
      <c r="G163" s="520" t="str">
        <f>IF(F163="","",VLOOKUP($B163,'F-1 Off Site River Baseline'!$C$9:$R$257,6,FALSE))</f>
        <v/>
      </c>
      <c r="H163" s="520" t="str">
        <f>IF(G163="","",VLOOKUP($B163,'F-1 Off Site River Baseline'!$C$9:$R$257,7,FALSE))</f>
        <v/>
      </c>
      <c r="I163" s="520" t="str">
        <f>IF(H163="","",VLOOKUP($B163,'F-1 Off Site River Baseline'!$C$9:$R$257,8,FALSE))</f>
        <v/>
      </c>
      <c r="J163" s="520" t="str">
        <f>IF(I163="","",VLOOKUP($B163,'F-1 Off Site River Baseline'!$C$9:$R$257,9,FALSE))</f>
        <v/>
      </c>
      <c r="K163" s="520" t="str">
        <f>IF(J163="","",VLOOKUP($B163,'F-1 Off Site River Baseline'!$C$9:$R$257,10,FALSE))</f>
        <v/>
      </c>
      <c r="L163" s="520" t="str">
        <f>IF(B163="","",VLOOKUP($B163,'C-1 Site River Baseline'!$C$9:$R$257,15,FALSE))</f>
        <v/>
      </c>
      <c r="M163" s="524" t="str">
        <f>IF(L163="","",VLOOKUP($B163,'F-1 Off Site River Baseline'!$C$9:$R$257,16,FALSE))</f>
        <v/>
      </c>
      <c r="N163" s="418" t="str">
        <f t="shared" si="20"/>
        <v/>
      </c>
      <c r="O163" s="498" t="str">
        <f t="shared" si="21"/>
        <v/>
      </c>
      <c r="P163" s="499" t="str">
        <f>IF(C163="","",IF(AND(LEFT(C163,55)&lt;&gt;LEFT(N163,55),O163="High - High"),"Error - Not like for like ▲",IF(AND(F163=S163,H163&gt;U163),"Error - Can not reduce condition ▲",IF(AND(F163=S163,H163=U163,AJ163='F-1 Off Site River Baseline'!N161,'F-1 Off Site River Baseline'!P161=AL163),"Error - No enhancement ▲",IF(AND(C163&lt;&gt;N163,F163&lt;S163),"Lower Distinctiveness Habitat"&amp;" - "&amp;T163,G163&amp;" - "&amp;T163)))))</f>
        <v/>
      </c>
      <c r="Q163" s="505" t="str">
        <f>IF(N163="","",VLOOKUP(B163,'F-1 Off Site River Baseline'!$C$10:$AA$257,19,FALSE))</f>
        <v/>
      </c>
      <c r="R163" s="498" t="str">
        <f>IF(N163="","",VLOOKUP(N163,'G-7 Rivers Data'!$B$2:$G$8,2,FALSE))</f>
        <v/>
      </c>
      <c r="S163" s="499" t="str">
        <f>IFERROR(VLOOKUP(R163,'G-7 Rivers Data'!$C$4:$D$8,2,FALSE),"")</f>
        <v/>
      </c>
      <c r="T163" s="145"/>
      <c r="U163" s="499" t="str">
        <f>IFERROR(INDEX('G-7 Rivers Data'!$H$4:$L$8,MATCH(N163,'G-7 Rivers Data'!$B$4:$B$8,0),MATCH(T163,'G-7 Rivers Data'!$H$3:$L$3,0)),"")</f>
        <v/>
      </c>
      <c r="V163" s="154"/>
      <c r="W163" s="520" t="str">
        <f>IF(V163="","",IF(VLOOKUP(V163,'G-7 Rivers Data'!$AG$4:$AI$9,2,FALSE)=0,"Spatial Data Missing ⚠",VLOOKUP(V163,'G-7 Rivers Data'!$AG$4:$AI$9,2,FALSE)))</f>
        <v/>
      </c>
      <c r="X163" s="524" t="str">
        <f>IF(V163="","",IF(VLOOKUP(V163,'G-7 Rivers Data'!$AG$4:$AI$9,3,FALSE)=0,"Spatial Data Missing ⚠",VLOOKUP(V163,'G-7 Rivers Data'!$AG$4:$AI$9,3,FALSE)))</f>
        <v/>
      </c>
      <c r="Y163" s="537" t="str">
        <f>IFERROR(IF(OR(LEFT(P163,5)="Error ▲",LEFT(O163,5)="Error ▲"),"Check Data ⚠",IF(F163&lt;S163,'G-7 Rivers Data'!$R$3,INDEX('G-7 Rivers Data'!$U$5:$Y$9,MATCH(G163,'G-7 Rivers Data'!$T$5:$T$9,0),MATCH(T163,'G-7 Rivers Data'!$U$4:$Y$4,0)))),"")</f>
        <v/>
      </c>
      <c r="Z163" s="203"/>
      <c r="AA163" s="203"/>
      <c r="AB163" s="534" t="str">
        <f t="shared" si="16"/>
        <v/>
      </c>
      <c r="AC163" s="521" t="str">
        <f t="shared" si="17"/>
        <v/>
      </c>
      <c r="AD163" s="564" t="str">
        <f>IFERROR(IF(AC163="Check Data ⚠","Check Data ⚠",VLOOKUP(AC163,'G-4 Temporal multipliers'!$A$4:$C$37,3,FALSE)),"")</f>
        <v/>
      </c>
      <c r="AE163" s="537" t="str">
        <f>IF(N163="","",VLOOKUP(N163,'G-7 Rivers Data'!$B$4:$G$8,5,FALSE))</f>
        <v/>
      </c>
      <c r="AF163" s="520" t="str">
        <f t="shared" si="18"/>
        <v/>
      </c>
      <c r="AG163" s="520" t="str">
        <f t="shared" si="22"/>
        <v/>
      </c>
      <c r="AH163" s="524" t="str">
        <f t="shared" si="19"/>
        <v/>
      </c>
      <c r="AI163" s="145"/>
      <c r="AJ163" s="499" t="str">
        <f>IF(AI163="","",IF(VLOOKUP(AI163,'G-7 Rivers Data'!$AA$4:$AB$7,2,FALSE)=0,"Spatial Data Missing ⚠",VLOOKUP(AI163,'G-7 Rivers Data'!$AA$4:$AB$7,2,FALSE)))</f>
        <v/>
      </c>
      <c r="AK163" s="155"/>
      <c r="AL163" s="536" t="str">
        <f>IF(AK163="","",IF(VLOOKUP(AK163,'G-7 Rivers Data'!$AD$4:$AE$8,2,FALSE)=0,"Spatial Data Missing ⚠",VLOOKUP(AK163,'G-7 Rivers Data'!$AD$4:$AE$8,2,FALSE)))</f>
        <v/>
      </c>
      <c r="AM163" s="154"/>
      <c r="AN163" s="524" t="str">
        <f>IF(AM163="","",VLOOKUP(AM163,'G-7 Rivers Data'!$AO$4:$AP$7,2,FALSE))</f>
        <v/>
      </c>
      <c r="AO163" s="545" t="str">
        <f t="shared" si="23"/>
        <v/>
      </c>
      <c r="AP163" s="149"/>
      <c r="AQ163" s="150"/>
      <c r="AX163" s="31" t="str">
        <f>IFERROR(INDEX('G-7 Rivers Data'!$AZ$3:$AZ$7,MATCH(N163,'G-7 Rivers Data'!$AY$3:$AY$7,0)),"")</f>
        <v/>
      </c>
    </row>
    <row r="164" spans="2:50" ht="14" x14ac:dyDescent="0.3">
      <c r="B164" s="531" t="str">
        <f>'F-1 Off Site River Baseline'!AN162</f>
        <v/>
      </c>
      <c r="C164" s="520" t="str">
        <f>IF(B164="","",VLOOKUP($B164,'F-1 Off Site River Baseline'!$C$9:$R$257,2,FALSE))</f>
        <v/>
      </c>
      <c r="D164" s="520" t="str">
        <f>IF(C164="","",VLOOKUP($B164,'F-1 Off Site River Baseline'!$C$9:$R$257,3,FALSE))</f>
        <v/>
      </c>
      <c r="E164" s="520" t="str">
        <f>IF(D164="","",VLOOKUP($B164,'F-1 Off Site River Baseline'!$C$9:$R$257,4,FALSE))</f>
        <v/>
      </c>
      <c r="F164" s="520" t="str">
        <f>IF(E164="","",VLOOKUP($B164,'F-1 Off Site River Baseline'!$C$9:$R$257,5,FALSE))</f>
        <v/>
      </c>
      <c r="G164" s="520" t="str">
        <f>IF(F164="","",VLOOKUP($B164,'F-1 Off Site River Baseline'!$C$9:$R$257,6,FALSE))</f>
        <v/>
      </c>
      <c r="H164" s="520" t="str">
        <f>IF(G164="","",VLOOKUP($B164,'F-1 Off Site River Baseline'!$C$9:$R$257,7,FALSE))</f>
        <v/>
      </c>
      <c r="I164" s="520" t="str">
        <f>IF(H164="","",VLOOKUP($B164,'F-1 Off Site River Baseline'!$C$9:$R$257,8,FALSE))</f>
        <v/>
      </c>
      <c r="J164" s="520" t="str">
        <f>IF(I164="","",VLOOKUP($B164,'F-1 Off Site River Baseline'!$C$9:$R$257,9,FALSE))</f>
        <v/>
      </c>
      <c r="K164" s="520" t="str">
        <f>IF(J164="","",VLOOKUP($B164,'F-1 Off Site River Baseline'!$C$9:$R$257,10,FALSE))</f>
        <v/>
      </c>
      <c r="L164" s="520" t="str">
        <f>IF(B164="","",VLOOKUP($B164,'C-1 Site River Baseline'!$C$9:$R$257,15,FALSE))</f>
        <v/>
      </c>
      <c r="M164" s="524" t="str">
        <f>IF(L164="","",VLOOKUP($B164,'F-1 Off Site River Baseline'!$C$9:$R$257,16,FALSE))</f>
        <v/>
      </c>
      <c r="N164" s="418" t="str">
        <f t="shared" si="20"/>
        <v/>
      </c>
      <c r="O164" s="498" t="str">
        <f t="shared" si="21"/>
        <v/>
      </c>
      <c r="P164" s="499" t="str">
        <f>IF(C164="","",IF(AND(LEFT(C164,55)&lt;&gt;LEFT(N164,55),O164="High - High"),"Error - Not like for like ▲",IF(AND(F164=S164,H164&gt;U164),"Error - Can not reduce condition ▲",IF(AND(F164=S164,H164=U164,AJ164='F-1 Off Site River Baseline'!N162,'F-1 Off Site River Baseline'!P162=AL164),"Error - No enhancement ▲",IF(AND(C164&lt;&gt;N164,F164&lt;S164),"Lower Distinctiveness Habitat"&amp;" - "&amp;T164,G164&amp;" - "&amp;T164)))))</f>
        <v/>
      </c>
      <c r="Q164" s="505" t="str">
        <f>IF(N164="","",VLOOKUP(B164,'F-1 Off Site River Baseline'!$C$10:$AA$257,19,FALSE))</f>
        <v/>
      </c>
      <c r="R164" s="498" t="str">
        <f>IF(N164="","",VLOOKUP(N164,'G-7 Rivers Data'!$B$2:$G$8,2,FALSE))</f>
        <v/>
      </c>
      <c r="S164" s="499" t="str">
        <f>IFERROR(VLOOKUP(R164,'G-7 Rivers Data'!$C$4:$D$8,2,FALSE),"")</f>
        <v/>
      </c>
      <c r="T164" s="145"/>
      <c r="U164" s="499" t="str">
        <f>IFERROR(INDEX('G-7 Rivers Data'!$H$4:$L$8,MATCH(N164,'G-7 Rivers Data'!$B$4:$B$8,0),MATCH(T164,'G-7 Rivers Data'!$H$3:$L$3,0)),"")</f>
        <v/>
      </c>
      <c r="V164" s="154"/>
      <c r="W164" s="520" t="str">
        <f>IF(V164="","",IF(VLOOKUP(V164,'G-7 Rivers Data'!$AG$4:$AI$9,2,FALSE)=0,"Spatial Data Missing ⚠",VLOOKUP(V164,'G-7 Rivers Data'!$AG$4:$AI$9,2,FALSE)))</f>
        <v/>
      </c>
      <c r="X164" s="524" t="str">
        <f>IF(V164="","",IF(VLOOKUP(V164,'G-7 Rivers Data'!$AG$4:$AI$9,3,FALSE)=0,"Spatial Data Missing ⚠",VLOOKUP(V164,'G-7 Rivers Data'!$AG$4:$AI$9,3,FALSE)))</f>
        <v/>
      </c>
      <c r="Y164" s="537" t="str">
        <f>IFERROR(IF(OR(LEFT(P164,5)="Error ▲",LEFT(O164,5)="Error ▲"),"Check Data ⚠",IF(F164&lt;S164,'G-7 Rivers Data'!$R$3,INDEX('G-7 Rivers Data'!$U$5:$Y$9,MATCH(G164,'G-7 Rivers Data'!$T$5:$T$9,0),MATCH(T164,'G-7 Rivers Data'!$U$4:$Y$4,0)))),"")</f>
        <v/>
      </c>
      <c r="Z164" s="203"/>
      <c r="AA164" s="203"/>
      <c r="AB164" s="534" t="str">
        <f t="shared" si="16"/>
        <v/>
      </c>
      <c r="AC164" s="521" t="str">
        <f t="shared" si="17"/>
        <v/>
      </c>
      <c r="AD164" s="564" t="str">
        <f>IFERROR(IF(AC164="Check Data ⚠","Check Data ⚠",VLOOKUP(AC164,'G-4 Temporal multipliers'!$A$4:$C$37,3,FALSE)),"")</f>
        <v/>
      </c>
      <c r="AE164" s="537" t="str">
        <f>IF(N164="","",VLOOKUP(N164,'G-7 Rivers Data'!$B$4:$G$8,5,FALSE))</f>
        <v/>
      </c>
      <c r="AF164" s="520" t="str">
        <f t="shared" si="18"/>
        <v/>
      </c>
      <c r="AG164" s="520" t="str">
        <f t="shared" si="22"/>
        <v/>
      </c>
      <c r="AH164" s="524" t="str">
        <f t="shared" si="19"/>
        <v/>
      </c>
      <c r="AI164" s="145"/>
      <c r="AJ164" s="499" t="str">
        <f>IF(AI164="","",IF(VLOOKUP(AI164,'G-7 Rivers Data'!$AA$4:$AB$7,2,FALSE)=0,"Spatial Data Missing ⚠",VLOOKUP(AI164,'G-7 Rivers Data'!$AA$4:$AB$7,2,FALSE)))</f>
        <v/>
      </c>
      <c r="AK164" s="155"/>
      <c r="AL164" s="536" t="str">
        <f>IF(AK164="","",IF(VLOOKUP(AK164,'G-7 Rivers Data'!$AD$4:$AE$8,2,FALSE)=0,"Spatial Data Missing ⚠",VLOOKUP(AK164,'G-7 Rivers Data'!$AD$4:$AE$8,2,FALSE)))</f>
        <v/>
      </c>
      <c r="AM164" s="154"/>
      <c r="AN164" s="524" t="str">
        <f>IF(AM164="","",VLOOKUP(AM164,'G-7 Rivers Data'!$AO$4:$AP$7,2,FALSE))</f>
        <v/>
      </c>
      <c r="AO164" s="545" t="str">
        <f t="shared" si="23"/>
        <v/>
      </c>
      <c r="AP164" s="149"/>
      <c r="AQ164" s="150"/>
      <c r="AX164" s="31" t="str">
        <f>IFERROR(INDEX('G-7 Rivers Data'!$AZ$3:$AZ$7,MATCH(N164,'G-7 Rivers Data'!$AY$3:$AY$7,0)),"")</f>
        <v/>
      </c>
    </row>
    <row r="165" spans="2:50" ht="14" x14ac:dyDescent="0.3">
      <c r="B165" s="531" t="str">
        <f>'F-1 Off Site River Baseline'!AN163</f>
        <v/>
      </c>
      <c r="C165" s="520" t="str">
        <f>IF(B165="","",VLOOKUP($B165,'F-1 Off Site River Baseline'!$C$9:$R$257,2,FALSE))</f>
        <v/>
      </c>
      <c r="D165" s="520" t="str">
        <f>IF(C165="","",VLOOKUP($B165,'F-1 Off Site River Baseline'!$C$9:$R$257,3,FALSE))</f>
        <v/>
      </c>
      <c r="E165" s="520" t="str">
        <f>IF(D165="","",VLOOKUP($B165,'F-1 Off Site River Baseline'!$C$9:$R$257,4,FALSE))</f>
        <v/>
      </c>
      <c r="F165" s="520" t="str">
        <f>IF(E165="","",VLOOKUP($B165,'F-1 Off Site River Baseline'!$C$9:$R$257,5,FALSE))</f>
        <v/>
      </c>
      <c r="G165" s="520" t="str">
        <f>IF(F165="","",VLOOKUP($B165,'F-1 Off Site River Baseline'!$C$9:$R$257,6,FALSE))</f>
        <v/>
      </c>
      <c r="H165" s="520" t="str">
        <f>IF(G165="","",VLOOKUP($B165,'F-1 Off Site River Baseline'!$C$9:$R$257,7,FALSE))</f>
        <v/>
      </c>
      <c r="I165" s="520" t="str">
        <f>IF(H165="","",VLOOKUP($B165,'F-1 Off Site River Baseline'!$C$9:$R$257,8,FALSE))</f>
        <v/>
      </c>
      <c r="J165" s="520" t="str">
        <f>IF(I165="","",VLOOKUP($B165,'F-1 Off Site River Baseline'!$C$9:$R$257,9,FALSE))</f>
        <v/>
      </c>
      <c r="K165" s="520" t="str">
        <f>IF(J165="","",VLOOKUP($B165,'F-1 Off Site River Baseline'!$C$9:$R$257,10,FALSE))</f>
        <v/>
      </c>
      <c r="L165" s="520" t="str">
        <f>IF(B165="","",VLOOKUP($B165,'C-1 Site River Baseline'!$C$9:$R$257,15,FALSE))</f>
        <v/>
      </c>
      <c r="M165" s="524" t="str">
        <f>IF(L165="","",VLOOKUP($B165,'F-1 Off Site River Baseline'!$C$9:$R$257,16,FALSE))</f>
        <v/>
      </c>
      <c r="N165" s="418" t="str">
        <f t="shared" si="20"/>
        <v/>
      </c>
      <c r="O165" s="498" t="str">
        <f t="shared" si="21"/>
        <v/>
      </c>
      <c r="P165" s="499" t="str">
        <f>IF(C165="","",IF(AND(LEFT(C165,55)&lt;&gt;LEFT(N165,55),O165="High - High"),"Error - Not like for like ▲",IF(AND(F165=S165,H165&gt;U165),"Error - Can not reduce condition ▲",IF(AND(F165=S165,H165=U165,AJ165='F-1 Off Site River Baseline'!N163,'F-1 Off Site River Baseline'!P163=AL165),"Error - No enhancement ▲",IF(AND(C165&lt;&gt;N165,F165&lt;S165),"Lower Distinctiveness Habitat"&amp;" - "&amp;T165,G165&amp;" - "&amp;T165)))))</f>
        <v/>
      </c>
      <c r="Q165" s="505" t="str">
        <f>IF(N165="","",VLOOKUP(B165,'F-1 Off Site River Baseline'!$C$10:$AA$257,19,FALSE))</f>
        <v/>
      </c>
      <c r="R165" s="498" t="str">
        <f>IF(N165="","",VLOOKUP(N165,'G-7 Rivers Data'!$B$2:$G$8,2,FALSE))</f>
        <v/>
      </c>
      <c r="S165" s="499" t="str">
        <f>IFERROR(VLOOKUP(R165,'G-7 Rivers Data'!$C$4:$D$8,2,FALSE),"")</f>
        <v/>
      </c>
      <c r="T165" s="145"/>
      <c r="U165" s="499" t="str">
        <f>IFERROR(INDEX('G-7 Rivers Data'!$H$4:$L$8,MATCH(N165,'G-7 Rivers Data'!$B$4:$B$8,0),MATCH(T165,'G-7 Rivers Data'!$H$3:$L$3,0)),"")</f>
        <v/>
      </c>
      <c r="V165" s="154"/>
      <c r="W165" s="520" t="str">
        <f>IF(V165="","",IF(VLOOKUP(V165,'G-7 Rivers Data'!$AG$4:$AI$9,2,FALSE)=0,"Spatial Data Missing ⚠",VLOOKUP(V165,'G-7 Rivers Data'!$AG$4:$AI$9,2,FALSE)))</f>
        <v/>
      </c>
      <c r="X165" s="524" t="str">
        <f>IF(V165="","",IF(VLOOKUP(V165,'G-7 Rivers Data'!$AG$4:$AI$9,3,FALSE)=0,"Spatial Data Missing ⚠",VLOOKUP(V165,'G-7 Rivers Data'!$AG$4:$AI$9,3,FALSE)))</f>
        <v/>
      </c>
      <c r="Y165" s="537" t="str">
        <f>IFERROR(IF(OR(LEFT(P165,5)="Error ▲",LEFT(O165,5)="Error ▲"),"Check Data ⚠",IF(F165&lt;S165,'G-7 Rivers Data'!$R$3,INDEX('G-7 Rivers Data'!$U$5:$Y$9,MATCH(G165,'G-7 Rivers Data'!$T$5:$T$9,0),MATCH(T165,'G-7 Rivers Data'!$U$4:$Y$4,0)))),"")</f>
        <v/>
      </c>
      <c r="Z165" s="203"/>
      <c r="AA165" s="203"/>
      <c r="AB165" s="534" t="str">
        <f t="shared" si="16"/>
        <v/>
      </c>
      <c r="AC165" s="521" t="str">
        <f t="shared" si="17"/>
        <v/>
      </c>
      <c r="AD165" s="564" t="str">
        <f>IFERROR(IF(AC165="Check Data ⚠","Check Data ⚠",VLOOKUP(AC165,'G-4 Temporal multipliers'!$A$4:$C$37,3,FALSE)),"")</f>
        <v/>
      </c>
      <c r="AE165" s="537" t="str">
        <f>IF(N165="","",VLOOKUP(N165,'G-7 Rivers Data'!$B$4:$G$8,5,FALSE))</f>
        <v/>
      </c>
      <c r="AF165" s="520" t="str">
        <f t="shared" si="18"/>
        <v/>
      </c>
      <c r="AG165" s="520" t="str">
        <f t="shared" si="22"/>
        <v/>
      </c>
      <c r="AH165" s="524" t="str">
        <f t="shared" si="19"/>
        <v/>
      </c>
      <c r="AI165" s="145"/>
      <c r="AJ165" s="499" t="str">
        <f>IF(AI165="","",IF(VLOOKUP(AI165,'G-7 Rivers Data'!$AA$4:$AB$7,2,FALSE)=0,"Spatial Data Missing ⚠",VLOOKUP(AI165,'G-7 Rivers Data'!$AA$4:$AB$7,2,FALSE)))</f>
        <v/>
      </c>
      <c r="AK165" s="155"/>
      <c r="AL165" s="536" t="str">
        <f>IF(AK165="","",IF(VLOOKUP(AK165,'G-7 Rivers Data'!$AD$4:$AE$8,2,FALSE)=0,"Spatial Data Missing ⚠",VLOOKUP(AK165,'G-7 Rivers Data'!$AD$4:$AE$8,2,FALSE)))</f>
        <v/>
      </c>
      <c r="AM165" s="154"/>
      <c r="AN165" s="524" t="str">
        <f>IF(AM165="","",VLOOKUP(AM165,'G-7 Rivers Data'!$AO$4:$AP$7,2,FALSE))</f>
        <v/>
      </c>
      <c r="AO165" s="545" t="str">
        <f t="shared" si="23"/>
        <v/>
      </c>
      <c r="AP165" s="149"/>
      <c r="AQ165" s="150"/>
      <c r="AX165" s="31" t="str">
        <f>IFERROR(INDEX('G-7 Rivers Data'!$AZ$3:$AZ$7,MATCH(N165,'G-7 Rivers Data'!$AY$3:$AY$7,0)),"")</f>
        <v/>
      </c>
    </row>
    <row r="166" spans="2:50" ht="14" x14ac:dyDescent="0.3">
      <c r="B166" s="531" t="str">
        <f>'F-1 Off Site River Baseline'!AN164</f>
        <v/>
      </c>
      <c r="C166" s="520" t="str">
        <f>IF(B166="","",VLOOKUP($B166,'F-1 Off Site River Baseline'!$C$9:$R$257,2,FALSE))</f>
        <v/>
      </c>
      <c r="D166" s="520" t="str">
        <f>IF(C166="","",VLOOKUP($B166,'F-1 Off Site River Baseline'!$C$9:$R$257,3,FALSE))</f>
        <v/>
      </c>
      <c r="E166" s="520" t="str">
        <f>IF(D166="","",VLOOKUP($B166,'F-1 Off Site River Baseline'!$C$9:$R$257,4,FALSE))</f>
        <v/>
      </c>
      <c r="F166" s="520" t="str">
        <f>IF(E166="","",VLOOKUP($B166,'F-1 Off Site River Baseline'!$C$9:$R$257,5,FALSE))</f>
        <v/>
      </c>
      <c r="G166" s="520" t="str">
        <f>IF(F166="","",VLOOKUP($B166,'F-1 Off Site River Baseline'!$C$9:$R$257,6,FALSE))</f>
        <v/>
      </c>
      <c r="H166" s="520" t="str">
        <f>IF(G166="","",VLOOKUP($B166,'F-1 Off Site River Baseline'!$C$9:$R$257,7,FALSE))</f>
        <v/>
      </c>
      <c r="I166" s="520" t="str">
        <f>IF(H166="","",VLOOKUP($B166,'F-1 Off Site River Baseline'!$C$9:$R$257,8,FALSE))</f>
        <v/>
      </c>
      <c r="J166" s="520" t="str">
        <f>IF(I166="","",VLOOKUP($B166,'F-1 Off Site River Baseline'!$C$9:$R$257,9,FALSE))</f>
        <v/>
      </c>
      <c r="K166" s="520" t="str">
        <f>IF(J166="","",VLOOKUP($B166,'F-1 Off Site River Baseline'!$C$9:$R$257,10,FALSE))</f>
        <v/>
      </c>
      <c r="L166" s="520" t="str">
        <f>IF(B166="","",VLOOKUP($B166,'C-1 Site River Baseline'!$C$9:$R$257,15,FALSE))</f>
        <v/>
      </c>
      <c r="M166" s="524" t="str">
        <f>IF(L166="","",VLOOKUP($B166,'F-1 Off Site River Baseline'!$C$9:$R$257,16,FALSE))</f>
        <v/>
      </c>
      <c r="N166" s="418" t="str">
        <f t="shared" si="20"/>
        <v/>
      </c>
      <c r="O166" s="498" t="str">
        <f t="shared" si="21"/>
        <v/>
      </c>
      <c r="P166" s="499" t="str">
        <f>IF(C166="","",IF(AND(LEFT(C166,55)&lt;&gt;LEFT(N166,55),O166="High - High"),"Error - Not like for like ▲",IF(AND(F166=S166,H166&gt;U166),"Error - Can not reduce condition ▲",IF(AND(F166=S166,H166=U166,AJ166='F-1 Off Site River Baseline'!N164,'F-1 Off Site River Baseline'!P164=AL166),"Error - No enhancement ▲",IF(AND(C166&lt;&gt;N166,F166&lt;S166),"Lower Distinctiveness Habitat"&amp;" - "&amp;T166,G166&amp;" - "&amp;T166)))))</f>
        <v/>
      </c>
      <c r="Q166" s="505" t="str">
        <f>IF(N166="","",VLOOKUP(B166,'F-1 Off Site River Baseline'!$C$10:$AA$257,19,FALSE))</f>
        <v/>
      </c>
      <c r="R166" s="498" t="str">
        <f>IF(N166="","",VLOOKUP(N166,'G-7 Rivers Data'!$B$2:$G$8,2,FALSE))</f>
        <v/>
      </c>
      <c r="S166" s="499" t="str">
        <f>IFERROR(VLOOKUP(R166,'G-7 Rivers Data'!$C$4:$D$8,2,FALSE),"")</f>
        <v/>
      </c>
      <c r="T166" s="145"/>
      <c r="U166" s="499" t="str">
        <f>IFERROR(INDEX('G-7 Rivers Data'!$H$4:$L$8,MATCH(N166,'G-7 Rivers Data'!$B$4:$B$8,0),MATCH(T166,'G-7 Rivers Data'!$H$3:$L$3,0)),"")</f>
        <v/>
      </c>
      <c r="V166" s="154"/>
      <c r="W166" s="520" t="str">
        <f>IF(V166="","",IF(VLOOKUP(V166,'G-7 Rivers Data'!$AG$4:$AI$9,2,FALSE)=0,"Spatial Data Missing ⚠",VLOOKUP(V166,'G-7 Rivers Data'!$AG$4:$AI$9,2,FALSE)))</f>
        <v/>
      </c>
      <c r="X166" s="524" t="str">
        <f>IF(V166="","",IF(VLOOKUP(V166,'G-7 Rivers Data'!$AG$4:$AI$9,3,FALSE)=0,"Spatial Data Missing ⚠",VLOOKUP(V166,'G-7 Rivers Data'!$AG$4:$AI$9,3,FALSE)))</f>
        <v/>
      </c>
      <c r="Y166" s="537" t="str">
        <f>IFERROR(IF(OR(LEFT(P166,5)="Error ▲",LEFT(O166,5)="Error ▲"),"Check Data ⚠",IF(F166&lt;S166,'G-7 Rivers Data'!$R$3,INDEX('G-7 Rivers Data'!$U$5:$Y$9,MATCH(G166,'G-7 Rivers Data'!$T$5:$T$9,0),MATCH(T166,'G-7 Rivers Data'!$U$4:$Y$4,0)))),"")</f>
        <v/>
      </c>
      <c r="Z166" s="203"/>
      <c r="AA166" s="203"/>
      <c r="AB166" s="534" t="str">
        <f t="shared" si="16"/>
        <v/>
      </c>
      <c r="AC166" s="521" t="str">
        <f t="shared" si="17"/>
        <v/>
      </c>
      <c r="AD166" s="564" t="str">
        <f>IFERROR(IF(AC166="Check Data ⚠","Check Data ⚠",VLOOKUP(AC166,'G-4 Temporal multipliers'!$A$4:$C$37,3,FALSE)),"")</f>
        <v/>
      </c>
      <c r="AE166" s="537" t="str">
        <f>IF(N166="","",VLOOKUP(N166,'G-7 Rivers Data'!$B$4:$G$8,5,FALSE))</f>
        <v/>
      </c>
      <c r="AF166" s="520" t="str">
        <f t="shared" si="18"/>
        <v/>
      </c>
      <c r="AG166" s="520" t="str">
        <f t="shared" si="22"/>
        <v/>
      </c>
      <c r="AH166" s="524" t="str">
        <f t="shared" si="19"/>
        <v/>
      </c>
      <c r="AI166" s="145"/>
      <c r="AJ166" s="499" t="str">
        <f>IF(AI166="","",IF(VLOOKUP(AI166,'G-7 Rivers Data'!$AA$4:$AB$7,2,FALSE)=0,"Spatial Data Missing ⚠",VLOOKUP(AI166,'G-7 Rivers Data'!$AA$4:$AB$7,2,FALSE)))</f>
        <v/>
      </c>
      <c r="AK166" s="155"/>
      <c r="AL166" s="536" t="str">
        <f>IF(AK166="","",IF(VLOOKUP(AK166,'G-7 Rivers Data'!$AD$4:$AE$8,2,FALSE)=0,"Spatial Data Missing ⚠",VLOOKUP(AK166,'G-7 Rivers Data'!$AD$4:$AE$8,2,FALSE)))</f>
        <v/>
      </c>
      <c r="AM166" s="154"/>
      <c r="AN166" s="524" t="str">
        <f>IF(AM166="","",VLOOKUP(AM166,'G-7 Rivers Data'!$AO$4:$AP$7,2,FALSE))</f>
        <v/>
      </c>
      <c r="AO166" s="545" t="str">
        <f t="shared" si="23"/>
        <v/>
      </c>
      <c r="AP166" s="149"/>
      <c r="AQ166" s="150"/>
      <c r="AX166" s="31" t="str">
        <f>IFERROR(INDEX('G-7 Rivers Data'!$AZ$3:$AZ$7,MATCH(N166,'G-7 Rivers Data'!$AY$3:$AY$7,0)),"")</f>
        <v/>
      </c>
    </row>
    <row r="167" spans="2:50" ht="14" x14ac:dyDescent="0.3">
      <c r="B167" s="531" t="str">
        <f>'F-1 Off Site River Baseline'!AN165</f>
        <v/>
      </c>
      <c r="C167" s="520" t="str">
        <f>IF(B167="","",VLOOKUP($B167,'F-1 Off Site River Baseline'!$C$9:$R$257,2,FALSE))</f>
        <v/>
      </c>
      <c r="D167" s="520" t="str">
        <f>IF(C167="","",VLOOKUP($B167,'F-1 Off Site River Baseline'!$C$9:$R$257,3,FALSE))</f>
        <v/>
      </c>
      <c r="E167" s="520" t="str">
        <f>IF(D167="","",VLOOKUP($B167,'F-1 Off Site River Baseline'!$C$9:$R$257,4,FALSE))</f>
        <v/>
      </c>
      <c r="F167" s="520" t="str">
        <f>IF(E167="","",VLOOKUP($B167,'F-1 Off Site River Baseline'!$C$9:$R$257,5,FALSE))</f>
        <v/>
      </c>
      <c r="G167" s="520" t="str">
        <f>IF(F167="","",VLOOKUP($B167,'F-1 Off Site River Baseline'!$C$9:$R$257,6,FALSE))</f>
        <v/>
      </c>
      <c r="H167" s="520" t="str">
        <f>IF(G167="","",VLOOKUP($B167,'F-1 Off Site River Baseline'!$C$9:$R$257,7,FALSE))</f>
        <v/>
      </c>
      <c r="I167" s="520" t="str">
        <f>IF(H167="","",VLOOKUP($B167,'F-1 Off Site River Baseline'!$C$9:$R$257,8,FALSE))</f>
        <v/>
      </c>
      <c r="J167" s="520" t="str">
        <f>IF(I167="","",VLOOKUP($B167,'F-1 Off Site River Baseline'!$C$9:$R$257,9,FALSE))</f>
        <v/>
      </c>
      <c r="K167" s="520" t="str">
        <f>IF(J167="","",VLOOKUP($B167,'F-1 Off Site River Baseline'!$C$9:$R$257,10,FALSE))</f>
        <v/>
      </c>
      <c r="L167" s="520" t="str">
        <f>IF(B167="","",VLOOKUP($B167,'C-1 Site River Baseline'!$C$9:$R$257,15,FALSE))</f>
        <v/>
      </c>
      <c r="M167" s="524" t="str">
        <f>IF(L167="","",VLOOKUP($B167,'F-1 Off Site River Baseline'!$C$9:$R$257,16,FALSE))</f>
        <v/>
      </c>
      <c r="N167" s="418" t="str">
        <f t="shared" si="20"/>
        <v/>
      </c>
      <c r="O167" s="498" t="str">
        <f t="shared" si="21"/>
        <v/>
      </c>
      <c r="P167" s="499" t="str">
        <f>IF(C167="","",IF(AND(LEFT(C167,55)&lt;&gt;LEFT(N167,55),O167="High - High"),"Error - Not like for like ▲",IF(AND(F167=S167,H167&gt;U167),"Error - Can not reduce condition ▲",IF(AND(F167=S167,H167=U167,AJ167='F-1 Off Site River Baseline'!N165,'F-1 Off Site River Baseline'!P165=AL167),"Error - No enhancement ▲",IF(AND(C167&lt;&gt;N167,F167&lt;S167),"Lower Distinctiveness Habitat"&amp;" - "&amp;T167,G167&amp;" - "&amp;T167)))))</f>
        <v/>
      </c>
      <c r="Q167" s="505" t="str">
        <f>IF(N167="","",VLOOKUP(B167,'F-1 Off Site River Baseline'!$C$10:$AA$257,19,FALSE))</f>
        <v/>
      </c>
      <c r="R167" s="498" t="str">
        <f>IF(N167="","",VLOOKUP(N167,'G-7 Rivers Data'!$B$2:$G$8,2,FALSE))</f>
        <v/>
      </c>
      <c r="S167" s="499" t="str">
        <f>IFERROR(VLOOKUP(R167,'G-7 Rivers Data'!$C$4:$D$8,2,FALSE),"")</f>
        <v/>
      </c>
      <c r="T167" s="145"/>
      <c r="U167" s="499" t="str">
        <f>IFERROR(INDEX('G-7 Rivers Data'!$H$4:$L$8,MATCH(N167,'G-7 Rivers Data'!$B$4:$B$8,0),MATCH(T167,'G-7 Rivers Data'!$H$3:$L$3,0)),"")</f>
        <v/>
      </c>
      <c r="V167" s="154"/>
      <c r="W167" s="520" t="str">
        <f>IF(V167="","",IF(VLOOKUP(V167,'G-7 Rivers Data'!$AG$4:$AI$9,2,FALSE)=0,"Spatial Data Missing ⚠",VLOOKUP(V167,'G-7 Rivers Data'!$AG$4:$AI$9,2,FALSE)))</f>
        <v/>
      </c>
      <c r="X167" s="524" t="str">
        <f>IF(V167="","",IF(VLOOKUP(V167,'G-7 Rivers Data'!$AG$4:$AI$9,3,FALSE)=0,"Spatial Data Missing ⚠",VLOOKUP(V167,'G-7 Rivers Data'!$AG$4:$AI$9,3,FALSE)))</f>
        <v/>
      </c>
      <c r="Y167" s="537" t="str">
        <f>IFERROR(IF(OR(LEFT(P167,5)="Error ▲",LEFT(O167,5)="Error ▲"),"Check Data ⚠",IF(F167&lt;S167,'G-7 Rivers Data'!$R$3,INDEX('G-7 Rivers Data'!$U$5:$Y$9,MATCH(G167,'G-7 Rivers Data'!$T$5:$T$9,0),MATCH(T167,'G-7 Rivers Data'!$U$4:$Y$4,0)))),"")</f>
        <v/>
      </c>
      <c r="Z167" s="203"/>
      <c r="AA167" s="203"/>
      <c r="AB167" s="534" t="str">
        <f t="shared" si="16"/>
        <v/>
      </c>
      <c r="AC167" s="521" t="str">
        <f t="shared" si="17"/>
        <v/>
      </c>
      <c r="AD167" s="564" t="str">
        <f>IFERROR(IF(AC167="Check Data ⚠","Check Data ⚠",VLOOKUP(AC167,'G-4 Temporal multipliers'!$A$4:$C$37,3,FALSE)),"")</f>
        <v/>
      </c>
      <c r="AE167" s="537" t="str">
        <f>IF(N167="","",VLOOKUP(N167,'G-7 Rivers Data'!$B$4:$G$8,5,FALSE))</f>
        <v/>
      </c>
      <c r="AF167" s="520" t="str">
        <f t="shared" si="18"/>
        <v/>
      </c>
      <c r="AG167" s="520" t="str">
        <f t="shared" si="22"/>
        <v/>
      </c>
      <c r="AH167" s="524" t="str">
        <f t="shared" si="19"/>
        <v/>
      </c>
      <c r="AI167" s="145"/>
      <c r="AJ167" s="499" t="str">
        <f>IF(AI167="","",IF(VLOOKUP(AI167,'G-7 Rivers Data'!$AA$4:$AB$7,2,FALSE)=0,"Spatial Data Missing ⚠",VLOOKUP(AI167,'G-7 Rivers Data'!$AA$4:$AB$7,2,FALSE)))</f>
        <v/>
      </c>
      <c r="AK167" s="155"/>
      <c r="AL167" s="536" t="str">
        <f>IF(AK167="","",IF(VLOOKUP(AK167,'G-7 Rivers Data'!$AD$4:$AE$8,2,FALSE)=0,"Spatial Data Missing ⚠",VLOOKUP(AK167,'G-7 Rivers Data'!$AD$4:$AE$8,2,FALSE)))</f>
        <v/>
      </c>
      <c r="AM167" s="154"/>
      <c r="AN167" s="524" t="str">
        <f>IF(AM167="","",VLOOKUP(AM167,'G-7 Rivers Data'!$AO$4:$AP$7,2,FALSE))</f>
        <v/>
      </c>
      <c r="AO167" s="545" t="str">
        <f t="shared" si="23"/>
        <v/>
      </c>
      <c r="AP167" s="149"/>
      <c r="AQ167" s="150"/>
      <c r="AX167" s="31" t="str">
        <f>IFERROR(INDEX('G-7 Rivers Data'!$AZ$3:$AZ$7,MATCH(N167,'G-7 Rivers Data'!$AY$3:$AY$7,0)),"")</f>
        <v/>
      </c>
    </row>
    <row r="168" spans="2:50" ht="14" x14ac:dyDescent="0.3">
      <c r="B168" s="531" t="str">
        <f>'F-1 Off Site River Baseline'!AN166</f>
        <v/>
      </c>
      <c r="C168" s="520" t="str">
        <f>IF(B168="","",VLOOKUP($B168,'F-1 Off Site River Baseline'!$C$9:$R$257,2,FALSE))</f>
        <v/>
      </c>
      <c r="D168" s="520" t="str">
        <f>IF(C168="","",VLOOKUP($B168,'F-1 Off Site River Baseline'!$C$9:$R$257,3,FALSE))</f>
        <v/>
      </c>
      <c r="E168" s="520" t="str">
        <f>IF(D168="","",VLOOKUP($B168,'F-1 Off Site River Baseline'!$C$9:$R$257,4,FALSE))</f>
        <v/>
      </c>
      <c r="F168" s="520" t="str">
        <f>IF(E168="","",VLOOKUP($B168,'F-1 Off Site River Baseline'!$C$9:$R$257,5,FALSE))</f>
        <v/>
      </c>
      <c r="G168" s="520" t="str">
        <f>IF(F168="","",VLOOKUP($B168,'F-1 Off Site River Baseline'!$C$9:$R$257,6,FALSE))</f>
        <v/>
      </c>
      <c r="H168" s="520" t="str">
        <f>IF(G168="","",VLOOKUP($B168,'F-1 Off Site River Baseline'!$C$9:$R$257,7,FALSE))</f>
        <v/>
      </c>
      <c r="I168" s="520" t="str">
        <f>IF(H168="","",VLOOKUP($B168,'F-1 Off Site River Baseline'!$C$9:$R$257,8,FALSE))</f>
        <v/>
      </c>
      <c r="J168" s="520" t="str">
        <f>IF(I168="","",VLOOKUP($B168,'F-1 Off Site River Baseline'!$C$9:$R$257,9,FALSE))</f>
        <v/>
      </c>
      <c r="K168" s="520" t="str">
        <f>IF(J168="","",VLOOKUP($B168,'F-1 Off Site River Baseline'!$C$9:$R$257,10,FALSE))</f>
        <v/>
      </c>
      <c r="L168" s="520" t="str">
        <f>IF(B168="","",VLOOKUP($B168,'C-1 Site River Baseline'!$C$9:$R$257,15,FALSE))</f>
        <v/>
      </c>
      <c r="M168" s="524" t="str">
        <f>IF(L168="","",VLOOKUP($B168,'F-1 Off Site River Baseline'!$C$9:$R$257,16,FALSE))</f>
        <v/>
      </c>
      <c r="N168" s="418" t="str">
        <f t="shared" si="20"/>
        <v/>
      </c>
      <c r="O168" s="498" t="str">
        <f t="shared" si="21"/>
        <v/>
      </c>
      <c r="P168" s="499" t="str">
        <f>IF(C168="","",IF(AND(LEFT(C168,55)&lt;&gt;LEFT(N168,55),O168="High - High"),"Error - Not like for like ▲",IF(AND(F168=S168,H168&gt;U168),"Error - Can not reduce condition ▲",IF(AND(F168=S168,H168=U168,AJ168='F-1 Off Site River Baseline'!N166,'F-1 Off Site River Baseline'!P166=AL168),"Error - No enhancement ▲",IF(AND(C168&lt;&gt;N168,F168&lt;S168),"Lower Distinctiveness Habitat"&amp;" - "&amp;T168,G168&amp;" - "&amp;T168)))))</f>
        <v/>
      </c>
      <c r="Q168" s="505" t="str">
        <f>IF(N168="","",VLOOKUP(B168,'F-1 Off Site River Baseline'!$C$10:$AA$257,19,FALSE))</f>
        <v/>
      </c>
      <c r="R168" s="498" t="str">
        <f>IF(N168="","",VLOOKUP(N168,'G-7 Rivers Data'!$B$2:$G$8,2,FALSE))</f>
        <v/>
      </c>
      <c r="S168" s="499" t="str">
        <f>IFERROR(VLOOKUP(R168,'G-7 Rivers Data'!$C$4:$D$8,2,FALSE),"")</f>
        <v/>
      </c>
      <c r="T168" s="145"/>
      <c r="U168" s="499" t="str">
        <f>IFERROR(INDEX('G-7 Rivers Data'!$H$4:$L$8,MATCH(N168,'G-7 Rivers Data'!$B$4:$B$8,0),MATCH(T168,'G-7 Rivers Data'!$H$3:$L$3,0)),"")</f>
        <v/>
      </c>
      <c r="V168" s="154"/>
      <c r="W168" s="520" t="str">
        <f>IF(V168="","",IF(VLOOKUP(V168,'G-7 Rivers Data'!$AG$4:$AI$9,2,FALSE)=0,"Spatial Data Missing ⚠",VLOOKUP(V168,'G-7 Rivers Data'!$AG$4:$AI$9,2,FALSE)))</f>
        <v/>
      </c>
      <c r="X168" s="524" t="str">
        <f>IF(V168="","",IF(VLOOKUP(V168,'G-7 Rivers Data'!$AG$4:$AI$9,3,FALSE)=0,"Spatial Data Missing ⚠",VLOOKUP(V168,'G-7 Rivers Data'!$AG$4:$AI$9,3,FALSE)))</f>
        <v/>
      </c>
      <c r="Y168" s="537" t="str">
        <f>IFERROR(IF(OR(LEFT(P168,5)="Error ▲",LEFT(O168,5)="Error ▲"),"Check Data ⚠",IF(F168&lt;S168,'G-7 Rivers Data'!$R$3,INDEX('G-7 Rivers Data'!$U$5:$Y$9,MATCH(G168,'G-7 Rivers Data'!$T$5:$T$9,0),MATCH(T168,'G-7 Rivers Data'!$U$4:$Y$4,0)))),"")</f>
        <v/>
      </c>
      <c r="Z168" s="203"/>
      <c r="AA168" s="203"/>
      <c r="AB168" s="534" t="str">
        <f t="shared" si="16"/>
        <v/>
      </c>
      <c r="AC168" s="521" t="str">
        <f t="shared" si="17"/>
        <v/>
      </c>
      <c r="AD168" s="564" t="str">
        <f>IFERROR(IF(AC168="Check Data ⚠","Check Data ⚠",VLOOKUP(AC168,'G-4 Temporal multipliers'!$A$4:$C$37,3,FALSE)),"")</f>
        <v/>
      </c>
      <c r="AE168" s="537" t="str">
        <f>IF(N168="","",VLOOKUP(N168,'G-7 Rivers Data'!$B$4:$G$8,5,FALSE))</f>
        <v/>
      </c>
      <c r="AF168" s="520" t="str">
        <f t="shared" si="18"/>
        <v/>
      </c>
      <c r="AG168" s="520" t="str">
        <f t="shared" si="22"/>
        <v/>
      </c>
      <c r="AH168" s="524" t="str">
        <f t="shared" si="19"/>
        <v/>
      </c>
      <c r="AI168" s="145"/>
      <c r="AJ168" s="499" t="str">
        <f>IF(AI168="","",IF(VLOOKUP(AI168,'G-7 Rivers Data'!$AA$4:$AB$7,2,FALSE)=0,"Spatial Data Missing ⚠",VLOOKUP(AI168,'G-7 Rivers Data'!$AA$4:$AB$7,2,FALSE)))</f>
        <v/>
      </c>
      <c r="AK168" s="155"/>
      <c r="AL168" s="536" t="str">
        <f>IF(AK168="","",IF(VLOOKUP(AK168,'G-7 Rivers Data'!$AD$4:$AE$8,2,FALSE)=0,"Spatial Data Missing ⚠",VLOOKUP(AK168,'G-7 Rivers Data'!$AD$4:$AE$8,2,FALSE)))</f>
        <v/>
      </c>
      <c r="AM168" s="154"/>
      <c r="AN168" s="524" t="str">
        <f>IF(AM168="","",VLOOKUP(AM168,'G-7 Rivers Data'!$AO$4:$AP$7,2,FALSE))</f>
        <v/>
      </c>
      <c r="AO168" s="545" t="str">
        <f t="shared" si="23"/>
        <v/>
      </c>
      <c r="AP168" s="149"/>
      <c r="AQ168" s="150"/>
      <c r="AX168" s="31" t="str">
        <f>IFERROR(INDEX('G-7 Rivers Data'!$AZ$3:$AZ$7,MATCH(N168,'G-7 Rivers Data'!$AY$3:$AY$7,0)),"")</f>
        <v/>
      </c>
    </row>
    <row r="169" spans="2:50" ht="14" x14ac:dyDescent="0.3">
      <c r="B169" s="531" t="str">
        <f>'F-1 Off Site River Baseline'!AN167</f>
        <v/>
      </c>
      <c r="C169" s="520" t="str">
        <f>IF(B169="","",VLOOKUP($B169,'F-1 Off Site River Baseline'!$C$9:$R$257,2,FALSE))</f>
        <v/>
      </c>
      <c r="D169" s="520" t="str">
        <f>IF(C169="","",VLOOKUP($B169,'F-1 Off Site River Baseline'!$C$9:$R$257,3,FALSE))</f>
        <v/>
      </c>
      <c r="E169" s="520" t="str">
        <f>IF(D169="","",VLOOKUP($B169,'F-1 Off Site River Baseline'!$C$9:$R$257,4,FALSE))</f>
        <v/>
      </c>
      <c r="F169" s="520" t="str">
        <f>IF(E169="","",VLOOKUP($B169,'F-1 Off Site River Baseline'!$C$9:$R$257,5,FALSE))</f>
        <v/>
      </c>
      <c r="G169" s="520" t="str">
        <f>IF(F169="","",VLOOKUP($B169,'F-1 Off Site River Baseline'!$C$9:$R$257,6,FALSE))</f>
        <v/>
      </c>
      <c r="H169" s="520" t="str">
        <f>IF(G169="","",VLOOKUP($B169,'F-1 Off Site River Baseline'!$C$9:$R$257,7,FALSE))</f>
        <v/>
      </c>
      <c r="I169" s="520" t="str">
        <f>IF(H169="","",VLOOKUP($B169,'F-1 Off Site River Baseline'!$C$9:$R$257,8,FALSE))</f>
        <v/>
      </c>
      <c r="J169" s="520" t="str">
        <f>IF(I169="","",VLOOKUP($B169,'F-1 Off Site River Baseline'!$C$9:$R$257,9,FALSE))</f>
        <v/>
      </c>
      <c r="K169" s="520" t="str">
        <f>IF(J169="","",VLOOKUP($B169,'F-1 Off Site River Baseline'!$C$9:$R$257,10,FALSE))</f>
        <v/>
      </c>
      <c r="L169" s="520" t="str">
        <f>IF(B169="","",VLOOKUP($B169,'C-1 Site River Baseline'!$C$9:$R$257,15,FALSE))</f>
        <v/>
      </c>
      <c r="M169" s="524" t="str">
        <f>IF(L169="","",VLOOKUP($B169,'F-1 Off Site River Baseline'!$C$9:$R$257,16,FALSE))</f>
        <v/>
      </c>
      <c r="N169" s="418" t="str">
        <f t="shared" si="20"/>
        <v/>
      </c>
      <c r="O169" s="498" t="str">
        <f t="shared" si="21"/>
        <v/>
      </c>
      <c r="P169" s="499" t="str">
        <f>IF(C169="","",IF(AND(LEFT(C169,55)&lt;&gt;LEFT(N169,55),O169="High - High"),"Error - Not like for like ▲",IF(AND(F169=S169,H169&gt;U169),"Error - Can not reduce condition ▲",IF(AND(F169=S169,H169=U169,AJ169='F-1 Off Site River Baseline'!N167,'F-1 Off Site River Baseline'!P167=AL169),"Error - No enhancement ▲",IF(AND(C169&lt;&gt;N169,F169&lt;S169),"Lower Distinctiveness Habitat"&amp;" - "&amp;T169,G169&amp;" - "&amp;T169)))))</f>
        <v/>
      </c>
      <c r="Q169" s="505" t="str">
        <f>IF(N169="","",VLOOKUP(B169,'F-1 Off Site River Baseline'!$C$10:$AA$257,19,FALSE))</f>
        <v/>
      </c>
      <c r="R169" s="498" t="str">
        <f>IF(N169="","",VLOOKUP(N169,'G-7 Rivers Data'!$B$2:$G$8,2,FALSE))</f>
        <v/>
      </c>
      <c r="S169" s="499" t="str">
        <f>IFERROR(VLOOKUP(R169,'G-7 Rivers Data'!$C$4:$D$8,2,FALSE),"")</f>
        <v/>
      </c>
      <c r="T169" s="145"/>
      <c r="U169" s="499" t="str">
        <f>IFERROR(INDEX('G-7 Rivers Data'!$H$4:$L$8,MATCH(N169,'G-7 Rivers Data'!$B$4:$B$8,0),MATCH(T169,'G-7 Rivers Data'!$H$3:$L$3,0)),"")</f>
        <v/>
      </c>
      <c r="V169" s="154"/>
      <c r="W169" s="520" t="str">
        <f>IF(V169="","",IF(VLOOKUP(V169,'G-7 Rivers Data'!$AG$4:$AI$9,2,FALSE)=0,"Spatial Data Missing ⚠",VLOOKUP(V169,'G-7 Rivers Data'!$AG$4:$AI$9,2,FALSE)))</f>
        <v/>
      </c>
      <c r="X169" s="524" t="str">
        <f>IF(V169="","",IF(VLOOKUP(V169,'G-7 Rivers Data'!$AG$4:$AI$9,3,FALSE)=0,"Spatial Data Missing ⚠",VLOOKUP(V169,'G-7 Rivers Data'!$AG$4:$AI$9,3,FALSE)))</f>
        <v/>
      </c>
      <c r="Y169" s="537" t="str">
        <f>IFERROR(IF(OR(LEFT(P169,5)="Error ▲",LEFT(O169,5)="Error ▲"),"Check Data ⚠",IF(F169&lt;S169,'G-7 Rivers Data'!$R$3,INDEX('G-7 Rivers Data'!$U$5:$Y$9,MATCH(G169,'G-7 Rivers Data'!$T$5:$T$9,0),MATCH(T169,'G-7 Rivers Data'!$U$4:$Y$4,0)))),"")</f>
        <v/>
      </c>
      <c r="Z169" s="203"/>
      <c r="AA169" s="203"/>
      <c r="AB169" s="534" t="str">
        <f t="shared" si="16"/>
        <v/>
      </c>
      <c r="AC169" s="521" t="str">
        <f t="shared" si="17"/>
        <v/>
      </c>
      <c r="AD169" s="564" t="str">
        <f>IFERROR(IF(AC169="Check Data ⚠","Check Data ⚠",VLOOKUP(AC169,'G-4 Temporal multipliers'!$A$4:$C$37,3,FALSE)),"")</f>
        <v/>
      </c>
      <c r="AE169" s="537" t="str">
        <f>IF(N169="","",VLOOKUP(N169,'G-7 Rivers Data'!$B$4:$G$8,5,FALSE))</f>
        <v/>
      </c>
      <c r="AF169" s="520" t="str">
        <f t="shared" si="18"/>
        <v/>
      </c>
      <c r="AG169" s="520" t="str">
        <f t="shared" si="22"/>
        <v/>
      </c>
      <c r="AH169" s="524" t="str">
        <f t="shared" si="19"/>
        <v/>
      </c>
      <c r="AI169" s="145"/>
      <c r="AJ169" s="499" t="str">
        <f>IF(AI169="","",IF(VLOOKUP(AI169,'G-7 Rivers Data'!$AA$4:$AB$7,2,FALSE)=0,"Spatial Data Missing ⚠",VLOOKUP(AI169,'G-7 Rivers Data'!$AA$4:$AB$7,2,FALSE)))</f>
        <v/>
      </c>
      <c r="AK169" s="155"/>
      <c r="AL169" s="536" t="str">
        <f>IF(AK169="","",IF(VLOOKUP(AK169,'G-7 Rivers Data'!$AD$4:$AE$8,2,FALSE)=0,"Spatial Data Missing ⚠",VLOOKUP(AK169,'G-7 Rivers Data'!$AD$4:$AE$8,2,FALSE)))</f>
        <v/>
      </c>
      <c r="AM169" s="154"/>
      <c r="AN169" s="524" t="str">
        <f>IF(AM169="","",VLOOKUP(AM169,'G-7 Rivers Data'!$AO$4:$AP$7,2,FALSE))</f>
        <v/>
      </c>
      <c r="AO169" s="545" t="str">
        <f t="shared" si="23"/>
        <v/>
      </c>
      <c r="AP169" s="149"/>
      <c r="AQ169" s="150"/>
      <c r="AX169" s="31" t="str">
        <f>IFERROR(INDEX('G-7 Rivers Data'!$AZ$3:$AZ$7,MATCH(N169,'G-7 Rivers Data'!$AY$3:$AY$7,0)),"")</f>
        <v/>
      </c>
    </row>
    <row r="170" spans="2:50" ht="14" x14ac:dyDescent="0.3">
      <c r="B170" s="531" t="str">
        <f>'F-1 Off Site River Baseline'!AN168</f>
        <v/>
      </c>
      <c r="C170" s="520" t="str">
        <f>IF(B170="","",VLOOKUP($B170,'F-1 Off Site River Baseline'!$C$9:$R$257,2,FALSE))</f>
        <v/>
      </c>
      <c r="D170" s="520" t="str">
        <f>IF(C170="","",VLOOKUP($B170,'F-1 Off Site River Baseline'!$C$9:$R$257,3,FALSE))</f>
        <v/>
      </c>
      <c r="E170" s="520" t="str">
        <f>IF(D170="","",VLOOKUP($B170,'F-1 Off Site River Baseline'!$C$9:$R$257,4,FALSE))</f>
        <v/>
      </c>
      <c r="F170" s="520" t="str">
        <f>IF(E170="","",VLOOKUP($B170,'F-1 Off Site River Baseline'!$C$9:$R$257,5,FALSE))</f>
        <v/>
      </c>
      <c r="G170" s="520" t="str">
        <f>IF(F170="","",VLOOKUP($B170,'F-1 Off Site River Baseline'!$C$9:$R$257,6,FALSE))</f>
        <v/>
      </c>
      <c r="H170" s="520" t="str">
        <f>IF(G170="","",VLOOKUP($B170,'F-1 Off Site River Baseline'!$C$9:$R$257,7,FALSE))</f>
        <v/>
      </c>
      <c r="I170" s="520" t="str">
        <f>IF(H170="","",VLOOKUP($B170,'F-1 Off Site River Baseline'!$C$9:$R$257,8,FALSE))</f>
        <v/>
      </c>
      <c r="J170" s="520" t="str">
        <f>IF(I170="","",VLOOKUP($B170,'F-1 Off Site River Baseline'!$C$9:$R$257,9,FALSE))</f>
        <v/>
      </c>
      <c r="K170" s="520" t="str">
        <f>IF(J170="","",VLOOKUP($B170,'F-1 Off Site River Baseline'!$C$9:$R$257,10,FALSE))</f>
        <v/>
      </c>
      <c r="L170" s="520" t="str">
        <f>IF(B170="","",VLOOKUP($B170,'C-1 Site River Baseline'!$C$9:$R$257,15,FALSE))</f>
        <v/>
      </c>
      <c r="M170" s="524" t="str">
        <f>IF(L170="","",VLOOKUP($B170,'F-1 Off Site River Baseline'!$C$9:$R$257,16,FALSE))</f>
        <v/>
      </c>
      <c r="N170" s="418" t="str">
        <f t="shared" si="20"/>
        <v/>
      </c>
      <c r="O170" s="498" t="str">
        <f t="shared" si="21"/>
        <v/>
      </c>
      <c r="P170" s="499" t="str">
        <f>IF(C170="","",IF(AND(LEFT(C170,55)&lt;&gt;LEFT(N170,55),O170="High - High"),"Error - Not like for like ▲",IF(AND(F170=S170,H170&gt;U170),"Error - Can not reduce condition ▲",IF(AND(F170=S170,H170=U170,AJ170='F-1 Off Site River Baseline'!N168,'F-1 Off Site River Baseline'!P168=AL170),"Error - No enhancement ▲",IF(AND(C170&lt;&gt;N170,F170&lt;S170),"Lower Distinctiveness Habitat"&amp;" - "&amp;T170,G170&amp;" - "&amp;T170)))))</f>
        <v/>
      </c>
      <c r="Q170" s="505" t="str">
        <f>IF(N170="","",VLOOKUP(B170,'F-1 Off Site River Baseline'!$C$10:$AA$257,19,FALSE))</f>
        <v/>
      </c>
      <c r="R170" s="498" t="str">
        <f>IF(N170="","",VLOOKUP(N170,'G-7 Rivers Data'!$B$2:$G$8,2,FALSE))</f>
        <v/>
      </c>
      <c r="S170" s="499" t="str">
        <f>IFERROR(VLOOKUP(R170,'G-7 Rivers Data'!$C$4:$D$8,2,FALSE),"")</f>
        <v/>
      </c>
      <c r="T170" s="145"/>
      <c r="U170" s="499" t="str">
        <f>IFERROR(INDEX('G-7 Rivers Data'!$H$4:$L$8,MATCH(N170,'G-7 Rivers Data'!$B$4:$B$8,0),MATCH(T170,'G-7 Rivers Data'!$H$3:$L$3,0)),"")</f>
        <v/>
      </c>
      <c r="V170" s="154"/>
      <c r="W170" s="520" t="str">
        <f>IF(V170="","",IF(VLOOKUP(V170,'G-7 Rivers Data'!$AG$4:$AI$9,2,FALSE)=0,"Spatial Data Missing ⚠",VLOOKUP(V170,'G-7 Rivers Data'!$AG$4:$AI$9,2,FALSE)))</f>
        <v/>
      </c>
      <c r="X170" s="524" t="str">
        <f>IF(V170="","",IF(VLOOKUP(V170,'G-7 Rivers Data'!$AG$4:$AI$9,3,FALSE)=0,"Spatial Data Missing ⚠",VLOOKUP(V170,'G-7 Rivers Data'!$AG$4:$AI$9,3,FALSE)))</f>
        <v/>
      </c>
      <c r="Y170" s="537" t="str">
        <f>IFERROR(IF(OR(LEFT(P170,5)="Error ▲",LEFT(O170,5)="Error ▲"),"Check Data ⚠",IF(F170&lt;S170,'G-7 Rivers Data'!$R$3,INDEX('G-7 Rivers Data'!$U$5:$Y$9,MATCH(G170,'G-7 Rivers Data'!$T$5:$T$9,0),MATCH(T170,'G-7 Rivers Data'!$U$4:$Y$4,0)))),"")</f>
        <v/>
      </c>
      <c r="Z170" s="203"/>
      <c r="AA170" s="203"/>
      <c r="AB170" s="534" t="str">
        <f t="shared" si="16"/>
        <v/>
      </c>
      <c r="AC170" s="521" t="str">
        <f t="shared" si="17"/>
        <v/>
      </c>
      <c r="AD170" s="564" t="str">
        <f>IFERROR(IF(AC170="Check Data ⚠","Check Data ⚠",VLOOKUP(AC170,'G-4 Temporal multipliers'!$A$4:$C$37,3,FALSE)),"")</f>
        <v/>
      </c>
      <c r="AE170" s="537" t="str">
        <f>IF(N170="","",VLOOKUP(N170,'G-7 Rivers Data'!$B$4:$G$8,5,FALSE))</f>
        <v/>
      </c>
      <c r="AF170" s="520" t="str">
        <f t="shared" si="18"/>
        <v/>
      </c>
      <c r="AG170" s="520" t="str">
        <f t="shared" si="22"/>
        <v/>
      </c>
      <c r="AH170" s="524" t="str">
        <f t="shared" si="19"/>
        <v/>
      </c>
      <c r="AI170" s="145"/>
      <c r="AJ170" s="499" t="str">
        <f>IF(AI170="","",IF(VLOOKUP(AI170,'G-7 Rivers Data'!$AA$4:$AB$7,2,FALSE)=0,"Spatial Data Missing ⚠",VLOOKUP(AI170,'G-7 Rivers Data'!$AA$4:$AB$7,2,FALSE)))</f>
        <v/>
      </c>
      <c r="AK170" s="155"/>
      <c r="AL170" s="536" t="str">
        <f>IF(AK170="","",IF(VLOOKUP(AK170,'G-7 Rivers Data'!$AD$4:$AE$8,2,FALSE)=0,"Spatial Data Missing ⚠",VLOOKUP(AK170,'G-7 Rivers Data'!$AD$4:$AE$8,2,FALSE)))</f>
        <v/>
      </c>
      <c r="AM170" s="154"/>
      <c r="AN170" s="524" t="str">
        <f>IF(AM170="","",VLOOKUP(AM170,'G-7 Rivers Data'!$AO$4:$AP$7,2,FALSE))</f>
        <v/>
      </c>
      <c r="AO170" s="545" t="str">
        <f t="shared" si="23"/>
        <v/>
      </c>
      <c r="AP170" s="149"/>
      <c r="AQ170" s="150"/>
      <c r="AX170" s="31" t="str">
        <f>IFERROR(INDEX('G-7 Rivers Data'!$AZ$3:$AZ$7,MATCH(N170,'G-7 Rivers Data'!$AY$3:$AY$7,0)),"")</f>
        <v/>
      </c>
    </row>
    <row r="171" spans="2:50" ht="14" x14ac:dyDescent="0.3">
      <c r="B171" s="531" t="str">
        <f>'F-1 Off Site River Baseline'!AN169</f>
        <v/>
      </c>
      <c r="C171" s="520" t="str">
        <f>IF(B171="","",VLOOKUP($B171,'F-1 Off Site River Baseline'!$C$9:$R$257,2,FALSE))</f>
        <v/>
      </c>
      <c r="D171" s="520" t="str">
        <f>IF(C171="","",VLOOKUP($B171,'F-1 Off Site River Baseline'!$C$9:$R$257,3,FALSE))</f>
        <v/>
      </c>
      <c r="E171" s="520" t="str">
        <f>IF(D171="","",VLOOKUP($B171,'F-1 Off Site River Baseline'!$C$9:$R$257,4,FALSE))</f>
        <v/>
      </c>
      <c r="F171" s="520" t="str">
        <f>IF(E171="","",VLOOKUP($B171,'F-1 Off Site River Baseline'!$C$9:$R$257,5,FALSE))</f>
        <v/>
      </c>
      <c r="G171" s="520" t="str">
        <f>IF(F171="","",VLOOKUP($B171,'F-1 Off Site River Baseline'!$C$9:$R$257,6,FALSE))</f>
        <v/>
      </c>
      <c r="H171" s="520" t="str">
        <f>IF(G171="","",VLOOKUP($B171,'F-1 Off Site River Baseline'!$C$9:$R$257,7,FALSE))</f>
        <v/>
      </c>
      <c r="I171" s="520" t="str">
        <f>IF(H171="","",VLOOKUP($B171,'F-1 Off Site River Baseline'!$C$9:$R$257,8,FALSE))</f>
        <v/>
      </c>
      <c r="J171" s="520" t="str">
        <f>IF(I171="","",VLOOKUP($B171,'F-1 Off Site River Baseline'!$C$9:$R$257,9,FALSE))</f>
        <v/>
      </c>
      <c r="K171" s="520" t="str">
        <f>IF(J171="","",VLOOKUP($B171,'F-1 Off Site River Baseline'!$C$9:$R$257,10,FALSE))</f>
        <v/>
      </c>
      <c r="L171" s="520" t="str">
        <f>IF(B171="","",VLOOKUP($B171,'C-1 Site River Baseline'!$C$9:$R$257,15,FALSE))</f>
        <v/>
      </c>
      <c r="M171" s="524" t="str">
        <f>IF(L171="","",VLOOKUP($B171,'F-1 Off Site River Baseline'!$C$9:$R$257,16,FALSE))</f>
        <v/>
      </c>
      <c r="N171" s="418" t="str">
        <f t="shared" si="20"/>
        <v/>
      </c>
      <c r="O171" s="498" t="str">
        <f t="shared" si="21"/>
        <v/>
      </c>
      <c r="P171" s="499" t="str">
        <f>IF(C171="","",IF(AND(LEFT(C171,55)&lt;&gt;LEFT(N171,55),O171="High - High"),"Error - Not like for like ▲",IF(AND(F171=S171,H171&gt;U171),"Error - Can not reduce condition ▲",IF(AND(F171=S171,H171=U171,AJ171='F-1 Off Site River Baseline'!N169,'F-1 Off Site River Baseline'!P169=AL171),"Error - No enhancement ▲",IF(AND(C171&lt;&gt;N171,F171&lt;S171),"Lower Distinctiveness Habitat"&amp;" - "&amp;T171,G171&amp;" - "&amp;T171)))))</f>
        <v/>
      </c>
      <c r="Q171" s="505" t="str">
        <f>IF(N171="","",VLOOKUP(B171,'F-1 Off Site River Baseline'!$C$10:$AA$257,19,FALSE))</f>
        <v/>
      </c>
      <c r="R171" s="498" t="str">
        <f>IF(N171="","",VLOOKUP(N171,'G-7 Rivers Data'!$B$2:$G$8,2,FALSE))</f>
        <v/>
      </c>
      <c r="S171" s="499" t="str">
        <f>IFERROR(VLOOKUP(R171,'G-7 Rivers Data'!$C$4:$D$8,2,FALSE),"")</f>
        <v/>
      </c>
      <c r="T171" s="145"/>
      <c r="U171" s="499" t="str">
        <f>IFERROR(INDEX('G-7 Rivers Data'!$H$4:$L$8,MATCH(N171,'G-7 Rivers Data'!$B$4:$B$8,0),MATCH(T171,'G-7 Rivers Data'!$H$3:$L$3,0)),"")</f>
        <v/>
      </c>
      <c r="V171" s="154"/>
      <c r="W171" s="520" t="str">
        <f>IF(V171="","",IF(VLOOKUP(V171,'G-7 Rivers Data'!$AG$4:$AI$9,2,FALSE)=0,"Spatial Data Missing ⚠",VLOOKUP(V171,'G-7 Rivers Data'!$AG$4:$AI$9,2,FALSE)))</f>
        <v/>
      </c>
      <c r="X171" s="524" t="str">
        <f>IF(V171="","",IF(VLOOKUP(V171,'G-7 Rivers Data'!$AG$4:$AI$9,3,FALSE)=0,"Spatial Data Missing ⚠",VLOOKUP(V171,'G-7 Rivers Data'!$AG$4:$AI$9,3,FALSE)))</f>
        <v/>
      </c>
      <c r="Y171" s="537" t="str">
        <f>IFERROR(IF(OR(LEFT(P171,5)="Error ▲",LEFT(O171,5)="Error ▲"),"Check Data ⚠",IF(F171&lt;S171,'G-7 Rivers Data'!$R$3,INDEX('G-7 Rivers Data'!$U$5:$Y$9,MATCH(G171,'G-7 Rivers Data'!$T$5:$T$9,0),MATCH(T171,'G-7 Rivers Data'!$U$4:$Y$4,0)))),"")</f>
        <v/>
      </c>
      <c r="Z171" s="203"/>
      <c r="AA171" s="203"/>
      <c r="AB171" s="534" t="str">
        <f t="shared" si="16"/>
        <v/>
      </c>
      <c r="AC171" s="521" t="str">
        <f t="shared" si="17"/>
        <v/>
      </c>
      <c r="AD171" s="564" t="str">
        <f>IFERROR(IF(AC171="Check Data ⚠","Check Data ⚠",VLOOKUP(AC171,'G-4 Temporal multipliers'!$A$4:$C$37,3,FALSE)),"")</f>
        <v/>
      </c>
      <c r="AE171" s="537" t="str">
        <f>IF(N171="","",VLOOKUP(N171,'G-7 Rivers Data'!$B$4:$G$8,5,FALSE))</f>
        <v/>
      </c>
      <c r="AF171" s="520" t="str">
        <f t="shared" si="18"/>
        <v/>
      </c>
      <c r="AG171" s="520" t="str">
        <f t="shared" si="22"/>
        <v/>
      </c>
      <c r="AH171" s="524" t="str">
        <f t="shared" si="19"/>
        <v/>
      </c>
      <c r="AI171" s="145"/>
      <c r="AJ171" s="499" t="str">
        <f>IF(AI171="","",IF(VLOOKUP(AI171,'G-7 Rivers Data'!$AA$4:$AB$7,2,FALSE)=0,"Spatial Data Missing ⚠",VLOOKUP(AI171,'G-7 Rivers Data'!$AA$4:$AB$7,2,FALSE)))</f>
        <v/>
      </c>
      <c r="AK171" s="155"/>
      <c r="AL171" s="536" t="str">
        <f>IF(AK171="","",IF(VLOOKUP(AK171,'G-7 Rivers Data'!$AD$4:$AE$8,2,FALSE)=0,"Spatial Data Missing ⚠",VLOOKUP(AK171,'G-7 Rivers Data'!$AD$4:$AE$8,2,FALSE)))</f>
        <v/>
      </c>
      <c r="AM171" s="154"/>
      <c r="AN171" s="524" t="str">
        <f>IF(AM171="","",VLOOKUP(AM171,'G-7 Rivers Data'!$AO$4:$AP$7,2,FALSE))</f>
        <v/>
      </c>
      <c r="AO171" s="545" t="str">
        <f t="shared" si="23"/>
        <v/>
      </c>
      <c r="AP171" s="149"/>
      <c r="AQ171" s="150"/>
      <c r="AX171" s="31" t="str">
        <f>IFERROR(INDEX('G-7 Rivers Data'!$AZ$3:$AZ$7,MATCH(N171,'G-7 Rivers Data'!$AY$3:$AY$7,0)),"")</f>
        <v/>
      </c>
    </row>
    <row r="172" spans="2:50" ht="14" x14ac:dyDescent="0.3">
      <c r="B172" s="531" t="str">
        <f>'F-1 Off Site River Baseline'!AN170</f>
        <v/>
      </c>
      <c r="C172" s="520" t="str">
        <f>IF(B172="","",VLOOKUP($B172,'F-1 Off Site River Baseline'!$C$9:$R$257,2,FALSE))</f>
        <v/>
      </c>
      <c r="D172" s="520" t="str">
        <f>IF(C172="","",VLOOKUP($B172,'F-1 Off Site River Baseline'!$C$9:$R$257,3,FALSE))</f>
        <v/>
      </c>
      <c r="E172" s="520" t="str">
        <f>IF(D172="","",VLOOKUP($B172,'F-1 Off Site River Baseline'!$C$9:$R$257,4,FALSE))</f>
        <v/>
      </c>
      <c r="F172" s="520" t="str">
        <f>IF(E172="","",VLOOKUP($B172,'F-1 Off Site River Baseline'!$C$9:$R$257,5,FALSE))</f>
        <v/>
      </c>
      <c r="G172" s="520" t="str">
        <f>IF(F172="","",VLOOKUP($B172,'F-1 Off Site River Baseline'!$C$9:$R$257,6,FALSE))</f>
        <v/>
      </c>
      <c r="H172" s="520" t="str">
        <f>IF(G172="","",VLOOKUP($B172,'F-1 Off Site River Baseline'!$C$9:$R$257,7,FALSE))</f>
        <v/>
      </c>
      <c r="I172" s="520" t="str">
        <f>IF(H172="","",VLOOKUP($B172,'F-1 Off Site River Baseline'!$C$9:$R$257,8,FALSE))</f>
        <v/>
      </c>
      <c r="J172" s="520" t="str">
        <f>IF(I172="","",VLOOKUP($B172,'F-1 Off Site River Baseline'!$C$9:$R$257,9,FALSE))</f>
        <v/>
      </c>
      <c r="K172" s="520" t="str">
        <f>IF(J172="","",VLOOKUP($B172,'F-1 Off Site River Baseline'!$C$9:$R$257,10,FALSE))</f>
        <v/>
      </c>
      <c r="L172" s="520" t="str">
        <f>IF(B172="","",VLOOKUP($B172,'C-1 Site River Baseline'!$C$9:$R$257,15,FALSE))</f>
        <v/>
      </c>
      <c r="M172" s="524" t="str">
        <f>IF(L172="","",VLOOKUP($B172,'F-1 Off Site River Baseline'!$C$9:$R$257,16,FALSE))</f>
        <v/>
      </c>
      <c r="N172" s="418" t="str">
        <f t="shared" si="20"/>
        <v/>
      </c>
      <c r="O172" s="498" t="str">
        <f t="shared" si="21"/>
        <v/>
      </c>
      <c r="P172" s="499" t="str">
        <f>IF(C172="","",IF(AND(LEFT(C172,55)&lt;&gt;LEFT(N172,55),O172="High - High"),"Error - Not like for like ▲",IF(AND(F172=S172,H172&gt;U172),"Error - Can not reduce condition ▲",IF(AND(F172=S172,H172=U172,AJ172='F-1 Off Site River Baseline'!N170,'F-1 Off Site River Baseline'!P170=AL172),"Error - No enhancement ▲",IF(AND(C172&lt;&gt;N172,F172&lt;S172),"Lower Distinctiveness Habitat"&amp;" - "&amp;T172,G172&amp;" - "&amp;T172)))))</f>
        <v/>
      </c>
      <c r="Q172" s="505" t="str">
        <f>IF(N172="","",VLOOKUP(B172,'F-1 Off Site River Baseline'!$C$10:$AA$257,19,FALSE))</f>
        <v/>
      </c>
      <c r="R172" s="498" t="str">
        <f>IF(N172="","",VLOOKUP(N172,'G-7 Rivers Data'!$B$2:$G$8,2,FALSE))</f>
        <v/>
      </c>
      <c r="S172" s="499" t="str">
        <f>IFERROR(VLOOKUP(R172,'G-7 Rivers Data'!$C$4:$D$8,2,FALSE),"")</f>
        <v/>
      </c>
      <c r="T172" s="145"/>
      <c r="U172" s="499" t="str">
        <f>IFERROR(INDEX('G-7 Rivers Data'!$H$4:$L$8,MATCH(N172,'G-7 Rivers Data'!$B$4:$B$8,0),MATCH(T172,'G-7 Rivers Data'!$H$3:$L$3,0)),"")</f>
        <v/>
      </c>
      <c r="V172" s="154"/>
      <c r="W172" s="520" t="str">
        <f>IF(V172="","",IF(VLOOKUP(V172,'G-7 Rivers Data'!$AG$4:$AI$9,2,FALSE)=0,"Spatial Data Missing ⚠",VLOOKUP(V172,'G-7 Rivers Data'!$AG$4:$AI$9,2,FALSE)))</f>
        <v/>
      </c>
      <c r="X172" s="524" t="str">
        <f>IF(V172="","",IF(VLOOKUP(V172,'G-7 Rivers Data'!$AG$4:$AI$9,3,FALSE)=0,"Spatial Data Missing ⚠",VLOOKUP(V172,'G-7 Rivers Data'!$AG$4:$AI$9,3,FALSE)))</f>
        <v/>
      </c>
      <c r="Y172" s="537" t="str">
        <f>IFERROR(IF(OR(LEFT(P172,5)="Error ▲",LEFT(O172,5)="Error ▲"),"Check Data ⚠",IF(F172&lt;S172,'G-7 Rivers Data'!$R$3,INDEX('G-7 Rivers Data'!$U$5:$Y$9,MATCH(G172,'G-7 Rivers Data'!$T$5:$T$9,0),MATCH(T172,'G-7 Rivers Data'!$U$4:$Y$4,0)))),"")</f>
        <v/>
      </c>
      <c r="Z172" s="203"/>
      <c r="AA172" s="203"/>
      <c r="AB172" s="534" t="str">
        <f t="shared" si="16"/>
        <v/>
      </c>
      <c r="AC172" s="521" t="str">
        <f t="shared" si="17"/>
        <v/>
      </c>
      <c r="AD172" s="564" t="str">
        <f>IFERROR(IF(AC172="Check Data ⚠","Check Data ⚠",VLOOKUP(AC172,'G-4 Temporal multipliers'!$A$4:$C$37,3,FALSE)),"")</f>
        <v/>
      </c>
      <c r="AE172" s="537" t="str">
        <f>IF(N172="","",VLOOKUP(N172,'G-7 Rivers Data'!$B$4:$G$8,5,FALSE))</f>
        <v/>
      </c>
      <c r="AF172" s="520" t="str">
        <f t="shared" si="18"/>
        <v/>
      </c>
      <c r="AG172" s="520" t="str">
        <f t="shared" si="22"/>
        <v/>
      </c>
      <c r="AH172" s="524" t="str">
        <f t="shared" si="19"/>
        <v/>
      </c>
      <c r="AI172" s="145"/>
      <c r="AJ172" s="499" t="str">
        <f>IF(AI172="","",IF(VLOOKUP(AI172,'G-7 Rivers Data'!$AA$4:$AB$7,2,FALSE)=0,"Spatial Data Missing ⚠",VLOOKUP(AI172,'G-7 Rivers Data'!$AA$4:$AB$7,2,FALSE)))</f>
        <v/>
      </c>
      <c r="AK172" s="155"/>
      <c r="AL172" s="536" t="str">
        <f>IF(AK172="","",IF(VLOOKUP(AK172,'G-7 Rivers Data'!$AD$4:$AE$8,2,FALSE)=0,"Spatial Data Missing ⚠",VLOOKUP(AK172,'G-7 Rivers Data'!$AD$4:$AE$8,2,FALSE)))</f>
        <v/>
      </c>
      <c r="AM172" s="154"/>
      <c r="AN172" s="524" t="str">
        <f>IF(AM172="","",VLOOKUP(AM172,'G-7 Rivers Data'!$AO$4:$AP$7,2,FALSE))</f>
        <v/>
      </c>
      <c r="AO172" s="545" t="str">
        <f t="shared" si="23"/>
        <v/>
      </c>
      <c r="AP172" s="149"/>
      <c r="AQ172" s="150"/>
      <c r="AX172" s="31" t="str">
        <f>IFERROR(INDEX('G-7 Rivers Data'!$AZ$3:$AZ$7,MATCH(N172,'G-7 Rivers Data'!$AY$3:$AY$7,0)),"")</f>
        <v/>
      </c>
    </row>
    <row r="173" spans="2:50" ht="14" x14ac:dyDescent="0.3">
      <c r="B173" s="531" t="str">
        <f>'F-1 Off Site River Baseline'!AN171</f>
        <v/>
      </c>
      <c r="C173" s="520" t="str">
        <f>IF(B173="","",VLOOKUP($B173,'F-1 Off Site River Baseline'!$C$9:$R$257,2,FALSE))</f>
        <v/>
      </c>
      <c r="D173" s="520" t="str">
        <f>IF(C173="","",VLOOKUP($B173,'F-1 Off Site River Baseline'!$C$9:$R$257,3,FALSE))</f>
        <v/>
      </c>
      <c r="E173" s="520" t="str">
        <f>IF(D173="","",VLOOKUP($B173,'F-1 Off Site River Baseline'!$C$9:$R$257,4,FALSE))</f>
        <v/>
      </c>
      <c r="F173" s="520" t="str">
        <f>IF(E173="","",VLOOKUP($B173,'F-1 Off Site River Baseline'!$C$9:$R$257,5,FALSE))</f>
        <v/>
      </c>
      <c r="G173" s="520" t="str">
        <f>IF(F173="","",VLOOKUP($B173,'F-1 Off Site River Baseline'!$C$9:$R$257,6,FALSE))</f>
        <v/>
      </c>
      <c r="H173" s="520" t="str">
        <f>IF(G173="","",VLOOKUP($B173,'F-1 Off Site River Baseline'!$C$9:$R$257,7,FALSE))</f>
        <v/>
      </c>
      <c r="I173" s="520" t="str">
        <f>IF(H173="","",VLOOKUP($B173,'F-1 Off Site River Baseline'!$C$9:$R$257,8,FALSE))</f>
        <v/>
      </c>
      <c r="J173" s="520" t="str">
        <f>IF(I173="","",VLOOKUP($B173,'F-1 Off Site River Baseline'!$C$9:$R$257,9,FALSE))</f>
        <v/>
      </c>
      <c r="K173" s="520" t="str">
        <f>IF(J173="","",VLOOKUP($B173,'F-1 Off Site River Baseline'!$C$9:$R$257,10,FALSE))</f>
        <v/>
      </c>
      <c r="L173" s="520" t="str">
        <f>IF(B173="","",VLOOKUP($B173,'C-1 Site River Baseline'!$C$9:$R$257,15,FALSE))</f>
        <v/>
      </c>
      <c r="M173" s="524" t="str">
        <f>IF(L173="","",VLOOKUP($B173,'F-1 Off Site River Baseline'!$C$9:$R$257,16,FALSE))</f>
        <v/>
      </c>
      <c r="N173" s="418" t="str">
        <f t="shared" si="20"/>
        <v/>
      </c>
      <c r="O173" s="498" t="str">
        <f t="shared" si="21"/>
        <v/>
      </c>
      <c r="P173" s="499" t="str">
        <f>IF(C173="","",IF(AND(LEFT(C173,55)&lt;&gt;LEFT(N173,55),O173="High - High"),"Error - Not like for like ▲",IF(AND(F173=S173,H173&gt;U173),"Error - Can not reduce condition ▲",IF(AND(F173=S173,H173=U173,AJ173='F-1 Off Site River Baseline'!N171,'F-1 Off Site River Baseline'!P171=AL173),"Error - No enhancement ▲",IF(AND(C173&lt;&gt;N173,F173&lt;S173),"Lower Distinctiveness Habitat"&amp;" - "&amp;T173,G173&amp;" - "&amp;T173)))))</f>
        <v/>
      </c>
      <c r="Q173" s="505" t="str">
        <f>IF(N173="","",VLOOKUP(B173,'F-1 Off Site River Baseline'!$C$10:$AA$257,19,FALSE))</f>
        <v/>
      </c>
      <c r="R173" s="498" t="str">
        <f>IF(N173="","",VLOOKUP(N173,'G-7 Rivers Data'!$B$2:$G$8,2,FALSE))</f>
        <v/>
      </c>
      <c r="S173" s="499" t="str">
        <f>IFERROR(VLOOKUP(R173,'G-7 Rivers Data'!$C$4:$D$8,2,FALSE),"")</f>
        <v/>
      </c>
      <c r="T173" s="145"/>
      <c r="U173" s="499" t="str">
        <f>IFERROR(INDEX('G-7 Rivers Data'!$H$4:$L$8,MATCH(N173,'G-7 Rivers Data'!$B$4:$B$8,0),MATCH(T173,'G-7 Rivers Data'!$H$3:$L$3,0)),"")</f>
        <v/>
      </c>
      <c r="V173" s="154"/>
      <c r="W173" s="520" t="str">
        <f>IF(V173="","",IF(VLOOKUP(V173,'G-7 Rivers Data'!$AG$4:$AI$9,2,FALSE)=0,"Spatial Data Missing ⚠",VLOOKUP(V173,'G-7 Rivers Data'!$AG$4:$AI$9,2,FALSE)))</f>
        <v/>
      </c>
      <c r="X173" s="524" t="str">
        <f>IF(V173="","",IF(VLOOKUP(V173,'G-7 Rivers Data'!$AG$4:$AI$9,3,FALSE)=0,"Spatial Data Missing ⚠",VLOOKUP(V173,'G-7 Rivers Data'!$AG$4:$AI$9,3,FALSE)))</f>
        <v/>
      </c>
      <c r="Y173" s="537" t="str">
        <f>IFERROR(IF(OR(LEFT(P173,5)="Error ▲",LEFT(O173,5)="Error ▲"),"Check Data ⚠",IF(F173&lt;S173,'G-7 Rivers Data'!$R$3,INDEX('G-7 Rivers Data'!$U$5:$Y$9,MATCH(G173,'G-7 Rivers Data'!$T$5:$T$9,0),MATCH(T173,'G-7 Rivers Data'!$U$4:$Y$4,0)))),"")</f>
        <v/>
      </c>
      <c r="Z173" s="203"/>
      <c r="AA173" s="203"/>
      <c r="AB173" s="534" t="str">
        <f t="shared" si="16"/>
        <v/>
      </c>
      <c r="AC173" s="521" t="str">
        <f t="shared" si="17"/>
        <v/>
      </c>
      <c r="AD173" s="564" t="str">
        <f>IFERROR(IF(AC173="Check Data ⚠","Check Data ⚠",VLOOKUP(AC173,'G-4 Temporal multipliers'!$A$4:$C$37,3,FALSE)),"")</f>
        <v/>
      </c>
      <c r="AE173" s="537" t="str">
        <f>IF(N173="","",VLOOKUP(N173,'G-7 Rivers Data'!$B$4:$G$8,5,FALSE))</f>
        <v/>
      </c>
      <c r="AF173" s="520" t="str">
        <f t="shared" si="18"/>
        <v/>
      </c>
      <c r="AG173" s="520" t="str">
        <f t="shared" si="22"/>
        <v/>
      </c>
      <c r="AH173" s="524" t="str">
        <f t="shared" si="19"/>
        <v/>
      </c>
      <c r="AI173" s="145"/>
      <c r="AJ173" s="499" t="str">
        <f>IF(AI173="","",IF(VLOOKUP(AI173,'G-7 Rivers Data'!$AA$4:$AB$7,2,FALSE)=0,"Spatial Data Missing ⚠",VLOOKUP(AI173,'G-7 Rivers Data'!$AA$4:$AB$7,2,FALSE)))</f>
        <v/>
      </c>
      <c r="AK173" s="155"/>
      <c r="AL173" s="536" t="str">
        <f>IF(AK173="","",IF(VLOOKUP(AK173,'G-7 Rivers Data'!$AD$4:$AE$8,2,FALSE)=0,"Spatial Data Missing ⚠",VLOOKUP(AK173,'G-7 Rivers Data'!$AD$4:$AE$8,2,FALSE)))</f>
        <v/>
      </c>
      <c r="AM173" s="154"/>
      <c r="AN173" s="524" t="str">
        <f>IF(AM173="","",VLOOKUP(AM173,'G-7 Rivers Data'!$AO$4:$AP$7,2,FALSE))</f>
        <v/>
      </c>
      <c r="AO173" s="545" t="str">
        <f t="shared" si="23"/>
        <v/>
      </c>
      <c r="AP173" s="149"/>
      <c r="AQ173" s="150"/>
      <c r="AX173" s="31" t="str">
        <f>IFERROR(INDEX('G-7 Rivers Data'!$AZ$3:$AZ$7,MATCH(N173,'G-7 Rivers Data'!$AY$3:$AY$7,0)),"")</f>
        <v/>
      </c>
    </row>
    <row r="174" spans="2:50" ht="14" x14ac:dyDescent="0.3">
      <c r="B174" s="531" t="str">
        <f>'F-1 Off Site River Baseline'!AN172</f>
        <v/>
      </c>
      <c r="C174" s="520" t="str">
        <f>IF(B174="","",VLOOKUP($B174,'F-1 Off Site River Baseline'!$C$9:$R$257,2,FALSE))</f>
        <v/>
      </c>
      <c r="D174" s="520" t="str">
        <f>IF(C174="","",VLOOKUP($B174,'F-1 Off Site River Baseline'!$C$9:$R$257,3,FALSE))</f>
        <v/>
      </c>
      <c r="E174" s="520" t="str">
        <f>IF(D174="","",VLOOKUP($B174,'F-1 Off Site River Baseline'!$C$9:$R$257,4,FALSE))</f>
        <v/>
      </c>
      <c r="F174" s="520" t="str">
        <f>IF(E174="","",VLOOKUP($B174,'F-1 Off Site River Baseline'!$C$9:$R$257,5,FALSE))</f>
        <v/>
      </c>
      <c r="G174" s="520" t="str">
        <f>IF(F174="","",VLOOKUP($B174,'F-1 Off Site River Baseline'!$C$9:$R$257,6,FALSE))</f>
        <v/>
      </c>
      <c r="H174" s="520" t="str">
        <f>IF(G174="","",VLOOKUP($B174,'F-1 Off Site River Baseline'!$C$9:$R$257,7,FALSE))</f>
        <v/>
      </c>
      <c r="I174" s="520" t="str">
        <f>IF(H174="","",VLOOKUP($B174,'F-1 Off Site River Baseline'!$C$9:$R$257,8,FALSE))</f>
        <v/>
      </c>
      <c r="J174" s="520" t="str">
        <f>IF(I174="","",VLOOKUP($B174,'F-1 Off Site River Baseline'!$C$9:$R$257,9,FALSE))</f>
        <v/>
      </c>
      <c r="K174" s="520" t="str">
        <f>IF(J174="","",VLOOKUP($B174,'F-1 Off Site River Baseline'!$C$9:$R$257,10,FALSE))</f>
        <v/>
      </c>
      <c r="L174" s="520" t="str">
        <f>IF(B174="","",VLOOKUP($B174,'C-1 Site River Baseline'!$C$9:$R$257,15,FALSE))</f>
        <v/>
      </c>
      <c r="M174" s="524" t="str">
        <f>IF(L174="","",VLOOKUP($B174,'F-1 Off Site River Baseline'!$C$9:$R$257,16,FALSE))</f>
        <v/>
      </c>
      <c r="N174" s="418" t="str">
        <f t="shared" si="20"/>
        <v/>
      </c>
      <c r="O174" s="498" t="str">
        <f t="shared" si="21"/>
        <v/>
      </c>
      <c r="P174" s="499" t="str">
        <f>IF(C174="","",IF(AND(LEFT(C174,55)&lt;&gt;LEFT(N174,55),O174="High - High"),"Error - Not like for like ▲",IF(AND(F174=S174,H174&gt;U174),"Error - Can not reduce condition ▲",IF(AND(F174=S174,H174=U174,AJ174='F-1 Off Site River Baseline'!N172,'F-1 Off Site River Baseline'!P172=AL174),"Error - No enhancement ▲",IF(AND(C174&lt;&gt;N174,F174&lt;S174),"Lower Distinctiveness Habitat"&amp;" - "&amp;T174,G174&amp;" - "&amp;T174)))))</f>
        <v/>
      </c>
      <c r="Q174" s="505" t="str">
        <f>IF(N174="","",VLOOKUP(B174,'F-1 Off Site River Baseline'!$C$10:$AA$257,19,FALSE))</f>
        <v/>
      </c>
      <c r="R174" s="498" t="str">
        <f>IF(N174="","",VLOOKUP(N174,'G-7 Rivers Data'!$B$2:$G$8,2,FALSE))</f>
        <v/>
      </c>
      <c r="S174" s="499" t="str">
        <f>IFERROR(VLOOKUP(R174,'G-7 Rivers Data'!$C$4:$D$8,2,FALSE),"")</f>
        <v/>
      </c>
      <c r="T174" s="145"/>
      <c r="U174" s="499" t="str">
        <f>IFERROR(INDEX('G-7 Rivers Data'!$H$4:$L$8,MATCH(N174,'G-7 Rivers Data'!$B$4:$B$8,0),MATCH(T174,'G-7 Rivers Data'!$H$3:$L$3,0)),"")</f>
        <v/>
      </c>
      <c r="V174" s="154"/>
      <c r="W174" s="520" t="str">
        <f>IF(V174="","",IF(VLOOKUP(V174,'G-7 Rivers Data'!$AG$4:$AI$9,2,FALSE)=0,"Spatial Data Missing ⚠",VLOOKUP(V174,'G-7 Rivers Data'!$AG$4:$AI$9,2,FALSE)))</f>
        <v/>
      </c>
      <c r="X174" s="524" t="str">
        <f>IF(V174="","",IF(VLOOKUP(V174,'G-7 Rivers Data'!$AG$4:$AI$9,3,FALSE)=0,"Spatial Data Missing ⚠",VLOOKUP(V174,'G-7 Rivers Data'!$AG$4:$AI$9,3,FALSE)))</f>
        <v/>
      </c>
      <c r="Y174" s="537" t="str">
        <f>IFERROR(IF(OR(LEFT(P174,5)="Error ▲",LEFT(O174,5)="Error ▲"),"Check Data ⚠",IF(F174&lt;S174,'G-7 Rivers Data'!$R$3,INDEX('G-7 Rivers Data'!$U$5:$Y$9,MATCH(G174,'G-7 Rivers Data'!$T$5:$T$9,0),MATCH(T174,'G-7 Rivers Data'!$U$4:$Y$4,0)))),"")</f>
        <v/>
      </c>
      <c r="Z174" s="203"/>
      <c r="AA174" s="203"/>
      <c r="AB174" s="534" t="str">
        <f t="shared" si="16"/>
        <v/>
      </c>
      <c r="AC174" s="521" t="str">
        <f t="shared" si="17"/>
        <v/>
      </c>
      <c r="AD174" s="564" t="str">
        <f>IFERROR(IF(AC174="Check Data ⚠","Check Data ⚠",VLOOKUP(AC174,'G-4 Temporal multipliers'!$A$4:$C$37,3,FALSE)),"")</f>
        <v/>
      </c>
      <c r="AE174" s="537" t="str">
        <f>IF(N174="","",VLOOKUP(N174,'G-7 Rivers Data'!$B$4:$G$8,5,FALSE))</f>
        <v/>
      </c>
      <c r="AF174" s="520" t="str">
        <f t="shared" si="18"/>
        <v/>
      </c>
      <c r="AG174" s="520" t="str">
        <f t="shared" si="22"/>
        <v/>
      </c>
      <c r="AH174" s="524" t="str">
        <f t="shared" si="19"/>
        <v/>
      </c>
      <c r="AI174" s="145"/>
      <c r="AJ174" s="499" t="str">
        <f>IF(AI174="","",IF(VLOOKUP(AI174,'G-7 Rivers Data'!$AA$4:$AB$7,2,FALSE)=0,"Spatial Data Missing ⚠",VLOOKUP(AI174,'G-7 Rivers Data'!$AA$4:$AB$7,2,FALSE)))</f>
        <v/>
      </c>
      <c r="AK174" s="155"/>
      <c r="AL174" s="536" t="str">
        <f>IF(AK174="","",IF(VLOOKUP(AK174,'G-7 Rivers Data'!$AD$4:$AE$8,2,FALSE)=0,"Spatial Data Missing ⚠",VLOOKUP(AK174,'G-7 Rivers Data'!$AD$4:$AE$8,2,FALSE)))</f>
        <v/>
      </c>
      <c r="AM174" s="154"/>
      <c r="AN174" s="524" t="str">
        <f>IF(AM174="","",VLOOKUP(AM174,'G-7 Rivers Data'!$AO$4:$AP$7,2,FALSE))</f>
        <v/>
      </c>
      <c r="AO174" s="545" t="str">
        <f t="shared" si="23"/>
        <v/>
      </c>
      <c r="AP174" s="149"/>
      <c r="AQ174" s="150"/>
      <c r="AX174" s="31" t="str">
        <f>IFERROR(INDEX('G-7 Rivers Data'!$AZ$3:$AZ$7,MATCH(N174,'G-7 Rivers Data'!$AY$3:$AY$7,0)),"")</f>
        <v/>
      </c>
    </row>
    <row r="175" spans="2:50" ht="14" x14ac:dyDescent="0.3">
      <c r="B175" s="531" t="str">
        <f>'F-1 Off Site River Baseline'!AN173</f>
        <v/>
      </c>
      <c r="C175" s="520" t="str">
        <f>IF(B175="","",VLOOKUP($B175,'F-1 Off Site River Baseline'!$C$9:$R$257,2,FALSE))</f>
        <v/>
      </c>
      <c r="D175" s="520" t="str">
        <f>IF(C175="","",VLOOKUP($B175,'F-1 Off Site River Baseline'!$C$9:$R$257,3,FALSE))</f>
        <v/>
      </c>
      <c r="E175" s="520" t="str">
        <f>IF(D175="","",VLOOKUP($B175,'F-1 Off Site River Baseline'!$C$9:$R$257,4,FALSE))</f>
        <v/>
      </c>
      <c r="F175" s="520" t="str">
        <f>IF(E175="","",VLOOKUP($B175,'F-1 Off Site River Baseline'!$C$9:$R$257,5,FALSE))</f>
        <v/>
      </c>
      <c r="G175" s="520" t="str">
        <f>IF(F175="","",VLOOKUP($B175,'F-1 Off Site River Baseline'!$C$9:$R$257,6,FALSE))</f>
        <v/>
      </c>
      <c r="H175" s="520" t="str">
        <f>IF(G175="","",VLOOKUP($B175,'F-1 Off Site River Baseline'!$C$9:$R$257,7,FALSE))</f>
        <v/>
      </c>
      <c r="I175" s="520" t="str">
        <f>IF(H175="","",VLOOKUP($B175,'F-1 Off Site River Baseline'!$C$9:$R$257,8,FALSE))</f>
        <v/>
      </c>
      <c r="J175" s="520" t="str">
        <f>IF(I175="","",VLOOKUP($B175,'F-1 Off Site River Baseline'!$C$9:$R$257,9,FALSE))</f>
        <v/>
      </c>
      <c r="K175" s="520" t="str">
        <f>IF(J175="","",VLOOKUP($B175,'F-1 Off Site River Baseline'!$C$9:$R$257,10,FALSE))</f>
        <v/>
      </c>
      <c r="L175" s="520" t="str">
        <f>IF(B175="","",VLOOKUP($B175,'C-1 Site River Baseline'!$C$9:$R$257,15,FALSE))</f>
        <v/>
      </c>
      <c r="M175" s="524" t="str">
        <f>IF(L175="","",VLOOKUP($B175,'F-1 Off Site River Baseline'!$C$9:$R$257,16,FALSE))</f>
        <v/>
      </c>
      <c r="N175" s="418" t="str">
        <f t="shared" si="20"/>
        <v/>
      </c>
      <c r="O175" s="498" t="str">
        <f t="shared" si="21"/>
        <v/>
      </c>
      <c r="P175" s="499" t="str">
        <f>IF(C175="","",IF(AND(LEFT(C175,55)&lt;&gt;LEFT(N175,55),O175="High - High"),"Error - Not like for like ▲",IF(AND(F175=S175,H175&gt;U175),"Error - Can not reduce condition ▲",IF(AND(F175=S175,H175=U175,AJ175='F-1 Off Site River Baseline'!N173,'F-1 Off Site River Baseline'!P173=AL175),"Error - No enhancement ▲",IF(AND(C175&lt;&gt;N175,F175&lt;S175),"Lower Distinctiveness Habitat"&amp;" - "&amp;T175,G175&amp;" - "&amp;T175)))))</f>
        <v/>
      </c>
      <c r="Q175" s="505" t="str">
        <f>IF(N175="","",VLOOKUP(B175,'F-1 Off Site River Baseline'!$C$10:$AA$257,19,FALSE))</f>
        <v/>
      </c>
      <c r="R175" s="498" t="str">
        <f>IF(N175="","",VLOOKUP(N175,'G-7 Rivers Data'!$B$2:$G$8,2,FALSE))</f>
        <v/>
      </c>
      <c r="S175" s="499" t="str">
        <f>IFERROR(VLOOKUP(R175,'G-7 Rivers Data'!$C$4:$D$8,2,FALSE),"")</f>
        <v/>
      </c>
      <c r="T175" s="145"/>
      <c r="U175" s="499" t="str">
        <f>IFERROR(INDEX('G-7 Rivers Data'!$H$4:$L$8,MATCH(N175,'G-7 Rivers Data'!$B$4:$B$8,0),MATCH(T175,'G-7 Rivers Data'!$H$3:$L$3,0)),"")</f>
        <v/>
      </c>
      <c r="V175" s="154"/>
      <c r="W175" s="520" t="str">
        <f>IF(V175="","",IF(VLOOKUP(V175,'G-7 Rivers Data'!$AG$4:$AI$9,2,FALSE)=0,"Spatial Data Missing ⚠",VLOOKUP(V175,'G-7 Rivers Data'!$AG$4:$AI$9,2,FALSE)))</f>
        <v/>
      </c>
      <c r="X175" s="524" t="str">
        <f>IF(V175="","",IF(VLOOKUP(V175,'G-7 Rivers Data'!$AG$4:$AI$9,3,FALSE)=0,"Spatial Data Missing ⚠",VLOOKUP(V175,'G-7 Rivers Data'!$AG$4:$AI$9,3,FALSE)))</f>
        <v/>
      </c>
      <c r="Y175" s="537" t="str">
        <f>IFERROR(IF(OR(LEFT(P175,5)="Error ▲",LEFT(O175,5)="Error ▲"),"Check Data ⚠",IF(F175&lt;S175,'G-7 Rivers Data'!$R$3,INDEX('G-7 Rivers Data'!$U$5:$Y$9,MATCH(G175,'G-7 Rivers Data'!$T$5:$T$9,0),MATCH(T175,'G-7 Rivers Data'!$U$4:$Y$4,0)))),"")</f>
        <v/>
      </c>
      <c r="Z175" s="203"/>
      <c r="AA175" s="203"/>
      <c r="AB175" s="534" t="str">
        <f t="shared" si="16"/>
        <v/>
      </c>
      <c r="AC175" s="521" t="str">
        <f t="shared" si="17"/>
        <v/>
      </c>
      <c r="AD175" s="564" t="str">
        <f>IFERROR(IF(AC175="Check Data ⚠","Check Data ⚠",VLOOKUP(AC175,'G-4 Temporal multipliers'!$A$4:$C$37,3,FALSE)),"")</f>
        <v/>
      </c>
      <c r="AE175" s="537" t="str">
        <f>IF(N175="","",VLOOKUP(N175,'G-7 Rivers Data'!$B$4:$G$8,5,FALSE))</f>
        <v/>
      </c>
      <c r="AF175" s="520" t="str">
        <f t="shared" si="18"/>
        <v/>
      </c>
      <c r="AG175" s="520" t="str">
        <f t="shared" si="22"/>
        <v/>
      </c>
      <c r="AH175" s="524" t="str">
        <f t="shared" si="19"/>
        <v/>
      </c>
      <c r="AI175" s="145"/>
      <c r="AJ175" s="499" t="str">
        <f>IF(AI175="","",IF(VLOOKUP(AI175,'G-7 Rivers Data'!$AA$4:$AB$7,2,FALSE)=0,"Spatial Data Missing ⚠",VLOOKUP(AI175,'G-7 Rivers Data'!$AA$4:$AB$7,2,FALSE)))</f>
        <v/>
      </c>
      <c r="AK175" s="155"/>
      <c r="AL175" s="536" t="str">
        <f>IF(AK175="","",IF(VLOOKUP(AK175,'G-7 Rivers Data'!$AD$4:$AE$8,2,FALSE)=0,"Spatial Data Missing ⚠",VLOOKUP(AK175,'G-7 Rivers Data'!$AD$4:$AE$8,2,FALSE)))</f>
        <v/>
      </c>
      <c r="AM175" s="154"/>
      <c r="AN175" s="524" t="str">
        <f>IF(AM175="","",VLOOKUP(AM175,'G-7 Rivers Data'!$AO$4:$AP$7,2,FALSE))</f>
        <v/>
      </c>
      <c r="AO175" s="545" t="str">
        <f t="shared" si="23"/>
        <v/>
      </c>
      <c r="AP175" s="149"/>
      <c r="AQ175" s="150"/>
      <c r="AX175" s="31" t="str">
        <f>IFERROR(INDEX('G-7 Rivers Data'!$AZ$3:$AZ$7,MATCH(N175,'G-7 Rivers Data'!$AY$3:$AY$7,0)),"")</f>
        <v/>
      </c>
    </row>
    <row r="176" spans="2:50" ht="14" x14ac:dyDescent="0.3">
      <c r="B176" s="531" t="str">
        <f>'F-1 Off Site River Baseline'!AN174</f>
        <v/>
      </c>
      <c r="C176" s="520" t="str">
        <f>IF(B176="","",VLOOKUP($B176,'F-1 Off Site River Baseline'!$C$9:$R$257,2,FALSE))</f>
        <v/>
      </c>
      <c r="D176" s="520" t="str">
        <f>IF(C176="","",VLOOKUP($B176,'F-1 Off Site River Baseline'!$C$9:$R$257,3,FALSE))</f>
        <v/>
      </c>
      <c r="E176" s="520" t="str">
        <f>IF(D176="","",VLOOKUP($B176,'F-1 Off Site River Baseline'!$C$9:$R$257,4,FALSE))</f>
        <v/>
      </c>
      <c r="F176" s="520" t="str">
        <f>IF(E176="","",VLOOKUP($B176,'F-1 Off Site River Baseline'!$C$9:$R$257,5,FALSE))</f>
        <v/>
      </c>
      <c r="G176" s="520" t="str">
        <f>IF(F176="","",VLOOKUP($B176,'F-1 Off Site River Baseline'!$C$9:$R$257,6,FALSE))</f>
        <v/>
      </c>
      <c r="H176" s="520" t="str">
        <f>IF(G176="","",VLOOKUP($B176,'F-1 Off Site River Baseline'!$C$9:$R$257,7,FALSE))</f>
        <v/>
      </c>
      <c r="I176" s="520" t="str">
        <f>IF(H176="","",VLOOKUP($B176,'F-1 Off Site River Baseline'!$C$9:$R$257,8,FALSE))</f>
        <v/>
      </c>
      <c r="J176" s="520" t="str">
        <f>IF(I176="","",VLOOKUP($B176,'F-1 Off Site River Baseline'!$C$9:$R$257,9,FALSE))</f>
        <v/>
      </c>
      <c r="K176" s="520" t="str">
        <f>IF(J176="","",VLOOKUP($B176,'F-1 Off Site River Baseline'!$C$9:$R$257,10,FALSE))</f>
        <v/>
      </c>
      <c r="L176" s="520" t="str">
        <f>IF(B176="","",VLOOKUP($B176,'C-1 Site River Baseline'!$C$9:$R$257,15,FALSE))</f>
        <v/>
      </c>
      <c r="M176" s="524" t="str">
        <f>IF(L176="","",VLOOKUP($B176,'F-1 Off Site River Baseline'!$C$9:$R$257,16,FALSE))</f>
        <v/>
      </c>
      <c r="N176" s="418" t="str">
        <f t="shared" si="20"/>
        <v/>
      </c>
      <c r="O176" s="498" t="str">
        <f t="shared" si="21"/>
        <v/>
      </c>
      <c r="P176" s="499" t="str">
        <f>IF(C176="","",IF(AND(LEFT(C176,55)&lt;&gt;LEFT(N176,55),O176="High - High"),"Error - Not like for like ▲",IF(AND(F176=S176,H176&gt;U176),"Error - Can not reduce condition ▲",IF(AND(F176=S176,H176=U176,AJ176='F-1 Off Site River Baseline'!N174,'F-1 Off Site River Baseline'!P174=AL176),"Error - No enhancement ▲",IF(AND(C176&lt;&gt;N176,F176&lt;S176),"Lower Distinctiveness Habitat"&amp;" - "&amp;T176,G176&amp;" - "&amp;T176)))))</f>
        <v/>
      </c>
      <c r="Q176" s="505" t="str">
        <f>IF(N176="","",VLOOKUP(B176,'F-1 Off Site River Baseline'!$C$10:$AA$257,19,FALSE))</f>
        <v/>
      </c>
      <c r="R176" s="498" t="str">
        <f>IF(N176="","",VLOOKUP(N176,'G-7 Rivers Data'!$B$2:$G$8,2,FALSE))</f>
        <v/>
      </c>
      <c r="S176" s="499" t="str">
        <f>IFERROR(VLOOKUP(R176,'G-7 Rivers Data'!$C$4:$D$8,2,FALSE),"")</f>
        <v/>
      </c>
      <c r="T176" s="145"/>
      <c r="U176" s="499" t="str">
        <f>IFERROR(INDEX('G-7 Rivers Data'!$H$4:$L$8,MATCH(N176,'G-7 Rivers Data'!$B$4:$B$8,0),MATCH(T176,'G-7 Rivers Data'!$H$3:$L$3,0)),"")</f>
        <v/>
      </c>
      <c r="V176" s="154"/>
      <c r="W176" s="520" t="str">
        <f>IF(V176="","",IF(VLOOKUP(V176,'G-7 Rivers Data'!$AG$4:$AI$9,2,FALSE)=0,"Spatial Data Missing ⚠",VLOOKUP(V176,'G-7 Rivers Data'!$AG$4:$AI$9,2,FALSE)))</f>
        <v/>
      </c>
      <c r="X176" s="524" t="str">
        <f>IF(V176="","",IF(VLOOKUP(V176,'G-7 Rivers Data'!$AG$4:$AI$9,3,FALSE)=0,"Spatial Data Missing ⚠",VLOOKUP(V176,'G-7 Rivers Data'!$AG$4:$AI$9,3,FALSE)))</f>
        <v/>
      </c>
      <c r="Y176" s="537" t="str">
        <f>IFERROR(IF(OR(LEFT(P176,5)="Error ▲",LEFT(O176,5)="Error ▲"),"Check Data ⚠",IF(F176&lt;S176,'G-7 Rivers Data'!$R$3,INDEX('G-7 Rivers Data'!$U$5:$Y$9,MATCH(G176,'G-7 Rivers Data'!$T$5:$T$9,0),MATCH(T176,'G-7 Rivers Data'!$U$4:$Y$4,0)))),"")</f>
        <v/>
      </c>
      <c r="Z176" s="203"/>
      <c r="AA176" s="203"/>
      <c r="AB176" s="534" t="str">
        <f t="shared" si="16"/>
        <v/>
      </c>
      <c r="AC176" s="521" t="str">
        <f t="shared" si="17"/>
        <v/>
      </c>
      <c r="AD176" s="564" t="str">
        <f>IFERROR(IF(AC176="Check Data ⚠","Check Data ⚠",VLOOKUP(AC176,'G-4 Temporal multipliers'!$A$4:$C$37,3,FALSE)),"")</f>
        <v/>
      </c>
      <c r="AE176" s="537" t="str">
        <f>IF(N176="","",VLOOKUP(N176,'G-7 Rivers Data'!$B$4:$G$8,5,FALSE))</f>
        <v/>
      </c>
      <c r="AF176" s="520" t="str">
        <f t="shared" si="18"/>
        <v/>
      </c>
      <c r="AG176" s="520" t="str">
        <f t="shared" si="22"/>
        <v/>
      </c>
      <c r="AH176" s="524" t="str">
        <f t="shared" si="19"/>
        <v/>
      </c>
      <c r="AI176" s="145"/>
      <c r="AJ176" s="499" t="str">
        <f>IF(AI176="","",IF(VLOOKUP(AI176,'G-7 Rivers Data'!$AA$4:$AB$7,2,FALSE)=0,"Spatial Data Missing ⚠",VLOOKUP(AI176,'G-7 Rivers Data'!$AA$4:$AB$7,2,FALSE)))</f>
        <v/>
      </c>
      <c r="AK176" s="155"/>
      <c r="AL176" s="536" t="str">
        <f>IF(AK176="","",IF(VLOOKUP(AK176,'G-7 Rivers Data'!$AD$4:$AE$8,2,FALSE)=0,"Spatial Data Missing ⚠",VLOOKUP(AK176,'G-7 Rivers Data'!$AD$4:$AE$8,2,FALSE)))</f>
        <v/>
      </c>
      <c r="AM176" s="154"/>
      <c r="AN176" s="524" t="str">
        <f>IF(AM176="","",VLOOKUP(AM176,'G-7 Rivers Data'!$AO$4:$AP$7,2,FALSE))</f>
        <v/>
      </c>
      <c r="AO176" s="545" t="str">
        <f t="shared" si="23"/>
        <v/>
      </c>
      <c r="AP176" s="149"/>
      <c r="AQ176" s="150"/>
      <c r="AX176" s="31" t="str">
        <f>IFERROR(INDEX('G-7 Rivers Data'!$AZ$3:$AZ$7,MATCH(N176,'G-7 Rivers Data'!$AY$3:$AY$7,0)),"")</f>
        <v/>
      </c>
    </row>
    <row r="177" spans="2:50" ht="14" x14ac:dyDescent="0.3">
      <c r="B177" s="531" t="str">
        <f>'F-1 Off Site River Baseline'!AN175</f>
        <v/>
      </c>
      <c r="C177" s="520" t="str">
        <f>IF(B177="","",VLOOKUP($B177,'F-1 Off Site River Baseline'!$C$9:$R$257,2,FALSE))</f>
        <v/>
      </c>
      <c r="D177" s="520" t="str">
        <f>IF(C177="","",VLOOKUP($B177,'F-1 Off Site River Baseline'!$C$9:$R$257,3,FALSE))</f>
        <v/>
      </c>
      <c r="E177" s="520" t="str">
        <f>IF(D177="","",VLOOKUP($B177,'F-1 Off Site River Baseline'!$C$9:$R$257,4,FALSE))</f>
        <v/>
      </c>
      <c r="F177" s="520" t="str">
        <f>IF(E177="","",VLOOKUP($B177,'F-1 Off Site River Baseline'!$C$9:$R$257,5,FALSE))</f>
        <v/>
      </c>
      <c r="G177" s="520" t="str">
        <f>IF(F177="","",VLOOKUP($B177,'F-1 Off Site River Baseline'!$C$9:$R$257,6,FALSE))</f>
        <v/>
      </c>
      <c r="H177" s="520" t="str">
        <f>IF(G177="","",VLOOKUP($B177,'F-1 Off Site River Baseline'!$C$9:$R$257,7,FALSE))</f>
        <v/>
      </c>
      <c r="I177" s="520" t="str">
        <f>IF(H177="","",VLOOKUP($B177,'F-1 Off Site River Baseline'!$C$9:$R$257,8,FALSE))</f>
        <v/>
      </c>
      <c r="J177" s="520" t="str">
        <f>IF(I177="","",VLOOKUP($B177,'F-1 Off Site River Baseline'!$C$9:$R$257,9,FALSE))</f>
        <v/>
      </c>
      <c r="K177" s="520" t="str">
        <f>IF(J177="","",VLOOKUP($B177,'F-1 Off Site River Baseline'!$C$9:$R$257,10,FALSE))</f>
        <v/>
      </c>
      <c r="L177" s="520" t="str">
        <f>IF(B177="","",VLOOKUP($B177,'C-1 Site River Baseline'!$C$9:$R$257,15,FALSE))</f>
        <v/>
      </c>
      <c r="M177" s="524" t="str">
        <f>IF(L177="","",VLOOKUP($B177,'F-1 Off Site River Baseline'!$C$9:$R$257,16,FALSE))</f>
        <v/>
      </c>
      <c r="N177" s="418" t="str">
        <f t="shared" si="20"/>
        <v/>
      </c>
      <c r="O177" s="498" t="str">
        <f t="shared" si="21"/>
        <v/>
      </c>
      <c r="P177" s="499" t="str">
        <f>IF(C177="","",IF(AND(LEFT(C177,55)&lt;&gt;LEFT(N177,55),O177="High - High"),"Error - Not like for like ▲",IF(AND(F177=S177,H177&gt;U177),"Error - Can not reduce condition ▲",IF(AND(F177=S177,H177=U177,AJ177='F-1 Off Site River Baseline'!N175,'F-1 Off Site River Baseline'!P175=AL177),"Error - No enhancement ▲",IF(AND(C177&lt;&gt;N177,F177&lt;S177),"Lower Distinctiveness Habitat"&amp;" - "&amp;T177,G177&amp;" - "&amp;T177)))))</f>
        <v/>
      </c>
      <c r="Q177" s="505" t="str">
        <f>IF(N177="","",VLOOKUP(B177,'F-1 Off Site River Baseline'!$C$10:$AA$257,19,FALSE))</f>
        <v/>
      </c>
      <c r="R177" s="498" t="str">
        <f>IF(N177="","",VLOOKUP(N177,'G-7 Rivers Data'!$B$2:$G$8,2,FALSE))</f>
        <v/>
      </c>
      <c r="S177" s="499" t="str">
        <f>IFERROR(VLOOKUP(R177,'G-7 Rivers Data'!$C$4:$D$8,2,FALSE),"")</f>
        <v/>
      </c>
      <c r="T177" s="145"/>
      <c r="U177" s="499" t="str">
        <f>IFERROR(INDEX('G-7 Rivers Data'!$H$4:$L$8,MATCH(N177,'G-7 Rivers Data'!$B$4:$B$8,0),MATCH(T177,'G-7 Rivers Data'!$H$3:$L$3,0)),"")</f>
        <v/>
      </c>
      <c r="V177" s="154"/>
      <c r="W177" s="520" t="str">
        <f>IF(V177="","",IF(VLOOKUP(V177,'G-7 Rivers Data'!$AG$4:$AI$9,2,FALSE)=0,"Spatial Data Missing ⚠",VLOOKUP(V177,'G-7 Rivers Data'!$AG$4:$AI$9,2,FALSE)))</f>
        <v/>
      </c>
      <c r="X177" s="524" t="str">
        <f>IF(V177="","",IF(VLOOKUP(V177,'G-7 Rivers Data'!$AG$4:$AI$9,3,FALSE)=0,"Spatial Data Missing ⚠",VLOOKUP(V177,'G-7 Rivers Data'!$AG$4:$AI$9,3,FALSE)))</f>
        <v/>
      </c>
      <c r="Y177" s="537" t="str">
        <f>IFERROR(IF(OR(LEFT(P177,5)="Error ▲",LEFT(O177,5)="Error ▲"),"Check Data ⚠",IF(F177&lt;S177,'G-7 Rivers Data'!$R$3,INDEX('G-7 Rivers Data'!$U$5:$Y$9,MATCH(G177,'G-7 Rivers Data'!$T$5:$T$9,0),MATCH(T177,'G-7 Rivers Data'!$U$4:$Y$4,0)))),"")</f>
        <v/>
      </c>
      <c r="Z177" s="203"/>
      <c r="AA177" s="203"/>
      <c r="AB177" s="534" t="str">
        <f t="shared" si="16"/>
        <v/>
      </c>
      <c r="AC177" s="521" t="str">
        <f t="shared" si="17"/>
        <v/>
      </c>
      <c r="AD177" s="564" t="str">
        <f>IFERROR(IF(AC177="Check Data ⚠","Check Data ⚠",VLOOKUP(AC177,'G-4 Temporal multipliers'!$A$4:$C$37,3,FALSE)),"")</f>
        <v/>
      </c>
      <c r="AE177" s="537" t="str">
        <f>IF(N177="","",VLOOKUP(N177,'G-7 Rivers Data'!$B$4:$G$8,5,FALSE))</f>
        <v/>
      </c>
      <c r="AF177" s="520" t="str">
        <f t="shared" si="18"/>
        <v/>
      </c>
      <c r="AG177" s="520" t="str">
        <f t="shared" si="22"/>
        <v/>
      </c>
      <c r="AH177" s="524" t="str">
        <f t="shared" si="19"/>
        <v/>
      </c>
      <c r="AI177" s="145"/>
      <c r="AJ177" s="499" t="str">
        <f>IF(AI177="","",IF(VLOOKUP(AI177,'G-7 Rivers Data'!$AA$4:$AB$7,2,FALSE)=0,"Spatial Data Missing ⚠",VLOOKUP(AI177,'G-7 Rivers Data'!$AA$4:$AB$7,2,FALSE)))</f>
        <v/>
      </c>
      <c r="AK177" s="155"/>
      <c r="AL177" s="536" t="str">
        <f>IF(AK177="","",IF(VLOOKUP(AK177,'G-7 Rivers Data'!$AD$4:$AE$8,2,FALSE)=0,"Spatial Data Missing ⚠",VLOOKUP(AK177,'G-7 Rivers Data'!$AD$4:$AE$8,2,FALSE)))</f>
        <v/>
      </c>
      <c r="AM177" s="154"/>
      <c r="AN177" s="524" t="str">
        <f>IF(AM177="","",VLOOKUP(AM177,'G-7 Rivers Data'!$AO$4:$AP$7,2,FALSE))</f>
        <v/>
      </c>
      <c r="AO177" s="545" t="str">
        <f t="shared" si="23"/>
        <v/>
      </c>
      <c r="AP177" s="149"/>
      <c r="AQ177" s="150"/>
      <c r="AX177" s="31" t="str">
        <f>IFERROR(INDEX('G-7 Rivers Data'!$AZ$3:$AZ$7,MATCH(N177,'G-7 Rivers Data'!$AY$3:$AY$7,0)),"")</f>
        <v/>
      </c>
    </row>
    <row r="178" spans="2:50" ht="14" x14ac:dyDescent="0.3">
      <c r="B178" s="531" t="str">
        <f>'F-1 Off Site River Baseline'!AN176</f>
        <v/>
      </c>
      <c r="C178" s="520" t="str">
        <f>IF(B178="","",VLOOKUP($B178,'F-1 Off Site River Baseline'!$C$9:$R$257,2,FALSE))</f>
        <v/>
      </c>
      <c r="D178" s="520" t="str">
        <f>IF(C178="","",VLOOKUP($B178,'F-1 Off Site River Baseline'!$C$9:$R$257,3,FALSE))</f>
        <v/>
      </c>
      <c r="E178" s="520" t="str">
        <f>IF(D178="","",VLOOKUP($B178,'F-1 Off Site River Baseline'!$C$9:$R$257,4,FALSE))</f>
        <v/>
      </c>
      <c r="F178" s="520" t="str">
        <f>IF(E178="","",VLOOKUP($B178,'F-1 Off Site River Baseline'!$C$9:$R$257,5,FALSE))</f>
        <v/>
      </c>
      <c r="G178" s="520" t="str">
        <f>IF(F178="","",VLOOKUP($B178,'F-1 Off Site River Baseline'!$C$9:$R$257,6,FALSE))</f>
        <v/>
      </c>
      <c r="H178" s="520" t="str">
        <f>IF(G178="","",VLOOKUP($B178,'F-1 Off Site River Baseline'!$C$9:$R$257,7,FALSE))</f>
        <v/>
      </c>
      <c r="I178" s="520" t="str">
        <f>IF(H178="","",VLOOKUP($B178,'F-1 Off Site River Baseline'!$C$9:$R$257,8,FALSE))</f>
        <v/>
      </c>
      <c r="J178" s="520" t="str">
        <f>IF(I178="","",VLOOKUP($B178,'F-1 Off Site River Baseline'!$C$9:$R$257,9,FALSE))</f>
        <v/>
      </c>
      <c r="K178" s="520" t="str">
        <f>IF(J178="","",VLOOKUP($B178,'F-1 Off Site River Baseline'!$C$9:$R$257,10,FALSE))</f>
        <v/>
      </c>
      <c r="L178" s="520" t="str">
        <f>IF(B178="","",VLOOKUP($B178,'C-1 Site River Baseline'!$C$9:$R$257,15,FALSE))</f>
        <v/>
      </c>
      <c r="M178" s="524" t="str">
        <f>IF(L178="","",VLOOKUP($B178,'F-1 Off Site River Baseline'!$C$9:$R$257,16,FALSE))</f>
        <v/>
      </c>
      <c r="N178" s="418" t="str">
        <f t="shared" si="20"/>
        <v/>
      </c>
      <c r="O178" s="498" t="str">
        <f t="shared" si="21"/>
        <v/>
      </c>
      <c r="P178" s="499" t="str">
        <f>IF(C178="","",IF(AND(LEFT(C178,55)&lt;&gt;LEFT(N178,55),O178="High - High"),"Error - Not like for like ▲",IF(AND(F178=S178,H178&gt;U178),"Error - Can not reduce condition ▲",IF(AND(F178=S178,H178=U178,AJ178='F-1 Off Site River Baseline'!N176,'F-1 Off Site River Baseline'!P176=AL178),"Error - No enhancement ▲",IF(AND(C178&lt;&gt;N178,F178&lt;S178),"Lower Distinctiveness Habitat"&amp;" - "&amp;T178,G178&amp;" - "&amp;T178)))))</f>
        <v/>
      </c>
      <c r="Q178" s="505" t="str">
        <f>IF(N178="","",VLOOKUP(B178,'F-1 Off Site River Baseline'!$C$10:$AA$257,19,FALSE))</f>
        <v/>
      </c>
      <c r="R178" s="498" t="str">
        <f>IF(N178="","",VLOOKUP(N178,'G-7 Rivers Data'!$B$2:$G$8,2,FALSE))</f>
        <v/>
      </c>
      <c r="S178" s="499" t="str">
        <f>IFERROR(VLOOKUP(R178,'G-7 Rivers Data'!$C$4:$D$8,2,FALSE),"")</f>
        <v/>
      </c>
      <c r="T178" s="145"/>
      <c r="U178" s="499" t="str">
        <f>IFERROR(INDEX('G-7 Rivers Data'!$H$4:$L$8,MATCH(N178,'G-7 Rivers Data'!$B$4:$B$8,0),MATCH(T178,'G-7 Rivers Data'!$H$3:$L$3,0)),"")</f>
        <v/>
      </c>
      <c r="V178" s="154"/>
      <c r="W178" s="520" t="str">
        <f>IF(V178="","",IF(VLOOKUP(V178,'G-7 Rivers Data'!$AG$4:$AI$9,2,FALSE)=0,"Spatial Data Missing ⚠",VLOOKUP(V178,'G-7 Rivers Data'!$AG$4:$AI$9,2,FALSE)))</f>
        <v/>
      </c>
      <c r="X178" s="524" t="str">
        <f>IF(V178="","",IF(VLOOKUP(V178,'G-7 Rivers Data'!$AG$4:$AI$9,3,FALSE)=0,"Spatial Data Missing ⚠",VLOOKUP(V178,'G-7 Rivers Data'!$AG$4:$AI$9,3,FALSE)))</f>
        <v/>
      </c>
      <c r="Y178" s="537" t="str">
        <f>IFERROR(IF(OR(LEFT(P178,5)="Error ▲",LEFT(O178,5)="Error ▲"),"Check Data ⚠",IF(F178&lt;S178,'G-7 Rivers Data'!$R$3,INDEX('G-7 Rivers Data'!$U$5:$Y$9,MATCH(G178,'G-7 Rivers Data'!$T$5:$T$9,0),MATCH(T178,'G-7 Rivers Data'!$U$4:$Y$4,0)))),"")</f>
        <v/>
      </c>
      <c r="Z178" s="203"/>
      <c r="AA178" s="203"/>
      <c r="AB178" s="534" t="str">
        <f t="shared" si="16"/>
        <v/>
      </c>
      <c r="AC178" s="521" t="str">
        <f t="shared" si="17"/>
        <v/>
      </c>
      <c r="AD178" s="564" t="str">
        <f>IFERROR(IF(AC178="Check Data ⚠","Check Data ⚠",VLOOKUP(AC178,'G-4 Temporal multipliers'!$A$4:$C$37,3,FALSE)),"")</f>
        <v/>
      </c>
      <c r="AE178" s="537" t="str">
        <f>IF(N178="","",VLOOKUP(N178,'G-7 Rivers Data'!$B$4:$G$8,5,FALSE))</f>
        <v/>
      </c>
      <c r="AF178" s="520" t="str">
        <f t="shared" si="18"/>
        <v/>
      </c>
      <c r="AG178" s="520" t="str">
        <f t="shared" si="22"/>
        <v/>
      </c>
      <c r="AH178" s="524" t="str">
        <f t="shared" si="19"/>
        <v/>
      </c>
      <c r="AI178" s="145"/>
      <c r="AJ178" s="499" t="str">
        <f>IF(AI178="","",IF(VLOOKUP(AI178,'G-7 Rivers Data'!$AA$4:$AB$7,2,FALSE)=0,"Spatial Data Missing ⚠",VLOOKUP(AI178,'G-7 Rivers Data'!$AA$4:$AB$7,2,FALSE)))</f>
        <v/>
      </c>
      <c r="AK178" s="155"/>
      <c r="AL178" s="536" t="str">
        <f>IF(AK178="","",IF(VLOOKUP(AK178,'G-7 Rivers Data'!$AD$4:$AE$8,2,FALSE)=0,"Spatial Data Missing ⚠",VLOOKUP(AK178,'G-7 Rivers Data'!$AD$4:$AE$8,2,FALSE)))</f>
        <v/>
      </c>
      <c r="AM178" s="154"/>
      <c r="AN178" s="524" t="str">
        <f>IF(AM178="","",VLOOKUP(AM178,'G-7 Rivers Data'!$AO$4:$AP$7,2,FALSE))</f>
        <v/>
      </c>
      <c r="AO178" s="545" t="str">
        <f t="shared" si="23"/>
        <v/>
      </c>
      <c r="AP178" s="149"/>
      <c r="AQ178" s="150"/>
      <c r="AX178" s="31" t="str">
        <f>IFERROR(INDEX('G-7 Rivers Data'!$AZ$3:$AZ$7,MATCH(N178,'G-7 Rivers Data'!$AY$3:$AY$7,0)),"")</f>
        <v/>
      </c>
    </row>
    <row r="179" spans="2:50" ht="14" x14ac:dyDescent="0.3">
      <c r="B179" s="531" t="str">
        <f>'F-1 Off Site River Baseline'!AN177</f>
        <v/>
      </c>
      <c r="C179" s="520" t="str">
        <f>IF(B179="","",VLOOKUP($B179,'F-1 Off Site River Baseline'!$C$9:$R$257,2,FALSE))</f>
        <v/>
      </c>
      <c r="D179" s="520" t="str">
        <f>IF(C179="","",VLOOKUP($B179,'F-1 Off Site River Baseline'!$C$9:$R$257,3,FALSE))</f>
        <v/>
      </c>
      <c r="E179" s="520" t="str">
        <f>IF(D179="","",VLOOKUP($B179,'F-1 Off Site River Baseline'!$C$9:$R$257,4,FALSE))</f>
        <v/>
      </c>
      <c r="F179" s="520" t="str">
        <f>IF(E179="","",VLOOKUP($B179,'F-1 Off Site River Baseline'!$C$9:$R$257,5,FALSE))</f>
        <v/>
      </c>
      <c r="G179" s="520" t="str">
        <f>IF(F179="","",VLOOKUP($B179,'F-1 Off Site River Baseline'!$C$9:$R$257,6,FALSE))</f>
        <v/>
      </c>
      <c r="H179" s="520" t="str">
        <f>IF(G179="","",VLOOKUP($B179,'F-1 Off Site River Baseline'!$C$9:$R$257,7,FALSE))</f>
        <v/>
      </c>
      <c r="I179" s="520" t="str">
        <f>IF(H179="","",VLOOKUP($B179,'F-1 Off Site River Baseline'!$C$9:$R$257,8,FALSE))</f>
        <v/>
      </c>
      <c r="J179" s="520" t="str">
        <f>IF(I179="","",VLOOKUP($B179,'F-1 Off Site River Baseline'!$C$9:$R$257,9,FALSE))</f>
        <v/>
      </c>
      <c r="K179" s="520" t="str">
        <f>IF(J179="","",VLOOKUP($B179,'F-1 Off Site River Baseline'!$C$9:$R$257,10,FALSE))</f>
        <v/>
      </c>
      <c r="L179" s="520" t="str">
        <f>IF(B179="","",VLOOKUP($B179,'C-1 Site River Baseline'!$C$9:$R$257,15,FALSE))</f>
        <v/>
      </c>
      <c r="M179" s="524" t="str">
        <f>IF(L179="","",VLOOKUP($B179,'F-1 Off Site River Baseline'!$C$9:$R$257,16,FALSE))</f>
        <v/>
      </c>
      <c r="N179" s="418" t="str">
        <f t="shared" si="20"/>
        <v/>
      </c>
      <c r="O179" s="498" t="str">
        <f t="shared" si="21"/>
        <v/>
      </c>
      <c r="P179" s="499" t="str">
        <f>IF(C179="","",IF(AND(LEFT(C179,55)&lt;&gt;LEFT(N179,55),O179="High - High"),"Error - Not like for like ▲",IF(AND(F179=S179,H179&gt;U179),"Error - Can not reduce condition ▲",IF(AND(F179=S179,H179=U179,AJ179='F-1 Off Site River Baseline'!N177,'F-1 Off Site River Baseline'!P177=AL179),"Error - No enhancement ▲",IF(AND(C179&lt;&gt;N179,F179&lt;S179),"Lower Distinctiveness Habitat"&amp;" - "&amp;T179,G179&amp;" - "&amp;T179)))))</f>
        <v/>
      </c>
      <c r="Q179" s="505" t="str">
        <f>IF(N179="","",VLOOKUP(B179,'F-1 Off Site River Baseline'!$C$10:$AA$257,19,FALSE))</f>
        <v/>
      </c>
      <c r="R179" s="498" t="str">
        <f>IF(N179="","",VLOOKUP(N179,'G-7 Rivers Data'!$B$2:$G$8,2,FALSE))</f>
        <v/>
      </c>
      <c r="S179" s="499" t="str">
        <f>IFERROR(VLOOKUP(R179,'G-7 Rivers Data'!$C$4:$D$8,2,FALSE),"")</f>
        <v/>
      </c>
      <c r="T179" s="145"/>
      <c r="U179" s="499" t="str">
        <f>IFERROR(INDEX('G-7 Rivers Data'!$H$4:$L$8,MATCH(N179,'G-7 Rivers Data'!$B$4:$B$8,0),MATCH(T179,'G-7 Rivers Data'!$H$3:$L$3,0)),"")</f>
        <v/>
      </c>
      <c r="V179" s="154"/>
      <c r="W179" s="520" t="str">
        <f>IF(V179="","",IF(VLOOKUP(V179,'G-7 Rivers Data'!$AG$4:$AI$9,2,FALSE)=0,"Spatial Data Missing ⚠",VLOOKUP(V179,'G-7 Rivers Data'!$AG$4:$AI$9,2,FALSE)))</f>
        <v/>
      </c>
      <c r="X179" s="524" t="str">
        <f>IF(V179="","",IF(VLOOKUP(V179,'G-7 Rivers Data'!$AG$4:$AI$9,3,FALSE)=0,"Spatial Data Missing ⚠",VLOOKUP(V179,'G-7 Rivers Data'!$AG$4:$AI$9,3,FALSE)))</f>
        <v/>
      </c>
      <c r="Y179" s="537" t="str">
        <f>IFERROR(IF(OR(LEFT(P179,5)="Error ▲",LEFT(O179,5)="Error ▲"),"Check Data ⚠",IF(F179&lt;S179,'G-7 Rivers Data'!$R$3,INDEX('G-7 Rivers Data'!$U$5:$Y$9,MATCH(G179,'G-7 Rivers Data'!$T$5:$T$9,0),MATCH(T179,'G-7 Rivers Data'!$U$4:$Y$4,0)))),"")</f>
        <v/>
      </c>
      <c r="Z179" s="203"/>
      <c r="AA179" s="203"/>
      <c r="AB179" s="534" t="str">
        <f t="shared" si="16"/>
        <v/>
      </c>
      <c r="AC179" s="521" t="str">
        <f t="shared" si="17"/>
        <v/>
      </c>
      <c r="AD179" s="564" t="str">
        <f>IFERROR(IF(AC179="Check Data ⚠","Check Data ⚠",VLOOKUP(AC179,'G-4 Temporal multipliers'!$A$4:$C$37,3,FALSE)),"")</f>
        <v/>
      </c>
      <c r="AE179" s="537" t="str">
        <f>IF(N179="","",VLOOKUP(N179,'G-7 Rivers Data'!$B$4:$G$8,5,FALSE))</f>
        <v/>
      </c>
      <c r="AF179" s="520" t="str">
        <f t="shared" si="18"/>
        <v/>
      </c>
      <c r="AG179" s="520" t="str">
        <f t="shared" si="22"/>
        <v/>
      </c>
      <c r="AH179" s="524" t="str">
        <f t="shared" si="19"/>
        <v/>
      </c>
      <c r="AI179" s="145"/>
      <c r="AJ179" s="499" t="str">
        <f>IF(AI179="","",IF(VLOOKUP(AI179,'G-7 Rivers Data'!$AA$4:$AB$7,2,FALSE)=0,"Spatial Data Missing ⚠",VLOOKUP(AI179,'G-7 Rivers Data'!$AA$4:$AB$7,2,FALSE)))</f>
        <v/>
      </c>
      <c r="AK179" s="155"/>
      <c r="AL179" s="536" t="str">
        <f>IF(AK179="","",IF(VLOOKUP(AK179,'G-7 Rivers Data'!$AD$4:$AE$8,2,FALSE)=0,"Spatial Data Missing ⚠",VLOOKUP(AK179,'G-7 Rivers Data'!$AD$4:$AE$8,2,FALSE)))</f>
        <v/>
      </c>
      <c r="AM179" s="154"/>
      <c r="AN179" s="524" t="str">
        <f>IF(AM179="","",VLOOKUP(AM179,'G-7 Rivers Data'!$AO$4:$AP$7,2,FALSE))</f>
        <v/>
      </c>
      <c r="AO179" s="545" t="str">
        <f t="shared" si="23"/>
        <v/>
      </c>
      <c r="AP179" s="149"/>
      <c r="AQ179" s="150"/>
      <c r="AX179" s="31" t="str">
        <f>IFERROR(INDEX('G-7 Rivers Data'!$AZ$3:$AZ$7,MATCH(N179,'G-7 Rivers Data'!$AY$3:$AY$7,0)),"")</f>
        <v/>
      </c>
    </row>
    <row r="180" spans="2:50" ht="14" x14ac:dyDescent="0.3">
      <c r="B180" s="531" t="str">
        <f>'F-1 Off Site River Baseline'!AN178</f>
        <v/>
      </c>
      <c r="C180" s="520" t="str">
        <f>IF(B180="","",VLOOKUP($B180,'F-1 Off Site River Baseline'!$C$9:$R$257,2,FALSE))</f>
        <v/>
      </c>
      <c r="D180" s="520" t="str">
        <f>IF(C180="","",VLOOKUP($B180,'F-1 Off Site River Baseline'!$C$9:$R$257,3,FALSE))</f>
        <v/>
      </c>
      <c r="E180" s="520" t="str">
        <f>IF(D180="","",VLOOKUP($B180,'F-1 Off Site River Baseline'!$C$9:$R$257,4,FALSE))</f>
        <v/>
      </c>
      <c r="F180" s="520" t="str">
        <f>IF(E180="","",VLOOKUP($B180,'F-1 Off Site River Baseline'!$C$9:$R$257,5,FALSE))</f>
        <v/>
      </c>
      <c r="G180" s="520" t="str">
        <f>IF(F180="","",VLOOKUP($B180,'F-1 Off Site River Baseline'!$C$9:$R$257,6,FALSE))</f>
        <v/>
      </c>
      <c r="H180" s="520" t="str">
        <f>IF(G180="","",VLOOKUP($B180,'F-1 Off Site River Baseline'!$C$9:$R$257,7,FALSE))</f>
        <v/>
      </c>
      <c r="I180" s="520" t="str">
        <f>IF(H180="","",VLOOKUP($B180,'F-1 Off Site River Baseline'!$C$9:$R$257,8,FALSE))</f>
        <v/>
      </c>
      <c r="J180" s="520" t="str">
        <f>IF(I180="","",VLOOKUP($B180,'F-1 Off Site River Baseline'!$C$9:$R$257,9,FALSE))</f>
        <v/>
      </c>
      <c r="K180" s="520" t="str">
        <f>IF(J180="","",VLOOKUP($B180,'F-1 Off Site River Baseline'!$C$9:$R$257,10,FALSE))</f>
        <v/>
      </c>
      <c r="L180" s="520" t="str">
        <f>IF(B180="","",VLOOKUP($B180,'C-1 Site River Baseline'!$C$9:$R$257,15,FALSE))</f>
        <v/>
      </c>
      <c r="M180" s="524" t="str">
        <f>IF(L180="","",VLOOKUP($B180,'F-1 Off Site River Baseline'!$C$9:$R$257,16,FALSE))</f>
        <v/>
      </c>
      <c r="N180" s="418" t="str">
        <f t="shared" si="20"/>
        <v/>
      </c>
      <c r="O180" s="498" t="str">
        <f t="shared" si="21"/>
        <v/>
      </c>
      <c r="P180" s="499" t="str">
        <f>IF(C180="","",IF(AND(LEFT(C180,55)&lt;&gt;LEFT(N180,55),O180="High - High"),"Error - Not like for like ▲",IF(AND(F180=S180,H180&gt;U180),"Error - Can not reduce condition ▲",IF(AND(F180=S180,H180=U180,AJ180='F-1 Off Site River Baseline'!N178,'F-1 Off Site River Baseline'!P178=AL180),"Error - No enhancement ▲",IF(AND(C180&lt;&gt;N180,F180&lt;S180),"Lower Distinctiveness Habitat"&amp;" - "&amp;T180,G180&amp;" - "&amp;T180)))))</f>
        <v/>
      </c>
      <c r="Q180" s="505" t="str">
        <f>IF(N180="","",VLOOKUP(B180,'F-1 Off Site River Baseline'!$C$10:$AA$257,19,FALSE))</f>
        <v/>
      </c>
      <c r="R180" s="498" t="str">
        <f>IF(N180="","",VLOOKUP(N180,'G-7 Rivers Data'!$B$2:$G$8,2,FALSE))</f>
        <v/>
      </c>
      <c r="S180" s="499" t="str">
        <f>IFERROR(VLOOKUP(R180,'G-7 Rivers Data'!$C$4:$D$8,2,FALSE),"")</f>
        <v/>
      </c>
      <c r="T180" s="145"/>
      <c r="U180" s="499" t="str">
        <f>IFERROR(INDEX('G-7 Rivers Data'!$H$4:$L$8,MATCH(N180,'G-7 Rivers Data'!$B$4:$B$8,0),MATCH(T180,'G-7 Rivers Data'!$H$3:$L$3,0)),"")</f>
        <v/>
      </c>
      <c r="V180" s="154"/>
      <c r="W180" s="520" t="str">
        <f>IF(V180="","",IF(VLOOKUP(V180,'G-7 Rivers Data'!$AG$4:$AI$9,2,FALSE)=0,"Spatial Data Missing ⚠",VLOOKUP(V180,'G-7 Rivers Data'!$AG$4:$AI$9,2,FALSE)))</f>
        <v/>
      </c>
      <c r="X180" s="524" t="str">
        <f>IF(V180="","",IF(VLOOKUP(V180,'G-7 Rivers Data'!$AG$4:$AI$9,3,FALSE)=0,"Spatial Data Missing ⚠",VLOOKUP(V180,'G-7 Rivers Data'!$AG$4:$AI$9,3,FALSE)))</f>
        <v/>
      </c>
      <c r="Y180" s="537" t="str">
        <f>IFERROR(IF(OR(LEFT(P180,5)="Error ▲",LEFT(O180,5)="Error ▲"),"Check Data ⚠",IF(F180&lt;S180,'G-7 Rivers Data'!$R$3,INDEX('G-7 Rivers Data'!$U$5:$Y$9,MATCH(G180,'G-7 Rivers Data'!$T$5:$T$9,0),MATCH(T180,'G-7 Rivers Data'!$U$4:$Y$4,0)))),"")</f>
        <v/>
      </c>
      <c r="Z180" s="203"/>
      <c r="AA180" s="203"/>
      <c r="AB180" s="534" t="str">
        <f t="shared" si="16"/>
        <v/>
      </c>
      <c r="AC180" s="521" t="str">
        <f t="shared" si="17"/>
        <v/>
      </c>
      <c r="AD180" s="564" t="str">
        <f>IFERROR(IF(AC180="Check Data ⚠","Check Data ⚠",VLOOKUP(AC180,'G-4 Temporal multipliers'!$A$4:$C$37,3,FALSE)),"")</f>
        <v/>
      </c>
      <c r="AE180" s="537" t="str">
        <f>IF(N180="","",VLOOKUP(N180,'G-7 Rivers Data'!$B$4:$G$8,5,FALSE))</f>
        <v/>
      </c>
      <c r="AF180" s="520" t="str">
        <f t="shared" si="18"/>
        <v/>
      </c>
      <c r="AG180" s="520" t="str">
        <f t="shared" si="22"/>
        <v/>
      </c>
      <c r="AH180" s="524" t="str">
        <f t="shared" si="19"/>
        <v/>
      </c>
      <c r="AI180" s="145"/>
      <c r="AJ180" s="499" t="str">
        <f>IF(AI180="","",IF(VLOOKUP(AI180,'G-7 Rivers Data'!$AA$4:$AB$7,2,FALSE)=0,"Spatial Data Missing ⚠",VLOOKUP(AI180,'G-7 Rivers Data'!$AA$4:$AB$7,2,FALSE)))</f>
        <v/>
      </c>
      <c r="AK180" s="155"/>
      <c r="AL180" s="536" t="str">
        <f>IF(AK180="","",IF(VLOOKUP(AK180,'G-7 Rivers Data'!$AD$4:$AE$8,2,FALSE)=0,"Spatial Data Missing ⚠",VLOOKUP(AK180,'G-7 Rivers Data'!$AD$4:$AE$8,2,FALSE)))</f>
        <v/>
      </c>
      <c r="AM180" s="154"/>
      <c r="AN180" s="524" t="str">
        <f>IF(AM180="","",VLOOKUP(AM180,'G-7 Rivers Data'!$AO$4:$AP$7,2,FALSE))</f>
        <v/>
      </c>
      <c r="AO180" s="545" t="str">
        <f t="shared" si="23"/>
        <v/>
      </c>
      <c r="AP180" s="149"/>
      <c r="AQ180" s="150"/>
      <c r="AX180" s="31" t="str">
        <f>IFERROR(INDEX('G-7 Rivers Data'!$AZ$3:$AZ$7,MATCH(N180,'G-7 Rivers Data'!$AY$3:$AY$7,0)),"")</f>
        <v/>
      </c>
    </row>
    <row r="181" spans="2:50" ht="14" x14ac:dyDescent="0.3">
      <c r="B181" s="531" t="str">
        <f>'F-1 Off Site River Baseline'!AN179</f>
        <v/>
      </c>
      <c r="C181" s="520" t="str">
        <f>IF(B181="","",VLOOKUP($B181,'F-1 Off Site River Baseline'!$C$9:$R$257,2,FALSE))</f>
        <v/>
      </c>
      <c r="D181" s="520" t="str">
        <f>IF(C181="","",VLOOKUP($B181,'F-1 Off Site River Baseline'!$C$9:$R$257,3,FALSE))</f>
        <v/>
      </c>
      <c r="E181" s="520" t="str">
        <f>IF(D181="","",VLOOKUP($B181,'F-1 Off Site River Baseline'!$C$9:$R$257,4,FALSE))</f>
        <v/>
      </c>
      <c r="F181" s="520" t="str">
        <f>IF(E181="","",VLOOKUP($B181,'F-1 Off Site River Baseline'!$C$9:$R$257,5,FALSE))</f>
        <v/>
      </c>
      <c r="G181" s="520" t="str">
        <f>IF(F181="","",VLOOKUP($B181,'F-1 Off Site River Baseline'!$C$9:$R$257,6,FALSE))</f>
        <v/>
      </c>
      <c r="H181" s="520" t="str">
        <f>IF(G181="","",VLOOKUP($B181,'F-1 Off Site River Baseline'!$C$9:$R$257,7,FALSE))</f>
        <v/>
      </c>
      <c r="I181" s="520" t="str">
        <f>IF(H181="","",VLOOKUP($B181,'F-1 Off Site River Baseline'!$C$9:$R$257,8,FALSE))</f>
        <v/>
      </c>
      <c r="J181" s="520" t="str">
        <f>IF(I181="","",VLOOKUP($B181,'F-1 Off Site River Baseline'!$C$9:$R$257,9,FALSE))</f>
        <v/>
      </c>
      <c r="K181" s="520" t="str">
        <f>IF(J181="","",VLOOKUP($B181,'F-1 Off Site River Baseline'!$C$9:$R$257,10,FALSE))</f>
        <v/>
      </c>
      <c r="L181" s="520" t="str">
        <f>IF(B181="","",VLOOKUP($B181,'C-1 Site River Baseline'!$C$9:$R$257,15,FALSE))</f>
        <v/>
      </c>
      <c r="M181" s="524" t="str">
        <f>IF(L181="","",VLOOKUP($B181,'F-1 Off Site River Baseline'!$C$9:$R$257,16,FALSE))</f>
        <v/>
      </c>
      <c r="N181" s="418" t="str">
        <f t="shared" si="20"/>
        <v/>
      </c>
      <c r="O181" s="498" t="str">
        <f t="shared" si="21"/>
        <v/>
      </c>
      <c r="P181" s="499" t="str">
        <f>IF(C181="","",IF(AND(LEFT(C181,55)&lt;&gt;LEFT(N181,55),O181="High - High"),"Error - Not like for like ▲",IF(AND(F181=S181,H181&gt;U181),"Error - Can not reduce condition ▲",IF(AND(F181=S181,H181=U181,AJ181='F-1 Off Site River Baseline'!N179,'F-1 Off Site River Baseline'!P179=AL181),"Error - No enhancement ▲",IF(AND(C181&lt;&gt;N181,F181&lt;S181),"Lower Distinctiveness Habitat"&amp;" - "&amp;T181,G181&amp;" - "&amp;T181)))))</f>
        <v/>
      </c>
      <c r="Q181" s="505" t="str">
        <f>IF(N181="","",VLOOKUP(B181,'F-1 Off Site River Baseline'!$C$10:$AA$257,19,FALSE))</f>
        <v/>
      </c>
      <c r="R181" s="498" t="str">
        <f>IF(N181="","",VLOOKUP(N181,'G-7 Rivers Data'!$B$2:$G$8,2,FALSE))</f>
        <v/>
      </c>
      <c r="S181" s="499" t="str">
        <f>IFERROR(VLOOKUP(R181,'G-7 Rivers Data'!$C$4:$D$8,2,FALSE),"")</f>
        <v/>
      </c>
      <c r="T181" s="145"/>
      <c r="U181" s="499" t="str">
        <f>IFERROR(INDEX('G-7 Rivers Data'!$H$4:$L$8,MATCH(N181,'G-7 Rivers Data'!$B$4:$B$8,0),MATCH(T181,'G-7 Rivers Data'!$H$3:$L$3,0)),"")</f>
        <v/>
      </c>
      <c r="V181" s="154"/>
      <c r="W181" s="520" t="str">
        <f>IF(V181="","",IF(VLOOKUP(V181,'G-7 Rivers Data'!$AG$4:$AI$9,2,FALSE)=0,"Spatial Data Missing ⚠",VLOOKUP(V181,'G-7 Rivers Data'!$AG$4:$AI$9,2,FALSE)))</f>
        <v/>
      </c>
      <c r="X181" s="524" t="str">
        <f>IF(V181="","",IF(VLOOKUP(V181,'G-7 Rivers Data'!$AG$4:$AI$9,3,FALSE)=0,"Spatial Data Missing ⚠",VLOOKUP(V181,'G-7 Rivers Data'!$AG$4:$AI$9,3,FALSE)))</f>
        <v/>
      </c>
      <c r="Y181" s="537" t="str">
        <f>IFERROR(IF(OR(LEFT(P181,5)="Error ▲",LEFT(O181,5)="Error ▲"),"Check Data ⚠",IF(F181&lt;S181,'G-7 Rivers Data'!$R$3,INDEX('G-7 Rivers Data'!$U$5:$Y$9,MATCH(G181,'G-7 Rivers Data'!$T$5:$T$9,0),MATCH(T181,'G-7 Rivers Data'!$U$4:$Y$4,0)))),"")</f>
        <v/>
      </c>
      <c r="Z181" s="203"/>
      <c r="AA181" s="203"/>
      <c r="AB181" s="534" t="str">
        <f t="shared" si="16"/>
        <v/>
      </c>
      <c r="AC181" s="521" t="str">
        <f t="shared" si="17"/>
        <v/>
      </c>
      <c r="AD181" s="564" t="str">
        <f>IFERROR(IF(AC181="Check Data ⚠","Check Data ⚠",VLOOKUP(AC181,'G-4 Temporal multipliers'!$A$4:$C$37,3,FALSE)),"")</f>
        <v/>
      </c>
      <c r="AE181" s="537" t="str">
        <f>IF(N181="","",VLOOKUP(N181,'G-7 Rivers Data'!$B$4:$G$8,5,FALSE))</f>
        <v/>
      </c>
      <c r="AF181" s="520" t="str">
        <f t="shared" si="18"/>
        <v/>
      </c>
      <c r="AG181" s="520" t="str">
        <f t="shared" si="22"/>
        <v/>
      </c>
      <c r="AH181" s="524" t="str">
        <f t="shared" si="19"/>
        <v/>
      </c>
      <c r="AI181" s="145"/>
      <c r="AJ181" s="499" t="str">
        <f>IF(AI181="","",IF(VLOOKUP(AI181,'G-7 Rivers Data'!$AA$4:$AB$7,2,FALSE)=0,"Spatial Data Missing ⚠",VLOOKUP(AI181,'G-7 Rivers Data'!$AA$4:$AB$7,2,FALSE)))</f>
        <v/>
      </c>
      <c r="AK181" s="155"/>
      <c r="AL181" s="536" t="str">
        <f>IF(AK181="","",IF(VLOOKUP(AK181,'G-7 Rivers Data'!$AD$4:$AE$8,2,FALSE)=0,"Spatial Data Missing ⚠",VLOOKUP(AK181,'G-7 Rivers Data'!$AD$4:$AE$8,2,FALSE)))</f>
        <v/>
      </c>
      <c r="AM181" s="154"/>
      <c r="AN181" s="524" t="str">
        <f>IF(AM181="","",VLOOKUP(AM181,'G-7 Rivers Data'!$AO$4:$AP$7,2,FALSE))</f>
        <v/>
      </c>
      <c r="AO181" s="545" t="str">
        <f t="shared" si="23"/>
        <v/>
      </c>
      <c r="AP181" s="149"/>
      <c r="AQ181" s="150"/>
      <c r="AX181" s="31" t="str">
        <f>IFERROR(INDEX('G-7 Rivers Data'!$AZ$3:$AZ$7,MATCH(N181,'G-7 Rivers Data'!$AY$3:$AY$7,0)),"")</f>
        <v/>
      </c>
    </row>
    <row r="182" spans="2:50" ht="14" x14ac:dyDescent="0.3">
      <c r="B182" s="531" t="str">
        <f>'F-1 Off Site River Baseline'!AN180</f>
        <v/>
      </c>
      <c r="C182" s="520" t="str">
        <f>IF(B182="","",VLOOKUP($B182,'F-1 Off Site River Baseline'!$C$9:$R$257,2,FALSE))</f>
        <v/>
      </c>
      <c r="D182" s="520" t="str">
        <f>IF(C182="","",VLOOKUP($B182,'F-1 Off Site River Baseline'!$C$9:$R$257,3,FALSE))</f>
        <v/>
      </c>
      <c r="E182" s="520" t="str">
        <f>IF(D182="","",VLOOKUP($B182,'F-1 Off Site River Baseline'!$C$9:$R$257,4,FALSE))</f>
        <v/>
      </c>
      <c r="F182" s="520" t="str">
        <f>IF(E182="","",VLOOKUP($B182,'F-1 Off Site River Baseline'!$C$9:$R$257,5,FALSE))</f>
        <v/>
      </c>
      <c r="G182" s="520" t="str">
        <f>IF(F182="","",VLOOKUP($B182,'F-1 Off Site River Baseline'!$C$9:$R$257,6,FALSE))</f>
        <v/>
      </c>
      <c r="H182" s="520" t="str">
        <f>IF(G182="","",VLOOKUP($B182,'F-1 Off Site River Baseline'!$C$9:$R$257,7,FALSE))</f>
        <v/>
      </c>
      <c r="I182" s="520" t="str">
        <f>IF(H182="","",VLOOKUP($B182,'F-1 Off Site River Baseline'!$C$9:$R$257,8,FALSE))</f>
        <v/>
      </c>
      <c r="J182" s="520" t="str">
        <f>IF(I182="","",VLOOKUP($B182,'F-1 Off Site River Baseline'!$C$9:$R$257,9,FALSE))</f>
        <v/>
      </c>
      <c r="K182" s="520" t="str">
        <f>IF(J182="","",VLOOKUP($B182,'F-1 Off Site River Baseline'!$C$9:$R$257,10,FALSE))</f>
        <v/>
      </c>
      <c r="L182" s="520" t="str">
        <f>IF(B182="","",VLOOKUP($B182,'C-1 Site River Baseline'!$C$9:$R$257,15,FALSE))</f>
        <v/>
      </c>
      <c r="M182" s="524" t="str">
        <f>IF(L182="","",VLOOKUP($B182,'F-1 Off Site River Baseline'!$C$9:$R$257,16,FALSE))</f>
        <v/>
      </c>
      <c r="N182" s="418" t="str">
        <f t="shared" si="20"/>
        <v/>
      </c>
      <c r="O182" s="498" t="str">
        <f t="shared" si="21"/>
        <v/>
      </c>
      <c r="P182" s="499" t="str">
        <f>IF(C182="","",IF(AND(LEFT(C182,55)&lt;&gt;LEFT(N182,55),O182="High - High"),"Error - Not like for like ▲",IF(AND(F182=S182,H182&gt;U182),"Error - Can not reduce condition ▲",IF(AND(F182=S182,H182=U182,AJ182='F-1 Off Site River Baseline'!N180,'F-1 Off Site River Baseline'!P180=AL182),"Error - No enhancement ▲",IF(AND(C182&lt;&gt;N182,F182&lt;S182),"Lower Distinctiveness Habitat"&amp;" - "&amp;T182,G182&amp;" - "&amp;T182)))))</f>
        <v/>
      </c>
      <c r="Q182" s="505" t="str">
        <f>IF(N182="","",VLOOKUP(B182,'F-1 Off Site River Baseline'!$C$10:$AA$257,19,FALSE))</f>
        <v/>
      </c>
      <c r="R182" s="498" t="str">
        <f>IF(N182="","",VLOOKUP(N182,'G-7 Rivers Data'!$B$2:$G$8,2,FALSE))</f>
        <v/>
      </c>
      <c r="S182" s="499" t="str">
        <f>IFERROR(VLOOKUP(R182,'G-7 Rivers Data'!$C$4:$D$8,2,FALSE),"")</f>
        <v/>
      </c>
      <c r="T182" s="145"/>
      <c r="U182" s="499" t="str">
        <f>IFERROR(INDEX('G-7 Rivers Data'!$H$4:$L$8,MATCH(N182,'G-7 Rivers Data'!$B$4:$B$8,0),MATCH(T182,'G-7 Rivers Data'!$H$3:$L$3,0)),"")</f>
        <v/>
      </c>
      <c r="V182" s="154"/>
      <c r="W182" s="520" t="str">
        <f>IF(V182="","",IF(VLOOKUP(V182,'G-7 Rivers Data'!$AG$4:$AI$9,2,FALSE)=0,"Spatial Data Missing ⚠",VLOOKUP(V182,'G-7 Rivers Data'!$AG$4:$AI$9,2,FALSE)))</f>
        <v/>
      </c>
      <c r="X182" s="524" t="str">
        <f>IF(V182="","",IF(VLOOKUP(V182,'G-7 Rivers Data'!$AG$4:$AI$9,3,FALSE)=0,"Spatial Data Missing ⚠",VLOOKUP(V182,'G-7 Rivers Data'!$AG$4:$AI$9,3,FALSE)))</f>
        <v/>
      </c>
      <c r="Y182" s="537" t="str">
        <f>IFERROR(IF(OR(LEFT(P182,5)="Error ▲",LEFT(O182,5)="Error ▲"),"Check Data ⚠",IF(F182&lt;S182,'G-7 Rivers Data'!$R$3,INDEX('G-7 Rivers Data'!$U$5:$Y$9,MATCH(G182,'G-7 Rivers Data'!$T$5:$T$9,0),MATCH(T182,'G-7 Rivers Data'!$U$4:$Y$4,0)))),"")</f>
        <v/>
      </c>
      <c r="Z182" s="203"/>
      <c r="AA182" s="203"/>
      <c r="AB182" s="534" t="str">
        <f t="shared" si="16"/>
        <v/>
      </c>
      <c r="AC182" s="521" t="str">
        <f t="shared" si="17"/>
        <v/>
      </c>
      <c r="AD182" s="564" t="str">
        <f>IFERROR(IF(AC182="Check Data ⚠","Check Data ⚠",VLOOKUP(AC182,'G-4 Temporal multipliers'!$A$4:$C$37,3,FALSE)),"")</f>
        <v/>
      </c>
      <c r="AE182" s="537" t="str">
        <f>IF(N182="","",VLOOKUP(N182,'G-7 Rivers Data'!$B$4:$G$8,5,FALSE))</f>
        <v/>
      </c>
      <c r="AF182" s="520" t="str">
        <f t="shared" si="18"/>
        <v/>
      </c>
      <c r="AG182" s="520" t="str">
        <f t="shared" si="22"/>
        <v/>
      </c>
      <c r="AH182" s="524" t="str">
        <f t="shared" si="19"/>
        <v/>
      </c>
      <c r="AI182" s="145"/>
      <c r="AJ182" s="499" t="str">
        <f>IF(AI182="","",IF(VLOOKUP(AI182,'G-7 Rivers Data'!$AA$4:$AB$7,2,FALSE)=0,"Spatial Data Missing ⚠",VLOOKUP(AI182,'G-7 Rivers Data'!$AA$4:$AB$7,2,FALSE)))</f>
        <v/>
      </c>
      <c r="AK182" s="155"/>
      <c r="AL182" s="536" t="str">
        <f>IF(AK182="","",IF(VLOOKUP(AK182,'G-7 Rivers Data'!$AD$4:$AE$8,2,FALSE)=0,"Spatial Data Missing ⚠",VLOOKUP(AK182,'G-7 Rivers Data'!$AD$4:$AE$8,2,FALSE)))</f>
        <v/>
      </c>
      <c r="AM182" s="154"/>
      <c r="AN182" s="524" t="str">
        <f>IF(AM182="","",VLOOKUP(AM182,'G-7 Rivers Data'!$AO$4:$AP$7,2,FALSE))</f>
        <v/>
      </c>
      <c r="AO182" s="545" t="str">
        <f t="shared" si="23"/>
        <v/>
      </c>
      <c r="AP182" s="149"/>
      <c r="AQ182" s="150"/>
      <c r="AX182" s="31" t="str">
        <f>IFERROR(INDEX('G-7 Rivers Data'!$AZ$3:$AZ$7,MATCH(N182,'G-7 Rivers Data'!$AY$3:$AY$7,0)),"")</f>
        <v/>
      </c>
    </row>
    <row r="183" spans="2:50" ht="14" x14ac:dyDescent="0.3">
      <c r="B183" s="531" t="str">
        <f>'F-1 Off Site River Baseline'!AN181</f>
        <v/>
      </c>
      <c r="C183" s="520" t="str">
        <f>IF(B183="","",VLOOKUP($B183,'F-1 Off Site River Baseline'!$C$9:$R$257,2,FALSE))</f>
        <v/>
      </c>
      <c r="D183" s="520" t="str">
        <f>IF(C183="","",VLOOKUP($B183,'F-1 Off Site River Baseline'!$C$9:$R$257,3,FALSE))</f>
        <v/>
      </c>
      <c r="E183" s="520" t="str">
        <f>IF(D183="","",VLOOKUP($B183,'F-1 Off Site River Baseline'!$C$9:$R$257,4,FALSE))</f>
        <v/>
      </c>
      <c r="F183" s="520" t="str">
        <f>IF(E183="","",VLOOKUP($B183,'F-1 Off Site River Baseline'!$C$9:$R$257,5,FALSE))</f>
        <v/>
      </c>
      <c r="G183" s="520" t="str">
        <f>IF(F183="","",VLOOKUP($B183,'F-1 Off Site River Baseline'!$C$9:$R$257,6,FALSE))</f>
        <v/>
      </c>
      <c r="H183" s="520" t="str">
        <f>IF(G183="","",VLOOKUP($B183,'F-1 Off Site River Baseline'!$C$9:$R$257,7,FALSE))</f>
        <v/>
      </c>
      <c r="I183" s="520" t="str">
        <f>IF(H183="","",VLOOKUP($B183,'F-1 Off Site River Baseline'!$C$9:$R$257,8,FALSE))</f>
        <v/>
      </c>
      <c r="J183" s="520" t="str">
        <f>IF(I183="","",VLOOKUP($B183,'F-1 Off Site River Baseline'!$C$9:$R$257,9,FALSE))</f>
        <v/>
      </c>
      <c r="K183" s="520" t="str">
        <f>IF(J183="","",VLOOKUP($B183,'F-1 Off Site River Baseline'!$C$9:$R$257,10,FALSE))</f>
        <v/>
      </c>
      <c r="L183" s="520" t="str">
        <f>IF(B183="","",VLOOKUP($B183,'C-1 Site River Baseline'!$C$9:$R$257,15,FALSE))</f>
        <v/>
      </c>
      <c r="M183" s="524" t="str">
        <f>IF(L183="","",VLOOKUP($B183,'F-1 Off Site River Baseline'!$C$9:$R$257,16,FALSE))</f>
        <v/>
      </c>
      <c r="N183" s="418" t="str">
        <f t="shared" si="20"/>
        <v/>
      </c>
      <c r="O183" s="498" t="str">
        <f t="shared" si="21"/>
        <v/>
      </c>
      <c r="P183" s="499" t="str">
        <f>IF(C183="","",IF(AND(LEFT(C183,55)&lt;&gt;LEFT(N183,55),O183="High - High"),"Error - Not like for like ▲",IF(AND(F183=S183,H183&gt;U183),"Error - Can not reduce condition ▲",IF(AND(F183=S183,H183=U183,AJ183='F-1 Off Site River Baseline'!N181,'F-1 Off Site River Baseline'!P181=AL183),"Error - No enhancement ▲",IF(AND(C183&lt;&gt;N183,F183&lt;S183),"Lower Distinctiveness Habitat"&amp;" - "&amp;T183,G183&amp;" - "&amp;T183)))))</f>
        <v/>
      </c>
      <c r="Q183" s="505" t="str">
        <f>IF(N183="","",VLOOKUP(B183,'F-1 Off Site River Baseline'!$C$10:$AA$257,19,FALSE))</f>
        <v/>
      </c>
      <c r="R183" s="498" t="str">
        <f>IF(N183="","",VLOOKUP(N183,'G-7 Rivers Data'!$B$2:$G$8,2,FALSE))</f>
        <v/>
      </c>
      <c r="S183" s="499" t="str">
        <f>IFERROR(VLOOKUP(R183,'G-7 Rivers Data'!$C$4:$D$8,2,FALSE),"")</f>
        <v/>
      </c>
      <c r="T183" s="145"/>
      <c r="U183" s="499" t="str">
        <f>IFERROR(INDEX('G-7 Rivers Data'!$H$4:$L$8,MATCH(N183,'G-7 Rivers Data'!$B$4:$B$8,0),MATCH(T183,'G-7 Rivers Data'!$H$3:$L$3,0)),"")</f>
        <v/>
      </c>
      <c r="V183" s="154"/>
      <c r="W183" s="520" t="str">
        <f>IF(V183="","",IF(VLOOKUP(V183,'G-7 Rivers Data'!$AG$4:$AI$9,2,FALSE)=0,"Spatial Data Missing ⚠",VLOOKUP(V183,'G-7 Rivers Data'!$AG$4:$AI$9,2,FALSE)))</f>
        <v/>
      </c>
      <c r="X183" s="524" t="str">
        <f>IF(V183="","",IF(VLOOKUP(V183,'G-7 Rivers Data'!$AG$4:$AI$9,3,FALSE)=0,"Spatial Data Missing ⚠",VLOOKUP(V183,'G-7 Rivers Data'!$AG$4:$AI$9,3,FALSE)))</f>
        <v/>
      </c>
      <c r="Y183" s="537" t="str">
        <f>IFERROR(IF(OR(LEFT(P183,5)="Error ▲",LEFT(O183,5)="Error ▲"),"Check Data ⚠",IF(F183&lt;S183,'G-7 Rivers Data'!$R$3,INDEX('G-7 Rivers Data'!$U$5:$Y$9,MATCH(G183,'G-7 Rivers Data'!$T$5:$T$9,0),MATCH(T183,'G-7 Rivers Data'!$U$4:$Y$4,0)))),"")</f>
        <v/>
      </c>
      <c r="Z183" s="203"/>
      <c r="AA183" s="203"/>
      <c r="AB183" s="534" t="str">
        <f t="shared" si="16"/>
        <v/>
      </c>
      <c r="AC183" s="521" t="str">
        <f t="shared" si="17"/>
        <v/>
      </c>
      <c r="AD183" s="564" t="str">
        <f>IFERROR(IF(AC183="Check Data ⚠","Check Data ⚠",VLOOKUP(AC183,'G-4 Temporal multipliers'!$A$4:$C$37,3,FALSE)),"")</f>
        <v/>
      </c>
      <c r="AE183" s="537" t="str">
        <f>IF(N183="","",VLOOKUP(N183,'G-7 Rivers Data'!$B$4:$G$8,5,FALSE))</f>
        <v/>
      </c>
      <c r="AF183" s="520" t="str">
        <f t="shared" si="18"/>
        <v/>
      </c>
      <c r="AG183" s="520" t="str">
        <f t="shared" si="22"/>
        <v/>
      </c>
      <c r="AH183" s="524" t="str">
        <f t="shared" si="19"/>
        <v/>
      </c>
      <c r="AI183" s="145"/>
      <c r="AJ183" s="499" t="str">
        <f>IF(AI183="","",IF(VLOOKUP(AI183,'G-7 Rivers Data'!$AA$4:$AB$7,2,FALSE)=0,"Spatial Data Missing ⚠",VLOOKUP(AI183,'G-7 Rivers Data'!$AA$4:$AB$7,2,FALSE)))</f>
        <v/>
      </c>
      <c r="AK183" s="155"/>
      <c r="AL183" s="536" t="str">
        <f>IF(AK183="","",IF(VLOOKUP(AK183,'G-7 Rivers Data'!$AD$4:$AE$8,2,FALSE)=0,"Spatial Data Missing ⚠",VLOOKUP(AK183,'G-7 Rivers Data'!$AD$4:$AE$8,2,FALSE)))</f>
        <v/>
      </c>
      <c r="AM183" s="154"/>
      <c r="AN183" s="524" t="str">
        <f>IF(AM183="","",VLOOKUP(AM183,'G-7 Rivers Data'!$AO$4:$AP$7,2,FALSE))</f>
        <v/>
      </c>
      <c r="AO183" s="545" t="str">
        <f t="shared" si="23"/>
        <v/>
      </c>
      <c r="AP183" s="149"/>
      <c r="AQ183" s="150"/>
      <c r="AX183" s="31" t="str">
        <f>IFERROR(INDEX('G-7 Rivers Data'!$AZ$3:$AZ$7,MATCH(N183,'G-7 Rivers Data'!$AY$3:$AY$7,0)),"")</f>
        <v/>
      </c>
    </row>
    <row r="184" spans="2:50" ht="14" x14ac:dyDescent="0.3">
      <c r="B184" s="531" t="str">
        <f>'F-1 Off Site River Baseline'!AN182</f>
        <v/>
      </c>
      <c r="C184" s="520" t="str">
        <f>IF(B184="","",VLOOKUP($B184,'F-1 Off Site River Baseline'!$C$9:$R$257,2,FALSE))</f>
        <v/>
      </c>
      <c r="D184" s="520" t="str">
        <f>IF(C184="","",VLOOKUP($B184,'F-1 Off Site River Baseline'!$C$9:$R$257,3,FALSE))</f>
        <v/>
      </c>
      <c r="E184" s="520" t="str">
        <f>IF(D184="","",VLOOKUP($B184,'F-1 Off Site River Baseline'!$C$9:$R$257,4,FALSE))</f>
        <v/>
      </c>
      <c r="F184" s="520" t="str">
        <f>IF(E184="","",VLOOKUP($B184,'F-1 Off Site River Baseline'!$C$9:$R$257,5,FALSE))</f>
        <v/>
      </c>
      <c r="G184" s="520" t="str">
        <f>IF(F184="","",VLOOKUP($B184,'F-1 Off Site River Baseline'!$C$9:$R$257,6,FALSE))</f>
        <v/>
      </c>
      <c r="H184" s="520" t="str">
        <f>IF(G184="","",VLOOKUP($B184,'F-1 Off Site River Baseline'!$C$9:$R$257,7,FALSE))</f>
        <v/>
      </c>
      <c r="I184" s="520" t="str">
        <f>IF(H184="","",VLOOKUP($B184,'F-1 Off Site River Baseline'!$C$9:$R$257,8,FALSE))</f>
        <v/>
      </c>
      <c r="J184" s="520" t="str">
        <f>IF(I184="","",VLOOKUP($B184,'F-1 Off Site River Baseline'!$C$9:$R$257,9,FALSE))</f>
        <v/>
      </c>
      <c r="K184" s="520" t="str">
        <f>IF(J184="","",VLOOKUP($B184,'F-1 Off Site River Baseline'!$C$9:$R$257,10,FALSE))</f>
        <v/>
      </c>
      <c r="L184" s="520" t="str">
        <f>IF(B184="","",VLOOKUP($B184,'C-1 Site River Baseline'!$C$9:$R$257,15,FALSE))</f>
        <v/>
      </c>
      <c r="M184" s="524" t="str">
        <f>IF(L184="","",VLOOKUP($B184,'F-1 Off Site River Baseline'!$C$9:$R$257,16,FALSE))</f>
        <v/>
      </c>
      <c r="N184" s="418" t="str">
        <f t="shared" si="20"/>
        <v/>
      </c>
      <c r="O184" s="498" t="str">
        <f t="shared" si="21"/>
        <v/>
      </c>
      <c r="P184" s="499" t="str">
        <f>IF(C184="","",IF(AND(LEFT(C184,55)&lt;&gt;LEFT(N184,55),O184="High - High"),"Error - Not like for like ▲",IF(AND(F184=S184,H184&gt;U184),"Error - Can not reduce condition ▲",IF(AND(F184=S184,H184=U184,AJ184='F-1 Off Site River Baseline'!N182,'F-1 Off Site River Baseline'!P182=AL184),"Error - No enhancement ▲",IF(AND(C184&lt;&gt;N184,F184&lt;S184),"Lower Distinctiveness Habitat"&amp;" - "&amp;T184,G184&amp;" - "&amp;T184)))))</f>
        <v/>
      </c>
      <c r="Q184" s="505" t="str">
        <f>IF(N184="","",VLOOKUP(B184,'F-1 Off Site River Baseline'!$C$10:$AA$257,19,FALSE))</f>
        <v/>
      </c>
      <c r="R184" s="498" t="str">
        <f>IF(N184="","",VLOOKUP(N184,'G-7 Rivers Data'!$B$2:$G$8,2,FALSE))</f>
        <v/>
      </c>
      <c r="S184" s="499" t="str">
        <f>IFERROR(VLOOKUP(R184,'G-7 Rivers Data'!$C$4:$D$8,2,FALSE),"")</f>
        <v/>
      </c>
      <c r="T184" s="145"/>
      <c r="U184" s="499" t="str">
        <f>IFERROR(INDEX('G-7 Rivers Data'!$H$4:$L$8,MATCH(N184,'G-7 Rivers Data'!$B$4:$B$8,0),MATCH(T184,'G-7 Rivers Data'!$H$3:$L$3,0)),"")</f>
        <v/>
      </c>
      <c r="V184" s="154"/>
      <c r="W184" s="520" t="str">
        <f>IF(V184="","",IF(VLOOKUP(V184,'G-7 Rivers Data'!$AG$4:$AI$9,2,FALSE)=0,"Spatial Data Missing ⚠",VLOOKUP(V184,'G-7 Rivers Data'!$AG$4:$AI$9,2,FALSE)))</f>
        <v/>
      </c>
      <c r="X184" s="524" t="str">
        <f>IF(V184="","",IF(VLOOKUP(V184,'G-7 Rivers Data'!$AG$4:$AI$9,3,FALSE)=0,"Spatial Data Missing ⚠",VLOOKUP(V184,'G-7 Rivers Data'!$AG$4:$AI$9,3,FALSE)))</f>
        <v/>
      </c>
      <c r="Y184" s="537" t="str">
        <f>IFERROR(IF(OR(LEFT(P184,5)="Error ▲",LEFT(O184,5)="Error ▲"),"Check Data ⚠",IF(F184&lt;S184,'G-7 Rivers Data'!$R$3,INDEX('G-7 Rivers Data'!$U$5:$Y$9,MATCH(G184,'G-7 Rivers Data'!$T$5:$T$9,0),MATCH(T184,'G-7 Rivers Data'!$U$4:$Y$4,0)))),"")</f>
        <v/>
      </c>
      <c r="Z184" s="203"/>
      <c r="AA184" s="203"/>
      <c r="AB184" s="534" t="str">
        <f t="shared" si="16"/>
        <v/>
      </c>
      <c r="AC184" s="521" t="str">
        <f t="shared" si="17"/>
        <v/>
      </c>
      <c r="AD184" s="564" t="str">
        <f>IFERROR(IF(AC184="Check Data ⚠","Check Data ⚠",VLOOKUP(AC184,'G-4 Temporal multipliers'!$A$4:$C$37,3,FALSE)),"")</f>
        <v/>
      </c>
      <c r="AE184" s="537" t="str">
        <f>IF(N184="","",VLOOKUP(N184,'G-7 Rivers Data'!$B$4:$G$8,5,FALSE))</f>
        <v/>
      </c>
      <c r="AF184" s="520" t="str">
        <f t="shared" si="18"/>
        <v/>
      </c>
      <c r="AG184" s="520" t="str">
        <f t="shared" si="22"/>
        <v/>
      </c>
      <c r="AH184" s="524" t="str">
        <f t="shared" si="19"/>
        <v/>
      </c>
      <c r="AI184" s="145"/>
      <c r="AJ184" s="499" t="str">
        <f>IF(AI184="","",IF(VLOOKUP(AI184,'G-7 Rivers Data'!$AA$4:$AB$7,2,FALSE)=0,"Spatial Data Missing ⚠",VLOOKUP(AI184,'G-7 Rivers Data'!$AA$4:$AB$7,2,FALSE)))</f>
        <v/>
      </c>
      <c r="AK184" s="155"/>
      <c r="AL184" s="536" t="str">
        <f>IF(AK184="","",IF(VLOOKUP(AK184,'G-7 Rivers Data'!$AD$4:$AE$8,2,FALSE)=0,"Spatial Data Missing ⚠",VLOOKUP(AK184,'G-7 Rivers Data'!$AD$4:$AE$8,2,FALSE)))</f>
        <v/>
      </c>
      <c r="AM184" s="154"/>
      <c r="AN184" s="524" t="str">
        <f>IF(AM184="","",VLOOKUP(AM184,'G-7 Rivers Data'!$AO$4:$AP$7,2,FALSE))</f>
        <v/>
      </c>
      <c r="AO184" s="545" t="str">
        <f t="shared" si="23"/>
        <v/>
      </c>
      <c r="AP184" s="149"/>
      <c r="AQ184" s="150"/>
      <c r="AX184" s="31" t="str">
        <f>IFERROR(INDEX('G-7 Rivers Data'!$AZ$3:$AZ$7,MATCH(N184,'G-7 Rivers Data'!$AY$3:$AY$7,0)),"")</f>
        <v/>
      </c>
    </row>
    <row r="185" spans="2:50" ht="14" x14ac:dyDescent="0.3">
      <c r="B185" s="531" t="str">
        <f>'F-1 Off Site River Baseline'!AN183</f>
        <v/>
      </c>
      <c r="C185" s="520" t="str">
        <f>IF(B185="","",VLOOKUP($B185,'F-1 Off Site River Baseline'!$C$9:$R$257,2,FALSE))</f>
        <v/>
      </c>
      <c r="D185" s="520" t="str">
        <f>IF(C185="","",VLOOKUP($B185,'F-1 Off Site River Baseline'!$C$9:$R$257,3,FALSE))</f>
        <v/>
      </c>
      <c r="E185" s="520" t="str">
        <f>IF(D185="","",VLOOKUP($B185,'F-1 Off Site River Baseline'!$C$9:$R$257,4,FALSE))</f>
        <v/>
      </c>
      <c r="F185" s="520" t="str">
        <f>IF(E185="","",VLOOKUP($B185,'F-1 Off Site River Baseline'!$C$9:$R$257,5,FALSE))</f>
        <v/>
      </c>
      <c r="G185" s="520" t="str">
        <f>IF(F185="","",VLOOKUP($B185,'F-1 Off Site River Baseline'!$C$9:$R$257,6,FALSE))</f>
        <v/>
      </c>
      <c r="H185" s="520" t="str">
        <f>IF(G185="","",VLOOKUP($B185,'F-1 Off Site River Baseline'!$C$9:$R$257,7,FALSE))</f>
        <v/>
      </c>
      <c r="I185" s="520" t="str">
        <f>IF(H185="","",VLOOKUP($B185,'F-1 Off Site River Baseline'!$C$9:$R$257,8,FALSE))</f>
        <v/>
      </c>
      <c r="J185" s="520" t="str">
        <f>IF(I185="","",VLOOKUP($B185,'F-1 Off Site River Baseline'!$C$9:$R$257,9,FALSE))</f>
        <v/>
      </c>
      <c r="K185" s="520" t="str">
        <f>IF(J185="","",VLOOKUP($B185,'F-1 Off Site River Baseline'!$C$9:$R$257,10,FALSE))</f>
        <v/>
      </c>
      <c r="L185" s="520" t="str">
        <f>IF(B185="","",VLOOKUP($B185,'C-1 Site River Baseline'!$C$9:$R$257,15,FALSE))</f>
        <v/>
      </c>
      <c r="M185" s="524" t="str">
        <f>IF(L185="","",VLOOKUP($B185,'F-1 Off Site River Baseline'!$C$9:$R$257,16,FALSE))</f>
        <v/>
      </c>
      <c r="N185" s="418" t="str">
        <f t="shared" si="20"/>
        <v/>
      </c>
      <c r="O185" s="498" t="str">
        <f t="shared" si="21"/>
        <v/>
      </c>
      <c r="P185" s="499" t="str">
        <f>IF(C185="","",IF(AND(LEFT(C185,55)&lt;&gt;LEFT(N185,55),O185="High - High"),"Error - Not like for like ▲",IF(AND(F185=S185,H185&gt;U185),"Error - Can not reduce condition ▲",IF(AND(F185=S185,H185=U185,AJ185='F-1 Off Site River Baseline'!N183,'F-1 Off Site River Baseline'!P183=AL185),"Error - No enhancement ▲",IF(AND(C185&lt;&gt;N185,F185&lt;S185),"Lower Distinctiveness Habitat"&amp;" - "&amp;T185,G185&amp;" - "&amp;T185)))))</f>
        <v/>
      </c>
      <c r="Q185" s="505" t="str">
        <f>IF(N185="","",VLOOKUP(B185,'F-1 Off Site River Baseline'!$C$10:$AA$257,19,FALSE))</f>
        <v/>
      </c>
      <c r="R185" s="498" t="str">
        <f>IF(N185="","",VLOOKUP(N185,'G-7 Rivers Data'!$B$2:$G$8,2,FALSE))</f>
        <v/>
      </c>
      <c r="S185" s="499" t="str">
        <f>IFERROR(VLOOKUP(R185,'G-7 Rivers Data'!$C$4:$D$8,2,FALSE),"")</f>
        <v/>
      </c>
      <c r="T185" s="145"/>
      <c r="U185" s="499" t="str">
        <f>IFERROR(INDEX('G-7 Rivers Data'!$H$4:$L$8,MATCH(N185,'G-7 Rivers Data'!$B$4:$B$8,0),MATCH(T185,'G-7 Rivers Data'!$H$3:$L$3,0)),"")</f>
        <v/>
      </c>
      <c r="V185" s="154"/>
      <c r="W185" s="520" t="str">
        <f>IF(V185="","",IF(VLOOKUP(V185,'G-7 Rivers Data'!$AG$4:$AI$9,2,FALSE)=0,"Spatial Data Missing ⚠",VLOOKUP(V185,'G-7 Rivers Data'!$AG$4:$AI$9,2,FALSE)))</f>
        <v/>
      </c>
      <c r="X185" s="524" t="str">
        <f>IF(V185="","",IF(VLOOKUP(V185,'G-7 Rivers Data'!$AG$4:$AI$9,3,FALSE)=0,"Spatial Data Missing ⚠",VLOOKUP(V185,'G-7 Rivers Data'!$AG$4:$AI$9,3,FALSE)))</f>
        <v/>
      </c>
      <c r="Y185" s="537" t="str">
        <f>IFERROR(IF(OR(LEFT(P185,5)="Error ▲",LEFT(O185,5)="Error ▲"),"Check Data ⚠",IF(F185&lt;S185,'G-7 Rivers Data'!$R$3,INDEX('G-7 Rivers Data'!$U$5:$Y$9,MATCH(G185,'G-7 Rivers Data'!$T$5:$T$9,0),MATCH(T185,'G-7 Rivers Data'!$U$4:$Y$4,0)))),"")</f>
        <v/>
      </c>
      <c r="Z185" s="203"/>
      <c r="AA185" s="203"/>
      <c r="AB185" s="534" t="str">
        <f t="shared" si="16"/>
        <v/>
      </c>
      <c r="AC185" s="521" t="str">
        <f t="shared" si="17"/>
        <v/>
      </c>
      <c r="AD185" s="564" t="str">
        <f>IFERROR(IF(AC185="Check Data ⚠","Check Data ⚠",VLOOKUP(AC185,'G-4 Temporal multipliers'!$A$4:$C$37,3,FALSE)),"")</f>
        <v/>
      </c>
      <c r="AE185" s="537" t="str">
        <f>IF(N185="","",VLOOKUP(N185,'G-7 Rivers Data'!$B$4:$G$8,5,FALSE))</f>
        <v/>
      </c>
      <c r="AF185" s="520" t="str">
        <f t="shared" si="18"/>
        <v/>
      </c>
      <c r="AG185" s="520" t="str">
        <f t="shared" si="22"/>
        <v/>
      </c>
      <c r="AH185" s="524" t="str">
        <f t="shared" si="19"/>
        <v/>
      </c>
      <c r="AI185" s="145"/>
      <c r="AJ185" s="499" t="str">
        <f>IF(AI185="","",IF(VLOOKUP(AI185,'G-7 Rivers Data'!$AA$4:$AB$7,2,FALSE)=0,"Spatial Data Missing ⚠",VLOOKUP(AI185,'G-7 Rivers Data'!$AA$4:$AB$7,2,FALSE)))</f>
        <v/>
      </c>
      <c r="AK185" s="155"/>
      <c r="AL185" s="536" t="str">
        <f>IF(AK185="","",IF(VLOOKUP(AK185,'G-7 Rivers Data'!$AD$4:$AE$8,2,FALSE)=0,"Spatial Data Missing ⚠",VLOOKUP(AK185,'G-7 Rivers Data'!$AD$4:$AE$8,2,FALSE)))</f>
        <v/>
      </c>
      <c r="AM185" s="154"/>
      <c r="AN185" s="524" t="str">
        <f>IF(AM185="","",VLOOKUP(AM185,'G-7 Rivers Data'!$AO$4:$AP$7,2,FALSE))</f>
        <v/>
      </c>
      <c r="AO185" s="545" t="str">
        <f t="shared" si="23"/>
        <v/>
      </c>
      <c r="AP185" s="149"/>
      <c r="AQ185" s="150"/>
      <c r="AX185" s="31" t="str">
        <f>IFERROR(INDEX('G-7 Rivers Data'!$AZ$3:$AZ$7,MATCH(N185,'G-7 Rivers Data'!$AY$3:$AY$7,0)),"")</f>
        <v/>
      </c>
    </row>
    <row r="186" spans="2:50" ht="14" x14ac:dyDescent="0.3">
      <c r="B186" s="531" t="str">
        <f>'F-1 Off Site River Baseline'!AN184</f>
        <v/>
      </c>
      <c r="C186" s="520" t="str">
        <f>IF(B186="","",VLOOKUP($B186,'F-1 Off Site River Baseline'!$C$9:$R$257,2,FALSE))</f>
        <v/>
      </c>
      <c r="D186" s="520" t="str">
        <f>IF(C186="","",VLOOKUP($B186,'F-1 Off Site River Baseline'!$C$9:$R$257,3,FALSE))</f>
        <v/>
      </c>
      <c r="E186" s="520" t="str">
        <f>IF(D186="","",VLOOKUP($B186,'F-1 Off Site River Baseline'!$C$9:$R$257,4,FALSE))</f>
        <v/>
      </c>
      <c r="F186" s="520" t="str">
        <f>IF(E186="","",VLOOKUP($B186,'F-1 Off Site River Baseline'!$C$9:$R$257,5,FALSE))</f>
        <v/>
      </c>
      <c r="G186" s="520" t="str">
        <f>IF(F186="","",VLOOKUP($B186,'F-1 Off Site River Baseline'!$C$9:$R$257,6,FALSE))</f>
        <v/>
      </c>
      <c r="H186" s="520" t="str">
        <f>IF(G186="","",VLOOKUP($B186,'F-1 Off Site River Baseline'!$C$9:$R$257,7,FALSE))</f>
        <v/>
      </c>
      <c r="I186" s="520" t="str">
        <f>IF(H186="","",VLOOKUP($B186,'F-1 Off Site River Baseline'!$C$9:$R$257,8,FALSE))</f>
        <v/>
      </c>
      <c r="J186" s="520" t="str">
        <f>IF(I186="","",VLOOKUP($B186,'F-1 Off Site River Baseline'!$C$9:$R$257,9,FALSE))</f>
        <v/>
      </c>
      <c r="K186" s="520" t="str">
        <f>IF(J186="","",VLOOKUP($B186,'F-1 Off Site River Baseline'!$C$9:$R$257,10,FALSE))</f>
        <v/>
      </c>
      <c r="L186" s="520" t="str">
        <f>IF(B186="","",VLOOKUP($B186,'C-1 Site River Baseline'!$C$9:$R$257,15,FALSE))</f>
        <v/>
      </c>
      <c r="M186" s="524" t="str">
        <f>IF(L186="","",VLOOKUP($B186,'F-1 Off Site River Baseline'!$C$9:$R$257,16,FALSE))</f>
        <v/>
      </c>
      <c r="N186" s="418" t="str">
        <f t="shared" si="20"/>
        <v/>
      </c>
      <c r="O186" s="498" t="str">
        <f t="shared" si="21"/>
        <v/>
      </c>
      <c r="P186" s="499" t="str">
        <f>IF(C186="","",IF(AND(LEFT(C186,55)&lt;&gt;LEFT(N186,55),O186="High - High"),"Error - Not like for like ▲",IF(AND(F186=S186,H186&gt;U186),"Error - Can not reduce condition ▲",IF(AND(F186=S186,H186=U186,AJ186='F-1 Off Site River Baseline'!N184,'F-1 Off Site River Baseline'!P184=AL186),"Error - No enhancement ▲",IF(AND(C186&lt;&gt;N186,F186&lt;S186),"Lower Distinctiveness Habitat"&amp;" - "&amp;T186,G186&amp;" - "&amp;T186)))))</f>
        <v/>
      </c>
      <c r="Q186" s="505" t="str">
        <f>IF(N186="","",VLOOKUP(B186,'F-1 Off Site River Baseline'!$C$10:$AA$257,19,FALSE))</f>
        <v/>
      </c>
      <c r="R186" s="498" t="str">
        <f>IF(N186="","",VLOOKUP(N186,'G-7 Rivers Data'!$B$2:$G$8,2,FALSE))</f>
        <v/>
      </c>
      <c r="S186" s="499" t="str">
        <f>IFERROR(VLOOKUP(R186,'G-7 Rivers Data'!$C$4:$D$8,2,FALSE),"")</f>
        <v/>
      </c>
      <c r="T186" s="145"/>
      <c r="U186" s="499" t="str">
        <f>IFERROR(INDEX('G-7 Rivers Data'!$H$4:$L$8,MATCH(N186,'G-7 Rivers Data'!$B$4:$B$8,0),MATCH(T186,'G-7 Rivers Data'!$H$3:$L$3,0)),"")</f>
        <v/>
      </c>
      <c r="V186" s="154"/>
      <c r="W186" s="520" t="str">
        <f>IF(V186="","",IF(VLOOKUP(V186,'G-7 Rivers Data'!$AG$4:$AI$9,2,FALSE)=0,"Spatial Data Missing ⚠",VLOOKUP(V186,'G-7 Rivers Data'!$AG$4:$AI$9,2,FALSE)))</f>
        <v/>
      </c>
      <c r="X186" s="524" t="str">
        <f>IF(V186="","",IF(VLOOKUP(V186,'G-7 Rivers Data'!$AG$4:$AI$9,3,FALSE)=0,"Spatial Data Missing ⚠",VLOOKUP(V186,'G-7 Rivers Data'!$AG$4:$AI$9,3,FALSE)))</f>
        <v/>
      </c>
      <c r="Y186" s="537" t="str">
        <f>IFERROR(IF(OR(LEFT(P186,5)="Error ▲",LEFT(O186,5)="Error ▲"),"Check Data ⚠",IF(F186&lt;S186,'G-7 Rivers Data'!$R$3,INDEX('G-7 Rivers Data'!$U$5:$Y$9,MATCH(G186,'G-7 Rivers Data'!$T$5:$T$9,0),MATCH(T186,'G-7 Rivers Data'!$U$4:$Y$4,0)))),"")</f>
        <v/>
      </c>
      <c r="Z186" s="203"/>
      <c r="AA186" s="203"/>
      <c r="AB186" s="534" t="str">
        <f t="shared" si="16"/>
        <v/>
      </c>
      <c r="AC186" s="521" t="str">
        <f t="shared" si="17"/>
        <v/>
      </c>
      <c r="AD186" s="564" t="str">
        <f>IFERROR(IF(AC186="Check Data ⚠","Check Data ⚠",VLOOKUP(AC186,'G-4 Temporal multipliers'!$A$4:$C$37,3,FALSE)),"")</f>
        <v/>
      </c>
      <c r="AE186" s="537" t="str">
        <f>IF(N186="","",VLOOKUP(N186,'G-7 Rivers Data'!$B$4:$G$8,5,FALSE))</f>
        <v/>
      </c>
      <c r="AF186" s="520" t="str">
        <f t="shared" si="18"/>
        <v/>
      </c>
      <c r="AG186" s="520" t="str">
        <f t="shared" si="22"/>
        <v/>
      </c>
      <c r="AH186" s="524" t="str">
        <f t="shared" si="19"/>
        <v/>
      </c>
      <c r="AI186" s="145"/>
      <c r="AJ186" s="499" t="str">
        <f>IF(AI186="","",IF(VLOOKUP(AI186,'G-7 Rivers Data'!$AA$4:$AB$7,2,FALSE)=0,"Spatial Data Missing ⚠",VLOOKUP(AI186,'G-7 Rivers Data'!$AA$4:$AB$7,2,FALSE)))</f>
        <v/>
      </c>
      <c r="AK186" s="155"/>
      <c r="AL186" s="536" t="str">
        <f>IF(AK186="","",IF(VLOOKUP(AK186,'G-7 Rivers Data'!$AD$4:$AE$8,2,FALSE)=0,"Spatial Data Missing ⚠",VLOOKUP(AK186,'G-7 Rivers Data'!$AD$4:$AE$8,2,FALSE)))</f>
        <v/>
      </c>
      <c r="AM186" s="154"/>
      <c r="AN186" s="524" t="str">
        <f>IF(AM186="","",VLOOKUP(AM186,'G-7 Rivers Data'!$AO$4:$AP$7,2,FALSE))</f>
        <v/>
      </c>
      <c r="AO186" s="545" t="str">
        <f t="shared" si="23"/>
        <v/>
      </c>
      <c r="AP186" s="149"/>
      <c r="AQ186" s="150"/>
      <c r="AX186" s="31" t="str">
        <f>IFERROR(INDEX('G-7 Rivers Data'!$AZ$3:$AZ$7,MATCH(N186,'G-7 Rivers Data'!$AY$3:$AY$7,0)),"")</f>
        <v/>
      </c>
    </row>
    <row r="187" spans="2:50" ht="14" x14ac:dyDescent="0.3">
      <c r="B187" s="531" t="str">
        <f>'F-1 Off Site River Baseline'!AN185</f>
        <v/>
      </c>
      <c r="C187" s="520" t="str">
        <f>IF(B187="","",VLOOKUP($B187,'F-1 Off Site River Baseline'!$C$9:$R$257,2,FALSE))</f>
        <v/>
      </c>
      <c r="D187" s="520" t="str">
        <f>IF(C187="","",VLOOKUP($B187,'F-1 Off Site River Baseline'!$C$9:$R$257,3,FALSE))</f>
        <v/>
      </c>
      <c r="E187" s="520" t="str">
        <f>IF(D187="","",VLOOKUP($B187,'F-1 Off Site River Baseline'!$C$9:$R$257,4,FALSE))</f>
        <v/>
      </c>
      <c r="F187" s="520" t="str">
        <f>IF(E187="","",VLOOKUP($B187,'F-1 Off Site River Baseline'!$C$9:$R$257,5,FALSE))</f>
        <v/>
      </c>
      <c r="G187" s="520" t="str">
        <f>IF(F187="","",VLOOKUP($B187,'F-1 Off Site River Baseline'!$C$9:$R$257,6,FALSE))</f>
        <v/>
      </c>
      <c r="H187" s="520" t="str">
        <f>IF(G187="","",VLOOKUP($B187,'F-1 Off Site River Baseline'!$C$9:$R$257,7,FALSE))</f>
        <v/>
      </c>
      <c r="I187" s="520" t="str">
        <f>IF(H187="","",VLOOKUP($B187,'F-1 Off Site River Baseline'!$C$9:$R$257,8,FALSE))</f>
        <v/>
      </c>
      <c r="J187" s="520" t="str">
        <f>IF(I187="","",VLOOKUP($B187,'F-1 Off Site River Baseline'!$C$9:$R$257,9,FALSE))</f>
        <v/>
      </c>
      <c r="K187" s="520" t="str">
        <f>IF(J187="","",VLOOKUP($B187,'F-1 Off Site River Baseline'!$C$9:$R$257,10,FALSE))</f>
        <v/>
      </c>
      <c r="L187" s="520" t="str">
        <f>IF(B187="","",VLOOKUP($B187,'C-1 Site River Baseline'!$C$9:$R$257,15,FALSE))</f>
        <v/>
      </c>
      <c r="M187" s="524" t="str">
        <f>IF(L187="","",VLOOKUP($B187,'F-1 Off Site River Baseline'!$C$9:$R$257,16,FALSE))</f>
        <v/>
      </c>
      <c r="N187" s="418" t="str">
        <f t="shared" si="20"/>
        <v/>
      </c>
      <c r="O187" s="498" t="str">
        <f t="shared" si="21"/>
        <v/>
      </c>
      <c r="P187" s="499" t="str">
        <f>IF(C187="","",IF(AND(LEFT(C187,55)&lt;&gt;LEFT(N187,55),O187="High - High"),"Error - Not like for like ▲",IF(AND(F187=S187,H187&gt;U187),"Error - Can not reduce condition ▲",IF(AND(F187=S187,H187=U187,AJ187='F-1 Off Site River Baseline'!N185,'F-1 Off Site River Baseline'!P185=AL187),"Error - No enhancement ▲",IF(AND(C187&lt;&gt;N187,F187&lt;S187),"Lower Distinctiveness Habitat"&amp;" - "&amp;T187,G187&amp;" - "&amp;T187)))))</f>
        <v/>
      </c>
      <c r="Q187" s="505" t="str">
        <f>IF(N187="","",VLOOKUP(B187,'F-1 Off Site River Baseline'!$C$10:$AA$257,19,FALSE))</f>
        <v/>
      </c>
      <c r="R187" s="498" t="str">
        <f>IF(N187="","",VLOOKUP(N187,'G-7 Rivers Data'!$B$2:$G$8,2,FALSE))</f>
        <v/>
      </c>
      <c r="S187" s="499" t="str">
        <f>IFERROR(VLOOKUP(R187,'G-7 Rivers Data'!$C$4:$D$8,2,FALSE),"")</f>
        <v/>
      </c>
      <c r="T187" s="145"/>
      <c r="U187" s="499" t="str">
        <f>IFERROR(INDEX('G-7 Rivers Data'!$H$4:$L$8,MATCH(N187,'G-7 Rivers Data'!$B$4:$B$8,0),MATCH(T187,'G-7 Rivers Data'!$H$3:$L$3,0)),"")</f>
        <v/>
      </c>
      <c r="V187" s="154"/>
      <c r="W187" s="520" t="str">
        <f>IF(V187="","",IF(VLOOKUP(V187,'G-7 Rivers Data'!$AG$4:$AI$9,2,FALSE)=0,"Spatial Data Missing ⚠",VLOOKUP(V187,'G-7 Rivers Data'!$AG$4:$AI$9,2,FALSE)))</f>
        <v/>
      </c>
      <c r="X187" s="524" t="str">
        <f>IF(V187="","",IF(VLOOKUP(V187,'G-7 Rivers Data'!$AG$4:$AI$9,3,FALSE)=0,"Spatial Data Missing ⚠",VLOOKUP(V187,'G-7 Rivers Data'!$AG$4:$AI$9,3,FALSE)))</f>
        <v/>
      </c>
      <c r="Y187" s="537" t="str">
        <f>IFERROR(IF(OR(LEFT(P187,5)="Error ▲",LEFT(O187,5)="Error ▲"),"Check Data ⚠",IF(F187&lt;S187,'G-7 Rivers Data'!$R$3,INDEX('G-7 Rivers Data'!$U$5:$Y$9,MATCH(G187,'G-7 Rivers Data'!$T$5:$T$9,0),MATCH(T187,'G-7 Rivers Data'!$U$4:$Y$4,0)))),"")</f>
        <v/>
      </c>
      <c r="Z187" s="203"/>
      <c r="AA187" s="203"/>
      <c r="AB187" s="534" t="str">
        <f t="shared" si="16"/>
        <v/>
      </c>
      <c r="AC187" s="521" t="str">
        <f t="shared" si="17"/>
        <v/>
      </c>
      <c r="AD187" s="564" t="str">
        <f>IFERROR(IF(AC187="Check Data ⚠","Check Data ⚠",VLOOKUP(AC187,'G-4 Temporal multipliers'!$A$4:$C$37,3,FALSE)),"")</f>
        <v/>
      </c>
      <c r="AE187" s="537" t="str">
        <f>IF(N187="","",VLOOKUP(N187,'G-7 Rivers Data'!$B$4:$G$8,5,FALSE))</f>
        <v/>
      </c>
      <c r="AF187" s="520" t="str">
        <f t="shared" si="18"/>
        <v/>
      </c>
      <c r="AG187" s="520" t="str">
        <f t="shared" si="22"/>
        <v/>
      </c>
      <c r="AH187" s="524" t="str">
        <f t="shared" si="19"/>
        <v/>
      </c>
      <c r="AI187" s="145"/>
      <c r="AJ187" s="499" t="str">
        <f>IF(AI187="","",IF(VLOOKUP(AI187,'G-7 Rivers Data'!$AA$4:$AB$7,2,FALSE)=0,"Spatial Data Missing ⚠",VLOOKUP(AI187,'G-7 Rivers Data'!$AA$4:$AB$7,2,FALSE)))</f>
        <v/>
      </c>
      <c r="AK187" s="155"/>
      <c r="AL187" s="536" t="str">
        <f>IF(AK187="","",IF(VLOOKUP(AK187,'G-7 Rivers Data'!$AD$4:$AE$8,2,FALSE)=0,"Spatial Data Missing ⚠",VLOOKUP(AK187,'G-7 Rivers Data'!$AD$4:$AE$8,2,FALSE)))</f>
        <v/>
      </c>
      <c r="AM187" s="154"/>
      <c r="AN187" s="524" t="str">
        <f>IF(AM187="","",VLOOKUP(AM187,'G-7 Rivers Data'!$AO$4:$AP$7,2,FALSE))</f>
        <v/>
      </c>
      <c r="AO187" s="545" t="str">
        <f t="shared" si="23"/>
        <v/>
      </c>
      <c r="AP187" s="149"/>
      <c r="AQ187" s="150"/>
      <c r="AX187" s="31" t="str">
        <f>IFERROR(INDEX('G-7 Rivers Data'!$AZ$3:$AZ$7,MATCH(N187,'G-7 Rivers Data'!$AY$3:$AY$7,0)),"")</f>
        <v/>
      </c>
    </row>
    <row r="188" spans="2:50" ht="14" x14ac:dyDescent="0.3">
      <c r="B188" s="531" t="str">
        <f>'F-1 Off Site River Baseline'!AN186</f>
        <v/>
      </c>
      <c r="C188" s="520" t="str">
        <f>IF(B188="","",VLOOKUP($B188,'F-1 Off Site River Baseline'!$C$9:$R$257,2,FALSE))</f>
        <v/>
      </c>
      <c r="D188" s="520" t="str">
        <f>IF(C188="","",VLOOKUP($B188,'F-1 Off Site River Baseline'!$C$9:$R$257,3,FALSE))</f>
        <v/>
      </c>
      <c r="E188" s="520" t="str">
        <f>IF(D188="","",VLOOKUP($B188,'F-1 Off Site River Baseline'!$C$9:$R$257,4,FALSE))</f>
        <v/>
      </c>
      <c r="F188" s="520" t="str">
        <f>IF(E188="","",VLOOKUP($B188,'F-1 Off Site River Baseline'!$C$9:$R$257,5,FALSE))</f>
        <v/>
      </c>
      <c r="G188" s="520" t="str">
        <f>IF(F188="","",VLOOKUP($B188,'F-1 Off Site River Baseline'!$C$9:$R$257,6,FALSE))</f>
        <v/>
      </c>
      <c r="H188" s="520" t="str">
        <f>IF(G188="","",VLOOKUP($B188,'F-1 Off Site River Baseline'!$C$9:$R$257,7,FALSE))</f>
        <v/>
      </c>
      <c r="I188" s="520" t="str">
        <f>IF(H188="","",VLOOKUP($B188,'F-1 Off Site River Baseline'!$C$9:$R$257,8,FALSE))</f>
        <v/>
      </c>
      <c r="J188" s="520" t="str">
        <f>IF(I188="","",VLOOKUP($B188,'F-1 Off Site River Baseline'!$C$9:$R$257,9,FALSE))</f>
        <v/>
      </c>
      <c r="K188" s="520" t="str">
        <f>IF(J188="","",VLOOKUP($B188,'F-1 Off Site River Baseline'!$C$9:$R$257,10,FALSE))</f>
        <v/>
      </c>
      <c r="L188" s="520" t="str">
        <f>IF(B188="","",VLOOKUP($B188,'C-1 Site River Baseline'!$C$9:$R$257,15,FALSE))</f>
        <v/>
      </c>
      <c r="M188" s="524" t="str">
        <f>IF(L188="","",VLOOKUP($B188,'F-1 Off Site River Baseline'!$C$9:$R$257,16,FALSE))</f>
        <v/>
      </c>
      <c r="N188" s="418" t="str">
        <f t="shared" si="20"/>
        <v/>
      </c>
      <c r="O188" s="498" t="str">
        <f t="shared" si="21"/>
        <v/>
      </c>
      <c r="P188" s="499" t="str">
        <f>IF(C188="","",IF(AND(LEFT(C188,55)&lt;&gt;LEFT(N188,55),O188="High - High"),"Error - Not like for like ▲",IF(AND(F188=S188,H188&gt;U188),"Error - Can not reduce condition ▲",IF(AND(F188=S188,H188=U188,AJ188='F-1 Off Site River Baseline'!N186,'F-1 Off Site River Baseline'!P186=AL188),"Error - No enhancement ▲",IF(AND(C188&lt;&gt;N188,F188&lt;S188),"Lower Distinctiveness Habitat"&amp;" - "&amp;T188,G188&amp;" - "&amp;T188)))))</f>
        <v/>
      </c>
      <c r="Q188" s="505" t="str">
        <f>IF(N188="","",VLOOKUP(B188,'F-1 Off Site River Baseline'!$C$10:$AA$257,19,FALSE))</f>
        <v/>
      </c>
      <c r="R188" s="498" t="str">
        <f>IF(N188="","",VLOOKUP(N188,'G-7 Rivers Data'!$B$2:$G$8,2,FALSE))</f>
        <v/>
      </c>
      <c r="S188" s="499" t="str">
        <f>IFERROR(VLOOKUP(R188,'G-7 Rivers Data'!$C$4:$D$8,2,FALSE),"")</f>
        <v/>
      </c>
      <c r="T188" s="145"/>
      <c r="U188" s="499" t="str">
        <f>IFERROR(INDEX('G-7 Rivers Data'!$H$4:$L$8,MATCH(N188,'G-7 Rivers Data'!$B$4:$B$8,0),MATCH(T188,'G-7 Rivers Data'!$H$3:$L$3,0)),"")</f>
        <v/>
      </c>
      <c r="V188" s="154"/>
      <c r="W188" s="520" t="str">
        <f>IF(V188="","",IF(VLOOKUP(V188,'G-7 Rivers Data'!$AG$4:$AI$9,2,FALSE)=0,"Spatial Data Missing ⚠",VLOOKUP(V188,'G-7 Rivers Data'!$AG$4:$AI$9,2,FALSE)))</f>
        <v/>
      </c>
      <c r="X188" s="524" t="str">
        <f>IF(V188="","",IF(VLOOKUP(V188,'G-7 Rivers Data'!$AG$4:$AI$9,3,FALSE)=0,"Spatial Data Missing ⚠",VLOOKUP(V188,'G-7 Rivers Data'!$AG$4:$AI$9,3,FALSE)))</f>
        <v/>
      </c>
      <c r="Y188" s="537" t="str">
        <f>IFERROR(IF(OR(LEFT(P188,5)="Error ▲",LEFT(O188,5)="Error ▲"),"Check Data ⚠",IF(F188&lt;S188,'G-7 Rivers Data'!$R$3,INDEX('G-7 Rivers Data'!$U$5:$Y$9,MATCH(G188,'G-7 Rivers Data'!$T$5:$T$9,0),MATCH(T188,'G-7 Rivers Data'!$U$4:$Y$4,0)))),"")</f>
        <v/>
      </c>
      <c r="Z188" s="203"/>
      <c r="AA188" s="203"/>
      <c r="AB188" s="534" t="str">
        <f t="shared" si="16"/>
        <v/>
      </c>
      <c r="AC188" s="521" t="str">
        <f t="shared" si="17"/>
        <v/>
      </c>
      <c r="AD188" s="564" t="str">
        <f>IFERROR(IF(AC188="Check Data ⚠","Check Data ⚠",VLOOKUP(AC188,'G-4 Temporal multipliers'!$A$4:$C$37,3,FALSE)),"")</f>
        <v/>
      </c>
      <c r="AE188" s="537" t="str">
        <f>IF(N188="","",VLOOKUP(N188,'G-7 Rivers Data'!$B$4:$G$8,5,FALSE))</f>
        <v/>
      </c>
      <c r="AF188" s="520" t="str">
        <f t="shared" si="18"/>
        <v/>
      </c>
      <c r="AG188" s="520" t="str">
        <f t="shared" si="22"/>
        <v/>
      </c>
      <c r="AH188" s="524" t="str">
        <f t="shared" si="19"/>
        <v/>
      </c>
      <c r="AI188" s="145"/>
      <c r="AJ188" s="499" t="str">
        <f>IF(AI188="","",IF(VLOOKUP(AI188,'G-7 Rivers Data'!$AA$4:$AB$7,2,FALSE)=0,"Spatial Data Missing ⚠",VLOOKUP(AI188,'G-7 Rivers Data'!$AA$4:$AB$7,2,FALSE)))</f>
        <v/>
      </c>
      <c r="AK188" s="155"/>
      <c r="AL188" s="536" t="str">
        <f>IF(AK188="","",IF(VLOOKUP(AK188,'G-7 Rivers Data'!$AD$4:$AE$8,2,FALSE)=0,"Spatial Data Missing ⚠",VLOOKUP(AK188,'G-7 Rivers Data'!$AD$4:$AE$8,2,FALSE)))</f>
        <v/>
      </c>
      <c r="AM188" s="154"/>
      <c r="AN188" s="524" t="str">
        <f>IF(AM188="","",VLOOKUP(AM188,'G-7 Rivers Data'!$AO$4:$AP$7,2,FALSE))</f>
        <v/>
      </c>
      <c r="AO188" s="545" t="str">
        <f t="shared" si="23"/>
        <v/>
      </c>
      <c r="AP188" s="149"/>
      <c r="AQ188" s="150"/>
      <c r="AX188" s="31" t="str">
        <f>IFERROR(INDEX('G-7 Rivers Data'!$AZ$3:$AZ$7,MATCH(N188,'G-7 Rivers Data'!$AY$3:$AY$7,0)),"")</f>
        <v/>
      </c>
    </row>
    <row r="189" spans="2:50" ht="14" x14ac:dyDescent="0.3">
      <c r="B189" s="531" t="str">
        <f>'F-1 Off Site River Baseline'!AN187</f>
        <v/>
      </c>
      <c r="C189" s="520" t="str">
        <f>IF(B189="","",VLOOKUP($B189,'F-1 Off Site River Baseline'!$C$9:$R$257,2,FALSE))</f>
        <v/>
      </c>
      <c r="D189" s="520" t="str">
        <f>IF(C189="","",VLOOKUP($B189,'F-1 Off Site River Baseline'!$C$9:$R$257,3,FALSE))</f>
        <v/>
      </c>
      <c r="E189" s="520" t="str">
        <f>IF(D189="","",VLOOKUP($B189,'F-1 Off Site River Baseline'!$C$9:$R$257,4,FALSE))</f>
        <v/>
      </c>
      <c r="F189" s="520" t="str">
        <f>IF(E189="","",VLOOKUP($B189,'F-1 Off Site River Baseline'!$C$9:$R$257,5,FALSE))</f>
        <v/>
      </c>
      <c r="G189" s="520" t="str">
        <f>IF(F189="","",VLOOKUP($B189,'F-1 Off Site River Baseline'!$C$9:$R$257,6,FALSE))</f>
        <v/>
      </c>
      <c r="H189" s="520" t="str">
        <f>IF(G189="","",VLOOKUP($B189,'F-1 Off Site River Baseline'!$C$9:$R$257,7,FALSE))</f>
        <v/>
      </c>
      <c r="I189" s="520" t="str">
        <f>IF(H189="","",VLOOKUP($B189,'F-1 Off Site River Baseline'!$C$9:$R$257,8,FALSE))</f>
        <v/>
      </c>
      <c r="J189" s="520" t="str">
        <f>IF(I189="","",VLOOKUP($B189,'F-1 Off Site River Baseline'!$C$9:$R$257,9,FALSE))</f>
        <v/>
      </c>
      <c r="K189" s="520" t="str">
        <f>IF(J189="","",VLOOKUP($B189,'F-1 Off Site River Baseline'!$C$9:$R$257,10,FALSE))</f>
        <v/>
      </c>
      <c r="L189" s="520" t="str">
        <f>IF(B189="","",VLOOKUP($B189,'C-1 Site River Baseline'!$C$9:$R$257,15,FALSE))</f>
        <v/>
      </c>
      <c r="M189" s="524" t="str">
        <f>IF(L189="","",VLOOKUP($B189,'F-1 Off Site River Baseline'!$C$9:$R$257,16,FALSE))</f>
        <v/>
      </c>
      <c r="N189" s="418" t="str">
        <f t="shared" si="20"/>
        <v/>
      </c>
      <c r="O189" s="498" t="str">
        <f t="shared" si="21"/>
        <v/>
      </c>
      <c r="P189" s="499" t="str">
        <f>IF(C189="","",IF(AND(LEFT(C189,55)&lt;&gt;LEFT(N189,55),O189="High - High"),"Error - Not like for like ▲",IF(AND(F189=S189,H189&gt;U189),"Error - Can not reduce condition ▲",IF(AND(F189=S189,H189=U189,AJ189='F-1 Off Site River Baseline'!N187,'F-1 Off Site River Baseline'!P187=AL189),"Error - No enhancement ▲",IF(AND(C189&lt;&gt;N189,F189&lt;S189),"Lower Distinctiveness Habitat"&amp;" - "&amp;T189,G189&amp;" - "&amp;T189)))))</f>
        <v/>
      </c>
      <c r="Q189" s="505" t="str">
        <f>IF(N189="","",VLOOKUP(B189,'F-1 Off Site River Baseline'!$C$10:$AA$257,19,FALSE))</f>
        <v/>
      </c>
      <c r="R189" s="498" t="str">
        <f>IF(N189="","",VLOOKUP(N189,'G-7 Rivers Data'!$B$2:$G$8,2,FALSE))</f>
        <v/>
      </c>
      <c r="S189" s="499" t="str">
        <f>IFERROR(VLOOKUP(R189,'G-7 Rivers Data'!$C$4:$D$8,2,FALSE),"")</f>
        <v/>
      </c>
      <c r="T189" s="145"/>
      <c r="U189" s="499" t="str">
        <f>IFERROR(INDEX('G-7 Rivers Data'!$H$4:$L$8,MATCH(N189,'G-7 Rivers Data'!$B$4:$B$8,0),MATCH(T189,'G-7 Rivers Data'!$H$3:$L$3,0)),"")</f>
        <v/>
      </c>
      <c r="V189" s="154"/>
      <c r="W189" s="520" t="str">
        <f>IF(V189="","",IF(VLOOKUP(V189,'G-7 Rivers Data'!$AG$4:$AI$9,2,FALSE)=0,"Spatial Data Missing ⚠",VLOOKUP(V189,'G-7 Rivers Data'!$AG$4:$AI$9,2,FALSE)))</f>
        <v/>
      </c>
      <c r="X189" s="524" t="str">
        <f>IF(V189="","",IF(VLOOKUP(V189,'G-7 Rivers Data'!$AG$4:$AI$9,3,FALSE)=0,"Spatial Data Missing ⚠",VLOOKUP(V189,'G-7 Rivers Data'!$AG$4:$AI$9,3,FALSE)))</f>
        <v/>
      </c>
      <c r="Y189" s="537" t="str">
        <f>IFERROR(IF(OR(LEFT(P189,5)="Error ▲",LEFT(O189,5)="Error ▲"),"Check Data ⚠",IF(F189&lt;S189,'G-7 Rivers Data'!$R$3,INDEX('G-7 Rivers Data'!$U$5:$Y$9,MATCH(G189,'G-7 Rivers Data'!$T$5:$T$9,0),MATCH(T189,'G-7 Rivers Data'!$U$4:$Y$4,0)))),"")</f>
        <v/>
      </c>
      <c r="Z189" s="203"/>
      <c r="AA189" s="203"/>
      <c r="AB189" s="534" t="str">
        <f t="shared" si="16"/>
        <v/>
      </c>
      <c r="AC189" s="521" t="str">
        <f t="shared" si="17"/>
        <v/>
      </c>
      <c r="AD189" s="564" t="str">
        <f>IFERROR(IF(AC189="Check Data ⚠","Check Data ⚠",VLOOKUP(AC189,'G-4 Temporal multipliers'!$A$4:$C$37,3,FALSE)),"")</f>
        <v/>
      </c>
      <c r="AE189" s="537" t="str">
        <f>IF(N189="","",VLOOKUP(N189,'G-7 Rivers Data'!$B$4:$G$8,5,FALSE))</f>
        <v/>
      </c>
      <c r="AF189" s="520" t="str">
        <f t="shared" si="18"/>
        <v/>
      </c>
      <c r="AG189" s="520" t="str">
        <f t="shared" si="22"/>
        <v/>
      </c>
      <c r="AH189" s="524" t="str">
        <f t="shared" si="19"/>
        <v/>
      </c>
      <c r="AI189" s="145"/>
      <c r="AJ189" s="499" t="str">
        <f>IF(AI189="","",IF(VLOOKUP(AI189,'G-7 Rivers Data'!$AA$4:$AB$7,2,FALSE)=0,"Spatial Data Missing ⚠",VLOOKUP(AI189,'G-7 Rivers Data'!$AA$4:$AB$7,2,FALSE)))</f>
        <v/>
      </c>
      <c r="AK189" s="155"/>
      <c r="AL189" s="536" t="str">
        <f>IF(AK189="","",IF(VLOOKUP(AK189,'G-7 Rivers Data'!$AD$4:$AE$8,2,FALSE)=0,"Spatial Data Missing ⚠",VLOOKUP(AK189,'G-7 Rivers Data'!$AD$4:$AE$8,2,FALSE)))</f>
        <v/>
      </c>
      <c r="AM189" s="154"/>
      <c r="AN189" s="524" t="str">
        <f>IF(AM189="","",VLOOKUP(AM189,'G-7 Rivers Data'!$AO$4:$AP$7,2,FALSE))</f>
        <v/>
      </c>
      <c r="AO189" s="545" t="str">
        <f t="shared" si="23"/>
        <v/>
      </c>
      <c r="AP189" s="149"/>
      <c r="AQ189" s="150"/>
      <c r="AX189" s="31" t="str">
        <f>IFERROR(INDEX('G-7 Rivers Data'!$AZ$3:$AZ$7,MATCH(N189,'G-7 Rivers Data'!$AY$3:$AY$7,0)),"")</f>
        <v/>
      </c>
    </row>
    <row r="190" spans="2:50" ht="14" x14ac:dyDescent="0.3">
      <c r="B190" s="531" t="str">
        <f>'F-1 Off Site River Baseline'!AN188</f>
        <v/>
      </c>
      <c r="C190" s="520" t="str">
        <f>IF(B190="","",VLOOKUP($B190,'F-1 Off Site River Baseline'!$C$9:$R$257,2,FALSE))</f>
        <v/>
      </c>
      <c r="D190" s="520" t="str">
        <f>IF(C190="","",VLOOKUP($B190,'F-1 Off Site River Baseline'!$C$9:$R$257,3,FALSE))</f>
        <v/>
      </c>
      <c r="E190" s="520" t="str">
        <f>IF(D190="","",VLOOKUP($B190,'F-1 Off Site River Baseline'!$C$9:$R$257,4,FALSE))</f>
        <v/>
      </c>
      <c r="F190" s="520" t="str">
        <f>IF(E190="","",VLOOKUP($B190,'F-1 Off Site River Baseline'!$C$9:$R$257,5,FALSE))</f>
        <v/>
      </c>
      <c r="G190" s="520" t="str">
        <f>IF(F190="","",VLOOKUP($B190,'F-1 Off Site River Baseline'!$C$9:$R$257,6,FALSE))</f>
        <v/>
      </c>
      <c r="H190" s="520" t="str">
        <f>IF(G190="","",VLOOKUP($B190,'F-1 Off Site River Baseline'!$C$9:$R$257,7,FALSE))</f>
        <v/>
      </c>
      <c r="I190" s="520" t="str">
        <f>IF(H190="","",VLOOKUP($B190,'F-1 Off Site River Baseline'!$C$9:$R$257,8,FALSE))</f>
        <v/>
      </c>
      <c r="J190" s="520" t="str">
        <f>IF(I190="","",VLOOKUP($B190,'F-1 Off Site River Baseline'!$C$9:$R$257,9,FALSE))</f>
        <v/>
      </c>
      <c r="K190" s="520" t="str">
        <f>IF(J190="","",VLOOKUP($B190,'F-1 Off Site River Baseline'!$C$9:$R$257,10,FALSE))</f>
        <v/>
      </c>
      <c r="L190" s="520" t="str">
        <f>IF(B190="","",VLOOKUP($B190,'C-1 Site River Baseline'!$C$9:$R$257,15,FALSE))</f>
        <v/>
      </c>
      <c r="M190" s="524" t="str">
        <f>IF(L190="","",VLOOKUP($B190,'F-1 Off Site River Baseline'!$C$9:$R$257,16,FALSE))</f>
        <v/>
      </c>
      <c r="N190" s="418" t="str">
        <f t="shared" si="20"/>
        <v/>
      </c>
      <c r="O190" s="498" t="str">
        <f t="shared" si="21"/>
        <v/>
      </c>
      <c r="P190" s="499" t="str">
        <f>IF(C190="","",IF(AND(LEFT(C190,55)&lt;&gt;LEFT(N190,55),O190="High - High"),"Error - Not like for like ▲",IF(AND(F190=S190,H190&gt;U190),"Error - Can not reduce condition ▲",IF(AND(F190=S190,H190=U190,AJ190='F-1 Off Site River Baseline'!N188,'F-1 Off Site River Baseline'!P188=AL190),"Error - No enhancement ▲",IF(AND(C190&lt;&gt;N190,F190&lt;S190),"Lower Distinctiveness Habitat"&amp;" - "&amp;T190,G190&amp;" - "&amp;T190)))))</f>
        <v/>
      </c>
      <c r="Q190" s="505" t="str">
        <f>IF(N190="","",VLOOKUP(B190,'F-1 Off Site River Baseline'!$C$10:$AA$257,19,FALSE))</f>
        <v/>
      </c>
      <c r="R190" s="498" t="str">
        <f>IF(N190="","",VLOOKUP(N190,'G-7 Rivers Data'!$B$2:$G$8,2,FALSE))</f>
        <v/>
      </c>
      <c r="S190" s="499" t="str">
        <f>IFERROR(VLOOKUP(R190,'G-7 Rivers Data'!$C$4:$D$8,2,FALSE),"")</f>
        <v/>
      </c>
      <c r="T190" s="145"/>
      <c r="U190" s="499" t="str">
        <f>IFERROR(INDEX('G-7 Rivers Data'!$H$4:$L$8,MATCH(N190,'G-7 Rivers Data'!$B$4:$B$8,0),MATCH(T190,'G-7 Rivers Data'!$H$3:$L$3,0)),"")</f>
        <v/>
      </c>
      <c r="V190" s="154"/>
      <c r="W190" s="520" t="str">
        <f>IF(V190="","",IF(VLOOKUP(V190,'G-7 Rivers Data'!$AG$4:$AI$9,2,FALSE)=0,"Spatial Data Missing ⚠",VLOOKUP(V190,'G-7 Rivers Data'!$AG$4:$AI$9,2,FALSE)))</f>
        <v/>
      </c>
      <c r="X190" s="524" t="str">
        <f>IF(V190="","",IF(VLOOKUP(V190,'G-7 Rivers Data'!$AG$4:$AI$9,3,FALSE)=0,"Spatial Data Missing ⚠",VLOOKUP(V190,'G-7 Rivers Data'!$AG$4:$AI$9,3,FALSE)))</f>
        <v/>
      </c>
      <c r="Y190" s="537" t="str">
        <f>IFERROR(IF(OR(LEFT(P190,5)="Error ▲",LEFT(O190,5)="Error ▲"),"Check Data ⚠",IF(F190&lt;S190,'G-7 Rivers Data'!$R$3,INDEX('G-7 Rivers Data'!$U$5:$Y$9,MATCH(G190,'G-7 Rivers Data'!$T$5:$T$9,0),MATCH(T190,'G-7 Rivers Data'!$U$4:$Y$4,0)))),"")</f>
        <v/>
      </c>
      <c r="Z190" s="203"/>
      <c r="AA190" s="203"/>
      <c r="AB190" s="534" t="str">
        <f t="shared" si="16"/>
        <v/>
      </c>
      <c r="AC190" s="521" t="str">
        <f t="shared" si="17"/>
        <v/>
      </c>
      <c r="AD190" s="564" t="str">
        <f>IFERROR(IF(AC190="Check Data ⚠","Check Data ⚠",VLOOKUP(AC190,'G-4 Temporal multipliers'!$A$4:$C$37,3,FALSE)),"")</f>
        <v/>
      </c>
      <c r="AE190" s="537" t="str">
        <f>IF(N190="","",VLOOKUP(N190,'G-7 Rivers Data'!$B$4:$G$8,5,FALSE))</f>
        <v/>
      </c>
      <c r="AF190" s="520" t="str">
        <f t="shared" si="18"/>
        <v/>
      </c>
      <c r="AG190" s="520" t="str">
        <f t="shared" si="22"/>
        <v/>
      </c>
      <c r="AH190" s="524" t="str">
        <f t="shared" si="19"/>
        <v/>
      </c>
      <c r="AI190" s="145"/>
      <c r="AJ190" s="499" t="str">
        <f>IF(AI190="","",IF(VLOOKUP(AI190,'G-7 Rivers Data'!$AA$4:$AB$7,2,FALSE)=0,"Spatial Data Missing ⚠",VLOOKUP(AI190,'G-7 Rivers Data'!$AA$4:$AB$7,2,FALSE)))</f>
        <v/>
      </c>
      <c r="AK190" s="155"/>
      <c r="AL190" s="536" t="str">
        <f>IF(AK190="","",IF(VLOOKUP(AK190,'G-7 Rivers Data'!$AD$4:$AE$8,2,FALSE)=0,"Spatial Data Missing ⚠",VLOOKUP(AK190,'G-7 Rivers Data'!$AD$4:$AE$8,2,FALSE)))</f>
        <v/>
      </c>
      <c r="AM190" s="154"/>
      <c r="AN190" s="524" t="str">
        <f>IF(AM190="","",VLOOKUP(AM190,'G-7 Rivers Data'!$AO$4:$AP$7,2,FALSE))</f>
        <v/>
      </c>
      <c r="AO190" s="545" t="str">
        <f t="shared" si="23"/>
        <v/>
      </c>
      <c r="AP190" s="149"/>
      <c r="AQ190" s="150"/>
      <c r="AX190" s="31" t="str">
        <f>IFERROR(INDEX('G-7 Rivers Data'!$AZ$3:$AZ$7,MATCH(N190,'G-7 Rivers Data'!$AY$3:$AY$7,0)),"")</f>
        <v/>
      </c>
    </row>
    <row r="191" spans="2:50" ht="14" x14ac:dyDescent="0.3">
      <c r="B191" s="531" t="str">
        <f>'F-1 Off Site River Baseline'!AN189</f>
        <v/>
      </c>
      <c r="C191" s="520" t="str">
        <f>IF(B191="","",VLOOKUP($B191,'F-1 Off Site River Baseline'!$C$9:$R$257,2,FALSE))</f>
        <v/>
      </c>
      <c r="D191" s="520" t="str">
        <f>IF(C191="","",VLOOKUP($B191,'F-1 Off Site River Baseline'!$C$9:$R$257,3,FALSE))</f>
        <v/>
      </c>
      <c r="E191" s="520" t="str">
        <f>IF(D191="","",VLOOKUP($B191,'F-1 Off Site River Baseline'!$C$9:$R$257,4,FALSE))</f>
        <v/>
      </c>
      <c r="F191" s="520" t="str">
        <f>IF(E191="","",VLOOKUP($B191,'F-1 Off Site River Baseline'!$C$9:$R$257,5,FALSE))</f>
        <v/>
      </c>
      <c r="G191" s="520" t="str">
        <f>IF(F191="","",VLOOKUP($B191,'F-1 Off Site River Baseline'!$C$9:$R$257,6,FALSE))</f>
        <v/>
      </c>
      <c r="H191" s="520" t="str">
        <f>IF(G191="","",VLOOKUP($B191,'F-1 Off Site River Baseline'!$C$9:$R$257,7,FALSE))</f>
        <v/>
      </c>
      <c r="I191" s="520" t="str">
        <f>IF(H191="","",VLOOKUP($B191,'F-1 Off Site River Baseline'!$C$9:$R$257,8,FALSE))</f>
        <v/>
      </c>
      <c r="J191" s="520" t="str">
        <f>IF(I191="","",VLOOKUP($B191,'F-1 Off Site River Baseline'!$C$9:$R$257,9,FALSE))</f>
        <v/>
      </c>
      <c r="K191" s="520" t="str">
        <f>IF(J191="","",VLOOKUP($B191,'F-1 Off Site River Baseline'!$C$9:$R$257,10,FALSE))</f>
        <v/>
      </c>
      <c r="L191" s="520" t="str">
        <f>IF(B191="","",VLOOKUP($B191,'C-1 Site River Baseline'!$C$9:$R$257,15,FALSE))</f>
        <v/>
      </c>
      <c r="M191" s="524" t="str">
        <f>IF(L191="","",VLOOKUP($B191,'F-1 Off Site River Baseline'!$C$9:$R$257,16,FALSE))</f>
        <v/>
      </c>
      <c r="N191" s="418" t="str">
        <f t="shared" si="20"/>
        <v/>
      </c>
      <c r="O191" s="498" t="str">
        <f t="shared" si="21"/>
        <v/>
      </c>
      <c r="P191" s="499" t="str">
        <f>IF(C191="","",IF(AND(LEFT(C191,55)&lt;&gt;LEFT(N191,55),O191="High - High"),"Error - Not like for like ▲",IF(AND(F191=S191,H191&gt;U191),"Error - Can not reduce condition ▲",IF(AND(F191=S191,H191=U191,AJ191='F-1 Off Site River Baseline'!N189,'F-1 Off Site River Baseline'!P189=AL191),"Error - No enhancement ▲",IF(AND(C191&lt;&gt;N191,F191&lt;S191),"Lower Distinctiveness Habitat"&amp;" - "&amp;T191,G191&amp;" - "&amp;T191)))))</f>
        <v/>
      </c>
      <c r="Q191" s="505" t="str">
        <f>IF(N191="","",VLOOKUP(B191,'F-1 Off Site River Baseline'!$C$10:$AA$257,19,FALSE))</f>
        <v/>
      </c>
      <c r="R191" s="498" t="str">
        <f>IF(N191="","",VLOOKUP(N191,'G-7 Rivers Data'!$B$2:$G$8,2,FALSE))</f>
        <v/>
      </c>
      <c r="S191" s="499" t="str">
        <f>IFERROR(VLOOKUP(R191,'G-7 Rivers Data'!$C$4:$D$8,2,FALSE),"")</f>
        <v/>
      </c>
      <c r="T191" s="145"/>
      <c r="U191" s="499" t="str">
        <f>IFERROR(INDEX('G-7 Rivers Data'!$H$4:$L$8,MATCH(N191,'G-7 Rivers Data'!$B$4:$B$8,0),MATCH(T191,'G-7 Rivers Data'!$H$3:$L$3,0)),"")</f>
        <v/>
      </c>
      <c r="V191" s="154"/>
      <c r="W191" s="520" t="str">
        <f>IF(V191="","",IF(VLOOKUP(V191,'G-7 Rivers Data'!$AG$4:$AI$9,2,FALSE)=0,"Spatial Data Missing ⚠",VLOOKUP(V191,'G-7 Rivers Data'!$AG$4:$AI$9,2,FALSE)))</f>
        <v/>
      </c>
      <c r="X191" s="524" t="str">
        <f>IF(V191="","",IF(VLOOKUP(V191,'G-7 Rivers Data'!$AG$4:$AI$9,3,FALSE)=0,"Spatial Data Missing ⚠",VLOOKUP(V191,'G-7 Rivers Data'!$AG$4:$AI$9,3,FALSE)))</f>
        <v/>
      </c>
      <c r="Y191" s="537" t="str">
        <f>IFERROR(IF(OR(LEFT(P191,5)="Error ▲",LEFT(O191,5)="Error ▲"),"Check Data ⚠",IF(F191&lt;S191,'G-7 Rivers Data'!$R$3,INDEX('G-7 Rivers Data'!$U$5:$Y$9,MATCH(G191,'G-7 Rivers Data'!$T$5:$T$9,0),MATCH(T191,'G-7 Rivers Data'!$U$4:$Y$4,0)))),"")</f>
        <v/>
      </c>
      <c r="Z191" s="203"/>
      <c r="AA191" s="203"/>
      <c r="AB191" s="534" t="str">
        <f t="shared" si="16"/>
        <v/>
      </c>
      <c r="AC191" s="521" t="str">
        <f t="shared" si="17"/>
        <v/>
      </c>
      <c r="AD191" s="564" t="str">
        <f>IFERROR(IF(AC191="Check Data ⚠","Check Data ⚠",VLOOKUP(AC191,'G-4 Temporal multipliers'!$A$4:$C$37,3,FALSE)),"")</f>
        <v/>
      </c>
      <c r="AE191" s="537" t="str">
        <f>IF(N191="","",VLOOKUP(N191,'G-7 Rivers Data'!$B$4:$G$8,5,FALSE))</f>
        <v/>
      </c>
      <c r="AF191" s="520" t="str">
        <f t="shared" si="18"/>
        <v/>
      </c>
      <c r="AG191" s="520" t="str">
        <f t="shared" si="22"/>
        <v/>
      </c>
      <c r="AH191" s="524" t="str">
        <f t="shared" si="19"/>
        <v/>
      </c>
      <c r="AI191" s="145"/>
      <c r="AJ191" s="499" t="str">
        <f>IF(AI191="","",IF(VLOOKUP(AI191,'G-7 Rivers Data'!$AA$4:$AB$7,2,FALSE)=0,"Spatial Data Missing ⚠",VLOOKUP(AI191,'G-7 Rivers Data'!$AA$4:$AB$7,2,FALSE)))</f>
        <v/>
      </c>
      <c r="AK191" s="155"/>
      <c r="AL191" s="536" t="str">
        <f>IF(AK191="","",IF(VLOOKUP(AK191,'G-7 Rivers Data'!$AD$4:$AE$8,2,FALSE)=0,"Spatial Data Missing ⚠",VLOOKUP(AK191,'G-7 Rivers Data'!$AD$4:$AE$8,2,FALSE)))</f>
        <v/>
      </c>
      <c r="AM191" s="154"/>
      <c r="AN191" s="524" t="str">
        <f>IF(AM191="","",VLOOKUP(AM191,'G-7 Rivers Data'!$AO$4:$AP$7,2,FALSE))</f>
        <v/>
      </c>
      <c r="AO191" s="545" t="str">
        <f t="shared" si="23"/>
        <v/>
      </c>
      <c r="AP191" s="149"/>
      <c r="AQ191" s="150"/>
      <c r="AX191" s="31" t="str">
        <f>IFERROR(INDEX('G-7 Rivers Data'!$AZ$3:$AZ$7,MATCH(N191,'G-7 Rivers Data'!$AY$3:$AY$7,0)),"")</f>
        <v/>
      </c>
    </row>
    <row r="192" spans="2:50" ht="14" x14ac:dyDescent="0.3">
      <c r="B192" s="531" t="str">
        <f>'F-1 Off Site River Baseline'!AN190</f>
        <v/>
      </c>
      <c r="C192" s="520" t="str">
        <f>IF(B192="","",VLOOKUP($B192,'F-1 Off Site River Baseline'!$C$9:$R$257,2,FALSE))</f>
        <v/>
      </c>
      <c r="D192" s="520" t="str">
        <f>IF(C192="","",VLOOKUP($B192,'F-1 Off Site River Baseline'!$C$9:$R$257,3,FALSE))</f>
        <v/>
      </c>
      <c r="E192" s="520" t="str">
        <f>IF(D192="","",VLOOKUP($B192,'F-1 Off Site River Baseline'!$C$9:$R$257,4,FALSE))</f>
        <v/>
      </c>
      <c r="F192" s="520" t="str">
        <f>IF(E192="","",VLOOKUP($B192,'F-1 Off Site River Baseline'!$C$9:$R$257,5,FALSE))</f>
        <v/>
      </c>
      <c r="G192" s="520" t="str">
        <f>IF(F192="","",VLOOKUP($B192,'F-1 Off Site River Baseline'!$C$9:$R$257,6,FALSE))</f>
        <v/>
      </c>
      <c r="H192" s="520" t="str">
        <f>IF(G192="","",VLOOKUP($B192,'F-1 Off Site River Baseline'!$C$9:$R$257,7,FALSE))</f>
        <v/>
      </c>
      <c r="I192" s="520" t="str">
        <f>IF(H192="","",VLOOKUP($B192,'F-1 Off Site River Baseline'!$C$9:$R$257,8,FALSE))</f>
        <v/>
      </c>
      <c r="J192" s="520" t="str">
        <f>IF(I192="","",VLOOKUP($B192,'F-1 Off Site River Baseline'!$C$9:$R$257,9,FALSE))</f>
        <v/>
      </c>
      <c r="K192" s="520" t="str">
        <f>IF(J192="","",VLOOKUP($B192,'F-1 Off Site River Baseline'!$C$9:$R$257,10,FALSE))</f>
        <v/>
      </c>
      <c r="L192" s="520" t="str">
        <f>IF(B192="","",VLOOKUP($B192,'C-1 Site River Baseline'!$C$9:$R$257,15,FALSE))</f>
        <v/>
      </c>
      <c r="M192" s="524" t="str">
        <f>IF(L192="","",VLOOKUP($B192,'F-1 Off Site River Baseline'!$C$9:$R$257,16,FALSE))</f>
        <v/>
      </c>
      <c r="N192" s="418" t="str">
        <f t="shared" si="20"/>
        <v/>
      </c>
      <c r="O192" s="498" t="str">
        <f t="shared" si="21"/>
        <v/>
      </c>
      <c r="P192" s="499" t="str">
        <f>IF(C192="","",IF(AND(LEFT(C192,55)&lt;&gt;LEFT(N192,55),O192="High - High"),"Error - Not like for like ▲",IF(AND(F192=S192,H192&gt;U192),"Error - Can not reduce condition ▲",IF(AND(F192=S192,H192=U192,AJ192='F-1 Off Site River Baseline'!N190,'F-1 Off Site River Baseline'!P190=AL192),"Error - No enhancement ▲",IF(AND(C192&lt;&gt;N192,F192&lt;S192),"Lower Distinctiveness Habitat"&amp;" - "&amp;T192,G192&amp;" - "&amp;T192)))))</f>
        <v/>
      </c>
      <c r="Q192" s="505" t="str">
        <f>IF(N192="","",VLOOKUP(B192,'F-1 Off Site River Baseline'!$C$10:$AA$257,19,FALSE))</f>
        <v/>
      </c>
      <c r="R192" s="498" t="str">
        <f>IF(N192="","",VLOOKUP(N192,'G-7 Rivers Data'!$B$2:$G$8,2,FALSE))</f>
        <v/>
      </c>
      <c r="S192" s="499" t="str">
        <f>IFERROR(VLOOKUP(R192,'G-7 Rivers Data'!$C$4:$D$8,2,FALSE),"")</f>
        <v/>
      </c>
      <c r="T192" s="145"/>
      <c r="U192" s="499" t="str">
        <f>IFERROR(INDEX('G-7 Rivers Data'!$H$4:$L$8,MATCH(N192,'G-7 Rivers Data'!$B$4:$B$8,0),MATCH(T192,'G-7 Rivers Data'!$H$3:$L$3,0)),"")</f>
        <v/>
      </c>
      <c r="V192" s="154"/>
      <c r="W192" s="520" t="str">
        <f>IF(V192="","",IF(VLOOKUP(V192,'G-7 Rivers Data'!$AG$4:$AI$9,2,FALSE)=0,"Spatial Data Missing ⚠",VLOOKUP(V192,'G-7 Rivers Data'!$AG$4:$AI$9,2,FALSE)))</f>
        <v/>
      </c>
      <c r="X192" s="524" t="str">
        <f>IF(V192="","",IF(VLOOKUP(V192,'G-7 Rivers Data'!$AG$4:$AI$9,3,FALSE)=0,"Spatial Data Missing ⚠",VLOOKUP(V192,'G-7 Rivers Data'!$AG$4:$AI$9,3,FALSE)))</f>
        <v/>
      </c>
      <c r="Y192" s="537" t="str">
        <f>IFERROR(IF(OR(LEFT(P192,5)="Error ▲",LEFT(O192,5)="Error ▲"),"Check Data ⚠",IF(F192&lt;S192,'G-7 Rivers Data'!$R$3,INDEX('G-7 Rivers Data'!$U$5:$Y$9,MATCH(G192,'G-7 Rivers Data'!$T$5:$T$9,0),MATCH(T192,'G-7 Rivers Data'!$U$4:$Y$4,0)))),"")</f>
        <v/>
      </c>
      <c r="Z192" s="203"/>
      <c r="AA192" s="203"/>
      <c r="AB192" s="534" t="str">
        <f t="shared" si="16"/>
        <v/>
      </c>
      <c r="AC192" s="521" t="str">
        <f t="shared" si="17"/>
        <v/>
      </c>
      <c r="AD192" s="564" t="str">
        <f>IFERROR(IF(AC192="Check Data ⚠","Check Data ⚠",VLOOKUP(AC192,'G-4 Temporal multipliers'!$A$4:$C$37,3,FALSE)),"")</f>
        <v/>
      </c>
      <c r="AE192" s="537" t="str">
        <f>IF(N192="","",VLOOKUP(N192,'G-7 Rivers Data'!$B$4:$G$8,5,FALSE))</f>
        <v/>
      </c>
      <c r="AF192" s="520" t="str">
        <f t="shared" si="18"/>
        <v/>
      </c>
      <c r="AG192" s="520" t="str">
        <f t="shared" si="22"/>
        <v/>
      </c>
      <c r="AH192" s="524" t="str">
        <f t="shared" si="19"/>
        <v/>
      </c>
      <c r="AI192" s="145"/>
      <c r="AJ192" s="499" t="str">
        <f>IF(AI192="","",IF(VLOOKUP(AI192,'G-7 Rivers Data'!$AA$4:$AB$7,2,FALSE)=0,"Spatial Data Missing ⚠",VLOOKUP(AI192,'G-7 Rivers Data'!$AA$4:$AB$7,2,FALSE)))</f>
        <v/>
      </c>
      <c r="AK192" s="155"/>
      <c r="AL192" s="536" t="str">
        <f>IF(AK192="","",IF(VLOOKUP(AK192,'G-7 Rivers Data'!$AD$4:$AE$8,2,FALSE)=0,"Spatial Data Missing ⚠",VLOOKUP(AK192,'G-7 Rivers Data'!$AD$4:$AE$8,2,FALSE)))</f>
        <v/>
      </c>
      <c r="AM192" s="154"/>
      <c r="AN192" s="524" t="str">
        <f>IF(AM192="","",VLOOKUP(AM192,'G-7 Rivers Data'!$AO$4:$AP$7,2,FALSE))</f>
        <v/>
      </c>
      <c r="AO192" s="545" t="str">
        <f t="shared" si="23"/>
        <v/>
      </c>
      <c r="AP192" s="149"/>
      <c r="AQ192" s="150"/>
      <c r="AX192" s="31" t="str">
        <f>IFERROR(INDEX('G-7 Rivers Data'!$AZ$3:$AZ$7,MATCH(N192,'G-7 Rivers Data'!$AY$3:$AY$7,0)),"")</f>
        <v/>
      </c>
    </row>
    <row r="193" spans="2:50" ht="14" x14ac:dyDescent="0.3">
      <c r="B193" s="531" t="str">
        <f>'F-1 Off Site River Baseline'!AN191</f>
        <v/>
      </c>
      <c r="C193" s="520" t="str">
        <f>IF(B193="","",VLOOKUP($B193,'F-1 Off Site River Baseline'!$C$9:$R$257,2,FALSE))</f>
        <v/>
      </c>
      <c r="D193" s="520" t="str">
        <f>IF(C193="","",VLOOKUP($B193,'F-1 Off Site River Baseline'!$C$9:$R$257,3,FALSE))</f>
        <v/>
      </c>
      <c r="E193" s="520" t="str">
        <f>IF(D193="","",VLOOKUP($B193,'F-1 Off Site River Baseline'!$C$9:$R$257,4,FALSE))</f>
        <v/>
      </c>
      <c r="F193" s="520" t="str">
        <f>IF(E193="","",VLOOKUP($B193,'F-1 Off Site River Baseline'!$C$9:$R$257,5,FALSE))</f>
        <v/>
      </c>
      <c r="G193" s="520" t="str">
        <f>IF(F193="","",VLOOKUP($B193,'F-1 Off Site River Baseline'!$C$9:$R$257,6,FALSE))</f>
        <v/>
      </c>
      <c r="H193" s="520" t="str">
        <f>IF(G193="","",VLOOKUP($B193,'F-1 Off Site River Baseline'!$C$9:$R$257,7,FALSE))</f>
        <v/>
      </c>
      <c r="I193" s="520" t="str">
        <f>IF(H193="","",VLOOKUP($B193,'F-1 Off Site River Baseline'!$C$9:$R$257,8,FALSE))</f>
        <v/>
      </c>
      <c r="J193" s="520" t="str">
        <f>IF(I193="","",VLOOKUP($B193,'F-1 Off Site River Baseline'!$C$9:$R$257,9,FALSE))</f>
        <v/>
      </c>
      <c r="K193" s="520" t="str">
        <f>IF(J193="","",VLOOKUP($B193,'F-1 Off Site River Baseline'!$C$9:$R$257,10,FALSE))</f>
        <v/>
      </c>
      <c r="L193" s="520" t="str">
        <f>IF(B193="","",VLOOKUP($B193,'C-1 Site River Baseline'!$C$9:$R$257,15,FALSE))</f>
        <v/>
      </c>
      <c r="M193" s="524" t="str">
        <f>IF(L193="","",VLOOKUP($B193,'F-1 Off Site River Baseline'!$C$9:$R$257,16,FALSE))</f>
        <v/>
      </c>
      <c r="N193" s="418" t="str">
        <f t="shared" si="20"/>
        <v/>
      </c>
      <c r="O193" s="498" t="str">
        <f t="shared" si="21"/>
        <v/>
      </c>
      <c r="P193" s="499" t="str">
        <f>IF(C193="","",IF(AND(LEFT(C193,55)&lt;&gt;LEFT(N193,55),O193="High - High"),"Error - Not like for like ▲",IF(AND(F193=S193,H193&gt;U193),"Error - Can not reduce condition ▲",IF(AND(F193=S193,H193=U193,AJ193='F-1 Off Site River Baseline'!N191,'F-1 Off Site River Baseline'!P191=AL193),"Error - No enhancement ▲",IF(AND(C193&lt;&gt;N193,F193&lt;S193),"Lower Distinctiveness Habitat"&amp;" - "&amp;T193,G193&amp;" - "&amp;T193)))))</f>
        <v/>
      </c>
      <c r="Q193" s="505" t="str">
        <f>IF(N193="","",VLOOKUP(B193,'F-1 Off Site River Baseline'!$C$10:$AA$257,19,FALSE))</f>
        <v/>
      </c>
      <c r="R193" s="498" t="str">
        <f>IF(N193="","",VLOOKUP(N193,'G-7 Rivers Data'!$B$2:$G$8,2,FALSE))</f>
        <v/>
      </c>
      <c r="S193" s="499" t="str">
        <f>IFERROR(VLOOKUP(R193,'G-7 Rivers Data'!$C$4:$D$8,2,FALSE),"")</f>
        <v/>
      </c>
      <c r="T193" s="145"/>
      <c r="U193" s="499" t="str">
        <f>IFERROR(INDEX('G-7 Rivers Data'!$H$4:$L$8,MATCH(N193,'G-7 Rivers Data'!$B$4:$B$8,0),MATCH(T193,'G-7 Rivers Data'!$H$3:$L$3,0)),"")</f>
        <v/>
      </c>
      <c r="V193" s="154"/>
      <c r="W193" s="520" t="str">
        <f>IF(V193="","",IF(VLOOKUP(V193,'G-7 Rivers Data'!$AG$4:$AI$9,2,FALSE)=0,"Spatial Data Missing ⚠",VLOOKUP(V193,'G-7 Rivers Data'!$AG$4:$AI$9,2,FALSE)))</f>
        <v/>
      </c>
      <c r="X193" s="524" t="str">
        <f>IF(V193="","",IF(VLOOKUP(V193,'G-7 Rivers Data'!$AG$4:$AI$9,3,FALSE)=0,"Spatial Data Missing ⚠",VLOOKUP(V193,'G-7 Rivers Data'!$AG$4:$AI$9,3,FALSE)))</f>
        <v/>
      </c>
      <c r="Y193" s="537" t="str">
        <f>IFERROR(IF(OR(LEFT(P193,5)="Error ▲",LEFT(O193,5)="Error ▲"),"Check Data ⚠",IF(F193&lt;S193,'G-7 Rivers Data'!$R$3,INDEX('G-7 Rivers Data'!$U$5:$Y$9,MATCH(G193,'G-7 Rivers Data'!$T$5:$T$9,0),MATCH(T193,'G-7 Rivers Data'!$U$4:$Y$4,0)))),"")</f>
        <v/>
      </c>
      <c r="Z193" s="203"/>
      <c r="AA193" s="203"/>
      <c r="AB193" s="534" t="str">
        <f t="shared" si="16"/>
        <v/>
      </c>
      <c r="AC193" s="521" t="str">
        <f t="shared" si="17"/>
        <v/>
      </c>
      <c r="AD193" s="564" t="str">
        <f>IFERROR(IF(AC193="Check Data ⚠","Check Data ⚠",VLOOKUP(AC193,'G-4 Temporal multipliers'!$A$4:$C$37,3,FALSE)),"")</f>
        <v/>
      </c>
      <c r="AE193" s="537" t="str">
        <f>IF(N193="","",VLOOKUP(N193,'G-7 Rivers Data'!$B$4:$G$8,5,FALSE))</f>
        <v/>
      </c>
      <c r="AF193" s="520" t="str">
        <f t="shared" si="18"/>
        <v/>
      </c>
      <c r="AG193" s="520" t="str">
        <f t="shared" si="22"/>
        <v/>
      </c>
      <c r="AH193" s="524" t="str">
        <f t="shared" si="19"/>
        <v/>
      </c>
      <c r="AI193" s="145"/>
      <c r="AJ193" s="499" t="str">
        <f>IF(AI193="","",IF(VLOOKUP(AI193,'G-7 Rivers Data'!$AA$4:$AB$7,2,FALSE)=0,"Spatial Data Missing ⚠",VLOOKUP(AI193,'G-7 Rivers Data'!$AA$4:$AB$7,2,FALSE)))</f>
        <v/>
      </c>
      <c r="AK193" s="155"/>
      <c r="AL193" s="536" t="str">
        <f>IF(AK193="","",IF(VLOOKUP(AK193,'G-7 Rivers Data'!$AD$4:$AE$8,2,FALSE)=0,"Spatial Data Missing ⚠",VLOOKUP(AK193,'G-7 Rivers Data'!$AD$4:$AE$8,2,FALSE)))</f>
        <v/>
      </c>
      <c r="AM193" s="154"/>
      <c r="AN193" s="524" t="str">
        <f>IF(AM193="","",VLOOKUP(AM193,'G-7 Rivers Data'!$AO$4:$AP$7,2,FALSE))</f>
        <v/>
      </c>
      <c r="AO193" s="545" t="str">
        <f t="shared" si="23"/>
        <v/>
      </c>
      <c r="AP193" s="149"/>
      <c r="AQ193" s="150"/>
      <c r="AX193" s="31" t="str">
        <f>IFERROR(INDEX('G-7 Rivers Data'!$AZ$3:$AZ$7,MATCH(N193,'G-7 Rivers Data'!$AY$3:$AY$7,0)),"")</f>
        <v/>
      </c>
    </row>
    <row r="194" spans="2:50" ht="14" x14ac:dyDescent="0.3">
      <c r="B194" s="531" t="str">
        <f>'F-1 Off Site River Baseline'!AN192</f>
        <v/>
      </c>
      <c r="C194" s="520" t="str">
        <f>IF(B194="","",VLOOKUP($B194,'F-1 Off Site River Baseline'!$C$9:$R$257,2,FALSE))</f>
        <v/>
      </c>
      <c r="D194" s="520" t="str">
        <f>IF(C194="","",VLOOKUP($B194,'F-1 Off Site River Baseline'!$C$9:$R$257,3,FALSE))</f>
        <v/>
      </c>
      <c r="E194" s="520" t="str">
        <f>IF(D194="","",VLOOKUP($B194,'F-1 Off Site River Baseline'!$C$9:$R$257,4,FALSE))</f>
        <v/>
      </c>
      <c r="F194" s="520" t="str">
        <f>IF(E194="","",VLOOKUP($B194,'F-1 Off Site River Baseline'!$C$9:$R$257,5,FALSE))</f>
        <v/>
      </c>
      <c r="G194" s="520" t="str">
        <f>IF(F194="","",VLOOKUP($B194,'F-1 Off Site River Baseline'!$C$9:$R$257,6,FALSE))</f>
        <v/>
      </c>
      <c r="H194" s="520" t="str">
        <f>IF(G194="","",VLOOKUP($B194,'F-1 Off Site River Baseline'!$C$9:$R$257,7,FALSE))</f>
        <v/>
      </c>
      <c r="I194" s="520" t="str">
        <f>IF(H194="","",VLOOKUP($B194,'F-1 Off Site River Baseline'!$C$9:$R$257,8,FALSE))</f>
        <v/>
      </c>
      <c r="J194" s="520" t="str">
        <f>IF(I194="","",VLOOKUP($B194,'F-1 Off Site River Baseline'!$C$9:$R$257,9,FALSE))</f>
        <v/>
      </c>
      <c r="K194" s="520" t="str">
        <f>IF(J194="","",VLOOKUP($B194,'F-1 Off Site River Baseline'!$C$9:$R$257,10,FALSE))</f>
        <v/>
      </c>
      <c r="L194" s="520" t="str">
        <f>IF(B194="","",VLOOKUP($B194,'C-1 Site River Baseline'!$C$9:$R$257,15,FALSE))</f>
        <v/>
      </c>
      <c r="M194" s="524" t="str">
        <f>IF(L194="","",VLOOKUP($B194,'F-1 Off Site River Baseline'!$C$9:$R$257,16,FALSE))</f>
        <v/>
      </c>
      <c r="N194" s="418" t="str">
        <f t="shared" si="20"/>
        <v/>
      </c>
      <c r="O194" s="498" t="str">
        <f t="shared" si="21"/>
        <v/>
      </c>
      <c r="P194" s="499" t="str">
        <f>IF(C194="","",IF(AND(LEFT(C194,55)&lt;&gt;LEFT(N194,55),O194="High - High"),"Error - Not like for like ▲",IF(AND(F194=S194,H194&gt;U194),"Error - Can not reduce condition ▲",IF(AND(F194=S194,H194=U194,AJ194='F-1 Off Site River Baseline'!N192,'F-1 Off Site River Baseline'!P192=AL194),"Error - No enhancement ▲",IF(AND(C194&lt;&gt;N194,F194&lt;S194),"Lower Distinctiveness Habitat"&amp;" - "&amp;T194,G194&amp;" - "&amp;T194)))))</f>
        <v/>
      </c>
      <c r="Q194" s="505" t="str">
        <f>IF(N194="","",VLOOKUP(B194,'F-1 Off Site River Baseline'!$C$10:$AA$257,19,FALSE))</f>
        <v/>
      </c>
      <c r="R194" s="498" t="str">
        <f>IF(N194="","",VLOOKUP(N194,'G-7 Rivers Data'!$B$2:$G$8,2,FALSE))</f>
        <v/>
      </c>
      <c r="S194" s="499" t="str">
        <f>IFERROR(VLOOKUP(R194,'G-7 Rivers Data'!$C$4:$D$8,2,FALSE),"")</f>
        <v/>
      </c>
      <c r="T194" s="145"/>
      <c r="U194" s="499" t="str">
        <f>IFERROR(INDEX('G-7 Rivers Data'!$H$4:$L$8,MATCH(N194,'G-7 Rivers Data'!$B$4:$B$8,0),MATCH(T194,'G-7 Rivers Data'!$H$3:$L$3,0)),"")</f>
        <v/>
      </c>
      <c r="V194" s="154"/>
      <c r="W194" s="520" t="str">
        <f>IF(V194="","",IF(VLOOKUP(V194,'G-7 Rivers Data'!$AG$4:$AI$9,2,FALSE)=0,"Spatial Data Missing ⚠",VLOOKUP(V194,'G-7 Rivers Data'!$AG$4:$AI$9,2,FALSE)))</f>
        <v/>
      </c>
      <c r="X194" s="524" t="str">
        <f>IF(V194="","",IF(VLOOKUP(V194,'G-7 Rivers Data'!$AG$4:$AI$9,3,FALSE)=0,"Spatial Data Missing ⚠",VLOOKUP(V194,'G-7 Rivers Data'!$AG$4:$AI$9,3,FALSE)))</f>
        <v/>
      </c>
      <c r="Y194" s="537" t="str">
        <f>IFERROR(IF(OR(LEFT(P194,5)="Error ▲",LEFT(O194,5)="Error ▲"),"Check Data ⚠",IF(F194&lt;S194,'G-7 Rivers Data'!$R$3,INDEX('G-7 Rivers Data'!$U$5:$Y$9,MATCH(G194,'G-7 Rivers Data'!$T$5:$T$9,0),MATCH(T194,'G-7 Rivers Data'!$U$4:$Y$4,0)))),"")</f>
        <v/>
      </c>
      <c r="Z194" s="203"/>
      <c r="AA194" s="203"/>
      <c r="AB194" s="534" t="str">
        <f t="shared" si="16"/>
        <v/>
      </c>
      <c r="AC194" s="521" t="str">
        <f t="shared" si="17"/>
        <v/>
      </c>
      <c r="AD194" s="564" t="str">
        <f>IFERROR(IF(AC194="Check Data ⚠","Check Data ⚠",VLOOKUP(AC194,'G-4 Temporal multipliers'!$A$4:$C$37,3,FALSE)),"")</f>
        <v/>
      </c>
      <c r="AE194" s="537" t="str">
        <f>IF(N194="","",VLOOKUP(N194,'G-7 Rivers Data'!$B$4:$G$8,5,FALSE))</f>
        <v/>
      </c>
      <c r="AF194" s="520" t="str">
        <f t="shared" si="18"/>
        <v/>
      </c>
      <c r="AG194" s="520" t="str">
        <f t="shared" si="22"/>
        <v/>
      </c>
      <c r="AH194" s="524" t="str">
        <f t="shared" si="19"/>
        <v/>
      </c>
      <c r="AI194" s="145"/>
      <c r="AJ194" s="499" t="str">
        <f>IF(AI194="","",IF(VLOOKUP(AI194,'G-7 Rivers Data'!$AA$4:$AB$7,2,FALSE)=0,"Spatial Data Missing ⚠",VLOOKUP(AI194,'G-7 Rivers Data'!$AA$4:$AB$7,2,FALSE)))</f>
        <v/>
      </c>
      <c r="AK194" s="155"/>
      <c r="AL194" s="536" t="str">
        <f>IF(AK194="","",IF(VLOOKUP(AK194,'G-7 Rivers Data'!$AD$4:$AE$8,2,FALSE)=0,"Spatial Data Missing ⚠",VLOOKUP(AK194,'G-7 Rivers Data'!$AD$4:$AE$8,2,FALSE)))</f>
        <v/>
      </c>
      <c r="AM194" s="154"/>
      <c r="AN194" s="524" t="str">
        <f>IF(AM194="","",VLOOKUP(AM194,'G-7 Rivers Data'!$AO$4:$AP$7,2,FALSE))</f>
        <v/>
      </c>
      <c r="AO194" s="545" t="str">
        <f t="shared" si="23"/>
        <v/>
      </c>
      <c r="AP194" s="149"/>
      <c r="AQ194" s="150"/>
      <c r="AX194" s="31" t="str">
        <f>IFERROR(INDEX('G-7 Rivers Data'!$AZ$3:$AZ$7,MATCH(N194,'G-7 Rivers Data'!$AY$3:$AY$7,0)),"")</f>
        <v/>
      </c>
    </row>
    <row r="195" spans="2:50" ht="14" x14ac:dyDescent="0.3">
      <c r="B195" s="531" t="str">
        <f>'F-1 Off Site River Baseline'!AN193</f>
        <v/>
      </c>
      <c r="C195" s="520" t="str">
        <f>IF(B195="","",VLOOKUP($B195,'F-1 Off Site River Baseline'!$C$9:$R$257,2,FALSE))</f>
        <v/>
      </c>
      <c r="D195" s="520" t="str">
        <f>IF(C195="","",VLOOKUP($B195,'F-1 Off Site River Baseline'!$C$9:$R$257,3,FALSE))</f>
        <v/>
      </c>
      <c r="E195" s="520" t="str">
        <f>IF(D195="","",VLOOKUP($B195,'F-1 Off Site River Baseline'!$C$9:$R$257,4,FALSE))</f>
        <v/>
      </c>
      <c r="F195" s="520" t="str">
        <f>IF(E195="","",VLOOKUP($B195,'F-1 Off Site River Baseline'!$C$9:$R$257,5,FALSE))</f>
        <v/>
      </c>
      <c r="G195" s="520" t="str">
        <f>IF(F195="","",VLOOKUP($B195,'F-1 Off Site River Baseline'!$C$9:$R$257,6,FALSE))</f>
        <v/>
      </c>
      <c r="H195" s="520" t="str">
        <f>IF(G195="","",VLOOKUP($B195,'F-1 Off Site River Baseline'!$C$9:$R$257,7,FALSE))</f>
        <v/>
      </c>
      <c r="I195" s="520" t="str">
        <f>IF(H195="","",VLOOKUP($B195,'F-1 Off Site River Baseline'!$C$9:$R$257,8,FALSE))</f>
        <v/>
      </c>
      <c r="J195" s="520" t="str">
        <f>IF(I195="","",VLOOKUP($B195,'F-1 Off Site River Baseline'!$C$9:$R$257,9,FALSE))</f>
        <v/>
      </c>
      <c r="K195" s="520" t="str">
        <f>IF(J195="","",VLOOKUP($B195,'F-1 Off Site River Baseline'!$C$9:$R$257,10,FALSE))</f>
        <v/>
      </c>
      <c r="L195" s="520" t="str">
        <f>IF(B195="","",VLOOKUP($B195,'C-1 Site River Baseline'!$C$9:$R$257,15,FALSE))</f>
        <v/>
      </c>
      <c r="M195" s="524" t="str">
        <f>IF(L195="","",VLOOKUP($B195,'F-1 Off Site River Baseline'!$C$9:$R$257,16,FALSE))</f>
        <v/>
      </c>
      <c r="N195" s="418" t="str">
        <f t="shared" si="20"/>
        <v/>
      </c>
      <c r="O195" s="498" t="str">
        <f t="shared" si="21"/>
        <v/>
      </c>
      <c r="P195" s="499" t="str">
        <f>IF(C195="","",IF(AND(LEFT(C195,55)&lt;&gt;LEFT(N195,55),O195="High - High"),"Error - Not like for like ▲",IF(AND(F195=S195,H195&gt;U195),"Error - Can not reduce condition ▲",IF(AND(F195=S195,H195=U195,AJ195='F-1 Off Site River Baseline'!N193,'F-1 Off Site River Baseline'!P193=AL195),"Error - No enhancement ▲",IF(AND(C195&lt;&gt;N195,F195&lt;S195),"Lower Distinctiveness Habitat"&amp;" - "&amp;T195,G195&amp;" - "&amp;T195)))))</f>
        <v/>
      </c>
      <c r="Q195" s="505" t="str">
        <f>IF(N195="","",VLOOKUP(B195,'F-1 Off Site River Baseline'!$C$10:$AA$257,19,FALSE))</f>
        <v/>
      </c>
      <c r="R195" s="498" t="str">
        <f>IF(N195="","",VLOOKUP(N195,'G-7 Rivers Data'!$B$2:$G$8,2,FALSE))</f>
        <v/>
      </c>
      <c r="S195" s="499" t="str">
        <f>IFERROR(VLOOKUP(R195,'G-7 Rivers Data'!$C$4:$D$8,2,FALSE),"")</f>
        <v/>
      </c>
      <c r="T195" s="145"/>
      <c r="U195" s="499" t="str">
        <f>IFERROR(INDEX('G-7 Rivers Data'!$H$4:$L$8,MATCH(N195,'G-7 Rivers Data'!$B$4:$B$8,0),MATCH(T195,'G-7 Rivers Data'!$H$3:$L$3,0)),"")</f>
        <v/>
      </c>
      <c r="V195" s="154"/>
      <c r="W195" s="520" t="str">
        <f>IF(V195="","",IF(VLOOKUP(V195,'G-7 Rivers Data'!$AG$4:$AI$9,2,FALSE)=0,"Spatial Data Missing ⚠",VLOOKUP(V195,'G-7 Rivers Data'!$AG$4:$AI$9,2,FALSE)))</f>
        <v/>
      </c>
      <c r="X195" s="524" t="str">
        <f>IF(V195="","",IF(VLOOKUP(V195,'G-7 Rivers Data'!$AG$4:$AI$9,3,FALSE)=0,"Spatial Data Missing ⚠",VLOOKUP(V195,'G-7 Rivers Data'!$AG$4:$AI$9,3,FALSE)))</f>
        <v/>
      </c>
      <c r="Y195" s="537" t="str">
        <f>IFERROR(IF(OR(LEFT(P195,5)="Error ▲",LEFT(O195,5)="Error ▲"),"Check Data ⚠",IF(F195&lt;S195,'G-7 Rivers Data'!$R$3,INDEX('G-7 Rivers Data'!$U$5:$Y$9,MATCH(G195,'G-7 Rivers Data'!$T$5:$T$9,0),MATCH(T195,'G-7 Rivers Data'!$U$4:$Y$4,0)))),"")</f>
        <v/>
      </c>
      <c r="Z195" s="203"/>
      <c r="AA195" s="203"/>
      <c r="AB195" s="534" t="str">
        <f t="shared" si="16"/>
        <v/>
      </c>
      <c r="AC195" s="521" t="str">
        <f t="shared" si="17"/>
        <v/>
      </c>
      <c r="AD195" s="564" t="str">
        <f>IFERROR(IF(AC195="Check Data ⚠","Check Data ⚠",VLOOKUP(AC195,'G-4 Temporal multipliers'!$A$4:$C$37,3,FALSE)),"")</f>
        <v/>
      </c>
      <c r="AE195" s="537" t="str">
        <f>IF(N195="","",VLOOKUP(N195,'G-7 Rivers Data'!$B$4:$G$8,5,FALSE))</f>
        <v/>
      </c>
      <c r="AF195" s="520" t="str">
        <f t="shared" si="18"/>
        <v/>
      </c>
      <c r="AG195" s="520" t="str">
        <f t="shared" si="22"/>
        <v/>
      </c>
      <c r="AH195" s="524" t="str">
        <f t="shared" si="19"/>
        <v/>
      </c>
      <c r="AI195" s="145"/>
      <c r="AJ195" s="499" t="str">
        <f>IF(AI195="","",IF(VLOOKUP(AI195,'G-7 Rivers Data'!$AA$4:$AB$7,2,FALSE)=0,"Spatial Data Missing ⚠",VLOOKUP(AI195,'G-7 Rivers Data'!$AA$4:$AB$7,2,FALSE)))</f>
        <v/>
      </c>
      <c r="AK195" s="155"/>
      <c r="AL195" s="536" t="str">
        <f>IF(AK195="","",IF(VLOOKUP(AK195,'G-7 Rivers Data'!$AD$4:$AE$8,2,FALSE)=0,"Spatial Data Missing ⚠",VLOOKUP(AK195,'G-7 Rivers Data'!$AD$4:$AE$8,2,FALSE)))</f>
        <v/>
      </c>
      <c r="AM195" s="154"/>
      <c r="AN195" s="524" t="str">
        <f>IF(AM195="","",VLOOKUP(AM195,'G-7 Rivers Data'!$AO$4:$AP$7,2,FALSE))</f>
        <v/>
      </c>
      <c r="AO195" s="545" t="str">
        <f t="shared" si="23"/>
        <v/>
      </c>
      <c r="AP195" s="149"/>
      <c r="AQ195" s="150"/>
      <c r="AX195" s="31" t="str">
        <f>IFERROR(INDEX('G-7 Rivers Data'!$AZ$3:$AZ$7,MATCH(N195,'G-7 Rivers Data'!$AY$3:$AY$7,0)),"")</f>
        <v/>
      </c>
    </row>
    <row r="196" spans="2:50" ht="14" x14ac:dyDescent="0.3">
      <c r="B196" s="531" t="str">
        <f>'F-1 Off Site River Baseline'!AN194</f>
        <v/>
      </c>
      <c r="C196" s="520" t="str">
        <f>IF(B196="","",VLOOKUP($B196,'F-1 Off Site River Baseline'!$C$9:$R$257,2,FALSE))</f>
        <v/>
      </c>
      <c r="D196" s="520" t="str">
        <f>IF(C196="","",VLOOKUP($B196,'F-1 Off Site River Baseline'!$C$9:$R$257,3,FALSE))</f>
        <v/>
      </c>
      <c r="E196" s="520" t="str">
        <f>IF(D196="","",VLOOKUP($B196,'F-1 Off Site River Baseline'!$C$9:$R$257,4,FALSE))</f>
        <v/>
      </c>
      <c r="F196" s="520" t="str">
        <f>IF(E196="","",VLOOKUP($B196,'F-1 Off Site River Baseline'!$C$9:$R$257,5,FALSE))</f>
        <v/>
      </c>
      <c r="G196" s="520" t="str">
        <f>IF(F196="","",VLOOKUP($B196,'F-1 Off Site River Baseline'!$C$9:$R$257,6,FALSE))</f>
        <v/>
      </c>
      <c r="H196" s="520" t="str">
        <f>IF(G196="","",VLOOKUP($B196,'F-1 Off Site River Baseline'!$C$9:$R$257,7,FALSE))</f>
        <v/>
      </c>
      <c r="I196" s="520" t="str">
        <f>IF(H196="","",VLOOKUP($B196,'F-1 Off Site River Baseline'!$C$9:$R$257,8,FALSE))</f>
        <v/>
      </c>
      <c r="J196" s="520" t="str">
        <f>IF(I196="","",VLOOKUP($B196,'F-1 Off Site River Baseline'!$C$9:$R$257,9,FALSE))</f>
        <v/>
      </c>
      <c r="K196" s="520" t="str">
        <f>IF(J196="","",VLOOKUP($B196,'F-1 Off Site River Baseline'!$C$9:$R$257,10,FALSE))</f>
        <v/>
      </c>
      <c r="L196" s="520" t="str">
        <f>IF(B196="","",VLOOKUP($B196,'C-1 Site River Baseline'!$C$9:$R$257,15,FALSE))</f>
        <v/>
      </c>
      <c r="M196" s="524" t="str">
        <f>IF(L196="","",VLOOKUP($B196,'F-1 Off Site River Baseline'!$C$9:$R$257,16,FALSE))</f>
        <v/>
      </c>
      <c r="N196" s="418" t="str">
        <f t="shared" si="20"/>
        <v/>
      </c>
      <c r="O196" s="498" t="str">
        <f t="shared" si="21"/>
        <v/>
      </c>
      <c r="P196" s="499" t="str">
        <f>IF(C196="","",IF(AND(LEFT(C196,55)&lt;&gt;LEFT(N196,55),O196="High - High"),"Error - Not like for like ▲",IF(AND(F196=S196,H196&gt;U196),"Error - Can not reduce condition ▲",IF(AND(F196=S196,H196=U196,AJ196='F-1 Off Site River Baseline'!N194,'F-1 Off Site River Baseline'!P194=AL196),"Error - No enhancement ▲",IF(AND(C196&lt;&gt;N196,F196&lt;S196),"Lower Distinctiveness Habitat"&amp;" - "&amp;T196,G196&amp;" - "&amp;T196)))))</f>
        <v/>
      </c>
      <c r="Q196" s="505" t="str">
        <f>IF(N196="","",VLOOKUP(B196,'F-1 Off Site River Baseline'!$C$10:$AA$257,19,FALSE))</f>
        <v/>
      </c>
      <c r="R196" s="498" t="str">
        <f>IF(N196="","",VLOOKUP(N196,'G-7 Rivers Data'!$B$2:$G$8,2,FALSE))</f>
        <v/>
      </c>
      <c r="S196" s="499" t="str">
        <f>IFERROR(VLOOKUP(R196,'G-7 Rivers Data'!$C$4:$D$8,2,FALSE),"")</f>
        <v/>
      </c>
      <c r="T196" s="145"/>
      <c r="U196" s="499" t="str">
        <f>IFERROR(INDEX('G-7 Rivers Data'!$H$4:$L$8,MATCH(N196,'G-7 Rivers Data'!$B$4:$B$8,0),MATCH(T196,'G-7 Rivers Data'!$H$3:$L$3,0)),"")</f>
        <v/>
      </c>
      <c r="V196" s="154"/>
      <c r="W196" s="520" t="str">
        <f>IF(V196="","",IF(VLOOKUP(V196,'G-7 Rivers Data'!$AG$4:$AI$9,2,FALSE)=0,"Spatial Data Missing ⚠",VLOOKUP(V196,'G-7 Rivers Data'!$AG$4:$AI$9,2,FALSE)))</f>
        <v/>
      </c>
      <c r="X196" s="524" t="str">
        <f>IF(V196="","",IF(VLOOKUP(V196,'G-7 Rivers Data'!$AG$4:$AI$9,3,FALSE)=0,"Spatial Data Missing ⚠",VLOOKUP(V196,'G-7 Rivers Data'!$AG$4:$AI$9,3,FALSE)))</f>
        <v/>
      </c>
      <c r="Y196" s="537" t="str">
        <f>IFERROR(IF(OR(LEFT(P196,5)="Error ▲",LEFT(O196,5)="Error ▲"),"Check Data ⚠",IF(F196&lt;S196,'G-7 Rivers Data'!$R$3,INDEX('G-7 Rivers Data'!$U$5:$Y$9,MATCH(G196,'G-7 Rivers Data'!$T$5:$T$9,0),MATCH(T196,'G-7 Rivers Data'!$U$4:$Y$4,0)))),"")</f>
        <v/>
      </c>
      <c r="Z196" s="203"/>
      <c r="AA196" s="203"/>
      <c r="AB196" s="534" t="str">
        <f t="shared" si="16"/>
        <v/>
      </c>
      <c r="AC196" s="521" t="str">
        <f t="shared" si="17"/>
        <v/>
      </c>
      <c r="AD196" s="564" t="str">
        <f>IFERROR(IF(AC196="Check Data ⚠","Check Data ⚠",VLOOKUP(AC196,'G-4 Temporal multipliers'!$A$4:$C$37,3,FALSE)),"")</f>
        <v/>
      </c>
      <c r="AE196" s="537" t="str">
        <f>IF(N196="","",VLOOKUP(N196,'G-7 Rivers Data'!$B$4:$G$8,5,FALSE))</f>
        <v/>
      </c>
      <c r="AF196" s="520" t="str">
        <f t="shared" si="18"/>
        <v/>
      </c>
      <c r="AG196" s="520" t="str">
        <f t="shared" si="22"/>
        <v/>
      </c>
      <c r="AH196" s="524" t="str">
        <f t="shared" si="19"/>
        <v/>
      </c>
      <c r="AI196" s="145"/>
      <c r="AJ196" s="499" t="str">
        <f>IF(AI196="","",IF(VLOOKUP(AI196,'G-7 Rivers Data'!$AA$4:$AB$7,2,FALSE)=0,"Spatial Data Missing ⚠",VLOOKUP(AI196,'G-7 Rivers Data'!$AA$4:$AB$7,2,FALSE)))</f>
        <v/>
      </c>
      <c r="AK196" s="155"/>
      <c r="AL196" s="536" t="str">
        <f>IF(AK196="","",IF(VLOOKUP(AK196,'G-7 Rivers Data'!$AD$4:$AE$8,2,FALSE)=0,"Spatial Data Missing ⚠",VLOOKUP(AK196,'G-7 Rivers Data'!$AD$4:$AE$8,2,FALSE)))</f>
        <v/>
      </c>
      <c r="AM196" s="154"/>
      <c r="AN196" s="524" t="str">
        <f>IF(AM196="","",VLOOKUP(AM196,'G-7 Rivers Data'!$AO$4:$AP$7,2,FALSE))</f>
        <v/>
      </c>
      <c r="AO196" s="545" t="str">
        <f t="shared" si="23"/>
        <v/>
      </c>
      <c r="AP196" s="149"/>
      <c r="AQ196" s="150"/>
      <c r="AX196" s="31" t="str">
        <f>IFERROR(INDEX('G-7 Rivers Data'!$AZ$3:$AZ$7,MATCH(N196,'G-7 Rivers Data'!$AY$3:$AY$7,0)),"")</f>
        <v/>
      </c>
    </row>
    <row r="197" spans="2:50" ht="14" x14ac:dyDescent="0.3">
      <c r="B197" s="531" t="str">
        <f>'F-1 Off Site River Baseline'!AN195</f>
        <v/>
      </c>
      <c r="C197" s="520" t="str">
        <f>IF(B197="","",VLOOKUP($B197,'F-1 Off Site River Baseline'!$C$9:$R$257,2,FALSE))</f>
        <v/>
      </c>
      <c r="D197" s="520" t="str">
        <f>IF(C197="","",VLOOKUP($B197,'F-1 Off Site River Baseline'!$C$9:$R$257,3,FALSE))</f>
        <v/>
      </c>
      <c r="E197" s="520" t="str">
        <f>IF(D197="","",VLOOKUP($B197,'F-1 Off Site River Baseline'!$C$9:$R$257,4,FALSE))</f>
        <v/>
      </c>
      <c r="F197" s="520" t="str">
        <f>IF(E197="","",VLOOKUP($B197,'F-1 Off Site River Baseline'!$C$9:$R$257,5,FALSE))</f>
        <v/>
      </c>
      <c r="G197" s="520" t="str">
        <f>IF(F197="","",VLOOKUP($B197,'F-1 Off Site River Baseline'!$C$9:$R$257,6,FALSE))</f>
        <v/>
      </c>
      <c r="H197" s="520" t="str">
        <f>IF(G197="","",VLOOKUP($B197,'F-1 Off Site River Baseline'!$C$9:$R$257,7,FALSE))</f>
        <v/>
      </c>
      <c r="I197" s="520" t="str">
        <f>IF(H197="","",VLOOKUP($B197,'F-1 Off Site River Baseline'!$C$9:$R$257,8,FALSE))</f>
        <v/>
      </c>
      <c r="J197" s="520" t="str">
        <f>IF(I197="","",VLOOKUP($B197,'F-1 Off Site River Baseline'!$C$9:$R$257,9,FALSE))</f>
        <v/>
      </c>
      <c r="K197" s="520" t="str">
        <f>IF(J197="","",VLOOKUP($B197,'F-1 Off Site River Baseline'!$C$9:$R$257,10,FALSE))</f>
        <v/>
      </c>
      <c r="L197" s="520" t="str">
        <f>IF(B197="","",VLOOKUP($B197,'C-1 Site River Baseline'!$C$9:$R$257,15,FALSE))</f>
        <v/>
      </c>
      <c r="M197" s="524" t="str">
        <f>IF(L197="","",VLOOKUP($B197,'F-1 Off Site River Baseline'!$C$9:$R$257,16,FALSE))</f>
        <v/>
      </c>
      <c r="N197" s="418" t="str">
        <f t="shared" si="20"/>
        <v/>
      </c>
      <c r="O197" s="498" t="str">
        <f t="shared" si="21"/>
        <v/>
      </c>
      <c r="P197" s="499" t="str">
        <f>IF(C197="","",IF(AND(LEFT(C197,55)&lt;&gt;LEFT(N197,55),O197="High - High"),"Error - Not like for like ▲",IF(AND(F197=S197,H197&gt;U197),"Error - Can not reduce condition ▲",IF(AND(F197=S197,H197=U197,AJ197='F-1 Off Site River Baseline'!N195,'F-1 Off Site River Baseline'!P195=AL197),"Error - No enhancement ▲",IF(AND(C197&lt;&gt;N197,F197&lt;S197),"Lower Distinctiveness Habitat"&amp;" - "&amp;T197,G197&amp;" - "&amp;T197)))))</f>
        <v/>
      </c>
      <c r="Q197" s="505" t="str">
        <f>IF(N197="","",VLOOKUP(B197,'F-1 Off Site River Baseline'!$C$10:$AA$257,19,FALSE))</f>
        <v/>
      </c>
      <c r="R197" s="498" t="str">
        <f>IF(N197="","",VLOOKUP(N197,'G-7 Rivers Data'!$B$2:$G$8,2,FALSE))</f>
        <v/>
      </c>
      <c r="S197" s="499" t="str">
        <f>IFERROR(VLOOKUP(R197,'G-7 Rivers Data'!$C$4:$D$8,2,FALSE),"")</f>
        <v/>
      </c>
      <c r="T197" s="145"/>
      <c r="U197" s="499" t="str">
        <f>IFERROR(INDEX('G-7 Rivers Data'!$H$4:$L$8,MATCH(N197,'G-7 Rivers Data'!$B$4:$B$8,0),MATCH(T197,'G-7 Rivers Data'!$H$3:$L$3,0)),"")</f>
        <v/>
      </c>
      <c r="V197" s="154"/>
      <c r="W197" s="520" t="str">
        <f>IF(V197="","",IF(VLOOKUP(V197,'G-7 Rivers Data'!$AG$4:$AI$9,2,FALSE)=0,"Spatial Data Missing ⚠",VLOOKUP(V197,'G-7 Rivers Data'!$AG$4:$AI$9,2,FALSE)))</f>
        <v/>
      </c>
      <c r="X197" s="524" t="str">
        <f>IF(V197="","",IF(VLOOKUP(V197,'G-7 Rivers Data'!$AG$4:$AI$9,3,FALSE)=0,"Spatial Data Missing ⚠",VLOOKUP(V197,'G-7 Rivers Data'!$AG$4:$AI$9,3,FALSE)))</f>
        <v/>
      </c>
      <c r="Y197" s="537" t="str">
        <f>IFERROR(IF(OR(LEFT(P197,5)="Error ▲",LEFT(O197,5)="Error ▲"),"Check Data ⚠",IF(F197&lt;S197,'G-7 Rivers Data'!$R$3,INDEX('G-7 Rivers Data'!$U$5:$Y$9,MATCH(G197,'G-7 Rivers Data'!$T$5:$T$9,0),MATCH(T197,'G-7 Rivers Data'!$U$4:$Y$4,0)))),"")</f>
        <v/>
      </c>
      <c r="Z197" s="203"/>
      <c r="AA197" s="203"/>
      <c r="AB197" s="534" t="str">
        <f t="shared" si="16"/>
        <v/>
      </c>
      <c r="AC197" s="521" t="str">
        <f t="shared" si="17"/>
        <v/>
      </c>
      <c r="AD197" s="564" t="str">
        <f>IFERROR(IF(AC197="Check Data ⚠","Check Data ⚠",VLOOKUP(AC197,'G-4 Temporal multipliers'!$A$4:$C$37,3,FALSE)),"")</f>
        <v/>
      </c>
      <c r="AE197" s="537" t="str">
        <f>IF(N197="","",VLOOKUP(N197,'G-7 Rivers Data'!$B$4:$G$8,5,FALSE))</f>
        <v/>
      </c>
      <c r="AF197" s="520" t="str">
        <f t="shared" si="18"/>
        <v/>
      </c>
      <c r="AG197" s="520" t="str">
        <f t="shared" si="22"/>
        <v/>
      </c>
      <c r="AH197" s="524" t="str">
        <f t="shared" si="19"/>
        <v/>
      </c>
      <c r="AI197" s="145"/>
      <c r="AJ197" s="499" t="str">
        <f>IF(AI197="","",IF(VLOOKUP(AI197,'G-7 Rivers Data'!$AA$4:$AB$7,2,FALSE)=0,"Spatial Data Missing ⚠",VLOOKUP(AI197,'G-7 Rivers Data'!$AA$4:$AB$7,2,FALSE)))</f>
        <v/>
      </c>
      <c r="AK197" s="155"/>
      <c r="AL197" s="536" t="str">
        <f>IF(AK197="","",IF(VLOOKUP(AK197,'G-7 Rivers Data'!$AD$4:$AE$8,2,FALSE)=0,"Spatial Data Missing ⚠",VLOOKUP(AK197,'G-7 Rivers Data'!$AD$4:$AE$8,2,FALSE)))</f>
        <v/>
      </c>
      <c r="AM197" s="154"/>
      <c r="AN197" s="524" t="str">
        <f>IF(AM197="","",VLOOKUP(AM197,'G-7 Rivers Data'!$AO$4:$AP$7,2,FALSE))</f>
        <v/>
      </c>
      <c r="AO197" s="545" t="str">
        <f t="shared" si="23"/>
        <v/>
      </c>
      <c r="AP197" s="149"/>
      <c r="AQ197" s="150"/>
      <c r="AX197" s="31" t="str">
        <f>IFERROR(INDEX('G-7 Rivers Data'!$AZ$3:$AZ$7,MATCH(N197,'G-7 Rivers Data'!$AY$3:$AY$7,0)),"")</f>
        <v/>
      </c>
    </row>
    <row r="198" spans="2:50" ht="14" x14ac:dyDescent="0.3">
      <c r="B198" s="531" t="str">
        <f>'F-1 Off Site River Baseline'!AN196</f>
        <v/>
      </c>
      <c r="C198" s="520" t="str">
        <f>IF(B198="","",VLOOKUP($B198,'F-1 Off Site River Baseline'!$C$9:$R$257,2,FALSE))</f>
        <v/>
      </c>
      <c r="D198" s="520" t="str">
        <f>IF(C198="","",VLOOKUP($B198,'F-1 Off Site River Baseline'!$C$9:$R$257,3,FALSE))</f>
        <v/>
      </c>
      <c r="E198" s="520" t="str">
        <f>IF(D198="","",VLOOKUP($B198,'F-1 Off Site River Baseline'!$C$9:$R$257,4,FALSE))</f>
        <v/>
      </c>
      <c r="F198" s="520" t="str">
        <f>IF(E198="","",VLOOKUP($B198,'F-1 Off Site River Baseline'!$C$9:$R$257,5,FALSE))</f>
        <v/>
      </c>
      <c r="G198" s="520" t="str">
        <f>IF(F198="","",VLOOKUP($B198,'F-1 Off Site River Baseline'!$C$9:$R$257,6,FALSE))</f>
        <v/>
      </c>
      <c r="H198" s="520" t="str">
        <f>IF(G198="","",VLOOKUP($B198,'F-1 Off Site River Baseline'!$C$9:$R$257,7,FALSE))</f>
        <v/>
      </c>
      <c r="I198" s="520" t="str">
        <f>IF(H198="","",VLOOKUP($B198,'F-1 Off Site River Baseline'!$C$9:$R$257,8,FALSE))</f>
        <v/>
      </c>
      <c r="J198" s="520" t="str">
        <f>IF(I198="","",VLOOKUP($B198,'F-1 Off Site River Baseline'!$C$9:$R$257,9,FALSE))</f>
        <v/>
      </c>
      <c r="K198" s="520" t="str">
        <f>IF(J198="","",VLOOKUP($B198,'F-1 Off Site River Baseline'!$C$9:$R$257,10,FALSE))</f>
        <v/>
      </c>
      <c r="L198" s="520" t="str">
        <f>IF(B198="","",VLOOKUP($B198,'C-1 Site River Baseline'!$C$9:$R$257,15,FALSE))</f>
        <v/>
      </c>
      <c r="M198" s="524" t="str">
        <f>IF(L198="","",VLOOKUP($B198,'F-1 Off Site River Baseline'!$C$9:$R$257,16,FALSE))</f>
        <v/>
      </c>
      <c r="N198" s="418" t="str">
        <f t="shared" si="20"/>
        <v/>
      </c>
      <c r="O198" s="498" t="str">
        <f t="shared" si="21"/>
        <v/>
      </c>
      <c r="P198" s="499" t="str">
        <f>IF(C198="","",IF(AND(LEFT(C198,55)&lt;&gt;LEFT(N198,55),O198="High - High"),"Error - Not like for like ▲",IF(AND(F198=S198,H198&gt;U198),"Error - Can not reduce condition ▲",IF(AND(F198=S198,H198=U198,AJ198='F-1 Off Site River Baseline'!N196,'F-1 Off Site River Baseline'!P196=AL198),"Error - No enhancement ▲",IF(AND(C198&lt;&gt;N198,F198&lt;S198),"Lower Distinctiveness Habitat"&amp;" - "&amp;T198,G198&amp;" - "&amp;T198)))))</f>
        <v/>
      </c>
      <c r="Q198" s="505" t="str">
        <f>IF(N198="","",VLOOKUP(B198,'F-1 Off Site River Baseline'!$C$10:$AA$257,19,FALSE))</f>
        <v/>
      </c>
      <c r="R198" s="498" t="str">
        <f>IF(N198="","",VLOOKUP(N198,'G-7 Rivers Data'!$B$2:$G$8,2,FALSE))</f>
        <v/>
      </c>
      <c r="S198" s="499" t="str">
        <f>IFERROR(VLOOKUP(R198,'G-7 Rivers Data'!$C$4:$D$8,2,FALSE),"")</f>
        <v/>
      </c>
      <c r="T198" s="145"/>
      <c r="U198" s="499" t="str">
        <f>IFERROR(INDEX('G-7 Rivers Data'!$H$4:$L$8,MATCH(N198,'G-7 Rivers Data'!$B$4:$B$8,0),MATCH(T198,'G-7 Rivers Data'!$H$3:$L$3,0)),"")</f>
        <v/>
      </c>
      <c r="V198" s="154"/>
      <c r="W198" s="520" t="str">
        <f>IF(V198="","",IF(VLOOKUP(V198,'G-7 Rivers Data'!$AG$4:$AI$9,2,FALSE)=0,"Spatial Data Missing ⚠",VLOOKUP(V198,'G-7 Rivers Data'!$AG$4:$AI$9,2,FALSE)))</f>
        <v/>
      </c>
      <c r="X198" s="524" t="str">
        <f>IF(V198="","",IF(VLOOKUP(V198,'G-7 Rivers Data'!$AG$4:$AI$9,3,FALSE)=0,"Spatial Data Missing ⚠",VLOOKUP(V198,'G-7 Rivers Data'!$AG$4:$AI$9,3,FALSE)))</f>
        <v/>
      </c>
      <c r="Y198" s="537" t="str">
        <f>IFERROR(IF(OR(LEFT(P198,5)="Error ▲",LEFT(O198,5)="Error ▲"),"Check Data ⚠",IF(F198&lt;S198,'G-7 Rivers Data'!$R$3,INDEX('G-7 Rivers Data'!$U$5:$Y$9,MATCH(G198,'G-7 Rivers Data'!$T$5:$T$9,0),MATCH(T198,'G-7 Rivers Data'!$U$4:$Y$4,0)))),"")</f>
        <v/>
      </c>
      <c r="Z198" s="203"/>
      <c r="AA198" s="203"/>
      <c r="AB198" s="534" t="str">
        <f t="shared" si="16"/>
        <v/>
      </c>
      <c r="AC198" s="521" t="str">
        <f t="shared" si="17"/>
        <v/>
      </c>
      <c r="AD198" s="564" t="str">
        <f>IFERROR(IF(AC198="Check Data ⚠","Check Data ⚠",VLOOKUP(AC198,'G-4 Temporal multipliers'!$A$4:$C$37,3,FALSE)),"")</f>
        <v/>
      </c>
      <c r="AE198" s="537" t="str">
        <f>IF(N198="","",VLOOKUP(N198,'G-7 Rivers Data'!$B$4:$G$8,5,FALSE))</f>
        <v/>
      </c>
      <c r="AF198" s="520" t="str">
        <f t="shared" si="18"/>
        <v/>
      </c>
      <c r="AG198" s="520" t="str">
        <f t="shared" si="22"/>
        <v/>
      </c>
      <c r="AH198" s="524" t="str">
        <f t="shared" si="19"/>
        <v/>
      </c>
      <c r="AI198" s="145"/>
      <c r="AJ198" s="499" t="str">
        <f>IF(AI198="","",IF(VLOOKUP(AI198,'G-7 Rivers Data'!$AA$4:$AB$7,2,FALSE)=0,"Spatial Data Missing ⚠",VLOOKUP(AI198,'G-7 Rivers Data'!$AA$4:$AB$7,2,FALSE)))</f>
        <v/>
      </c>
      <c r="AK198" s="155"/>
      <c r="AL198" s="536" t="str">
        <f>IF(AK198="","",IF(VLOOKUP(AK198,'G-7 Rivers Data'!$AD$4:$AE$8,2,FALSE)=0,"Spatial Data Missing ⚠",VLOOKUP(AK198,'G-7 Rivers Data'!$AD$4:$AE$8,2,FALSE)))</f>
        <v/>
      </c>
      <c r="AM198" s="154"/>
      <c r="AN198" s="524" t="str">
        <f>IF(AM198="","",VLOOKUP(AM198,'G-7 Rivers Data'!$AO$4:$AP$7,2,FALSE))</f>
        <v/>
      </c>
      <c r="AO198" s="545" t="str">
        <f t="shared" si="23"/>
        <v/>
      </c>
      <c r="AP198" s="149"/>
      <c r="AQ198" s="150"/>
      <c r="AX198" s="31" t="str">
        <f>IFERROR(INDEX('G-7 Rivers Data'!$AZ$3:$AZ$7,MATCH(N198,'G-7 Rivers Data'!$AY$3:$AY$7,0)),"")</f>
        <v/>
      </c>
    </row>
    <row r="199" spans="2:50" ht="14" x14ac:dyDescent="0.3">
      <c r="B199" s="531" t="str">
        <f>'F-1 Off Site River Baseline'!AN197</f>
        <v/>
      </c>
      <c r="C199" s="520" t="str">
        <f>IF(B199="","",VLOOKUP($B199,'F-1 Off Site River Baseline'!$C$9:$R$257,2,FALSE))</f>
        <v/>
      </c>
      <c r="D199" s="520" t="str">
        <f>IF(C199="","",VLOOKUP($B199,'F-1 Off Site River Baseline'!$C$9:$R$257,3,FALSE))</f>
        <v/>
      </c>
      <c r="E199" s="520" t="str">
        <f>IF(D199="","",VLOOKUP($B199,'F-1 Off Site River Baseline'!$C$9:$R$257,4,FALSE))</f>
        <v/>
      </c>
      <c r="F199" s="520" t="str">
        <f>IF(E199="","",VLOOKUP($B199,'F-1 Off Site River Baseline'!$C$9:$R$257,5,FALSE))</f>
        <v/>
      </c>
      <c r="G199" s="520" t="str">
        <f>IF(F199="","",VLOOKUP($B199,'F-1 Off Site River Baseline'!$C$9:$R$257,6,FALSE))</f>
        <v/>
      </c>
      <c r="H199" s="520" t="str">
        <f>IF(G199="","",VLOOKUP($B199,'F-1 Off Site River Baseline'!$C$9:$R$257,7,FALSE))</f>
        <v/>
      </c>
      <c r="I199" s="520" t="str">
        <f>IF(H199="","",VLOOKUP($B199,'F-1 Off Site River Baseline'!$C$9:$R$257,8,FALSE))</f>
        <v/>
      </c>
      <c r="J199" s="520" t="str">
        <f>IF(I199="","",VLOOKUP($B199,'F-1 Off Site River Baseline'!$C$9:$R$257,9,FALSE))</f>
        <v/>
      </c>
      <c r="K199" s="520" t="str">
        <f>IF(J199="","",VLOOKUP($B199,'F-1 Off Site River Baseline'!$C$9:$R$257,10,FALSE))</f>
        <v/>
      </c>
      <c r="L199" s="520" t="str">
        <f>IF(B199="","",VLOOKUP($B199,'C-1 Site River Baseline'!$C$9:$R$257,15,FALSE))</f>
        <v/>
      </c>
      <c r="M199" s="524" t="str">
        <f>IF(L199="","",VLOOKUP($B199,'F-1 Off Site River Baseline'!$C$9:$R$257,16,FALSE))</f>
        <v/>
      </c>
      <c r="N199" s="418" t="str">
        <f t="shared" si="20"/>
        <v/>
      </c>
      <c r="O199" s="498" t="str">
        <f t="shared" si="21"/>
        <v/>
      </c>
      <c r="P199" s="499" t="str">
        <f>IF(C199="","",IF(AND(LEFT(C199,55)&lt;&gt;LEFT(N199,55),O199="High - High"),"Error - Not like for like ▲",IF(AND(F199=S199,H199&gt;U199),"Error - Can not reduce condition ▲",IF(AND(F199=S199,H199=U199,AJ199='F-1 Off Site River Baseline'!N197,'F-1 Off Site River Baseline'!P197=AL199),"Error - No enhancement ▲",IF(AND(C199&lt;&gt;N199,F199&lt;S199),"Lower Distinctiveness Habitat"&amp;" - "&amp;T199,G199&amp;" - "&amp;T199)))))</f>
        <v/>
      </c>
      <c r="Q199" s="505" t="str">
        <f>IF(N199="","",VLOOKUP(B199,'F-1 Off Site River Baseline'!$C$10:$AA$257,19,FALSE))</f>
        <v/>
      </c>
      <c r="R199" s="498" t="str">
        <f>IF(N199="","",VLOOKUP(N199,'G-7 Rivers Data'!$B$2:$G$8,2,FALSE))</f>
        <v/>
      </c>
      <c r="S199" s="499" t="str">
        <f>IFERROR(VLOOKUP(R199,'G-7 Rivers Data'!$C$4:$D$8,2,FALSE),"")</f>
        <v/>
      </c>
      <c r="T199" s="145"/>
      <c r="U199" s="499" t="str">
        <f>IFERROR(INDEX('G-7 Rivers Data'!$H$4:$L$8,MATCH(N199,'G-7 Rivers Data'!$B$4:$B$8,0),MATCH(T199,'G-7 Rivers Data'!$H$3:$L$3,0)),"")</f>
        <v/>
      </c>
      <c r="V199" s="154"/>
      <c r="W199" s="520" t="str">
        <f>IF(V199="","",IF(VLOOKUP(V199,'G-7 Rivers Data'!$AG$4:$AI$9,2,FALSE)=0,"Spatial Data Missing ⚠",VLOOKUP(V199,'G-7 Rivers Data'!$AG$4:$AI$9,2,FALSE)))</f>
        <v/>
      </c>
      <c r="X199" s="524" t="str">
        <f>IF(V199="","",IF(VLOOKUP(V199,'G-7 Rivers Data'!$AG$4:$AI$9,3,FALSE)=0,"Spatial Data Missing ⚠",VLOOKUP(V199,'G-7 Rivers Data'!$AG$4:$AI$9,3,FALSE)))</f>
        <v/>
      </c>
      <c r="Y199" s="537" t="str">
        <f>IFERROR(IF(OR(LEFT(P199,5)="Error ▲",LEFT(O199,5)="Error ▲"),"Check Data ⚠",IF(F199&lt;S199,'G-7 Rivers Data'!$R$3,INDEX('G-7 Rivers Data'!$U$5:$Y$9,MATCH(G199,'G-7 Rivers Data'!$T$5:$T$9,0),MATCH(T199,'G-7 Rivers Data'!$U$4:$Y$4,0)))),"")</f>
        <v/>
      </c>
      <c r="Z199" s="203"/>
      <c r="AA199" s="203"/>
      <c r="AB199" s="534" t="str">
        <f t="shared" si="16"/>
        <v/>
      </c>
      <c r="AC199" s="521" t="str">
        <f t="shared" si="17"/>
        <v/>
      </c>
      <c r="AD199" s="564" t="str">
        <f>IFERROR(IF(AC199="Check Data ⚠","Check Data ⚠",VLOOKUP(AC199,'G-4 Temporal multipliers'!$A$4:$C$37,3,FALSE)),"")</f>
        <v/>
      </c>
      <c r="AE199" s="537" t="str">
        <f>IF(N199="","",VLOOKUP(N199,'G-7 Rivers Data'!$B$4:$G$8,5,FALSE))</f>
        <v/>
      </c>
      <c r="AF199" s="520" t="str">
        <f t="shared" si="18"/>
        <v/>
      </c>
      <c r="AG199" s="520" t="str">
        <f t="shared" si="22"/>
        <v/>
      </c>
      <c r="AH199" s="524" t="str">
        <f t="shared" si="19"/>
        <v/>
      </c>
      <c r="AI199" s="145"/>
      <c r="AJ199" s="499" t="str">
        <f>IF(AI199="","",IF(VLOOKUP(AI199,'G-7 Rivers Data'!$AA$4:$AB$7,2,FALSE)=0,"Spatial Data Missing ⚠",VLOOKUP(AI199,'G-7 Rivers Data'!$AA$4:$AB$7,2,FALSE)))</f>
        <v/>
      </c>
      <c r="AK199" s="155"/>
      <c r="AL199" s="536" t="str">
        <f>IF(AK199="","",IF(VLOOKUP(AK199,'G-7 Rivers Data'!$AD$4:$AE$8,2,FALSE)=0,"Spatial Data Missing ⚠",VLOOKUP(AK199,'G-7 Rivers Data'!$AD$4:$AE$8,2,FALSE)))</f>
        <v/>
      </c>
      <c r="AM199" s="154"/>
      <c r="AN199" s="524" t="str">
        <f>IF(AM199="","",VLOOKUP(AM199,'G-7 Rivers Data'!$AO$4:$AP$7,2,FALSE))</f>
        <v/>
      </c>
      <c r="AO199" s="545" t="str">
        <f t="shared" si="23"/>
        <v/>
      </c>
      <c r="AP199" s="149"/>
      <c r="AQ199" s="150"/>
      <c r="AX199" s="31" t="str">
        <f>IFERROR(INDEX('G-7 Rivers Data'!$AZ$3:$AZ$7,MATCH(N199,'G-7 Rivers Data'!$AY$3:$AY$7,0)),"")</f>
        <v/>
      </c>
    </row>
    <row r="200" spans="2:50" ht="14" x14ac:dyDescent="0.3">
      <c r="B200" s="531" t="str">
        <f>'F-1 Off Site River Baseline'!AN198</f>
        <v/>
      </c>
      <c r="C200" s="520" t="str">
        <f>IF(B200="","",VLOOKUP($B200,'F-1 Off Site River Baseline'!$C$9:$R$257,2,FALSE))</f>
        <v/>
      </c>
      <c r="D200" s="520" t="str">
        <f>IF(C200="","",VLOOKUP($B200,'F-1 Off Site River Baseline'!$C$9:$R$257,3,FALSE))</f>
        <v/>
      </c>
      <c r="E200" s="520" t="str">
        <f>IF(D200="","",VLOOKUP($B200,'F-1 Off Site River Baseline'!$C$9:$R$257,4,FALSE))</f>
        <v/>
      </c>
      <c r="F200" s="520" t="str">
        <f>IF(E200="","",VLOOKUP($B200,'F-1 Off Site River Baseline'!$C$9:$R$257,5,FALSE))</f>
        <v/>
      </c>
      <c r="G200" s="520" t="str">
        <f>IF(F200="","",VLOOKUP($B200,'F-1 Off Site River Baseline'!$C$9:$R$257,6,FALSE))</f>
        <v/>
      </c>
      <c r="H200" s="520" t="str">
        <f>IF(G200="","",VLOOKUP($B200,'F-1 Off Site River Baseline'!$C$9:$R$257,7,FALSE))</f>
        <v/>
      </c>
      <c r="I200" s="520" t="str">
        <f>IF(H200="","",VLOOKUP($B200,'F-1 Off Site River Baseline'!$C$9:$R$257,8,FALSE))</f>
        <v/>
      </c>
      <c r="J200" s="520" t="str">
        <f>IF(I200="","",VLOOKUP($B200,'F-1 Off Site River Baseline'!$C$9:$R$257,9,FALSE))</f>
        <v/>
      </c>
      <c r="K200" s="520" t="str">
        <f>IF(J200="","",VLOOKUP($B200,'F-1 Off Site River Baseline'!$C$9:$R$257,10,FALSE))</f>
        <v/>
      </c>
      <c r="L200" s="520" t="str">
        <f>IF(B200="","",VLOOKUP($B200,'C-1 Site River Baseline'!$C$9:$R$257,15,FALSE))</f>
        <v/>
      </c>
      <c r="M200" s="524" t="str">
        <f>IF(L200="","",VLOOKUP($B200,'F-1 Off Site River Baseline'!$C$9:$R$257,16,FALSE))</f>
        <v/>
      </c>
      <c r="N200" s="418" t="str">
        <f t="shared" si="20"/>
        <v/>
      </c>
      <c r="O200" s="498" t="str">
        <f t="shared" si="21"/>
        <v/>
      </c>
      <c r="P200" s="499" t="str">
        <f>IF(C200="","",IF(AND(LEFT(C200,55)&lt;&gt;LEFT(N200,55),O200="High - High"),"Error - Not like for like ▲",IF(AND(F200=S200,H200&gt;U200),"Error - Can not reduce condition ▲",IF(AND(F200=S200,H200=U200,AJ200='F-1 Off Site River Baseline'!N198,'F-1 Off Site River Baseline'!P198=AL200),"Error - No enhancement ▲",IF(AND(C200&lt;&gt;N200,F200&lt;S200),"Lower Distinctiveness Habitat"&amp;" - "&amp;T200,G200&amp;" - "&amp;T200)))))</f>
        <v/>
      </c>
      <c r="Q200" s="505" t="str">
        <f>IF(N200="","",VLOOKUP(B200,'F-1 Off Site River Baseline'!$C$10:$AA$257,19,FALSE))</f>
        <v/>
      </c>
      <c r="R200" s="498" t="str">
        <f>IF(N200="","",VLOOKUP(N200,'G-7 Rivers Data'!$B$2:$G$8,2,FALSE))</f>
        <v/>
      </c>
      <c r="S200" s="499" t="str">
        <f>IFERROR(VLOOKUP(R200,'G-7 Rivers Data'!$C$4:$D$8,2,FALSE),"")</f>
        <v/>
      </c>
      <c r="T200" s="145"/>
      <c r="U200" s="499" t="str">
        <f>IFERROR(INDEX('G-7 Rivers Data'!$H$4:$L$8,MATCH(N200,'G-7 Rivers Data'!$B$4:$B$8,0),MATCH(T200,'G-7 Rivers Data'!$H$3:$L$3,0)),"")</f>
        <v/>
      </c>
      <c r="V200" s="154"/>
      <c r="W200" s="520" t="str">
        <f>IF(V200="","",IF(VLOOKUP(V200,'G-7 Rivers Data'!$AG$4:$AI$9,2,FALSE)=0,"Spatial Data Missing ⚠",VLOOKUP(V200,'G-7 Rivers Data'!$AG$4:$AI$9,2,FALSE)))</f>
        <v/>
      </c>
      <c r="X200" s="524" t="str">
        <f>IF(V200="","",IF(VLOOKUP(V200,'G-7 Rivers Data'!$AG$4:$AI$9,3,FALSE)=0,"Spatial Data Missing ⚠",VLOOKUP(V200,'G-7 Rivers Data'!$AG$4:$AI$9,3,FALSE)))</f>
        <v/>
      </c>
      <c r="Y200" s="537" t="str">
        <f>IFERROR(IF(OR(LEFT(P200,5)="Error ▲",LEFT(O200,5)="Error ▲"),"Check Data ⚠",IF(F200&lt;S200,'G-7 Rivers Data'!$R$3,INDEX('G-7 Rivers Data'!$U$5:$Y$9,MATCH(G200,'G-7 Rivers Data'!$T$5:$T$9,0),MATCH(T200,'G-7 Rivers Data'!$U$4:$Y$4,0)))),"")</f>
        <v/>
      </c>
      <c r="Z200" s="203"/>
      <c r="AA200" s="203"/>
      <c r="AB200" s="534" t="str">
        <f t="shared" si="16"/>
        <v/>
      </c>
      <c r="AC200" s="521" t="str">
        <f t="shared" si="17"/>
        <v/>
      </c>
      <c r="AD200" s="564" t="str">
        <f>IFERROR(IF(AC200="Check Data ⚠","Check Data ⚠",VLOOKUP(AC200,'G-4 Temporal multipliers'!$A$4:$C$37,3,FALSE)),"")</f>
        <v/>
      </c>
      <c r="AE200" s="537" t="str">
        <f>IF(N200="","",VLOOKUP(N200,'G-7 Rivers Data'!$B$4:$G$8,5,FALSE))</f>
        <v/>
      </c>
      <c r="AF200" s="520" t="str">
        <f t="shared" si="18"/>
        <v/>
      </c>
      <c r="AG200" s="520" t="str">
        <f t="shared" si="22"/>
        <v/>
      </c>
      <c r="AH200" s="524" t="str">
        <f t="shared" si="19"/>
        <v/>
      </c>
      <c r="AI200" s="145"/>
      <c r="AJ200" s="499" t="str">
        <f>IF(AI200="","",IF(VLOOKUP(AI200,'G-7 Rivers Data'!$AA$4:$AB$7,2,FALSE)=0,"Spatial Data Missing ⚠",VLOOKUP(AI200,'G-7 Rivers Data'!$AA$4:$AB$7,2,FALSE)))</f>
        <v/>
      </c>
      <c r="AK200" s="155"/>
      <c r="AL200" s="536" t="str">
        <f>IF(AK200="","",IF(VLOOKUP(AK200,'G-7 Rivers Data'!$AD$4:$AE$8,2,FALSE)=0,"Spatial Data Missing ⚠",VLOOKUP(AK200,'G-7 Rivers Data'!$AD$4:$AE$8,2,FALSE)))</f>
        <v/>
      </c>
      <c r="AM200" s="154"/>
      <c r="AN200" s="524" t="str">
        <f>IF(AM200="","",VLOOKUP(AM200,'G-7 Rivers Data'!$AO$4:$AP$7,2,FALSE))</f>
        <v/>
      </c>
      <c r="AO200" s="545" t="str">
        <f t="shared" si="23"/>
        <v/>
      </c>
      <c r="AP200" s="149"/>
      <c r="AQ200" s="150"/>
      <c r="AX200" s="31" t="str">
        <f>IFERROR(INDEX('G-7 Rivers Data'!$AZ$3:$AZ$7,MATCH(N200,'G-7 Rivers Data'!$AY$3:$AY$7,0)),"")</f>
        <v/>
      </c>
    </row>
    <row r="201" spans="2:50" ht="14" x14ac:dyDescent="0.3">
      <c r="B201" s="531" t="str">
        <f>'F-1 Off Site River Baseline'!AN199</f>
        <v/>
      </c>
      <c r="C201" s="520" t="str">
        <f>IF(B201="","",VLOOKUP($B201,'F-1 Off Site River Baseline'!$C$9:$R$257,2,FALSE))</f>
        <v/>
      </c>
      <c r="D201" s="520" t="str">
        <f>IF(C201="","",VLOOKUP($B201,'F-1 Off Site River Baseline'!$C$9:$R$257,3,FALSE))</f>
        <v/>
      </c>
      <c r="E201" s="520" t="str">
        <f>IF(D201="","",VLOOKUP($B201,'F-1 Off Site River Baseline'!$C$9:$R$257,4,FALSE))</f>
        <v/>
      </c>
      <c r="F201" s="520" t="str">
        <f>IF(E201="","",VLOOKUP($B201,'F-1 Off Site River Baseline'!$C$9:$R$257,5,FALSE))</f>
        <v/>
      </c>
      <c r="G201" s="520" t="str">
        <f>IF(F201="","",VLOOKUP($B201,'F-1 Off Site River Baseline'!$C$9:$R$257,6,FALSE))</f>
        <v/>
      </c>
      <c r="H201" s="520" t="str">
        <f>IF(G201="","",VLOOKUP($B201,'F-1 Off Site River Baseline'!$C$9:$R$257,7,FALSE))</f>
        <v/>
      </c>
      <c r="I201" s="520" t="str">
        <f>IF(H201="","",VLOOKUP($B201,'F-1 Off Site River Baseline'!$C$9:$R$257,8,FALSE))</f>
        <v/>
      </c>
      <c r="J201" s="520" t="str">
        <f>IF(I201="","",VLOOKUP($B201,'F-1 Off Site River Baseline'!$C$9:$R$257,9,FALSE))</f>
        <v/>
      </c>
      <c r="K201" s="520" t="str">
        <f>IF(J201="","",VLOOKUP($B201,'F-1 Off Site River Baseline'!$C$9:$R$257,10,FALSE))</f>
        <v/>
      </c>
      <c r="L201" s="520" t="str">
        <f>IF(B201="","",VLOOKUP($B201,'C-1 Site River Baseline'!$C$9:$R$257,15,FALSE))</f>
        <v/>
      </c>
      <c r="M201" s="524" t="str">
        <f>IF(L201="","",VLOOKUP($B201,'F-1 Off Site River Baseline'!$C$9:$R$257,16,FALSE))</f>
        <v/>
      </c>
      <c r="N201" s="418" t="str">
        <f t="shared" si="20"/>
        <v/>
      </c>
      <c r="O201" s="498" t="str">
        <f t="shared" si="21"/>
        <v/>
      </c>
      <c r="P201" s="499" t="str">
        <f>IF(C201="","",IF(AND(LEFT(C201,55)&lt;&gt;LEFT(N201,55),O201="High - High"),"Error - Not like for like ▲",IF(AND(F201=S201,H201&gt;U201),"Error - Can not reduce condition ▲",IF(AND(F201=S201,H201=U201,AJ201='F-1 Off Site River Baseline'!N199,'F-1 Off Site River Baseline'!P199=AL201),"Error - No enhancement ▲",IF(AND(C201&lt;&gt;N201,F201&lt;S201),"Lower Distinctiveness Habitat"&amp;" - "&amp;T201,G201&amp;" - "&amp;T201)))))</f>
        <v/>
      </c>
      <c r="Q201" s="505" t="str">
        <f>IF(N201="","",VLOOKUP(B201,'F-1 Off Site River Baseline'!$C$10:$AA$257,19,FALSE))</f>
        <v/>
      </c>
      <c r="R201" s="498" t="str">
        <f>IF(N201="","",VLOOKUP(N201,'G-7 Rivers Data'!$B$2:$G$8,2,FALSE))</f>
        <v/>
      </c>
      <c r="S201" s="499" t="str">
        <f>IFERROR(VLOOKUP(R201,'G-7 Rivers Data'!$C$4:$D$8,2,FALSE),"")</f>
        <v/>
      </c>
      <c r="T201" s="145"/>
      <c r="U201" s="499" t="str">
        <f>IFERROR(INDEX('G-7 Rivers Data'!$H$4:$L$8,MATCH(N201,'G-7 Rivers Data'!$B$4:$B$8,0),MATCH(T201,'G-7 Rivers Data'!$H$3:$L$3,0)),"")</f>
        <v/>
      </c>
      <c r="V201" s="154"/>
      <c r="W201" s="520" t="str">
        <f>IF(V201="","",IF(VLOOKUP(V201,'G-7 Rivers Data'!$AG$4:$AI$9,2,FALSE)=0,"Spatial Data Missing ⚠",VLOOKUP(V201,'G-7 Rivers Data'!$AG$4:$AI$9,2,FALSE)))</f>
        <v/>
      </c>
      <c r="X201" s="524" t="str">
        <f>IF(V201="","",IF(VLOOKUP(V201,'G-7 Rivers Data'!$AG$4:$AI$9,3,FALSE)=0,"Spatial Data Missing ⚠",VLOOKUP(V201,'G-7 Rivers Data'!$AG$4:$AI$9,3,FALSE)))</f>
        <v/>
      </c>
      <c r="Y201" s="537" t="str">
        <f>IFERROR(IF(OR(LEFT(P201,5)="Error ▲",LEFT(O201,5)="Error ▲"),"Check Data ⚠",IF(F201&lt;S201,'G-7 Rivers Data'!$R$3,INDEX('G-7 Rivers Data'!$U$5:$Y$9,MATCH(G201,'G-7 Rivers Data'!$T$5:$T$9,0),MATCH(T201,'G-7 Rivers Data'!$U$4:$Y$4,0)))),"")</f>
        <v/>
      </c>
      <c r="Z201" s="203"/>
      <c r="AA201" s="203"/>
      <c r="AB201" s="534" t="str">
        <f t="shared" si="16"/>
        <v/>
      </c>
      <c r="AC201" s="521" t="str">
        <f t="shared" si="17"/>
        <v/>
      </c>
      <c r="AD201" s="564" t="str">
        <f>IFERROR(IF(AC201="Check Data ⚠","Check Data ⚠",VLOOKUP(AC201,'G-4 Temporal multipliers'!$A$4:$C$37,3,FALSE)),"")</f>
        <v/>
      </c>
      <c r="AE201" s="537" t="str">
        <f>IF(N201="","",VLOOKUP(N201,'G-7 Rivers Data'!$B$4:$G$8,5,FALSE))</f>
        <v/>
      </c>
      <c r="AF201" s="520" t="str">
        <f t="shared" si="18"/>
        <v/>
      </c>
      <c r="AG201" s="520" t="str">
        <f t="shared" si="22"/>
        <v/>
      </c>
      <c r="AH201" s="524" t="str">
        <f t="shared" si="19"/>
        <v/>
      </c>
      <c r="AI201" s="145"/>
      <c r="AJ201" s="499" t="str">
        <f>IF(AI201="","",IF(VLOOKUP(AI201,'G-7 Rivers Data'!$AA$4:$AB$7,2,FALSE)=0,"Spatial Data Missing ⚠",VLOOKUP(AI201,'G-7 Rivers Data'!$AA$4:$AB$7,2,FALSE)))</f>
        <v/>
      </c>
      <c r="AK201" s="155"/>
      <c r="AL201" s="536" t="str">
        <f>IF(AK201="","",IF(VLOOKUP(AK201,'G-7 Rivers Data'!$AD$4:$AE$8,2,FALSE)=0,"Spatial Data Missing ⚠",VLOOKUP(AK201,'G-7 Rivers Data'!$AD$4:$AE$8,2,FALSE)))</f>
        <v/>
      </c>
      <c r="AM201" s="154"/>
      <c r="AN201" s="524" t="str">
        <f>IF(AM201="","",VLOOKUP(AM201,'G-7 Rivers Data'!$AO$4:$AP$7,2,FALSE))</f>
        <v/>
      </c>
      <c r="AO201" s="545" t="str">
        <f t="shared" si="23"/>
        <v/>
      </c>
      <c r="AP201" s="149"/>
      <c r="AQ201" s="150"/>
      <c r="AX201" s="31" t="str">
        <f>IFERROR(INDEX('G-7 Rivers Data'!$AZ$3:$AZ$7,MATCH(N201,'G-7 Rivers Data'!$AY$3:$AY$7,0)),"")</f>
        <v/>
      </c>
    </row>
    <row r="202" spans="2:50" ht="14" x14ac:dyDescent="0.3">
      <c r="B202" s="531" t="str">
        <f>'F-1 Off Site River Baseline'!AN200</f>
        <v/>
      </c>
      <c r="C202" s="520" t="str">
        <f>IF(B202="","",VLOOKUP($B202,'F-1 Off Site River Baseline'!$C$9:$R$257,2,FALSE))</f>
        <v/>
      </c>
      <c r="D202" s="520" t="str">
        <f>IF(C202="","",VLOOKUP($B202,'F-1 Off Site River Baseline'!$C$9:$R$257,3,FALSE))</f>
        <v/>
      </c>
      <c r="E202" s="520" t="str">
        <f>IF(D202="","",VLOOKUP($B202,'F-1 Off Site River Baseline'!$C$9:$R$257,4,FALSE))</f>
        <v/>
      </c>
      <c r="F202" s="520" t="str">
        <f>IF(E202="","",VLOOKUP($B202,'F-1 Off Site River Baseline'!$C$9:$R$257,5,FALSE))</f>
        <v/>
      </c>
      <c r="G202" s="520" t="str">
        <f>IF(F202="","",VLOOKUP($B202,'F-1 Off Site River Baseline'!$C$9:$R$257,6,FALSE))</f>
        <v/>
      </c>
      <c r="H202" s="520" t="str">
        <f>IF(G202="","",VLOOKUP($B202,'F-1 Off Site River Baseline'!$C$9:$R$257,7,FALSE))</f>
        <v/>
      </c>
      <c r="I202" s="520" t="str">
        <f>IF(H202="","",VLOOKUP($B202,'F-1 Off Site River Baseline'!$C$9:$R$257,8,FALSE))</f>
        <v/>
      </c>
      <c r="J202" s="520" t="str">
        <f>IF(I202="","",VLOOKUP($B202,'F-1 Off Site River Baseline'!$C$9:$R$257,9,FALSE))</f>
        <v/>
      </c>
      <c r="K202" s="520" t="str">
        <f>IF(J202="","",VLOOKUP($B202,'F-1 Off Site River Baseline'!$C$9:$R$257,10,FALSE))</f>
        <v/>
      </c>
      <c r="L202" s="520" t="str">
        <f>IF(B202="","",VLOOKUP($B202,'C-1 Site River Baseline'!$C$9:$R$257,15,FALSE))</f>
        <v/>
      </c>
      <c r="M202" s="524" t="str">
        <f>IF(L202="","",VLOOKUP($B202,'F-1 Off Site River Baseline'!$C$9:$R$257,16,FALSE))</f>
        <v/>
      </c>
      <c r="N202" s="418" t="str">
        <f t="shared" si="20"/>
        <v/>
      </c>
      <c r="O202" s="498" t="str">
        <f t="shared" si="21"/>
        <v/>
      </c>
      <c r="P202" s="499" t="str">
        <f>IF(C202="","",IF(AND(LEFT(C202,55)&lt;&gt;LEFT(N202,55),O202="High - High"),"Error - Not like for like ▲",IF(AND(F202=S202,H202&gt;U202),"Error - Can not reduce condition ▲",IF(AND(F202=S202,H202=U202,AJ202='F-1 Off Site River Baseline'!N200,'F-1 Off Site River Baseline'!P200=AL202),"Error - No enhancement ▲",IF(AND(C202&lt;&gt;N202,F202&lt;S202),"Lower Distinctiveness Habitat"&amp;" - "&amp;T202,G202&amp;" - "&amp;T202)))))</f>
        <v/>
      </c>
      <c r="Q202" s="505" t="str">
        <f>IF(N202="","",VLOOKUP(B202,'F-1 Off Site River Baseline'!$C$10:$AA$257,19,FALSE))</f>
        <v/>
      </c>
      <c r="R202" s="498" t="str">
        <f>IF(N202="","",VLOOKUP(N202,'G-7 Rivers Data'!$B$2:$G$8,2,FALSE))</f>
        <v/>
      </c>
      <c r="S202" s="499" t="str">
        <f>IFERROR(VLOOKUP(R202,'G-7 Rivers Data'!$C$4:$D$8,2,FALSE),"")</f>
        <v/>
      </c>
      <c r="T202" s="145"/>
      <c r="U202" s="499" t="str">
        <f>IFERROR(INDEX('G-7 Rivers Data'!$H$4:$L$8,MATCH(N202,'G-7 Rivers Data'!$B$4:$B$8,0),MATCH(T202,'G-7 Rivers Data'!$H$3:$L$3,0)),"")</f>
        <v/>
      </c>
      <c r="V202" s="154"/>
      <c r="W202" s="520" t="str">
        <f>IF(V202="","",IF(VLOOKUP(V202,'G-7 Rivers Data'!$AG$4:$AI$9,2,FALSE)=0,"Spatial Data Missing ⚠",VLOOKUP(V202,'G-7 Rivers Data'!$AG$4:$AI$9,2,FALSE)))</f>
        <v/>
      </c>
      <c r="X202" s="524" t="str">
        <f>IF(V202="","",IF(VLOOKUP(V202,'G-7 Rivers Data'!$AG$4:$AI$9,3,FALSE)=0,"Spatial Data Missing ⚠",VLOOKUP(V202,'G-7 Rivers Data'!$AG$4:$AI$9,3,FALSE)))</f>
        <v/>
      </c>
      <c r="Y202" s="537" t="str">
        <f>IFERROR(IF(OR(LEFT(P202,5)="Error ▲",LEFT(O202,5)="Error ▲"),"Check Data ⚠",IF(F202&lt;S202,'G-7 Rivers Data'!$R$3,INDEX('G-7 Rivers Data'!$U$5:$Y$9,MATCH(G202,'G-7 Rivers Data'!$T$5:$T$9,0),MATCH(T202,'G-7 Rivers Data'!$U$4:$Y$4,0)))),"")</f>
        <v/>
      </c>
      <c r="Z202" s="203"/>
      <c r="AA202" s="203"/>
      <c r="AB202" s="534" t="str">
        <f t="shared" si="16"/>
        <v/>
      </c>
      <c r="AC202" s="521" t="str">
        <f t="shared" si="17"/>
        <v/>
      </c>
      <c r="AD202" s="564" t="str">
        <f>IFERROR(IF(AC202="Check Data ⚠","Check Data ⚠",VLOOKUP(AC202,'G-4 Temporal multipliers'!$A$4:$C$37,3,FALSE)),"")</f>
        <v/>
      </c>
      <c r="AE202" s="537" t="str">
        <f>IF(N202="","",VLOOKUP(N202,'G-7 Rivers Data'!$B$4:$G$8,5,FALSE))</f>
        <v/>
      </c>
      <c r="AF202" s="520" t="str">
        <f t="shared" si="18"/>
        <v/>
      </c>
      <c r="AG202" s="520" t="str">
        <f t="shared" si="22"/>
        <v/>
      </c>
      <c r="AH202" s="524" t="str">
        <f t="shared" si="19"/>
        <v/>
      </c>
      <c r="AI202" s="145"/>
      <c r="AJ202" s="499" t="str">
        <f>IF(AI202="","",IF(VLOOKUP(AI202,'G-7 Rivers Data'!$AA$4:$AB$7,2,FALSE)=0,"Spatial Data Missing ⚠",VLOOKUP(AI202,'G-7 Rivers Data'!$AA$4:$AB$7,2,FALSE)))</f>
        <v/>
      </c>
      <c r="AK202" s="155"/>
      <c r="AL202" s="536" t="str">
        <f>IF(AK202="","",IF(VLOOKUP(AK202,'G-7 Rivers Data'!$AD$4:$AE$8,2,FALSE)=0,"Spatial Data Missing ⚠",VLOOKUP(AK202,'G-7 Rivers Data'!$AD$4:$AE$8,2,FALSE)))</f>
        <v/>
      </c>
      <c r="AM202" s="154"/>
      <c r="AN202" s="524" t="str">
        <f>IF(AM202="","",VLOOKUP(AM202,'G-7 Rivers Data'!$AO$4:$AP$7,2,FALSE))</f>
        <v/>
      </c>
      <c r="AO202" s="545" t="str">
        <f t="shared" si="23"/>
        <v/>
      </c>
      <c r="AP202" s="149"/>
      <c r="AQ202" s="150"/>
      <c r="AX202" s="31" t="str">
        <f>IFERROR(INDEX('G-7 Rivers Data'!$AZ$3:$AZ$7,MATCH(N202,'G-7 Rivers Data'!$AY$3:$AY$7,0)),"")</f>
        <v/>
      </c>
    </row>
    <row r="203" spans="2:50" ht="14" x14ac:dyDescent="0.3">
      <c r="B203" s="531" t="str">
        <f>'F-1 Off Site River Baseline'!AN201</f>
        <v/>
      </c>
      <c r="C203" s="520" t="str">
        <f>IF(B203="","",VLOOKUP($B203,'F-1 Off Site River Baseline'!$C$9:$R$257,2,FALSE))</f>
        <v/>
      </c>
      <c r="D203" s="520" t="str">
        <f>IF(C203="","",VLOOKUP($B203,'F-1 Off Site River Baseline'!$C$9:$R$257,3,FALSE))</f>
        <v/>
      </c>
      <c r="E203" s="520" t="str">
        <f>IF(D203="","",VLOOKUP($B203,'F-1 Off Site River Baseline'!$C$9:$R$257,4,FALSE))</f>
        <v/>
      </c>
      <c r="F203" s="520" t="str">
        <f>IF(E203="","",VLOOKUP($B203,'F-1 Off Site River Baseline'!$C$9:$R$257,5,FALSE))</f>
        <v/>
      </c>
      <c r="G203" s="520" t="str">
        <f>IF(F203="","",VLOOKUP($B203,'F-1 Off Site River Baseline'!$C$9:$R$257,6,FALSE))</f>
        <v/>
      </c>
      <c r="H203" s="520" t="str">
        <f>IF(G203="","",VLOOKUP($B203,'F-1 Off Site River Baseline'!$C$9:$R$257,7,FALSE))</f>
        <v/>
      </c>
      <c r="I203" s="520" t="str">
        <f>IF(H203="","",VLOOKUP($B203,'F-1 Off Site River Baseline'!$C$9:$R$257,8,FALSE))</f>
        <v/>
      </c>
      <c r="J203" s="520" t="str">
        <f>IF(I203="","",VLOOKUP($B203,'F-1 Off Site River Baseline'!$C$9:$R$257,9,FALSE))</f>
        <v/>
      </c>
      <c r="K203" s="520" t="str">
        <f>IF(J203="","",VLOOKUP($B203,'F-1 Off Site River Baseline'!$C$9:$R$257,10,FALSE))</f>
        <v/>
      </c>
      <c r="L203" s="520" t="str">
        <f>IF(B203="","",VLOOKUP($B203,'C-1 Site River Baseline'!$C$9:$R$257,15,FALSE))</f>
        <v/>
      </c>
      <c r="M203" s="524" t="str">
        <f>IF(L203="","",VLOOKUP($B203,'F-1 Off Site River Baseline'!$C$9:$R$257,16,FALSE))</f>
        <v/>
      </c>
      <c r="N203" s="418" t="str">
        <f t="shared" si="20"/>
        <v/>
      </c>
      <c r="O203" s="498" t="str">
        <f t="shared" si="21"/>
        <v/>
      </c>
      <c r="P203" s="499" t="str">
        <f>IF(C203="","",IF(AND(LEFT(C203,55)&lt;&gt;LEFT(N203,55),O203="High - High"),"Error - Not like for like ▲",IF(AND(F203=S203,H203&gt;U203),"Error - Can not reduce condition ▲",IF(AND(F203=S203,H203=U203,AJ203='F-1 Off Site River Baseline'!N201,'F-1 Off Site River Baseline'!P201=AL203),"Error - No enhancement ▲",IF(AND(C203&lt;&gt;N203,F203&lt;S203),"Lower Distinctiveness Habitat"&amp;" - "&amp;T203,G203&amp;" - "&amp;T203)))))</f>
        <v/>
      </c>
      <c r="Q203" s="505" t="str">
        <f>IF(N203="","",VLOOKUP(B203,'F-1 Off Site River Baseline'!$C$10:$AA$257,19,FALSE))</f>
        <v/>
      </c>
      <c r="R203" s="498" t="str">
        <f>IF(N203="","",VLOOKUP(N203,'G-7 Rivers Data'!$B$2:$G$8,2,FALSE))</f>
        <v/>
      </c>
      <c r="S203" s="499" t="str">
        <f>IFERROR(VLOOKUP(R203,'G-7 Rivers Data'!$C$4:$D$8,2,FALSE),"")</f>
        <v/>
      </c>
      <c r="T203" s="145"/>
      <c r="U203" s="499" t="str">
        <f>IFERROR(INDEX('G-7 Rivers Data'!$H$4:$L$8,MATCH(N203,'G-7 Rivers Data'!$B$4:$B$8,0),MATCH(T203,'G-7 Rivers Data'!$H$3:$L$3,0)),"")</f>
        <v/>
      </c>
      <c r="V203" s="154"/>
      <c r="W203" s="520" t="str">
        <f>IF(V203="","",IF(VLOOKUP(V203,'G-7 Rivers Data'!$AG$4:$AI$9,2,FALSE)=0,"Spatial Data Missing ⚠",VLOOKUP(V203,'G-7 Rivers Data'!$AG$4:$AI$9,2,FALSE)))</f>
        <v/>
      </c>
      <c r="X203" s="524" t="str">
        <f>IF(V203="","",IF(VLOOKUP(V203,'G-7 Rivers Data'!$AG$4:$AI$9,3,FALSE)=0,"Spatial Data Missing ⚠",VLOOKUP(V203,'G-7 Rivers Data'!$AG$4:$AI$9,3,FALSE)))</f>
        <v/>
      </c>
      <c r="Y203" s="537" t="str">
        <f>IFERROR(IF(OR(LEFT(P203,5)="Error ▲",LEFT(O203,5)="Error ▲"),"Check Data ⚠",IF(F203&lt;S203,'G-7 Rivers Data'!$R$3,INDEX('G-7 Rivers Data'!$U$5:$Y$9,MATCH(G203,'G-7 Rivers Data'!$T$5:$T$9,0),MATCH(T203,'G-7 Rivers Data'!$U$4:$Y$4,0)))),"")</f>
        <v/>
      </c>
      <c r="Z203" s="203"/>
      <c r="AA203" s="203"/>
      <c r="AB203" s="534" t="str">
        <f t="shared" si="16"/>
        <v/>
      </c>
      <c r="AC203" s="521" t="str">
        <f t="shared" si="17"/>
        <v/>
      </c>
      <c r="AD203" s="564" t="str">
        <f>IFERROR(IF(AC203="Check Data ⚠","Check Data ⚠",VLOOKUP(AC203,'G-4 Temporal multipliers'!$A$4:$C$37,3,FALSE)),"")</f>
        <v/>
      </c>
      <c r="AE203" s="537" t="str">
        <f>IF(N203="","",VLOOKUP(N203,'G-7 Rivers Data'!$B$4:$G$8,5,FALSE))</f>
        <v/>
      </c>
      <c r="AF203" s="520" t="str">
        <f t="shared" si="18"/>
        <v/>
      </c>
      <c r="AG203" s="520" t="str">
        <f t="shared" si="22"/>
        <v/>
      </c>
      <c r="AH203" s="524" t="str">
        <f t="shared" si="19"/>
        <v/>
      </c>
      <c r="AI203" s="145"/>
      <c r="AJ203" s="499" t="str">
        <f>IF(AI203="","",IF(VLOOKUP(AI203,'G-7 Rivers Data'!$AA$4:$AB$7,2,FALSE)=0,"Spatial Data Missing ⚠",VLOOKUP(AI203,'G-7 Rivers Data'!$AA$4:$AB$7,2,FALSE)))</f>
        <v/>
      </c>
      <c r="AK203" s="155"/>
      <c r="AL203" s="536" t="str">
        <f>IF(AK203="","",IF(VLOOKUP(AK203,'G-7 Rivers Data'!$AD$4:$AE$8,2,FALSE)=0,"Spatial Data Missing ⚠",VLOOKUP(AK203,'G-7 Rivers Data'!$AD$4:$AE$8,2,FALSE)))</f>
        <v/>
      </c>
      <c r="AM203" s="154"/>
      <c r="AN203" s="524" t="str">
        <f>IF(AM203="","",VLOOKUP(AM203,'G-7 Rivers Data'!$AO$4:$AP$7,2,FALSE))</f>
        <v/>
      </c>
      <c r="AO203" s="545" t="str">
        <f t="shared" si="23"/>
        <v/>
      </c>
      <c r="AP203" s="149"/>
      <c r="AQ203" s="150"/>
      <c r="AX203" s="31" t="str">
        <f>IFERROR(INDEX('G-7 Rivers Data'!$AZ$3:$AZ$7,MATCH(N203,'G-7 Rivers Data'!$AY$3:$AY$7,0)),"")</f>
        <v/>
      </c>
    </row>
    <row r="204" spans="2:50" ht="14" x14ac:dyDescent="0.3">
      <c r="B204" s="531" t="str">
        <f>'F-1 Off Site River Baseline'!AN202</f>
        <v/>
      </c>
      <c r="C204" s="520" t="str">
        <f>IF(B204="","",VLOOKUP($B204,'F-1 Off Site River Baseline'!$C$9:$R$257,2,FALSE))</f>
        <v/>
      </c>
      <c r="D204" s="520" t="str">
        <f>IF(C204="","",VLOOKUP($B204,'F-1 Off Site River Baseline'!$C$9:$R$257,3,FALSE))</f>
        <v/>
      </c>
      <c r="E204" s="520" t="str">
        <f>IF(D204="","",VLOOKUP($B204,'F-1 Off Site River Baseline'!$C$9:$R$257,4,FALSE))</f>
        <v/>
      </c>
      <c r="F204" s="520" t="str">
        <f>IF(E204="","",VLOOKUP($B204,'F-1 Off Site River Baseline'!$C$9:$R$257,5,FALSE))</f>
        <v/>
      </c>
      <c r="G204" s="520" t="str">
        <f>IF(F204="","",VLOOKUP($B204,'F-1 Off Site River Baseline'!$C$9:$R$257,6,FALSE))</f>
        <v/>
      </c>
      <c r="H204" s="520" t="str">
        <f>IF(G204="","",VLOOKUP($B204,'F-1 Off Site River Baseline'!$C$9:$R$257,7,FALSE))</f>
        <v/>
      </c>
      <c r="I204" s="520" t="str">
        <f>IF(H204="","",VLOOKUP($B204,'F-1 Off Site River Baseline'!$C$9:$R$257,8,FALSE))</f>
        <v/>
      </c>
      <c r="J204" s="520" t="str">
        <f>IF(I204="","",VLOOKUP($B204,'F-1 Off Site River Baseline'!$C$9:$R$257,9,FALSE))</f>
        <v/>
      </c>
      <c r="K204" s="520" t="str">
        <f>IF(J204="","",VLOOKUP($B204,'F-1 Off Site River Baseline'!$C$9:$R$257,10,FALSE))</f>
        <v/>
      </c>
      <c r="L204" s="520" t="str">
        <f>IF(B204="","",VLOOKUP($B204,'C-1 Site River Baseline'!$C$9:$R$257,15,FALSE))</f>
        <v/>
      </c>
      <c r="M204" s="524" t="str">
        <f>IF(L204="","",VLOOKUP($B204,'F-1 Off Site River Baseline'!$C$9:$R$257,16,FALSE))</f>
        <v/>
      </c>
      <c r="N204" s="418" t="str">
        <f t="shared" si="20"/>
        <v/>
      </c>
      <c r="O204" s="498" t="str">
        <f t="shared" si="21"/>
        <v/>
      </c>
      <c r="P204" s="499" t="str">
        <f>IF(C204="","",IF(AND(LEFT(C204,55)&lt;&gt;LEFT(N204,55),O204="High - High"),"Error - Not like for like ▲",IF(AND(F204=S204,H204&gt;U204),"Error - Can not reduce condition ▲",IF(AND(F204=S204,H204=U204,AJ204='F-1 Off Site River Baseline'!N202,'F-1 Off Site River Baseline'!P202=AL204),"Error - No enhancement ▲",IF(AND(C204&lt;&gt;N204,F204&lt;S204),"Lower Distinctiveness Habitat"&amp;" - "&amp;T204,G204&amp;" - "&amp;T204)))))</f>
        <v/>
      </c>
      <c r="Q204" s="505" t="str">
        <f>IF(N204="","",VLOOKUP(B204,'F-1 Off Site River Baseline'!$C$10:$AA$257,19,FALSE))</f>
        <v/>
      </c>
      <c r="R204" s="498" t="str">
        <f>IF(N204="","",VLOOKUP(N204,'G-7 Rivers Data'!$B$2:$G$8,2,FALSE))</f>
        <v/>
      </c>
      <c r="S204" s="499" t="str">
        <f>IFERROR(VLOOKUP(R204,'G-7 Rivers Data'!$C$4:$D$8,2,FALSE),"")</f>
        <v/>
      </c>
      <c r="T204" s="145"/>
      <c r="U204" s="499" t="str">
        <f>IFERROR(INDEX('G-7 Rivers Data'!$H$4:$L$8,MATCH(N204,'G-7 Rivers Data'!$B$4:$B$8,0),MATCH(T204,'G-7 Rivers Data'!$H$3:$L$3,0)),"")</f>
        <v/>
      </c>
      <c r="V204" s="154"/>
      <c r="W204" s="520" t="str">
        <f>IF(V204="","",IF(VLOOKUP(V204,'G-7 Rivers Data'!$AG$4:$AI$9,2,FALSE)=0,"Spatial Data Missing ⚠",VLOOKUP(V204,'G-7 Rivers Data'!$AG$4:$AI$9,2,FALSE)))</f>
        <v/>
      </c>
      <c r="X204" s="524" t="str">
        <f>IF(V204="","",IF(VLOOKUP(V204,'G-7 Rivers Data'!$AG$4:$AI$9,3,FALSE)=0,"Spatial Data Missing ⚠",VLOOKUP(V204,'G-7 Rivers Data'!$AG$4:$AI$9,3,FALSE)))</f>
        <v/>
      </c>
      <c r="Y204" s="537" t="str">
        <f>IFERROR(IF(OR(LEFT(P204,5)="Error ▲",LEFT(O204,5)="Error ▲"),"Check Data ⚠",IF(F204&lt;S204,'G-7 Rivers Data'!$R$3,INDEX('G-7 Rivers Data'!$U$5:$Y$9,MATCH(G204,'G-7 Rivers Data'!$T$5:$T$9,0),MATCH(T204,'G-7 Rivers Data'!$U$4:$Y$4,0)))),"")</f>
        <v/>
      </c>
      <c r="Z204" s="203"/>
      <c r="AA204" s="203"/>
      <c r="AB204" s="534" t="str">
        <f t="shared" ref="AB204:AB256" si="24">IF(Y204="","",IF(Y204="Check Data ⚠","Check Data ⚠",IF(AND(Z204&gt;0,AA204&gt;0),"Error -both advance and delayed habitat creation ▲",IF(AND(OR(Z204="Habitat already in target condition",Y204&lt;=Z204),AA204=0),"Check details - Is there evidence that habitat has reached target condition? ⚠",IF(Z204&gt;0,"Check details - Is there evidence habitat creation started/in place? ⚠",IF(AA204&gt;0,"Check details- Delay in starting habitat in required condition? ⚠","Standard time to target condition applied"))))))</f>
        <v/>
      </c>
      <c r="AC204" s="521" t="str">
        <f t="shared" ref="AC204:AC256" si="25">IF(LEFT(AB204,5)="Error ▲","Check Data ⚠",IF(AB204="Check Data ⚠","Check Data ⚠",IF(Y204="","",IF(Z204="30+",0,IF(AA204="30+","30+ ⚠",IF(Y204+AA204&gt;30,"30+ ⚠",IF(Y204+AA204-Z204&gt;0,Y204+AA204-Z204,IF(Y204-Z204&lt;0,0,Y204+AA204-Z204))))))))</f>
        <v/>
      </c>
      <c r="AD204" s="564" t="str">
        <f>IFERROR(IF(AC204="Check Data ⚠","Check Data ⚠",VLOOKUP(AC204,'G-4 Temporal multipliers'!$A$4:$C$37,3,FALSE)),"")</f>
        <v/>
      </c>
      <c r="AE204" s="537" t="str">
        <f>IF(N204="","",VLOOKUP(N204,'G-7 Rivers Data'!$B$4:$G$8,5,FALSE))</f>
        <v/>
      </c>
      <c r="AF204" s="520" t="str">
        <f t="shared" ref="AF204:AF256" si="26">IF(N204="","",IF(AC204="Check Data ⚠","Check Data ⚠",IF(T204="","",IF($AB204="Check details - Is there evidence that habitat has reached target condition? ⚠","Low Difficulty - only applicable if all habitat created before losses ⚠","Standard difficulty applied"))))</f>
        <v/>
      </c>
      <c r="AG204" s="520" t="str">
        <f t="shared" si="22"/>
        <v/>
      </c>
      <c r="AH204" s="524" t="str">
        <f t="shared" ref="AH204:AH257" si="27">IF(N204="","",VLOOKUP(AE204,Difficulty,2,FALSE))</f>
        <v/>
      </c>
      <c r="AI204" s="145"/>
      <c r="AJ204" s="499" t="str">
        <f>IF(AI204="","",IF(VLOOKUP(AI204,'G-7 Rivers Data'!$AA$4:$AB$7,2,FALSE)=0,"Spatial Data Missing ⚠",VLOOKUP(AI204,'G-7 Rivers Data'!$AA$4:$AB$7,2,FALSE)))</f>
        <v/>
      </c>
      <c r="AK204" s="155"/>
      <c r="AL204" s="536" t="str">
        <f>IF(AK204="","",IF(VLOOKUP(AK204,'G-7 Rivers Data'!$AD$4:$AE$8,2,FALSE)=0,"Spatial Data Missing ⚠",VLOOKUP(AK204,'G-7 Rivers Data'!$AD$4:$AE$8,2,FALSE)))</f>
        <v/>
      </c>
      <c r="AM204" s="154"/>
      <c r="AN204" s="524" t="str">
        <f>IF(AM204="","",VLOOKUP(AM204,'G-7 Rivers Data'!$AO$4:$AP$7,2,FALSE))</f>
        <v/>
      </c>
      <c r="AO204" s="545" t="str">
        <f t="shared" si="23"/>
        <v/>
      </c>
      <c r="AP204" s="149"/>
      <c r="AQ204" s="150"/>
      <c r="AX204" s="31" t="str">
        <f>IFERROR(INDEX('G-7 Rivers Data'!$AZ$3:$AZ$7,MATCH(N204,'G-7 Rivers Data'!$AY$3:$AY$7,0)),"")</f>
        <v/>
      </c>
    </row>
    <row r="205" spans="2:50" ht="14" x14ac:dyDescent="0.3">
      <c r="B205" s="531" t="str">
        <f>'F-1 Off Site River Baseline'!AN203</f>
        <v/>
      </c>
      <c r="C205" s="520" t="str">
        <f>IF(B205="","",VLOOKUP($B205,'F-1 Off Site River Baseline'!$C$9:$R$257,2,FALSE))</f>
        <v/>
      </c>
      <c r="D205" s="520" t="str">
        <f>IF(C205="","",VLOOKUP($B205,'F-1 Off Site River Baseline'!$C$9:$R$257,3,FALSE))</f>
        <v/>
      </c>
      <c r="E205" s="520" t="str">
        <f>IF(D205="","",VLOOKUP($B205,'F-1 Off Site River Baseline'!$C$9:$R$257,4,FALSE))</f>
        <v/>
      </c>
      <c r="F205" s="520" t="str">
        <f>IF(E205="","",VLOOKUP($B205,'F-1 Off Site River Baseline'!$C$9:$R$257,5,FALSE))</f>
        <v/>
      </c>
      <c r="G205" s="520" t="str">
        <f>IF(F205="","",VLOOKUP($B205,'F-1 Off Site River Baseline'!$C$9:$R$257,6,FALSE))</f>
        <v/>
      </c>
      <c r="H205" s="520" t="str">
        <f>IF(G205="","",VLOOKUP($B205,'F-1 Off Site River Baseline'!$C$9:$R$257,7,FALSE))</f>
        <v/>
      </c>
      <c r="I205" s="520" t="str">
        <f>IF(H205="","",VLOOKUP($B205,'F-1 Off Site River Baseline'!$C$9:$R$257,8,FALSE))</f>
        <v/>
      </c>
      <c r="J205" s="520" t="str">
        <f>IF(I205="","",VLOOKUP($B205,'F-1 Off Site River Baseline'!$C$9:$R$257,9,FALSE))</f>
        <v/>
      </c>
      <c r="K205" s="520" t="str">
        <f>IF(J205="","",VLOOKUP($B205,'F-1 Off Site River Baseline'!$C$9:$R$257,10,FALSE))</f>
        <v/>
      </c>
      <c r="L205" s="520" t="str">
        <f>IF(B205="","",VLOOKUP($B205,'C-1 Site River Baseline'!$C$9:$R$257,15,FALSE))</f>
        <v/>
      </c>
      <c r="M205" s="524" t="str">
        <f>IF(L205="","",VLOOKUP($B205,'F-1 Off Site River Baseline'!$C$9:$R$257,16,FALSE))</f>
        <v/>
      </c>
      <c r="N205" s="418" t="str">
        <f t="shared" ref="N205:N257" si="28">C205</f>
        <v/>
      </c>
      <c r="O205" s="498" t="str">
        <f t="shared" ref="O205:O257" si="29">IF(B205="","",IF(S205&lt;F205,"Error Trading Down ▲",E205&amp;" - "&amp;R205))</f>
        <v/>
      </c>
      <c r="P205" s="499" t="str">
        <f>IF(C205="","",IF(AND(LEFT(C205,55)&lt;&gt;LEFT(N205,55),O205="High - High"),"Error - Not like for like ▲",IF(AND(F205=S205,H205&gt;U205),"Error - Can not reduce condition ▲",IF(AND(F205=S205,H205=U205,AJ205='F-1 Off Site River Baseline'!N203,'F-1 Off Site River Baseline'!P203=AL205),"Error - No enhancement ▲",IF(AND(C205&lt;&gt;N205,F205&lt;S205),"Lower Distinctiveness Habitat"&amp;" - "&amp;T205,G205&amp;" - "&amp;T205)))))</f>
        <v/>
      </c>
      <c r="Q205" s="505" t="str">
        <f>IF(N205="","",VLOOKUP(B205,'F-1 Off Site River Baseline'!$C$10:$AA$257,19,FALSE))</f>
        <v/>
      </c>
      <c r="R205" s="498" t="str">
        <f>IF(N205="","",VLOOKUP(N205,'G-7 Rivers Data'!$B$2:$G$8,2,FALSE))</f>
        <v/>
      </c>
      <c r="S205" s="499" t="str">
        <f>IFERROR(VLOOKUP(R205,'G-7 Rivers Data'!$C$4:$D$8,2,FALSE),"")</f>
        <v/>
      </c>
      <c r="T205" s="145"/>
      <c r="U205" s="499" t="str">
        <f>IFERROR(INDEX('G-7 Rivers Data'!$H$4:$L$8,MATCH(N205,'G-7 Rivers Data'!$B$4:$B$8,0),MATCH(T205,'G-7 Rivers Data'!$H$3:$L$3,0)),"")</f>
        <v/>
      </c>
      <c r="V205" s="154"/>
      <c r="W205" s="520" t="str">
        <f>IF(V205="","",IF(VLOOKUP(V205,'G-7 Rivers Data'!$AG$4:$AI$9,2,FALSE)=0,"Spatial Data Missing ⚠",VLOOKUP(V205,'G-7 Rivers Data'!$AG$4:$AI$9,2,FALSE)))</f>
        <v/>
      </c>
      <c r="X205" s="524" t="str">
        <f>IF(V205="","",IF(VLOOKUP(V205,'G-7 Rivers Data'!$AG$4:$AI$9,3,FALSE)=0,"Spatial Data Missing ⚠",VLOOKUP(V205,'G-7 Rivers Data'!$AG$4:$AI$9,3,FALSE)))</f>
        <v/>
      </c>
      <c r="Y205" s="537" t="str">
        <f>IFERROR(IF(OR(LEFT(P205,5)="Error ▲",LEFT(O205,5)="Error ▲"),"Check Data ⚠",IF(F205&lt;S205,'G-7 Rivers Data'!$R$3,INDEX('G-7 Rivers Data'!$U$5:$Y$9,MATCH(G205,'G-7 Rivers Data'!$T$5:$T$9,0),MATCH(T205,'G-7 Rivers Data'!$U$4:$Y$4,0)))),"")</f>
        <v/>
      </c>
      <c r="Z205" s="203"/>
      <c r="AA205" s="203"/>
      <c r="AB205" s="534" t="str">
        <f t="shared" si="24"/>
        <v/>
      </c>
      <c r="AC205" s="521" t="str">
        <f t="shared" si="25"/>
        <v/>
      </c>
      <c r="AD205" s="564" t="str">
        <f>IFERROR(IF(AC205="Check Data ⚠","Check Data ⚠",VLOOKUP(AC205,'G-4 Temporal multipliers'!$A$4:$C$37,3,FALSE)),"")</f>
        <v/>
      </c>
      <c r="AE205" s="537" t="str">
        <f>IF(N205="","",VLOOKUP(N205,'G-7 Rivers Data'!$B$4:$G$8,5,FALSE))</f>
        <v/>
      </c>
      <c r="AF205" s="520" t="str">
        <f t="shared" si="26"/>
        <v/>
      </c>
      <c r="AG205" s="520" t="str">
        <f t="shared" ref="AG205:AG257" si="30">(IF(AND(AF205="Standard difficulty applied",Y205&gt;Z205),AE205,IF(AND(AF205="Low Difficulty - only applicable if all habitat created before losses ⚠",Z205&gt;=Y205),"Low",AE205)))</f>
        <v/>
      </c>
      <c r="AH205" s="524" t="str">
        <f t="shared" si="27"/>
        <v/>
      </c>
      <c r="AI205" s="145"/>
      <c r="AJ205" s="499" t="str">
        <f>IF(AI205="","",IF(VLOOKUP(AI205,'G-7 Rivers Data'!$AA$4:$AB$7,2,FALSE)=0,"Spatial Data Missing ⚠",VLOOKUP(AI205,'G-7 Rivers Data'!$AA$4:$AB$7,2,FALSE)))</f>
        <v/>
      </c>
      <c r="AK205" s="155"/>
      <c r="AL205" s="536" t="str">
        <f>IF(AK205="","",IF(VLOOKUP(AK205,'G-7 Rivers Data'!$AD$4:$AE$8,2,FALSE)=0,"Spatial Data Missing ⚠",VLOOKUP(AK205,'G-7 Rivers Data'!$AD$4:$AE$8,2,FALSE)))</f>
        <v/>
      </c>
      <c r="AM205" s="154"/>
      <c r="AN205" s="524" t="str">
        <f>IF(AM205="","",VLOOKUP(AM205,'G-7 Rivers Data'!$AO$4:$AP$7,2,FALSE))</f>
        <v/>
      </c>
      <c r="AO205" s="545" t="str">
        <f t="shared" ref="AO205:AO257" si="31">IFERROR(IF(C205="","",IF(Q205&gt;D205,((((Q205*S205*U205)-(D205*F205*H205))*(AH205*AD205))+(D205*F205*H205))*(AL205*X205*AJ205*AN205),((((Q205*S205*U205)-(Q205*F205*H205))*(AH205*AD205))+(Q205*F205*H205))*(AL205*X205*AJ205*AN205))),"")</f>
        <v/>
      </c>
      <c r="AP205" s="149"/>
      <c r="AQ205" s="150"/>
      <c r="AX205" s="31" t="str">
        <f>IFERROR(INDEX('G-7 Rivers Data'!$AZ$3:$AZ$7,MATCH(N205,'G-7 Rivers Data'!$AY$3:$AY$7,0)),"")</f>
        <v/>
      </c>
    </row>
    <row r="206" spans="2:50" ht="14" x14ac:dyDescent="0.3">
      <c r="B206" s="531" t="str">
        <f>'F-1 Off Site River Baseline'!AN204</f>
        <v/>
      </c>
      <c r="C206" s="520" t="str">
        <f>IF(B206="","",VLOOKUP($B206,'F-1 Off Site River Baseline'!$C$9:$R$257,2,FALSE))</f>
        <v/>
      </c>
      <c r="D206" s="520" t="str">
        <f>IF(C206="","",VLOOKUP($B206,'F-1 Off Site River Baseline'!$C$9:$R$257,3,FALSE))</f>
        <v/>
      </c>
      <c r="E206" s="520" t="str">
        <f>IF(D206="","",VLOOKUP($B206,'F-1 Off Site River Baseline'!$C$9:$R$257,4,FALSE))</f>
        <v/>
      </c>
      <c r="F206" s="520" t="str">
        <f>IF(E206="","",VLOOKUP($B206,'F-1 Off Site River Baseline'!$C$9:$R$257,5,FALSE))</f>
        <v/>
      </c>
      <c r="G206" s="520" t="str">
        <f>IF(F206="","",VLOOKUP($B206,'F-1 Off Site River Baseline'!$C$9:$R$257,6,FALSE))</f>
        <v/>
      </c>
      <c r="H206" s="520" t="str">
        <f>IF(G206="","",VLOOKUP($B206,'F-1 Off Site River Baseline'!$C$9:$R$257,7,FALSE))</f>
        <v/>
      </c>
      <c r="I206" s="520" t="str">
        <f>IF(H206="","",VLOOKUP($B206,'F-1 Off Site River Baseline'!$C$9:$R$257,8,FALSE))</f>
        <v/>
      </c>
      <c r="J206" s="520" t="str">
        <f>IF(I206="","",VLOOKUP($B206,'F-1 Off Site River Baseline'!$C$9:$R$257,9,FALSE))</f>
        <v/>
      </c>
      <c r="K206" s="520" t="str">
        <f>IF(J206="","",VLOOKUP($B206,'F-1 Off Site River Baseline'!$C$9:$R$257,10,FALSE))</f>
        <v/>
      </c>
      <c r="L206" s="520" t="str">
        <f>IF(B206="","",VLOOKUP($B206,'C-1 Site River Baseline'!$C$9:$R$257,15,FALSE))</f>
        <v/>
      </c>
      <c r="M206" s="524" t="str">
        <f>IF(L206="","",VLOOKUP($B206,'F-1 Off Site River Baseline'!$C$9:$R$257,16,FALSE))</f>
        <v/>
      </c>
      <c r="N206" s="418" t="str">
        <f t="shared" si="28"/>
        <v/>
      </c>
      <c r="O206" s="498" t="str">
        <f t="shared" si="29"/>
        <v/>
      </c>
      <c r="P206" s="499" t="str">
        <f>IF(C206="","",IF(AND(LEFT(C206,55)&lt;&gt;LEFT(N206,55),O206="High - High"),"Error - Not like for like ▲",IF(AND(F206=S206,H206&gt;U206),"Error - Can not reduce condition ▲",IF(AND(F206=S206,H206=U206,AJ206='F-1 Off Site River Baseline'!N204,'F-1 Off Site River Baseline'!P204=AL206),"Error - No enhancement ▲",IF(AND(C206&lt;&gt;N206,F206&lt;S206),"Lower Distinctiveness Habitat"&amp;" - "&amp;T206,G206&amp;" - "&amp;T206)))))</f>
        <v/>
      </c>
      <c r="Q206" s="505" t="str">
        <f>IF(N206="","",VLOOKUP(B206,'F-1 Off Site River Baseline'!$C$10:$AA$257,19,FALSE))</f>
        <v/>
      </c>
      <c r="R206" s="498" t="str">
        <f>IF(N206="","",VLOOKUP(N206,'G-7 Rivers Data'!$B$2:$G$8,2,FALSE))</f>
        <v/>
      </c>
      <c r="S206" s="499" t="str">
        <f>IFERROR(VLOOKUP(R206,'G-7 Rivers Data'!$C$4:$D$8,2,FALSE),"")</f>
        <v/>
      </c>
      <c r="T206" s="145"/>
      <c r="U206" s="499" t="str">
        <f>IFERROR(INDEX('G-7 Rivers Data'!$H$4:$L$8,MATCH(N206,'G-7 Rivers Data'!$B$4:$B$8,0),MATCH(T206,'G-7 Rivers Data'!$H$3:$L$3,0)),"")</f>
        <v/>
      </c>
      <c r="V206" s="154"/>
      <c r="W206" s="520" t="str">
        <f>IF(V206="","",IF(VLOOKUP(V206,'G-7 Rivers Data'!$AG$4:$AI$9,2,FALSE)=0,"Spatial Data Missing ⚠",VLOOKUP(V206,'G-7 Rivers Data'!$AG$4:$AI$9,2,FALSE)))</f>
        <v/>
      </c>
      <c r="X206" s="524" t="str">
        <f>IF(V206="","",IF(VLOOKUP(V206,'G-7 Rivers Data'!$AG$4:$AI$9,3,FALSE)=0,"Spatial Data Missing ⚠",VLOOKUP(V206,'G-7 Rivers Data'!$AG$4:$AI$9,3,FALSE)))</f>
        <v/>
      </c>
      <c r="Y206" s="537" t="str">
        <f>IFERROR(IF(OR(LEFT(P206,5)="Error ▲",LEFT(O206,5)="Error ▲"),"Check Data ⚠",IF(F206&lt;S206,'G-7 Rivers Data'!$R$3,INDEX('G-7 Rivers Data'!$U$5:$Y$9,MATCH(G206,'G-7 Rivers Data'!$T$5:$T$9,0),MATCH(T206,'G-7 Rivers Data'!$U$4:$Y$4,0)))),"")</f>
        <v/>
      </c>
      <c r="Z206" s="203"/>
      <c r="AA206" s="203"/>
      <c r="AB206" s="534" t="str">
        <f t="shared" si="24"/>
        <v/>
      </c>
      <c r="AC206" s="521" t="str">
        <f t="shared" si="25"/>
        <v/>
      </c>
      <c r="AD206" s="564" t="str">
        <f>IFERROR(IF(AC206="Check Data ⚠","Check Data ⚠",VLOOKUP(AC206,'G-4 Temporal multipliers'!$A$4:$C$37,3,FALSE)),"")</f>
        <v/>
      </c>
      <c r="AE206" s="537" t="str">
        <f>IF(N206="","",VLOOKUP(N206,'G-7 Rivers Data'!$B$4:$G$8,5,FALSE))</f>
        <v/>
      </c>
      <c r="AF206" s="520" t="str">
        <f t="shared" si="26"/>
        <v/>
      </c>
      <c r="AG206" s="520" t="str">
        <f t="shared" si="30"/>
        <v/>
      </c>
      <c r="AH206" s="524" t="str">
        <f t="shared" si="27"/>
        <v/>
      </c>
      <c r="AI206" s="145"/>
      <c r="AJ206" s="499" t="str">
        <f>IF(AI206="","",IF(VLOOKUP(AI206,'G-7 Rivers Data'!$AA$4:$AB$7,2,FALSE)=0,"Spatial Data Missing ⚠",VLOOKUP(AI206,'G-7 Rivers Data'!$AA$4:$AB$7,2,FALSE)))</f>
        <v/>
      </c>
      <c r="AK206" s="155"/>
      <c r="AL206" s="536" t="str">
        <f>IF(AK206="","",IF(VLOOKUP(AK206,'G-7 Rivers Data'!$AD$4:$AE$8,2,FALSE)=0,"Spatial Data Missing ⚠",VLOOKUP(AK206,'G-7 Rivers Data'!$AD$4:$AE$8,2,FALSE)))</f>
        <v/>
      </c>
      <c r="AM206" s="154"/>
      <c r="AN206" s="524" t="str">
        <f>IF(AM206="","",VLOOKUP(AM206,'G-7 Rivers Data'!$AO$4:$AP$7,2,FALSE))</f>
        <v/>
      </c>
      <c r="AO206" s="545" t="str">
        <f t="shared" si="31"/>
        <v/>
      </c>
      <c r="AP206" s="149"/>
      <c r="AQ206" s="150"/>
      <c r="AX206" s="31" t="str">
        <f>IFERROR(INDEX('G-7 Rivers Data'!$AZ$3:$AZ$7,MATCH(N206,'G-7 Rivers Data'!$AY$3:$AY$7,0)),"")</f>
        <v/>
      </c>
    </row>
    <row r="207" spans="2:50" ht="14" x14ac:dyDescent="0.3">
      <c r="B207" s="531" t="str">
        <f>'F-1 Off Site River Baseline'!AN205</f>
        <v/>
      </c>
      <c r="C207" s="520" t="str">
        <f>IF(B207="","",VLOOKUP($B207,'F-1 Off Site River Baseline'!$C$9:$R$257,2,FALSE))</f>
        <v/>
      </c>
      <c r="D207" s="520" t="str">
        <f>IF(C207="","",VLOOKUP($B207,'F-1 Off Site River Baseline'!$C$9:$R$257,3,FALSE))</f>
        <v/>
      </c>
      <c r="E207" s="520" t="str">
        <f>IF(D207="","",VLOOKUP($B207,'F-1 Off Site River Baseline'!$C$9:$R$257,4,FALSE))</f>
        <v/>
      </c>
      <c r="F207" s="520" t="str">
        <f>IF(E207="","",VLOOKUP($B207,'F-1 Off Site River Baseline'!$C$9:$R$257,5,FALSE))</f>
        <v/>
      </c>
      <c r="G207" s="520" t="str">
        <f>IF(F207="","",VLOOKUP($B207,'F-1 Off Site River Baseline'!$C$9:$R$257,6,FALSE))</f>
        <v/>
      </c>
      <c r="H207" s="520" t="str">
        <f>IF(G207="","",VLOOKUP($B207,'F-1 Off Site River Baseline'!$C$9:$R$257,7,FALSE))</f>
        <v/>
      </c>
      <c r="I207" s="520" t="str">
        <f>IF(H207="","",VLOOKUP($B207,'F-1 Off Site River Baseline'!$C$9:$R$257,8,FALSE))</f>
        <v/>
      </c>
      <c r="J207" s="520" t="str">
        <f>IF(I207="","",VLOOKUP($B207,'F-1 Off Site River Baseline'!$C$9:$R$257,9,FALSE))</f>
        <v/>
      </c>
      <c r="K207" s="520" t="str">
        <f>IF(J207="","",VLOOKUP($B207,'F-1 Off Site River Baseline'!$C$9:$R$257,10,FALSE))</f>
        <v/>
      </c>
      <c r="L207" s="520" t="str">
        <f>IF(B207="","",VLOOKUP($B207,'C-1 Site River Baseline'!$C$9:$R$257,15,FALSE))</f>
        <v/>
      </c>
      <c r="M207" s="524" t="str">
        <f>IF(L207="","",VLOOKUP($B207,'F-1 Off Site River Baseline'!$C$9:$R$257,16,FALSE))</f>
        <v/>
      </c>
      <c r="N207" s="418" t="str">
        <f t="shared" si="28"/>
        <v/>
      </c>
      <c r="O207" s="498" t="str">
        <f t="shared" si="29"/>
        <v/>
      </c>
      <c r="P207" s="499" t="str">
        <f>IF(C207="","",IF(AND(LEFT(C207,55)&lt;&gt;LEFT(N207,55),O207="High - High"),"Error - Not like for like ▲",IF(AND(F207=S207,H207&gt;U207),"Error - Can not reduce condition ▲",IF(AND(F207=S207,H207=U207,AJ207='F-1 Off Site River Baseline'!N205,'F-1 Off Site River Baseline'!P205=AL207),"Error - No enhancement ▲",IF(AND(C207&lt;&gt;N207,F207&lt;S207),"Lower Distinctiveness Habitat"&amp;" - "&amp;T207,G207&amp;" - "&amp;T207)))))</f>
        <v/>
      </c>
      <c r="Q207" s="505" t="str">
        <f>IF(N207="","",VLOOKUP(B207,'F-1 Off Site River Baseline'!$C$10:$AA$257,19,FALSE))</f>
        <v/>
      </c>
      <c r="R207" s="498" t="str">
        <f>IF(N207="","",VLOOKUP(N207,'G-7 Rivers Data'!$B$2:$G$8,2,FALSE))</f>
        <v/>
      </c>
      <c r="S207" s="499" t="str">
        <f>IFERROR(VLOOKUP(R207,'G-7 Rivers Data'!$C$4:$D$8,2,FALSE),"")</f>
        <v/>
      </c>
      <c r="T207" s="145"/>
      <c r="U207" s="499" t="str">
        <f>IFERROR(INDEX('G-7 Rivers Data'!$H$4:$L$8,MATCH(N207,'G-7 Rivers Data'!$B$4:$B$8,0),MATCH(T207,'G-7 Rivers Data'!$H$3:$L$3,0)),"")</f>
        <v/>
      </c>
      <c r="V207" s="154"/>
      <c r="W207" s="520" t="str">
        <f>IF(V207="","",IF(VLOOKUP(V207,'G-7 Rivers Data'!$AG$4:$AI$9,2,FALSE)=0,"Spatial Data Missing ⚠",VLOOKUP(V207,'G-7 Rivers Data'!$AG$4:$AI$9,2,FALSE)))</f>
        <v/>
      </c>
      <c r="X207" s="524" t="str">
        <f>IF(V207="","",IF(VLOOKUP(V207,'G-7 Rivers Data'!$AG$4:$AI$9,3,FALSE)=0,"Spatial Data Missing ⚠",VLOOKUP(V207,'G-7 Rivers Data'!$AG$4:$AI$9,3,FALSE)))</f>
        <v/>
      </c>
      <c r="Y207" s="537" t="str">
        <f>IFERROR(IF(OR(LEFT(P207,5)="Error ▲",LEFT(O207,5)="Error ▲"),"Check Data ⚠",IF(F207&lt;S207,'G-7 Rivers Data'!$R$3,INDEX('G-7 Rivers Data'!$U$5:$Y$9,MATCH(G207,'G-7 Rivers Data'!$T$5:$T$9,0),MATCH(T207,'G-7 Rivers Data'!$U$4:$Y$4,0)))),"")</f>
        <v/>
      </c>
      <c r="Z207" s="203"/>
      <c r="AA207" s="203"/>
      <c r="AB207" s="534" t="str">
        <f t="shared" si="24"/>
        <v/>
      </c>
      <c r="AC207" s="521" t="str">
        <f t="shared" si="25"/>
        <v/>
      </c>
      <c r="AD207" s="564" t="str">
        <f>IFERROR(IF(AC207="Check Data ⚠","Check Data ⚠",VLOOKUP(AC207,'G-4 Temporal multipliers'!$A$4:$C$37,3,FALSE)),"")</f>
        <v/>
      </c>
      <c r="AE207" s="537" t="str">
        <f>IF(N207="","",VLOOKUP(N207,'G-7 Rivers Data'!$B$4:$G$8,5,FALSE))</f>
        <v/>
      </c>
      <c r="AF207" s="520" t="str">
        <f t="shared" si="26"/>
        <v/>
      </c>
      <c r="AG207" s="520" t="str">
        <f t="shared" si="30"/>
        <v/>
      </c>
      <c r="AH207" s="524" t="str">
        <f t="shared" si="27"/>
        <v/>
      </c>
      <c r="AI207" s="145"/>
      <c r="AJ207" s="499" t="str">
        <f>IF(AI207="","",IF(VLOOKUP(AI207,'G-7 Rivers Data'!$AA$4:$AB$7,2,FALSE)=0,"Spatial Data Missing ⚠",VLOOKUP(AI207,'G-7 Rivers Data'!$AA$4:$AB$7,2,FALSE)))</f>
        <v/>
      </c>
      <c r="AK207" s="155"/>
      <c r="AL207" s="536" t="str">
        <f>IF(AK207="","",IF(VLOOKUP(AK207,'G-7 Rivers Data'!$AD$4:$AE$8,2,FALSE)=0,"Spatial Data Missing ⚠",VLOOKUP(AK207,'G-7 Rivers Data'!$AD$4:$AE$8,2,FALSE)))</f>
        <v/>
      </c>
      <c r="AM207" s="154"/>
      <c r="AN207" s="524" t="str">
        <f>IF(AM207="","",VLOOKUP(AM207,'G-7 Rivers Data'!$AO$4:$AP$7,2,FALSE))</f>
        <v/>
      </c>
      <c r="AO207" s="545" t="str">
        <f t="shared" si="31"/>
        <v/>
      </c>
      <c r="AP207" s="149"/>
      <c r="AQ207" s="150"/>
      <c r="AX207" s="31" t="str">
        <f>IFERROR(INDEX('G-7 Rivers Data'!$AZ$3:$AZ$7,MATCH(N207,'G-7 Rivers Data'!$AY$3:$AY$7,0)),"")</f>
        <v/>
      </c>
    </row>
    <row r="208" spans="2:50" ht="14" x14ac:dyDescent="0.3">
      <c r="B208" s="531" t="str">
        <f>'F-1 Off Site River Baseline'!AN206</f>
        <v/>
      </c>
      <c r="C208" s="520" t="str">
        <f>IF(B208="","",VLOOKUP($B208,'F-1 Off Site River Baseline'!$C$9:$R$257,2,FALSE))</f>
        <v/>
      </c>
      <c r="D208" s="520" t="str">
        <f>IF(C208="","",VLOOKUP($B208,'F-1 Off Site River Baseline'!$C$9:$R$257,3,FALSE))</f>
        <v/>
      </c>
      <c r="E208" s="520" t="str">
        <f>IF(D208="","",VLOOKUP($B208,'F-1 Off Site River Baseline'!$C$9:$R$257,4,FALSE))</f>
        <v/>
      </c>
      <c r="F208" s="520" t="str">
        <f>IF(E208="","",VLOOKUP($B208,'F-1 Off Site River Baseline'!$C$9:$R$257,5,FALSE))</f>
        <v/>
      </c>
      <c r="G208" s="520" t="str">
        <f>IF(F208="","",VLOOKUP($B208,'F-1 Off Site River Baseline'!$C$9:$R$257,6,FALSE))</f>
        <v/>
      </c>
      <c r="H208" s="520" t="str">
        <f>IF(G208="","",VLOOKUP($B208,'F-1 Off Site River Baseline'!$C$9:$R$257,7,FALSE))</f>
        <v/>
      </c>
      <c r="I208" s="520" t="str">
        <f>IF(H208="","",VLOOKUP($B208,'F-1 Off Site River Baseline'!$C$9:$R$257,8,FALSE))</f>
        <v/>
      </c>
      <c r="J208" s="520" t="str">
        <f>IF(I208="","",VLOOKUP($B208,'F-1 Off Site River Baseline'!$C$9:$R$257,9,FALSE))</f>
        <v/>
      </c>
      <c r="K208" s="520" t="str">
        <f>IF(J208="","",VLOOKUP($B208,'F-1 Off Site River Baseline'!$C$9:$R$257,10,FALSE))</f>
        <v/>
      </c>
      <c r="L208" s="520" t="str">
        <f>IF(B208="","",VLOOKUP($B208,'C-1 Site River Baseline'!$C$9:$R$257,15,FALSE))</f>
        <v/>
      </c>
      <c r="M208" s="524" t="str">
        <f>IF(L208="","",VLOOKUP($B208,'F-1 Off Site River Baseline'!$C$9:$R$257,16,FALSE))</f>
        <v/>
      </c>
      <c r="N208" s="418" t="str">
        <f t="shared" si="28"/>
        <v/>
      </c>
      <c r="O208" s="498" t="str">
        <f t="shared" si="29"/>
        <v/>
      </c>
      <c r="P208" s="499" t="str">
        <f>IF(C208="","",IF(AND(LEFT(C208,55)&lt;&gt;LEFT(N208,55),O208="High - High"),"Error - Not like for like ▲",IF(AND(F208=S208,H208&gt;U208),"Error - Can not reduce condition ▲",IF(AND(F208=S208,H208=U208,AJ208='F-1 Off Site River Baseline'!N206,'F-1 Off Site River Baseline'!P206=AL208),"Error - No enhancement ▲",IF(AND(C208&lt;&gt;N208,F208&lt;S208),"Lower Distinctiveness Habitat"&amp;" - "&amp;T208,G208&amp;" - "&amp;T208)))))</f>
        <v/>
      </c>
      <c r="Q208" s="505" t="str">
        <f>IF(N208="","",VLOOKUP(B208,'F-1 Off Site River Baseline'!$C$10:$AA$257,19,FALSE))</f>
        <v/>
      </c>
      <c r="R208" s="498" t="str">
        <f>IF(N208="","",VLOOKUP(N208,'G-7 Rivers Data'!$B$2:$G$8,2,FALSE))</f>
        <v/>
      </c>
      <c r="S208" s="499" t="str">
        <f>IFERROR(VLOOKUP(R208,'G-7 Rivers Data'!$C$4:$D$8,2,FALSE),"")</f>
        <v/>
      </c>
      <c r="T208" s="145"/>
      <c r="U208" s="499" t="str">
        <f>IFERROR(INDEX('G-7 Rivers Data'!$H$4:$L$8,MATCH(N208,'G-7 Rivers Data'!$B$4:$B$8,0),MATCH(T208,'G-7 Rivers Data'!$H$3:$L$3,0)),"")</f>
        <v/>
      </c>
      <c r="V208" s="154"/>
      <c r="W208" s="520" t="str">
        <f>IF(V208="","",IF(VLOOKUP(V208,'G-7 Rivers Data'!$AG$4:$AI$9,2,FALSE)=0,"Spatial Data Missing ⚠",VLOOKUP(V208,'G-7 Rivers Data'!$AG$4:$AI$9,2,FALSE)))</f>
        <v/>
      </c>
      <c r="X208" s="524" t="str">
        <f>IF(V208="","",IF(VLOOKUP(V208,'G-7 Rivers Data'!$AG$4:$AI$9,3,FALSE)=0,"Spatial Data Missing ⚠",VLOOKUP(V208,'G-7 Rivers Data'!$AG$4:$AI$9,3,FALSE)))</f>
        <v/>
      </c>
      <c r="Y208" s="537" t="str">
        <f>IFERROR(IF(OR(LEFT(P208,5)="Error ▲",LEFT(O208,5)="Error ▲"),"Check Data ⚠",IF(F208&lt;S208,'G-7 Rivers Data'!$R$3,INDEX('G-7 Rivers Data'!$U$5:$Y$9,MATCH(G208,'G-7 Rivers Data'!$T$5:$T$9,0),MATCH(T208,'G-7 Rivers Data'!$U$4:$Y$4,0)))),"")</f>
        <v/>
      </c>
      <c r="Z208" s="203"/>
      <c r="AA208" s="203"/>
      <c r="AB208" s="534" t="str">
        <f t="shared" si="24"/>
        <v/>
      </c>
      <c r="AC208" s="521" t="str">
        <f t="shared" si="25"/>
        <v/>
      </c>
      <c r="AD208" s="564" t="str">
        <f>IFERROR(IF(AC208="Check Data ⚠","Check Data ⚠",VLOOKUP(AC208,'G-4 Temporal multipliers'!$A$4:$C$37,3,FALSE)),"")</f>
        <v/>
      </c>
      <c r="AE208" s="537" t="str">
        <f>IF(N208="","",VLOOKUP(N208,'G-7 Rivers Data'!$B$4:$G$8,5,FALSE))</f>
        <v/>
      </c>
      <c r="AF208" s="520" t="str">
        <f t="shared" si="26"/>
        <v/>
      </c>
      <c r="AG208" s="520" t="str">
        <f t="shared" si="30"/>
        <v/>
      </c>
      <c r="AH208" s="524" t="str">
        <f t="shared" si="27"/>
        <v/>
      </c>
      <c r="AI208" s="145"/>
      <c r="AJ208" s="499" t="str">
        <f>IF(AI208="","",IF(VLOOKUP(AI208,'G-7 Rivers Data'!$AA$4:$AB$7,2,FALSE)=0,"Spatial Data Missing ⚠",VLOOKUP(AI208,'G-7 Rivers Data'!$AA$4:$AB$7,2,FALSE)))</f>
        <v/>
      </c>
      <c r="AK208" s="155"/>
      <c r="AL208" s="536" t="str">
        <f>IF(AK208="","",IF(VLOOKUP(AK208,'G-7 Rivers Data'!$AD$4:$AE$8,2,FALSE)=0,"Spatial Data Missing ⚠",VLOOKUP(AK208,'G-7 Rivers Data'!$AD$4:$AE$8,2,FALSE)))</f>
        <v/>
      </c>
      <c r="AM208" s="154"/>
      <c r="AN208" s="524" t="str">
        <f>IF(AM208="","",VLOOKUP(AM208,'G-7 Rivers Data'!$AO$4:$AP$7,2,FALSE))</f>
        <v/>
      </c>
      <c r="AO208" s="545" t="str">
        <f t="shared" si="31"/>
        <v/>
      </c>
      <c r="AP208" s="149"/>
      <c r="AQ208" s="150"/>
      <c r="AX208" s="31" t="str">
        <f>IFERROR(INDEX('G-7 Rivers Data'!$AZ$3:$AZ$7,MATCH(N208,'G-7 Rivers Data'!$AY$3:$AY$7,0)),"")</f>
        <v/>
      </c>
    </row>
    <row r="209" spans="2:50" ht="14" x14ac:dyDescent="0.3">
      <c r="B209" s="531" t="str">
        <f>'F-1 Off Site River Baseline'!AN207</f>
        <v/>
      </c>
      <c r="C209" s="520" t="str">
        <f>IF(B209="","",VLOOKUP($B209,'F-1 Off Site River Baseline'!$C$9:$R$257,2,FALSE))</f>
        <v/>
      </c>
      <c r="D209" s="520" t="str">
        <f>IF(C209="","",VLOOKUP($B209,'F-1 Off Site River Baseline'!$C$9:$R$257,3,FALSE))</f>
        <v/>
      </c>
      <c r="E209" s="520" t="str">
        <f>IF(D209="","",VLOOKUP($B209,'F-1 Off Site River Baseline'!$C$9:$R$257,4,FALSE))</f>
        <v/>
      </c>
      <c r="F209" s="520" t="str">
        <f>IF(E209="","",VLOOKUP($B209,'F-1 Off Site River Baseline'!$C$9:$R$257,5,FALSE))</f>
        <v/>
      </c>
      <c r="G209" s="520" t="str">
        <f>IF(F209="","",VLOOKUP($B209,'F-1 Off Site River Baseline'!$C$9:$R$257,6,FALSE))</f>
        <v/>
      </c>
      <c r="H209" s="520" t="str">
        <f>IF(G209="","",VLOOKUP($B209,'F-1 Off Site River Baseline'!$C$9:$R$257,7,FALSE))</f>
        <v/>
      </c>
      <c r="I209" s="520" t="str">
        <f>IF(H209="","",VLOOKUP($B209,'F-1 Off Site River Baseline'!$C$9:$R$257,8,FALSE))</f>
        <v/>
      </c>
      <c r="J209" s="520" t="str">
        <f>IF(I209="","",VLOOKUP($B209,'F-1 Off Site River Baseline'!$C$9:$R$257,9,FALSE))</f>
        <v/>
      </c>
      <c r="K209" s="520" t="str">
        <f>IF(J209="","",VLOOKUP($B209,'F-1 Off Site River Baseline'!$C$9:$R$257,10,FALSE))</f>
        <v/>
      </c>
      <c r="L209" s="520" t="str">
        <f>IF(B209="","",VLOOKUP($B209,'C-1 Site River Baseline'!$C$9:$R$257,15,FALSE))</f>
        <v/>
      </c>
      <c r="M209" s="524" t="str">
        <f>IF(L209="","",VLOOKUP($B209,'F-1 Off Site River Baseline'!$C$9:$R$257,16,FALSE))</f>
        <v/>
      </c>
      <c r="N209" s="418" t="str">
        <f t="shared" si="28"/>
        <v/>
      </c>
      <c r="O209" s="498" t="str">
        <f t="shared" si="29"/>
        <v/>
      </c>
      <c r="P209" s="499" t="str">
        <f>IF(C209="","",IF(AND(LEFT(C209,55)&lt;&gt;LEFT(N209,55),O209="High - High"),"Error - Not like for like ▲",IF(AND(F209=S209,H209&gt;U209),"Error - Can not reduce condition ▲",IF(AND(F209=S209,H209=U209,AJ209='F-1 Off Site River Baseline'!N207,'F-1 Off Site River Baseline'!P207=AL209),"Error - No enhancement ▲",IF(AND(C209&lt;&gt;N209,F209&lt;S209),"Lower Distinctiveness Habitat"&amp;" - "&amp;T209,G209&amp;" - "&amp;T209)))))</f>
        <v/>
      </c>
      <c r="Q209" s="505" t="str">
        <f>IF(N209="","",VLOOKUP(B209,'F-1 Off Site River Baseline'!$C$10:$AA$257,19,FALSE))</f>
        <v/>
      </c>
      <c r="R209" s="498" t="str">
        <f>IF(N209="","",VLOOKUP(N209,'G-7 Rivers Data'!$B$2:$G$8,2,FALSE))</f>
        <v/>
      </c>
      <c r="S209" s="499" t="str">
        <f>IFERROR(VLOOKUP(R209,'G-7 Rivers Data'!$C$4:$D$8,2,FALSE),"")</f>
        <v/>
      </c>
      <c r="T209" s="145"/>
      <c r="U209" s="499" t="str">
        <f>IFERROR(INDEX('G-7 Rivers Data'!$H$4:$L$8,MATCH(N209,'G-7 Rivers Data'!$B$4:$B$8,0),MATCH(T209,'G-7 Rivers Data'!$H$3:$L$3,0)),"")</f>
        <v/>
      </c>
      <c r="V209" s="154"/>
      <c r="W209" s="520" t="str">
        <f>IF(V209="","",IF(VLOOKUP(V209,'G-7 Rivers Data'!$AG$4:$AI$9,2,FALSE)=0,"Spatial Data Missing ⚠",VLOOKUP(V209,'G-7 Rivers Data'!$AG$4:$AI$9,2,FALSE)))</f>
        <v/>
      </c>
      <c r="X209" s="524" t="str">
        <f>IF(V209="","",IF(VLOOKUP(V209,'G-7 Rivers Data'!$AG$4:$AI$9,3,FALSE)=0,"Spatial Data Missing ⚠",VLOOKUP(V209,'G-7 Rivers Data'!$AG$4:$AI$9,3,FALSE)))</f>
        <v/>
      </c>
      <c r="Y209" s="537" t="str">
        <f>IFERROR(IF(OR(LEFT(P209,5)="Error ▲",LEFT(O209,5)="Error ▲"),"Check Data ⚠",IF(F209&lt;S209,'G-7 Rivers Data'!$R$3,INDEX('G-7 Rivers Data'!$U$5:$Y$9,MATCH(G209,'G-7 Rivers Data'!$T$5:$T$9,0),MATCH(T209,'G-7 Rivers Data'!$U$4:$Y$4,0)))),"")</f>
        <v/>
      </c>
      <c r="Z209" s="203"/>
      <c r="AA209" s="203"/>
      <c r="AB209" s="534" t="str">
        <f t="shared" si="24"/>
        <v/>
      </c>
      <c r="AC209" s="521" t="str">
        <f t="shared" si="25"/>
        <v/>
      </c>
      <c r="AD209" s="564" t="str">
        <f>IFERROR(IF(AC209="Check Data ⚠","Check Data ⚠",VLOOKUP(AC209,'G-4 Temporal multipliers'!$A$4:$C$37,3,FALSE)),"")</f>
        <v/>
      </c>
      <c r="AE209" s="537" t="str">
        <f>IF(N209="","",VLOOKUP(N209,'G-7 Rivers Data'!$B$4:$G$8,5,FALSE))</f>
        <v/>
      </c>
      <c r="AF209" s="520" t="str">
        <f t="shared" si="26"/>
        <v/>
      </c>
      <c r="AG209" s="520" t="str">
        <f t="shared" si="30"/>
        <v/>
      </c>
      <c r="AH209" s="524" t="str">
        <f t="shared" si="27"/>
        <v/>
      </c>
      <c r="AI209" s="145"/>
      <c r="AJ209" s="499" t="str">
        <f>IF(AI209="","",IF(VLOOKUP(AI209,'G-7 Rivers Data'!$AA$4:$AB$7,2,FALSE)=0,"Spatial Data Missing ⚠",VLOOKUP(AI209,'G-7 Rivers Data'!$AA$4:$AB$7,2,FALSE)))</f>
        <v/>
      </c>
      <c r="AK209" s="155"/>
      <c r="AL209" s="536" t="str">
        <f>IF(AK209="","",IF(VLOOKUP(AK209,'G-7 Rivers Data'!$AD$4:$AE$8,2,FALSE)=0,"Spatial Data Missing ⚠",VLOOKUP(AK209,'G-7 Rivers Data'!$AD$4:$AE$8,2,FALSE)))</f>
        <v/>
      </c>
      <c r="AM209" s="154"/>
      <c r="AN209" s="524" t="str">
        <f>IF(AM209="","",VLOOKUP(AM209,'G-7 Rivers Data'!$AO$4:$AP$7,2,FALSE))</f>
        <v/>
      </c>
      <c r="AO209" s="545" t="str">
        <f t="shared" si="31"/>
        <v/>
      </c>
      <c r="AP209" s="149"/>
      <c r="AQ209" s="150"/>
      <c r="AX209" s="31" t="str">
        <f>IFERROR(INDEX('G-7 Rivers Data'!$AZ$3:$AZ$7,MATCH(N209,'G-7 Rivers Data'!$AY$3:$AY$7,0)),"")</f>
        <v/>
      </c>
    </row>
    <row r="210" spans="2:50" ht="14" x14ac:dyDescent="0.3">
      <c r="B210" s="531" t="str">
        <f>'F-1 Off Site River Baseline'!AN208</f>
        <v/>
      </c>
      <c r="C210" s="520" t="str">
        <f>IF(B210="","",VLOOKUP($B210,'F-1 Off Site River Baseline'!$C$9:$R$257,2,FALSE))</f>
        <v/>
      </c>
      <c r="D210" s="520" t="str">
        <f>IF(C210="","",VLOOKUP($B210,'F-1 Off Site River Baseline'!$C$9:$R$257,3,FALSE))</f>
        <v/>
      </c>
      <c r="E210" s="520" t="str">
        <f>IF(D210="","",VLOOKUP($B210,'F-1 Off Site River Baseline'!$C$9:$R$257,4,FALSE))</f>
        <v/>
      </c>
      <c r="F210" s="520" t="str">
        <f>IF(E210="","",VLOOKUP($B210,'F-1 Off Site River Baseline'!$C$9:$R$257,5,FALSE))</f>
        <v/>
      </c>
      <c r="G210" s="520" t="str">
        <f>IF(F210="","",VLOOKUP($B210,'F-1 Off Site River Baseline'!$C$9:$R$257,6,FALSE))</f>
        <v/>
      </c>
      <c r="H210" s="520" t="str">
        <f>IF(G210="","",VLOOKUP($B210,'F-1 Off Site River Baseline'!$C$9:$R$257,7,FALSE))</f>
        <v/>
      </c>
      <c r="I210" s="520" t="str">
        <f>IF(H210="","",VLOOKUP($B210,'F-1 Off Site River Baseline'!$C$9:$R$257,8,FALSE))</f>
        <v/>
      </c>
      <c r="J210" s="520" t="str">
        <f>IF(I210="","",VLOOKUP($B210,'F-1 Off Site River Baseline'!$C$9:$R$257,9,FALSE))</f>
        <v/>
      </c>
      <c r="K210" s="520" t="str">
        <f>IF(J210="","",VLOOKUP($B210,'F-1 Off Site River Baseline'!$C$9:$R$257,10,FALSE))</f>
        <v/>
      </c>
      <c r="L210" s="520" t="str">
        <f>IF(B210="","",VLOOKUP($B210,'C-1 Site River Baseline'!$C$9:$R$257,15,FALSE))</f>
        <v/>
      </c>
      <c r="M210" s="524" t="str">
        <f>IF(L210="","",VLOOKUP($B210,'F-1 Off Site River Baseline'!$C$9:$R$257,16,FALSE))</f>
        <v/>
      </c>
      <c r="N210" s="418" t="str">
        <f t="shared" si="28"/>
        <v/>
      </c>
      <c r="O210" s="498" t="str">
        <f t="shared" si="29"/>
        <v/>
      </c>
      <c r="P210" s="499" t="str">
        <f>IF(C210="","",IF(AND(LEFT(C210,55)&lt;&gt;LEFT(N210,55),O210="High - High"),"Error - Not like for like ▲",IF(AND(F210=S210,H210&gt;U210),"Error - Can not reduce condition ▲",IF(AND(F210=S210,H210=U210,AJ210='F-1 Off Site River Baseline'!N208,'F-1 Off Site River Baseline'!P208=AL210),"Error - No enhancement ▲",IF(AND(C210&lt;&gt;N210,F210&lt;S210),"Lower Distinctiveness Habitat"&amp;" - "&amp;T210,G210&amp;" - "&amp;T210)))))</f>
        <v/>
      </c>
      <c r="Q210" s="505" t="str">
        <f>IF(N210="","",VLOOKUP(B210,'F-1 Off Site River Baseline'!$C$10:$AA$257,19,FALSE))</f>
        <v/>
      </c>
      <c r="R210" s="498" t="str">
        <f>IF(N210="","",VLOOKUP(N210,'G-7 Rivers Data'!$B$2:$G$8,2,FALSE))</f>
        <v/>
      </c>
      <c r="S210" s="499" t="str">
        <f>IFERROR(VLOOKUP(R210,'G-7 Rivers Data'!$C$4:$D$8,2,FALSE),"")</f>
        <v/>
      </c>
      <c r="T210" s="145"/>
      <c r="U210" s="499" t="str">
        <f>IFERROR(INDEX('G-7 Rivers Data'!$H$4:$L$8,MATCH(N210,'G-7 Rivers Data'!$B$4:$B$8,0),MATCH(T210,'G-7 Rivers Data'!$H$3:$L$3,0)),"")</f>
        <v/>
      </c>
      <c r="V210" s="154"/>
      <c r="W210" s="520" t="str">
        <f>IF(V210="","",IF(VLOOKUP(V210,'G-7 Rivers Data'!$AG$4:$AI$9,2,FALSE)=0,"Spatial Data Missing ⚠",VLOOKUP(V210,'G-7 Rivers Data'!$AG$4:$AI$9,2,FALSE)))</f>
        <v/>
      </c>
      <c r="X210" s="524" t="str">
        <f>IF(V210="","",IF(VLOOKUP(V210,'G-7 Rivers Data'!$AG$4:$AI$9,3,FALSE)=0,"Spatial Data Missing ⚠",VLOOKUP(V210,'G-7 Rivers Data'!$AG$4:$AI$9,3,FALSE)))</f>
        <v/>
      </c>
      <c r="Y210" s="537" t="str">
        <f>IFERROR(IF(OR(LEFT(P210,5)="Error ▲",LEFT(O210,5)="Error ▲"),"Check Data ⚠",IF(F210&lt;S210,'G-7 Rivers Data'!$R$3,INDEX('G-7 Rivers Data'!$U$5:$Y$9,MATCH(G210,'G-7 Rivers Data'!$T$5:$T$9,0),MATCH(T210,'G-7 Rivers Data'!$U$4:$Y$4,0)))),"")</f>
        <v/>
      </c>
      <c r="Z210" s="203"/>
      <c r="AA210" s="203"/>
      <c r="AB210" s="534" t="str">
        <f t="shared" si="24"/>
        <v/>
      </c>
      <c r="AC210" s="521" t="str">
        <f t="shared" si="25"/>
        <v/>
      </c>
      <c r="AD210" s="564" t="str">
        <f>IFERROR(IF(AC210="Check Data ⚠","Check Data ⚠",VLOOKUP(AC210,'G-4 Temporal multipliers'!$A$4:$C$37,3,FALSE)),"")</f>
        <v/>
      </c>
      <c r="AE210" s="537" t="str">
        <f>IF(N210="","",VLOOKUP(N210,'G-7 Rivers Data'!$B$4:$G$8,5,FALSE))</f>
        <v/>
      </c>
      <c r="AF210" s="520" t="str">
        <f t="shared" si="26"/>
        <v/>
      </c>
      <c r="AG210" s="520" t="str">
        <f t="shared" si="30"/>
        <v/>
      </c>
      <c r="AH210" s="524" t="str">
        <f t="shared" si="27"/>
        <v/>
      </c>
      <c r="AI210" s="145"/>
      <c r="AJ210" s="499" t="str">
        <f>IF(AI210="","",IF(VLOOKUP(AI210,'G-7 Rivers Data'!$AA$4:$AB$7,2,FALSE)=0,"Spatial Data Missing ⚠",VLOOKUP(AI210,'G-7 Rivers Data'!$AA$4:$AB$7,2,FALSE)))</f>
        <v/>
      </c>
      <c r="AK210" s="155"/>
      <c r="AL210" s="536" t="str">
        <f>IF(AK210="","",IF(VLOOKUP(AK210,'G-7 Rivers Data'!$AD$4:$AE$8,2,FALSE)=0,"Spatial Data Missing ⚠",VLOOKUP(AK210,'G-7 Rivers Data'!$AD$4:$AE$8,2,FALSE)))</f>
        <v/>
      </c>
      <c r="AM210" s="154"/>
      <c r="AN210" s="524" t="str">
        <f>IF(AM210="","",VLOOKUP(AM210,'G-7 Rivers Data'!$AO$4:$AP$7,2,FALSE))</f>
        <v/>
      </c>
      <c r="AO210" s="545" t="str">
        <f t="shared" si="31"/>
        <v/>
      </c>
      <c r="AP210" s="149"/>
      <c r="AQ210" s="150"/>
      <c r="AX210" s="31" t="str">
        <f>IFERROR(INDEX('G-7 Rivers Data'!$AZ$3:$AZ$7,MATCH(N210,'G-7 Rivers Data'!$AY$3:$AY$7,0)),"")</f>
        <v/>
      </c>
    </row>
    <row r="211" spans="2:50" ht="14" x14ac:dyDescent="0.3">
      <c r="B211" s="531" t="str">
        <f>'F-1 Off Site River Baseline'!AN209</f>
        <v/>
      </c>
      <c r="C211" s="520" t="str">
        <f>IF(B211="","",VLOOKUP($B211,'F-1 Off Site River Baseline'!$C$9:$R$257,2,FALSE))</f>
        <v/>
      </c>
      <c r="D211" s="520" t="str">
        <f>IF(C211="","",VLOOKUP($B211,'F-1 Off Site River Baseline'!$C$9:$R$257,3,FALSE))</f>
        <v/>
      </c>
      <c r="E211" s="520" t="str">
        <f>IF(D211="","",VLOOKUP($B211,'F-1 Off Site River Baseline'!$C$9:$R$257,4,FALSE))</f>
        <v/>
      </c>
      <c r="F211" s="520" t="str">
        <f>IF(E211="","",VLOOKUP($B211,'F-1 Off Site River Baseline'!$C$9:$R$257,5,FALSE))</f>
        <v/>
      </c>
      <c r="G211" s="520" t="str">
        <f>IF(F211="","",VLOOKUP($B211,'F-1 Off Site River Baseline'!$C$9:$R$257,6,FALSE))</f>
        <v/>
      </c>
      <c r="H211" s="520" t="str">
        <f>IF(G211="","",VLOOKUP($B211,'F-1 Off Site River Baseline'!$C$9:$R$257,7,FALSE))</f>
        <v/>
      </c>
      <c r="I211" s="520" t="str">
        <f>IF(H211="","",VLOOKUP($B211,'F-1 Off Site River Baseline'!$C$9:$R$257,8,FALSE))</f>
        <v/>
      </c>
      <c r="J211" s="520" t="str">
        <f>IF(I211="","",VLOOKUP($B211,'F-1 Off Site River Baseline'!$C$9:$R$257,9,FALSE))</f>
        <v/>
      </c>
      <c r="K211" s="520" t="str">
        <f>IF(J211="","",VLOOKUP($B211,'F-1 Off Site River Baseline'!$C$9:$R$257,10,FALSE))</f>
        <v/>
      </c>
      <c r="L211" s="520" t="str">
        <f>IF(B211="","",VLOOKUP($B211,'C-1 Site River Baseline'!$C$9:$R$257,15,FALSE))</f>
        <v/>
      </c>
      <c r="M211" s="524" t="str">
        <f>IF(L211="","",VLOOKUP($B211,'F-1 Off Site River Baseline'!$C$9:$R$257,16,FALSE))</f>
        <v/>
      </c>
      <c r="N211" s="418" t="str">
        <f t="shared" si="28"/>
        <v/>
      </c>
      <c r="O211" s="498" t="str">
        <f t="shared" si="29"/>
        <v/>
      </c>
      <c r="P211" s="499" t="str">
        <f>IF(C211="","",IF(AND(LEFT(C211,55)&lt;&gt;LEFT(N211,55),O211="High - High"),"Error - Not like for like ▲",IF(AND(F211=S211,H211&gt;U211),"Error - Can not reduce condition ▲",IF(AND(F211=S211,H211=U211,AJ211='F-1 Off Site River Baseline'!N209,'F-1 Off Site River Baseline'!P209=AL211),"Error - No enhancement ▲",IF(AND(C211&lt;&gt;N211,F211&lt;S211),"Lower Distinctiveness Habitat"&amp;" - "&amp;T211,G211&amp;" - "&amp;T211)))))</f>
        <v/>
      </c>
      <c r="Q211" s="505" t="str">
        <f>IF(N211="","",VLOOKUP(B211,'F-1 Off Site River Baseline'!$C$10:$AA$257,19,FALSE))</f>
        <v/>
      </c>
      <c r="R211" s="498" t="str">
        <f>IF(N211="","",VLOOKUP(N211,'G-7 Rivers Data'!$B$2:$G$8,2,FALSE))</f>
        <v/>
      </c>
      <c r="S211" s="499" t="str">
        <f>IFERROR(VLOOKUP(R211,'G-7 Rivers Data'!$C$4:$D$8,2,FALSE),"")</f>
        <v/>
      </c>
      <c r="T211" s="145"/>
      <c r="U211" s="499" t="str">
        <f>IFERROR(INDEX('G-7 Rivers Data'!$H$4:$L$8,MATCH(N211,'G-7 Rivers Data'!$B$4:$B$8,0),MATCH(T211,'G-7 Rivers Data'!$H$3:$L$3,0)),"")</f>
        <v/>
      </c>
      <c r="V211" s="154"/>
      <c r="W211" s="520" t="str">
        <f>IF(V211="","",IF(VLOOKUP(V211,'G-7 Rivers Data'!$AG$4:$AI$9,2,FALSE)=0,"Spatial Data Missing ⚠",VLOOKUP(V211,'G-7 Rivers Data'!$AG$4:$AI$9,2,FALSE)))</f>
        <v/>
      </c>
      <c r="X211" s="524" t="str">
        <f>IF(V211="","",IF(VLOOKUP(V211,'G-7 Rivers Data'!$AG$4:$AI$9,3,FALSE)=0,"Spatial Data Missing ⚠",VLOOKUP(V211,'G-7 Rivers Data'!$AG$4:$AI$9,3,FALSE)))</f>
        <v/>
      </c>
      <c r="Y211" s="537" t="str">
        <f>IFERROR(IF(OR(LEFT(P211,5)="Error ▲",LEFT(O211,5)="Error ▲"),"Check Data ⚠",IF(F211&lt;S211,'G-7 Rivers Data'!$R$3,INDEX('G-7 Rivers Data'!$U$5:$Y$9,MATCH(G211,'G-7 Rivers Data'!$T$5:$T$9,0),MATCH(T211,'G-7 Rivers Data'!$U$4:$Y$4,0)))),"")</f>
        <v/>
      </c>
      <c r="Z211" s="203"/>
      <c r="AA211" s="203"/>
      <c r="AB211" s="534" t="str">
        <f t="shared" si="24"/>
        <v/>
      </c>
      <c r="AC211" s="521" t="str">
        <f t="shared" si="25"/>
        <v/>
      </c>
      <c r="AD211" s="564" t="str">
        <f>IFERROR(IF(AC211="Check Data ⚠","Check Data ⚠",VLOOKUP(AC211,'G-4 Temporal multipliers'!$A$4:$C$37,3,FALSE)),"")</f>
        <v/>
      </c>
      <c r="AE211" s="537" t="str">
        <f>IF(N211="","",VLOOKUP(N211,'G-7 Rivers Data'!$B$4:$G$8,5,FALSE))</f>
        <v/>
      </c>
      <c r="AF211" s="520" t="str">
        <f t="shared" si="26"/>
        <v/>
      </c>
      <c r="AG211" s="520" t="str">
        <f t="shared" si="30"/>
        <v/>
      </c>
      <c r="AH211" s="524" t="str">
        <f t="shared" si="27"/>
        <v/>
      </c>
      <c r="AI211" s="145"/>
      <c r="AJ211" s="499" t="str">
        <f>IF(AI211="","",IF(VLOOKUP(AI211,'G-7 Rivers Data'!$AA$4:$AB$7,2,FALSE)=0,"Spatial Data Missing ⚠",VLOOKUP(AI211,'G-7 Rivers Data'!$AA$4:$AB$7,2,FALSE)))</f>
        <v/>
      </c>
      <c r="AK211" s="155"/>
      <c r="AL211" s="536" t="str">
        <f>IF(AK211="","",IF(VLOOKUP(AK211,'G-7 Rivers Data'!$AD$4:$AE$8,2,FALSE)=0,"Spatial Data Missing ⚠",VLOOKUP(AK211,'G-7 Rivers Data'!$AD$4:$AE$8,2,FALSE)))</f>
        <v/>
      </c>
      <c r="AM211" s="154"/>
      <c r="AN211" s="524" t="str">
        <f>IF(AM211="","",VLOOKUP(AM211,'G-7 Rivers Data'!$AO$4:$AP$7,2,FALSE))</f>
        <v/>
      </c>
      <c r="AO211" s="545" t="str">
        <f t="shared" si="31"/>
        <v/>
      </c>
      <c r="AP211" s="149"/>
      <c r="AQ211" s="150"/>
      <c r="AX211" s="31" t="str">
        <f>IFERROR(INDEX('G-7 Rivers Data'!$AZ$3:$AZ$7,MATCH(N211,'G-7 Rivers Data'!$AY$3:$AY$7,0)),"")</f>
        <v/>
      </c>
    </row>
    <row r="212" spans="2:50" ht="14" x14ac:dyDescent="0.3">
      <c r="B212" s="531" t="str">
        <f>'F-1 Off Site River Baseline'!AN210</f>
        <v/>
      </c>
      <c r="C212" s="520" t="str">
        <f>IF(B212="","",VLOOKUP($B212,'F-1 Off Site River Baseline'!$C$9:$R$257,2,FALSE))</f>
        <v/>
      </c>
      <c r="D212" s="520" t="str">
        <f>IF(C212="","",VLOOKUP($B212,'F-1 Off Site River Baseline'!$C$9:$R$257,3,FALSE))</f>
        <v/>
      </c>
      <c r="E212" s="520" t="str">
        <f>IF(D212="","",VLOOKUP($B212,'F-1 Off Site River Baseline'!$C$9:$R$257,4,FALSE))</f>
        <v/>
      </c>
      <c r="F212" s="520" t="str">
        <f>IF(E212="","",VLOOKUP($B212,'F-1 Off Site River Baseline'!$C$9:$R$257,5,FALSE))</f>
        <v/>
      </c>
      <c r="G212" s="520" t="str">
        <f>IF(F212="","",VLOOKUP($B212,'F-1 Off Site River Baseline'!$C$9:$R$257,6,FALSE))</f>
        <v/>
      </c>
      <c r="H212" s="520" t="str">
        <f>IF(G212="","",VLOOKUP($B212,'F-1 Off Site River Baseline'!$C$9:$R$257,7,FALSE))</f>
        <v/>
      </c>
      <c r="I212" s="520" t="str">
        <f>IF(H212="","",VLOOKUP($B212,'F-1 Off Site River Baseline'!$C$9:$R$257,8,FALSE))</f>
        <v/>
      </c>
      <c r="J212" s="520" t="str">
        <f>IF(I212="","",VLOOKUP($B212,'F-1 Off Site River Baseline'!$C$9:$R$257,9,FALSE))</f>
        <v/>
      </c>
      <c r="K212" s="520" t="str">
        <f>IF(J212="","",VLOOKUP($B212,'F-1 Off Site River Baseline'!$C$9:$R$257,10,FALSE))</f>
        <v/>
      </c>
      <c r="L212" s="520" t="str">
        <f>IF(B212="","",VLOOKUP($B212,'C-1 Site River Baseline'!$C$9:$R$257,15,FALSE))</f>
        <v/>
      </c>
      <c r="M212" s="524" t="str">
        <f>IF(L212="","",VLOOKUP($B212,'F-1 Off Site River Baseline'!$C$9:$R$257,16,FALSE))</f>
        <v/>
      </c>
      <c r="N212" s="418" t="str">
        <f t="shared" si="28"/>
        <v/>
      </c>
      <c r="O212" s="498" t="str">
        <f t="shared" si="29"/>
        <v/>
      </c>
      <c r="P212" s="499" t="str">
        <f>IF(C212="","",IF(AND(LEFT(C212,55)&lt;&gt;LEFT(N212,55),O212="High - High"),"Error - Not like for like ▲",IF(AND(F212=S212,H212&gt;U212),"Error - Can not reduce condition ▲",IF(AND(F212=S212,H212=U212,AJ212='F-1 Off Site River Baseline'!N210,'F-1 Off Site River Baseline'!P210=AL212),"Error - No enhancement ▲",IF(AND(C212&lt;&gt;N212,F212&lt;S212),"Lower Distinctiveness Habitat"&amp;" - "&amp;T212,G212&amp;" - "&amp;T212)))))</f>
        <v/>
      </c>
      <c r="Q212" s="505" t="str">
        <f>IF(N212="","",VLOOKUP(B212,'F-1 Off Site River Baseline'!$C$10:$AA$257,19,FALSE))</f>
        <v/>
      </c>
      <c r="R212" s="498" t="str">
        <f>IF(N212="","",VLOOKUP(N212,'G-7 Rivers Data'!$B$2:$G$8,2,FALSE))</f>
        <v/>
      </c>
      <c r="S212" s="499" t="str">
        <f>IFERROR(VLOOKUP(R212,'G-7 Rivers Data'!$C$4:$D$8,2,FALSE),"")</f>
        <v/>
      </c>
      <c r="T212" s="145"/>
      <c r="U212" s="499" t="str">
        <f>IFERROR(INDEX('G-7 Rivers Data'!$H$4:$L$8,MATCH(N212,'G-7 Rivers Data'!$B$4:$B$8,0),MATCH(T212,'G-7 Rivers Data'!$H$3:$L$3,0)),"")</f>
        <v/>
      </c>
      <c r="V212" s="154"/>
      <c r="W212" s="520" t="str">
        <f>IF(V212="","",IF(VLOOKUP(V212,'G-7 Rivers Data'!$AG$4:$AI$9,2,FALSE)=0,"Spatial Data Missing ⚠",VLOOKUP(V212,'G-7 Rivers Data'!$AG$4:$AI$9,2,FALSE)))</f>
        <v/>
      </c>
      <c r="X212" s="524" t="str">
        <f>IF(V212="","",IF(VLOOKUP(V212,'G-7 Rivers Data'!$AG$4:$AI$9,3,FALSE)=0,"Spatial Data Missing ⚠",VLOOKUP(V212,'G-7 Rivers Data'!$AG$4:$AI$9,3,FALSE)))</f>
        <v/>
      </c>
      <c r="Y212" s="537" t="str">
        <f>IFERROR(IF(OR(LEFT(P212,5)="Error ▲",LEFT(O212,5)="Error ▲"),"Check Data ⚠",IF(F212&lt;S212,'G-7 Rivers Data'!$R$3,INDEX('G-7 Rivers Data'!$U$5:$Y$9,MATCH(G212,'G-7 Rivers Data'!$T$5:$T$9,0),MATCH(T212,'G-7 Rivers Data'!$U$4:$Y$4,0)))),"")</f>
        <v/>
      </c>
      <c r="Z212" s="203"/>
      <c r="AA212" s="203"/>
      <c r="AB212" s="534" t="str">
        <f t="shared" si="24"/>
        <v/>
      </c>
      <c r="AC212" s="521" t="str">
        <f t="shared" si="25"/>
        <v/>
      </c>
      <c r="AD212" s="564" t="str">
        <f>IFERROR(IF(AC212="Check Data ⚠","Check Data ⚠",VLOOKUP(AC212,'G-4 Temporal multipliers'!$A$4:$C$37,3,FALSE)),"")</f>
        <v/>
      </c>
      <c r="AE212" s="537" t="str">
        <f>IF(N212="","",VLOOKUP(N212,'G-7 Rivers Data'!$B$4:$G$8,5,FALSE))</f>
        <v/>
      </c>
      <c r="AF212" s="520" t="str">
        <f t="shared" si="26"/>
        <v/>
      </c>
      <c r="AG212" s="520" t="str">
        <f t="shared" si="30"/>
        <v/>
      </c>
      <c r="AH212" s="524" t="str">
        <f t="shared" si="27"/>
        <v/>
      </c>
      <c r="AI212" s="145"/>
      <c r="AJ212" s="499" t="str">
        <f>IF(AI212="","",IF(VLOOKUP(AI212,'G-7 Rivers Data'!$AA$4:$AB$7,2,FALSE)=0,"Spatial Data Missing ⚠",VLOOKUP(AI212,'G-7 Rivers Data'!$AA$4:$AB$7,2,FALSE)))</f>
        <v/>
      </c>
      <c r="AK212" s="155"/>
      <c r="AL212" s="536" t="str">
        <f>IF(AK212="","",IF(VLOOKUP(AK212,'G-7 Rivers Data'!$AD$4:$AE$8,2,FALSE)=0,"Spatial Data Missing ⚠",VLOOKUP(AK212,'G-7 Rivers Data'!$AD$4:$AE$8,2,FALSE)))</f>
        <v/>
      </c>
      <c r="AM212" s="154"/>
      <c r="AN212" s="524" t="str">
        <f>IF(AM212="","",VLOOKUP(AM212,'G-7 Rivers Data'!$AO$4:$AP$7,2,FALSE))</f>
        <v/>
      </c>
      <c r="AO212" s="545" t="str">
        <f t="shared" si="31"/>
        <v/>
      </c>
      <c r="AP212" s="149"/>
      <c r="AQ212" s="150"/>
      <c r="AX212" s="31" t="str">
        <f>IFERROR(INDEX('G-7 Rivers Data'!$AZ$3:$AZ$7,MATCH(N212,'G-7 Rivers Data'!$AY$3:$AY$7,0)),"")</f>
        <v/>
      </c>
    </row>
    <row r="213" spans="2:50" ht="14" x14ac:dyDescent="0.3">
      <c r="B213" s="531" t="str">
        <f>'F-1 Off Site River Baseline'!AN211</f>
        <v/>
      </c>
      <c r="C213" s="520" t="str">
        <f>IF(B213="","",VLOOKUP($B213,'F-1 Off Site River Baseline'!$C$9:$R$257,2,FALSE))</f>
        <v/>
      </c>
      <c r="D213" s="520" t="str">
        <f>IF(C213="","",VLOOKUP($B213,'F-1 Off Site River Baseline'!$C$9:$R$257,3,FALSE))</f>
        <v/>
      </c>
      <c r="E213" s="520" t="str">
        <f>IF(D213="","",VLOOKUP($B213,'F-1 Off Site River Baseline'!$C$9:$R$257,4,FALSE))</f>
        <v/>
      </c>
      <c r="F213" s="520" t="str">
        <f>IF(E213="","",VLOOKUP($B213,'F-1 Off Site River Baseline'!$C$9:$R$257,5,FALSE))</f>
        <v/>
      </c>
      <c r="G213" s="520" t="str">
        <f>IF(F213="","",VLOOKUP($B213,'F-1 Off Site River Baseline'!$C$9:$R$257,6,FALSE))</f>
        <v/>
      </c>
      <c r="H213" s="520" t="str">
        <f>IF(G213="","",VLOOKUP($B213,'F-1 Off Site River Baseline'!$C$9:$R$257,7,FALSE))</f>
        <v/>
      </c>
      <c r="I213" s="520" t="str">
        <f>IF(H213="","",VLOOKUP($B213,'F-1 Off Site River Baseline'!$C$9:$R$257,8,FALSE))</f>
        <v/>
      </c>
      <c r="J213" s="520" t="str">
        <f>IF(I213="","",VLOOKUP($B213,'F-1 Off Site River Baseline'!$C$9:$R$257,9,FALSE))</f>
        <v/>
      </c>
      <c r="K213" s="520" t="str">
        <f>IF(J213="","",VLOOKUP($B213,'F-1 Off Site River Baseline'!$C$9:$R$257,10,FALSE))</f>
        <v/>
      </c>
      <c r="L213" s="520" t="str">
        <f>IF(B213="","",VLOOKUP($B213,'C-1 Site River Baseline'!$C$9:$R$257,15,FALSE))</f>
        <v/>
      </c>
      <c r="M213" s="524" t="str">
        <f>IF(L213="","",VLOOKUP($B213,'F-1 Off Site River Baseline'!$C$9:$R$257,16,FALSE))</f>
        <v/>
      </c>
      <c r="N213" s="418" t="str">
        <f t="shared" si="28"/>
        <v/>
      </c>
      <c r="O213" s="498" t="str">
        <f t="shared" si="29"/>
        <v/>
      </c>
      <c r="P213" s="499" t="str">
        <f>IF(C213="","",IF(AND(LEFT(C213,55)&lt;&gt;LEFT(N213,55),O213="High - High"),"Error - Not like for like ▲",IF(AND(F213=S213,H213&gt;U213),"Error - Can not reduce condition ▲",IF(AND(F213=S213,H213=U213,AJ213='F-1 Off Site River Baseline'!N211,'F-1 Off Site River Baseline'!P211=AL213),"Error - No enhancement ▲",IF(AND(C213&lt;&gt;N213,F213&lt;S213),"Lower Distinctiveness Habitat"&amp;" - "&amp;T213,G213&amp;" - "&amp;T213)))))</f>
        <v/>
      </c>
      <c r="Q213" s="505" t="str">
        <f>IF(N213="","",VLOOKUP(B213,'F-1 Off Site River Baseline'!$C$10:$AA$257,19,FALSE))</f>
        <v/>
      </c>
      <c r="R213" s="498" t="str">
        <f>IF(N213="","",VLOOKUP(N213,'G-7 Rivers Data'!$B$2:$G$8,2,FALSE))</f>
        <v/>
      </c>
      <c r="S213" s="499" t="str">
        <f>IFERROR(VLOOKUP(R213,'G-7 Rivers Data'!$C$4:$D$8,2,FALSE),"")</f>
        <v/>
      </c>
      <c r="T213" s="145"/>
      <c r="U213" s="499" t="str">
        <f>IFERROR(INDEX('G-7 Rivers Data'!$H$4:$L$8,MATCH(N213,'G-7 Rivers Data'!$B$4:$B$8,0),MATCH(T213,'G-7 Rivers Data'!$H$3:$L$3,0)),"")</f>
        <v/>
      </c>
      <c r="V213" s="154"/>
      <c r="W213" s="520" t="str">
        <f>IF(V213="","",IF(VLOOKUP(V213,'G-7 Rivers Data'!$AG$4:$AI$9,2,FALSE)=0,"Spatial Data Missing ⚠",VLOOKUP(V213,'G-7 Rivers Data'!$AG$4:$AI$9,2,FALSE)))</f>
        <v/>
      </c>
      <c r="X213" s="524" t="str">
        <f>IF(V213="","",IF(VLOOKUP(V213,'G-7 Rivers Data'!$AG$4:$AI$9,3,FALSE)=0,"Spatial Data Missing ⚠",VLOOKUP(V213,'G-7 Rivers Data'!$AG$4:$AI$9,3,FALSE)))</f>
        <v/>
      </c>
      <c r="Y213" s="537" t="str">
        <f>IFERROR(IF(OR(LEFT(P213,5)="Error ▲",LEFT(O213,5)="Error ▲"),"Check Data ⚠",IF(F213&lt;S213,'G-7 Rivers Data'!$R$3,INDEX('G-7 Rivers Data'!$U$5:$Y$9,MATCH(G213,'G-7 Rivers Data'!$T$5:$T$9,0),MATCH(T213,'G-7 Rivers Data'!$U$4:$Y$4,0)))),"")</f>
        <v/>
      </c>
      <c r="Z213" s="203"/>
      <c r="AA213" s="203"/>
      <c r="AB213" s="534" t="str">
        <f t="shared" si="24"/>
        <v/>
      </c>
      <c r="AC213" s="521" t="str">
        <f t="shared" si="25"/>
        <v/>
      </c>
      <c r="AD213" s="564" t="str">
        <f>IFERROR(IF(AC213="Check Data ⚠","Check Data ⚠",VLOOKUP(AC213,'G-4 Temporal multipliers'!$A$4:$C$37,3,FALSE)),"")</f>
        <v/>
      </c>
      <c r="AE213" s="537" t="str">
        <f>IF(N213="","",VLOOKUP(N213,'G-7 Rivers Data'!$B$4:$G$8,5,FALSE))</f>
        <v/>
      </c>
      <c r="AF213" s="520" t="str">
        <f t="shared" si="26"/>
        <v/>
      </c>
      <c r="AG213" s="520" t="str">
        <f t="shared" si="30"/>
        <v/>
      </c>
      <c r="AH213" s="524" t="str">
        <f t="shared" si="27"/>
        <v/>
      </c>
      <c r="AI213" s="145"/>
      <c r="AJ213" s="499" t="str">
        <f>IF(AI213="","",IF(VLOOKUP(AI213,'G-7 Rivers Data'!$AA$4:$AB$7,2,FALSE)=0,"Spatial Data Missing ⚠",VLOOKUP(AI213,'G-7 Rivers Data'!$AA$4:$AB$7,2,FALSE)))</f>
        <v/>
      </c>
      <c r="AK213" s="155"/>
      <c r="AL213" s="536" t="str">
        <f>IF(AK213="","",IF(VLOOKUP(AK213,'G-7 Rivers Data'!$AD$4:$AE$8,2,FALSE)=0,"Spatial Data Missing ⚠",VLOOKUP(AK213,'G-7 Rivers Data'!$AD$4:$AE$8,2,FALSE)))</f>
        <v/>
      </c>
      <c r="AM213" s="154"/>
      <c r="AN213" s="524" t="str">
        <f>IF(AM213="","",VLOOKUP(AM213,'G-7 Rivers Data'!$AO$4:$AP$7,2,FALSE))</f>
        <v/>
      </c>
      <c r="AO213" s="545" t="str">
        <f t="shared" si="31"/>
        <v/>
      </c>
      <c r="AP213" s="149"/>
      <c r="AQ213" s="150"/>
      <c r="AX213" s="31" t="str">
        <f>IFERROR(INDEX('G-7 Rivers Data'!$AZ$3:$AZ$7,MATCH(N213,'G-7 Rivers Data'!$AY$3:$AY$7,0)),"")</f>
        <v/>
      </c>
    </row>
    <row r="214" spans="2:50" ht="14" x14ac:dyDescent="0.3">
      <c r="B214" s="531" t="str">
        <f>'F-1 Off Site River Baseline'!AN212</f>
        <v/>
      </c>
      <c r="C214" s="520" t="str">
        <f>IF(B214="","",VLOOKUP($B214,'F-1 Off Site River Baseline'!$C$9:$R$257,2,FALSE))</f>
        <v/>
      </c>
      <c r="D214" s="520" t="str">
        <f>IF(C214="","",VLOOKUP($B214,'F-1 Off Site River Baseline'!$C$9:$R$257,3,FALSE))</f>
        <v/>
      </c>
      <c r="E214" s="520" t="str">
        <f>IF(D214="","",VLOOKUP($B214,'F-1 Off Site River Baseline'!$C$9:$R$257,4,FALSE))</f>
        <v/>
      </c>
      <c r="F214" s="520" t="str">
        <f>IF(E214="","",VLOOKUP($B214,'F-1 Off Site River Baseline'!$C$9:$R$257,5,FALSE))</f>
        <v/>
      </c>
      <c r="G214" s="520" t="str">
        <f>IF(F214="","",VLOOKUP($B214,'F-1 Off Site River Baseline'!$C$9:$R$257,6,FALSE))</f>
        <v/>
      </c>
      <c r="H214" s="520" t="str">
        <f>IF(G214="","",VLOOKUP($B214,'F-1 Off Site River Baseline'!$C$9:$R$257,7,FALSE))</f>
        <v/>
      </c>
      <c r="I214" s="520" t="str">
        <f>IF(H214="","",VLOOKUP($B214,'F-1 Off Site River Baseline'!$C$9:$R$257,8,FALSE))</f>
        <v/>
      </c>
      <c r="J214" s="520" t="str">
        <f>IF(I214="","",VLOOKUP($B214,'F-1 Off Site River Baseline'!$C$9:$R$257,9,FALSE))</f>
        <v/>
      </c>
      <c r="K214" s="520" t="str">
        <f>IF(J214="","",VLOOKUP($B214,'F-1 Off Site River Baseline'!$C$9:$R$257,10,FALSE))</f>
        <v/>
      </c>
      <c r="L214" s="520" t="str">
        <f>IF(B214="","",VLOOKUP($B214,'C-1 Site River Baseline'!$C$9:$R$257,15,FALSE))</f>
        <v/>
      </c>
      <c r="M214" s="524" t="str">
        <f>IF(L214="","",VLOOKUP($B214,'F-1 Off Site River Baseline'!$C$9:$R$257,16,FALSE))</f>
        <v/>
      </c>
      <c r="N214" s="418" t="str">
        <f t="shared" si="28"/>
        <v/>
      </c>
      <c r="O214" s="498" t="str">
        <f t="shared" si="29"/>
        <v/>
      </c>
      <c r="P214" s="499" t="str">
        <f>IF(C214="","",IF(AND(LEFT(C214,55)&lt;&gt;LEFT(N214,55),O214="High - High"),"Error - Not like for like ▲",IF(AND(F214=S214,H214&gt;U214),"Error - Can not reduce condition ▲",IF(AND(F214=S214,H214=U214,AJ214='F-1 Off Site River Baseline'!N212,'F-1 Off Site River Baseline'!P212=AL214),"Error - No enhancement ▲",IF(AND(C214&lt;&gt;N214,F214&lt;S214),"Lower Distinctiveness Habitat"&amp;" - "&amp;T214,G214&amp;" - "&amp;T214)))))</f>
        <v/>
      </c>
      <c r="Q214" s="505" t="str">
        <f>IF(N214="","",VLOOKUP(B214,'F-1 Off Site River Baseline'!$C$10:$AA$257,19,FALSE))</f>
        <v/>
      </c>
      <c r="R214" s="498" t="str">
        <f>IF(N214="","",VLOOKUP(N214,'G-7 Rivers Data'!$B$2:$G$8,2,FALSE))</f>
        <v/>
      </c>
      <c r="S214" s="499" t="str">
        <f>IFERROR(VLOOKUP(R214,'G-7 Rivers Data'!$C$4:$D$8,2,FALSE),"")</f>
        <v/>
      </c>
      <c r="T214" s="145"/>
      <c r="U214" s="499" t="str">
        <f>IFERROR(INDEX('G-7 Rivers Data'!$H$4:$L$8,MATCH(N214,'G-7 Rivers Data'!$B$4:$B$8,0),MATCH(T214,'G-7 Rivers Data'!$H$3:$L$3,0)),"")</f>
        <v/>
      </c>
      <c r="V214" s="154"/>
      <c r="W214" s="520" t="str">
        <f>IF(V214="","",IF(VLOOKUP(V214,'G-7 Rivers Data'!$AG$4:$AI$9,2,FALSE)=0,"Spatial Data Missing ⚠",VLOOKUP(V214,'G-7 Rivers Data'!$AG$4:$AI$9,2,FALSE)))</f>
        <v/>
      </c>
      <c r="X214" s="524" t="str">
        <f>IF(V214="","",IF(VLOOKUP(V214,'G-7 Rivers Data'!$AG$4:$AI$9,3,FALSE)=0,"Spatial Data Missing ⚠",VLOOKUP(V214,'G-7 Rivers Data'!$AG$4:$AI$9,3,FALSE)))</f>
        <v/>
      </c>
      <c r="Y214" s="537" t="str">
        <f>IFERROR(IF(OR(LEFT(P214,5)="Error ▲",LEFT(O214,5)="Error ▲"),"Check Data ⚠",IF(F214&lt;S214,'G-7 Rivers Data'!$R$3,INDEX('G-7 Rivers Data'!$U$5:$Y$9,MATCH(G214,'G-7 Rivers Data'!$T$5:$T$9,0),MATCH(T214,'G-7 Rivers Data'!$U$4:$Y$4,0)))),"")</f>
        <v/>
      </c>
      <c r="Z214" s="203"/>
      <c r="AA214" s="203"/>
      <c r="AB214" s="534" t="str">
        <f t="shared" si="24"/>
        <v/>
      </c>
      <c r="AC214" s="521" t="str">
        <f t="shared" si="25"/>
        <v/>
      </c>
      <c r="AD214" s="564" t="str">
        <f>IFERROR(IF(AC214="Check Data ⚠","Check Data ⚠",VLOOKUP(AC214,'G-4 Temporal multipliers'!$A$4:$C$37,3,FALSE)),"")</f>
        <v/>
      </c>
      <c r="AE214" s="537" t="str">
        <f>IF(N214="","",VLOOKUP(N214,'G-7 Rivers Data'!$B$4:$G$8,5,FALSE))</f>
        <v/>
      </c>
      <c r="AF214" s="520" t="str">
        <f t="shared" si="26"/>
        <v/>
      </c>
      <c r="AG214" s="520" t="str">
        <f t="shared" si="30"/>
        <v/>
      </c>
      <c r="AH214" s="524" t="str">
        <f t="shared" si="27"/>
        <v/>
      </c>
      <c r="AI214" s="145"/>
      <c r="AJ214" s="499" t="str">
        <f>IF(AI214="","",IF(VLOOKUP(AI214,'G-7 Rivers Data'!$AA$4:$AB$7,2,FALSE)=0,"Spatial Data Missing ⚠",VLOOKUP(AI214,'G-7 Rivers Data'!$AA$4:$AB$7,2,FALSE)))</f>
        <v/>
      </c>
      <c r="AK214" s="155"/>
      <c r="AL214" s="536" t="str">
        <f>IF(AK214="","",IF(VLOOKUP(AK214,'G-7 Rivers Data'!$AD$4:$AE$8,2,FALSE)=0,"Spatial Data Missing ⚠",VLOOKUP(AK214,'G-7 Rivers Data'!$AD$4:$AE$8,2,FALSE)))</f>
        <v/>
      </c>
      <c r="AM214" s="154"/>
      <c r="AN214" s="524" t="str">
        <f>IF(AM214="","",VLOOKUP(AM214,'G-7 Rivers Data'!$AO$4:$AP$7,2,FALSE))</f>
        <v/>
      </c>
      <c r="AO214" s="545" t="str">
        <f t="shared" si="31"/>
        <v/>
      </c>
      <c r="AP214" s="149"/>
      <c r="AQ214" s="150"/>
      <c r="AX214" s="31" t="str">
        <f>IFERROR(INDEX('G-7 Rivers Data'!$AZ$3:$AZ$7,MATCH(N214,'G-7 Rivers Data'!$AY$3:$AY$7,0)),"")</f>
        <v/>
      </c>
    </row>
    <row r="215" spans="2:50" ht="14" x14ac:dyDescent="0.3">
      <c r="B215" s="531" t="str">
        <f>'F-1 Off Site River Baseline'!AN213</f>
        <v/>
      </c>
      <c r="C215" s="520" t="str">
        <f>IF(B215="","",VLOOKUP($B215,'F-1 Off Site River Baseline'!$C$9:$R$257,2,FALSE))</f>
        <v/>
      </c>
      <c r="D215" s="520" t="str">
        <f>IF(C215="","",VLOOKUP($B215,'F-1 Off Site River Baseline'!$C$9:$R$257,3,FALSE))</f>
        <v/>
      </c>
      <c r="E215" s="520" t="str">
        <f>IF(D215="","",VLOOKUP($B215,'F-1 Off Site River Baseline'!$C$9:$R$257,4,FALSE))</f>
        <v/>
      </c>
      <c r="F215" s="520" t="str">
        <f>IF(E215="","",VLOOKUP($B215,'F-1 Off Site River Baseline'!$C$9:$R$257,5,FALSE))</f>
        <v/>
      </c>
      <c r="G215" s="520" t="str">
        <f>IF(F215="","",VLOOKUP($B215,'F-1 Off Site River Baseline'!$C$9:$R$257,6,FALSE))</f>
        <v/>
      </c>
      <c r="H215" s="520" t="str">
        <f>IF(G215="","",VLOOKUP($B215,'F-1 Off Site River Baseline'!$C$9:$R$257,7,FALSE))</f>
        <v/>
      </c>
      <c r="I215" s="520" t="str">
        <f>IF(H215="","",VLOOKUP($B215,'F-1 Off Site River Baseline'!$C$9:$R$257,8,FALSE))</f>
        <v/>
      </c>
      <c r="J215" s="520" t="str">
        <f>IF(I215="","",VLOOKUP($B215,'F-1 Off Site River Baseline'!$C$9:$R$257,9,FALSE))</f>
        <v/>
      </c>
      <c r="K215" s="520" t="str">
        <f>IF(J215="","",VLOOKUP($B215,'F-1 Off Site River Baseline'!$C$9:$R$257,10,FALSE))</f>
        <v/>
      </c>
      <c r="L215" s="520" t="str">
        <f>IF(B215="","",VLOOKUP($B215,'C-1 Site River Baseline'!$C$9:$R$257,15,FALSE))</f>
        <v/>
      </c>
      <c r="M215" s="524" t="str">
        <f>IF(L215="","",VLOOKUP($B215,'F-1 Off Site River Baseline'!$C$9:$R$257,16,FALSE))</f>
        <v/>
      </c>
      <c r="N215" s="418" t="str">
        <f t="shared" si="28"/>
        <v/>
      </c>
      <c r="O215" s="498" t="str">
        <f t="shared" si="29"/>
        <v/>
      </c>
      <c r="P215" s="499" t="str">
        <f>IF(C215="","",IF(AND(LEFT(C215,55)&lt;&gt;LEFT(N215,55),O215="High - High"),"Error - Not like for like ▲",IF(AND(F215=S215,H215&gt;U215),"Error - Can not reduce condition ▲",IF(AND(F215=S215,H215=U215,AJ215='F-1 Off Site River Baseline'!N213,'F-1 Off Site River Baseline'!P213=AL215),"Error - No enhancement ▲",IF(AND(C215&lt;&gt;N215,F215&lt;S215),"Lower Distinctiveness Habitat"&amp;" - "&amp;T215,G215&amp;" - "&amp;T215)))))</f>
        <v/>
      </c>
      <c r="Q215" s="505" t="str">
        <f>IF(N215="","",VLOOKUP(B215,'F-1 Off Site River Baseline'!$C$10:$AA$257,19,FALSE))</f>
        <v/>
      </c>
      <c r="R215" s="498" t="str">
        <f>IF(N215="","",VLOOKUP(N215,'G-7 Rivers Data'!$B$2:$G$8,2,FALSE))</f>
        <v/>
      </c>
      <c r="S215" s="499" t="str">
        <f>IFERROR(VLOOKUP(R215,'G-7 Rivers Data'!$C$4:$D$8,2,FALSE),"")</f>
        <v/>
      </c>
      <c r="T215" s="145"/>
      <c r="U215" s="499" t="str">
        <f>IFERROR(INDEX('G-7 Rivers Data'!$H$4:$L$8,MATCH(N215,'G-7 Rivers Data'!$B$4:$B$8,0),MATCH(T215,'G-7 Rivers Data'!$H$3:$L$3,0)),"")</f>
        <v/>
      </c>
      <c r="V215" s="154"/>
      <c r="W215" s="520" t="str">
        <f>IF(V215="","",IF(VLOOKUP(V215,'G-7 Rivers Data'!$AG$4:$AI$9,2,FALSE)=0,"Spatial Data Missing ⚠",VLOOKUP(V215,'G-7 Rivers Data'!$AG$4:$AI$9,2,FALSE)))</f>
        <v/>
      </c>
      <c r="X215" s="524" t="str">
        <f>IF(V215="","",IF(VLOOKUP(V215,'G-7 Rivers Data'!$AG$4:$AI$9,3,FALSE)=0,"Spatial Data Missing ⚠",VLOOKUP(V215,'G-7 Rivers Data'!$AG$4:$AI$9,3,FALSE)))</f>
        <v/>
      </c>
      <c r="Y215" s="537" t="str">
        <f>IFERROR(IF(OR(LEFT(P215,5)="Error ▲",LEFT(O215,5)="Error ▲"),"Check Data ⚠",IF(F215&lt;S215,'G-7 Rivers Data'!$R$3,INDEX('G-7 Rivers Data'!$U$5:$Y$9,MATCH(G215,'G-7 Rivers Data'!$T$5:$T$9,0),MATCH(T215,'G-7 Rivers Data'!$U$4:$Y$4,0)))),"")</f>
        <v/>
      </c>
      <c r="Z215" s="203"/>
      <c r="AA215" s="203"/>
      <c r="AB215" s="534" t="str">
        <f t="shared" si="24"/>
        <v/>
      </c>
      <c r="AC215" s="521" t="str">
        <f t="shared" si="25"/>
        <v/>
      </c>
      <c r="AD215" s="564" t="str">
        <f>IFERROR(IF(AC215="Check Data ⚠","Check Data ⚠",VLOOKUP(AC215,'G-4 Temporal multipliers'!$A$4:$C$37,3,FALSE)),"")</f>
        <v/>
      </c>
      <c r="AE215" s="537" t="str">
        <f>IF(N215="","",VLOOKUP(N215,'G-7 Rivers Data'!$B$4:$G$8,5,FALSE))</f>
        <v/>
      </c>
      <c r="AF215" s="520" t="str">
        <f t="shared" si="26"/>
        <v/>
      </c>
      <c r="AG215" s="520" t="str">
        <f t="shared" si="30"/>
        <v/>
      </c>
      <c r="AH215" s="524" t="str">
        <f t="shared" si="27"/>
        <v/>
      </c>
      <c r="AI215" s="145"/>
      <c r="AJ215" s="499" t="str">
        <f>IF(AI215="","",IF(VLOOKUP(AI215,'G-7 Rivers Data'!$AA$4:$AB$7,2,FALSE)=0,"Spatial Data Missing ⚠",VLOOKUP(AI215,'G-7 Rivers Data'!$AA$4:$AB$7,2,FALSE)))</f>
        <v/>
      </c>
      <c r="AK215" s="155"/>
      <c r="AL215" s="536" t="str">
        <f>IF(AK215="","",IF(VLOOKUP(AK215,'G-7 Rivers Data'!$AD$4:$AE$8,2,FALSE)=0,"Spatial Data Missing ⚠",VLOOKUP(AK215,'G-7 Rivers Data'!$AD$4:$AE$8,2,FALSE)))</f>
        <v/>
      </c>
      <c r="AM215" s="154"/>
      <c r="AN215" s="524" t="str">
        <f>IF(AM215="","",VLOOKUP(AM215,'G-7 Rivers Data'!$AO$4:$AP$7,2,FALSE))</f>
        <v/>
      </c>
      <c r="AO215" s="545" t="str">
        <f t="shared" si="31"/>
        <v/>
      </c>
      <c r="AP215" s="149"/>
      <c r="AQ215" s="150"/>
      <c r="AX215" s="31" t="str">
        <f>IFERROR(INDEX('G-7 Rivers Data'!$AZ$3:$AZ$7,MATCH(N215,'G-7 Rivers Data'!$AY$3:$AY$7,0)),"")</f>
        <v/>
      </c>
    </row>
    <row r="216" spans="2:50" ht="14" x14ac:dyDescent="0.3">
      <c r="B216" s="531" t="str">
        <f>'F-1 Off Site River Baseline'!AN214</f>
        <v/>
      </c>
      <c r="C216" s="520" t="str">
        <f>IF(B216="","",VLOOKUP($B216,'F-1 Off Site River Baseline'!$C$9:$R$257,2,FALSE))</f>
        <v/>
      </c>
      <c r="D216" s="520" t="str">
        <f>IF(C216="","",VLOOKUP($B216,'F-1 Off Site River Baseline'!$C$9:$R$257,3,FALSE))</f>
        <v/>
      </c>
      <c r="E216" s="520" t="str">
        <f>IF(D216="","",VLOOKUP($B216,'F-1 Off Site River Baseline'!$C$9:$R$257,4,FALSE))</f>
        <v/>
      </c>
      <c r="F216" s="520" t="str">
        <f>IF(E216="","",VLOOKUP($B216,'F-1 Off Site River Baseline'!$C$9:$R$257,5,FALSE))</f>
        <v/>
      </c>
      <c r="G216" s="520" t="str">
        <f>IF(F216="","",VLOOKUP($B216,'F-1 Off Site River Baseline'!$C$9:$R$257,6,FALSE))</f>
        <v/>
      </c>
      <c r="H216" s="520" t="str">
        <f>IF(G216="","",VLOOKUP($B216,'F-1 Off Site River Baseline'!$C$9:$R$257,7,FALSE))</f>
        <v/>
      </c>
      <c r="I216" s="520" t="str">
        <f>IF(H216="","",VLOOKUP($B216,'F-1 Off Site River Baseline'!$C$9:$R$257,8,FALSE))</f>
        <v/>
      </c>
      <c r="J216" s="520" t="str">
        <f>IF(I216="","",VLOOKUP($B216,'F-1 Off Site River Baseline'!$C$9:$R$257,9,FALSE))</f>
        <v/>
      </c>
      <c r="K216" s="520" t="str">
        <f>IF(J216="","",VLOOKUP($B216,'F-1 Off Site River Baseline'!$C$9:$R$257,10,FALSE))</f>
        <v/>
      </c>
      <c r="L216" s="520" t="str">
        <f>IF(B216="","",VLOOKUP($B216,'C-1 Site River Baseline'!$C$9:$R$257,15,FALSE))</f>
        <v/>
      </c>
      <c r="M216" s="524" t="str">
        <f>IF(L216="","",VLOOKUP($B216,'F-1 Off Site River Baseline'!$C$9:$R$257,16,FALSE))</f>
        <v/>
      </c>
      <c r="N216" s="418" t="str">
        <f t="shared" si="28"/>
        <v/>
      </c>
      <c r="O216" s="498" t="str">
        <f t="shared" si="29"/>
        <v/>
      </c>
      <c r="P216" s="499" t="str">
        <f>IF(C216="","",IF(AND(LEFT(C216,55)&lt;&gt;LEFT(N216,55),O216="High - High"),"Error - Not like for like ▲",IF(AND(F216=S216,H216&gt;U216),"Error - Can not reduce condition ▲",IF(AND(F216=S216,H216=U216,AJ216='F-1 Off Site River Baseline'!N214,'F-1 Off Site River Baseline'!P214=AL216),"Error - No enhancement ▲",IF(AND(C216&lt;&gt;N216,F216&lt;S216),"Lower Distinctiveness Habitat"&amp;" - "&amp;T216,G216&amp;" - "&amp;T216)))))</f>
        <v/>
      </c>
      <c r="Q216" s="505" t="str">
        <f>IF(N216="","",VLOOKUP(B216,'F-1 Off Site River Baseline'!$C$10:$AA$257,19,FALSE))</f>
        <v/>
      </c>
      <c r="R216" s="498" t="str">
        <f>IF(N216="","",VLOOKUP(N216,'G-7 Rivers Data'!$B$2:$G$8,2,FALSE))</f>
        <v/>
      </c>
      <c r="S216" s="499" t="str">
        <f>IFERROR(VLOOKUP(R216,'G-7 Rivers Data'!$C$4:$D$8,2,FALSE),"")</f>
        <v/>
      </c>
      <c r="T216" s="145"/>
      <c r="U216" s="499" t="str">
        <f>IFERROR(INDEX('G-7 Rivers Data'!$H$4:$L$8,MATCH(N216,'G-7 Rivers Data'!$B$4:$B$8,0),MATCH(T216,'G-7 Rivers Data'!$H$3:$L$3,0)),"")</f>
        <v/>
      </c>
      <c r="V216" s="154"/>
      <c r="W216" s="520" t="str">
        <f>IF(V216="","",IF(VLOOKUP(V216,'G-7 Rivers Data'!$AG$4:$AI$9,2,FALSE)=0,"Spatial Data Missing ⚠",VLOOKUP(V216,'G-7 Rivers Data'!$AG$4:$AI$9,2,FALSE)))</f>
        <v/>
      </c>
      <c r="X216" s="524" t="str">
        <f>IF(V216="","",IF(VLOOKUP(V216,'G-7 Rivers Data'!$AG$4:$AI$9,3,FALSE)=0,"Spatial Data Missing ⚠",VLOOKUP(V216,'G-7 Rivers Data'!$AG$4:$AI$9,3,FALSE)))</f>
        <v/>
      </c>
      <c r="Y216" s="537" t="str">
        <f>IFERROR(IF(OR(LEFT(P216,5)="Error ▲",LEFT(O216,5)="Error ▲"),"Check Data ⚠",IF(F216&lt;S216,'G-7 Rivers Data'!$R$3,INDEX('G-7 Rivers Data'!$U$5:$Y$9,MATCH(G216,'G-7 Rivers Data'!$T$5:$T$9,0),MATCH(T216,'G-7 Rivers Data'!$U$4:$Y$4,0)))),"")</f>
        <v/>
      </c>
      <c r="Z216" s="203"/>
      <c r="AA216" s="203"/>
      <c r="AB216" s="534" t="str">
        <f t="shared" si="24"/>
        <v/>
      </c>
      <c r="AC216" s="521" t="str">
        <f t="shared" si="25"/>
        <v/>
      </c>
      <c r="AD216" s="564" t="str">
        <f>IFERROR(IF(AC216="Check Data ⚠","Check Data ⚠",VLOOKUP(AC216,'G-4 Temporal multipliers'!$A$4:$C$37,3,FALSE)),"")</f>
        <v/>
      </c>
      <c r="AE216" s="537" t="str">
        <f>IF(N216="","",VLOOKUP(N216,'G-7 Rivers Data'!$B$4:$G$8,5,FALSE))</f>
        <v/>
      </c>
      <c r="AF216" s="520" t="str">
        <f t="shared" si="26"/>
        <v/>
      </c>
      <c r="AG216" s="520" t="str">
        <f t="shared" si="30"/>
        <v/>
      </c>
      <c r="AH216" s="524" t="str">
        <f t="shared" si="27"/>
        <v/>
      </c>
      <c r="AI216" s="145"/>
      <c r="AJ216" s="499" t="str">
        <f>IF(AI216="","",IF(VLOOKUP(AI216,'G-7 Rivers Data'!$AA$4:$AB$7,2,FALSE)=0,"Spatial Data Missing ⚠",VLOOKUP(AI216,'G-7 Rivers Data'!$AA$4:$AB$7,2,FALSE)))</f>
        <v/>
      </c>
      <c r="AK216" s="155"/>
      <c r="AL216" s="536" t="str">
        <f>IF(AK216="","",IF(VLOOKUP(AK216,'G-7 Rivers Data'!$AD$4:$AE$8,2,FALSE)=0,"Spatial Data Missing ⚠",VLOOKUP(AK216,'G-7 Rivers Data'!$AD$4:$AE$8,2,FALSE)))</f>
        <v/>
      </c>
      <c r="AM216" s="154"/>
      <c r="AN216" s="524" t="str">
        <f>IF(AM216="","",VLOOKUP(AM216,'G-7 Rivers Data'!$AO$4:$AP$7,2,FALSE))</f>
        <v/>
      </c>
      <c r="AO216" s="545" t="str">
        <f t="shared" si="31"/>
        <v/>
      </c>
      <c r="AP216" s="149"/>
      <c r="AQ216" s="150"/>
      <c r="AX216" s="31" t="str">
        <f>IFERROR(INDEX('G-7 Rivers Data'!$AZ$3:$AZ$7,MATCH(N216,'G-7 Rivers Data'!$AY$3:$AY$7,0)),"")</f>
        <v/>
      </c>
    </row>
    <row r="217" spans="2:50" ht="14" x14ac:dyDescent="0.3">
      <c r="B217" s="531" t="str">
        <f>'F-1 Off Site River Baseline'!AN215</f>
        <v/>
      </c>
      <c r="C217" s="520" t="str">
        <f>IF(B217="","",VLOOKUP($B217,'F-1 Off Site River Baseline'!$C$9:$R$257,2,FALSE))</f>
        <v/>
      </c>
      <c r="D217" s="520" t="str">
        <f>IF(C217="","",VLOOKUP($B217,'F-1 Off Site River Baseline'!$C$9:$R$257,3,FALSE))</f>
        <v/>
      </c>
      <c r="E217" s="520" t="str">
        <f>IF(D217="","",VLOOKUP($B217,'F-1 Off Site River Baseline'!$C$9:$R$257,4,FALSE))</f>
        <v/>
      </c>
      <c r="F217" s="520" t="str">
        <f>IF(E217="","",VLOOKUP($B217,'F-1 Off Site River Baseline'!$C$9:$R$257,5,FALSE))</f>
        <v/>
      </c>
      <c r="G217" s="520" t="str">
        <f>IF(F217="","",VLOOKUP($B217,'F-1 Off Site River Baseline'!$C$9:$R$257,6,FALSE))</f>
        <v/>
      </c>
      <c r="H217" s="520" t="str">
        <f>IF(G217="","",VLOOKUP($B217,'F-1 Off Site River Baseline'!$C$9:$R$257,7,FALSE))</f>
        <v/>
      </c>
      <c r="I217" s="520" t="str">
        <f>IF(H217="","",VLOOKUP($B217,'F-1 Off Site River Baseline'!$C$9:$R$257,8,FALSE))</f>
        <v/>
      </c>
      <c r="J217" s="520" t="str">
        <f>IF(I217="","",VLOOKUP($B217,'F-1 Off Site River Baseline'!$C$9:$R$257,9,FALSE))</f>
        <v/>
      </c>
      <c r="K217" s="520" t="str">
        <f>IF(J217="","",VLOOKUP($B217,'F-1 Off Site River Baseline'!$C$9:$R$257,10,FALSE))</f>
        <v/>
      </c>
      <c r="L217" s="520" t="str">
        <f>IF(B217="","",VLOOKUP($B217,'C-1 Site River Baseline'!$C$9:$R$257,15,FALSE))</f>
        <v/>
      </c>
      <c r="M217" s="524" t="str">
        <f>IF(L217="","",VLOOKUP($B217,'F-1 Off Site River Baseline'!$C$9:$R$257,16,FALSE))</f>
        <v/>
      </c>
      <c r="N217" s="418" t="str">
        <f t="shared" si="28"/>
        <v/>
      </c>
      <c r="O217" s="498" t="str">
        <f t="shared" si="29"/>
        <v/>
      </c>
      <c r="P217" s="499" t="str">
        <f>IF(C217="","",IF(AND(LEFT(C217,55)&lt;&gt;LEFT(N217,55),O217="High - High"),"Error - Not like for like ▲",IF(AND(F217=S217,H217&gt;U217),"Error - Can not reduce condition ▲",IF(AND(F217=S217,H217=U217,AJ217='F-1 Off Site River Baseline'!N215,'F-1 Off Site River Baseline'!P215=AL217),"Error - No enhancement ▲",IF(AND(C217&lt;&gt;N217,F217&lt;S217),"Lower Distinctiveness Habitat"&amp;" - "&amp;T217,G217&amp;" - "&amp;T217)))))</f>
        <v/>
      </c>
      <c r="Q217" s="505" t="str">
        <f>IF(N217="","",VLOOKUP(B217,'F-1 Off Site River Baseline'!$C$10:$AA$257,19,FALSE))</f>
        <v/>
      </c>
      <c r="R217" s="498" t="str">
        <f>IF(N217="","",VLOOKUP(N217,'G-7 Rivers Data'!$B$2:$G$8,2,FALSE))</f>
        <v/>
      </c>
      <c r="S217" s="499" t="str">
        <f>IFERROR(VLOOKUP(R217,'G-7 Rivers Data'!$C$4:$D$8,2,FALSE),"")</f>
        <v/>
      </c>
      <c r="T217" s="145"/>
      <c r="U217" s="499" t="str">
        <f>IFERROR(INDEX('G-7 Rivers Data'!$H$4:$L$8,MATCH(N217,'G-7 Rivers Data'!$B$4:$B$8,0),MATCH(T217,'G-7 Rivers Data'!$H$3:$L$3,0)),"")</f>
        <v/>
      </c>
      <c r="V217" s="154"/>
      <c r="W217" s="520" t="str">
        <f>IF(V217="","",IF(VLOOKUP(V217,'G-7 Rivers Data'!$AG$4:$AI$9,2,FALSE)=0,"Spatial Data Missing ⚠",VLOOKUP(V217,'G-7 Rivers Data'!$AG$4:$AI$9,2,FALSE)))</f>
        <v/>
      </c>
      <c r="X217" s="524" t="str">
        <f>IF(V217="","",IF(VLOOKUP(V217,'G-7 Rivers Data'!$AG$4:$AI$9,3,FALSE)=0,"Spatial Data Missing ⚠",VLOOKUP(V217,'G-7 Rivers Data'!$AG$4:$AI$9,3,FALSE)))</f>
        <v/>
      </c>
      <c r="Y217" s="537" t="str">
        <f>IFERROR(IF(OR(LEFT(P217,5)="Error ▲",LEFT(O217,5)="Error ▲"),"Check Data ⚠",IF(F217&lt;S217,'G-7 Rivers Data'!$R$3,INDEX('G-7 Rivers Data'!$U$5:$Y$9,MATCH(G217,'G-7 Rivers Data'!$T$5:$T$9,0),MATCH(T217,'G-7 Rivers Data'!$U$4:$Y$4,0)))),"")</f>
        <v/>
      </c>
      <c r="Z217" s="203"/>
      <c r="AA217" s="203"/>
      <c r="AB217" s="534" t="str">
        <f t="shared" si="24"/>
        <v/>
      </c>
      <c r="AC217" s="521" t="str">
        <f t="shared" si="25"/>
        <v/>
      </c>
      <c r="AD217" s="564" t="str">
        <f>IFERROR(IF(AC217="Check Data ⚠","Check Data ⚠",VLOOKUP(AC217,'G-4 Temporal multipliers'!$A$4:$C$37,3,FALSE)),"")</f>
        <v/>
      </c>
      <c r="AE217" s="537" t="str">
        <f>IF(N217="","",VLOOKUP(N217,'G-7 Rivers Data'!$B$4:$G$8,5,FALSE))</f>
        <v/>
      </c>
      <c r="AF217" s="520" t="str">
        <f t="shared" si="26"/>
        <v/>
      </c>
      <c r="AG217" s="520" t="str">
        <f t="shared" si="30"/>
        <v/>
      </c>
      <c r="AH217" s="524" t="str">
        <f t="shared" si="27"/>
        <v/>
      </c>
      <c r="AI217" s="145"/>
      <c r="AJ217" s="499" t="str">
        <f>IF(AI217="","",IF(VLOOKUP(AI217,'G-7 Rivers Data'!$AA$4:$AB$7,2,FALSE)=0,"Spatial Data Missing ⚠",VLOOKUP(AI217,'G-7 Rivers Data'!$AA$4:$AB$7,2,FALSE)))</f>
        <v/>
      </c>
      <c r="AK217" s="155"/>
      <c r="AL217" s="536" t="str">
        <f>IF(AK217="","",IF(VLOOKUP(AK217,'G-7 Rivers Data'!$AD$4:$AE$8,2,FALSE)=0,"Spatial Data Missing ⚠",VLOOKUP(AK217,'G-7 Rivers Data'!$AD$4:$AE$8,2,FALSE)))</f>
        <v/>
      </c>
      <c r="AM217" s="154"/>
      <c r="AN217" s="524" t="str">
        <f>IF(AM217="","",VLOOKUP(AM217,'G-7 Rivers Data'!$AO$4:$AP$7,2,FALSE))</f>
        <v/>
      </c>
      <c r="AO217" s="545" t="str">
        <f t="shared" si="31"/>
        <v/>
      </c>
      <c r="AP217" s="149"/>
      <c r="AQ217" s="150"/>
      <c r="AX217" s="31" t="str">
        <f>IFERROR(INDEX('G-7 Rivers Data'!$AZ$3:$AZ$7,MATCH(N217,'G-7 Rivers Data'!$AY$3:$AY$7,0)),"")</f>
        <v/>
      </c>
    </row>
    <row r="218" spans="2:50" ht="14" x14ac:dyDescent="0.3">
      <c r="B218" s="531" t="str">
        <f>'F-1 Off Site River Baseline'!AN216</f>
        <v/>
      </c>
      <c r="C218" s="520" t="str">
        <f>IF(B218="","",VLOOKUP($B218,'F-1 Off Site River Baseline'!$C$9:$R$257,2,FALSE))</f>
        <v/>
      </c>
      <c r="D218" s="520" t="str">
        <f>IF(C218="","",VLOOKUP($B218,'F-1 Off Site River Baseline'!$C$9:$R$257,3,FALSE))</f>
        <v/>
      </c>
      <c r="E218" s="520" t="str">
        <f>IF(D218="","",VLOOKUP($B218,'F-1 Off Site River Baseline'!$C$9:$R$257,4,FALSE))</f>
        <v/>
      </c>
      <c r="F218" s="520" t="str">
        <f>IF(E218="","",VLOOKUP($B218,'F-1 Off Site River Baseline'!$C$9:$R$257,5,FALSE))</f>
        <v/>
      </c>
      <c r="G218" s="520" t="str">
        <f>IF(F218="","",VLOOKUP($B218,'F-1 Off Site River Baseline'!$C$9:$R$257,6,FALSE))</f>
        <v/>
      </c>
      <c r="H218" s="520" t="str">
        <f>IF(G218="","",VLOOKUP($B218,'F-1 Off Site River Baseline'!$C$9:$R$257,7,FALSE))</f>
        <v/>
      </c>
      <c r="I218" s="520" t="str">
        <f>IF(H218="","",VLOOKUP($B218,'F-1 Off Site River Baseline'!$C$9:$R$257,8,FALSE))</f>
        <v/>
      </c>
      <c r="J218" s="520" t="str">
        <f>IF(I218="","",VLOOKUP($B218,'F-1 Off Site River Baseline'!$C$9:$R$257,9,FALSE))</f>
        <v/>
      </c>
      <c r="K218" s="520" t="str">
        <f>IF(J218="","",VLOOKUP($B218,'F-1 Off Site River Baseline'!$C$9:$R$257,10,FALSE))</f>
        <v/>
      </c>
      <c r="L218" s="520" t="str">
        <f>IF(B218="","",VLOOKUP($B218,'C-1 Site River Baseline'!$C$9:$R$257,15,FALSE))</f>
        <v/>
      </c>
      <c r="M218" s="524" t="str">
        <f>IF(L218="","",VLOOKUP($B218,'F-1 Off Site River Baseline'!$C$9:$R$257,16,FALSE))</f>
        <v/>
      </c>
      <c r="N218" s="418" t="str">
        <f t="shared" si="28"/>
        <v/>
      </c>
      <c r="O218" s="498" t="str">
        <f t="shared" si="29"/>
        <v/>
      </c>
      <c r="P218" s="499" t="str">
        <f>IF(C218="","",IF(AND(LEFT(C218,55)&lt;&gt;LEFT(N218,55),O218="High - High"),"Error - Not like for like ▲",IF(AND(F218=S218,H218&gt;U218),"Error - Can not reduce condition ▲",IF(AND(F218=S218,H218=U218,AJ218='F-1 Off Site River Baseline'!N216,'F-1 Off Site River Baseline'!P216=AL218),"Error - No enhancement ▲",IF(AND(C218&lt;&gt;N218,F218&lt;S218),"Lower Distinctiveness Habitat"&amp;" - "&amp;T218,G218&amp;" - "&amp;T218)))))</f>
        <v/>
      </c>
      <c r="Q218" s="505" t="str">
        <f>IF(N218="","",VLOOKUP(B218,'F-1 Off Site River Baseline'!$C$10:$AA$257,19,FALSE))</f>
        <v/>
      </c>
      <c r="R218" s="498" t="str">
        <f>IF(N218="","",VLOOKUP(N218,'G-7 Rivers Data'!$B$2:$G$8,2,FALSE))</f>
        <v/>
      </c>
      <c r="S218" s="499" t="str">
        <f>IFERROR(VLOOKUP(R218,'G-7 Rivers Data'!$C$4:$D$8,2,FALSE),"")</f>
        <v/>
      </c>
      <c r="T218" s="145"/>
      <c r="U218" s="499" t="str">
        <f>IFERROR(INDEX('G-7 Rivers Data'!$H$4:$L$8,MATCH(N218,'G-7 Rivers Data'!$B$4:$B$8,0),MATCH(T218,'G-7 Rivers Data'!$H$3:$L$3,0)),"")</f>
        <v/>
      </c>
      <c r="V218" s="154"/>
      <c r="W218" s="520" t="str">
        <f>IF(V218="","",IF(VLOOKUP(V218,'G-7 Rivers Data'!$AG$4:$AI$9,2,FALSE)=0,"Spatial Data Missing ⚠",VLOOKUP(V218,'G-7 Rivers Data'!$AG$4:$AI$9,2,FALSE)))</f>
        <v/>
      </c>
      <c r="X218" s="524" t="str">
        <f>IF(V218="","",IF(VLOOKUP(V218,'G-7 Rivers Data'!$AG$4:$AI$9,3,FALSE)=0,"Spatial Data Missing ⚠",VLOOKUP(V218,'G-7 Rivers Data'!$AG$4:$AI$9,3,FALSE)))</f>
        <v/>
      </c>
      <c r="Y218" s="537" t="str">
        <f>IFERROR(IF(OR(LEFT(P218,5)="Error ▲",LEFT(O218,5)="Error ▲"),"Check Data ⚠",IF(F218&lt;S218,'G-7 Rivers Data'!$R$3,INDEX('G-7 Rivers Data'!$U$5:$Y$9,MATCH(G218,'G-7 Rivers Data'!$T$5:$T$9,0),MATCH(T218,'G-7 Rivers Data'!$U$4:$Y$4,0)))),"")</f>
        <v/>
      </c>
      <c r="Z218" s="203"/>
      <c r="AA218" s="203"/>
      <c r="AB218" s="534" t="str">
        <f t="shared" si="24"/>
        <v/>
      </c>
      <c r="AC218" s="521" t="str">
        <f t="shared" si="25"/>
        <v/>
      </c>
      <c r="AD218" s="564" t="str">
        <f>IFERROR(IF(AC218="Check Data ⚠","Check Data ⚠",VLOOKUP(AC218,'G-4 Temporal multipliers'!$A$4:$C$37,3,FALSE)),"")</f>
        <v/>
      </c>
      <c r="AE218" s="537" t="str">
        <f>IF(N218="","",VLOOKUP(N218,'G-7 Rivers Data'!$B$4:$G$8,5,FALSE))</f>
        <v/>
      </c>
      <c r="AF218" s="520" t="str">
        <f t="shared" si="26"/>
        <v/>
      </c>
      <c r="AG218" s="520" t="str">
        <f t="shared" si="30"/>
        <v/>
      </c>
      <c r="AH218" s="524" t="str">
        <f t="shared" si="27"/>
        <v/>
      </c>
      <c r="AI218" s="145"/>
      <c r="AJ218" s="499" t="str">
        <f>IF(AI218="","",IF(VLOOKUP(AI218,'G-7 Rivers Data'!$AA$4:$AB$7,2,FALSE)=0,"Spatial Data Missing ⚠",VLOOKUP(AI218,'G-7 Rivers Data'!$AA$4:$AB$7,2,FALSE)))</f>
        <v/>
      </c>
      <c r="AK218" s="155"/>
      <c r="AL218" s="536" t="str">
        <f>IF(AK218="","",IF(VLOOKUP(AK218,'G-7 Rivers Data'!$AD$4:$AE$8,2,FALSE)=0,"Spatial Data Missing ⚠",VLOOKUP(AK218,'G-7 Rivers Data'!$AD$4:$AE$8,2,FALSE)))</f>
        <v/>
      </c>
      <c r="AM218" s="154"/>
      <c r="AN218" s="524" t="str">
        <f>IF(AM218="","",VLOOKUP(AM218,'G-7 Rivers Data'!$AO$4:$AP$7,2,FALSE))</f>
        <v/>
      </c>
      <c r="AO218" s="545" t="str">
        <f t="shared" si="31"/>
        <v/>
      </c>
      <c r="AP218" s="149"/>
      <c r="AQ218" s="150"/>
      <c r="AX218" s="31" t="str">
        <f>IFERROR(INDEX('G-7 Rivers Data'!$AZ$3:$AZ$7,MATCH(N218,'G-7 Rivers Data'!$AY$3:$AY$7,0)),"")</f>
        <v/>
      </c>
    </row>
    <row r="219" spans="2:50" ht="14" x14ac:dyDescent="0.3">
      <c r="B219" s="531" t="str">
        <f>'F-1 Off Site River Baseline'!AN217</f>
        <v/>
      </c>
      <c r="C219" s="520" t="str">
        <f>IF(B219="","",VLOOKUP($B219,'F-1 Off Site River Baseline'!$C$9:$R$257,2,FALSE))</f>
        <v/>
      </c>
      <c r="D219" s="520" t="str">
        <f>IF(C219="","",VLOOKUP($B219,'F-1 Off Site River Baseline'!$C$9:$R$257,3,FALSE))</f>
        <v/>
      </c>
      <c r="E219" s="520" t="str">
        <f>IF(D219="","",VLOOKUP($B219,'F-1 Off Site River Baseline'!$C$9:$R$257,4,FALSE))</f>
        <v/>
      </c>
      <c r="F219" s="520" t="str">
        <f>IF(E219="","",VLOOKUP($B219,'F-1 Off Site River Baseline'!$C$9:$R$257,5,FALSE))</f>
        <v/>
      </c>
      <c r="G219" s="520" t="str">
        <f>IF(F219="","",VLOOKUP($B219,'F-1 Off Site River Baseline'!$C$9:$R$257,6,FALSE))</f>
        <v/>
      </c>
      <c r="H219" s="520" t="str">
        <f>IF(G219="","",VLOOKUP($B219,'F-1 Off Site River Baseline'!$C$9:$R$257,7,FALSE))</f>
        <v/>
      </c>
      <c r="I219" s="520" t="str">
        <f>IF(H219="","",VLOOKUP($B219,'F-1 Off Site River Baseline'!$C$9:$R$257,8,FALSE))</f>
        <v/>
      </c>
      <c r="J219" s="520" t="str">
        <f>IF(I219="","",VLOOKUP($B219,'F-1 Off Site River Baseline'!$C$9:$R$257,9,FALSE))</f>
        <v/>
      </c>
      <c r="K219" s="520" t="str">
        <f>IF(J219="","",VLOOKUP($B219,'F-1 Off Site River Baseline'!$C$9:$R$257,10,FALSE))</f>
        <v/>
      </c>
      <c r="L219" s="520" t="str">
        <f>IF(B219="","",VLOOKUP($B219,'C-1 Site River Baseline'!$C$9:$R$257,15,FALSE))</f>
        <v/>
      </c>
      <c r="M219" s="524" t="str">
        <f>IF(L219="","",VLOOKUP($B219,'F-1 Off Site River Baseline'!$C$9:$R$257,16,FALSE))</f>
        <v/>
      </c>
      <c r="N219" s="418" t="str">
        <f t="shared" si="28"/>
        <v/>
      </c>
      <c r="O219" s="498" t="str">
        <f t="shared" si="29"/>
        <v/>
      </c>
      <c r="P219" s="499" t="str">
        <f>IF(C219="","",IF(AND(LEFT(C219,55)&lt;&gt;LEFT(N219,55),O219="High - High"),"Error - Not like for like ▲",IF(AND(F219=S219,H219&gt;U219),"Error - Can not reduce condition ▲",IF(AND(F219=S219,H219=U219,AJ219='F-1 Off Site River Baseline'!N217,'F-1 Off Site River Baseline'!P217=AL219),"Error - No enhancement ▲",IF(AND(C219&lt;&gt;N219,F219&lt;S219),"Lower Distinctiveness Habitat"&amp;" - "&amp;T219,G219&amp;" - "&amp;T219)))))</f>
        <v/>
      </c>
      <c r="Q219" s="505" t="str">
        <f>IF(N219="","",VLOOKUP(B219,'F-1 Off Site River Baseline'!$C$10:$AA$257,19,FALSE))</f>
        <v/>
      </c>
      <c r="R219" s="498" t="str">
        <f>IF(N219="","",VLOOKUP(N219,'G-7 Rivers Data'!$B$2:$G$8,2,FALSE))</f>
        <v/>
      </c>
      <c r="S219" s="499" t="str">
        <f>IFERROR(VLOOKUP(R219,'G-7 Rivers Data'!$C$4:$D$8,2,FALSE),"")</f>
        <v/>
      </c>
      <c r="T219" s="145"/>
      <c r="U219" s="499" t="str">
        <f>IFERROR(INDEX('G-7 Rivers Data'!$H$4:$L$8,MATCH(N219,'G-7 Rivers Data'!$B$4:$B$8,0),MATCH(T219,'G-7 Rivers Data'!$H$3:$L$3,0)),"")</f>
        <v/>
      </c>
      <c r="V219" s="154"/>
      <c r="W219" s="520" t="str">
        <f>IF(V219="","",IF(VLOOKUP(V219,'G-7 Rivers Data'!$AG$4:$AI$9,2,FALSE)=0,"Spatial Data Missing ⚠",VLOOKUP(V219,'G-7 Rivers Data'!$AG$4:$AI$9,2,FALSE)))</f>
        <v/>
      </c>
      <c r="X219" s="524" t="str">
        <f>IF(V219="","",IF(VLOOKUP(V219,'G-7 Rivers Data'!$AG$4:$AI$9,3,FALSE)=0,"Spatial Data Missing ⚠",VLOOKUP(V219,'G-7 Rivers Data'!$AG$4:$AI$9,3,FALSE)))</f>
        <v/>
      </c>
      <c r="Y219" s="537" t="str">
        <f>IFERROR(IF(OR(LEFT(P219,5)="Error ▲",LEFT(O219,5)="Error ▲"),"Check Data ⚠",IF(F219&lt;S219,'G-7 Rivers Data'!$R$3,INDEX('G-7 Rivers Data'!$U$5:$Y$9,MATCH(G219,'G-7 Rivers Data'!$T$5:$T$9,0),MATCH(T219,'G-7 Rivers Data'!$U$4:$Y$4,0)))),"")</f>
        <v/>
      </c>
      <c r="Z219" s="203"/>
      <c r="AA219" s="203"/>
      <c r="AB219" s="534" t="str">
        <f t="shared" si="24"/>
        <v/>
      </c>
      <c r="AC219" s="521" t="str">
        <f t="shared" si="25"/>
        <v/>
      </c>
      <c r="AD219" s="564" t="str">
        <f>IFERROR(IF(AC219="Check Data ⚠","Check Data ⚠",VLOOKUP(AC219,'G-4 Temporal multipliers'!$A$4:$C$37,3,FALSE)),"")</f>
        <v/>
      </c>
      <c r="AE219" s="537" t="str">
        <f>IF(N219="","",VLOOKUP(N219,'G-7 Rivers Data'!$B$4:$G$8,5,FALSE))</f>
        <v/>
      </c>
      <c r="AF219" s="520" t="str">
        <f t="shared" si="26"/>
        <v/>
      </c>
      <c r="AG219" s="520" t="str">
        <f t="shared" si="30"/>
        <v/>
      </c>
      <c r="AH219" s="524" t="str">
        <f t="shared" si="27"/>
        <v/>
      </c>
      <c r="AI219" s="145"/>
      <c r="AJ219" s="499" t="str">
        <f>IF(AI219="","",IF(VLOOKUP(AI219,'G-7 Rivers Data'!$AA$4:$AB$7,2,FALSE)=0,"Spatial Data Missing ⚠",VLOOKUP(AI219,'G-7 Rivers Data'!$AA$4:$AB$7,2,FALSE)))</f>
        <v/>
      </c>
      <c r="AK219" s="155"/>
      <c r="AL219" s="536" t="str">
        <f>IF(AK219="","",IF(VLOOKUP(AK219,'G-7 Rivers Data'!$AD$4:$AE$8,2,FALSE)=0,"Spatial Data Missing ⚠",VLOOKUP(AK219,'G-7 Rivers Data'!$AD$4:$AE$8,2,FALSE)))</f>
        <v/>
      </c>
      <c r="AM219" s="154"/>
      <c r="AN219" s="524" t="str">
        <f>IF(AM219="","",VLOOKUP(AM219,'G-7 Rivers Data'!$AO$4:$AP$7,2,FALSE))</f>
        <v/>
      </c>
      <c r="AO219" s="545" t="str">
        <f t="shared" si="31"/>
        <v/>
      </c>
      <c r="AP219" s="149"/>
      <c r="AQ219" s="150"/>
      <c r="AX219" s="31" t="str">
        <f>IFERROR(INDEX('G-7 Rivers Data'!$AZ$3:$AZ$7,MATCH(N219,'G-7 Rivers Data'!$AY$3:$AY$7,0)),"")</f>
        <v/>
      </c>
    </row>
    <row r="220" spans="2:50" ht="14" x14ac:dyDescent="0.3">
      <c r="B220" s="531" t="str">
        <f>'F-1 Off Site River Baseline'!AN218</f>
        <v/>
      </c>
      <c r="C220" s="520" t="str">
        <f>IF(B220="","",VLOOKUP($B220,'F-1 Off Site River Baseline'!$C$9:$R$257,2,FALSE))</f>
        <v/>
      </c>
      <c r="D220" s="520" t="str">
        <f>IF(C220="","",VLOOKUP($B220,'F-1 Off Site River Baseline'!$C$9:$R$257,3,FALSE))</f>
        <v/>
      </c>
      <c r="E220" s="520" t="str">
        <f>IF(D220="","",VLOOKUP($B220,'F-1 Off Site River Baseline'!$C$9:$R$257,4,FALSE))</f>
        <v/>
      </c>
      <c r="F220" s="520" t="str">
        <f>IF(E220="","",VLOOKUP($B220,'F-1 Off Site River Baseline'!$C$9:$R$257,5,FALSE))</f>
        <v/>
      </c>
      <c r="G220" s="520" t="str">
        <f>IF(F220="","",VLOOKUP($B220,'F-1 Off Site River Baseline'!$C$9:$R$257,6,FALSE))</f>
        <v/>
      </c>
      <c r="H220" s="520" t="str">
        <f>IF(G220="","",VLOOKUP($B220,'F-1 Off Site River Baseline'!$C$9:$R$257,7,FALSE))</f>
        <v/>
      </c>
      <c r="I220" s="520" t="str">
        <f>IF(H220="","",VLOOKUP($B220,'F-1 Off Site River Baseline'!$C$9:$R$257,8,FALSE))</f>
        <v/>
      </c>
      <c r="J220" s="520" t="str">
        <f>IF(I220="","",VLOOKUP($B220,'F-1 Off Site River Baseline'!$C$9:$R$257,9,FALSE))</f>
        <v/>
      </c>
      <c r="K220" s="520" t="str">
        <f>IF(J220="","",VLOOKUP($B220,'F-1 Off Site River Baseline'!$C$9:$R$257,10,FALSE))</f>
        <v/>
      </c>
      <c r="L220" s="520" t="str">
        <f>IF(B220="","",VLOOKUP($B220,'C-1 Site River Baseline'!$C$9:$R$257,15,FALSE))</f>
        <v/>
      </c>
      <c r="M220" s="524" t="str">
        <f>IF(L220="","",VLOOKUP($B220,'F-1 Off Site River Baseline'!$C$9:$R$257,16,FALSE))</f>
        <v/>
      </c>
      <c r="N220" s="418" t="str">
        <f t="shared" si="28"/>
        <v/>
      </c>
      <c r="O220" s="498" t="str">
        <f t="shared" si="29"/>
        <v/>
      </c>
      <c r="P220" s="499" t="str">
        <f>IF(C220="","",IF(AND(LEFT(C220,55)&lt;&gt;LEFT(N220,55),O220="High - High"),"Error - Not like for like ▲",IF(AND(F220=S220,H220&gt;U220),"Error - Can not reduce condition ▲",IF(AND(F220=S220,H220=U220,AJ220='F-1 Off Site River Baseline'!N218,'F-1 Off Site River Baseline'!P218=AL220),"Error - No enhancement ▲",IF(AND(C220&lt;&gt;N220,F220&lt;S220),"Lower Distinctiveness Habitat"&amp;" - "&amp;T220,G220&amp;" - "&amp;T220)))))</f>
        <v/>
      </c>
      <c r="Q220" s="505" t="str">
        <f>IF(N220="","",VLOOKUP(B220,'F-1 Off Site River Baseline'!$C$10:$AA$257,19,FALSE))</f>
        <v/>
      </c>
      <c r="R220" s="498" t="str">
        <f>IF(N220="","",VLOOKUP(N220,'G-7 Rivers Data'!$B$2:$G$8,2,FALSE))</f>
        <v/>
      </c>
      <c r="S220" s="499" t="str">
        <f>IFERROR(VLOOKUP(R220,'G-7 Rivers Data'!$C$4:$D$8,2,FALSE),"")</f>
        <v/>
      </c>
      <c r="T220" s="145"/>
      <c r="U220" s="499" t="str">
        <f>IFERROR(INDEX('G-7 Rivers Data'!$H$4:$L$8,MATCH(N220,'G-7 Rivers Data'!$B$4:$B$8,0),MATCH(T220,'G-7 Rivers Data'!$H$3:$L$3,0)),"")</f>
        <v/>
      </c>
      <c r="V220" s="154"/>
      <c r="W220" s="520" t="str">
        <f>IF(V220="","",IF(VLOOKUP(V220,'G-7 Rivers Data'!$AG$4:$AI$9,2,FALSE)=0,"Spatial Data Missing ⚠",VLOOKUP(V220,'G-7 Rivers Data'!$AG$4:$AI$9,2,FALSE)))</f>
        <v/>
      </c>
      <c r="X220" s="524" t="str">
        <f>IF(V220="","",IF(VLOOKUP(V220,'G-7 Rivers Data'!$AG$4:$AI$9,3,FALSE)=0,"Spatial Data Missing ⚠",VLOOKUP(V220,'G-7 Rivers Data'!$AG$4:$AI$9,3,FALSE)))</f>
        <v/>
      </c>
      <c r="Y220" s="537" t="str">
        <f>IFERROR(IF(OR(LEFT(P220,5)="Error ▲",LEFT(O220,5)="Error ▲"),"Check Data ⚠",IF(F220&lt;S220,'G-7 Rivers Data'!$R$3,INDEX('G-7 Rivers Data'!$U$5:$Y$9,MATCH(G220,'G-7 Rivers Data'!$T$5:$T$9,0),MATCH(T220,'G-7 Rivers Data'!$U$4:$Y$4,0)))),"")</f>
        <v/>
      </c>
      <c r="Z220" s="203"/>
      <c r="AA220" s="203"/>
      <c r="AB220" s="534" t="str">
        <f t="shared" si="24"/>
        <v/>
      </c>
      <c r="AC220" s="521" t="str">
        <f t="shared" si="25"/>
        <v/>
      </c>
      <c r="AD220" s="564" t="str">
        <f>IFERROR(IF(AC220="Check Data ⚠","Check Data ⚠",VLOOKUP(AC220,'G-4 Temporal multipliers'!$A$4:$C$37,3,FALSE)),"")</f>
        <v/>
      </c>
      <c r="AE220" s="537" t="str">
        <f>IF(N220="","",VLOOKUP(N220,'G-7 Rivers Data'!$B$4:$G$8,5,FALSE))</f>
        <v/>
      </c>
      <c r="AF220" s="520" t="str">
        <f t="shared" si="26"/>
        <v/>
      </c>
      <c r="AG220" s="520" t="str">
        <f t="shared" si="30"/>
        <v/>
      </c>
      <c r="AH220" s="524" t="str">
        <f t="shared" si="27"/>
        <v/>
      </c>
      <c r="AI220" s="145"/>
      <c r="AJ220" s="499" t="str">
        <f>IF(AI220="","",IF(VLOOKUP(AI220,'G-7 Rivers Data'!$AA$4:$AB$7,2,FALSE)=0,"Spatial Data Missing ⚠",VLOOKUP(AI220,'G-7 Rivers Data'!$AA$4:$AB$7,2,FALSE)))</f>
        <v/>
      </c>
      <c r="AK220" s="155"/>
      <c r="AL220" s="536" t="str">
        <f>IF(AK220="","",IF(VLOOKUP(AK220,'G-7 Rivers Data'!$AD$4:$AE$8,2,FALSE)=0,"Spatial Data Missing ⚠",VLOOKUP(AK220,'G-7 Rivers Data'!$AD$4:$AE$8,2,FALSE)))</f>
        <v/>
      </c>
      <c r="AM220" s="154"/>
      <c r="AN220" s="524" t="str">
        <f>IF(AM220="","",VLOOKUP(AM220,'G-7 Rivers Data'!$AO$4:$AP$7,2,FALSE))</f>
        <v/>
      </c>
      <c r="AO220" s="545" t="str">
        <f t="shared" si="31"/>
        <v/>
      </c>
      <c r="AP220" s="149"/>
      <c r="AQ220" s="150"/>
      <c r="AX220" s="31" t="str">
        <f>IFERROR(INDEX('G-7 Rivers Data'!$AZ$3:$AZ$7,MATCH(N220,'G-7 Rivers Data'!$AY$3:$AY$7,0)),"")</f>
        <v/>
      </c>
    </row>
    <row r="221" spans="2:50" ht="14" x14ac:dyDescent="0.3">
      <c r="B221" s="531" t="str">
        <f>'F-1 Off Site River Baseline'!AN219</f>
        <v/>
      </c>
      <c r="C221" s="520" t="str">
        <f>IF(B221="","",VLOOKUP($B221,'F-1 Off Site River Baseline'!$C$9:$R$257,2,FALSE))</f>
        <v/>
      </c>
      <c r="D221" s="520" t="str">
        <f>IF(C221="","",VLOOKUP($B221,'F-1 Off Site River Baseline'!$C$9:$R$257,3,FALSE))</f>
        <v/>
      </c>
      <c r="E221" s="520" t="str">
        <f>IF(D221="","",VLOOKUP($B221,'F-1 Off Site River Baseline'!$C$9:$R$257,4,FALSE))</f>
        <v/>
      </c>
      <c r="F221" s="520" t="str">
        <f>IF(E221="","",VLOOKUP($B221,'F-1 Off Site River Baseline'!$C$9:$R$257,5,FALSE))</f>
        <v/>
      </c>
      <c r="G221" s="520" t="str">
        <f>IF(F221="","",VLOOKUP($B221,'F-1 Off Site River Baseline'!$C$9:$R$257,6,FALSE))</f>
        <v/>
      </c>
      <c r="H221" s="520" t="str">
        <f>IF(G221="","",VLOOKUP($B221,'F-1 Off Site River Baseline'!$C$9:$R$257,7,FALSE))</f>
        <v/>
      </c>
      <c r="I221" s="520" t="str">
        <f>IF(H221="","",VLOOKUP($B221,'F-1 Off Site River Baseline'!$C$9:$R$257,8,FALSE))</f>
        <v/>
      </c>
      <c r="J221" s="520" t="str">
        <f>IF(I221="","",VLOOKUP($B221,'F-1 Off Site River Baseline'!$C$9:$R$257,9,FALSE))</f>
        <v/>
      </c>
      <c r="K221" s="520" t="str">
        <f>IF(J221="","",VLOOKUP($B221,'F-1 Off Site River Baseline'!$C$9:$R$257,10,FALSE))</f>
        <v/>
      </c>
      <c r="L221" s="520" t="str">
        <f>IF(B221="","",VLOOKUP($B221,'C-1 Site River Baseline'!$C$9:$R$257,15,FALSE))</f>
        <v/>
      </c>
      <c r="M221" s="524" t="str">
        <f>IF(L221="","",VLOOKUP($B221,'F-1 Off Site River Baseline'!$C$9:$R$257,16,FALSE))</f>
        <v/>
      </c>
      <c r="N221" s="418" t="str">
        <f t="shared" si="28"/>
        <v/>
      </c>
      <c r="O221" s="498" t="str">
        <f t="shared" si="29"/>
        <v/>
      </c>
      <c r="P221" s="499" t="str">
        <f>IF(C221="","",IF(AND(LEFT(C221,55)&lt;&gt;LEFT(N221,55),O221="High - High"),"Error - Not like for like ▲",IF(AND(F221=S221,H221&gt;U221),"Error - Can not reduce condition ▲",IF(AND(F221=S221,H221=U221,AJ221='F-1 Off Site River Baseline'!N219,'F-1 Off Site River Baseline'!P219=AL221),"Error - No enhancement ▲",IF(AND(C221&lt;&gt;N221,F221&lt;S221),"Lower Distinctiveness Habitat"&amp;" - "&amp;T221,G221&amp;" - "&amp;T221)))))</f>
        <v/>
      </c>
      <c r="Q221" s="505" t="str">
        <f>IF(N221="","",VLOOKUP(B221,'F-1 Off Site River Baseline'!$C$10:$AA$257,19,FALSE))</f>
        <v/>
      </c>
      <c r="R221" s="498" t="str">
        <f>IF(N221="","",VLOOKUP(N221,'G-7 Rivers Data'!$B$2:$G$8,2,FALSE))</f>
        <v/>
      </c>
      <c r="S221" s="499" t="str">
        <f>IFERROR(VLOOKUP(R221,'G-7 Rivers Data'!$C$4:$D$8,2,FALSE),"")</f>
        <v/>
      </c>
      <c r="T221" s="145"/>
      <c r="U221" s="499" t="str">
        <f>IFERROR(INDEX('G-7 Rivers Data'!$H$4:$L$8,MATCH(N221,'G-7 Rivers Data'!$B$4:$B$8,0),MATCH(T221,'G-7 Rivers Data'!$H$3:$L$3,0)),"")</f>
        <v/>
      </c>
      <c r="V221" s="154"/>
      <c r="W221" s="520" t="str">
        <f>IF(V221="","",IF(VLOOKUP(V221,'G-7 Rivers Data'!$AG$4:$AI$9,2,FALSE)=0,"Spatial Data Missing ⚠",VLOOKUP(V221,'G-7 Rivers Data'!$AG$4:$AI$9,2,FALSE)))</f>
        <v/>
      </c>
      <c r="X221" s="524" t="str">
        <f>IF(V221="","",IF(VLOOKUP(V221,'G-7 Rivers Data'!$AG$4:$AI$9,3,FALSE)=0,"Spatial Data Missing ⚠",VLOOKUP(V221,'G-7 Rivers Data'!$AG$4:$AI$9,3,FALSE)))</f>
        <v/>
      </c>
      <c r="Y221" s="537" t="str">
        <f>IFERROR(IF(OR(LEFT(P221,5)="Error ▲",LEFT(O221,5)="Error ▲"),"Check Data ⚠",IF(F221&lt;S221,'G-7 Rivers Data'!$R$3,INDEX('G-7 Rivers Data'!$U$5:$Y$9,MATCH(G221,'G-7 Rivers Data'!$T$5:$T$9,0),MATCH(T221,'G-7 Rivers Data'!$U$4:$Y$4,0)))),"")</f>
        <v/>
      </c>
      <c r="Z221" s="203"/>
      <c r="AA221" s="203"/>
      <c r="AB221" s="534" t="str">
        <f t="shared" si="24"/>
        <v/>
      </c>
      <c r="AC221" s="521" t="str">
        <f t="shared" si="25"/>
        <v/>
      </c>
      <c r="AD221" s="564" t="str">
        <f>IFERROR(IF(AC221="Check Data ⚠","Check Data ⚠",VLOOKUP(AC221,'G-4 Temporal multipliers'!$A$4:$C$37,3,FALSE)),"")</f>
        <v/>
      </c>
      <c r="AE221" s="537" t="str">
        <f>IF(N221="","",VLOOKUP(N221,'G-7 Rivers Data'!$B$4:$G$8,5,FALSE))</f>
        <v/>
      </c>
      <c r="AF221" s="520" t="str">
        <f t="shared" si="26"/>
        <v/>
      </c>
      <c r="AG221" s="520" t="str">
        <f t="shared" si="30"/>
        <v/>
      </c>
      <c r="AH221" s="524" t="str">
        <f t="shared" si="27"/>
        <v/>
      </c>
      <c r="AI221" s="145"/>
      <c r="AJ221" s="499" t="str">
        <f>IF(AI221="","",IF(VLOOKUP(AI221,'G-7 Rivers Data'!$AA$4:$AB$7,2,FALSE)=0,"Spatial Data Missing ⚠",VLOOKUP(AI221,'G-7 Rivers Data'!$AA$4:$AB$7,2,FALSE)))</f>
        <v/>
      </c>
      <c r="AK221" s="155"/>
      <c r="AL221" s="536" t="str">
        <f>IF(AK221="","",IF(VLOOKUP(AK221,'G-7 Rivers Data'!$AD$4:$AE$8,2,FALSE)=0,"Spatial Data Missing ⚠",VLOOKUP(AK221,'G-7 Rivers Data'!$AD$4:$AE$8,2,FALSE)))</f>
        <v/>
      </c>
      <c r="AM221" s="154"/>
      <c r="AN221" s="524" t="str">
        <f>IF(AM221="","",VLOOKUP(AM221,'G-7 Rivers Data'!$AO$4:$AP$7,2,FALSE))</f>
        <v/>
      </c>
      <c r="AO221" s="545" t="str">
        <f t="shared" si="31"/>
        <v/>
      </c>
      <c r="AP221" s="149"/>
      <c r="AQ221" s="150"/>
      <c r="AX221" s="31" t="str">
        <f>IFERROR(INDEX('G-7 Rivers Data'!$AZ$3:$AZ$7,MATCH(N221,'G-7 Rivers Data'!$AY$3:$AY$7,0)),"")</f>
        <v/>
      </c>
    </row>
    <row r="222" spans="2:50" ht="14" x14ac:dyDescent="0.3">
      <c r="B222" s="531" t="str">
        <f>'F-1 Off Site River Baseline'!AN220</f>
        <v/>
      </c>
      <c r="C222" s="520" t="str">
        <f>IF(B222="","",VLOOKUP($B222,'F-1 Off Site River Baseline'!$C$9:$R$257,2,FALSE))</f>
        <v/>
      </c>
      <c r="D222" s="520" t="str">
        <f>IF(C222="","",VLOOKUP($B222,'F-1 Off Site River Baseline'!$C$9:$R$257,3,FALSE))</f>
        <v/>
      </c>
      <c r="E222" s="520" t="str">
        <f>IF(D222="","",VLOOKUP($B222,'F-1 Off Site River Baseline'!$C$9:$R$257,4,FALSE))</f>
        <v/>
      </c>
      <c r="F222" s="520" t="str">
        <f>IF(E222="","",VLOOKUP($B222,'F-1 Off Site River Baseline'!$C$9:$R$257,5,FALSE))</f>
        <v/>
      </c>
      <c r="G222" s="520" t="str">
        <f>IF(F222="","",VLOOKUP($B222,'F-1 Off Site River Baseline'!$C$9:$R$257,6,FALSE))</f>
        <v/>
      </c>
      <c r="H222" s="520" t="str">
        <f>IF(G222="","",VLOOKUP($B222,'F-1 Off Site River Baseline'!$C$9:$R$257,7,FALSE))</f>
        <v/>
      </c>
      <c r="I222" s="520" t="str">
        <f>IF(H222="","",VLOOKUP($B222,'F-1 Off Site River Baseline'!$C$9:$R$257,8,FALSE))</f>
        <v/>
      </c>
      <c r="J222" s="520" t="str">
        <f>IF(I222="","",VLOOKUP($B222,'F-1 Off Site River Baseline'!$C$9:$R$257,9,FALSE))</f>
        <v/>
      </c>
      <c r="K222" s="520" t="str">
        <f>IF(J222="","",VLOOKUP($B222,'F-1 Off Site River Baseline'!$C$9:$R$257,10,FALSE))</f>
        <v/>
      </c>
      <c r="L222" s="520" t="str">
        <f>IF(B222="","",VLOOKUP($B222,'C-1 Site River Baseline'!$C$9:$R$257,15,FALSE))</f>
        <v/>
      </c>
      <c r="M222" s="524" t="str">
        <f>IF(L222="","",VLOOKUP($B222,'F-1 Off Site River Baseline'!$C$9:$R$257,16,FALSE))</f>
        <v/>
      </c>
      <c r="N222" s="418" t="str">
        <f t="shared" si="28"/>
        <v/>
      </c>
      <c r="O222" s="498" t="str">
        <f t="shared" si="29"/>
        <v/>
      </c>
      <c r="P222" s="499" t="str">
        <f>IF(C222="","",IF(AND(LEFT(C222,55)&lt;&gt;LEFT(N222,55),O222="High - High"),"Error - Not like for like ▲",IF(AND(F222=S222,H222&gt;U222),"Error - Can not reduce condition ▲",IF(AND(F222=S222,H222=U222,AJ222='F-1 Off Site River Baseline'!N220,'F-1 Off Site River Baseline'!P220=AL222),"Error - No enhancement ▲",IF(AND(C222&lt;&gt;N222,F222&lt;S222),"Lower Distinctiveness Habitat"&amp;" - "&amp;T222,G222&amp;" - "&amp;T222)))))</f>
        <v/>
      </c>
      <c r="Q222" s="505" t="str">
        <f>IF(N222="","",VLOOKUP(B222,'F-1 Off Site River Baseline'!$C$10:$AA$257,19,FALSE))</f>
        <v/>
      </c>
      <c r="R222" s="498" t="str">
        <f>IF(N222="","",VLOOKUP(N222,'G-7 Rivers Data'!$B$2:$G$8,2,FALSE))</f>
        <v/>
      </c>
      <c r="S222" s="499" t="str">
        <f>IFERROR(VLOOKUP(R222,'G-7 Rivers Data'!$C$4:$D$8,2,FALSE),"")</f>
        <v/>
      </c>
      <c r="T222" s="145"/>
      <c r="U222" s="499" t="str">
        <f>IFERROR(INDEX('G-7 Rivers Data'!$H$4:$L$8,MATCH(N222,'G-7 Rivers Data'!$B$4:$B$8,0),MATCH(T222,'G-7 Rivers Data'!$H$3:$L$3,0)),"")</f>
        <v/>
      </c>
      <c r="V222" s="154"/>
      <c r="W222" s="520" t="str">
        <f>IF(V222="","",IF(VLOOKUP(V222,'G-7 Rivers Data'!$AG$4:$AI$9,2,FALSE)=0,"Spatial Data Missing ⚠",VLOOKUP(V222,'G-7 Rivers Data'!$AG$4:$AI$9,2,FALSE)))</f>
        <v/>
      </c>
      <c r="X222" s="524" t="str">
        <f>IF(V222="","",IF(VLOOKUP(V222,'G-7 Rivers Data'!$AG$4:$AI$9,3,FALSE)=0,"Spatial Data Missing ⚠",VLOOKUP(V222,'G-7 Rivers Data'!$AG$4:$AI$9,3,FALSE)))</f>
        <v/>
      </c>
      <c r="Y222" s="537" t="str">
        <f>IFERROR(IF(OR(LEFT(P222,5)="Error ▲",LEFT(O222,5)="Error ▲"),"Check Data ⚠",IF(F222&lt;S222,'G-7 Rivers Data'!$R$3,INDEX('G-7 Rivers Data'!$U$5:$Y$9,MATCH(G222,'G-7 Rivers Data'!$T$5:$T$9,0),MATCH(T222,'G-7 Rivers Data'!$U$4:$Y$4,0)))),"")</f>
        <v/>
      </c>
      <c r="Z222" s="203"/>
      <c r="AA222" s="203"/>
      <c r="AB222" s="534" t="str">
        <f t="shared" si="24"/>
        <v/>
      </c>
      <c r="AC222" s="521" t="str">
        <f t="shared" si="25"/>
        <v/>
      </c>
      <c r="AD222" s="564" t="str">
        <f>IFERROR(IF(AC222="Check Data ⚠","Check Data ⚠",VLOOKUP(AC222,'G-4 Temporal multipliers'!$A$4:$C$37,3,FALSE)),"")</f>
        <v/>
      </c>
      <c r="AE222" s="537" t="str">
        <f>IF(N222="","",VLOOKUP(N222,'G-7 Rivers Data'!$B$4:$G$8,5,FALSE))</f>
        <v/>
      </c>
      <c r="AF222" s="520" t="str">
        <f t="shared" si="26"/>
        <v/>
      </c>
      <c r="AG222" s="520" t="str">
        <f t="shared" si="30"/>
        <v/>
      </c>
      <c r="AH222" s="524" t="str">
        <f t="shared" si="27"/>
        <v/>
      </c>
      <c r="AI222" s="145"/>
      <c r="AJ222" s="499" t="str">
        <f>IF(AI222="","",IF(VLOOKUP(AI222,'G-7 Rivers Data'!$AA$4:$AB$7,2,FALSE)=0,"Spatial Data Missing ⚠",VLOOKUP(AI222,'G-7 Rivers Data'!$AA$4:$AB$7,2,FALSE)))</f>
        <v/>
      </c>
      <c r="AK222" s="155"/>
      <c r="AL222" s="536" t="str">
        <f>IF(AK222="","",IF(VLOOKUP(AK222,'G-7 Rivers Data'!$AD$4:$AE$8,2,FALSE)=0,"Spatial Data Missing ⚠",VLOOKUP(AK222,'G-7 Rivers Data'!$AD$4:$AE$8,2,FALSE)))</f>
        <v/>
      </c>
      <c r="AM222" s="154"/>
      <c r="AN222" s="524" t="str">
        <f>IF(AM222="","",VLOOKUP(AM222,'G-7 Rivers Data'!$AO$4:$AP$7,2,FALSE))</f>
        <v/>
      </c>
      <c r="AO222" s="545" t="str">
        <f t="shared" si="31"/>
        <v/>
      </c>
      <c r="AP222" s="149"/>
      <c r="AQ222" s="150"/>
      <c r="AX222" s="31" t="str">
        <f>IFERROR(INDEX('G-7 Rivers Data'!$AZ$3:$AZ$7,MATCH(N222,'G-7 Rivers Data'!$AY$3:$AY$7,0)),"")</f>
        <v/>
      </c>
    </row>
    <row r="223" spans="2:50" ht="14" x14ac:dyDescent="0.3">
      <c r="B223" s="531" t="str">
        <f>'F-1 Off Site River Baseline'!AN221</f>
        <v/>
      </c>
      <c r="C223" s="520" t="str">
        <f>IF(B223="","",VLOOKUP($B223,'F-1 Off Site River Baseline'!$C$9:$R$257,2,FALSE))</f>
        <v/>
      </c>
      <c r="D223" s="520" t="str">
        <f>IF(C223="","",VLOOKUP($B223,'F-1 Off Site River Baseline'!$C$9:$R$257,3,FALSE))</f>
        <v/>
      </c>
      <c r="E223" s="520" t="str">
        <f>IF(D223="","",VLOOKUP($B223,'F-1 Off Site River Baseline'!$C$9:$R$257,4,FALSE))</f>
        <v/>
      </c>
      <c r="F223" s="520" t="str">
        <f>IF(E223="","",VLOOKUP($B223,'F-1 Off Site River Baseline'!$C$9:$R$257,5,FALSE))</f>
        <v/>
      </c>
      <c r="G223" s="520" t="str">
        <f>IF(F223="","",VLOOKUP($B223,'F-1 Off Site River Baseline'!$C$9:$R$257,6,FALSE))</f>
        <v/>
      </c>
      <c r="H223" s="520" t="str">
        <f>IF(G223="","",VLOOKUP($B223,'F-1 Off Site River Baseline'!$C$9:$R$257,7,FALSE))</f>
        <v/>
      </c>
      <c r="I223" s="520" t="str">
        <f>IF(H223="","",VLOOKUP($B223,'F-1 Off Site River Baseline'!$C$9:$R$257,8,FALSE))</f>
        <v/>
      </c>
      <c r="J223" s="520" t="str">
        <f>IF(I223="","",VLOOKUP($B223,'F-1 Off Site River Baseline'!$C$9:$R$257,9,FALSE))</f>
        <v/>
      </c>
      <c r="K223" s="520" t="str">
        <f>IF(J223="","",VLOOKUP($B223,'F-1 Off Site River Baseline'!$C$9:$R$257,10,FALSE))</f>
        <v/>
      </c>
      <c r="L223" s="520" t="str">
        <f>IF(B223="","",VLOOKUP($B223,'C-1 Site River Baseline'!$C$9:$R$257,15,FALSE))</f>
        <v/>
      </c>
      <c r="M223" s="524" t="str">
        <f>IF(L223="","",VLOOKUP($B223,'F-1 Off Site River Baseline'!$C$9:$R$257,16,FALSE))</f>
        <v/>
      </c>
      <c r="N223" s="418" t="str">
        <f t="shared" si="28"/>
        <v/>
      </c>
      <c r="O223" s="498" t="str">
        <f t="shared" si="29"/>
        <v/>
      </c>
      <c r="P223" s="499" t="str">
        <f>IF(C223="","",IF(AND(LEFT(C223,55)&lt;&gt;LEFT(N223,55),O223="High - High"),"Error - Not like for like ▲",IF(AND(F223=S223,H223&gt;U223),"Error - Can not reduce condition ▲",IF(AND(F223=S223,H223=U223,AJ223='F-1 Off Site River Baseline'!N221,'F-1 Off Site River Baseline'!P221=AL223),"Error - No enhancement ▲",IF(AND(C223&lt;&gt;N223,F223&lt;S223),"Lower Distinctiveness Habitat"&amp;" - "&amp;T223,G223&amp;" - "&amp;T223)))))</f>
        <v/>
      </c>
      <c r="Q223" s="505" t="str">
        <f>IF(N223="","",VLOOKUP(B223,'F-1 Off Site River Baseline'!$C$10:$AA$257,19,FALSE))</f>
        <v/>
      </c>
      <c r="R223" s="498" t="str">
        <f>IF(N223="","",VLOOKUP(N223,'G-7 Rivers Data'!$B$2:$G$8,2,FALSE))</f>
        <v/>
      </c>
      <c r="S223" s="499" t="str">
        <f>IFERROR(VLOOKUP(R223,'G-7 Rivers Data'!$C$4:$D$8,2,FALSE),"")</f>
        <v/>
      </c>
      <c r="T223" s="145"/>
      <c r="U223" s="499" t="str">
        <f>IFERROR(INDEX('G-7 Rivers Data'!$H$4:$L$8,MATCH(N223,'G-7 Rivers Data'!$B$4:$B$8,0),MATCH(T223,'G-7 Rivers Data'!$H$3:$L$3,0)),"")</f>
        <v/>
      </c>
      <c r="V223" s="154"/>
      <c r="W223" s="520" t="str">
        <f>IF(V223="","",IF(VLOOKUP(V223,'G-7 Rivers Data'!$AG$4:$AI$9,2,FALSE)=0,"Spatial Data Missing ⚠",VLOOKUP(V223,'G-7 Rivers Data'!$AG$4:$AI$9,2,FALSE)))</f>
        <v/>
      </c>
      <c r="X223" s="524" t="str">
        <f>IF(V223="","",IF(VLOOKUP(V223,'G-7 Rivers Data'!$AG$4:$AI$9,3,FALSE)=0,"Spatial Data Missing ⚠",VLOOKUP(V223,'G-7 Rivers Data'!$AG$4:$AI$9,3,FALSE)))</f>
        <v/>
      </c>
      <c r="Y223" s="537" t="str">
        <f>IFERROR(IF(OR(LEFT(P223,5)="Error ▲",LEFT(O223,5)="Error ▲"),"Check Data ⚠",IF(F223&lt;S223,'G-7 Rivers Data'!$R$3,INDEX('G-7 Rivers Data'!$U$5:$Y$9,MATCH(G223,'G-7 Rivers Data'!$T$5:$T$9,0),MATCH(T223,'G-7 Rivers Data'!$U$4:$Y$4,0)))),"")</f>
        <v/>
      </c>
      <c r="Z223" s="203"/>
      <c r="AA223" s="203"/>
      <c r="AB223" s="534" t="str">
        <f t="shared" si="24"/>
        <v/>
      </c>
      <c r="AC223" s="521" t="str">
        <f t="shared" si="25"/>
        <v/>
      </c>
      <c r="AD223" s="564" t="str">
        <f>IFERROR(IF(AC223="Check Data ⚠","Check Data ⚠",VLOOKUP(AC223,'G-4 Temporal multipliers'!$A$4:$C$37,3,FALSE)),"")</f>
        <v/>
      </c>
      <c r="AE223" s="537" t="str">
        <f>IF(N223="","",VLOOKUP(N223,'G-7 Rivers Data'!$B$4:$G$8,5,FALSE))</f>
        <v/>
      </c>
      <c r="AF223" s="520" t="str">
        <f t="shared" si="26"/>
        <v/>
      </c>
      <c r="AG223" s="520" t="str">
        <f t="shared" si="30"/>
        <v/>
      </c>
      <c r="AH223" s="524" t="str">
        <f t="shared" si="27"/>
        <v/>
      </c>
      <c r="AI223" s="145"/>
      <c r="AJ223" s="499" t="str">
        <f>IF(AI223="","",IF(VLOOKUP(AI223,'G-7 Rivers Data'!$AA$4:$AB$7,2,FALSE)=0,"Spatial Data Missing ⚠",VLOOKUP(AI223,'G-7 Rivers Data'!$AA$4:$AB$7,2,FALSE)))</f>
        <v/>
      </c>
      <c r="AK223" s="155"/>
      <c r="AL223" s="536" t="str">
        <f>IF(AK223="","",IF(VLOOKUP(AK223,'G-7 Rivers Data'!$AD$4:$AE$8,2,FALSE)=0,"Spatial Data Missing ⚠",VLOOKUP(AK223,'G-7 Rivers Data'!$AD$4:$AE$8,2,FALSE)))</f>
        <v/>
      </c>
      <c r="AM223" s="154"/>
      <c r="AN223" s="524" t="str">
        <f>IF(AM223="","",VLOOKUP(AM223,'G-7 Rivers Data'!$AO$4:$AP$7,2,FALSE))</f>
        <v/>
      </c>
      <c r="AO223" s="545" t="str">
        <f t="shared" si="31"/>
        <v/>
      </c>
      <c r="AP223" s="149"/>
      <c r="AQ223" s="150"/>
      <c r="AX223" s="31" t="str">
        <f>IFERROR(INDEX('G-7 Rivers Data'!$AZ$3:$AZ$7,MATCH(N223,'G-7 Rivers Data'!$AY$3:$AY$7,0)),"")</f>
        <v/>
      </c>
    </row>
    <row r="224" spans="2:50" ht="14" x14ac:dyDescent="0.3">
      <c r="B224" s="531" t="str">
        <f>'F-1 Off Site River Baseline'!AN222</f>
        <v/>
      </c>
      <c r="C224" s="520" t="str">
        <f>IF(B224="","",VLOOKUP($B224,'F-1 Off Site River Baseline'!$C$9:$R$257,2,FALSE))</f>
        <v/>
      </c>
      <c r="D224" s="520" t="str">
        <f>IF(C224="","",VLOOKUP($B224,'F-1 Off Site River Baseline'!$C$9:$R$257,3,FALSE))</f>
        <v/>
      </c>
      <c r="E224" s="520" t="str">
        <f>IF(D224="","",VLOOKUP($B224,'F-1 Off Site River Baseline'!$C$9:$R$257,4,FALSE))</f>
        <v/>
      </c>
      <c r="F224" s="520" t="str">
        <f>IF(E224="","",VLOOKUP($B224,'F-1 Off Site River Baseline'!$C$9:$R$257,5,FALSE))</f>
        <v/>
      </c>
      <c r="G224" s="520" t="str">
        <f>IF(F224="","",VLOOKUP($B224,'F-1 Off Site River Baseline'!$C$9:$R$257,6,FALSE))</f>
        <v/>
      </c>
      <c r="H224" s="520" t="str">
        <f>IF(G224="","",VLOOKUP($B224,'F-1 Off Site River Baseline'!$C$9:$R$257,7,FALSE))</f>
        <v/>
      </c>
      <c r="I224" s="520" t="str">
        <f>IF(H224="","",VLOOKUP($B224,'F-1 Off Site River Baseline'!$C$9:$R$257,8,FALSE))</f>
        <v/>
      </c>
      <c r="J224" s="520" t="str">
        <f>IF(I224="","",VLOOKUP($B224,'F-1 Off Site River Baseline'!$C$9:$R$257,9,FALSE))</f>
        <v/>
      </c>
      <c r="K224" s="520" t="str">
        <f>IF(J224="","",VLOOKUP($B224,'F-1 Off Site River Baseline'!$C$9:$R$257,10,FALSE))</f>
        <v/>
      </c>
      <c r="L224" s="520" t="str">
        <f>IF(B224="","",VLOOKUP($B224,'C-1 Site River Baseline'!$C$9:$R$257,15,FALSE))</f>
        <v/>
      </c>
      <c r="M224" s="524" t="str">
        <f>IF(L224="","",VLOOKUP($B224,'F-1 Off Site River Baseline'!$C$9:$R$257,16,FALSE))</f>
        <v/>
      </c>
      <c r="N224" s="418" t="str">
        <f t="shared" si="28"/>
        <v/>
      </c>
      <c r="O224" s="498" t="str">
        <f t="shared" si="29"/>
        <v/>
      </c>
      <c r="P224" s="499" t="str">
        <f>IF(C224="","",IF(AND(LEFT(C224,55)&lt;&gt;LEFT(N224,55),O224="High - High"),"Error - Not like for like ▲",IF(AND(F224=S224,H224&gt;U224),"Error - Can not reduce condition ▲",IF(AND(F224=S224,H224=U224,AJ224='F-1 Off Site River Baseline'!N222,'F-1 Off Site River Baseline'!P222=AL224),"Error - No enhancement ▲",IF(AND(C224&lt;&gt;N224,F224&lt;S224),"Lower Distinctiveness Habitat"&amp;" - "&amp;T224,G224&amp;" - "&amp;T224)))))</f>
        <v/>
      </c>
      <c r="Q224" s="505" t="str">
        <f>IF(N224="","",VLOOKUP(B224,'F-1 Off Site River Baseline'!$C$10:$AA$257,19,FALSE))</f>
        <v/>
      </c>
      <c r="R224" s="498" t="str">
        <f>IF(N224="","",VLOOKUP(N224,'G-7 Rivers Data'!$B$2:$G$8,2,FALSE))</f>
        <v/>
      </c>
      <c r="S224" s="499" t="str">
        <f>IFERROR(VLOOKUP(R224,'G-7 Rivers Data'!$C$4:$D$8,2,FALSE),"")</f>
        <v/>
      </c>
      <c r="T224" s="145"/>
      <c r="U224" s="499" t="str">
        <f>IFERROR(INDEX('G-7 Rivers Data'!$H$4:$L$8,MATCH(N224,'G-7 Rivers Data'!$B$4:$B$8,0),MATCH(T224,'G-7 Rivers Data'!$H$3:$L$3,0)),"")</f>
        <v/>
      </c>
      <c r="V224" s="154"/>
      <c r="W224" s="520" t="str">
        <f>IF(V224="","",IF(VLOOKUP(V224,'G-7 Rivers Data'!$AG$4:$AI$9,2,FALSE)=0,"Spatial Data Missing ⚠",VLOOKUP(V224,'G-7 Rivers Data'!$AG$4:$AI$9,2,FALSE)))</f>
        <v/>
      </c>
      <c r="X224" s="524" t="str">
        <f>IF(V224="","",IF(VLOOKUP(V224,'G-7 Rivers Data'!$AG$4:$AI$9,3,FALSE)=0,"Spatial Data Missing ⚠",VLOOKUP(V224,'G-7 Rivers Data'!$AG$4:$AI$9,3,FALSE)))</f>
        <v/>
      </c>
      <c r="Y224" s="537" t="str">
        <f>IFERROR(IF(OR(LEFT(P224,5)="Error ▲",LEFT(O224,5)="Error ▲"),"Check Data ⚠",IF(F224&lt;S224,'G-7 Rivers Data'!$R$3,INDEX('G-7 Rivers Data'!$U$5:$Y$9,MATCH(G224,'G-7 Rivers Data'!$T$5:$T$9,0),MATCH(T224,'G-7 Rivers Data'!$U$4:$Y$4,0)))),"")</f>
        <v/>
      </c>
      <c r="Z224" s="203"/>
      <c r="AA224" s="203"/>
      <c r="AB224" s="534" t="str">
        <f t="shared" si="24"/>
        <v/>
      </c>
      <c r="AC224" s="521" t="str">
        <f t="shared" si="25"/>
        <v/>
      </c>
      <c r="AD224" s="564" t="str">
        <f>IFERROR(IF(AC224="Check Data ⚠","Check Data ⚠",VLOOKUP(AC224,'G-4 Temporal multipliers'!$A$4:$C$37,3,FALSE)),"")</f>
        <v/>
      </c>
      <c r="AE224" s="537" t="str">
        <f>IF(N224="","",VLOOKUP(N224,'G-7 Rivers Data'!$B$4:$G$8,5,FALSE))</f>
        <v/>
      </c>
      <c r="AF224" s="520" t="str">
        <f t="shared" si="26"/>
        <v/>
      </c>
      <c r="AG224" s="520" t="str">
        <f t="shared" si="30"/>
        <v/>
      </c>
      <c r="AH224" s="524" t="str">
        <f t="shared" si="27"/>
        <v/>
      </c>
      <c r="AI224" s="145"/>
      <c r="AJ224" s="499" t="str">
        <f>IF(AI224="","",IF(VLOOKUP(AI224,'G-7 Rivers Data'!$AA$4:$AB$7,2,FALSE)=0,"Spatial Data Missing ⚠",VLOOKUP(AI224,'G-7 Rivers Data'!$AA$4:$AB$7,2,FALSE)))</f>
        <v/>
      </c>
      <c r="AK224" s="155"/>
      <c r="AL224" s="536" t="str">
        <f>IF(AK224="","",IF(VLOOKUP(AK224,'G-7 Rivers Data'!$AD$4:$AE$8,2,FALSE)=0,"Spatial Data Missing ⚠",VLOOKUP(AK224,'G-7 Rivers Data'!$AD$4:$AE$8,2,FALSE)))</f>
        <v/>
      </c>
      <c r="AM224" s="154"/>
      <c r="AN224" s="524" t="str">
        <f>IF(AM224="","",VLOOKUP(AM224,'G-7 Rivers Data'!$AO$4:$AP$7,2,FALSE))</f>
        <v/>
      </c>
      <c r="AO224" s="545" t="str">
        <f t="shared" si="31"/>
        <v/>
      </c>
      <c r="AP224" s="149"/>
      <c r="AQ224" s="150"/>
      <c r="AX224" s="31" t="str">
        <f>IFERROR(INDEX('G-7 Rivers Data'!$AZ$3:$AZ$7,MATCH(N224,'G-7 Rivers Data'!$AY$3:$AY$7,0)),"")</f>
        <v/>
      </c>
    </row>
    <row r="225" spans="2:50" ht="14" x14ac:dyDescent="0.3">
      <c r="B225" s="531" t="str">
        <f>'F-1 Off Site River Baseline'!AN223</f>
        <v/>
      </c>
      <c r="C225" s="520" t="str">
        <f>IF(B225="","",VLOOKUP($B225,'F-1 Off Site River Baseline'!$C$9:$R$257,2,FALSE))</f>
        <v/>
      </c>
      <c r="D225" s="520" t="str">
        <f>IF(C225="","",VLOOKUP($B225,'F-1 Off Site River Baseline'!$C$9:$R$257,3,FALSE))</f>
        <v/>
      </c>
      <c r="E225" s="520" t="str">
        <f>IF(D225="","",VLOOKUP($B225,'F-1 Off Site River Baseline'!$C$9:$R$257,4,FALSE))</f>
        <v/>
      </c>
      <c r="F225" s="520" t="str">
        <f>IF(E225="","",VLOOKUP($B225,'F-1 Off Site River Baseline'!$C$9:$R$257,5,FALSE))</f>
        <v/>
      </c>
      <c r="G225" s="520" t="str">
        <f>IF(F225="","",VLOOKUP($B225,'F-1 Off Site River Baseline'!$C$9:$R$257,6,FALSE))</f>
        <v/>
      </c>
      <c r="H225" s="520" t="str">
        <f>IF(G225="","",VLOOKUP($B225,'F-1 Off Site River Baseline'!$C$9:$R$257,7,FALSE))</f>
        <v/>
      </c>
      <c r="I225" s="520" t="str">
        <f>IF(H225="","",VLOOKUP($B225,'F-1 Off Site River Baseline'!$C$9:$R$257,8,FALSE))</f>
        <v/>
      </c>
      <c r="J225" s="520" t="str">
        <f>IF(I225="","",VLOOKUP($B225,'F-1 Off Site River Baseline'!$C$9:$R$257,9,FALSE))</f>
        <v/>
      </c>
      <c r="K225" s="520" t="str">
        <f>IF(J225="","",VLOOKUP($B225,'F-1 Off Site River Baseline'!$C$9:$R$257,10,FALSE))</f>
        <v/>
      </c>
      <c r="L225" s="520" t="str">
        <f>IF(B225="","",VLOOKUP($B225,'C-1 Site River Baseline'!$C$9:$R$257,15,FALSE))</f>
        <v/>
      </c>
      <c r="M225" s="524" t="str">
        <f>IF(L225="","",VLOOKUP($B225,'F-1 Off Site River Baseline'!$C$9:$R$257,16,FALSE))</f>
        <v/>
      </c>
      <c r="N225" s="418" t="str">
        <f t="shared" si="28"/>
        <v/>
      </c>
      <c r="O225" s="498" t="str">
        <f t="shared" si="29"/>
        <v/>
      </c>
      <c r="P225" s="499" t="str">
        <f>IF(C225="","",IF(AND(LEFT(C225,55)&lt;&gt;LEFT(N225,55),O225="High - High"),"Error - Not like for like ▲",IF(AND(F225=S225,H225&gt;U225),"Error - Can not reduce condition ▲",IF(AND(F225=S225,H225=U225,AJ225='F-1 Off Site River Baseline'!N223,'F-1 Off Site River Baseline'!P223=AL225),"Error - No enhancement ▲",IF(AND(C225&lt;&gt;N225,F225&lt;S225),"Lower Distinctiveness Habitat"&amp;" - "&amp;T225,G225&amp;" - "&amp;T225)))))</f>
        <v/>
      </c>
      <c r="Q225" s="505" t="str">
        <f>IF(N225="","",VLOOKUP(B225,'F-1 Off Site River Baseline'!$C$10:$AA$257,19,FALSE))</f>
        <v/>
      </c>
      <c r="R225" s="498" t="str">
        <f>IF(N225="","",VLOOKUP(N225,'G-7 Rivers Data'!$B$2:$G$8,2,FALSE))</f>
        <v/>
      </c>
      <c r="S225" s="499" t="str">
        <f>IFERROR(VLOOKUP(R225,'G-7 Rivers Data'!$C$4:$D$8,2,FALSE),"")</f>
        <v/>
      </c>
      <c r="T225" s="145"/>
      <c r="U225" s="499" t="str">
        <f>IFERROR(INDEX('G-7 Rivers Data'!$H$4:$L$8,MATCH(N225,'G-7 Rivers Data'!$B$4:$B$8,0),MATCH(T225,'G-7 Rivers Data'!$H$3:$L$3,0)),"")</f>
        <v/>
      </c>
      <c r="V225" s="154"/>
      <c r="W225" s="520" t="str">
        <f>IF(V225="","",IF(VLOOKUP(V225,'G-7 Rivers Data'!$AG$4:$AI$9,2,FALSE)=0,"Spatial Data Missing ⚠",VLOOKUP(V225,'G-7 Rivers Data'!$AG$4:$AI$9,2,FALSE)))</f>
        <v/>
      </c>
      <c r="X225" s="524" t="str">
        <f>IF(V225="","",IF(VLOOKUP(V225,'G-7 Rivers Data'!$AG$4:$AI$9,3,FALSE)=0,"Spatial Data Missing ⚠",VLOOKUP(V225,'G-7 Rivers Data'!$AG$4:$AI$9,3,FALSE)))</f>
        <v/>
      </c>
      <c r="Y225" s="537" t="str">
        <f>IFERROR(IF(OR(LEFT(P225,5)="Error ▲",LEFT(O225,5)="Error ▲"),"Check Data ⚠",IF(F225&lt;S225,'G-7 Rivers Data'!$R$3,INDEX('G-7 Rivers Data'!$U$5:$Y$9,MATCH(G225,'G-7 Rivers Data'!$T$5:$T$9,0),MATCH(T225,'G-7 Rivers Data'!$U$4:$Y$4,0)))),"")</f>
        <v/>
      </c>
      <c r="Z225" s="203"/>
      <c r="AA225" s="203"/>
      <c r="AB225" s="534" t="str">
        <f t="shared" si="24"/>
        <v/>
      </c>
      <c r="AC225" s="521" t="str">
        <f t="shared" si="25"/>
        <v/>
      </c>
      <c r="AD225" s="564" t="str">
        <f>IFERROR(IF(AC225="Check Data ⚠","Check Data ⚠",VLOOKUP(AC225,'G-4 Temporal multipliers'!$A$4:$C$37,3,FALSE)),"")</f>
        <v/>
      </c>
      <c r="AE225" s="537" t="str">
        <f>IF(N225="","",VLOOKUP(N225,'G-7 Rivers Data'!$B$4:$G$8,5,FALSE))</f>
        <v/>
      </c>
      <c r="AF225" s="520" t="str">
        <f t="shared" si="26"/>
        <v/>
      </c>
      <c r="AG225" s="520" t="str">
        <f t="shared" si="30"/>
        <v/>
      </c>
      <c r="AH225" s="524" t="str">
        <f t="shared" si="27"/>
        <v/>
      </c>
      <c r="AI225" s="145"/>
      <c r="AJ225" s="499" t="str">
        <f>IF(AI225="","",IF(VLOOKUP(AI225,'G-7 Rivers Data'!$AA$4:$AB$7,2,FALSE)=0,"Spatial Data Missing ⚠",VLOOKUP(AI225,'G-7 Rivers Data'!$AA$4:$AB$7,2,FALSE)))</f>
        <v/>
      </c>
      <c r="AK225" s="155"/>
      <c r="AL225" s="536" t="str">
        <f>IF(AK225="","",IF(VLOOKUP(AK225,'G-7 Rivers Data'!$AD$4:$AE$8,2,FALSE)=0,"Spatial Data Missing ⚠",VLOOKUP(AK225,'G-7 Rivers Data'!$AD$4:$AE$8,2,FALSE)))</f>
        <v/>
      </c>
      <c r="AM225" s="154"/>
      <c r="AN225" s="524" t="str">
        <f>IF(AM225="","",VLOOKUP(AM225,'G-7 Rivers Data'!$AO$4:$AP$7,2,FALSE))</f>
        <v/>
      </c>
      <c r="AO225" s="545" t="str">
        <f t="shared" si="31"/>
        <v/>
      </c>
      <c r="AP225" s="149"/>
      <c r="AQ225" s="150"/>
      <c r="AX225" s="31" t="str">
        <f>IFERROR(INDEX('G-7 Rivers Data'!$AZ$3:$AZ$7,MATCH(N225,'G-7 Rivers Data'!$AY$3:$AY$7,0)),"")</f>
        <v/>
      </c>
    </row>
    <row r="226" spans="2:50" ht="14" x14ac:dyDescent="0.3">
      <c r="B226" s="531" t="str">
        <f>'F-1 Off Site River Baseline'!AN224</f>
        <v/>
      </c>
      <c r="C226" s="520" t="str">
        <f>IF(B226="","",VLOOKUP($B226,'F-1 Off Site River Baseline'!$C$9:$R$257,2,FALSE))</f>
        <v/>
      </c>
      <c r="D226" s="520" t="str">
        <f>IF(C226="","",VLOOKUP($B226,'F-1 Off Site River Baseline'!$C$9:$R$257,3,FALSE))</f>
        <v/>
      </c>
      <c r="E226" s="520" t="str">
        <f>IF(D226="","",VLOOKUP($B226,'F-1 Off Site River Baseline'!$C$9:$R$257,4,FALSE))</f>
        <v/>
      </c>
      <c r="F226" s="520" t="str">
        <f>IF(E226="","",VLOOKUP($B226,'F-1 Off Site River Baseline'!$C$9:$R$257,5,FALSE))</f>
        <v/>
      </c>
      <c r="G226" s="520" t="str">
        <f>IF(F226="","",VLOOKUP($B226,'F-1 Off Site River Baseline'!$C$9:$R$257,6,FALSE))</f>
        <v/>
      </c>
      <c r="H226" s="520" t="str">
        <f>IF(G226="","",VLOOKUP($B226,'F-1 Off Site River Baseline'!$C$9:$R$257,7,FALSE))</f>
        <v/>
      </c>
      <c r="I226" s="520" t="str">
        <f>IF(H226="","",VLOOKUP($B226,'F-1 Off Site River Baseline'!$C$9:$R$257,8,FALSE))</f>
        <v/>
      </c>
      <c r="J226" s="520" t="str">
        <f>IF(I226="","",VLOOKUP($B226,'F-1 Off Site River Baseline'!$C$9:$R$257,9,FALSE))</f>
        <v/>
      </c>
      <c r="K226" s="520" t="str">
        <f>IF(J226="","",VLOOKUP($B226,'F-1 Off Site River Baseline'!$C$9:$R$257,10,FALSE))</f>
        <v/>
      </c>
      <c r="L226" s="520" t="str">
        <f>IF(B226="","",VLOOKUP($B226,'C-1 Site River Baseline'!$C$9:$R$257,15,FALSE))</f>
        <v/>
      </c>
      <c r="M226" s="524" t="str">
        <f>IF(L226="","",VLOOKUP($B226,'F-1 Off Site River Baseline'!$C$9:$R$257,16,FALSE))</f>
        <v/>
      </c>
      <c r="N226" s="418" t="str">
        <f t="shared" si="28"/>
        <v/>
      </c>
      <c r="O226" s="498" t="str">
        <f t="shared" si="29"/>
        <v/>
      </c>
      <c r="P226" s="499" t="str">
        <f>IF(C226="","",IF(AND(LEFT(C226,55)&lt;&gt;LEFT(N226,55),O226="High - High"),"Error - Not like for like ▲",IF(AND(F226=S226,H226&gt;U226),"Error - Can not reduce condition ▲",IF(AND(F226=S226,H226=U226,AJ226='F-1 Off Site River Baseline'!N224,'F-1 Off Site River Baseline'!P224=AL226),"Error - No enhancement ▲",IF(AND(C226&lt;&gt;N226,F226&lt;S226),"Lower Distinctiveness Habitat"&amp;" - "&amp;T226,G226&amp;" - "&amp;T226)))))</f>
        <v/>
      </c>
      <c r="Q226" s="505" t="str">
        <f>IF(N226="","",VLOOKUP(B226,'F-1 Off Site River Baseline'!$C$10:$AA$257,19,FALSE))</f>
        <v/>
      </c>
      <c r="R226" s="498" t="str">
        <f>IF(N226="","",VLOOKUP(N226,'G-7 Rivers Data'!$B$2:$G$8,2,FALSE))</f>
        <v/>
      </c>
      <c r="S226" s="499" t="str">
        <f>IFERROR(VLOOKUP(R226,'G-7 Rivers Data'!$C$4:$D$8,2,FALSE),"")</f>
        <v/>
      </c>
      <c r="T226" s="145"/>
      <c r="U226" s="499" t="str">
        <f>IFERROR(INDEX('G-7 Rivers Data'!$H$4:$L$8,MATCH(N226,'G-7 Rivers Data'!$B$4:$B$8,0),MATCH(T226,'G-7 Rivers Data'!$H$3:$L$3,0)),"")</f>
        <v/>
      </c>
      <c r="V226" s="154"/>
      <c r="W226" s="520" t="str">
        <f>IF(V226="","",IF(VLOOKUP(V226,'G-7 Rivers Data'!$AG$4:$AI$9,2,FALSE)=0,"Spatial Data Missing ⚠",VLOOKUP(V226,'G-7 Rivers Data'!$AG$4:$AI$9,2,FALSE)))</f>
        <v/>
      </c>
      <c r="X226" s="524" t="str">
        <f>IF(V226="","",IF(VLOOKUP(V226,'G-7 Rivers Data'!$AG$4:$AI$9,3,FALSE)=0,"Spatial Data Missing ⚠",VLOOKUP(V226,'G-7 Rivers Data'!$AG$4:$AI$9,3,FALSE)))</f>
        <v/>
      </c>
      <c r="Y226" s="537" t="str">
        <f>IFERROR(IF(OR(LEFT(P226,5)="Error ▲",LEFT(O226,5)="Error ▲"),"Check Data ⚠",IF(F226&lt;S226,'G-7 Rivers Data'!$R$3,INDEX('G-7 Rivers Data'!$U$5:$Y$9,MATCH(G226,'G-7 Rivers Data'!$T$5:$T$9,0),MATCH(T226,'G-7 Rivers Data'!$U$4:$Y$4,0)))),"")</f>
        <v/>
      </c>
      <c r="Z226" s="203"/>
      <c r="AA226" s="203"/>
      <c r="AB226" s="534" t="str">
        <f t="shared" si="24"/>
        <v/>
      </c>
      <c r="AC226" s="521" t="str">
        <f t="shared" si="25"/>
        <v/>
      </c>
      <c r="AD226" s="564" t="str">
        <f>IFERROR(IF(AC226="Check Data ⚠","Check Data ⚠",VLOOKUP(AC226,'G-4 Temporal multipliers'!$A$4:$C$37,3,FALSE)),"")</f>
        <v/>
      </c>
      <c r="AE226" s="537" t="str">
        <f>IF(N226="","",VLOOKUP(N226,'G-7 Rivers Data'!$B$4:$G$8,5,FALSE))</f>
        <v/>
      </c>
      <c r="AF226" s="520" t="str">
        <f t="shared" si="26"/>
        <v/>
      </c>
      <c r="AG226" s="520" t="str">
        <f t="shared" si="30"/>
        <v/>
      </c>
      <c r="AH226" s="524" t="str">
        <f t="shared" si="27"/>
        <v/>
      </c>
      <c r="AI226" s="145"/>
      <c r="AJ226" s="499" t="str">
        <f>IF(AI226="","",IF(VLOOKUP(AI226,'G-7 Rivers Data'!$AA$4:$AB$7,2,FALSE)=0,"Spatial Data Missing ⚠",VLOOKUP(AI226,'G-7 Rivers Data'!$AA$4:$AB$7,2,FALSE)))</f>
        <v/>
      </c>
      <c r="AK226" s="155"/>
      <c r="AL226" s="536" t="str">
        <f>IF(AK226="","",IF(VLOOKUP(AK226,'G-7 Rivers Data'!$AD$4:$AE$8,2,FALSE)=0,"Spatial Data Missing ⚠",VLOOKUP(AK226,'G-7 Rivers Data'!$AD$4:$AE$8,2,FALSE)))</f>
        <v/>
      </c>
      <c r="AM226" s="154"/>
      <c r="AN226" s="524" t="str">
        <f>IF(AM226="","",VLOOKUP(AM226,'G-7 Rivers Data'!$AO$4:$AP$7,2,FALSE))</f>
        <v/>
      </c>
      <c r="AO226" s="545" t="str">
        <f t="shared" si="31"/>
        <v/>
      </c>
      <c r="AP226" s="149"/>
      <c r="AQ226" s="150"/>
      <c r="AX226" s="31" t="str">
        <f>IFERROR(INDEX('G-7 Rivers Data'!$AZ$3:$AZ$7,MATCH(N226,'G-7 Rivers Data'!$AY$3:$AY$7,0)),"")</f>
        <v/>
      </c>
    </row>
    <row r="227" spans="2:50" ht="14" x14ac:dyDescent="0.3">
      <c r="B227" s="531" t="str">
        <f>'F-1 Off Site River Baseline'!AN225</f>
        <v/>
      </c>
      <c r="C227" s="520" t="str">
        <f>IF(B227="","",VLOOKUP($B227,'F-1 Off Site River Baseline'!$C$9:$R$257,2,FALSE))</f>
        <v/>
      </c>
      <c r="D227" s="520" t="str">
        <f>IF(C227="","",VLOOKUP($B227,'F-1 Off Site River Baseline'!$C$9:$R$257,3,FALSE))</f>
        <v/>
      </c>
      <c r="E227" s="520" t="str">
        <f>IF(D227="","",VLOOKUP($B227,'F-1 Off Site River Baseline'!$C$9:$R$257,4,FALSE))</f>
        <v/>
      </c>
      <c r="F227" s="520" t="str">
        <f>IF(E227="","",VLOOKUP($B227,'F-1 Off Site River Baseline'!$C$9:$R$257,5,FALSE))</f>
        <v/>
      </c>
      <c r="G227" s="520" t="str">
        <f>IF(F227="","",VLOOKUP($B227,'F-1 Off Site River Baseline'!$C$9:$R$257,6,FALSE))</f>
        <v/>
      </c>
      <c r="H227" s="520" t="str">
        <f>IF(G227="","",VLOOKUP($B227,'F-1 Off Site River Baseline'!$C$9:$R$257,7,FALSE))</f>
        <v/>
      </c>
      <c r="I227" s="520" t="str">
        <f>IF(H227="","",VLOOKUP($B227,'F-1 Off Site River Baseline'!$C$9:$R$257,8,FALSE))</f>
        <v/>
      </c>
      <c r="J227" s="520" t="str">
        <f>IF(I227="","",VLOOKUP($B227,'F-1 Off Site River Baseline'!$C$9:$R$257,9,FALSE))</f>
        <v/>
      </c>
      <c r="K227" s="520" t="str">
        <f>IF(J227="","",VLOOKUP($B227,'F-1 Off Site River Baseline'!$C$9:$R$257,10,FALSE))</f>
        <v/>
      </c>
      <c r="L227" s="520" t="str">
        <f>IF(B227="","",VLOOKUP($B227,'C-1 Site River Baseline'!$C$9:$R$257,15,FALSE))</f>
        <v/>
      </c>
      <c r="M227" s="524" t="str">
        <f>IF(L227="","",VLOOKUP($B227,'F-1 Off Site River Baseline'!$C$9:$R$257,16,FALSE))</f>
        <v/>
      </c>
      <c r="N227" s="418" t="str">
        <f t="shared" si="28"/>
        <v/>
      </c>
      <c r="O227" s="498" t="str">
        <f t="shared" si="29"/>
        <v/>
      </c>
      <c r="P227" s="499" t="str">
        <f>IF(C227="","",IF(AND(LEFT(C227,55)&lt;&gt;LEFT(N227,55),O227="High - High"),"Error - Not like for like ▲",IF(AND(F227=S227,H227&gt;U227),"Error - Can not reduce condition ▲",IF(AND(F227=S227,H227=U227,AJ227='F-1 Off Site River Baseline'!N225,'F-1 Off Site River Baseline'!P225=AL227),"Error - No enhancement ▲",IF(AND(C227&lt;&gt;N227,F227&lt;S227),"Lower Distinctiveness Habitat"&amp;" - "&amp;T227,G227&amp;" - "&amp;T227)))))</f>
        <v/>
      </c>
      <c r="Q227" s="505" t="str">
        <f>IF(N227="","",VLOOKUP(B227,'F-1 Off Site River Baseline'!$C$10:$AA$257,19,FALSE))</f>
        <v/>
      </c>
      <c r="R227" s="498" t="str">
        <f>IF(N227="","",VLOOKUP(N227,'G-7 Rivers Data'!$B$2:$G$8,2,FALSE))</f>
        <v/>
      </c>
      <c r="S227" s="499" t="str">
        <f>IFERROR(VLOOKUP(R227,'G-7 Rivers Data'!$C$4:$D$8,2,FALSE),"")</f>
        <v/>
      </c>
      <c r="T227" s="145"/>
      <c r="U227" s="499" t="str">
        <f>IFERROR(INDEX('G-7 Rivers Data'!$H$4:$L$8,MATCH(N227,'G-7 Rivers Data'!$B$4:$B$8,0),MATCH(T227,'G-7 Rivers Data'!$H$3:$L$3,0)),"")</f>
        <v/>
      </c>
      <c r="V227" s="154"/>
      <c r="W227" s="520" t="str">
        <f>IF(V227="","",IF(VLOOKUP(V227,'G-7 Rivers Data'!$AG$4:$AI$9,2,FALSE)=0,"Spatial Data Missing ⚠",VLOOKUP(V227,'G-7 Rivers Data'!$AG$4:$AI$9,2,FALSE)))</f>
        <v/>
      </c>
      <c r="X227" s="524" t="str">
        <f>IF(V227="","",IF(VLOOKUP(V227,'G-7 Rivers Data'!$AG$4:$AI$9,3,FALSE)=0,"Spatial Data Missing ⚠",VLOOKUP(V227,'G-7 Rivers Data'!$AG$4:$AI$9,3,FALSE)))</f>
        <v/>
      </c>
      <c r="Y227" s="537" t="str">
        <f>IFERROR(IF(OR(LEFT(P227,5)="Error ▲",LEFT(O227,5)="Error ▲"),"Check Data ⚠",IF(F227&lt;S227,'G-7 Rivers Data'!$R$3,INDEX('G-7 Rivers Data'!$U$5:$Y$9,MATCH(G227,'G-7 Rivers Data'!$T$5:$T$9,0),MATCH(T227,'G-7 Rivers Data'!$U$4:$Y$4,0)))),"")</f>
        <v/>
      </c>
      <c r="Z227" s="203"/>
      <c r="AA227" s="203"/>
      <c r="AB227" s="534" t="str">
        <f t="shared" si="24"/>
        <v/>
      </c>
      <c r="AC227" s="521" t="str">
        <f t="shared" si="25"/>
        <v/>
      </c>
      <c r="AD227" s="564" t="str">
        <f>IFERROR(IF(AC227="Check Data ⚠","Check Data ⚠",VLOOKUP(AC227,'G-4 Temporal multipliers'!$A$4:$C$37,3,FALSE)),"")</f>
        <v/>
      </c>
      <c r="AE227" s="537" t="str">
        <f>IF(N227="","",VLOOKUP(N227,'G-7 Rivers Data'!$B$4:$G$8,5,FALSE))</f>
        <v/>
      </c>
      <c r="AF227" s="520" t="str">
        <f t="shared" si="26"/>
        <v/>
      </c>
      <c r="AG227" s="520" t="str">
        <f t="shared" si="30"/>
        <v/>
      </c>
      <c r="AH227" s="524" t="str">
        <f t="shared" si="27"/>
        <v/>
      </c>
      <c r="AI227" s="145"/>
      <c r="AJ227" s="499" t="str">
        <f>IF(AI227="","",IF(VLOOKUP(AI227,'G-7 Rivers Data'!$AA$4:$AB$7,2,FALSE)=0,"Spatial Data Missing ⚠",VLOOKUP(AI227,'G-7 Rivers Data'!$AA$4:$AB$7,2,FALSE)))</f>
        <v/>
      </c>
      <c r="AK227" s="155"/>
      <c r="AL227" s="536" t="str">
        <f>IF(AK227="","",IF(VLOOKUP(AK227,'G-7 Rivers Data'!$AD$4:$AE$8,2,FALSE)=0,"Spatial Data Missing ⚠",VLOOKUP(AK227,'G-7 Rivers Data'!$AD$4:$AE$8,2,FALSE)))</f>
        <v/>
      </c>
      <c r="AM227" s="154"/>
      <c r="AN227" s="524" t="str">
        <f>IF(AM227="","",VLOOKUP(AM227,'G-7 Rivers Data'!$AO$4:$AP$7,2,FALSE))</f>
        <v/>
      </c>
      <c r="AO227" s="545" t="str">
        <f t="shared" si="31"/>
        <v/>
      </c>
      <c r="AP227" s="149"/>
      <c r="AQ227" s="150"/>
      <c r="AX227" s="31" t="str">
        <f>IFERROR(INDEX('G-7 Rivers Data'!$AZ$3:$AZ$7,MATCH(N227,'G-7 Rivers Data'!$AY$3:$AY$7,0)),"")</f>
        <v/>
      </c>
    </row>
    <row r="228" spans="2:50" ht="14" x14ac:dyDescent="0.3">
      <c r="B228" s="531" t="str">
        <f>'F-1 Off Site River Baseline'!AN226</f>
        <v/>
      </c>
      <c r="C228" s="520" t="str">
        <f>IF(B228="","",VLOOKUP($B228,'F-1 Off Site River Baseline'!$C$9:$R$257,2,FALSE))</f>
        <v/>
      </c>
      <c r="D228" s="520" t="str">
        <f>IF(C228="","",VLOOKUP($B228,'F-1 Off Site River Baseline'!$C$9:$R$257,3,FALSE))</f>
        <v/>
      </c>
      <c r="E228" s="520" t="str">
        <f>IF(D228="","",VLOOKUP($B228,'F-1 Off Site River Baseline'!$C$9:$R$257,4,FALSE))</f>
        <v/>
      </c>
      <c r="F228" s="520" t="str">
        <f>IF(E228="","",VLOOKUP($B228,'F-1 Off Site River Baseline'!$C$9:$R$257,5,FALSE))</f>
        <v/>
      </c>
      <c r="G228" s="520" t="str">
        <f>IF(F228="","",VLOOKUP($B228,'F-1 Off Site River Baseline'!$C$9:$R$257,6,FALSE))</f>
        <v/>
      </c>
      <c r="H228" s="520" t="str">
        <f>IF(G228="","",VLOOKUP($B228,'F-1 Off Site River Baseline'!$C$9:$R$257,7,FALSE))</f>
        <v/>
      </c>
      <c r="I228" s="520" t="str">
        <f>IF(H228="","",VLOOKUP($B228,'F-1 Off Site River Baseline'!$C$9:$R$257,8,FALSE))</f>
        <v/>
      </c>
      <c r="J228" s="520" t="str">
        <f>IF(I228="","",VLOOKUP($B228,'F-1 Off Site River Baseline'!$C$9:$R$257,9,FALSE))</f>
        <v/>
      </c>
      <c r="K228" s="520" t="str">
        <f>IF(J228="","",VLOOKUP($B228,'F-1 Off Site River Baseline'!$C$9:$R$257,10,FALSE))</f>
        <v/>
      </c>
      <c r="L228" s="520" t="str">
        <f>IF(B228="","",VLOOKUP($B228,'C-1 Site River Baseline'!$C$9:$R$257,15,FALSE))</f>
        <v/>
      </c>
      <c r="M228" s="524" t="str">
        <f>IF(L228="","",VLOOKUP($B228,'F-1 Off Site River Baseline'!$C$9:$R$257,16,FALSE))</f>
        <v/>
      </c>
      <c r="N228" s="418" t="str">
        <f t="shared" si="28"/>
        <v/>
      </c>
      <c r="O228" s="498" t="str">
        <f t="shared" si="29"/>
        <v/>
      </c>
      <c r="P228" s="499" t="str">
        <f>IF(C228="","",IF(AND(LEFT(C228,55)&lt;&gt;LEFT(N228,55),O228="High - High"),"Error - Not like for like ▲",IF(AND(F228=S228,H228&gt;U228),"Error - Can not reduce condition ▲",IF(AND(F228=S228,H228=U228,AJ228='F-1 Off Site River Baseline'!N226,'F-1 Off Site River Baseline'!P226=AL228),"Error - No enhancement ▲",IF(AND(C228&lt;&gt;N228,F228&lt;S228),"Lower Distinctiveness Habitat"&amp;" - "&amp;T228,G228&amp;" - "&amp;T228)))))</f>
        <v/>
      </c>
      <c r="Q228" s="505" t="str">
        <f>IF(N228="","",VLOOKUP(B228,'F-1 Off Site River Baseline'!$C$10:$AA$257,19,FALSE))</f>
        <v/>
      </c>
      <c r="R228" s="498" t="str">
        <f>IF(N228="","",VLOOKUP(N228,'G-7 Rivers Data'!$B$2:$G$8,2,FALSE))</f>
        <v/>
      </c>
      <c r="S228" s="499" t="str">
        <f>IFERROR(VLOOKUP(R228,'G-7 Rivers Data'!$C$4:$D$8,2,FALSE),"")</f>
        <v/>
      </c>
      <c r="T228" s="145"/>
      <c r="U228" s="499" t="str">
        <f>IFERROR(INDEX('G-7 Rivers Data'!$H$4:$L$8,MATCH(N228,'G-7 Rivers Data'!$B$4:$B$8,0),MATCH(T228,'G-7 Rivers Data'!$H$3:$L$3,0)),"")</f>
        <v/>
      </c>
      <c r="V228" s="154"/>
      <c r="W228" s="520" t="str">
        <f>IF(V228="","",IF(VLOOKUP(V228,'G-7 Rivers Data'!$AG$4:$AI$9,2,FALSE)=0,"Spatial Data Missing ⚠",VLOOKUP(V228,'G-7 Rivers Data'!$AG$4:$AI$9,2,FALSE)))</f>
        <v/>
      </c>
      <c r="X228" s="524" t="str">
        <f>IF(V228="","",IF(VLOOKUP(V228,'G-7 Rivers Data'!$AG$4:$AI$9,3,FALSE)=0,"Spatial Data Missing ⚠",VLOOKUP(V228,'G-7 Rivers Data'!$AG$4:$AI$9,3,FALSE)))</f>
        <v/>
      </c>
      <c r="Y228" s="537" t="str">
        <f>IFERROR(IF(OR(LEFT(P228,5)="Error ▲",LEFT(O228,5)="Error ▲"),"Check Data ⚠",IF(F228&lt;S228,'G-7 Rivers Data'!$R$3,INDEX('G-7 Rivers Data'!$U$5:$Y$9,MATCH(G228,'G-7 Rivers Data'!$T$5:$T$9,0),MATCH(T228,'G-7 Rivers Data'!$U$4:$Y$4,0)))),"")</f>
        <v/>
      </c>
      <c r="Z228" s="203"/>
      <c r="AA228" s="203"/>
      <c r="AB228" s="534" t="str">
        <f t="shared" si="24"/>
        <v/>
      </c>
      <c r="AC228" s="521" t="str">
        <f t="shared" si="25"/>
        <v/>
      </c>
      <c r="AD228" s="564" t="str">
        <f>IFERROR(IF(AC228="Check Data ⚠","Check Data ⚠",VLOOKUP(AC228,'G-4 Temporal multipliers'!$A$4:$C$37,3,FALSE)),"")</f>
        <v/>
      </c>
      <c r="AE228" s="537" t="str">
        <f>IF(N228="","",VLOOKUP(N228,'G-7 Rivers Data'!$B$4:$G$8,5,FALSE))</f>
        <v/>
      </c>
      <c r="AF228" s="520" t="str">
        <f t="shared" si="26"/>
        <v/>
      </c>
      <c r="AG228" s="520" t="str">
        <f t="shared" si="30"/>
        <v/>
      </c>
      <c r="AH228" s="524" t="str">
        <f t="shared" si="27"/>
        <v/>
      </c>
      <c r="AI228" s="145"/>
      <c r="AJ228" s="499" t="str">
        <f>IF(AI228="","",IF(VLOOKUP(AI228,'G-7 Rivers Data'!$AA$4:$AB$7,2,FALSE)=0,"Spatial Data Missing ⚠",VLOOKUP(AI228,'G-7 Rivers Data'!$AA$4:$AB$7,2,FALSE)))</f>
        <v/>
      </c>
      <c r="AK228" s="155"/>
      <c r="AL228" s="536" t="str">
        <f>IF(AK228="","",IF(VLOOKUP(AK228,'G-7 Rivers Data'!$AD$4:$AE$8,2,FALSE)=0,"Spatial Data Missing ⚠",VLOOKUP(AK228,'G-7 Rivers Data'!$AD$4:$AE$8,2,FALSE)))</f>
        <v/>
      </c>
      <c r="AM228" s="154"/>
      <c r="AN228" s="524" t="str">
        <f>IF(AM228="","",VLOOKUP(AM228,'G-7 Rivers Data'!$AO$4:$AP$7,2,FALSE))</f>
        <v/>
      </c>
      <c r="AO228" s="545" t="str">
        <f t="shared" si="31"/>
        <v/>
      </c>
      <c r="AP228" s="149"/>
      <c r="AQ228" s="150"/>
      <c r="AX228" s="31" t="str">
        <f>IFERROR(INDEX('G-7 Rivers Data'!$AZ$3:$AZ$7,MATCH(N228,'G-7 Rivers Data'!$AY$3:$AY$7,0)),"")</f>
        <v/>
      </c>
    </row>
    <row r="229" spans="2:50" ht="14" x14ac:dyDescent="0.3">
      <c r="B229" s="531" t="str">
        <f>'F-1 Off Site River Baseline'!AN227</f>
        <v/>
      </c>
      <c r="C229" s="520" t="str">
        <f>IF(B229="","",VLOOKUP($B229,'F-1 Off Site River Baseline'!$C$9:$R$257,2,FALSE))</f>
        <v/>
      </c>
      <c r="D229" s="520" t="str">
        <f>IF(C229="","",VLOOKUP($B229,'F-1 Off Site River Baseline'!$C$9:$R$257,3,FALSE))</f>
        <v/>
      </c>
      <c r="E229" s="520" t="str">
        <f>IF(D229="","",VLOOKUP($B229,'F-1 Off Site River Baseline'!$C$9:$R$257,4,FALSE))</f>
        <v/>
      </c>
      <c r="F229" s="520" t="str">
        <f>IF(E229="","",VLOOKUP($B229,'F-1 Off Site River Baseline'!$C$9:$R$257,5,FALSE))</f>
        <v/>
      </c>
      <c r="G229" s="520" t="str">
        <f>IF(F229="","",VLOOKUP($B229,'F-1 Off Site River Baseline'!$C$9:$R$257,6,FALSE))</f>
        <v/>
      </c>
      <c r="H229" s="520" t="str">
        <f>IF(G229="","",VLOOKUP($B229,'F-1 Off Site River Baseline'!$C$9:$R$257,7,FALSE))</f>
        <v/>
      </c>
      <c r="I229" s="520" t="str">
        <f>IF(H229="","",VLOOKUP($B229,'F-1 Off Site River Baseline'!$C$9:$R$257,8,FALSE))</f>
        <v/>
      </c>
      <c r="J229" s="520" t="str">
        <f>IF(I229="","",VLOOKUP($B229,'F-1 Off Site River Baseline'!$C$9:$R$257,9,FALSE))</f>
        <v/>
      </c>
      <c r="K229" s="520" t="str">
        <f>IF(J229="","",VLOOKUP($B229,'F-1 Off Site River Baseline'!$C$9:$R$257,10,FALSE))</f>
        <v/>
      </c>
      <c r="L229" s="520" t="str">
        <f>IF(B229="","",VLOOKUP($B229,'C-1 Site River Baseline'!$C$9:$R$257,15,FALSE))</f>
        <v/>
      </c>
      <c r="M229" s="524" t="str">
        <f>IF(L229="","",VLOOKUP($B229,'F-1 Off Site River Baseline'!$C$9:$R$257,16,FALSE))</f>
        <v/>
      </c>
      <c r="N229" s="418" t="str">
        <f t="shared" si="28"/>
        <v/>
      </c>
      <c r="O229" s="498" t="str">
        <f t="shared" si="29"/>
        <v/>
      </c>
      <c r="P229" s="499" t="str">
        <f>IF(C229="","",IF(AND(LEFT(C229,55)&lt;&gt;LEFT(N229,55),O229="High - High"),"Error - Not like for like ▲",IF(AND(F229=S229,H229&gt;U229),"Error - Can not reduce condition ▲",IF(AND(F229=S229,H229=U229,AJ229='F-1 Off Site River Baseline'!N227,'F-1 Off Site River Baseline'!P227=AL229),"Error - No enhancement ▲",IF(AND(C229&lt;&gt;N229,F229&lt;S229),"Lower Distinctiveness Habitat"&amp;" - "&amp;T229,G229&amp;" - "&amp;T229)))))</f>
        <v/>
      </c>
      <c r="Q229" s="505" t="str">
        <f>IF(N229="","",VLOOKUP(B229,'F-1 Off Site River Baseline'!$C$10:$AA$257,19,FALSE))</f>
        <v/>
      </c>
      <c r="R229" s="498" t="str">
        <f>IF(N229="","",VLOOKUP(N229,'G-7 Rivers Data'!$B$2:$G$8,2,FALSE))</f>
        <v/>
      </c>
      <c r="S229" s="499" t="str">
        <f>IFERROR(VLOOKUP(R229,'G-7 Rivers Data'!$C$4:$D$8,2,FALSE),"")</f>
        <v/>
      </c>
      <c r="T229" s="145"/>
      <c r="U229" s="499" t="str">
        <f>IFERROR(INDEX('G-7 Rivers Data'!$H$4:$L$8,MATCH(N229,'G-7 Rivers Data'!$B$4:$B$8,0),MATCH(T229,'G-7 Rivers Data'!$H$3:$L$3,0)),"")</f>
        <v/>
      </c>
      <c r="V229" s="154"/>
      <c r="W229" s="520" t="str">
        <f>IF(V229="","",IF(VLOOKUP(V229,'G-7 Rivers Data'!$AG$4:$AI$9,2,FALSE)=0,"Spatial Data Missing ⚠",VLOOKUP(V229,'G-7 Rivers Data'!$AG$4:$AI$9,2,FALSE)))</f>
        <v/>
      </c>
      <c r="X229" s="524" t="str">
        <f>IF(V229="","",IF(VLOOKUP(V229,'G-7 Rivers Data'!$AG$4:$AI$9,3,FALSE)=0,"Spatial Data Missing ⚠",VLOOKUP(V229,'G-7 Rivers Data'!$AG$4:$AI$9,3,FALSE)))</f>
        <v/>
      </c>
      <c r="Y229" s="537" t="str">
        <f>IFERROR(IF(OR(LEFT(P229,5)="Error ▲",LEFT(O229,5)="Error ▲"),"Check Data ⚠",IF(F229&lt;S229,'G-7 Rivers Data'!$R$3,INDEX('G-7 Rivers Data'!$U$5:$Y$9,MATCH(G229,'G-7 Rivers Data'!$T$5:$T$9,0),MATCH(T229,'G-7 Rivers Data'!$U$4:$Y$4,0)))),"")</f>
        <v/>
      </c>
      <c r="Z229" s="203"/>
      <c r="AA229" s="203"/>
      <c r="AB229" s="534" t="str">
        <f t="shared" si="24"/>
        <v/>
      </c>
      <c r="AC229" s="521" t="str">
        <f t="shared" si="25"/>
        <v/>
      </c>
      <c r="AD229" s="564" t="str">
        <f>IFERROR(IF(AC229="Check Data ⚠","Check Data ⚠",VLOOKUP(AC229,'G-4 Temporal multipliers'!$A$4:$C$37,3,FALSE)),"")</f>
        <v/>
      </c>
      <c r="AE229" s="537" t="str">
        <f>IF(N229="","",VLOOKUP(N229,'G-7 Rivers Data'!$B$4:$G$8,5,FALSE))</f>
        <v/>
      </c>
      <c r="AF229" s="520" t="str">
        <f t="shared" si="26"/>
        <v/>
      </c>
      <c r="AG229" s="520" t="str">
        <f t="shared" si="30"/>
        <v/>
      </c>
      <c r="AH229" s="524" t="str">
        <f t="shared" si="27"/>
        <v/>
      </c>
      <c r="AI229" s="145"/>
      <c r="AJ229" s="499" t="str">
        <f>IF(AI229="","",IF(VLOOKUP(AI229,'G-7 Rivers Data'!$AA$4:$AB$7,2,FALSE)=0,"Spatial Data Missing ⚠",VLOOKUP(AI229,'G-7 Rivers Data'!$AA$4:$AB$7,2,FALSE)))</f>
        <v/>
      </c>
      <c r="AK229" s="155"/>
      <c r="AL229" s="536" t="str">
        <f>IF(AK229="","",IF(VLOOKUP(AK229,'G-7 Rivers Data'!$AD$4:$AE$8,2,FALSE)=0,"Spatial Data Missing ⚠",VLOOKUP(AK229,'G-7 Rivers Data'!$AD$4:$AE$8,2,FALSE)))</f>
        <v/>
      </c>
      <c r="AM229" s="154"/>
      <c r="AN229" s="524" t="str">
        <f>IF(AM229="","",VLOOKUP(AM229,'G-7 Rivers Data'!$AO$4:$AP$7,2,FALSE))</f>
        <v/>
      </c>
      <c r="AO229" s="545" t="str">
        <f t="shared" si="31"/>
        <v/>
      </c>
      <c r="AP229" s="149"/>
      <c r="AQ229" s="150"/>
      <c r="AX229" s="31" t="str">
        <f>IFERROR(INDEX('G-7 Rivers Data'!$AZ$3:$AZ$7,MATCH(N229,'G-7 Rivers Data'!$AY$3:$AY$7,0)),"")</f>
        <v/>
      </c>
    </row>
    <row r="230" spans="2:50" ht="14" x14ac:dyDescent="0.3">
      <c r="B230" s="531" t="str">
        <f>'F-1 Off Site River Baseline'!AN228</f>
        <v/>
      </c>
      <c r="C230" s="520" t="str">
        <f>IF(B230="","",VLOOKUP($B230,'F-1 Off Site River Baseline'!$C$9:$R$257,2,FALSE))</f>
        <v/>
      </c>
      <c r="D230" s="520" t="str">
        <f>IF(C230="","",VLOOKUP($B230,'F-1 Off Site River Baseline'!$C$9:$R$257,3,FALSE))</f>
        <v/>
      </c>
      <c r="E230" s="520" t="str">
        <f>IF(D230="","",VLOOKUP($B230,'F-1 Off Site River Baseline'!$C$9:$R$257,4,FALSE))</f>
        <v/>
      </c>
      <c r="F230" s="520" t="str">
        <f>IF(E230="","",VLOOKUP($B230,'F-1 Off Site River Baseline'!$C$9:$R$257,5,FALSE))</f>
        <v/>
      </c>
      <c r="G230" s="520" t="str">
        <f>IF(F230="","",VLOOKUP($B230,'F-1 Off Site River Baseline'!$C$9:$R$257,6,FALSE))</f>
        <v/>
      </c>
      <c r="H230" s="520" t="str">
        <f>IF(G230="","",VLOOKUP($B230,'F-1 Off Site River Baseline'!$C$9:$R$257,7,FALSE))</f>
        <v/>
      </c>
      <c r="I230" s="520" t="str">
        <f>IF(H230="","",VLOOKUP($B230,'F-1 Off Site River Baseline'!$C$9:$R$257,8,FALSE))</f>
        <v/>
      </c>
      <c r="J230" s="520" t="str">
        <f>IF(I230="","",VLOOKUP($B230,'F-1 Off Site River Baseline'!$C$9:$R$257,9,FALSE))</f>
        <v/>
      </c>
      <c r="K230" s="520" t="str">
        <f>IF(J230="","",VLOOKUP($B230,'F-1 Off Site River Baseline'!$C$9:$R$257,10,FALSE))</f>
        <v/>
      </c>
      <c r="L230" s="520" t="str">
        <f>IF(B230="","",VLOOKUP($B230,'C-1 Site River Baseline'!$C$9:$R$257,15,FALSE))</f>
        <v/>
      </c>
      <c r="M230" s="524" t="str">
        <f>IF(L230="","",VLOOKUP($B230,'F-1 Off Site River Baseline'!$C$9:$R$257,16,FALSE))</f>
        <v/>
      </c>
      <c r="N230" s="418" t="str">
        <f t="shared" si="28"/>
        <v/>
      </c>
      <c r="O230" s="498" t="str">
        <f t="shared" si="29"/>
        <v/>
      </c>
      <c r="P230" s="499" t="str">
        <f>IF(C230="","",IF(AND(LEFT(C230,55)&lt;&gt;LEFT(N230,55),O230="High - High"),"Error - Not like for like ▲",IF(AND(F230=S230,H230&gt;U230),"Error - Can not reduce condition ▲",IF(AND(F230=S230,H230=U230,AJ230='F-1 Off Site River Baseline'!N228,'F-1 Off Site River Baseline'!P228=AL230),"Error - No enhancement ▲",IF(AND(C230&lt;&gt;N230,F230&lt;S230),"Lower Distinctiveness Habitat"&amp;" - "&amp;T230,G230&amp;" - "&amp;T230)))))</f>
        <v/>
      </c>
      <c r="Q230" s="505" t="str">
        <f>IF(N230="","",VLOOKUP(B230,'F-1 Off Site River Baseline'!$C$10:$AA$257,19,FALSE))</f>
        <v/>
      </c>
      <c r="R230" s="498" t="str">
        <f>IF(N230="","",VLOOKUP(N230,'G-7 Rivers Data'!$B$2:$G$8,2,FALSE))</f>
        <v/>
      </c>
      <c r="S230" s="499" t="str">
        <f>IFERROR(VLOOKUP(R230,'G-7 Rivers Data'!$C$4:$D$8,2,FALSE),"")</f>
        <v/>
      </c>
      <c r="T230" s="145"/>
      <c r="U230" s="499" t="str">
        <f>IFERROR(INDEX('G-7 Rivers Data'!$H$4:$L$8,MATCH(N230,'G-7 Rivers Data'!$B$4:$B$8,0),MATCH(T230,'G-7 Rivers Data'!$H$3:$L$3,0)),"")</f>
        <v/>
      </c>
      <c r="V230" s="154"/>
      <c r="W230" s="520" t="str">
        <f>IF(V230="","",IF(VLOOKUP(V230,'G-7 Rivers Data'!$AG$4:$AI$9,2,FALSE)=0,"Spatial Data Missing ⚠",VLOOKUP(V230,'G-7 Rivers Data'!$AG$4:$AI$9,2,FALSE)))</f>
        <v/>
      </c>
      <c r="X230" s="524" t="str">
        <f>IF(V230="","",IF(VLOOKUP(V230,'G-7 Rivers Data'!$AG$4:$AI$9,3,FALSE)=0,"Spatial Data Missing ⚠",VLOOKUP(V230,'G-7 Rivers Data'!$AG$4:$AI$9,3,FALSE)))</f>
        <v/>
      </c>
      <c r="Y230" s="537" t="str">
        <f>IFERROR(IF(OR(LEFT(P230,5)="Error ▲",LEFT(O230,5)="Error ▲"),"Check Data ⚠",IF(F230&lt;S230,'G-7 Rivers Data'!$R$3,INDEX('G-7 Rivers Data'!$U$5:$Y$9,MATCH(G230,'G-7 Rivers Data'!$T$5:$T$9,0),MATCH(T230,'G-7 Rivers Data'!$U$4:$Y$4,0)))),"")</f>
        <v/>
      </c>
      <c r="Z230" s="203"/>
      <c r="AA230" s="203"/>
      <c r="AB230" s="534" t="str">
        <f t="shared" si="24"/>
        <v/>
      </c>
      <c r="AC230" s="521" t="str">
        <f t="shared" si="25"/>
        <v/>
      </c>
      <c r="AD230" s="564" t="str">
        <f>IFERROR(IF(AC230="Check Data ⚠","Check Data ⚠",VLOOKUP(AC230,'G-4 Temporal multipliers'!$A$4:$C$37,3,FALSE)),"")</f>
        <v/>
      </c>
      <c r="AE230" s="537" t="str">
        <f>IF(N230="","",VLOOKUP(N230,'G-7 Rivers Data'!$B$4:$G$8,5,FALSE))</f>
        <v/>
      </c>
      <c r="AF230" s="520" t="str">
        <f t="shared" si="26"/>
        <v/>
      </c>
      <c r="AG230" s="520" t="str">
        <f t="shared" si="30"/>
        <v/>
      </c>
      <c r="AH230" s="524" t="str">
        <f t="shared" si="27"/>
        <v/>
      </c>
      <c r="AI230" s="145"/>
      <c r="AJ230" s="499" t="str">
        <f>IF(AI230="","",IF(VLOOKUP(AI230,'G-7 Rivers Data'!$AA$4:$AB$7,2,FALSE)=0,"Spatial Data Missing ⚠",VLOOKUP(AI230,'G-7 Rivers Data'!$AA$4:$AB$7,2,FALSE)))</f>
        <v/>
      </c>
      <c r="AK230" s="155"/>
      <c r="AL230" s="536" t="str">
        <f>IF(AK230="","",IF(VLOOKUP(AK230,'G-7 Rivers Data'!$AD$4:$AE$8,2,FALSE)=0,"Spatial Data Missing ⚠",VLOOKUP(AK230,'G-7 Rivers Data'!$AD$4:$AE$8,2,FALSE)))</f>
        <v/>
      </c>
      <c r="AM230" s="154"/>
      <c r="AN230" s="524" t="str">
        <f>IF(AM230="","",VLOOKUP(AM230,'G-7 Rivers Data'!$AO$4:$AP$7,2,FALSE))</f>
        <v/>
      </c>
      <c r="AO230" s="545" t="str">
        <f t="shared" si="31"/>
        <v/>
      </c>
      <c r="AP230" s="149"/>
      <c r="AQ230" s="150"/>
      <c r="AX230" s="31" t="str">
        <f>IFERROR(INDEX('G-7 Rivers Data'!$AZ$3:$AZ$7,MATCH(N230,'G-7 Rivers Data'!$AY$3:$AY$7,0)),"")</f>
        <v/>
      </c>
    </row>
    <row r="231" spans="2:50" ht="14" x14ac:dyDescent="0.3">
      <c r="B231" s="531" t="str">
        <f>'F-1 Off Site River Baseline'!AN229</f>
        <v/>
      </c>
      <c r="C231" s="520" t="str">
        <f>IF(B231="","",VLOOKUP($B231,'F-1 Off Site River Baseline'!$C$9:$R$257,2,FALSE))</f>
        <v/>
      </c>
      <c r="D231" s="520" t="str">
        <f>IF(C231="","",VLOOKUP($B231,'F-1 Off Site River Baseline'!$C$9:$R$257,3,FALSE))</f>
        <v/>
      </c>
      <c r="E231" s="520" t="str">
        <f>IF(D231="","",VLOOKUP($B231,'F-1 Off Site River Baseline'!$C$9:$R$257,4,FALSE))</f>
        <v/>
      </c>
      <c r="F231" s="520" t="str">
        <f>IF(E231="","",VLOOKUP($B231,'F-1 Off Site River Baseline'!$C$9:$R$257,5,FALSE))</f>
        <v/>
      </c>
      <c r="G231" s="520" t="str">
        <f>IF(F231="","",VLOOKUP($B231,'F-1 Off Site River Baseline'!$C$9:$R$257,6,FALSE))</f>
        <v/>
      </c>
      <c r="H231" s="520" t="str">
        <f>IF(G231="","",VLOOKUP($B231,'F-1 Off Site River Baseline'!$C$9:$R$257,7,FALSE))</f>
        <v/>
      </c>
      <c r="I231" s="520" t="str">
        <f>IF(H231="","",VLOOKUP($B231,'F-1 Off Site River Baseline'!$C$9:$R$257,8,FALSE))</f>
        <v/>
      </c>
      <c r="J231" s="520" t="str">
        <f>IF(I231="","",VLOOKUP($B231,'F-1 Off Site River Baseline'!$C$9:$R$257,9,FALSE))</f>
        <v/>
      </c>
      <c r="K231" s="520" t="str">
        <f>IF(J231="","",VLOOKUP($B231,'F-1 Off Site River Baseline'!$C$9:$R$257,10,FALSE))</f>
        <v/>
      </c>
      <c r="L231" s="520" t="str">
        <f>IF(B231="","",VLOOKUP($B231,'C-1 Site River Baseline'!$C$9:$R$257,15,FALSE))</f>
        <v/>
      </c>
      <c r="M231" s="524" t="str">
        <f>IF(L231="","",VLOOKUP($B231,'F-1 Off Site River Baseline'!$C$9:$R$257,16,FALSE))</f>
        <v/>
      </c>
      <c r="N231" s="418" t="str">
        <f t="shared" si="28"/>
        <v/>
      </c>
      <c r="O231" s="498" t="str">
        <f t="shared" si="29"/>
        <v/>
      </c>
      <c r="P231" s="499" t="str">
        <f>IF(C231="","",IF(AND(LEFT(C231,55)&lt;&gt;LEFT(N231,55),O231="High - High"),"Error - Not like for like ▲",IF(AND(F231=S231,H231&gt;U231),"Error - Can not reduce condition ▲",IF(AND(F231=S231,H231=U231,AJ231='F-1 Off Site River Baseline'!N229,'F-1 Off Site River Baseline'!P229=AL231),"Error - No enhancement ▲",IF(AND(C231&lt;&gt;N231,F231&lt;S231),"Lower Distinctiveness Habitat"&amp;" - "&amp;T231,G231&amp;" - "&amp;T231)))))</f>
        <v/>
      </c>
      <c r="Q231" s="505" t="str">
        <f>IF(N231="","",VLOOKUP(B231,'F-1 Off Site River Baseline'!$C$10:$AA$257,19,FALSE))</f>
        <v/>
      </c>
      <c r="R231" s="498" t="str">
        <f>IF(N231="","",VLOOKUP(N231,'G-7 Rivers Data'!$B$2:$G$8,2,FALSE))</f>
        <v/>
      </c>
      <c r="S231" s="499" t="str">
        <f>IFERROR(VLOOKUP(R231,'G-7 Rivers Data'!$C$4:$D$8,2,FALSE),"")</f>
        <v/>
      </c>
      <c r="T231" s="145"/>
      <c r="U231" s="499" t="str">
        <f>IFERROR(INDEX('G-7 Rivers Data'!$H$4:$L$8,MATCH(N231,'G-7 Rivers Data'!$B$4:$B$8,0),MATCH(T231,'G-7 Rivers Data'!$H$3:$L$3,0)),"")</f>
        <v/>
      </c>
      <c r="V231" s="154"/>
      <c r="W231" s="520" t="str">
        <f>IF(V231="","",IF(VLOOKUP(V231,'G-7 Rivers Data'!$AG$4:$AI$9,2,FALSE)=0,"Spatial Data Missing ⚠",VLOOKUP(V231,'G-7 Rivers Data'!$AG$4:$AI$9,2,FALSE)))</f>
        <v/>
      </c>
      <c r="X231" s="524" t="str">
        <f>IF(V231="","",IF(VLOOKUP(V231,'G-7 Rivers Data'!$AG$4:$AI$9,3,FALSE)=0,"Spatial Data Missing ⚠",VLOOKUP(V231,'G-7 Rivers Data'!$AG$4:$AI$9,3,FALSE)))</f>
        <v/>
      </c>
      <c r="Y231" s="537" t="str">
        <f>IFERROR(IF(OR(LEFT(P231,5)="Error ▲",LEFT(O231,5)="Error ▲"),"Check Data ⚠",IF(F231&lt;S231,'G-7 Rivers Data'!$R$3,INDEX('G-7 Rivers Data'!$U$5:$Y$9,MATCH(G231,'G-7 Rivers Data'!$T$5:$T$9,0),MATCH(T231,'G-7 Rivers Data'!$U$4:$Y$4,0)))),"")</f>
        <v/>
      </c>
      <c r="Z231" s="203"/>
      <c r="AA231" s="203"/>
      <c r="AB231" s="534" t="str">
        <f t="shared" si="24"/>
        <v/>
      </c>
      <c r="AC231" s="521" t="str">
        <f t="shared" si="25"/>
        <v/>
      </c>
      <c r="AD231" s="564" t="str">
        <f>IFERROR(IF(AC231="Check Data ⚠","Check Data ⚠",VLOOKUP(AC231,'G-4 Temporal multipliers'!$A$4:$C$37,3,FALSE)),"")</f>
        <v/>
      </c>
      <c r="AE231" s="537" t="str">
        <f>IF(N231="","",VLOOKUP(N231,'G-7 Rivers Data'!$B$4:$G$8,5,FALSE))</f>
        <v/>
      </c>
      <c r="AF231" s="520" t="str">
        <f t="shared" si="26"/>
        <v/>
      </c>
      <c r="AG231" s="520" t="str">
        <f t="shared" si="30"/>
        <v/>
      </c>
      <c r="AH231" s="524" t="str">
        <f t="shared" si="27"/>
        <v/>
      </c>
      <c r="AI231" s="145"/>
      <c r="AJ231" s="499" t="str">
        <f>IF(AI231="","",IF(VLOOKUP(AI231,'G-7 Rivers Data'!$AA$4:$AB$7,2,FALSE)=0,"Spatial Data Missing ⚠",VLOOKUP(AI231,'G-7 Rivers Data'!$AA$4:$AB$7,2,FALSE)))</f>
        <v/>
      </c>
      <c r="AK231" s="155"/>
      <c r="AL231" s="536" t="str">
        <f>IF(AK231="","",IF(VLOOKUP(AK231,'G-7 Rivers Data'!$AD$4:$AE$8,2,FALSE)=0,"Spatial Data Missing ⚠",VLOOKUP(AK231,'G-7 Rivers Data'!$AD$4:$AE$8,2,FALSE)))</f>
        <v/>
      </c>
      <c r="AM231" s="154"/>
      <c r="AN231" s="524" t="str">
        <f>IF(AM231="","",VLOOKUP(AM231,'G-7 Rivers Data'!$AO$4:$AP$7,2,FALSE))</f>
        <v/>
      </c>
      <c r="AO231" s="545" t="str">
        <f t="shared" si="31"/>
        <v/>
      </c>
      <c r="AP231" s="149"/>
      <c r="AQ231" s="150"/>
      <c r="AX231" s="31" t="str">
        <f>IFERROR(INDEX('G-7 Rivers Data'!$AZ$3:$AZ$7,MATCH(N231,'G-7 Rivers Data'!$AY$3:$AY$7,0)),"")</f>
        <v/>
      </c>
    </row>
    <row r="232" spans="2:50" ht="14" x14ac:dyDescent="0.3">
      <c r="B232" s="531" t="str">
        <f>'F-1 Off Site River Baseline'!AN230</f>
        <v/>
      </c>
      <c r="C232" s="520" t="str">
        <f>IF(B232="","",VLOOKUP($B232,'F-1 Off Site River Baseline'!$C$9:$R$257,2,FALSE))</f>
        <v/>
      </c>
      <c r="D232" s="520" t="str">
        <f>IF(C232="","",VLOOKUP($B232,'F-1 Off Site River Baseline'!$C$9:$R$257,3,FALSE))</f>
        <v/>
      </c>
      <c r="E232" s="520" t="str">
        <f>IF(D232="","",VLOOKUP($B232,'F-1 Off Site River Baseline'!$C$9:$R$257,4,FALSE))</f>
        <v/>
      </c>
      <c r="F232" s="520" t="str">
        <f>IF(E232="","",VLOOKUP($B232,'F-1 Off Site River Baseline'!$C$9:$R$257,5,FALSE))</f>
        <v/>
      </c>
      <c r="G232" s="520" t="str">
        <f>IF(F232="","",VLOOKUP($B232,'F-1 Off Site River Baseline'!$C$9:$R$257,6,FALSE))</f>
        <v/>
      </c>
      <c r="H232" s="520" t="str">
        <f>IF(G232="","",VLOOKUP($B232,'F-1 Off Site River Baseline'!$C$9:$R$257,7,FALSE))</f>
        <v/>
      </c>
      <c r="I232" s="520" t="str">
        <f>IF(H232="","",VLOOKUP($B232,'F-1 Off Site River Baseline'!$C$9:$R$257,8,FALSE))</f>
        <v/>
      </c>
      <c r="J232" s="520" t="str">
        <f>IF(I232="","",VLOOKUP($B232,'F-1 Off Site River Baseline'!$C$9:$R$257,9,FALSE))</f>
        <v/>
      </c>
      <c r="K232" s="520" t="str">
        <f>IF(J232="","",VLOOKUP($B232,'F-1 Off Site River Baseline'!$C$9:$R$257,10,FALSE))</f>
        <v/>
      </c>
      <c r="L232" s="520" t="str">
        <f>IF(B232="","",VLOOKUP($B232,'C-1 Site River Baseline'!$C$9:$R$257,15,FALSE))</f>
        <v/>
      </c>
      <c r="M232" s="524" t="str">
        <f>IF(L232="","",VLOOKUP($B232,'F-1 Off Site River Baseline'!$C$9:$R$257,16,FALSE))</f>
        <v/>
      </c>
      <c r="N232" s="418" t="str">
        <f t="shared" si="28"/>
        <v/>
      </c>
      <c r="O232" s="498" t="str">
        <f t="shared" si="29"/>
        <v/>
      </c>
      <c r="P232" s="499" t="str">
        <f>IF(C232="","",IF(AND(LEFT(C232,55)&lt;&gt;LEFT(N232,55),O232="High - High"),"Error - Not like for like ▲",IF(AND(F232=S232,H232&gt;U232),"Error - Can not reduce condition ▲",IF(AND(F232=S232,H232=U232,AJ232='F-1 Off Site River Baseline'!N230,'F-1 Off Site River Baseline'!P230=AL232),"Error - No enhancement ▲",IF(AND(C232&lt;&gt;N232,F232&lt;S232),"Lower Distinctiveness Habitat"&amp;" - "&amp;T232,G232&amp;" - "&amp;T232)))))</f>
        <v/>
      </c>
      <c r="Q232" s="505" t="str">
        <f>IF(N232="","",VLOOKUP(B232,'F-1 Off Site River Baseline'!$C$10:$AA$257,19,FALSE))</f>
        <v/>
      </c>
      <c r="R232" s="498" t="str">
        <f>IF(N232="","",VLOOKUP(N232,'G-7 Rivers Data'!$B$2:$G$8,2,FALSE))</f>
        <v/>
      </c>
      <c r="S232" s="499" t="str">
        <f>IFERROR(VLOOKUP(R232,'G-7 Rivers Data'!$C$4:$D$8,2,FALSE),"")</f>
        <v/>
      </c>
      <c r="T232" s="145"/>
      <c r="U232" s="499" t="str">
        <f>IFERROR(INDEX('G-7 Rivers Data'!$H$4:$L$8,MATCH(N232,'G-7 Rivers Data'!$B$4:$B$8,0),MATCH(T232,'G-7 Rivers Data'!$H$3:$L$3,0)),"")</f>
        <v/>
      </c>
      <c r="V232" s="154"/>
      <c r="W232" s="520" t="str">
        <f>IF(V232="","",IF(VLOOKUP(V232,'G-7 Rivers Data'!$AG$4:$AI$9,2,FALSE)=0,"Spatial Data Missing ⚠",VLOOKUP(V232,'G-7 Rivers Data'!$AG$4:$AI$9,2,FALSE)))</f>
        <v/>
      </c>
      <c r="X232" s="524" t="str">
        <f>IF(V232="","",IF(VLOOKUP(V232,'G-7 Rivers Data'!$AG$4:$AI$9,3,FALSE)=0,"Spatial Data Missing ⚠",VLOOKUP(V232,'G-7 Rivers Data'!$AG$4:$AI$9,3,FALSE)))</f>
        <v/>
      </c>
      <c r="Y232" s="537" t="str">
        <f>IFERROR(IF(OR(LEFT(P232,5)="Error ▲",LEFT(O232,5)="Error ▲"),"Check Data ⚠",IF(F232&lt;S232,'G-7 Rivers Data'!$R$3,INDEX('G-7 Rivers Data'!$U$5:$Y$9,MATCH(G232,'G-7 Rivers Data'!$T$5:$T$9,0),MATCH(T232,'G-7 Rivers Data'!$U$4:$Y$4,0)))),"")</f>
        <v/>
      </c>
      <c r="Z232" s="203"/>
      <c r="AA232" s="203"/>
      <c r="AB232" s="534" t="str">
        <f t="shared" si="24"/>
        <v/>
      </c>
      <c r="AC232" s="521" t="str">
        <f t="shared" si="25"/>
        <v/>
      </c>
      <c r="AD232" s="564" t="str">
        <f>IFERROR(IF(AC232="Check Data ⚠","Check Data ⚠",VLOOKUP(AC232,'G-4 Temporal multipliers'!$A$4:$C$37,3,FALSE)),"")</f>
        <v/>
      </c>
      <c r="AE232" s="537" t="str">
        <f>IF(N232="","",VLOOKUP(N232,'G-7 Rivers Data'!$B$4:$G$8,5,FALSE))</f>
        <v/>
      </c>
      <c r="AF232" s="520" t="str">
        <f t="shared" si="26"/>
        <v/>
      </c>
      <c r="AG232" s="520" t="str">
        <f t="shared" si="30"/>
        <v/>
      </c>
      <c r="AH232" s="524" t="str">
        <f t="shared" si="27"/>
        <v/>
      </c>
      <c r="AI232" s="145"/>
      <c r="AJ232" s="499" t="str">
        <f>IF(AI232="","",IF(VLOOKUP(AI232,'G-7 Rivers Data'!$AA$4:$AB$7,2,FALSE)=0,"Spatial Data Missing ⚠",VLOOKUP(AI232,'G-7 Rivers Data'!$AA$4:$AB$7,2,FALSE)))</f>
        <v/>
      </c>
      <c r="AK232" s="155"/>
      <c r="AL232" s="536" t="str">
        <f>IF(AK232="","",IF(VLOOKUP(AK232,'G-7 Rivers Data'!$AD$4:$AE$8,2,FALSE)=0,"Spatial Data Missing ⚠",VLOOKUP(AK232,'G-7 Rivers Data'!$AD$4:$AE$8,2,FALSE)))</f>
        <v/>
      </c>
      <c r="AM232" s="154"/>
      <c r="AN232" s="524" t="str">
        <f>IF(AM232="","",VLOOKUP(AM232,'G-7 Rivers Data'!$AO$4:$AP$7,2,FALSE))</f>
        <v/>
      </c>
      <c r="AO232" s="545" t="str">
        <f t="shared" si="31"/>
        <v/>
      </c>
      <c r="AP232" s="149"/>
      <c r="AQ232" s="150"/>
      <c r="AX232" s="31" t="str">
        <f>IFERROR(INDEX('G-7 Rivers Data'!$AZ$3:$AZ$7,MATCH(N232,'G-7 Rivers Data'!$AY$3:$AY$7,0)),"")</f>
        <v/>
      </c>
    </row>
    <row r="233" spans="2:50" ht="14" x14ac:dyDescent="0.3">
      <c r="B233" s="531" t="str">
        <f>'F-1 Off Site River Baseline'!AN231</f>
        <v/>
      </c>
      <c r="C233" s="520" t="str">
        <f>IF(B233="","",VLOOKUP($B233,'F-1 Off Site River Baseline'!$C$9:$R$257,2,FALSE))</f>
        <v/>
      </c>
      <c r="D233" s="520" t="str">
        <f>IF(C233="","",VLOOKUP($B233,'F-1 Off Site River Baseline'!$C$9:$R$257,3,FALSE))</f>
        <v/>
      </c>
      <c r="E233" s="520" t="str">
        <f>IF(D233="","",VLOOKUP($B233,'F-1 Off Site River Baseline'!$C$9:$R$257,4,FALSE))</f>
        <v/>
      </c>
      <c r="F233" s="520" t="str">
        <f>IF(E233="","",VLOOKUP($B233,'F-1 Off Site River Baseline'!$C$9:$R$257,5,FALSE))</f>
        <v/>
      </c>
      <c r="G233" s="520" t="str">
        <f>IF(F233="","",VLOOKUP($B233,'F-1 Off Site River Baseline'!$C$9:$R$257,6,FALSE))</f>
        <v/>
      </c>
      <c r="H233" s="520" t="str">
        <f>IF(G233="","",VLOOKUP($B233,'F-1 Off Site River Baseline'!$C$9:$R$257,7,FALSE))</f>
        <v/>
      </c>
      <c r="I233" s="520" t="str">
        <f>IF(H233="","",VLOOKUP($B233,'F-1 Off Site River Baseline'!$C$9:$R$257,8,FALSE))</f>
        <v/>
      </c>
      <c r="J233" s="520" t="str">
        <f>IF(I233="","",VLOOKUP($B233,'F-1 Off Site River Baseline'!$C$9:$R$257,9,FALSE))</f>
        <v/>
      </c>
      <c r="K233" s="520" t="str">
        <f>IF(J233="","",VLOOKUP($B233,'F-1 Off Site River Baseline'!$C$9:$R$257,10,FALSE))</f>
        <v/>
      </c>
      <c r="L233" s="520" t="str">
        <f>IF(B233="","",VLOOKUP($B233,'C-1 Site River Baseline'!$C$9:$R$257,15,FALSE))</f>
        <v/>
      </c>
      <c r="M233" s="524" t="str">
        <f>IF(L233="","",VLOOKUP($B233,'F-1 Off Site River Baseline'!$C$9:$R$257,16,FALSE))</f>
        <v/>
      </c>
      <c r="N233" s="418" t="str">
        <f t="shared" si="28"/>
        <v/>
      </c>
      <c r="O233" s="498" t="str">
        <f t="shared" si="29"/>
        <v/>
      </c>
      <c r="P233" s="499" t="str">
        <f>IF(C233="","",IF(AND(LEFT(C233,55)&lt;&gt;LEFT(N233,55),O233="High - High"),"Error - Not like for like ▲",IF(AND(F233=S233,H233&gt;U233),"Error - Can not reduce condition ▲",IF(AND(F233=S233,H233=U233,AJ233='F-1 Off Site River Baseline'!N231,'F-1 Off Site River Baseline'!P231=AL233),"Error - No enhancement ▲",IF(AND(C233&lt;&gt;N233,F233&lt;S233),"Lower Distinctiveness Habitat"&amp;" - "&amp;T233,G233&amp;" - "&amp;T233)))))</f>
        <v/>
      </c>
      <c r="Q233" s="505" t="str">
        <f>IF(N233="","",VLOOKUP(B233,'F-1 Off Site River Baseline'!$C$10:$AA$257,19,FALSE))</f>
        <v/>
      </c>
      <c r="R233" s="498" t="str">
        <f>IF(N233="","",VLOOKUP(N233,'G-7 Rivers Data'!$B$2:$G$8,2,FALSE))</f>
        <v/>
      </c>
      <c r="S233" s="499" t="str">
        <f>IFERROR(VLOOKUP(R233,'G-7 Rivers Data'!$C$4:$D$8,2,FALSE),"")</f>
        <v/>
      </c>
      <c r="T233" s="145"/>
      <c r="U233" s="499" t="str">
        <f>IFERROR(INDEX('G-7 Rivers Data'!$H$4:$L$8,MATCH(N233,'G-7 Rivers Data'!$B$4:$B$8,0),MATCH(T233,'G-7 Rivers Data'!$H$3:$L$3,0)),"")</f>
        <v/>
      </c>
      <c r="V233" s="154"/>
      <c r="W233" s="520" t="str">
        <f>IF(V233="","",IF(VLOOKUP(V233,'G-7 Rivers Data'!$AG$4:$AI$9,2,FALSE)=0,"Spatial Data Missing ⚠",VLOOKUP(V233,'G-7 Rivers Data'!$AG$4:$AI$9,2,FALSE)))</f>
        <v/>
      </c>
      <c r="X233" s="524" t="str">
        <f>IF(V233="","",IF(VLOOKUP(V233,'G-7 Rivers Data'!$AG$4:$AI$9,3,FALSE)=0,"Spatial Data Missing ⚠",VLOOKUP(V233,'G-7 Rivers Data'!$AG$4:$AI$9,3,FALSE)))</f>
        <v/>
      </c>
      <c r="Y233" s="537" t="str">
        <f>IFERROR(IF(OR(LEFT(P233,5)="Error ▲",LEFT(O233,5)="Error ▲"),"Check Data ⚠",IF(F233&lt;S233,'G-7 Rivers Data'!$R$3,INDEX('G-7 Rivers Data'!$U$5:$Y$9,MATCH(G233,'G-7 Rivers Data'!$T$5:$T$9,0),MATCH(T233,'G-7 Rivers Data'!$U$4:$Y$4,0)))),"")</f>
        <v/>
      </c>
      <c r="Z233" s="203"/>
      <c r="AA233" s="203"/>
      <c r="AB233" s="534" t="str">
        <f t="shared" si="24"/>
        <v/>
      </c>
      <c r="AC233" s="521" t="str">
        <f t="shared" si="25"/>
        <v/>
      </c>
      <c r="AD233" s="564" t="str">
        <f>IFERROR(IF(AC233="Check Data ⚠","Check Data ⚠",VLOOKUP(AC233,'G-4 Temporal multipliers'!$A$4:$C$37,3,FALSE)),"")</f>
        <v/>
      </c>
      <c r="AE233" s="537" t="str">
        <f>IF(N233="","",VLOOKUP(N233,'G-7 Rivers Data'!$B$4:$G$8,5,FALSE))</f>
        <v/>
      </c>
      <c r="AF233" s="520" t="str">
        <f t="shared" si="26"/>
        <v/>
      </c>
      <c r="AG233" s="520" t="str">
        <f t="shared" si="30"/>
        <v/>
      </c>
      <c r="AH233" s="524" t="str">
        <f t="shared" si="27"/>
        <v/>
      </c>
      <c r="AI233" s="145"/>
      <c r="AJ233" s="499" t="str">
        <f>IF(AI233="","",IF(VLOOKUP(AI233,'G-7 Rivers Data'!$AA$4:$AB$7,2,FALSE)=0,"Spatial Data Missing ⚠",VLOOKUP(AI233,'G-7 Rivers Data'!$AA$4:$AB$7,2,FALSE)))</f>
        <v/>
      </c>
      <c r="AK233" s="155"/>
      <c r="AL233" s="536" t="str">
        <f>IF(AK233="","",IF(VLOOKUP(AK233,'G-7 Rivers Data'!$AD$4:$AE$8,2,FALSE)=0,"Spatial Data Missing ⚠",VLOOKUP(AK233,'G-7 Rivers Data'!$AD$4:$AE$8,2,FALSE)))</f>
        <v/>
      </c>
      <c r="AM233" s="154"/>
      <c r="AN233" s="524" t="str">
        <f>IF(AM233="","",VLOOKUP(AM233,'G-7 Rivers Data'!$AO$4:$AP$7,2,FALSE))</f>
        <v/>
      </c>
      <c r="AO233" s="545" t="str">
        <f t="shared" si="31"/>
        <v/>
      </c>
      <c r="AP233" s="149"/>
      <c r="AQ233" s="150"/>
      <c r="AX233" s="31" t="str">
        <f>IFERROR(INDEX('G-7 Rivers Data'!$AZ$3:$AZ$7,MATCH(N233,'G-7 Rivers Data'!$AY$3:$AY$7,0)),"")</f>
        <v/>
      </c>
    </row>
    <row r="234" spans="2:50" ht="14" x14ac:dyDescent="0.3">
      <c r="B234" s="531" t="str">
        <f>'F-1 Off Site River Baseline'!AN232</f>
        <v/>
      </c>
      <c r="C234" s="520" t="str">
        <f>IF(B234="","",VLOOKUP($B234,'F-1 Off Site River Baseline'!$C$9:$R$257,2,FALSE))</f>
        <v/>
      </c>
      <c r="D234" s="520" t="str">
        <f>IF(C234="","",VLOOKUP($B234,'F-1 Off Site River Baseline'!$C$9:$R$257,3,FALSE))</f>
        <v/>
      </c>
      <c r="E234" s="520" t="str">
        <f>IF(D234="","",VLOOKUP($B234,'F-1 Off Site River Baseline'!$C$9:$R$257,4,FALSE))</f>
        <v/>
      </c>
      <c r="F234" s="520" t="str">
        <f>IF(E234="","",VLOOKUP($B234,'F-1 Off Site River Baseline'!$C$9:$R$257,5,FALSE))</f>
        <v/>
      </c>
      <c r="G234" s="520" t="str">
        <f>IF(F234="","",VLOOKUP($B234,'F-1 Off Site River Baseline'!$C$9:$R$257,6,FALSE))</f>
        <v/>
      </c>
      <c r="H234" s="520" t="str">
        <f>IF(G234="","",VLOOKUP($B234,'F-1 Off Site River Baseline'!$C$9:$R$257,7,FALSE))</f>
        <v/>
      </c>
      <c r="I234" s="520" t="str">
        <f>IF(H234="","",VLOOKUP($B234,'F-1 Off Site River Baseline'!$C$9:$R$257,8,FALSE))</f>
        <v/>
      </c>
      <c r="J234" s="520" t="str">
        <f>IF(I234="","",VLOOKUP($B234,'F-1 Off Site River Baseline'!$C$9:$R$257,9,FALSE))</f>
        <v/>
      </c>
      <c r="K234" s="520" t="str">
        <f>IF(J234="","",VLOOKUP($B234,'F-1 Off Site River Baseline'!$C$9:$R$257,10,FALSE))</f>
        <v/>
      </c>
      <c r="L234" s="520" t="str">
        <f>IF(B234="","",VLOOKUP($B234,'C-1 Site River Baseline'!$C$9:$R$257,15,FALSE))</f>
        <v/>
      </c>
      <c r="M234" s="524" t="str">
        <f>IF(L234="","",VLOOKUP($B234,'F-1 Off Site River Baseline'!$C$9:$R$257,16,FALSE))</f>
        <v/>
      </c>
      <c r="N234" s="418" t="str">
        <f t="shared" si="28"/>
        <v/>
      </c>
      <c r="O234" s="498" t="str">
        <f t="shared" si="29"/>
        <v/>
      </c>
      <c r="P234" s="499" t="str">
        <f>IF(C234="","",IF(AND(LEFT(C234,55)&lt;&gt;LEFT(N234,55),O234="High - High"),"Error - Not like for like ▲",IF(AND(F234=S234,H234&gt;U234),"Error - Can not reduce condition ▲",IF(AND(F234=S234,H234=U234,AJ234='F-1 Off Site River Baseline'!N232,'F-1 Off Site River Baseline'!P232=AL234),"Error - No enhancement ▲",IF(AND(C234&lt;&gt;N234,F234&lt;S234),"Lower Distinctiveness Habitat"&amp;" - "&amp;T234,G234&amp;" - "&amp;T234)))))</f>
        <v/>
      </c>
      <c r="Q234" s="505" t="str">
        <f>IF(N234="","",VLOOKUP(B234,'F-1 Off Site River Baseline'!$C$10:$AA$257,19,FALSE))</f>
        <v/>
      </c>
      <c r="R234" s="498" t="str">
        <f>IF(N234="","",VLOOKUP(N234,'G-7 Rivers Data'!$B$2:$G$8,2,FALSE))</f>
        <v/>
      </c>
      <c r="S234" s="499" t="str">
        <f>IFERROR(VLOOKUP(R234,'G-7 Rivers Data'!$C$4:$D$8,2,FALSE),"")</f>
        <v/>
      </c>
      <c r="T234" s="145"/>
      <c r="U234" s="499" t="str">
        <f>IFERROR(INDEX('G-7 Rivers Data'!$H$4:$L$8,MATCH(N234,'G-7 Rivers Data'!$B$4:$B$8,0),MATCH(T234,'G-7 Rivers Data'!$H$3:$L$3,0)),"")</f>
        <v/>
      </c>
      <c r="V234" s="154"/>
      <c r="W234" s="520" t="str">
        <f>IF(V234="","",IF(VLOOKUP(V234,'G-7 Rivers Data'!$AG$4:$AI$9,2,FALSE)=0,"Spatial Data Missing ⚠",VLOOKUP(V234,'G-7 Rivers Data'!$AG$4:$AI$9,2,FALSE)))</f>
        <v/>
      </c>
      <c r="X234" s="524" t="str">
        <f>IF(V234="","",IF(VLOOKUP(V234,'G-7 Rivers Data'!$AG$4:$AI$9,3,FALSE)=0,"Spatial Data Missing ⚠",VLOOKUP(V234,'G-7 Rivers Data'!$AG$4:$AI$9,3,FALSE)))</f>
        <v/>
      </c>
      <c r="Y234" s="537" t="str">
        <f>IFERROR(IF(OR(LEFT(P234,5)="Error ▲",LEFT(O234,5)="Error ▲"),"Check Data ⚠",IF(F234&lt;S234,'G-7 Rivers Data'!$R$3,INDEX('G-7 Rivers Data'!$U$5:$Y$9,MATCH(G234,'G-7 Rivers Data'!$T$5:$T$9,0),MATCH(T234,'G-7 Rivers Data'!$U$4:$Y$4,0)))),"")</f>
        <v/>
      </c>
      <c r="Z234" s="203"/>
      <c r="AA234" s="203"/>
      <c r="AB234" s="534" t="str">
        <f t="shared" si="24"/>
        <v/>
      </c>
      <c r="AC234" s="521" t="str">
        <f t="shared" si="25"/>
        <v/>
      </c>
      <c r="AD234" s="564" t="str">
        <f>IFERROR(IF(AC234="Check Data ⚠","Check Data ⚠",VLOOKUP(AC234,'G-4 Temporal multipliers'!$A$4:$C$37,3,FALSE)),"")</f>
        <v/>
      </c>
      <c r="AE234" s="537" t="str">
        <f>IF(N234="","",VLOOKUP(N234,'G-7 Rivers Data'!$B$4:$G$8,5,FALSE))</f>
        <v/>
      </c>
      <c r="AF234" s="520" t="str">
        <f t="shared" si="26"/>
        <v/>
      </c>
      <c r="AG234" s="520" t="str">
        <f t="shared" si="30"/>
        <v/>
      </c>
      <c r="AH234" s="524" t="str">
        <f t="shared" si="27"/>
        <v/>
      </c>
      <c r="AI234" s="145"/>
      <c r="AJ234" s="499" t="str">
        <f>IF(AI234="","",IF(VLOOKUP(AI234,'G-7 Rivers Data'!$AA$4:$AB$7,2,FALSE)=0,"Spatial Data Missing ⚠",VLOOKUP(AI234,'G-7 Rivers Data'!$AA$4:$AB$7,2,FALSE)))</f>
        <v/>
      </c>
      <c r="AK234" s="155"/>
      <c r="AL234" s="536" t="str">
        <f>IF(AK234="","",IF(VLOOKUP(AK234,'G-7 Rivers Data'!$AD$4:$AE$8,2,FALSE)=0,"Spatial Data Missing ⚠",VLOOKUP(AK234,'G-7 Rivers Data'!$AD$4:$AE$8,2,FALSE)))</f>
        <v/>
      </c>
      <c r="AM234" s="154"/>
      <c r="AN234" s="524" t="str">
        <f>IF(AM234="","",VLOOKUP(AM234,'G-7 Rivers Data'!$AO$4:$AP$7,2,FALSE))</f>
        <v/>
      </c>
      <c r="AO234" s="545" t="str">
        <f t="shared" si="31"/>
        <v/>
      </c>
      <c r="AP234" s="149"/>
      <c r="AQ234" s="150"/>
      <c r="AX234" s="31" t="str">
        <f>IFERROR(INDEX('G-7 Rivers Data'!$AZ$3:$AZ$7,MATCH(N234,'G-7 Rivers Data'!$AY$3:$AY$7,0)),"")</f>
        <v/>
      </c>
    </row>
    <row r="235" spans="2:50" ht="14" x14ac:dyDescent="0.3">
      <c r="B235" s="531" t="str">
        <f>'F-1 Off Site River Baseline'!AN233</f>
        <v/>
      </c>
      <c r="C235" s="520" t="str">
        <f>IF(B235="","",VLOOKUP($B235,'F-1 Off Site River Baseline'!$C$9:$R$257,2,FALSE))</f>
        <v/>
      </c>
      <c r="D235" s="520" t="str">
        <f>IF(C235="","",VLOOKUP($B235,'F-1 Off Site River Baseline'!$C$9:$R$257,3,FALSE))</f>
        <v/>
      </c>
      <c r="E235" s="520" t="str">
        <f>IF(D235="","",VLOOKUP($B235,'F-1 Off Site River Baseline'!$C$9:$R$257,4,FALSE))</f>
        <v/>
      </c>
      <c r="F235" s="520" t="str">
        <f>IF(E235="","",VLOOKUP($B235,'F-1 Off Site River Baseline'!$C$9:$R$257,5,FALSE))</f>
        <v/>
      </c>
      <c r="G235" s="520" t="str">
        <f>IF(F235="","",VLOOKUP($B235,'F-1 Off Site River Baseline'!$C$9:$R$257,6,FALSE))</f>
        <v/>
      </c>
      <c r="H235" s="520" t="str">
        <f>IF(G235="","",VLOOKUP($B235,'F-1 Off Site River Baseline'!$C$9:$R$257,7,FALSE))</f>
        <v/>
      </c>
      <c r="I235" s="520" t="str">
        <f>IF(H235="","",VLOOKUP($B235,'F-1 Off Site River Baseline'!$C$9:$R$257,8,FALSE))</f>
        <v/>
      </c>
      <c r="J235" s="520" t="str">
        <f>IF(I235="","",VLOOKUP($B235,'F-1 Off Site River Baseline'!$C$9:$R$257,9,FALSE))</f>
        <v/>
      </c>
      <c r="K235" s="520" t="str">
        <f>IF(J235="","",VLOOKUP($B235,'F-1 Off Site River Baseline'!$C$9:$R$257,10,FALSE))</f>
        <v/>
      </c>
      <c r="L235" s="520" t="str">
        <f>IF(B235="","",VLOOKUP($B235,'C-1 Site River Baseline'!$C$9:$R$257,15,FALSE))</f>
        <v/>
      </c>
      <c r="M235" s="524" t="str">
        <f>IF(L235="","",VLOOKUP($B235,'F-1 Off Site River Baseline'!$C$9:$R$257,16,FALSE))</f>
        <v/>
      </c>
      <c r="N235" s="418" t="str">
        <f t="shared" si="28"/>
        <v/>
      </c>
      <c r="O235" s="498" t="str">
        <f t="shared" si="29"/>
        <v/>
      </c>
      <c r="P235" s="499" t="str">
        <f>IF(C235="","",IF(AND(LEFT(C235,55)&lt;&gt;LEFT(N235,55),O235="High - High"),"Error - Not like for like ▲",IF(AND(F235=S235,H235&gt;U235),"Error - Can not reduce condition ▲",IF(AND(F235=S235,H235=U235,AJ235='F-1 Off Site River Baseline'!N233,'F-1 Off Site River Baseline'!P233=AL235),"Error - No enhancement ▲",IF(AND(C235&lt;&gt;N235,F235&lt;S235),"Lower Distinctiveness Habitat"&amp;" - "&amp;T235,G235&amp;" - "&amp;T235)))))</f>
        <v/>
      </c>
      <c r="Q235" s="505" t="str">
        <f>IF(N235="","",VLOOKUP(B235,'F-1 Off Site River Baseline'!$C$10:$AA$257,19,FALSE))</f>
        <v/>
      </c>
      <c r="R235" s="498" t="str">
        <f>IF(N235="","",VLOOKUP(N235,'G-7 Rivers Data'!$B$2:$G$8,2,FALSE))</f>
        <v/>
      </c>
      <c r="S235" s="499" t="str">
        <f>IFERROR(VLOOKUP(R235,'G-7 Rivers Data'!$C$4:$D$8,2,FALSE),"")</f>
        <v/>
      </c>
      <c r="T235" s="145"/>
      <c r="U235" s="499" t="str">
        <f>IFERROR(INDEX('G-7 Rivers Data'!$H$4:$L$8,MATCH(N235,'G-7 Rivers Data'!$B$4:$B$8,0),MATCH(T235,'G-7 Rivers Data'!$H$3:$L$3,0)),"")</f>
        <v/>
      </c>
      <c r="V235" s="154"/>
      <c r="W235" s="520" t="str">
        <f>IF(V235="","",IF(VLOOKUP(V235,'G-7 Rivers Data'!$AG$4:$AI$9,2,FALSE)=0,"Spatial Data Missing ⚠",VLOOKUP(V235,'G-7 Rivers Data'!$AG$4:$AI$9,2,FALSE)))</f>
        <v/>
      </c>
      <c r="X235" s="524" t="str">
        <f>IF(V235="","",IF(VLOOKUP(V235,'G-7 Rivers Data'!$AG$4:$AI$9,3,FALSE)=0,"Spatial Data Missing ⚠",VLOOKUP(V235,'G-7 Rivers Data'!$AG$4:$AI$9,3,FALSE)))</f>
        <v/>
      </c>
      <c r="Y235" s="537" t="str">
        <f>IFERROR(IF(OR(LEFT(P235,5)="Error ▲",LEFT(O235,5)="Error ▲"),"Check Data ⚠",IF(F235&lt;S235,'G-7 Rivers Data'!$R$3,INDEX('G-7 Rivers Data'!$U$5:$Y$9,MATCH(G235,'G-7 Rivers Data'!$T$5:$T$9,0),MATCH(T235,'G-7 Rivers Data'!$U$4:$Y$4,0)))),"")</f>
        <v/>
      </c>
      <c r="Z235" s="203"/>
      <c r="AA235" s="203"/>
      <c r="AB235" s="534" t="str">
        <f t="shared" si="24"/>
        <v/>
      </c>
      <c r="AC235" s="521" t="str">
        <f t="shared" si="25"/>
        <v/>
      </c>
      <c r="AD235" s="564" t="str">
        <f>IFERROR(IF(AC235="Check Data ⚠","Check Data ⚠",VLOOKUP(AC235,'G-4 Temporal multipliers'!$A$4:$C$37,3,FALSE)),"")</f>
        <v/>
      </c>
      <c r="AE235" s="537" t="str">
        <f>IF(N235="","",VLOOKUP(N235,'G-7 Rivers Data'!$B$4:$G$8,5,FALSE))</f>
        <v/>
      </c>
      <c r="AF235" s="520" t="str">
        <f t="shared" si="26"/>
        <v/>
      </c>
      <c r="AG235" s="520" t="str">
        <f t="shared" si="30"/>
        <v/>
      </c>
      <c r="AH235" s="524" t="str">
        <f t="shared" si="27"/>
        <v/>
      </c>
      <c r="AI235" s="145"/>
      <c r="AJ235" s="499" t="str">
        <f>IF(AI235="","",IF(VLOOKUP(AI235,'G-7 Rivers Data'!$AA$4:$AB$7,2,FALSE)=0,"Spatial Data Missing ⚠",VLOOKUP(AI235,'G-7 Rivers Data'!$AA$4:$AB$7,2,FALSE)))</f>
        <v/>
      </c>
      <c r="AK235" s="155"/>
      <c r="AL235" s="536" t="str">
        <f>IF(AK235="","",IF(VLOOKUP(AK235,'G-7 Rivers Data'!$AD$4:$AE$8,2,FALSE)=0,"Spatial Data Missing ⚠",VLOOKUP(AK235,'G-7 Rivers Data'!$AD$4:$AE$8,2,FALSE)))</f>
        <v/>
      </c>
      <c r="AM235" s="154"/>
      <c r="AN235" s="524" t="str">
        <f>IF(AM235="","",VLOOKUP(AM235,'G-7 Rivers Data'!$AO$4:$AP$7,2,FALSE))</f>
        <v/>
      </c>
      <c r="AO235" s="545" t="str">
        <f t="shared" si="31"/>
        <v/>
      </c>
      <c r="AP235" s="149"/>
      <c r="AQ235" s="150"/>
      <c r="AX235" s="31" t="str">
        <f>IFERROR(INDEX('G-7 Rivers Data'!$AZ$3:$AZ$7,MATCH(N235,'G-7 Rivers Data'!$AY$3:$AY$7,0)),"")</f>
        <v/>
      </c>
    </row>
    <row r="236" spans="2:50" ht="14" x14ac:dyDescent="0.3">
      <c r="B236" s="531" t="str">
        <f>'F-1 Off Site River Baseline'!AN234</f>
        <v/>
      </c>
      <c r="C236" s="520" t="str">
        <f>IF(B236="","",VLOOKUP($B236,'F-1 Off Site River Baseline'!$C$9:$R$257,2,FALSE))</f>
        <v/>
      </c>
      <c r="D236" s="520" t="str">
        <f>IF(C236="","",VLOOKUP($B236,'F-1 Off Site River Baseline'!$C$9:$R$257,3,FALSE))</f>
        <v/>
      </c>
      <c r="E236" s="520" t="str">
        <f>IF(D236="","",VLOOKUP($B236,'F-1 Off Site River Baseline'!$C$9:$R$257,4,FALSE))</f>
        <v/>
      </c>
      <c r="F236" s="520" t="str">
        <f>IF(E236="","",VLOOKUP($B236,'F-1 Off Site River Baseline'!$C$9:$R$257,5,FALSE))</f>
        <v/>
      </c>
      <c r="G236" s="520" t="str">
        <f>IF(F236="","",VLOOKUP($B236,'F-1 Off Site River Baseline'!$C$9:$R$257,6,FALSE))</f>
        <v/>
      </c>
      <c r="H236" s="520" t="str">
        <f>IF(G236="","",VLOOKUP($B236,'F-1 Off Site River Baseline'!$C$9:$R$257,7,FALSE))</f>
        <v/>
      </c>
      <c r="I236" s="520" t="str">
        <f>IF(H236="","",VLOOKUP($B236,'F-1 Off Site River Baseline'!$C$9:$R$257,8,FALSE))</f>
        <v/>
      </c>
      <c r="J236" s="520" t="str">
        <f>IF(I236="","",VLOOKUP($B236,'F-1 Off Site River Baseline'!$C$9:$R$257,9,FALSE))</f>
        <v/>
      </c>
      <c r="K236" s="520" t="str">
        <f>IF(J236="","",VLOOKUP($B236,'F-1 Off Site River Baseline'!$C$9:$R$257,10,FALSE))</f>
        <v/>
      </c>
      <c r="L236" s="520" t="str">
        <f>IF(B236="","",VLOOKUP($B236,'C-1 Site River Baseline'!$C$9:$R$257,15,FALSE))</f>
        <v/>
      </c>
      <c r="M236" s="524" t="str">
        <f>IF(L236="","",VLOOKUP($B236,'F-1 Off Site River Baseline'!$C$9:$R$257,16,FALSE))</f>
        <v/>
      </c>
      <c r="N236" s="418" t="str">
        <f t="shared" si="28"/>
        <v/>
      </c>
      <c r="O236" s="498" t="str">
        <f t="shared" si="29"/>
        <v/>
      </c>
      <c r="P236" s="499" t="str">
        <f>IF(C236="","",IF(AND(LEFT(C236,55)&lt;&gt;LEFT(N236,55),O236="High - High"),"Error - Not like for like ▲",IF(AND(F236=S236,H236&gt;U236),"Error - Can not reduce condition ▲",IF(AND(F236=S236,H236=U236,AJ236='F-1 Off Site River Baseline'!N234,'F-1 Off Site River Baseline'!P234=AL236),"Error - No enhancement ▲",IF(AND(C236&lt;&gt;N236,F236&lt;S236),"Lower Distinctiveness Habitat"&amp;" - "&amp;T236,G236&amp;" - "&amp;T236)))))</f>
        <v/>
      </c>
      <c r="Q236" s="505" t="str">
        <f>IF(N236="","",VLOOKUP(B236,'F-1 Off Site River Baseline'!$C$10:$AA$257,19,FALSE))</f>
        <v/>
      </c>
      <c r="R236" s="498" t="str">
        <f>IF(N236="","",VLOOKUP(N236,'G-7 Rivers Data'!$B$2:$G$8,2,FALSE))</f>
        <v/>
      </c>
      <c r="S236" s="499" t="str">
        <f>IFERROR(VLOOKUP(R236,'G-7 Rivers Data'!$C$4:$D$8,2,FALSE),"")</f>
        <v/>
      </c>
      <c r="T236" s="145"/>
      <c r="U236" s="499" t="str">
        <f>IFERROR(INDEX('G-7 Rivers Data'!$H$4:$L$8,MATCH(N236,'G-7 Rivers Data'!$B$4:$B$8,0),MATCH(T236,'G-7 Rivers Data'!$H$3:$L$3,0)),"")</f>
        <v/>
      </c>
      <c r="V236" s="154"/>
      <c r="W236" s="520" t="str">
        <f>IF(V236="","",IF(VLOOKUP(V236,'G-7 Rivers Data'!$AG$4:$AI$9,2,FALSE)=0,"Spatial Data Missing ⚠",VLOOKUP(V236,'G-7 Rivers Data'!$AG$4:$AI$9,2,FALSE)))</f>
        <v/>
      </c>
      <c r="X236" s="524" t="str">
        <f>IF(V236="","",IF(VLOOKUP(V236,'G-7 Rivers Data'!$AG$4:$AI$9,3,FALSE)=0,"Spatial Data Missing ⚠",VLOOKUP(V236,'G-7 Rivers Data'!$AG$4:$AI$9,3,FALSE)))</f>
        <v/>
      </c>
      <c r="Y236" s="537" t="str">
        <f>IFERROR(IF(OR(LEFT(P236,5)="Error ▲",LEFT(O236,5)="Error ▲"),"Check Data ⚠",IF(F236&lt;S236,'G-7 Rivers Data'!$R$3,INDEX('G-7 Rivers Data'!$U$5:$Y$9,MATCH(G236,'G-7 Rivers Data'!$T$5:$T$9,0),MATCH(T236,'G-7 Rivers Data'!$U$4:$Y$4,0)))),"")</f>
        <v/>
      </c>
      <c r="Z236" s="203"/>
      <c r="AA236" s="203"/>
      <c r="AB236" s="534" t="str">
        <f t="shared" si="24"/>
        <v/>
      </c>
      <c r="AC236" s="521" t="str">
        <f t="shared" si="25"/>
        <v/>
      </c>
      <c r="AD236" s="564" t="str">
        <f>IFERROR(IF(AC236="Check Data ⚠","Check Data ⚠",VLOOKUP(AC236,'G-4 Temporal multipliers'!$A$4:$C$37,3,FALSE)),"")</f>
        <v/>
      </c>
      <c r="AE236" s="537" t="str">
        <f>IF(N236="","",VLOOKUP(N236,'G-7 Rivers Data'!$B$4:$G$8,5,FALSE))</f>
        <v/>
      </c>
      <c r="AF236" s="520" t="str">
        <f t="shared" si="26"/>
        <v/>
      </c>
      <c r="AG236" s="520" t="str">
        <f t="shared" si="30"/>
        <v/>
      </c>
      <c r="AH236" s="524" t="str">
        <f t="shared" si="27"/>
        <v/>
      </c>
      <c r="AI236" s="145"/>
      <c r="AJ236" s="499" t="str">
        <f>IF(AI236="","",IF(VLOOKUP(AI236,'G-7 Rivers Data'!$AA$4:$AB$7,2,FALSE)=0,"Spatial Data Missing ⚠",VLOOKUP(AI236,'G-7 Rivers Data'!$AA$4:$AB$7,2,FALSE)))</f>
        <v/>
      </c>
      <c r="AK236" s="155"/>
      <c r="AL236" s="536" t="str">
        <f>IF(AK236="","",IF(VLOOKUP(AK236,'G-7 Rivers Data'!$AD$4:$AE$8,2,FALSE)=0,"Spatial Data Missing ⚠",VLOOKUP(AK236,'G-7 Rivers Data'!$AD$4:$AE$8,2,FALSE)))</f>
        <v/>
      </c>
      <c r="AM236" s="154"/>
      <c r="AN236" s="524" t="str">
        <f>IF(AM236="","",VLOOKUP(AM236,'G-7 Rivers Data'!$AO$4:$AP$7,2,FALSE))</f>
        <v/>
      </c>
      <c r="AO236" s="545" t="str">
        <f t="shared" si="31"/>
        <v/>
      </c>
      <c r="AP236" s="149"/>
      <c r="AQ236" s="150"/>
      <c r="AX236" s="31" t="str">
        <f>IFERROR(INDEX('G-7 Rivers Data'!$AZ$3:$AZ$7,MATCH(N236,'G-7 Rivers Data'!$AY$3:$AY$7,0)),"")</f>
        <v/>
      </c>
    </row>
    <row r="237" spans="2:50" ht="14" x14ac:dyDescent="0.3">
      <c r="B237" s="531" t="str">
        <f>'F-1 Off Site River Baseline'!AN235</f>
        <v/>
      </c>
      <c r="C237" s="520" t="str">
        <f>IF(B237="","",VLOOKUP($B237,'F-1 Off Site River Baseline'!$C$9:$R$257,2,FALSE))</f>
        <v/>
      </c>
      <c r="D237" s="520" t="str">
        <f>IF(C237="","",VLOOKUP($B237,'F-1 Off Site River Baseline'!$C$9:$R$257,3,FALSE))</f>
        <v/>
      </c>
      <c r="E237" s="520" t="str">
        <f>IF(D237="","",VLOOKUP($B237,'F-1 Off Site River Baseline'!$C$9:$R$257,4,FALSE))</f>
        <v/>
      </c>
      <c r="F237" s="520" t="str">
        <f>IF(E237="","",VLOOKUP($B237,'F-1 Off Site River Baseline'!$C$9:$R$257,5,FALSE))</f>
        <v/>
      </c>
      <c r="G237" s="520" t="str">
        <f>IF(F237="","",VLOOKUP($B237,'F-1 Off Site River Baseline'!$C$9:$R$257,6,FALSE))</f>
        <v/>
      </c>
      <c r="H237" s="520" t="str">
        <f>IF(G237="","",VLOOKUP($B237,'F-1 Off Site River Baseline'!$C$9:$R$257,7,FALSE))</f>
        <v/>
      </c>
      <c r="I237" s="520" t="str">
        <f>IF(H237="","",VLOOKUP($B237,'F-1 Off Site River Baseline'!$C$9:$R$257,8,FALSE))</f>
        <v/>
      </c>
      <c r="J237" s="520" t="str">
        <f>IF(I237="","",VLOOKUP($B237,'F-1 Off Site River Baseline'!$C$9:$R$257,9,FALSE))</f>
        <v/>
      </c>
      <c r="K237" s="520" t="str">
        <f>IF(J237="","",VLOOKUP($B237,'F-1 Off Site River Baseline'!$C$9:$R$257,10,FALSE))</f>
        <v/>
      </c>
      <c r="L237" s="520" t="str">
        <f>IF(B237="","",VLOOKUP($B237,'C-1 Site River Baseline'!$C$9:$R$257,15,FALSE))</f>
        <v/>
      </c>
      <c r="M237" s="524" t="str">
        <f>IF(L237="","",VLOOKUP($B237,'F-1 Off Site River Baseline'!$C$9:$R$257,16,FALSE))</f>
        <v/>
      </c>
      <c r="N237" s="418" t="str">
        <f t="shared" si="28"/>
        <v/>
      </c>
      <c r="O237" s="498" t="str">
        <f t="shared" si="29"/>
        <v/>
      </c>
      <c r="P237" s="499" t="str">
        <f>IF(C237="","",IF(AND(LEFT(C237,55)&lt;&gt;LEFT(N237,55),O237="High - High"),"Error - Not like for like ▲",IF(AND(F237=S237,H237&gt;U237),"Error - Can not reduce condition ▲",IF(AND(F237=S237,H237=U237,AJ237='F-1 Off Site River Baseline'!N235,'F-1 Off Site River Baseline'!P235=AL237),"Error - No enhancement ▲",IF(AND(C237&lt;&gt;N237,F237&lt;S237),"Lower Distinctiveness Habitat"&amp;" - "&amp;T237,G237&amp;" - "&amp;T237)))))</f>
        <v/>
      </c>
      <c r="Q237" s="505" t="str">
        <f>IF(N237="","",VLOOKUP(B237,'F-1 Off Site River Baseline'!$C$10:$AA$257,19,FALSE))</f>
        <v/>
      </c>
      <c r="R237" s="498" t="str">
        <f>IF(N237="","",VLOOKUP(N237,'G-7 Rivers Data'!$B$2:$G$8,2,FALSE))</f>
        <v/>
      </c>
      <c r="S237" s="499" t="str">
        <f>IFERROR(VLOOKUP(R237,'G-7 Rivers Data'!$C$4:$D$8,2,FALSE),"")</f>
        <v/>
      </c>
      <c r="T237" s="145"/>
      <c r="U237" s="499" t="str">
        <f>IFERROR(INDEX('G-7 Rivers Data'!$H$4:$L$8,MATCH(N237,'G-7 Rivers Data'!$B$4:$B$8,0),MATCH(T237,'G-7 Rivers Data'!$H$3:$L$3,0)),"")</f>
        <v/>
      </c>
      <c r="V237" s="154"/>
      <c r="W237" s="520" t="str">
        <f>IF(V237="","",IF(VLOOKUP(V237,'G-7 Rivers Data'!$AG$4:$AI$9,2,FALSE)=0,"Spatial Data Missing ⚠",VLOOKUP(V237,'G-7 Rivers Data'!$AG$4:$AI$9,2,FALSE)))</f>
        <v/>
      </c>
      <c r="X237" s="524" t="str">
        <f>IF(V237="","",IF(VLOOKUP(V237,'G-7 Rivers Data'!$AG$4:$AI$9,3,FALSE)=0,"Spatial Data Missing ⚠",VLOOKUP(V237,'G-7 Rivers Data'!$AG$4:$AI$9,3,FALSE)))</f>
        <v/>
      </c>
      <c r="Y237" s="537" t="str">
        <f>IFERROR(IF(OR(LEFT(P237,5)="Error ▲",LEFT(O237,5)="Error ▲"),"Check Data ⚠",IF(F237&lt;S237,'G-7 Rivers Data'!$R$3,INDEX('G-7 Rivers Data'!$U$5:$Y$9,MATCH(G237,'G-7 Rivers Data'!$T$5:$T$9,0),MATCH(T237,'G-7 Rivers Data'!$U$4:$Y$4,0)))),"")</f>
        <v/>
      </c>
      <c r="Z237" s="203"/>
      <c r="AA237" s="203"/>
      <c r="AB237" s="534" t="str">
        <f t="shared" si="24"/>
        <v/>
      </c>
      <c r="AC237" s="521" t="str">
        <f t="shared" si="25"/>
        <v/>
      </c>
      <c r="AD237" s="564" t="str">
        <f>IFERROR(IF(AC237="Check Data ⚠","Check Data ⚠",VLOOKUP(AC237,'G-4 Temporal multipliers'!$A$4:$C$37,3,FALSE)),"")</f>
        <v/>
      </c>
      <c r="AE237" s="537" t="str">
        <f>IF(N237="","",VLOOKUP(N237,'G-7 Rivers Data'!$B$4:$G$8,5,FALSE))</f>
        <v/>
      </c>
      <c r="AF237" s="520" t="str">
        <f t="shared" si="26"/>
        <v/>
      </c>
      <c r="AG237" s="520" t="str">
        <f t="shared" si="30"/>
        <v/>
      </c>
      <c r="AH237" s="524" t="str">
        <f t="shared" si="27"/>
        <v/>
      </c>
      <c r="AI237" s="145"/>
      <c r="AJ237" s="499" t="str">
        <f>IF(AI237="","",IF(VLOOKUP(AI237,'G-7 Rivers Data'!$AA$4:$AB$7,2,FALSE)=0,"Spatial Data Missing ⚠",VLOOKUP(AI237,'G-7 Rivers Data'!$AA$4:$AB$7,2,FALSE)))</f>
        <v/>
      </c>
      <c r="AK237" s="155"/>
      <c r="AL237" s="536" t="str">
        <f>IF(AK237="","",IF(VLOOKUP(AK237,'G-7 Rivers Data'!$AD$4:$AE$8,2,FALSE)=0,"Spatial Data Missing ⚠",VLOOKUP(AK237,'G-7 Rivers Data'!$AD$4:$AE$8,2,FALSE)))</f>
        <v/>
      </c>
      <c r="AM237" s="154"/>
      <c r="AN237" s="524" t="str">
        <f>IF(AM237="","",VLOOKUP(AM237,'G-7 Rivers Data'!$AO$4:$AP$7,2,FALSE))</f>
        <v/>
      </c>
      <c r="AO237" s="545" t="str">
        <f t="shared" si="31"/>
        <v/>
      </c>
      <c r="AP237" s="149"/>
      <c r="AQ237" s="150"/>
      <c r="AX237" s="31" t="str">
        <f>IFERROR(INDEX('G-7 Rivers Data'!$AZ$3:$AZ$7,MATCH(N237,'G-7 Rivers Data'!$AY$3:$AY$7,0)),"")</f>
        <v/>
      </c>
    </row>
    <row r="238" spans="2:50" ht="14" x14ac:dyDescent="0.3">
      <c r="B238" s="531" t="str">
        <f>'F-1 Off Site River Baseline'!AN236</f>
        <v/>
      </c>
      <c r="C238" s="520" t="str">
        <f>IF(B238="","",VLOOKUP($B238,'F-1 Off Site River Baseline'!$C$9:$R$257,2,FALSE))</f>
        <v/>
      </c>
      <c r="D238" s="520" t="str">
        <f>IF(C238="","",VLOOKUP($B238,'F-1 Off Site River Baseline'!$C$9:$R$257,3,FALSE))</f>
        <v/>
      </c>
      <c r="E238" s="520" t="str">
        <f>IF(D238="","",VLOOKUP($B238,'F-1 Off Site River Baseline'!$C$9:$R$257,4,FALSE))</f>
        <v/>
      </c>
      <c r="F238" s="520" t="str">
        <f>IF(E238="","",VLOOKUP($B238,'F-1 Off Site River Baseline'!$C$9:$R$257,5,FALSE))</f>
        <v/>
      </c>
      <c r="G238" s="520" t="str">
        <f>IF(F238="","",VLOOKUP($B238,'F-1 Off Site River Baseline'!$C$9:$R$257,6,FALSE))</f>
        <v/>
      </c>
      <c r="H238" s="520" t="str">
        <f>IF(G238="","",VLOOKUP($B238,'F-1 Off Site River Baseline'!$C$9:$R$257,7,FALSE))</f>
        <v/>
      </c>
      <c r="I238" s="520" t="str">
        <f>IF(H238="","",VLOOKUP($B238,'F-1 Off Site River Baseline'!$C$9:$R$257,8,FALSE))</f>
        <v/>
      </c>
      <c r="J238" s="520" t="str">
        <f>IF(I238="","",VLOOKUP($B238,'F-1 Off Site River Baseline'!$C$9:$R$257,9,FALSE))</f>
        <v/>
      </c>
      <c r="K238" s="520" t="str">
        <f>IF(J238="","",VLOOKUP($B238,'F-1 Off Site River Baseline'!$C$9:$R$257,10,FALSE))</f>
        <v/>
      </c>
      <c r="L238" s="520" t="str">
        <f>IF(B238="","",VLOOKUP($B238,'C-1 Site River Baseline'!$C$9:$R$257,15,FALSE))</f>
        <v/>
      </c>
      <c r="M238" s="524" t="str">
        <f>IF(L238="","",VLOOKUP($B238,'F-1 Off Site River Baseline'!$C$9:$R$257,16,FALSE))</f>
        <v/>
      </c>
      <c r="N238" s="418" t="str">
        <f t="shared" si="28"/>
        <v/>
      </c>
      <c r="O238" s="498" t="str">
        <f t="shared" si="29"/>
        <v/>
      </c>
      <c r="P238" s="499" t="str">
        <f>IF(C238="","",IF(AND(LEFT(C238,55)&lt;&gt;LEFT(N238,55),O238="High - High"),"Error - Not like for like ▲",IF(AND(F238=S238,H238&gt;U238),"Error - Can not reduce condition ▲",IF(AND(F238=S238,H238=U238,AJ238='F-1 Off Site River Baseline'!N236,'F-1 Off Site River Baseline'!P236=AL238),"Error - No enhancement ▲",IF(AND(C238&lt;&gt;N238,F238&lt;S238),"Lower Distinctiveness Habitat"&amp;" - "&amp;T238,G238&amp;" - "&amp;T238)))))</f>
        <v/>
      </c>
      <c r="Q238" s="505" t="str">
        <f>IF(N238="","",VLOOKUP(B238,'F-1 Off Site River Baseline'!$C$10:$AA$257,19,FALSE))</f>
        <v/>
      </c>
      <c r="R238" s="498" t="str">
        <f>IF(N238="","",VLOOKUP(N238,'G-7 Rivers Data'!$B$2:$G$8,2,FALSE))</f>
        <v/>
      </c>
      <c r="S238" s="499" t="str">
        <f>IFERROR(VLOOKUP(R238,'G-7 Rivers Data'!$C$4:$D$8,2,FALSE),"")</f>
        <v/>
      </c>
      <c r="T238" s="145"/>
      <c r="U238" s="499" t="str">
        <f>IFERROR(INDEX('G-7 Rivers Data'!$H$4:$L$8,MATCH(N238,'G-7 Rivers Data'!$B$4:$B$8,0),MATCH(T238,'G-7 Rivers Data'!$H$3:$L$3,0)),"")</f>
        <v/>
      </c>
      <c r="V238" s="154"/>
      <c r="W238" s="520" t="str">
        <f>IF(V238="","",IF(VLOOKUP(V238,'G-7 Rivers Data'!$AG$4:$AI$9,2,FALSE)=0,"Spatial Data Missing ⚠",VLOOKUP(V238,'G-7 Rivers Data'!$AG$4:$AI$9,2,FALSE)))</f>
        <v/>
      </c>
      <c r="X238" s="524" t="str">
        <f>IF(V238="","",IF(VLOOKUP(V238,'G-7 Rivers Data'!$AG$4:$AI$9,3,FALSE)=0,"Spatial Data Missing ⚠",VLOOKUP(V238,'G-7 Rivers Data'!$AG$4:$AI$9,3,FALSE)))</f>
        <v/>
      </c>
      <c r="Y238" s="537" t="str">
        <f>IFERROR(IF(OR(LEFT(P238,5)="Error ▲",LEFT(O238,5)="Error ▲"),"Check Data ⚠",IF(F238&lt;S238,'G-7 Rivers Data'!$R$3,INDEX('G-7 Rivers Data'!$U$5:$Y$9,MATCH(G238,'G-7 Rivers Data'!$T$5:$T$9,0),MATCH(T238,'G-7 Rivers Data'!$U$4:$Y$4,0)))),"")</f>
        <v/>
      </c>
      <c r="Z238" s="203"/>
      <c r="AA238" s="203"/>
      <c r="AB238" s="534" t="str">
        <f t="shared" si="24"/>
        <v/>
      </c>
      <c r="AC238" s="521" t="str">
        <f t="shared" si="25"/>
        <v/>
      </c>
      <c r="AD238" s="564" t="str">
        <f>IFERROR(IF(AC238="Check Data ⚠","Check Data ⚠",VLOOKUP(AC238,'G-4 Temporal multipliers'!$A$4:$C$37,3,FALSE)),"")</f>
        <v/>
      </c>
      <c r="AE238" s="537" t="str">
        <f>IF(N238="","",VLOOKUP(N238,'G-7 Rivers Data'!$B$4:$G$8,5,FALSE))</f>
        <v/>
      </c>
      <c r="AF238" s="520" t="str">
        <f t="shared" si="26"/>
        <v/>
      </c>
      <c r="AG238" s="520" t="str">
        <f t="shared" si="30"/>
        <v/>
      </c>
      <c r="AH238" s="524" t="str">
        <f t="shared" si="27"/>
        <v/>
      </c>
      <c r="AI238" s="145"/>
      <c r="AJ238" s="499" t="str">
        <f>IF(AI238="","",IF(VLOOKUP(AI238,'G-7 Rivers Data'!$AA$4:$AB$7,2,FALSE)=0,"Spatial Data Missing ⚠",VLOOKUP(AI238,'G-7 Rivers Data'!$AA$4:$AB$7,2,FALSE)))</f>
        <v/>
      </c>
      <c r="AK238" s="155"/>
      <c r="AL238" s="536" t="str">
        <f>IF(AK238="","",IF(VLOOKUP(AK238,'G-7 Rivers Data'!$AD$4:$AE$8,2,FALSE)=0,"Spatial Data Missing ⚠",VLOOKUP(AK238,'G-7 Rivers Data'!$AD$4:$AE$8,2,FALSE)))</f>
        <v/>
      </c>
      <c r="AM238" s="154"/>
      <c r="AN238" s="524" t="str">
        <f>IF(AM238="","",VLOOKUP(AM238,'G-7 Rivers Data'!$AO$4:$AP$7,2,FALSE))</f>
        <v/>
      </c>
      <c r="AO238" s="545" t="str">
        <f t="shared" si="31"/>
        <v/>
      </c>
      <c r="AP238" s="149"/>
      <c r="AQ238" s="150"/>
      <c r="AX238" s="31" t="str">
        <f>IFERROR(INDEX('G-7 Rivers Data'!$AZ$3:$AZ$7,MATCH(N238,'G-7 Rivers Data'!$AY$3:$AY$7,0)),"")</f>
        <v/>
      </c>
    </row>
    <row r="239" spans="2:50" ht="14" x14ac:dyDescent="0.3">
      <c r="B239" s="531" t="str">
        <f>'F-1 Off Site River Baseline'!AN237</f>
        <v/>
      </c>
      <c r="C239" s="520" t="str">
        <f>IF(B239="","",VLOOKUP($B239,'F-1 Off Site River Baseline'!$C$9:$R$257,2,FALSE))</f>
        <v/>
      </c>
      <c r="D239" s="520" t="str">
        <f>IF(C239="","",VLOOKUP($B239,'F-1 Off Site River Baseline'!$C$9:$R$257,3,FALSE))</f>
        <v/>
      </c>
      <c r="E239" s="520" t="str">
        <f>IF(D239="","",VLOOKUP($B239,'F-1 Off Site River Baseline'!$C$9:$R$257,4,FALSE))</f>
        <v/>
      </c>
      <c r="F239" s="520" t="str">
        <f>IF(E239="","",VLOOKUP($B239,'F-1 Off Site River Baseline'!$C$9:$R$257,5,FALSE))</f>
        <v/>
      </c>
      <c r="G239" s="520" t="str">
        <f>IF(F239="","",VLOOKUP($B239,'F-1 Off Site River Baseline'!$C$9:$R$257,6,FALSE))</f>
        <v/>
      </c>
      <c r="H239" s="520" t="str">
        <f>IF(G239="","",VLOOKUP($B239,'F-1 Off Site River Baseline'!$C$9:$R$257,7,FALSE))</f>
        <v/>
      </c>
      <c r="I239" s="520" t="str">
        <f>IF(H239="","",VLOOKUP($B239,'F-1 Off Site River Baseline'!$C$9:$R$257,8,FALSE))</f>
        <v/>
      </c>
      <c r="J239" s="520" t="str">
        <f>IF(I239="","",VLOOKUP($B239,'F-1 Off Site River Baseline'!$C$9:$R$257,9,FALSE))</f>
        <v/>
      </c>
      <c r="K239" s="520" t="str">
        <f>IF(J239="","",VLOOKUP($B239,'F-1 Off Site River Baseline'!$C$9:$R$257,10,FALSE))</f>
        <v/>
      </c>
      <c r="L239" s="520" t="str">
        <f>IF(B239="","",VLOOKUP($B239,'C-1 Site River Baseline'!$C$9:$R$257,15,FALSE))</f>
        <v/>
      </c>
      <c r="M239" s="524" t="str">
        <f>IF(L239="","",VLOOKUP($B239,'F-1 Off Site River Baseline'!$C$9:$R$257,16,FALSE))</f>
        <v/>
      </c>
      <c r="N239" s="418" t="str">
        <f t="shared" si="28"/>
        <v/>
      </c>
      <c r="O239" s="498" t="str">
        <f t="shared" si="29"/>
        <v/>
      </c>
      <c r="P239" s="499" t="str">
        <f>IF(C239="","",IF(AND(LEFT(C239,55)&lt;&gt;LEFT(N239,55),O239="High - High"),"Error - Not like for like ▲",IF(AND(F239=S239,H239&gt;U239),"Error - Can not reduce condition ▲",IF(AND(F239=S239,H239=U239,AJ239='F-1 Off Site River Baseline'!N237,'F-1 Off Site River Baseline'!P237=AL239),"Error - No enhancement ▲",IF(AND(C239&lt;&gt;N239,F239&lt;S239),"Lower Distinctiveness Habitat"&amp;" - "&amp;T239,G239&amp;" - "&amp;T239)))))</f>
        <v/>
      </c>
      <c r="Q239" s="505" t="str">
        <f>IF(N239="","",VLOOKUP(B239,'F-1 Off Site River Baseline'!$C$10:$AA$257,19,FALSE))</f>
        <v/>
      </c>
      <c r="R239" s="498" t="str">
        <f>IF(N239="","",VLOOKUP(N239,'G-7 Rivers Data'!$B$2:$G$8,2,FALSE))</f>
        <v/>
      </c>
      <c r="S239" s="499" t="str">
        <f>IFERROR(VLOOKUP(R239,'G-7 Rivers Data'!$C$4:$D$8,2,FALSE),"")</f>
        <v/>
      </c>
      <c r="T239" s="145"/>
      <c r="U239" s="499" t="str">
        <f>IFERROR(INDEX('G-7 Rivers Data'!$H$4:$L$8,MATCH(N239,'G-7 Rivers Data'!$B$4:$B$8,0),MATCH(T239,'G-7 Rivers Data'!$H$3:$L$3,0)),"")</f>
        <v/>
      </c>
      <c r="V239" s="154"/>
      <c r="W239" s="520" t="str">
        <f>IF(V239="","",IF(VLOOKUP(V239,'G-7 Rivers Data'!$AG$4:$AI$9,2,FALSE)=0,"Spatial Data Missing ⚠",VLOOKUP(V239,'G-7 Rivers Data'!$AG$4:$AI$9,2,FALSE)))</f>
        <v/>
      </c>
      <c r="X239" s="524" t="str">
        <f>IF(V239="","",IF(VLOOKUP(V239,'G-7 Rivers Data'!$AG$4:$AI$9,3,FALSE)=0,"Spatial Data Missing ⚠",VLOOKUP(V239,'G-7 Rivers Data'!$AG$4:$AI$9,3,FALSE)))</f>
        <v/>
      </c>
      <c r="Y239" s="537" t="str">
        <f>IFERROR(IF(OR(LEFT(P239,5)="Error ▲",LEFT(O239,5)="Error ▲"),"Check Data ⚠",IF(F239&lt;S239,'G-7 Rivers Data'!$R$3,INDEX('G-7 Rivers Data'!$U$5:$Y$9,MATCH(G239,'G-7 Rivers Data'!$T$5:$T$9,0),MATCH(T239,'G-7 Rivers Data'!$U$4:$Y$4,0)))),"")</f>
        <v/>
      </c>
      <c r="Z239" s="203"/>
      <c r="AA239" s="203"/>
      <c r="AB239" s="534" t="str">
        <f t="shared" si="24"/>
        <v/>
      </c>
      <c r="AC239" s="521" t="str">
        <f t="shared" si="25"/>
        <v/>
      </c>
      <c r="AD239" s="564" t="str">
        <f>IFERROR(IF(AC239="Check Data ⚠","Check Data ⚠",VLOOKUP(AC239,'G-4 Temporal multipliers'!$A$4:$C$37,3,FALSE)),"")</f>
        <v/>
      </c>
      <c r="AE239" s="537" t="str">
        <f>IF(N239="","",VLOOKUP(N239,'G-7 Rivers Data'!$B$4:$G$8,5,FALSE))</f>
        <v/>
      </c>
      <c r="AF239" s="520" t="str">
        <f t="shared" si="26"/>
        <v/>
      </c>
      <c r="AG239" s="520" t="str">
        <f t="shared" si="30"/>
        <v/>
      </c>
      <c r="AH239" s="524" t="str">
        <f t="shared" si="27"/>
        <v/>
      </c>
      <c r="AI239" s="145"/>
      <c r="AJ239" s="499" t="str">
        <f>IF(AI239="","",IF(VLOOKUP(AI239,'G-7 Rivers Data'!$AA$4:$AB$7,2,FALSE)=0,"Spatial Data Missing ⚠",VLOOKUP(AI239,'G-7 Rivers Data'!$AA$4:$AB$7,2,FALSE)))</f>
        <v/>
      </c>
      <c r="AK239" s="155"/>
      <c r="AL239" s="536" t="str">
        <f>IF(AK239="","",IF(VLOOKUP(AK239,'G-7 Rivers Data'!$AD$4:$AE$8,2,FALSE)=0,"Spatial Data Missing ⚠",VLOOKUP(AK239,'G-7 Rivers Data'!$AD$4:$AE$8,2,FALSE)))</f>
        <v/>
      </c>
      <c r="AM239" s="154"/>
      <c r="AN239" s="524" t="str">
        <f>IF(AM239="","",VLOOKUP(AM239,'G-7 Rivers Data'!$AO$4:$AP$7,2,FALSE))</f>
        <v/>
      </c>
      <c r="AO239" s="545" t="str">
        <f t="shared" si="31"/>
        <v/>
      </c>
      <c r="AP239" s="149"/>
      <c r="AQ239" s="150"/>
      <c r="AX239" s="31" t="str">
        <f>IFERROR(INDEX('G-7 Rivers Data'!$AZ$3:$AZ$7,MATCH(N239,'G-7 Rivers Data'!$AY$3:$AY$7,0)),"")</f>
        <v/>
      </c>
    </row>
    <row r="240" spans="2:50" ht="14" x14ac:dyDescent="0.3">
      <c r="B240" s="531" t="str">
        <f>'F-1 Off Site River Baseline'!AN238</f>
        <v/>
      </c>
      <c r="C240" s="520" t="str">
        <f>IF(B240="","",VLOOKUP($B240,'F-1 Off Site River Baseline'!$C$9:$R$257,2,FALSE))</f>
        <v/>
      </c>
      <c r="D240" s="520" t="str">
        <f>IF(C240="","",VLOOKUP($B240,'F-1 Off Site River Baseline'!$C$9:$R$257,3,FALSE))</f>
        <v/>
      </c>
      <c r="E240" s="520" t="str">
        <f>IF(D240="","",VLOOKUP($B240,'F-1 Off Site River Baseline'!$C$9:$R$257,4,FALSE))</f>
        <v/>
      </c>
      <c r="F240" s="520" t="str">
        <f>IF(E240="","",VLOOKUP($B240,'F-1 Off Site River Baseline'!$C$9:$R$257,5,FALSE))</f>
        <v/>
      </c>
      <c r="G240" s="520" t="str">
        <f>IF(F240="","",VLOOKUP($B240,'F-1 Off Site River Baseline'!$C$9:$R$257,6,FALSE))</f>
        <v/>
      </c>
      <c r="H240" s="520" t="str">
        <f>IF(G240="","",VLOOKUP($B240,'F-1 Off Site River Baseline'!$C$9:$R$257,7,FALSE))</f>
        <v/>
      </c>
      <c r="I240" s="520" t="str">
        <f>IF(H240="","",VLOOKUP($B240,'F-1 Off Site River Baseline'!$C$9:$R$257,8,FALSE))</f>
        <v/>
      </c>
      <c r="J240" s="520" t="str">
        <f>IF(I240="","",VLOOKUP($B240,'F-1 Off Site River Baseline'!$C$9:$R$257,9,FALSE))</f>
        <v/>
      </c>
      <c r="K240" s="520" t="str">
        <f>IF(J240="","",VLOOKUP($B240,'F-1 Off Site River Baseline'!$C$9:$R$257,10,FALSE))</f>
        <v/>
      </c>
      <c r="L240" s="520" t="str">
        <f>IF(B240="","",VLOOKUP($B240,'C-1 Site River Baseline'!$C$9:$R$257,15,FALSE))</f>
        <v/>
      </c>
      <c r="M240" s="524" t="str">
        <f>IF(L240="","",VLOOKUP($B240,'F-1 Off Site River Baseline'!$C$9:$R$257,16,FALSE))</f>
        <v/>
      </c>
      <c r="N240" s="418" t="str">
        <f t="shared" si="28"/>
        <v/>
      </c>
      <c r="O240" s="498" t="str">
        <f t="shared" si="29"/>
        <v/>
      </c>
      <c r="P240" s="499" t="str">
        <f>IF(C240="","",IF(AND(LEFT(C240,55)&lt;&gt;LEFT(N240,55),O240="High - High"),"Error - Not like for like ▲",IF(AND(F240=S240,H240&gt;U240),"Error - Can not reduce condition ▲",IF(AND(F240=S240,H240=U240,AJ240='F-1 Off Site River Baseline'!N238,'F-1 Off Site River Baseline'!P238=AL240),"Error - No enhancement ▲",IF(AND(C240&lt;&gt;N240,F240&lt;S240),"Lower Distinctiveness Habitat"&amp;" - "&amp;T240,G240&amp;" - "&amp;T240)))))</f>
        <v/>
      </c>
      <c r="Q240" s="505" t="str">
        <f>IF(N240="","",VLOOKUP(B240,'F-1 Off Site River Baseline'!$C$10:$AA$257,19,FALSE))</f>
        <v/>
      </c>
      <c r="R240" s="498" t="str">
        <f>IF(N240="","",VLOOKUP(N240,'G-7 Rivers Data'!$B$2:$G$8,2,FALSE))</f>
        <v/>
      </c>
      <c r="S240" s="499" t="str">
        <f>IFERROR(VLOOKUP(R240,'G-7 Rivers Data'!$C$4:$D$8,2,FALSE),"")</f>
        <v/>
      </c>
      <c r="T240" s="145"/>
      <c r="U240" s="499" t="str">
        <f>IFERROR(INDEX('G-7 Rivers Data'!$H$4:$L$8,MATCH(N240,'G-7 Rivers Data'!$B$4:$B$8,0),MATCH(T240,'G-7 Rivers Data'!$H$3:$L$3,0)),"")</f>
        <v/>
      </c>
      <c r="V240" s="154"/>
      <c r="W240" s="520" t="str">
        <f>IF(V240="","",IF(VLOOKUP(V240,'G-7 Rivers Data'!$AG$4:$AI$9,2,FALSE)=0,"Spatial Data Missing ⚠",VLOOKUP(V240,'G-7 Rivers Data'!$AG$4:$AI$9,2,FALSE)))</f>
        <v/>
      </c>
      <c r="X240" s="524" t="str">
        <f>IF(V240="","",IF(VLOOKUP(V240,'G-7 Rivers Data'!$AG$4:$AI$9,3,FALSE)=0,"Spatial Data Missing ⚠",VLOOKUP(V240,'G-7 Rivers Data'!$AG$4:$AI$9,3,FALSE)))</f>
        <v/>
      </c>
      <c r="Y240" s="537" t="str">
        <f>IFERROR(IF(OR(LEFT(P240,5)="Error ▲",LEFT(O240,5)="Error ▲"),"Check Data ⚠",IF(F240&lt;S240,'G-7 Rivers Data'!$R$3,INDEX('G-7 Rivers Data'!$U$5:$Y$9,MATCH(G240,'G-7 Rivers Data'!$T$5:$T$9,0),MATCH(T240,'G-7 Rivers Data'!$U$4:$Y$4,0)))),"")</f>
        <v/>
      </c>
      <c r="Z240" s="203"/>
      <c r="AA240" s="203"/>
      <c r="AB240" s="534" t="str">
        <f t="shared" si="24"/>
        <v/>
      </c>
      <c r="AC240" s="521" t="str">
        <f t="shared" si="25"/>
        <v/>
      </c>
      <c r="AD240" s="564" t="str">
        <f>IFERROR(IF(AC240="Check Data ⚠","Check Data ⚠",VLOOKUP(AC240,'G-4 Temporal multipliers'!$A$4:$C$37,3,FALSE)),"")</f>
        <v/>
      </c>
      <c r="AE240" s="537" t="str">
        <f>IF(N240="","",VLOOKUP(N240,'G-7 Rivers Data'!$B$4:$G$8,5,FALSE))</f>
        <v/>
      </c>
      <c r="AF240" s="520" t="str">
        <f t="shared" si="26"/>
        <v/>
      </c>
      <c r="AG240" s="520" t="str">
        <f t="shared" si="30"/>
        <v/>
      </c>
      <c r="AH240" s="524" t="str">
        <f t="shared" si="27"/>
        <v/>
      </c>
      <c r="AI240" s="145"/>
      <c r="AJ240" s="499" t="str">
        <f>IF(AI240="","",IF(VLOOKUP(AI240,'G-7 Rivers Data'!$AA$4:$AB$7,2,FALSE)=0,"Spatial Data Missing ⚠",VLOOKUP(AI240,'G-7 Rivers Data'!$AA$4:$AB$7,2,FALSE)))</f>
        <v/>
      </c>
      <c r="AK240" s="155"/>
      <c r="AL240" s="536" t="str">
        <f>IF(AK240="","",IF(VLOOKUP(AK240,'G-7 Rivers Data'!$AD$4:$AE$8,2,FALSE)=0,"Spatial Data Missing ⚠",VLOOKUP(AK240,'G-7 Rivers Data'!$AD$4:$AE$8,2,FALSE)))</f>
        <v/>
      </c>
      <c r="AM240" s="154"/>
      <c r="AN240" s="524" t="str">
        <f>IF(AM240="","",VLOOKUP(AM240,'G-7 Rivers Data'!$AO$4:$AP$7,2,FALSE))</f>
        <v/>
      </c>
      <c r="AO240" s="545" t="str">
        <f t="shared" si="31"/>
        <v/>
      </c>
      <c r="AP240" s="149"/>
      <c r="AQ240" s="150"/>
      <c r="AX240" s="31" t="str">
        <f>IFERROR(INDEX('G-7 Rivers Data'!$AZ$3:$AZ$7,MATCH(N240,'G-7 Rivers Data'!$AY$3:$AY$7,0)),"")</f>
        <v/>
      </c>
    </row>
    <row r="241" spans="2:50" ht="14" x14ac:dyDescent="0.3">
      <c r="B241" s="531" t="str">
        <f>'F-1 Off Site River Baseline'!AN239</f>
        <v/>
      </c>
      <c r="C241" s="520" t="str">
        <f>IF(B241="","",VLOOKUP($B241,'F-1 Off Site River Baseline'!$C$9:$R$257,2,FALSE))</f>
        <v/>
      </c>
      <c r="D241" s="520" t="str">
        <f>IF(C241="","",VLOOKUP($B241,'F-1 Off Site River Baseline'!$C$9:$R$257,3,FALSE))</f>
        <v/>
      </c>
      <c r="E241" s="520" t="str">
        <f>IF(D241="","",VLOOKUP($B241,'F-1 Off Site River Baseline'!$C$9:$R$257,4,FALSE))</f>
        <v/>
      </c>
      <c r="F241" s="520" t="str">
        <f>IF(E241="","",VLOOKUP($B241,'F-1 Off Site River Baseline'!$C$9:$R$257,5,FALSE))</f>
        <v/>
      </c>
      <c r="G241" s="520" t="str">
        <f>IF(F241="","",VLOOKUP($B241,'F-1 Off Site River Baseline'!$C$9:$R$257,6,FALSE))</f>
        <v/>
      </c>
      <c r="H241" s="520" t="str">
        <f>IF(G241="","",VLOOKUP($B241,'F-1 Off Site River Baseline'!$C$9:$R$257,7,FALSE))</f>
        <v/>
      </c>
      <c r="I241" s="520" t="str">
        <f>IF(H241="","",VLOOKUP($B241,'F-1 Off Site River Baseline'!$C$9:$R$257,8,FALSE))</f>
        <v/>
      </c>
      <c r="J241" s="520" t="str">
        <f>IF(I241="","",VLOOKUP($B241,'F-1 Off Site River Baseline'!$C$9:$R$257,9,FALSE))</f>
        <v/>
      </c>
      <c r="K241" s="520" t="str">
        <f>IF(J241="","",VLOOKUP($B241,'F-1 Off Site River Baseline'!$C$9:$R$257,10,FALSE))</f>
        <v/>
      </c>
      <c r="L241" s="520" t="str">
        <f>IF(B241="","",VLOOKUP($B241,'C-1 Site River Baseline'!$C$9:$R$257,15,FALSE))</f>
        <v/>
      </c>
      <c r="M241" s="524" t="str">
        <f>IF(L241="","",VLOOKUP($B241,'F-1 Off Site River Baseline'!$C$9:$R$257,16,FALSE))</f>
        <v/>
      </c>
      <c r="N241" s="418" t="str">
        <f t="shared" si="28"/>
        <v/>
      </c>
      <c r="O241" s="498" t="str">
        <f t="shared" si="29"/>
        <v/>
      </c>
      <c r="P241" s="499" t="str">
        <f>IF(C241="","",IF(AND(LEFT(C241,55)&lt;&gt;LEFT(N241,55),O241="High - High"),"Error - Not like for like ▲",IF(AND(F241=S241,H241&gt;U241),"Error - Can not reduce condition ▲",IF(AND(F241=S241,H241=U241,AJ241='F-1 Off Site River Baseline'!N239,'F-1 Off Site River Baseline'!P239=AL241),"Error - No enhancement ▲",IF(AND(C241&lt;&gt;N241,F241&lt;S241),"Lower Distinctiveness Habitat"&amp;" - "&amp;T241,G241&amp;" - "&amp;T241)))))</f>
        <v/>
      </c>
      <c r="Q241" s="505" t="str">
        <f>IF(N241="","",VLOOKUP(B241,'F-1 Off Site River Baseline'!$C$10:$AA$257,19,FALSE))</f>
        <v/>
      </c>
      <c r="R241" s="498" t="str">
        <f>IF(N241="","",VLOOKUP(N241,'G-7 Rivers Data'!$B$2:$G$8,2,FALSE))</f>
        <v/>
      </c>
      <c r="S241" s="499" t="str">
        <f>IFERROR(VLOOKUP(R241,'G-7 Rivers Data'!$C$4:$D$8,2,FALSE),"")</f>
        <v/>
      </c>
      <c r="T241" s="145"/>
      <c r="U241" s="499" t="str">
        <f>IFERROR(INDEX('G-7 Rivers Data'!$H$4:$L$8,MATCH(N241,'G-7 Rivers Data'!$B$4:$B$8,0),MATCH(T241,'G-7 Rivers Data'!$H$3:$L$3,0)),"")</f>
        <v/>
      </c>
      <c r="V241" s="154"/>
      <c r="W241" s="520" t="str">
        <f>IF(V241="","",IF(VLOOKUP(V241,'G-7 Rivers Data'!$AG$4:$AI$9,2,FALSE)=0,"Spatial Data Missing ⚠",VLOOKUP(V241,'G-7 Rivers Data'!$AG$4:$AI$9,2,FALSE)))</f>
        <v/>
      </c>
      <c r="X241" s="524" t="str">
        <f>IF(V241="","",IF(VLOOKUP(V241,'G-7 Rivers Data'!$AG$4:$AI$9,3,FALSE)=0,"Spatial Data Missing ⚠",VLOOKUP(V241,'G-7 Rivers Data'!$AG$4:$AI$9,3,FALSE)))</f>
        <v/>
      </c>
      <c r="Y241" s="537" t="str">
        <f>IFERROR(IF(OR(LEFT(P241,5)="Error ▲",LEFT(O241,5)="Error ▲"),"Check Data ⚠",IF(F241&lt;S241,'G-7 Rivers Data'!$R$3,INDEX('G-7 Rivers Data'!$U$5:$Y$9,MATCH(G241,'G-7 Rivers Data'!$T$5:$T$9,0),MATCH(T241,'G-7 Rivers Data'!$U$4:$Y$4,0)))),"")</f>
        <v/>
      </c>
      <c r="Z241" s="203"/>
      <c r="AA241" s="203"/>
      <c r="AB241" s="534" t="str">
        <f t="shared" si="24"/>
        <v/>
      </c>
      <c r="AC241" s="521" t="str">
        <f t="shared" si="25"/>
        <v/>
      </c>
      <c r="AD241" s="564" t="str">
        <f>IFERROR(IF(AC241="Check Data ⚠","Check Data ⚠",VLOOKUP(AC241,'G-4 Temporal multipliers'!$A$4:$C$37,3,FALSE)),"")</f>
        <v/>
      </c>
      <c r="AE241" s="537" t="str">
        <f>IF(N241="","",VLOOKUP(N241,'G-7 Rivers Data'!$B$4:$G$8,5,FALSE))</f>
        <v/>
      </c>
      <c r="AF241" s="520" t="str">
        <f t="shared" si="26"/>
        <v/>
      </c>
      <c r="AG241" s="520" t="str">
        <f t="shared" si="30"/>
        <v/>
      </c>
      <c r="AH241" s="524" t="str">
        <f t="shared" si="27"/>
        <v/>
      </c>
      <c r="AI241" s="145"/>
      <c r="AJ241" s="499" t="str">
        <f>IF(AI241="","",IF(VLOOKUP(AI241,'G-7 Rivers Data'!$AA$4:$AB$7,2,FALSE)=0,"Spatial Data Missing ⚠",VLOOKUP(AI241,'G-7 Rivers Data'!$AA$4:$AB$7,2,FALSE)))</f>
        <v/>
      </c>
      <c r="AK241" s="155"/>
      <c r="AL241" s="536" t="str">
        <f>IF(AK241="","",IF(VLOOKUP(AK241,'G-7 Rivers Data'!$AD$4:$AE$8,2,FALSE)=0,"Spatial Data Missing ⚠",VLOOKUP(AK241,'G-7 Rivers Data'!$AD$4:$AE$8,2,FALSE)))</f>
        <v/>
      </c>
      <c r="AM241" s="154"/>
      <c r="AN241" s="524" t="str">
        <f>IF(AM241="","",VLOOKUP(AM241,'G-7 Rivers Data'!$AO$4:$AP$7,2,FALSE))</f>
        <v/>
      </c>
      <c r="AO241" s="545" t="str">
        <f t="shared" si="31"/>
        <v/>
      </c>
      <c r="AP241" s="149"/>
      <c r="AQ241" s="150"/>
      <c r="AX241" s="31" t="str">
        <f>IFERROR(INDEX('G-7 Rivers Data'!$AZ$3:$AZ$7,MATCH(N241,'G-7 Rivers Data'!$AY$3:$AY$7,0)),"")</f>
        <v/>
      </c>
    </row>
    <row r="242" spans="2:50" ht="14" x14ac:dyDescent="0.3">
      <c r="B242" s="531" t="str">
        <f>'F-1 Off Site River Baseline'!AN240</f>
        <v/>
      </c>
      <c r="C242" s="520" t="str">
        <f>IF(B242="","",VLOOKUP($B242,'F-1 Off Site River Baseline'!$C$9:$R$257,2,FALSE))</f>
        <v/>
      </c>
      <c r="D242" s="520" t="str">
        <f>IF(C242="","",VLOOKUP($B242,'F-1 Off Site River Baseline'!$C$9:$R$257,3,FALSE))</f>
        <v/>
      </c>
      <c r="E242" s="520" t="str">
        <f>IF(D242="","",VLOOKUP($B242,'F-1 Off Site River Baseline'!$C$9:$R$257,4,FALSE))</f>
        <v/>
      </c>
      <c r="F242" s="520" t="str">
        <f>IF(E242="","",VLOOKUP($B242,'F-1 Off Site River Baseline'!$C$9:$R$257,5,FALSE))</f>
        <v/>
      </c>
      <c r="G242" s="520" t="str">
        <f>IF(F242="","",VLOOKUP($B242,'F-1 Off Site River Baseline'!$C$9:$R$257,6,FALSE))</f>
        <v/>
      </c>
      <c r="H242" s="520" t="str">
        <f>IF(G242="","",VLOOKUP($B242,'F-1 Off Site River Baseline'!$C$9:$R$257,7,FALSE))</f>
        <v/>
      </c>
      <c r="I242" s="520" t="str">
        <f>IF(H242="","",VLOOKUP($B242,'F-1 Off Site River Baseline'!$C$9:$R$257,8,FALSE))</f>
        <v/>
      </c>
      <c r="J242" s="520" t="str">
        <f>IF(I242="","",VLOOKUP($B242,'F-1 Off Site River Baseline'!$C$9:$R$257,9,FALSE))</f>
        <v/>
      </c>
      <c r="K242" s="520" t="str">
        <f>IF(J242="","",VLOOKUP($B242,'F-1 Off Site River Baseline'!$C$9:$R$257,10,FALSE))</f>
        <v/>
      </c>
      <c r="L242" s="520" t="str">
        <f>IF(B242="","",VLOOKUP($B242,'C-1 Site River Baseline'!$C$9:$R$257,15,FALSE))</f>
        <v/>
      </c>
      <c r="M242" s="524" t="str">
        <f>IF(L242="","",VLOOKUP($B242,'F-1 Off Site River Baseline'!$C$9:$R$257,16,FALSE))</f>
        <v/>
      </c>
      <c r="N242" s="418" t="str">
        <f t="shared" si="28"/>
        <v/>
      </c>
      <c r="O242" s="498" t="str">
        <f t="shared" si="29"/>
        <v/>
      </c>
      <c r="P242" s="499" t="str">
        <f>IF(C242="","",IF(AND(LEFT(C242,55)&lt;&gt;LEFT(N242,55),O242="High - High"),"Error - Not like for like ▲",IF(AND(F242=S242,H242&gt;U242),"Error - Can not reduce condition ▲",IF(AND(F242=S242,H242=U242,AJ242='F-1 Off Site River Baseline'!N240,'F-1 Off Site River Baseline'!P240=AL242),"Error - No enhancement ▲",IF(AND(C242&lt;&gt;N242,F242&lt;S242),"Lower Distinctiveness Habitat"&amp;" - "&amp;T242,G242&amp;" - "&amp;T242)))))</f>
        <v/>
      </c>
      <c r="Q242" s="505" t="str">
        <f>IF(N242="","",VLOOKUP(B242,'F-1 Off Site River Baseline'!$C$10:$AA$257,19,FALSE))</f>
        <v/>
      </c>
      <c r="R242" s="498" t="str">
        <f>IF(N242="","",VLOOKUP(N242,'G-7 Rivers Data'!$B$2:$G$8,2,FALSE))</f>
        <v/>
      </c>
      <c r="S242" s="499" t="str">
        <f>IFERROR(VLOOKUP(R242,'G-7 Rivers Data'!$C$4:$D$8,2,FALSE),"")</f>
        <v/>
      </c>
      <c r="T242" s="145"/>
      <c r="U242" s="499" t="str">
        <f>IFERROR(INDEX('G-7 Rivers Data'!$H$4:$L$8,MATCH(N242,'G-7 Rivers Data'!$B$4:$B$8,0),MATCH(T242,'G-7 Rivers Data'!$H$3:$L$3,0)),"")</f>
        <v/>
      </c>
      <c r="V242" s="154"/>
      <c r="W242" s="520" t="str">
        <f>IF(V242="","",IF(VLOOKUP(V242,'G-7 Rivers Data'!$AG$4:$AI$9,2,FALSE)=0,"Spatial Data Missing ⚠",VLOOKUP(V242,'G-7 Rivers Data'!$AG$4:$AI$9,2,FALSE)))</f>
        <v/>
      </c>
      <c r="X242" s="524" t="str">
        <f>IF(V242="","",IF(VLOOKUP(V242,'G-7 Rivers Data'!$AG$4:$AI$9,3,FALSE)=0,"Spatial Data Missing ⚠",VLOOKUP(V242,'G-7 Rivers Data'!$AG$4:$AI$9,3,FALSE)))</f>
        <v/>
      </c>
      <c r="Y242" s="537" t="str">
        <f>IFERROR(IF(OR(LEFT(P242,5)="Error ▲",LEFT(O242,5)="Error ▲"),"Check Data ⚠",IF(F242&lt;S242,'G-7 Rivers Data'!$R$3,INDEX('G-7 Rivers Data'!$U$5:$Y$9,MATCH(G242,'G-7 Rivers Data'!$T$5:$T$9,0),MATCH(T242,'G-7 Rivers Data'!$U$4:$Y$4,0)))),"")</f>
        <v/>
      </c>
      <c r="Z242" s="203"/>
      <c r="AA242" s="203"/>
      <c r="AB242" s="534" t="str">
        <f t="shared" si="24"/>
        <v/>
      </c>
      <c r="AC242" s="521" t="str">
        <f t="shared" si="25"/>
        <v/>
      </c>
      <c r="AD242" s="564" t="str">
        <f>IFERROR(IF(AC242="Check Data ⚠","Check Data ⚠",VLOOKUP(AC242,'G-4 Temporal multipliers'!$A$4:$C$37,3,FALSE)),"")</f>
        <v/>
      </c>
      <c r="AE242" s="537" t="str">
        <f>IF(N242="","",VLOOKUP(N242,'G-7 Rivers Data'!$B$4:$G$8,5,FALSE))</f>
        <v/>
      </c>
      <c r="AF242" s="520" t="str">
        <f t="shared" si="26"/>
        <v/>
      </c>
      <c r="AG242" s="520" t="str">
        <f t="shared" si="30"/>
        <v/>
      </c>
      <c r="AH242" s="524" t="str">
        <f t="shared" si="27"/>
        <v/>
      </c>
      <c r="AI242" s="145"/>
      <c r="AJ242" s="499" t="str">
        <f>IF(AI242="","",IF(VLOOKUP(AI242,'G-7 Rivers Data'!$AA$4:$AB$7,2,FALSE)=0,"Spatial Data Missing ⚠",VLOOKUP(AI242,'G-7 Rivers Data'!$AA$4:$AB$7,2,FALSE)))</f>
        <v/>
      </c>
      <c r="AK242" s="155"/>
      <c r="AL242" s="536" t="str">
        <f>IF(AK242="","",IF(VLOOKUP(AK242,'G-7 Rivers Data'!$AD$4:$AE$8,2,FALSE)=0,"Spatial Data Missing ⚠",VLOOKUP(AK242,'G-7 Rivers Data'!$AD$4:$AE$8,2,FALSE)))</f>
        <v/>
      </c>
      <c r="AM242" s="154"/>
      <c r="AN242" s="524" t="str">
        <f>IF(AM242="","",VLOOKUP(AM242,'G-7 Rivers Data'!$AO$4:$AP$7,2,FALSE))</f>
        <v/>
      </c>
      <c r="AO242" s="545" t="str">
        <f t="shared" si="31"/>
        <v/>
      </c>
      <c r="AP242" s="149"/>
      <c r="AQ242" s="150"/>
      <c r="AX242" s="31" t="str">
        <f>IFERROR(INDEX('G-7 Rivers Data'!$AZ$3:$AZ$7,MATCH(N242,'G-7 Rivers Data'!$AY$3:$AY$7,0)),"")</f>
        <v/>
      </c>
    </row>
    <row r="243" spans="2:50" ht="14" x14ac:dyDescent="0.3">
      <c r="B243" s="531" t="str">
        <f>'F-1 Off Site River Baseline'!AN241</f>
        <v/>
      </c>
      <c r="C243" s="520" t="str">
        <f>IF(B243="","",VLOOKUP($B243,'F-1 Off Site River Baseline'!$C$9:$R$257,2,FALSE))</f>
        <v/>
      </c>
      <c r="D243" s="520" t="str">
        <f>IF(C243="","",VLOOKUP($B243,'F-1 Off Site River Baseline'!$C$9:$R$257,3,FALSE))</f>
        <v/>
      </c>
      <c r="E243" s="520" t="str">
        <f>IF(D243="","",VLOOKUP($B243,'F-1 Off Site River Baseline'!$C$9:$R$257,4,FALSE))</f>
        <v/>
      </c>
      <c r="F243" s="520" t="str">
        <f>IF(E243="","",VLOOKUP($B243,'F-1 Off Site River Baseline'!$C$9:$R$257,5,FALSE))</f>
        <v/>
      </c>
      <c r="G243" s="520" t="str">
        <f>IF(F243="","",VLOOKUP($B243,'F-1 Off Site River Baseline'!$C$9:$R$257,6,FALSE))</f>
        <v/>
      </c>
      <c r="H243" s="520" t="str">
        <f>IF(G243="","",VLOOKUP($B243,'F-1 Off Site River Baseline'!$C$9:$R$257,7,FALSE))</f>
        <v/>
      </c>
      <c r="I243" s="520" t="str">
        <f>IF(H243="","",VLOOKUP($B243,'F-1 Off Site River Baseline'!$C$9:$R$257,8,FALSE))</f>
        <v/>
      </c>
      <c r="J243" s="520" t="str">
        <f>IF(I243="","",VLOOKUP($B243,'F-1 Off Site River Baseline'!$C$9:$R$257,9,FALSE))</f>
        <v/>
      </c>
      <c r="K243" s="520" t="str">
        <f>IF(J243="","",VLOOKUP($B243,'F-1 Off Site River Baseline'!$C$9:$R$257,10,FALSE))</f>
        <v/>
      </c>
      <c r="L243" s="520" t="str">
        <f>IF(B243="","",VLOOKUP($B243,'C-1 Site River Baseline'!$C$9:$R$257,15,FALSE))</f>
        <v/>
      </c>
      <c r="M243" s="524" t="str">
        <f>IF(L243="","",VLOOKUP($B243,'F-1 Off Site River Baseline'!$C$9:$R$257,16,FALSE))</f>
        <v/>
      </c>
      <c r="N243" s="418" t="str">
        <f t="shared" si="28"/>
        <v/>
      </c>
      <c r="O243" s="498" t="str">
        <f t="shared" si="29"/>
        <v/>
      </c>
      <c r="P243" s="499" t="str">
        <f>IF(C243="","",IF(AND(LEFT(C243,55)&lt;&gt;LEFT(N243,55),O243="High - High"),"Error - Not like for like ▲",IF(AND(F243=S243,H243&gt;U243),"Error - Can not reduce condition ▲",IF(AND(F243=S243,H243=U243,AJ243='F-1 Off Site River Baseline'!N241,'F-1 Off Site River Baseline'!P241=AL243),"Error - No enhancement ▲",IF(AND(C243&lt;&gt;N243,F243&lt;S243),"Lower Distinctiveness Habitat"&amp;" - "&amp;T243,G243&amp;" - "&amp;T243)))))</f>
        <v/>
      </c>
      <c r="Q243" s="505" t="str">
        <f>IF(N243="","",VLOOKUP(B243,'F-1 Off Site River Baseline'!$C$10:$AA$257,19,FALSE))</f>
        <v/>
      </c>
      <c r="R243" s="498" t="str">
        <f>IF(N243="","",VLOOKUP(N243,'G-7 Rivers Data'!$B$2:$G$8,2,FALSE))</f>
        <v/>
      </c>
      <c r="S243" s="499" t="str">
        <f>IFERROR(VLOOKUP(R243,'G-7 Rivers Data'!$C$4:$D$8,2,FALSE),"")</f>
        <v/>
      </c>
      <c r="T243" s="145"/>
      <c r="U243" s="499" t="str">
        <f>IFERROR(INDEX('G-7 Rivers Data'!$H$4:$L$8,MATCH(N243,'G-7 Rivers Data'!$B$4:$B$8,0),MATCH(T243,'G-7 Rivers Data'!$H$3:$L$3,0)),"")</f>
        <v/>
      </c>
      <c r="V243" s="154"/>
      <c r="W243" s="520" t="str">
        <f>IF(V243="","",IF(VLOOKUP(V243,'G-7 Rivers Data'!$AG$4:$AI$9,2,FALSE)=0,"Spatial Data Missing ⚠",VLOOKUP(V243,'G-7 Rivers Data'!$AG$4:$AI$9,2,FALSE)))</f>
        <v/>
      </c>
      <c r="X243" s="524" t="str">
        <f>IF(V243="","",IF(VLOOKUP(V243,'G-7 Rivers Data'!$AG$4:$AI$9,3,FALSE)=0,"Spatial Data Missing ⚠",VLOOKUP(V243,'G-7 Rivers Data'!$AG$4:$AI$9,3,FALSE)))</f>
        <v/>
      </c>
      <c r="Y243" s="537" t="str">
        <f>IFERROR(IF(OR(LEFT(P243,5)="Error ▲",LEFT(O243,5)="Error ▲"),"Check Data ⚠",IF(F243&lt;S243,'G-7 Rivers Data'!$R$3,INDEX('G-7 Rivers Data'!$U$5:$Y$9,MATCH(G243,'G-7 Rivers Data'!$T$5:$T$9,0),MATCH(T243,'G-7 Rivers Data'!$U$4:$Y$4,0)))),"")</f>
        <v/>
      </c>
      <c r="Z243" s="203"/>
      <c r="AA243" s="203"/>
      <c r="AB243" s="534" t="str">
        <f t="shared" si="24"/>
        <v/>
      </c>
      <c r="AC243" s="521" t="str">
        <f t="shared" si="25"/>
        <v/>
      </c>
      <c r="AD243" s="564" t="str">
        <f>IFERROR(IF(AC243="Check Data ⚠","Check Data ⚠",VLOOKUP(AC243,'G-4 Temporal multipliers'!$A$4:$C$37,3,FALSE)),"")</f>
        <v/>
      </c>
      <c r="AE243" s="537" t="str">
        <f>IF(N243="","",VLOOKUP(N243,'G-7 Rivers Data'!$B$4:$G$8,5,FALSE))</f>
        <v/>
      </c>
      <c r="AF243" s="520" t="str">
        <f t="shared" si="26"/>
        <v/>
      </c>
      <c r="AG243" s="520" t="str">
        <f t="shared" si="30"/>
        <v/>
      </c>
      <c r="AH243" s="524" t="str">
        <f t="shared" si="27"/>
        <v/>
      </c>
      <c r="AI243" s="145"/>
      <c r="AJ243" s="499" t="str">
        <f>IF(AI243="","",IF(VLOOKUP(AI243,'G-7 Rivers Data'!$AA$4:$AB$7,2,FALSE)=0,"Spatial Data Missing ⚠",VLOOKUP(AI243,'G-7 Rivers Data'!$AA$4:$AB$7,2,FALSE)))</f>
        <v/>
      </c>
      <c r="AK243" s="155"/>
      <c r="AL243" s="536" t="str">
        <f>IF(AK243="","",IF(VLOOKUP(AK243,'G-7 Rivers Data'!$AD$4:$AE$8,2,FALSE)=0,"Spatial Data Missing ⚠",VLOOKUP(AK243,'G-7 Rivers Data'!$AD$4:$AE$8,2,FALSE)))</f>
        <v/>
      </c>
      <c r="AM243" s="154"/>
      <c r="AN243" s="524" t="str">
        <f>IF(AM243="","",VLOOKUP(AM243,'G-7 Rivers Data'!$AO$4:$AP$7,2,FALSE))</f>
        <v/>
      </c>
      <c r="AO243" s="545" t="str">
        <f t="shared" si="31"/>
        <v/>
      </c>
      <c r="AP243" s="239"/>
      <c r="AQ243" s="240"/>
      <c r="AX243" s="31" t="str">
        <f>IFERROR(INDEX('G-7 Rivers Data'!$AZ$3:$AZ$7,MATCH(N243,'G-7 Rivers Data'!$AY$3:$AY$7,0)),"")</f>
        <v/>
      </c>
    </row>
    <row r="244" spans="2:50" ht="14" x14ac:dyDescent="0.3">
      <c r="B244" s="531" t="str">
        <f>'F-1 Off Site River Baseline'!AN242</f>
        <v/>
      </c>
      <c r="C244" s="520" t="str">
        <f>IF(B244="","",VLOOKUP($B244,'F-1 Off Site River Baseline'!$C$9:$R$257,2,FALSE))</f>
        <v/>
      </c>
      <c r="D244" s="520" t="str">
        <f>IF(C244="","",VLOOKUP($B244,'F-1 Off Site River Baseline'!$C$9:$R$257,3,FALSE))</f>
        <v/>
      </c>
      <c r="E244" s="520" t="str">
        <f>IF(D244="","",VLOOKUP($B244,'F-1 Off Site River Baseline'!$C$9:$R$257,4,FALSE))</f>
        <v/>
      </c>
      <c r="F244" s="520" t="str">
        <f>IF(E244="","",VLOOKUP($B244,'F-1 Off Site River Baseline'!$C$9:$R$257,5,FALSE))</f>
        <v/>
      </c>
      <c r="G244" s="520" t="str">
        <f>IF(F244="","",VLOOKUP($B244,'F-1 Off Site River Baseline'!$C$9:$R$257,6,FALSE))</f>
        <v/>
      </c>
      <c r="H244" s="520" t="str">
        <f>IF(G244="","",VLOOKUP($B244,'F-1 Off Site River Baseline'!$C$9:$R$257,7,FALSE))</f>
        <v/>
      </c>
      <c r="I244" s="520" t="str">
        <f>IF(H244="","",VLOOKUP($B244,'F-1 Off Site River Baseline'!$C$9:$R$257,8,FALSE))</f>
        <v/>
      </c>
      <c r="J244" s="520" t="str">
        <f>IF(I244="","",VLOOKUP($B244,'F-1 Off Site River Baseline'!$C$9:$R$257,9,FALSE))</f>
        <v/>
      </c>
      <c r="K244" s="520" t="str">
        <f>IF(J244="","",VLOOKUP($B244,'F-1 Off Site River Baseline'!$C$9:$R$257,10,FALSE))</f>
        <v/>
      </c>
      <c r="L244" s="520" t="str">
        <f>IF(B244="","",VLOOKUP($B244,'C-1 Site River Baseline'!$C$9:$R$257,15,FALSE))</f>
        <v/>
      </c>
      <c r="M244" s="524" t="str">
        <f>IF(L244="","",VLOOKUP($B244,'F-1 Off Site River Baseline'!$C$9:$R$257,16,FALSE))</f>
        <v/>
      </c>
      <c r="N244" s="418" t="str">
        <f t="shared" si="28"/>
        <v/>
      </c>
      <c r="O244" s="498" t="str">
        <f t="shared" si="29"/>
        <v/>
      </c>
      <c r="P244" s="499" t="str">
        <f>IF(C244="","",IF(AND(LEFT(C244,55)&lt;&gt;LEFT(N244,55),O244="High - High"),"Error - Not like for like ▲",IF(AND(F244=S244,H244&gt;U244),"Error - Can not reduce condition ▲",IF(AND(F244=S244,H244=U244,AJ244='F-1 Off Site River Baseline'!N242,'F-1 Off Site River Baseline'!P242=AL244),"Error - No enhancement ▲",IF(AND(C244&lt;&gt;N244,F244&lt;S244),"Lower Distinctiveness Habitat"&amp;" - "&amp;T244,G244&amp;" - "&amp;T244)))))</f>
        <v/>
      </c>
      <c r="Q244" s="505" t="str">
        <f>IF(N244="","",VLOOKUP(B244,'F-1 Off Site River Baseline'!$C$10:$AA$257,19,FALSE))</f>
        <v/>
      </c>
      <c r="R244" s="498" t="str">
        <f>IF(N244="","",VLOOKUP(N244,'G-7 Rivers Data'!$B$2:$G$8,2,FALSE))</f>
        <v/>
      </c>
      <c r="S244" s="499" t="str">
        <f>IFERROR(VLOOKUP(R244,'G-7 Rivers Data'!$C$4:$D$8,2,FALSE),"")</f>
        <v/>
      </c>
      <c r="T244" s="145"/>
      <c r="U244" s="499" t="str">
        <f>IFERROR(INDEX('G-7 Rivers Data'!$H$4:$L$8,MATCH(N244,'G-7 Rivers Data'!$B$4:$B$8,0),MATCH(T244,'G-7 Rivers Data'!$H$3:$L$3,0)),"")</f>
        <v/>
      </c>
      <c r="V244" s="154"/>
      <c r="W244" s="520" t="str">
        <f>IF(V244="","",IF(VLOOKUP(V244,'G-7 Rivers Data'!$AG$4:$AI$9,2,FALSE)=0,"Spatial Data Missing ⚠",VLOOKUP(V244,'G-7 Rivers Data'!$AG$4:$AI$9,2,FALSE)))</f>
        <v/>
      </c>
      <c r="X244" s="524" t="str">
        <f>IF(V244="","",IF(VLOOKUP(V244,'G-7 Rivers Data'!$AG$4:$AI$9,3,FALSE)=0,"Spatial Data Missing ⚠",VLOOKUP(V244,'G-7 Rivers Data'!$AG$4:$AI$9,3,FALSE)))</f>
        <v/>
      </c>
      <c r="Y244" s="537" t="str">
        <f>IFERROR(IF(OR(LEFT(P244,5)="Error ▲",LEFT(O244,5)="Error ▲"),"Check Data ⚠",IF(F244&lt;S244,'G-7 Rivers Data'!$R$3,INDEX('G-7 Rivers Data'!$U$5:$Y$9,MATCH(G244,'G-7 Rivers Data'!$T$5:$T$9,0),MATCH(T244,'G-7 Rivers Data'!$U$4:$Y$4,0)))),"")</f>
        <v/>
      </c>
      <c r="Z244" s="203"/>
      <c r="AA244" s="203"/>
      <c r="AB244" s="534" t="str">
        <f t="shared" si="24"/>
        <v/>
      </c>
      <c r="AC244" s="521" t="str">
        <f t="shared" si="25"/>
        <v/>
      </c>
      <c r="AD244" s="564" t="str">
        <f>IFERROR(IF(AC244="Check Data ⚠","Check Data ⚠",VLOOKUP(AC244,'G-4 Temporal multipliers'!$A$4:$C$37,3,FALSE)),"")</f>
        <v/>
      </c>
      <c r="AE244" s="537" t="str">
        <f>IF(N244="","",VLOOKUP(N244,'G-7 Rivers Data'!$B$4:$G$8,5,FALSE))</f>
        <v/>
      </c>
      <c r="AF244" s="520" t="str">
        <f t="shared" si="26"/>
        <v/>
      </c>
      <c r="AG244" s="520" t="str">
        <f t="shared" si="30"/>
        <v/>
      </c>
      <c r="AH244" s="524" t="str">
        <f t="shared" si="27"/>
        <v/>
      </c>
      <c r="AI244" s="145"/>
      <c r="AJ244" s="499" t="str">
        <f>IF(AI244="","",IF(VLOOKUP(AI244,'G-7 Rivers Data'!$AA$4:$AB$7,2,FALSE)=0,"Spatial Data Missing ⚠",VLOOKUP(AI244,'G-7 Rivers Data'!$AA$4:$AB$7,2,FALSE)))</f>
        <v/>
      </c>
      <c r="AK244" s="155"/>
      <c r="AL244" s="536" t="str">
        <f>IF(AK244="","",IF(VLOOKUP(AK244,'G-7 Rivers Data'!$AD$4:$AE$8,2,FALSE)=0,"Spatial Data Missing ⚠",VLOOKUP(AK244,'G-7 Rivers Data'!$AD$4:$AE$8,2,FALSE)))</f>
        <v/>
      </c>
      <c r="AM244" s="154"/>
      <c r="AN244" s="524" t="str">
        <f>IF(AM244="","",VLOOKUP(AM244,'G-7 Rivers Data'!$AO$4:$AP$7,2,FALSE))</f>
        <v/>
      </c>
      <c r="AO244" s="545" t="str">
        <f t="shared" si="31"/>
        <v/>
      </c>
      <c r="AP244" s="239"/>
      <c r="AQ244" s="240"/>
      <c r="AX244" s="31" t="str">
        <f>IFERROR(INDEX('G-7 Rivers Data'!$AZ$3:$AZ$7,MATCH(N244,'G-7 Rivers Data'!$AY$3:$AY$7,0)),"")</f>
        <v/>
      </c>
    </row>
    <row r="245" spans="2:50" ht="14" x14ac:dyDescent="0.3">
      <c r="B245" s="531" t="str">
        <f>'F-1 Off Site River Baseline'!AN243</f>
        <v/>
      </c>
      <c r="C245" s="520" t="str">
        <f>IF(B245="","",VLOOKUP($B245,'F-1 Off Site River Baseline'!$C$9:$R$257,2,FALSE))</f>
        <v/>
      </c>
      <c r="D245" s="520" t="str">
        <f>IF(C245="","",VLOOKUP($B245,'F-1 Off Site River Baseline'!$C$9:$R$257,3,FALSE))</f>
        <v/>
      </c>
      <c r="E245" s="520" t="str">
        <f>IF(D245="","",VLOOKUP($B245,'F-1 Off Site River Baseline'!$C$9:$R$257,4,FALSE))</f>
        <v/>
      </c>
      <c r="F245" s="520" t="str">
        <f>IF(E245="","",VLOOKUP($B245,'F-1 Off Site River Baseline'!$C$9:$R$257,5,FALSE))</f>
        <v/>
      </c>
      <c r="G245" s="520" t="str">
        <f>IF(F245="","",VLOOKUP($B245,'F-1 Off Site River Baseline'!$C$9:$R$257,6,FALSE))</f>
        <v/>
      </c>
      <c r="H245" s="520" t="str">
        <f>IF(G245="","",VLOOKUP($B245,'F-1 Off Site River Baseline'!$C$9:$R$257,7,FALSE))</f>
        <v/>
      </c>
      <c r="I245" s="520" t="str">
        <f>IF(H245="","",VLOOKUP($B245,'F-1 Off Site River Baseline'!$C$9:$R$257,8,FALSE))</f>
        <v/>
      </c>
      <c r="J245" s="520" t="str">
        <f>IF(I245="","",VLOOKUP($B245,'F-1 Off Site River Baseline'!$C$9:$R$257,9,FALSE))</f>
        <v/>
      </c>
      <c r="K245" s="520" t="str">
        <f>IF(J245="","",VLOOKUP($B245,'F-1 Off Site River Baseline'!$C$9:$R$257,10,FALSE))</f>
        <v/>
      </c>
      <c r="L245" s="520" t="str">
        <f>IF(B245="","",VLOOKUP($B245,'C-1 Site River Baseline'!$C$9:$R$257,15,FALSE))</f>
        <v/>
      </c>
      <c r="M245" s="524" t="str">
        <f>IF(L245="","",VLOOKUP($B245,'F-1 Off Site River Baseline'!$C$9:$R$257,16,FALSE))</f>
        <v/>
      </c>
      <c r="N245" s="418" t="str">
        <f t="shared" si="28"/>
        <v/>
      </c>
      <c r="O245" s="498" t="str">
        <f t="shared" si="29"/>
        <v/>
      </c>
      <c r="P245" s="499" t="str">
        <f>IF(C245="","",IF(AND(LEFT(C245,55)&lt;&gt;LEFT(N245,55),O245="High - High"),"Error - Not like for like ▲",IF(AND(F245=S245,H245&gt;U245),"Error - Can not reduce condition ▲",IF(AND(F245=S245,H245=U245,AJ245='F-1 Off Site River Baseline'!N243,'F-1 Off Site River Baseline'!P243=AL245),"Error - No enhancement ▲",IF(AND(C245&lt;&gt;N245,F245&lt;S245),"Lower Distinctiveness Habitat"&amp;" - "&amp;T245,G245&amp;" - "&amp;T245)))))</f>
        <v/>
      </c>
      <c r="Q245" s="505" t="str">
        <f>IF(N245="","",VLOOKUP(B245,'F-1 Off Site River Baseline'!$C$10:$AA$257,19,FALSE))</f>
        <v/>
      </c>
      <c r="R245" s="498" t="str">
        <f>IF(N245="","",VLOOKUP(N245,'G-7 Rivers Data'!$B$2:$G$8,2,FALSE))</f>
        <v/>
      </c>
      <c r="S245" s="499" t="str">
        <f>IFERROR(VLOOKUP(R245,'G-7 Rivers Data'!$C$4:$D$8,2,FALSE),"")</f>
        <v/>
      </c>
      <c r="T245" s="145"/>
      <c r="U245" s="499" t="str">
        <f>IFERROR(INDEX('G-7 Rivers Data'!$H$4:$L$8,MATCH(N245,'G-7 Rivers Data'!$B$4:$B$8,0),MATCH(T245,'G-7 Rivers Data'!$H$3:$L$3,0)),"")</f>
        <v/>
      </c>
      <c r="V245" s="154"/>
      <c r="W245" s="520" t="str">
        <f>IF(V245="","",IF(VLOOKUP(V245,'G-7 Rivers Data'!$AG$4:$AI$9,2,FALSE)=0,"Spatial Data Missing ⚠",VLOOKUP(V245,'G-7 Rivers Data'!$AG$4:$AI$9,2,FALSE)))</f>
        <v/>
      </c>
      <c r="X245" s="524" t="str">
        <f>IF(V245="","",IF(VLOOKUP(V245,'G-7 Rivers Data'!$AG$4:$AI$9,3,FALSE)=0,"Spatial Data Missing ⚠",VLOOKUP(V245,'G-7 Rivers Data'!$AG$4:$AI$9,3,FALSE)))</f>
        <v/>
      </c>
      <c r="Y245" s="537" t="str">
        <f>IFERROR(IF(OR(LEFT(P245,5)="Error ▲",LEFT(O245,5)="Error ▲"),"Check Data ⚠",IF(F245&lt;S245,'G-7 Rivers Data'!$R$3,INDEX('G-7 Rivers Data'!$U$5:$Y$9,MATCH(G245,'G-7 Rivers Data'!$T$5:$T$9,0),MATCH(T245,'G-7 Rivers Data'!$U$4:$Y$4,0)))),"")</f>
        <v/>
      </c>
      <c r="Z245" s="203"/>
      <c r="AA245" s="203"/>
      <c r="AB245" s="534" t="str">
        <f t="shared" si="24"/>
        <v/>
      </c>
      <c r="AC245" s="521" t="str">
        <f t="shared" si="25"/>
        <v/>
      </c>
      <c r="AD245" s="564" t="str">
        <f>IFERROR(IF(AC245="Check Data ⚠","Check Data ⚠",VLOOKUP(AC245,'G-4 Temporal multipliers'!$A$4:$C$37,3,FALSE)),"")</f>
        <v/>
      </c>
      <c r="AE245" s="537" t="str">
        <f>IF(N245="","",VLOOKUP(N245,'G-7 Rivers Data'!$B$4:$G$8,5,FALSE))</f>
        <v/>
      </c>
      <c r="AF245" s="520" t="str">
        <f t="shared" si="26"/>
        <v/>
      </c>
      <c r="AG245" s="520" t="str">
        <f t="shared" si="30"/>
        <v/>
      </c>
      <c r="AH245" s="524" t="str">
        <f t="shared" si="27"/>
        <v/>
      </c>
      <c r="AI245" s="145"/>
      <c r="AJ245" s="499" t="str">
        <f>IF(AI245="","",IF(VLOOKUP(AI245,'G-7 Rivers Data'!$AA$4:$AB$7,2,FALSE)=0,"Spatial Data Missing ⚠",VLOOKUP(AI245,'G-7 Rivers Data'!$AA$4:$AB$7,2,FALSE)))</f>
        <v/>
      </c>
      <c r="AK245" s="155"/>
      <c r="AL245" s="536" t="str">
        <f>IF(AK245="","",IF(VLOOKUP(AK245,'G-7 Rivers Data'!$AD$4:$AE$8,2,FALSE)=0,"Spatial Data Missing ⚠",VLOOKUP(AK245,'G-7 Rivers Data'!$AD$4:$AE$8,2,FALSE)))</f>
        <v/>
      </c>
      <c r="AM245" s="154"/>
      <c r="AN245" s="524" t="str">
        <f>IF(AM245="","",VLOOKUP(AM245,'G-7 Rivers Data'!$AO$4:$AP$7,2,FALSE))</f>
        <v/>
      </c>
      <c r="AO245" s="545" t="str">
        <f t="shared" si="31"/>
        <v/>
      </c>
      <c r="AP245" s="239"/>
      <c r="AQ245" s="240"/>
      <c r="AX245" s="31" t="str">
        <f>IFERROR(INDEX('G-7 Rivers Data'!$AZ$3:$AZ$7,MATCH(N245,'G-7 Rivers Data'!$AY$3:$AY$7,0)),"")</f>
        <v/>
      </c>
    </row>
    <row r="246" spans="2:50" ht="14" x14ac:dyDescent="0.3">
      <c r="B246" s="531" t="str">
        <f>'F-1 Off Site River Baseline'!AN244</f>
        <v/>
      </c>
      <c r="C246" s="520" t="str">
        <f>IF(B246="","",VLOOKUP($B246,'F-1 Off Site River Baseline'!$C$9:$R$257,2,FALSE))</f>
        <v/>
      </c>
      <c r="D246" s="520" t="str">
        <f>IF(C246="","",VLOOKUP($B246,'F-1 Off Site River Baseline'!$C$9:$R$257,3,FALSE))</f>
        <v/>
      </c>
      <c r="E246" s="520" t="str">
        <f>IF(D246="","",VLOOKUP($B246,'F-1 Off Site River Baseline'!$C$9:$R$257,4,FALSE))</f>
        <v/>
      </c>
      <c r="F246" s="520" t="str">
        <f>IF(E246="","",VLOOKUP($B246,'F-1 Off Site River Baseline'!$C$9:$R$257,5,FALSE))</f>
        <v/>
      </c>
      <c r="G246" s="520" t="str">
        <f>IF(F246="","",VLOOKUP($B246,'F-1 Off Site River Baseline'!$C$9:$R$257,6,FALSE))</f>
        <v/>
      </c>
      <c r="H246" s="520" t="str">
        <f>IF(G246="","",VLOOKUP($B246,'F-1 Off Site River Baseline'!$C$9:$R$257,7,FALSE))</f>
        <v/>
      </c>
      <c r="I246" s="520" t="str">
        <f>IF(H246="","",VLOOKUP($B246,'F-1 Off Site River Baseline'!$C$9:$R$257,8,FALSE))</f>
        <v/>
      </c>
      <c r="J246" s="520" t="str">
        <f>IF(I246="","",VLOOKUP($B246,'F-1 Off Site River Baseline'!$C$9:$R$257,9,FALSE))</f>
        <v/>
      </c>
      <c r="K246" s="520" t="str">
        <f>IF(J246="","",VLOOKUP($B246,'F-1 Off Site River Baseline'!$C$9:$R$257,10,FALSE))</f>
        <v/>
      </c>
      <c r="L246" s="520" t="str">
        <f>IF(B246="","",VLOOKUP($B246,'C-1 Site River Baseline'!$C$9:$R$257,15,FALSE))</f>
        <v/>
      </c>
      <c r="M246" s="524" t="str">
        <f>IF(L246="","",VLOOKUP($B246,'F-1 Off Site River Baseline'!$C$9:$R$257,16,FALSE))</f>
        <v/>
      </c>
      <c r="N246" s="418" t="str">
        <f t="shared" si="28"/>
        <v/>
      </c>
      <c r="O246" s="498" t="str">
        <f t="shared" si="29"/>
        <v/>
      </c>
      <c r="P246" s="499" t="str">
        <f>IF(C246="","",IF(AND(LEFT(C246,55)&lt;&gt;LEFT(N246,55),O246="High - High"),"Error - Not like for like ▲",IF(AND(F246=S246,H246&gt;U246),"Error - Can not reduce condition ▲",IF(AND(F246=S246,H246=U246,AJ246='F-1 Off Site River Baseline'!N244,'F-1 Off Site River Baseline'!P244=AL246),"Error - No enhancement ▲",IF(AND(C246&lt;&gt;N246,F246&lt;S246),"Lower Distinctiveness Habitat"&amp;" - "&amp;T246,G246&amp;" - "&amp;T246)))))</f>
        <v/>
      </c>
      <c r="Q246" s="505" t="str">
        <f>IF(N246="","",VLOOKUP(B246,'F-1 Off Site River Baseline'!$C$10:$AA$257,19,FALSE))</f>
        <v/>
      </c>
      <c r="R246" s="498" t="str">
        <f>IF(N246="","",VLOOKUP(N246,'G-7 Rivers Data'!$B$2:$G$8,2,FALSE))</f>
        <v/>
      </c>
      <c r="S246" s="499" t="str">
        <f>IFERROR(VLOOKUP(R246,'G-7 Rivers Data'!$C$4:$D$8,2,FALSE),"")</f>
        <v/>
      </c>
      <c r="T246" s="145"/>
      <c r="U246" s="499" t="str">
        <f>IFERROR(INDEX('G-7 Rivers Data'!$H$4:$L$8,MATCH(N246,'G-7 Rivers Data'!$B$4:$B$8,0),MATCH(T246,'G-7 Rivers Data'!$H$3:$L$3,0)),"")</f>
        <v/>
      </c>
      <c r="V246" s="154"/>
      <c r="W246" s="520" t="str">
        <f>IF(V246="","",IF(VLOOKUP(V246,'G-7 Rivers Data'!$AG$4:$AI$9,2,FALSE)=0,"Spatial Data Missing ⚠",VLOOKUP(V246,'G-7 Rivers Data'!$AG$4:$AI$9,2,FALSE)))</f>
        <v/>
      </c>
      <c r="X246" s="524" t="str">
        <f>IF(V246="","",IF(VLOOKUP(V246,'G-7 Rivers Data'!$AG$4:$AI$9,3,FALSE)=0,"Spatial Data Missing ⚠",VLOOKUP(V246,'G-7 Rivers Data'!$AG$4:$AI$9,3,FALSE)))</f>
        <v/>
      </c>
      <c r="Y246" s="537" t="str">
        <f>IFERROR(IF(OR(LEFT(P246,5)="Error ▲",LEFT(O246,5)="Error ▲"),"Check Data ⚠",IF(F246&lt;S246,'G-7 Rivers Data'!$R$3,INDEX('G-7 Rivers Data'!$U$5:$Y$9,MATCH(G246,'G-7 Rivers Data'!$T$5:$T$9,0),MATCH(T246,'G-7 Rivers Data'!$U$4:$Y$4,0)))),"")</f>
        <v/>
      </c>
      <c r="Z246" s="203"/>
      <c r="AA246" s="203"/>
      <c r="AB246" s="534" t="str">
        <f t="shared" si="24"/>
        <v/>
      </c>
      <c r="AC246" s="521" t="str">
        <f t="shared" si="25"/>
        <v/>
      </c>
      <c r="AD246" s="564" t="str">
        <f>IFERROR(IF(AC246="Check Data ⚠","Check Data ⚠",VLOOKUP(AC246,'G-4 Temporal multipliers'!$A$4:$C$37,3,FALSE)),"")</f>
        <v/>
      </c>
      <c r="AE246" s="537" t="str">
        <f>IF(N246="","",VLOOKUP(N246,'G-7 Rivers Data'!$B$4:$G$8,5,FALSE))</f>
        <v/>
      </c>
      <c r="AF246" s="520" t="str">
        <f t="shared" si="26"/>
        <v/>
      </c>
      <c r="AG246" s="520" t="str">
        <f t="shared" si="30"/>
        <v/>
      </c>
      <c r="AH246" s="524" t="str">
        <f t="shared" si="27"/>
        <v/>
      </c>
      <c r="AI246" s="145"/>
      <c r="AJ246" s="499" t="str">
        <f>IF(AI246="","",IF(VLOOKUP(AI246,'G-7 Rivers Data'!$AA$4:$AB$7,2,FALSE)=0,"Spatial Data Missing ⚠",VLOOKUP(AI246,'G-7 Rivers Data'!$AA$4:$AB$7,2,FALSE)))</f>
        <v/>
      </c>
      <c r="AK246" s="155"/>
      <c r="AL246" s="536" t="str">
        <f>IF(AK246="","",IF(VLOOKUP(AK246,'G-7 Rivers Data'!$AD$4:$AE$8,2,FALSE)=0,"Spatial Data Missing ⚠",VLOOKUP(AK246,'G-7 Rivers Data'!$AD$4:$AE$8,2,FALSE)))</f>
        <v/>
      </c>
      <c r="AM246" s="154"/>
      <c r="AN246" s="524" t="str">
        <f>IF(AM246="","",VLOOKUP(AM246,'G-7 Rivers Data'!$AO$4:$AP$7,2,FALSE))</f>
        <v/>
      </c>
      <c r="AO246" s="545" t="str">
        <f t="shared" si="31"/>
        <v/>
      </c>
      <c r="AP246" s="239"/>
      <c r="AQ246" s="240"/>
      <c r="AX246" s="31" t="str">
        <f>IFERROR(INDEX('G-7 Rivers Data'!$AZ$3:$AZ$7,MATCH(N246,'G-7 Rivers Data'!$AY$3:$AY$7,0)),"")</f>
        <v/>
      </c>
    </row>
    <row r="247" spans="2:50" ht="14" x14ac:dyDescent="0.3">
      <c r="B247" s="531" t="str">
        <f>'F-1 Off Site River Baseline'!AN245</f>
        <v/>
      </c>
      <c r="C247" s="520" t="str">
        <f>IF(B247="","",VLOOKUP($B247,'F-1 Off Site River Baseline'!$C$9:$R$257,2,FALSE))</f>
        <v/>
      </c>
      <c r="D247" s="520" t="str">
        <f>IF(C247="","",VLOOKUP($B247,'F-1 Off Site River Baseline'!$C$9:$R$257,3,FALSE))</f>
        <v/>
      </c>
      <c r="E247" s="520" t="str">
        <f>IF(D247="","",VLOOKUP($B247,'F-1 Off Site River Baseline'!$C$9:$R$257,4,FALSE))</f>
        <v/>
      </c>
      <c r="F247" s="520" t="str">
        <f>IF(E247="","",VLOOKUP($B247,'F-1 Off Site River Baseline'!$C$9:$R$257,5,FALSE))</f>
        <v/>
      </c>
      <c r="G247" s="520" t="str">
        <f>IF(F247="","",VLOOKUP($B247,'F-1 Off Site River Baseline'!$C$9:$R$257,6,FALSE))</f>
        <v/>
      </c>
      <c r="H247" s="520" t="str">
        <f>IF(G247="","",VLOOKUP($B247,'F-1 Off Site River Baseline'!$C$9:$R$257,7,FALSE))</f>
        <v/>
      </c>
      <c r="I247" s="520" t="str">
        <f>IF(H247="","",VLOOKUP($B247,'F-1 Off Site River Baseline'!$C$9:$R$257,8,FALSE))</f>
        <v/>
      </c>
      <c r="J247" s="520" t="str">
        <f>IF(I247="","",VLOOKUP($B247,'F-1 Off Site River Baseline'!$C$9:$R$257,9,FALSE))</f>
        <v/>
      </c>
      <c r="K247" s="520" t="str">
        <f>IF(J247="","",VLOOKUP($B247,'F-1 Off Site River Baseline'!$C$9:$R$257,10,FALSE))</f>
        <v/>
      </c>
      <c r="L247" s="520" t="str">
        <f>IF(B247="","",VLOOKUP($B247,'C-1 Site River Baseline'!$C$9:$R$257,15,FALSE))</f>
        <v/>
      </c>
      <c r="M247" s="524" t="str">
        <f>IF(L247="","",VLOOKUP($B247,'F-1 Off Site River Baseline'!$C$9:$R$257,16,FALSE))</f>
        <v/>
      </c>
      <c r="N247" s="418" t="str">
        <f t="shared" si="28"/>
        <v/>
      </c>
      <c r="O247" s="498" t="str">
        <f t="shared" si="29"/>
        <v/>
      </c>
      <c r="P247" s="499" t="str">
        <f>IF(C247="","",IF(AND(LEFT(C247,55)&lt;&gt;LEFT(N247,55),O247="High - High"),"Error - Not like for like ▲",IF(AND(F247=S247,H247&gt;U247),"Error - Can not reduce condition ▲",IF(AND(F247=S247,H247=U247,AJ247='F-1 Off Site River Baseline'!N245,'F-1 Off Site River Baseline'!P245=AL247),"Error - No enhancement ▲",IF(AND(C247&lt;&gt;N247,F247&lt;S247),"Lower Distinctiveness Habitat"&amp;" - "&amp;T247,G247&amp;" - "&amp;T247)))))</f>
        <v/>
      </c>
      <c r="Q247" s="505" t="str">
        <f>IF(N247="","",VLOOKUP(B247,'F-1 Off Site River Baseline'!$C$10:$AA$257,19,FALSE))</f>
        <v/>
      </c>
      <c r="R247" s="498" t="str">
        <f>IF(N247="","",VLOOKUP(N247,'G-7 Rivers Data'!$B$2:$G$8,2,FALSE))</f>
        <v/>
      </c>
      <c r="S247" s="499" t="str">
        <f>IFERROR(VLOOKUP(R247,'G-7 Rivers Data'!$C$4:$D$8,2,FALSE),"")</f>
        <v/>
      </c>
      <c r="T247" s="145"/>
      <c r="U247" s="499" t="str">
        <f>IFERROR(INDEX('G-7 Rivers Data'!$H$4:$L$8,MATCH(N247,'G-7 Rivers Data'!$B$4:$B$8,0),MATCH(T247,'G-7 Rivers Data'!$H$3:$L$3,0)),"")</f>
        <v/>
      </c>
      <c r="V247" s="154"/>
      <c r="W247" s="520" t="str">
        <f>IF(V247="","",IF(VLOOKUP(V247,'G-7 Rivers Data'!$AG$4:$AI$9,2,FALSE)=0,"Spatial Data Missing ⚠",VLOOKUP(V247,'G-7 Rivers Data'!$AG$4:$AI$9,2,FALSE)))</f>
        <v/>
      </c>
      <c r="X247" s="524" t="str">
        <f>IF(V247="","",IF(VLOOKUP(V247,'G-7 Rivers Data'!$AG$4:$AI$9,3,FALSE)=0,"Spatial Data Missing ⚠",VLOOKUP(V247,'G-7 Rivers Data'!$AG$4:$AI$9,3,FALSE)))</f>
        <v/>
      </c>
      <c r="Y247" s="537" t="str">
        <f>IFERROR(IF(OR(LEFT(P247,5)="Error ▲",LEFT(O247,5)="Error ▲"),"Check Data ⚠",IF(F247&lt;S247,'G-7 Rivers Data'!$R$3,INDEX('G-7 Rivers Data'!$U$5:$Y$9,MATCH(G247,'G-7 Rivers Data'!$T$5:$T$9,0),MATCH(T247,'G-7 Rivers Data'!$U$4:$Y$4,0)))),"")</f>
        <v/>
      </c>
      <c r="Z247" s="203"/>
      <c r="AA247" s="203"/>
      <c r="AB247" s="534" t="str">
        <f t="shared" si="24"/>
        <v/>
      </c>
      <c r="AC247" s="521" t="str">
        <f t="shared" si="25"/>
        <v/>
      </c>
      <c r="AD247" s="564" t="str">
        <f>IFERROR(IF(AC247="Check Data ⚠","Check Data ⚠",VLOOKUP(AC247,'G-4 Temporal multipliers'!$A$4:$C$37,3,FALSE)),"")</f>
        <v/>
      </c>
      <c r="AE247" s="537" t="str">
        <f>IF(N247="","",VLOOKUP(N247,'G-7 Rivers Data'!$B$4:$G$8,5,FALSE))</f>
        <v/>
      </c>
      <c r="AF247" s="520" t="str">
        <f t="shared" si="26"/>
        <v/>
      </c>
      <c r="AG247" s="520" t="str">
        <f t="shared" si="30"/>
        <v/>
      </c>
      <c r="AH247" s="524" t="str">
        <f t="shared" si="27"/>
        <v/>
      </c>
      <c r="AI247" s="145"/>
      <c r="AJ247" s="499" t="str">
        <f>IF(AI247="","",IF(VLOOKUP(AI247,'G-7 Rivers Data'!$AA$4:$AB$7,2,FALSE)=0,"Spatial Data Missing ⚠",VLOOKUP(AI247,'G-7 Rivers Data'!$AA$4:$AB$7,2,FALSE)))</f>
        <v/>
      </c>
      <c r="AK247" s="155"/>
      <c r="AL247" s="536" t="str">
        <f>IF(AK247="","",IF(VLOOKUP(AK247,'G-7 Rivers Data'!$AD$4:$AE$8,2,FALSE)=0,"Spatial Data Missing ⚠",VLOOKUP(AK247,'G-7 Rivers Data'!$AD$4:$AE$8,2,FALSE)))</f>
        <v/>
      </c>
      <c r="AM247" s="154"/>
      <c r="AN247" s="524" t="str">
        <f>IF(AM247="","",VLOOKUP(AM247,'G-7 Rivers Data'!$AO$4:$AP$7,2,FALSE))</f>
        <v/>
      </c>
      <c r="AO247" s="545" t="str">
        <f t="shared" si="31"/>
        <v/>
      </c>
      <c r="AP247" s="239"/>
      <c r="AQ247" s="240"/>
      <c r="AX247" s="31" t="str">
        <f>IFERROR(INDEX('G-7 Rivers Data'!$AZ$3:$AZ$7,MATCH(N247,'G-7 Rivers Data'!$AY$3:$AY$7,0)),"")</f>
        <v/>
      </c>
    </row>
    <row r="248" spans="2:50" ht="14" x14ac:dyDescent="0.3">
      <c r="B248" s="531" t="str">
        <f>'F-1 Off Site River Baseline'!AN246</f>
        <v/>
      </c>
      <c r="C248" s="520" t="str">
        <f>IF(B248="","",VLOOKUP($B248,'F-1 Off Site River Baseline'!$C$9:$R$257,2,FALSE))</f>
        <v/>
      </c>
      <c r="D248" s="520" t="str">
        <f>IF(C248="","",VLOOKUP($B248,'F-1 Off Site River Baseline'!$C$9:$R$257,3,FALSE))</f>
        <v/>
      </c>
      <c r="E248" s="520" t="str">
        <f>IF(D248="","",VLOOKUP($B248,'F-1 Off Site River Baseline'!$C$9:$R$257,4,FALSE))</f>
        <v/>
      </c>
      <c r="F248" s="520" t="str">
        <f>IF(E248="","",VLOOKUP($B248,'F-1 Off Site River Baseline'!$C$9:$R$257,5,FALSE))</f>
        <v/>
      </c>
      <c r="G248" s="520" t="str">
        <f>IF(F248="","",VLOOKUP($B248,'F-1 Off Site River Baseline'!$C$9:$R$257,6,FALSE))</f>
        <v/>
      </c>
      <c r="H248" s="520" t="str">
        <f>IF(G248="","",VLOOKUP($B248,'F-1 Off Site River Baseline'!$C$9:$R$257,7,FALSE))</f>
        <v/>
      </c>
      <c r="I248" s="520" t="str">
        <f>IF(H248="","",VLOOKUP($B248,'F-1 Off Site River Baseline'!$C$9:$R$257,8,FALSE))</f>
        <v/>
      </c>
      <c r="J248" s="520" t="str">
        <f>IF(I248="","",VLOOKUP($B248,'F-1 Off Site River Baseline'!$C$9:$R$257,9,FALSE))</f>
        <v/>
      </c>
      <c r="K248" s="520" t="str">
        <f>IF(J248="","",VLOOKUP($B248,'F-1 Off Site River Baseline'!$C$9:$R$257,10,FALSE))</f>
        <v/>
      </c>
      <c r="L248" s="520" t="str">
        <f>IF(B248="","",VLOOKUP($B248,'C-1 Site River Baseline'!$C$9:$R$257,15,FALSE))</f>
        <v/>
      </c>
      <c r="M248" s="524" t="str">
        <f>IF(L248="","",VLOOKUP($B248,'F-1 Off Site River Baseline'!$C$9:$R$257,16,FALSE))</f>
        <v/>
      </c>
      <c r="N248" s="418" t="str">
        <f t="shared" si="28"/>
        <v/>
      </c>
      <c r="O248" s="498" t="str">
        <f t="shared" si="29"/>
        <v/>
      </c>
      <c r="P248" s="499" t="str">
        <f>IF(C248="","",IF(AND(LEFT(C248,55)&lt;&gt;LEFT(N248,55),O248="High - High"),"Error - Not like for like ▲",IF(AND(F248=S248,H248&gt;U248),"Error - Can not reduce condition ▲",IF(AND(F248=S248,H248=U248,AJ248='F-1 Off Site River Baseline'!N246,'F-1 Off Site River Baseline'!P246=AL248),"Error - No enhancement ▲",IF(AND(C248&lt;&gt;N248,F248&lt;S248),"Lower Distinctiveness Habitat"&amp;" - "&amp;T248,G248&amp;" - "&amp;T248)))))</f>
        <v/>
      </c>
      <c r="Q248" s="505" t="str">
        <f>IF(N248="","",VLOOKUP(B248,'F-1 Off Site River Baseline'!$C$10:$AA$257,19,FALSE))</f>
        <v/>
      </c>
      <c r="R248" s="498" t="str">
        <f>IF(N248="","",VLOOKUP(N248,'G-7 Rivers Data'!$B$2:$G$8,2,FALSE))</f>
        <v/>
      </c>
      <c r="S248" s="499" t="str">
        <f>IFERROR(VLOOKUP(R248,'G-7 Rivers Data'!$C$4:$D$8,2,FALSE),"")</f>
        <v/>
      </c>
      <c r="T248" s="145"/>
      <c r="U248" s="499" t="str">
        <f>IFERROR(INDEX('G-7 Rivers Data'!$H$4:$L$8,MATCH(N248,'G-7 Rivers Data'!$B$4:$B$8,0),MATCH(T248,'G-7 Rivers Data'!$H$3:$L$3,0)),"")</f>
        <v/>
      </c>
      <c r="V248" s="154"/>
      <c r="W248" s="520" t="str">
        <f>IF(V248="","",IF(VLOOKUP(V248,'G-7 Rivers Data'!$AG$4:$AI$9,2,FALSE)=0,"Spatial Data Missing ⚠",VLOOKUP(V248,'G-7 Rivers Data'!$AG$4:$AI$9,2,FALSE)))</f>
        <v/>
      </c>
      <c r="X248" s="524" t="str">
        <f>IF(V248="","",IF(VLOOKUP(V248,'G-7 Rivers Data'!$AG$4:$AI$9,3,FALSE)=0,"Spatial Data Missing ⚠",VLOOKUP(V248,'G-7 Rivers Data'!$AG$4:$AI$9,3,FALSE)))</f>
        <v/>
      </c>
      <c r="Y248" s="537" t="str">
        <f>IFERROR(IF(OR(LEFT(P248,5)="Error ▲",LEFT(O248,5)="Error ▲"),"Check Data ⚠",IF(F248&lt;S248,'G-7 Rivers Data'!$R$3,INDEX('G-7 Rivers Data'!$U$5:$Y$9,MATCH(G248,'G-7 Rivers Data'!$T$5:$T$9,0),MATCH(T248,'G-7 Rivers Data'!$U$4:$Y$4,0)))),"")</f>
        <v/>
      </c>
      <c r="Z248" s="203"/>
      <c r="AA248" s="203"/>
      <c r="AB248" s="534" t="str">
        <f t="shared" si="24"/>
        <v/>
      </c>
      <c r="AC248" s="521" t="str">
        <f t="shared" si="25"/>
        <v/>
      </c>
      <c r="AD248" s="564" t="str">
        <f>IFERROR(IF(AC248="Check Data ⚠","Check Data ⚠",VLOOKUP(AC248,'G-4 Temporal multipliers'!$A$4:$C$37,3,FALSE)),"")</f>
        <v/>
      </c>
      <c r="AE248" s="537" t="str">
        <f>IF(N248="","",VLOOKUP(N248,'G-7 Rivers Data'!$B$4:$G$8,5,FALSE))</f>
        <v/>
      </c>
      <c r="AF248" s="520" t="str">
        <f t="shared" si="26"/>
        <v/>
      </c>
      <c r="AG248" s="520" t="str">
        <f t="shared" si="30"/>
        <v/>
      </c>
      <c r="AH248" s="524" t="str">
        <f t="shared" si="27"/>
        <v/>
      </c>
      <c r="AI248" s="145"/>
      <c r="AJ248" s="499" t="str">
        <f>IF(AI248="","",IF(VLOOKUP(AI248,'G-7 Rivers Data'!$AA$4:$AB$7,2,FALSE)=0,"Spatial Data Missing ⚠",VLOOKUP(AI248,'G-7 Rivers Data'!$AA$4:$AB$7,2,FALSE)))</f>
        <v/>
      </c>
      <c r="AK248" s="155"/>
      <c r="AL248" s="536" t="str">
        <f>IF(AK248="","",IF(VLOOKUP(AK248,'G-7 Rivers Data'!$AD$4:$AE$8,2,FALSE)=0,"Spatial Data Missing ⚠",VLOOKUP(AK248,'G-7 Rivers Data'!$AD$4:$AE$8,2,FALSE)))</f>
        <v/>
      </c>
      <c r="AM248" s="154"/>
      <c r="AN248" s="524" t="str">
        <f>IF(AM248="","",VLOOKUP(AM248,'G-7 Rivers Data'!$AO$4:$AP$7,2,FALSE))</f>
        <v/>
      </c>
      <c r="AO248" s="545" t="str">
        <f t="shared" si="31"/>
        <v/>
      </c>
      <c r="AP248" s="239"/>
      <c r="AQ248" s="240"/>
      <c r="AX248" s="31" t="str">
        <f>IFERROR(INDEX('G-7 Rivers Data'!$AZ$3:$AZ$7,MATCH(N248,'G-7 Rivers Data'!$AY$3:$AY$7,0)),"")</f>
        <v/>
      </c>
    </row>
    <row r="249" spans="2:50" ht="14" x14ac:dyDescent="0.3">
      <c r="B249" s="531" t="str">
        <f>'F-1 Off Site River Baseline'!AN247</f>
        <v/>
      </c>
      <c r="C249" s="520" t="str">
        <f>IF(B249="","",VLOOKUP($B249,'F-1 Off Site River Baseline'!$C$9:$R$257,2,FALSE))</f>
        <v/>
      </c>
      <c r="D249" s="520" t="str">
        <f>IF(C249="","",VLOOKUP($B249,'F-1 Off Site River Baseline'!$C$9:$R$257,3,FALSE))</f>
        <v/>
      </c>
      <c r="E249" s="520" t="str">
        <f>IF(D249="","",VLOOKUP($B249,'F-1 Off Site River Baseline'!$C$9:$R$257,4,FALSE))</f>
        <v/>
      </c>
      <c r="F249" s="520" t="str">
        <f>IF(E249="","",VLOOKUP($B249,'F-1 Off Site River Baseline'!$C$9:$R$257,5,FALSE))</f>
        <v/>
      </c>
      <c r="G249" s="520" t="str">
        <f>IF(F249="","",VLOOKUP($B249,'F-1 Off Site River Baseline'!$C$9:$R$257,6,FALSE))</f>
        <v/>
      </c>
      <c r="H249" s="520" t="str">
        <f>IF(G249="","",VLOOKUP($B249,'F-1 Off Site River Baseline'!$C$9:$R$257,7,FALSE))</f>
        <v/>
      </c>
      <c r="I249" s="520" t="str">
        <f>IF(H249="","",VLOOKUP($B249,'F-1 Off Site River Baseline'!$C$9:$R$257,8,FALSE))</f>
        <v/>
      </c>
      <c r="J249" s="520" t="str">
        <f>IF(I249="","",VLOOKUP($B249,'F-1 Off Site River Baseline'!$C$9:$R$257,9,FALSE))</f>
        <v/>
      </c>
      <c r="K249" s="520" t="str">
        <f>IF(J249="","",VLOOKUP($B249,'F-1 Off Site River Baseline'!$C$9:$R$257,10,FALSE))</f>
        <v/>
      </c>
      <c r="L249" s="520" t="str">
        <f>IF(B249="","",VLOOKUP($B249,'C-1 Site River Baseline'!$C$9:$R$257,15,FALSE))</f>
        <v/>
      </c>
      <c r="M249" s="524" t="str">
        <f>IF(L249="","",VLOOKUP($B249,'F-1 Off Site River Baseline'!$C$9:$R$257,16,FALSE))</f>
        <v/>
      </c>
      <c r="N249" s="418" t="str">
        <f t="shared" si="28"/>
        <v/>
      </c>
      <c r="O249" s="498" t="str">
        <f t="shared" si="29"/>
        <v/>
      </c>
      <c r="P249" s="499" t="str">
        <f>IF(C249="","",IF(AND(LEFT(C249,55)&lt;&gt;LEFT(N249,55),O249="High - High"),"Error - Not like for like ▲",IF(AND(F249=S249,H249&gt;U249),"Error - Can not reduce condition ▲",IF(AND(F249=S249,H249=U249,AJ249='F-1 Off Site River Baseline'!N247,'F-1 Off Site River Baseline'!P247=AL249),"Error - No enhancement ▲",IF(AND(C249&lt;&gt;N249,F249&lt;S249),"Lower Distinctiveness Habitat"&amp;" - "&amp;T249,G249&amp;" - "&amp;T249)))))</f>
        <v/>
      </c>
      <c r="Q249" s="505" t="str">
        <f>IF(N249="","",VLOOKUP(B249,'F-1 Off Site River Baseline'!$C$10:$AA$257,19,FALSE))</f>
        <v/>
      </c>
      <c r="R249" s="498" t="str">
        <f>IF(N249="","",VLOOKUP(N249,'G-7 Rivers Data'!$B$2:$G$8,2,FALSE))</f>
        <v/>
      </c>
      <c r="S249" s="499" t="str">
        <f>IFERROR(VLOOKUP(R249,'G-7 Rivers Data'!$C$4:$D$8,2,FALSE),"")</f>
        <v/>
      </c>
      <c r="T249" s="145"/>
      <c r="U249" s="499" t="str">
        <f>IFERROR(INDEX('G-7 Rivers Data'!$H$4:$L$8,MATCH(N249,'G-7 Rivers Data'!$B$4:$B$8,0),MATCH(T249,'G-7 Rivers Data'!$H$3:$L$3,0)),"")</f>
        <v/>
      </c>
      <c r="V249" s="154"/>
      <c r="W249" s="520" t="str">
        <f>IF(V249="","",IF(VLOOKUP(V249,'G-7 Rivers Data'!$AG$4:$AI$9,2,FALSE)=0,"Spatial Data Missing ⚠",VLOOKUP(V249,'G-7 Rivers Data'!$AG$4:$AI$9,2,FALSE)))</f>
        <v/>
      </c>
      <c r="X249" s="524" t="str">
        <f>IF(V249="","",IF(VLOOKUP(V249,'G-7 Rivers Data'!$AG$4:$AI$9,3,FALSE)=0,"Spatial Data Missing ⚠",VLOOKUP(V249,'G-7 Rivers Data'!$AG$4:$AI$9,3,FALSE)))</f>
        <v/>
      </c>
      <c r="Y249" s="537" t="str">
        <f>IFERROR(IF(OR(LEFT(P249,5)="Error ▲",LEFT(O249,5)="Error ▲"),"Check Data ⚠",IF(F249&lt;S249,'G-7 Rivers Data'!$R$3,INDEX('G-7 Rivers Data'!$U$5:$Y$9,MATCH(G249,'G-7 Rivers Data'!$T$5:$T$9,0),MATCH(T249,'G-7 Rivers Data'!$U$4:$Y$4,0)))),"")</f>
        <v/>
      </c>
      <c r="Z249" s="203"/>
      <c r="AA249" s="203"/>
      <c r="AB249" s="534" t="str">
        <f t="shared" si="24"/>
        <v/>
      </c>
      <c r="AC249" s="521" t="str">
        <f t="shared" si="25"/>
        <v/>
      </c>
      <c r="AD249" s="564" t="str">
        <f>IFERROR(IF(AC249="Check Data ⚠","Check Data ⚠",VLOOKUP(AC249,'G-4 Temporal multipliers'!$A$4:$C$37,3,FALSE)),"")</f>
        <v/>
      </c>
      <c r="AE249" s="537" t="str">
        <f>IF(N249="","",VLOOKUP(N249,'G-7 Rivers Data'!$B$4:$G$8,5,FALSE))</f>
        <v/>
      </c>
      <c r="AF249" s="520" t="str">
        <f t="shared" si="26"/>
        <v/>
      </c>
      <c r="AG249" s="520" t="str">
        <f t="shared" si="30"/>
        <v/>
      </c>
      <c r="AH249" s="524" t="str">
        <f t="shared" si="27"/>
        <v/>
      </c>
      <c r="AI249" s="145"/>
      <c r="AJ249" s="499" t="str">
        <f>IF(AI249="","",IF(VLOOKUP(AI249,'G-7 Rivers Data'!$AA$4:$AB$7,2,FALSE)=0,"Spatial Data Missing ⚠",VLOOKUP(AI249,'G-7 Rivers Data'!$AA$4:$AB$7,2,FALSE)))</f>
        <v/>
      </c>
      <c r="AK249" s="155"/>
      <c r="AL249" s="536" t="str">
        <f>IF(AK249="","",IF(VLOOKUP(AK249,'G-7 Rivers Data'!$AD$4:$AE$8,2,FALSE)=0,"Spatial Data Missing ⚠",VLOOKUP(AK249,'G-7 Rivers Data'!$AD$4:$AE$8,2,FALSE)))</f>
        <v/>
      </c>
      <c r="AM249" s="154"/>
      <c r="AN249" s="524" t="str">
        <f>IF(AM249="","",VLOOKUP(AM249,'G-7 Rivers Data'!$AO$4:$AP$7,2,FALSE))</f>
        <v/>
      </c>
      <c r="AO249" s="545" t="str">
        <f t="shared" si="31"/>
        <v/>
      </c>
      <c r="AP249" s="239"/>
      <c r="AQ249" s="240"/>
      <c r="AX249" s="31" t="str">
        <f>IFERROR(INDEX('G-7 Rivers Data'!$AZ$3:$AZ$7,MATCH(N249,'G-7 Rivers Data'!$AY$3:$AY$7,0)),"")</f>
        <v/>
      </c>
    </row>
    <row r="250" spans="2:50" ht="14" x14ac:dyDescent="0.3">
      <c r="B250" s="531" t="str">
        <f>'F-1 Off Site River Baseline'!AN248</f>
        <v/>
      </c>
      <c r="C250" s="520" t="str">
        <f>IF(B250="","",VLOOKUP($B250,'F-1 Off Site River Baseline'!$C$9:$R$257,2,FALSE))</f>
        <v/>
      </c>
      <c r="D250" s="520" t="str">
        <f>IF(C250="","",VLOOKUP($B250,'F-1 Off Site River Baseline'!$C$9:$R$257,3,FALSE))</f>
        <v/>
      </c>
      <c r="E250" s="520" t="str">
        <f>IF(D250="","",VLOOKUP($B250,'F-1 Off Site River Baseline'!$C$9:$R$257,4,FALSE))</f>
        <v/>
      </c>
      <c r="F250" s="520" t="str">
        <f>IF(E250="","",VLOOKUP($B250,'F-1 Off Site River Baseline'!$C$9:$R$257,5,FALSE))</f>
        <v/>
      </c>
      <c r="G250" s="520" t="str">
        <f>IF(F250="","",VLOOKUP($B250,'F-1 Off Site River Baseline'!$C$9:$R$257,6,FALSE))</f>
        <v/>
      </c>
      <c r="H250" s="520" t="str">
        <f>IF(G250="","",VLOOKUP($B250,'F-1 Off Site River Baseline'!$C$9:$R$257,7,FALSE))</f>
        <v/>
      </c>
      <c r="I250" s="520" t="str">
        <f>IF(H250="","",VLOOKUP($B250,'F-1 Off Site River Baseline'!$C$9:$R$257,8,FALSE))</f>
        <v/>
      </c>
      <c r="J250" s="520" t="str">
        <f>IF(I250="","",VLOOKUP($B250,'F-1 Off Site River Baseline'!$C$9:$R$257,9,FALSE))</f>
        <v/>
      </c>
      <c r="K250" s="520" t="str">
        <f>IF(J250="","",VLOOKUP($B250,'F-1 Off Site River Baseline'!$C$9:$R$257,10,FALSE))</f>
        <v/>
      </c>
      <c r="L250" s="520" t="str">
        <f>IF(B250="","",VLOOKUP($B250,'C-1 Site River Baseline'!$C$9:$R$257,15,FALSE))</f>
        <v/>
      </c>
      <c r="M250" s="524" t="str">
        <f>IF(L250="","",VLOOKUP($B250,'F-1 Off Site River Baseline'!$C$9:$R$257,16,FALSE))</f>
        <v/>
      </c>
      <c r="N250" s="418" t="str">
        <f t="shared" si="28"/>
        <v/>
      </c>
      <c r="O250" s="498" t="str">
        <f t="shared" si="29"/>
        <v/>
      </c>
      <c r="P250" s="499" t="str">
        <f>IF(C250="","",IF(AND(LEFT(C250,55)&lt;&gt;LEFT(N250,55),O250="High - High"),"Error - Not like for like ▲",IF(AND(F250=S250,H250&gt;U250),"Error - Can not reduce condition ▲",IF(AND(F250=S250,H250=U250,AJ250='F-1 Off Site River Baseline'!N248,'F-1 Off Site River Baseline'!P248=AL250),"Error - No enhancement ▲",IF(AND(C250&lt;&gt;N250,F250&lt;S250),"Lower Distinctiveness Habitat"&amp;" - "&amp;T250,G250&amp;" - "&amp;T250)))))</f>
        <v/>
      </c>
      <c r="Q250" s="505" t="str">
        <f>IF(N250="","",VLOOKUP(B250,'F-1 Off Site River Baseline'!$C$10:$AA$257,19,FALSE))</f>
        <v/>
      </c>
      <c r="R250" s="498" t="str">
        <f>IF(N250="","",VLOOKUP(N250,'G-7 Rivers Data'!$B$2:$G$8,2,FALSE))</f>
        <v/>
      </c>
      <c r="S250" s="499" t="str">
        <f>IFERROR(VLOOKUP(R250,'G-7 Rivers Data'!$C$4:$D$8,2,FALSE),"")</f>
        <v/>
      </c>
      <c r="T250" s="145"/>
      <c r="U250" s="499" t="str">
        <f>IFERROR(INDEX('G-7 Rivers Data'!$H$4:$L$8,MATCH(N250,'G-7 Rivers Data'!$B$4:$B$8,0),MATCH(T250,'G-7 Rivers Data'!$H$3:$L$3,0)),"")</f>
        <v/>
      </c>
      <c r="V250" s="154"/>
      <c r="W250" s="520" t="str">
        <f>IF(V250="","",IF(VLOOKUP(V250,'G-7 Rivers Data'!$AG$4:$AI$9,2,FALSE)=0,"Spatial Data Missing ⚠",VLOOKUP(V250,'G-7 Rivers Data'!$AG$4:$AI$9,2,FALSE)))</f>
        <v/>
      </c>
      <c r="X250" s="524" t="str">
        <f>IF(V250="","",IF(VLOOKUP(V250,'G-7 Rivers Data'!$AG$4:$AI$9,3,FALSE)=0,"Spatial Data Missing ⚠",VLOOKUP(V250,'G-7 Rivers Data'!$AG$4:$AI$9,3,FALSE)))</f>
        <v/>
      </c>
      <c r="Y250" s="537" t="str">
        <f>IFERROR(IF(OR(LEFT(P250,5)="Error ▲",LEFT(O250,5)="Error ▲"),"Check Data ⚠",IF(F250&lt;S250,'G-7 Rivers Data'!$R$3,INDEX('G-7 Rivers Data'!$U$5:$Y$9,MATCH(G250,'G-7 Rivers Data'!$T$5:$T$9,0),MATCH(T250,'G-7 Rivers Data'!$U$4:$Y$4,0)))),"")</f>
        <v/>
      </c>
      <c r="Z250" s="203"/>
      <c r="AA250" s="203"/>
      <c r="AB250" s="534" t="str">
        <f t="shared" si="24"/>
        <v/>
      </c>
      <c r="AC250" s="521" t="str">
        <f t="shared" si="25"/>
        <v/>
      </c>
      <c r="AD250" s="564" t="str">
        <f>IFERROR(IF(AC250="Check Data ⚠","Check Data ⚠",VLOOKUP(AC250,'G-4 Temporal multipliers'!$A$4:$C$37,3,FALSE)),"")</f>
        <v/>
      </c>
      <c r="AE250" s="537" t="str">
        <f>IF(N250="","",VLOOKUP(N250,'G-7 Rivers Data'!$B$4:$G$8,5,FALSE))</f>
        <v/>
      </c>
      <c r="AF250" s="520" t="str">
        <f t="shared" si="26"/>
        <v/>
      </c>
      <c r="AG250" s="520" t="str">
        <f t="shared" si="30"/>
        <v/>
      </c>
      <c r="AH250" s="524" t="str">
        <f t="shared" si="27"/>
        <v/>
      </c>
      <c r="AI250" s="145"/>
      <c r="AJ250" s="499" t="str">
        <f>IF(AI250="","",IF(VLOOKUP(AI250,'G-7 Rivers Data'!$AA$4:$AB$7,2,FALSE)=0,"Spatial Data Missing ⚠",VLOOKUP(AI250,'G-7 Rivers Data'!$AA$4:$AB$7,2,FALSE)))</f>
        <v/>
      </c>
      <c r="AK250" s="155"/>
      <c r="AL250" s="536" t="str">
        <f>IF(AK250="","",IF(VLOOKUP(AK250,'G-7 Rivers Data'!$AD$4:$AE$8,2,FALSE)=0,"Spatial Data Missing ⚠",VLOOKUP(AK250,'G-7 Rivers Data'!$AD$4:$AE$8,2,FALSE)))</f>
        <v/>
      </c>
      <c r="AM250" s="154"/>
      <c r="AN250" s="524" t="str">
        <f>IF(AM250="","",VLOOKUP(AM250,'G-7 Rivers Data'!$AO$4:$AP$7,2,FALSE))</f>
        <v/>
      </c>
      <c r="AO250" s="545" t="str">
        <f t="shared" si="31"/>
        <v/>
      </c>
      <c r="AP250" s="239"/>
      <c r="AQ250" s="240"/>
      <c r="AX250" s="31" t="str">
        <f>IFERROR(INDEX('G-7 Rivers Data'!$AZ$3:$AZ$7,MATCH(N250,'G-7 Rivers Data'!$AY$3:$AY$7,0)),"")</f>
        <v/>
      </c>
    </row>
    <row r="251" spans="2:50" ht="14" x14ac:dyDescent="0.3">
      <c r="B251" s="531" t="str">
        <f>'F-1 Off Site River Baseline'!AN249</f>
        <v/>
      </c>
      <c r="C251" s="520" t="str">
        <f>IF(B251="","",VLOOKUP($B251,'F-1 Off Site River Baseline'!$C$9:$R$257,2,FALSE))</f>
        <v/>
      </c>
      <c r="D251" s="520" t="str">
        <f>IF(C251="","",VLOOKUP($B251,'F-1 Off Site River Baseline'!$C$9:$R$257,3,FALSE))</f>
        <v/>
      </c>
      <c r="E251" s="520" t="str">
        <f>IF(D251="","",VLOOKUP($B251,'F-1 Off Site River Baseline'!$C$9:$R$257,4,FALSE))</f>
        <v/>
      </c>
      <c r="F251" s="520" t="str">
        <f>IF(E251="","",VLOOKUP($B251,'F-1 Off Site River Baseline'!$C$9:$R$257,5,FALSE))</f>
        <v/>
      </c>
      <c r="G251" s="520" t="str">
        <f>IF(F251="","",VLOOKUP($B251,'F-1 Off Site River Baseline'!$C$9:$R$257,6,FALSE))</f>
        <v/>
      </c>
      <c r="H251" s="520" t="str">
        <f>IF(G251="","",VLOOKUP($B251,'F-1 Off Site River Baseline'!$C$9:$R$257,7,FALSE))</f>
        <v/>
      </c>
      <c r="I251" s="520" t="str">
        <f>IF(H251="","",VLOOKUP($B251,'F-1 Off Site River Baseline'!$C$9:$R$257,8,FALSE))</f>
        <v/>
      </c>
      <c r="J251" s="520" t="str">
        <f>IF(I251="","",VLOOKUP($B251,'F-1 Off Site River Baseline'!$C$9:$R$257,9,FALSE))</f>
        <v/>
      </c>
      <c r="K251" s="520" t="str">
        <f>IF(J251="","",VLOOKUP($B251,'F-1 Off Site River Baseline'!$C$9:$R$257,10,FALSE))</f>
        <v/>
      </c>
      <c r="L251" s="520" t="str">
        <f>IF(B251="","",VLOOKUP($B251,'C-1 Site River Baseline'!$C$9:$R$257,15,FALSE))</f>
        <v/>
      </c>
      <c r="M251" s="524" t="str">
        <f>IF(L251="","",VLOOKUP($B251,'F-1 Off Site River Baseline'!$C$9:$R$257,16,FALSE))</f>
        <v/>
      </c>
      <c r="N251" s="418" t="str">
        <f t="shared" si="28"/>
        <v/>
      </c>
      <c r="O251" s="498" t="str">
        <f t="shared" si="29"/>
        <v/>
      </c>
      <c r="P251" s="499" t="str">
        <f>IF(C251="","",IF(AND(LEFT(C251,55)&lt;&gt;LEFT(N251,55),O251="High - High"),"Error - Not like for like ▲",IF(AND(F251=S251,H251&gt;U251),"Error - Can not reduce condition ▲",IF(AND(F251=S251,H251=U251,AJ251='F-1 Off Site River Baseline'!N249,'F-1 Off Site River Baseline'!P249=AL251),"Error - No enhancement ▲",IF(AND(C251&lt;&gt;N251,F251&lt;S251),"Lower Distinctiveness Habitat"&amp;" - "&amp;T251,G251&amp;" - "&amp;T251)))))</f>
        <v/>
      </c>
      <c r="Q251" s="505" t="str">
        <f>IF(N251="","",VLOOKUP(B251,'F-1 Off Site River Baseline'!$C$10:$AA$257,19,FALSE))</f>
        <v/>
      </c>
      <c r="R251" s="498" t="str">
        <f>IF(N251="","",VLOOKUP(N251,'G-7 Rivers Data'!$B$2:$G$8,2,FALSE))</f>
        <v/>
      </c>
      <c r="S251" s="499" t="str">
        <f>IFERROR(VLOOKUP(R251,'G-7 Rivers Data'!$C$4:$D$8,2,FALSE),"")</f>
        <v/>
      </c>
      <c r="T251" s="145"/>
      <c r="U251" s="499" t="str">
        <f>IFERROR(INDEX('G-7 Rivers Data'!$H$4:$L$8,MATCH(N251,'G-7 Rivers Data'!$B$4:$B$8,0),MATCH(T251,'G-7 Rivers Data'!$H$3:$L$3,0)),"")</f>
        <v/>
      </c>
      <c r="V251" s="154"/>
      <c r="W251" s="520" t="str">
        <f>IF(V251="","",IF(VLOOKUP(V251,'G-7 Rivers Data'!$AG$4:$AI$9,2,FALSE)=0,"Spatial Data Missing ⚠",VLOOKUP(V251,'G-7 Rivers Data'!$AG$4:$AI$9,2,FALSE)))</f>
        <v/>
      </c>
      <c r="X251" s="524" t="str">
        <f>IF(V251="","",IF(VLOOKUP(V251,'G-7 Rivers Data'!$AG$4:$AI$9,3,FALSE)=0,"Spatial Data Missing ⚠",VLOOKUP(V251,'G-7 Rivers Data'!$AG$4:$AI$9,3,FALSE)))</f>
        <v/>
      </c>
      <c r="Y251" s="537" t="str">
        <f>IFERROR(IF(OR(LEFT(P251,5)="Error ▲",LEFT(O251,5)="Error ▲"),"Check Data ⚠",IF(F251&lt;S251,'G-7 Rivers Data'!$R$3,INDEX('G-7 Rivers Data'!$U$5:$Y$9,MATCH(G251,'G-7 Rivers Data'!$T$5:$T$9,0),MATCH(T251,'G-7 Rivers Data'!$U$4:$Y$4,0)))),"")</f>
        <v/>
      </c>
      <c r="Z251" s="203"/>
      <c r="AA251" s="203"/>
      <c r="AB251" s="534" t="str">
        <f t="shared" si="24"/>
        <v/>
      </c>
      <c r="AC251" s="521" t="str">
        <f t="shared" si="25"/>
        <v/>
      </c>
      <c r="AD251" s="564" t="str">
        <f>IFERROR(IF(AC251="Check Data ⚠","Check Data ⚠",VLOOKUP(AC251,'G-4 Temporal multipliers'!$A$4:$C$37,3,FALSE)),"")</f>
        <v/>
      </c>
      <c r="AE251" s="537" t="str">
        <f>IF(N251="","",VLOOKUP(N251,'G-7 Rivers Data'!$B$4:$G$8,5,FALSE))</f>
        <v/>
      </c>
      <c r="AF251" s="520" t="str">
        <f t="shared" si="26"/>
        <v/>
      </c>
      <c r="AG251" s="520" t="str">
        <f t="shared" si="30"/>
        <v/>
      </c>
      <c r="AH251" s="524" t="str">
        <f t="shared" si="27"/>
        <v/>
      </c>
      <c r="AI251" s="145"/>
      <c r="AJ251" s="499" t="str">
        <f>IF(AI251="","",IF(VLOOKUP(AI251,'G-7 Rivers Data'!$AA$4:$AB$7,2,FALSE)=0,"Spatial Data Missing ⚠",VLOOKUP(AI251,'G-7 Rivers Data'!$AA$4:$AB$7,2,FALSE)))</f>
        <v/>
      </c>
      <c r="AK251" s="155"/>
      <c r="AL251" s="536" t="str">
        <f>IF(AK251="","",IF(VLOOKUP(AK251,'G-7 Rivers Data'!$AD$4:$AE$8,2,FALSE)=0,"Spatial Data Missing ⚠",VLOOKUP(AK251,'G-7 Rivers Data'!$AD$4:$AE$8,2,FALSE)))</f>
        <v/>
      </c>
      <c r="AM251" s="154"/>
      <c r="AN251" s="524" t="str">
        <f>IF(AM251="","",VLOOKUP(AM251,'G-7 Rivers Data'!$AO$4:$AP$7,2,FALSE))</f>
        <v/>
      </c>
      <c r="AO251" s="545" t="str">
        <f t="shared" si="31"/>
        <v/>
      </c>
      <c r="AP251" s="239"/>
      <c r="AQ251" s="240"/>
      <c r="AX251" s="31" t="str">
        <f>IFERROR(INDEX('G-7 Rivers Data'!$AZ$3:$AZ$7,MATCH(N251,'G-7 Rivers Data'!$AY$3:$AY$7,0)),"")</f>
        <v/>
      </c>
    </row>
    <row r="252" spans="2:50" ht="14" x14ac:dyDescent="0.3">
      <c r="B252" s="531" t="str">
        <f>'F-1 Off Site River Baseline'!AN250</f>
        <v/>
      </c>
      <c r="C252" s="520" t="str">
        <f>IF(B252="","",VLOOKUP($B252,'F-1 Off Site River Baseline'!$C$9:$R$257,2,FALSE))</f>
        <v/>
      </c>
      <c r="D252" s="520" t="str">
        <f>IF(C252="","",VLOOKUP($B252,'F-1 Off Site River Baseline'!$C$9:$R$257,3,FALSE))</f>
        <v/>
      </c>
      <c r="E252" s="520" t="str">
        <f>IF(D252="","",VLOOKUP($B252,'F-1 Off Site River Baseline'!$C$9:$R$257,4,FALSE))</f>
        <v/>
      </c>
      <c r="F252" s="520" t="str">
        <f>IF(E252="","",VLOOKUP($B252,'F-1 Off Site River Baseline'!$C$9:$R$257,5,FALSE))</f>
        <v/>
      </c>
      <c r="G252" s="520" t="str">
        <f>IF(F252="","",VLOOKUP($B252,'F-1 Off Site River Baseline'!$C$9:$R$257,6,FALSE))</f>
        <v/>
      </c>
      <c r="H252" s="520" t="str">
        <f>IF(G252="","",VLOOKUP($B252,'F-1 Off Site River Baseline'!$C$9:$R$257,7,FALSE))</f>
        <v/>
      </c>
      <c r="I252" s="520" t="str">
        <f>IF(H252="","",VLOOKUP($B252,'F-1 Off Site River Baseline'!$C$9:$R$257,8,FALSE))</f>
        <v/>
      </c>
      <c r="J252" s="520" t="str">
        <f>IF(I252="","",VLOOKUP($B252,'F-1 Off Site River Baseline'!$C$9:$R$257,9,FALSE))</f>
        <v/>
      </c>
      <c r="K252" s="520" t="str">
        <f>IF(J252="","",VLOOKUP($B252,'F-1 Off Site River Baseline'!$C$9:$R$257,10,FALSE))</f>
        <v/>
      </c>
      <c r="L252" s="520" t="str">
        <f>IF(B252="","",VLOOKUP($B252,'C-1 Site River Baseline'!$C$9:$R$257,15,FALSE))</f>
        <v/>
      </c>
      <c r="M252" s="524" t="str">
        <f>IF(L252="","",VLOOKUP($B252,'F-1 Off Site River Baseline'!$C$9:$R$257,16,FALSE))</f>
        <v/>
      </c>
      <c r="N252" s="418" t="str">
        <f t="shared" si="28"/>
        <v/>
      </c>
      <c r="O252" s="498" t="str">
        <f t="shared" si="29"/>
        <v/>
      </c>
      <c r="P252" s="499" t="str">
        <f>IF(C252="","",IF(AND(LEFT(C252,55)&lt;&gt;LEFT(N252,55),O252="High - High"),"Error - Not like for like ▲",IF(AND(F252=S252,H252&gt;U252),"Error - Can not reduce condition ▲",IF(AND(F252=S252,H252=U252,AJ252='F-1 Off Site River Baseline'!N250,'F-1 Off Site River Baseline'!P250=AL252),"Error - No enhancement ▲",IF(AND(C252&lt;&gt;N252,F252&lt;S252),"Lower Distinctiveness Habitat"&amp;" - "&amp;T252,G252&amp;" - "&amp;T252)))))</f>
        <v/>
      </c>
      <c r="Q252" s="505" t="str">
        <f>IF(N252="","",VLOOKUP(B252,'F-1 Off Site River Baseline'!$C$10:$AA$257,19,FALSE))</f>
        <v/>
      </c>
      <c r="R252" s="498" t="str">
        <f>IF(N252="","",VLOOKUP(N252,'G-7 Rivers Data'!$B$2:$G$8,2,FALSE))</f>
        <v/>
      </c>
      <c r="S252" s="499" t="str">
        <f>IFERROR(VLOOKUP(R252,'G-7 Rivers Data'!$C$4:$D$8,2,FALSE),"")</f>
        <v/>
      </c>
      <c r="T252" s="145"/>
      <c r="U252" s="499" t="str">
        <f>IFERROR(INDEX('G-7 Rivers Data'!$H$4:$L$8,MATCH(N252,'G-7 Rivers Data'!$B$4:$B$8,0),MATCH(T252,'G-7 Rivers Data'!$H$3:$L$3,0)),"")</f>
        <v/>
      </c>
      <c r="V252" s="154"/>
      <c r="W252" s="520" t="str">
        <f>IF(V252="","",IF(VLOOKUP(V252,'G-7 Rivers Data'!$AG$4:$AI$9,2,FALSE)=0,"Spatial Data Missing ⚠",VLOOKUP(V252,'G-7 Rivers Data'!$AG$4:$AI$9,2,FALSE)))</f>
        <v/>
      </c>
      <c r="X252" s="524" t="str">
        <f>IF(V252="","",IF(VLOOKUP(V252,'G-7 Rivers Data'!$AG$4:$AI$9,3,FALSE)=0,"Spatial Data Missing ⚠",VLOOKUP(V252,'G-7 Rivers Data'!$AG$4:$AI$9,3,FALSE)))</f>
        <v/>
      </c>
      <c r="Y252" s="537" t="str">
        <f>IFERROR(IF(OR(LEFT(P252,5)="Error ▲",LEFT(O252,5)="Error ▲"),"Check Data ⚠",IF(F252&lt;S252,'G-7 Rivers Data'!$R$3,INDEX('G-7 Rivers Data'!$U$5:$Y$9,MATCH(G252,'G-7 Rivers Data'!$T$5:$T$9,0),MATCH(T252,'G-7 Rivers Data'!$U$4:$Y$4,0)))),"")</f>
        <v/>
      </c>
      <c r="Z252" s="203"/>
      <c r="AA252" s="203"/>
      <c r="AB252" s="534" t="str">
        <f t="shared" si="24"/>
        <v/>
      </c>
      <c r="AC252" s="521" t="str">
        <f t="shared" si="25"/>
        <v/>
      </c>
      <c r="AD252" s="564" t="str">
        <f>IFERROR(IF(AC252="Check Data ⚠","Check Data ⚠",VLOOKUP(AC252,'G-4 Temporal multipliers'!$A$4:$C$37,3,FALSE)),"")</f>
        <v/>
      </c>
      <c r="AE252" s="537" t="str">
        <f>IF(N252="","",VLOOKUP(N252,'G-7 Rivers Data'!$B$4:$G$8,5,FALSE))</f>
        <v/>
      </c>
      <c r="AF252" s="520" t="str">
        <f t="shared" si="26"/>
        <v/>
      </c>
      <c r="AG252" s="520" t="str">
        <f t="shared" si="30"/>
        <v/>
      </c>
      <c r="AH252" s="524" t="str">
        <f t="shared" si="27"/>
        <v/>
      </c>
      <c r="AI252" s="145"/>
      <c r="AJ252" s="499" t="str">
        <f>IF(AI252="","",IF(VLOOKUP(AI252,'G-7 Rivers Data'!$AA$4:$AB$7,2,FALSE)=0,"Spatial Data Missing ⚠",VLOOKUP(AI252,'G-7 Rivers Data'!$AA$4:$AB$7,2,FALSE)))</f>
        <v/>
      </c>
      <c r="AK252" s="155"/>
      <c r="AL252" s="536" t="str">
        <f>IF(AK252="","",IF(VLOOKUP(AK252,'G-7 Rivers Data'!$AD$4:$AE$8,2,FALSE)=0,"Spatial Data Missing ⚠",VLOOKUP(AK252,'G-7 Rivers Data'!$AD$4:$AE$8,2,FALSE)))</f>
        <v/>
      </c>
      <c r="AM252" s="154"/>
      <c r="AN252" s="524" t="str">
        <f>IF(AM252="","",VLOOKUP(AM252,'G-7 Rivers Data'!$AO$4:$AP$7,2,FALSE))</f>
        <v/>
      </c>
      <c r="AO252" s="545" t="str">
        <f t="shared" si="31"/>
        <v/>
      </c>
      <c r="AP252" s="239"/>
      <c r="AQ252" s="240"/>
      <c r="AX252" s="31" t="str">
        <f>IFERROR(INDEX('G-7 Rivers Data'!$AZ$3:$AZ$7,MATCH(N252,'G-7 Rivers Data'!$AY$3:$AY$7,0)),"")</f>
        <v/>
      </c>
    </row>
    <row r="253" spans="2:50" ht="14" x14ac:dyDescent="0.3">
      <c r="B253" s="531" t="str">
        <f>'F-1 Off Site River Baseline'!AN251</f>
        <v/>
      </c>
      <c r="C253" s="520" t="str">
        <f>IF(B253="","",VLOOKUP($B253,'F-1 Off Site River Baseline'!$C$9:$R$257,2,FALSE))</f>
        <v/>
      </c>
      <c r="D253" s="520" t="str">
        <f>IF(C253="","",VLOOKUP($B253,'F-1 Off Site River Baseline'!$C$9:$R$257,3,FALSE))</f>
        <v/>
      </c>
      <c r="E253" s="520" t="str">
        <f>IF(D253="","",VLOOKUP($B253,'F-1 Off Site River Baseline'!$C$9:$R$257,4,FALSE))</f>
        <v/>
      </c>
      <c r="F253" s="520" t="str">
        <f>IF(E253="","",VLOOKUP($B253,'F-1 Off Site River Baseline'!$C$9:$R$257,5,FALSE))</f>
        <v/>
      </c>
      <c r="G253" s="520" t="str">
        <f>IF(F253="","",VLOOKUP($B253,'F-1 Off Site River Baseline'!$C$9:$R$257,6,FALSE))</f>
        <v/>
      </c>
      <c r="H253" s="520" t="str">
        <f>IF(G253="","",VLOOKUP($B253,'F-1 Off Site River Baseline'!$C$9:$R$257,7,FALSE))</f>
        <v/>
      </c>
      <c r="I253" s="520" t="str">
        <f>IF(H253="","",VLOOKUP($B253,'F-1 Off Site River Baseline'!$C$9:$R$257,8,FALSE))</f>
        <v/>
      </c>
      <c r="J253" s="520" t="str">
        <f>IF(I253="","",VLOOKUP($B253,'F-1 Off Site River Baseline'!$C$9:$R$257,9,FALSE))</f>
        <v/>
      </c>
      <c r="K253" s="520" t="str">
        <f>IF(J253="","",VLOOKUP($B253,'F-1 Off Site River Baseline'!$C$9:$R$257,10,FALSE))</f>
        <v/>
      </c>
      <c r="L253" s="520" t="str">
        <f>IF(B253="","",VLOOKUP($B253,'C-1 Site River Baseline'!$C$9:$R$257,15,FALSE))</f>
        <v/>
      </c>
      <c r="M253" s="524" t="str">
        <f>IF(L253="","",VLOOKUP($B253,'F-1 Off Site River Baseline'!$C$9:$R$257,16,FALSE))</f>
        <v/>
      </c>
      <c r="N253" s="418" t="str">
        <f t="shared" si="28"/>
        <v/>
      </c>
      <c r="O253" s="498" t="str">
        <f t="shared" si="29"/>
        <v/>
      </c>
      <c r="P253" s="499" t="str">
        <f>IF(C253="","",IF(AND(LEFT(C253,55)&lt;&gt;LEFT(N253,55),O253="High - High"),"Error - Not like for like ▲",IF(AND(F253=S253,H253&gt;U253),"Error - Can not reduce condition ▲",IF(AND(F253=S253,H253=U253,AJ253='F-1 Off Site River Baseline'!N251,'F-1 Off Site River Baseline'!P251=AL253),"Error - No enhancement ▲",IF(AND(C253&lt;&gt;N253,F253&lt;S253),"Lower Distinctiveness Habitat"&amp;" - "&amp;T253,G253&amp;" - "&amp;T253)))))</f>
        <v/>
      </c>
      <c r="Q253" s="505" t="str">
        <f>IF(N253="","",VLOOKUP(B253,'F-1 Off Site River Baseline'!$C$10:$AA$257,19,FALSE))</f>
        <v/>
      </c>
      <c r="R253" s="498" t="str">
        <f>IF(N253="","",VLOOKUP(N253,'G-7 Rivers Data'!$B$2:$G$8,2,FALSE))</f>
        <v/>
      </c>
      <c r="S253" s="499" t="str">
        <f>IFERROR(VLOOKUP(R253,'G-7 Rivers Data'!$C$4:$D$8,2,FALSE),"")</f>
        <v/>
      </c>
      <c r="T253" s="145"/>
      <c r="U253" s="499" t="str">
        <f>IFERROR(INDEX('G-7 Rivers Data'!$H$4:$L$8,MATCH(N253,'G-7 Rivers Data'!$B$4:$B$8,0),MATCH(T253,'G-7 Rivers Data'!$H$3:$L$3,0)),"")</f>
        <v/>
      </c>
      <c r="V253" s="154"/>
      <c r="W253" s="520" t="str">
        <f>IF(V253="","",IF(VLOOKUP(V253,'G-7 Rivers Data'!$AG$4:$AI$9,2,FALSE)=0,"Spatial Data Missing ⚠",VLOOKUP(V253,'G-7 Rivers Data'!$AG$4:$AI$9,2,FALSE)))</f>
        <v/>
      </c>
      <c r="X253" s="524" t="str">
        <f>IF(V253="","",IF(VLOOKUP(V253,'G-7 Rivers Data'!$AG$4:$AI$9,3,FALSE)=0,"Spatial Data Missing ⚠",VLOOKUP(V253,'G-7 Rivers Data'!$AG$4:$AI$9,3,FALSE)))</f>
        <v/>
      </c>
      <c r="Y253" s="537" t="str">
        <f>IFERROR(IF(OR(LEFT(P253,5)="Error ▲",LEFT(O253,5)="Error ▲"),"Check Data ⚠",IF(F253&lt;S253,'G-7 Rivers Data'!$R$3,INDEX('G-7 Rivers Data'!$U$5:$Y$9,MATCH(G253,'G-7 Rivers Data'!$T$5:$T$9,0),MATCH(T253,'G-7 Rivers Data'!$U$4:$Y$4,0)))),"")</f>
        <v/>
      </c>
      <c r="Z253" s="203"/>
      <c r="AA253" s="203"/>
      <c r="AB253" s="534" t="str">
        <f t="shared" si="24"/>
        <v/>
      </c>
      <c r="AC253" s="521" t="str">
        <f t="shared" si="25"/>
        <v/>
      </c>
      <c r="AD253" s="564" t="str">
        <f>IFERROR(IF(AC253="Check Data ⚠","Check Data ⚠",VLOOKUP(AC253,'G-4 Temporal multipliers'!$A$4:$C$37,3,FALSE)),"")</f>
        <v/>
      </c>
      <c r="AE253" s="537" t="str">
        <f>IF(N253="","",VLOOKUP(N253,'G-7 Rivers Data'!$B$4:$G$8,5,FALSE))</f>
        <v/>
      </c>
      <c r="AF253" s="520" t="str">
        <f t="shared" si="26"/>
        <v/>
      </c>
      <c r="AG253" s="520" t="str">
        <f t="shared" si="30"/>
        <v/>
      </c>
      <c r="AH253" s="524" t="str">
        <f t="shared" si="27"/>
        <v/>
      </c>
      <c r="AI253" s="145"/>
      <c r="AJ253" s="499" t="str">
        <f>IF(AI253="","",IF(VLOOKUP(AI253,'G-7 Rivers Data'!$AA$4:$AB$7,2,FALSE)=0,"Spatial Data Missing ⚠",VLOOKUP(AI253,'G-7 Rivers Data'!$AA$4:$AB$7,2,FALSE)))</f>
        <v/>
      </c>
      <c r="AK253" s="155"/>
      <c r="AL253" s="536" t="str">
        <f>IF(AK253="","",IF(VLOOKUP(AK253,'G-7 Rivers Data'!$AD$4:$AE$8,2,FALSE)=0,"Spatial Data Missing ⚠",VLOOKUP(AK253,'G-7 Rivers Data'!$AD$4:$AE$8,2,FALSE)))</f>
        <v/>
      </c>
      <c r="AM253" s="154"/>
      <c r="AN253" s="524" t="str">
        <f>IF(AM253="","",VLOOKUP(AM253,'G-7 Rivers Data'!$AO$4:$AP$7,2,FALSE))</f>
        <v/>
      </c>
      <c r="AO253" s="545" t="str">
        <f t="shared" si="31"/>
        <v/>
      </c>
      <c r="AP253" s="239"/>
      <c r="AQ253" s="240"/>
      <c r="AX253" s="31" t="str">
        <f>IFERROR(INDEX('G-7 Rivers Data'!$AZ$3:$AZ$7,MATCH(N253,'G-7 Rivers Data'!$AY$3:$AY$7,0)),"")</f>
        <v/>
      </c>
    </row>
    <row r="254" spans="2:50" ht="14" x14ac:dyDescent="0.3">
      <c r="B254" s="531" t="str">
        <f>'F-1 Off Site River Baseline'!AN252</f>
        <v/>
      </c>
      <c r="C254" s="520" t="str">
        <f>IF(B254="","",VLOOKUP($B254,'F-1 Off Site River Baseline'!$C$9:$R$257,2,FALSE))</f>
        <v/>
      </c>
      <c r="D254" s="520" t="str">
        <f>IF(C254="","",VLOOKUP($B254,'F-1 Off Site River Baseline'!$C$9:$R$257,3,FALSE))</f>
        <v/>
      </c>
      <c r="E254" s="520" t="str">
        <f>IF(D254="","",VLOOKUP($B254,'F-1 Off Site River Baseline'!$C$9:$R$257,4,FALSE))</f>
        <v/>
      </c>
      <c r="F254" s="520" t="str">
        <f>IF(E254="","",VLOOKUP($B254,'F-1 Off Site River Baseline'!$C$9:$R$257,5,FALSE))</f>
        <v/>
      </c>
      <c r="G254" s="520" t="str">
        <f>IF(F254="","",VLOOKUP($B254,'F-1 Off Site River Baseline'!$C$9:$R$257,6,FALSE))</f>
        <v/>
      </c>
      <c r="H254" s="520" t="str">
        <f>IF(G254="","",VLOOKUP($B254,'F-1 Off Site River Baseline'!$C$9:$R$257,7,FALSE))</f>
        <v/>
      </c>
      <c r="I254" s="520" t="str">
        <f>IF(H254="","",VLOOKUP($B254,'F-1 Off Site River Baseline'!$C$9:$R$257,8,FALSE))</f>
        <v/>
      </c>
      <c r="J254" s="520" t="str">
        <f>IF(I254="","",VLOOKUP($B254,'F-1 Off Site River Baseline'!$C$9:$R$257,9,FALSE))</f>
        <v/>
      </c>
      <c r="K254" s="520" t="str">
        <f>IF(J254="","",VLOOKUP($B254,'F-1 Off Site River Baseline'!$C$9:$R$257,10,FALSE))</f>
        <v/>
      </c>
      <c r="L254" s="520" t="str">
        <f>IF(B254="","",VLOOKUP($B254,'C-1 Site River Baseline'!$C$9:$R$257,15,FALSE))</f>
        <v/>
      </c>
      <c r="M254" s="524" t="str">
        <f>IF(L254="","",VLOOKUP($B254,'F-1 Off Site River Baseline'!$C$9:$R$257,16,FALSE))</f>
        <v/>
      </c>
      <c r="N254" s="418" t="str">
        <f t="shared" si="28"/>
        <v/>
      </c>
      <c r="O254" s="498" t="str">
        <f t="shared" si="29"/>
        <v/>
      </c>
      <c r="P254" s="499" t="str">
        <f>IF(C254="","",IF(AND(LEFT(C254,55)&lt;&gt;LEFT(N254,55),O254="High - High"),"Error - Not like for like ▲",IF(AND(F254=S254,H254&gt;U254),"Error - Can not reduce condition ▲",IF(AND(F254=S254,H254=U254,AJ254='F-1 Off Site River Baseline'!N252,'F-1 Off Site River Baseline'!P252=AL254),"Error - No enhancement ▲",IF(AND(C254&lt;&gt;N254,F254&lt;S254),"Lower Distinctiveness Habitat"&amp;" - "&amp;T254,G254&amp;" - "&amp;T254)))))</f>
        <v/>
      </c>
      <c r="Q254" s="505" t="str">
        <f>IF(N254="","",VLOOKUP(B254,'F-1 Off Site River Baseline'!$C$10:$AA$257,19,FALSE))</f>
        <v/>
      </c>
      <c r="R254" s="498" t="str">
        <f>IF(N254="","",VLOOKUP(N254,'G-7 Rivers Data'!$B$2:$G$8,2,FALSE))</f>
        <v/>
      </c>
      <c r="S254" s="499" t="str">
        <f>IFERROR(VLOOKUP(R254,'G-7 Rivers Data'!$C$4:$D$8,2,FALSE),"")</f>
        <v/>
      </c>
      <c r="T254" s="145"/>
      <c r="U254" s="499" t="str">
        <f>IFERROR(INDEX('G-7 Rivers Data'!$H$4:$L$8,MATCH(N254,'G-7 Rivers Data'!$B$4:$B$8,0),MATCH(T254,'G-7 Rivers Data'!$H$3:$L$3,0)),"")</f>
        <v/>
      </c>
      <c r="V254" s="154"/>
      <c r="W254" s="520" t="str">
        <f>IF(V254="","",IF(VLOOKUP(V254,'G-7 Rivers Data'!$AG$4:$AI$9,2,FALSE)=0,"Spatial Data Missing ⚠",VLOOKUP(V254,'G-7 Rivers Data'!$AG$4:$AI$9,2,FALSE)))</f>
        <v/>
      </c>
      <c r="X254" s="524" t="str">
        <f>IF(V254="","",IF(VLOOKUP(V254,'G-7 Rivers Data'!$AG$4:$AI$9,3,FALSE)=0,"Spatial Data Missing ⚠",VLOOKUP(V254,'G-7 Rivers Data'!$AG$4:$AI$9,3,FALSE)))</f>
        <v/>
      </c>
      <c r="Y254" s="537" t="str">
        <f>IFERROR(IF(OR(LEFT(P254,5)="Error ▲",LEFT(O254,5)="Error ▲"),"Check Data ⚠",IF(F254&lt;S254,'G-7 Rivers Data'!$R$3,INDEX('G-7 Rivers Data'!$U$5:$Y$9,MATCH(G254,'G-7 Rivers Data'!$T$5:$T$9,0),MATCH(T254,'G-7 Rivers Data'!$U$4:$Y$4,0)))),"")</f>
        <v/>
      </c>
      <c r="Z254" s="203"/>
      <c r="AA254" s="203"/>
      <c r="AB254" s="534" t="str">
        <f t="shared" si="24"/>
        <v/>
      </c>
      <c r="AC254" s="521" t="str">
        <f t="shared" si="25"/>
        <v/>
      </c>
      <c r="AD254" s="564" t="str">
        <f>IFERROR(IF(AC254="Check Data ⚠","Check Data ⚠",VLOOKUP(AC254,'G-4 Temporal multipliers'!$A$4:$C$37,3,FALSE)),"")</f>
        <v/>
      </c>
      <c r="AE254" s="537" t="str">
        <f>IF(N254="","",VLOOKUP(N254,'G-7 Rivers Data'!$B$4:$G$8,5,FALSE))</f>
        <v/>
      </c>
      <c r="AF254" s="520" t="str">
        <f t="shared" si="26"/>
        <v/>
      </c>
      <c r="AG254" s="520" t="str">
        <f t="shared" si="30"/>
        <v/>
      </c>
      <c r="AH254" s="524" t="str">
        <f t="shared" si="27"/>
        <v/>
      </c>
      <c r="AI254" s="145"/>
      <c r="AJ254" s="499" t="str">
        <f>IF(AI254="","",IF(VLOOKUP(AI254,'G-7 Rivers Data'!$AA$4:$AB$7,2,FALSE)=0,"Spatial Data Missing ⚠",VLOOKUP(AI254,'G-7 Rivers Data'!$AA$4:$AB$7,2,FALSE)))</f>
        <v/>
      </c>
      <c r="AK254" s="155"/>
      <c r="AL254" s="536" t="str">
        <f>IF(AK254="","",IF(VLOOKUP(AK254,'G-7 Rivers Data'!$AD$4:$AE$8,2,FALSE)=0,"Spatial Data Missing ⚠",VLOOKUP(AK254,'G-7 Rivers Data'!$AD$4:$AE$8,2,FALSE)))</f>
        <v/>
      </c>
      <c r="AM254" s="154"/>
      <c r="AN254" s="524" t="str">
        <f>IF(AM254="","",VLOOKUP(AM254,'G-7 Rivers Data'!$AO$4:$AP$7,2,FALSE))</f>
        <v/>
      </c>
      <c r="AO254" s="545" t="str">
        <f t="shared" si="31"/>
        <v/>
      </c>
      <c r="AP254" s="239"/>
      <c r="AQ254" s="240"/>
      <c r="AX254" s="31" t="str">
        <f>IFERROR(INDEX('G-7 Rivers Data'!$AZ$3:$AZ$7,MATCH(N254,'G-7 Rivers Data'!$AY$3:$AY$7,0)),"")</f>
        <v/>
      </c>
    </row>
    <row r="255" spans="2:50" ht="14" x14ac:dyDescent="0.3">
      <c r="B255" s="531" t="str">
        <f>'F-1 Off Site River Baseline'!AN253</f>
        <v/>
      </c>
      <c r="C255" s="520" t="str">
        <f>IF(B255="","",VLOOKUP($B255,'F-1 Off Site River Baseline'!$C$9:$R$257,2,FALSE))</f>
        <v/>
      </c>
      <c r="D255" s="520" t="str">
        <f>IF(C255="","",VLOOKUP($B255,'F-1 Off Site River Baseline'!$C$9:$R$257,3,FALSE))</f>
        <v/>
      </c>
      <c r="E255" s="520" t="str">
        <f>IF(D255="","",VLOOKUP($B255,'F-1 Off Site River Baseline'!$C$9:$R$257,4,FALSE))</f>
        <v/>
      </c>
      <c r="F255" s="520" t="str">
        <f>IF(E255="","",VLOOKUP($B255,'F-1 Off Site River Baseline'!$C$9:$R$257,5,FALSE))</f>
        <v/>
      </c>
      <c r="G255" s="520" t="str">
        <f>IF(F255="","",VLOOKUP($B255,'F-1 Off Site River Baseline'!$C$9:$R$257,6,FALSE))</f>
        <v/>
      </c>
      <c r="H255" s="520" t="str">
        <f>IF(G255="","",VLOOKUP($B255,'F-1 Off Site River Baseline'!$C$9:$R$257,7,FALSE))</f>
        <v/>
      </c>
      <c r="I255" s="520" t="str">
        <f>IF(H255="","",VLOOKUP($B255,'F-1 Off Site River Baseline'!$C$9:$R$257,8,FALSE))</f>
        <v/>
      </c>
      <c r="J255" s="520" t="str">
        <f>IF(I255="","",VLOOKUP($B255,'F-1 Off Site River Baseline'!$C$9:$R$257,9,FALSE))</f>
        <v/>
      </c>
      <c r="K255" s="520" t="str">
        <f>IF(J255="","",VLOOKUP($B255,'F-1 Off Site River Baseline'!$C$9:$R$257,10,FALSE))</f>
        <v/>
      </c>
      <c r="L255" s="520" t="str">
        <f>IF(B255="","",VLOOKUP($B255,'C-1 Site River Baseline'!$C$9:$R$257,15,FALSE))</f>
        <v/>
      </c>
      <c r="M255" s="524" t="str">
        <f>IF(L255="","",VLOOKUP($B255,'F-1 Off Site River Baseline'!$C$9:$R$257,16,FALSE))</f>
        <v/>
      </c>
      <c r="N255" s="418" t="str">
        <f t="shared" si="28"/>
        <v/>
      </c>
      <c r="O255" s="498" t="str">
        <f t="shared" si="29"/>
        <v/>
      </c>
      <c r="P255" s="499" t="str">
        <f>IF(C255="","",IF(AND(LEFT(C255,55)&lt;&gt;LEFT(N255,55),O255="High - High"),"Error - Not like for like ▲",IF(AND(F255=S255,H255&gt;U255),"Error - Can not reduce condition ▲",IF(AND(F255=S255,H255=U255,AJ255='F-1 Off Site River Baseline'!N253,'F-1 Off Site River Baseline'!P253=AL255),"Error - No enhancement ▲",IF(AND(C255&lt;&gt;N255,F255&lt;S255),"Lower Distinctiveness Habitat"&amp;" - "&amp;T255,G255&amp;" - "&amp;T255)))))</f>
        <v/>
      </c>
      <c r="Q255" s="505" t="str">
        <f>IF(N255="","",VLOOKUP(B255,'F-1 Off Site River Baseline'!$C$10:$AA$257,19,FALSE))</f>
        <v/>
      </c>
      <c r="R255" s="498" t="str">
        <f>IF(N255="","",VLOOKUP(N255,'G-7 Rivers Data'!$B$2:$G$8,2,FALSE))</f>
        <v/>
      </c>
      <c r="S255" s="499" t="str">
        <f>IFERROR(VLOOKUP(R255,'G-7 Rivers Data'!$C$4:$D$8,2,FALSE),"")</f>
        <v/>
      </c>
      <c r="T255" s="145"/>
      <c r="U255" s="499" t="str">
        <f>IFERROR(INDEX('G-7 Rivers Data'!$H$4:$L$8,MATCH(N255,'G-7 Rivers Data'!$B$4:$B$8,0),MATCH(T255,'G-7 Rivers Data'!$H$3:$L$3,0)),"")</f>
        <v/>
      </c>
      <c r="V255" s="154"/>
      <c r="W255" s="520" t="str">
        <f>IF(V255="","",IF(VLOOKUP(V255,'G-7 Rivers Data'!$AG$4:$AI$9,2,FALSE)=0,"Spatial Data Missing ⚠",VLOOKUP(V255,'G-7 Rivers Data'!$AG$4:$AI$9,2,FALSE)))</f>
        <v/>
      </c>
      <c r="X255" s="524" t="str">
        <f>IF(V255="","",IF(VLOOKUP(V255,'G-7 Rivers Data'!$AG$4:$AI$9,3,FALSE)=0,"Spatial Data Missing ⚠",VLOOKUP(V255,'G-7 Rivers Data'!$AG$4:$AI$9,3,FALSE)))</f>
        <v/>
      </c>
      <c r="Y255" s="537" t="str">
        <f>IFERROR(IF(OR(LEFT(P255,5)="Error ▲",LEFT(O255,5)="Error ▲"),"Check Data ⚠",IF(F255&lt;S255,'G-7 Rivers Data'!$R$3,INDEX('G-7 Rivers Data'!$U$5:$Y$9,MATCH(G255,'G-7 Rivers Data'!$T$5:$T$9,0),MATCH(T255,'G-7 Rivers Data'!$U$4:$Y$4,0)))),"")</f>
        <v/>
      </c>
      <c r="Z255" s="203"/>
      <c r="AA255" s="203"/>
      <c r="AB255" s="534" t="str">
        <f t="shared" si="24"/>
        <v/>
      </c>
      <c r="AC255" s="521" t="str">
        <f t="shared" si="25"/>
        <v/>
      </c>
      <c r="AD255" s="564" t="str">
        <f>IFERROR(IF(AC255="Check Data ⚠","Check Data ⚠",VLOOKUP(AC255,'G-4 Temporal multipliers'!$A$4:$C$37,3,FALSE)),"")</f>
        <v/>
      </c>
      <c r="AE255" s="537" t="str">
        <f>IF(N255="","",VLOOKUP(N255,'G-7 Rivers Data'!$B$4:$G$8,5,FALSE))</f>
        <v/>
      </c>
      <c r="AF255" s="520" t="str">
        <f t="shared" si="26"/>
        <v/>
      </c>
      <c r="AG255" s="520" t="str">
        <f t="shared" si="30"/>
        <v/>
      </c>
      <c r="AH255" s="524" t="str">
        <f t="shared" si="27"/>
        <v/>
      </c>
      <c r="AI255" s="145"/>
      <c r="AJ255" s="499" t="str">
        <f>IF(AI255="","",IF(VLOOKUP(AI255,'G-7 Rivers Data'!$AA$4:$AB$7,2,FALSE)=0,"Spatial Data Missing ⚠",VLOOKUP(AI255,'G-7 Rivers Data'!$AA$4:$AB$7,2,FALSE)))</f>
        <v/>
      </c>
      <c r="AK255" s="155"/>
      <c r="AL255" s="536" t="str">
        <f>IF(AK255="","",IF(VLOOKUP(AK255,'G-7 Rivers Data'!$AD$4:$AE$8,2,FALSE)=0,"Spatial Data Missing ⚠",VLOOKUP(AK255,'G-7 Rivers Data'!$AD$4:$AE$8,2,FALSE)))</f>
        <v/>
      </c>
      <c r="AM255" s="154"/>
      <c r="AN255" s="524" t="str">
        <f>IF(AM255="","",VLOOKUP(AM255,'G-7 Rivers Data'!$AO$4:$AP$7,2,FALSE))</f>
        <v/>
      </c>
      <c r="AO255" s="545" t="str">
        <f t="shared" si="31"/>
        <v/>
      </c>
      <c r="AP255" s="239"/>
      <c r="AQ255" s="240"/>
      <c r="AX255" s="31" t="str">
        <f>IFERROR(INDEX('G-7 Rivers Data'!$AZ$3:$AZ$7,MATCH(N255,'G-7 Rivers Data'!$AY$3:$AY$7,0)),"")</f>
        <v/>
      </c>
    </row>
    <row r="256" spans="2:50" ht="14" x14ac:dyDescent="0.3">
      <c r="B256" s="531" t="str">
        <f>'F-1 Off Site River Baseline'!AN254</f>
        <v/>
      </c>
      <c r="C256" s="520" t="str">
        <f>IF(B256="","",VLOOKUP($B256,'F-1 Off Site River Baseline'!$C$9:$R$257,2,FALSE))</f>
        <v/>
      </c>
      <c r="D256" s="520" t="str">
        <f>IF(C256="","",VLOOKUP($B256,'F-1 Off Site River Baseline'!$C$9:$R$257,3,FALSE))</f>
        <v/>
      </c>
      <c r="E256" s="520" t="str">
        <f>IF(D256="","",VLOOKUP($B256,'F-1 Off Site River Baseline'!$C$9:$R$257,4,FALSE))</f>
        <v/>
      </c>
      <c r="F256" s="520" t="str">
        <f>IF(E256="","",VLOOKUP($B256,'F-1 Off Site River Baseline'!$C$9:$R$257,5,FALSE))</f>
        <v/>
      </c>
      <c r="G256" s="520" t="str">
        <f>IF(F256="","",VLOOKUP($B256,'F-1 Off Site River Baseline'!$C$9:$R$257,6,FALSE))</f>
        <v/>
      </c>
      <c r="H256" s="520" t="str">
        <f>IF(G256="","",VLOOKUP($B256,'F-1 Off Site River Baseline'!$C$9:$R$257,7,FALSE))</f>
        <v/>
      </c>
      <c r="I256" s="520" t="str">
        <f>IF(H256="","",VLOOKUP($B256,'F-1 Off Site River Baseline'!$C$9:$R$257,8,FALSE))</f>
        <v/>
      </c>
      <c r="J256" s="520" t="str">
        <f>IF(I256="","",VLOOKUP($B256,'F-1 Off Site River Baseline'!$C$9:$R$257,9,FALSE))</f>
        <v/>
      </c>
      <c r="K256" s="520" t="str">
        <f>IF(J256="","",VLOOKUP($B256,'F-1 Off Site River Baseline'!$C$9:$R$257,10,FALSE))</f>
        <v/>
      </c>
      <c r="L256" s="520" t="str">
        <f>IF(B256="","",VLOOKUP($B256,'C-1 Site River Baseline'!$C$9:$R$257,15,FALSE))</f>
        <v/>
      </c>
      <c r="M256" s="524" t="str">
        <f>IF(L256="","",VLOOKUP($B256,'F-1 Off Site River Baseline'!$C$9:$R$257,16,FALSE))</f>
        <v/>
      </c>
      <c r="N256" s="418" t="str">
        <f t="shared" si="28"/>
        <v/>
      </c>
      <c r="O256" s="498" t="str">
        <f t="shared" si="29"/>
        <v/>
      </c>
      <c r="P256" s="499" t="str">
        <f>IF(C256="","",IF(AND(LEFT(C256,55)&lt;&gt;LEFT(N256,55),O256="High - High"),"Error - Not like for like ▲",IF(AND(F256=S256,H256&gt;U256),"Error - Can not reduce condition ▲",IF(AND(F256=S256,H256=U256,AJ256='F-1 Off Site River Baseline'!N254,'F-1 Off Site River Baseline'!P254=AL256),"Error - No enhancement ▲",IF(AND(C256&lt;&gt;N256,F256&lt;S256),"Lower Distinctiveness Habitat"&amp;" - "&amp;T256,G256&amp;" - "&amp;T256)))))</f>
        <v/>
      </c>
      <c r="Q256" s="505" t="str">
        <f>IF(N256="","",VLOOKUP(B256,'F-1 Off Site River Baseline'!$C$10:$AA$257,19,FALSE))</f>
        <v/>
      </c>
      <c r="R256" s="498" t="str">
        <f>IF(N256="","",VLOOKUP(N256,'G-7 Rivers Data'!$B$2:$G$8,2,FALSE))</f>
        <v/>
      </c>
      <c r="S256" s="499" t="str">
        <f>IFERROR(VLOOKUP(R256,'G-7 Rivers Data'!$C$4:$D$8,2,FALSE),"")</f>
        <v/>
      </c>
      <c r="T256" s="145"/>
      <c r="U256" s="499" t="str">
        <f>IFERROR(INDEX('G-7 Rivers Data'!$H$4:$L$8,MATCH(N256,'G-7 Rivers Data'!$B$4:$B$8,0),MATCH(T256,'G-7 Rivers Data'!$H$3:$L$3,0)),"")</f>
        <v/>
      </c>
      <c r="V256" s="154"/>
      <c r="W256" s="520" t="str">
        <f>IF(V256="","",IF(VLOOKUP(V256,'G-7 Rivers Data'!$AG$4:$AI$9,2,FALSE)=0,"Spatial Data Missing ⚠",VLOOKUP(V256,'G-7 Rivers Data'!$AG$4:$AI$9,2,FALSE)))</f>
        <v/>
      </c>
      <c r="X256" s="524" t="str">
        <f>IF(V256="","",IF(VLOOKUP(V256,'G-7 Rivers Data'!$AG$4:$AI$9,3,FALSE)=0,"Spatial Data Missing ⚠",VLOOKUP(V256,'G-7 Rivers Data'!$AG$4:$AI$9,3,FALSE)))</f>
        <v/>
      </c>
      <c r="Y256" s="537" t="str">
        <f>IFERROR(IF(OR(LEFT(P256,5)="Error ▲",LEFT(O256,5)="Error ▲"),"Check Data ⚠",IF(F256&lt;S256,'G-7 Rivers Data'!$R$3,INDEX('G-7 Rivers Data'!$U$5:$Y$9,MATCH(G256,'G-7 Rivers Data'!$T$5:$T$9,0),MATCH(T256,'G-7 Rivers Data'!$U$4:$Y$4,0)))),"")</f>
        <v/>
      </c>
      <c r="Z256" s="203"/>
      <c r="AA256" s="203"/>
      <c r="AB256" s="534" t="str">
        <f t="shared" si="24"/>
        <v/>
      </c>
      <c r="AC256" s="521" t="str">
        <f t="shared" si="25"/>
        <v/>
      </c>
      <c r="AD256" s="564" t="str">
        <f>IFERROR(IF(AC256="Check Data ⚠","Check Data ⚠",VLOOKUP(AC256,'G-4 Temporal multipliers'!$A$4:$C$37,3,FALSE)),"")</f>
        <v/>
      </c>
      <c r="AE256" s="537" t="str">
        <f>IF(N256="","",VLOOKUP(N256,'G-7 Rivers Data'!$B$4:$G$8,5,FALSE))</f>
        <v/>
      </c>
      <c r="AF256" s="520" t="str">
        <f t="shared" si="26"/>
        <v/>
      </c>
      <c r="AG256" s="520" t="str">
        <f t="shared" si="30"/>
        <v/>
      </c>
      <c r="AH256" s="524" t="str">
        <f t="shared" si="27"/>
        <v/>
      </c>
      <c r="AI256" s="145"/>
      <c r="AJ256" s="499" t="str">
        <f>IF(AI256="","",IF(VLOOKUP(AI256,'G-7 Rivers Data'!$AA$4:$AB$7,2,FALSE)=0,"Spatial Data Missing ⚠",VLOOKUP(AI256,'G-7 Rivers Data'!$AA$4:$AB$7,2,FALSE)))</f>
        <v/>
      </c>
      <c r="AK256" s="155"/>
      <c r="AL256" s="536" t="str">
        <f>IF(AK256="","",IF(VLOOKUP(AK256,'G-7 Rivers Data'!$AD$4:$AE$8,2,FALSE)=0,"Spatial Data Missing ⚠",VLOOKUP(AK256,'G-7 Rivers Data'!$AD$4:$AE$8,2,FALSE)))</f>
        <v/>
      </c>
      <c r="AM256" s="154"/>
      <c r="AN256" s="524" t="str">
        <f>IF(AM256="","",VLOOKUP(AM256,'G-7 Rivers Data'!$AO$4:$AP$7,2,FALSE))</f>
        <v/>
      </c>
      <c r="AO256" s="545" t="str">
        <f t="shared" si="31"/>
        <v/>
      </c>
      <c r="AP256" s="239"/>
      <c r="AQ256" s="240"/>
      <c r="AX256" s="31" t="str">
        <f>IFERROR(INDEX('G-7 Rivers Data'!$AZ$3:$AZ$7,MATCH(N256,'G-7 Rivers Data'!$AY$3:$AY$7,0)),"")</f>
        <v/>
      </c>
    </row>
    <row r="257" spans="2:50" ht="14.5" thickBot="1" x14ac:dyDescent="0.35">
      <c r="B257" s="533" t="str">
        <f>'F-1 Off Site River Baseline'!AN255</f>
        <v/>
      </c>
      <c r="C257" s="534" t="str">
        <f>IF(B257="","",VLOOKUP($B257,'F-1 Off Site River Baseline'!$C$9:$R$257,2,FALSE))</f>
        <v/>
      </c>
      <c r="D257" s="534" t="str">
        <f>IF(C257="","",VLOOKUP($B257,'F-1 Off Site River Baseline'!$C$9:$R$257,3,FALSE))</f>
        <v/>
      </c>
      <c r="E257" s="534" t="str">
        <f>IF(D257="","",VLOOKUP($B257,'F-1 Off Site River Baseline'!$C$9:$R$257,4,FALSE))</f>
        <v/>
      </c>
      <c r="F257" s="534" t="str">
        <f>IF(E257="","",VLOOKUP($B257,'F-1 Off Site River Baseline'!$C$9:$R$257,5,FALSE))</f>
        <v/>
      </c>
      <c r="G257" s="534" t="str">
        <f>IF(F257="","",VLOOKUP($B257,'F-1 Off Site River Baseline'!$C$9:$R$257,6,FALSE))</f>
        <v/>
      </c>
      <c r="H257" s="534" t="str">
        <f>IF(G257="","",VLOOKUP($B257,'F-1 Off Site River Baseline'!$C$9:$R$257,7,FALSE))</f>
        <v/>
      </c>
      <c r="I257" s="534" t="str">
        <f>IF(H257="","",VLOOKUP($B257,'F-1 Off Site River Baseline'!$C$9:$R$257,8,FALSE))</f>
        <v/>
      </c>
      <c r="J257" s="534" t="str">
        <f>IF(I257="","",VLOOKUP($B257,'F-1 Off Site River Baseline'!$C$9:$R$257,9,FALSE))</f>
        <v/>
      </c>
      <c r="K257" s="534" t="str">
        <f>IF(J257="","",VLOOKUP($B257,'F-1 Off Site River Baseline'!$C$9:$R$257,10,FALSE))</f>
        <v/>
      </c>
      <c r="L257" s="534" t="str">
        <f>IF(B257="","",VLOOKUP($B257,'C-1 Site River Baseline'!$C$9:$R$257,15,FALSE))</f>
        <v/>
      </c>
      <c r="M257" s="536" t="str">
        <f>IF(L257="","",VLOOKUP($B257,'F-1 Off Site River Baseline'!$C$9:$R$257,16,FALSE))</f>
        <v/>
      </c>
      <c r="N257" s="425" t="str">
        <f t="shared" si="28"/>
        <v/>
      </c>
      <c r="O257" s="498" t="str">
        <f t="shared" si="29"/>
        <v/>
      </c>
      <c r="P257" s="499" t="str">
        <f>IF(C257="","",IF(AND(LEFT(C257,55)&lt;&gt;LEFT(N257,55),O257="High - High"),"Error - Not like for like ▲",IF(AND(F257=S257,H257&gt;U257),"Error - Can not reduce condition ▲",IF(AND(F257=S257,H257=U257,AJ257='F-1 Off Site River Baseline'!N255,'F-1 Off Site River Baseline'!P255=AL257),"Error - No enhancement ▲",IF(AND(C257&lt;&gt;N257,F257&lt;S257),"Lower Distinctiveness Habitat"&amp;" - "&amp;T257,G257&amp;" - "&amp;T257)))))</f>
        <v/>
      </c>
      <c r="Q257" s="637" t="str">
        <f>IF(N257="","",VLOOKUP(B257,'F-1 Off Site River Baseline'!$C$10:$AA$257,19,FALSE))</f>
        <v/>
      </c>
      <c r="R257" s="538" t="str">
        <f>IF(N257="","",VLOOKUP(N257,'G-7 Rivers Data'!$B$2:$G$8,2,FALSE))</f>
        <v/>
      </c>
      <c r="S257" s="536" t="str">
        <f>IFERROR(VLOOKUP(R257,'G-7 Rivers Data'!$C$4:$D$8,2,FALSE),"")</f>
        <v/>
      </c>
      <c r="T257" s="210"/>
      <c r="U257" s="536" t="str">
        <f>IFERROR(INDEX('G-7 Rivers Data'!$H$4:$L$8,MATCH(N257,'G-7 Rivers Data'!$B$4:$B$8,0),MATCH(T257,'G-7 Rivers Data'!$H$3:$L$3,0)),"")</f>
        <v/>
      </c>
      <c r="V257" s="210"/>
      <c r="W257" s="520" t="str">
        <f>IF(V257="","",IF(VLOOKUP(V257,'G-7 Rivers Data'!$AG$4:$AI$9,2,FALSE)=0,"Spatial Data Missing ⚠",VLOOKUP(V257,'G-7 Rivers Data'!$AG$4:$AI$9,2,FALSE)))</f>
        <v/>
      </c>
      <c r="X257" s="524" t="str">
        <f>IF(V257="","",IF(VLOOKUP(V257,'G-7 Rivers Data'!$AG$4:$AI$9,3,FALSE)=0,"Spatial Data Missing ⚠",VLOOKUP(V257,'G-7 Rivers Data'!$AG$4:$AI$9,3,FALSE)))</f>
        <v/>
      </c>
      <c r="Y257" s="537" t="str">
        <f>IFERROR(IF(OR(LEFT(P257,5)="Error ▲",LEFT(O257,5)="Error ▲"),"Check Data ⚠",IF(F257&lt;S257,'G-7 Rivers Data'!$R$3,INDEX('G-7 Rivers Data'!$U$5:$Y$9,MATCH(G257,'G-7 Rivers Data'!$T$5:$T$9,0),MATCH(T257,'G-7 Rivers Data'!$U$4:$Y$4,0)))),"")</f>
        <v/>
      </c>
      <c r="Z257" s="203"/>
      <c r="AA257" s="211"/>
      <c r="AB257" s="534" t="str">
        <f>IF(Y257="","",IF(Y257="Check Data ⚠","Check Data ⚠",IF(AND(Z257&gt;0,AA257&gt;0),"Error -both advance and delayed habitat creation ▲",IF(AND(OR(Z257="Habitat already in target condition",Y257&lt;=Z257),AA257=0),"Check details - Is there evidence that habitat has reached target condition? ⚠",IF(Z257&gt;0,"Check details - Is there evidence habitat creation started/in place? ⚠",IF(AA257&gt;0,"Check details- Delay in starting habitat in required condition? ⚠","Standard time to target condition applied"))))))</f>
        <v/>
      </c>
      <c r="AC257" s="521" t="str">
        <f>IF(LEFT(AB257,5)="Error ▲","Check Data ⚠",IF(AB257="Check Data ⚠","Check Data ⚠",IF(Y257="","",IF(Z257="30+",0,IF(AA257="30+","30+ ⚠",IF(Y257+AA257&gt;30,"30+ ⚠",IF(Y257+AA257-Z257&gt;0,Y257+AA257-Z257,IF(Y257-Z257&lt;0,0,Y257+AA257-Z257))))))))</f>
        <v/>
      </c>
      <c r="AD257" s="564" t="str">
        <f>IFERROR(IF(AC257="Check Data ⚠","Check Data ⚠",VLOOKUP(AC257,'G-4 Temporal multipliers'!$A$4:$C$37,3,FALSE)),"")</f>
        <v/>
      </c>
      <c r="AE257" s="538" t="str">
        <f>IF(N257="","",VLOOKUP(N257,'G-7 Rivers Data'!$B$4:$G$8,5,FALSE))</f>
        <v/>
      </c>
      <c r="AF257" s="520" t="str">
        <f>IF(N257="","",IF(AC257="Check Data ⚠","Check Data ⚠",IF(T257="","",IF($AB257="Check details - Is there evidence that habitat has reached target condition? ⚠","Low Difficulty - only applicable if all habitat created before losses ⚠","Standard difficulty applied"))))</f>
        <v/>
      </c>
      <c r="AG257" s="520" t="str">
        <f t="shared" si="30"/>
        <v/>
      </c>
      <c r="AH257" s="536" t="str">
        <f t="shared" si="27"/>
        <v/>
      </c>
      <c r="AI257" s="449"/>
      <c r="AJ257" s="499" t="str">
        <f>IF(AI257="","",IF(VLOOKUP(AI257,'G-7 Rivers Data'!$AA$4:$AB$7,2,FALSE)=0,"Spatial Data Missing ⚠",VLOOKUP(AI257,'G-7 Rivers Data'!$AA$4:$AB$7,2,FALSE)))</f>
        <v/>
      </c>
      <c r="AK257" s="422"/>
      <c r="AL257" s="536" t="str">
        <f>IF(AK257="","",IF(VLOOKUP(AK257,'G-7 Rivers Data'!$AD$4:$AE$8,2,FALSE)=0,"Spatial Data Missing ⚠",VLOOKUP(AK257,'G-7 Rivers Data'!$AD$4:$AE$8,2,FALSE)))</f>
        <v/>
      </c>
      <c r="AM257" s="210"/>
      <c r="AN257" s="536" t="str">
        <f>IF(AM257="","",VLOOKUP(AM257,'G-7 Rivers Data'!$AO$4:$AP$7,2,FALSE))</f>
        <v/>
      </c>
      <c r="AO257" s="545" t="str">
        <f t="shared" si="31"/>
        <v/>
      </c>
      <c r="AP257" s="423"/>
      <c r="AQ257" s="424"/>
      <c r="AX257" s="31" t="str">
        <f>IFERROR(INDEX('G-7 Rivers Data'!$AZ$3:$AZ$7,MATCH(N257,'G-7 Rivers Data'!$AY$3:$AY$7,0)),"")</f>
        <v/>
      </c>
    </row>
    <row r="258" spans="2:50" ht="14.5" thickBot="1" x14ac:dyDescent="0.35">
      <c r="B258" s="46"/>
      <c r="C258" s="277"/>
      <c r="D258" s="503">
        <f>SUM(D12:D257)</f>
        <v>0</v>
      </c>
      <c r="E258" s="277"/>
      <c r="F258" s="277"/>
      <c r="G258" s="277"/>
      <c r="H258" s="277"/>
      <c r="I258" s="277"/>
      <c r="J258" s="277"/>
      <c r="K258" s="277"/>
      <c r="L258" s="277"/>
      <c r="M258" s="277"/>
      <c r="N258" s="277"/>
      <c r="O258" s="277"/>
      <c r="P258" s="277"/>
      <c r="Q258" s="503">
        <f>SUM(Q12:Q257)</f>
        <v>0</v>
      </c>
      <c r="R258" s="46"/>
      <c r="S258" s="46"/>
      <c r="T258" s="46"/>
      <c r="U258" s="46"/>
      <c r="V258" s="46"/>
      <c r="W258" s="46"/>
      <c r="X258" s="46"/>
      <c r="Y258" s="46"/>
      <c r="Z258" s="46"/>
      <c r="AA258" s="46"/>
      <c r="AB258" s="46"/>
      <c r="AC258" s="46"/>
      <c r="AD258" s="46"/>
      <c r="AE258" s="46"/>
      <c r="AF258" s="46"/>
      <c r="AG258" s="46"/>
      <c r="AH258" s="46"/>
      <c r="AI258" s="46"/>
      <c r="AJ258" s="46" t="str">
        <f>IF(AI258="","",IF(VLOOKUP(AI258,'[2]G-7 Rivers Data'!$AA$4:$AB$6,2,FALSE)=0,"Spatial Data Missing",VLOOKUP(AI258,'[2]G-7 Rivers Data'!$AA$4:$AB$6,2,FALSE)))</f>
        <v/>
      </c>
      <c r="AK258" s="46"/>
      <c r="AL258" s="46"/>
      <c r="AM258" s="1014"/>
      <c r="AN258" s="1014"/>
      <c r="AO258" s="569">
        <f>SUM(AO12:AO257)</f>
        <v>0</v>
      </c>
      <c r="AP258" s="46"/>
      <c r="AQ258" s="46"/>
    </row>
    <row r="259" spans="2:50" ht="14" x14ac:dyDescent="0.3">
      <c r="AJ259" s="31" t="str">
        <f>IF(AI259="","",IF(VLOOKUP(AI259,'[2]G-7 Rivers Data'!$AA$4:$AB$6,2,FALSE)=0,"Spatial Data Missing",VLOOKUP(AI259,'[2]G-7 Rivers Data'!$AA$4:$AB$6,2,FALSE)))</f>
        <v/>
      </c>
      <c r="AM259" s="40"/>
    </row>
    <row r="260" spans="2:50" ht="14" x14ac:dyDescent="0.3"/>
    <row r="261" spans="2:50" ht="14" x14ac:dyDescent="0.3"/>
    <row r="262" spans="2:50" ht="14" x14ac:dyDescent="0.3"/>
    <row r="263" spans="2:50" ht="14" x14ac:dyDescent="0.3"/>
    <row r="264" spans="2:50" ht="14" x14ac:dyDescent="0.3"/>
    <row r="265" spans="2:50" ht="14" x14ac:dyDescent="0.3"/>
    <row r="266" spans="2:50" ht="14" x14ac:dyDescent="0.3"/>
  </sheetData>
  <sheetProtection algorithmName="SHA-512" hashValue="gQjHW6t9Zfn4MVpuMRM0Q4ud9lYR395LFpUPvhvTZ+PFct5Oqy7rIVJj2YW1KgFn+fmcvcZz5xa7RTFysWBu9w==" saltValue="c1nfWxjSG9N3zk1NBelGxQ=="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19">
    <mergeCell ref="B3:C4"/>
    <mergeCell ref="O10:P10"/>
    <mergeCell ref="AI10:AJ10"/>
    <mergeCell ref="AK10:AL10"/>
    <mergeCell ref="AM10:AN10"/>
    <mergeCell ref="Y2:AD4"/>
    <mergeCell ref="B2:C2"/>
    <mergeCell ref="C10:M10"/>
    <mergeCell ref="V10:X10"/>
    <mergeCell ref="Y10:AD10"/>
    <mergeCell ref="AE10:AH10"/>
    <mergeCell ref="N10:N11"/>
    <mergeCell ref="Q10:Q11"/>
    <mergeCell ref="R10:S10"/>
    <mergeCell ref="T10:U10"/>
    <mergeCell ref="AM258:AN258"/>
    <mergeCell ref="N9:AN9"/>
    <mergeCell ref="AP10:AQ10"/>
    <mergeCell ref="AO10:AO11"/>
  </mergeCells>
  <conditionalFormatting sqref="L12:L257">
    <cfRule type="containsText" dxfId="15" priority="10" operator="containsText" text="Restore">
      <formula>NOT(ISERROR(SEARCH("Restore",L12)))</formula>
    </cfRule>
  </conditionalFormatting>
  <conditionalFormatting sqref="AO13:AO258 O12:AB257 AE12:AO257">
    <cfRule type="beginsWith" dxfId="14" priority="5" operator="beginsWith" text="No - Low">
      <formula>LEFT(O12,LEN("No - Low"))="No - Low"</formula>
    </cfRule>
    <cfRule type="containsText" dxfId="13" priority="6" operator="containsText" text="30+">
      <formula>NOT(ISERROR(SEARCH("30+",O12)))</formula>
    </cfRule>
    <cfRule type="containsText" dxfId="12" priority="7" operator="containsText" text="Spatial">
      <formula>NOT(ISERROR(SEARCH("Spatial",O12)))</formula>
    </cfRule>
    <cfRule type="containsText" dxfId="11" priority="8" operator="containsText" text="Check">
      <formula>NOT(ISERROR(SEARCH("Check",O12)))</formula>
    </cfRule>
    <cfRule type="containsText" dxfId="10" priority="9" operator="containsText" text="Error">
      <formula>NOT(ISERROR(SEARCH("Error",O12)))</formula>
    </cfRule>
  </conditionalFormatting>
  <conditionalFormatting sqref="AC12:AD257">
    <cfRule type="containsText" dxfId="9" priority="3" operator="containsText" text="Check">
      <formula>NOT(ISERROR(SEARCH("Check",AC12)))</formula>
    </cfRule>
    <cfRule type="beginsWith" dxfId="8" priority="4" operator="beginsWith" text="Error">
      <formula>LEFT(AC12,LEN("Error"))="Error"</formula>
    </cfRule>
  </conditionalFormatting>
  <conditionalFormatting sqref="Y2">
    <cfRule type="containsText" dxfId="7" priority="1" operator="containsText" text="Note">
      <formula>NOT(ISERROR(SEARCH("Note",Y2)))</formula>
    </cfRule>
  </conditionalFormatting>
  <dataValidations count="1">
    <dataValidation type="list" allowBlank="1" showInputMessage="1" showErrorMessage="1" sqref="T12:T257" xr:uid="{00000000-0002-0000-1C00-000000000000}">
      <formula1>INDIRECT(AX12)</formula1>
    </dataValidation>
  </dataValidations>
  <pageMargins left="0.7" right="0.7" top="0.75" bottom="0.75" header="0.3" footer="0.3"/>
  <pageSetup paperSize="9" orientation="portrait" horizontalDpi="90" verticalDpi="90"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1C00-000001000000}">
          <x14:formula1>
            <xm:f>'\\LYN264DF\m312897$\Net Gain\Rivers and Streams\[Master metric with RS amendments with new G7 layout.xlsm]G-7 Rivers Data'!#REF!</xm:f>
          </x14:formula1>
          <xm:sqref>AI258:AI259</xm:sqref>
        </x14:dataValidation>
        <x14:dataValidation type="list" allowBlank="1" showInputMessage="1" showErrorMessage="1" xr:uid="{00000000-0002-0000-1C00-000002000000}">
          <x14:formula1>
            <xm:f>'G-7 Rivers Data'!$AG$4:$AG$9</xm:f>
          </x14:formula1>
          <xm:sqref>V12:V257</xm:sqref>
        </x14:dataValidation>
        <x14:dataValidation type="list" allowBlank="1" showInputMessage="1" showErrorMessage="1" xr:uid="{00000000-0002-0000-1C00-000004000000}">
          <x14:formula1>
            <xm:f>'G-7 Rivers Data'!$AD$4:$AD$7</xm:f>
          </x14:formula1>
          <xm:sqref>AK12:AK257</xm:sqref>
        </x14:dataValidation>
        <x14:dataValidation type="list" allowBlank="1" showInputMessage="1" showErrorMessage="1" xr:uid="{00000000-0002-0000-1C00-000005000000}">
          <x14:formula1>
            <xm:f>'G-7 Rivers Data'!$AO$4:$AO$6</xm:f>
          </x14:formula1>
          <xm:sqref>AM12:AM257</xm:sqref>
        </x14:dataValidation>
        <x14:dataValidation type="list" allowBlank="1" showInputMessage="1" showErrorMessage="1" xr:uid="{00000000-0002-0000-1C00-000006000000}">
          <x14:formula1>
            <xm:f>'G-7 Rivers Data'!$B$4:$B$8</xm:f>
          </x14:formula1>
          <xm:sqref>N12:N257</xm:sqref>
        </x14:dataValidation>
        <x14:dataValidation type="list" allowBlank="1" showInputMessage="1" showErrorMessage="1" xr:uid="{00000000-0002-0000-1C00-000007000000}">
          <x14:formula1>
            <xm:f>'G-4 Temporal multipliers'!$A$41:$A$72</xm:f>
          </x14:formula1>
          <xm:sqref>Z12:AA257</xm:sqref>
        </x14:dataValidation>
        <x14:dataValidation type="list" allowBlank="1" showInputMessage="1" showErrorMessage="1" xr:uid="{C28378F0-6EA8-4E24-813F-F4ACCB44203A}">
          <x14:formula1>
            <xm:f>'G-7 Rivers Data'!$AA$4:$AA$7</xm:f>
          </x14:formula1>
          <xm:sqref>AI12:AI257</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0">
    <tabColor rgb="FFFFC000"/>
  </sheetPr>
  <dimension ref="A1:XFC154"/>
  <sheetViews>
    <sheetView workbookViewId="0"/>
  </sheetViews>
  <sheetFormatPr defaultColWidth="4.1796875" defaultRowHeight="14" zeroHeight="1" x14ac:dyDescent="0.3"/>
  <cols>
    <col min="1" max="1" width="30.453125" style="31" customWidth="1"/>
    <col min="2" max="2" width="77" style="31" bestFit="1" customWidth="1"/>
    <col min="3" max="3" width="26.26953125" style="31" bestFit="1" customWidth="1"/>
    <col min="4" max="4" width="13.7265625" style="31" bestFit="1" customWidth="1"/>
    <col min="5" max="5" width="19.81640625" style="31" bestFit="1" customWidth="1"/>
    <col min="6" max="6" width="25.26953125" style="31" bestFit="1" customWidth="1"/>
    <col min="7" max="7" width="19.81640625" style="31" bestFit="1" customWidth="1"/>
    <col min="8" max="8" width="82.1796875" style="31" bestFit="1" customWidth="1"/>
    <col min="9" max="9" width="26.1796875" style="31" customWidth="1"/>
    <col min="10" max="10" width="60.54296875" style="31" bestFit="1" customWidth="1"/>
    <col min="11" max="11" width="21.1796875" style="31" bestFit="1" customWidth="1"/>
    <col min="12" max="12" width="28.26953125" style="31" bestFit="1" customWidth="1"/>
    <col min="13" max="13" width="66" style="31" customWidth="1"/>
    <col min="14" max="14" width="27.453125" style="31" bestFit="1" customWidth="1"/>
    <col min="15" max="15" width="16.453125" style="31" bestFit="1" customWidth="1"/>
    <col min="16" max="16" width="27.453125" style="31" bestFit="1" customWidth="1"/>
    <col min="17" max="17" width="16.453125" style="31" bestFit="1" customWidth="1"/>
    <col min="18" max="18" width="28.453125" style="42" bestFit="1" customWidth="1"/>
    <col min="19" max="19" width="30.1796875" style="31" bestFit="1" customWidth="1"/>
    <col min="20" max="23" width="26.1796875" style="31" customWidth="1"/>
    <col min="24" max="24" width="30.1796875" style="31" customWidth="1"/>
    <col min="25" max="27" width="26.1796875" style="31" customWidth="1"/>
    <col min="28" max="33" width="31.26953125" style="31" customWidth="1"/>
    <col min="34" max="16383" width="4.1796875" style="31"/>
    <col min="16384" max="16384" width="2.26953125" style="31" hidden="1" customWidth="1"/>
  </cols>
  <sheetData>
    <row r="1" spans="1:33" ht="57.65" customHeight="1" x14ac:dyDescent="0.5">
      <c r="D1" s="1040" t="s">
        <v>342</v>
      </c>
      <c r="E1" s="1040"/>
      <c r="F1" s="1040"/>
      <c r="G1" s="212"/>
      <c r="H1" s="212"/>
      <c r="I1" s="212"/>
      <c r="J1" s="212"/>
      <c r="V1" s="955" t="s">
        <v>343</v>
      </c>
      <c r="W1" s="1037"/>
      <c r="X1" s="957"/>
      <c r="Z1" s="955" t="s">
        <v>344</v>
      </c>
      <c r="AA1" s="957"/>
      <c r="AF1" s="1038" t="s">
        <v>345</v>
      </c>
      <c r="AG1" s="1038" t="s">
        <v>346</v>
      </c>
    </row>
    <row r="2" spans="1:33" s="117" customFormat="1" ht="41.5" customHeight="1" x14ac:dyDescent="0.3">
      <c r="B2" s="103" t="s">
        <v>347</v>
      </c>
      <c r="C2" s="213" t="s">
        <v>348</v>
      </c>
      <c r="D2" s="213" t="s">
        <v>349</v>
      </c>
      <c r="E2" s="213" t="s">
        <v>350</v>
      </c>
      <c r="F2" s="213" t="s">
        <v>351</v>
      </c>
      <c r="G2" s="213" t="s">
        <v>352</v>
      </c>
      <c r="H2" s="213" t="s">
        <v>353</v>
      </c>
      <c r="I2" s="213" t="s">
        <v>354</v>
      </c>
      <c r="J2" s="213" t="s">
        <v>355</v>
      </c>
      <c r="K2" s="213" t="s">
        <v>356</v>
      </c>
      <c r="L2" s="213" t="s">
        <v>357</v>
      </c>
      <c r="M2" s="213" t="s">
        <v>358</v>
      </c>
      <c r="N2" s="214" t="s">
        <v>359</v>
      </c>
      <c r="O2" s="214" t="s">
        <v>323</v>
      </c>
      <c r="P2" s="214" t="s">
        <v>360</v>
      </c>
      <c r="Q2" s="214" t="s">
        <v>323</v>
      </c>
      <c r="R2" s="214" t="s">
        <v>361</v>
      </c>
      <c r="S2" s="214" t="s">
        <v>362</v>
      </c>
      <c r="T2" s="31"/>
      <c r="U2" s="31"/>
      <c r="V2" s="103" t="s">
        <v>363</v>
      </c>
      <c r="W2" s="103" t="s">
        <v>364</v>
      </c>
      <c r="X2" s="103" t="s">
        <v>365</v>
      </c>
      <c r="Y2" s="31"/>
      <c r="Z2" s="103" t="s">
        <v>366</v>
      </c>
      <c r="AA2" s="103" t="s">
        <v>367</v>
      </c>
      <c r="AB2" s="31"/>
      <c r="AC2" s="31"/>
      <c r="AD2" s="103" t="s">
        <v>368</v>
      </c>
      <c r="AE2" s="31"/>
      <c r="AF2" s="1039"/>
      <c r="AG2" s="1039"/>
    </row>
    <row r="3" spans="1:33" ht="28" x14ac:dyDescent="0.3">
      <c r="A3" s="216" t="s">
        <v>369</v>
      </c>
      <c r="B3" s="119" t="s">
        <v>370</v>
      </c>
      <c r="C3" s="571" t="s">
        <v>371</v>
      </c>
      <c r="D3" s="544" t="s">
        <v>372</v>
      </c>
      <c r="E3" s="544"/>
      <c r="F3" s="520" t="s">
        <v>69</v>
      </c>
      <c r="G3" s="544"/>
      <c r="H3" s="520" t="s">
        <v>373</v>
      </c>
      <c r="I3" s="544"/>
      <c r="J3" s="544" t="s">
        <v>374</v>
      </c>
      <c r="K3" s="544" t="s">
        <v>23</v>
      </c>
      <c r="L3" s="544">
        <f t="shared" ref="L3:L8" si="0">IF($K3=$V$3,$W$3,IF($K3=$V$3,$W$3,IF($K3=$V$4,$W$4,IF($K3=$V$5,$W$5,IF($K3=$V$6,$W$6,IF($K3=$V$7,$W$7))))))</f>
        <v>4</v>
      </c>
      <c r="M3" s="544" t="str">
        <f>IF($K3=$V$3,$X$3,IF($K3=$V$4,$X$4,IF($K3=$V$5,$X$5,IF($K3=$V$6,$X$6,IF($K3=$V$7,$X$7)))))</f>
        <v>Same broad habitat or a higher distinctiveness habitat required (≥)</v>
      </c>
      <c r="N3" s="544" t="s">
        <v>156</v>
      </c>
      <c r="O3" s="544">
        <f t="shared" ref="O3:O33" si="1">VLOOKUP(N3,Difficulty,2,FALSE)</f>
        <v>1</v>
      </c>
      <c r="P3" s="544" t="s">
        <v>156</v>
      </c>
      <c r="Q3" s="544">
        <f t="shared" ref="Q3:Q33" si="2">VLOOKUP(P3,Difficulty,2,FALSE)</f>
        <v>1</v>
      </c>
      <c r="R3" s="520"/>
      <c r="S3" s="544"/>
      <c r="V3" s="520" t="s">
        <v>375</v>
      </c>
      <c r="W3" s="544">
        <v>8</v>
      </c>
      <c r="X3" s="622" t="s">
        <v>376</v>
      </c>
      <c r="Z3" s="544" t="s">
        <v>21</v>
      </c>
      <c r="AA3" s="544">
        <v>3</v>
      </c>
      <c r="AD3" s="215" t="s">
        <v>377</v>
      </c>
      <c r="AF3" s="217" t="s">
        <v>69</v>
      </c>
      <c r="AG3" s="217" t="s">
        <v>69</v>
      </c>
    </row>
    <row r="4" spans="1:33" x14ac:dyDescent="0.3">
      <c r="A4" s="216" t="s">
        <v>378</v>
      </c>
      <c r="B4" s="119" t="s">
        <v>379</v>
      </c>
      <c r="C4" s="571" t="s">
        <v>380</v>
      </c>
      <c r="D4" s="544" t="s">
        <v>372</v>
      </c>
      <c r="E4" s="544"/>
      <c r="F4" s="520" t="s">
        <v>69</v>
      </c>
      <c r="G4" s="544"/>
      <c r="H4" s="520" t="s">
        <v>373</v>
      </c>
      <c r="I4" s="544"/>
      <c r="J4" s="544" t="s">
        <v>374</v>
      </c>
      <c r="K4" s="544" t="s">
        <v>23</v>
      </c>
      <c r="L4" s="544">
        <f t="shared" si="0"/>
        <v>4</v>
      </c>
      <c r="M4" s="544" t="str">
        <f t="shared" ref="M4:M71" si="3">IF($K4=$V$3,$X$3,IF($K4=$V$4,$X$4,IF($K4=$V$5,$X$5,IF($K4=$V$6,$X$6,IF($K4=$V$7,$X$7)))))</f>
        <v>Same broad habitat or a higher distinctiveness habitat required (≥)</v>
      </c>
      <c r="N4" s="544" t="s">
        <v>156</v>
      </c>
      <c r="O4" s="544">
        <f t="shared" si="1"/>
        <v>1</v>
      </c>
      <c r="P4" s="544" t="s">
        <v>156</v>
      </c>
      <c r="Q4" s="544">
        <f t="shared" si="2"/>
        <v>1</v>
      </c>
      <c r="R4" s="520"/>
      <c r="S4" s="544"/>
      <c r="V4" s="544" t="s">
        <v>153</v>
      </c>
      <c r="W4" s="544">
        <v>6</v>
      </c>
      <c r="X4" s="623" t="s">
        <v>381</v>
      </c>
      <c r="Z4" s="544" t="s">
        <v>382</v>
      </c>
      <c r="AA4" s="544">
        <v>2.5</v>
      </c>
      <c r="AD4" s="215" t="s">
        <v>383</v>
      </c>
      <c r="AF4" s="217" t="s">
        <v>70</v>
      </c>
      <c r="AG4" s="217" t="s">
        <v>70</v>
      </c>
    </row>
    <row r="5" spans="1:33" ht="42" x14ac:dyDescent="0.3">
      <c r="A5" s="216" t="s">
        <v>384</v>
      </c>
      <c r="B5" s="119" t="s">
        <v>385</v>
      </c>
      <c r="C5" s="571" t="s">
        <v>386</v>
      </c>
      <c r="D5" s="544" t="s">
        <v>372</v>
      </c>
      <c r="E5" s="544"/>
      <c r="F5" s="520" t="s">
        <v>69</v>
      </c>
      <c r="G5" s="544"/>
      <c r="H5" s="520" t="s">
        <v>373</v>
      </c>
      <c r="I5" s="544"/>
      <c r="J5" s="544" t="s">
        <v>374</v>
      </c>
      <c r="K5" s="544" t="s">
        <v>23</v>
      </c>
      <c r="L5" s="544">
        <f t="shared" si="0"/>
        <v>4</v>
      </c>
      <c r="M5" s="544" t="str">
        <f t="shared" si="3"/>
        <v>Same broad habitat or a higher distinctiveness habitat required (≥)</v>
      </c>
      <c r="N5" s="544" t="s">
        <v>156</v>
      </c>
      <c r="O5" s="544">
        <f t="shared" si="1"/>
        <v>1</v>
      </c>
      <c r="P5" s="544" t="s">
        <v>156</v>
      </c>
      <c r="Q5" s="544">
        <f t="shared" si="2"/>
        <v>1</v>
      </c>
      <c r="R5" s="520"/>
      <c r="S5" s="544"/>
      <c r="V5" s="544" t="s">
        <v>23</v>
      </c>
      <c r="W5" s="544">
        <v>4</v>
      </c>
      <c r="X5" s="624" t="s">
        <v>155</v>
      </c>
      <c r="Z5" s="544" t="s">
        <v>20</v>
      </c>
      <c r="AA5" s="544">
        <v>2</v>
      </c>
      <c r="AF5" s="217" t="s">
        <v>71</v>
      </c>
      <c r="AG5" s="217" t="s">
        <v>387</v>
      </c>
    </row>
    <row r="6" spans="1:33" ht="28" x14ac:dyDescent="0.3">
      <c r="A6" s="216" t="s">
        <v>388</v>
      </c>
      <c r="B6" s="119" t="s">
        <v>389</v>
      </c>
      <c r="C6" s="544" t="s">
        <v>390</v>
      </c>
      <c r="D6" s="544" t="s">
        <v>372</v>
      </c>
      <c r="E6" s="544" t="s">
        <v>391</v>
      </c>
      <c r="F6" s="520" t="s">
        <v>69</v>
      </c>
      <c r="G6" s="544" t="s">
        <v>392</v>
      </c>
      <c r="H6" s="520" t="s">
        <v>373</v>
      </c>
      <c r="I6" s="544" t="s">
        <v>390</v>
      </c>
      <c r="J6" s="544" t="s">
        <v>374</v>
      </c>
      <c r="K6" s="544" t="s">
        <v>23</v>
      </c>
      <c r="L6" s="544">
        <f t="shared" si="0"/>
        <v>4</v>
      </c>
      <c r="M6" s="544" t="str">
        <f t="shared" si="3"/>
        <v>Same broad habitat or a higher distinctiveness habitat required (≥)</v>
      </c>
      <c r="N6" s="544" t="s">
        <v>156</v>
      </c>
      <c r="O6" s="544">
        <f t="shared" si="1"/>
        <v>1</v>
      </c>
      <c r="P6" s="544" t="s">
        <v>156</v>
      </c>
      <c r="Q6" s="544">
        <f t="shared" si="2"/>
        <v>1</v>
      </c>
      <c r="R6" s="520"/>
      <c r="S6" s="544"/>
      <c r="V6" s="544" t="s">
        <v>156</v>
      </c>
      <c r="W6" s="544">
        <v>2</v>
      </c>
      <c r="X6" s="625" t="s">
        <v>157</v>
      </c>
      <c r="Z6" s="544" t="s">
        <v>393</v>
      </c>
      <c r="AA6" s="544">
        <v>1.5</v>
      </c>
      <c r="AF6" s="217" t="s">
        <v>72</v>
      </c>
      <c r="AG6" s="217" t="s">
        <v>72</v>
      </c>
    </row>
    <row r="7" spans="1:33" x14ac:dyDescent="0.3">
      <c r="A7" s="216" t="s">
        <v>394</v>
      </c>
      <c r="B7" s="119" t="s">
        <v>395</v>
      </c>
      <c r="C7" s="544" t="s">
        <v>396</v>
      </c>
      <c r="D7" s="544" t="s">
        <v>372</v>
      </c>
      <c r="E7" s="544"/>
      <c r="F7" s="520" t="s">
        <v>69</v>
      </c>
      <c r="G7" s="544"/>
      <c r="H7" s="520" t="s">
        <v>373</v>
      </c>
      <c r="I7" s="544" t="s">
        <v>396</v>
      </c>
      <c r="J7" s="544" t="s">
        <v>394</v>
      </c>
      <c r="K7" s="544" t="s">
        <v>156</v>
      </c>
      <c r="L7" s="544">
        <f t="shared" si="0"/>
        <v>2</v>
      </c>
      <c r="M7" s="544" t="str">
        <f t="shared" si="3"/>
        <v>Same distinctiveness or better habitat required ≥</v>
      </c>
      <c r="N7" s="544" t="s">
        <v>156</v>
      </c>
      <c r="O7" s="544">
        <f t="shared" si="1"/>
        <v>1</v>
      </c>
      <c r="P7" s="544" t="s">
        <v>156</v>
      </c>
      <c r="Q7" s="544">
        <f t="shared" si="2"/>
        <v>1</v>
      </c>
      <c r="R7" s="520"/>
      <c r="S7" s="544"/>
      <c r="V7" s="544" t="s">
        <v>397</v>
      </c>
      <c r="W7" s="544">
        <v>0</v>
      </c>
      <c r="X7" s="626" t="s">
        <v>398</v>
      </c>
      <c r="Z7" s="544" t="s">
        <v>242</v>
      </c>
      <c r="AA7" s="544">
        <v>1</v>
      </c>
      <c r="AF7" s="217" t="s">
        <v>73</v>
      </c>
      <c r="AG7" s="217" t="s">
        <v>399</v>
      </c>
    </row>
    <row r="8" spans="1:33" x14ac:dyDescent="0.3">
      <c r="A8" s="216" t="s">
        <v>400</v>
      </c>
      <c r="B8" s="119" t="s">
        <v>401</v>
      </c>
      <c r="C8" s="571" t="s">
        <v>402</v>
      </c>
      <c r="D8" s="544" t="s">
        <v>372</v>
      </c>
      <c r="E8" s="544"/>
      <c r="F8" s="520" t="s">
        <v>69</v>
      </c>
      <c r="G8" s="544"/>
      <c r="H8" s="520" t="s">
        <v>373</v>
      </c>
      <c r="I8" s="544"/>
      <c r="J8" s="544" t="s">
        <v>394</v>
      </c>
      <c r="K8" s="544" t="s">
        <v>156</v>
      </c>
      <c r="L8" s="544">
        <f t="shared" si="0"/>
        <v>2</v>
      </c>
      <c r="M8" s="544" t="str">
        <f t="shared" si="3"/>
        <v>Same distinctiveness or better habitat required ≥</v>
      </c>
      <c r="N8" s="544" t="s">
        <v>156</v>
      </c>
      <c r="O8" s="544">
        <f t="shared" si="1"/>
        <v>1</v>
      </c>
      <c r="P8" s="544" t="s">
        <v>156</v>
      </c>
      <c r="Q8" s="544">
        <f t="shared" si="2"/>
        <v>1</v>
      </c>
      <c r="R8" s="520"/>
      <c r="S8" s="544"/>
      <c r="Z8" s="544" t="s">
        <v>403</v>
      </c>
      <c r="AA8" s="544">
        <v>1</v>
      </c>
      <c r="AF8" s="654" t="s">
        <v>74</v>
      </c>
      <c r="AG8" s="654" t="s">
        <v>74</v>
      </c>
    </row>
    <row r="9" spans="1:33" x14ac:dyDescent="0.3">
      <c r="A9" s="216" t="s">
        <v>404</v>
      </c>
      <c r="B9" s="119" t="s">
        <v>405</v>
      </c>
      <c r="C9" s="544" t="s">
        <v>406</v>
      </c>
      <c r="D9" s="544" t="s">
        <v>372</v>
      </c>
      <c r="E9" s="544"/>
      <c r="F9" s="520" t="s">
        <v>69</v>
      </c>
      <c r="G9" s="544"/>
      <c r="H9" s="520" t="s">
        <v>373</v>
      </c>
      <c r="I9" s="544" t="s">
        <v>406</v>
      </c>
      <c r="J9" s="544" t="s">
        <v>404</v>
      </c>
      <c r="K9" s="544" t="s">
        <v>156</v>
      </c>
      <c r="L9" s="544">
        <f t="shared" ref="L9:L48" si="4">IF(K9=$V$3,$W$3,IF(K9=$V$3,$W$3,IF(K9=$V$4,$W$4,IF(K9=$V$5,$W$5,IF(K9=$V$6,$W$6,IF(K9=$V$7,$W$7))))))</f>
        <v>2</v>
      </c>
      <c r="M9" s="544" t="str">
        <f t="shared" si="3"/>
        <v>Same distinctiveness or better habitat required ≥</v>
      </c>
      <c r="N9" s="544" t="s">
        <v>156</v>
      </c>
      <c r="O9" s="544">
        <f t="shared" si="1"/>
        <v>1</v>
      </c>
      <c r="P9" s="544" t="s">
        <v>156</v>
      </c>
      <c r="Q9" s="544">
        <f t="shared" si="2"/>
        <v>1</v>
      </c>
      <c r="R9" s="520"/>
      <c r="S9" s="544"/>
      <c r="Z9" s="544" t="s">
        <v>407</v>
      </c>
      <c r="AA9" s="544">
        <v>0</v>
      </c>
      <c r="AF9" s="217" t="s">
        <v>75</v>
      </c>
      <c r="AG9" s="217" t="s">
        <v>75</v>
      </c>
    </row>
    <row r="10" spans="1:33" x14ac:dyDescent="0.3">
      <c r="A10" s="216" t="s">
        <v>408</v>
      </c>
      <c r="B10" s="119" t="s">
        <v>409</v>
      </c>
      <c r="C10" s="544" t="s">
        <v>410</v>
      </c>
      <c r="D10" s="544" t="s">
        <v>372</v>
      </c>
      <c r="E10" s="544"/>
      <c r="F10" s="520" t="s">
        <v>69</v>
      </c>
      <c r="G10" s="544"/>
      <c r="H10" s="520" t="s">
        <v>373</v>
      </c>
      <c r="I10" s="544" t="s">
        <v>410</v>
      </c>
      <c r="J10" s="544" t="s">
        <v>408</v>
      </c>
      <c r="K10" s="544" t="s">
        <v>156</v>
      </c>
      <c r="L10" s="544">
        <f t="shared" si="4"/>
        <v>2</v>
      </c>
      <c r="M10" s="544" t="str">
        <f t="shared" si="3"/>
        <v>Same distinctiveness or better habitat required ≥</v>
      </c>
      <c r="N10" s="544" t="s">
        <v>156</v>
      </c>
      <c r="O10" s="544">
        <f t="shared" si="1"/>
        <v>1</v>
      </c>
      <c r="P10" s="544" t="s">
        <v>156</v>
      </c>
      <c r="Q10" s="544">
        <f t="shared" si="2"/>
        <v>1</v>
      </c>
      <c r="R10" s="520"/>
      <c r="S10" s="544"/>
      <c r="AF10" s="217" t="s">
        <v>76</v>
      </c>
      <c r="AG10" s="217" t="s">
        <v>411</v>
      </c>
    </row>
    <row r="11" spans="1:33" x14ac:dyDescent="0.3">
      <c r="A11" s="216" t="s">
        <v>412</v>
      </c>
      <c r="B11" s="119" t="s">
        <v>413</v>
      </c>
      <c r="C11" s="544" t="s">
        <v>414</v>
      </c>
      <c r="D11" s="544" t="s">
        <v>372</v>
      </c>
      <c r="E11" s="544"/>
      <c r="F11" s="520" t="s">
        <v>69</v>
      </c>
      <c r="G11" s="544"/>
      <c r="H11" s="520" t="s">
        <v>373</v>
      </c>
      <c r="I11" s="544" t="s">
        <v>414</v>
      </c>
      <c r="J11" s="544" t="s">
        <v>412</v>
      </c>
      <c r="K11" s="544" t="s">
        <v>156</v>
      </c>
      <c r="L11" s="544">
        <f t="shared" si="4"/>
        <v>2</v>
      </c>
      <c r="M11" s="544" t="str">
        <f t="shared" si="3"/>
        <v>Same distinctiveness or better habitat required ≥</v>
      </c>
      <c r="N11" s="544" t="s">
        <v>156</v>
      </c>
      <c r="O11" s="544">
        <f t="shared" si="1"/>
        <v>1</v>
      </c>
      <c r="P11" s="544" t="s">
        <v>156</v>
      </c>
      <c r="Q11" s="544">
        <f t="shared" si="2"/>
        <v>1</v>
      </c>
      <c r="R11" s="520"/>
      <c r="S11" s="544"/>
      <c r="AF11" s="217" t="s">
        <v>80</v>
      </c>
      <c r="AG11" s="217" t="s">
        <v>415</v>
      </c>
    </row>
    <row r="12" spans="1:33" ht="14.5" thickBot="1" x14ac:dyDescent="0.35">
      <c r="A12" s="216" t="s">
        <v>416</v>
      </c>
      <c r="B12" s="218" t="s">
        <v>417</v>
      </c>
      <c r="C12" s="526" t="s">
        <v>418</v>
      </c>
      <c r="D12" s="526" t="s">
        <v>372</v>
      </c>
      <c r="E12" s="526"/>
      <c r="F12" s="508" t="s">
        <v>69</v>
      </c>
      <c r="G12" s="526"/>
      <c r="H12" s="508" t="s">
        <v>373</v>
      </c>
      <c r="I12" s="526" t="s">
        <v>418</v>
      </c>
      <c r="J12" s="526" t="s">
        <v>416</v>
      </c>
      <c r="K12" s="526" t="s">
        <v>156</v>
      </c>
      <c r="L12" s="526">
        <f t="shared" si="4"/>
        <v>2</v>
      </c>
      <c r="M12" s="526" t="str">
        <f t="shared" si="3"/>
        <v>Same distinctiveness or better habitat required ≥</v>
      </c>
      <c r="N12" s="526" t="s">
        <v>156</v>
      </c>
      <c r="O12" s="526">
        <f t="shared" si="1"/>
        <v>1</v>
      </c>
      <c r="P12" s="526" t="s">
        <v>156</v>
      </c>
      <c r="Q12" s="526">
        <f t="shared" si="2"/>
        <v>1</v>
      </c>
      <c r="R12" s="508"/>
      <c r="S12" s="526"/>
      <c r="AF12" s="217" t="s">
        <v>79</v>
      </c>
      <c r="AG12" s="217" t="s">
        <v>419</v>
      </c>
    </row>
    <row r="13" spans="1:33" x14ac:dyDescent="0.3">
      <c r="A13" s="216" t="s">
        <v>420</v>
      </c>
      <c r="B13" s="219" t="s">
        <v>421</v>
      </c>
      <c r="C13" s="521">
        <v>21</v>
      </c>
      <c r="D13" s="521" t="s">
        <v>372</v>
      </c>
      <c r="E13" s="521"/>
      <c r="F13" s="520" t="s">
        <v>70</v>
      </c>
      <c r="G13" s="521"/>
      <c r="H13" s="507" t="s">
        <v>420</v>
      </c>
      <c r="I13" s="521"/>
      <c r="J13" s="521" t="s">
        <v>420</v>
      </c>
      <c r="K13" s="521" t="s">
        <v>153</v>
      </c>
      <c r="L13" s="521">
        <f t="shared" si="4"/>
        <v>6</v>
      </c>
      <c r="M13" s="521" t="str">
        <f t="shared" si="3"/>
        <v>Same habitat required =</v>
      </c>
      <c r="N13" s="521" t="s">
        <v>156</v>
      </c>
      <c r="O13" s="521">
        <f t="shared" si="1"/>
        <v>1</v>
      </c>
      <c r="P13" s="521" t="s">
        <v>23</v>
      </c>
      <c r="Q13" s="521">
        <f t="shared" si="2"/>
        <v>0.67</v>
      </c>
      <c r="R13" s="507"/>
      <c r="S13" s="521"/>
      <c r="AF13" s="217" t="s">
        <v>78</v>
      </c>
      <c r="AG13" s="217" t="s">
        <v>422</v>
      </c>
    </row>
    <row r="14" spans="1:33" x14ac:dyDescent="0.3">
      <c r="A14" s="216" t="s">
        <v>423</v>
      </c>
      <c r="B14" s="119" t="s">
        <v>424</v>
      </c>
      <c r="C14" s="544" t="s">
        <v>425</v>
      </c>
      <c r="D14" s="544" t="s">
        <v>372</v>
      </c>
      <c r="E14" s="544"/>
      <c r="F14" s="520" t="s">
        <v>70</v>
      </c>
      <c r="G14" s="544"/>
      <c r="H14" s="520" t="s">
        <v>426</v>
      </c>
      <c r="I14" s="544" t="s">
        <v>425</v>
      </c>
      <c r="J14" s="544" t="s">
        <v>423</v>
      </c>
      <c r="K14" s="544" t="s">
        <v>156</v>
      </c>
      <c r="L14" s="544">
        <f t="shared" si="4"/>
        <v>2</v>
      </c>
      <c r="M14" s="544" t="str">
        <f t="shared" si="3"/>
        <v>Same distinctiveness or better habitat required ≥</v>
      </c>
      <c r="N14" s="544" t="s">
        <v>156</v>
      </c>
      <c r="O14" s="544">
        <f t="shared" si="1"/>
        <v>1</v>
      </c>
      <c r="P14" s="544" t="s">
        <v>156</v>
      </c>
      <c r="Q14" s="544">
        <f t="shared" si="2"/>
        <v>1</v>
      </c>
      <c r="R14" s="520"/>
      <c r="S14" s="544"/>
      <c r="AF14" s="217" t="s">
        <v>77</v>
      </c>
      <c r="AG14" s="217" t="s">
        <v>427</v>
      </c>
    </row>
    <row r="15" spans="1:33" x14ac:dyDescent="0.3">
      <c r="A15" s="216" t="s">
        <v>428</v>
      </c>
      <c r="B15" s="119" t="s">
        <v>429</v>
      </c>
      <c r="C15" s="544" t="s">
        <v>430</v>
      </c>
      <c r="D15" s="544" t="s">
        <v>372</v>
      </c>
      <c r="E15" s="544"/>
      <c r="F15" s="520" t="s">
        <v>70</v>
      </c>
      <c r="G15" s="544"/>
      <c r="H15" s="520" t="s">
        <v>431</v>
      </c>
      <c r="I15" s="544"/>
      <c r="J15" s="544" t="s">
        <v>431</v>
      </c>
      <c r="K15" s="544" t="s">
        <v>153</v>
      </c>
      <c r="L15" s="544">
        <f t="shared" si="4"/>
        <v>6</v>
      </c>
      <c r="M15" s="544" t="str">
        <f t="shared" si="3"/>
        <v>Same habitat required =</v>
      </c>
      <c r="N15" s="544" t="s">
        <v>153</v>
      </c>
      <c r="O15" s="544">
        <f t="shared" si="1"/>
        <v>0.33</v>
      </c>
      <c r="P15" s="544" t="s">
        <v>23</v>
      </c>
      <c r="Q15" s="544">
        <f t="shared" si="2"/>
        <v>0.67</v>
      </c>
      <c r="R15" s="520"/>
      <c r="S15" s="544"/>
      <c r="AF15" s="217" t="s">
        <v>81</v>
      </c>
      <c r="AG15" s="217" t="s">
        <v>432</v>
      </c>
    </row>
    <row r="16" spans="1:33" x14ac:dyDescent="0.3">
      <c r="A16" s="216" t="s">
        <v>433</v>
      </c>
      <c r="B16" s="119" t="s">
        <v>434</v>
      </c>
      <c r="C16" s="544" t="s">
        <v>435</v>
      </c>
      <c r="D16" s="544" t="s">
        <v>372</v>
      </c>
      <c r="E16" s="544"/>
      <c r="F16" s="520" t="s">
        <v>70</v>
      </c>
      <c r="G16" s="544" t="s">
        <v>436</v>
      </c>
      <c r="H16" s="520" t="s">
        <v>437</v>
      </c>
      <c r="I16" s="544" t="s">
        <v>435</v>
      </c>
      <c r="J16" s="572" t="s">
        <v>433</v>
      </c>
      <c r="K16" s="544" t="s">
        <v>153</v>
      </c>
      <c r="L16" s="544">
        <f t="shared" si="4"/>
        <v>6</v>
      </c>
      <c r="M16" s="544" t="str">
        <f t="shared" si="3"/>
        <v>Same habitat required =</v>
      </c>
      <c r="N16" s="544" t="s">
        <v>153</v>
      </c>
      <c r="O16" s="544">
        <f t="shared" si="1"/>
        <v>0.33</v>
      </c>
      <c r="P16" s="544" t="s">
        <v>153</v>
      </c>
      <c r="Q16" s="544">
        <f t="shared" si="2"/>
        <v>0.33</v>
      </c>
      <c r="R16" s="520"/>
      <c r="S16" s="544"/>
    </row>
    <row r="17" spans="1:19" x14ac:dyDescent="0.3">
      <c r="A17" s="216" t="s">
        <v>438</v>
      </c>
      <c r="B17" s="119" t="s">
        <v>439</v>
      </c>
      <c r="C17" s="544" t="s">
        <v>440</v>
      </c>
      <c r="D17" s="544" t="s">
        <v>372</v>
      </c>
      <c r="E17" s="544" t="s">
        <v>441</v>
      </c>
      <c r="F17" s="520" t="s">
        <v>70</v>
      </c>
      <c r="G17" s="544" t="s">
        <v>442</v>
      </c>
      <c r="H17" s="520" t="s">
        <v>426</v>
      </c>
      <c r="I17" s="544" t="s">
        <v>440</v>
      </c>
      <c r="J17" s="572" t="s">
        <v>438</v>
      </c>
      <c r="K17" s="544" t="s">
        <v>375</v>
      </c>
      <c r="L17" s="544">
        <f t="shared" si="4"/>
        <v>8</v>
      </c>
      <c r="M17" s="544" t="str">
        <f t="shared" si="3"/>
        <v>Bespoke compensation likely to be required 🛠</v>
      </c>
      <c r="N17" s="544" t="s">
        <v>153</v>
      </c>
      <c r="O17" s="544">
        <f t="shared" si="1"/>
        <v>0.33</v>
      </c>
      <c r="P17" s="544" t="s">
        <v>153</v>
      </c>
      <c r="Q17" s="544">
        <f t="shared" si="2"/>
        <v>0.33</v>
      </c>
      <c r="R17" s="520"/>
      <c r="S17" s="544"/>
    </row>
    <row r="18" spans="1:19" x14ac:dyDescent="0.3">
      <c r="A18" s="216" t="s">
        <v>443</v>
      </c>
      <c r="B18" s="119" t="s">
        <v>444</v>
      </c>
      <c r="C18" s="544" t="s">
        <v>445</v>
      </c>
      <c r="D18" s="544" t="s">
        <v>372</v>
      </c>
      <c r="E18" s="544"/>
      <c r="F18" s="520" t="s">
        <v>70</v>
      </c>
      <c r="G18" s="544" t="s">
        <v>446</v>
      </c>
      <c r="H18" s="520" t="s">
        <v>447</v>
      </c>
      <c r="I18" s="544" t="s">
        <v>445</v>
      </c>
      <c r="J18" s="572" t="s">
        <v>443</v>
      </c>
      <c r="K18" s="544" t="s">
        <v>375</v>
      </c>
      <c r="L18" s="544">
        <f t="shared" si="4"/>
        <v>8</v>
      </c>
      <c r="M18" s="544" t="str">
        <f t="shared" si="3"/>
        <v>Bespoke compensation likely to be required 🛠</v>
      </c>
      <c r="N18" s="544" t="s">
        <v>153</v>
      </c>
      <c r="O18" s="544">
        <f t="shared" si="1"/>
        <v>0.33</v>
      </c>
      <c r="P18" s="544" t="s">
        <v>23</v>
      </c>
      <c r="Q18" s="544">
        <f t="shared" si="2"/>
        <v>0.67</v>
      </c>
      <c r="R18" s="520"/>
      <c r="S18" s="544"/>
    </row>
    <row r="19" spans="1:19" x14ac:dyDescent="0.3">
      <c r="A19" s="216" t="s">
        <v>448</v>
      </c>
      <c r="B19" s="119" t="s">
        <v>449</v>
      </c>
      <c r="C19" s="544" t="s">
        <v>450</v>
      </c>
      <c r="D19" s="544" t="s">
        <v>372</v>
      </c>
      <c r="E19" s="544"/>
      <c r="F19" s="520" t="s">
        <v>70</v>
      </c>
      <c r="G19" s="544" t="s">
        <v>450</v>
      </c>
      <c r="H19" s="520" t="s">
        <v>448</v>
      </c>
      <c r="I19" s="520" t="s">
        <v>451</v>
      </c>
      <c r="J19" s="573" t="s">
        <v>448</v>
      </c>
      <c r="K19" s="544" t="s">
        <v>156</v>
      </c>
      <c r="L19" s="544">
        <f t="shared" si="4"/>
        <v>2</v>
      </c>
      <c r="M19" s="574" t="str">
        <f t="shared" si="3"/>
        <v>Same distinctiveness or better habitat required ≥</v>
      </c>
      <c r="N19" s="544" t="s">
        <v>156</v>
      </c>
      <c r="O19" s="544">
        <f t="shared" si="1"/>
        <v>1</v>
      </c>
      <c r="P19" s="544" t="s">
        <v>156</v>
      </c>
      <c r="Q19" s="544">
        <f t="shared" si="2"/>
        <v>1</v>
      </c>
      <c r="R19" s="520"/>
      <c r="S19" s="544"/>
    </row>
    <row r="20" spans="1:19" x14ac:dyDescent="0.3">
      <c r="A20" s="216" t="s">
        <v>452</v>
      </c>
      <c r="B20" s="119" t="s">
        <v>453</v>
      </c>
      <c r="C20" s="544" t="s">
        <v>454</v>
      </c>
      <c r="D20" s="544" t="s">
        <v>372</v>
      </c>
      <c r="E20" s="544"/>
      <c r="F20" s="520" t="s">
        <v>70</v>
      </c>
      <c r="G20" s="544"/>
      <c r="H20" s="520" t="s">
        <v>426</v>
      </c>
      <c r="I20" s="544" t="s">
        <v>454</v>
      </c>
      <c r="J20" s="544" t="s">
        <v>452</v>
      </c>
      <c r="K20" s="544" t="s">
        <v>23</v>
      </c>
      <c r="L20" s="544">
        <f t="shared" si="4"/>
        <v>4</v>
      </c>
      <c r="M20" s="544" t="str">
        <f t="shared" si="3"/>
        <v>Same broad habitat or a higher distinctiveness habitat required (≥)</v>
      </c>
      <c r="N20" s="544" t="s">
        <v>156</v>
      </c>
      <c r="O20" s="544">
        <f t="shared" si="1"/>
        <v>1</v>
      </c>
      <c r="P20" s="544" t="s">
        <v>156</v>
      </c>
      <c r="Q20" s="544">
        <f t="shared" si="2"/>
        <v>1</v>
      </c>
      <c r="R20" s="520"/>
      <c r="S20" s="544"/>
    </row>
    <row r="21" spans="1:19" x14ac:dyDescent="0.3">
      <c r="A21" s="216" t="s">
        <v>455</v>
      </c>
      <c r="B21" s="119" t="s">
        <v>456</v>
      </c>
      <c r="C21" s="544" t="s">
        <v>457</v>
      </c>
      <c r="D21" s="544" t="s">
        <v>372</v>
      </c>
      <c r="E21" s="544"/>
      <c r="F21" s="520" t="s">
        <v>70</v>
      </c>
      <c r="G21" s="544"/>
      <c r="H21" s="520" t="s">
        <v>447</v>
      </c>
      <c r="I21" s="544" t="s">
        <v>457</v>
      </c>
      <c r="J21" s="544" t="s">
        <v>455</v>
      </c>
      <c r="K21" s="544" t="s">
        <v>23</v>
      </c>
      <c r="L21" s="544">
        <f t="shared" si="4"/>
        <v>4</v>
      </c>
      <c r="M21" s="544" t="str">
        <f t="shared" si="3"/>
        <v>Same broad habitat or a higher distinctiveness habitat required (≥)</v>
      </c>
      <c r="N21" s="544" t="s">
        <v>156</v>
      </c>
      <c r="O21" s="544">
        <f t="shared" si="1"/>
        <v>1</v>
      </c>
      <c r="P21" s="544" t="s">
        <v>156</v>
      </c>
      <c r="Q21" s="544">
        <f t="shared" si="2"/>
        <v>1</v>
      </c>
      <c r="R21" s="520"/>
      <c r="S21" s="544"/>
    </row>
    <row r="22" spans="1:19" x14ac:dyDescent="0.3">
      <c r="A22" s="216" t="s">
        <v>458</v>
      </c>
      <c r="B22" s="119" t="s">
        <v>459</v>
      </c>
      <c r="C22" s="544" t="s">
        <v>460</v>
      </c>
      <c r="D22" s="544" t="s">
        <v>372</v>
      </c>
      <c r="E22" s="544"/>
      <c r="F22" s="520" t="s">
        <v>70</v>
      </c>
      <c r="G22" s="544" t="s">
        <v>461</v>
      </c>
      <c r="H22" s="520" t="s">
        <v>462</v>
      </c>
      <c r="I22" s="520"/>
      <c r="J22" s="544" t="s">
        <v>458</v>
      </c>
      <c r="K22" s="544" t="s">
        <v>153</v>
      </c>
      <c r="L22" s="544">
        <f t="shared" si="4"/>
        <v>6</v>
      </c>
      <c r="M22" s="544" t="str">
        <f t="shared" si="3"/>
        <v>Same habitat required =</v>
      </c>
      <c r="N22" s="544" t="s">
        <v>153</v>
      </c>
      <c r="O22" s="544">
        <f t="shared" si="1"/>
        <v>0.33</v>
      </c>
      <c r="P22" s="544" t="s">
        <v>153</v>
      </c>
      <c r="Q22" s="544">
        <f t="shared" si="2"/>
        <v>0.33</v>
      </c>
      <c r="R22" s="520"/>
      <c r="S22" s="544"/>
    </row>
    <row r="23" spans="1:19" x14ac:dyDescent="0.3">
      <c r="A23" s="216" t="s">
        <v>463</v>
      </c>
      <c r="B23" s="119" t="s">
        <v>464</v>
      </c>
      <c r="C23" s="544" t="s">
        <v>465</v>
      </c>
      <c r="D23" s="544" t="s">
        <v>372</v>
      </c>
      <c r="E23" s="544"/>
      <c r="F23" s="520" t="s">
        <v>70</v>
      </c>
      <c r="G23" s="544"/>
      <c r="H23" s="520" t="s">
        <v>426</v>
      </c>
      <c r="I23" s="544" t="s">
        <v>465</v>
      </c>
      <c r="J23" s="572" t="s">
        <v>463</v>
      </c>
      <c r="K23" s="544" t="s">
        <v>23</v>
      </c>
      <c r="L23" s="544">
        <f t="shared" si="4"/>
        <v>4</v>
      </c>
      <c r="M23" s="544" t="str">
        <f t="shared" si="3"/>
        <v>Same broad habitat or a higher distinctiveness habitat required (≥)</v>
      </c>
      <c r="N23" s="544" t="s">
        <v>156</v>
      </c>
      <c r="O23" s="544">
        <f t="shared" si="1"/>
        <v>1</v>
      </c>
      <c r="P23" s="544" t="s">
        <v>156</v>
      </c>
      <c r="Q23" s="544">
        <f t="shared" si="2"/>
        <v>1</v>
      </c>
      <c r="R23" s="520"/>
      <c r="S23" s="544"/>
    </row>
    <row r="24" spans="1:19" x14ac:dyDescent="0.3">
      <c r="A24" s="216" t="s">
        <v>466</v>
      </c>
      <c r="B24" s="119" t="s">
        <v>467</v>
      </c>
      <c r="C24" s="544" t="s">
        <v>468</v>
      </c>
      <c r="D24" s="544" t="s">
        <v>372</v>
      </c>
      <c r="E24" s="544"/>
      <c r="F24" s="520" t="s">
        <v>70</v>
      </c>
      <c r="G24" s="544"/>
      <c r="H24" s="520" t="s">
        <v>437</v>
      </c>
      <c r="I24" s="544" t="s">
        <v>468</v>
      </c>
      <c r="J24" s="572" t="s">
        <v>466</v>
      </c>
      <c r="K24" s="544" t="s">
        <v>153</v>
      </c>
      <c r="L24" s="544">
        <f t="shared" si="4"/>
        <v>6</v>
      </c>
      <c r="M24" s="544" t="str">
        <f t="shared" si="3"/>
        <v>Same habitat required =</v>
      </c>
      <c r="N24" s="544" t="s">
        <v>153</v>
      </c>
      <c r="O24" s="544">
        <f t="shared" si="1"/>
        <v>0.33</v>
      </c>
      <c r="P24" s="544" t="s">
        <v>153</v>
      </c>
      <c r="Q24" s="544">
        <f t="shared" si="2"/>
        <v>0.33</v>
      </c>
      <c r="R24" s="520"/>
      <c r="S24" s="544"/>
    </row>
    <row r="25" spans="1:19" ht="14.5" thickBot="1" x14ac:dyDescent="0.35">
      <c r="A25" s="216" t="s">
        <v>469</v>
      </c>
      <c r="B25" s="218" t="s">
        <v>470</v>
      </c>
      <c r="C25" s="526" t="s">
        <v>471</v>
      </c>
      <c r="D25" s="526" t="s">
        <v>372</v>
      </c>
      <c r="E25" s="526"/>
      <c r="F25" s="508" t="s">
        <v>70</v>
      </c>
      <c r="G25" s="526"/>
      <c r="H25" s="508" t="s">
        <v>447</v>
      </c>
      <c r="I25" s="526" t="s">
        <v>471</v>
      </c>
      <c r="J25" s="575" t="s">
        <v>469</v>
      </c>
      <c r="K25" s="526" t="s">
        <v>375</v>
      </c>
      <c r="L25" s="526">
        <f t="shared" si="4"/>
        <v>8</v>
      </c>
      <c r="M25" s="526" t="str">
        <f t="shared" si="3"/>
        <v>Bespoke compensation likely to be required 🛠</v>
      </c>
      <c r="N25" s="526" t="s">
        <v>153</v>
      </c>
      <c r="O25" s="526">
        <f t="shared" si="1"/>
        <v>0.33</v>
      </c>
      <c r="P25" s="526" t="s">
        <v>23</v>
      </c>
      <c r="Q25" s="526">
        <f t="shared" si="2"/>
        <v>0.67</v>
      </c>
      <c r="R25" s="508"/>
      <c r="S25" s="526"/>
    </row>
    <row r="26" spans="1:19" x14ac:dyDescent="0.3">
      <c r="A26" s="216" t="s">
        <v>472</v>
      </c>
      <c r="B26" s="219" t="s">
        <v>473</v>
      </c>
      <c r="C26" s="521" t="s">
        <v>474</v>
      </c>
      <c r="D26" s="521" t="s">
        <v>372</v>
      </c>
      <c r="E26" s="521"/>
      <c r="F26" s="507" t="s">
        <v>71</v>
      </c>
      <c r="G26" s="521" t="s">
        <v>475</v>
      </c>
      <c r="H26" s="507" t="s">
        <v>476</v>
      </c>
      <c r="I26" s="521" t="s">
        <v>474</v>
      </c>
      <c r="J26" s="521" t="s">
        <v>472</v>
      </c>
      <c r="K26" s="521" t="s">
        <v>23</v>
      </c>
      <c r="L26" s="521">
        <f t="shared" si="4"/>
        <v>4</v>
      </c>
      <c r="M26" s="521" t="str">
        <f t="shared" si="3"/>
        <v>Same broad habitat or a higher distinctiveness habitat required (≥)</v>
      </c>
      <c r="N26" s="521" t="s">
        <v>156</v>
      </c>
      <c r="O26" s="521">
        <f t="shared" si="1"/>
        <v>1</v>
      </c>
      <c r="P26" s="521" t="s">
        <v>156</v>
      </c>
      <c r="Q26" s="521">
        <f t="shared" si="2"/>
        <v>1</v>
      </c>
      <c r="R26" s="507"/>
      <c r="S26" s="521"/>
    </row>
    <row r="27" spans="1:19" x14ac:dyDescent="0.3">
      <c r="A27" s="216" t="s">
        <v>477</v>
      </c>
      <c r="B27" s="119" t="s">
        <v>478</v>
      </c>
      <c r="C27" s="544" t="s">
        <v>479</v>
      </c>
      <c r="D27" s="544" t="s">
        <v>372</v>
      </c>
      <c r="E27" s="544"/>
      <c r="F27" s="520" t="s">
        <v>71</v>
      </c>
      <c r="G27" s="544"/>
      <c r="H27" s="520" t="s">
        <v>476</v>
      </c>
      <c r="I27" s="544" t="s">
        <v>479</v>
      </c>
      <c r="J27" s="544" t="s">
        <v>477</v>
      </c>
      <c r="K27" s="544" t="s">
        <v>23</v>
      </c>
      <c r="L27" s="544">
        <f t="shared" si="4"/>
        <v>4</v>
      </c>
      <c r="M27" s="544" t="str">
        <f t="shared" si="3"/>
        <v>Same broad habitat or a higher distinctiveness habitat required (≥)</v>
      </c>
      <c r="N27" s="544" t="s">
        <v>156</v>
      </c>
      <c r="O27" s="544">
        <f t="shared" si="1"/>
        <v>1</v>
      </c>
      <c r="P27" s="544" t="s">
        <v>156</v>
      </c>
      <c r="Q27" s="544">
        <f t="shared" si="2"/>
        <v>1</v>
      </c>
      <c r="R27" s="520"/>
      <c r="S27" s="544"/>
    </row>
    <row r="28" spans="1:19" x14ac:dyDescent="0.3">
      <c r="A28" s="216" t="s">
        <v>480</v>
      </c>
      <c r="B28" s="119" t="s">
        <v>481</v>
      </c>
      <c r="C28" s="544" t="s">
        <v>482</v>
      </c>
      <c r="D28" s="544" t="s">
        <v>372</v>
      </c>
      <c r="E28" s="544"/>
      <c r="F28" s="520" t="s">
        <v>71</v>
      </c>
      <c r="G28" s="544"/>
      <c r="H28" s="520" t="s">
        <v>476</v>
      </c>
      <c r="I28" s="544" t="s">
        <v>482</v>
      </c>
      <c r="J28" s="544" t="s">
        <v>480</v>
      </c>
      <c r="K28" s="544" t="s">
        <v>23</v>
      </c>
      <c r="L28" s="544">
        <f t="shared" si="4"/>
        <v>4</v>
      </c>
      <c r="M28" s="544" t="str">
        <f t="shared" si="3"/>
        <v>Same broad habitat or a higher distinctiveness habitat required (≥)</v>
      </c>
      <c r="N28" s="544" t="s">
        <v>156</v>
      </c>
      <c r="O28" s="544">
        <f t="shared" si="1"/>
        <v>1</v>
      </c>
      <c r="P28" s="544" t="s">
        <v>156</v>
      </c>
      <c r="Q28" s="544">
        <f t="shared" si="2"/>
        <v>1</v>
      </c>
      <c r="R28" s="520"/>
      <c r="S28" s="544"/>
    </row>
    <row r="29" spans="1:19" x14ac:dyDescent="0.3">
      <c r="A29" s="216" t="s">
        <v>483</v>
      </c>
      <c r="B29" s="119" t="s">
        <v>484</v>
      </c>
      <c r="C29" s="544" t="s">
        <v>485</v>
      </c>
      <c r="D29" s="544" t="s">
        <v>372</v>
      </c>
      <c r="E29" s="544"/>
      <c r="F29" s="520" t="s">
        <v>71</v>
      </c>
      <c r="G29" s="544"/>
      <c r="H29" s="520" t="s">
        <v>476</v>
      </c>
      <c r="I29" s="544" t="s">
        <v>485</v>
      </c>
      <c r="J29" s="544" t="s">
        <v>483</v>
      </c>
      <c r="K29" s="544" t="s">
        <v>23</v>
      </c>
      <c r="L29" s="544">
        <f t="shared" si="4"/>
        <v>4</v>
      </c>
      <c r="M29" s="544" t="str">
        <f t="shared" si="3"/>
        <v>Same broad habitat or a higher distinctiveness habitat required (≥)</v>
      </c>
      <c r="N29" s="544" t="s">
        <v>156</v>
      </c>
      <c r="O29" s="544">
        <f t="shared" si="1"/>
        <v>1</v>
      </c>
      <c r="P29" s="544" t="s">
        <v>156</v>
      </c>
      <c r="Q29" s="544">
        <f t="shared" si="2"/>
        <v>1</v>
      </c>
      <c r="R29" s="520"/>
      <c r="S29" s="544"/>
    </row>
    <row r="30" spans="1:19" x14ac:dyDescent="0.3">
      <c r="A30" s="216" t="s">
        <v>486</v>
      </c>
      <c r="B30" s="119" t="s">
        <v>487</v>
      </c>
      <c r="C30" s="544" t="s">
        <v>488</v>
      </c>
      <c r="D30" s="544" t="s">
        <v>372</v>
      </c>
      <c r="E30" s="544"/>
      <c r="F30" s="520" t="s">
        <v>71</v>
      </c>
      <c r="G30" s="544"/>
      <c r="H30" s="520" t="s">
        <v>476</v>
      </c>
      <c r="I30" s="544" t="s">
        <v>488</v>
      </c>
      <c r="J30" s="544" t="s">
        <v>486</v>
      </c>
      <c r="K30" s="544" t="s">
        <v>23</v>
      </c>
      <c r="L30" s="544">
        <f t="shared" si="4"/>
        <v>4</v>
      </c>
      <c r="M30" s="544" t="str">
        <f t="shared" si="3"/>
        <v>Same broad habitat or a higher distinctiveness habitat required (≥)</v>
      </c>
      <c r="N30" s="544" t="s">
        <v>156</v>
      </c>
      <c r="O30" s="544">
        <f t="shared" si="1"/>
        <v>1</v>
      </c>
      <c r="P30" s="544" t="s">
        <v>156</v>
      </c>
      <c r="Q30" s="544">
        <f t="shared" si="2"/>
        <v>1</v>
      </c>
      <c r="R30" s="520"/>
      <c r="S30" s="544"/>
    </row>
    <row r="31" spans="1:19" x14ac:dyDescent="0.3">
      <c r="A31" s="216" t="s">
        <v>489</v>
      </c>
      <c r="B31" s="119" t="s">
        <v>490</v>
      </c>
      <c r="C31" s="544" t="s">
        <v>491</v>
      </c>
      <c r="D31" s="544" t="s">
        <v>372</v>
      </c>
      <c r="E31" s="544" t="s">
        <v>492</v>
      </c>
      <c r="F31" s="520" t="s">
        <v>71</v>
      </c>
      <c r="G31" s="544" t="s">
        <v>493</v>
      </c>
      <c r="H31" s="520" t="s">
        <v>494</v>
      </c>
      <c r="I31" s="544" t="s">
        <v>491</v>
      </c>
      <c r="J31" s="572" t="s">
        <v>489</v>
      </c>
      <c r="K31" s="544" t="s">
        <v>153</v>
      </c>
      <c r="L31" s="544">
        <f t="shared" si="4"/>
        <v>6</v>
      </c>
      <c r="M31" s="544" t="str">
        <f t="shared" si="3"/>
        <v>Same habitat required =</v>
      </c>
      <c r="N31" s="544" t="s">
        <v>153</v>
      </c>
      <c r="O31" s="544">
        <f t="shared" si="1"/>
        <v>0.33</v>
      </c>
      <c r="P31" s="544" t="s">
        <v>23</v>
      </c>
      <c r="Q31" s="544">
        <f t="shared" si="2"/>
        <v>0.67</v>
      </c>
      <c r="R31" s="520"/>
      <c r="S31" s="544"/>
    </row>
    <row r="32" spans="1:19" ht="28" x14ac:dyDescent="0.3">
      <c r="A32" s="216" t="s">
        <v>495</v>
      </c>
      <c r="B32" s="119" t="s">
        <v>496</v>
      </c>
      <c r="C32" s="544" t="s">
        <v>497</v>
      </c>
      <c r="D32" s="544" t="s">
        <v>372</v>
      </c>
      <c r="E32" s="544"/>
      <c r="F32" s="520" t="s">
        <v>71</v>
      </c>
      <c r="G32" s="544"/>
      <c r="H32" s="520" t="s">
        <v>476</v>
      </c>
      <c r="I32" s="544" t="s">
        <v>497</v>
      </c>
      <c r="J32" s="544" t="s">
        <v>495</v>
      </c>
      <c r="K32" s="544" t="s">
        <v>23</v>
      </c>
      <c r="L32" s="544">
        <f t="shared" si="4"/>
        <v>4</v>
      </c>
      <c r="M32" s="544" t="str">
        <f t="shared" si="3"/>
        <v>Same broad habitat or a higher distinctiveness habitat required (≥)</v>
      </c>
      <c r="N32" s="544" t="s">
        <v>156</v>
      </c>
      <c r="O32" s="544">
        <f t="shared" si="1"/>
        <v>1</v>
      </c>
      <c r="P32" s="544" t="s">
        <v>156</v>
      </c>
      <c r="Q32" s="544">
        <f t="shared" si="2"/>
        <v>1</v>
      </c>
      <c r="R32" s="520" t="s">
        <v>498</v>
      </c>
      <c r="S32" s="544"/>
    </row>
    <row r="33" spans="1:19" x14ac:dyDescent="0.3">
      <c r="A33" s="216" t="s">
        <v>499</v>
      </c>
      <c r="B33" s="119" t="s">
        <v>500</v>
      </c>
      <c r="C33" s="544" t="s">
        <v>501</v>
      </c>
      <c r="D33" s="544" t="s">
        <v>372</v>
      </c>
      <c r="E33" s="544"/>
      <c r="F33" s="520" t="s">
        <v>71</v>
      </c>
      <c r="G33" s="544"/>
      <c r="H33" s="520" t="s">
        <v>494</v>
      </c>
      <c r="I33" s="544" t="s">
        <v>501</v>
      </c>
      <c r="J33" s="572" t="s">
        <v>499</v>
      </c>
      <c r="K33" s="544" t="s">
        <v>375</v>
      </c>
      <c r="L33" s="544">
        <f t="shared" si="4"/>
        <v>8</v>
      </c>
      <c r="M33" s="544" t="str">
        <f t="shared" si="3"/>
        <v>Bespoke compensation likely to be required 🛠</v>
      </c>
      <c r="N33" s="544" t="s">
        <v>153</v>
      </c>
      <c r="O33" s="544">
        <f t="shared" si="1"/>
        <v>0.33</v>
      </c>
      <c r="P33" s="544" t="s">
        <v>153</v>
      </c>
      <c r="Q33" s="544">
        <f t="shared" si="2"/>
        <v>0.33</v>
      </c>
      <c r="R33" s="520"/>
      <c r="S33" s="544"/>
    </row>
    <row r="34" spans="1:19" x14ac:dyDescent="0.3">
      <c r="A34" s="216" t="s">
        <v>502</v>
      </c>
      <c r="B34" s="119" t="s">
        <v>503</v>
      </c>
      <c r="C34" s="544" t="s">
        <v>504</v>
      </c>
      <c r="D34" s="544" t="s">
        <v>372</v>
      </c>
      <c r="E34" s="544"/>
      <c r="F34" s="520" t="s">
        <v>71</v>
      </c>
      <c r="G34" s="544"/>
      <c r="H34" s="520" t="s">
        <v>476</v>
      </c>
      <c r="I34" s="544" t="s">
        <v>504</v>
      </c>
      <c r="J34" s="544" t="s">
        <v>502</v>
      </c>
      <c r="K34" s="544" t="s">
        <v>156</v>
      </c>
      <c r="L34" s="544">
        <f t="shared" si="4"/>
        <v>2</v>
      </c>
      <c r="M34" s="544" t="str">
        <f t="shared" si="3"/>
        <v>Same distinctiveness or better habitat required ≥</v>
      </c>
      <c r="N34" s="544" t="s">
        <v>156</v>
      </c>
      <c r="O34" s="544">
        <f t="shared" ref="O34:O64" si="5">VLOOKUP(N34,Difficulty,2,FALSE)</f>
        <v>1</v>
      </c>
      <c r="P34" s="544" t="s">
        <v>156</v>
      </c>
      <c r="Q34" s="544">
        <f t="shared" ref="Q34:Q64" si="6">VLOOKUP(P34,Difficulty,2,FALSE)</f>
        <v>1</v>
      </c>
      <c r="R34" s="520"/>
      <c r="S34" s="544"/>
    </row>
    <row r="35" spans="1:19" x14ac:dyDescent="0.3">
      <c r="A35" s="216" t="s">
        <v>505</v>
      </c>
      <c r="B35" s="119" t="s">
        <v>506</v>
      </c>
      <c r="C35" s="544" t="s">
        <v>507</v>
      </c>
      <c r="D35" s="544" t="s">
        <v>372</v>
      </c>
      <c r="E35" s="544"/>
      <c r="F35" s="520" t="s">
        <v>71</v>
      </c>
      <c r="G35" s="544"/>
      <c r="H35" s="520" t="s">
        <v>476</v>
      </c>
      <c r="I35" s="544" t="s">
        <v>508</v>
      </c>
      <c r="J35" s="544" t="s">
        <v>509</v>
      </c>
      <c r="K35" s="544" t="s">
        <v>153</v>
      </c>
      <c r="L35" s="544">
        <f t="shared" si="4"/>
        <v>6</v>
      </c>
      <c r="M35" s="544" t="str">
        <f t="shared" si="3"/>
        <v>Same habitat required =</v>
      </c>
      <c r="N35" s="544" t="s">
        <v>23</v>
      </c>
      <c r="O35" s="544">
        <f t="shared" si="5"/>
        <v>0.67</v>
      </c>
      <c r="P35" s="544" t="s">
        <v>156</v>
      </c>
      <c r="Q35" s="544">
        <f t="shared" si="6"/>
        <v>1</v>
      </c>
      <c r="R35" s="520"/>
      <c r="S35" s="544"/>
    </row>
    <row r="36" spans="1:19" x14ac:dyDescent="0.3">
      <c r="A36" s="216" t="s">
        <v>510</v>
      </c>
      <c r="B36" s="119" t="s">
        <v>511</v>
      </c>
      <c r="C36" s="544" t="s">
        <v>512</v>
      </c>
      <c r="D36" s="544" t="s">
        <v>372</v>
      </c>
      <c r="E36" s="544"/>
      <c r="F36" s="520" t="s">
        <v>71</v>
      </c>
      <c r="G36" s="544"/>
      <c r="H36" s="520" t="s">
        <v>476</v>
      </c>
      <c r="I36" s="544" t="s">
        <v>508</v>
      </c>
      <c r="J36" s="544" t="s">
        <v>513</v>
      </c>
      <c r="K36" s="544" t="s">
        <v>156</v>
      </c>
      <c r="L36" s="544">
        <f t="shared" ref="L36" si="7">IF(K36=$V$3,$W$3,IF(K36=$V$3,$W$3,IF(K36=$V$4,$W$4,IF(K36=$V$5,$W$5,IF(K36=$V$6,$W$6,IF(K36=$V$7,$W$7))))))</f>
        <v>2</v>
      </c>
      <c r="M36" s="544" t="str">
        <f t="shared" si="3"/>
        <v>Same distinctiveness or better habitat required ≥</v>
      </c>
      <c r="N36" s="544" t="s">
        <v>156</v>
      </c>
      <c r="O36" s="544">
        <f t="shared" si="5"/>
        <v>1</v>
      </c>
      <c r="P36" s="544" t="s">
        <v>156</v>
      </c>
      <c r="Q36" s="544">
        <f t="shared" si="6"/>
        <v>1</v>
      </c>
      <c r="R36" s="520"/>
      <c r="S36" s="544"/>
    </row>
    <row r="37" spans="1:19" ht="14.5" thickBot="1" x14ac:dyDescent="0.35">
      <c r="A37" s="216" t="s">
        <v>514</v>
      </c>
      <c r="B37" s="218" t="s">
        <v>515</v>
      </c>
      <c r="C37" s="526" t="s">
        <v>516</v>
      </c>
      <c r="D37" s="526" t="s">
        <v>372</v>
      </c>
      <c r="E37" s="526"/>
      <c r="F37" s="508" t="s">
        <v>71</v>
      </c>
      <c r="G37" s="526"/>
      <c r="H37" s="508" t="s">
        <v>494</v>
      </c>
      <c r="I37" s="526" t="s">
        <v>516</v>
      </c>
      <c r="J37" s="575" t="s">
        <v>514</v>
      </c>
      <c r="K37" s="526" t="s">
        <v>153</v>
      </c>
      <c r="L37" s="526">
        <f t="shared" si="4"/>
        <v>6</v>
      </c>
      <c r="M37" s="526" t="str">
        <f t="shared" si="3"/>
        <v>Same habitat required =</v>
      </c>
      <c r="N37" s="526" t="s">
        <v>23</v>
      </c>
      <c r="O37" s="526">
        <f t="shared" si="5"/>
        <v>0.67</v>
      </c>
      <c r="P37" s="526" t="s">
        <v>23</v>
      </c>
      <c r="Q37" s="526">
        <f t="shared" si="6"/>
        <v>0.67</v>
      </c>
      <c r="R37" s="508"/>
      <c r="S37" s="526"/>
    </row>
    <row r="38" spans="1:19" x14ac:dyDescent="0.3">
      <c r="A38" s="216" t="s">
        <v>517</v>
      </c>
      <c r="B38" s="219" t="s">
        <v>518</v>
      </c>
      <c r="C38" s="521" t="s">
        <v>519</v>
      </c>
      <c r="D38" s="521" t="s">
        <v>520</v>
      </c>
      <c r="E38" s="521"/>
      <c r="F38" s="507" t="s">
        <v>72</v>
      </c>
      <c r="G38" s="521"/>
      <c r="H38" s="507" t="s">
        <v>521</v>
      </c>
      <c r="I38" s="521" t="s">
        <v>519</v>
      </c>
      <c r="J38" s="576" t="s">
        <v>517</v>
      </c>
      <c r="K38" s="521" t="s">
        <v>375</v>
      </c>
      <c r="L38" s="521">
        <f t="shared" si="4"/>
        <v>8</v>
      </c>
      <c r="M38" s="521" t="str">
        <f t="shared" si="3"/>
        <v>Bespoke compensation likely to be required 🛠</v>
      </c>
      <c r="N38" s="521" t="s">
        <v>151</v>
      </c>
      <c r="O38" s="521">
        <f t="shared" si="5"/>
        <v>0.1</v>
      </c>
      <c r="P38" s="521" t="s">
        <v>153</v>
      </c>
      <c r="Q38" s="521">
        <f t="shared" si="6"/>
        <v>0.33</v>
      </c>
      <c r="R38" s="507"/>
      <c r="S38" s="521"/>
    </row>
    <row r="39" spans="1:19" x14ac:dyDescent="0.3">
      <c r="A39" s="216" t="s">
        <v>522</v>
      </c>
      <c r="B39" s="119" t="s">
        <v>523</v>
      </c>
      <c r="C39" s="544">
        <v>362</v>
      </c>
      <c r="D39" s="544" t="s">
        <v>372</v>
      </c>
      <c r="E39" s="544"/>
      <c r="F39" s="520" t="s">
        <v>74</v>
      </c>
      <c r="G39" s="544"/>
      <c r="H39" s="520" t="s">
        <v>524</v>
      </c>
      <c r="I39" s="544"/>
      <c r="J39" s="544" t="s">
        <v>522</v>
      </c>
      <c r="K39" s="544" t="s">
        <v>156</v>
      </c>
      <c r="L39" s="544">
        <f>IF(K39=$V$3,$W$3,IF(K39=$V$3,$W$3,IF(K39=$V$4,$W$4,IF(K39=$V$5,$W$5,IF(K39=$V$6,$W$6,IF(K39=$V$7,$W$7))))))</f>
        <v>2</v>
      </c>
      <c r="M39" s="544" t="str">
        <f>IF($K39=$V$3,$X$3,IF($K39=$V$4,$X$4,IF($K39=$V$5,$X$5,IF($K39=$V$6,$X$6,IF($K39=$V$7,$X$7)))))</f>
        <v>Same distinctiveness or better habitat required ≥</v>
      </c>
      <c r="N39" s="544" t="s">
        <v>156</v>
      </c>
      <c r="O39" s="544">
        <f>VLOOKUP(N39,Difficulty,2,FALSE)</f>
        <v>1</v>
      </c>
      <c r="P39" s="544" t="s">
        <v>153</v>
      </c>
      <c r="Q39" s="544">
        <f>VLOOKUP(P39,Difficulty,2,FALSE)</f>
        <v>0.33</v>
      </c>
      <c r="R39" s="520"/>
      <c r="S39" s="544"/>
    </row>
    <row r="40" spans="1:19" x14ac:dyDescent="0.3">
      <c r="A40" s="216" t="s">
        <v>525</v>
      </c>
      <c r="B40" s="119" t="s">
        <v>526</v>
      </c>
      <c r="C40" s="544" t="s">
        <v>527</v>
      </c>
      <c r="D40" s="544" t="s">
        <v>520</v>
      </c>
      <c r="E40" s="544"/>
      <c r="F40" s="520" t="s">
        <v>72</v>
      </c>
      <c r="G40" s="544"/>
      <c r="H40" s="520" t="s">
        <v>521</v>
      </c>
      <c r="I40" s="544"/>
      <c r="J40" s="572"/>
      <c r="K40" s="544" t="s">
        <v>153</v>
      </c>
      <c r="L40" s="544">
        <f t="shared" ref="L40:L45" si="8">IF(K40=$V$3,$W$3,IF(K40=$V$3,$W$3,IF(K40=$V$4,$W$4,IF(K40=$V$5,$W$5,IF(K40=$V$6,$W$6,IF(K40=$V$7,$W$7))))))</f>
        <v>6</v>
      </c>
      <c r="M40" s="544" t="str">
        <f t="shared" si="3"/>
        <v>Same habitat required =</v>
      </c>
      <c r="N40" s="544" t="s">
        <v>153</v>
      </c>
      <c r="O40" s="544">
        <f t="shared" si="5"/>
        <v>0.33</v>
      </c>
      <c r="P40" s="544" t="s">
        <v>153</v>
      </c>
      <c r="Q40" s="544">
        <f t="shared" si="6"/>
        <v>0.33</v>
      </c>
      <c r="R40" s="520"/>
      <c r="S40" s="544"/>
    </row>
    <row r="41" spans="1:19" x14ac:dyDescent="0.3">
      <c r="A41" s="216" t="s">
        <v>528</v>
      </c>
      <c r="B41" s="119" t="s">
        <v>529</v>
      </c>
      <c r="C41" s="544" t="s">
        <v>530</v>
      </c>
      <c r="D41" s="544" t="s">
        <v>520</v>
      </c>
      <c r="E41" s="544"/>
      <c r="F41" s="520" t="s">
        <v>72</v>
      </c>
      <c r="G41" s="544"/>
      <c r="H41" s="520" t="s">
        <v>521</v>
      </c>
      <c r="I41" s="544"/>
      <c r="J41" s="572"/>
      <c r="K41" s="544" t="s">
        <v>153</v>
      </c>
      <c r="L41" s="544">
        <f t="shared" si="8"/>
        <v>6</v>
      </c>
      <c r="M41" s="544" t="str">
        <f t="shared" si="3"/>
        <v>Same habitat required =</v>
      </c>
      <c r="N41" s="544" t="s">
        <v>153</v>
      </c>
      <c r="O41" s="544">
        <f t="shared" si="5"/>
        <v>0.33</v>
      </c>
      <c r="P41" s="544" t="s">
        <v>23</v>
      </c>
      <c r="Q41" s="544">
        <f t="shared" si="6"/>
        <v>0.67</v>
      </c>
      <c r="R41" s="520"/>
      <c r="S41" s="544"/>
    </row>
    <row r="42" spans="1:19" x14ac:dyDescent="0.3">
      <c r="A42" s="216" t="s">
        <v>531</v>
      </c>
      <c r="B42" s="119" t="s">
        <v>532</v>
      </c>
      <c r="C42" s="544" t="s">
        <v>533</v>
      </c>
      <c r="D42" s="544" t="s">
        <v>520</v>
      </c>
      <c r="E42" s="544"/>
      <c r="F42" s="520" t="s">
        <v>72</v>
      </c>
      <c r="G42" s="544"/>
      <c r="H42" s="520" t="s">
        <v>521</v>
      </c>
      <c r="I42" s="544"/>
      <c r="J42" s="572"/>
      <c r="K42" s="544" t="s">
        <v>153</v>
      </c>
      <c r="L42" s="544">
        <f t="shared" si="8"/>
        <v>6</v>
      </c>
      <c r="M42" s="544" t="str">
        <f t="shared" si="3"/>
        <v>Same habitat required =</v>
      </c>
      <c r="N42" s="544" t="s">
        <v>153</v>
      </c>
      <c r="O42" s="544">
        <f t="shared" si="5"/>
        <v>0.33</v>
      </c>
      <c r="P42" s="544" t="s">
        <v>153</v>
      </c>
      <c r="Q42" s="544">
        <f t="shared" si="6"/>
        <v>0.33</v>
      </c>
      <c r="R42" s="520"/>
      <c r="S42" s="544"/>
    </row>
    <row r="43" spans="1:19" x14ac:dyDescent="0.3">
      <c r="A43" s="216" t="s">
        <v>534</v>
      </c>
      <c r="B43" s="119" t="s">
        <v>535</v>
      </c>
      <c r="C43" s="544" t="s">
        <v>536</v>
      </c>
      <c r="D43" s="544" t="s">
        <v>520</v>
      </c>
      <c r="E43" s="544"/>
      <c r="F43" s="520" t="s">
        <v>72</v>
      </c>
      <c r="G43" s="544"/>
      <c r="H43" s="520" t="s">
        <v>521</v>
      </c>
      <c r="I43" s="544"/>
      <c r="J43" s="572"/>
      <c r="K43" s="544" t="s">
        <v>153</v>
      </c>
      <c r="L43" s="544">
        <f t="shared" si="8"/>
        <v>6</v>
      </c>
      <c r="M43" s="544" t="str">
        <f t="shared" si="3"/>
        <v>Same habitat required =</v>
      </c>
      <c r="N43" s="544" t="s">
        <v>153</v>
      </c>
      <c r="O43" s="544">
        <f t="shared" si="5"/>
        <v>0.33</v>
      </c>
      <c r="P43" s="544" t="s">
        <v>153</v>
      </c>
      <c r="Q43" s="544">
        <f t="shared" si="6"/>
        <v>0.33</v>
      </c>
      <c r="R43" s="520"/>
      <c r="S43" s="544"/>
    </row>
    <row r="44" spans="1:19" x14ac:dyDescent="0.3">
      <c r="A44" s="216" t="s">
        <v>537</v>
      </c>
      <c r="B44" s="119" t="s">
        <v>538</v>
      </c>
      <c r="C44" s="544" t="s">
        <v>539</v>
      </c>
      <c r="D44" s="544" t="s">
        <v>520</v>
      </c>
      <c r="E44" s="544"/>
      <c r="F44" s="520" t="s">
        <v>72</v>
      </c>
      <c r="G44" s="544"/>
      <c r="H44" s="520" t="s">
        <v>521</v>
      </c>
      <c r="I44" s="544"/>
      <c r="J44" s="572"/>
      <c r="K44" s="544" t="s">
        <v>153</v>
      </c>
      <c r="L44" s="544">
        <f t="shared" si="8"/>
        <v>6</v>
      </c>
      <c r="M44" s="544" t="str">
        <f t="shared" si="3"/>
        <v>Same habitat required =</v>
      </c>
      <c r="N44" s="544" t="s">
        <v>153</v>
      </c>
      <c r="O44" s="544">
        <f t="shared" si="5"/>
        <v>0.33</v>
      </c>
      <c r="P44" s="544" t="s">
        <v>153</v>
      </c>
      <c r="Q44" s="544">
        <f t="shared" si="6"/>
        <v>0.33</v>
      </c>
      <c r="R44" s="520"/>
      <c r="S44" s="544"/>
    </row>
    <row r="45" spans="1:19" x14ac:dyDescent="0.3">
      <c r="A45" s="216" t="s">
        <v>540</v>
      </c>
      <c r="B45" s="119" t="s">
        <v>541</v>
      </c>
      <c r="C45" s="544" t="s">
        <v>542</v>
      </c>
      <c r="D45" s="544" t="s">
        <v>520</v>
      </c>
      <c r="E45" s="544"/>
      <c r="F45" s="520" t="s">
        <v>72</v>
      </c>
      <c r="G45" s="544"/>
      <c r="H45" s="520" t="s">
        <v>521</v>
      </c>
      <c r="I45" s="544"/>
      <c r="J45" s="572"/>
      <c r="K45" s="544" t="s">
        <v>153</v>
      </c>
      <c r="L45" s="544">
        <f t="shared" si="8"/>
        <v>6</v>
      </c>
      <c r="M45" s="544" t="str">
        <f t="shared" si="3"/>
        <v>Same habitat required =</v>
      </c>
      <c r="N45" s="544" t="s">
        <v>23</v>
      </c>
      <c r="O45" s="544">
        <f t="shared" si="5"/>
        <v>0.67</v>
      </c>
      <c r="P45" s="544" t="s">
        <v>23</v>
      </c>
      <c r="Q45" s="544">
        <f t="shared" si="6"/>
        <v>0.67</v>
      </c>
      <c r="R45" s="520"/>
      <c r="S45" s="544"/>
    </row>
    <row r="46" spans="1:19" x14ac:dyDescent="0.3">
      <c r="A46" s="216" t="s">
        <v>543</v>
      </c>
      <c r="B46" s="119" t="s">
        <v>544</v>
      </c>
      <c r="C46" s="544" t="s">
        <v>545</v>
      </c>
      <c r="D46" s="544" t="s">
        <v>520</v>
      </c>
      <c r="E46" s="544"/>
      <c r="F46" s="520" t="s">
        <v>72</v>
      </c>
      <c r="G46" s="544"/>
      <c r="H46" s="520" t="s">
        <v>521</v>
      </c>
      <c r="I46" s="544" t="s">
        <v>546</v>
      </c>
      <c r="J46" s="572"/>
      <c r="K46" s="544" t="s">
        <v>23</v>
      </c>
      <c r="L46" s="544">
        <f t="shared" si="4"/>
        <v>4</v>
      </c>
      <c r="M46" s="544" t="str">
        <f t="shared" si="3"/>
        <v>Same broad habitat or a higher distinctiveness habitat required (≥)</v>
      </c>
      <c r="N46" s="544" t="s">
        <v>156</v>
      </c>
      <c r="O46" s="544">
        <f t="shared" si="5"/>
        <v>1</v>
      </c>
      <c r="P46" s="544" t="s">
        <v>23</v>
      </c>
      <c r="Q46" s="544">
        <f t="shared" si="6"/>
        <v>0.67</v>
      </c>
      <c r="R46" s="520"/>
      <c r="S46" s="544"/>
    </row>
    <row r="47" spans="1:19" x14ac:dyDescent="0.3">
      <c r="A47" s="216" t="s">
        <v>547</v>
      </c>
      <c r="B47" s="119" t="s">
        <v>548</v>
      </c>
      <c r="C47" s="544">
        <v>108</v>
      </c>
      <c r="D47" s="544" t="s">
        <v>520</v>
      </c>
      <c r="E47" s="544"/>
      <c r="F47" s="520" t="s">
        <v>72</v>
      </c>
      <c r="G47" s="544"/>
      <c r="H47" s="520" t="s">
        <v>521</v>
      </c>
      <c r="I47" s="544"/>
      <c r="J47" s="544"/>
      <c r="K47" s="544" t="s">
        <v>23</v>
      </c>
      <c r="L47" s="544">
        <f t="shared" si="4"/>
        <v>4</v>
      </c>
      <c r="M47" s="544" t="str">
        <f t="shared" si="3"/>
        <v>Same broad habitat or a higher distinctiveness habitat required (≥)</v>
      </c>
      <c r="N47" s="544" t="s">
        <v>23</v>
      </c>
      <c r="O47" s="544">
        <f t="shared" si="5"/>
        <v>0.67</v>
      </c>
      <c r="P47" s="544" t="s">
        <v>23</v>
      </c>
      <c r="Q47" s="544">
        <f t="shared" si="6"/>
        <v>0.67</v>
      </c>
      <c r="R47" s="520"/>
      <c r="S47" s="544"/>
    </row>
    <row r="48" spans="1:19" ht="14.5" thickBot="1" x14ac:dyDescent="0.35">
      <c r="A48" s="216" t="s">
        <v>549</v>
      </c>
      <c r="B48" s="218" t="s">
        <v>550</v>
      </c>
      <c r="C48" s="544" t="s">
        <v>551</v>
      </c>
      <c r="D48" s="526" t="s">
        <v>520</v>
      </c>
      <c r="E48" s="526"/>
      <c r="F48" s="508" t="s">
        <v>72</v>
      </c>
      <c r="G48" s="526"/>
      <c r="H48" s="508" t="s">
        <v>521</v>
      </c>
      <c r="I48" s="526" t="s">
        <v>552</v>
      </c>
      <c r="J48" s="575"/>
      <c r="K48" s="526" t="s">
        <v>153</v>
      </c>
      <c r="L48" s="526">
        <f t="shared" si="4"/>
        <v>6</v>
      </c>
      <c r="M48" s="526" t="str">
        <f t="shared" si="3"/>
        <v>Same habitat required =</v>
      </c>
      <c r="N48" s="526" t="s">
        <v>23</v>
      </c>
      <c r="O48" s="526">
        <f t="shared" si="5"/>
        <v>0.67</v>
      </c>
      <c r="P48" s="526" t="s">
        <v>23</v>
      </c>
      <c r="Q48" s="526">
        <f t="shared" si="6"/>
        <v>0.67</v>
      </c>
      <c r="R48" s="508"/>
      <c r="S48" s="526"/>
    </row>
    <row r="49" spans="1:19" x14ac:dyDescent="0.3">
      <c r="A49" s="216" t="s">
        <v>553</v>
      </c>
      <c r="B49" s="219" t="s">
        <v>554</v>
      </c>
      <c r="C49" s="521" t="s">
        <v>555</v>
      </c>
      <c r="D49" s="521" t="s">
        <v>520</v>
      </c>
      <c r="E49" s="521"/>
      <c r="F49" s="507" t="s">
        <v>73</v>
      </c>
      <c r="G49" s="521"/>
      <c r="H49" s="507" t="s">
        <v>556</v>
      </c>
      <c r="I49" s="521"/>
      <c r="J49" s="576" t="s">
        <v>553</v>
      </c>
      <c r="K49" s="521" t="s">
        <v>375</v>
      </c>
      <c r="L49" s="521">
        <f t="shared" ref="L49:L76" si="9">IF(K49=$V$3,$W$3,IF(K49=$V$3,$W$3,IF(K49=$V$4,$W$4,IF(K49=$V$5,$W$5,IF(K49=$V$6,$W$6,IF(K49=$V$7,$W$7))))))</f>
        <v>8</v>
      </c>
      <c r="M49" s="521" t="str">
        <f t="shared" si="3"/>
        <v>Bespoke compensation likely to be required 🛠</v>
      </c>
      <c r="N49" s="521" t="s">
        <v>151</v>
      </c>
      <c r="O49" s="521">
        <f t="shared" si="5"/>
        <v>0.1</v>
      </c>
      <c r="P49" s="521" t="s">
        <v>23</v>
      </c>
      <c r="Q49" s="521">
        <f t="shared" si="6"/>
        <v>0.67</v>
      </c>
      <c r="R49" s="507"/>
      <c r="S49" s="521"/>
    </row>
    <row r="50" spans="1:19" x14ac:dyDescent="0.3">
      <c r="A50" s="216" t="s">
        <v>557</v>
      </c>
      <c r="B50" s="119" t="s">
        <v>558</v>
      </c>
      <c r="C50" s="544" t="s">
        <v>559</v>
      </c>
      <c r="D50" s="544" t="s">
        <v>520</v>
      </c>
      <c r="E50" s="544"/>
      <c r="F50" s="520" t="s">
        <v>73</v>
      </c>
      <c r="G50" s="544"/>
      <c r="H50" s="520" t="s">
        <v>560</v>
      </c>
      <c r="I50" s="544"/>
      <c r="J50" s="544"/>
      <c r="K50" s="544" t="s">
        <v>153</v>
      </c>
      <c r="L50" s="544">
        <f t="shared" si="9"/>
        <v>6</v>
      </c>
      <c r="M50" s="544" t="str">
        <f t="shared" si="3"/>
        <v>Same habitat required =</v>
      </c>
      <c r="N50" s="544" t="s">
        <v>151</v>
      </c>
      <c r="O50" s="544">
        <f t="shared" si="5"/>
        <v>0.1</v>
      </c>
      <c r="P50" s="544" t="s">
        <v>23</v>
      </c>
      <c r="Q50" s="544">
        <f t="shared" si="6"/>
        <v>0.67</v>
      </c>
      <c r="R50" s="520"/>
      <c r="S50" s="544"/>
    </row>
    <row r="51" spans="1:19" x14ac:dyDescent="0.3">
      <c r="A51" s="216" t="s">
        <v>561</v>
      </c>
      <c r="B51" s="119" t="s">
        <v>562</v>
      </c>
      <c r="C51" s="544" t="s">
        <v>563</v>
      </c>
      <c r="D51" s="544" t="s">
        <v>372</v>
      </c>
      <c r="E51" s="544"/>
      <c r="F51" s="520" t="s">
        <v>73</v>
      </c>
      <c r="G51" s="544"/>
      <c r="H51" s="520" t="s">
        <v>560</v>
      </c>
      <c r="I51" s="544" t="s">
        <v>555</v>
      </c>
      <c r="J51" s="572"/>
      <c r="K51" s="544" t="s">
        <v>153</v>
      </c>
      <c r="L51" s="544">
        <f t="shared" si="9"/>
        <v>6</v>
      </c>
      <c r="M51" s="544" t="str">
        <f t="shared" si="3"/>
        <v>Same habitat required =</v>
      </c>
      <c r="N51" s="544" t="s">
        <v>151</v>
      </c>
      <c r="O51" s="544">
        <f t="shared" si="5"/>
        <v>0.1</v>
      </c>
      <c r="P51" s="544" t="s">
        <v>23</v>
      </c>
      <c r="Q51" s="544">
        <f t="shared" si="6"/>
        <v>0.67</v>
      </c>
      <c r="R51" s="520"/>
      <c r="S51" s="544"/>
    </row>
    <row r="52" spans="1:19" x14ac:dyDescent="0.3">
      <c r="A52" s="216" t="s">
        <v>564</v>
      </c>
      <c r="B52" s="119" t="s">
        <v>565</v>
      </c>
      <c r="C52" s="544">
        <v>17</v>
      </c>
      <c r="D52" s="544" t="s">
        <v>372</v>
      </c>
      <c r="E52" s="544"/>
      <c r="F52" s="520" t="s">
        <v>73</v>
      </c>
      <c r="G52" s="544"/>
      <c r="H52" s="520"/>
      <c r="I52" s="544"/>
      <c r="J52" s="544" t="s">
        <v>566</v>
      </c>
      <c r="K52" s="544" t="s">
        <v>156</v>
      </c>
      <c r="L52" s="544">
        <f t="shared" si="9"/>
        <v>2</v>
      </c>
      <c r="M52" s="544" t="str">
        <f t="shared" si="3"/>
        <v>Same distinctiveness or better habitat required ≥</v>
      </c>
      <c r="N52" s="544" t="s">
        <v>156</v>
      </c>
      <c r="O52" s="544">
        <f t="shared" si="5"/>
        <v>1</v>
      </c>
      <c r="P52" s="544" t="s">
        <v>23</v>
      </c>
      <c r="Q52" s="544">
        <f t="shared" si="6"/>
        <v>0.67</v>
      </c>
      <c r="R52" s="520" t="s">
        <v>567</v>
      </c>
      <c r="S52" s="544"/>
    </row>
    <row r="53" spans="1:19" x14ac:dyDescent="0.3">
      <c r="A53" s="216" t="s">
        <v>568</v>
      </c>
      <c r="B53" s="119" t="s">
        <v>569</v>
      </c>
      <c r="C53" s="544" t="s">
        <v>570</v>
      </c>
      <c r="D53" s="544" t="s">
        <v>372</v>
      </c>
      <c r="E53" s="544" t="s">
        <v>571</v>
      </c>
      <c r="F53" s="520" t="s">
        <v>73</v>
      </c>
      <c r="G53" s="544" t="s">
        <v>572</v>
      </c>
      <c r="H53" s="520" t="s">
        <v>556</v>
      </c>
      <c r="I53" s="544" t="s">
        <v>570</v>
      </c>
      <c r="J53" s="572" t="s">
        <v>568</v>
      </c>
      <c r="K53" s="544" t="s">
        <v>153</v>
      </c>
      <c r="L53" s="544">
        <f t="shared" si="9"/>
        <v>6</v>
      </c>
      <c r="M53" s="544" t="str">
        <f t="shared" si="3"/>
        <v>Same habitat required =</v>
      </c>
      <c r="N53" s="544" t="s">
        <v>153</v>
      </c>
      <c r="O53" s="544">
        <f t="shared" si="5"/>
        <v>0.33</v>
      </c>
      <c r="P53" s="544" t="s">
        <v>156</v>
      </c>
      <c r="Q53" s="544">
        <f t="shared" si="6"/>
        <v>1</v>
      </c>
      <c r="R53" s="520"/>
      <c r="S53" s="544"/>
    </row>
    <row r="54" spans="1:19" x14ac:dyDescent="0.3">
      <c r="A54" s="216" t="s">
        <v>573</v>
      </c>
      <c r="B54" s="119" t="s">
        <v>574</v>
      </c>
      <c r="C54" s="544" t="s">
        <v>575</v>
      </c>
      <c r="D54" s="544" t="s">
        <v>372</v>
      </c>
      <c r="E54" s="544"/>
      <c r="F54" s="520" t="s">
        <v>73</v>
      </c>
      <c r="G54" s="544"/>
      <c r="H54" s="520" t="s">
        <v>556</v>
      </c>
      <c r="I54" s="544" t="s">
        <v>575</v>
      </c>
      <c r="J54" s="572" t="s">
        <v>573</v>
      </c>
      <c r="K54" s="544" t="s">
        <v>375</v>
      </c>
      <c r="L54" s="544">
        <f t="shared" si="9"/>
        <v>8</v>
      </c>
      <c r="M54" s="544" t="str">
        <f t="shared" si="3"/>
        <v>Bespoke compensation likely to be required 🛠</v>
      </c>
      <c r="N54" s="544" t="s">
        <v>151</v>
      </c>
      <c r="O54" s="544">
        <f t="shared" si="5"/>
        <v>0.1</v>
      </c>
      <c r="P54" s="544" t="s">
        <v>23</v>
      </c>
      <c r="Q54" s="544">
        <f t="shared" si="6"/>
        <v>0.67</v>
      </c>
      <c r="R54" s="520"/>
      <c r="S54" s="544"/>
    </row>
    <row r="55" spans="1:19" x14ac:dyDescent="0.3">
      <c r="A55" s="216" t="s">
        <v>576</v>
      </c>
      <c r="B55" s="119" t="s">
        <v>577</v>
      </c>
      <c r="C55" s="544" t="s">
        <v>578</v>
      </c>
      <c r="D55" s="544" t="s">
        <v>372</v>
      </c>
      <c r="E55" s="544"/>
      <c r="F55" s="520" t="s">
        <v>73</v>
      </c>
      <c r="G55" s="544" t="s">
        <v>579</v>
      </c>
      <c r="H55" s="520" t="s">
        <v>580</v>
      </c>
      <c r="I55" s="544" t="s">
        <v>578</v>
      </c>
      <c r="J55" s="572" t="s">
        <v>576</v>
      </c>
      <c r="K55" s="544" t="s">
        <v>153</v>
      </c>
      <c r="L55" s="544">
        <f t="shared" si="9"/>
        <v>6</v>
      </c>
      <c r="M55" s="544" t="str">
        <f t="shared" si="3"/>
        <v>Same habitat required =</v>
      </c>
      <c r="N55" s="544" t="s">
        <v>153</v>
      </c>
      <c r="O55" s="544">
        <f t="shared" si="5"/>
        <v>0.33</v>
      </c>
      <c r="P55" s="544" t="s">
        <v>23</v>
      </c>
      <c r="Q55" s="544">
        <f t="shared" si="6"/>
        <v>0.67</v>
      </c>
      <c r="R55" s="520"/>
      <c r="S55" s="544"/>
    </row>
    <row r="56" spans="1:19" ht="14.5" thickBot="1" x14ac:dyDescent="0.35">
      <c r="A56" s="216" t="s">
        <v>581</v>
      </c>
      <c r="B56" s="218" t="s">
        <v>582</v>
      </c>
      <c r="C56" s="526" t="s">
        <v>583</v>
      </c>
      <c r="D56" s="526" t="s">
        <v>372</v>
      </c>
      <c r="E56" s="526"/>
      <c r="F56" s="508" t="s">
        <v>73</v>
      </c>
      <c r="G56" s="526"/>
      <c r="H56" s="508" t="s">
        <v>556</v>
      </c>
      <c r="I56" s="526" t="s">
        <v>583</v>
      </c>
      <c r="J56" s="526" t="s">
        <v>581</v>
      </c>
      <c r="K56" s="526" t="s">
        <v>23</v>
      </c>
      <c r="L56" s="526">
        <f t="shared" si="9"/>
        <v>4</v>
      </c>
      <c r="M56" s="526" t="str">
        <f t="shared" si="3"/>
        <v>Same broad habitat or a higher distinctiveness habitat required (≥)</v>
      </c>
      <c r="N56" s="526" t="s">
        <v>23</v>
      </c>
      <c r="O56" s="526">
        <f t="shared" si="5"/>
        <v>0.67</v>
      </c>
      <c r="P56" s="526" t="s">
        <v>23</v>
      </c>
      <c r="Q56" s="526">
        <f t="shared" si="6"/>
        <v>0.67</v>
      </c>
      <c r="R56" s="508"/>
      <c r="S56" s="526"/>
    </row>
    <row r="57" spans="1:19" x14ac:dyDescent="0.3">
      <c r="A57" s="216" t="s">
        <v>584</v>
      </c>
      <c r="B57" s="219" t="s">
        <v>585</v>
      </c>
      <c r="C57" s="521">
        <v>910</v>
      </c>
      <c r="D57" s="521" t="s">
        <v>372</v>
      </c>
      <c r="E57" s="521"/>
      <c r="F57" s="507" t="s">
        <v>74</v>
      </c>
      <c r="G57" s="521"/>
      <c r="H57" s="507" t="s">
        <v>524</v>
      </c>
      <c r="I57" s="521"/>
      <c r="J57" s="521" t="s">
        <v>584</v>
      </c>
      <c r="K57" s="521" t="s">
        <v>156</v>
      </c>
      <c r="L57" s="521">
        <f t="shared" si="9"/>
        <v>2</v>
      </c>
      <c r="M57" s="521" t="str">
        <f t="shared" si="3"/>
        <v>Same distinctiveness or better habitat required ≥</v>
      </c>
      <c r="N57" s="521" t="s">
        <v>156</v>
      </c>
      <c r="O57" s="521">
        <f t="shared" si="5"/>
        <v>1</v>
      </c>
      <c r="P57" s="521" t="s">
        <v>156</v>
      </c>
      <c r="Q57" s="521">
        <f t="shared" si="6"/>
        <v>1</v>
      </c>
      <c r="R57" s="507"/>
      <c r="S57" s="521"/>
    </row>
    <row r="58" spans="1:19" x14ac:dyDescent="0.3">
      <c r="A58" s="216" t="s">
        <v>586</v>
      </c>
      <c r="B58" s="119" t="s">
        <v>587</v>
      </c>
      <c r="C58" s="544" t="s">
        <v>588</v>
      </c>
      <c r="D58" s="544" t="s">
        <v>372</v>
      </c>
      <c r="E58" s="544"/>
      <c r="F58" s="520" t="s">
        <v>74</v>
      </c>
      <c r="G58" s="544"/>
      <c r="H58" s="520" t="s">
        <v>524</v>
      </c>
      <c r="I58" s="544" t="s">
        <v>588</v>
      </c>
      <c r="J58" s="544" t="s">
        <v>586</v>
      </c>
      <c r="K58" s="544" t="s">
        <v>397</v>
      </c>
      <c r="L58" s="544">
        <f t="shared" si="9"/>
        <v>0</v>
      </c>
      <c r="M58" s="544" t="str">
        <f t="shared" si="3"/>
        <v>Compensation Not Required</v>
      </c>
      <c r="N58" s="544" t="s">
        <v>156</v>
      </c>
      <c r="O58" s="544">
        <f t="shared" si="5"/>
        <v>1</v>
      </c>
      <c r="P58" s="544" t="s">
        <v>156</v>
      </c>
      <c r="Q58" s="544">
        <f t="shared" si="6"/>
        <v>1</v>
      </c>
      <c r="R58" s="520"/>
      <c r="S58" s="544"/>
    </row>
    <row r="59" spans="1:19" x14ac:dyDescent="0.3">
      <c r="A59" s="216" t="s">
        <v>589</v>
      </c>
      <c r="B59" s="119" t="s">
        <v>590</v>
      </c>
      <c r="C59" s="544">
        <v>1191</v>
      </c>
      <c r="D59" s="544" t="s">
        <v>372</v>
      </c>
      <c r="E59" s="544"/>
      <c r="F59" s="520" t="s">
        <v>74</v>
      </c>
      <c r="G59" s="544"/>
      <c r="H59" s="520" t="s">
        <v>524</v>
      </c>
      <c r="I59" s="544"/>
      <c r="J59" s="544" t="s">
        <v>589</v>
      </c>
      <c r="K59" s="544" t="s">
        <v>156</v>
      </c>
      <c r="L59" s="544">
        <f t="shared" si="9"/>
        <v>2</v>
      </c>
      <c r="M59" s="544" t="str">
        <f t="shared" si="3"/>
        <v>Same distinctiveness or better habitat required ≥</v>
      </c>
      <c r="N59" s="544" t="s">
        <v>23</v>
      </c>
      <c r="O59" s="544">
        <f t="shared" si="5"/>
        <v>0.67</v>
      </c>
      <c r="P59" s="544" t="s">
        <v>156</v>
      </c>
      <c r="Q59" s="544">
        <f t="shared" si="6"/>
        <v>1</v>
      </c>
      <c r="R59" s="520"/>
      <c r="S59" s="544"/>
    </row>
    <row r="60" spans="1:19" x14ac:dyDescent="0.3">
      <c r="A60" s="216" t="s">
        <v>591</v>
      </c>
      <c r="B60" s="119" t="s">
        <v>592</v>
      </c>
      <c r="C60" s="544" t="s">
        <v>593</v>
      </c>
      <c r="D60" s="544" t="s">
        <v>372</v>
      </c>
      <c r="E60" s="544"/>
      <c r="F60" s="520" t="s">
        <v>74</v>
      </c>
      <c r="G60" s="544"/>
      <c r="H60" s="520" t="s">
        <v>524</v>
      </c>
      <c r="I60" s="544"/>
      <c r="J60" s="544"/>
      <c r="K60" s="544" t="s">
        <v>156</v>
      </c>
      <c r="L60" s="544">
        <f t="shared" si="9"/>
        <v>2</v>
      </c>
      <c r="M60" s="544" t="str">
        <f t="shared" si="3"/>
        <v>Same distinctiveness or better habitat required ≥</v>
      </c>
      <c r="N60" s="544" t="s">
        <v>156</v>
      </c>
      <c r="O60" s="544">
        <f t="shared" si="5"/>
        <v>1</v>
      </c>
      <c r="P60" s="544" t="s">
        <v>156</v>
      </c>
      <c r="Q60" s="544">
        <f t="shared" si="6"/>
        <v>1</v>
      </c>
      <c r="R60" s="520"/>
      <c r="S60" s="544"/>
    </row>
    <row r="61" spans="1:19" x14ac:dyDescent="0.3">
      <c r="A61" s="216" t="s">
        <v>594</v>
      </c>
      <c r="B61" s="119" t="s">
        <v>595</v>
      </c>
      <c r="C61" s="544" t="s">
        <v>596</v>
      </c>
      <c r="D61" s="544" t="s">
        <v>372</v>
      </c>
      <c r="E61" s="544"/>
      <c r="F61" s="520" t="s">
        <v>74</v>
      </c>
      <c r="G61" s="544"/>
      <c r="H61" s="520" t="s">
        <v>524</v>
      </c>
      <c r="I61" s="544" t="s">
        <v>596</v>
      </c>
      <c r="J61" s="544" t="s">
        <v>594</v>
      </c>
      <c r="K61" s="544" t="s">
        <v>397</v>
      </c>
      <c r="L61" s="544">
        <f t="shared" si="9"/>
        <v>0</v>
      </c>
      <c r="M61" s="544" t="str">
        <f t="shared" si="3"/>
        <v>Compensation Not Required</v>
      </c>
      <c r="N61" s="544" t="s">
        <v>156</v>
      </c>
      <c r="O61" s="544">
        <f t="shared" si="5"/>
        <v>1</v>
      </c>
      <c r="P61" s="544" t="s">
        <v>156</v>
      </c>
      <c r="Q61" s="544">
        <f t="shared" si="6"/>
        <v>1</v>
      </c>
      <c r="R61" s="520"/>
      <c r="S61" s="544"/>
    </row>
    <row r="62" spans="1:19" x14ac:dyDescent="0.3">
      <c r="A62" s="216" t="s">
        <v>597</v>
      </c>
      <c r="B62" s="119" t="s">
        <v>598</v>
      </c>
      <c r="C62" s="544">
        <v>800</v>
      </c>
      <c r="D62" s="544" t="s">
        <v>372</v>
      </c>
      <c r="E62" s="544"/>
      <c r="F62" s="520" t="s">
        <v>74</v>
      </c>
      <c r="G62" s="544"/>
      <c r="H62" s="520" t="s">
        <v>524</v>
      </c>
      <c r="I62" s="544"/>
      <c r="J62" s="544" t="s">
        <v>597</v>
      </c>
      <c r="K62" s="544" t="s">
        <v>23</v>
      </c>
      <c r="L62" s="544">
        <f t="shared" si="9"/>
        <v>4</v>
      </c>
      <c r="M62" s="544" t="str">
        <f t="shared" si="3"/>
        <v>Same broad habitat or a higher distinctiveness habitat required (≥)</v>
      </c>
      <c r="N62" s="544" t="s">
        <v>23</v>
      </c>
      <c r="O62" s="544">
        <f t="shared" si="5"/>
        <v>0.67</v>
      </c>
      <c r="P62" s="544" t="s">
        <v>156</v>
      </c>
      <c r="Q62" s="544">
        <f t="shared" si="6"/>
        <v>1</v>
      </c>
      <c r="R62" s="520"/>
      <c r="S62" s="544"/>
    </row>
    <row r="63" spans="1:19" x14ac:dyDescent="0.3">
      <c r="A63" s="216" t="s">
        <v>599</v>
      </c>
      <c r="B63" s="119" t="s">
        <v>600</v>
      </c>
      <c r="C63" s="544" t="s">
        <v>601</v>
      </c>
      <c r="D63" s="544" t="s">
        <v>372</v>
      </c>
      <c r="E63" s="544"/>
      <c r="F63" s="520" t="s">
        <v>74</v>
      </c>
      <c r="G63" s="544"/>
      <c r="H63" s="520" t="s">
        <v>524</v>
      </c>
      <c r="I63" s="544" t="s">
        <v>601</v>
      </c>
      <c r="J63" s="544" t="s">
        <v>599</v>
      </c>
      <c r="K63" s="544" t="s">
        <v>397</v>
      </c>
      <c r="L63" s="544">
        <f t="shared" si="9"/>
        <v>0</v>
      </c>
      <c r="M63" s="544" t="str">
        <f t="shared" si="3"/>
        <v>Compensation Not Required</v>
      </c>
      <c r="N63" s="544" t="s">
        <v>156</v>
      </c>
      <c r="O63" s="544">
        <f t="shared" si="5"/>
        <v>1</v>
      </c>
      <c r="P63" s="544" t="s">
        <v>23</v>
      </c>
      <c r="Q63" s="544">
        <f t="shared" si="6"/>
        <v>0.67</v>
      </c>
      <c r="R63" s="520"/>
      <c r="S63" s="544"/>
    </row>
    <row r="64" spans="1:19" x14ac:dyDescent="0.3">
      <c r="A64" s="216" t="s">
        <v>602</v>
      </c>
      <c r="B64" s="119" t="s">
        <v>603</v>
      </c>
      <c r="C64" s="544" t="s">
        <v>604</v>
      </c>
      <c r="D64" s="544" t="s">
        <v>372</v>
      </c>
      <c r="E64" s="544"/>
      <c r="F64" s="520" t="s">
        <v>74</v>
      </c>
      <c r="G64" s="544"/>
      <c r="H64" s="520" t="s">
        <v>524</v>
      </c>
      <c r="I64" s="544"/>
      <c r="J64" s="544"/>
      <c r="K64" s="544" t="s">
        <v>156</v>
      </c>
      <c r="L64" s="544">
        <f t="shared" si="9"/>
        <v>2</v>
      </c>
      <c r="M64" s="544" t="str">
        <f t="shared" si="3"/>
        <v>Same distinctiveness or better habitat required ≥</v>
      </c>
      <c r="N64" s="544" t="s">
        <v>156</v>
      </c>
      <c r="O64" s="544">
        <f t="shared" si="5"/>
        <v>1</v>
      </c>
      <c r="P64" s="544" t="s">
        <v>156</v>
      </c>
      <c r="Q64" s="544">
        <f t="shared" si="6"/>
        <v>1</v>
      </c>
      <c r="R64" s="520"/>
      <c r="S64" s="544"/>
    </row>
    <row r="65" spans="1:19" x14ac:dyDescent="0.3">
      <c r="A65" s="216" t="s">
        <v>605</v>
      </c>
      <c r="B65" s="119" t="s">
        <v>606</v>
      </c>
      <c r="C65" s="544">
        <v>1122</v>
      </c>
      <c r="D65" s="544" t="s">
        <v>372</v>
      </c>
      <c r="E65" s="544"/>
      <c r="F65" s="520" t="s">
        <v>74</v>
      </c>
      <c r="G65" s="544"/>
      <c r="H65" s="520" t="s">
        <v>524</v>
      </c>
      <c r="I65" s="544"/>
      <c r="J65" s="544" t="s">
        <v>607</v>
      </c>
      <c r="K65" s="544" t="s">
        <v>156</v>
      </c>
      <c r="L65" s="544">
        <f t="shared" si="9"/>
        <v>2</v>
      </c>
      <c r="M65" s="544" t="str">
        <f t="shared" si="3"/>
        <v>Same distinctiveness or better habitat required ≥</v>
      </c>
      <c r="N65" s="544" t="s">
        <v>23</v>
      </c>
      <c r="O65" s="544">
        <f t="shared" ref="O65:O92" si="10">VLOOKUP(N65,Difficulty,2,FALSE)</f>
        <v>0.67</v>
      </c>
      <c r="P65" s="544" t="s">
        <v>23</v>
      </c>
      <c r="Q65" s="544">
        <f t="shared" ref="Q65:Q92" si="11">VLOOKUP(P65,Difficulty,2,FALSE)</f>
        <v>0.67</v>
      </c>
      <c r="R65" s="520"/>
      <c r="S65" s="544"/>
    </row>
    <row r="66" spans="1:19" x14ac:dyDescent="0.3">
      <c r="A66" s="216" t="s">
        <v>608</v>
      </c>
      <c r="B66" s="119" t="s">
        <v>609</v>
      </c>
      <c r="C66" s="544">
        <v>1121</v>
      </c>
      <c r="D66" s="544" t="s">
        <v>372</v>
      </c>
      <c r="E66" s="544"/>
      <c r="F66" s="520" t="s">
        <v>74</v>
      </c>
      <c r="G66" s="544"/>
      <c r="H66" s="520" t="s">
        <v>524</v>
      </c>
      <c r="I66" s="544"/>
      <c r="J66" s="544" t="s">
        <v>608</v>
      </c>
      <c r="K66" s="544" t="s">
        <v>156</v>
      </c>
      <c r="L66" s="544">
        <f t="shared" si="9"/>
        <v>2</v>
      </c>
      <c r="M66" s="544" t="str">
        <f t="shared" si="3"/>
        <v>Same distinctiveness or better habitat required ≥</v>
      </c>
      <c r="N66" s="544" t="s">
        <v>23</v>
      </c>
      <c r="O66" s="544">
        <f t="shared" si="10"/>
        <v>0.67</v>
      </c>
      <c r="P66" s="544" t="s">
        <v>23</v>
      </c>
      <c r="Q66" s="544">
        <f t="shared" si="11"/>
        <v>0.67</v>
      </c>
      <c r="R66" s="520"/>
      <c r="S66" s="544"/>
    </row>
    <row r="67" spans="1:19" x14ac:dyDescent="0.3">
      <c r="A67" s="216" t="s">
        <v>610</v>
      </c>
      <c r="B67" s="119" t="s">
        <v>611</v>
      </c>
      <c r="C67" s="544">
        <v>1140</v>
      </c>
      <c r="D67" s="544" t="s">
        <v>372</v>
      </c>
      <c r="E67" s="544"/>
      <c r="F67" s="520" t="s">
        <v>74</v>
      </c>
      <c r="G67" s="544"/>
      <c r="H67" s="520" t="s">
        <v>524</v>
      </c>
      <c r="I67" s="544"/>
      <c r="J67" s="544" t="s">
        <v>610</v>
      </c>
      <c r="K67" s="544" t="s">
        <v>156</v>
      </c>
      <c r="L67" s="544">
        <f t="shared" si="9"/>
        <v>2</v>
      </c>
      <c r="M67" s="544" t="str">
        <f t="shared" si="3"/>
        <v>Same distinctiveness or better habitat required ≥</v>
      </c>
      <c r="N67" s="544" t="s">
        <v>156</v>
      </c>
      <c r="O67" s="544">
        <f t="shared" si="10"/>
        <v>1</v>
      </c>
      <c r="P67" s="544" t="s">
        <v>156</v>
      </c>
      <c r="Q67" s="544">
        <f t="shared" si="11"/>
        <v>1</v>
      </c>
      <c r="R67" s="520"/>
      <c r="S67" s="544"/>
    </row>
    <row r="68" spans="1:19" x14ac:dyDescent="0.3">
      <c r="A68" s="216" t="s">
        <v>612</v>
      </c>
      <c r="B68" s="119" t="s">
        <v>613</v>
      </c>
      <c r="C68" s="544" t="s">
        <v>614</v>
      </c>
      <c r="D68" s="544" t="s">
        <v>372</v>
      </c>
      <c r="E68" s="544"/>
      <c r="F68" s="520" t="s">
        <v>74</v>
      </c>
      <c r="G68" s="544"/>
      <c r="H68" s="520" t="s">
        <v>524</v>
      </c>
      <c r="I68" s="544"/>
      <c r="J68" s="544" t="s">
        <v>591</v>
      </c>
      <c r="K68" s="544" t="s">
        <v>23</v>
      </c>
      <c r="L68" s="544">
        <f t="shared" si="9"/>
        <v>4</v>
      </c>
      <c r="M68" s="544" t="str">
        <f t="shared" si="3"/>
        <v>Same broad habitat or a higher distinctiveness habitat required (≥)</v>
      </c>
      <c r="N68" s="544" t="s">
        <v>23</v>
      </c>
      <c r="O68" s="544">
        <f t="shared" si="10"/>
        <v>0.67</v>
      </c>
      <c r="P68" s="544" t="s">
        <v>23</v>
      </c>
      <c r="Q68" s="544">
        <f t="shared" si="11"/>
        <v>0.67</v>
      </c>
      <c r="R68" s="520"/>
      <c r="S68" s="544"/>
    </row>
    <row r="69" spans="1:19" x14ac:dyDescent="0.3">
      <c r="A69" s="216" t="s">
        <v>615</v>
      </c>
      <c r="B69" s="119" t="s">
        <v>616</v>
      </c>
      <c r="C69" s="544">
        <v>1160</v>
      </c>
      <c r="D69" s="544" t="s">
        <v>372</v>
      </c>
      <c r="E69" s="544"/>
      <c r="F69" s="520" t="s">
        <v>74</v>
      </c>
      <c r="G69" s="544"/>
      <c r="H69" s="520" t="s">
        <v>524</v>
      </c>
      <c r="I69" s="544"/>
      <c r="J69" s="544" t="s">
        <v>615</v>
      </c>
      <c r="K69" s="544" t="s">
        <v>156</v>
      </c>
      <c r="L69" s="544">
        <f t="shared" si="9"/>
        <v>2</v>
      </c>
      <c r="M69" s="544" t="str">
        <f t="shared" si="3"/>
        <v>Same distinctiveness or better habitat required ≥</v>
      </c>
      <c r="N69" s="544" t="s">
        <v>156</v>
      </c>
      <c r="O69" s="544">
        <f t="shared" si="10"/>
        <v>1</v>
      </c>
      <c r="P69" s="544" t="s">
        <v>156</v>
      </c>
      <c r="Q69" s="544">
        <f t="shared" si="11"/>
        <v>1</v>
      </c>
      <c r="R69" s="520"/>
      <c r="S69" s="544"/>
    </row>
    <row r="70" spans="1:19" x14ac:dyDescent="0.3">
      <c r="A70" s="216" t="s">
        <v>617</v>
      </c>
      <c r="B70" s="119" t="s">
        <v>618</v>
      </c>
      <c r="C70" s="544" t="s">
        <v>619</v>
      </c>
      <c r="D70" s="544" t="s">
        <v>372</v>
      </c>
      <c r="E70" s="544" t="s">
        <v>620</v>
      </c>
      <c r="F70" s="520" t="s">
        <v>74</v>
      </c>
      <c r="G70" s="544" t="s">
        <v>621</v>
      </c>
      <c r="H70" s="520" t="s">
        <v>524</v>
      </c>
      <c r="I70" s="544" t="s">
        <v>619</v>
      </c>
      <c r="J70" s="572" t="s">
        <v>617</v>
      </c>
      <c r="K70" s="544" t="s">
        <v>153</v>
      </c>
      <c r="L70" s="544">
        <f t="shared" si="9"/>
        <v>6</v>
      </c>
      <c r="M70" s="544" t="str">
        <f t="shared" si="3"/>
        <v>Same habitat required =</v>
      </c>
      <c r="N70" s="544" t="s">
        <v>23</v>
      </c>
      <c r="O70" s="544">
        <f t="shared" si="10"/>
        <v>0.67</v>
      </c>
      <c r="P70" s="544" t="s">
        <v>23</v>
      </c>
      <c r="Q70" s="544">
        <f t="shared" si="11"/>
        <v>0.67</v>
      </c>
      <c r="R70" s="520"/>
      <c r="S70" s="544"/>
    </row>
    <row r="71" spans="1:19" x14ac:dyDescent="0.3">
      <c r="A71" s="216" t="s">
        <v>622</v>
      </c>
      <c r="B71" s="119" t="s">
        <v>623</v>
      </c>
      <c r="C71" s="544">
        <v>1192</v>
      </c>
      <c r="D71" s="544" t="s">
        <v>372</v>
      </c>
      <c r="E71" s="544"/>
      <c r="F71" s="520" t="s">
        <v>74</v>
      </c>
      <c r="G71" s="544"/>
      <c r="H71" s="520" t="s">
        <v>524</v>
      </c>
      <c r="I71" s="544"/>
      <c r="J71" s="544" t="s">
        <v>622</v>
      </c>
      <c r="K71" s="544" t="s">
        <v>156</v>
      </c>
      <c r="L71" s="544">
        <f t="shared" si="9"/>
        <v>2</v>
      </c>
      <c r="M71" s="544" t="str">
        <f t="shared" si="3"/>
        <v>Same distinctiveness or better habitat required ≥</v>
      </c>
      <c r="N71" s="544" t="s">
        <v>156</v>
      </c>
      <c r="O71" s="544">
        <f t="shared" si="10"/>
        <v>1</v>
      </c>
      <c r="P71" s="544" t="s">
        <v>156</v>
      </c>
      <c r="Q71" s="544">
        <f t="shared" si="11"/>
        <v>1</v>
      </c>
      <c r="R71" s="520"/>
      <c r="S71" s="544"/>
    </row>
    <row r="72" spans="1:19" x14ac:dyDescent="0.3">
      <c r="A72" s="216" t="s">
        <v>624</v>
      </c>
      <c r="B72" s="119" t="s">
        <v>625</v>
      </c>
      <c r="C72" s="544">
        <v>1030</v>
      </c>
      <c r="D72" s="544" t="s">
        <v>372</v>
      </c>
      <c r="E72" s="544"/>
      <c r="F72" s="520" t="s">
        <v>74</v>
      </c>
      <c r="G72" s="544"/>
      <c r="H72" s="520" t="s">
        <v>524</v>
      </c>
      <c r="I72" s="544"/>
      <c r="J72" s="544" t="s">
        <v>626</v>
      </c>
      <c r="K72" s="544" t="s">
        <v>156</v>
      </c>
      <c r="L72" s="544">
        <f t="shared" si="9"/>
        <v>2</v>
      </c>
      <c r="M72" s="544" t="str">
        <f t="shared" ref="M72:M126" si="12">IF($K72=$V$3,$X$3,IF($K72=$V$4,$X$4,IF($K72=$V$5,$X$5,IF($K72=$V$6,$X$6,IF($K72=$V$7,$X$7)))))</f>
        <v>Same distinctiveness or better habitat required ≥</v>
      </c>
      <c r="N72" s="544" t="s">
        <v>23</v>
      </c>
      <c r="O72" s="544">
        <f t="shared" si="10"/>
        <v>0.67</v>
      </c>
      <c r="P72" s="544" t="s">
        <v>23</v>
      </c>
      <c r="Q72" s="544">
        <f t="shared" si="11"/>
        <v>0.67</v>
      </c>
      <c r="R72" s="520"/>
      <c r="S72" s="544"/>
    </row>
    <row r="73" spans="1:19" x14ac:dyDescent="0.3">
      <c r="A73" s="216" t="s">
        <v>627</v>
      </c>
      <c r="B73" s="119" t="s">
        <v>628</v>
      </c>
      <c r="C73" s="544" t="s">
        <v>629</v>
      </c>
      <c r="D73" s="544" t="s">
        <v>372</v>
      </c>
      <c r="E73" s="544"/>
      <c r="F73" s="520" t="s">
        <v>74</v>
      </c>
      <c r="G73" s="544"/>
      <c r="H73" s="520" t="s">
        <v>524</v>
      </c>
      <c r="I73" s="544"/>
      <c r="J73" s="544" t="s">
        <v>630</v>
      </c>
      <c r="K73" s="544" t="s">
        <v>23</v>
      </c>
      <c r="L73" s="544">
        <f t="shared" si="9"/>
        <v>4</v>
      </c>
      <c r="M73" s="544" t="str">
        <f t="shared" si="12"/>
        <v>Same broad habitat or a higher distinctiveness habitat required (≥)</v>
      </c>
      <c r="N73" s="544" t="s">
        <v>156</v>
      </c>
      <c r="O73" s="544">
        <f t="shared" si="10"/>
        <v>1</v>
      </c>
      <c r="P73" s="544" t="s">
        <v>156</v>
      </c>
      <c r="Q73" s="544">
        <f t="shared" si="11"/>
        <v>1</v>
      </c>
      <c r="R73" s="520"/>
      <c r="S73" s="544"/>
    </row>
    <row r="74" spans="1:19" x14ac:dyDescent="0.3">
      <c r="A74" s="216" t="s">
        <v>631</v>
      </c>
      <c r="B74" s="119" t="s">
        <v>632</v>
      </c>
      <c r="C74" s="544">
        <v>1190</v>
      </c>
      <c r="D74" s="544" t="s">
        <v>372</v>
      </c>
      <c r="E74" s="544"/>
      <c r="F74" s="520" t="s">
        <v>74</v>
      </c>
      <c r="G74" s="544"/>
      <c r="H74" s="520" t="s">
        <v>524</v>
      </c>
      <c r="I74" s="544"/>
      <c r="J74" s="544" t="s">
        <v>631</v>
      </c>
      <c r="K74" s="544" t="s">
        <v>156</v>
      </c>
      <c r="L74" s="544">
        <f t="shared" si="9"/>
        <v>2</v>
      </c>
      <c r="M74" s="544" t="str">
        <f t="shared" si="12"/>
        <v>Same distinctiveness or better habitat required ≥</v>
      </c>
      <c r="N74" s="544" t="s">
        <v>23</v>
      </c>
      <c r="O74" s="544">
        <f t="shared" si="10"/>
        <v>0.67</v>
      </c>
      <c r="P74" s="544" t="s">
        <v>23</v>
      </c>
      <c r="Q74" s="544">
        <f t="shared" si="11"/>
        <v>0.67</v>
      </c>
      <c r="R74" s="520"/>
      <c r="S74" s="544"/>
    </row>
    <row r="75" spans="1:19" x14ac:dyDescent="0.3">
      <c r="A75" s="216" t="s">
        <v>633</v>
      </c>
      <c r="B75" s="119" t="s">
        <v>634</v>
      </c>
      <c r="C75" s="544">
        <v>232</v>
      </c>
      <c r="D75" s="544" t="s">
        <v>372</v>
      </c>
      <c r="E75" s="544"/>
      <c r="F75" s="520" t="s">
        <v>74</v>
      </c>
      <c r="G75" s="544"/>
      <c r="H75" s="520" t="s">
        <v>524</v>
      </c>
      <c r="I75" s="544"/>
      <c r="J75" s="544" t="s">
        <v>633</v>
      </c>
      <c r="K75" s="544" t="s">
        <v>397</v>
      </c>
      <c r="L75" s="544">
        <f t="shared" si="9"/>
        <v>0</v>
      </c>
      <c r="M75" s="544" t="str">
        <f t="shared" si="12"/>
        <v>Compensation Not Required</v>
      </c>
      <c r="N75" s="544" t="s">
        <v>156</v>
      </c>
      <c r="O75" s="544">
        <f t="shared" si="10"/>
        <v>1</v>
      </c>
      <c r="P75" s="544" t="s">
        <v>156</v>
      </c>
      <c r="Q75" s="544">
        <f t="shared" si="11"/>
        <v>1</v>
      </c>
      <c r="R75" s="520"/>
      <c r="S75" s="544"/>
    </row>
    <row r="76" spans="1:19" x14ac:dyDescent="0.3">
      <c r="A76" s="216" t="s">
        <v>635</v>
      </c>
      <c r="B76" s="119" t="s">
        <v>636</v>
      </c>
      <c r="C76" s="544">
        <v>350</v>
      </c>
      <c r="D76" s="544" t="s">
        <v>372</v>
      </c>
      <c r="E76" s="544"/>
      <c r="F76" s="520" t="s">
        <v>74</v>
      </c>
      <c r="G76" s="544"/>
      <c r="H76" s="520" t="s">
        <v>524</v>
      </c>
      <c r="I76" s="544"/>
      <c r="J76" s="544" t="s">
        <v>635</v>
      </c>
      <c r="K76" s="544" t="s">
        <v>156</v>
      </c>
      <c r="L76" s="544">
        <f t="shared" si="9"/>
        <v>2</v>
      </c>
      <c r="M76" s="544" t="str">
        <f t="shared" si="12"/>
        <v>Same distinctiveness or better habitat required ≥</v>
      </c>
      <c r="N76" s="544" t="s">
        <v>156</v>
      </c>
      <c r="O76" s="544">
        <f t="shared" si="10"/>
        <v>1</v>
      </c>
      <c r="P76" s="544" t="s">
        <v>156</v>
      </c>
      <c r="Q76" s="544">
        <f t="shared" si="11"/>
        <v>1</v>
      </c>
      <c r="R76" s="520" t="s">
        <v>637</v>
      </c>
      <c r="S76" s="544"/>
    </row>
    <row r="77" spans="1:19" ht="14.5" thickBot="1" x14ac:dyDescent="0.35">
      <c r="A77" s="216" t="s">
        <v>638</v>
      </c>
      <c r="B77" s="218" t="s">
        <v>639</v>
      </c>
      <c r="C77" s="526">
        <v>231</v>
      </c>
      <c r="D77" s="526" t="s">
        <v>372</v>
      </c>
      <c r="E77" s="526"/>
      <c r="F77" s="508" t="s">
        <v>74</v>
      </c>
      <c r="G77" s="526"/>
      <c r="H77" s="508" t="s">
        <v>524</v>
      </c>
      <c r="I77" s="526"/>
      <c r="J77" s="526" t="s">
        <v>638</v>
      </c>
      <c r="K77" s="526" t="s">
        <v>156</v>
      </c>
      <c r="L77" s="526">
        <f t="shared" ref="L77:L98" si="13">IF(K77=$V$3,$W$3,IF(K77=$V$3,$W$3,IF(K77=$V$4,$W$4,IF(K77=$V$5,$W$5,IF(K77=$V$6,$W$6,IF(K77=$V$7,$W$7))))))</f>
        <v>2</v>
      </c>
      <c r="M77" s="526" t="str">
        <f t="shared" si="12"/>
        <v>Same distinctiveness or better habitat required ≥</v>
      </c>
      <c r="N77" s="526" t="s">
        <v>156</v>
      </c>
      <c r="O77" s="526">
        <f t="shared" si="10"/>
        <v>1</v>
      </c>
      <c r="P77" s="526" t="s">
        <v>156</v>
      </c>
      <c r="Q77" s="526">
        <f t="shared" si="11"/>
        <v>1</v>
      </c>
      <c r="R77" s="508"/>
      <c r="S77" s="526"/>
    </row>
    <row r="78" spans="1:19" x14ac:dyDescent="0.3">
      <c r="A78" s="216" t="s">
        <v>640</v>
      </c>
      <c r="B78" s="219" t="s">
        <v>641</v>
      </c>
      <c r="C78" s="521" t="s">
        <v>642</v>
      </c>
      <c r="D78" s="521" t="s">
        <v>372</v>
      </c>
      <c r="E78" s="521"/>
      <c r="F78" s="507" t="s">
        <v>75</v>
      </c>
      <c r="G78" s="521"/>
      <c r="H78" s="507" t="s">
        <v>643</v>
      </c>
      <c r="I78" s="521" t="s">
        <v>642</v>
      </c>
      <c r="J78" s="576" t="s">
        <v>640</v>
      </c>
      <c r="K78" s="521" t="s">
        <v>375</v>
      </c>
      <c r="L78" s="521">
        <f t="shared" si="13"/>
        <v>8</v>
      </c>
      <c r="M78" s="521" t="str">
        <f t="shared" si="12"/>
        <v>Bespoke compensation likely to be required 🛠</v>
      </c>
      <c r="N78" s="521" t="s">
        <v>151</v>
      </c>
      <c r="O78" s="521">
        <f t="shared" si="10"/>
        <v>0.1</v>
      </c>
      <c r="P78" s="521" t="s">
        <v>153</v>
      </c>
      <c r="Q78" s="521">
        <f t="shared" si="11"/>
        <v>0.33</v>
      </c>
      <c r="R78" s="507"/>
      <c r="S78" s="521"/>
    </row>
    <row r="79" spans="1:19" x14ac:dyDescent="0.3">
      <c r="A79" s="216" t="s">
        <v>644</v>
      </c>
      <c r="B79" s="119" t="s">
        <v>645</v>
      </c>
      <c r="C79" s="544">
        <v>24</v>
      </c>
      <c r="D79" s="544" t="s">
        <v>372</v>
      </c>
      <c r="E79" s="544" t="s">
        <v>646</v>
      </c>
      <c r="F79" s="520" t="s">
        <v>75</v>
      </c>
      <c r="G79" s="544" t="s">
        <v>647</v>
      </c>
      <c r="H79" s="520" t="s">
        <v>643</v>
      </c>
      <c r="I79" s="544"/>
      <c r="J79" s="577" t="s">
        <v>644</v>
      </c>
      <c r="K79" s="544" t="s">
        <v>375</v>
      </c>
      <c r="L79" s="544">
        <f t="shared" si="13"/>
        <v>8</v>
      </c>
      <c r="M79" s="544" t="str">
        <f t="shared" si="12"/>
        <v>Bespoke compensation likely to be required 🛠</v>
      </c>
      <c r="N79" s="544" t="s">
        <v>151</v>
      </c>
      <c r="O79" s="544">
        <f t="shared" si="10"/>
        <v>0.1</v>
      </c>
      <c r="P79" s="544" t="s">
        <v>153</v>
      </c>
      <c r="Q79" s="544">
        <f t="shared" si="11"/>
        <v>0.33</v>
      </c>
      <c r="R79" s="520"/>
      <c r="S79" s="544"/>
    </row>
    <row r="80" spans="1:19" x14ac:dyDescent="0.3">
      <c r="A80" s="216" t="s">
        <v>648</v>
      </c>
      <c r="B80" s="119" t="s">
        <v>649</v>
      </c>
      <c r="C80" s="544" t="s">
        <v>650</v>
      </c>
      <c r="D80" s="544" t="s">
        <v>372</v>
      </c>
      <c r="E80" s="544"/>
      <c r="F80" s="520" t="s">
        <v>75</v>
      </c>
      <c r="G80" s="544" t="s">
        <v>651</v>
      </c>
      <c r="H80" s="520" t="s">
        <v>652</v>
      </c>
      <c r="I80" s="544" t="s">
        <v>650</v>
      </c>
      <c r="J80" s="572" t="s">
        <v>653</v>
      </c>
      <c r="K80" s="544" t="s">
        <v>375</v>
      </c>
      <c r="L80" s="544">
        <f t="shared" si="13"/>
        <v>8</v>
      </c>
      <c r="M80" s="544" t="str">
        <f t="shared" si="12"/>
        <v>Bespoke compensation likely to be required 🛠</v>
      </c>
      <c r="N80" s="544" t="s">
        <v>153</v>
      </c>
      <c r="O80" s="544">
        <f t="shared" si="10"/>
        <v>0.33</v>
      </c>
      <c r="P80" s="544" t="s">
        <v>153</v>
      </c>
      <c r="Q80" s="544">
        <f t="shared" si="11"/>
        <v>0.33</v>
      </c>
      <c r="R80" s="520"/>
      <c r="S80" s="544"/>
    </row>
    <row r="81" spans="1:19" x14ac:dyDescent="0.3">
      <c r="A81" s="216" t="s">
        <v>654</v>
      </c>
      <c r="B81" s="119" t="s">
        <v>655</v>
      </c>
      <c r="C81" s="544" t="s">
        <v>656</v>
      </c>
      <c r="D81" s="544" t="s">
        <v>372</v>
      </c>
      <c r="E81" s="544"/>
      <c r="F81" s="520" t="s">
        <v>75</v>
      </c>
      <c r="G81" s="544"/>
      <c r="H81" s="520" t="s">
        <v>643</v>
      </c>
      <c r="I81" s="544" t="s">
        <v>656</v>
      </c>
      <c r="J81" s="572" t="s">
        <v>654</v>
      </c>
      <c r="K81" s="544" t="s">
        <v>375</v>
      </c>
      <c r="L81" s="544">
        <f t="shared" si="13"/>
        <v>8</v>
      </c>
      <c r="M81" s="544" t="str">
        <f t="shared" si="12"/>
        <v>Bespoke compensation likely to be required 🛠</v>
      </c>
      <c r="N81" s="544" t="s">
        <v>151</v>
      </c>
      <c r="O81" s="544">
        <f t="shared" si="10"/>
        <v>0.1</v>
      </c>
      <c r="P81" s="544" t="s">
        <v>153</v>
      </c>
      <c r="Q81" s="544">
        <f t="shared" si="11"/>
        <v>0.33</v>
      </c>
      <c r="R81" s="520"/>
      <c r="S81" s="544"/>
    </row>
    <row r="82" spans="1:19" x14ac:dyDescent="0.3">
      <c r="A82" s="216" t="s">
        <v>657</v>
      </c>
      <c r="B82" s="119" t="s">
        <v>658</v>
      </c>
      <c r="C82" s="544" t="s">
        <v>659</v>
      </c>
      <c r="D82" s="544" t="s">
        <v>372</v>
      </c>
      <c r="E82" s="544"/>
      <c r="F82" s="520" t="s">
        <v>75</v>
      </c>
      <c r="G82" s="544"/>
      <c r="H82" s="520" t="s">
        <v>652</v>
      </c>
      <c r="I82" s="544" t="s">
        <v>660</v>
      </c>
      <c r="J82" s="544" t="s">
        <v>657</v>
      </c>
      <c r="K82" s="544" t="s">
        <v>375</v>
      </c>
      <c r="L82" s="544">
        <f t="shared" si="13"/>
        <v>8</v>
      </c>
      <c r="M82" s="544" t="str">
        <f t="shared" si="12"/>
        <v>Bespoke compensation likely to be required 🛠</v>
      </c>
      <c r="N82" s="544" t="s">
        <v>151</v>
      </c>
      <c r="O82" s="544">
        <f t="shared" si="10"/>
        <v>0.1</v>
      </c>
      <c r="P82" s="544" t="s">
        <v>153</v>
      </c>
      <c r="Q82" s="544">
        <f t="shared" si="11"/>
        <v>0.33</v>
      </c>
      <c r="R82" s="520"/>
      <c r="S82" s="544"/>
    </row>
    <row r="83" spans="1:19" x14ac:dyDescent="0.3">
      <c r="A83" s="216" t="s">
        <v>661</v>
      </c>
      <c r="B83" s="119" t="s">
        <v>662</v>
      </c>
      <c r="C83" s="544" t="s">
        <v>663</v>
      </c>
      <c r="D83" s="544" t="s">
        <v>372</v>
      </c>
      <c r="E83" s="544"/>
      <c r="F83" s="520" t="s">
        <v>75</v>
      </c>
      <c r="G83" s="544"/>
      <c r="H83" s="520" t="s">
        <v>652</v>
      </c>
      <c r="I83" s="544" t="s">
        <v>663</v>
      </c>
      <c r="J83" s="572" t="s">
        <v>661</v>
      </c>
      <c r="K83" s="544" t="s">
        <v>375</v>
      </c>
      <c r="L83" s="544">
        <f t="shared" si="13"/>
        <v>8</v>
      </c>
      <c r="M83" s="544" t="str">
        <f t="shared" si="12"/>
        <v>Bespoke compensation likely to be required 🛠</v>
      </c>
      <c r="N83" s="544" t="s">
        <v>153</v>
      </c>
      <c r="O83" s="544">
        <f t="shared" si="10"/>
        <v>0.33</v>
      </c>
      <c r="P83" s="544" t="s">
        <v>153</v>
      </c>
      <c r="Q83" s="544">
        <f t="shared" si="11"/>
        <v>0.33</v>
      </c>
      <c r="R83" s="520"/>
      <c r="S83" s="544"/>
    </row>
    <row r="84" spans="1:19" x14ac:dyDescent="0.3">
      <c r="A84" s="216" t="s">
        <v>664</v>
      </c>
      <c r="B84" s="119" t="s">
        <v>665</v>
      </c>
      <c r="C84" s="544" t="s">
        <v>666</v>
      </c>
      <c r="D84" s="544" t="s">
        <v>372</v>
      </c>
      <c r="E84" s="544"/>
      <c r="F84" s="520" t="s">
        <v>75</v>
      </c>
      <c r="G84" s="544"/>
      <c r="H84" s="520" t="s">
        <v>652</v>
      </c>
      <c r="I84" s="544" t="s">
        <v>666</v>
      </c>
      <c r="J84" s="572" t="s">
        <v>664</v>
      </c>
      <c r="K84" s="544" t="s">
        <v>153</v>
      </c>
      <c r="L84" s="544">
        <f t="shared" si="13"/>
        <v>6</v>
      </c>
      <c r="M84" s="544" t="str">
        <f t="shared" si="12"/>
        <v>Same habitat required =</v>
      </c>
      <c r="N84" s="544" t="s">
        <v>23</v>
      </c>
      <c r="O84" s="544">
        <f t="shared" si="10"/>
        <v>0.67</v>
      </c>
      <c r="P84" s="544" t="s">
        <v>23</v>
      </c>
      <c r="Q84" s="544">
        <f t="shared" si="11"/>
        <v>0.67</v>
      </c>
      <c r="R84" s="520"/>
      <c r="S84" s="544"/>
    </row>
    <row r="85" spans="1:19" ht="14.5" thickBot="1" x14ac:dyDescent="0.35">
      <c r="A85" s="216" t="s">
        <v>667</v>
      </c>
      <c r="B85" s="218" t="s">
        <v>668</v>
      </c>
      <c r="C85" s="578" t="s">
        <v>669</v>
      </c>
      <c r="D85" s="526" t="s">
        <v>372</v>
      </c>
      <c r="E85" s="526"/>
      <c r="F85" s="508" t="s">
        <v>75</v>
      </c>
      <c r="G85" s="526"/>
      <c r="H85" s="508" t="s">
        <v>652</v>
      </c>
      <c r="I85" s="526"/>
      <c r="J85" s="579" t="s">
        <v>668</v>
      </c>
      <c r="K85" s="526" t="s">
        <v>375</v>
      </c>
      <c r="L85" s="526">
        <f t="shared" si="13"/>
        <v>8</v>
      </c>
      <c r="M85" s="526" t="str">
        <f t="shared" si="12"/>
        <v>Bespoke compensation likely to be required 🛠</v>
      </c>
      <c r="N85" s="526" t="s">
        <v>151</v>
      </c>
      <c r="O85" s="526">
        <f t="shared" si="10"/>
        <v>0.1</v>
      </c>
      <c r="P85" s="526" t="s">
        <v>153</v>
      </c>
      <c r="Q85" s="526">
        <f t="shared" si="11"/>
        <v>0.33</v>
      </c>
      <c r="R85" s="508"/>
      <c r="S85" s="526"/>
    </row>
    <row r="86" spans="1:19" x14ac:dyDescent="0.3">
      <c r="A86" s="216" t="s">
        <v>670</v>
      </c>
      <c r="B86" s="219" t="s">
        <v>671</v>
      </c>
      <c r="C86" s="521">
        <v>53</v>
      </c>
      <c r="D86" s="521" t="s">
        <v>372</v>
      </c>
      <c r="E86" s="521"/>
      <c r="F86" s="507" t="s">
        <v>76</v>
      </c>
      <c r="G86" s="521"/>
      <c r="H86" s="507" t="s">
        <v>672</v>
      </c>
      <c r="I86" s="521"/>
      <c r="J86" s="521" t="s">
        <v>670</v>
      </c>
      <c r="K86" s="521" t="s">
        <v>153</v>
      </c>
      <c r="L86" s="521">
        <f t="shared" si="13"/>
        <v>6</v>
      </c>
      <c r="M86" s="521" t="str">
        <f t="shared" si="12"/>
        <v>Same habitat required =</v>
      </c>
      <c r="N86" s="521" t="s">
        <v>156</v>
      </c>
      <c r="O86" s="521">
        <f t="shared" si="10"/>
        <v>1</v>
      </c>
      <c r="P86" s="521" t="s">
        <v>156</v>
      </c>
      <c r="Q86" s="521">
        <f t="shared" si="11"/>
        <v>1</v>
      </c>
      <c r="R86" s="507"/>
      <c r="S86" s="521"/>
    </row>
    <row r="87" spans="1:19" x14ac:dyDescent="0.3">
      <c r="A87" s="216" t="s">
        <v>673</v>
      </c>
      <c r="B87" s="119" t="s">
        <v>674</v>
      </c>
      <c r="C87" s="544" t="s">
        <v>675</v>
      </c>
      <c r="D87" s="544" t="s">
        <v>372</v>
      </c>
      <c r="E87" s="544"/>
      <c r="F87" s="520" t="s">
        <v>76</v>
      </c>
      <c r="G87" s="544"/>
      <c r="H87" s="520" t="s">
        <v>676</v>
      </c>
      <c r="I87" s="544" t="s">
        <v>675</v>
      </c>
      <c r="J87" s="572" t="s">
        <v>673</v>
      </c>
      <c r="K87" s="544" t="s">
        <v>153</v>
      </c>
      <c r="L87" s="544">
        <f t="shared" si="13"/>
        <v>6</v>
      </c>
      <c r="M87" s="544" t="str">
        <f t="shared" si="12"/>
        <v>Same habitat required =</v>
      </c>
      <c r="N87" s="544" t="s">
        <v>153</v>
      </c>
      <c r="O87" s="544">
        <f t="shared" si="10"/>
        <v>0.33</v>
      </c>
      <c r="P87" s="544" t="s">
        <v>153</v>
      </c>
      <c r="Q87" s="544">
        <f t="shared" si="11"/>
        <v>0.33</v>
      </c>
      <c r="R87" s="520"/>
      <c r="S87" s="544"/>
    </row>
    <row r="88" spans="1:19" x14ac:dyDescent="0.3">
      <c r="A88" s="216" t="s">
        <v>677</v>
      </c>
      <c r="B88" s="119" t="s">
        <v>678</v>
      </c>
      <c r="C88" s="544" t="s">
        <v>679</v>
      </c>
      <c r="D88" s="544" t="s">
        <v>372</v>
      </c>
      <c r="E88" s="544"/>
      <c r="F88" s="520" t="s">
        <v>76</v>
      </c>
      <c r="G88" s="544"/>
      <c r="H88" s="520" t="s">
        <v>676</v>
      </c>
      <c r="I88" s="544" t="s">
        <v>679</v>
      </c>
      <c r="J88" s="572" t="s">
        <v>677</v>
      </c>
      <c r="K88" s="544" t="s">
        <v>153</v>
      </c>
      <c r="L88" s="544">
        <f t="shared" si="13"/>
        <v>6</v>
      </c>
      <c r="M88" s="544" t="str">
        <f t="shared" si="12"/>
        <v>Same habitat required =</v>
      </c>
      <c r="N88" s="544" t="s">
        <v>153</v>
      </c>
      <c r="O88" s="544">
        <f t="shared" si="10"/>
        <v>0.33</v>
      </c>
      <c r="P88" s="544" t="s">
        <v>153</v>
      </c>
      <c r="Q88" s="544">
        <f t="shared" si="11"/>
        <v>0.33</v>
      </c>
      <c r="R88" s="520"/>
      <c r="S88" s="544"/>
    </row>
    <row r="89" spans="1:19" x14ac:dyDescent="0.3">
      <c r="A89" s="216" t="s">
        <v>680</v>
      </c>
      <c r="B89" s="119" t="s">
        <v>681</v>
      </c>
      <c r="C89" s="544" t="s">
        <v>682</v>
      </c>
      <c r="D89" s="544" t="s">
        <v>372</v>
      </c>
      <c r="E89" s="544"/>
      <c r="F89" s="520" t="s">
        <v>76</v>
      </c>
      <c r="G89" s="544" t="s">
        <v>683</v>
      </c>
      <c r="H89" s="520" t="s">
        <v>684</v>
      </c>
      <c r="I89" s="544" t="s">
        <v>682</v>
      </c>
      <c r="J89" s="572" t="s">
        <v>680</v>
      </c>
      <c r="K89" s="544" t="s">
        <v>153</v>
      </c>
      <c r="L89" s="544">
        <f t="shared" si="13"/>
        <v>6</v>
      </c>
      <c r="M89" s="544" t="str">
        <f t="shared" si="12"/>
        <v>Same habitat required =</v>
      </c>
      <c r="N89" s="544" t="s">
        <v>153</v>
      </c>
      <c r="O89" s="544">
        <f t="shared" si="10"/>
        <v>0.33</v>
      </c>
      <c r="P89" s="544" t="s">
        <v>153</v>
      </c>
      <c r="Q89" s="544">
        <f t="shared" si="11"/>
        <v>0.33</v>
      </c>
      <c r="R89" s="520"/>
      <c r="S89" s="544"/>
    </row>
    <row r="90" spans="1:19" x14ac:dyDescent="0.3">
      <c r="A90" s="216" t="s">
        <v>685</v>
      </c>
      <c r="B90" s="119" t="s">
        <v>686</v>
      </c>
      <c r="C90" s="544" t="s">
        <v>687</v>
      </c>
      <c r="D90" s="544" t="s">
        <v>372</v>
      </c>
      <c r="E90" s="544"/>
      <c r="F90" s="520" t="s">
        <v>76</v>
      </c>
      <c r="G90" s="544"/>
      <c r="H90" s="520" t="s">
        <v>684</v>
      </c>
      <c r="I90" s="544" t="s">
        <v>687</v>
      </c>
      <c r="J90" s="544" t="s">
        <v>685</v>
      </c>
      <c r="K90" s="544" t="s">
        <v>156</v>
      </c>
      <c r="L90" s="544">
        <f t="shared" si="13"/>
        <v>2</v>
      </c>
      <c r="M90" s="544" t="str">
        <f t="shared" si="12"/>
        <v>Same distinctiveness or better habitat required ≥</v>
      </c>
      <c r="N90" s="544" t="s">
        <v>156</v>
      </c>
      <c r="O90" s="544">
        <f t="shared" si="10"/>
        <v>1</v>
      </c>
      <c r="P90" s="544" t="s">
        <v>156</v>
      </c>
      <c r="Q90" s="544">
        <f t="shared" si="11"/>
        <v>1</v>
      </c>
      <c r="R90" s="520"/>
      <c r="S90" s="544"/>
    </row>
    <row r="91" spans="1:19" x14ac:dyDescent="0.3">
      <c r="A91" s="216" t="s">
        <v>688</v>
      </c>
      <c r="B91" s="119" t="s">
        <v>689</v>
      </c>
      <c r="C91" s="544" t="s">
        <v>690</v>
      </c>
      <c r="D91" s="544" t="s">
        <v>372</v>
      </c>
      <c r="E91" s="544"/>
      <c r="F91" s="520" t="s">
        <v>76</v>
      </c>
      <c r="G91" s="544"/>
      <c r="H91" s="520" t="s">
        <v>684</v>
      </c>
      <c r="I91" s="544" t="s">
        <v>690</v>
      </c>
      <c r="J91" s="544" t="s">
        <v>688</v>
      </c>
      <c r="K91" s="544" t="s">
        <v>23</v>
      </c>
      <c r="L91" s="544">
        <f t="shared" si="13"/>
        <v>4</v>
      </c>
      <c r="M91" s="544" t="str">
        <f t="shared" si="12"/>
        <v>Same broad habitat or a higher distinctiveness habitat required (≥)</v>
      </c>
      <c r="N91" s="544" t="s">
        <v>23</v>
      </c>
      <c r="O91" s="544">
        <f t="shared" si="10"/>
        <v>0.67</v>
      </c>
      <c r="P91" s="544" t="s">
        <v>23</v>
      </c>
      <c r="Q91" s="544">
        <f t="shared" si="11"/>
        <v>0.67</v>
      </c>
      <c r="R91" s="520"/>
      <c r="S91" s="544"/>
    </row>
    <row r="92" spans="1:19" x14ac:dyDescent="0.3">
      <c r="A92" s="216" t="s">
        <v>691</v>
      </c>
      <c r="B92" s="119" t="s">
        <v>692</v>
      </c>
      <c r="C92" s="544" t="s">
        <v>693</v>
      </c>
      <c r="D92" s="544" t="s">
        <v>372</v>
      </c>
      <c r="E92" s="544"/>
      <c r="F92" s="520" t="s">
        <v>76</v>
      </c>
      <c r="G92" s="544"/>
      <c r="H92" s="520" t="s">
        <v>676</v>
      </c>
      <c r="I92" s="544" t="s">
        <v>693</v>
      </c>
      <c r="J92" s="544" t="s">
        <v>691</v>
      </c>
      <c r="K92" s="544" t="s">
        <v>23</v>
      </c>
      <c r="L92" s="544">
        <f t="shared" si="13"/>
        <v>4</v>
      </c>
      <c r="M92" s="544" t="str">
        <f t="shared" si="12"/>
        <v>Same broad habitat or a higher distinctiveness habitat required (≥)</v>
      </c>
      <c r="N92" s="544" t="s">
        <v>156</v>
      </c>
      <c r="O92" s="544">
        <f t="shared" si="10"/>
        <v>1</v>
      </c>
      <c r="P92" s="544" t="s">
        <v>156</v>
      </c>
      <c r="Q92" s="544">
        <f t="shared" si="11"/>
        <v>1</v>
      </c>
      <c r="R92" s="520"/>
      <c r="S92" s="544"/>
    </row>
    <row r="93" spans="1:19" x14ac:dyDescent="0.3">
      <c r="A93" s="216" t="s">
        <v>694</v>
      </c>
      <c r="B93" s="119" t="s">
        <v>695</v>
      </c>
      <c r="C93" s="544" t="s">
        <v>696</v>
      </c>
      <c r="D93" s="544" t="s">
        <v>372</v>
      </c>
      <c r="E93" s="544"/>
      <c r="F93" s="520" t="s">
        <v>76</v>
      </c>
      <c r="G93" s="544"/>
      <c r="H93" s="520" t="s">
        <v>676</v>
      </c>
      <c r="I93" s="544" t="s">
        <v>696</v>
      </c>
      <c r="J93" s="544" t="s">
        <v>694</v>
      </c>
      <c r="K93" s="544" t="s">
        <v>23</v>
      </c>
      <c r="L93" s="544">
        <f t="shared" si="13"/>
        <v>4</v>
      </c>
      <c r="M93" s="544" t="str">
        <f t="shared" si="12"/>
        <v>Same broad habitat or a higher distinctiveness habitat required (≥)</v>
      </c>
      <c r="N93" s="544" t="s">
        <v>156</v>
      </c>
      <c r="O93" s="544">
        <f t="shared" ref="O93:O98" si="14">VLOOKUP(N93,Difficulty,2,FALSE)</f>
        <v>1</v>
      </c>
      <c r="P93" s="544" t="s">
        <v>156</v>
      </c>
      <c r="Q93" s="544">
        <f t="shared" ref="Q93:Q98" si="15">VLOOKUP(P93,Difficulty,2,FALSE)</f>
        <v>1</v>
      </c>
      <c r="R93" s="520"/>
      <c r="S93" s="544"/>
    </row>
    <row r="94" spans="1:19" x14ac:dyDescent="0.3">
      <c r="A94" s="216" t="s">
        <v>697</v>
      </c>
      <c r="B94" s="119" t="s">
        <v>698</v>
      </c>
      <c r="C94" s="544" t="s">
        <v>699</v>
      </c>
      <c r="D94" s="544" t="s">
        <v>372</v>
      </c>
      <c r="E94" s="544"/>
      <c r="F94" s="520" t="s">
        <v>76</v>
      </c>
      <c r="G94" s="544"/>
      <c r="H94" s="520" t="s">
        <v>676</v>
      </c>
      <c r="I94" s="544" t="s">
        <v>699</v>
      </c>
      <c r="J94" s="572" t="s">
        <v>697</v>
      </c>
      <c r="K94" s="544" t="s">
        <v>153</v>
      </c>
      <c r="L94" s="544">
        <f t="shared" si="13"/>
        <v>6</v>
      </c>
      <c r="M94" s="544" t="str">
        <f t="shared" si="12"/>
        <v>Same habitat required =</v>
      </c>
      <c r="N94" s="544" t="s">
        <v>23</v>
      </c>
      <c r="O94" s="544">
        <f t="shared" si="14"/>
        <v>0.67</v>
      </c>
      <c r="P94" s="544" t="s">
        <v>23</v>
      </c>
      <c r="Q94" s="544">
        <f t="shared" si="15"/>
        <v>0.67</v>
      </c>
      <c r="R94" s="520"/>
      <c r="S94" s="544"/>
    </row>
    <row r="95" spans="1:19" x14ac:dyDescent="0.3">
      <c r="A95" s="216" t="s">
        <v>700</v>
      </c>
      <c r="B95" s="119" t="s">
        <v>701</v>
      </c>
      <c r="C95" s="544" t="s">
        <v>702</v>
      </c>
      <c r="D95" s="544" t="s">
        <v>372</v>
      </c>
      <c r="E95" s="544"/>
      <c r="F95" s="520" t="s">
        <v>76</v>
      </c>
      <c r="G95" s="544"/>
      <c r="H95" s="520" t="s">
        <v>676</v>
      </c>
      <c r="I95" s="544" t="s">
        <v>702</v>
      </c>
      <c r="J95" s="572" t="s">
        <v>700</v>
      </c>
      <c r="K95" s="544" t="s">
        <v>153</v>
      </c>
      <c r="L95" s="544">
        <f t="shared" si="13"/>
        <v>6</v>
      </c>
      <c r="M95" s="544" t="str">
        <f t="shared" si="12"/>
        <v>Same habitat required =</v>
      </c>
      <c r="N95" s="544" t="s">
        <v>153</v>
      </c>
      <c r="O95" s="544">
        <f t="shared" si="14"/>
        <v>0.33</v>
      </c>
      <c r="P95" s="544" t="s">
        <v>153</v>
      </c>
      <c r="Q95" s="544">
        <f t="shared" si="15"/>
        <v>0.33</v>
      </c>
      <c r="R95" s="520"/>
      <c r="S95" s="544"/>
    </row>
    <row r="96" spans="1:19" x14ac:dyDescent="0.3">
      <c r="A96" s="216" t="s">
        <v>703</v>
      </c>
      <c r="B96" s="119" t="s">
        <v>704</v>
      </c>
      <c r="C96" s="544" t="s">
        <v>705</v>
      </c>
      <c r="D96" s="544" t="s">
        <v>372</v>
      </c>
      <c r="E96" s="544" t="s">
        <v>706</v>
      </c>
      <c r="F96" s="520" t="s">
        <v>76</v>
      </c>
      <c r="G96" s="544" t="s">
        <v>707</v>
      </c>
      <c r="H96" s="520" t="s">
        <v>676</v>
      </c>
      <c r="I96" s="544" t="s">
        <v>705</v>
      </c>
      <c r="J96" s="572" t="s">
        <v>703</v>
      </c>
      <c r="K96" s="544" t="s">
        <v>153</v>
      </c>
      <c r="L96" s="544">
        <f t="shared" si="13"/>
        <v>6</v>
      </c>
      <c r="M96" s="544" t="str">
        <f t="shared" si="12"/>
        <v>Same habitat required =</v>
      </c>
      <c r="N96" s="544" t="s">
        <v>153</v>
      </c>
      <c r="O96" s="544">
        <f t="shared" si="14"/>
        <v>0.33</v>
      </c>
      <c r="P96" s="544" t="s">
        <v>153</v>
      </c>
      <c r="Q96" s="544">
        <f t="shared" si="15"/>
        <v>0.33</v>
      </c>
      <c r="R96" s="520"/>
      <c r="S96" s="544"/>
    </row>
    <row r="97" spans="1:19" x14ac:dyDescent="0.3">
      <c r="A97" s="216" t="s">
        <v>708</v>
      </c>
      <c r="B97" s="119" t="s">
        <v>709</v>
      </c>
      <c r="C97" s="544" t="s">
        <v>710</v>
      </c>
      <c r="D97" s="544" t="s">
        <v>372</v>
      </c>
      <c r="E97" s="544"/>
      <c r="F97" s="520" t="s">
        <v>76</v>
      </c>
      <c r="G97" s="544"/>
      <c r="H97" s="520" t="s">
        <v>676</v>
      </c>
      <c r="I97" s="544" t="s">
        <v>710</v>
      </c>
      <c r="J97" s="572" t="s">
        <v>708</v>
      </c>
      <c r="K97" s="544" t="s">
        <v>153</v>
      </c>
      <c r="L97" s="544">
        <f t="shared" si="13"/>
        <v>6</v>
      </c>
      <c r="M97" s="544" t="str">
        <f t="shared" si="12"/>
        <v>Same habitat required =</v>
      </c>
      <c r="N97" s="544" t="s">
        <v>23</v>
      </c>
      <c r="O97" s="544">
        <f t="shared" si="14"/>
        <v>0.67</v>
      </c>
      <c r="P97" s="544" t="s">
        <v>23</v>
      </c>
      <c r="Q97" s="544">
        <f t="shared" si="15"/>
        <v>0.67</v>
      </c>
      <c r="R97" s="520"/>
      <c r="S97" s="544"/>
    </row>
    <row r="98" spans="1:19" ht="14.5" thickBot="1" x14ac:dyDescent="0.35">
      <c r="A98" s="216" t="s">
        <v>711</v>
      </c>
      <c r="B98" s="218" t="s">
        <v>712</v>
      </c>
      <c r="C98" s="526">
        <v>20</v>
      </c>
      <c r="D98" s="526" t="s">
        <v>372</v>
      </c>
      <c r="E98" s="526"/>
      <c r="F98" s="508" t="s">
        <v>76</v>
      </c>
      <c r="G98" s="526"/>
      <c r="H98" s="508" t="s">
        <v>672</v>
      </c>
      <c r="I98" s="526"/>
      <c r="J98" s="526" t="s">
        <v>711</v>
      </c>
      <c r="K98" s="526" t="s">
        <v>375</v>
      </c>
      <c r="L98" s="526">
        <f t="shared" si="13"/>
        <v>8</v>
      </c>
      <c r="M98" s="526" t="str">
        <f t="shared" si="12"/>
        <v>Bespoke compensation likely to be required 🛠</v>
      </c>
      <c r="N98" s="526" t="s">
        <v>151</v>
      </c>
      <c r="O98" s="526">
        <f t="shared" si="14"/>
        <v>0.1</v>
      </c>
      <c r="P98" s="526" t="s">
        <v>153</v>
      </c>
      <c r="Q98" s="526">
        <f t="shared" si="15"/>
        <v>0.33</v>
      </c>
      <c r="R98" s="508"/>
      <c r="S98" s="526"/>
    </row>
    <row r="99" spans="1:19" ht="14.5" thickBot="1" x14ac:dyDescent="0.35">
      <c r="A99" s="216" t="s">
        <v>80</v>
      </c>
      <c r="B99" s="220" t="s">
        <v>713</v>
      </c>
      <c r="C99" s="580" t="s">
        <v>714</v>
      </c>
      <c r="D99" s="581" t="s">
        <v>715</v>
      </c>
      <c r="E99" s="581" t="s">
        <v>716</v>
      </c>
      <c r="F99" s="582" t="s">
        <v>80</v>
      </c>
      <c r="G99" s="581"/>
      <c r="H99" s="582" t="s">
        <v>80</v>
      </c>
      <c r="I99" s="582"/>
      <c r="J99" s="581"/>
      <c r="K99" s="582" t="s">
        <v>153</v>
      </c>
      <c r="L99" s="582">
        <f t="shared" ref="L99" si="16">IF(K99=$V$3,$W$3,IF(K99=$V$3,$W$3,IF(K99=$V$4,$W$4,IF(K99=$V$5,$W$5,IF(K99=$V$6,$W$6,IF(K99=$V$7,$W$7))))))</f>
        <v>6</v>
      </c>
      <c r="M99" s="582" t="str">
        <f t="shared" si="12"/>
        <v>Same habitat required =</v>
      </c>
      <c r="N99" s="582" t="s">
        <v>23</v>
      </c>
      <c r="O99" s="582">
        <f t="shared" ref="O99" si="17">VLOOKUP(N99,Difficulty,2,FALSE)</f>
        <v>0.67</v>
      </c>
      <c r="P99" s="582" t="s">
        <v>23</v>
      </c>
      <c r="Q99" s="582">
        <f t="shared" ref="Q99" si="18">VLOOKUP(P99,Difficulty,2,FALSE)</f>
        <v>0.67</v>
      </c>
      <c r="R99" s="583"/>
      <c r="S99" s="582"/>
    </row>
    <row r="100" spans="1:19" x14ac:dyDescent="0.3">
      <c r="A100" s="216" t="s">
        <v>717</v>
      </c>
      <c r="B100" s="219" t="s">
        <v>718</v>
      </c>
      <c r="C100" s="584" t="s">
        <v>719</v>
      </c>
      <c r="D100" s="585" t="s">
        <v>715</v>
      </c>
      <c r="E100" s="585" t="s">
        <v>720</v>
      </c>
      <c r="F100" s="521" t="s">
        <v>79</v>
      </c>
      <c r="G100" s="585"/>
      <c r="H100" s="521" t="s">
        <v>717</v>
      </c>
      <c r="I100" s="521"/>
      <c r="J100" s="585"/>
      <c r="K100" s="521" t="s">
        <v>153</v>
      </c>
      <c r="L100" s="521">
        <f t="shared" ref="L100:L124" si="19">IF(K100=$V$3,$W$3,IF(K100=$V$3,$W$3,IF(K100=$V$4,$W$4,IF(K100=$V$5,$W$5,IF(K100=$V$6,$W$6,IF(K100=$V$7,$W$7))))))</f>
        <v>6</v>
      </c>
      <c r="M100" s="521" t="str">
        <f t="shared" si="12"/>
        <v>Same habitat required =</v>
      </c>
      <c r="N100" s="521" t="s">
        <v>153</v>
      </c>
      <c r="O100" s="521">
        <f t="shared" ref="O100:O124" si="20">VLOOKUP(N100,Difficulty,2,FALSE)</f>
        <v>0.33</v>
      </c>
      <c r="P100" s="521" t="s">
        <v>23</v>
      </c>
      <c r="Q100" s="521">
        <f t="shared" ref="Q100:Q124" si="21">VLOOKUP(P100,Difficulty,2,FALSE)</f>
        <v>0.67</v>
      </c>
      <c r="R100" s="507"/>
      <c r="S100" s="521"/>
    </row>
    <row r="101" spans="1:19" x14ac:dyDescent="0.3">
      <c r="A101" s="221" t="s">
        <v>721</v>
      </c>
      <c r="B101" s="119" t="s">
        <v>722</v>
      </c>
      <c r="C101" s="584" t="s">
        <v>723</v>
      </c>
      <c r="D101" s="586" t="s">
        <v>715</v>
      </c>
      <c r="E101" s="586" t="s">
        <v>720</v>
      </c>
      <c r="F101" s="544" t="s">
        <v>79</v>
      </c>
      <c r="G101" s="586"/>
      <c r="H101" s="572" t="s">
        <v>724</v>
      </c>
      <c r="I101" s="544"/>
      <c r="J101" s="586"/>
      <c r="K101" s="544" t="s">
        <v>375</v>
      </c>
      <c r="L101" s="544">
        <f t="shared" si="19"/>
        <v>8</v>
      </c>
      <c r="M101" s="544" t="str">
        <f t="shared" si="12"/>
        <v>Bespoke compensation likely to be required 🛠</v>
      </c>
      <c r="N101" s="544" t="s">
        <v>151</v>
      </c>
      <c r="O101" s="544">
        <f t="shared" si="20"/>
        <v>0.1</v>
      </c>
      <c r="P101" s="544" t="s">
        <v>23</v>
      </c>
      <c r="Q101" s="544">
        <f t="shared" si="21"/>
        <v>0.67</v>
      </c>
      <c r="R101" s="520"/>
      <c r="S101" s="544"/>
    </row>
    <row r="102" spans="1:19" x14ac:dyDescent="0.3">
      <c r="A102" s="216" t="s">
        <v>725</v>
      </c>
      <c r="B102" s="119" t="s">
        <v>726</v>
      </c>
      <c r="C102" s="571" t="s">
        <v>727</v>
      </c>
      <c r="D102" s="586" t="s">
        <v>715</v>
      </c>
      <c r="E102" s="586" t="s">
        <v>720</v>
      </c>
      <c r="F102" s="544" t="s">
        <v>79</v>
      </c>
      <c r="G102" s="586"/>
      <c r="H102" s="544" t="s">
        <v>725</v>
      </c>
      <c r="I102" s="544"/>
      <c r="J102" s="586"/>
      <c r="K102" s="544" t="s">
        <v>153</v>
      </c>
      <c r="L102" s="544">
        <f t="shared" si="19"/>
        <v>6</v>
      </c>
      <c r="M102" s="544" t="str">
        <f t="shared" si="12"/>
        <v>Same habitat required =</v>
      </c>
      <c r="N102" s="544" t="s">
        <v>153</v>
      </c>
      <c r="O102" s="544">
        <f t="shared" si="20"/>
        <v>0.33</v>
      </c>
      <c r="P102" s="544" t="s">
        <v>23</v>
      </c>
      <c r="Q102" s="544">
        <f t="shared" si="21"/>
        <v>0.67</v>
      </c>
      <c r="R102" s="520"/>
      <c r="S102" s="544"/>
    </row>
    <row r="103" spans="1:19" x14ac:dyDescent="0.3">
      <c r="A103" s="221" t="s">
        <v>728</v>
      </c>
      <c r="B103" s="119" t="s">
        <v>729</v>
      </c>
      <c r="C103" s="571" t="s">
        <v>730</v>
      </c>
      <c r="D103" s="586" t="s">
        <v>715</v>
      </c>
      <c r="E103" s="586" t="s">
        <v>720</v>
      </c>
      <c r="F103" s="544" t="s">
        <v>79</v>
      </c>
      <c r="G103" s="586"/>
      <c r="H103" s="572" t="s">
        <v>731</v>
      </c>
      <c r="I103" s="544"/>
      <c r="J103" s="586"/>
      <c r="K103" s="544" t="s">
        <v>375</v>
      </c>
      <c r="L103" s="544">
        <f t="shared" si="19"/>
        <v>8</v>
      </c>
      <c r="M103" s="544" t="str">
        <f t="shared" si="12"/>
        <v>Bespoke compensation likely to be required 🛠</v>
      </c>
      <c r="N103" s="544" t="s">
        <v>151</v>
      </c>
      <c r="O103" s="544">
        <f t="shared" si="20"/>
        <v>0.1</v>
      </c>
      <c r="P103" s="544" t="s">
        <v>23</v>
      </c>
      <c r="Q103" s="544">
        <f t="shared" si="21"/>
        <v>0.67</v>
      </c>
      <c r="R103" s="520"/>
      <c r="S103" s="544"/>
    </row>
    <row r="104" spans="1:19" x14ac:dyDescent="0.3">
      <c r="A104" s="216" t="s">
        <v>732</v>
      </c>
      <c r="B104" s="119" t="s">
        <v>733</v>
      </c>
      <c r="C104" s="571" t="s">
        <v>734</v>
      </c>
      <c r="D104" s="586" t="s">
        <v>715</v>
      </c>
      <c r="E104" s="586" t="s">
        <v>720</v>
      </c>
      <c r="F104" s="544" t="s">
        <v>79</v>
      </c>
      <c r="G104" s="586"/>
      <c r="H104" s="544" t="s">
        <v>732</v>
      </c>
      <c r="I104" s="544"/>
      <c r="J104" s="586"/>
      <c r="K104" s="544" t="s">
        <v>153</v>
      </c>
      <c r="L104" s="544">
        <f t="shared" si="19"/>
        <v>6</v>
      </c>
      <c r="M104" s="544" t="str">
        <f t="shared" si="12"/>
        <v>Same habitat required =</v>
      </c>
      <c r="N104" s="544" t="s">
        <v>153</v>
      </c>
      <c r="O104" s="544">
        <f t="shared" si="20"/>
        <v>0.33</v>
      </c>
      <c r="P104" s="544" t="s">
        <v>23</v>
      </c>
      <c r="Q104" s="544">
        <f t="shared" si="21"/>
        <v>0.67</v>
      </c>
      <c r="R104" s="520"/>
      <c r="S104" s="544"/>
    </row>
    <row r="105" spans="1:19" x14ac:dyDescent="0.3">
      <c r="A105" s="221" t="s">
        <v>735</v>
      </c>
      <c r="B105" s="119" t="s">
        <v>736</v>
      </c>
      <c r="C105" s="571" t="s">
        <v>737</v>
      </c>
      <c r="D105" s="586" t="s">
        <v>715</v>
      </c>
      <c r="E105" s="586" t="s">
        <v>720</v>
      </c>
      <c r="F105" s="544" t="s">
        <v>79</v>
      </c>
      <c r="G105" s="586"/>
      <c r="H105" s="572" t="s">
        <v>738</v>
      </c>
      <c r="I105" s="544"/>
      <c r="J105" s="586"/>
      <c r="K105" s="544" t="s">
        <v>375</v>
      </c>
      <c r="L105" s="544">
        <f t="shared" si="19"/>
        <v>8</v>
      </c>
      <c r="M105" s="544" t="str">
        <f t="shared" si="12"/>
        <v>Bespoke compensation likely to be required 🛠</v>
      </c>
      <c r="N105" s="544" t="s">
        <v>151</v>
      </c>
      <c r="O105" s="544">
        <f t="shared" si="20"/>
        <v>0.1</v>
      </c>
      <c r="P105" s="544" t="s">
        <v>23</v>
      </c>
      <c r="Q105" s="544">
        <f t="shared" si="21"/>
        <v>0.67</v>
      </c>
      <c r="R105" s="520"/>
      <c r="S105" s="544"/>
    </row>
    <row r="106" spans="1:19" x14ac:dyDescent="0.3">
      <c r="A106" s="216" t="s">
        <v>739</v>
      </c>
      <c r="B106" s="119" t="s">
        <v>740</v>
      </c>
      <c r="C106" s="571" t="s">
        <v>741</v>
      </c>
      <c r="D106" s="586" t="s">
        <v>715</v>
      </c>
      <c r="E106" s="586" t="s">
        <v>720</v>
      </c>
      <c r="F106" s="544" t="s">
        <v>79</v>
      </c>
      <c r="G106" s="586"/>
      <c r="H106" s="544" t="s">
        <v>739</v>
      </c>
      <c r="I106" s="544"/>
      <c r="J106" s="586"/>
      <c r="K106" s="544" t="s">
        <v>153</v>
      </c>
      <c r="L106" s="544">
        <f t="shared" si="19"/>
        <v>6</v>
      </c>
      <c r="M106" s="544" t="str">
        <f t="shared" si="12"/>
        <v>Same habitat required =</v>
      </c>
      <c r="N106" s="544" t="s">
        <v>153</v>
      </c>
      <c r="O106" s="544">
        <f t="shared" si="20"/>
        <v>0.33</v>
      </c>
      <c r="P106" s="544" t="s">
        <v>23</v>
      </c>
      <c r="Q106" s="544">
        <f t="shared" si="21"/>
        <v>0.67</v>
      </c>
      <c r="R106" s="520"/>
      <c r="S106" s="544"/>
    </row>
    <row r="107" spans="1:19" ht="14.5" thickBot="1" x14ac:dyDescent="0.35">
      <c r="A107" s="221" t="s">
        <v>742</v>
      </c>
      <c r="B107" s="218" t="s">
        <v>743</v>
      </c>
      <c r="C107" s="578" t="s">
        <v>744</v>
      </c>
      <c r="D107" s="587" t="s">
        <v>715</v>
      </c>
      <c r="E107" s="587" t="s">
        <v>720</v>
      </c>
      <c r="F107" s="526" t="s">
        <v>79</v>
      </c>
      <c r="G107" s="587"/>
      <c r="H107" s="575" t="s">
        <v>745</v>
      </c>
      <c r="I107" s="526"/>
      <c r="J107" s="587"/>
      <c r="K107" s="526" t="s">
        <v>375</v>
      </c>
      <c r="L107" s="526">
        <f t="shared" si="19"/>
        <v>8</v>
      </c>
      <c r="M107" s="526" t="str">
        <f t="shared" si="12"/>
        <v>Bespoke compensation likely to be required 🛠</v>
      </c>
      <c r="N107" s="526" t="s">
        <v>151</v>
      </c>
      <c r="O107" s="526">
        <f t="shared" si="20"/>
        <v>0.1</v>
      </c>
      <c r="P107" s="526" t="s">
        <v>23</v>
      </c>
      <c r="Q107" s="526">
        <f t="shared" si="21"/>
        <v>0.67</v>
      </c>
      <c r="R107" s="508"/>
      <c r="S107" s="526"/>
    </row>
    <row r="108" spans="1:19" x14ac:dyDescent="0.3">
      <c r="A108" s="216" t="s">
        <v>746</v>
      </c>
      <c r="B108" s="219" t="s">
        <v>747</v>
      </c>
      <c r="C108" s="584" t="s">
        <v>748</v>
      </c>
      <c r="D108" s="585" t="s">
        <v>715</v>
      </c>
      <c r="E108" s="585" t="s">
        <v>749</v>
      </c>
      <c r="F108" s="521" t="s">
        <v>78</v>
      </c>
      <c r="G108" s="585"/>
      <c r="H108" s="521" t="s">
        <v>750</v>
      </c>
      <c r="I108" s="521"/>
      <c r="J108" s="585"/>
      <c r="K108" s="521" t="s">
        <v>153</v>
      </c>
      <c r="L108" s="521">
        <f>IF(K108=$V$3,$W$3,IF(K108=$V$3,$W$3,IF(K108=$V$4,$W$4,IF(K108=$V$5,$W$5,IF(K108=$V$6,$W$6,IF(K108=$V$7,$W$7))))))</f>
        <v>6</v>
      </c>
      <c r="M108" s="521" t="str">
        <f>IF($K108=$V$3,$X$3,IF($K108=$V$4,$X$4,IF($K108=$V$5,$X$5,IF($K108=$V$6,$X$6,IF($K108=$V$7,$X$7)))))</f>
        <v>Same habitat required =</v>
      </c>
      <c r="N108" s="521" t="s">
        <v>153</v>
      </c>
      <c r="O108" s="521">
        <f>VLOOKUP(N108,Difficulty,2,FALSE)</f>
        <v>0.33</v>
      </c>
      <c r="P108" s="521" t="s">
        <v>23</v>
      </c>
      <c r="Q108" s="521">
        <f>VLOOKUP(P108,Difficulty,2,FALSE)</f>
        <v>0.67</v>
      </c>
      <c r="R108" s="507"/>
      <c r="S108" s="521"/>
    </row>
    <row r="109" spans="1:19" ht="14.5" thickBot="1" x14ac:dyDescent="0.35">
      <c r="A109" s="216" t="s">
        <v>751</v>
      </c>
      <c r="B109" s="218" t="s">
        <v>752</v>
      </c>
      <c r="C109" s="578" t="s">
        <v>753</v>
      </c>
      <c r="D109" s="587"/>
      <c r="E109" s="587"/>
      <c r="F109" s="526" t="s">
        <v>78</v>
      </c>
      <c r="G109" s="587"/>
      <c r="H109" s="526" t="s">
        <v>751</v>
      </c>
      <c r="I109" s="526"/>
      <c r="J109" s="587"/>
      <c r="K109" s="526" t="s">
        <v>156</v>
      </c>
      <c r="L109" s="526">
        <f>IF(K109=$V$3,$W$3,IF(K109=$V$3,$W$3,IF(K109=$V$4,$W$4,IF(K109=$V$5,$W$5,IF(K109=$V$6,$W$6,IF(K109=$V$7,$W$7))))))</f>
        <v>2</v>
      </c>
      <c r="M109" s="526" t="str">
        <f>IF($K109=$V$3,$X$3,IF($K109=$V$4,$X$4,IF($K109=$V$5,$X$5,IF($K109=$V$6,$X$6,IF($K109=$V$7,$X$7)))))</f>
        <v>Same distinctiveness or better habitat required ≥</v>
      </c>
      <c r="N109" s="526" t="s">
        <v>153</v>
      </c>
      <c r="O109" s="526">
        <f>VLOOKUP(N109,Difficulty,2,FALSE)</f>
        <v>0.33</v>
      </c>
      <c r="P109" s="526" t="s">
        <v>23</v>
      </c>
      <c r="Q109" s="526">
        <f t="shared" ref="Q109" si="22">VLOOKUP(P109,Difficulty,2,FALSE)</f>
        <v>0.67</v>
      </c>
      <c r="R109" s="508"/>
      <c r="S109" s="526"/>
    </row>
    <row r="110" spans="1:19" x14ac:dyDescent="0.3">
      <c r="A110" s="216" t="s">
        <v>754</v>
      </c>
      <c r="B110" s="219" t="s">
        <v>755</v>
      </c>
      <c r="C110" s="584" t="s">
        <v>756</v>
      </c>
      <c r="D110" s="585" t="s">
        <v>715</v>
      </c>
      <c r="E110" s="585" t="s">
        <v>749</v>
      </c>
      <c r="F110" s="521" t="s">
        <v>77</v>
      </c>
      <c r="G110" s="585"/>
      <c r="H110" s="521" t="s">
        <v>754</v>
      </c>
      <c r="I110" s="521"/>
      <c r="J110" s="585"/>
      <c r="K110" s="521" t="s">
        <v>23</v>
      </c>
      <c r="L110" s="521">
        <f t="shared" si="19"/>
        <v>4</v>
      </c>
      <c r="M110" s="521" t="str">
        <f t="shared" si="12"/>
        <v>Same broad habitat or a higher distinctiveness habitat required (≥)</v>
      </c>
      <c r="N110" s="521" t="s">
        <v>23</v>
      </c>
      <c r="O110" s="521">
        <f t="shared" si="20"/>
        <v>0.67</v>
      </c>
      <c r="P110" s="521" t="s">
        <v>23</v>
      </c>
      <c r="Q110" s="521">
        <f t="shared" si="21"/>
        <v>0.67</v>
      </c>
      <c r="R110" s="507"/>
      <c r="S110" s="521"/>
    </row>
    <row r="111" spans="1:19" x14ac:dyDescent="0.3">
      <c r="A111" s="216" t="s">
        <v>757</v>
      </c>
      <c r="B111" s="119" t="s">
        <v>758</v>
      </c>
      <c r="C111" s="571" t="s">
        <v>759</v>
      </c>
      <c r="D111" s="586" t="s">
        <v>715</v>
      </c>
      <c r="E111" s="586" t="s">
        <v>749</v>
      </c>
      <c r="F111" s="544" t="s">
        <v>77</v>
      </c>
      <c r="G111" s="586"/>
      <c r="H111" s="544" t="s">
        <v>757</v>
      </c>
      <c r="I111" s="544"/>
      <c r="J111" s="586"/>
      <c r="K111" s="544" t="s">
        <v>153</v>
      </c>
      <c r="L111" s="544">
        <f t="shared" si="19"/>
        <v>6</v>
      </c>
      <c r="M111" s="544" t="str">
        <f t="shared" si="12"/>
        <v>Same habitat required =</v>
      </c>
      <c r="N111" s="544" t="s">
        <v>153</v>
      </c>
      <c r="O111" s="544">
        <f t="shared" si="20"/>
        <v>0.33</v>
      </c>
      <c r="P111" s="544" t="s">
        <v>23</v>
      </c>
      <c r="Q111" s="544">
        <f t="shared" si="21"/>
        <v>0.67</v>
      </c>
      <c r="R111" s="520"/>
      <c r="S111" s="544"/>
    </row>
    <row r="112" spans="1:19" x14ac:dyDescent="0.3">
      <c r="A112" s="216" t="s">
        <v>760</v>
      </c>
      <c r="B112" s="119" t="s">
        <v>761</v>
      </c>
      <c r="C112" s="571" t="s">
        <v>762</v>
      </c>
      <c r="D112" s="586" t="s">
        <v>715</v>
      </c>
      <c r="E112" s="586" t="s">
        <v>749</v>
      </c>
      <c r="F112" s="544" t="s">
        <v>77</v>
      </c>
      <c r="G112" s="586"/>
      <c r="H112" s="544" t="s">
        <v>760</v>
      </c>
      <c r="I112" s="544"/>
      <c r="J112" s="586"/>
      <c r="K112" s="544" t="s">
        <v>153</v>
      </c>
      <c r="L112" s="544">
        <f t="shared" si="19"/>
        <v>6</v>
      </c>
      <c r="M112" s="544" t="str">
        <f t="shared" si="12"/>
        <v>Same habitat required =</v>
      </c>
      <c r="N112" s="544" t="s">
        <v>153</v>
      </c>
      <c r="O112" s="544">
        <f t="shared" si="20"/>
        <v>0.33</v>
      </c>
      <c r="P112" s="544" t="s">
        <v>23</v>
      </c>
      <c r="Q112" s="544">
        <f t="shared" si="21"/>
        <v>0.67</v>
      </c>
      <c r="R112" s="520"/>
      <c r="S112" s="544"/>
    </row>
    <row r="113" spans="1:19" x14ac:dyDescent="0.3">
      <c r="A113" s="216" t="s">
        <v>763</v>
      </c>
      <c r="B113" s="119" t="s">
        <v>764</v>
      </c>
      <c r="C113" s="571" t="s">
        <v>765</v>
      </c>
      <c r="D113" s="586" t="s">
        <v>715</v>
      </c>
      <c r="E113" s="586" t="s">
        <v>749</v>
      </c>
      <c r="F113" s="544" t="s">
        <v>77</v>
      </c>
      <c r="G113" s="586"/>
      <c r="H113" s="544" t="s">
        <v>766</v>
      </c>
      <c r="I113" s="544"/>
      <c r="J113" s="586"/>
      <c r="K113" s="544" t="s">
        <v>153</v>
      </c>
      <c r="L113" s="544">
        <f t="shared" si="19"/>
        <v>6</v>
      </c>
      <c r="M113" s="544" t="str">
        <f t="shared" si="12"/>
        <v>Same habitat required =</v>
      </c>
      <c r="N113" s="544" t="s">
        <v>153</v>
      </c>
      <c r="O113" s="544">
        <f t="shared" si="20"/>
        <v>0.33</v>
      </c>
      <c r="P113" s="544" t="s">
        <v>153</v>
      </c>
      <c r="Q113" s="544">
        <f t="shared" si="21"/>
        <v>0.33</v>
      </c>
      <c r="R113" s="520"/>
      <c r="S113" s="544"/>
    </row>
    <row r="114" spans="1:19" x14ac:dyDescent="0.3">
      <c r="A114" s="221" t="s">
        <v>767</v>
      </c>
      <c r="B114" s="119" t="s">
        <v>768</v>
      </c>
      <c r="C114" s="571" t="s">
        <v>769</v>
      </c>
      <c r="D114" s="586" t="s">
        <v>715</v>
      </c>
      <c r="E114" s="586" t="s">
        <v>749</v>
      </c>
      <c r="F114" s="544" t="s">
        <v>77</v>
      </c>
      <c r="G114" s="586"/>
      <c r="H114" s="572" t="s">
        <v>770</v>
      </c>
      <c r="I114" s="544"/>
      <c r="J114" s="586"/>
      <c r="K114" s="544" t="s">
        <v>375</v>
      </c>
      <c r="L114" s="544">
        <f t="shared" si="19"/>
        <v>8</v>
      </c>
      <c r="M114" s="544" t="str">
        <f t="shared" si="12"/>
        <v>Bespoke compensation likely to be required 🛠</v>
      </c>
      <c r="N114" s="544" t="s">
        <v>151</v>
      </c>
      <c r="O114" s="544">
        <f t="shared" si="20"/>
        <v>0.1</v>
      </c>
      <c r="P114" s="544" t="s">
        <v>153</v>
      </c>
      <c r="Q114" s="544">
        <f t="shared" si="21"/>
        <v>0.33</v>
      </c>
      <c r="R114" s="520"/>
      <c r="S114" s="544"/>
    </row>
    <row r="115" spans="1:19" x14ac:dyDescent="0.3">
      <c r="A115" s="216" t="s">
        <v>771</v>
      </c>
      <c r="B115" s="119" t="s">
        <v>772</v>
      </c>
      <c r="C115" s="571" t="s">
        <v>773</v>
      </c>
      <c r="D115" s="586"/>
      <c r="E115" s="586"/>
      <c r="F115" s="544" t="s">
        <v>77</v>
      </c>
      <c r="G115" s="586"/>
      <c r="H115" s="544" t="s">
        <v>774</v>
      </c>
      <c r="I115" s="544"/>
      <c r="J115" s="586"/>
      <c r="K115" s="544" t="s">
        <v>153</v>
      </c>
      <c r="L115" s="544">
        <f t="shared" si="19"/>
        <v>6</v>
      </c>
      <c r="M115" s="544" t="str">
        <f t="shared" si="12"/>
        <v>Same habitat required =</v>
      </c>
      <c r="N115" s="544" t="s">
        <v>153</v>
      </c>
      <c r="O115" s="544">
        <f t="shared" si="20"/>
        <v>0.33</v>
      </c>
      <c r="P115" s="544" t="s">
        <v>23</v>
      </c>
      <c r="Q115" s="544">
        <f t="shared" si="21"/>
        <v>0.67</v>
      </c>
      <c r="R115" s="520"/>
      <c r="S115" s="544"/>
    </row>
    <row r="116" spans="1:19" x14ac:dyDescent="0.3">
      <c r="A116" s="216" t="s">
        <v>775</v>
      </c>
      <c r="B116" s="119" t="s">
        <v>776</v>
      </c>
      <c r="C116" s="571" t="s">
        <v>777</v>
      </c>
      <c r="D116" s="586" t="s">
        <v>715</v>
      </c>
      <c r="E116" s="586" t="s">
        <v>749</v>
      </c>
      <c r="F116" s="544" t="s">
        <v>77</v>
      </c>
      <c r="G116" s="586"/>
      <c r="H116" s="544" t="s">
        <v>775</v>
      </c>
      <c r="I116" s="544"/>
      <c r="J116" s="586"/>
      <c r="K116" s="544" t="s">
        <v>153</v>
      </c>
      <c r="L116" s="544">
        <f t="shared" si="19"/>
        <v>6</v>
      </c>
      <c r="M116" s="544" t="str">
        <f t="shared" si="12"/>
        <v>Same habitat required =</v>
      </c>
      <c r="N116" s="544" t="s">
        <v>153</v>
      </c>
      <c r="O116" s="544">
        <f t="shared" si="20"/>
        <v>0.33</v>
      </c>
      <c r="P116" s="544" t="s">
        <v>23</v>
      </c>
      <c r="Q116" s="544">
        <f t="shared" si="21"/>
        <v>0.67</v>
      </c>
      <c r="R116" s="520"/>
      <c r="S116" s="544"/>
    </row>
    <row r="117" spans="1:19" x14ac:dyDescent="0.3">
      <c r="A117" s="216" t="s">
        <v>778</v>
      </c>
      <c r="B117" s="119" t="s">
        <v>779</v>
      </c>
      <c r="C117" s="571" t="s">
        <v>780</v>
      </c>
      <c r="D117" s="586" t="s">
        <v>715</v>
      </c>
      <c r="E117" s="586" t="s">
        <v>749</v>
      </c>
      <c r="F117" s="544" t="s">
        <v>77</v>
      </c>
      <c r="G117" s="586"/>
      <c r="H117" s="544" t="s">
        <v>778</v>
      </c>
      <c r="I117" s="544"/>
      <c r="J117" s="586"/>
      <c r="K117" s="544" t="s">
        <v>153</v>
      </c>
      <c r="L117" s="544">
        <f t="shared" si="19"/>
        <v>6</v>
      </c>
      <c r="M117" s="544" t="str">
        <f t="shared" si="12"/>
        <v>Same habitat required =</v>
      </c>
      <c r="N117" s="544" t="s">
        <v>153</v>
      </c>
      <c r="O117" s="544">
        <f t="shared" si="20"/>
        <v>0.33</v>
      </c>
      <c r="P117" s="544" t="s">
        <v>23</v>
      </c>
      <c r="Q117" s="544">
        <f t="shared" si="21"/>
        <v>0.67</v>
      </c>
      <c r="R117" s="520"/>
      <c r="S117" s="544"/>
    </row>
    <row r="118" spans="1:19" x14ac:dyDescent="0.3">
      <c r="A118" s="216" t="s">
        <v>781</v>
      </c>
      <c r="B118" s="119" t="s">
        <v>782</v>
      </c>
      <c r="C118" s="571" t="s">
        <v>783</v>
      </c>
      <c r="D118" s="586" t="s">
        <v>715</v>
      </c>
      <c r="E118" s="586" t="s">
        <v>749</v>
      </c>
      <c r="F118" s="544" t="s">
        <v>77</v>
      </c>
      <c r="G118" s="586"/>
      <c r="H118" s="544" t="s">
        <v>781</v>
      </c>
      <c r="I118" s="544"/>
      <c r="J118" s="586"/>
      <c r="K118" s="544" t="s">
        <v>156</v>
      </c>
      <c r="L118" s="544">
        <f t="shared" si="19"/>
        <v>2</v>
      </c>
      <c r="M118" s="544" t="str">
        <f t="shared" si="12"/>
        <v>Same distinctiveness or better habitat required ≥</v>
      </c>
      <c r="N118" s="544" t="s">
        <v>23</v>
      </c>
      <c r="O118" s="544">
        <f t="shared" si="20"/>
        <v>0.67</v>
      </c>
      <c r="P118" s="544" t="s">
        <v>23</v>
      </c>
      <c r="Q118" s="544">
        <f t="shared" si="21"/>
        <v>0.67</v>
      </c>
      <c r="R118" s="520"/>
      <c r="S118" s="544"/>
    </row>
    <row r="119" spans="1:19" x14ac:dyDescent="0.3">
      <c r="A119" s="216" t="s">
        <v>784</v>
      </c>
      <c r="B119" s="119" t="s">
        <v>785</v>
      </c>
      <c r="C119" s="571" t="s">
        <v>786</v>
      </c>
      <c r="D119" s="586"/>
      <c r="E119" s="586"/>
      <c r="F119" s="544" t="s">
        <v>77</v>
      </c>
      <c r="G119" s="586"/>
      <c r="H119" s="544" t="s">
        <v>784</v>
      </c>
      <c r="I119" s="544"/>
      <c r="J119" s="586"/>
      <c r="K119" s="544" t="s">
        <v>156</v>
      </c>
      <c r="L119" s="544">
        <f t="shared" si="19"/>
        <v>2</v>
      </c>
      <c r="M119" s="544" t="str">
        <f t="shared" si="12"/>
        <v>Same distinctiveness or better habitat required ≥</v>
      </c>
      <c r="N119" s="544" t="s">
        <v>153</v>
      </c>
      <c r="O119" s="544">
        <f t="shared" si="20"/>
        <v>0.33</v>
      </c>
      <c r="P119" s="544" t="s">
        <v>23</v>
      </c>
      <c r="Q119" s="544">
        <f t="shared" si="21"/>
        <v>0.67</v>
      </c>
      <c r="R119" s="520"/>
      <c r="S119" s="544"/>
    </row>
    <row r="120" spans="1:19" x14ac:dyDescent="0.3">
      <c r="A120" s="216" t="s">
        <v>787</v>
      </c>
      <c r="B120" s="119" t="s">
        <v>788</v>
      </c>
      <c r="C120" s="571" t="s">
        <v>789</v>
      </c>
      <c r="D120" s="586"/>
      <c r="E120" s="586"/>
      <c r="F120" s="544" t="s">
        <v>77</v>
      </c>
      <c r="G120" s="586"/>
      <c r="H120" s="574" t="s">
        <v>787</v>
      </c>
      <c r="I120" s="544"/>
      <c r="J120" s="586"/>
      <c r="K120" s="544" t="s">
        <v>156</v>
      </c>
      <c r="L120" s="544">
        <f t="shared" si="19"/>
        <v>2</v>
      </c>
      <c r="M120" s="544" t="str">
        <f t="shared" si="12"/>
        <v>Same distinctiveness or better habitat required ≥</v>
      </c>
      <c r="N120" s="544" t="s">
        <v>23</v>
      </c>
      <c r="O120" s="544">
        <f t="shared" si="20"/>
        <v>0.67</v>
      </c>
      <c r="P120" s="544" t="s">
        <v>23</v>
      </c>
      <c r="Q120" s="544">
        <f t="shared" si="21"/>
        <v>0.67</v>
      </c>
      <c r="R120" s="520"/>
      <c r="S120" s="544"/>
    </row>
    <row r="121" spans="1:19" x14ac:dyDescent="0.3">
      <c r="A121" s="216" t="s">
        <v>790</v>
      </c>
      <c r="B121" s="119" t="s">
        <v>791</v>
      </c>
      <c r="C121" s="571" t="s">
        <v>792</v>
      </c>
      <c r="D121" s="586" t="s">
        <v>715</v>
      </c>
      <c r="E121" s="586" t="s">
        <v>749</v>
      </c>
      <c r="F121" s="544" t="s">
        <v>77</v>
      </c>
      <c r="G121" s="586"/>
      <c r="H121" s="544" t="s">
        <v>784</v>
      </c>
      <c r="I121" s="544"/>
      <c r="J121" s="586"/>
      <c r="K121" s="544" t="s">
        <v>156</v>
      </c>
      <c r="L121" s="544">
        <f t="shared" si="19"/>
        <v>2</v>
      </c>
      <c r="M121" s="544" t="str">
        <f t="shared" si="12"/>
        <v>Same distinctiveness or better habitat required ≥</v>
      </c>
      <c r="N121" s="544" t="s">
        <v>153</v>
      </c>
      <c r="O121" s="544">
        <f t="shared" si="20"/>
        <v>0.33</v>
      </c>
      <c r="P121" s="544" t="s">
        <v>23</v>
      </c>
      <c r="Q121" s="544">
        <f t="shared" si="21"/>
        <v>0.67</v>
      </c>
      <c r="R121" s="520"/>
      <c r="S121" s="544"/>
    </row>
    <row r="122" spans="1:19" x14ac:dyDescent="0.3">
      <c r="A122" s="216" t="s">
        <v>793</v>
      </c>
      <c r="B122" s="119" t="s">
        <v>794</v>
      </c>
      <c r="C122" s="571" t="s">
        <v>795</v>
      </c>
      <c r="D122" s="586" t="s">
        <v>715</v>
      </c>
      <c r="E122" s="586" t="s">
        <v>749</v>
      </c>
      <c r="F122" s="544" t="s">
        <v>77</v>
      </c>
      <c r="G122" s="586"/>
      <c r="H122" s="544" t="s">
        <v>793</v>
      </c>
      <c r="I122" s="544"/>
      <c r="J122" s="586"/>
      <c r="K122" s="544" t="s">
        <v>156</v>
      </c>
      <c r="L122" s="544">
        <f t="shared" si="19"/>
        <v>2</v>
      </c>
      <c r="M122" s="544" t="str">
        <f t="shared" si="12"/>
        <v>Same distinctiveness or better habitat required ≥</v>
      </c>
      <c r="N122" s="544" t="s">
        <v>153</v>
      </c>
      <c r="O122" s="544">
        <f t="shared" si="20"/>
        <v>0.33</v>
      </c>
      <c r="P122" s="544" t="s">
        <v>23</v>
      </c>
      <c r="Q122" s="544">
        <f t="shared" si="21"/>
        <v>0.67</v>
      </c>
      <c r="R122" s="520"/>
      <c r="S122" s="544"/>
    </row>
    <row r="123" spans="1:19" x14ac:dyDescent="0.3">
      <c r="A123" s="216" t="s">
        <v>796</v>
      </c>
      <c r="B123" s="119" t="s">
        <v>797</v>
      </c>
      <c r="C123" s="571" t="s">
        <v>798</v>
      </c>
      <c r="D123" s="586" t="s">
        <v>715</v>
      </c>
      <c r="E123" s="586" t="s">
        <v>749</v>
      </c>
      <c r="F123" s="544" t="s">
        <v>77</v>
      </c>
      <c r="G123" s="586"/>
      <c r="H123" s="544" t="s">
        <v>796</v>
      </c>
      <c r="I123" s="544"/>
      <c r="J123" s="586"/>
      <c r="K123" s="544" t="s">
        <v>156</v>
      </c>
      <c r="L123" s="544">
        <f t="shared" si="19"/>
        <v>2</v>
      </c>
      <c r="M123" s="544" t="str">
        <f t="shared" si="12"/>
        <v>Same distinctiveness or better habitat required ≥</v>
      </c>
      <c r="N123" s="544" t="s">
        <v>153</v>
      </c>
      <c r="O123" s="544">
        <f t="shared" si="20"/>
        <v>0.33</v>
      </c>
      <c r="P123" s="544" t="s">
        <v>153</v>
      </c>
      <c r="Q123" s="544">
        <f t="shared" si="21"/>
        <v>0.33</v>
      </c>
      <c r="R123" s="520"/>
      <c r="S123" s="544"/>
    </row>
    <row r="124" spans="1:19" x14ac:dyDescent="0.3">
      <c r="A124" s="216" t="s">
        <v>799</v>
      </c>
      <c r="B124" s="119" t="s">
        <v>800</v>
      </c>
      <c r="C124" s="571" t="s">
        <v>801</v>
      </c>
      <c r="D124" s="586" t="s">
        <v>715</v>
      </c>
      <c r="E124" s="586" t="s">
        <v>749</v>
      </c>
      <c r="F124" s="544" t="s">
        <v>77</v>
      </c>
      <c r="G124" s="586"/>
      <c r="H124" s="544" t="s">
        <v>799</v>
      </c>
      <c r="I124" s="544"/>
      <c r="J124" s="586"/>
      <c r="K124" s="544" t="s">
        <v>156</v>
      </c>
      <c r="L124" s="544">
        <f t="shared" si="19"/>
        <v>2</v>
      </c>
      <c r="M124" s="544" t="str">
        <f t="shared" si="12"/>
        <v>Same distinctiveness or better habitat required ≥</v>
      </c>
      <c r="N124" s="544" t="s">
        <v>153</v>
      </c>
      <c r="O124" s="544">
        <f t="shared" si="20"/>
        <v>0.33</v>
      </c>
      <c r="P124" s="544" t="s">
        <v>23</v>
      </c>
      <c r="Q124" s="544">
        <f t="shared" si="21"/>
        <v>0.67</v>
      </c>
      <c r="R124" s="520"/>
      <c r="S124" s="544"/>
    </row>
    <row r="125" spans="1:19" x14ac:dyDescent="0.3">
      <c r="A125" s="156" t="s">
        <v>802</v>
      </c>
      <c r="B125" s="105" t="s">
        <v>803</v>
      </c>
      <c r="C125" s="571" t="s">
        <v>804</v>
      </c>
      <c r="D125" s="586" t="s">
        <v>715</v>
      </c>
      <c r="E125" s="586"/>
      <c r="F125" s="544" t="s">
        <v>77</v>
      </c>
      <c r="G125" s="586"/>
      <c r="H125" s="588" t="s">
        <v>802</v>
      </c>
      <c r="I125" s="544"/>
      <c r="J125" s="586"/>
      <c r="K125" s="544" t="s">
        <v>23</v>
      </c>
      <c r="L125" s="544">
        <f t="shared" ref="L125" si="23">IF(K125=$V$3,$W$3,IF(K125=$V$3,$W$3,IF(K125=$V$4,$W$4,IF(K125=$V$5,$W$5,IF(K125=$V$6,$W$6,IF(K125=$V$7,$W$7))))))</f>
        <v>4</v>
      </c>
      <c r="M125" s="544" t="str">
        <f t="shared" si="12"/>
        <v>Same broad habitat or a higher distinctiveness habitat required (≥)</v>
      </c>
      <c r="N125" s="544" t="s">
        <v>23</v>
      </c>
      <c r="O125" s="544">
        <f t="shared" ref="O125" si="24">VLOOKUP(N125,Difficulty,2,FALSE)</f>
        <v>0.67</v>
      </c>
      <c r="P125" s="544" t="s">
        <v>23</v>
      </c>
      <c r="Q125" s="544">
        <f t="shared" ref="Q125" si="25">VLOOKUP(P125,Difficulty,2,FALSE)</f>
        <v>0.67</v>
      </c>
      <c r="R125" s="520"/>
      <c r="S125" s="544"/>
    </row>
    <row r="126" spans="1:19" ht="14.5" thickBot="1" x14ac:dyDescent="0.35">
      <c r="A126" s="156" t="s">
        <v>805</v>
      </c>
      <c r="B126" s="222" t="s">
        <v>806</v>
      </c>
      <c r="C126" s="578" t="s">
        <v>807</v>
      </c>
      <c r="D126" s="587" t="s">
        <v>715</v>
      </c>
      <c r="E126" s="587"/>
      <c r="F126" s="526" t="s">
        <v>77</v>
      </c>
      <c r="G126" s="587"/>
      <c r="H126" s="589" t="s">
        <v>805</v>
      </c>
      <c r="I126" s="526"/>
      <c r="J126" s="587"/>
      <c r="K126" s="526" t="s">
        <v>153</v>
      </c>
      <c r="L126" s="526">
        <f t="shared" ref="L126" si="26">IF(K126=$V$3,$W$3,IF(K126=$V$3,$W$3,IF(K126=$V$4,$W$4,IF(K126=$V$5,$W$5,IF(K126=$V$6,$W$6,IF(K126=$V$7,$W$7))))))</f>
        <v>6</v>
      </c>
      <c r="M126" s="526" t="str">
        <f t="shared" si="12"/>
        <v>Same habitat required =</v>
      </c>
      <c r="N126" s="526" t="s">
        <v>153</v>
      </c>
      <c r="O126" s="526">
        <f t="shared" ref="O126" si="27">VLOOKUP(N126,Difficulty,2,FALSE)</f>
        <v>0.33</v>
      </c>
      <c r="P126" s="526" t="s">
        <v>23</v>
      </c>
      <c r="Q126" s="526">
        <f t="shared" ref="Q126" si="28">VLOOKUP(P126,Difficulty,2,FALSE)</f>
        <v>0.67</v>
      </c>
      <c r="R126" s="508"/>
      <c r="S126" s="526"/>
    </row>
    <row r="127" spans="1:19" ht="14.25" customHeight="1" x14ac:dyDescent="0.3">
      <c r="A127" s="156" t="s">
        <v>808</v>
      </c>
      <c r="B127" s="223" t="s">
        <v>809</v>
      </c>
      <c r="C127" s="584" t="s">
        <v>810</v>
      </c>
      <c r="D127" s="585" t="s">
        <v>715</v>
      </c>
      <c r="E127" s="585"/>
      <c r="F127" s="521" t="s">
        <v>81</v>
      </c>
      <c r="G127" s="585"/>
      <c r="H127" s="590" t="s">
        <v>808</v>
      </c>
      <c r="I127" s="521"/>
      <c r="J127" s="585"/>
      <c r="K127" s="521" t="s">
        <v>156</v>
      </c>
      <c r="L127" s="521">
        <f t="shared" ref="L127" si="29">IF(K127=$V$3,$W$3,IF(K127=$V$3,$W$3,IF(K127=$V$4,$W$4,IF(K127=$V$5,$W$5,IF(K127=$V$6,$W$6,IF(K127=$V$7,$W$7))))))</f>
        <v>2</v>
      </c>
      <c r="M127" s="521" t="str">
        <f t="shared" ref="M127:M128" si="30">IF($K127=$V$3,$X$3,IF($K127=$V$4,$X$4,IF($K127=$V$5,$X$5,IF($K127=$V$6,$X$6,IF($K127=$V$7,$X$7)))))</f>
        <v>Same distinctiveness or better habitat required ≥</v>
      </c>
      <c r="N127" s="521" t="s">
        <v>23</v>
      </c>
      <c r="O127" s="521">
        <f t="shared" ref="O127:O129" si="31">VLOOKUP(N127,Difficulty,2,FALSE)</f>
        <v>0.67</v>
      </c>
      <c r="P127" s="521" t="s">
        <v>23</v>
      </c>
      <c r="Q127" s="521">
        <f t="shared" ref="Q127:Q129" si="32">VLOOKUP(P127,Difficulty,2,FALSE)</f>
        <v>0.67</v>
      </c>
      <c r="R127" s="507"/>
      <c r="S127" s="521"/>
    </row>
    <row r="128" spans="1:19" x14ac:dyDescent="0.3">
      <c r="A128" s="156" t="s">
        <v>811</v>
      </c>
      <c r="B128" s="105" t="s">
        <v>812</v>
      </c>
      <c r="C128" s="571" t="s">
        <v>813</v>
      </c>
      <c r="D128" s="586" t="s">
        <v>715</v>
      </c>
      <c r="E128" s="586"/>
      <c r="F128" s="521" t="s">
        <v>81</v>
      </c>
      <c r="G128" s="586"/>
      <c r="H128" s="588" t="s">
        <v>811</v>
      </c>
      <c r="I128" s="544"/>
      <c r="J128" s="586"/>
      <c r="K128" s="521" t="s">
        <v>156</v>
      </c>
      <c r="L128" s="544">
        <f t="shared" ref="L128" si="33">IF(K128=$V$3,$W$3,IF(K128=$V$3,$W$3,IF(K128=$V$4,$W$4,IF(K128=$V$5,$W$5,IF(K128=$V$6,$W$6,IF(K128=$V$7,$W$7))))))</f>
        <v>2</v>
      </c>
      <c r="M128" s="544" t="str">
        <f t="shared" si="30"/>
        <v>Same distinctiveness or better habitat required ≥</v>
      </c>
      <c r="N128" s="544" t="s">
        <v>23</v>
      </c>
      <c r="O128" s="544">
        <f t="shared" si="31"/>
        <v>0.67</v>
      </c>
      <c r="P128" s="544" t="s">
        <v>23</v>
      </c>
      <c r="Q128" s="544">
        <f t="shared" si="32"/>
        <v>0.67</v>
      </c>
      <c r="R128" s="520"/>
      <c r="S128" s="544"/>
    </row>
    <row r="129" spans="1:19" ht="28" x14ac:dyDescent="0.3">
      <c r="A129" s="156" t="s">
        <v>814</v>
      </c>
      <c r="B129" s="105" t="s">
        <v>815</v>
      </c>
      <c r="C129" s="571" t="s">
        <v>816</v>
      </c>
      <c r="D129" s="586" t="s">
        <v>715</v>
      </c>
      <c r="E129" s="586"/>
      <c r="F129" s="521" t="s">
        <v>81</v>
      </c>
      <c r="G129" s="586"/>
      <c r="H129" s="588" t="s">
        <v>814</v>
      </c>
      <c r="I129" s="544"/>
      <c r="J129" s="586"/>
      <c r="K129" s="544" t="s">
        <v>23</v>
      </c>
      <c r="L129" s="544">
        <f t="shared" ref="L129" si="34">IF(K129=$V$3,$W$3,IF(K129=$V$3,$W$3,IF(K129=$V$4,$W$4,IF(K129=$V$5,$W$5,IF(K129=$V$6,$W$6,IF(K129=$V$7,$W$7))))))</f>
        <v>4</v>
      </c>
      <c r="M129" s="544" t="str">
        <f t="shared" ref="M129" si="35">IF($K129=$V$3,$X$3,IF($K129=$V$4,$X$4,IF($K129=$V$5,$X$5,IF($K129=$V$6,$X$6,IF($K129=$V$7,$X$7)))))</f>
        <v>Same broad habitat or a higher distinctiveness habitat required (≥)</v>
      </c>
      <c r="N129" s="544" t="s">
        <v>23</v>
      </c>
      <c r="O129" s="544">
        <f t="shared" si="31"/>
        <v>0.67</v>
      </c>
      <c r="P129" s="544" t="s">
        <v>23</v>
      </c>
      <c r="Q129" s="544">
        <f t="shared" si="32"/>
        <v>0.67</v>
      </c>
      <c r="R129" s="520"/>
      <c r="S129" s="544"/>
    </row>
    <row r="130" spans="1:19" x14ac:dyDescent="0.3"/>
    <row r="131" spans="1:19" x14ac:dyDescent="0.3"/>
    <row r="132" spans="1:19" x14ac:dyDescent="0.3"/>
    <row r="133" spans="1:19" x14ac:dyDescent="0.3"/>
    <row r="134" spans="1:19" x14ac:dyDescent="0.3"/>
    <row r="135" spans="1:19" x14ac:dyDescent="0.3"/>
    <row r="136" spans="1:19" x14ac:dyDescent="0.3"/>
    <row r="137" spans="1:19" x14ac:dyDescent="0.3"/>
    <row r="138" spans="1:19" x14ac:dyDescent="0.3"/>
    <row r="139" spans="1:19" x14ac:dyDescent="0.3"/>
    <row r="140" spans="1:19" x14ac:dyDescent="0.3"/>
    <row r="144" spans="1:19" x14ac:dyDescent="0.3"/>
    <row r="148" x14ac:dyDescent="0.3"/>
    <row r="149" x14ac:dyDescent="0.3"/>
    <row r="150" x14ac:dyDescent="0.3"/>
    <row r="151" x14ac:dyDescent="0.3"/>
    <row r="152" x14ac:dyDescent="0.3"/>
    <row r="153" x14ac:dyDescent="0.3"/>
    <row r="154" x14ac:dyDescent="0.3"/>
  </sheetData>
  <sheetProtection algorithmName="SHA-512" hashValue="fnVYSjH35yY7OrdaG9jxdoifJ6prZ96yjVv3IcEI4Xyx7jfAp81vjZ1+lB0ohLxi4sAK3EGVVALef+qMp1iz/A==" saltValue="3afzRnmhB0xJlQW/EjnYKw==" spinCount="100000" sheet="1" objects="1" scenarios="1"/>
  <autoFilter ref="B2:S129" xr:uid="{00000000-0009-0000-0000-00000F000000}"/>
  <customSheetViews>
    <customSheetView guid="{8BDA793C-C9C5-4FC6-A0A5-F1109F6D4F22}" scale="80" state="hidden">
      <pane xSplit="2" ySplit="2" topLeftCell="C3" activePane="bottomRight" state="frozen"/>
      <selection pane="bottomRight" activeCell="D14" sqref="D14"/>
    </customSheetView>
  </customSheetViews>
  <mergeCells count="5">
    <mergeCell ref="Z1:AA1"/>
    <mergeCell ref="V1:X1"/>
    <mergeCell ref="AF1:AF2"/>
    <mergeCell ref="AG1:AG2"/>
    <mergeCell ref="D1:F1"/>
  </mergeCells>
  <dataValidations count="1">
    <dataValidation type="list" allowBlank="1" showInputMessage="1" showErrorMessage="1" sqref="K3:K129" xr:uid="{00000000-0002-0000-0F00-000000000000}">
      <formula1>$V$3:$V$7</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1000000}">
          <x14:formula1>
            <xm:f>'G-3 Multipliers'!$P$3:$P$6</xm:f>
          </x14:formula1>
          <xm:sqref>N3:N129 P3:P129</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tabColor rgb="FFFFC000"/>
  </sheetPr>
  <dimension ref="A1:BG172"/>
  <sheetViews>
    <sheetView workbookViewId="0">
      <selection sqref="A1:AF1"/>
    </sheetView>
  </sheetViews>
  <sheetFormatPr defaultColWidth="16.453125" defaultRowHeight="14" x14ac:dyDescent="0.3"/>
  <cols>
    <col min="1" max="1" width="88.81640625" style="31" bestFit="1" customWidth="1"/>
    <col min="2" max="2" width="27.7265625" style="31" customWidth="1"/>
    <col min="3" max="3" width="18.54296875" style="31" customWidth="1"/>
    <col min="4" max="4" width="62.81640625" style="31" bestFit="1" customWidth="1"/>
    <col min="5" max="35" width="16.453125" style="31"/>
    <col min="36" max="36" width="23.7265625" style="31" customWidth="1"/>
    <col min="37" max="38" width="16.453125" style="31"/>
    <col min="39" max="39" width="23" style="31" customWidth="1"/>
    <col min="40" max="40" width="23.453125" style="31" customWidth="1"/>
    <col min="41" max="41" width="21.7265625" style="31" customWidth="1"/>
    <col min="42" max="42" width="23.54296875" style="31" customWidth="1"/>
    <col min="43" max="46" width="16.453125" style="31"/>
    <col min="47" max="47" width="78.453125" style="31" customWidth="1"/>
    <col min="48" max="48" width="24.453125" style="31" bestFit="1" customWidth="1"/>
    <col min="49" max="49" width="16.81640625" style="31" bestFit="1" customWidth="1"/>
    <col min="50" max="50" width="23.54296875" style="31" bestFit="1" customWidth="1"/>
    <col min="51" max="51" width="28.1796875" style="31" customWidth="1"/>
    <col min="52" max="52" width="29.26953125" style="31" bestFit="1" customWidth="1"/>
    <col min="53" max="53" width="26.1796875" style="31" bestFit="1" customWidth="1"/>
    <col min="54" max="54" width="25.81640625" style="31" bestFit="1" customWidth="1"/>
    <col min="55" max="55" width="28.1796875" style="31" bestFit="1" customWidth="1"/>
    <col min="56" max="57" width="34.7265625" style="31" bestFit="1" customWidth="1"/>
    <col min="58" max="58" width="27.1796875" style="31" bestFit="1" customWidth="1"/>
    <col min="59" max="59" width="9.1796875" style="31" bestFit="1" customWidth="1"/>
    <col min="60" max="16384" width="16.453125" style="31"/>
  </cols>
  <sheetData>
    <row r="1" spans="1:59" ht="51.65" customHeight="1" x14ac:dyDescent="0.7">
      <c r="A1" s="1045" t="s">
        <v>817</v>
      </c>
      <c r="B1" s="1045"/>
      <c r="C1" s="1045"/>
      <c r="D1" s="1045"/>
      <c r="E1" s="1045"/>
      <c r="F1" s="1045"/>
      <c r="G1" s="1045"/>
      <c r="H1" s="1045"/>
      <c r="I1" s="1045"/>
      <c r="J1" s="1045"/>
      <c r="K1" s="1045"/>
      <c r="L1" s="1045"/>
      <c r="M1" s="1045"/>
      <c r="N1" s="1045"/>
      <c r="O1" s="1045"/>
      <c r="P1" s="1045"/>
      <c r="Q1" s="1045"/>
      <c r="R1" s="1045"/>
      <c r="S1" s="1045"/>
      <c r="T1" s="1045"/>
      <c r="U1" s="1045"/>
      <c r="V1" s="1045"/>
      <c r="W1" s="1045"/>
      <c r="X1" s="1045"/>
      <c r="Y1" s="1045"/>
      <c r="Z1" s="1045"/>
      <c r="AA1" s="1045"/>
      <c r="AB1" s="1045"/>
      <c r="AC1" s="1045"/>
      <c r="AD1" s="1045"/>
      <c r="AE1" s="1045"/>
      <c r="AF1" s="1045"/>
      <c r="AG1" s="126"/>
      <c r="AJ1" s="1042" t="s">
        <v>818</v>
      </c>
      <c r="AK1" s="1043"/>
      <c r="AL1" s="1043"/>
      <c r="AM1" s="1043"/>
      <c r="AN1" s="1043"/>
      <c r="AO1" s="1043"/>
      <c r="AP1" s="1044"/>
      <c r="AU1" s="1042" t="s">
        <v>819</v>
      </c>
      <c r="AV1" s="1043"/>
      <c r="AW1" s="1043"/>
      <c r="AX1" s="1043"/>
      <c r="AY1" s="1043"/>
      <c r="AZ1" s="1043"/>
      <c r="BA1" s="1043"/>
      <c r="BB1" s="1043"/>
      <c r="BC1" s="1043"/>
      <c r="BD1" s="1043"/>
      <c r="BE1" s="1043"/>
      <c r="BF1" s="1043"/>
      <c r="BG1" s="1044"/>
    </row>
    <row r="2" spans="1:59" ht="22.5" x14ac:dyDescent="0.45">
      <c r="A2" s="101">
        <v>1</v>
      </c>
      <c r="B2" s="101">
        <v>2</v>
      </c>
      <c r="C2" s="101">
        <v>3</v>
      </c>
      <c r="D2" s="101">
        <v>4</v>
      </c>
      <c r="E2" s="101">
        <v>5</v>
      </c>
      <c r="F2" s="101">
        <v>6</v>
      </c>
      <c r="G2" s="101">
        <v>7</v>
      </c>
      <c r="H2" s="101">
        <v>8</v>
      </c>
      <c r="I2" s="101">
        <v>9</v>
      </c>
      <c r="J2" s="101">
        <v>10</v>
      </c>
      <c r="K2" s="101">
        <v>11</v>
      </c>
      <c r="L2" s="101">
        <v>12</v>
      </c>
      <c r="M2" s="101">
        <v>13</v>
      </c>
      <c r="N2" s="101">
        <v>14</v>
      </c>
      <c r="O2" s="101">
        <v>15</v>
      </c>
      <c r="P2" s="101">
        <v>16</v>
      </c>
      <c r="Q2" s="101">
        <v>17</v>
      </c>
      <c r="R2" s="101">
        <v>18</v>
      </c>
      <c r="S2" s="101">
        <v>19</v>
      </c>
      <c r="T2" s="101">
        <v>20</v>
      </c>
      <c r="U2" s="101">
        <v>21</v>
      </c>
      <c r="V2" s="101">
        <v>22</v>
      </c>
      <c r="W2" s="101">
        <v>23</v>
      </c>
      <c r="X2" s="101">
        <v>24</v>
      </c>
      <c r="Y2" s="101">
        <v>25</v>
      </c>
      <c r="Z2" s="101">
        <v>26</v>
      </c>
      <c r="AA2" s="101">
        <v>27</v>
      </c>
      <c r="AB2" s="101">
        <v>28</v>
      </c>
      <c r="AC2" s="101">
        <v>29</v>
      </c>
      <c r="AD2" s="101">
        <v>30</v>
      </c>
      <c r="AE2" s="101">
        <v>31</v>
      </c>
      <c r="AF2" s="102">
        <v>32</v>
      </c>
    </row>
    <row r="3" spans="1:59" ht="107.5" customHeight="1" x14ac:dyDescent="0.7">
      <c r="A3" s="103" t="s">
        <v>820</v>
      </c>
      <c r="B3" s="103" t="s">
        <v>160</v>
      </c>
      <c r="C3" s="103" t="s">
        <v>189</v>
      </c>
      <c r="D3" s="103" t="s">
        <v>821</v>
      </c>
      <c r="E3" s="103" t="s">
        <v>822</v>
      </c>
      <c r="F3" s="103" t="s">
        <v>823</v>
      </c>
      <c r="G3" s="103" t="s">
        <v>824</v>
      </c>
      <c r="H3" s="103" t="s">
        <v>825</v>
      </c>
      <c r="I3" s="103" t="s">
        <v>826</v>
      </c>
      <c r="J3" s="103" t="s">
        <v>827</v>
      </c>
      <c r="K3" s="103" t="s">
        <v>828</v>
      </c>
      <c r="L3" s="103" t="s">
        <v>829</v>
      </c>
      <c r="M3" s="103" t="s">
        <v>830</v>
      </c>
      <c r="N3" s="103" t="s">
        <v>831</v>
      </c>
      <c r="O3" s="103" t="s">
        <v>832</v>
      </c>
      <c r="P3" s="103" t="s">
        <v>833</v>
      </c>
      <c r="Q3" s="103" t="s">
        <v>834</v>
      </c>
      <c r="R3" s="103" t="s">
        <v>835</v>
      </c>
      <c r="S3" s="103" t="s">
        <v>836</v>
      </c>
      <c r="T3" s="103" t="s">
        <v>837</v>
      </c>
      <c r="U3" s="103" t="s">
        <v>838</v>
      </c>
      <c r="V3" s="103" t="s">
        <v>839</v>
      </c>
      <c r="W3" s="103" t="s">
        <v>840</v>
      </c>
      <c r="X3" s="103" t="s">
        <v>841</v>
      </c>
      <c r="Y3" s="103" t="s">
        <v>842</v>
      </c>
      <c r="Z3" s="103" t="s">
        <v>843</v>
      </c>
      <c r="AA3" s="103" t="s">
        <v>844</v>
      </c>
      <c r="AB3" s="103" t="s">
        <v>845</v>
      </c>
      <c r="AC3" s="103" t="s">
        <v>846</v>
      </c>
      <c r="AD3" s="103" t="s">
        <v>847</v>
      </c>
      <c r="AE3" s="103" t="s">
        <v>848</v>
      </c>
      <c r="AF3" s="103" t="s">
        <v>849</v>
      </c>
      <c r="AJ3" s="125" t="s">
        <v>850</v>
      </c>
      <c r="AK3" s="127" t="s">
        <v>851</v>
      </c>
      <c r="AL3" s="127" t="s">
        <v>852</v>
      </c>
      <c r="AM3" s="127" t="s">
        <v>853</v>
      </c>
      <c r="AN3" s="127" t="s">
        <v>854</v>
      </c>
      <c r="AO3" s="127" t="s">
        <v>855</v>
      </c>
      <c r="AP3" s="127" t="s">
        <v>161</v>
      </c>
      <c r="AU3" s="114" t="s">
        <v>151</v>
      </c>
      <c r="AV3" s="115"/>
      <c r="AW3" s="116"/>
      <c r="AX3" s="116"/>
      <c r="AY3" s="116"/>
      <c r="AZ3" s="116"/>
      <c r="BA3" s="116"/>
      <c r="BB3" s="116"/>
      <c r="BC3" s="116"/>
      <c r="BD3" s="116"/>
      <c r="BE3" s="116"/>
      <c r="BF3" s="116"/>
      <c r="BG3" s="116"/>
    </row>
    <row r="4" spans="1:59" ht="31" x14ac:dyDescent="0.35">
      <c r="A4" s="104" t="str">
        <f>'G-1 All Habitats'!B3</f>
        <v>Cropland - Arable field margins cultivated annually</v>
      </c>
      <c r="B4" s="88" t="str">
        <f>'G-1 All Habitats'!F3</f>
        <v>Cropland</v>
      </c>
      <c r="C4" s="88" t="str">
        <f>'G-1 All Habitats'!K3</f>
        <v>Medium</v>
      </c>
      <c r="D4" s="88" t="str">
        <f>'G-1 All Habitats'!M3</f>
        <v>Same broad habitat or a higher distinctiveness habitat required (≥)</v>
      </c>
      <c r="E4" s="494">
        <f>IF(C4="V.High",SUMIF('A-1 Site Habitat Baseline'!$G$11:$G$258,'G-2 Habitat groups'!A4,'A-1 Site Habitat Baseline'!$S$11:$S$258)+SUMIF('A-1 Site Habitat Baseline'!$G$11:$G$258,'G-2 Habitat groups'!A4,'A-1 Site Habitat Baseline'!$T$11:$T$258),SUMIF('A-1 Site Habitat Baseline'!$G$11:$G$258,'G-2 Habitat groups'!A4,'A-1 Site Habitat Baseline'!$H$11:$H$258))</f>
        <v>0</v>
      </c>
      <c r="F4" s="494">
        <f>SUMIF('A-1 Site Habitat Baseline'!$G$11:$G$258,'G-2 Habitat groups'!A4,'A-1 Site Habitat Baseline'!$Q$11:$Q$258)</f>
        <v>0</v>
      </c>
      <c r="G4" s="494">
        <f>SUMIF('A-1 Site Habitat Baseline'!$G$11:$G$258,'G-2 Habitat groups'!A4,'A-1 Site Habitat Baseline'!$S$11:$S$258)</f>
        <v>0</v>
      </c>
      <c r="H4" s="494">
        <f>SUMIF('A-1 Site Habitat Baseline'!$G$11:$G$258,'G-2 Habitat groups'!A4,'A-1 Site Habitat Baseline'!$U$11:$U$258)</f>
        <v>0</v>
      </c>
      <c r="I4" s="494">
        <f>SUMIF('A-1 Site Habitat Baseline'!$G$11:$G$258,'G-2 Habitat groups'!A4,'A-1 Site Habitat Baseline'!$W$11:$W$258)</f>
        <v>0</v>
      </c>
      <c r="J4" s="494">
        <f>SUMIF('A-1 Site Habitat Baseline'!$G$11:$G$258,'G-2 Habitat groups'!A4,'A-1 Site Habitat Baseline'!$X$11:$X$258)</f>
        <v>0</v>
      </c>
      <c r="K4" s="494">
        <f>SUMIF('A-2 Site Habitat Creation'!$F$11:$F$256,'G-2 Habitat groups'!A4,'A-2 Site Habitat Creation'!$G$11:$G$256)</f>
        <v>0</v>
      </c>
      <c r="L4" s="494">
        <f>SUMIF('A-2 Site Habitat Creation'!$F$11:$F$256,'G-2 Habitat groups'!A4,'A-2 Site Habitat Creation'!$Y$11:$Y$256)</f>
        <v>0</v>
      </c>
      <c r="M4" s="494">
        <f>SUMIF('A-3 Site Habitat Enhancement'!$S$12:$S$257,'G-2 Habitat groups'!A4,'A-3 Site Habitat Enhancement'!$V$12:$V$257)</f>
        <v>0</v>
      </c>
      <c r="N4" s="494">
        <f>SUMIF('A-3 Site Habitat Enhancement'!$S$12:$S$257,'G-2 Habitat groups'!A4,'A-3 Site Habitat Enhancement'!$AN$12:$AN$257)</f>
        <v>0</v>
      </c>
      <c r="O4" s="494">
        <f t="shared" ref="O4:O34" si="0">G4+K4+M4</f>
        <v>0</v>
      </c>
      <c r="P4" s="494">
        <f t="shared" ref="P4:P34" si="1">H4+L4+N4</f>
        <v>0</v>
      </c>
      <c r="Q4" s="494">
        <f t="shared" ref="Q4:Q34" si="2">O4-E4</f>
        <v>0</v>
      </c>
      <c r="R4" s="494">
        <f t="shared" ref="R4:R34" si="3">P4-F4</f>
        <v>0</v>
      </c>
      <c r="S4" s="494">
        <f>IF(C4="V.High",SUMIF('D-1 Off Site Habitat Baseline'!$G$11:$G$258,'G-2 Habitat groups'!A4,'D-1 Off Site Habitat Baseline'!$S$11:$S$258)+SUMIF('D-1 Off Site Habitat Baseline'!$G$11:$G$258,'G-2 Habitat groups'!A4,'D-1 Off Site Habitat Baseline'!$T$11:$T$258),SUMIF('D-1 Off Site Habitat Baseline'!$G$11:$G$258,'G-2 Habitat groups'!A4,'D-1 Off Site Habitat Baseline'!$H$11:$H$258))</f>
        <v>0</v>
      </c>
      <c r="T4" s="494">
        <f>SUMIF('D-1 Off Site Habitat Baseline'!$G$11:$G$258,'G-2 Habitat groups'!A4,'D-1 Off Site Habitat Baseline'!$Q$11:$Q$258)</f>
        <v>0</v>
      </c>
      <c r="U4" s="652">
        <f>SUMIF('D-1 Off Site Habitat Baseline'!$G$11:$G$258,'G-2 Habitat groups'!A4,'D-1 Off Site Habitat Baseline'!$S$11:$S$258)</f>
        <v>0</v>
      </c>
      <c r="V4" s="494">
        <f>SUMIF('D-1 Off Site Habitat Baseline'!$G$11:$G$258,'G-2 Habitat groups'!A4,'D-1 Off Site Habitat Baseline'!$U$11:$U$258)</f>
        <v>0</v>
      </c>
      <c r="W4" s="494">
        <f>SUMIF('D-2 Off Site Habitat Creation'!$F$9:$F$255,'G-2 Habitat groups'!A4,'D-2 Off Site Habitat Creation'!$G$9:$G$255)</f>
        <v>0</v>
      </c>
      <c r="X4" s="494">
        <f>SUMIF('D-2 Off Site Habitat Creation'!$F$9:$F$255,'G-2 Habitat groups'!A4,'D-2 Off Site Habitat Creation'!$AA$9:$AA$255)</f>
        <v>0</v>
      </c>
      <c r="Y4" s="494">
        <f>SUMIF('D-3 Off Site Habitat Enhancment'!$S$12:$S$491,'G-2 Habitat groups'!A4,'D-3 Off Site Habitat Enhancment'!$V$12:$V$491)</f>
        <v>0</v>
      </c>
      <c r="Z4" s="494">
        <f>SUMIF('D-3 Off Site Habitat Enhancment'!$S$12:$S$491,'G-2 Habitat groups'!A4,'D-3 Off Site Habitat Enhancment'!$AP$12:$AP$491)</f>
        <v>0</v>
      </c>
      <c r="AA4" s="494">
        <f t="shared" ref="AA4:AA34" si="4">U4+W4+Y4</f>
        <v>0</v>
      </c>
      <c r="AB4" s="494">
        <f t="shared" ref="AB4:AB34" si="5">V4+X4+Z4</f>
        <v>0</v>
      </c>
      <c r="AC4" s="494">
        <f t="shared" ref="AC4:AC34" si="6">AA4-S4</f>
        <v>0</v>
      </c>
      <c r="AD4" s="494">
        <f t="shared" ref="AD4:AD34" si="7">AB4-T4</f>
        <v>0</v>
      </c>
      <c r="AE4" s="494">
        <f t="shared" ref="AE4:AE34" si="8">Q4+AC4</f>
        <v>0</v>
      </c>
      <c r="AF4" s="494">
        <f t="shared" ref="AF4:AF34" si="9">R4+AD4</f>
        <v>0</v>
      </c>
      <c r="AJ4" s="106" t="s">
        <v>69</v>
      </c>
      <c r="AK4" s="112">
        <f t="shared" ref="AK4:AK16" si="10">SUMIF($B:$B,$AJ4,E:E)</f>
        <v>0</v>
      </c>
      <c r="AL4" s="112">
        <f t="shared" ref="AL4:AL16" si="11">SUMIF($B:$B,$AJ4,F:F)</f>
        <v>0</v>
      </c>
      <c r="AM4" s="112">
        <f t="shared" ref="AM4:AM16" si="12">SUMIF($B:$B,$AJ4,O:O)</f>
        <v>0</v>
      </c>
      <c r="AN4" s="112">
        <f t="shared" ref="AN4:AN16" si="13">SUMIF($B:$B,$AJ4,P:P)</f>
        <v>0</v>
      </c>
      <c r="AO4" s="111">
        <f t="shared" ref="AO4:AO16" si="14">SUMIF($B:$B,$AJ4,Q:Q)</f>
        <v>0</v>
      </c>
      <c r="AP4" s="111">
        <f t="shared" ref="AP4:AP16" si="15">SUMIF($B:$B,$AJ4,R:R)</f>
        <v>0</v>
      </c>
      <c r="AU4" s="123" t="s">
        <v>173</v>
      </c>
      <c r="AV4" s="127" t="s">
        <v>160</v>
      </c>
      <c r="AW4" s="127" t="s">
        <v>851</v>
      </c>
      <c r="AX4" s="127" t="s">
        <v>856</v>
      </c>
      <c r="AY4" s="127" t="s">
        <v>853</v>
      </c>
      <c r="AZ4" s="127" t="s">
        <v>854</v>
      </c>
      <c r="BA4" s="127" t="s">
        <v>855</v>
      </c>
      <c r="BB4" s="127" t="s">
        <v>161</v>
      </c>
      <c r="BC4" s="127" t="s">
        <v>857</v>
      </c>
      <c r="BD4" s="127" t="s">
        <v>858</v>
      </c>
      <c r="BE4" s="127" t="s">
        <v>859</v>
      </c>
      <c r="BF4" s="127" t="s">
        <v>860</v>
      </c>
      <c r="BG4" s="127" t="s">
        <v>861</v>
      </c>
    </row>
    <row r="5" spans="1:59" ht="14.5" customHeight="1" x14ac:dyDescent="0.3">
      <c r="A5" s="104" t="str">
        <f>'G-1 All Habitats'!B4</f>
        <v>Cropland - Arable field margins game bird mix</v>
      </c>
      <c r="B5" s="88" t="str">
        <f>'G-1 All Habitats'!F4</f>
        <v>Cropland</v>
      </c>
      <c r="C5" s="88" t="str">
        <f>'G-1 All Habitats'!K4</f>
        <v>Medium</v>
      </c>
      <c r="D5" s="88" t="str">
        <f>'G-1 All Habitats'!M4</f>
        <v>Same broad habitat or a higher distinctiveness habitat required (≥)</v>
      </c>
      <c r="E5" s="494">
        <f>IF(C5="V.High",SUMIF('A-1 Site Habitat Baseline'!$G$11:$G$258,'G-2 Habitat groups'!A5,'A-1 Site Habitat Baseline'!$S$11:$S$258)+SUMIF('A-1 Site Habitat Baseline'!$G$11:$G$258,'G-2 Habitat groups'!A5,'A-1 Site Habitat Baseline'!$T$11:$T$258),SUMIF('A-1 Site Habitat Baseline'!$G$11:$G$258,'G-2 Habitat groups'!A5,'A-1 Site Habitat Baseline'!$H$11:$H$258))</f>
        <v>0</v>
      </c>
      <c r="F5" s="494">
        <f>SUMIF('A-1 Site Habitat Baseline'!$G$11:$G$258,'G-2 Habitat groups'!A5,'A-1 Site Habitat Baseline'!$Q$11:$Q$258)</f>
        <v>0</v>
      </c>
      <c r="G5" s="494">
        <f>SUMIF('A-1 Site Habitat Baseline'!$G$11:$G$258,'G-2 Habitat groups'!A5,'A-1 Site Habitat Baseline'!$S$11:$S$258)</f>
        <v>0</v>
      </c>
      <c r="H5" s="494">
        <f>SUMIF('A-1 Site Habitat Baseline'!$G$11:$G$258,'G-2 Habitat groups'!A5,'A-1 Site Habitat Baseline'!$U$11:$U$258)</f>
        <v>0</v>
      </c>
      <c r="I5" s="494">
        <f>SUMIF('A-1 Site Habitat Baseline'!$G$11:$G$258,'G-2 Habitat groups'!A5,'A-1 Site Habitat Baseline'!$W$11:$W$258)</f>
        <v>0</v>
      </c>
      <c r="J5" s="494">
        <f>SUMIF('A-1 Site Habitat Baseline'!$G$11:$G$258,'G-2 Habitat groups'!A5,'A-1 Site Habitat Baseline'!$X$11:$X$258)</f>
        <v>0</v>
      </c>
      <c r="K5" s="494">
        <f>SUMIF('A-2 Site Habitat Creation'!$F$11:$F$256,'G-2 Habitat groups'!A5,'A-2 Site Habitat Creation'!$G$11:$G$256)</f>
        <v>0</v>
      </c>
      <c r="L5" s="494">
        <f>SUMIF('A-2 Site Habitat Creation'!$F$11:$F$256,'G-2 Habitat groups'!A5,'A-2 Site Habitat Creation'!$Y$11:$Y$256)</f>
        <v>0</v>
      </c>
      <c r="M5" s="494">
        <f>SUMIF('A-3 Site Habitat Enhancement'!$S$12:$S$257,'G-2 Habitat groups'!A5,'A-3 Site Habitat Enhancement'!$V$12:$V$257)</f>
        <v>0</v>
      </c>
      <c r="N5" s="494">
        <f>SUMIF('A-3 Site Habitat Enhancement'!$S$12:$S$257,'G-2 Habitat groups'!A5,'A-3 Site Habitat Enhancement'!$AN$12:$AN$257)</f>
        <v>0</v>
      </c>
      <c r="O5" s="494">
        <f t="shared" si="0"/>
        <v>0</v>
      </c>
      <c r="P5" s="494">
        <f t="shared" si="1"/>
        <v>0</v>
      </c>
      <c r="Q5" s="494">
        <f t="shared" si="2"/>
        <v>0</v>
      </c>
      <c r="R5" s="494">
        <f t="shared" si="3"/>
        <v>0</v>
      </c>
      <c r="S5" s="494">
        <f>IF(C5="V.High",SUMIF('D-1 Off Site Habitat Baseline'!$G$11:$G$258,'G-2 Habitat groups'!A5,'D-1 Off Site Habitat Baseline'!$S$11:$S$258)+SUMIF('D-1 Off Site Habitat Baseline'!$G$11:$G$258,'G-2 Habitat groups'!A5,'D-1 Off Site Habitat Baseline'!$T$11:$T$258),SUMIF('D-1 Off Site Habitat Baseline'!$G$11:$G$258,'G-2 Habitat groups'!A5,'D-1 Off Site Habitat Baseline'!$H$11:$H$258))</f>
        <v>0</v>
      </c>
      <c r="T5" s="494">
        <f>SUMIF('D-1 Off Site Habitat Baseline'!$G$11:$G$258,'G-2 Habitat groups'!A5,'D-1 Off Site Habitat Baseline'!$Q$11:$Q$258)</f>
        <v>0</v>
      </c>
      <c r="U5" s="591">
        <f>SUMIF('D-1 Off Site Habitat Baseline'!$G$11:$G$258,'G-2 Habitat groups'!A5,'D-1 Off Site Habitat Baseline'!$S$11:$S$258)</f>
        <v>0</v>
      </c>
      <c r="V5" s="494">
        <f>SUMIF('D-1 Off Site Habitat Baseline'!$G$11:$G$258,'G-2 Habitat groups'!A5,'D-1 Off Site Habitat Baseline'!$U$11:$U$258)</f>
        <v>0</v>
      </c>
      <c r="W5" s="494">
        <f>SUMIF('D-2 Off Site Habitat Creation'!$F$9:$F$255,'G-2 Habitat groups'!A5,'D-2 Off Site Habitat Creation'!$G$9:$G$255)</f>
        <v>0</v>
      </c>
      <c r="X5" s="494">
        <f>SUMIF('D-2 Off Site Habitat Creation'!$F$9:$F$255,'G-2 Habitat groups'!A5,'D-2 Off Site Habitat Creation'!$AA$9:$AA$255)</f>
        <v>0</v>
      </c>
      <c r="Y5" s="494">
        <f>SUMIF('D-3 Off Site Habitat Enhancment'!$S$12:$S$491,'G-2 Habitat groups'!A5,'D-3 Off Site Habitat Enhancment'!$V$12:$V$491)</f>
        <v>0</v>
      </c>
      <c r="Z5" s="494">
        <f>SUMIF('D-3 Off Site Habitat Enhancment'!$S$12:$S$491,'G-2 Habitat groups'!A5,'D-3 Off Site Habitat Enhancment'!$AP$12:$AP$491)</f>
        <v>0</v>
      </c>
      <c r="AA5" s="494">
        <f t="shared" si="4"/>
        <v>0</v>
      </c>
      <c r="AB5" s="494">
        <f t="shared" si="5"/>
        <v>0</v>
      </c>
      <c r="AC5" s="494">
        <f t="shared" si="6"/>
        <v>0</v>
      </c>
      <c r="AD5" s="494">
        <f t="shared" si="7"/>
        <v>0</v>
      </c>
      <c r="AE5" s="494">
        <f t="shared" si="8"/>
        <v>0</v>
      </c>
      <c r="AF5" s="494">
        <f t="shared" si="9"/>
        <v>0</v>
      </c>
      <c r="AJ5" s="107" t="s">
        <v>70</v>
      </c>
      <c r="AK5" s="100">
        <f t="shared" si="10"/>
        <v>0</v>
      </c>
      <c r="AL5" s="100">
        <f t="shared" si="11"/>
        <v>0</v>
      </c>
      <c r="AM5" s="100">
        <f t="shared" si="12"/>
        <v>1.95E-2</v>
      </c>
      <c r="AN5" s="100">
        <f t="shared" si="13"/>
        <v>0.18025265737907997</v>
      </c>
      <c r="AO5" s="111">
        <f t="shared" si="14"/>
        <v>1.95E-2</v>
      </c>
      <c r="AP5" s="111">
        <f t="shared" si="15"/>
        <v>0.18025265737907997</v>
      </c>
      <c r="AU5" s="119" t="s">
        <v>439</v>
      </c>
      <c r="AV5" s="88" t="s">
        <v>70</v>
      </c>
      <c r="AW5" s="494">
        <f t="shared" ref="AW5:AW8" si="16">VLOOKUP($AU5,AllHabsSummaryData,5,FALSE)</f>
        <v>0</v>
      </c>
      <c r="AX5" s="494">
        <f t="shared" ref="AX5:AX8" si="17">VLOOKUP($AU5,AllHabsSummaryData,10,FALSE)</f>
        <v>0</v>
      </c>
      <c r="AY5" s="494">
        <f t="shared" ref="AY5:AY8" si="18">VLOOKUP($AU5,AllHabsSummaryData,15,FALSE)</f>
        <v>0</v>
      </c>
      <c r="AZ5" s="494">
        <f t="shared" ref="AZ5:AZ8" si="19">VLOOKUP($AU5,AllHabsSummaryData,16,FALSE)</f>
        <v>0</v>
      </c>
      <c r="BA5" s="494">
        <f t="shared" ref="BA5:BA8" si="20">VLOOKUP($AU5,AllHabsSummaryData,17,FALSE)</f>
        <v>0</v>
      </c>
      <c r="BB5" s="494">
        <f t="shared" ref="BB5:BB8" si="21">VLOOKUP($AU5,AllHabsSummaryData,18,FALSE)</f>
        <v>0</v>
      </c>
      <c r="BC5" s="494">
        <f t="shared" ref="BC5:BC8" si="22">VLOOKUP($AU5,AllHabsSummaryData,27,FALSE)</f>
        <v>0</v>
      </c>
      <c r="BD5" s="494">
        <f t="shared" ref="BD5:BD8" si="23">VLOOKUP($AU5,AllHabsSummaryData,30,FALSE)</f>
        <v>0</v>
      </c>
      <c r="BE5" s="494">
        <f t="shared" ref="BE5:BE8" si="24">BB5+BD5</f>
        <v>0</v>
      </c>
      <c r="BF5" s="494" t="str">
        <f t="shared" ref="BF5:BF8" si="25">IF(BE5&lt;0,BE5,"")</f>
        <v/>
      </c>
      <c r="BG5" s="494">
        <f>VLOOKUP($AU5,AllHabsSummaryData,9,FALSE)</f>
        <v>0</v>
      </c>
    </row>
    <row r="6" spans="1:59" ht="14.5" customHeight="1" x14ac:dyDescent="0.3">
      <c r="A6" s="104" t="str">
        <f>'G-1 All Habitats'!B5</f>
        <v>Cropland - Arable field margins pollen &amp; nectar</v>
      </c>
      <c r="B6" s="88" t="str">
        <f>'G-1 All Habitats'!F5</f>
        <v>Cropland</v>
      </c>
      <c r="C6" s="88" t="str">
        <f>'G-1 All Habitats'!K5</f>
        <v>Medium</v>
      </c>
      <c r="D6" s="88" t="str">
        <f>'G-1 All Habitats'!M5</f>
        <v>Same broad habitat or a higher distinctiveness habitat required (≥)</v>
      </c>
      <c r="E6" s="494">
        <f>IF(C6="V.High",SUMIF('A-1 Site Habitat Baseline'!$G$11:$G$258,'G-2 Habitat groups'!A6,'A-1 Site Habitat Baseline'!$S$11:$S$258)+SUMIF('A-1 Site Habitat Baseline'!$G$11:$G$258,'G-2 Habitat groups'!A6,'A-1 Site Habitat Baseline'!$T$11:$T$258),SUMIF('A-1 Site Habitat Baseline'!$G$11:$G$258,'G-2 Habitat groups'!A6,'A-1 Site Habitat Baseline'!$H$11:$H$258))</f>
        <v>0</v>
      </c>
      <c r="F6" s="494">
        <f>SUMIF('A-1 Site Habitat Baseline'!$G$11:$G$258,'G-2 Habitat groups'!A6,'A-1 Site Habitat Baseline'!$Q$11:$Q$258)</f>
        <v>0</v>
      </c>
      <c r="G6" s="494">
        <f>SUMIF('A-1 Site Habitat Baseline'!$G$11:$G$258,'G-2 Habitat groups'!A6,'A-1 Site Habitat Baseline'!$S$11:$S$258)</f>
        <v>0</v>
      </c>
      <c r="H6" s="494">
        <f>SUMIF('A-1 Site Habitat Baseline'!$G$11:$G$258,'G-2 Habitat groups'!A6,'A-1 Site Habitat Baseline'!$U$11:$U$258)</f>
        <v>0</v>
      </c>
      <c r="I6" s="494">
        <f>SUMIF('A-1 Site Habitat Baseline'!$G$11:$G$258,'G-2 Habitat groups'!A6,'A-1 Site Habitat Baseline'!$W$11:$W$258)</f>
        <v>0</v>
      </c>
      <c r="J6" s="494">
        <f>SUMIF('A-1 Site Habitat Baseline'!$G$11:$G$258,'G-2 Habitat groups'!A6,'A-1 Site Habitat Baseline'!$X$11:$X$258)</f>
        <v>0</v>
      </c>
      <c r="K6" s="494">
        <f>SUMIF('A-2 Site Habitat Creation'!$F$11:$F$256,'G-2 Habitat groups'!A6,'A-2 Site Habitat Creation'!$G$11:$G$256)</f>
        <v>0</v>
      </c>
      <c r="L6" s="494">
        <f>SUMIF('A-2 Site Habitat Creation'!$F$11:$F$256,'G-2 Habitat groups'!A6,'A-2 Site Habitat Creation'!$Y$11:$Y$256)</f>
        <v>0</v>
      </c>
      <c r="M6" s="494">
        <f>SUMIF('A-3 Site Habitat Enhancement'!$S$12:$S$257,'G-2 Habitat groups'!A6,'A-3 Site Habitat Enhancement'!$V$12:$V$257)</f>
        <v>0</v>
      </c>
      <c r="N6" s="494">
        <f>SUMIF('A-3 Site Habitat Enhancement'!$S$12:$S$257,'G-2 Habitat groups'!A6,'A-3 Site Habitat Enhancement'!$AN$12:$AN$257)</f>
        <v>0</v>
      </c>
      <c r="O6" s="494">
        <f t="shared" si="0"/>
        <v>0</v>
      </c>
      <c r="P6" s="494">
        <f t="shared" si="1"/>
        <v>0</v>
      </c>
      <c r="Q6" s="494">
        <f t="shared" si="2"/>
        <v>0</v>
      </c>
      <c r="R6" s="494">
        <f t="shared" si="3"/>
        <v>0</v>
      </c>
      <c r="S6" s="494">
        <f>IF(C6="V.High",SUMIF('D-1 Off Site Habitat Baseline'!$G$11:$G$258,'G-2 Habitat groups'!A6,'D-1 Off Site Habitat Baseline'!$S$11:$S$258)+SUMIF('D-1 Off Site Habitat Baseline'!$G$11:$G$258,'G-2 Habitat groups'!A6,'D-1 Off Site Habitat Baseline'!$T$11:$T$258),SUMIF('D-1 Off Site Habitat Baseline'!$G$11:$G$258,'G-2 Habitat groups'!A6,'D-1 Off Site Habitat Baseline'!$H$11:$H$258))</f>
        <v>0</v>
      </c>
      <c r="T6" s="494">
        <f>SUMIF('D-1 Off Site Habitat Baseline'!$G$11:$G$258,'G-2 Habitat groups'!A6,'D-1 Off Site Habitat Baseline'!$Q$11:$Q$258)</f>
        <v>0</v>
      </c>
      <c r="U6" s="591">
        <f>SUMIF('D-1 Off Site Habitat Baseline'!$G$11:$G$258,'G-2 Habitat groups'!A6,'D-1 Off Site Habitat Baseline'!$S$11:$S$258)</f>
        <v>0</v>
      </c>
      <c r="V6" s="494">
        <f>SUMIF('D-1 Off Site Habitat Baseline'!$G$11:$G$258,'G-2 Habitat groups'!A6,'D-1 Off Site Habitat Baseline'!$U$11:$U$258)</f>
        <v>0</v>
      </c>
      <c r="W6" s="494">
        <f>SUMIF('D-2 Off Site Habitat Creation'!$F$9:$F$255,'G-2 Habitat groups'!A6,'D-2 Off Site Habitat Creation'!$G$9:$G$255)</f>
        <v>0</v>
      </c>
      <c r="X6" s="494">
        <f>SUMIF('D-2 Off Site Habitat Creation'!$F$9:$F$255,'G-2 Habitat groups'!A6,'D-2 Off Site Habitat Creation'!$AA$9:$AA$255)</f>
        <v>0</v>
      </c>
      <c r="Y6" s="494">
        <f>SUMIF('D-3 Off Site Habitat Enhancment'!$S$12:$S$491,'G-2 Habitat groups'!A6,'D-3 Off Site Habitat Enhancment'!$V$12:$V$491)</f>
        <v>0</v>
      </c>
      <c r="Z6" s="494">
        <f>SUMIF('D-3 Off Site Habitat Enhancment'!$S$12:$S$491,'G-2 Habitat groups'!A6,'D-3 Off Site Habitat Enhancment'!$AP$12:$AP$491)</f>
        <v>0</v>
      </c>
      <c r="AA6" s="494">
        <f t="shared" si="4"/>
        <v>0</v>
      </c>
      <c r="AB6" s="494">
        <f t="shared" si="5"/>
        <v>0</v>
      </c>
      <c r="AC6" s="494">
        <f t="shared" si="6"/>
        <v>0</v>
      </c>
      <c r="AD6" s="494">
        <f t="shared" si="7"/>
        <v>0</v>
      </c>
      <c r="AE6" s="494">
        <f t="shared" si="8"/>
        <v>0</v>
      </c>
      <c r="AF6" s="494">
        <f t="shared" si="9"/>
        <v>0</v>
      </c>
      <c r="AJ6" s="107" t="s">
        <v>71</v>
      </c>
      <c r="AK6" s="100">
        <f t="shared" si="10"/>
        <v>0</v>
      </c>
      <c r="AL6" s="100">
        <f t="shared" si="11"/>
        <v>0</v>
      </c>
      <c r="AM6" s="100">
        <f t="shared" si="12"/>
        <v>5.7500000000000002E-2</v>
      </c>
      <c r="AN6" s="100">
        <f t="shared" si="13"/>
        <v>0.24414500000000006</v>
      </c>
      <c r="AO6" s="111">
        <f t="shared" si="14"/>
        <v>5.7500000000000002E-2</v>
      </c>
      <c r="AP6" s="111">
        <f t="shared" si="15"/>
        <v>0.24414500000000006</v>
      </c>
      <c r="AU6" s="119" t="s">
        <v>444</v>
      </c>
      <c r="AV6" s="88" t="s">
        <v>70</v>
      </c>
      <c r="AW6" s="494">
        <f t="shared" si="16"/>
        <v>0</v>
      </c>
      <c r="AX6" s="494">
        <f t="shared" si="17"/>
        <v>0</v>
      </c>
      <c r="AY6" s="494">
        <f t="shared" si="18"/>
        <v>0</v>
      </c>
      <c r="AZ6" s="494">
        <f t="shared" si="19"/>
        <v>0</v>
      </c>
      <c r="BA6" s="494">
        <f t="shared" si="20"/>
        <v>0</v>
      </c>
      <c r="BB6" s="494">
        <f t="shared" si="21"/>
        <v>0</v>
      </c>
      <c r="BC6" s="494">
        <f t="shared" si="22"/>
        <v>0</v>
      </c>
      <c r="BD6" s="494">
        <f t="shared" si="23"/>
        <v>0</v>
      </c>
      <c r="BE6" s="494">
        <f t="shared" si="24"/>
        <v>0</v>
      </c>
      <c r="BF6" s="494" t="str">
        <f t="shared" si="25"/>
        <v/>
      </c>
      <c r="BG6" s="586">
        <f t="shared" ref="BG6:BG24" si="26">SUMIF($A$4:$A$103,AU6,$I$4:$I$103)</f>
        <v>0</v>
      </c>
    </row>
    <row r="7" spans="1:59" ht="14.5" customHeight="1" x14ac:dyDescent="0.3">
      <c r="A7" s="104" t="str">
        <f>'G-1 All Habitats'!B6</f>
        <v>Cropland - Arable field margins tussocky</v>
      </c>
      <c r="B7" s="88" t="str">
        <f>'G-1 All Habitats'!F6</f>
        <v>Cropland</v>
      </c>
      <c r="C7" s="88" t="str">
        <f>'G-1 All Habitats'!K6</f>
        <v>Medium</v>
      </c>
      <c r="D7" s="88" t="str">
        <f>'G-1 All Habitats'!M6</f>
        <v>Same broad habitat or a higher distinctiveness habitat required (≥)</v>
      </c>
      <c r="E7" s="494">
        <f>IF(C7="V.High",SUMIF('A-1 Site Habitat Baseline'!$G$11:$G$258,'G-2 Habitat groups'!A7,'A-1 Site Habitat Baseline'!$S$11:$S$258)+SUMIF('A-1 Site Habitat Baseline'!$G$11:$G$258,'G-2 Habitat groups'!A7,'A-1 Site Habitat Baseline'!$T$11:$T$258),SUMIF('A-1 Site Habitat Baseline'!$G$11:$G$258,'G-2 Habitat groups'!A7,'A-1 Site Habitat Baseline'!$H$11:$H$258))</f>
        <v>0</v>
      </c>
      <c r="F7" s="494">
        <f>SUMIF('A-1 Site Habitat Baseline'!$G$11:$G$258,'G-2 Habitat groups'!A7,'A-1 Site Habitat Baseline'!$Q$11:$Q$258)</f>
        <v>0</v>
      </c>
      <c r="G7" s="494">
        <f>SUMIF('A-1 Site Habitat Baseline'!$G$11:$G$258,'G-2 Habitat groups'!A7,'A-1 Site Habitat Baseline'!$S$11:$S$258)</f>
        <v>0</v>
      </c>
      <c r="H7" s="494">
        <f>SUMIF('A-1 Site Habitat Baseline'!$G$11:$G$258,'G-2 Habitat groups'!A7,'A-1 Site Habitat Baseline'!$U$11:$U$258)</f>
        <v>0</v>
      </c>
      <c r="I7" s="494">
        <f>SUMIF('A-1 Site Habitat Baseline'!$G$11:$G$258,'G-2 Habitat groups'!A7,'A-1 Site Habitat Baseline'!$W$11:$W$258)</f>
        <v>0</v>
      </c>
      <c r="J7" s="494">
        <f>SUMIF('A-1 Site Habitat Baseline'!$G$11:$G$258,'G-2 Habitat groups'!A7,'A-1 Site Habitat Baseline'!$X$11:$X$258)</f>
        <v>0</v>
      </c>
      <c r="K7" s="494">
        <f>SUMIF('A-2 Site Habitat Creation'!$F$11:$F$256,'G-2 Habitat groups'!A7,'A-2 Site Habitat Creation'!$G$11:$G$256)</f>
        <v>0</v>
      </c>
      <c r="L7" s="494">
        <f>SUMIF('A-2 Site Habitat Creation'!$F$11:$F$256,'G-2 Habitat groups'!A7,'A-2 Site Habitat Creation'!$Y$11:$Y$256)</f>
        <v>0</v>
      </c>
      <c r="M7" s="494">
        <f>SUMIF('A-3 Site Habitat Enhancement'!$S$12:$S$257,'G-2 Habitat groups'!A7,'A-3 Site Habitat Enhancement'!$V$12:$V$257)</f>
        <v>0</v>
      </c>
      <c r="N7" s="494">
        <f>SUMIF('A-3 Site Habitat Enhancement'!$S$12:$S$257,'G-2 Habitat groups'!A7,'A-3 Site Habitat Enhancement'!$AN$12:$AN$257)</f>
        <v>0</v>
      </c>
      <c r="O7" s="494">
        <f t="shared" si="0"/>
        <v>0</v>
      </c>
      <c r="P7" s="494">
        <f t="shared" si="1"/>
        <v>0</v>
      </c>
      <c r="Q7" s="494">
        <f t="shared" si="2"/>
        <v>0</v>
      </c>
      <c r="R7" s="494">
        <f t="shared" si="3"/>
        <v>0</v>
      </c>
      <c r="S7" s="494">
        <f>IF(C7="V.High",SUMIF('D-1 Off Site Habitat Baseline'!$G$11:$G$258,'G-2 Habitat groups'!A7,'D-1 Off Site Habitat Baseline'!$S$11:$S$258)+SUMIF('D-1 Off Site Habitat Baseline'!$G$11:$G$258,'G-2 Habitat groups'!A7,'D-1 Off Site Habitat Baseline'!$T$11:$T$258),SUMIF('D-1 Off Site Habitat Baseline'!$G$11:$G$258,'G-2 Habitat groups'!A7,'D-1 Off Site Habitat Baseline'!$H$11:$H$258))</f>
        <v>0</v>
      </c>
      <c r="T7" s="494">
        <f>SUMIF('D-1 Off Site Habitat Baseline'!$G$11:$G$258,'G-2 Habitat groups'!A7,'D-1 Off Site Habitat Baseline'!$Q$11:$Q$258)</f>
        <v>0</v>
      </c>
      <c r="U7" s="591">
        <f>SUMIF('D-1 Off Site Habitat Baseline'!$G$11:$G$258,'G-2 Habitat groups'!A7,'D-1 Off Site Habitat Baseline'!$S$11:$S$258)</f>
        <v>0</v>
      </c>
      <c r="V7" s="494">
        <f>SUMIF('D-1 Off Site Habitat Baseline'!$G$11:$G$258,'G-2 Habitat groups'!A7,'D-1 Off Site Habitat Baseline'!$U$11:$U$258)</f>
        <v>0</v>
      </c>
      <c r="W7" s="494">
        <f>SUMIF('D-2 Off Site Habitat Creation'!$F$9:$F$255,'G-2 Habitat groups'!A7,'D-2 Off Site Habitat Creation'!$G$9:$G$255)</f>
        <v>0</v>
      </c>
      <c r="X7" s="494">
        <f>SUMIF('D-2 Off Site Habitat Creation'!$F$9:$F$255,'G-2 Habitat groups'!A7,'D-2 Off Site Habitat Creation'!$AA$9:$AA$255)</f>
        <v>0</v>
      </c>
      <c r="Y7" s="494">
        <f>SUMIF('D-3 Off Site Habitat Enhancment'!$S$12:$S$491,'G-2 Habitat groups'!A7,'D-3 Off Site Habitat Enhancment'!$V$12:$V$491)</f>
        <v>0</v>
      </c>
      <c r="Z7" s="494">
        <f>SUMIF('D-3 Off Site Habitat Enhancment'!$S$12:$S$491,'G-2 Habitat groups'!A7,'D-3 Off Site Habitat Enhancment'!$AP$12:$AP$491)</f>
        <v>0</v>
      </c>
      <c r="AA7" s="494">
        <f t="shared" si="4"/>
        <v>0</v>
      </c>
      <c r="AB7" s="494">
        <f t="shared" si="5"/>
        <v>0</v>
      </c>
      <c r="AC7" s="494">
        <f t="shared" si="6"/>
        <v>0</v>
      </c>
      <c r="AD7" s="494">
        <f t="shared" si="7"/>
        <v>0</v>
      </c>
      <c r="AE7" s="494">
        <f t="shared" si="8"/>
        <v>0</v>
      </c>
      <c r="AF7" s="494">
        <f t="shared" si="9"/>
        <v>0</v>
      </c>
      <c r="AJ7" s="107" t="s">
        <v>72</v>
      </c>
      <c r="AK7" s="100">
        <f t="shared" si="10"/>
        <v>0</v>
      </c>
      <c r="AL7" s="100">
        <f t="shared" si="11"/>
        <v>0</v>
      </c>
      <c r="AM7" s="100">
        <f t="shared" si="12"/>
        <v>0</v>
      </c>
      <c r="AN7" s="100">
        <f t="shared" si="13"/>
        <v>0</v>
      </c>
      <c r="AO7" s="111">
        <f t="shared" si="14"/>
        <v>0</v>
      </c>
      <c r="AP7" s="111">
        <f t="shared" si="15"/>
        <v>0</v>
      </c>
      <c r="AU7" s="119" t="s">
        <v>470</v>
      </c>
      <c r="AV7" s="88" t="s">
        <v>70</v>
      </c>
      <c r="AW7" s="494">
        <f t="shared" si="16"/>
        <v>0</v>
      </c>
      <c r="AX7" s="494">
        <f t="shared" si="17"/>
        <v>0</v>
      </c>
      <c r="AY7" s="494">
        <f t="shared" si="18"/>
        <v>0</v>
      </c>
      <c r="AZ7" s="494">
        <f t="shared" si="19"/>
        <v>0</v>
      </c>
      <c r="BA7" s="494">
        <f t="shared" si="20"/>
        <v>0</v>
      </c>
      <c r="BB7" s="494">
        <f t="shared" si="21"/>
        <v>0</v>
      </c>
      <c r="BC7" s="494">
        <f t="shared" si="22"/>
        <v>0</v>
      </c>
      <c r="BD7" s="494">
        <f t="shared" si="23"/>
        <v>0</v>
      </c>
      <c r="BE7" s="494">
        <f t="shared" si="24"/>
        <v>0</v>
      </c>
      <c r="BF7" s="494" t="str">
        <f t="shared" si="25"/>
        <v/>
      </c>
      <c r="BG7" s="586">
        <f t="shared" si="26"/>
        <v>0</v>
      </c>
    </row>
    <row r="8" spans="1:59" ht="14.5" customHeight="1" x14ac:dyDescent="0.3">
      <c r="A8" s="104" t="str">
        <f>'G-1 All Habitats'!B7</f>
        <v>Cropland - Cereal crops</v>
      </c>
      <c r="B8" s="88" t="str">
        <f>'G-1 All Habitats'!F7</f>
        <v>Cropland</v>
      </c>
      <c r="C8" s="88" t="str">
        <f>'G-1 All Habitats'!K7</f>
        <v>Low</v>
      </c>
      <c r="D8" s="88" t="str">
        <f>'G-1 All Habitats'!M7</f>
        <v>Same distinctiveness or better habitat required ≥</v>
      </c>
      <c r="E8" s="494">
        <f>IF(C8="V.High",SUMIF('A-1 Site Habitat Baseline'!$G$11:$G$258,'G-2 Habitat groups'!A8,'A-1 Site Habitat Baseline'!$S$11:$S$258)+SUMIF('A-1 Site Habitat Baseline'!$G$11:$G$258,'G-2 Habitat groups'!A8,'A-1 Site Habitat Baseline'!$T$11:$T$258),SUMIF('A-1 Site Habitat Baseline'!$G$11:$G$258,'G-2 Habitat groups'!A8,'A-1 Site Habitat Baseline'!$H$11:$H$258))</f>
        <v>0</v>
      </c>
      <c r="F8" s="494">
        <f>SUMIF('A-1 Site Habitat Baseline'!$G$11:$G$258,'G-2 Habitat groups'!A8,'A-1 Site Habitat Baseline'!$Q$11:$Q$258)</f>
        <v>0</v>
      </c>
      <c r="G8" s="494">
        <f>SUMIF('A-1 Site Habitat Baseline'!$G$11:$G$258,'G-2 Habitat groups'!A8,'A-1 Site Habitat Baseline'!$S$11:$S$258)</f>
        <v>0</v>
      </c>
      <c r="H8" s="494">
        <f>SUMIF('A-1 Site Habitat Baseline'!$G$11:$G$258,'G-2 Habitat groups'!A8,'A-1 Site Habitat Baseline'!$U$11:$U$258)</f>
        <v>0</v>
      </c>
      <c r="I8" s="494">
        <f>SUMIF('A-1 Site Habitat Baseline'!$G$11:$G$258,'G-2 Habitat groups'!A8,'A-1 Site Habitat Baseline'!$W$11:$W$258)</f>
        <v>0</v>
      </c>
      <c r="J8" s="494">
        <f>SUMIF('A-1 Site Habitat Baseline'!$G$11:$G$258,'G-2 Habitat groups'!A8,'A-1 Site Habitat Baseline'!$X$11:$X$258)</f>
        <v>0</v>
      </c>
      <c r="K8" s="494">
        <f>SUMIF('A-2 Site Habitat Creation'!$F$11:$F$256,'G-2 Habitat groups'!A8,'A-2 Site Habitat Creation'!$G$11:$G$256)</f>
        <v>0</v>
      </c>
      <c r="L8" s="494">
        <f>SUMIF('A-2 Site Habitat Creation'!$F$11:$F$256,'G-2 Habitat groups'!A8,'A-2 Site Habitat Creation'!$Y$11:$Y$256)</f>
        <v>0</v>
      </c>
      <c r="M8" s="494">
        <f>SUMIF('A-3 Site Habitat Enhancement'!$S$12:$S$257,'G-2 Habitat groups'!A8,'A-3 Site Habitat Enhancement'!$V$12:$V$257)</f>
        <v>0</v>
      </c>
      <c r="N8" s="494">
        <f>SUMIF('A-3 Site Habitat Enhancement'!$S$12:$S$257,'G-2 Habitat groups'!A8,'A-3 Site Habitat Enhancement'!$AN$12:$AN$257)</f>
        <v>0</v>
      </c>
      <c r="O8" s="494">
        <f t="shared" si="0"/>
        <v>0</v>
      </c>
      <c r="P8" s="494">
        <f t="shared" si="1"/>
        <v>0</v>
      </c>
      <c r="Q8" s="494">
        <f t="shared" si="2"/>
        <v>0</v>
      </c>
      <c r="R8" s="494">
        <f t="shared" si="3"/>
        <v>0</v>
      </c>
      <c r="S8" s="494">
        <f>IF(C8="V.High",SUMIF('D-1 Off Site Habitat Baseline'!$G$11:$G$258,'G-2 Habitat groups'!A8,'D-1 Off Site Habitat Baseline'!$S$11:$S$258)+SUMIF('D-1 Off Site Habitat Baseline'!$G$11:$G$258,'G-2 Habitat groups'!A8,'D-1 Off Site Habitat Baseline'!$T$11:$T$258),SUMIF('D-1 Off Site Habitat Baseline'!$G$11:$G$258,'G-2 Habitat groups'!A8,'D-1 Off Site Habitat Baseline'!$H$11:$H$258))</f>
        <v>0</v>
      </c>
      <c r="T8" s="494">
        <f>SUMIF('D-1 Off Site Habitat Baseline'!$G$11:$G$258,'G-2 Habitat groups'!A8,'D-1 Off Site Habitat Baseline'!$Q$11:$Q$258)</f>
        <v>0</v>
      </c>
      <c r="U8" s="591">
        <f>SUMIF('D-1 Off Site Habitat Baseline'!$G$11:$G$258,'G-2 Habitat groups'!A8,'D-1 Off Site Habitat Baseline'!$S$11:$S$258)</f>
        <v>0</v>
      </c>
      <c r="V8" s="494">
        <f>SUMIF('D-1 Off Site Habitat Baseline'!$G$11:$G$258,'G-2 Habitat groups'!A8,'D-1 Off Site Habitat Baseline'!$U$11:$U$258)</f>
        <v>0</v>
      </c>
      <c r="W8" s="494">
        <f>SUMIF('D-2 Off Site Habitat Creation'!$F$9:$F$255,'G-2 Habitat groups'!A8,'D-2 Off Site Habitat Creation'!$G$9:$G$255)</f>
        <v>0</v>
      </c>
      <c r="X8" s="494">
        <f>SUMIF('D-2 Off Site Habitat Creation'!$F$9:$F$255,'G-2 Habitat groups'!A8,'D-2 Off Site Habitat Creation'!$AA$9:$AA$255)</f>
        <v>0</v>
      </c>
      <c r="Y8" s="494">
        <f>SUMIF('D-3 Off Site Habitat Enhancment'!$S$12:$S$491,'G-2 Habitat groups'!A8,'D-3 Off Site Habitat Enhancment'!$V$12:$V$491)</f>
        <v>0</v>
      </c>
      <c r="Z8" s="494">
        <f>SUMIF('D-3 Off Site Habitat Enhancment'!$S$12:$S$491,'G-2 Habitat groups'!A8,'D-3 Off Site Habitat Enhancment'!$AP$12:$AP$491)</f>
        <v>0</v>
      </c>
      <c r="AA8" s="494">
        <f t="shared" si="4"/>
        <v>0</v>
      </c>
      <c r="AB8" s="494">
        <f t="shared" si="5"/>
        <v>0</v>
      </c>
      <c r="AC8" s="494">
        <f t="shared" si="6"/>
        <v>0</v>
      </c>
      <c r="AD8" s="494">
        <f t="shared" si="7"/>
        <v>0</v>
      </c>
      <c r="AE8" s="494">
        <f t="shared" si="8"/>
        <v>0</v>
      </c>
      <c r="AF8" s="494">
        <f t="shared" si="9"/>
        <v>0</v>
      </c>
      <c r="AJ8" s="108" t="s">
        <v>73</v>
      </c>
      <c r="AK8" s="100">
        <f t="shared" si="10"/>
        <v>0</v>
      </c>
      <c r="AL8" s="100">
        <f t="shared" si="11"/>
        <v>0</v>
      </c>
      <c r="AM8" s="100">
        <f t="shared" si="12"/>
        <v>0</v>
      </c>
      <c r="AN8" s="100">
        <f t="shared" si="13"/>
        <v>0</v>
      </c>
      <c r="AO8" s="111">
        <f t="shared" si="14"/>
        <v>0</v>
      </c>
      <c r="AP8" s="111">
        <f t="shared" si="15"/>
        <v>0</v>
      </c>
      <c r="AU8" s="119" t="s">
        <v>500</v>
      </c>
      <c r="AV8" s="88" t="s">
        <v>71</v>
      </c>
      <c r="AW8" s="494">
        <f t="shared" si="16"/>
        <v>0</v>
      </c>
      <c r="AX8" s="494">
        <f t="shared" si="17"/>
        <v>0</v>
      </c>
      <c r="AY8" s="494">
        <f t="shared" si="18"/>
        <v>0</v>
      </c>
      <c r="AZ8" s="494">
        <f t="shared" si="19"/>
        <v>0</v>
      </c>
      <c r="BA8" s="494">
        <f t="shared" si="20"/>
        <v>0</v>
      </c>
      <c r="BB8" s="494">
        <f t="shared" si="21"/>
        <v>0</v>
      </c>
      <c r="BC8" s="494">
        <f t="shared" si="22"/>
        <v>0</v>
      </c>
      <c r="BD8" s="494">
        <f t="shared" si="23"/>
        <v>0</v>
      </c>
      <c r="BE8" s="494">
        <f t="shared" si="24"/>
        <v>0</v>
      </c>
      <c r="BF8" s="494" t="str">
        <f t="shared" si="25"/>
        <v/>
      </c>
      <c r="BG8" s="586">
        <f t="shared" si="26"/>
        <v>0</v>
      </c>
    </row>
    <row r="9" spans="1:59" ht="14.5" customHeight="1" x14ac:dyDescent="0.3">
      <c r="A9" s="104" t="str">
        <f>'G-1 All Habitats'!B8</f>
        <v>Cropland - Cereal crops winter stubble</v>
      </c>
      <c r="B9" s="88" t="str">
        <f>'G-1 All Habitats'!F8</f>
        <v>Cropland</v>
      </c>
      <c r="C9" s="88" t="str">
        <f>'G-1 All Habitats'!K8</f>
        <v>Low</v>
      </c>
      <c r="D9" s="88" t="str">
        <f>'G-1 All Habitats'!M8</f>
        <v>Same distinctiveness or better habitat required ≥</v>
      </c>
      <c r="E9" s="494">
        <f>IF(C9="V.High",SUMIF('A-1 Site Habitat Baseline'!$G$11:$G$258,'G-2 Habitat groups'!A9,'A-1 Site Habitat Baseline'!$S$11:$S$258)+SUMIF('A-1 Site Habitat Baseline'!$G$11:$G$258,'G-2 Habitat groups'!A9,'A-1 Site Habitat Baseline'!$T$11:$T$258),SUMIF('A-1 Site Habitat Baseline'!$G$11:$G$258,'G-2 Habitat groups'!A9,'A-1 Site Habitat Baseline'!$H$11:$H$258))</f>
        <v>0</v>
      </c>
      <c r="F9" s="494">
        <f>SUMIF('A-1 Site Habitat Baseline'!$G$11:$G$258,'G-2 Habitat groups'!A9,'A-1 Site Habitat Baseline'!$Q$11:$Q$258)</f>
        <v>0</v>
      </c>
      <c r="G9" s="494">
        <f>SUMIF('A-1 Site Habitat Baseline'!$G$11:$G$258,'G-2 Habitat groups'!A9,'A-1 Site Habitat Baseline'!$S$11:$S$258)</f>
        <v>0</v>
      </c>
      <c r="H9" s="494">
        <f>SUMIF('A-1 Site Habitat Baseline'!$G$11:$G$258,'G-2 Habitat groups'!A9,'A-1 Site Habitat Baseline'!$U$11:$U$258)</f>
        <v>0</v>
      </c>
      <c r="I9" s="494">
        <f>SUMIF('A-1 Site Habitat Baseline'!$G$11:$G$258,'G-2 Habitat groups'!A9,'A-1 Site Habitat Baseline'!$W$11:$W$258)</f>
        <v>0</v>
      </c>
      <c r="J9" s="494">
        <f>SUMIF('A-1 Site Habitat Baseline'!$G$11:$G$258,'G-2 Habitat groups'!A9,'A-1 Site Habitat Baseline'!$X$11:$X$258)</f>
        <v>0</v>
      </c>
      <c r="K9" s="494">
        <f>SUMIF('A-2 Site Habitat Creation'!$F$11:$F$256,'G-2 Habitat groups'!A9,'A-2 Site Habitat Creation'!$G$11:$G$256)</f>
        <v>0</v>
      </c>
      <c r="L9" s="494">
        <f>SUMIF('A-2 Site Habitat Creation'!$F$11:$F$256,'G-2 Habitat groups'!A9,'A-2 Site Habitat Creation'!$Y$11:$Y$256)</f>
        <v>0</v>
      </c>
      <c r="M9" s="494">
        <f>SUMIF('A-3 Site Habitat Enhancement'!$S$12:$S$257,'G-2 Habitat groups'!A9,'A-3 Site Habitat Enhancement'!$V$12:$V$257)</f>
        <v>0</v>
      </c>
      <c r="N9" s="494">
        <f>SUMIF('A-3 Site Habitat Enhancement'!$S$12:$S$257,'G-2 Habitat groups'!A9,'A-3 Site Habitat Enhancement'!$AN$12:$AN$257)</f>
        <v>0</v>
      </c>
      <c r="O9" s="494">
        <f t="shared" si="0"/>
        <v>0</v>
      </c>
      <c r="P9" s="494">
        <f t="shared" si="1"/>
        <v>0</v>
      </c>
      <c r="Q9" s="494">
        <f t="shared" si="2"/>
        <v>0</v>
      </c>
      <c r="R9" s="494">
        <f t="shared" si="3"/>
        <v>0</v>
      </c>
      <c r="S9" s="494">
        <f>IF(C9="V.High",SUMIF('D-1 Off Site Habitat Baseline'!$G$11:$G$258,'G-2 Habitat groups'!A9,'D-1 Off Site Habitat Baseline'!$S$11:$S$258)+SUMIF('D-1 Off Site Habitat Baseline'!$G$11:$G$258,'G-2 Habitat groups'!A9,'D-1 Off Site Habitat Baseline'!$T$11:$T$258),SUMIF('D-1 Off Site Habitat Baseline'!$G$11:$G$258,'G-2 Habitat groups'!A9,'D-1 Off Site Habitat Baseline'!$H$11:$H$258))</f>
        <v>0</v>
      </c>
      <c r="T9" s="494">
        <f>SUMIF('D-1 Off Site Habitat Baseline'!$G$11:$G$258,'G-2 Habitat groups'!A9,'D-1 Off Site Habitat Baseline'!$Q$11:$Q$258)</f>
        <v>0</v>
      </c>
      <c r="U9" s="591">
        <f>SUMIF('D-1 Off Site Habitat Baseline'!$G$11:$G$258,'G-2 Habitat groups'!A9,'D-1 Off Site Habitat Baseline'!$S$11:$S$258)</f>
        <v>0</v>
      </c>
      <c r="V9" s="494">
        <f>SUMIF('D-1 Off Site Habitat Baseline'!$G$11:$G$258,'G-2 Habitat groups'!A9,'D-1 Off Site Habitat Baseline'!$U$11:$U$258)</f>
        <v>0</v>
      </c>
      <c r="W9" s="494">
        <f>SUMIF('D-2 Off Site Habitat Creation'!$F$9:$F$255,'G-2 Habitat groups'!A9,'D-2 Off Site Habitat Creation'!$G$9:$G$255)</f>
        <v>0</v>
      </c>
      <c r="X9" s="494">
        <f>SUMIF('D-2 Off Site Habitat Creation'!$F$9:$F$255,'G-2 Habitat groups'!A9,'D-2 Off Site Habitat Creation'!$AA$9:$AA$255)</f>
        <v>0</v>
      </c>
      <c r="Y9" s="494">
        <f>SUMIF('D-3 Off Site Habitat Enhancment'!$S$12:$S$491,'G-2 Habitat groups'!A9,'D-3 Off Site Habitat Enhancment'!$V$12:$V$491)</f>
        <v>0</v>
      </c>
      <c r="Z9" s="494">
        <f>SUMIF('D-3 Off Site Habitat Enhancment'!$S$12:$S$491,'G-2 Habitat groups'!A9,'D-3 Off Site Habitat Enhancment'!$AP$12:$AP$491)</f>
        <v>0</v>
      </c>
      <c r="AA9" s="494">
        <f t="shared" si="4"/>
        <v>0</v>
      </c>
      <c r="AB9" s="494">
        <f t="shared" si="5"/>
        <v>0</v>
      </c>
      <c r="AC9" s="494">
        <f t="shared" si="6"/>
        <v>0</v>
      </c>
      <c r="AD9" s="494">
        <f t="shared" si="7"/>
        <v>0</v>
      </c>
      <c r="AE9" s="494">
        <f t="shared" si="8"/>
        <v>0</v>
      </c>
      <c r="AF9" s="494">
        <f t="shared" si="9"/>
        <v>0</v>
      </c>
      <c r="AJ9" s="107" t="s">
        <v>74</v>
      </c>
      <c r="AK9" s="100">
        <f t="shared" si="10"/>
        <v>1.547992</v>
      </c>
      <c r="AL9" s="100">
        <f t="shared" si="11"/>
        <v>3.4114740000000001</v>
      </c>
      <c r="AM9" s="100">
        <f t="shared" si="12"/>
        <v>1.7192000000000001</v>
      </c>
      <c r="AN9" s="100">
        <f t="shared" si="13"/>
        <v>1.1458074283902397</v>
      </c>
      <c r="AO9" s="111">
        <f t="shared" si="14"/>
        <v>0.17120800000000003</v>
      </c>
      <c r="AP9" s="111">
        <f t="shared" si="15"/>
        <v>-2.2656665716097604</v>
      </c>
      <c r="AU9" s="119" t="s">
        <v>518</v>
      </c>
      <c r="AV9" s="88" t="s">
        <v>72</v>
      </c>
      <c r="AW9" s="494">
        <f t="shared" ref="AW9:AW24" si="27">VLOOKUP($AU9,AllHabsSummaryData,5,FALSE)</f>
        <v>0</v>
      </c>
      <c r="AX9" s="494">
        <f t="shared" ref="AX9:AX24" si="28">VLOOKUP($AU9,AllHabsSummaryData,10,FALSE)</f>
        <v>0</v>
      </c>
      <c r="AY9" s="494">
        <f t="shared" ref="AY9:AY24" si="29">VLOOKUP($AU9,AllHabsSummaryData,15,FALSE)</f>
        <v>0</v>
      </c>
      <c r="AZ9" s="494">
        <f t="shared" ref="AZ9:AZ24" si="30">VLOOKUP($AU9,AllHabsSummaryData,16,FALSE)</f>
        <v>0</v>
      </c>
      <c r="BA9" s="494">
        <f t="shared" ref="BA9:BA24" si="31">VLOOKUP($AU9,AllHabsSummaryData,17,FALSE)</f>
        <v>0</v>
      </c>
      <c r="BB9" s="494">
        <f t="shared" ref="BB9:BB24" si="32">VLOOKUP($AU9,AllHabsSummaryData,18,FALSE)</f>
        <v>0</v>
      </c>
      <c r="BC9" s="494">
        <f t="shared" ref="BC9:BC24" si="33">VLOOKUP($AU9,AllHabsSummaryData,27,FALSE)</f>
        <v>0</v>
      </c>
      <c r="BD9" s="494">
        <f t="shared" ref="BD9:BD24" si="34">VLOOKUP($AU9,AllHabsSummaryData,30,FALSE)</f>
        <v>0</v>
      </c>
      <c r="BE9" s="494">
        <f t="shared" ref="BE9:BE24" si="35">BB9+BD9</f>
        <v>0</v>
      </c>
      <c r="BF9" s="494" t="str">
        <f t="shared" ref="BF9:BF24" si="36">IF(BE9&lt;0,BE9,"")</f>
        <v/>
      </c>
      <c r="BG9" s="586">
        <f t="shared" si="26"/>
        <v>0</v>
      </c>
    </row>
    <row r="10" spans="1:59" ht="15" customHeight="1" x14ac:dyDescent="0.3">
      <c r="A10" s="104" t="str">
        <f>'G-1 All Habitats'!B9</f>
        <v>Cropland - Horticulture</v>
      </c>
      <c r="B10" s="88" t="str">
        <f>'G-1 All Habitats'!F9</f>
        <v>Cropland</v>
      </c>
      <c r="C10" s="88" t="str">
        <f>'G-1 All Habitats'!K9</f>
        <v>Low</v>
      </c>
      <c r="D10" s="88" t="str">
        <f>'G-1 All Habitats'!M9</f>
        <v>Same distinctiveness or better habitat required ≥</v>
      </c>
      <c r="E10" s="494">
        <f>IF(C10="V.High",SUMIF('A-1 Site Habitat Baseline'!$G$11:$G$258,'G-2 Habitat groups'!A10,'A-1 Site Habitat Baseline'!$S$11:$S$258)+SUMIF('A-1 Site Habitat Baseline'!$G$11:$G$258,'G-2 Habitat groups'!A10,'A-1 Site Habitat Baseline'!$T$11:$T$258),SUMIF('A-1 Site Habitat Baseline'!$G$11:$G$258,'G-2 Habitat groups'!A10,'A-1 Site Habitat Baseline'!$H$11:$H$258))</f>
        <v>0</v>
      </c>
      <c r="F10" s="494">
        <f>SUMIF('A-1 Site Habitat Baseline'!$G$11:$G$258,'G-2 Habitat groups'!A10,'A-1 Site Habitat Baseline'!$Q$11:$Q$258)</f>
        <v>0</v>
      </c>
      <c r="G10" s="494">
        <f>SUMIF('A-1 Site Habitat Baseline'!$G$11:$G$258,'G-2 Habitat groups'!A10,'A-1 Site Habitat Baseline'!$S$11:$S$258)</f>
        <v>0</v>
      </c>
      <c r="H10" s="494">
        <f>SUMIF('A-1 Site Habitat Baseline'!$G$11:$G$258,'G-2 Habitat groups'!A10,'A-1 Site Habitat Baseline'!$U$11:$U$258)</f>
        <v>0</v>
      </c>
      <c r="I10" s="494">
        <f>SUMIF('A-1 Site Habitat Baseline'!$G$11:$G$258,'G-2 Habitat groups'!A10,'A-1 Site Habitat Baseline'!$W$11:$W$258)</f>
        <v>0</v>
      </c>
      <c r="J10" s="494">
        <f>SUMIF('A-1 Site Habitat Baseline'!$G$11:$G$258,'G-2 Habitat groups'!A10,'A-1 Site Habitat Baseline'!$X$11:$X$258)</f>
        <v>0</v>
      </c>
      <c r="K10" s="494">
        <f>SUMIF('A-2 Site Habitat Creation'!$F$11:$F$256,'G-2 Habitat groups'!A10,'A-2 Site Habitat Creation'!$G$11:$G$256)</f>
        <v>0</v>
      </c>
      <c r="L10" s="494">
        <f>SUMIF('A-2 Site Habitat Creation'!$F$11:$F$256,'G-2 Habitat groups'!A10,'A-2 Site Habitat Creation'!$Y$11:$Y$256)</f>
        <v>0</v>
      </c>
      <c r="M10" s="494">
        <f>SUMIF('A-3 Site Habitat Enhancement'!$S$12:$S$257,'G-2 Habitat groups'!A10,'A-3 Site Habitat Enhancement'!$V$12:$V$257)</f>
        <v>0</v>
      </c>
      <c r="N10" s="494">
        <f>SUMIF('A-3 Site Habitat Enhancement'!$S$12:$S$257,'G-2 Habitat groups'!A10,'A-3 Site Habitat Enhancement'!$AN$12:$AN$257)</f>
        <v>0</v>
      </c>
      <c r="O10" s="494">
        <f t="shared" si="0"/>
        <v>0</v>
      </c>
      <c r="P10" s="494">
        <f t="shared" si="1"/>
        <v>0</v>
      </c>
      <c r="Q10" s="494">
        <f t="shared" si="2"/>
        <v>0</v>
      </c>
      <c r="R10" s="494">
        <f t="shared" si="3"/>
        <v>0</v>
      </c>
      <c r="S10" s="494">
        <f>IF(C10="V.High",SUMIF('D-1 Off Site Habitat Baseline'!$G$11:$G$258,'G-2 Habitat groups'!A10,'D-1 Off Site Habitat Baseline'!$S$11:$S$258)+SUMIF('D-1 Off Site Habitat Baseline'!$G$11:$G$258,'G-2 Habitat groups'!A10,'D-1 Off Site Habitat Baseline'!$T$11:$T$258),SUMIF('D-1 Off Site Habitat Baseline'!$G$11:$G$258,'G-2 Habitat groups'!A10,'D-1 Off Site Habitat Baseline'!$H$11:$H$258))</f>
        <v>0</v>
      </c>
      <c r="T10" s="494">
        <f>SUMIF('D-1 Off Site Habitat Baseline'!$G$11:$G$258,'G-2 Habitat groups'!A10,'D-1 Off Site Habitat Baseline'!$Q$11:$Q$258)</f>
        <v>0</v>
      </c>
      <c r="U10" s="591">
        <f>SUMIF('D-1 Off Site Habitat Baseline'!$G$11:$G$258,'G-2 Habitat groups'!A10,'D-1 Off Site Habitat Baseline'!$S$11:$S$258)</f>
        <v>0</v>
      </c>
      <c r="V10" s="494">
        <f>SUMIF('D-1 Off Site Habitat Baseline'!$G$11:$G$258,'G-2 Habitat groups'!A10,'D-1 Off Site Habitat Baseline'!$U$11:$U$258)</f>
        <v>0</v>
      </c>
      <c r="W10" s="494">
        <f>SUMIF('D-2 Off Site Habitat Creation'!$F$9:$F$255,'G-2 Habitat groups'!A10,'D-2 Off Site Habitat Creation'!$G$9:$G$255)</f>
        <v>0</v>
      </c>
      <c r="X10" s="494">
        <f>SUMIF('D-2 Off Site Habitat Creation'!$F$9:$F$255,'G-2 Habitat groups'!A10,'D-2 Off Site Habitat Creation'!$AA$9:$AA$255)</f>
        <v>0</v>
      </c>
      <c r="Y10" s="494">
        <f>SUMIF('D-3 Off Site Habitat Enhancment'!$S$12:$S$491,'G-2 Habitat groups'!A10,'D-3 Off Site Habitat Enhancment'!$V$12:$V$491)</f>
        <v>0</v>
      </c>
      <c r="Z10" s="494">
        <f>SUMIF('D-3 Off Site Habitat Enhancment'!$S$12:$S$491,'G-2 Habitat groups'!A10,'D-3 Off Site Habitat Enhancment'!$AP$12:$AP$491)</f>
        <v>0</v>
      </c>
      <c r="AA10" s="494">
        <f t="shared" si="4"/>
        <v>0</v>
      </c>
      <c r="AB10" s="494">
        <f t="shared" si="5"/>
        <v>0</v>
      </c>
      <c r="AC10" s="494">
        <f t="shared" si="6"/>
        <v>0</v>
      </c>
      <c r="AD10" s="494">
        <f t="shared" si="7"/>
        <v>0</v>
      </c>
      <c r="AE10" s="494">
        <f t="shared" si="8"/>
        <v>0</v>
      </c>
      <c r="AF10" s="494">
        <f t="shared" si="9"/>
        <v>0</v>
      </c>
      <c r="AJ10" s="107" t="s">
        <v>75</v>
      </c>
      <c r="AK10" s="100">
        <f t="shared" si="10"/>
        <v>0</v>
      </c>
      <c r="AL10" s="100">
        <f t="shared" si="11"/>
        <v>0</v>
      </c>
      <c r="AM10" s="100">
        <f t="shared" si="12"/>
        <v>0</v>
      </c>
      <c r="AN10" s="100">
        <f t="shared" si="13"/>
        <v>0</v>
      </c>
      <c r="AO10" s="111">
        <f t="shared" si="14"/>
        <v>0</v>
      </c>
      <c r="AP10" s="111">
        <f t="shared" si="15"/>
        <v>0</v>
      </c>
      <c r="AU10" s="119" t="s">
        <v>554</v>
      </c>
      <c r="AV10" s="88" t="s">
        <v>73</v>
      </c>
      <c r="AW10" s="494">
        <f t="shared" si="27"/>
        <v>0</v>
      </c>
      <c r="AX10" s="494">
        <f t="shared" si="28"/>
        <v>0</v>
      </c>
      <c r="AY10" s="494">
        <f t="shared" si="29"/>
        <v>0</v>
      </c>
      <c r="AZ10" s="494">
        <f t="shared" si="30"/>
        <v>0</v>
      </c>
      <c r="BA10" s="494">
        <f t="shared" si="31"/>
        <v>0</v>
      </c>
      <c r="BB10" s="494">
        <f t="shared" si="32"/>
        <v>0</v>
      </c>
      <c r="BC10" s="494">
        <f t="shared" si="33"/>
        <v>0</v>
      </c>
      <c r="BD10" s="494">
        <f t="shared" si="34"/>
        <v>0</v>
      </c>
      <c r="BE10" s="494">
        <f t="shared" si="35"/>
        <v>0</v>
      </c>
      <c r="BF10" s="494" t="str">
        <f t="shared" si="36"/>
        <v/>
      </c>
      <c r="BG10" s="586">
        <f t="shared" si="26"/>
        <v>0</v>
      </c>
    </row>
    <row r="11" spans="1:59" ht="14.5" customHeight="1" x14ac:dyDescent="0.3">
      <c r="A11" s="104" t="str">
        <f>'G-1 All Habitats'!B10</f>
        <v>Cropland - Intensive orchards</v>
      </c>
      <c r="B11" s="88" t="str">
        <f>'G-1 All Habitats'!F10</f>
        <v>Cropland</v>
      </c>
      <c r="C11" s="88" t="str">
        <f>'G-1 All Habitats'!K10</f>
        <v>Low</v>
      </c>
      <c r="D11" s="88" t="str">
        <f>'G-1 All Habitats'!M10</f>
        <v>Same distinctiveness or better habitat required ≥</v>
      </c>
      <c r="E11" s="494">
        <f>IF(C11="V.High",SUMIF('A-1 Site Habitat Baseline'!$G$11:$G$258,'G-2 Habitat groups'!A11,'A-1 Site Habitat Baseline'!$S$11:$S$258)+SUMIF('A-1 Site Habitat Baseline'!$G$11:$G$258,'G-2 Habitat groups'!A11,'A-1 Site Habitat Baseline'!$T$11:$T$258),SUMIF('A-1 Site Habitat Baseline'!$G$11:$G$258,'G-2 Habitat groups'!A11,'A-1 Site Habitat Baseline'!$H$11:$H$258))</f>
        <v>0</v>
      </c>
      <c r="F11" s="494">
        <f>SUMIF('A-1 Site Habitat Baseline'!$G$11:$G$258,'G-2 Habitat groups'!A11,'A-1 Site Habitat Baseline'!$Q$11:$Q$258)</f>
        <v>0</v>
      </c>
      <c r="G11" s="494">
        <f>SUMIF('A-1 Site Habitat Baseline'!$G$11:$G$258,'G-2 Habitat groups'!A11,'A-1 Site Habitat Baseline'!$S$11:$S$258)</f>
        <v>0</v>
      </c>
      <c r="H11" s="494">
        <f>SUMIF('A-1 Site Habitat Baseline'!$G$11:$G$258,'G-2 Habitat groups'!A11,'A-1 Site Habitat Baseline'!$U$11:$U$258)</f>
        <v>0</v>
      </c>
      <c r="I11" s="494">
        <f>SUMIF('A-1 Site Habitat Baseline'!$G$11:$G$258,'G-2 Habitat groups'!A11,'A-1 Site Habitat Baseline'!$W$11:$W$258)</f>
        <v>0</v>
      </c>
      <c r="J11" s="494">
        <f>SUMIF('A-1 Site Habitat Baseline'!$G$11:$G$258,'G-2 Habitat groups'!A11,'A-1 Site Habitat Baseline'!$X$11:$X$258)</f>
        <v>0</v>
      </c>
      <c r="K11" s="494">
        <f>SUMIF('A-2 Site Habitat Creation'!$F$11:$F$256,'G-2 Habitat groups'!A11,'A-2 Site Habitat Creation'!$G$11:$G$256)</f>
        <v>0</v>
      </c>
      <c r="L11" s="494">
        <f>SUMIF('A-2 Site Habitat Creation'!$F$11:$F$256,'G-2 Habitat groups'!A11,'A-2 Site Habitat Creation'!$Y$11:$Y$256)</f>
        <v>0</v>
      </c>
      <c r="M11" s="494">
        <f>SUMIF('A-3 Site Habitat Enhancement'!$S$12:$S$257,'G-2 Habitat groups'!A11,'A-3 Site Habitat Enhancement'!$V$12:$V$257)</f>
        <v>0</v>
      </c>
      <c r="N11" s="494">
        <f>SUMIF('A-3 Site Habitat Enhancement'!$S$12:$S$257,'G-2 Habitat groups'!A11,'A-3 Site Habitat Enhancement'!$AN$12:$AN$257)</f>
        <v>0</v>
      </c>
      <c r="O11" s="494">
        <f t="shared" si="0"/>
        <v>0</v>
      </c>
      <c r="P11" s="494">
        <f t="shared" si="1"/>
        <v>0</v>
      </c>
      <c r="Q11" s="494">
        <f t="shared" si="2"/>
        <v>0</v>
      </c>
      <c r="R11" s="494">
        <f t="shared" si="3"/>
        <v>0</v>
      </c>
      <c r="S11" s="494">
        <f>IF(C11="V.High",SUMIF('D-1 Off Site Habitat Baseline'!$G$11:$G$258,'G-2 Habitat groups'!A11,'D-1 Off Site Habitat Baseline'!$S$11:$S$258)+SUMIF('D-1 Off Site Habitat Baseline'!$G$11:$G$258,'G-2 Habitat groups'!A11,'D-1 Off Site Habitat Baseline'!$T$11:$T$258),SUMIF('D-1 Off Site Habitat Baseline'!$G$11:$G$258,'G-2 Habitat groups'!A11,'D-1 Off Site Habitat Baseline'!$H$11:$H$258))</f>
        <v>0</v>
      </c>
      <c r="T11" s="494">
        <f>SUMIF('D-1 Off Site Habitat Baseline'!$G$11:$G$258,'G-2 Habitat groups'!A11,'D-1 Off Site Habitat Baseline'!$Q$11:$Q$258)</f>
        <v>0</v>
      </c>
      <c r="U11" s="591">
        <f>SUMIF('D-1 Off Site Habitat Baseline'!$G$11:$G$258,'G-2 Habitat groups'!A11,'D-1 Off Site Habitat Baseline'!$S$11:$S$258)</f>
        <v>0</v>
      </c>
      <c r="V11" s="494">
        <f>SUMIF('D-1 Off Site Habitat Baseline'!$G$11:$G$258,'G-2 Habitat groups'!A11,'D-1 Off Site Habitat Baseline'!$U$11:$U$258)</f>
        <v>0</v>
      </c>
      <c r="W11" s="494">
        <f>SUMIF('D-2 Off Site Habitat Creation'!$F$9:$F$255,'G-2 Habitat groups'!A11,'D-2 Off Site Habitat Creation'!$G$9:$G$255)</f>
        <v>0</v>
      </c>
      <c r="X11" s="494">
        <f>SUMIF('D-2 Off Site Habitat Creation'!$F$9:$F$255,'G-2 Habitat groups'!A11,'D-2 Off Site Habitat Creation'!$AA$9:$AA$255)</f>
        <v>0</v>
      </c>
      <c r="Y11" s="494">
        <f>SUMIF('D-3 Off Site Habitat Enhancment'!$S$12:$S$491,'G-2 Habitat groups'!A11,'D-3 Off Site Habitat Enhancment'!$V$12:$V$491)</f>
        <v>0</v>
      </c>
      <c r="Z11" s="494">
        <f>SUMIF('D-3 Off Site Habitat Enhancment'!$S$12:$S$491,'G-2 Habitat groups'!A11,'D-3 Off Site Habitat Enhancment'!$AP$12:$AP$491)</f>
        <v>0</v>
      </c>
      <c r="AA11" s="494">
        <f t="shared" si="4"/>
        <v>0</v>
      </c>
      <c r="AB11" s="494">
        <f t="shared" si="5"/>
        <v>0</v>
      </c>
      <c r="AC11" s="494">
        <f t="shared" si="6"/>
        <v>0</v>
      </c>
      <c r="AD11" s="494">
        <f t="shared" si="7"/>
        <v>0</v>
      </c>
      <c r="AE11" s="494">
        <f t="shared" si="8"/>
        <v>0</v>
      </c>
      <c r="AF11" s="494">
        <f t="shared" si="9"/>
        <v>0</v>
      </c>
      <c r="AJ11" s="109" t="s">
        <v>76</v>
      </c>
      <c r="AK11" s="100">
        <f t="shared" si="10"/>
        <v>0.109844</v>
      </c>
      <c r="AL11" s="100">
        <f t="shared" si="11"/>
        <v>0.75792359999999992</v>
      </c>
      <c r="AM11" s="100" t="e">
        <f t="shared" si="12"/>
        <v>#N/A</v>
      </c>
      <c r="AN11" s="100">
        <f t="shared" si="13"/>
        <v>1.0751435915166687</v>
      </c>
      <c r="AO11" s="111" t="e">
        <f t="shared" si="14"/>
        <v>#N/A</v>
      </c>
      <c r="AP11" s="111">
        <f t="shared" si="15"/>
        <v>0.3172199915166688</v>
      </c>
      <c r="AU11" s="119" t="s">
        <v>574</v>
      </c>
      <c r="AV11" s="88" t="s">
        <v>73</v>
      </c>
      <c r="AW11" s="494">
        <f t="shared" si="27"/>
        <v>0</v>
      </c>
      <c r="AX11" s="494">
        <f t="shared" si="28"/>
        <v>0</v>
      </c>
      <c r="AY11" s="494">
        <f t="shared" si="29"/>
        <v>0</v>
      </c>
      <c r="AZ11" s="494">
        <f t="shared" si="30"/>
        <v>0</v>
      </c>
      <c r="BA11" s="494">
        <f t="shared" si="31"/>
        <v>0</v>
      </c>
      <c r="BB11" s="494">
        <f t="shared" si="32"/>
        <v>0</v>
      </c>
      <c r="BC11" s="494">
        <f t="shared" si="33"/>
        <v>0</v>
      </c>
      <c r="BD11" s="494">
        <f t="shared" si="34"/>
        <v>0</v>
      </c>
      <c r="BE11" s="494">
        <f t="shared" si="35"/>
        <v>0</v>
      </c>
      <c r="BF11" s="494" t="str">
        <f t="shared" si="36"/>
        <v/>
      </c>
      <c r="BG11" s="586">
        <f t="shared" si="26"/>
        <v>0</v>
      </c>
    </row>
    <row r="12" spans="1:59" ht="14.5" customHeight="1" x14ac:dyDescent="0.3">
      <c r="A12" s="104" t="str">
        <f>'G-1 All Habitats'!B11</f>
        <v>Cropland - Non-cereal crops</v>
      </c>
      <c r="B12" s="88" t="str">
        <f>'G-1 All Habitats'!F11</f>
        <v>Cropland</v>
      </c>
      <c r="C12" s="88" t="str">
        <f>'G-1 All Habitats'!K11</f>
        <v>Low</v>
      </c>
      <c r="D12" s="88" t="str">
        <f>'G-1 All Habitats'!M11</f>
        <v>Same distinctiveness or better habitat required ≥</v>
      </c>
      <c r="E12" s="494">
        <f>IF(C12="V.High",SUMIF('A-1 Site Habitat Baseline'!$G$11:$G$258,'G-2 Habitat groups'!A12,'A-1 Site Habitat Baseline'!$S$11:$S$258)+SUMIF('A-1 Site Habitat Baseline'!$G$11:$G$258,'G-2 Habitat groups'!A12,'A-1 Site Habitat Baseline'!$T$11:$T$258),SUMIF('A-1 Site Habitat Baseline'!$G$11:$G$258,'G-2 Habitat groups'!A12,'A-1 Site Habitat Baseline'!$H$11:$H$258))</f>
        <v>0</v>
      </c>
      <c r="F12" s="494">
        <f>SUMIF('A-1 Site Habitat Baseline'!$G$11:$G$258,'G-2 Habitat groups'!A12,'A-1 Site Habitat Baseline'!$Q$11:$Q$258)</f>
        <v>0</v>
      </c>
      <c r="G12" s="494">
        <f>SUMIF('A-1 Site Habitat Baseline'!$G$11:$G$258,'G-2 Habitat groups'!A12,'A-1 Site Habitat Baseline'!$S$11:$S$258)</f>
        <v>0</v>
      </c>
      <c r="H12" s="494">
        <f>SUMIF('A-1 Site Habitat Baseline'!$G$11:$G$258,'G-2 Habitat groups'!A12,'A-1 Site Habitat Baseline'!$U$11:$U$258)</f>
        <v>0</v>
      </c>
      <c r="I12" s="494">
        <f>SUMIF('A-1 Site Habitat Baseline'!$G$11:$G$258,'G-2 Habitat groups'!A12,'A-1 Site Habitat Baseline'!$W$11:$W$258)</f>
        <v>0</v>
      </c>
      <c r="J12" s="494">
        <f>SUMIF('A-1 Site Habitat Baseline'!$G$11:$G$258,'G-2 Habitat groups'!A12,'A-1 Site Habitat Baseline'!$X$11:$X$258)</f>
        <v>0</v>
      </c>
      <c r="K12" s="494">
        <f>SUMIF('A-2 Site Habitat Creation'!$F$11:$F$256,'G-2 Habitat groups'!A12,'A-2 Site Habitat Creation'!$G$11:$G$256)</f>
        <v>0</v>
      </c>
      <c r="L12" s="494">
        <f>SUMIF('A-2 Site Habitat Creation'!$F$11:$F$256,'G-2 Habitat groups'!A12,'A-2 Site Habitat Creation'!$Y$11:$Y$256)</f>
        <v>0</v>
      </c>
      <c r="M12" s="494">
        <f>SUMIF('A-3 Site Habitat Enhancement'!$S$12:$S$257,'G-2 Habitat groups'!A12,'A-3 Site Habitat Enhancement'!$V$12:$V$257)</f>
        <v>0</v>
      </c>
      <c r="N12" s="494">
        <f>SUMIF('A-3 Site Habitat Enhancement'!$S$12:$S$257,'G-2 Habitat groups'!A12,'A-3 Site Habitat Enhancement'!$AN$12:$AN$257)</f>
        <v>0</v>
      </c>
      <c r="O12" s="494">
        <f t="shared" si="0"/>
        <v>0</v>
      </c>
      <c r="P12" s="494">
        <f t="shared" si="1"/>
        <v>0</v>
      </c>
      <c r="Q12" s="494">
        <f t="shared" si="2"/>
        <v>0</v>
      </c>
      <c r="R12" s="494">
        <f t="shared" si="3"/>
        <v>0</v>
      </c>
      <c r="S12" s="494">
        <f>IF(C12="V.High",SUMIF('D-1 Off Site Habitat Baseline'!$G$11:$G$258,'G-2 Habitat groups'!A12,'D-1 Off Site Habitat Baseline'!$S$11:$S$258)+SUMIF('D-1 Off Site Habitat Baseline'!$G$11:$G$258,'G-2 Habitat groups'!A12,'D-1 Off Site Habitat Baseline'!$T$11:$T$258),SUMIF('D-1 Off Site Habitat Baseline'!$G$11:$G$258,'G-2 Habitat groups'!A12,'D-1 Off Site Habitat Baseline'!$H$11:$H$258))</f>
        <v>0</v>
      </c>
      <c r="T12" s="494">
        <f>SUMIF('D-1 Off Site Habitat Baseline'!$G$11:$G$258,'G-2 Habitat groups'!A12,'D-1 Off Site Habitat Baseline'!$Q$11:$Q$258)</f>
        <v>0</v>
      </c>
      <c r="U12" s="591">
        <f>SUMIF('D-1 Off Site Habitat Baseline'!$G$11:$G$258,'G-2 Habitat groups'!A12,'D-1 Off Site Habitat Baseline'!$S$11:$S$258)</f>
        <v>0</v>
      </c>
      <c r="V12" s="494">
        <f>SUMIF('D-1 Off Site Habitat Baseline'!$G$11:$G$258,'G-2 Habitat groups'!A12,'D-1 Off Site Habitat Baseline'!$U$11:$U$258)</f>
        <v>0</v>
      </c>
      <c r="W12" s="494">
        <f>SUMIF('D-2 Off Site Habitat Creation'!$F$9:$F$255,'G-2 Habitat groups'!A12,'D-2 Off Site Habitat Creation'!$G$9:$G$255)</f>
        <v>0</v>
      </c>
      <c r="X12" s="494">
        <f>SUMIF('D-2 Off Site Habitat Creation'!$F$9:$F$255,'G-2 Habitat groups'!A12,'D-2 Off Site Habitat Creation'!$AA$9:$AA$255)</f>
        <v>0</v>
      </c>
      <c r="Y12" s="494">
        <f>SUMIF('D-3 Off Site Habitat Enhancment'!$S$12:$S$491,'G-2 Habitat groups'!A12,'D-3 Off Site Habitat Enhancment'!$V$12:$V$491)</f>
        <v>0</v>
      </c>
      <c r="Z12" s="494">
        <f>SUMIF('D-3 Off Site Habitat Enhancment'!$S$12:$S$491,'G-2 Habitat groups'!A12,'D-3 Off Site Habitat Enhancment'!$AP$12:$AP$491)</f>
        <v>0</v>
      </c>
      <c r="AA12" s="494">
        <f t="shared" si="4"/>
        <v>0</v>
      </c>
      <c r="AB12" s="494">
        <f t="shared" si="5"/>
        <v>0</v>
      </c>
      <c r="AC12" s="494">
        <f t="shared" si="6"/>
        <v>0</v>
      </c>
      <c r="AD12" s="494">
        <f t="shared" si="7"/>
        <v>0</v>
      </c>
      <c r="AE12" s="494">
        <f t="shared" si="8"/>
        <v>0</v>
      </c>
      <c r="AF12" s="494">
        <f t="shared" si="9"/>
        <v>0</v>
      </c>
      <c r="AJ12" s="109" t="s">
        <v>77</v>
      </c>
      <c r="AK12" s="100">
        <f t="shared" si="10"/>
        <v>0</v>
      </c>
      <c r="AL12" s="100">
        <f t="shared" si="11"/>
        <v>0</v>
      </c>
      <c r="AM12" s="100">
        <f t="shared" si="12"/>
        <v>0</v>
      </c>
      <c r="AN12" s="100">
        <f t="shared" si="13"/>
        <v>0</v>
      </c>
      <c r="AO12" s="111">
        <f t="shared" si="14"/>
        <v>0</v>
      </c>
      <c r="AP12" s="111">
        <f t="shared" si="15"/>
        <v>0</v>
      </c>
      <c r="AU12" s="119" t="s">
        <v>641</v>
      </c>
      <c r="AV12" s="88" t="s">
        <v>75</v>
      </c>
      <c r="AW12" s="494">
        <f t="shared" si="27"/>
        <v>0</v>
      </c>
      <c r="AX12" s="494">
        <f t="shared" si="28"/>
        <v>0</v>
      </c>
      <c r="AY12" s="494">
        <f t="shared" si="29"/>
        <v>0</v>
      </c>
      <c r="AZ12" s="494">
        <f t="shared" si="30"/>
        <v>0</v>
      </c>
      <c r="BA12" s="494">
        <f t="shared" si="31"/>
        <v>0</v>
      </c>
      <c r="BB12" s="494">
        <f t="shared" si="32"/>
        <v>0</v>
      </c>
      <c r="BC12" s="494">
        <f t="shared" si="33"/>
        <v>0</v>
      </c>
      <c r="BD12" s="494">
        <f t="shared" si="34"/>
        <v>0</v>
      </c>
      <c r="BE12" s="494">
        <f t="shared" si="35"/>
        <v>0</v>
      </c>
      <c r="BF12" s="494" t="str">
        <f t="shared" si="36"/>
        <v/>
      </c>
      <c r="BG12" s="586">
        <f t="shared" si="26"/>
        <v>0</v>
      </c>
    </row>
    <row r="13" spans="1:59" ht="14.5" customHeight="1" x14ac:dyDescent="0.3">
      <c r="A13" s="104" t="str">
        <f>'G-1 All Habitats'!B12</f>
        <v>Cropland - Temporary grass and clover leys</v>
      </c>
      <c r="B13" s="88" t="str">
        <f>'G-1 All Habitats'!F12</f>
        <v>Cropland</v>
      </c>
      <c r="C13" s="88" t="str">
        <f>'G-1 All Habitats'!K12</f>
        <v>Low</v>
      </c>
      <c r="D13" s="88" t="str">
        <f>'G-1 All Habitats'!M12</f>
        <v>Same distinctiveness or better habitat required ≥</v>
      </c>
      <c r="E13" s="494">
        <f>IF(C13="V.High",SUMIF('A-1 Site Habitat Baseline'!$G$11:$G$258,'G-2 Habitat groups'!A13,'A-1 Site Habitat Baseline'!$S$11:$S$258)+SUMIF('A-1 Site Habitat Baseline'!$G$11:$G$258,'G-2 Habitat groups'!A13,'A-1 Site Habitat Baseline'!$T$11:$T$258),SUMIF('A-1 Site Habitat Baseline'!$G$11:$G$258,'G-2 Habitat groups'!A13,'A-1 Site Habitat Baseline'!$H$11:$H$258))</f>
        <v>0</v>
      </c>
      <c r="F13" s="494">
        <f>SUMIF('A-1 Site Habitat Baseline'!$G$11:$G$258,'G-2 Habitat groups'!A13,'A-1 Site Habitat Baseline'!$Q$11:$Q$258)</f>
        <v>0</v>
      </c>
      <c r="G13" s="494">
        <f>SUMIF('A-1 Site Habitat Baseline'!$G$11:$G$258,'G-2 Habitat groups'!A13,'A-1 Site Habitat Baseline'!$S$11:$S$258)</f>
        <v>0</v>
      </c>
      <c r="H13" s="494">
        <f>SUMIF('A-1 Site Habitat Baseline'!$G$11:$G$258,'G-2 Habitat groups'!A13,'A-1 Site Habitat Baseline'!$U$11:$U$258)</f>
        <v>0</v>
      </c>
      <c r="I13" s="494">
        <f>SUMIF('A-1 Site Habitat Baseline'!$G$11:$G$258,'G-2 Habitat groups'!A13,'A-1 Site Habitat Baseline'!$W$11:$W$258)</f>
        <v>0</v>
      </c>
      <c r="J13" s="494">
        <f>SUMIF('A-1 Site Habitat Baseline'!$G$11:$G$258,'G-2 Habitat groups'!A13,'A-1 Site Habitat Baseline'!$X$11:$X$258)</f>
        <v>0</v>
      </c>
      <c r="K13" s="494">
        <f>SUMIF('A-2 Site Habitat Creation'!$F$11:$F$256,'G-2 Habitat groups'!A13,'A-2 Site Habitat Creation'!$G$11:$G$256)</f>
        <v>0</v>
      </c>
      <c r="L13" s="494">
        <f>SUMIF('A-2 Site Habitat Creation'!$F$11:$F$256,'G-2 Habitat groups'!A13,'A-2 Site Habitat Creation'!$Y$11:$Y$256)</f>
        <v>0</v>
      </c>
      <c r="M13" s="494">
        <f>SUMIF('A-3 Site Habitat Enhancement'!$S$12:$S$257,'G-2 Habitat groups'!A13,'A-3 Site Habitat Enhancement'!$V$12:$V$257)</f>
        <v>0</v>
      </c>
      <c r="N13" s="494">
        <f>SUMIF('A-3 Site Habitat Enhancement'!$S$12:$S$257,'G-2 Habitat groups'!A13,'A-3 Site Habitat Enhancement'!$AN$12:$AN$257)</f>
        <v>0</v>
      </c>
      <c r="O13" s="494">
        <f t="shared" si="0"/>
        <v>0</v>
      </c>
      <c r="P13" s="494">
        <f t="shared" si="1"/>
        <v>0</v>
      </c>
      <c r="Q13" s="494">
        <f t="shared" si="2"/>
        <v>0</v>
      </c>
      <c r="R13" s="494">
        <f t="shared" si="3"/>
        <v>0</v>
      </c>
      <c r="S13" s="494">
        <f>IF(C13="V.High",SUMIF('D-1 Off Site Habitat Baseline'!$G$11:$G$258,'G-2 Habitat groups'!A13,'D-1 Off Site Habitat Baseline'!$S$11:$S$258)+SUMIF('D-1 Off Site Habitat Baseline'!$G$11:$G$258,'G-2 Habitat groups'!A13,'D-1 Off Site Habitat Baseline'!$T$11:$T$258),SUMIF('D-1 Off Site Habitat Baseline'!$G$11:$G$258,'G-2 Habitat groups'!A13,'D-1 Off Site Habitat Baseline'!$H$11:$H$258))</f>
        <v>0</v>
      </c>
      <c r="T13" s="494">
        <f>SUMIF('D-1 Off Site Habitat Baseline'!$G$11:$G$258,'G-2 Habitat groups'!A13,'D-1 Off Site Habitat Baseline'!$Q$11:$Q$258)</f>
        <v>0</v>
      </c>
      <c r="U13" s="591">
        <f>SUMIF('D-1 Off Site Habitat Baseline'!$G$11:$G$258,'G-2 Habitat groups'!A13,'D-1 Off Site Habitat Baseline'!$S$11:$S$258)</f>
        <v>0</v>
      </c>
      <c r="V13" s="494">
        <f>SUMIF('D-1 Off Site Habitat Baseline'!$G$11:$G$258,'G-2 Habitat groups'!A13,'D-1 Off Site Habitat Baseline'!$U$11:$U$258)</f>
        <v>0</v>
      </c>
      <c r="W13" s="494">
        <f>SUMIF('D-2 Off Site Habitat Creation'!$F$9:$F$255,'G-2 Habitat groups'!A13,'D-2 Off Site Habitat Creation'!$G$9:$G$255)</f>
        <v>0</v>
      </c>
      <c r="X13" s="494">
        <f>SUMIF('D-2 Off Site Habitat Creation'!$F$9:$F$255,'G-2 Habitat groups'!A13,'D-2 Off Site Habitat Creation'!$AA$9:$AA$255)</f>
        <v>0</v>
      </c>
      <c r="Y13" s="494">
        <f>SUMIF('D-3 Off Site Habitat Enhancment'!$S$12:$S$491,'G-2 Habitat groups'!A13,'D-3 Off Site Habitat Enhancment'!$V$12:$V$491)</f>
        <v>0</v>
      </c>
      <c r="Z13" s="494">
        <f>SUMIF('D-3 Off Site Habitat Enhancment'!$S$12:$S$491,'G-2 Habitat groups'!A13,'D-3 Off Site Habitat Enhancment'!$AP$12:$AP$491)</f>
        <v>0</v>
      </c>
      <c r="AA13" s="494">
        <f t="shared" si="4"/>
        <v>0</v>
      </c>
      <c r="AB13" s="494">
        <f t="shared" si="5"/>
        <v>0</v>
      </c>
      <c r="AC13" s="494">
        <f t="shared" si="6"/>
        <v>0</v>
      </c>
      <c r="AD13" s="494">
        <f t="shared" si="7"/>
        <v>0</v>
      </c>
      <c r="AE13" s="494">
        <f t="shared" si="8"/>
        <v>0</v>
      </c>
      <c r="AF13" s="494">
        <f t="shared" si="9"/>
        <v>0</v>
      </c>
      <c r="AJ13" s="110" t="s">
        <v>78</v>
      </c>
      <c r="AK13" s="100">
        <f t="shared" si="10"/>
        <v>0</v>
      </c>
      <c r="AL13" s="100">
        <f t="shared" si="11"/>
        <v>0</v>
      </c>
      <c r="AM13" s="100">
        <f t="shared" si="12"/>
        <v>0</v>
      </c>
      <c r="AN13" s="100">
        <f t="shared" si="13"/>
        <v>0</v>
      </c>
      <c r="AO13" s="111">
        <f t="shared" si="14"/>
        <v>0</v>
      </c>
      <c r="AP13" s="111">
        <f t="shared" si="15"/>
        <v>0</v>
      </c>
      <c r="AU13" s="119" t="s">
        <v>645</v>
      </c>
      <c r="AV13" s="88" t="s">
        <v>75</v>
      </c>
      <c r="AW13" s="494">
        <f t="shared" si="27"/>
        <v>0</v>
      </c>
      <c r="AX13" s="494">
        <f t="shared" si="28"/>
        <v>0</v>
      </c>
      <c r="AY13" s="494">
        <f t="shared" si="29"/>
        <v>0</v>
      </c>
      <c r="AZ13" s="494">
        <f t="shared" si="30"/>
        <v>0</v>
      </c>
      <c r="BA13" s="494">
        <f t="shared" si="31"/>
        <v>0</v>
      </c>
      <c r="BB13" s="494">
        <f t="shared" si="32"/>
        <v>0</v>
      </c>
      <c r="BC13" s="494">
        <f t="shared" si="33"/>
        <v>0</v>
      </c>
      <c r="BD13" s="494">
        <f t="shared" si="34"/>
        <v>0</v>
      </c>
      <c r="BE13" s="494">
        <f t="shared" si="35"/>
        <v>0</v>
      </c>
      <c r="BF13" s="494" t="str">
        <f t="shared" si="36"/>
        <v/>
      </c>
      <c r="BG13" s="586">
        <f t="shared" si="26"/>
        <v>0</v>
      </c>
    </row>
    <row r="14" spans="1:59" ht="14.5" customHeight="1" x14ac:dyDescent="0.3">
      <c r="A14" s="104" t="str">
        <f>'G-1 All Habitats'!B13</f>
        <v>Grassland - Traditional orchards</v>
      </c>
      <c r="B14" s="88" t="str">
        <f>'G-1 All Habitats'!F13</f>
        <v>Grassland</v>
      </c>
      <c r="C14" s="88" t="str">
        <f>'G-1 All Habitats'!K13</f>
        <v>High</v>
      </c>
      <c r="D14" s="88" t="str">
        <f>'G-1 All Habitats'!M13</f>
        <v>Same habitat required =</v>
      </c>
      <c r="E14" s="494">
        <f>IF(C14="V.High",SUMIF('A-1 Site Habitat Baseline'!$G$11:$G$258,'G-2 Habitat groups'!A14,'A-1 Site Habitat Baseline'!$S$11:$S$258)+SUMIF('A-1 Site Habitat Baseline'!$G$11:$G$258,'G-2 Habitat groups'!A14,'A-1 Site Habitat Baseline'!$T$11:$T$258),SUMIF('A-1 Site Habitat Baseline'!$G$11:$G$258,'G-2 Habitat groups'!A14,'A-1 Site Habitat Baseline'!$H$11:$H$258))</f>
        <v>0</v>
      </c>
      <c r="F14" s="494">
        <f>SUMIF('A-1 Site Habitat Baseline'!$G$11:$G$258,'G-2 Habitat groups'!A14,'A-1 Site Habitat Baseline'!$Q$11:$Q$258)</f>
        <v>0</v>
      </c>
      <c r="G14" s="494">
        <f>SUMIF('A-1 Site Habitat Baseline'!$G$11:$G$258,'G-2 Habitat groups'!A14,'A-1 Site Habitat Baseline'!$S$11:$S$258)</f>
        <v>0</v>
      </c>
      <c r="H14" s="494">
        <f>SUMIF('A-1 Site Habitat Baseline'!$G$11:$G$258,'G-2 Habitat groups'!A14,'A-1 Site Habitat Baseline'!$U$11:$U$258)</f>
        <v>0</v>
      </c>
      <c r="I14" s="494">
        <f>SUMIF('A-1 Site Habitat Baseline'!$G$11:$G$258,'G-2 Habitat groups'!A14,'A-1 Site Habitat Baseline'!$W$11:$W$258)</f>
        <v>0</v>
      </c>
      <c r="J14" s="494">
        <f>SUMIF('A-1 Site Habitat Baseline'!$G$11:$G$258,'G-2 Habitat groups'!A14,'A-1 Site Habitat Baseline'!$X$11:$X$258)</f>
        <v>0</v>
      </c>
      <c r="K14" s="494">
        <f>SUMIF('A-2 Site Habitat Creation'!$F$11:$F$256,'G-2 Habitat groups'!A14,'A-2 Site Habitat Creation'!$G$11:$G$256)</f>
        <v>0</v>
      </c>
      <c r="L14" s="494">
        <f>SUMIF('A-2 Site Habitat Creation'!$F$11:$F$256,'G-2 Habitat groups'!A14,'A-2 Site Habitat Creation'!$Y$11:$Y$256)</f>
        <v>0</v>
      </c>
      <c r="M14" s="494">
        <f>SUMIF('A-3 Site Habitat Enhancement'!$S$12:$S$257,'G-2 Habitat groups'!A14,'A-3 Site Habitat Enhancement'!$V$12:$V$257)</f>
        <v>0</v>
      </c>
      <c r="N14" s="494">
        <f>SUMIF('A-3 Site Habitat Enhancement'!$S$12:$S$257,'G-2 Habitat groups'!A14,'A-3 Site Habitat Enhancement'!$AN$12:$AN$257)</f>
        <v>0</v>
      </c>
      <c r="O14" s="494">
        <f t="shared" si="0"/>
        <v>0</v>
      </c>
      <c r="P14" s="494">
        <f t="shared" si="1"/>
        <v>0</v>
      </c>
      <c r="Q14" s="494">
        <f t="shared" si="2"/>
        <v>0</v>
      </c>
      <c r="R14" s="494">
        <f t="shared" si="3"/>
        <v>0</v>
      </c>
      <c r="S14" s="494">
        <f>IF(C14="V.High",SUMIF('D-1 Off Site Habitat Baseline'!$G$11:$G$258,'G-2 Habitat groups'!A14,'D-1 Off Site Habitat Baseline'!$S$11:$S$258)+SUMIF('D-1 Off Site Habitat Baseline'!$G$11:$G$258,'G-2 Habitat groups'!A14,'D-1 Off Site Habitat Baseline'!$T$11:$T$258),SUMIF('D-1 Off Site Habitat Baseline'!$G$11:$G$258,'G-2 Habitat groups'!A14,'D-1 Off Site Habitat Baseline'!$H$11:$H$258))</f>
        <v>0</v>
      </c>
      <c r="T14" s="494">
        <f>SUMIF('D-1 Off Site Habitat Baseline'!$G$11:$G$258,'G-2 Habitat groups'!A14,'D-1 Off Site Habitat Baseline'!$Q$11:$Q$258)</f>
        <v>0</v>
      </c>
      <c r="U14" s="591">
        <f>SUMIF('D-1 Off Site Habitat Baseline'!$G$11:$G$258,'G-2 Habitat groups'!A14,'D-1 Off Site Habitat Baseline'!$S$11:$S$258)</f>
        <v>0</v>
      </c>
      <c r="V14" s="494">
        <f>SUMIF('D-1 Off Site Habitat Baseline'!$G$11:$G$258,'G-2 Habitat groups'!A14,'D-1 Off Site Habitat Baseline'!$U$11:$U$258)</f>
        <v>0</v>
      </c>
      <c r="W14" s="494">
        <f>SUMIF('D-2 Off Site Habitat Creation'!$F$9:$F$255,'G-2 Habitat groups'!A14,'D-2 Off Site Habitat Creation'!$G$9:$G$255)</f>
        <v>0</v>
      </c>
      <c r="X14" s="494">
        <f>SUMIF('D-2 Off Site Habitat Creation'!$F$9:$F$255,'G-2 Habitat groups'!A14,'D-2 Off Site Habitat Creation'!$AA$9:$AA$255)</f>
        <v>0</v>
      </c>
      <c r="Y14" s="494">
        <f>SUMIF('D-3 Off Site Habitat Enhancment'!$S$12:$S$491,'G-2 Habitat groups'!A14,'D-3 Off Site Habitat Enhancment'!$V$12:$V$491)</f>
        <v>0</v>
      </c>
      <c r="Z14" s="494">
        <f>SUMIF('D-3 Off Site Habitat Enhancment'!$S$12:$S$491,'G-2 Habitat groups'!A14,'D-3 Off Site Habitat Enhancment'!$AP$12:$AP$491)</f>
        <v>0</v>
      </c>
      <c r="AA14" s="494">
        <f t="shared" si="4"/>
        <v>0</v>
      </c>
      <c r="AB14" s="494">
        <f t="shared" si="5"/>
        <v>0</v>
      </c>
      <c r="AC14" s="494">
        <f t="shared" si="6"/>
        <v>0</v>
      </c>
      <c r="AD14" s="494">
        <f t="shared" si="7"/>
        <v>0</v>
      </c>
      <c r="AE14" s="494">
        <f t="shared" si="8"/>
        <v>0</v>
      </c>
      <c r="AF14" s="494">
        <f t="shared" si="9"/>
        <v>0</v>
      </c>
      <c r="AJ14" s="110" t="s">
        <v>79</v>
      </c>
      <c r="AK14" s="100">
        <f t="shared" si="10"/>
        <v>0</v>
      </c>
      <c r="AL14" s="100">
        <f t="shared" si="11"/>
        <v>0</v>
      </c>
      <c r="AM14" s="100">
        <f t="shared" si="12"/>
        <v>0</v>
      </c>
      <c r="AN14" s="100">
        <f t="shared" si="13"/>
        <v>0</v>
      </c>
      <c r="AO14" s="111">
        <f t="shared" si="14"/>
        <v>0</v>
      </c>
      <c r="AP14" s="111">
        <f t="shared" si="15"/>
        <v>0</v>
      </c>
      <c r="AU14" s="119" t="s">
        <v>649</v>
      </c>
      <c r="AV14" s="88" t="s">
        <v>75</v>
      </c>
      <c r="AW14" s="494">
        <f t="shared" si="27"/>
        <v>0</v>
      </c>
      <c r="AX14" s="494">
        <f t="shared" si="28"/>
        <v>0</v>
      </c>
      <c r="AY14" s="494">
        <f t="shared" si="29"/>
        <v>0</v>
      </c>
      <c r="AZ14" s="494">
        <f t="shared" si="30"/>
        <v>0</v>
      </c>
      <c r="BA14" s="494">
        <f t="shared" si="31"/>
        <v>0</v>
      </c>
      <c r="BB14" s="494">
        <f t="shared" si="32"/>
        <v>0</v>
      </c>
      <c r="BC14" s="494">
        <f t="shared" si="33"/>
        <v>0</v>
      </c>
      <c r="BD14" s="494">
        <f t="shared" si="34"/>
        <v>0</v>
      </c>
      <c r="BE14" s="494">
        <f t="shared" si="35"/>
        <v>0</v>
      </c>
      <c r="BF14" s="494" t="str">
        <f t="shared" si="36"/>
        <v/>
      </c>
      <c r="BG14" s="586">
        <f t="shared" si="26"/>
        <v>0</v>
      </c>
    </row>
    <row r="15" spans="1:59" x14ac:dyDescent="0.3">
      <c r="A15" s="104" t="str">
        <f>'G-1 All Habitats'!B14</f>
        <v>Grassland - Bracken</v>
      </c>
      <c r="B15" s="88" t="str">
        <f>'G-1 All Habitats'!F14</f>
        <v>Grassland</v>
      </c>
      <c r="C15" s="88" t="str">
        <f>'G-1 All Habitats'!K14</f>
        <v>Low</v>
      </c>
      <c r="D15" s="88" t="str">
        <f>'G-1 All Habitats'!M14</f>
        <v>Same distinctiveness or better habitat required ≥</v>
      </c>
      <c r="E15" s="494">
        <f>IF(C15="V.High",SUMIF('A-1 Site Habitat Baseline'!$G$11:$G$258,'G-2 Habitat groups'!A15,'A-1 Site Habitat Baseline'!$S$11:$S$258)+SUMIF('A-1 Site Habitat Baseline'!$G$11:$G$258,'G-2 Habitat groups'!A15,'A-1 Site Habitat Baseline'!$T$11:$T$258),SUMIF('A-1 Site Habitat Baseline'!$G$11:$G$258,'G-2 Habitat groups'!A15,'A-1 Site Habitat Baseline'!$H$11:$H$258))</f>
        <v>0</v>
      </c>
      <c r="F15" s="494">
        <f>SUMIF('A-1 Site Habitat Baseline'!$G$11:$G$258,'G-2 Habitat groups'!A15,'A-1 Site Habitat Baseline'!$Q$11:$Q$258)</f>
        <v>0</v>
      </c>
      <c r="G15" s="494">
        <f>SUMIF('A-1 Site Habitat Baseline'!$G$11:$G$258,'G-2 Habitat groups'!A15,'A-1 Site Habitat Baseline'!$S$11:$S$258)</f>
        <v>0</v>
      </c>
      <c r="H15" s="494">
        <f>SUMIF('A-1 Site Habitat Baseline'!$G$11:$G$258,'G-2 Habitat groups'!A15,'A-1 Site Habitat Baseline'!$U$11:$U$258)</f>
        <v>0</v>
      </c>
      <c r="I15" s="494">
        <f>SUMIF('A-1 Site Habitat Baseline'!$G$11:$G$258,'G-2 Habitat groups'!A15,'A-1 Site Habitat Baseline'!$W$11:$W$258)</f>
        <v>0</v>
      </c>
      <c r="J15" s="494">
        <f>SUMIF('A-1 Site Habitat Baseline'!$G$11:$G$258,'G-2 Habitat groups'!A15,'A-1 Site Habitat Baseline'!$X$11:$X$258)</f>
        <v>0</v>
      </c>
      <c r="K15" s="494">
        <f>SUMIF('A-2 Site Habitat Creation'!$F$11:$F$256,'G-2 Habitat groups'!A15,'A-2 Site Habitat Creation'!$G$11:$G$256)</f>
        <v>0</v>
      </c>
      <c r="L15" s="494">
        <f>SUMIF('A-2 Site Habitat Creation'!$F$11:$F$256,'G-2 Habitat groups'!A15,'A-2 Site Habitat Creation'!$Y$11:$Y$256)</f>
        <v>0</v>
      </c>
      <c r="M15" s="494">
        <f>SUMIF('A-3 Site Habitat Enhancement'!$S$12:$S$257,'G-2 Habitat groups'!A15,'A-3 Site Habitat Enhancement'!$V$12:$V$257)</f>
        <v>0</v>
      </c>
      <c r="N15" s="494">
        <f>SUMIF('A-3 Site Habitat Enhancement'!$S$12:$S$257,'G-2 Habitat groups'!A15,'A-3 Site Habitat Enhancement'!$AN$12:$AN$257)</f>
        <v>0</v>
      </c>
      <c r="O15" s="494">
        <f t="shared" si="0"/>
        <v>0</v>
      </c>
      <c r="P15" s="494">
        <f t="shared" si="1"/>
        <v>0</v>
      </c>
      <c r="Q15" s="494">
        <f t="shared" si="2"/>
        <v>0</v>
      </c>
      <c r="R15" s="494">
        <f t="shared" si="3"/>
        <v>0</v>
      </c>
      <c r="S15" s="494">
        <f>IF(C15="V.High",SUMIF('D-1 Off Site Habitat Baseline'!$G$11:$G$258,'G-2 Habitat groups'!A15,'D-1 Off Site Habitat Baseline'!$S$11:$S$258)+SUMIF('D-1 Off Site Habitat Baseline'!$G$11:$G$258,'G-2 Habitat groups'!A15,'D-1 Off Site Habitat Baseline'!$T$11:$T$258),SUMIF('D-1 Off Site Habitat Baseline'!$G$11:$G$258,'G-2 Habitat groups'!A15,'D-1 Off Site Habitat Baseline'!$H$11:$H$258))</f>
        <v>0</v>
      </c>
      <c r="T15" s="494">
        <f>SUMIF('D-1 Off Site Habitat Baseline'!$G$11:$G$258,'G-2 Habitat groups'!A15,'D-1 Off Site Habitat Baseline'!$Q$11:$Q$258)</f>
        <v>0</v>
      </c>
      <c r="U15" s="591">
        <f>SUMIF('D-1 Off Site Habitat Baseline'!$G$11:$G$258,'G-2 Habitat groups'!A15,'D-1 Off Site Habitat Baseline'!$S$11:$S$258)</f>
        <v>0</v>
      </c>
      <c r="V15" s="494">
        <f>SUMIF('D-1 Off Site Habitat Baseline'!$G$11:$G$258,'G-2 Habitat groups'!A15,'D-1 Off Site Habitat Baseline'!$U$11:$U$258)</f>
        <v>0</v>
      </c>
      <c r="W15" s="494">
        <f>SUMIF('D-2 Off Site Habitat Creation'!$F$9:$F$255,'G-2 Habitat groups'!A15,'D-2 Off Site Habitat Creation'!$G$9:$G$255)</f>
        <v>0</v>
      </c>
      <c r="X15" s="494">
        <f>SUMIF('D-2 Off Site Habitat Creation'!$F$9:$F$255,'G-2 Habitat groups'!A15,'D-2 Off Site Habitat Creation'!$AA$9:$AA$255)</f>
        <v>0</v>
      </c>
      <c r="Y15" s="494">
        <f>SUMIF('D-3 Off Site Habitat Enhancment'!$S$12:$S$491,'G-2 Habitat groups'!A15,'D-3 Off Site Habitat Enhancment'!$V$12:$V$491)</f>
        <v>0</v>
      </c>
      <c r="Z15" s="494">
        <f>SUMIF('D-3 Off Site Habitat Enhancment'!$S$12:$S$491,'G-2 Habitat groups'!A15,'D-3 Off Site Habitat Enhancment'!$AP$12:$AP$491)</f>
        <v>0</v>
      </c>
      <c r="AA15" s="494">
        <f t="shared" si="4"/>
        <v>0</v>
      </c>
      <c r="AB15" s="494">
        <f t="shared" si="5"/>
        <v>0</v>
      </c>
      <c r="AC15" s="494">
        <f t="shared" si="6"/>
        <v>0</v>
      </c>
      <c r="AD15" s="494">
        <f t="shared" si="7"/>
        <v>0</v>
      </c>
      <c r="AE15" s="494">
        <f t="shared" si="8"/>
        <v>0</v>
      </c>
      <c r="AF15" s="494">
        <f t="shared" si="9"/>
        <v>0</v>
      </c>
      <c r="AJ15" s="109" t="s">
        <v>80</v>
      </c>
      <c r="AK15" s="100">
        <f t="shared" si="10"/>
        <v>0</v>
      </c>
      <c r="AL15" s="100">
        <f t="shared" si="11"/>
        <v>0</v>
      </c>
      <c r="AM15" s="100">
        <f t="shared" si="12"/>
        <v>0</v>
      </c>
      <c r="AN15" s="100">
        <f t="shared" si="13"/>
        <v>0</v>
      </c>
      <c r="AO15" s="111">
        <f t="shared" si="14"/>
        <v>0</v>
      </c>
      <c r="AP15" s="111">
        <f t="shared" si="15"/>
        <v>0</v>
      </c>
      <c r="AU15" s="119" t="s">
        <v>655</v>
      </c>
      <c r="AV15" s="88" t="s">
        <v>75</v>
      </c>
      <c r="AW15" s="494">
        <f t="shared" si="27"/>
        <v>0</v>
      </c>
      <c r="AX15" s="494">
        <f t="shared" si="28"/>
        <v>0</v>
      </c>
      <c r="AY15" s="494">
        <f t="shared" si="29"/>
        <v>0</v>
      </c>
      <c r="AZ15" s="494">
        <f t="shared" si="30"/>
        <v>0</v>
      </c>
      <c r="BA15" s="494">
        <f t="shared" si="31"/>
        <v>0</v>
      </c>
      <c r="BB15" s="494">
        <f t="shared" si="32"/>
        <v>0</v>
      </c>
      <c r="BC15" s="494">
        <f t="shared" si="33"/>
        <v>0</v>
      </c>
      <c r="BD15" s="494">
        <f t="shared" si="34"/>
        <v>0</v>
      </c>
      <c r="BE15" s="494">
        <f t="shared" si="35"/>
        <v>0</v>
      </c>
      <c r="BF15" s="494" t="str">
        <f t="shared" si="36"/>
        <v/>
      </c>
      <c r="BG15" s="586">
        <f t="shared" si="26"/>
        <v>0</v>
      </c>
    </row>
    <row r="16" spans="1:59" x14ac:dyDescent="0.3">
      <c r="A16" s="104" t="str">
        <f>'G-1 All Habitats'!B15</f>
        <v>Grassland - Floodplain Wetland Mosaic (CFGM)</v>
      </c>
      <c r="B16" s="88" t="str">
        <f>'G-1 All Habitats'!F15</f>
        <v>Grassland</v>
      </c>
      <c r="C16" s="88" t="str">
        <f>'G-1 All Habitats'!K15</f>
        <v>High</v>
      </c>
      <c r="D16" s="88" t="str">
        <f>'G-1 All Habitats'!M15</f>
        <v>Same habitat required =</v>
      </c>
      <c r="E16" s="494">
        <f>IF(C16="V.High",SUMIF('A-1 Site Habitat Baseline'!$G$11:$G$258,'G-2 Habitat groups'!A16,'A-1 Site Habitat Baseline'!$S$11:$S$258)+SUMIF('A-1 Site Habitat Baseline'!$G$11:$G$258,'G-2 Habitat groups'!A16,'A-1 Site Habitat Baseline'!$T$11:$T$258),SUMIF('A-1 Site Habitat Baseline'!$G$11:$G$258,'G-2 Habitat groups'!A16,'A-1 Site Habitat Baseline'!$H$11:$H$258))</f>
        <v>0</v>
      </c>
      <c r="F16" s="494">
        <f>SUMIF('A-1 Site Habitat Baseline'!$G$11:$G$258,'G-2 Habitat groups'!A16,'A-1 Site Habitat Baseline'!$Q$11:$Q$258)</f>
        <v>0</v>
      </c>
      <c r="G16" s="494">
        <f>SUMIF('A-1 Site Habitat Baseline'!$G$11:$G$258,'G-2 Habitat groups'!A16,'A-1 Site Habitat Baseline'!$S$11:$S$258)</f>
        <v>0</v>
      </c>
      <c r="H16" s="494">
        <f>SUMIF('A-1 Site Habitat Baseline'!$G$11:$G$258,'G-2 Habitat groups'!A16,'A-1 Site Habitat Baseline'!$U$11:$U$258)</f>
        <v>0</v>
      </c>
      <c r="I16" s="494">
        <f>SUMIF('A-1 Site Habitat Baseline'!$G$11:$G$258,'G-2 Habitat groups'!A16,'A-1 Site Habitat Baseline'!$W$11:$W$258)</f>
        <v>0</v>
      </c>
      <c r="J16" s="494">
        <f>SUMIF('A-1 Site Habitat Baseline'!$G$11:$G$258,'G-2 Habitat groups'!A16,'A-1 Site Habitat Baseline'!$X$11:$X$258)</f>
        <v>0</v>
      </c>
      <c r="K16" s="494">
        <f>SUMIF('A-2 Site Habitat Creation'!$F$11:$F$256,'G-2 Habitat groups'!A16,'A-2 Site Habitat Creation'!$G$11:$G$256)</f>
        <v>0</v>
      </c>
      <c r="L16" s="494">
        <f>SUMIF('A-2 Site Habitat Creation'!$F$11:$F$256,'G-2 Habitat groups'!A16,'A-2 Site Habitat Creation'!$Y$11:$Y$256)</f>
        <v>0</v>
      </c>
      <c r="M16" s="494">
        <f>SUMIF('A-3 Site Habitat Enhancement'!$S$12:$S$257,'G-2 Habitat groups'!A16,'A-3 Site Habitat Enhancement'!$V$12:$V$257)</f>
        <v>0</v>
      </c>
      <c r="N16" s="494">
        <f>SUMIF('A-3 Site Habitat Enhancement'!$S$12:$S$257,'G-2 Habitat groups'!A16,'A-3 Site Habitat Enhancement'!$AN$12:$AN$257)</f>
        <v>0</v>
      </c>
      <c r="O16" s="494">
        <f t="shared" si="0"/>
        <v>0</v>
      </c>
      <c r="P16" s="494">
        <f t="shared" si="1"/>
        <v>0</v>
      </c>
      <c r="Q16" s="494">
        <f t="shared" si="2"/>
        <v>0</v>
      </c>
      <c r="R16" s="494">
        <f t="shared" si="3"/>
        <v>0</v>
      </c>
      <c r="S16" s="494">
        <f>IF(C16="V.High",SUMIF('D-1 Off Site Habitat Baseline'!$G$11:$G$258,'G-2 Habitat groups'!A16,'D-1 Off Site Habitat Baseline'!$S$11:$S$258)+SUMIF('D-1 Off Site Habitat Baseline'!$G$11:$G$258,'G-2 Habitat groups'!A16,'D-1 Off Site Habitat Baseline'!$T$11:$T$258),SUMIF('D-1 Off Site Habitat Baseline'!$G$11:$G$258,'G-2 Habitat groups'!A16,'D-1 Off Site Habitat Baseline'!$H$11:$H$258))</f>
        <v>0</v>
      </c>
      <c r="T16" s="494">
        <f>SUMIF('D-1 Off Site Habitat Baseline'!$G$11:$G$258,'G-2 Habitat groups'!A16,'D-1 Off Site Habitat Baseline'!$Q$11:$Q$258)</f>
        <v>0</v>
      </c>
      <c r="U16" s="591">
        <f>SUMIF('D-1 Off Site Habitat Baseline'!$G$11:$G$258,'G-2 Habitat groups'!A16,'D-1 Off Site Habitat Baseline'!$S$11:$S$258)</f>
        <v>0</v>
      </c>
      <c r="V16" s="494">
        <f>SUMIF('D-1 Off Site Habitat Baseline'!$G$11:$G$258,'G-2 Habitat groups'!A16,'D-1 Off Site Habitat Baseline'!$U$11:$U$258)</f>
        <v>0</v>
      </c>
      <c r="W16" s="494">
        <f>SUMIF('D-2 Off Site Habitat Creation'!$F$9:$F$255,'G-2 Habitat groups'!A16,'D-2 Off Site Habitat Creation'!$G$9:$G$255)</f>
        <v>0</v>
      </c>
      <c r="X16" s="494">
        <f>SUMIF('D-2 Off Site Habitat Creation'!$F$9:$F$255,'G-2 Habitat groups'!A16,'D-2 Off Site Habitat Creation'!$AA$9:$AA$255)</f>
        <v>0</v>
      </c>
      <c r="Y16" s="494">
        <f>SUMIF('D-3 Off Site Habitat Enhancment'!$S$12:$S$491,'G-2 Habitat groups'!A16,'D-3 Off Site Habitat Enhancment'!$V$12:$V$491)</f>
        <v>0</v>
      </c>
      <c r="Z16" s="494">
        <f>SUMIF('D-3 Off Site Habitat Enhancment'!$S$12:$S$491,'G-2 Habitat groups'!A16,'D-3 Off Site Habitat Enhancment'!$AP$12:$AP$491)</f>
        <v>0</v>
      </c>
      <c r="AA16" s="494">
        <f t="shared" si="4"/>
        <v>0</v>
      </c>
      <c r="AB16" s="494">
        <f t="shared" si="5"/>
        <v>0</v>
      </c>
      <c r="AC16" s="494">
        <f t="shared" si="6"/>
        <v>0</v>
      </c>
      <c r="AD16" s="494">
        <f t="shared" si="7"/>
        <v>0</v>
      </c>
      <c r="AE16" s="494">
        <f t="shared" si="8"/>
        <v>0</v>
      </c>
      <c r="AF16" s="494">
        <f t="shared" si="9"/>
        <v>0</v>
      </c>
      <c r="AJ16" s="109" t="s">
        <v>81</v>
      </c>
      <c r="AK16" s="100">
        <f t="shared" si="10"/>
        <v>0</v>
      </c>
      <c r="AL16" s="100">
        <f t="shared" si="11"/>
        <v>0</v>
      </c>
      <c r="AM16" s="100">
        <f t="shared" si="12"/>
        <v>0</v>
      </c>
      <c r="AN16" s="100">
        <f t="shared" si="13"/>
        <v>0</v>
      </c>
      <c r="AO16" s="111">
        <f t="shared" si="14"/>
        <v>0</v>
      </c>
      <c r="AP16" s="111">
        <f t="shared" si="15"/>
        <v>0</v>
      </c>
      <c r="AU16" s="119" t="s">
        <v>658</v>
      </c>
      <c r="AV16" s="88" t="s">
        <v>75</v>
      </c>
      <c r="AW16" s="494">
        <f t="shared" si="27"/>
        <v>0</v>
      </c>
      <c r="AX16" s="494">
        <f t="shared" si="28"/>
        <v>0</v>
      </c>
      <c r="AY16" s="494">
        <f t="shared" si="29"/>
        <v>0</v>
      </c>
      <c r="AZ16" s="494">
        <f t="shared" si="30"/>
        <v>0</v>
      </c>
      <c r="BA16" s="494">
        <f t="shared" si="31"/>
        <v>0</v>
      </c>
      <c r="BB16" s="494">
        <f t="shared" si="32"/>
        <v>0</v>
      </c>
      <c r="BC16" s="494">
        <f t="shared" si="33"/>
        <v>0</v>
      </c>
      <c r="BD16" s="494">
        <f t="shared" si="34"/>
        <v>0</v>
      </c>
      <c r="BE16" s="494">
        <f t="shared" si="35"/>
        <v>0</v>
      </c>
      <c r="BF16" s="494" t="str">
        <f t="shared" si="36"/>
        <v/>
      </c>
      <c r="BG16" s="586">
        <f t="shared" si="26"/>
        <v>0</v>
      </c>
    </row>
    <row r="17" spans="1:59" x14ac:dyDescent="0.3">
      <c r="A17" s="104" t="str">
        <f>'G-1 All Habitats'!B16</f>
        <v>Grassland - Lowland calcareous grassland</v>
      </c>
      <c r="B17" s="88" t="str">
        <f>'G-1 All Habitats'!F16</f>
        <v>Grassland</v>
      </c>
      <c r="C17" s="88" t="str">
        <f>'G-1 All Habitats'!K16</f>
        <v>High</v>
      </c>
      <c r="D17" s="88" t="str">
        <f>'G-1 All Habitats'!M16</f>
        <v>Same habitat required =</v>
      </c>
      <c r="E17" s="494">
        <f>IF(C17="V.High",SUMIF('A-1 Site Habitat Baseline'!$G$11:$G$258,'G-2 Habitat groups'!A17,'A-1 Site Habitat Baseline'!$S$11:$S$258)+SUMIF('A-1 Site Habitat Baseline'!$G$11:$G$258,'G-2 Habitat groups'!A17,'A-1 Site Habitat Baseline'!$T$11:$T$258),SUMIF('A-1 Site Habitat Baseline'!$G$11:$G$258,'G-2 Habitat groups'!A17,'A-1 Site Habitat Baseline'!$H$11:$H$258))</f>
        <v>0</v>
      </c>
      <c r="F17" s="494">
        <f>SUMIF('A-1 Site Habitat Baseline'!$G$11:$G$258,'G-2 Habitat groups'!A17,'A-1 Site Habitat Baseline'!$Q$11:$Q$258)</f>
        <v>0</v>
      </c>
      <c r="G17" s="494">
        <f>SUMIF('A-1 Site Habitat Baseline'!$G$11:$G$258,'G-2 Habitat groups'!A17,'A-1 Site Habitat Baseline'!$S$11:$S$258)</f>
        <v>0</v>
      </c>
      <c r="H17" s="494">
        <f>SUMIF('A-1 Site Habitat Baseline'!$G$11:$G$258,'G-2 Habitat groups'!A17,'A-1 Site Habitat Baseline'!$U$11:$U$258)</f>
        <v>0</v>
      </c>
      <c r="I17" s="494">
        <f>SUMIF('A-1 Site Habitat Baseline'!$G$11:$G$258,'G-2 Habitat groups'!A17,'A-1 Site Habitat Baseline'!$W$11:$W$258)</f>
        <v>0</v>
      </c>
      <c r="J17" s="494">
        <f>SUMIF('A-1 Site Habitat Baseline'!$G$11:$G$258,'G-2 Habitat groups'!A17,'A-1 Site Habitat Baseline'!$X$11:$X$258)</f>
        <v>0</v>
      </c>
      <c r="K17" s="494">
        <f>SUMIF('A-2 Site Habitat Creation'!$F$11:$F$256,'G-2 Habitat groups'!A17,'A-2 Site Habitat Creation'!$G$11:$G$256)</f>
        <v>0</v>
      </c>
      <c r="L17" s="494">
        <f>SUMIF('A-2 Site Habitat Creation'!$F$11:$F$256,'G-2 Habitat groups'!A17,'A-2 Site Habitat Creation'!$Y$11:$Y$256)</f>
        <v>0</v>
      </c>
      <c r="M17" s="494">
        <f>SUMIF('A-3 Site Habitat Enhancement'!$S$12:$S$257,'G-2 Habitat groups'!A17,'A-3 Site Habitat Enhancement'!$V$12:$V$257)</f>
        <v>0</v>
      </c>
      <c r="N17" s="494">
        <f>SUMIF('A-3 Site Habitat Enhancement'!$S$12:$S$257,'G-2 Habitat groups'!A17,'A-3 Site Habitat Enhancement'!$AN$12:$AN$257)</f>
        <v>0</v>
      </c>
      <c r="O17" s="494">
        <f t="shared" si="0"/>
        <v>0</v>
      </c>
      <c r="P17" s="494">
        <f t="shared" si="1"/>
        <v>0</v>
      </c>
      <c r="Q17" s="494">
        <f t="shared" si="2"/>
        <v>0</v>
      </c>
      <c r="R17" s="494">
        <f t="shared" si="3"/>
        <v>0</v>
      </c>
      <c r="S17" s="494">
        <f>IF(C17="V.High",SUMIF('D-1 Off Site Habitat Baseline'!$G$11:$G$258,'G-2 Habitat groups'!A17,'D-1 Off Site Habitat Baseline'!$S$11:$S$258)+SUMIF('D-1 Off Site Habitat Baseline'!$G$11:$G$258,'G-2 Habitat groups'!A17,'D-1 Off Site Habitat Baseline'!$T$11:$T$258),SUMIF('D-1 Off Site Habitat Baseline'!$G$11:$G$258,'G-2 Habitat groups'!A17,'D-1 Off Site Habitat Baseline'!$H$11:$H$258))</f>
        <v>0</v>
      </c>
      <c r="T17" s="494">
        <f>SUMIF('D-1 Off Site Habitat Baseline'!$G$11:$G$258,'G-2 Habitat groups'!A17,'D-1 Off Site Habitat Baseline'!$Q$11:$Q$258)</f>
        <v>0</v>
      </c>
      <c r="U17" s="591">
        <f>SUMIF('D-1 Off Site Habitat Baseline'!$G$11:$G$258,'G-2 Habitat groups'!A17,'D-1 Off Site Habitat Baseline'!$S$11:$S$258)</f>
        <v>0</v>
      </c>
      <c r="V17" s="494">
        <f>SUMIF('D-1 Off Site Habitat Baseline'!$G$11:$G$258,'G-2 Habitat groups'!A17,'D-1 Off Site Habitat Baseline'!$U$11:$U$258)</f>
        <v>0</v>
      </c>
      <c r="W17" s="494">
        <f>SUMIF('D-2 Off Site Habitat Creation'!$F$9:$F$255,'G-2 Habitat groups'!A17,'D-2 Off Site Habitat Creation'!$G$9:$G$255)</f>
        <v>0</v>
      </c>
      <c r="X17" s="494">
        <f>SUMIF('D-2 Off Site Habitat Creation'!$F$9:$F$255,'G-2 Habitat groups'!A17,'D-2 Off Site Habitat Creation'!$AA$9:$AA$255)</f>
        <v>0</v>
      </c>
      <c r="Y17" s="494">
        <f>SUMIF('D-3 Off Site Habitat Enhancment'!$S$12:$S$491,'G-2 Habitat groups'!A17,'D-3 Off Site Habitat Enhancment'!$V$12:$V$491)</f>
        <v>0</v>
      </c>
      <c r="Z17" s="494">
        <f>SUMIF('D-3 Off Site Habitat Enhancment'!$S$12:$S$491,'G-2 Habitat groups'!A17,'D-3 Off Site Habitat Enhancment'!$AP$12:$AP$491)</f>
        <v>0</v>
      </c>
      <c r="AA17" s="494">
        <f t="shared" si="4"/>
        <v>0</v>
      </c>
      <c r="AB17" s="494">
        <f t="shared" si="5"/>
        <v>0</v>
      </c>
      <c r="AC17" s="494">
        <f t="shared" si="6"/>
        <v>0</v>
      </c>
      <c r="AD17" s="494">
        <f t="shared" si="7"/>
        <v>0</v>
      </c>
      <c r="AE17" s="494">
        <f t="shared" si="8"/>
        <v>0</v>
      </c>
      <c r="AF17" s="494">
        <f t="shared" si="9"/>
        <v>0</v>
      </c>
      <c r="AU17" s="119" t="s">
        <v>662</v>
      </c>
      <c r="AV17" s="88" t="s">
        <v>75</v>
      </c>
      <c r="AW17" s="494">
        <f t="shared" si="27"/>
        <v>0</v>
      </c>
      <c r="AX17" s="494">
        <f t="shared" si="28"/>
        <v>0</v>
      </c>
      <c r="AY17" s="494">
        <f t="shared" si="29"/>
        <v>0</v>
      </c>
      <c r="AZ17" s="494">
        <f t="shared" si="30"/>
        <v>0</v>
      </c>
      <c r="BA17" s="494">
        <f t="shared" si="31"/>
        <v>0</v>
      </c>
      <c r="BB17" s="494">
        <f t="shared" si="32"/>
        <v>0</v>
      </c>
      <c r="BC17" s="494">
        <f t="shared" si="33"/>
        <v>0</v>
      </c>
      <c r="BD17" s="494">
        <f t="shared" si="34"/>
        <v>0</v>
      </c>
      <c r="BE17" s="494">
        <f t="shared" si="35"/>
        <v>0</v>
      </c>
      <c r="BF17" s="494" t="str">
        <f t="shared" si="36"/>
        <v/>
      </c>
      <c r="BG17" s="586">
        <f t="shared" si="26"/>
        <v>0</v>
      </c>
    </row>
    <row r="18" spans="1:59" x14ac:dyDescent="0.3">
      <c r="A18" s="104" t="str">
        <f>'G-1 All Habitats'!B17</f>
        <v>Grassland - Lowland dry acid grassland</v>
      </c>
      <c r="B18" s="88" t="str">
        <f>'G-1 All Habitats'!F17</f>
        <v>Grassland</v>
      </c>
      <c r="C18" s="88" t="str">
        <f>'G-1 All Habitats'!K17</f>
        <v>V.High</v>
      </c>
      <c r="D18" s="88" t="str">
        <f>'G-1 All Habitats'!M17</f>
        <v>Bespoke compensation likely to be required 🛠</v>
      </c>
      <c r="E18" s="494">
        <f>IF(C18="V.High",SUMIF('A-1 Site Habitat Baseline'!$G$11:$G$258,'G-2 Habitat groups'!A18,'A-1 Site Habitat Baseline'!$S$11:$S$258)+SUMIF('A-1 Site Habitat Baseline'!$G$11:$G$258,'G-2 Habitat groups'!A18,'A-1 Site Habitat Baseline'!$T$11:$T$258),SUMIF('A-1 Site Habitat Baseline'!$G$11:$G$258,'G-2 Habitat groups'!A18,'A-1 Site Habitat Baseline'!$H$11:$H$258))</f>
        <v>0</v>
      </c>
      <c r="F18" s="494">
        <f>SUMIF('A-1 Site Habitat Baseline'!$G$11:$G$258,'G-2 Habitat groups'!A18,'A-1 Site Habitat Baseline'!$Q$11:$Q$258)</f>
        <v>0</v>
      </c>
      <c r="G18" s="494">
        <f>SUMIF('A-1 Site Habitat Baseline'!$G$11:$G$258,'G-2 Habitat groups'!A18,'A-1 Site Habitat Baseline'!$S$11:$S$258)</f>
        <v>0</v>
      </c>
      <c r="H18" s="494">
        <f>SUMIF('A-1 Site Habitat Baseline'!$G$11:$G$258,'G-2 Habitat groups'!A18,'A-1 Site Habitat Baseline'!$U$11:$U$258)</f>
        <v>0</v>
      </c>
      <c r="I18" s="494">
        <f>SUMIF('A-1 Site Habitat Baseline'!$G$11:$G$258,'G-2 Habitat groups'!A18,'A-1 Site Habitat Baseline'!$W$11:$W$258)</f>
        <v>0</v>
      </c>
      <c r="J18" s="494">
        <f>SUMIF('A-1 Site Habitat Baseline'!$G$11:$G$258,'G-2 Habitat groups'!A18,'A-1 Site Habitat Baseline'!$X$11:$X$258)</f>
        <v>0</v>
      </c>
      <c r="K18" s="494">
        <f>SUMIF('A-2 Site Habitat Creation'!$F$11:$F$256,'G-2 Habitat groups'!A18,'A-2 Site Habitat Creation'!$G$11:$G$256)</f>
        <v>0</v>
      </c>
      <c r="L18" s="494">
        <f>SUMIF('A-2 Site Habitat Creation'!$F$11:$F$256,'G-2 Habitat groups'!A18,'A-2 Site Habitat Creation'!$Y$11:$Y$256)</f>
        <v>0</v>
      </c>
      <c r="M18" s="494">
        <f>SUMIF('A-3 Site Habitat Enhancement'!$S$12:$S$257,'G-2 Habitat groups'!A18,'A-3 Site Habitat Enhancement'!$V$12:$V$257)</f>
        <v>0</v>
      </c>
      <c r="N18" s="494">
        <f>SUMIF('A-3 Site Habitat Enhancement'!$S$12:$S$257,'G-2 Habitat groups'!A18,'A-3 Site Habitat Enhancement'!$AN$12:$AN$257)</f>
        <v>0</v>
      </c>
      <c r="O18" s="494">
        <f t="shared" si="0"/>
        <v>0</v>
      </c>
      <c r="P18" s="494">
        <f t="shared" si="1"/>
        <v>0</v>
      </c>
      <c r="Q18" s="494">
        <f t="shared" si="2"/>
        <v>0</v>
      </c>
      <c r="R18" s="494">
        <f t="shared" si="3"/>
        <v>0</v>
      </c>
      <c r="S18" s="494">
        <f>IF(C18="V.High",SUMIF('D-1 Off Site Habitat Baseline'!$G$11:$G$258,'G-2 Habitat groups'!A18,'D-1 Off Site Habitat Baseline'!$S$11:$S$258)+SUMIF('D-1 Off Site Habitat Baseline'!$G$11:$G$258,'G-2 Habitat groups'!A18,'D-1 Off Site Habitat Baseline'!$T$11:$T$258),SUMIF('D-1 Off Site Habitat Baseline'!$G$11:$G$258,'G-2 Habitat groups'!A18,'D-1 Off Site Habitat Baseline'!$H$11:$H$258))</f>
        <v>0</v>
      </c>
      <c r="T18" s="494">
        <f>SUMIF('D-1 Off Site Habitat Baseline'!$G$11:$G$258,'G-2 Habitat groups'!A18,'D-1 Off Site Habitat Baseline'!$Q$11:$Q$258)</f>
        <v>0</v>
      </c>
      <c r="U18" s="591">
        <f>SUMIF('D-1 Off Site Habitat Baseline'!$G$11:$G$258,'G-2 Habitat groups'!A18,'D-1 Off Site Habitat Baseline'!$S$11:$S$258)</f>
        <v>0</v>
      </c>
      <c r="V18" s="494">
        <f>SUMIF('D-1 Off Site Habitat Baseline'!$G$11:$G$258,'G-2 Habitat groups'!A18,'D-1 Off Site Habitat Baseline'!$U$11:$U$258)</f>
        <v>0</v>
      </c>
      <c r="W18" s="494">
        <f>SUMIF('D-2 Off Site Habitat Creation'!$F$9:$F$255,'G-2 Habitat groups'!A18,'D-2 Off Site Habitat Creation'!$G$9:$G$255)</f>
        <v>0</v>
      </c>
      <c r="X18" s="494">
        <f>SUMIF('D-2 Off Site Habitat Creation'!$F$9:$F$255,'G-2 Habitat groups'!A18,'D-2 Off Site Habitat Creation'!$AA$9:$AA$255)</f>
        <v>0</v>
      </c>
      <c r="Y18" s="494">
        <f>SUMIF('D-3 Off Site Habitat Enhancment'!$S$12:$S$491,'G-2 Habitat groups'!A18,'D-3 Off Site Habitat Enhancment'!$V$12:$V$491)</f>
        <v>0</v>
      </c>
      <c r="Z18" s="494">
        <f>SUMIF('D-3 Off Site Habitat Enhancment'!$S$12:$S$491,'G-2 Habitat groups'!A18,'D-3 Off Site Habitat Enhancment'!$AP$12:$AP$491)</f>
        <v>0</v>
      </c>
      <c r="AA18" s="494">
        <f t="shared" si="4"/>
        <v>0</v>
      </c>
      <c r="AB18" s="494">
        <f t="shared" si="5"/>
        <v>0</v>
      </c>
      <c r="AC18" s="494">
        <f t="shared" si="6"/>
        <v>0</v>
      </c>
      <c r="AD18" s="494">
        <f t="shared" si="7"/>
        <v>0</v>
      </c>
      <c r="AE18" s="494">
        <f t="shared" si="8"/>
        <v>0</v>
      </c>
      <c r="AF18" s="494">
        <f t="shared" si="9"/>
        <v>0</v>
      </c>
      <c r="AU18" s="119" t="s">
        <v>668</v>
      </c>
      <c r="AV18" s="88" t="s">
        <v>75</v>
      </c>
      <c r="AW18" s="494">
        <f t="shared" si="27"/>
        <v>0</v>
      </c>
      <c r="AX18" s="494">
        <f t="shared" si="28"/>
        <v>0</v>
      </c>
      <c r="AY18" s="494">
        <f t="shared" si="29"/>
        <v>0</v>
      </c>
      <c r="AZ18" s="494">
        <f t="shared" si="30"/>
        <v>0</v>
      </c>
      <c r="BA18" s="494">
        <f t="shared" si="31"/>
        <v>0</v>
      </c>
      <c r="BB18" s="494">
        <f t="shared" si="32"/>
        <v>0</v>
      </c>
      <c r="BC18" s="494">
        <f t="shared" si="33"/>
        <v>0</v>
      </c>
      <c r="BD18" s="494">
        <f t="shared" si="34"/>
        <v>0</v>
      </c>
      <c r="BE18" s="494">
        <f t="shared" si="35"/>
        <v>0</v>
      </c>
      <c r="BF18" s="494" t="str">
        <f t="shared" si="36"/>
        <v/>
      </c>
      <c r="BG18" s="586">
        <f t="shared" si="26"/>
        <v>0</v>
      </c>
    </row>
    <row r="19" spans="1:59" ht="31" x14ac:dyDescent="0.35">
      <c r="A19" s="104" t="str">
        <f>'G-1 All Habitats'!B18</f>
        <v>Grassland - Lowland meadows</v>
      </c>
      <c r="B19" s="88" t="str">
        <f>'G-1 All Habitats'!F18</f>
        <v>Grassland</v>
      </c>
      <c r="C19" s="88" t="str">
        <f>'G-1 All Habitats'!K18</f>
        <v>V.High</v>
      </c>
      <c r="D19" s="88" t="str">
        <f>'G-1 All Habitats'!M18</f>
        <v>Bespoke compensation likely to be required 🛠</v>
      </c>
      <c r="E19" s="494">
        <f>IF(C19="V.High",SUMIF('A-1 Site Habitat Baseline'!$G$11:$G$258,'G-2 Habitat groups'!A19,'A-1 Site Habitat Baseline'!$S$11:$S$258)+SUMIF('A-1 Site Habitat Baseline'!$G$11:$G$258,'G-2 Habitat groups'!A19,'A-1 Site Habitat Baseline'!$T$11:$T$258),SUMIF('A-1 Site Habitat Baseline'!$G$11:$G$258,'G-2 Habitat groups'!A19,'A-1 Site Habitat Baseline'!$H$11:$H$258))</f>
        <v>0</v>
      </c>
      <c r="F19" s="494">
        <f>SUMIF('A-1 Site Habitat Baseline'!$G$11:$G$258,'G-2 Habitat groups'!A19,'A-1 Site Habitat Baseline'!$Q$11:$Q$258)</f>
        <v>0</v>
      </c>
      <c r="G19" s="494">
        <f>SUMIF('A-1 Site Habitat Baseline'!$G$11:$G$258,'G-2 Habitat groups'!A19,'A-1 Site Habitat Baseline'!$S$11:$S$258)</f>
        <v>0</v>
      </c>
      <c r="H19" s="494">
        <f>SUMIF('A-1 Site Habitat Baseline'!$G$11:$G$258,'G-2 Habitat groups'!A19,'A-1 Site Habitat Baseline'!$U$11:$U$258)</f>
        <v>0</v>
      </c>
      <c r="I19" s="494">
        <f>SUMIF('A-1 Site Habitat Baseline'!$G$11:$G$258,'G-2 Habitat groups'!A19,'A-1 Site Habitat Baseline'!$W$11:$W$258)</f>
        <v>0</v>
      </c>
      <c r="J19" s="494">
        <f>SUMIF('A-1 Site Habitat Baseline'!$G$11:$G$258,'G-2 Habitat groups'!A19,'A-1 Site Habitat Baseline'!$X$11:$X$258)</f>
        <v>0</v>
      </c>
      <c r="K19" s="494">
        <f>SUMIF('A-2 Site Habitat Creation'!$F$11:$F$256,'G-2 Habitat groups'!A19,'A-2 Site Habitat Creation'!$G$11:$G$256)</f>
        <v>0</v>
      </c>
      <c r="L19" s="494">
        <f>SUMIF('A-2 Site Habitat Creation'!$F$11:$F$256,'G-2 Habitat groups'!A19,'A-2 Site Habitat Creation'!$Y$11:$Y$256)</f>
        <v>0</v>
      </c>
      <c r="M19" s="494">
        <f>SUMIF('A-3 Site Habitat Enhancement'!$S$12:$S$257,'G-2 Habitat groups'!A19,'A-3 Site Habitat Enhancement'!$V$12:$V$257)</f>
        <v>0</v>
      </c>
      <c r="N19" s="494">
        <f>SUMIF('A-3 Site Habitat Enhancement'!$S$12:$S$257,'G-2 Habitat groups'!A19,'A-3 Site Habitat Enhancement'!$AN$12:$AN$257)</f>
        <v>0</v>
      </c>
      <c r="O19" s="494">
        <f t="shared" si="0"/>
        <v>0</v>
      </c>
      <c r="P19" s="494">
        <f t="shared" si="1"/>
        <v>0</v>
      </c>
      <c r="Q19" s="494">
        <f t="shared" si="2"/>
        <v>0</v>
      </c>
      <c r="R19" s="494">
        <f t="shared" si="3"/>
        <v>0</v>
      </c>
      <c r="S19" s="494">
        <f>IF(C19="V.High",SUMIF('D-1 Off Site Habitat Baseline'!$G$11:$G$258,'G-2 Habitat groups'!A19,'D-1 Off Site Habitat Baseline'!$S$11:$S$258)+SUMIF('D-1 Off Site Habitat Baseline'!$G$11:$G$258,'G-2 Habitat groups'!A19,'D-1 Off Site Habitat Baseline'!$T$11:$T$258),SUMIF('D-1 Off Site Habitat Baseline'!$G$11:$G$258,'G-2 Habitat groups'!A19,'D-1 Off Site Habitat Baseline'!$H$11:$H$258))</f>
        <v>0</v>
      </c>
      <c r="T19" s="494">
        <f>SUMIF('D-1 Off Site Habitat Baseline'!$G$11:$G$258,'G-2 Habitat groups'!A19,'D-1 Off Site Habitat Baseline'!$Q$11:$Q$258)</f>
        <v>0</v>
      </c>
      <c r="U19" s="591">
        <f>SUMIF('D-1 Off Site Habitat Baseline'!$G$11:$G$258,'G-2 Habitat groups'!A19,'D-1 Off Site Habitat Baseline'!$S$11:$S$258)</f>
        <v>0</v>
      </c>
      <c r="V19" s="494">
        <f>SUMIF('D-1 Off Site Habitat Baseline'!$G$11:$G$258,'G-2 Habitat groups'!A19,'D-1 Off Site Habitat Baseline'!$U$11:$U$258)</f>
        <v>0</v>
      </c>
      <c r="W19" s="494">
        <f>SUMIF('D-2 Off Site Habitat Creation'!$F$9:$F$255,'G-2 Habitat groups'!A19,'D-2 Off Site Habitat Creation'!$G$9:$G$255)</f>
        <v>0</v>
      </c>
      <c r="X19" s="494">
        <f>SUMIF('D-2 Off Site Habitat Creation'!$F$9:$F$255,'G-2 Habitat groups'!A19,'D-2 Off Site Habitat Creation'!$AA$9:$AA$255)</f>
        <v>0</v>
      </c>
      <c r="Y19" s="494">
        <f>SUMIF('D-3 Off Site Habitat Enhancment'!$S$12:$S$491,'G-2 Habitat groups'!A19,'D-3 Off Site Habitat Enhancment'!$V$12:$V$491)</f>
        <v>0</v>
      </c>
      <c r="Z19" s="494">
        <f>SUMIF('D-3 Off Site Habitat Enhancment'!$S$12:$S$491,'G-2 Habitat groups'!A19,'D-3 Off Site Habitat Enhancment'!$AP$12:$AP$491)</f>
        <v>0</v>
      </c>
      <c r="AA19" s="494">
        <f t="shared" si="4"/>
        <v>0</v>
      </c>
      <c r="AB19" s="494">
        <f t="shared" si="5"/>
        <v>0</v>
      </c>
      <c r="AC19" s="494">
        <f t="shared" si="6"/>
        <v>0</v>
      </c>
      <c r="AD19" s="494">
        <f t="shared" si="7"/>
        <v>0</v>
      </c>
      <c r="AE19" s="494">
        <f t="shared" si="8"/>
        <v>0</v>
      </c>
      <c r="AF19" s="494">
        <f t="shared" si="9"/>
        <v>0</v>
      </c>
      <c r="AJ19" s="127" t="s">
        <v>862</v>
      </c>
      <c r="AK19" s="127" t="s">
        <v>851</v>
      </c>
      <c r="AL19" s="127" t="s">
        <v>852</v>
      </c>
      <c r="AM19" s="127" t="s">
        <v>857</v>
      </c>
      <c r="AN19" s="127" t="s">
        <v>863</v>
      </c>
      <c r="AO19" s="127" t="s">
        <v>864</v>
      </c>
      <c r="AP19" s="127" t="s">
        <v>865</v>
      </c>
      <c r="AU19" s="119" t="s">
        <v>712</v>
      </c>
      <c r="AV19" s="119" t="s">
        <v>76</v>
      </c>
      <c r="AW19" s="592">
        <f t="shared" si="27"/>
        <v>0</v>
      </c>
      <c r="AX19" s="592">
        <f t="shared" si="28"/>
        <v>0</v>
      </c>
      <c r="AY19" s="592">
        <f t="shared" si="29"/>
        <v>0</v>
      </c>
      <c r="AZ19" s="592">
        <f t="shared" si="30"/>
        <v>0</v>
      </c>
      <c r="BA19" s="592">
        <f t="shared" si="31"/>
        <v>0</v>
      </c>
      <c r="BB19" s="592">
        <f t="shared" si="32"/>
        <v>0</v>
      </c>
      <c r="BC19" s="592">
        <f t="shared" si="33"/>
        <v>0</v>
      </c>
      <c r="BD19" s="592">
        <f t="shared" si="34"/>
        <v>0</v>
      </c>
      <c r="BE19" s="592">
        <f t="shared" si="35"/>
        <v>0</v>
      </c>
      <c r="BF19" s="592" t="str">
        <f t="shared" si="36"/>
        <v/>
      </c>
      <c r="BG19" s="657">
        <f t="shared" si="26"/>
        <v>0</v>
      </c>
    </row>
    <row r="20" spans="1:59" x14ac:dyDescent="0.3">
      <c r="A20" s="104" t="str">
        <f>'G-1 All Habitats'!B19</f>
        <v>Grassland - Modified grassland</v>
      </c>
      <c r="B20" s="88" t="str">
        <f>'G-1 All Habitats'!F19</f>
        <v>Grassland</v>
      </c>
      <c r="C20" s="88" t="str">
        <f>'G-1 All Habitats'!K19</f>
        <v>Low</v>
      </c>
      <c r="D20" s="88" t="str">
        <f>'G-1 All Habitats'!M19</f>
        <v>Same distinctiveness or better habitat required ≥</v>
      </c>
      <c r="E20" s="494">
        <f>IF(C20="V.High",SUMIF('A-1 Site Habitat Baseline'!$G$11:$G$258,'G-2 Habitat groups'!A20,'A-1 Site Habitat Baseline'!$S$11:$S$258)+SUMIF('A-1 Site Habitat Baseline'!$G$11:$G$258,'G-2 Habitat groups'!A20,'A-1 Site Habitat Baseline'!$T$11:$T$258),SUMIF('A-1 Site Habitat Baseline'!$G$11:$G$258,'G-2 Habitat groups'!A20,'A-1 Site Habitat Baseline'!$H$11:$H$258))</f>
        <v>0</v>
      </c>
      <c r="F20" s="494">
        <f>SUMIF('A-1 Site Habitat Baseline'!$G$11:$G$258,'G-2 Habitat groups'!A20,'A-1 Site Habitat Baseline'!$Q$11:$Q$258)</f>
        <v>0</v>
      </c>
      <c r="G20" s="494">
        <f>SUMIF('A-1 Site Habitat Baseline'!$G$11:$G$258,'G-2 Habitat groups'!A20,'A-1 Site Habitat Baseline'!$S$11:$S$258)</f>
        <v>0</v>
      </c>
      <c r="H20" s="494">
        <f>SUMIF('A-1 Site Habitat Baseline'!$G$11:$G$258,'G-2 Habitat groups'!A20,'A-1 Site Habitat Baseline'!$U$11:$U$258)</f>
        <v>0</v>
      </c>
      <c r="I20" s="494">
        <f>SUMIF('A-1 Site Habitat Baseline'!$G$11:$G$258,'G-2 Habitat groups'!A20,'A-1 Site Habitat Baseline'!$W$11:$W$258)</f>
        <v>0</v>
      </c>
      <c r="J20" s="494">
        <f>SUMIF('A-1 Site Habitat Baseline'!$G$11:$G$258,'G-2 Habitat groups'!A20,'A-1 Site Habitat Baseline'!$X$11:$X$258)</f>
        <v>0</v>
      </c>
      <c r="K20" s="494">
        <f>SUMIF('A-2 Site Habitat Creation'!$F$11:$F$256,'G-2 Habitat groups'!A20,'A-2 Site Habitat Creation'!$G$11:$G$256)</f>
        <v>0</v>
      </c>
      <c r="L20" s="494">
        <f>SUMIF('A-2 Site Habitat Creation'!$F$11:$F$256,'G-2 Habitat groups'!A20,'A-2 Site Habitat Creation'!$Y$11:$Y$256)</f>
        <v>0</v>
      </c>
      <c r="M20" s="494">
        <f>SUMIF('A-3 Site Habitat Enhancement'!$S$12:$S$257,'G-2 Habitat groups'!A20,'A-3 Site Habitat Enhancement'!$V$12:$V$257)</f>
        <v>0</v>
      </c>
      <c r="N20" s="494">
        <f>SUMIF('A-3 Site Habitat Enhancement'!$S$12:$S$257,'G-2 Habitat groups'!A20,'A-3 Site Habitat Enhancement'!$AN$12:$AN$257)</f>
        <v>0</v>
      </c>
      <c r="O20" s="494">
        <f t="shared" si="0"/>
        <v>0</v>
      </c>
      <c r="P20" s="494">
        <f t="shared" si="1"/>
        <v>0</v>
      </c>
      <c r="Q20" s="494">
        <f t="shared" si="2"/>
        <v>0</v>
      </c>
      <c r="R20" s="494">
        <f t="shared" si="3"/>
        <v>0</v>
      </c>
      <c r="S20" s="494">
        <f>IF(C20="V.High",SUMIF('D-1 Off Site Habitat Baseline'!$G$11:$G$258,'G-2 Habitat groups'!A20,'D-1 Off Site Habitat Baseline'!$S$11:$S$258)+SUMIF('D-1 Off Site Habitat Baseline'!$G$11:$G$258,'G-2 Habitat groups'!A20,'D-1 Off Site Habitat Baseline'!$T$11:$T$258),SUMIF('D-1 Off Site Habitat Baseline'!$G$11:$G$258,'G-2 Habitat groups'!A20,'D-1 Off Site Habitat Baseline'!$H$11:$H$258))</f>
        <v>0</v>
      </c>
      <c r="T20" s="494">
        <f>SUMIF('D-1 Off Site Habitat Baseline'!$G$11:$G$258,'G-2 Habitat groups'!A20,'D-1 Off Site Habitat Baseline'!$Q$11:$Q$258)</f>
        <v>0</v>
      </c>
      <c r="U20" s="591">
        <f>SUMIF('D-1 Off Site Habitat Baseline'!$G$11:$G$258,'G-2 Habitat groups'!A20,'D-1 Off Site Habitat Baseline'!$S$11:$S$258)</f>
        <v>0</v>
      </c>
      <c r="V20" s="494">
        <f>SUMIF('D-1 Off Site Habitat Baseline'!$G$11:$G$258,'G-2 Habitat groups'!A20,'D-1 Off Site Habitat Baseline'!$U$11:$U$258)</f>
        <v>0</v>
      </c>
      <c r="W20" s="494">
        <f>SUMIF('D-2 Off Site Habitat Creation'!$F$9:$F$255,'G-2 Habitat groups'!A20,'D-2 Off Site Habitat Creation'!$G$9:$G$255)</f>
        <v>0</v>
      </c>
      <c r="X20" s="494">
        <f>SUMIF('D-2 Off Site Habitat Creation'!$F$9:$F$255,'G-2 Habitat groups'!A20,'D-2 Off Site Habitat Creation'!$AA$9:$AA$255)</f>
        <v>0</v>
      </c>
      <c r="Y20" s="494">
        <f>SUMIF('D-3 Off Site Habitat Enhancment'!$S$12:$S$491,'G-2 Habitat groups'!A20,'D-3 Off Site Habitat Enhancment'!$V$12:$V$491)</f>
        <v>0</v>
      </c>
      <c r="Z20" s="494">
        <f>SUMIF('D-3 Off Site Habitat Enhancment'!$S$12:$S$491,'G-2 Habitat groups'!A20,'D-3 Off Site Habitat Enhancment'!$AP$12:$AP$491)</f>
        <v>0</v>
      </c>
      <c r="AA20" s="494">
        <f t="shared" si="4"/>
        <v>0</v>
      </c>
      <c r="AB20" s="494">
        <f t="shared" si="5"/>
        <v>0</v>
      </c>
      <c r="AC20" s="494">
        <f t="shared" si="6"/>
        <v>0</v>
      </c>
      <c r="AD20" s="494">
        <f t="shared" si="7"/>
        <v>0</v>
      </c>
      <c r="AE20" s="494">
        <f t="shared" si="8"/>
        <v>0</v>
      </c>
      <c r="AF20" s="494">
        <f t="shared" si="9"/>
        <v>0</v>
      </c>
      <c r="AJ20" s="106" t="s">
        <v>69</v>
      </c>
      <c r="AK20" s="100">
        <f t="shared" ref="AK20:AK32" si="37">SUMIF($B:$B,$AJ20,S:S)</f>
        <v>0</v>
      </c>
      <c r="AL20" s="100">
        <f t="shared" ref="AL20:AL32" si="38">SUMIF($B:$B,$AJ20,T:T)</f>
        <v>0</v>
      </c>
      <c r="AM20" s="100">
        <f t="shared" ref="AM20:AM32" si="39">SUMIF($B:$B,$AJ20,AA:AA)</f>
        <v>0</v>
      </c>
      <c r="AN20" s="100">
        <f t="shared" ref="AN20:AN32" si="40">SUMIF($B:$B,$AJ20,AB:AB)</f>
        <v>0</v>
      </c>
      <c r="AO20" s="111">
        <f t="shared" ref="AO20:AO32" si="41">SUMIF($B:$B,$AJ20,AC:AC)</f>
        <v>0</v>
      </c>
      <c r="AP20" s="111">
        <f t="shared" ref="AP20:AP32" si="42">SUMIF($B:$B,$AJ20,AD:AD)</f>
        <v>0</v>
      </c>
      <c r="AU20" s="119" t="s">
        <v>722</v>
      </c>
      <c r="AV20" s="88" t="s">
        <v>866</v>
      </c>
      <c r="AW20" s="494">
        <f t="shared" si="27"/>
        <v>0</v>
      </c>
      <c r="AX20" s="494">
        <f t="shared" si="28"/>
        <v>0</v>
      </c>
      <c r="AY20" s="494">
        <f t="shared" si="29"/>
        <v>0</v>
      </c>
      <c r="AZ20" s="494">
        <f t="shared" si="30"/>
        <v>0</v>
      </c>
      <c r="BA20" s="494">
        <f t="shared" si="31"/>
        <v>0</v>
      </c>
      <c r="BB20" s="494">
        <f t="shared" si="32"/>
        <v>0</v>
      </c>
      <c r="BC20" s="494">
        <f t="shared" si="33"/>
        <v>0</v>
      </c>
      <c r="BD20" s="494">
        <f t="shared" si="34"/>
        <v>0</v>
      </c>
      <c r="BE20" s="494">
        <f t="shared" si="35"/>
        <v>0</v>
      </c>
      <c r="BF20" s="494" t="str">
        <f t="shared" si="36"/>
        <v/>
      </c>
      <c r="BG20" s="586">
        <f t="shared" si="26"/>
        <v>0</v>
      </c>
    </row>
    <row r="21" spans="1:59" x14ac:dyDescent="0.3">
      <c r="A21" s="104" t="str">
        <f>'G-1 All Habitats'!B20</f>
        <v>Grassland - Other lowland acid grassland</v>
      </c>
      <c r="B21" s="88" t="str">
        <f>'G-1 All Habitats'!F20</f>
        <v>Grassland</v>
      </c>
      <c r="C21" s="88" t="str">
        <f>'G-1 All Habitats'!K20</f>
        <v>Medium</v>
      </c>
      <c r="D21" s="88" t="str">
        <f>'G-1 All Habitats'!M20</f>
        <v>Same broad habitat or a higher distinctiveness habitat required (≥)</v>
      </c>
      <c r="E21" s="494">
        <f>IF(C21="V.High",SUMIF('A-1 Site Habitat Baseline'!$G$11:$G$258,'G-2 Habitat groups'!A21,'A-1 Site Habitat Baseline'!$S$11:$S$258)+SUMIF('A-1 Site Habitat Baseline'!$G$11:$G$258,'G-2 Habitat groups'!A21,'A-1 Site Habitat Baseline'!$T$11:$T$258),SUMIF('A-1 Site Habitat Baseline'!$G$11:$G$258,'G-2 Habitat groups'!A21,'A-1 Site Habitat Baseline'!$H$11:$H$258))</f>
        <v>0</v>
      </c>
      <c r="F21" s="494">
        <f>SUMIF('A-1 Site Habitat Baseline'!$G$11:$G$258,'G-2 Habitat groups'!A21,'A-1 Site Habitat Baseline'!$Q$11:$Q$258)</f>
        <v>0</v>
      </c>
      <c r="G21" s="494">
        <f>SUMIF('A-1 Site Habitat Baseline'!$G$11:$G$258,'G-2 Habitat groups'!A21,'A-1 Site Habitat Baseline'!$S$11:$S$258)</f>
        <v>0</v>
      </c>
      <c r="H21" s="494">
        <f>SUMIF('A-1 Site Habitat Baseline'!$G$11:$G$258,'G-2 Habitat groups'!A21,'A-1 Site Habitat Baseline'!$U$11:$U$258)</f>
        <v>0</v>
      </c>
      <c r="I21" s="494">
        <f>SUMIF('A-1 Site Habitat Baseline'!$G$11:$G$258,'G-2 Habitat groups'!A21,'A-1 Site Habitat Baseline'!$W$11:$W$258)</f>
        <v>0</v>
      </c>
      <c r="J21" s="494">
        <f>SUMIF('A-1 Site Habitat Baseline'!$G$11:$G$258,'G-2 Habitat groups'!A21,'A-1 Site Habitat Baseline'!$X$11:$X$258)</f>
        <v>0</v>
      </c>
      <c r="K21" s="494">
        <f>SUMIF('A-2 Site Habitat Creation'!$F$11:$F$256,'G-2 Habitat groups'!A21,'A-2 Site Habitat Creation'!$G$11:$G$256)</f>
        <v>0</v>
      </c>
      <c r="L21" s="494">
        <f>SUMIF('A-2 Site Habitat Creation'!$F$11:$F$256,'G-2 Habitat groups'!A21,'A-2 Site Habitat Creation'!$Y$11:$Y$256)</f>
        <v>0</v>
      </c>
      <c r="M21" s="494">
        <f>SUMIF('A-3 Site Habitat Enhancement'!$S$12:$S$257,'G-2 Habitat groups'!A21,'A-3 Site Habitat Enhancement'!$V$12:$V$257)</f>
        <v>0</v>
      </c>
      <c r="N21" s="494">
        <f>SUMIF('A-3 Site Habitat Enhancement'!$S$12:$S$257,'G-2 Habitat groups'!A21,'A-3 Site Habitat Enhancement'!$AN$12:$AN$257)</f>
        <v>0</v>
      </c>
      <c r="O21" s="494">
        <f t="shared" si="0"/>
        <v>0</v>
      </c>
      <c r="P21" s="494">
        <f t="shared" si="1"/>
        <v>0</v>
      </c>
      <c r="Q21" s="494">
        <f t="shared" si="2"/>
        <v>0</v>
      </c>
      <c r="R21" s="494">
        <f t="shared" si="3"/>
        <v>0</v>
      </c>
      <c r="S21" s="494">
        <f>IF(C21="V.High",SUMIF('D-1 Off Site Habitat Baseline'!$G$11:$G$258,'G-2 Habitat groups'!A21,'D-1 Off Site Habitat Baseline'!$S$11:$S$258)+SUMIF('D-1 Off Site Habitat Baseline'!$G$11:$G$258,'G-2 Habitat groups'!A21,'D-1 Off Site Habitat Baseline'!$T$11:$T$258),SUMIF('D-1 Off Site Habitat Baseline'!$G$11:$G$258,'G-2 Habitat groups'!A21,'D-1 Off Site Habitat Baseline'!$H$11:$H$258))</f>
        <v>0</v>
      </c>
      <c r="T21" s="494">
        <f>SUMIF('D-1 Off Site Habitat Baseline'!$G$11:$G$258,'G-2 Habitat groups'!A21,'D-1 Off Site Habitat Baseline'!$Q$11:$Q$258)</f>
        <v>0</v>
      </c>
      <c r="U21" s="591">
        <f>SUMIF('D-1 Off Site Habitat Baseline'!$G$11:$G$258,'G-2 Habitat groups'!A21,'D-1 Off Site Habitat Baseline'!$S$11:$S$258)</f>
        <v>0</v>
      </c>
      <c r="V21" s="494">
        <f>SUMIF('D-1 Off Site Habitat Baseline'!$G$11:$G$258,'G-2 Habitat groups'!A21,'D-1 Off Site Habitat Baseline'!$U$11:$U$258)</f>
        <v>0</v>
      </c>
      <c r="W21" s="494">
        <f>SUMIF('D-2 Off Site Habitat Creation'!$F$9:$F$255,'G-2 Habitat groups'!A21,'D-2 Off Site Habitat Creation'!$G$9:$G$255)</f>
        <v>0</v>
      </c>
      <c r="X21" s="494">
        <f>SUMIF('D-2 Off Site Habitat Creation'!$F$9:$F$255,'G-2 Habitat groups'!A21,'D-2 Off Site Habitat Creation'!$AA$9:$AA$255)</f>
        <v>0</v>
      </c>
      <c r="Y21" s="494">
        <f>SUMIF('D-3 Off Site Habitat Enhancment'!$S$12:$S$491,'G-2 Habitat groups'!A21,'D-3 Off Site Habitat Enhancment'!$V$12:$V$491)</f>
        <v>0</v>
      </c>
      <c r="Z21" s="494">
        <f>SUMIF('D-3 Off Site Habitat Enhancment'!$S$12:$S$491,'G-2 Habitat groups'!A21,'D-3 Off Site Habitat Enhancment'!$AP$12:$AP$491)</f>
        <v>0</v>
      </c>
      <c r="AA21" s="494">
        <f t="shared" si="4"/>
        <v>0</v>
      </c>
      <c r="AB21" s="494">
        <f t="shared" si="5"/>
        <v>0</v>
      </c>
      <c r="AC21" s="494">
        <f t="shared" si="6"/>
        <v>0</v>
      </c>
      <c r="AD21" s="494">
        <f t="shared" si="7"/>
        <v>0</v>
      </c>
      <c r="AE21" s="494">
        <f t="shared" si="8"/>
        <v>0</v>
      </c>
      <c r="AF21" s="494">
        <f t="shared" si="9"/>
        <v>0</v>
      </c>
      <c r="AJ21" s="107" t="s">
        <v>70</v>
      </c>
      <c r="AK21" s="100">
        <f t="shared" si="37"/>
        <v>0</v>
      </c>
      <c r="AL21" s="100">
        <f t="shared" si="38"/>
        <v>0</v>
      </c>
      <c r="AM21" s="100">
        <f t="shared" si="39"/>
        <v>0</v>
      </c>
      <c r="AN21" s="100">
        <f t="shared" si="40"/>
        <v>0</v>
      </c>
      <c r="AO21" s="111">
        <f t="shared" si="41"/>
        <v>0</v>
      </c>
      <c r="AP21" s="111">
        <f t="shared" si="42"/>
        <v>0</v>
      </c>
      <c r="AU21" s="119" t="s">
        <v>729</v>
      </c>
      <c r="AV21" s="88" t="s">
        <v>866</v>
      </c>
      <c r="AW21" s="494">
        <f t="shared" si="27"/>
        <v>0</v>
      </c>
      <c r="AX21" s="494">
        <f t="shared" si="28"/>
        <v>0</v>
      </c>
      <c r="AY21" s="494">
        <f t="shared" si="29"/>
        <v>0</v>
      </c>
      <c r="AZ21" s="494">
        <f t="shared" si="30"/>
        <v>0</v>
      </c>
      <c r="BA21" s="494">
        <f t="shared" si="31"/>
        <v>0</v>
      </c>
      <c r="BB21" s="494">
        <f t="shared" si="32"/>
        <v>0</v>
      </c>
      <c r="BC21" s="494">
        <f t="shared" si="33"/>
        <v>0</v>
      </c>
      <c r="BD21" s="494">
        <f t="shared" si="34"/>
        <v>0</v>
      </c>
      <c r="BE21" s="494">
        <f t="shared" si="35"/>
        <v>0</v>
      </c>
      <c r="BF21" s="494" t="str">
        <f t="shared" si="36"/>
        <v/>
      </c>
      <c r="BG21" s="586">
        <f t="shared" si="26"/>
        <v>0</v>
      </c>
    </row>
    <row r="22" spans="1:59" x14ac:dyDescent="0.3">
      <c r="A22" s="104" t="str">
        <f>'G-1 All Habitats'!B21</f>
        <v>Grassland - Other neutral grassland</v>
      </c>
      <c r="B22" s="88" t="str">
        <f>'G-1 All Habitats'!F21</f>
        <v>Grassland</v>
      </c>
      <c r="C22" s="88" t="str">
        <f>'G-1 All Habitats'!K21</f>
        <v>Medium</v>
      </c>
      <c r="D22" s="88" t="str">
        <f>'G-1 All Habitats'!M21</f>
        <v>Same broad habitat or a higher distinctiveness habitat required (≥)</v>
      </c>
      <c r="E22" s="494">
        <f>IF(C22="V.High",SUMIF('A-1 Site Habitat Baseline'!$G$11:$G$258,'G-2 Habitat groups'!A22,'A-1 Site Habitat Baseline'!$S$11:$S$258)+SUMIF('A-1 Site Habitat Baseline'!$G$11:$G$258,'G-2 Habitat groups'!A22,'A-1 Site Habitat Baseline'!$T$11:$T$258),SUMIF('A-1 Site Habitat Baseline'!$G$11:$G$258,'G-2 Habitat groups'!A22,'A-1 Site Habitat Baseline'!$H$11:$H$258))</f>
        <v>0</v>
      </c>
      <c r="F22" s="494">
        <f>SUMIF('A-1 Site Habitat Baseline'!$G$11:$G$258,'G-2 Habitat groups'!A22,'A-1 Site Habitat Baseline'!$Q$11:$Q$258)</f>
        <v>0</v>
      </c>
      <c r="G22" s="494">
        <f>SUMIF('A-1 Site Habitat Baseline'!$G$11:$G$258,'G-2 Habitat groups'!A22,'A-1 Site Habitat Baseline'!$S$11:$S$258)</f>
        <v>0</v>
      </c>
      <c r="H22" s="494">
        <f>SUMIF('A-1 Site Habitat Baseline'!$G$11:$G$258,'G-2 Habitat groups'!A22,'A-1 Site Habitat Baseline'!$U$11:$U$258)</f>
        <v>0</v>
      </c>
      <c r="I22" s="494">
        <f>SUMIF('A-1 Site Habitat Baseline'!$G$11:$G$258,'G-2 Habitat groups'!A22,'A-1 Site Habitat Baseline'!$W$11:$W$258)</f>
        <v>0</v>
      </c>
      <c r="J22" s="494">
        <f>SUMIF('A-1 Site Habitat Baseline'!$G$11:$G$258,'G-2 Habitat groups'!A22,'A-1 Site Habitat Baseline'!$X$11:$X$258)</f>
        <v>0</v>
      </c>
      <c r="K22" s="494">
        <f>SUMIF('A-2 Site Habitat Creation'!$F$11:$F$256,'G-2 Habitat groups'!A22,'A-2 Site Habitat Creation'!$G$11:$G$256)</f>
        <v>1.95E-2</v>
      </c>
      <c r="L22" s="494">
        <f>SUMIF('A-2 Site Habitat Creation'!$F$11:$F$256,'G-2 Habitat groups'!A22,'A-2 Site Habitat Creation'!$Y$11:$Y$256)</f>
        <v>0.18025265737907997</v>
      </c>
      <c r="M22" s="494">
        <f>SUMIF('A-3 Site Habitat Enhancement'!$S$12:$S$257,'G-2 Habitat groups'!A22,'A-3 Site Habitat Enhancement'!$V$12:$V$257)</f>
        <v>0</v>
      </c>
      <c r="N22" s="494">
        <f>SUMIF('A-3 Site Habitat Enhancement'!$S$12:$S$257,'G-2 Habitat groups'!A22,'A-3 Site Habitat Enhancement'!$AN$12:$AN$257)</f>
        <v>0</v>
      </c>
      <c r="O22" s="494">
        <f t="shared" si="0"/>
        <v>1.95E-2</v>
      </c>
      <c r="P22" s="494">
        <f t="shared" si="1"/>
        <v>0.18025265737907997</v>
      </c>
      <c r="Q22" s="494">
        <f t="shared" si="2"/>
        <v>1.95E-2</v>
      </c>
      <c r="R22" s="494">
        <f t="shared" si="3"/>
        <v>0.18025265737907997</v>
      </c>
      <c r="S22" s="494">
        <f>IF(C22="V.High",SUMIF('D-1 Off Site Habitat Baseline'!$G$11:$G$258,'G-2 Habitat groups'!A22,'D-1 Off Site Habitat Baseline'!$S$11:$S$258)+SUMIF('D-1 Off Site Habitat Baseline'!$G$11:$G$258,'G-2 Habitat groups'!A22,'D-1 Off Site Habitat Baseline'!$T$11:$T$258),SUMIF('D-1 Off Site Habitat Baseline'!$G$11:$G$258,'G-2 Habitat groups'!A22,'D-1 Off Site Habitat Baseline'!$H$11:$H$258))</f>
        <v>0</v>
      </c>
      <c r="T22" s="494">
        <f>SUMIF('D-1 Off Site Habitat Baseline'!$G$11:$G$258,'G-2 Habitat groups'!A22,'D-1 Off Site Habitat Baseline'!$Q$11:$Q$258)</f>
        <v>0</v>
      </c>
      <c r="U22" s="591">
        <f>SUMIF('D-1 Off Site Habitat Baseline'!$G$11:$G$258,'G-2 Habitat groups'!A22,'D-1 Off Site Habitat Baseline'!$S$11:$S$258)</f>
        <v>0</v>
      </c>
      <c r="V22" s="494">
        <f>SUMIF('D-1 Off Site Habitat Baseline'!$G$11:$G$258,'G-2 Habitat groups'!A22,'D-1 Off Site Habitat Baseline'!$U$11:$U$258)</f>
        <v>0</v>
      </c>
      <c r="W22" s="494">
        <f>SUMIF('D-2 Off Site Habitat Creation'!$F$9:$F$255,'G-2 Habitat groups'!A22,'D-2 Off Site Habitat Creation'!$G$9:$G$255)</f>
        <v>0</v>
      </c>
      <c r="X22" s="494">
        <f>SUMIF('D-2 Off Site Habitat Creation'!$F$9:$F$255,'G-2 Habitat groups'!A22,'D-2 Off Site Habitat Creation'!$AA$9:$AA$255)</f>
        <v>0</v>
      </c>
      <c r="Y22" s="494">
        <f>SUMIF('D-3 Off Site Habitat Enhancment'!$S$12:$S$491,'G-2 Habitat groups'!A22,'D-3 Off Site Habitat Enhancment'!$V$12:$V$491)</f>
        <v>0</v>
      </c>
      <c r="Z22" s="494">
        <f>SUMIF('D-3 Off Site Habitat Enhancment'!$S$12:$S$491,'G-2 Habitat groups'!A22,'D-3 Off Site Habitat Enhancment'!$AP$12:$AP$491)</f>
        <v>0</v>
      </c>
      <c r="AA22" s="494">
        <f t="shared" si="4"/>
        <v>0</v>
      </c>
      <c r="AB22" s="494">
        <f t="shared" si="5"/>
        <v>0</v>
      </c>
      <c r="AC22" s="494">
        <f t="shared" si="6"/>
        <v>0</v>
      </c>
      <c r="AD22" s="494">
        <f t="shared" si="7"/>
        <v>0</v>
      </c>
      <c r="AE22" s="494">
        <f t="shared" si="8"/>
        <v>1.95E-2</v>
      </c>
      <c r="AF22" s="494">
        <f t="shared" si="9"/>
        <v>0.18025265737907997</v>
      </c>
      <c r="AJ22" s="107" t="s">
        <v>71</v>
      </c>
      <c r="AK22" s="100">
        <f t="shared" si="37"/>
        <v>0</v>
      </c>
      <c r="AL22" s="100">
        <f t="shared" si="38"/>
        <v>0</v>
      </c>
      <c r="AM22" s="100">
        <f t="shared" si="39"/>
        <v>0</v>
      </c>
      <c r="AN22" s="100">
        <f t="shared" si="40"/>
        <v>0</v>
      </c>
      <c r="AO22" s="111">
        <f t="shared" si="41"/>
        <v>0</v>
      </c>
      <c r="AP22" s="111">
        <f t="shared" si="42"/>
        <v>0</v>
      </c>
      <c r="AU22" s="119" t="s">
        <v>736</v>
      </c>
      <c r="AV22" s="88" t="s">
        <v>866</v>
      </c>
      <c r="AW22" s="494">
        <f t="shared" si="27"/>
        <v>0</v>
      </c>
      <c r="AX22" s="494">
        <f t="shared" si="28"/>
        <v>0</v>
      </c>
      <c r="AY22" s="494">
        <f t="shared" si="29"/>
        <v>0</v>
      </c>
      <c r="AZ22" s="494">
        <f t="shared" si="30"/>
        <v>0</v>
      </c>
      <c r="BA22" s="494">
        <f t="shared" si="31"/>
        <v>0</v>
      </c>
      <c r="BB22" s="494">
        <f t="shared" si="32"/>
        <v>0</v>
      </c>
      <c r="BC22" s="494">
        <f t="shared" si="33"/>
        <v>0</v>
      </c>
      <c r="BD22" s="494">
        <f t="shared" si="34"/>
        <v>0</v>
      </c>
      <c r="BE22" s="494">
        <f t="shared" si="35"/>
        <v>0</v>
      </c>
      <c r="BF22" s="494" t="str">
        <f t="shared" si="36"/>
        <v/>
      </c>
      <c r="BG22" s="586">
        <f t="shared" si="26"/>
        <v>0</v>
      </c>
    </row>
    <row r="23" spans="1:59" ht="18.649999999999999" customHeight="1" x14ac:dyDescent="0.3">
      <c r="A23" s="104" t="str">
        <f>'G-1 All Habitats'!B22</f>
        <v>Grassland - Tall herb communities (H6430)</v>
      </c>
      <c r="B23" s="88" t="str">
        <f>'G-1 All Habitats'!F22</f>
        <v>Grassland</v>
      </c>
      <c r="C23" s="88" t="str">
        <f>'G-1 All Habitats'!K22</f>
        <v>High</v>
      </c>
      <c r="D23" s="88" t="str">
        <f>'G-1 All Habitats'!M22</f>
        <v>Same habitat required =</v>
      </c>
      <c r="E23" s="494">
        <f>IF(C23="V.High",SUMIF('A-1 Site Habitat Baseline'!$G$11:$G$258,'G-2 Habitat groups'!A23,'A-1 Site Habitat Baseline'!$S$11:$S$258)+SUMIF('A-1 Site Habitat Baseline'!$G$11:$G$258,'G-2 Habitat groups'!A23,'A-1 Site Habitat Baseline'!$T$11:$T$258),SUMIF('A-1 Site Habitat Baseline'!$G$11:$G$258,'G-2 Habitat groups'!A23,'A-1 Site Habitat Baseline'!$H$11:$H$258))</f>
        <v>0</v>
      </c>
      <c r="F23" s="494">
        <f>SUMIF('A-1 Site Habitat Baseline'!$G$11:$G$258,'G-2 Habitat groups'!A23,'A-1 Site Habitat Baseline'!$Q$11:$Q$258)</f>
        <v>0</v>
      </c>
      <c r="G23" s="494">
        <f>SUMIF('A-1 Site Habitat Baseline'!$G$11:$G$258,'G-2 Habitat groups'!A23,'A-1 Site Habitat Baseline'!$S$11:$S$258)</f>
        <v>0</v>
      </c>
      <c r="H23" s="494">
        <f>SUMIF('A-1 Site Habitat Baseline'!$G$11:$G$258,'G-2 Habitat groups'!A23,'A-1 Site Habitat Baseline'!$U$11:$U$258)</f>
        <v>0</v>
      </c>
      <c r="I23" s="494">
        <f>SUMIF('A-1 Site Habitat Baseline'!$G$11:$G$258,'G-2 Habitat groups'!A23,'A-1 Site Habitat Baseline'!$W$11:$W$258)</f>
        <v>0</v>
      </c>
      <c r="J23" s="494">
        <f>SUMIF('A-1 Site Habitat Baseline'!$G$11:$G$258,'G-2 Habitat groups'!A23,'A-1 Site Habitat Baseline'!$X$11:$X$258)</f>
        <v>0</v>
      </c>
      <c r="K23" s="494">
        <f>SUMIF('A-2 Site Habitat Creation'!$F$11:$F$256,'G-2 Habitat groups'!A23,'A-2 Site Habitat Creation'!$G$11:$G$256)</f>
        <v>0</v>
      </c>
      <c r="L23" s="494">
        <f>SUMIF('A-2 Site Habitat Creation'!$F$11:$F$256,'G-2 Habitat groups'!A23,'A-2 Site Habitat Creation'!$Y$11:$Y$256)</f>
        <v>0</v>
      </c>
      <c r="M23" s="494">
        <f>SUMIF('A-3 Site Habitat Enhancement'!$S$12:$S$257,'G-2 Habitat groups'!A23,'A-3 Site Habitat Enhancement'!$V$12:$V$257)</f>
        <v>0</v>
      </c>
      <c r="N23" s="494">
        <f>SUMIF('A-3 Site Habitat Enhancement'!$S$12:$S$257,'G-2 Habitat groups'!A23,'A-3 Site Habitat Enhancement'!$AN$12:$AN$257)</f>
        <v>0</v>
      </c>
      <c r="O23" s="494">
        <f t="shared" si="0"/>
        <v>0</v>
      </c>
      <c r="P23" s="494">
        <f t="shared" si="1"/>
        <v>0</v>
      </c>
      <c r="Q23" s="494">
        <f t="shared" si="2"/>
        <v>0</v>
      </c>
      <c r="R23" s="494">
        <f t="shared" si="3"/>
        <v>0</v>
      </c>
      <c r="S23" s="494">
        <f>IF(C23="V.High",SUMIF('D-1 Off Site Habitat Baseline'!$G$11:$G$258,'G-2 Habitat groups'!A23,'D-1 Off Site Habitat Baseline'!$S$11:$S$258)+SUMIF('D-1 Off Site Habitat Baseline'!$G$11:$G$258,'G-2 Habitat groups'!A23,'D-1 Off Site Habitat Baseline'!$T$11:$T$258),SUMIF('D-1 Off Site Habitat Baseline'!$G$11:$G$258,'G-2 Habitat groups'!A23,'D-1 Off Site Habitat Baseline'!$H$11:$H$258))</f>
        <v>0</v>
      </c>
      <c r="T23" s="494">
        <f>SUMIF('D-1 Off Site Habitat Baseline'!$G$11:$G$258,'G-2 Habitat groups'!A23,'D-1 Off Site Habitat Baseline'!$Q$11:$Q$258)</f>
        <v>0</v>
      </c>
      <c r="U23" s="591">
        <f>SUMIF('D-1 Off Site Habitat Baseline'!$G$11:$G$258,'G-2 Habitat groups'!A23,'D-1 Off Site Habitat Baseline'!$S$11:$S$258)</f>
        <v>0</v>
      </c>
      <c r="V23" s="494">
        <f>SUMIF('D-1 Off Site Habitat Baseline'!$G$11:$G$258,'G-2 Habitat groups'!A23,'D-1 Off Site Habitat Baseline'!$U$11:$U$258)</f>
        <v>0</v>
      </c>
      <c r="W23" s="494">
        <f>SUMIF('D-2 Off Site Habitat Creation'!$F$9:$F$255,'G-2 Habitat groups'!A23,'D-2 Off Site Habitat Creation'!$G$9:$G$255)</f>
        <v>0</v>
      </c>
      <c r="X23" s="494">
        <f>SUMIF('D-2 Off Site Habitat Creation'!$F$9:$F$255,'G-2 Habitat groups'!A23,'D-2 Off Site Habitat Creation'!$AA$9:$AA$255)</f>
        <v>0</v>
      </c>
      <c r="Y23" s="494">
        <f>SUMIF('D-3 Off Site Habitat Enhancment'!$S$12:$S$491,'G-2 Habitat groups'!A23,'D-3 Off Site Habitat Enhancment'!$V$12:$V$491)</f>
        <v>0</v>
      </c>
      <c r="Z23" s="494">
        <f>SUMIF('D-3 Off Site Habitat Enhancment'!$S$12:$S$491,'G-2 Habitat groups'!A23,'D-3 Off Site Habitat Enhancment'!$AP$12:$AP$491)</f>
        <v>0</v>
      </c>
      <c r="AA23" s="494">
        <f t="shared" si="4"/>
        <v>0</v>
      </c>
      <c r="AB23" s="494">
        <f t="shared" si="5"/>
        <v>0</v>
      </c>
      <c r="AC23" s="494">
        <f t="shared" si="6"/>
        <v>0</v>
      </c>
      <c r="AD23" s="494">
        <f t="shared" si="7"/>
        <v>0</v>
      </c>
      <c r="AE23" s="494">
        <f t="shared" si="8"/>
        <v>0</v>
      </c>
      <c r="AF23" s="494">
        <f t="shared" si="9"/>
        <v>0</v>
      </c>
      <c r="AJ23" s="107" t="s">
        <v>72</v>
      </c>
      <c r="AK23" s="100">
        <f t="shared" si="37"/>
        <v>0</v>
      </c>
      <c r="AL23" s="100">
        <f t="shared" si="38"/>
        <v>0</v>
      </c>
      <c r="AM23" s="100">
        <f t="shared" si="39"/>
        <v>0</v>
      </c>
      <c r="AN23" s="100">
        <f t="shared" si="40"/>
        <v>0</v>
      </c>
      <c r="AO23" s="111">
        <f t="shared" si="41"/>
        <v>0</v>
      </c>
      <c r="AP23" s="111">
        <f t="shared" si="42"/>
        <v>0</v>
      </c>
      <c r="AU23" s="119" t="s">
        <v>743</v>
      </c>
      <c r="AV23" s="88" t="s">
        <v>866</v>
      </c>
      <c r="AW23" s="494">
        <f t="shared" si="27"/>
        <v>0</v>
      </c>
      <c r="AX23" s="494">
        <f t="shared" si="28"/>
        <v>0</v>
      </c>
      <c r="AY23" s="494">
        <f t="shared" si="29"/>
        <v>0</v>
      </c>
      <c r="AZ23" s="494">
        <f t="shared" si="30"/>
        <v>0</v>
      </c>
      <c r="BA23" s="494">
        <f t="shared" si="31"/>
        <v>0</v>
      </c>
      <c r="BB23" s="494">
        <f t="shared" si="32"/>
        <v>0</v>
      </c>
      <c r="BC23" s="494">
        <f t="shared" si="33"/>
        <v>0</v>
      </c>
      <c r="BD23" s="494">
        <f t="shared" si="34"/>
        <v>0</v>
      </c>
      <c r="BE23" s="494">
        <f t="shared" si="35"/>
        <v>0</v>
      </c>
      <c r="BF23" s="494" t="str">
        <f t="shared" si="36"/>
        <v/>
      </c>
      <c r="BG23" s="586">
        <f t="shared" si="26"/>
        <v>0</v>
      </c>
    </row>
    <row r="24" spans="1:59" ht="18" customHeight="1" x14ac:dyDescent="0.3">
      <c r="A24" s="104" t="str">
        <f>'G-1 All Habitats'!B23</f>
        <v>Grassland - Upland acid grassland</v>
      </c>
      <c r="B24" s="88" t="str">
        <f>'G-1 All Habitats'!F23</f>
        <v>Grassland</v>
      </c>
      <c r="C24" s="88" t="str">
        <f>'G-1 All Habitats'!K23</f>
        <v>Medium</v>
      </c>
      <c r="D24" s="88" t="str">
        <f>'G-1 All Habitats'!M23</f>
        <v>Same broad habitat or a higher distinctiveness habitat required (≥)</v>
      </c>
      <c r="E24" s="494">
        <f>IF(C24="V.High",SUMIF('A-1 Site Habitat Baseline'!$G$11:$G$258,'G-2 Habitat groups'!A24,'A-1 Site Habitat Baseline'!$S$11:$S$258)+SUMIF('A-1 Site Habitat Baseline'!$G$11:$G$258,'G-2 Habitat groups'!A24,'A-1 Site Habitat Baseline'!$T$11:$T$258),SUMIF('A-1 Site Habitat Baseline'!$G$11:$G$258,'G-2 Habitat groups'!A24,'A-1 Site Habitat Baseline'!$H$11:$H$258))</f>
        <v>0</v>
      </c>
      <c r="F24" s="494">
        <f>SUMIF('A-1 Site Habitat Baseline'!$G$11:$G$258,'G-2 Habitat groups'!A24,'A-1 Site Habitat Baseline'!$Q$11:$Q$258)</f>
        <v>0</v>
      </c>
      <c r="G24" s="494">
        <f>SUMIF('A-1 Site Habitat Baseline'!$G$11:$G$258,'G-2 Habitat groups'!A24,'A-1 Site Habitat Baseline'!$S$11:$S$258)</f>
        <v>0</v>
      </c>
      <c r="H24" s="494">
        <f>SUMIF('A-1 Site Habitat Baseline'!$G$11:$G$258,'G-2 Habitat groups'!A24,'A-1 Site Habitat Baseline'!$U$11:$U$258)</f>
        <v>0</v>
      </c>
      <c r="I24" s="494">
        <f>SUMIF('A-1 Site Habitat Baseline'!$G$11:$G$258,'G-2 Habitat groups'!A24,'A-1 Site Habitat Baseline'!$W$11:$W$258)</f>
        <v>0</v>
      </c>
      <c r="J24" s="494">
        <f>SUMIF('A-1 Site Habitat Baseline'!$G$11:$G$258,'G-2 Habitat groups'!A24,'A-1 Site Habitat Baseline'!$X$11:$X$258)</f>
        <v>0</v>
      </c>
      <c r="K24" s="494">
        <f>SUMIF('A-2 Site Habitat Creation'!$F$11:$F$256,'G-2 Habitat groups'!A24,'A-2 Site Habitat Creation'!$G$11:$G$256)</f>
        <v>0</v>
      </c>
      <c r="L24" s="494">
        <f>SUMIF('A-2 Site Habitat Creation'!$F$11:$F$256,'G-2 Habitat groups'!A24,'A-2 Site Habitat Creation'!$Y$11:$Y$256)</f>
        <v>0</v>
      </c>
      <c r="M24" s="494">
        <f>SUMIF('A-3 Site Habitat Enhancement'!$S$12:$S$257,'G-2 Habitat groups'!A24,'A-3 Site Habitat Enhancement'!$V$12:$V$257)</f>
        <v>0</v>
      </c>
      <c r="N24" s="494">
        <f>SUMIF('A-3 Site Habitat Enhancement'!$S$12:$S$257,'G-2 Habitat groups'!A24,'A-3 Site Habitat Enhancement'!$AN$12:$AN$257)</f>
        <v>0</v>
      </c>
      <c r="O24" s="494">
        <f t="shared" si="0"/>
        <v>0</v>
      </c>
      <c r="P24" s="494">
        <f t="shared" si="1"/>
        <v>0</v>
      </c>
      <c r="Q24" s="494">
        <f t="shared" si="2"/>
        <v>0</v>
      </c>
      <c r="R24" s="494">
        <f t="shared" si="3"/>
        <v>0</v>
      </c>
      <c r="S24" s="494">
        <f>IF(C24="V.High",SUMIF('D-1 Off Site Habitat Baseline'!$G$11:$G$258,'G-2 Habitat groups'!A24,'D-1 Off Site Habitat Baseline'!$S$11:$S$258)+SUMIF('D-1 Off Site Habitat Baseline'!$G$11:$G$258,'G-2 Habitat groups'!A24,'D-1 Off Site Habitat Baseline'!$T$11:$T$258),SUMIF('D-1 Off Site Habitat Baseline'!$G$11:$G$258,'G-2 Habitat groups'!A24,'D-1 Off Site Habitat Baseline'!$H$11:$H$258))</f>
        <v>0</v>
      </c>
      <c r="T24" s="494">
        <f>SUMIF('D-1 Off Site Habitat Baseline'!$G$11:$G$258,'G-2 Habitat groups'!A24,'D-1 Off Site Habitat Baseline'!$Q$11:$Q$258)</f>
        <v>0</v>
      </c>
      <c r="U24" s="591">
        <f>SUMIF('D-1 Off Site Habitat Baseline'!$G$11:$G$258,'G-2 Habitat groups'!A24,'D-1 Off Site Habitat Baseline'!$S$11:$S$258)</f>
        <v>0</v>
      </c>
      <c r="V24" s="494">
        <f>SUMIF('D-1 Off Site Habitat Baseline'!$G$11:$G$258,'G-2 Habitat groups'!A24,'D-1 Off Site Habitat Baseline'!$U$11:$U$258)</f>
        <v>0</v>
      </c>
      <c r="W24" s="494">
        <f>SUMIF('D-2 Off Site Habitat Creation'!$F$9:$F$255,'G-2 Habitat groups'!A24,'D-2 Off Site Habitat Creation'!$G$9:$G$255)</f>
        <v>0</v>
      </c>
      <c r="X24" s="494">
        <f>SUMIF('D-2 Off Site Habitat Creation'!$F$9:$F$255,'G-2 Habitat groups'!A24,'D-2 Off Site Habitat Creation'!$AA$9:$AA$255)</f>
        <v>0</v>
      </c>
      <c r="Y24" s="494">
        <f>SUMIF('D-3 Off Site Habitat Enhancment'!$S$12:$S$491,'G-2 Habitat groups'!A24,'D-3 Off Site Habitat Enhancment'!$V$12:$V$491)</f>
        <v>0</v>
      </c>
      <c r="Z24" s="494">
        <f>SUMIF('D-3 Off Site Habitat Enhancment'!$S$12:$S$491,'G-2 Habitat groups'!A24,'D-3 Off Site Habitat Enhancment'!$AP$12:$AP$491)</f>
        <v>0</v>
      </c>
      <c r="AA24" s="494">
        <f t="shared" si="4"/>
        <v>0</v>
      </c>
      <c r="AB24" s="494">
        <f t="shared" si="5"/>
        <v>0</v>
      </c>
      <c r="AC24" s="494">
        <f t="shared" si="6"/>
        <v>0</v>
      </c>
      <c r="AD24" s="494">
        <f t="shared" si="7"/>
        <v>0</v>
      </c>
      <c r="AE24" s="494">
        <f t="shared" si="8"/>
        <v>0</v>
      </c>
      <c r="AF24" s="494">
        <f t="shared" si="9"/>
        <v>0</v>
      </c>
      <c r="AJ24" s="108" t="s">
        <v>73</v>
      </c>
      <c r="AK24" s="100">
        <f t="shared" si="37"/>
        <v>0</v>
      </c>
      <c r="AL24" s="100">
        <f t="shared" si="38"/>
        <v>0</v>
      </c>
      <c r="AM24" s="100">
        <f t="shared" si="39"/>
        <v>0</v>
      </c>
      <c r="AN24" s="100">
        <f t="shared" si="40"/>
        <v>0</v>
      </c>
      <c r="AO24" s="111">
        <f t="shared" si="41"/>
        <v>0</v>
      </c>
      <c r="AP24" s="111">
        <f t="shared" si="42"/>
        <v>0</v>
      </c>
      <c r="AU24" s="119" t="s">
        <v>768</v>
      </c>
      <c r="AV24" s="88" t="s">
        <v>77</v>
      </c>
      <c r="AW24" s="494">
        <f t="shared" si="27"/>
        <v>0</v>
      </c>
      <c r="AX24" s="494">
        <f t="shared" si="28"/>
        <v>0</v>
      </c>
      <c r="AY24" s="494">
        <f t="shared" si="29"/>
        <v>0</v>
      </c>
      <c r="AZ24" s="494">
        <f t="shared" si="30"/>
        <v>0</v>
      </c>
      <c r="BA24" s="494">
        <f t="shared" si="31"/>
        <v>0</v>
      </c>
      <c r="BB24" s="494">
        <f t="shared" si="32"/>
        <v>0</v>
      </c>
      <c r="BC24" s="494">
        <f t="shared" si="33"/>
        <v>0</v>
      </c>
      <c r="BD24" s="494">
        <f t="shared" si="34"/>
        <v>0</v>
      </c>
      <c r="BE24" s="494">
        <f t="shared" si="35"/>
        <v>0</v>
      </c>
      <c r="BF24" s="494" t="str">
        <f t="shared" si="36"/>
        <v/>
      </c>
      <c r="BG24" s="586">
        <f t="shared" si="26"/>
        <v>0</v>
      </c>
    </row>
    <row r="25" spans="1:59" x14ac:dyDescent="0.3">
      <c r="A25" s="104" t="str">
        <f>'G-1 All Habitats'!B24</f>
        <v>Grassland - Upland calcareous grassland</v>
      </c>
      <c r="B25" s="88" t="str">
        <f>'G-1 All Habitats'!F24</f>
        <v>Grassland</v>
      </c>
      <c r="C25" s="88" t="str">
        <f>'G-1 All Habitats'!K24</f>
        <v>High</v>
      </c>
      <c r="D25" s="88" t="str">
        <f>'G-1 All Habitats'!M24</f>
        <v>Same habitat required =</v>
      </c>
      <c r="E25" s="494">
        <f>IF(C25="V.High",SUMIF('A-1 Site Habitat Baseline'!$G$11:$G$258,'G-2 Habitat groups'!A25,'A-1 Site Habitat Baseline'!$S$11:$S$258)+SUMIF('A-1 Site Habitat Baseline'!$G$11:$G$258,'G-2 Habitat groups'!A25,'A-1 Site Habitat Baseline'!$T$11:$T$258),SUMIF('A-1 Site Habitat Baseline'!$G$11:$G$258,'G-2 Habitat groups'!A25,'A-1 Site Habitat Baseline'!$H$11:$H$258))</f>
        <v>0</v>
      </c>
      <c r="F25" s="494">
        <f>SUMIF('A-1 Site Habitat Baseline'!$G$11:$G$258,'G-2 Habitat groups'!A25,'A-1 Site Habitat Baseline'!$Q$11:$Q$258)</f>
        <v>0</v>
      </c>
      <c r="G25" s="494">
        <f>SUMIF('A-1 Site Habitat Baseline'!$G$11:$G$258,'G-2 Habitat groups'!A25,'A-1 Site Habitat Baseline'!$S$11:$S$258)</f>
        <v>0</v>
      </c>
      <c r="H25" s="494">
        <f>SUMIF('A-1 Site Habitat Baseline'!$G$11:$G$258,'G-2 Habitat groups'!A25,'A-1 Site Habitat Baseline'!$U$11:$U$258)</f>
        <v>0</v>
      </c>
      <c r="I25" s="494">
        <f>SUMIF('A-1 Site Habitat Baseline'!$G$11:$G$258,'G-2 Habitat groups'!A25,'A-1 Site Habitat Baseline'!$W$11:$W$258)</f>
        <v>0</v>
      </c>
      <c r="J25" s="494">
        <f>SUMIF('A-1 Site Habitat Baseline'!$G$11:$G$258,'G-2 Habitat groups'!A25,'A-1 Site Habitat Baseline'!$X$11:$X$258)</f>
        <v>0</v>
      </c>
      <c r="K25" s="494">
        <f>SUMIF('A-2 Site Habitat Creation'!$F$11:$F$256,'G-2 Habitat groups'!A25,'A-2 Site Habitat Creation'!$G$11:$G$256)</f>
        <v>0</v>
      </c>
      <c r="L25" s="494">
        <f>SUMIF('A-2 Site Habitat Creation'!$F$11:$F$256,'G-2 Habitat groups'!A25,'A-2 Site Habitat Creation'!$Y$11:$Y$256)</f>
        <v>0</v>
      </c>
      <c r="M25" s="494">
        <f>SUMIF('A-3 Site Habitat Enhancement'!$S$12:$S$257,'G-2 Habitat groups'!A25,'A-3 Site Habitat Enhancement'!$V$12:$V$257)</f>
        <v>0</v>
      </c>
      <c r="N25" s="494">
        <f>SUMIF('A-3 Site Habitat Enhancement'!$S$12:$S$257,'G-2 Habitat groups'!A25,'A-3 Site Habitat Enhancement'!$AN$12:$AN$257)</f>
        <v>0</v>
      </c>
      <c r="O25" s="494">
        <f t="shared" si="0"/>
        <v>0</v>
      </c>
      <c r="P25" s="494">
        <f t="shared" si="1"/>
        <v>0</v>
      </c>
      <c r="Q25" s="494">
        <f t="shared" si="2"/>
        <v>0</v>
      </c>
      <c r="R25" s="494">
        <f t="shared" si="3"/>
        <v>0</v>
      </c>
      <c r="S25" s="494">
        <f>IF(C25="V.High",SUMIF('D-1 Off Site Habitat Baseline'!$G$11:$G$258,'G-2 Habitat groups'!A25,'D-1 Off Site Habitat Baseline'!$S$11:$S$258)+SUMIF('D-1 Off Site Habitat Baseline'!$G$11:$G$258,'G-2 Habitat groups'!A25,'D-1 Off Site Habitat Baseline'!$T$11:$T$258),SUMIF('D-1 Off Site Habitat Baseline'!$G$11:$G$258,'G-2 Habitat groups'!A25,'D-1 Off Site Habitat Baseline'!$H$11:$H$258))</f>
        <v>0</v>
      </c>
      <c r="T25" s="494">
        <f>SUMIF('D-1 Off Site Habitat Baseline'!$G$11:$G$258,'G-2 Habitat groups'!A25,'D-1 Off Site Habitat Baseline'!$Q$11:$Q$258)</f>
        <v>0</v>
      </c>
      <c r="U25" s="591">
        <f>SUMIF('D-1 Off Site Habitat Baseline'!$G$11:$G$258,'G-2 Habitat groups'!A25,'D-1 Off Site Habitat Baseline'!$S$11:$S$258)</f>
        <v>0</v>
      </c>
      <c r="V25" s="494">
        <f>SUMIF('D-1 Off Site Habitat Baseline'!$G$11:$G$258,'G-2 Habitat groups'!A25,'D-1 Off Site Habitat Baseline'!$U$11:$U$258)</f>
        <v>0</v>
      </c>
      <c r="W25" s="494">
        <f>SUMIF('D-2 Off Site Habitat Creation'!$F$9:$F$255,'G-2 Habitat groups'!A25,'D-2 Off Site Habitat Creation'!$G$9:$G$255)</f>
        <v>0</v>
      </c>
      <c r="X25" s="494">
        <f>SUMIF('D-2 Off Site Habitat Creation'!$F$9:$F$255,'G-2 Habitat groups'!A25,'D-2 Off Site Habitat Creation'!$AA$9:$AA$255)</f>
        <v>0</v>
      </c>
      <c r="Y25" s="494">
        <f>SUMIF('D-3 Off Site Habitat Enhancment'!$S$12:$S$491,'G-2 Habitat groups'!A25,'D-3 Off Site Habitat Enhancment'!$V$12:$V$491)</f>
        <v>0</v>
      </c>
      <c r="Z25" s="494">
        <f>SUMIF('D-3 Off Site Habitat Enhancment'!$S$12:$S$491,'G-2 Habitat groups'!A25,'D-3 Off Site Habitat Enhancment'!$AP$12:$AP$491)</f>
        <v>0</v>
      </c>
      <c r="AA25" s="494">
        <f t="shared" si="4"/>
        <v>0</v>
      </c>
      <c r="AB25" s="494">
        <f t="shared" si="5"/>
        <v>0</v>
      </c>
      <c r="AC25" s="494">
        <f t="shared" si="6"/>
        <v>0</v>
      </c>
      <c r="AD25" s="494">
        <f t="shared" si="7"/>
        <v>0</v>
      </c>
      <c r="AE25" s="494">
        <f t="shared" si="8"/>
        <v>0</v>
      </c>
      <c r="AF25" s="494">
        <f t="shared" si="9"/>
        <v>0</v>
      </c>
      <c r="AJ25" s="107" t="s">
        <v>74</v>
      </c>
      <c r="AK25" s="100">
        <f t="shared" si="37"/>
        <v>0</v>
      </c>
      <c r="AL25" s="100">
        <f t="shared" si="38"/>
        <v>0</v>
      </c>
      <c r="AM25" s="100">
        <f t="shared" si="39"/>
        <v>0</v>
      </c>
      <c r="AN25" s="100">
        <f t="shared" si="40"/>
        <v>0</v>
      </c>
      <c r="AO25" s="111">
        <f t="shared" si="41"/>
        <v>0</v>
      </c>
      <c r="AP25" s="111">
        <f t="shared" si="42"/>
        <v>0</v>
      </c>
    </row>
    <row r="26" spans="1:59" x14ac:dyDescent="0.3">
      <c r="A26" s="104" t="str">
        <f>'G-1 All Habitats'!B25</f>
        <v>Grassland - Upland hay meadows</v>
      </c>
      <c r="B26" s="88" t="str">
        <f>'G-1 All Habitats'!F25</f>
        <v>Grassland</v>
      </c>
      <c r="C26" s="88" t="str">
        <f>'G-1 All Habitats'!K25</f>
        <v>V.High</v>
      </c>
      <c r="D26" s="88" t="str">
        <f>'G-1 All Habitats'!M25</f>
        <v>Bespoke compensation likely to be required 🛠</v>
      </c>
      <c r="E26" s="494">
        <f>IF(C26="V.High",SUMIF('A-1 Site Habitat Baseline'!$G$11:$G$258,'G-2 Habitat groups'!A26,'A-1 Site Habitat Baseline'!$S$11:$S$258)+SUMIF('A-1 Site Habitat Baseline'!$G$11:$G$258,'G-2 Habitat groups'!A26,'A-1 Site Habitat Baseline'!$T$11:$T$258),SUMIF('A-1 Site Habitat Baseline'!$G$11:$G$258,'G-2 Habitat groups'!A26,'A-1 Site Habitat Baseline'!$H$11:$H$258))</f>
        <v>0</v>
      </c>
      <c r="F26" s="494">
        <f>SUMIF('A-1 Site Habitat Baseline'!$G$11:$G$258,'G-2 Habitat groups'!A26,'A-1 Site Habitat Baseline'!$Q$11:$Q$258)</f>
        <v>0</v>
      </c>
      <c r="G26" s="494">
        <f>SUMIF('A-1 Site Habitat Baseline'!$G$11:$G$258,'G-2 Habitat groups'!A26,'A-1 Site Habitat Baseline'!$S$11:$S$258)</f>
        <v>0</v>
      </c>
      <c r="H26" s="494">
        <f>SUMIF('A-1 Site Habitat Baseline'!$G$11:$G$258,'G-2 Habitat groups'!A26,'A-1 Site Habitat Baseline'!$U$11:$U$258)</f>
        <v>0</v>
      </c>
      <c r="I26" s="494">
        <f>SUMIF('A-1 Site Habitat Baseline'!$G$11:$G$258,'G-2 Habitat groups'!A26,'A-1 Site Habitat Baseline'!$W$11:$W$258)</f>
        <v>0</v>
      </c>
      <c r="J26" s="494">
        <f>SUMIF('A-1 Site Habitat Baseline'!$G$11:$G$258,'G-2 Habitat groups'!A26,'A-1 Site Habitat Baseline'!$X$11:$X$258)</f>
        <v>0</v>
      </c>
      <c r="K26" s="494">
        <f>SUMIF('A-2 Site Habitat Creation'!$F$11:$F$256,'G-2 Habitat groups'!A26,'A-2 Site Habitat Creation'!$G$11:$G$256)</f>
        <v>0</v>
      </c>
      <c r="L26" s="494">
        <f>SUMIF('A-2 Site Habitat Creation'!$F$11:$F$256,'G-2 Habitat groups'!A26,'A-2 Site Habitat Creation'!$Y$11:$Y$256)</f>
        <v>0</v>
      </c>
      <c r="M26" s="494">
        <f>SUMIF('A-3 Site Habitat Enhancement'!$S$12:$S$257,'G-2 Habitat groups'!A26,'A-3 Site Habitat Enhancement'!$V$12:$V$257)</f>
        <v>0</v>
      </c>
      <c r="N26" s="494">
        <f>SUMIF('A-3 Site Habitat Enhancement'!$S$12:$S$257,'G-2 Habitat groups'!A26,'A-3 Site Habitat Enhancement'!$AN$12:$AN$257)</f>
        <v>0</v>
      </c>
      <c r="O26" s="494">
        <f t="shared" si="0"/>
        <v>0</v>
      </c>
      <c r="P26" s="494">
        <f t="shared" si="1"/>
        <v>0</v>
      </c>
      <c r="Q26" s="494">
        <f t="shared" si="2"/>
        <v>0</v>
      </c>
      <c r="R26" s="494">
        <f t="shared" si="3"/>
        <v>0</v>
      </c>
      <c r="S26" s="494">
        <f>IF(C26="V.High",SUMIF('D-1 Off Site Habitat Baseline'!$G$11:$G$258,'G-2 Habitat groups'!A26,'D-1 Off Site Habitat Baseline'!$S$11:$S$258)+SUMIF('D-1 Off Site Habitat Baseline'!$G$11:$G$258,'G-2 Habitat groups'!A26,'D-1 Off Site Habitat Baseline'!$T$11:$T$258),SUMIF('D-1 Off Site Habitat Baseline'!$G$11:$G$258,'G-2 Habitat groups'!A26,'D-1 Off Site Habitat Baseline'!$H$11:$H$258))</f>
        <v>0</v>
      </c>
      <c r="T26" s="494">
        <f>SUMIF('D-1 Off Site Habitat Baseline'!$G$11:$G$258,'G-2 Habitat groups'!A26,'D-1 Off Site Habitat Baseline'!$Q$11:$Q$258)</f>
        <v>0</v>
      </c>
      <c r="U26" s="591">
        <f>SUMIF('D-1 Off Site Habitat Baseline'!$G$11:$G$258,'G-2 Habitat groups'!A26,'D-1 Off Site Habitat Baseline'!$S$11:$S$258)</f>
        <v>0</v>
      </c>
      <c r="V26" s="494">
        <f>SUMIF('D-1 Off Site Habitat Baseline'!$G$11:$G$258,'G-2 Habitat groups'!A26,'D-1 Off Site Habitat Baseline'!$U$11:$U$258)</f>
        <v>0</v>
      </c>
      <c r="W26" s="494">
        <f>SUMIF('D-2 Off Site Habitat Creation'!$F$9:$F$255,'G-2 Habitat groups'!A26,'D-2 Off Site Habitat Creation'!$G$9:$G$255)</f>
        <v>0</v>
      </c>
      <c r="X26" s="494">
        <f>SUMIF('D-2 Off Site Habitat Creation'!$F$9:$F$255,'G-2 Habitat groups'!A26,'D-2 Off Site Habitat Creation'!$AA$9:$AA$255)</f>
        <v>0</v>
      </c>
      <c r="Y26" s="494">
        <f>SUMIF('D-3 Off Site Habitat Enhancment'!$S$12:$S$491,'G-2 Habitat groups'!A26,'D-3 Off Site Habitat Enhancment'!$V$12:$V$491)</f>
        <v>0</v>
      </c>
      <c r="Z26" s="494">
        <f>SUMIF('D-3 Off Site Habitat Enhancment'!$S$12:$S$491,'G-2 Habitat groups'!A26,'D-3 Off Site Habitat Enhancment'!$AP$12:$AP$491)</f>
        <v>0</v>
      </c>
      <c r="AA26" s="494">
        <f t="shared" si="4"/>
        <v>0</v>
      </c>
      <c r="AB26" s="494">
        <f t="shared" si="5"/>
        <v>0</v>
      </c>
      <c r="AC26" s="494">
        <f t="shared" si="6"/>
        <v>0</v>
      </c>
      <c r="AD26" s="494">
        <f t="shared" si="7"/>
        <v>0</v>
      </c>
      <c r="AE26" s="494">
        <f t="shared" si="8"/>
        <v>0</v>
      </c>
      <c r="AF26" s="494">
        <f t="shared" si="9"/>
        <v>0</v>
      </c>
      <c r="AJ26" s="107" t="s">
        <v>75</v>
      </c>
      <c r="AK26" s="100">
        <f t="shared" si="37"/>
        <v>0</v>
      </c>
      <c r="AL26" s="100">
        <f t="shared" si="38"/>
        <v>0</v>
      </c>
      <c r="AM26" s="100">
        <f t="shared" si="39"/>
        <v>0</v>
      </c>
      <c r="AN26" s="100">
        <f t="shared" si="40"/>
        <v>0</v>
      </c>
      <c r="AO26" s="111">
        <f t="shared" si="41"/>
        <v>0</v>
      </c>
      <c r="AP26" s="111">
        <f t="shared" si="42"/>
        <v>0</v>
      </c>
    </row>
    <row r="27" spans="1:59" ht="15.65" customHeight="1" x14ac:dyDescent="0.3">
      <c r="A27" s="104" t="str">
        <f>'G-1 All Habitats'!B26</f>
        <v>Heathland and shrub - Blackthorn scrub</v>
      </c>
      <c r="B27" s="88" t="str">
        <f>'G-1 All Habitats'!F26</f>
        <v>Heathland and shrub</v>
      </c>
      <c r="C27" s="88" t="str">
        <f>'G-1 All Habitats'!K26</f>
        <v>Medium</v>
      </c>
      <c r="D27" s="88" t="str">
        <f>'G-1 All Habitats'!M26</f>
        <v>Same broad habitat or a higher distinctiveness habitat required (≥)</v>
      </c>
      <c r="E27" s="494">
        <f>IF(C27="V.High",SUMIF('A-1 Site Habitat Baseline'!$G$11:$G$258,'G-2 Habitat groups'!A27,'A-1 Site Habitat Baseline'!$S$11:$S$258)+SUMIF('A-1 Site Habitat Baseline'!$G$11:$G$258,'G-2 Habitat groups'!A27,'A-1 Site Habitat Baseline'!$T$11:$T$258),SUMIF('A-1 Site Habitat Baseline'!$G$11:$G$258,'G-2 Habitat groups'!A27,'A-1 Site Habitat Baseline'!$H$11:$H$258))</f>
        <v>0</v>
      </c>
      <c r="F27" s="494">
        <f>SUMIF('A-1 Site Habitat Baseline'!$G$11:$G$258,'G-2 Habitat groups'!A27,'A-1 Site Habitat Baseline'!$Q$11:$Q$258)</f>
        <v>0</v>
      </c>
      <c r="G27" s="494">
        <f>SUMIF('A-1 Site Habitat Baseline'!$G$11:$G$258,'G-2 Habitat groups'!A27,'A-1 Site Habitat Baseline'!$S$11:$S$258)</f>
        <v>0</v>
      </c>
      <c r="H27" s="494">
        <f>SUMIF('A-1 Site Habitat Baseline'!$G$11:$G$258,'G-2 Habitat groups'!A27,'A-1 Site Habitat Baseline'!$U$11:$U$258)</f>
        <v>0</v>
      </c>
      <c r="I27" s="494">
        <f>SUMIF('A-1 Site Habitat Baseline'!$G$11:$G$258,'G-2 Habitat groups'!A27,'A-1 Site Habitat Baseline'!$W$11:$W$258)</f>
        <v>0</v>
      </c>
      <c r="J27" s="494">
        <f>SUMIF('A-1 Site Habitat Baseline'!$G$11:$G$258,'G-2 Habitat groups'!A27,'A-1 Site Habitat Baseline'!$X$11:$X$258)</f>
        <v>0</v>
      </c>
      <c r="K27" s="494">
        <f>SUMIF('A-2 Site Habitat Creation'!$F$11:$F$256,'G-2 Habitat groups'!A27,'A-2 Site Habitat Creation'!$G$11:$G$256)</f>
        <v>0</v>
      </c>
      <c r="L27" s="494">
        <f>SUMIF('A-2 Site Habitat Creation'!$F$11:$F$256,'G-2 Habitat groups'!A27,'A-2 Site Habitat Creation'!$Y$11:$Y$256)</f>
        <v>0</v>
      </c>
      <c r="M27" s="494">
        <f>SUMIF('A-3 Site Habitat Enhancement'!$S$12:$S$257,'G-2 Habitat groups'!A27,'A-3 Site Habitat Enhancement'!$V$12:$V$257)</f>
        <v>0</v>
      </c>
      <c r="N27" s="494">
        <f>SUMIF('A-3 Site Habitat Enhancement'!$S$12:$S$257,'G-2 Habitat groups'!A27,'A-3 Site Habitat Enhancement'!$AN$12:$AN$257)</f>
        <v>0</v>
      </c>
      <c r="O27" s="494">
        <f t="shared" si="0"/>
        <v>0</v>
      </c>
      <c r="P27" s="494">
        <f t="shared" si="1"/>
        <v>0</v>
      </c>
      <c r="Q27" s="494">
        <f t="shared" si="2"/>
        <v>0</v>
      </c>
      <c r="R27" s="494">
        <f t="shared" si="3"/>
        <v>0</v>
      </c>
      <c r="S27" s="494">
        <f>IF(C27="V.High",SUMIF('D-1 Off Site Habitat Baseline'!$G$11:$G$258,'G-2 Habitat groups'!A27,'D-1 Off Site Habitat Baseline'!$S$11:$S$258)+SUMIF('D-1 Off Site Habitat Baseline'!$G$11:$G$258,'G-2 Habitat groups'!A27,'D-1 Off Site Habitat Baseline'!$T$11:$T$258),SUMIF('D-1 Off Site Habitat Baseline'!$G$11:$G$258,'G-2 Habitat groups'!A27,'D-1 Off Site Habitat Baseline'!$H$11:$H$258))</f>
        <v>0</v>
      </c>
      <c r="T27" s="494">
        <f>SUMIF('D-1 Off Site Habitat Baseline'!$G$11:$G$258,'G-2 Habitat groups'!A27,'D-1 Off Site Habitat Baseline'!$Q$11:$Q$258)</f>
        <v>0</v>
      </c>
      <c r="U27" s="591">
        <f>SUMIF('D-1 Off Site Habitat Baseline'!$G$11:$G$258,'G-2 Habitat groups'!A27,'D-1 Off Site Habitat Baseline'!$S$11:$S$258)</f>
        <v>0</v>
      </c>
      <c r="V27" s="494">
        <f>SUMIF('D-1 Off Site Habitat Baseline'!$G$11:$G$258,'G-2 Habitat groups'!A27,'D-1 Off Site Habitat Baseline'!$U$11:$U$258)</f>
        <v>0</v>
      </c>
      <c r="W27" s="494">
        <f>SUMIF('D-2 Off Site Habitat Creation'!$F$9:$F$255,'G-2 Habitat groups'!A27,'D-2 Off Site Habitat Creation'!$G$9:$G$255)</f>
        <v>0</v>
      </c>
      <c r="X27" s="494">
        <f>SUMIF('D-2 Off Site Habitat Creation'!$F$9:$F$255,'G-2 Habitat groups'!A27,'D-2 Off Site Habitat Creation'!$AA$9:$AA$255)</f>
        <v>0</v>
      </c>
      <c r="Y27" s="494">
        <f>SUMIF('D-3 Off Site Habitat Enhancment'!$S$12:$S$491,'G-2 Habitat groups'!A27,'D-3 Off Site Habitat Enhancment'!$V$12:$V$491)</f>
        <v>0</v>
      </c>
      <c r="Z27" s="494">
        <f>SUMIF('D-3 Off Site Habitat Enhancment'!$S$12:$S$491,'G-2 Habitat groups'!A27,'D-3 Off Site Habitat Enhancment'!$AP$12:$AP$491)</f>
        <v>0</v>
      </c>
      <c r="AA27" s="494">
        <f t="shared" si="4"/>
        <v>0</v>
      </c>
      <c r="AB27" s="494">
        <f t="shared" si="5"/>
        <v>0</v>
      </c>
      <c r="AC27" s="494">
        <f t="shared" si="6"/>
        <v>0</v>
      </c>
      <c r="AD27" s="494">
        <f t="shared" si="7"/>
        <v>0</v>
      </c>
      <c r="AE27" s="494">
        <f t="shared" si="8"/>
        <v>0</v>
      </c>
      <c r="AF27" s="494">
        <f t="shared" si="9"/>
        <v>0</v>
      </c>
      <c r="AJ27" s="109" t="s">
        <v>76</v>
      </c>
      <c r="AK27" s="100">
        <f t="shared" si="37"/>
        <v>0</v>
      </c>
      <c r="AL27" s="100">
        <f t="shared" si="38"/>
        <v>0</v>
      </c>
      <c r="AM27" s="100">
        <f t="shared" si="39"/>
        <v>0</v>
      </c>
      <c r="AN27" s="100">
        <f t="shared" si="40"/>
        <v>0</v>
      </c>
      <c r="AO27" s="111">
        <f t="shared" si="41"/>
        <v>0</v>
      </c>
      <c r="AP27" s="111">
        <f t="shared" si="42"/>
        <v>0</v>
      </c>
      <c r="AU27" s="1041" t="s">
        <v>153</v>
      </c>
    </row>
    <row r="28" spans="1:59" ht="15.65" customHeight="1" x14ac:dyDescent="0.3">
      <c r="A28" s="104" t="str">
        <f>'G-1 All Habitats'!B27</f>
        <v>Heathland and shrub - Bramble scrub</v>
      </c>
      <c r="B28" s="88" t="str">
        <f>'G-1 All Habitats'!F27</f>
        <v>Heathland and shrub</v>
      </c>
      <c r="C28" s="88" t="str">
        <f>'G-1 All Habitats'!K27</f>
        <v>Medium</v>
      </c>
      <c r="D28" s="88" t="str">
        <f>'G-1 All Habitats'!M27</f>
        <v>Same broad habitat or a higher distinctiveness habitat required (≥)</v>
      </c>
      <c r="E28" s="494">
        <f>IF(C28="V.High",SUMIF('A-1 Site Habitat Baseline'!$G$11:$G$258,'G-2 Habitat groups'!A28,'A-1 Site Habitat Baseline'!$S$11:$S$258)+SUMIF('A-1 Site Habitat Baseline'!$G$11:$G$258,'G-2 Habitat groups'!A28,'A-1 Site Habitat Baseline'!$T$11:$T$258),SUMIF('A-1 Site Habitat Baseline'!$G$11:$G$258,'G-2 Habitat groups'!A28,'A-1 Site Habitat Baseline'!$H$11:$H$258))</f>
        <v>0</v>
      </c>
      <c r="F28" s="494">
        <f>SUMIF('A-1 Site Habitat Baseline'!$G$11:$G$258,'G-2 Habitat groups'!A28,'A-1 Site Habitat Baseline'!$Q$11:$Q$258)</f>
        <v>0</v>
      </c>
      <c r="G28" s="494">
        <f>SUMIF('A-1 Site Habitat Baseline'!$G$11:$G$258,'G-2 Habitat groups'!A28,'A-1 Site Habitat Baseline'!$S$11:$S$258)</f>
        <v>0</v>
      </c>
      <c r="H28" s="494">
        <f>SUMIF('A-1 Site Habitat Baseline'!$G$11:$G$258,'G-2 Habitat groups'!A28,'A-1 Site Habitat Baseline'!$U$11:$U$258)</f>
        <v>0</v>
      </c>
      <c r="I28" s="494">
        <f>SUMIF('A-1 Site Habitat Baseline'!$G$11:$G$258,'G-2 Habitat groups'!A28,'A-1 Site Habitat Baseline'!$W$11:$W$258)</f>
        <v>0</v>
      </c>
      <c r="J28" s="494">
        <f>SUMIF('A-1 Site Habitat Baseline'!$G$11:$G$258,'G-2 Habitat groups'!A28,'A-1 Site Habitat Baseline'!$X$11:$X$258)</f>
        <v>0</v>
      </c>
      <c r="K28" s="494">
        <f>SUMIF('A-2 Site Habitat Creation'!$F$11:$F$256,'G-2 Habitat groups'!A28,'A-2 Site Habitat Creation'!$G$11:$G$256)</f>
        <v>0</v>
      </c>
      <c r="L28" s="494">
        <f>SUMIF('A-2 Site Habitat Creation'!$F$11:$F$256,'G-2 Habitat groups'!A28,'A-2 Site Habitat Creation'!$Y$11:$Y$256)</f>
        <v>0</v>
      </c>
      <c r="M28" s="494">
        <f>SUMIF('A-3 Site Habitat Enhancement'!$S$12:$S$257,'G-2 Habitat groups'!A28,'A-3 Site Habitat Enhancement'!$V$12:$V$257)</f>
        <v>0</v>
      </c>
      <c r="N28" s="494">
        <f>SUMIF('A-3 Site Habitat Enhancement'!$S$12:$S$257,'G-2 Habitat groups'!A28,'A-3 Site Habitat Enhancement'!$AN$12:$AN$257)</f>
        <v>0</v>
      </c>
      <c r="O28" s="494">
        <f t="shared" si="0"/>
        <v>0</v>
      </c>
      <c r="P28" s="494">
        <f t="shared" si="1"/>
        <v>0</v>
      </c>
      <c r="Q28" s="494">
        <f t="shared" si="2"/>
        <v>0</v>
      </c>
      <c r="R28" s="494">
        <f t="shared" si="3"/>
        <v>0</v>
      </c>
      <c r="S28" s="494">
        <f>IF(C28="V.High",SUMIF('D-1 Off Site Habitat Baseline'!$G$11:$G$258,'G-2 Habitat groups'!A28,'D-1 Off Site Habitat Baseline'!$S$11:$S$258)+SUMIF('D-1 Off Site Habitat Baseline'!$G$11:$G$258,'G-2 Habitat groups'!A28,'D-1 Off Site Habitat Baseline'!$T$11:$T$258),SUMIF('D-1 Off Site Habitat Baseline'!$G$11:$G$258,'G-2 Habitat groups'!A28,'D-1 Off Site Habitat Baseline'!$H$11:$H$258))</f>
        <v>0</v>
      </c>
      <c r="T28" s="494">
        <f>SUMIF('D-1 Off Site Habitat Baseline'!$G$11:$G$258,'G-2 Habitat groups'!A28,'D-1 Off Site Habitat Baseline'!$Q$11:$Q$258)</f>
        <v>0</v>
      </c>
      <c r="U28" s="591">
        <f>SUMIF('D-1 Off Site Habitat Baseline'!$G$11:$G$258,'G-2 Habitat groups'!A28,'D-1 Off Site Habitat Baseline'!$S$11:$S$258)</f>
        <v>0</v>
      </c>
      <c r="V28" s="494">
        <f>SUMIF('D-1 Off Site Habitat Baseline'!$G$11:$G$258,'G-2 Habitat groups'!A28,'D-1 Off Site Habitat Baseline'!$U$11:$U$258)</f>
        <v>0</v>
      </c>
      <c r="W28" s="494">
        <f>SUMIF('D-2 Off Site Habitat Creation'!$F$9:$F$255,'G-2 Habitat groups'!A28,'D-2 Off Site Habitat Creation'!$G$9:$G$255)</f>
        <v>0</v>
      </c>
      <c r="X28" s="494">
        <f>SUMIF('D-2 Off Site Habitat Creation'!$F$9:$F$255,'G-2 Habitat groups'!A28,'D-2 Off Site Habitat Creation'!$AA$9:$AA$255)</f>
        <v>0</v>
      </c>
      <c r="Y28" s="494">
        <f>SUMIF('D-3 Off Site Habitat Enhancment'!$S$12:$S$491,'G-2 Habitat groups'!A28,'D-3 Off Site Habitat Enhancment'!$V$12:$V$491)</f>
        <v>0</v>
      </c>
      <c r="Z28" s="494">
        <f>SUMIF('D-3 Off Site Habitat Enhancment'!$S$12:$S$491,'G-2 Habitat groups'!A28,'D-3 Off Site Habitat Enhancment'!$AP$12:$AP$491)</f>
        <v>0</v>
      </c>
      <c r="AA28" s="494">
        <f t="shared" si="4"/>
        <v>0</v>
      </c>
      <c r="AB28" s="494">
        <f t="shared" si="5"/>
        <v>0</v>
      </c>
      <c r="AC28" s="494">
        <f t="shared" si="6"/>
        <v>0</v>
      </c>
      <c r="AD28" s="494">
        <f t="shared" si="7"/>
        <v>0</v>
      </c>
      <c r="AE28" s="494">
        <f t="shared" si="8"/>
        <v>0</v>
      </c>
      <c r="AF28" s="494">
        <f t="shared" si="9"/>
        <v>0</v>
      </c>
      <c r="AJ28" s="109" t="s">
        <v>77</v>
      </c>
      <c r="AK28" s="100">
        <f t="shared" si="37"/>
        <v>0</v>
      </c>
      <c r="AL28" s="100">
        <f t="shared" si="38"/>
        <v>0</v>
      </c>
      <c r="AM28" s="100">
        <f t="shared" si="39"/>
        <v>0</v>
      </c>
      <c r="AN28" s="100">
        <f t="shared" si="40"/>
        <v>0</v>
      </c>
      <c r="AO28" s="111">
        <f t="shared" si="41"/>
        <v>0</v>
      </c>
      <c r="AP28" s="111">
        <f t="shared" si="42"/>
        <v>0</v>
      </c>
      <c r="AU28" s="1041"/>
      <c r="AV28" s="98"/>
      <c r="AW28" s="98"/>
      <c r="AX28" s="98"/>
      <c r="AY28" s="98"/>
      <c r="AZ28" s="98"/>
      <c r="BA28" s="98"/>
      <c r="BB28" s="98"/>
      <c r="BC28" s="98"/>
      <c r="BD28" s="98"/>
      <c r="BE28" s="98"/>
      <c r="BF28" s="98"/>
    </row>
    <row r="29" spans="1:59" ht="32.25" customHeight="1" x14ac:dyDescent="0.35">
      <c r="A29" s="104" t="str">
        <f>'G-1 All Habitats'!B28</f>
        <v>Heathland and shrub - Gorse scrub</v>
      </c>
      <c r="B29" s="88" t="str">
        <f>'G-1 All Habitats'!F28</f>
        <v>Heathland and shrub</v>
      </c>
      <c r="C29" s="88" t="str">
        <f>'G-1 All Habitats'!K28</f>
        <v>Medium</v>
      </c>
      <c r="D29" s="88" t="str">
        <f>'G-1 All Habitats'!M28</f>
        <v>Same broad habitat or a higher distinctiveness habitat required (≥)</v>
      </c>
      <c r="E29" s="494">
        <f>IF(C29="V.High",SUMIF('A-1 Site Habitat Baseline'!$G$11:$G$258,'G-2 Habitat groups'!A29,'A-1 Site Habitat Baseline'!$S$11:$S$258)+SUMIF('A-1 Site Habitat Baseline'!$G$11:$G$258,'G-2 Habitat groups'!A29,'A-1 Site Habitat Baseline'!$T$11:$T$258),SUMIF('A-1 Site Habitat Baseline'!$G$11:$G$258,'G-2 Habitat groups'!A29,'A-1 Site Habitat Baseline'!$H$11:$H$258))</f>
        <v>0</v>
      </c>
      <c r="F29" s="494">
        <f>SUMIF('A-1 Site Habitat Baseline'!$G$11:$G$258,'G-2 Habitat groups'!A29,'A-1 Site Habitat Baseline'!$Q$11:$Q$258)</f>
        <v>0</v>
      </c>
      <c r="G29" s="494">
        <f>SUMIF('A-1 Site Habitat Baseline'!$G$11:$G$258,'G-2 Habitat groups'!A29,'A-1 Site Habitat Baseline'!$S$11:$S$258)</f>
        <v>0</v>
      </c>
      <c r="H29" s="494">
        <f>SUMIF('A-1 Site Habitat Baseline'!$G$11:$G$258,'G-2 Habitat groups'!A29,'A-1 Site Habitat Baseline'!$U$11:$U$258)</f>
        <v>0</v>
      </c>
      <c r="I29" s="494">
        <f>SUMIF('A-1 Site Habitat Baseline'!$G$11:$G$258,'G-2 Habitat groups'!A29,'A-1 Site Habitat Baseline'!$W$11:$W$258)</f>
        <v>0</v>
      </c>
      <c r="J29" s="494">
        <f>SUMIF('A-1 Site Habitat Baseline'!$G$11:$G$258,'G-2 Habitat groups'!A29,'A-1 Site Habitat Baseline'!$X$11:$X$258)</f>
        <v>0</v>
      </c>
      <c r="K29" s="494">
        <f>SUMIF('A-2 Site Habitat Creation'!$F$11:$F$256,'G-2 Habitat groups'!A29,'A-2 Site Habitat Creation'!$G$11:$G$256)</f>
        <v>0</v>
      </c>
      <c r="L29" s="494">
        <f>SUMIF('A-2 Site Habitat Creation'!$F$11:$F$256,'G-2 Habitat groups'!A29,'A-2 Site Habitat Creation'!$Y$11:$Y$256)</f>
        <v>0</v>
      </c>
      <c r="M29" s="494">
        <f>SUMIF('A-3 Site Habitat Enhancement'!$S$12:$S$257,'G-2 Habitat groups'!A29,'A-3 Site Habitat Enhancement'!$V$12:$V$257)</f>
        <v>0</v>
      </c>
      <c r="N29" s="494">
        <f>SUMIF('A-3 Site Habitat Enhancement'!$S$12:$S$257,'G-2 Habitat groups'!A29,'A-3 Site Habitat Enhancement'!$AN$12:$AN$257)</f>
        <v>0</v>
      </c>
      <c r="O29" s="494">
        <f t="shared" si="0"/>
        <v>0</v>
      </c>
      <c r="P29" s="494">
        <f t="shared" si="1"/>
        <v>0</v>
      </c>
      <c r="Q29" s="494">
        <f t="shared" si="2"/>
        <v>0</v>
      </c>
      <c r="R29" s="494">
        <f t="shared" si="3"/>
        <v>0</v>
      </c>
      <c r="S29" s="494">
        <f>IF(C29="V.High",SUMIF('D-1 Off Site Habitat Baseline'!$G$11:$G$258,'G-2 Habitat groups'!A29,'D-1 Off Site Habitat Baseline'!$S$11:$S$258)+SUMIF('D-1 Off Site Habitat Baseline'!$G$11:$G$258,'G-2 Habitat groups'!A29,'D-1 Off Site Habitat Baseline'!$T$11:$T$258),SUMIF('D-1 Off Site Habitat Baseline'!$G$11:$G$258,'G-2 Habitat groups'!A29,'D-1 Off Site Habitat Baseline'!$H$11:$H$258))</f>
        <v>0</v>
      </c>
      <c r="T29" s="494">
        <f>SUMIF('D-1 Off Site Habitat Baseline'!$G$11:$G$258,'G-2 Habitat groups'!A29,'D-1 Off Site Habitat Baseline'!$Q$11:$Q$258)</f>
        <v>0</v>
      </c>
      <c r="U29" s="591">
        <f>SUMIF('D-1 Off Site Habitat Baseline'!$G$11:$G$258,'G-2 Habitat groups'!A29,'D-1 Off Site Habitat Baseline'!$S$11:$S$258)</f>
        <v>0</v>
      </c>
      <c r="V29" s="494">
        <f>SUMIF('D-1 Off Site Habitat Baseline'!$G$11:$G$258,'G-2 Habitat groups'!A29,'D-1 Off Site Habitat Baseline'!$U$11:$U$258)</f>
        <v>0</v>
      </c>
      <c r="W29" s="494">
        <f>SUMIF('D-2 Off Site Habitat Creation'!$F$9:$F$255,'G-2 Habitat groups'!A29,'D-2 Off Site Habitat Creation'!$G$9:$G$255)</f>
        <v>0</v>
      </c>
      <c r="X29" s="494">
        <f>SUMIF('D-2 Off Site Habitat Creation'!$F$9:$F$255,'G-2 Habitat groups'!A29,'D-2 Off Site Habitat Creation'!$AA$9:$AA$255)</f>
        <v>0</v>
      </c>
      <c r="Y29" s="494">
        <f>SUMIF('D-3 Off Site Habitat Enhancment'!$S$12:$S$491,'G-2 Habitat groups'!A29,'D-3 Off Site Habitat Enhancment'!$V$12:$V$491)</f>
        <v>0</v>
      </c>
      <c r="Z29" s="494">
        <f>SUMIF('D-3 Off Site Habitat Enhancment'!$S$12:$S$491,'G-2 Habitat groups'!A29,'D-3 Off Site Habitat Enhancment'!$AP$12:$AP$491)</f>
        <v>0</v>
      </c>
      <c r="AA29" s="494">
        <f t="shared" si="4"/>
        <v>0</v>
      </c>
      <c r="AB29" s="494">
        <f t="shared" si="5"/>
        <v>0</v>
      </c>
      <c r="AC29" s="494">
        <f t="shared" si="6"/>
        <v>0</v>
      </c>
      <c r="AD29" s="494">
        <f t="shared" si="7"/>
        <v>0</v>
      </c>
      <c r="AE29" s="494">
        <f t="shared" si="8"/>
        <v>0</v>
      </c>
      <c r="AF29" s="494">
        <f t="shared" si="9"/>
        <v>0</v>
      </c>
      <c r="AJ29" s="109" t="s">
        <v>78</v>
      </c>
      <c r="AK29" s="112">
        <f t="shared" si="37"/>
        <v>0</v>
      </c>
      <c r="AL29" s="112">
        <f t="shared" si="38"/>
        <v>0</v>
      </c>
      <c r="AM29" s="112">
        <f t="shared" si="39"/>
        <v>0</v>
      </c>
      <c r="AN29" s="112">
        <f t="shared" si="40"/>
        <v>0</v>
      </c>
      <c r="AO29" s="111">
        <f t="shared" si="41"/>
        <v>0</v>
      </c>
      <c r="AP29" s="111">
        <f t="shared" si="42"/>
        <v>0</v>
      </c>
      <c r="AU29" s="123" t="s">
        <v>173</v>
      </c>
      <c r="AV29" s="127" t="s">
        <v>160</v>
      </c>
      <c r="AW29" s="127" t="s">
        <v>851</v>
      </c>
      <c r="AX29" s="127" t="s">
        <v>856</v>
      </c>
      <c r="AY29" s="127" t="s">
        <v>853</v>
      </c>
      <c r="AZ29" s="127" t="s">
        <v>854</v>
      </c>
      <c r="BA29" s="127" t="s">
        <v>855</v>
      </c>
      <c r="BB29" s="127" t="s">
        <v>161</v>
      </c>
      <c r="BC29" s="127" t="s">
        <v>857</v>
      </c>
      <c r="BD29" s="127" t="s">
        <v>858</v>
      </c>
      <c r="BE29" s="127" t="s">
        <v>859</v>
      </c>
      <c r="BF29" s="127" t="s">
        <v>860</v>
      </c>
    </row>
    <row r="30" spans="1:59" x14ac:dyDescent="0.3">
      <c r="A30" s="104" t="str">
        <f>'G-1 All Habitats'!B29</f>
        <v>Heathland and shrub - Hawthorn scrub</v>
      </c>
      <c r="B30" s="88" t="str">
        <f>'G-1 All Habitats'!F29</f>
        <v>Heathland and shrub</v>
      </c>
      <c r="C30" s="88" t="str">
        <f>'G-1 All Habitats'!K29</f>
        <v>Medium</v>
      </c>
      <c r="D30" s="88" t="str">
        <f>'G-1 All Habitats'!M29</f>
        <v>Same broad habitat or a higher distinctiveness habitat required (≥)</v>
      </c>
      <c r="E30" s="494">
        <f>IF(C30="V.High",SUMIF('A-1 Site Habitat Baseline'!$G$11:$G$258,'G-2 Habitat groups'!A30,'A-1 Site Habitat Baseline'!$S$11:$S$258)+SUMIF('A-1 Site Habitat Baseline'!$G$11:$G$258,'G-2 Habitat groups'!A30,'A-1 Site Habitat Baseline'!$T$11:$T$258),SUMIF('A-1 Site Habitat Baseline'!$G$11:$G$258,'G-2 Habitat groups'!A30,'A-1 Site Habitat Baseline'!$H$11:$H$258))</f>
        <v>0</v>
      </c>
      <c r="F30" s="494">
        <f>SUMIF('A-1 Site Habitat Baseline'!$G$11:$G$258,'G-2 Habitat groups'!A30,'A-1 Site Habitat Baseline'!$Q$11:$Q$258)</f>
        <v>0</v>
      </c>
      <c r="G30" s="494">
        <f>SUMIF('A-1 Site Habitat Baseline'!$G$11:$G$258,'G-2 Habitat groups'!A30,'A-1 Site Habitat Baseline'!$S$11:$S$258)</f>
        <v>0</v>
      </c>
      <c r="H30" s="494">
        <f>SUMIF('A-1 Site Habitat Baseline'!$G$11:$G$258,'G-2 Habitat groups'!A30,'A-1 Site Habitat Baseline'!$U$11:$U$258)</f>
        <v>0</v>
      </c>
      <c r="I30" s="494">
        <f>SUMIF('A-1 Site Habitat Baseline'!$G$11:$G$258,'G-2 Habitat groups'!A30,'A-1 Site Habitat Baseline'!$W$11:$W$258)</f>
        <v>0</v>
      </c>
      <c r="J30" s="494">
        <f>SUMIF('A-1 Site Habitat Baseline'!$G$11:$G$258,'G-2 Habitat groups'!A30,'A-1 Site Habitat Baseline'!$X$11:$X$258)</f>
        <v>0</v>
      </c>
      <c r="K30" s="494">
        <f>SUMIF('A-2 Site Habitat Creation'!$F$11:$F$256,'G-2 Habitat groups'!A30,'A-2 Site Habitat Creation'!$G$11:$G$256)</f>
        <v>0</v>
      </c>
      <c r="L30" s="494">
        <f>SUMIF('A-2 Site Habitat Creation'!$F$11:$F$256,'G-2 Habitat groups'!A30,'A-2 Site Habitat Creation'!$Y$11:$Y$256)</f>
        <v>0</v>
      </c>
      <c r="M30" s="494">
        <f>SUMIF('A-3 Site Habitat Enhancement'!$S$12:$S$257,'G-2 Habitat groups'!A30,'A-3 Site Habitat Enhancement'!$V$12:$V$257)</f>
        <v>0</v>
      </c>
      <c r="N30" s="494">
        <f>SUMIF('A-3 Site Habitat Enhancement'!$S$12:$S$257,'G-2 Habitat groups'!A30,'A-3 Site Habitat Enhancement'!$AN$12:$AN$257)</f>
        <v>0</v>
      </c>
      <c r="O30" s="494">
        <f t="shared" si="0"/>
        <v>0</v>
      </c>
      <c r="P30" s="494">
        <f t="shared" si="1"/>
        <v>0</v>
      </c>
      <c r="Q30" s="494">
        <f t="shared" si="2"/>
        <v>0</v>
      </c>
      <c r="R30" s="494">
        <f t="shared" si="3"/>
        <v>0</v>
      </c>
      <c r="S30" s="494">
        <f>IF(C30="V.High",SUMIF('D-1 Off Site Habitat Baseline'!$G$11:$G$258,'G-2 Habitat groups'!A30,'D-1 Off Site Habitat Baseline'!$S$11:$S$258)+SUMIF('D-1 Off Site Habitat Baseline'!$G$11:$G$258,'G-2 Habitat groups'!A30,'D-1 Off Site Habitat Baseline'!$T$11:$T$258),SUMIF('D-1 Off Site Habitat Baseline'!$G$11:$G$258,'G-2 Habitat groups'!A30,'D-1 Off Site Habitat Baseline'!$H$11:$H$258))</f>
        <v>0</v>
      </c>
      <c r="T30" s="494">
        <f>SUMIF('D-1 Off Site Habitat Baseline'!$G$11:$G$258,'G-2 Habitat groups'!A30,'D-1 Off Site Habitat Baseline'!$Q$11:$Q$258)</f>
        <v>0</v>
      </c>
      <c r="U30" s="591">
        <f>SUMIF('D-1 Off Site Habitat Baseline'!$G$11:$G$258,'G-2 Habitat groups'!A30,'D-1 Off Site Habitat Baseline'!$S$11:$S$258)</f>
        <v>0</v>
      </c>
      <c r="V30" s="494">
        <f>SUMIF('D-1 Off Site Habitat Baseline'!$G$11:$G$258,'G-2 Habitat groups'!A30,'D-1 Off Site Habitat Baseline'!$U$11:$U$258)</f>
        <v>0</v>
      </c>
      <c r="W30" s="494">
        <f>SUMIF('D-2 Off Site Habitat Creation'!$F$9:$F$255,'G-2 Habitat groups'!A30,'D-2 Off Site Habitat Creation'!$G$9:$G$255)</f>
        <v>0</v>
      </c>
      <c r="X30" s="494">
        <f>SUMIF('D-2 Off Site Habitat Creation'!$F$9:$F$255,'G-2 Habitat groups'!A30,'D-2 Off Site Habitat Creation'!$AA$9:$AA$255)</f>
        <v>0</v>
      </c>
      <c r="Y30" s="494">
        <f>SUMIF('D-3 Off Site Habitat Enhancment'!$S$12:$S$491,'G-2 Habitat groups'!A30,'D-3 Off Site Habitat Enhancment'!$V$12:$V$491)</f>
        <v>0</v>
      </c>
      <c r="Z30" s="494">
        <f>SUMIF('D-3 Off Site Habitat Enhancment'!$S$12:$S$491,'G-2 Habitat groups'!A30,'D-3 Off Site Habitat Enhancment'!$AP$12:$AP$491)</f>
        <v>0</v>
      </c>
      <c r="AA30" s="494">
        <f t="shared" si="4"/>
        <v>0</v>
      </c>
      <c r="AB30" s="494">
        <f t="shared" si="5"/>
        <v>0</v>
      </c>
      <c r="AC30" s="494">
        <f t="shared" si="6"/>
        <v>0</v>
      </c>
      <c r="AD30" s="494">
        <f t="shared" si="7"/>
        <v>0</v>
      </c>
      <c r="AE30" s="494">
        <f t="shared" si="8"/>
        <v>0</v>
      </c>
      <c r="AF30" s="494">
        <f t="shared" si="9"/>
        <v>0</v>
      </c>
      <c r="AJ30" s="109" t="s">
        <v>79</v>
      </c>
      <c r="AK30" s="112">
        <f t="shared" si="37"/>
        <v>0</v>
      </c>
      <c r="AL30" s="112">
        <f t="shared" si="38"/>
        <v>0</v>
      </c>
      <c r="AM30" s="112">
        <f t="shared" si="39"/>
        <v>0</v>
      </c>
      <c r="AN30" s="112">
        <f t="shared" si="40"/>
        <v>0</v>
      </c>
      <c r="AO30" s="111">
        <f t="shared" si="41"/>
        <v>0</v>
      </c>
      <c r="AP30" s="111">
        <f t="shared" si="42"/>
        <v>0</v>
      </c>
      <c r="AU30" s="113" t="s">
        <v>421</v>
      </c>
      <c r="AV30" s="88" t="s">
        <v>70</v>
      </c>
      <c r="AW30" s="494">
        <f t="shared" ref="AW30:AW70" si="43">VLOOKUP($AU30,AllHabsSummaryData,5,FALSE)</f>
        <v>0</v>
      </c>
      <c r="AX30" s="494">
        <f t="shared" ref="AX30:AX70" si="44">VLOOKUP($AU30,AllHabsSummaryData,10,FALSE)</f>
        <v>0</v>
      </c>
      <c r="AY30" s="494">
        <f t="shared" ref="AY30:AY70" si="45">VLOOKUP($AU30,AllHabsSummaryData,15,FALSE)</f>
        <v>0</v>
      </c>
      <c r="AZ30" s="494">
        <f t="shared" ref="AZ30:AZ70" si="46">VLOOKUP($AU30,AllHabsSummaryData,16,FALSE)</f>
        <v>0</v>
      </c>
      <c r="BA30" s="494">
        <f t="shared" ref="BA30:BA70" si="47">VLOOKUP($AU30,AllHabsSummaryData,17,FALSE)</f>
        <v>0</v>
      </c>
      <c r="BB30" s="494">
        <f t="shared" ref="BB30:BB70" si="48">VLOOKUP($AU30,AllHabsSummaryData,18,FALSE)</f>
        <v>0</v>
      </c>
      <c r="BC30" s="494">
        <f t="shared" ref="BC30:BC70" si="49">VLOOKUP($AU30,AllHabsSummaryData,27,FALSE)</f>
        <v>0</v>
      </c>
      <c r="BD30" s="494">
        <f t="shared" ref="BD30:BD70" si="50">VLOOKUP($AU30,AllHabsSummaryData,30,FALSE)</f>
        <v>0</v>
      </c>
      <c r="BE30" s="494">
        <f t="shared" ref="BE30:BE70" si="51">BB30+BD30</f>
        <v>0</v>
      </c>
      <c r="BF30" s="494" t="str">
        <f t="shared" ref="BF30:BF70" si="52">IF(BE30&lt;0,BE30,"")</f>
        <v/>
      </c>
    </row>
    <row r="31" spans="1:59" x14ac:dyDescent="0.3">
      <c r="A31" s="104" t="str">
        <f>'G-1 All Habitats'!B30</f>
        <v>Heathland and shrub - Hazel scrub</v>
      </c>
      <c r="B31" s="88" t="str">
        <f>'G-1 All Habitats'!F30</f>
        <v>Heathland and shrub</v>
      </c>
      <c r="C31" s="88" t="str">
        <f>'G-1 All Habitats'!K30</f>
        <v>Medium</v>
      </c>
      <c r="D31" s="88" t="str">
        <f>'G-1 All Habitats'!M30</f>
        <v>Same broad habitat or a higher distinctiveness habitat required (≥)</v>
      </c>
      <c r="E31" s="494">
        <f>IF(C31="V.High",SUMIF('A-1 Site Habitat Baseline'!$G$11:$G$258,'G-2 Habitat groups'!A31,'A-1 Site Habitat Baseline'!$S$11:$S$258)+SUMIF('A-1 Site Habitat Baseline'!$G$11:$G$258,'G-2 Habitat groups'!A31,'A-1 Site Habitat Baseline'!$T$11:$T$258),SUMIF('A-1 Site Habitat Baseline'!$G$11:$G$258,'G-2 Habitat groups'!A31,'A-1 Site Habitat Baseline'!$H$11:$H$258))</f>
        <v>0</v>
      </c>
      <c r="F31" s="494">
        <f>SUMIF('A-1 Site Habitat Baseline'!$G$11:$G$258,'G-2 Habitat groups'!A31,'A-1 Site Habitat Baseline'!$Q$11:$Q$258)</f>
        <v>0</v>
      </c>
      <c r="G31" s="494">
        <f>SUMIF('A-1 Site Habitat Baseline'!$G$11:$G$258,'G-2 Habitat groups'!A31,'A-1 Site Habitat Baseline'!$S$11:$S$258)</f>
        <v>0</v>
      </c>
      <c r="H31" s="494">
        <f>SUMIF('A-1 Site Habitat Baseline'!$G$11:$G$258,'G-2 Habitat groups'!A31,'A-1 Site Habitat Baseline'!$U$11:$U$258)</f>
        <v>0</v>
      </c>
      <c r="I31" s="494">
        <f>SUMIF('A-1 Site Habitat Baseline'!$G$11:$G$258,'G-2 Habitat groups'!A31,'A-1 Site Habitat Baseline'!$W$11:$W$258)</f>
        <v>0</v>
      </c>
      <c r="J31" s="494">
        <f>SUMIF('A-1 Site Habitat Baseline'!$G$11:$G$258,'G-2 Habitat groups'!A31,'A-1 Site Habitat Baseline'!$X$11:$X$258)</f>
        <v>0</v>
      </c>
      <c r="K31" s="494">
        <f>SUMIF('A-2 Site Habitat Creation'!$F$11:$F$256,'G-2 Habitat groups'!A31,'A-2 Site Habitat Creation'!$G$11:$G$256)</f>
        <v>0</v>
      </c>
      <c r="L31" s="494">
        <f>SUMIF('A-2 Site Habitat Creation'!$F$11:$F$256,'G-2 Habitat groups'!A31,'A-2 Site Habitat Creation'!$Y$11:$Y$256)</f>
        <v>0</v>
      </c>
      <c r="M31" s="494">
        <f>SUMIF('A-3 Site Habitat Enhancement'!$S$12:$S$257,'G-2 Habitat groups'!A31,'A-3 Site Habitat Enhancement'!$V$12:$V$257)</f>
        <v>0</v>
      </c>
      <c r="N31" s="494">
        <f>SUMIF('A-3 Site Habitat Enhancement'!$S$12:$S$257,'G-2 Habitat groups'!A31,'A-3 Site Habitat Enhancement'!$AN$12:$AN$257)</f>
        <v>0</v>
      </c>
      <c r="O31" s="494">
        <f t="shared" si="0"/>
        <v>0</v>
      </c>
      <c r="P31" s="494">
        <f t="shared" si="1"/>
        <v>0</v>
      </c>
      <c r="Q31" s="494">
        <f t="shared" si="2"/>
        <v>0</v>
      </c>
      <c r="R31" s="494">
        <f t="shared" si="3"/>
        <v>0</v>
      </c>
      <c r="S31" s="494">
        <f>IF(C31="V.High",SUMIF('D-1 Off Site Habitat Baseline'!$G$11:$G$258,'G-2 Habitat groups'!A31,'D-1 Off Site Habitat Baseline'!$S$11:$S$258)+SUMIF('D-1 Off Site Habitat Baseline'!$G$11:$G$258,'G-2 Habitat groups'!A31,'D-1 Off Site Habitat Baseline'!$T$11:$T$258),SUMIF('D-1 Off Site Habitat Baseline'!$G$11:$G$258,'G-2 Habitat groups'!A31,'D-1 Off Site Habitat Baseline'!$H$11:$H$258))</f>
        <v>0</v>
      </c>
      <c r="T31" s="494">
        <f>SUMIF('D-1 Off Site Habitat Baseline'!$G$11:$G$258,'G-2 Habitat groups'!A31,'D-1 Off Site Habitat Baseline'!$Q$11:$Q$258)</f>
        <v>0</v>
      </c>
      <c r="U31" s="591">
        <f>SUMIF('D-1 Off Site Habitat Baseline'!$G$11:$G$258,'G-2 Habitat groups'!A31,'D-1 Off Site Habitat Baseline'!$S$11:$S$258)</f>
        <v>0</v>
      </c>
      <c r="V31" s="494">
        <f>SUMIF('D-1 Off Site Habitat Baseline'!$G$11:$G$258,'G-2 Habitat groups'!A31,'D-1 Off Site Habitat Baseline'!$U$11:$U$258)</f>
        <v>0</v>
      </c>
      <c r="W31" s="494">
        <f>SUMIF('D-2 Off Site Habitat Creation'!$F$9:$F$255,'G-2 Habitat groups'!A31,'D-2 Off Site Habitat Creation'!$G$9:$G$255)</f>
        <v>0</v>
      </c>
      <c r="X31" s="494">
        <f>SUMIF('D-2 Off Site Habitat Creation'!$F$9:$F$255,'G-2 Habitat groups'!A31,'D-2 Off Site Habitat Creation'!$AA$9:$AA$255)</f>
        <v>0</v>
      </c>
      <c r="Y31" s="494">
        <f>SUMIF('D-3 Off Site Habitat Enhancment'!$S$12:$S$491,'G-2 Habitat groups'!A31,'D-3 Off Site Habitat Enhancment'!$V$12:$V$491)</f>
        <v>0</v>
      </c>
      <c r="Z31" s="494">
        <f>SUMIF('D-3 Off Site Habitat Enhancment'!$S$12:$S$491,'G-2 Habitat groups'!A31,'D-3 Off Site Habitat Enhancment'!$AP$12:$AP$491)</f>
        <v>0</v>
      </c>
      <c r="AA31" s="494">
        <f t="shared" si="4"/>
        <v>0</v>
      </c>
      <c r="AB31" s="494">
        <f t="shared" si="5"/>
        <v>0</v>
      </c>
      <c r="AC31" s="494">
        <f t="shared" si="6"/>
        <v>0</v>
      </c>
      <c r="AD31" s="494">
        <f t="shared" si="7"/>
        <v>0</v>
      </c>
      <c r="AE31" s="494">
        <f t="shared" si="8"/>
        <v>0</v>
      </c>
      <c r="AF31" s="494">
        <f t="shared" si="9"/>
        <v>0</v>
      </c>
      <c r="AJ31" s="109" t="s">
        <v>80</v>
      </c>
      <c r="AK31" s="100">
        <f t="shared" si="37"/>
        <v>0</v>
      </c>
      <c r="AL31" s="100">
        <f t="shared" si="38"/>
        <v>0</v>
      </c>
      <c r="AM31" s="100">
        <f t="shared" si="39"/>
        <v>0</v>
      </c>
      <c r="AN31" s="100">
        <f t="shared" si="40"/>
        <v>0</v>
      </c>
      <c r="AO31" s="111">
        <f t="shared" si="41"/>
        <v>0</v>
      </c>
      <c r="AP31" s="111">
        <f t="shared" si="42"/>
        <v>0</v>
      </c>
      <c r="AU31" s="113" t="s">
        <v>429</v>
      </c>
      <c r="AV31" s="88" t="s">
        <v>70</v>
      </c>
      <c r="AW31" s="494">
        <f t="shared" si="43"/>
        <v>0</v>
      </c>
      <c r="AX31" s="494">
        <f t="shared" si="44"/>
        <v>0</v>
      </c>
      <c r="AY31" s="494">
        <f t="shared" si="45"/>
        <v>0</v>
      </c>
      <c r="AZ31" s="494">
        <f t="shared" si="46"/>
        <v>0</v>
      </c>
      <c r="BA31" s="494">
        <f t="shared" si="47"/>
        <v>0</v>
      </c>
      <c r="BB31" s="494">
        <f t="shared" si="48"/>
        <v>0</v>
      </c>
      <c r="BC31" s="494">
        <f t="shared" si="49"/>
        <v>0</v>
      </c>
      <c r="BD31" s="494">
        <f t="shared" si="50"/>
        <v>0</v>
      </c>
      <c r="BE31" s="494">
        <f t="shared" si="51"/>
        <v>0</v>
      </c>
      <c r="BF31" s="494" t="str">
        <f t="shared" si="52"/>
        <v/>
      </c>
    </row>
    <row r="32" spans="1:59" x14ac:dyDescent="0.3">
      <c r="A32" s="104" t="str">
        <f>'G-1 All Habitats'!B31</f>
        <v>Heathland and shrub - Lowland Heathland</v>
      </c>
      <c r="B32" s="88" t="str">
        <f>'G-1 All Habitats'!F31</f>
        <v>Heathland and shrub</v>
      </c>
      <c r="C32" s="88" t="str">
        <f>'G-1 All Habitats'!K31</f>
        <v>High</v>
      </c>
      <c r="D32" s="88" t="str">
        <f>'G-1 All Habitats'!M31</f>
        <v>Same habitat required =</v>
      </c>
      <c r="E32" s="494">
        <f>IF(C32="V.High",SUMIF('A-1 Site Habitat Baseline'!$G$11:$G$258,'G-2 Habitat groups'!A32,'A-1 Site Habitat Baseline'!$S$11:$S$258)+SUMIF('A-1 Site Habitat Baseline'!$G$11:$G$258,'G-2 Habitat groups'!A32,'A-1 Site Habitat Baseline'!$T$11:$T$258),SUMIF('A-1 Site Habitat Baseline'!$G$11:$G$258,'G-2 Habitat groups'!A32,'A-1 Site Habitat Baseline'!$H$11:$H$258))</f>
        <v>0</v>
      </c>
      <c r="F32" s="494">
        <f>SUMIF('A-1 Site Habitat Baseline'!$G$11:$G$258,'G-2 Habitat groups'!A32,'A-1 Site Habitat Baseline'!$Q$11:$Q$258)</f>
        <v>0</v>
      </c>
      <c r="G32" s="494">
        <f>SUMIF('A-1 Site Habitat Baseline'!$G$11:$G$258,'G-2 Habitat groups'!A32,'A-1 Site Habitat Baseline'!$S$11:$S$258)</f>
        <v>0</v>
      </c>
      <c r="H32" s="494">
        <f>SUMIF('A-1 Site Habitat Baseline'!$G$11:$G$258,'G-2 Habitat groups'!A32,'A-1 Site Habitat Baseline'!$U$11:$U$258)</f>
        <v>0</v>
      </c>
      <c r="I32" s="494">
        <f>SUMIF('A-1 Site Habitat Baseline'!$G$11:$G$258,'G-2 Habitat groups'!A32,'A-1 Site Habitat Baseline'!$W$11:$W$258)</f>
        <v>0</v>
      </c>
      <c r="J32" s="494">
        <f>SUMIF('A-1 Site Habitat Baseline'!$G$11:$G$258,'G-2 Habitat groups'!A32,'A-1 Site Habitat Baseline'!$X$11:$X$258)</f>
        <v>0</v>
      </c>
      <c r="K32" s="494">
        <f>SUMIF('A-2 Site Habitat Creation'!$F$11:$F$256,'G-2 Habitat groups'!A32,'A-2 Site Habitat Creation'!$G$11:$G$256)</f>
        <v>0</v>
      </c>
      <c r="L32" s="494">
        <f>SUMIF('A-2 Site Habitat Creation'!$F$11:$F$256,'G-2 Habitat groups'!A32,'A-2 Site Habitat Creation'!$Y$11:$Y$256)</f>
        <v>0</v>
      </c>
      <c r="M32" s="494">
        <f>SUMIF('A-3 Site Habitat Enhancement'!$S$12:$S$257,'G-2 Habitat groups'!A32,'A-3 Site Habitat Enhancement'!$V$12:$V$257)</f>
        <v>0</v>
      </c>
      <c r="N32" s="494">
        <f>SUMIF('A-3 Site Habitat Enhancement'!$S$12:$S$257,'G-2 Habitat groups'!A32,'A-3 Site Habitat Enhancement'!$AN$12:$AN$257)</f>
        <v>0</v>
      </c>
      <c r="O32" s="494">
        <f t="shared" si="0"/>
        <v>0</v>
      </c>
      <c r="P32" s="494">
        <f t="shared" si="1"/>
        <v>0</v>
      </c>
      <c r="Q32" s="494">
        <f t="shared" si="2"/>
        <v>0</v>
      </c>
      <c r="R32" s="494">
        <f t="shared" si="3"/>
        <v>0</v>
      </c>
      <c r="S32" s="494">
        <f>IF(C32="V.High",SUMIF('D-1 Off Site Habitat Baseline'!$G$11:$G$258,'G-2 Habitat groups'!A32,'D-1 Off Site Habitat Baseline'!$S$11:$S$258)+SUMIF('D-1 Off Site Habitat Baseline'!$G$11:$G$258,'G-2 Habitat groups'!A32,'D-1 Off Site Habitat Baseline'!$T$11:$T$258),SUMIF('D-1 Off Site Habitat Baseline'!$G$11:$G$258,'G-2 Habitat groups'!A32,'D-1 Off Site Habitat Baseline'!$H$11:$H$258))</f>
        <v>0</v>
      </c>
      <c r="T32" s="494">
        <f>SUMIF('D-1 Off Site Habitat Baseline'!$G$11:$G$258,'G-2 Habitat groups'!A32,'D-1 Off Site Habitat Baseline'!$Q$11:$Q$258)</f>
        <v>0</v>
      </c>
      <c r="U32" s="591">
        <f>SUMIF('D-1 Off Site Habitat Baseline'!$G$11:$G$258,'G-2 Habitat groups'!A32,'D-1 Off Site Habitat Baseline'!$S$11:$S$258)</f>
        <v>0</v>
      </c>
      <c r="V32" s="494">
        <f>SUMIF('D-1 Off Site Habitat Baseline'!$G$11:$G$258,'G-2 Habitat groups'!A32,'D-1 Off Site Habitat Baseline'!$U$11:$U$258)</f>
        <v>0</v>
      </c>
      <c r="W32" s="494">
        <f>SUMIF('D-2 Off Site Habitat Creation'!$F$9:$F$255,'G-2 Habitat groups'!A32,'D-2 Off Site Habitat Creation'!$G$9:$G$255)</f>
        <v>0</v>
      </c>
      <c r="X32" s="494">
        <f>SUMIF('D-2 Off Site Habitat Creation'!$F$9:$F$255,'G-2 Habitat groups'!A32,'D-2 Off Site Habitat Creation'!$AA$9:$AA$255)</f>
        <v>0</v>
      </c>
      <c r="Y32" s="494">
        <f>SUMIF('D-3 Off Site Habitat Enhancment'!$S$12:$S$491,'G-2 Habitat groups'!A32,'D-3 Off Site Habitat Enhancment'!$V$12:$V$491)</f>
        <v>0</v>
      </c>
      <c r="Z32" s="494">
        <f>SUMIF('D-3 Off Site Habitat Enhancment'!$S$12:$S$491,'G-2 Habitat groups'!A32,'D-3 Off Site Habitat Enhancment'!$AP$12:$AP$491)</f>
        <v>0</v>
      </c>
      <c r="AA32" s="494">
        <f t="shared" si="4"/>
        <v>0</v>
      </c>
      <c r="AB32" s="494">
        <f t="shared" si="5"/>
        <v>0</v>
      </c>
      <c r="AC32" s="494">
        <f t="shared" si="6"/>
        <v>0</v>
      </c>
      <c r="AD32" s="494">
        <f t="shared" si="7"/>
        <v>0</v>
      </c>
      <c r="AE32" s="494">
        <f t="shared" si="8"/>
        <v>0</v>
      </c>
      <c r="AF32" s="494">
        <f t="shared" si="9"/>
        <v>0</v>
      </c>
      <c r="AJ32" s="109" t="s">
        <v>81</v>
      </c>
      <c r="AK32" s="100">
        <f t="shared" si="37"/>
        <v>0</v>
      </c>
      <c r="AL32" s="100">
        <f t="shared" si="38"/>
        <v>0</v>
      </c>
      <c r="AM32" s="100">
        <f t="shared" si="39"/>
        <v>0</v>
      </c>
      <c r="AN32" s="100">
        <f t="shared" si="40"/>
        <v>0</v>
      </c>
      <c r="AO32" s="111">
        <f t="shared" si="41"/>
        <v>0</v>
      </c>
      <c r="AP32" s="111">
        <f t="shared" si="42"/>
        <v>0</v>
      </c>
      <c r="AU32" s="113" t="s">
        <v>434</v>
      </c>
      <c r="AV32" s="88" t="s">
        <v>70</v>
      </c>
      <c r="AW32" s="494">
        <f t="shared" si="43"/>
        <v>0</v>
      </c>
      <c r="AX32" s="494">
        <f t="shared" si="44"/>
        <v>0</v>
      </c>
      <c r="AY32" s="494">
        <f t="shared" si="45"/>
        <v>0</v>
      </c>
      <c r="AZ32" s="494">
        <f t="shared" si="46"/>
        <v>0</v>
      </c>
      <c r="BA32" s="494">
        <f t="shared" si="47"/>
        <v>0</v>
      </c>
      <c r="BB32" s="494">
        <f t="shared" si="48"/>
        <v>0</v>
      </c>
      <c r="BC32" s="494">
        <f t="shared" si="49"/>
        <v>0</v>
      </c>
      <c r="BD32" s="494">
        <f t="shared" si="50"/>
        <v>0</v>
      </c>
      <c r="BE32" s="494">
        <f t="shared" si="51"/>
        <v>0</v>
      </c>
      <c r="BF32" s="494" t="str">
        <f t="shared" si="52"/>
        <v/>
      </c>
    </row>
    <row r="33" spans="1:58" x14ac:dyDescent="0.3">
      <c r="A33" s="104" t="str">
        <f>'G-1 All Habitats'!B32</f>
        <v>Heathland and shrub - Mixed scrub</v>
      </c>
      <c r="B33" s="88" t="str">
        <f>'G-1 All Habitats'!F32</f>
        <v>Heathland and shrub</v>
      </c>
      <c r="C33" s="88" t="str">
        <f>'G-1 All Habitats'!K32</f>
        <v>Medium</v>
      </c>
      <c r="D33" s="88" t="str">
        <f>'G-1 All Habitats'!M32</f>
        <v>Same broad habitat or a higher distinctiveness habitat required (≥)</v>
      </c>
      <c r="E33" s="494">
        <f>IF(C33="V.High",SUMIF('A-1 Site Habitat Baseline'!$G$11:$G$258,'G-2 Habitat groups'!A33,'A-1 Site Habitat Baseline'!$S$11:$S$258)+SUMIF('A-1 Site Habitat Baseline'!$G$11:$G$258,'G-2 Habitat groups'!A33,'A-1 Site Habitat Baseline'!$T$11:$T$258),SUMIF('A-1 Site Habitat Baseline'!$G$11:$G$258,'G-2 Habitat groups'!A33,'A-1 Site Habitat Baseline'!$H$11:$H$258))</f>
        <v>0</v>
      </c>
      <c r="F33" s="494">
        <f>SUMIF('A-1 Site Habitat Baseline'!$G$11:$G$258,'G-2 Habitat groups'!A33,'A-1 Site Habitat Baseline'!$Q$11:$Q$258)</f>
        <v>0</v>
      </c>
      <c r="G33" s="494">
        <f>SUMIF('A-1 Site Habitat Baseline'!$G$11:$G$258,'G-2 Habitat groups'!A33,'A-1 Site Habitat Baseline'!$S$11:$S$258)</f>
        <v>0</v>
      </c>
      <c r="H33" s="494">
        <f>SUMIF('A-1 Site Habitat Baseline'!$G$11:$G$258,'G-2 Habitat groups'!A33,'A-1 Site Habitat Baseline'!$U$11:$U$258)</f>
        <v>0</v>
      </c>
      <c r="I33" s="494">
        <f>SUMIF('A-1 Site Habitat Baseline'!$G$11:$G$258,'G-2 Habitat groups'!A33,'A-1 Site Habitat Baseline'!$W$11:$W$258)</f>
        <v>0</v>
      </c>
      <c r="J33" s="494">
        <f>SUMIF('A-1 Site Habitat Baseline'!$G$11:$G$258,'G-2 Habitat groups'!A33,'A-1 Site Habitat Baseline'!$X$11:$X$258)</f>
        <v>0</v>
      </c>
      <c r="K33" s="494">
        <f>SUMIF('A-2 Site Habitat Creation'!$F$11:$F$256,'G-2 Habitat groups'!A33,'A-2 Site Habitat Creation'!$G$11:$G$256)</f>
        <v>5.7500000000000002E-2</v>
      </c>
      <c r="L33" s="494">
        <f>SUMIF('A-2 Site Habitat Creation'!$F$11:$F$256,'G-2 Habitat groups'!A33,'A-2 Site Habitat Creation'!$Y$11:$Y$256)</f>
        <v>0.24414500000000006</v>
      </c>
      <c r="M33" s="494">
        <f>SUMIF('A-3 Site Habitat Enhancement'!$S$12:$S$257,'G-2 Habitat groups'!A33,'A-3 Site Habitat Enhancement'!$V$12:$V$257)</f>
        <v>0</v>
      </c>
      <c r="N33" s="494">
        <f>SUMIF('A-3 Site Habitat Enhancement'!$S$12:$S$257,'G-2 Habitat groups'!A33,'A-3 Site Habitat Enhancement'!$AN$12:$AN$257)</f>
        <v>0</v>
      </c>
      <c r="O33" s="494">
        <f t="shared" si="0"/>
        <v>5.7500000000000002E-2</v>
      </c>
      <c r="P33" s="494">
        <f t="shared" si="1"/>
        <v>0.24414500000000006</v>
      </c>
      <c r="Q33" s="494">
        <f t="shared" si="2"/>
        <v>5.7500000000000002E-2</v>
      </c>
      <c r="R33" s="494">
        <f t="shared" si="3"/>
        <v>0.24414500000000006</v>
      </c>
      <c r="S33" s="494">
        <f>IF(C33="V.High",SUMIF('D-1 Off Site Habitat Baseline'!$G$11:$G$258,'G-2 Habitat groups'!A33,'D-1 Off Site Habitat Baseline'!$S$11:$S$258)+SUMIF('D-1 Off Site Habitat Baseline'!$G$11:$G$258,'G-2 Habitat groups'!A33,'D-1 Off Site Habitat Baseline'!$T$11:$T$258),SUMIF('D-1 Off Site Habitat Baseline'!$G$11:$G$258,'G-2 Habitat groups'!A33,'D-1 Off Site Habitat Baseline'!$H$11:$H$258))</f>
        <v>0</v>
      </c>
      <c r="T33" s="494">
        <f>SUMIF('D-1 Off Site Habitat Baseline'!$G$11:$G$258,'G-2 Habitat groups'!A33,'D-1 Off Site Habitat Baseline'!$Q$11:$Q$258)</f>
        <v>0</v>
      </c>
      <c r="U33" s="591">
        <f>SUMIF('D-1 Off Site Habitat Baseline'!$G$11:$G$258,'G-2 Habitat groups'!A33,'D-1 Off Site Habitat Baseline'!$S$11:$S$258)</f>
        <v>0</v>
      </c>
      <c r="V33" s="494">
        <f>SUMIF('D-1 Off Site Habitat Baseline'!$G$11:$G$258,'G-2 Habitat groups'!A33,'D-1 Off Site Habitat Baseline'!$U$11:$U$258)</f>
        <v>0</v>
      </c>
      <c r="W33" s="494">
        <f>SUMIF('D-2 Off Site Habitat Creation'!$F$9:$F$255,'G-2 Habitat groups'!A33,'D-2 Off Site Habitat Creation'!$G$9:$G$255)</f>
        <v>0</v>
      </c>
      <c r="X33" s="494">
        <f>SUMIF('D-2 Off Site Habitat Creation'!$F$9:$F$255,'G-2 Habitat groups'!A33,'D-2 Off Site Habitat Creation'!$AA$9:$AA$255)</f>
        <v>0</v>
      </c>
      <c r="Y33" s="494">
        <f>SUMIF('D-3 Off Site Habitat Enhancment'!$S$12:$S$491,'G-2 Habitat groups'!A33,'D-3 Off Site Habitat Enhancment'!$V$12:$V$491)</f>
        <v>0</v>
      </c>
      <c r="Z33" s="494">
        <f>SUMIF('D-3 Off Site Habitat Enhancment'!$S$12:$S$491,'G-2 Habitat groups'!A33,'D-3 Off Site Habitat Enhancment'!$AP$12:$AP$491)</f>
        <v>0</v>
      </c>
      <c r="AA33" s="494">
        <f t="shared" si="4"/>
        <v>0</v>
      </c>
      <c r="AB33" s="494">
        <f t="shared" si="5"/>
        <v>0</v>
      </c>
      <c r="AC33" s="494">
        <f t="shared" si="6"/>
        <v>0</v>
      </c>
      <c r="AD33" s="494">
        <f t="shared" si="7"/>
        <v>0</v>
      </c>
      <c r="AE33" s="494">
        <f t="shared" si="8"/>
        <v>5.7500000000000002E-2</v>
      </c>
      <c r="AF33" s="494">
        <f t="shared" si="9"/>
        <v>0.24414500000000006</v>
      </c>
      <c r="AU33" s="113" t="s">
        <v>459</v>
      </c>
      <c r="AV33" s="88" t="s">
        <v>70</v>
      </c>
      <c r="AW33" s="494">
        <f t="shared" si="43"/>
        <v>0</v>
      </c>
      <c r="AX33" s="494">
        <f t="shared" si="44"/>
        <v>0</v>
      </c>
      <c r="AY33" s="494">
        <f t="shared" si="45"/>
        <v>0</v>
      </c>
      <c r="AZ33" s="494">
        <f t="shared" si="46"/>
        <v>0</v>
      </c>
      <c r="BA33" s="494">
        <f t="shared" si="47"/>
        <v>0</v>
      </c>
      <c r="BB33" s="494">
        <f t="shared" si="48"/>
        <v>0</v>
      </c>
      <c r="BC33" s="494">
        <f t="shared" si="49"/>
        <v>0</v>
      </c>
      <c r="BD33" s="494">
        <f t="shared" si="50"/>
        <v>0</v>
      </c>
      <c r="BE33" s="494">
        <f t="shared" si="51"/>
        <v>0</v>
      </c>
      <c r="BF33" s="494" t="str">
        <f t="shared" si="52"/>
        <v/>
      </c>
    </row>
    <row r="34" spans="1:58" x14ac:dyDescent="0.3">
      <c r="A34" s="104" t="str">
        <f>'G-1 All Habitats'!B33</f>
        <v>Heathland and shrub - Mountain heaths and willow scrub</v>
      </c>
      <c r="B34" s="88" t="str">
        <f>'G-1 All Habitats'!F33</f>
        <v>Heathland and shrub</v>
      </c>
      <c r="C34" s="88" t="str">
        <f>'G-1 All Habitats'!K33</f>
        <v>V.High</v>
      </c>
      <c r="D34" s="88" t="str">
        <f>'G-1 All Habitats'!M33</f>
        <v>Bespoke compensation likely to be required 🛠</v>
      </c>
      <c r="E34" s="494">
        <f>IF(C34="V.High",SUMIF('A-1 Site Habitat Baseline'!$G$11:$G$258,'G-2 Habitat groups'!A34,'A-1 Site Habitat Baseline'!$S$11:$S$258)+SUMIF('A-1 Site Habitat Baseline'!$G$11:$G$258,'G-2 Habitat groups'!A34,'A-1 Site Habitat Baseline'!$T$11:$T$258),SUMIF('A-1 Site Habitat Baseline'!$G$11:$G$258,'G-2 Habitat groups'!A34,'A-1 Site Habitat Baseline'!$H$11:$H$258))</f>
        <v>0</v>
      </c>
      <c r="F34" s="494">
        <f>SUMIF('A-1 Site Habitat Baseline'!$G$11:$G$258,'G-2 Habitat groups'!A34,'A-1 Site Habitat Baseline'!$Q$11:$Q$258)</f>
        <v>0</v>
      </c>
      <c r="G34" s="494">
        <f>SUMIF('A-1 Site Habitat Baseline'!$G$11:$G$258,'G-2 Habitat groups'!A34,'A-1 Site Habitat Baseline'!$S$11:$S$258)</f>
        <v>0</v>
      </c>
      <c r="H34" s="494">
        <f>SUMIF('A-1 Site Habitat Baseline'!$G$11:$G$258,'G-2 Habitat groups'!A34,'A-1 Site Habitat Baseline'!$U$11:$U$258)</f>
        <v>0</v>
      </c>
      <c r="I34" s="494">
        <f>SUMIF('A-1 Site Habitat Baseline'!$G$11:$G$258,'G-2 Habitat groups'!A34,'A-1 Site Habitat Baseline'!$W$11:$W$258)</f>
        <v>0</v>
      </c>
      <c r="J34" s="494">
        <f>SUMIF('A-1 Site Habitat Baseline'!$G$11:$G$258,'G-2 Habitat groups'!A34,'A-1 Site Habitat Baseline'!$X$11:$X$258)</f>
        <v>0</v>
      </c>
      <c r="K34" s="494">
        <f>SUMIF('A-2 Site Habitat Creation'!$F$11:$F$256,'G-2 Habitat groups'!A34,'A-2 Site Habitat Creation'!$G$11:$G$256)</f>
        <v>0</v>
      </c>
      <c r="L34" s="494">
        <f>SUMIF('A-2 Site Habitat Creation'!$F$11:$F$256,'G-2 Habitat groups'!A34,'A-2 Site Habitat Creation'!$Y$11:$Y$256)</f>
        <v>0</v>
      </c>
      <c r="M34" s="494">
        <f>SUMIF('A-3 Site Habitat Enhancement'!$S$12:$S$257,'G-2 Habitat groups'!A34,'A-3 Site Habitat Enhancement'!$V$12:$V$257)</f>
        <v>0</v>
      </c>
      <c r="N34" s="494">
        <f>SUMIF('A-3 Site Habitat Enhancement'!$S$12:$S$257,'G-2 Habitat groups'!A34,'A-3 Site Habitat Enhancement'!$AN$12:$AN$257)</f>
        <v>0</v>
      </c>
      <c r="O34" s="494">
        <f t="shared" si="0"/>
        <v>0</v>
      </c>
      <c r="P34" s="494">
        <f t="shared" si="1"/>
        <v>0</v>
      </c>
      <c r="Q34" s="494">
        <f t="shared" si="2"/>
        <v>0</v>
      </c>
      <c r="R34" s="494">
        <f t="shared" si="3"/>
        <v>0</v>
      </c>
      <c r="S34" s="494">
        <f>IF(C34="V.High",SUMIF('D-1 Off Site Habitat Baseline'!$G$11:$G$258,'G-2 Habitat groups'!A34,'D-1 Off Site Habitat Baseline'!$S$11:$S$258)+SUMIF('D-1 Off Site Habitat Baseline'!$G$11:$G$258,'G-2 Habitat groups'!A34,'D-1 Off Site Habitat Baseline'!$T$11:$T$258),SUMIF('D-1 Off Site Habitat Baseline'!$G$11:$G$258,'G-2 Habitat groups'!A34,'D-1 Off Site Habitat Baseline'!$H$11:$H$258))</f>
        <v>0</v>
      </c>
      <c r="T34" s="494">
        <f>SUMIF('D-1 Off Site Habitat Baseline'!$G$11:$G$258,'G-2 Habitat groups'!A34,'D-1 Off Site Habitat Baseline'!$Q$11:$Q$258)</f>
        <v>0</v>
      </c>
      <c r="U34" s="591">
        <f>SUMIF('D-1 Off Site Habitat Baseline'!$G$11:$G$258,'G-2 Habitat groups'!A34,'D-1 Off Site Habitat Baseline'!$S$11:$S$258)</f>
        <v>0</v>
      </c>
      <c r="V34" s="494">
        <f>SUMIF('D-1 Off Site Habitat Baseline'!$G$11:$G$258,'G-2 Habitat groups'!A34,'D-1 Off Site Habitat Baseline'!$U$11:$U$258)</f>
        <v>0</v>
      </c>
      <c r="W34" s="494">
        <f>SUMIF('D-2 Off Site Habitat Creation'!$F$9:$F$255,'G-2 Habitat groups'!A34,'D-2 Off Site Habitat Creation'!$G$9:$G$255)</f>
        <v>0</v>
      </c>
      <c r="X34" s="494">
        <f>SUMIF('D-2 Off Site Habitat Creation'!$F$9:$F$255,'G-2 Habitat groups'!A34,'D-2 Off Site Habitat Creation'!$AA$9:$AA$255)</f>
        <v>0</v>
      </c>
      <c r="Y34" s="494">
        <f>SUMIF('D-3 Off Site Habitat Enhancment'!$S$12:$S$491,'G-2 Habitat groups'!A34,'D-3 Off Site Habitat Enhancment'!$V$12:$V$491)</f>
        <v>0</v>
      </c>
      <c r="Z34" s="494">
        <f>SUMIF('D-3 Off Site Habitat Enhancment'!$S$12:$S$491,'G-2 Habitat groups'!A34,'D-3 Off Site Habitat Enhancment'!$AP$12:$AP$491)</f>
        <v>0</v>
      </c>
      <c r="AA34" s="494">
        <f t="shared" si="4"/>
        <v>0</v>
      </c>
      <c r="AB34" s="494">
        <f t="shared" si="5"/>
        <v>0</v>
      </c>
      <c r="AC34" s="494">
        <f t="shared" si="6"/>
        <v>0</v>
      </c>
      <c r="AD34" s="494">
        <f t="shared" si="7"/>
        <v>0</v>
      </c>
      <c r="AE34" s="494">
        <f t="shared" si="8"/>
        <v>0</v>
      </c>
      <c r="AF34" s="494">
        <f t="shared" si="9"/>
        <v>0</v>
      </c>
      <c r="AU34" s="113" t="s">
        <v>467</v>
      </c>
      <c r="AV34" s="88" t="s">
        <v>70</v>
      </c>
      <c r="AW34" s="494">
        <f t="shared" si="43"/>
        <v>0</v>
      </c>
      <c r="AX34" s="494">
        <f t="shared" si="44"/>
        <v>0</v>
      </c>
      <c r="AY34" s="494">
        <f t="shared" si="45"/>
        <v>0</v>
      </c>
      <c r="AZ34" s="494">
        <f t="shared" si="46"/>
        <v>0</v>
      </c>
      <c r="BA34" s="494">
        <f t="shared" si="47"/>
        <v>0</v>
      </c>
      <c r="BB34" s="494">
        <f t="shared" si="48"/>
        <v>0</v>
      </c>
      <c r="BC34" s="494">
        <f t="shared" si="49"/>
        <v>0</v>
      </c>
      <c r="BD34" s="494">
        <f t="shared" si="50"/>
        <v>0</v>
      </c>
      <c r="BE34" s="494">
        <f t="shared" si="51"/>
        <v>0</v>
      </c>
      <c r="BF34" s="494" t="str">
        <f t="shared" si="52"/>
        <v/>
      </c>
    </row>
    <row r="35" spans="1:58" x14ac:dyDescent="0.3">
      <c r="A35" s="104" t="str">
        <f>'G-1 All Habitats'!B34</f>
        <v>Heathland and shrub - Rhododendron scrub</v>
      </c>
      <c r="B35" s="88" t="str">
        <f>'G-1 All Habitats'!F34</f>
        <v>Heathland and shrub</v>
      </c>
      <c r="C35" s="88" t="str">
        <f>'G-1 All Habitats'!K34</f>
        <v>Low</v>
      </c>
      <c r="D35" s="88" t="str">
        <f>'G-1 All Habitats'!M34</f>
        <v>Same distinctiveness or better habitat required ≥</v>
      </c>
      <c r="E35" s="494">
        <f>IF(C35="V.High",SUMIF('A-1 Site Habitat Baseline'!$G$11:$G$258,'G-2 Habitat groups'!A35,'A-1 Site Habitat Baseline'!$S$11:$S$258)+SUMIF('A-1 Site Habitat Baseline'!$G$11:$G$258,'G-2 Habitat groups'!A35,'A-1 Site Habitat Baseline'!$T$11:$T$258),SUMIF('A-1 Site Habitat Baseline'!$G$11:$G$258,'G-2 Habitat groups'!A35,'A-1 Site Habitat Baseline'!$H$11:$H$258))</f>
        <v>0</v>
      </c>
      <c r="F35" s="494">
        <f>SUMIF('A-1 Site Habitat Baseline'!$G$11:$G$258,'G-2 Habitat groups'!A35,'A-1 Site Habitat Baseline'!$Q$11:$Q$258)</f>
        <v>0</v>
      </c>
      <c r="G35" s="494">
        <f>SUMIF('A-1 Site Habitat Baseline'!$G$11:$G$258,'G-2 Habitat groups'!A35,'A-1 Site Habitat Baseline'!$S$11:$S$258)</f>
        <v>0</v>
      </c>
      <c r="H35" s="494">
        <f>SUMIF('A-1 Site Habitat Baseline'!$G$11:$G$258,'G-2 Habitat groups'!A35,'A-1 Site Habitat Baseline'!$U$11:$U$258)</f>
        <v>0</v>
      </c>
      <c r="I35" s="494">
        <f>SUMIF('A-1 Site Habitat Baseline'!$G$11:$G$258,'G-2 Habitat groups'!A35,'A-1 Site Habitat Baseline'!$W$11:$W$258)</f>
        <v>0</v>
      </c>
      <c r="J35" s="494">
        <f>SUMIF('A-1 Site Habitat Baseline'!$G$11:$G$258,'G-2 Habitat groups'!A35,'A-1 Site Habitat Baseline'!$X$11:$X$258)</f>
        <v>0</v>
      </c>
      <c r="K35" s="494">
        <f>SUMIF('A-2 Site Habitat Creation'!$F$11:$F$256,'G-2 Habitat groups'!A35,'A-2 Site Habitat Creation'!$G$11:$G$256)</f>
        <v>0</v>
      </c>
      <c r="L35" s="494">
        <f>SUMIF('A-2 Site Habitat Creation'!$F$11:$F$256,'G-2 Habitat groups'!A35,'A-2 Site Habitat Creation'!$Y$11:$Y$256)</f>
        <v>0</v>
      </c>
      <c r="M35" s="494">
        <f>SUMIF('A-3 Site Habitat Enhancement'!$S$12:$S$257,'G-2 Habitat groups'!A35,'A-3 Site Habitat Enhancement'!$V$12:$V$257)</f>
        <v>0</v>
      </c>
      <c r="N35" s="494">
        <f>SUMIF('A-3 Site Habitat Enhancement'!$S$12:$S$257,'G-2 Habitat groups'!A35,'A-3 Site Habitat Enhancement'!$AN$12:$AN$257)</f>
        <v>0</v>
      </c>
      <c r="O35" s="494">
        <f t="shared" ref="O35:O66" si="53">G35+K35+M35</f>
        <v>0</v>
      </c>
      <c r="P35" s="494">
        <f t="shared" ref="P35:P66" si="54">H35+L35+N35</f>
        <v>0</v>
      </c>
      <c r="Q35" s="494">
        <f t="shared" ref="Q35:Q66" si="55">O35-E35</f>
        <v>0</v>
      </c>
      <c r="R35" s="494">
        <f t="shared" ref="R35:R66" si="56">P35-F35</f>
        <v>0</v>
      </c>
      <c r="S35" s="494">
        <f>IF(C35="V.High",SUMIF('D-1 Off Site Habitat Baseline'!$G$11:$G$258,'G-2 Habitat groups'!A35,'D-1 Off Site Habitat Baseline'!$S$11:$S$258)+SUMIF('D-1 Off Site Habitat Baseline'!$G$11:$G$258,'G-2 Habitat groups'!A35,'D-1 Off Site Habitat Baseline'!$T$11:$T$258),SUMIF('D-1 Off Site Habitat Baseline'!$G$11:$G$258,'G-2 Habitat groups'!A35,'D-1 Off Site Habitat Baseline'!$H$11:$H$258))</f>
        <v>0</v>
      </c>
      <c r="T35" s="494">
        <f>SUMIF('D-1 Off Site Habitat Baseline'!$G$11:$G$258,'G-2 Habitat groups'!A35,'D-1 Off Site Habitat Baseline'!$Q$11:$Q$258)</f>
        <v>0</v>
      </c>
      <c r="U35" s="591">
        <f>SUMIF('D-1 Off Site Habitat Baseline'!$G$11:$G$258,'G-2 Habitat groups'!A35,'D-1 Off Site Habitat Baseline'!$S$11:$S$258)</f>
        <v>0</v>
      </c>
      <c r="V35" s="494">
        <f>SUMIF('D-1 Off Site Habitat Baseline'!$G$11:$G$258,'G-2 Habitat groups'!A35,'D-1 Off Site Habitat Baseline'!$U$11:$U$258)</f>
        <v>0</v>
      </c>
      <c r="W35" s="494">
        <f>SUMIF('D-2 Off Site Habitat Creation'!$F$9:$F$255,'G-2 Habitat groups'!A35,'D-2 Off Site Habitat Creation'!$G$9:$G$255)</f>
        <v>0</v>
      </c>
      <c r="X35" s="494">
        <f>SUMIF('D-2 Off Site Habitat Creation'!$F$9:$F$255,'G-2 Habitat groups'!A35,'D-2 Off Site Habitat Creation'!$AA$9:$AA$255)</f>
        <v>0</v>
      </c>
      <c r="Y35" s="494">
        <f>SUMIF('D-3 Off Site Habitat Enhancment'!$S$12:$S$491,'G-2 Habitat groups'!A35,'D-3 Off Site Habitat Enhancment'!$V$12:$V$491)</f>
        <v>0</v>
      </c>
      <c r="Z35" s="494">
        <f>SUMIF('D-3 Off Site Habitat Enhancment'!$S$12:$S$491,'G-2 Habitat groups'!A35,'D-3 Off Site Habitat Enhancment'!$AP$12:$AP$491)</f>
        <v>0</v>
      </c>
      <c r="AA35" s="494">
        <f t="shared" ref="AA35:AA66" si="57">U35+W35+Y35</f>
        <v>0</v>
      </c>
      <c r="AB35" s="494">
        <f t="shared" ref="AB35:AB66" si="58">V35+X35+Z35</f>
        <v>0</v>
      </c>
      <c r="AC35" s="494">
        <f t="shared" ref="AC35:AC66" si="59">AA35-S35</f>
        <v>0</v>
      </c>
      <c r="AD35" s="494">
        <f t="shared" ref="AD35:AD66" si="60">AB35-T35</f>
        <v>0</v>
      </c>
      <c r="AE35" s="494">
        <f t="shared" ref="AE35:AE66" si="61">Q35+AC35</f>
        <v>0</v>
      </c>
      <c r="AF35" s="494">
        <f t="shared" ref="AF35:AF66" si="62">R35+AD35</f>
        <v>0</v>
      </c>
      <c r="AU35" s="113" t="s">
        <v>490</v>
      </c>
      <c r="AV35" s="88" t="s">
        <v>71</v>
      </c>
      <c r="AW35" s="494">
        <f t="shared" si="43"/>
        <v>0</v>
      </c>
      <c r="AX35" s="494">
        <f t="shared" si="44"/>
        <v>0</v>
      </c>
      <c r="AY35" s="494">
        <f t="shared" si="45"/>
        <v>0</v>
      </c>
      <c r="AZ35" s="494">
        <f t="shared" si="46"/>
        <v>0</v>
      </c>
      <c r="BA35" s="494">
        <f t="shared" si="47"/>
        <v>0</v>
      </c>
      <c r="BB35" s="494">
        <f t="shared" si="48"/>
        <v>0</v>
      </c>
      <c r="BC35" s="494">
        <f t="shared" si="49"/>
        <v>0</v>
      </c>
      <c r="BD35" s="494">
        <f t="shared" si="50"/>
        <v>0</v>
      </c>
      <c r="BE35" s="494">
        <f t="shared" si="51"/>
        <v>0</v>
      </c>
      <c r="BF35" s="494" t="str">
        <f t="shared" si="52"/>
        <v/>
      </c>
    </row>
    <row r="36" spans="1:58" x14ac:dyDescent="0.3">
      <c r="A36" s="104" t="str">
        <f>'G-1 All Habitats'!B35</f>
        <v>Heathland and shrub - Sea buckthorn scrub (Annex 1)</v>
      </c>
      <c r="B36" s="88" t="str">
        <f>'G-1 All Habitats'!F35</f>
        <v>Heathland and shrub</v>
      </c>
      <c r="C36" s="88" t="str">
        <f>'G-1 All Habitats'!K35</f>
        <v>High</v>
      </c>
      <c r="D36" s="88" t="str">
        <f>'G-1 All Habitats'!M35</f>
        <v>Same habitat required =</v>
      </c>
      <c r="E36" s="494">
        <f>IF(C36="V.High",SUMIF('A-1 Site Habitat Baseline'!$G$11:$G$258,'G-2 Habitat groups'!A36,'A-1 Site Habitat Baseline'!$S$11:$S$258)+SUMIF('A-1 Site Habitat Baseline'!$G$11:$G$258,'G-2 Habitat groups'!A36,'A-1 Site Habitat Baseline'!$T$11:$T$258),SUMIF('A-1 Site Habitat Baseline'!$G$11:$G$258,'G-2 Habitat groups'!A36,'A-1 Site Habitat Baseline'!$H$11:$H$258))</f>
        <v>0</v>
      </c>
      <c r="F36" s="494">
        <f>SUMIF('A-1 Site Habitat Baseline'!$G$11:$G$258,'G-2 Habitat groups'!A36,'A-1 Site Habitat Baseline'!$Q$11:$Q$258)</f>
        <v>0</v>
      </c>
      <c r="G36" s="494">
        <f>SUMIF('A-1 Site Habitat Baseline'!$G$11:$G$258,'G-2 Habitat groups'!A36,'A-1 Site Habitat Baseline'!$S$11:$S$258)</f>
        <v>0</v>
      </c>
      <c r="H36" s="494">
        <f>SUMIF('A-1 Site Habitat Baseline'!$G$11:$G$258,'G-2 Habitat groups'!A36,'A-1 Site Habitat Baseline'!$U$11:$U$258)</f>
        <v>0</v>
      </c>
      <c r="I36" s="494">
        <f>SUMIF('A-1 Site Habitat Baseline'!$G$11:$G$258,'G-2 Habitat groups'!A36,'A-1 Site Habitat Baseline'!$W$11:$W$258)</f>
        <v>0</v>
      </c>
      <c r="J36" s="494">
        <f>SUMIF('A-1 Site Habitat Baseline'!$G$11:$G$258,'G-2 Habitat groups'!A36,'A-1 Site Habitat Baseline'!$X$11:$X$258)</f>
        <v>0</v>
      </c>
      <c r="K36" s="494">
        <f>SUMIF('A-2 Site Habitat Creation'!$F$11:$F$256,'G-2 Habitat groups'!A36,'A-2 Site Habitat Creation'!$G$11:$G$256)</f>
        <v>0</v>
      </c>
      <c r="L36" s="494">
        <f>SUMIF('A-2 Site Habitat Creation'!$F$11:$F$256,'G-2 Habitat groups'!A36,'A-2 Site Habitat Creation'!$Y$11:$Y$256)</f>
        <v>0</v>
      </c>
      <c r="M36" s="494">
        <f>SUMIF('A-3 Site Habitat Enhancement'!$S$12:$S$257,'G-2 Habitat groups'!A36,'A-3 Site Habitat Enhancement'!$V$12:$V$257)</f>
        <v>0</v>
      </c>
      <c r="N36" s="494">
        <f>SUMIF('A-3 Site Habitat Enhancement'!$S$12:$S$257,'G-2 Habitat groups'!A36,'A-3 Site Habitat Enhancement'!$AN$12:$AN$257)</f>
        <v>0</v>
      </c>
      <c r="O36" s="494">
        <f t="shared" si="53"/>
        <v>0</v>
      </c>
      <c r="P36" s="494">
        <f t="shared" si="54"/>
        <v>0</v>
      </c>
      <c r="Q36" s="494">
        <f t="shared" si="55"/>
        <v>0</v>
      </c>
      <c r="R36" s="494">
        <f t="shared" si="56"/>
        <v>0</v>
      </c>
      <c r="S36" s="494">
        <f>IF(C36="V.High",SUMIF('D-1 Off Site Habitat Baseline'!$G$11:$G$258,'G-2 Habitat groups'!A36,'D-1 Off Site Habitat Baseline'!$S$11:$S$258)+SUMIF('D-1 Off Site Habitat Baseline'!$G$11:$G$258,'G-2 Habitat groups'!A36,'D-1 Off Site Habitat Baseline'!$T$11:$T$258),SUMIF('D-1 Off Site Habitat Baseline'!$G$11:$G$258,'G-2 Habitat groups'!A36,'D-1 Off Site Habitat Baseline'!$H$11:$H$258))</f>
        <v>0</v>
      </c>
      <c r="T36" s="494">
        <f>SUMIF('D-1 Off Site Habitat Baseline'!$G$11:$G$258,'G-2 Habitat groups'!A36,'D-1 Off Site Habitat Baseline'!$Q$11:$Q$258)</f>
        <v>0</v>
      </c>
      <c r="U36" s="591">
        <f>SUMIF('D-1 Off Site Habitat Baseline'!$G$11:$G$258,'G-2 Habitat groups'!A36,'D-1 Off Site Habitat Baseline'!$S$11:$S$258)</f>
        <v>0</v>
      </c>
      <c r="V36" s="494">
        <f>SUMIF('D-1 Off Site Habitat Baseline'!$G$11:$G$258,'G-2 Habitat groups'!A36,'D-1 Off Site Habitat Baseline'!$U$11:$U$258)</f>
        <v>0</v>
      </c>
      <c r="W36" s="494">
        <f>SUMIF('D-2 Off Site Habitat Creation'!$F$9:$F$255,'G-2 Habitat groups'!A36,'D-2 Off Site Habitat Creation'!$G$9:$G$255)</f>
        <v>0</v>
      </c>
      <c r="X36" s="494">
        <f>SUMIF('D-2 Off Site Habitat Creation'!$F$9:$F$255,'G-2 Habitat groups'!A36,'D-2 Off Site Habitat Creation'!$AA$9:$AA$255)</f>
        <v>0</v>
      </c>
      <c r="Y36" s="494">
        <f>SUMIF('D-3 Off Site Habitat Enhancment'!$S$12:$S$491,'G-2 Habitat groups'!A36,'D-3 Off Site Habitat Enhancment'!$V$12:$V$491)</f>
        <v>0</v>
      </c>
      <c r="Z36" s="494">
        <f>SUMIF('D-3 Off Site Habitat Enhancment'!$S$12:$S$491,'G-2 Habitat groups'!A36,'D-3 Off Site Habitat Enhancment'!$AP$12:$AP$491)</f>
        <v>0</v>
      </c>
      <c r="AA36" s="494">
        <f t="shared" si="57"/>
        <v>0</v>
      </c>
      <c r="AB36" s="494">
        <f t="shared" si="58"/>
        <v>0</v>
      </c>
      <c r="AC36" s="494">
        <f t="shared" si="59"/>
        <v>0</v>
      </c>
      <c r="AD36" s="494">
        <f t="shared" si="60"/>
        <v>0</v>
      </c>
      <c r="AE36" s="494">
        <f t="shared" si="61"/>
        <v>0</v>
      </c>
      <c r="AF36" s="494">
        <f t="shared" si="62"/>
        <v>0</v>
      </c>
      <c r="AU36" s="113" t="s">
        <v>506</v>
      </c>
      <c r="AV36" s="88" t="s">
        <v>71</v>
      </c>
      <c r="AW36" s="494">
        <f t="shared" si="43"/>
        <v>0</v>
      </c>
      <c r="AX36" s="494">
        <f t="shared" si="44"/>
        <v>0</v>
      </c>
      <c r="AY36" s="494">
        <f t="shared" si="45"/>
        <v>0</v>
      </c>
      <c r="AZ36" s="494">
        <f t="shared" si="46"/>
        <v>0</v>
      </c>
      <c r="BA36" s="494">
        <f t="shared" si="47"/>
        <v>0</v>
      </c>
      <c r="BB36" s="494">
        <f t="shared" si="48"/>
        <v>0</v>
      </c>
      <c r="BC36" s="494">
        <f t="shared" si="49"/>
        <v>0</v>
      </c>
      <c r="BD36" s="494">
        <f t="shared" si="50"/>
        <v>0</v>
      </c>
      <c r="BE36" s="494">
        <f t="shared" si="51"/>
        <v>0</v>
      </c>
      <c r="BF36" s="494" t="str">
        <f t="shared" si="52"/>
        <v/>
      </c>
    </row>
    <row r="37" spans="1:58" x14ac:dyDescent="0.3">
      <c r="A37" s="104" t="str">
        <f>'G-1 All Habitats'!B36</f>
        <v>Heathland and shrub - Sea buckthorn scrub (other)</v>
      </c>
      <c r="B37" s="88" t="str">
        <f>'G-1 All Habitats'!F36</f>
        <v>Heathland and shrub</v>
      </c>
      <c r="C37" s="88" t="str">
        <f>'G-1 All Habitats'!K36</f>
        <v>Low</v>
      </c>
      <c r="D37" s="88" t="str">
        <f>'G-1 All Habitats'!M36</f>
        <v>Same distinctiveness or better habitat required ≥</v>
      </c>
      <c r="E37" s="494">
        <f>IF(C37="V.High",SUMIF('A-1 Site Habitat Baseline'!$G$11:$G$258,'G-2 Habitat groups'!A37,'A-1 Site Habitat Baseline'!$S$11:$S$258)+SUMIF('A-1 Site Habitat Baseline'!$G$11:$G$258,'G-2 Habitat groups'!A37,'A-1 Site Habitat Baseline'!$T$11:$T$258),SUMIF('A-1 Site Habitat Baseline'!$G$11:$G$258,'G-2 Habitat groups'!A37,'A-1 Site Habitat Baseline'!$H$11:$H$258))</f>
        <v>0</v>
      </c>
      <c r="F37" s="494">
        <f>SUMIF('A-1 Site Habitat Baseline'!$G$11:$G$258,'G-2 Habitat groups'!A37,'A-1 Site Habitat Baseline'!$Q$11:$Q$258)</f>
        <v>0</v>
      </c>
      <c r="G37" s="494">
        <f>SUMIF('A-1 Site Habitat Baseline'!$G$11:$G$258,'G-2 Habitat groups'!A37,'A-1 Site Habitat Baseline'!$S$11:$S$258)</f>
        <v>0</v>
      </c>
      <c r="H37" s="494">
        <f>SUMIF('A-1 Site Habitat Baseline'!$G$11:$G$258,'G-2 Habitat groups'!A37,'A-1 Site Habitat Baseline'!$U$11:$U$258)</f>
        <v>0</v>
      </c>
      <c r="I37" s="494">
        <f>SUMIF('A-1 Site Habitat Baseline'!$G$11:$G$258,'G-2 Habitat groups'!A37,'A-1 Site Habitat Baseline'!$W$11:$W$258)</f>
        <v>0</v>
      </c>
      <c r="J37" s="494">
        <f>SUMIF('A-1 Site Habitat Baseline'!$G$11:$G$258,'G-2 Habitat groups'!A37,'A-1 Site Habitat Baseline'!$X$11:$X$258)</f>
        <v>0</v>
      </c>
      <c r="K37" s="494">
        <f>SUMIF('A-2 Site Habitat Creation'!$F$11:$F$256,'G-2 Habitat groups'!A37,'A-2 Site Habitat Creation'!$G$11:$G$256)</f>
        <v>0</v>
      </c>
      <c r="L37" s="494">
        <f>SUMIF('A-2 Site Habitat Creation'!$F$11:$F$256,'G-2 Habitat groups'!A37,'A-2 Site Habitat Creation'!$Y$11:$Y$256)</f>
        <v>0</v>
      </c>
      <c r="M37" s="494">
        <f>SUMIF('A-3 Site Habitat Enhancement'!$S$12:$S$257,'G-2 Habitat groups'!A37,'A-3 Site Habitat Enhancement'!$V$12:$V$257)</f>
        <v>0</v>
      </c>
      <c r="N37" s="494">
        <f>SUMIF('A-3 Site Habitat Enhancement'!$S$12:$S$257,'G-2 Habitat groups'!A37,'A-3 Site Habitat Enhancement'!$AN$12:$AN$257)</f>
        <v>0</v>
      </c>
      <c r="O37" s="494">
        <f t="shared" si="53"/>
        <v>0</v>
      </c>
      <c r="P37" s="494">
        <f t="shared" si="54"/>
        <v>0</v>
      </c>
      <c r="Q37" s="494">
        <f t="shared" si="55"/>
        <v>0</v>
      </c>
      <c r="R37" s="494">
        <f t="shared" si="56"/>
        <v>0</v>
      </c>
      <c r="S37" s="494">
        <f>IF(C37="V.High",SUMIF('D-1 Off Site Habitat Baseline'!$G$11:$G$258,'G-2 Habitat groups'!A37,'D-1 Off Site Habitat Baseline'!$S$11:$S$258)+SUMIF('D-1 Off Site Habitat Baseline'!$G$11:$G$258,'G-2 Habitat groups'!A37,'D-1 Off Site Habitat Baseline'!$T$11:$T$258),SUMIF('D-1 Off Site Habitat Baseline'!$G$11:$G$258,'G-2 Habitat groups'!A37,'D-1 Off Site Habitat Baseline'!$H$11:$H$258))</f>
        <v>0</v>
      </c>
      <c r="T37" s="494">
        <f>SUMIF('D-1 Off Site Habitat Baseline'!$G$11:$G$258,'G-2 Habitat groups'!A37,'D-1 Off Site Habitat Baseline'!$Q$11:$Q$258)</f>
        <v>0</v>
      </c>
      <c r="U37" s="591">
        <f>SUMIF('D-1 Off Site Habitat Baseline'!$G$11:$G$258,'G-2 Habitat groups'!A37,'D-1 Off Site Habitat Baseline'!$S$11:$S$258)</f>
        <v>0</v>
      </c>
      <c r="V37" s="494">
        <f>SUMIF('D-1 Off Site Habitat Baseline'!$G$11:$G$258,'G-2 Habitat groups'!A37,'D-1 Off Site Habitat Baseline'!$U$11:$U$258)</f>
        <v>0</v>
      </c>
      <c r="W37" s="494">
        <f>SUMIF('D-2 Off Site Habitat Creation'!$F$9:$F$255,'G-2 Habitat groups'!A37,'D-2 Off Site Habitat Creation'!$G$9:$G$255)</f>
        <v>0</v>
      </c>
      <c r="X37" s="494">
        <f>SUMIF('D-2 Off Site Habitat Creation'!$F$9:$F$255,'G-2 Habitat groups'!A37,'D-2 Off Site Habitat Creation'!$AA$9:$AA$255)</f>
        <v>0</v>
      </c>
      <c r="Y37" s="494">
        <f>SUMIF('D-3 Off Site Habitat Enhancment'!$S$12:$S$491,'G-2 Habitat groups'!A37,'D-3 Off Site Habitat Enhancment'!$V$12:$V$491)</f>
        <v>0</v>
      </c>
      <c r="Z37" s="494">
        <f>SUMIF('D-3 Off Site Habitat Enhancment'!$S$12:$S$491,'G-2 Habitat groups'!A37,'D-3 Off Site Habitat Enhancment'!$AP$12:$AP$491)</f>
        <v>0</v>
      </c>
      <c r="AA37" s="494">
        <f t="shared" si="57"/>
        <v>0</v>
      </c>
      <c r="AB37" s="494">
        <f t="shared" si="58"/>
        <v>0</v>
      </c>
      <c r="AC37" s="494">
        <f t="shared" si="59"/>
        <v>0</v>
      </c>
      <c r="AD37" s="494">
        <f t="shared" si="60"/>
        <v>0</v>
      </c>
      <c r="AE37" s="494">
        <f t="shared" si="61"/>
        <v>0</v>
      </c>
      <c r="AF37" s="494">
        <f t="shared" si="62"/>
        <v>0</v>
      </c>
      <c r="AU37" s="113" t="s">
        <v>515</v>
      </c>
      <c r="AV37" s="88" t="s">
        <v>71</v>
      </c>
      <c r="AW37" s="494">
        <f t="shared" si="43"/>
        <v>0</v>
      </c>
      <c r="AX37" s="494">
        <f t="shared" si="44"/>
        <v>0</v>
      </c>
      <c r="AY37" s="494">
        <f t="shared" si="45"/>
        <v>0</v>
      </c>
      <c r="AZ37" s="494">
        <f t="shared" si="46"/>
        <v>0</v>
      </c>
      <c r="BA37" s="494">
        <f t="shared" si="47"/>
        <v>0</v>
      </c>
      <c r="BB37" s="494">
        <f t="shared" si="48"/>
        <v>0</v>
      </c>
      <c r="BC37" s="494">
        <f t="shared" si="49"/>
        <v>0</v>
      </c>
      <c r="BD37" s="494">
        <f t="shared" si="50"/>
        <v>0</v>
      </c>
      <c r="BE37" s="494">
        <f t="shared" si="51"/>
        <v>0</v>
      </c>
      <c r="BF37" s="494" t="str">
        <f t="shared" si="52"/>
        <v/>
      </c>
    </row>
    <row r="38" spans="1:58" x14ac:dyDescent="0.3">
      <c r="A38" s="104" t="str">
        <f>'G-1 All Habitats'!B37</f>
        <v>Heathland and shrub - Upland Heathland</v>
      </c>
      <c r="B38" s="88" t="str">
        <f>'G-1 All Habitats'!F37</f>
        <v>Heathland and shrub</v>
      </c>
      <c r="C38" s="88" t="str">
        <f>'G-1 All Habitats'!K37</f>
        <v>High</v>
      </c>
      <c r="D38" s="88" t="str">
        <f>'G-1 All Habitats'!M37</f>
        <v>Same habitat required =</v>
      </c>
      <c r="E38" s="494">
        <f>IF(C38="V.High",SUMIF('A-1 Site Habitat Baseline'!$G$11:$G$258,'G-2 Habitat groups'!A38,'A-1 Site Habitat Baseline'!$S$11:$S$258)+SUMIF('A-1 Site Habitat Baseline'!$G$11:$G$258,'G-2 Habitat groups'!A38,'A-1 Site Habitat Baseline'!$T$11:$T$258),SUMIF('A-1 Site Habitat Baseline'!$G$11:$G$258,'G-2 Habitat groups'!A38,'A-1 Site Habitat Baseline'!$H$11:$H$258))</f>
        <v>0</v>
      </c>
      <c r="F38" s="494">
        <f>SUMIF('A-1 Site Habitat Baseline'!$G$11:$G$258,'G-2 Habitat groups'!A38,'A-1 Site Habitat Baseline'!$Q$11:$Q$258)</f>
        <v>0</v>
      </c>
      <c r="G38" s="494">
        <f>SUMIF('A-1 Site Habitat Baseline'!$G$11:$G$258,'G-2 Habitat groups'!A38,'A-1 Site Habitat Baseline'!$S$11:$S$258)</f>
        <v>0</v>
      </c>
      <c r="H38" s="494">
        <f>SUMIF('A-1 Site Habitat Baseline'!$G$11:$G$258,'G-2 Habitat groups'!A38,'A-1 Site Habitat Baseline'!$U$11:$U$258)</f>
        <v>0</v>
      </c>
      <c r="I38" s="494">
        <f>SUMIF('A-1 Site Habitat Baseline'!$G$11:$G$258,'G-2 Habitat groups'!A38,'A-1 Site Habitat Baseline'!$W$11:$W$258)</f>
        <v>0</v>
      </c>
      <c r="J38" s="494">
        <f>SUMIF('A-1 Site Habitat Baseline'!$G$11:$G$258,'G-2 Habitat groups'!A38,'A-1 Site Habitat Baseline'!$X$11:$X$258)</f>
        <v>0</v>
      </c>
      <c r="K38" s="494">
        <f>SUMIF('A-2 Site Habitat Creation'!$F$11:$F$256,'G-2 Habitat groups'!A38,'A-2 Site Habitat Creation'!$G$11:$G$256)</f>
        <v>0</v>
      </c>
      <c r="L38" s="494">
        <f>SUMIF('A-2 Site Habitat Creation'!$F$11:$F$256,'G-2 Habitat groups'!A38,'A-2 Site Habitat Creation'!$Y$11:$Y$256)</f>
        <v>0</v>
      </c>
      <c r="M38" s="494">
        <f>SUMIF('A-3 Site Habitat Enhancement'!$S$12:$S$257,'G-2 Habitat groups'!A38,'A-3 Site Habitat Enhancement'!$V$12:$V$257)</f>
        <v>0</v>
      </c>
      <c r="N38" s="494">
        <f>SUMIF('A-3 Site Habitat Enhancement'!$S$12:$S$257,'G-2 Habitat groups'!A38,'A-3 Site Habitat Enhancement'!$AN$12:$AN$257)</f>
        <v>0</v>
      </c>
      <c r="O38" s="494">
        <f t="shared" si="53"/>
        <v>0</v>
      </c>
      <c r="P38" s="494">
        <f t="shared" si="54"/>
        <v>0</v>
      </c>
      <c r="Q38" s="494">
        <f t="shared" si="55"/>
        <v>0</v>
      </c>
      <c r="R38" s="494">
        <f t="shared" si="56"/>
        <v>0</v>
      </c>
      <c r="S38" s="494">
        <f>IF(C38="V.High",SUMIF('D-1 Off Site Habitat Baseline'!$G$11:$G$258,'G-2 Habitat groups'!A38,'D-1 Off Site Habitat Baseline'!$S$11:$S$258)+SUMIF('D-1 Off Site Habitat Baseline'!$G$11:$G$258,'G-2 Habitat groups'!A38,'D-1 Off Site Habitat Baseline'!$T$11:$T$258),SUMIF('D-1 Off Site Habitat Baseline'!$G$11:$G$258,'G-2 Habitat groups'!A38,'D-1 Off Site Habitat Baseline'!$H$11:$H$258))</f>
        <v>0</v>
      </c>
      <c r="T38" s="494">
        <f>SUMIF('D-1 Off Site Habitat Baseline'!$G$11:$G$258,'G-2 Habitat groups'!A38,'D-1 Off Site Habitat Baseline'!$Q$11:$Q$258)</f>
        <v>0</v>
      </c>
      <c r="U38" s="591">
        <f>SUMIF('D-1 Off Site Habitat Baseline'!$G$11:$G$258,'G-2 Habitat groups'!A38,'D-1 Off Site Habitat Baseline'!$S$11:$S$258)</f>
        <v>0</v>
      </c>
      <c r="V38" s="494">
        <f>SUMIF('D-1 Off Site Habitat Baseline'!$G$11:$G$258,'G-2 Habitat groups'!A38,'D-1 Off Site Habitat Baseline'!$U$11:$U$258)</f>
        <v>0</v>
      </c>
      <c r="W38" s="494">
        <f>SUMIF('D-2 Off Site Habitat Creation'!$F$9:$F$255,'G-2 Habitat groups'!A38,'D-2 Off Site Habitat Creation'!$G$9:$G$255)</f>
        <v>0</v>
      </c>
      <c r="X38" s="494">
        <f>SUMIF('D-2 Off Site Habitat Creation'!$F$9:$F$255,'G-2 Habitat groups'!A38,'D-2 Off Site Habitat Creation'!$AA$9:$AA$255)</f>
        <v>0</v>
      </c>
      <c r="Y38" s="494">
        <f>SUMIF('D-3 Off Site Habitat Enhancment'!$S$12:$S$491,'G-2 Habitat groups'!A38,'D-3 Off Site Habitat Enhancment'!$V$12:$V$491)</f>
        <v>0</v>
      </c>
      <c r="Z38" s="494">
        <f>SUMIF('D-3 Off Site Habitat Enhancment'!$S$12:$S$491,'G-2 Habitat groups'!A38,'D-3 Off Site Habitat Enhancment'!$AP$12:$AP$491)</f>
        <v>0</v>
      </c>
      <c r="AA38" s="494">
        <f t="shared" si="57"/>
        <v>0</v>
      </c>
      <c r="AB38" s="494">
        <f t="shared" si="58"/>
        <v>0</v>
      </c>
      <c r="AC38" s="494">
        <f t="shared" si="59"/>
        <v>0</v>
      </c>
      <c r="AD38" s="494">
        <f t="shared" si="60"/>
        <v>0</v>
      </c>
      <c r="AE38" s="494">
        <f t="shared" si="61"/>
        <v>0</v>
      </c>
      <c r="AF38" s="494">
        <f t="shared" si="62"/>
        <v>0</v>
      </c>
      <c r="AU38" s="113" t="s">
        <v>526</v>
      </c>
      <c r="AV38" s="88" t="s">
        <v>72</v>
      </c>
      <c r="AW38" s="494">
        <f t="shared" si="43"/>
        <v>0</v>
      </c>
      <c r="AX38" s="494">
        <f t="shared" si="44"/>
        <v>0</v>
      </c>
      <c r="AY38" s="494">
        <f t="shared" si="45"/>
        <v>0</v>
      </c>
      <c r="AZ38" s="494">
        <f t="shared" si="46"/>
        <v>0</v>
      </c>
      <c r="BA38" s="494">
        <f t="shared" si="47"/>
        <v>0</v>
      </c>
      <c r="BB38" s="494">
        <f t="shared" si="48"/>
        <v>0</v>
      </c>
      <c r="BC38" s="494">
        <f t="shared" si="49"/>
        <v>0</v>
      </c>
      <c r="BD38" s="494">
        <f t="shared" si="50"/>
        <v>0</v>
      </c>
      <c r="BE38" s="494">
        <f t="shared" si="51"/>
        <v>0</v>
      </c>
      <c r="BF38" s="494" t="str">
        <f t="shared" si="52"/>
        <v/>
      </c>
    </row>
    <row r="39" spans="1:58" x14ac:dyDescent="0.3">
      <c r="A39" s="104" t="str">
        <f>'G-1 All Habitats'!B38</f>
        <v>Lakes - Aquifer fed naturally fluctuating water bodies</v>
      </c>
      <c r="B39" s="88" t="str">
        <f>'G-1 All Habitats'!F38</f>
        <v>Lakes</v>
      </c>
      <c r="C39" s="88" t="str">
        <f>'G-1 All Habitats'!K38</f>
        <v>V.High</v>
      </c>
      <c r="D39" s="88" t="str">
        <f>'G-1 All Habitats'!M38</f>
        <v>Bespoke compensation likely to be required 🛠</v>
      </c>
      <c r="E39" s="494">
        <f>IF(C39="V.High",SUMIF('A-1 Site Habitat Baseline'!$G$11:$G$258,'G-2 Habitat groups'!A39,'A-1 Site Habitat Baseline'!$S$11:$S$258)+SUMIF('A-1 Site Habitat Baseline'!$G$11:$G$258,'G-2 Habitat groups'!A39,'A-1 Site Habitat Baseline'!$T$11:$T$258),SUMIF('A-1 Site Habitat Baseline'!$G$11:$G$258,'G-2 Habitat groups'!A39,'A-1 Site Habitat Baseline'!$H$11:$H$258))</f>
        <v>0</v>
      </c>
      <c r="F39" s="494">
        <f>SUMIF('A-1 Site Habitat Baseline'!$G$11:$G$258,'G-2 Habitat groups'!A39,'A-1 Site Habitat Baseline'!$Q$11:$Q$258)</f>
        <v>0</v>
      </c>
      <c r="G39" s="494">
        <f>SUMIF('A-1 Site Habitat Baseline'!$G$11:$G$258,'G-2 Habitat groups'!A39,'A-1 Site Habitat Baseline'!$S$11:$S$258)</f>
        <v>0</v>
      </c>
      <c r="H39" s="494">
        <f>SUMIF('A-1 Site Habitat Baseline'!$G$11:$G$258,'G-2 Habitat groups'!A39,'A-1 Site Habitat Baseline'!$U$11:$U$258)</f>
        <v>0</v>
      </c>
      <c r="I39" s="494">
        <f>SUMIF('A-1 Site Habitat Baseline'!$G$11:$G$258,'G-2 Habitat groups'!A39,'A-1 Site Habitat Baseline'!$W$11:$W$258)</f>
        <v>0</v>
      </c>
      <c r="J39" s="494">
        <f>SUMIF('A-1 Site Habitat Baseline'!$G$11:$G$258,'G-2 Habitat groups'!A39,'A-1 Site Habitat Baseline'!$X$11:$X$258)</f>
        <v>0</v>
      </c>
      <c r="K39" s="494">
        <f>SUMIF('A-2 Site Habitat Creation'!$F$11:$F$256,'G-2 Habitat groups'!A39,'A-2 Site Habitat Creation'!$G$11:$G$256)</f>
        <v>0</v>
      </c>
      <c r="L39" s="494">
        <f>SUMIF('A-2 Site Habitat Creation'!$F$11:$F$256,'G-2 Habitat groups'!A39,'A-2 Site Habitat Creation'!$Y$11:$Y$256)</f>
        <v>0</v>
      </c>
      <c r="M39" s="494">
        <f>SUMIF('A-3 Site Habitat Enhancement'!$S$12:$S$257,'G-2 Habitat groups'!A39,'A-3 Site Habitat Enhancement'!$V$12:$V$257)</f>
        <v>0</v>
      </c>
      <c r="N39" s="494">
        <f>SUMIF('A-3 Site Habitat Enhancement'!$S$12:$S$257,'G-2 Habitat groups'!A39,'A-3 Site Habitat Enhancement'!$AN$12:$AN$257)</f>
        <v>0</v>
      </c>
      <c r="O39" s="494">
        <f t="shared" si="53"/>
        <v>0</v>
      </c>
      <c r="P39" s="494">
        <f t="shared" si="54"/>
        <v>0</v>
      </c>
      <c r="Q39" s="494">
        <f t="shared" si="55"/>
        <v>0</v>
      </c>
      <c r="R39" s="494">
        <f t="shared" si="56"/>
        <v>0</v>
      </c>
      <c r="S39" s="494">
        <f>IF(C39="V.High",SUMIF('D-1 Off Site Habitat Baseline'!$G$11:$G$258,'G-2 Habitat groups'!A39,'D-1 Off Site Habitat Baseline'!$S$11:$S$258)+SUMIF('D-1 Off Site Habitat Baseline'!$G$11:$G$258,'G-2 Habitat groups'!A39,'D-1 Off Site Habitat Baseline'!$T$11:$T$258),SUMIF('D-1 Off Site Habitat Baseline'!$G$11:$G$258,'G-2 Habitat groups'!A39,'D-1 Off Site Habitat Baseline'!$H$11:$H$258))</f>
        <v>0</v>
      </c>
      <c r="T39" s="494">
        <f>SUMIF('D-1 Off Site Habitat Baseline'!$G$11:$G$258,'G-2 Habitat groups'!A39,'D-1 Off Site Habitat Baseline'!$Q$11:$Q$258)</f>
        <v>0</v>
      </c>
      <c r="U39" s="591">
        <f>SUMIF('D-1 Off Site Habitat Baseline'!$G$11:$G$258,'G-2 Habitat groups'!A39,'D-1 Off Site Habitat Baseline'!$S$11:$S$258)</f>
        <v>0</v>
      </c>
      <c r="V39" s="494">
        <f>SUMIF('D-1 Off Site Habitat Baseline'!$G$11:$G$258,'G-2 Habitat groups'!A39,'D-1 Off Site Habitat Baseline'!$U$11:$U$258)</f>
        <v>0</v>
      </c>
      <c r="W39" s="494">
        <f>SUMIF('D-2 Off Site Habitat Creation'!$F$9:$F$255,'G-2 Habitat groups'!A39,'D-2 Off Site Habitat Creation'!$G$9:$G$255)</f>
        <v>0</v>
      </c>
      <c r="X39" s="494">
        <f>SUMIF('D-2 Off Site Habitat Creation'!$F$9:$F$255,'G-2 Habitat groups'!A39,'D-2 Off Site Habitat Creation'!$AA$9:$AA$255)</f>
        <v>0</v>
      </c>
      <c r="Y39" s="494">
        <f>SUMIF('D-3 Off Site Habitat Enhancment'!$S$12:$S$491,'G-2 Habitat groups'!A39,'D-3 Off Site Habitat Enhancment'!$V$12:$V$491)</f>
        <v>0</v>
      </c>
      <c r="Z39" s="494">
        <f>SUMIF('D-3 Off Site Habitat Enhancment'!$S$12:$S$491,'G-2 Habitat groups'!A39,'D-3 Off Site Habitat Enhancment'!$AP$12:$AP$491)</f>
        <v>0</v>
      </c>
      <c r="AA39" s="494">
        <f t="shared" si="57"/>
        <v>0</v>
      </c>
      <c r="AB39" s="494">
        <f t="shared" si="58"/>
        <v>0</v>
      </c>
      <c r="AC39" s="494">
        <f t="shared" si="59"/>
        <v>0</v>
      </c>
      <c r="AD39" s="494">
        <f t="shared" si="60"/>
        <v>0</v>
      </c>
      <c r="AE39" s="494">
        <f t="shared" si="61"/>
        <v>0</v>
      </c>
      <c r="AF39" s="494">
        <f t="shared" si="62"/>
        <v>0</v>
      </c>
      <c r="AU39" s="113" t="s">
        <v>529</v>
      </c>
      <c r="AV39" s="88" t="s">
        <v>72</v>
      </c>
      <c r="AW39" s="494">
        <f t="shared" si="43"/>
        <v>0</v>
      </c>
      <c r="AX39" s="494">
        <f t="shared" si="44"/>
        <v>0</v>
      </c>
      <c r="AY39" s="494">
        <f t="shared" si="45"/>
        <v>0</v>
      </c>
      <c r="AZ39" s="494">
        <f t="shared" si="46"/>
        <v>0</v>
      </c>
      <c r="BA39" s="494">
        <f t="shared" si="47"/>
        <v>0</v>
      </c>
      <c r="BB39" s="494">
        <f t="shared" si="48"/>
        <v>0</v>
      </c>
      <c r="BC39" s="494">
        <f t="shared" si="49"/>
        <v>0</v>
      </c>
      <c r="BD39" s="494">
        <f t="shared" si="50"/>
        <v>0</v>
      </c>
      <c r="BE39" s="494">
        <f t="shared" si="51"/>
        <v>0</v>
      </c>
      <c r="BF39" s="494" t="str">
        <f t="shared" si="52"/>
        <v/>
      </c>
    </row>
    <row r="40" spans="1:58" x14ac:dyDescent="0.3">
      <c r="A40" s="104" t="str">
        <f>'G-1 All Habitats'!B39</f>
        <v>Lakes - Ornamental lake or pond</v>
      </c>
      <c r="B40" s="88" t="str">
        <f>'G-1 All Habitats'!F39</f>
        <v>Urban</v>
      </c>
      <c r="C40" s="88" t="str">
        <f>'G-1 All Habitats'!K39</f>
        <v>Low</v>
      </c>
      <c r="D40" s="88" t="str">
        <f>'G-1 All Habitats'!M39</f>
        <v>Same distinctiveness or better habitat required ≥</v>
      </c>
      <c r="E40" s="494">
        <f>IF(C40="V.High",SUMIF('A-1 Site Habitat Baseline'!$G$11:$G$258,'G-2 Habitat groups'!A40,'A-1 Site Habitat Baseline'!$S$11:$S$258)+SUMIF('A-1 Site Habitat Baseline'!$G$11:$G$258,'G-2 Habitat groups'!A40,'A-1 Site Habitat Baseline'!$T$11:$T$258),SUMIF('A-1 Site Habitat Baseline'!$G$11:$G$258,'G-2 Habitat groups'!A40,'A-1 Site Habitat Baseline'!$H$11:$H$258))</f>
        <v>0</v>
      </c>
      <c r="F40" s="494">
        <f>SUMIF('A-1 Site Habitat Baseline'!$G$11:$G$258,'G-2 Habitat groups'!A40,'A-1 Site Habitat Baseline'!$Q$11:$Q$258)</f>
        <v>0</v>
      </c>
      <c r="G40" s="494">
        <f>SUMIF('A-1 Site Habitat Baseline'!$G$11:$G$258,'G-2 Habitat groups'!A40,'A-1 Site Habitat Baseline'!$S$11:$S$258)</f>
        <v>0</v>
      </c>
      <c r="H40" s="494">
        <f>SUMIF('A-1 Site Habitat Baseline'!$G$11:$G$258,'G-2 Habitat groups'!A40,'A-1 Site Habitat Baseline'!$U$11:$U$258)</f>
        <v>0</v>
      </c>
      <c r="I40" s="494">
        <f>SUMIF('A-1 Site Habitat Baseline'!$G$11:$G$258,'G-2 Habitat groups'!A40,'A-1 Site Habitat Baseline'!$W$11:$W$258)</f>
        <v>0</v>
      </c>
      <c r="J40" s="494">
        <f>SUMIF('A-1 Site Habitat Baseline'!$G$11:$G$258,'G-2 Habitat groups'!A40,'A-1 Site Habitat Baseline'!$X$11:$X$258)</f>
        <v>0</v>
      </c>
      <c r="K40" s="494">
        <f>SUMIF('A-2 Site Habitat Creation'!$F$11:$F$256,'G-2 Habitat groups'!A40,'A-2 Site Habitat Creation'!$G$11:$G$256)</f>
        <v>0</v>
      </c>
      <c r="L40" s="494">
        <f>SUMIF('A-2 Site Habitat Creation'!$F$11:$F$256,'G-2 Habitat groups'!A40,'A-2 Site Habitat Creation'!$Y$11:$Y$256)</f>
        <v>0</v>
      </c>
      <c r="M40" s="494">
        <f>SUMIF('A-3 Site Habitat Enhancement'!$S$12:$S$257,'G-2 Habitat groups'!A40,'A-3 Site Habitat Enhancement'!$V$12:$V$257)</f>
        <v>0</v>
      </c>
      <c r="N40" s="494">
        <f>SUMIF('A-3 Site Habitat Enhancement'!$S$12:$S$257,'G-2 Habitat groups'!A40,'A-3 Site Habitat Enhancement'!$AN$12:$AN$257)</f>
        <v>0</v>
      </c>
      <c r="O40" s="494">
        <f t="shared" si="53"/>
        <v>0</v>
      </c>
      <c r="P40" s="494">
        <f t="shared" si="54"/>
        <v>0</v>
      </c>
      <c r="Q40" s="494">
        <f t="shared" si="55"/>
        <v>0</v>
      </c>
      <c r="R40" s="494">
        <f t="shared" si="56"/>
        <v>0</v>
      </c>
      <c r="S40" s="494">
        <f>IF(C40="V.High",SUMIF('D-1 Off Site Habitat Baseline'!$G$11:$G$258,'G-2 Habitat groups'!A40,'D-1 Off Site Habitat Baseline'!$S$11:$S$258)+SUMIF('D-1 Off Site Habitat Baseline'!$G$11:$G$258,'G-2 Habitat groups'!A40,'D-1 Off Site Habitat Baseline'!$T$11:$T$258),SUMIF('D-1 Off Site Habitat Baseline'!$G$11:$G$258,'G-2 Habitat groups'!A40,'D-1 Off Site Habitat Baseline'!$H$11:$H$258))</f>
        <v>0</v>
      </c>
      <c r="T40" s="494">
        <f>SUMIF('D-1 Off Site Habitat Baseline'!$G$11:$G$258,'G-2 Habitat groups'!A40,'D-1 Off Site Habitat Baseline'!$Q$11:$Q$258)</f>
        <v>0</v>
      </c>
      <c r="U40" s="591">
        <f>SUMIF('D-1 Off Site Habitat Baseline'!$G$11:$G$258,'G-2 Habitat groups'!A40,'D-1 Off Site Habitat Baseline'!$S$11:$S$258)</f>
        <v>0</v>
      </c>
      <c r="V40" s="494">
        <f>SUMIF('D-1 Off Site Habitat Baseline'!$G$11:$G$258,'G-2 Habitat groups'!A40,'D-1 Off Site Habitat Baseline'!$U$11:$U$258)</f>
        <v>0</v>
      </c>
      <c r="W40" s="494">
        <f>SUMIF('D-2 Off Site Habitat Creation'!$F$9:$F$255,'G-2 Habitat groups'!A40,'D-2 Off Site Habitat Creation'!$G$9:$G$255)</f>
        <v>0</v>
      </c>
      <c r="X40" s="494">
        <f>SUMIF('D-2 Off Site Habitat Creation'!$F$9:$F$255,'G-2 Habitat groups'!A40,'D-2 Off Site Habitat Creation'!$AA$9:$AA$255)</f>
        <v>0</v>
      </c>
      <c r="Y40" s="494">
        <f>SUMIF('D-3 Off Site Habitat Enhancment'!$S$12:$S$491,'G-2 Habitat groups'!A40,'D-3 Off Site Habitat Enhancment'!$V$12:$V$491)</f>
        <v>0</v>
      </c>
      <c r="Z40" s="494">
        <f>SUMIF('D-3 Off Site Habitat Enhancment'!$S$12:$S$491,'G-2 Habitat groups'!A40,'D-3 Off Site Habitat Enhancment'!$AP$12:$AP$491)</f>
        <v>0</v>
      </c>
      <c r="AA40" s="494">
        <f t="shared" si="57"/>
        <v>0</v>
      </c>
      <c r="AB40" s="494">
        <f t="shared" si="58"/>
        <v>0</v>
      </c>
      <c r="AC40" s="494">
        <f t="shared" si="59"/>
        <v>0</v>
      </c>
      <c r="AD40" s="494">
        <f t="shared" si="60"/>
        <v>0</v>
      </c>
      <c r="AE40" s="494">
        <f t="shared" si="61"/>
        <v>0</v>
      </c>
      <c r="AF40" s="494">
        <f t="shared" si="62"/>
        <v>0</v>
      </c>
      <c r="AU40" s="113" t="s">
        <v>532</v>
      </c>
      <c r="AV40" s="88" t="s">
        <v>72</v>
      </c>
      <c r="AW40" s="494">
        <f t="shared" si="43"/>
        <v>0</v>
      </c>
      <c r="AX40" s="494">
        <f t="shared" si="44"/>
        <v>0</v>
      </c>
      <c r="AY40" s="494">
        <f t="shared" si="45"/>
        <v>0</v>
      </c>
      <c r="AZ40" s="494">
        <f t="shared" si="46"/>
        <v>0</v>
      </c>
      <c r="BA40" s="494">
        <f t="shared" si="47"/>
        <v>0</v>
      </c>
      <c r="BB40" s="494">
        <f t="shared" si="48"/>
        <v>0</v>
      </c>
      <c r="BC40" s="494">
        <f t="shared" si="49"/>
        <v>0</v>
      </c>
      <c r="BD40" s="494">
        <f t="shared" si="50"/>
        <v>0</v>
      </c>
      <c r="BE40" s="494">
        <f t="shared" si="51"/>
        <v>0</v>
      </c>
      <c r="BF40" s="494" t="str">
        <f t="shared" si="52"/>
        <v/>
      </c>
    </row>
    <row r="41" spans="1:58" x14ac:dyDescent="0.3">
      <c r="A41" s="104" t="str">
        <f>'G-1 All Habitats'!B40</f>
        <v>Lakes - High alkalinity lakes</v>
      </c>
      <c r="B41" s="88" t="str">
        <f>'G-1 All Habitats'!F40</f>
        <v>Lakes</v>
      </c>
      <c r="C41" s="88" t="str">
        <f>'G-1 All Habitats'!K40</f>
        <v>High</v>
      </c>
      <c r="D41" s="88" t="str">
        <f>'G-1 All Habitats'!M40</f>
        <v>Same habitat required =</v>
      </c>
      <c r="E41" s="494">
        <f>IF(C41="V.High",SUMIF('A-1 Site Habitat Baseline'!$G$11:$G$258,'G-2 Habitat groups'!A41,'A-1 Site Habitat Baseline'!$S$11:$S$258)+SUMIF('A-1 Site Habitat Baseline'!$G$11:$G$258,'G-2 Habitat groups'!A41,'A-1 Site Habitat Baseline'!$T$11:$T$258),SUMIF('A-1 Site Habitat Baseline'!$G$11:$G$258,'G-2 Habitat groups'!A41,'A-1 Site Habitat Baseline'!$H$11:$H$258))</f>
        <v>0</v>
      </c>
      <c r="F41" s="494">
        <f>SUMIF('A-1 Site Habitat Baseline'!$G$11:$G$258,'G-2 Habitat groups'!A41,'A-1 Site Habitat Baseline'!$Q$11:$Q$258)</f>
        <v>0</v>
      </c>
      <c r="G41" s="494">
        <f>SUMIF('A-1 Site Habitat Baseline'!$G$11:$G$258,'G-2 Habitat groups'!A41,'A-1 Site Habitat Baseline'!$S$11:$S$258)</f>
        <v>0</v>
      </c>
      <c r="H41" s="494">
        <f>SUMIF('A-1 Site Habitat Baseline'!$G$11:$G$258,'G-2 Habitat groups'!A41,'A-1 Site Habitat Baseline'!$U$11:$U$258)</f>
        <v>0</v>
      </c>
      <c r="I41" s="494">
        <f>SUMIF('A-1 Site Habitat Baseline'!$G$11:$G$258,'G-2 Habitat groups'!A41,'A-1 Site Habitat Baseline'!$W$11:$W$258)</f>
        <v>0</v>
      </c>
      <c r="J41" s="494">
        <f>SUMIF('A-1 Site Habitat Baseline'!$G$11:$G$258,'G-2 Habitat groups'!A41,'A-1 Site Habitat Baseline'!$X$11:$X$258)</f>
        <v>0</v>
      </c>
      <c r="K41" s="494">
        <f>SUMIF('A-2 Site Habitat Creation'!$F$11:$F$256,'G-2 Habitat groups'!A41,'A-2 Site Habitat Creation'!$G$11:$G$256)</f>
        <v>0</v>
      </c>
      <c r="L41" s="494">
        <f>SUMIF('A-2 Site Habitat Creation'!$F$11:$F$256,'G-2 Habitat groups'!A41,'A-2 Site Habitat Creation'!$Y$11:$Y$256)</f>
        <v>0</v>
      </c>
      <c r="M41" s="494">
        <f>SUMIF('A-3 Site Habitat Enhancement'!$S$12:$S$257,'G-2 Habitat groups'!A41,'A-3 Site Habitat Enhancement'!$V$12:$V$257)</f>
        <v>0</v>
      </c>
      <c r="N41" s="494">
        <f>SUMIF('A-3 Site Habitat Enhancement'!$S$12:$S$257,'G-2 Habitat groups'!A41,'A-3 Site Habitat Enhancement'!$AN$12:$AN$257)</f>
        <v>0</v>
      </c>
      <c r="O41" s="494">
        <f t="shared" si="53"/>
        <v>0</v>
      </c>
      <c r="P41" s="494">
        <f t="shared" si="54"/>
        <v>0</v>
      </c>
      <c r="Q41" s="494">
        <f t="shared" si="55"/>
        <v>0</v>
      </c>
      <c r="R41" s="494">
        <f t="shared" si="56"/>
        <v>0</v>
      </c>
      <c r="S41" s="494">
        <f>IF(C41="V.High",SUMIF('D-1 Off Site Habitat Baseline'!$G$11:$G$258,'G-2 Habitat groups'!A41,'D-1 Off Site Habitat Baseline'!$S$11:$S$258)+SUMIF('D-1 Off Site Habitat Baseline'!$G$11:$G$258,'G-2 Habitat groups'!A41,'D-1 Off Site Habitat Baseline'!$T$11:$T$258),SUMIF('D-1 Off Site Habitat Baseline'!$G$11:$G$258,'G-2 Habitat groups'!A41,'D-1 Off Site Habitat Baseline'!$H$11:$H$258))</f>
        <v>0</v>
      </c>
      <c r="T41" s="494">
        <f>SUMIF('D-1 Off Site Habitat Baseline'!$G$11:$G$258,'G-2 Habitat groups'!A41,'D-1 Off Site Habitat Baseline'!$Q$11:$Q$258)</f>
        <v>0</v>
      </c>
      <c r="U41" s="591">
        <f>SUMIF('D-1 Off Site Habitat Baseline'!$G$11:$G$258,'G-2 Habitat groups'!A41,'D-1 Off Site Habitat Baseline'!$S$11:$S$258)</f>
        <v>0</v>
      </c>
      <c r="V41" s="494">
        <f>SUMIF('D-1 Off Site Habitat Baseline'!$G$11:$G$258,'G-2 Habitat groups'!A41,'D-1 Off Site Habitat Baseline'!$U$11:$U$258)</f>
        <v>0</v>
      </c>
      <c r="W41" s="494">
        <f>SUMIF('D-2 Off Site Habitat Creation'!$F$9:$F$255,'G-2 Habitat groups'!A41,'D-2 Off Site Habitat Creation'!$G$9:$G$255)</f>
        <v>0</v>
      </c>
      <c r="X41" s="494">
        <f>SUMIF('D-2 Off Site Habitat Creation'!$F$9:$F$255,'G-2 Habitat groups'!A41,'D-2 Off Site Habitat Creation'!$AA$9:$AA$255)</f>
        <v>0</v>
      </c>
      <c r="Y41" s="494">
        <f>SUMIF('D-3 Off Site Habitat Enhancment'!$S$12:$S$491,'G-2 Habitat groups'!A41,'D-3 Off Site Habitat Enhancment'!$V$12:$V$491)</f>
        <v>0</v>
      </c>
      <c r="Z41" s="494">
        <f>SUMIF('D-3 Off Site Habitat Enhancment'!$S$12:$S$491,'G-2 Habitat groups'!A41,'D-3 Off Site Habitat Enhancment'!$AP$12:$AP$491)</f>
        <v>0</v>
      </c>
      <c r="AA41" s="494">
        <f t="shared" si="57"/>
        <v>0</v>
      </c>
      <c r="AB41" s="494">
        <f t="shared" si="58"/>
        <v>0</v>
      </c>
      <c r="AC41" s="494">
        <f t="shared" si="59"/>
        <v>0</v>
      </c>
      <c r="AD41" s="494">
        <f t="shared" si="60"/>
        <v>0</v>
      </c>
      <c r="AE41" s="494">
        <f t="shared" si="61"/>
        <v>0</v>
      </c>
      <c r="AF41" s="494">
        <f t="shared" si="62"/>
        <v>0</v>
      </c>
      <c r="AU41" s="113" t="s">
        <v>535</v>
      </c>
      <c r="AV41" s="88" t="s">
        <v>72</v>
      </c>
      <c r="AW41" s="494">
        <f t="shared" si="43"/>
        <v>0</v>
      </c>
      <c r="AX41" s="494">
        <f t="shared" si="44"/>
        <v>0</v>
      </c>
      <c r="AY41" s="494">
        <f t="shared" si="45"/>
        <v>0</v>
      </c>
      <c r="AZ41" s="494">
        <f t="shared" si="46"/>
        <v>0</v>
      </c>
      <c r="BA41" s="494">
        <f t="shared" si="47"/>
        <v>0</v>
      </c>
      <c r="BB41" s="494">
        <f t="shared" si="48"/>
        <v>0</v>
      </c>
      <c r="BC41" s="494">
        <f t="shared" si="49"/>
        <v>0</v>
      </c>
      <c r="BD41" s="494">
        <f t="shared" si="50"/>
        <v>0</v>
      </c>
      <c r="BE41" s="494">
        <f t="shared" si="51"/>
        <v>0</v>
      </c>
      <c r="BF41" s="494" t="str">
        <f t="shared" si="52"/>
        <v/>
      </c>
    </row>
    <row r="42" spans="1:58" x14ac:dyDescent="0.3">
      <c r="A42" s="104" t="str">
        <f>'G-1 All Habitats'!B41</f>
        <v>Lakes - Low alkalinity lakes</v>
      </c>
      <c r="B42" s="88" t="str">
        <f>'G-1 All Habitats'!F41</f>
        <v>Lakes</v>
      </c>
      <c r="C42" s="88" t="str">
        <f>'G-1 All Habitats'!K41</f>
        <v>High</v>
      </c>
      <c r="D42" s="88" t="str">
        <f>'G-1 All Habitats'!M41</f>
        <v>Same habitat required =</v>
      </c>
      <c r="E42" s="494">
        <f>IF(C42="V.High",SUMIF('A-1 Site Habitat Baseline'!$G$11:$G$258,'G-2 Habitat groups'!A42,'A-1 Site Habitat Baseline'!$S$11:$S$258)+SUMIF('A-1 Site Habitat Baseline'!$G$11:$G$258,'G-2 Habitat groups'!A42,'A-1 Site Habitat Baseline'!$T$11:$T$258),SUMIF('A-1 Site Habitat Baseline'!$G$11:$G$258,'G-2 Habitat groups'!A42,'A-1 Site Habitat Baseline'!$H$11:$H$258))</f>
        <v>0</v>
      </c>
      <c r="F42" s="494">
        <f>SUMIF('A-1 Site Habitat Baseline'!$G$11:$G$258,'G-2 Habitat groups'!A42,'A-1 Site Habitat Baseline'!$Q$11:$Q$258)</f>
        <v>0</v>
      </c>
      <c r="G42" s="494">
        <f>SUMIF('A-1 Site Habitat Baseline'!$G$11:$G$258,'G-2 Habitat groups'!A42,'A-1 Site Habitat Baseline'!$S$11:$S$258)</f>
        <v>0</v>
      </c>
      <c r="H42" s="494">
        <f>SUMIF('A-1 Site Habitat Baseline'!$G$11:$G$258,'G-2 Habitat groups'!A42,'A-1 Site Habitat Baseline'!$U$11:$U$258)</f>
        <v>0</v>
      </c>
      <c r="I42" s="494">
        <f>SUMIF('A-1 Site Habitat Baseline'!$G$11:$G$258,'G-2 Habitat groups'!A42,'A-1 Site Habitat Baseline'!$W$11:$W$258)</f>
        <v>0</v>
      </c>
      <c r="J42" s="494">
        <f>SUMIF('A-1 Site Habitat Baseline'!$G$11:$G$258,'G-2 Habitat groups'!A42,'A-1 Site Habitat Baseline'!$X$11:$X$258)</f>
        <v>0</v>
      </c>
      <c r="K42" s="494">
        <f>SUMIF('A-2 Site Habitat Creation'!$F$11:$F$256,'G-2 Habitat groups'!A42,'A-2 Site Habitat Creation'!$G$11:$G$256)</f>
        <v>0</v>
      </c>
      <c r="L42" s="494">
        <f>SUMIF('A-2 Site Habitat Creation'!$F$11:$F$256,'G-2 Habitat groups'!A42,'A-2 Site Habitat Creation'!$Y$11:$Y$256)</f>
        <v>0</v>
      </c>
      <c r="M42" s="494">
        <f>SUMIF('A-3 Site Habitat Enhancement'!$S$12:$S$257,'G-2 Habitat groups'!A42,'A-3 Site Habitat Enhancement'!$V$12:$V$257)</f>
        <v>0</v>
      </c>
      <c r="N42" s="494">
        <f>SUMIF('A-3 Site Habitat Enhancement'!$S$12:$S$257,'G-2 Habitat groups'!A42,'A-3 Site Habitat Enhancement'!$AN$12:$AN$257)</f>
        <v>0</v>
      </c>
      <c r="O42" s="494">
        <f t="shared" si="53"/>
        <v>0</v>
      </c>
      <c r="P42" s="494">
        <f t="shared" si="54"/>
        <v>0</v>
      </c>
      <c r="Q42" s="494">
        <f t="shared" si="55"/>
        <v>0</v>
      </c>
      <c r="R42" s="494">
        <f t="shared" si="56"/>
        <v>0</v>
      </c>
      <c r="S42" s="494">
        <f>IF(C42="V.High",SUMIF('D-1 Off Site Habitat Baseline'!$G$11:$G$258,'G-2 Habitat groups'!A42,'D-1 Off Site Habitat Baseline'!$S$11:$S$258)+SUMIF('D-1 Off Site Habitat Baseline'!$G$11:$G$258,'G-2 Habitat groups'!A42,'D-1 Off Site Habitat Baseline'!$T$11:$T$258),SUMIF('D-1 Off Site Habitat Baseline'!$G$11:$G$258,'G-2 Habitat groups'!A42,'D-1 Off Site Habitat Baseline'!$H$11:$H$258))</f>
        <v>0</v>
      </c>
      <c r="T42" s="494">
        <f>SUMIF('D-1 Off Site Habitat Baseline'!$G$11:$G$258,'G-2 Habitat groups'!A42,'D-1 Off Site Habitat Baseline'!$Q$11:$Q$258)</f>
        <v>0</v>
      </c>
      <c r="U42" s="591">
        <f>SUMIF('D-1 Off Site Habitat Baseline'!$G$11:$G$258,'G-2 Habitat groups'!A42,'D-1 Off Site Habitat Baseline'!$S$11:$S$258)</f>
        <v>0</v>
      </c>
      <c r="V42" s="494">
        <f>SUMIF('D-1 Off Site Habitat Baseline'!$G$11:$G$258,'G-2 Habitat groups'!A42,'D-1 Off Site Habitat Baseline'!$U$11:$U$258)</f>
        <v>0</v>
      </c>
      <c r="W42" s="494">
        <f>SUMIF('D-2 Off Site Habitat Creation'!$F$9:$F$255,'G-2 Habitat groups'!A42,'D-2 Off Site Habitat Creation'!$G$9:$G$255)</f>
        <v>0</v>
      </c>
      <c r="X42" s="494">
        <f>SUMIF('D-2 Off Site Habitat Creation'!$F$9:$F$255,'G-2 Habitat groups'!A42,'D-2 Off Site Habitat Creation'!$AA$9:$AA$255)</f>
        <v>0</v>
      </c>
      <c r="Y42" s="494">
        <f>SUMIF('D-3 Off Site Habitat Enhancment'!$S$12:$S$491,'G-2 Habitat groups'!A42,'D-3 Off Site Habitat Enhancment'!$V$12:$V$491)</f>
        <v>0</v>
      </c>
      <c r="Z42" s="494">
        <f>SUMIF('D-3 Off Site Habitat Enhancment'!$S$12:$S$491,'G-2 Habitat groups'!A42,'D-3 Off Site Habitat Enhancment'!$AP$12:$AP$491)</f>
        <v>0</v>
      </c>
      <c r="AA42" s="494">
        <f t="shared" si="57"/>
        <v>0</v>
      </c>
      <c r="AB42" s="494">
        <f t="shared" si="58"/>
        <v>0</v>
      </c>
      <c r="AC42" s="494">
        <f t="shared" si="59"/>
        <v>0</v>
      </c>
      <c r="AD42" s="494">
        <f t="shared" si="60"/>
        <v>0</v>
      </c>
      <c r="AE42" s="494">
        <f t="shared" si="61"/>
        <v>0</v>
      </c>
      <c r="AF42" s="494">
        <f t="shared" si="62"/>
        <v>0</v>
      </c>
      <c r="AU42" s="113" t="s">
        <v>538</v>
      </c>
      <c r="AV42" s="88" t="s">
        <v>72</v>
      </c>
      <c r="AW42" s="494">
        <f t="shared" si="43"/>
        <v>0</v>
      </c>
      <c r="AX42" s="494">
        <f t="shared" si="44"/>
        <v>0</v>
      </c>
      <c r="AY42" s="494">
        <f t="shared" si="45"/>
        <v>0</v>
      </c>
      <c r="AZ42" s="494">
        <f t="shared" si="46"/>
        <v>0</v>
      </c>
      <c r="BA42" s="494">
        <f t="shared" si="47"/>
        <v>0</v>
      </c>
      <c r="BB42" s="494">
        <f t="shared" si="48"/>
        <v>0</v>
      </c>
      <c r="BC42" s="494">
        <f t="shared" si="49"/>
        <v>0</v>
      </c>
      <c r="BD42" s="494">
        <f t="shared" si="50"/>
        <v>0</v>
      </c>
      <c r="BE42" s="494">
        <f t="shared" si="51"/>
        <v>0</v>
      </c>
      <c r="BF42" s="494" t="str">
        <f t="shared" si="52"/>
        <v/>
      </c>
    </row>
    <row r="43" spans="1:58" x14ac:dyDescent="0.3">
      <c r="A43" s="104" t="str">
        <f>'G-1 All Habitats'!B42</f>
        <v>Lakes - Marl Lakes</v>
      </c>
      <c r="B43" s="88" t="str">
        <f>'G-1 All Habitats'!F42</f>
        <v>Lakes</v>
      </c>
      <c r="C43" s="88" t="str">
        <f>'G-1 All Habitats'!K42</f>
        <v>High</v>
      </c>
      <c r="D43" s="88" t="str">
        <f>'G-1 All Habitats'!M42</f>
        <v>Same habitat required =</v>
      </c>
      <c r="E43" s="494">
        <f>IF(C43="V.High",SUMIF('A-1 Site Habitat Baseline'!$G$11:$G$258,'G-2 Habitat groups'!A43,'A-1 Site Habitat Baseline'!$S$11:$S$258)+SUMIF('A-1 Site Habitat Baseline'!$G$11:$G$258,'G-2 Habitat groups'!A43,'A-1 Site Habitat Baseline'!$T$11:$T$258),SUMIF('A-1 Site Habitat Baseline'!$G$11:$G$258,'G-2 Habitat groups'!A43,'A-1 Site Habitat Baseline'!$H$11:$H$258))</f>
        <v>0</v>
      </c>
      <c r="F43" s="494">
        <f>SUMIF('A-1 Site Habitat Baseline'!$G$11:$G$258,'G-2 Habitat groups'!A43,'A-1 Site Habitat Baseline'!$Q$11:$Q$258)</f>
        <v>0</v>
      </c>
      <c r="G43" s="494">
        <f>SUMIF('A-1 Site Habitat Baseline'!$G$11:$G$258,'G-2 Habitat groups'!A43,'A-1 Site Habitat Baseline'!$S$11:$S$258)</f>
        <v>0</v>
      </c>
      <c r="H43" s="494">
        <f>SUMIF('A-1 Site Habitat Baseline'!$G$11:$G$258,'G-2 Habitat groups'!A43,'A-1 Site Habitat Baseline'!$U$11:$U$258)</f>
        <v>0</v>
      </c>
      <c r="I43" s="494">
        <f>SUMIF('A-1 Site Habitat Baseline'!$G$11:$G$258,'G-2 Habitat groups'!A43,'A-1 Site Habitat Baseline'!$W$11:$W$258)</f>
        <v>0</v>
      </c>
      <c r="J43" s="494">
        <f>SUMIF('A-1 Site Habitat Baseline'!$G$11:$G$258,'G-2 Habitat groups'!A43,'A-1 Site Habitat Baseline'!$X$11:$X$258)</f>
        <v>0</v>
      </c>
      <c r="K43" s="494">
        <f>SUMIF('A-2 Site Habitat Creation'!$F$11:$F$256,'G-2 Habitat groups'!A43,'A-2 Site Habitat Creation'!$G$11:$G$256)</f>
        <v>0</v>
      </c>
      <c r="L43" s="494">
        <f>SUMIF('A-2 Site Habitat Creation'!$F$11:$F$256,'G-2 Habitat groups'!A43,'A-2 Site Habitat Creation'!$Y$11:$Y$256)</f>
        <v>0</v>
      </c>
      <c r="M43" s="494">
        <f>SUMIF('A-3 Site Habitat Enhancement'!$S$12:$S$257,'G-2 Habitat groups'!A43,'A-3 Site Habitat Enhancement'!$V$12:$V$257)</f>
        <v>0</v>
      </c>
      <c r="N43" s="494">
        <f>SUMIF('A-3 Site Habitat Enhancement'!$S$12:$S$257,'G-2 Habitat groups'!A43,'A-3 Site Habitat Enhancement'!$AN$12:$AN$257)</f>
        <v>0</v>
      </c>
      <c r="O43" s="494">
        <f t="shared" si="53"/>
        <v>0</v>
      </c>
      <c r="P43" s="494">
        <f t="shared" si="54"/>
        <v>0</v>
      </c>
      <c r="Q43" s="494">
        <f t="shared" si="55"/>
        <v>0</v>
      </c>
      <c r="R43" s="494">
        <f t="shared" si="56"/>
        <v>0</v>
      </c>
      <c r="S43" s="494">
        <f>IF(C43="V.High",SUMIF('D-1 Off Site Habitat Baseline'!$G$11:$G$258,'G-2 Habitat groups'!A43,'D-1 Off Site Habitat Baseline'!$S$11:$S$258)+SUMIF('D-1 Off Site Habitat Baseline'!$G$11:$G$258,'G-2 Habitat groups'!A43,'D-1 Off Site Habitat Baseline'!$T$11:$T$258),SUMIF('D-1 Off Site Habitat Baseline'!$G$11:$G$258,'G-2 Habitat groups'!A43,'D-1 Off Site Habitat Baseline'!$H$11:$H$258))</f>
        <v>0</v>
      </c>
      <c r="T43" s="494">
        <f>SUMIF('D-1 Off Site Habitat Baseline'!$G$11:$G$258,'G-2 Habitat groups'!A43,'D-1 Off Site Habitat Baseline'!$Q$11:$Q$258)</f>
        <v>0</v>
      </c>
      <c r="U43" s="591">
        <f>SUMIF('D-1 Off Site Habitat Baseline'!$G$11:$G$258,'G-2 Habitat groups'!A43,'D-1 Off Site Habitat Baseline'!$S$11:$S$258)</f>
        <v>0</v>
      </c>
      <c r="V43" s="494">
        <f>SUMIF('D-1 Off Site Habitat Baseline'!$G$11:$G$258,'G-2 Habitat groups'!A43,'D-1 Off Site Habitat Baseline'!$U$11:$U$258)</f>
        <v>0</v>
      </c>
      <c r="W43" s="494">
        <f>SUMIF('D-2 Off Site Habitat Creation'!$F$9:$F$255,'G-2 Habitat groups'!A43,'D-2 Off Site Habitat Creation'!$G$9:$G$255)</f>
        <v>0</v>
      </c>
      <c r="X43" s="494">
        <f>SUMIF('D-2 Off Site Habitat Creation'!$F$9:$F$255,'G-2 Habitat groups'!A43,'D-2 Off Site Habitat Creation'!$AA$9:$AA$255)</f>
        <v>0</v>
      </c>
      <c r="Y43" s="494">
        <f>SUMIF('D-3 Off Site Habitat Enhancment'!$S$12:$S$491,'G-2 Habitat groups'!A43,'D-3 Off Site Habitat Enhancment'!$V$12:$V$491)</f>
        <v>0</v>
      </c>
      <c r="Z43" s="494">
        <f>SUMIF('D-3 Off Site Habitat Enhancment'!$S$12:$S$491,'G-2 Habitat groups'!A43,'D-3 Off Site Habitat Enhancment'!$AP$12:$AP$491)</f>
        <v>0</v>
      </c>
      <c r="AA43" s="494">
        <f t="shared" si="57"/>
        <v>0</v>
      </c>
      <c r="AB43" s="494">
        <f t="shared" si="58"/>
        <v>0</v>
      </c>
      <c r="AC43" s="494">
        <f t="shared" si="59"/>
        <v>0</v>
      </c>
      <c r="AD43" s="494">
        <f t="shared" si="60"/>
        <v>0</v>
      </c>
      <c r="AE43" s="494">
        <f t="shared" si="61"/>
        <v>0</v>
      </c>
      <c r="AF43" s="494">
        <f t="shared" si="62"/>
        <v>0</v>
      </c>
      <c r="AU43" s="110" t="s">
        <v>541</v>
      </c>
      <c r="AV43" s="88" t="s">
        <v>72</v>
      </c>
      <c r="AW43" s="494">
        <f t="shared" si="43"/>
        <v>0</v>
      </c>
      <c r="AX43" s="494">
        <f t="shared" si="44"/>
        <v>0</v>
      </c>
      <c r="AY43" s="494">
        <f t="shared" si="45"/>
        <v>0</v>
      </c>
      <c r="AZ43" s="494">
        <f t="shared" si="46"/>
        <v>0</v>
      </c>
      <c r="BA43" s="494">
        <f t="shared" si="47"/>
        <v>0</v>
      </c>
      <c r="BB43" s="494">
        <f t="shared" si="48"/>
        <v>0</v>
      </c>
      <c r="BC43" s="494">
        <f t="shared" si="49"/>
        <v>0</v>
      </c>
      <c r="BD43" s="494">
        <f t="shared" si="50"/>
        <v>0</v>
      </c>
      <c r="BE43" s="494">
        <f t="shared" si="51"/>
        <v>0</v>
      </c>
      <c r="BF43" s="494" t="str">
        <f t="shared" si="52"/>
        <v/>
      </c>
    </row>
    <row r="44" spans="1:58" x14ac:dyDescent="0.3">
      <c r="A44" s="104" t="str">
        <f>'G-1 All Habitats'!B43</f>
        <v>Lakes - Moderate alkalinity lakes</v>
      </c>
      <c r="B44" s="88" t="str">
        <f>'G-1 All Habitats'!F43</f>
        <v>Lakes</v>
      </c>
      <c r="C44" s="88" t="str">
        <f>'G-1 All Habitats'!K43</f>
        <v>High</v>
      </c>
      <c r="D44" s="88" t="str">
        <f>'G-1 All Habitats'!M43</f>
        <v>Same habitat required =</v>
      </c>
      <c r="E44" s="494">
        <f>IF(C44="V.High",SUMIF('A-1 Site Habitat Baseline'!$G$11:$G$258,'G-2 Habitat groups'!A44,'A-1 Site Habitat Baseline'!$S$11:$S$258)+SUMIF('A-1 Site Habitat Baseline'!$G$11:$G$258,'G-2 Habitat groups'!A44,'A-1 Site Habitat Baseline'!$T$11:$T$258),SUMIF('A-1 Site Habitat Baseline'!$G$11:$G$258,'G-2 Habitat groups'!A44,'A-1 Site Habitat Baseline'!$H$11:$H$258))</f>
        <v>0</v>
      </c>
      <c r="F44" s="494">
        <f>SUMIF('A-1 Site Habitat Baseline'!$G$11:$G$258,'G-2 Habitat groups'!A44,'A-1 Site Habitat Baseline'!$Q$11:$Q$258)</f>
        <v>0</v>
      </c>
      <c r="G44" s="494">
        <f>SUMIF('A-1 Site Habitat Baseline'!$G$11:$G$258,'G-2 Habitat groups'!A44,'A-1 Site Habitat Baseline'!$S$11:$S$258)</f>
        <v>0</v>
      </c>
      <c r="H44" s="494">
        <f>SUMIF('A-1 Site Habitat Baseline'!$G$11:$G$258,'G-2 Habitat groups'!A44,'A-1 Site Habitat Baseline'!$U$11:$U$258)</f>
        <v>0</v>
      </c>
      <c r="I44" s="494">
        <f>SUMIF('A-1 Site Habitat Baseline'!$G$11:$G$258,'G-2 Habitat groups'!A44,'A-1 Site Habitat Baseline'!$W$11:$W$258)</f>
        <v>0</v>
      </c>
      <c r="J44" s="494">
        <f>SUMIF('A-1 Site Habitat Baseline'!$G$11:$G$258,'G-2 Habitat groups'!A44,'A-1 Site Habitat Baseline'!$X$11:$X$258)</f>
        <v>0</v>
      </c>
      <c r="K44" s="494">
        <f>SUMIF('A-2 Site Habitat Creation'!$F$11:$F$256,'G-2 Habitat groups'!A44,'A-2 Site Habitat Creation'!$G$11:$G$256)</f>
        <v>0</v>
      </c>
      <c r="L44" s="494">
        <f>SUMIF('A-2 Site Habitat Creation'!$F$11:$F$256,'G-2 Habitat groups'!A44,'A-2 Site Habitat Creation'!$Y$11:$Y$256)</f>
        <v>0</v>
      </c>
      <c r="M44" s="494">
        <f>SUMIF('A-3 Site Habitat Enhancement'!$S$12:$S$257,'G-2 Habitat groups'!A44,'A-3 Site Habitat Enhancement'!$V$12:$V$257)</f>
        <v>0</v>
      </c>
      <c r="N44" s="494">
        <f>SUMIF('A-3 Site Habitat Enhancement'!$S$12:$S$257,'G-2 Habitat groups'!A44,'A-3 Site Habitat Enhancement'!$AN$12:$AN$257)</f>
        <v>0</v>
      </c>
      <c r="O44" s="494">
        <f t="shared" si="53"/>
        <v>0</v>
      </c>
      <c r="P44" s="494">
        <f t="shared" si="54"/>
        <v>0</v>
      </c>
      <c r="Q44" s="494">
        <f t="shared" si="55"/>
        <v>0</v>
      </c>
      <c r="R44" s="494">
        <f t="shared" si="56"/>
        <v>0</v>
      </c>
      <c r="S44" s="494">
        <f>IF(C44="V.High",SUMIF('D-1 Off Site Habitat Baseline'!$G$11:$G$258,'G-2 Habitat groups'!A44,'D-1 Off Site Habitat Baseline'!$S$11:$S$258)+SUMIF('D-1 Off Site Habitat Baseline'!$G$11:$G$258,'G-2 Habitat groups'!A44,'D-1 Off Site Habitat Baseline'!$T$11:$T$258),SUMIF('D-1 Off Site Habitat Baseline'!$G$11:$G$258,'G-2 Habitat groups'!A44,'D-1 Off Site Habitat Baseline'!$H$11:$H$258))</f>
        <v>0</v>
      </c>
      <c r="T44" s="494">
        <f>SUMIF('D-1 Off Site Habitat Baseline'!$G$11:$G$258,'G-2 Habitat groups'!A44,'D-1 Off Site Habitat Baseline'!$Q$11:$Q$258)</f>
        <v>0</v>
      </c>
      <c r="U44" s="591">
        <f>SUMIF('D-1 Off Site Habitat Baseline'!$G$11:$G$258,'G-2 Habitat groups'!A44,'D-1 Off Site Habitat Baseline'!$S$11:$S$258)</f>
        <v>0</v>
      </c>
      <c r="V44" s="494">
        <f>SUMIF('D-1 Off Site Habitat Baseline'!$G$11:$G$258,'G-2 Habitat groups'!A44,'D-1 Off Site Habitat Baseline'!$U$11:$U$258)</f>
        <v>0</v>
      </c>
      <c r="W44" s="494">
        <f>SUMIF('D-2 Off Site Habitat Creation'!$F$9:$F$255,'G-2 Habitat groups'!A44,'D-2 Off Site Habitat Creation'!$G$9:$G$255)</f>
        <v>0</v>
      </c>
      <c r="X44" s="494">
        <f>SUMIF('D-2 Off Site Habitat Creation'!$F$9:$F$255,'G-2 Habitat groups'!A44,'D-2 Off Site Habitat Creation'!$AA$9:$AA$255)</f>
        <v>0</v>
      </c>
      <c r="Y44" s="494">
        <f>SUMIF('D-3 Off Site Habitat Enhancment'!$S$12:$S$491,'G-2 Habitat groups'!A44,'D-3 Off Site Habitat Enhancment'!$V$12:$V$491)</f>
        <v>0</v>
      </c>
      <c r="Z44" s="494">
        <f>SUMIF('D-3 Off Site Habitat Enhancment'!$S$12:$S$491,'G-2 Habitat groups'!A44,'D-3 Off Site Habitat Enhancment'!$AP$12:$AP$491)</f>
        <v>0</v>
      </c>
      <c r="AA44" s="494">
        <f t="shared" si="57"/>
        <v>0</v>
      </c>
      <c r="AB44" s="494">
        <f t="shared" si="58"/>
        <v>0</v>
      </c>
      <c r="AC44" s="494">
        <f t="shared" si="59"/>
        <v>0</v>
      </c>
      <c r="AD44" s="494">
        <f t="shared" si="60"/>
        <v>0</v>
      </c>
      <c r="AE44" s="494">
        <f t="shared" si="61"/>
        <v>0</v>
      </c>
      <c r="AF44" s="494">
        <f t="shared" si="62"/>
        <v>0</v>
      </c>
      <c r="AU44" s="113" t="s">
        <v>550</v>
      </c>
      <c r="AV44" s="88" t="s">
        <v>72</v>
      </c>
      <c r="AW44" s="494">
        <f t="shared" si="43"/>
        <v>0</v>
      </c>
      <c r="AX44" s="494">
        <f t="shared" si="44"/>
        <v>0</v>
      </c>
      <c r="AY44" s="494">
        <f t="shared" si="45"/>
        <v>0</v>
      </c>
      <c r="AZ44" s="494">
        <f t="shared" si="46"/>
        <v>0</v>
      </c>
      <c r="BA44" s="494">
        <f t="shared" si="47"/>
        <v>0</v>
      </c>
      <c r="BB44" s="494">
        <f t="shared" si="48"/>
        <v>0</v>
      </c>
      <c r="BC44" s="494">
        <f t="shared" si="49"/>
        <v>0</v>
      </c>
      <c r="BD44" s="494">
        <f t="shared" si="50"/>
        <v>0</v>
      </c>
      <c r="BE44" s="494">
        <f t="shared" si="51"/>
        <v>0</v>
      </c>
      <c r="BF44" s="494" t="str">
        <f t="shared" si="52"/>
        <v/>
      </c>
    </row>
    <row r="45" spans="1:58" x14ac:dyDescent="0.3">
      <c r="A45" s="104" t="str">
        <f>'G-1 All Habitats'!B44</f>
        <v>Lakes - Peat Lakes</v>
      </c>
      <c r="B45" s="88" t="str">
        <f>'G-1 All Habitats'!F44</f>
        <v>Lakes</v>
      </c>
      <c r="C45" s="88" t="str">
        <f>'G-1 All Habitats'!K44</f>
        <v>High</v>
      </c>
      <c r="D45" s="88" t="str">
        <f>'G-1 All Habitats'!M44</f>
        <v>Same habitat required =</v>
      </c>
      <c r="E45" s="494">
        <f>IF(C45="V.High",SUMIF('A-1 Site Habitat Baseline'!$G$11:$G$258,'G-2 Habitat groups'!A45,'A-1 Site Habitat Baseline'!$S$11:$S$258)+SUMIF('A-1 Site Habitat Baseline'!$G$11:$G$258,'G-2 Habitat groups'!A45,'A-1 Site Habitat Baseline'!$T$11:$T$258),SUMIF('A-1 Site Habitat Baseline'!$G$11:$G$258,'G-2 Habitat groups'!A45,'A-1 Site Habitat Baseline'!$H$11:$H$258))</f>
        <v>0</v>
      </c>
      <c r="F45" s="494">
        <f>SUMIF('A-1 Site Habitat Baseline'!$G$11:$G$258,'G-2 Habitat groups'!A45,'A-1 Site Habitat Baseline'!$Q$11:$Q$258)</f>
        <v>0</v>
      </c>
      <c r="G45" s="494">
        <f>SUMIF('A-1 Site Habitat Baseline'!$G$11:$G$258,'G-2 Habitat groups'!A45,'A-1 Site Habitat Baseline'!$S$11:$S$258)</f>
        <v>0</v>
      </c>
      <c r="H45" s="494">
        <f>SUMIF('A-1 Site Habitat Baseline'!$G$11:$G$258,'G-2 Habitat groups'!A45,'A-1 Site Habitat Baseline'!$U$11:$U$258)</f>
        <v>0</v>
      </c>
      <c r="I45" s="494">
        <f>SUMIF('A-1 Site Habitat Baseline'!$G$11:$G$258,'G-2 Habitat groups'!A45,'A-1 Site Habitat Baseline'!$W$11:$W$258)</f>
        <v>0</v>
      </c>
      <c r="J45" s="494">
        <f>SUMIF('A-1 Site Habitat Baseline'!$G$11:$G$258,'G-2 Habitat groups'!A45,'A-1 Site Habitat Baseline'!$X$11:$X$258)</f>
        <v>0</v>
      </c>
      <c r="K45" s="494">
        <f>SUMIF('A-2 Site Habitat Creation'!$F$11:$F$256,'G-2 Habitat groups'!A45,'A-2 Site Habitat Creation'!$G$11:$G$256)</f>
        <v>0</v>
      </c>
      <c r="L45" s="494">
        <f>SUMIF('A-2 Site Habitat Creation'!$F$11:$F$256,'G-2 Habitat groups'!A45,'A-2 Site Habitat Creation'!$Y$11:$Y$256)</f>
        <v>0</v>
      </c>
      <c r="M45" s="494">
        <f>SUMIF('A-3 Site Habitat Enhancement'!$S$12:$S$257,'G-2 Habitat groups'!A45,'A-3 Site Habitat Enhancement'!$V$12:$V$257)</f>
        <v>0</v>
      </c>
      <c r="N45" s="494">
        <f>SUMIF('A-3 Site Habitat Enhancement'!$S$12:$S$257,'G-2 Habitat groups'!A45,'A-3 Site Habitat Enhancement'!$AN$12:$AN$257)</f>
        <v>0</v>
      </c>
      <c r="O45" s="494">
        <f t="shared" si="53"/>
        <v>0</v>
      </c>
      <c r="P45" s="494">
        <f t="shared" si="54"/>
        <v>0</v>
      </c>
      <c r="Q45" s="494">
        <f t="shared" si="55"/>
        <v>0</v>
      </c>
      <c r="R45" s="494">
        <f t="shared" si="56"/>
        <v>0</v>
      </c>
      <c r="S45" s="494">
        <f>IF(C45="V.High",SUMIF('D-1 Off Site Habitat Baseline'!$G$11:$G$258,'G-2 Habitat groups'!A45,'D-1 Off Site Habitat Baseline'!$S$11:$S$258)+SUMIF('D-1 Off Site Habitat Baseline'!$G$11:$G$258,'G-2 Habitat groups'!A45,'D-1 Off Site Habitat Baseline'!$T$11:$T$258),SUMIF('D-1 Off Site Habitat Baseline'!$G$11:$G$258,'G-2 Habitat groups'!A45,'D-1 Off Site Habitat Baseline'!$H$11:$H$258))</f>
        <v>0</v>
      </c>
      <c r="T45" s="494">
        <f>SUMIF('D-1 Off Site Habitat Baseline'!$G$11:$G$258,'G-2 Habitat groups'!A45,'D-1 Off Site Habitat Baseline'!$Q$11:$Q$258)</f>
        <v>0</v>
      </c>
      <c r="U45" s="591">
        <f>SUMIF('D-1 Off Site Habitat Baseline'!$G$11:$G$258,'G-2 Habitat groups'!A45,'D-1 Off Site Habitat Baseline'!$S$11:$S$258)</f>
        <v>0</v>
      </c>
      <c r="V45" s="494">
        <f>SUMIF('D-1 Off Site Habitat Baseline'!$G$11:$G$258,'G-2 Habitat groups'!A45,'D-1 Off Site Habitat Baseline'!$U$11:$U$258)</f>
        <v>0</v>
      </c>
      <c r="W45" s="494">
        <f>SUMIF('D-2 Off Site Habitat Creation'!$F$9:$F$255,'G-2 Habitat groups'!A45,'D-2 Off Site Habitat Creation'!$G$9:$G$255)</f>
        <v>0</v>
      </c>
      <c r="X45" s="494">
        <f>SUMIF('D-2 Off Site Habitat Creation'!$F$9:$F$255,'G-2 Habitat groups'!A45,'D-2 Off Site Habitat Creation'!$AA$9:$AA$255)</f>
        <v>0</v>
      </c>
      <c r="Y45" s="494">
        <f>SUMIF('D-3 Off Site Habitat Enhancment'!$S$12:$S$491,'G-2 Habitat groups'!A45,'D-3 Off Site Habitat Enhancment'!$V$12:$V$491)</f>
        <v>0</v>
      </c>
      <c r="Z45" s="494">
        <f>SUMIF('D-3 Off Site Habitat Enhancment'!$S$12:$S$491,'G-2 Habitat groups'!A45,'D-3 Off Site Habitat Enhancment'!$AP$12:$AP$491)</f>
        <v>0</v>
      </c>
      <c r="AA45" s="494">
        <f t="shared" si="57"/>
        <v>0</v>
      </c>
      <c r="AB45" s="494">
        <f t="shared" si="58"/>
        <v>0</v>
      </c>
      <c r="AC45" s="494">
        <f t="shared" si="59"/>
        <v>0</v>
      </c>
      <c r="AD45" s="494">
        <f t="shared" si="60"/>
        <v>0</v>
      </c>
      <c r="AE45" s="494">
        <f t="shared" si="61"/>
        <v>0</v>
      </c>
      <c r="AF45" s="494">
        <f t="shared" si="62"/>
        <v>0</v>
      </c>
      <c r="AU45" s="113" t="s">
        <v>558</v>
      </c>
      <c r="AV45" s="88" t="s">
        <v>73</v>
      </c>
      <c r="AW45" s="494">
        <f t="shared" si="43"/>
        <v>0</v>
      </c>
      <c r="AX45" s="494">
        <f t="shared" si="44"/>
        <v>0</v>
      </c>
      <c r="AY45" s="494">
        <f t="shared" si="45"/>
        <v>0</v>
      </c>
      <c r="AZ45" s="494">
        <f t="shared" si="46"/>
        <v>0</v>
      </c>
      <c r="BA45" s="494">
        <f t="shared" si="47"/>
        <v>0</v>
      </c>
      <c r="BB45" s="494">
        <f t="shared" si="48"/>
        <v>0</v>
      </c>
      <c r="BC45" s="494">
        <f t="shared" si="49"/>
        <v>0</v>
      </c>
      <c r="BD45" s="494">
        <f t="shared" si="50"/>
        <v>0</v>
      </c>
      <c r="BE45" s="494">
        <f t="shared" si="51"/>
        <v>0</v>
      </c>
      <c r="BF45" s="494" t="str">
        <f t="shared" si="52"/>
        <v/>
      </c>
    </row>
    <row r="46" spans="1:58" x14ac:dyDescent="0.3">
      <c r="A46" s="104" t="str">
        <f>'G-1 All Habitats'!B45</f>
        <v>Lakes - Ponds (Priority Habitat)</v>
      </c>
      <c r="B46" s="88" t="str">
        <f>'G-1 All Habitats'!F45</f>
        <v>Lakes</v>
      </c>
      <c r="C46" s="88" t="str">
        <f>'G-1 All Habitats'!K45</f>
        <v>High</v>
      </c>
      <c r="D46" s="88" t="str">
        <f>'G-1 All Habitats'!M45</f>
        <v>Same habitat required =</v>
      </c>
      <c r="E46" s="494">
        <f>IF(C46="V.High",SUMIF('A-1 Site Habitat Baseline'!$G$11:$G$258,'G-2 Habitat groups'!A46,'A-1 Site Habitat Baseline'!$S$11:$S$258)+SUMIF('A-1 Site Habitat Baseline'!$G$11:$G$258,'G-2 Habitat groups'!A46,'A-1 Site Habitat Baseline'!$T$11:$T$258),SUMIF('A-1 Site Habitat Baseline'!$G$11:$G$258,'G-2 Habitat groups'!A46,'A-1 Site Habitat Baseline'!$H$11:$H$258))</f>
        <v>0</v>
      </c>
      <c r="F46" s="494">
        <f>SUMIF('A-1 Site Habitat Baseline'!$G$11:$G$258,'G-2 Habitat groups'!A46,'A-1 Site Habitat Baseline'!$Q$11:$Q$258)</f>
        <v>0</v>
      </c>
      <c r="G46" s="494">
        <f>SUMIF('A-1 Site Habitat Baseline'!$G$11:$G$258,'G-2 Habitat groups'!A46,'A-1 Site Habitat Baseline'!$S$11:$S$258)</f>
        <v>0</v>
      </c>
      <c r="H46" s="494">
        <f>SUMIF('A-1 Site Habitat Baseline'!$G$11:$G$258,'G-2 Habitat groups'!A46,'A-1 Site Habitat Baseline'!$U$11:$U$258)</f>
        <v>0</v>
      </c>
      <c r="I46" s="494">
        <f>SUMIF('A-1 Site Habitat Baseline'!$G$11:$G$258,'G-2 Habitat groups'!A46,'A-1 Site Habitat Baseline'!$W$11:$W$258)</f>
        <v>0</v>
      </c>
      <c r="J46" s="494">
        <f>SUMIF('A-1 Site Habitat Baseline'!$G$11:$G$258,'G-2 Habitat groups'!A46,'A-1 Site Habitat Baseline'!$X$11:$X$258)</f>
        <v>0</v>
      </c>
      <c r="K46" s="494">
        <f>SUMIF('A-2 Site Habitat Creation'!$F$11:$F$256,'G-2 Habitat groups'!A46,'A-2 Site Habitat Creation'!$G$11:$G$256)</f>
        <v>0</v>
      </c>
      <c r="L46" s="494">
        <f>SUMIF('A-2 Site Habitat Creation'!$F$11:$F$256,'G-2 Habitat groups'!A46,'A-2 Site Habitat Creation'!$Y$11:$Y$256)</f>
        <v>0</v>
      </c>
      <c r="M46" s="494">
        <f>SUMIF('A-3 Site Habitat Enhancement'!$S$12:$S$257,'G-2 Habitat groups'!A46,'A-3 Site Habitat Enhancement'!$V$12:$V$257)</f>
        <v>0</v>
      </c>
      <c r="N46" s="494">
        <f>SUMIF('A-3 Site Habitat Enhancement'!$S$12:$S$257,'G-2 Habitat groups'!A46,'A-3 Site Habitat Enhancement'!$AN$12:$AN$257)</f>
        <v>0</v>
      </c>
      <c r="O46" s="494">
        <f t="shared" si="53"/>
        <v>0</v>
      </c>
      <c r="P46" s="494">
        <f t="shared" si="54"/>
        <v>0</v>
      </c>
      <c r="Q46" s="494">
        <f t="shared" si="55"/>
        <v>0</v>
      </c>
      <c r="R46" s="494">
        <f t="shared" si="56"/>
        <v>0</v>
      </c>
      <c r="S46" s="494">
        <f>IF(C46="V.High",SUMIF('D-1 Off Site Habitat Baseline'!$G$11:$G$258,'G-2 Habitat groups'!A46,'D-1 Off Site Habitat Baseline'!$S$11:$S$258)+SUMIF('D-1 Off Site Habitat Baseline'!$G$11:$G$258,'G-2 Habitat groups'!A46,'D-1 Off Site Habitat Baseline'!$T$11:$T$258),SUMIF('D-1 Off Site Habitat Baseline'!$G$11:$G$258,'G-2 Habitat groups'!A46,'D-1 Off Site Habitat Baseline'!$H$11:$H$258))</f>
        <v>0</v>
      </c>
      <c r="T46" s="494">
        <f>SUMIF('D-1 Off Site Habitat Baseline'!$G$11:$G$258,'G-2 Habitat groups'!A46,'D-1 Off Site Habitat Baseline'!$Q$11:$Q$258)</f>
        <v>0</v>
      </c>
      <c r="U46" s="591">
        <f>SUMIF('D-1 Off Site Habitat Baseline'!$G$11:$G$258,'G-2 Habitat groups'!A46,'D-1 Off Site Habitat Baseline'!$S$11:$S$258)</f>
        <v>0</v>
      </c>
      <c r="V46" s="494">
        <f>SUMIF('D-1 Off Site Habitat Baseline'!$G$11:$G$258,'G-2 Habitat groups'!A46,'D-1 Off Site Habitat Baseline'!$U$11:$U$258)</f>
        <v>0</v>
      </c>
      <c r="W46" s="494">
        <f>SUMIF('D-2 Off Site Habitat Creation'!$F$9:$F$255,'G-2 Habitat groups'!A46,'D-2 Off Site Habitat Creation'!$G$9:$G$255)</f>
        <v>0</v>
      </c>
      <c r="X46" s="494">
        <f>SUMIF('D-2 Off Site Habitat Creation'!$F$9:$F$255,'G-2 Habitat groups'!A46,'D-2 Off Site Habitat Creation'!$AA$9:$AA$255)</f>
        <v>0</v>
      </c>
      <c r="Y46" s="494">
        <f>SUMIF('D-3 Off Site Habitat Enhancment'!$S$12:$S$491,'G-2 Habitat groups'!A46,'D-3 Off Site Habitat Enhancment'!$V$12:$V$491)</f>
        <v>0</v>
      </c>
      <c r="Z46" s="494">
        <f>SUMIF('D-3 Off Site Habitat Enhancment'!$S$12:$S$491,'G-2 Habitat groups'!A46,'D-3 Off Site Habitat Enhancment'!$AP$12:$AP$491)</f>
        <v>0</v>
      </c>
      <c r="AA46" s="494">
        <f t="shared" si="57"/>
        <v>0</v>
      </c>
      <c r="AB46" s="494">
        <f t="shared" si="58"/>
        <v>0</v>
      </c>
      <c r="AC46" s="494">
        <f t="shared" si="59"/>
        <v>0</v>
      </c>
      <c r="AD46" s="494">
        <f t="shared" si="60"/>
        <v>0</v>
      </c>
      <c r="AE46" s="494">
        <f t="shared" si="61"/>
        <v>0</v>
      </c>
      <c r="AF46" s="494">
        <f t="shared" si="62"/>
        <v>0</v>
      </c>
      <c r="AU46" s="113" t="s">
        <v>562</v>
      </c>
      <c r="AV46" s="88" t="s">
        <v>73</v>
      </c>
      <c r="AW46" s="494">
        <f t="shared" si="43"/>
        <v>0</v>
      </c>
      <c r="AX46" s="494">
        <f t="shared" si="44"/>
        <v>0</v>
      </c>
      <c r="AY46" s="494">
        <f t="shared" si="45"/>
        <v>0</v>
      </c>
      <c r="AZ46" s="494">
        <f t="shared" si="46"/>
        <v>0</v>
      </c>
      <c r="BA46" s="494">
        <f t="shared" si="47"/>
        <v>0</v>
      </c>
      <c r="BB46" s="494">
        <f t="shared" si="48"/>
        <v>0</v>
      </c>
      <c r="BC46" s="494">
        <f t="shared" si="49"/>
        <v>0</v>
      </c>
      <c r="BD46" s="494">
        <f t="shared" si="50"/>
        <v>0</v>
      </c>
      <c r="BE46" s="494">
        <f t="shared" si="51"/>
        <v>0</v>
      </c>
      <c r="BF46" s="494" t="str">
        <f t="shared" si="52"/>
        <v/>
      </c>
    </row>
    <row r="47" spans="1:58" x14ac:dyDescent="0.3">
      <c r="A47" s="104" t="str">
        <f>'G-1 All Habitats'!B46</f>
        <v>Lakes - Ponds (Non- Priority Habitat)</v>
      </c>
      <c r="B47" s="88" t="str">
        <f>'G-1 All Habitats'!F46</f>
        <v>Lakes</v>
      </c>
      <c r="C47" s="88" t="str">
        <f>'G-1 All Habitats'!K46</f>
        <v>Medium</v>
      </c>
      <c r="D47" s="88" t="str">
        <f>'G-1 All Habitats'!M46</f>
        <v>Same broad habitat or a higher distinctiveness habitat required (≥)</v>
      </c>
      <c r="E47" s="494">
        <f>IF(C47="V.High",SUMIF('A-1 Site Habitat Baseline'!$G$11:$G$258,'G-2 Habitat groups'!A47,'A-1 Site Habitat Baseline'!$S$11:$S$258)+SUMIF('A-1 Site Habitat Baseline'!$G$11:$G$258,'G-2 Habitat groups'!A47,'A-1 Site Habitat Baseline'!$T$11:$T$258),SUMIF('A-1 Site Habitat Baseline'!$G$11:$G$258,'G-2 Habitat groups'!A47,'A-1 Site Habitat Baseline'!$H$11:$H$258))</f>
        <v>0</v>
      </c>
      <c r="F47" s="494">
        <f>SUMIF('A-1 Site Habitat Baseline'!$G$11:$G$258,'G-2 Habitat groups'!A47,'A-1 Site Habitat Baseline'!$Q$11:$Q$258)</f>
        <v>0</v>
      </c>
      <c r="G47" s="494">
        <f>SUMIF('A-1 Site Habitat Baseline'!$G$11:$G$258,'G-2 Habitat groups'!A47,'A-1 Site Habitat Baseline'!$S$11:$S$258)</f>
        <v>0</v>
      </c>
      <c r="H47" s="494">
        <f>SUMIF('A-1 Site Habitat Baseline'!$G$11:$G$258,'G-2 Habitat groups'!A47,'A-1 Site Habitat Baseline'!$U$11:$U$258)</f>
        <v>0</v>
      </c>
      <c r="I47" s="494">
        <f>SUMIF('A-1 Site Habitat Baseline'!$G$11:$G$258,'G-2 Habitat groups'!A47,'A-1 Site Habitat Baseline'!$W$11:$W$258)</f>
        <v>0</v>
      </c>
      <c r="J47" s="494">
        <f>SUMIF('A-1 Site Habitat Baseline'!$G$11:$G$258,'G-2 Habitat groups'!A47,'A-1 Site Habitat Baseline'!$X$11:$X$258)</f>
        <v>0</v>
      </c>
      <c r="K47" s="494">
        <f>SUMIF('A-2 Site Habitat Creation'!$F$11:$F$256,'G-2 Habitat groups'!A47,'A-2 Site Habitat Creation'!$G$11:$G$256)</f>
        <v>0</v>
      </c>
      <c r="L47" s="494">
        <f>SUMIF('A-2 Site Habitat Creation'!$F$11:$F$256,'G-2 Habitat groups'!A47,'A-2 Site Habitat Creation'!$Y$11:$Y$256)</f>
        <v>0</v>
      </c>
      <c r="M47" s="494">
        <f>SUMIF('A-3 Site Habitat Enhancement'!$S$12:$S$257,'G-2 Habitat groups'!A47,'A-3 Site Habitat Enhancement'!$V$12:$V$257)</f>
        <v>0</v>
      </c>
      <c r="N47" s="494">
        <f>SUMIF('A-3 Site Habitat Enhancement'!$S$12:$S$257,'G-2 Habitat groups'!A47,'A-3 Site Habitat Enhancement'!$AN$12:$AN$257)</f>
        <v>0</v>
      </c>
      <c r="O47" s="494">
        <f t="shared" si="53"/>
        <v>0</v>
      </c>
      <c r="P47" s="494">
        <f t="shared" si="54"/>
        <v>0</v>
      </c>
      <c r="Q47" s="494">
        <f t="shared" si="55"/>
        <v>0</v>
      </c>
      <c r="R47" s="494">
        <f t="shared" si="56"/>
        <v>0</v>
      </c>
      <c r="S47" s="494">
        <f>IF(C47="V.High",SUMIF('D-1 Off Site Habitat Baseline'!$G$11:$G$258,'G-2 Habitat groups'!A47,'D-1 Off Site Habitat Baseline'!$S$11:$S$258)+SUMIF('D-1 Off Site Habitat Baseline'!$G$11:$G$258,'G-2 Habitat groups'!A47,'D-1 Off Site Habitat Baseline'!$T$11:$T$258),SUMIF('D-1 Off Site Habitat Baseline'!$G$11:$G$258,'G-2 Habitat groups'!A47,'D-1 Off Site Habitat Baseline'!$H$11:$H$258))</f>
        <v>0</v>
      </c>
      <c r="T47" s="494">
        <f>SUMIF('D-1 Off Site Habitat Baseline'!$G$11:$G$258,'G-2 Habitat groups'!A47,'D-1 Off Site Habitat Baseline'!$Q$11:$Q$258)</f>
        <v>0</v>
      </c>
      <c r="U47" s="591">
        <f>SUMIF('D-1 Off Site Habitat Baseline'!$G$11:$G$258,'G-2 Habitat groups'!A47,'D-1 Off Site Habitat Baseline'!$S$11:$S$258)</f>
        <v>0</v>
      </c>
      <c r="V47" s="494">
        <f>SUMIF('D-1 Off Site Habitat Baseline'!$G$11:$G$258,'G-2 Habitat groups'!A47,'D-1 Off Site Habitat Baseline'!$U$11:$U$258)</f>
        <v>0</v>
      </c>
      <c r="W47" s="494">
        <f>SUMIF('D-2 Off Site Habitat Creation'!$F$9:$F$255,'G-2 Habitat groups'!A47,'D-2 Off Site Habitat Creation'!$G$9:$G$255)</f>
        <v>0</v>
      </c>
      <c r="X47" s="494">
        <f>SUMIF('D-2 Off Site Habitat Creation'!$F$9:$F$255,'G-2 Habitat groups'!A47,'D-2 Off Site Habitat Creation'!$AA$9:$AA$255)</f>
        <v>0</v>
      </c>
      <c r="Y47" s="494">
        <f>SUMIF('D-3 Off Site Habitat Enhancment'!$S$12:$S$491,'G-2 Habitat groups'!A47,'D-3 Off Site Habitat Enhancment'!$V$12:$V$491)</f>
        <v>0</v>
      </c>
      <c r="Z47" s="494">
        <f>SUMIF('D-3 Off Site Habitat Enhancment'!$S$12:$S$491,'G-2 Habitat groups'!A47,'D-3 Off Site Habitat Enhancment'!$AP$12:$AP$491)</f>
        <v>0</v>
      </c>
      <c r="AA47" s="494">
        <f t="shared" si="57"/>
        <v>0</v>
      </c>
      <c r="AB47" s="494">
        <f t="shared" si="58"/>
        <v>0</v>
      </c>
      <c r="AC47" s="494">
        <f t="shared" si="59"/>
        <v>0</v>
      </c>
      <c r="AD47" s="494">
        <f t="shared" si="60"/>
        <v>0</v>
      </c>
      <c r="AE47" s="494">
        <f t="shared" si="61"/>
        <v>0</v>
      </c>
      <c r="AF47" s="494">
        <f t="shared" si="62"/>
        <v>0</v>
      </c>
      <c r="AU47" s="113" t="s">
        <v>569</v>
      </c>
      <c r="AV47" s="88" t="s">
        <v>73</v>
      </c>
      <c r="AW47" s="494">
        <f t="shared" si="43"/>
        <v>0</v>
      </c>
      <c r="AX47" s="494">
        <f t="shared" si="44"/>
        <v>0</v>
      </c>
      <c r="AY47" s="494">
        <f t="shared" si="45"/>
        <v>0</v>
      </c>
      <c r="AZ47" s="494">
        <f t="shared" si="46"/>
        <v>0</v>
      </c>
      <c r="BA47" s="494">
        <f t="shared" si="47"/>
        <v>0</v>
      </c>
      <c r="BB47" s="494">
        <f t="shared" si="48"/>
        <v>0</v>
      </c>
      <c r="BC47" s="494">
        <f t="shared" si="49"/>
        <v>0</v>
      </c>
      <c r="BD47" s="494">
        <f t="shared" si="50"/>
        <v>0</v>
      </c>
      <c r="BE47" s="494">
        <f t="shared" si="51"/>
        <v>0</v>
      </c>
      <c r="BF47" s="494" t="str">
        <f t="shared" si="52"/>
        <v/>
      </c>
    </row>
    <row r="48" spans="1:58" x14ac:dyDescent="0.3">
      <c r="A48" s="104" t="str">
        <f>'G-1 All Habitats'!B47</f>
        <v>Lakes - Reservoirs</v>
      </c>
      <c r="B48" s="88" t="str">
        <f>'G-1 All Habitats'!F47</f>
        <v>Lakes</v>
      </c>
      <c r="C48" s="88" t="str">
        <f>'G-1 All Habitats'!K47</f>
        <v>Medium</v>
      </c>
      <c r="D48" s="88" t="str">
        <f>'G-1 All Habitats'!M47</f>
        <v>Same broad habitat or a higher distinctiveness habitat required (≥)</v>
      </c>
      <c r="E48" s="494">
        <f>IF(C48="V.High",SUMIF('A-1 Site Habitat Baseline'!$G$11:$G$258,'G-2 Habitat groups'!A48,'A-1 Site Habitat Baseline'!$S$11:$S$258)+SUMIF('A-1 Site Habitat Baseline'!$G$11:$G$258,'G-2 Habitat groups'!A48,'A-1 Site Habitat Baseline'!$T$11:$T$258),SUMIF('A-1 Site Habitat Baseline'!$G$11:$G$258,'G-2 Habitat groups'!A48,'A-1 Site Habitat Baseline'!$H$11:$H$258))</f>
        <v>0</v>
      </c>
      <c r="F48" s="494">
        <f>SUMIF('A-1 Site Habitat Baseline'!$G$11:$G$258,'G-2 Habitat groups'!A48,'A-1 Site Habitat Baseline'!$Q$11:$Q$258)</f>
        <v>0</v>
      </c>
      <c r="G48" s="494">
        <f>SUMIF('A-1 Site Habitat Baseline'!$G$11:$G$258,'G-2 Habitat groups'!A48,'A-1 Site Habitat Baseline'!$S$11:$S$258)</f>
        <v>0</v>
      </c>
      <c r="H48" s="494">
        <f>SUMIF('A-1 Site Habitat Baseline'!$G$11:$G$258,'G-2 Habitat groups'!A48,'A-1 Site Habitat Baseline'!$U$11:$U$258)</f>
        <v>0</v>
      </c>
      <c r="I48" s="494">
        <f>SUMIF('A-1 Site Habitat Baseline'!$G$11:$G$258,'G-2 Habitat groups'!A48,'A-1 Site Habitat Baseline'!$W$11:$W$258)</f>
        <v>0</v>
      </c>
      <c r="J48" s="494">
        <f>SUMIF('A-1 Site Habitat Baseline'!$G$11:$G$258,'G-2 Habitat groups'!A48,'A-1 Site Habitat Baseline'!$X$11:$X$258)</f>
        <v>0</v>
      </c>
      <c r="K48" s="494">
        <f>SUMIF('A-2 Site Habitat Creation'!$F$11:$F$256,'G-2 Habitat groups'!A48,'A-2 Site Habitat Creation'!$G$11:$G$256)</f>
        <v>0</v>
      </c>
      <c r="L48" s="494">
        <f>SUMIF('A-2 Site Habitat Creation'!$F$11:$F$256,'G-2 Habitat groups'!A48,'A-2 Site Habitat Creation'!$Y$11:$Y$256)</f>
        <v>0</v>
      </c>
      <c r="M48" s="494">
        <f>SUMIF('A-3 Site Habitat Enhancement'!$S$12:$S$257,'G-2 Habitat groups'!A48,'A-3 Site Habitat Enhancement'!$V$12:$V$257)</f>
        <v>0</v>
      </c>
      <c r="N48" s="494">
        <f>SUMIF('A-3 Site Habitat Enhancement'!$S$12:$S$257,'G-2 Habitat groups'!A48,'A-3 Site Habitat Enhancement'!$AN$12:$AN$257)</f>
        <v>0</v>
      </c>
      <c r="O48" s="494">
        <f t="shared" si="53"/>
        <v>0</v>
      </c>
      <c r="P48" s="494">
        <f t="shared" si="54"/>
        <v>0</v>
      </c>
      <c r="Q48" s="494">
        <f t="shared" si="55"/>
        <v>0</v>
      </c>
      <c r="R48" s="494">
        <f t="shared" si="56"/>
        <v>0</v>
      </c>
      <c r="S48" s="494">
        <f>IF(C48="V.High",SUMIF('D-1 Off Site Habitat Baseline'!$G$11:$G$258,'G-2 Habitat groups'!A48,'D-1 Off Site Habitat Baseline'!$S$11:$S$258)+SUMIF('D-1 Off Site Habitat Baseline'!$G$11:$G$258,'G-2 Habitat groups'!A48,'D-1 Off Site Habitat Baseline'!$T$11:$T$258),SUMIF('D-1 Off Site Habitat Baseline'!$G$11:$G$258,'G-2 Habitat groups'!A48,'D-1 Off Site Habitat Baseline'!$H$11:$H$258))</f>
        <v>0</v>
      </c>
      <c r="T48" s="494">
        <f>SUMIF('D-1 Off Site Habitat Baseline'!$G$11:$G$258,'G-2 Habitat groups'!A48,'D-1 Off Site Habitat Baseline'!$Q$11:$Q$258)</f>
        <v>0</v>
      </c>
      <c r="U48" s="591">
        <f>SUMIF('D-1 Off Site Habitat Baseline'!$G$11:$G$258,'G-2 Habitat groups'!A48,'D-1 Off Site Habitat Baseline'!$S$11:$S$258)</f>
        <v>0</v>
      </c>
      <c r="V48" s="494">
        <f>SUMIF('D-1 Off Site Habitat Baseline'!$G$11:$G$258,'G-2 Habitat groups'!A48,'D-1 Off Site Habitat Baseline'!$U$11:$U$258)</f>
        <v>0</v>
      </c>
      <c r="W48" s="494">
        <f>SUMIF('D-2 Off Site Habitat Creation'!$F$9:$F$255,'G-2 Habitat groups'!A48,'D-2 Off Site Habitat Creation'!$G$9:$G$255)</f>
        <v>0</v>
      </c>
      <c r="X48" s="494">
        <f>SUMIF('D-2 Off Site Habitat Creation'!$F$9:$F$255,'G-2 Habitat groups'!A48,'D-2 Off Site Habitat Creation'!$AA$9:$AA$255)</f>
        <v>0</v>
      </c>
      <c r="Y48" s="494">
        <f>SUMIF('D-3 Off Site Habitat Enhancment'!$S$12:$S$491,'G-2 Habitat groups'!A48,'D-3 Off Site Habitat Enhancment'!$V$12:$V$491)</f>
        <v>0</v>
      </c>
      <c r="Z48" s="494">
        <f>SUMIF('D-3 Off Site Habitat Enhancment'!$S$12:$S$491,'G-2 Habitat groups'!A48,'D-3 Off Site Habitat Enhancment'!$AP$12:$AP$491)</f>
        <v>0</v>
      </c>
      <c r="AA48" s="494">
        <f t="shared" si="57"/>
        <v>0</v>
      </c>
      <c r="AB48" s="494">
        <f t="shared" si="58"/>
        <v>0</v>
      </c>
      <c r="AC48" s="494">
        <f t="shared" si="59"/>
        <v>0</v>
      </c>
      <c r="AD48" s="494">
        <f t="shared" si="60"/>
        <v>0</v>
      </c>
      <c r="AE48" s="494">
        <f t="shared" si="61"/>
        <v>0</v>
      </c>
      <c r="AF48" s="494">
        <f t="shared" si="62"/>
        <v>0</v>
      </c>
      <c r="AU48" s="113" t="s">
        <v>577</v>
      </c>
      <c r="AV48" s="88" t="s">
        <v>73</v>
      </c>
      <c r="AW48" s="494">
        <f t="shared" si="43"/>
        <v>0</v>
      </c>
      <c r="AX48" s="494">
        <f t="shared" si="44"/>
        <v>0</v>
      </c>
      <c r="AY48" s="494">
        <f t="shared" si="45"/>
        <v>0</v>
      </c>
      <c r="AZ48" s="494">
        <f t="shared" si="46"/>
        <v>0</v>
      </c>
      <c r="BA48" s="494">
        <f t="shared" si="47"/>
        <v>0</v>
      </c>
      <c r="BB48" s="494">
        <f t="shared" si="48"/>
        <v>0</v>
      </c>
      <c r="BC48" s="494">
        <f t="shared" si="49"/>
        <v>0</v>
      </c>
      <c r="BD48" s="494">
        <f t="shared" si="50"/>
        <v>0</v>
      </c>
      <c r="BE48" s="494">
        <f t="shared" si="51"/>
        <v>0</v>
      </c>
      <c r="BF48" s="494" t="str">
        <f t="shared" si="52"/>
        <v/>
      </c>
    </row>
    <row r="49" spans="1:58" x14ac:dyDescent="0.3">
      <c r="A49" s="104" t="str">
        <f>'G-1 All Habitats'!B48</f>
        <v>Lakes - Temporary lakes, ponds and pools</v>
      </c>
      <c r="B49" s="88" t="str">
        <f>'G-1 All Habitats'!F48</f>
        <v>Lakes</v>
      </c>
      <c r="C49" s="88" t="str">
        <f>'G-1 All Habitats'!K48</f>
        <v>High</v>
      </c>
      <c r="D49" s="88" t="str">
        <f>'G-1 All Habitats'!M48</f>
        <v>Same habitat required =</v>
      </c>
      <c r="E49" s="494">
        <f>IF(C49="V.High",SUMIF('A-1 Site Habitat Baseline'!$G$11:$G$258,'G-2 Habitat groups'!A49,'A-1 Site Habitat Baseline'!$S$11:$S$258)+SUMIF('A-1 Site Habitat Baseline'!$G$11:$G$258,'G-2 Habitat groups'!A49,'A-1 Site Habitat Baseline'!$T$11:$T$258),SUMIF('A-1 Site Habitat Baseline'!$G$11:$G$258,'G-2 Habitat groups'!A49,'A-1 Site Habitat Baseline'!$H$11:$H$258))</f>
        <v>0</v>
      </c>
      <c r="F49" s="494">
        <f>SUMIF('A-1 Site Habitat Baseline'!$G$11:$G$258,'G-2 Habitat groups'!A49,'A-1 Site Habitat Baseline'!$Q$11:$Q$258)</f>
        <v>0</v>
      </c>
      <c r="G49" s="494">
        <f>SUMIF('A-1 Site Habitat Baseline'!$G$11:$G$258,'G-2 Habitat groups'!A49,'A-1 Site Habitat Baseline'!$S$11:$S$258)</f>
        <v>0</v>
      </c>
      <c r="H49" s="494">
        <f>SUMIF('A-1 Site Habitat Baseline'!$G$11:$G$258,'G-2 Habitat groups'!A49,'A-1 Site Habitat Baseline'!$U$11:$U$258)</f>
        <v>0</v>
      </c>
      <c r="I49" s="494">
        <f>SUMIF('A-1 Site Habitat Baseline'!$G$11:$G$258,'G-2 Habitat groups'!A49,'A-1 Site Habitat Baseline'!$W$11:$W$258)</f>
        <v>0</v>
      </c>
      <c r="J49" s="494">
        <f>SUMIF('A-1 Site Habitat Baseline'!$G$11:$G$258,'G-2 Habitat groups'!A49,'A-1 Site Habitat Baseline'!$X$11:$X$258)</f>
        <v>0</v>
      </c>
      <c r="K49" s="494">
        <f>SUMIF('A-2 Site Habitat Creation'!$F$11:$F$256,'G-2 Habitat groups'!A49,'A-2 Site Habitat Creation'!$G$11:$G$256)</f>
        <v>0</v>
      </c>
      <c r="L49" s="494">
        <f>SUMIF('A-2 Site Habitat Creation'!$F$11:$F$256,'G-2 Habitat groups'!A49,'A-2 Site Habitat Creation'!$Y$11:$Y$256)</f>
        <v>0</v>
      </c>
      <c r="M49" s="494">
        <f>SUMIF('A-3 Site Habitat Enhancement'!$S$12:$S$257,'G-2 Habitat groups'!A49,'A-3 Site Habitat Enhancement'!$V$12:$V$257)</f>
        <v>0</v>
      </c>
      <c r="N49" s="494">
        <f>SUMIF('A-3 Site Habitat Enhancement'!$S$12:$S$257,'G-2 Habitat groups'!A49,'A-3 Site Habitat Enhancement'!$AN$12:$AN$257)</f>
        <v>0</v>
      </c>
      <c r="O49" s="494">
        <f t="shared" si="53"/>
        <v>0</v>
      </c>
      <c r="P49" s="494">
        <f t="shared" si="54"/>
        <v>0</v>
      </c>
      <c r="Q49" s="494">
        <f t="shared" si="55"/>
        <v>0</v>
      </c>
      <c r="R49" s="494">
        <f t="shared" si="56"/>
        <v>0</v>
      </c>
      <c r="S49" s="494">
        <f>IF(C49="V.High",SUMIF('D-1 Off Site Habitat Baseline'!$G$11:$G$258,'G-2 Habitat groups'!A49,'D-1 Off Site Habitat Baseline'!$S$11:$S$258)+SUMIF('D-1 Off Site Habitat Baseline'!$G$11:$G$258,'G-2 Habitat groups'!A49,'D-1 Off Site Habitat Baseline'!$T$11:$T$258),SUMIF('D-1 Off Site Habitat Baseline'!$G$11:$G$258,'G-2 Habitat groups'!A49,'D-1 Off Site Habitat Baseline'!$H$11:$H$258))</f>
        <v>0</v>
      </c>
      <c r="T49" s="494">
        <f>SUMIF('D-1 Off Site Habitat Baseline'!$G$11:$G$258,'G-2 Habitat groups'!A49,'D-1 Off Site Habitat Baseline'!$Q$11:$Q$258)</f>
        <v>0</v>
      </c>
      <c r="U49" s="591">
        <f>SUMIF('D-1 Off Site Habitat Baseline'!$G$11:$G$258,'G-2 Habitat groups'!A49,'D-1 Off Site Habitat Baseline'!$S$11:$S$258)</f>
        <v>0</v>
      </c>
      <c r="V49" s="494">
        <f>SUMIF('D-1 Off Site Habitat Baseline'!$G$11:$G$258,'G-2 Habitat groups'!A49,'D-1 Off Site Habitat Baseline'!$U$11:$U$258)</f>
        <v>0</v>
      </c>
      <c r="W49" s="494">
        <f>SUMIF('D-2 Off Site Habitat Creation'!$F$9:$F$255,'G-2 Habitat groups'!A49,'D-2 Off Site Habitat Creation'!$G$9:$G$255)</f>
        <v>0</v>
      </c>
      <c r="X49" s="494">
        <f>SUMIF('D-2 Off Site Habitat Creation'!$F$9:$F$255,'G-2 Habitat groups'!A49,'D-2 Off Site Habitat Creation'!$AA$9:$AA$255)</f>
        <v>0</v>
      </c>
      <c r="Y49" s="494">
        <f>SUMIF('D-3 Off Site Habitat Enhancment'!$S$12:$S$491,'G-2 Habitat groups'!A49,'D-3 Off Site Habitat Enhancment'!$V$12:$V$491)</f>
        <v>0</v>
      </c>
      <c r="Z49" s="494">
        <f>SUMIF('D-3 Off Site Habitat Enhancment'!$S$12:$S$491,'G-2 Habitat groups'!A49,'D-3 Off Site Habitat Enhancment'!$AP$12:$AP$491)</f>
        <v>0</v>
      </c>
      <c r="AA49" s="494">
        <f t="shared" si="57"/>
        <v>0</v>
      </c>
      <c r="AB49" s="494">
        <f t="shared" si="58"/>
        <v>0</v>
      </c>
      <c r="AC49" s="494">
        <f t="shared" si="59"/>
        <v>0</v>
      </c>
      <c r="AD49" s="494">
        <f t="shared" si="60"/>
        <v>0</v>
      </c>
      <c r="AE49" s="494">
        <f t="shared" si="61"/>
        <v>0</v>
      </c>
      <c r="AF49" s="494">
        <f t="shared" si="62"/>
        <v>0</v>
      </c>
      <c r="AU49" s="113" t="s">
        <v>618</v>
      </c>
      <c r="AV49" s="88" t="s">
        <v>74</v>
      </c>
      <c r="AW49" s="494">
        <f t="shared" si="43"/>
        <v>0</v>
      </c>
      <c r="AX49" s="494">
        <f t="shared" si="44"/>
        <v>0</v>
      </c>
      <c r="AY49" s="494">
        <f t="shared" si="45"/>
        <v>0</v>
      </c>
      <c r="AZ49" s="494">
        <f t="shared" si="46"/>
        <v>0</v>
      </c>
      <c r="BA49" s="494">
        <f t="shared" si="47"/>
        <v>0</v>
      </c>
      <c r="BB49" s="494">
        <f t="shared" si="48"/>
        <v>0</v>
      </c>
      <c r="BC49" s="494">
        <f t="shared" si="49"/>
        <v>0</v>
      </c>
      <c r="BD49" s="494">
        <f t="shared" si="50"/>
        <v>0</v>
      </c>
      <c r="BE49" s="494">
        <f t="shared" si="51"/>
        <v>0</v>
      </c>
      <c r="BF49" s="494" t="str">
        <f t="shared" si="52"/>
        <v/>
      </c>
    </row>
    <row r="50" spans="1:58" x14ac:dyDescent="0.3">
      <c r="A50" s="104" t="str">
        <f>'G-1 All Habitats'!B49</f>
        <v>Sparsely vegetated land - Calaminarian grasslands</v>
      </c>
      <c r="B50" s="88" t="str">
        <f>'G-1 All Habitats'!F49</f>
        <v>Sparsely vegetated land</v>
      </c>
      <c r="C50" s="88" t="str">
        <f>'G-1 All Habitats'!K49</f>
        <v>V.High</v>
      </c>
      <c r="D50" s="88" t="str">
        <f>'G-1 All Habitats'!M49</f>
        <v>Bespoke compensation likely to be required 🛠</v>
      </c>
      <c r="E50" s="494">
        <f>IF(C50="V.High",SUMIF('A-1 Site Habitat Baseline'!$G$11:$G$258,'G-2 Habitat groups'!A50,'A-1 Site Habitat Baseline'!$S$11:$S$258)+SUMIF('A-1 Site Habitat Baseline'!$G$11:$G$258,'G-2 Habitat groups'!A50,'A-1 Site Habitat Baseline'!$T$11:$T$258),SUMIF('A-1 Site Habitat Baseline'!$G$11:$G$258,'G-2 Habitat groups'!A50,'A-1 Site Habitat Baseline'!$H$11:$H$258))</f>
        <v>0</v>
      </c>
      <c r="F50" s="494">
        <f>SUMIF('A-1 Site Habitat Baseline'!$G$11:$G$258,'G-2 Habitat groups'!A50,'A-1 Site Habitat Baseline'!$Q$11:$Q$258)</f>
        <v>0</v>
      </c>
      <c r="G50" s="494">
        <f>SUMIF('A-1 Site Habitat Baseline'!$G$11:$G$258,'G-2 Habitat groups'!A50,'A-1 Site Habitat Baseline'!$S$11:$S$258)</f>
        <v>0</v>
      </c>
      <c r="H50" s="494">
        <f>SUMIF('A-1 Site Habitat Baseline'!$G$11:$G$258,'G-2 Habitat groups'!A50,'A-1 Site Habitat Baseline'!$U$11:$U$258)</f>
        <v>0</v>
      </c>
      <c r="I50" s="494">
        <f>SUMIF('A-1 Site Habitat Baseline'!$G$11:$G$258,'G-2 Habitat groups'!A50,'A-1 Site Habitat Baseline'!$W$11:$W$258)</f>
        <v>0</v>
      </c>
      <c r="J50" s="494">
        <f>SUMIF('A-1 Site Habitat Baseline'!$G$11:$G$258,'G-2 Habitat groups'!A50,'A-1 Site Habitat Baseline'!$X$11:$X$258)</f>
        <v>0</v>
      </c>
      <c r="K50" s="494">
        <f>SUMIF('A-2 Site Habitat Creation'!$F$11:$F$256,'G-2 Habitat groups'!A50,'A-2 Site Habitat Creation'!$G$11:$G$256)</f>
        <v>0</v>
      </c>
      <c r="L50" s="494">
        <f>SUMIF('A-2 Site Habitat Creation'!$F$11:$F$256,'G-2 Habitat groups'!A50,'A-2 Site Habitat Creation'!$Y$11:$Y$256)</f>
        <v>0</v>
      </c>
      <c r="M50" s="494">
        <f>SUMIF('A-3 Site Habitat Enhancement'!$S$12:$S$257,'G-2 Habitat groups'!A50,'A-3 Site Habitat Enhancement'!$V$12:$V$257)</f>
        <v>0</v>
      </c>
      <c r="N50" s="494">
        <f>SUMIF('A-3 Site Habitat Enhancement'!$S$12:$S$257,'G-2 Habitat groups'!A50,'A-3 Site Habitat Enhancement'!$AN$12:$AN$257)</f>
        <v>0</v>
      </c>
      <c r="O50" s="494">
        <f t="shared" si="53"/>
        <v>0</v>
      </c>
      <c r="P50" s="494">
        <f t="shared" si="54"/>
        <v>0</v>
      </c>
      <c r="Q50" s="494">
        <f t="shared" si="55"/>
        <v>0</v>
      </c>
      <c r="R50" s="494">
        <f t="shared" si="56"/>
        <v>0</v>
      </c>
      <c r="S50" s="494">
        <f>IF(C50="V.High",SUMIF('D-1 Off Site Habitat Baseline'!$G$11:$G$258,'G-2 Habitat groups'!A50,'D-1 Off Site Habitat Baseline'!$S$11:$S$258)+SUMIF('D-1 Off Site Habitat Baseline'!$G$11:$G$258,'G-2 Habitat groups'!A50,'D-1 Off Site Habitat Baseline'!$T$11:$T$258),SUMIF('D-1 Off Site Habitat Baseline'!$G$11:$G$258,'G-2 Habitat groups'!A50,'D-1 Off Site Habitat Baseline'!$H$11:$H$258))</f>
        <v>0</v>
      </c>
      <c r="T50" s="494">
        <f>SUMIF('D-1 Off Site Habitat Baseline'!$G$11:$G$258,'G-2 Habitat groups'!A50,'D-1 Off Site Habitat Baseline'!$Q$11:$Q$258)</f>
        <v>0</v>
      </c>
      <c r="U50" s="591">
        <f>SUMIF('D-1 Off Site Habitat Baseline'!$G$11:$G$258,'G-2 Habitat groups'!A50,'D-1 Off Site Habitat Baseline'!$S$11:$S$258)</f>
        <v>0</v>
      </c>
      <c r="V50" s="494">
        <f>SUMIF('D-1 Off Site Habitat Baseline'!$G$11:$G$258,'G-2 Habitat groups'!A50,'D-1 Off Site Habitat Baseline'!$U$11:$U$258)</f>
        <v>0</v>
      </c>
      <c r="W50" s="494">
        <f>SUMIF('D-2 Off Site Habitat Creation'!$F$9:$F$255,'G-2 Habitat groups'!A50,'D-2 Off Site Habitat Creation'!$G$9:$G$255)</f>
        <v>0</v>
      </c>
      <c r="X50" s="494">
        <f>SUMIF('D-2 Off Site Habitat Creation'!$F$9:$F$255,'G-2 Habitat groups'!A50,'D-2 Off Site Habitat Creation'!$AA$9:$AA$255)</f>
        <v>0</v>
      </c>
      <c r="Y50" s="494">
        <f>SUMIF('D-3 Off Site Habitat Enhancment'!$S$12:$S$491,'G-2 Habitat groups'!A50,'D-3 Off Site Habitat Enhancment'!$V$12:$V$491)</f>
        <v>0</v>
      </c>
      <c r="Z50" s="494">
        <f>SUMIF('D-3 Off Site Habitat Enhancment'!$S$12:$S$491,'G-2 Habitat groups'!A50,'D-3 Off Site Habitat Enhancment'!$AP$12:$AP$491)</f>
        <v>0</v>
      </c>
      <c r="AA50" s="494">
        <f t="shared" si="57"/>
        <v>0</v>
      </c>
      <c r="AB50" s="494">
        <f t="shared" si="58"/>
        <v>0</v>
      </c>
      <c r="AC50" s="494">
        <f t="shared" si="59"/>
        <v>0</v>
      </c>
      <c r="AD50" s="494">
        <f t="shared" si="60"/>
        <v>0</v>
      </c>
      <c r="AE50" s="494">
        <f t="shared" si="61"/>
        <v>0</v>
      </c>
      <c r="AF50" s="494">
        <f t="shared" si="62"/>
        <v>0</v>
      </c>
      <c r="AU50" s="113" t="s">
        <v>665</v>
      </c>
      <c r="AV50" s="88" t="s">
        <v>75</v>
      </c>
      <c r="AW50" s="494">
        <f t="shared" si="43"/>
        <v>0</v>
      </c>
      <c r="AX50" s="494">
        <f t="shared" si="44"/>
        <v>0</v>
      </c>
      <c r="AY50" s="494">
        <f t="shared" si="45"/>
        <v>0</v>
      </c>
      <c r="AZ50" s="494">
        <f t="shared" si="46"/>
        <v>0</v>
      </c>
      <c r="BA50" s="494">
        <f t="shared" si="47"/>
        <v>0</v>
      </c>
      <c r="BB50" s="494">
        <f t="shared" si="48"/>
        <v>0</v>
      </c>
      <c r="BC50" s="494">
        <f t="shared" si="49"/>
        <v>0</v>
      </c>
      <c r="BD50" s="494">
        <f t="shared" si="50"/>
        <v>0</v>
      </c>
      <c r="BE50" s="494">
        <f t="shared" si="51"/>
        <v>0</v>
      </c>
      <c r="BF50" s="494" t="str">
        <f t="shared" si="52"/>
        <v/>
      </c>
    </row>
    <row r="51" spans="1:58" x14ac:dyDescent="0.3">
      <c r="A51" s="104" t="str">
        <f>'G-1 All Habitats'!B50</f>
        <v>Sparsely vegetated land - Coastal sand dunes</v>
      </c>
      <c r="B51" s="88" t="str">
        <f>'G-1 All Habitats'!F50</f>
        <v>Sparsely vegetated land</v>
      </c>
      <c r="C51" s="88" t="str">
        <f>'G-1 All Habitats'!K50</f>
        <v>High</v>
      </c>
      <c r="D51" s="88" t="str">
        <f>'G-1 All Habitats'!M50</f>
        <v>Same habitat required =</v>
      </c>
      <c r="E51" s="494">
        <f>IF(C51="V.High",SUMIF('A-1 Site Habitat Baseline'!$G$11:$G$258,'G-2 Habitat groups'!A51,'A-1 Site Habitat Baseline'!$S$11:$S$258)+SUMIF('A-1 Site Habitat Baseline'!$G$11:$G$258,'G-2 Habitat groups'!A51,'A-1 Site Habitat Baseline'!$T$11:$T$258),SUMIF('A-1 Site Habitat Baseline'!$G$11:$G$258,'G-2 Habitat groups'!A51,'A-1 Site Habitat Baseline'!$H$11:$H$258))</f>
        <v>0</v>
      </c>
      <c r="F51" s="494">
        <f>SUMIF('A-1 Site Habitat Baseline'!$G$11:$G$258,'G-2 Habitat groups'!A51,'A-1 Site Habitat Baseline'!$Q$11:$Q$258)</f>
        <v>0</v>
      </c>
      <c r="G51" s="494">
        <f>SUMIF('A-1 Site Habitat Baseline'!$G$11:$G$258,'G-2 Habitat groups'!A51,'A-1 Site Habitat Baseline'!$S$11:$S$258)</f>
        <v>0</v>
      </c>
      <c r="H51" s="494">
        <f>SUMIF('A-1 Site Habitat Baseline'!$G$11:$G$258,'G-2 Habitat groups'!A51,'A-1 Site Habitat Baseline'!$U$11:$U$258)</f>
        <v>0</v>
      </c>
      <c r="I51" s="494">
        <f>SUMIF('A-1 Site Habitat Baseline'!$G$11:$G$258,'G-2 Habitat groups'!A51,'A-1 Site Habitat Baseline'!$W$11:$W$258)</f>
        <v>0</v>
      </c>
      <c r="J51" s="494">
        <f>SUMIF('A-1 Site Habitat Baseline'!$G$11:$G$258,'G-2 Habitat groups'!A51,'A-1 Site Habitat Baseline'!$X$11:$X$258)</f>
        <v>0</v>
      </c>
      <c r="K51" s="494">
        <f>SUMIF('A-2 Site Habitat Creation'!$F$11:$F$256,'G-2 Habitat groups'!A51,'A-2 Site Habitat Creation'!$G$11:$G$256)</f>
        <v>0</v>
      </c>
      <c r="L51" s="494">
        <f>SUMIF('A-2 Site Habitat Creation'!$F$11:$F$256,'G-2 Habitat groups'!A51,'A-2 Site Habitat Creation'!$Y$11:$Y$256)</f>
        <v>0</v>
      </c>
      <c r="M51" s="494">
        <f>SUMIF('A-3 Site Habitat Enhancement'!$S$12:$S$257,'G-2 Habitat groups'!A51,'A-3 Site Habitat Enhancement'!$V$12:$V$257)</f>
        <v>0</v>
      </c>
      <c r="N51" s="494">
        <f>SUMIF('A-3 Site Habitat Enhancement'!$S$12:$S$257,'G-2 Habitat groups'!A51,'A-3 Site Habitat Enhancement'!$AN$12:$AN$257)</f>
        <v>0</v>
      </c>
      <c r="O51" s="494">
        <f t="shared" si="53"/>
        <v>0</v>
      </c>
      <c r="P51" s="494">
        <f t="shared" si="54"/>
        <v>0</v>
      </c>
      <c r="Q51" s="494">
        <f t="shared" si="55"/>
        <v>0</v>
      </c>
      <c r="R51" s="494">
        <f t="shared" si="56"/>
        <v>0</v>
      </c>
      <c r="S51" s="494">
        <f>IF(C51="V.High",SUMIF('D-1 Off Site Habitat Baseline'!$G$11:$G$258,'G-2 Habitat groups'!A51,'D-1 Off Site Habitat Baseline'!$S$11:$S$258)+SUMIF('D-1 Off Site Habitat Baseline'!$G$11:$G$258,'G-2 Habitat groups'!A51,'D-1 Off Site Habitat Baseline'!$T$11:$T$258),SUMIF('D-1 Off Site Habitat Baseline'!$G$11:$G$258,'G-2 Habitat groups'!A51,'D-1 Off Site Habitat Baseline'!$H$11:$H$258))</f>
        <v>0</v>
      </c>
      <c r="T51" s="494">
        <f>SUMIF('D-1 Off Site Habitat Baseline'!$G$11:$G$258,'G-2 Habitat groups'!A51,'D-1 Off Site Habitat Baseline'!$Q$11:$Q$258)</f>
        <v>0</v>
      </c>
      <c r="U51" s="591">
        <f>SUMIF('D-1 Off Site Habitat Baseline'!$G$11:$G$258,'G-2 Habitat groups'!A51,'D-1 Off Site Habitat Baseline'!$S$11:$S$258)</f>
        <v>0</v>
      </c>
      <c r="V51" s="494">
        <f>SUMIF('D-1 Off Site Habitat Baseline'!$G$11:$G$258,'G-2 Habitat groups'!A51,'D-1 Off Site Habitat Baseline'!$U$11:$U$258)</f>
        <v>0</v>
      </c>
      <c r="W51" s="494">
        <f>SUMIF('D-2 Off Site Habitat Creation'!$F$9:$F$255,'G-2 Habitat groups'!A51,'D-2 Off Site Habitat Creation'!$G$9:$G$255)</f>
        <v>0</v>
      </c>
      <c r="X51" s="494">
        <f>SUMIF('D-2 Off Site Habitat Creation'!$F$9:$F$255,'G-2 Habitat groups'!A51,'D-2 Off Site Habitat Creation'!$AA$9:$AA$255)</f>
        <v>0</v>
      </c>
      <c r="Y51" s="494">
        <f>SUMIF('D-3 Off Site Habitat Enhancment'!$S$12:$S$491,'G-2 Habitat groups'!A51,'D-3 Off Site Habitat Enhancment'!$V$12:$V$491)</f>
        <v>0</v>
      </c>
      <c r="Z51" s="494">
        <f>SUMIF('D-3 Off Site Habitat Enhancment'!$S$12:$S$491,'G-2 Habitat groups'!A51,'D-3 Off Site Habitat Enhancment'!$AP$12:$AP$491)</f>
        <v>0</v>
      </c>
      <c r="AA51" s="494">
        <f t="shared" si="57"/>
        <v>0</v>
      </c>
      <c r="AB51" s="494">
        <f t="shared" si="58"/>
        <v>0</v>
      </c>
      <c r="AC51" s="494">
        <f t="shared" si="59"/>
        <v>0</v>
      </c>
      <c r="AD51" s="494">
        <f t="shared" si="60"/>
        <v>0</v>
      </c>
      <c r="AE51" s="494">
        <f t="shared" si="61"/>
        <v>0</v>
      </c>
      <c r="AF51" s="494">
        <f t="shared" si="62"/>
        <v>0</v>
      </c>
      <c r="AU51" s="88" t="s">
        <v>671</v>
      </c>
      <c r="AV51" s="88" t="s">
        <v>76</v>
      </c>
      <c r="AW51" s="494">
        <f t="shared" si="43"/>
        <v>0</v>
      </c>
      <c r="AX51" s="494">
        <f t="shared" si="44"/>
        <v>0</v>
      </c>
      <c r="AY51" s="494">
        <f t="shared" si="45"/>
        <v>0</v>
      </c>
      <c r="AZ51" s="494">
        <f t="shared" si="46"/>
        <v>0</v>
      </c>
      <c r="BA51" s="494">
        <f t="shared" si="47"/>
        <v>0</v>
      </c>
      <c r="BB51" s="494">
        <f t="shared" si="48"/>
        <v>0</v>
      </c>
      <c r="BC51" s="494">
        <f t="shared" si="49"/>
        <v>0</v>
      </c>
      <c r="BD51" s="494">
        <f t="shared" si="50"/>
        <v>0</v>
      </c>
      <c r="BE51" s="494">
        <f t="shared" si="51"/>
        <v>0</v>
      </c>
      <c r="BF51" s="494" t="str">
        <f t="shared" si="52"/>
        <v/>
      </c>
    </row>
    <row r="52" spans="1:58" x14ac:dyDescent="0.3">
      <c r="A52" s="104" t="str">
        <f>'G-1 All Habitats'!B51</f>
        <v>Sparsely vegetated land - Coastal vegetated shingle</v>
      </c>
      <c r="B52" s="88" t="str">
        <f>'G-1 All Habitats'!F51</f>
        <v>Sparsely vegetated land</v>
      </c>
      <c r="C52" s="88" t="str">
        <f>'G-1 All Habitats'!K51</f>
        <v>High</v>
      </c>
      <c r="D52" s="88" t="str">
        <f>'G-1 All Habitats'!M51</f>
        <v>Same habitat required =</v>
      </c>
      <c r="E52" s="494">
        <f>IF(C52="V.High",SUMIF('A-1 Site Habitat Baseline'!$G$11:$G$258,'G-2 Habitat groups'!A52,'A-1 Site Habitat Baseline'!$S$11:$S$258)+SUMIF('A-1 Site Habitat Baseline'!$G$11:$G$258,'G-2 Habitat groups'!A52,'A-1 Site Habitat Baseline'!$T$11:$T$258),SUMIF('A-1 Site Habitat Baseline'!$G$11:$G$258,'G-2 Habitat groups'!A52,'A-1 Site Habitat Baseline'!$H$11:$H$258))</f>
        <v>0</v>
      </c>
      <c r="F52" s="494">
        <f>SUMIF('A-1 Site Habitat Baseline'!$G$11:$G$258,'G-2 Habitat groups'!A52,'A-1 Site Habitat Baseline'!$Q$11:$Q$258)</f>
        <v>0</v>
      </c>
      <c r="G52" s="494">
        <f>SUMIF('A-1 Site Habitat Baseline'!$G$11:$G$258,'G-2 Habitat groups'!A52,'A-1 Site Habitat Baseline'!$S$11:$S$258)</f>
        <v>0</v>
      </c>
      <c r="H52" s="494">
        <f>SUMIF('A-1 Site Habitat Baseline'!$G$11:$G$258,'G-2 Habitat groups'!A52,'A-1 Site Habitat Baseline'!$U$11:$U$258)</f>
        <v>0</v>
      </c>
      <c r="I52" s="494">
        <f>SUMIF('A-1 Site Habitat Baseline'!$G$11:$G$258,'G-2 Habitat groups'!A52,'A-1 Site Habitat Baseline'!$W$11:$W$258)</f>
        <v>0</v>
      </c>
      <c r="J52" s="494">
        <f>SUMIF('A-1 Site Habitat Baseline'!$G$11:$G$258,'G-2 Habitat groups'!A52,'A-1 Site Habitat Baseline'!$X$11:$X$258)</f>
        <v>0</v>
      </c>
      <c r="K52" s="494">
        <f>SUMIF('A-2 Site Habitat Creation'!$F$11:$F$256,'G-2 Habitat groups'!A52,'A-2 Site Habitat Creation'!$G$11:$G$256)</f>
        <v>0</v>
      </c>
      <c r="L52" s="494">
        <f>SUMIF('A-2 Site Habitat Creation'!$F$11:$F$256,'G-2 Habitat groups'!A52,'A-2 Site Habitat Creation'!$Y$11:$Y$256)</f>
        <v>0</v>
      </c>
      <c r="M52" s="494">
        <f>SUMIF('A-3 Site Habitat Enhancement'!$S$12:$S$257,'G-2 Habitat groups'!A52,'A-3 Site Habitat Enhancement'!$V$12:$V$257)</f>
        <v>0</v>
      </c>
      <c r="N52" s="494">
        <f>SUMIF('A-3 Site Habitat Enhancement'!$S$12:$S$257,'G-2 Habitat groups'!A52,'A-3 Site Habitat Enhancement'!$AN$12:$AN$257)</f>
        <v>0</v>
      </c>
      <c r="O52" s="494">
        <f t="shared" si="53"/>
        <v>0</v>
      </c>
      <c r="P52" s="494">
        <f t="shared" si="54"/>
        <v>0</v>
      </c>
      <c r="Q52" s="494">
        <f t="shared" si="55"/>
        <v>0</v>
      </c>
      <c r="R52" s="494">
        <f t="shared" si="56"/>
        <v>0</v>
      </c>
      <c r="S52" s="494">
        <f>IF(C52="V.High",SUMIF('D-1 Off Site Habitat Baseline'!$G$11:$G$258,'G-2 Habitat groups'!A52,'D-1 Off Site Habitat Baseline'!$S$11:$S$258)+SUMIF('D-1 Off Site Habitat Baseline'!$G$11:$G$258,'G-2 Habitat groups'!A52,'D-1 Off Site Habitat Baseline'!$T$11:$T$258),SUMIF('D-1 Off Site Habitat Baseline'!$G$11:$G$258,'G-2 Habitat groups'!A52,'D-1 Off Site Habitat Baseline'!$H$11:$H$258))</f>
        <v>0</v>
      </c>
      <c r="T52" s="494">
        <f>SUMIF('D-1 Off Site Habitat Baseline'!$G$11:$G$258,'G-2 Habitat groups'!A52,'D-1 Off Site Habitat Baseline'!$Q$11:$Q$258)</f>
        <v>0</v>
      </c>
      <c r="U52" s="591">
        <f>SUMIF('D-1 Off Site Habitat Baseline'!$G$11:$G$258,'G-2 Habitat groups'!A52,'D-1 Off Site Habitat Baseline'!$S$11:$S$258)</f>
        <v>0</v>
      </c>
      <c r="V52" s="494">
        <f>SUMIF('D-1 Off Site Habitat Baseline'!$G$11:$G$258,'G-2 Habitat groups'!A52,'D-1 Off Site Habitat Baseline'!$U$11:$U$258)</f>
        <v>0</v>
      </c>
      <c r="W52" s="494">
        <f>SUMIF('D-2 Off Site Habitat Creation'!$F$9:$F$255,'G-2 Habitat groups'!A52,'D-2 Off Site Habitat Creation'!$G$9:$G$255)</f>
        <v>0</v>
      </c>
      <c r="X52" s="494">
        <f>SUMIF('D-2 Off Site Habitat Creation'!$F$9:$F$255,'G-2 Habitat groups'!A52,'D-2 Off Site Habitat Creation'!$AA$9:$AA$255)</f>
        <v>0</v>
      </c>
      <c r="Y52" s="494">
        <f>SUMIF('D-3 Off Site Habitat Enhancment'!$S$12:$S$491,'G-2 Habitat groups'!A52,'D-3 Off Site Habitat Enhancment'!$V$12:$V$491)</f>
        <v>0</v>
      </c>
      <c r="Z52" s="494">
        <f>SUMIF('D-3 Off Site Habitat Enhancment'!$S$12:$S$491,'G-2 Habitat groups'!A52,'D-3 Off Site Habitat Enhancment'!$AP$12:$AP$491)</f>
        <v>0</v>
      </c>
      <c r="AA52" s="494">
        <f t="shared" si="57"/>
        <v>0</v>
      </c>
      <c r="AB52" s="494">
        <f t="shared" si="58"/>
        <v>0</v>
      </c>
      <c r="AC52" s="494">
        <f t="shared" si="59"/>
        <v>0</v>
      </c>
      <c r="AD52" s="494">
        <f t="shared" si="60"/>
        <v>0</v>
      </c>
      <c r="AE52" s="494">
        <f t="shared" si="61"/>
        <v>0</v>
      </c>
      <c r="AF52" s="494">
        <f t="shared" si="62"/>
        <v>0</v>
      </c>
      <c r="AU52" s="113" t="s">
        <v>674</v>
      </c>
      <c r="AV52" s="88" t="s">
        <v>76</v>
      </c>
      <c r="AW52" s="494">
        <f t="shared" si="43"/>
        <v>0</v>
      </c>
      <c r="AX52" s="494">
        <f t="shared" si="44"/>
        <v>0</v>
      </c>
      <c r="AY52" s="494">
        <f t="shared" si="45"/>
        <v>0</v>
      </c>
      <c r="AZ52" s="494">
        <f t="shared" si="46"/>
        <v>0</v>
      </c>
      <c r="BA52" s="494">
        <f t="shared" si="47"/>
        <v>0</v>
      </c>
      <c r="BB52" s="494">
        <f t="shared" si="48"/>
        <v>0</v>
      </c>
      <c r="BC52" s="494">
        <f t="shared" si="49"/>
        <v>0</v>
      </c>
      <c r="BD52" s="494">
        <f t="shared" si="50"/>
        <v>0</v>
      </c>
      <c r="BE52" s="494">
        <f t="shared" si="51"/>
        <v>0</v>
      </c>
      <c r="BF52" s="494" t="str">
        <f t="shared" si="52"/>
        <v/>
      </c>
    </row>
    <row r="53" spans="1:58" x14ac:dyDescent="0.3">
      <c r="A53" s="104" t="str">
        <f>'G-1 All Habitats'!B52</f>
        <v>Sparsely vegetated land - Ruderal/Ephemeral</v>
      </c>
      <c r="B53" s="88" t="str">
        <f>'G-1 All Habitats'!F52</f>
        <v>Sparsely vegetated land</v>
      </c>
      <c r="C53" s="88" t="str">
        <f>'G-1 All Habitats'!K52</f>
        <v>Low</v>
      </c>
      <c r="D53" s="88" t="str">
        <f>'G-1 All Habitats'!M52</f>
        <v>Same distinctiveness or better habitat required ≥</v>
      </c>
      <c r="E53" s="494">
        <f>IF(C53="V.High",SUMIF('A-1 Site Habitat Baseline'!$G$11:$G$258,'G-2 Habitat groups'!A53,'A-1 Site Habitat Baseline'!$S$11:$S$258)+SUMIF('A-1 Site Habitat Baseline'!$G$11:$G$258,'G-2 Habitat groups'!A53,'A-1 Site Habitat Baseline'!$T$11:$T$258),SUMIF('A-1 Site Habitat Baseline'!$G$11:$G$258,'G-2 Habitat groups'!A53,'A-1 Site Habitat Baseline'!$H$11:$H$258))</f>
        <v>0</v>
      </c>
      <c r="F53" s="494">
        <f>SUMIF('A-1 Site Habitat Baseline'!$G$11:$G$258,'G-2 Habitat groups'!A53,'A-1 Site Habitat Baseline'!$Q$11:$Q$258)</f>
        <v>0</v>
      </c>
      <c r="G53" s="494">
        <f>SUMIF('A-1 Site Habitat Baseline'!$G$11:$G$258,'G-2 Habitat groups'!A53,'A-1 Site Habitat Baseline'!$S$11:$S$258)</f>
        <v>0</v>
      </c>
      <c r="H53" s="494">
        <f>SUMIF('A-1 Site Habitat Baseline'!$G$11:$G$258,'G-2 Habitat groups'!A53,'A-1 Site Habitat Baseline'!$U$11:$U$258)</f>
        <v>0</v>
      </c>
      <c r="I53" s="494">
        <f>SUMIF('A-1 Site Habitat Baseline'!$G$11:$G$258,'G-2 Habitat groups'!A53,'A-1 Site Habitat Baseline'!$W$11:$W$258)</f>
        <v>0</v>
      </c>
      <c r="J53" s="494">
        <f>SUMIF('A-1 Site Habitat Baseline'!$G$11:$G$258,'G-2 Habitat groups'!A53,'A-1 Site Habitat Baseline'!$X$11:$X$258)</f>
        <v>0</v>
      </c>
      <c r="K53" s="494">
        <f>SUMIF('A-2 Site Habitat Creation'!$F$11:$F$256,'G-2 Habitat groups'!A53,'A-2 Site Habitat Creation'!$G$11:$G$256)</f>
        <v>0</v>
      </c>
      <c r="L53" s="494">
        <f>SUMIF('A-2 Site Habitat Creation'!$F$11:$F$256,'G-2 Habitat groups'!A53,'A-2 Site Habitat Creation'!$Y$11:$Y$256)</f>
        <v>0</v>
      </c>
      <c r="M53" s="494">
        <f>SUMIF('A-3 Site Habitat Enhancement'!$S$12:$S$257,'G-2 Habitat groups'!A53,'A-3 Site Habitat Enhancement'!$V$12:$V$257)</f>
        <v>0</v>
      </c>
      <c r="N53" s="494">
        <f>SUMIF('A-3 Site Habitat Enhancement'!$S$12:$S$257,'G-2 Habitat groups'!A53,'A-3 Site Habitat Enhancement'!$AN$12:$AN$257)</f>
        <v>0</v>
      </c>
      <c r="O53" s="494">
        <f t="shared" si="53"/>
        <v>0</v>
      </c>
      <c r="P53" s="494">
        <f t="shared" si="54"/>
        <v>0</v>
      </c>
      <c r="Q53" s="494">
        <f t="shared" si="55"/>
        <v>0</v>
      </c>
      <c r="R53" s="494">
        <f t="shared" si="56"/>
        <v>0</v>
      </c>
      <c r="S53" s="494">
        <f>IF(C53="V.High",SUMIF('D-1 Off Site Habitat Baseline'!$G$11:$G$258,'G-2 Habitat groups'!A53,'D-1 Off Site Habitat Baseline'!$S$11:$S$258)+SUMIF('D-1 Off Site Habitat Baseline'!$G$11:$G$258,'G-2 Habitat groups'!A53,'D-1 Off Site Habitat Baseline'!$T$11:$T$258),SUMIF('D-1 Off Site Habitat Baseline'!$G$11:$G$258,'G-2 Habitat groups'!A53,'D-1 Off Site Habitat Baseline'!$H$11:$H$258))</f>
        <v>0</v>
      </c>
      <c r="T53" s="494">
        <f>SUMIF('D-1 Off Site Habitat Baseline'!$G$11:$G$258,'G-2 Habitat groups'!A53,'D-1 Off Site Habitat Baseline'!$Q$11:$Q$258)</f>
        <v>0</v>
      </c>
      <c r="U53" s="591">
        <f>SUMIF('D-1 Off Site Habitat Baseline'!$G$11:$G$258,'G-2 Habitat groups'!A53,'D-1 Off Site Habitat Baseline'!$S$11:$S$258)</f>
        <v>0</v>
      </c>
      <c r="V53" s="494">
        <f>SUMIF('D-1 Off Site Habitat Baseline'!$G$11:$G$258,'G-2 Habitat groups'!A53,'D-1 Off Site Habitat Baseline'!$U$11:$U$258)</f>
        <v>0</v>
      </c>
      <c r="W53" s="494">
        <f>SUMIF('D-2 Off Site Habitat Creation'!$F$9:$F$255,'G-2 Habitat groups'!A53,'D-2 Off Site Habitat Creation'!$G$9:$G$255)</f>
        <v>0</v>
      </c>
      <c r="X53" s="494">
        <f>SUMIF('D-2 Off Site Habitat Creation'!$F$9:$F$255,'G-2 Habitat groups'!A53,'D-2 Off Site Habitat Creation'!$AA$9:$AA$255)</f>
        <v>0</v>
      </c>
      <c r="Y53" s="494">
        <f>SUMIF('D-3 Off Site Habitat Enhancment'!$S$12:$S$491,'G-2 Habitat groups'!A53,'D-3 Off Site Habitat Enhancment'!$V$12:$V$491)</f>
        <v>0</v>
      </c>
      <c r="Z53" s="494">
        <f>SUMIF('D-3 Off Site Habitat Enhancment'!$S$12:$S$491,'G-2 Habitat groups'!A53,'D-3 Off Site Habitat Enhancment'!$AP$12:$AP$491)</f>
        <v>0</v>
      </c>
      <c r="AA53" s="494">
        <f t="shared" si="57"/>
        <v>0</v>
      </c>
      <c r="AB53" s="494">
        <f t="shared" si="58"/>
        <v>0</v>
      </c>
      <c r="AC53" s="494">
        <f t="shared" si="59"/>
        <v>0</v>
      </c>
      <c r="AD53" s="494">
        <f t="shared" si="60"/>
        <v>0</v>
      </c>
      <c r="AE53" s="494">
        <f t="shared" si="61"/>
        <v>0</v>
      </c>
      <c r="AF53" s="494">
        <f t="shared" si="62"/>
        <v>0</v>
      </c>
      <c r="AU53" s="113" t="s">
        <v>678</v>
      </c>
      <c r="AV53" s="88" t="s">
        <v>76</v>
      </c>
      <c r="AW53" s="494">
        <f t="shared" si="43"/>
        <v>0</v>
      </c>
      <c r="AX53" s="494">
        <f t="shared" si="44"/>
        <v>0</v>
      </c>
      <c r="AY53" s="494">
        <f t="shared" si="45"/>
        <v>0</v>
      </c>
      <c r="AZ53" s="494">
        <f t="shared" si="46"/>
        <v>0</v>
      </c>
      <c r="BA53" s="494">
        <f t="shared" si="47"/>
        <v>0</v>
      </c>
      <c r="BB53" s="494">
        <f t="shared" si="48"/>
        <v>0</v>
      </c>
      <c r="BC53" s="494">
        <f t="shared" si="49"/>
        <v>0</v>
      </c>
      <c r="BD53" s="494">
        <f t="shared" si="50"/>
        <v>0</v>
      </c>
      <c r="BE53" s="494">
        <f t="shared" si="51"/>
        <v>0</v>
      </c>
      <c r="BF53" s="494" t="str">
        <f t="shared" si="52"/>
        <v/>
      </c>
    </row>
    <row r="54" spans="1:58" x14ac:dyDescent="0.3">
      <c r="A54" s="104" t="str">
        <f>'G-1 All Habitats'!B53</f>
        <v>Sparsely vegetated land - Inland rock outcrop and scree habitats</v>
      </c>
      <c r="B54" s="88" t="str">
        <f>'G-1 All Habitats'!F53</f>
        <v>Sparsely vegetated land</v>
      </c>
      <c r="C54" s="88" t="str">
        <f>'G-1 All Habitats'!K53</f>
        <v>High</v>
      </c>
      <c r="D54" s="88" t="str">
        <f>'G-1 All Habitats'!M53</f>
        <v>Same habitat required =</v>
      </c>
      <c r="E54" s="494">
        <f>IF(C54="V.High",SUMIF('A-1 Site Habitat Baseline'!$G$11:$G$258,'G-2 Habitat groups'!A54,'A-1 Site Habitat Baseline'!$S$11:$S$258)+SUMIF('A-1 Site Habitat Baseline'!$G$11:$G$258,'G-2 Habitat groups'!A54,'A-1 Site Habitat Baseline'!$T$11:$T$258),SUMIF('A-1 Site Habitat Baseline'!$G$11:$G$258,'G-2 Habitat groups'!A54,'A-1 Site Habitat Baseline'!$H$11:$H$258))</f>
        <v>0</v>
      </c>
      <c r="F54" s="494">
        <f>SUMIF('A-1 Site Habitat Baseline'!$G$11:$G$258,'G-2 Habitat groups'!A54,'A-1 Site Habitat Baseline'!$Q$11:$Q$258)</f>
        <v>0</v>
      </c>
      <c r="G54" s="494">
        <f>SUMIF('A-1 Site Habitat Baseline'!$G$11:$G$258,'G-2 Habitat groups'!A54,'A-1 Site Habitat Baseline'!$S$11:$S$258)</f>
        <v>0</v>
      </c>
      <c r="H54" s="494">
        <f>SUMIF('A-1 Site Habitat Baseline'!$G$11:$G$258,'G-2 Habitat groups'!A54,'A-1 Site Habitat Baseline'!$U$11:$U$258)</f>
        <v>0</v>
      </c>
      <c r="I54" s="494">
        <f>SUMIF('A-1 Site Habitat Baseline'!$G$11:$G$258,'G-2 Habitat groups'!A54,'A-1 Site Habitat Baseline'!$W$11:$W$258)</f>
        <v>0</v>
      </c>
      <c r="J54" s="494">
        <f>SUMIF('A-1 Site Habitat Baseline'!$G$11:$G$258,'G-2 Habitat groups'!A54,'A-1 Site Habitat Baseline'!$X$11:$X$258)</f>
        <v>0</v>
      </c>
      <c r="K54" s="494">
        <f>SUMIF('A-2 Site Habitat Creation'!$F$11:$F$256,'G-2 Habitat groups'!A54,'A-2 Site Habitat Creation'!$G$11:$G$256)</f>
        <v>0</v>
      </c>
      <c r="L54" s="494">
        <f>SUMIF('A-2 Site Habitat Creation'!$F$11:$F$256,'G-2 Habitat groups'!A54,'A-2 Site Habitat Creation'!$Y$11:$Y$256)</f>
        <v>0</v>
      </c>
      <c r="M54" s="494">
        <f>SUMIF('A-3 Site Habitat Enhancement'!$S$12:$S$257,'G-2 Habitat groups'!A54,'A-3 Site Habitat Enhancement'!$V$12:$V$257)</f>
        <v>0</v>
      </c>
      <c r="N54" s="494">
        <f>SUMIF('A-3 Site Habitat Enhancement'!$S$12:$S$257,'G-2 Habitat groups'!A54,'A-3 Site Habitat Enhancement'!$AN$12:$AN$257)</f>
        <v>0</v>
      </c>
      <c r="O54" s="494">
        <f t="shared" si="53"/>
        <v>0</v>
      </c>
      <c r="P54" s="494">
        <f t="shared" si="54"/>
        <v>0</v>
      </c>
      <c r="Q54" s="494">
        <f t="shared" si="55"/>
        <v>0</v>
      </c>
      <c r="R54" s="494">
        <f t="shared" si="56"/>
        <v>0</v>
      </c>
      <c r="S54" s="494">
        <f>IF(C54="V.High",SUMIF('D-1 Off Site Habitat Baseline'!$G$11:$G$258,'G-2 Habitat groups'!A54,'D-1 Off Site Habitat Baseline'!$S$11:$S$258)+SUMIF('D-1 Off Site Habitat Baseline'!$G$11:$G$258,'G-2 Habitat groups'!A54,'D-1 Off Site Habitat Baseline'!$T$11:$T$258),SUMIF('D-1 Off Site Habitat Baseline'!$G$11:$G$258,'G-2 Habitat groups'!A54,'D-1 Off Site Habitat Baseline'!$H$11:$H$258))</f>
        <v>0</v>
      </c>
      <c r="T54" s="494">
        <f>SUMIF('D-1 Off Site Habitat Baseline'!$G$11:$G$258,'G-2 Habitat groups'!A54,'D-1 Off Site Habitat Baseline'!$Q$11:$Q$258)</f>
        <v>0</v>
      </c>
      <c r="U54" s="591">
        <f>SUMIF('D-1 Off Site Habitat Baseline'!$G$11:$G$258,'G-2 Habitat groups'!A54,'D-1 Off Site Habitat Baseline'!$S$11:$S$258)</f>
        <v>0</v>
      </c>
      <c r="V54" s="494">
        <f>SUMIF('D-1 Off Site Habitat Baseline'!$G$11:$G$258,'G-2 Habitat groups'!A54,'D-1 Off Site Habitat Baseline'!$U$11:$U$258)</f>
        <v>0</v>
      </c>
      <c r="W54" s="494">
        <f>SUMIF('D-2 Off Site Habitat Creation'!$F$9:$F$255,'G-2 Habitat groups'!A54,'D-2 Off Site Habitat Creation'!$G$9:$G$255)</f>
        <v>0</v>
      </c>
      <c r="X54" s="494">
        <f>SUMIF('D-2 Off Site Habitat Creation'!$F$9:$F$255,'G-2 Habitat groups'!A54,'D-2 Off Site Habitat Creation'!$AA$9:$AA$255)</f>
        <v>0</v>
      </c>
      <c r="Y54" s="494">
        <f>SUMIF('D-3 Off Site Habitat Enhancment'!$S$12:$S$491,'G-2 Habitat groups'!A54,'D-3 Off Site Habitat Enhancment'!$V$12:$V$491)</f>
        <v>0</v>
      </c>
      <c r="Z54" s="494">
        <f>SUMIF('D-3 Off Site Habitat Enhancment'!$S$12:$S$491,'G-2 Habitat groups'!A54,'D-3 Off Site Habitat Enhancment'!$AP$12:$AP$491)</f>
        <v>0</v>
      </c>
      <c r="AA54" s="494">
        <f t="shared" si="57"/>
        <v>0</v>
      </c>
      <c r="AB54" s="494">
        <f t="shared" si="58"/>
        <v>0</v>
      </c>
      <c r="AC54" s="494">
        <f t="shared" si="59"/>
        <v>0</v>
      </c>
      <c r="AD54" s="494">
        <f t="shared" si="60"/>
        <v>0</v>
      </c>
      <c r="AE54" s="494">
        <f t="shared" si="61"/>
        <v>0</v>
      </c>
      <c r="AF54" s="494">
        <f t="shared" si="62"/>
        <v>0</v>
      </c>
      <c r="AU54" s="113" t="s">
        <v>681</v>
      </c>
      <c r="AV54" s="88" t="s">
        <v>76</v>
      </c>
      <c r="AW54" s="494">
        <f t="shared" si="43"/>
        <v>0</v>
      </c>
      <c r="AX54" s="494">
        <f t="shared" si="44"/>
        <v>0</v>
      </c>
      <c r="AY54" s="494">
        <f t="shared" si="45"/>
        <v>0</v>
      </c>
      <c r="AZ54" s="494">
        <f t="shared" si="46"/>
        <v>0</v>
      </c>
      <c r="BA54" s="494">
        <f t="shared" si="47"/>
        <v>0</v>
      </c>
      <c r="BB54" s="494">
        <f t="shared" si="48"/>
        <v>0</v>
      </c>
      <c r="BC54" s="494">
        <f t="shared" si="49"/>
        <v>0</v>
      </c>
      <c r="BD54" s="494">
        <f t="shared" si="50"/>
        <v>0</v>
      </c>
      <c r="BE54" s="494">
        <f t="shared" si="51"/>
        <v>0</v>
      </c>
      <c r="BF54" s="494" t="str">
        <f t="shared" si="52"/>
        <v/>
      </c>
    </row>
    <row r="55" spans="1:58" x14ac:dyDescent="0.3">
      <c r="A55" s="104" t="str">
        <f>'G-1 All Habitats'!B54</f>
        <v>Sparsely vegetated land - Limestone pavement</v>
      </c>
      <c r="B55" s="88" t="str">
        <f>'G-1 All Habitats'!F54</f>
        <v>Sparsely vegetated land</v>
      </c>
      <c r="C55" s="88" t="str">
        <f>'G-1 All Habitats'!K54</f>
        <v>V.High</v>
      </c>
      <c r="D55" s="88" t="str">
        <f>'G-1 All Habitats'!M54</f>
        <v>Bespoke compensation likely to be required 🛠</v>
      </c>
      <c r="E55" s="494">
        <f>IF(C55="V.High",SUMIF('A-1 Site Habitat Baseline'!$G$11:$G$258,'G-2 Habitat groups'!A55,'A-1 Site Habitat Baseline'!$S$11:$S$258)+SUMIF('A-1 Site Habitat Baseline'!$G$11:$G$258,'G-2 Habitat groups'!A55,'A-1 Site Habitat Baseline'!$T$11:$T$258),SUMIF('A-1 Site Habitat Baseline'!$G$11:$G$258,'G-2 Habitat groups'!A55,'A-1 Site Habitat Baseline'!$H$11:$H$258))</f>
        <v>0</v>
      </c>
      <c r="F55" s="494">
        <f>SUMIF('A-1 Site Habitat Baseline'!$G$11:$G$258,'G-2 Habitat groups'!A55,'A-1 Site Habitat Baseline'!$Q$11:$Q$258)</f>
        <v>0</v>
      </c>
      <c r="G55" s="494">
        <f>SUMIF('A-1 Site Habitat Baseline'!$G$11:$G$258,'G-2 Habitat groups'!A55,'A-1 Site Habitat Baseline'!$S$11:$S$258)</f>
        <v>0</v>
      </c>
      <c r="H55" s="494">
        <f>SUMIF('A-1 Site Habitat Baseline'!$G$11:$G$258,'G-2 Habitat groups'!A55,'A-1 Site Habitat Baseline'!$U$11:$U$258)</f>
        <v>0</v>
      </c>
      <c r="I55" s="494">
        <f>SUMIF('A-1 Site Habitat Baseline'!$G$11:$G$258,'G-2 Habitat groups'!A55,'A-1 Site Habitat Baseline'!$W$11:$W$258)</f>
        <v>0</v>
      </c>
      <c r="J55" s="494">
        <f>SUMIF('A-1 Site Habitat Baseline'!$G$11:$G$258,'G-2 Habitat groups'!A55,'A-1 Site Habitat Baseline'!$X$11:$X$258)</f>
        <v>0</v>
      </c>
      <c r="K55" s="494">
        <f>SUMIF('A-2 Site Habitat Creation'!$F$11:$F$256,'G-2 Habitat groups'!A55,'A-2 Site Habitat Creation'!$G$11:$G$256)</f>
        <v>0</v>
      </c>
      <c r="L55" s="494">
        <f>SUMIF('A-2 Site Habitat Creation'!$F$11:$F$256,'G-2 Habitat groups'!A55,'A-2 Site Habitat Creation'!$Y$11:$Y$256)</f>
        <v>0</v>
      </c>
      <c r="M55" s="494">
        <f>SUMIF('A-3 Site Habitat Enhancement'!$S$12:$S$257,'G-2 Habitat groups'!A55,'A-3 Site Habitat Enhancement'!$V$12:$V$257)</f>
        <v>0</v>
      </c>
      <c r="N55" s="494">
        <f>SUMIF('A-3 Site Habitat Enhancement'!$S$12:$S$257,'G-2 Habitat groups'!A55,'A-3 Site Habitat Enhancement'!$AN$12:$AN$257)</f>
        <v>0</v>
      </c>
      <c r="O55" s="494">
        <f t="shared" si="53"/>
        <v>0</v>
      </c>
      <c r="P55" s="494">
        <f t="shared" si="54"/>
        <v>0</v>
      </c>
      <c r="Q55" s="494">
        <f t="shared" si="55"/>
        <v>0</v>
      </c>
      <c r="R55" s="494">
        <f t="shared" si="56"/>
        <v>0</v>
      </c>
      <c r="S55" s="494">
        <f>IF(C55="V.High",SUMIF('D-1 Off Site Habitat Baseline'!$G$11:$G$258,'G-2 Habitat groups'!A55,'D-1 Off Site Habitat Baseline'!$S$11:$S$258)+SUMIF('D-1 Off Site Habitat Baseline'!$G$11:$G$258,'G-2 Habitat groups'!A55,'D-1 Off Site Habitat Baseline'!$T$11:$T$258),SUMIF('D-1 Off Site Habitat Baseline'!$G$11:$G$258,'G-2 Habitat groups'!A55,'D-1 Off Site Habitat Baseline'!$H$11:$H$258))</f>
        <v>0</v>
      </c>
      <c r="T55" s="494">
        <f>SUMIF('D-1 Off Site Habitat Baseline'!$G$11:$G$258,'G-2 Habitat groups'!A55,'D-1 Off Site Habitat Baseline'!$Q$11:$Q$258)</f>
        <v>0</v>
      </c>
      <c r="U55" s="591">
        <f>SUMIF('D-1 Off Site Habitat Baseline'!$G$11:$G$258,'G-2 Habitat groups'!A55,'D-1 Off Site Habitat Baseline'!$S$11:$S$258)</f>
        <v>0</v>
      </c>
      <c r="V55" s="494">
        <f>SUMIF('D-1 Off Site Habitat Baseline'!$G$11:$G$258,'G-2 Habitat groups'!A55,'D-1 Off Site Habitat Baseline'!$U$11:$U$258)</f>
        <v>0</v>
      </c>
      <c r="W55" s="494">
        <f>SUMIF('D-2 Off Site Habitat Creation'!$F$9:$F$255,'G-2 Habitat groups'!A55,'D-2 Off Site Habitat Creation'!$G$9:$G$255)</f>
        <v>0</v>
      </c>
      <c r="X55" s="494">
        <f>SUMIF('D-2 Off Site Habitat Creation'!$F$9:$F$255,'G-2 Habitat groups'!A55,'D-2 Off Site Habitat Creation'!$AA$9:$AA$255)</f>
        <v>0</v>
      </c>
      <c r="Y55" s="494">
        <f>SUMIF('D-3 Off Site Habitat Enhancment'!$S$12:$S$491,'G-2 Habitat groups'!A55,'D-3 Off Site Habitat Enhancment'!$V$12:$V$491)</f>
        <v>0</v>
      </c>
      <c r="Z55" s="494">
        <f>SUMIF('D-3 Off Site Habitat Enhancment'!$S$12:$S$491,'G-2 Habitat groups'!A55,'D-3 Off Site Habitat Enhancment'!$AP$12:$AP$491)</f>
        <v>0</v>
      </c>
      <c r="AA55" s="494">
        <f t="shared" si="57"/>
        <v>0</v>
      </c>
      <c r="AB55" s="494">
        <f t="shared" si="58"/>
        <v>0</v>
      </c>
      <c r="AC55" s="494">
        <f t="shared" si="59"/>
        <v>0</v>
      </c>
      <c r="AD55" s="494">
        <f t="shared" si="60"/>
        <v>0</v>
      </c>
      <c r="AE55" s="494">
        <f t="shared" si="61"/>
        <v>0</v>
      </c>
      <c r="AF55" s="494">
        <f t="shared" si="62"/>
        <v>0</v>
      </c>
      <c r="AU55" s="113" t="s">
        <v>698</v>
      </c>
      <c r="AV55" s="88" t="s">
        <v>76</v>
      </c>
      <c r="AW55" s="494">
        <f t="shared" si="43"/>
        <v>0</v>
      </c>
      <c r="AX55" s="494">
        <f t="shared" si="44"/>
        <v>0</v>
      </c>
      <c r="AY55" s="494">
        <f t="shared" si="45"/>
        <v>0</v>
      </c>
      <c r="AZ55" s="494">
        <f t="shared" si="46"/>
        <v>0</v>
      </c>
      <c r="BA55" s="494">
        <f t="shared" si="47"/>
        <v>0</v>
      </c>
      <c r="BB55" s="494">
        <f t="shared" si="48"/>
        <v>0</v>
      </c>
      <c r="BC55" s="494">
        <f t="shared" si="49"/>
        <v>0</v>
      </c>
      <c r="BD55" s="494">
        <f t="shared" si="50"/>
        <v>0</v>
      </c>
      <c r="BE55" s="494">
        <f t="shared" si="51"/>
        <v>0</v>
      </c>
      <c r="BF55" s="494" t="str">
        <f t="shared" si="52"/>
        <v/>
      </c>
    </row>
    <row r="56" spans="1:58" x14ac:dyDescent="0.3">
      <c r="A56" s="104" t="str">
        <f>'G-1 All Habitats'!B55</f>
        <v>Sparsely vegetated land - Maritime cliff and slopes</v>
      </c>
      <c r="B56" s="88" t="str">
        <f>'G-1 All Habitats'!F55</f>
        <v>Sparsely vegetated land</v>
      </c>
      <c r="C56" s="88" t="str">
        <f>'G-1 All Habitats'!K55</f>
        <v>High</v>
      </c>
      <c r="D56" s="88" t="str">
        <f>'G-1 All Habitats'!M55</f>
        <v>Same habitat required =</v>
      </c>
      <c r="E56" s="494">
        <f>IF(C56="V.High",SUMIF('A-1 Site Habitat Baseline'!$G$11:$G$258,'G-2 Habitat groups'!A56,'A-1 Site Habitat Baseline'!$S$11:$S$258)+SUMIF('A-1 Site Habitat Baseline'!$G$11:$G$258,'G-2 Habitat groups'!A56,'A-1 Site Habitat Baseline'!$T$11:$T$258),SUMIF('A-1 Site Habitat Baseline'!$G$11:$G$258,'G-2 Habitat groups'!A56,'A-1 Site Habitat Baseline'!$H$11:$H$258))</f>
        <v>0</v>
      </c>
      <c r="F56" s="494">
        <f>SUMIF('A-1 Site Habitat Baseline'!$G$11:$G$258,'G-2 Habitat groups'!A56,'A-1 Site Habitat Baseline'!$Q$11:$Q$258)</f>
        <v>0</v>
      </c>
      <c r="G56" s="494">
        <f>SUMIF('A-1 Site Habitat Baseline'!$G$11:$G$258,'G-2 Habitat groups'!A56,'A-1 Site Habitat Baseline'!$S$11:$S$258)</f>
        <v>0</v>
      </c>
      <c r="H56" s="494">
        <f>SUMIF('A-1 Site Habitat Baseline'!$G$11:$G$258,'G-2 Habitat groups'!A56,'A-1 Site Habitat Baseline'!$U$11:$U$258)</f>
        <v>0</v>
      </c>
      <c r="I56" s="494">
        <f>SUMIF('A-1 Site Habitat Baseline'!$G$11:$G$258,'G-2 Habitat groups'!A56,'A-1 Site Habitat Baseline'!$W$11:$W$258)</f>
        <v>0</v>
      </c>
      <c r="J56" s="494">
        <f>SUMIF('A-1 Site Habitat Baseline'!$G$11:$G$258,'G-2 Habitat groups'!A56,'A-1 Site Habitat Baseline'!$X$11:$X$258)</f>
        <v>0</v>
      </c>
      <c r="K56" s="494">
        <f>SUMIF('A-2 Site Habitat Creation'!$F$11:$F$256,'G-2 Habitat groups'!A56,'A-2 Site Habitat Creation'!$G$11:$G$256)</f>
        <v>0</v>
      </c>
      <c r="L56" s="494">
        <f>SUMIF('A-2 Site Habitat Creation'!$F$11:$F$256,'G-2 Habitat groups'!A56,'A-2 Site Habitat Creation'!$Y$11:$Y$256)</f>
        <v>0</v>
      </c>
      <c r="M56" s="494">
        <f>SUMIF('A-3 Site Habitat Enhancement'!$S$12:$S$257,'G-2 Habitat groups'!A56,'A-3 Site Habitat Enhancement'!$V$12:$V$257)</f>
        <v>0</v>
      </c>
      <c r="N56" s="494">
        <f>SUMIF('A-3 Site Habitat Enhancement'!$S$12:$S$257,'G-2 Habitat groups'!A56,'A-3 Site Habitat Enhancement'!$AN$12:$AN$257)</f>
        <v>0</v>
      </c>
      <c r="O56" s="494">
        <f t="shared" si="53"/>
        <v>0</v>
      </c>
      <c r="P56" s="494">
        <f t="shared" si="54"/>
        <v>0</v>
      </c>
      <c r="Q56" s="494">
        <f t="shared" si="55"/>
        <v>0</v>
      </c>
      <c r="R56" s="494">
        <f t="shared" si="56"/>
        <v>0</v>
      </c>
      <c r="S56" s="494">
        <f>IF(C56="V.High",SUMIF('D-1 Off Site Habitat Baseline'!$G$11:$G$258,'G-2 Habitat groups'!A56,'D-1 Off Site Habitat Baseline'!$S$11:$S$258)+SUMIF('D-1 Off Site Habitat Baseline'!$G$11:$G$258,'G-2 Habitat groups'!A56,'D-1 Off Site Habitat Baseline'!$T$11:$T$258),SUMIF('D-1 Off Site Habitat Baseline'!$G$11:$G$258,'G-2 Habitat groups'!A56,'D-1 Off Site Habitat Baseline'!$H$11:$H$258))</f>
        <v>0</v>
      </c>
      <c r="T56" s="494">
        <f>SUMIF('D-1 Off Site Habitat Baseline'!$G$11:$G$258,'G-2 Habitat groups'!A56,'D-1 Off Site Habitat Baseline'!$Q$11:$Q$258)</f>
        <v>0</v>
      </c>
      <c r="U56" s="591">
        <f>SUMIF('D-1 Off Site Habitat Baseline'!$G$11:$G$258,'G-2 Habitat groups'!A56,'D-1 Off Site Habitat Baseline'!$S$11:$S$258)</f>
        <v>0</v>
      </c>
      <c r="V56" s="494">
        <f>SUMIF('D-1 Off Site Habitat Baseline'!$G$11:$G$258,'G-2 Habitat groups'!A56,'D-1 Off Site Habitat Baseline'!$U$11:$U$258)</f>
        <v>0</v>
      </c>
      <c r="W56" s="494">
        <f>SUMIF('D-2 Off Site Habitat Creation'!$F$9:$F$255,'G-2 Habitat groups'!A56,'D-2 Off Site Habitat Creation'!$G$9:$G$255)</f>
        <v>0</v>
      </c>
      <c r="X56" s="494">
        <f>SUMIF('D-2 Off Site Habitat Creation'!$F$9:$F$255,'G-2 Habitat groups'!A56,'D-2 Off Site Habitat Creation'!$AA$9:$AA$255)</f>
        <v>0</v>
      </c>
      <c r="Y56" s="494">
        <f>SUMIF('D-3 Off Site Habitat Enhancment'!$S$12:$S$491,'G-2 Habitat groups'!A56,'D-3 Off Site Habitat Enhancment'!$V$12:$V$491)</f>
        <v>0</v>
      </c>
      <c r="Z56" s="494">
        <f>SUMIF('D-3 Off Site Habitat Enhancment'!$S$12:$S$491,'G-2 Habitat groups'!A56,'D-3 Off Site Habitat Enhancment'!$AP$12:$AP$491)</f>
        <v>0</v>
      </c>
      <c r="AA56" s="494">
        <f t="shared" si="57"/>
        <v>0</v>
      </c>
      <c r="AB56" s="494">
        <f t="shared" si="58"/>
        <v>0</v>
      </c>
      <c r="AC56" s="494">
        <f t="shared" si="59"/>
        <v>0</v>
      </c>
      <c r="AD56" s="494">
        <f t="shared" si="60"/>
        <v>0</v>
      </c>
      <c r="AE56" s="494">
        <f t="shared" si="61"/>
        <v>0</v>
      </c>
      <c r="AF56" s="494">
        <f t="shared" si="62"/>
        <v>0</v>
      </c>
      <c r="AU56" s="113" t="s">
        <v>701</v>
      </c>
      <c r="AV56" s="88" t="s">
        <v>76</v>
      </c>
      <c r="AW56" s="494">
        <f t="shared" si="43"/>
        <v>0</v>
      </c>
      <c r="AX56" s="494">
        <f t="shared" si="44"/>
        <v>0</v>
      </c>
      <c r="AY56" s="494">
        <f t="shared" si="45"/>
        <v>0</v>
      </c>
      <c r="AZ56" s="494">
        <f t="shared" si="46"/>
        <v>0</v>
      </c>
      <c r="BA56" s="494">
        <f t="shared" si="47"/>
        <v>0</v>
      </c>
      <c r="BB56" s="494">
        <f t="shared" si="48"/>
        <v>0</v>
      </c>
      <c r="BC56" s="494">
        <f t="shared" si="49"/>
        <v>0</v>
      </c>
      <c r="BD56" s="494">
        <f t="shared" si="50"/>
        <v>0</v>
      </c>
      <c r="BE56" s="494">
        <f t="shared" si="51"/>
        <v>0</v>
      </c>
      <c r="BF56" s="494" t="str">
        <f t="shared" si="52"/>
        <v/>
      </c>
    </row>
    <row r="57" spans="1:58" x14ac:dyDescent="0.3">
      <c r="A57" s="104" t="str">
        <f>'G-1 All Habitats'!B56</f>
        <v>Sparsely vegetated land - Other inland rock and scree</v>
      </c>
      <c r="B57" s="88" t="str">
        <f>'G-1 All Habitats'!F56</f>
        <v>Sparsely vegetated land</v>
      </c>
      <c r="C57" s="88" t="str">
        <f>'G-1 All Habitats'!K56</f>
        <v>Medium</v>
      </c>
      <c r="D57" s="88" t="str">
        <f>'G-1 All Habitats'!M56</f>
        <v>Same broad habitat or a higher distinctiveness habitat required (≥)</v>
      </c>
      <c r="E57" s="494">
        <f>IF(C57="V.High",SUMIF('A-1 Site Habitat Baseline'!$G$11:$G$258,'G-2 Habitat groups'!A57,'A-1 Site Habitat Baseline'!$S$11:$S$258)+SUMIF('A-1 Site Habitat Baseline'!$G$11:$G$258,'G-2 Habitat groups'!A57,'A-1 Site Habitat Baseline'!$T$11:$T$258),SUMIF('A-1 Site Habitat Baseline'!$G$11:$G$258,'G-2 Habitat groups'!A57,'A-1 Site Habitat Baseline'!$H$11:$H$258))</f>
        <v>0</v>
      </c>
      <c r="F57" s="494">
        <f>SUMIF('A-1 Site Habitat Baseline'!$G$11:$G$258,'G-2 Habitat groups'!A57,'A-1 Site Habitat Baseline'!$Q$11:$Q$258)</f>
        <v>0</v>
      </c>
      <c r="G57" s="494">
        <f>SUMIF('A-1 Site Habitat Baseline'!$G$11:$G$258,'G-2 Habitat groups'!A57,'A-1 Site Habitat Baseline'!$S$11:$S$258)</f>
        <v>0</v>
      </c>
      <c r="H57" s="494">
        <f>SUMIF('A-1 Site Habitat Baseline'!$G$11:$G$258,'G-2 Habitat groups'!A57,'A-1 Site Habitat Baseline'!$U$11:$U$258)</f>
        <v>0</v>
      </c>
      <c r="I57" s="494">
        <f>SUMIF('A-1 Site Habitat Baseline'!$G$11:$G$258,'G-2 Habitat groups'!A57,'A-1 Site Habitat Baseline'!$W$11:$W$258)</f>
        <v>0</v>
      </c>
      <c r="J57" s="494">
        <f>SUMIF('A-1 Site Habitat Baseline'!$G$11:$G$258,'G-2 Habitat groups'!A57,'A-1 Site Habitat Baseline'!$X$11:$X$258)</f>
        <v>0</v>
      </c>
      <c r="K57" s="494">
        <f>SUMIF('A-2 Site Habitat Creation'!$F$11:$F$256,'G-2 Habitat groups'!A57,'A-2 Site Habitat Creation'!$G$11:$G$256)</f>
        <v>0</v>
      </c>
      <c r="L57" s="494">
        <f>SUMIF('A-2 Site Habitat Creation'!$F$11:$F$256,'G-2 Habitat groups'!A57,'A-2 Site Habitat Creation'!$Y$11:$Y$256)</f>
        <v>0</v>
      </c>
      <c r="M57" s="494">
        <f>SUMIF('A-3 Site Habitat Enhancement'!$S$12:$S$257,'G-2 Habitat groups'!A57,'A-3 Site Habitat Enhancement'!$V$12:$V$257)</f>
        <v>0</v>
      </c>
      <c r="N57" s="494">
        <f>SUMIF('A-3 Site Habitat Enhancement'!$S$12:$S$257,'G-2 Habitat groups'!A57,'A-3 Site Habitat Enhancement'!$AN$12:$AN$257)</f>
        <v>0</v>
      </c>
      <c r="O57" s="494">
        <f t="shared" si="53"/>
        <v>0</v>
      </c>
      <c r="P57" s="494">
        <f t="shared" si="54"/>
        <v>0</v>
      </c>
      <c r="Q57" s="494">
        <f t="shared" si="55"/>
        <v>0</v>
      </c>
      <c r="R57" s="494">
        <f t="shared" si="56"/>
        <v>0</v>
      </c>
      <c r="S57" s="494">
        <f>IF(C57="V.High",SUMIF('D-1 Off Site Habitat Baseline'!$G$11:$G$258,'G-2 Habitat groups'!A57,'D-1 Off Site Habitat Baseline'!$S$11:$S$258)+SUMIF('D-1 Off Site Habitat Baseline'!$G$11:$G$258,'G-2 Habitat groups'!A57,'D-1 Off Site Habitat Baseline'!$T$11:$T$258),SUMIF('D-1 Off Site Habitat Baseline'!$G$11:$G$258,'G-2 Habitat groups'!A57,'D-1 Off Site Habitat Baseline'!$H$11:$H$258))</f>
        <v>0</v>
      </c>
      <c r="T57" s="494">
        <f>SUMIF('D-1 Off Site Habitat Baseline'!$G$11:$G$258,'G-2 Habitat groups'!A57,'D-1 Off Site Habitat Baseline'!$Q$11:$Q$258)</f>
        <v>0</v>
      </c>
      <c r="U57" s="591">
        <f>SUMIF('D-1 Off Site Habitat Baseline'!$G$11:$G$258,'G-2 Habitat groups'!A57,'D-1 Off Site Habitat Baseline'!$S$11:$S$258)</f>
        <v>0</v>
      </c>
      <c r="V57" s="494">
        <f>SUMIF('D-1 Off Site Habitat Baseline'!$G$11:$G$258,'G-2 Habitat groups'!A57,'D-1 Off Site Habitat Baseline'!$U$11:$U$258)</f>
        <v>0</v>
      </c>
      <c r="W57" s="494">
        <f>SUMIF('D-2 Off Site Habitat Creation'!$F$9:$F$255,'G-2 Habitat groups'!A57,'D-2 Off Site Habitat Creation'!$G$9:$G$255)</f>
        <v>0</v>
      </c>
      <c r="X57" s="494">
        <f>SUMIF('D-2 Off Site Habitat Creation'!$F$9:$F$255,'G-2 Habitat groups'!A57,'D-2 Off Site Habitat Creation'!$AA$9:$AA$255)</f>
        <v>0</v>
      </c>
      <c r="Y57" s="494">
        <f>SUMIF('D-3 Off Site Habitat Enhancment'!$S$12:$S$491,'G-2 Habitat groups'!A57,'D-3 Off Site Habitat Enhancment'!$V$12:$V$491)</f>
        <v>0</v>
      </c>
      <c r="Z57" s="494">
        <f>SUMIF('D-3 Off Site Habitat Enhancment'!$S$12:$S$491,'G-2 Habitat groups'!A57,'D-3 Off Site Habitat Enhancment'!$AP$12:$AP$491)</f>
        <v>0</v>
      </c>
      <c r="AA57" s="494">
        <f t="shared" si="57"/>
        <v>0</v>
      </c>
      <c r="AB57" s="494">
        <f t="shared" si="58"/>
        <v>0</v>
      </c>
      <c r="AC57" s="494">
        <f t="shared" si="59"/>
        <v>0</v>
      </c>
      <c r="AD57" s="494">
        <f t="shared" si="60"/>
        <v>0</v>
      </c>
      <c r="AE57" s="494">
        <f t="shared" si="61"/>
        <v>0</v>
      </c>
      <c r="AF57" s="494">
        <f t="shared" si="62"/>
        <v>0</v>
      </c>
      <c r="AU57" s="113" t="s">
        <v>704</v>
      </c>
      <c r="AV57" s="88" t="s">
        <v>76</v>
      </c>
      <c r="AW57" s="494">
        <f t="shared" si="43"/>
        <v>0</v>
      </c>
      <c r="AX57" s="494">
        <f t="shared" si="44"/>
        <v>0</v>
      </c>
      <c r="AY57" s="494">
        <f t="shared" si="45"/>
        <v>0</v>
      </c>
      <c r="AZ57" s="494">
        <f t="shared" si="46"/>
        <v>0</v>
      </c>
      <c r="BA57" s="494">
        <f t="shared" si="47"/>
        <v>0</v>
      </c>
      <c r="BB57" s="494">
        <f t="shared" si="48"/>
        <v>0</v>
      </c>
      <c r="BC57" s="494">
        <f t="shared" si="49"/>
        <v>0</v>
      </c>
      <c r="BD57" s="494">
        <f t="shared" si="50"/>
        <v>0</v>
      </c>
      <c r="BE57" s="494">
        <f t="shared" si="51"/>
        <v>0</v>
      </c>
      <c r="BF57" s="494" t="str">
        <f t="shared" si="52"/>
        <v/>
      </c>
    </row>
    <row r="58" spans="1:58" x14ac:dyDescent="0.3">
      <c r="A58" s="104" t="str">
        <f>'G-1 All Habitats'!B57</f>
        <v>Urban - Allotments</v>
      </c>
      <c r="B58" s="88" t="str">
        <f>'G-1 All Habitats'!F57</f>
        <v>Urban</v>
      </c>
      <c r="C58" s="88" t="str">
        <f>'G-1 All Habitats'!K57</f>
        <v>Low</v>
      </c>
      <c r="D58" s="88" t="str">
        <f>'G-1 All Habitats'!M57</f>
        <v>Same distinctiveness or better habitat required ≥</v>
      </c>
      <c r="E58" s="494">
        <f>IF(C58="V.High",SUMIF('A-1 Site Habitat Baseline'!$G$11:$G$258,'G-2 Habitat groups'!A58,'A-1 Site Habitat Baseline'!$S$11:$S$258)+SUMIF('A-1 Site Habitat Baseline'!$G$11:$G$258,'G-2 Habitat groups'!A58,'A-1 Site Habitat Baseline'!$T$11:$T$258),SUMIF('A-1 Site Habitat Baseline'!$G$11:$G$258,'G-2 Habitat groups'!A58,'A-1 Site Habitat Baseline'!$H$11:$H$258))</f>
        <v>0</v>
      </c>
      <c r="F58" s="494">
        <f>SUMIF('A-1 Site Habitat Baseline'!$G$11:$G$258,'G-2 Habitat groups'!A58,'A-1 Site Habitat Baseline'!$Q$11:$Q$258)</f>
        <v>0</v>
      </c>
      <c r="G58" s="494">
        <f>SUMIF('A-1 Site Habitat Baseline'!$G$11:$G$258,'G-2 Habitat groups'!A58,'A-1 Site Habitat Baseline'!$S$11:$S$258)</f>
        <v>0</v>
      </c>
      <c r="H58" s="494">
        <f>SUMIF('A-1 Site Habitat Baseline'!$G$11:$G$258,'G-2 Habitat groups'!A58,'A-1 Site Habitat Baseline'!$U$11:$U$258)</f>
        <v>0</v>
      </c>
      <c r="I58" s="494">
        <f>SUMIF('A-1 Site Habitat Baseline'!$G$11:$G$258,'G-2 Habitat groups'!A58,'A-1 Site Habitat Baseline'!$W$11:$W$258)</f>
        <v>0</v>
      </c>
      <c r="J58" s="494">
        <f>SUMIF('A-1 Site Habitat Baseline'!$G$11:$G$258,'G-2 Habitat groups'!A58,'A-1 Site Habitat Baseline'!$X$11:$X$258)</f>
        <v>0</v>
      </c>
      <c r="K58" s="494">
        <f>SUMIF('A-2 Site Habitat Creation'!$F$11:$F$256,'G-2 Habitat groups'!A58,'A-2 Site Habitat Creation'!$G$11:$G$256)</f>
        <v>0</v>
      </c>
      <c r="L58" s="494">
        <f>SUMIF('A-2 Site Habitat Creation'!$F$11:$F$256,'G-2 Habitat groups'!A58,'A-2 Site Habitat Creation'!$Y$11:$Y$256)</f>
        <v>0</v>
      </c>
      <c r="M58" s="494">
        <f>SUMIF('A-3 Site Habitat Enhancement'!$S$12:$S$257,'G-2 Habitat groups'!A58,'A-3 Site Habitat Enhancement'!$V$12:$V$257)</f>
        <v>0</v>
      </c>
      <c r="N58" s="494">
        <f>SUMIF('A-3 Site Habitat Enhancement'!$S$12:$S$257,'G-2 Habitat groups'!A58,'A-3 Site Habitat Enhancement'!$AN$12:$AN$257)</f>
        <v>0</v>
      </c>
      <c r="O58" s="494">
        <f t="shared" si="53"/>
        <v>0</v>
      </c>
      <c r="P58" s="494">
        <f t="shared" si="54"/>
        <v>0</v>
      </c>
      <c r="Q58" s="494">
        <f t="shared" si="55"/>
        <v>0</v>
      </c>
      <c r="R58" s="494">
        <f t="shared" si="56"/>
        <v>0</v>
      </c>
      <c r="S58" s="494">
        <f>IF(C58="V.High",SUMIF('D-1 Off Site Habitat Baseline'!$G$11:$G$258,'G-2 Habitat groups'!A58,'D-1 Off Site Habitat Baseline'!$S$11:$S$258)+SUMIF('D-1 Off Site Habitat Baseline'!$G$11:$G$258,'G-2 Habitat groups'!A58,'D-1 Off Site Habitat Baseline'!$T$11:$T$258),SUMIF('D-1 Off Site Habitat Baseline'!$G$11:$G$258,'G-2 Habitat groups'!A58,'D-1 Off Site Habitat Baseline'!$H$11:$H$258))</f>
        <v>0</v>
      </c>
      <c r="T58" s="494">
        <f>SUMIF('D-1 Off Site Habitat Baseline'!$G$11:$G$258,'G-2 Habitat groups'!A58,'D-1 Off Site Habitat Baseline'!$Q$11:$Q$258)</f>
        <v>0</v>
      </c>
      <c r="U58" s="591">
        <f>SUMIF('D-1 Off Site Habitat Baseline'!$G$11:$G$258,'G-2 Habitat groups'!A58,'D-1 Off Site Habitat Baseline'!$S$11:$S$258)</f>
        <v>0</v>
      </c>
      <c r="V58" s="494">
        <f>SUMIF('D-1 Off Site Habitat Baseline'!$G$11:$G$258,'G-2 Habitat groups'!A58,'D-1 Off Site Habitat Baseline'!$U$11:$U$258)</f>
        <v>0</v>
      </c>
      <c r="W58" s="494">
        <f>SUMIF('D-2 Off Site Habitat Creation'!$F$9:$F$255,'G-2 Habitat groups'!A58,'D-2 Off Site Habitat Creation'!$G$9:$G$255)</f>
        <v>0</v>
      </c>
      <c r="X58" s="494">
        <f>SUMIF('D-2 Off Site Habitat Creation'!$F$9:$F$255,'G-2 Habitat groups'!A58,'D-2 Off Site Habitat Creation'!$AA$9:$AA$255)</f>
        <v>0</v>
      </c>
      <c r="Y58" s="494">
        <f>SUMIF('D-3 Off Site Habitat Enhancment'!$S$12:$S$491,'G-2 Habitat groups'!A58,'D-3 Off Site Habitat Enhancment'!$V$12:$V$491)</f>
        <v>0</v>
      </c>
      <c r="Z58" s="494">
        <f>SUMIF('D-3 Off Site Habitat Enhancment'!$S$12:$S$491,'G-2 Habitat groups'!A58,'D-3 Off Site Habitat Enhancment'!$AP$12:$AP$491)</f>
        <v>0</v>
      </c>
      <c r="AA58" s="494">
        <f t="shared" si="57"/>
        <v>0</v>
      </c>
      <c r="AB58" s="494">
        <f t="shared" si="58"/>
        <v>0</v>
      </c>
      <c r="AC58" s="494">
        <f t="shared" si="59"/>
        <v>0</v>
      </c>
      <c r="AD58" s="494">
        <f t="shared" si="60"/>
        <v>0</v>
      </c>
      <c r="AE58" s="494">
        <f t="shared" si="61"/>
        <v>0</v>
      </c>
      <c r="AF58" s="494">
        <f t="shared" si="62"/>
        <v>0</v>
      </c>
      <c r="AU58" s="113" t="s">
        <v>709</v>
      </c>
      <c r="AV58" s="88" t="s">
        <v>76</v>
      </c>
      <c r="AW58" s="494">
        <f t="shared" si="43"/>
        <v>0</v>
      </c>
      <c r="AX58" s="494">
        <f t="shared" si="44"/>
        <v>0</v>
      </c>
      <c r="AY58" s="494">
        <f t="shared" si="45"/>
        <v>0</v>
      </c>
      <c r="AZ58" s="494">
        <f t="shared" si="46"/>
        <v>0</v>
      </c>
      <c r="BA58" s="494">
        <f t="shared" si="47"/>
        <v>0</v>
      </c>
      <c r="BB58" s="494">
        <f t="shared" si="48"/>
        <v>0</v>
      </c>
      <c r="BC58" s="494">
        <f t="shared" si="49"/>
        <v>0</v>
      </c>
      <c r="BD58" s="494">
        <f t="shared" si="50"/>
        <v>0</v>
      </c>
      <c r="BE58" s="494">
        <f t="shared" si="51"/>
        <v>0</v>
      </c>
      <c r="BF58" s="494" t="str">
        <f t="shared" si="52"/>
        <v/>
      </c>
    </row>
    <row r="59" spans="1:58" x14ac:dyDescent="0.3">
      <c r="A59" s="104" t="str">
        <f>'G-1 All Habitats'!B58</f>
        <v>Urban - Artificial unvegetated, unsealed surface</v>
      </c>
      <c r="B59" s="88" t="str">
        <f>'G-1 All Habitats'!F58</f>
        <v>Urban</v>
      </c>
      <c r="C59" s="88" t="str">
        <f>'G-1 All Habitats'!K58</f>
        <v>V.Low</v>
      </c>
      <c r="D59" s="88" t="str">
        <f>'G-1 All Habitats'!M58</f>
        <v>Compensation Not Required</v>
      </c>
      <c r="E59" s="494">
        <f>IF(C59="V.High",SUMIF('A-1 Site Habitat Baseline'!$G$11:$G$258,'G-2 Habitat groups'!A59,'A-1 Site Habitat Baseline'!$S$11:$S$258)+SUMIF('A-1 Site Habitat Baseline'!$G$11:$G$258,'G-2 Habitat groups'!A59,'A-1 Site Habitat Baseline'!$T$11:$T$258),SUMIF('A-1 Site Habitat Baseline'!$G$11:$G$258,'G-2 Habitat groups'!A59,'A-1 Site Habitat Baseline'!$H$11:$H$258))</f>
        <v>0</v>
      </c>
      <c r="F59" s="494">
        <f>SUMIF('A-1 Site Habitat Baseline'!$G$11:$G$258,'G-2 Habitat groups'!A59,'A-1 Site Habitat Baseline'!$Q$11:$Q$258)</f>
        <v>0</v>
      </c>
      <c r="G59" s="494">
        <f>SUMIF('A-1 Site Habitat Baseline'!$G$11:$G$258,'G-2 Habitat groups'!A59,'A-1 Site Habitat Baseline'!$S$11:$S$258)</f>
        <v>0</v>
      </c>
      <c r="H59" s="494">
        <f>SUMIF('A-1 Site Habitat Baseline'!$G$11:$G$258,'G-2 Habitat groups'!A59,'A-1 Site Habitat Baseline'!$U$11:$U$258)</f>
        <v>0</v>
      </c>
      <c r="I59" s="494">
        <f>SUMIF('A-1 Site Habitat Baseline'!$G$11:$G$258,'G-2 Habitat groups'!A59,'A-1 Site Habitat Baseline'!$W$11:$W$258)</f>
        <v>0</v>
      </c>
      <c r="J59" s="494">
        <f>SUMIF('A-1 Site Habitat Baseline'!$G$11:$G$258,'G-2 Habitat groups'!A59,'A-1 Site Habitat Baseline'!$X$11:$X$258)</f>
        <v>0</v>
      </c>
      <c r="K59" s="494">
        <f>SUMIF('A-2 Site Habitat Creation'!$F$11:$F$256,'G-2 Habitat groups'!A59,'A-2 Site Habitat Creation'!$G$11:$G$256)</f>
        <v>0</v>
      </c>
      <c r="L59" s="494">
        <f>SUMIF('A-2 Site Habitat Creation'!$F$11:$F$256,'G-2 Habitat groups'!A59,'A-2 Site Habitat Creation'!$Y$11:$Y$256)</f>
        <v>0</v>
      </c>
      <c r="M59" s="494">
        <f>SUMIF('A-3 Site Habitat Enhancement'!$S$12:$S$257,'G-2 Habitat groups'!A59,'A-3 Site Habitat Enhancement'!$V$12:$V$257)</f>
        <v>0</v>
      </c>
      <c r="N59" s="494">
        <f>SUMIF('A-3 Site Habitat Enhancement'!$S$12:$S$257,'G-2 Habitat groups'!A59,'A-3 Site Habitat Enhancement'!$AN$12:$AN$257)</f>
        <v>0</v>
      </c>
      <c r="O59" s="494">
        <f t="shared" si="53"/>
        <v>0</v>
      </c>
      <c r="P59" s="494">
        <f t="shared" si="54"/>
        <v>0</v>
      </c>
      <c r="Q59" s="494">
        <f t="shared" si="55"/>
        <v>0</v>
      </c>
      <c r="R59" s="494">
        <f t="shared" si="56"/>
        <v>0</v>
      </c>
      <c r="S59" s="494">
        <f>IF(C59="V.High",SUMIF('D-1 Off Site Habitat Baseline'!$G$11:$G$258,'G-2 Habitat groups'!A59,'D-1 Off Site Habitat Baseline'!$S$11:$S$258)+SUMIF('D-1 Off Site Habitat Baseline'!$G$11:$G$258,'G-2 Habitat groups'!A59,'D-1 Off Site Habitat Baseline'!$T$11:$T$258),SUMIF('D-1 Off Site Habitat Baseline'!$G$11:$G$258,'G-2 Habitat groups'!A59,'D-1 Off Site Habitat Baseline'!$H$11:$H$258))</f>
        <v>0</v>
      </c>
      <c r="T59" s="494">
        <f>SUMIF('D-1 Off Site Habitat Baseline'!$G$11:$G$258,'G-2 Habitat groups'!A59,'D-1 Off Site Habitat Baseline'!$Q$11:$Q$258)</f>
        <v>0</v>
      </c>
      <c r="U59" s="591">
        <f>SUMIF('D-1 Off Site Habitat Baseline'!$G$11:$G$258,'G-2 Habitat groups'!A59,'D-1 Off Site Habitat Baseline'!$S$11:$S$258)</f>
        <v>0</v>
      </c>
      <c r="V59" s="494">
        <f>SUMIF('D-1 Off Site Habitat Baseline'!$G$11:$G$258,'G-2 Habitat groups'!A59,'D-1 Off Site Habitat Baseline'!$U$11:$U$258)</f>
        <v>0</v>
      </c>
      <c r="W59" s="494">
        <f>SUMIF('D-2 Off Site Habitat Creation'!$F$9:$F$255,'G-2 Habitat groups'!A59,'D-2 Off Site Habitat Creation'!$G$9:$G$255)</f>
        <v>0</v>
      </c>
      <c r="X59" s="494">
        <f>SUMIF('D-2 Off Site Habitat Creation'!$F$9:$F$255,'G-2 Habitat groups'!A59,'D-2 Off Site Habitat Creation'!$AA$9:$AA$255)</f>
        <v>0</v>
      </c>
      <c r="Y59" s="494">
        <f>SUMIF('D-3 Off Site Habitat Enhancment'!$S$12:$S$491,'G-2 Habitat groups'!A59,'D-3 Off Site Habitat Enhancment'!$V$12:$V$491)</f>
        <v>0</v>
      </c>
      <c r="Z59" s="494">
        <f>SUMIF('D-3 Off Site Habitat Enhancment'!$S$12:$S$491,'G-2 Habitat groups'!A59,'D-3 Off Site Habitat Enhancment'!$AP$12:$AP$491)</f>
        <v>0</v>
      </c>
      <c r="AA59" s="494">
        <f t="shared" si="57"/>
        <v>0</v>
      </c>
      <c r="AB59" s="494">
        <f t="shared" si="58"/>
        <v>0</v>
      </c>
      <c r="AC59" s="494">
        <f t="shared" si="59"/>
        <v>0</v>
      </c>
      <c r="AD59" s="494">
        <f t="shared" si="60"/>
        <v>0</v>
      </c>
      <c r="AE59" s="494">
        <f t="shared" si="61"/>
        <v>0</v>
      </c>
      <c r="AF59" s="494">
        <f t="shared" si="62"/>
        <v>0</v>
      </c>
      <c r="AU59" s="113" t="s">
        <v>713</v>
      </c>
      <c r="AV59" s="88" t="s">
        <v>80</v>
      </c>
      <c r="AW59" s="494">
        <f t="shared" si="43"/>
        <v>0</v>
      </c>
      <c r="AX59" s="494">
        <f t="shared" si="44"/>
        <v>0</v>
      </c>
      <c r="AY59" s="494">
        <f t="shared" si="45"/>
        <v>0</v>
      </c>
      <c r="AZ59" s="494">
        <f t="shared" si="46"/>
        <v>0</v>
      </c>
      <c r="BA59" s="494">
        <f t="shared" si="47"/>
        <v>0</v>
      </c>
      <c r="BB59" s="494">
        <f t="shared" si="48"/>
        <v>0</v>
      </c>
      <c r="BC59" s="494">
        <f t="shared" si="49"/>
        <v>0</v>
      </c>
      <c r="BD59" s="494">
        <f t="shared" si="50"/>
        <v>0</v>
      </c>
      <c r="BE59" s="494">
        <f t="shared" si="51"/>
        <v>0</v>
      </c>
      <c r="BF59" s="494" t="str">
        <f t="shared" si="52"/>
        <v/>
      </c>
    </row>
    <row r="60" spans="1:58" x14ac:dyDescent="0.3">
      <c r="A60" s="104" t="str">
        <f>'G-1 All Habitats'!B59</f>
        <v>Urban - Bioswale</v>
      </c>
      <c r="B60" s="88" t="str">
        <f>'G-1 All Habitats'!F59</f>
        <v>Urban</v>
      </c>
      <c r="C60" s="88" t="str">
        <f>'G-1 All Habitats'!K59</f>
        <v>Low</v>
      </c>
      <c r="D60" s="88" t="str">
        <f>'G-1 All Habitats'!M59</f>
        <v>Same distinctiveness or better habitat required ≥</v>
      </c>
      <c r="E60" s="494">
        <f>IF(C60="V.High",SUMIF('A-1 Site Habitat Baseline'!$G$11:$G$258,'G-2 Habitat groups'!A60,'A-1 Site Habitat Baseline'!$S$11:$S$258)+SUMIF('A-1 Site Habitat Baseline'!$G$11:$G$258,'G-2 Habitat groups'!A60,'A-1 Site Habitat Baseline'!$T$11:$T$258),SUMIF('A-1 Site Habitat Baseline'!$G$11:$G$258,'G-2 Habitat groups'!A60,'A-1 Site Habitat Baseline'!$H$11:$H$258))</f>
        <v>0</v>
      </c>
      <c r="F60" s="494">
        <f>SUMIF('A-1 Site Habitat Baseline'!$G$11:$G$258,'G-2 Habitat groups'!A60,'A-1 Site Habitat Baseline'!$Q$11:$Q$258)</f>
        <v>0</v>
      </c>
      <c r="G60" s="494">
        <f>SUMIF('A-1 Site Habitat Baseline'!$G$11:$G$258,'G-2 Habitat groups'!A60,'A-1 Site Habitat Baseline'!$S$11:$S$258)</f>
        <v>0</v>
      </c>
      <c r="H60" s="494">
        <f>SUMIF('A-1 Site Habitat Baseline'!$G$11:$G$258,'G-2 Habitat groups'!A60,'A-1 Site Habitat Baseline'!$U$11:$U$258)</f>
        <v>0</v>
      </c>
      <c r="I60" s="494">
        <f>SUMIF('A-1 Site Habitat Baseline'!$G$11:$G$258,'G-2 Habitat groups'!A60,'A-1 Site Habitat Baseline'!$W$11:$W$258)</f>
        <v>0</v>
      </c>
      <c r="J60" s="494">
        <f>SUMIF('A-1 Site Habitat Baseline'!$G$11:$G$258,'G-2 Habitat groups'!A60,'A-1 Site Habitat Baseline'!$X$11:$X$258)</f>
        <v>0</v>
      </c>
      <c r="K60" s="494">
        <f>SUMIF('A-2 Site Habitat Creation'!$F$11:$F$256,'G-2 Habitat groups'!A60,'A-2 Site Habitat Creation'!$G$11:$G$256)</f>
        <v>0</v>
      </c>
      <c r="L60" s="494">
        <f>SUMIF('A-2 Site Habitat Creation'!$F$11:$F$256,'G-2 Habitat groups'!A60,'A-2 Site Habitat Creation'!$Y$11:$Y$256)</f>
        <v>0</v>
      </c>
      <c r="M60" s="494">
        <f>SUMIF('A-3 Site Habitat Enhancement'!$S$12:$S$257,'G-2 Habitat groups'!A60,'A-3 Site Habitat Enhancement'!$V$12:$V$257)</f>
        <v>0</v>
      </c>
      <c r="N60" s="494">
        <f>SUMIF('A-3 Site Habitat Enhancement'!$S$12:$S$257,'G-2 Habitat groups'!A60,'A-3 Site Habitat Enhancement'!$AN$12:$AN$257)</f>
        <v>0</v>
      </c>
      <c r="O60" s="494">
        <f t="shared" si="53"/>
        <v>0</v>
      </c>
      <c r="P60" s="494">
        <f t="shared" si="54"/>
        <v>0</v>
      </c>
      <c r="Q60" s="494">
        <f t="shared" si="55"/>
        <v>0</v>
      </c>
      <c r="R60" s="494">
        <f t="shared" si="56"/>
        <v>0</v>
      </c>
      <c r="S60" s="494">
        <f>IF(C60="V.High",SUMIF('D-1 Off Site Habitat Baseline'!$G$11:$G$258,'G-2 Habitat groups'!A60,'D-1 Off Site Habitat Baseline'!$S$11:$S$258)+SUMIF('D-1 Off Site Habitat Baseline'!$G$11:$G$258,'G-2 Habitat groups'!A60,'D-1 Off Site Habitat Baseline'!$T$11:$T$258),SUMIF('D-1 Off Site Habitat Baseline'!$G$11:$G$258,'G-2 Habitat groups'!A60,'D-1 Off Site Habitat Baseline'!$H$11:$H$258))</f>
        <v>0</v>
      </c>
      <c r="T60" s="494">
        <f>SUMIF('D-1 Off Site Habitat Baseline'!$G$11:$G$258,'G-2 Habitat groups'!A60,'D-1 Off Site Habitat Baseline'!$Q$11:$Q$258)</f>
        <v>0</v>
      </c>
      <c r="U60" s="591">
        <f>SUMIF('D-1 Off Site Habitat Baseline'!$G$11:$G$258,'G-2 Habitat groups'!A60,'D-1 Off Site Habitat Baseline'!$S$11:$S$258)</f>
        <v>0</v>
      </c>
      <c r="V60" s="494">
        <f>SUMIF('D-1 Off Site Habitat Baseline'!$G$11:$G$258,'G-2 Habitat groups'!A60,'D-1 Off Site Habitat Baseline'!$U$11:$U$258)</f>
        <v>0</v>
      </c>
      <c r="W60" s="494">
        <f>SUMIF('D-2 Off Site Habitat Creation'!$F$9:$F$255,'G-2 Habitat groups'!A60,'D-2 Off Site Habitat Creation'!$G$9:$G$255)</f>
        <v>0</v>
      </c>
      <c r="X60" s="494">
        <f>SUMIF('D-2 Off Site Habitat Creation'!$F$9:$F$255,'G-2 Habitat groups'!A60,'D-2 Off Site Habitat Creation'!$AA$9:$AA$255)</f>
        <v>0</v>
      </c>
      <c r="Y60" s="494">
        <f>SUMIF('D-3 Off Site Habitat Enhancment'!$S$12:$S$491,'G-2 Habitat groups'!A60,'D-3 Off Site Habitat Enhancment'!$V$12:$V$491)</f>
        <v>0</v>
      </c>
      <c r="Z60" s="494">
        <f>SUMIF('D-3 Off Site Habitat Enhancment'!$S$12:$S$491,'G-2 Habitat groups'!A60,'D-3 Off Site Habitat Enhancment'!$AP$12:$AP$491)</f>
        <v>0</v>
      </c>
      <c r="AA60" s="494">
        <f t="shared" si="57"/>
        <v>0</v>
      </c>
      <c r="AB60" s="494">
        <f t="shared" si="58"/>
        <v>0</v>
      </c>
      <c r="AC60" s="494">
        <f t="shared" si="59"/>
        <v>0</v>
      </c>
      <c r="AD60" s="494">
        <f t="shared" si="60"/>
        <v>0</v>
      </c>
      <c r="AE60" s="494">
        <f t="shared" si="61"/>
        <v>0</v>
      </c>
      <c r="AF60" s="494">
        <f t="shared" si="62"/>
        <v>0</v>
      </c>
      <c r="AU60" s="118" t="s">
        <v>718</v>
      </c>
      <c r="AV60" s="88" t="s">
        <v>866</v>
      </c>
      <c r="AW60" s="494">
        <f t="shared" si="43"/>
        <v>0</v>
      </c>
      <c r="AX60" s="494">
        <f t="shared" si="44"/>
        <v>0</v>
      </c>
      <c r="AY60" s="494">
        <f t="shared" si="45"/>
        <v>0</v>
      </c>
      <c r="AZ60" s="494">
        <f t="shared" si="46"/>
        <v>0</v>
      </c>
      <c r="BA60" s="494">
        <f t="shared" si="47"/>
        <v>0</v>
      </c>
      <c r="BB60" s="494">
        <f t="shared" si="48"/>
        <v>0</v>
      </c>
      <c r="BC60" s="494">
        <f t="shared" si="49"/>
        <v>0</v>
      </c>
      <c r="BD60" s="494">
        <f t="shared" si="50"/>
        <v>0</v>
      </c>
      <c r="BE60" s="494">
        <f t="shared" si="51"/>
        <v>0</v>
      </c>
      <c r="BF60" s="494" t="str">
        <f t="shared" si="52"/>
        <v/>
      </c>
    </row>
    <row r="61" spans="1:58" x14ac:dyDescent="0.3">
      <c r="A61" s="104" t="str">
        <f>'G-1 All Habitats'!B60</f>
        <v>Urban - Intensive green roof</v>
      </c>
      <c r="B61" s="88" t="str">
        <f>'G-1 All Habitats'!F60</f>
        <v>Urban</v>
      </c>
      <c r="C61" s="88" t="str">
        <f>'G-1 All Habitats'!K60</f>
        <v>Low</v>
      </c>
      <c r="D61" s="88" t="str">
        <f>'G-1 All Habitats'!M60</f>
        <v>Same distinctiveness or better habitat required ≥</v>
      </c>
      <c r="E61" s="494">
        <f>IF(C61="V.High",SUMIF('A-1 Site Habitat Baseline'!$G$11:$G$258,'G-2 Habitat groups'!A61,'A-1 Site Habitat Baseline'!$S$11:$S$258)+SUMIF('A-1 Site Habitat Baseline'!$G$11:$G$258,'G-2 Habitat groups'!A61,'A-1 Site Habitat Baseline'!$T$11:$T$258),SUMIF('A-1 Site Habitat Baseline'!$G$11:$G$258,'G-2 Habitat groups'!A61,'A-1 Site Habitat Baseline'!$H$11:$H$258))</f>
        <v>0</v>
      </c>
      <c r="F61" s="494">
        <f>SUMIF('A-1 Site Habitat Baseline'!$G$11:$G$258,'G-2 Habitat groups'!A61,'A-1 Site Habitat Baseline'!$Q$11:$Q$258)</f>
        <v>0</v>
      </c>
      <c r="G61" s="494">
        <f>SUMIF('A-1 Site Habitat Baseline'!$G$11:$G$258,'G-2 Habitat groups'!A61,'A-1 Site Habitat Baseline'!$S$11:$S$258)</f>
        <v>0</v>
      </c>
      <c r="H61" s="494">
        <f>SUMIF('A-1 Site Habitat Baseline'!$G$11:$G$258,'G-2 Habitat groups'!A61,'A-1 Site Habitat Baseline'!$U$11:$U$258)</f>
        <v>0</v>
      </c>
      <c r="I61" s="494">
        <f>SUMIF('A-1 Site Habitat Baseline'!$G$11:$G$258,'G-2 Habitat groups'!A61,'A-1 Site Habitat Baseline'!$W$11:$W$258)</f>
        <v>0</v>
      </c>
      <c r="J61" s="494">
        <f>SUMIF('A-1 Site Habitat Baseline'!$G$11:$G$258,'G-2 Habitat groups'!A61,'A-1 Site Habitat Baseline'!$X$11:$X$258)</f>
        <v>0</v>
      </c>
      <c r="K61" s="494">
        <f>SUMIF('A-2 Site Habitat Creation'!$F$11:$F$256,'G-2 Habitat groups'!A61,'A-2 Site Habitat Creation'!$G$11:$G$256)</f>
        <v>0</v>
      </c>
      <c r="L61" s="494">
        <f>SUMIF('A-2 Site Habitat Creation'!$F$11:$F$256,'G-2 Habitat groups'!A61,'A-2 Site Habitat Creation'!$Y$11:$Y$256)</f>
        <v>0</v>
      </c>
      <c r="M61" s="494">
        <f>SUMIF('A-3 Site Habitat Enhancement'!$S$12:$S$257,'G-2 Habitat groups'!A61,'A-3 Site Habitat Enhancement'!$V$12:$V$257)</f>
        <v>0</v>
      </c>
      <c r="N61" s="494">
        <f>SUMIF('A-3 Site Habitat Enhancement'!$S$12:$S$257,'G-2 Habitat groups'!A61,'A-3 Site Habitat Enhancement'!$AN$12:$AN$257)</f>
        <v>0</v>
      </c>
      <c r="O61" s="494">
        <f t="shared" si="53"/>
        <v>0</v>
      </c>
      <c r="P61" s="494">
        <f t="shared" si="54"/>
        <v>0</v>
      </c>
      <c r="Q61" s="494">
        <f t="shared" si="55"/>
        <v>0</v>
      </c>
      <c r="R61" s="494">
        <f t="shared" si="56"/>
        <v>0</v>
      </c>
      <c r="S61" s="494">
        <f>IF(C61="V.High",SUMIF('D-1 Off Site Habitat Baseline'!$G$11:$G$258,'G-2 Habitat groups'!A61,'D-1 Off Site Habitat Baseline'!$S$11:$S$258)+SUMIF('D-1 Off Site Habitat Baseline'!$G$11:$G$258,'G-2 Habitat groups'!A61,'D-1 Off Site Habitat Baseline'!$T$11:$T$258),SUMIF('D-1 Off Site Habitat Baseline'!$G$11:$G$258,'G-2 Habitat groups'!A61,'D-1 Off Site Habitat Baseline'!$H$11:$H$258))</f>
        <v>0</v>
      </c>
      <c r="T61" s="494">
        <f>SUMIF('D-1 Off Site Habitat Baseline'!$G$11:$G$258,'G-2 Habitat groups'!A61,'D-1 Off Site Habitat Baseline'!$Q$11:$Q$258)</f>
        <v>0</v>
      </c>
      <c r="U61" s="591">
        <f>SUMIF('D-1 Off Site Habitat Baseline'!$G$11:$G$258,'G-2 Habitat groups'!A61,'D-1 Off Site Habitat Baseline'!$S$11:$S$258)</f>
        <v>0</v>
      </c>
      <c r="V61" s="494">
        <f>SUMIF('D-1 Off Site Habitat Baseline'!$G$11:$G$258,'G-2 Habitat groups'!A61,'D-1 Off Site Habitat Baseline'!$U$11:$U$258)</f>
        <v>0</v>
      </c>
      <c r="W61" s="494">
        <f>SUMIF('D-2 Off Site Habitat Creation'!$F$9:$F$255,'G-2 Habitat groups'!A61,'D-2 Off Site Habitat Creation'!$G$9:$G$255)</f>
        <v>0</v>
      </c>
      <c r="X61" s="494">
        <f>SUMIF('D-2 Off Site Habitat Creation'!$F$9:$F$255,'G-2 Habitat groups'!A61,'D-2 Off Site Habitat Creation'!$AA$9:$AA$255)</f>
        <v>0</v>
      </c>
      <c r="Y61" s="494">
        <f>SUMIF('D-3 Off Site Habitat Enhancment'!$S$12:$S$491,'G-2 Habitat groups'!A61,'D-3 Off Site Habitat Enhancment'!$V$12:$V$491)</f>
        <v>0</v>
      </c>
      <c r="Z61" s="494">
        <f>SUMIF('D-3 Off Site Habitat Enhancment'!$S$12:$S$491,'G-2 Habitat groups'!A61,'D-3 Off Site Habitat Enhancment'!$AP$12:$AP$491)</f>
        <v>0</v>
      </c>
      <c r="AA61" s="494">
        <f t="shared" si="57"/>
        <v>0</v>
      </c>
      <c r="AB61" s="494">
        <f t="shared" si="58"/>
        <v>0</v>
      </c>
      <c r="AC61" s="494">
        <f t="shared" si="59"/>
        <v>0</v>
      </c>
      <c r="AD61" s="494">
        <f t="shared" si="60"/>
        <v>0</v>
      </c>
      <c r="AE61" s="494">
        <f t="shared" si="61"/>
        <v>0</v>
      </c>
      <c r="AF61" s="494">
        <f t="shared" si="62"/>
        <v>0</v>
      </c>
      <c r="AU61" s="118" t="s">
        <v>726</v>
      </c>
      <c r="AV61" s="88" t="s">
        <v>866</v>
      </c>
      <c r="AW61" s="494">
        <f t="shared" si="43"/>
        <v>0</v>
      </c>
      <c r="AX61" s="494">
        <f t="shared" si="44"/>
        <v>0</v>
      </c>
      <c r="AY61" s="494">
        <f t="shared" si="45"/>
        <v>0</v>
      </c>
      <c r="AZ61" s="494">
        <f t="shared" si="46"/>
        <v>0</v>
      </c>
      <c r="BA61" s="494">
        <f t="shared" si="47"/>
        <v>0</v>
      </c>
      <c r="BB61" s="494">
        <f t="shared" si="48"/>
        <v>0</v>
      </c>
      <c r="BC61" s="494">
        <f t="shared" si="49"/>
        <v>0</v>
      </c>
      <c r="BD61" s="494">
        <f t="shared" si="50"/>
        <v>0</v>
      </c>
      <c r="BE61" s="494">
        <f t="shared" si="51"/>
        <v>0</v>
      </c>
      <c r="BF61" s="494" t="str">
        <f t="shared" si="52"/>
        <v/>
      </c>
    </row>
    <row r="62" spans="1:58" x14ac:dyDescent="0.3">
      <c r="A62" s="104" t="str">
        <f>'G-1 All Habitats'!B61</f>
        <v>Urban - Built linear features</v>
      </c>
      <c r="B62" s="88" t="str">
        <f>'G-1 All Habitats'!F61</f>
        <v>Urban</v>
      </c>
      <c r="C62" s="88" t="str">
        <f>'G-1 All Habitats'!K61</f>
        <v>V.Low</v>
      </c>
      <c r="D62" s="88" t="str">
        <f>'G-1 All Habitats'!M61</f>
        <v>Compensation Not Required</v>
      </c>
      <c r="E62" s="494">
        <f>IF(C62="V.High",SUMIF('A-1 Site Habitat Baseline'!$G$11:$G$258,'G-2 Habitat groups'!A62,'A-1 Site Habitat Baseline'!$S$11:$S$258)+SUMIF('A-1 Site Habitat Baseline'!$G$11:$G$258,'G-2 Habitat groups'!A62,'A-1 Site Habitat Baseline'!$T$11:$T$258),SUMIF('A-1 Site Habitat Baseline'!$G$11:$G$258,'G-2 Habitat groups'!A62,'A-1 Site Habitat Baseline'!$H$11:$H$258))</f>
        <v>0</v>
      </c>
      <c r="F62" s="494">
        <f>SUMIF('A-1 Site Habitat Baseline'!$G$11:$G$258,'G-2 Habitat groups'!A62,'A-1 Site Habitat Baseline'!$Q$11:$Q$258)</f>
        <v>0</v>
      </c>
      <c r="G62" s="494">
        <f>SUMIF('A-1 Site Habitat Baseline'!$G$11:$G$258,'G-2 Habitat groups'!A62,'A-1 Site Habitat Baseline'!$S$11:$S$258)</f>
        <v>0</v>
      </c>
      <c r="H62" s="494">
        <f>SUMIF('A-1 Site Habitat Baseline'!$G$11:$G$258,'G-2 Habitat groups'!A62,'A-1 Site Habitat Baseline'!$U$11:$U$258)</f>
        <v>0</v>
      </c>
      <c r="I62" s="494">
        <f>SUMIF('A-1 Site Habitat Baseline'!$G$11:$G$258,'G-2 Habitat groups'!A62,'A-1 Site Habitat Baseline'!$W$11:$W$258)</f>
        <v>0</v>
      </c>
      <c r="J62" s="494">
        <f>SUMIF('A-1 Site Habitat Baseline'!$G$11:$G$258,'G-2 Habitat groups'!A62,'A-1 Site Habitat Baseline'!$X$11:$X$258)</f>
        <v>0</v>
      </c>
      <c r="K62" s="494">
        <f>SUMIF('A-2 Site Habitat Creation'!$F$11:$F$256,'G-2 Habitat groups'!A62,'A-2 Site Habitat Creation'!$G$11:$G$256)</f>
        <v>0</v>
      </c>
      <c r="L62" s="494">
        <f>SUMIF('A-2 Site Habitat Creation'!$F$11:$F$256,'G-2 Habitat groups'!A62,'A-2 Site Habitat Creation'!$Y$11:$Y$256)</f>
        <v>0</v>
      </c>
      <c r="M62" s="494">
        <f>SUMIF('A-3 Site Habitat Enhancement'!$S$12:$S$257,'G-2 Habitat groups'!A62,'A-3 Site Habitat Enhancement'!$V$12:$V$257)</f>
        <v>0</v>
      </c>
      <c r="N62" s="494">
        <f>SUMIF('A-3 Site Habitat Enhancement'!$S$12:$S$257,'G-2 Habitat groups'!A62,'A-3 Site Habitat Enhancement'!$AN$12:$AN$257)</f>
        <v>0</v>
      </c>
      <c r="O62" s="494">
        <f t="shared" si="53"/>
        <v>0</v>
      </c>
      <c r="P62" s="494">
        <f t="shared" si="54"/>
        <v>0</v>
      </c>
      <c r="Q62" s="494">
        <f t="shared" si="55"/>
        <v>0</v>
      </c>
      <c r="R62" s="494">
        <f t="shared" si="56"/>
        <v>0</v>
      </c>
      <c r="S62" s="494">
        <f>IF(C62="V.High",SUMIF('D-1 Off Site Habitat Baseline'!$G$11:$G$258,'G-2 Habitat groups'!A62,'D-1 Off Site Habitat Baseline'!$S$11:$S$258)+SUMIF('D-1 Off Site Habitat Baseline'!$G$11:$G$258,'G-2 Habitat groups'!A62,'D-1 Off Site Habitat Baseline'!$T$11:$T$258),SUMIF('D-1 Off Site Habitat Baseline'!$G$11:$G$258,'G-2 Habitat groups'!A62,'D-1 Off Site Habitat Baseline'!$H$11:$H$258))</f>
        <v>0</v>
      </c>
      <c r="T62" s="494">
        <f>SUMIF('D-1 Off Site Habitat Baseline'!$G$11:$G$258,'G-2 Habitat groups'!A62,'D-1 Off Site Habitat Baseline'!$Q$11:$Q$258)</f>
        <v>0</v>
      </c>
      <c r="U62" s="591">
        <f>SUMIF('D-1 Off Site Habitat Baseline'!$G$11:$G$258,'G-2 Habitat groups'!A62,'D-1 Off Site Habitat Baseline'!$S$11:$S$258)</f>
        <v>0</v>
      </c>
      <c r="V62" s="494">
        <f>SUMIF('D-1 Off Site Habitat Baseline'!$G$11:$G$258,'G-2 Habitat groups'!A62,'D-1 Off Site Habitat Baseline'!$U$11:$U$258)</f>
        <v>0</v>
      </c>
      <c r="W62" s="494">
        <f>SUMIF('D-2 Off Site Habitat Creation'!$F$9:$F$255,'G-2 Habitat groups'!A62,'D-2 Off Site Habitat Creation'!$G$9:$G$255)</f>
        <v>0</v>
      </c>
      <c r="X62" s="494">
        <f>SUMIF('D-2 Off Site Habitat Creation'!$F$9:$F$255,'G-2 Habitat groups'!A62,'D-2 Off Site Habitat Creation'!$AA$9:$AA$255)</f>
        <v>0</v>
      </c>
      <c r="Y62" s="494">
        <f>SUMIF('D-3 Off Site Habitat Enhancment'!$S$12:$S$491,'G-2 Habitat groups'!A62,'D-3 Off Site Habitat Enhancment'!$V$12:$V$491)</f>
        <v>0</v>
      </c>
      <c r="Z62" s="494">
        <f>SUMIF('D-3 Off Site Habitat Enhancment'!$S$12:$S$491,'G-2 Habitat groups'!A62,'D-3 Off Site Habitat Enhancment'!$AP$12:$AP$491)</f>
        <v>0</v>
      </c>
      <c r="AA62" s="494">
        <f t="shared" si="57"/>
        <v>0</v>
      </c>
      <c r="AB62" s="494">
        <f t="shared" si="58"/>
        <v>0</v>
      </c>
      <c r="AC62" s="494">
        <f t="shared" si="59"/>
        <v>0</v>
      </c>
      <c r="AD62" s="494">
        <f t="shared" si="60"/>
        <v>0</v>
      </c>
      <c r="AE62" s="494">
        <f t="shared" si="61"/>
        <v>0</v>
      </c>
      <c r="AF62" s="494">
        <f t="shared" si="62"/>
        <v>0</v>
      </c>
      <c r="AU62" s="118" t="s">
        <v>733</v>
      </c>
      <c r="AV62" s="88" t="s">
        <v>866</v>
      </c>
      <c r="AW62" s="494">
        <f t="shared" si="43"/>
        <v>0</v>
      </c>
      <c r="AX62" s="494">
        <f t="shared" si="44"/>
        <v>0</v>
      </c>
      <c r="AY62" s="494">
        <f t="shared" si="45"/>
        <v>0</v>
      </c>
      <c r="AZ62" s="494">
        <f t="shared" si="46"/>
        <v>0</v>
      </c>
      <c r="BA62" s="494">
        <f t="shared" si="47"/>
        <v>0</v>
      </c>
      <c r="BB62" s="494">
        <f t="shared" si="48"/>
        <v>0</v>
      </c>
      <c r="BC62" s="494">
        <f t="shared" si="49"/>
        <v>0</v>
      </c>
      <c r="BD62" s="494">
        <f t="shared" si="50"/>
        <v>0</v>
      </c>
      <c r="BE62" s="494">
        <f t="shared" si="51"/>
        <v>0</v>
      </c>
      <c r="BF62" s="494" t="str">
        <f t="shared" si="52"/>
        <v/>
      </c>
    </row>
    <row r="63" spans="1:58" x14ac:dyDescent="0.3">
      <c r="A63" s="104" t="str">
        <f>'G-1 All Habitats'!B62</f>
        <v>Urban - Cemeteries and churchyards</v>
      </c>
      <c r="B63" s="88" t="str">
        <f>'G-1 All Habitats'!F62</f>
        <v>Urban</v>
      </c>
      <c r="C63" s="88" t="str">
        <f>'G-1 All Habitats'!K62</f>
        <v>Medium</v>
      </c>
      <c r="D63" s="88" t="str">
        <f>'G-1 All Habitats'!M62</f>
        <v>Same broad habitat or a higher distinctiveness habitat required (≥)</v>
      </c>
      <c r="E63" s="494">
        <f>IF(C63="V.High",SUMIF('A-1 Site Habitat Baseline'!$G$11:$G$258,'G-2 Habitat groups'!A63,'A-1 Site Habitat Baseline'!$S$11:$S$258)+SUMIF('A-1 Site Habitat Baseline'!$G$11:$G$258,'G-2 Habitat groups'!A63,'A-1 Site Habitat Baseline'!$T$11:$T$258),SUMIF('A-1 Site Habitat Baseline'!$G$11:$G$258,'G-2 Habitat groups'!A63,'A-1 Site Habitat Baseline'!$H$11:$H$258))</f>
        <v>0</v>
      </c>
      <c r="F63" s="494">
        <f>SUMIF('A-1 Site Habitat Baseline'!$G$11:$G$258,'G-2 Habitat groups'!A63,'A-1 Site Habitat Baseline'!$Q$11:$Q$258)</f>
        <v>0</v>
      </c>
      <c r="G63" s="494">
        <f>SUMIF('A-1 Site Habitat Baseline'!$G$11:$G$258,'G-2 Habitat groups'!A63,'A-1 Site Habitat Baseline'!$S$11:$S$258)</f>
        <v>0</v>
      </c>
      <c r="H63" s="494">
        <f>SUMIF('A-1 Site Habitat Baseline'!$G$11:$G$258,'G-2 Habitat groups'!A63,'A-1 Site Habitat Baseline'!$U$11:$U$258)</f>
        <v>0</v>
      </c>
      <c r="I63" s="494">
        <f>SUMIF('A-1 Site Habitat Baseline'!$G$11:$G$258,'G-2 Habitat groups'!A63,'A-1 Site Habitat Baseline'!$W$11:$W$258)</f>
        <v>0</v>
      </c>
      <c r="J63" s="494">
        <f>SUMIF('A-1 Site Habitat Baseline'!$G$11:$G$258,'G-2 Habitat groups'!A63,'A-1 Site Habitat Baseline'!$X$11:$X$258)</f>
        <v>0</v>
      </c>
      <c r="K63" s="494">
        <f>SUMIF('A-2 Site Habitat Creation'!$F$11:$F$256,'G-2 Habitat groups'!A63,'A-2 Site Habitat Creation'!$G$11:$G$256)</f>
        <v>0</v>
      </c>
      <c r="L63" s="494">
        <f>SUMIF('A-2 Site Habitat Creation'!$F$11:$F$256,'G-2 Habitat groups'!A63,'A-2 Site Habitat Creation'!$Y$11:$Y$256)</f>
        <v>0</v>
      </c>
      <c r="M63" s="494">
        <f>SUMIF('A-3 Site Habitat Enhancement'!$S$12:$S$257,'G-2 Habitat groups'!A63,'A-3 Site Habitat Enhancement'!$V$12:$V$257)</f>
        <v>0</v>
      </c>
      <c r="N63" s="494">
        <f>SUMIF('A-3 Site Habitat Enhancement'!$S$12:$S$257,'G-2 Habitat groups'!A63,'A-3 Site Habitat Enhancement'!$AN$12:$AN$257)</f>
        <v>0</v>
      </c>
      <c r="O63" s="494">
        <f t="shared" si="53"/>
        <v>0</v>
      </c>
      <c r="P63" s="494">
        <f t="shared" si="54"/>
        <v>0</v>
      </c>
      <c r="Q63" s="494">
        <f t="shared" si="55"/>
        <v>0</v>
      </c>
      <c r="R63" s="494">
        <f t="shared" si="56"/>
        <v>0</v>
      </c>
      <c r="S63" s="494">
        <f>IF(C63="V.High",SUMIF('D-1 Off Site Habitat Baseline'!$G$11:$G$258,'G-2 Habitat groups'!A63,'D-1 Off Site Habitat Baseline'!$S$11:$S$258)+SUMIF('D-1 Off Site Habitat Baseline'!$G$11:$G$258,'G-2 Habitat groups'!A63,'D-1 Off Site Habitat Baseline'!$T$11:$T$258),SUMIF('D-1 Off Site Habitat Baseline'!$G$11:$G$258,'G-2 Habitat groups'!A63,'D-1 Off Site Habitat Baseline'!$H$11:$H$258))</f>
        <v>0</v>
      </c>
      <c r="T63" s="494">
        <f>SUMIF('D-1 Off Site Habitat Baseline'!$G$11:$G$258,'G-2 Habitat groups'!A63,'D-1 Off Site Habitat Baseline'!$Q$11:$Q$258)</f>
        <v>0</v>
      </c>
      <c r="U63" s="591">
        <f>SUMIF('D-1 Off Site Habitat Baseline'!$G$11:$G$258,'G-2 Habitat groups'!A63,'D-1 Off Site Habitat Baseline'!$S$11:$S$258)</f>
        <v>0</v>
      </c>
      <c r="V63" s="494">
        <f>SUMIF('D-1 Off Site Habitat Baseline'!$G$11:$G$258,'G-2 Habitat groups'!A63,'D-1 Off Site Habitat Baseline'!$U$11:$U$258)</f>
        <v>0</v>
      </c>
      <c r="W63" s="494">
        <f>SUMIF('D-2 Off Site Habitat Creation'!$F$9:$F$255,'G-2 Habitat groups'!A63,'D-2 Off Site Habitat Creation'!$G$9:$G$255)</f>
        <v>0</v>
      </c>
      <c r="X63" s="494">
        <f>SUMIF('D-2 Off Site Habitat Creation'!$F$9:$F$255,'G-2 Habitat groups'!A63,'D-2 Off Site Habitat Creation'!$AA$9:$AA$255)</f>
        <v>0</v>
      </c>
      <c r="Y63" s="494">
        <f>SUMIF('D-3 Off Site Habitat Enhancment'!$S$12:$S$491,'G-2 Habitat groups'!A63,'D-3 Off Site Habitat Enhancment'!$V$12:$V$491)</f>
        <v>0</v>
      </c>
      <c r="Z63" s="494">
        <f>SUMIF('D-3 Off Site Habitat Enhancment'!$S$12:$S$491,'G-2 Habitat groups'!A63,'D-3 Off Site Habitat Enhancment'!$AP$12:$AP$491)</f>
        <v>0</v>
      </c>
      <c r="AA63" s="494">
        <f t="shared" si="57"/>
        <v>0</v>
      </c>
      <c r="AB63" s="494">
        <f t="shared" si="58"/>
        <v>0</v>
      </c>
      <c r="AC63" s="494">
        <f t="shared" si="59"/>
        <v>0</v>
      </c>
      <c r="AD63" s="494">
        <f t="shared" si="60"/>
        <v>0</v>
      </c>
      <c r="AE63" s="494">
        <f t="shared" si="61"/>
        <v>0</v>
      </c>
      <c r="AF63" s="494">
        <f t="shared" si="62"/>
        <v>0</v>
      </c>
      <c r="AU63" s="118" t="s">
        <v>740</v>
      </c>
      <c r="AV63" s="88" t="s">
        <v>866</v>
      </c>
      <c r="AW63" s="494">
        <f t="shared" si="43"/>
        <v>0</v>
      </c>
      <c r="AX63" s="494">
        <f t="shared" si="44"/>
        <v>0</v>
      </c>
      <c r="AY63" s="494">
        <f t="shared" si="45"/>
        <v>0</v>
      </c>
      <c r="AZ63" s="494">
        <f t="shared" si="46"/>
        <v>0</v>
      </c>
      <c r="BA63" s="494">
        <f t="shared" si="47"/>
        <v>0</v>
      </c>
      <c r="BB63" s="494">
        <f t="shared" si="48"/>
        <v>0</v>
      </c>
      <c r="BC63" s="494">
        <f t="shared" si="49"/>
        <v>0</v>
      </c>
      <c r="BD63" s="494">
        <f t="shared" si="50"/>
        <v>0</v>
      </c>
      <c r="BE63" s="494">
        <f t="shared" si="51"/>
        <v>0</v>
      </c>
      <c r="BF63" s="494" t="str">
        <f t="shared" si="52"/>
        <v/>
      </c>
    </row>
    <row r="64" spans="1:58" x14ac:dyDescent="0.3">
      <c r="A64" s="104" t="str">
        <f>'G-1 All Habitats'!B63</f>
        <v>Urban - Developed land; sealed surface</v>
      </c>
      <c r="B64" s="88" t="str">
        <f>'G-1 All Habitats'!F63</f>
        <v>Urban</v>
      </c>
      <c r="C64" s="88" t="str">
        <f>'G-1 All Habitats'!K63</f>
        <v>V.Low</v>
      </c>
      <c r="D64" s="88" t="str">
        <f>'G-1 All Habitats'!M63</f>
        <v>Compensation Not Required</v>
      </c>
      <c r="E64" s="494">
        <f>IF(C64="V.High",SUMIF('A-1 Site Habitat Baseline'!$G$11:$G$258,'G-2 Habitat groups'!A64,'A-1 Site Habitat Baseline'!$S$11:$S$258)+SUMIF('A-1 Site Habitat Baseline'!$G$11:$G$258,'G-2 Habitat groups'!A64,'A-1 Site Habitat Baseline'!$T$11:$T$258),SUMIF('A-1 Site Habitat Baseline'!$G$11:$G$258,'G-2 Habitat groups'!A64,'A-1 Site Habitat Baseline'!$H$11:$H$258))</f>
        <v>0.77265700000000004</v>
      </c>
      <c r="F64" s="494">
        <f>SUMIF('A-1 Site Habitat Baseline'!$G$11:$G$258,'G-2 Habitat groups'!A64,'A-1 Site Habitat Baseline'!$Q$11:$Q$258)</f>
        <v>0</v>
      </c>
      <c r="G64" s="494">
        <f>SUMIF('A-1 Site Habitat Baseline'!$G$11:$G$258,'G-2 Habitat groups'!A64,'A-1 Site Habitat Baseline'!$S$11:$S$258)</f>
        <v>0</v>
      </c>
      <c r="H64" s="494">
        <f>SUMIF('A-1 Site Habitat Baseline'!$G$11:$G$258,'G-2 Habitat groups'!A64,'A-1 Site Habitat Baseline'!$U$11:$U$258)</f>
        <v>0</v>
      </c>
      <c r="I64" s="494">
        <f>SUMIF('A-1 Site Habitat Baseline'!$G$11:$G$258,'G-2 Habitat groups'!A64,'A-1 Site Habitat Baseline'!$W$11:$W$258)</f>
        <v>0.77265700000000004</v>
      </c>
      <c r="J64" s="494">
        <f>SUMIF('A-1 Site Habitat Baseline'!$G$11:$G$258,'G-2 Habitat groups'!A64,'A-1 Site Habitat Baseline'!$X$11:$X$258)</f>
        <v>0</v>
      </c>
      <c r="K64" s="494">
        <f>SUMIF('A-2 Site Habitat Creation'!$F$11:$F$256,'G-2 Habitat groups'!A64,'A-2 Site Habitat Creation'!$G$11:$G$256)</f>
        <v>1.3666</v>
      </c>
      <c r="L64" s="494">
        <f>SUMIF('A-2 Site Habitat Creation'!$F$11:$F$256,'G-2 Habitat groups'!A64,'A-2 Site Habitat Creation'!$Y$11:$Y$256)</f>
        <v>0</v>
      </c>
      <c r="M64" s="494">
        <f>SUMIF('A-3 Site Habitat Enhancement'!$S$12:$S$257,'G-2 Habitat groups'!A64,'A-3 Site Habitat Enhancement'!$V$12:$V$257)</f>
        <v>0</v>
      </c>
      <c r="N64" s="494">
        <f>SUMIF('A-3 Site Habitat Enhancement'!$S$12:$S$257,'G-2 Habitat groups'!A64,'A-3 Site Habitat Enhancement'!$AN$12:$AN$257)</f>
        <v>0</v>
      </c>
      <c r="O64" s="494">
        <f t="shared" si="53"/>
        <v>1.3666</v>
      </c>
      <c r="P64" s="494">
        <f t="shared" si="54"/>
        <v>0</v>
      </c>
      <c r="Q64" s="494">
        <f t="shared" si="55"/>
        <v>0.593943</v>
      </c>
      <c r="R64" s="494">
        <f t="shared" si="56"/>
        <v>0</v>
      </c>
      <c r="S64" s="494">
        <f>IF(C64="V.High",SUMIF('D-1 Off Site Habitat Baseline'!$G$11:$G$258,'G-2 Habitat groups'!A64,'D-1 Off Site Habitat Baseline'!$S$11:$S$258)+SUMIF('D-1 Off Site Habitat Baseline'!$G$11:$G$258,'G-2 Habitat groups'!A64,'D-1 Off Site Habitat Baseline'!$T$11:$T$258),SUMIF('D-1 Off Site Habitat Baseline'!$G$11:$G$258,'G-2 Habitat groups'!A64,'D-1 Off Site Habitat Baseline'!$H$11:$H$258))</f>
        <v>0</v>
      </c>
      <c r="T64" s="494">
        <f>SUMIF('D-1 Off Site Habitat Baseline'!$G$11:$G$258,'G-2 Habitat groups'!A64,'D-1 Off Site Habitat Baseline'!$Q$11:$Q$258)</f>
        <v>0</v>
      </c>
      <c r="U64" s="591">
        <f>SUMIF('D-1 Off Site Habitat Baseline'!$G$11:$G$258,'G-2 Habitat groups'!A64,'D-1 Off Site Habitat Baseline'!$S$11:$S$258)</f>
        <v>0</v>
      </c>
      <c r="V64" s="494">
        <f>SUMIF('D-1 Off Site Habitat Baseline'!$G$11:$G$258,'G-2 Habitat groups'!A64,'D-1 Off Site Habitat Baseline'!$U$11:$U$258)</f>
        <v>0</v>
      </c>
      <c r="W64" s="494">
        <f>SUMIF('D-2 Off Site Habitat Creation'!$F$9:$F$255,'G-2 Habitat groups'!A64,'D-2 Off Site Habitat Creation'!$G$9:$G$255)</f>
        <v>0</v>
      </c>
      <c r="X64" s="494">
        <f>SUMIF('D-2 Off Site Habitat Creation'!$F$9:$F$255,'G-2 Habitat groups'!A64,'D-2 Off Site Habitat Creation'!$AA$9:$AA$255)</f>
        <v>0</v>
      </c>
      <c r="Y64" s="494">
        <f>SUMIF('D-3 Off Site Habitat Enhancment'!$S$12:$S$491,'G-2 Habitat groups'!A64,'D-3 Off Site Habitat Enhancment'!$V$12:$V$491)</f>
        <v>0</v>
      </c>
      <c r="Z64" s="494">
        <f>SUMIF('D-3 Off Site Habitat Enhancment'!$S$12:$S$491,'G-2 Habitat groups'!A64,'D-3 Off Site Habitat Enhancment'!$AP$12:$AP$491)</f>
        <v>0</v>
      </c>
      <c r="AA64" s="494">
        <f t="shared" si="57"/>
        <v>0</v>
      </c>
      <c r="AB64" s="494">
        <f t="shared" si="58"/>
        <v>0</v>
      </c>
      <c r="AC64" s="494">
        <f t="shared" si="59"/>
        <v>0</v>
      </c>
      <c r="AD64" s="494">
        <f t="shared" si="60"/>
        <v>0</v>
      </c>
      <c r="AE64" s="494">
        <f t="shared" si="61"/>
        <v>0.593943</v>
      </c>
      <c r="AF64" s="494">
        <f t="shared" si="62"/>
        <v>0</v>
      </c>
      <c r="AU64" s="118" t="s">
        <v>758</v>
      </c>
      <c r="AV64" s="88" t="s">
        <v>77</v>
      </c>
      <c r="AW64" s="494">
        <f t="shared" si="43"/>
        <v>0</v>
      </c>
      <c r="AX64" s="494">
        <f t="shared" si="44"/>
        <v>0</v>
      </c>
      <c r="AY64" s="494">
        <f t="shared" si="45"/>
        <v>0</v>
      </c>
      <c r="AZ64" s="494">
        <f t="shared" si="46"/>
        <v>0</v>
      </c>
      <c r="BA64" s="494">
        <f t="shared" si="47"/>
        <v>0</v>
      </c>
      <c r="BB64" s="494">
        <f t="shared" si="48"/>
        <v>0</v>
      </c>
      <c r="BC64" s="494">
        <f t="shared" si="49"/>
        <v>0</v>
      </c>
      <c r="BD64" s="494">
        <f t="shared" si="50"/>
        <v>0</v>
      </c>
      <c r="BE64" s="494">
        <f t="shared" si="51"/>
        <v>0</v>
      </c>
      <c r="BF64" s="494" t="str">
        <f t="shared" si="52"/>
        <v/>
      </c>
    </row>
    <row r="65" spans="1:59" x14ac:dyDescent="0.3">
      <c r="A65" s="104" t="str">
        <f>'G-1 All Habitats'!B64</f>
        <v>Urban - Other green roof</v>
      </c>
      <c r="B65" s="88" t="str">
        <f>'G-1 All Habitats'!F64</f>
        <v>Urban</v>
      </c>
      <c r="C65" s="88" t="str">
        <f>'G-1 All Habitats'!K64</f>
        <v>Low</v>
      </c>
      <c r="D65" s="88" t="str">
        <f>'G-1 All Habitats'!M64</f>
        <v>Same distinctiveness or better habitat required ≥</v>
      </c>
      <c r="E65" s="494">
        <f>IF(C65="V.High",SUMIF('A-1 Site Habitat Baseline'!$G$11:$G$258,'G-2 Habitat groups'!A65,'A-1 Site Habitat Baseline'!$S$11:$S$258)+SUMIF('A-1 Site Habitat Baseline'!$G$11:$G$258,'G-2 Habitat groups'!A65,'A-1 Site Habitat Baseline'!$T$11:$T$258),SUMIF('A-1 Site Habitat Baseline'!$G$11:$G$258,'G-2 Habitat groups'!A65,'A-1 Site Habitat Baseline'!$H$11:$H$258))</f>
        <v>0</v>
      </c>
      <c r="F65" s="494">
        <f>SUMIF('A-1 Site Habitat Baseline'!$G$11:$G$258,'G-2 Habitat groups'!A65,'A-1 Site Habitat Baseline'!$Q$11:$Q$258)</f>
        <v>0</v>
      </c>
      <c r="G65" s="494">
        <f>SUMIF('A-1 Site Habitat Baseline'!$G$11:$G$258,'G-2 Habitat groups'!A65,'A-1 Site Habitat Baseline'!$S$11:$S$258)</f>
        <v>0</v>
      </c>
      <c r="H65" s="494">
        <f>SUMIF('A-1 Site Habitat Baseline'!$G$11:$G$258,'G-2 Habitat groups'!A65,'A-1 Site Habitat Baseline'!$U$11:$U$258)</f>
        <v>0</v>
      </c>
      <c r="I65" s="494">
        <f>SUMIF('A-1 Site Habitat Baseline'!$G$11:$G$258,'G-2 Habitat groups'!A65,'A-1 Site Habitat Baseline'!$W$11:$W$258)</f>
        <v>0</v>
      </c>
      <c r="J65" s="494">
        <f>SUMIF('A-1 Site Habitat Baseline'!$G$11:$G$258,'G-2 Habitat groups'!A65,'A-1 Site Habitat Baseline'!$X$11:$X$258)</f>
        <v>0</v>
      </c>
      <c r="K65" s="494">
        <f>SUMIF('A-2 Site Habitat Creation'!$F$11:$F$256,'G-2 Habitat groups'!A65,'A-2 Site Habitat Creation'!$G$11:$G$256)</f>
        <v>0</v>
      </c>
      <c r="L65" s="494">
        <f>SUMIF('A-2 Site Habitat Creation'!$F$11:$F$256,'G-2 Habitat groups'!A65,'A-2 Site Habitat Creation'!$Y$11:$Y$256)</f>
        <v>0</v>
      </c>
      <c r="M65" s="494">
        <f>SUMIF('A-3 Site Habitat Enhancement'!$S$12:$S$257,'G-2 Habitat groups'!A65,'A-3 Site Habitat Enhancement'!$V$12:$V$257)</f>
        <v>0</v>
      </c>
      <c r="N65" s="494">
        <f>SUMIF('A-3 Site Habitat Enhancement'!$S$12:$S$257,'G-2 Habitat groups'!A65,'A-3 Site Habitat Enhancement'!$AN$12:$AN$257)</f>
        <v>0</v>
      </c>
      <c r="O65" s="494">
        <f t="shared" si="53"/>
        <v>0</v>
      </c>
      <c r="P65" s="494">
        <f t="shared" si="54"/>
        <v>0</v>
      </c>
      <c r="Q65" s="494">
        <f t="shared" si="55"/>
        <v>0</v>
      </c>
      <c r="R65" s="494">
        <f t="shared" si="56"/>
        <v>0</v>
      </c>
      <c r="S65" s="494">
        <f>IF(C65="V.High",SUMIF('D-1 Off Site Habitat Baseline'!$G$11:$G$258,'G-2 Habitat groups'!A65,'D-1 Off Site Habitat Baseline'!$S$11:$S$258)+SUMIF('D-1 Off Site Habitat Baseline'!$G$11:$G$258,'G-2 Habitat groups'!A65,'D-1 Off Site Habitat Baseline'!$T$11:$T$258),SUMIF('D-1 Off Site Habitat Baseline'!$G$11:$G$258,'G-2 Habitat groups'!A65,'D-1 Off Site Habitat Baseline'!$H$11:$H$258))</f>
        <v>0</v>
      </c>
      <c r="T65" s="494">
        <f>SUMIF('D-1 Off Site Habitat Baseline'!$G$11:$G$258,'G-2 Habitat groups'!A65,'D-1 Off Site Habitat Baseline'!$Q$11:$Q$258)</f>
        <v>0</v>
      </c>
      <c r="U65" s="591">
        <f>SUMIF('D-1 Off Site Habitat Baseline'!$G$11:$G$258,'G-2 Habitat groups'!A65,'D-1 Off Site Habitat Baseline'!$S$11:$S$258)</f>
        <v>0</v>
      </c>
      <c r="V65" s="494">
        <f>SUMIF('D-1 Off Site Habitat Baseline'!$G$11:$G$258,'G-2 Habitat groups'!A65,'D-1 Off Site Habitat Baseline'!$U$11:$U$258)</f>
        <v>0</v>
      </c>
      <c r="W65" s="494">
        <f>SUMIF('D-2 Off Site Habitat Creation'!$F$9:$F$255,'G-2 Habitat groups'!A65,'D-2 Off Site Habitat Creation'!$G$9:$G$255)</f>
        <v>0</v>
      </c>
      <c r="X65" s="494">
        <f>SUMIF('D-2 Off Site Habitat Creation'!$F$9:$F$255,'G-2 Habitat groups'!A65,'D-2 Off Site Habitat Creation'!$AA$9:$AA$255)</f>
        <v>0</v>
      </c>
      <c r="Y65" s="494">
        <f>SUMIF('D-3 Off Site Habitat Enhancment'!$S$12:$S$491,'G-2 Habitat groups'!A65,'D-3 Off Site Habitat Enhancment'!$V$12:$V$491)</f>
        <v>0</v>
      </c>
      <c r="Z65" s="494">
        <f>SUMIF('D-3 Off Site Habitat Enhancment'!$S$12:$S$491,'G-2 Habitat groups'!A65,'D-3 Off Site Habitat Enhancment'!$AP$12:$AP$491)</f>
        <v>0</v>
      </c>
      <c r="AA65" s="494">
        <f t="shared" si="57"/>
        <v>0</v>
      </c>
      <c r="AB65" s="494">
        <f t="shared" si="58"/>
        <v>0</v>
      </c>
      <c r="AC65" s="494">
        <f t="shared" si="59"/>
        <v>0</v>
      </c>
      <c r="AD65" s="494">
        <f t="shared" si="60"/>
        <v>0</v>
      </c>
      <c r="AE65" s="494">
        <f t="shared" si="61"/>
        <v>0</v>
      </c>
      <c r="AF65" s="494">
        <f t="shared" si="62"/>
        <v>0</v>
      </c>
      <c r="AU65" s="118" t="s">
        <v>761</v>
      </c>
      <c r="AV65" s="88" t="s">
        <v>77</v>
      </c>
      <c r="AW65" s="494">
        <f t="shared" si="43"/>
        <v>0</v>
      </c>
      <c r="AX65" s="494">
        <f t="shared" si="44"/>
        <v>0</v>
      </c>
      <c r="AY65" s="494">
        <f t="shared" si="45"/>
        <v>0</v>
      </c>
      <c r="AZ65" s="494">
        <f t="shared" si="46"/>
        <v>0</v>
      </c>
      <c r="BA65" s="494">
        <f t="shared" si="47"/>
        <v>0</v>
      </c>
      <c r="BB65" s="494">
        <f t="shared" si="48"/>
        <v>0</v>
      </c>
      <c r="BC65" s="494">
        <f t="shared" si="49"/>
        <v>0</v>
      </c>
      <c r="BD65" s="494">
        <f t="shared" si="50"/>
        <v>0</v>
      </c>
      <c r="BE65" s="494">
        <f t="shared" si="51"/>
        <v>0</v>
      </c>
      <c r="BF65" s="494" t="str">
        <f t="shared" si="52"/>
        <v/>
      </c>
    </row>
    <row r="66" spans="1:59" x14ac:dyDescent="0.3">
      <c r="A66" s="104" t="str">
        <f>'G-1 All Habitats'!B65</f>
        <v>Urban - Facade-bound green wall</v>
      </c>
      <c r="B66" s="88" t="str">
        <f>'G-1 All Habitats'!F65</f>
        <v>Urban</v>
      </c>
      <c r="C66" s="88" t="str">
        <f>'G-1 All Habitats'!K65</f>
        <v>Low</v>
      </c>
      <c r="D66" s="88" t="str">
        <f>'G-1 All Habitats'!M65</f>
        <v>Same distinctiveness or better habitat required ≥</v>
      </c>
      <c r="E66" s="494">
        <f>IF(C66="V.High",SUMIF('A-1 Site Habitat Baseline'!$G$11:$G$258,'G-2 Habitat groups'!A66,'A-1 Site Habitat Baseline'!$S$11:$S$258)+SUMIF('A-1 Site Habitat Baseline'!$G$11:$G$258,'G-2 Habitat groups'!A66,'A-1 Site Habitat Baseline'!$T$11:$T$258),SUMIF('A-1 Site Habitat Baseline'!$G$11:$G$258,'G-2 Habitat groups'!A66,'A-1 Site Habitat Baseline'!$H$11:$H$258))</f>
        <v>0</v>
      </c>
      <c r="F66" s="494">
        <f>SUMIF('A-1 Site Habitat Baseline'!$G$11:$G$258,'G-2 Habitat groups'!A66,'A-1 Site Habitat Baseline'!$Q$11:$Q$258)</f>
        <v>0</v>
      </c>
      <c r="G66" s="494">
        <f>SUMIF('A-1 Site Habitat Baseline'!$G$11:$G$258,'G-2 Habitat groups'!A66,'A-1 Site Habitat Baseline'!$S$11:$S$258)</f>
        <v>0</v>
      </c>
      <c r="H66" s="494">
        <f>SUMIF('A-1 Site Habitat Baseline'!$G$11:$G$258,'G-2 Habitat groups'!A66,'A-1 Site Habitat Baseline'!$U$11:$U$258)</f>
        <v>0</v>
      </c>
      <c r="I66" s="494">
        <f>SUMIF('A-1 Site Habitat Baseline'!$G$11:$G$258,'G-2 Habitat groups'!A66,'A-1 Site Habitat Baseline'!$W$11:$W$258)</f>
        <v>0</v>
      </c>
      <c r="J66" s="494">
        <f>SUMIF('A-1 Site Habitat Baseline'!$G$11:$G$258,'G-2 Habitat groups'!A66,'A-1 Site Habitat Baseline'!$X$11:$X$258)</f>
        <v>0</v>
      </c>
      <c r="K66" s="494">
        <f>SUMIF('A-2 Site Habitat Creation'!$F$11:$F$256,'G-2 Habitat groups'!A66,'A-2 Site Habitat Creation'!$G$11:$G$256)</f>
        <v>0</v>
      </c>
      <c r="L66" s="494">
        <f>SUMIF('A-2 Site Habitat Creation'!$F$11:$F$256,'G-2 Habitat groups'!A66,'A-2 Site Habitat Creation'!$Y$11:$Y$256)</f>
        <v>0</v>
      </c>
      <c r="M66" s="494">
        <f>SUMIF('A-3 Site Habitat Enhancement'!$S$12:$S$257,'G-2 Habitat groups'!A66,'A-3 Site Habitat Enhancement'!$V$12:$V$257)</f>
        <v>0</v>
      </c>
      <c r="N66" s="494">
        <f>SUMIF('A-3 Site Habitat Enhancement'!$S$12:$S$257,'G-2 Habitat groups'!A66,'A-3 Site Habitat Enhancement'!$AN$12:$AN$257)</f>
        <v>0</v>
      </c>
      <c r="O66" s="494">
        <f t="shared" si="53"/>
        <v>0</v>
      </c>
      <c r="P66" s="494">
        <f t="shared" si="54"/>
        <v>0</v>
      </c>
      <c r="Q66" s="494">
        <f t="shared" si="55"/>
        <v>0</v>
      </c>
      <c r="R66" s="494">
        <f t="shared" si="56"/>
        <v>0</v>
      </c>
      <c r="S66" s="494">
        <f>IF(C66="V.High",SUMIF('D-1 Off Site Habitat Baseline'!$G$11:$G$258,'G-2 Habitat groups'!A66,'D-1 Off Site Habitat Baseline'!$S$11:$S$258)+SUMIF('D-1 Off Site Habitat Baseline'!$G$11:$G$258,'G-2 Habitat groups'!A66,'D-1 Off Site Habitat Baseline'!$T$11:$T$258),SUMIF('D-1 Off Site Habitat Baseline'!$G$11:$G$258,'G-2 Habitat groups'!A66,'D-1 Off Site Habitat Baseline'!$H$11:$H$258))</f>
        <v>0</v>
      </c>
      <c r="T66" s="494">
        <f>SUMIF('D-1 Off Site Habitat Baseline'!$G$11:$G$258,'G-2 Habitat groups'!A66,'D-1 Off Site Habitat Baseline'!$Q$11:$Q$258)</f>
        <v>0</v>
      </c>
      <c r="U66" s="591">
        <f>SUMIF('D-1 Off Site Habitat Baseline'!$G$11:$G$258,'G-2 Habitat groups'!A66,'D-1 Off Site Habitat Baseline'!$S$11:$S$258)</f>
        <v>0</v>
      </c>
      <c r="V66" s="494">
        <f>SUMIF('D-1 Off Site Habitat Baseline'!$G$11:$G$258,'G-2 Habitat groups'!A66,'D-1 Off Site Habitat Baseline'!$U$11:$U$258)</f>
        <v>0</v>
      </c>
      <c r="W66" s="494">
        <f>SUMIF('D-2 Off Site Habitat Creation'!$F$9:$F$255,'G-2 Habitat groups'!A66,'D-2 Off Site Habitat Creation'!$G$9:$G$255)</f>
        <v>0</v>
      </c>
      <c r="X66" s="494">
        <f>SUMIF('D-2 Off Site Habitat Creation'!$F$9:$F$255,'G-2 Habitat groups'!A66,'D-2 Off Site Habitat Creation'!$AA$9:$AA$255)</f>
        <v>0</v>
      </c>
      <c r="Y66" s="494">
        <f>SUMIF('D-3 Off Site Habitat Enhancment'!$S$12:$S$491,'G-2 Habitat groups'!A66,'D-3 Off Site Habitat Enhancment'!$V$12:$V$491)</f>
        <v>0</v>
      </c>
      <c r="Z66" s="494">
        <f>SUMIF('D-3 Off Site Habitat Enhancment'!$S$12:$S$491,'G-2 Habitat groups'!A66,'D-3 Off Site Habitat Enhancment'!$AP$12:$AP$491)</f>
        <v>0</v>
      </c>
      <c r="AA66" s="494">
        <f t="shared" si="57"/>
        <v>0</v>
      </c>
      <c r="AB66" s="494">
        <f t="shared" si="58"/>
        <v>0</v>
      </c>
      <c r="AC66" s="494">
        <f t="shared" si="59"/>
        <v>0</v>
      </c>
      <c r="AD66" s="494">
        <f t="shared" si="60"/>
        <v>0</v>
      </c>
      <c r="AE66" s="494">
        <f t="shared" si="61"/>
        <v>0</v>
      </c>
      <c r="AF66" s="494">
        <f t="shared" si="62"/>
        <v>0</v>
      </c>
      <c r="AU66" s="118" t="s">
        <v>747</v>
      </c>
      <c r="AV66" s="88" t="s">
        <v>867</v>
      </c>
      <c r="AW66" s="494">
        <f t="shared" si="43"/>
        <v>0</v>
      </c>
      <c r="AX66" s="494">
        <f t="shared" si="44"/>
        <v>0</v>
      </c>
      <c r="AY66" s="494">
        <f t="shared" si="45"/>
        <v>0</v>
      </c>
      <c r="AZ66" s="494">
        <f t="shared" si="46"/>
        <v>0</v>
      </c>
      <c r="BA66" s="494">
        <f t="shared" si="47"/>
        <v>0</v>
      </c>
      <c r="BB66" s="494">
        <f t="shared" si="48"/>
        <v>0</v>
      </c>
      <c r="BC66" s="494">
        <f t="shared" si="49"/>
        <v>0</v>
      </c>
      <c r="BD66" s="494">
        <f t="shared" si="50"/>
        <v>0</v>
      </c>
      <c r="BE66" s="494">
        <f t="shared" si="51"/>
        <v>0</v>
      </c>
      <c r="BF66" s="494" t="str">
        <f t="shared" si="52"/>
        <v/>
      </c>
    </row>
    <row r="67" spans="1:59" x14ac:dyDescent="0.3">
      <c r="A67" s="104" t="str">
        <f>'G-1 All Habitats'!B66</f>
        <v>Urban - Ground based green wall</v>
      </c>
      <c r="B67" s="88" t="str">
        <f>'G-1 All Habitats'!F66</f>
        <v>Urban</v>
      </c>
      <c r="C67" s="88" t="str">
        <f>'G-1 All Habitats'!K66</f>
        <v>Low</v>
      </c>
      <c r="D67" s="88" t="str">
        <f>'G-1 All Habitats'!M66</f>
        <v>Same distinctiveness or better habitat required ≥</v>
      </c>
      <c r="E67" s="494">
        <f>IF(C67="V.High",SUMIF('A-1 Site Habitat Baseline'!$G$11:$G$258,'G-2 Habitat groups'!A67,'A-1 Site Habitat Baseline'!$S$11:$S$258)+SUMIF('A-1 Site Habitat Baseline'!$G$11:$G$258,'G-2 Habitat groups'!A67,'A-1 Site Habitat Baseline'!$T$11:$T$258),SUMIF('A-1 Site Habitat Baseline'!$G$11:$G$258,'G-2 Habitat groups'!A67,'A-1 Site Habitat Baseline'!$H$11:$H$258))</f>
        <v>0</v>
      </c>
      <c r="F67" s="494">
        <f>SUMIF('A-1 Site Habitat Baseline'!$G$11:$G$258,'G-2 Habitat groups'!A67,'A-1 Site Habitat Baseline'!$Q$11:$Q$258)</f>
        <v>0</v>
      </c>
      <c r="G67" s="494">
        <f>SUMIF('A-1 Site Habitat Baseline'!$G$11:$G$258,'G-2 Habitat groups'!A67,'A-1 Site Habitat Baseline'!$S$11:$S$258)</f>
        <v>0</v>
      </c>
      <c r="H67" s="494">
        <f>SUMIF('A-1 Site Habitat Baseline'!$G$11:$G$258,'G-2 Habitat groups'!A67,'A-1 Site Habitat Baseline'!$U$11:$U$258)</f>
        <v>0</v>
      </c>
      <c r="I67" s="494">
        <f>SUMIF('A-1 Site Habitat Baseline'!$G$11:$G$258,'G-2 Habitat groups'!A67,'A-1 Site Habitat Baseline'!$W$11:$W$258)</f>
        <v>0</v>
      </c>
      <c r="J67" s="494">
        <f>SUMIF('A-1 Site Habitat Baseline'!$G$11:$G$258,'G-2 Habitat groups'!A67,'A-1 Site Habitat Baseline'!$X$11:$X$258)</f>
        <v>0</v>
      </c>
      <c r="K67" s="494">
        <f>SUMIF('A-2 Site Habitat Creation'!$F$11:$F$256,'G-2 Habitat groups'!A67,'A-2 Site Habitat Creation'!$G$11:$G$256)</f>
        <v>0</v>
      </c>
      <c r="L67" s="494">
        <f>SUMIF('A-2 Site Habitat Creation'!$F$11:$F$256,'G-2 Habitat groups'!A67,'A-2 Site Habitat Creation'!$Y$11:$Y$256)</f>
        <v>0</v>
      </c>
      <c r="M67" s="494">
        <f>SUMIF('A-3 Site Habitat Enhancement'!$S$12:$S$257,'G-2 Habitat groups'!A67,'A-3 Site Habitat Enhancement'!$V$12:$V$257)</f>
        <v>0</v>
      </c>
      <c r="N67" s="494">
        <f>SUMIF('A-3 Site Habitat Enhancement'!$S$12:$S$257,'G-2 Habitat groups'!A67,'A-3 Site Habitat Enhancement'!$AN$12:$AN$257)</f>
        <v>0</v>
      </c>
      <c r="O67" s="494">
        <f t="shared" ref="O67:O98" si="63">G67+K67+M67</f>
        <v>0</v>
      </c>
      <c r="P67" s="494">
        <f t="shared" ref="P67:P98" si="64">H67+L67+N67</f>
        <v>0</v>
      </c>
      <c r="Q67" s="494">
        <f t="shared" ref="Q67:Q98" si="65">O67-E67</f>
        <v>0</v>
      </c>
      <c r="R67" s="494">
        <f t="shared" ref="R67:R98" si="66">P67-F67</f>
        <v>0</v>
      </c>
      <c r="S67" s="494">
        <f>IF(C67="V.High",SUMIF('D-1 Off Site Habitat Baseline'!$G$11:$G$258,'G-2 Habitat groups'!A67,'D-1 Off Site Habitat Baseline'!$S$11:$S$258)+SUMIF('D-1 Off Site Habitat Baseline'!$G$11:$G$258,'G-2 Habitat groups'!A67,'D-1 Off Site Habitat Baseline'!$T$11:$T$258),SUMIF('D-1 Off Site Habitat Baseline'!$G$11:$G$258,'G-2 Habitat groups'!A67,'D-1 Off Site Habitat Baseline'!$H$11:$H$258))</f>
        <v>0</v>
      </c>
      <c r="T67" s="494">
        <f>SUMIF('D-1 Off Site Habitat Baseline'!$G$11:$G$258,'G-2 Habitat groups'!A67,'D-1 Off Site Habitat Baseline'!$Q$11:$Q$258)</f>
        <v>0</v>
      </c>
      <c r="U67" s="591">
        <f>SUMIF('D-1 Off Site Habitat Baseline'!$G$11:$G$258,'G-2 Habitat groups'!A67,'D-1 Off Site Habitat Baseline'!$S$11:$S$258)</f>
        <v>0</v>
      </c>
      <c r="V67" s="494">
        <f>SUMIF('D-1 Off Site Habitat Baseline'!$G$11:$G$258,'G-2 Habitat groups'!A67,'D-1 Off Site Habitat Baseline'!$U$11:$U$258)</f>
        <v>0</v>
      </c>
      <c r="W67" s="494">
        <f>SUMIF('D-2 Off Site Habitat Creation'!$F$9:$F$255,'G-2 Habitat groups'!A67,'D-2 Off Site Habitat Creation'!$G$9:$G$255)</f>
        <v>0</v>
      </c>
      <c r="X67" s="494">
        <f>SUMIF('D-2 Off Site Habitat Creation'!$F$9:$F$255,'G-2 Habitat groups'!A67,'D-2 Off Site Habitat Creation'!$AA$9:$AA$255)</f>
        <v>0</v>
      </c>
      <c r="Y67" s="494">
        <f>SUMIF('D-3 Off Site Habitat Enhancment'!$S$12:$S$491,'G-2 Habitat groups'!A67,'D-3 Off Site Habitat Enhancment'!$V$12:$V$491)</f>
        <v>0</v>
      </c>
      <c r="Z67" s="494">
        <f>SUMIF('D-3 Off Site Habitat Enhancment'!$S$12:$S$491,'G-2 Habitat groups'!A67,'D-3 Off Site Habitat Enhancment'!$AP$12:$AP$491)</f>
        <v>0</v>
      </c>
      <c r="AA67" s="494">
        <f t="shared" ref="AA67:AA98" si="67">U67+W67+Y67</f>
        <v>0</v>
      </c>
      <c r="AB67" s="494">
        <f t="shared" ref="AB67:AB98" si="68">V67+X67+Z67</f>
        <v>0</v>
      </c>
      <c r="AC67" s="494">
        <f t="shared" ref="AC67:AC98" si="69">AA67-S67</f>
        <v>0</v>
      </c>
      <c r="AD67" s="494">
        <f t="shared" ref="AD67:AD98" si="70">AB67-T67</f>
        <v>0</v>
      </c>
      <c r="AE67" s="494">
        <f t="shared" ref="AE67:AE98" si="71">Q67+AC67</f>
        <v>0</v>
      </c>
      <c r="AF67" s="494">
        <f t="shared" ref="AF67:AF98" si="72">R67+AD67</f>
        <v>0</v>
      </c>
      <c r="AU67" s="119" t="s">
        <v>772</v>
      </c>
      <c r="AV67" s="88" t="s">
        <v>77</v>
      </c>
      <c r="AW67" s="494">
        <f t="shared" si="43"/>
        <v>0</v>
      </c>
      <c r="AX67" s="494">
        <f t="shared" si="44"/>
        <v>0</v>
      </c>
      <c r="AY67" s="494">
        <f t="shared" si="45"/>
        <v>0</v>
      </c>
      <c r="AZ67" s="494">
        <f t="shared" si="46"/>
        <v>0</v>
      </c>
      <c r="BA67" s="494">
        <f t="shared" si="47"/>
        <v>0</v>
      </c>
      <c r="BB67" s="494">
        <f t="shared" si="48"/>
        <v>0</v>
      </c>
      <c r="BC67" s="494">
        <f t="shared" si="49"/>
        <v>0</v>
      </c>
      <c r="BD67" s="494">
        <f t="shared" si="50"/>
        <v>0</v>
      </c>
      <c r="BE67" s="494">
        <f t="shared" si="51"/>
        <v>0</v>
      </c>
      <c r="BF67" s="494" t="str">
        <f t="shared" si="52"/>
        <v/>
      </c>
    </row>
    <row r="68" spans="1:59" x14ac:dyDescent="0.3">
      <c r="A68" s="104" t="str">
        <f>'G-1 All Habitats'!B67</f>
        <v>Urban - Ground level planters</v>
      </c>
      <c r="B68" s="88" t="str">
        <f>'G-1 All Habitats'!F67</f>
        <v>Urban</v>
      </c>
      <c r="C68" s="88" t="str">
        <f>'G-1 All Habitats'!K67</f>
        <v>Low</v>
      </c>
      <c r="D68" s="88" t="str">
        <f>'G-1 All Habitats'!M67</f>
        <v>Same distinctiveness or better habitat required ≥</v>
      </c>
      <c r="E68" s="494">
        <f>IF(C68="V.High",SUMIF('A-1 Site Habitat Baseline'!$G$11:$G$258,'G-2 Habitat groups'!A68,'A-1 Site Habitat Baseline'!$S$11:$S$258)+SUMIF('A-1 Site Habitat Baseline'!$G$11:$G$258,'G-2 Habitat groups'!A68,'A-1 Site Habitat Baseline'!$T$11:$T$258),SUMIF('A-1 Site Habitat Baseline'!$G$11:$G$258,'G-2 Habitat groups'!A68,'A-1 Site Habitat Baseline'!$H$11:$H$258))</f>
        <v>0</v>
      </c>
      <c r="F68" s="494">
        <f>SUMIF('A-1 Site Habitat Baseline'!$G$11:$G$258,'G-2 Habitat groups'!A68,'A-1 Site Habitat Baseline'!$Q$11:$Q$258)</f>
        <v>0</v>
      </c>
      <c r="G68" s="494">
        <f>SUMIF('A-1 Site Habitat Baseline'!$G$11:$G$258,'G-2 Habitat groups'!A68,'A-1 Site Habitat Baseline'!$S$11:$S$258)</f>
        <v>0</v>
      </c>
      <c r="H68" s="494">
        <f>SUMIF('A-1 Site Habitat Baseline'!$G$11:$G$258,'G-2 Habitat groups'!A68,'A-1 Site Habitat Baseline'!$U$11:$U$258)</f>
        <v>0</v>
      </c>
      <c r="I68" s="494">
        <f>SUMIF('A-1 Site Habitat Baseline'!$G$11:$G$258,'G-2 Habitat groups'!A68,'A-1 Site Habitat Baseline'!$W$11:$W$258)</f>
        <v>0</v>
      </c>
      <c r="J68" s="494">
        <f>SUMIF('A-1 Site Habitat Baseline'!$G$11:$G$258,'G-2 Habitat groups'!A68,'A-1 Site Habitat Baseline'!$X$11:$X$258)</f>
        <v>0</v>
      </c>
      <c r="K68" s="494">
        <f>SUMIF('A-2 Site Habitat Creation'!$F$11:$F$256,'G-2 Habitat groups'!A68,'A-2 Site Habitat Creation'!$G$11:$G$256)</f>
        <v>0</v>
      </c>
      <c r="L68" s="494">
        <f>SUMIF('A-2 Site Habitat Creation'!$F$11:$F$256,'G-2 Habitat groups'!A68,'A-2 Site Habitat Creation'!$Y$11:$Y$256)</f>
        <v>0</v>
      </c>
      <c r="M68" s="494">
        <f>SUMIF('A-3 Site Habitat Enhancement'!$S$12:$S$257,'G-2 Habitat groups'!A68,'A-3 Site Habitat Enhancement'!$V$12:$V$257)</f>
        <v>0</v>
      </c>
      <c r="N68" s="494">
        <f>SUMIF('A-3 Site Habitat Enhancement'!$S$12:$S$257,'G-2 Habitat groups'!A68,'A-3 Site Habitat Enhancement'!$AN$12:$AN$257)</f>
        <v>0</v>
      </c>
      <c r="O68" s="494">
        <f t="shared" si="63"/>
        <v>0</v>
      </c>
      <c r="P68" s="494">
        <f t="shared" si="64"/>
        <v>0</v>
      </c>
      <c r="Q68" s="494">
        <f t="shared" si="65"/>
        <v>0</v>
      </c>
      <c r="R68" s="494">
        <f t="shared" si="66"/>
        <v>0</v>
      </c>
      <c r="S68" s="494">
        <f>IF(C68="V.High",SUMIF('D-1 Off Site Habitat Baseline'!$G$11:$G$258,'G-2 Habitat groups'!A68,'D-1 Off Site Habitat Baseline'!$S$11:$S$258)+SUMIF('D-1 Off Site Habitat Baseline'!$G$11:$G$258,'G-2 Habitat groups'!A68,'D-1 Off Site Habitat Baseline'!$T$11:$T$258),SUMIF('D-1 Off Site Habitat Baseline'!$G$11:$G$258,'G-2 Habitat groups'!A68,'D-1 Off Site Habitat Baseline'!$H$11:$H$258))</f>
        <v>0</v>
      </c>
      <c r="T68" s="494">
        <f>SUMIF('D-1 Off Site Habitat Baseline'!$G$11:$G$258,'G-2 Habitat groups'!A68,'D-1 Off Site Habitat Baseline'!$Q$11:$Q$258)</f>
        <v>0</v>
      </c>
      <c r="U68" s="591">
        <f>SUMIF('D-1 Off Site Habitat Baseline'!$G$11:$G$258,'G-2 Habitat groups'!A68,'D-1 Off Site Habitat Baseline'!$S$11:$S$258)</f>
        <v>0</v>
      </c>
      <c r="V68" s="494">
        <f>SUMIF('D-1 Off Site Habitat Baseline'!$G$11:$G$258,'G-2 Habitat groups'!A68,'D-1 Off Site Habitat Baseline'!$U$11:$U$258)</f>
        <v>0</v>
      </c>
      <c r="W68" s="494">
        <f>SUMIF('D-2 Off Site Habitat Creation'!$F$9:$F$255,'G-2 Habitat groups'!A68,'D-2 Off Site Habitat Creation'!$G$9:$G$255)</f>
        <v>0</v>
      </c>
      <c r="X68" s="494">
        <f>SUMIF('D-2 Off Site Habitat Creation'!$F$9:$F$255,'G-2 Habitat groups'!A68,'D-2 Off Site Habitat Creation'!$AA$9:$AA$255)</f>
        <v>0</v>
      </c>
      <c r="Y68" s="494">
        <f>SUMIF('D-3 Off Site Habitat Enhancment'!$S$12:$S$491,'G-2 Habitat groups'!A68,'D-3 Off Site Habitat Enhancment'!$V$12:$V$491)</f>
        <v>0</v>
      </c>
      <c r="Z68" s="494">
        <f>SUMIF('D-3 Off Site Habitat Enhancment'!$S$12:$S$491,'G-2 Habitat groups'!A68,'D-3 Off Site Habitat Enhancment'!$AP$12:$AP$491)</f>
        <v>0</v>
      </c>
      <c r="AA68" s="494">
        <f t="shared" si="67"/>
        <v>0</v>
      </c>
      <c r="AB68" s="494">
        <f t="shared" si="68"/>
        <v>0</v>
      </c>
      <c r="AC68" s="494">
        <f t="shared" si="69"/>
        <v>0</v>
      </c>
      <c r="AD68" s="494">
        <f t="shared" si="70"/>
        <v>0</v>
      </c>
      <c r="AE68" s="494">
        <f t="shared" si="71"/>
        <v>0</v>
      </c>
      <c r="AF68" s="494">
        <f t="shared" si="72"/>
        <v>0</v>
      </c>
      <c r="AU68" s="119" t="s">
        <v>776</v>
      </c>
      <c r="AV68" s="88" t="s">
        <v>77</v>
      </c>
      <c r="AW68" s="494">
        <f t="shared" si="43"/>
        <v>0</v>
      </c>
      <c r="AX68" s="494">
        <f t="shared" si="44"/>
        <v>0</v>
      </c>
      <c r="AY68" s="494">
        <f t="shared" si="45"/>
        <v>0</v>
      </c>
      <c r="AZ68" s="494">
        <f t="shared" si="46"/>
        <v>0</v>
      </c>
      <c r="BA68" s="494">
        <f t="shared" si="47"/>
        <v>0</v>
      </c>
      <c r="BB68" s="494">
        <f t="shared" si="48"/>
        <v>0</v>
      </c>
      <c r="BC68" s="494">
        <f t="shared" si="49"/>
        <v>0</v>
      </c>
      <c r="BD68" s="494">
        <f t="shared" si="50"/>
        <v>0</v>
      </c>
      <c r="BE68" s="494">
        <f t="shared" si="51"/>
        <v>0</v>
      </c>
      <c r="BF68" s="494" t="str">
        <f t="shared" si="52"/>
        <v/>
      </c>
    </row>
    <row r="69" spans="1:59" x14ac:dyDescent="0.3">
      <c r="A69" s="104" t="str">
        <f>'G-1 All Habitats'!B68</f>
        <v>Urban - Biodiverse green roof</v>
      </c>
      <c r="B69" s="88" t="str">
        <f>'G-1 All Habitats'!F68</f>
        <v>Urban</v>
      </c>
      <c r="C69" s="88" t="str">
        <f>'G-1 All Habitats'!K68</f>
        <v>Medium</v>
      </c>
      <c r="D69" s="88" t="str">
        <f>'G-1 All Habitats'!M68</f>
        <v>Same broad habitat or a higher distinctiveness habitat required (≥)</v>
      </c>
      <c r="E69" s="494">
        <f>IF(C69="V.High",SUMIF('A-1 Site Habitat Baseline'!$G$11:$G$258,'G-2 Habitat groups'!A69,'A-1 Site Habitat Baseline'!$S$11:$S$258)+SUMIF('A-1 Site Habitat Baseline'!$G$11:$G$258,'G-2 Habitat groups'!A69,'A-1 Site Habitat Baseline'!$T$11:$T$258),SUMIF('A-1 Site Habitat Baseline'!$G$11:$G$258,'G-2 Habitat groups'!A69,'A-1 Site Habitat Baseline'!$H$11:$H$258))</f>
        <v>0</v>
      </c>
      <c r="F69" s="494">
        <f>SUMIF('A-1 Site Habitat Baseline'!$G$11:$G$258,'G-2 Habitat groups'!A69,'A-1 Site Habitat Baseline'!$Q$11:$Q$258)</f>
        <v>0</v>
      </c>
      <c r="G69" s="494">
        <f>SUMIF('A-1 Site Habitat Baseline'!$G$11:$G$258,'G-2 Habitat groups'!A69,'A-1 Site Habitat Baseline'!$S$11:$S$258)</f>
        <v>0</v>
      </c>
      <c r="H69" s="494">
        <f>SUMIF('A-1 Site Habitat Baseline'!$G$11:$G$258,'G-2 Habitat groups'!A69,'A-1 Site Habitat Baseline'!$U$11:$U$258)</f>
        <v>0</v>
      </c>
      <c r="I69" s="494">
        <f>SUMIF('A-1 Site Habitat Baseline'!$G$11:$G$258,'G-2 Habitat groups'!A69,'A-1 Site Habitat Baseline'!$W$11:$W$258)</f>
        <v>0</v>
      </c>
      <c r="J69" s="494">
        <f>SUMIF('A-1 Site Habitat Baseline'!$G$11:$G$258,'G-2 Habitat groups'!A69,'A-1 Site Habitat Baseline'!$X$11:$X$258)</f>
        <v>0</v>
      </c>
      <c r="K69" s="494">
        <f>SUMIF('A-2 Site Habitat Creation'!$F$11:$F$256,'G-2 Habitat groups'!A69,'A-2 Site Habitat Creation'!$G$11:$G$256)</f>
        <v>0</v>
      </c>
      <c r="L69" s="494">
        <f>SUMIF('A-2 Site Habitat Creation'!$F$11:$F$256,'G-2 Habitat groups'!A69,'A-2 Site Habitat Creation'!$Y$11:$Y$256)</f>
        <v>0</v>
      </c>
      <c r="M69" s="494">
        <f>SUMIF('A-3 Site Habitat Enhancement'!$S$12:$S$257,'G-2 Habitat groups'!A69,'A-3 Site Habitat Enhancement'!$V$12:$V$257)</f>
        <v>0</v>
      </c>
      <c r="N69" s="494">
        <f>SUMIF('A-3 Site Habitat Enhancement'!$S$12:$S$257,'G-2 Habitat groups'!A69,'A-3 Site Habitat Enhancement'!$AN$12:$AN$257)</f>
        <v>0</v>
      </c>
      <c r="O69" s="494">
        <f t="shared" si="63"/>
        <v>0</v>
      </c>
      <c r="P69" s="494">
        <f t="shared" si="64"/>
        <v>0</v>
      </c>
      <c r="Q69" s="494">
        <f t="shared" si="65"/>
        <v>0</v>
      </c>
      <c r="R69" s="494">
        <f t="shared" si="66"/>
        <v>0</v>
      </c>
      <c r="S69" s="494">
        <f>IF(C69="V.High",SUMIF('D-1 Off Site Habitat Baseline'!$G$11:$G$258,'G-2 Habitat groups'!A69,'D-1 Off Site Habitat Baseline'!$S$11:$S$258)+SUMIF('D-1 Off Site Habitat Baseline'!$G$11:$G$258,'G-2 Habitat groups'!A69,'D-1 Off Site Habitat Baseline'!$T$11:$T$258),SUMIF('D-1 Off Site Habitat Baseline'!$G$11:$G$258,'G-2 Habitat groups'!A69,'D-1 Off Site Habitat Baseline'!$H$11:$H$258))</f>
        <v>0</v>
      </c>
      <c r="T69" s="494">
        <f>SUMIF('D-1 Off Site Habitat Baseline'!$G$11:$G$258,'G-2 Habitat groups'!A69,'D-1 Off Site Habitat Baseline'!$Q$11:$Q$258)</f>
        <v>0</v>
      </c>
      <c r="U69" s="591">
        <f>SUMIF('D-1 Off Site Habitat Baseline'!$G$11:$G$258,'G-2 Habitat groups'!A69,'D-1 Off Site Habitat Baseline'!$S$11:$S$258)</f>
        <v>0</v>
      </c>
      <c r="V69" s="494">
        <f>SUMIF('D-1 Off Site Habitat Baseline'!$G$11:$G$258,'G-2 Habitat groups'!A69,'D-1 Off Site Habitat Baseline'!$U$11:$U$258)</f>
        <v>0</v>
      </c>
      <c r="W69" s="494">
        <f>SUMIF('D-2 Off Site Habitat Creation'!$F$9:$F$255,'G-2 Habitat groups'!A69,'D-2 Off Site Habitat Creation'!$G$9:$G$255)</f>
        <v>0</v>
      </c>
      <c r="X69" s="494">
        <f>SUMIF('D-2 Off Site Habitat Creation'!$F$9:$F$255,'G-2 Habitat groups'!A69,'D-2 Off Site Habitat Creation'!$AA$9:$AA$255)</f>
        <v>0</v>
      </c>
      <c r="Y69" s="494">
        <f>SUMIF('D-3 Off Site Habitat Enhancment'!$S$12:$S$491,'G-2 Habitat groups'!A69,'D-3 Off Site Habitat Enhancment'!$V$12:$V$491)</f>
        <v>0</v>
      </c>
      <c r="Z69" s="494">
        <f>SUMIF('D-3 Off Site Habitat Enhancment'!$S$12:$S$491,'G-2 Habitat groups'!A69,'D-3 Off Site Habitat Enhancment'!$AP$12:$AP$491)</f>
        <v>0</v>
      </c>
      <c r="AA69" s="494">
        <f t="shared" si="67"/>
        <v>0</v>
      </c>
      <c r="AB69" s="494">
        <f t="shared" si="68"/>
        <v>0</v>
      </c>
      <c r="AC69" s="494">
        <f t="shared" si="69"/>
        <v>0</v>
      </c>
      <c r="AD69" s="494">
        <f t="shared" si="70"/>
        <v>0</v>
      </c>
      <c r="AE69" s="494">
        <f t="shared" si="71"/>
        <v>0</v>
      </c>
      <c r="AF69" s="494">
        <f t="shared" si="72"/>
        <v>0</v>
      </c>
      <c r="AU69" s="118" t="s">
        <v>779</v>
      </c>
      <c r="AV69" s="88" t="s">
        <v>77</v>
      </c>
      <c r="AW69" s="494">
        <f t="shared" si="43"/>
        <v>0</v>
      </c>
      <c r="AX69" s="494">
        <f t="shared" si="44"/>
        <v>0</v>
      </c>
      <c r="AY69" s="494">
        <f t="shared" si="45"/>
        <v>0</v>
      </c>
      <c r="AZ69" s="494">
        <f t="shared" si="46"/>
        <v>0</v>
      </c>
      <c r="BA69" s="494">
        <f t="shared" si="47"/>
        <v>0</v>
      </c>
      <c r="BB69" s="494">
        <f t="shared" si="48"/>
        <v>0</v>
      </c>
      <c r="BC69" s="494">
        <f t="shared" si="49"/>
        <v>0</v>
      </c>
      <c r="BD69" s="494">
        <f t="shared" si="50"/>
        <v>0</v>
      </c>
      <c r="BE69" s="494">
        <f t="shared" si="51"/>
        <v>0</v>
      </c>
      <c r="BF69" s="494" t="str">
        <f t="shared" si="52"/>
        <v/>
      </c>
    </row>
    <row r="70" spans="1:59" x14ac:dyDescent="0.3">
      <c r="A70" s="104" t="str">
        <f>'G-1 All Habitats'!B69</f>
        <v>Urban - Introduced shrub</v>
      </c>
      <c r="B70" s="88" t="str">
        <f>'G-1 All Habitats'!F69</f>
        <v>Urban</v>
      </c>
      <c r="C70" s="88" t="str">
        <f>'G-1 All Habitats'!K69</f>
        <v>Low</v>
      </c>
      <c r="D70" s="88" t="str">
        <f>'G-1 All Habitats'!M69</f>
        <v>Same distinctiveness or better habitat required ≥</v>
      </c>
      <c r="E70" s="494">
        <f>IF(C70="V.High",SUMIF('A-1 Site Habitat Baseline'!$G$11:$G$258,'G-2 Habitat groups'!A70,'A-1 Site Habitat Baseline'!$S$11:$S$258)+SUMIF('A-1 Site Habitat Baseline'!$G$11:$G$258,'G-2 Habitat groups'!A70,'A-1 Site Habitat Baseline'!$T$11:$T$258),SUMIF('A-1 Site Habitat Baseline'!$G$11:$G$258,'G-2 Habitat groups'!A70,'A-1 Site Habitat Baseline'!$H$11:$H$258))</f>
        <v>0</v>
      </c>
      <c r="F70" s="494">
        <f>SUMIF('A-1 Site Habitat Baseline'!$G$11:$G$258,'G-2 Habitat groups'!A70,'A-1 Site Habitat Baseline'!$Q$11:$Q$258)</f>
        <v>0</v>
      </c>
      <c r="G70" s="494">
        <f>SUMIF('A-1 Site Habitat Baseline'!$G$11:$G$258,'G-2 Habitat groups'!A70,'A-1 Site Habitat Baseline'!$S$11:$S$258)</f>
        <v>0</v>
      </c>
      <c r="H70" s="494">
        <f>SUMIF('A-1 Site Habitat Baseline'!$G$11:$G$258,'G-2 Habitat groups'!A70,'A-1 Site Habitat Baseline'!$U$11:$U$258)</f>
        <v>0</v>
      </c>
      <c r="I70" s="494">
        <f>SUMIF('A-1 Site Habitat Baseline'!$G$11:$G$258,'G-2 Habitat groups'!A70,'A-1 Site Habitat Baseline'!$W$11:$W$258)</f>
        <v>0</v>
      </c>
      <c r="J70" s="494">
        <f>SUMIF('A-1 Site Habitat Baseline'!$G$11:$G$258,'G-2 Habitat groups'!A70,'A-1 Site Habitat Baseline'!$X$11:$X$258)</f>
        <v>0</v>
      </c>
      <c r="K70" s="494">
        <f>SUMIF('A-2 Site Habitat Creation'!$F$11:$F$256,'G-2 Habitat groups'!A70,'A-2 Site Habitat Creation'!$G$11:$G$256)</f>
        <v>7.3000000000000001E-3</v>
      </c>
      <c r="L70" s="494">
        <f>SUMIF('A-2 Site Habitat Creation'!$F$11:$F$256,'G-2 Habitat groups'!A70,'A-2 Site Habitat Creation'!$Y$11:$Y$256)</f>
        <v>1.4088999999999999E-2</v>
      </c>
      <c r="M70" s="494">
        <f>SUMIF('A-3 Site Habitat Enhancement'!$S$12:$S$257,'G-2 Habitat groups'!A70,'A-3 Site Habitat Enhancement'!$V$12:$V$257)</f>
        <v>0</v>
      </c>
      <c r="N70" s="494">
        <f>SUMIF('A-3 Site Habitat Enhancement'!$S$12:$S$257,'G-2 Habitat groups'!A70,'A-3 Site Habitat Enhancement'!$AN$12:$AN$257)</f>
        <v>0</v>
      </c>
      <c r="O70" s="494">
        <f t="shared" si="63"/>
        <v>7.3000000000000001E-3</v>
      </c>
      <c r="P70" s="494">
        <f t="shared" si="64"/>
        <v>1.4088999999999999E-2</v>
      </c>
      <c r="Q70" s="494">
        <f t="shared" si="65"/>
        <v>7.3000000000000001E-3</v>
      </c>
      <c r="R70" s="494">
        <f t="shared" si="66"/>
        <v>1.4088999999999999E-2</v>
      </c>
      <c r="S70" s="494">
        <f>IF(C70="V.High",SUMIF('D-1 Off Site Habitat Baseline'!$G$11:$G$258,'G-2 Habitat groups'!A70,'D-1 Off Site Habitat Baseline'!$S$11:$S$258)+SUMIF('D-1 Off Site Habitat Baseline'!$G$11:$G$258,'G-2 Habitat groups'!A70,'D-1 Off Site Habitat Baseline'!$T$11:$T$258),SUMIF('D-1 Off Site Habitat Baseline'!$G$11:$G$258,'G-2 Habitat groups'!A70,'D-1 Off Site Habitat Baseline'!$H$11:$H$258))</f>
        <v>0</v>
      </c>
      <c r="T70" s="494">
        <f>SUMIF('D-1 Off Site Habitat Baseline'!$G$11:$G$258,'G-2 Habitat groups'!A70,'D-1 Off Site Habitat Baseline'!$Q$11:$Q$258)</f>
        <v>0</v>
      </c>
      <c r="U70" s="591">
        <f>SUMIF('D-1 Off Site Habitat Baseline'!$G$11:$G$258,'G-2 Habitat groups'!A70,'D-1 Off Site Habitat Baseline'!$S$11:$S$258)</f>
        <v>0</v>
      </c>
      <c r="V70" s="494">
        <f>SUMIF('D-1 Off Site Habitat Baseline'!$G$11:$G$258,'G-2 Habitat groups'!A70,'D-1 Off Site Habitat Baseline'!$U$11:$U$258)</f>
        <v>0</v>
      </c>
      <c r="W70" s="494">
        <f>SUMIF('D-2 Off Site Habitat Creation'!$F$9:$F$255,'G-2 Habitat groups'!A70,'D-2 Off Site Habitat Creation'!$G$9:$G$255)</f>
        <v>0</v>
      </c>
      <c r="X70" s="494">
        <f>SUMIF('D-2 Off Site Habitat Creation'!$F$9:$F$255,'G-2 Habitat groups'!A70,'D-2 Off Site Habitat Creation'!$AA$9:$AA$255)</f>
        <v>0</v>
      </c>
      <c r="Y70" s="494">
        <f>SUMIF('D-3 Off Site Habitat Enhancment'!$S$12:$S$491,'G-2 Habitat groups'!A70,'D-3 Off Site Habitat Enhancment'!$V$12:$V$491)</f>
        <v>0</v>
      </c>
      <c r="Z70" s="494">
        <f>SUMIF('D-3 Off Site Habitat Enhancment'!$S$12:$S$491,'G-2 Habitat groups'!A70,'D-3 Off Site Habitat Enhancment'!$AP$12:$AP$491)</f>
        <v>0</v>
      </c>
      <c r="AA70" s="494">
        <f t="shared" si="67"/>
        <v>0</v>
      </c>
      <c r="AB70" s="494">
        <f t="shared" si="68"/>
        <v>0</v>
      </c>
      <c r="AC70" s="494">
        <f t="shared" si="69"/>
        <v>0</v>
      </c>
      <c r="AD70" s="494">
        <f t="shared" si="70"/>
        <v>0</v>
      </c>
      <c r="AE70" s="494">
        <f t="shared" si="71"/>
        <v>7.3000000000000001E-3</v>
      </c>
      <c r="AF70" s="494">
        <f t="shared" si="72"/>
        <v>1.4088999999999999E-2</v>
      </c>
      <c r="AU70" s="105" t="s">
        <v>806</v>
      </c>
      <c r="AV70" s="88" t="s">
        <v>77</v>
      </c>
      <c r="AW70" s="494">
        <f t="shared" si="43"/>
        <v>0</v>
      </c>
      <c r="AX70" s="494">
        <f t="shared" si="44"/>
        <v>0</v>
      </c>
      <c r="AY70" s="494">
        <f t="shared" si="45"/>
        <v>0</v>
      </c>
      <c r="AZ70" s="494">
        <f t="shared" si="46"/>
        <v>0</v>
      </c>
      <c r="BA70" s="494">
        <f t="shared" si="47"/>
        <v>0</v>
      </c>
      <c r="BB70" s="494">
        <f t="shared" si="48"/>
        <v>0</v>
      </c>
      <c r="BC70" s="494">
        <f t="shared" si="49"/>
        <v>0</v>
      </c>
      <c r="BD70" s="494">
        <f t="shared" si="50"/>
        <v>0</v>
      </c>
      <c r="BE70" s="494">
        <f t="shared" si="51"/>
        <v>0</v>
      </c>
      <c r="BF70" s="494" t="str">
        <f t="shared" si="52"/>
        <v/>
      </c>
    </row>
    <row r="71" spans="1:59" x14ac:dyDescent="0.3">
      <c r="A71" s="104" t="str">
        <f>'G-1 All Habitats'!B70</f>
        <v>Urban - Open Mosaic Habitats on Previously Developed Land</v>
      </c>
      <c r="B71" s="88" t="str">
        <f>'G-1 All Habitats'!F70</f>
        <v>Urban</v>
      </c>
      <c r="C71" s="88" t="str">
        <f>'G-1 All Habitats'!K70</f>
        <v>High</v>
      </c>
      <c r="D71" s="88" t="str">
        <f>'G-1 All Habitats'!M70</f>
        <v>Same habitat required =</v>
      </c>
      <c r="E71" s="494">
        <f>IF(C71="V.High",SUMIF('A-1 Site Habitat Baseline'!$G$11:$G$258,'G-2 Habitat groups'!A71,'A-1 Site Habitat Baseline'!$S$11:$S$258)+SUMIF('A-1 Site Habitat Baseline'!$G$11:$G$258,'G-2 Habitat groups'!A71,'A-1 Site Habitat Baseline'!$T$11:$T$258),SUMIF('A-1 Site Habitat Baseline'!$G$11:$G$258,'G-2 Habitat groups'!A71,'A-1 Site Habitat Baseline'!$H$11:$H$258))</f>
        <v>0</v>
      </c>
      <c r="F71" s="494">
        <f>SUMIF('A-1 Site Habitat Baseline'!$G$11:$G$258,'G-2 Habitat groups'!A71,'A-1 Site Habitat Baseline'!$Q$11:$Q$258)</f>
        <v>0</v>
      </c>
      <c r="G71" s="494">
        <f>SUMIF('A-1 Site Habitat Baseline'!$G$11:$G$258,'G-2 Habitat groups'!A71,'A-1 Site Habitat Baseline'!$S$11:$S$258)</f>
        <v>0</v>
      </c>
      <c r="H71" s="494">
        <f>SUMIF('A-1 Site Habitat Baseline'!$G$11:$G$258,'G-2 Habitat groups'!A71,'A-1 Site Habitat Baseline'!$U$11:$U$258)</f>
        <v>0</v>
      </c>
      <c r="I71" s="494">
        <f>SUMIF('A-1 Site Habitat Baseline'!$G$11:$G$258,'G-2 Habitat groups'!A71,'A-1 Site Habitat Baseline'!$W$11:$W$258)</f>
        <v>0</v>
      </c>
      <c r="J71" s="494">
        <f>SUMIF('A-1 Site Habitat Baseline'!$G$11:$G$258,'G-2 Habitat groups'!A71,'A-1 Site Habitat Baseline'!$X$11:$X$258)</f>
        <v>0</v>
      </c>
      <c r="K71" s="494">
        <f>SUMIF('A-2 Site Habitat Creation'!$F$11:$F$256,'G-2 Habitat groups'!A71,'A-2 Site Habitat Creation'!$G$11:$G$256)</f>
        <v>0</v>
      </c>
      <c r="L71" s="494">
        <f>SUMIF('A-2 Site Habitat Creation'!$F$11:$F$256,'G-2 Habitat groups'!A71,'A-2 Site Habitat Creation'!$Y$11:$Y$256)</f>
        <v>0</v>
      </c>
      <c r="M71" s="494">
        <f>SUMIF('A-3 Site Habitat Enhancement'!$S$12:$S$257,'G-2 Habitat groups'!A71,'A-3 Site Habitat Enhancement'!$V$12:$V$257)</f>
        <v>0</v>
      </c>
      <c r="N71" s="494">
        <f>SUMIF('A-3 Site Habitat Enhancement'!$S$12:$S$257,'G-2 Habitat groups'!A71,'A-3 Site Habitat Enhancement'!$AN$12:$AN$257)</f>
        <v>0</v>
      </c>
      <c r="O71" s="494">
        <f t="shared" si="63"/>
        <v>0</v>
      </c>
      <c r="P71" s="494">
        <f t="shared" si="64"/>
        <v>0</v>
      </c>
      <c r="Q71" s="494">
        <f t="shared" si="65"/>
        <v>0</v>
      </c>
      <c r="R71" s="494">
        <f t="shared" si="66"/>
        <v>0</v>
      </c>
      <c r="S71" s="494">
        <f>IF(C71="V.High",SUMIF('D-1 Off Site Habitat Baseline'!$G$11:$G$258,'G-2 Habitat groups'!A71,'D-1 Off Site Habitat Baseline'!$S$11:$S$258)+SUMIF('D-1 Off Site Habitat Baseline'!$G$11:$G$258,'G-2 Habitat groups'!A71,'D-1 Off Site Habitat Baseline'!$T$11:$T$258),SUMIF('D-1 Off Site Habitat Baseline'!$G$11:$G$258,'G-2 Habitat groups'!A71,'D-1 Off Site Habitat Baseline'!$H$11:$H$258))</f>
        <v>0</v>
      </c>
      <c r="T71" s="494">
        <f>SUMIF('D-1 Off Site Habitat Baseline'!$G$11:$G$258,'G-2 Habitat groups'!A71,'D-1 Off Site Habitat Baseline'!$Q$11:$Q$258)</f>
        <v>0</v>
      </c>
      <c r="U71" s="591">
        <f>SUMIF('D-1 Off Site Habitat Baseline'!$G$11:$G$258,'G-2 Habitat groups'!A71,'D-1 Off Site Habitat Baseline'!$S$11:$S$258)</f>
        <v>0</v>
      </c>
      <c r="V71" s="494">
        <f>SUMIF('D-1 Off Site Habitat Baseline'!$G$11:$G$258,'G-2 Habitat groups'!A71,'D-1 Off Site Habitat Baseline'!$U$11:$U$258)</f>
        <v>0</v>
      </c>
      <c r="W71" s="494">
        <f>SUMIF('D-2 Off Site Habitat Creation'!$F$9:$F$255,'G-2 Habitat groups'!A71,'D-2 Off Site Habitat Creation'!$G$9:$G$255)</f>
        <v>0</v>
      </c>
      <c r="X71" s="494">
        <f>SUMIF('D-2 Off Site Habitat Creation'!$F$9:$F$255,'G-2 Habitat groups'!A71,'D-2 Off Site Habitat Creation'!$AA$9:$AA$255)</f>
        <v>0</v>
      </c>
      <c r="Y71" s="494">
        <f>SUMIF('D-3 Off Site Habitat Enhancment'!$S$12:$S$491,'G-2 Habitat groups'!A71,'D-3 Off Site Habitat Enhancment'!$V$12:$V$491)</f>
        <v>0</v>
      </c>
      <c r="Z71" s="494">
        <f>SUMIF('D-3 Off Site Habitat Enhancment'!$S$12:$S$491,'G-2 Habitat groups'!A71,'D-3 Off Site Habitat Enhancment'!$AP$12:$AP$491)</f>
        <v>0</v>
      </c>
      <c r="AA71" s="494">
        <f t="shared" si="67"/>
        <v>0</v>
      </c>
      <c r="AB71" s="494">
        <f t="shared" si="68"/>
        <v>0</v>
      </c>
      <c r="AC71" s="494">
        <f t="shared" si="69"/>
        <v>0</v>
      </c>
      <c r="AD71" s="494">
        <f t="shared" si="70"/>
        <v>0</v>
      </c>
      <c r="AE71" s="494">
        <f t="shared" si="71"/>
        <v>0</v>
      </c>
      <c r="AF71" s="494">
        <f t="shared" si="72"/>
        <v>0</v>
      </c>
    </row>
    <row r="72" spans="1:59" x14ac:dyDescent="0.3">
      <c r="A72" s="104" t="str">
        <f>'G-1 All Habitats'!B71</f>
        <v>Urban - Rain garden</v>
      </c>
      <c r="B72" s="88" t="str">
        <f>'G-1 All Habitats'!F71</f>
        <v>Urban</v>
      </c>
      <c r="C72" s="88" t="str">
        <f>'G-1 All Habitats'!K71</f>
        <v>Low</v>
      </c>
      <c r="D72" s="88" t="str">
        <f>'G-1 All Habitats'!M71</f>
        <v>Same distinctiveness or better habitat required ≥</v>
      </c>
      <c r="E72" s="494">
        <f>IF(C72="V.High",SUMIF('A-1 Site Habitat Baseline'!$G$11:$G$258,'G-2 Habitat groups'!A72,'A-1 Site Habitat Baseline'!$S$11:$S$258)+SUMIF('A-1 Site Habitat Baseline'!$G$11:$G$258,'G-2 Habitat groups'!A72,'A-1 Site Habitat Baseline'!$T$11:$T$258),SUMIF('A-1 Site Habitat Baseline'!$G$11:$G$258,'G-2 Habitat groups'!A72,'A-1 Site Habitat Baseline'!$H$11:$H$258))</f>
        <v>0</v>
      </c>
      <c r="F72" s="494">
        <f>SUMIF('A-1 Site Habitat Baseline'!$G$11:$G$258,'G-2 Habitat groups'!A72,'A-1 Site Habitat Baseline'!$Q$11:$Q$258)</f>
        <v>0</v>
      </c>
      <c r="G72" s="494">
        <f>SUMIF('A-1 Site Habitat Baseline'!$G$11:$G$258,'G-2 Habitat groups'!A72,'A-1 Site Habitat Baseline'!$S$11:$S$258)</f>
        <v>0</v>
      </c>
      <c r="H72" s="494">
        <f>SUMIF('A-1 Site Habitat Baseline'!$G$11:$G$258,'G-2 Habitat groups'!A72,'A-1 Site Habitat Baseline'!$U$11:$U$258)</f>
        <v>0</v>
      </c>
      <c r="I72" s="494">
        <f>SUMIF('A-1 Site Habitat Baseline'!$G$11:$G$258,'G-2 Habitat groups'!A72,'A-1 Site Habitat Baseline'!$W$11:$W$258)</f>
        <v>0</v>
      </c>
      <c r="J72" s="494">
        <f>SUMIF('A-1 Site Habitat Baseline'!$G$11:$G$258,'G-2 Habitat groups'!A72,'A-1 Site Habitat Baseline'!$X$11:$X$258)</f>
        <v>0</v>
      </c>
      <c r="K72" s="494">
        <f>SUMIF('A-2 Site Habitat Creation'!$F$11:$F$256,'G-2 Habitat groups'!A72,'A-2 Site Habitat Creation'!$G$11:$G$256)</f>
        <v>0</v>
      </c>
      <c r="L72" s="494">
        <f>SUMIF('A-2 Site Habitat Creation'!$F$11:$F$256,'G-2 Habitat groups'!A72,'A-2 Site Habitat Creation'!$Y$11:$Y$256)</f>
        <v>0</v>
      </c>
      <c r="M72" s="494">
        <f>SUMIF('A-3 Site Habitat Enhancement'!$S$12:$S$257,'G-2 Habitat groups'!A72,'A-3 Site Habitat Enhancement'!$V$12:$V$257)</f>
        <v>0</v>
      </c>
      <c r="N72" s="494">
        <f>SUMIF('A-3 Site Habitat Enhancement'!$S$12:$S$257,'G-2 Habitat groups'!A72,'A-3 Site Habitat Enhancement'!$AN$12:$AN$257)</f>
        <v>0</v>
      </c>
      <c r="O72" s="494">
        <f t="shared" si="63"/>
        <v>0</v>
      </c>
      <c r="P72" s="494">
        <f t="shared" si="64"/>
        <v>0</v>
      </c>
      <c r="Q72" s="494">
        <f t="shared" si="65"/>
        <v>0</v>
      </c>
      <c r="R72" s="494">
        <f t="shared" si="66"/>
        <v>0</v>
      </c>
      <c r="S72" s="494">
        <f>IF(C72="V.High",SUMIF('D-1 Off Site Habitat Baseline'!$G$11:$G$258,'G-2 Habitat groups'!A72,'D-1 Off Site Habitat Baseline'!$S$11:$S$258)+SUMIF('D-1 Off Site Habitat Baseline'!$G$11:$G$258,'G-2 Habitat groups'!A72,'D-1 Off Site Habitat Baseline'!$T$11:$T$258),SUMIF('D-1 Off Site Habitat Baseline'!$G$11:$G$258,'G-2 Habitat groups'!A72,'D-1 Off Site Habitat Baseline'!$H$11:$H$258))</f>
        <v>0</v>
      </c>
      <c r="T72" s="494">
        <f>SUMIF('D-1 Off Site Habitat Baseline'!$G$11:$G$258,'G-2 Habitat groups'!A72,'D-1 Off Site Habitat Baseline'!$Q$11:$Q$258)</f>
        <v>0</v>
      </c>
      <c r="U72" s="591">
        <f>SUMIF('D-1 Off Site Habitat Baseline'!$G$11:$G$258,'G-2 Habitat groups'!A72,'D-1 Off Site Habitat Baseline'!$S$11:$S$258)</f>
        <v>0</v>
      </c>
      <c r="V72" s="494">
        <f>SUMIF('D-1 Off Site Habitat Baseline'!$G$11:$G$258,'G-2 Habitat groups'!A72,'D-1 Off Site Habitat Baseline'!$U$11:$U$258)</f>
        <v>0</v>
      </c>
      <c r="W72" s="494">
        <f>SUMIF('D-2 Off Site Habitat Creation'!$F$9:$F$255,'G-2 Habitat groups'!A72,'D-2 Off Site Habitat Creation'!$G$9:$G$255)</f>
        <v>0</v>
      </c>
      <c r="X72" s="494">
        <f>SUMIF('D-2 Off Site Habitat Creation'!$F$9:$F$255,'G-2 Habitat groups'!A72,'D-2 Off Site Habitat Creation'!$AA$9:$AA$255)</f>
        <v>0</v>
      </c>
      <c r="Y72" s="494">
        <f>SUMIF('D-3 Off Site Habitat Enhancment'!$S$12:$S$491,'G-2 Habitat groups'!A72,'D-3 Off Site Habitat Enhancment'!$V$12:$V$491)</f>
        <v>0</v>
      </c>
      <c r="Z72" s="494">
        <f>SUMIF('D-3 Off Site Habitat Enhancment'!$S$12:$S$491,'G-2 Habitat groups'!A72,'D-3 Off Site Habitat Enhancment'!$AP$12:$AP$491)</f>
        <v>0</v>
      </c>
      <c r="AA72" s="494">
        <f t="shared" si="67"/>
        <v>0</v>
      </c>
      <c r="AB72" s="494">
        <f t="shared" si="68"/>
        <v>0</v>
      </c>
      <c r="AC72" s="494">
        <f t="shared" si="69"/>
        <v>0</v>
      </c>
      <c r="AD72" s="494">
        <f t="shared" si="70"/>
        <v>0</v>
      </c>
      <c r="AE72" s="494">
        <f t="shared" si="71"/>
        <v>0</v>
      </c>
      <c r="AF72" s="494">
        <f t="shared" si="72"/>
        <v>0</v>
      </c>
    </row>
    <row r="73" spans="1:59" x14ac:dyDescent="0.3">
      <c r="A73" s="104" t="str">
        <f>'G-1 All Habitats'!B72</f>
        <v>Urban - Actively worked sand pit quarry or open cast mine</v>
      </c>
      <c r="B73" s="88" t="str">
        <f>'G-1 All Habitats'!F72</f>
        <v>Urban</v>
      </c>
      <c r="C73" s="88" t="str">
        <f>'G-1 All Habitats'!K72</f>
        <v>Low</v>
      </c>
      <c r="D73" s="88" t="str">
        <f>'G-1 All Habitats'!M72</f>
        <v>Same distinctiveness or better habitat required ≥</v>
      </c>
      <c r="E73" s="494">
        <f>IF(C73="V.High",SUMIF('A-1 Site Habitat Baseline'!$G$11:$G$258,'G-2 Habitat groups'!A73,'A-1 Site Habitat Baseline'!$S$11:$S$258)+SUMIF('A-1 Site Habitat Baseline'!$G$11:$G$258,'G-2 Habitat groups'!A73,'A-1 Site Habitat Baseline'!$T$11:$T$258),SUMIF('A-1 Site Habitat Baseline'!$G$11:$G$258,'G-2 Habitat groups'!A73,'A-1 Site Habitat Baseline'!$H$11:$H$258))</f>
        <v>0</v>
      </c>
      <c r="F73" s="494">
        <f>SUMIF('A-1 Site Habitat Baseline'!$G$11:$G$258,'G-2 Habitat groups'!A73,'A-1 Site Habitat Baseline'!$Q$11:$Q$258)</f>
        <v>0</v>
      </c>
      <c r="G73" s="494">
        <f>SUMIF('A-1 Site Habitat Baseline'!$G$11:$G$258,'G-2 Habitat groups'!A73,'A-1 Site Habitat Baseline'!$S$11:$S$258)</f>
        <v>0</v>
      </c>
      <c r="H73" s="494">
        <f>SUMIF('A-1 Site Habitat Baseline'!$G$11:$G$258,'G-2 Habitat groups'!A73,'A-1 Site Habitat Baseline'!$U$11:$U$258)</f>
        <v>0</v>
      </c>
      <c r="I73" s="494">
        <f>SUMIF('A-1 Site Habitat Baseline'!$G$11:$G$258,'G-2 Habitat groups'!A73,'A-1 Site Habitat Baseline'!$W$11:$W$258)</f>
        <v>0</v>
      </c>
      <c r="J73" s="494">
        <f>SUMIF('A-1 Site Habitat Baseline'!$G$11:$G$258,'G-2 Habitat groups'!A73,'A-1 Site Habitat Baseline'!$X$11:$X$258)</f>
        <v>0</v>
      </c>
      <c r="K73" s="494">
        <f>SUMIF('A-2 Site Habitat Creation'!$F$11:$F$256,'G-2 Habitat groups'!A73,'A-2 Site Habitat Creation'!$G$11:$G$256)</f>
        <v>0</v>
      </c>
      <c r="L73" s="494">
        <f>SUMIF('A-2 Site Habitat Creation'!$F$11:$F$256,'G-2 Habitat groups'!A73,'A-2 Site Habitat Creation'!$Y$11:$Y$256)</f>
        <v>0</v>
      </c>
      <c r="M73" s="494">
        <f>SUMIF('A-3 Site Habitat Enhancement'!$S$12:$S$257,'G-2 Habitat groups'!A73,'A-3 Site Habitat Enhancement'!$V$12:$V$257)</f>
        <v>0</v>
      </c>
      <c r="N73" s="494">
        <f>SUMIF('A-3 Site Habitat Enhancement'!$S$12:$S$257,'G-2 Habitat groups'!A73,'A-3 Site Habitat Enhancement'!$AN$12:$AN$257)</f>
        <v>0</v>
      </c>
      <c r="O73" s="494">
        <f t="shared" si="63"/>
        <v>0</v>
      </c>
      <c r="P73" s="494">
        <f t="shared" si="64"/>
        <v>0</v>
      </c>
      <c r="Q73" s="494">
        <f t="shared" si="65"/>
        <v>0</v>
      </c>
      <c r="R73" s="494">
        <f t="shared" si="66"/>
        <v>0</v>
      </c>
      <c r="S73" s="494">
        <f>IF(C73="V.High",SUMIF('D-1 Off Site Habitat Baseline'!$G$11:$G$258,'G-2 Habitat groups'!A73,'D-1 Off Site Habitat Baseline'!$S$11:$S$258)+SUMIF('D-1 Off Site Habitat Baseline'!$G$11:$G$258,'G-2 Habitat groups'!A73,'D-1 Off Site Habitat Baseline'!$T$11:$T$258),SUMIF('D-1 Off Site Habitat Baseline'!$G$11:$G$258,'G-2 Habitat groups'!A73,'D-1 Off Site Habitat Baseline'!$H$11:$H$258))</f>
        <v>0</v>
      </c>
      <c r="T73" s="494">
        <f>SUMIF('D-1 Off Site Habitat Baseline'!$G$11:$G$258,'G-2 Habitat groups'!A73,'D-1 Off Site Habitat Baseline'!$Q$11:$Q$258)</f>
        <v>0</v>
      </c>
      <c r="U73" s="591">
        <f>SUMIF('D-1 Off Site Habitat Baseline'!$G$11:$G$258,'G-2 Habitat groups'!A73,'D-1 Off Site Habitat Baseline'!$S$11:$S$258)</f>
        <v>0</v>
      </c>
      <c r="V73" s="494">
        <f>SUMIF('D-1 Off Site Habitat Baseline'!$G$11:$G$258,'G-2 Habitat groups'!A73,'D-1 Off Site Habitat Baseline'!$U$11:$U$258)</f>
        <v>0</v>
      </c>
      <c r="W73" s="494">
        <f>SUMIF('D-2 Off Site Habitat Creation'!$F$9:$F$255,'G-2 Habitat groups'!A73,'D-2 Off Site Habitat Creation'!$G$9:$G$255)</f>
        <v>0</v>
      </c>
      <c r="X73" s="494">
        <f>SUMIF('D-2 Off Site Habitat Creation'!$F$9:$F$255,'G-2 Habitat groups'!A73,'D-2 Off Site Habitat Creation'!$AA$9:$AA$255)</f>
        <v>0</v>
      </c>
      <c r="Y73" s="494">
        <f>SUMIF('D-3 Off Site Habitat Enhancment'!$S$12:$S$491,'G-2 Habitat groups'!A73,'D-3 Off Site Habitat Enhancment'!$V$12:$V$491)</f>
        <v>0</v>
      </c>
      <c r="Z73" s="494">
        <f>SUMIF('D-3 Off Site Habitat Enhancment'!$S$12:$S$491,'G-2 Habitat groups'!A73,'D-3 Off Site Habitat Enhancment'!$AP$12:$AP$491)</f>
        <v>0</v>
      </c>
      <c r="AA73" s="494">
        <f t="shared" si="67"/>
        <v>0</v>
      </c>
      <c r="AB73" s="494">
        <f t="shared" si="68"/>
        <v>0</v>
      </c>
      <c r="AC73" s="494">
        <f t="shared" si="69"/>
        <v>0</v>
      </c>
      <c r="AD73" s="494">
        <f t="shared" si="70"/>
        <v>0</v>
      </c>
      <c r="AE73" s="494">
        <f t="shared" si="71"/>
        <v>0</v>
      </c>
      <c r="AF73" s="494">
        <f t="shared" si="72"/>
        <v>0</v>
      </c>
    </row>
    <row r="74" spans="1:59" x14ac:dyDescent="0.3">
      <c r="A74" s="104" t="str">
        <f>'G-1 All Habitats'!B73</f>
        <v>Urban - Urban Tree</v>
      </c>
      <c r="B74" s="88" t="str">
        <f>'G-1 All Habitats'!F73</f>
        <v>Urban</v>
      </c>
      <c r="C74" s="88" t="str">
        <f>'G-1 All Habitats'!K73</f>
        <v>Medium</v>
      </c>
      <c r="D74" s="88" t="str">
        <f>'G-1 All Habitats'!M73</f>
        <v>Same broad habitat or a higher distinctiveness habitat required (≥)</v>
      </c>
      <c r="E74" s="494">
        <f>IF(C74="V.High",SUMIF('A-1 Site Habitat Baseline'!$G$11:$G$258,'G-2 Habitat groups'!A74,'A-1 Site Habitat Baseline'!$S$11:$S$258)+SUMIF('A-1 Site Habitat Baseline'!$G$11:$G$258,'G-2 Habitat groups'!A74,'A-1 Site Habitat Baseline'!$T$11:$T$258),SUMIF('A-1 Site Habitat Baseline'!$G$11:$G$258,'G-2 Habitat groups'!A74,'A-1 Site Habitat Baseline'!$H$11:$H$258))</f>
        <v>0</v>
      </c>
      <c r="F74" s="494">
        <f>SUMIF('A-1 Site Habitat Baseline'!$G$11:$G$258,'G-2 Habitat groups'!A74,'A-1 Site Habitat Baseline'!$Q$11:$Q$258)</f>
        <v>0</v>
      </c>
      <c r="G74" s="494">
        <f>SUMIF('A-1 Site Habitat Baseline'!$G$11:$G$258,'G-2 Habitat groups'!A74,'A-1 Site Habitat Baseline'!$S$11:$S$258)</f>
        <v>0</v>
      </c>
      <c r="H74" s="494">
        <f>SUMIF('A-1 Site Habitat Baseline'!$G$11:$G$258,'G-2 Habitat groups'!A74,'A-1 Site Habitat Baseline'!$U$11:$U$258)</f>
        <v>0</v>
      </c>
      <c r="I74" s="494">
        <f>SUMIF('A-1 Site Habitat Baseline'!$G$11:$G$258,'G-2 Habitat groups'!A74,'A-1 Site Habitat Baseline'!$W$11:$W$258)</f>
        <v>0</v>
      </c>
      <c r="J74" s="494">
        <f>SUMIF('A-1 Site Habitat Baseline'!$G$11:$G$258,'G-2 Habitat groups'!A74,'A-1 Site Habitat Baseline'!$X$11:$X$258)</f>
        <v>0</v>
      </c>
      <c r="K74" s="494">
        <f>SUMIF('A-2 Site Habitat Creation'!$F$11:$F$256,'G-2 Habitat groups'!A74,'A-2 Site Habitat Creation'!$G$11:$G$256)</f>
        <v>0.3296</v>
      </c>
      <c r="L74" s="494">
        <f>SUMIF('A-2 Site Habitat Creation'!$F$11:$F$256,'G-2 Habitat groups'!A74,'A-2 Site Habitat Creation'!$Y$11:$Y$256)</f>
        <v>1.0617399728510717</v>
      </c>
      <c r="M74" s="494">
        <f>SUMIF('A-3 Site Habitat Enhancement'!$S$12:$S$257,'G-2 Habitat groups'!A74,'A-3 Site Habitat Enhancement'!$V$12:$V$257)</f>
        <v>0</v>
      </c>
      <c r="N74" s="494">
        <f>SUMIF('A-3 Site Habitat Enhancement'!$S$12:$S$257,'G-2 Habitat groups'!A74,'A-3 Site Habitat Enhancement'!$AN$12:$AN$257)</f>
        <v>0</v>
      </c>
      <c r="O74" s="494">
        <f t="shared" si="63"/>
        <v>0.3296</v>
      </c>
      <c r="P74" s="494">
        <f t="shared" si="64"/>
        <v>1.0617399728510717</v>
      </c>
      <c r="Q74" s="494">
        <f t="shared" si="65"/>
        <v>0.3296</v>
      </c>
      <c r="R74" s="494">
        <f t="shared" si="66"/>
        <v>1.0617399728510717</v>
      </c>
      <c r="S74" s="494">
        <f>IF(C74="V.High",SUMIF('D-1 Off Site Habitat Baseline'!$G$11:$G$258,'G-2 Habitat groups'!A74,'D-1 Off Site Habitat Baseline'!$S$11:$S$258)+SUMIF('D-1 Off Site Habitat Baseline'!$G$11:$G$258,'G-2 Habitat groups'!A74,'D-1 Off Site Habitat Baseline'!$T$11:$T$258),SUMIF('D-1 Off Site Habitat Baseline'!$G$11:$G$258,'G-2 Habitat groups'!A74,'D-1 Off Site Habitat Baseline'!$H$11:$H$258))</f>
        <v>0</v>
      </c>
      <c r="T74" s="494">
        <f>SUMIF('D-1 Off Site Habitat Baseline'!$G$11:$G$258,'G-2 Habitat groups'!A74,'D-1 Off Site Habitat Baseline'!$Q$11:$Q$258)</f>
        <v>0</v>
      </c>
      <c r="U74" s="591">
        <f>SUMIF('D-1 Off Site Habitat Baseline'!$G$11:$G$258,'G-2 Habitat groups'!A74,'D-1 Off Site Habitat Baseline'!$S$11:$S$258)</f>
        <v>0</v>
      </c>
      <c r="V74" s="494">
        <f>SUMIF('D-1 Off Site Habitat Baseline'!$G$11:$G$258,'G-2 Habitat groups'!A74,'D-1 Off Site Habitat Baseline'!$U$11:$U$258)</f>
        <v>0</v>
      </c>
      <c r="W74" s="494">
        <f>SUMIF('D-2 Off Site Habitat Creation'!$F$9:$F$255,'G-2 Habitat groups'!A74,'D-2 Off Site Habitat Creation'!$G$9:$G$255)</f>
        <v>0</v>
      </c>
      <c r="X74" s="494">
        <f>SUMIF('D-2 Off Site Habitat Creation'!$F$9:$F$255,'G-2 Habitat groups'!A74,'D-2 Off Site Habitat Creation'!$AA$9:$AA$255)</f>
        <v>0</v>
      </c>
      <c r="Y74" s="494">
        <f>SUMIF('D-3 Off Site Habitat Enhancment'!$S$12:$S$491,'G-2 Habitat groups'!A74,'D-3 Off Site Habitat Enhancment'!$V$12:$V$491)</f>
        <v>0</v>
      </c>
      <c r="Z74" s="494">
        <f>SUMIF('D-3 Off Site Habitat Enhancment'!$S$12:$S$491,'G-2 Habitat groups'!A74,'D-3 Off Site Habitat Enhancment'!$AP$12:$AP$491)</f>
        <v>0</v>
      </c>
      <c r="AA74" s="494">
        <f t="shared" si="67"/>
        <v>0</v>
      </c>
      <c r="AB74" s="494">
        <f t="shared" si="68"/>
        <v>0</v>
      </c>
      <c r="AC74" s="494">
        <f t="shared" si="69"/>
        <v>0</v>
      </c>
      <c r="AD74" s="494">
        <f t="shared" si="70"/>
        <v>0</v>
      </c>
      <c r="AE74" s="494">
        <f t="shared" si="71"/>
        <v>0.3296</v>
      </c>
      <c r="AF74" s="494">
        <f t="shared" si="72"/>
        <v>1.0617399728510717</v>
      </c>
    </row>
    <row r="75" spans="1:59" ht="35" x14ac:dyDescent="0.7">
      <c r="A75" s="104" t="str">
        <f>'G-1 All Habitats'!B74</f>
        <v>Urban - Sustainable urban drainage feature</v>
      </c>
      <c r="B75" s="88" t="str">
        <f>'G-1 All Habitats'!F74</f>
        <v>Urban</v>
      </c>
      <c r="C75" s="88" t="str">
        <f>'G-1 All Habitats'!K74</f>
        <v>Low</v>
      </c>
      <c r="D75" s="88" t="str">
        <f>'G-1 All Habitats'!M74</f>
        <v>Same distinctiveness or better habitat required ≥</v>
      </c>
      <c r="E75" s="494">
        <f>IF(C75="V.High",SUMIF('A-1 Site Habitat Baseline'!$G$11:$G$258,'G-2 Habitat groups'!A75,'A-1 Site Habitat Baseline'!$S$11:$S$258)+SUMIF('A-1 Site Habitat Baseline'!$G$11:$G$258,'G-2 Habitat groups'!A75,'A-1 Site Habitat Baseline'!$T$11:$T$258),SUMIF('A-1 Site Habitat Baseline'!$G$11:$G$258,'G-2 Habitat groups'!A75,'A-1 Site Habitat Baseline'!$H$11:$H$258))</f>
        <v>0</v>
      </c>
      <c r="F75" s="494">
        <f>SUMIF('A-1 Site Habitat Baseline'!$G$11:$G$258,'G-2 Habitat groups'!A75,'A-1 Site Habitat Baseline'!$Q$11:$Q$258)</f>
        <v>0</v>
      </c>
      <c r="G75" s="494">
        <f>SUMIF('A-1 Site Habitat Baseline'!$G$11:$G$258,'G-2 Habitat groups'!A75,'A-1 Site Habitat Baseline'!$S$11:$S$258)</f>
        <v>0</v>
      </c>
      <c r="H75" s="494">
        <f>SUMIF('A-1 Site Habitat Baseline'!$G$11:$G$258,'G-2 Habitat groups'!A75,'A-1 Site Habitat Baseline'!$U$11:$U$258)</f>
        <v>0</v>
      </c>
      <c r="I75" s="494">
        <f>SUMIF('A-1 Site Habitat Baseline'!$G$11:$G$258,'G-2 Habitat groups'!A75,'A-1 Site Habitat Baseline'!$W$11:$W$258)</f>
        <v>0</v>
      </c>
      <c r="J75" s="494">
        <f>SUMIF('A-1 Site Habitat Baseline'!$G$11:$G$258,'G-2 Habitat groups'!A75,'A-1 Site Habitat Baseline'!$X$11:$X$258)</f>
        <v>0</v>
      </c>
      <c r="K75" s="494">
        <f>SUMIF('A-2 Site Habitat Creation'!$F$11:$F$256,'G-2 Habitat groups'!A75,'A-2 Site Habitat Creation'!$G$11:$G$256)</f>
        <v>0</v>
      </c>
      <c r="L75" s="494">
        <f>SUMIF('A-2 Site Habitat Creation'!$F$11:$F$256,'G-2 Habitat groups'!A75,'A-2 Site Habitat Creation'!$Y$11:$Y$256)</f>
        <v>0</v>
      </c>
      <c r="M75" s="494">
        <f>SUMIF('A-3 Site Habitat Enhancement'!$S$12:$S$257,'G-2 Habitat groups'!A75,'A-3 Site Habitat Enhancement'!$V$12:$V$257)</f>
        <v>0</v>
      </c>
      <c r="N75" s="494">
        <f>SUMIF('A-3 Site Habitat Enhancement'!$S$12:$S$257,'G-2 Habitat groups'!A75,'A-3 Site Habitat Enhancement'!$AN$12:$AN$257)</f>
        <v>0</v>
      </c>
      <c r="O75" s="494">
        <f t="shared" si="63"/>
        <v>0</v>
      </c>
      <c r="P75" s="494">
        <f t="shared" si="64"/>
        <v>0</v>
      </c>
      <c r="Q75" s="494">
        <f t="shared" si="65"/>
        <v>0</v>
      </c>
      <c r="R75" s="494">
        <f t="shared" si="66"/>
        <v>0</v>
      </c>
      <c r="S75" s="494">
        <f>IF(C75="V.High",SUMIF('D-1 Off Site Habitat Baseline'!$G$11:$G$258,'G-2 Habitat groups'!A75,'D-1 Off Site Habitat Baseline'!$S$11:$S$258)+SUMIF('D-1 Off Site Habitat Baseline'!$G$11:$G$258,'G-2 Habitat groups'!A75,'D-1 Off Site Habitat Baseline'!$T$11:$T$258),SUMIF('D-1 Off Site Habitat Baseline'!$G$11:$G$258,'G-2 Habitat groups'!A75,'D-1 Off Site Habitat Baseline'!$H$11:$H$258))</f>
        <v>0</v>
      </c>
      <c r="T75" s="494">
        <f>SUMIF('D-1 Off Site Habitat Baseline'!$G$11:$G$258,'G-2 Habitat groups'!A75,'D-1 Off Site Habitat Baseline'!$Q$11:$Q$258)</f>
        <v>0</v>
      </c>
      <c r="U75" s="591">
        <f>SUMIF('D-1 Off Site Habitat Baseline'!$G$11:$G$258,'G-2 Habitat groups'!A75,'D-1 Off Site Habitat Baseline'!$S$11:$S$258)</f>
        <v>0</v>
      </c>
      <c r="V75" s="494">
        <f>SUMIF('D-1 Off Site Habitat Baseline'!$G$11:$G$258,'G-2 Habitat groups'!A75,'D-1 Off Site Habitat Baseline'!$U$11:$U$258)</f>
        <v>0</v>
      </c>
      <c r="W75" s="494">
        <f>SUMIF('D-2 Off Site Habitat Creation'!$F$9:$F$255,'G-2 Habitat groups'!A75,'D-2 Off Site Habitat Creation'!$G$9:$G$255)</f>
        <v>0</v>
      </c>
      <c r="X75" s="494">
        <f>SUMIF('D-2 Off Site Habitat Creation'!$F$9:$F$255,'G-2 Habitat groups'!A75,'D-2 Off Site Habitat Creation'!$AA$9:$AA$255)</f>
        <v>0</v>
      </c>
      <c r="Y75" s="494">
        <f>SUMIF('D-3 Off Site Habitat Enhancment'!$S$12:$S$491,'G-2 Habitat groups'!A75,'D-3 Off Site Habitat Enhancment'!$V$12:$V$491)</f>
        <v>0</v>
      </c>
      <c r="Z75" s="494">
        <f>SUMIF('D-3 Off Site Habitat Enhancment'!$S$12:$S$491,'G-2 Habitat groups'!A75,'D-3 Off Site Habitat Enhancment'!$AP$12:$AP$491)</f>
        <v>0</v>
      </c>
      <c r="AA75" s="494">
        <f t="shared" si="67"/>
        <v>0</v>
      </c>
      <c r="AB75" s="494">
        <f t="shared" si="68"/>
        <v>0</v>
      </c>
      <c r="AC75" s="494">
        <f t="shared" si="69"/>
        <v>0</v>
      </c>
      <c r="AD75" s="494">
        <f t="shared" si="70"/>
        <v>0</v>
      </c>
      <c r="AE75" s="494">
        <f t="shared" si="71"/>
        <v>0</v>
      </c>
      <c r="AF75" s="494">
        <f t="shared" si="72"/>
        <v>0</v>
      </c>
      <c r="AU75" s="360" t="s">
        <v>23</v>
      </c>
      <c r="AV75" s="99"/>
      <c r="AW75" s="99"/>
      <c r="AX75" s="99"/>
      <c r="AY75" s="99"/>
      <c r="AZ75" s="99"/>
      <c r="BA75" s="99"/>
      <c r="BB75" s="99"/>
      <c r="BC75" s="99"/>
      <c r="BD75" s="99"/>
      <c r="BE75" s="99"/>
      <c r="BF75" s="99"/>
      <c r="BG75" s="121"/>
    </row>
    <row r="76" spans="1:59" ht="33.75" customHeight="1" x14ac:dyDescent="0.35">
      <c r="A76" s="104" t="str">
        <f>'G-1 All Habitats'!B75</f>
        <v>Urban - Un-vegetated garden</v>
      </c>
      <c r="B76" s="88" t="str">
        <f>'G-1 All Habitats'!F75</f>
        <v>Urban</v>
      </c>
      <c r="C76" s="88" t="str">
        <f>'G-1 All Habitats'!K75</f>
        <v>V.Low</v>
      </c>
      <c r="D76" s="88" t="str">
        <f>'G-1 All Habitats'!M75</f>
        <v>Compensation Not Required</v>
      </c>
      <c r="E76" s="494">
        <f>IF(C76="V.High",SUMIF('A-1 Site Habitat Baseline'!$G$11:$G$258,'G-2 Habitat groups'!A76,'A-1 Site Habitat Baseline'!$S$11:$S$258)+SUMIF('A-1 Site Habitat Baseline'!$G$11:$G$258,'G-2 Habitat groups'!A76,'A-1 Site Habitat Baseline'!$T$11:$T$258),SUMIF('A-1 Site Habitat Baseline'!$G$11:$G$258,'G-2 Habitat groups'!A76,'A-1 Site Habitat Baseline'!$H$11:$H$258))</f>
        <v>0</v>
      </c>
      <c r="F76" s="494">
        <f>SUMIF('A-1 Site Habitat Baseline'!$G$11:$G$258,'G-2 Habitat groups'!A76,'A-1 Site Habitat Baseline'!$Q$11:$Q$258)</f>
        <v>0</v>
      </c>
      <c r="G76" s="494">
        <f>SUMIF('A-1 Site Habitat Baseline'!$G$11:$G$258,'G-2 Habitat groups'!A76,'A-1 Site Habitat Baseline'!$S$11:$S$258)</f>
        <v>0</v>
      </c>
      <c r="H76" s="494">
        <f>SUMIF('A-1 Site Habitat Baseline'!$G$11:$G$258,'G-2 Habitat groups'!A76,'A-1 Site Habitat Baseline'!$U$11:$U$258)</f>
        <v>0</v>
      </c>
      <c r="I76" s="494">
        <f>SUMIF('A-1 Site Habitat Baseline'!$G$11:$G$258,'G-2 Habitat groups'!A76,'A-1 Site Habitat Baseline'!$W$11:$W$258)</f>
        <v>0</v>
      </c>
      <c r="J76" s="494">
        <f>SUMIF('A-1 Site Habitat Baseline'!$G$11:$G$258,'G-2 Habitat groups'!A76,'A-1 Site Habitat Baseline'!$X$11:$X$258)</f>
        <v>0</v>
      </c>
      <c r="K76" s="494">
        <f>SUMIF('A-2 Site Habitat Creation'!$F$11:$F$256,'G-2 Habitat groups'!A76,'A-2 Site Habitat Creation'!$G$11:$G$256)</f>
        <v>0</v>
      </c>
      <c r="L76" s="494">
        <f>SUMIF('A-2 Site Habitat Creation'!$F$11:$F$256,'G-2 Habitat groups'!A76,'A-2 Site Habitat Creation'!$Y$11:$Y$256)</f>
        <v>0</v>
      </c>
      <c r="M76" s="494">
        <f>SUMIF('A-3 Site Habitat Enhancement'!$S$12:$S$257,'G-2 Habitat groups'!A76,'A-3 Site Habitat Enhancement'!$V$12:$V$257)</f>
        <v>0</v>
      </c>
      <c r="N76" s="494">
        <f>SUMIF('A-3 Site Habitat Enhancement'!$S$12:$S$257,'G-2 Habitat groups'!A76,'A-3 Site Habitat Enhancement'!$AN$12:$AN$257)</f>
        <v>0</v>
      </c>
      <c r="O76" s="494">
        <f t="shared" si="63"/>
        <v>0</v>
      </c>
      <c r="P76" s="494">
        <f t="shared" si="64"/>
        <v>0</v>
      </c>
      <c r="Q76" s="494">
        <f t="shared" si="65"/>
        <v>0</v>
      </c>
      <c r="R76" s="494">
        <f t="shared" si="66"/>
        <v>0</v>
      </c>
      <c r="S76" s="494">
        <f>IF(C76="V.High",SUMIF('D-1 Off Site Habitat Baseline'!$G$11:$G$258,'G-2 Habitat groups'!A76,'D-1 Off Site Habitat Baseline'!$S$11:$S$258)+SUMIF('D-1 Off Site Habitat Baseline'!$G$11:$G$258,'G-2 Habitat groups'!A76,'D-1 Off Site Habitat Baseline'!$T$11:$T$258),SUMIF('D-1 Off Site Habitat Baseline'!$G$11:$G$258,'G-2 Habitat groups'!A76,'D-1 Off Site Habitat Baseline'!$H$11:$H$258))</f>
        <v>0</v>
      </c>
      <c r="T76" s="494">
        <f>SUMIF('D-1 Off Site Habitat Baseline'!$G$11:$G$258,'G-2 Habitat groups'!A76,'D-1 Off Site Habitat Baseline'!$Q$11:$Q$258)</f>
        <v>0</v>
      </c>
      <c r="U76" s="591">
        <f>SUMIF('D-1 Off Site Habitat Baseline'!$G$11:$G$258,'G-2 Habitat groups'!A76,'D-1 Off Site Habitat Baseline'!$S$11:$S$258)</f>
        <v>0</v>
      </c>
      <c r="V76" s="494">
        <f>SUMIF('D-1 Off Site Habitat Baseline'!$G$11:$G$258,'G-2 Habitat groups'!A76,'D-1 Off Site Habitat Baseline'!$U$11:$U$258)</f>
        <v>0</v>
      </c>
      <c r="W76" s="494">
        <f>SUMIF('D-2 Off Site Habitat Creation'!$F$9:$F$255,'G-2 Habitat groups'!A76,'D-2 Off Site Habitat Creation'!$G$9:$G$255)</f>
        <v>0</v>
      </c>
      <c r="X76" s="494">
        <f>SUMIF('D-2 Off Site Habitat Creation'!$F$9:$F$255,'G-2 Habitat groups'!A76,'D-2 Off Site Habitat Creation'!$AA$9:$AA$255)</f>
        <v>0</v>
      </c>
      <c r="Y76" s="494">
        <f>SUMIF('D-3 Off Site Habitat Enhancment'!$S$12:$S$491,'G-2 Habitat groups'!A76,'D-3 Off Site Habitat Enhancment'!$V$12:$V$491)</f>
        <v>0</v>
      </c>
      <c r="Z76" s="494">
        <f>SUMIF('D-3 Off Site Habitat Enhancment'!$S$12:$S$491,'G-2 Habitat groups'!A76,'D-3 Off Site Habitat Enhancment'!$AP$12:$AP$491)</f>
        <v>0</v>
      </c>
      <c r="AA76" s="494">
        <f t="shared" si="67"/>
        <v>0</v>
      </c>
      <c r="AB76" s="494">
        <f t="shared" si="68"/>
        <v>0</v>
      </c>
      <c r="AC76" s="494">
        <f t="shared" si="69"/>
        <v>0</v>
      </c>
      <c r="AD76" s="494">
        <f t="shared" si="70"/>
        <v>0</v>
      </c>
      <c r="AE76" s="494">
        <f t="shared" si="71"/>
        <v>0</v>
      </c>
      <c r="AF76" s="494">
        <f t="shared" si="72"/>
        <v>0</v>
      </c>
      <c r="AU76" s="123" t="s">
        <v>173</v>
      </c>
      <c r="AV76" s="127" t="s">
        <v>160</v>
      </c>
      <c r="AW76" s="128" t="s">
        <v>851</v>
      </c>
      <c r="AX76" s="128" t="s">
        <v>856</v>
      </c>
      <c r="AY76" s="128" t="s">
        <v>853</v>
      </c>
      <c r="AZ76" s="128" t="s">
        <v>854</v>
      </c>
      <c r="BA76" s="128" t="s">
        <v>855</v>
      </c>
      <c r="BB76" s="128" t="s">
        <v>161</v>
      </c>
      <c r="BC76" s="128" t="s">
        <v>857</v>
      </c>
      <c r="BD76" s="127" t="s">
        <v>858</v>
      </c>
      <c r="BE76" s="128" t="s">
        <v>859</v>
      </c>
      <c r="BF76" s="128" t="s">
        <v>868</v>
      </c>
      <c r="BG76" s="122"/>
    </row>
    <row r="77" spans="1:59" x14ac:dyDescent="0.3">
      <c r="A77" s="104" t="str">
        <f>'G-1 All Habitats'!B76</f>
        <v>Urban - Vacant/derelict land/ bareground</v>
      </c>
      <c r="B77" s="88" t="str">
        <f>'G-1 All Habitats'!F76</f>
        <v>Urban</v>
      </c>
      <c r="C77" s="88" t="str">
        <f>'G-1 All Habitats'!K76</f>
        <v>Low</v>
      </c>
      <c r="D77" s="88" t="str">
        <f>'G-1 All Habitats'!M76</f>
        <v>Same distinctiveness or better habitat required ≥</v>
      </c>
      <c r="E77" s="494">
        <f>IF(C77="V.High",SUMIF('A-1 Site Habitat Baseline'!$G$11:$G$258,'G-2 Habitat groups'!A77,'A-1 Site Habitat Baseline'!$S$11:$S$258)+SUMIF('A-1 Site Habitat Baseline'!$G$11:$G$258,'G-2 Habitat groups'!A77,'A-1 Site Habitat Baseline'!$T$11:$T$258),SUMIF('A-1 Site Habitat Baseline'!$G$11:$G$258,'G-2 Habitat groups'!A77,'A-1 Site Habitat Baseline'!$H$11:$H$258))</f>
        <v>0.775335</v>
      </c>
      <c r="F77" s="494">
        <f>SUMIF('A-1 Site Habitat Baseline'!$G$11:$G$258,'G-2 Habitat groups'!A77,'A-1 Site Habitat Baseline'!$Q$11:$Q$258)</f>
        <v>3.4114740000000001</v>
      </c>
      <c r="G77" s="494">
        <f>SUMIF('A-1 Site Habitat Baseline'!$G$11:$G$258,'G-2 Habitat groups'!A77,'A-1 Site Habitat Baseline'!$S$11:$S$258)</f>
        <v>1.49E-2</v>
      </c>
      <c r="H77" s="494">
        <f>SUMIF('A-1 Site Habitat Baseline'!$G$11:$G$258,'G-2 Habitat groups'!A77,'A-1 Site Habitat Baseline'!$U$11:$U$258)</f>
        <v>6.5560000000000007E-2</v>
      </c>
      <c r="I77" s="494">
        <f>SUMIF('A-1 Site Habitat Baseline'!$G$11:$G$258,'G-2 Habitat groups'!A77,'A-1 Site Habitat Baseline'!$W$11:$W$258)</f>
        <v>0.76043499999999997</v>
      </c>
      <c r="J77" s="494">
        <f>SUMIF('A-1 Site Habitat Baseline'!$G$11:$G$258,'G-2 Habitat groups'!A77,'A-1 Site Habitat Baseline'!$X$11:$X$258)</f>
        <v>3.3459140000000001</v>
      </c>
      <c r="K77" s="494">
        <f>SUMIF('A-2 Site Habitat Creation'!$F$11:$F$256,'G-2 Habitat groups'!A77,'A-2 Site Habitat Creation'!$G$11:$G$256)</f>
        <v>7.9999999999999863E-4</v>
      </c>
      <c r="L77" s="494">
        <f>SUMIF('A-2 Site Habitat Creation'!$F$11:$F$256,'G-2 Habitat groups'!A77,'A-2 Site Habitat Creation'!$Y$11:$Y$256)</f>
        <v>4.4184555391679932E-3</v>
      </c>
      <c r="M77" s="494">
        <f>SUMIF('A-3 Site Habitat Enhancement'!$S$12:$S$257,'G-2 Habitat groups'!A77,'A-3 Site Habitat Enhancement'!$V$12:$V$257)</f>
        <v>0</v>
      </c>
      <c r="N77" s="494">
        <f>SUMIF('A-3 Site Habitat Enhancement'!$S$12:$S$257,'G-2 Habitat groups'!A77,'A-3 Site Habitat Enhancement'!$AN$12:$AN$257)</f>
        <v>0</v>
      </c>
      <c r="O77" s="494">
        <f t="shared" si="63"/>
        <v>1.5699999999999999E-2</v>
      </c>
      <c r="P77" s="494">
        <f t="shared" si="64"/>
        <v>6.9978455539167997E-2</v>
      </c>
      <c r="Q77" s="494">
        <f t="shared" si="65"/>
        <v>-0.75963499999999995</v>
      </c>
      <c r="R77" s="494">
        <f t="shared" si="66"/>
        <v>-3.3414955444608321</v>
      </c>
      <c r="S77" s="494">
        <f>IF(C77="V.High",SUMIF('D-1 Off Site Habitat Baseline'!$G$11:$G$258,'G-2 Habitat groups'!A77,'D-1 Off Site Habitat Baseline'!$S$11:$S$258)+SUMIF('D-1 Off Site Habitat Baseline'!$G$11:$G$258,'G-2 Habitat groups'!A77,'D-1 Off Site Habitat Baseline'!$T$11:$T$258),SUMIF('D-1 Off Site Habitat Baseline'!$G$11:$G$258,'G-2 Habitat groups'!A77,'D-1 Off Site Habitat Baseline'!$H$11:$H$258))</f>
        <v>0</v>
      </c>
      <c r="T77" s="494">
        <f>SUMIF('D-1 Off Site Habitat Baseline'!$G$11:$G$258,'G-2 Habitat groups'!A77,'D-1 Off Site Habitat Baseline'!$Q$11:$Q$258)</f>
        <v>0</v>
      </c>
      <c r="U77" s="591">
        <f>SUMIF('D-1 Off Site Habitat Baseline'!$G$11:$G$258,'G-2 Habitat groups'!A77,'D-1 Off Site Habitat Baseline'!$S$11:$S$258)</f>
        <v>0</v>
      </c>
      <c r="V77" s="494">
        <f>SUMIF('D-1 Off Site Habitat Baseline'!$G$11:$G$258,'G-2 Habitat groups'!A77,'D-1 Off Site Habitat Baseline'!$U$11:$U$258)</f>
        <v>0</v>
      </c>
      <c r="W77" s="494">
        <f>SUMIF('D-2 Off Site Habitat Creation'!$F$9:$F$255,'G-2 Habitat groups'!A77,'D-2 Off Site Habitat Creation'!$G$9:$G$255)</f>
        <v>0</v>
      </c>
      <c r="X77" s="494">
        <f>SUMIF('D-2 Off Site Habitat Creation'!$F$9:$F$255,'G-2 Habitat groups'!A77,'D-2 Off Site Habitat Creation'!$AA$9:$AA$255)</f>
        <v>0</v>
      </c>
      <c r="Y77" s="494">
        <f>SUMIF('D-3 Off Site Habitat Enhancment'!$S$12:$S$491,'G-2 Habitat groups'!A77,'D-3 Off Site Habitat Enhancment'!$V$12:$V$491)</f>
        <v>0</v>
      </c>
      <c r="Z77" s="494">
        <f>SUMIF('D-3 Off Site Habitat Enhancment'!$S$12:$S$491,'G-2 Habitat groups'!A77,'D-3 Off Site Habitat Enhancment'!$AP$12:$AP$491)</f>
        <v>0</v>
      </c>
      <c r="AA77" s="494">
        <f t="shared" si="67"/>
        <v>0</v>
      </c>
      <c r="AB77" s="494">
        <f t="shared" si="68"/>
        <v>0</v>
      </c>
      <c r="AC77" s="494">
        <f t="shared" si="69"/>
        <v>0</v>
      </c>
      <c r="AD77" s="494">
        <f t="shared" si="70"/>
        <v>0</v>
      </c>
      <c r="AE77" s="494">
        <f t="shared" si="71"/>
        <v>-0.75963499999999995</v>
      </c>
      <c r="AF77" s="494">
        <f t="shared" si="72"/>
        <v>-3.3414955444608321</v>
      </c>
      <c r="AU77" s="104" t="s">
        <v>370</v>
      </c>
      <c r="AV77" s="88" t="s">
        <v>69</v>
      </c>
      <c r="AW77" s="494">
        <f t="shared" ref="AW77:AW79" si="73">VLOOKUP($AU77,AllHabsSummaryData,5,FALSE)</f>
        <v>0</v>
      </c>
      <c r="AX77" s="494">
        <f t="shared" ref="AX77:AX80" si="74">VLOOKUP($AU77,AllHabsSummaryData,10,FALSE)</f>
        <v>0</v>
      </c>
      <c r="AY77" s="494">
        <f t="shared" ref="AY77:AY80" si="75">VLOOKUP($AU77,AllHabsSummaryData,15,FALSE)</f>
        <v>0</v>
      </c>
      <c r="AZ77" s="494">
        <f t="shared" ref="AZ77:AZ80" si="76">VLOOKUP($AU77,AllHabsSummaryData,16,FALSE)</f>
        <v>0</v>
      </c>
      <c r="BA77" s="494">
        <f t="shared" ref="BA77:BA80" si="77">VLOOKUP($AU77,AllHabsSummaryData,17,FALSE)</f>
        <v>0</v>
      </c>
      <c r="BB77" s="494">
        <f t="shared" ref="BB77:BB80" si="78">VLOOKUP($AU77,AllHabsSummaryData,18,FALSE)</f>
        <v>0</v>
      </c>
      <c r="BC77" s="494">
        <f t="shared" ref="BC77:BC80" si="79">VLOOKUP($AU77,AllHabsSummaryData,27,FALSE)</f>
        <v>0</v>
      </c>
      <c r="BD77" s="494">
        <f t="shared" ref="BD77:BD80" si="80">VLOOKUP($AU77,AllHabsSummaryData,30,FALSE)</f>
        <v>0</v>
      </c>
      <c r="BE77" s="494">
        <f t="shared" ref="BE77" si="81">BB77+BD77</f>
        <v>0</v>
      </c>
      <c r="BF77" s="494" t="str">
        <f>IF(BE77&lt;0,BE77,"")</f>
        <v/>
      </c>
    </row>
    <row r="78" spans="1:59" x14ac:dyDescent="0.3">
      <c r="A78" s="104" t="str">
        <f>'G-1 All Habitats'!B77</f>
        <v>Urban - Vegetated garden</v>
      </c>
      <c r="B78" s="88" t="str">
        <f>'G-1 All Habitats'!F77</f>
        <v>Urban</v>
      </c>
      <c r="C78" s="88" t="str">
        <f>'G-1 All Habitats'!K77</f>
        <v>Low</v>
      </c>
      <c r="D78" s="88" t="str">
        <f>'G-1 All Habitats'!M77</f>
        <v>Same distinctiveness or better habitat required ≥</v>
      </c>
      <c r="E78" s="494">
        <f>IF(C78="V.High",SUMIF('A-1 Site Habitat Baseline'!$G$11:$G$258,'G-2 Habitat groups'!A78,'A-1 Site Habitat Baseline'!$S$11:$S$258)+SUMIF('A-1 Site Habitat Baseline'!$G$11:$G$258,'G-2 Habitat groups'!A78,'A-1 Site Habitat Baseline'!$T$11:$T$258),SUMIF('A-1 Site Habitat Baseline'!$G$11:$G$258,'G-2 Habitat groups'!A78,'A-1 Site Habitat Baseline'!$H$11:$H$258))</f>
        <v>0</v>
      </c>
      <c r="F78" s="494">
        <f>SUMIF('A-1 Site Habitat Baseline'!$G$11:$G$258,'G-2 Habitat groups'!A78,'A-1 Site Habitat Baseline'!$Q$11:$Q$258)</f>
        <v>0</v>
      </c>
      <c r="G78" s="494">
        <f>SUMIF('A-1 Site Habitat Baseline'!$G$11:$G$258,'G-2 Habitat groups'!A78,'A-1 Site Habitat Baseline'!$S$11:$S$258)</f>
        <v>0</v>
      </c>
      <c r="H78" s="494">
        <f>SUMIF('A-1 Site Habitat Baseline'!$G$11:$G$258,'G-2 Habitat groups'!A78,'A-1 Site Habitat Baseline'!$U$11:$U$258)</f>
        <v>0</v>
      </c>
      <c r="I78" s="494">
        <f>SUMIF('A-1 Site Habitat Baseline'!$G$11:$G$258,'G-2 Habitat groups'!A78,'A-1 Site Habitat Baseline'!$W$11:$W$258)</f>
        <v>0</v>
      </c>
      <c r="J78" s="494">
        <f>SUMIF('A-1 Site Habitat Baseline'!$G$11:$G$258,'G-2 Habitat groups'!A78,'A-1 Site Habitat Baseline'!$X$11:$X$258)</f>
        <v>0</v>
      </c>
      <c r="K78" s="494">
        <f>SUMIF('A-2 Site Habitat Creation'!$F$11:$F$256,'G-2 Habitat groups'!A78,'A-2 Site Habitat Creation'!$G$11:$G$256)</f>
        <v>0</v>
      </c>
      <c r="L78" s="494">
        <f>SUMIF('A-2 Site Habitat Creation'!$F$11:$F$256,'G-2 Habitat groups'!A78,'A-2 Site Habitat Creation'!$Y$11:$Y$256)</f>
        <v>0</v>
      </c>
      <c r="M78" s="494">
        <f>SUMIF('A-3 Site Habitat Enhancement'!$S$12:$S$257,'G-2 Habitat groups'!A78,'A-3 Site Habitat Enhancement'!$V$12:$V$257)</f>
        <v>0</v>
      </c>
      <c r="N78" s="494">
        <f>SUMIF('A-3 Site Habitat Enhancement'!$S$12:$S$257,'G-2 Habitat groups'!A78,'A-3 Site Habitat Enhancement'!$AN$12:$AN$257)</f>
        <v>0</v>
      </c>
      <c r="O78" s="494">
        <f t="shared" si="63"/>
        <v>0</v>
      </c>
      <c r="P78" s="494">
        <f t="shared" si="64"/>
        <v>0</v>
      </c>
      <c r="Q78" s="494">
        <f t="shared" si="65"/>
        <v>0</v>
      </c>
      <c r="R78" s="494">
        <f t="shared" si="66"/>
        <v>0</v>
      </c>
      <c r="S78" s="494">
        <f>IF(C78="V.High",SUMIF('D-1 Off Site Habitat Baseline'!$G$11:$G$258,'G-2 Habitat groups'!A78,'D-1 Off Site Habitat Baseline'!$S$11:$S$258)+SUMIF('D-1 Off Site Habitat Baseline'!$G$11:$G$258,'G-2 Habitat groups'!A78,'D-1 Off Site Habitat Baseline'!$T$11:$T$258),SUMIF('D-1 Off Site Habitat Baseline'!$G$11:$G$258,'G-2 Habitat groups'!A78,'D-1 Off Site Habitat Baseline'!$H$11:$H$258))</f>
        <v>0</v>
      </c>
      <c r="T78" s="494">
        <f>SUMIF('D-1 Off Site Habitat Baseline'!$G$11:$G$258,'G-2 Habitat groups'!A78,'D-1 Off Site Habitat Baseline'!$Q$11:$Q$258)</f>
        <v>0</v>
      </c>
      <c r="U78" s="591">
        <f>SUMIF('D-1 Off Site Habitat Baseline'!$G$11:$G$258,'G-2 Habitat groups'!A78,'D-1 Off Site Habitat Baseline'!$S$11:$S$258)</f>
        <v>0</v>
      </c>
      <c r="V78" s="494">
        <f>SUMIF('D-1 Off Site Habitat Baseline'!$G$11:$G$258,'G-2 Habitat groups'!A78,'D-1 Off Site Habitat Baseline'!$U$11:$U$258)</f>
        <v>0</v>
      </c>
      <c r="W78" s="494">
        <f>SUMIF('D-2 Off Site Habitat Creation'!$F$9:$F$255,'G-2 Habitat groups'!A78,'D-2 Off Site Habitat Creation'!$G$9:$G$255)</f>
        <v>0</v>
      </c>
      <c r="X78" s="494">
        <f>SUMIF('D-2 Off Site Habitat Creation'!$F$9:$F$255,'G-2 Habitat groups'!A78,'D-2 Off Site Habitat Creation'!$AA$9:$AA$255)</f>
        <v>0</v>
      </c>
      <c r="Y78" s="494">
        <f>SUMIF('D-3 Off Site Habitat Enhancment'!$S$12:$S$491,'G-2 Habitat groups'!A78,'D-3 Off Site Habitat Enhancment'!$V$12:$V$491)</f>
        <v>0</v>
      </c>
      <c r="Z78" s="494">
        <f>SUMIF('D-3 Off Site Habitat Enhancment'!$S$12:$S$491,'G-2 Habitat groups'!A78,'D-3 Off Site Habitat Enhancment'!$AP$12:$AP$491)</f>
        <v>0</v>
      </c>
      <c r="AA78" s="494">
        <f t="shared" si="67"/>
        <v>0</v>
      </c>
      <c r="AB78" s="494">
        <f t="shared" si="68"/>
        <v>0</v>
      </c>
      <c r="AC78" s="494">
        <f t="shared" si="69"/>
        <v>0</v>
      </c>
      <c r="AD78" s="494">
        <f t="shared" si="70"/>
        <v>0</v>
      </c>
      <c r="AE78" s="494">
        <f t="shared" si="71"/>
        <v>0</v>
      </c>
      <c r="AF78" s="494">
        <f t="shared" si="72"/>
        <v>0</v>
      </c>
      <c r="AU78" s="104" t="s">
        <v>379</v>
      </c>
      <c r="AV78" s="88" t="s">
        <v>69</v>
      </c>
      <c r="AW78" s="494">
        <f t="shared" si="73"/>
        <v>0</v>
      </c>
      <c r="AX78" s="494">
        <f t="shared" si="74"/>
        <v>0</v>
      </c>
      <c r="AY78" s="494">
        <f t="shared" si="75"/>
        <v>0</v>
      </c>
      <c r="AZ78" s="494">
        <f t="shared" si="76"/>
        <v>0</v>
      </c>
      <c r="BA78" s="494">
        <f t="shared" si="77"/>
        <v>0</v>
      </c>
      <c r="BB78" s="494">
        <f t="shared" si="78"/>
        <v>0</v>
      </c>
      <c r="BC78" s="494">
        <f t="shared" si="79"/>
        <v>0</v>
      </c>
      <c r="BD78" s="494">
        <f t="shared" si="80"/>
        <v>0</v>
      </c>
      <c r="BE78" s="494">
        <f t="shared" ref="BE78" si="82">BB78+BD78</f>
        <v>0</v>
      </c>
      <c r="BF78" s="494" t="str">
        <f t="shared" ref="BF78" si="83">IF(BE78&lt;0,BE78,"")</f>
        <v/>
      </c>
    </row>
    <row r="79" spans="1:59" x14ac:dyDescent="0.3">
      <c r="A79" s="104" t="str">
        <f>'G-1 All Habitats'!B78</f>
        <v>Wetland - Blanket bog</v>
      </c>
      <c r="B79" s="88" t="str">
        <f>'G-1 All Habitats'!F78</f>
        <v>Wetland</v>
      </c>
      <c r="C79" s="88" t="str">
        <f>'G-1 All Habitats'!K78</f>
        <v>V.High</v>
      </c>
      <c r="D79" s="88" t="str">
        <f>'G-1 All Habitats'!M78</f>
        <v>Bespoke compensation likely to be required 🛠</v>
      </c>
      <c r="E79" s="494">
        <f>IF(C79="V.High",SUMIF('A-1 Site Habitat Baseline'!$G$11:$G$258,'G-2 Habitat groups'!A79,'A-1 Site Habitat Baseline'!$S$11:$S$258)+SUMIF('A-1 Site Habitat Baseline'!$G$11:$G$258,'G-2 Habitat groups'!A79,'A-1 Site Habitat Baseline'!$T$11:$T$258),SUMIF('A-1 Site Habitat Baseline'!$G$11:$G$258,'G-2 Habitat groups'!A79,'A-1 Site Habitat Baseline'!$H$11:$H$258))</f>
        <v>0</v>
      </c>
      <c r="F79" s="494">
        <f>SUMIF('A-1 Site Habitat Baseline'!$G$11:$G$258,'G-2 Habitat groups'!A79,'A-1 Site Habitat Baseline'!$Q$11:$Q$258)</f>
        <v>0</v>
      </c>
      <c r="G79" s="494">
        <f>SUMIF('A-1 Site Habitat Baseline'!$G$11:$G$258,'G-2 Habitat groups'!A79,'A-1 Site Habitat Baseline'!$S$11:$S$258)</f>
        <v>0</v>
      </c>
      <c r="H79" s="494">
        <f>SUMIF('A-1 Site Habitat Baseline'!$G$11:$G$258,'G-2 Habitat groups'!A79,'A-1 Site Habitat Baseline'!$U$11:$U$258)</f>
        <v>0</v>
      </c>
      <c r="I79" s="494">
        <f>SUMIF('A-1 Site Habitat Baseline'!$G$11:$G$258,'G-2 Habitat groups'!A79,'A-1 Site Habitat Baseline'!$W$11:$W$258)</f>
        <v>0</v>
      </c>
      <c r="J79" s="494">
        <f>SUMIF('A-1 Site Habitat Baseline'!$G$11:$G$258,'G-2 Habitat groups'!A79,'A-1 Site Habitat Baseline'!$X$11:$X$258)</f>
        <v>0</v>
      </c>
      <c r="K79" s="494">
        <f>SUMIF('A-2 Site Habitat Creation'!$F$11:$F$256,'G-2 Habitat groups'!A79,'A-2 Site Habitat Creation'!$G$11:$G$256)</f>
        <v>0</v>
      </c>
      <c r="L79" s="494">
        <f>SUMIF('A-2 Site Habitat Creation'!$F$11:$F$256,'G-2 Habitat groups'!A79,'A-2 Site Habitat Creation'!$Y$11:$Y$256)</f>
        <v>0</v>
      </c>
      <c r="M79" s="494">
        <f>SUMIF('A-3 Site Habitat Enhancement'!$S$12:$S$257,'G-2 Habitat groups'!A79,'A-3 Site Habitat Enhancement'!$V$12:$V$257)</f>
        <v>0</v>
      </c>
      <c r="N79" s="494">
        <f>SUMIF('A-3 Site Habitat Enhancement'!$S$12:$S$257,'G-2 Habitat groups'!A79,'A-3 Site Habitat Enhancement'!$AN$12:$AN$257)</f>
        <v>0</v>
      </c>
      <c r="O79" s="494">
        <f t="shared" si="63"/>
        <v>0</v>
      </c>
      <c r="P79" s="494">
        <f t="shared" si="64"/>
        <v>0</v>
      </c>
      <c r="Q79" s="494">
        <f t="shared" si="65"/>
        <v>0</v>
      </c>
      <c r="R79" s="494">
        <f t="shared" si="66"/>
        <v>0</v>
      </c>
      <c r="S79" s="494">
        <f>IF(C79="V.High",SUMIF('D-1 Off Site Habitat Baseline'!$G$11:$G$258,'G-2 Habitat groups'!A79,'D-1 Off Site Habitat Baseline'!$S$11:$S$258)+SUMIF('D-1 Off Site Habitat Baseline'!$G$11:$G$258,'G-2 Habitat groups'!A79,'D-1 Off Site Habitat Baseline'!$T$11:$T$258),SUMIF('D-1 Off Site Habitat Baseline'!$G$11:$G$258,'G-2 Habitat groups'!A79,'D-1 Off Site Habitat Baseline'!$H$11:$H$258))</f>
        <v>0</v>
      </c>
      <c r="T79" s="494">
        <f>SUMIF('D-1 Off Site Habitat Baseline'!$G$11:$G$258,'G-2 Habitat groups'!A79,'D-1 Off Site Habitat Baseline'!$Q$11:$Q$258)</f>
        <v>0</v>
      </c>
      <c r="U79" s="591">
        <f>SUMIF('D-1 Off Site Habitat Baseline'!$G$11:$G$258,'G-2 Habitat groups'!A79,'D-1 Off Site Habitat Baseline'!$S$11:$S$258)</f>
        <v>0</v>
      </c>
      <c r="V79" s="494">
        <f>SUMIF('D-1 Off Site Habitat Baseline'!$G$11:$G$258,'G-2 Habitat groups'!A79,'D-1 Off Site Habitat Baseline'!$U$11:$U$258)</f>
        <v>0</v>
      </c>
      <c r="W79" s="494">
        <f>SUMIF('D-2 Off Site Habitat Creation'!$F$9:$F$255,'G-2 Habitat groups'!A79,'D-2 Off Site Habitat Creation'!$G$9:$G$255)</f>
        <v>0</v>
      </c>
      <c r="X79" s="494">
        <f>SUMIF('D-2 Off Site Habitat Creation'!$F$9:$F$255,'G-2 Habitat groups'!A79,'D-2 Off Site Habitat Creation'!$AA$9:$AA$255)</f>
        <v>0</v>
      </c>
      <c r="Y79" s="494">
        <f>SUMIF('D-3 Off Site Habitat Enhancment'!$S$12:$S$491,'G-2 Habitat groups'!A79,'D-3 Off Site Habitat Enhancment'!$V$12:$V$491)</f>
        <v>0</v>
      </c>
      <c r="Z79" s="494">
        <f>SUMIF('D-3 Off Site Habitat Enhancment'!$S$12:$S$491,'G-2 Habitat groups'!A79,'D-3 Off Site Habitat Enhancment'!$AP$12:$AP$491)</f>
        <v>0</v>
      </c>
      <c r="AA79" s="494">
        <f t="shared" si="67"/>
        <v>0</v>
      </c>
      <c r="AB79" s="494">
        <f t="shared" si="68"/>
        <v>0</v>
      </c>
      <c r="AC79" s="494">
        <f t="shared" si="69"/>
        <v>0</v>
      </c>
      <c r="AD79" s="494">
        <f t="shared" si="70"/>
        <v>0</v>
      </c>
      <c r="AE79" s="494">
        <f t="shared" si="71"/>
        <v>0</v>
      </c>
      <c r="AF79" s="494">
        <f t="shared" si="72"/>
        <v>0</v>
      </c>
      <c r="AU79" s="343" t="s">
        <v>385</v>
      </c>
      <c r="AV79" s="88" t="s">
        <v>69</v>
      </c>
      <c r="AW79" s="494">
        <f t="shared" si="73"/>
        <v>0</v>
      </c>
      <c r="AX79" s="494">
        <f t="shared" si="74"/>
        <v>0</v>
      </c>
      <c r="AY79" s="494">
        <f t="shared" si="75"/>
        <v>0</v>
      </c>
      <c r="AZ79" s="494">
        <f t="shared" si="76"/>
        <v>0</v>
      </c>
      <c r="BA79" s="494">
        <f t="shared" si="77"/>
        <v>0</v>
      </c>
      <c r="BB79" s="494">
        <f t="shared" si="78"/>
        <v>0</v>
      </c>
      <c r="BC79" s="494">
        <f t="shared" si="79"/>
        <v>0</v>
      </c>
      <c r="BD79" s="494">
        <f t="shared" si="80"/>
        <v>0</v>
      </c>
      <c r="BE79" s="494">
        <f t="shared" ref="BE79" si="84">BB79+BD79</f>
        <v>0</v>
      </c>
      <c r="BF79" s="494" t="str">
        <f t="shared" ref="BF79" si="85">IF(BE79&lt;0,BE79,"")</f>
        <v/>
      </c>
    </row>
    <row r="80" spans="1:59" x14ac:dyDescent="0.3">
      <c r="A80" s="104" t="str">
        <f>'G-1 All Habitats'!B79</f>
        <v>Wetland - Depressions on Peat substrates (H7150)</v>
      </c>
      <c r="B80" s="88" t="str">
        <f>'G-1 All Habitats'!F79</f>
        <v>Wetland</v>
      </c>
      <c r="C80" s="88" t="str">
        <f>'G-1 All Habitats'!K79</f>
        <v>V.High</v>
      </c>
      <c r="D80" s="88" t="str">
        <f>'G-1 All Habitats'!M79</f>
        <v>Bespoke compensation likely to be required 🛠</v>
      </c>
      <c r="E80" s="494">
        <f>IF(C80="V.High",SUMIF('A-1 Site Habitat Baseline'!$G$11:$G$258,'G-2 Habitat groups'!A80,'A-1 Site Habitat Baseline'!$S$11:$S$258)+SUMIF('A-1 Site Habitat Baseline'!$G$11:$G$258,'G-2 Habitat groups'!A80,'A-1 Site Habitat Baseline'!$T$11:$T$258),SUMIF('A-1 Site Habitat Baseline'!$G$11:$G$258,'G-2 Habitat groups'!A80,'A-1 Site Habitat Baseline'!$H$11:$H$258))</f>
        <v>0</v>
      </c>
      <c r="F80" s="494">
        <f>SUMIF('A-1 Site Habitat Baseline'!$G$11:$G$258,'G-2 Habitat groups'!A80,'A-1 Site Habitat Baseline'!$Q$11:$Q$258)</f>
        <v>0</v>
      </c>
      <c r="G80" s="494">
        <f>SUMIF('A-1 Site Habitat Baseline'!$G$11:$G$258,'G-2 Habitat groups'!A80,'A-1 Site Habitat Baseline'!$S$11:$S$258)</f>
        <v>0</v>
      </c>
      <c r="H80" s="494">
        <f>SUMIF('A-1 Site Habitat Baseline'!$G$11:$G$258,'G-2 Habitat groups'!A80,'A-1 Site Habitat Baseline'!$U$11:$U$258)</f>
        <v>0</v>
      </c>
      <c r="I80" s="494">
        <f>SUMIF('A-1 Site Habitat Baseline'!$G$11:$G$258,'G-2 Habitat groups'!A80,'A-1 Site Habitat Baseline'!$W$11:$W$258)</f>
        <v>0</v>
      </c>
      <c r="J80" s="494">
        <f>SUMIF('A-1 Site Habitat Baseline'!$G$11:$G$258,'G-2 Habitat groups'!A80,'A-1 Site Habitat Baseline'!$X$11:$X$258)</f>
        <v>0</v>
      </c>
      <c r="K80" s="494">
        <f>SUMIF('A-2 Site Habitat Creation'!$F$11:$F$256,'G-2 Habitat groups'!A80,'A-2 Site Habitat Creation'!$G$11:$G$256)</f>
        <v>0</v>
      </c>
      <c r="L80" s="494">
        <f>SUMIF('A-2 Site Habitat Creation'!$F$11:$F$256,'G-2 Habitat groups'!A80,'A-2 Site Habitat Creation'!$Y$11:$Y$256)</f>
        <v>0</v>
      </c>
      <c r="M80" s="494">
        <f>SUMIF('A-3 Site Habitat Enhancement'!$S$12:$S$257,'G-2 Habitat groups'!A80,'A-3 Site Habitat Enhancement'!$V$12:$V$257)</f>
        <v>0</v>
      </c>
      <c r="N80" s="494">
        <f>SUMIF('A-3 Site Habitat Enhancement'!$S$12:$S$257,'G-2 Habitat groups'!A80,'A-3 Site Habitat Enhancement'!$AN$12:$AN$257)</f>
        <v>0</v>
      </c>
      <c r="O80" s="494">
        <f t="shared" si="63"/>
        <v>0</v>
      </c>
      <c r="P80" s="494">
        <f t="shared" si="64"/>
        <v>0</v>
      </c>
      <c r="Q80" s="494">
        <f t="shared" si="65"/>
        <v>0</v>
      </c>
      <c r="R80" s="494">
        <f t="shared" si="66"/>
        <v>0</v>
      </c>
      <c r="S80" s="494">
        <f>IF(C80="V.High",SUMIF('D-1 Off Site Habitat Baseline'!$G$11:$G$258,'G-2 Habitat groups'!A80,'D-1 Off Site Habitat Baseline'!$S$11:$S$258)+SUMIF('D-1 Off Site Habitat Baseline'!$G$11:$G$258,'G-2 Habitat groups'!A80,'D-1 Off Site Habitat Baseline'!$T$11:$T$258),SUMIF('D-1 Off Site Habitat Baseline'!$G$11:$G$258,'G-2 Habitat groups'!A80,'D-1 Off Site Habitat Baseline'!$H$11:$H$258))</f>
        <v>0</v>
      </c>
      <c r="T80" s="494">
        <f>SUMIF('D-1 Off Site Habitat Baseline'!$G$11:$G$258,'G-2 Habitat groups'!A80,'D-1 Off Site Habitat Baseline'!$Q$11:$Q$258)</f>
        <v>0</v>
      </c>
      <c r="U80" s="591">
        <f>SUMIF('D-1 Off Site Habitat Baseline'!$G$11:$G$258,'G-2 Habitat groups'!A80,'D-1 Off Site Habitat Baseline'!$S$11:$S$258)</f>
        <v>0</v>
      </c>
      <c r="V80" s="494">
        <f>SUMIF('D-1 Off Site Habitat Baseline'!$G$11:$G$258,'G-2 Habitat groups'!A80,'D-1 Off Site Habitat Baseline'!$U$11:$U$258)</f>
        <v>0</v>
      </c>
      <c r="W80" s="494">
        <f>SUMIF('D-2 Off Site Habitat Creation'!$F$9:$F$255,'G-2 Habitat groups'!A80,'D-2 Off Site Habitat Creation'!$G$9:$G$255)</f>
        <v>0</v>
      </c>
      <c r="X80" s="494">
        <f>SUMIF('D-2 Off Site Habitat Creation'!$F$9:$F$255,'G-2 Habitat groups'!A80,'D-2 Off Site Habitat Creation'!$AA$9:$AA$255)</f>
        <v>0</v>
      </c>
      <c r="Y80" s="494">
        <f>SUMIF('D-3 Off Site Habitat Enhancment'!$S$12:$S$491,'G-2 Habitat groups'!A80,'D-3 Off Site Habitat Enhancment'!$V$12:$V$491)</f>
        <v>0</v>
      </c>
      <c r="Z80" s="494">
        <f>SUMIF('D-3 Off Site Habitat Enhancment'!$S$12:$S$491,'G-2 Habitat groups'!A80,'D-3 Off Site Habitat Enhancment'!$AP$12:$AP$491)</f>
        <v>0</v>
      </c>
      <c r="AA80" s="494">
        <f t="shared" si="67"/>
        <v>0</v>
      </c>
      <c r="AB80" s="494">
        <f t="shared" si="68"/>
        <v>0</v>
      </c>
      <c r="AC80" s="494">
        <f t="shared" si="69"/>
        <v>0</v>
      </c>
      <c r="AD80" s="494">
        <f t="shared" si="70"/>
        <v>0</v>
      </c>
      <c r="AE80" s="494">
        <f t="shared" si="71"/>
        <v>0</v>
      </c>
      <c r="AF80" s="494">
        <f t="shared" si="72"/>
        <v>0</v>
      </c>
      <c r="AU80" s="104" t="s">
        <v>389</v>
      </c>
      <c r="AV80" s="88" t="s">
        <v>69</v>
      </c>
      <c r="AW80" s="494">
        <f t="shared" ref="AW80" si="86">VLOOKUP($AU80,AllHabsSummaryData,5,FALSE)</f>
        <v>0</v>
      </c>
      <c r="AX80" s="494">
        <f t="shared" si="74"/>
        <v>0</v>
      </c>
      <c r="AY80" s="494">
        <f t="shared" si="75"/>
        <v>0</v>
      </c>
      <c r="AZ80" s="494">
        <f t="shared" si="76"/>
        <v>0</v>
      </c>
      <c r="BA80" s="494">
        <f t="shared" si="77"/>
        <v>0</v>
      </c>
      <c r="BB80" s="494">
        <f t="shared" si="78"/>
        <v>0</v>
      </c>
      <c r="BC80" s="494">
        <f t="shared" si="79"/>
        <v>0</v>
      </c>
      <c r="BD80" s="494">
        <f t="shared" si="80"/>
        <v>0</v>
      </c>
      <c r="BE80" s="494">
        <f t="shared" ref="BE80" si="87">BB80+BD80</f>
        <v>0</v>
      </c>
      <c r="BF80" s="494" t="str">
        <f t="shared" ref="BF80" si="88">IF(BE80&lt;0,BE80,"")</f>
        <v/>
      </c>
    </row>
    <row r="81" spans="1:58" x14ac:dyDescent="0.3">
      <c r="A81" s="104" t="str">
        <f>'G-1 All Habitats'!B80</f>
        <v>Wetland - Fens (upland and lowland)</v>
      </c>
      <c r="B81" s="88" t="str">
        <f>'G-1 All Habitats'!F80</f>
        <v>Wetland</v>
      </c>
      <c r="C81" s="88" t="str">
        <f>'G-1 All Habitats'!K80</f>
        <v>V.High</v>
      </c>
      <c r="D81" s="88" t="str">
        <f>'G-1 All Habitats'!M80</f>
        <v>Bespoke compensation likely to be required 🛠</v>
      </c>
      <c r="E81" s="494">
        <f>IF(C81="V.High",SUMIF('A-1 Site Habitat Baseline'!$G$11:$G$258,'G-2 Habitat groups'!A81,'A-1 Site Habitat Baseline'!$S$11:$S$258)+SUMIF('A-1 Site Habitat Baseline'!$G$11:$G$258,'G-2 Habitat groups'!A81,'A-1 Site Habitat Baseline'!$T$11:$T$258),SUMIF('A-1 Site Habitat Baseline'!$G$11:$G$258,'G-2 Habitat groups'!A81,'A-1 Site Habitat Baseline'!$H$11:$H$258))</f>
        <v>0</v>
      </c>
      <c r="F81" s="494">
        <f>SUMIF('A-1 Site Habitat Baseline'!$G$11:$G$258,'G-2 Habitat groups'!A81,'A-1 Site Habitat Baseline'!$Q$11:$Q$258)</f>
        <v>0</v>
      </c>
      <c r="G81" s="494">
        <f>SUMIF('A-1 Site Habitat Baseline'!$G$11:$G$258,'G-2 Habitat groups'!A81,'A-1 Site Habitat Baseline'!$S$11:$S$258)</f>
        <v>0</v>
      </c>
      <c r="H81" s="494">
        <f>SUMIF('A-1 Site Habitat Baseline'!$G$11:$G$258,'G-2 Habitat groups'!A81,'A-1 Site Habitat Baseline'!$U$11:$U$258)</f>
        <v>0</v>
      </c>
      <c r="I81" s="494">
        <f>SUMIF('A-1 Site Habitat Baseline'!$G$11:$G$258,'G-2 Habitat groups'!A81,'A-1 Site Habitat Baseline'!$W$11:$W$258)</f>
        <v>0</v>
      </c>
      <c r="J81" s="494">
        <f>SUMIF('A-1 Site Habitat Baseline'!$G$11:$G$258,'G-2 Habitat groups'!A81,'A-1 Site Habitat Baseline'!$X$11:$X$258)</f>
        <v>0</v>
      </c>
      <c r="K81" s="494">
        <f>SUMIF('A-2 Site Habitat Creation'!$F$11:$F$256,'G-2 Habitat groups'!A81,'A-2 Site Habitat Creation'!$G$11:$G$256)</f>
        <v>0</v>
      </c>
      <c r="L81" s="494">
        <f>SUMIF('A-2 Site Habitat Creation'!$F$11:$F$256,'G-2 Habitat groups'!A81,'A-2 Site Habitat Creation'!$Y$11:$Y$256)</f>
        <v>0</v>
      </c>
      <c r="M81" s="494">
        <f>SUMIF('A-3 Site Habitat Enhancement'!$S$12:$S$257,'G-2 Habitat groups'!A81,'A-3 Site Habitat Enhancement'!$V$12:$V$257)</f>
        <v>0</v>
      </c>
      <c r="N81" s="494">
        <f>SUMIF('A-3 Site Habitat Enhancement'!$S$12:$S$257,'G-2 Habitat groups'!A81,'A-3 Site Habitat Enhancement'!$AN$12:$AN$257)</f>
        <v>0</v>
      </c>
      <c r="O81" s="494">
        <f t="shared" si="63"/>
        <v>0</v>
      </c>
      <c r="P81" s="494">
        <f t="shared" si="64"/>
        <v>0</v>
      </c>
      <c r="Q81" s="494">
        <f t="shared" si="65"/>
        <v>0</v>
      </c>
      <c r="R81" s="494">
        <f t="shared" si="66"/>
        <v>0</v>
      </c>
      <c r="S81" s="494">
        <f>IF(C81="V.High",SUMIF('D-1 Off Site Habitat Baseline'!$G$11:$G$258,'G-2 Habitat groups'!A81,'D-1 Off Site Habitat Baseline'!$S$11:$S$258)+SUMIF('D-1 Off Site Habitat Baseline'!$G$11:$G$258,'G-2 Habitat groups'!A81,'D-1 Off Site Habitat Baseline'!$T$11:$T$258),SUMIF('D-1 Off Site Habitat Baseline'!$G$11:$G$258,'G-2 Habitat groups'!A81,'D-1 Off Site Habitat Baseline'!$H$11:$H$258))</f>
        <v>0</v>
      </c>
      <c r="T81" s="494">
        <f>SUMIF('D-1 Off Site Habitat Baseline'!$G$11:$G$258,'G-2 Habitat groups'!A81,'D-1 Off Site Habitat Baseline'!$Q$11:$Q$258)</f>
        <v>0</v>
      </c>
      <c r="U81" s="591">
        <f>SUMIF('D-1 Off Site Habitat Baseline'!$G$11:$G$258,'G-2 Habitat groups'!A81,'D-1 Off Site Habitat Baseline'!$S$11:$S$258)</f>
        <v>0</v>
      </c>
      <c r="V81" s="494">
        <f>SUMIF('D-1 Off Site Habitat Baseline'!$G$11:$G$258,'G-2 Habitat groups'!A81,'D-1 Off Site Habitat Baseline'!$U$11:$U$258)</f>
        <v>0</v>
      </c>
      <c r="W81" s="494">
        <f>SUMIF('D-2 Off Site Habitat Creation'!$F$9:$F$255,'G-2 Habitat groups'!A81,'D-2 Off Site Habitat Creation'!$G$9:$G$255)</f>
        <v>0</v>
      </c>
      <c r="X81" s="494">
        <f>SUMIF('D-2 Off Site Habitat Creation'!$F$9:$F$255,'G-2 Habitat groups'!A81,'D-2 Off Site Habitat Creation'!$AA$9:$AA$255)</f>
        <v>0</v>
      </c>
      <c r="Y81" s="494">
        <f>SUMIF('D-3 Off Site Habitat Enhancment'!$S$12:$S$491,'G-2 Habitat groups'!A81,'D-3 Off Site Habitat Enhancment'!$V$12:$V$491)</f>
        <v>0</v>
      </c>
      <c r="Z81" s="494">
        <f>SUMIF('D-3 Off Site Habitat Enhancment'!$S$12:$S$491,'G-2 Habitat groups'!A81,'D-3 Off Site Habitat Enhancment'!$AP$12:$AP$491)</f>
        <v>0</v>
      </c>
      <c r="AA81" s="494">
        <f t="shared" si="67"/>
        <v>0</v>
      </c>
      <c r="AB81" s="494">
        <f t="shared" si="68"/>
        <v>0</v>
      </c>
      <c r="AC81" s="494">
        <f t="shared" si="69"/>
        <v>0</v>
      </c>
      <c r="AD81" s="494">
        <f t="shared" si="70"/>
        <v>0</v>
      </c>
      <c r="AE81" s="494">
        <f t="shared" si="71"/>
        <v>0</v>
      </c>
      <c r="AF81" s="494">
        <f t="shared" si="72"/>
        <v>0</v>
      </c>
      <c r="AU81" s="104" t="s">
        <v>453</v>
      </c>
      <c r="AV81" s="88" t="s">
        <v>70</v>
      </c>
      <c r="AW81" s="494">
        <f t="shared" ref="AW81:AW100" si="89">VLOOKUP($AU81,AllHabsSummaryData,5,FALSE)</f>
        <v>0</v>
      </c>
      <c r="AX81" s="494">
        <f t="shared" ref="AX81:AX100" si="90">VLOOKUP($AU81,AllHabsSummaryData,10,FALSE)</f>
        <v>0</v>
      </c>
      <c r="AY81" s="494">
        <f t="shared" ref="AY81:AY100" si="91">VLOOKUP($AU81,AllHabsSummaryData,15,FALSE)</f>
        <v>0</v>
      </c>
      <c r="AZ81" s="494">
        <f t="shared" ref="AZ81:AZ100" si="92">VLOOKUP($AU81,AllHabsSummaryData,16,FALSE)</f>
        <v>0</v>
      </c>
      <c r="BA81" s="494">
        <f t="shared" ref="BA81:BA100" si="93">VLOOKUP($AU81,AllHabsSummaryData,17,FALSE)</f>
        <v>0</v>
      </c>
      <c r="BB81" s="494">
        <f t="shared" ref="BB81:BB100" si="94">VLOOKUP($AU81,AllHabsSummaryData,18,FALSE)</f>
        <v>0</v>
      </c>
      <c r="BC81" s="494">
        <f t="shared" ref="BC81:BC100" si="95">VLOOKUP($AU81,AllHabsSummaryData,27,FALSE)</f>
        <v>0</v>
      </c>
      <c r="BD81" s="494">
        <f t="shared" ref="BD81:BD100" si="96">VLOOKUP($AU81,AllHabsSummaryData,30,FALSE)</f>
        <v>0</v>
      </c>
      <c r="BE81" s="494">
        <f t="shared" ref="BE81:BE89" si="97">BB81+BD81</f>
        <v>0</v>
      </c>
      <c r="BF81" s="494" t="str">
        <f t="shared" ref="BF81:BF89" si="98">IF(BE81&lt;0,BE81,"")</f>
        <v/>
      </c>
    </row>
    <row r="82" spans="1:58" x14ac:dyDescent="0.3">
      <c r="A82" s="104" t="str">
        <f>'G-1 All Habitats'!B81</f>
        <v>Wetland - Lowland raised bog</v>
      </c>
      <c r="B82" s="88" t="str">
        <f>'G-1 All Habitats'!F81</f>
        <v>Wetland</v>
      </c>
      <c r="C82" s="88" t="str">
        <f>'G-1 All Habitats'!K81</f>
        <v>V.High</v>
      </c>
      <c r="D82" s="88" t="str">
        <f>'G-1 All Habitats'!M81</f>
        <v>Bespoke compensation likely to be required 🛠</v>
      </c>
      <c r="E82" s="494">
        <f>IF(C82="V.High",SUMIF('A-1 Site Habitat Baseline'!$G$11:$G$258,'G-2 Habitat groups'!A82,'A-1 Site Habitat Baseline'!$S$11:$S$258)+SUMIF('A-1 Site Habitat Baseline'!$G$11:$G$258,'G-2 Habitat groups'!A82,'A-1 Site Habitat Baseline'!$T$11:$T$258),SUMIF('A-1 Site Habitat Baseline'!$G$11:$G$258,'G-2 Habitat groups'!A82,'A-1 Site Habitat Baseline'!$H$11:$H$258))</f>
        <v>0</v>
      </c>
      <c r="F82" s="494">
        <f>SUMIF('A-1 Site Habitat Baseline'!$G$11:$G$258,'G-2 Habitat groups'!A82,'A-1 Site Habitat Baseline'!$Q$11:$Q$258)</f>
        <v>0</v>
      </c>
      <c r="G82" s="494">
        <f>SUMIF('A-1 Site Habitat Baseline'!$G$11:$G$258,'G-2 Habitat groups'!A82,'A-1 Site Habitat Baseline'!$S$11:$S$258)</f>
        <v>0</v>
      </c>
      <c r="H82" s="494">
        <f>SUMIF('A-1 Site Habitat Baseline'!$G$11:$G$258,'G-2 Habitat groups'!A82,'A-1 Site Habitat Baseline'!$U$11:$U$258)</f>
        <v>0</v>
      </c>
      <c r="I82" s="494">
        <f>SUMIF('A-1 Site Habitat Baseline'!$G$11:$G$258,'G-2 Habitat groups'!A82,'A-1 Site Habitat Baseline'!$W$11:$W$258)</f>
        <v>0</v>
      </c>
      <c r="J82" s="494">
        <f>SUMIF('A-1 Site Habitat Baseline'!$G$11:$G$258,'G-2 Habitat groups'!A82,'A-1 Site Habitat Baseline'!$X$11:$X$258)</f>
        <v>0</v>
      </c>
      <c r="K82" s="494">
        <f>SUMIF('A-2 Site Habitat Creation'!$F$11:$F$256,'G-2 Habitat groups'!A82,'A-2 Site Habitat Creation'!$G$11:$G$256)</f>
        <v>0</v>
      </c>
      <c r="L82" s="494">
        <f>SUMIF('A-2 Site Habitat Creation'!$F$11:$F$256,'G-2 Habitat groups'!A82,'A-2 Site Habitat Creation'!$Y$11:$Y$256)</f>
        <v>0</v>
      </c>
      <c r="M82" s="494">
        <f>SUMIF('A-3 Site Habitat Enhancement'!$S$12:$S$257,'G-2 Habitat groups'!A82,'A-3 Site Habitat Enhancement'!$V$12:$V$257)</f>
        <v>0</v>
      </c>
      <c r="N82" s="494">
        <f>SUMIF('A-3 Site Habitat Enhancement'!$S$12:$S$257,'G-2 Habitat groups'!A82,'A-3 Site Habitat Enhancement'!$AN$12:$AN$257)</f>
        <v>0</v>
      </c>
      <c r="O82" s="494">
        <f t="shared" si="63"/>
        <v>0</v>
      </c>
      <c r="P82" s="494">
        <f t="shared" si="64"/>
        <v>0</v>
      </c>
      <c r="Q82" s="494">
        <f t="shared" si="65"/>
        <v>0</v>
      </c>
      <c r="R82" s="494">
        <f t="shared" si="66"/>
        <v>0</v>
      </c>
      <c r="S82" s="494">
        <f>IF(C82="V.High",SUMIF('D-1 Off Site Habitat Baseline'!$G$11:$G$258,'G-2 Habitat groups'!A82,'D-1 Off Site Habitat Baseline'!$S$11:$S$258)+SUMIF('D-1 Off Site Habitat Baseline'!$G$11:$G$258,'G-2 Habitat groups'!A82,'D-1 Off Site Habitat Baseline'!$T$11:$T$258),SUMIF('D-1 Off Site Habitat Baseline'!$G$11:$G$258,'G-2 Habitat groups'!A82,'D-1 Off Site Habitat Baseline'!$H$11:$H$258))</f>
        <v>0</v>
      </c>
      <c r="T82" s="494">
        <f>SUMIF('D-1 Off Site Habitat Baseline'!$G$11:$G$258,'G-2 Habitat groups'!A82,'D-1 Off Site Habitat Baseline'!$Q$11:$Q$258)</f>
        <v>0</v>
      </c>
      <c r="U82" s="591">
        <f>SUMIF('D-1 Off Site Habitat Baseline'!$G$11:$G$258,'G-2 Habitat groups'!A82,'D-1 Off Site Habitat Baseline'!$S$11:$S$258)</f>
        <v>0</v>
      </c>
      <c r="V82" s="494">
        <f>SUMIF('D-1 Off Site Habitat Baseline'!$G$11:$G$258,'G-2 Habitat groups'!A82,'D-1 Off Site Habitat Baseline'!$U$11:$U$258)</f>
        <v>0</v>
      </c>
      <c r="W82" s="494">
        <f>SUMIF('D-2 Off Site Habitat Creation'!$F$9:$F$255,'G-2 Habitat groups'!A82,'D-2 Off Site Habitat Creation'!$G$9:$G$255)</f>
        <v>0</v>
      </c>
      <c r="X82" s="494">
        <f>SUMIF('D-2 Off Site Habitat Creation'!$F$9:$F$255,'G-2 Habitat groups'!A82,'D-2 Off Site Habitat Creation'!$AA$9:$AA$255)</f>
        <v>0</v>
      </c>
      <c r="Y82" s="494">
        <f>SUMIF('D-3 Off Site Habitat Enhancment'!$S$12:$S$491,'G-2 Habitat groups'!A82,'D-3 Off Site Habitat Enhancment'!$V$12:$V$491)</f>
        <v>0</v>
      </c>
      <c r="Z82" s="494">
        <f>SUMIF('D-3 Off Site Habitat Enhancment'!$S$12:$S$491,'G-2 Habitat groups'!A82,'D-3 Off Site Habitat Enhancment'!$AP$12:$AP$491)</f>
        <v>0</v>
      </c>
      <c r="AA82" s="494">
        <f t="shared" si="67"/>
        <v>0</v>
      </c>
      <c r="AB82" s="494">
        <f t="shared" si="68"/>
        <v>0</v>
      </c>
      <c r="AC82" s="494">
        <f t="shared" si="69"/>
        <v>0</v>
      </c>
      <c r="AD82" s="494">
        <f t="shared" si="70"/>
        <v>0</v>
      </c>
      <c r="AE82" s="494">
        <f t="shared" si="71"/>
        <v>0</v>
      </c>
      <c r="AF82" s="494">
        <f t="shared" si="72"/>
        <v>0</v>
      </c>
      <c r="AU82" s="104" t="s">
        <v>456</v>
      </c>
      <c r="AV82" s="88" t="s">
        <v>70</v>
      </c>
      <c r="AW82" s="494">
        <f t="shared" si="89"/>
        <v>0</v>
      </c>
      <c r="AX82" s="494">
        <f t="shared" si="90"/>
        <v>0</v>
      </c>
      <c r="AY82" s="494">
        <f t="shared" si="91"/>
        <v>1.95E-2</v>
      </c>
      <c r="AZ82" s="494">
        <f t="shared" si="92"/>
        <v>0.18025265737907997</v>
      </c>
      <c r="BA82" s="494">
        <f t="shared" si="93"/>
        <v>1.95E-2</v>
      </c>
      <c r="BB82" s="494">
        <f t="shared" si="94"/>
        <v>0.18025265737907997</v>
      </c>
      <c r="BC82" s="494">
        <f t="shared" si="95"/>
        <v>0</v>
      </c>
      <c r="BD82" s="494">
        <f t="shared" si="96"/>
        <v>0</v>
      </c>
      <c r="BE82" s="494">
        <f t="shared" si="97"/>
        <v>0.18025265737907997</v>
      </c>
      <c r="BF82" s="494" t="str">
        <f t="shared" si="98"/>
        <v/>
      </c>
    </row>
    <row r="83" spans="1:58" x14ac:dyDescent="0.3">
      <c r="A83" s="104" t="str">
        <f>'G-1 All Habitats'!B82</f>
        <v>Wetland - Oceanic Valley Mire[1] (D2.1)</v>
      </c>
      <c r="B83" s="88" t="str">
        <f>'G-1 All Habitats'!F82</f>
        <v>Wetland</v>
      </c>
      <c r="C83" s="88" t="str">
        <f>'G-1 All Habitats'!K82</f>
        <v>V.High</v>
      </c>
      <c r="D83" s="88" t="str">
        <f>'G-1 All Habitats'!M82</f>
        <v>Bespoke compensation likely to be required 🛠</v>
      </c>
      <c r="E83" s="494">
        <f>IF(C83="V.High",SUMIF('A-1 Site Habitat Baseline'!$G$11:$G$258,'G-2 Habitat groups'!A83,'A-1 Site Habitat Baseline'!$S$11:$S$258)+SUMIF('A-1 Site Habitat Baseline'!$G$11:$G$258,'G-2 Habitat groups'!A83,'A-1 Site Habitat Baseline'!$T$11:$T$258),SUMIF('A-1 Site Habitat Baseline'!$G$11:$G$258,'G-2 Habitat groups'!A83,'A-1 Site Habitat Baseline'!$H$11:$H$258))</f>
        <v>0</v>
      </c>
      <c r="F83" s="494">
        <f>SUMIF('A-1 Site Habitat Baseline'!$G$11:$G$258,'G-2 Habitat groups'!A83,'A-1 Site Habitat Baseline'!$Q$11:$Q$258)</f>
        <v>0</v>
      </c>
      <c r="G83" s="494">
        <f>SUMIF('A-1 Site Habitat Baseline'!$G$11:$G$258,'G-2 Habitat groups'!A83,'A-1 Site Habitat Baseline'!$S$11:$S$258)</f>
        <v>0</v>
      </c>
      <c r="H83" s="494">
        <f>SUMIF('A-1 Site Habitat Baseline'!$G$11:$G$258,'G-2 Habitat groups'!A83,'A-1 Site Habitat Baseline'!$U$11:$U$258)</f>
        <v>0</v>
      </c>
      <c r="I83" s="494">
        <f>SUMIF('A-1 Site Habitat Baseline'!$G$11:$G$258,'G-2 Habitat groups'!A83,'A-1 Site Habitat Baseline'!$W$11:$W$258)</f>
        <v>0</v>
      </c>
      <c r="J83" s="494">
        <f>SUMIF('A-1 Site Habitat Baseline'!$G$11:$G$258,'G-2 Habitat groups'!A83,'A-1 Site Habitat Baseline'!$X$11:$X$258)</f>
        <v>0</v>
      </c>
      <c r="K83" s="494">
        <f>SUMIF('A-2 Site Habitat Creation'!$F$11:$F$256,'G-2 Habitat groups'!A83,'A-2 Site Habitat Creation'!$G$11:$G$256)</f>
        <v>0</v>
      </c>
      <c r="L83" s="494">
        <f>SUMIF('A-2 Site Habitat Creation'!$F$11:$F$256,'G-2 Habitat groups'!A83,'A-2 Site Habitat Creation'!$Y$11:$Y$256)</f>
        <v>0</v>
      </c>
      <c r="M83" s="494">
        <f>SUMIF('A-3 Site Habitat Enhancement'!$S$12:$S$257,'G-2 Habitat groups'!A83,'A-3 Site Habitat Enhancement'!$V$12:$V$257)</f>
        <v>0</v>
      </c>
      <c r="N83" s="494">
        <f>SUMIF('A-3 Site Habitat Enhancement'!$S$12:$S$257,'G-2 Habitat groups'!A83,'A-3 Site Habitat Enhancement'!$AN$12:$AN$257)</f>
        <v>0</v>
      </c>
      <c r="O83" s="494">
        <f t="shared" si="63"/>
        <v>0</v>
      </c>
      <c r="P83" s="494">
        <f t="shared" si="64"/>
        <v>0</v>
      </c>
      <c r="Q83" s="494">
        <f t="shared" si="65"/>
        <v>0</v>
      </c>
      <c r="R83" s="494">
        <f t="shared" si="66"/>
        <v>0</v>
      </c>
      <c r="S83" s="494">
        <f>IF(C83="V.High",SUMIF('D-1 Off Site Habitat Baseline'!$G$11:$G$258,'G-2 Habitat groups'!A83,'D-1 Off Site Habitat Baseline'!$S$11:$S$258)+SUMIF('D-1 Off Site Habitat Baseline'!$G$11:$G$258,'G-2 Habitat groups'!A83,'D-1 Off Site Habitat Baseline'!$T$11:$T$258),SUMIF('D-1 Off Site Habitat Baseline'!$G$11:$G$258,'G-2 Habitat groups'!A83,'D-1 Off Site Habitat Baseline'!$H$11:$H$258))</f>
        <v>0</v>
      </c>
      <c r="T83" s="494">
        <f>SUMIF('D-1 Off Site Habitat Baseline'!$G$11:$G$258,'G-2 Habitat groups'!A83,'D-1 Off Site Habitat Baseline'!$Q$11:$Q$258)</f>
        <v>0</v>
      </c>
      <c r="U83" s="591">
        <f>SUMIF('D-1 Off Site Habitat Baseline'!$G$11:$G$258,'G-2 Habitat groups'!A83,'D-1 Off Site Habitat Baseline'!$S$11:$S$258)</f>
        <v>0</v>
      </c>
      <c r="V83" s="494">
        <f>SUMIF('D-1 Off Site Habitat Baseline'!$G$11:$G$258,'G-2 Habitat groups'!A83,'D-1 Off Site Habitat Baseline'!$U$11:$U$258)</f>
        <v>0</v>
      </c>
      <c r="W83" s="494">
        <f>SUMIF('D-2 Off Site Habitat Creation'!$F$9:$F$255,'G-2 Habitat groups'!A83,'D-2 Off Site Habitat Creation'!$G$9:$G$255)</f>
        <v>0</v>
      </c>
      <c r="X83" s="494">
        <f>SUMIF('D-2 Off Site Habitat Creation'!$F$9:$F$255,'G-2 Habitat groups'!A83,'D-2 Off Site Habitat Creation'!$AA$9:$AA$255)</f>
        <v>0</v>
      </c>
      <c r="Y83" s="494">
        <f>SUMIF('D-3 Off Site Habitat Enhancment'!$S$12:$S$491,'G-2 Habitat groups'!A83,'D-3 Off Site Habitat Enhancment'!$V$12:$V$491)</f>
        <v>0</v>
      </c>
      <c r="Z83" s="494">
        <f>SUMIF('D-3 Off Site Habitat Enhancment'!$S$12:$S$491,'G-2 Habitat groups'!A83,'D-3 Off Site Habitat Enhancment'!$AP$12:$AP$491)</f>
        <v>0</v>
      </c>
      <c r="AA83" s="494">
        <f t="shared" si="67"/>
        <v>0</v>
      </c>
      <c r="AB83" s="494">
        <f t="shared" si="68"/>
        <v>0</v>
      </c>
      <c r="AC83" s="494">
        <f t="shared" si="69"/>
        <v>0</v>
      </c>
      <c r="AD83" s="494">
        <f t="shared" si="70"/>
        <v>0</v>
      </c>
      <c r="AE83" s="494">
        <f t="shared" si="71"/>
        <v>0</v>
      </c>
      <c r="AF83" s="494">
        <f t="shared" si="72"/>
        <v>0</v>
      </c>
      <c r="AU83" s="104" t="s">
        <v>464</v>
      </c>
      <c r="AV83" s="88" t="s">
        <v>70</v>
      </c>
      <c r="AW83" s="494">
        <f t="shared" si="89"/>
        <v>0</v>
      </c>
      <c r="AX83" s="494">
        <f t="shared" si="90"/>
        <v>0</v>
      </c>
      <c r="AY83" s="494">
        <f t="shared" si="91"/>
        <v>0</v>
      </c>
      <c r="AZ83" s="494">
        <f t="shared" si="92"/>
        <v>0</v>
      </c>
      <c r="BA83" s="494">
        <f t="shared" si="93"/>
        <v>0</v>
      </c>
      <c r="BB83" s="494">
        <f t="shared" si="94"/>
        <v>0</v>
      </c>
      <c r="BC83" s="494">
        <f t="shared" si="95"/>
        <v>0</v>
      </c>
      <c r="BD83" s="494">
        <f t="shared" si="96"/>
        <v>0</v>
      </c>
      <c r="BE83" s="494">
        <f t="shared" si="97"/>
        <v>0</v>
      </c>
      <c r="BF83" s="494" t="str">
        <f t="shared" si="98"/>
        <v/>
      </c>
    </row>
    <row r="84" spans="1:58" x14ac:dyDescent="0.3">
      <c r="A84" s="104" t="str">
        <f>'G-1 All Habitats'!B83</f>
        <v>Wetland - Purple moor grass and rush pastures</v>
      </c>
      <c r="B84" s="88" t="str">
        <f>'G-1 All Habitats'!F83</f>
        <v>Wetland</v>
      </c>
      <c r="C84" s="88" t="str">
        <f>'G-1 All Habitats'!K83</f>
        <v>V.High</v>
      </c>
      <c r="D84" s="88" t="str">
        <f>'G-1 All Habitats'!M83</f>
        <v>Bespoke compensation likely to be required 🛠</v>
      </c>
      <c r="E84" s="494">
        <f>IF(C84="V.High",SUMIF('A-1 Site Habitat Baseline'!$G$11:$G$258,'G-2 Habitat groups'!A84,'A-1 Site Habitat Baseline'!$S$11:$S$258)+SUMIF('A-1 Site Habitat Baseline'!$G$11:$G$258,'G-2 Habitat groups'!A84,'A-1 Site Habitat Baseline'!$T$11:$T$258),SUMIF('A-1 Site Habitat Baseline'!$G$11:$G$258,'G-2 Habitat groups'!A84,'A-1 Site Habitat Baseline'!$H$11:$H$258))</f>
        <v>0</v>
      </c>
      <c r="F84" s="494">
        <f>SUMIF('A-1 Site Habitat Baseline'!$G$11:$G$258,'G-2 Habitat groups'!A84,'A-1 Site Habitat Baseline'!$Q$11:$Q$258)</f>
        <v>0</v>
      </c>
      <c r="G84" s="494">
        <f>SUMIF('A-1 Site Habitat Baseline'!$G$11:$G$258,'G-2 Habitat groups'!A84,'A-1 Site Habitat Baseline'!$S$11:$S$258)</f>
        <v>0</v>
      </c>
      <c r="H84" s="494">
        <f>SUMIF('A-1 Site Habitat Baseline'!$G$11:$G$258,'G-2 Habitat groups'!A84,'A-1 Site Habitat Baseline'!$U$11:$U$258)</f>
        <v>0</v>
      </c>
      <c r="I84" s="494">
        <f>SUMIF('A-1 Site Habitat Baseline'!$G$11:$G$258,'G-2 Habitat groups'!A84,'A-1 Site Habitat Baseline'!$W$11:$W$258)</f>
        <v>0</v>
      </c>
      <c r="J84" s="494">
        <f>SUMIF('A-1 Site Habitat Baseline'!$G$11:$G$258,'G-2 Habitat groups'!A84,'A-1 Site Habitat Baseline'!$X$11:$X$258)</f>
        <v>0</v>
      </c>
      <c r="K84" s="494">
        <f>SUMIF('A-2 Site Habitat Creation'!$F$11:$F$256,'G-2 Habitat groups'!A84,'A-2 Site Habitat Creation'!$G$11:$G$256)</f>
        <v>0</v>
      </c>
      <c r="L84" s="494">
        <f>SUMIF('A-2 Site Habitat Creation'!$F$11:$F$256,'G-2 Habitat groups'!A84,'A-2 Site Habitat Creation'!$Y$11:$Y$256)</f>
        <v>0</v>
      </c>
      <c r="M84" s="494">
        <f>SUMIF('A-3 Site Habitat Enhancement'!$S$12:$S$257,'G-2 Habitat groups'!A84,'A-3 Site Habitat Enhancement'!$V$12:$V$257)</f>
        <v>0</v>
      </c>
      <c r="N84" s="494">
        <f>SUMIF('A-3 Site Habitat Enhancement'!$S$12:$S$257,'G-2 Habitat groups'!A84,'A-3 Site Habitat Enhancement'!$AN$12:$AN$257)</f>
        <v>0</v>
      </c>
      <c r="O84" s="494">
        <f t="shared" si="63"/>
        <v>0</v>
      </c>
      <c r="P84" s="494">
        <f t="shared" si="64"/>
        <v>0</v>
      </c>
      <c r="Q84" s="494">
        <f t="shared" si="65"/>
        <v>0</v>
      </c>
      <c r="R84" s="494">
        <f t="shared" si="66"/>
        <v>0</v>
      </c>
      <c r="S84" s="494">
        <f>IF(C84="V.High",SUMIF('D-1 Off Site Habitat Baseline'!$G$11:$G$258,'G-2 Habitat groups'!A84,'D-1 Off Site Habitat Baseline'!$S$11:$S$258)+SUMIF('D-1 Off Site Habitat Baseline'!$G$11:$G$258,'G-2 Habitat groups'!A84,'D-1 Off Site Habitat Baseline'!$T$11:$T$258),SUMIF('D-1 Off Site Habitat Baseline'!$G$11:$G$258,'G-2 Habitat groups'!A84,'D-1 Off Site Habitat Baseline'!$H$11:$H$258))</f>
        <v>0</v>
      </c>
      <c r="T84" s="494">
        <f>SUMIF('D-1 Off Site Habitat Baseline'!$G$11:$G$258,'G-2 Habitat groups'!A84,'D-1 Off Site Habitat Baseline'!$Q$11:$Q$258)</f>
        <v>0</v>
      </c>
      <c r="U84" s="591">
        <f>SUMIF('D-1 Off Site Habitat Baseline'!$G$11:$G$258,'G-2 Habitat groups'!A84,'D-1 Off Site Habitat Baseline'!$S$11:$S$258)</f>
        <v>0</v>
      </c>
      <c r="V84" s="494">
        <f>SUMIF('D-1 Off Site Habitat Baseline'!$G$11:$G$258,'G-2 Habitat groups'!A84,'D-1 Off Site Habitat Baseline'!$U$11:$U$258)</f>
        <v>0</v>
      </c>
      <c r="W84" s="494">
        <f>SUMIF('D-2 Off Site Habitat Creation'!$F$9:$F$255,'G-2 Habitat groups'!A84,'D-2 Off Site Habitat Creation'!$G$9:$G$255)</f>
        <v>0</v>
      </c>
      <c r="X84" s="494">
        <f>SUMIF('D-2 Off Site Habitat Creation'!$F$9:$F$255,'G-2 Habitat groups'!A84,'D-2 Off Site Habitat Creation'!$AA$9:$AA$255)</f>
        <v>0</v>
      </c>
      <c r="Y84" s="494">
        <f>SUMIF('D-3 Off Site Habitat Enhancment'!$S$12:$S$491,'G-2 Habitat groups'!A84,'D-3 Off Site Habitat Enhancment'!$V$12:$V$491)</f>
        <v>0</v>
      </c>
      <c r="Z84" s="494">
        <f>SUMIF('D-3 Off Site Habitat Enhancment'!$S$12:$S$491,'G-2 Habitat groups'!A84,'D-3 Off Site Habitat Enhancment'!$AP$12:$AP$491)</f>
        <v>0</v>
      </c>
      <c r="AA84" s="494">
        <f t="shared" si="67"/>
        <v>0</v>
      </c>
      <c r="AB84" s="494">
        <f t="shared" si="68"/>
        <v>0</v>
      </c>
      <c r="AC84" s="494">
        <f t="shared" si="69"/>
        <v>0</v>
      </c>
      <c r="AD84" s="494">
        <f t="shared" si="70"/>
        <v>0</v>
      </c>
      <c r="AE84" s="494">
        <f t="shared" si="71"/>
        <v>0</v>
      </c>
      <c r="AF84" s="494">
        <f t="shared" si="72"/>
        <v>0</v>
      </c>
      <c r="AU84" s="104" t="s">
        <v>473</v>
      </c>
      <c r="AV84" s="88" t="s">
        <v>71</v>
      </c>
      <c r="AW84" s="494">
        <f t="shared" si="89"/>
        <v>0</v>
      </c>
      <c r="AX84" s="494">
        <f t="shared" si="90"/>
        <v>0</v>
      </c>
      <c r="AY84" s="494">
        <f t="shared" si="91"/>
        <v>0</v>
      </c>
      <c r="AZ84" s="494">
        <f t="shared" si="92"/>
        <v>0</v>
      </c>
      <c r="BA84" s="494">
        <f t="shared" si="93"/>
        <v>0</v>
      </c>
      <c r="BB84" s="494">
        <f t="shared" si="94"/>
        <v>0</v>
      </c>
      <c r="BC84" s="494">
        <f t="shared" si="95"/>
        <v>0</v>
      </c>
      <c r="BD84" s="494">
        <f t="shared" si="96"/>
        <v>0</v>
      </c>
      <c r="BE84" s="494">
        <f t="shared" si="97"/>
        <v>0</v>
      </c>
      <c r="BF84" s="494" t="str">
        <f t="shared" si="98"/>
        <v/>
      </c>
    </row>
    <row r="85" spans="1:58" x14ac:dyDescent="0.3">
      <c r="A85" s="104" t="str">
        <f>'G-1 All Habitats'!B84</f>
        <v>Wetland - Reedbeds</v>
      </c>
      <c r="B85" s="88" t="str">
        <f>'G-1 All Habitats'!F84</f>
        <v>Wetland</v>
      </c>
      <c r="C85" s="88" t="str">
        <f>'G-1 All Habitats'!K84</f>
        <v>High</v>
      </c>
      <c r="D85" s="88" t="str">
        <f>'G-1 All Habitats'!M84</f>
        <v>Same habitat required =</v>
      </c>
      <c r="E85" s="494">
        <f>IF(C85="V.High",SUMIF('A-1 Site Habitat Baseline'!$G$11:$G$258,'G-2 Habitat groups'!A85,'A-1 Site Habitat Baseline'!$S$11:$S$258)+SUMIF('A-1 Site Habitat Baseline'!$G$11:$G$258,'G-2 Habitat groups'!A85,'A-1 Site Habitat Baseline'!$T$11:$T$258),SUMIF('A-1 Site Habitat Baseline'!$G$11:$G$258,'G-2 Habitat groups'!A85,'A-1 Site Habitat Baseline'!$H$11:$H$258))</f>
        <v>0</v>
      </c>
      <c r="F85" s="494">
        <f>SUMIF('A-1 Site Habitat Baseline'!$G$11:$G$258,'G-2 Habitat groups'!A85,'A-1 Site Habitat Baseline'!$Q$11:$Q$258)</f>
        <v>0</v>
      </c>
      <c r="G85" s="494">
        <f>SUMIF('A-1 Site Habitat Baseline'!$G$11:$G$258,'G-2 Habitat groups'!A85,'A-1 Site Habitat Baseline'!$S$11:$S$258)</f>
        <v>0</v>
      </c>
      <c r="H85" s="494">
        <f>SUMIF('A-1 Site Habitat Baseline'!$G$11:$G$258,'G-2 Habitat groups'!A85,'A-1 Site Habitat Baseline'!$U$11:$U$258)</f>
        <v>0</v>
      </c>
      <c r="I85" s="494">
        <f>SUMIF('A-1 Site Habitat Baseline'!$G$11:$G$258,'G-2 Habitat groups'!A85,'A-1 Site Habitat Baseline'!$W$11:$W$258)</f>
        <v>0</v>
      </c>
      <c r="J85" s="494">
        <f>SUMIF('A-1 Site Habitat Baseline'!$G$11:$G$258,'G-2 Habitat groups'!A85,'A-1 Site Habitat Baseline'!$X$11:$X$258)</f>
        <v>0</v>
      </c>
      <c r="K85" s="494">
        <f>SUMIF('A-2 Site Habitat Creation'!$F$11:$F$256,'G-2 Habitat groups'!A85,'A-2 Site Habitat Creation'!$G$11:$G$256)</f>
        <v>0</v>
      </c>
      <c r="L85" s="494">
        <f>SUMIF('A-2 Site Habitat Creation'!$F$11:$F$256,'G-2 Habitat groups'!A85,'A-2 Site Habitat Creation'!$Y$11:$Y$256)</f>
        <v>0</v>
      </c>
      <c r="M85" s="494">
        <f>SUMIF('A-3 Site Habitat Enhancement'!$S$12:$S$257,'G-2 Habitat groups'!A85,'A-3 Site Habitat Enhancement'!$V$12:$V$257)</f>
        <v>0</v>
      </c>
      <c r="N85" s="494">
        <f>SUMIF('A-3 Site Habitat Enhancement'!$S$12:$S$257,'G-2 Habitat groups'!A85,'A-3 Site Habitat Enhancement'!$AN$12:$AN$257)</f>
        <v>0</v>
      </c>
      <c r="O85" s="494">
        <f t="shared" si="63"/>
        <v>0</v>
      </c>
      <c r="P85" s="494">
        <f t="shared" si="64"/>
        <v>0</v>
      </c>
      <c r="Q85" s="494">
        <f t="shared" si="65"/>
        <v>0</v>
      </c>
      <c r="R85" s="494">
        <f t="shared" si="66"/>
        <v>0</v>
      </c>
      <c r="S85" s="494">
        <f>IF(C85="V.High",SUMIF('D-1 Off Site Habitat Baseline'!$G$11:$G$258,'G-2 Habitat groups'!A85,'D-1 Off Site Habitat Baseline'!$S$11:$S$258)+SUMIF('D-1 Off Site Habitat Baseline'!$G$11:$G$258,'G-2 Habitat groups'!A85,'D-1 Off Site Habitat Baseline'!$T$11:$T$258),SUMIF('D-1 Off Site Habitat Baseline'!$G$11:$G$258,'G-2 Habitat groups'!A85,'D-1 Off Site Habitat Baseline'!$H$11:$H$258))</f>
        <v>0</v>
      </c>
      <c r="T85" s="494">
        <f>SUMIF('D-1 Off Site Habitat Baseline'!$G$11:$G$258,'G-2 Habitat groups'!A85,'D-1 Off Site Habitat Baseline'!$Q$11:$Q$258)</f>
        <v>0</v>
      </c>
      <c r="U85" s="591">
        <f>SUMIF('D-1 Off Site Habitat Baseline'!$G$11:$G$258,'G-2 Habitat groups'!A85,'D-1 Off Site Habitat Baseline'!$S$11:$S$258)</f>
        <v>0</v>
      </c>
      <c r="V85" s="494">
        <f>SUMIF('D-1 Off Site Habitat Baseline'!$G$11:$G$258,'G-2 Habitat groups'!A85,'D-1 Off Site Habitat Baseline'!$U$11:$U$258)</f>
        <v>0</v>
      </c>
      <c r="W85" s="494">
        <f>SUMIF('D-2 Off Site Habitat Creation'!$F$9:$F$255,'G-2 Habitat groups'!A85,'D-2 Off Site Habitat Creation'!$G$9:$G$255)</f>
        <v>0</v>
      </c>
      <c r="X85" s="494">
        <f>SUMIF('D-2 Off Site Habitat Creation'!$F$9:$F$255,'G-2 Habitat groups'!A85,'D-2 Off Site Habitat Creation'!$AA$9:$AA$255)</f>
        <v>0</v>
      </c>
      <c r="Y85" s="494">
        <f>SUMIF('D-3 Off Site Habitat Enhancment'!$S$12:$S$491,'G-2 Habitat groups'!A85,'D-3 Off Site Habitat Enhancment'!$V$12:$V$491)</f>
        <v>0</v>
      </c>
      <c r="Z85" s="494">
        <f>SUMIF('D-3 Off Site Habitat Enhancment'!$S$12:$S$491,'G-2 Habitat groups'!A85,'D-3 Off Site Habitat Enhancment'!$AP$12:$AP$491)</f>
        <v>0</v>
      </c>
      <c r="AA85" s="494">
        <f t="shared" si="67"/>
        <v>0</v>
      </c>
      <c r="AB85" s="494">
        <f t="shared" si="68"/>
        <v>0</v>
      </c>
      <c r="AC85" s="494">
        <f t="shared" si="69"/>
        <v>0</v>
      </c>
      <c r="AD85" s="494">
        <f t="shared" si="70"/>
        <v>0</v>
      </c>
      <c r="AE85" s="494">
        <f t="shared" si="71"/>
        <v>0</v>
      </c>
      <c r="AF85" s="494">
        <f t="shared" si="72"/>
        <v>0</v>
      </c>
      <c r="AU85" s="104" t="s">
        <v>478</v>
      </c>
      <c r="AV85" s="88" t="s">
        <v>71</v>
      </c>
      <c r="AW85" s="494">
        <f t="shared" si="89"/>
        <v>0</v>
      </c>
      <c r="AX85" s="494">
        <f t="shared" si="90"/>
        <v>0</v>
      </c>
      <c r="AY85" s="494">
        <f t="shared" si="91"/>
        <v>0</v>
      </c>
      <c r="AZ85" s="494">
        <f t="shared" si="92"/>
        <v>0</v>
      </c>
      <c r="BA85" s="494">
        <f t="shared" si="93"/>
        <v>0</v>
      </c>
      <c r="BB85" s="494">
        <f t="shared" si="94"/>
        <v>0</v>
      </c>
      <c r="BC85" s="494">
        <f t="shared" si="95"/>
        <v>0</v>
      </c>
      <c r="BD85" s="494">
        <f t="shared" si="96"/>
        <v>0</v>
      </c>
      <c r="BE85" s="494">
        <f t="shared" si="97"/>
        <v>0</v>
      </c>
      <c r="BF85" s="494" t="str">
        <f t="shared" si="98"/>
        <v/>
      </c>
    </row>
    <row r="86" spans="1:58" x14ac:dyDescent="0.3">
      <c r="A86" s="104" t="str">
        <f>'G-1 All Habitats'!B85</f>
        <v>Wetland - Transition mires and quaking bogs (H7140)</v>
      </c>
      <c r="B86" s="88" t="str">
        <f>'G-1 All Habitats'!F85</f>
        <v>Wetland</v>
      </c>
      <c r="C86" s="88" t="str">
        <f>'G-1 All Habitats'!K85</f>
        <v>V.High</v>
      </c>
      <c r="D86" s="88" t="str">
        <f>'G-1 All Habitats'!M85</f>
        <v>Bespoke compensation likely to be required 🛠</v>
      </c>
      <c r="E86" s="494">
        <f>IF(C86="V.High",SUMIF('A-1 Site Habitat Baseline'!$G$11:$G$258,'G-2 Habitat groups'!A86,'A-1 Site Habitat Baseline'!$S$11:$S$258)+SUMIF('A-1 Site Habitat Baseline'!$G$11:$G$258,'G-2 Habitat groups'!A86,'A-1 Site Habitat Baseline'!$T$11:$T$258),SUMIF('A-1 Site Habitat Baseline'!$G$11:$G$258,'G-2 Habitat groups'!A86,'A-1 Site Habitat Baseline'!$H$11:$H$258))</f>
        <v>0</v>
      </c>
      <c r="F86" s="494">
        <f>SUMIF('A-1 Site Habitat Baseline'!$G$11:$G$258,'G-2 Habitat groups'!A86,'A-1 Site Habitat Baseline'!$Q$11:$Q$258)</f>
        <v>0</v>
      </c>
      <c r="G86" s="494">
        <f>SUMIF('A-1 Site Habitat Baseline'!$G$11:$G$258,'G-2 Habitat groups'!A86,'A-1 Site Habitat Baseline'!$S$11:$S$258)</f>
        <v>0</v>
      </c>
      <c r="H86" s="494">
        <f>SUMIF('A-1 Site Habitat Baseline'!$G$11:$G$258,'G-2 Habitat groups'!A86,'A-1 Site Habitat Baseline'!$U$11:$U$258)</f>
        <v>0</v>
      </c>
      <c r="I86" s="494">
        <f>SUMIF('A-1 Site Habitat Baseline'!$G$11:$G$258,'G-2 Habitat groups'!A86,'A-1 Site Habitat Baseline'!$W$11:$W$258)</f>
        <v>0</v>
      </c>
      <c r="J86" s="494">
        <f>SUMIF('A-1 Site Habitat Baseline'!$G$11:$G$258,'G-2 Habitat groups'!A86,'A-1 Site Habitat Baseline'!$X$11:$X$258)</f>
        <v>0</v>
      </c>
      <c r="K86" s="494">
        <f>SUMIF('A-2 Site Habitat Creation'!$F$11:$F$256,'G-2 Habitat groups'!A86,'A-2 Site Habitat Creation'!$G$11:$G$256)</f>
        <v>0</v>
      </c>
      <c r="L86" s="494">
        <f>SUMIF('A-2 Site Habitat Creation'!$F$11:$F$256,'G-2 Habitat groups'!A86,'A-2 Site Habitat Creation'!$Y$11:$Y$256)</f>
        <v>0</v>
      </c>
      <c r="M86" s="494">
        <f>SUMIF('A-3 Site Habitat Enhancement'!$S$12:$S$257,'G-2 Habitat groups'!A86,'A-3 Site Habitat Enhancement'!$V$12:$V$257)</f>
        <v>0</v>
      </c>
      <c r="N86" s="494">
        <f>SUMIF('A-3 Site Habitat Enhancement'!$S$12:$S$257,'G-2 Habitat groups'!A86,'A-3 Site Habitat Enhancement'!$AN$12:$AN$257)</f>
        <v>0</v>
      </c>
      <c r="O86" s="494">
        <f t="shared" si="63"/>
        <v>0</v>
      </c>
      <c r="P86" s="494">
        <f t="shared" si="64"/>
        <v>0</v>
      </c>
      <c r="Q86" s="494">
        <f t="shared" si="65"/>
        <v>0</v>
      </c>
      <c r="R86" s="494">
        <f t="shared" si="66"/>
        <v>0</v>
      </c>
      <c r="S86" s="494">
        <f>IF(C86="V.High",SUMIF('D-1 Off Site Habitat Baseline'!$G$11:$G$258,'G-2 Habitat groups'!A86,'D-1 Off Site Habitat Baseline'!$S$11:$S$258)+SUMIF('D-1 Off Site Habitat Baseline'!$G$11:$G$258,'G-2 Habitat groups'!A86,'D-1 Off Site Habitat Baseline'!$T$11:$T$258),SUMIF('D-1 Off Site Habitat Baseline'!$G$11:$G$258,'G-2 Habitat groups'!A86,'D-1 Off Site Habitat Baseline'!$H$11:$H$258))</f>
        <v>0</v>
      </c>
      <c r="T86" s="494">
        <f>SUMIF('D-1 Off Site Habitat Baseline'!$G$11:$G$258,'G-2 Habitat groups'!A86,'D-1 Off Site Habitat Baseline'!$Q$11:$Q$258)</f>
        <v>0</v>
      </c>
      <c r="U86" s="591">
        <f>SUMIF('D-1 Off Site Habitat Baseline'!$G$11:$G$258,'G-2 Habitat groups'!A86,'D-1 Off Site Habitat Baseline'!$S$11:$S$258)</f>
        <v>0</v>
      </c>
      <c r="V86" s="494">
        <f>SUMIF('D-1 Off Site Habitat Baseline'!$G$11:$G$258,'G-2 Habitat groups'!A86,'D-1 Off Site Habitat Baseline'!$U$11:$U$258)</f>
        <v>0</v>
      </c>
      <c r="W86" s="494">
        <f>SUMIF('D-2 Off Site Habitat Creation'!$F$9:$F$255,'G-2 Habitat groups'!A86,'D-2 Off Site Habitat Creation'!$G$9:$G$255)</f>
        <v>0</v>
      </c>
      <c r="X86" s="494">
        <f>SUMIF('D-2 Off Site Habitat Creation'!$F$9:$F$255,'G-2 Habitat groups'!A86,'D-2 Off Site Habitat Creation'!$AA$9:$AA$255)</f>
        <v>0</v>
      </c>
      <c r="Y86" s="494">
        <f>SUMIF('D-3 Off Site Habitat Enhancment'!$S$12:$S$491,'G-2 Habitat groups'!A86,'D-3 Off Site Habitat Enhancment'!$V$12:$V$491)</f>
        <v>0</v>
      </c>
      <c r="Z86" s="494">
        <f>SUMIF('D-3 Off Site Habitat Enhancment'!$S$12:$S$491,'G-2 Habitat groups'!A86,'D-3 Off Site Habitat Enhancment'!$AP$12:$AP$491)</f>
        <v>0</v>
      </c>
      <c r="AA86" s="494">
        <f t="shared" si="67"/>
        <v>0</v>
      </c>
      <c r="AB86" s="494">
        <f t="shared" si="68"/>
        <v>0</v>
      </c>
      <c r="AC86" s="494">
        <f t="shared" si="69"/>
        <v>0</v>
      </c>
      <c r="AD86" s="494">
        <f t="shared" si="70"/>
        <v>0</v>
      </c>
      <c r="AE86" s="494">
        <f t="shared" si="71"/>
        <v>0</v>
      </c>
      <c r="AF86" s="494">
        <f t="shared" si="72"/>
        <v>0</v>
      </c>
      <c r="AU86" s="104" t="s">
        <v>481</v>
      </c>
      <c r="AV86" s="88" t="s">
        <v>71</v>
      </c>
      <c r="AW86" s="494">
        <f t="shared" si="89"/>
        <v>0</v>
      </c>
      <c r="AX86" s="494">
        <f t="shared" si="90"/>
        <v>0</v>
      </c>
      <c r="AY86" s="494">
        <f t="shared" si="91"/>
        <v>0</v>
      </c>
      <c r="AZ86" s="494">
        <f t="shared" si="92"/>
        <v>0</v>
      </c>
      <c r="BA86" s="494">
        <f t="shared" si="93"/>
        <v>0</v>
      </c>
      <c r="BB86" s="494">
        <f t="shared" si="94"/>
        <v>0</v>
      </c>
      <c r="BC86" s="494">
        <f t="shared" si="95"/>
        <v>0</v>
      </c>
      <c r="BD86" s="494">
        <f t="shared" si="96"/>
        <v>0</v>
      </c>
      <c r="BE86" s="494">
        <f t="shared" si="97"/>
        <v>0</v>
      </c>
      <c r="BF86" s="494" t="str">
        <f t="shared" si="98"/>
        <v/>
      </c>
    </row>
    <row r="87" spans="1:58" x14ac:dyDescent="0.3">
      <c r="A87" s="104" t="str">
        <f>'G-1 All Habitats'!B86</f>
        <v>Woodland and forest - Felled</v>
      </c>
      <c r="B87" s="88" t="str">
        <f>'G-1 All Habitats'!F86</f>
        <v>Woodland and forest</v>
      </c>
      <c r="C87" s="88" t="str">
        <f>'G-1 All Habitats'!K86</f>
        <v>High</v>
      </c>
      <c r="D87" s="88" t="str">
        <f>'G-1 All Habitats'!M86</f>
        <v>Same habitat required =</v>
      </c>
      <c r="E87" s="494">
        <f>IF(C87="V.High",SUMIF('A-1 Site Habitat Baseline'!$G$11:$G$258,'G-2 Habitat groups'!A87,'A-1 Site Habitat Baseline'!$S$11:$S$258)+SUMIF('A-1 Site Habitat Baseline'!$G$11:$G$258,'G-2 Habitat groups'!A87,'A-1 Site Habitat Baseline'!$T$11:$T$258),SUMIF('A-1 Site Habitat Baseline'!$G$11:$G$258,'G-2 Habitat groups'!A87,'A-1 Site Habitat Baseline'!$H$11:$H$258))</f>
        <v>0</v>
      </c>
      <c r="F87" s="494">
        <f>SUMIF('A-1 Site Habitat Baseline'!$G$11:$G$258,'G-2 Habitat groups'!A87,'A-1 Site Habitat Baseline'!$Q$11:$Q$258)</f>
        <v>0</v>
      </c>
      <c r="G87" s="494">
        <f>SUMIF('A-1 Site Habitat Baseline'!$G$11:$G$258,'G-2 Habitat groups'!A87,'A-1 Site Habitat Baseline'!$S$11:$S$258)</f>
        <v>0</v>
      </c>
      <c r="H87" s="494">
        <f>SUMIF('A-1 Site Habitat Baseline'!$G$11:$G$258,'G-2 Habitat groups'!A87,'A-1 Site Habitat Baseline'!$U$11:$U$258)</f>
        <v>0</v>
      </c>
      <c r="I87" s="494">
        <f>SUMIF('A-1 Site Habitat Baseline'!$G$11:$G$258,'G-2 Habitat groups'!A87,'A-1 Site Habitat Baseline'!$W$11:$W$258)</f>
        <v>0</v>
      </c>
      <c r="J87" s="494">
        <f>SUMIF('A-1 Site Habitat Baseline'!$G$11:$G$258,'G-2 Habitat groups'!A87,'A-1 Site Habitat Baseline'!$X$11:$X$258)</f>
        <v>0</v>
      </c>
      <c r="K87" s="494">
        <f>SUMIF('A-2 Site Habitat Creation'!$F$11:$F$256,'G-2 Habitat groups'!A87,'A-2 Site Habitat Creation'!$G$11:$G$256)</f>
        <v>0</v>
      </c>
      <c r="L87" s="494">
        <f>SUMIF('A-2 Site Habitat Creation'!$F$11:$F$256,'G-2 Habitat groups'!A87,'A-2 Site Habitat Creation'!$Y$11:$Y$256)</f>
        <v>0</v>
      </c>
      <c r="M87" s="494">
        <f>SUMIF('A-3 Site Habitat Enhancement'!$S$12:$S$257,'G-2 Habitat groups'!A87,'A-3 Site Habitat Enhancement'!$V$12:$V$257)</f>
        <v>0</v>
      </c>
      <c r="N87" s="494">
        <f>SUMIF('A-3 Site Habitat Enhancement'!$S$12:$S$257,'G-2 Habitat groups'!A87,'A-3 Site Habitat Enhancement'!$AN$12:$AN$257)</f>
        <v>0</v>
      </c>
      <c r="O87" s="494">
        <f t="shared" si="63"/>
        <v>0</v>
      </c>
      <c r="P87" s="494">
        <f t="shared" si="64"/>
        <v>0</v>
      </c>
      <c r="Q87" s="494">
        <f t="shared" si="65"/>
        <v>0</v>
      </c>
      <c r="R87" s="494">
        <f t="shared" si="66"/>
        <v>0</v>
      </c>
      <c r="S87" s="494">
        <f>IF(C87="V.High",SUMIF('D-1 Off Site Habitat Baseline'!$G$11:$G$258,'G-2 Habitat groups'!A87,'D-1 Off Site Habitat Baseline'!$S$11:$S$258)+SUMIF('D-1 Off Site Habitat Baseline'!$G$11:$G$258,'G-2 Habitat groups'!A87,'D-1 Off Site Habitat Baseline'!$T$11:$T$258),SUMIF('D-1 Off Site Habitat Baseline'!$G$11:$G$258,'G-2 Habitat groups'!A87,'D-1 Off Site Habitat Baseline'!$H$11:$H$258))</f>
        <v>0</v>
      </c>
      <c r="T87" s="494">
        <f>SUMIF('D-1 Off Site Habitat Baseline'!$G$11:$G$258,'G-2 Habitat groups'!A87,'D-1 Off Site Habitat Baseline'!$Q$11:$Q$258)</f>
        <v>0</v>
      </c>
      <c r="U87" s="591">
        <f>SUMIF('D-1 Off Site Habitat Baseline'!$G$11:$G$258,'G-2 Habitat groups'!A87,'D-1 Off Site Habitat Baseline'!$S$11:$S$258)</f>
        <v>0</v>
      </c>
      <c r="V87" s="494">
        <f>SUMIF('D-1 Off Site Habitat Baseline'!$G$11:$G$258,'G-2 Habitat groups'!A87,'D-1 Off Site Habitat Baseline'!$U$11:$U$258)</f>
        <v>0</v>
      </c>
      <c r="W87" s="494">
        <f>SUMIF('D-2 Off Site Habitat Creation'!$F$9:$F$255,'G-2 Habitat groups'!A87,'D-2 Off Site Habitat Creation'!$G$9:$G$255)</f>
        <v>0</v>
      </c>
      <c r="X87" s="494">
        <f>SUMIF('D-2 Off Site Habitat Creation'!$F$9:$F$255,'G-2 Habitat groups'!A87,'D-2 Off Site Habitat Creation'!$AA$9:$AA$255)</f>
        <v>0</v>
      </c>
      <c r="Y87" s="494">
        <f>SUMIF('D-3 Off Site Habitat Enhancment'!$S$12:$S$491,'G-2 Habitat groups'!A87,'D-3 Off Site Habitat Enhancment'!$V$12:$V$491)</f>
        <v>0</v>
      </c>
      <c r="Z87" s="494">
        <f>SUMIF('D-3 Off Site Habitat Enhancment'!$S$12:$S$491,'G-2 Habitat groups'!A87,'D-3 Off Site Habitat Enhancment'!$AP$12:$AP$491)</f>
        <v>0</v>
      </c>
      <c r="AA87" s="494">
        <f t="shared" si="67"/>
        <v>0</v>
      </c>
      <c r="AB87" s="494">
        <f t="shared" si="68"/>
        <v>0</v>
      </c>
      <c r="AC87" s="494">
        <f t="shared" si="69"/>
        <v>0</v>
      </c>
      <c r="AD87" s="494">
        <f t="shared" si="70"/>
        <v>0</v>
      </c>
      <c r="AE87" s="494">
        <f t="shared" si="71"/>
        <v>0</v>
      </c>
      <c r="AF87" s="494">
        <f t="shared" si="72"/>
        <v>0</v>
      </c>
      <c r="AU87" s="104" t="s">
        <v>484</v>
      </c>
      <c r="AV87" s="88" t="s">
        <v>71</v>
      </c>
      <c r="AW87" s="494">
        <f t="shared" si="89"/>
        <v>0</v>
      </c>
      <c r="AX87" s="494">
        <f t="shared" si="90"/>
        <v>0</v>
      </c>
      <c r="AY87" s="494">
        <f t="shared" si="91"/>
        <v>0</v>
      </c>
      <c r="AZ87" s="494">
        <f t="shared" si="92"/>
        <v>0</v>
      </c>
      <c r="BA87" s="494">
        <f t="shared" si="93"/>
        <v>0</v>
      </c>
      <c r="BB87" s="494">
        <f t="shared" si="94"/>
        <v>0</v>
      </c>
      <c r="BC87" s="494">
        <f t="shared" si="95"/>
        <v>0</v>
      </c>
      <c r="BD87" s="494">
        <f t="shared" si="96"/>
        <v>0</v>
      </c>
      <c r="BE87" s="494">
        <f t="shared" si="97"/>
        <v>0</v>
      </c>
      <c r="BF87" s="494" t="str">
        <f t="shared" si="98"/>
        <v/>
      </c>
    </row>
    <row r="88" spans="1:58" x14ac:dyDescent="0.3">
      <c r="A88" s="104" t="str">
        <f>'G-1 All Habitats'!B87</f>
        <v>Woodland and forest - Lowland beech and yew woodland</v>
      </c>
      <c r="B88" s="88" t="str">
        <f>'G-1 All Habitats'!F87</f>
        <v>Woodland and forest</v>
      </c>
      <c r="C88" s="88" t="str">
        <f>'G-1 All Habitats'!K87</f>
        <v>High</v>
      </c>
      <c r="D88" s="88" t="str">
        <f>'G-1 All Habitats'!M87</f>
        <v>Same habitat required =</v>
      </c>
      <c r="E88" s="494">
        <f>IF(C88="V.High",SUMIF('A-1 Site Habitat Baseline'!$G$11:$G$258,'G-2 Habitat groups'!A88,'A-1 Site Habitat Baseline'!$S$11:$S$258)+SUMIF('A-1 Site Habitat Baseline'!$G$11:$G$258,'G-2 Habitat groups'!A88,'A-1 Site Habitat Baseline'!$T$11:$T$258),SUMIF('A-1 Site Habitat Baseline'!$G$11:$G$258,'G-2 Habitat groups'!A88,'A-1 Site Habitat Baseline'!$H$11:$H$258))</f>
        <v>0</v>
      </c>
      <c r="F88" s="494">
        <f>SUMIF('A-1 Site Habitat Baseline'!$G$11:$G$258,'G-2 Habitat groups'!A88,'A-1 Site Habitat Baseline'!$Q$11:$Q$258)</f>
        <v>0</v>
      </c>
      <c r="G88" s="494">
        <f>SUMIF('A-1 Site Habitat Baseline'!$G$11:$G$258,'G-2 Habitat groups'!A88,'A-1 Site Habitat Baseline'!$S$11:$S$258)</f>
        <v>0</v>
      </c>
      <c r="H88" s="494">
        <f>SUMIF('A-1 Site Habitat Baseline'!$G$11:$G$258,'G-2 Habitat groups'!A88,'A-1 Site Habitat Baseline'!$U$11:$U$258)</f>
        <v>0</v>
      </c>
      <c r="I88" s="494">
        <f>SUMIF('A-1 Site Habitat Baseline'!$G$11:$G$258,'G-2 Habitat groups'!A88,'A-1 Site Habitat Baseline'!$W$11:$W$258)</f>
        <v>0</v>
      </c>
      <c r="J88" s="494">
        <f>SUMIF('A-1 Site Habitat Baseline'!$G$11:$G$258,'G-2 Habitat groups'!A88,'A-1 Site Habitat Baseline'!$X$11:$X$258)</f>
        <v>0</v>
      </c>
      <c r="K88" s="494">
        <f>SUMIF('A-2 Site Habitat Creation'!$F$11:$F$256,'G-2 Habitat groups'!A88,'A-2 Site Habitat Creation'!$G$11:$G$256)</f>
        <v>0</v>
      </c>
      <c r="L88" s="494">
        <f>SUMIF('A-2 Site Habitat Creation'!$F$11:$F$256,'G-2 Habitat groups'!A88,'A-2 Site Habitat Creation'!$Y$11:$Y$256)</f>
        <v>0</v>
      </c>
      <c r="M88" s="494">
        <f>SUMIF('A-3 Site Habitat Enhancement'!$S$12:$S$257,'G-2 Habitat groups'!A88,'A-3 Site Habitat Enhancement'!$V$12:$V$257)</f>
        <v>0</v>
      </c>
      <c r="N88" s="494">
        <f>SUMIF('A-3 Site Habitat Enhancement'!$S$12:$S$257,'G-2 Habitat groups'!A88,'A-3 Site Habitat Enhancement'!$AN$12:$AN$257)</f>
        <v>0</v>
      </c>
      <c r="O88" s="494">
        <f t="shared" si="63"/>
        <v>0</v>
      </c>
      <c r="P88" s="494">
        <f t="shared" si="64"/>
        <v>0</v>
      </c>
      <c r="Q88" s="494">
        <f t="shared" si="65"/>
        <v>0</v>
      </c>
      <c r="R88" s="494">
        <f t="shared" si="66"/>
        <v>0</v>
      </c>
      <c r="S88" s="494">
        <f>IF(C88="V.High",SUMIF('D-1 Off Site Habitat Baseline'!$G$11:$G$258,'G-2 Habitat groups'!A88,'D-1 Off Site Habitat Baseline'!$S$11:$S$258)+SUMIF('D-1 Off Site Habitat Baseline'!$G$11:$G$258,'G-2 Habitat groups'!A88,'D-1 Off Site Habitat Baseline'!$T$11:$T$258),SUMIF('D-1 Off Site Habitat Baseline'!$G$11:$G$258,'G-2 Habitat groups'!A88,'D-1 Off Site Habitat Baseline'!$H$11:$H$258))</f>
        <v>0</v>
      </c>
      <c r="T88" s="494">
        <f>SUMIF('D-1 Off Site Habitat Baseline'!$G$11:$G$258,'G-2 Habitat groups'!A88,'D-1 Off Site Habitat Baseline'!$Q$11:$Q$258)</f>
        <v>0</v>
      </c>
      <c r="U88" s="591">
        <f>SUMIF('D-1 Off Site Habitat Baseline'!$G$11:$G$258,'G-2 Habitat groups'!A88,'D-1 Off Site Habitat Baseline'!$S$11:$S$258)</f>
        <v>0</v>
      </c>
      <c r="V88" s="494">
        <f>SUMIF('D-1 Off Site Habitat Baseline'!$G$11:$G$258,'G-2 Habitat groups'!A88,'D-1 Off Site Habitat Baseline'!$U$11:$U$258)</f>
        <v>0</v>
      </c>
      <c r="W88" s="494">
        <f>SUMIF('D-2 Off Site Habitat Creation'!$F$9:$F$255,'G-2 Habitat groups'!A88,'D-2 Off Site Habitat Creation'!$G$9:$G$255)</f>
        <v>0</v>
      </c>
      <c r="X88" s="494">
        <f>SUMIF('D-2 Off Site Habitat Creation'!$F$9:$F$255,'G-2 Habitat groups'!A88,'D-2 Off Site Habitat Creation'!$AA$9:$AA$255)</f>
        <v>0</v>
      </c>
      <c r="Y88" s="494">
        <f>SUMIF('D-3 Off Site Habitat Enhancment'!$S$12:$S$491,'G-2 Habitat groups'!A88,'D-3 Off Site Habitat Enhancment'!$V$12:$V$491)</f>
        <v>0</v>
      </c>
      <c r="Z88" s="494">
        <f>SUMIF('D-3 Off Site Habitat Enhancment'!$S$12:$S$491,'G-2 Habitat groups'!A88,'D-3 Off Site Habitat Enhancment'!$AP$12:$AP$491)</f>
        <v>0</v>
      </c>
      <c r="AA88" s="494">
        <f t="shared" si="67"/>
        <v>0</v>
      </c>
      <c r="AB88" s="494">
        <f t="shared" si="68"/>
        <v>0</v>
      </c>
      <c r="AC88" s="494">
        <f t="shared" si="69"/>
        <v>0</v>
      </c>
      <c r="AD88" s="494">
        <f t="shared" si="70"/>
        <v>0</v>
      </c>
      <c r="AE88" s="494">
        <f t="shared" si="71"/>
        <v>0</v>
      </c>
      <c r="AF88" s="494">
        <f t="shared" si="72"/>
        <v>0</v>
      </c>
      <c r="AU88" s="104" t="s">
        <v>487</v>
      </c>
      <c r="AV88" s="88" t="s">
        <v>71</v>
      </c>
      <c r="AW88" s="494">
        <f t="shared" si="89"/>
        <v>0</v>
      </c>
      <c r="AX88" s="494">
        <f t="shared" si="90"/>
        <v>0</v>
      </c>
      <c r="AY88" s="494">
        <f t="shared" si="91"/>
        <v>0</v>
      </c>
      <c r="AZ88" s="494">
        <f t="shared" si="92"/>
        <v>0</v>
      </c>
      <c r="BA88" s="494">
        <f t="shared" si="93"/>
        <v>0</v>
      </c>
      <c r="BB88" s="494">
        <f t="shared" si="94"/>
        <v>0</v>
      </c>
      <c r="BC88" s="494">
        <f t="shared" si="95"/>
        <v>0</v>
      </c>
      <c r="BD88" s="494">
        <f t="shared" si="96"/>
        <v>0</v>
      </c>
      <c r="BE88" s="494">
        <f t="shared" si="97"/>
        <v>0</v>
      </c>
      <c r="BF88" s="494" t="str">
        <f t="shared" si="98"/>
        <v/>
      </c>
    </row>
    <row r="89" spans="1:58" x14ac:dyDescent="0.3">
      <c r="A89" s="104" t="str">
        <f>'G-1 All Habitats'!B88</f>
        <v>Woodland and forest - Lowland mixed deciduous woodland</v>
      </c>
      <c r="B89" s="88" t="str">
        <f>'G-1 All Habitats'!F88</f>
        <v>Woodland and forest</v>
      </c>
      <c r="C89" s="88" t="str">
        <f>'G-1 All Habitats'!K88</f>
        <v>High</v>
      </c>
      <c r="D89" s="88" t="str">
        <f>'G-1 All Habitats'!M88</f>
        <v>Same habitat required =</v>
      </c>
      <c r="E89" s="494">
        <f>IF(C89="V.High",SUMIF('A-1 Site Habitat Baseline'!$G$11:$G$258,'G-2 Habitat groups'!A89,'A-1 Site Habitat Baseline'!$S$11:$S$258)+SUMIF('A-1 Site Habitat Baseline'!$G$11:$G$258,'G-2 Habitat groups'!A89,'A-1 Site Habitat Baseline'!$T$11:$T$258),SUMIF('A-1 Site Habitat Baseline'!$G$11:$G$258,'G-2 Habitat groups'!A89,'A-1 Site Habitat Baseline'!$H$11:$H$258))</f>
        <v>0</v>
      </c>
      <c r="F89" s="494">
        <f>SUMIF('A-1 Site Habitat Baseline'!$G$11:$G$258,'G-2 Habitat groups'!A89,'A-1 Site Habitat Baseline'!$Q$11:$Q$258)</f>
        <v>0</v>
      </c>
      <c r="G89" s="494">
        <f>SUMIF('A-1 Site Habitat Baseline'!$G$11:$G$258,'G-2 Habitat groups'!A89,'A-1 Site Habitat Baseline'!$S$11:$S$258)</f>
        <v>0</v>
      </c>
      <c r="H89" s="494">
        <f>SUMIF('A-1 Site Habitat Baseline'!$G$11:$G$258,'G-2 Habitat groups'!A89,'A-1 Site Habitat Baseline'!$U$11:$U$258)</f>
        <v>0</v>
      </c>
      <c r="I89" s="494">
        <f>SUMIF('A-1 Site Habitat Baseline'!$G$11:$G$258,'G-2 Habitat groups'!A89,'A-1 Site Habitat Baseline'!$W$11:$W$258)</f>
        <v>0</v>
      </c>
      <c r="J89" s="494">
        <f>SUMIF('A-1 Site Habitat Baseline'!$G$11:$G$258,'G-2 Habitat groups'!A89,'A-1 Site Habitat Baseline'!$X$11:$X$258)</f>
        <v>0</v>
      </c>
      <c r="K89" s="494">
        <f>SUMIF('A-2 Site Habitat Creation'!$F$11:$F$256,'G-2 Habitat groups'!A89,'A-2 Site Habitat Creation'!$G$11:$G$256)</f>
        <v>0</v>
      </c>
      <c r="L89" s="494">
        <f>SUMIF('A-2 Site Habitat Creation'!$F$11:$F$256,'G-2 Habitat groups'!A89,'A-2 Site Habitat Creation'!$Y$11:$Y$256)</f>
        <v>0</v>
      </c>
      <c r="M89" s="494">
        <f>SUMIF('A-3 Site Habitat Enhancement'!$S$12:$S$257,'G-2 Habitat groups'!A89,'A-3 Site Habitat Enhancement'!$V$12:$V$257)</f>
        <v>0</v>
      </c>
      <c r="N89" s="494">
        <f>SUMIF('A-3 Site Habitat Enhancement'!$S$12:$S$257,'G-2 Habitat groups'!A89,'A-3 Site Habitat Enhancement'!$AN$12:$AN$257)</f>
        <v>0</v>
      </c>
      <c r="O89" s="494">
        <f t="shared" si="63"/>
        <v>0</v>
      </c>
      <c r="P89" s="494">
        <f t="shared" si="64"/>
        <v>0</v>
      </c>
      <c r="Q89" s="494">
        <f t="shared" si="65"/>
        <v>0</v>
      </c>
      <c r="R89" s="494">
        <f t="shared" si="66"/>
        <v>0</v>
      </c>
      <c r="S89" s="494">
        <f>IF(C89="V.High",SUMIF('D-1 Off Site Habitat Baseline'!$G$11:$G$258,'G-2 Habitat groups'!A89,'D-1 Off Site Habitat Baseline'!$S$11:$S$258)+SUMIF('D-1 Off Site Habitat Baseline'!$G$11:$G$258,'G-2 Habitat groups'!A89,'D-1 Off Site Habitat Baseline'!$T$11:$T$258),SUMIF('D-1 Off Site Habitat Baseline'!$G$11:$G$258,'G-2 Habitat groups'!A89,'D-1 Off Site Habitat Baseline'!$H$11:$H$258))</f>
        <v>0</v>
      </c>
      <c r="T89" s="494">
        <f>SUMIF('D-1 Off Site Habitat Baseline'!$G$11:$G$258,'G-2 Habitat groups'!A89,'D-1 Off Site Habitat Baseline'!$Q$11:$Q$258)</f>
        <v>0</v>
      </c>
      <c r="U89" s="591">
        <f>SUMIF('D-1 Off Site Habitat Baseline'!$G$11:$G$258,'G-2 Habitat groups'!A89,'D-1 Off Site Habitat Baseline'!$S$11:$S$258)</f>
        <v>0</v>
      </c>
      <c r="V89" s="494">
        <f>SUMIF('D-1 Off Site Habitat Baseline'!$G$11:$G$258,'G-2 Habitat groups'!A89,'D-1 Off Site Habitat Baseline'!$U$11:$U$258)</f>
        <v>0</v>
      </c>
      <c r="W89" s="494">
        <f>SUMIF('D-2 Off Site Habitat Creation'!$F$9:$F$255,'G-2 Habitat groups'!A89,'D-2 Off Site Habitat Creation'!$G$9:$G$255)</f>
        <v>0</v>
      </c>
      <c r="X89" s="494">
        <f>SUMIF('D-2 Off Site Habitat Creation'!$F$9:$F$255,'G-2 Habitat groups'!A89,'D-2 Off Site Habitat Creation'!$AA$9:$AA$255)</f>
        <v>0</v>
      </c>
      <c r="Y89" s="494">
        <f>SUMIF('D-3 Off Site Habitat Enhancment'!$S$12:$S$491,'G-2 Habitat groups'!A89,'D-3 Off Site Habitat Enhancment'!$V$12:$V$491)</f>
        <v>0</v>
      </c>
      <c r="Z89" s="494">
        <f>SUMIF('D-3 Off Site Habitat Enhancment'!$S$12:$S$491,'G-2 Habitat groups'!A89,'D-3 Off Site Habitat Enhancment'!$AP$12:$AP$491)</f>
        <v>0</v>
      </c>
      <c r="AA89" s="494">
        <f t="shared" si="67"/>
        <v>0</v>
      </c>
      <c r="AB89" s="494">
        <f t="shared" si="68"/>
        <v>0</v>
      </c>
      <c r="AC89" s="494">
        <f t="shared" si="69"/>
        <v>0</v>
      </c>
      <c r="AD89" s="494">
        <f t="shared" si="70"/>
        <v>0</v>
      </c>
      <c r="AE89" s="494">
        <f t="shared" si="71"/>
        <v>0</v>
      </c>
      <c r="AF89" s="494">
        <f t="shared" si="72"/>
        <v>0</v>
      </c>
      <c r="AU89" s="104" t="s">
        <v>496</v>
      </c>
      <c r="AV89" s="88" t="s">
        <v>71</v>
      </c>
      <c r="AW89" s="494">
        <f t="shared" si="89"/>
        <v>0</v>
      </c>
      <c r="AX89" s="494">
        <f t="shared" si="90"/>
        <v>0</v>
      </c>
      <c r="AY89" s="494">
        <f t="shared" si="91"/>
        <v>5.7500000000000002E-2</v>
      </c>
      <c r="AZ89" s="494">
        <f t="shared" si="92"/>
        <v>0.24414500000000006</v>
      </c>
      <c r="BA89" s="494">
        <f t="shared" si="93"/>
        <v>5.7500000000000002E-2</v>
      </c>
      <c r="BB89" s="494">
        <f t="shared" si="94"/>
        <v>0.24414500000000006</v>
      </c>
      <c r="BC89" s="494">
        <f t="shared" si="95"/>
        <v>0</v>
      </c>
      <c r="BD89" s="494">
        <f t="shared" si="96"/>
        <v>0</v>
      </c>
      <c r="BE89" s="494">
        <f t="shared" si="97"/>
        <v>0.24414500000000006</v>
      </c>
      <c r="BF89" s="494" t="str">
        <f t="shared" si="98"/>
        <v/>
      </c>
    </row>
    <row r="90" spans="1:58" x14ac:dyDescent="0.3">
      <c r="A90" s="104" t="str">
        <f>'G-1 All Habitats'!B89</f>
        <v>Woodland and forest - Native pine woodlands</v>
      </c>
      <c r="B90" s="88" t="str">
        <f>'G-1 All Habitats'!F89</f>
        <v>Woodland and forest</v>
      </c>
      <c r="C90" s="88" t="str">
        <f>'G-1 All Habitats'!K89</f>
        <v>High</v>
      </c>
      <c r="D90" s="88" t="str">
        <f>'G-1 All Habitats'!M89</f>
        <v>Same habitat required =</v>
      </c>
      <c r="E90" s="494">
        <f>IF(C90="V.High",SUMIF('A-1 Site Habitat Baseline'!$G$11:$G$258,'G-2 Habitat groups'!A90,'A-1 Site Habitat Baseline'!$S$11:$S$258)+SUMIF('A-1 Site Habitat Baseline'!$G$11:$G$258,'G-2 Habitat groups'!A90,'A-1 Site Habitat Baseline'!$T$11:$T$258),SUMIF('A-1 Site Habitat Baseline'!$G$11:$G$258,'G-2 Habitat groups'!A90,'A-1 Site Habitat Baseline'!$H$11:$H$258))</f>
        <v>0</v>
      </c>
      <c r="F90" s="494">
        <f>SUMIF('A-1 Site Habitat Baseline'!$G$11:$G$258,'G-2 Habitat groups'!A90,'A-1 Site Habitat Baseline'!$Q$11:$Q$258)</f>
        <v>0</v>
      </c>
      <c r="G90" s="494">
        <f>SUMIF('A-1 Site Habitat Baseline'!$G$11:$G$258,'G-2 Habitat groups'!A90,'A-1 Site Habitat Baseline'!$S$11:$S$258)</f>
        <v>0</v>
      </c>
      <c r="H90" s="494">
        <f>SUMIF('A-1 Site Habitat Baseline'!$G$11:$G$258,'G-2 Habitat groups'!A90,'A-1 Site Habitat Baseline'!$U$11:$U$258)</f>
        <v>0</v>
      </c>
      <c r="I90" s="494">
        <f>SUMIF('A-1 Site Habitat Baseline'!$G$11:$G$258,'G-2 Habitat groups'!A90,'A-1 Site Habitat Baseline'!$W$11:$W$258)</f>
        <v>0</v>
      </c>
      <c r="J90" s="494">
        <f>SUMIF('A-1 Site Habitat Baseline'!$G$11:$G$258,'G-2 Habitat groups'!A90,'A-1 Site Habitat Baseline'!$X$11:$X$258)</f>
        <v>0</v>
      </c>
      <c r="K90" s="494">
        <f>SUMIF('A-2 Site Habitat Creation'!$F$11:$F$256,'G-2 Habitat groups'!A90,'A-2 Site Habitat Creation'!$G$11:$G$256)</f>
        <v>0</v>
      </c>
      <c r="L90" s="494">
        <f>SUMIF('A-2 Site Habitat Creation'!$F$11:$F$256,'G-2 Habitat groups'!A90,'A-2 Site Habitat Creation'!$Y$11:$Y$256)</f>
        <v>0</v>
      </c>
      <c r="M90" s="494">
        <f>SUMIF('A-3 Site Habitat Enhancement'!$S$12:$S$257,'G-2 Habitat groups'!A90,'A-3 Site Habitat Enhancement'!$V$12:$V$257)</f>
        <v>0</v>
      </c>
      <c r="N90" s="494">
        <f>SUMIF('A-3 Site Habitat Enhancement'!$S$12:$S$257,'G-2 Habitat groups'!A90,'A-3 Site Habitat Enhancement'!$AN$12:$AN$257)</f>
        <v>0</v>
      </c>
      <c r="O90" s="494">
        <f t="shared" si="63"/>
        <v>0</v>
      </c>
      <c r="P90" s="494">
        <f t="shared" si="64"/>
        <v>0</v>
      </c>
      <c r="Q90" s="494">
        <f t="shared" si="65"/>
        <v>0</v>
      </c>
      <c r="R90" s="494">
        <f t="shared" si="66"/>
        <v>0</v>
      </c>
      <c r="S90" s="494">
        <f>IF(C90="V.High",SUMIF('D-1 Off Site Habitat Baseline'!$G$11:$G$258,'G-2 Habitat groups'!A90,'D-1 Off Site Habitat Baseline'!$S$11:$S$258)+SUMIF('D-1 Off Site Habitat Baseline'!$G$11:$G$258,'G-2 Habitat groups'!A90,'D-1 Off Site Habitat Baseline'!$T$11:$T$258),SUMIF('D-1 Off Site Habitat Baseline'!$G$11:$G$258,'G-2 Habitat groups'!A90,'D-1 Off Site Habitat Baseline'!$H$11:$H$258))</f>
        <v>0</v>
      </c>
      <c r="T90" s="494">
        <f>SUMIF('D-1 Off Site Habitat Baseline'!$G$11:$G$258,'G-2 Habitat groups'!A90,'D-1 Off Site Habitat Baseline'!$Q$11:$Q$258)</f>
        <v>0</v>
      </c>
      <c r="U90" s="591">
        <f>SUMIF('D-1 Off Site Habitat Baseline'!$G$11:$G$258,'G-2 Habitat groups'!A90,'D-1 Off Site Habitat Baseline'!$S$11:$S$258)</f>
        <v>0</v>
      </c>
      <c r="V90" s="494">
        <f>SUMIF('D-1 Off Site Habitat Baseline'!$G$11:$G$258,'G-2 Habitat groups'!A90,'D-1 Off Site Habitat Baseline'!$U$11:$U$258)</f>
        <v>0</v>
      </c>
      <c r="W90" s="494">
        <f>SUMIF('D-2 Off Site Habitat Creation'!$F$9:$F$255,'G-2 Habitat groups'!A90,'D-2 Off Site Habitat Creation'!$G$9:$G$255)</f>
        <v>0</v>
      </c>
      <c r="X90" s="494">
        <f>SUMIF('D-2 Off Site Habitat Creation'!$F$9:$F$255,'G-2 Habitat groups'!A90,'D-2 Off Site Habitat Creation'!$AA$9:$AA$255)</f>
        <v>0</v>
      </c>
      <c r="Y90" s="494">
        <f>SUMIF('D-3 Off Site Habitat Enhancment'!$S$12:$S$491,'G-2 Habitat groups'!A90,'D-3 Off Site Habitat Enhancment'!$V$12:$V$491)</f>
        <v>0</v>
      </c>
      <c r="Z90" s="494">
        <f>SUMIF('D-3 Off Site Habitat Enhancment'!$S$12:$S$491,'G-2 Habitat groups'!A90,'D-3 Off Site Habitat Enhancment'!$AP$12:$AP$491)</f>
        <v>0</v>
      </c>
      <c r="AA90" s="494">
        <f t="shared" si="67"/>
        <v>0</v>
      </c>
      <c r="AB90" s="494">
        <f t="shared" si="68"/>
        <v>0</v>
      </c>
      <c r="AC90" s="494">
        <f t="shared" si="69"/>
        <v>0</v>
      </c>
      <c r="AD90" s="494">
        <f t="shared" si="70"/>
        <v>0</v>
      </c>
      <c r="AE90" s="494">
        <f t="shared" si="71"/>
        <v>0</v>
      </c>
      <c r="AF90" s="494">
        <f t="shared" si="72"/>
        <v>0</v>
      </c>
      <c r="AU90" s="343" t="s">
        <v>544</v>
      </c>
      <c r="AV90" s="88" t="s">
        <v>72</v>
      </c>
      <c r="AW90" s="494">
        <f t="shared" si="89"/>
        <v>0</v>
      </c>
      <c r="AX90" s="494">
        <f t="shared" si="90"/>
        <v>0</v>
      </c>
      <c r="AY90" s="494">
        <f t="shared" si="91"/>
        <v>0</v>
      </c>
      <c r="AZ90" s="494">
        <f t="shared" si="92"/>
        <v>0</v>
      </c>
      <c r="BA90" s="494">
        <f t="shared" si="93"/>
        <v>0</v>
      </c>
      <c r="BB90" s="494">
        <f t="shared" si="94"/>
        <v>0</v>
      </c>
      <c r="BC90" s="494">
        <f t="shared" si="95"/>
        <v>0</v>
      </c>
      <c r="BD90" s="494">
        <f t="shared" si="96"/>
        <v>0</v>
      </c>
      <c r="BE90" s="494">
        <f t="shared" ref="BE90:BE92" si="99">BB90+BD90</f>
        <v>0</v>
      </c>
      <c r="BF90" s="494" t="str">
        <f t="shared" ref="BF90:BF92" si="100">IF(BE90&lt;0,BE90,"")</f>
        <v/>
      </c>
    </row>
    <row r="91" spans="1:58" x14ac:dyDescent="0.3">
      <c r="A91" s="104" t="str">
        <f>'G-1 All Habitats'!B90</f>
        <v>Woodland and forest - Other coniferous woodland</v>
      </c>
      <c r="B91" s="88" t="str">
        <f>'G-1 All Habitats'!F90</f>
        <v>Woodland and forest</v>
      </c>
      <c r="C91" s="88" t="str">
        <f>'G-1 All Habitats'!K90</f>
        <v>Low</v>
      </c>
      <c r="D91" s="88" t="str">
        <f>'G-1 All Habitats'!M90</f>
        <v>Same distinctiveness or better habitat required ≥</v>
      </c>
      <c r="E91" s="494">
        <f>IF(C91="V.High",SUMIF('A-1 Site Habitat Baseline'!$G$11:$G$258,'G-2 Habitat groups'!A91,'A-1 Site Habitat Baseline'!$S$11:$S$258)+SUMIF('A-1 Site Habitat Baseline'!$G$11:$G$258,'G-2 Habitat groups'!A91,'A-1 Site Habitat Baseline'!$T$11:$T$258),SUMIF('A-1 Site Habitat Baseline'!$G$11:$G$258,'G-2 Habitat groups'!A91,'A-1 Site Habitat Baseline'!$H$11:$H$258))</f>
        <v>0</v>
      </c>
      <c r="F91" s="494">
        <f>SUMIF('A-1 Site Habitat Baseline'!$G$11:$G$258,'G-2 Habitat groups'!A91,'A-1 Site Habitat Baseline'!$Q$11:$Q$258)</f>
        <v>0</v>
      </c>
      <c r="G91" s="494">
        <f>SUMIF('A-1 Site Habitat Baseline'!$G$11:$G$258,'G-2 Habitat groups'!A91,'A-1 Site Habitat Baseline'!$S$11:$S$258)</f>
        <v>0</v>
      </c>
      <c r="H91" s="494">
        <f>SUMIF('A-1 Site Habitat Baseline'!$G$11:$G$258,'G-2 Habitat groups'!A91,'A-1 Site Habitat Baseline'!$U$11:$U$258)</f>
        <v>0</v>
      </c>
      <c r="I91" s="494">
        <f>SUMIF('A-1 Site Habitat Baseline'!$G$11:$G$258,'G-2 Habitat groups'!A91,'A-1 Site Habitat Baseline'!$W$11:$W$258)</f>
        <v>0</v>
      </c>
      <c r="J91" s="494">
        <f>SUMIF('A-1 Site Habitat Baseline'!$G$11:$G$258,'G-2 Habitat groups'!A91,'A-1 Site Habitat Baseline'!$X$11:$X$258)</f>
        <v>0</v>
      </c>
      <c r="K91" s="494">
        <f>SUMIF('A-2 Site Habitat Creation'!$F$11:$F$256,'G-2 Habitat groups'!A91,'A-2 Site Habitat Creation'!$G$11:$G$256)</f>
        <v>0</v>
      </c>
      <c r="L91" s="494">
        <f>SUMIF('A-2 Site Habitat Creation'!$F$11:$F$256,'G-2 Habitat groups'!A91,'A-2 Site Habitat Creation'!$Y$11:$Y$256)</f>
        <v>0</v>
      </c>
      <c r="M91" s="494">
        <f>SUMIF('A-3 Site Habitat Enhancement'!$S$12:$S$257,'G-2 Habitat groups'!A91,'A-3 Site Habitat Enhancement'!$V$12:$V$257)</f>
        <v>0</v>
      </c>
      <c r="N91" s="494">
        <f>SUMIF('A-3 Site Habitat Enhancement'!$S$12:$S$257,'G-2 Habitat groups'!A91,'A-3 Site Habitat Enhancement'!$AN$12:$AN$257)</f>
        <v>0</v>
      </c>
      <c r="O91" s="494">
        <f t="shared" si="63"/>
        <v>0</v>
      </c>
      <c r="P91" s="494">
        <f t="shared" si="64"/>
        <v>0</v>
      </c>
      <c r="Q91" s="494">
        <f t="shared" si="65"/>
        <v>0</v>
      </c>
      <c r="R91" s="494">
        <f t="shared" si="66"/>
        <v>0</v>
      </c>
      <c r="S91" s="494">
        <f>IF(C91="V.High",SUMIF('D-1 Off Site Habitat Baseline'!$G$11:$G$258,'G-2 Habitat groups'!A91,'D-1 Off Site Habitat Baseline'!$S$11:$S$258)+SUMIF('D-1 Off Site Habitat Baseline'!$G$11:$G$258,'G-2 Habitat groups'!A91,'D-1 Off Site Habitat Baseline'!$T$11:$T$258),SUMIF('D-1 Off Site Habitat Baseline'!$G$11:$G$258,'G-2 Habitat groups'!A91,'D-1 Off Site Habitat Baseline'!$H$11:$H$258))</f>
        <v>0</v>
      </c>
      <c r="T91" s="494">
        <f>SUMIF('D-1 Off Site Habitat Baseline'!$G$11:$G$258,'G-2 Habitat groups'!A91,'D-1 Off Site Habitat Baseline'!$Q$11:$Q$258)</f>
        <v>0</v>
      </c>
      <c r="U91" s="591">
        <f>SUMIF('D-1 Off Site Habitat Baseline'!$G$11:$G$258,'G-2 Habitat groups'!A91,'D-1 Off Site Habitat Baseline'!$S$11:$S$258)</f>
        <v>0</v>
      </c>
      <c r="V91" s="494">
        <f>SUMIF('D-1 Off Site Habitat Baseline'!$G$11:$G$258,'G-2 Habitat groups'!A91,'D-1 Off Site Habitat Baseline'!$U$11:$U$258)</f>
        <v>0</v>
      </c>
      <c r="W91" s="494">
        <f>SUMIF('D-2 Off Site Habitat Creation'!$F$9:$F$255,'G-2 Habitat groups'!A91,'D-2 Off Site Habitat Creation'!$G$9:$G$255)</f>
        <v>0</v>
      </c>
      <c r="X91" s="494">
        <f>SUMIF('D-2 Off Site Habitat Creation'!$F$9:$F$255,'G-2 Habitat groups'!A91,'D-2 Off Site Habitat Creation'!$AA$9:$AA$255)</f>
        <v>0</v>
      </c>
      <c r="Y91" s="494">
        <f>SUMIF('D-3 Off Site Habitat Enhancment'!$S$12:$S$491,'G-2 Habitat groups'!A91,'D-3 Off Site Habitat Enhancment'!$V$12:$V$491)</f>
        <v>0</v>
      </c>
      <c r="Z91" s="494">
        <f>SUMIF('D-3 Off Site Habitat Enhancment'!$S$12:$S$491,'G-2 Habitat groups'!A91,'D-3 Off Site Habitat Enhancment'!$AP$12:$AP$491)</f>
        <v>0</v>
      </c>
      <c r="AA91" s="494">
        <f t="shared" si="67"/>
        <v>0</v>
      </c>
      <c r="AB91" s="494">
        <f t="shared" si="68"/>
        <v>0</v>
      </c>
      <c r="AC91" s="494">
        <f t="shared" si="69"/>
        <v>0</v>
      </c>
      <c r="AD91" s="494">
        <f t="shared" si="70"/>
        <v>0</v>
      </c>
      <c r="AE91" s="494">
        <f t="shared" si="71"/>
        <v>0</v>
      </c>
      <c r="AF91" s="494">
        <f t="shared" si="72"/>
        <v>0</v>
      </c>
      <c r="AU91" s="104" t="s">
        <v>548</v>
      </c>
      <c r="AV91" s="88" t="s">
        <v>72</v>
      </c>
      <c r="AW91" s="494">
        <f t="shared" si="89"/>
        <v>0</v>
      </c>
      <c r="AX91" s="494">
        <f t="shared" si="90"/>
        <v>0</v>
      </c>
      <c r="AY91" s="494">
        <f t="shared" si="91"/>
        <v>0</v>
      </c>
      <c r="AZ91" s="494">
        <f t="shared" si="92"/>
        <v>0</v>
      </c>
      <c r="BA91" s="494">
        <f t="shared" si="93"/>
        <v>0</v>
      </c>
      <c r="BB91" s="494">
        <f t="shared" si="94"/>
        <v>0</v>
      </c>
      <c r="BC91" s="494">
        <f t="shared" si="95"/>
        <v>0</v>
      </c>
      <c r="BD91" s="494">
        <f t="shared" si="96"/>
        <v>0</v>
      </c>
      <c r="BE91" s="494">
        <f t="shared" si="99"/>
        <v>0</v>
      </c>
      <c r="BF91" s="494" t="str">
        <f t="shared" si="100"/>
        <v/>
      </c>
    </row>
    <row r="92" spans="1:58" x14ac:dyDescent="0.3">
      <c r="A92" s="104" t="str">
        <f>'G-1 All Habitats'!B91</f>
        <v>Woodland and forest - Other Scot's Pine woodland</v>
      </c>
      <c r="B92" s="88" t="str">
        <f>'G-1 All Habitats'!F91</f>
        <v>Woodland and forest</v>
      </c>
      <c r="C92" s="88" t="str">
        <f>'G-1 All Habitats'!K91</f>
        <v>Medium</v>
      </c>
      <c r="D92" s="88" t="str">
        <f>'G-1 All Habitats'!M91</f>
        <v>Same broad habitat or a higher distinctiveness habitat required (≥)</v>
      </c>
      <c r="E92" s="494">
        <f>IF(C92="V.High",SUMIF('A-1 Site Habitat Baseline'!$G$11:$G$258,'G-2 Habitat groups'!A92,'A-1 Site Habitat Baseline'!$S$11:$S$258)+SUMIF('A-1 Site Habitat Baseline'!$G$11:$G$258,'G-2 Habitat groups'!A92,'A-1 Site Habitat Baseline'!$T$11:$T$258),SUMIF('A-1 Site Habitat Baseline'!$G$11:$G$258,'G-2 Habitat groups'!A92,'A-1 Site Habitat Baseline'!$H$11:$H$258))</f>
        <v>0</v>
      </c>
      <c r="F92" s="494">
        <f>SUMIF('A-1 Site Habitat Baseline'!$G$11:$G$258,'G-2 Habitat groups'!A92,'A-1 Site Habitat Baseline'!$Q$11:$Q$258)</f>
        <v>0</v>
      </c>
      <c r="G92" s="494">
        <f>SUMIF('A-1 Site Habitat Baseline'!$G$11:$G$258,'G-2 Habitat groups'!A92,'A-1 Site Habitat Baseline'!$S$11:$S$258)</f>
        <v>0</v>
      </c>
      <c r="H92" s="494">
        <f>SUMIF('A-1 Site Habitat Baseline'!$G$11:$G$258,'G-2 Habitat groups'!A92,'A-1 Site Habitat Baseline'!$U$11:$U$258)</f>
        <v>0</v>
      </c>
      <c r="I92" s="494">
        <f>SUMIF('A-1 Site Habitat Baseline'!$G$11:$G$258,'G-2 Habitat groups'!A92,'A-1 Site Habitat Baseline'!$W$11:$W$258)</f>
        <v>0</v>
      </c>
      <c r="J92" s="494">
        <f>SUMIF('A-1 Site Habitat Baseline'!$G$11:$G$258,'G-2 Habitat groups'!A92,'A-1 Site Habitat Baseline'!$X$11:$X$258)</f>
        <v>0</v>
      </c>
      <c r="K92" s="494">
        <f>SUMIF('A-2 Site Habitat Creation'!$F$11:$F$256,'G-2 Habitat groups'!A92,'A-2 Site Habitat Creation'!$G$11:$G$256)</f>
        <v>0</v>
      </c>
      <c r="L92" s="494">
        <f>SUMIF('A-2 Site Habitat Creation'!$F$11:$F$256,'G-2 Habitat groups'!A92,'A-2 Site Habitat Creation'!$Y$11:$Y$256)</f>
        <v>0</v>
      </c>
      <c r="M92" s="494">
        <f>SUMIF('A-3 Site Habitat Enhancement'!$S$12:$S$257,'G-2 Habitat groups'!A92,'A-3 Site Habitat Enhancement'!$V$12:$V$257)</f>
        <v>0</v>
      </c>
      <c r="N92" s="494">
        <f>SUMIF('A-3 Site Habitat Enhancement'!$S$12:$S$257,'G-2 Habitat groups'!A92,'A-3 Site Habitat Enhancement'!$AN$12:$AN$257)</f>
        <v>0</v>
      </c>
      <c r="O92" s="494">
        <f t="shared" si="63"/>
        <v>0</v>
      </c>
      <c r="P92" s="494">
        <f t="shared" si="64"/>
        <v>0</v>
      </c>
      <c r="Q92" s="494">
        <f t="shared" si="65"/>
        <v>0</v>
      </c>
      <c r="R92" s="494">
        <f t="shared" si="66"/>
        <v>0</v>
      </c>
      <c r="S92" s="494">
        <f>IF(C92="V.High",SUMIF('D-1 Off Site Habitat Baseline'!$G$11:$G$258,'G-2 Habitat groups'!A92,'D-1 Off Site Habitat Baseline'!$S$11:$S$258)+SUMIF('D-1 Off Site Habitat Baseline'!$G$11:$G$258,'G-2 Habitat groups'!A92,'D-1 Off Site Habitat Baseline'!$T$11:$T$258),SUMIF('D-1 Off Site Habitat Baseline'!$G$11:$G$258,'G-2 Habitat groups'!A92,'D-1 Off Site Habitat Baseline'!$H$11:$H$258))</f>
        <v>0</v>
      </c>
      <c r="T92" s="494">
        <f>SUMIF('D-1 Off Site Habitat Baseline'!$G$11:$G$258,'G-2 Habitat groups'!A92,'D-1 Off Site Habitat Baseline'!$Q$11:$Q$258)</f>
        <v>0</v>
      </c>
      <c r="U92" s="591">
        <f>SUMIF('D-1 Off Site Habitat Baseline'!$G$11:$G$258,'G-2 Habitat groups'!A92,'D-1 Off Site Habitat Baseline'!$S$11:$S$258)</f>
        <v>0</v>
      </c>
      <c r="V92" s="494">
        <f>SUMIF('D-1 Off Site Habitat Baseline'!$G$11:$G$258,'G-2 Habitat groups'!A92,'D-1 Off Site Habitat Baseline'!$U$11:$U$258)</f>
        <v>0</v>
      </c>
      <c r="W92" s="494">
        <f>SUMIF('D-2 Off Site Habitat Creation'!$F$9:$F$255,'G-2 Habitat groups'!A92,'D-2 Off Site Habitat Creation'!$G$9:$G$255)</f>
        <v>0</v>
      </c>
      <c r="X92" s="494">
        <f>SUMIF('D-2 Off Site Habitat Creation'!$F$9:$F$255,'G-2 Habitat groups'!A92,'D-2 Off Site Habitat Creation'!$AA$9:$AA$255)</f>
        <v>0</v>
      </c>
      <c r="Y92" s="494">
        <f>SUMIF('D-3 Off Site Habitat Enhancment'!$S$12:$S$491,'G-2 Habitat groups'!A92,'D-3 Off Site Habitat Enhancment'!$V$12:$V$491)</f>
        <v>0</v>
      </c>
      <c r="Z92" s="494">
        <f>SUMIF('D-3 Off Site Habitat Enhancment'!$S$12:$S$491,'G-2 Habitat groups'!A92,'D-3 Off Site Habitat Enhancment'!$AP$12:$AP$491)</f>
        <v>0</v>
      </c>
      <c r="AA92" s="494">
        <f t="shared" si="67"/>
        <v>0</v>
      </c>
      <c r="AB92" s="494">
        <f t="shared" si="68"/>
        <v>0</v>
      </c>
      <c r="AC92" s="494">
        <f t="shared" si="69"/>
        <v>0</v>
      </c>
      <c r="AD92" s="494">
        <f t="shared" si="70"/>
        <v>0</v>
      </c>
      <c r="AE92" s="494">
        <f t="shared" si="71"/>
        <v>0</v>
      </c>
      <c r="AF92" s="494">
        <f t="shared" si="72"/>
        <v>0</v>
      </c>
      <c r="AU92" s="104" t="s">
        <v>582</v>
      </c>
      <c r="AV92" s="88" t="s">
        <v>73</v>
      </c>
      <c r="AW92" s="494">
        <f t="shared" si="89"/>
        <v>0</v>
      </c>
      <c r="AX92" s="494">
        <f t="shared" si="90"/>
        <v>0</v>
      </c>
      <c r="AY92" s="494">
        <f t="shared" si="91"/>
        <v>0</v>
      </c>
      <c r="AZ92" s="494">
        <f t="shared" si="92"/>
        <v>0</v>
      </c>
      <c r="BA92" s="494">
        <f t="shared" si="93"/>
        <v>0</v>
      </c>
      <c r="BB92" s="494">
        <f t="shared" si="94"/>
        <v>0</v>
      </c>
      <c r="BC92" s="494">
        <f t="shared" si="95"/>
        <v>0</v>
      </c>
      <c r="BD92" s="494">
        <f t="shared" si="96"/>
        <v>0</v>
      </c>
      <c r="BE92" s="494">
        <f t="shared" si="99"/>
        <v>0</v>
      </c>
      <c r="BF92" s="494" t="str">
        <f t="shared" si="100"/>
        <v/>
      </c>
    </row>
    <row r="93" spans="1:58" x14ac:dyDescent="0.3">
      <c r="A93" s="104" t="str">
        <f>'G-1 All Habitats'!B92</f>
        <v>Woodland and forest - Other woodland; broadleaved</v>
      </c>
      <c r="B93" s="88" t="str">
        <f>'G-1 All Habitats'!F92</f>
        <v>Woodland and forest</v>
      </c>
      <c r="C93" s="88" t="str">
        <f>'G-1 All Habitats'!K92</f>
        <v>Medium</v>
      </c>
      <c r="D93" s="88" t="str">
        <f>'G-1 All Habitats'!M92</f>
        <v>Same broad habitat or a higher distinctiveness habitat required (≥)</v>
      </c>
      <c r="E93" s="494">
        <f>IF(C93="V.High",SUMIF('A-1 Site Habitat Baseline'!$G$11:$G$258,'G-2 Habitat groups'!A93,'A-1 Site Habitat Baseline'!$S$11:$S$258)+SUMIF('A-1 Site Habitat Baseline'!$G$11:$G$258,'G-2 Habitat groups'!A93,'A-1 Site Habitat Baseline'!$T$11:$T$258),SUMIF('A-1 Site Habitat Baseline'!$G$11:$G$258,'G-2 Habitat groups'!A93,'A-1 Site Habitat Baseline'!$H$11:$H$258))</f>
        <v>0.109844</v>
      </c>
      <c r="F93" s="494">
        <f>SUMIF('A-1 Site Habitat Baseline'!$G$11:$G$258,'G-2 Habitat groups'!A93,'A-1 Site Habitat Baseline'!$Q$11:$Q$258)</f>
        <v>0.75792359999999992</v>
      </c>
      <c r="G93" s="494">
        <f>SUMIF('A-1 Site Habitat Baseline'!$G$11:$G$258,'G-2 Habitat groups'!A93,'A-1 Site Habitat Baseline'!$S$11:$S$258)</f>
        <v>3.09E-2</v>
      </c>
      <c r="H93" s="494">
        <f>SUMIF('A-1 Site Habitat Baseline'!$G$11:$G$258,'G-2 Habitat groups'!A93,'A-1 Site Habitat Baseline'!$U$11:$U$258)</f>
        <v>0.21320999999999998</v>
      </c>
      <c r="I93" s="494">
        <f>SUMIF('A-1 Site Habitat Baseline'!$G$11:$G$258,'G-2 Habitat groups'!A93,'A-1 Site Habitat Baseline'!$W$11:$W$258)</f>
        <v>7.8944E-2</v>
      </c>
      <c r="J93" s="494">
        <f>SUMIF('A-1 Site Habitat Baseline'!$G$11:$G$258,'G-2 Habitat groups'!A93,'A-1 Site Habitat Baseline'!$X$11:$X$258)</f>
        <v>0.54471359999999991</v>
      </c>
      <c r="K93" s="494">
        <f>SUMIF('A-2 Site Habitat Creation'!$F$11:$F$256,'G-2 Habitat groups'!A93,'A-2 Site Habitat Creation'!$G$11:$G$256)</f>
        <v>0.1603</v>
      </c>
      <c r="L93" s="494">
        <f>SUMIF('A-2 Site Habitat Creation'!$F$11:$F$256,'G-2 Habitat groups'!A93,'A-2 Site Habitat Creation'!$Y$11:$Y$256)</f>
        <v>0.86193359151666882</v>
      </c>
      <c r="M93" s="494" t="e">
        <f>SUMIF('A-3 Site Habitat Enhancement'!$S$12:$S$257,'G-2 Habitat groups'!A93,'A-3 Site Habitat Enhancement'!$V$12:$V$257)</f>
        <v>#N/A</v>
      </c>
      <c r="N93" s="494">
        <f>SUMIF('A-3 Site Habitat Enhancement'!$S$12:$S$257,'G-2 Habitat groups'!A93,'A-3 Site Habitat Enhancement'!$AN$12:$AN$257)</f>
        <v>0</v>
      </c>
      <c r="O93" s="494" t="e">
        <f t="shared" si="63"/>
        <v>#N/A</v>
      </c>
      <c r="P93" s="494">
        <f t="shared" si="64"/>
        <v>1.0751435915166687</v>
      </c>
      <c r="Q93" s="494" t="e">
        <f t="shared" si="65"/>
        <v>#N/A</v>
      </c>
      <c r="R93" s="494">
        <f t="shared" si="66"/>
        <v>0.3172199915166688</v>
      </c>
      <c r="S93" s="494">
        <f>IF(C93="V.High",SUMIF('D-1 Off Site Habitat Baseline'!$G$11:$G$258,'G-2 Habitat groups'!A93,'D-1 Off Site Habitat Baseline'!$S$11:$S$258)+SUMIF('D-1 Off Site Habitat Baseline'!$G$11:$G$258,'G-2 Habitat groups'!A93,'D-1 Off Site Habitat Baseline'!$T$11:$T$258),SUMIF('D-1 Off Site Habitat Baseline'!$G$11:$G$258,'G-2 Habitat groups'!A93,'D-1 Off Site Habitat Baseline'!$H$11:$H$258))</f>
        <v>0</v>
      </c>
      <c r="T93" s="494">
        <f>SUMIF('D-1 Off Site Habitat Baseline'!$G$11:$G$258,'G-2 Habitat groups'!A93,'D-1 Off Site Habitat Baseline'!$Q$11:$Q$258)</f>
        <v>0</v>
      </c>
      <c r="U93" s="591">
        <f>SUMIF('D-1 Off Site Habitat Baseline'!$G$11:$G$258,'G-2 Habitat groups'!A93,'D-1 Off Site Habitat Baseline'!$S$11:$S$258)</f>
        <v>0</v>
      </c>
      <c r="V93" s="494">
        <f>SUMIF('D-1 Off Site Habitat Baseline'!$G$11:$G$258,'G-2 Habitat groups'!A93,'D-1 Off Site Habitat Baseline'!$U$11:$U$258)</f>
        <v>0</v>
      </c>
      <c r="W93" s="494">
        <f>SUMIF('D-2 Off Site Habitat Creation'!$F$9:$F$255,'G-2 Habitat groups'!A93,'D-2 Off Site Habitat Creation'!$G$9:$G$255)</f>
        <v>0</v>
      </c>
      <c r="X93" s="494">
        <f>SUMIF('D-2 Off Site Habitat Creation'!$F$9:$F$255,'G-2 Habitat groups'!A93,'D-2 Off Site Habitat Creation'!$AA$9:$AA$255)</f>
        <v>0</v>
      </c>
      <c r="Y93" s="494">
        <f>SUMIF('D-3 Off Site Habitat Enhancment'!$S$12:$S$491,'G-2 Habitat groups'!A93,'D-3 Off Site Habitat Enhancment'!$V$12:$V$491)</f>
        <v>0</v>
      </c>
      <c r="Z93" s="494">
        <f>SUMIF('D-3 Off Site Habitat Enhancment'!$S$12:$S$491,'G-2 Habitat groups'!A93,'D-3 Off Site Habitat Enhancment'!$AP$12:$AP$491)</f>
        <v>0</v>
      </c>
      <c r="AA93" s="494">
        <f t="shared" si="67"/>
        <v>0</v>
      </c>
      <c r="AB93" s="494">
        <f t="shared" si="68"/>
        <v>0</v>
      </c>
      <c r="AC93" s="494">
        <f t="shared" si="69"/>
        <v>0</v>
      </c>
      <c r="AD93" s="494">
        <f t="shared" si="70"/>
        <v>0</v>
      </c>
      <c r="AE93" s="494" t="e">
        <f t="shared" si="71"/>
        <v>#N/A</v>
      </c>
      <c r="AF93" s="494">
        <f t="shared" si="72"/>
        <v>0.3172199915166688</v>
      </c>
      <c r="AU93" s="104" t="s">
        <v>598</v>
      </c>
      <c r="AV93" s="88" t="s">
        <v>74</v>
      </c>
      <c r="AW93" s="494">
        <f t="shared" si="89"/>
        <v>0</v>
      </c>
      <c r="AX93" s="494">
        <f t="shared" si="90"/>
        <v>0</v>
      </c>
      <c r="AY93" s="494">
        <f t="shared" si="91"/>
        <v>0</v>
      </c>
      <c r="AZ93" s="494">
        <f t="shared" si="92"/>
        <v>0</v>
      </c>
      <c r="BA93" s="494">
        <f t="shared" si="93"/>
        <v>0</v>
      </c>
      <c r="BB93" s="494">
        <f t="shared" si="94"/>
        <v>0</v>
      </c>
      <c r="BC93" s="494">
        <f t="shared" si="95"/>
        <v>0</v>
      </c>
      <c r="BD93" s="494">
        <f t="shared" si="96"/>
        <v>0</v>
      </c>
      <c r="BE93" s="494">
        <f>BB93+BD93</f>
        <v>0</v>
      </c>
      <c r="BF93" s="494" t="str">
        <f>IF(BE93&lt;0,BE93,"")</f>
        <v/>
      </c>
    </row>
    <row r="94" spans="1:58" x14ac:dyDescent="0.3">
      <c r="A94" s="104" t="str">
        <f>'G-1 All Habitats'!B93</f>
        <v>Woodland and forest - Other woodland; mixed</v>
      </c>
      <c r="B94" s="88" t="str">
        <f>'G-1 All Habitats'!F93</f>
        <v>Woodland and forest</v>
      </c>
      <c r="C94" s="88" t="str">
        <f>'G-1 All Habitats'!K93</f>
        <v>Medium</v>
      </c>
      <c r="D94" s="88" t="str">
        <f>'G-1 All Habitats'!M93</f>
        <v>Same broad habitat or a higher distinctiveness habitat required (≥)</v>
      </c>
      <c r="E94" s="494">
        <f>IF(C94="V.High",SUMIF('A-1 Site Habitat Baseline'!$G$11:$G$258,'G-2 Habitat groups'!A94,'A-1 Site Habitat Baseline'!$S$11:$S$258)+SUMIF('A-1 Site Habitat Baseline'!$G$11:$G$258,'G-2 Habitat groups'!A94,'A-1 Site Habitat Baseline'!$T$11:$T$258),SUMIF('A-1 Site Habitat Baseline'!$G$11:$G$258,'G-2 Habitat groups'!A94,'A-1 Site Habitat Baseline'!$H$11:$H$258))</f>
        <v>0</v>
      </c>
      <c r="F94" s="494">
        <f>SUMIF('A-1 Site Habitat Baseline'!$G$11:$G$258,'G-2 Habitat groups'!A94,'A-1 Site Habitat Baseline'!$Q$11:$Q$258)</f>
        <v>0</v>
      </c>
      <c r="G94" s="494">
        <f>SUMIF('A-1 Site Habitat Baseline'!$G$11:$G$258,'G-2 Habitat groups'!A94,'A-1 Site Habitat Baseline'!$S$11:$S$258)</f>
        <v>0</v>
      </c>
      <c r="H94" s="494">
        <f>SUMIF('A-1 Site Habitat Baseline'!$G$11:$G$258,'G-2 Habitat groups'!A94,'A-1 Site Habitat Baseline'!$U$11:$U$258)</f>
        <v>0</v>
      </c>
      <c r="I94" s="494">
        <f>SUMIF('A-1 Site Habitat Baseline'!$G$11:$G$258,'G-2 Habitat groups'!A94,'A-1 Site Habitat Baseline'!$W$11:$W$258)</f>
        <v>0</v>
      </c>
      <c r="J94" s="494">
        <f>SUMIF('A-1 Site Habitat Baseline'!$G$11:$G$258,'G-2 Habitat groups'!A94,'A-1 Site Habitat Baseline'!$X$11:$X$258)</f>
        <v>0</v>
      </c>
      <c r="K94" s="494">
        <f>SUMIF('A-2 Site Habitat Creation'!$F$11:$F$256,'G-2 Habitat groups'!A94,'A-2 Site Habitat Creation'!$G$11:$G$256)</f>
        <v>0</v>
      </c>
      <c r="L94" s="494">
        <f>SUMIF('A-2 Site Habitat Creation'!$F$11:$F$256,'G-2 Habitat groups'!A94,'A-2 Site Habitat Creation'!$Y$11:$Y$256)</f>
        <v>0</v>
      </c>
      <c r="M94" s="494">
        <f>SUMIF('A-3 Site Habitat Enhancement'!$S$12:$S$257,'G-2 Habitat groups'!A94,'A-3 Site Habitat Enhancement'!$V$12:$V$257)</f>
        <v>0</v>
      </c>
      <c r="N94" s="494">
        <f>SUMIF('A-3 Site Habitat Enhancement'!$S$12:$S$257,'G-2 Habitat groups'!A94,'A-3 Site Habitat Enhancement'!$AN$12:$AN$257)</f>
        <v>0</v>
      </c>
      <c r="O94" s="494">
        <f t="shared" si="63"/>
        <v>0</v>
      </c>
      <c r="P94" s="494">
        <f t="shared" si="64"/>
        <v>0</v>
      </c>
      <c r="Q94" s="494">
        <f t="shared" si="65"/>
        <v>0</v>
      </c>
      <c r="R94" s="494">
        <f t="shared" si="66"/>
        <v>0</v>
      </c>
      <c r="S94" s="494">
        <f>IF(C94="V.High",SUMIF('D-1 Off Site Habitat Baseline'!$G$11:$G$258,'G-2 Habitat groups'!A94,'D-1 Off Site Habitat Baseline'!$S$11:$S$258)+SUMIF('D-1 Off Site Habitat Baseline'!$G$11:$G$258,'G-2 Habitat groups'!A94,'D-1 Off Site Habitat Baseline'!$T$11:$T$258),SUMIF('D-1 Off Site Habitat Baseline'!$G$11:$G$258,'G-2 Habitat groups'!A94,'D-1 Off Site Habitat Baseline'!$H$11:$H$258))</f>
        <v>0</v>
      </c>
      <c r="T94" s="494">
        <f>SUMIF('D-1 Off Site Habitat Baseline'!$G$11:$G$258,'G-2 Habitat groups'!A94,'D-1 Off Site Habitat Baseline'!$Q$11:$Q$258)</f>
        <v>0</v>
      </c>
      <c r="U94" s="591">
        <f>SUMIF('D-1 Off Site Habitat Baseline'!$G$11:$G$258,'G-2 Habitat groups'!A94,'D-1 Off Site Habitat Baseline'!$S$11:$S$258)</f>
        <v>0</v>
      </c>
      <c r="V94" s="494">
        <f>SUMIF('D-1 Off Site Habitat Baseline'!$G$11:$G$258,'G-2 Habitat groups'!A94,'D-1 Off Site Habitat Baseline'!$U$11:$U$258)</f>
        <v>0</v>
      </c>
      <c r="W94" s="494">
        <f>SUMIF('D-2 Off Site Habitat Creation'!$F$9:$F$255,'G-2 Habitat groups'!A94,'D-2 Off Site Habitat Creation'!$G$9:$G$255)</f>
        <v>0</v>
      </c>
      <c r="X94" s="494">
        <f>SUMIF('D-2 Off Site Habitat Creation'!$F$9:$F$255,'G-2 Habitat groups'!A94,'D-2 Off Site Habitat Creation'!$AA$9:$AA$255)</f>
        <v>0</v>
      </c>
      <c r="Y94" s="494">
        <f>SUMIF('D-3 Off Site Habitat Enhancment'!$S$12:$S$491,'G-2 Habitat groups'!A94,'D-3 Off Site Habitat Enhancment'!$V$12:$V$491)</f>
        <v>0</v>
      </c>
      <c r="Z94" s="494">
        <f>SUMIF('D-3 Off Site Habitat Enhancment'!$S$12:$S$491,'G-2 Habitat groups'!A94,'D-3 Off Site Habitat Enhancment'!$AP$12:$AP$491)</f>
        <v>0</v>
      </c>
      <c r="AA94" s="494">
        <f t="shared" si="67"/>
        <v>0</v>
      </c>
      <c r="AB94" s="494">
        <f t="shared" si="68"/>
        <v>0</v>
      </c>
      <c r="AC94" s="494">
        <f t="shared" si="69"/>
        <v>0</v>
      </c>
      <c r="AD94" s="494">
        <f t="shared" si="70"/>
        <v>0</v>
      </c>
      <c r="AE94" s="494">
        <f t="shared" si="71"/>
        <v>0</v>
      </c>
      <c r="AF94" s="494">
        <f t="shared" si="72"/>
        <v>0</v>
      </c>
      <c r="AU94" s="104" t="s">
        <v>613</v>
      </c>
      <c r="AV94" s="88" t="s">
        <v>74</v>
      </c>
      <c r="AW94" s="494">
        <f t="shared" si="89"/>
        <v>0</v>
      </c>
      <c r="AX94" s="494">
        <f t="shared" si="90"/>
        <v>0</v>
      </c>
      <c r="AY94" s="494">
        <f t="shared" si="91"/>
        <v>0</v>
      </c>
      <c r="AZ94" s="494">
        <f t="shared" si="92"/>
        <v>0</v>
      </c>
      <c r="BA94" s="494">
        <f t="shared" si="93"/>
        <v>0</v>
      </c>
      <c r="BB94" s="494">
        <f t="shared" si="94"/>
        <v>0</v>
      </c>
      <c r="BC94" s="494">
        <f t="shared" si="95"/>
        <v>0</v>
      </c>
      <c r="BD94" s="494">
        <f t="shared" si="96"/>
        <v>0</v>
      </c>
      <c r="BE94" s="494">
        <f>BB94+BD94</f>
        <v>0</v>
      </c>
      <c r="BF94" s="494" t="str">
        <f>IF(BE94&lt;0,BE94,"")</f>
        <v/>
      </c>
    </row>
    <row r="95" spans="1:58" x14ac:dyDescent="0.3">
      <c r="A95" s="104" t="str">
        <f>'G-1 All Habitats'!B94</f>
        <v>Woodland and forest - Upland birchwoods</v>
      </c>
      <c r="B95" s="88" t="str">
        <f>'G-1 All Habitats'!F94</f>
        <v>Woodland and forest</v>
      </c>
      <c r="C95" s="88" t="str">
        <f>'G-1 All Habitats'!K94</f>
        <v>High</v>
      </c>
      <c r="D95" s="88" t="str">
        <f>'G-1 All Habitats'!M94</f>
        <v>Same habitat required =</v>
      </c>
      <c r="E95" s="494">
        <f>IF(C95="V.High",SUMIF('A-1 Site Habitat Baseline'!$G$11:$G$258,'G-2 Habitat groups'!A95,'A-1 Site Habitat Baseline'!$S$11:$S$258)+SUMIF('A-1 Site Habitat Baseline'!$G$11:$G$258,'G-2 Habitat groups'!A95,'A-1 Site Habitat Baseline'!$T$11:$T$258),SUMIF('A-1 Site Habitat Baseline'!$G$11:$G$258,'G-2 Habitat groups'!A95,'A-1 Site Habitat Baseline'!$H$11:$H$258))</f>
        <v>0</v>
      </c>
      <c r="F95" s="494">
        <f>SUMIF('A-1 Site Habitat Baseline'!$G$11:$G$258,'G-2 Habitat groups'!A95,'A-1 Site Habitat Baseline'!$Q$11:$Q$258)</f>
        <v>0</v>
      </c>
      <c r="G95" s="494">
        <f>SUMIF('A-1 Site Habitat Baseline'!$G$11:$G$258,'G-2 Habitat groups'!A95,'A-1 Site Habitat Baseline'!$S$11:$S$258)</f>
        <v>0</v>
      </c>
      <c r="H95" s="494">
        <f>SUMIF('A-1 Site Habitat Baseline'!$G$11:$G$258,'G-2 Habitat groups'!A95,'A-1 Site Habitat Baseline'!$U$11:$U$258)</f>
        <v>0</v>
      </c>
      <c r="I95" s="494">
        <f>SUMIF('A-1 Site Habitat Baseline'!$G$11:$G$258,'G-2 Habitat groups'!A95,'A-1 Site Habitat Baseline'!$W$11:$W$258)</f>
        <v>0</v>
      </c>
      <c r="J95" s="494">
        <f>SUMIF('A-1 Site Habitat Baseline'!$G$11:$G$258,'G-2 Habitat groups'!A95,'A-1 Site Habitat Baseline'!$X$11:$X$258)</f>
        <v>0</v>
      </c>
      <c r="K95" s="494">
        <f>SUMIF('A-2 Site Habitat Creation'!$F$11:$F$256,'G-2 Habitat groups'!A95,'A-2 Site Habitat Creation'!$G$11:$G$256)</f>
        <v>0</v>
      </c>
      <c r="L95" s="494">
        <f>SUMIF('A-2 Site Habitat Creation'!$F$11:$F$256,'G-2 Habitat groups'!A95,'A-2 Site Habitat Creation'!$Y$11:$Y$256)</f>
        <v>0</v>
      </c>
      <c r="M95" s="494">
        <f>SUMIF('A-3 Site Habitat Enhancement'!$S$12:$S$257,'G-2 Habitat groups'!A95,'A-3 Site Habitat Enhancement'!$V$12:$V$257)</f>
        <v>0</v>
      </c>
      <c r="N95" s="494">
        <f>SUMIF('A-3 Site Habitat Enhancement'!$S$12:$S$257,'G-2 Habitat groups'!A95,'A-3 Site Habitat Enhancement'!$AN$12:$AN$257)</f>
        <v>0</v>
      </c>
      <c r="O95" s="494">
        <f t="shared" si="63"/>
        <v>0</v>
      </c>
      <c r="P95" s="494">
        <f t="shared" si="64"/>
        <v>0</v>
      </c>
      <c r="Q95" s="494">
        <f t="shared" si="65"/>
        <v>0</v>
      </c>
      <c r="R95" s="494">
        <f t="shared" si="66"/>
        <v>0</v>
      </c>
      <c r="S95" s="494">
        <f>IF(C95="V.High",SUMIF('D-1 Off Site Habitat Baseline'!$G$11:$G$258,'G-2 Habitat groups'!A95,'D-1 Off Site Habitat Baseline'!$S$11:$S$258)+SUMIF('D-1 Off Site Habitat Baseline'!$G$11:$G$258,'G-2 Habitat groups'!A95,'D-1 Off Site Habitat Baseline'!$T$11:$T$258),SUMIF('D-1 Off Site Habitat Baseline'!$G$11:$G$258,'G-2 Habitat groups'!A95,'D-1 Off Site Habitat Baseline'!$H$11:$H$258))</f>
        <v>0</v>
      </c>
      <c r="T95" s="494">
        <f>SUMIF('D-1 Off Site Habitat Baseline'!$G$11:$G$258,'G-2 Habitat groups'!A95,'D-1 Off Site Habitat Baseline'!$Q$11:$Q$258)</f>
        <v>0</v>
      </c>
      <c r="U95" s="591">
        <f>SUMIF('D-1 Off Site Habitat Baseline'!$G$11:$G$258,'G-2 Habitat groups'!A95,'D-1 Off Site Habitat Baseline'!$S$11:$S$258)</f>
        <v>0</v>
      </c>
      <c r="V95" s="494">
        <f>SUMIF('D-1 Off Site Habitat Baseline'!$G$11:$G$258,'G-2 Habitat groups'!A95,'D-1 Off Site Habitat Baseline'!$U$11:$U$258)</f>
        <v>0</v>
      </c>
      <c r="W95" s="494">
        <f>SUMIF('D-2 Off Site Habitat Creation'!$F$9:$F$255,'G-2 Habitat groups'!A95,'D-2 Off Site Habitat Creation'!$G$9:$G$255)</f>
        <v>0</v>
      </c>
      <c r="X95" s="494">
        <f>SUMIF('D-2 Off Site Habitat Creation'!$F$9:$F$255,'G-2 Habitat groups'!A95,'D-2 Off Site Habitat Creation'!$AA$9:$AA$255)</f>
        <v>0</v>
      </c>
      <c r="Y95" s="494">
        <f>SUMIF('D-3 Off Site Habitat Enhancment'!$S$12:$S$491,'G-2 Habitat groups'!A95,'D-3 Off Site Habitat Enhancment'!$V$12:$V$491)</f>
        <v>0</v>
      </c>
      <c r="Z95" s="494">
        <f>SUMIF('D-3 Off Site Habitat Enhancment'!$S$12:$S$491,'G-2 Habitat groups'!A95,'D-3 Off Site Habitat Enhancment'!$AP$12:$AP$491)</f>
        <v>0</v>
      </c>
      <c r="AA95" s="494">
        <f t="shared" si="67"/>
        <v>0</v>
      </c>
      <c r="AB95" s="494">
        <f t="shared" si="68"/>
        <v>0</v>
      </c>
      <c r="AC95" s="494">
        <f t="shared" si="69"/>
        <v>0</v>
      </c>
      <c r="AD95" s="494">
        <f t="shared" si="70"/>
        <v>0</v>
      </c>
      <c r="AE95" s="494">
        <f t="shared" si="71"/>
        <v>0</v>
      </c>
      <c r="AF95" s="494">
        <f t="shared" si="72"/>
        <v>0</v>
      </c>
      <c r="AU95" s="104" t="s">
        <v>689</v>
      </c>
      <c r="AV95" s="88" t="s">
        <v>76</v>
      </c>
      <c r="AW95" s="494">
        <f t="shared" si="89"/>
        <v>0</v>
      </c>
      <c r="AX95" s="494">
        <f t="shared" si="90"/>
        <v>0</v>
      </c>
      <c r="AY95" s="494">
        <f t="shared" si="91"/>
        <v>0</v>
      </c>
      <c r="AZ95" s="494">
        <f t="shared" si="92"/>
        <v>0</v>
      </c>
      <c r="BA95" s="494">
        <f t="shared" si="93"/>
        <v>0</v>
      </c>
      <c r="BB95" s="494">
        <f t="shared" si="94"/>
        <v>0</v>
      </c>
      <c r="BC95" s="494">
        <f t="shared" si="95"/>
        <v>0</v>
      </c>
      <c r="BD95" s="494">
        <f t="shared" si="96"/>
        <v>0</v>
      </c>
      <c r="BE95" s="494">
        <f>BB95+BD95</f>
        <v>0</v>
      </c>
      <c r="BF95" s="494" t="str">
        <f>IF(BE95&lt;0,BE95,"")</f>
        <v/>
      </c>
    </row>
    <row r="96" spans="1:58" x14ac:dyDescent="0.3">
      <c r="A96" s="104" t="str">
        <f>'G-1 All Habitats'!B95</f>
        <v>Woodland and forest - Upland mixed ashwoods</v>
      </c>
      <c r="B96" s="88" t="str">
        <f>'G-1 All Habitats'!F95</f>
        <v>Woodland and forest</v>
      </c>
      <c r="C96" s="88" t="str">
        <f>'G-1 All Habitats'!K95</f>
        <v>High</v>
      </c>
      <c r="D96" s="88" t="str">
        <f>'G-1 All Habitats'!M95</f>
        <v>Same habitat required =</v>
      </c>
      <c r="E96" s="494">
        <f>IF(C96="V.High",SUMIF('A-1 Site Habitat Baseline'!$G$11:$G$258,'G-2 Habitat groups'!A96,'A-1 Site Habitat Baseline'!$S$11:$S$258)+SUMIF('A-1 Site Habitat Baseline'!$G$11:$G$258,'G-2 Habitat groups'!A96,'A-1 Site Habitat Baseline'!$T$11:$T$258),SUMIF('A-1 Site Habitat Baseline'!$G$11:$G$258,'G-2 Habitat groups'!A96,'A-1 Site Habitat Baseline'!$H$11:$H$258))</f>
        <v>0</v>
      </c>
      <c r="F96" s="494">
        <f>SUMIF('A-1 Site Habitat Baseline'!$G$11:$G$258,'G-2 Habitat groups'!A96,'A-1 Site Habitat Baseline'!$Q$11:$Q$258)</f>
        <v>0</v>
      </c>
      <c r="G96" s="494">
        <f>SUMIF('A-1 Site Habitat Baseline'!$G$11:$G$258,'G-2 Habitat groups'!A96,'A-1 Site Habitat Baseline'!$S$11:$S$258)</f>
        <v>0</v>
      </c>
      <c r="H96" s="494">
        <f>SUMIF('A-1 Site Habitat Baseline'!$G$11:$G$258,'G-2 Habitat groups'!A96,'A-1 Site Habitat Baseline'!$U$11:$U$258)</f>
        <v>0</v>
      </c>
      <c r="I96" s="494">
        <f>SUMIF('A-1 Site Habitat Baseline'!$G$11:$G$258,'G-2 Habitat groups'!A96,'A-1 Site Habitat Baseline'!$W$11:$W$258)</f>
        <v>0</v>
      </c>
      <c r="J96" s="494">
        <f>SUMIF('A-1 Site Habitat Baseline'!$G$11:$G$258,'G-2 Habitat groups'!A96,'A-1 Site Habitat Baseline'!$X$11:$X$258)</f>
        <v>0</v>
      </c>
      <c r="K96" s="494">
        <f>SUMIF('A-2 Site Habitat Creation'!$F$11:$F$256,'G-2 Habitat groups'!A96,'A-2 Site Habitat Creation'!$G$11:$G$256)</f>
        <v>0</v>
      </c>
      <c r="L96" s="494">
        <f>SUMIF('A-2 Site Habitat Creation'!$F$11:$F$256,'G-2 Habitat groups'!A96,'A-2 Site Habitat Creation'!$Y$11:$Y$256)</f>
        <v>0</v>
      </c>
      <c r="M96" s="494">
        <f>SUMIF('A-3 Site Habitat Enhancement'!$S$12:$S$257,'G-2 Habitat groups'!A96,'A-3 Site Habitat Enhancement'!$V$12:$V$257)</f>
        <v>0</v>
      </c>
      <c r="N96" s="494">
        <f>SUMIF('A-3 Site Habitat Enhancement'!$S$12:$S$257,'G-2 Habitat groups'!A96,'A-3 Site Habitat Enhancement'!$AN$12:$AN$257)</f>
        <v>0</v>
      </c>
      <c r="O96" s="494">
        <f t="shared" si="63"/>
        <v>0</v>
      </c>
      <c r="P96" s="494">
        <f t="shared" si="64"/>
        <v>0</v>
      </c>
      <c r="Q96" s="494">
        <f t="shared" si="65"/>
        <v>0</v>
      </c>
      <c r="R96" s="494">
        <f t="shared" si="66"/>
        <v>0</v>
      </c>
      <c r="S96" s="494">
        <f>IF(C96="V.High",SUMIF('D-1 Off Site Habitat Baseline'!$G$11:$G$258,'G-2 Habitat groups'!A96,'D-1 Off Site Habitat Baseline'!$S$11:$S$258)+SUMIF('D-1 Off Site Habitat Baseline'!$G$11:$G$258,'G-2 Habitat groups'!A96,'D-1 Off Site Habitat Baseline'!$T$11:$T$258),SUMIF('D-1 Off Site Habitat Baseline'!$G$11:$G$258,'G-2 Habitat groups'!A96,'D-1 Off Site Habitat Baseline'!$H$11:$H$258))</f>
        <v>0</v>
      </c>
      <c r="T96" s="494">
        <f>SUMIF('D-1 Off Site Habitat Baseline'!$G$11:$G$258,'G-2 Habitat groups'!A96,'D-1 Off Site Habitat Baseline'!$Q$11:$Q$258)</f>
        <v>0</v>
      </c>
      <c r="U96" s="591">
        <f>SUMIF('D-1 Off Site Habitat Baseline'!$G$11:$G$258,'G-2 Habitat groups'!A96,'D-1 Off Site Habitat Baseline'!$S$11:$S$258)</f>
        <v>0</v>
      </c>
      <c r="V96" s="494">
        <f>SUMIF('D-1 Off Site Habitat Baseline'!$G$11:$G$258,'G-2 Habitat groups'!A96,'D-1 Off Site Habitat Baseline'!$U$11:$U$258)</f>
        <v>0</v>
      </c>
      <c r="W96" s="494">
        <f>SUMIF('D-2 Off Site Habitat Creation'!$F$9:$F$255,'G-2 Habitat groups'!A96,'D-2 Off Site Habitat Creation'!$G$9:$G$255)</f>
        <v>0</v>
      </c>
      <c r="X96" s="494">
        <f>SUMIF('D-2 Off Site Habitat Creation'!$F$9:$F$255,'G-2 Habitat groups'!A96,'D-2 Off Site Habitat Creation'!$AA$9:$AA$255)</f>
        <v>0</v>
      </c>
      <c r="Y96" s="494">
        <f>SUMIF('D-3 Off Site Habitat Enhancment'!$S$12:$S$491,'G-2 Habitat groups'!A96,'D-3 Off Site Habitat Enhancment'!$V$12:$V$491)</f>
        <v>0</v>
      </c>
      <c r="Z96" s="494">
        <f>SUMIF('D-3 Off Site Habitat Enhancment'!$S$12:$S$491,'G-2 Habitat groups'!A96,'D-3 Off Site Habitat Enhancment'!$AP$12:$AP$491)</f>
        <v>0</v>
      </c>
      <c r="AA96" s="494">
        <f t="shared" si="67"/>
        <v>0</v>
      </c>
      <c r="AB96" s="494">
        <f t="shared" si="68"/>
        <v>0</v>
      </c>
      <c r="AC96" s="494">
        <f t="shared" si="69"/>
        <v>0</v>
      </c>
      <c r="AD96" s="494">
        <f t="shared" si="70"/>
        <v>0</v>
      </c>
      <c r="AE96" s="494">
        <f t="shared" si="71"/>
        <v>0</v>
      </c>
      <c r="AF96" s="494">
        <f t="shared" si="72"/>
        <v>0</v>
      </c>
      <c r="AU96" s="104" t="s">
        <v>692</v>
      </c>
      <c r="AV96" s="88" t="s">
        <v>76</v>
      </c>
      <c r="AW96" s="494">
        <f t="shared" si="89"/>
        <v>0.109844</v>
      </c>
      <c r="AX96" s="494">
        <f t="shared" si="90"/>
        <v>0.54471359999999991</v>
      </c>
      <c r="AY96" s="494" t="e">
        <f t="shared" si="91"/>
        <v>#N/A</v>
      </c>
      <c r="AZ96" s="494">
        <f t="shared" si="92"/>
        <v>1.0751435915166687</v>
      </c>
      <c r="BA96" s="494" t="e">
        <f t="shared" si="93"/>
        <v>#N/A</v>
      </c>
      <c r="BB96" s="494">
        <f t="shared" si="94"/>
        <v>0.3172199915166688</v>
      </c>
      <c r="BC96" s="494">
        <f t="shared" si="95"/>
        <v>0</v>
      </c>
      <c r="BD96" s="494">
        <f t="shared" si="96"/>
        <v>0</v>
      </c>
      <c r="BE96" s="494">
        <f>BB96+BD96</f>
        <v>0.3172199915166688</v>
      </c>
      <c r="BF96" s="494" t="str">
        <f>IF(BE96&lt;0,BE96,"")</f>
        <v/>
      </c>
    </row>
    <row r="97" spans="1:59" x14ac:dyDescent="0.3">
      <c r="A97" s="104" t="str">
        <f>'G-1 All Habitats'!B96</f>
        <v>Woodland and forest - Upland oakwood</v>
      </c>
      <c r="B97" s="88" t="str">
        <f>'G-1 All Habitats'!F96</f>
        <v>Woodland and forest</v>
      </c>
      <c r="C97" s="88" t="str">
        <f>'G-1 All Habitats'!K96</f>
        <v>High</v>
      </c>
      <c r="D97" s="88" t="str">
        <f>'G-1 All Habitats'!M96</f>
        <v>Same habitat required =</v>
      </c>
      <c r="E97" s="494">
        <f>IF(C97="V.High",SUMIF('A-1 Site Habitat Baseline'!$G$11:$G$258,'G-2 Habitat groups'!A97,'A-1 Site Habitat Baseline'!$S$11:$S$258)+SUMIF('A-1 Site Habitat Baseline'!$G$11:$G$258,'G-2 Habitat groups'!A97,'A-1 Site Habitat Baseline'!$T$11:$T$258),SUMIF('A-1 Site Habitat Baseline'!$G$11:$G$258,'G-2 Habitat groups'!A97,'A-1 Site Habitat Baseline'!$H$11:$H$258))</f>
        <v>0</v>
      </c>
      <c r="F97" s="494">
        <f>SUMIF('A-1 Site Habitat Baseline'!$G$11:$G$258,'G-2 Habitat groups'!A97,'A-1 Site Habitat Baseline'!$Q$11:$Q$258)</f>
        <v>0</v>
      </c>
      <c r="G97" s="494">
        <f>SUMIF('A-1 Site Habitat Baseline'!$G$11:$G$258,'G-2 Habitat groups'!A97,'A-1 Site Habitat Baseline'!$S$11:$S$258)</f>
        <v>0</v>
      </c>
      <c r="H97" s="494">
        <f>SUMIF('A-1 Site Habitat Baseline'!$G$11:$G$258,'G-2 Habitat groups'!A97,'A-1 Site Habitat Baseline'!$U$11:$U$258)</f>
        <v>0</v>
      </c>
      <c r="I97" s="494">
        <f>SUMIF('A-1 Site Habitat Baseline'!$G$11:$G$258,'G-2 Habitat groups'!A97,'A-1 Site Habitat Baseline'!$W$11:$W$258)</f>
        <v>0</v>
      </c>
      <c r="J97" s="494">
        <f>SUMIF('A-1 Site Habitat Baseline'!$G$11:$G$258,'G-2 Habitat groups'!A97,'A-1 Site Habitat Baseline'!$X$11:$X$258)</f>
        <v>0</v>
      </c>
      <c r="K97" s="494">
        <f>SUMIF('A-2 Site Habitat Creation'!$F$11:$F$256,'G-2 Habitat groups'!A97,'A-2 Site Habitat Creation'!$G$11:$G$256)</f>
        <v>0</v>
      </c>
      <c r="L97" s="494">
        <f>SUMIF('A-2 Site Habitat Creation'!$F$11:$F$256,'G-2 Habitat groups'!A97,'A-2 Site Habitat Creation'!$Y$11:$Y$256)</f>
        <v>0</v>
      </c>
      <c r="M97" s="494">
        <f>SUMIF('A-3 Site Habitat Enhancement'!$S$12:$S$257,'G-2 Habitat groups'!A97,'A-3 Site Habitat Enhancement'!$V$12:$V$257)</f>
        <v>0</v>
      </c>
      <c r="N97" s="494">
        <f>SUMIF('A-3 Site Habitat Enhancement'!$S$12:$S$257,'G-2 Habitat groups'!A97,'A-3 Site Habitat Enhancement'!$AN$12:$AN$257)</f>
        <v>0</v>
      </c>
      <c r="O97" s="494">
        <f t="shared" si="63"/>
        <v>0</v>
      </c>
      <c r="P97" s="494">
        <f t="shared" si="64"/>
        <v>0</v>
      </c>
      <c r="Q97" s="494">
        <f t="shared" si="65"/>
        <v>0</v>
      </c>
      <c r="R97" s="494">
        <f t="shared" si="66"/>
        <v>0</v>
      </c>
      <c r="S97" s="494">
        <f>IF(C97="V.High",SUMIF('D-1 Off Site Habitat Baseline'!$G$11:$G$258,'G-2 Habitat groups'!A97,'D-1 Off Site Habitat Baseline'!$S$11:$S$258)+SUMIF('D-1 Off Site Habitat Baseline'!$G$11:$G$258,'G-2 Habitat groups'!A97,'D-1 Off Site Habitat Baseline'!$T$11:$T$258),SUMIF('D-1 Off Site Habitat Baseline'!$G$11:$G$258,'G-2 Habitat groups'!A97,'D-1 Off Site Habitat Baseline'!$H$11:$H$258))</f>
        <v>0</v>
      </c>
      <c r="T97" s="494">
        <f>SUMIF('D-1 Off Site Habitat Baseline'!$G$11:$G$258,'G-2 Habitat groups'!A97,'D-1 Off Site Habitat Baseline'!$Q$11:$Q$258)</f>
        <v>0</v>
      </c>
      <c r="U97" s="591">
        <f>SUMIF('D-1 Off Site Habitat Baseline'!$G$11:$G$258,'G-2 Habitat groups'!A97,'D-1 Off Site Habitat Baseline'!$S$11:$S$258)</f>
        <v>0</v>
      </c>
      <c r="V97" s="494">
        <f>SUMIF('D-1 Off Site Habitat Baseline'!$G$11:$G$258,'G-2 Habitat groups'!A97,'D-1 Off Site Habitat Baseline'!$U$11:$U$258)</f>
        <v>0</v>
      </c>
      <c r="W97" s="494">
        <f>SUMIF('D-2 Off Site Habitat Creation'!$F$9:$F$255,'G-2 Habitat groups'!A97,'D-2 Off Site Habitat Creation'!$G$9:$G$255)</f>
        <v>0</v>
      </c>
      <c r="X97" s="494">
        <f>SUMIF('D-2 Off Site Habitat Creation'!$F$9:$F$255,'G-2 Habitat groups'!A97,'D-2 Off Site Habitat Creation'!$AA$9:$AA$255)</f>
        <v>0</v>
      </c>
      <c r="Y97" s="494">
        <f>SUMIF('D-3 Off Site Habitat Enhancment'!$S$12:$S$491,'G-2 Habitat groups'!A97,'D-3 Off Site Habitat Enhancment'!$V$12:$V$491)</f>
        <v>0</v>
      </c>
      <c r="Z97" s="494">
        <f>SUMIF('D-3 Off Site Habitat Enhancment'!$S$12:$S$491,'G-2 Habitat groups'!A97,'D-3 Off Site Habitat Enhancment'!$AP$12:$AP$491)</f>
        <v>0</v>
      </c>
      <c r="AA97" s="494">
        <f t="shared" si="67"/>
        <v>0</v>
      </c>
      <c r="AB97" s="494">
        <f t="shared" si="68"/>
        <v>0</v>
      </c>
      <c r="AC97" s="494">
        <f t="shared" si="69"/>
        <v>0</v>
      </c>
      <c r="AD97" s="494">
        <f t="shared" si="70"/>
        <v>0</v>
      </c>
      <c r="AE97" s="494">
        <f t="shared" si="71"/>
        <v>0</v>
      </c>
      <c r="AF97" s="494">
        <f t="shared" si="72"/>
        <v>0</v>
      </c>
      <c r="AU97" s="104" t="s">
        <v>695</v>
      </c>
      <c r="AV97" s="88" t="s">
        <v>76</v>
      </c>
      <c r="AW97" s="494">
        <f t="shared" si="89"/>
        <v>0</v>
      </c>
      <c r="AX97" s="494">
        <f t="shared" si="90"/>
        <v>0</v>
      </c>
      <c r="AY97" s="494">
        <f t="shared" si="91"/>
        <v>0</v>
      </c>
      <c r="AZ97" s="494">
        <f t="shared" si="92"/>
        <v>0</v>
      </c>
      <c r="BA97" s="494">
        <f t="shared" si="93"/>
        <v>0</v>
      </c>
      <c r="BB97" s="494">
        <f t="shared" si="94"/>
        <v>0</v>
      </c>
      <c r="BC97" s="494">
        <f t="shared" si="95"/>
        <v>0</v>
      </c>
      <c r="BD97" s="494">
        <f t="shared" si="96"/>
        <v>0</v>
      </c>
      <c r="BE97" s="494">
        <f>BB97+BD97</f>
        <v>0</v>
      </c>
      <c r="BF97" s="494" t="str">
        <f>IF(BE97&lt;0,BE97,"")</f>
        <v/>
      </c>
    </row>
    <row r="98" spans="1:59" x14ac:dyDescent="0.3">
      <c r="A98" s="104" t="str">
        <f>'G-1 All Habitats'!B97</f>
        <v>Woodland and forest - Wet woodland</v>
      </c>
      <c r="B98" s="88" t="str">
        <f>'G-1 All Habitats'!F97</f>
        <v>Woodland and forest</v>
      </c>
      <c r="C98" s="88" t="str">
        <f>'G-1 All Habitats'!K97</f>
        <v>High</v>
      </c>
      <c r="D98" s="88" t="str">
        <f>'G-1 All Habitats'!M97</f>
        <v>Same habitat required =</v>
      </c>
      <c r="E98" s="494">
        <f>IF(C98="V.High",SUMIF('A-1 Site Habitat Baseline'!$G$11:$G$258,'G-2 Habitat groups'!A98,'A-1 Site Habitat Baseline'!$S$11:$S$258)+SUMIF('A-1 Site Habitat Baseline'!$G$11:$G$258,'G-2 Habitat groups'!A98,'A-1 Site Habitat Baseline'!$T$11:$T$258),SUMIF('A-1 Site Habitat Baseline'!$G$11:$G$258,'G-2 Habitat groups'!A98,'A-1 Site Habitat Baseline'!$H$11:$H$258))</f>
        <v>0</v>
      </c>
      <c r="F98" s="494">
        <f>SUMIF('A-1 Site Habitat Baseline'!$G$11:$G$258,'G-2 Habitat groups'!A98,'A-1 Site Habitat Baseline'!$Q$11:$Q$258)</f>
        <v>0</v>
      </c>
      <c r="G98" s="494">
        <f>SUMIF('A-1 Site Habitat Baseline'!$G$11:$G$258,'G-2 Habitat groups'!A98,'A-1 Site Habitat Baseline'!$S$11:$S$258)</f>
        <v>0</v>
      </c>
      <c r="H98" s="494">
        <f>SUMIF('A-1 Site Habitat Baseline'!$G$11:$G$258,'G-2 Habitat groups'!A98,'A-1 Site Habitat Baseline'!$U$11:$U$258)</f>
        <v>0</v>
      </c>
      <c r="I98" s="494">
        <f>SUMIF('A-1 Site Habitat Baseline'!$G$11:$G$258,'G-2 Habitat groups'!A98,'A-1 Site Habitat Baseline'!$W$11:$W$258)</f>
        <v>0</v>
      </c>
      <c r="J98" s="494">
        <f>SUMIF('A-1 Site Habitat Baseline'!$G$11:$G$258,'G-2 Habitat groups'!A98,'A-1 Site Habitat Baseline'!$X$11:$X$258)</f>
        <v>0</v>
      </c>
      <c r="K98" s="494">
        <f>SUMIF('A-2 Site Habitat Creation'!$F$11:$F$256,'G-2 Habitat groups'!A98,'A-2 Site Habitat Creation'!$G$11:$G$256)</f>
        <v>0</v>
      </c>
      <c r="L98" s="494">
        <f>SUMIF('A-2 Site Habitat Creation'!$F$11:$F$256,'G-2 Habitat groups'!A98,'A-2 Site Habitat Creation'!$Y$11:$Y$256)</f>
        <v>0</v>
      </c>
      <c r="M98" s="494">
        <f>SUMIF('A-3 Site Habitat Enhancement'!$S$12:$S$257,'G-2 Habitat groups'!A98,'A-3 Site Habitat Enhancement'!$V$12:$V$257)</f>
        <v>0</v>
      </c>
      <c r="N98" s="494">
        <f>SUMIF('A-3 Site Habitat Enhancement'!$S$12:$S$257,'G-2 Habitat groups'!A98,'A-3 Site Habitat Enhancement'!$AN$12:$AN$257)</f>
        <v>0</v>
      </c>
      <c r="O98" s="494">
        <f t="shared" si="63"/>
        <v>0</v>
      </c>
      <c r="P98" s="494">
        <f t="shared" si="64"/>
        <v>0</v>
      </c>
      <c r="Q98" s="494">
        <f t="shared" si="65"/>
        <v>0</v>
      </c>
      <c r="R98" s="494">
        <f t="shared" si="66"/>
        <v>0</v>
      </c>
      <c r="S98" s="494">
        <f>IF(C98="V.High",SUMIF('D-1 Off Site Habitat Baseline'!$G$11:$G$258,'G-2 Habitat groups'!A98,'D-1 Off Site Habitat Baseline'!$S$11:$S$258)+SUMIF('D-1 Off Site Habitat Baseline'!$G$11:$G$258,'G-2 Habitat groups'!A98,'D-1 Off Site Habitat Baseline'!$T$11:$T$258),SUMIF('D-1 Off Site Habitat Baseline'!$G$11:$G$258,'G-2 Habitat groups'!A98,'D-1 Off Site Habitat Baseline'!$H$11:$H$258))</f>
        <v>0</v>
      </c>
      <c r="T98" s="494">
        <f>SUMIF('D-1 Off Site Habitat Baseline'!$G$11:$G$258,'G-2 Habitat groups'!A98,'D-1 Off Site Habitat Baseline'!$Q$11:$Q$258)</f>
        <v>0</v>
      </c>
      <c r="U98" s="591">
        <f>SUMIF('D-1 Off Site Habitat Baseline'!$G$11:$G$258,'G-2 Habitat groups'!A98,'D-1 Off Site Habitat Baseline'!$S$11:$S$258)</f>
        <v>0</v>
      </c>
      <c r="V98" s="494">
        <f>SUMIF('D-1 Off Site Habitat Baseline'!$G$11:$G$258,'G-2 Habitat groups'!A98,'D-1 Off Site Habitat Baseline'!$U$11:$U$258)</f>
        <v>0</v>
      </c>
      <c r="W98" s="494">
        <f>SUMIF('D-2 Off Site Habitat Creation'!$F$9:$F$255,'G-2 Habitat groups'!A98,'D-2 Off Site Habitat Creation'!$G$9:$G$255)</f>
        <v>0</v>
      </c>
      <c r="X98" s="494">
        <f>SUMIF('D-2 Off Site Habitat Creation'!$F$9:$F$255,'G-2 Habitat groups'!A98,'D-2 Off Site Habitat Creation'!$AA$9:$AA$255)</f>
        <v>0</v>
      </c>
      <c r="Y98" s="494">
        <f>SUMIF('D-3 Off Site Habitat Enhancment'!$S$12:$S$491,'G-2 Habitat groups'!A98,'D-3 Off Site Habitat Enhancment'!$V$12:$V$491)</f>
        <v>0</v>
      </c>
      <c r="Z98" s="494">
        <f>SUMIF('D-3 Off Site Habitat Enhancment'!$S$12:$S$491,'G-2 Habitat groups'!A98,'D-3 Off Site Habitat Enhancment'!$AP$12:$AP$491)</f>
        <v>0</v>
      </c>
      <c r="AA98" s="494">
        <f t="shared" si="67"/>
        <v>0</v>
      </c>
      <c r="AB98" s="494">
        <f t="shared" si="68"/>
        <v>0</v>
      </c>
      <c r="AC98" s="494">
        <f t="shared" si="69"/>
        <v>0</v>
      </c>
      <c r="AD98" s="494">
        <f t="shared" si="70"/>
        <v>0</v>
      </c>
      <c r="AE98" s="494">
        <f t="shared" si="71"/>
        <v>0</v>
      </c>
      <c r="AF98" s="494">
        <f t="shared" si="72"/>
        <v>0</v>
      </c>
      <c r="AU98" s="104" t="s">
        <v>755</v>
      </c>
      <c r="AV98" s="88" t="s">
        <v>77</v>
      </c>
      <c r="AW98" s="494">
        <f t="shared" si="89"/>
        <v>0</v>
      </c>
      <c r="AX98" s="494">
        <f t="shared" si="90"/>
        <v>0</v>
      </c>
      <c r="AY98" s="494">
        <f t="shared" si="91"/>
        <v>0</v>
      </c>
      <c r="AZ98" s="494">
        <f t="shared" si="92"/>
        <v>0</v>
      </c>
      <c r="BA98" s="494">
        <f t="shared" si="93"/>
        <v>0</v>
      </c>
      <c r="BB98" s="494">
        <f t="shared" si="94"/>
        <v>0</v>
      </c>
      <c r="BC98" s="494">
        <f t="shared" si="95"/>
        <v>0</v>
      </c>
      <c r="BD98" s="494">
        <f t="shared" si="96"/>
        <v>0</v>
      </c>
      <c r="BE98" s="494">
        <f t="shared" ref="BE98:BE99" si="101">BB98+BD98</f>
        <v>0</v>
      </c>
      <c r="BF98" s="494" t="str">
        <f t="shared" ref="BF98:BF99" si="102">IF(BE98&lt;0,BE98,"")</f>
        <v/>
      </c>
    </row>
    <row r="99" spans="1:59" x14ac:dyDescent="0.3">
      <c r="A99" s="104" t="str">
        <f>'G-1 All Habitats'!B98</f>
        <v>Woodland and forest - Wood-pasture and parkland</v>
      </c>
      <c r="B99" s="88" t="str">
        <f>'G-1 All Habitats'!F98</f>
        <v>Woodland and forest</v>
      </c>
      <c r="C99" s="88" t="str">
        <f>'G-1 All Habitats'!K98</f>
        <v>V.High</v>
      </c>
      <c r="D99" s="88" t="str">
        <f>'G-1 All Habitats'!M98</f>
        <v>Bespoke compensation likely to be required 🛠</v>
      </c>
      <c r="E99" s="494">
        <f>IF(C99="V.High",SUMIF('A-1 Site Habitat Baseline'!$G$11:$G$258,'G-2 Habitat groups'!A99,'A-1 Site Habitat Baseline'!$S$11:$S$258)+SUMIF('A-1 Site Habitat Baseline'!$G$11:$G$258,'G-2 Habitat groups'!A99,'A-1 Site Habitat Baseline'!$T$11:$T$258),SUMIF('A-1 Site Habitat Baseline'!$G$11:$G$258,'G-2 Habitat groups'!A99,'A-1 Site Habitat Baseline'!$H$11:$H$258))</f>
        <v>0</v>
      </c>
      <c r="F99" s="494">
        <f>SUMIF('A-1 Site Habitat Baseline'!$G$11:$G$258,'G-2 Habitat groups'!A99,'A-1 Site Habitat Baseline'!$Q$11:$Q$258)</f>
        <v>0</v>
      </c>
      <c r="G99" s="494">
        <f>SUMIF('A-1 Site Habitat Baseline'!$G$11:$G$258,'G-2 Habitat groups'!A99,'A-1 Site Habitat Baseline'!$S$11:$S$258)</f>
        <v>0</v>
      </c>
      <c r="H99" s="494">
        <f>SUMIF('A-1 Site Habitat Baseline'!$G$11:$G$258,'G-2 Habitat groups'!A99,'A-1 Site Habitat Baseline'!$U$11:$U$258)</f>
        <v>0</v>
      </c>
      <c r="I99" s="494">
        <f>SUMIF('A-1 Site Habitat Baseline'!$G$11:$G$258,'G-2 Habitat groups'!A99,'A-1 Site Habitat Baseline'!$W$11:$W$258)</f>
        <v>0</v>
      </c>
      <c r="J99" s="494">
        <f>SUMIF('A-1 Site Habitat Baseline'!$G$11:$G$258,'G-2 Habitat groups'!A99,'A-1 Site Habitat Baseline'!$X$11:$X$258)</f>
        <v>0</v>
      </c>
      <c r="K99" s="494">
        <f>SUMIF('A-2 Site Habitat Creation'!$F$11:$F$256,'G-2 Habitat groups'!A99,'A-2 Site Habitat Creation'!$G$11:$G$256)</f>
        <v>0</v>
      </c>
      <c r="L99" s="494">
        <f>SUMIF('A-2 Site Habitat Creation'!$F$11:$F$256,'G-2 Habitat groups'!A99,'A-2 Site Habitat Creation'!$Y$11:$Y$256)</f>
        <v>0</v>
      </c>
      <c r="M99" s="494">
        <f>SUMIF('A-3 Site Habitat Enhancement'!$S$12:$S$257,'G-2 Habitat groups'!A99,'A-3 Site Habitat Enhancement'!$V$12:$V$257)</f>
        <v>0</v>
      </c>
      <c r="N99" s="494">
        <f>SUMIF('A-3 Site Habitat Enhancement'!$S$12:$S$257,'G-2 Habitat groups'!A99,'A-3 Site Habitat Enhancement'!$AN$12:$AN$257)</f>
        <v>0</v>
      </c>
      <c r="O99" s="494">
        <f t="shared" ref="O99:O130" si="103">G99+K99+M99</f>
        <v>0</v>
      </c>
      <c r="P99" s="494">
        <f t="shared" ref="P99:P130" si="104">H99+L99+N99</f>
        <v>0</v>
      </c>
      <c r="Q99" s="494">
        <f t="shared" ref="Q99:Q130" si="105">O99-E99</f>
        <v>0</v>
      </c>
      <c r="R99" s="494">
        <f t="shared" ref="R99:R130" si="106">P99-F99</f>
        <v>0</v>
      </c>
      <c r="S99" s="494">
        <f>IF(C99="V.High",SUMIF('D-1 Off Site Habitat Baseline'!$G$11:$G$258,'G-2 Habitat groups'!A99,'D-1 Off Site Habitat Baseline'!$S$11:$S$258)+SUMIF('D-1 Off Site Habitat Baseline'!$G$11:$G$258,'G-2 Habitat groups'!A99,'D-1 Off Site Habitat Baseline'!$T$11:$T$258),SUMIF('D-1 Off Site Habitat Baseline'!$G$11:$G$258,'G-2 Habitat groups'!A99,'D-1 Off Site Habitat Baseline'!$H$11:$H$258))</f>
        <v>0</v>
      </c>
      <c r="T99" s="494">
        <f>SUMIF('D-1 Off Site Habitat Baseline'!$G$11:$G$258,'G-2 Habitat groups'!A99,'D-1 Off Site Habitat Baseline'!$Q$11:$Q$258)</f>
        <v>0</v>
      </c>
      <c r="U99" s="591">
        <f>SUMIF('D-1 Off Site Habitat Baseline'!$G$11:$G$258,'G-2 Habitat groups'!A99,'D-1 Off Site Habitat Baseline'!$S$11:$S$258)</f>
        <v>0</v>
      </c>
      <c r="V99" s="494">
        <f>SUMIF('D-1 Off Site Habitat Baseline'!$G$11:$G$258,'G-2 Habitat groups'!A99,'D-1 Off Site Habitat Baseline'!$U$11:$U$258)</f>
        <v>0</v>
      </c>
      <c r="W99" s="494">
        <f>SUMIF('D-2 Off Site Habitat Creation'!$F$9:$F$255,'G-2 Habitat groups'!A99,'D-2 Off Site Habitat Creation'!$G$9:$G$255)</f>
        <v>0</v>
      </c>
      <c r="X99" s="494">
        <f>SUMIF('D-2 Off Site Habitat Creation'!$F$9:$F$255,'G-2 Habitat groups'!A99,'D-2 Off Site Habitat Creation'!$AA$9:$AA$255)</f>
        <v>0</v>
      </c>
      <c r="Y99" s="494">
        <f>SUMIF('D-3 Off Site Habitat Enhancment'!$S$12:$S$491,'G-2 Habitat groups'!A99,'D-3 Off Site Habitat Enhancment'!$V$12:$V$491)</f>
        <v>0</v>
      </c>
      <c r="Z99" s="494">
        <f>SUMIF('D-3 Off Site Habitat Enhancment'!$S$12:$S$491,'G-2 Habitat groups'!A99,'D-3 Off Site Habitat Enhancment'!$AP$12:$AP$491)</f>
        <v>0</v>
      </c>
      <c r="AA99" s="494">
        <f t="shared" ref="AA99:AA131" si="107">U99+W99+Y99</f>
        <v>0</v>
      </c>
      <c r="AB99" s="494">
        <f t="shared" ref="AB99:AB131" si="108">V99+X99+Z99</f>
        <v>0</v>
      </c>
      <c r="AC99" s="494">
        <f t="shared" ref="AC99:AC130" si="109">AA99-S99</f>
        <v>0</v>
      </c>
      <c r="AD99" s="494">
        <f t="shared" ref="AD99:AD130" si="110">AB99-T99</f>
        <v>0</v>
      </c>
      <c r="AE99" s="494">
        <f t="shared" ref="AE99:AE130" si="111">Q99+AC99</f>
        <v>0</v>
      </c>
      <c r="AF99" s="494">
        <f t="shared" ref="AF99:AF130" si="112">R99+AD99</f>
        <v>0</v>
      </c>
      <c r="AU99" s="130" t="s">
        <v>803</v>
      </c>
      <c r="AV99" s="88" t="s">
        <v>77</v>
      </c>
      <c r="AW99" s="494">
        <f t="shared" si="89"/>
        <v>0</v>
      </c>
      <c r="AX99" s="494">
        <f t="shared" si="90"/>
        <v>0</v>
      </c>
      <c r="AY99" s="494">
        <f t="shared" si="91"/>
        <v>0</v>
      </c>
      <c r="AZ99" s="494">
        <f t="shared" si="92"/>
        <v>0</v>
      </c>
      <c r="BA99" s="494">
        <f t="shared" si="93"/>
        <v>0</v>
      </c>
      <c r="BB99" s="494">
        <f t="shared" si="94"/>
        <v>0</v>
      </c>
      <c r="BC99" s="494">
        <f t="shared" si="95"/>
        <v>0</v>
      </c>
      <c r="BD99" s="494">
        <f t="shared" si="96"/>
        <v>0</v>
      </c>
      <c r="BE99" s="494">
        <f t="shared" si="101"/>
        <v>0</v>
      </c>
      <c r="BF99" s="494" t="str">
        <f t="shared" si="102"/>
        <v/>
      </c>
    </row>
    <row r="100" spans="1:59" ht="28" x14ac:dyDescent="0.3">
      <c r="A100" s="104" t="str">
        <f>'G-1 All Habitats'!B99</f>
        <v>Coastal lagoons - Coastal lagoons</v>
      </c>
      <c r="B100" s="88" t="str">
        <f>'G-1 All Habitats'!F99</f>
        <v>Coastal lagoons</v>
      </c>
      <c r="C100" s="88" t="str">
        <f>'G-1 All Habitats'!K99</f>
        <v>High</v>
      </c>
      <c r="D100" s="88" t="str">
        <f>'G-1 All Habitats'!M99</f>
        <v>Same habitat required =</v>
      </c>
      <c r="E100" s="494">
        <f>IF(C100="V.High",SUMIF('A-1 Site Habitat Baseline'!$G$11:$G$258,'G-2 Habitat groups'!A100,'A-1 Site Habitat Baseline'!$S$11:$S$258)+SUMIF('A-1 Site Habitat Baseline'!$G$11:$G$258,'G-2 Habitat groups'!A100,'A-1 Site Habitat Baseline'!$T$11:$T$258),SUMIF('A-1 Site Habitat Baseline'!$G$11:$G$258,'G-2 Habitat groups'!A100,'A-1 Site Habitat Baseline'!$H$11:$H$258))</f>
        <v>0</v>
      </c>
      <c r="F100" s="494">
        <f>SUMIF('A-1 Site Habitat Baseline'!$G$11:$G$258,'G-2 Habitat groups'!A100,'A-1 Site Habitat Baseline'!$Q$11:$Q$258)</f>
        <v>0</v>
      </c>
      <c r="G100" s="494">
        <f>SUMIF('A-1 Site Habitat Baseline'!$G$11:$G$258,'G-2 Habitat groups'!A100,'A-1 Site Habitat Baseline'!$S$11:$S$258)</f>
        <v>0</v>
      </c>
      <c r="H100" s="494">
        <f>SUMIF('A-1 Site Habitat Baseline'!$G$11:$G$258,'G-2 Habitat groups'!A100,'A-1 Site Habitat Baseline'!$U$11:$U$258)</f>
        <v>0</v>
      </c>
      <c r="I100" s="494">
        <f>SUMIF('A-1 Site Habitat Baseline'!$G$11:$G$258,'G-2 Habitat groups'!A100,'A-1 Site Habitat Baseline'!$W$11:$W$258)</f>
        <v>0</v>
      </c>
      <c r="J100" s="494">
        <f>SUMIF('A-1 Site Habitat Baseline'!$G$11:$G$258,'G-2 Habitat groups'!A100,'A-1 Site Habitat Baseline'!$X$11:$X$258)</f>
        <v>0</v>
      </c>
      <c r="K100" s="494">
        <f>SUMIF('A-2 Site Habitat Creation'!$F$11:$F$256,'G-2 Habitat groups'!A100,'A-2 Site Habitat Creation'!$G$11:$G$256)</f>
        <v>0</v>
      </c>
      <c r="L100" s="494">
        <f>SUMIF('A-2 Site Habitat Creation'!$F$11:$F$256,'G-2 Habitat groups'!A100,'A-2 Site Habitat Creation'!$Y$11:$Y$256)</f>
        <v>0</v>
      </c>
      <c r="M100" s="494">
        <f>SUMIF('A-3 Site Habitat Enhancement'!$S$12:$S$257,'G-2 Habitat groups'!A100,'A-3 Site Habitat Enhancement'!$V$12:$V$257)</f>
        <v>0</v>
      </c>
      <c r="N100" s="494">
        <f>SUMIF('A-3 Site Habitat Enhancement'!$S$12:$S$257,'G-2 Habitat groups'!A100,'A-3 Site Habitat Enhancement'!$AN$12:$AN$257)</f>
        <v>0</v>
      </c>
      <c r="O100" s="494">
        <f t="shared" si="103"/>
        <v>0</v>
      </c>
      <c r="P100" s="494">
        <f t="shared" si="104"/>
        <v>0</v>
      </c>
      <c r="Q100" s="494">
        <f t="shared" si="105"/>
        <v>0</v>
      </c>
      <c r="R100" s="494">
        <f t="shared" si="106"/>
        <v>0</v>
      </c>
      <c r="S100" s="494">
        <f>IF(C100="V.High",SUMIF('D-1 Off Site Habitat Baseline'!$G$11:$G$258,'G-2 Habitat groups'!A100,'D-1 Off Site Habitat Baseline'!$S$11:$S$258)+SUMIF('D-1 Off Site Habitat Baseline'!$G$11:$G$258,'G-2 Habitat groups'!A100,'D-1 Off Site Habitat Baseline'!$T$11:$T$258),SUMIF('D-1 Off Site Habitat Baseline'!$G$11:$G$258,'G-2 Habitat groups'!A100,'D-1 Off Site Habitat Baseline'!$H$11:$H$258))</f>
        <v>0</v>
      </c>
      <c r="T100" s="494">
        <f>SUMIF('D-1 Off Site Habitat Baseline'!$G$11:$G$258,'G-2 Habitat groups'!A100,'D-1 Off Site Habitat Baseline'!$Q$11:$Q$258)</f>
        <v>0</v>
      </c>
      <c r="U100" s="591">
        <f>SUMIF('D-1 Off Site Habitat Baseline'!$G$11:$G$258,'G-2 Habitat groups'!A100,'D-1 Off Site Habitat Baseline'!$S$11:$S$258)</f>
        <v>0</v>
      </c>
      <c r="V100" s="494">
        <f>SUMIF('D-1 Off Site Habitat Baseline'!$G$11:$G$258,'G-2 Habitat groups'!A100,'D-1 Off Site Habitat Baseline'!$U$11:$U$258)</f>
        <v>0</v>
      </c>
      <c r="W100" s="494">
        <f>SUMIF('D-2 Off Site Habitat Creation'!$F$9:$F$255,'G-2 Habitat groups'!A100,'D-2 Off Site Habitat Creation'!$G$9:$G$255)</f>
        <v>0</v>
      </c>
      <c r="X100" s="494">
        <f>SUMIF('D-2 Off Site Habitat Creation'!$F$9:$F$255,'G-2 Habitat groups'!A100,'D-2 Off Site Habitat Creation'!$AA$9:$AA$255)</f>
        <v>0</v>
      </c>
      <c r="Y100" s="494">
        <f>SUMIF('D-3 Off Site Habitat Enhancment'!$S$12:$S$491,'G-2 Habitat groups'!A100,'D-3 Off Site Habitat Enhancment'!$V$12:$V$491)</f>
        <v>0</v>
      </c>
      <c r="Z100" s="494">
        <f>SUMIF('D-3 Off Site Habitat Enhancment'!$S$12:$S$491,'G-2 Habitat groups'!A100,'D-3 Off Site Habitat Enhancment'!$AP$12:$AP$491)</f>
        <v>0</v>
      </c>
      <c r="AA100" s="494">
        <f t="shared" si="107"/>
        <v>0</v>
      </c>
      <c r="AB100" s="494">
        <f t="shared" si="108"/>
        <v>0</v>
      </c>
      <c r="AC100" s="494">
        <f t="shared" si="109"/>
        <v>0</v>
      </c>
      <c r="AD100" s="494">
        <f t="shared" si="110"/>
        <v>0</v>
      </c>
      <c r="AE100" s="494">
        <f t="shared" si="111"/>
        <v>0</v>
      </c>
      <c r="AF100" s="494">
        <f t="shared" si="112"/>
        <v>0</v>
      </c>
      <c r="AU100" s="130" t="s">
        <v>815</v>
      </c>
      <c r="AV100" s="328" t="s">
        <v>869</v>
      </c>
      <c r="AW100" s="592">
        <f t="shared" si="89"/>
        <v>0</v>
      </c>
      <c r="AX100" s="592">
        <f t="shared" si="90"/>
        <v>0</v>
      </c>
      <c r="AY100" s="592">
        <f t="shared" si="91"/>
        <v>0</v>
      </c>
      <c r="AZ100" s="592">
        <f t="shared" si="92"/>
        <v>0</v>
      </c>
      <c r="BA100" s="592">
        <f t="shared" si="93"/>
        <v>0</v>
      </c>
      <c r="BB100" s="592">
        <f t="shared" si="94"/>
        <v>0</v>
      </c>
      <c r="BC100" s="592">
        <f t="shared" si="95"/>
        <v>0</v>
      </c>
      <c r="BD100" s="592">
        <f t="shared" si="96"/>
        <v>0</v>
      </c>
      <c r="BE100" s="592">
        <f t="shared" ref="BE100" si="113">BB100+BD100</f>
        <v>0</v>
      </c>
      <c r="BF100" s="592" t="str">
        <f t="shared" ref="BF100" si="114">IF(BE100&lt;0,BE100,"")</f>
        <v/>
      </c>
    </row>
    <row r="101" spans="1:59" x14ac:dyDescent="0.3">
      <c r="A101" s="104" t="str">
        <f>'G-1 All Habitats'!B100</f>
        <v>Rocky shore - High energy littoral rock</v>
      </c>
      <c r="B101" s="88" t="str">
        <f>'G-1 All Habitats'!F100</f>
        <v xml:space="preserve">Rocky shore </v>
      </c>
      <c r="C101" s="88" t="str">
        <f>'G-1 All Habitats'!K100</f>
        <v>High</v>
      </c>
      <c r="D101" s="88" t="str">
        <f>'G-1 All Habitats'!M100</f>
        <v>Same habitat required =</v>
      </c>
      <c r="E101" s="494">
        <f>IF(C101="V.High",SUMIF('A-1 Site Habitat Baseline'!$G$11:$G$258,'G-2 Habitat groups'!A101,'A-1 Site Habitat Baseline'!$S$11:$S$258)+SUMIF('A-1 Site Habitat Baseline'!$G$11:$G$258,'G-2 Habitat groups'!A101,'A-1 Site Habitat Baseline'!$T$11:$T$258),SUMIF('A-1 Site Habitat Baseline'!$G$11:$G$258,'G-2 Habitat groups'!A101,'A-1 Site Habitat Baseline'!$H$11:$H$258))</f>
        <v>0</v>
      </c>
      <c r="F101" s="494">
        <f>SUMIF('A-1 Site Habitat Baseline'!$G$11:$G$258,'G-2 Habitat groups'!A101,'A-1 Site Habitat Baseline'!$Q$11:$Q$258)</f>
        <v>0</v>
      </c>
      <c r="G101" s="494">
        <f>SUMIF('A-1 Site Habitat Baseline'!$G$11:$G$258,'G-2 Habitat groups'!A101,'A-1 Site Habitat Baseline'!$S$11:$S$258)</f>
        <v>0</v>
      </c>
      <c r="H101" s="494">
        <f>SUMIF('A-1 Site Habitat Baseline'!$G$11:$G$258,'G-2 Habitat groups'!A101,'A-1 Site Habitat Baseline'!$U$11:$U$258)</f>
        <v>0</v>
      </c>
      <c r="I101" s="494">
        <f>SUMIF('A-1 Site Habitat Baseline'!$G$11:$G$258,'G-2 Habitat groups'!A101,'A-1 Site Habitat Baseline'!$W$11:$W$258)</f>
        <v>0</v>
      </c>
      <c r="J101" s="494">
        <f>SUMIF('A-1 Site Habitat Baseline'!$G$11:$G$258,'G-2 Habitat groups'!A101,'A-1 Site Habitat Baseline'!$X$11:$X$258)</f>
        <v>0</v>
      </c>
      <c r="K101" s="494">
        <f>SUMIF('A-2 Site Habitat Creation'!$F$11:$F$256,'G-2 Habitat groups'!A101,'A-2 Site Habitat Creation'!$G$11:$G$256)</f>
        <v>0</v>
      </c>
      <c r="L101" s="494">
        <f>SUMIF('A-2 Site Habitat Creation'!$F$11:$F$256,'G-2 Habitat groups'!A101,'A-2 Site Habitat Creation'!$Y$11:$Y$256)</f>
        <v>0</v>
      </c>
      <c r="M101" s="494">
        <f>SUMIF('A-3 Site Habitat Enhancement'!$S$12:$S$257,'G-2 Habitat groups'!A101,'A-3 Site Habitat Enhancement'!$V$12:$V$257)</f>
        <v>0</v>
      </c>
      <c r="N101" s="494">
        <f>SUMIF('A-3 Site Habitat Enhancement'!$S$12:$S$257,'G-2 Habitat groups'!A101,'A-3 Site Habitat Enhancement'!$AN$12:$AN$257)</f>
        <v>0</v>
      </c>
      <c r="O101" s="494">
        <f t="shared" si="103"/>
        <v>0</v>
      </c>
      <c r="P101" s="494">
        <f t="shared" si="104"/>
        <v>0</v>
      </c>
      <c r="Q101" s="494">
        <f t="shared" si="105"/>
        <v>0</v>
      </c>
      <c r="R101" s="494">
        <f t="shared" si="106"/>
        <v>0</v>
      </c>
      <c r="S101" s="494">
        <f>IF(C101="V.High",SUMIF('D-1 Off Site Habitat Baseline'!$G$11:$G$258,'G-2 Habitat groups'!A101,'D-1 Off Site Habitat Baseline'!$S$11:$S$258)+SUMIF('D-1 Off Site Habitat Baseline'!$G$11:$G$258,'G-2 Habitat groups'!A101,'D-1 Off Site Habitat Baseline'!$T$11:$T$258),SUMIF('D-1 Off Site Habitat Baseline'!$G$11:$G$258,'G-2 Habitat groups'!A101,'D-1 Off Site Habitat Baseline'!$H$11:$H$258))</f>
        <v>0</v>
      </c>
      <c r="T101" s="494">
        <f>SUMIF('D-1 Off Site Habitat Baseline'!$G$11:$G$258,'G-2 Habitat groups'!A101,'D-1 Off Site Habitat Baseline'!$Q$11:$Q$258)</f>
        <v>0</v>
      </c>
      <c r="U101" s="591">
        <f>SUMIF('D-1 Off Site Habitat Baseline'!$G$11:$G$258,'G-2 Habitat groups'!A101,'D-1 Off Site Habitat Baseline'!$S$11:$S$258)</f>
        <v>0</v>
      </c>
      <c r="V101" s="494">
        <f>SUMIF('D-1 Off Site Habitat Baseline'!$G$11:$G$258,'G-2 Habitat groups'!A101,'D-1 Off Site Habitat Baseline'!$U$11:$U$258)</f>
        <v>0</v>
      </c>
      <c r="W101" s="494">
        <f>SUMIF('D-2 Off Site Habitat Creation'!$F$9:$F$255,'G-2 Habitat groups'!A101,'D-2 Off Site Habitat Creation'!$G$9:$G$255)</f>
        <v>0</v>
      </c>
      <c r="X101" s="494">
        <f>SUMIF('D-2 Off Site Habitat Creation'!$F$9:$F$255,'G-2 Habitat groups'!A101,'D-2 Off Site Habitat Creation'!$AA$9:$AA$255)</f>
        <v>0</v>
      </c>
      <c r="Y101" s="494">
        <f>SUMIF('D-3 Off Site Habitat Enhancment'!$S$12:$S$491,'G-2 Habitat groups'!A101,'D-3 Off Site Habitat Enhancment'!$V$12:$V$491)</f>
        <v>0</v>
      </c>
      <c r="Z101" s="494">
        <f>SUMIF('D-3 Off Site Habitat Enhancment'!$S$12:$S$491,'G-2 Habitat groups'!A101,'D-3 Off Site Habitat Enhancment'!$AP$12:$AP$491)</f>
        <v>0</v>
      </c>
      <c r="AA101" s="494">
        <f t="shared" si="107"/>
        <v>0</v>
      </c>
      <c r="AB101" s="494">
        <f t="shared" si="108"/>
        <v>0</v>
      </c>
      <c r="AC101" s="494">
        <f t="shared" si="109"/>
        <v>0</v>
      </c>
      <c r="AD101" s="494">
        <f t="shared" si="110"/>
        <v>0</v>
      </c>
      <c r="AE101" s="494">
        <f t="shared" si="111"/>
        <v>0</v>
      </c>
      <c r="AF101" s="494">
        <f t="shared" si="112"/>
        <v>0</v>
      </c>
    </row>
    <row r="102" spans="1:59" x14ac:dyDescent="0.3">
      <c r="A102" s="104" t="str">
        <f>'G-1 All Habitats'!B101</f>
        <v>Rocky shore - High energy littoral rock - on peat, clay or chalk</v>
      </c>
      <c r="B102" s="88" t="str">
        <f>'G-1 All Habitats'!F101</f>
        <v xml:space="preserve">Rocky shore </v>
      </c>
      <c r="C102" s="88" t="str">
        <f>'G-1 All Habitats'!K101</f>
        <v>V.High</v>
      </c>
      <c r="D102" s="88" t="str">
        <f>'G-1 All Habitats'!M101</f>
        <v>Bespoke compensation likely to be required 🛠</v>
      </c>
      <c r="E102" s="494">
        <f>IF(C102="V.High",SUMIF('A-1 Site Habitat Baseline'!$G$11:$G$258,'G-2 Habitat groups'!A102,'A-1 Site Habitat Baseline'!$S$11:$S$258)+SUMIF('A-1 Site Habitat Baseline'!$G$11:$G$258,'G-2 Habitat groups'!A102,'A-1 Site Habitat Baseline'!$T$11:$T$258),SUMIF('A-1 Site Habitat Baseline'!$G$11:$G$258,'G-2 Habitat groups'!A102,'A-1 Site Habitat Baseline'!$H$11:$H$258))</f>
        <v>0</v>
      </c>
      <c r="F102" s="494">
        <f>SUMIF('A-1 Site Habitat Baseline'!$G$11:$G$258,'G-2 Habitat groups'!A102,'A-1 Site Habitat Baseline'!$Q$11:$Q$258)</f>
        <v>0</v>
      </c>
      <c r="G102" s="494">
        <f>SUMIF('A-1 Site Habitat Baseline'!$G$11:$G$258,'G-2 Habitat groups'!A102,'A-1 Site Habitat Baseline'!$S$11:$S$258)</f>
        <v>0</v>
      </c>
      <c r="H102" s="494">
        <f>SUMIF('A-1 Site Habitat Baseline'!$G$11:$G$258,'G-2 Habitat groups'!A102,'A-1 Site Habitat Baseline'!$U$11:$U$258)</f>
        <v>0</v>
      </c>
      <c r="I102" s="494">
        <f>SUMIF('A-1 Site Habitat Baseline'!$G$11:$G$258,'G-2 Habitat groups'!A102,'A-1 Site Habitat Baseline'!$W$11:$W$258)</f>
        <v>0</v>
      </c>
      <c r="J102" s="494">
        <f>SUMIF('A-1 Site Habitat Baseline'!$G$11:$G$258,'G-2 Habitat groups'!A102,'A-1 Site Habitat Baseline'!$X$11:$X$258)</f>
        <v>0</v>
      </c>
      <c r="K102" s="494">
        <f>SUMIF('A-2 Site Habitat Creation'!$F$11:$F$256,'G-2 Habitat groups'!A102,'A-2 Site Habitat Creation'!$G$11:$G$256)</f>
        <v>0</v>
      </c>
      <c r="L102" s="494">
        <f>SUMIF('A-2 Site Habitat Creation'!$F$11:$F$256,'G-2 Habitat groups'!A102,'A-2 Site Habitat Creation'!$Y$11:$Y$256)</f>
        <v>0</v>
      </c>
      <c r="M102" s="494">
        <f>SUMIF('A-3 Site Habitat Enhancement'!$S$12:$S$257,'G-2 Habitat groups'!A102,'A-3 Site Habitat Enhancement'!$V$12:$V$257)</f>
        <v>0</v>
      </c>
      <c r="N102" s="494">
        <f>SUMIF('A-3 Site Habitat Enhancement'!$S$12:$S$257,'G-2 Habitat groups'!A102,'A-3 Site Habitat Enhancement'!$AN$12:$AN$257)</f>
        <v>0</v>
      </c>
      <c r="O102" s="494">
        <f t="shared" si="103"/>
        <v>0</v>
      </c>
      <c r="P102" s="494">
        <f t="shared" si="104"/>
        <v>0</v>
      </c>
      <c r="Q102" s="494">
        <f t="shared" si="105"/>
        <v>0</v>
      </c>
      <c r="R102" s="494">
        <f t="shared" si="106"/>
        <v>0</v>
      </c>
      <c r="S102" s="494">
        <f>IF(C102="V.High",SUMIF('D-1 Off Site Habitat Baseline'!$G$11:$G$258,'G-2 Habitat groups'!A102,'D-1 Off Site Habitat Baseline'!$S$11:$S$258)+SUMIF('D-1 Off Site Habitat Baseline'!$G$11:$G$258,'G-2 Habitat groups'!A102,'D-1 Off Site Habitat Baseline'!$T$11:$T$258),SUMIF('D-1 Off Site Habitat Baseline'!$G$11:$G$258,'G-2 Habitat groups'!A102,'D-1 Off Site Habitat Baseline'!$H$11:$H$258))</f>
        <v>0</v>
      </c>
      <c r="T102" s="494">
        <f>SUMIF('D-1 Off Site Habitat Baseline'!$G$11:$G$258,'G-2 Habitat groups'!A102,'D-1 Off Site Habitat Baseline'!$Q$11:$Q$258)</f>
        <v>0</v>
      </c>
      <c r="U102" s="591">
        <f>SUMIF('D-1 Off Site Habitat Baseline'!$G$11:$G$258,'G-2 Habitat groups'!A102,'D-1 Off Site Habitat Baseline'!$S$11:$S$258)</f>
        <v>0</v>
      </c>
      <c r="V102" s="494">
        <f>SUMIF('D-1 Off Site Habitat Baseline'!$G$11:$G$258,'G-2 Habitat groups'!A102,'D-1 Off Site Habitat Baseline'!$U$11:$U$258)</f>
        <v>0</v>
      </c>
      <c r="W102" s="494">
        <f>SUMIF('D-2 Off Site Habitat Creation'!$F$9:$F$255,'G-2 Habitat groups'!A102,'D-2 Off Site Habitat Creation'!$G$9:$G$255)</f>
        <v>0</v>
      </c>
      <c r="X102" s="494">
        <f>SUMIF('D-2 Off Site Habitat Creation'!$F$9:$F$255,'G-2 Habitat groups'!A102,'D-2 Off Site Habitat Creation'!$AA$9:$AA$255)</f>
        <v>0</v>
      </c>
      <c r="Y102" s="494">
        <f>SUMIF('D-3 Off Site Habitat Enhancment'!$S$12:$S$491,'G-2 Habitat groups'!A102,'D-3 Off Site Habitat Enhancment'!$V$12:$V$491)</f>
        <v>0</v>
      </c>
      <c r="Z102" s="494">
        <f>SUMIF('D-3 Off Site Habitat Enhancment'!$S$12:$S$491,'G-2 Habitat groups'!A102,'D-3 Off Site Habitat Enhancment'!$AP$12:$AP$491)</f>
        <v>0</v>
      </c>
      <c r="AA102" s="494">
        <f t="shared" si="107"/>
        <v>0</v>
      </c>
      <c r="AB102" s="494">
        <f t="shared" si="108"/>
        <v>0</v>
      </c>
      <c r="AC102" s="494">
        <f t="shared" si="109"/>
        <v>0</v>
      </c>
      <c r="AD102" s="494">
        <f t="shared" si="110"/>
        <v>0</v>
      </c>
      <c r="AE102" s="494">
        <f t="shared" si="111"/>
        <v>0</v>
      </c>
      <c r="AF102" s="494">
        <f t="shared" si="112"/>
        <v>0</v>
      </c>
    </row>
    <row r="103" spans="1:59" x14ac:dyDescent="0.3">
      <c r="A103" s="104" t="str">
        <f>'G-1 All Habitats'!B102</f>
        <v>Rocky shore - Moderate energy littoral rock</v>
      </c>
      <c r="B103" s="88" t="str">
        <f>'G-1 All Habitats'!F102</f>
        <v xml:space="preserve">Rocky shore </v>
      </c>
      <c r="C103" s="88" t="str">
        <f>'G-1 All Habitats'!K102</f>
        <v>High</v>
      </c>
      <c r="D103" s="88" t="str">
        <f>'G-1 All Habitats'!M102</f>
        <v>Same habitat required =</v>
      </c>
      <c r="E103" s="494">
        <f>IF(C103="V.High",SUMIF('A-1 Site Habitat Baseline'!$G$11:$G$258,'G-2 Habitat groups'!A103,'A-1 Site Habitat Baseline'!$S$11:$S$258)+SUMIF('A-1 Site Habitat Baseline'!$G$11:$G$258,'G-2 Habitat groups'!A103,'A-1 Site Habitat Baseline'!$T$11:$T$258),SUMIF('A-1 Site Habitat Baseline'!$G$11:$G$258,'G-2 Habitat groups'!A103,'A-1 Site Habitat Baseline'!$H$11:$H$258))</f>
        <v>0</v>
      </c>
      <c r="F103" s="494">
        <f>SUMIF('A-1 Site Habitat Baseline'!$G$11:$G$258,'G-2 Habitat groups'!A103,'A-1 Site Habitat Baseline'!$Q$11:$Q$258)</f>
        <v>0</v>
      </c>
      <c r="G103" s="494">
        <f>SUMIF('A-1 Site Habitat Baseline'!$G$11:$G$258,'G-2 Habitat groups'!A103,'A-1 Site Habitat Baseline'!$S$11:$S$258)</f>
        <v>0</v>
      </c>
      <c r="H103" s="494">
        <f>SUMIF('A-1 Site Habitat Baseline'!$G$11:$G$258,'G-2 Habitat groups'!A103,'A-1 Site Habitat Baseline'!$U$11:$U$258)</f>
        <v>0</v>
      </c>
      <c r="I103" s="494">
        <f>SUMIF('A-1 Site Habitat Baseline'!$G$11:$G$258,'G-2 Habitat groups'!A103,'A-1 Site Habitat Baseline'!$W$11:$W$258)</f>
        <v>0</v>
      </c>
      <c r="J103" s="494">
        <f>SUMIF('A-1 Site Habitat Baseline'!$G$11:$G$258,'G-2 Habitat groups'!A103,'A-1 Site Habitat Baseline'!$X$11:$X$258)</f>
        <v>0</v>
      </c>
      <c r="K103" s="494">
        <f>SUMIF('A-2 Site Habitat Creation'!$F$11:$F$256,'G-2 Habitat groups'!A103,'A-2 Site Habitat Creation'!$G$11:$G$256)</f>
        <v>0</v>
      </c>
      <c r="L103" s="494">
        <f>SUMIF('A-2 Site Habitat Creation'!$F$11:$F$256,'G-2 Habitat groups'!A103,'A-2 Site Habitat Creation'!$Y$11:$Y$256)</f>
        <v>0</v>
      </c>
      <c r="M103" s="494">
        <f>SUMIF('A-3 Site Habitat Enhancement'!$S$12:$S$257,'G-2 Habitat groups'!A103,'A-3 Site Habitat Enhancement'!$V$12:$V$257)</f>
        <v>0</v>
      </c>
      <c r="N103" s="494">
        <f>SUMIF('A-3 Site Habitat Enhancement'!$S$12:$S$257,'G-2 Habitat groups'!A103,'A-3 Site Habitat Enhancement'!$AN$12:$AN$257)</f>
        <v>0</v>
      </c>
      <c r="O103" s="494">
        <f t="shared" si="103"/>
        <v>0</v>
      </c>
      <c r="P103" s="494">
        <f t="shared" si="104"/>
        <v>0</v>
      </c>
      <c r="Q103" s="494">
        <f t="shared" si="105"/>
        <v>0</v>
      </c>
      <c r="R103" s="494">
        <f t="shared" si="106"/>
        <v>0</v>
      </c>
      <c r="S103" s="494">
        <f>IF(C103="V.High",SUMIF('D-1 Off Site Habitat Baseline'!$G$11:$G$258,'G-2 Habitat groups'!A103,'D-1 Off Site Habitat Baseline'!$S$11:$S$258)+SUMIF('D-1 Off Site Habitat Baseline'!$G$11:$G$258,'G-2 Habitat groups'!A103,'D-1 Off Site Habitat Baseline'!$T$11:$T$258),SUMIF('D-1 Off Site Habitat Baseline'!$G$11:$G$258,'G-2 Habitat groups'!A103,'D-1 Off Site Habitat Baseline'!$H$11:$H$258))</f>
        <v>0</v>
      </c>
      <c r="T103" s="494">
        <f>SUMIF('D-1 Off Site Habitat Baseline'!$G$11:$G$258,'G-2 Habitat groups'!A103,'D-1 Off Site Habitat Baseline'!$Q$11:$Q$258)</f>
        <v>0</v>
      </c>
      <c r="U103" s="591">
        <f>SUMIF('D-1 Off Site Habitat Baseline'!$G$11:$G$258,'G-2 Habitat groups'!A103,'D-1 Off Site Habitat Baseline'!$S$11:$S$258)</f>
        <v>0</v>
      </c>
      <c r="V103" s="494">
        <f>SUMIF('D-1 Off Site Habitat Baseline'!$G$11:$G$258,'G-2 Habitat groups'!A103,'D-1 Off Site Habitat Baseline'!$U$11:$U$258)</f>
        <v>0</v>
      </c>
      <c r="W103" s="494">
        <f>SUMIF('D-2 Off Site Habitat Creation'!$F$9:$F$255,'G-2 Habitat groups'!A103,'D-2 Off Site Habitat Creation'!$G$9:$G$255)</f>
        <v>0</v>
      </c>
      <c r="X103" s="494">
        <f>SUMIF('D-2 Off Site Habitat Creation'!$F$9:$F$255,'G-2 Habitat groups'!A103,'D-2 Off Site Habitat Creation'!$AA$9:$AA$255)</f>
        <v>0</v>
      </c>
      <c r="Y103" s="494">
        <f>SUMIF('D-3 Off Site Habitat Enhancment'!$S$12:$S$491,'G-2 Habitat groups'!A103,'D-3 Off Site Habitat Enhancment'!$V$12:$V$491)</f>
        <v>0</v>
      </c>
      <c r="Z103" s="494">
        <f>SUMIF('D-3 Off Site Habitat Enhancment'!$S$12:$S$491,'G-2 Habitat groups'!A103,'D-3 Off Site Habitat Enhancment'!$AP$12:$AP$491)</f>
        <v>0</v>
      </c>
      <c r="AA103" s="494">
        <f t="shared" si="107"/>
        <v>0</v>
      </c>
      <c r="AB103" s="494">
        <f t="shared" si="108"/>
        <v>0</v>
      </c>
      <c r="AC103" s="494">
        <f t="shared" si="109"/>
        <v>0</v>
      </c>
      <c r="AD103" s="494">
        <f t="shared" si="110"/>
        <v>0</v>
      </c>
      <c r="AE103" s="494">
        <f t="shared" si="111"/>
        <v>0</v>
      </c>
      <c r="AF103" s="494">
        <f t="shared" si="112"/>
        <v>0</v>
      </c>
    </row>
    <row r="104" spans="1:59" x14ac:dyDescent="0.3">
      <c r="A104" s="104" t="str">
        <f>'G-1 All Habitats'!B103</f>
        <v>Rocky shore - Moderate energy littoral rock - on peat, clay or chalk</v>
      </c>
      <c r="B104" s="88" t="str">
        <f>'G-1 All Habitats'!F103</f>
        <v xml:space="preserve">Rocky shore </v>
      </c>
      <c r="C104" s="88" t="str">
        <f>'G-1 All Habitats'!K103</f>
        <v>V.High</v>
      </c>
      <c r="D104" s="88" t="str">
        <f>'G-1 All Habitats'!M103</f>
        <v>Bespoke compensation likely to be required 🛠</v>
      </c>
      <c r="E104" s="494">
        <f>IF(C104="V.High",SUMIF('A-1 Site Habitat Baseline'!$G$11:$G$258,'G-2 Habitat groups'!A104,'A-1 Site Habitat Baseline'!$S$11:$S$258)+SUMIF('A-1 Site Habitat Baseline'!$G$11:$G$258,'G-2 Habitat groups'!A104,'A-1 Site Habitat Baseline'!$T$11:$T$258),SUMIF('A-1 Site Habitat Baseline'!$G$11:$G$258,'G-2 Habitat groups'!A104,'A-1 Site Habitat Baseline'!$H$11:$H$258))</f>
        <v>0</v>
      </c>
      <c r="F104" s="494">
        <f>SUMIF('A-1 Site Habitat Baseline'!$G$11:$G$258,'G-2 Habitat groups'!A104,'A-1 Site Habitat Baseline'!$Q$11:$Q$258)</f>
        <v>0</v>
      </c>
      <c r="G104" s="494">
        <f>SUMIF('A-1 Site Habitat Baseline'!$G$11:$G$258,'G-2 Habitat groups'!A104,'A-1 Site Habitat Baseline'!$S$11:$S$258)</f>
        <v>0</v>
      </c>
      <c r="H104" s="494">
        <f>SUMIF('A-1 Site Habitat Baseline'!$G$11:$G$258,'G-2 Habitat groups'!A104,'A-1 Site Habitat Baseline'!$U$11:$U$258)</f>
        <v>0</v>
      </c>
      <c r="I104" s="494">
        <f>SUMIF('A-1 Site Habitat Baseline'!$G$11:$G$258,'G-2 Habitat groups'!A104,'A-1 Site Habitat Baseline'!$W$11:$W$258)</f>
        <v>0</v>
      </c>
      <c r="J104" s="494">
        <f>SUMIF('A-1 Site Habitat Baseline'!$G$11:$G$258,'G-2 Habitat groups'!A104,'A-1 Site Habitat Baseline'!$X$11:$X$258)</f>
        <v>0</v>
      </c>
      <c r="K104" s="494">
        <f>SUMIF('A-2 Site Habitat Creation'!$F$11:$F$256,'G-2 Habitat groups'!A104,'A-2 Site Habitat Creation'!$G$11:$G$256)</f>
        <v>0</v>
      </c>
      <c r="L104" s="494">
        <f>SUMIF('A-2 Site Habitat Creation'!$F$11:$F$256,'G-2 Habitat groups'!A104,'A-2 Site Habitat Creation'!$Y$11:$Y$256)</f>
        <v>0</v>
      </c>
      <c r="M104" s="494">
        <f>SUMIF('A-3 Site Habitat Enhancement'!$S$12:$S$257,'G-2 Habitat groups'!A104,'A-3 Site Habitat Enhancement'!$V$12:$V$257)</f>
        <v>0</v>
      </c>
      <c r="N104" s="494">
        <f>SUMIF('A-3 Site Habitat Enhancement'!$S$12:$S$257,'G-2 Habitat groups'!A104,'A-3 Site Habitat Enhancement'!$AN$12:$AN$257)</f>
        <v>0</v>
      </c>
      <c r="O104" s="494">
        <f t="shared" si="103"/>
        <v>0</v>
      </c>
      <c r="P104" s="494">
        <f t="shared" si="104"/>
        <v>0</v>
      </c>
      <c r="Q104" s="494">
        <f t="shared" si="105"/>
        <v>0</v>
      </c>
      <c r="R104" s="494">
        <f t="shared" si="106"/>
        <v>0</v>
      </c>
      <c r="S104" s="494">
        <f>IF(C104="V.High",SUMIF('D-1 Off Site Habitat Baseline'!$G$11:$G$258,'G-2 Habitat groups'!A104,'D-1 Off Site Habitat Baseline'!$S$11:$S$258)+SUMIF('D-1 Off Site Habitat Baseline'!$G$11:$G$258,'G-2 Habitat groups'!A104,'D-1 Off Site Habitat Baseline'!$T$11:$T$258),SUMIF('D-1 Off Site Habitat Baseline'!$G$11:$G$258,'G-2 Habitat groups'!A104,'D-1 Off Site Habitat Baseline'!$H$11:$H$258))</f>
        <v>0</v>
      </c>
      <c r="T104" s="494">
        <f>SUMIF('D-1 Off Site Habitat Baseline'!$G$11:$G$258,'G-2 Habitat groups'!A104,'D-1 Off Site Habitat Baseline'!$Q$11:$Q$258)</f>
        <v>0</v>
      </c>
      <c r="U104" s="591">
        <f>SUMIF('D-1 Off Site Habitat Baseline'!$G$11:$G$258,'G-2 Habitat groups'!A104,'D-1 Off Site Habitat Baseline'!$S$11:$S$258)</f>
        <v>0</v>
      </c>
      <c r="V104" s="494">
        <f>SUMIF('D-1 Off Site Habitat Baseline'!$G$11:$G$258,'G-2 Habitat groups'!A104,'D-1 Off Site Habitat Baseline'!$U$11:$U$258)</f>
        <v>0</v>
      </c>
      <c r="W104" s="494">
        <f>SUMIF('D-2 Off Site Habitat Creation'!$F$9:$F$255,'G-2 Habitat groups'!A104,'D-2 Off Site Habitat Creation'!$G$9:$G$255)</f>
        <v>0</v>
      </c>
      <c r="X104" s="494">
        <f>SUMIF('D-2 Off Site Habitat Creation'!$F$9:$F$255,'G-2 Habitat groups'!A104,'D-2 Off Site Habitat Creation'!$AA$9:$AA$255)</f>
        <v>0</v>
      </c>
      <c r="Y104" s="494">
        <f>SUMIF('D-3 Off Site Habitat Enhancment'!$S$12:$S$491,'G-2 Habitat groups'!A104,'D-3 Off Site Habitat Enhancment'!$V$12:$V$491)</f>
        <v>0</v>
      </c>
      <c r="Z104" s="494">
        <f>SUMIF('D-3 Off Site Habitat Enhancment'!$S$12:$S$491,'G-2 Habitat groups'!A104,'D-3 Off Site Habitat Enhancment'!$AP$12:$AP$491)</f>
        <v>0</v>
      </c>
      <c r="AA104" s="494">
        <f t="shared" si="107"/>
        <v>0</v>
      </c>
      <c r="AB104" s="494">
        <f t="shared" si="108"/>
        <v>0</v>
      </c>
      <c r="AC104" s="494">
        <f t="shared" si="109"/>
        <v>0</v>
      </c>
      <c r="AD104" s="494">
        <f t="shared" si="110"/>
        <v>0</v>
      </c>
      <c r="AE104" s="494">
        <f t="shared" si="111"/>
        <v>0</v>
      </c>
      <c r="AF104" s="494">
        <f t="shared" si="112"/>
        <v>0</v>
      </c>
    </row>
    <row r="105" spans="1:59" x14ac:dyDescent="0.3">
      <c r="A105" s="104" t="str">
        <f>'G-1 All Habitats'!B104</f>
        <v>Rocky shore - Low energy littoral rock</v>
      </c>
      <c r="B105" s="88" t="str">
        <f>'G-1 All Habitats'!F104</f>
        <v xml:space="preserve">Rocky shore </v>
      </c>
      <c r="C105" s="88" t="str">
        <f>'G-1 All Habitats'!K104</f>
        <v>High</v>
      </c>
      <c r="D105" s="88" t="str">
        <f>'G-1 All Habitats'!M104</f>
        <v>Same habitat required =</v>
      </c>
      <c r="E105" s="494">
        <f>IF(C105="V.High",SUMIF('A-1 Site Habitat Baseline'!$G$11:$G$258,'G-2 Habitat groups'!A105,'A-1 Site Habitat Baseline'!$S$11:$S$258)+SUMIF('A-1 Site Habitat Baseline'!$G$11:$G$258,'G-2 Habitat groups'!A105,'A-1 Site Habitat Baseline'!$T$11:$T$258),SUMIF('A-1 Site Habitat Baseline'!$G$11:$G$258,'G-2 Habitat groups'!A105,'A-1 Site Habitat Baseline'!$H$11:$H$258))</f>
        <v>0</v>
      </c>
      <c r="F105" s="494">
        <f>SUMIF('A-1 Site Habitat Baseline'!$G$11:$G$258,'G-2 Habitat groups'!A105,'A-1 Site Habitat Baseline'!$Q$11:$Q$258)</f>
        <v>0</v>
      </c>
      <c r="G105" s="494">
        <f>SUMIF('A-1 Site Habitat Baseline'!$G$11:$G$258,'G-2 Habitat groups'!A105,'A-1 Site Habitat Baseline'!$S$11:$S$258)</f>
        <v>0</v>
      </c>
      <c r="H105" s="494">
        <f>SUMIF('A-1 Site Habitat Baseline'!$G$11:$G$258,'G-2 Habitat groups'!A105,'A-1 Site Habitat Baseline'!$U$11:$U$258)</f>
        <v>0</v>
      </c>
      <c r="I105" s="494">
        <f>SUMIF('A-1 Site Habitat Baseline'!$G$11:$G$258,'G-2 Habitat groups'!A105,'A-1 Site Habitat Baseline'!$W$11:$W$258)</f>
        <v>0</v>
      </c>
      <c r="J105" s="494">
        <f>SUMIF('A-1 Site Habitat Baseline'!$G$11:$G$258,'G-2 Habitat groups'!A105,'A-1 Site Habitat Baseline'!$X$11:$X$258)</f>
        <v>0</v>
      </c>
      <c r="K105" s="494">
        <f>SUMIF('A-2 Site Habitat Creation'!$F$11:$F$256,'G-2 Habitat groups'!A105,'A-2 Site Habitat Creation'!$G$11:$G$256)</f>
        <v>0</v>
      </c>
      <c r="L105" s="494">
        <f>SUMIF('A-2 Site Habitat Creation'!$F$11:$F$256,'G-2 Habitat groups'!A105,'A-2 Site Habitat Creation'!$Y$11:$Y$256)</f>
        <v>0</v>
      </c>
      <c r="M105" s="494">
        <f>SUMIF('A-3 Site Habitat Enhancement'!$S$12:$S$257,'G-2 Habitat groups'!A105,'A-3 Site Habitat Enhancement'!$V$12:$V$257)</f>
        <v>0</v>
      </c>
      <c r="N105" s="494">
        <f>SUMIF('A-3 Site Habitat Enhancement'!$S$12:$S$257,'G-2 Habitat groups'!A105,'A-3 Site Habitat Enhancement'!$AN$12:$AN$257)</f>
        <v>0</v>
      </c>
      <c r="O105" s="494">
        <f t="shared" si="103"/>
        <v>0</v>
      </c>
      <c r="P105" s="494">
        <f t="shared" si="104"/>
        <v>0</v>
      </c>
      <c r="Q105" s="494">
        <f t="shared" si="105"/>
        <v>0</v>
      </c>
      <c r="R105" s="494">
        <f t="shared" si="106"/>
        <v>0</v>
      </c>
      <c r="S105" s="494">
        <f>IF(C105="V.High",SUMIF('D-1 Off Site Habitat Baseline'!$G$11:$G$258,'G-2 Habitat groups'!A105,'D-1 Off Site Habitat Baseline'!$S$11:$S$258)+SUMIF('D-1 Off Site Habitat Baseline'!$G$11:$G$258,'G-2 Habitat groups'!A105,'D-1 Off Site Habitat Baseline'!$T$11:$T$258),SUMIF('D-1 Off Site Habitat Baseline'!$G$11:$G$258,'G-2 Habitat groups'!A105,'D-1 Off Site Habitat Baseline'!$H$11:$H$258))</f>
        <v>0</v>
      </c>
      <c r="T105" s="494">
        <f>SUMIF('D-1 Off Site Habitat Baseline'!$G$11:$G$258,'G-2 Habitat groups'!A105,'D-1 Off Site Habitat Baseline'!$Q$11:$Q$258)</f>
        <v>0</v>
      </c>
      <c r="U105" s="591">
        <f>SUMIF('D-1 Off Site Habitat Baseline'!$G$11:$G$258,'G-2 Habitat groups'!A105,'D-1 Off Site Habitat Baseline'!$S$11:$S$258)</f>
        <v>0</v>
      </c>
      <c r="V105" s="494">
        <f>SUMIF('D-1 Off Site Habitat Baseline'!$G$11:$G$258,'G-2 Habitat groups'!A105,'D-1 Off Site Habitat Baseline'!$U$11:$U$258)</f>
        <v>0</v>
      </c>
      <c r="W105" s="494">
        <f>SUMIF('D-2 Off Site Habitat Creation'!$F$9:$F$255,'G-2 Habitat groups'!A105,'D-2 Off Site Habitat Creation'!$G$9:$G$255)</f>
        <v>0</v>
      </c>
      <c r="X105" s="494">
        <f>SUMIF('D-2 Off Site Habitat Creation'!$F$9:$F$255,'G-2 Habitat groups'!A105,'D-2 Off Site Habitat Creation'!$AA$9:$AA$255)</f>
        <v>0</v>
      </c>
      <c r="Y105" s="494">
        <f>SUMIF('D-3 Off Site Habitat Enhancment'!$S$12:$S$491,'G-2 Habitat groups'!A105,'D-3 Off Site Habitat Enhancment'!$V$12:$V$491)</f>
        <v>0</v>
      </c>
      <c r="Z105" s="494">
        <f>SUMIF('D-3 Off Site Habitat Enhancment'!$S$12:$S$491,'G-2 Habitat groups'!A105,'D-3 Off Site Habitat Enhancment'!$AP$12:$AP$491)</f>
        <v>0</v>
      </c>
      <c r="AA105" s="494">
        <f t="shared" si="107"/>
        <v>0</v>
      </c>
      <c r="AB105" s="494">
        <f t="shared" si="108"/>
        <v>0</v>
      </c>
      <c r="AC105" s="494">
        <f t="shared" si="109"/>
        <v>0</v>
      </c>
      <c r="AD105" s="494">
        <f t="shared" si="110"/>
        <v>0</v>
      </c>
      <c r="AE105" s="494">
        <f t="shared" si="111"/>
        <v>0</v>
      </c>
      <c r="AF105" s="494">
        <f t="shared" si="112"/>
        <v>0</v>
      </c>
    </row>
    <row r="106" spans="1:59" x14ac:dyDescent="0.3">
      <c r="A106" s="104" t="str">
        <f>'G-1 All Habitats'!B105</f>
        <v>Rocky shore - Low energy littoral rock - on peat, clay or chalk</v>
      </c>
      <c r="B106" s="88" t="str">
        <f>'G-1 All Habitats'!F105</f>
        <v xml:space="preserve">Rocky shore </v>
      </c>
      <c r="C106" s="88" t="str">
        <f>'G-1 All Habitats'!K105</f>
        <v>V.High</v>
      </c>
      <c r="D106" s="88" t="str">
        <f>'G-1 All Habitats'!M105</f>
        <v>Bespoke compensation likely to be required 🛠</v>
      </c>
      <c r="E106" s="494">
        <f>IF(C106="V.High",SUMIF('A-1 Site Habitat Baseline'!$G$11:$G$258,'G-2 Habitat groups'!A106,'A-1 Site Habitat Baseline'!$S$11:$S$258)+SUMIF('A-1 Site Habitat Baseline'!$G$11:$G$258,'G-2 Habitat groups'!A106,'A-1 Site Habitat Baseline'!$T$11:$T$258),SUMIF('A-1 Site Habitat Baseline'!$G$11:$G$258,'G-2 Habitat groups'!A106,'A-1 Site Habitat Baseline'!$H$11:$H$258))</f>
        <v>0</v>
      </c>
      <c r="F106" s="494">
        <f>SUMIF('A-1 Site Habitat Baseline'!$G$11:$G$258,'G-2 Habitat groups'!A106,'A-1 Site Habitat Baseline'!$Q$11:$Q$258)</f>
        <v>0</v>
      </c>
      <c r="G106" s="494">
        <f>SUMIF('A-1 Site Habitat Baseline'!$G$11:$G$258,'G-2 Habitat groups'!A106,'A-1 Site Habitat Baseline'!$S$11:$S$258)</f>
        <v>0</v>
      </c>
      <c r="H106" s="494">
        <f>SUMIF('A-1 Site Habitat Baseline'!$G$11:$G$258,'G-2 Habitat groups'!A106,'A-1 Site Habitat Baseline'!$U$11:$U$258)</f>
        <v>0</v>
      </c>
      <c r="I106" s="494">
        <f>SUMIF('A-1 Site Habitat Baseline'!$G$11:$G$258,'G-2 Habitat groups'!A106,'A-1 Site Habitat Baseline'!$W$11:$W$258)</f>
        <v>0</v>
      </c>
      <c r="J106" s="494">
        <f>SUMIF('A-1 Site Habitat Baseline'!$G$11:$G$258,'G-2 Habitat groups'!A106,'A-1 Site Habitat Baseline'!$X$11:$X$258)</f>
        <v>0</v>
      </c>
      <c r="K106" s="494">
        <f>SUMIF('A-2 Site Habitat Creation'!$F$11:$F$256,'G-2 Habitat groups'!A106,'A-2 Site Habitat Creation'!$G$11:$G$256)</f>
        <v>0</v>
      </c>
      <c r="L106" s="494">
        <f>SUMIF('A-2 Site Habitat Creation'!$F$11:$F$256,'G-2 Habitat groups'!A106,'A-2 Site Habitat Creation'!$Y$11:$Y$256)</f>
        <v>0</v>
      </c>
      <c r="M106" s="494">
        <f>SUMIF('A-3 Site Habitat Enhancement'!$S$12:$S$257,'G-2 Habitat groups'!A106,'A-3 Site Habitat Enhancement'!$V$12:$V$257)</f>
        <v>0</v>
      </c>
      <c r="N106" s="494">
        <f>SUMIF('A-3 Site Habitat Enhancement'!$S$12:$S$257,'G-2 Habitat groups'!A106,'A-3 Site Habitat Enhancement'!$AN$12:$AN$257)</f>
        <v>0</v>
      </c>
      <c r="O106" s="494">
        <f t="shared" si="103"/>
        <v>0</v>
      </c>
      <c r="P106" s="494">
        <f t="shared" si="104"/>
        <v>0</v>
      </c>
      <c r="Q106" s="494">
        <f t="shared" si="105"/>
        <v>0</v>
      </c>
      <c r="R106" s="494">
        <f t="shared" si="106"/>
        <v>0</v>
      </c>
      <c r="S106" s="494">
        <f>IF(C106="V.High",SUMIF('D-1 Off Site Habitat Baseline'!$G$11:$G$258,'G-2 Habitat groups'!A106,'D-1 Off Site Habitat Baseline'!$S$11:$S$258)+SUMIF('D-1 Off Site Habitat Baseline'!$G$11:$G$258,'G-2 Habitat groups'!A106,'D-1 Off Site Habitat Baseline'!$T$11:$T$258),SUMIF('D-1 Off Site Habitat Baseline'!$G$11:$G$258,'G-2 Habitat groups'!A106,'D-1 Off Site Habitat Baseline'!$H$11:$H$258))</f>
        <v>0</v>
      </c>
      <c r="T106" s="494">
        <f>SUMIF('D-1 Off Site Habitat Baseline'!$G$11:$G$258,'G-2 Habitat groups'!A106,'D-1 Off Site Habitat Baseline'!$Q$11:$Q$258)</f>
        <v>0</v>
      </c>
      <c r="U106" s="591">
        <f>SUMIF('D-1 Off Site Habitat Baseline'!$G$11:$G$258,'G-2 Habitat groups'!A106,'D-1 Off Site Habitat Baseline'!$S$11:$S$258)</f>
        <v>0</v>
      </c>
      <c r="V106" s="494">
        <f>SUMIF('D-1 Off Site Habitat Baseline'!$G$11:$G$258,'G-2 Habitat groups'!A106,'D-1 Off Site Habitat Baseline'!$U$11:$U$258)</f>
        <v>0</v>
      </c>
      <c r="W106" s="494">
        <f>SUMIF('D-2 Off Site Habitat Creation'!$F$9:$F$255,'G-2 Habitat groups'!A106,'D-2 Off Site Habitat Creation'!$G$9:$G$255)</f>
        <v>0</v>
      </c>
      <c r="X106" s="494">
        <f>SUMIF('D-2 Off Site Habitat Creation'!$F$9:$F$255,'G-2 Habitat groups'!A106,'D-2 Off Site Habitat Creation'!$AA$9:$AA$255)</f>
        <v>0</v>
      </c>
      <c r="Y106" s="494">
        <f>SUMIF('D-3 Off Site Habitat Enhancment'!$S$12:$S$491,'G-2 Habitat groups'!A106,'D-3 Off Site Habitat Enhancment'!$V$12:$V$491)</f>
        <v>0</v>
      </c>
      <c r="Z106" s="494">
        <f>SUMIF('D-3 Off Site Habitat Enhancment'!$S$12:$S$491,'G-2 Habitat groups'!A106,'D-3 Off Site Habitat Enhancment'!$AP$12:$AP$491)</f>
        <v>0</v>
      </c>
      <c r="AA106" s="494">
        <f t="shared" si="107"/>
        <v>0</v>
      </c>
      <c r="AB106" s="494">
        <f t="shared" si="108"/>
        <v>0</v>
      </c>
      <c r="AC106" s="494">
        <f t="shared" si="109"/>
        <v>0</v>
      </c>
      <c r="AD106" s="494">
        <f t="shared" si="110"/>
        <v>0</v>
      </c>
      <c r="AE106" s="494">
        <f t="shared" si="111"/>
        <v>0</v>
      </c>
      <c r="AF106" s="494">
        <f t="shared" si="112"/>
        <v>0</v>
      </c>
    </row>
    <row r="107" spans="1:59" x14ac:dyDescent="0.3">
      <c r="A107" s="104" t="str">
        <f>'G-1 All Habitats'!B106</f>
        <v>Rocky shore - Features of littoral rock</v>
      </c>
      <c r="B107" s="88" t="str">
        <f>'G-1 All Habitats'!F106</f>
        <v xml:space="preserve">Rocky shore </v>
      </c>
      <c r="C107" s="88" t="str">
        <f>'G-1 All Habitats'!K106</f>
        <v>High</v>
      </c>
      <c r="D107" s="88" t="str">
        <f>'G-1 All Habitats'!M106</f>
        <v>Same habitat required =</v>
      </c>
      <c r="E107" s="494">
        <f>IF(C107="V.High",SUMIF('A-1 Site Habitat Baseline'!$G$11:$G$258,'G-2 Habitat groups'!A107,'A-1 Site Habitat Baseline'!$S$11:$S$258)+SUMIF('A-1 Site Habitat Baseline'!$G$11:$G$258,'G-2 Habitat groups'!A107,'A-1 Site Habitat Baseline'!$T$11:$T$258),SUMIF('A-1 Site Habitat Baseline'!$G$11:$G$258,'G-2 Habitat groups'!A107,'A-1 Site Habitat Baseline'!$H$11:$H$258))</f>
        <v>0</v>
      </c>
      <c r="F107" s="494">
        <f>SUMIF('A-1 Site Habitat Baseline'!$G$11:$G$258,'G-2 Habitat groups'!A107,'A-1 Site Habitat Baseline'!$Q$11:$Q$258)</f>
        <v>0</v>
      </c>
      <c r="G107" s="494">
        <f>SUMIF('A-1 Site Habitat Baseline'!$G$11:$G$258,'G-2 Habitat groups'!A107,'A-1 Site Habitat Baseline'!$S$11:$S$258)</f>
        <v>0</v>
      </c>
      <c r="H107" s="494">
        <f>SUMIF('A-1 Site Habitat Baseline'!$G$11:$G$258,'G-2 Habitat groups'!A107,'A-1 Site Habitat Baseline'!$U$11:$U$258)</f>
        <v>0</v>
      </c>
      <c r="I107" s="494">
        <f>SUMIF('A-1 Site Habitat Baseline'!$G$11:$G$258,'G-2 Habitat groups'!A107,'A-1 Site Habitat Baseline'!$W$11:$W$258)</f>
        <v>0</v>
      </c>
      <c r="J107" s="494">
        <f>SUMIF('A-1 Site Habitat Baseline'!$G$11:$G$258,'G-2 Habitat groups'!A107,'A-1 Site Habitat Baseline'!$X$11:$X$258)</f>
        <v>0</v>
      </c>
      <c r="K107" s="494">
        <f>SUMIF('A-2 Site Habitat Creation'!$F$11:$F$256,'G-2 Habitat groups'!A107,'A-2 Site Habitat Creation'!$G$11:$G$256)</f>
        <v>0</v>
      </c>
      <c r="L107" s="494">
        <f>SUMIF('A-2 Site Habitat Creation'!$F$11:$F$256,'G-2 Habitat groups'!A107,'A-2 Site Habitat Creation'!$Y$11:$Y$256)</f>
        <v>0</v>
      </c>
      <c r="M107" s="494">
        <f>SUMIF('A-3 Site Habitat Enhancement'!$S$12:$S$257,'G-2 Habitat groups'!A107,'A-3 Site Habitat Enhancement'!$V$12:$V$257)</f>
        <v>0</v>
      </c>
      <c r="N107" s="494">
        <f>SUMIF('A-3 Site Habitat Enhancement'!$S$12:$S$257,'G-2 Habitat groups'!A107,'A-3 Site Habitat Enhancement'!$AN$12:$AN$257)</f>
        <v>0</v>
      </c>
      <c r="O107" s="494">
        <f t="shared" si="103"/>
        <v>0</v>
      </c>
      <c r="P107" s="494">
        <f t="shared" si="104"/>
        <v>0</v>
      </c>
      <c r="Q107" s="494">
        <f t="shared" si="105"/>
        <v>0</v>
      </c>
      <c r="R107" s="494">
        <f t="shared" si="106"/>
        <v>0</v>
      </c>
      <c r="S107" s="494">
        <f>IF(C107="V.High",SUMIF('D-1 Off Site Habitat Baseline'!$G$11:$G$258,'G-2 Habitat groups'!A107,'D-1 Off Site Habitat Baseline'!$S$11:$S$258)+SUMIF('D-1 Off Site Habitat Baseline'!$G$11:$G$258,'G-2 Habitat groups'!A107,'D-1 Off Site Habitat Baseline'!$T$11:$T$258),SUMIF('D-1 Off Site Habitat Baseline'!$G$11:$G$258,'G-2 Habitat groups'!A107,'D-1 Off Site Habitat Baseline'!$H$11:$H$258))</f>
        <v>0</v>
      </c>
      <c r="T107" s="494">
        <f>SUMIF('D-1 Off Site Habitat Baseline'!$G$11:$G$258,'G-2 Habitat groups'!A107,'D-1 Off Site Habitat Baseline'!$Q$11:$Q$258)</f>
        <v>0</v>
      </c>
      <c r="U107" s="591">
        <f>SUMIF('D-1 Off Site Habitat Baseline'!$G$11:$G$258,'G-2 Habitat groups'!A107,'D-1 Off Site Habitat Baseline'!$S$11:$S$258)</f>
        <v>0</v>
      </c>
      <c r="V107" s="494">
        <f>SUMIF('D-1 Off Site Habitat Baseline'!$G$11:$G$258,'G-2 Habitat groups'!A107,'D-1 Off Site Habitat Baseline'!$U$11:$U$258)</f>
        <v>0</v>
      </c>
      <c r="W107" s="494">
        <f>SUMIF('D-2 Off Site Habitat Creation'!$F$9:$F$255,'G-2 Habitat groups'!A107,'D-2 Off Site Habitat Creation'!$G$9:$G$255)</f>
        <v>0</v>
      </c>
      <c r="X107" s="494">
        <f>SUMIF('D-2 Off Site Habitat Creation'!$F$9:$F$255,'G-2 Habitat groups'!A107,'D-2 Off Site Habitat Creation'!$AA$9:$AA$255)</f>
        <v>0</v>
      </c>
      <c r="Y107" s="494">
        <f>SUMIF('D-3 Off Site Habitat Enhancment'!$S$12:$S$491,'G-2 Habitat groups'!A107,'D-3 Off Site Habitat Enhancment'!$V$12:$V$491)</f>
        <v>0</v>
      </c>
      <c r="Z107" s="494">
        <f>SUMIF('D-3 Off Site Habitat Enhancment'!$S$12:$S$491,'G-2 Habitat groups'!A107,'D-3 Off Site Habitat Enhancment'!$AP$12:$AP$491)</f>
        <v>0</v>
      </c>
      <c r="AA107" s="494">
        <f t="shared" si="107"/>
        <v>0</v>
      </c>
      <c r="AB107" s="494">
        <f t="shared" si="108"/>
        <v>0</v>
      </c>
      <c r="AC107" s="494">
        <f t="shared" si="109"/>
        <v>0</v>
      </c>
      <c r="AD107" s="494">
        <f t="shared" si="110"/>
        <v>0</v>
      </c>
      <c r="AE107" s="494">
        <f t="shared" si="111"/>
        <v>0</v>
      </c>
      <c r="AF107" s="494">
        <f t="shared" si="112"/>
        <v>0</v>
      </c>
    </row>
    <row r="108" spans="1:59" ht="35" x14ac:dyDescent="0.7">
      <c r="A108" s="104" t="str">
        <f>'G-1 All Habitats'!B107</f>
        <v>Rocky shore - Features of littoral rock - on peat, clay or chalk</v>
      </c>
      <c r="B108" s="88" t="str">
        <f>'G-1 All Habitats'!F107</f>
        <v xml:space="preserve">Rocky shore </v>
      </c>
      <c r="C108" s="88" t="str">
        <f>'G-1 All Habitats'!K107</f>
        <v>V.High</v>
      </c>
      <c r="D108" s="88" t="str">
        <f>'G-1 All Habitats'!M107</f>
        <v>Bespoke compensation likely to be required 🛠</v>
      </c>
      <c r="E108" s="494">
        <f>IF(C108="V.High",SUMIF('A-1 Site Habitat Baseline'!$G$11:$G$258,'G-2 Habitat groups'!A108,'A-1 Site Habitat Baseline'!$S$11:$S$258)+SUMIF('A-1 Site Habitat Baseline'!$G$11:$G$258,'G-2 Habitat groups'!A108,'A-1 Site Habitat Baseline'!$T$11:$T$258),SUMIF('A-1 Site Habitat Baseline'!$G$11:$G$258,'G-2 Habitat groups'!A108,'A-1 Site Habitat Baseline'!$H$11:$H$258))</f>
        <v>0</v>
      </c>
      <c r="F108" s="494">
        <f>SUMIF('A-1 Site Habitat Baseline'!$G$11:$G$258,'G-2 Habitat groups'!A108,'A-1 Site Habitat Baseline'!$Q$11:$Q$258)</f>
        <v>0</v>
      </c>
      <c r="G108" s="494">
        <f>SUMIF('A-1 Site Habitat Baseline'!$G$11:$G$258,'G-2 Habitat groups'!A108,'A-1 Site Habitat Baseline'!$S$11:$S$258)</f>
        <v>0</v>
      </c>
      <c r="H108" s="494">
        <f>SUMIF('A-1 Site Habitat Baseline'!$G$11:$G$258,'G-2 Habitat groups'!A108,'A-1 Site Habitat Baseline'!$U$11:$U$258)</f>
        <v>0</v>
      </c>
      <c r="I108" s="494">
        <f>SUMIF('A-1 Site Habitat Baseline'!$G$11:$G$258,'G-2 Habitat groups'!A108,'A-1 Site Habitat Baseline'!$W$11:$W$258)</f>
        <v>0</v>
      </c>
      <c r="J108" s="494">
        <f>SUMIF('A-1 Site Habitat Baseline'!$G$11:$G$258,'G-2 Habitat groups'!A108,'A-1 Site Habitat Baseline'!$X$11:$X$258)</f>
        <v>0</v>
      </c>
      <c r="K108" s="494">
        <f>SUMIF('A-2 Site Habitat Creation'!$F$11:$F$256,'G-2 Habitat groups'!A108,'A-2 Site Habitat Creation'!$G$11:$G$256)</f>
        <v>0</v>
      </c>
      <c r="L108" s="494">
        <f>SUMIF('A-2 Site Habitat Creation'!$F$11:$F$256,'G-2 Habitat groups'!A108,'A-2 Site Habitat Creation'!$Y$11:$Y$256)</f>
        <v>0</v>
      </c>
      <c r="M108" s="494">
        <f>SUMIF('A-3 Site Habitat Enhancement'!$S$12:$S$257,'G-2 Habitat groups'!A108,'A-3 Site Habitat Enhancement'!$V$12:$V$257)</f>
        <v>0</v>
      </c>
      <c r="N108" s="494">
        <f>SUMIF('A-3 Site Habitat Enhancement'!$S$12:$S$257,'G-2 Habitat groups'!A108,'A-3 Site Habitat Enhancement'!$AN$12:$AN$257)</f>
        <v>0</v>
      </c>
      <c r="O108" s="494">
        <f t="shared" si="103"/>
        <v>0</v>
      </c>
      <c r="P108" s="494">
        <f t="shared" si="104"/>
        <v>0</v>
      </c>
      <c r="Q108" s="494">
        <f t="shared" si="105"/>
        <v>0</v>
      </c>
      <c r="R108" s="494">
        <f t="shared" si="106"/>
        <v>0</v>
      </c>
      <c r="S108" s="494">
        <f>IF(C108="V.High",SUMIF('D-1 Off Site Habitat Baseline'!$G$11:$G$258,'G-2 Habitat groups'!A108,'D-1 Off Site Habitat Baseline'!$S$11:$S$258)+SUMIF('D-1 Off Site Habitat Baseline'!$G$11:$G$258,'G-2 Habitat groups'!A108,'D-1 Off Site Habitat Baseline'!$T$11:$T$258),SUMIF('D-1 Off Site Habitat Baseline'!$G$11:$G$258,'G-2 Habitat groups'!A108,'D-1 Off Site Habitat Baseline'!$H$11:$H$258))</f>
        <v>0</v>
      </c>
      <c r="T108" s="494">
        <f>SUMIF('D-1 Off Site Habitat Baseline'!$G$11:$G$258,'G-2 Habitat groups'!A108,'D-1 Off Site Habitat Baseline'!$Q$11:$Q$258)</f>
        <v>0</v>
      </c>
      <c r="U108" s="591">
        <f>SUMIF('D-1 Off Site Habitat Baseline'!$G$11:$G$258,'G-2 Habitat groups'!A108,'D-1 Off Site Habitat Baseline'!$S$11:$S$258)</f>
        <v>0</v>
      </c>
      <c r="V108" s="494">
        <f>SUMIF('D-1 Off Site Habitat Baseline'!$G$11:$G$258,'G-2 Habitat groups'!A108,'D-1 Off Site Habitat Baseline'!$U$11:$U$258)</f>
        <v>0</v>
      </c>
      <c r="W108" s="494">
        <f>SUMIF('D-2 Off Site Habitat Creation'!$F$9:$F$255,'G-2 Habitat groups'!A108,'D-2 Off Site Habitat Creation'!$G$9:$G$255)</f>
        <v>0</v>
      </c>
      <c r="X108" s="494">
        <f>SUMIF('D-2 Off Site Habitat Creation'!$F$9:$F$255,'G-2 Habitat groups'!A108,'D-2 Off Site Habitat Creation'!$AA$9:$AA$255)</f>
        <v>0</v>
      </c>
      <c r="Y108" s="494">
        <f>SUMIF('D-3 Off Site Habitat Enhancment'!$S$12:$S$491,'G-2 Habitat groups'!A108,'D-3 Off Site Habitat Enhancment'!$V$12:$V$491)</f>
        <v>0</v>
      </c>
      <c r="Z108" s="494">
        <f>SUMIF('D-3 Off Site Habitat Enhancment'!$S$12:$S$491,'G-2 Habitat groups'!A108,'D-3 Off Site Habitat Enhancment'!$AP$12:$AP$491)</f>
        <v>0</v>
      </c>
      <c r="AA108" s="494">
        <f t="shared" si="107"/>
        <v>0</v>
      </c>
      <c r="AB108" s="494">
        <f t="shared" si="108"/>
        <v>0</v>
      </c>
      <c r="AC108" s="494">
        <f t="shared" si="109"/>
        <v>0</v>
      </c>
      <c r="AD108" s="494">
        <f t="shared" si="110"/>
        <v>0</v>
      </c>
      <c r="AE108" s="494">
        <f t="shared" si="111"/>
        <v>0</v>
      </c>
      <c r="AF108" s="494">
        <f t="shared" si="112"/>
        <v>0</v>
      </c>
      <c r="AU108" s="360" t="s">
        <v>156</v>
      </c>
    </row>
    <row r="109" spans="1:59" ht="33" customHeight="1" x14ac:dyDescent="0.35">
      <c r="A109" s="104" t="str">
        <f>'G-1 All Habitats'!B110</f>
        <v>Intertidal sediment - Littoral coarse sediment</v>
      </c>
      <c r="B109" s="88" t="str">
        <f>'G-1 All Habitats'!F110</f>
        <v>Intertidal sediment</v>
      </c>
      <c r="C109" s="88" t="str">
        <f>'G-1 All Habitats'!K110</f>
        <v>Medium</v>
      </c>
      <c r="D109" s="88" t="str">
        <f>'G-1 All Habitats'!M110</f>
        <v>Same broad habitat or a higher distinctiveness habitat required (≥)</v>
      </c>
      <c r="E109" s="494">
        <f>IF(C109="V.High",SUMIF('A-1 Site Habitat Baseline'!$G$11:$G$258,'G-2 Habitat groups'!A109,'A-1 Site Habitat Baseline'!$S$11:$S$258)+SUMIF('A-1 Site Habitat Baseline'!$G$11:$G$258,'G-2 Habitat groups'!A109,'A-1 Site Habitat Baseline'!$T$11:$T$258),SUMIF('A-1 Site Habitat Baseline'!$G$11:$G$258,'G-2 Habitat groups'!A109,'A-1 Site Habitat Baseline'!$H$11:$H$258))</f>
        <v>0</v>
      </c>
      <c r="F109" s="494">
        <f>SUMIF('A-1 Site Habitat Baseline'!$G$11:$G$258,'G-2 Habitat groups'!A109,'A-1 Site Habitat Baseline'!$Q$11:$Q$258)</f>
        <v>0</v>
      </c>
      <c r="G109" s="494">
        <f>SUMIF('A-1 Site Habitat Baseline'!$G$11:$G$258,'G-2 Habitat groups'!A109,'A-1 Site Habitat Baseline'!$S$11:$S$258)</f>
        <v>0</v>
      </c>
      <c r="H109" s="494">
        <f>SUMIF('A-1 Site Habitat Baseline'!$G$11:$G$258,'G-2 Habitat groups'!A109,'A-1 Site Habitat Baseline'!$U$11:$U$258)</f>
        <v>0</v>
      </c>
      <c r="I109" s="494">
        <f>SUMIF('A-1 Site Habitat Baseline'!$G$11:$G$258,'G-2 Habitat groups'!A109,'A-1 Site Habitat Baseline'!$W$11:$W$258)</f>
        <v>0</v>
      </c>
      <c r="J109" s="494">
        <f>SUMIF('A-1 Site Habitat Baseline'!$G$11:$G$258,'G-2 Habitat groups'!A109,'A-1 Site Habitat Baseline'!$X$11:$X$258)</f>
        <v>0</v>
      </c>
      <c r="K109" s="494">
        <f>SUMIF('A-2 Site Habitat Creation'!$F$11:$F$256,'G-2 Habitat groups'!A109,'A-2 Site Habitat Creation'!$G$11:$G$256)</f>
        <v>0</v>
      </c>
      <c r="L109" s="494">
        <f>SUMIF('A-2 Site Habitat Creation'!$F$11:$F$256,'G-2 Habitat groups'!A109,'A-2 Site Habitat Creation'!$Y$11:$Y$256)</f>
        <v>0</v>
      </c>
      <c r="M109" s="494">
        <f>SUMIF('A-3 Site Habitat Enhancement'!$S$12:$S$257,'G-2 Habitat groups'!A109,'A-3 Site Habitat Enhancement'!$V$12:$V$257)</f>
        <v>0</v>
      </c>
      <c r="N109" s="494">
        <f>SUMIF('A-3 Site Habitat Enhancement'!$S$12:$S$257,'G-2 Habitat groups'!A109,'A-3 Site Habitat Enhancement'!$AN$12:$AN$257)</f>
        <v>0</v>
      </c>
      <c r="O109" s="494">
        <f t="shared" si="103"/>
        <v>0</v>
      </c>
      <c r="P109" s="494">
        <f t="shared" si="104"/>
        <v>0</v>
      </c>
      <c r="Q109" s="494">
        <f t="shared" si="105"/>
        <v>0</v>
      </c>
      <c r="R109" s="494">
        <f t="shared" si="106"/>
        <v>0</v>
      </c>
      <c r="S109" s="494">
        <f>IF(C109="V.High",SUMIF('D-1 Off Site Habitat Baseline'!$G$11:$G$258,'G-2 Habitat groups'!A109,'D-1 Off Site Habitat Baseline'!$S$11:$S$258)+SUMIF('D-1 Off Site Habitat Baseline'!$G$11:$G$258,'G-2 Habitat groups'!A109,'D-1 Off Site Habitat Baseline'!$T$11:$T$258),SUMIF('D-1 Off Site Habitat Baseline'!$G$11:$G$258,'G-2 Habitat groups'!A109,'D-1 Off Site Habitat Baseline'!$H$11:$H$258))</f>
        <v>0</v>
      </c>
      <c r="T109" s="494">
        <f>SUMIF('D-1 Off Site Habitat Baseline'!$G$11:$G$258,'G-2 Habitat groups'!A109,'D-1 Off Site Habitat Baseline'!$Q$11:$Q$258)</f>
        <v>0</v>
      </c>
      <c r="U109" s="591">
        <f>SUMIF('D-1 Off Site Habitat Baseline'!$G$11:$G$258,'G-2 Habitat groups'!A109,'D-1 Off Site Habitat Baseline'!$S$11:$S$258)</f>
        <v>0</v>
      </c>
      <c r="V109" s="494">
        <f>SUMIF('D-1 Off Site Habitat Baseline'!$G$11:$G$258,'G-2 Habitat groups'!A109,'D-1 Off Site Habitat Baseline'!$U$11:$U$258)</f>
        <v>0</v>
      </c>
      <c r="W109" s="494">
        <f>SUMIF('D-2 Off Site Habitat Creation'!$F$9:$F$255,'G-2 Habitat groups'!A109,'D-2 Off Site Habitat Creation'!$G$9:$G$255)</f>
        <v>0</v>
      </c>
      <c r="X109" s="494">
        <f>SUMIF('D-2 Off Site Habitat Creation'!$F$9:$F$255,'G-2 Habitat groups'!A109,'D-2 Off Site Habitat Creation'!$AA$9:$AA$255)</f>
        <v>0</v>
      </c>
      <c r="Y109" s="494">
        <f>SUMIF('D-3 Off Site Habitat Enhancment'!$S$12:$S$491,'G-2 Habitat groups'!A109,'D-3 Off Site Habitat Enhancment'!$V$12:$V$491)</f>
        <v>0</v>
      </c>
      <c r="Z109" s="494">
        <f>SUMIF('D-3 Off Site Habitat Enhancment'!$S$12:$S$491,'G-2 Habitat groups'!A109,'D-3 Off Site Habitat Enhancment'!$AP$12:$AP$491)</f>
        <v>0</v>
      </c>
      <c r="AA109" s="494">
        <f t="shared" si="107"/>
        <v>0</v>
      </c>
      <c r="AB109" s="494">
        <f t="shared" si="108"/>
        <v>0</v>
      </c>
      <c r="AC109" s="494">
        <f t="shared" si="109"/>
        <v>0</v>
      </c>
      <c r="AD109" s="494">
        <f t="shared" si="110"/>
        <v>0</v>
      </c>
      <c r="AE109" s="494">
        <f t="shared" si="111"/>
        <v>0</v>
      </c>
      <c r="AF109" s="494">
        <f t="shared" si="112"/>
        <v>0</v>
      </c>
      <c r="AU109" s="123" t="s">
        <v>173</v>
      </c>
      <c r="AV109" s="127" t="s">
        <v>160</v>
      </c>
      <c r="AW109" s="128" t="s">
        <v>851</v>
      </c>
      <c r="AX109" s="128" t="s">
        <v>856</v>
      </c>
      <c r="AY109" s="128" t="s">
        <v>853</v>
      </c>
      <c r="AZ109" s="128" t="s">
        <v>854</v>
      </c>
      <c r="BA109" s="128" t="s">
        <v>855</v>
      </c>
      <c r="BB109" s="128" t="s">
        <v>161</v>
      </c>
      <c r="BC109" s="128" t="s">
        <v>857</v>
      </c>
      <c r="BD109" s="128" t="s">
        <v>858</v>
      </c>
      <c r="BE109" s="128" t="s">
        <v>859</v>
      </c>
      <c r="BF109" s="128" t="s">
        <v>868</v>
      </c>
      <c r="BG109" s="33"/>
    </row>
    <row r="110" spans="1:59" x14ac:dyDescent="0.3">
      <c r="A110" s="104" t="str">
        <f>'G-1 All Habitats'!B111</f>
        <v>Intertidal sediment - Littoral mud</v>
      </c>
      <c r="B110" s="88" t="str">
        <f>'G-1 All Habitats'!F111</f>
        <v>Intertidal sediment</v>
      </c>
      <c r="C110" s="88" t="str">
        <f>'G-1 All Habitats'!K111</f>
        <v>High</v>
      </c>
      <c r="D110" s="88" t="str">
        <f>'G-1 All Habitats'!M111</f>
        <v>Same habitat required =</v>
      </c>
      <c r="E110" s="494">
        <f>IF(C110="V.High",SUMIF('A-1 Site Habitat Baseline'!$G$11:$G$258,'G-2 Habitat groups'!A110,'A-1 Site Habitat Baseline'!$S$11:$S$258)+SUMIF('A-1 Site Habitat Baseline'!$G$11:$G$258,'G-2 Habitat groups'!A110,'A-1 Site Habitat Baseline'!$T$11:$T$258),SUMIF('A-1 Site Habitat Baseline'!$G$11:$G$258,'G-2 Habitat groups'!A110,'A-1 Site Habitat Baseline'!$H$11:$H$258))</f>
        <v>0</v>
      </c>
      <c r="F110" s="494">
        <f>SUMIF('A-1 Site Habitat Baseline'!$G$11:$G$258,'G-2 Habitat groups'!A110,'A-1 Site Habitat Baseline'!$Q$11:$Q$258)</f>
        <v>0</v>
      </c>
      <c r="G110" s="494">
        <f>SUMIF('A-1 Site Habitat Baseline'!$G$11:$G$258,'G-2 Habitat groups'!A110,'A-1 Site Habitat Baseline'!$S$11:$S$258)</f>
        <v>0</v>
      </c>
      <c r="H110" s="494">
        <f>SUMIF('A-1 Site Habitat Baseline'!$G$11:$G$258,'G-2 Habitat groups'!A110,'A-1 Site Habitat Baseline'!$U$11:$U$258)</f>
        <v>0</v>
      </c>
      <c r="I110" s="494">
        <f>SUMIF('A-1 Site Habitat Baseline'!$G$11:$G$258,'G-2 Habitat groups'!A110,'A-1 Site Habitat Baseline'!$W$11:$W$258)</f>
        <v>0</v>
      </c>
      <c r="J110" s="494">
        <f>SUMIF('A-1 Site Habitat Baseline'!$G$11:$G$258,'G-2 Habitat groups'!A110,'A-1 Site Habitat Baseline'!$X$11:$X$258)</f>
        <v>0</v>
      </c>
      <c r="K110" s="494">
        <f>SUMIF('A-2 Site Habitat Creation'!$F$11:$F$256,'G-2 Habitat groups'!A110,'A-2 Site Habitat Creation'!$G$11:$G$256)</f>
        <v>0</v>
      </c>
      <c r="L110" s="494">
        <f>SUMIF('A-2 Site Habitat Creation'!$F$11:$F$256,'G-2 Habitat groups'!A110,'A-2 Site Habitat Creation'!$Y$11:$Y$256)</f>
        <v>0</v>
      </c>
      <c r="M110" s="494">
        <f>SUMIF('A-3 Site Habitat Enhancement'!$S$12:$S$257,'G-2 Habitat groups'!A110,'A-3 Site Habitat Enhancement'!$V$12:$V$257)</f>
        <v>0</v>
      </c>
      <c r="N110" s="494">
        <f>SUMIF('A-3 Site Habitat Enhancement'!$S$12:$S$257,'G-2 Habitat groups'!A110,'A-3 Site Habitat Enhancement'!$AN$12:$AN$257)</f>
        <v>0</v>
      </c>
      <c r="O110" s="494">
        <f t="shared" si="103"/>
        <v>0</v>
      </c>
      <c r="P110" s="494">
        <f t="shared" si="104"/>
        <v>0</v>
      </c>
      <c r="Q110" s="494">
        <f t="shared" si="105"/>
        <v>0</v>
      </c>
      <c r="R110" s="494">
        <f t="shared" si="106"/>
        <v>0</v>
      </c>
      <c r="S110" s="494">
        <f>IF(C110="V.High",SUMIF('D-1 Off Site Habitat Baseline'!$G$11:$G$258,'G-2 Habitat groups'!A110,'D-1 Off Site Habitat Baseline'!$S$11:$S$258)+SUMIF('D-1 Off Site Habitat Baseline'!$G$11:$G$258,'G-2 Habitat groups'!A110,'D-1 Off Site Habitat Baseline'!$T$11:$T$258),SUMIF('D-1 Off Site Habitat Baseline'!$G$11:$G$258,'G-2 Habitat groups'!A110,'D-1 Off Site Habitat Baseline'!$H$11:$H$258))</f>
        <v>0</v>
      </c>
      <c r="T110" s="494">
        <f>SUMIF('D-1 Off Site Habitat Baseline'!$G$11:$G$258,'G-2 Habitat groups'!A110,'D-1 Off Site Habitat Baseline'!$Q$11:$Q$258)</f>
        <v>0</v>
      </c>
      <c r="U110" s="591">
        <f>SUMIF('D-1 Off Site Habitat Baseline'!$G$11:$G$258,'G-2 Habitat groups'!A110,'D-1 Off Site Habitat Baseline'!$S$11:$S$258)</f>
        <v>0</v>
      </c>
      <c r="V110" s="494">
        <f>SUMIF('D-1 Off Site Habitat Baseline'!$G$11:$G$258,'G-2 Habitat groups'!A110,'D-1 Off Site Habitat Baseline'!$U$11:$U$258)</f>
        <v>0</v>
      </c>
      <c r="W110" s="494">
        <f>SUMIF('D-2 Off Site Habitat Creation'!$F$9:$F$255,'G-2 Habitat groups'!A110,'D-2 Off Site Habitat Creation'!$G$9:$G$255)</f>
        <v>0</v>
      </c>
      <c r="X110" s="494">
        <f>SUMIF('D-2 Off Site Habitat Creation'!$F$9:$F$255,'G-2 Habitat groups'!A110,'D-2 Off Site Habitat Creation'!$AA$9:$AA$255)</f>
        <v>0</v>
      </c>
      <c r="Y110" s="494">
        <f>SUMIF('D-3 Off Site Habitat Enhancment'!$S$12:$S$491,'G-2 Habitat groups'!A110,'D-3 Off Site Habitat Enhancment'!$V$12:$V$491)</f>
        <v>0</v>
      </c>
      <c r="Z110" s="494">
        <f>SUMIF('D-3 Off Site Habitat Enhancment'!$S$12:$S$491,'G-2 Habitat groups'!A110,'D-3 Off Site Habitat Enhancment'!$AP$12:$AP$491)</f>
        <v>0</v>
      </c>
      <c r="AA110" s="494">
        <f t="shared" si="107"/>
        <v>0</v>
      </c>
      <c r="AB110" s="494">
        <f t="shared" si="108"/>
        <v>0</v>
      </c>
      <c r="AC110" s="494">
        <f t="shared" si="109"/>
        <v>0</v>
      </c>
      <c r="AD110" s="494">
        <f t="shared" si="110"/>
        <v>0</v>
      </c>
      <c r="AE110" s="494">
        <f t="shared" si="111"/>
        <v>0</v>
      </c>
      <c r="AF110" s="494">
        <f t="shared" si="112"/>
        <v>0</v>
      </c>
      <c r="AU110" s="104" t="s">
        <v>395</v>
      </c>
      <c r="AV110" s="88" t="s">
        <v>69</v>
      </c>
      <c r="AW110" s="494">
        <f t="shared" ref="AW110:AW118" si="115">VLOOKUP($AU110,AllHabsSummaryData,5,FALSE)</f>
        <v>0</v>
      </c>
      <c r="AX110" s="494">
        <f t="shared" ref="AX110" si="116">VLOOKUP($AU110,AllHabsSummaryData,10,FALSE)</f>
        <v>0</v>
      </c>
      <c r="AY110" s="494">
        <f t="shared" ref="AY110" si="117">VLOOKUP($AU110,AllHabsSummaryData,15,FALSE)</f>
        <v>0</v>
      </c>
      <c r="AZ110" s="494">
        <f t="shared" ref="AZ110" si="118">VLOOKUP($AU110,AllHabsSummaryData,16,FALSE)</f>
        <v>0</v>
      </c>
      <c r="BA110" s="494">
        <f t="shared" ref="BA110" si="119">VLOOKUP($AU110,AllHabsSummaryData,17,FALSE)</f>
        <v>0</v>
      </c>
      <c r="BB110" s="494">
        <f t="shared" ref="BB110" si="120">VLOOKUP($AU110,AllHabsSummaryData,18,FALSE)</f>
        <v>0</v>
      </c>
      <c r="BC110" s="494">
        <f t="shared" ref="BC110" si="121">VLOOKUP($AU110,AllHabsSummaryData,27,FALSE)</f>
        <v>0</v>
      </c>
      <c r="BD110" s="494">
        <f t="shared" ref="BD110" si="122">VLOOKUP($AU110,AllHabsSummaryData,30,FALSE)</f>
        <v>0</v>
      </c>
      <c r="BE110" s="494">
        <f t="shared" ref="BE110:BE146" si="123">BB110+BD110</f>
        <v>0</v>
      </c>
      <c r="BF110" s="494" t="str">
        <f t="shared" ref="BF110:BF146" si="124">IF(BE110&lt;0,BE110,"")</f>
        <v/>
      </c>
    </row>
    <row r="111" spans="1:59" x14ac:dyDescent="0.3">
      <c r="A111" s="104" t="str">
        <f>'G-1 All Habitats'!B112</f>
        <v>Intertidal sediment - Littoral mixed sediments</v>
      </c>
      <c r="B111" s="88" t="str">
        <f>'G-1 All Habitats'!F112</f>
        <v>Intertidal sediment</v>
      </c>
      <c r="C111" s="88" t="str">
        <f>'G-1 All Habitats'!K112</f>
        <v>High</v>
      </c>
      <c r="D111" s="88" t="str">
        <f>'G-1 All Habitats'!M112</f>
        <v>Same habitat required =</v>
      </c>
      <c r="E111" s="494">
        <f>IF(C111="V.High",SUMIF('A-1 Site Habitat Baseline'!$G$11:$G$258,'G-2 Habitat groups'!A111,'A-1 Site Habitat Baseline'!$S$11:$S$258)+SUMIF('A-1 Site Habitat Baseline'!$G$11:$G$258,'G-2 Habitat groups'!A111,'A-1 Site Habitat Baseline'!$T$11:$T$258),SUMIF('A-1 Site Habitat Baseline'!$G$11:$G$258,'G-2 Habitat groups'!A111,'A-1 Site Habitat Baseline'!$H$11:$H$258))</f>
        <v>0</v>
      </c>
      <c r="F111" s="494">
        <f>SUMIF('A-1 Site Habitat Baseline'!$G$11:$G$258,'G-2 Habitat groups'!A111,'A-1 Site Habitat Baseline'!$Q$11:$Q$258)</f>
        <v>0</v>
      </c>
      <c r="G111" s="494">
        <f>SUMIF('A-1 Site Habitat Baseline'!$G$11:$G$258,'G-2 Habitat groups'!A111,'A-1 Site Habitat Baseline'!$S$11:$S$258)</f>
        <v>0</v>
      </c>
      <c r="H111" s="494">
        <f>SUMIF('A-1 Site Habitat Baseline'!$G$11:$G$258,'G-2 Habitat groups'!A111,'A-1 Site Habitat Baseline'!$U$11:$U$258)</f>
        <v>0</v>
      </c>
      <c r="I111" s="494">
        <f>SUMIF('A-1 Site Habitat Baseline'!$G$11:$G$258,'G-2 Habitat groups'!A111,'A-1 Site Habitat Baseline'!$W$11:$W$258)</f>
        <v>0</v>
      </c>
      <c r="J111" s="494">
        <f>SUMIF('A-1 Site Habitat Baseline'!$G$11:$G$258,'G-2 Habitat groups'!A111,'A-1 Site Habitat Baseline'!$X$11:$X$258)</f>
        <v>0</v>
      </c>
      <c r="K111" s="494">
        <f>SUMIF('A-2 Site Habitat Creation'!$F$11:$F$256,'G-2 Habitat groups'!A111,'A-2 Site Habitat Creation'!$G$11:$G$256)</f>
        <v>0</v>
      </c>
      <c r="L111" s="494">
        <f>SUMIF('A-2 Site Habitat Creation'!$F$11:$F$256,'G-2 Habitat groups'!A111,'A-2 Site Habitat Creation'!$Y$11:$Y$256)</f>
        <v>0</v>
      </c>
      <c r="M111" s="494">
        <f>SUMIF('A-3 Site Habitat Enhancement'!$S$12:$S$257,'G-2 Habitat groups'!A111,'A-3 Site Habitat Enhancement'!$V$12:$V$257)</f>
        <v>0</v>
      </c>
      <c r="N111" s="494">
        <f>SUMIF('A-3 Site Habitat Enhancement'!$S$12:$S$257,'G-2 Habitat groups'!A111,'A-3 Site Habitat Enhancement'!$AN$12:$AN$257)</f>
        <v>0</v>
      </c>
      <c r="O111" s="494">
        <f t="shared" si="103"/>
        <v>0</v>
      </c>
      <c r="P111" s="494">
        <f t="shared" si="104"/>
        <v>0</v>
      </c>
      <c r="Q111" s="494">
        <f t="shared" si="105"/>
        <v>0</v>
      </c>
      <c r="R111" s="494">
        <f t="shared" si="106"/>
        <v>0</v>
      </c>
      <c r="S111" s="494">
        <f>IF(C111="V.High",SUMIF('D-1 Off Site Habitat Baseline'!$G$11:$G$258,'G-2 Habitat groups'!A111,'D-1 Off Site Habitat Baseline'!$S$11:$S$258)+SUMIF('D-1 Off Site Habitat Baseline'!$G$11:$G$258,'G-2 Habitat groups'!A111,'D-1 Off Site Habitat Baseline'!$T$11:$T$258),SUMIF('D-1 Off Site Habitat Baseline'!$G$11:$G$258,'G-2 Habitat groups'!A111,'D-1 Off Site Habitat Baseline'!$H$11:$H$258))</f>
        <v>0</v>
      </c>
      <c r="T111" s="494">
        <f>SUMIF('D-1 Off Site Habitat Baseline'!$G$11:$G$258,'G-2 Habitat groups'!A111,'D-1 Off Site Habitat Baseline'!$Q$11:$Q$258)</f>
        <v>0</v>
      </c>
      <c r="U111" s="591">
        <f>SUMIF('D-1 Off Site Habitat Baseline'!$G$11:$G$258,'G-2 Habitat groups'!A111,'D-1 Off Site Habitat Baseline'!$S$11:$S$258)</f>
        <v>0</v>
      </c>
      <c r="V111" s="494">
        <f>SUMIF('D-1 Off Site Habitat Baseline'!$G$11:$G$258,'G-2 Habitat groups'!A111,'D-1 Off Site Habitat Baseline'!$U$11:$U$258)</f>
        <v>0</v>
      </c>
      <c r="W111" s="494">
        <f>SUMIF('D-2 Off Site Habitat Creation'!$F$9:$F$255,'G-2 Habitat groups'!A111,'D-2 Off Site Habitat Creation'!$G$9:$G$255)</f>
        <v>0</v>
      </c>
      <c r="X111" s="494">
        <f>SUMIF('D-2 Off Site Habitat Creation'!$F$9:$F$255,'G-2 Habitat groups'!A111,'D-2 Off Site Habitat Creation'!$AA$9:$AA$255)</f>
        <v>0</v>
      </c>
      <c r="Y111" s="494">
        <f>SUMIF('D-3 Off Site Habitat Enhancment'!$S$12:$S$491,'G-2 Habitat groups'!A111,'D-3 Off Site Habitat Enhancment'!$V$12:$V$491)</f>
        <v>0</v>
      </c>
      <c r="Z111" s="494">
        <f>SUMIF('D-3 Off Site Habitat Enhancment'!$S$12:$S$491,'G-2 Habitat groups'!A111,'D-3 Off Site Habitat Enhancment'!$AP$12:$AP$491)</f>
        <v>0</v>
      </c>
      <c r="AA111" s="494">
        <f t="shared" si="107"/>
        <v>0</v>
      </c>
      <c r="AB111" s="494">
        <f t="shared" si="108"/>
        <v>0</v>
      </c>
      <c r="AC111" s="494">
        <f t="shared" si="109"/>
        <v>0</v>
      </c>
      <c r="AD111" s="494">
        <f t="shared" si="110"/>
        <v>0</v>
      </c>
      <c r="AE111" s="494">
        <f t="shared" si="111"/>
        <v>0</v>
      </c>
      <c r="AF111" s="494">
        <f t="shared" si="112"/>
        <v>0</v>
      </c>
      <c r="AU111" s="104" t="s">
        <v>405</v>
      </c>
      <c r="AV111" s="88" t="s">
        <v>69</v>
      </c>
      <c r="AW111" s="494">
        <f t="shared" si="115"/>
        <v>0</v>
      </c>
      <c r="AX111" s="494">
        <f t="shared" ref="AX111:AX146" si="125">VLOOKUP($AU111,AllHabsSummaryData,10,FALSE)</f>
        <v>0</v>
      </c>
      <c r="AY111" s="494">
        <f t="shared" ref="AY111:AY146" si="126">VLOOKUP($AU111,AllHabsSummaryData,15,FALSE)</f>
        <v>0</v>
      </c>
      <c r="AZ111" s="494">
        <f t="shared" ref="AZ111:AZ146" si="127">VLOOKUP($AU111,AllHabsSummaryData,16,FALSE)</f>
        <v>0</v>
      </c>
      <c r="BA111" s="494">
        <f t="shared" ref="BA111:BA146" si="128">VLOOKUP($AU111,AllHabsSummaryData,17,FALSE)</f>
        <v>0</v>
      </c>
      <c r="BB111" s="494">
        <f t="shared" ref="BB111:BB146" si="129">VLOOKUP($AU111,AllHabsSummaryData,18,FALSE)</f>
        <v>0</v>
      </c>
      <c r="BC111" s="494">
        <f t="shared" ref="BC111:BC146" si="130">VLOOKUP($AU111,AllHabsSummaryData,27,FALSE)</f>
        <v>0</v>
      </c>
      <c r="BD111" s="494">
        <f t="shared" ref="BD111:BD146" si="131">VLOOKUP($AU111,AllHabsSummaryData,30,FALSE)</f>
        <v>0</v>
      </c>
      <c r="BE111" s="494">
        <f t="shared" si="123"/>
        <v>0</v>
      </c>
      <c r="BF111" s="494" t="str">
        <f t="shared" si="124"/>
        <v/>
      </c>
    </row>
    <row r="112" spans="1:59" x14ac:dyDescent="0.3">
      <c r="A112" s="104" t="str">
        <f>'G-1 All Habitats'!B108</f>
        <v>Coastal saltmarsh - Saltmarshes and saline reedbeds</v>
      </c>
      <c r="B112" s="88" t="str">
        <f>'G-1 All Habitats'!F108</f>
        <v xml:space="preserve">Coastal saltmarsh </v>
      </c>
      <c r="C112" s="88" t="str">
        <f>'G-1 All Habitats'!K108</f>
        <v>High</v>
      </c>
      <c r="D112" s="88" t="str">
        <f>'G-1 All Habitats'!M108</f>
        <v>Same habitat required =</v>
      </c>
      <c r="E112" s="494">
        <f>IF(C112="V.High",SUMIF('A-1 Site Habitat Baseline'!$G$11:$G$258,'G-2 Habitat groups'!A112,'A-1 Site Habitat Baseline'!$S$11:$S$258)+SUMIF('A-1 Site Habitat Baseline'!$G$11:$G$258,'G-2 Habitat groups'!A112,'A-1 Site Habitat Baseline'!$T$11:$T$258),SUMIF('A-1 Site Habitat Baseline'!$G$11:$G$258,'G-2 Habitat groups'!A112,'A-1 Site Habitat Baseline'!$H$11:$H$258))</f>
        <v>0</v>
      </c>
      <c r="F112" s="494">
        <f>SUMIF('A-1 Site Habitat Baseline'!$G$11:$G$258,'G-2 Habitat groups'!A112,'A-1 Site Habitat Baseline'!$Q$11:$Q$258)</f>
        <v>0</v>
      </c>
      <c r="G112" s="494">
        <f>SUMIF('A-1 Site Habitat Baseline'!$G$11:$G$258,'G-2 Habitat groups'!A112,'A-1 Site Habitat Baseline'!$S$11:$S$258)</f>
        <v>0</v>
      </c>
      <c r="H112" s="494">
        <f>SUMIF('A-1 Site Habitat Baseline'!$G$11:$G$258,'G-2 Habitat groups'!A112,'A-1 Site Habitat Baseline'!$U$11:$U$258)</f>
        <v>0</v>
      </c>
      <c r="I112" s="494">
        <f>SUMIF('A-1 Site Habitat Baseline'!$G$11:$G$258,'G-2 Habitat groups'!A112,'A-1 Site Habitat Baseline'!$W$11:$W$258)</f>
        <v>0</v>
      </c>
      <c r="J112" s="494">
        <f>SUMIF('A-1 Site Habitat Baseline'!$G$11:$G$258,'G-2 Habitat groups'!A112,'A-1 Site Habitat Baseline'!$X$11:$X$258)</f>
        <v>0</v>
      </c>
      <c r="K112" s="494">
        <f>SUMIF('A-2 Site Habitat Creation'!$F$11:$F$256,'G-2 Habitat groups'!A112,'A-2 Site Habitat Creation'!$G$11:$G$256)</f>
        <v>0</v>
      </c>
      <c r="L112" s="494">
        <f>SUMIF('A-2 Site Habitat Creation'!$F$11:$F$256,'G-2 Habitat groups'!A112,'A-2 Site Habitat Creation'!$Y$11:$Y$256)</f>
        <v>0</v>
      </c>
      <c r="M112" s="494">
        <f>SUMIF('A-3 Site Habitat Enhancement'!$S$12:$S$257,'G-2 Habitat groups'!A112,'A-3 Site Habitat Enhancement'!$V$12:$V$257)</f>
        <v>0</v>
      </c>
      <c r="N112" s="494">
        <f>SUMIF('A-3 Site Habitat Enhancement'!$S$12:$S$257,'G-2 Habitat groups'!A112,'A-3 Site Habitat Enhancement'!$AN$12:$AN$257)</f>
        <v>0</v>
      </c>
      <c r="O112" s="494">
        <f t="shared" si="103"/>
        <v>0</v>
      </c>
      <c r="P112" s="494">
        <f t="shared" si="104"/>
        <v>0</v>
      </c>
      <c r="Q112" s="494">
        <f t="shared" si="105"/>
        <v>0</v>
      </c>
      <c r="R112" s="494">
        <f t="shared" si="106"/>
        <v>0</v>
      </c>
      <c r="S112" s="494">
        <f>IF(C112="V.High",SUMIF('D-1 Off Site Habitat Baseline'!$G$11:$G$258,'G-2 Habitat groups'!A112,'D-1 Off Site Habitat Baseline'!$S$11:$S$258)+SUMIF('D-1 Off Site Habitat Baseline'!$G$11:$G$258,'G-2 Habitat groups'!A112,'D-1 Off Site Habitat Baseline'!$T$11:$T$258),SUMIF('D-1 Off Site Habitat Baseline'!$G$11:$G$258,'G-2 Habitat groups'!A112,'D-1 Off Site Habitat Baseline'!$H$11:$H$258))</f>
        <v>0</v>
      </c>
      <c r="T112" s="494">
        <f>SUMIF('D-1 Off Site Habitat Baseline'!$G$11:$G$258,'G-2 Habitat groups'!A112,'D-1 Off Site Habitat Baseline'!$Q$11:$Q$258)</f>
        <v>0</v>
      </c>
      <c r="U112" s="591">
        <f>SUMIF('D-1 Off Site Habitat Baseline'!$G$11:$G$258,'G-2 Habitat groups'!A112,'D-1 Off Site Habitat Baseline'!$S$11:$S$258)</f>
        <v>0</v>
      </c>
      <c r="V112" s="494">
        <f>SUMIF('D-1 Off Site Habitat Baseline'!$G$11:$G$258,'G-2 Habitat groups'!A112,'D-1 Off Site Habitat Baseline'!$U$11:$U$258)</f>
        <v>0</v>
      </c>
      <c r="W112" s="494">
        <f>SUMIF('D-2 Off Site Habitat Creation'!$F$9:$F$255,'G-2 Habitat groups'!A112,'D-2 Off Site Habitat Creation'!$G$9:$G$255)</f>
        <v>0</v>
      </c>
      <c r="X112" s="494">
        <f>SUMIF('D-2 Off Site Habitat Creation'!$F$9:$F$255,'G-2 Habitat groups'!A112,'D-2 Off Site Habitat Creation'!$AA$9:$AA$255)</f>
        <v>0</v>
      </c>
      <c r="Y112" s="494">
        <f>SUMIF('D-3 Off Site Habitat Enhancment'!$S$12:$S$491,'G-2 Habitat groups'!A112,'D-3 Off Site Habitat Enhancment'!$V$12:$V$491)</f>
        <v>0</v>
      </c>
      <c r="Z112" s="494">
        <f>SUMIF('D-3 Off Site Habitat Enhancment'!$S$12:$S$491,'G-2 Habitat groups'!A112,'D-3 Off Site Habitat Enhancment'!$AP$12:$AP$491)</f>
        <v>0</v>
      </c>
      <c r="AA112" s="494">
        <f t="shared" si="107"/>
        <v>0</v>
      </c>
      <c r="AB112" s="494">
        <f t="shared" si="108"/>
        <v>0</v>
      </c>
      <c r="AC112" s="494">
        <f t="shared" si="109"/>
        <v>0</v>
      </c>
      <c r="AD112" s="494">
        <f t="shared" si="110"/>
        <v>0</v>
      </c>
      <c r="AE112" s="494">
        <f t="shared" si="111"/>
        <v>0</v>
      </c>
      <c r="AF112" s="494">
        <f t="shared" si="112"/>
        <v>0</v>
      </c>
      <c r="AU112" s="104" t="s">
        <v>409</v>
      </c>
      <c r="AV112" s="88" t="s">
        <v>69</v>
      </c>
      <c r="AW112" s="494">
        <f t="shared" si="115"/>
        <v>0</v>
      </c>
      <c r="AX112" s="494">
        <f t="shared" si="125"/>
        <v>0</v>
      </c>
      <c r="AY112" s="494">
        <f t="shared" si="126"/>
        <v>0</v>
      </c>
      <c r="AZ112" s="494">
        <f t="shared" si="127"/>
        <v>0</v>
      </c>
      <c r="BA112" s="494">
        <f t="shared" si="128"/>
        <v>0</v>
      </c>
      <c r="BB112" s="494">
        <f t="shared" si="129"/>
        <v>0</v>
      </c>
      <c r="BC112" s="494">
        <f t="shared" si="130"/>
        <v>0</v>
      </c>
      <c r="BD112" s="494">
        <f t="shared" si="131"/>
        <v>0</v>
      </c>
      <c r="BE112" s="494">
        <f t="shared" si="123"/>
        <v>0</v>
      </c>
      <c r="BF112" s="494" t="str">
        <f t="shared" si="124"/>
        <v/>
      </c>
    </row>
    <row r="113" spans="1:58" x14ac:dyDescent="0.3">
      <c r="A113" s="104" t="str">
        <f>'G-1 All Habitats'!B109</f>
        <v>Coastal saltmarsh - Artificial saltmarshes and saline reedbeds</v>
      </c>
      <c r="B113" s="88" t="str">
        <f>'G-1 All Habitats'!F109</f>
        <v xml:space="preserve">Coastal saltmarsh </v>
      </c>
      <c r="C113" s="88" t="str">
        <f>'G-1 All Habitats'!K109</f>
        <v>Low</v>
      </c>
      <c r="D113" s="88" t="str">
        <f>'G-1 All Habitats'!M109</f>
        <v>Same distinctiveness or better habitat required ≥</v>
      </c>
      <c r="E113" s="494">
        <f>IF(C113="V.High",SUMIF('A-1 Site Habitat Baseline'!$G$11:$G$258,'G-2 Habitat groups'!A113,'A-1 Site Habitat Baseline'!$S$11:$S$258)+SUMIF('A-1 Site Habitat Baseline'!$G$11:$G$258,'G-2 Habitat groups'!A113,'A-1 Site Habitat Baseline'!$T$11:$T$258),SUMIF('A-1 Site Habitat Baseline'!$G$11:$G$258,'G-2 Habitat groups'!A113,'A-1 Site Habitat Baseline'!$H$11:$H$258))</f>
        <v>0</v>
      </c>
      <c r="F113" s="494">
        <f>SUMIF('A-1 Site Habitat Baseline'!$G$11:$G$258,'G-2 Habitat groups'!A113,'A-1 Site Habitat Baseline'!$Q$11:$Q$258)</f>
        <v>0</v>
      </c>
      <c r="G113" s="494">
        <f>SUMIF('A-1 Site Habitat Baseline'!$G$11:$G$258,'G-2 Habitat groups'!A113,'A-1 Site Habitat Baseline'!$S$11:$S$258)</f>
        <v>0</v>
      </c>
      <c r="H113" s="494">
        <f>SUMIF('A-1 Site Habitat Baseline'!$G$11:$G$258,'G-2 Habitat groups'!A113,'A-1 Site Habitat Baseline'!$U$11:$U$258)</f>
        <v>0</v>
      </c>
      <c r="I113" s="494">
        <f>SUMIF('A-1 Site Habitat Baseline'!$G$11:$G$258,'G-2 Habitat groups'!A113,'A-1 Site Habitat Baseline'!$W$11:$W$258)</f>
        <v>0</v>
      </c>
      <c r="J113" s="494">
        <f>SUMIF('A-1 Site Habitat Baseline'!$G$11:$G$258,'G-2 Habitat groups'!A113,'A-1 Site Habitat Baseline'!$X$11:$X$258)</f>
        <v>0</v>
      </c>
      <c r="K113" s="494">
        <f>SUMIF('A-2 Site Habitat Creation'!$F$11:$F$256,'G-2 Habitat groups'!A113,'A-2 Site Habitat Creation'!$G$11:$G$256)</f>
        <v>0</v>
      </c>
      <c r="L113" s="494">
        <f>SUMIF('A-2 Site Habitat Creation'!$F$11:$F$256,'G-2 Habitat groups'!A113,'A-2 Site Habitat Creation'!$Y$11:$Y$256)</f>
        <v>0</v>
      </c>
      <c r="M113" s="494">
        <f>SUMIF('A-3 Site Habitat Enhancement'!$S$12:$S$257,'G-2 Habitat groups'!A113,'A-3 Site Habitat Enhancement'!$V$12:$V$257)</f>
        <v>0</v>
      </c>
      <c r="N113" s="494">
        <f>SUMIF('A-3 Site Habitat Enhancement'!$S$12:$S$257,'G-2 Habitat groups'!A113,'A-3 Site Habitat Enhancement'!$AN$12:$AN$257)</f>
        <v>0</v>
      </c>
      <c r="O113" s="494">
        <f t="shared" si="103"/>
        <v>0</v>
      </c>
      <c r="P113" s="494">
        <f t="shared" si="104"/>
        <v>0</v>
      </c>
      <c r="Q113" s="494">
        <f t="shared" si="105"/>
        <v>0</v>
      </c>
      <c r="R113" s="494">
        <f t="shared" si="106"/>
        <v>0</v>
      </c>
      <c r="S113" s="494">
        <f>IF(C113="V.High",SUMIF('D-1 Off Site Habitat Baseline'!$G$11:$G$258,'G-2 Habitat groups'!A113,'D-1 Off Site Habitat Baseline'!$S$11:$S$258)+SUMIF('D-1 Off Site Habitat Baseline'!$G$11:$G$258,'G-2 Habitat groups'!A113,'D-1 Off Site Habitat Baseline'!$T$11:$T$258),SUMIF('D-1 Off Site Habitat Baseline'!$G$11:$G$258,'G-2 Habitat groups'!A113,'D-1 Off Site Habitat Baseline'!$H$11:$H$258))</f>
        <v>0</v>
      </c>
      <c r="T113" s="494">
        <f>SUMIF('D-1 Off Site Habitat Baseline'!$G$11:$G$258,'G-2 Habitat groups'!A113,'D-1 Off Site Habitat Baseline'!$Q$11:$Q$258)</f>
        <v>0</v>
      </c>
      <c r="U113" s="591">
        <f>SUMIF('D-1 Off Site Habitat Baseline'!$G$11:$G$258,'G-2 Habitat groups'!A113,'D-1 Off Site Habitat Baseline'!$S$11:$S$258)</f>
        <v>0</v>
      </c>
      <c r="V113" s="494">
        <f>SUMIF('D-1 Off Site Habitat Baseline'!$G$11:$G$258,'G-2 Habitat groups'!A113,'D-1 Off Site Habitat Baseline'!$U$11:$U$258)</f>
        <v>0</v>
      </c>
      <c r="W113" s="494">
        <f>SUMIF('D-2 Off Site Habitat Creation'!$F$9:$F$255,'G-2 Habitat groups'!A113,'D-2 Off Site Habitat Creation'!$G$9:$G$255)</f>
        <v>0</v>
      </c>
      <c r="X113" s="494">
        <f>SUMIF('D-2 Off Site Habitat Creation'!$F$9:$F$255,'G-2 Habitat groups'!A113,'D-2 Off Site Habitat Creation'!$AA$9:$AA$255)</f>
        <v>0</v>
      </c>
      <c r="Y113" s="494">
        <f>SUMIF('D-3 Off Site Habitat Enhancment'!$S$12:$S$491,'G-2 Habitat groups'!A113,'D-3 Off Site Habitat Enhancment'!$V$12:$V$491)</f>
        <v>0</v>
      </c>
      <c r="Z113" s="494">
        <f>SUMIF('D-3 Off Site Habitat Enhancment'!$S$12:$S$491,'G-2 Habitat groups'!A113,'D-3 Off Site Habitat Enhancment'!$AP$12:$AP$491)</f>
        <v>0</v>
      </c>
      <c r="AA113" s="494">
        <f t="shared" si="107"/>
        <v>0</v>
      </c>
      <c r="AB113" s="494">
        <f t="shared" si="108"/>
        <v>0</v>
      </c>
      <c r="AC113" s="494">
        <f t="shared" si="109"/>
        <v>0</v>
      </c>
      <c r="AD113" s="494">
        <f t="shared" si="110"/>
        <v>0</v>
      </c>
      <c r="AE113" s="494">
        <f t="shared" si="111"/>
        <v>0</v>
      </c>
      <c r="AF113" s="494">
        <f t="shared" si="112"/>
        <v>0</v>
      </c>
      <c r="AU113" s="104" t="s">
        <v>413</v>
      </c>
      <c r="AV113" s="88" t="s">
        <v>69</v>
      </c>
      <c r="AW113" s="494">
        <f t="shared" si="115"/>
        <v>0</v>
      </c>
      <c r="AX113" s="494">
        <f t="shared" si="125"/>
        <v>0</v>
      </c>
      <c r="AY113" s="494">
        <f t="shared" si="126"/>
        <v>0</v>
      </c>
      <c r="AZ113" s="494">
        <f t="shared" si="127"/>
        <v>0</v>
      </c>
      <c r="BA113" s="494">
        <f t="shared" si="128"/>
        <v>0</v>
      </c>
      <c r="BB113" s="494">
        <f t="shared" si="129"/>
        <v>0</v>
      </c>
      <c r="BC113" s="494">
        <f t="shared" si="130"/>
        <v>0</v>
      </c>
      <c r="BD113" s="494">
        <f t="shared" si="131"/>
        <v>0</v>
      </c>
      <c r="BE113" s="494">
        <f t="shared" si="123"/>
        <v>0</v>
      </c>
      <c r="BF113" s="494" t="str">
        <f t="shared" si="124"/>
        <v/>
      </c>
    </row>
    <row r="114" spans="1:58" x14ac:dyDescent="0.3">
      <c r="A114" s="104" t="str">
        <f>'G-1 All Habitats'!B113</f>
        <v>Intertidal sediment - Littoral seagrass</v>
      </c>
      <c r="B114" s="88" t="str">
        <f>'G-1 All Habitats'!F113</f>
        <v>Intertidal sediment</v>
      </c>
      <c r="C114" s="88" t="str">
        <f>'G-1 All Habitats'!K113</f>
        <v>High</v>
      </c>
      <c r="D114" s="88" t="str">
        <f>'G-1 All Habitats'!M113</f>
        <v>Same habitat required =</v>
      </c>
      <c r="E114" s="494">
        <f>IF(C114="V.High",SUMIF('A-1 Site Habitat Baseline'!$G$11:$G$258,'G-2 Habitat groups'!A114,'A-1 Site Habitat Baseline'!$S$11:$S$258)+SUMIF('A-1 Site Habitat Baseline'!$G$11:$G$258,'G-2 Habitat groups'!A114,'A-1 Site Habitat Baseline'!$T$11:$T$258),SUMIF('A-1 Site Habitat Baseline'!$G$11:$G$258,'G-2 Habitat groups'!A114,'A-1 Site Habitat Baseline'!$H$11:$H$258))</f>
        <v>0</v>
      </c>
      <c r="F114" s="494">
        <f>SUMIF('A-1 Site Habitat Baseline'!$G$11:$G$258,'G-2 Habitat groups'!A114,'A-1 Site Habitat Baseline'!$Q$11:$Q$258)</f>
        <v>0</v>
      </c>
      <c r="G114" s="494">
        <f>SUMIF('A-1 Site Habitat Baseline'!$G$11:$G$258,'G-2 Habitat groups'!A114,'A-1 Site Habitat Baseline'!$S$11:$S$258)</f>
        <v>0</v>
      </c>
      <c r="H114" s="494">
        <f>SUMIF('A-1 Site Habitat Baseline'!$G$11:$G$258,'G-2 Habitat groups'!A114,'A-1 Site Habitat Baseline'!$U$11:$U$258)</f>
        <v>0</v>
      </c>
      <c r="I114" s="494">
        <f>SUMIF('A-1 Site Habitat Baseline'!$G$11:$G$258,'G-2 Habitat groups'!A114,'A-1 Site Habitat Baseline'!$W$11:$W$258)</f>
        <v>0</v>
      </c>
      <c r="J114" s="494">
        <f>SUMIF('A-1 Site Habitat Baseline'!$G$11:$G$258,'G-2 Habitat groups'!A114,'A-1 Site Habitat Baseline'!$X$11:$X$258)</f>
        <v>0</v>
      </c>
      <c r="K114" s="494">
        <f>SUMIF('A-2 Site Habitat Creation'!$F$11:$F$256,'G-2 Habitat groups'!A114,'A-2 Site Habitat Creation'!$G$11:$G$256)</f>
        <v>0</v>
      </c>
      <c r="L114" s="494">
        <f>SUMIF('A-2 Site Habitat Creation'!$F$11:$F$256,'G-2 Habitat groups'!A114,'A-2 Site Habitat Creation'!$Y$11:$Y$256)</f>
        <v>0</v>
      </c>
      <c r="M114" s="494">
        <f>SUMIF('A-3 Site Habitat Enhancement'!$S$12:$S$257,'G-2 Habitat groups'!A114,'A-3 Site Habitat Enhancement'!$V$12:$V$257)</f>
        <v>0</v>
      </c>
      <c r="N114" s="494">
        <f>SUMIF('A-3 Site Habitat Enhancement'!$S$12:$S$257,'G-2 Habitat groups'!A114,'A-3 Site Habitat Enhancement'!$AN$12:$AN$257)</f>
        <v>0</v>
      </c>
      <c r="O114" s="494">
        <f t="shared" si="103"/>
        <v>0</v>
      </c>
      <c r="P114" s="494">
        <f t="shared" si="104"/>
        <v>0</v>
      </c>
      <c r="Q114" s="494">
        <f t="shared" si="105"/>
        <v>0</v>
      </c>
      <c r="R114" s="494">
        <f t="shared" si="106"/>
        <v>0</v>
      </c>
      <c r="S114" s="494">
        <f>IF(C114="V.High",SUMIF('D-1 Off Site Habitat Baseline'!$G$11:$G$258,'G-2 Habitat groups'!A114,'D-1 Off Site Habitat Baseline'!$S$11:$S$258)+SUMIF('D-1 Off Site Habitat Baseline'!$G$11:$G$258,'G-2 Habitat groups'!A114,'D-1 Off Site Habitat Baseline'!$T$11:$T$258),SUMIF('D-1 Off Site Habitat Baseline'!$G$11:$G$258,'G-2 Habitat groups'!A114,'D-1 Off Site Habitat Baseline'!$H$11:$H$258))</f>
        <v>0</v>
      </c>
      <c r="T114" s="494">
        <f>SUMIF('D-1 Off Site Habitat Baseline'!$G$11:$G$258,'G-2 Habitat groups'!A114,'D-1 Off Site Habitat Baseline'!$Q$11:$Q$258)</f>
        <v>0</v>
      </c>
      <c r="U114" s="591">
        <f>SUMIF('D-1 Off Site Habitat Baseline'!$G$11:$G$258,'G-2 Habitat groups'!A114,'D-1 Off Site Habitat Baseline'!$S$11:$S$258)</f>
        <v>0</v>
      </c>
      <c r="V114" s="494">
        <f>SUMIF('D-1 Off Site Habitat Baseline'!$G$11:$G$258,'G-2 Habitat groups'!A114,'D-1 Off Site Habitat Baseline'!$U$11:$U$258)</f>
        <v>0</v>
      </c>
      <c r="W114" s="494">
        <f>SUMIF('D-2 Off Site Habitat Creation'!$F$9:$F$255,'G-2 Habitat groups'!A114,'D-2 Off Site Habitat Creation'!$G$9:$G$255)</f>
        <v>0</v>
      </c>
      <c r="X114" s="494">
        <f>SUMIF('D-2 Off Site Habitat Creation'!$F$9:$F$255,'G-2 Habitat groups'!A114,'D-2 Off Site Habitat Creation'!$AA$9:$AA$255)</f>
        <v>0</v>
      </c>
      <c r="Y114" s="494">
        <f>SUMIF('D-3 Off Site Habitat Enhancment'!$S$12:$S$491,'G-2 Habitat groups'!A114,'D-3 Off Site Habitat Enhancment'!$V$12:$V$491)</f>
        <v>0</v>
      </c>
      <c r="Z114" s="494">
        <f>SUMIF('D-3 Off Site Habitat Enhancment'!$S$12:$S$491,'G-2 Habitat groups'!A114,'D-3 Off Site Habitat Enhancment'!$AP$12:$AP$491)</f>
        <v>0</v>
      </c>
      <c r="AA114" s="494">
        <f t="shared" si="107"/>
        <v>0</v>
      </c>
      <c r="AB114" s="494">
        <f t="shared" si="108"/>
        <v>0</v>
      </c>
      <c r="AC114" s="494">
        <f t="shared" si="109"/>
        <v>0</v>
      </c>
      <c r="AD114" s="494">
        <f t="shared" si="110"/>
        <v>0</v>
      </c>
      <c r="AE114" s="494">
        <f t="shared" si="111"/>
        <v>0</v>
      </c>
      <c r="AF114" s="494">
        <f t="shared" si="112"/>
        <v>0</v>
      </c>
      <c r="AU114" s="104" t="s">
        <v>417</v>
      </c>
      <c r="AV114" s="88" t="s">
        <v>69</v>
      </c>
      <c r="AW114" s="494">
        <f t="shared" si="115"/>
        <v>0</v>
      </c>
      <c r="AX114" s="494">
        <f t="shared" si="125"/>
        <v>0</v>
      </c>
      <c r="AY114" s="494">
        <f t="shared" si="126"/>
        <v>0</v>
      </c>
      <c r="AZ114" s="494">
        <f t="shared" si="127"/>
        <v>0</v>
      </c>
      <c r="BA114" s="494">
        <f t="shared" si="128"/>
        <v>0</v>
      </c>
      <c r="BB114" s="494">
        <f t="shared" si="129"/>
        <v>0</v>
      </c>
      <c r="BC114" s="494">
        <f t="shared" si="130"/>
        <v>0</v>
      </c>
      <c r="BD114" s="494">
        <f t="shared" si="131"/>
        <v>0</v>
      </c>
      <c r="BE114" s="494">
        <f t="shared" si="123"/>
        <v>0</v>
      </c>
      <c r="BF114" s="494" t="str">
        <f t="shared" si="124"/>
        <v/>
      </c>
    </row>
    <row r="115" spans="1:58" x14ac:dyDescent="0.3">
      <c r="A115" s="104" t="str">
        <f>'G-1 All Habitats'!B114</f>
        <v>Intertidal sediment - Littoral seagrass on peat, clay or chalk</v>
      </c>
      <c r="B115" s="88" t="str">
        <f>'G-1 All Habitats'!F114</f>
        <v>Intertidal sediment</v>
      </c>
      <c r="C115" s="88" t="str">
        <f>'G-1 All Habitats'!K114</f>
        <v>V.High</v>
      </c>
      <c r="D115" s="88" t="str">
        <f>'G-1 All Habitats'!M114</f>
        <v>Bespoke compensation likely to be required 🛠</v>
      </c>
      <c r="E115" s="494">
        <f>IF(C115="V.High",SUMIF('A-1 Site Habitat Baseline'!$G$11:$G$258,'G-2 Habitat groups'!A115,'A-1 Site Habitat Baseline'!$S$11:$S$258)+SUMIF('A-1 Site Habitat Baseline'!$G$11:$G$258,'G-2 Habitat groups'!A115,'A-1 Site Habitat Baseline'!$T$11:$T$258),SUMIF('A-1 Site Habitat Baseline'!$G$11:$G$258,'G-2 Habitat groups'!A115,'A-1 Site Habitat Baseline'!$H$11:$H$258))</f>
        <v>0</v>
      </c>
      <c r="F115" s="494">
        <f>SUMIF('A-1 Site Habitat Baseline'!$G$11:$G$258,'G-2 Habitat groups'!A115,'A-1 Site Habitat Baseline'!$Q$11:$Q$258)</f>
        <v>0</v>
      </c>
      <c r="G115" s="494">
        <f>SUMIF('A-1 Site Habitat Baseline'!$G$11:$G$258,'G-2 Habitat groups'!A115,'A-1 Site Habitat Baseline'!$S$11:$S$258)</f>
        <v>0</v>
      </c>
      <c r="H115" s="494">
        <f>SUMIF('A-1 Site Habitat Baseline'!$G$11:$G$258,'G-2 Habitat groups'!A115,'A-1 Site Habitat Baseline'!$U$11:$U$258)</f>
        <v>0</v>
      </c>
      <c r="I115" s="494">
        <f>SUMIF('A-1 Site Habitat Baseline'!$G$11:$G$258,'G-2 Habitat groups'!A115,'A-1 Site Habitat Baseline'!$W$11:$W$258)</f>
        <v>0</v>
      </c>
      <c r="J115" s="494">
        <f>SUMIF('A-1 Site Habitat Baseline'!$G$11:$G$258,'G-2 Habitat groups'!A115,'A-1 Site Habitat Baseline'!$X$11:$X$258)</f>
        <v>0</v>
      </c>
      <c r="K115" s="494">
        <f>SUMIF('A-2 Site Habitat Creation'!$F$11:$F$256,'G-2 Habitat groups'!A115,'A-2 Site Habitat Creation'!$G$11:$G$256)</f>
        <v>0</v>
      </c>
      <c r="L115" s="494">
        <f>SUMIF('A-2 Site Habitat Creation'!$F$11:$F$256,'G-2 Habitat groups'!A115,'A-2 Site Habitat Creation'!$Y$11:$Y$256)</f>
        <v>0</v>
      </c>
      <c r="M115" s="494">
        <f>SUMIF('A-3 Site Habitat Enhancement'!$S$12:$S$257,'G-2 Habitat groups'!A115,'A-3 Site Habitat Enhancement'!$V$12:$V$257)</f>
        <v>0</v>
      </c>
      <c r="N115" s="494">
        <f>SUMIF('A-3 Site Habitat Enhancement'!$S$12:$S$257,'G-2 Habitat groups'!A115,'A-3 Site Habitat Enhancement'!$AN$12:$AN$257)</f>
        <v>0</v>
      </c>
      <c r="O115" s="494">
        <f t="shared" si="103"/>
        <v>0</v>
      </c>
      <c r="P115" s="494">
        <f t="shared" si="104"/>
        <v>0</v>
      </c>
      <c r="Q115" s="494">
        <f t="shared" si="105"/>
        <v>0</v>
      </c>
      <c r="R115" s="494">
        <f t="shared" si="106"/>
        <v>0</v>
      </c>
      <c r="S115" s="494">
        <f>IF(C115="V.High",SUMIF('D-1 Off Site Habitat Baseline'!$G$11:$G$258,'G-2 Habitat groups'!A115,'D-1 Off Site Habitat Baseline'!$S$11:$S$258)+SUMIF('D-1 Off Site Habitat Baseline'!$G$11:$G$258,'G-2 Habitat groups'!A115,'D-1 Off Site Habitat Baseline'!$T$11:$T$258),SUMIF('D-1 Off Site Habitat Baseline'!$G$11:$G$258,'G-2 Habitat groups'!A115,'D-1 Off Site Habitat Baseline'!$H$11:$H$258))</f>
        <v>0</v>
      </c>
      <c r="T115" s="494">
        <f>SUMIF('D-1 Off Site Habitat Baseline'!$G$11:$G$258,'G-2 Habitat groups'!A115,'D-1 Off Site Habitat Baseline'!$Q$11:$Q$258)</f>
        <v>0</v>
      </c>
      <c r="U115" s="591">
        <f>SUMIF('D-1 Off Site Habitat Baseline'!$G$11:$G$258,'G-2 Habitat groups'!A115,'D-1 Off Site Habitat Baseline'!$S$11:$S$258)</f>
        <v>0</v>
      </c>
      <c r="V115" s="494">
        <f>SUMIF('D-1 Off Site Habitat Baseline'!$G$11:$G$258,'G-2 Habitat groups'!A115,'D-1 Off Site Habitat Baseline'!$U$11:$U$258)</f>
        <v>0</v>
      </c>
      <c r="W115" s="494">
        <f>SUMIF('D-2 Off Site Habitat Creation'!$F$9:$F$255,'G-2 Habitat groups'!A115,'D-2 Off Site Habitat Creation'!$G$9:$G$255)</f>
        <v>0</v>
      </c>
      <c r="X115" s="494">
        <f>SUMIF('D-2 Off Site Habitat Creation'!$F$9:$F$255,'G-2 Habitat groups'!A115,'D-2 Off Site Habitat Creation'!$AA$9:$AA$255)</f>
        <v>0</v>
      </c>
      <c r="Y115" s="494">
        <f>SUMIF('D-3 Off Site Habitat Enhancment'!$S$12:$S$491,'G-2 Habitat groups'!A115,'D-3 Off Site Habitat Enhancment'!$V$12:$V$491)</f>
        <v>0</v>
      </c>
      <c r="Z115" s="494">
        <f>SUMIF('D-3 Off Site Habitat Enhancment'!$S$12:$S$491,'G-2 Habitat groups'!A115,'D-3 Off Site Habitat Enhancment'!$AP$12:$AP$491)</f>
        <v>0</v>
      </c>
      <c r="AA115" s="494">
        <f t="shared" si="107"/>
        <v>0</v>
      </c>
      <c r="AB115" s="494">
        <f t="shared" si="108"/>
        <v>0</v>
      </c>
      <c r="AC115" s="494">
        <f t="shared" si="109"/>
        <v>0</v>
      </c>
      <c r="AD115" s="494">
        <f t="shared" si="110"/>
        <v>0</v>
      </c>
      <c r="AE115" s="494">
        <f t="shared" si="111"/>
        <v>0</v>
      </c>
      <c r="AF115" s="494">
        <f t="shared" si="112"/>
        <v>0</v>
      </c>
      <c r="AU115" s="104" t="s">
        <v>401</v>
      </c>
      <c r="AV115" s="88" t="s">
        <v>69</v>
      </c>
      <c r="AW115" s="494">
        <f t="shared" si="115"/>
        <v>0</v>
      </c>
      <c r="AX115" s="494">
        <f t="shared" si="125"/>
        <v>0</v>
      </c>
      <c r="AY115" s="494">
        <f t="shared" si="126"/>
        <v>0</v>
      </c>
      <c r="AZ115" s="494">
        <f t="shared" si="127"/>
        <v>0</v>
      </c>
      <c r="BA115" s="494">
        <f t="shared" si="128"/>
        <v>0</v>
      </c>
      <c r="BB115" s="494">
        <f t="shared" si="129"/>
        <v>0</v>
      </c>
      <c r="BC115" s="494">
        <f t="shared" si="130"/>
        <v>0</v>
      </c>
      <c r="BD115" s="494">
        <f t="shared" si="131"/>
        <v>0</v>
      </c>
      <c r="BE115" s="494">
        <f t="shared" si="123"/>
        <v>0</v>
      </c>
      <c r="BF115" s="494" t="str">
        <f t="shared" si="124"/>
        <v/>
      </c>
    </row>
    <row r="116" spans="1:58" x14ac:dyDescent="0.3">
      <c r="A116" s="104" t="str">
        <f>'G-1 All Habitats'!B115</f>
        <v>Intertidal sediment - Littoral biogenic reefs - Mussels</v>
      </c>
      <c r="B116" s="88" t="str">
        <f>'G-1 All Habitats'!F115</f>
        <v>Intertidal sediment</v>
      </c>
      <c r="C116" s="88" t="str">
        <f>'G-1 All Habitats'!K115</f>
        <v>High</v>
      </c>
      <c r="D116" s="88" t="str">
        <f>'G-1 All Habitats'!M115</f>
        <v>Same habitat required =</v>
      </c>
      <c r="E116" s="494">
        <f>IF(C116="V.High",SUMIF('A-1 Site Habitat Baseline'!$G$11:$G$258,'G-2 Habitat groups'!A116,'A-1 Site Habitat Baseline'!$S$11:$S$258)+SUMIF('A-1 Site Habitat Baseline'!$G$11:$G$258,'G-2 Habitat groups'!A116,'A-1 Site Habitat Baseline'!$T$11:$T$258),SUMIF('A-1 Site Habitat Baseline'!$G$11:$G$258,'G-2 Habitat groups'!A116,'A-1 Site Habitat Baseline'!$H$11:$H$258))</f>
        <v>0</v>
      </c>
      <c r="F116" s="494">
        <f>SUMIF('A-1 Site Habitat Baseline'!$G$11:$G$258,'G-2 Habitat groups'!A116,'A-1 Site Habitat Baseline'!$Q$11:$Q$258)</f>
        <v>0</v>
      </c>
      <c r="G116" s="494">
        <f>SUMIF('A-1 Site Habitat Baseline'!$G$11:$G$258,'G-2 Habitat groups'!A116,'A-1 Site Habitat Baseline'!$S$11:$S$258)</f>
        <v>0</v>
      </c>
      <c r="H116" s="494">
        <f>SUMIF('A-1 Site Habitat Baseline'!$G$11:$G$258,'G-2 Habitat groups'!A116,'A-1 Site Habitat Baseline'!$U$11:$U$258)</f>
        <v>0</v>
      </c>
      <c r="I116" s="494">
        <f>SUMIF('A-1 Site Habitat Baseline'!$G$11:$G$258,'G-2 Habitat groups'!A116,'A-1 Site Habitat Baseline'!$W$11:$W$258)</f>
        <v>0</v>
      </c>
      <c r="J116" s="494">
        <f>SUMIF('A-1 Site Habitat Baseline'!$G$11:$G$258,'G-2 Habitat groups'!A116,'A-1 Site Habitat Baseline'!$X$11:$X$258)</f>
        <v>0</v>
      </c>
      <c r="K116" s="494">
        <f>SUMIF('A-2 Site Habitat Creation'!$F$11:$F$256,'G-2 Habitat groups'!A116,'A-2 Site Habitat Creation'!$G$11:$G$256)</f>
        <v>0</v>
      </c>
      <c r="L116" s="494">
        <f>SUMIF('A-2 Site Habitat Creation'!$F$11:$F$256,'G-2 Habitat groups'!A116,'A-2 Site Habitat Creation'!$Y$11:$Y$256)</f>
        <v>0</v>
      </c>
      <c r="M116" s="494">
        <f>SUMIF('A-3 Site Habitat Enhancement'!$S$12:$S$257,'G-2 Habitat groups'!A116,'A-3 Site Habitat Enhancement'!$V$12:$V$257)</f>
        <v>0</v>
      </c>
      <c r="N116" s="494">
        <f>SUMIF('A-3 Site Habitat Enhancement'!$S$12:$S$257,'G-2 Habitat groups'!A116,'A-3 Site Habitat Enhancement'!$AN$12:$AN$257)</f>
        <v>0</v>
      </c>
      <c r="O116" s="494">
        <f t="shared" si="103"/>
        <v>0</v>
      </c>
      <c r="P116" s="494">
        <f t="shared" si="104"/>
        <v>0</v>
      </c>
      <c r="Q116" s="494">
        <f t="shared" si="105"/>
        <v>0</v>
      </c>
      <c r="R116" s="494">
        <f t="shared" si="106"/>
        <v>0</v>
      </c>
      <c r="S116" s="494">
        <f>IF(C116="V.High",SUMIF('D-1 Off Site Habitat Baseline'!$G$11:$G$258,'G-2 Habitat groups'!A116,'D-1 Off Site Habitat Baseline'!$S$11:$S$258)+SUMIF('D-1 Off Site Habitat Baseline'!$G$11:$G$258,'G-2 Habitat groups'!A116,'D-1 Off Site Habitat Baseline'!$T$11:$T$258),SUMIF('D-1 Off Site Habitat Baseline'!$G$11:$G$258,'G-2 Habitat groups'!A116,'D-1 Off Site Habitat Baseline'!$H$11:$H$258))</f>
        <v>0</v>
      </c>
      <c r="T116" s="494">
        <f>SUMIF('D-1 Off Site Habitat Baseline'!$G$11:$G$258,'G-2 Habitat groups'!A116,'D-1 Off Site Habitat Baseline'!$Q$11:$Q$258)</f>
        <v>0</v>
      </c>
      <c r="U116" s="591">
        <f>SUMIF('D-1 Off Site Habitat Baseline'!$G$11:$G$258,'G-2 Habitat groups'!A116,'D-1 Off Site Habitat Baseline'!$S$11:$S$258)</f>
        <v>0</v>
      </c>
      <c r="V116" s="494">
        <f>SUMIF('D-1 Off Site Habitat Baseline'!$G$11:$G$258,'G-2 Habitat groups'!A116,'D-1 Off Site Habitat Baseline'!$U$11:$U$258)</f>
        <v>0</v>
      </c>
      <c r="W116" s="494">
        <f>SUMIF('D-2 Off Site Habitat Creation'!$F$9:$F$255,'G-2 Habitat groups'!A116,'D-2 Off Site Habitat Creation'!$G$9:$G$255)</f>
        <v>0</v>
      </c>
      <c r="X116" s="494">
        <f>SUMIF('D-2 Off Site Habitat Creation'!$F$9:$F$255,'G-2 Habitat groups'!A116,'D-2 Off Site Habitat Creation'!$AA$9:$AA$255)</f>
        <v>0</v>
      </c>
      <c r="Y116" s="494">
        <f>SUMIF('D-3 Off Site Habitat Enhancment'!$S$12:$S$491,'G-2 Habitat groups'!A116,'D-3 Off Site Habitat Enhancment'!$V$12:$V$491)</f>
        <v>0</v>
      </c>
      <c r="Z116" s="494">
        <f>SUMIF('D-3 Off Site Habitat Enhancment'!$S$12:$S$491,'G-2 Habitat groups'!A116,'D-3 Off Site Habitat Enhancment'!$AP$12:$AP$491)</f>
        <v>0</v>
      </c>
      <c r="AA116" s="494">
        <f t="shared" si="107"/>
        <v>0</v>
      </c>
      <c r="AB116" s="494">
        <f t="shared" si="108"/>
        <v>0</v>
      </c>
      <c r="AC116" s="494">
        <f t="shared" si="109"/>
        <v>0</v>
      </c>
      <c r="AD116" s="494">
        <f t="shared" si="110"/>
        <v>0</v>
      </c>
      <c r="AE116" s="494">
        <f t="shared" si="111"/>
        <v>0</v>
      </c>
      <c r="AF116" s="494">
        <f t="shared" si="112"/>
        <v>0</v>
      </c>
      <c r="AU116" s="104" t="s">
        <v>449</v>
      </c>
      <c r="AV116" s="88" t="s">
        <v>70</v>
      </c>
      <c r="AW116" s="494">
        <f t="shared" si="115"/>
        <v>0</v>
      </c>
      <c r="AX116" s="494">
        <f t="shared" si="125"/>
        <v>0</v>
      </c>
      <c r="AY116" s="494">
        <f t="shared" si="126"/>
        <v>0</v>
      </c>
      <c r="AZ116" s="494">
        <f t="shared" si="127"/>
        <v>0</v>
      </c>
      <c r="BA116" s="494">
        <f t="shared" si="128"/>
        <v>0</v>
      </c>
      <c r="BB116" s="494">
        <f t="shared" si="129"/>
        <v>0</v>
      </c>
      <c r="BC116" s="494">
        <f t="shared" si="130"/>
        <v>0</v>
      </c>
      <c r="BD116" s="494">
        <f t="shared" si="131"/>
        <v>0</v>
      </c>
      <c r="BE116" s="494">
        <f t="shared" si="123"/>
        <v>0</v>
      </c>
      <c r="BF116" s="494" t="str">
        <f t="shared" si="124"/>
        <v/>
      </c>
    </row>
    <row r="117" spans="1:58" x14ac:dyDescent="0.3">
      <c r="A117" s="104" t="str">
        <f>'G-1 All Habitats'!B116</f>
        <v>Intertidal sediment - Littoral biogenic reefs - Sabellaria</v>
      </c>
      <c r="B117" s="88" t="str">
        <f>'G-1 All Habitats'!F116</f>
        <v>Intertidal sediment</v>
      </c>
      <c r="C117" s="88" t="str">
        <f>'G-1 All Habitats'!K116</f>
        <v>High</v>
      </c>
      <c r="D117" s="88" t="str">
        <f>'G-1 All Habitats'!M116</f>
        <v>Same habitat required =</v>
      </c>
      <c r="E117" s="494">
        <f>IF(C117="V.High",SUMIF('A-1 Site Habitat Baseline'!$G$11:$G$258,'G-2 Habitat groups'!A117,'A-1 Site Habitat Baseline'!$S$11:$S$258)+SUMIF('A-1 Site Habitat Baseline'!$G$11:$G$258,'G-2 Habitat groups'!A117,'A-1 Site Habitat Baseline'!$T$11:$T$258),SUMIF('A-1 Site Habitat Baseline'!$G$11:$G$258,'G-2 Habitat groups'!A117,'A-1 Site Habitat Baseline'!$H$11:$H$258))</f>
        <v>0</v>
      </c>
      <c r="F117" s="494">
        <f>SUMIF('A-1 Site Habitat Baseline'!$G$11:$G$258,'G-2 Habitat groups'!A117,'A-1 Site Habitat Baseline'!$Q$11:$Q$258)</f>
        <v>0</v>
      </c>
      <c r="G117" s="494">
        <f>SUMIF('A-1 Site Habitat Baseline'!$G$11:$G$258,'G-2 Habitat groups'!A117,'A-1 Site Habitat Baseline'!$S$11:$S$258)</f>
        <v>0</v>
      </c>
      <c r="H117" s="494">
        <f>SUMIF('A-1 Site Habitat Baseline'!$G$11:$G$258,'G-2 Habitat groups'!A117,'A-1 Site Habitat Baseline'!$U$11:$U$258)</f>
        <v>0</v>
      </c>
      <c r="I117" s="494">
        <f>SUMIF('A-1 Site Habitat Baseline'!$G$11:$G$258,'G-2 Habitat groups'!A117,'A-1 Site Habitat Baseline'!$W$11:$W$258)</f>
        <v>0</v>
      </c>
      <c r="J117" s="494">
        <f>SUMIF('A-1 Site Habitat Baseline'!$G$11:$G$258,'G-2 Habitat groups'!A117,'A-1 Site Habitat Baseline'!$X$11:$X$258)</f>
        <v>0</v>
      </c>
      <c r="K117" s="494">
        <f>SUMIF('A-2 Site Habitat Creation'!$F$11:$F$256,'G-2 Habitat groups'!A117,'A-2 Site Habitat Creation'!$G$11:$G$256)</f>
        <v>0</v>
      </c>
      <c r="L117" s="494">
        <f>SUMIF('A-2 Site Habitat Creation'!$F$11:$F$256,'G-2 Habitat groups'!A117,'A-2 Site Habitat Creation'!$Y$11:$Y$256)</f>
        <v>0</v>
      </c>
      <c r="M117" s="494">
        <f>SUMIF('A-3 Site Habitat Enhancement'!$S$12:$S$257,'G-2 Habitat groups'!A117,'A-3 Site Habitat Enhancement'!$V$12:$V$257)</f>
        <v>0</v>
      </c>
      <c r="N117" s="494">
        <f>SUMIF('A-3 Site Habitat Enhancement'!$S$12:$S$257,'G-2 Habitat groups'!A117,'A-3 Site Habitat Enhancement'!$AN$12:$AN$257)</f>
        <v>0</v>
      </c>
      <c r="O117" s="494">
        <f t="shared" si="103"/>
        <v>0</v>
      </c>
      <c r="P117" s="494">
        <f t="shared" si="104"/>
        <v>0</v>
      </c>
      <c r="Q117" s="494">
        <f t="shared" si="105"/>
        <v>0</v>
      </c>
      <c r="R117" s="494">
        <f t="shared" si="106"/>
        <v>0</v>
      </c>
      <c r="S117" s="494">
        <f>IF(C117="V.High",SUMIF('D-1 Off Site Habitat Baseline'!$G$11:$G$258,'G-2 Habitat groups'!A117,'D-1 Off Site Habitat Baseline'!$S$11:$S$258)+SUMIF('D-1 Off Site Habitat Baseline'!$G$11:$G$258,'G-2 Habitat groups'!A117,'D-1 Off Site Habitat Baseline'!$T$11:$T$258),SUMIF('D-1 Off Site Habitat Baseline'!$G$11:$G$258,'G-2 Habitat groups'!A117,'D-1 Off Site Habitat Baseline'!$H$11:$H$258))</f>
        <v>0</v>
      </c>
      <c r="T117" s="494">
        <f>SUMIF('D-1 Off Site Habitat Baseline'!$G$11:$G$258,'G-2 Habitat groups'!A117,'D-1 Off Site Habitat Baseline'!$Q$11:$Q$258)</f>
        <v>0</v>
      </c>
      <c r="U117" s="591">
        <f>SUMIF('D-1 Off Site Habitat Baseline'!$G$11:$G$258,'G-2 Habitat groups'!A117,'D-1 Off Site Habitat Baseline'!$S$11:$S$258)</f>
        <v>0</v>
      </c>
      <c r="V117" s="494">
        <f>SUMIF('D-1 Off Site Habitat Baseline'!$G$11:$G$258,'G-2 Habitat groups'!A117,'D-1 Off Site Habitat Baseline'!$U$11:$U$258)</f>
        <v>0</v>
      </c>
      <c r="W117" s="494">
        <f>SUMIF('D-2 Off Site Habitat Creation'!$F$9:$F$255,'G-2 Habitat groups'!A117,'D-2 Off Site Habitat Creation'!$G$9:$G$255)</f>
        <v>0</v>
      </c>
      <c r="X117" s="494">
        <f>SUMIF('D-2 Off Site Habitat Creation'!$F$9:$F$255,'G-2 Habitat groups'!A117,'D-2 Off Site Habitat Creation'!$AA$9:$AA$255)</f>
        <v>0</v>
      </c>
      <c r="Y117" s="494">
        <f>SUMIF('D-3 Off Site Habitat Enhancment'!$S$12:$S$491,'G-2 Habitat groups'!A117,'D-3 Off Site Habitat Enhancment'!$V$12:$V$491)</f>
        <v>0</v>
      </c>
      <c r="Z117" s="494">
        <f>SUMIF('D-3 Off Site Habitat Enhancment'!$S$12:$S$491,'G-2 Habitat groups'!A117,'D-3 Off Site Habitat Enhancment'!$AP$12:$AP$491)</f>
        <v>0</v>
      </c>
      <c r="AA117" s="494">
        <f t="shared" si="107"/>
        <v>0</v>
      </c>
      <c r="AB117" s="494">
        <f t="shared" si="108"/>
        <v>0</v>
      </c>
      <c r="AC117" s="494">
        <f t="shared" si="109"/>
        <v>0</v>
      </c>
      <c r="AD117" s="494">
        <f t="shared" si="110"/>
        <v>0</v>
      </c>
      <c r="AE117" s="494">
        <f t="shared" si="111"/>
        <v>0</v>
      </c>
      <c r="AF117" s="494">
        <f t="shared" si="112"/>
        <v>0</v>
      </c>
      <c r="AU117" s="104" t="s">
        <v>424</v>
      </c>
      <c r="AV117" s="88" t="s">
        <v>70</v>
      </c>
      <c r="AW117" s="494">
        <f t="shared" si="115"/>
        <v>0</v>
      </c>
      <c r="AX117" s="494">
        <f t="shared" si="125"/>
        <v>0</v>
      </c>
      <c r="AY117" s="494">
        <f t="shared" si="126"/>
        <v>0</v>
      </c>
      <c r="AZ117" s="494">
        <f t="shared" si="127"/>
        <v>0</v>
      </c>
      <c r="BA117" s="494">
        <f t="shared" si="128"/>
        <v>0</v>
      </c>
      <c r="BB117" s="494">
        <f t="shared" si="129"/>
        <v>0</v>
      </c>
      <c r="BC117" s="494">
        <f t="shared" si="130"/>
        <v>0</v>
      </c>
      <c r="BD117" s="494">
        <f t="shared" si="131"/>
        <v>0</v>
      </c>
      <c r="BE117" s="494">
        <f t="shared" si="123"/>
        <v>0</v>
      </c>
      <c r="BF117" s="494" t="str">
        <f t="shared" si="124"/>
        <v/>
      </c>
    </row>
    <row r="118" spans="1:58" x14ac:dyDescent="0.3">
      <c r="A118" s="104" t="str">
        <f>'G-1 All Habitats'!B117</f>
        <v>Intertidal sediment - Features of littoral sediment</v>
      </c>
      <c r="B118" s="88" t="str">
        <f>'G-1 All Habitats'!F117</f>
        <v>Intertidal sediment</v>
      </c>
      <c r="C118" s="88" t="str">
        <f>'G-1 All Habitats'!K117</f>
        <v>High</v>
      </c>
      <c r="D118" s="88" t="str">
        <f>'G-1 All Habitats'!M117</f>
        <v>Same habitat required =</v>
      </c>
      <c r="E118" s="494">
        <f>IF(C118="V.High",SUMIF('A-1 Site Habitat Baseline'!$G$11:$G$258,'G-2 Habitat groups'!A118,'A-1 Site Habitat Baseline'!$S$11:$S$258)+SUMIF('A-1 Site Habitat Baseline'!$G$11:$G$258,'G-2 Habitat groups'!A118,'A-1 Site Habitat Baseline'!$T$11:$T$258),SUMIF('A-1 Site Habitat Baseline'!$G$11:$G$258,'G-2 Habitat groups'!A118,'A-1 Site Habitat Baseline'!$H$11:$H$258))</f>
        <v>0</v>
      </c>
      <c r="F118" s="494">
        <f>SUMIF('A-1 Site Habitat Baseline'!$G$11:$G$258,'G-2 Habitat groups'!A118,'A-1 Site Habitat Baseline'!$Q$11:$Q$258)</f>
        <v>0</v>
      </c>
      <c r="G118" s="494">
        <f>SUMIF('A-1 Site Habitat Baseline'!$G$11:$G$258,'G-2 Habitat groups'!A118,'A-1 Site Habitat Baseline'!$S$11:$S$258)</f>
        <v>0</v>
      </c>
      <c r="H118" s="494">
        <f>SUMIF('A-1 Site Habitat Baseline'!$G$11:$G$258,'G-2 Habitat groups'!A118,'A-1 Site Habitat Baseline'!$U$11:$U$258)</f>
        <v>0</v>
      </c>
      <c r="I118" s="494">
        <f>SUMIF('A-1 Site Habitat Baseline'!$G$11:$G$258,'G-2 Habitat groups'!A118,'A-1 Site Habitat Baseline'!$W$11:$W$258)</f>
        <v>0</v>
      </c>
      <c r="J118" s="494">
        <f>SUMIF('A-1 Site Habitat Baseline'!$G$11:$G$258,'G-2 Habitat groups'!A118,'A-1 Site Habitat Baseline'!$X$11:$X$258)</f>
        <v>0</v>
      </c>
      <c r="K118" s="494">
        <f>SUMIF('A-2 Site Habitat Creation'!$F$11:$F$256,'G-2 Habitat groups'!A118,'A-2 Site Habitat Creation'!$G$11:$G$256)</f>
        <v>0</v>
      </c>
      <c r="L118" s="494">
        <f>SUMIF('A-2 Site Habitat Creation'!$F$11:$F$256,'G-2 Habitat groups'!A118,'A-2 Site Habitat Creation'!$Y$11:$Y$256)</f>
        <v>0</v>
      </c>
      <c r="M118" s="494">
        <f>SUMIF('A-3 Site Habitat Enhancement'!$S$12:$S$257,'G-2 Habitat groups'!A118,'A-3 Site Habitat Enhancement'!$V$12:$V$257)</f>
        <v>0</v>
      </c>
      <c r="N118" s="494">
        <f>SUMIF('A-3 Site Habitat Enhancement'!$S$12:$S$257,'G-2 Habitat groups'!A118,'A-3 Site Habitat Enhancement'!$AN$12:$AN$257)</f>
        <v>0</v>
      </c>
      <c r="O118" s="494">
        <f t="shared" si="103"/>
        <v>0</v>
      </c>
      <c r="P118" s="494">
        <f t="shared" si="104"/>
        <v>0</v>
      </c>
      <c r="Q118" s="494">
        <f t="shared" si="105"/>
        <v>0</v>
      </c>
      <c r="R118" s="494">
        <f t="shared" si="106"/>
        <v>0</v>
      </c>
      <c r="S118" s="494">
        <f>IF(C118="V.High",SUMIF('D-1 Off Site Habitat Baseline'!$G$11:$G$258,'G-2 Habitat groups'!A118,'D-1 Off Site Habitat Baseline'!$S$11:$S$258)+SUMIF('D-1 Off Site Habitat Baseline'!$G$11:$G$258,'G-2 Habitat groups'!A118,'D-1 Off Site Habitat Baseline'!$T$11:$T$258),SUMIF('D-1 Off Site Habitat Baseline'!$G$11:$G$258,'G-2 Habitat groups'!A118,'D-1 Off Site Habitat Baseline'!$H$11:$H$258))</f>
        <v>0</v>
      </c>
      <c r="T118" s="494">
        <f>SUMIF('D-1 Off Site Habitat Baseline'!$G$11:$G$258,'G-2 Habitat groups'!A118,'D-1 Off Site Habitat Baseline'!$Q$11:$Q$258)</f>
        <v>0</v>
      </c>
      <c r="U118" s="591">
        <f>SUMIF('D-1 Off Site Habitat Baseline'!$G$11:$G$258,'G-2 Habitat groups'!A118,'D-1 Off Site Habitat Baseline'!$S$11:$S$258)</f>
        <v>0</v>
      </c>
      <c r="V118" s="494">
        <f>SUMIF('D-1 Off Site Habitat Baseline'!$G$11:$G$258,'G-2 Habitat groups'!A118,'D-1 Off Site Habitat Baseline'!$U$11:$U$258)</f>
        <v>0</v>
      </c>
      <c r="W118" s="494">
        <f>SUMIF('D-2 Off Site Habitat Creation'!$F$9:$F$255,'G-2 Habitat groups'!A118,'D-2 Off Site Habitat Creation'!$G$9:$G$255)</f>
        <v>0</v>
      </c>
      <c r="X118" s="494">
        <f>SUMIF('D-2 Off Site Habitat Creation'!$F$9:$F$255,'G-2 Habitat groups'!A118,'D-2 Off Site Habitat Creation'!$AA$9:$AA$255)</f>
        <v>0</v>
      </c>
      <c r="Y118" s="494">
        <f>SUMIF('D-3 Off Site Habitat Enhancment'!$S$12:$S$491,'G-2 Habitat groups'!A118,'D-3 Off Site Habitat Enhancment'!$V$12:$V$491)</f>
        <v>0</v>
      </c>
      <c r="Z118" s="494">
        <f>SUMIF('D-3 Off Site Habitat Enhancment'!$S$12:$S$491,'G-2 Habitat groups'!A118,'D-3 Off Site Habitat Enhancment'!$AP$12:$AP$491)</f>
        <v>0</v>
      </c>
      <c r="AA118" s="494">
        <f t="shared" si="107"/>
        <v>0</v>
      </c>
      <c r="AB118" s="494">
        <f t="shared" si="108"/>
        <v>0</v>
      </c>
      <c r="AC118" s="494">
        <f t="shared" si="109"/>
        <v>0</v>
      </c>
      <c r="AD118" s="494">
        <f t="shared" si="110"/>
        <v>0</v>
      </c>
      <c r="AE118" s="494">
        <f t="shared" si="111"/>
        <v>0</v>
      </c>
      <c r="AF118" s="494">
        <f t="shared" si="112"/>
        <v>0</v>
      </c>
      <c r="AU118" s="104" t="s">
        <v>503</v>
      </c>
      <c r="AV118" s="88" t="s">
        <v>71</v>
      </c>
      <c r="AW118" s="494">
        <f t="shared" si="115"/>
        <v>0</v>
      </c>
      <c r="AX118" s="494">
        <f t="shared" si="125"/>
        <v>0</v>
      </c>
      <c r="AY118" s="494">
        <f t="shared" si="126"/>
        <v>0</v>
      </c>
      <c r="AZ118" s="494">
        <f t="shared" si="127"/>
        <v>0</v>
      </c>
      <c r="BA118" s="494">
        <f t="shared" si="128"/>
        <v>0</v>
      </c>
      <c r="BB118" s="494">
        <f t="shared" si="129"/>
        <v>0</v>
      </c>
      <c r="BC118" s="494">
        <f t="shared" si="130"/>
        <v>0</v>
      </c>
      <c r="BD118" s="494">
        <f t="shared" si="131"/>
        <v>0</v>
      </c>
      <c r="BE118" s="494">
        <f t="shared" si="123"/>
        <v>0</v>
      </c>
      <c r="BF118" s="494" t="str">
        <f t="shared" si="124"/>
        <v/>
      </c>
    </row>
    <row r="119" spans="1:58" x14ac:dyDescent="0.3">
      <c r="A119" s="104" t="str">
        <f>'G-1 All Habitats'!B118</f>
        <v>Intertidal sediment - Artificial littoral coarse sediment</v>
      </c>
      <c r="B119" s="88" t="str">
        <f>'G-1 All Habitats'!F118</f>
        <v>Intertidal sediment</v>
      </c>
      <c r="C119" s="88" t="str">
        <f>'G-1 All Habitats'!K118</f>
        <v>Low</v>
      </c>
      <c r="D119" s="88" t="str">
        <f>'G-1 All Habitats'!M118</f>
        <v>Same distinctiveness or better habitat required ≥</v>
      </c>
      <c r="E119" s="494">
        <f>IF(C119="V.High",SUMIF('A-1 Site Habitat Baseline'!$G$11:$G$258,'G-2 Habitat groups'!A119,'A-1 Site Habitat Baseline'!$S$11:$S$258)+SUMIF('A-1 Site Habitat Baseline'!$G$11:$G$258,'G-2 Habitat groups'!A119,'A-1 Site Habitat Baseline'!$T$11:$T$258),SUMIF('A-1 Site Habitat Baseline'!$G$11:$G$258,'G-2 Habitat groups'!A119,'A-1 Site Habitat Baseline'!$H$11:$H$258))</f>
        <v>0</v>
      </c>
      <c r="F119" s="494">
        <f>SUMIF('A-1 Site Habitat Baseline'!$G$11:$G$258,'G-2 Habitat groups'!A119,'A-1 Site Habitat Baseline'!$Q$11:$Q$258)</f>
        <v>0</v>
      </c>
      <c r="G119" s="494">
        <f>SUMIF('A-1 Site Habitat Baseline'!$G$11:$G$258,'G-2 Habitat groups'!A119,'A-1 Site Habitat Baseline'!$S$11:$S$258)</f>
        <v>0</v>
      </c>
      <c r="H119" s="494">
        <f>SUMIF('A-1 Site Habitat Baseline'!$G$11:$G$258,'G-2 Habitat groups'!A119,'A-1 Site Habitat Baseline'!$U$11:$U$258)</f>
        <v>0</v>
      </c>
      <c r="I119" s="494">
        <f>SUMIF('A-1 Site Habitat Baseline'!$G$11:$G$258,'G-2 Habitat groups'!A119,'A-1 Site Habitat Baseline'!$W$11:$W$258)</f>
        <v>0</v>
      </c>
      <c r="J119" s="494">
        <f>SUMIF('A-1 Site Habitat Baseline'!$G$11:$G$258,'G-2 Habitat groups'!A119,'A-1 Site Habitat Baseline'!$X$11:$X$258)</f>
        <v>0</v>
      </c>
      <c r="K119" s="494">
        <f>SUMIF('A-2 Site Habitat Creation'!$F$11:$F$256,'G-2 Habitat groups'!A119,'A-2 Site Habitat Creation'!$G$11:$G$256)</f>
        <v>0</v>
      </c>
      <c r="L119" s="494">
        <f>SUMIF('A-2 Site Habitat Creation'!$F$11:$F$256,'G-2 Habitat groups'!A119,'A-2 Site Habitat Creation'!$Y$11:$Y$256)</f>
        <v>0</v>
      </c>
      <c r="M119" s="494">
        <f>SUMIF('A-3 Site Habitat Enhancement'!$S$12:$S$257,'G-2 Habitat groups'!A119,'A-3 Site Habitat Enhancement'!$V$12:$V$257)</f>
        <v>0</v>
      </c>
      <c r="N119" s="494">
        <f>SUMIF('A-3 Site Habitat Enhancement'!$S$12:$S$257,'G-2 Habitat groups'!A119,'A-3 Site Habitat Enhancement'!$AN$12:$AN$257)</f>
        <v>0</v>
      </c>
      <c r="O119" s="494">
        <f t="shared" si="103"/>
        <v>0</v>
      </c>
      <c r="P119" s="494">
        <f t="shared" si="104"/>
        <v>0</v>
      </c>
      <c r="Q119" s="494">
        <f t="shared" si="105"/>
        <v>0</v>
      </c>
      <c r="R119" s="494">
        <f t="shared" si="106"/>
        <v>0</v>
      </c>
      <c r="S119" s="494">
        <f>IF(C119="V.High",SUMIF('D-1 Off Site Habitat Baseline'!$G$11:$G$258,'G-2 Habitat groups'!A119,'D-1 Off Site Habitat Baseline'!$S$11:$S$258)+SUMIF('D-1 Off Site Habitat Baseline'!$G$11:$G$258,'G-2 Habitat groups'!A119,'D-1 Off Site Habitat Baseline'!$T$11:$T$258),SUMIF('D-1 Off Site Habitat Baseline'!$G$11:$G$258,'G-2 Habitat groups'!A119,'D-1 Off Site Habitat Baseline'!$H$11:$H$258))</f>
        <v>0</v>
      </c>
      <c r="T119" s="494">
        <f>SUMIF('D-1 Off Site Habitat Baseline'!$G$11:$G$258,'G-2 Habitat groups'!A119,'D-1 Off Site Habitat Baseline'!$Q$11:$Q$258)</f>
        <v>0</v>
      </c>
      <c r="U119" s="591">
        <f>SUMIF('D-1 Off Site Habitat Baseline'!$G$11:$G$258,'G-2 Habitat groups'!A119,'D-1 Off Site Habitat Baseline'!$S$11:$S$258)</f>
        <v>0</v>
      </c>
      <c r="V119" s="494">
        <f>SUMIF('D-1 Off Site Habitat Baseline'!$G$11:$G$258,'G-2 Habitat groups'!A119,'D-1 Off Site Habitat Baseline'!$U$11:$U$258)</f>
        <v>0</v>
      </c>
      <c r="W119" s="494">
        <f>SUMIF('D-2 Off Site Habitat Creation'!$F$9:$F$255,'G-2 Habitat groups'!A119,'D-2 Off Site Habitat Creation'!$G$9:$G$255)</f>
        <v>0</v>
      </c>
      <c r="X119" s="494">
        <f>SUMIF('D-2 Off Site Habitat Creation'!$F$9:$F$255,'G-2 Habitat groups'!A119,'D-2 Off Site Habitat Creation'!$AA$9:$AA$255)</f>
        <v>0</v>
      </c>
      <c r="Y119" s="494">
        <f>SUMIF('D-3 Off Site Habitat Enhancment'!$S$12:$S$491,'G-2 Habitat groups'!A119,'D-3 Off Site Habitat Enhancment'!$V$12:$V$491)</f>
        <v>0</v>
      </c>
      <c r="Z119" s="494">
        <f>SUMIF('D-3 Off Site Habitat Enhancment'!$S$12:$S$491,'G-2 Habitat groups'!A119,'D-3 Off Site Habitat Enhancment'!$AP$12:$AP$491)</f>
        <v>0</v>
      </c>
      <c r="AA119" s="494">
        <f t="shared" si="107"/>
        <v>0</v>
      </c>
      <c r="AB119" s="494">
        <f t="shared" si="108"/>
        <v>0</v>
      </c>
      <c r="AC119" s="494">
        <f t="shared" si="109"/>
        <v>0</v>
      </c>
      <c r="AD119" s="494">
        <f t="shared" si="110"/>
        <v>0</v>
      </c>
      <c r="AE119" s="494">
        <f t="shared" si="111"/>
        <v>0</v>
      </c>
      <c r="AF119" s="494">
        <f t="shared" si="112"/>
        <v>0</v>
      </c>
      <c r="AU119" s="104" t="s">
        <v>523</v>
      </c>
      <c r="AV119" s="88" t="s">
        <v>72</v>
      </c>
      <c r="AW119" s="494">
        <f>VLOOKUP($AU120,AllHabsSummaryData,5,FALSE)</f>
        <v>0</v>
      </c>
      <c r="AX119" s="494">
        <f t="shared" si="125"/>
        <v>0</v>
      </c>
      <c r="AY119" s="494">
        <f t="shared" si="126"/>
        <v>0</v>
      </c>
      <c r="AZ119" s="494">
        <f t="shared" si="127"/>
        <v>0</v>
      </c>
      <c r="BA119" s="494">
        <f t="shared" si="128"/>
        <v>0</v>
      </c>
      <c r="BB119" s="494">
        <f t="shared" si="129"/>
        <v>0</v>
      </c>
      <c r="BC119" s="494">
        <f t="shared" si="130"/>
        <v>0</v>
      </c>
      <c r="BD119" s="494">
        <f t="shared" si="131"/>
        <v>0</v>
      </c>
      <c r="BE119" s="494">
        <f t="shared" si="123"/>
        <v>0</v>
      </c>
      <c r="BF119" s="494" t="str">
        <f t="shared" si="124"/>
        <v/>
      </c>
    </row>
    <row r="120" spans="1:58" x14ac:dyDescent="0.3">
      <c r="A120" s="104" t="str">
        <f>'G-1 All Habitats'!B119</f>
        <v>Intertidal sediment - Artificial littoral mud</v>
      </c>
      <c r="B120" s="88" t="str">
        <f>'G-1 All Habitats'!F119</f>
        <v>Intertidal sediment</v>
      </c>
      <c r="C120" s="88" t="str">
        <f>'G-1 All Habitats'!K119</f>
        <v>Low</v>
      </c>
      <c r="D120" s="88" t="str">
        <f>'G-1 All Habitats'!M119</f>
        <v>Same distinctiveness or better habitat required ≥</v>
      </c>
      <c r="E120" s="494">
        <f>IF(C120="V.High",SUMIF('A-1 Site Habitat Baseline'!$G$11:$G$258,'G-2 Habitat groups'!A120,'A-1 Site Habitat Baseline'!$S$11:$S$258)+SUMIF('A-1 Site Habitat Baseline'!$G$11:$G$258,'G-2 Habitat groups'!A120,'A-1 Site Habitat Baseline'!$T$11:$T$258),SUMIF('A-1 Site Habitat Baseline'!$G$11:$G$258,'G-2 Habitat groups'!A120,'A-1 Site Habitat Baseline'!$H$11:$H$258))</f>
        <v>0</v>
      </c>
      <c r="F120" s="494">
        <f>SUMIF('A-1 Site Habitat Baseline'!$G$11:$G$258,'G-2 Habitat groups'!A120,'A-1 Site Habitat Baseline'!$Q$11:$Q$258)</f>
        <v>0</v>
      </c>
      <c r="G120" s="494">
        <f>SUMIF('A-1 Site Habitat Baseline'!$G$11:$G$258,'G-2 Habitat groups'!A120,'A-1 Site Habitat Baseline'!$S$11:$S$258)</f>
        <v>0</v>
      </c>
      <c r="H120" s="494">
        <f>SUMIF('A-1 Site Habitat Baseline'!$G$11:$G$258,'G-2 Habitat groups'!A120,'A-1 Site Habitat Baseline'!$U$11:$U$258)</f>
        <v>0</v>
      </c>
      <c r="I120" s="494">
        <f>SUMIF('A-1 Site Habitat Baseline'!$G$11:$G$258,'G-2 Habitat groups'!A120,'A-1 Site Habitat Baseline'!$W$11:$W$258)</f>
        <v>0</v>
      </c>
      <c r="J120" s="494">
        <f>SUMIF('A-1 Site Habitat Baseline'!$G$11:$G$258,'G-2 Habitat groups'!A120,'A-1 Site Habitat Baseline'!$X$11:$X$258)</f>
        <v>0</v>
      </c>
      <c r="K120" s="494">
        <f>SUMIF('A-2 Site Habitat Creation'!$F$11:$F$256,'G-2 Habitat groups'!A120,'A-2 Site Habitat Creation'!$G$11:$G$256)</f>
        <v>0</v>
      </c>
      <c r="L120" s="494">
        <f>SUMIF('A-2 Site Habitat Creation'!$F$11:$F$256,'G-2 Habitat groups'!A120,'A-2 Site Habitat Creation'!$Y$11:$Y$256)</f>
        <v>0</v>
      </c>
      <c r="M120" s="494">
        <f>SUMIF('A-3 Site Habitat Enhancement'!$S$12:$S$257,'G-2 Habitat groups'!A120,'A-3 Site Habitat Enhancement'!$V$12:$V$257)</f>
        <v>0</v>
      </c>
      <c r="N120" s="494">
        <f>SUMIF('A-3 Site Habitat Enhancement'!$S$12:$S$257,'G-2 Habitat groups'!A120,'A-3 Site Habitat Enhancement'!$AN$12:$AN$257)</f>
        <v>0</v>
      </c>
      <c r="O120" s="494">
        <f t="shared" si="103"/>
        <v>0</v>
      </c>
      <c r="P120" s="494">
        <f t="shared" si="104"/>
        <v>0</v>
      </c>
      <c r="Q120" s="494">
        <f t="shared" si="105"/>
        <v>0</v>
      </c>
      <c r="R120" s="494">
        <f t="shared" si="106"/>
        <v>0</v>
      </c>
      <c r="S120" s="494">
        <f>IF(C120="V.High",SUMIF('D-1 Off Site Habitat Baseline'!$G$11:$G$258,'G-2 Habitat groups'!A120,'D-1 Off Site Habitat Baseline'!$S$11:$S$258)+SUMIF('D-1 Off Site Habitat Baseline'!$G$11:$G$258,'G-2 Habitat groups'!A120,'D-1 Off Site Habitat Baseline'!$T$11:$T$258),SUMIF('D-1 Off Site Habitat Baseline'!$G$11:$G$258,'G-2 Habitat groups'!A120,'D-1 Off Site Habitat Baseline'!$H$11:$H$258))</f>
        <v>0</v>
      </c>
      <c r="T120" s="494">
        <f>SUMIF('D-1 Off Site Habitat Baseline'!$G$11:$G$258,'G-2 Habitat groups'!A120,'D-1 Off Site Habitat Baseline'!$Q$11:$Q$258)</f>
        <v>0</v>
      </c>
      <c r="U120" s="591">
        <f>SUMIF('D-1 Off Site Habitat Baseline'!$G$11:$G$258,'G-2 Habitat groups'!A120,'D-1 Off Site Habitat Baseline'!$S$11:$S$258)</f>
        <v>0</v>
      </c>
      <c r="V120" s="494">
        <f>SUMIF('D-1 Off Site Habitat Baseline'!$G$11:$G$258,'G-2 Habitat groups'!A120,'D-1 Off Site Habitat Baseline'!$U$11:$U$258)</f>
        <v>0</v>
      </c>
      <c r="W120" s="494">
        <f>SUMIF('D-2 Off Site Habitat Creation'!$F$9:$F$255,'G-2 Habitat groups'!A120,'D-2 Off Site Habitat Creation'!$G$9:$G$255)</f>
        <v>0</v>
      </c>
      <c r="X120" s="494">
        <f>SUMIF('D-2 Off Site Habitat Creation'!$F$9:$F$255,'G-2 Habitat groups'!A120,'D-2 Off Site Habitat Creation'!$AA$9:$AA$255)</f>
        <v>0</v>
      </c>
      <c r="Y120" s="494">
        <f>SUMIF('D-3 Off Site Habitat Enhancment'!$S$12:$S$491,'G-2 Habitat groups'!A120,'D-3 Off Site Habitat Enhancment'!$V$12:$V$491)</f>
        <v>0</v>
      </c>
      <c r="Z120" s="494">
        <f>SUMIF('D-3 Off Site Habitat Enhancment'!$S$12:$S$491,'G-2 Habitat groups'!A120,'D-3 Off Site Habitat Enhancment'!$AP$12:$AP$491)</f>
        <v>0</v>
      </c>
      <c r="AA120" s="494">
        <f t="shared" si="107"/>
        <v>0</v>
      </c>
      <c r="AB120" s="494">
        <f t="shared" si="108"/>
        <v>0</v>
      </c>
      <c r="AC120" s="494">
        <f t="shared" si="109"/>
        <v>0</v>
      </c>
      <c r="AD120" s="494">
        <f t="shared" si="110"/>
        <v>0</v>
      </c>
      <c r="AE120" s="494">
        <f t="shared" si="111"/>
        <v>0</v>
      </c>
      <c r="AF120" s="494">
        <f t="shared" si="112"/>
        <v>0</v>
      </c>
      <c r="AU120" s="104" t="s">
        <v>565</v>
      </c>
      <c r="AV120" s="88" t="s">
        <v>73</v>
      </c>
      <c r="AW120" s="494">
        <f>VLOOKUP($AU121,AllHabsSummaryData,5,FALSE)</f>
        <v>0</v>
      </c>
      <c r="AX120" s="494">
        <f t="shared" si="125"/>
        <v>0</v>
      </c>
      <c r="AY120" s="494">
        <f t="shared" si="126"/>
        <v>0</v>
      </c>
      <c r="AZ120" s="494">
        <f t="shared" si="127"/>
        <v>0</v>
      </c>
      <c r="BA120" s="494">
        <f t="shared" si="128"/>
        <v>0</v>
      </c>
      <c r="BB120" s="494">
        <f t="shared" si="129"/>
        <v>0</v>
      </c>
      <c r="BC120" s="494">
        <f t="shared" si="130"/>
        <v>0</v>
      </c>
      <c r="BD120" s="494">
        <f t="shared" si="131"/>
        <v>0</v>
      </c>
      <c r="BE120" s="494">
        <f t="shared" si="123"/>
        <v>0</v>
      </c>
      <c r="BF120" s="494" t="str">
        <f t="shared" si="124"/>
        <v/>
      </c>
    </row>
    <row r="121" spans="1:58" x14ac:dyDescent="0.3">
      <c r="A121" s="104" t="str">
        <f>'G-1 All Habitats'!B120</f>
        <v>Intertidal sediment - Artificial littoral sand</v>
      </c>
      <c r="B121" s="88" t="str">
        <f>'G-1 All Habitats'!F120</f>
        <v>Intertidal sediment</v>
      </c>
      <c r="C121" s="88" t="str">
        <f>'G-1 All Habitats'!K120</f>
        <v>Low</v>
      </c>
      <c r="D121" s="88" t="str">
        <f>'G-1 All Habitats'!M120</f>
        <v>Same distinctiveness or better habitat required ≥</v>
      </c>
      <c r="E121" s="494">
        <f>IF(C121="V.High",SUMIF('A-1 Site Habitat Baseline'!$G$11:$G$258,'G-2 Habitat groups'!A121,'A-1 Site Habitat Baseline'!$S$11:$S$258)+SUMIF('A-1 Site Habitat Baseline'!$G$11:$G$258,'G-2 Habitat groups'!A121,'A-1 Site Habitat Baseline'!$T$11:$T$258),SUMIF('A-1 Site Habitat Baseline'!$G$11:$G$258,'G-2 Habitat groups'!A121,'A-1 Site Habitat Baseline'!$H$11:$H$258))</f>
        <v>0</v>
      </c>
      <c r="F121" s="494">
        <f>SUMIF('A-1 Site Habitat Baseline'!$G$11:$G$258,'G-2 Habitat groups'!A121,'A-1 Site Habitat Baseline'!$Q$11:$Q$258)</f>
        <v>0</v>
      </c>
      <c r="G121" s="494">
        <f>SUMIF('A-1 Site Habitat Baseline'!$G$11:$G$258,'G-2 Habitat groups'!A121,'A-1 Site Habitat Baseline'!$S$11:$S$258)</f>
        <v>0</v>
      </c>
      <c r="H121" s="494">
        <f>SUMIF('A-1 Site Habitat Baseline'!$G$11:$G$258,'G-2 Habitat groups'!A121,'A-1 Site Habitat Baseline'!$U$11:$U$258)</f>
        <v>0</v>
      </c>
      <c r="I121" s="494">
        <f>SUMIF('A-1 Site Habitat Baseline'!$G$11:$G$258,'G-2 Habitat groups'!A121,'A-1 Site Habitat Baseline'!$W$11:$W$258)</f>
        <v>0</v>
      </c>
      <c r="J121" s="494">
        <f>SUMIF('A-1 Site Habitat Baseline'!$G$11:$G$258,'G-2 Habitat groups'!A121,'A-1 Site Habitat Baseline'!$X$11:$X$258)</f>
        <v>0</v>
      </c>
      <c r="K121" s="494">
        <f>SUMIF('A-2 Site Habitat Creation'!$F$11:$F$256,'G-2 Habitat groups'!A121,'A-2 Site Habitat Creation'!$G$11:$G$256)</f>
        <v>0</v>
      </c>
      <c r="L121" s="494">
        <f>SUMIF('A-2 Site Habitat Creation'!$F$11:$F$256,'G-2 Habitat groups'!A121,'A-2 Site Habitat Creation'!$Y$11:$Y$256)</f>
        <v>0</v>
      </c>
      <c r="M121" s="494">
        <f>SUMIF('A-3 Site Habitat Enhancement'!$S$12:$S$257,'G-2 Habitat groups'!A121,'A-3 Site Habitat Enhancement'!$V$12:$V$257)</f>
        <v>0</v>
      </c>
      <c r="N121" s="494">
        <f>SUMIF('A-3 Site Habitat Enhancement'!$S$12:$S$257,'G-2 Habitat groups'!A121,'A-3 Site Habitat Enhancement'!$AN$12:$AN$257)</f>
        <v>0</v>
      </c>
      <c r="O121" s="494">
        <f t="shared" si="103"/>
        <v>0</v>
      </c>
      <c r="P121" s="494">
        <f t="shared" si="104"/>
        <v>0</v>
      </c>
      <c r="Q121" s="494">
        <f t="shared" si="105"/>
        <v>0</v>
      </c>
      <c r="R121" s="494">
        <f t="shared" si="106"/>
        <v>0</v>
      </c>
      <c r="S121" s="494">
        <f>IF(C121="V.High",SUMIF('D-1 Off Site Habitat Baseline'!$G$11:$G$258,'G-2 Habitat groups'!A121,'D-1 Off Site Habitat Baseline'!$S$11:$S$258)+SUMIF('D-1 Off Site Habitat Baseline'!$G$11:$G$258,'G-2 Habitat groups'!A121,'D-1 Off Site Habitat Baseline'!$T$11:$T$258),SUMIF('D-1 Off Site Habitat Baseline'!$G$11:$G$258,'G-2 Habitat groups'!A121,'D-1 Off Site Habitat Baseline'!$H$11:$H$258))</f>
        <v>0</v>
      </c>
      <c r="T121" s="494">
        <f>SUMIF('D-1 Off Site Habitat Baseline'!$G$11:$G$258,'G-2 Habitat groups'!A121,'D-1 Off Site Habitat Baseline'!$Q$11:$Q$258)</f>
        <v>0</v>
      </c>
      <c r="U121" s="591">
        <f>SUMIF('D-1 Off Site Habitat Baseline'!$G$11:$G$258,'G-2 Habitat groups'!A121,'D-1 Off Site Habitat Baseline'!$S$11:$S$258)</f>
        <v>0</v>
      </c>
      <c r="V121" s="494">
        <f>SUMIF('D-1 Off Site Habitat Baseline'!$G$11:$G$258,'G-2 Habitat groups'!A121,'D-1 Off Site Habitat Baseline'!$U$11:$U$258)</f>
        <v>0</v>
      </c>
      <c r="W121" s="494">
        <f>SUMIF('D-2 Off Site Habitat Creation'!$F$9:$F$255,'G-2 Habitat groups'!A121,'D-2 Off Site Habitat Creation'!$G$9:$G$255)</f>
        <v>0</v>
      </c>
      <c r="X121" s="494">
        <f>SUMIF('D-2 Off Site Habitat Creation'!$F$9:$F$255,'G-2 Habitat groups'!A121,'D-2 Off Site Habitat Creation'!$AA$9:$AA$255)</f>
        <v>0</v>
      </c>
      <c r="Y121" s="494">
        <f>SUMIF('D-3 Off Site Habitat Enhancment'!$S$12:$S$491,'G-2 Habitat groups'!A121,'D-3 Off Site Habitat Enhancment'!$V$12:$V$491)</f>
        <v>0</v>
      </c>
      <c r="Z121" s="494">
        <f>SUMIF('D-3 Off Site Habitat Enhancment'!$S$12:$S$491,'G-2 Habitat groups'!A121,'D-3 Off Site Habitat Enhancment'!$AP$12:$AP$491)</f>
        <v>0</v>
      </c>
      <c r="AA121" s="494">
        <f t="shared" si="107"/>
        <v>0</v>
      </c>
      <c r="AB121" s="494">
        <f t="shared" si="108"/>
        <v>0</v>
      </c>
      <c r="AC121" s="494">
        <f t="shared" si="109"/>
        <v>0</v>
      </c>
      <c r="AD121" s="494">
        <f t="shared" si="110"/>
        <v>0</v>
      </c>
      <c r="AE121" s="494">
        <f t="shared" si="111"/>
        <v>0</v>
      </c>
      <c r="AF121" s="494">
        <f t="shared" si="112"/>
        <v>0</v>
      </c>
      <c r="AU121" s="104" t="s">
        <v>590</v>
      </c>
      <c r="AV121" s="88" t="s">
        <v>74</v>
      </c>
      <c r="AW121" s="494">
        <f t="shared" ref="AW121:AW146" si="132">VLOOKUP($AU121,AllHabsSummaryData,5,FALSE)</f>
        <v>0</v>
      </c>
      <c r="AX121" s="494">
        <f t="shared" si="125"/>
        <v>0</v>
      </c>
      <c r="AY121" s="494">
        <f t="shared" si="126"/>
        <v>0</v>
      </c>
      <c r="AZ121" s="494">
        <f t="shared" si="127"/>
        <v>0</v>
      </c>
      <c r="BA121" s="494">
        <f t="shared" si="128"/>
        <v>0</v>
      </c>
      <c r="BB121" s="494">
        <f t="shared" si="129"/>
        <v>0</v>
      </c>
      <c r="BC121" s="494">
        <f t="shared" si="130"/>
        <v>0</v>
      </c>
      <c r="BD121" s="494">
        <f t="shared" si="131"/>
        <v>0</v>
      </c>
      <c r="BE121" s="494">
        <f t="shared" si="123"/>
        <v>0</v>
      </c>
      <c r="BF121" s="494" t="str">
        <f t="shared" si="124"/>
        <v/>
      </c>
    </row>
    <row r="122" spans="1:58" x14ac:dyDescent="0.3">
      <c r="A122" s="104" t="str">
        <f>'G-1 All Habitats'!B121</f>
        <v>Intertidal sediment - Artificial littoral muddy sand</v>
      </c>
      <c r="B122" s="88" t="str">
        <f>'G-1 All Habitats'!F121</f>
        <v>Intertidal sediment</v>
      </c>
      <c r="C122" s="88" t="str">
        <f>'G-1 All Habitats'!K121</f>
        <v>Low</v>
      </c>
      <c r="D122" s="88" t="str">
        <f>'G-1 All Habitats'!M121</f>
        <v>Same distinctiveness or better habitat required ≥</v>
      </c>
      <c r="E122" s="494">
        <f>IF(C122="V.High",SUMIF('A-1 Site Habitat Baseline'!$G$11:$G$258,'G-2 Habitat groups'!A122,'A-1 Site Habitat Baseline'!$S$11:$S$258)+SUMIF('A-1 Site Habitat Baseline'!$G$11:$G$258,'G-2 Habitat groups'!A122,'A-1 Site Habitat Baseline'!$T$11:$T$258),SUMIF('A-1 Site Habitat Baseline'!$G$11:$G$258,'G-2 Habitat groups'!A122,'A-1 Site Habitat Baseline'!$H$11:$H$258))</f>
        <v>0</v>
      </c>
      <c r="F122" s="494">
        <f>SUMIF('A-1 Site Habitat Baseline'!$G$11:$G$258,'G-2 Habitat groups'!A122,'A-1 Site Habitat Baseline'!$Q$11:$Q$258)</f>
        <v>0</v>
      </c>
      <c r="G122" s="494">
        <f>SUMIF('A-1 Site Habitat Baseline'!$G$11:$G$258,'G-2 Habitat groups'!A122,'A-1 Site Habitat Baseline'!$S$11:$S$258)</f>
        <v>0</v>
      </c>
      <c r="H122" s="494">
        <f>SUMIF('A-1 Site Habitat Baseline'!$G$11:$G$258,'G-2 Habitat groups'!A122,'A-1 Site Habitat Baseline'!$U$11:$U$258)</f>
        <v>0</v>
      </c>
      <c r="I122" s="494">
        <f>SUMIF('A-1 Site Habitat Baseline'!$G$11:$G$258,'G-2 Habitat groups'!A122,'A-1 Site Habitat Baseline'!$W$11:$W$258)</f>
        <v>0</v>
      </c>
      <c r="J122" s="494">
        <f>SUMIF('A-1 Site Habitat Baseline'!$G$11:$G$258,'G-2 Habitat groups'!A122,'A-1 Site Habitat Baseline'!$X$11:$X$258)</f>
        <v>0</v>
      </c>
      <c r="K122" s="494">
        <f>SUMIF('A-2 Site Habitat Creation'!$F$11:$F$256,'G-2 Habitat groups'!A122,'A-2 Site Habitat Creation'!$G$11:$G$256)</f>
        <v>0</v>
      </c>
      <c r="L122" s="494">
        <f>SUMIF('A-2 Site Habitat Creation'!$F$11:$F$256,'G-2 Habitat groups'!A122,'A-2 Site Habitat Creation'!$Y$11:$Y$256)</f>
        <v>0</v>
      </c>
      <c r="M122" s="494">
        <f>SUMIF('A-3 Site Habitat Enhancement'!$S$12:$S$257,'G-2 Habitat groups'!A122,'A-3 Site Habitat Enhancement'!$V$12:$V$257)</f>
        <v>0</v>
      </c>
      <c r="N122" s="494">
        <f>SUMIF('A-3 Site Habitat Enhancement'!$S$12:$S$257,'G-2 Habitat groups'!A122,'A-3 Site Habitat Enhancement'!$AN$12:$AN$257)</f>
        <v>0</v>
      </c>
      <c r="O122" s="494">
        <f t="shared" si="103"/>
        <v>0</v>
      </c>
      <c r="P122" s="494">
        <f t="shared" si="104"/>
        <v>0</v>
      </c>
      <c r="Q122" s="494">
        <f t="shared" si="105"/>
        <v>0</v>
      </c>
      <c r="R122" s="494">
        <f t="shared" si="106"/>
        <v>0</v>
      </c>
      <c r="S122" s="494">
        <f>IF(C122="V.High",SUMIF('D-1 Off Site Habitat Baseline'!$G$11:$G$258,'G-2 Habitat groups'!A122,'D-1 Off Site Habitat Baseline'!$S$11:$S$258)+SUMIF('D-1 Off Site Habitat Baseline'!$G$11:$G$258,'G-2 Habitat groups'!A122,'D-1 Off Site Habitat Baseline'!$T$11:$T$258),SUMIF('D-1 Off Site Habitat Baseline'!$G$11:$G$258,'G-2 Habitat groups'!A122,'D-1 Off Site Habitat Baseline'!$H$11:$H$258))</f>
        <v>0</v>
      </c>
      <c r="T122" s="494">
        <f>SUMIF('D-1 Off Site Habitat Baseline'!$G$11:$G$258,'G-2 Habitat groups'!A122,'D-1 Off Site Habitat Baseline'!$Q$11:$Q$258)</f>
        <v>0</v>
      </c>
      <c r="U122" s="591">
        <f>SUMIF('D-1 Off Site Habitat Baseline'!$G$11:$G$258,'G-2 Habitat groups'!A122,'D-1 Off Site Habitat Baseline'!$S$11:$S$258)</f>
        <v>0</v>
      </c>
      <c r="V122" s="494">
        <f>SUMIF('D-1 Off Site Habitat Baseline'!$G$11:$G$258,'G-2 Habitat groups'!A122,'D-1 Off Site Habitat Baseline'!$U$11:$U$258)</f>
        <v>0</v>
      </c>
      <c r="W122" s="494">
        <f>SUMIF('D-2 Off Site Habitat Creation'!$F$9:$F$255,'G-2 Habitat groups'!A122,'D-2 Off Site Habitat Creation'!$G$9:$G$255)</f>
        <v>0</v>
      </c>
      <c r="X122" s="494">
        <f>SUMIF('D-2 Off Site Habitat Creation'!$F$9:$F$255,'G-2 Habitat groups'!A122,'D-2 Off Site Habitat Creation'!$AA$9:$AA$255)</f>
        <v>0</v>
      </c>
      <c r="Y122" s="494">
        <f>SUMIF('D-3 Off Site Habitat Enhancment'!$S$12:$S$491,'G-2 Habitat groups'!A122,'D-3 Off Site Habitat Enhancment'!$V$12:$V$491)</f>
        <v>0</v>
      </c>
      <c r="Z122" s="494">
        <f>SUMIF('D-3 Off Site Habitat Enhancment'!$S$12:$S$491,'G-2 Habitat groups'!A122,'D-3 Off Site Habitat Enhancment'!$AP$12:$AP$491)</f>
        <v>0</v>
      </c>
      <c r="AA122" s="494">
        <f t="shared" si="107"/>
        <v>0</v>
      </c>
      <c r="AB122" s="494">
        <f t="shared" si="108"/>
        <v>0</v>
      </c>
      <c r="AC122" s="494">
        <f t="shared" si="109"/>
        <v>0</v>
      </c>
      <c r="AD122" s="494">
        <f t="shared" si="110"/>
        <v>0</v>
      </c>
      <c r="AE122" s="494">
        <f t="shared" si="111"/>
        <v>0</v>
      </c>
      <c r="AF122" s="494">
        <f t="shared" si="112"/>
        <v>0</v>
      </c>
      <c r="AU122" s="104" t="s">
        <v>585</v>
      </c>
      <c r="AV122" s="88" t="s">
        <v>74</v>
      </c>
      <c r="AW122" s="494">
        <f t="shared" si="132"/>
        <v>0</v>
      </c>
      <c r="AX122" s="494">
        <f t="shared" si="125"/>
        <v>0</v>
      </c>
      <c r="AY122" s="494">
        <f t="shared" si="126"/>
        <v>0</v>
      </c>
      <c r="AZ122" s="494">
        <f t="shared" si="127"/>
        <v>0</v>
      </c>
      <c r="BA122" s="494">
        <f t="shared" si="128"/>
        <v>0</v>
      </c>
      <c r="BB122" s="494">
        <f t="shared" si="129"/>
        <v>0</v>
      </c>
      <c r="BC122" s="494">
        <f t="shared" si="130"/>
        <v>0</v>
      </c>
      <c r="BD122" s="494">
        <f t="shared" si="131"/>
        <v>0</v>
      </c>
      <c r="BE122" s="494">
        <f t="shared" si="123"/>
        <v>0</v>
      </c>
      <c r="BF122" s="494" t="str">
        <f t="shared" si="124"/>
        <v/>
      </c>
    </row>
    <row r="123" spans="1:58" x14ac:dyDescent="0.3">
      <c r="A123" s="104" t="str">
        <f>'G-1 All Habitats'!B122</f>
        <v>Intertidal sediment - Artificial littoral mixed sediments</v>
      </c>
      <c r="B123" s="88" t="str">
        <f>'G-1 All Habitats'!F122</f>
        <v>Intertidal sediment</v>
      </c>
      <c r="C123" s="88" t="str">
        <f>'G-1 All Habitats'!K122</f>
        <v>Low</v>
      </c>
      <c r="D123" s="88" t="str">
        <f>'G-1 All Habitats'!M122</f>
        <v>Same distinctiveness or better habitat required ≥</v>
      </c>
      <c r="E123" s="494">
        <f>IF(C123="V.High",SUMIF('A-1 Site Habitat Baseline'!$G$11:$G$258,'G-2 Habitat groups'!A123,'A-1 Site Habitat Baseline'!$S$11:$S$258)+SUMIF('A-1 Site Habitat Baseline'!$G$11:$G$258,'G-2 Habitat groups'!A123,'A-1 Site Habitat Baseline'!$T$11:$T$258),SUMIF('A-1 Site Habitat Baseline'!$G$11:$G$258,'G-2 Habitat groups'!A123,'A-1 Site Habitat Baseline'!$H$11:$H$258))</f>
        <v>0</v>
      </c>
      <c r="F123" s="494">
        <f>SUMIF('A-1 Site Habitat Baseline'!$G$11:$G$258,'G-2 Habitat groups'!A123,'A-1 Site Habitat Baseline'!$Q$11:$Q$258)</f>
        <v>0</v>
      </c>
      <c r="G123" s="494">
        <f>SUMIF('A-1 Site Habitat Baseline'!$G$11:$G$258,'G-2 Habitat groups'!A123,'A-1 Site Habitat Baseline'!$S$11:$S$258)</f>
        <v>0</v>
      </c>
      <c r="H123" s="494">
        <f>SUMIF('A-1 Site Habitat Baseline'!$G$11:$G$258,'G-2 Habitat groups'!A123,'A-1 Site Habitat Baseline'!$U$11:$U$258)</f>
        <v>0</v>
      </c>
      <c r="I123" s="494">
        <f>SUMIF('A-1 Site Habitat Baseline'!$G$11:$G$258,'G-2 Habitat groups'!A123,'A-1 Site Habitat Baseline'!$W$11:$W$258)</f>
        <v>0</v>
      </c>
      <c r="J123" s="494">
        <f>SUMIF('A-1 Site Habitat Baseline'!$G$11:$G$258,'G-2 Habitat groups'!A123,'A-1 Site Habitat Baseline'!$X$11:$X$258)</f>
        <v>0</v>
      </c>
      <c r="K123" s="494">
        <f>SUMIF('A-2 Site Habitat Creation'!$F$11:$F$256,'G-2 Habitat groups'!A123,'A-2 Site Habitat Creation'!$G$11:$G$256)</f>
        <v>0</v>
      </c>
      <c r="L123" s="494">
        <f>SUMIF('A-2 Site Habitat Creation'!$F$11:$F$256,'G-2 Habitat groups'!A123,'A-2 Site Habitat Creation'!$Y$11:$Y$256)</f>
        <v>0</v>
      </c>
      <c r="M123" s="494">
        <f>SUMIF('A-3 Site Habitat Enhancement'!$S$12:$S$257,'G-2 Habitat groups'!A123,'A-3 Site Habitat Enhancement'!$V$12:$V$257)</f>
        <v>0</v>
      </c>
      <c r="N123" s="494">
        <f>SUMIF('A-3 Site Habitat Enhancement'!$S$12:$S$257,'G-2 Habitat groups'!A123,'A-3 Site Habitat Enhancement'!$AN$12:$AN$257)</f>
        <v>0</v>
      </c>
      <c r="O123" s="494">
        <f t="shared" si="103"/>
        <v>0</v>
      </c>
      <c r="P123" s="494">
        <f t="shared" si="104"/>
        <v>0</v>
      </c>
      <c r="Q123" s="494">
        <f t="shared" si="105"/>
        <v>0</v>
      </c>
      <c r="R123" s="494">
        <f t="shared" si="106"/>
        <v>0</v>
      </c>
      <c r="S123" s="494">
        <f>IF(C123="V.High",SUMIF('D-1 Off Site Habitat Baseline'!$G$11:$G$258,'G-2 Habitat groups'!A123,'D-1 Off Site Habitat Baseline'!$S$11:$S$258)+SUMIF('D-1 Off Site Habitat Baseline'!$G$11:$G$258,'G-2 Habitat groups'!A123,'D-1 Off Site Habitat Baseline'!$T$11:$T$258),SUMIF('D-1 Off Site Habitat Baseline'!$G$11:$G$258,'G-2 Habitat groups'!A123,'D-1 Off Site Habitat Baseline'!$H$11:$H$258))</f>
        <v>0</v>
      </c>
      <c r="T123" s="494">
        <f>SUMIF('D-1 Off Site Habitat Baseline'!$G$11:$G$258,'G-2 Habitat groups'!A123,'D-1 Off Site Habitat Baseline'!$Q$11:$Q$258)</f>
        <v>0</v>
      </c>
      <c r="U123" s="591">
        <f>SUMIF('D-1 Off Site Habitat Baseline'!$G$11:$G$258,'G-2 Habitat groups'!A123,'D-1 Off Site Habitat Baseline'!$S$11:$S$258)</f>
        <v>0</v>
      </c>
      <c r="V123" s="494">
        <f>SUMIF('D-1 Off Site Habitat Baseline'!$G$11:$G$258,'G-2 Habitat groups'!A123,'D-1 Off Site Habitat Baseline'!$U$11:$U$258)</f>
        <v>0</v>
      </c>
      <c r="W123" s="494">
        <f>SUMIF('D-2 Off Site Habitat Creation'!$F$9:$F$255,'G-2 Habitat groups'!A123,'D-2 Off Site Habitat Creation'!$G$9:$G$255)</f>
        <v>0</v>
      </c>
      <c r="X123" s="494">
        <f>SUMIF('D-2 Off Site Habitat Creation'!$F$9:$F$255,'G-2 Habitat groups'!A123,'D-2 Off Site Habitat Creation'!$AA$9:$AA$255)</f>
        <v>0</v>
      </c>
      <c r="Y123" s="494">
        <f>SUMIF('D-3 Off Site Habitat Enhancment'!$S$12:$S$491,'G-2 Habitat groups'!A123,'D-3 Off Site Habitat Enhancment'!$V$12:$V$491)</f>
        <v>0</v>
      </c>
      <c r="Z123" s="494">
        <f>SUMIF('D-3 Off Site Habitat Enhancment'!$S$12:$S$491,'G-2 Habitat groups'!A123,'D-3 Off Site Habitat Enhancment'!$AP$12:$AP$491)</f>
        <v>0</v>
      </c>
      <c r="AA123" s="494">
        <f t="shared" si="107"/>
        <v>0</v>
      </c>
      <c r="AB123" s="494">
        <f t="shared" si="108"/>
        <v>0</v>
      </c>
      <c r="AC123" s="494">
        <f t="shared" si="109"/>
        <v>0</v>
      </c>
      <c r="AD123" s="494">
        <f t="shared" si="110"/>
        <v>0</v>
      </c>
      <c r="AE123" s="494">
        <f t="shared" si="111"/>
        <v>0</v>
      </c>
      <c r="AF123" s="494">
        <f t="shared" si="112"/>
        <v>0</v>
      </c>
      <c r="AU123" s="104" t="s">
        <v>606</v>
      </c>
      <c r="AV123" s="88" t="s">
        <v>74</v>
      </c>
      <c r="AW123" s="494">
        <f t="shared" si="132"/>
        <v>0</v>
      </c>
      <c r="AX123" s="494">
        <f t="shared" si="125"/>
        <v>0</v>
      </c>
      <c r="AY123" s="494">
        <f t="shared" si="126"/>
        <v>0</v>
      </c>
      <c r="AZ123" s="494">
        <f t="shared" si="127"/>
        <v>0</v>
      </c>
      <c r="BA123" s="494">
        <f t="shared" si="128"/>
        <v>0</v>
      </c>
      <c r="BB123" s="494">
        <f t="shared" si="129"/>
        <v>0</v>
      </c>
      <c r="BC123" s="494">
        <f t="shared" si="130"/>
        <v>0</v>
      </c>
      <c r="BD123" s="494">
        <f t="shared" si="131"/>
        <v>0</v>
      </c>
      <c r="BE123" s="494">
        <f t="shared" si="123"/>
        <v>0</v>
      </c>
      <c r="BF123" s="494" t="str">
        <f t="shared" si="124"/>
        <v/>
      </c>
    </row>
    <row r="124" spans="1:58" x14ac:dyDescent="0.3">
      <c r="A124" s="104" t="str">
        <f>'G-1 All Habitats'!B123</f>
        <v>Intertidal sediment - Artificial littoral seagrass</v>
      </c>
      <c r="B124" s="88" t="str">
        <f>'G-1 All Habitats'!F123</f>
        <v>Intertidal sediment</v>
      </c>
      <c r="C124" s="88" t="str">
        <f>'G-1 All Habitats'!K123</f>
        <v>Low</v>
      </c>
      <c r="D124" s="88" t="str">
        <f>'G-1 All Habitats'!M123</f>
        <v>Same distinctiveness or better habitat required ≥</v>
      </c>
      <c r="E124" s="494">
        <f>IF(C124="V.High",SUMIF('A-1 Site Habitat Baseline'!$G$11:$G$258,'G-2 Habitat groups'!A124,'A-1 Site Habitat Baseline'!$S$11:$S$258)+SUMIF('A-1 Site Habitat Baseline'!$G$11:$G$258,'G-2 Habitat groups'!A124,'A-1 Site Habitat Baseline'!$T$11:$T$258),SUMIF('A-1 Site Habitat Baseline'!$G$11:$G$258,'G-2 Habitat groups'!A124,'A-1 Site Habitat Baseline'!$H$11:$H$258))</f>
        <v>0</v>
      </c>
      <c r="F124" s="494">
        <f>SUMIF('A-1 Site Habitat Baseline'!$G$11:$G$258,'G-2 Habitat groups'!A124,'A-1 Site Habitat Baseline'!$Q$11:$Q$258)</f>
        <v>0</v>
      </c>
      <c r="G124" s="494">
        <f>SUMIF('A-1 Site Habitat Baseline'!$G$11:$G$258,'G-2 Habitat groups'!A124,'A-1 Site Habitat Baseline'!$S$11:$S$258)</f>
        <v>0</v>
      </c>
      <c r="H124" s="494">
        <f>SUMIF('A-1 Site Habitat Baseline'!$G$11:$G$258,'G-2 Habitat groups'!A124,'A-1 Site Habitat Baseline'!$U$11:$U$258)</f>
        <v>0</v>
      </c>
      <c r="I124" s="494">
        <f>SUMIF('A-1 Site Habitat Baseline'!$G$11:$G$258,'G-2 Habitat groups'!A124,'A-1 Site Habitat Baseline'!$W$11:$W$258)</f>
        <v>0</v>
      </c>
      <c r="J124" s="494">
        <f>SUMIF('A-1 Site Habitat Baseline'!$G$11:$G$258,'G-2 Habitat groups'!A124,'A-1 Site Habitat Baseline'!$X$11:$X$258)</f>
        <v>0</v>
      </c>
      <c r="K124" s="494">
        <f>SUMIF('A-2 Site Habitat Creation'!$F$11:$F$256,'G-2 Habitat groups'!A124,'A-2 Site Habitat Creation'!$G$11:$G$256)</f>
        <v>0</v>
      </c>
      <c r="L124" s="494">
        <f>SUMIF('A-2 Site Habitat Creation'!$F$11:$F$256,'G-2 Habitat groups'!A124,'A-2 Site Habitat Creation'!$Y$11:$Y$256)</f>
        <v>0</v>
      </c>
      <c r="M124" s="494">
        <f>SUMIF('A-3 Site Habitat Enhancement'!$S$12:$S$257,'G-2 Habitat groups'!A124,'A-3 Site Habitat Enhancement'!$V$12:$V$257)</f>
        <v>0</v>
      </c>
      <c r="N124" s="494">
        <f>SUMIF('A-3 Site Habitat Enhancement'!$S$12:$S$257,'G-2 Habitat groups'!A124,'A-3 Site Habitat Enhancement'!$AN$12:$AN$257)</f>
        <v>0</v>
      </c>
      <c r="O124" s="494">
        <f t="shared" si="103"/>
        <v>0</v>
      </c>
      <c r="P124" s="494">
        <f t="shared" si="104"/>
        <v>0</v>
      </c>
      <c r="Q124" s="494">
        <f t="shared" si="105"/>
        <v>0</v>
      </c>
      <c r="R124" s="494">
        <f t="shared" si="106"/>
        <v>0</v>
      </c>
      <c r="S124" s="494">
        <f>IF(C124="V.High",SUMIF('D-1 Off Site Habitat Baseline'!$G$11:$G$258,'G-2 Habitat groups'!A124,'D-1 Off Site Habitat Baseline'!$S$11:$S$258)+SUMIF('D-1 Off Site Habitat Baseline'!$G$11:$G$258,'G-2 Habitat groups'!A124,'D-1 Off Site Habitat Baseline'!$T$11:$T$258),SUMIF('D-1 Off Site Habitat Baseline'!$G$11:$G$258,'G-2 Habitat groups'!A124,'D-1 Off Site Habitat Baseline'!$H$11:$H$258))</f>
        <v>0</v>
      </c>
      <c r="T124" s="494">
        <f>SUMIF('D-1 Off Site Habitat Baseline'!$G$11:$G$258,'G-2 Habitat groups'!A124,'D-1 Off Site Habitat Baseline'!$Q$11:$Q$258)</f>
        <v>0</v>
      </c>
      <c r="U124" s="591">
        <f>SUMIF('D-1 Off Site Habitat Baseline'!$G$11:$G$258,'G-2 Habitat groups'!A124,'D-1 Off Site Habitat Baseline'!$S$11:$S$258)</f>
        <v>0</v>
      </c>
      <c r="V124" s="494">
        <f>SUMIF('D-1 Off Site Habitat Baseline'!$G$11:$G$258,'G-2 Habitat groups'!A124,'D-1 Off Site Habitat Baseline'!$U$11:$U$258)</f>
        <v>0</v>
      </c>
      <c r="W124" s="494">
        <f>SUMIF('D-2 Off Site Habitat Creation'!$F$9:$F$255,'G-2 Habitat groups'!A124,'D-2 Off Site Habitat Creation'!$G$9:$G$255)</f>
        <v>0</v>
      </c>
      <c r="X124" s="494">
        <f>SUMIF('D-2 Off Site Habitat Creation'!$F$9:$F$255,'G-2 Habitat groups'!A124,'D-2 Off Site Habitat Creation'!$AA$9:$AA$255)</f>
        <v>0</v>
      </c>
      <c r="Y124" s="494">
        <f>SUMIF('D-3 Off Site Habitat Enhancment'!$S$12:$S$491,'G-2 Habitat groups'!A124,'D-3 Off Site Habitat Enhancment'!$V$12:$V$491)</f>
        <v>0</v>
      </c>
      <c r="Z124" s="494">
        <f>SUMIF('D-3 Off Site Habitat Enhancment'!$S$12:$S$491,'G-2 Habitat groups'!A124,'D-3 Off Site Habitat Enhancment'!$AP$12:$AP$491)</f>
        <v>0</v>
      </c>
      <c r="AA124" s="494">
        <f t="shared" si="107"/>
        <v>0</v>
      </c>
      <c r="AB124" s="494">
        <f t="shared" si="108"/>
        <v>0</v>
      </c>
      <c r="AC124" s="494">
        <f t="shared" si="109"/>
        <v>0</v>
      </c>
      <c r="AD124" s="494">
        <f t="shared" si="110"/>
        <v>0</v>
      </c>
      <c r="AE124" s="494">
        <f t="shared" si="111"/>
        <v>0</v>
      </c>
      <c r="AF124" s="494">
        <f t="shared" si="112"/>
        <v>0</v>
      </c>
      <c r="AU124" s="104" t="s">
        <v>609</v>
      </c>
      <c r="AV124" s="88" t="s">
        <v>74</v>
      </c>
      <c r="AW124" s="494">
        <f t="shared" si="132"/>
        <v>0</v>
      </c>
      <c r="AX124" s="494">
        <f t="shared" si="125"/>
        <v>0</v>
      </c>
      <c r="AY124" s="494">
        <f t="shared" si="126"/>
        <v>0</v>
      </c>
      <c r="AZ124" s="494">
        <f t="shared" si="127"/>
        <v>0</v>
      </c>
      <c r="BA124" s="494">
        <f t="shared" si="128"/>
        <v>0</v>
      </c>
      <c r="BB124" s="494">
        <f t="shared" si="129"/>
        <v>0</v>
      </c>
      <c r="BC124" s="494">
        <f t="shared" si="130"/>
        <v>0</v>
      </c>
      <c r="BD124" s="494">
        <f t="shared" si="131"/>
        <v>0</v>
      </c>
      <c r="BE124" s="494">
        <f t="shared" si="123"/>
        <v>0</v>
      </c>
      <c r="BF124" s="494" t="str">
        <f t="shared" si="124"/>
        <v/>
      </c>
    </row>
    <row r="125" spans="1:58" x14ac:dyDescent="0.3">
      <c r="A125" s="104" t="str">
        <f>'G-1 All Habitats'!B124</f>
        <v>Intertidal sediment - Artificial littoral biogenic reefs</v>
      </c>
      <c r="B125" s="88" t="str">
        <f>'G-1 All Habitats'!F124</f>
        <v>Intertidal sediment</v>
      </c>
      <c r="C125" s="88" t="str">
        <f>'G-1 All Habitats'!K124</f>
        <v>Low</v>
      </c>
      <c r="D125" s="88" t="str">
        <f>'G-1 All Habitats'!M124</f>
        <v>Same distinctiveness or better habitat required ≥</v>
      </c>
      <c r="E125" s="494">
        <f>IF(C125="V.High",SUMIF('A-1 Site Habitat Baseline'!$G$11:$G$258,'G-2 Habitat groups'!A125,'A-1 Site Habitat Baseline'!$S$11:$S$258)+SUMIF('A-1 Site Habitat Baseline'!$G$11:$G$258,'G-2 Habitat groups'!A125,'A-1 Site Habitat Baseline'!$T$11:$T$258),SUMIF('A-1 Site Habitat Baseline'!$G$11:$G$258,'G-2 Habitat groups'!A125,'A-1 Site Habitat Baseline'!$H$11:$H$258))</f>
        <v>0</v>
      </c>
      <c r="F125" s="494">
        <f>SUMIF('A-1 Site Habitat Baseline'!$G$11:$G$258,'G-2 Habitat groups'!A125,'A-1 Site Habitat Baseline'!$Q$11:$Q$258)</f>
        <v>0</v>
      </c>
      <c r="G125" s="494">
        <f>SUMIF('A-1 Site Habitat Baseline'!$G$11:$G$258,'G-2 Habitat groups'!A125,'A-1 Site Habitat Baseline'!$S$11:$S$258)</f>
        <v>0</v>
      </c>
      <c r="H125" s="494">
        <f>SUMIF('A-1 Site Habitat Baseline'!$G$11:$G$258,'G-2 Habitat groups'!A125,'A-1 Site Habitat Baseline'!$U$11:$U$258)</f>
        <v>0</v>
      </c>
      <c r="I125" s="494">
        <f>SUMIF('A-1 Site Habitat Baseline'!$G$11:$G$258,'G-2 Habitat groups'!A125,'A-1 Site Habitat Baseline'!$W$11:$W$258)</f>
        <v>0</v>
      </c>
      <c r="J125" s="494">
        <f>SUMIF('A-1 Site Habitat Baseline'!$G$11:$G$258,'G-2 Habitat groups'!A125,'A-1 Site Habitat Baseline'!$X$11:$X$258)</f>
        <v>0</v>
      </c>
      <c r="K125" s="494">
        <f>SUMIF('A-2 Site Habitat Creation'!$F$11:$F$256,'G-2 Habitat groups'!A125,'A-2 Site Habitat Creation'!$G$11:$G$256)</f>
        <v>0</v>
      </c>
      <c r="L125" s="494">
        <f>SUMIF('A-2 Site Habitat Creation'!$F$11:$F$256,'G-2 Habitat groups'!A125,'A-2 Site Habitat Creation'!$Y$11:$Y$256)</f>
        <v>0</v>
      </c>
      <c r="M125" s="494">
        <f>SUMIF('A-3 Site Habitat Enhancement'!$S$12:$S$257,'G-2 Habitat groups'!A125,'A-3 Site Habitat Enhancement'!$V$12:$V$257)</f>
        <v>0</v>
      </c>
      <c r="N125" s="494">
        <f>SUMIF('A-3 Site Habitat Enhancement'!$S$12:$S$257,'G-2 Habitat groups'!A125,'A-3 Site Habitat Enhancement'!$AN$12:$AN$257)</f>
        <v>0</v>
      </c>
      <c r="O125" s="494">
        <f t="shared" si="103"/>
        <v>0</v>
      </c>
      <c r="P125" s="494">
        <f t="shared" si="104"/>
        <v>0</v>
      </c>
      <c r="Q125" s="494">
        <f t="shared" si="105"/>
        <v>0</v>
      </c>
      <c r="R125" s="494">
        <f t="shared" si="106"/>
        <v>0</v>
      </c>
      <c r="S125" s="494">
        <f>IF(C125="V.High",SUMIF('D-1 Off Site Habitat Baseline'!$G$11:$G$258,'G-2 Habitat groups'!A125,'D-1 Off Site Habitat Baseline'!$S$11:$S$258)+SUMIF('D-1 Off Site Habitat Baseline'!$G$11:$G$258,'G-2 Habitat groups'!A125,'D-1 Off Site Habitat Baseline'!$T$11:$T$258),SUMIF('D-1 Off Site Habitat Baseline'!$G$11:$G$258,'G-2 Habitat groups'!A125,'D-1 Off Site Habitat Baseline'!$H$11:$H$258))</f>
        <v>0</v>
      </c>
      <c r="T125" s="494">
        <f>SUMIF('D-1 Off Site Habitat Baseline'!$G$11:$G$258,'G-2 Habitat groups'!A125,'D-1 Off Site Habitat Baseline'!$Q$11:$Q$258)</f>
        <v>0</v>
      </c>
      <c r="U125" s="591">
        <f>SUMIF('D-1 Off Site Habitat Baseline'!$G$11:$G$258,'G-2 Habitat groups'!A125,'D-1 Off Site Habitat Baseline'!$S$11:$S$258)</f>
        <v>0</v>
      </c>
      <c r="V125" s="494">
        <f>SUMIF('D-1 Off Site Habitat Baseline'!$G$11:$G$258,'G-2 Habitat groups'!A125,'D-1 Off Site Habitat Baseline'!$U$11:$U$258)</f>
        <v>0</v>
      </c>
      <c r="W125" s="494">
        <f>SUMIF('D-2 Off Site Habitat Creation'!$F$9:$F$255,'G-2 Habitat groups'!A125,'D-2 Off Site Habitat Creation'!$G$9:$G$255)</f>
        <v>0</v>
      </c>
      <c r="X125" s="494">
        <f>SUMIF('D-2 Off Site Habitat Creation'!$F$9:$F$255,'G-2 Habitat groups'!A125,'D-2 Off Site Habitat Creation'!$AA$9:$AA$255)</f>
        <v>0</v>
      </c>
      <c r="Y125" s="494">
        <f>SUMIF('D-3 Off Site Habitat Enhancment'!$S$12:$S$491,'G-2 Habitat groups'!A125,'D-3 Off Site Habitat Enhancment'!$V$12:$V$491)</f>
        <v>0</v>
      </c>
      <c r="Z125" s="494">
        <f>SUMIF('D-3 Off Site Habitat Enhancment'!$S$12:$S$491,'G-2 Habitat groups'!A125,'D-3 Off Site Habitat Enhancment'!$AP$12:$AP$491)</f>
        <v>0</v>
      </c>
      <c r="AA125" s="494">
        <f t="shared" si="107"/>
        <v>0</v>
      </c>
      <c r="AB125" s="494">
        <f t="shared" si="108"/>
        <v>0</v>
      </c>
      <c r="AC125" s="494">
        <f t="shared" si="109"/>
        <v>0</v>
      </c>
      <c r="AD125" s="494">
        <f t="shared" si="110"/>
        <v>0</v>
      </c>
      <c r="AE125" s="494">
        <f t="shared" si="111"/>
        <v>0</v>
      </c>
      <c r="AF125" s="494">
        <f t="shared" si="112"/>
        <v>0</v>
      </c>
      <c r="AU125" s="104" t="s">
        <v>611</v>
      </c>
      <c r="AV125" s="88" t="s">
        <v>74</v>
      </c>
      <c r="AW125" s="494">
        <f t="shared" si="132"/>
        <v>0</v>
      </c>
      <c r="AX125" s="494">
        <f t="shared" si="125"/>
        <v>0</v>
      </c>
      <c r="AY125" s="494">
        <f t="shared" si="126"/>
        <v>0</v>
      </c>
      <c r="AZ125" s="494">
        <f t="shared" si="127"/>
        <v>0</v>
      </c>
      <c r="BA125" s="494">
        <f t="shared" si="128"/>
        <v>0</v>
      </c>
      <c r="BB125" s="494">
        <f t="shared" si="129"/>
        <v>0</v>
      </c>
      <c r="BC125" s="494">
        <f t="shared" si="130"/>
        <v>0</v>
      </c>
      <c r="BD125" s="494">
        <f t="shared" si="131"/>
        <v>0</v>
      </c>
      <c r="BE125" s="494">
        <f t="shared" si="123"/>
        <v>0</v>
      </c>
      <c r="BF125" s="494" t="str">
        <f t="shared" si="124"/>
        <v/>
      </c>
    </row>
    <row r="126" spans="1:58" x14ac:dyDescent="0.3">
      <c r="A126" s="104" t="str">
        <f>'G-1 All Habitats'!B125</f>
        <v>Intertidal sediment - Littoral sand</v>
      </c>
      <c r="B126" s="88" t="str">
        <f>'G-1 All Habitats'!F125</f>
        <v>Intertidal sediment</v>
      </c>
      <c r="C126" s="88" t="str">
        <f>'G-1 All Habitats'!K125</f>
        <v>Medium</v>
      </c>
      <c r="D126" s="88" t="str">
        <f>'G-1 All Habitats'!M125</f>
        <v>Same broad habitat or a higher distinctiveness habitat required (≥)</v>
      </c>
      <c r="E126" s="494">
        <f>IF(C126="V.High",SUMIF('A-1 Site Habitat Baseline'!$G$11:$G$258,'G-2 Habitat groups'!A126,'A-1 Site Habitat Baseline'!$S$11:$S$258)+SUMIF('A-1 Site Habitat Baseline'!$G$11:$G$258,'G-2 Habitat groups'!A126,'A-1 Site Habitat Baseline'!$T$11:$T$258),SUMIF('A-1 Site Habitat Baseline'!$G$11:$G$258,'G-2 Habitat groups'!A126,'A-1 Site Habitat Baseline'!$H$11:$H$258))</f>
        <v>0</v>
      </c>
      <c r="F126" s="494">
        <f>SUMIF('A-1 Site Habitat Baseline'!$G$11:$G$258,'G-2 Habitat groups'!A126,'A-1 Site Habitat Baseline'!$Q$11:$Q$258)</f>
        <v>0</v>
      </c>
      <c r="G126" s="494">
        <f>SUMIF('A-1 Site Habitat Baseline'!$G$11:$G$258,'G-2 Habitat groups'!A126,'A-1 Site Habitat Baseline'!$S$11:$S$258)</f>
        <v>0</v>
      </c>
      <c r="H126" s="494">
        <f>SUMIF('A-1 Site Habitat Baseline'!$G$11:$G$258,'G-2 Habitat groups'!A126,'A-1 Site Habitat Baseline'!$U$11:$U$258)</f>
        <v>0</v>
      </c>
      <c r="I126" s="494">
        <f>SUMIF('A-1 Site Habitat Baseline'!$G$11:$G$258,'G-2 Habitat groups'!A126,'A-1 Site Habitat Baseline'!$W$11:$W$258)</f>
        <v>0</v>
      </c>
      <c r="J126" s="494">
        <f>SUMIF('A-1 Site Habitat Baseline'!$G$11:$G$258,'G-2 Habitat groups'!A126,'A-1 Site Habitat Baseline'!$X$11:$X$258)</f>
        <v>0</v>
      </c>
      <c r="K126" s="494">
        <f>SUMIF('A-2 Site Habitat Creation'!$F$11:$F$256,'G-2 Habitat groups'!A126,'A-2 Site Habitat Creation'!$G$11:$G$256)</f>
        <v>0</v>
      </c>
      <c r="L126" s="494">
        <f>SUMIF('A-2 Site Habitat Creation'!$F$11:$F$256,'G-2 Habitat groups'!A126,'A-2 Site Habitat Creation'!$Y$11:$Y$256)</f>
        <v>0</v>
      </c>
      <c r="M126" s="494">
        <f>SUMIF('A-3 Site Habitat Enhancement'!$S$12:$S$257,'G-2 Habitat groups'!A126,'A-3 Site Habitat Enhancement'!$V$12:$V$257)</f>
        <v>0</v>
      </c>
      <c r="N126" s="494">
        <f>SUMIF('A-3 Site Habitat Enhancement'!$S$12:$S$257,'G-2 Habitat groups'!A126,'A-3 Site Habitat Enhancement'!$AN$12:$AN$257)</f>
        <v>0</v>
      </c>
      <c r="O126" s="494">
        <f t="shared" si="103"/>
        <v>0</v>
      </c>
      <c r="P126" s="494">
        <f t="shared" si="104"/>
        <v>0</v>
      </c>
      <c r="Q126" s="494">
        <f t="shared" si="105"/>
        <v>0</v>
      </c>
      <c r="R126" s="494">
        <f t="shared" si="106"/>
        <v>0</v>
      </c>
      <c r="S126" s="494">
        <f>IF(C126="V.High",SUMIF('D-1 Off Site Habitat Baseline'!$G$11:$G$258,'G-2 Habitat groups'!A126,'D-1 Off Site Habitat Baseline'!$S$11:$S$258)+SUMIF('D-1 Off Site Habitat Baseline'!$G$11:$G$258,'G-2 Habitat groups'!A126,'D-1 Off Site Habitat Baseline'!$T$11:$T$258),SUMIF('D-1 Off Site Habitat Baseline'!$G$11:$G$258,'G-2 Habitat groups'!A126,'D-1 Off Site Habitat Baseline'!$H$11:$H$258))</f>
        <v>0</v>
      </c>
      <c r="T126" s="494">
        <f>SUMIF('D-1 Off Site Habitat Baseline'!$G$11:$G$258,'G-2 Habitat groups'!A126,'D-1 Off Site Habitat Baseline'!$Q$11:$Q$258)</f>
        <v>0</v>
      </c>
      <c r="U126" s="591">
        <f>SUMIF('D-1 Off Site Habitat Baseline'!$G$11:$G$258,'G-2 Habitat groups'!A126,'D-1 Off Site Habitat Baseline'!$S$11:$S$258)</f>
        <v>0</v>
      </c>
      <c r="V126" s="494">
        <f>SUMIF('D-1 Off Site Habitat Baseline'!$G$11:$G$258,'G-2 Habitat groups'!A126,'D-1 Off Site Habitat Baseline'!$U$11:$U$258)</f>
        <v>0</v>
      </c>
      <c r="W126" s="494">
        <f>SUMIF('D-2 Off Site Habitat Creation'!$F$9:$F$255,'G-2 Habitat groups'!A126,'D-2 Off Site Habitat Creation'!$G$9:$G$255)</f>
        <v>0</v>
      </c>
      <c r="X126" s="494">
        <f>SUMIF('D-2 Off Site Habitat Creation'!$F$9:$F$255,'G-2 Habitat groups'!A126,'D-2 Off Site Habitat Creation'!$AA$9:$AA$255)</f>
        <v>0</v>
      </c>
      <c r="Y126" s="494">
        <f>SUMIF('D-3 Off Site Habitat Enhancment'!$S$12:$S$491,'G-2 Habitat groups'!A126,'D-3 Off Site Habitat Enhancment'!$V$12:$V$491)</f>
        <v>0</v>
      </c>
      <c r="Z126" s="494">
        <f>SUMIF('D-3 Off Site Habitat Enhancment'!$S$12:$S$491,'G-2 Habitat groups'!A126,'D-3 Off Site Habitat Enhancment'!$AP$12:$AP$491)</f>
        <v>0</v>
      </c>
      <c r="AA126" s="494">
        <f t="shared" si="107"/>
        <v>0</v>
      </c>
      <c r="AB126" s="494">
        <f t="shared" si="108"/>
        <v>0</v>
      </c>
      <c r="AC126" s="494">
        <f t="shared" si="109"/>
        <v>0</v>
      </c>
      <c r="AD126" s="494">
        <f t="shared" si="110"/>
        <v>0</v>
      </c>
      <c r="AE126" s="494">
        <f t="shared" si="111"/>
        <v>0</v>
      </c>
      <c r="AF126" s="494">
        <f t="shared" si="112"/>
        <v>0</v>
      </c>
      <c r="AU126" s="104" t="s">
        <v>603</v>
      </c>
      <c r="AV126" s="88" t="s">
        <v>74</v>
      </c>
      <c r="AW126" s="494">
        <f t="shared" si="132"/>
        <v>0</v>
      </c>
      <c r="AX126" s="494">
        <f t="shared" si="125"/>
        <v>0</v>
      </c>
      <c r="AY126" s="494">
        <f t="shared" si="126"/>
        <v>0</v>
      </c>
      <c r="AZ126" s="494">
        <f t="shared" si="127"/>
        <v>0</v>
      </c>
      <c r="BA126" s="494">
        <f t="shared" si="128"/>
        <v>0</v>
      </c>
      <c r="BB126" s="494">
        <f t="shared" si="129"/>
        <v>0</v>
      </c>
      <c r="BC126" s="494">
        <f t="shared" si="130"/>
        <v>0</v>
      </c>
      <c r="BD126" s="494">
        <f t="shared" si="131"/>
        <v>0</v>
      </c>
      <c r="BE126" s="494">
        <f t="shared" si="123"/>
        <v>0</v>
      </c>
      <c r="BF126" s="494" t="str">
        <f t="shared" si="124"/>
        <v/>
      </c>
    </row>
    <row r="127" spans="1:58" x14ac:dyDescent="0.3">
      <c r="A127" s="104" t="str">
        <f>'G-1 All Habitats'!B126</f>
        <v>Intertidal sediment - Littoral muddy sand</v>
      </c>
      <c r="B127" s="88" t="str">
        <f>'G-1 All Habitats'!F126</f>
        <v>Intertidal sediment</v>
      </c>
      <c r="C127" s="88" t="str">
        <f>'G-1 All Habitats'!K126</f>
        <v>High</v>
      </c>
      <c r="D127" s="88" t="str">
        <f>'G-1 All Habitats'!M126</f>
        <v>Same habitat required =</v>
      </c>
      <c r="E127" s="494">
        <f>IF(C127="V.High",SUMIF('A-1 Site Habitat Baseline'!$G$11:$G$258,'G-2 Habitat groups'!A127,'A-1 Site Habitat Baseline'!$S$11:$S$258)+SUMIF('A-1 Site Habitat Baseline'!$G$11:$G$258,'G-2 Habitat groups'!A127,'A-1 Site Habitat Baseline'!$T$11:$T$258),SUMIF('A-1 Site Habitat Baseline'!$G$11:$G$258,'G-2 Habitat groups'!A127,'A-1 Site Habitat Baseline'!$H$11:$H$258))</f>
        <v>0</v>
      </c>
      <c r="F127" s="494">
        <f>SUMIF('A-1 Site Habitat Baseline'!$G$11:$G$258,'G-2 Habitat groups'!A127,'A-1 Site Habitat Baseline'!$Q$11:$Q$258)</f>
        <v>0</v>
      </c>
      <c r="G127" s="494">
        <f>SUMIF('A-1 Site Habitat Baseline'!$G$11:$G$258,'G-2 Habitat groups'!A127,'A-1 Site Habitat Baseline'!$S$11:$S$258)</f>
        <v>0</v>
      </c>
      <c r="H127" s="494">
        <f>SUMIF('A-1 Site Habitat Baseline'!$G$11:$G$258,'G-2 Habitat groups'!A127,'A-1 Site Habitat Baseline'!$U$11:$U$258)</f>
        <v>0</v>
      </c>
      <c r="I127" s="494">
        <f>SUMIF('A-1 Site Habitat Baseline'!$G$11:$G$258,'G-2 Habitat groups'!A127,'A-1 Site Habitat Baseline'!$W$11:$W$258)</f>
        <v>0</v>
      </c>
      <c r="J127" s="494">
        <f>SUMIF('A-1 Site Habitat Baseline'!$G$11:$G$258,'G-2 Habitat groups'!A127,'A-1 Site Habitat Baseline'!$X$11:$X$258)</f>
        <v>0</v>
      </c>
      <c r="K127" s="494">
        <f>SUMIF('A-2 Site Habitat Creation'!$F$11:$F$256,'G-2 Habitat groups'!A127,'A-2 Site Habitat Creation'!$G$11:$G$256)</f>
        <v>0</v>
      </c>
      <c r="L127" s="494">
        <f>SUMIF('A-2 Site Habitat Creation'!$F$11:$F$256,'G-2 Habitat groups'!A127,'A-2 Site Habitat Creation'!$Y$11:$Y$256)</f>
        <v>0</v>
      </c>
      <c r="M127" s="494">
        <f>SUMIF('A-3 Site Habitat Enhancement'!$S$12:$S$257,'G-2 Habitat groups'!A127,'A-3 Site Habitat Enhancement'!$V$12:$V$257)</f>
        <v>0</v>
      </c>
      <c r="N127" s="494">
        <f>SUMIF('A-3 Site Habitat Enhancement'!$S$12:$S$257,'G-2 Habitat groups'!A127,'A-3 Site Habitat Enhancement'!$AN$12:$AN$257)</f>
        <v>0</v>
      </c>
      <c r="O127" s="494">
        <f t="shared" si="103"/>
        <v>0</v>
      </c>
      <c r="P127" s="494">
        <f t="shared" si="104"/>
        <v>0</v>
      </c>
      <c r="Q127" s="494">
        <f t="shared" si="105"/>
        <v>0</v>
      </c>
      <c r="R127" s="494">
        <f t="shared" si="106"/>
        <v>0</v>
      </c>
      <c r="S127" s="494">
        <f>IF(C127="V.High",SUMIF('D-1 Off Site Habitat Baseline'!$G$11:$G$258,'G-2 Habitat groups'!A127,'D-1 Off Site Habitat Baseline'!$S$11:$S$258)+SUMIF('D-1 Off Site Habitat Baseline'!$G$11:$G$258,'G-2 Habitat groups'!A127,'D-1 Off Site Habitat Baseline'!$T$11:$T$258),SUMIF('D-1 Off Site Habitat Baseline'!$G$11:$G$258,'G-2 Habitat groups'!A127,'D-1 Off Site Habitat Baseline'!$H$11:$H$258))</f>
        <v>0</v>
      </c>
      <c r="T127" s="494">
        <f>SUMIF('D-1 Off Site Habitat Baseline'!$G$11:$G$258,'G-2 Habitat groups'!A127,'D-1 Off Site Habitat Baseline'!$Q$11:$Q$258)</f>
        <v>0</v>
      </c>
      <c r="U127" s="591">
        <f>SUMIF('D-1 Off Site Habitat Baseline'!$G$11:$G$258,'G-2 Habitat groups'!A127,'D-1 Off Site Habitat Baseline'!$S$11:$S$258)</f>
        <v>0</v>
      </c>
      <c r="V127" s="494">
        <f>SUMIF('D-1 Off Site Habitat Baseline'!$G$11:$G$258,'G-2 Habitat groups'!A127,'D-1 Off Site Habitat Baseline'!$U$11:$U$258)</f>
        <v>0</v>
      </c>
      <c r="W127" s="494">
        <f>SUMIF('D-2 Off Site Habitat Creation'!$F$9:$F$255,'G-2 Habitat groups'!A127,'D-2 Off Site Habitat Creation'!$G$9:$G$255)</f>
        <v>0</v>
      </c>
      <c r="X127" s="494">
        <f>SUMIF('D-2 Off Site Habitat Creation'!$F$9:$F$255,'G-2 Habitat groups'!A127,'D-2 Off Site Habitat Creation'!$AA$9:$AA$255)</f>
        <v>0</v>
      </c>
      <c r="Y127" s="494">
        <f>SUMIF('D-3 Off Site Habitat Enhancment'!$S$12:$S$491,'G-2 Habitat groups'!A127,'D-3 Off Site Habitat Enhancment'!$V$12:$V$491)</f>
        <v>0</v>
      </c>
      <c r="Z127" s="494">
        <f>SUMIF('D-3 Off Site Habitat Enhancment'!$S$12:$S$491,'G-2 Habitat groups'!A127,'D-3 Off Site Habitat Enhancment'!$AP$12:$AP$491)</f>
        <v>0</v>
      </c>
      <c r="AA127" s="494">
        <f t="shared" si="107"/>
        <v>0</v>
      </c>
      <c r="AB127" s="494">
        <f t="shared" si="108"/>
        <v>0</v>
      </c>
      <c r="AC127" s="494">
        <f t="shared" si="109"/>
        <v>0</v>
      </c>
      <c r="AD127" s="494">
        <f t="shared" si="110"/>
        <v>0</v>
      </c>
      <c r="AE127" s="494">
        <f t="shared" si="111"/>
        <v>0</v>
      </c>
      <c r="AF127" s="494">
        <f t="shared" si="112"/>
        <v>0</v>
      </c>
      <c r="AU127" s="104" t="s">
        <v>616</v>
      </c>
      <c r="AV127" s="88" t="s">
        <v>74</v>
      </c>
      <c r="AW127" s="494">
        <f t="shared" si="132"/>
        <v>0</v>
      </c>
      <c r="AX127" s="494">
        <f t="shared" si="125"/>
        <v>0</v>
      </c>
      <c r="AY127" s="494">
        <f t="shared" si="126"/>
        <v>7.3000000000000001E-3</v>
      </c>
      <c r="AZ127" s="494">
        <f t="shared" si="127"/>
        <v>1.4088999999999999E-2</v>
      </c>
      <c r="BA127" s="494">
        <f t="shared" si="128"/>
        <v>7.3000000000000001E-3</v>
      </c>
      <c r="BB127" s="494">
        <f t="shared" si="129"/>
        <v>1.4088999999999999E-2</v>
      </c>
      <c r="BC127" s="494">
        <f t="shared" si="130"/>
        <v>0</v>
      </c>
      <c r="BD127" s="494">
        <f t="shared" si="131"/>
        <v>0</v>
      </c>
      <c r="BE127" s="494">
        <f t="shared" si="123"/>
        <v>1.4088999999999999E-2</v>
      </c>
      <c r="BF127" s="494" t="str">
        <f t="shared" si="124"/>
        <v/>
      </c>
    </row>
    <row r="128" spans="1:58" x14ac:dyDescent="0.3">
      <c r="A128" s="104" t="str">
        <f>'G-1 All Habitats'!B127</f>
        <v>Intertidal Hard Structures - Artificial hard structures</v>
      </c>
      <c r="B128" s="88" t="str">
        <f>'G-1 All Habitats'!F127</f>
        <v>Intertidal Hard Structures</v>
      </c>
      <c r="C128" s="88" t="str">
        <f>'G-1 All Habitats'!K127</f>
        <v>Low</v>
      </c>
      <c r="D128" s="88" t="str">
        <f>'G-1 All Habitats'!M127</f>
        <v>Same distinctiveness or better habitat required ≥</v>
      </c>
      <c r="E128" s="494">
        <f>IF(C128="V.High",SUMIF('A-1 Site Habitat Baseline'!$G$11:$G$258,'G-2 Habitat groups'!A128,'A-1 Site Habitat Baseline'!$S$11:$S$258)+SUMIF('A-1 Site Habitat Baseline'!$G$11:$G$258,'G-2 Habitat groups'!A128,'A-1 Site Habitat Baseline'!$T$11:$T$258),SUMIF('A-1 Site Habitat Baseline'!$G$11:$G$258,'G-2 Habitat groups'!A128,'A-1 Site Habitat Baseline'!$H$11:$H$258))</f>
        <v>0</v>
      </c>
      <c r="F128" s="494">
        <f>SUMIF('A-1 Site Habitat Baseline'!$G$11:$G$258,'G-2 Habitat groups'!A128,'A-1 Site Habitat Baseline'!$Q$11:$Q$258)</f>
        <v>0</v>
      </c>
      <c r="G128" s="494">
        <f>SUMIF('A-1 Site Habitat Baseline'!$G$11:$G$258,'G-2 Habitat groups'!A128,'A-1 Site Habitat Baseline'!$S$11:$S$258)</f>
        <v>0</v>
      </c>
      <c r="H128" s="494">
        <f>SUMIF('A-1 Site Habitat Baseline'!$G$11:$G$258,'G-2 Habitat groups'!A128,'A-1 Site Habitat Baseline'!$U$11:$U$258)</f>
        <v>0</v>
      </c>
      <c r="I128" s="494">
        <f>SUMIF('A-1 Site Habitat Baseline'!$G$11:$G$258,'G-2 Habitat groups'!A128,'A-1 Site Habitat Baseline'!$W$11:$W$258)</f>
        <v>0</v>
      </c>
      <c r="J128" s="494">
        <f>SUMIF('A-1 Site Habitat Baseline'!$G$11:$G$258,'G-2 Habitat groups'!A128,'A-1 Site Habitat Baseline'!$X$11:$X$258)</f>
        <v>0</v>
      </c>
      <c r="K128" s="494">
        <f>SUMIF('A-2 Site Habitat Creation'!$F$11:$F$256,'G-2 Habitat groups'!A128,'A-2 Site Habitat Creation'!$G$11:$G$256)</f>
        <v>0</v>
      </c>
      <c r="L128" s="494">
        <f>SUMIF('A-2 Site Habitat Creation'!$F$11:$F$256,'G-2 Habitat groups'!A128,'A-2 Site Habitat Creation'!$Y$11:$Y$256)</f>
        <v>0</v>
      </c>
      <c r="M128" s="494">
        <f>SUMIF('A-3 Site Habitat Enhancement'!$S$12:$S$257,'G-2 Habitat groups'!A128,'A-3 Site Habitat Enhancement'!$V$12:$V$257)</f>
        <v>0</v>
      </c>
      <c r="N128" s="494">
        <f>SUMIF('A-3 Site Habitat Enhancement'!$S$12:$S$257,'G-2 Habitat groups'!A128,'A-3 Site Habitat Enhancement'!$AN$12:$AN$257)</f>
        <v>0</v>
      </c>
      <c r="O128" s="494">
        <f t="shared" si="103"/>
        <v>0</v>
      </c>
      <c r="P128" s="494">
        <f t="shared" si="104"/>
        <v>0</v>
      </c>
      <c r="Q128" s="494">
        <f t="shared" si="105"/>
        <v>0</v>
      </c>
      <c r="R128" s="494">
        <f t="shared" si="106"/>
        <v>0</v>
      </c>
      <c r="S128" s="494">
        <f>IF(C128="V.High",SUMIF('D-1 Off Site Habitat Baseline'!$G$11:$G$258,'G-2 Habitat groups'!A128,'D-1 Off Site Habitat Baseline'!$S$11:$S$258)+SUMIF('D-1 Off Site Habitat Baseline'!$G$11:$G$258,'G-2 Habitat groups'!A128,'D-1 Off Site Habitat Baseline'!$T$11:$T$258),SUMIF('D-1 Off Site Habitat Baseline'!$G$11:$G$258,'G-2 Habitat groups'!A128,'D-1 Off Site Habitat Baseline'!$H$11:$H$258))</f>
        <v>0</v>
      </c>
      <c r="T128" s="494">
        <f>SUMIF('D-1 Off Site Habitat Baseline'!$G$11:$G$258,'G-2 Habitat groups'!A128,'D-1 Off Site Habitat Baseline'!$Q$11:$Q$258)</f>
        <v>0</v>
      </c>
      <c r="U128" s="591">
        <f>SUMIF('D-1 Off Site Habitat Baseline'!$G$11:$G$258,'G-2 Habitat groups'!A128,'D-1 Off Site Habitat Baseline'!$S$11:$S$258)</f>
        <v>0</v>
      </c>
      <c r="V128" s="494">
        <f>SUMIF('D-1 Off Site Habitat Baseline'!$G$11:$G$258,'G-2 Habitat groups'!A128,'D-1 Off Site Habitat Baseline'!$U$11:$U$258)</f>
        <v>0</v>
      </c>
      <c r="W128" s="494">
        <f>SUMIF('D-2 Off Site Habitat Creation'!$F$9:$F$255,'G-2 Habitat groups'!A128,'D-2 Off Site Habitat Creation'!$G$9:$G$255)</f>
        <v>0</v>
      </c>
      <c r="X128" s="494">
        <f>SUMIF('D-2 Off Site Habitat Creation'!$F$9:$F$255,'G-2 Habitat groups'!A128,'D-2 Off Site Habitat Creation'!$AA$9:$AA$255)</f>
        <v>0</v>
      </c>
      <c r="Y128" s="494">
        <f>SUMIF('D-3 Off Site Habitat Enhancment'!$S$12:$S$491,'G-2 Habitat groups'!A128,'D-3 Off Site Habitat Enhancment'!$V$12:$V$491)</f>
        <v>0</v>
      </c>
      <c r="Z128" s="494">
        <f>SUMIF('D-3 Off Site Habitat Enhancment'!$S$12:$S$491,'G-2 Habitat groups'!A128,'D-3 Off Site Habitat Enhancment'!$AP$12:$AP$491)</f>
        <v>0</v>
      </c>
      <c r="AA128" s="494">
        <f t="shared" si="107"/>
        <v>0</v>
      </c>
      <c r="AB128" s="494">
        <f t="shared" si="108"/>
        <v>0</v>
      </c>
      <c r="AC128" s="494">
        <f t="shared" si="109"/>
        <v>0</v>
      </c>
      <c r="AD128" s="494">
        <f t="shared" si="110"/>
        <v>0</v>
      </c>
      <c r="AE128" s="494">
        <f t="shared" si="111"/>
        <v>0</v>
      </c>
      <c r="AF128" s="494">
        <f t="shared" si="112"/>
        <v>0</v>
      </c>
      <c r="AU128" s="104" t="s">
        <v>623</v>
      </c>
      <c r="AV128" s="88" t="s">
        <v>74</v>
      </c>
      <c r="AW128" s="494">
        <f t="shared" si="132"/>
        <v>0</v>
      </c>
      <c r="AX128" s="494">
        <f t="shared" si="125"/>
        <v>0</v>
      </c>
      <c r="AY128" s="494">
        <f t="shared" si="126"/>
        <v>0</v>
      </c>
      <c r="AZ128" s="494">
        <f t="shared" si="127"/>
        <v>0</v>
      </c>
      <c r="BA128" s="494">
        <f t="shared" si="128"/>
        <v>0</v>
      </c>
      <c r="BB128" s="494">
        <f t="shared" si="129"/>
        <v>0</v>
      </c>
      <c r="BC128" s="494">
        <f t="shared" si="130"/>
        <v>0</v>
      </c>
      <c r="BD128" s="494">
        <f t="shared" si="131"/>
        <v>0</v>
      </c>
      <c r="BE128" s="494">
        <f t="shared" si="123"/>
        <v>0</v>
      </c>
      <c r="BF128" s="494" t="str">
        <f t="shared" si="124"/>
        <v/>
      </c>
    </row>
    <row r="129" spans="1:58" x14ac:dyDescent="0.3">
      <c r="A129" s="104" t="str">
        <f>'G-1 All Habitats'!B128</f>
        <v>Intertidal Hard Structures - Artificial features of hard structures</v>
      </c>
      <c r="B129" s="88" t="str">
        <f>'G-1 All Habitats'!F128</f>
        <v>Intertidal Hard Structures</v>
      </c>
      <c r="C129" s="88" t="str">
        <f>'G-1 All Habitats'!K128</f>
        <v>Low</v>
      </c>
      <c r="D129" s="88" t="str">
        <f>'G-1 All Habitats'!M128</f>
        <v>Same distinctiveness or better habitat required ≥</v>
      </c>
      <c r="E129" s="494">
        <f>IF(C129="V.High",SUMIF('A-1 Site Habitat Baseline'!$G$11:$G$258,'G-2 Habitat groups'!A129,'A-1 Site Habitat Baseline'!$S$11:$S$258)+SUMIF('A-1 Site Habitat Baseline'!$G$11:$G$258,'G-2 Habitat groups'!A129,'A-1 Site Habitat Baseline'!$T$11:$T$258),SUMIF('A-1 Site Habitat Baseline'!$G$11:$G$258,'G-2 Habitat groups'!A129,'A-1 Site Habitat Baseline'!$H$11:$H$258))</f>
        <v>0</v>
      </c>
      <c r="F129" s="494">
        <f>SUMIF('A-1 Site Habitat Baseline'!$G$11:$G$258,'G-2 Habitat groups'!A129,'A-1 Site Habitat Baseline'!$Q$11:$Q$258)</f>
        <v>0</v>
      </c>
      <c r="G129" s="494">
        <f>SUMIF('A-1 Site Habitat Baseline'!$G$11:$G$258,'G-2 Habitat groups'!A129,'A-1 Site Habitat Baseline'!$S$11:$S$258)</f>
        <v>0</v>
      </c>
      <c r="H129" s="494">
        <f>SUMIF('A-1 Site Habitat Baseline'!$G$11:$G$258,'G-2 Habitat groups'!A129,'A-1 Site Habitat Baseline'!$U$11:$U$258)</f>
        <v>0</v>
      </c>
      <c r="I129" s="494">
        <f>SUMIF('A-1 Site Habitat Baseline'!$G$11:$G$258,'G-2 Habitat groups'!A129,'A-1 Site Habitat Baseline'!$W$11:$W$258)</f>
        <v>0</v>
      </c>
      <c r="J129" s="494">
        <f>SUMIF('A-1 Site Habitat Baseline'!$G$11:$G$258,'G-2 Habitat groups'!A129,'A-1 Site Habitat Baseline'!$X$11:$X$258)</f>
        <v>0</v>
      </c>
      <c r="K129" s="494">
        <f>SUMIF('A-2 Site Habitat Creation'!$F$11:$F$256,'G-2 Habitat groups'!A129,'A-2 Site Habitat Creation'!$G$11:$G$256)</f>
        <v>0</v>
      </c>
      <c r="L129" s="494">
        <f>SUMIF('A-2 Site Habitat Creation'!$F$11:$F$256,'G-2 Habitat groups'!A129,'A-2 Site Habitat Creation'!$Y$11:$Y$256)</f>
        <v>0</v>
      </c>
      <c r="M129" s="494">
        <f>SUMIF('A-3 Site Habitat Enhancement'!$S$12:$S$257,'G-2 Habitat groups'!A129,'A-3 Site Habitat Enhancement'!$V$12:$V$257)</f>
        <v>0</v>
      </c>
      <c r="N129" s="494">
        <f>SUMIF('A-3 Site Habitat Enhancement'!$S$12:$S$257,'G-2 Habitat groups'!A129,'A-3 Site Habitat Enhancement'!$AN$12:$AN$257)</f>
        <v>0</v>
      </c>
      <c r="O129" s="494">
        <f t="shared" si="103"/>
        <v>0</v>
      </c>
      <c r="P129" s="494">
        <f t="shared" si="104"/>
        <v>0</v>
      </c>
      <c r="Q129" s="494">
        <f t="shared" si="105"/>
        <v>0</v>
      </c>
      <c r="R129" s="494">
        <f t="shared" si="106"/>
        <v>0</v>
      </c>
      <c r="S129" s="494">
        <f>IF(C129="V.High",SUMIF('D-1 Off Site Habitat Baseline'!$G$11:$G$258,'G-2 Habitat groups'!A129,'D-1 Off Site Habitat Baseline'!$S$11:$S$258)+SUMIF('D-1 Off Site Habitat Baseline'!$G$11:$G$258,'G-2 Habitat groups'!A129,'D-1 Off Site Habitat Baseline'!$T$11:$T$258),SUMIF('D-1 Off Site Habitat Baseline'!$G$11:$G$258,'G-2 Habitat groups'!A129,'D-1 Off Site Habitat Baseline'!$H$11:$H$258))</f>
        <v>0</v>
      </c>
      <c r="T129" s="494">
        <f>SUMIF('D-1 Off Site Habitat Baseline'!$G$11:$G$258,'G-2 Habitat groups'!A129,'D-1 Off Site Habitat Baseline'!$Q$11:$Q$258)</f>
        <v>0</v>
      </c>
      <c r="U129" s="591">
        <f>SUMIF('D-1 Off Site Habitat Baseline'!$G$11:$G$258,'G-2 Habitat groups'!A129,'D-1 Off Site Habitat Baseline'!$S$11:$S$258)</f>
        <v>0</v>
      </c>
      <c r="V129" s="494">
        <f>SUMIF('D-1 Off Site Habitat Baseline'!$G$11:$G$258,'G-2 Habitat groups'!A129,'D-1 Off Site Habitat Baseline'!$U$11:$U$258)</f>
        <v>0</v>
      </c>
      <c r="W129" s="494">
        <f>SUMIF('D-2 Off Site Habitat Creation'!$F$9:$F$255,'G-2 Habitat groups'!A129,'D-2 Off Site Habitat Creation'!$G$9:$G$255)</f>
        <v>0</v>
      </c>
      <c r="X129" s="494">
        <f>SUMIF('D-2 Off Site Habitat Creation'!$F$9:$F$255,'G-2 Habitat groups'!A129,'D-2 Off Site Habitat Creation'!$AA$9:$AA$255)</f>
        <v>0</v>
      </c>
      <c r="Y129" s="494">
        <f>SUMIF('D-3 Off Site Habitat Enhancment'!$S$12:$S$491,'G-2 Habitat groups'!A129,'D-3 Off Site Habitat Enhancment'!$V$12:$V$491)</f>
        <v>0</v>
      </c>
      <c r="Z129" s="494">
        <f>SUMIF('D-3 Off Site Habitat Enhancment'!$S$12:$S$491,'G-2 Habitat groups'!A129,'D-3 Off Site Habitat Enhancment'!$AP$12:$AP$491)</f>
        <v>0</v>
      </c>
      <c r="AA129" s="494">
        <f t="shared" si="107"/>
        <v>0</v>
      </c>
      <c r="AB129" s="494">
        <f t="shared" si="108"/>
        <v>0</v>
      </c>
      <c r="AC129" s="494">
        <f t="shared" si="109"/>
        <v>0</v>
      </c>
      <c r="AD129" s="494">
        <f t="shared" si="110"/>
        <v>0</v>
      </c>
      <c r="AE129" s="494">
        <f t="shared" si="111"/>
        <v>0</v>
      </c>
      <c r="AF129" s="494">
        <f t="shared" si="112"/>
        <v>0</v>
      </c>
      <c r="AU129" s="104" t="s">
        <v>625</v>
      </c>
      <c r="AV129" s="88" t="s">
        <v>74</v>
      </c>
      <c r="AW129" s="494">
        <f t="shared" si="132"/>
        <v>0</v>
      </c>
      <c r="AX129" s="494">
        <f t="shared" si="125"/>
        <v>0</v>
      </c>
      <c r="AY129" s="494">
        <f t="shared" si="126"/>
        <v>0</v>
      </c>
      <c r="AZ129" s="494">
        <f t="shared" si="127"/>
        <v>0</v>
      </c>
      <c r="BA129" s="494">
        <f t="shared" si="128"/>
        <v>0</v>
      </c>
      <c r="BB129" s="494">
        <f t="shared" si="129"/>
        <v>0</v>
      </c>
      <c r="BC129" s="494">
        <f t="shared" si="130"/>
        <v>0</v>
      </c>
      <c r="BD129" s="494">
        <f t="shared" si="131"/>
        <v>0</v>
      </c>
      <c r="BE129" s="494">
        <f t="shared" si="123"/>
        <v>0</v>
      </c>
      <c r="BF129" s="494" t="str">
        <f t="shared" si="124"/>
        <v/>
      </c>
    </row>
    <row r="130" spans="1:58" x14ac:dyDescent="0.3">
      <c r="A130" s="104" t="str">
        <f>'G-1 All Habitats'!B129</f>
        <v>Intertidal Hard Structures - Artificial hard structures with Integrated Greening of Grey Infrastructure (IGGI)</v>
      </c>
      <c r="B130" s="88" t="str">
        <f>'G-1 All Habitats'!F129</f>
        <v>Intertidal Hard Structures</v>
      </c>
      <c r="C130" s="88" t="str">
        <f>'G-1 All Habitats'!K129</f>
        <v>Medium</v>
      </c>
      <c r="D130" s="88" t="str">
        <f>'G-1 All Habitats'!M129</f>
        <v>Same broad habitat or a higher distinctiveness habitat required (≥)</v>
      </c>
      <c r="E130" s="494">
        <f>IF(C130="V.High",SUMIF('A-1 Site Habitat Baseline'!$G$11:$G$258,'G-2 Habitat groups'!A130,'A-1 Site Habitat Baseline'!$S$11:$S$258)+SUMIF('A-1 Site Habitat Baseline'!$G$11:$G$258,'G-2 Habitat groups'!A130,'A-1 Site Habitat Baseline'!$T$11:$T$258),SUMIF('A-1 Site Habitat Baseline'!$G$11:$G$258,'G-2 Habitat groups'!A130,'A-1 Site Habitat Baseline'!$H$11:$H$258))</f>
        <v>0</v>
      </c>
      <c r="F130" s="494">
        <f>SUMIF('A-1 Site Habitat Baseline'!$G$11:$G$258,'G-2 Habitat groups'!A130,'A-1 Site Habitat Baseline'!$Q$11:$Q$258)</f>
        <v>0</v>
      </c>
      <c r="G130" s="494">
        <f>SUMIF('A-1 Site Habitat Baseline'!$G$11:$G$258,'G-2 Habitat groups'!A130,'A-1 Site Habitat Baseline'!$S$11:$S$258)</f>
        <v>0</v>
      </c>
      <c r="H130" s="494">
        <f>SUMIF('A-1 Site Habitat Baseline'!$G$11:$G$258,'G-2 Habitat groups'!A130,'A-1 Site Habitat Baseline'!$U$11:$U$258)</f>
        <v>0</v>
      </c>
      <c r="I130" s="494">
        <f>SUMIF('A-1 Site Habitat Baseline'!$G$11:$G$258,'G-2 Habitat groups'!A130,'A-1 Site Habitat Baseline'!$W$11:$W$258)</f>
        <v>0</v>
      </c>
      <c r="J130" s="494">
        <f>SUMIF('A-1 Site Habitat Baseline'!$G$11:$G$258,'G-2 Habitat groups'!A130,'A-1 Site Habitat Baseline'!$X$11:$X$258)</f>
        <v>0</v>
      </c>
      <c r="K130" s="494">
        <f>SUMIF('A-2 Site Habitat Creation'!$F$11:$F$256,'G-2 Habitat groups'!A130,'A-2 Site Habitat Creation'!$G$11:$G$256)</f>
        <v>0</v>
      </c>
      <c r="L130" s="494">
        <f>SUMIF('A-2 Site Habitat Creation'!$F$11:$F$256,'G-2 Habitat groups'!A130,'A-2 Site Habitat Creation'!$Y$11:$Y$256)</f>
        <v>0</v>
      </c>
      <c r="M130" s="494">
        <f>SUMIF('A-3 Site Habitat Enhancement'!$S$12:$S$257,'G-2 Habitat groups'!A130,'A-3 Site Habitat Enhancement'!$V$12:$V$257)</f>
        <v>0</v>
      </c>
      <c r="N130" s="494">
        <f>SUMIF('A-3 Site Habitat Enhancement'!$S$12:$S$257,'G-2 Habitat groups'!A130,'A-3 Site Habitat Enhancement'!$AN$12:$AN$257)</f>
        <v>0</v>
      </c>
      <c r="O130" s="494">
        <f t="shared" si="103"/>
        <v>0</v>
      </c>
      <c r="P130" s="494">
        <f t="shared" si="104"/>
        <v>0</v>
      </c>
      <c r="Q130" s="494">
        <f t="shared" si="105"/>
        <v>0</v>
      </c>
      <c r="R130" s="494">
        <f t="shared" si="106"/>
        <v>0</v>
      </c>
      <c r="S130" s="494">
        <f>IF(C130="V.High",SUMIF('D-1 Off Site Habitat Baseline'!$G$11:$G$258,'G-2 Habitat groups'!A130,'D-1 Off Site Habitat Baseline'!$S$11:$S$258)+SUMIF('D-1 Off Site Habitat Baseline'!$G$11:$G$258,'G-2 Habitat groups'!A130,'D-1 Off Site Habitat Baseline'!$T$11:$T$258),SUMIF('D-1 Off Site Habitat Baseline'!$G$11:$G$258,'G-2 Habitat groups'!A130,'D-1 Off Site Habitat Baseline'!$H$11:$H$258))</f>
        <v>0</v>
      </c>
      <c r="T130" s="494">
        <f>SUMIF('D-1 Off Site Habitat Baseline'!$G$11:$G$258,'G-2 Habitat groups'!A130,'D-1 Off Site Habitat Baseline'!$Q$11:$Q$258)</f>
        <v>0</v>
      </c>
      <c r="U130" s="591">
        <f>SUMIF('D-1 Off Site Habitat Baseline'!$G$11:$G$258,'G-2 Habitat groups'!A130,'D-1 Off Site Habitat Baseline'!$S$11:$S$258)</f>
        <v>0</v>
      </c>
      <c r="V130" s="494">
        <f>SUMIF('D-1 Off Site Habitat Baseline'!$G$11:$G$258,'G-2 Habitat groups'!A130,'D-1 Off Site Habitat Baseline'!$U$11:$U$258)</f>
        <v>0</v>
      </c>
      <c r="W130" s="494">
        <f>SUMIF('D-2 Off Site Habitat Creation'!$F$9:$F$255,'G-2 Habitat groups'!A130,'D-2 Off Site Habitat Creation'!$G$9:$G$255)</f>
        <v>0</v>
      </c>
      <c r="X130" s="494">
        <f>SUMIF('D-2 Off Site Habitat Creation'!$F$9:$F$255,'G-2 Habitat groups'!A130,'D-2 Off Site Habitat Creation'!$AA$9:$AA$255)</f>
        <v>0</v>
      </c>
      <c r="Y130" s="494">
        <f>SUMIF('D-3 Off Site Habitat Enhancment'!$S$12:$S$491,'G-2 Habitat groups'!A130,'D-3 Off Site Habitat Enhancment'!$V$12:$V$491)</f>
        <v>0</v>
      </c>
      <c r="Z130" s="494">
        <f>SUMIF('D-3 Off Site Habitat Enhancment'!$S$12:$S$491,'G-2 Habitat groups'!A130,'D-3 Off Site Habitat Enhancment'!$AP$12:$AP$491)</f>
        <v>0</v>
      </c>
      <c r="AA130" s="494">
        <f t="shared" si="107"/>
        <v>0</v>
      </c>
      <c r="AB130" s="494">
        <f t="shared" si="108"/>
        <v>0</v>
      </c>
      <c r="AC130" s="494">
        <f t="shared" si="109"/>
        <v>0</v>
      </c>
      <c r="AD130" s="494">
        <f t="shared" si="110"/>
        <v>0</v>
      </c>
      <c r="AE130" s="494">
        <f t="shared" si="111"/>
        <v>0</v>
      </c>
      <c r="AF130" s="494">
        <f t="shared" si="112"/>
        <v>0</v>
      </c>
      <c r="AU130" s="104" t="s">
        <v>628</v>
      </c>
      <c r="AV130" s="88" t="s">
        <v>74</v>
      </c>
      <c r="AW130" s="494">
        <f t="shared" si="132"/>
        <v>0</v>
      </c>
      <c r="AX130" s="494">
        <f t="shared" si="125"/>
        <v>0</v>
      </c>
      <c r="AY130" s="494">
        <f t="shared" si="126"/>
        <v>0.3296</v>
      </c>
      <c r="AZ130" s="494">
        <f t="shared" si="127"/>
        <v>1.0617399728510717</v>
      </c>
      <c r="BA130" s="494">
        <f t="shared" si="128"/>
        <v>0.3296</v>
      </c>
      <c r="BB130" s="494">
        <f t="shared" si="129"/>
        <v>1.0617399728510717</v>
      </c>
      <c r="BC130" s="494">
        <f t="shared" si="130"/>
        <v>0</v>
      </c>
      <c r="BD130" s="494">
        <f t="shared" si="131"/>
        <v>0</v>
      </c>
      <c r="BE130" s="494">
        <f t="shared" si="123"/>
        <v>1.0617399728510717</v>
      </c>
      <c r="BF130" s="494" t="str">
        <f t="shared" si="124"/>
        <v/>
      </c>
    </row>
    <row r="131" spans="1:58" x14ac:dyDescent="0.3">
      <c r="A131" s="104">
        <f>'G-1 All Habitats'!B136</f>
        <v>0</v>
      </c>
      <c r="B131" s="88">
        <f>'G-1 All Habitats'!F130</f>
        <v>0</v>
      </c>
      <c r="C131" s="88">
        <f>'G-1 All Habitats'!K130</f>
        <v>0</v>
      </c>
      <c r="D131" s="88">
        <f>'G-1 All Habitats'!M130</f>
        <v>0</v>
      </c>
      <c r="E131" s="494">
        <f>IF(C131="V.High",SUMIF('A-1 Site Habitat Baseline'!$G$11:$G$258,'G-2 Habitat groups'!A131,'A-1 Site Habitat Baseline'!$S$11:$S$258)+SUMIF('A-1 Site Habitat Baseline'!$G$11:$G$258,'G-2 Habitat groups'!A131,'A-1 Site Habitat Baseline'!$T$11:$T$258),SUMIF('A-1 Site Habitat Baseline'!$G$11:$G$258,'G-2 Habitat groups'!A131,'A-1 Site Habitat Baseline'!$H$11:$H$258))</f>
        <v>0</v>
      </c>
      <c r="F131" s="494">
        <f>SUMIF('A-1 Site Habitat Baseline'!$G$11:$G$258,'G-2 Habitat groups'!A131,'A-1 Site Habitat Baseline'!$Q$11:$Q$258)</f>
        <v>0</v>
      </c>
      <c r="G131" s="494">
        <f>SUMIF('A-1 Site Habitat Baseline'!$G$11:$G$258,'G-2 Habitat groups'!A131,'A-1 Site Habitat Baseline'!$S$11:$S$258)</f>
        <v>0</v>
      </c>
      <c r="H131" s="494">
        <f>SUMIF('A-1 Site Habitat Baseline'!$G$11:$G$258,'G-2 Habitat groups'!A131,'A-1 Site Habitat Baseline'!$U$11:$U$258)</f>
        <v>0</v>
      </c>
      <c r="I131" s="494">
        <f>SUMIF('A-1 Site Habitat Baseline'!$G$11:$G$258,'G-2 Habitat groups'!A131,'A-1 Site Habitat Baseline'!$W$11:$W$258)</f>
        <v>0</v>
      </c>
      <c r="J131" s="494">
        <f>SUMIF('A-1 Site Habitat Baseline'!$G$11:$G$258,'G-2 Habitat groups'!A131,'A-1 Site Habitat Baseline'!$X$11:$X$258)</f>
        <v>0</v>
      </c>
      <c r="K131" s="494">
        <f>SUMIF('A-2 Site Habitat Creation'!$F$11:$F$256,'G-2 Habitat groups'!A131,'A-2 Site Habitat Creation'!$G$11:$G$256)</f>
        <v>0</v>
      </c>
      <c r="L131" s="494">
        <f>SUMIF('A-2 Site Habitat Creation'!$F$11:$F$256,'G-2 Habitat groups'!A131,'A-2 Site Habitat Creation'!$Y$11:$Y$256)</f>
        <v>0</v>
      </c>
      <c r="M131" s="494">
        <f>SUMIF('A-3 Site Habitat Enhancement'!$S$12:$S$257,'G-2 Habitat groups'!A131,'A-3 Site Habitat Enhancement'!$V$12:$V$257)</f>
        <v>0</v>
      </c>
      <c r="N131" s="494">
        <f>SUMIF('A-3 Site Habitat Enhancement'!$S$12:$S$257,'G-2 Habitat groups'!A131,'A-3 Site Habitat Enhancement'!$AN$12:$AN$257)</f>
        <v>0</v>
      </c>
      <c r="O131" s="494">
        <f t="shared" ref="O131:O136" si="133">G131+K131+M131</f>
        <v>0</v>
      </c>
      <c r="P131" s="494">
        <f t="shared" ref="P131:P136" si="134">H131+L131+N131</f>
        <v>0</v>
      </c>
      <c r="Q131" s="494">
        <f t="shared" ref="Q131:Q136" si="135">O131-E131</f>
        <v>0</v>
      </c>
      <c r="R131" s="494">
        <f t="shared" ref="R131:R136" si="136">P131-F131</f>
        <v>0</v>
      </c>
      <c r="S131" s="494">
        <f>IF(C131="V.High",SUMIF('D-1 Off Site Habitat Baseline'!$G$11:$G$258,'G-2 Habitat groups'!A131,'D-1 Off Site Habitat Baseline'!$S$11:$S$258)+SUMIF('D-1 Off Site Habitat Baseline'!$G$11:$G$258,'G-2 Habitat groups'!A131,'D-1 Off Site Habitat Baseline'!$T$11:$T$258),SUMIF('D-1 Off Site Habitat Baseline'!$G$11:$G$258,'G-2 Habitat groups'!A131,'D-1 Off Site Habitat Baseline'!$H$11:$H$258))</f>
        <v>0</v>
      </c>
      <c r="T131" s="494">
        <f>SUMIF('D-1 Off Site Habitat Baseline'!$G$11:$G$258,'G-2 Habitat groups'!A131,'D-1 Off Site Habitat Baseline'!$Q$11:$Q$258)</f>
        <v>0</v>
      </c>
      <c r="U131" s="591">
        <f>SUMIF('D-1 Off Site Habitat Baseline'!$G$11:$G$258,'G-2 Habitat groups'!A131,'D-1 Off Site Habitat Baseline'!$S$11:$S$258)</f>
        <v>0</v>
      </c>
      <c r="V131" s="494">
        <f>SUMIF('D-1 Off Site Habitat Baseline'!$G$11:$G$258,'G-2 Habitat groups'!A131,'D-1 Off Site Habitat Baseline'!$U$11:$U$258)</f>
        <v>0</v>
      </c>
      <c r="W131" s="494">
        <f>SUMIF('D-2 Off Site Habitat Creation'!$F$9:$F$255,'G-2 Habitat groups'!A131,'D-2 Off Site Habitat Creation'!$G$9:$G$255)</f>
        <v>0</v>
      </c>
      <c r="X131" s="494">
        <f>SUMIF('D-2 Off Site Habitat Creation'!$F$9:$F$255,'G-2 Habitat groups'!A131,'D-2 Off Site Habitat Creation'!$AA$9:$AA$255)</f>
        <v>0</v>
      </c>
      <c r="Y131" s="494">
        <f>SUMIF('D-3 Off Site Habitat Enhancment'!$S$12:$S$491,'G-2 Habitat groups'!A131,'D-3 Off Site Habitat Enhancment'!$V$12:$V$491)</f>
        <v>0</v>
      </c>
      <c r="Z131" s="494">
        <f>SUMIF('D-3 Off Site Habitat Enhancment'!$S$12:$S$491,'G-2 Habitat groups'!A131,'D-3 Off Site Habitat Enhancment'!$AP$12:$AP$491)</f>
        <v>0</v>
      </c>
      <c r="AA131" s="494">
        <f t="shared" si="107"/>
        <v>0</v>
      </c>
      <c r="AB131" s="494">
        <f t="shared" si="108"/>
        <v>0</v>
      </c>
      <c r="AC131" s="494">
        <f t="shared" ref="AC131:AC136" si="137">AA131-S131</f>
        <v>0</v>
      </c>
      <c r="AD131" s="494">
        <f t="shared" ref="AD131:AD136" si="138">AB131-T131</f>
        <v>0</v>
      </c>
      <c r="AE131" s="494">
        <f t="shared" ref="AE131:AE136" si="139">Q131+AC131</f>
        <v>0</v>
      </c>
      <c r="AF131" s="494">
        <f t="shared" ref="AF131:AF136" si="140">R131+AD131</f>
        <v>0</v>
      </c>
      <c r="AU131" s="104" t="s">
        <v>632</v>
      </c>
      <c r="AV131" s="88" t="s">
        <v>74</v>
      </c>
      <c r="AW131" s="494">
        <f t="shared" si="132"/>
        <v>0</v>
      </c>
      <c r="AX131" s="494">
        <f t="shared" si="125"/>
        <v>0</v>
      </c>
      <c r="AY131" s="494">
        <f t="shared" si="126"/>
        <v>0</v>
      </c>
      <c r="AZ131" s="494">
        <f t="shared" si="127"/>
        <v>0</v>
      </c>
      <c r="BA131" s="494">
        <f t="shared" si="128"/>
        <v>0</v>
      </c>
      <c r="BB131" s="494">
        <f t="shared" si="129"/>
        <v>0</v>
      </c>
      <c r="BC131" s="494">
        <f t="shared" si="130"/>
        <v>0</v>
      </c>
      <c r="BD131" s="494">
        <f t="shared" si="131"/>
        <v>0</v>
      </c>
      <c r="BE131" s="494">
        <f t="shared" si="123"/>
        <v>0</v>
      </c>
      <c r="BF131" s="494" t="str">
        <f t="shared" si="124"/>
        <v/>
      </c>
    </row>
    <row r="132" spans="1:58" x14ac:dyDescent="0.3">
      <c r="A132" s="104">
        <f>'G-1 All Habitats'!B137</f>
        <v>0</v>
      </c>
      <c r="B132" s="88">
        <f>'G-1 All Habitats'!F131</f>
        <v>0</v>
      </c>
      <c r="C132" s="88">
        <f>'G-1 All Habitats'!K131</f>
        <v>0</v>
      </c>
      <c r="D132" s="88">
        <f>'G-1 All Habitats'!M131</f>
        <v>0</v>
      </c>
      <c r="E132" s="494">
        <f>IF(C132="V.High",SUMIF('A-1 Site Habitat Baseline'!$G$11:$G$258,'G-2 Habitat groups'!A132,'A-1 Site Habitat Baseline'!$S$11:$S$258)+SUMIF('A-1 Site Habitat Baseline'!$G$11:$G$258,'G-2 Habitat groups'!A132,'A-1 Site Habitat Baseline'!$T$11:$T$258),SUMIF('A-1 Site Habitat Baseline'!$G$11:$G$258,'G-2 Habitat groups'!A132,'A-1 Site Habitat Baseline'!$H$11:$H$258))</f>
        <v>0</v>
      </c>
      <c r="F132" s="494">
        <f>SUMIF('A-1 Site Habitat Baseline'!$G$11:$G$258,'G-2 Habitat groups'!A132,'A-1 Site Habitat Baseline'!$Q$11:$Q$258)</f>
        <v>0</v>
      </c>
      <c r="G132" s="494">
        <f>SUMIF('A-1 Site Habitat Baseline'!$G$11:$G$258,'G-2 Habitat groups'!A132,'A-1 Site Habitat Baseline'!$S$11:$S$258)</f>
        <v>0</v>
      </c>
      <c r="H132" s="494">
        <f>SUMIF('A-1 Site Habitat Baseline'!$G$11:$G$258,'G-2 Habitat groups'!A132,'A-1 Site Habitat Baseline'!$U$11:$U$258)</f>
        <v>0</v>
      </c>
      <c r="I132" s="494">
        <f>SUMIF('A-1 Site Habitat Baseline'!$G$11:$G$258,'G-2 Habitat groups'!A132,'A-1 Site Habitat Baseline'!$W$11:$W$258)</f>
        <v>0</v>
      </c>
      <c r="J132" s="494">
        <f>SUMIF('A-1 Site Habitat Baseline'!$G$11:$G$258,'G-2 Habitat groups'!A132,'A-1 Site Habitat Baseline'!$X$11:$X$258)</f>
        <v>0</v>
      </c>
      <c r="K132" s="494">
        <f>SUMIF('A-2 Site Habitat Creation'!$F$11:$F$256,'G-2 Habitat groups'!A132,'A-2 Site Habitat Creation'!$G$11:$G$256)</f>
        <v>0</v>
      </c>
      <c r="L132" s="494">
        <f>SUMIF('A-2 Site Habitat Creation'!$F$11:$F$256,'G-2 Habitat groups'!A132,'A-2 Site Habitat Creation'!$Y$11:$Y$256)</f>
        <v>0</v>
      </c>
      <c r="M132" s="494">
        <f>SUMIF('A-3 Site Habitat Enhancement'!$S$12:$S$257,'G-2 Habitat groups'!A132,'A-3 Site Habitat Enhancement'!$V$12:$V$257)</f>
        <v>0</v>
      </c>
      <c r="N132" s="494">
        <f>SUMIF('A-3 Site Habitat Enhancement'!$S$12:$S$257,'G-2 Habitat groups'!A132,'A-3 Site Habitat Enhancement'!$AN$12:$AN$257)</f>
        <v>0</v>
      </c>
      <c r="O132" s="494">
        <f t="shared" si="133"/>
        <v>0</v>
      </c>
      <c r="P132" s="494">
        <f t="shared" si="134"/>
        <v>0</v>
      </c>
      <c r="Q132" s="494">
        <f t="shared" si="135"/>
        <v>0</v>
      </c>
      <c r="R132" s="494">
        <f t="shared" si="136"/>
        <v>0</v>
      </c>
      <c r="S132" s="494">
        <f>IF(C132="V.High",SUMIF('D-1 Off Site Habitat Baseline'!$G$11:$G$258,'G-2 Habitat groups'!A132,'D-1 Off Site Habitat Baseline'!$S$11:$S$258)+SUMIF('D-1 Off Site Habitat Baseline'!$G$11:$G$258,'G-2 Habitat groups'!A132,'D-1 Off Site Habitat Baseline'!$T$11:$T$258),SUMIF('D-1 Off Site Habitat Baseline'!$G$11:$G$258,'G-2 Habitat groups'!A132,'D-1 Off Site Habitat Baseline'!$H$11:$H$258))</f>
        <v>0</v>
      </c>
      <c r="T132" s="494">
        <f>SUMIF('D-1 Off Site Habitat Baseline'!$G$11:$G$258,'G-2 Habitat groups'!A132,'D-1 Off Site Habitat Baseline'!$Q$11:$Q$258)</f>
        <v>0</v>
      </c>
      <c r="U132" s="591">
        <f>SUMIF('D-1 Off Site Habitat Baseline'!$G$11:$G$258,'G-2 Habitat groups'!A132,'D-1 Off Site Habitat Baseline'!$S$11:$S$258)</f>
        <v>0</v>
      </c>
      <c r="V132" s="494">
        <f>SUMIF('D-1 Off Site Habitat Baseline'!$G$11:$G$258,'G-2 Habitat groups'!A132,'D-1 Off Site Habitat Baseline'!$U$11:$U$258)</f>
        <v>0</v>
      </c>
      <c r="W132" s="494">
        <f>SUMIF('D-2 Off Site Habitat Creation'!$F$9:$F$255,'G-2 Habitat groups'!A132,'D-2 Off Site Habitat Creation'!$G$9:$G$255)</f>
        <v>0</v>
      </c>
      <c r="X132" s="494">
        <f>SUMIF('D-2 Off Site Habitat Creation'!$F$9:$F$255,'G-2 Habitat groups'!A132,'D-2 Off Site Habitat Creation'!$AA$9:$AA$255)</f>
        <v>0</v>
      </c>
      <c r="Y132" s="494">
        <f>SUMIF('D-3 Off Site Habitat Enhancment'!$S$12:$S$491,'G-2 Habitat groups'!A132,'D-3 Off Site Habitat Enhancment'!$V$12:$V$491)</f>
        <v>0</v>
      </c>
      <c r="Z132" s="494">
        <f>SUMIF('D-3 Off Site Habitat Enhancment'!$S$12:$S$491,'G-2 Habitat groups'!A132,'D-3 Off Site Habitat Enhancment'!$AP$12:$AP$491)</f>
        <v>0</v>
      </c>
      <c r="AA132" s="494">
        <f t="shared" ref="AA132:AA136" si="141">U132+W132+Y132</f>
        <v>0</v>
      </c>
      <c r="AB132" s="494">
        <f t="shared" ref="AB132:AB136" si="142">V132+X132+Z132</f>
        <v>0</v>
      </c>
      <c r="AC132" s="494">
        <f t="shared" si="137"/>
        <v>0</v>
      </c>
      <c r="AD132" s="494">
        <f t="shared" si="138"/>
        <v>0</v>
      </c>
      <c r="AE132" s="494">
        <f t="shared" si="139"/>
        <v>0</v>
      </c>
      <c r="AF132" s="494">
        <f t="shared" si="140"/>
        <v>0</v>
      </c>
      <c r="AU132" s="104" t="s">
        <v>636</v>
      </c>
      <c r="AV132" s="88" t="s">
        <v>74</v>
      </c>
      <c r="AW132" s="494">
        <f t="shared" si="132"/>
        <v>0.775335</v>
      </c>
      <c r="AX132" s="494">
        <f t="shared" si="125"/>
        <v>3.3459140000000001</v>
      </c>
      <c r="AY132" s="494">
        <f t="shared" si="126"/>
        <v>1.5699999999999999E-2</v>
      </c>
      <c r="AZ132" s="494">
        <f t="shared" si="127"/>
        <v>6.9978455539167997E-2</v>
      </c>
      <c r="BA132" s="494">
        <f t="shared" si="128"/>
        <v>-0.75963499999999995</v>
      </c>
      <c r="BB132" s="494">
        <f t="shared" si="129"/>
        <v>-3.3414955444608321</v>
      </c>
      <c r="BC132" s="494">
        <f t="shared" si="130"/>
        <v>0</v>
      </c>
      <c r="BD132" s="494">
        <f t="shared" si="131"/>
        <v>0</v>
      </c>
      <c r="BE132" s="494">
        <f t="shared" si="123"/>
        <v>-3.3414955444608321</v>
      </c>
      <c r="BF132" s="494">
        <f t="shared" si="124"/>
        <v>-3.3414955444608321</v>
      </c>
    </row>
    <row r="133" spans="1:58" x14ac:dyDescent="0.3">
      <c r="A133" s="104">
        <f>'G-1 All Habitats'!B138</f>
        <v>0</v>
      </c>
      <c r="B133" s="88">
        <f>'G-1 All Habitats'!F132</f>
        <v>0</v>
      </c>
      <c r="C133" s="88">
        <f>'G-1 All Habitats'!K132</f>
        <v>0</v>
      </c>
      <c r="D133" s="88">
        <f>'G-1 All Habitats'!M132</f>
        <v>0</v>
      </c>
      <c r="E133" s="494">
        <f>IF(C133="V.High",SUMIF('A-1 Site Habitat Baseline'!$G$11:$G$258,'G-2 Habitat groups'!A133,'A-1 Site Habitat Baseline'!$S$11:$S$258)+SUMIF('A-1 Site Habitat Baseline'!$G$11:$G$258,'G-2 Habitat groups'!A133,'A-1 Site Habitat Baseline'!$T$11:$T$258),SUMIF('A-1 Site Habitat Baseline'!$G$11:$G$258,'G-2 Habitat groups'!A133,'A-1 Site Habitat Baseline'!$H$11:$H$258))</f>
        <v>0</v>
      </c>
      <c r="F133" s="494">
        <f>SUMIF('A-1 Site Habitat Baseline'!$G$11:$G$258,'G-2 Habitat groups'!A133,'A-1 Site Habitat Baseline'!$Q$11:$Q$258)</f>
        <v>0</v>
      </c>
      <c r="G133" s="494">
        <f>SUMIF('A-1 Site Habitat Baseline'!$G$11:$G$258,'G-2 Habitat groups'!A133,'A-1 Site Habitat Baseline'!$S$11:$S$258)</f>
        <v>0</v>
      </c>
      <c r="H133" s="494">
        <f>SUMIF('A-1 Site Habitat Baseline'!$G$11:$G$258,'G-2 Habitat groups'!A133,'A-1 Site Habitat Baseline'!$U$11:$U$258)</f>
        <v>0</v>
      </c>
      <c r="I133" s="494">
        <f>SUMIF('A-1 Site Habitat Baseline'!$G$11:$G$258,'G-2 Habitat groups'!A133,'A-1 Site Habitat Baseline'!$W$11:$W$258)</f>
        <v>0</v>
      </c>
      <c r="J133" s="494">
        <f>SUMIF('A-1 Site Habitat Baseline'!$G$11:$G$258,'G-2 Habitat groups'!A133,'A-1 Site Habitat Baseline'!$X$11:$X$258)</f>
        <v>0</v>
      </c>
      <c r="K133" s="494">
        <f>SUMIF('A-2 Site Habitat Creation'!$F$11:$F$256,'G-2 Habitat groups'!A133,'A-2 Site Habitat Creation'!$G$11:$G$256)</f>
        <v>0</v>
      </c>
      <c r="L133" s="494">
        <f>SUMIF('A-2 Site Habitat Creation'!$F$11:$F$256,'G-2 Habitat groups'!A133,'A-2 Site Habitat Creation'!$Y$11:$Y$256)</f>
        <v>0</v>
      </c>
      <c r="M133" s="494">
        <f>SUMIF('A-3 Site Habitat Enhancement'!$S$12:$S$257,'G-2 Habitat groups'!A133,'A-3 Site Habitat Enhancement'!$V$12:$V$257)</f>
        <v>0</v>
      </c>
      <c r="N133" s="494">
        <f>SUMIF('A-3 Site Habitat Enhancement'!$S$12:$S$257,'G-2 Habitat groups'!A133,'A-3 Site Habitat Enhancement'!$AN$12:$AN$257)</f>
        <v>0</v>
      </c>
      <c r="O133" s="494">
        <f t="shared" si="133"/>
        <v>0</v>
      </c>
      <c r="P133" s="494">
        <f t="shared" si="134"/>
        <v>0</v>
      </c>
      <c r="Q133" s="494">
        <f t="shared" si="135"/>
        <v>0</v>
      </c>
      <c r="R133" s="494">
        <f t="shared" si="136"/>
        <v>0</v>
      </c>
      <c r="S133" s="494">
        <f>IF(C133="V.High",SUMIF('D-1 Off Site Habitat Baseline'!$G$11:$G$258,'G-2 Habitat groups'!A133,'D-1 Off Site Habitat Baseline'!$S$11:$S$258)+SUMIF('D-1 Off Site Habitat Baseline'!$G$11:$G$258,'G-2 Habitat groups'!A133,'D-1 Off Site Habitat Baseline'!$T$11:$T$258),SUMIF('D-1 Off Site Habitat Baseline'!$G$11:$G$258,'G-2 Habitat groups'!A133,'D-1 Off Site Habitat Baseline'!$H$11:$H$258))</f>
        <v>0</v>
      </c>
      <c r="T133" s="494">
        <f>SUMIF('D-1 Off Site Habitat Baseline'!$G$11:$G$258,'G-2 Habitat groups'!A133,'D-1 Off Site Habitat Baseline'!$Q$11:$Q$258)</f>
        <v>0</v>
      </c>
      <c r="U133" s="591">
        <f>SUMIF('D-1 Off Site Habitat Baseline'!$G$11:$G$258,'G-2 Habitat groups'!A133,'D-1 Off Site Habitat Baseline'!$S$11:$S$258)</f>
        <v>0</v>
      </c>
      <c r="V133" s="494">
        <f>SUMIF('D-1 Off Site Habitat Baseline'!$G$11:$G$258,'G-2 Habitat groups'!A133,'D-1 Off Site Habitat Baseline'!$U$11:$U$258)</f>
        <v>0</v>
      </c>
      <c r="W133" s="494">
        <f>SUMIF('D-2 Off Site Habitat Creation'!$F$9:$F$255,'G-2 Habitat groups'!A133,'D-2 Off Site Habitat Creation'!$G$9:$G$255)</f>
        <v>0</v>
      </c>
      <c r="X133" s="494">
        <f>SUMIF('D-2 Off Site Habitat Creation'!$F$9:$F$255,'G-2 Habitat groups'!A133,'D-2 Off Site Habitat Creation'!$AA$9:$AA$255)</f>
        <v>0</v>
      </c>
      <c r="Y133" s="494">
        <f>SUMIF('D-3 Off Site Habitat Enhancment'!$S$12:$S$491,'G-2 Habitat groups'!A133,'D-3 Off Site Habitat Enhancment'!$V$12:$V$491)</f>
        <v>0</v>
      </c>
      <c r="Z133" s="494">
        <f>SUMIF('D-3 Off Site Habitat Enhancment'!$S$12:$S$491,'G-2 Habitat groups'!A133,'D-3 Off Site Habitat Enhancment'!$AP$12:$AP$491)</f>
        <v>0</v>
      </c>
      <c r="AA133" s="494">
        <f t="shared" si="141"/>
        <v>0</v>
      </c>
      <c r="AB133" s="494">
        <f t="shared" si="142"/>
        <v>0</v>
      </c>
      <c r="AC133" s="494">
        <f t="shared" si="137"/>
        <v>0</v>
      </c>
      <c r="AD133" s="494">
        <f t="shared" si="138"/>
        <v>0</v>
      </c>
      <c r="AE133" s="494">
        <f t="shared" si="139"/>
        <v>0</v>
      </c>
      <c r="AF133" s="494">
        <f t="shared" si="140"/>
        <v>0</v>
      </c>
      <c r="AU133" s="104" t="s">
        <v>639</v>
      </c>
      <c r="AV133" s="88" t="s">
        <v>74</v>
      </c>
      <c r="AW133" s="494">
        <f t="shared" si="132"/>
        <v>0</v>
      </c>
      <c r="AX133" s="494">
        <f t="shared" si="125"/>
        <v>0</v>
      </c>
      <c r="AY133" s="494">
        <f t="shared" si="126"/>
        <v>0</v>
      </c>
      <c r="AZ133" s="494">
        <f t="shared" si="127"/>
        <v>0</v>
      </c>
      <c r="BA133" s="494">
        <f t="shared" si="128"/>
        <v>0</v>
      </c>
      <c r="BB133" s="494">
        <f t="shared" si="129"/>
        <v>0</v>
      </c>
      <c r="BC133" s="494">
        <f t="shared" si="130"/>
        <v>0</v>
      </c>
      <c r="BD133" s="494">
        <f t="shared" si="131"/>
        <v>0</v>
      </c>
      <c r="BE133" s="494">
        <f t="shared" si="123"/>
        <v>0</v>
      </c>
      <c r="BF133" s="494" t="str">
        <f t="shared" si="124"/>
        <v/>
      </c>
    </row>
    <row r="134" spans="1:58" x14ac:dyDescent="0.3">
      <c r="A134" s="104">
        <f>'G-1 All Habitats'!B139</f>
        <v>0</v>
      </c>
      <c r="B134" s="88">
        <f>'G-1 All Habitats'!F133</f>
        <v>0</v>
      </c>
      <c r="C134" s="88">
        <f>'G-1 All Habitats'!K133</f>
        <v>0</v>
      </c>
      <c r="D134" s="88">
        <f>'G-1 All Habitats'!M133</f>
        <v>0</v>
      </c>
      <c r="E134" s="494">
        <f>IF(C134="V.High",SUMIF('A-1 Site Habitat Baseline'!$G$11:$G$258,'G-2 Habitat groups'!A134,'A-1 Site Habitat Baseline'!$S$11:$S$258)+SUMIF('A-1 Site Habitat Baseline'!$G$11:$G$258,'G-2 Habitat groups'!A134,'A-1 Site Habitat Baseline'!$T$11:$T$258),SUMIF('A-1 Site Habitat Baseline'!$G$11:$G$258,'G-2 Habitat groups'!A134,'A-1 Site Habitat Baseline'!$H$11:$H$258))</f>
        <v>0</v>
      </c>
      <c r="F134" s="494">
        <f>SUMIF('A-1 Site Habitat Baseline'!$G$11:$G$258,'G-2 Habitat groups'!A134,'A-1 Site Habitat Baseline'!$Q$11:$Q$258)</f>
        <v>0</v>
      </c>
      <c r="G134" s="494">
        <f>SUMIF('A-1 Site Habitat Baseline'!$G$11:$G$258,'G-2 Habitat groups'!A134,'A-1 Site Habitat Baseline'!$S$11:$S$258)</f>
        <v>0</v>
      </c>
      <c r="H134" s="494">
        <f>SUMIF('A-1 Site Habitat Baseline'!$G$11:$G$258,'G-2 Habitat groups'!A134,'A-1 Site Habitat Baseline'!$U$11:$U$258)</f>
        <v>0</v>
      </c>
      <c r="I134" s="494">
        <f>SUMIF('A-1 Site Habitat Baseline'!$G$11:$G$258,'G-2 Habitat groups'!A134,'A-1 Site Habitat Baseline'!$W$11:$W$258)</f>
        <v>0</v>
      </c>
      <c r="J134" s="494">
        <f>SUMIF('A-1 Site Habitat Baseline'!$G$11:$G$258,'G-2 Habitat groups'!A134,'A-1 Site Habitat Baseline'!$X$11:$X$258)</f>
        <v>0</v>
      </c>
      <c r="K134" s="494">
        <f>SUMIF('A-2 Site Habitat Creation'!$F$11:$F$256,'G-2 Habitat groups'!A134,'A-2 Site Habitat Creation'!$G$11:$G$256)</f>
        <v>0</v>
      </c>
      <c r="L134" s="494">
        <f>SUMIF('A-2 Site Habitat Creation'!$F$11:$F$256,'G-2 Habitat groups'!A134,'A-2 Site Habitat Creation'!$Y$11:$Y$256)</f>
        <v>0</v>
      </c>
      <c r="M134" s="494">
        <f>SUMIF('A-3 Site Habitat Enhancement'!$S$12:$S$257,'G-2 Habitat groups'!A134,'A-3 Site Habitat Enhancement'!$V$12:$V$257)</f>
        <v>0</v>
      </c>
      <c r="N134" s="494">
        <f>SUMIF('A-3 Site Habitat Enhancement'!$S$12:$S$257,'G-2 Habitat groups'!A134,'A-3 Site Habitat Enhancement'!$AN$12:$AN$257)</f>
        <v>0</v>
      </c>
      <c r="O134" s="494">
        <f t="shared" si="133"/>
        <v>0</v>
      </c>
      <c r="P134" s="494">
        <f t="shared" si="134"/>
        <v>0</v>
      </c>
      <c r="Q134" s="494">
        <f t="shared" si="135"/>
        <v>0</v>
      </c>
      <c r="R134" s="494">
        <f t="shared" si="136"/>
        <v>0</v>
      </c>
      <c r="S134" s="494">
        <f>IF(C134="V.High",SUMIF('D-1 Off Site Habitat Baseline'!$G$11:$G$258,'G-2 Habitat groups'!A134,'D-1 Off Site Habitat Baseline'!$S$11:$S$258)+SUMIF('D-1 Off Site Habitat Baseline'!$G$11:$G$258,'G-2 Habitat groups'!A134,'D-1 Off Site Habitat Baseline'!$T$11:$T$258),SUMIF('D-1 Off Site Habitat Baseline'!$G$11:$G$258,'G-2 Habitat groups'!A134,'D-1 Off Site Habitat Baseline'!$H$11:$H$258))</f>
        <v>0</v>
      </c>
      <c r="T134" s="494">
        <f>SUMIF('D-1 Off Site Habitat Baseline'!$G$11:$G$258,'G-2 Habitat groups'!A134,'D-1 Off Site Habitat Baseline'!$Q$11:$Q$258)</f>
        <v>0</v>
      </c>
      <c r="U134" s="591">
        <f>SUMIF('D-1 Off Site Habitat Baseline'!$G$11:$G$258,'G-2 Habitat groups'!A134,'D-1 Off Site Habitat Baseline'!$S$11:$S$258)</f>
        <v>0</v>
      </c>
      <c r="V134" s="494">
        <f>SUMIF('D-1 Off Site Habitat Baseline'!$G$11:$G$258,'G-2 Habitat groups'!A134,'D-1 Off Site Habitat Baseline'!$U$11:$U$258)</f>
        <v>0</v>
      </c>
      <c r="W134" s="494">
        <f>SUMIF('D-2 Off Site Habitat Creation'!$F$9:$F$255,'G-2 Habitat groups'!A134,'D-2 Off Site Habitat Creation'!$G$9:$G$255)</f>
        <v>0</v>
      </c>
      <c r="X134" s="494">
        <f>SUMIF('D-2 Off Site Habitat Creation'!$F$9:$F$255,'G-2 Habitat groups'!A134,'D-2 Off Site Habitat Creation'!$AA$9:$AA$255)</f>
        <v>0</v>
      </c>
      <c r="Y134" s="494">
        <f>SUMIF('D-3 Off Site Habitat Enhancment'!$S$12:$S$491,'G-2 Habitat groups'!A134,'D-3 Off Site Habitat Enhancment'!$V$12:$V$491)</f>
        <v>0</v>
      </c>
      <c r="Z134" s="494">
        <f>SUMIF('D-3 Off Site Habitat Enhancment'!$S$12:$S$491,'G-2 Habitat groups'!A134,'D-3 Off Site Habitat Enhancment'!$AP$12:$AP$491)</f>
        <v>0</v>
      </c>
      <c r="AA134" s="494">
        <f t="shared" si="141"/>
        <v>0</v>
      </c>
      <c r="AB134" s="494">
        <f t="shared" si="142"/>
        <v>0</v>
      </c>
      <c r="AC134" s="494">
        <f t="shared" si="137"/>
        <v>0</v>
      </c>
      <c r="AD134" s="494">
        <f t="shared" si="138"/>
        <v>0</v>
      </c>
      <c r="AE134" s="494">
        <f t="shared" si="139"/>
        <v>0</v>
      </c>
      <c r="AF134" s="494">
        <f t="shared" si="140"/>
        <v>0</v>
      </c>
      <c r="AU134" s="124" t="s">
        <v>686</v>
      </c>
      <c r="AV134" s="88" t="s">
        <v>76</v>
      </c>
      <c r="AW134" s="494">
        <f t="shared" si="132"/>
        <v>0</v>
      </c>
      <c r="AX134" s="494">
        <f t="shared" si="125"/>
        <v>0</v>
      </c>
      <c r="AY134" s="494">
        <f t="shared" si="126"/>
        <v>0</v>
      </c>
      <c r="AZ134" s="494">
        <f t="shared" si="127"/>
        <v>0</v>
      </c>
      <c r="BA134" s="494">
        <f t="shared" si="128"/>
        <v>0</v>
      </c>
      <c r="BB134" s="494">
        <f t="shared" si="129"/>
        <v>0</v>
      </c>
      <c r="BC134" s="494">
        <f t="shared" si="130"/>
        <v>0</v>
      </c>
      <c r="BD134" s="494">
        <f t="shared" si="131"/>
        <v>0</v>
      </c>
      <c r="BE134" s="494">
        <f t="shared" si="123"/>
        <v>0</v>
      </c>
      <c r="BF134" s="494" t="str">
        <f t="shared" si="124"/>
        <v/>
      </c>
    </row>
    <row r="135" spans="1:58" x14ac:dyDescent="0.3">
      <c r="A135" s="104">
        <f>'G-1 All Habitats'!B140</f>
        <v>0</v>
      </c>
      <c r="B135" s="88">
        <f>'G-1 All Habitats'!F134</f>
        <v>0</v>
      </c>
      <c r="C135" s="88">
        <f>'G-1 All Habitats'!K134</f>
        <v>0</v>
      </c>
      <c r="D135" s="88">
        <f>'G-1 All Habitats'!M134</f>
        <v>0</v>
      </c>
      <c r="E135" s="494">
        <f>IF(C135="V.High",SUMIF('A-1 Site Habitat Baseline'!$G$11:$G$258,'G-2 Habitat groups'!A135,'A-1 Site Habitat Baseline'!$S$11:$S$258)+SUMIF('A-1 Site Habitat Baseline'!$G$11:$G$258,'G-2 Habitat groups'!A135,'A-1 Site Habitat Baseline'!$T$11:$T$258),SUMIF('A-1 Site Habitat Baseline'!$G$11:$G$258,'G-2 Habitat groups'!A135,'A-1 Site Habitat Baseline'!$H$11:$H$258))</f>
        <v>0</v>
      </c>
      <c r="F135" s="494">
        <f>SUMIF('A-1 Site Habitat Baseline'!$G$11:$G$258,'G-2 Habitat groups'!A135,'A-1 Site Habitat Baseline'!$Q$11:$Q$258)</f>
        <v>0</v>
      </c>
      <c r="G135" s="494">
        <f>SUMIF('A-1 Site Habitat Baseline'!$G$11:$G$258,'G-2 Habitat groups'!A135,'A-1 Site Habitat Baseline'!$S$11:$S$258)</f>
        <v>0</v>
      </c>
      <c r="H135" s="494">
        <f>SUMIF('A-1 Site Habitat Baseline'!$G$11:$G$258,'G-2 Habitat groups'!A135,'A-1 Site Habitat Baseline'!$U$11:$U$258)</f>
        <v>0</v>
      </c>
      <c r="I135" s="494">
        <f>SUMIF('A-1 Site Habitat Baseline'!$G$11:$G$258,'G-2 Habitat groups'!A135,'A-1 Site Habitat Baseline'!$W$11:$W$258)</f>
        <v>0</v>
      </c>
      <c r="J135" s="494">
        <f>SUMIF('A-1 Site Habitat Baseline'!$G$11:$G$258,'G-2 Habitat groups'!A135,'A-1 Site Habitat Baseline'!$X$11:$X$258)</f>
        <v>0</v>
      </c>
      <c r="K135" s="494">
        <f>SUMIF('A-2 Site Habitat Creation'!$F$11:$F$256,'G-2 Habitat groups'!A135,'A-2 Site Habitat Creation'!$G$11:$G$256)</f>
        <v>0</v>
      </c>
      <c r="L135" s="494">
        <f>SUMIF('A-2 Site Habitat Creation'!$F$11:$F$256,'G-2 Habitat groups'!A135,'A-2 Site Habitat Creation'!$Y$11:$Y$256)</f>
        <v>0</v>
      </c>
      <c r="M135" s="494">
        <f>SUMIF('A-3 Site Habitat Enhancement'!$S$12:$S$257,'G-2 Habitat groups'!A135,'A-3 Site Habitat Enhancement'!$V$12:$V$257)</f>
        <v>0</v>
      </c>
      <c r="N135" s="494">
        <f>SUMIF('A-3 Site Habitat Enhancement'!$S$12:$S$257,'G-2 Habitat groups'!A135,'A-3 Site Habitat Enhancement'!$AN$12:$AN$257)</f>
        <v>0</v>
      </c>
      <c r="O135" s="494">
        <f t="shared" si="133"/>
        <v>0</v>
      </c>
      <c r="P135" s="494">
        <f t="shared" si="134"/>
        <v>0</v>
      </c>
      <c r="Q135" s="494">
        <f t="shared" si="135"/>
        <v>0</v>
      </c>
      <c r="R135" s="494">
        <f t="shared" si="136"/>
        <v>0</v>
      </c>
      <c r="S135" s="494">
        <f>IF(C135="V.High",SUMIF('D-1 Off Site Habitat Baseline'!$G$11:$G$258,'G-2 Habitat groups'!A135,'D-1 Off Site Habitat Baseline'!$S$11:$S$258)+SUMIF('D-1 Off Site Habitat Baseline'!$G$11:$G$258,'G-2 Habitat groups'!A135,'D-1 Off Site Habitat Baseline'!$T$11:$T$258),SUMIF('D-1 Off Site Habitat Baseline'!$G$11:$G$258,'G-2 Habitat groups'!A135,'D-1 Off Site Habitat Baseline'!$H$11:$H$258))</f>
        <v>0</v>
      </c>
      <c r="T135" s="494">
        <f>SUMIF('D-1 Off Site Habitat Baseline'!$G$11:$G$258,'G-2 Habitat groups'!A135,'D-1 Off Site Habitat Baseline'!$Q$11:$Q$258)</f>
        <v>0</v>
      </c>
      <c r="U135" s="591">
        <f>SUMIF('D-1 Off Site Habitat Baseline'!$G$11:$G$258,'G-2 Habitat groups'!A135,'D-1 Off Site Habitat Baseline'!$S$11:$S$258)</f>
        <v>0</v>
      </c>
      <c r="V135" s="494">
        <f>SUMIF('D-1 Off Site Habitat Baseline'!$G$11:$G$258,'G-2 Habitat groups'!A135,'D-1 Off Site Habitat Baseline'!$U$11:$U$258)</f>
        <v>0</v>
      </c>
      <c r="W135" s="494">
        <f>SUMIF('D-2 Off Site Habitat Creation'!$F$9:$F$255,'G-2 Habitat groups'!A135,'D-2 Off Site Habitat Creation'!$G$9:$G$255)</f>
        <v>0</v>
      </c>
      <c r="X135" s="494">
        <f>SUMIF('D-2 Off Site Habitat Creation'!$F$9:$F$255,'G-2 Habitat groups'!A135,'D-2 Off Site Habitat Creation'!$AA$9:$AA$255)</f>
        <v>0</v>
      </c>
      <c r="Y135" s="494">
        <f>SUMIF('D-3 Off Site Habitat Enhancment'!$S$12:$S$491,'G-2 Habitat groups'!A135,'D-3 Off Site Habitat Enhancment'!$V$12:$V$491)</f>
        <v>0</v>
      </c>
      <c r="Z135" s="494">
        <f>SUMIF('D-3 Off Site Habitat Enhancment'!$S$12:$S$491,'G-2 Habitat groups'!A135,'D-3 Off Site Habitat Enhancment'!$AP$12:$AP$491)</f>
        <v>0</v>
      </c>
      <c r="AA135" s="494">
        <f t="shared" si="141"/>
        <v>0</v>
      </c>
      <c r="AB135" s="494">
        <f t="shared" si="142"/>
        <v>0</v>
      </c>
      <c r="AC135" s="494">
        <f t="shared" si="137"/>
        <v>0</v>
      </c>
      <c r="AD135" s="494">
        <f t="shared" si="138"/>
        <v>0</v>
      </c>
      <c r="AE135" s="494">
        <f t="shared" si="139"/>
        <v>0</v>
      </c>
      <c r="AF135" s="494">
        <f t="shared" si="140"/>
        <v>0</v>
      </c>
      <c r="AU135" s="104" t="s">
        <v>752</v>
      </c>
      <c r="AV135" s="119" t="s">
        <v>78</v>
      </c>
      <c r="AW135" s="494">
        <f t="shared" si="132"/>
        <v>0</v>
      </c>
      <c r="AX135" s="494">
        <f t="shared" si="125"/>
        <v>0</v>
      </c>
      <c r="AY135" s="494">
        <f t="shared" si="126"/>
        <v>0</v>
      </c>
      <c r="AZ135" s="494">
        <f t="shared" si="127"/>
        <v>0</v>
      </c>
      <c r="BA135" s="494">
        <f t="shared" si="128"/>
        <v>0</v>
      </c>
      <c r="BB135" s="494">
        <f t="shared" si="129"/>
        <v>0</v>
      </c>
      <c r="BC135" s="494">
        <f t="shared" si="130"/>
        <v>0</v>
      </c>
      <c r="BD135" s="494">
        <f t="shared" si="131"/>
        <v>0</v>
      </c>
      <c r="BE135" s="494">
        <f t="shared" si="123"/>
        <v>0</v>
      </c>
      <c r="BF135" s="494" t="str">
        <f t="shared" si="124"/>
        <v/>
      </c>
    </row>
    <row r="136" spans="1:58" x14ac:dyDescent="0.3">
      <c r="A136" s="104">
        <f>'G-1 All Habitats'!B141</f>
        <v>0</v>
      </c>
      <c r="B136" s="88">
        <f>'G-1 All Habitats'!F135</f>
        <v>0</v>
      </c>
      <c r="C136" s="88">
        <f>'G-1 All Habitats'!K135</f>
        <v>0</v>
      </c>
      <c r="D136" s="88">
        <f>'G-1 All Habitats'!M135</f>
        <v>0</v>
      </c>
      <c r="E136" s="494">
        <f>IF(C136="V.High",SUMIF('A-1 Site Habitat Baseline'!$G$11:$G$258,'G-2 Habitat groups'!A136,'A-1 Site Habitat Baseline'!$S$11:$S$258)+SUMIF('A-1 Site Habitat Baseline'!$G$11:$G$258,'G-2 Habitat groups'!A136,'A-1 Site Habitat Baseline'!$T$11:$T$258),SUMIF('A-1 Site Habitat Baseline'!$G$11:$G$258,'G-2 Habitat groups'!A136,'A-1 Site Habitat Baseline'!$H$11:$H$258))</f>
        <v>0</v>
      </c>
      <c r="F136" s="494">
        <f>SUMIF('A-1 Site Habitat Baseline'!$G$11:$G$258,'G-2 Habitat groups'!A136,'A-1 Site Habitat Baseline'!$Q$11:$Q$258)</f>
        <v>0</v>
      </c>
      <c r="G136" s="494">
        <f>SUMIF('A-1 Site Habitat Baseline'!$G$11:$G$258,'G-2 Habitat groups'!A136,'A-1 Site Habitat Baseline'!$S$11:$S$258)</f>
        <v>0</v>
      </c>
      <c r="H136" s="494">
        <f>SUMIF('A-1 Site Habitat Baseline'!$G$11:$G$258,'G-2 Habitat groups'!A136,'A-1 Site Habitat Baseline'!$U$11:$U$258)</f>
        <v>0</v>
      </c>
      <c r="I136" s="494">
        <f>SUMIF('A-1 Site Habitat Baseline'!$G$11:$G$258,'G-2 Habitat groups'!A136,'A-1 Site Habitat Baseline'!$W$11:$W$258)</f>
        <v>0</v>
      </c>
      <c r="J136" s="494">
        <f>SUMIF('A-1 Site Habitat Baseline'!$G$11:$G$258,'G-2 Habitat groups'!A136,'A-1 Site Habitat Baseline'!$X$11:$X$258)</f>
        <v>0</v>
      </c>
      <c r="K136" s="494">
        <f>SUMIF('A-2 Site Habitat Creation'!$F$11:$F$256,'G-2 Habitat groups'!A136,'A-2 Site Habitat Creation'!$G$11:$G$256)</f>
        <v>0</v>
      </c>
      <c r="L136" s="494">
        <f>SUMIF('A-2 Site Habitat Creation'!$F$11:$F$256,'G-2 Habitat groups'!A136,'A-2 Site Habitat Creation'!$Y$11:$Y$256)</f>
        <v>0</v>
      </c>
      <c r="M136" s="494">
        <f>SUMIF('A-3 Site Habitat Enhancement'!$S$12:$S$257,'G-2 Habitat groups'!A136,'A-3 Site Habitat Enhancement'!$V$12:$V$257)</f>
        <v>0</v>
      </c>
      <c r="N136" s="494">
        <f>SUMIF('A-3 Site Habitat Enhancement'!$S$12:$S$257,'G-2 Habitat groups'!A136,'A-3 Site Habitat Enhancement'!$AN$12:$AN$257)</f>
        <v>0</v>
      </c>
      <c r="O136" s="494">
        <f t="shared" si="133"/>
        <v>0</v>
      </c>
      <c r="P136" s="494">
        <f t="shared" si="134"/>
        <v>0</v>
      </c>
      <c r="Q136" s="494">
        <f t="shared" si="135"/>
        <v>0</v>
      </c>
      <c r="R136" s="494">
        <f t="shared" si="136"/>
        <v>0</v>
      </c>
      <c r="S136" s="494">
        <f>IF(C136="V.High",SUMIF('D-1 Off Site Habitat Baseline'!$G$11:$G$258,'G-2 Habitat groups'!A136,'D-1 Off Site Habitat Baseline'!$S$11:$S$258)+SUMIF('D-1 Off Site Habitat Baseline'!$G$11:$G$258,'G-2 Habitat groups'!A136,'D-1 Off Site Habitat Baseline'!$T$11:$T$258),SUMIF('D-1 Off Site Habitat Baseline'!$G$11:$G$258,'G-2 Habitat groups'!A136,'D-1 Off Site Habitat Baseline'!$H$11:$H$258))</f>
        <v>0</v>
      </c>
      <c r="T136" s="494">
        <f>SUMIF('D-1 Off Site Habitat Baseline'!$G$11:$G$258,'G-2 Habitat groups'!A136,'D-1 Off Site Habitat Baseline'!$Q$11:$Q$258)</f>
        <v>0</v>
      </c>
      <c r="U136" s="591">
        <f>SUMIF('D-1 Off Site Habitat Baseline'!$G$11:$G$258,'G-2 Habitat groups'!A136,'D-1 Off Site Habitat Baseline'!$S$11:$S$258)</f>
        <v>0</v>
      </c>
      <c r="V136" s="494">
        <f>SUMIF('D-1 Off Site Habitat Baseline'!$G$11:$G$258,'G-2 Habitat groups'!A136,'D-1 Off Site Habitat Baseline'!$U$11:$U$258)</f>
        <v>0</v>
      </c>
      <c r="W136" s="494">
        <f>SUMIF('D-2 Off Site Habitat Creation'!$F$9:$F$255,'G-2 Habitat groups'!A136,'D-2 Off Site Habitat Creation'!$G$9:$G$255)</f>
        <v>0</v>
      </c>
      <c r="X136" s="494">
        <f>SUMIF('D-2 Off Site Habitat Creation'!$F$9:$F$255,'G-2 Habitat groups'!A136,'D-2 Off Site Habitat Creation'!$AA$9:$AA$255)</f>
        <v>0</v>
      </c>
      <c r="Y136" s="494">
        <f>SUMIF('D-3 Off Site Habitat Enhancment'!$S$12:$S$491,'G-2 Habitat groups'!A136,'D-3 Off Site Habitat Enhancment'!$V$12:$V$491)</f>
        <v>0</v>
      </c>
      <c r="Z136" s="494">
        <f>SUMIF('D-3 Off Site Habitat Enhancment'!$S$12:$S$491,'G-2 Habitat groups'!A136,'D-3 Off Site Habitat Enhancment'!$AP$12:$AP$491)</f>
        <v>0</v>
      </c>
      <c r="AA136" s="494">
        <f t="shared" si="141"/>
        <v>0</v>
      </c>
      <c r="AB136" s="494">
        <f t="shared" si="142"/>
        <v>0</v>
      </c>
      <c r="AC136" s="494">
        <f t="shared" si="137"/>
        <v>0</v>
      </c>
      <c r="AD136" s="494">
        <f t="shared" si="138"/>
        <v>0</v>
      </c>
      <c r="AE136" s="494">
        <f t="shared" si="139"/>
        <v>0</v>
      </c>
      <c r="AF136" s="494">
        <f t="shared" si="140"/>
        <v>0</v>
      </c>
      <c r="AU136" s="104" t="s">
        <v>782</v>
      </c>
      <c r="AV136" s="88" t="s">
        <v>77</v>
      </c>
      <c r="AW136" s="494">
        <f t="shared" si="132"/>
        <v>0</v>
      </c>
      <c r="AX136" s="494">
        <f t="shared" si="125"/>
        <v>0</v>
      </c>
      <c r="AY136" s="494">
        <f t="shared" si="126"/>
        <v>0</v>
      </c>
      <c r="AZ136" s="494">
        <f t="shared" si="127"/>
        <v>0</v>
      </c>
      <c r="BA136" s="494">
        <f t="shared" si="128"/>
        <v>0</v>
      </c>
      <c r="BB136" s="494">
        <f t="shared" si="129"/>
        <v>0</v>
      </c>
      <c r="BC136" s="494">
        <f t="shared" si="130"/>
        <v>0</v>
      </c>
      <c r="BD136" s="494">
        <f t="shared" si="131"/>
        <v>0</v>
      </c>
      <c r="BE136" s="494">
        <f t="shared" si="123"/>
        <v>0</v>
      </c>
      <c r="BF136" s="494" t="str">
        <f t="shared" si="124"/>
        <v/>
      </c>
    </row>
    <row r="137" spans="1:58" x14ac:dyDescent="0.3">
      <c r="AU137" s="104" t="s">
        <v>785</v>
      </c>
      <c r="AV137" s="88" t="s">
        <v>77</v>
      </c>
      <c r="AW137" s="494">
        <f t="shared" si="132"/>
        <v>0</v>
      </c>
      <c r="AX137" s="494">
        <f t="shared" si="125"/>
        <v>0</v>
      </c>
      <c r="AY137" s="494">
        <f t="shared" si="126"/>
        <v>0</v>
      </c>
      <c r="AZ137" s="494">
        <f t="shared" si="127"/>
        <v>0</v>
      </c>
      <c r="BA137" s="494">
        <f t="shared" si="128"/>
        <v>0</v>
      </c>
      <c r="BB137" s="494">
        <f t="shared" si="129"/>
        <v>0</v>
      </c>
      <c r="BC137" s="494">
        <f t="shared" si="130"/>
        <v>0</v>
      </c>
      <c r="BD137" s="494">
        <f t="shared" si="131"/>
        <v>0</v>
      </c>
      <c r="BE137" s="494">
        <f t="shared" si="123"/>
        <v>0</v>
      </c>
      <c r="BF137" s="494" t="str">
        <f t="shared" si="124"/>
        <v/>
      </c>
    </row>
    <row r="138" spans="1:58" x14ac:dyDescent="0.3">
      <c r="AU138" s="104" t="s">
        <v>788</v>
      </c>
      <c r="AV138" s="88" t="s">
        <v>77</v>
      </c>
      <c r="AW138" s="494">
        <f t="shared" si="132"/>
        <v>0</v>
      </c>
      <c r="AX138" s="494">
        <f t="shared" si="125"/>
        <v>0</v>
      </c>
      <c r="AY138" s="494">
        <f t="shared" si="126"/>
        <v>0</v>
      </c>
      <c r="AZ138" s="494">
        <f t="shared" si="127"/>
        <v>0</v>
      </c>
      <c r="BA138" s="494">
        <f t="shared" si="128"/>
        <v>0</v>
      </c>
      <c r="BB138" s="494">
        <f t="shared" si="129"/>
        <v>0</v>
      </c>
      <c r="BC138" s="494">
        <f t="shared" si="130"/>
        <v>0</v>
      </c>
      <c r="BD138" s="494">
        <f t="shared" si="131"/>
        <v>0</v>
      </c>
      <c r="BE138" s="494">
        <f t="shared" si="123"/>
        <v>0</v>
      </c>
      <c r="BF138" s="494" t="str">
        <f t="shared" si="124"/>
        <v/>
      </c>
    </row>
    <row r="139" spans="1:58" x14ac:dyDescent="0.3">
      <c r="AU139" s="104" t="s">
        <v>791</v>
      </c>
      <c r="AV139" s="88" t="s">
        <v>77</v>
      </c>
      <c r="AW139" s="494">
        <f t="shared" si="132"/>
        <v>0</v>
      </c>
      <c r="AX139" s="494">
        <f t="shared" si="125"/>
        <v>0</v>
      </c>
      <c r="AY139" s="494">
        <f t="shared" si="126"/>
        <v>0</v>
      </c>
      <c r="AZ139" s="494">
        <f t="shared" si="127"/>
        <v>0</v>
      </c>
      <c r="BA139" s="494">
        <f t="shared" si="128"/>
        <v>0</v>
      </c>
      <c r="BB139" s="494">
        <f t="shared" si="129"/>
        <v>0</v>
      </c>
      <c r="BC139" s="494">
        <f t="shared" si="130"/>
        <v>0</v>
      </c>
      <c r="BD139" s="494">
        <f t="shared" si="131"/>
        <v>0</v>
      </c>
      <c r="BE139" s="494">
        <f t="shared" si="123"/>
        <v>0</v>
      </c>
      <c r="BF139" s="494" t="str">
        <f t="shared" si="124"/>
        <v/>
      </c>
    </row>
    <row r="140" spans="1:58" x14ac:dyDescent="0.3">
      <c r="AU140" s="104" t="s">
        <v>794</v>
      </c>
      <c r="AV140" s="88" t="s">
        <v>77</v>
      </c>
      <c r="AW140" s="494">
        <f t="shared" si="132"/>
        <v>0</v>
      </c>
      <c r="AX140" s="494">
        <f t="shared" si="125"/>
        <v>0</v>
      </c>
      <c r="AY140" s="494">
        <f t="shared" si="126"/>
        <v>0</v>
      </c>
      <c r="AZ140" s="494">
        <f t="shared" si="127"/>
        <v>0</v>
      </c>
      <c r="BA140" s="494">
        <f t="shared" si="128"/>
        <v>0</v>
      </c>
      <c r="BB140" s="494">
        <f t="shared" si="129"/>
        <v>0</v>
      </c>
      <c r="BC140" s="494">
        <f t="shared" si="130"/>
        <v>0</v>
      </c>
      <c r="BD140" s="494">
        <f t="shared" si="131"/>
        <v>0</v>
      </c>
      <c r="BE140" s="494">
        <f t="shared" si="123"/>
        <v>0</v>
      </c>
      <c r="BF140" s="494" t="str">
        <f t="shared" si="124"/>
        <v/>
      </c>
    </row>
    <row r="141" spans="1:58" ht="27.5" x14ac:dyDescent="0.55000000000000004">
      <c r="A141" s="326" t="s">
        <v>96</v>
      </c>
      <c r="AU141" s="104" t="s">
        <v>797</v>
      </c>
      <c r="AV141" s="88" t="s">
        <v>77</v>
      </c>
      <c r="AW141" s="494">
        <f t="shared" si="132"/>
        <v>0</v>
      </c>
      <c r="AX141" s="494">
        <f t="shared" si="125"/>
        <v>0</v>
      </c>
      <c r="AY141" s="494">
        <f t="shared" si="126"/>
        <v>0</v>
      </c>
      <c r="AZ141" s="494">
        <f t="shared" si="127"/>
        <v>0</v>
      </c>
      <c r="BA141" s="494">
        <f t="shared" si="128"/>
        <v>0</v>
      </c>
      <c r="BB141" s="494">
        <f t="shared" si="129"/>
        <v>0</v>
      </c>
      <c r="BC141" s="494">
        <f t="shared" si="130"/>
        <v>0</v>
      </c>
      <c r="BD141" s="494">
        <f t="shared" si="131"/>
        <v>0</v>
      </c>
      <c r="BE141" s="494">
        <f t="shared" si="123"/>
        <v>0</v>
      </c>
      <c r="BF141" s="494" t="str">
        <f t="shared" si="124"/>
        <v/>
      </c>
    </row>
    <row r="142" spans="1:58" x14ac:dyDescent="0.3">
      <c r="AU142" s="104" t="s">
        <v>800</v>
      </c>
      <c r="AV142" s="88" t="s">
        <v>77</v>
      </c>
      <c r="AW142" s="494">
        <f t="shared" si="132"/>
        <v>0</v>
      </c>
      <c r="AX142" s="494">
        <f t="shared" si="125"/>
        <v>0</v>
      </c>
      <c r="AY142" s="494">
        <f t="shared" si="126"/>
        <v>0</v>
      </c>
      <c r="AZ142" s="494">
        <f t="shared" si="127"/>
        <v>0</v>
      </c>
      <c r="BA142" s="494">
        <f t="shared" si="128"/>
        <v>0</v>
      </c>
      <c r="BB142" s="494">
        <f t="shared" si="129"/>
        <v>0</v>
      </c>
      <c r="BC142" s="494">
        <f t="shared" si="130"/>
        <v>0</v>
      </c>
      <c r="BD142" s="494">
        <f t="shared" si="131"/>
        <v>0</v>
      </c>
      <c r="BE142" s="494">
        <f t="shared" si="123"/>
        <v>0</v>
      </c>
      <c r="BF142" s="494" t="str">
        <f t="shared" si="124"/>
        <v/>
      </c>
    </row>
    <row r="143" spans="1:58" x14ac:dyDescent="0.3">
      <c r="AU143" s="130" t="s">
        <v>809</v>
      </c>
      <c r="AV143" s="119" t="s">
        <v>869</v>
      </c>
      <c r="AW143" s="494">
        <f t="shared" si="132"/>
        <v>0</v>
      </c>
      <c r="AX143" s="494">
        <f t="shared" si="125"/>
        <v>0</v>
      </c>
      <c r="AY143" s="494">
        <f t="shared" si="126"/>
        <v>0</v>
      </c>
      <c r="AZ143" s="494">
        <f t="shared" si="127"/>
        <v>0</v>
      </c>
      <c r="BA143" s="494">
        <f t="shared" si="128"/>
        <v>0</v>
      </c>
      <c r="BB143" s="494">
        <f t="shared" si="129"/>
        <v>0</v>
      </c>
      <c r="BC143" s="494">
        <f t="shared" si="130"/>
        <v>0</v>
      </c>
      <c r="BD143" s="494">
        <f t="shared" si="131"/>
        <v>0</v>
      </c>
      <c r="BE143" s="494">
        <f t="shared" si="123"/>
        <v>0</v>
      </c>
      <c r="BF143" s="494" t="str">
        <f t="shared" si="124"/>
        <v/>
      </c>
    </row>
    <row r="144" spans="1:58" ht="22.5" x14ac:dyDescent="0.45">
      <c r="A144" s="101">
        <v>1</v>
      </c>
      <c r="B144" s="101">
        <v>2</v>
      </c>
      <c r="C144" s="101">
        <v>3</v>
      </c>
      <c r="D144" s="101">
        <v>4</v>
      </c>
      <c r="E144" s="101">
        <v>5</v>
      </c>
      <c r="F144" s="101">
        <v>6</v>
      </c>
      <c r="G144" s="101">
        <v>7</v>
      </c>
      <c r="H144" s="101">
        <v>8</v>
      </c>
      <c r="I144" s="101">
        <v>9</v>
      </c>
      <c r="J144" s="101">
        <v>10</v>
      </c>
      <c r="K144" s="101">
        <v>11</v>
      </c>
      <c r="L144" s="101">
        <v>12</v>
      </c>
      <c r="M144" s="101">
        <v>13</v>
      </c>
      <c r="N144" s="101">
        <v>14</v>
      </c>
      <c r="O144" s="101">
        <v>15</v>
      </c>
      <c r="P144" s="101">
        <v>16</v>
      </c>
      <c r="Q144" s="101">
        <v>17</v>
      </c>
      <c r="R144" s="101">
        <v>18</v>
      </c>
      <c r="S144" s="101">
        <v>19</v>
      </c>
      <c r="T144" s="101">
        <v>20</v>
      </c>
      <c r="U144" s="101">
        <v>21</v>
      </c>
      <c r="V144" s="101">
        <v>22</v>
      </c>
      <c r="W144" s="101">
        <v>23</v>
      </c>
      <c r="X144" s="101">
        <v>24</v>
      </c>
      <c r="Y144" s="101">
        <v>25</v>
      </c>
      <c r="Z144" s="101">
        <v>26</v>
      </c>
      <c r="AA144" s="101">
        <v>27</v>
      </c>
      <c r="AB144" s="101">
        <v>28</v>
      </c>
      <c r="AC144" s="101">
        <v>29</v>
      </c>
      <c r="AD144" s="101">
        <v>30</v>
      </c>
      <c r="AE144" s="101">
        <v>31</v>
      </c>
      <c r="AF144" s="102">
        <v>32</v>
      </c>
      <c r="AU144" s="130" t="s">
        <v>812</v>
      </c>
      <c r="AV144" s="119" t="s">
        <v>869</v>
      </c>
      <c r="AW144" s="494">
        <f t="shared" si="132"/>
        <v>0</v>
      </c>
      <c r="AX144" s="494">
        <f t="shared" si="125"/>
        <v>0</v>
      </c>
      <c r="AY144" s="494">
        <f t="shared" si="126"/>
        <v>0</v>
      </c>
      <c r="AZ144" s="494">
        <f t="shared" si="127"/>
        <v>0</v>
      </c>
      <c r="BA144" s="494">
        <f t="shared" si="128"/>
        <v>0</v>
      </c>
      <c r="BB144" s="494">
        <f t="shared" si="129"/>
        <v>0</v>
      </c>
      <c r="BC144" s="494">
        <f t="shared" si="130"/>
        <v>0</v>
      </c>
      <c r="BD144" s="494">
        <f t="shared" si="131"/>
        <v>0</v>
      </c>
      <c r="BE144" s="494">
        <f t="shared" si="123"/>
        <v>0</v>
      </c>
      <c r="BF144" s="494" t="str">
        <f t="shared" si="124"/>
        <v/>
      </c>
    </row>
    <row r="145" spans="1:59" ht="70" x14ac:dyDescent="0.3">
      <c r="A145" s="103" t="s">
        <v>870</v>
      </c>
      <c r="B145" s="103" t="s">
        <v>160</v>
      </c>
      <c r="C145" s="103" t="s">
        <v>871</v>
      </c>
      <c r="D145" s="103" t="s">
        <v>821</v>
      </c>
      <c r="E145" s="103" t="s">
        <v>872</v>
      </c>
      <c r="F145" s="103" t="s">
        <v>823</v>
      </c>
      <c r="G145" s="103" t="s">
        <v>873</v>
      </c>
      <c r="H145" s="103" t="s">
        <v>874</v>
      </c>
      <c r="I145" s="103" t="s">
        <v>875</v>
      </c>
      <c r="J145" s="103" t="s">
        <v>827</v>
      </c>
      <c r="K145" s="103" t="s">
        <v>876</v>
      </c>
      <c r="L145" s="103" t="s">
        <v>829</v>
      </c>
      <c r="M145" s="103" t="s">
        <v>877</v>
      </c>
      <c r="N145" s="103" t="s">
        <v>831</v>
      </c>
      <c r="O145" s="103" t="s">
        <v>878</v>
      </c>
      <c r="P145" s="103" t="s">
        <v>879</v>
      </c>
      <c r="Q145" s="103" t="s">
        <v>880</v>
      </c>
      <c r="R145" s="103" t="s">
        <v>835</v>
      </c>
      <c r="S145" s="103" t="s">
        <v>881</v>
      </c>
      <c r="T145" s="103" t="s">
        <v>882</v>
      </c>
      <c r="U145" s="103" t="s">
        <v>883</v>
      </c>
      <c r="V145" s="103" t="s">
        <v>884</v>
      </c>
      <c r="W145" s="103" t="s">
        <v>885</v>
      </c>
      <c r="X145" s="103" t="s">
        <v>886</v>
      </c>
      <c r="Y145" s="103" t="s">
        <v>887</v>
      </c>
      <c r="Z145" s="103" t="s">
        <v>888</v>
      </c>
      <c r="AA145" s="103" t="s">
        <v>889</v>
      </c>
      <c r="AB145" s="103" t="s">
        <v>890</v>
      </c>
      <c r="AC145" s="103" t="s">
        <v>891</v>
      </c>
      <c r="AD145" s="103" t="s">
        <v>892</v>
      </c>
      <c r="AE145" s="103" t="s">
        <v>893</v>
      </c>
      <c r="AF145" s="103" t="s">
        <v>849</v>
      </c>
      <c r="AU145" s="327" t="s">
        <v>511</v>
      </c>
      <c r="AV145" s="328" t="s">
        <v>71</v>
      </c>
      <c r="AW145" s="592">
        <f t="shared" si="132"/>
        <v>0</v>
      </c>
      <c r="AX145" s="592">
        <f t="shared" si="125"/>
        <v>0</v>
      </c>
      <c r="AY145" s="592">
        <f t="shared" si="126"/>
        <v>0</v>
      </c>
      <c r="AZ145" s="592">
        <f t="shared" si="127"/>
        <v>0</v>
      </c>
      <c r="BA145" s="592">
        <f t="shared" si="128"/>
        <v>0</v>
      </c>
      <c r="BB145" s="592">
        <f t="shared" si="129"/>
        <v>0</v>
      </c>
      <c r="BC145" s="592">
        <f t="shared" si="130"/>
        <v>0</v>
      </c>
      <c r="BD145" s="592">
        <f t="shared" si="131"/>
        <v>0</v>
      </c>
      <c r="BE145" s="592">
        <f t="shared" si="123"/>
        <v>0</v>
      </c>
      <c r="BF145" s="592" t="str">
        <f t="shared" si="124"/>
        <v/>
      </c>
    </row>
    <row r="146" spans="1:59" x14ac:dyDescent="0.3">
      <c r="A146" s="104" t="str">
        <f>'G-6 Hedgerow Data'!B3</f>
        <v>Native Species Rich Hedgerow with trees - Associated with bank or ditch</v>
      </c>
      <c r="B146" s="88" t="s">
        <v>894</v>
      </c>
      <c r="C146" s="88" t="str">
        <f>'G-6 Hedgerow Data'!C3</f>
        <v>V.High</v>
      </c>
      <c r="D146" s="88" t="str">
        <f>'G-6 Hedgerow Data'!AH3</f>
        <v>Like for like</v>
      </c>
      <c r="E146" s="494">
        <f>SUMIF('B-1 Site Hedge Baseline'!$D$10:$D$257,'G-2 Habitat groups'!A146,'B-1 Site Hedge Baseline'!$E$10:$E$257)</f>
        <v>0</v>
      </c>
      <c r="F146" s="494">
        <f>SUMIF('B-1 Site Hedge Baseline'!$D$10:$D$257,'G-2 Habitat groups'!A146,'B-1 Site Hedge Baseline'!$N$10:$N$257)</f>
        <v>0</v>
      </c>
      <c r="G146" s="494">
        <f>SUMIF('B-1 Site Hedge Baseline'!$D$10:$D$257,'G-2 Habitat groups'!A146,'B-1 Site Hedge Baseline'!$P$10:$P$257)</f>
        <v>0</v>
      </c>
      <c r="H146" s="494">
        <f>SUMIF('B-1 Site Hedge Baseline'!$D$10:$D$257,'G-2 Habitat groups'!A146,'B-1 Site Hedge Baseline'!$R$10:$R$257)</f>
        <v>0</v>
      </c>
      <c r="I146" s="494">
        <f>SUMIF('B-1 Site Hedge Baseline'!$D$10:$D$257,'G-2 Habitat groups'!A146,'B-1 Site Hedge Baseline'!$T$10:$T$257)</f>
        <v>0</v>
      </c>
      <c r="J146" s="494">
        <f>SUMIF('B-1 Site Hedge Baseline'!$D$10:$D$257,'G-2 Habitat groups'!A146,'B-1 Site Hedge Baseline'!$U$10:$U$257)</f>
        <v>0</v>
      </c>
      <c r="K146" s="494">
        <f>SUMIF('B-2 Site Hedge Creation'!$D$12:$D$259,'G-2 Habitat groups'!A146,'B-2 Site Hedge Creation'!$E$12:$E$259)</f>
        <v>0</v>
      </c>
      <c r="L146" s="494">
        <f>SUMIF('B-2 Site Hedge Creation'!$D$12:$D$259,'G-2 Habitat groups'!A146,'B-2 Site Hedge Creation'!$W$12:$W$259)</f>
        <v>0</v>
      </c>
      <c r="M146" s="494">
        <f>SUMIF('B-3 Site Hedge Enhancement'!$M$12:$M$257,'G-2 Habitat groups'!A146,'B-3 Site Hedge Enhancement'!$P$12:$P$257)</f>
        <v>0</v>
      </c>
      <c r="N146" s="494">
        <f>SUMIF('B-3 Site Hedge Enhancement'!$M$12:$M$257,'G-2 Habitat groups'!A146,'B-3 Site Hedge Enhancement'!$AH$12:$AH$257)</f>
        <v>0</v>
      </c>
      <c r="O146" s="494">
        <f t="shared" ref="O146:O158" si="143">G146+K146+M146</f>
        <v>0</v>
      </c>
      <c r="P146" s="494">
        <f t="shared" ref="P146:P158" si="144">H146+L146+N146</f>
        <v>0</v>
      </c>
      <c r="Q146" s="494">
        <f t="shared" ref="Q146:Q158" si="145">O146-E146</f>
        <v>0</v>
      </c>
      <c r="R146" s="494">
        <f t="shared" ref="R146:R158" si="146">P146-F146</f>
        <v>0</v>
      </c>
      <c r="S146" s="494">
        <f>SUMIF('E-1 Off Site Hedge Baseline'!$D$10:$D$257,'G-2 Habitat groups'!A146,'E-1 Off Site Hedge Baseline'!$E$10:$E$257)</f>
        <v>0</v>
      </c>
      <c r="T146" s="494">
        <f>SUMIF('E-1 Off Site Hedge Baseline'!$D$10:$D$257,'G-2 Habitat groups'!A146,'E-1 Off Site Hedge Baseline'!$N$10:$N$257)</f>
        <v>0</v>
      </c>
      <c r="U146" s="494">
        <f>SUMIF('E-1 Off Site Hedge Baseline'!$D$10:$D$257,'G-2 Habitat groups'!A146,'E-1 Off Site Hedge Baseline'!$P$10:$P$257)</f>
        <v>0</v>
      </c>
      <c r="V146" s="494">
        <f>SUMIF('E-1 Off Site Hedge Baseline'!$D$10:$D$257,'G-2 Habitat groups'!A146,'E-1 Off Site Hedge Baseline'!$R$10:$R$257)</f>
        <v>0</v>
      </c>
      <c r="W146" s="494">
        <f>SUMIF('E-2 Off Site Hedge Creation'!$D$12:$D$259,'G-2 Habitat groups'!A146,'E-2 Off Site Hedge Creation'!$R$12:$R$259)</f>
        <v>0</v>
      </c>
      <c r="X146" s="494">
        <f>SUMIF('E-2 Off Site Hedge Creation'!$D$12:$D$259,'G-2 Habitat groups'!A146,'E-2 Off Site Hedge Creation'!$Y$12:$Y$259)</f>
        <v>0</v>
      </c>
      <c r="Y146" s="494">
        <f>SUMIF('E-3 Off Site Hedge Enhancement'!$M$12:$M$259,'G-2 Habitat groups'!A146,'E-3 Off Site Hedge Enhancement'!$P$12:$P$259)</f>
        <v>0</v>
      </c>
      <c r="Z146" s="494">
        <f>SUMIF('E-3 Off Site Hedge Enhancement'!$M$12:$M$259,'G-2 Habitat groups'!A146,'E-3 Off Site Hedge Enhancement'!$AJ$12:$AJ$259)</f>
        <v>0</v>
      </c>
      <c r="AA146" s="494">
        <f>U146+W146+Y146</f>
        <v>0</v>
      </c>
      <c r="AB146" s="494">
        <f>V146+X146+Z146</f>
        <v>0</v>
      </c>
      <c r="AC146" s="494">
        <f t="shared" ref="AC146:AC158" si="147">AA146-S146</f>
        <v>0</v>
      </c>
      <c r="AD146" s="494">
        <f t="shared" ref="AD146:AD158" si="148">AB146-T146</f>
        <v>0</v>
      </c>
      <c r="AE146" s="494">
        <f t="shared" ref="AE146:AE158" si="149">Q146+AC146</f>
        <v>0</v>
      </c>
      <c r="AF146" s="494">
        <f t="shared" ref="AF146:AF158" si="150">R146+AD146</f>
        <v>0</v>
      </c>
      <c r="AU146" s="327" t="s">
        <v>592</v>
      </c>
      <c r="AV146" s="328" t="s">
        <v>74</v>
      </c>
      <c r="AW146" s="592">
        <f t="shared" si="132"/>
        <v>0</v>
      </c>
      <c r="AX146" s="592">
        <f t="shared" si="125"/>
        <v>0</v>
      </c>
      <c r="AY146" s="592">
        <f t="shared" si="126"/>
        <v>0</v>
      </c>
      <c r="AZ146" s="592">
        <f t="shared" si="127"/>
        <v>0</v>
      </c>
      <c r="BA146" s="592">
        <f t="shared" si="128"/>
        <v>0</v>
      </c>
      <c r="BB146" s="592">
        <f t="shared" si="129"/>
        <v>0</v>
      </c>
      <c r="BC146" s="592">
        <f t="shared" si="130"/>
        <v>0</v>
      </c>
      <c r="BD146" s="592">
        <f t="shared" si="131"/>
        <v>0</v>
      </c>
      <c r="BE146" s="592">
        <f t="shared" si="123"/>
        <v>0</v>
      </c>
      <c r="BF146" s="592" t="str">
        <f t="shared" si="124"/>
        <v/>
      </c>
    </row>
    <row r="147" spans="1:59" x14ac:dyDescent="0.3">
      <c r="A147" s="104" t="str">
        <f>'G-6 Hedgerow Data'!B4</f>
        <v>Native Species Rich Hedgerow with trees</v>
      </c>
      <c r="B147" s="88" t="s">
        <v>894</v>
      </c>
      <c r="C147" s="88" t="str">
        <f>'G-6 Hedgerow Data'!C4</f>
        <v>High</v>
      </c>
      <c r="D147" s="88" t="str">
        <f>'G-6 Hedgerow Data'!AH4</f>
        <v>Like for like or better</v>
      </c>
      <c r="E147" s="494">
        <f>SUMIF('B-1 Site Hedge Baseline'!$D$10:$D$257,'G-2 Habitat groups'!A147,'B-1 Site Hedge Baseline'!$E$10:$E$257)</f>
        <v>0</v>
      </c>
      <c r="F147" s="494">
        <f>SUMIF('B-1 Site Hedge Baseline'!$D$10:$D$257,'G-2 Habitat groups'!A147,'B-1 Site Hedge Baseline'!$N$10:$N$257)</f>
        <v>0</v>
      </c>
      <c r="G147" s="494">
        <f>SUMIF('B-1 Site Hedge Baseline'!$D$10:$D$257,'G-2 Habitat groups'!A147,'B-1 Site Hedge Baseline'!$P$10:$P$257)</f>
        <v>0</v>
      </c>
      <c r="H147" s="494">
        <f>SUMIF('B-1 Site Hedge Baseline'!$D$10:$D$257,'G-2 Habitat groups'!A147,'B-1 Site Hedge Baseline'!$R$10:$R$257)</f>
        <v>0</v>
      </c>
      <c r="I147" s="494">
        <f>SUMIF('B-1 Site Hedge Baseline'!$D$10:$D$257,'G-2 Habitat groups'!A147,'B-1 Site Hedge Baseline'!$T$10:$T$257)</f>
        <v>0</v>
      </c>
      <c r="J147" s="494">
        <f>SUMIF('A-1 Site Habitat Baseline'!$G$11:$G$258,'G-2 Habitat groups'!A147,'A-1 Site Habitat Baseline'!$X$11:$X$258)</f>
        <v>0</v>
      </c>
      <c r="K147" s="494">
        <f>SUMIF('B-2 Site Hedge Creation'!$D$12:$D$259,'G-2 Habitat groups'!A147,'B-2 Site Hedge Creation'!$E$12:$E$259)</f>
        <v>0</v>
      </c>
      <c r="L147" s="494">
        <f>SUMIF('B-2 Site Hedge Creation'!$D$12:$D$259,'G-2 Habitat groups'!A147,'B-2 Site Hedge Creation'!$W$12:$W$259)</f>
        <v>0</v>
      </c>
      <c r="M147" s="494">
        <f>SUMIF('B-3 Site Hedge Enhancement'!$M$12:$M$257,'G-2 Habitat groups'!A147,'B-3 Site Hedge Enhancement'!$P$12:$P$257)</f>
        <v>0</v>
      </c>
      <c r="N147" s="494">
        <f>SUMIF('B-3 Site Hedge Enhancement'!$M$12:$M$257,'G-2 Habitat groups'!A147,'B-3 Site Hedge Enhancement'!$AH$12:$AH$257)</f>
        <v>0</v>
      </c>
      <c r="O147" s="494">
        <f t="shared" si="143"/>
        <v>0</v>
      </c>
      <c r="P147" s="494">
        <f t="shared" si="144"/>
        <v>0</v>
      </c>
      <c r="Q147" s="494">
        <f t="shared" si="145"/>
        <v>0</v>
      </c>
      <c r="R147" s="494">
        <f t="shared" si="146"/>
        <v>0</v>
      </c>
      <c r="S147" s="494">
        <f>SUMIF('E-1 Off Site Hedge Baseline'!$D$10:$D$257,'G-2 Habitat groups'!A147,'E-1 Off Site Hedge Baseline'!$E$10:$E$257)</f>
        <v>0</v>
      </c>
      <c r="T147" s="494">
        <f>SUMIF('E-1 Off Site Hedge Baseline'!$D$10:$D$257,'G-2 Habitat groups'!A147,'E-1 Off Site Hedge Baseline'!$N$10:$N$257)</f>
        <v>0</v>
      </c>
      <c r="U147" s="494">
        <f>SUMIF('E-1 Off Site Hedge Baseline'!$D$10:$D$257,'G-2 Habitat groups'!A147,'E-1 Off Site Hedge Baseline'!$P$10:$P$257)</f>
        <v>0</v>
      </c>
      <c r="V147" s="494">
        <f>SUMIF('E-1 Off Site Hedge Baseline'!$D$10:$D$257,'G-2 Habitat groups'!A147,'E-1 Off Site Hedge Baseline'!$R$10:$R$257)</f>
        <v>0</v>
      </c>
      <c r="W147" s="494">
        <f>SUMIF('E-2 Off Site Hedge Creation'!$D$12:$D$259,'G-2 Habitat groups'!A147,'E-2 Off Site Hedge Creation'!$R$12:$R$259)</f>
        <v>0</v>
      </c>
      <c r="X147" s="494">
        <f>SUMIF('E-2 Off Site Hedge Creation'!$D$12:$D$259,'G-2 Habitat groups'!A147,'E-2 Off Site Hedge Creation'!$Y$12:$Y$259)</f>
        <v>0</v>
      </c>
      <c r="Y147" s="494">
        <f>SUMIF('E-3 Off Site Hedge Enhancement'!$M$12:$M$259,'G-2 Habitat groups'!A147,'E-3 Off Site Hedge Enhancement'!$P$12:$P$259)</f>
        <v>0</v>
      </c>
      <c r="Z147" s="494">
        <f>SUMIF('E-3 Off Site Hedge Enhancement'!$M$12:$M$259,'G-2 Habitat groups'!A147,'E-3 Off Site Hedge Enhancement'!$AJ$12:$AJ$259)</f>
        <v>0</v>
      </c>
      <c r="AA147" s="494">
        <f t="shared" ref="AA147:AA158" si="151">U147+W147+Y147</f>
        <v>0</v>
      </c>
      <c r="AB147" s="494">
        <f t="shared" ref="AB147:AB158" si="152">V147+X147+Z147</f>
        <v>0</v>
      </c>
      <c r="AC147" s="494">
        <f t="shared" si="147"/>
        <v>0</v>
      </c>
      <c r="AD147" s="494">
        <f t="shared" si="148"/>
        <v>0</v>
      </c>
      <c r="AE147" s="494">
        <f t="shared" si="149"/>
        <v>0</v>
      </c>
      <c r="AF147" s="494">
        <f t="shared" si="150"/>
        <v>0</v>
      </c>
    </row>
    <row r="148" spans="1:59" x14ac:dyDescent="0.3">
      <c r="A148" s="104" t="str">
        <f>'G-6 Hedgerow Data'!B5</f>
        <v>Native Species Rich Hedgerow - Associated with bank or ditch</v>
      </c>
      <c r="B148" s="88" t="s">
        <v>894</v>
      </c>
      <c r="C148" s="88" t="str">
        <f>'G-6 Hedgerow Data'!C5</f>
        <v>High</v>
      </c>
      <c r="D148" s="88" t="str">
        <f>'G-6 Hedgerow Data'!AH5</f>
        <v>Like for like or better</v>
      </c>
      <c r="E148" s="494">
        <f>SUMIF('B-1 Site Hedge Baseline'!$D$10:$D$257,'G-2 Habitat groups'!A148,'B-1 Site Hedge Baseline'!$E$10:$E$257)</f>
        <v>0</v>
      </c>
      <c r="F148" s="494">
        <f>SUMIF('B-1 Site Hedge Baseline'!$D$10:$D$257,'G-2 Habitat groups'!A148,'B-1 Site Hedge Baseline'!$N$10:$N$257)</f>
        <v>0</v>
      </c>
      <c r="G148" s="494">
        <f>SUMIF('B-1 Site Hedge Baseline'!$D$10:$D$257,'G-2 Habitat groups'!A148,'B-1 Site Hedge Baseline'!$P$10:$P$257)</f>
        <v>0</v>
      </c>
      <c r="H148" s="494">
        <f>SUMIF('B-1 Site Hedge Baseline'!$D$10:$D$257,'G-2 Habitat groups'!A148,'B-1 Site Hedge Baseline'!$R$10:$R$257)</f>
        <v>0</v>
      </c>
      <c r="I148" s="494">
        <f>SUMIF('B-1 Site Hedge Baseline'!$D$10:$D$257,'G-2 Habitat groups'!A148,'B-1 Site Hedge Baseline'!$T$10:$T$257)</f>
        <v>0</v>
      </c>
      <c r="J148" s="494">
        <f>SUMIF('A-1 Site Habitat Baseline'!$G$11:$G$258,'G-2 Habitat groups'!A148,'A-1 Site Habitat Baseline'!$X$11:$X$258)</f>
        <v>0</v>
      </c>
      <c r="K148" s="494">
        <f>SUMIF('B-2 Site Hedge Creation'!$D$12:$D$259,'G-2 Habitat groups'!A148,'B-2 Site Hedge Creation'!$E$12:$E$259)</f>
        <v>0</v>
      </c>
      <c r="L148" s="494">
        <f>SUMIF('B-2 Site Hedge Creation'!$D$12:$D$259,'G-2 Habitat groups'!A148,'B-2 Site Hedge Creation'!$W$12:$W$259)</f>
        <v>0</v>
      </c>
      <c r="M148" s="494">
        <f>SUMIF('B-3 Site Hedge Enhancement'!$M$12:$M$257,'G-2 Habitat groups'!A148,'B-3 Site Hedge Enhancement'!$P$12:$P$257)</f>
        <v>0</v>
      </c>
      <c r="N148" s="494">
        <f>SUMIF('B-3 Site Hedge Enhancement'!$M$12:$M$257,'G-2 Habitat groups'!A148,'B-3 Site Hedge Enhancement'!$AH$12:$AH$257)</f>
        <v>0</v>
      </c>
      <c r="O148" s="494">
        <f t="shared" si="143"/>
        <v>0</v>
      </c>
      <c r="P148" s="494">
        <f t="shared" si="144"/>
        <v>0</v>
      </c>
      <c r="Q148" s="494">
        <f t="shared" si="145"/>
        <v>0</v>
      </c>
      <c r="R148" s="494">
        <f t="shared" si="146"/>
        <v>0</v>
      </c>
      <c r="S148" s="494">
        <f>SUMIF('E-1 Off Site Hedge Baseline'!$D$10:$D$257,'G-2 Habitat groups'!A148,'E-1 Off Site Hedge Baseline'!$E$10:$E$257)</f>
        <v>0</v>
      </c>
      <c r="T148" s="494">
        <f>SUMIF('E-1 Off Site Hedge Baseline'!$D$10:$D$257,'G-2 Habitat groups'!A148,'E-1 Off Site Hedge Baseline'!$N$10:$N$257)</f>
        <v>0</v>
      </c>
      <c r="U148" s="494">
        <f>SUMIF('E-1 Off Site Hedge Baseline'!$D$10:$D$257,'G-2 Habitat groups'!A148,'E-1 Off Site Hedge Baseline'!$P$10:$P$257)</f>
        <v>0</v>
      </c>
      <c r="V148" s="494">
        <f>SUMIF('E-1 Off Site Hedge Baseline'!$D$10:$D$257,'G-2 Habitat groups'!A148,'E-1 Off Site Hedge Baseline'!$R$10:$R$257)</f>
        <v>0</v>
      </c>
      <c r="W148" s="494">
        <f>SUMIF('E-2 Off Site Hedge Creation'!$D$12:$D$259,'G-2 Habitat groups'!A148,'E-2 Off Site Hedge Creation'!$R$12:$R$259)</f>
        <v>0</v>
      </c>
      <c r="X148" s="494">
        <f>SUMIF('E-2 Off Site Hedge Creation'!$D$12:$D$259,'G-2 Habitat groups'!A148,'E-2 Off Site Hedge Creation'!$Y$12:$Y$259)</f>
        <v>0</v>
      </c>
      <c r="Y148" s="494">
        <f>SUMIF('E-3 Off Site Hedge Enhancement'!$M$12:$M$259,'G-2 Habitat groups'!A148,'E-3 Off Site Hedge Enhancement'!$P$12:$P$259)</f>
        <v>0</v>
      </c>
      <c r="Z148" s="494">
        <f>SUMIF('E-3 Off Site Hedge Enhancement'!$M$12:$M$259,'G-2 Habitat groups'!A148,'E-3 Off Site Hedge Enhancement'!$AJ$12:$AJ$259)</f>
        <v>0</v>
      </c>
      <c r="AA148" s="494">
        <f t="shared" si="151"/>
        <v>0</v>
      </c>
      <c r="AB148" s="494">
        <f t="shared" si="152"/>
        <v>0</v>
      </c>
      <c r="AC148" s="494">
        <f t="shared" si="147"/>
        <v>0</v>
      </c>
      <c r="AD148" s="494">
        <f t="shared" si="148"/>
        <v>0</v>
      </c>
      <c r="AE148" s="494">
        <f t="shared" si="149"/>
        <v>0</v>
      </c>
      <c r="AF148" s="494">
        <f t="shared" si="150"/>
        <v>0</v>
      </c>
    </row>
    <row r="149" spans="1:59" x14ac:dyDescent="0.3">
      <c r="A149" s="104" t="str">
        <f>'G-6 Hedgerow Data'!B6</f>
        <v>Native Hedgerow with trees - Associated with bank or ditch</v>
      </c>
      <c r="B149" s="88" t="s">
        <v>894</v>
      </c>
      <c r="C149" s="88" t="str">
        <f>'G-6 Hedgerow Data'!C6</f>
        <v>High</v>
      </c>
      <c r="D149" s="88" t="str">
        <f>'G-6 Hedgerow Data'!AH6</f>
        <v>Like for like or better</v>
      </c>
      <c r="E149" s="494">
        <f>SUMIF('B-1 Site Hedge Baseline'!$D$10:$D$257,'G-2 Habitat groups'!A149,'B-1 Site Hedge Baseline'!$E$10:$E$257)</f>
        <v>0</v>
      </c>
      <c r="F149" s="494">
        <f>SUMIF('B-1 Site Hedge Baseline'!$D$10:$D$257,'G-2 Habitat groups'!A149,'B-1 Site Hedge Baseline'!$N$10:$N$257)</f>
        <v>0</v>
      </c>
      <c r="G149" s="494">
        <f>SUMIF('B-1 Site Hedge Baseline'!$D$10:$D$257,'G-2 Habitat groups'!A149,'B-1 Site Hedge Baseline'!$P$10:$P$257)</f>
        <v>0</v>
      </c>
      <c r="H149" s="494">
        <f>SUMIF('B-1 Site Hedge Baseline'!$D$10:$D$257,'G-2 Habitat groups'!A149,'B-1 Site Hedge Baseline'!$R$10:$R$257)</f>
        <v>0</v>
      </c>
      <c r="I149" s="494">
        <f>SUMIF('B-1 Site Hedge Baseline'!$D$10:$D$257,'G-2 Habitat groups'!A149,'B-1 Site Hedge Baseline'!$T$10:$T$257)</f>
        <v>0</v>
      </c>
      <c r="J149" s="494">
        <f>SUMIF('A-1 Site Habitat Baseline'!$G$11:$G$258,'G-2 Habitat groups'!A149,'A-1 Site Habitat Baseline'!$X$11:$X$258)</f>
        <v>0</v>
      </c>
      <c r="K149" s="494">
        <f>SUMIF('B-2 Site Hedge Creation'!$D$12:$D$259,'G-2 Habitat groups'!A149,'B-2 Site Hedge Creation'!$E$12:$E$259)</f>
        <v>0</v>
      </c>
      <c r="L149" s="494">
        <f>SUMIF('B-2 Site Hedge Creation'!$D$12:$D$259,'G-2 Habitat groups'!A149,'B-2 Site Hedge Creation'!$W$12:$W$259)</f>
        <v>0</v>
      </c>
      <c r="M149" s="494">
        <f>SUMIF('B-3 Site Hedge Enhancement'!$M$12:$M$257,'G-2 Habitat groups'!A149,'B-3 Site Hedge Enhancement'!$P$12:$P$257)</f>
        <v>0</v>
      </c>
      <c r="N149" s="494">
        <f>SUMIF('B-3 Site Hedge Enhancement'!$M$12:$M$257,'G-2 Habitat groups'!A149,'B-3 Site Hedge Enhancement'!$AH$12:$AH$257)</f>
        <v>0</v>
      </c>
      <c r="O149" s="494">
        <f t="shared" si="143"/>
        <v>0</v>
      </c>
      <c r="P149" s="494">
        <f t="shared" si="144"/>
        <v>0</v>
      </c>
      <c r="Q149" s="494">
        <f t="shared" si="145"/>
        <v>0</v>
      </c>
      <c r="R149" s="494">
        <f t="shared" si="146"/>
        <v>0</v>
      </c>
      <c r="S149" s="494">
        <f>SUMIF('E-1 Off Site Hedge Baseline'!$D$10:$D$257,'G-2 Habitat groups'!A149,'E-1 Off Site Hedge Baseline'!$E$10:$E$257)</f>
        <v>0</v>
      </c>
      <c r="T149" s="494">
        <f>SUMIF('E-1 Off Site Hedge Baseline'!$D$10:$D$257,'G-2 Habitat groups'!A149,'E-1 Off Site Hedge Baseline'!$N$10:$N$257)</f>
        <v>0</v>
      </c>
      <c r="U149" s="494">
        <f>SUMIF('E-1 Off Site Hedge Baseline'!$D$10:$D$257,'G-2 Habitat groups'!A149,'E-1 Off Site Hedge Baseline'!$P$10:$P$257)</f>
        <v>0</v>
      </c>
      <c r="V149" s="494">
        <f>SUMIF('E-1 Off Site Hedge Baseline'!$D$10:$D$257,'G-2 Habitat groups'!A149,'E-1 Off Site Hedge Baseline'!$R$10:$R$257)</f>
        <v>0</v>
      </c>
      <c r="W149" s="494">
        <f>SUMIF('E-2 Off Site Hedge Creation'!$D$12:$D$259,'G-2 Habitat groups'!A149,'E-2 Off Site Hedge Creation'!$R$12:$R$259)</f>
        <v>0</v>
      </c>
      <c r="X149" s="494">
        <f>SUMIF('E-2 Off Site Hedge Creation'!$D$12:$D$259,'G-2 Habitat groups'!A149,'E-2 Off Site Hedge Creation'!$Y$12:$Y$259)</f>
        <v>0</v>
      </c>
      <c r="Y149" s="494">
        <f>SUMIF('E-3 Off Site Hedge Enhancement'!$M$12:$M$259,'G-2 Habitat groups'!A149,'E-3 Off Site Hedge Enhancement'!$P$12:$P$259)</f>
        <v>0</v>
      </c>
      <c r="Z149" s="494">
        <f>SUMIF('E-3 Off Site Hedge Enhancement'!$M$12:$M$259,'G-2 Habitat groups'!A149,'E-3 Off Site Hedge Enhancement'!$AJ$12:$AJ$259)</f>
        <v>0</v>
      </c>
      <c r="AA149" s="494">
        <f t="shared" si="151"/>
        <v>0</v>
      </c>
      <c r="AB149" s="494">
        <f t="shared" si="152"/>
        <v>0</v>
      </c>
      <c r="AC149" s="494">
        <f t="shared" si="147"/>
        <v>0</v>
      </c>
      <c r="AD149" s="494">
        <f t="shared" si="148"/>
        <v>0</v>
      </c>
      <c r="AE149" s="494">
        <f t="shared" si="149"/>
        <v>0</v>
      </c>
      <c r="AF149" s="494">
        <f t="shared" si="150"/>
        <v>0</v>
      </c>
    </row>
    <row r="150" spans="1:59" ht="35" x14ac:dyDescent="0.7">
      <c r="A150" s="327" t="str">
        <f>'G-6 Hedgerow Data'!B7</f>
        <v>Native Species Rich Hedgerow</v>
      </c>
      <c r="B150" s="328" t="s">
        <v>894</v>
      </c>
      <c r="C150" s="328" t="str">
        <f>'G-6 Hedgerow Data'!C7</f>
        <v>Medium</v>
      </c>
      <c r="D150" s="328" t="str">
        <f>'G-6 Hedgerow Data'!AH7</f>
        <v>Like for like or better</v>
      </c>
      <c r="E150" s="592">
        <f>SUMIF('B-1 Site Hedge Baseline'!$D$10:$D$257,'G-2 Habitat groups'!A150,'B-1 Site Hedge Baseline'!$E$10:$E$257)</f>
        <v>0</v>
      </c>
      <c r="F150" s="592">
        <f>SUMIF('B-1 Site Hedge Baseline'!$D$10:$D$257,'G-2 Habitat groups'!A150,'B-1 Site Hedge Baseline'!$N$10:$N$257)</f>
        <v>0</v>
      </c>
      <c r="G150" s="592">
        <f>SUMIF('B-1 Site Hedge Baseline'!$D$10:$D$257,'G-2 Habitat groups'!A150,'B-1 Site Hedge Baseline'!$P$10:$P$257)</f>
        <v>0</v>
      </c>
      <c r="H150" s="592">
        <f>SUMIF('B-1 Site Hedge Baseline'!$D$10:$D$257,'G-2 Habitat groups'!A150,'B-1 Site Hedge Baseline'!$R$10:$R$257)</f>
        <v>0</v>
      </c>
      <c r="I150" s="592">
        <f>SUMIF('B-1 Site Hedge Baseline'!$D$10:$D$257,'G-2 Habitat groups'!A150,'B-1 Site Hedge Baseline'!$T$10:$T$257)</f>
        <v>0</v>
      </c>
      <c r="J150" s="592">
        <f>SUMIF('A-1 Site Habitat Baseline'!$G$11:$G$258,'G-2 Habitat groups'!A150,'A-1 Site Habitat Baseline'!$X$11:$X$258)</f>
        <v>0</v>
      </c>
      <c r="K150" s="592">
        <f>SUMIF('B-2 Site Hedge Creation'!$D$12:$D$259,'G-2 Habitat groups'!A150,'B-2 Site Hedge Creation'!$E$12:$E$259)</f>
        <v>0</v>
      </c>
      <c r="L150" s="592">
        <f>SUMIF('B-2 Site Hedge Creation'!$D$12:$D$259,'G-2 Habitat groups'!A150,'B-2 Site Hedge Creation'!$W$12:$W$259)</f>
        <v>0</v>
      </c>
      <c r="M150" s="592">
        <f>SUMIF('B-3 Site Hedge Enhancement'!$M$12:$M$257,'G-2 Habitat groups'!A150,'B-3 Site Hedge Enhancement'!$P$12:$P$257)</f>
        <v>0</v>
      </c>
      <c r="N150" s="592">
        <f>SUMIF('B-3 Site Hedge Enhancement'!$M$12:$M$257,'G-2 Habitat groups'!A150,'B-3 Site Hedge Enhancement'!$AH$12:$AH$257)</f>
        <v>0</v>
      </c>
      <c r="O150" s="592">
        <f t="shared" si="143"/>
        <v>0</v>
      </c>
      <c r="P150" s="592">
        <f t="shared" si="144"/>
        <v>0</v>
      </c>
      <c r="Q150" s="592">
        <f t="shared" si="145"/>
        <v>0</v>
      </c>
      <c r="R150" s="592">
        <f t="shared" si="146"/>
        <v>0</v>
      </c>
      <c r="S150" s="592">
        <f>SUMIF('E-1 Off Site Hedge Baseline'!$D$10:$D$257,'G-2 Habitat groups'!A150,'E-1 Off Site Hedge Baseline'!$E$10:$E$257)</f>
        <v>0</v>
      </c>
      <c r="T150" s="494">
        <f>SUMIF('E-1 Off Site Hedge Baseline'!$D$10:$D$257,'G-2 Habitat groups'!A150,'E-1 Off Site Hedge Baseline'!$N$10:$N$257)</f>
        <v>0</v>
      </c>
      <c r="U150" s="494">
        <f>SUMIF('E-1 Off Site Hedge Baseline'!$D$10:$D$257,'G-2 Habitat groups'!A150,'E-1 Off Site Hedge Baseline'!$P$10:$P$257)</f>
        <v>0</v>
      </c>
      <c r="V150" s="494">
        <f>SUMIF('E-1 Off Site Hedge Baseline'!$D$10:$D$257,'G-2 Habitat groups'!A150,'E-1 Off Site Hedge Baseline'!$R$10:$R$257)</f>
        <v>0</v>
      </c>
      <c r="W150" s="494">
        <f>SUMIF('E-2 Off Site Hedge Creation'!$D$12:$D$259,'G-2 Habitat groups'!A150,'E-2 Off Site Hedge Creation'!$R$12:$R$259)</f>
        <v>0</v>
      </c>
      <c r="X150" s="494">
        <f>SUMIF('E-2 Off Site Hedge Creation'!$D$12:$D$259,'G-2 Habitat groups'!A150,'E-2 Off Site Hedge Creation'!$Y$12:$Y$259)</f>
        <v>0</v>
      </c>
      <c r="Y150" s="494">
        <f>SUMIF('E-3 Off Site Hedge Enhancement'!$M$12:$M$259,'G-2 Habitat groups'!A150,'E-3 Off Site Hedge Enhancement'!$P$12:$P$259)</f>
        <v>0</v>
      </c>
      <c r="Z150" s="494">
        <f>SUMIF('E-3 Off Site Hedge Enhancement'!$M$12:$M$259,'G-2 Habitat groups'!A150,'E-3 Off Site Hedge Enhancement'!$AJ$12:$AJ$259)</f>
        <v>0</v>
      </c>
      <c r="AA150" s="592">
        <f t="shared" si="151"/>
        <v>0</v>
      </c>
      <c r="AB150" s="592">
        <f t="shared" si="152"/>
        <v>0</v>
      </c>
      <c r="AC150" s="592">
        <f t="shared" si="147"/>
        <v>0</v>
      </c>
      <c r="AD150" s="592">
        <f t="shared" si="148"/>
        <v>0</v>
      </c>
      <c r="AE150" s="592">
        <f t="shared" si="149"/>
        <v>0</v>
      </c>
      <c r="AF150" s="592">
        <f t="shared" si="150"/>
        <v>0</v>
      </c>
      <c r="AU150" s="360" t="s">
        <v>895</v>
      </c>
      <c r="AV150" s="99"/>
      <c r="AW150" s="99"/>
      <c r="AX150" s="99"/>
      <c r="AY150" s="99"/>
      <c r="AZ150" s="99"/>
      <c r="BA150" s="99"/>
      <c r="BB150" s="99"/>
      <c r="BC150" s="99"/>
      <c r="BD150" s="99"/>
      <c r="BE150" s="99"/>
      <c r="BF150" s="99"/>
      <c r="BG150" s="121"/>
    </row>
    <row r="151" spans="1:59" ht="31" x14ac:dyDescent="0.35">
      <c r="A151" s="327" t="str">
        <f>'G-6 Hedgerow Data'!B8</f>
        <v>Native Hedgerow - Associated with bank or ditch</v>
      </c>
      <c r="B151" s="328" t="s">
        <v>894</v>
      </c>
      <c r="C151" s="328" t="str">
        <f>'G-6 Hedgerow Data'!C8</f>
        <v>Medium</v>
      </c>
      <c r="D151" s="328" t="str">
        <f>'G-6 Hedgerow Data'!AH8</f>
        <v>Like for like or better</v>
      </c>
      <c r="E151" s="592">
        <f>SUMIF('B-1 Site Hedge Baseline'!$D$10:$D$257,'G-2 Habitat groups'!A151,'B-1 Site Hedge Baseline'!$E$10:$E$257)</f>
        <v>0</v>
      </c>
      <c r="F151" s="592">
        <f>SUMIF('B-1 Site Hedge Baseline'!$D$10:$D$257,'G-2 Habitat groups'!A151,'B-1 Site Hedge Baseline'!$N$10:$N$257)</f>
        <v>0</v>
      </c>
      <c r="G151" s="592">
        <f>SUMIF('B-1 Site Hedge Baseline'!$D$10:$D$257,'G-2 Habitat groups'!A151,'B-1 Site Hedge Baseline'!$P$10:$P$257)</f>
        <v>0</v>
      </c>
      <c r="H151" s="592">
        <f>SUMIF('B-1 Site Hedge Baseline'!$D$10:$D$257,'G-2 Habitat groups'!A151,'B-1 Site Hedge Baseline'!$R$10:$R$257)</f>
        <v>0</v>
      </c>
      <c r="I151" s="592">
        <f>SUMIF('B-1 Site Hedge Baseline'!$D$10:$D$257,'G-2 Habitat groups'!A151,'B-1 Site Hedge Baseline'!$T$10:$T$257)</f>
        <v>0</v>
      </c>
      <c r="J151" s="592">
        <f>SUMIF('A-1 Site Habitat Baseline'!$G$11:$G$258,'G-2 Habitat groups'!A151,'A-1 Site Habitat Baseline'!$X$11:$X$258)</f>
        <v>0</v>
      </c>
      <c r="K151" s="592">
        <f>SUMIF('B-2 Site Hedge Creation'!$D$12:$D$259,'G-2 Habitat groups'!A151,'B-2 Site Hedge Creation'!$E$12:$E$259)</f>
        <v>0</v>
      </c>
      <c r="L151" s="592">
        <f>SUMIF('B-2 Site Hedge Creation'!$D$12:$D$259,'G-2 Habitat groups'!A151,'B-2 Site Hedge Creation'!$W$12:$W$259)</f>
        <v>0</v>
      </c>
      <c r="M151" s="592">
        <f>SUMIF('B-3 Site Hedge Enhancement'!$M$12:$M$257,'G-2 Habitat groups'!A151,'B-3 Site Hedge Enhancement'!$P$12:$P$257)</f>
        <v>0</v>
      </c>
      <c r="N151" s="592">
        <f>SUMIF('B-3 Site Hedge Enhancement'!$M$12:$M$257,'G-2 Habitat groups'!A151,'B-3 Site Hedge Enhancement'!$AH$12:$AH$257)</f>
        <v>0</v>
      </c>
      <c r="O151" s="592">
        <f t="shared" si="143"/>
        <v>0</v>
      </c>
      <c r="P151" s="592">
        <f t="shared" si="144"/>
        <v>0</v>
      </c>
      <c r="Q151" s="592">
        <f t="shared" si="145"/>
        <v>0</v>
      </c>
      <c r="R151" s="592">
        <f t="shared" si="146"/>
        <v>0</v>
      </c>
      <c r="S151" s="592">
        <f>SUMIF('E-1 Off Site Hedge Baseline'!$D$10:$D$257,'G-2 Habitat groups'!A151,'E-1 Off Site Hedge Baseline'!$E$10:$E$257)</f>
        <v>0</v>
      </c>
      <c r="T151" s="494">
        <f>SUMIF('E-1 Off Site Hedge Baseline'!$D$10:$D$257,'G-2 Habitat groups'!A151,'E-1 Off Site Hedge Baseline'!$N$10:$N$257)</f>
        <v>0</v>
      </c>
      <c r="U151" s="494">
        <f>SUMIF('E-1 Off Site Hedge Baseline'!$D$10:$D$257,'G-2 Habitat groups'!A151,'E-1 Off Site Hedge Baseline'!$P$10:$P$257)</f>
        <v>0</v>
      </c>
      <c r="V151" s="494">
        <f>SUMIF('E-1 Off Site Hedge Baseline'!$D$10:$D$257,'G-2 Habitat groups'!A151,'E-1 Off Site Hedge Baseline'!$R$10:$R$257)</f>
        <v>0</v>
      </c>
      <c r="W151" s="494">
        <f>SUMIF('E-2 Off Site Hedge Creation'!$D$12:$D$259,'G-2 Habitat groups'!A151,'E-2 Off Site Hedge Creation'!$R$12:$R$259)</f>
        <v>0</v>
      </c>
      <c r="X151" s="494">
        <f>SUMIF('E-2 Off Site Hedge Creation'!$D$12:$D$259,'G-2 Habitat groups'!A151,'E-2 Off Site Hedge Creation'!$Y$12:$Y$259)</f>
        <v>0</v>
      </c>
      <c r="Y151" s="494">
        <f>SUMIF('E-3 Off Site Hedge Enhancement'!$M$12:$M$259,'G-2 Habitat groups'!A151,'E-3 Off Site Hedge Enhancement'!$P$12:$P$259)</f>
        <v>0</v>
      </c>
      <c r="Z151" s="494">
        <f>SUMIF('E-3 Off Site Hedge Enhancement'!$M$12:$M$259,'G-2 Habitat groups'!A151,'E-3 Off Site Hedge Enhancement'!$AJ$12:$AJ$259)</f>
        <v>0</v>
      </c>
      <c r="AA151" s="592">
        <f t="shared" si="151"/>
        <v>0</v>
      </c>
      <c r="AB151" s="592">
        <f t="shared" si="152"/>
        <v>0</v>
      </c>
      <c r="AC151" s="592">
        <f t="shared" si="147"/>
        <v>0</v>
      </c>
      <c r="AD151" s="592">
        <f t="shared" si="148"/>
        <v>0</v>
      </c>
      <c r="AE151" s="592">
        <f t="shared" si="149"/>
        <v>0</v>
      </c>
      <c r="AF151" s="592">
        <f t="shared" si="150"/>
        <v>0</v>
      </c>
      <c r="AU151" s="88" t="s">
        <v>173</v>
      </c>
      <c r="AV151" s="88" t="s">
        <v>160</v>
      </c>
      <c r="AW151" s="120" t="s">
        <v>851</v>
      </c>
      <c r="AX151" s="120" t="s">
        <v>856</v>
      </c>
      <c r="AY151" s="120" t="s">
        <v>853</v>
      </c>
      <c r="AZ151" s="120" t="s">
        <v>854</v>
      </c>
      <c r="BA151" s="120" t="s">
        <v>855</v>
      </c>
      <c r="BB151" s="120" t="s">
        <v>161</v>
      </c>
      <c r="BC151" s="120" t="s">
        <v>857</v>
      </c>
      <c r="BD151" s="128" t="s">
        <v>858</v>
      </c>
      <c r="BE151" s="120" t="s">
        <v>859</v>
      </c>
      <c r="BF151" s="128" t="s">
        <v>868</v>
      </c>
    </row>
    <row r="152" spans="1:59" x14ac:dyDescent="0.3">
      <c r="A152" s="104" t="str">
        <f>'G-6 Hedgerow Data'!B9</f>
        <v>Native Hedgerow with trees</v>
      </c>
      <c r="B152" s="88" t="s">
        <v>894</v>
      </c>
      <c r="C152" s="88" t="str">
        <f>'G-6 Hedgerow Data'!C9</f>
        <v>Medium</v>
      </c>
      <c r="D152" s="88" t="str">
        <f>'G-6 Hedgerow Data'!AH9</f>
        <v>Like for like or better</v>
      </c>
      <c r="E152" s="494">
        <f>SUMIF('B-1 Site Hedge Baseline'!$D$10:$D$257,'G-2 Habitat groups'!A152,'B-1 Site Hedge Baseline'!$E$10:$E$257)</f>
        <v>0</v>
      </c>
      <c r="F152" s="494">
        <f>SUMIF('B-1 Site Hedge Baseline'!$D$10:$D$257,'G-2 Habitat groups'!A152,'B-1 Site Hedge Baseline'!$N$10:$N$257)</f>
        <v>0</v>
      </c>
      <c r="G152" s="494">
        <f>SUMIF('B-1 Site Hedge Baseline'!$D$10:$D$257,'G-2 Habitat groups'!A152,'B-1 Site Hedge Baseline'!$P$10:$P$257)</f>
        <v>0</v>
      </c>
      <c r="H152" s="494">
        <f>SUMIF('B-1 Site Hedge Baseline'!$D$10:$D$257,'G-2 Habitat groups'!A152,'B-1 Site Hedge Baseline'!$R$10:$R$257)</f>
        <v>0</v>
      </c>
      <c r="I152" s="494">
        <f>SUMIF('B-1 Site Hedge Baseline'!$D$10:$D$257,'G-2 Habitat groups'!A152,'B-1 Site Hedge Baseline'!$T$10:$T$257)</f>
        <v>0</v>
      </c>
      <c r="J152" s="494">
        <f>SUMIF('A-1 Site Habitat Baseline'!$G$11:$G$258,'G-2 Habitat groups'!A152,'A-1 Site Habitat Baseline'!$X$11:$X$258)</f>
        <v>0</v>
      </c>
      <c r="K152" s="494">
        <f>SUMIF('B-2 Site Hedge Creation'!$D$12:$D$259,'G-2 Habitat groups'!A152,'B-2 Site Hedge Creation'!$E$12:$E$259)</f>
        <v>0</v>
      </c>
      <c r="L152" s="494">
        <f>SUMIF('B-2 Site Hedge Creation'!$D$12:$D$259,'G-2 Habitat groups'!A152,'B-2 Site Hedge Creation'!$W$12:$W$259)</f>
        <v>0</v>
      </c>
      <c r="M152" s="494">
        <f>SUMIF('B-3 Site Hedge Enhancement'!$M$12:$M$257,'G-2 Habitat groups'!A152,'B-3 Site Hedge Enhancement'!$P$12:$P$257)</f>
        <v>0</v>
      </c>
      <c r="N152" s="494">
        <f>SUMIF('B-3 Site Hedge Enhancement'!$M$12:$M$257,'G-2 Habitat groups'!A152,'B-3 Site Hedge Enhancement'!$AH$12:$AH$257)</f>
        <v>0</v>
      </c>
      <c r="O152" s="494">
        <f t="shared" si="143"/>
        <v>0</v>
      </c>
      <c r="P152" s="494">
        <f t="shared" si="144"/>
        <v>0</v>
      </c>
      <c r="Q152" s="494">
        <f t="shared" si="145"/>
        <v>0</v>
      </c>
      <c r="R152" s="494">
        <f t="shared" si="146"/>
        <v>0</v>
      </c>
      <c r="S152" s="494">
        <f>SUMIF('E-1 Off Site Hedge Baseline'!$D$10:$D$257,'G-2 Habitat groups'!A152,'E-1 Off Site Hedge Baseline'!$E$10:$E$257)</f>
        <v>0</v>
      </c>
      <c r="T152" s="494">
        <f>SUMIF('E-1 Off Site Hedge Baseline'!$D$10:$D$257,'G-2 Habitat groups'!A152,'E-1 Off Site Hedge Baseline'!$N$10:$N$257)</f>
        <v>0</v>
      </c>
      <c r="U152" s="494">
        <f>SUMIF('E-1 Off Site Hedge Baseline'!$D$10:$D$257,'G-2 Habitat groups'!A152,'E-1 Off Site Hedge Baseline'!$P$10:$P$257)</f>
        <v>0</v>
      </c>
      <c r="V152" s="494">
        <f>SUMIF('E-1 Off Site Hedge Baseline'!$D$10:$D$257,'G-2 Habitat groups'!A152,'E-1 Off Site Hedge Baseline'!$R$10:$R$257)</f>
        <v>0</v>
      </c>
      <c r="W152" s="494">
        <f>SUMIF('E-2 Off Site Hedge Creation'!$D$12:$D$259,'G-2 Habitat groups'!A152,'E-2 Off Site Hedge Creation'!$R$12:$R$259)</f>
        <v>0</v>
      </c>
      <c r="X152" s="494">
        <f>SUMIF('E-2 Off Site Hedge Creation'!$D$12:$D$259,'G-2 Habitat groups'!A152,'E-2 Off Site Hedge Creation'!$Y$12:$Y$259)</f>
        <v>0</v>
      </c>
      <c r="Y152" s="494">
        <f>SUMIF('E-3 Off Site Hedge Enhancement'!$M$12:$M$259,'G-2 Habitat groups'!A152,'E-3 Off Site Hedge Enhancement'!$P$12:$P$259)</f>
        <v>0</v>
      </c>
      <c r="Z152" s="494">
        <f>SUMIF('E-3 Off Site Hedge Enhancement'!$M$12:$M$259,'G-2 Habitat groups'!A152,'E-3 Off Site Hedge Enhancement'!$AJ$12:$AJ$259)</f>
        <v>0</v>
      </c>
      <c r="AA152" s="494">
        <f t="shared" si="151"/>
        <v>0</v>
      </c>
      <c r="AB152" s="494">
        <f t="shared" si="152"/>
        <v>0</v>
      </c>
      <c r="AC152" s="494">
        <f t="shared" si="147"/>
        <v>0</v>
      </c>
      <c r="AD152" s="494">
        <f t="shared" si="148"/>
        <v>0</v>
      </c>
      <c r="AE152" s="494">
        <f t="shared" si="149"/>
        <v>0</v>
      </c>
      <c r="AF152" s="494">
        <f t="shared" si="150"/>
        <v>0</v>
      </c>
      <c r="AU152" s="104" t="s">
        <v>587</v>
      </c>
      <c r="AV152" s="88" t="s">
        <v>74</v>
      </c>
      <c r="AW152" s="494">
        <f>VLOOKUP($AU152,AllHabsSummaryData,5,FALSE)</f>
        <v>0</v>
      </c>
      <c r="AX152" s="494">
        <f>VLOOKUP($AU152,AllHabsSummaryData,10,FALSE)</f>
        <v>0</v>
      </c>
      <c r="AY152" s="494">
        <f>VLOOKUP($AU152,AllHabsSummaryData,15,FALSE)</f>
        <v>0</v>
      </c>
      <c r="AZ152" s="494">
        <f>VLOOKUP($AU152,AllHabsSummaryData,16,FALSE)</f>
        <v>0</v>
      </c>
      <c r="BA152" s="494">
        <f>VLOOKUP($AU152,AllHabsSummaryData,17,FALSE)</f>
        <v>0</v>
      </c>
      <c r="BB152" s="494">
        <f>VLOOKUP($AU152,AllHabsSummaryData,18,FALSE)</f>
        <v>0</v>
      </c>
      <c r="BC152" s="494">
        <f>VLOOKUP($AU152,AllHabsSummaryData,27,FALSE)</f>
        <v>0</v>
      </c>
      <c r="BD152" s="494">
        <f>VLOOKUP($AU152,AllHabsSummaryData,30,FALSE)</f>
        <v>0</v>
      </c>
      <c r="BE152" s="494">
        <f>BB152+BD152</f>
        <v>0</v>
      </c>
      <c r="BF152" s="494" t="str">
        <f>IF(BE152&lt;0,BE152,"")</f>
        <v/>
      </c>
    </row>
    <row r="153" spans="1:59" x14ac:dyDescent="0.3">
      <c r="A153" s="104" t="str">
        <f>'G-6 Hedgerow Data'!B10</f>
        <v>Line of Trees (Ecologically Valuable)</v>
      </c>
      <c r="B153" s="88" t="s">
        <v>894</v>
      </c>
      <c r="C153" s="88" t="str">
        <f>'G-6 Hedgerow Data'!C10</f>
        <v>Medium</v>
      </c>
      <c r="D153" s="88" t="str">
        <f>'G-6 Hedgerow Data'!AH10</f>
        <v>Like for like or better</v>
      </c>
      <c r="E153" s="494">
        <f>SUMIF('B-1 Site Hedge Baseline'!$D$10:$D$257,'G-2 Habitat groups'!A153,'B-1 Site Hedge Baseline'!$E$10:$E$257)</f>
        <v>0</v>
      </c>
      <c r="F153" s="494">
        <f>SUMIF('B-1 Site Hedge Baseline'!$D$10:$D$257,'G-2 Habitat groups'!A153,'B-1 Site Hedge Baseline'!$N$10:$N$257)</f>
        <v>0</v>
      </c>
      <c r="G153" s="494">
        <f>SUMIF('B-1 Site Hedge Baseline'!$D$10:$D$257,'G-2 Habitat groups'!A153,'B-1 Site Hedge Baseline'!$P$10:$P$257)</f>
        <v>0</v>
      </c>
      <c r="H153" s="494">
        <f>SUMIF('B-1 Site Hedge Baseline'!$D$10:$D$257,'G-2 Habitat groups'!A153,'B-1 Site Hedge Baseline'!$R$10:$R$257)</f>
        <v>0</v>
      </c>
      <c r="I153" s="494">
        <f>SUMIF('B-1 Site Hedge Baseline'!$D$10:$D$257,'G-2 Habitat groups'!A153,'B-1 Site Hedge Baseline'!$T$10:$T$257)</f>
        <v>0</v>
      </c>
      <c r="J153" s="494">
        <f>SUMIF('A-1 Site Habitat Baseline'!$G$11:$G$258,'G-2 Habitat groups'!A153,'A-1 Site Habitat Baseline'!$X$11:$X$258)</f>
        <v>0</v>
      </c>
      <c r="K153" s="494">
        <f>SUMIF('B-2 Site Hedge Creation'!$D$12:$D$259,'G-2 Habitat groups'!A153,'B-2 Site Hedge Creation'!$E$12:$E$259)</f>
        <v>0</v>
      </c>
      <c r="L153" s="494">
        <f>SUMIF('B-2 Site Hedge Creation'!$D$12:$D$259,'G-2 Habitat groups'!A153,'B-2 Site Hedge Creation'!$W$12:$W$259)</f>
        <v>0</v>
      </c>
      <c r="M153" s="494">
        <f>SUMIF('B-3 Site Hedge Enhancement'!$M$12:$M$257,'G-2 Habitat groups'!A153,'B-3 Site Hedge Enhancement'!$P$12:$P$257)</f>
        <v>0</v>
      </c>
      <c r="N153" s="494">
        <f>SUMIF('B-3 Site Hedge Enhancement'!$M$12:$M$257,'G-2 Habitat groups'!A153,'B-3 Site Hedge Enhancement'!$AH$12:$AH$257)</f>
        <v>0</v>
      </c>
      <c r="O153" s="494">
        <f t="shared" si="143"/>
        <v>0</v>
      </c>
      <c r="P153" s="494">
        <f t="shared" si="144"/>
        <v>0</v>
      </c>
      <c r="Q153" s="494">
        <f t="shared" si="145"/>
        <v>0</v>
      </c>
      <c r="R153" s="494">
        <f t="shared" si="146"/>
        <v>0</v>
      </c>
      <c r="S153" s="494">
        <f>SUMIF('E-1 Off Site Hedge Baseline'!$D$10:$D$257,'G-2 Habitat groups'!A153,'E-1 Off Site Hedge Baseline'!$E$10:$E$257)</f>
        <v>0</v>
      </c>
      <c r="T153" s="494">
        <f>SUMIF('E-1 Off Site Hedge Baseline'!$D$10:$D$257,'G-2 Habitat groups'!A153,'E-1 Off Site Hedge Baseline'!$N$10:$N$257)</f>
        <v>0</v>
      </c>
      <c r="U153" s="494">
        <f>SUMIF('E-1 Off Site Hedge Baseline'!$D$10:$D$257,'G-2 Habitat groups'!A153,'E-1 Off Site Hedge Baseline'!$P$10:$P$257)</f>
        <v>0</v>
      </c>
      <c r="V153" s="494">
        <f>SUMIF('E-1 Off Site Hedge Baseline'!$D$10:$D$257,'G-2 Habitat groups'!A153,'E-1 Off Site Hedge Baseline'!$R$10:$R$257)</f>
        <v>0</v>
      </c>
      <c r="W153" s="494">
        <f>SUMIF('E-2 Off Site Hedge Creation'!$D$12:$D$259,'G-2 Habitat groups'!A153,'E-2 Off Site Hedge Creation'!$R$12:$R$259)</f>
        <v>0</v>
      </c>
      <c r="X153" s="494">
        <f>SUMIF('E-2 Off Site Hedge Creation'!$D$12:$D$259,'G-2 Habitat groups'!A153,'E-2 Off Site Hedge Creation'!$Y$12:$Y$259)</f>
        <v>0</v>
      </c>
      <c r="Y153" s="494">
        <f>SUMIF('E-3 Off Site Hedge Enhancement'!$M$12:$M$259,'G-2 Habitat groups'!A153,'E-3 Off Site Hedge Enhancement'!$P$12:$P$259)</f>
        <v>0</v>
      </c>
      <c r="Z153" s="494">
        <f>SUMIF('E-3 Off Site Hedge Enhancement'!$M$12:$M$259,'G-2 Habitat groups'!A153,'E-3 Off Site Hedge Enhancement'!$AJ$12:$AJ$259)</f>
        <v>0</v>
      </c>
      <c r="AA153" s="494">
        <f t="shared" si="151"/>
        <v>0</v>
      </c>
      <c r="AB153" s="494">
        <f t="shared" si="152"/>
        <v>0</v>
      </c>
      <c r="AC153" s="494">
        <f t="shared" si="147"/>
        <v>0</v>
      </c>
      <c r="AD153" s="494">
        <f t="shared" si="148"/>
        <v>0</v>
      </c>
      <c r="AE153" s="494">
        <f t="shared" si="149"/>
        <v>0</v>
      </c>
      <c r="AF153" s="494">
        <f t="shared" si="150"/>
        <v>0</v>
      </c>
      <c r="AU153" s="104" t="s">
        <v>595</v>
      </c>
      <c r="AV153" s="88" t="s">
        <v>74</v>
      </c>
      <c r="AW153" s="494">
        <f>VLOOKUP($AU153,AllHabsSummaryData,5,FALSE)</f>
        <v>0</v>
      </c>
      <c r="AX153" s="494">
        <f>VLOOKUP($AU153,AllHabsSummaryData,10,FALSE)</f>
        <v>0</v>
      </c>
      <c r="AY153" s="494">
        <f>VLOOKUP($AU153,AllHabsSummaryData,15,FALSE)</f>
        <v>0</v>
      </c>
      <c r="AZ153" s="494">
        <f>VLOOKUP($AU153,AllHabsSummaryData,16,FALSE)</f>
        <v>0</v>
      </c>
      <c r="BA153" s="494">
        <f>VLOOKUP($AU153,AllHabsSummaryData,17,FALSE)</f>
        <v>0</v>
      </c>
      <c r="BB153" s="494">
        <f>VLOOKUP($AU153,AllHabsSummaryData,18,FALSE)</f>
        <v>0</v>
      </c>
      <c r="BC153" s="494">
        <f>VLOOKUP($AU153,AllHabsSummaryData,27,FALSE)</f>
        <v>0</v>
      </c>
      <c r="BD153" s="494">
        <f>VLOOKUP($AU153,AllHabsSummaryData,30,FALSE)</f>
        <v>0</v>
      </c>
      <c r="BE153" s="494">
        <f>BB153+BD153</f>
        <v>0</v>
      </c>
      <c r="BF153" s="494" t="str">
        <f>IF(BE153&lt;0,BE153,"")</f>
        <v/>
      </c>
    </row>
    <row r="154" spans="1:59" x14ac:dyDescent="0.3">
      <c r="A154" s="104" t="str">
        <f>'G-6 Hedgerow Data'!B11</f>
        <v>Line of Trees (Ecologically Valuable) - with Bank or Ditch</v>
      </c>
      <c r="B154" s="88" t="s">
        <v>894</v>
      </c>
      <c r="C154" s="88" t="str">
        <f>'G-6 Hedgerow Data'!C11</f>
        <v>Medium</v>
      </c>
      <c r="D154" s="88" t="str">
        <f>'G-6 Hedgerow Data'!AH11</f>
        <v>Like for like or better</v>
      </c>
      <c r="E154" s="494">
        <f>SUMIF('B-1 Site Hedge Baseline'!$D$10:$D$257,'G-2 Habitat groups'!A154,'B-1 Site Hedge Baseline'!$E$10:$E$257)</f>
        <v>0</v>
      </c>
      <c r="F154" s="494">
        <f>SUMIF('B-1 Site Hedge Baseline'!$D$10:$D$257,'G-2 Habitat groups'!A154,'B-1 Site Hedge Baseline'!$N$10:$N$257)</f>
        <v>0</v>
      </c>
      <c r="G154" s="494">
        <f>SUMIF('B-1 Site Hedge Baseline'!$D$10:$D$257,'G-2 Habitat groups'!A154,'B-1 Site Hedge Baseline'!$P$10:$P$257)</f>
        <v>0</v>
      </c>
      <c r="H154" s="494">
        <f>SUMIF('B-1 Site Hedge Baseline'!$D$10:$D$257,'G-2 Habitat groups'!A154,'B-1 Site Hedge Baseline'!$R$10:$R$257)</f>
        <v>0</v>
      </c>
      <c r="I154" s="494">
        <f>SUMIF('B-1 Site Hedge Baseline'!$D$10:$D$257,'G-2 Habitat groups'!A154,'B-1 Site Hedge Baseline'!$T$10:$T$257)</f>
        <v>0</v>
      </c>
      <c r="J154" s="494">
        <f>SUMIF('A-1 Site Habitat Baseline'!$G$11:$G$258,'G-2 Habitat groups'!A154,'A-1 Site Habitat Baseline'!$X$11:$X$258)</f>
        <v>0</v>
      </c>
      <c r="K154" s="494">
        <f>SUMIF('B-2 Site Hedge Creation'!$D$12:$D$259,'G-2 Habitat groups'!A154,'B-2 Site Hedge Creation'!$E$12:$E$259)</f>
        <v>0</v>
      </c>
      <c r="L154" s="494">
        <f>SUMIF('B-2 Site Hedge Creation'!$D$12:$D$259,'G-2 Habitat groups'!A154,'B-2 Site Hedge Creation'!$W$12:$W$259)</f>
        <v>0</v>
      </c>
      <c r="M154" s="494">
        <f>SUMIF('B-3 Site Hedge Enhancement'!$M$12:$M$257,'G-2 Habitat groups'!A154,'B-3 Site Hedge Enhancement'!$P$12:$P$257)</f>
        <v>0</v>
      </c>
      <c r="N154" s="494">
        <f>SUMIF('B-3 Site Hedge Enhancement'!$M$12:$M$257,'G-2 Habitat groups'!A154,'B-3 Site Hedge Enhancement'!$AH$12:$AH$257)</f>
        <v>0</v>
      </c>
      <c r="O154" s="494">
        <f t="shared" si="143"/>
        <v>0</v>
      </c>
      <c r="P154" s="494">
        <f t="shared" si="144"/>
        <v>0</v>
      </c>
      <c r="Q154" s="494">
        <f t="shared" si="145"/>
        <v>0</v>
      </c>
      <c r="R154" s="494">
        <f t="shared" si="146"/>
        <v>0</v>
      </c>
      <c r="S154" s="494">
        <f>SUMIF('E-1 Off Site Hedge Baseline'!$D$10:$D$257,'G-2 Habitat groups'!A154,'E-1 Off Site Hedge Baseline'!$E$10:$E$257)</f>
        <v>0</v>
      </c>
      <c r="T154" s="494">
        <f>SUMIF('E-1 Off Site Hedge Baseline'!$D$10:$D$257,'G-2 Habitat groups'!A154,'E-1 Off Site Hedge Baseline'!$N$10:$N$257)</f>
        <v>0</v>
      </c>
      <c r="U154" s="494">
        <f>SUMIF('E-1 Off Site Hedge Baseline'!$D$10:$D$257,'G-2 Habitat groups'!A154,'E-1 Off Site Hedge Baseline'!$P$10:$P$257)</f>
        <v>0</v>
      </c>
      <c r="V154" s="494">
        <f>SUMIF('E-1 Off Site Hedge Baseline'!$D$10:$D$257,'G-2 Habitat groups'!A154,'E-1 Off Site Hedge Baseline'!$R$10:$R$257)</f>
        <v>0</v>
      </c>
      <c r="W154" s="494">
        <f>SUMIF('E-2 Off Site Hedge Creation'!$D$12:$D$259,'G-2 Habitat groups'!A154,'E-2 Off Site Hedge Creation'!$R$12:$R$259)</f>
        <v>0</v>
      </c>
      <c r="X154" s="494">
        <f>SUMIF('E-2 Off Site Hedge Creation'!$D$12:$D$259,'G-2 Habitat groups'!A154,'E-2 Off Site Hedge Creation'!$Y$12:$Y$259)</f>
        <v>0</v>
      </c>
      <c r="Y154" s="494">
        <f>SUMIF('E-3 Off Site Hedge Enhancement'!$M$12:$M$259,'G-2 Habitat groups'!A154,'E-3 Off Site Hedge Enhancement'!$P$12:$P$259)</f>
        <v>0</v>
      </c>
      <c r="Z154" s="494">
        <f>SUMIF('E-3 Off Site Hedge Enhancement'!$M$12:$M$259,'G-2 Habitat groups'!A154,'E-3 Off Site Hedge Enhancement'!$AJ$12:$AJ$259)</f>
        <v>0</v>
      </c>
      <c r="AA154" s="494">
        <f t="shared" si="151"/>
        <v>0</v>
      </c>
      <c r="AB154" s="494">
        <f t="shared" si="152"/>
        <v>0</v>
      </c>
      <c r="AC154" s="494">
        <f t="shared" si="147"/>
        <v>0</v>
      </c>
      <c r="AD154" s="494">
        <f t="shared" si="148"/>
        <v>0</v>
      </c>
      <c r="AE154" s="494">
        <f t="shared" si="149"/>
        <v>0</v>
      </c>
      <c r="AF154" s="494">
        <f t="shared" si="150"/>
        <v>0</v>
      </c>
      <c r="AU154" s="104" t="s">
        <v>600</v>
      </c>
      <c r="AV154" s="88" t="s">
        <v>74</v>
      </c>
      <c r="AW154" s="494">
        <f>VLOOKUP($AU154,AllHabsSummaryData,5,FALSE)</f>
        <v>0.77265700000000004</v>
      </c>
      <c r="AX154" s="494">
        <f>VLOOKUP($AU154,AllHabsSummaryData,10,FALSE)</f>
        <v>0</v>
      </c>
      <c r="AY154" s="494">
        <f>VLOOKUP($AU154,AllHabsSummaryData,15,FALSE)</f>
        <v>1.3666</v>
      </c>
      <c r="AZ154" s="494">
        <f>VLOOKUP($AU154,AllHabsSummaryData,16,FALSE)</f>
        <v>0</v>
      </c>
      <c r="BA154" s="494">
        <f>VLOOKUP($AU154,AllHabsSummaryData,17,FALSE)</f>
        <v>0.593943</v>
      </c>
      <c r="BB154" s="494">
        <f>VLOOKUP($AU154,AllHabsSummaryData,18,FALSE)</f>
        <v>0</v>
      </c>
      <c r="BC154" s="494">
        <f>VLOOKUP($AU154,AllHabsSummaryData,27,FALSE)</f>
        <v>0</v>
      </c>
      <c r="BD154" s="494">
        <f>VLOOKUP($AU154,AllHabsSummaryData,30,FALSE)</f>
        <v>0</v>
      </c>
      <c r="BE154" s="494">
        <f>BB154+BD154</f>
        <v>0</v>
      </c>
      <c r="BF154" s="494" t="str">
        <f>IF(BE154&lt;0,BE154,"")</f>
        <v/>
      </c>
    </row>
    <row r="155" spans="1:59" x14ac:dyDescent="0.3">
      <c r="A155" s="104" t="str">
        <f>'G-6 Hedgerow Data'!B12</f>
        <v>Native Hedgerow</v>
      </c>
      <c r="B155" s="88" t="s">
        <v>894</v>
      </c>
      <c r="C155" s="88" t="str">
        <f>'G-6 Hedgerow Data'!C12</f>
        <v>Low</v>
      </c>
      <c r="D155" s="88" t="str">
        <f>'G-6 Hedgerow Data'!AH12</f>
        <v>Same distinctiveness band or better</v>
      </c>
      <c r="E155" s="494">
        <f>SUMIF('B-1 Site Hedge Baseline'!$D$10:$D$257,'G-2 Habitat groups'!A155,'B-1 Site Hedge Baseline'!$E$10:$E$257)</f>
        <v>0</v>
      </c>
      <c r="F155" s="494">
        <f>SUMIF('B-1 Site Hedge Baseline'!$D$10:$D$257,'G-2 Habitat groups'!A155,'B-1 Site Hedge Baseline'!$N$10:$N$257)</f>
        <v>0</v>
      </c>
      <c r="G155" s="494">
        <f>SUMIF('B-1 Site Hedge Baseline'!$D$10:$D$257,'G-2 Habitat groups'!A155,'B-1 Site Hedge Baseline'!$P$10:$P$257)</f>
        <v>0</v>
      </c>
      <c r="H155" s="494">
        <f>SUMIF('B-1 Site Hedge Baseline'!$D$10:$D$257,'G-2 Habitat groups'!A155,'B-1 Site Hedge Baseline'!$R$10:$R$257)</f>
        <v>0</v>
      </c>
      <c r="I155" s="494">
        <f>SUMIF('B-1 Site Hedge Baseline'!$D$10:$D$257,'G-2 Habitat groups'!A155,'B-1 Site Hedge Baseline'!$T$10:$T$257)</f>
        <v>0</v>
      </c>
      <c r="J155" s="494">
        <f>SUMIF('A-1 Site Habitat Baseline'!$G$11:$G$258,'G-2 Habitat groups'!A155,'A-1 Site Habitat Baseline'!$X$11:$X$258)</f>
        <v>0</v>
      </c>
      <c r="K155" s="494">
        <f>SUMIF('B-2 Site Hedge Creation'!$D$12:$D$259,'G-2 Habitat groups'!A155,'B-2 Site Hedge Creation'!$E$12:$E$259)</f>
        <v>0.246</v>
      </c>
      <c r="L155" s="494">
        <f>SUMIF('B-2 Site Hedge Creation'!$D$12:$D$259,'G-2 Habitat groups'!A155,'B-2 Site Hedge Creation'!$W$12:$W$259)</f>
        <v>0.82343944139040004</v>
      </c>
      <c r="M155" s="494">
        <f>SUMIF('B-3 Site Hedge Enhancement'!$M$12:$M$257,'G-2 Habitat groups'!A155,'B-3 Site Hedge Enhancement'!$P$12:$P$257)</f>
        <v>0</v>
      </c>
      <c r="N155" s="494">
        <f>SUMIF('B-3 Site Hedge Enhancement'!$M$12:$M$257,'G-2 Habitat groups'!A155,'B-3 Site Hedge Enhancement'!$AH$12:$AH$257)</f>
        <v>0</v>
      </c>
      <c r="O155" s="494">
        <f t="shared" si="143"/>
        <v>0.246</v>
      </c>
      <c r="P155" s="494">
        <f t="shared" si="144"/>
        <v>0.82343944139040004</v>
      </c>
      <c r="Q155" s="494">
        <f t="shared" si="145"/>
        <v>0.246</v>
      </c>
      <c r="R155" s="494">
        <f t="shared" si="146"/>
        <v>0.82343944139040004</v>
      </c>
      <c r="S155" s="494">
        <f>SUMIF('E-1 Off Site Hedge Baseline'!$D$10:$D$257,'G-2 Habitat groups'!A155,'E-1 Off Site Hedge Baseline'!$E$10:$E$257)</f>
        <v>0</v>
      </c>
      <c r="T155" s="494">
        <f>SUMIF('E-1 Off Site Hedge Baseline'!$D$10:$D$257,'G-2 Habitat groups'!A155,'E-1 Off Site Hedge Baseline'!$N$10:$N$257)</f>
        <v>0</v>
      </c>
      <c r="U155" s="494">
        <f>SUMIF('E-1 Off Site Hedge Baseline'!$D$10:$D$257,'G-2 Habitat groups'!A155,'E-1 Off Site Hedge Baseline'!$P$10:$P$257)</f>
        <v>0</v>
      </c>
      <c r="V155" s="494">
        <f>SUMIF('E-1 Off Site Hedge Baseline'!$D$10:$D$257,'G-2 Habitat groups'!A155,'E-1 Off Site Hedge Baseline'!$R$10:$R$257)</f>
        <v>0</v>
      </c>
      <c r="W155" s="494">
        <f>SUMIF('E-2 Off Site Hedge Creation'!$D$12:$D$259,'G-2 Habitat groups'!A155,'E-2 Off Site Hedge Creation'!$R$12:$R$259)</f>
        <v>0</v>
      </c>
      <c r="X155" s="494">
        <f>SUMIF('E-2 Off Site Hedge Creation'!$D$12:$D$259,'G-2 Habitat groups'!A155,'E-2 Off Site Hedge Creation'!$Y$12:$Y$259)</f>
        <v>0</v>
      </c>
      <c r="Y155" s="494">
        <f>SUMIF('E-3 Off Site Hedge Enhancement'!$M$12:$M$259,'G-2 Habitat groups'!A155,'E-3 Off Site Hedge Enhancement'!$P$12:$P$259)</f>
        <v>0</v>
      </c>
      <c r="Z155" s="494">
        <f>SUMIF('E-3 Off Site Hedge Enhancement'!$M$12:$M$259,'G-2 Habitat groups'!A155,'E-3 Off Site Hedge Enhancement'!$AJ$12:$AJ$259)</f>
        <v>0</v>
      </c>
      <c r="AA155" s="494">
        <f t="shared" si="151"/>
        <v>0</v>
      </c>
      <c r="AB155" s="494">
        <f t="shared" si="152"/>
        <v>0</v>
      </c>
      <c r="AC155" s="494">
        <f t="shared" si="147"/>
        <v>0</v>
      </c>
      <c r="AD155" s="494">
        <f t="shared" si="148"/>
        <v>0</v>
      </c>
      <c r="AE155" s="494">
        <f t="shared" si="149"/>
        <v>0.246</v>
      </c>
      <c r="AF155" s="494">
        <f t="shared" si="150"/>
        <v>0.82343944139040004</v>
      </c>
      <c r="AU155" s="104" t="s">
        <v>634</v>
      </c>
      <c r="AV155" s="88" t="s">
        <v>74</v>
      </c>
      <c r="AW155" s="494">
        <f>VLOOKUP($AU155,AllHabsSummaryData,5,FALSE)</f>
        <v>0</v>
      </c>
      <c r="AX155" s="494">
        <f>VLOOKUP($AU155,AllHabsSummaryData,10,FALSE)</f>
        <v>0</v>
      </c>
      <c r="AY155" s="494">
        <f>VLOOKUP($AU155,AllHabsSummaryData,15,FALSE)</f>
        <v>0</v>
      </c>
      <c r="AZ155" s="494">
        <f>VLOOKUP($AU155,AllHabsSummaryData,16,FALSE)</f>
        <v>0</v>
      </c>
      <c r="BA155" s="494">
        <f>VLOOKUP($AU155,AllHabsSummaryData,17,FALSE)</f>
        <v>0</v>
      </c>
      <c r="BB155" s="494">
        <f>VLOOKUP($AU155,AllHabsSummaryData,18,FALSE)</f>
        <v>0</v>
      </c>
      <c r="BC155" s="494">
        <f>VLOOKUP($AU155,AllHabsSummaryData,27,FALSE)</f>
        <v>0</v>
      </c>
      <c r="BD155" s="494">
        <f>VLOOKUP($AU155,AllHabsSummaryData,30,FALSE)</f>
        <v>0</v>
      </c>
      <c r="BE155" s="494">
        <f>BB155+BD155</f>
        <v>0</v>
      </c>
      <c r="BF155" s="494" t="str">
        <f>IF(BE155&lt;0,BE155,"")</f>
        <v/>
      </c>
    </row>
    <row r="156" spans="1:59" x14ac:dyDescent="0.3">
      <c r="A156" s="104" t="str">
        <f>'G-6 Hedgerow Data'!B13</f>
        <v>Line of Trees</v>
      </c>
      <c r="B156" s="88" t="s">
        <v>894</v>
      </c>
      <c r="C156" s="88" t="str">
        <f>'G-6 Hedgerow Data'!C13</f>
        <v>Low</v>
      </c>
      <c r="D156" s="88" t="str">
        <f>'G-6 Hedgerow Data'!AH13</f>
        <v>Same distinctiveness band or better</v>
      </c>
      <c r="E156" s="494">
        <f>SUMIF('B-1 Site Hedge Baseline'!$D$10:$D$257,'G-2 Habitat groups'!A156,'B-1 Site Hedge Baseline'!$E$10:$E$257)</f>
        <v>0</v>
      </c>
      <c r="F156" s="494">
        <f>SUMIF('B-1 Site Hedge Baseline'!$D$10:$D$257,'G-2 Habitat groups'!A156,'B-1 Site Hedge Baseline'!$N$10:$N$257)</f>
        <v>0</v>
      </c>
      <c r="G156" s="494">
        <f>SUMIF('B-1 Site Hedge Baseline'!$D$10:$D$257,'G-2 Habitat groups'!A156,'B-1 Site Hedge Baseline'!$P$10:$P$257)</f>
        <v>0</v>
      </c>
      <c r="H156" s="494">
        <f>SUMIF('B-1 Site Hedge Baseline'!$D$10:$D$257,'G-2 Habitat groups'!A156,'B-1 Site Hedge Baseline'!$R$10:$R$257)</f>
        <v>0</v>
      </c>
      <c r="I156" s="494">
        <f>SUMIF('B-1 Site Hedge Baseline'!$D$10:$D$257,'G-2 Habitat groups'!A156,'B-1 Site Hedge Baseline'!$T$10:$T$257)</f>
        <v>0</v>
      </c>
      <c r="J156" s="494">
        <f>SUMIF('A-1 Site Habitat Baseline'!$G$11:$G$258,'G-2 Habitat groups'!A156,'A-1 Site Habitat Baseline'!$X$11:$X$258)</f>
        <v>0</v>
      </c>
      <c r="K156" s="494">
        <f>SUMIF('B-2 Site Hedge Creation'!$D$12:$D$259,'G-2 Habitat groups'!A156,'B-2 Site Hedge Creation'!$E$12:$E$259)</f>
        <v>0</v>
      </c>
      <c r="L156" s="494">
        <f>SUMIF('B-2 Site Hedge Creation'!$D$12:$D$259,'G-2 Habitat groups'!A156,'B-2 Site Hedge Creation'!$W$12:$W$259)</f>
        <v>0</v>
      </c>
      <c r="M156" s="494">
        <f>SUMIF('B-3 Site Hedge Enhancement'!$M$12:$M$257,'G-2 Habitat groups'!A156,'B-3 Site Hedge Enhancement'!$P$12:$P$257)</f>
        <v>0</v>
      </c>
      <c r="N156" s="494">
        <f>SUMIF('B-3 Site Hedge Enhancement'!$M$12:$M$257,'G-2 Habitat groups'!A156,'B-3 Site Hedge Enhancement'!$AH$12:$AH$257)</f>
        <v>0</v>
      </c>
      <c r="O156" s="494">
        <f t="shared" si="143"/>
        <v>0</v>
      </c>
      <c r="P156" s="494">
        <f t="shared" si="144"/>
        <v>0</v>
      </c>
      <c r="Q156" s="494">
        <f t="shared" si="145"/>
        <v>0</v>
      </c>
      <c r="R156" s="494">
        <f t="shared" si="146"/>
        <v>0</v>
      </c>
      <c r="S156" s="494">
        <f>SUMIF('E-1 Off Site Hedge Baseline'!$D$10:$D$257,'G-2 Habitat groups'!A156,'E-1 Off Site Hedge Baseline'!$E$10:$E$257)</f>
        <v>0</v>
      </c>
      <c r="T156" s="494">
        <f>SUMIF('E-1 Off Site Hedge Baseline'!$D$10:$D$257,'G-2 Habitat groups'!A156,'E-1 Off Site Hedge Baseline'!$N$10:$N$257)</f>
        <v>0</v>
      </c>
      <c r="U156" s="494">
        <f>SUMIF('E-1 Off Site Hedge Baseline'!$D$10:$D$257,'G-2 Habitat groups'!A156,'E-1 Off Site Hedge Baseline'!$P$10:$P$257)</f>
        <v>0</v>
      </c>
      <c r="V156" s="494">
        <f>SUMIF('E-1 Off Site Hedge Baseline'!$D$10:$D$257,'G-2 Habitat groups'!A156,'E-1 Off Site Hedge Baseline'!$R$10:$R$257)</f>
        <v>0</v>
      </c>
      <c r="W156" s="494">
        <f>SUMIF('E-2 Off Site Hedge Creation'!$D$12:$D$259,'G-2 Habitat groups'!A156,'E-2 Off Site Hedge Creation'!$R$12:$R$259)</f>
        <v>0</v>
      </c>
      <c r="X156" s="494">
        <f>SUMIF('E-2 Off Site Hedge Creation'!$D$12:$D$259,'G-2 Habitat groups'!A156,'E-2 Off Site Hedge Creation'!$Y$12:$Y$259)</f>
        <v>0</v>
      </c>
      <c r="Y156" s="494">
        <f>SUMIF('E-3 Off Site Hedge Enhancement'!$M$12:$M$259,'G-2 Habitat groups'!A156,'E-3 Off Site Hedge Enhancement'!$P$12:$P$259)</f>
        <v>0</v>
      </c>
      <c r="Z156" s="494">
        <f>SUMIF('E-3 Off Site Hedge Enhancement'!$M$12:$M$259,'G-2 Habitat groups'!A156,'E-3 Off Site Hedge Enhancement'!$AJ$12:$AJ$259)</f>
        <v>0</v>
      </c>
      <c r="AA156" s="494">
        <f t="shared" si="151"/>
        <v>0</v>
      </c>
      <c r="AB156" s="494">
        <f t="shared" si="152"/>
        <v>0</v>
      </c>
      <c r="AC156" s="494">
        <f t="shared" si="147"/>
        <v>0</v>
      </c>
      <c r="AD156" s="494">
        <f t="shared" si="148"/>
        <v>0</v>
      </c>
      <c r="AE156" s="494">
        <f t="shared" si="149"/>
        <v>0</v>
      </c>
      <c r="AF156" s="494">
        <f t="shared" si="150"/>
        <v>0</v>
      </c>
    </row>
    <row r="157" spans="1:59" x14ac:dyDescent="0.3">
      <c r="A157" s="104" t="str">
        <f>'G-6 Hedgerow Data'!B14</f>
        <v>Line of Trees - Associated with bank or ditch</v>
      </c>
      <c r="B157" s="88" t="s">
        <v>894</v>
      </c>
      <c r="C157" s="88" t="str">
        <f>'G-6 Hedgerow Data'!C14</f>
        <v>Low</v>
      </c>
      <c r="D157" s="88" t="str">
        <f>'G-6 Hedgerow Data'!AH14</f>
        <v>Same distinctiveness band or better</v>
      </c>
      <c r="E157" s="494">
        <f>SUMIF('B-1 Site Hedge Baseline'!$D$10:$D$257,'G-2 Habitat groups'!A157,'B-1 Site Hedge Baseline'!$E$10:$E$257)</f>
        <v>0</v>
      </c>
      <c r="F157" s="494">
        <f>SUMIF('B-1 Site Hedge Baseline'!$D$10:$D$257,'G-2 Habitat groups'!A157,'B-1 Site Hedge Baseline'!$N$10:$N$257)</f>
        <v>0</v>
      </c>
      <c r="G157" s="494">
        <f>SUMIF('B-1 Site Hedge Baseline'!$D$10:$D$257,'G-2 Habitat groups'!A157,'B-1 Site Hedge Baseline'!$P$10:$P$257)</f>
        <v>0</v>
      </c>
      <c r="H157" s="494">
        <f>SUMIF('B-1 Site Hedge Baseline'!$D$10:$D$257,'G-2 Habitat groups'!A157,'B-1 Site Hedge Baseline'!$R$10:$R$257)</f>
        <v>0</v>
      </c>
      <c r="I157" s="494">
        <f>SUMIF('B-1 Site Hedge Baseline'!$D$10:$D$257,'G-2 Habitat groups'!A157,'B-1 Site Hedge Baseline'!$T$10:$T$257)</f>
        <v>0</v>
      </c>
      <c r="J157" s="494">
        <f>SUMIF('A-1 Site Habitat Baseline'!$G$11:$G$258,'G-2 Habitat groups'!A157,'A-1 Site Habitat Baseline'!$X$11:$X$258)</f>
        <v>0</v>
      </c>
      <c r="K157" s="494">
        <f>SUMIF('B-2 Site Hedge Creation'!$D$12:$D$259,'G-2 Habitat groups'!A157,'B-2 Site Hedge Creation'!$E$12:$E$259)</f>
        <v>0</v>
      </c>
      <c r="L157" s="494">
        <f>SUMIF('B-2 Site Hedge Creation'!$D$12:$D$259,'G-2 Habitat groups'!A157,'B-2 Site Hedge Creation'!$W$12:$W$259)</f>
        <v>0</v>
      </c>
      <c r="M157" s="494">
        <f>SUMIF('B-3 Site Hedge Enhancement'!$M$12:$M$257,'G-2 Habitat groups'!A157,'B-3 Site Hedge Enhancement'!$P$12:$P$257)</f>
        <v>0</v>
      </c>
      <c r="N157" s="494">
        <f>SUMIF('B-3 Site Hedge Enhancement'!$M$12:$M$257,'G-2 Habitat groups'!A157,'B-3 Site Hedge Enhancement'!$AH$12:$AH$257)</f>
        <v>0</v>
      </c>
      <c r="O157" s="494">
        <f t="shared" si="143"/>
        <v>0</v>
      </c>
      <c r="P157" s="494">
        <f t="shared" si="144"/>
        <v>0</v>
      </c>
      <c r="Q157" s="494">
        <f t="shared" si="145"/>
        <v>0</v>
      </c>
      <c r="R157" s="494">
        <f t="shared" si="146"/>
        <v>0</v>
      </c>
      <c r="S157" s="494">
        <f>SUMIF('E-1 Off Site Hedge Baseline'!$D$10:$D$257,'G-2 Habitat groups'!A157,'E-1 Off Site Hedge Baseline'!$E$10:$E$257)</f>
        <v>0</v>
      </c>
      <c r="T157" s="494">
        <f>SUMIF('E-1 Off Site Hedge Baseline'!$D$10:$D$257,'G-2 Habitat groups'!A157,'E-1 Off Site Hedge Baseline'!$N$10:$N$257)</f>
        <v>0</v>
      </c>
      <c r="U157" s="494">
        <f>SUMIF('E-1 Off Site Hedge Baseline'!$D$10:$D$257,'G-2 Habitat groups'!A157,'E-1 Off Site Hedge Baseline'!$P$10:$P$257)</f>
        <v>0</v>
      </c>
      <c r="V157" s="494">
        <f>SUMIF('E-1 Off Site Hedge Baseline'!$D$10:$D$257,'G-2 Habitat groups'!A157,'E-1 Off Site Hedge Baseline'!$R$10:$R$257)</f>
        <v>0</v>
      </c>
      <c r="W157" s="494">
        <f>SUMIF('E-2 Off Site Hedge Creation'!$D$12:$D$259,'G-2 Habitat groups'!A157,'E-2 Off Site Hedge Creation'!$R$12:$R$259)</f>
        <v>0</v>
      </c>
      <c r="X157" s="494">
        <f>SUMIF('E-2 Off Site Hedge Creation'!$D$12:$D$259,'G-2 Habitat groups'!A157,'E-2 Off Site Hedge Creation'!$Y$12:$Y$259)</f>
        <v>0</v>
      </c>
      <c r="Y157" s="494">
        <f>SUMIF('E-3 Off Site Hedge Enhancement'!$M$12:$M$259,'G-2 Habitat groups'!A157,'E-3 Off Site Hedge Enhancement'!$P$12:$P$259)</f>
        <v>0</v>
      </c>
      <c r="Z157" s="494">
        <f>SUMIF('E-3 Off Site Hedge Enhancement'!$M$12:$M$259,'G-2 Habitat groups'!A157,'E-3 Off Site Hedge Enhancement'!$AJ$12:$AJ$259)</f>
        <v>0</v>
      </c>
      <c r="AA157" s="494">
        <f t="shared" si="151"/>
        <v>0</v>
      </c>
      <c r="AB157" s="494">
        <f t="shared" si="152"/>
        <v>0</v>
      </c>
      <c r="AC157" s="494">
        <f t="shared" si="147"/>
        <v>0</v>
      </c>
      <c r="AD157" s="494">
        <f t="shared" si="148"/>
        <v>0</v>
      </c>
      <c r="AE157" s="494">
        <f t="shared" si="149"/>
        <v>0</v>
      </c>
      <c r="AF157" s="494">
        <f t="shared" si="150"/>
        <v>0</v>
      </c>
    </row>
    <row r="158" spans="1:59" x14ac:dyDescent="0.3">
      <c r="A158" s="104" t="str">
        <f>'G-6 Hedgerow Data'!B15</f>
        <v>Hedge Ornamental Non Native</v>
      </c>
      <c r="B158" s="88" t="s">
        <v>894</v>
      </c>
      <c r="C158" s="88" t="str">
        <f>'G-6 Hedgerow Data'!C15</f>
        <v>V.Low</v>
      </c>
      <c r="D158" s="88" t="str">
        <f>'G-6 Hedgerow Data'!AH15</f>
        <v>Same distinctiveness band or better</v>
      </c>
      <c r="E158" s="494">
        <f>SUMIF('B-1 Site Hedge Baseline'!$D$10:$D$257,'G-2 Habitat groups'!A158,'B-1 Site Hedge Baseline'!$E$10:$E$257)</f>
        <v>0</v>
      </c>
      <c r="F158" s="494">
        <f>SUMIF('B-1 Site Hedge Baseline'!$D$10:$D$257,'G-2 Habitat groups'!A158,'B-1 Site Hedge Baseline'!$N$10:$N$257)</f>
        <v>0</v>
      </c>
      <c r="G158" s="494">
        <f>SUMIF('B-1 Site Hedge Baseline'!$D$10:$D$257,'G-2 Habitat groups'!A158,'B-1 Site Hedge Baseline'!$P$10:$P$257)</f>
        <v>0</v>
      </c>
      <c r="H158" s="494">
        <f>SUMIF('B-1 Site Hedge Baseline'!$D$10:$D$257,'G-2 Habitat groups'!A158,'B-1 Site Hedge Baseline'!$R$10:$R$257)</f>
        <v>0</v>
      </c>
      <c r="I158" s="494">
        <f>SUMIF('B-1 Site Hedge Baseline'!$D$10:$D$257,'G-2 Habitat groups'!A158,'B-1 Site Hedge Baseline'!$T$10:$T$257)</f>
        <v>0</v>
      </c>
      <c r="J158" s="494">
        <f>SUMIF('A-1 Site Habitat Baseline'!$G$11:$G$258,'G-2 Habitat groups'!A158,'A-1 Site Habitat Baseline'!$X$11:$X$258)</f>
        <v>0</v>
      </c>
      <c r="K158" s="494">
        <f>SUMIF('B-2 Site Hedge Creation'!$D$12:$D$259,'G-2 Habitat groups'!A158,'B-2 Site Hedge Creation'!$E$12:$E$259)</f>
        <v>0</v>
      </c>
      <c r="L158" s="494">
        <f>SUMIF('B-2 Site Hedge Creation'!$D$12:$D$259,'G-2 Habitat groups'!A158,'B-2 Site Hedge Creation'!$W$12:$W$259)</f>
        <v>0</v>
      </c>
      <c r="M158" s="494">
        <f>SUMIF('B-3 Site Hedge Enhancement'!$M$12:$M$257,'G-2 Habitat groups'!A158,'B-3 Site Hedge Enhancement'!$P$12:$P$257)</f>
        <v>0</v>
      </c>
      <c r="N158" s="494">
        <f>SUMIF('B-3 Site Hedge Enhancement'!$M$12:$M$257,'G-2 Habitat groups'!A158,'B-3 Site Hedge Enhancement'!$AH$12:$AH$257)</f>
        <v>0</v>
      </c>
      <c r="O158" s="494">
        <f t="shared" si="143"/>
        <v>0</v>
      </c>
      <c r="P158" s="494">
        <f t="shared" si="144"/>
        <v>0</v>
      </c>
      <c r="Q158" s="494">
        <f t="shared" si="145"/>
        <v>0</v>
      </c>
      <c r="R158" s="494">
        <f t="shared" si="146"/>
        <v>0</v>
      </c>
      <c r="S158" s="494">
        <f>SUMIF('E-1 Off Site Hedge Baseline'!$D$10:$D$257,'G-2 Habitat groups'!A158,'E-1 Off Site Hedge Baseline'!$E$10:$E$257)</f>
        <v>0</v>
      </c>
      <c r="T158" s="494">
        <f>SUMIF('E-1 Off Site Hedge Baseline'!$D$10:$D$257,'G-2 Habitat groups'!A158,'E-1 Off Site Hedge Baseline'!$N$10:$N$257)</f>
        <v>0</v>
      </c>
      <c r="U158" s="494">
        <f>SUMIF('E-1 Off Site Hedge Baseline'!$D$10:$D$257,'G-2 Habitat groups'!A158,'E-1 Off Site Hedge Baseline'!$P$10:$P$257)</f>
        <v>0</v>
      </c>
      <c r="V158" s="494">
        <f>SUMIF('E-1 Off Site Hedge Baseline'!$D$10:$D$257,'G-2 Habitat groups'!A158,'E-1 Off Site Hedge Baseline'!$R$10:$R$257)</f>
        <v>0</v>
      </c>
      <c r="W158" s="494">
        <f>SUMIF('E-2 Off Site Hedge Creation'!$D$12:$D$259,'G-2 Habitat groups'!A158,'E-2 Off Site Hedge Creation'!$R$12:$R$259)</f>
        <v>0</v>
      </c>
      <c r="X158" s="494">
        <f>SUMIF('E-2 Off Site Hedge Creation'!$D$12:$D$259,'G-2 Habitat groups'!A158,'E-2 Off Site Hedge Creation'!$Y$12:$Y$259)</f>
        <v>0</v>
      </c>
      <c r="Y158" s="494">
        <f>SUMIF('E-3 Off Site Hedge Enhancement'!$M$12:$M$259,'G-2 Habitat groups'!A158,'E-3 Off Site Hedge Enhancement'!$P$12:$P$259)</f>
        <v>0</v>
      </c>
      <c r="Z158" s="494">
        <f>SUMIF('E-3 Off Site Hedge Enhancement'!$M$12:$M$259,'G-2 Habitat groups'!A158,'E-3 Off Site Hedge Enhancement'!$AJ$12:$AJ$259)</f>
        <v>0</v>
      </c>
      <c r="AA158" s="494">
        <f t="shared" si="151"/>
        <v>0</v>
      </c>
      <c r="AB158" s="494">
        <f t="shared" si="152"/>
        <v>0</v>
      </c>
      <c r="AC158" s="494">
        <f t="shared" si="147"/>
        <v>0</v>
      </c>
      <c r="AD158" s="494">
        <f t="shared" si="148"/>
        <v>0</v>
      </c>
      <c r="AE158" s="494">
        <f t="shared" si="149"/>
        <v>0</v>
      </c>
      <c r="AF158" s="494">
        <f t="shared" si="150"/>
        <v>0</v>
      </c>
    </row>
    <row r="163" spans="1:32" ht="27.5" x14ac:dyDescent="0.55000000000000004">
      <c r="A163" s="326" t="s">
        <v>136</v>
      </c>
    </row>
    <row r="166" spans="1:32" ht="22.5" x14ac:dyDescent="0.45">
      <c r="A166" s="101">
        <v>1</v>
      </c>
      <c r="B166" s="101">
        <v>2</v>
      </c>
      <c r="C166" s="101">
        <v>3</v>
      </c>
      <c r="D166" s="101">
        <v>4</v>
      </c>
      <c r="E166" s="101">
        <v>5</v>
      </c>
      <c r="F166" s="101">
        <v>6</v>
      </c>
      <c r="G166" s="101">
        <v>7</v>
      </c>
      <c r="H166" s="101">
        <v>8</v>
      </c>
      <c r="I166" s="101">
        <v>9</v>
      </c>
      <c r="J166" s="101">
        <v>10</v>
      </c>
      <c r="K166" s="101">
        <v>11</v>
      </c>
      <c r="L166" s="101">
        <v>12</v>
      </c>
      <c r="M166" s="101">
        <v>13</v>
      </c>
      <c r="N166" s="101">
        <v>14</v>
      </c>
      <c r="O166" s="101">
        <v>15</v>
      </c>
      <c r="P166" s="101">
        <v>16</v>
      </c>
      <c r="Q166" s="101">
        <v>17</v>
      </c>
      <c r="R166" s="101">
        <v>18</v>
      </c>
      <c r="S166" s="101">
        <v>19</v>
      </c>
      <c r="T166" s="101">
        <v>20</v>
      </c>
      <c r="U166" s="101">
        <v>21</v>
      </c>
      <c r="V166" s="101">
        <v>22</v>
      </c>
      <c r="W166" s="101">
        <v>23</v>
      </c>
      <c r="X166" s="101">
        <v>24</v>
      </c>
      <c r="Y166" s="101">
        <v>25</v>
      </c>
      <c r="Z166" s="101">
        <v>26</v>
      </c>
      <c r="AA166" s="101">
        <v>27</v>
      </c>
      <c r="AB166" s="101">
        <v>28</v>
      </c>
      <c r="AC166" s="101">
        <v>29</v>
      </c>
      <c r="AD166" s="101">
        <v>30</v>
      </c>
      <c r="AE166" s="101">
        <v>31</v>
      </c>
      <c r="AF166" s="102">
        <v>32</v>
      </c>
    </row>
    <row r="167" spans="1:32" ht="70" x14ac:dyDescent="0.3">
      <c r="A167" s="103" t="s">
        <v>896</v>
      </c>
      <c r="B167" s="103" t="s">
        <v>160</v>
      </c>
      <c r="C167" s="103" t="s">
        <v>871</v>
      </c>
      <c r="D167" s="103" t="s">
        <v>821</v>
      </c>
      <c r="E167" s="103" t="s">
        <v>872</v>
      </c>
      <c r="F167" s="103" t="s">
        <v>823</v>
      </c>
      <c r="G167" s="103" t="s">
        <v>873</v>
      </c>
      <c r="H167" s="103" t="s">
        <v>874</v>
      </c>
      <c r="I167" s="103" t="s">
        <v>875</v>
      </c>
      <c r="J167" s="103" t="s">
        <v>827</v>
      </c>
      <c r="K167" s="103" t="s">
        <v>876</v>
      </c>
      <c r="L167" s="103" t="s">
        <v>829</v>
      </c>
      <c r="M167" s="103" t="s">
        <v>877</v>
      </c>
      <c r="N167" s="103" t="s">
        <v>831</v>
      </c>
      <c r="O167" s="103" t="s">
        <v>878</v>
      </c>
      <c r="P167" s="103" t="s">
        <v>879</v>
      </c>
      <c r="Q167" s="103" t="s">
        <v>880</v>
      </c>
      <c r="R167" s="103" t="s">
        <v>835</v>
      </c>
      <c r="S167" s="103" t="s">
        <v>881</v>
      </c>
      <c r="T167" s="103" t="s">
        <v>882</v>
      </c>
      <c r="U167" s="103" t="s">
        <v>883</v>
      </c>
      <c r="V167" s="103" t="s">
        <v>884</v>
      </c>
      <c r="W167" s="103" t="s">
        <v>885</v>
      </c>
      <c r="X167" s="103" t="s">
        <v>886</v>
      </c>
      <c r="Y167" s="103" t="s">
        <v>887</v>
      </c>
      <c r="Z167" s="103" t="s">
        <v>888</v>
      </c>
      <c r="AA167" s="103" t="s">
        <v>889</v>
      </c>
      <c r="AB167" s="103" t="s">
        <v>890</v>
      </c>
      <c r="AC167" s="103" t="s">
        <v>891</v>
      </c>
      <c r="AD167" s="103" t="s">
        <v>892</v>
      </c>
      <c r="AE167" s="103" t="s">
        <v>893</v>
      </c>
      <c r="AF167" s="103" t="s">
        <v>849</v>
      </c>
    </row>
    <row r="168" spans="1:32" x14ac:dyDescent="0.3">
      <c r="A168" s="104" t="str">
        <f>'G-7 Rivers Data'!B4</f>
        <v>Priority Habitat</v>
      </c>
      <c r="B168" s="88" t="s">
        <v>897</v>
      </c>
      <c r="C168" s="88" t="str">
        <f>'G-7 Rivers Data'!C4</f>
        <v>V.High</v>
      </c>
      <c r="D168" s="88" t="str">
        <f>'G-7 Rivers Data'!AU4</f>
        <v>Loss Unacceptable</v>
      </c>
      <c r="E168" s="494">
        <f>SUMIF('C-1 Site River Baseline'!$D$10:$D$257,'G-2 Habitat groups'!A168,'C-1 Site River Baseline'!$E$10:$E$257)</f>
        <v>0</v>
      </c>
      <c r="F168" s="494">
        <f>SUMIF('C-1 Site River Baseline'!$D$10:$D$257,'G-2 Habitat groups'!A168,'C-1 Site River Baseline'!$R$10:$R$257)</f>
        <v>0</v>
      </c>
      <c r="G168" s="494">
        <f>SUMIF('C-1 Site River Baseline'!$D$10:$D$257,'G-2 Habitat groups'!A168,'C-1 Site River Baseline'!$T$10:$T$257)</f>
        <v>0</v>
      </c>
      <c r="H168" s="494">
        <f>SUMIF('C-1 Site River Baseline'!$D$10:$D$257,'G-2 Habitat groups'!A168,'C-1 Site River Baseline'!$V$10:$V$257)</f>
        <v>0</v>
      </c>
      <c r="I168" s="494">
        <f>SUMIF('C-1 Site River Baseline'!$D$10:$D$257,'G-2 Habitat groups'!A168,'C-1 Site River Baseline'!$X$10:$X$257)</f>
        <v>0</v>
      </c>
      <c r="J168" s="494">
        <f>SUMIF('C-1 Site River Baseline'!$D$10:$D$257,'G-2 Habitat groups'!A168,'C-1 Site River Baseline'!$Y$10:$Y$257)</f>
        <v>0</v>
      </c>
      <c r="K168" s="494">
        <f>SUMIF('C-2 Site River Creation'!$C$10:$C$257,'G-2 Habitat groups'!A168,'C-2 Site River Creation'!$D$10:$D$257)</f>
        <v>0</v>
      </c>
      <c r="L168" s="494">
        <f>SUMIF('C-2 Site River Creation'!$C$10:$C$257,'G-2 Habitat groups'!A168,'C-2 Site River Creation'!$Z$10:$Z$257)</f>
        <v>0</v>
      </c>
      <c r="M168" s="494">
        <f>SUMIF('C-3 Site River Enhancement'!$N$12:$N$257,'G-2 Habitat groups'!A168,'C-3 Site River Enhancement'!$Q$12:$Q$257)</f>
        <v>0</v>
      </c>
      <c r="N168" s="494">
        <f>SUMIF('C-3 Site River Enhancement'!$N$12:$N$257,'G-2 Habitat groups'!A168,'C-3 Site River Enhancement'!$AM$12:$AM$257)</f>
        <v>0</v>
      </c>
      <c r="O168" s="494">
        <f t="shared" ref="O168:O172" si="153">G168+K168+M168</f>
        <v>0</v>
      </c>
      <c r="P168" s="494">
        <f t="shared" ref="P168:P172" si="154">H168+L168+N168</f>
        <v>0</v>
      </c>
      <c r="Q168" s="494">
        <f>O168-E168</f>
        <v>0</v>
      </c>
      <c r="R168" s="494">
        <f t="shared" ref="R168:R172" si="155">P168-F168</f>
        <v>0</v>
      </c>
      <c r="S168" s="494">
        <f>SUMIF('F-1 Off Site River Baseline'!$D$10:$D$257,'G-2 Habitat groups'!A168,'F-1 Off Site River Baseline'!$E$10:$E$257)</f>
        <v>0</v>
      </c>
      <c r="T168" s="494">
        <f>SUMIF('F-1 Off Site River Baseline'!$D$10:$D$257,'G-2 Habitat groups'!A168,'F-1 Off Site River Baseline'!$R$10:$R$257)</f>
        <v>0</v>
      </c>
      <c r="U168" s="494">
        <f>SUMIF('F-1 Off Site River Baseline'!$D$10:$D$257,'G-2 Habitat groups'!A168,'F-1 Off Site River Baseline'!$T$10:$T$257)</f>
        <v>0</v>
      </c>
      <c r="V168" s="494">
        <f>SUMIF('F-1 Off Site River Baseline'!$D$10:$D$257,'G-2 Habitat groups'!A168,'F-1 Off Site River Baseline'!$V$10:$V$257)</f>
        <v>0</v>
      </c>
      <c r="W168" s="494">
        <f>SUMIF('F-2 Off Site River Creation'!$C$12:$C$259,'G-2 Habitat groups'!A168,'F-2 Off Site River Creation'!$D$12:$D$259)</f>
        <v>0</v>
      </c>
      <c r="X168" s="494">
        <f>SUMIF('F-2 Off Site River Creation'!$C$12:$C$259,'G-2 Habitat groups'!A168,'F-2 Off Site River Creation'!$AB$12:$AB$259)</f>
        <v>0</v>
      </c>
      <c r="Y168" s="494">
        <f>SUMIF('F-3 Off Site River Enhancement'!$N$12:$N$259,'G-2 Habitat groups'!A168,'F-3 Off Site River Enhancement'!$Q$12:$Q$259)</f>
        <v>0</v>
      </c>
      <c r="Z168" s="494">
        <f>SUMIF('F-3 Off Site River Enhancement'!$N$12:$N$259,'G-2 Habitat groups'!A168,'F-3 Off Site River Enhancement'!$AO$12:$AO$259)</f>
        <v>0</v>
      </c>
      <c r="AA168" s="494">
        <f>U168+W168+Y168</f>
        <v>0</v>
      </c>
      <c r="AB168" s="494">
        <f>V168+X168+Z168</f>
        <v>0</v>
      </c>
      <c r="AC168" s="494">
        <f t="shared" ref="AC168:AC172" si="156">AA168-S168</f>
        <v>0</v>
      </c>
      <c r="AD168" s="494">
        <f t="shared" ref="AD168:AD172" si="157">AB168-T168</f>
        <v>0</v>
      </c>
      <c r="AE168" s="494">
        <f t="shared" ref="AE168:AE172" si="158">Q168+AC168</f>
        <v>0</v>
      </c>
      <c r="AF168" s="494">
        <f t="shared" ref="AF168:AF172" si="159">R168+AD168</f>
        <v>0</v>
      </c>
    </row>
    <row r="169" spans="1:32" x14ac:dyDescent="0.3">
      <c r="A169" s="104" t="str">
        <f>'G-7 Rivers Data'!B5</f>
        <v>Other Rivers and Streams</v>
      </c>
      <c r="B169" s="88" t="s">
        <v>897</v>
      </c>
      <c r="C169" s="88" t="str">
        <f>'G-7 Rivers Data'!C5</f>
        <v>High</v>
      </c>
      <c r="D169" s="88" t="str">
        <f>'G-7 Rivers Data'!AU5</f>
        <v>Avoid</v>
      </c>
      <c r="E169" s="494">
        <f>SUMIF('C-1 Site River Baseline'!$D$10:$D$257,'G-2 Habitat groups'!A169,'C-1 Site River Baseline'!$E$10:$E$257)</f>
        <v>0</v>
      </c>
      <c r="F169" s="494">
        <f>SUMIF('C-1 Site River Baseline'!$D$10:$D$257,'G-2 Habitat groups'!A169,'C-1 Site River Baseline'!$R$10:$R$257)</f>
        <v>0</v>
      </c>
      <c r="G169" s="494">
        <f>SUMIF('C-1 Site River Baseline'!$D$10:$D$257,'G-2 Habitat groups'!A169,'C-1 Site River Baseline'!$T$10:$T$257)</f>
        <v>0</v>
      </c>
      <c r="H169" s="494">
        <f>SUMIF('C-1 Site River Baseline'!$D$10:$D$257,'G-2 Habitat groups'!A169,'C-1 Site River Baseline'!$V$10:$V$257)</f>
        <v>0</v>
      </c>
      <c r="I169" s="494">
        <f>SUMIF('C-1 Site River Baseline'!$D$10:$D$257,'G-2 Habitat groups'!A169,'C-1 Site River Baseline'!$X$10:$X$257)</f>
        <v>0</v>
      </c>
      <c r="J169" s="494">
        <f>SUMIF('C-1 Site River Baseline'!$D$10:$D$257,'G-2 Habitat groups'!A169,'C-1 Site River Baseline'!$Y$10:$Y$257)</f>
        <v>0</v>
      </c>
      <c r="K169" s="494">
        <f>SUMIF('C-2 Site River Creation'!$C$10:$C$257,'G-2 Habitat groups'!A169,'C-2 Site River Creation'!$D$10:$D$257)</f>
        <v>0</v>
      </c>
      <c r="L169" s="494">
        <f>SUMIF('C-2 Site River Creation'!$C$10:$C$257,'G-2 Habitat groups'!A169,'C-2 Site River Creation'!$Z$10:$Z$257)</f>
        <v>0</v>
      </c>
      <c r="M169" s="494">
        <f>SUMIF('C-3 Site River Enhancement'!$N$12:$N$257,'G-2 Habitat groups'!A169,'C-3 Site River Enhancement'!$Q$12:$Q$257)</f>
        <v>0</v>
      </c>
      <c r="N169" s="494">
        <f>SUMIF('C-3 Site River Enhancement'!$N$12:$N$257,'G-2 Habitat groups'!A169,'C-3 Site River Enhancement'!$AM$12:$AM$257)</f>
        <v>0</v>
      </c>
      <c r="O169" s="494">
        <f>G169+K169+M169</f>
        <v>0</v>
      </c>
      <c r="P169" s="494">
        <f>H169+L169+N169</f>
        <v>0</v>
      </c>
      <c r="Q169" s="494">
        <f t="shared" ref="Q169:Q172" si="160">O169-E169</f>
        <v>0</v>
      </c>
      <c r="R169" s="494">
        <f t="shared" si="155"/>
        <v>0</v>
      </c>
      <c r="S169" s="494">
        <f>SUMIF('F-1 Off Site River Baseline'!$D$10:$D$257,'G-2 Habitat groups'!A169,'F-1 Off Site River Baseline'!$E$10:$E$257)</f>
        <v>0</v>
      </c>
      <c r="T169" s="494">
        <f>SUMIF('F-1 Off Site River Baseline'!$D$10:$D$257,'G-2 Habitat groups'!A169,'F-1 Off Site River Baseline'!$R$10:$R$257)</f>
        <v>0</v>
      </c>
      <c r="U169" s="494">
        <f>SUMIF('F-1 Off Site River Baseline'!$D$10:$D$257,'G-2 Habitat groups'!A169,'F-1 Off Site River Baseline'!$T$10:$T$257)</f>
        <v>0</v>
      </c>
      <c r="V169" s="494">
        <f>SUMIF('F-1 Off Site River Baseline'!$D$10:$D$257,'G-2 Habitat groups'!A169,'F-1 Off Site River Baseline'!$V$10:$V$257)</f>
        <v>0</v>
      </c>
      <c r="W169" s="494">
        <f>SUMIF('F-2 Off Site River Creation'!$C$12:$C$259,'G-2 Habitat groups'!A169,'F-2 Off Site River Creation'!$D$12:$D$259)</f>
        <v>0</v>
      </c>
      <c r="X169" s="494">
        <f>SUMIF('F-2 Off Site River Creation'!$C$12:$C$259,'G-2 Habitat groups'!A169,'F-2 Off Site River Creation'!$AB$12:$AB$259)</f>
        <v>0</v>
      </c>
      <c r="Y169" s="494">
        <f>SUMIF('F-3 Off Site River Enhancement'!$N$12:$N$259,'G-2 Habitat groups'!A169,'F-3 Off Site River Enhancement'!$Q$12:$Q$259)</f>
        <v>0</v>
      </c>
      <c r="Z169" s="494">
        <f>SUMIF('F-3 Off Site River Enhancement'!$N$12:$N$259,'G-2 Habitat groups'!A169,'F-3 Off Site River Enhancement'!$AO$12:$AO$259)</f>
        <v>0</v>
      </c>
      <c r="AA169" s="494">
        <f t="shared" ref="AA169:AA172" si="161">U169+W169+Y169</f>
        <v>0</v>
      </c>
      <c r="AB169" s="494">
        <f t="shared" ref="AB169:AB172" si="162">V169+X169+Z169</f>
        <v>0</v>
      </c>
      <c r="AC169" s="494">
        <f t="shared" si="156"/>
        <v>0</v>
      </c>
      <c r="AD169" s="494">
        <f t="shared" si="157"/>
        <v>0</v>
      </c>
      <c r="AE169" s="494">
        <f t="shared" si="158"/>
        <v>0</v>
      </c>
      <c r="AF169" s="494">
        <f t="shared" si="159"/>
        <v>0</v>
      </c>
    </row>
    <row r="170" spans="1:32" x14ac:dyDescent="0.3">
      <c r="A170" s="104" t="str">
        <f>'G-7 Rivers Data'!B6</f>
        <v>Ditches</v>
      </c>
      <c r="B170" s="88" t="s">
        <v>897</v>
      </c>
      <c r="C170" s="88" t="str">
        <f>'G-7 Rivers Data'!C6</f>
        <v>Medium</v>
      </c>
      <c r="D170" s="88" t="str">
        <f>'G-7 Rivers Data'!AU6</f>
        <v>Avoid, Mitigate or Compensate</v>
      </c>
      <c r="E170" s="494">
        <f>SUMIF('C-1 Site River Baseline'!$D$10:$D$257,'G-2 Habitat groups'!A170,'C-1 Site River Baseline'!$E$10:$E$257)</f>
        <v>0</v>
      </c>
      <c r="F170" s="494">
        <f>SUMIF('C-1 Site River Baseline'!$D$10:$D$257,'G-2 Habitat groups'!A170,'C-1 Site River Baseline'!$R$10:$R$257)</f>
        <v>0</v>
      </c>
      <c r="G170" s="494">
        <f>SUMIF('C-1 Site River Baseline'!$D$10:$D$257,'G-2 Habitat groups'!A170,'C-1 Site River Baseline'!$T$10:$T$257)</f>
        <v>0</v>
      </c>
      <c r="H170" s="494">
        <f>SUMIF('C-1 Site River Baseline'!$D$10:$D$257,'G-2 Habitat groups'!A170,'C-1 Site River Baseline'!$V$10:$V$257)</f>
        <v>0</v>
      </c>
      <c r="I170" s="494">
        <f>SUMIF('C-1 Site River Baseline'!$D$10:$D$257,'G-2 Habitat groups'!A170,'C-1 Site River Baseline'!$X$10:$X$257)</f>
        <v>0</v>
      </c>
      <c r="J170" s="494">
        <f>SUMIF('C-1 Site River Baseline'!$D$10:$D$257,'G-2 Habitat groups'!A170,'C-1 Site River Baseline'!$Y$10:$Y$257)</f>
        <v>0</v>
      </c>
      <c r="K170" s="494">
        <f>SUMIF('C-2 Site River Creation'!$C$10:$C$257,'G-2 Habitat groups'!A170,'C-2 Site River Creation'!$D$10:$D$257)</f>
        <v>0</v>
      </c>
      <c r="L170" s="494">
        <f>SUMIF('C-2 Site River Creation'!$C$10:$C$257,'G-2 Habitat groups'!A170,'C-2 Site River Creation'!$Z$10:$Z$257)</f>
        <v>0</v>
      </c>
      <c r="M170" s="494">
        <f>SUMIF('C-3 Site River Enhancement'!$N$12:$N$257,'G-2 Habitat groups'!A170,'C-3 Site River Enhancement'!$Q$12:$Q$257)</f>
        <v>0</v>
      </c>
      <c r="N170" s="494">
        <f>SUMIF('C-3 Site River Enhancement'!$N$12:$N$257,'G-2 Habitat groups'!A170,'C-3 Site River Enhancement'!$AM$12:$AM$257)</f>
        <v>0</v>
      </c>
      <c r="O170" s="494">
        <f t="shared" si="153"/>
        <v>0</v>
      </c>
      <c r="P170" s="494">
        <f t="shared" si="154"/>
        <v>0</v>
      </c>
      <c r="Q170" s="494">
        <f t="shared" si="160"/>
        <v>0</v>
      </c>
      <c r="R170" s="494">
        <f t="shared" si="155"/>
        <v>0</v>
      </c>
      <c r="S170" s="494">
        <f>SUMIF('F-1 Off Site River Baseline'!$D$10:$D$257,'G-2 Habitat groups'!A170,'F-1 Off Site River Baseline'!$E$10:$E$257)</f>
        <v>0</v>
      </c>
      <c r="T170" s="494">
        <f>SUMIF('F-1 Off Site River Baseline'!$D$10:$D$257,'G-2 Habitat groups'!A170,'F-1 Off Site River Baseline'!$R$10:$R$257)</f>
        <v>0</v>
      </c>
      <c r="U170" s="494">
        <f>SUMIF('F-1 Off Site River Baseline'!$D$10:$D$257,'G-2 Habitat groups'!A170,'F-1 Off Site River Baseline'!$T$10:$T$257)</f>
        <v>0</v>
      </c>
      <c r="V170" s="494">
        <f>SUMIF('F-1 Off Site River Baseline'!$D$10:$D$257,'G-2 Habitat groups'!A170,'F-1 Off Site River Baseline'!$V$10:$V$257)</f>
        <v>0</v>
      </c>
      <c r="W170" s="494">
        <f>SUMIF('F-2 Off Site River Creation'!$C$12:$C$259,'G-2 Habitat groups'!A170,'F-2 Off Site River Creation'!$D$12:$D$259)</f>
        <v>0</v>
      </c>
      <c r="X170" s="494">
        <f>SUMIF('F-2 Off Site River Creation'!$C$12:$C$259,'G-2 Habitat groups'!A170,'F-2 Off Site River Creation'!$AB$12:$AB$259)</f>
        <v>0</v>
      </c>
      <c r="Y170" s="494">
        <f>SUMIF('F-3 Off Site River Enhancement'!$N$12:$N$259,'G-2 Habitat groups'!A170,'F-3 Off Site River Enhancement'!$Q$12:$Q$259)</f>
        <v>0</v>
      </c>
      <c r="Z170" s="494">
        <f>SUMIF('F-3 Off Site River Enhancement'!$N$12:$N$259,'G-2 Habitat groups'!A170,'F-3 Off Site River Enhancement'!$AO$12:$AO$259)</f>
        <v>0</v>
      </c>
      <c r="AA170" s="494">
        <f t="shared" si="161"/>
        <v>0</v>
      </c>
      <c r="AB170" s="494">
        <f t="shared" si="162"/>
        <v>0</v>
      </c>
      <c r="AC170" s="494">
        <f t="shared" si="156"/>
        <v>0</v>
      </c>
      <c r="AD170" s="494">
        <f t="shared" si="157"/>
        <v>0</v>
      </c>
      <c r="AE170" s="494">
        <f t="shared" si="158"/>
        <v>0</v>
      </c>
      <c r="AF170" s="494">
        <f t="shared" si="159"/>
        <v>0</v>
      </c>
    </row>
    <row r="171" spans="1:32" x14ac:dyDescent="0.3">
      <c r="A171" s="104" t="str">
        <f>'G-7 Rivers Data'!B7</f>
        <v>Canals</v>
      </c>
      <c r="B171" s="88" t="s">
        <v>897</v>
      </c>
      <c r="C171" s="88" t="str">
        <f>'G-7 Rivers Data'!C7</f>
        <v>Medium</v>
      </c>
      <c r="D171" s="88" t="str">
        <f>'G-7 Rivers Data'!AU6</f>
        <v>Avoid, Mitigate or Compensate</v>
      </c>
      <c r="E171" s="494">
        <f>SUMIF('C-1 Site River Baseline'!$D$10:$D$257,'G-2 Habitat groups'!A171,'C-1 Site River Baseline'!$E$10:$E$257)</f>
        <v>0</v>
      </c>
      <c r="F171" s="494">
        <f>SUMIF('C-1 Site River Baseline'!$D$10:$D$257,'G-2 Habitat groups'!A171,'C-1 Site River Baseline'!$R$10:$R$257)</f>
        <v>0</v>
      </c>
      <c r="G171" s="494">
        <f>SUMIF('C-1 Site River Baseline'!$D$10:$D$257,'G-2 Habitat groups'!A171,'C-1 Site River Baseline'!$T$10:$T$257)</f>
        <v>0</v>
      </c>
      <c r="H171" s="494">
        <f>SUMIF('C-1 Site River Baseline'!$D$10:$D$257,'G-2 Habitat groups'!A171,'C-1 Site River Baseline'!$V$10:$V$257)</f>
        <v>0</v>
      </c>
      <c r="I171" s="494">
        <f>SUMIF('C-1 Site River Baseline'!$D$10:$D$257,'G-2 Habitat groups'!A171,'C-1 Site River Baseline'!$X$10:$X$257)</f>
        <v>0</v>
      </c>
      <c r="J171" s="494">
        <f>SUMIF('C-1 Site River Baseline'!$D$10:$D$257,'G-2 Habitat groups'!A171,'C-1 Site River Baseline'!$Y$10:$Y$257)</f>
        <v>0</v>
      </c>
      <c r="K171" s="494">
        <f>SUMIF('C-2 Site River Creation'!$C$10:$C$257,'G-2 Habitat groups'!A171,'C-2 Site River Creation'!$D$10:$D$257)</f>
        <v>0</v>
      </c>
      <c r="L171" s="494">
        <f>SUMIF('C-2 Site River Creation'!$C$10:$C$257,'G-2 Habitat groups'!A171,'C-2 Site River Creation'!$Z$10:$Z$257)</f>
        <v>0</v>
      </c>
      <c r="M171" s="494">
        <f>SUMIF('C-3 Site River Enhancement'!$N$12:$N$257,'G-2 Habitat groups'!A171,'C-3 Site River Enhancement'!$Q$12:$Q$257)</f>
        <v>0</v>
      </c>
      <c r="N171" s="494">
        <f>SUMIF('C-3 Site River Enhancement'!$N$12:$N$257,'G-2 Habitat groups'!A171,'C-3 Site River Enhancement'!$AM$12:$AM$257)</f>
        <v>0</v>
      </c>
      <c r="O171" s="494">
        <f t="shared" si="153"/>
        <v>0</v>
      </c>
      <c r="P171" s="494">
        <f t="shared" si="154"/>
        <v>0</v>
      </c>
      <c r="Q171" s="494">
        <f t="shared" si="160"/>
        <v>0</v>
      </c>
      <c r="R171" s="494">
        <f t="shared" si="155"/>
        <v>0</v>
      </c>
      <c r="S171" s="494">
        <f>SUMIF('F-1 Off Site River Baseline'!$D$10:$D$257,'G-2 Habitat groups'!A171,'F-1 Off Site River Baseline'!$E$10:$E$257)</f>
        <v>0</v>
      </c>
      <c r="T171" s="494">
        <f>SUMIF('F-1 Off Site River Baseline'!$D$10:$D$257,'G-2 Habitat groups'!A171,'F-1 Off Site River Baseline'!$R$10:$R$257)</f>
        <v>0</v>
      </c>
      <c r="U171" s="494">
        <f>SUMIF('F-1 Off Site River Baseline'!$D$10:$D$257,'G-2 Habitat groups'!A171,'F-1 Off Site River Baseline'!$T$10:$T$257)</f>
        <v>0</v>
      </c>
      <c r="V171" s="494">
        <f>SUMIF('F-1 Off Site River Baseline'!$D$10:$D$257,'G-2 Habitat groups'!A171,'F-1 Off Site River Baseline'!$V$10:$V$257)</f>
        <v>0</v>
      </c>
      <c r="W171" s="494">
        <f>SUMIF('F-2 Off Site River Creation'!$C$12:$C$259,'G-2 Habitat groups'!A171,'F-2 Off Site River Creation'!$D$12:$D$259)</f>
        <v>0</v>
      </c>
      <c r="X171" s="494">
        <f>SUMIF('F-2 Off Site River Creation'!$C$12:$C$259,'G-2 Habitat groups'!A171,'F-2 Off Site River Creation'!$AB$12:$AB$259)</f>
        <v>0</v>
      </c>
      <c r="Y171" s="494">
        <f>SUMIF('F-3 Off Site River Enhancement'!$N$12:$N$259,'G-2 Habitat groups'!A171,'F-3 Off Site River Enhancement'!$Q$12:$Q$259)</f>
        <v>0</v>
      </c>
      <c r="Z171" s="494">
        <f>SUMIF('F-3 Off Site River Enhancement'!$N$12:$N$259,'G-2 Habitat groups'!A171,'F-3 Off Site River Enhancement'!$AO$12:$AO$259)</f>
        <v>0</v>
      </c>
      <c r="AA171" s="494">
        <f t="shared" si="161"/>
        <v>0</v>
      </c>
      <c r="AB171" s="494">
        <f t="shared" si="162"/>
        <v>0</v>
      </c>
      <c r="AC171" s="494">
        <f t="shared" si="156"/>
        <v>0</v>
      </c>
      <c r="AD171" s="494">
        <f t="shared" si="157"/>
        <v>0</v>
      </c>
      <c r="AE171" s="494">
        <f t="shared" si="158"/>
        <v>0</v>
      </c>
      <c r="AF171" s="494">
        <f t="shared" si="159"/>
        <v>0</v>
      </c>
    </row>
    <row r="172" spans="1:32" x14ac:dyDescent="0.3">
      <c r="A172" s="104" t="str">
        <f>'G-7 Rivers Data'!B8</f>
        <v>Culvert</v>
      </c>
      <c r="B172" s="88" t="s">
        <v>897</v>
      </c>
      <c r="C172" s="88" t="str">
        <f>'G-7 Rivers Data'!C8</f>
        <v>Low</v>
      </c>
      <c r="D172" s="88" t="str">
        <f>'G-7 Rivers Data'!AU7</f>
        <v>Mitigate or Compensate</v>
      </c>
      <c r="E172" s="494">
        <f>SUMIF('C-1 Site River Baseline'!$D$10:$D$257,'G-2 Habitat groups'!A172,'C-1 Site River Baseline'!$E$10:$E$257)</f>
        <v>0</v>
      </c>
      <c r="F172" s="494">
        <f>SUMIF('C-1 Site River Baseline'!$D$10:$D$257,'G-2 Habitat groups'!A172,'C-1 Site River Baseline'!$R$10:$R$257)</f>
        <v>0</v>
      </c>
      <c r="G172" s="494">
        <f>SUMIF('C-1 Site River Baseline'!$D$10:$D$257,'G-2 Habitat groups'!A172,'C-1 Site River Baseline'!$T$10:$T$257)</f>
        <v>0</v>
      </c>
      <c r="H172" s="494">
        <f>SUMIF('C-1 Site River Baseline'!$D$10:$D$257,'G-2 Habitat groups'!A172,'C-1 Site River Baseline'!$V$10:$V$257)</f>
        <v>0</v>
      </c>
      <c r="I172" s="494">
        <f>SUMIF('C-1 Site River Baseline'!$D$10:$D$257,'G-2 Habitat groups'!A172,'C-1 Site River Baseline'!$X$10:$X$257)</f>
        <v>0</v>
      </c>
      <c r="J172" s="494">
        <f>SUMIF('C-1 Site River Baseline'!$D$10:$D$257,'G-2 Habitat groups'!A172,'C-1 Site River Baseline'!$Y$10:$Y$257)</f>
        <v>0</v>
      </c>
      <c r="K172" s="494">
        <f>SUMIF('C-2 Site River Creation'!$C$10:$C$257,'G-2 Habitat groups'!A172,'C-2 Site River Creation'!$D$10:$D$257)</f>
        <v>0</v>
      </c>
      <c r="L172" s="494">
        <f>SUMIF('C-2 Site River Creation'!$C$10:$C$257,'G-2 Habitat groups'!A172,'C-2 Site River Creation'!$Z$10:$Z$257)</f>
        <v>0</v>
      </c>
      <c r="M172" s="494">
        <f>SUMIF('C-3 Site River Enhancement'!$N$12:$N$257,'G-2 Habitat groups'!A172,'C-3 Site River Enhancement'!$Q$12:$Q$257)</f>
        <v>0</v>
      </c>
      <c r="N172" s="494">
        <f>SUMIF('C-3 Site River Enhancement'!$N$12:$N$257,'G-2 Habitat groups'!A172,'C-3 Site River Enhancement'!$AM$12:$AM$257)</f>
        <v>0</v>
      </c>
      <c r="O172" s="592">
        <f t="shared" si="153"/>
        <v>0</v>
      </c>
      <c r="P172" s="592">
        <f t="shared" si="154"/>
        <v>0</v>
      </c>
      <c r="Q172" s="592">
        <f t="shared" si="160"/>
        <v>0</v>
      </c>
      <c r="R172" s="592">
        <f t="shared" si="155"/>
        <v>0</v>
      </c>
      <c r="S172" s="494">
        <f>SUMIF('F-1 Off Site River Baseline'!$D$10:$D$257,'G-2 Habitat groups'!A172,'F-1 Off Site River Baseline'!$E$10:$E$257)</f>
        <v>0</v>
      </c>
      <c r="T172" s="494">
        <f>SUMIF('F-1 Off Site River Baseline'!$D$10:$D$257,'G-2 Habitat groups'!A172,'F-1 Off Site River Baseline'!$R$10:$R$257)</f>
        <v>0</v>
      </c>
      <c r="U172" s="494">
        <f>SUMIF('F-1 Off Site River Baseline'!$D$10:$D$257,'G-2 Habitat groups'!A172,'F-1 Off Site River Baseline'!$T$10:$T$257)</f>
        <v>0</v>
      </c>
      <c r="V172" s="494">
        <f>SUMIF('F-1 Off Site River Baseline'!$D$10:$D$257,'G-2 Habitat groups'!A172,'F-1 Off Site River Baseline'!$V$10:$V$257)</f>
        <v>0</v>
      </c>
      <c r="W172" s="494">
        <f>SUMIF('F-2 Off Site River Creation'!$C$12:$C$259,'G-2 Habitat groups'!A172,'F-2 Off Site River Creation'!$D$12:$D$259)</f>
        <v>0</v>
      </c>
      <c r="X172" s="494">
        <f>SUMIF('F-2 Off Site River Creation'!$C$12:$C$259,'G-2 Habitat groups'!A172,'F-2 Off Site River Creation'!$AB$12:$AB$259)</f>
        <v>0</v>
      </c>
      <c r="Y172" s="494">
        <f>SUMIF('F-3 Off Site River Enhancement'!$N$12:$N$259,'G-2 Habitat groups'!A172,'F-3 Off Site River Enhancement'!$Q$12:$Q$259)</f>
        <v>0</v>
      </c>
      <c r="Z172" s="494">
        <f>SUMIF('F-3 Off Site River Enhancement'!$N$12:$N$259,'G-2 Habitat groups'!A172,'F-3 Off Site River Enhancement'!$AO$12:$AO$259)</f>
        <v>0</v>
      </c>
      <c r="AA172" s="592">
        <f t="shared" si="161"/>
        <v>0</v>
      </c>
      <c r="AB172" s="592">
        <f t="shared" si="162"/>
        <v>0</v>
      </c>
      <c r="AC172" s="592">
        <f t="shared" si="156"/>
        <v>0</v>
      </c>
      <c r="AD172" s="592">
        <f t="shared" si="157"/>
        <v>0</v>
      </c>
      <c r="AE172" s="592">
        <f t="shared" si="158"/>
        <v>0</v>
      </c>
      <c r="AF172" s="592">
        <f t="shared" si="159"/>
        <v>0</v>
      </c>
    </row>
  </sheetData>
  <sheetProtection algorithmName="SHA-512" hashValue="9KPW0W6Rapm5GU2rfeIlLvfCB5SpjBKrjBMjn8/GGmqEM5sEe9470dHLxabYjUWoGleWaUUUEPD4X+KjDJ783g==" saltValue="rX9IBgBwBhra+eymZvFRXw==" spinCount="100000" sheet="1" objects="1" scenarios="1"/>
  <customSheetViews>
    <customSheetView guid="{8BDA793C-C9C5-4FC6-A0A5-F1109F6D4F22}" state="hidden" topLeftCell="AS84">
      <selection activeCell="D14" sqref="D14"/>
    </customSheetView>
  </customSheetViews>
  <mergeCells count="4">
    <mergeCell ref="AU27:AU28"/>
    <mergeCell ref="AJ1:AP1"/>
    <mergeCell ref="AU1:BG1"/>
    <mergeCell ref="A1:AF1"/>
  </mergeCells>
  <conditionalFormatting sqref="R4:R136 AD4:AF136">
    <cfRule type="cellIs" dxfId="6" priority="16" operator="lessThan">
      <formula>0</formula>
    </cfRule>
  </conditionalFormatting>
  <conditionalFormatting sqref="R146:R158">
    <cfRule type="cellIs" dxfId="5" priority="6" operator="lessThan">
      <formula>0</formula>
    </cfRule>
  </conditionalFormatting>
  <conditionalFormatting sqref="AD146:AD158">
    <cfRule type="cellIs" dxfId="4" priority="5" operator="lessThan">
      <formula>0</formula>
    </cfRule>
  </conditionalFormatting>
  <conditionalFormatting sqref="AE146:AF158">
    <cfRule type="cellIs" dxfId="3" priority="4" operator="lessThan">
      <formula>0</formula>
    </cfRule>
  </conditionalFormatting>
  <conditionalFormatting sqref="AE168:AF172">
    <cfRule type="cellIs" dxfId="2" priority="1" operator="lessThan">
      <formula>0</formula>
    </cfRule>
  </conditionalFormatting>
  <conditionalFormatting sqref="R168:R172">
    <cfRule type="cellIs" dxfId="1" priority="3" operator="lessThan">
      <formula>0</formula>
    </cfRule>
  </conditionalFormatting>
  <conditionalFormatting sqref="AD168:AD172">
    <cfRule type="cellIs" dxfId="0" priority="2" operator="lessThan">
      <formula>0</formula>
    </cfRule>
  </conditionalFormatting>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8">
    <tabColor rgb="FFFFC000"/>
  </sheetPr>
  <dimension ref="A1:AH142"/>
  <sheetViews>
    <sheetView workbookViewId="0">
      <selection sqref="A1:E1"/>
    </sheetView>
  </sheetViews>
  <sheetFormatPr defaultColWidth="0" defaultRowHeight="14" zeroHeight="1" x14ac:dyDescent="0.3"/>
  <cols>
    <col min="1" max="1" width="76.453125" style="31" customWidth="1"/>
    <col min="2" max="2" width="28.81640625" style="31" bestFit="1" customWidth="1"/>
    <col min="3" max="3" width="18.54296875" style="31" bestFit="1" customWidth="1"/>
    <col min="4" max="4" width="30.54296875" style="31" bestFit="1" customWidth="1"/>
    <col min="5" max="5" width="18.54296875" style="31" bestFit="1" customWidth="1"/>
    <col min="6" max="7" width="9.1796875" style="31" customWidth="1"/>
    <col min="8" max="8" width="16.26953125" style="31" hidden="1" customWidth="1"/>
    <col min="9" max="9" width="32.81640625" style="31" hidden="1" customWidth="1"/>
    <col min="10" max="10" width="8.1796875" style="31" hidden="1" customWidth="1"/>
    <col min="11" max="11" width="9.1796875" style="31" customWidth="1"/>
    <col min="12" max="12" width="38.54296875" style="31" customWidth="1"/>
    <col min="13" max="13" width="26.26953125" style="31" customWidth="1"/>
    <col min="14" max="14" width="12" style="31" bestFit="1" customWidth="1"/>
    <col min="15" max="15" width="9.1796875" style="31" customWidth="1"/>
    <col min="16" max="16" width="11.7265625" style="31" bestFit="1" customWidth="1"/>
    <col min="17" max="17" width="9.1796875" style="31" customWidth="1"/>
    <col min="18" max="18" width="18.81640625" style="31" customWidth="1"/>
    <col min="19" max="19" width="40" style="31" customWidth="1"/>
    <col min="20" max="20" width="19.453125" style="31" customWidth="1"/>
    <col min="21" max="21" width="9.1796875" style="31" customWidth="1"/>
    <col min="22" max="22" width="11.26953125" style="31" customWidth="1"/>
    <col min="23" max="23" width="12" style="31" bestFit="1" customWidth="1"/>
    <col min="24" max="24" width="14.26953125" style="31" bestFit="1" customWidth="1"/>
    <col min="25" max="25" width="17.7265625" style="31" bestFit="1" customWidth="1"/>
    <col min="26" max="26" width="10.1796875" style="31" bestFit="1" customWidth="1"/>
    <col min="27" max="28" width="9.1796875" style="31" customWidth="1"/>
    <col min="29" max="34" width="0" style="31" hidden="1" customWidth="1"/>
    <col min="35" max="16384" width="9.1796875" style="31" hidden="1"/>
  </cols>
  <sheetData>
    <row r="1" spans="1:26" ht="36.65" customHeight="1" thickBot="1" x14ac:dyDescent="0.55000000000000004">
      <c r="A1" s="826" t="s">
        <v>898</v>
      </c>
      <c r="B1" s="827"/>
      <c r="C1" s="827"/>
      <c r="D1" s="827"/>
      <c r="E1" s="828"/>
      <c r="J1" s="286"/>
      <c r="L1" s="826" t="s">
        <v>899</v>
      </c>
      <c r="M1" s="827"/>
      <c r="N1" s="828"/>
      <c r="P1" s="826" t="s">
        <v>291</v>
      </c>
      <c r="Q1" s="828"/>
    </row>
    <row r="2" spans="1:26" ht="42" customHeight="1" thickBot="1" x14ac:dyDescent="0.55000000000000004">
      <c r="A2" s="287" t="s">
        <v>820</v>
      </c>
      <c r="B2" s="201" t="s">
        <v>359</v>
      </c>
      <c r="C2" s="201" t="s">
        <v>323</v>
      </c>
      <c r="D2" s="201" t="s">
        <v>360</v>
      </c>
      <c r="E2" s="287" t="s">
        <v>323</v>
      </c>
      <c r="H2" s="1049" t="s">
        <v>900</v>
      </c>
      <c r="I2" s="1050"/>
      <c r="J2" s="1051"/>
      <c r="L2" s="1046" t="s">
        <v>901</v>
      </c>
      <c r="M2" s="1047"/>
      <c r="N2" s="1048"/>
      <c r="P2" s="287" t="s">
        <v>902</v>
      </c>
      <c r="Q2" s="287" t="s">
        <v>903</v>
      </c>
      <c r="S2" s="864" t="s">
        <v>904</v>
      </c>
      <c r="T2" s="877"/>
      <c r="W2" s="826" t="s">
        <v>905</v>
      </c>
      <c r="X2" s="827"/>
      <c r="Y2" s="827"/>
      <c r="Z2" s="828"/>
    </row>
    <row r="3" spans="1:26" x14ac:dyDescent="0.3">
      <c r="A3" s="110" t="str">
        <f>'G-1 All Habitats'!B99</f>
        <v>Coastal lagoons - Coastal lagoons</v>
      </c>
      <c r="B3" s="544" t="str">
        <f>'G-1 All Habitats'!N99</f>
        <v>Medium</v>
      </c>
      <c r="C3" s="544">
        <f>'G-1 All Habitats'!O99</f>
        <v>0.67</v>
      </c>
      <c r="D3" s="544" t="str">
        <f>'G-1 All Habitats'!P99</f>
        <v>Medium</v>
      </c>
      <c r="E3" s="544">
        <f>'G-1 All Habitats'!Q99</f>
        <v>0.67</v>
      </c>
      <c r="H3" s="103" t="s">
        <v>206</v>
      </c>
      <c r="I3" s="280" t="s">
        <v>906</v>
      </c>
      <c r="J3" s="280" t="s">
        <v>907</v>
      </c>
      <c r="L3" s="280" t="s">
        <v>906</v>
      </c>
      <c r="M3" s="103" t="s">
        <v>908</v>
      </c>
      <c r="N3" s="280" t="s">
        <v>323</v>
      </c>
      <c r="P3" s="130" t="s">
        <v>156</v>
      </c>
      <c r="Q3" s="544">
        <v>1</v>
      </c>
      <c r="S3" s="287" t="s">
        <v>66</v>
      </c>
      <c r="T3" s="287" t="s">
        <v>323</v>
      </c>
      <c r="W3" s="287" t="s">
        <v>16</v>
      </c>
      <c r="X3" s="287" t="s">
        <v>909</v>
      </c>
      <c r="Y3" s="287" t="s">
        <v>910</v>
      </c>
      <c r="Z3" s="287" t="s">
        <v>911</v>
      </c>
    </row>
    <row r="4" spans="1:26" ht="42" x14ac:dyDescent="0.3">
      <c r="A4" s="110" t="str">
        <f>'G-1 All Habitats'!B108</f>
        <v>Coastal saltmarsh - Saltmarshes and saline reedbeds</v>
      </c>
      <c r="B4" s="544" t="str">
        <f>'G-1 All Habitats'!N108</f>
        <v>High</v>
      </c>
      <c r="C4" s="544">
        <f>'G-1 All Habitats'!O108</f>
        <v>0.33</v>
      </c>
      <c r="D4" s="544" t="str">
        <f>'G-1 All Habitats'!P108</f>
        <v>Medium</v>
      </c>
      <c r="E4" s="544">
        <f>'G-1 All Habitats'!Q108</f>
        <v>0.67</v>
      </c>
      <c r="H4" s="130" t="s">
        <v>153</v>
      </c>
      <c r="I4" s="147" t="s">
        <v>912</v>
      </c>
      <c r="J4" s="188">
        <v>1.1499999999999999</v>
      </c>
      <c r="L4" s="130" t="s">
        <v>913</v>
      </c>
      <c r="M4" s="520" t="s">
        <v>914</v>
      </c>
      <c r="N4" s="544">
        <v>1.1499999999999999</v>
      </c>
      <c r="P4" s="130" t="s">
        <v>23</v>
      </c>
      <c r="Q4" s="544">
        <v>0.67</v>
      </c>
      <c r="S4" s="130" t="s">
        <v>915</v>
      </c>
      <c r="T4" s="520">
        <v>1</v>
      </c>
      <c r="W4" s="104" t="s">
        <v>22</v>
      </c>
      <c r="X4" s="544">
        <v>0.3</v>
      </c>
      <c r="Y4" s="544">
        <f>X4*12</f>
        <v>3.5999999999999996</v>
      </c>
      <c r="Z4" s="658">
        <f>3.14*(Y4*Y4)/10000</f>
        <v>4.0694399999999997E-3</v>
      </c>
    </row>
    <row r="5" spans="1:26" ht="28" x14ac:dyDescent="0.3">
      <c r="A5" s="110" t="str">
        <f>'G-1 All Habitats'!B3</f>
        <v>Cropland - Arable field margins cultivated annually</v>
      </c>
      <c r="B5" s="544" t="str">
        <f>'G-1 All Habitats'!N3</f>
        <v>Low</v>
      </c>
      <c r="C5" s="544">
        <f>'G-1 All Habitats'!O3</f>
        <v>1</v>
      </c>
      <c r="D5" s="544" t="str">
        <f>'G-1 All Habitats'!P3</f>
        <v>Low</v>
      </c>
      <c r="E5" s="544">
        <f>'G-1 All Habitats'!Q3</f>
        <v>1</v>
      </c>
      <c r="H5" s="130" t="s">
        <v>23</v>
      </c>
      <c r="I5" s="147" t="s">
        <v>916</v>
      </c>
      <c r="J5" s="188">
        <v>1.1000000000000001</v>
      </c>
      <c r="L5" s="130" t="s">
        <v>917</v>
      </c>
      <c r="M5" s="520" t="s">
        <v>918</v>
      </c>
      <c r="N5" s="544">
        <v>1.1000000000000001</v>
      </c>
      <c r="P5" s="130" t="s">
        <v>153</v>
      </c>
      <c r="Q5" s="544">
        <v>0.33</v>
      </c>
      <c r="S5" s="130" t="s">
        <v>919</v>
      </c>
      <c r="T5" s="520">
        <v>0.75</v>
      </c>
      <c r="W5" s="104" t="s">
        <v>23</v>
      </c>
      <c r="X5" s="544">
        <v>0.9</v>
      </c>
      <c r="Y5" s="544">
        <f t="shared" ref="Y5:Y6" si="0">X5*12</f>
        <v>10.8</v>
      </c>
      <c r="Z5" s="658">
        <f t="shared" ref="Z5:Z6" si="1">3.14*(Y5*Y5)/10000</f>
        <v>3.6624960000000005E-2</v>
      </c>
    </row>
    <row r="6" spans="1:26" ht="42" x14ac:dyDescent="0.3">
      <c r="A6" s="110" t="str">
        <f>'G-1 All Habitats'!B4</f>
        <v>Cropland - Arable field margins game bird mix</v>
      </c>
      <c r="B6" s="544" t="str">
        <f>'G-1 All Habitats'!N4</f>
        <v>Low</v>
      </c>
      <c r="C6" s="544">
        <f>'G-1 All Habitats'!O4</f>
        <v>1</v>
      </c>
      <c r="D6" s="544" t="str">
        <f>'G-1 All Habitats'!P4</f>
        <v>Low</v>
      </c>
      <c r="E6" s="544">
        <f>'G-1 All Habitats'!Q4</f>
        <v>1</v>
      </c>
      <c r="H6" s="288" t="s">
        <v>156</v>
      </c>
      <c r="I6" s="147" t="s">
        <v>920</v>
      </c>
      <c r="J6" s="188">
        <v>1</v>
      </c>
      <c r="L6" s="130" t="s">
        <v>921</v>
      </c>
      <c r="M6" s="520" t="s">
        <v>922</v>
      </c>
      <c r="N6" s="544">
        <v>1</v>
      </c>
      <c r="P6" s="130" t="s">
        <v>151</v>
      </c>
      <c r="Q6" s="544">
        <v>0.1</v>
      </c>
      <c r="S6" s="338" t="s">
        <v>923</v>
      </c>
      <c r="T6" s="520">
        <v>0.5</v>
      </c>
      <c r="W6" s="104" t="s">
        <v>24</v>
      </c>
      <c r="X6" s="544">
        <v>1.3</v>
      </c>
      <c r="Y6" s="544">
        <f t="shared" si="0"/>
        <v>15.600000000000001</v>
      </c>
      <c r="Z6" s="658">
        <f t="shared" si="1"/>
        <v>7.6415040000000017E-2</v>
      </c>
    </row>
    <row r="7" spans="1:26" ht="49.9" customHeight="1" x14ac:dyDescent="0.3">
      <c r="A7" s="110" t="str">
        <f>'G-1 All Habitats'!B5</f>
        <v>Cropland - Arable field margins pollen &amp; nectar</v>
      </c>
      <c r="B7" s="544" t="str">
        <f>'G-1 All Habitats'!N5</f>
        <v>Low</v>
      </c>
      <c r="C7" s="544">
        <f>'G-1 All Habitats'!O5</f>
        <v>1</v>
      </c>
      <c r="D7" s="544" t="str">
        <f>'G-1 All Habitats'!P5</f>
        <v>Low</v>
      </c>
      <c r="E7" s="544">
        <f>'G-1 All Habitats'!Q5</f>
        <v>1</v>
      </c>
      <c r="H7" s="288" t="s">
        <v>924</v>
      </c>
      <c r="I7" s="147" t="s">
        <v>925</v>
      </c>
      <c r="J7" s="188">
        <v>1</v>
      </c>
      <c r="S7" s="339" t="s">
        <v>926</v>
      </c>
      <c r="T7" s="520">
        <v>1</v>
      </c>
    </row>
    <row r="8" spans="1:26" ht="49.9" customHeight="1" x14ac:dyDescent="0.3">
      <c r="A8" s="110" t="str">
        <f>'G-1 All Habitats'!B6</f>
        <v>Cropland - Arable field margins tussocky</v>
      </c>
      <c r="B8" s="544" t="str">
        <f>'G-1 All Habitats'!N6</f>
        <v>Low</v>
      </c>
      <c r="C8" s="544">
        <f>'G-1 All Habitats'!O6</f>
        <v>1</v>
      </c>
      <c r="D8" s="544" t="str">
        <f>'G-1 All Habitats'!P6</f>
        <v>Low</v>
      </c>
      <c r="E8" s="544">
        <f>'G-1 All Habitats'!Q6</f>
        <v>1</v>
      </c>
      <c r="S8" s="339" t="s">
        <v>927</v>
      </c>
      <c r="T8" s="520">
        <v>0.75</v>
      </c>
    </row>
    <row r="9" spans="1:26" ht="49.9" customHeight="1" x14ac:dyDescent="0.3">
      <c r="A9" s="110" t="str">
        <f>'G-1 All Habitats'!B7</f>
        <v>Cropland - Cereal crops</v>
      </c>
      <c r="B9" s="544" t="str">
        <f>'G-1 All Habitats'!N7</f>
        <v>Low</v>
      </c>
      <c r="C9" s="544">
        <f>'G-1 All Habitats'!O7</f>
        <v>1</v>
      </c>
      <c r="D9" s="544" t="str">
        <f>'G-1 All Habitats'!P7</f>
        <v>Low</v>
      </c>
      <c r="E9" s="544">
        <f>'G-1 All Habitats'!Q7</f>
        <v>1</v>
      </c>
      <c r="S9" s="339" t="s">
        <v>928</v>
      </c>
      <c r="T9" s="520">
        <v>0.5</v>
      </c>
    </row>
    <row r="10" spans="1:26" x14ac:dyDescent="0.3">
      <c r="A10" s="110" t="str">
        <f>'G-1 All Habitats'!B8</f>
        <v>Cropland - Cereal crops winter stubble</v>
      </c>
      <c r="B10" s="544" t="str">
        <f>'G-1 All Habitats'!N8</f>
        <v>Low</v>
      </c>
      <c r="C10" s="544">
        <f>'G-1 All Habitats'!O8</f>
        <v>1</v>
      </c>
      <c r="D10" s="544" t="str">
        <f>'G-1 All Habitats'!P8</f>
        <v>Low</v>
      </c>
      <c r="E10" s="544">
        <f>'G-1 All Habitats'!Q8</f>
        <v>1</v>
      </c>
    </row>
    <row r="11" spans="1:26" x14ac:dyDescent="0.3">
      <c r="A11" s="110" t="str">
        <f>'G-1 All Habitats'!B9</f>
        <v>Cropland - Horticulture</v>
      </c>
      <c r="B11" s="544" t="str">
        <f>'G-1 All Habitats'!N9</f>
        <v>Low</v>
      </c>
      <c r="C11" s="544">
        <f>'G-1 All Habitats'!O9</f>
        <v>1</v>
      </c>
      <c r="D11" s="544" t="str">
        <f>'G-1 All Habitats'!P9</f>
        <v>Low</v>
      </c>
      <c r="E11" s="544">
        <f>'G-1 All Habitats'!Q9</f>
        <v>1</v>
      </c>
    </row>
    <row r="12" spans="1:26" x14ac:dyDescent="0.3">
      <c r="A12" s="110" t="str">
        <f>'G-1 All Habitats'!B10</f>
        <v>Cropland - Intensive orchards</v>
      </c>
      <c r="B12" s="544" t="str">
        <f>'G-1 All Habitats'!N10</f>
        <v>Low</v>
      </c>
      <c r="C12" s="544">
        <f>'G-1 All Habitats'!O10</f>
        <v>1</v>
      </c>
      <c r="D12" s="544" t="str">
        <f>'G-1 All Habitats'!P10</f>
        <v>Low</v>
      </c>
      <c r="E12" s="544">
        <f>'G-1 All Habitats'!Q10</f>
        <v>1</v>
      </c>
    </row>
    <row r="13" spans="1:26" x14ac:dyDescent="0.3">
      <c r="A13" s="110" t="str">
        <f>'G-1 All Habitats'!B11</f>
        <v>Cropland - Non-cereal crops</v>
      </c>
      <c r="B13" s="544" t="str">
        <f>'G-1 All Habitats'!N11</f>
        <v>Low</v>
      </c>
      <c r="C13" s="544">
        <f>'G-1 All Habitats'!O11</f>
        <v>1</v>
      </c>
      <c r="D13" s="544" t="str">
        <f>'G-1 All Habitats'!P11</f>
        <v>Low</v>
      </c>
      <c r="E13" s="544">
        <f>'G-1 All Habitats'!Q11</f>
        <v>1</v>
      </c>
    </row>
    <row r="14" spans="1:26" x14ac:dyDescent="0.3">
      <c r="A14" s="110" t="str">
        <f>'G-1 All Habitats'!B12</f>
        <v>Cropland - Temporary grass and clover leys</v>
      </c>
      <c r="B14" s="544" t="str">
        <f>'G-1 All Habitats'!N12</f>
        <v>Low</v>
      </c>
      <c r="C14" s="544">
        <f>'G-1 All Habitats'!O12</f>
        <v>1</v>
      </c>
      <c r="D14" s="544" t="str">
        <f>'G-1 All Habitats'!P12</f>
        <v>Low</v>
      </c>
      <c r="E14" s="544">
        <f>'G-1 All Habitats'!Q12</f>
        <v>1</v>
      </c>
    </row>
    <row r="15" spans="1:26" x14ac:dyDescent="0.3">
      <c r="A15" s="110" t="str">
        <f>'G-1 All Habitats'!B13</f>
        <v>Grassland - Traditional orchards</v>
      </c>
      <c r="B15" s="544" t="str">
        <f>'G-1 All Habitats'!N13</f>
        <v>Low</v>
      </c>
      <c r="C15" s="544">
        <f>'G-1 All Habitats'!O13</f>
        <v>1</v>
      </c>
      <c r="D15" s="544" t="str">
        <f>'G-1 All Habitats'!P13</f>
        <v>Medium</v>
      </c>
      <c r="E15" s="544">
        <f>'G-1 All Habitats'!Q13</f>
        <v>0.67</v>
      </c>
    </row>
    <row r="16" spans="1:26" x14ac:dyDescent="0.3">
      <c r="A16" s="110" t="str">
        <f>'G-1 All Habitats'!B14</f>
        <v>Grassland - Bracken</v>
      </c>
      <c r="B16" s="544" t="str">
        <f>'G-1 All Habitats'!N14</f>
        <v>Low</v>
      </c>
      <c r="C16" s="544">
        <f>'G-1 All Habitats'!O14</f>
        <v>1</v>
      </c>
      <c r="D16" s="544" t="str">
        <f>'G-1 All Habitats'!P14</f>
        <v>Low</v>
      </c>
      <c r="E16" s="544">
        <f>'G-1 All Habitats'!Q14</f>
        <v>1</v>
      </c>
    </row>
    <row r="17" spans="1:5" x14ac:dyDescent="0.3">
      <c r="A17" s="110" t="str">
        <f>'G-1 All Habitats'!B15</f>
        <v>Grassland - Floodplain Wetland Mosaic (CFGM)</v>
      </c>
      <c r="B17" s="544" t="str">
        <f>'G-1 All Habitats'!N15</f>
        <v>High</v>
      </c>
      <c r="C17" s="544">
        <f>'G-1 All Habitats'!O15</f>
        <v>0.33</v>
      </c>
      <c r="D17" s="544" t="str">
        <f>'G-1 All Habitats'!P15</f>
        <v>Medium</v>
      </c>
      <c r="E17" s="544">
        <f>'G-1 All Habitats'!Q15</f>
        <v>0.67</v>
      </c>
    </row>
    <row r="18" spans="1:5" x14ac:dyDescent="0.3">
      <c r="A18" s="110" t="str">
        <f>'G-1 All Habitats'!B16</f>
        <v>Grassland - Lowland calcareous grassland</v>
      </c>
      <c r="B18" s="544" t="str">
        <f>'G-1 All Habitats'!N16</f>
        <v>High</v>
      </c>
      <c r="C18" s="544">
        <f>'G-1 All Habitats'!O16</f>
        <v>0.33</v>
      </c>
      <c r="D18" s="544" t="str">
        <f>'G-1 All Habitats'!P16</f>
        <v>High</v>
      </c>
      <c r="E18" s="544">
        <f>'G-1 All Habitats'!Q16</f>
        <v>0.33</v>
      </c>
    </row>
    <row r="19" spans="1:5" x14ac:dyDescent="0.3">
      <c r="A19" s="110" t="str">
        <f>'G-1 All Habitats'!B17</f>
        <v>Grassland - Lowland dry acid grassland</v>
      </c>
      <c r="B19" s="544" t="str">
        <f>'G-1 All Habitats'!N17</f>
        <v>High</v>
      </c>
      <c r="C19" s="544">
        <f>'G-1 All Habitats'!O17</f>
        <v>0.33</v>
      </c>
      <c r="D19" s="544" t="str">
        <f>'G-1 All Habitats'!P17</f>
        <v>High</v>
      </c>
      <c r="E19" s="544">
        <f>'G-1 All Habitats'!Q17</f>
        <v>0.33</v>
      </c>
    </row>
    <row r="20" spans="1:5" x14ac:dyDescent="0.3">
      <c r="A20" s="110" t="str">
        <f>'G-1 All Habitats'!B18</f>
        <v>Grassland - Lowland meadows</v>
      </c>
      <c r="B20" s="544" t="str">
        <f>'G-1 All Habitats'!N18</f>
        <v>High</v>
      </c>
      <c r="C20" s="544">
        <f>'G-1 All Habitats'!O18</f>
        <v>0.33</v>
      </c>
      <c r="D20" s="544" t="str">
        <f>'G-1 All Habitats'!P18</f>
        <v>Medium</v>
      </c>
      <c r="E20" s="544">
        <f>'G-1 All Habitats'!Q18</f>
        <v>0.67</v>
      </c>
    </row>
    <row r="21" spans="1:5" x14ac:dyDescent="0.3">
      <c r="A21" s="110" t="str">
        <f>'G-1 All Habitats'!B19</f>
        <v>Grassland - Modified grassland</v>
      </c>
      <c r="B21" s="544" t="str">
        <f>'G-1 All Habitats'!N19</f>
        <v>Low</v>
      </c>
      <c r="C21" s="544">
        <f>'G-1 All Habitats'!O19</f>
        <v>1</v>
      </c>
      <c r="D21" s="544" t="str">
        <f>'G-1 All Habitats'!P19</f>
        <v>Low</v>
      </c>
      <c r="E21" s="544">
        <f>'G-1 All Habitats'!Q19</f>
        <v>1</v>
      </c>
    </row>
    <row r="22" spans="1:5" x14ac:dyDescent="0.3">
      <c r="A22" s="110" t="str">
        <f>'G-1 All Habitats'!B20</f>
        <v>Grassland - Other lowland acid grassland</v>
      </c>
      <c r="B22" s="544" t="str">
        <f>'G-1 All Habitats'!N20</f>
        <v>Low</v>
      </c>
      <c r="C22" s="544">
        <f>'G-1 All Habitats'!O20</f>
        <v>1</v>
      </c>
      <c r="D22" s="544" t="str">
        <f>'G-1 All Habitats'!P20</f>
        <v>Low</v>
      </c>
      <c r="E22" s="544">
        <f>'G-1 All Habitats'!Q20</f>
        <v>1</v>
      </c>
    </row>
    <row r="23" spans="1:5" x14ac:dyDescent="0.3">
      <c r="A23" s="110" t="str">
        <f>'G-1 All Habitats'!B21</f>
        <v>Grassland - Other neutral grassland</v>
      </c>
      <c r="B23" s="544" t="str">
        <f>'G-1 All Habitats'!N21</f>
        <v>Low</v>
      </c>
      <c r="C23" s="544">
        <f>'G-1 All Habitats'!O21</f>
        <v>1</v>
      </c>
      <c r="D23" s="544" t="str">
        <f>'G-1 All Habitats'!P21</f>
        <v>Low</v>
      </c>
      <c r="E23" s="544">
        <f>'G-1 All Habitats'!Q21</f>
        <v>1</v>
      </c>
    </row>
    <row r="24" spans="1:5" x14ac:dyDescent="0.3">
      <c r="A24" s="110" t="str">
        <f>'G-1 All Habitats'!B22</f>
        <v>Grassland - Tall herb communities (H6430)</v>
      </c>
      <c r="B24" s="544" t="str">
        <f>'G-1 All Habitats'!N22</f>
        <v>High</v>
      </c>
      <c r="C24" s="544">
        <f>'G-1 All Habitats'!O22</f>
        <v>0.33</v>
      </c>
      <c r="D24" s="544" t="str">
        <f>'G-1 All Habitats'!P22</f>
        <v>High</v>
      </c>
      <c r="E24" s="544">
        <f>'G-1 All Habitats'!Q22</f>
        <v>0.33</v>
      </c>
    </row>
    <row r="25" spans="1:5" x14ac:dyDescent="0.3">
      <c r="A25" s="110" t="str">
        <f>'G-1 All Habitats'!B23</f>
        <v>Grassland - Upland acid grassland</v>
      </c>
      <c r="B25" s="544" t="str">
        <f>'G-1 All Habitats'!N23</f>
        <v>Low</v>
      </c>
      <c r="C25" s="544">
        <f>'G-1 All Habitats'!O23</f>
        <v>1</v>
      </c>
      <c r="D25" s="544" t="str">
        <f>'G-1 All Habitats'!P23</f>
        <v>Low</v>
      </c>
      <c r="E25" s="544">
        <f>'G-1 All Habitats'!Q23</f>
        <v>1</v>
      </c>
    </row>
    <row r="26" spans="1:5" x14ac:dyDescent="0.3">
      <c r="A26" s="110" t="str">
        <f>'G-1 All Habitats'!B24</f>
        <v>Grassland - Upland calcareous grassland</v>
      </c>
      <c r="B26" s="544" t="str">
        <f>'G-1 All Habitats'!N24</f>
        <v>High</v>
      </c>
      <c r="C26" s="544">
        <f>'G-1 All Habitats'!O24</f>
        <v>0.33</v>
      </c>
      <c r="D26" s="544" t="str">
        <f>'G-1 All Habitats'!P24</f>
        <v>High</v>
      </c>
      <c r="E26" s="544">
        <f>'G-1 All Habitats'!Q24</f>
        <v>0.33</v>
      </c>
    </row>
    <row r="27" spans="1:5" x14ac:dyDescent="0.3">
      <c r="A27" s="110" t="str">
        <f>'G-1 All Habitats'!B25</f>
        <v>Grassland - Upland hay meadows</v>
      </c>
      <c r="B27" s="544" t="str">
        <f>'G-1 All Habitats'!N25</f>
        <v>High</v>
      </c>
      <c r="C27" s="544">
        <f>'G-1 All Habitats'!O25</f>
        <v>0.33</v>
      </c>
      <c r="D27" s="544" t="str">
        <f>'G-1 All Habitats'!P25</f>
        <v>Medium</v>
      </c>
      <c r="E27" s="544">
        <f>'G-1 All Habitats'!Q25</f>
        <v>0.67</v>
      </c>
    </row>
    <row r="28" spans="1:5" x14ac:dyDescent="0.3">
      <c r="A28" s="110" t="str">
        <f>'G-1 All Habitats'!B26</f>
        <v>Heathland and shrub - Blackthorn scrub</v>
      </c>
      <c r="B28" s="544" t="str">
        <f>'G-1 All Habitats'!N26</f>
        <v>Low</v>
      </c>
      <c r="C28" s="544">
        <f>'G-1 All Habitats'!O26</f>
        <v>1</v>
      </c>
      <c r="D28" s="544" t="str">
        <f>'G-1 All Habitats'!P26</f>
        <v>Low</v>
      </c>
      <c r="E28" s="544">
        <f>'G-1 All Habitats'!Q26</f>
        <v>1</v>
      </c>
    </row>
    <row r="29" spans="1:5" x14ac:dyDescent="0.3">
      <c r="A29" s="110" t="str">
        <f>'G-1 All Habitats'!B27</f>
        <v>Heathland and shrub - Bramble scrub</v>
      </c>
      <c r="B29" s="544" t="str">
        <f>'G-1 All Habitats'!N27</f>
        <v>Low</v>
      </c>
      <c r="C29" s="544">
        <f>'G-1 All Habitats'!O27</f>
        <v>1</v>
      </c>
      <c r="D29" s="544" t="str">
        <f>'G-1 All Habitats'!P27</f>
        <v>Low</v>
      </c>
      <c r="E29" s="544">
        <f>'G-1 All Habitats'!Q27</f>
        <v>1</v>
      </c>
    </row>
    <row r="30" spans="1:5" x14ac:dyDescent="0.3">
      <c r="A30" s="110" t="str">
        <f>'G-1 All Habitats'!B28</f>
        <v>Heathland and shrub - Gorse scrub</v>
      </c>
      <c r="B30" s="544" t="str">
        <f>'G-1 All Habitats'!N28</f>
        <v>Low</v>
      </c>
      <c r="C30" s="544">
        <f>'G-1 All Habitats'!O28</f>
        <v>1</v>
      </c>
      <c r="D30" s="544" t="str">
        <f>'G-1 All Habitats'!P28</f>
        <v>Low</v>
      </c>
      <c r="E30" s="544">
        <f>'G-1 All Habitats'!Q28</f>
        <v>1</v>
      </c>
    </row>
    <row r="31" spans="1:5" x14ac:dyDescent="0.3">
      <c r="A31" s="110" t="str">
        <f>'G-1 All Habitats'!B29</f>
        <v>Heathland and shrub - Hawthorn scrub</v>
      </c>
      <c r="B31" s="544" t="str">
        <f>'G-1 All Habitats'!N29</f>
        <v>Low</v>
      </c>
      <c r="C31" s="544">
        <f>'G-1 All Habitats'!O29</f>
        <v>1</v>
      </c>
      <c r="D31" s="544" t="str">
        <f>'G-1 All Habitats'!P29</f>
        <v>Low</v>
      </c>
      <c r="E31" s="544">
        <f>'G-1 All Habitats'!Q29</f>
        <v>1</v>
      </c>
    </row>
    <row r="32" spans="1:5" x14ac:dyDescent="0.3">
      <c r="A32" s="110" t="str">
        <f>'G-1 All Habitats'!B30</f>
        <v>Heathland and shrub - Hazel scrub</v>
      </c>
      <c r="B32" s="544" t="s">
        <v>23</v>
      </c>
      <c r="C32" s="544">
        <f>'G-1 All Habitats'!O30</f>
        <v>1</v>
      </c>
      <c r="D32" s="544" t="s">
        <v>23</v>
      </c>
      <c r="E32" s="544">
        <f>'G-1 All Habitats'!Q30</f>
        <v>1</v>
      </c>
    </row>
    <row r="33" spans="1:5" x14ac:dyDescent="0.3">
      <c r="A33" s="110" t="str">
        <f>'G-1 All Habitats'!B31</f>
        <v>Heathland and shrub - Lowland Heathland</v>
      </c>
      <c r="B33" s="544" t="str">
        <f>'G-1 All Habitats'!N31</f>
        <v>High</v>
      </c>
      <c r="C33" s="544">
        <f>'G-1 All Habitats'!O31</f>
        <v>0.33</v>
      </c>
      <c r="D33" s="544" t="str">
        <f>'G-1 All Habitats'!P31</f>
        <v>Medium</v>
      </c>
      <c r="E33" s="544">
        <f>'G-1 All Habitats'!Q31</f>
        <v>0.67</v>
      </c>
    </row>
    <row r="34" spans="1:5" x14ac:dyDescent="0.3">
      <c r="A34" s="110" t="str">
        <f>'G-1 All Habitats'!B32</f>
        <v>Heathland and shrub - Mixed scrub</v>
      </c>
      <c r="B34" s="544" t="str">
        <f>'G-1 All Habitats'!N32</f>
        <v>Low</v>
      </c>
      <c r="C34" s="544">
        <f>'G-1 All Habitats'!O32</f>
        <v>1</v>
      </c>
      <c r="D34" s="544" t="str">
        <f>'G-1 All Habitats'!P32</f>
        <v>Low</v>
      </c>
      <c r="E34" s="544">
        <f>'G-1 All Habitats'!Q32</f>
        <v>1</v>
      </c>
    </row>
    <row r="35" spans="1:5" x14ac:dyDescent="0.3">
      <c r="A35" s="110" t="str">
        <f>'G-1 All Habitats'!B33</f>
        <v>Heathland and shrub - Mountain heaths and willow scrub</v>
      </c>
      <c r="B35" s="544" t="str">
        <f>'G-1 All Habitats'!N33</f>
        <v>High</v>
      </c>
      <c r="C35" s="544">
        <f>'G-1 All Habitats'!O33</f>
        <v>0.33</v>
      </c>
      <c r="D35" s="544" t="str">
        <f>'G-1 All Habitats'!P33</f>
        <v>High</v>
      </c>
      <c r="E35" s="544">
        <f>'G-1 All Habitats'!Q33</f>
        <v>0.33</v>
      </c>
    </row>
    <row r="36" spans="1:5" x14ac:dyDescent="0.3">
      <c r="A36" s="110" t="str">
        <f>'G-1 All Habitats'!B34</f>
        <v>Heathland and shrub - Rhododendron scrub</v>
      </c>
      <c r="B36" s="544" t="str">
        <f>'G-1 All Habitats'!N34</f>
        <v>Low</v>
      </c>
      <c r="C36" s="544">
        <f>'G-1 All Habitats'!O34</f>
        <v>1</v>
      </c>
      <c r="D36" s="544" t="str">
        <f>'G-1 All Habitats'!P34</f>
        <v>Low</v>
      </c>
      <c r="E36" s="544">
        <f>'G-1 All Habitats'!Q34</f>
        <v>1</v>
      </c>
    </row>
    <row r="37" spans="1:5" x14ac:dyDescent="0.3">
      <c r="A37" s="110" t="str">
        <f>'G-1 All Habitats'!B35</f>
        <v>Heathland and shrub - Sea buckthorn scrub (Annex 1)</v>
      </c>
      <c r="B37" s="544" t="str">
        <f>'G-1 All Habitats'!N35</f>
        <v>Medium</v>
      </c>
      <c r="C37" s="544">
        <f>'G-1 All Habitats'!O35</f>
        <v>0.67</v>
      </c>
      <c r="D37" s="544" t="str">
        <f>'G-1 All Habitats'!P35</f>
        <v>Low</v>
      </c>
      <c r="E37" s="544">
        <f>'G-1 All Habitats'!Q35</f>
        <v>1</v>
      </c>
    </row>
    <row r="38" spans="1:5" x14ac:dyDescent="0.3">
      <c r="A38" s="110" t="str">
        <f>'G-1 All Habitats'!B36</f>
        <v>Heathland and shrub - Sea buckthorn scrub (other)</v>
      </c>
      <c r="B38" s="544" t="str">
        <f>'G-1 All Habitats'!N36</f>
        <v>Low</v>
      </c>
      <c r="C38" s="544">
        <f>'G-1 All Habitats'!O36</f>
        <v>1</v>
      </c>
      <c r="D38" s="544" t="str">
        <f>'G-1 All Habitats'!P36</f>
        <v>Low</v>
      </c>
      <c r="E38" s="544">
        <f>'G-1 All Habitats'!Q36</f>
        <v>1</v>
      </c>
    </row>
    <row r="39" spans="1:5" x14ac:dyDescent="0.3">
      <c r="A39" s="110" t="str">
        <f>'G-1 All Habitats'!B37</f>
        <v>Heathland and shrub - Upland Heathland</v>
      </c>
      <c r="B39" s="544" t="str">
        <f>'G-1 All Habitats'!N37</f>
        <v>Medium</v>
      </c>
      <c r="C39" s="544">
        <f>'G-1 All Habitats'!O37</f>
        <v>0.67</v>
      </c>
      <c r="D39" s="544" t="str">
        <f>'G-1 All Habitats'!P37</f>
        <v>Medium</v>
      </c>
      <c r="E39" s="544">
        <f>'G-1 All Habitats'!Q37</f>
        <v>0.67</v>
      </c>
    </row>
    <row r="40" spans="1:5" x14ac:dyDescent="0.3">
      <c r="A40" s="110" t="str">
        <f>'G-1 All Habitats'!B124</f>
        <v>Intertidal sediment - Artificial littoral biogenic reefs</v>
      </c>
      <c r="B40" s="544" t="str">
        <f>'G-1 All Habitats'!N124</f>
        <v>High</v>
      </c>
      <c r="C40" s="544">
        <f>'G-1 All Habitats'!O124</f>
        <v>0.33</v>
      </c>
      <c r="D40" s="544" t="str">
        <f>'G-1 All Habitats'!P124</f>
        <v>Medium</v>
      </c>
      <c r="E40" s="544">
        <f>'G-1 All Habitats'!Q124</f>
        <v>0.67</v>
      </c>
    </row>
    <row r="41" spans="1:5" x14ac:dyDescent="0.3">
      <c r="A41" s="110" t="str">
        <f>'G-1 All Habitats'!B118</f>
        <v>Intertidal sediment - Artificial littoral coarse sediment</v>
      </c>
      <c r="B41" s="544" t="str">
        <f>'G-1 All Habitats'!N118</f>
        <v>Medium</v>
      </c>
      <c r="C41" s="544">
        <f>'G-1 All Habitats'!O118</f>
        <v>0.67</v>
      </c>
      <c r="D41" s="544" t="str">
        <f>'G-1 All Habitats'!P118</f>
        <v>Medium</v>
      </c>
      <c r="E41" s="544">
        <f>'G-1 All Habitats'!Q118</f>
        <v>0.67</v>
      </c>
    </row>
    <row r="42" spans="1:5" x14ac:dyDescent="0.3">
      <c r="A42" s="110" t="str">
        <f>'G-1 All Habitats'!B122</f>
        <v>Intertidal sediment - Artificial littoral mixed sediments</v>
      </c>
      <c r="B42" s="544" t="str">
        <f>'G-1 All Habitats'!N122</f>
        <v>High</v>
      </c>
      <c r="C42" s="544">
        <f>'G-1 All Habitats'!O122</f>
        <v>0.33</v>
      </c>
      <c r="D42" s="544" t="str">
        <f>'G-1 All Habitats'!P122</f>
        <v>Medium</v>
      </c>
      <c r="E42" s="544">
        <f>'G-1 All Habitats'!Q122</f>
        <v>0.67</v>
      </c>
    </row>
    <row r="43" spans="1:5" x14ac:dyDescent="0.3">
      <c r="A43" s="110" t="str">
        <f>'G-1 All Habitats'!B121</f>
        <v>Intertidal sediment - Artificial littoral muddy sand</v>
      </c>
      <c r="B43" s="544" t="str">
        <f>'G-1 All Habitats'!N121</f>
        <v>High</v>
      </c>
      <c r="C43" s="544">
        <f>'G-1 All Habitats'!O121</f>
        <v>0.33</v>
      </c>
      <c r="D43" s="544" t="str">
        <f>'G-1 All Habitats'!P121</f>
        <v>Medium</v>
      </c>
      <c r="E43" s="544">
        <f>'G-1 All Habitats'!Q121</f>
        <v>0.67</v>
      </c>
    </row>
    <row r="44" spans="1:5" x14ac:dyDescent="0.3">
      <c r="A44" s="110" t="str">
        <f>'G-1 All Habitats'!B123</f>
        <v>Intertidal sediment - Artificial littoral seagrass</v>
      </c>
      <c r="B44" s="544" t="str">
        <f>'G-1 All Habitats'!N123</f>
        <v>High</v>
      </c>
      <c r="C44" s="544">
        <f>'G-1 All Habitats'!O123</f>
        <v>0.33</v>
      </c>
      <c r="D44" s="544" t="str">
        <f>'G-1 All Habitats'!P123</f>
        <v>High</v>
      </c>
      <c r="E44" s="544">
        <f>'G-1 All Habitats'!Q123</f>
        <v>0.33</v>
      </c>
    </row>
    <row r="45" spans="1:5" x14ac:dyDescent="0.3">
      <c r="A45" s="110" t="str">
        <f>'G-1 All Habitats'!B117</f>
        <v>Intertidal sediment - Features of littoral sediment</v>
      </c>
      <c r="B45" s="544" t="str">
        <f>'G-1 All Habitats'!N117</f>
        <v>High</v>
      </c>
      <c r="C45" s="544">
        <f>'G-1 All Habitats'!O117</f>
        <v>0.33</v>
      </c>
      <c r="D45" s="544" t="str">
        <f>'G-1 All Habitats'!P117</f>
        <v>Medium</v>
      </c>
      <c r="E45" s="544">
        <f>'G-1 All Habitats'!Q117</f>
        <v>0.67</v>
      </c>
    </row>
    <row r="46" spans="1:5" x14ac:dyDescent="0.3">
      <c r="A46" s="110" t="str">
        <f>'G-1 All Habitats'!B116</f>
        <v>Intertidal sediment - Littoral biogenic reefs - Sabellaria</v>
      </c>
      <c r="B46" s="544" t="str">
        <f>'G-1 All Habitats'!N116</f>
        <v>High</v>
      </c>
      <c r="C46" s="544">
        <f>'G-1 All Habitats'!O116</f>
        <v>0.33</v>
      </c>
      <c r="D46" s="544" t="str">
        <f>'G-1 All Habitats'!P116</f>
        <v>Medium</v>
      </c>
      <c r="E46" s="544">
        <f>'G-1 All Habitats'!Q116</f>
        <v>0.67</v>
      </c>
    </row>
    <row r="47" spans="1:5" x14ac:dyDescent="0.3">
      <c r="A47" s="110" t="str">
        <f>'G-1 All Habitats'!B110</f>
        <v>Intertidal sediment - Littoral coarse sediment</v>
      </c>
      <c r="B47" s="544" t="str">
        <f>'G-1 All Habitats'!N110</f>
        <v>Medium</v>
      </c>
      <c r="C47" s="544">
        <f>'G-1 All Habitats'!O110</f>
        <v>0.67</v>
      </c>
      <c r="D47" s="544" t="str">
        <f>'G-1 All Habitats'!P110</f>
        <v>Medium</v>
      </c>
      <c r="E47" s="544">
        <f>'G-1 All Habitats'!Q110</f>
        <v>0.67</v>
      </c>
    </row>
    <row r="48" spans="1:5" x14ac:dyDescent="0.3">
      <c r="A48" s="110" t="str">
        <f>'G-1 All Habitats'!B112</f>
        <v>Intertidal sediment - Littoral mixed sediments</v>
      </c>
      <c r="B48" s="544" t="str">
        <f>'G-1 All Habitats'!N112</f>
        <v>High</v>
      </c>
      <c r="C48" s="544">
        <f>'G-1 All Habitats'!O112</f>
        <v>0.33</v>
      </c>
      <c r="D48" s="544" t="str">
        <f>'G-1 All Habitats'!P112</f>
        <v>Medium</v>
      </c>
      <c r="E48" s="544">
        <f>'G-1 All Habitats'!Q112</f>
        <v>0.67</v>
      </c>
    </row>
    <row r="49" spans="1:5" x14ac:dyDescent="0.3">
      <c r="A49" s="110" t="str">
        <f>'G-1 All Habitats'!B111</f>
        <v>Intertidal sediment - Littoral mud</v>
      </c>
      <c r="B49" s="544" t="str">
        <f>'G-1 All Habitats'!N111</f>
        <v>High</v>
      </c>
      <c r="C49" s="544">
        <f>'G-1 All Habitats'!O111</f>
        <v>0.33</v>
      </c>
      <c r="D49" s="544" t="str">
        <f>'G-1 All Habitats'!P111</f>
        <v>Medium</v>
      </c>
      <c r="E49" s="544">
        <f>'G-1 All Habitats'!Q111</f>
        <v>0.67</v>
      </c>
    </row>
    <row r="50" spans="1:5" x14ac:dyDescent="0.3">
      <c r="A50" s="110" t="str">
        <f>'G-1 All Habitats'!B113</f>
        <v>Intertidal sediment - Littoral seagrass</v>
      </c>
      <c r="B50" s="544" t="str">
        <f>'G-1 All Habitats'!N113</f>
        <v>High</v>
      </c>
      <c r="C50" s="544">
        <f>'G-1 All Habitats'!O113</f>
        <v>0.33</v>
      </c>
      <c r="D50" s="544" t="str">
        <f>'G-1 All Habitats'!P113</f>
        <v>High</v>
      </c>
      <c r="E50" s="544">
        <f>'G-1 All Habitats'!Q113</f>
        <v>0.33</v>
      </c>
    </row>
    <row r="51" spans="1:5" x14ac:dyDescent="0.3">
      <c r="A51" s="110" t="str">
        <f>'G-1 All Habitats'!B114</f>
        <v>Intertidal sediment - Littoral seagrass on peat, clay or chalk</v>
      </c>
      <c r="B51" s="544" t="str">
        <f>'G-1 All Habitats'!N114</f>
        <v>Very High</v>
      </c>
      <c r="C51" s="544">
        <f>'G-1 All Habitats'!O114</f>
        <v>0.1</v>
      </c>
      <c r="D51" s="544" t="str">
        <f>'G-1 All Habitats'!P114</f>
        <v>High</v>
      </c>
      <c r="E51" s="544">
        <f>'G-1 All Habitats'!Q114</f>
        <v>0.33</v>
      </c>
    </row>
    <row r="52" spans="1:5" x14ac:dyDescent="0.3">
      <c r="A52" s="110" t="str">
        <f>'G-1 All Habitats'!B38</f>
        <v>Lakes - Aquifer fed naturally fluctuating water bodies</v>
      </c>
      <c r="B52" s="544" t="str">
        <f>'G-1 All Habitats'!N38</f>
        <v>Very High</v>
      </c>
      <c r="C52" s="544">
        <f>'G-1 All Habitats'!O38</f>
        <v>0.1</v>
      </c>
      <c r="D52" s="544" t="str">
        <f>'G-1 All Habitats'!P38</f>
        <v>High</v>
      </c>
      <c r="E52" s="544">
        <f>'G-1 All Habitats'!Q38</f>
        <v>0.33</v>
      </c>
    </row>
    <row r="53" spans="1:5" x14ac:dyDescent="0.3">
      <c r="A53" s="110" t="str">
        <f>'G-1 All Habitats'!B39</f>
        <v>Lakes - Ornamental lake or pond</v>
      </c>
      <c r="B53" s="544" t="str">
        <f>'G-1 All Habitats'!N39</f>
        <v>Low</v>
      </c>
      <c r="C53" s="544">
        <f>'G-1 All Habitats'!O39</f>
        <v>1</v>
      </c>
      <c r="D53" s="544" t="str">
        <f>'G-1 All Habitats'!P39</f>
        <v>High</v>
      </c>
      <c r="E53" s="544">
        <f>'G-1 All Habitats'!Q39</f>
        <v>0.33</v>
      </c>
    </row>
    <row r="54" spans="1:5" x14ac:dyDescent="0.3">
      <c r="A54" s="110" t="str">
        <f>'G-1 All Habitats'!B40</f>
        <v>Lakes - High alkalinity lakes</v>
      </c>
      <c r="B54" s="544" t="str">
        <f>'G-1 All Habitats'!N40</f>
        <v>High</v>
      </c>
      <c r="C54" s="544">
        <f>'G-1 All Habitats'!O40</f>
        <v>0.33</v>
      </c>
      <c r="D54" s="544" t="str">
        <f>'G-1 All Habitats'!P40</f>
        <v>High</v>
      </c>
      <c r="E54" s="544">
        <f>'G-1 All Habitats'!Q40</f>
        <v>0.33</v>
      </c>
    </row>
    <row r="55" spans="1:5" x14ac:dyDescent="0.3">
      <c r="A55" s="110" t="str">
        <f>'G-1 All Habitats'!B41</f>
        <v>Lakes - Low alkalinity lakes</v>
      </c>
      <c r="B55" s="544" t="str">
        <f>'G-1 All Habitats'!N41</f>
        <v>High</v>
      </c>
      <c r="C55" s="544">
        <f>'G-1 All Habitats'!O41</f>
        <v>0.33</v>
      </c>
      <c r="D55" s="544" t="str">
        <f>'G-1 All Habitats'!P41</f>
        <v>Medium</v>
      </c>
      <c r="E55" s="544">
        <f>'G-1 All Habitats'!Q41</f>
        <v>0.67</v>
      </c>
    </row>
    <row r="56" spans="1:5" x14ac:dyDescent="0.3">
      <c r="A56" s="110" t="str">
        <f>'G-1 All Habitats'!B42</f>
        <v>Lakes - Marl Lakes</v>
      </c>
      <c r="B56" s="544" t="str">
        <f>'G-1 All Habitats'!N42</f>
        <v>High</v>
      </c>
      <c r="C56" s="544">
        <f>'G-1 All Habitats'!O42</f>
        <v>0.33</v>
      </c>
      <c r="D56" s="544" t="str">
        <f>'G-1 All Habitats'!P42</f>
        <v>High</v>
      </c>
      <c r="E56" s="544">
        <f>'G-1 All Habitats'!Q42</f>
        <v>0.33</v>
      </c>
    </row>
    <row r="57" spans="1:5" x14ac:dyDescent="0.3">
      <c r="A57" s="110" t="str">
        <f>'G-1 All Habitats'!B43</f>
        <v>Lakes - Moderate alkalinity lakes</v>
      </c>
      <c r="B57" s="544" t="str">
        <f>'G-1 All Habitats'!N43</f>
        <v>High</v>
      </c>
      <c r="C57" s="544">
        <f>'G-1 All Habitats'!O43</f>
        <v>0.33</v>
      </c>
      <c r="D57" s="544" t="str">
        <f>'G-1 All Habitats'!P43</f>
        <v>High</v>
      </c>
      <c r="E57" s="544">
        <f>'G-1 All Habitats'!Q43</f>
        <v>0.33</v>
      </c>
    </row>
    <row r="58" spans="1:5" x14ac:dyDescent="0.3">
      <c r="A58" s="110" t="str">
        <f>'G-1 All Habitats'!B44</f>
        <v>Lakes - Peat Lakes</v>
      </c>
      <c r="B58" s="544" t="str">
        <f>'G-1 All Habitats'!N44</f>
        <v>High</v>
      </c>
      <c r="C58" s="544">
        <f>'G-1 All Habitats'!O44</f>
        <v>0.33</v>
      </c>
      <c r="D58" s="544" t="str">
        <f>'G-1 All Habitats'!P44</f>
        <v>High</v>
      </c>
      <c r="E58" s="544">
        <f>'G-1 All Habitats'!Q44</f>
        <v>0.33</v>
      </c>
    </row>
    <row r="59" spans="1:5" x14ac:dyDescent="0.3">
      <c r="A59" s="110" t="str">
        <f>'G-1 All Habitats'!B46</f>
        <v>Lakes - Ponds (Non- Priority Habitat)</v>
      </c>
      <c r="B59" s="544" t="str">
        <f>'G-1 All Habitats'!N46</f>
        <v>Low</v>
      </c>
      <c r="C59" s="544">
        <f>'G-1 All Habitats'!O46</f>
        <v>1</v>
      </c>
      <c r="D59" s="544" t="str">
        <f>'G-1 All Habitats'!P46</f>
        <v>Medium</v>
      </c>
      <c r="E59" s="544">
        <f>'G-1 All Habitats'!Q46</f>
        <v>0.67</v>
      </c>
    </row>
    <row r="60" spans="1:5" x14ac:dyDescent="0.3">
      <c r="A60" s="110" t="str">
        <f>'G-1 All Habitats'!B45</f>
        <v>Lakes - Ponds (Priority Habitat)</v>
      </c>
      <c r="B60" s="544" t="str">
        <f>'G-1 All Habitats'!N45</f>
        <v>Medium</v>
      </c>
      <c r="C60" s="544">
        <f>'G-1 All Habitats'!O45</f>
        <v>0.67</v>
      </c>
      <c r="D60" s="544" t="str">
        <f>'G-1 All Habitats'!P45</f>
        <v>Medium</v>
      </c>
      <c r="E60" s="544">
        <f>'G-1 All Habitats'!Q45</f>
        <v>0.67</v>
      </c>
    </row>
    <row r="61" spans="1:5" x14ac:dyDescent="0.3">
      <c r="A61" s="110" t="str">
        <f>'G-1 All Habitats'!B47</f>
        <v>Lakes - Reservoirs</v>
      </c>
      <c r="B61" s="544" t="str">
        <f>'G-1 All Habitats'!N47</f>
        <v>Medium</v>
      </c>
      <c r="C61" s="544">
        <f>'G-1 All Habitats'!O47</f>
        <v>0.67</v>
      </c>
      <c r="D61" s="544" t="str">
        <f>'G-1 All Habitats'!P47</f>
        <v>Medium</v>
      </c>
      <c r="E61" s="544">
        <f>'G-1 All Habitats'!Q47</f>
        <v>0.67</v>
      </c>
    </row>
    <row r="62" spans="1:5" x14ac:dyDescent="0.3">
      <c r="A62" s="110" t="str">
        <f>'G-1 All Habitats'!B48</f>
        <v>Lakes - Temporary lakes, ponds and pools</v>
      </c>
      <c r="B62" s="544" t="str">
        <f>'G-1 All Habitats'!N48</f>
        <v>Medium</v>
      </c>
      <c r="C62" s="544">
        <f>'G-1 All Habitats'!O48</f>
        <v>0.67</v>
      </c>
      <c r="D62" s="544" t="str">
        <f>'G-1 All Habitats'!P48</f>
        <v>Medium</v>
      </c>
      <c r="E62" s="544">
        <f>'G-1 All Habitats'!Q48</f>
        <v>0.67</v>
      </c>
    </row>
    <row r="63" spans="1:5" x14ac:dyDescent="0.3">
      <c r="A63" s="110" t="str">
        <f>'G-1 All Habitats'!B106</f>
        <v>Rocky shore - Features of littoral rock</v>
      </c>
      <c r="B63" s="544" t="str">
        <f>'G-1 All Habitats'!N106</f>
        <v>High</v>
      </c>
      <c r="C63" s="544">
        <f>'G-1 All Habitats'!O106</f>
        <v>0.33</v>
      </c>
      <c r="D63" s="544" t="str">
        <f>'G-1 All Habitats'!P106</f>
        <v>Medium</v>
      </c>
      <c r="E63" s="544">
        <f>'G-1 All Habitats'!Q106</f>
        <v>0.67</v>
      </c>
    </row>
    <row r="64" spans="1:5" x14ac:dyDescent="0.3">
      <c r="A64" s="110" t="str">
        <f>'G-1 All Habitats'!B107</f>
        <v>Rocky shore - Features of littoral rock - on peat, clay or chalk</v>
      </c>
      <c r="B64" s="544" t="str">
        <f>'G-1 All Habitats'!N107</f>
        <v>Very High</v>
      </c>
      <c r="C64" s="544">
        <f>'G-1 All Habitats'!O107</f>
        <v>0.1</v>
      </c>
      <c r="D64" s="544" t="str">
        <f>'G-1 All Habitats'!P107</f>
        <v>Medium</v>
      </c>
      <c r="E64" s="544">
        <f>'G-1 All Habitats'!Q107</f>
        <v>0.67</v>
      </c>
    </row>
    <row r="65" spans="1:5" x14ac:dyDescent="0.3">
      <c r="A65" s="110" t="str">
        <f>'G-1 All Habitats'!B100</f>
        <v>Rocky shore - High energy littoral rock</v>
      </c>
      <c r="B65" s="544" t="str">
        <f>'G-1 All Habitats'!N100</f>
        <v>High</v>
      </c>
      <c r="C65" s="544">
        <f>'G-1 All Habitats'!O100</f>
        <v>0.33</v>
      </c>
      <c r="D65" s="544" t="str">
        <f>'G-1 All Habitats'!P100</f>
        <v>Medium</v>
      </c>
      <c r="E65" s="544">
        <f>'G-1 All Habitats'!Q100</f>
        <v>0.67</v>
      </c>
    </row>
    <row r="66" spans="1:5" x14ac:dyDescent="0.3">
      <c r="A66" s="110" t="str">
        <f>'G-1 All Habitats'!B101</f>
        <v>Rocky shore - High energy littoral rock - on peat, clay or chalk</v>
      </c>
      <c r="B66" s="544" t="str">
        <f>'G-1 All Habitats'!N101</f>
        <v>Very High</v>
      </c>
      <c r="C66" s="544">
        <f>'G-1 All Habitats'!O101</f>
        <v>0.1</v>
      </c>
      <c r="D66" s="544" t="str">
        <f>'G-1 All Habitats'!P101</f>
        <v>Medium</v>
      </c>
      <c r="E66" s="544">
        <f>'G-1 All Habitats'!Q101</f>
        <v>0.67</v>
      </c>
    </row>
    <row r="67" spans="1:5" x14ac:dyDescent="0.3">
      <c r="A67" s="110" t="str">
        <f>'G-1 All Habitats'!B104</f>
        <v>Rocky shore - Low energy littoral rock</v>
      </c>
      <c r="B67" s="544" t="str">
        <f>'G-1 All Habitats'!N104</f>
        <v>High</v>
      </c>
      <c r="C67" s="544">
        <f>'G-1 All Habitats'!O104</f>
        <v>0.33</v>
      </c>
      <c r="D67" s="544" t="str">
        <f>'G-1 All Habitats'!P104</f>
        <v>Medium</v>
      </c>
      <c r="E67" s="544">
        <f>'G-1 All Habitats'!Q104</f>
        <v>0.67</v>
      </c>
    </row>
    <row r="68" spans="1:5" x14ac:dyDescent="0.3">
      <c r="A68" s="110" t="str">
        <f>'G-1 All Habitats'!B105</f>
        <v>Rocky shore - Low energy littoral rock - on peat, clay or chalk</v>
      </c>
      <c r="B68" s="544" t="str">
        <f>'G-1 All Habitats'!N105</f>
        <v>Very High</v>
      </c>
      <c r="C68" s="544">
        <f>'G-1 All Habitats'!O105</f>
        <v>0.1</v>
      </c>
      <c r="D68" s="544" t="str">
        <f>'G-1 All Habitats'!P105</f>
        <v>Medium</v>
      </c>
      <c r="E68" s="544">
        <f>'G-1 All Habitats'!Q105</f>
        <v>0.67</v>
      </c>
    </row>
    <row r="69" spans="1:5" x14ac:dyDescent="0.3">
      <c r="A69" s="110" t="str">
        <f>'G-1 All Habitats'!B102</f>
        <v>Rocky shore - Moderate energy littoral rock</v>
      </c>
      <c r="B69" s="544" t="str">
        <f>'G-1 All Habitats'!N102</f>
        <v>High</v>
      </c>
      <c r="C69" s="544">
        <f>'G-1 All Habitats'!O102</f>
        <v>0.33</v>
      </c>
      <c r="D69" s="544" t="str">
        <f>'G-1 All Habitats'!P102</f>
        <v>Medium</v>
      </c>
      <c r="E69" s="544">
        <f>'G-1 All Habitats'!Q102</f>
        <v>0.67</v>
      </c>
    </row>
    <row r="70" spans="1:5" x14ac:dyDescent="0.3">
      <c r="A70" s="110" t="str">
        <f>'G-1 All Habitats'!B103</f>
        <v>Rocky shore - Moderate energy littoral rock - on peat, clay or chalk</v>
      </c>
      <c r="B70" s="544" t="str">
        <f>'G-1 All Habitats'!N103</f>
        <v>Very High</v>
      </c>
      <c r="C70" s="544">
        <f>'G-1 All Habitats'!O103</f>
        <v>0.1</v>
      </c>
      <c r="D70" s="544" t="str">
        <f>'G-1 All Habitats'!P103</f>
        <v>Medium</v>
      </c>
      <c r="E70" s="544">
        <f>'G-1 All Habitats'!Q103</f>
        <v>0.67</v>
      </c>
    </row>
    <row r="71" spans="1:5" x14ac:dyDescent="0.3">
      <c r="A71" s="110" t="str">
        <f>'G-1 All Habitats'!B49</f>
        <v>Sparsely vegetated land - Calaminarian grasslands</v>
      </c>
      <c r="B71" s="544" t="str">
        <f>'G-1 All Habitats'!N49</f>
        <v>Very High</v>
      </c>
      <c r="C71" s="544">
        <f>'G-1 All Habitats'!O49</f>
        <v>0.1</v>
      </c>
      <c r="D71" s="544" t="str">
        <f>'G-1 All Habitats'!P49</f>
        <v>Medium</v>
      </c>
      <c r="E71" s="544">
        <f>'G-1 All Habitats'!Q49</f>
        <v>0.67</v>
      </c>
    </row>
    <row r="72" spans="1:5" x14ac:dyDescent="0.3">
      <c r="A72" s="110" t="str">
        <f>'G-1 All Habitats'!B50</f>
        <v>Sparsely vegetated land - Coastal sand dunes</v>
      </c>
      <c r="B72" s="544" t="str">
        <f>'G-1 All Habitats'!N50</f>
        <v>Very High</v>
      </c>
      <c r="C72" s="544">
        <f>'G-1 All Habitats'!O50</f>
        <v>0.1</v>
      </c>
      <c r="D72" s="544" t="str">
        <f>'G-1 All Habitats'!P50</f>
        <v>Medium</v>
      </c>
      <c r="E72" s="544">
        <f>'G-1 All Habitats'!Q50</f>
        <v>0.67</v>
      </c>
    </row>
    <row r="73" spans="1:5" x14ac:dyDescent="0.3">
      <c r="A73" s="110" t="str">
        <f>'G-1 All Habitats'!B51</f>
        <v>Sparsely vegetated land - Coastal vegetated shingle</v>
      </c>
      <c r="B73" s="544" t="str">
        <f>'G-1 All Habitats'!N51</f>
        <v>Very High</v>
      </c>
      <c r="C73" s="544">
        <f>'G-1 All Habitats'!O51</f>
        <v>0.1</v>
      </c>
      <c r="D73" s="544" t="str">
        <f>'G-1 All Habitats'!P51</f>
        <v>Medium</v>
      </c>
      <c r="E73" s="544">
        <f>'G-1 All Habitats'!Q51</f>
        <v>0.67</v>
      </c>
    </row>
    <row r="74" spans="1:5" x14ac:dyDescent="0.3">
      <c r="A74" s="110" t="str">
        <f>'G-1 All Habitats'!B53</f>
        <v>Sparsely vegetated land - Inland rock outcrop and scree habitats</v>
      </c>
      <c r="B74" s="544" t="str">
        <f>'G-1 All Habitats'!N53</f>
        <v>High</v>
      </c>
      <c r="C74" s="544">
        <f>'G-1 All Habitats'!O53</f>
        <v>0.33</v>
      </c>
      <c r="D74" s="544" t="str">
        <f>'G-1 All Habitats'!P53</f>
        <v>Low</v>
      </c>
      <c r="E74" s="544">
        <f>'G-1 All Habitats'!Q53</f>
        <v>1</v>
      </c>
    </row>
    <row r="75" spans="1:5" x14ac:dyDescent="0.3">
      <c r="A75" s="110" t="str">
        <f>'G-1 All Habitats'!B54</f>
        <v>Sparsely vegetated land - Limestone pavement</v>
      </c>
      <c r="B75" s="544" t="str">
        <f>'G-1 All Habitats'!N54</f>
        <v>Very High</v>
      </c>
      <c r="C75" s="544">
        <f>'G-1 All Habitats'!O54</f>
        <v>0.1</v>
      </c>
      <c r="D75" s="544" t="str">
        <f>'G-1 All Habitats'!P54</f>
        <v>Medium</v>
      </c>
      <c r="E75" s="544">
        <f>'G-1 All Habitats'!Q54</f>
        <v>0.67</v>
      </c>
    </row>
    <row r="76" spans="1:5" x14ac:dyDescent="0.3">
      <c r="A76" s="110" t="str">
        <f>'G-1 All Habitats'!B55</f>
        <v>Sparsely vegetated land - Maritime cliff and slopes</v>
      </c>
      <c r="B76" s="544" t="str">
        <f>'G-1 All Habitats'!N55</f>
        <v>High</v>
      </c>
      <c r="C76" s="544">
        <f>'G-1 All Habitats'!O55</f>
        <v>0.33</v>
      </c>
      <c r="D76" s="544" t="str">
        <f>'G-1 All Habitats'!P55</f>
        <v>Medium</v>
      </c>
      <c r="E76" s="544">
        <f>'G-1 All Habitats'!Q55</f>
        <v>0.67</v>
      </c>
    </row>
    <row r="77" spans="1:5" x14ac:dyDescent="0.3">
      <c r="A77" s="110" t="str">
        <f>'G-1 All Habitats'!B56</f>
        <v>Sparsely vegetated land - Other inland rock and scree</v>
      </c>
      <c r="B77" s="544" t="str">
        <f>'G-1 All Habitats'!N56</f>
        <v>Medium</v>
      </c>
      <c r="C77" s="544">
        <f>'G-1 All Habitats'!O56</f>
        <v>0.67</v>
      </c>
      <c r="D77" s="544" t="str">
        <f>'G-1 All Habitats'!P56</f>
        <v>Medium</v>
      </c>
      <c r="E77" s="544">
        <f>'G-1 All Habitats'!Q56</f>
        <v>0.67</v>
      </c>
    </row>
    <row r="78" spans="1:5" x14ac:dyDescent="0.3">
      <c r="A78" s="110" t="str">
        <f>'G-1 All Habitats'!B52</f>
        <v>Sparsely vegetated land - Ruderal/Ephemeral</v>
      </c>
      <c r="B78" s="544" t="str">
        <f>'G-1 All Habitats'!N52</f>
        <v>Low</v>
      </c>
      <c r="C78" s="544">
        <f>'G-1 All Habitats'!O52</f>
        <v>1</v>
      </c>
      <c r="D78" s="544" t="str">
        <f>'G-1 All Habitats'!P52</f>
        <v>Medium</v>
      </c>
      <c r="E78" s="544">
        <f>'G-1 All Habitats'!Q52</f>
        <v>0.67</v>
      </c>
    </row>
    <row r="79" spans="1:5" x14ac:dyDescent="0.3">
      <c r="A79" s="110" t="str">
        <f>'G-1 All Habitats'!B76</f>
        <v>Urban - Vacant/derelict land/ bareground</v>
      </c>
      <c r="B79" s="544" t="str">
        <f>'G-1 All Habitats'!N76</f>
        <v>Low</v>
      </c>
      <c r="C79" s="544">
        <f>'G-1 All Habitats'!O76</f>
        <v>1</v>
      </c>
      <c r="D79" s="544" t="str">
        <f>'G-1 All Habitats'!P76</f>
        <v>Low</v>
      </c>
      <c r="E79" s="544">
        <f>'G-1 All Habitats'!Q76</f>
        <v>1</v>
      </c>
    </row>
    <row r="80" spans="1:5" x14ac:dyDescent="0.3">
      <c r="A80" s="110" t="str">
        <f>'G-1 All Habitats'!B57</f>
        <v>Urban - Allotments</v>
      </c>
      <c r="B80" s="544" t="str">
        <f>'G-1 All Habitats'!N57</f>
        <v>Low</v>
      </c>
      <c r="C80" s="544">
        <f>'G-1 All Habitats'!O57</f>
        <v>1</v>
      </c>
      <c r="D80" s="544" t="str">
        <f>'G-1 All Habitats'!P57</f>
        <v>Low</v>
      </c>
      <c r="E80" s="544">
        <f>'G-1 All Habitats'!Q57</f>
        <v>1</v>
      </c>
    </row>
    <row r="81" spans="1:5" x14ac:dyDescent="0.3">
      <c r="A81" s="110" t="str">
        <f>'G-1 All Habitats'!B58</f>
        <v>Urban - Artificial unvegetated, unsealed surface</v>
      </c>
      <c r="B81" s="544" t="str">
        <f>'G-1 All Habitats'!N58</f>
        <v>Low</v>
      </c>
      <c r="C81" s="544">
        <f>'G-1 All Habitats'!O58</f>
        <v>1</v>
      </c>
      <c r="D81" s="544" t="str">
        <f>'G-1 All Habitats'!P58</f>
        <v>Low</v>
      </c>
      <c r="E81" s="544">
        <f>'G-1 All Habitats'!Q58</f>
        <v>1</v>
      </c>
    </row>
    <row r="82" spans="1:5" x14ac:dyDescent="0.3">
      <c r="A82" s="110" t="str">
        <f>'G-1 All Habitats'!B59</f>
        <v>Urban - Bioswale</v>
      </c>
      <c r="B82" s="544" t="str">
        <f>'G-1 All Habitats'!N59</f>
        <v>Medium</v>
      </c>
      <c r="C82" s="544">
        <f>'G-1 All Habitats'!O59</f>
        <v>0.67</v>
      </c>
      <c r="D82" s="544" t="str">
        <f>'G-1 All Habitats'!P59</f>
        <v>Low</v>
      </c>
      <c r="E82" s="544">
        <f>'G-1 All Habitats'!Q59</f>
        <v>1</v>
      </c>
    </row>
    <row r="83" spans="1:5" x14ac:dyDescent="0.3">
      <c r="A83" s="110" t="str">
        <f>'G-1 All Habitats'!B60</f>
        <v>Urban - Intensive green roof</v>
      </c>
      <c r="B83" s="544" t="str">
        <f>'G-1 All Habitats'!N60</f>
        <v>Low</v>
      </c>
      <c r="C83" s="544">
        <f>'G-1 All Habitats'!O60</f>
        <v>1</v>
      </c>
      <c r="D83" s="544" t="str">
        <f>'G-1 All Habitats'!P60</f>
        <v>Low</v>
      </c>
      <c r="E83" s="544">
        <f>'G-1 All Habitats'!Q60</f>
        <v>1</v>
      </c>
    </row>
    <row r="84" spans="1:5" x14ac:dyDescent="0.3">
      <c r="A84" s="110" t="str">
        <f>'G-1 All Habitats'!B61</f>
        <v>Urban - Built linear features</v>
      </c>
      <c r="B84" s="544" t="str">
        <f>'G-1 All Habitats'!N61</f>
        <v>Low</v>
      </c>
      <c r="C84" s="544">
        <f>'G-1 All Habitats'!O61</f>
        <v>1</v>
      </c>
      <c r="D84" s="544" t="str">
        <f>'G-1 All Habitats'!P61</f>
        <v>Low</v>
      </c>
      <c r="E84" s="544">
        <f>'G-1 All Habitats'!Q61</f>
        <v>1</v>
      </c>
    </row>
    <row r="85" spans="1:5" x14ac:dyDescent="0.3">
      <c r="A85" s="110" t="str">
        <f>'G-1 All Habitats'!B62</f>
        <v>Urban - Cemeteries and churchyards</v>
      </c>
      <c r="B85" s="544" t="str">
        <f>'G-1 All Habitats'!N62</f>
        <v>Medium</v>
      </c>
      <c r="C85" s="544">
        <f>'G-1 All Habitats'!O62</f>
        <v>0.67</v>
      </c>
      <c r="D85" s="544" t="str">
        <f>'G-1 All Habitats'!P62</f>
        <v>Low</v>
      </c>
      <c r="E85" s="544">
        <f>'G-1 All Habitats'!Q62</f>
        <v>1</v>
      </c>
    </row>
    <row r="86" spans="1:5" x14ac:dyDescent="0.3">
      <c r="A86" s="110" t="str">
        <f>'G-1 All Habitats'!B63</f>
        <v>Urban - Developed land; sealed surface</v>
      </c>
      <c r="B86" s="544" t="str">
        <f>'G-1 All Habitats'!N63</f>
        <v>Low</v>
      </c>
      <c r="C86" s="544">
        <f>'G-1 All Habitats'!O63</f>
        <v>1</v>
      </c>
      <c r="D86" s="544" t="str">
        <f>'G-1 All Habitats'!P63</f>
        <v>Medium</v>
      </c>
      <c r="E86" s="544">
        <f>'G-1 All Habitats'!Q63</f>
        <v>0.67</v>
      </c>
    </row>
    <row r="87" spans="1:5" x14ac:dyDescent="0.3">
      <c r="A87" s="110" t="str">
        <f>'G-1 All Habitats'!B64</f>
        <v>Urban - Other green roof</v>
      </c>
      <c r="B87" s="544" t="str">
        <f>'G-1 All Habitats'!N64</f>
        <v>Low</v>
      </c>
      <c r="C87" s="544">
        <f>'G-1 All Habitats'!O64</f>
        <v>1</v>
      </c>
      <c r="D87" s="544" t="str">
        <f>'G-1 All Habitats'!P64</f>
        <v>Low</v>
      </c>
      <c r="E87" s="544">
        <f>'G-1 All Habitats'!Q64</f>
        <v>1</v>
      </c>
    </row>
    <row r="88" spans="1:5" x14ac:dyDescent="0.3">
      <c r="A88" s="110" t="str">
        <f>'G-1 All Habitats'!B65</f>
        <v>Urban - Facade-bound green wall</v>
      </c>
      <c r="B88" s="544" t="str">
        <f>'G-1 All Habitats'!N65</f>
        <v>Medium</v>
      </c>
      <c r="C88" s="544">
        <f>'G-1 All Habitats'!O65</f>
        <v>0.67</v>
      </c>
      <c r="D88" s="544" t="str">
        <f>'G-1 All Habitats'!P65</f>
        <v>Medium</v>
      </c>
      <c r="E88" s="544">
        <f>'G-1 All Habitats'!Q65</f>
        <v>0.67</v>
      </c>
    </row>
    <row r="89" spans="1:5" x14ac:dyDescent="0.3">
      <c r="A89" s="110" t="str">
        <f>'G-1 All Habitats'!B66</f>
        <v>Urban - Ground based green wall</v>
      </c>
      <c r="B89" s="544" t="str">
        <f>'G-1 All Habitats'!N66</f>
        <v>Medium</v>
      </c>
      <c r="C89" s="544">
        <f>'G-1 All Habitats'!O66</f>
        <v>0.67</v>
      </c>
      <c r="D89" s="544" t="str">
        <f>'G-1 All Habitats'!P66</f>
        <v>Medium</v>
      </c>
      <c r="E89" s="544">
        <f>'G-1 All Habitats'!Q66</f>
        <v>0.67</v>
      </c>
    </row>
    <row r="90" spans="1:5" x14ac:dyDescent="0.3">
      <c r="A90" s="110" t="str">
        <f>'G-1 All Habitats'!B67</f>
        <v>Urban - Ground level planters</v>
      </c>
      <c r="B90" s="544" t="str">
        <f>'G-1 All Habitats'!N67</f>
        <v>Low</v>
      </c>
      <c r="C90" s="544">
        <f>'G-1 All Habitats'!O67</f>
        <v>1</v>
      </c>
      <c r="D90" s="544" t="str">
        <f>'G-1 All Habitats'!P67</f>
        <v>Low</v>
      </c>
      <c r="E90" s="544">
        <f>'G-1 All Habitats'!Q67</f>
        <v>1</v>
      </c>
    </row>
    <row r="91" spans="1:5" x14ac:dyDescent="0.3">
      <c r="A91" s="110" t="str">
        <f>'G-1 All Habitats'!B68</f>
        <v>Urban - Biodiverse green roof</v>
      </c>
      <c r="B91" s="544" t="str">
        <f>'G-1 All Habitats'!N68</f>
        <v>Medium</v>
      </c>
      <c r="C91" s="544">
        <f>'G-1 All Habitats'!O68</f>
        <v>0.67</v>
      </c>
      <c r="D91" s="544" t="str">
        <f>'G-1 All Habitats'!P68</f>
        <v>Medium</v>
      </c>
      <c r="E91" s="544">
        <f>'G-1 All Habitats'!Q68</f>
        <v>0.67</v>
      </c>
    </row>
    <row r="92" spans="1:5" x14ac:dyDescent="0.3">
      <c r="A92" s="110" t="str">
        <f>'G-1 All Habitats'!B69</f>
        <v>Urban - Introduced shrub</v>
      </c>
      <c r="B92" s="544" t="str">
        <f>'G-1 All Habitats'!N69</f>
        <v>Low</v>
      </c>
      <c r="C92" s="544">
        <f>'G-1 All Habitats'!O69</f>
        <v>1</v>
      </c>
      <c r="D92" s="544" t="str">
        <f>'G-1 All Habitats'!P69</f>
        <v>Low</v>
      </c>
      <c r="E92" s="544">
        <f>'G-1 All Habitats'!Q69</f>
        <v>1</v>
      </c>
    </row>
    <row r="93" spans="1:5" x14ac:dyDescent="0.3">
      <c r="A93" s="110" t="str">
        <f>'G-1 All Habitats'!B70</f>
        <v>Urban - Open Mosaic Habitats on Previously Developed Land</v>
      </c>
      <c r="B93" s="544" t="str">
        <f>'G-1 All Habitats'!N70</f>
        <v>Medium</v>
      </c>
      <c r="C93" s="544">
        <f>'G-1 All Habitats'!O70</f>
        <v>0.67</v>
      </c>
      <c r="D93" s="544" t="str">
        <f>'G-1 All Habitats'!P70</f>
        <v>Medium</v>
      </c>
      <c r="E93" s="544">
        <f>'G-1 All Habitats'!Q70</f>
        <v>0.67</v>
      </c>
    </row>
    <row r="94" spans="1:5" x14ac:dyDescent="0.3">
      <c r="A94" s="110" t="str">
        <f>'G-1 All Habitats'!B71</f>
        <v>Urban - Rain garden</v>
      </c>
      <c r="B94" s="544" t="str">
        <f>'G-1 All Habitats'!N71</f>
        <v>Low</v>
      </c>
      <c r="C94" s="544">
        <f>'G-1 All Habitats'!O71</f>
        <v>1</v>
      </c>
      <c r="D94" s="544" t="str">
        <f>'G-1 All Habitats'!P71</f>
        <v>Low</v>
      </c>
      <c r="E94" s="544">
        <f>'G-1 All Habitats'!Q71</f>
        <v>1</v>
      </c>
    </row>
    <row r="95" spans="1:5" x14ac:dyDescent="0.3">
      <c r="A95" s="110" t="str">
        <f>'G-1 All Habitats'!B72</f>
        <v>Urban - Actively worked sand pit quarry or open cast mine</v>
      </c>
      <c r="B95" s="544" t="str">
        <f>'G-1 All Habitats'!N72</f>
        <v>Medium</v>
      </c>
      <c r="C95" s="544">
        <f>'G-1 All Habitats'!O72</f>
        <v>0.67</v>
      </c>
      <c r="D95" s="544" t="str">
        <f>'G-1 All Habitats'!P72</f>
        <v>Medium</v>
      </c>
      <c r="E95" s="544">
        <f>'G-1 All Habitats'!Q72</f>
        <v>0.67</v>
      </c>
    </row>
    <row r="96" spans="1:5" x14ac:dyDescent="0.3">
      <c r="A96" s="110" t="str">
        <f>'G-1 All Habitats'!B73</f>
        <v>Urban - Urban Tree</v>
      </c>
      <c r="B96" s="544" t="str">
        <f>'G-1 All Habitats'!N73</f>
        <v>Low</v>
      </c>
      <c r="C96" s="544">
        <f>'G-1 All Habitats'!O73</f>
        <v>1</v>
      </c>
      <c r="D96" s="544" t="str">
        <f>'G-1 All Habitats'!P73</f>
        <v>Low</v>
      </c>
      <c r="E96" s="544">
        <f>'G-1 All Habitats'!Q73</f>
        <v>1</v>
      </c>
    </row>
    <row r="97" spans="1:5" x14ac:dyDescent="0.3">
      <c r="A97" s="110" t="str">
        <f>'G-1 All Habitats'!B74</f>
        <v>Urban - Sustainable urban drainage feature</v>
      </c>
      <c r="B97" s="544" t="str">
        <f>'G-1 All Habitats'!N74</f>
        <v>Medium</v>
      </c>
      <c r="C97" s="544">
        <f>'G-1 All Habitats'!O74</f>
        <v>0.67</v>
      </c>
      <c r="D97" s="544" t="str">
        <f>'G-1 All Habitats'!P74</f>
        <v>Medium</v>
      </c>
      <c r="E97" s="544">
        <f>'G-1 All Habitats'!Q74</f>
        <v>0.67</v>
      </c>
    </row>
    <row r="98" spans="1:5" x14ac:dyDescent="0.3">
      <c r="A98" s="110" t="str">
        <f>'G-1 All Habitats'!B75</f>
        <v>Urban - Un-vegetated garden</v>
      </c>
      <c r="B98" s="544" t="str">
        <f>'G-1 All Habitats'!N75</f>
        <v>Low</v>
      </c>
      <c r="C98" s="544">
        <f>'G-1 All Habitats'!O75</f>
        <v>1</v>
      </c>
      <c r="D98" s="544" t="str">
        <f>'G-1 All Habitats'!P75</f>
        <v>Low</v>
      </c>
      <c r="E98" s="544">
        <f>'G-1 All Habitats'!Q75</f>
        <v>1</v>
      </c>
    </row>
    <row r="99" spans="1:5" x14ac:dyDescent="0.3">
      <c r="A99" s="110" t="str">
        <f>'G-1 All Habitats'!B77</f>
        <v>Urban - Vegetated garden</v>
      </c>
      <c r="B99" s="544" t="str">
        <f>'G-1 All Habitats'!N77</f>
        <v>Low</v>
      </c>
      <c r="C99" s="544">
        <f>'G-1 All Habitats'!O77</f>
        <v>1</v>
      </c>
      <c r="D99" s="544" t="str">
        <f>'G-1 All Habitats'!P77</f>
        <v>Low</v>
      </c>
      <c r="E99" s="544">
        <f>'G-1 All Habitats'!Q77</f>
        <v>1</v>
      </c>
    </row>
    <row r="100" spans="1:5" x14ac:dyDescent="0.3">
      <c r="A100" s="110" t="str">
        <f>'G-1 All Habitats'!B78</f>
        <v>Wetland - Blanket bog</v>
      </c>
      <c r="B100" s="544" t="str">
        <f>'G-1 All Habitats'!N78</f>
        <v>Very High</v>
      </c>
      <c r="C100" s="544">
        <f>'G-1 All Habitats'!O78</f>
        <v>0.1</v>
      </c>
      <c r="D100" s="544" t="str">
        <f>'G-1 All Habitats'!P78</f>
        <v>High</v>
      </c>
      <c r="E100" s="544">
        <f>'G-1 All Habitats'!Q78</f>
        <v>0.33</v>
      </c>
    </row>
    <row r="101" spans="1:5" x14ac:dyDescent="0.3">
      <c r="A101" s="110" t="str">
        <f>'G-1 All Habitats'!B79</f>
        <v>Wetland - Depressions on Peat substrates (H7150)</v>
      </c>
      <c r="B101" s="544" t="str">
        <f>'G-1 All Habitats'!N79</f>
        <v>Very High</v>
      </c>
      <c r="C101" s="544">
        <f>'G-1 All Habitats'!O79</f>
        <v>0.1</v>
      </c>
      <c r="D101" s="544" t="str">
        <f>'G-1 All Habitats'!P79</f>
        <v>High</v>
      </c>
      <c r="E101" s="544">
        <f>'G-1 All Habitats'!Q79</f>
        <v>0.33</v>
      </c>
    </row>
    <row r="102" spans="1:5" x14ac:dyDescent="0.3">
      <c r="A102" s="110" t="str">
        <f>'G-1 All Habitats'!B80</f>
        <v>Wetland - Fens (upland and lowland)</v>
      </c>
      <c r="B102" s="544" t="str">
        <f>'G-1 All Habitats'!N80</f>
        <v>High</v>
      </c>
      <c r="C102" s="544">
        <f>'G-1 All Habitats'!O80</f>
        <v>0.33</v>
      </c>
      <c r="D102" s="544" t="str">
        <f>'G-1 All Habitats'!P80</f>
        <v>High</v>
      </c>
      <c r="E102" s="544">
        <f>'G-1 All Habitats'!Q80</f>
        <v>0.33</v>
      </c>
    </row>
    <row r="103" spans="1:5" x14ac:dyDescent="0.3">
      <c r="A103" s="110" t="str">
        <f>'G-1 All Habitats'!B81</f>
        <v>Wetland - Lowland raised bog</v>
      </c>
      <c r="B103" s="544" t="str">
        <f>'G-1 All Habitats'!N81</f>
        <v>Very High</v>
      </c>
      <c r="C103" s="544">
        <f>'G-1 All Habitats'!O81</f>
        <v>0.1</v>
      </c>
      <c r="D103" s="544" t="str">
        <f>'G-1 All Habitats'!P81</f>
        <v>High</v>
      </c>
      <c r="E103" s="544">
        <f>'G-1 All Habitats'!Q81</f>
        <v>0.33</v>
      </c>
    </row>
    <row r="104" spans="1:5" x14ac:dyDescent="0.3">
      <c r="A104" s="110" t="str">
        <f>'G-1 All Habitats'!B82</f>
        <v>Wetland - Oceanic Valley Mire[1] (D2.1)</v>
      </c>
      <c r="B104" s="544" t="str">
        <f>'G-1 All Habitats'!N82</f>
        <v>Very High</v>
      </c>
      <c r="C104" s="544">
        <f>'G-1 All Habitats'!O82</f>
        <v>0.1</v>
      </c>
      <c r="D104" s="544" t="str">
        <f>'G-1 All Habitats'!P82</f>
        <v>High</v>
      </c>
      <c r="E104" s="544">
        <f>'G-1 All Habitats'!Q82</f>
        <v>0.33</v>
      </c>
    </row>
    <row r="105" spans="1:5" x14ac:dyDescent="0.3">
      <c r="A105" s="110" t="str">
        <f>'G-1 All Habitats'!B83</f>
        <v>Wetland - Purple moor grass and rush pastures</v>
      </c>
      <c r="B105" s="544" t="str">
        <f>'G-1 All Habitats'!N83</f>
        <v>High</v>
      </c>
      <c r="C105" s="544">
        <f>'G-1 All Habitats'!O83</f>
        <v>0.33</v>
      </c>
      <c r="D105" s="544" t="str">
        <f>'G-1 All Habitats'!P83</f>
        <v>High</v>
      </c>
      <c r="E105" s="544">
        <f>'G-1 All Habitats'!Q83</f>
        <v>0.33</v>
      </c>
    </row>
    <row r="106" spans="1:5" x14ac:dyDescent="0.3">
      <c r="A106" s="110" t="str">
        <f>'G-1 All Habitats'!B84</f>
        <v>Wetland - Reedbeds</v>
      </c>
      <c r="B106" s="544" t="str">
        <f>'G-1 All Habitats'!N84</f>
        <v>Medium</v>
      </c>
      <c r="C106" s="544">
        <f>'G-1 All Habitats'!O84</f>
        <v>0.67</v>
      </c>
      <c r="D106" s="544" t="str">
        <f>'G-1 All Habitats'!P84</f>
        <v>Medium</v>
      </c>
      <c r="E106" s="544">
        <f>'G-1 All Habitats'!Q84</f>
        <v>0.67</v>
      </c>
    </row>
    <row r="107" spans="1:5" x14ac:dyDescent="0.3">
      <c r="A107" s="110" t="str">
        <f>'G-1 All Habitats'!B85</f>
        <v>Wetland - Transition mires and quaking bogs (H7140)</v>
      </c>
      <c r="B107" s="544" t="str">
        <f>'G-1 All Habitats'!N85</f>
        <v>Very High</v>
      </c>
      <c r="C107" s="544">
        <f>'G-1 All Habitats'!O85</f>
        <v>0.1</v>
      </c>
      <c r="D107" s="544" t="str">
        <f>'G-1 All Habitats'!P85</f>
        <v>High</v>
      </c>
      <c r="E107" s="544">
        <f>'G-1 All Habitats'!Q85</f>
        <v>0.33</v>
      </c>
    </row>
    <row r="108" spans="1:5" x14ac:dyDescent="0.3">
      <c r="A108" s="110" t="str">
        <f>'G-1 All Habitats'!B86</f>
        <v>Woodland and forest - Felled</v>
      </c>
      <c r="B108" s="544" t="s">
        <v>153</v>
      </c>
      <c r="C108" s="544">
        <f>'G-1 All Habitats'!O86</f>
        <v>1</v>
      </c>
      <c r="D108" s="544" t="str">
        <f>'G-1 All Habitats'!P86</f>
        <v>Low</v>
      </c>
      <c r="E108" s="544">
        <f>'G-1 All Habitats'!Q86</f>
        <v>1</v>
      </c>
    </row>
    <row r="109" spans="1:5" x14ac:dyDescent="0.3">
      <c r="A109" s="110" t="str">
        <f>'G-1 All Habitats'!B87</f>
        <v>Woodland and forest - Lowland beech and yew woodland</v>
      </c>
      <c r="B109" s="544" t="str">
        <f>'G-1 All Habitats'!N87</f>
        <v>High</v>
      </c>
      <c r="C109" s="544">
        <f>'G-1 All Habitats'!O87</f>
        <v>0.33</v>
      </c>
      <c r="D109" s="544" t="str">
        <f>'G-1 All Habitats'!P87</f>
        <v>High</v>
      </c>
      <c r="E109" s="544">
        <f>'G-1 All Habitats'!Q87</f>
        <v>0.33</v>
      </c>
    </row>
    <row r="110" spans="1:5" x14ac:dyDescent="0.3">
      <c r="A110" s="110" t="str">
        <f>'G-1 All Habitats'!B88</f>
        <v>Woodland and forest - Lowland mixed deciduous woodland</v>
      </c>
      <c r="B110" s="544" t="str">
        <f>'G-1 All Habitats'!N88</f>
        <v>High</v>
      </c>
      <c r="C110" s="544">
        <f>'G-1 All Habitats'!O88</f>
        <v>0.33</v>
      </c>
      <c r="D110" s="544" t="str">
        <f>'G-1 All Habitats'!P88</f>
        <v>High</v>
      </c>
      <c r="E110" s="544">
        <f>'G-1 All Habitats'!Q88</f>
        <v>0.33</v>
      </c>
    </row>
    <row r="111" spans="1:5" x14ac:dyDescent="0.3">
      <c r="A111" s="110" t="str">
        <f>'G-1 All Habitats'!B89</f>
        <v>Woodland and forest - Native pine woodlands</v>
      </c>
      <c r="B111" s="544" t="str">
        <f>'G-1 All Habitats'!N89</f>
        <v>High</v>
      </c>
      <c r="C111" s="544">
        <f>'G-1 All Habitats'!O89</f>
        <v>0.33</v>
      </c>
      <c r="D111" s="544" t="str">
        <f>'G-1 All Habitats'!P89</f>
        <v>High</v>
      </c>
      <c r="E111" s="544">
        <f>'G-1 All Habitats'!Q89</f>
        <v>0.33</v>
      </c>
    </row>
    <row r="112" spans="1:5" x14ac:dyDescent="0.3">
      <c r="A112" s="110" t="str">
        <f>'G-1 All Habitats'!B90</f>
        <v>Woodland and forest - Other coniferous woodland</v>
      </c>
      <c r="B112" s="544" t="str">
        <f>'G-1 All Habitats'!N90</f>
        <v>Low</v>
      </c>
      <c r="C112" s="544">
        <f>'G-1 All Habitats'!O90</f>
        <v>1</v>
      </c>
      <c r="D112" s="544" t="str">
        <f>'G-1 All Habitats'!P90</f>
        <v>Low</v>
      </c>
      <c r="E112" s="544">
        <f>'G-1 All Habitats'!Q90</f>
        <v>1</v>
      </c>
    </row>
    <row r="113" spans="1:5" x14ac:dyDescent="0.3">
      <c r="A113" s="110" t="str">
        <f>'G-1 All Habitats'!B91</f>
        <v>Woodland and forest - Other Scot's Pine woodland</v>
      </c>
      <c r="B113" s="544" t="str">
        <f>'G-1 All Habitats'!N91</f>
        <v>Medium</v>
      </c>
      <c r="C113" s="544">
        <f>'G-1 All Habitats'!O91</f>
        <v>0.67</v>
      </c>
      <c r="D113" s="544" t="str">
        <f>'G-1 All Habitats'!P91</f>
        <v>Medium</v>
      </c>
      <c r="E113" s="544">
        <f>'G-1 All Habitats'!Q91</f>
        <v>0.67</v>
      </c>
    </row>
    <row r="114" spans="1:5" x14ac:dyDescent="0.3">
      <c r="A114" s="110" t="str">
        <f>'G-1 All Habitats'!B92</f>
        <v>Woodland and forest - Other woodland; broadleaved</v>
      </c>
      <c r="B114" s="544" t="str">
        <f>'G-1 All Habitats'!N92</f>
        <v>Low</v>
      </c>
      <c r="C114" s="544">
        <f>'G-1 All Habitats'!O92</f>
        <v>1</v>
      </c>
      <c r="D114" s="544" t="str">
        <f>'G-1 All Habitats'!P92</f>
        <v>Low</v>
      </c>
      <c r="E114" s="544">
        <f>'G-1 All Habitats'!Q92</f>
        <v>1</v>
      </c>
    </row>
    <row r="115" spans="1:5" x14ac:dyDescent="0.3">
      <c r="A115" s="110" t="str">
        <f>'G-1 All Habitats'!B93</f>
        <v>Woodland and forest - Other woodland; mixed</v>
      </c>
      <c r="B115" s="544" t="str">
        <f>'G-1 All Habitats'!N93</f>
        <v>Low</v>
      </c>
      <c r="C115" s="544">
        <f>'G-1 All Habitats'!O93</f>
        <v>1</v>
      </c>
      <c r="D115" s="544" t="str">
        <f>'G-1 All Habitats'!P93</f>
        <v>Low</v>
      </c>
      <c r="E115" s="544">
        <f>'G-1 All Habitats'!Q93</f>
        <v>1</v>
      </c>
    </row>
    <row r="116" spans="1:5" x14ac:dyDescent="0.3">
      <c r="A116" s="110" t="str">
        <f>'G-1 All Habitats'!B94</f>
        <v>Woodland and forest - Upland birchwoods</v>
      </c>
      <c r="B116" s="544" t="str">
        <f>'G-1 All Habitats'!N94</f>
        <v>Medium</v>
      </c>
      <c r="C116" s="544">
        <f>'G-1 All Habitats'!O94</f>
        <v>0.67</v>
      </c>
      <c r="D116" s="544" t="str">
        <f>'G-1 All Habitats'!P94</f>
        <v>Medium</v>
      </c>
      <c r="E116" s="544">
        <f>'G-1 All Habitats'!Q94</f>
        <v>0.67</v>
      </c>
    </row>
    <row r="117" spans="1:5" x14ac:dyDescent="0.3">
      <c r="A117" s="110" t="str">
        <f>'G-1 All Habitats'!B95</f>
        <v>Woodland and forest - Upland mixed ashwoods</v>
      </c>
      <c r="B117" s="544" t="str">
        <f>'G-1 All Habitats'!N95</f>
        <v>High</v>
      </c>
      <c r="C117" s="544">
        <f>'G-1 All Habitats'!O95</f>
        <v>0.33</v>
      </c>
      <c r="D117" s="544" t="str">
        <f>'G-1 All Habitats'!P95</f>
        <v>High</v>
      </c>
      <c r="E117" s="544">
        <f>'G-1 All Habitats'!Q95</f>
        <v>0.33</v>
      </c>
    </row>
    <row r="118" spans="1:5" x14ac:dyDescent="0.3">
      <c r="A118" s="110" t="str">
        <f>'G-1 All Habitats'!B96</f>
        <v>Woodland and forest - Upland oakwood</v>
      </c>
      <c r="B118" s="544" t="str">
        <f>'G-1 All Habitats'!N96</f>
        <v>High</v>
      </c>
      <c r="C118" s="544">
        <f>'G-1 All Habitats'!O96</f>
        <v>0.33</v>
      </c>
      <c r="D118" s="544" t="str">
        <f>'G-1 All Habitats'!P96</f>
        <v>High</v>
      </c>
      <c r="E118" s="544">
        <f>'G-1 All Habitats'!Q96</f>
        <v>0.33</v>
      </c>
    </row>
    <row r="119" spans="1:5" x14ac:dyDescent="0.3">
      <c r="A119" s="110" t="str">
        <f>'G-1 All Habitats'!B97</f>
        <v>Woodland and forest - Wet woodland</v>
      </c>
      <c r="B119" s="544" t="str">
        <f>'G-1 All Habitats'!N97</f>
        <v>Medium</v>
      </c>
      <c r="C119" s="544">
        <f>'G-1 All Habitats'!O97</f>
        <v>0.67</v>
      </c>
      <c r="D119" s="544" t="str">
        <f>'G-1 All Habitats'!P97</f>
        <v>Medium</v>
      </c>
      <c r="E119" s="544">
        <f>'G-1 All Habitats'!Q97</f>
        <v>0.67</v>
      </c>
    </row>
    <row r="120" spans="1:5" x14ac:dyDescent="0.3">
      <c r="A120" s="110" t="str">
        <f>'G-1 All Habitats'!B98</f>
        <v>Woodland and forest - Wood-pasture and parkland</v>
      </c>
      <c r="B120" s="544" t="str">
        <f>'G-1 All Habitats'!N98</f>
        <v>Very High</v>
      </c>
      <c r="C120" s="544">
        <f>'G-1 All Habitats'!O98</f>
        <v>0.1</v>
      </c>
      <c r="D120" s="544" t="str">
        <f>'G-1 All Habitats'!P98</f>
        <v>High</v>
      </c>
      <c r="E120" s="544">
        <f>'G-1 All Habitats'!Q98</f>
        <v>0.33</v>
      </c>
    </row>
    <row r="121" spans="1:5" x14ac:dyDescent="0.3">
      <c r="A121" s="110" t="str">
        <f>'G-1 All Habitats'!B125</f>
        <v>Intertidal sediment - Littoral sand</v>
      </c>
      <c r="B121" s="544" t="str">
        <f>'G-1 All Habitats'!N125</f>
        <v>Medium</v>
      </c>
      <c r="C121" s="544">
        <f>'G-1 All Habitats'!O125</f>
        <v>0.67</v>
      </c>
      <c r="D121" s="544" t="str">
        <f>'G-1 All Habitats'!P125</f>
        <v>Medium</v>
      </c>
      <c r="E121" s="544">
        <f>'G-1 All Habitats'!Q125</f>
        <v>0.67</v>
      </c>
    </row>
    <row r="122" spans="1:5" x14ac:dyDescent="0.3">
      <c r="A122" s="110" t="str">
        <f>'G-1 All Habitats'!B126</f>
        <v>Intertidal sediment - Littoral muddy sand</v>
      </c>
      <c r="B122" s="544" t="str">
        <f>'G-1 All Habitats'!N126</f>
        <v>High</v>
      </c>
      <c r="C122" s="544">
        <f>'G-1 All Habitats'!O126</f>
        <v>0.33</v>
      </c>
      <c r="D122" s="544" t="str">
        <f>'G-1 All Habitats'!P126</f>
        <v>Medium</v>
      </c>
      <c r="E122" s="544">
        <f>'G-1 All Habitats'!Q126</f>
        <v>0.67</v>
      </c>
    </row>
    <row r="123" spans="1:5" x14ac:dyDescent="0.3">
      <c r="A123" s="110" t="str">
        <f>'G-1 All Habitats'!B127</f>
        <v>Intertidal Hard Structures - Artificial hard structures</v>
      </c>
      <c r="B123" s="544" t="str">
        <f>'G-1 All Habitats'!N127</f>
        <v>Medium</v>
      </c>
      <c r="C123" s="544">
        <f>'G-1 All Habitats'!O127</f>
        <v>0.67</v>
      </c>
      <c r="D123" s="544" t="str">
        <f>'G-1 All Habitats'!P127</f>
        <v>Medium</v>
      </c>
      <c r="E123" s="544">
        <f>'G-1 All Habitats'!Q127</f>
        <v>0.67</v>
      </c>
    </row>
    <row r="124" spans="1:5" x14ac:dyDescent="0.3">
      <c r="A124" s="110" t="str">
        <f>'G-1 All Habitats'!B128</f>
        <v>Intertidal Hard Structures - Artificial features of hard structures</v>
      </c>
      <c r="B124" s="544" t="str">
        <f>'G-1 All Habitats'!N128</f>
        <v>Medium</v>
      </c>
      <c r="C124" s="544">
        <f>'G-1 All Habitats'!O128</f>
        <v>0.67</v>
      </c>
      <c r="D124" s="544" t="str">
        <f>'G-1 All Habitats'!P128</f>
        <v>Medium</v>
      </c>
      <c r="E124" s="544">
        <f>'G-1 All Habitats'!Q128</f>
        <v>0.67</v>
      </c>
    </row>
    <row r="125" spans="1:5" x14ac:dyDescent="0.3">
      <c r="A125" s="110" t="str">
        <f>'G-1 All Habitats'!B129</f>
        <v>Intertidal Hard Structures - Artificial hard structures with Integrated Greening of Grey Infrastructure (IGGI)</v>
      </c>
      <c r="B125" s="544" t="str">
        <f>'G-1 All Habitats'!N129</f>
        <v>Medium</v>
      </c>
      <c r="C125" s="544">
        <f>'G-1 All Habitats'!O129</f>
        <v>0.67</v>
      </c>
      <c r="D125" s="544" t="str">
        <f>'G-1 All Habitats'!P129</f>
        <v>Medium</v>
      </c>
      <c r="E125" s="544">
        <f>'G-1 All Habitats'!Q129</f>
        <v>0.67</v>
      </c>
    </row>
    <row r="126" spans="1:5" x14ac:dyDescent="0.3">
      <c r="A126" s="110" t="str">
        <f>'G-1 All Habitats'!B109</f>
        <v>Coastal saltmarsh - Artificial saltmarshes and saline reedbeds</v>
      </c>
      <c r="B126" s="544" t="str">
        <f>'G-1 All Habitats'!N109</f>
        <v>High</v>
      </c>
      <c r="C126" s="544">
        <f>'G-1 All Habitats'!O109</f>
        <v>0.33</v>
      </c>
      <c r="D126" s="544" t="str">
        <f>'G-1 All Habitats'!P109</f>
        <v>Medium</v>
      </c>
      <c r="E126" s="544">
        <f>'G-1 All Habitats'!Q109</f>
        <v>0.67</v>
      </c>
    </row>
    <row r="127" spans="1:5" x14ac:dyDescent="0.3">
      <c r="A127" s="110" t="str">
        <f>'G-1 All Habitats'!B115</f>
        <v>Intertidal sediment - Littoral biogenic reefs - Mussels</v>
      </c>
      <c r="B127" s="544" t="str">
        <f>'G-1 All Habitats'!N115</f>
        <v>High</v>
      </c>
      <c r="C127" s="544">
        <f>'G-1 All Habitats'!O115</f>
        <v>0.33</v>
      </c>
      <c r="D127" s="544" t="str">
        <f>'G-1 All Habitats'!P115</f>
        <v>Medium</v>
      </c>
      <c r="E127" s="544">
        <f>'G-1 All Habitats'!Q115</f>
        <v>0.67</v>
      </c>
    </row>
    <row r="128" spans="1:5" x14ac:dyDescent="0.3">
      <c r="A128" s="110" t="str">
        <f>'G-1 All Habitats'!B119</f>
        <v>Intertidal sediment - Artificial littoral mud</v>
      </c>
      <c r="B128" s="544" t="str">
        <f>'G-1 All Habitats'!N119</f>
        <v>High</v>
      </c>
      <c r="C128" s="544">
        <f>'G-1 All Habitats'!O119</f>
        <v>0.33</v>
      </c>
      <c r="D128" s="544" t="str">
        <f>'G-1 All Habitats'!P119</f>
        <v>Medium</v>
      </c>
      <c r="E128" s="544">
        <f>'G-1 All Habitats'!Q119</f>
        <v>0.67</v>
      </c>
    </row>
    <row r="129" spans="1:5" x14ac:dyDescent="0.3">
      <c r="A129" s="110" t="str">
        <f>'G-1 All Habitats'!B120</f>
        <v>Intertidal sediment - Artificial littoral sand</v>
      </c>
      <c r="B129" s="544" t="str">
        <f>'G-1 All Habitats'!N120</f>
        <v>Medium</v>
      </c>
      <c r="C129" s="544">
        <f>'G-1 All Habitats'!O120</f>
        <v>0.67</v>
      </c>
      <c r="D129" s="544" t="str">
        <f>'G-1 All Habitats'!P120</f>
        <v>Medium</v>
      </c>
      <c r="E129" s="544">
        <f>'G-1 All Habitats'!Q120</f>
        <v>0.67</v>
      </c>
    </row>
    <row r="130" spans="1:5" x14ac:dyDescent="0.3"/>
    <row r="131" spans="1:5" x14ac:dyDescent="0.3"/>
    <row r="132" spans="1:5" x14ac:dyDescent="0.3"/>
    <row r="133" spans="1:5" x14ac:dyDescent="0.3"/>
    <row r="134" spans="1:5" x14ac:dyDescent="0.3"/>
    <row r="135" spans="1:5" x14ac:dyDescent="0.3"/>
    <row r="136" spans="1:5" x14ac:dyDescent="0.3"/>
    <row r="137" spans="1:5" x14ac:dyDescent="0.3"/>
    <row r="138" spans="1:5" x14ac:dyDescent="0.3"/>
    <row r="139" spans="1:5" x14ac:dyDescent="0.3"/>
    <row r="140" spans="1:5" x14ac:dyDescent="0.3"/>
    <row r="141" spans="1:5" x14ac:dyDescent="0.3"/>
    <row r="142" spans="1:5" x14ac:dyDescent="0.3"/>
  </sheetData>
  <sheetProtection algorithmName="SHA-512" hashValue="9O67g0RlKc1ZEVdbJS2MVBXi59m5qq0zeGBZeMcsXZDAeKvXirI0w9hzQ1fBX5YK1tqyE49TDs5dYLvL3XdR8A==" saltValue="onOWuUib8OzuozTewhoxlQ==" spinCount="100000" sheet="1" objects="1" scenarios="1"/>
  <autoFilter ref="A2:E121" xr:uid="{00000000-0009-0000-0000-00001E000000}">
    <sortState xmlns:xlrd2="http://schemas.microsoft.com/office/spreadsheetml/2017/richdata2" ref="A9:E140">
      <sortCondition ref="A2:A140"/>
    </sortState>
  </autoFilter>
  <customSheetViews>
    <customSheetView guid="{8BDA793C-C9C5-4FC6-A0A5-F1109F6D4F22}" state="hidden">
      <selection activeCell="D14" sqref="D14"/>
    </customSheetView>
  </customSheetViews>
  <mergeCells count="7">
    <mergeCell ref="W2:Z2"/>
    <mergeCell ref="S2:T2"/>
    <mergeCell ref="A1:E1"/>
    <mergeCell ref="L2:N2"/>
    <mergeCell ref="H2:J2"/>
    <mergeCell ref="L1:N1"/>
    <mergeCell ref="P1:Q1"/>
  </mergeCells>
  <dataValidations count="2">
    <dataValidation type="list" allowBlank="1" showInputMessage="1" showErrorMessage="1" sqref="D3:D129 B3:B129" xr:uid="{00000000-0002-0000-1E00-000000000000}">
      <formula1>$P$3:$P$6</formula1>
    </dataValidation>
    <dataValidation type="list" allowBlank="1" showInputMessage="1" showErrorMessage="1" sqref="C3:C129" xr:uid="{00000000-0002-0000-1E00-000001000000}">
      <formula1>$Q$3:$Q$6</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3">
    <tabColor theme="0" tint="-0.249977111117893"/>
  </sheetPr>
  <dimension ref="A1:Z564"/>
  <sheetViews>
    <sheetView workbookViewId="0"/>
  </sheetViews>
  <sheetFormatPr defaultColWidth="0" defaultRowHeight="14.5" customHeight="1" zeroHeight="1" x14ac:dyDescent="0.35"/>
  <cols>
    <col min="1" max="3" width="2.1796875" style="9" customWidth="1"/>
    <col min="4" max="4" width="18.7265625" style="9" customWidth="1"/>
    <col min="5" max="8" width="9.1796875" style="9" customWidth="1"/>
    <col min="9" max="9" width="7" style="9" customWidth="1"/>
    <col min="10" max="12" width="9.1796875" style="9" customWidth="1"/>
    <col min="13" max="13" width="12.1796875" style="9" customWidth="1"/>
    <col min="14" max="14" width="5.7265625" style="9" customWidth="1"/>
    <col min="15" max="15" width="14.54296875" style="9" customWidth="1"/>
    <col min="16" max="16" width="14" style="9" customWidth="1"/>
    <col min="17" max="17" width="13.7265625" style="9" bestFit="1" customWidth="1"/>
    <col min="18" max="18" width="19.26953125" style="9" customWidth="1"/>
    <col min="19" max="26" width="9.1796875" style="9" customWidth="1"/>
    <col min="27" max="16384" width="9.1796875" style="9" hidden="1"/>
  </cols>
  <sheetData>
    <row r="1" spans="1:18" ht="15.75" customHeight="1" x14ac:dyDescent="0.7">
      <c r="B1" s="16"/>
      <c r="C1" s="16"/>
      <c r="E1" s="17"/>
      <c r="F1" s="713"/>
      <c r="G1" s="713"/>
      <c r="H1" s="713"/>
      <c r="I1" s="713"/>
      <c r="J1" s="713"/>
      <c r="K1" s="714"/>
      <c r="L1" s="714"/>
      <c r="M1" s="714"/>
      <c r="N1" s="714"/>
      <c r="O1" s="714"/>
    </row>
    <row r="2" spans="1:18" ht="15.75" customHeight="1" x14ac:dyDescent="0.7">
      <c r="B2" s="16"/>
      <c r="C2" s="16"/>
      <c r="E2" s="17"/>
    </row>
    <row r="3" spans="1:18" ht="15.75" customHeight="1" x14ac:dyDescent="0.7">
      <c r="A3" s="17"/>
      <c r="B3" s="17"/>
      <c r="C3" s="17"/>
      <c r="D3" s="17"/>
      <c r="E3" s="17"/>
      <c r="F3" s="18"/>
      <c r="G3" s="18"/>
      <c r="H3" s="18"/>
      <c r="I3" s="18"/>
      <c r="J3" s="18"/>
      <c r="K3" s="18"/>
      <c r="L3" s="18"/>
      <c r="M3" s="18"/>
      <c r="N3" s="18"/>
      <c r="O3" s="18"/>
      <c r="P3" s="18"/>
    </row>
    <row r="4" spans="1:18" ht="16.5" customHeight="1" x14ac:dyDescent="0.7">
      <c r="A4" s="17"/>
      <c r="B4" s="17"/>
      <c r="C4" s="17"/>
      <c r="D4" s="17"/>
      <c r="E4" s="17"/>
      <c r="F4" s="18"/>
      <c r="G4" s="18"/>
      <c r="H4" s="18"/>
      <c r="I4" s="18"/>
      <c r="J4" s="18"/>
      <c r="K4" s="18"/>
      <c r="L4" s="18"/>
      <c r="M4" s="18"/>
      <c r="N4" s="18"/>
      <c r="O4" s="18"/>
      <c r="P4" s="18"/>
    </row>
    <row r="5" spans="1:18" ht="16.5" customHeight="1" x14ac:dyDescent="0.7">
      <c r="A5" s="17"/>
      <c r="B5" s="17"/>
      <c r="C5" s="17"/>
      <c r="D5" s="17"/>
      <c r="E5" s="17"/>
      <c r="F5" s="19"/>
      <c r="G5" s="19"/>
      <c r="H5" s="19"/>
      <c r="I5" s="19"/>
      <c r="J5" s="19"/>
      <c r="K5" s="19"/>
      <c r="L5" s="19"/>
      <c r="M5" s="19"/>
      <c r="N5" s="19"/>
      <c r="O5" s="19"/>
      <c r="P5" s="19"/>
      <c r="Q5" s="19"/>
      <c r="R5" s="19"/>
    </row>
    <row r="6" spans="1:18" ht="16.5" customHeight="1" x14ac:dyDescent="0.7">
      <c r="B6" s="16"/>
      <c r="C6" s="16"/>
      <c r="D6" s="17"/>
      <c r="E6" s="17"/>
      <c r="F6" s="19"/>
      <c r="G6" s="19"/>
      <c r="H6" s="19"/>
      <c r="I6" s="19"/>
      <c r="J6" s="19"/>
      <c r="K6" s="19"/>
      <c r="L6" s="19"/>
      <c r="M6" s="19"/>
      <c r="N6" s="19"/>
      <c r="O6" s="19"/>
      <c r="P6" s="19"/>
      <c r="Q6" s="19"/>
      <c r="R6" s="19"/>
    </row>
    <row r="7" spans="1:18" ht="16.5" customHeight="1" x14ac:dyDescent="0.7">
      <c r="B7" s="16"/>
      <c r="C7" s="17"/>
      <c r="D7" s="17"/>
      <c r="E7" s="17"/>
      <c r="F7" s="19"/>
      <c r="G7" s="19"/>
      <c r="H7" s="19"/>
      <c r="I7" s="19"/>
      <c r="J7" s="19"/>
      <c r="K7" s="19"/>
      <c r="L7" s="19"/>
      <c r="M7" s="19"/>
      <c r="N7" s="19"/>
      <c r="O7" s="19"/>
      <c r="P7" s="19"/>
      <c r="Q7" s="19"/>
      <c r="R7" s="19"/>
    </row>
    <row r="8" spans="1:18" ht="16.5" customHeight="1" x14ac:dyDescent="0.7">
      <c r="B8" s="16"/>
      <c r="C8" s="16"/>
      <c r="D8" s="17"/>
      <c r="E8" s="17"/>
      <c r="F8" s="19"/>
      <c r="G8" s="19"/>
      <c r="H8" s="19"/>
      <c r="I8" s="19"/>
      <c r="J8" s="19"/>
      <c r="K8" s="19"/>
      <c r="L8" s="19"/>
      <c r="M8" s="19"/>
      <c r="N8" s="19"/>
      <c r="O8" s="19"/>
      <c r="P8" s="19"/>
      <c r="Q8" s="19"/>
      <c r="R8" s="19"/>
    </row>
    <row r="9" spans="1:18" ht="16.5" customHeight="1" x14ac:dyDescent="0.35">
      <c r="B9" s="16"/>
      <c r="C9" s="16"/>
      <c r="D9" s="20"/>
      <c r="E9" s="20"/>
      <c r="F9" s="19"/>
      <c r="G9" s="19"/>
      <c r="H9" s="19"/>
      <c r="I9" s="19"/>
      <c r="J9" s="19"/>
      <c r="K9" s="19"/>
      <c r="L9" s="19"/>
      <c r="M9" s="19"/>
      <c r="N9" s="19"/>
      <c r="O9" s="19"/>
      <c r="P9" s="19"/>
      <c r="Q9" s="19"/>
      <c r="R9" s="19"/>
    </row>
    <row r="10" spans="1:18" ht="30" customHeight="1" x14ac:dyDescent="0.5">
      <c r="B10" s="16"/>
      <c r="C10" s="16"/>
      <c r="D10" s="8"/>
      <c r="E10" s="8"/>
      <c r="F10" s="8"/>
      <c r="G10" s="715"/>
      <c r="H10" s="715"/>
      <c r="I10" s="715"/>
      <c r="J10" s="715"/>
      <c r="K10" s="715"/>
      <c r="L10" s="715"/>
      <c r="M10" s="715"/>
      <c r="N10" s="715"/>
      <c r="O10" s="715"/>
    </row>
    <row r="11" spans="1:18" ht="16.5" customHeight="1" x14ac:dyDescent="0.35">
      <c r="B11" s="16"/>
      <c r="C11" s="16"/>
    </row>
    <row r="12" spans="1:18" ht="16.5" customHeight="1" x14ac:dyDescent="0.35">
      <c r="B12" s="16"/>
      <c r="C12" s="16"/>
    </row>
    <row r="13" spans="1:18" ht="16.5" customHeight="1" x14ac:dyDescent="0.35">
      <c r="B13" s="16"/>
      <c r="C13" s="16"/>
    </row>
    <row r="14" spans="1:18" ht="16.5" customHeight="1" x14ac:dyDescent="0.35">
      <c r="B14" s="16"/>
      <c r="C14" s="16"/>
    </row>
    <row r="15" spans="1:18" ht="16.5" customHeight="1" x14ac:dyDescent="0.35">
      <c r="B15" s="16"/>
      <c r="C15" s="16"/>
    </row>
    <row r="16" spans="1:18" ht="16.5" customHeight="1" x14ac:dyDescent="0.35">
      <c r="B16" s="16"/>
      <c r="C16" s="16"/>
    </row>
    <row r="17" spans="2:3" ht="16.5" customHeight="1" x14ac:dyDescent="0.35">
      <c r="B17" s="16"/>
      <c r="C17" s="16"/>
    </row>
    <row r="18" spans="2:3" ht="16.5" customHeight="1" x14ac:dyDescent="0.35">
      <c r="B18" s="16"/>
      <c r="C18" s="16"/>
    </row>
    <row r="19" spans="2:3" ht="16.5" customHeight="1" x14ac:dyDescent="0.35">
      <c r="B19" s="16"/>
      <c r="C19" s="16"/>
    </row>
    <row r="20" spans="2:3" ht="16.5" customHeight="1" x14ac:dyDescent="0.35">
      <c r="B20" s="16"/>
      <c r="C20" s="16"/>
    </row>
    <row r="21" spans="2:3" ht="16.5" customHeight="1" x14ac:dyDescent="0.35">
      <c r="B21" s="16"/>
      <c r="C21" s="16"/>
    </row>
    <row r="22" spans="2:3" ht="16.5" customHeight="1" x14ac:dyDescent="0.35">
      <c r="B22" s="16"/>
      <c r="C22" s="16"/>
    </row>
    <row r="23" spans="2:3" ht="16.5" customHeight="1" x14ac:dyDescent="0.35">
      <c r="B23" s="16"/>
      <c r="C23" s="16"/>
    </row>
    <row r="24" spans="2:3" ht="16.5" customHeight="1" x14ac:dyDescent="0.35">
      <c r="B24" s="16"/>
      <c r="C24" s="16"/>
    </row>
    <row r="25" spans="2:3" ht="16.5" customHeight="1" x14ac:dyDescent="0.35">
      <c r="B25" s="16"/>
      <c r="C25" s="16"/>
    </row>
    <row r="26" spans="2:3" ht="16.5" customHeight="1" x14ac:dyDescent="0.35">
      <c r="B26" s="16"/>
      <c r="C26" s="16"/>
    </row>
    <row r="27" spans="2:3" ht="16.5" customHeight="1" x14ac:dyDescent="0.35">
      <c r="B27" s="16"/>
      <c r="C27" s="16"/>
    </row>
    <row r="28" spans="2:3" ht="16.5" customHeight="1" x14ac:dyDescent="0.35">
      <c r="B28" s="16"/>
      <c r="C28" s="16"/>
    </row>
    <row r="29" spans="2:3" ht="16.5" customHeight="1" x14ac:dyDescent="0.35">
      <c r="B29" s="16"/>
      <c r="C29" s="16"/>
    </row>
    <row r="30" spans="2:3" ht="16.5" customHeight="1" x14ac:dyDescent="0.35">
      <c r="B30" s="16"/>
      <c r="C30" s="16"/>
    </row>
    <row r="31" spans="2:3" ht="16.5" customHeight="1" x14ac:dyDescent="0.35">
      <c r="B31" s="16"/>
      <c r="C31" s="16"/>
    </row>
    <row r="32" spans="2:3" ht="16.5" customHeight="1" x14ac:dyDescent="0.35">
      <c r="B32" s="16"/>
      <c r="C32" s="16"/>
    </row>
    <row r="33" spans="2:3" ht="16.5" customHeight="1" x14ac:dyDescent="0.35">
      <c r="B33" s="16"/>
      <c r="C33" s="16"/>
    </row>
    <row r="34" spans="2:3" ht="16.5" customHeight="1" x14ac:dyDescent="0.35">
      <c r="B34" s="16"/>
      <c r="C34" s="16"/>
    </row>
    <row r="35" spans="2:3" ht="16.5" customHeight="1" x14ac:dyDescent="0.35">
      <c r="B35" s="16"/>
      <c r="C35" s="16"/>
    </row>
    <row r="36" spans="2:3" ht="16.5" customHeight="1" x14ac:dyDescent="0.35">
      <c r="B36" s="16"/>
      <c r="C36" s="16"/>
    </row>
    <row r="37" spans="2:3" ht="16.5" customHeight="1" x14ac:dyDescent="0.35">
      <c r="B37" s="16"/>
      <c r="C37" s="16"/>
    </row>
    <row r="38" spans="2:3" ht="16.5" customHeight="1" x14ac:dyDescent="0.35">
      <c r="B38" s="16"/>
      <c r="C38" s="16"/>
    </row>
    <row r="39" spans="2:3" ht="16.5" customHeight="1" x14ac:dyDescent="0.35">
      <c r="B39" s="16"/>
      <c r="C39" s="16"/>
    </row>
    <row r="40" spans="2:3" ht="16.5" customHeight="1" x14ac:dyDescent="0.35">
      <c r="B40" s="16"/>
      <c r="C40" s="16"/>
    </row>
    <row r="41" spans="2:3" ht="16.5" customHeight="1" x14ac:dyDescent="0.35">
      <c r="B41" s="16"/>
      <c r="C41" s="16"/>
    </row>
    <row r="42" spans="2:3" ht="16.5" customHeight="1" x14ac:dyDescent="0.35">
      <c r="B42" s="16"/>
      <c r="C42" s="16"/>
    </row>
    <row r="43" spans="2:3" ht="16.5" customHeight="1" x14ac:dyDescent="0.35">
      <c r="B43" s="16"/>
      <c r="C43" s="16"/>
    </row>
    <row r="44" spans="2:3" ht="16.5" customHeight="1" x14ac:dyDescent="0.35">
      <c r="B44" s="16"/>
      <c r="C44" s="16"/>
    </row>
    <row r="45" spans="2:3" ht="16.5" customHeight="1" x14ac:dyDescent="0.35">
      <c r="B45" s="16"/>
      <c r="C45" s="16"/>
    </row>
    <row r="46" spans="2:3" ht="16.5" customHeight="1" x14ac:dyDescent="0.35">
      <c r="B46" s="16"/>
      <c r="C46" s="16"/>
    </row>
    <row r="47" spans="2:3" ht="16.5" customHeight="1" x14ac:dyDescent="0.35">
      <c r="B47" s="16"/>
      <c r="C47" s="16"/>
    </row>
    <row r="48" spans="2:3" ht="16.5" customHeight="1" x14ac:dyDescent="0.35">
      <c r="B48" s="16"/>
      <c r="C48" s="16"/>
    </row>
    <row r="49" spans="2:3" ht="16.5" customHeight="1" x14ac:dyDescent="0.35">
      <c r="B49" s="16"/>
      <c r="C49" s="16"/>
    </row>
    <row r="50" spans="2:3" ht="16.5" customHeight="1" x14ac:dyDescent="0.35">
      <c r="B50" s="16"/>
      <c r="C50" s="16"/>
    </row>
    <row r="51" spans="2:3" ht="16.5" customHeight="1" x14ac:dyDescent="0.35">
      <c r="B51" s="16"/>
      <c r="C51" s="16"/>
    </row>
    <row r="52" spans="2:3" ht="16.5" customHeight="1" x14ac:dyDescent="0.35">
      <c r="B52" s="16"/>
      <c r="C52" s="16"/>
    </row>
    <row r="53" spans="2:3" ht="16.5" customHeight="1" x14ac:dyDescent="0.35">
      <c r="B53" s="16"/>
      <c r="C53" s="16"/>
    </row>
    <row r="54" spans="2:3" ht="16.5" customHeight="1" x14ac:dyDescent="0.35">
      <c r="B54" s="16"/>
      <c r="C54" s="16"/>
    </row>
    <row r="55" spans="2:3" ht="16.5" customHeight="1" x14ac:dyDescent="0.35">
      <c r="B55" s="16"/>
      <c r="C55" s="16"/>
    </row>
    <row r="56" spans="2:3" ht="16.5" customHeight="1" x14ac:dyDescent="0.35">
      <c r="B56" s="16"/>
      <c r="C56" s="16"/>
    </row>
    <row r="57" spans="2:3" ht="16.5" customHeight="1" x14ac:dyDescent="0.35">
      <c r="B57" s="16"/>
      <c r="C57" s="16"/>
    </row>
    <row r="58" spans="2:3" ht="16.5" customHeight="1" x14ac:dyDescent="0.35">
      <c r="B58" s="16"/>
      <c r="C58" s="16"/>
    </row>
    <row r="59" spans="2:3" ht="16.5" customHeight="1" x14ac:dyDescent="0.35">
      <c r="B59" s="16"/>
      <c r="C59" s="16"/>
    </row>
    <row r="60" spans="2:3" ht="16.5" hidden="1" customHeight="1" x14ac:dyDescent="0.35">
      <c r="B60" s="16"/>
      <c r="C60" s="16"/>
    </row>
    <row r="61" spans="2:3" ht="16.5" hidden="1" customHeight="1" x14ac:dyDescent="0.35">
      <c r="B61" s="16"/>
      <c r="C61" s="16"/>
    </row>
    <row r="62" spans="2:3" ht="16.5" hidden="1" customHeight="1" x14ac:dyDescent="0.35">
      <c r="B62" s="16"/>
      <c r="C62" s="16"/>
    </row>
    <row r="63" spans="2:3" ht="16.5" hidden="1" customHeight="1" x14ac:dyDescent="0.35">
      <c r="B63" s="16"/>
      <c r="C63" s="16"/>
    </row>
    <row r="64" spans="2:3" ht="16.5" hidden="1" customHeight="1" x14ac:dyDescent="0.35">
      <c r="B64" s="16"/>
      <c r="C64" s="16"/>
    </row>
    <row r="65" spans="2:3" ht="16.5" hidden="1" customHeight="1" x14ac:dyDescent="0.35">
      <c r="B65" s="16"/>
      <c r="C65" s="16"/>
    </row>
    <row r="66" spans="2:3" ht="16.5" hidden="1" customHeight="1" x14ac:dyDescent="0.35">
      <c r="B66" s="16"/>
      <c r="C66" s="16"/>
    </row>
    <row r="67" spans="2:3" ht="16.5" hidden="1" customHeight="1" x14ac:dyDescent="0.35">
      <c r="B67" s="16"/>
      <c r="C67" s="16"/>
    </row>
    <row r="68" spans="2:3" ht="16.5" hidden="1" customHeight="1" x14ac:dyDescent="0.35">
      <c r="B68" s="16"/>
      <c r="C68" s="16"/>
    </row>
    <row r="69" spans="2:3" ht="16.5" hidden="1" customHeight="1" x14ac:dyDescent="0.35">
      <c r="B69" s="16"/>
      <c r="C69" s="16"/>
    </row>
    <row r="70" spans="2:3" ht="16.5" hidden="1" customHeight="1" x14ac:dyDescent="0.35">
      <c r="B70" s="16"/>
      <c r="C70" s="16"/>
    </row>
    <row r="71" spans="2:3" ht="16.5" hidden="1" customHeight="1" x14ac:dyDescent="0.35">
      <c r="B71" s="16"/>
      <c r="C71" s="16"/>
    </row>
    <row r="72" spans="2:3" ht="16.5" hidden="1" customHeight="1" x14ac:dyDescent="0.35">
      <c r="B72" s="16"/>
      <c r="C72" s="16"/>
    </row>
    <row r="73" spans="2:3" ht="16.5" hidden="1" customHeight="1" x14ac:dyDescent="0.35">
      <c r="B73" s="16"/>
      <c r="C73" s="16"/>
    </row>
    <row r="74" spans="2:3" ht="16.5" hidden="1" customHeight="1" x14ac:dyDescent="0.35">
      <c r="B74" s="16"/>
      <c r="C74" s="16"/>
    </row>
    <row r="75" spans="2:3" ht="16.5" hidden="1" customHeight="1" x14ac:dyDescent="0.35">
      <c r="B75" s="16"/>
      <c r="C75" s="16"/>
    </row>
    <row r="76" spans="2:3" ht="16.5" hidden="1" customHeight="1" x14ac:dyDescent="0.35">
      <c r="B76" s="16"/>
      <c r="C76" s="16"/>
    </row>
    <row r="77" spans="2:3" ht="16.5" hidden="1" customHeight="1" x14ac:dyDescent="0.35">
      <c r="B77" s="16"/>
      <c r="C77" s="16"/>
    </row>
    <row r="78" spans="2:3" ht="16.5" hidden="1" customHeight="1" x14ac:dyDescent="0.35">
      <c r="B78" s="16"/>
      <c r="C78" s="16"/>
    </row>
    <row r="79" spans="2:3" ht="16.5" hidden="1" customHeight="1" x14ac:dyDescent="0.35">
      <c r="B79" s="16"/>
      <c r="C79" s="16"/>
    </row>
    <row r="80" spans="2:3" ht="16.5" hidden="1" customHeight="1" x14ac:dyDescent="0.35">
      <c r="B80" s="16"/>
      <c r="C80" s="16"/>
    </row>
    <row r="81" spans="2:3" ht="16.5" hidden="1" customHeight="1" x14ac:dyDescent="0.35">
      <c r="B81" s="16"/>
      <c r="C81" s="16"/>
    </row>
    <row r="82" spans="2:3" ht="16.5" hidden="1" customHeight="1" x14ac:dyDescent="0.35">
      <c r="B82" s="16"/>
      <c r="C82" s="16"/>
    </row>
    <row r="83" spans="2:3" ht="16.5" hidden="1" customHeight="1" x14ac:dyDescent="0.35">
      <c r="B83" s="16"/>
      <c r="C83" s="16"/>
    </row>
    <row r="84" spans="2:3" ht="16.5" hidden="1" customHeight="1" x14ac:dyDescent="0.35">
      <c r="B84" s="16"/>
      <c r="C84" s="16"/>
    </row>
    <row r="85" spans="2:3" ht="16.5" hidden="1" customHeight="1" x14ac:dyDescent="0.35">
      <c r="B85" s="16"/>
      <c r="C85" s="16"/>
    </row>
    <row r="86" spans="2:3" ht="16.5" hidden="1" customHeight="1" x14ac:dyDescent="0.35">
      <c r="B86" s="16"/>
      <c r="C86" s="16"/>
    </row>
    <row r="87" spans="2:3" ht="16.5" hidden="1" customHeight="1" x14ac:dyDescent="0.35">
      <c r="B87" s="16"/>
      <c r="C87" s="16"/>
    </row>
    <row r="88" spans="2:3" ht="16.5" hidden="1" customHeight="1" x14ac:dyDescent="0.35">
      <c r="B88" s="16"/>
      <c r="C88" s="16"/>
    </row>
    <row r="89" spans="2:3" ht="16.5" hidden="1" customHeight="1" x14ac:dyDescent="0.35">
      <c r="B89" s="16"/>
      <c r="C89" s="16"/>
    </row>
    <row r="90" spans="2:3" ht="16.5" hidden="1" customHeight="1" x14ac:dyDescent="0.35">
      <c r="B90" s="16"/>
      <c r="C90" s="16"/>
    </row>
    <row r="91" spans="2:3" ht="16.5" hidden="1" customHeight="1" x14ac:dyDescent="0.35">
      <c r="B91" s="16"/>
      <c r="C91" s="16"/>
    </row>
    <row r="92" spans="2:3" ht="16.5" hidden="1" customHeight="1" x14ac:dyDescent="0.35">
      <c r="B92" s="16"/>
      <c r="C92" s="16"/>
    </row>
    <row r="93" spans="2:3" ht="16.5" hidden="1" customHeight="1" x14ac:dyDescent="0.35">
      <c r="B93" s="16"/>
      <c r="C93" s="16"/>
    </row>
    <row r="94" spans="2:3" ht="16.5" hidden="1" customHeight="1" x14ac:dyDescent="0.35">
      <c r="B94" s="16"/>
      <c r="C94" s="16"/>
    </row>
    <row r="95" spans="2:3" ht="16.5" hidden="1" customHeight="1" x14ac:dyDescent="0.35">
      <c r="B95" s="16"/>
      <c r="C95" s="16"/>
    </row>
    <row r="96" spans="2:3" ht="16.5" hidden="1" customHeight="1" x14ac:dyDescent="0.35">
      <c r="B96" s="16"/>
      <c r="C96" s="16"/>
    </row>
    <row r="97" spans="2:3" ht="16.5" hidden="1" customHeight="1" x14ac:dyDescent="0.35">
      <c r="B97" s="16"/>
      <c r="C97" s="16"/>
    </row>
    <row r="98" spans="2:3" ht="16.5" hidden="1" customHeight="1" x14ac:dyDescent="0.35">
      <c r="B98" s="16"/>
      <c r="C98" s="16"/>
    </row>
    <row r="99" spans="2:3" ht="16.5" hidden="1" customHeight="1" x14ac:dyDescent="0.35">
      <c r="B99" s="16"/>
      <c r="C99" s="16"/>
    </row>
    <row r="100" spans="2:3" ht="16.5" hidden="1" customHeight="1" x14ac:dyDescent="0.35">
      <c r="B100" s="16"/>
      <c r="C100" s="16"/>
    </row>
    <row r="101" spans="2:3" ht="16.5" hidden="1" customHeight="1" x14ac:dyDescent="0.35">
      <c r="B101" s="16"/>
      <c r="C101" s="16"/>
    </row>
    <row r="102" spans="2:3" ht="16.5" hidden="1" customHeight="1" x14ac:dyDescent="0.35">
      <c r="B102" s="16"/>
      <c r="C102" s="16"/>
    </row>
    <row r="103" spans="2:3" ht="16.5" hidden="1" customHeight="1" x14ac:dyDescent="0.35">
      <c r="B103" s="16"/>
      <c r="C103" s="16"/>
    </row>
    <row r="104" spans="2:3" ht="16.5" hidden="1" customHeight="1" x14ac:dyDescent="0.35">
      <c r="B104" s="16"/>
      <c r="C104" s="16"/>
    </row>
    <row r="105" spans="2:3" ht="16.5" hidden="1" customHeight="1" x14ac:dyDescent="0.35">
      <c r="B105" s="16"/>
      <c r="C105" s="16"/>
    </row>
    <row r="106" spans="2:3" ht="16.5" hidden="1" customHeight="1" x14ac:dyDescent="0.35">
      <c r="B106" s="16"/>
      <c r="C106" s="16"/>
    </row>
    <row r="107" spans="2:3" ht="16.5" hidden="1" customHeight="1" x14ac:dyDescent="0.35">
      <c r="B107" s="16"/>
      <c r="C107" s="16"/>
    </row>
    <row r="108" spans="2:3" ht="16.5" hidden="1" customHeight="1" x14ac:dyDescent="0.35">
      <c r="B108" s="16"/>
      <c r="C108" s="16"/>
    </row>
    <row r="109" spans="2:3" ht="16.5" hidden="1" customHeight="1" x14ac:dyDescent="0.35">
      <c r="B109" s="16"/>
      <c r="C109" s="16"/>
    </row>
    <row r="110" spans="2:3" ht="16.5" hidden="1" customHeight="1" x14ac:dyDescent="0.35">
      <c r="B110" s="16"/>
      <c r="C110" s="16"/>
    </row>
    <row r="111" spans="2:3" ht="16.5" hidden="1" customHeight="1" x14ac:dyDescent="0.35">
      <c r="B111" s="16"/>
      <c r="C111" s="16"/>
    </row>
    <row r="112" spans="2:3" ht="16.5" hidden="1" customHeight="1" x14ac:dyDescent="0.35">
      <c r="B112" s="16"/>
      <c r="C112" s="16"/>
    </row>
    <row r="113" spans="2:3" ht="16.5" hidden="1" customHeight="1" x14ac:dyDescent="0.35">
      <c r="B113" s="16"/>
      <c r="C113" s="16"/>
    </row>
    <row r="114" spans="2:3" ht="16.5" hidden="1" customHeight="1" x14ac:dyDescent="0.35">
      <c r="B114" s="16"/>
      <c r="C114" s="16"/>
    </row>
    <row r="115" spans="2:3" ht="16.5" hidden="1" customHeight="1" x14ac:dyDescent="0.35">
      <c r="B115" s="16"/>
      <c r="C115" s="16"/>
    </row>
    <row r="116" spans="2:3" ht="16.5" hidden="1" customHeight="1" x14ac:dyDescent="0.35">
      <c r="B116" s="16"/>
      <c r="C116" s="16"/>
    </row>
    <row r="117" spans="2:3" ht="16.5" hidden="1" customHeight="1" x14ac:dyDescent="0.35">
      <c r="B117" s="16"/>
      <c r="C117" s="16"/>
    </row>
    <row r="118" spans="2:3" ht="16.5" hidden="1" customHeight="1" x14ac:dyDescent="0.35">
      <c r="B118" s="16"/>
      <c r="C118" s="16"/>
    </row>
    <row r="119" spans="2:3" ht="16.5" hidden="1" customHeight="1" x14ac:dyDescent="0.35">
      <c r="B119" s="16"/>
      <c r="C119" s="16"/>
    </row>
    <row r="120" spans="2:3" ht="16.5" hidden="1" customHeight="1" x14ac:dyDescent="0.35">
      <c r="B120" s="16"/>
      <c r="C120" s="16"/>
    </row>
    <row r="121" spans="2:3" ht="16.5" hidden="1" customHeight="1" x14ac:dyDescent="0.35">
      <c r="B121" s="16"/>
      <c r="C121" s="16"/>
    </row>
    <row r="122" spans="2:3" ht="16.5" hidden="1" customHeight="1" x14ac:dyDescent="0.35">
      <c r="B122" s="16"/>
      <c r="C122" s="16"/>
    </row>
    <row r="123" spans="2:3" ht="16.5" hidden="1" customHeight="1" x14ac:dyDescent="0.35">
      <c r="B123" s="16"/>
      <c r="C123" s="16"/>
    </row>
    <row r="124" spans="2:3" ht="16.5" hidden="1" customHeight="1" x14ac:dyDescent="0.35">
      <c r="B124" s="16"/>
      <c r="C124" s="16"/>
    </row>
    <row r="125" spans="2:3" ht="16.5" hidden="1" customHeight="1" x14ac:dyDescent="0.35">
      <c r="B125" s="16"/>
      <c r="C125" s="16"/>
    </row>
    <row r="126" spans="2:3" ht="16.5" hidden="1" customHeight="1" x14ac:dyDescent="0.35">
      <c r="B126" s="16"/>
      <c r="C126" s="16"/>
    </row>
    <row r="127" spans="2:3" ht="16.5" hidden="1" customHeight="1" x14ac:dyDescent="0.35">
      <c r="B127" s="16"/>
      <c r="C127" s="16"/>
    </row>
    <row r="128" spans="2:3" ht="16.5" hidden="1" customHeight="1" x14ac:dyDescent="0.35">
      <c r="B128" s="16"/>
      <c r="C128" s="16"/>
    </row>
    <row r="129" spans="2:3" ht="16.5" hidden="1" customHeight="1" x14ac:dyDescent="0.35">
      <c r="B129" s="16"/>
      <c r="C129" s="16"/>
    </row>
    <row r="130" spans="2:3" ht="16.5" hidden="1" customHeight="1" x14ac:dyDescent="0.35">
      <c r="B130" s="16"/>
      <c r="C130" s="16"/>
    </row>
    <row r="131" spans="2:3" ht="16.5" hidden="1" customHeight="1" x14ac:dyDescent="0.35">
      <c r="B131" s="16"/>
      <c r="C131" s="16"/>
    </row>
    <row r="132" spans="2:3" ht="16.5" hidden="1" customHeight="1" x14ac:dyDescent="0.35">
      <c r="B132" s="16"/>
      <c r="C132" s="16"/>
    </row>
    <row r="133" spans="2:3" ht="16.5" hidden="1" customHeight="1" x14ac:dyDescent="0.35">
      <c r="B133" s="16"/>
      <c r="C133" s="16"/>
    </row>
    <row r="134" spans="2:3" ht="16.5" hidden="1" customHeight="1" x14ac:dyDescent="0.35">
      <c r="B134" s="16"/>
      <c r="C134" s="16"/>
    </row>
    <row r="135" spans="2:3" ht="16.5" hidden="1" customHeight="1" x14ac:dyDescent="0.35">
      <c r="B135" s="16"/>
      <c r="C135" s="16"/>
    </row>
    <row r="136" spans="2:3" ht="16.5" hidden="1" customHeight="1" x14ac:dyDescent="0.35">
      <c r="B136" s="16"/>
      <c r="C136" s="16"/>
    </row>
    <row r="137" spans="2:3" ht="16.5" hidden="1" customHeight="1" x14ac:dyDescent="0.35">
      <c r="B137" s="16"/>
      <c r="C137" s="16"/>
    </row>
    <row r="138" spans="2:3" ht="16.5" hidden="1" customHeight="1" x14ac:dyDescent="0.35">
      <c r="B138" s="16"/>
      <c r="C138" s="16"/>
    </row>
    <row r="139" spans="2:3" ht="16.5" hidden="1" customHeight="1" x14ac:dyDescent="0.35">
      <c r="B139" s="16"/>
      <c r="C139" s="16"/>
    </row>
    <row r="140" spans="2:3" ht="16.5" hidden="1" customHeight="1" x14ac:dyDescent="0.35">
      <c r="B140" s="16"/>
      <c r="C140" s="16"/>
    </row>
    <row r="141" spans="2:3" ht="16.5" hidden="1" customHeight="1" x14ac:dyDescent="0.35">
      <c r="B141" s="16"/>
      <c r="C141" s="16"/>
    </row>
    <row r="142" spans="2:3" ht="16.5" hidden="1" customHeight="1" x14ac:dyDescent="0.35">
      <c r="B142" s="16"/>
      <c r="C142" s="16"/>
    </row>
    <row r="143" spans="2:3" ht="16.5" hidden="1" customHeight="1" x14ac:dyDescent="0.35">
      <c r="B143" s="16"/>
      <c r="C143" s="16"/>
    </row>
    <row r="144" spans="2:3" ht="16.5" hidden="1" customHeight="1" x14ac:dyDescent="0.35">
      <c r="B144" s="16"/>
      <c r="C144" s="16"/>
    </row>
    <row r="145" spans="2:3" ht="16.5" hidden="1" customHeight="1" x14ac:dyDescent="0.35">
      <c r="B145" s="16"/>
      <c r="C145" s="16"/>
    </row>
    <row r="146" spans="2:3" ht="16.5" hidden="1" customHeight="1" x14ac:dyDescent="0.35">
      <c r="B146" s="16"/>
      <c r="C146" s="16"/>
    </row>
    <row r="147" spans="2:3" ht="16.5" hidden="1" customHeight="1" x14ac:dyDescent="0.35">
      <c r="B147" s="16"/>
      <c r="C147" s="16"/>
    </row>
    <row r="148" spans="2:3" ht="16.5" hidden="1" customHeight="1" x14ac:dyDescent="0.35">
      <c r="B148" s="16"/>
      <c r="C148" s="16"/>
    </row>
    <row r="149" spans="2:3" ht="16.5" hidden="1" customHeight="1" x14ac:dyDescent="0.35">
      <c r="B149" s="16"/>
      <c r="C149" s="16"/>
    </row>
    <row r="150" spans="2:3" ht="16.5" hidden="1" customHeight="1" x14ac:dyDescent="0.35">
      <c r="B150" s="16"/>
      <c r="C150" s="16"/>
    </row>
    <row r="151" spans="2:3" ht="16.5" hidden="1" customHeight="1" x14ac:dyDescent="0.35">
      <c r="B151" s="16"/>
      <c r="C151" s="16"/>
    </row>
    <row r="152" spans="2:3" ht="16.5" hidden="1" customHeight="1" x14ac:dyDescent="0.35">
      <c r="B152" s="16"/>
      <c r="C152" s="16"/>
    </row>
    <row r="153" spans="2:3" ht="16.5" hidden="1" customHeight="1" x14ac:dyDescent="0.35">
      <c r="B153" s="16"/>
      <c r="C153" s="16"/>
    </row>
    <row r="154" spans="2:3" ht="16.5" hidden="1" customHeight="1" x14ac:dyDescent="0.35">
      <c r="B154" s="16"/>
      <c r="C154" s="16"/>
    </row>
    <row r="155" spans="2:3" ht="16.5" hidden="1" customHeight="1" x14ac:dyDescent="0.35">
      <c r="B155" s="16"/>
      <c r="C155" s="16"/>
    </row>
    <row r="156" spans="2:3" ht="16.5" hidden="1" customHeight="1" x14ac:dyDescent="0.35">
      <c r="B156" s="16"/>
      <c r="C156" s="16"/>
    </row>
    <row r="157" spans="2:3" ht="16.5" hidden="1" customHeight="1" x14ac:dyDescent="0.35">
      <c r="B157" s="16"/>
      <c r="C157" s="16"/>
    </row>
    <row r="158" spans="2:3" ht="16.5" hidden="1" customHeight="1" x14ac:dyDescent="0.35">
      <c r="B158" s="16"/>
      <c r="C158" s="16"/>
    </row>
    <row r="159" spans="2:3" ht="16.5" hidden="1" customHeight="1" x14ac:dyDescent="0.35">
      <c r="B159" s="16"/>
      <c r="C159" s="16"/>
    </row>
    <row r="160" spans="2:3" ht="16.5" hidden="1" customHeight="1" x14ac:dyDescent="0.35">
      <c r="B160" s="16"/>
      <c r="C160" s="16"/>
    </row>
    <row r="161" spans="2:3" ht="16.5" hidden="1" customHeight="1" x14ac:dyDescent="0.35">
      <c r="B161" s="16"/>
      <c r="C161" s="16"/>
    </row>
    <row r="162" spans="2:3" ht="16.5" hidden="1" customHeight="1" x14ac:dyDescent="0.35">
      <c r="B162" s="16"/>
      <c r="C162" s="16"/>
    </row>
    <row r="163" spans="2:3" ht="16.5" hidden="1" customHeight="1" x14ac:dyDescent="0.35">
      <c r="B163" s="16"/>
      <c r="C163" s="16"/>
    </row>
    <row r="164" spans="2:3" ht="16.5" hidden="1" customHeight="1" x14ac:dyDescent="0.35">
      <c r="B164" s="16"/>
      <c r="C164" s="16"/>
    </row>
    <row r="165" spans="2:3" ht="16.5" hidden="1" customHeight="1" x14ac:dyDescent="0.35">
      <c r="B165" s="16"/>
      <c r="C165" s="16"/>
    </row>
    <row r="166" spans="2:3" ht="16.5" hidden="1" customHeight="1" x14ac:dyDescent="0.35">
      <c r="B166" s="16"/>
      <c r="C166" s="16"/>
    </row>
    <row r="167" spans="2:3" ht="16.5" hidden="1" customHeight="1" x14ac:dyDescent="0.35">
      <c r="B167" s="16"/>
      <c r="C167" s="16"/>
    </row>
    <row r="168" spans="2:3" ht="16.5" hidden="1" customHeight="1" x14ac:dyDescent="0.35">
      <c r="B168" s="16"/>
      <c r="C168" s="16"/>
    </row>
    <row r="169" spans="2:3" ht="16.5" hidden="1" customHeight="1" x14ac:dyDescent="0.35">
      <c r="B169" s="16"/>
      <c r="C169" s="16"/>
    </row>
    <row r="170" spans="2:3" ht="16.5" hidden="1" customHeight="1" x14ac:dyDescent="0.35">
      <c r="B170" s="16"/>
      <c r="C170" s="16"/>
    </row>
    <row r="171" spans="2:3" ht="16.5" hidden="1" customHeight="1" x14ac:dyDescent="0.35">
      <c r="B171" s="16"/>
      <c r="C171" s="16"/>
    </row>
    <row r="172" spans="2:3" ht="16.5" hidden="1" customHeight="1" x14ac:dyDescent="0.35">
      <c r="B172" s="16"/>
      <c r="C172" s="16"/>
    </row>
    <row r="173" spans="2:3" ht="16.5" hidden="1" customHeight="1" x14ac:dyDescent="0.35">
      <c r="B173" s="16"/>
      <c r="C173" s="16"/>
    </row>
    <row r="174" spans="2:3" ht="16.5" hidden="1" customHeight="1" x14ac:dyDescent="0.35">
      <c r="B174" s="16"/>
      <c r="C174" s="16"/>
    </row>
    <row r="175" spans="2:3" ht="16.5" hidden="1" customHeight="1" x14ac:dyDescent="0.35">
      <c r="B175" s="16"/>
      <c r="C175" s="16"/>
    </row>
    <row r="176" spans="2:3" ht="16.5" hidden="1" customHeight="1" x14ac:dyDescent="0.35">
      <c r="B176" s="16"/>
      <c r="C176" s="16"/>
    </row>
    <row r="177" spans="2:3" ht="16.5" hidden="1" customHeight="1" x14ac:dyDescent="0.35">
      <c r="B177" s="16"/>
      <c r="C177" s="16"/>
    </row>
    <row r="178" spans="2:3" ht="16.5" hidden="1" customHeight="1" x14ac:dyDescent="0.35">
      <c r="B178" s="16"/>
      <c r="C178" s="16"/>
    </row>
    <row r="179" spans="2:3" ht="16.5" hidden="1" customHeight="1" x14ac:dyDescent="0.35">
      <c r="B179" s="16"/>
      <c r="C179" s="16"/>
    </row>
    <row r="180" spans="2:3" ht="16.5" hidden="1" customHeight="1" x14ac:dyDescent="0.35">
      <c r="B180" s="16"/>
      <c r="C180" s="16"/>
    </row>
    <row r="181" spans="2:3" ht="16.5" hidden="1" customHeight="1" x14ac:dyDescent="0.35">
      <c r="B181" s="16"/>
      <c r="C181" s="16"/>
    </row>
    <row r="182" spans="2:3" ht="16.5" hidden="1" customHeight="1" x14ac:dyDescent="0.35">
      <c r="B182" s="16"/>
      <c r="C182" s="16"/>
    </row>
    <row r="183" spans="2:3" ht="16.5" hidden="1" customHeight="1" x14ac:dyDescent="0.35">
      <c r="B183" s="16"/>
      <c r="C183" s="16"/>
    </row>
    <row r="184" spans="2:3" ht="16.5" hidden="1" customHeight="1" x14ac:dyDescent="0.35">
      <c r="B184" s="16"/>
      <c r="C184" s="16"/>
    </row>
    <row r="185" spans="2:3" ht="16.5" hidden="1" customHeight="1" x14ac:dyDescent="0.35">
      <c r="B185" s="16"/>
      <c r="C185" s="16"/>
    </row>
    <row r="186" spans="2:3" ht="16.5" hidden="1" customHeight="1" x14ac:dyDescent="0.35">
      <c r="B186" s="16"/>
      <c r="C186" s="16"/>
    </row>
    <row r="187" spans="2:3" ht="16.5" hidden="1" customHeight="1" x14ac:dyDescent="0.35">
      <c r="B187" s="16"/>
      <c r="C187" s="16"/>
    </row>
    <row r="188" spans="2:3" ht="16.5" hidden="1" customHeight="1" x14ac:dyDescent="0.35">
      <c r="B188" s="16"/>
      <c r="C188" s="16"/>
    </row>
    <row r="189" spans="2:3" ht="16.5" hidden="1" customHeight="1" x14ac:dyDescent="0.35">
      <c r="B189" s="16"/>
      <c r="C189" s="16"/>
    </row>
    <row r="190" spans="2:3" ht="16.5" hidden="1" customHeight="1" x14ac:dyDescent="0.35">
      <c r="B190" s="16"/>
      <c r="C190" s="16"/>
    </row>
    <row r="191" spans="2:3" ht="16.5" hidden="1" customHeight="1" x14ac:dyDescent="0.35">
      <c r="B191" s="16"/>
      <c r="C191" s="16"/>
    </row>
    <row r="192" spans="2:3" ht="16.5" hidden="1" customHeight="1" x14ac:dyDescent="0.35">
      <c r="B192" s="16"/>
      <c r="C192" s="16"/>
    </row>
    <row r="193" spans="2:3" ht="16.5" hidden="1" customHeight="1" x14ac:dyDescent="0.35">
      <c r="B193" s="16"/>
      <c r="C193" s="16"/>
    </row>
    <row r="194" spans="2:3" ht="16.5" hidden="1" customHeight="1" x14ac:dyDescent="0.35">
      <c r="B194" s="16"/>
      <c r="C194" s="16"/>
    </row>
    <row r="195" spans="2:3" ht="16.5" hidden="1" customHeight="1" x14ac:dyDescent="0.35">
      <c r="B195" s="16"/>
      <c r="C195" s="16"/>
    </row>
    <row r="196" spans="2:3" ht="16.5" hidden="1" customHeight="1" x14ac:dyDescent="0.35">
      <c r="B196" s="16"/>
      <c r="C196" s="16"/>
    </row>
    <row r="197" spans="2:3" ht="16.5" hidden="1" customHeight="1" x14ac:dyDescent="0.35">
      <c r="B197" s="16"/>
      <c r="C197" s="16"/>
    </row>
    <row r="198" spans="2:3" ht="16.5" hidden="1" customHeight="1" x14ac:dyDescent="0.35">
      <c r="B198" s="16"/>
      <c r="C198" s="16"/>
    </row>
    <row r="199" spans="2:3" ht="16.5" hidden="1" customHeight="1" x14ac:dyDescent="0.35">
      <c r="B199" s="16"/>
      <c r="C199" s="16"/>
    </row>
    <row r="200" spans="2:3" ht="16.5" hidden="1" customHeight="1" x14ac:dyDescent="0.35">
      <c r="B200" s="16"/>
      <c r="C200" s="16"/>
    </row>
    <row r="201" spans="2:3" ht="16.5" hidden="1" customHeight="1" x14ac:dyDescent="0.35">
      <c r="B201" s="16"/>
      <c r="C201" s="16"/>
    </row>
    <row r="202" spans="2:3" ht="16.5" hidden="1" customHeight="1" x14ac:dyDescent="0.35">
      <c r="B202" s="16"/>
      <c r="C202" s="16"/>
    </row>
    <row r="203" spans="2:3" ht="16.5" hidden="1" customHeight="1" x14ac:dyDescent="0.35">
      <c r="B203" s="16"/>
      <c r="C203" s="16"/>
    </row>
    <row r="204" spans="2:3" ht="16.5" hidden="1" customHeight="1" x14ac:dyDescent="0.35">
      <c r="B204" s="16"/>
      <c r="C204" s="16"/>
    </row>
    <row r="205" spans="2:3" ht="16.5" hidden="1" customHeight="1" x14ac:dyDescent="0.35">
      <c r="B205" s="16"/>
      <c r="C205" s="16"/>
    </row>
    <row r="206" spans="2:3" ht="16.5" hidden="1" customHeight="1" x14ac:dyDescent="0.35">
      <c r="B206" s="16"/>
      <c r="C206" s="16"/>
    </row>
    <row r="207" spans="2:3" ht="16.5" hidden="1" customHeight="1" x14ac:dyDescent="0.35">
      <c r="B207" s="16"/>
      <c r="C207" s="16"/>
    </row>
    <row r="208" spans="2:3" ht="16.5" hidden="1" customHeight="1" x14ac:dyDescent="0.35">
      <c r="B208" s="16"/>
      <c r="C208" s="16"/>
    </row>
    <row r="209" spans="2:3" ht="16.5" hidden="1" customHeight="1" x14ac:dyDescent="0.35">
      <c r="B209" s="16"/>
      <c r="C209" s="16"/>
    </row>
    <row r="210" spans="2:3" ht="16.5" hidden="1" customHeight="1" x14ac:dyDescent="0.35">
      <c r="B210" s="16"/>
      <c r="C210" s="16"/>
    </row>
    <row r="211" spans="2:3" ht="16.5" hidden="1" customHeight="1" x14ac:dyDescent="0.35">
      <c r="B211" s="16"/>
      <c r="C211" s="16"/>
    </row>
    <row r="212" spans="2:3" ht="16.5" hidden="1" customHeight="1" x14ac:dyDescent="0.35">
      <c r="B212" s="16"/>
      <c r="C212" s="16"/>
    </row>
    <row r="213" spans="2:3" ht="16.5" hidden="1" customHeight="1" x14ac:dyDescent="0.35">
      <c r="B213" s="16"/>
      <c r="C213" s="16"/>
    </row>
    <row r="214" spans="2:3" ht="16.5" hidden="1" customHeight="1" x14ac:dyDescent="0.35">
      <c r="B214" s="16"/>
      <c r="C214" s="16"/>
    </row>
    <row r="215" spans="2:3" ht="16.5" hidden="1" customHeight="1" x14ac:dyDescent="0.35">
      <c r="B215" s="16"/>
      <c r="C215" s="16"/>
    </row>
    <row r="216" spans="2:3" ht="16.5" hidden="1" customHeight="1" x14ac:dyDescent="0.35">
      <c r="B216" s="16"/>
      <c r="C216" s="16"/>
    </row>
    <row r="217" spans="2:3" ht="16.5" hidden="1" customHeight="1" x14ac:dyDescent="0.35">
      <c r="B217" s="16"/>
      <c r="C217" s="16"/>
    </row>
    <row r="218" spans="2:3" ht="16.5" hidden="1" customHeight="1" x14ac:dyDescent="0.35">
      <c r="B218" s="16"/>
      <c r="C218" s="16"/>
    </row>
    <row r="219" spans="2:3" ht="16.5" hidden="1" customHeight="1" x14ac:dyDescent="0.35">
      <c r="B219" s="16"/>
      <c r="C219" s="16"/>
    </row>
    <row r="220" spans="2:3" ht="16.5" hidden="1" customHeight="1" x14ac:dyDescent="0.35">
      <c r="B220" s="16"/>
      <c r="C220" s="16"/>
    </row>
    <row r="221" spans="2:3" ht="16.5" hidden="1" customHeight="1" x14ac:dyDescent="0.35">
      <c r="B221" s="16"/>
      <c r="C221" s="16"/>
    </row>
    <row r="222" spans="2:3" ht="16.5" hidden="1" customHeight="1" x14ac:dyDescent="0.35">
      <c r="B222" s="16"/>
      <c r="C222" s="16"/>
    </row>
    <row r="223" spans="2:3" ht="16.5" hidden="1" customHeight="1" x14ac:dyDescent="0.35">
      <c r="B223" s="16"/>
      <c r="C223" s="16"/>
    </row>
    <row r="224" spans="2:3" ht="16.5" hidden="1" customHeight="1" x14ac:dyDescent="0.35">
      <c r="B224" s="16"/>
      <c r="C224" s="16"/>
    </row>
    <row r="225" spans="2:3" ht="16.5" hidden="1" customHeight="1" x14ac:dyDescent="0.35">
      <c r="B225" s="16"/>
      <c r="C225" s="16"/>
    </row>
    <row r="226" spans="2:3" ht="16.5" hidden="1" customHeight="1" x14ac:dyDescent="0.35">
      <c r="B226" s="16"/>
      <c r="C226" s="16"/>
    </row>
    <row r="227" spans="2:3" ht="16.5" hidden="1" customHeight="1" x14ac:dyDescent="0.35">
      <c r="B227" s="16"/>
      <c r="C227" s="16"/>
    </row>
    <row r="228" spans="2:3" ht="16.5" hidden="1" customHeight="1" x14ac:dyDescent="0.35">
      <c r="B228" s="16"/>
      <c r="C228" s="16"/>
    </row>
    <row r="229" spans="2:3" ht="16.5" hidden="1" customHeight="1" x14ac:dyDescent="0.35">
      <c r="B229" s="16"/>
      <c r="C229" s="16"/>
    </row>
    <row r="230" spans="2:3" ht="16.5" hidden="1" customHeight="1" x14ac:dyDescent="0.35">
      <c r="B230" s="16"/>
      <c r="C230" s="16"/>
    </row>
    <row r="231" spans="2:3" ht="16.5" hidden="1" customHeight="1" x14ac:dyDescent="0.35">
      <c r="B231" s="16"/>
      <c r="C231" s="16"/>
    </row>
    <row r="232" spans="2:3" ht="16.5" hidden="1" customHeight="1" x14ac:dyDescent="0.35">
      <c r="B232" s="16"/>
      <c r="C232" s="16"/>
    </row>
    <row r="233" spans="2:3" ht="16.5" hidden="1" customHeight="1" x14ac:dyDescent="0.35">
      <c r="B233" s="16"/>
      <c r="C233" s="16"/>
    </row>
    <row r="234" spans="2:3" ht="16.5" hidden="1" customHeight="1" x14ac:dyDescent="0.35">
      <c r="B234" s="16"/>
      <c r="C234" s="16"/>
    </row>
    <row r="235" spans="2:3" ht="16.5" hidden="1" customHeight="1" x14ac:dyDescent="0.35">
      <c r="B235" s="16"/>
      <c r="C235" s="16"/>
    </row>
    <row r="236" spans="2:3" ht="16.5" hidden="1" customHeight="1" x14ac:dyDescent="0.35">
      <c r="B236" s="16"/>
      <c r="C236" s="16"/>
    </row>
    <row r="237" spans="2:3" ht="16.5" hidden="1" customHeight="1" x14ac:dyDescent="0.35">
      <c r="B237" s="16"/>
      <c r="C237" s="16"/>
    </row>
    <row r="238" spans="2:3" ht="16.5" hidden="1" customHeight="1" x14ac:dyDescent="0.35">
      <c r="B238" s="16"/>
      <c r="C238" s="16"/>
    </row>
    <row r="239" spans="2:3" ht="16.5" hidden="1" customHeight="1" x14ac:dyDescent="0.35">
      <c r="B239" s="16"/>
      <c r="C239" s="16"/>
    </row>
    <row r="240" spans="2:3" ht="16.5" hidden="1" customHeight="1" x14ac:dyDescent="0.35">
      <c r="B240" s="16"/>
      <c r="C240" s="16"/>
    </row>
    <row r="241" spans="2:3" ht="16.5" hidden="1" customHeight="1" x14ac:dyDescent="0.35">
      <c r="B241" s="16"/>
      <c r="C241" s="16"/>
    </row>
    <row r="242" spans="2:3" ht="16.5" hidden="1" customHeight="1" x14ac:dyDescent="0.35">
      <c r="B242" s="16"/>
      <c r="C242" s="16"/>
    </row>
    <row r="243" spans="2:3" ht="16.5" hidden="1" customHeight="1" x14ac:dyDescent="0.35">
      <c r="B243" s="16"/>
      <c r="C243" s="16"/>
    </row>
    <row r="244" spans="2:3" ht="16.5" hidden="1" customHeight="1" x14ac:dyDescent="0.35">
      <c r="B244" s="16"/>
      <c r="C244" s="16"/>
    </row>
    <row r="245" spans="2:3" ht="16.5" hidden="1" customHeight="1" x14ac:dyDescent="0.35">
      <c r="B245" s="16"/>
      <c r="C245" s="16"/>
    </row>
    <row r="246" spans="2:3" ht="16.5" hidden="1" customHeight="1" x14ac:dyDescent="0.35">
      <c r="B246" s="16"/>
      <c r="C246" s="16"/>
    </row>
    <row r="247" spans="2:3" ht="16.5" hidden="1" customHeight="1" x14ac:dyDescent="0.35">
      <c r="B247" s="16"/>
      <c r="C247" s="16"/>
    </row>
    <row r="248" spans="2:3" ht="16.5" hidden="1" customHeight="1" x14ac:dyDescent="0.35">
      <c r="B248" s="16"/>
      <c r="C248" s="16"/>
    </row>
    <row r="249" spans="2:3" ht="16.5" hidden="1" customHeight="1" x14ac:dyDescent="0.35">
      <c r="B249" s="16"/>
      <c r="C249" s="16"/>
    </row>
    <row r="250" spans="2:3" ht="16.5" hidden="1" customHeight="1" x14ac:dyDescent="0.35">
      <c r="B250" s="16"/>
      <c r="C250" s="16"/>
    </row>
    <row r="251" spans="2:3" ht="16.5" hidden="1" customHeight="1" x14ac:dyDescent="0.35">
      <c r="B251" s="16"/>
      <c r="C251" s="16"/>
    </row>
    <row r="252" spans="2:3" ht="16.5" hidden="1" customHeight="1" x14ac:dyDescent="0.35">
      <c r="B252" s="16"/>
      <c r="C252" s="16"/>
    </row>
    <row r="253" spans="2:3" ht="16.5" hidden="1" customHeight="1" x14ac:dyDescent="0.35">
      <c r="B253" s="16"/>
      <c r="C253" s="16"/>
    </row>
    <row r="254" spans="2:3" ht="16.5" hidden="1" customHeight="1" x14ac:dyDescent="0.35">
      <c r="B254" s="16"/>
      <c r="C254" s="16"/>
    </row>
    <row r="255" spans="2:3" ht="16.5" hidden="1" customHeight="1" x14ac:dyDescent="0.35">
      <c r="B255" s="16"/>
      <c r="C255" s="16"/>
    </row>
    <row r="256" spans="2:3" ht="16.5" hidden="1" customHeight="1" x14ac:dyDescent="0.35">
      <c r="B256" s="16"/>
      <c r="C256" s="16"/>
    </row>
    <row r="257" spans="2:3" ht="16.5" hidden="1" customHeight="1" x14ac:dyDescent="0.35">
      <c r="B257" s="16"/>
      <c r="C257" s="16"/>
    </row>
    <row r="258" spans="2:3" ht="16.5" hidden="1" customHeight="1" x14ac:dyDescent="0.35">
      <c r="B258" s="16"/>
      <c r="C258" s="16"/>
    </row>
    <row r="259" spans="2:3" ht="16.5" hidden="1" customHeight="1" x14ac:dyDescent="0.35">
      <c r="B259" s="16"/>
      <c r="C259" s="16"/>
    </row>
    <row r="260" spans="2:3" ht="16.5" hidden="1" customHeight="1" x14ac:dyDescent="0.35">
      <c r="B260" s="16"/>
      <c r="C260" s="16"/>
    </row>
    <row r="261" spans="2:3" ht="16.5" hidden="1" customHeight="1" x14ac:dyDescent="0.35">
      <c r="B261" s="16"/>
      <c r="C261" s="16"/>
    </row>
    <row r="262" spans="2:3" ht="16.5" hidden="1" customHeight="1" x14ac:dyDescent="0.35">
      <c r="B262" s="16"/>
      <c r="C262" s="16"/>
    </row>
    <row r="263" spans="2:3" ht="16.5" hidden="1" customHeight="1" x14ac:dyDescent="0.35">
      <c r="B263" s="16"/>
      <c r="C263" s="16"/>
    </row>
    <row r="264" spans="2:3" ht="16.5" hidden="1" customHeight="1" x14ac:dyDescent="0.35">
      <c r="B264" s="16"/>
      <c r="C264" s="16"/>
    </row>
    <row r="265" spans="2:3" ht="16.5" hidden="1" customHeight="1" x14ac:dyDescent="0.35">
      <c r="B265" s="16"/>
      <c r="C265" s="16"/>
    </row>
    <row r="266" spans="2:3" ht="16.5" hidden="1" customHeight="1" x14ac:dyDescent="0.35">
      <c r="B266" s="16"/>
      <c r="C266" s="16"/>
    </row>
    <row r="267" spans="2:3" ht="16.5" hidden="1" customHeight="1" x14ac:dyDescent="0.35">
      <c r="B267" s="16"/>
      <c r="C267" s="16"/>
    </row>
    <row r="268" spans="2:3" ht="16.5" hidden="1" customHeight="1" x14ac:dyDescent="0.35">
      <c r="B268" s="16"/>
      <c r="C268" s="16"/>
    </row>
    <row r="269" spans="2:3" ht="16.5" hidden="1" customHeight="1" x14ac:dyDescent="0.35">
      <c r="B269" s="16"/>
      <c r="C269" s="16"/>
    </row>
    <row r="270" spans="2:3" ht="16.5" hidden="1" customHeight="1" x14ac:dyDescent="0.35">
      <c r="B270" s="16"/>
      <c r="C270" s="16"/>
    </row>
    <row r="271" spans="2:3" ht="16.5" hidden="1" customHeight="1" x14ac:dyDescent="0.35">
      <c r="B271" s="16"/>
      <c r="C271" s="16"/>
    </row>
    <row r="272" spans="2:3" ht="16.5" hidden="1" customHeight="1" x14ac:dyDescent="0.35">
      <c r="B272" s="16"/>
      <c r="C272" s="16"/>
    </row>
    <row r="273" spans="2:3" ht="16.5" hidden="1" customHeight="1" x14ac:dyDescent="0.35">
      <c r="B273" s="16"/>
      <c r="C273" s="16"/>
    </row>
    <row r="274" spans="2:3" ht="16.5" hidden="1" customHeight="1" x14ac:dyDescent="0.35">
      <c r="B274" s="16"/>
      <c r="C274" s="16"/>
    </row>
    <row r="275" spans="2:3" ht="16.5" hidden="1" customHeight="1" x14ac:dyDescent="0.35">
      <c r="B275" s="16"/>
      <c r="C275" s="16"/>
    </row>
    <row r="276" spans="2:3" ht="16.5" hidden="1" customHeight="1" x14ac:dyDescent="0.35">
      <c r="B276" s="16"/>
      <c r="C276" s="16"/>
    </row>
    <row r="277" spans="2:3" ht="16.5" hidden="1" customHeight="1" x14ac:dyDescent="0.35">
      <c r="B277" s="16"/>
      <c r="C277" s="16"/>
    </row>
    <row r="278" spans="2:3" ht="16.5" hidden="1" customHeight="1" x14ac:dyDescent="0.35">
      <c r="B278" s="16"/>
      <c r="C278" s="16"/>
    </row>
    <row r="279" spans="2:3" ht="16.5" hidden="1" customHeight="1" x14ac:dyDescent="0.35">
      <c r="B279" s="16"/>
      <c r="C279" s="16"/>
    </row>
    <row r="280" spans="2:3" ht="16.5" hidden="1" customHeight="1" x14ac:dyDescent="0.35">
      <c r="B280" s="16"/>
      <c r="C280" s="16"/>
    </row>
    <row r="281" spans="2:3" ht="16.5" hidden="1" customHeight="1" x14ac:dyDescent="0.35">
      <c r="B281" s="16"/>
      <c r="C281" s="16"/>
    </row>
    <row r="282" spans="2:3" ht="16.5" hidden="1" customHeight="1" x14ac:dyDescent="0.35">
      <c r="B282" s="16"/>
      <c r="C282" s="16"/>
    </row>
    <row r="283" spans="2:3" ht="16.5" hidden="1" customHeight="1" x14ac:dyDescent="0.35">
      <c r="B283" s="16"/>
      <c r="C283" s="16"/>
    </row>
    <row r="284" spans="2:3" ht="16.5" hidden="1" customHeight="1" x14ac:dyDescent="0.35">
      <c r="B284" s="16"/>
      <c r="C284" s="16"/>
    </row>
    <row r="285" spans="2:3" ht="16.5" hidden="1" customHeight="1" x14ac:dyDescent="0.35">
      <c r="B285" s="16"/>
      <c r="C285" s="16"/>
    </row>
    <row r="286" spans="2:3" ht="16.5" hidden="1" customHeight="1" x14ac:dyDescent="0.35">
      <c r="B286" s="16"/>
      <c r="C286" s="16"/>
    </row>
    <row r="287" spans="2:3" ht="16.5" hidden="1" customHeight="1" x14ac:dyDescent="0.35">
      <c r="B287" s="16"/>
      <c r="C287" s="16"/>
    </row>
    <row r="288" spans="2:3" ht="16.5" hidden="1" customHeight="1" x14ac:dyDescent="0.35">
      <c r="B288" s="16"/>
      <c r="C288" s="16"/>
    </row>
    <row r="289" spans="2:3" ht="16.5" hidden="1" customHeight="1" x14ac:dyDescent="0.35">
      <c r="B289" s="16"/>
      <c r="C289" s="16"/>
    </row>
    <row r="290" spans="2:3" ht="16.5" hidden="1" customHeight="1" x14ac:dyDescent="0.35">
      <c r="B290" s="16"/>
      <c r="C290" s="16"/>
    </row>
    <row r="291" spans="2:3" ht="16.5" hidden="1" customHeight="1" x14ac:dyDescent="0.35">
      <c r="B291" s="16"/>
      <c r="C291" s="16"/>
    </row>
    <row r="292" spans="2:3" ht="16.5" hidden="1" customHeight="1" x14ac:dyDescent="0.35">
      <c r="B292" s="16"/>
      <c r="C292" s="16"/>
    </row>
    <row r="293" spans="2:3" ht="16.5" hidden="1" customHeight="1" x14ac:dyDescent="0.35">
      <c r="B293" s="16"/>
      <c r="C293" s="16"/>
    </row>
    <row r="294" spans="2:3" ht="16.5" hidden="1" customHeight="1" x14ac:dyDescent="0.35">
      <c r="B294" s="16"/>
      <c r="C294" s="16"/>
    </row>
    <row r="295" spans="2:3" ht="16.5" hidden="1" customHeight="1" x14ac:dyDescent="0.35">
      <c r="B295" s="16"/>
      <c r="C295" s="16"/>
    </row>
    <row r="296" spans="2:3" ht="16.5" hidden="1" customHeight="1" x14ac:dyDescent="0.35">
      <c r="B296" s="16"/>
      <c r="C296" s="16"/>
    </row>
    <row r="297" spans="2:3" ht="16.5" hidden="1" customHeight="1" x14ac:dyDescent="0.35">
      <c r="B297" s="16"/>
      <c r="C297" s="16"/>
    </row>
    <row r="298" spans="2:3" ht="16.5" hidden="1" customHeight="1" x14ac:dyDescent="0.35">
      <c r="B298" s="16"/>
      <c r="C298" s="16"/>
    </row>
    <row r="299" spans="2:3" ht="16.5" hidden="1" customHeight="1" x14ac:dyDescent="0.35">
      <c r="B299" s="16"/>
      <c r="C299" s="16"/>
    </row>
    <row r="300" spans="2:3" ht="16.5" hidden="1" customHeight="1" x14ac:dyDescent="0.35">
      <c r="B300" s="16"/>
      <c r="C300" s="16"/>
    </row>
    <row r="301" spans="2:3" ht="16.5" hidden="1" customHeight="1" x14ac:dyDescent="0.35">
      <c r="B301" s="16"/>
      <c r="C301" s="16"/>
    </row>
    <row r="302" spans="2:3" ht="16.5" hidden="1" customHeight="1" x14ac:dyDescent="0.35">
      <c r="B302" s="16"/>
      <c r="C302" s="16"/>
    </row>
    <row r="303" spans="2:3" ht="16.5" hidden="1" customHeight="1" x14ac:dyDescent="0.35">
      <c r="B303" s="16"/>
      <c r="C303" s="16"/>
    </row>
    <row r="304" spans="2:3" ht="16.5" hidden="1" customHeight="1" x14ac:dyDescent="0.35">
      <c r="B304" s="16"/>
      <c r="C304" s="16"/>
    </row>
    <row r="305" spans="2:3" ht="16.5" hidden="1" customHeight="1" x14ac:dyDescent="0.35">
      <c r="B305" s="16"/>
      <c r="C305" s="16"/>
    </row>
    <row r="306" spans="2:3" ht="16.5" hidden="1" customHeight="1" x14ac:dyDescent="0.35">
      <c r="B306" s="16"/>
      <c r="C306" s="16"/>
    </row>
    <row r="307" spans="2:3" ht="16.5" hidden="1" customHeight="1" x14ac:dyDescent="0.35">
      <c r="B307" s="16"/>
      <c r="C307" s="16"/>
    </row>
    <row r="308" spans="2:3" ht="16.5" hidden="1" customHeight="1" x14ac:dyDescent="0.35">
      <c r="B308" s="16"/>
      <c r="C308" s="16"/>
    </row>
    <row r="309" spans="2:3" ht="16.5" hidden="1" customHeight="1" x14ac:dyDescent="0.35">
      <c r="B309" s="16"/>
      <c r="C309" s="16"/>
    </row>
    <row r="310" spans="2:3" ht="16.5" hidden="1" customHeight="1" x14ac:dyDescent="0.35">
      <c r="B310" s="16"/>
      <c r="C310" s="16"/>
    </row>
    <row r="311" spans="2:3" ht="16.5" hidden="1" customHeight="1" x14ac:dyDescent="0.35">
      <c r="B311" s="16"/>
      <c r="C311" s="16"/>
    </row>
    <row r="312" spans="2:3" ht="16.5" hidden="1" customHeight="1" x14ac:dyDescent="0.35">
      <c r="B312" s="16"/>
      <c r="C312" s="16"/>
    </row>
    <row r="313" spans="2:3" ht="16.5" hidden="1" customHeight="1" x14ac:dyDescent="0.35">
      <c r="B313" s="16"/>
      <c r="C313" s="16"/>
    </row>
    <row r="314" spans="2:3" ht="16.5" hidden="1" customHeight="1" x14ac:dyDescent="0.35">
      <c r="B314" s="16"/>
      <c r="C314" s="16"/>
    </row>
    <row r="315" spans="2:3" ht="16.5" hidden="1" customHeight="1" x14ac:dyDescent="0.35">
      <c r="B315" s="16"/>
      <c r="C315" s="16"/>
    </row>
    <row r="316" spans="2:3" ht="16.5" hidden="1" customHeight="1" x14ac:dyDescent="0.35">
      <c r="B316" s="16"/>
      <c r="C316" s="16"/>
    </row>
    <row r="317" spans="2:3" ht="16.5" hidden="1" customHeight="1" x14ac:dyDescent="0.35">
      <c r="B317" s="16"/>
      <c r="C317" s="16"/>
    </row>
    <row r="318" spans="2:3" ht="16.5" hidden="1" customHeight="1" x14ac:dyDescent="0.35">
      <c r="B318" s="16"/>
      <c r="C318" s="16"/>
    </row>
    <row r="319" spans="2:3" ht="16.5" hidden="1" customHeight="1" x14ac:dyDescent="0.35">
      <c r="B319" s="16"/>
      <c r="C319" s="16"/>
    </row>
    <row r="320" spans="2:3" ht="16.5" hidden="1" customHeight="1" x14ac:dyDescent="0.35">
      <c r="B320" s="16"/>
      <c r="C320" s="16"/>
    </row>
    <row r="321" spans="2:3" ht="16.5" hidden="1" customHeight="1" x14ac:dyDescent="0.35">
      <c r="B321" s="16"/>
      <c r="C321" s="16"/>
    </row>
    <row r="322" spans="2:3" ht="16.5" hidden="1" customHeight="1" x14ac:dyDescent="0.35">
      <c r="B322" s="16"/>
      <c r="C322" s="16"/>
    </row>
    <row r="323" spans="2:3" ht="16.5" hidden="1" customHeight="1" x14ac:dyDescent="0.35">
      <c r="B323" s="16"/>
      <c r="C323" s="16"/>
    </row>
    <row r="324" spans="2:3" ht="16.5" hidden="1" customHeight="1" x14ac:dyDescent="0.35">
      <c r="B324" s="16"/>
      <c r="C324" s="16"/>
    </row>
    <row r="325" spans="2:3" ht="16.5" hidden="1" customHeight="1" x14ac:dyDescent="0.35">
      <c r="B325" s="16"/>
      <c r="C325" s="16"/>
    </row>
    <row r="326" spans="2:3" ht="16.5" hidden="1" customHeight="1" x14ac:dyDescent="0.35">
      <c r="B326" s="16"/>
      <c r="C326" s="16"/>
    </row>
    <row r="327" spans="2:3" ht="16.5" hidden="1" customHeight="1" x14ac:dyDescent="0.35">
      <c r="B327" s="16"/>
      <c r="C327" s="16"/>
    </row>
    <row r="328" spans="2:3" ht="16.5" hidden="1" customHeight="1" x14ac:dyDescent="0.35">
      <c r="B328" s="16"/>
      <c r="C328" s="16"/>
    </row>
    <row r="329" spans="2:3" ht="16.5" hidden="1" customHeight="1" x14ac:dyDescent="0.35">
      <c r="B329" s="16"/>
      <c r="C329" s="16"/>
    </row>
    <row r="330" spans="2:3" ht="16.5" hidden="1" customHeight="1" x14ac:dyDescent="0.35">
      <c r="B330" s="16"/>
      <c r="C330" s="16"/>
    </row>
    <row r="331" spans="2:3" ht="16.5" hidden="1" customHeight="1" x14ac:dyDescent="0.35">
      <c r="B331" s="16"/>
      <c r="C331" s="16"/>
    </row>
    <row r="332" spans="2:3" ht="16.5" hidden="1" customHeight="1" x14ac:dyDescent="0.35">
      <c r="B332" s="16"/>
      <c r="C332" s="16"/>
    </row>
    <row r="333" spans="2:3" ht="16.5" hidden="1" customHeight="1" x14ac:dyDescent="0.35">
      <c r="B333" s="16"/>
      <c r="C333" s="16"/>
    </row>
    <row r="334" spans="2:3" ht="16.5" hidden="1" customHeight="1" x14ac:dyDescent="0.35">
      <c r="B334" s="16"/>
      <c r="C334" s="16"/>
    </row>
    <row r="335" spans="2:3" ht="16.5" hidden="1" customHeight="1" x14ac:dyDescent="0.35">
      <c r="B335" s="16"/>
      <c r="C335" s="16"/>
    </row>
    <row r="336" spans="2:3" ht="16.5" hidden="1" customHeight="1" x14ac:dyDescent="0.35">
      <c r="B336" s="16"/>
      <c r="C336" s="16"/>
    </row>
    <row r="337" spans="2:3" ht="16.5" hidden="1" customHeight="1" x14ac:dyDescent="0.35">
      <c r="B337" s="16"/>
      <c r="C337" s="16"/>
    </row>
    <row r="338" spans="2:3" ht="16.5" hidden="1" customHeight="1" x14ac:dyDescent="0.35">
      <c r="B338" s="16"/>
      <c r="C338" s="16"/>
    </row>
    <row r="339" spans="2:3" ht="16.5" hidden="1" customHeight="1" x14ac:dyDescent="0.35">
      <c r="B339" s="16"/>
      <c r="C339" s="16"/>
    </row>
    <row r="340" spans="2:3" ht="16.5" hidden="1" customHeight="1" x14ac:dyDescent="0.35">
      <c r="B340" s="16"/>
      <c r="C340" s="16"/>
    </row>
    <row r="341" spans="2:3" ht="16.5" hidden="1" customHeight="1" x14ac:dyDescent="0.35">
      <c r="B341" s="16"/>
      <c r="C341" s="16"/>
    </row>
    <row r="342" spans="2:3" ht="16.5" hidden="1" customHeight="1" x14ac:dyDescent="0.35">
      <c r="B342" s="16"/>
      <c r="C342" s="16"/>
    </row>
    <row r="343" spans="2:3" ht="16.5" hidden="1" customHeight="1" x14ac:dyDescent="0.35">
      <c r="B343" s="16"/>
      <c r="C343" s="16"/>
    </row>
    <row r="344" spans="2:3" ht="16.5" hidden="1" customHeight="1" x14ac:dyDescent="0.35">
      <c r="B344" s="16"/>
      <c r="C344" s="16"/>
    </row>
    <row r="345" spans="2:3" ht="16.5" hidden="1" customHeight="1" x14ac:dyDescent="0.35">
      <c r="B345" s="16"/>
      <c r="C345" s="16"/>
    </row>
    <row r="346" spans="2:3" ht="16.5" hidden="1" customHeight="1" x14ac:dyDescent="0.35">
      <c r="B346" s="16"/>
      <c r="C346" s="16"/>
    </row>
    <row r="347" spans="2:3" ht="16.5" hidden="1" customHeight="1" x14ac:dyDescent="0.35">
      <c r="B347" s="16"/>
      <c r="C347" s="16"/>
    </row>
    <row r="348" spans="2:3" ht="16.5" hidden="1" customHeight="1" x14ac:dyDescent="0.35">
      <c r="B348" s="16"/>
      <c r="C348" s="16"/>
    </row>
    <row r="349" spans="2:3" ht="16.5" hidden="1" customHeight="1" x14ac:dyDescent="0.35">
      <c r="B349" s="16"/>
      <c r="C349" s="16"/>
    </row>
    <row r="350" spans="2:3" ht="16.5" hidden="1" customHeight="1" x14ac:dyDescent="0.35">
      <c r="B350" s="16"/>
      <c r="C350" s="16"/>
    </row>
    <row r="351" spans="2:3" ht="16.5" hidden="1" customHeight="1" x14ac:dyDescent="0.35">
      <c r="B351" s="16"/>
      <c r="C351" s="16"/>
    </row>
    <row r="352" spans="2:3" ht="16.5" hidden="1" customHeight="1" x14ac:dyDescent="0.35">
      <c r="B352" s="16"/>
      <c r="C352" s="16"/>
    </row>
    <row r="353" spans="2:3" ht="16.5" hidden="1" customHeight="1" x14ac:dyDescent="0.35">
      <c r="B353" s="16"/>
      <c r="C353" s="16"/>
    </row>
    <row r="354" spans="2:3" ht="16.5" hidden="1" customHeight="1" x14ac:dyDescent="0.35">
      <c r="B354" s="16"/>
      <c r="C354" s="16"/>
    </row>
    <row r="355" spans="2:3" ht="16.5" hidden="1" customHeight="1" x14ac:dyDescent="0.35">
      <c r="B355" s="16"/>
      <c r="C355" s="16"/>
    </row>
    <row r="356" spans="2:3" ht="16.5" hidden="1" customHeight="1" x14ac:dyDescent="0.35">
      <c r="B356" s="16"/>
      <c r="C356" s="16"/>
    </row>
    <row r="357" spans="2:3" ht="16.5" hidden="1" customHeight="1" x14ac:dyDescent="0.35">
      <c r="B357" s="16"/>
      <c r="C357" s="16"/>
    </row>
    <row r="358" spans="2:3" ht="16.5" hidden="1" customHeight="1" x14ac:dyDescent="0.35">
      <c r="B358" s="16"/>
      <c r="C358" s="16"/>
    </row>
    <row r="359" spans="2:3" ht="16.5" hidden="1" customHeight="1" x14ac:dyDescent="0.35">
      <c r="B359" s="16"/>
      <c r="C359" s="16"/>
    </row>
    <row r="360" spans="2:3" ht="16.5" hidden="1" customHeight="1" x14ac:dyDescent="0.35">
      <c r="B360" s="16"/>
      <c r="C360" s="16"/>
    </row>
    <row r="361" spans="2:3" ht="16.5" hidden="1" customHeight="1" x14ac:dyDescent="0.35">
      <c r="B361" s="16"/>
      <c r="C361" s="16"/>
    </row>
    <row r="362" spans="2:3" ht="16.5" hidden="1" customHeight="1" x14ac:dyDescent="0.35">
      <c r="B362" s="16"/>
      <c r="C362" s="16"/>
    </row>
    <row r="363" spans="2:3" ht="16.5" hidden="1" customHeight="1" x14ac:dyDescent="0.35">
      <c r="B363" s="16"/>
      <c r="C363" s="16"/>
    </row>
    <row r="364" spans="2:3" ht="16.5" hidden="1" customHeight="1" x14ac:dyDescent="0.35">
      <c r="B364" s="16"/>
      <c r="C364" s="16"/>
    </row>
    <row r="365" spans="2:3" ht="16.5" hidden="1" customHeight="1" x14ac:dyDescent="0.35">
      <c r="B365" s="16"/>
      <c r="C365" s="16"/>
    </row>
    <row r="366" spans="2:3" ht="16.5" hidden="1" customHeight="1" x14ac:dyDescent="0.35">
      <c r="B366" s="16"/>
      <c r="C366" s="16"/>
    </row>
    <row r="367" spans="2:3" ht="16.5" hidden="1" customHeight="1" x14ac:dyDescent="0.35">
      <c r="B367" s="16"/>
      <c r="C367" s="16"/>
    </row>
    <row r="368" spans="2:3" ht="16.5" hidden="1" customHeight="1" x14ac:dyDescent="0.35">
      <c r="B368" s="16"/>
      <c r="C368" s="16"/>
    </row>
    <row r="369" spans="2:3" ht="16.5" hidden="1" customHeight="1" x14ac:dyDescent="0.35">
      <c r="B369" s="16"/>
      <c r="C369" s="16"/>
    </row>
    <row r="370" spans="2:3" ht="16.5" hidden="1" customHeight="1" x14ac:dyDescent="0.35">
      <c r="B370" s="16"/>
      <c r="C370" s="16"/>
    </row>
    <row r="371" spans="2:3" ht="16.5" hidden="1" customHeight="1" x14ac:dyDescent="0.35">
      <c r="B371" s="16"/>
      <c r="C371" s="16"/>
    </row>
    <row r="372" spans="2:3" ht="16.5" hidden="1" customHeight="1" x14ac:dyDescent="0.35">
      <c r="B372" s="16"/>
      <c r="C372" s="16"/>
    </row>
    <row r="373" spans="2:3" ht="16.5" hidden="1" customHeight="1" x14ac:dyDescent="0.35">
      <c r="B373" s="16"/>
      <c r="C373" s="16"/>
    </row>
    <row r="374" spans="2:3" ht="16.5" hidden="1" customHeight="1" x14ac:dyDescent="0.35">
      <c r="B374" s="16"/>
      <c r="C374" s="16"/>
    </row>
    <row r="375" spans="2:3" ht="16.5" hidden="1" customHeight="1" x14ac:dyDescent="0.35">
      <c r="B375" s="16"/>
      <c r="C375" s="16"/>
    </row>
    <row r="376" spans="2:3" ht="16.5" hidden="1" customHeight="1" x14ac:dyDescent="0.35">
      <c r="B376" s="16"/>
      <c r="C376" s="16"/>
    </row>
    <row r="377" spans="2:3" ht="16.5" hidden="1" customHeight="1" x14ac:dyDescent="0.35">
      <c r="B377" s="16"/>
      <c r="C377" s="16"/>
    </row>
    <row r="378" spans="2:3" ht="16.5" hidden="1" customHeight="1" x14ac:dyDescent="0.35">
      <c r="B378" s="16"/>
      <c r="C378" s="16"/>
    </row>
    <row r="379" spans="2:3" ht="16.5" hidden="1" customHeight="1" x14ac:dyDescent="0.35">
      <c r="B379" s="16"/>
      <c r="C379" s="16"/>
    </row>
    <row r="380" spans="2:3" ht="16.5" hidden="1" customHeight="1" x14ac:dyDescent="0.35">
      <c r="B380" s="16"/>
      <c r="C380" s="16"/>
    </row>
    <row r="381" spans="2:3" ht="16.5" hidden="1" customHeight="1" x14ac:dyDescent="0.35">
      <c r="B381" s="16"/>
      <c r="C381" s="16"/>
    </row>
    <row r="382" spans="2:3" ht="16.5" hidden="1" customHeight="1" x14ac:dyDescent="0.35">
      <c r="B382" s="16"/>
      <c r="C382" s="16"/>
    </row>
    <row r="383" spans="2:3" ht="16.5" hidden="1" customHeight="1" x14ac:dyDescent="0.35">
      <c r="B383" s="16"/>
      <c r="C383" s="16"/>
    </row>
    <row r="384" spans="2:3" ht="16.5" hidden="1" customHeight="1" x14ac:dyDescent="0.35">
      <c r="B384" s="16"/>
      <c r="C384" s="16"/>
    </row>
    <row r="385" spans="2:3" ht="16.5" hidden="1" customHeight="1" x14ac:dyDescent="0.35">
      <c r="B385" s="16"/>
      <c r="C385" s="16"/>
    </row>
    <row r="386" spans="2:3" ht="16.5" hidden="1" customHeight="1" x14ac:dyDescent="0.35">
      <c r="B386" s="16"/>
      <c r="C386" s="16"/>
    </row>
    <row r="387" spans="2:3" ht="16.5" hidden="1" customHeight="1" x14ac:dyDescent="0.35">
      <c r="B387" s="16"/>
      <c r="C387" s="16"/>
    </row>
    <row r="388" spans="2:3" ht="16.5" hidden="1" customHeight="1" x14ac:dyDescent="0.35">
      <c r="B388" s="16"/>
      <c r="C388" s="16"/>
    </row>
    <row r="389" spans="2:3" ht="16.5" hidden="1" customHeight="1" x14ac:dyDescent="0.35">
      <c r="B389" s="16"/>
      <c r="C389" s="16"/>
    </row>
    <row r="390" spans="2:3" ht="16.5" hidden="1" customHeight="1" x14ac:dyDescent="0.35">
      <c r="B390" s="16"/>
      <c r="C390" s="16"/>
    </row>
    <row r="391" spans="2:3" ht="16.5" hidden="1" customHeight="1" x14ac:dyDescent="0.35">
      <c r="B391" s="16"/>
      <c r="C391" s="16"/>
    </row>
    <row r="392" spans="2:3" ht="16.5" hidden="1" customHeight="1" x14ac:dyDescent="0.35">
      <c r="B392" s="16"/>
      <c r="C392" s="16"/>
    </row>
    <row r="393" spans="2:3" ht="16.5" hidden="1" customHeight="1" x14ac:dyDescent="0.35">
      <c r="B393" s="16"/>
      <c r="C393" s="16"/>
    </row>
    <row r="394" spans="2:3" ht="16.5" hidden="1" customHeight="1" x14ac:dyDescent="0.35">
      <c r="B394" s="16"/>
      <c r="C394" s="16"/>
    </row>
    <row r="395" spans="2:3" ht="16.5" hidden="1" customHeight="1" x14ac:dyDescent="0.35">
      <c r="B395" s="16"/>
      <c r="C395" s="16"/>
    </row>
    <row r="396" spans="2:3" ht="16.5" hidden="1" customHeight="1" x14ac:dyDescent="0.35">
      <c r="B396" s="16"/>
      <c r="C396" s="16"/>
    </row>
    <row r="397" spans="2:3" ht="16.5" hidden="1" customHeight="1" x14ac:dyDescent="0.35">
      <c r="B397" s="16"/>
      <c r="C397" s="16"/>
    </row>
    <row r="398" spans="2:3" ht="16.5" hidden="1" customHeight="1" x14ac:dyDescent="0.35">
      <c r="B398" s="16"/>
      <c r="C398" s="16"/>
    </row>
    <row r="399" spans="2:3" ht="16.5" hidden="1" customHeight="1" x14ac:dyDescent="0.35">
      <c r="B399" s="16"/>
      <c r="C399" s="16"/>
    </row>
    <row r="400" spans="2:3" ht="16.5" hidden="1" customHeight="1" x14ac:dyDescent="0.35">
      <c r="B400" s="16"/>
      <c r="C400" s="16"/>
    </row>
    <row r="401" spans="2:3" ht="16.5" hidden="1" customHeight="1" x14ac:dyDescent="0.35">
      <c r="B401" s="16"/>
      <c r="C401" s="16"/>
    </row>
    <row r="402" spans="2:3" ht="16.5" hidden="1" customHeight="1" x14ac:dyDescent="0.35">
      <c r="B402" s="16"/>
      <c r="C402" s="16"/>
    </row>
    <row r="403" spans="2:3" ht="16.5" hidden="1" customHeight="1" x14ac:dyDescent="0.35">
      <c r="B403" s="16"/>
      <c r="C403" s="16"/>
    </row>
    <row r="404" spans="2:3" ht="16.5" hidden="1" customHeight="1" x14ac:dyDescent="0.35">
      <c r="B404" s="16"/>
      <c r="C404" s="16"/>
    </row>
    <row r="405" spans="2:3" ht="16.5" hidden="1" customHeight="1" x14ac:dyDescent="0.35">
      <c r="B405" s="16"/>
      <c r="C405" s="16"/>
    </row>
    <row r="406" spans="2:3" ht="16.5" hidden="1" customHeight="1" x14ac:dyDescent="0.35">
      <c r="B406" s="16"/>
      <c r="C406" s="16"/>
    </row>
    <row r="407" spans="2:3" ht="16.5" hidden="1" customHeight="1" x14ac:dyDescent="0.35">
      <c r="B407" s="16"/>
      <c r="C407" s="16"/>
    </row>
    <row r="408" spans="2:3" ht="16.5" hidden="1" customHeight="1" x14ac:dyDescent="0.35">
      <c r="B408" s="16"/>
      <c r="C408" s="16"/>
    </row>
    <row r="409" spans="2:3" ht="16.5" hidden="1" customHeight="1" x14ac:dyDescent="0.35">
      <c r="B409" s="16"/>
      <c r="C409" s="16"/>
    </row>
    <row r="410" spans="2:3" ht="16.5" hidden="1" customHeight="1" x14ac:dyDescent="0.35">
      <c r="B410" s="16"/>
      <c r="C410" s="16"/>
    </row>
    <row r="411" spans="2:3" ht="16.5" hidden="1" customHeight="1" x14ac:dyDescent="0.35">
      <c r="B411" s="16"/>
      <c r="C411" s="16"/>
    </row>
    <row r="412" spans="2:3" ht="16.5" hidden="1" customHeight="1" x14ac:dyDescent="0.35">
      <c r="B412" s="16"/>
      <c r="C412" s="16"/>
    </row>
    <row r="413" spans="2:3" ht="16.5" hidden="1" customHeight="1" x14ac:dyDescent="0.35">
      <c r="B413" s="16"/>
      <c r="C413" s="16"/>
    </row>
    <row r="414" spans="2:3" ht="16.5" hidden="1" customHeight="1" x14ac:dyDescent="0.35">
      <c r="B414" s="16"/>
      <c r="C414" s="16"/>
    </row>
    <row r="415" spans="2:3" ht="16.5" hidden="1" customHeight="1" x14ac:dyDescent="0.35">
      <c r="B415" s="16"/>
      <c r="C415" s="16"/>
    </row>
    <row r="416" spans="2:3" ht="16.5" hidden="1" customHeight="1" x14ac:dyDescent="0.35">
      <c r="B416" s="16"/>
      <c r="C416" s="16"/>
    </row>
    <row r="417" spans="2:3" ht="16.5" hidden="1" customHeight="1" x14ac:dyDescent="0.35">
      <c r="B417" s="16"/>
      <c r="C417" s="16"/>
    </row>
    <row r="418" spans="2:3" ht="16.5" hidden="1" customHeight="1" x14ac:dyDescent="0.35">
      <c r="B418" s="16"/>
      <c r="C418" s="16"/>
    </row>
    <row r="419" spans="2:3" ht="16.5" hidden="1" customHeight="1" x14ac:dyDescent="0.35">
      <c r="B419" s="16"/>
      <c r="C419" s="16"/>
    </row>
    <row r="420" spans="2:3" ht="16.5" hidden="1" customHeight="1" x14ac:dyDescent="0.35">
      <c r="B420" s="16"/>
      <c r="C420" s="16"/>
    </row>
    <row r="421" spans="2:3" ht="16.5" hidden="1" customHeight="1" x14ac:dyDescent="0.35">
      <c r="B421" s="16"/>
      <c r="C421" s="16"/>
    </row>
    <row r="422" spans="2:3" ht="16.5" hidden="1" customHeight="1" x14ac:dyDescent="0.35">
      <c r="B422" s="16"/>
      <c r="C422" s="16"/>
    </row>
    <row r="423" spans="2:3" ht="16.5" hidden="1" customHeight="1" x14ac:dyDescent="0.35">
      <c r="B423" s="16"/>
      <c r="C423" s="16"/>
    </row>
    <row r="424" spans="2:3" ht="16.5" hidden="1" customHeight="1" x14ac:dyDescent="0.35">
      <c r="B424" s="16"/>
      <c r="C424" s="16"/>
    </row>
    <row r="425" spans="2:3" ht="16.5" hidden="1" customHeight="1" x14ac:dyDescent="0.35">
      <c r="B425" s="16"/>
      <c r="C425" s="16"/>
    </row>
    <row r="426" spans="2:3" ht="16.5" hidden="1" customHeight="1" x14ac:dyDescent="0.35">
      <c r="B426" s="16"/>
      <c r="C426" s="16"/>
    </row>
    <row r="427" spans="2:3" ht="16.5" hidden="1" customHeight="1" x14ac:dyDescent="0.35">
      <c r="B427" s="16"/>
      <c r="C427" s="16"/>
    </row>
    <row r="428" spans="2:3" ht="16.5" hidden="1" customHeight="1" x14ac:dyDescent="0.35">
      <c r="B428" s="16"/>
      <c r="C428" s="16"/>
    </row>
    <row r="429" spans="2:3" ht="16.5" hidden="1" customHeight="1" x14ac:dyDescent="0.35">
      <c r="B429" s="16"/>
      <c r="C429" s="16"/>
    </row>
    <row r="430" spans="2:3" ht="16.5" hidden="1" customHeight="1" x14ac:dyDescent="0.35">
      <c r="B430" s="16"/>
      <c r="C430" s="16"/>
    </row>
    <row r="431" spans="2:3" ht="16.5" hidden="1" customHeight="1" x14ac:dyDescent="0.35">
      <c r="B431" s="16"/>
      <c r="C431" s="16"/>
    </row>
    <row r="432" spans="2:3" ht="16.5" hidden="1" customHeight="1" x14ac:dyDescent="0.35">
      <c r="B432" s="16"/>
      <c r="C432" s="16"/>
    </row>
    <row r="433" spans="2:3" ht="16.5" hidden="1" customHeight="1" x14ac:dyDescent="0.35">
      <c r="B433" s="16"/>
      <c r="C433" s="16"/>
    </row>
    <row r="434" spans="2:3" ht="16.5" hidden="1" customHeight="1" x14ac:dyDescent="0.35">
      <c r="B434" s="16"/>
      <c r="C434" s="16"/>
    </row>
    <row r="435" spans="2:3" ht="16.5" hidden="1" customHeight="1" x14ac:dyDescent="0.35">
      <c r="B435" s="16"/>
      <c r="C435" s="16"/>
    </row>
    <row r="436" spans="2:3" ht="16.5" hidden="1" customHeight="1" x14ac:dyDescent="0.35">
      <c r="B436" s="16"/>
      <c r="C436" s="16"/>
    </row>
    <row r="437" spans="2:3" ht="16.5" hidden="1" customHeight="1" x14ac:dyDescent="0.35">
      <c r="B437" s="16"/>
      <c r="C437" s="16"/>
    </row>
    <row r="438" spans="2:3" ht="16.5" hidden="1" customHeight="1" x14ac:dyDescent="0.35">
      <c r="B438" s="16"/>
      <c r="C438" s="16"/>
    </row>
    <row r="439" spans="2:3" ht="16.5" hidden="1" customHeight="1" x14ac:dyDescent="0.35">
      <c r="B439" s="16"/>
      <c r="C439" s="16"/>
    </row>
    <row r="440" spans="2:3" ht="16.5" hidden="1" customHeight="1" x14ac:dyDescent="0.35">
      <c r="B440" s="16"/>
      <c r="C440" s="16"/>
    </row>
    <row r="441" spans="2:3" ht="16.5" hidden="1" customHeight="1" x14ac:dyDescent="0.35">
      <c r="B441" s="16"/>
      <c r="C441" s="16"/>
    </row>
    <row r="442" spans="2:3" ht="16.5" hidden="1" customHeight="1" x14ac:dyDescent="0.35">
      <c r="B442" s="16"/>
      <c r="C442" s="16"/>
    </row>
    <row r="443" spans="2:3" ht="16.5" hidden="1" customHeight="1" x14ac:dyDescent="0.35">
      <c r="B443" s="16"/>
      <c r="C443" s="16"/>
    </row>
    <row r="444" spans="2:3" ht="16.5" hidden="1" customHeight="1" x14ac:dyDescent="0.35">
      <c r="B444" s="16"/>
      <c r="C444" s="16"/>
    </row>
    <row r="445" spans="2:3" ht="16.5" hidden="1" customHeight="1" x14ac:dyDescent="0.35">
      <c r="B445" s="16"/>
      <c r="C445" s="16"/>
    </row>
    <row r="446" spans="2:3" ht="16.5" hidden="1" customHeight="1" x14ac:dyDescent="0.35">
      <c r="B446" s="16"/>
      <c r="C446" s="16"/>
    </row>
    <row r="447" spans="2:3" ht="16.5" hidden="1" customHeight="1" x14ac:dyDescent="0.35">
      <c r="B447" s="16"/>
      <c r="C447" s="16"/>
    </row>
    <row r="448" spans="2:3" ht="16.5" hidden="1" customHeight="1" x14ac:dyDescent="0.35">
      <c r="B448" s="16"/>
      <c r="C448" s="16"/>
    </row>
    <row r="449" spans="2:3" ht="16.5" hidden="1" customHeight="1" x14ac:dyDescent="0.35">
      <c r="B449" s="16"/>
      <c r="C449" s="16"/>
    </row>
    <row r="450" spans="2:3" ht="16.5" hidden="1" customHeight="1" x14ac:dyDescent="0.35">
      <c r="B450" s="16"/>
      <c r="C450" s="16"/>
    </row>
    <row r="451" spans="2:3" ht="16.5" hidden="1" customHeight="1" x14ac:dyDescent="0.35">
      <c r="B451" s="16"/>
      <c r="C451" s="16"/>
    </row>
    <row r="452" spans="2:3" ht="16.5" hidden="1" customHeight="1" x14ac:dyDescent="0.35">
      <c r="B452" s="16"/>
      <c r="C452" s="16"/>
    </row>
    <row r="453" spans="2:3" ht="16.5" hidden="1" customHeight="1" x14ac:dyDescent="0.35">
      <c r="B453" s="16"/>
      <c r="C453" s="16"/>
    </row>
    <row r="454" spans="2:3" ht="16.5" hidden="1" customHeight="1" x14ac:dyDescent="0.35">
      <c r="B454" s="16"/>
      <c r="C454" s="16"/>
    </row>
    <row r="455" spans="2:3" ht="16.5" hidden="1" customHeight="1" x14ac:dyDescent="0.35">
      <c r="B455" s="16"/>
      <c r="C455" s="16"/>
    </row>
    <row r="456" spans="2:3" ht="16.5" hidden="1" customHeight="1" x14ac:dyDescent="0.35">
      <c r="B456" s="16"/>
      <c r="C456" s="16"/>
    </row>
    <row r="457" spans="2:3" ht="16.5" hidden="1" customHeight="1" x14ac:dyDescent="0.35">
      <c r="B457" s="16"/>
      <c r="C457" s="16"/>
    </row>
    <row r="458" spans="2:3" ht="16.5" hidden="1" customHeight="1" x14ac:dyDescent="0.35">
      <c r="B458" s="16"/>
      <c r="C458" s="16"/>
    </row>
    <row r="459" spans="2:3" ht="16.5" hidden="1" customHeight="1" x14ac:dyDescent="0.35">
      <c r="B459" s="16"/>
      <c r="C459" s="16"/>
    </row>
    <row r="460" spans="2:3" ht="16.5" hidden="1" customHeight="1" x14ac:dyDescent="0.35">
      <c r="B460" s="16"/>
      <c r="C460" s="16"/>
    </row>
    <row r="461" spans="2:3" ht="16.5" hidden="1" customHeight="1" x14ac:dyDescent="0.35">
      <c r="B461" s="16"/>
      <c r="C461" s="16"/>
    </row>
    <row r="462" spans="2:3" ht="16.5" hidden="1" customHeight="1" x14ac:dyDescent="0.35">
      <c r="B462" s="16"/>
      <c r="C462" s="16"/>
    </row>
    <row r="463" spans="2:3" ht="16.5" hidden="1" customHeight="1" x14ac:dyDescent="0.35">
      <c r="B463" s="16"/>
      <c r="C463" s="16"/>
    </row>
    <row r="464" spans="2:3" ht="16.5" hidden="1" customHeight="1" x14ac:dyDescent="0.35">
      <c r="B464" s="16"/>
      <c r="C464" s="16"/>
    </row>
    <row r="465" spans="2:3" ht="16.5" hidden="1" customHeight="1" x14ac:dyDescent="0.35">
      <c r="B465" s="16"/>
      <c r="C465" s="16"/>
    </row>
    <row r="466" spans="2:3" ht="16.5" hidden="1" customHeight="1" x14ac:dyDescent="0.35">
      <c r="B466" s="16"/>
      <c r="C466" s="16"/>
    </row>
    <row r="467" spans="2:3" ht="16.5" hidden="1" customHeight="1" x14ac:dyDescent="0.35">
      <c r="B467" s="16"/>
      <c r="C467" s="16"/>
    </row>
    <row r="468" spans="2:3" ht="16.5" hidden="1" customHeight="1" x14ac:dyDescent="0.35">
      <c r="B468" s="16"/>
      <c r="C468" s="16"/>
    </row>
    <row r="469" spans="2:3" ht="16.5" hidden="1" customHeight="1" x14ac:dyDescent="0.35">
      <c r="B469" s="16"/>
      <c r="C469" s="16"/>
    </row>
    <row r="470" spans="2:3" ht="16.5" hidden="1" customHeight="1" x14ac:dyDescent="0.35">
      <c r="B470" s="16"/>
      <c r="C470" s="16"/>
    </row>
    <row r="471" spans="2:3" ht="16.5" hidden="1" customHeight="1" x14ac:dyDescent="0.35">
      <c r="B471" s="16"/>
      <c r="C471" s="16"/>
    </row>
    <row r="472" spans="2:3" ht="16.5" hidden="1" customHeight="1" x14ac:dyDescent="0.35">
      <c r="B472" s="16"/>
      <c r="C472" s="16"/>
    </row>
    <row r="473" spans="2:3" ht="16.5" hidden="1" customHeight="1" x14ac:dyDescent="0.35">
      <c r="B473" s="16"/>
      <c r="C473" s="16"/>
    </row>
    <row r="474" spans="2:3" ht="16.5" hidden="1" customHeight="1" x14ac:dyDescent="0.35">
      <c r="B474" s="16"/>
      <c r="C474" s="16"/>
    </row>
    <row r="475" spans="2:3" ht="16.5" hidden="1" customHeight="1" x14ac:dyDescent="0.35">
      <c r="B475" s="16"/>
      <c r="C475" s="16"/>
    </row>
    <row r="476" spans="2:3" ht="16.5" hidden="1" customHeight="1" x14ac:dyDescent="0.35">
      <c r="B476" s="16"/>
      <c r="C476" s="16"/>
    </row>
    <row r="477" spans="2:3" ht="16.5" hidden="1" customHeight="1" x14ac:dyDescent="0.35">
      <c r="B477" s="16"/>
      <c r="C477" s="16"/>
    </row>
    <row r="478" spans="2:3" ht="16.5" hidden="1" customHeight="1" x14ac:dyDescent="0.35">
      <c r="B478" s="16"/>
      <c r="C478" s="16"/>
    </row>
    <row r="479" spans="2:3" ht="16.5" hidden="1" customHeight="1" x14ac:dyDescent="0.35">
      <c r="B479" s="16"/>
      <c r="C479" s="16"/>
    </row>
    <row r="480" spans="2:3" ht="16.5" hidden="1" customHeight="1" x14ac:dyDescent="0.35">
      <c r="B480" s="16"/>
      <c r="C480" s="16"/>
    </row>
    <row r="481" spans="2:3" ht="16.5" hidden="1" customHeight="1" x14ac:dyDescent="0.35">
      <c r="B481" s="16"/>
      <c r="C481" s="16"/>
    </row>
    <row r="482" spans="2:3" ht="16.5" hidden="1" customHeight="1" x14ac:dyDescent="0.35">
      <c r="B482" s="16"/>
      <c r="C482" s="16"/>
    </row>
    <row r="483" spans="2:3" ht="16.5" hidden="1" customHeight="1" x14ac:dyDescent="0.35">
      <c r="B483" s="16"/>
      <c r="C483" s="16"/>
    </row>
    <row r="484" spans="2:3" ht="16.5" hidden="1" customHeight="1" x14ac:dyDescent="0.35">
      <c r="B484" s="16"/>
      <c r="C484" s="16"/>
    </row>
    <row r="485" spans="2:3" ht="16.5" hidden="1" customHeight="1" x14ac:dyDescent="0.35">
      <c r="B485" s="16"/>
      <c r="C485" s="16"/>
    </row>
    <row r="486" spans="2:3" ht="16.5" hidden="1" customHeight="1" x14ac:dyDescent="0.35">
      <c r="B486" s="16"/>
      <c r="C486" s="16"/>
    </row>
    <row r="487" spans="2:3" ht="16.5" hidden="1" customHeight="1" x14ac:dyDescent="0.35">
      <c r="B487" s="16"/>
      <c r="C487" s="16"/>
    </row>
    <row r="488" spans="2:3" ht="16.5" hidden="1" customHeight="1" x14ac:dyDescent="0.35">
      <c r="B488" s="16"/>
      <c r="C488" s="16"/>
    </row>
    <row r="489" spans="2:3" ht="16.5" hidden="1" customHeight="1" x14ac:dyDescent="0.35">
      <c r="B489" s="16"/>
      <c r="C489" s="16"/>
    </row>
    <row r="490" spans="2:3" ht="16.5" hidden="1" customHeight="1" x14ac:dyDescent="0.35">
      <c r="B490" s="16"/>
      <c r="C490" s="16"/>
    </row>
    <row r="491" spans="2:3" ht="16.5" hidden="1" customHeight="1" x14ac:dyDescent="0.35">
      <c r="B491" s="16"/>
      <c r="C491" s="16"/>
    </row>
    <row r="492" spans="2:3" ht="16.5" hidden="1" customHeight="1" x14ac:dyDescent="0.35">
      <c r="B492" s="16"/>
      <c r="C492" s="16"/>
    </row>
    <row r="493" spans="2:3" ht="16.5" hidden="1" customHeight="1" x14ac:dyDescent="0.35">
      <c r="B493" s="16"/>
      <c r="C493" s="16"/>
    </row>
    <row r="494" spans="2:3" ht="16.5" hidden="1" customHeight="1" x14ac:dyDescent="0.35">
      <c r="B494" s="16"/>
      <c r="C494" s="16"/>
    </row>
    <row r="495" spans="2:3" ht="16.5" hidden="1" customHeight="1" x14ac:dyDescent="0.35">
      <c r="B495" s="16"/>
      <c r="C495" s="16"/>
    </row>
    <row r="496" spans="2:3" ht="16.5" hidden="1" customHeight="1" x14ac:dyDescent="0.35">
      <c r="B496" s="16"/>
      <c r="C496" s="16"/>
    </row>
    <row r="497" spans="2:3" ht="16.5" hidden="1" customHeight="1" x14ac:dyDescent="0.35">
      <c r="B497" s="16"/>
      <c r="C497" s="16"/>
    </row>
    <row r="498" spans="2:3" ht="16.5" hidden="1" customHeight="1" x14ac:dyDescent="0.35">
      <c r="B498" s="16"/>
      <c r="C498" s="16"/>
    </row>
    <row r="499" spans="2:3" ht="16.5" hidden="1" customHeight="1" x14ac:dyDescent="0.35">
      <c r="B499" s="16"/>
      <c r="C499" s="16"/>
    </row>
    <row r="500" spans="2:3" ht="16.5" hidden="1" customHeight="1" x14ac:dyDescent="0.35">
      <c r="B500" s="16"/>
      <c r="C500" s="16"/>
    </row>
    <row r="501" spans="2:3" ht="16.5" hidden="1" customHeight="1" x14ac:dyDescent="0.35">
      <c r="B501" s="16"/>
      <c r="C501" s="16"/>
    </row>
    <row r="502" spans="2:3" ht="16.5" hidden="1" customHeight="1" x14ac:dyDescent="0.35">
      <c r="B502" s="16"/>
      <c r="C502" s="16"/>
    </row>
    <row r="503" spans="2:3" ht="16.5" hidden="1" customHeight="1" x14ac:dyDescent="0.35">
      <c r="B503" s="16"/>
      <c r="C503" s="16"/>
    </row>
    <row r="504" spans="2:3" ht="16.5" hidden="1" customHeight="1" x14ac:dyDescent="0.35">
      <c r="B504" s="16"/>
      <c r="C504" s="16"/>
    </row>
    <row r="505" spans="2:3" ht="16.5" hidden="1" customHeight="1" x14ac:dyDescent="0.35">
      <c r="B505" s="16"/>
      <c r="C505" s="16"/>
    </row>
    <row r="506" spans="2:3" ht="16.5" hidden="1" customHeight="1" x14ac:dyDescent="0.35">
      <c r="B506" s="16"/>
      <c r="C506" s="16"/>
    </row>
    <row r="507" spans="2:3" ht="16.5" hidden="1" customHeight="1" x14ac:dyDescent="0.35">
      <c r="B507" s="16"/>
      <c r="C507" s="16"/>
    </row>
    <row r="508" spans="2:3" ht="16.5" hidden="1" customHeight="1" x14ac:dyDescent="0.35">
      <c r="B508" s="16"/>
      <c r="C508" s="16"/>
    </row>
    <row r="509" spans="2:3" ht="16.5" hidden="1" customHeight="1" x14ac:dyDescent="0.35">
      <c r="B509" s="16"/>
      <c r="C509" s="16"/>
    </row>
    <row r="510" spans="2:3" ht="16.5" hidden="1" customHeight="1" x14ac:dyDescent="0.35">
      <c r="B510" s="16"/>
      <c r="C510" s="16"/>
    </row>
    <row r="511" spans="2:3" ht="16.5" hidden="1" customHeight="1" x14ac:dyDescent="0.35">
      <c r="B511" s="16"/>
      <c r="C511" s="16"/>
    </row>
    <row r="512" spans="2:3" ht="16.5" hidden="1" customHeight="1" x14ac:dyDescent="0.35">
      <c r="B512" s="16"/>
      <c r="C512" s="16"/>
    </row>
    <row r="513" spans="2:3" ht="16.5" hidden="1" customHeight="1" x14ac:dyDescent="0.35">
      <c r="B513" s="16"/>
      <c r="C513" s="16"/>
    </row>
    <row r="514" spans="2:3" ht="16.5" hidden="1" customHeight="1" x14ac:dyDescent="0.35">
      <c r="B514" s="16"/>
      <c r="C514" s="16"/>
    </row>
    <row r="515" spans="2:3" ht="16.5" hidden="1" customHeight="1" x14ac:dyDescent="0.35">
      <c r="B515" s="16"/>
      <c r="C515" s="16"/>
    </row>
    <row r="516" spans="2:3" ht="16.5" hidden="1" customHeight="1" x14ac:dyDescent="0.35">
      <c r="B516" s="16"/>
      <c r="C516" s="16"/>
    </row>
    <row r="517" spans="2:3" ht="16.5" hidden="1" customHeight="1" x14ac:dyDescent="0.35">
      <c r="B517" s="16"/>
      <c r="C517" s="16"/>
    </row>
    <row r="518" spans="2:3" ht="16.5" hidden="1" customHeight="1" x14ac:dyDescent="0.35">
      <c r="B518" s="16"/>
      <c r="C518" s="16"/>
    </row>
    <row r="519" spans="2:3" ht="16.5" hidden="1" customHeight="1" x14ac:dyDescent="0.35">
      <c r="B519" s="16"/>
      <c r="C519" s="16"/>
    </row>
    <row r="520" spans="2:3" ht="16.5" hidden="1" customHeight="1" x14ac:dyDescent="0.35">
      <c r="B520" s="16"/>
      <c r="C520" s="16"/>
    </row>
    <row r="521" spans="2:3" ht="16.5" hidden="1" customHeight="1" x14ac:dyDescent="0.35">
      <c r="B521" s="16"/>
      <c r="C521" s="16"/>
    </row>
    <row r="522" spans="2:3" ht="16.5" hidden="1" customHeight="1" x14ac:dyDescent="0.35">
      <c r="B522" s="16"/>
      <c r="C522" s="16"/>
    </row>
    <row r="523" spans="2:3" ht="16.5" hidden="1" customHeight="1" x14ac:dyDescent="0.35">
      <c r="B523" s="16"/>
      <c r="C523" s="16"/>
    </row>
    <row r="524" spans="2:3" ht="16.5" hidden="1" customHeight="1" x14ac:dyDescent="0.35">
      <c r="B524" s="16"/>
      <c r="C524" s="16"/>
    </row>
    <row r="525" spans="2:3" ht="16.5" hidden="1" customHeight="1" x14ac:dyDescent="0.35">
      <c r="B525" s="16"/>
      <c r="C525" s="16"/>
    </row>
    <row r="526" spans="2:3" ht="16.5" hidden="1" customHeight="1" x14ac:dyDescent="0.35">
      <c r="B526" s="16"/>
      <c r="C526" s="16"/>
    </row>
    <row r="527" spans="2:3" ht="16.5" hidden="1" customHeight="1" x14ac:dyDescent="0.35">
      <c r="B527" s="16"/>
      <c r="C527" s="16"/>
    </row>
    <row r="528" spans="2:3" ht="16.5" hidden="1" customHeight="1" x14ac:dyDescent="0.35">
      <c r="B528" s="16"/>
      <c r="C528" s="16"/>
    </row>
    <row r="529" spans="2:3" ht="16.5" hidden="1" customHeight="1" x14ac:dyDescent="0.35">
      <c r="B529" s="16"/>
      <c r="C529" s="16"/>
    </row>
    <row r="530" spans="2:3" ht="16.5" hidden="1" customHeight="1" x14ac:dyDescent="0.35">
      <c r="B530" s="16"/>
      <c r="C530" s="16"/>
    </row>
    <row r="531" spans="2:3" ht="16.5" hidden="1" customHeight="1" x14ac:dyDescent="0.35">
      <c r="B531" s="16"/>
      <c r="C531" s="16"/>
    </row>
    <row r="532" spans="2:3" ht="16.5" hidden="1" customHeight="1" x14ac:dyDescent="0.35">
      <c r="B532" s="16"/>
      <c r="C532" s="16"/>
    </row>
    <row r="533" spans="2:3" ht="16.5" hidden="1" customHeight="1" x14ac:dyDescent="0.35">
      <c r="B533" s="16"/>
      <c r="C533" s="16"/>
    </row>
    <row r="534" spans="2:3" ht="16.5" hidden="1" customHeight="1" x14ac:dyDescent="0.35">
      <c r="B534" s="16"/>
      <c r="C534" s="16"/>
    </row>
    <row r="535" spans="2:3" ht="16.5" hidden="1" customHeight="1" x14ac:dyDescent="0.35">
      <c r="B535" s="16"/>
      <c r="C535" s="16"/>
    </row>
    <row r="536" spans="2:3" ht="16.5" hidden="1" customHeight="1" x14ac:dyDescent="0.35">
      <c r="B536" s="16"/>
      <c r="C536" s="16"/>
    </row>
    <row r="537" spans="2:3" ht="16.5" hidden="1" customHeight="1" x14ac:dyDescent="0.35">
      <c r="B537" s="16"/>
      <c r="C537" s="16"/>
    </row>
    <row r="538" spans="2:3" ht="16.5" hidden="1" customHeight="1" x14ac:dyDescent="0.35">
      <c r="B538" s="16"/>
      <c r="C538" s="16"/>
    </row>
    <row r="539" spans="2:3" ht="16.5" hidden="1" customHeight="1" x14ac:dyDescent="0.35">
      <c r="B539" s="16"/>
      <c r="C539" s="16"/>
    </row>
    <row r="540" spans="2:3" ht="16.5" hidden="1" customHeight="1" x14ac:dyDescent="0.35">
      <c r="B540" s="16"/>
      <c r="C540" s="16"/>
    </row>
    <row r="541" spans="2:3" ht="16.5" hidden="1" customHeight="1" x14ac:dyDescent="0.35">
      <c r="B541" s="16"/>
      <c r="C541" s="16"/>
    </row>
    <row r="542" spans="2:3" ht="16.5" hidden="1" customHeight="1" x14ac:dyDescent="0.35">
      <c r="B542" s="16"/>
      <c r="C542" s="16"/>
    </row>
    <row r="543" spans="2:3" ht="16.5" hidden="1" customHeight="1" x14ac:dyDescent="0.35">
      <c r="B543" s="16"/>
      <c r="C543" s="16"/>
    </row>
    <row r="544" spans="2:3" ht="16.5" hidden="1" customHeight="1" x14ac:dyDescent="0.35">
      <c r="B544" s="16"/>
      <c r="C544" s="16"/>
    </row>
    <row r="545" spans="2:3" ht="16.5" hidden="1" customHeight="1" x14ac:dyDescent="0.35">
      <c r="B545" s="16"/>
      <c r="C545" s="16"/>
    </row>
    <row r="546" spans="2:3" ht="16.5" hidden="1" customHeight="1" x14ac:dyDescent="0.35">
      <c r="B546" s="16"/>
      <c r="C546" s="16"/>
    </row>
    <row r="547" spans="2:3" ht="16.5" hidden="1" customHeight="1" x14ac:dyDescent="0.35">
      <c r="B547" s="16"/>
      <c r="C547" s="16"/>
    </row>
    <row r="548" spans="2:3" ht="16.5" hidden="1" customHeight="1" x14ac:dyDescent="0.35">
      <c r="B548" s="16"/>
      <c r="C548" s="16"/>
    </row>
    <row r="549" spans="2:3" ht="16.5" hidden="1" customHeight="1" x14ac:dyDescent="0.35">
      <c r="B549" s="16"/>
      <c r="C549" s="16"/>
    </row>
    <row r="550" spans="2:3" ht="16.5" hidden="1" customHeight="1" x14ac:dyDescent="0.35">
      <c r="B550" s="16"/>
      <c r="C550" s="16"/>
    </row>
    <row r="551" spans="2:3" ht="16.5" hidden="1" customHeight="1" x14ac:dyDescent="0.35">
      <c r="B551" s="16"/>
      <c r="C551" s="16"/>
    </row>
    <row r="552" spans="2:3" ht="16.5" hidden="1" customHeight="1" x14ac:dyDescent="0.35">
      <c r="B552" s="16"/>
      <c r="C552" s="16"/>
    </row>
    <row r="553" spans="2:3" ht="16.5" hidden="1" customHeight="1" x14ac:dyDescent="0.35">
      <c r="B553" s="16"/>
      <c r="C553" s="16"/>
    </row>
    <row r="554" spans="2:3" ht="16.5" hidden="1" customHeight="1" x14ac:dyDescent="0.35"/>
    <row r="555" spans="2:3" ht="16.5" hidden="1" customHeight="1" x14ac:dyDescent="0.35"/>
    <row r="556" spans="2:3" ht="16.5" hidden="1" customHeight="1" x14ac:dyDescent="0.35"/>
    <row r="557" spans="2:3" ht="16.5" hidden="1" customHeight="1" x14ac:dyDescent="0.35"/>
    <row r="558" spans="2:3" ht="16.5" hidden="1" customHeight="1" x14ac:dyDescent="0.35"/>
    <row r="559" spans="2:3" ht="16.5" hidden="1" customHeight="1" x14ac:dyDescent="0.35"/>
    <row r="560" spans="2:3" ht="16.5" hidden="1" customHeight="1" x14ac:dyDescent="0.35"/>
    <row r="561" ht="16.5" hidden="1" customHeight="1" x14ac:dyDescent="0.35"/>
    <row r="562" ht="16.5" hidden="1" customHeight="1" x14ac:dyDescent="0.35"/>
    <row r="563" ht="16.5" hidden="1" customHeight="1" x14ac:dyDescent="0.35"/>
    <row r="564" ht="16.5" hidden="1" customHeight="1" x14ac:dyDescent="0.35"/>
  </sheetData>
  <sheetProtection algorithmName="SHA-512" hashValue="5UDCROxgyJIM+BZeNzJ/RtSIzeoJdTyB49YInyniBMn9Ge3ANzkFpaCoZ9iCzd/mtU26DwKbKvmph0wGdgpuFw==" saltValue="aZoDl+zfrdQUbq6Hl8BoTA==" spinCount="100000" sheet="1" objects="1" scenarios="1"/>
  <customSheetViews>
    <customSheetView guid="{8BDA793C-C9C5-4FC6-A0A5-F1109F6D4F22}" state="hidden">
      <selection activeCell="D14" sqref="D14"/>
    </customSheetView>
  </customSheetViews>
  <mergeCells count="3">
    <mergeCell ref="F1:J1"/>
    <mergeCell ref="K1:O1"/>
    <mergeCell ref="G10:O10"/>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AcroExch.Document.DC" shapeId="3077" r:id="rId4">
          <objectPr locked="0" defaultSize="0" r:id="rId5">
            <anchor moveWithCells="1">
              <from>
                <xdr:col>5</xdr:col>
                <xdr:colOff>590550</xdr:colOff>
                <xdr:row>10</xdr:row>
                <xdr:rowOff>203200</xdr:rowOff>
              </from>
              <to>
                <xdr:col>14</xdr:col>
                <xdr:colOff>952500</xdr:colOff>
                <xdr:row>49</xdr:row>
                <xdr:rowOff>50800</xdr:rowOff>
              </to>
            </anchor>
          </objectPr>
        </oleObject>
      </mc:Choice>
      <mc:Fallback>
        <oleObject progId="AcroExch.Document.DC" shapeId="3077" r:id="rId4"/>
      </mc:Fallback>
    </mc:AlternateContent>
  </oleObjec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7">
    <tabColor rgb="FFFFC000"/>
    <pageSetUpPr fitToPage="1"/>
  </sheetPr>
  <dimension ref="A1:AH149"/>
  <sheetViews>
    <sheetView workbookViewId="0">
      <selection sqref="A1:C1"/>
    </sheetView>
  </sheetViews>
  <sheetFormatPr defaultColWidth="0" defaultRowHeight="14" zeroHeight="1" x14ac:dyDescent="0.3"/>
  <cols>
    <col min="1" max="1" width="14.54296875" style="31" customWidth="1"/>
    <col min="2" max="2" width="16.54296875" style="31" customWidth="1"/>
    <col min="3" max="3" width="16.453125" style="31" customWidth="1"/>
    <col min="4" max="4" width="3" style="31" customWidth="1"/>
    <col min="5" max="5" width="4.1796875" style="31" customWidth="1"/>
    <col min="6" max="6" width="88.81640625" style="31" bestFit="1" customWidth="1"/>
    <col min="7" max="7" width="13.1796875" style="31" bestFit="1" customWidth="1"/>
    <col min="8" max="8" width="18.54296875" style="31" bestFit="1" customWidth="1"/>
    <col min="9" max="9" width="16.81640625" style="31" bestFit="1" customWidth="1"/>
    <col min="10" max="10" width="17.7265625" style="31" bestFit="1" customWidth="1"/>
    <col min="11" max="11" width="13" style="31" bestFit="1" customWidth="1"/>
    <col min="12" max="12" width="23.54296875" style="31" bestFit="1" customWidth="1"/>
    <col min="13" max="13" width="18.54296875" style="31" bestFit="1" customWidth="1"/>
    <col min="14" max="14" width="9.1796875" style="31" customWidth="1"/>
    <col min="15" max="16" width="12.1796875" style="31" customWidth="1"/>
    <col min="17" max="17" width="12.81640625" style="31" customWidth="1"/>
    <col min="18" max="18" width="11.453125" style="31" customWidth="1"/>
    <col min="19" max="33" width="9.1796875" style="31" customWidth="1"/>
    <col min="34" max="34" width="8.1796875" style="31" hidden="1" customWidth="1"/>
    <col min="35" max="16384" width="9.1796875" style="31" hidden="1"/>
  </cols>
  <sheetData>
    <row r="1" spans="1:13" ht="55.15" customHeight="1" x14ac:dyDescent="0.6">
      <c r="A1" s="1053"/>
      <c r="B1" s="1053"/>
      <c r="C1" s="1053"/>
      <c r="F1" s="281"/>
      <c r="G1" s="281"/>
      <c r="H1" s="281"/>
      <c r="I1" s="281"/>
      <c r="J1" s="281"/>
      <c r="K1" s="281"/>
      <c r="L1" s="281"/>
      <c r="M1" s="281"/>
    </row>
    <row r="2" spans="1:13" ht="29.5" customHeight="1" x14ac:dyDescent="0.6">
      <c r="A2" s="1052" t="s">
        <v>929</v>
      </c>
      <c r="B2" s="1052"/>
      <c r="C2" s="1052"/>
      <c r="F2" s="282"/>
      <c r="G2" s="1054" t="s">
        <v>930</v>
      </c>
      <c r="H2" s="1054"/>
      <c r="I2" s="1054"/>
      <c r="J2" s="1054"/>
      <c r="K2" s="1054"/>
      <c r="L2" s="1054"/>
      <c r="M2" s="1055"/>
    </row>
    <row r="3" spans="1:13" ht="28" x14ac:dyDescent="0.3">
      <c r="A3" s="103" t="s">
        <v>931</v>
      </c>
      <c r="B3" s="103" t="s">
        <v>932</v>
      </c>
      <c r="C3" s="103" t="s">
        <v>933</v>
      </c>
      <c r="F3" s="283" t="s">
        <v>820</v>
      </c>
      <c r="G3" s="104" t="s">
        <v>21</v>
      </c>
      <c r="H3" s="104" t="s">
        <v>382</v>
      </c>
      <c r="I3" s="104" t="s">
        <v>20</v>
      </c>
      <c r="J3" s="104" t="s">
        <v>393</v>
      </c>
      <c r="K3" s="130" t="s">
        <v>242</v>
      </c>
      <c r="L3" s="130" t="s">
        <v>403</v>
      </c>
      <c r="M3" s="104" t="s">
        <v>407</v>
      </c>
    </row>
    <row r="4" spans="1:13" x14ac:dyDescent="0.3">
      <c r="A4" s="104">
        <v>0</v>
      </c>
      <c r="B4" s="544">
        <v>100</v>
      </c>
      <c r="C4" s="655">
        <v>1</v>
      </c>
      <c r="F4" s="88" t="str">
        <f>'G-1 All Habitats'!B3</f>
        <v>Cropland - Arable field margins cultivated annually</v>
      </c>
      <c r="G4" s="544" t="s">
        <v>934</v>
      </c>
      <c r="H4" s="544" t="s">
        <v>934</v>
      </c>
      <c r="I4" s="544" t="s">
        <v>934</v>
      </c>
      <c r="J4" s="544" t="s">
        <v>934</v>
      </c>
      <c r="K4" s="544" t="s">
        <v>934</v>
      </c>
      <c r="L4" s="544">
        <v>1</v>
      </c>
      <c r="M4" s="544" t="s">
        <v>934</v>
      </c>
    </row>
    <row r="5" spans="1:13" x14ac:dyDescent="0.3">
      <c r="A5" s="104">
        <v>1</v>
      </c>
      <c r="B5" s="544">
        <v>96.5</v>
      </c>
      <c r="C5" s="655">
        <v>0.96499999999999997</v>
      </c>
      <c r="F5" s="88" t="str">
        <f>'G-1 All Habitats'!B4</f>
        <v>Cropland - Arable field margins game bird mix</v>
      </c>
      <c r="G5" s="544" t="s">
        <v>934</v>
      </c>
      <c r="H5" s="544" t="s">
        <v>934</v>
      </c>
      <c r="I5" s="544" t="s">
        <v>934</v>
      </c>
      <c r="J5" s="544" t="s">
        <v>934</v>
      </c>
      <c r="K5" s="544" t="s">
        <v>934</v>
      </c>
      <c r="L5" s="544">
        <v>1</v>
      </c>
      <c r="M5" s="544" t="s">
        <v>934</v>
      </c>
    </row>
    <row r="6" spans="1:13" x14ac:dyDescent="0.3">
      <c r="A6" s="104">
        <v>2</v>
      </c>
      <c r="B6" s="544">
        <v>93.122500000000002</v>
      </c>
      <c r="C6" s="655">
        <v>0.93122499999999997</v>
      </c>
      <c r="F6" s="88" t="str">
        <f>'G-1 All Habitats'!B5</f>
        <v>Cropland - Arable field margins pollen &amp; nectar</v>
      </c>
      <c r="G6" s="544" t="s">
        <v>934</v>
      </c>
      <c r="H6" s="544" t="s">
        <v>934</v>
      </c>
      <c r="I6" s="544" t="s">
        <v>934</v>
      </c>
      <c r="J6" s="544" t="s">
        <v>934</v>
      </c>
      <c r="K6" s="544" t="s">
        <v>934</v>
      </c>
      <c r="L6" s="544">
        <v>1</v>
      </c>
      <c r="M6" s="544" t="s">
        <v>934</v>
      </c>
    </row>
    <row r="7" spans="1:13" x14ac:dyDescent="0.3">
      <c r="A7" s="104">
        <v>3</v>
      </c>
      <c r="B7" s="544">
        <v>89.863212500000003</v>
      </c>
      <c r="C7" s="655">
        <v>0.898632125</v>
      </c>
      <c r="F7" s="88" t="str">
        <f>'G-1 All Habitats'!B6</f>
        <v>Cropland - Arable field margins tussocky</v>
      </c>
      <c r="G7" s="544" t="s">
        <v>934</v>
      </c>
      <c r="H7" s="544" t="s">
        <v>934</v>
      </c>
      <c r="I7" s="544" t="s">
        <v>934</v>
      </c>
      <c r="J7" s="544" t="s">
        <v>934</v>
      </c>
      <c r="K7" s="544" t="s">
        <v>934</v>
      </c>
      <c r="L7" s="544">
        <v>1</v>
      </c>
      <c r="M7" s="544" t="s">
        <v>934</v>
      </c>
    </row>
    <row r="8" spans="1:13" x14ac:dyDescent="0.3">
      <c r="A8" s="104">
        <v>4</v>
      </c>
      <c r="B8" s="544">
        <v>86.718000059999994</v>
      </c>
      <c r="C8" s="655">
        <v>0.86718000059999989</v>
      </c>
      <c r="F8" s="88" t="str">
        <f>'G-1 All Habitats'!B7</f>
        <v>Cropland - Cereal crops</v>
      </c>
      <c r="G8" s="544" t="s">
        <v>934</v>
      </c>
      <c r="H8" s="544" t="s">
        <v>934</v>
      </c>
      <c r="I8" s="544" t="s">
        <v>934</v>
      </c>
      <c r="J8" s="544" t="s">
        <v>934</v>
      </c>
      <c r="K8" s="544" t="s">
        <v>934</v>
      </c>
      <c r="L8" s="544">
        <v>1</v>
      </c>
      <c r="M8" s="544" t="s">
        <v>934</v>
      </c>
    </row>
    <row r="9" spans="1:13" x14ac:dyDescent="0.3">
      <c r="A9" s="104">
        <v>5</v>
      </c>
      <c r="B9" s="544">
        <v>83.682870059999999</v>
      </c>
      <c r="C9" s="655">
        <v>0.83682870060000003</v>
      </c>
      <c r="F9" s="88" t="str">
        <f>'G-1 All Habitats'!B8</f>
        <v>Cropland - Cereal crops winter stubble</v>
      </c>
      <c r="G9" s="544" t="s">
        <v>934</v>
      </c>
      <c r="H9" s="544" t="s">
        <v>934</v>
      </c>
      <c r="I9" s="544" t="s">
        <v>934</v>
      </c>
      <c r="J9" s="544" t="s">
        <v>934</v>
      </c>
      <c r="K9" s="544" t="s">
        <v>934</v>
      </c>
      <c r="L9" s="544">
        <v>1</v>
      </c>
      <c r="M9" s="544" t="s">
        <v>934</v>
      </c>
    </row>
    <row r="10" spans="1:13" x14ac:dyDescent="0.3">
      <c r="A10" s="104">
        <v>6</v>
      </c>
      <c r="B10" s="544">
        <v>80.753969609999999</v>
      </c>
      <c r="C10" s="655">
        <v>0.80753969609999998</v>
      </c>
      <c r="F10" s="88" t="str">
        <f>'G-1 All Habitats'!B9</f>
        <v>Cropland - Horticulture</v>
      </c>
      <c r="G10" s="544" t="s">
        <v>934</v>
      </c>
      <c r="H10" s="544" t="s">
        <v>934</v>
      </c>
      <c r="I10" s="544" t="s">
        <v>934</v>
      </c>
      <c r="J10" s="544" t="s">
        <v>934</v>
      </c>
      <c r="K10" s="544" t="s">
        <v>934</v>
      </c>
      <c r="L10" s="544">
        <v>1</v>
      </c>
      <c r="M10" s="544" t="s">
        <v>934</v>
      </c>
    </row>
    <row r="11" spans="1:13" x14ac:dyDescent="0.3">
      <c r="A11" s="104">
        <v>7</v>
      </c>
      <c r="B11" s="544">
        <v>77.927580669999998</v>
      </c>
      <c r="C11" s="655">
        <v>0.77927580669999996</v>
      </c>
      <c r="F11" s="88" t="str">
        <f>'G-1 All Habitats'!B10</f>
        <v>Cropland - Intensive orchards</v>
      </c>
      <c r="G11" s="544" t="s">
        <v>934</v>
      </c>
      <c r="H11" s="544" t="s">
        <v>934</v>
      </c>
      <c r="I11" s="544" t="s">
        <v>934</v>
      </c>
      <c r="J11" s="544" t="s">
        <v>934</v>
      </c>
      <c r="K11" s="544" t="s">
        <v>934</v>
      </c>
      <c r="L11" s="544">
        <v>1</v>
      </c>
      <c r="M11" s="544" t="s">
        <v>934</v>
      </c>
    </row>
    <row r="12" spans="1:13" x14ac:dyDescent="0.3">
      <c r="A12" s="104">
        <v>8</v>
      </c>
      <c r="B12" s="544">
        <v>75.200115350000004</v>
      </c>
      <c r="C12" s="655">
        <v>0.75200115350000007</v>
      </c>
      <c r="F12" s="88" t="str">
        <f>'G-1 All Habitats'!B11</f>
        <v>Cropland - Non-cereal crops</v>
      </c>
      <c r="G12" s="544" t="s">
        <v>934</v>
      </c>
      <c r="H12" s="544" t="s">
        <v>934</v>
      </c>
      <c r="I12" s="544" t="s">
        <v>934</v>
      </c>
      <c r="J12" s="544" t="s">
        <v>934</v>
      </c>
      <c r="K12" s="544" t="s">
        <v>934</v>
      </c>
      <c r="L12" s="544">
        <v>1</v>
      </c>
      <c r="M12" s="544" t="s">
        <v>934</v>
      </c>
    </row>
    <row r="13" spans="1:13" x14ac:dyDescent="0.3">
      <c r="A13" s="104">
        <v>9</v>
      </c>
      <c r="B13" s="544">
        <v>72.568111310000006</v>
      </c>
      <c r="C13" s="655">
        <v>0.72568111310000005</v>
      </c>
      <c r="F13" s="88" t="str">
        <f>'G-1 All Habitats'!B12</f>
        <v>Cropland - Temporary grass and clover leys</v>
      </c>
      <c r="G13" s="544" t="s">
        <v>934</v>
      </c>
      <c r="H13" s="544" t="s">
        <v>934</v>
      </c>
      <c r="I13" s="544" t="s">
        <v>934</v>
      </c>
      <c r="J13" s="544" t="s">
        <v>934</v>
      </c>
      <c r="K13" s="544" t="s">
        <v>934</v>
      </c>
      <c r="L13" s="544">
        <v>1</v>
      </c>
      <c r="M13" s="544" t="s">
        <v>934</v>
      </c>
    </row>
    <row r="14" spans="1:13" x14ac:dyDescent="0.3">
      <c r="A14" s="104">
        <v>10</v>
      </c>
      <c r="B14" s="544">
        <v>70.028227419999993</v>
      </c>
      <c r="C14" s="655">
        <v>0.70028227419999989</v>
      </c>
      <c r="F14" s="88" t="str">
        <f>'G-1 All Habitats'!B13</f>
        <v>Grassland - Traditional orchards</v>
      </c>
      <c r="G14" s="544">
        <v>30</v>
      </c>
      <c r="H14" s="544">
        <v>25</v>
      </c>
      <c r="I14" s="544">
        <v>20</v>
      </c>
      <c r="J14" s="544">
        <v>10</v>
      </c>
      <c r="K14" s="544">
        <v>5</v>
      </c>
      <c r="L14" s="544" t="s">
        <v>934</v>
      </c>
      <c r="M14" s="544" t="s">
        <v>934</v>
      </c>
    </row>
    <row r="15" spans="1:13" x14ac:dyDescent="0.3">
      <c r="A15" s="104">
        <v>11</v>
      </c>
      <c r="B15" s="544">
        <v>67.577239460000001</v>
      </c>
      <c r="C15" s="655">
        <v>0.67577239460000005</v>
      </c>
      <c r="F15" s="88" t="str">
        <f>'G-1 All Habitats'!B14</f>
        <v>Grassland - Bracken</v>
      </c>
      <c r="G15" s="544" t="s">
        <v>934</v>
      </c>
      <c r="H15" s="544" t="s">
        <v>934</v>
      </c>
      <c r="I15" s="544" t="s">
        <v>934</v>
      </c>
      <c r="J15" s="544" t="s">
        <v>934</v>
      </c>
      <c r="K15" s="544" t="s">
        <v>934</v>
      </c>
      <c r="L15" s="544">
        <v>1</v>
      </c>
      <c r="M15" s="544" t="s">
        <v>934</v>
      </c>
    </row>
    <row r="16" spans="1:13" x14ac:dyDescent="0.3">
      <c r="A16" s="104">
        <v>12</v>
      </c>
      <c r="B16" s="544">
        <v>65.212036069999996</v>
      </c>
      <c r="C16" s="655">
        <v>0.65212036070000001</v>
      </c>
      <c r="F16" s="88" t="str">
        <f>'G-1 All Habitats'!B15</f>
        <v>Grassland - Floodplain Wetland Mosaic (CFGM)</v>
      </c>
      <c r="G16" s="544">
        <v>20</v>
      </c>
      <c r="H16" s="544">
        <v>15</v>
      </c>
      <c r="I16" s="544">
        <v>10</v>
      </c>
      <c r="J16" s="544">
        <v>8</v>
      </c>
      <c r="K16" s="544">
        <v>5</v>
      </c>
      <c r="L16" s="544" t="s">
        <v>934</v>
      </c>
      <c r="M16" s="544" t="s">
        <v>934</v>
      </c>
    </row>
    <row r="17" spans="1:13" x14ac:dyDescent="0.3">
      <c r="A17" s="104">
        <v>13</v>
      </c>
      <c r="B17" s="544">
        <v>62.929614809999997</v>
      </c>
      <c r="C17" s="655">
        <v>0.62929614810000001</v>
      </c>
      <c r="F17" s="88" t="str">
        <f>'G-1 All Habitats'!B16</f>
        <v>Grassland - Lowland calcareous grassland</v>
      </c>
      <c r="G17" s="544">
        <v>20</v>
      </c>
      <c r="H17" s="544">
        <v>15</v>
      </c>
      <c r="I17" s="544">
        <v>10</v>
      </c>
      <c r="J17" s="544">
        <v>8</v>
      </c>
      <c r="K17" s="544">
        <v>5</v>
      </c>
      <c r="L17" s="544" t="s">
        <v>934</v>
      </c>
      <c r="M17" s="544" t="s">
        <v>934</v>
      </c>
    </row>
    <row r="18" spans="1:13" x14ac:dyDescent="0.3">
      <c r="A18" s="104">
        <v>14</v>
      </c>
      <c r="B18" s="544">
        <v>60.727078290000001</v>
      </c>
      <c r="C18" s="655">
        <v>0.60727078290000003</v>
      </c>
      <c r="F18" s="88" t="str">
        <f>'G-1 All Habitats'!B17</f>
        <v>Grassland - Lowland dry acid grassland</v>
      </c>
      <c r="G18" s="544" t="s">
        <v>935</v>
      </c>
      <c r="H18" s="544">
        <v>25</v>
      </c>
      <c r="I18" s="544">
        <v>20</v>
      </c>
      <c r="J18" s="544">
        <v>15</v>
      </c>
      <c r="K18" s="544">
        <v>10</v>
      </c>
      <c r="L18" s="544" t="s">
        <v>934</v>
      </c>
      <c r="M18" s="544" t="s">
        <v>934</v>
      </c>
    </row>
    <row r="19" spans="1:13" x14ac:dyDescent="0.3">
      <c r="A19" s="104">
        <v>15</v>
      </c>
      <c r="B19" s="544">
        <v>58.601630550000003</v>
      </c>
      <c r="C19" s="655">
        <v>0.58601630550000006</v>
      </c>
      <c r="F19" s="88" t="str">
        <f>'G-1 All Habitats'!B18</f>
        <v>Grassland - Lowland meadows</v>
      </c>
      <c r="G19" s="544">
        <v>15</v>
      </c>
      <c r="H19" s="544">
        <v>12</v>
      </c>
      <c r="I19" s="544">
        <v>10</v>
      </c>
      <c r="J19" s="544">
        <v>8</v>
      </c>
      <c r="K19" s="544">
        <v>5</v>
      </c>
      <c r="L19" s="544" t="s">
        <v>934</v>
      </c>
      <c r="M19" s="544" t="s">
        <v>934</v>
      </c>
    </row>
    <row r="20" spans="1:13" x14ac:dyDescent="0.3">
      <c r="A20" s="104">
        <v>16</v>
      </c>
      <c r="B20" s="544">
        <v>56.550573479999997</v>
      </c>
      <c r="C20" s="655">
        <v>0.56550573479999999</v>
      </c>
      <c r="F20" s="88" t="str">
        <f>'G-1 All Habitats'!B19</f>
        <v>Grassland - Modified grassland</v>
      </c>
      <c r="G20" s="544">
        <v>7</v>
      </c>
      <c r="H20" s="544">
        <v>5</v>
      </c>
      <c r="I20" s="544">
        <v>4</v>
      </c>
      <c r="J20" s="544">
        <v>2</v>
      </c>
      <c r="K20" s="544">
        <v>1</v>
      </c>
      <c r="L20" s="544">
        <v>1</v>
      </c>
      <c r="M20" s="544" t="s">
        <v>934</v>
      </c>
    </row>
    <row r="21" spans="1:13" ht="15" customHeight="1" x14ac:dyDescent="0.3">
      <c r="A21" s="104">
        <v>17</v>
      </c>
      <c r="B21" s="544">
        <v>54.571303409999999</v>
      </c>
      <c r="C21" s="655">
        <v>0.54571303409999994</v>
      </c>
      <c r="F21" s="88" t="str">
        <f>'G-1 All Habitats'!B20</f>
        <v>Grassland - Other lowland acid grassland</v>
      </c>
      <c r="G21" s="544">
        <v>15</v>
      </c>
      <c r="H21" s="544">
        <v>12</v>
      </c>
      <c r="I21" s="544">
        <v>10</v>
      </c>
      <c r="J21" s="544">
        <v>5</v>
      </c>
      <c r="K21" s="544">
        <v>1</v>
      </c>
      <c r="L21" s="544" t="s">
        <v>934</v>
      </c>
      <c r="M21" s="544" t="s">
        <v>934</v>
      </c>
    </row>
    <row r="22" spans="1:13" ht="15" customHeight="1" x14ac:dyDescent="0.3">
      <c r="A22" s="104">
        <v>18</v>
      </c>
      <c r="B22" s="544">
        <v>52.661307790000002</v>
      </c>
      <c r="C22" s="655">
        <v>0.5266130779</v>
      </c>
      <c r="F22" s="88" t="str">
        <f>'G-1 All Habitats'!B21</f>
        <v>Grassland - Other neutral grassland</v>
      </c>
      <c r="G22" s="544">
        <v>10</v>
      </c>
      <c r="H22" s="544">
        <v>7</v>
      </c>
      <c r="I22" s="544">
        <v>5</v>
      </c>
      <c r="J22" s="544">
        <v>3</v>
      </c>
      <c r="K22" s="544">
        <v>2</v>
      </c>
      <c r="L22" s="544" t="s">
        <v>934</v>
      </c>
      <c r="M22" s="544" t="s">
        <v>934</v>
      </c>
    </row>
    <row r="23" spans="1:13" ht="15" customHeight="1" x14ac:dyDescent="0.3">
      <c r="A23" s="104">
        <v>19</v>
      </c>
      <c r="B23" s="544">
        <v>50.818162020000003</v>
      </c>
      <c r="C23" s="655">
        <v>0.50818162020000002</v>
      </c>
      <c r="F23" s="88" t="str">
        <f>'G-1 All Habitats'!B22</f>
        <v>Grassland - Tall herb communities (H6430)</v>
      </c>
      <c r="G23" s="544">
        <v>30</v>
      </c>
      <c r="H23" s="544">
        <v>25</v>
      </c>
      <c r="I23" s="544">
        <v>20</v>
      </c>
      <c r="J23" s="544">
        <v>15</v>
      </c>
      <c r="K23" s="544">
        <v>10</v>
      </c>
      <c r="L23" s="544" t="s">
        <v>934</v>
      </c>
      <c r="M23" s="544" t="s">
        <v>934</v>
      </c>
    </row>
    <row r="24" spans="1:13" ht="15" customHeight="1" x14ac:dyDescent="0.3">
      <c r="A24" s="104">
        <v>20</v>
      </c>
      <c r="B24" s="544">
        <v>49.039526350000003</v>
      </c>
      <c r="C24" s="655">
        <v>0.49039526350000001</v>
      </c>
      <c r="F24" s="88" t="str">
        <f>'G-1 All Habitats'!B23</f>
        <v>Grassland - Upland acid grassland</v>
      </c>
      <c r="G24" s="544">
        <v>15</v>
      </c>
      <c r="H24" s="544">
        <v>12</v>
      </c>
      <c r="I24" s="544">
        <v>10</v>
      </c>
      <c r="J24" s="544">
        <v>5</v>
      </c>
      <c r="K24" s="544">
        <v>1</v>
      </c>
      <c r="L24" s="544" t="s">
        <v>934</v>
      </c>
      <c r="M24" s="544" t="s">
        <v>934</v>
      </c>
    </row>
    <row r="25" spans="1:13" ht="15" customHeight="1" x14ac:dyDescent="0.3">
      <c r="A25" s="104">
        <v>21</v>
      </c>
      <c r="B25" s="544">
        <v>47.323142930000003</v>
      </c>
      <c r="C25" s="655">
        <v>0.47323142930000001</v>
      </c>
      <c r="F25" s="88" t="str">
        <f>'G-1 All Habitats'!B24</f>
        <v>Grassland - Upland calcareous grassland</v>
      </c>
      <c r="G25" s="544">
        <v>25</v>
      </c>
      <c r="H25" s="544">
        <v>20</v>
      </c>
      <c r="I25" s="544">
        <v>15</v>
      </c>
      <c r="J25" s="544">
        <v>12</v>
      </c>
      <c r="K25" s="544">
        <v>10</v>
      </c>
      <c r="L25" s="544" t="s">
        <v>934</v>
      </c>
      <c r="M25" s="544" t="s">
        <v>934</v>
      </c>
    </row>
    <row r="26" spans="1:13" ht="15" customHeight="1" x14ac:dyDescent="0.3">
      <c r="A26" s="104">
        <v>22</v>
      </c>
      <c r="B26" s="544">
        <v>45.666832919999997</v>
      </c>
      <c r="C26" s="655">
        <v>0.4566683292</v>
      </c>
      <c r="F26" s="88" t="str">
        <f>'G-1 All Habitats'!B25</f>
        <v>Grassland - Upland hay meadows</v>
      </c>
      <c r="G26" s="544">
        <v>20</v>
      </c>
      <c r="H26" s="544">
        <v>18</v>
      </c>
      <c r="I26" s="544">
        <v>15</v>
      </c>
      <c r="J26" s="544">
        <v>12</v>
      </c>
      <c r="K26" s="544">
        <v>10</v>
      </c>
      <c r="L26" s="544" t="s">
        <v>934</v>
      </c>
      <c r="M26" s="544" t="s">
        <v>934</v>
      </c>
    </row>
    <row r="27" spans="1:13" x14ac:dyDescent="0.3">
      <c r="A27" s="104">
        <v>23</v>
      </c>
      <c r="B27" s="544">
        <v>44.068493770000003</v>
      </c>
      <c r="C27" s="655">
        <v>0.44068493770000006</v>
      </c>
      <c r="F27" s="88" t="str">
        <f>'G-1 All Habitats'!B26</f>
        <v>Heathland and shrub - Blackthorn scrub</v>
      </c>
      <c r="G27" s="544">
        <v>10</v>
      </c>
      <c r="H27" s="544">
        <v>7</v>
      </c>
      <c r="I27" s="544">
        <v>5</v>
      </c>
      <c r="J27" s="544">
        <v>3</v>
      </c>
      <c r="K27" s="544">
        <v>1</v>
      </c>
      <c r="L27" s="544" t="s">
        <v>934</v>
      </c>
      <c r="M27" s="544" t="s">
        <v>934</v>
      </c>
    </row>
    <row r="28" spans="1:13" x14ac:dyDescent="0.3">
      <c r="A28" s="104">
        <v>24</v>
      </c>
      <c r="B28" s="544">
        <v>42.52609649</v>
      </c>
      <c r="C28" s="655">
        <v>0.42526096489999998</v>
      </c>
      <c r="F28" s="88" t="str">
        <f>'G-1 All Habitats'!B27</f>
        <v>Heathland and shrub - Bramble scrub</v>
      </c>
      <c r="G28" s="544" t="s">
        <v>934</v>
      </c>
      <c r="H28" s="544" t="s">
        <v>934</v>
      </c>
      <c r="I28" s="544" t="s">
        <v>934</v>
      </c>
      <c r="J28" s="544" t="s">
        <v>934</v>
      </c>
      <c r="K28" s="544" t="s">
        <v>934</v>
      </c>
      <c r="L28" s="544">
        <v>1</v>
      </c>
      <c r="M28" s="544" t="s">
        <v>934</v>
      </c>
    </row>
    <row r="29" spans="1:13" x14ac:dyDescent="0.3">
      <c r="A29" s="104">
        <v>25</v>
      </c>
      <c r="B29" s="544">
        <v>41.037683110000003</v>
      </c>
      <c r="C29" s="655">
        <v>0.41037683110000001</v>
      </c>
      <c r="F29" s="88" t="str">
        <f>'G-1 All Habitats'!B28</f>
        <v>Heathland and shrub - Gorse scrub</v>
      </c>
      <c r="G29" s="544">
        <v>10</v>
      </c>
      <c r="H29" s="544">
        <v>7</v>
      </c>
      <c r="I29" s="544">
        <v>5</v>
      </c>
      <c r="J29" s="544">
        <v>3</v>
      </c>
      <c r="K29" s="544">
        <v>1</v>
      </c>
      <c r="L29" s="544" t="s">
        <v>934</v>
      </c>
      <c r="M29" s="544" t="s">
        <v>934</v>
      </c>
    </row>
    <row r="30" spans="1:13" x14ac:dyDescent="0.3">
      <c r="A30" s="104">
        <v>26</v>
      </c>
      <c r="B30" s="544">
        <v>39.601364199999999</v>
      </c>
      <c r="C30" s="655">
        <v>0.396013642</v>
      </c>
      <c r="F30" s="88" t="str">
        <f>'G-1 All Habitats'!B29</f>
        <v>Heathland and shrub - Hawthorn scrub</v>
      </c>
      <c r="G30" s="544">
        <v>10</v>
      </c>
      <c r="H30" s="544">
        <v>7</v>
      </c>
      <c r="I30" s="544">
        <v>5</v>
      </c>
      <c r="J30" s="544">
        <v>3</v>
      </c>
      <c r="K30" s="544">
        <v>1</v>
      </c>
      <c r="L30" s="544" t="s">
        <v>934</v>
      </c>
      <c r="M30" s="544" t="s">
        <v>934</v>
      </c>
    </row>
    <row r="31" spans="1:13" x14ac:dyDescent="0.3">
      <c r="A31" s="104">
        <v>27</v>
      </c>
      <c r="B31" s="544">
        <v>38.215316459999997</v>
      </c>
      <c r="C31" s="655">
        <v>0.38215316459999998</v>
      </c>
      <c r="F31" s="88" t="str">
        <f>'G-1 All Habitats'!B30</f>
        <v>Heathland and shrub - Hazel scrub</v>
      </c>
      <c r="G31" s="544">
        <v>15</v>
      </c>
      <c r="H31" s="544">
        <v>12</v>
      </c>
      <c r="I31" s="544">
        <v>10</v>
      </c>
      <c r="J31" s="544">
        <v>7</v>
      </c>
      <c r="K31" s="544">
        <v>5</v>
      </c>
      <c r="L31" s="544" t="s">
        <v>934</v>
      </c>
      <c r="M31" s="544" t="s">
        <v>934</v>
      </c>
    </row>
    <row r="32" spans="1:13" x14ac:dyDescent="0.3">
      <c r="A32" s="104">
        <v>28</v>
      </c>
      <c r="B32" s="544">
        <v>36.877780379999997</v>
      </c>
      <c r="C32" s="655">
        <v>0.36877780379999997</v>
      </c>
      <c r="F32" s="88" t="str">
        <f>'G-1 All Habitats'!B31</f>
        <v>Heathland and shrub - Lowland Heathland</v>
      </c>
      <c r="G32" s="544" t="s">
        <v>935</v>
      </c>
      <c r="H32" s="544">
        <v>25</v>
      </c>
      <c r="I32" s="544">
        <v>20</v>
      </c>
      <c r="J32" s="544">
        <v>15</v>
      </c>
      <c r="K32" s="544">
        <v>10</v>
      </c>
      <c r="L32" s="544" t="s">
        <v>934</v>
      </c>
      <c r="M32" s="544" t="s">
        <v>934</v>
      </c>
    </row>
    <row r="33" spans="1:13" x14ac:dyDescent="0.3">
      <c r="A33" s="104">
        <v>29</v>
      </c>
      <c r="B33" s="544">
        <v>35.587058069999998</v>
      </c>
      <c r="C33" s="655">
        <v>0.35587058069999999</v>
      </c>
      <c r="F33" s="88" t="str">
        <f>'G-1 All Habitats'!B32</f>
        <v>Heathland and shrub - Mixed scrub</v>
      </c>
      <c r="G33" s="544">
        <v>10</v>
      </c>
      <c r="H33" s="544">
        <v>7</v>
      </c>
      <c r="I33" s="544">
        <v>5</v>
      </c>
      <c r="J33" s="544">
        <v>3</v>
      </c>
      <c r="K33" s="544">
        <v>1</v>
      </c>
      <c r="L33" s="544" t="s">
        <v>934</v>
      </c>
      <c r="M33" s="544" t="s">
        <v>934</v>
      </c>
    </row>
    <row r="34" spans="1:13" x14ac:dyDescent="0.3">
      <c r="A34" s="104">
        <v>30</v>
      </c>
      <c r="B34" s="544">
        <v>34.34151104</v>
      </c>
      <c r="C34" s="655">
        <v>0.3434151104</v>
      </c>
      <c r="F34" s="88" t="str">
        <f>'G-1 All Habitats'!B33</f>
        <v>Heathland and shrub - Mountain heaths and willow scrub</v>
      </c>
      <c r="G34" s="544" t="s">
        <v>935</v>
      </c>
      <c r="H34" s="544" t="s">
        <v>935</v>
      </c>
      <c r="I34" s="544">
        <v>25</v>
      </c>
      <c r="J34" s="544">
        <v>23</v>
      </c>
      <c r="K34" s="544">
        <v>15</v>
      </c>
      <c r="L34" s="544" t="s">
        <v>934</v>
      </c>
      <c r="M34" s="544" t="s">
        <v>934</v>
      </c>
    </row>
    <row r="35" spans="1:13" x14ac:dyDescent="0.3">
      <c r="A35" s="104">
        <v>31</v>
      </c>
      <c r="B35" s="544">
        <v>33.139558149999999</v>
      </c>
      <c r="C35" s="655">
        <v>0.33139558149999998</v>
      </c>
      <c r="F35" s="88" t="str">
        <f>'G-1 All Habitats'!B34</f>
        <v>Heathland and shrub - Rhododendron scrub</v>
      </c>
      <c r="G35" s="544" t="s">
        <v>934</v>
      </c>
      <c r="H35" s="544" t="s">
        <v>934</v>
      </c>
      <c r="I35" s="544" t="s">
        <v>934</v>
      </c>
      <c r="J35" s="544" t="s">
        <v>934</v>
      </c>
      <c r="K35" s="544" t="s">
        <v>934</v>
      </c>
      <c r="L35" s="544">
        <v>1</v>
      </c>
      <c r="M35" s="544" t="s">
        <v>934</v>
      </c>
    </row>
    <row r="36" spans="1:13" x14ac:dyDescent="0.3">
      <c r="A36" s="104" t="s">
        <v>935</v>
      </c>
      <c r="B36" s="594">
        <v>31.979673609999999</v>
      </c>
      <c r="C36" s="655">
        <v>0.31979673609999998</v>
      </c>
      <c r="F36" s="88" t="str">
        <f>'G-1 All Habitats'!B35</f>
        <v>Heathland and shrub - Sea buckthorn scrub (Annex 1)</v>
      </c>
      <c r="G36" s="544">
        <v>10</v>
      </c>
      <c r="H36" s="544">
        <v>7</v>
      </c>
      <c r="I36" s="544">
        <v>5</v>
      </c>
      <c r="J36" s="544">
        <v>3</v>
      </c>
      <c r="K36" s="544">
        <v>1</v>
      </c>
      <c r="L36" s="544" t="s">
        <v>934</v>
      </c>
      <c r="M36" s="544" t="s">
        <v>934</v>
      </c>
    </row>
    <row r="37" spans="1:13" x14ac:dyDescent="0.3">
      <c r="A37" s="284" t="s">
        <v>934</v>
      </c>
      <c r="B37" s="656" t="s">
        <v>924</v>
      </c>
      <c r="C37" s="656" t="s">
        <v>924</v>
      </c>
      <c r="F37" s="88" t="str">
        <f>'G-1 All Habitats'!B36</f>
        <v>Heathland and shrub - Sea buckthorn scrub (other)</v>
      </c>
      <c r="G37" s="544" t="s">
        <v>934</v>
      </c>
      <c r="H37" s="544" t="s">
        <v>934</v>
      </c>
      <c r="I37" s="544" t="s">
        <v>934</v>
      </c>
      <c r="J37" s="544" t="s">
        <v>934</v>
      </c>
      <c r="K37" s="544" t="s">
        <v>934</v>
      </c>
      <c r="L37" s="544">
        <v>1</v>
      </c>
      <c r="M37" s="544" t="s">
        <v>934</v>
      </c>
    </row>
    <row r="38" spans="1:13" x14ac:dyDescent="0.3">
      <c r="A38" s="42"/>
      <c r="B38" s="42"/>
      <c r="C38" s="42"/>
      <c r="F38" s="88" t="str">
        <f>'G-1 All Habitats'!B37</f>
        <v>Heathland and shrub - Upland Heathland</v>
      </c>
      <c r="G38" s="544">
        <v>30</v>
      </c>
      <c r="H38" s="544">
        <v>25</v>
      </c>
      <c r="I38" s="544">
        <v>20</v>
      </c>
      <c r="J38" s="544">
        <v>15</v>
      </c>
      <c r="K38" s="544">
        <v>10</v>
      </c>
      <c r="L38" s="544" t="s">
        <v>934</v>
      </c>
      <c r="M38" s="544" t="s">
        <v>934</v>
      </c>
    </row>
    <row r="39" spans="1:13" ht="42" x14ac:dyDescent="0.3">
      <c r="A39" s="285" t="s">
        <v>936</v>
      </c>
      <c r="B39" s="42"/>
      <c r="C39" s="42"/>
      <c r="F39" s="88" t="str">
        <f>'G-1 All Habitats'!B38</f>
        <v>Lakes - Aquifer fed naturally fluctuating water bodies</v>
      </c>
      <c r="G39" s="544">
        <v>30</v>
      </c>
      <c r="H39" s="544">
        <v>20</v>
      </c>
      <c r="I39" s="544">
        <v>15</v>
      </c>
      <c r="J39" s="544">
        <v>10</v>
      </c>
      <c r="K39" s="544">
        <v>1</v>
      </c>
      <c r="L39" s="544" t="s">
        <v>934</v>
      </c>
      <c r="M39" s="544" t="s">
        <v>934</v>
      </c>
    </row>
    <row r="40" spans="1:13" x14ac:dyDescent="0.3">
      <c r="A40" s="103" t="s">
        <v>931</v>
      </c>
      <c r="B40" s="42"/>
      <c r="C40" s="42"/>
      <c r="F40" s="88" t="str">
        <f>'G-1 All Habitats'!B40</f>
        <v>Lakes - High alkalinity lakes</v>
      </c>
      <c r="G40" s="544">
        <v>30</v>
      </c>
      <c r="H40" s="544">
        <v>20</v>
      </c>
      <c r="I40" s="544">
        <v>10</v>
      </c>
      <c r="J40" s="544">
        <v>7</v>
      </c>
      <c r="K40" s="544">
        <v>5</v>
      </c>
      <c r="L40" s="544" t="s">
        <v>934</v>
      </c>
      <c r="M40" s="544" t="s">
        <v>934</v>
      </c>
    </row>
    <row r="41" spans="1:13" x14ac:dyDescent="0.3">
      <c r="A41" s="544">
        <v>0</v>
      </c>
      <c r="B41" s="42"/>
      <c r="C41" s="42"/>
      <c r="F41" s="88" t="str">
        <f>'G-1 All Habitats'!B41</f>
        <v>Lakes - Low alkalinity lakes</v>
      </c>
      <c r="G41" s="544">
        <v>30</v>
      </c>
      <c r="H41" s="544">
        <v>20</v>
      </c>
      <c r="I41" s="544">
        <v>10</v>
      </c>
      <c r="J41" s="544">
        <v>7</v>
      </c>
      <c r="K41" s="544">
        <v>5</v>
      </c>
      <c r="L41" s="544" t="s">
        <v>934</v>
      </c>
      <c r="M41" s="544" t="s">
        <v>934</v>
      </c>
    </row>
    <row r="42" spans="1:13" x14ac:dyDescent="0.3">
      <c r="A42" s="544">
        <v>1</v>
      </c>
      <c r="B42" s="42"/>
      <c r="C42" s="42"/>
      <c r="F42" s="88" t="str">
        <f>'G-1 All Habitats'!B42</f>
        <v>Lakes - Marl Lakes</v>
      </c>
      <c r="G42" s="544">
        <v>30</v>
      </c>
      <c r="H42" s="544">
        <v>20</v>
      </c>
      <c r="I42" s="544">
        <v>10</v>
      </c>
      <c r="J42" s="544">
        <v>7</v>
      </c>
      <c r="K42" s="544">
        <v>5</v>
      </c>
      <c r="L42" s="544" t="s">
        <v>934</v>
      </c>
      <c r="M42" s="544" t="s">
        <v>934</v>
      </c>
    </row>
    <row r="43" spans="1:13" x14ac:dyDescent="0.3">
      <c r="A43" s="544">
        <v>2</v>
      </c>
      <c r="B43" s="42"/>
      <c r="C43" s="42"/>
      <c r="F43" s="88" t="str">
        <f>'G-1 All Habitats'!B43</f>
        <v>Lakes - Moderate alkalinity lakes</v>
      </c>
      <c r="G43" s="544">
        <v>30</v>
      </c>
      <c r="H43" s="544">
        <v>20</v>
      </c>
      <c r="I43" s="544">
        <v>10</v>
      </c>
      <c r="J43" s="544">
        <v>7</v>
      </c>
      <c r="K43" s="544">
        <v>5</v>
      </c>
      <c r="L43" s="544" t="s">
        <v>934</v>
      </c>
      <c r="M43" s="544" t="s">
        <v>934</v>
      </c>
    </row>
    <row r="44" spans="1:13" x14ac:dyDescent="0.3">
      <c r="A44" s="544">
        <v>3</v>
      </c>
      <c r="B44" s="42"/>
      <c r="C44" s="42"/>
      <c r="F44" s="88" t="str">
        <f>'G-1 All Habitats'!B44</f>
        <v>Lakes - Peat Lakes</v>
      </c>
      <c r="G44" s="544">
        <v>30</v>
      </c>
      <c r="H44" s="544">
        <v>20</v>
      </c>
      <c r="I44" s="544">
        <v>10</v>
      </c>
      <c r="J44" s="544">
        <v>7</v>
      </c>
      <c r="K44" s="544">
        <v>5</v>
      </c>
      <c r="L44" s="544" t="s">
        <v>934</v>
      </c>
      <c r="M44" s="544" t="s">
        <v>934</v>
      </c>
    </row>
    <row r="45" spans="1:13" x14ac:dyDescent="0.3">
      <c r="A45" s="544">
        <v>4</v>
      </c>
      <c r="B45" s="42"/>
      <c r="C45" s="42"/>
      <c r="F45" s="88" t="str">
        <f>'G-1 All Habitats'!B45</f>
        <v>Lakes - Ponds (Priority Habitat)</v>
      </c>
      <c r="G45" s="544">
        <v>5</v>
      </c>
      <c r="H45" s="544">
        <v>4</v>
      </c>
      <c r="I45" s="544">
        <v>3</v>
      </c>
      <c r="J45" s="544">
        <v>2</v>
      </c>
      <c r="K45" s="544">
        <v>1</v>
      </c>
      <c r="L45" s="544" t="s">
        <v>934</v>
      </c>
      <c r="M45" s="544" t="s">
        <v>934</v>
      </c>
    </row>
    <row r="46" spans="1:13" x14ac:dyDescent="0.3">
      <c r="A46" s="544">
        <v>5</v>
      </c>
      <c r="B46" s="42"/>
      <c r="C46" s="42"/>
      <c r="F46" s="88" t="str">
        <f>'G-1 All Habitats'!B46</f>
        <v>Lakes - Ponds (Non- Priority Habitat)</v>
      </c>
      <c r="G46" s="544">
        <v>5</v>
      </c>
      <c r="H46" s="544">
        <v>4</v>
      </c>
      <c r="I46" s="544">
        <v>3</v>
      </c>
      <c r="J46" s="544">
        <v>2</v>
      </c>
      <c r="K46" s="544">
        <v>1</v>
      </c>
      <c r="L46" s="544" t="s">
        <v>934</v>
      </c>
      <c r="M46" s="544" t="s">
        <v>934</v>
      </c>
    </row>
    <row r="47" spans="1:13" x14ac:dyDescent="0.3">
      <c r="A47" s="544">
        <v>6</v>
      </c>
      <c r="B47" s="42"/>
      <c r="C47" s="42"/>
      <c r="F47" s="88" t="str">
        <f>'G-1 All Habitats'!B47</f>
        <v>Lakes - Reservoirs</v>
      </c>
      <c r="G47" s="544">
        <v>10</v>
      </c>
      <c r="H47" s="544">
        <v>7</v>
      </c>
      <c r="I47" s="544">
        <v>5</v>
      </c>
      <c r="J47" s="544">
        <v>3</v>
      </c>
      <c r="K47" s="544">
        <v>1</v>
      </c>
      <c r="L47" s="544" t="s">
        <v>934</v>
      </c>
      <c r="M47" s="544" t="s">
        <v>934</v>
      </c>
    </row>
    <row r="48" spans="1:13" x14ac:dyDescent="0.3">
      <c r="A48" s="544">
        <v>7</v>
      </c>
      <c r="B48" s="42"/>
      <c r="C48" s="42"/>
      <c r="F48" s="88" t="str">
        <f>'G-1 All Habitats'!B48</f>
        <v>Lakes - Temporary lakes, ponds and pools</v>
      </c>
      <c r="G48" s="544">
        <v>5</v>
      </c>
      <c r="H48" s="544">
        <v>4</v>
      </c>
      <c r="I48" s="544">
        <v>3</v>
      </c>
      <c r="J48" s="544">
        <v>2</v>
      </c>
      <c r="K48" s="544">
        <v>1</v>
      </c>
      <c r="L48" s="544" t="s">
        <v>934</v>
      </c>
      <c r="M48" s="544" t="s">
        <v>934</v>
      </c>
    </row>
    <row r="49" spans="1:13" x14ac:dyDescent="0.3">
      <c r="A49" s="544">
        <v>8</v>
      </c>
      <c r="B49" s="42"/>
      <c r="C49" s="42"/>
      <c r="F49" s="88" t="str">
        <f>'G-1 All Habitats'!B49</f>
        <v>Sparsely vegetated land - Calaminarian grasslands</v>
      </c>
      <c r="G49" s="544">
        <v>10</v>
      </c>
      <c r="H49" s="544">
        <v>7</v>
      </c>
      <c r="I49" s="544">
        <v>5</v>
      </c>
      <c r="J49" s="544">
        <v>3</v>
      </c>
      <c r="K49" s="544">
        <v>2</v>
      </c>
      <c r="L49" s="544" t="s">
        <v>934</v>
      </c>
      <c r="M49" s="544" t="s">
        <v>934</v>
      </c>
    </row>
    <row r="50" spans="1:13" x14ac:dyDescent="0.3">
      <c r="A50" s="544">
        <v>9</v>
      </c>
      <c r="B50" s="42"/>
      <c r="C50" s="42"/>
      <c r="F50" s="88" t="str">
        <f>'G-1 All Habitats'!B50</f>
        <v>Sparsely vegetated land - Coastal sand dunes</v>
      </c>
      <c r="G50" s="544">
        <v>20</v>
      </c>
      <c r="H50" s="544">
        <v>15</v>
      </c>
      <c r="I50" s="544">
        <v>10</v>
      </c>
      <c r="J50" s="544">
        <v>7</v>
      </c>
      <c r="K50" s="544">
        <v>5</v>
      </c>
      <c r="L50" s="544" t="s">
        <v>934</v>
      </c>
      <c r="M50" s="544" t="s">
        <v>934</v>
      </c>
    </row>
    <row r="51" spans="1:13" x14ac:dyDescent="0.3">
      <c r="A51" s="544">
        <v>10</v>
      </c>
      <c r="B51" s="42"/>
      <c r="C51" s="42"/>
      <c r="F51" s="88" t="str">
        <f>'G-1 All Habitats'!B51</f>
        <v>Sparsely vegetated land - Coastal vegetated shingle</v>
      </c>
      <c r="G51" s="544">
        <v>20</v>
      </c>
      <c r="H51" s="544">
        <v>15</v>
      </c>
      <c r="I51" s="544">
        <v>10</v>
      </c>
      <c r="J51" s="544">
        <v>7</v>
      </c>
      <c r="K51" s="544">
        <v>5</v>
      </c>
      <c r="L51" s="544" t="s">
        <v>934</v>
      </c>
      <c r="M51" s="544" t="s">
        <v>934</v>
      </c>
    </row>
    <row r="52" spans="1:13" x14ac:dyDescent="0.3">
      <c r="A52" s="544">
        <v>11</v>
      </c>
      <c r="B52" s="42"/>
      <c r="C52" s="42"/>
      <c r="F52" s="88" t="str">
        <f>'G-1 All Habitats'!B52</f>
        <v>Sparsely vegetated land - Ruderal/Ephemeral</v>
      </c>
      <c r="G52" s="544">
        <v>5</v>
      </c>
      <c r="H52" s="544">
        <v>4</v>
      </c>
      <c r="I52" s="544">
        <v>3</v>
      </c>
      <c r="J52" s="544">
        <v>2</v>
      </c>
      <c r="K52" s="544">
        <v>1</v>
      </c>
      <c r="L52" s="544" t="s">
        <v>934</v>
      </c>
      <c r="M52" s="544" t="s">
        <v>934</v>
      </c>
    </row>
    <row r="53" spans="1:13" x14ac:dyDescent="0.3">
      <c r="A53" s="544">
        <v>12</v>
      </c>
      <c r="B53" s="42"/>
      <c r="C53" s="42"/>
      <c r="F53" s="88" t="str">
        <f>'G-1 All Habitats'!B53</f>
        <v>Sparsely vegetated land - Inland rock outcrop and scree habitats</v>
      </c>
      <c r="G53" s="544" t="s">
        <v>935</v>
      </c>
      <c r="H53" s="544">
        <v>25</v>
      </c>
      <c r="I53" s="544">
        <v>20</v>
      </c>
      <c r="J53" s="544">
        <v>15</v>
      </c>
      <c r="K53" s="544">
        <v>10</v>
      </c>
      <c r="L53" s="544" t="s">
        <v>934</v>
      </c>
      <c r="M53" s="544" t="s">
        <v>934</v>
      </c>
    </row>
    <row r="54" spans="1:13" x14ac:dyDescent="0.3">
      <c r="A54" s="544">
        <v>13</v>
      </c>
      <c r="B54" s="42"/>
      <c r="C54" s="42"/>
      <c r="F54" s="88" t="str">
        <f>'G-1 All Habitats'!B54</f>
        <v>Sparsely vegetated land - Limestone pavement</v>
      </c>
      <c r="G54" s="544" t="s">
        <v>935</v>
      </c>
      <c r="H54" s="544" t="s">
        <v>935</v>
      </c>
      <c r="I54" s="544" t="s">
        <v>935</v>
      </c>
      <c r="J54" s="544" t="s">
        <v>935</v>
      </c>
      <c r="K54" s="544" t="s">
        <v>935</v>
      </c>
      <c r="L54" s="544" t="s">
        <v>934</v>
      </c>
      <c r="M54" s="544" t="s">
        <v>934</v>
      </c>
    </row>
    <row r="55" spans="1:13" x14ac:dyDescent="0.3">
      <c r="A55" s="544">
        <v>14</v>
      </c>
      <c r="B55" s="42"/>
      <c r="C55" s="42"/>
      <c r="F55" s="88" t="str">
        <f>'G-1 All Habitats'!B55</f>
        <v>Sparsely vegetated land - Maritime cliff and slopes</v>
      </c>
      <c r="G55" s="544">
        <v>20</v>
      </c>
      <c r="H55" s="544">
        <v>15</v>
      </c>
      <c r="I55" s="544">
        <v>10</v>
      </c>
      <c r="J55" s="544">
        <v>7</v>
      </c>
      <c r="K55" s="544">
        <v>5</v>
      </c>
      <c r="L55" s="544" t="s">
        <v>934</v>
      </c>
      <c r="M55" s="544" t="s">
        <v>934</v>
      </c>
    </row>
    <row r="56" spans="1:13" x14ac:dyDescent="0.3">
      <c r="A56" s="544">
        <v>15</v>
      </c>
      <c r="B56" s="42"/>
      <c r="C56" s="42"/>
      <c r="F56" s="88" t="str">
        <f>'G-1 All Habitats'!B56</f>
        <v>Sparsely vegetated land - Other inland rock and scree</v>
      </c>
      <c r="G56" s="544">
        <v>20</v>
      </c>
      <c r="H56" s="544">
        <v>15</v>
      </c>
      <c r="I56" s="544">
        <v>10</v>
      </c>
      <c r="J56" s="544">
        <v>7</v>
      </c>
      <c r="K56" s="544">
        <v>5</v>
      </c>
      <c r="L56" s="544" t="s">
        <v>934</v>
      </c>
      <c r="M56" s="544" t="s">
        <v>934</v>
      </c>
    </row>
    <row r="57" spans="1:13" x14ac:dyDescent="0.3">
      <c r="A57" s="544">
        <v>16</v>
      </c>
      <c r="B57" s="42"/>
      <c r="C57" s="42"/>
      <c r="F57" s="88" t="str">
        <f>'G-1 All Habitats'!B57</f>
        <v>Urban - Allotments</v>
      </c>
      <c r="G57" s="544">
        <v>1</v>
      </c>
      <c r="H57" s="544">
        <v>1</v>
      </c>
      <c r="I57" s="544">
        <v>1</v>
      </c>
      <c r="J57" s="544">
        <v>1</v>
      </c>
      <c r="K57" s="544">
        <v>1</v>
      </c>
      <c r="L57" s="544" t="s">
        <v>934</v>
      </c>
      <c r="M57" s="544" t="s">
        <v>934</v>
      </c>
    </row>
    <row r="58" spans="1:13" x14ac:dyDescent="0.3">
      <c r="A58" s="544">
        <v>17</v>
      </c>
      <c r="B58" s="42"/>
      <c r="C58" s="42"/>
      <c r="F58" s="88" t="str">
        <f>'G-1 All Habitats'!B39</f>
        <v>Lakes - Ornamental lake or pond</v>
      </c>
      <c r="G58" s="544">
        <v>5</v>
      </c>
      <c r="H58" s="544">
        <v>4</v>
      </c>
      <c r="I58" s="544">
        <v>3</v>
      </c>
      <c r="J58" s="544">
        <v>2</v>
      </c>
      <c r="K58" s="544">
        <v>1</v>
      </c>
      <c r="L58" s="544" t="s">
        <v>934</v>
      </c>
      <c r="M58" s="544" t="s">
        <v>934</v>
      </c>
    </row>
    <row r="59" spans="1:13" x14ac:dyDescent="0.3">
      <c r="A59" s="544">
        <v>18</v>
      </c>
      <c r="B59" s="42"/>
      <c r="C59" s="42"/>
      <c r="F59" s="88" t="str">
        <f>'G-1 All Habitats'!B58</f>
        <v>Urban - Artificial unvegetated, unsealed surface</v>
      </c>
      <c r="G59" s="544" t="s">
        <v>934</v>
      </c>
      <c r="H59" s="544" t="s">
        <v>934</v>
      </c>
      <c r="I59" s="544" t="s">
        <v>934</v>
      </c>
      <c r="J59" s="544" t="s">
        <v>934</v>
      </c>
      <c r="K59" s="544" t="s">
        <v>934</v>
      </c>
      <c r="L59" s="544" t="s">
        <v>934</v>
      </c>
      <c r="M59" s="544">
        <v>0</v>
      </c>
    </row>
    <row r="60" spans="1:13" x14ac:dyDescent="0.3">
      <c r="A60" s="544">
        <v>19</v>
      </c>
      <c r="B60" s="42"/>
      <c r="C60" s="42"/>
      <c r="F60" s="88" t="str">
        <f>'G-1 All Habitats'!B59</f>
        <v>Urban - Bioswale</v>
      </c>
      <c r="G60" s="544">
        <v>3</v>
      </c>
      <c r="H60" s="544">
        <v>2</v>
      </c>
      <c r="I60" s="544">
        <v>1</v>
      </c>
      <c r="J60" s="544">
        <v>1</v>
      </c>
      <c r="K60" s="544">
        <v>1</v>
      </c>
      <c r="L60" s="544" t="s">
        <v>934</v>
      </c>
      <c r="M60" s="544" t="s">
        <v>934</v>
      </c>
    </row>
    <row r="61" spans="1:13" x14ac:dyDescent="0.3">
      <c r="A61" s="544">
        <v>20</v>
      </c>
      <c r="B61" s="42"/>
      <c r="C61" s="42"/>
      <c r="F61" s="88" t="str">
        <f>'G-1 All Habitats'!B60</f>
        <v>Urban - Intensive green roof</v>
      </c>
      <c r="G61" s="544">
        <v>5</v>
      </c>
      <c r="H61" s="544">
        <v>4</v>
      </c>
      <c r="I61" s="544">
        <v>3</v>
      </c>
      <c r="J61" s="544">
        <v>2</v>
      </c>
      <c r="K61" s="544">
        <v>1</v>
      </c>
      <c r="L61" s="544" t="s">
        <v>934</v>
      </c>
      <c r="M61" s="544" t="s">
        <v>934</v>
      </c>
    </row>
    <row r="62" spans="1:13" x14ac:dyDescent="0.3">
      <c r="A62" s="544">
        <v>21</v>
      </c>
      <c r="B62" s="42"/>
      <c r="C62" s="42"/>
      <c r="F62" s="88" t="str">
        <f>'G-1 All Habitats'!B61</f>
        <v>Urban - Built linear features</v>
      </c>
      <c r="G62" s="544" t="s">
        <v>934</v>
      </c>
      <c r="H62" s="544" t="s">
        <v>934</v>
      </c>
      <c r="I62" s="544" t="s">
        <v>934</v>
      </c>
      <c r="J62" s="544" t="s">
        <v>934</v>
      </c>
      <c r="K62" s="544" t="s">
        <v>934</v>
      </c>
      <c r="L62" s="544" t="s">
        <v>934</v>
      </c>
      <c r="M62" s="544">
        <v>0</v>
      </c>
    </row>
    <row r="63" spans="1:13" x14ac:dyDescent="0.3">
      <c r="A63" s="544">
        <v>22</v>
      </c>
      <c r="B63" s="42"/>
      <c r="C63" s="42"/>
      <c r="F63" s="88" t="str">
        <f>'G-1 All Habitats'!B62</f>
        <v>Urban - Cemeteries and churchyards</v>
      </c>
      <c r="G63" s="544">
        <v>20</v>
      </c>
      <c r="H63" s="544">
        <v>17</v>
      </c>
      <c r="I63" s="544">
        <v>15</v>
      </c>
      <c r="J63" s="544">
        <v>12</v>
      </c>
      <c r="K63" s="544">
        <v>10</v>
      </c>
      <c r="L63" s="544" t="s">
        <v>934</v>
      </c>
      <c r="M63" s="544" t="s">
        <v>934</v>
      </c>
    </row>
    <row r="64" spans="1:13" x14ac:dyDescent="0.3">
      <c r="A64" s="544">
        <v>23</v>
      </c>
      <c r="B64" s="42"/>
      <c r="C64" s="42"/>
      <c r="F64" s="88" t="str">
        <f>'G-1 All Habitats'!B63</f>
        <v>Urban - Developed land; sealed surface</v>
      </c>
      <c r="G64" s="544" t="s">
        <v>934</v>
      </c>
      <c r="H64" s="544" t="s">
        <v>934</v>
      </c>
      <c r="I64" s="544" t="s">
        <v>934</v>
      </c>
      <c r="J64" s="544" t="s">
        <v>934</v>
      </c>
      <c r="K64" s="544" t="s">
        <v>934</v>
      </c>
      <c r="L64" s="544" t="s">
        <v>934</v>
      </c>
      <c r="M64" s="544">
        <v>0</v>
      </c>
    </row>
    <row r="65" spans="1:13" x14ac:dyDescent="0.3">
      <c r="A65" s="544">
        <v>24</v>
      </c>
      <c r="B65" s="42"/>
      <c r="C65" s="42"/>
      <c r="F65" s="88" t="str">
        <f>'G-1 All Habitats'!B64</f>
        <v>Urban - Other green roof</v>
      </c>
      <c r="G65" s="544" t="s">
        <v>934</v>
      </c>
      <c r="H65" s="544" t="s">
        <v>934</v>
      </c>
      <c r="I65" s="544" t="s">
        <v>934</v>
      </c>
      <c r="J65" s="544" t="s">
        <v>934</v>
      </c>
      <c r="K65" s="544" t="s">
        <v>934</v>
      </c>
      <c r="L65" s="544">
        <v>1</v>
      </c>
      <c r="M65" s="544" t="s">
        <v>934</v>
      </c>
    </row>
    <row r="66" spans="1:13" x14ac:dyDescent="0.3">
      <c r="A66" s="544">
        <v>25</v>
      </c>
      <c r="B66" s="42"/>
      <c r="C66" s="42"/>
      <c r="F66" s="88" t="str">
        <f>'G-1 All Habitats'!B65</f>
        <v>Urban - Facade-bound green wall</v>
      </c>
      <c r="G66" s="544">
        <v>5</v>
      </c>
      <c r="H66" s="544">
        <v>4</v>
      </c>
      <c r="I66" s="544">
        <v>3</v>
      </c>
      <c r="J66" s="544">
        <v>2</v>
      </c>
      <c r="K66" s="544">
        <v>1</v>
      </c>
      <c r="L66" s="544" t="s">
        <v>934</v>
      </c>
      <c r="M66" s="544" t="s">
        <v>934</v>
      </c>
    </row>
    <row r="67" spans="1:13" x14ac:dyDescent="0.3">
      <c r="A67" s="544">
        <v>26</v>
      </c>
      <c r="B67" s="42"/>
      <c r="C67" s="42"/>
      <c r="F67" s="88" t="str">
        <f>'G-1 All Habitats'!B66</f>
        <v>Urban - Ground based green wall</v>
      </c>
      <c r="G67" s="544">
        <v>5</v>
      </c>
      <c r="H67" s="544">
        <v>4</v>
      </c>
      <c r="I67" s="544">
        <v>3</v>
      </c>
      <c r="J67" s="544">
        <v>2</v>
      </c>
      <c r="K67" s="544">
        <v>1</v>
      </c>
      <c r="L67" s="544" t="s">
        <v>934</v>
      </c>
      <c r="M67" s="544" t="s">
        <v>934</v>
      </c>
    </row>
    <row r="68" spans="1:13" x14ac:dyDescent="0.3">
      <c r="A68" s="544">
        <v>27</v>
      </c>
      <c r="B68" s="42"/>
      <c r="C68" s="42"/>
      <c r="F68" s="88" t="str">
        <f>'G-1 All Habitats'!B67</f>
        <v>Urban - Ground level planters</v>
      </c>
      <c r="G68" s="544" t="s">
        <v>934</v>
      </c>
      <c r="H68" s="544" t="s">
        <v>934</v>
      </c>
      <c r="I68" s="544" t="s">
        <v>934</v>
      </c>
      <c r="J68" s="544" t="s">
        <v>934</v>
      </c>
      <c r="K68" s="544" t="s">
        <v>934</v>
      </c>
      <c r="L68" s="544">
        <v>1</v>
      </c>
      <c r="M68" s="544" t="s">
        <v>934</v>
      </c>
    </row>
    <row r="69" spans="1:13" x14ac:dyDescent="0.3">
      <c r="A69" s="544">
        <v>28</v>
      </c>
      <c r="B69" s="42"/>
      <c r="C69" s="42"/>
      <c r="F69" s="88" t="str">
        <f>'G-1 All Habitats'!B68</f>
        <v>Urban - Biodiverse green roof</v>
      </c>
      <c r="G69" s="544">
        <v>10</v>
      </c>
      <c r="H69" s="544">
        <v>8</v>
      </c>
      <c r="I69" s="544">
        <v>5</v>
      </c>
      <c r="J69" s="544">
        <v>3</v>
      </c>
      <c r="K69" s="544">
        <v>1</v>
      </c>
      <c r="L69" s="544" t="s">
        <v>934</v>
      </c>
      <c r="M69" s="544" t="s">
        <v>934</v>
      </c>
    </row>
    <row r="70" spans="1:13" x14ac:dyDescent="0.3">
      <c r="A70" s="544">
        <v>29</v>
      </c>
      <c r="B70" s="42"/>
      <c r="C70" s="42"/>
      <c r="F70" s="88" t="str">
        <f>'G-1 All Habitats'!B69</f>
        <v>Urban - Introduced shrub</v>
      </c>
      <c r="G70" s="544" t="s">
        <v>934</v>
      </c>
      <c r="H70" s="544" t="s">
        <v>934</v>
      </c>
      <c r="I70" s="544" t="s">
        <v>934</v>
      </c>
      <c r="J70" s="544" t="s">
        <v>934</v>
      </c>
      <c r="K70" s="544" t="s">
        <v>934</v>
      </c>
      <c r="L70" s="544">
        <v>1</v>
      </c>
      <c r="M70" s="544" t="s">
        <v>934</v>
      </c>
    </row>
    <row r="71" spans="1:13" x14ac:dyDescent="0.3">
      <c r="A71" s="544">
        <v>30</v>
      </c>
      <c r="B71" s="42"/>
      <c r="C71" s="42"/>
      <c r="F71" s="88" t="str">
        <f>'G-1 All Habitats'!B70</f>
        <v>Urban - Open Mosaic Habitats on Previously Developed Land</v>
      </c>
      <c r="G71" s="544">
        <v>10</v>
      </c>
      <c r="H71" s="544">
        <v>7</v>
      </c>
      <c r="I71" s="544">
        <v>4</v>
      </c>
      <c r="J71" s="544">
        <v>2</v>
      </c>
      <c r="K71" s="544">
        <v>0</v>
      </c>
      <c r="L71" s="544" t="s">
        <v>934</v>
      </c>
      <c r="M71" s="544" t="s">
        <v>934</v>
      </c>
    </row>
    <row r="72" spans="1:13" x14ac:dyDescent="0.3">
      <c r="A72" s="544" t="s">
        <v>935</v>
      </c>
      <c r="B72" s="42"/>
      <c r="C72" s="42"/>
      <c r="F72" s="88" t="str">
        <f>'G-1 All Habitats'!B71</f>
        <v>Urban - Rain garden</v>
      </c>
      <c r="G72" s="544">
        <v>5</v>
      </c>
      <c r="H72" s="544">
        <v>4</v>
      </c>
      <c r="I72" s="544">
        <v>3</v>
      </c>
      <c r="J72" s="544">
        <v>2</v>
      </c>
      <c r="K72" s="544">
        <v>1</v>
      </c>
      <c r="L72" s="544" t="s">
        <v>934</v>
      </c>
      <c r="M72" s="544" t="s">
        <v>934</v>
      </c>
    </row>
    <row r="73" spans="1:13" x14ac:dyDescent="0.3">
      <c r="A73" s="42"/>
      <c r="B73" s="42"/>
      <c r="C73" s="42"/>
      <c r="F73" s="88" t="str">
        <f>'G-1 All Habitats'!B72</f>
        <v>Urban - Actively worked sand pit quarry or open cast mine</v>
      </c>
      <c r="G73" s="544" t="s">
        <v>934</v>
      </c>
      <c r="H73" s="544" t="s">
        <v>934</v>
      </c>
      <c r="I73" s="544" t="s">
        <v>934</v>
      </c>
      <c r="J73" s="544" t="s">
        <v>934</v>
      </c>
      <c r="K73" s="544" t="s">
        <v>934</v>
      </c>
      <c r="L73" s="544">
        <v>1</v>
      </c>
      <c r="M73" s="544" t="s">
        <v>934</v>
      </c>
    </row>
    <row r="74" spans="1:13" x14ac:dyDescent="0.3">
      <c r="A74" s="42"/>
      <c r="B74" s="42"/>
      <c r="C74" s="42"/>
      <c r="F74" s="88" t="str">
        <f>'G-1 All Habitats'!B73</f>
        <v>Urban - Urban Tree</v>
      </c>
      <c r="G74" s="544" t="s">
        <v>935</v>
      </c>
      <c r="H74" s="544" t="s">
        <v>935</v>
      </c>
      <c r="I74" s="544">
        <v>27</v>
      </c>
      <c r="J74" s="544">
        <v>15</v>
      </c>
      <c r="K74" s="544">
        <v>10</v>
      </c>
      <c r="L74" s="544" t="s">
        <v>934</v>
      </c>
      <c r="M74" s="544" t="s">
        <v>934</v>
      </c>
    </row>
    <row r="75" spans="1:13" x14ac:dyDescent="0.3">
      <c r="A75" s="42"/>
      <c r="B75" s="42"/>
      <c r="C75" s="42"/>
      <c r="F75" s="88" t="str">
        <f>'G-1 All Habitats'!B74</f>
        <v>Urban - Sustainable urban drainage feature</v>
      </c>
      <c r="G75" s="544">
        <v>5</v>
      </c>
      <c r="H75" s="544">
        <v>4</v>
      </c>
      <c r="I75" s="544">
        <v>3</v>
      </c>
      <c r="J75" s="544">
        <v>2</v>
      </c>
      <c r="K75" s="544">
        <v>1</v>
      </c>
      <c r="L75" s="544" t="s">
        <v>934</v>
      </c>
      <c r="M75" s="544" t="s">
        <v>934</v>
      </c>
    </row>
    <row r="76" spans="1:13" x14ac:dyDescent="0.3">
      <c r="A76" s="42"/>
      <c r="B76" s="42"/>
      <c r="C76" s="42"/>
      <c r="F76" s="88" t="str">
        <f>'G-1 All Habitats'!B75</f>
        <v>Urban - Un-vegetated garden</v>
      </c>
      <c r="G76" s="544" t="s">
        <v>934</v>
      </c>
      <c r="H76" s="544" t="s">
        <v>934</v>
      </c>
      <c r="I76" s="544" t="s">
        <v>934</v>
      </c>
      <c r="J76" s="544" t="s">
        <v>934</v>
      </c>
      <c r="K76" s="544" t="s">
        <v>934</v>
      </c>
      <c r="L76" s="544" t="s">
        <v>934</v>
      </c>
      <c r="M76" s="544">
        <v>0</v>
      </c>
    </row>
    <row r="77" spans="1:13" x14ac:dyDescent="0.3">
      <c r="A77" s="42"/>
      <c r="B77" s="42"/>
      <c r="C77" s="42"/>
      <c r="F77" s="88" t="str">
        <f>'G-1 All Habitats'!B76</f>
        <v>Urban - Vacant/derelict land/ bareground</v>
      </c>
      <c r="G77" s="544">
        <v>5</v>
      </c>
      <c r="H77" s="544">
        <v>4</v>
      </c>
      <c r="I77" s="544">
        <v>3</v>
      </c>
      <c r="J77" s="544">
        <v>2</v>
      </c>
      <c r="K77" s="544">
        <v>1</v>
      </c>
      <c r="L77" s="544" t="s">
        <v>934</v>
      </c>
      <c r="M77" s="544" t="s">
        <v>934</v>
      </c>
    </row>
    <row r="78" spans="1:13" x14ac:dyDescent="0.3">
      <c r="A78" s="42"/>
      <c r="B78" s="42"/>
      <c r="C78" s="42"/>
      <c r="F78" s="88" t="str">
        <f>'G-1 All Habitats'!B77</f>
        <v>Urban - Vegetated garden</v>
      </c>
      <c r="G78" s="544" t="s">
        <v>934</v>
      </c>
      <c r="H78" s="544" t="s">
        <v>934</v>
      </c>
      <c r="I78" s="544" t="s">
        <v>934</v>
      </c>
      <c r="J78" s="544" t="s">
        <v>934</v>
      </c>
      <c r="K78" s="544" t="s">
        <v>934</v>
      </c>
      <c r="L78" s="544">
        <v>1</v>
      </c>
      <c r="M78" s="544" t="s">
        <v>934</v>
      </c>
    </row>
    <row r="79" spans="1:13" x14ac:dyDescent="0.3">
      <c r="A79" s="42"/>
      <c r="B79" s="42"/>
      <c r="C79" s="42"/>
      <c r="F79" s="88" t="str">
        <f>'G-1 All Habitats'!B78</f>
        <v>Wetland - Blanket bog</v>
      </c>
      <c r="G79" s="544" t="s">
        <v>935</v>
      </c>
      <c r="H79" s="544" t="s">
        <v>935</v>
      </c>
      <c r="I79" s="544" t="s">
        <v>935</v>
      </c>
      <c r="J79" s="544" t="s">
        <v>935</v>
      </c>
      <c r="K79" s="544" t="s">
        <v>935</v>
      </c>
      <c r="L79" s="544" t="s">
        <v>934</v>
      </c>
      <c r="M79" s="544" t="s">
        <v>934</v>
      </c>
    </row>
    <row r="80" spans="1:13" x14ac:dyDescent="0.3">
      <c r="A80" s="42"/>
      <c r="B80" s="42"/>
      <c r="C80" s="42"/>
      <c r="F80" s="88" t="str">
        <f>'G-1 All Habitats'!B79</f>
        <v>Wetland - Depressions on Peat substrates (H7150)</v>
      </c>
      <c r="G80" s="544" t="s">
        <v>935</v>
      </c>
      <c r="H80" s="544" t="s">
        <v>935</v>
      </c>
      <c r="I80" s="544">
        <v>30</v>
      </c>
      <c r="J80" s="544">
        <v>25</v>
      </c>
      <c r="K80" s="544">
        <v>15</v>
      </c>
      <c r="L80" s="544" t="s">
        <v>934</v>
      </c>
      <c r="M80" s="544" t="s">
        <v>934</v>
      </c>
    </row>
    <row r="81" spans="1:13" x14ac:dyDescent="0.3">
      <c r="A81" s="42"/>
      <c r="B81" s="42"/>
      <c r="C81" s="42"/>
      <c r="F81" s="88" t="str">
        <f>'G-1 All Habitats'!B80</f>
        <v>Wetland - Fens (upland and lowland)</v>
      </c>
      <c r="G81" s="544">
        <v>30</v>
      </c>
      <c r="H81" s="544">
        <v>25</v>
      </c>
      <c r="I81" s="544">
        <v>20</v>
      </c>
      <c r="J81" s="544">
        <v>15</v>
      </c>
      <c r="K81" s="544">
        <v>10</v>
      </c>
      <c r="L81" s="544" t="s">
        <v>934</v>
      </c>
      <c r="M81" s="544" t="s">
        <v>934</v>
      </c>
    </row>
    <row r="82" spans="1:13" x14ac:dyDescent="0.3">
      <c r="A82" s="42"/>
      <c r="B82" s="42"/>
      <c r="C82" s="42"/>
      <c r="F82" s="88" t="str">
        <f>'G-1 All Habitats'!B81</f>
        <v>Wetland - Lowland raised bog</v>
      </c>
      <c r="G82" s="544" t="s">
        <v>935</v>
      </c>
      <c r="H82" s="544" t="s">
        <v>935</v>
      </c>
      <c r="I82" s="544">
        <v>30</v>
      </c>
      <c r="J82" s="544">
        <v>20</v>
      </c>
      <c r="K82" s="544">
        <v>15</v>
      </c>
      <c r="L82" s="544" t="s">
        <v>934</v>
      </c>
      <c r="M82" s="544" t="s">
        <v>934</v>
      </c>
    </row>
    <row r="83" spans="1:13" x14ac:dyDescent="0.3">
      <c r="A83" s="42"/>
      <c r="B83" s="42"/>
      <c r="C83" s="42"/>
      <c r="F83" s="88" t="str">
        <f>'G-1 All Habitats'!B82</f>
        <v>Wetland - Oceanic Valley Mire[1] (D2.1)</v>
      </c>
      <c r="G83" s="544" t="s">
        <v>935</v>
      </c>
      <c r="H83" s="544" t="s">
        <v>935</v>
      </c>
      <c r="I83" s="544">
        <v>30</v>
      </c>
      <c r="J83" s="544">
        <v>20</v>
      </c>
      <c r="K83" s="544">
        <v>15</v>
      </c>
      <c r="L83" s="544" t="s">
        <v>934</v>
      </c>
      <c r="M83" s="544" t="s">
        <v>934</v>
      </c>
    </row>
    <row r="84" spans="1:13" x14ac:dyDescent="0.3">
      <c r="A84" s="42"/>
      <c r="B84" s="42"/>
      <c r="C84" s="42"/>
      <c r="F84" s="88" t="str">
        <f>'G-1 All Habitats'!B83</f>
        <v>Wetland - Purple moor grass and rush pastures</v>
      </c>
      <c r="G84" s="544">
        <v>30</v>
      </c>
      <c r="H84" s="544">
        <v>25</v>
      </c>
      <c r="I84" s="544">
        <v>20</v>
      </c>
      <c r="J84" s="544">
        <v>15</v>
      </c>
      <c r="K84" s="544">
        <v>10</v>
      </c>
      <c r="L84" s="544" t="s">
        <v>934</v>
      </c>
      <c r="M84" s="544" t="s">
        <v>934</v>
      </c>
    </row>
    <row r="85" spans="1:13" x14ac:dyDescent="0.3">
      <c r="A85" s="42"/>
      <c r="B85" s="42"/>
      <c r="C85" s="42"/>
      <c r="F85" s="88" t="str">
        <f>'G-1 All Habitats'!B84</f>
        <v>Wetland - Reedbeds</v>
      </c>
      <c r="G85" s="544">
        <v>12</v>
      </c>
      <c r="H85" s="544">
        <v>10</v>
      </c>
      <c r="I85" s="544">
        <v>7</v>
      </c>
      <c r="J85" s="544">
        <v>5</v>
      </c>
      <c r="K85" s="544">
        <v>3</v>
      </c>
      <c r="L85" s="544" t="s">
        <v>934</v>
      </c>
      <c r="M85" s="544" t="s">
        <v>934</v>
      </c>
    </row>
    <row r="86" spans="1:13" x14ac:dyDescent="0.3">
      <c r="A86" s="42"/>
      <c r="B86" s="42"/>
      <c r="C86" s="42"/>
      <c r="F86" s="88" t="str">
        <f>'G-1 All Habitats'!B85</f>
        <v>Wetland - Transition mires and quaking bogs (H7140)</v>
      </c>
      <c r="G86" s="544" t="s">
        <v>935</v>
      </c>
      <c r="H86" s="544" t="s">
        <v>935</v>
      </c>
      <c r="I86" s="544">
        <v>30</v>
      </c>
      <c r="J86" s="544">
        <v>25</v>
      </c>
      <c r="K86" s="544">
        <v>15</v>
      </c>
      <c r="L86" s="544" t="s">
        <v>934</v>
      </c>
      <c r="M86" s="544" t="s">
        <v>934</v>
      </c>
    </row>
    <row r="87" spans="1:13" x14ac:dyDescent="0.3">
      <c r="A87" s="42"/>
      <c r="B87" s="42"/>
      <c r="C87" s="42"/>
      <c r="F87" s="88" t="str">
        <f>'G-1 All Habitats'!B86</f>
        <v>Woodland and forest - Felled</v>
      </c>
      <c r="G87" s="544" t="s">
        <v>935</v>
      </c>
      <c r="H87" s="544" t="s">
        <v>934</v>
      </c>
      <c r="I87" s="544" t="s">
        <v>934</v>
      </c>
      <c r="J87" s="544" t="s">
        <v>934</v>
      </c>
      <c r="K87" s="544" t="s">
        <v>934</v>
      </c>
      <c r="L87" s="544" t="s">
        <v>934</v>
      </c>
      <c r="M87" s="544" t="s">
        <v>934</v>
      </c>
    </row>
    <row r="88" spans="1:13" x14ac:dyDescent="0.3">
      <c r="A88" s="42"/>
      <c r="B88" s="42"/>
      <c r="C88" s="42"/>
      <c r="F88" s="88" t="str">
        <f>'G-1 All Habitats'!B87</f>
        <v>Woodland and forest - Lowland beech and yew woodland</v>
      </c>
      <c r="G88" s="544" t="s">
        <v>935</v>
      </c>
      <c r="H88" s="544" t="s">
        <v>935</v>
      </c>
      <c r="I88" s="544" t="s">
        <v>935</v>
      </c>
      <c r="J88" s="544">
        <v>25</v>
      </c>
      <c r="K88" s="544">
        <v>10</v>
      </c>
      <c r="L88" s="544" t="s">
        <v>934</v>
      </c>
      <c r="M88" s="544" t="s">
        <v>934</v>
      </c>
    </row>
    <row r="89" spans="1:13" x14ac:dyDescent="0.3">
      <c r="A89" s="42"/>
      <c r="B89" s="42"/>
      <c r="C89" s="42"/>
      <c r="F89" s="88" t="str">
        <f>'G-1 All Habitats'!B88</f>
        <v>Woodland and forest - Lowland mixed deciduous woodland</v>
      </c>
      <c r="G89" s="544" t="s">
        <v>935</v>
      </c>
      <c r="H89" s="544" t="s">
        <v>935</v>
      </c>
      <c r="I89" s="544" t="s">
        <v>935</v>
      </c>
      <c r="J89" s="544">
        <v>25</v>
      </c>
      <c r="K89" s="544">
        <v>10</v>
      </c>
      <c r="L89" s="544" t="s">
        <v>934</v>
      </c>
      <c r="M89" s="544" t="s">
        <v>934</v>
      </c>
    </row>
    <row r="90" spans="1:13" x14ac:dyDescent="0.3">
      <c r="A90" s="42"/>
      <c r="B90" s="42"/>
      <c r="C90" s="42"/>
      <c r="F90" s="88" t="str">
        <f>'G-1 All Habitats'!B89</f>
        <v>Woodland and forest - Native pine woodlands</v>
      </c>
      <c r="G90" s="544" t="s">
        <v>935</v>
      </c>
      <c r="H90" s="544" t="s">
        <v>935</v>
      </c>
      <c r="I90" s="544" t="s">
        <v>935</v>
      </c>
      <c r="J90" s="544">
        <v>25</v>
      </c>
      <c r="K90" s="544">
        <v>10</v>
      </c>
      <c r="L90" s="544" t="s">
        <v>934</v>
      </c>
      <c r="M90" s="544" t="s">
        <v>934</v>
      </c>
    </row>
    <row r="91" spans="1:13" x14ac:dyDescent="0.3">
      <c r="A91" s="42"/>
      <c r="B91" s="42"/>
      <c r="C91" s="42"/>
      <c r="F91" s="88" t="str">
        <f>'G-1 All Habitats'!B90</f>
        <v>Woodland and forest - Other coniferous woodland</v>
      </c>
      <c r="G91" s="544" t="s">
        <v>935</v>
      </c>
      <c r="H91" s="544" t="s">
        <v>935</v>
      </c>
      <c r="I91" s="544">
        <v>30</v>
      </c>
      <c r="J91" s="544">
        <v>10</v>
      </c>
      <c r="K91" s="544">
        <v>5</v>
      </c>
      <c r="L91" s="544" t="s">
        <v>934</v>
      </c>
      <c r="M91" s="544" t="s">
        <v>934</v>
      </c>
    </row>
    <row r="92" spans="1:13" x14ac:dyDescent="0.3">
      <c r="A92" s="42"/>
      <c r="B92" s="42"/>
      <c r="C92" s="42"/>
      <c r="F92" s="88" t="str">
        <f>'G-1 All Habitats'!B91</f>
        <v>Woodland and forest - Other Scot's Pine woodland</v>
      </c>
      <c r="G92" s="544" t="s">
        <v>935</v>
      </c>
      <c r="H92" s="544" t="s">
        <v>935</v>
      </c>
      <c r="I92" s="544" t="s">
        <v>935</v>
      </c>
      <c r="J92" s="544">
        <v>25</v>
      </c>
      <c r="K92" s="544">
        <v>10</v>
      </c>
      <c r="L92" s="544" t="s">
        <v>934</v>
      </c>
      <c r="M92" s="544" t="s">
        <v>934</v>
      </c>
    </row>
    <row r="93" spans="1:13" x14ac:dyDescent="0.3">
      <c r="A93" s="42"/>
      <c r="B93" s="42"/>
      <c r="C93" s="42"/>
      <c r="F93" s="88" t="str">
        <f>'G-1 All Habitats'!B92</f>
        <v>Woodland and forest - Other woodland; broadleaved</v>
      </c>
      <c r="G93" s="544" t="s">
        <v>935</v>
      </c>
      <c r="H93" s="544">
        <v>25</v>
      </c>
      <c r="I93" s="544">
        <v>15</v>
      </c>
      <c r="J93" s="544">
        <v>7</v>
      </c>
      <c r="K93" s="544">
        <v>5</v>
      </c>
      <c r="L93" s="544" t="s">
        <v>934</v>
      </c>
      <c r="M93" s="544" t="s">
        <v>934</v>
      </c>
    </row>
    <row r="94" spans="1:13" x14ac:dyDescent="0.3">
      <c r="A94" s="42"/>
      <c r="B94" s="42"/>
      <c r="C94" s="42"/>
      <c r="F94" s="88" t="str">
        <f>'G-1 All Habitats'!B93</f>
        <v>Woodland and forest - Other woodland; mixed</v>
      </c>
      <c r="G94" s="544" t="s">
        <v>935</v>
      </c>
      <c r="H94" s="544" t="s">
        <v>935</v>
      </c>
      <c r="I94" s="544">
        <v>30</v>
      </c>
      <c r="J94" s="544">
        <v>10</v>
      </c>
      <c r="K94" s="544">
        <v>5</v>
      </c>
      <c r="L94" s="544" t="s">
        <v>934</v>
      </c>
      <c r="M94" s="544" t="s">
        <v>934</v>
      </c>
    </row>
    <row r="95" spans="1:13" x14ac:dyDescent="0.3">
      <c r="A95" s="42"/>
      <c r="B95" s="42"/>
      <c r="C95" s="42"/>
      <c r="F95" s="88" t="str">
        <f>'G-1 All Habitats'!B94</f>
        <v>Woodland and forest - Upland birchwoods</v>
      </c>
      <c r="G95" s="544" t="s">
        <v>935</v>
      </c>
      <c r="H95" s="544">
        <v>30</v>
      </c>
      <c r="I95" s="544">
        <v>25</v>
      </c>
      <c r="J95" s="544">
        <v>20</v>
      </c>
      <c r="K95" s="544">
        <v>10</v>
      </c>
      <c r="L95" s="544" t="s">
        <v>934</v>
      </c>
      <c r="M95" s="544" t="s">
        <v>934</v>
      </c>
    </row>
    <row r="96" spans="1:13" x14ac:dyDescent="0.3">
      <c r="A96" s="42"/>
      <c r="B96" s="42"/>
      <c r="C96" s="42"/>
      <c r="F96" s="88" t="str">
        <f>'G-1 All Habitats'!B95</f>
        <v>Woodland and forest - Upland mixed ashwoods</v>
      </c>
      <c r="G96" s="544" t="s">
        <v>935</v>
      </c>
      <c r="H96" s="544" t="s">
        <v>935</v>
      </c>
      <c r="I96" s="544" t="s">
        <v>935</v>
      </c>
      <c r="J96" s="544">
        <v>25</v>
      </c>
      <c r="K96" s="544">
        <v>10</v>
      </c>
      <c r="L96" s="544" t="s">
        <v>934</v>
      </c>
      <c r="M96" s="544" t="s">
        <v>934</v>
      </c>
    </row>
    <row r="97" spans="1:13" x14ac:dyDescent="0.3">
      <c r="A97" s="42"/>
      <c r="B97" s="42"/>
      <c r="C97" s="42"/>
      <c r="F97" s="88" t="str">
        <f>'G-1 All Habitats'!B96</f>
        <v>Woodland and forest - Upland oakwood</v>
      </c>
      <c r="G97" s="544" t="s">
        <v>935</v>
      </c>
      <c r="H97" s="544" t="s">
        <v>935</v>
      </c>
      <c r="I97" s="544" t="s">
        <v>935</v>
      </c>
      <c r="J97" s="544">
        <v>25</v>
      </c>
      <c r="K97" s="544">
        <v>10</v>
      </c>
      <c r="L97" s="544" t="s">
        <v>934</v>
      </c>
      <c r="M97" s="544" t="s">
        <v>934</v>
      </c>
    </row>
    <row r="98" spans="1:13" x14ac:dyDescent="0.3">
      <c r="A98" s="42"/>
      <c r="B98" s="42"/>
      <c r="C98" s="42"/>
      <c r="F98" s="88" t="str">
        <f>'G-1 All Habitats'!B97</f>
        <v>Woodland and forest - Wet woodland</v>
      </c>
      <c r="G98" s="544" t="s">
        <v>935</v>
      </c>
      <c r="H98" s="544">
        <v>30</v>
      </c>
      <c r="I98" s="544">
        <v>15</v>
      </c>
      <c r="J98" s="544">
        <v>10</v>
      </c>
      <c r="K98" s="544">
        <v>5</v>
      </c>
      <c r="L98" s="544" t="s">
        <v>934</v>
      </c>
      <c r="M98" s="544" t="s">
        <v>934</v>
      </c>
    </row>
    <row r="99" spans="1:13" x14ac:dyDescent="0.3">
      <c r="F99" s="88" t="str">
        <f>'G-1 All Habitats'!B98</f>
        <v>Woodland and forest - Wood-pasture and parkland</v>
      </c>
      <c r="G99" s="544" t="s">
        <v>935</v>
      </c>
      <c r="H99" s="544" t="s">
        <v>935</v>
      </c>
      <c r="I99" s="544" t="s">
        <v>935</v>
      </c>
      <c r="J99" s="544">
        <v>25</v>
      </c>
      <c r="K99" s="544">
        <v>10</v>
      </c>
      <c r="L99" s="544" t="s">
        <v>934</v>
      </c>
      <c r="M99" s="544" t="s">
        <v>934</v>
      </c>
    </row>
    <row r="100" spans="1:13" x14ac:dyDescent="0.3">
      <c r="F100" s="88" t="str">
        <f>'G-1 All Habitats'!B99</f>
        <v>Coastal lagoons - Coastal lagoons</v>
      </c>
      <c r="G100" s="544">
        <v>10</v>
      </c>
      <c r="H100" s="544">
        <v>8</v>
      </c>
      <c r="I100" s="544">
        <v>5</v>
      </c>
      <c r="J100" s="544">
        <v>3</v>
      </c>
      <c r="K100" s="544">
        <v>1</v>
      </c>
      <c r="L100" s="544" t="s">
        <v>934</v>
      </c>
      <c r="M100" s="544" t="s">
        <v>934</v>
      </c>
    </row>
    <row r="101" spans="1:13" x14ac:dyDescent="0.3">
      <c r="F101" s="88" t="str">
        <f>'G-1 All Habitats'!B100</f>
        <v>Rocky shore - High energy littoral rock</v>
      </c>
      <c r="G101" s="544">
        <v>10</v>
      </c>
      <c r="H101" s="544">
        <v>7</v>
      </c>
      <c r="I101" s="544">
        <v>4</v>
      </c>
      <c r="J101" s="544">
        <v>2</v>
      </c>
      <c r="K101" s="544">
        <v>1</v>
      </c>
      <c r="L101" s="544" t="s">
        <v>934</v>
      </c>
      <c r="M101" s="544" t="s">
        <v>934</v>
      </c>
    </row>
    <row r="102" spans="1:13" x14ac:dyDescent="0.3">
      <c r="F102" s="88" t="str">
        <f>'G-1 All Habitats'!B101</f>
        <v>Rocky shore - High energy littoral rock - on peat, clay or chalk</v>
      </c>
      <c r="G102" s="544" t="s">
        <v>935</v>
      </c>
      <c r="H102" s="544" t="s">
        <v>935</v>
      </c>
      <c r="I102" s="544" t="s">
        <v>935</v>
      </c>
      <c r="J102" s="544" t="s">
        <v>935</v>
      </c>
      <c r="K102" s="544" t="s">
        <v>935</v>
      </c>
      <c r="L102" s="544" t="s">
        <v>934</v>
      </c>
      <c r="M102" s="544" t="s">
        <v>934</v>
      </c>
    </row>
    <row r="103" spans="1:13" x14ac:dyDescent="0.3">
      <c r="F103" s="88" t="str">
        <f>'G-1 All Habitats'!B102</f>
        <v>Rocky shore - Moderate energy littoral rock</v>
      </c>
      <c r="G103" s="544">
        <v>13</v>
      </c>
      <c r="H103" s="544">
        <v>8</v>
      </c>
      <c r="I103" s="544">
        <v>4</v>
      </c>
      <c r="J103" s="544">
        <v>2</v>
      </c>
      <c r="K103" s="544">
        <v>1</v>
      </c>
      <c r="L103" s="544" t="s">
        <v>934</v>
      </c>
      <c r="M103" s="544" t="s">
        <v>934</v>
      </c>
    </row>
    <row r="104" spans="1:13" x14ac:dyDescent="0.3">
      <c r="F104" s="88" t="str">
        <f>'G-1 All Habitats'!B103</f>
        <v>Rocky shore - Moderate energy littoral rock - on peat, clay or chalk</v>
      </c>
      <c r="G104" s="544" t="s">
        <v>935</v>
      </c>
      <c r="H104" s="544" t="s">
        <v>935</v>
      </c>
      <c r="I104" s="544" t="s">
        <v>935</v>
      </c>
      <c r="J104" s="544" t="s">
        <v>935</v>
      </c>
      <c r="K104" s="544" t="s">
        <v>935</v>
      </c>
      <c r="L104" s="544" t="s">
        <v>934</v>
      </c>
      <c r="M104" s="544" t="s">
        <v>934</v>
      </c>
    </row>
    <row r="105" spans="1:13" x14ac:dyDescent="0.3">
      <c r="F105" s="88" t="str">
        <f>'G-1 All Habitats'!B104</f>
        <v>Rocky shore - Low energy littoral rock</v>
      </c>
      <c r="G105" s="544">
        <v>15</v>
      </c>
      <c r="H105" s="544">
        <v>10</v>
      </c>
      <c r="I105" s="544">
        <v>5</v>
      </c>
      <c r="J105" s="544">
        <v>1</v>
      </c>
      <c r="K105" s="544">
        <v>1</v>
      </c>
      <c r="L105" s="544" t="s">
        <v>934</v>
      </c>
      <c r="M105" s="544" t="s">
        <v>934</v>
      </c>
    </row>
    <row r="106" spans="1:13" x14ac:dyDescent="0.3">
      <c r="F106" s="88" t="str">
        <f>'G-1 All Habitats'!B105</f>
        <v>Rocky shore - Low energy littoral rock - on peat, clay or chalk</v>
      </c>
      <c r="G106" s="544" t="s">
        <v>935</v>
      </c>
      <c r="H106" s="544" t="s">
        <v>935</v>
      </c>
      <c r="I106" s="544" t="s">
        <v>935</v>
      </c>
      <c r="J106" s="544" t="s">
        <v>935</v>
      </c>
      <c r="K106" s="544" t="s">
        <v>935</v>
      </c>
      <c r="L106" s="544" t="s">
        <v>934</v>
      </c>
      <c r="M106" s="544" t="s">
        <v>934</v>
      </c>
    </row>
    <row r="107" spans="1:13" x14ac:dyDescent="0.3">
      <c r="F107" s="88" t="str">
        <f>'G-1 All Habitats'!B106</f>
        <v>Rocky shore - Features of littoral rock</v>
      </c>
      <c r="G107" s="544">
        <v>13</v>
      </c>
      <c r="H107" s="544">
        <v>8</v>
      </c>
      <c r="I107" s="544">
        <v>4</v>
      </c>
      <c r="J107" s="544">
        <v>2</v>
      </c>
      <c r="K107" s="544">
        <v>1</v>
      </c>
      <c r="L107" s="544" t="s">
        <v>934</v>
      </c>
      <c r="M107" s="544" t="s">
        <v>934</v>
      </c>
    </row>
    <row r="108" spans="1:13" x14ac:dyDescent="0.3">
      <c r="F108" s="88" t="str">
        <f>'G-1 All Habitats'!B107</f>
        <v>Rocky shore - Features of littoral rock - on peat, clay or chalk</v>
      </c>
      <c r="G108" s="544" t="s">
        <v>935</v>
      </c>
      <c r="H108" s="544" t="s">
        <v>935</v>
      </c>
      <c r="I108" s="544" t="s">
        <v>935</v>
      </c>
      <c r="J108" s="544" t="s">
        <v>935</v>
      </c>
      <c r="K108" s="544" t="s">
        <v>935</v>
      </c>
      <c r="L108" s="544" t="s">
        <v>934</v>
      </c>
      <c r="M108" s="544" t="s">
        <v>934</v>
      </c>
    </row>
    <row r="109" spans="1:13" x14ac:dyDescent="0.3">
      <c r="F109" s="88" t="str">
        <f>'G-1 All Habitats'!B110</f>
        <v>Intertidal sediment - Littoral coarse sediment</v>
      </c>
      <c r="G109" s="544">
        <v>3</v>
      </c>
      <c r="H109" s="544">
        <v>2</v>
      </c>
      <c r="I109" s="544">
        <v>1</v>
      </c>
      <c r="J109" s="544">
        <v>1</v>
      </c>
      <c r="K109" s="544">
        <v>1</v>
      </c>
      <c r="L109" s="544" t="s">
        <v>934</v>
      </c>
      <c r="M109" s="544" t="s">
        <v>934</v>
      </c>
    </row>
    <row r="110" spans="1:13" x14ac:dyDescent="0.3">
      <c r="F110" s="88" t="str">
        <f>'G-1 All Habitats'!B111</f>
        <v>Intertidal sediment - Littoral mud</v>
      </c>
      <c r="G110" s="544">
        <v>6</v>
      </c>
      <c r="H110" s="544">
        <v>4</v>
      </c>
      <c r="I110" s="544">
        <v>3</v>
      </c>
      <c r="J110" s="544">
        <v>2</v>
      </c>
      <c r="K110" s="544">
        <v>1</v>
      </c>
      <c r="L110" s="544" t="s">
        <v>934</v>
      </c>
      <c r="M110" s="544" t="s">
        <v>934</v>
      </c>
    </row>
    <row r="111" spans="1:13" x14ac:dyDescent="0.3">
      <c r="F111" s="88" t="str">
        <f>'G-1 All Habitats'!B112</f>
        <v>Intertidal sediment - Littoral mixed sediments</v>
      </c>
      <c r="G111" s="544">
        <v>5</v>
      </c>
      <c r="H111" s="544">
        <v>4</v>
      </c>
      <c r="I111" s="544">
        <v>3</v>
      </c>
      <c r="J111" s="544">
        <v>2</v>
      </c>
      <c r="K111" s="544">
        <v>1</v>
      </c>
      <c r="L111" s="544" t="s">
        <v>934</v>
      </c>
      <c r="M111" s="544" t="s">
        <v>934</v>
      </c>
    </row>
    <row r="112" spans="1:13" x14ac:dyDescent="0.3">
      <c r="F112" s="88" t="str">
        <f>'G-1 All Habitats'!B108</f>
        <v>Coastal saltmarsh - Saltmarshes and saline reedbeds</v>
      </c>
      <c r="G112" s="544">
        <v>15</v>
      </c>
      <c r="H112" s="544">
        <v>10</v>
      </c>
      <c r="I112" s="544">
        <v>7</v>
      </c>
      <c r="J112" s="544">
        <v>3</v>
      </c>
      <c r="K112" s="544">
        <v>1</v>
      </c>
      <c r="L112" s="544" t="s">
        <v>934</v>
      </c>
      <c r="M112" s="544" t="s">
        <v>934</v>
      </c>
    </row>
    <row r="113" spans="6:13" x14ac:dyDescent="0.3">
      <c r="F113" s="88" t="str">
        <f>'G-1 All Habitats'!B109</f>
        <v>Coastal saltmarsh - Artificial saltmarshes and saline reedbeds</v>
      </c>
      <c r="G113" s="544">
        <v>15</v>
      </c>
      <c r="H113" s="544">
        <v>10</v>
      </c>
      <c r="I113" s="544">
        <v>7</v>
      </c>
      <c r="J113" s="544">
        <v>3</v>
      </c>
      <c r="K113" s="544">
        <v>1</v>
      </c>
      <c r="L113" s="544" t="s">
        <v>934</v>
      </c>
      <c r="M113" s="544" t="s">
        <v>934</v>
      </c>
    </row>
    <row r="114" spans="6:13" x14ac:dyDescent="0.3">
      <c r="F114" s="88" t="str">
        <f>'G-1 All Habitats'!B113</f>
        <v>Intertidal sediment - Littoral seagrass</v>
      </c>
      <c r="G114" s="544">
        <v>20</v>
      </c>
      <c r="H114" s="544">
        <v>15</v>
      </c>
      <c r="I114" s="544">
        <v>10</v>
      </c>
      <c r="J114" s="544">
        <v>5</v>
      </c>
      <c r="K114" s="544">
        <v>2</v>
      </c>
      <c r="L114" s="544" t="s">
        <v>934</v>
      </c>
      <c r="M114" s="544" t="s">
        <v>934</v>
      </c>
    </row>
    <row r="115" spans="6:13" x14ac:dyDescent="0.3">
      <c r="F115" s="88" t="str">
        <f>'G-1 All Habitats'!B114</f>
        <v>Intertidal sediment - Littoral seagrass on peat, clay or chalk</v>
      </c>
      <c r="G115" s="544" t="s">
        <v>935</v>
      </c>
      <c r="H115" s="544" t="s">
        <v>935</v>
      </c>
      <c r="I115" s="544" t="s">
        <v>935</v>
      </c>
      <c r="J115" s="544" t="s">
        <v>935</v>
      </c>
      <c r="K115" s="544" t="s">
        <v>935</v>
      </c>
      <c r="L115" s="544" t="s">
        <v>934</v>
      </c>
      <c r="M115" s="544" t="s">
        <v>934</v>
      </c>
    </row>
    <row r="116" spans="6:13" x14ac:dyDescent="0.3">
      <c r="F116" s="88" t="str">
        <f>'G-1 All Habitats'!B115</f>
        <v>Intertidal sediment - Littoral biogenic reefs - Mussels</v>
      </c>
      <c r="G116" s="544">
        <v>15</v>
      </c>
      <c r="H116" s="544">
        <v>10</v>
      </c>
      <c r="I116" s="544">
        <v>5</v>
      </c>
      <c r="J116" s="544">
        <v>3</v>
      </c>
      <c r="K116" s="544">
        <v>3</v>
      </c>
      <c r="L116" s="544" t="s">
        <v>934</v>
      </c>
      <c r="M116" s="544" t="s">
        <v>934</v>
      </c>
    </row>
    <row r="117" spans="6:13" x14ac:dyDescent="0.3">
      <c r="F117" s="88" t="str">
        <f>'G-1 All Habitats'!B116</f>
        <v>Intertidal sediment - Littoral biogenic reefs - Sabellaria</v>
      </c>
      <c r="G117" s="544">
        <v>15</v>
      </c>
      <c r="H117" s="544">
        <v>10</v>
      </c>
      <c r="I117" s="544">
        <v>5</v>
      </c>
      <c r="J117" s="544">
        <v>3</v>
      </c>
      <c r="K117" s="544">
        <v>3</v>
      </c>
      <c r="L117" s="544" t="s">
        <v>934</v>
      </c>
      <c r="M117" s="544" t="s">
        <v>934</v>
      </c>
    </row>
    <row r="118" spans="6:13" x14ac:dyDescent="0.3">
      <c r="F118" s="88" t="str">
        <f>'G-1 All Habitats'!B117</f>
        <v>Intertidal sediment - Features of littoral sediment</v>
      </c>
      <c r="G118" s="544">
        <v>10</v>
      </c>
      <c r="H118" s="544">
        <v>7</v>
      </c>
      <c r="I118" s="544">
        <v>5</v>
      </c>
      <c r="J118" s="544">
        <v>3</v>
      </c>
      <c r="K118" s="544">
        <v>3</v>
      </c>
      <c r="L118" s="544" t="s">
        <v>934</v>
      </c>
      <c r="M118" s="544" t="s">
        <v>934</v>
      </c>
    </row>
    <row r="119" spans="6:13" x14ac:dyDescent="0.3">
      <c r="F119" s="88" t="str">
        <f>'G-1 All Habitats'!B118</f>
        <v>Intertidal sediment - Artificial littoral coarse sediment</v>
      </c>
      <c r="G119" s="544">
        <v>3</v>
      </c>
      <c r="H119" s="544">
        <v>2</v>
      </c>
      <c r="I119" s="544">
        <v>1</v>
      </c>
      <c r="J119" s="544">
        <v>1</v>
      </c>
      <c r="K119" s="544">
        <v>1</v>
      </c>
      <c r="L119" s="544" t="s">
        <v>934</v>
      </c>
      <c r="M119" s="544" t="s">
        <v>934</v>
      </c>
    </row>
    <row r="120" spans="6:13" x14ac:dyDescent="0.3">
      <c r="F120" s="88" t="str">
        <f>'G-1 All Habitats'!B119</f>
        <v>Intertidal sediment - Artificial littoral mud</v>
      </c>
      <c r="G120" s="544">
        <v>6</v>
      </c>
      <c r="H120" s="544">
        <v>4</v>
      </c>
      <c r="I120" s="544">
        <v>3</v>
      </c>
      <c r="J120" s="544">
        <v>2</v>
      </c>
      <c r="K120" s="544">
        <v>1</v>
      </c>
      <c r="L120" s="544" t="s">
        <v>934</v>
      </c>
      <c r="M120" s="544" t="s">
        <v>934</v>
      </c>
    </row>
    <row r="121" spans="6:13" x14ac:dyDescent="0.3">
      <c r="F121" s="88" t="str">
        <f>'G-1 All Habitats'!B120</f>
        <v>Intertidal sediment - Artificial littoral sand</v>
      </c>
      <c r="G121" s="544">
        <v>4</v>
      </c>
      <c r="H121" s="544">
        <v>2</v>
      </c>
      <c r="I121" s="544">
        <v>1</v>
      </c>
      <c r="J121" s="544">
        <v>1</v>
      </c>
      <c r="K121" s="544">
        <v>1</v>
      </c>
      <c r="L121" s="544" t="s">
        <v>934</v>
      </c>
      <c r="M121" s="544" t="s">
        <v>934</v>
      </c>
    </row>
    <row r="122" spans="6:13" x14ac:dyDescent="0.3">
      <c r="F122" s="88" t="str">
        <f>'G-1 All Habitats'!B121</f>
        <v>Intertidal sediment - Artificial littoral muddy sand</v>
      </c>
      <c r="G122" s="544">
        <v>5</v>
      </c>
      <c r="H122" s="544">
        <v>4</v>
      </c>
      <c r="I122" s="544">
        <v>3</v>
      </c>
      <c r="J122" s="544">
        <v>2</v>
      </c>
      <c r="K122" s="544">
        <v>1</v>
      </c>
      <c r="L122" s="544" t="s">
        <v>934</v>
      </c>
      <c r="M122" s="544" t="s">
        <v>934</v>
      </c>
    </row>
    <row r="123" spans="6:13" x14ac:dyDescent="0.3">
      <c r="F123" s="88" t="str">
        <f>'G-1 All Habitats'!B122</f>
        <v>Intertidal sediment - Artificial littoral mixed sediments</v>
      </c>
      <c r="G123" s="544">
        <v>5</v>
      </c>
      <c r="H123" s="544">
        <v>4</v>
      </c>
      <c r="I123" s="544">
        <v>3</v>
      </c>
      <c r="J123" s="544">
        <v>2</v>
      </c>
      <c r="K123" s="544">
        <v>1</v>
      </c>
      <c r="L123" s="544" t="s">
        <v>934</v>
      </c>
      <c r="M123" s="544" t="s">
        <v>934</v>
      </c>
    </row>
    <row r="124" spans="6:13" x14ac:dyDescent="0.3">
      <c r="F124" s="88" t="str">
        <f>'G-1 All Habitats'!B123</f>
        <v>Intertidal sediment - Artificial littoral seagrass</v>
      </c>
      <c r="G124" s="544">
        <v>20</v>
      </c>
      <c r="H124" s="544">
        <v>15</v>
      </c>
      <c r="I124" s="544">
        <v>10</v>
      </c>
      <c r="J124" s="544">
        <v>5</v>
      </c>
      <c r="K124" s="544">
        <v>2</v>
      </c>
      <c r="L124" s="544" t="s">
        <v>934</v>
      </c>
      <c r="M124" s="544" t="s">
        <v>934</v>
      </c>
    </row>
    <row r="125" spans="6:13" x14ac:dyDescent="0.3">
      <c r="F125" s="88" t="str">
        <f>'G-1 All Habitats'!B124</f>
        <v>Intertidal sediment - Artificial littoral biogenic reefs</v>
      </c>
      <c r="G125" s="544">
        <v>15</v>
      </c>
      <c r="H125" s="544">
        <v>10</v>
      </c>
      <c r="I125" s="544">
        <v>5</v>
      </c>
      <c r="J125" s="544">
        <v>3</v>
      </c>
      <c r="K125" s="544">
        <v>3</v>
      </c>
      <c r="L125" s="544" t="s">
        <v>934</v>
      </c>
      <c r="M125" s="544" t="s">
        <v>934</v>
      </c>
    </row>
    <row r="126" spans="6:13" x14ac:dyDescent="0.3">
      <c r="F126" s="88" t="str">
        <f>'G-1 All Habitats'!B125</f>
        <v>Intertidal sediment - Littoral sand</v>
      </c>
      <c r="G126" s="544">
        <v>4</v>
      </c>
      <c r="H126" s="544">
        <v>2</v>
      </c>
      <c r="I126" s="544">
        <v>1</v>
      </c>
      <c r="J126" s="544">
        <v>1</v>
      </c>
      <c r="K126" s="544">
        <v>1</v>
      </c>
      <c r="L126" s="544" t="s">
        <v>934</v>
      </c>
      <c r="M126" s="544" t="s">
        <v>934</v>
      </c>
    </row>
    <row r="127" spans="6:13" x14ac:dyDescent="0.3">
      <c r="F127" s="88" t="str">
        <f>'G-1 All Habitats'!B126</f>
        <v>Intertidal sediment - Littoral muddy sand</v>
      </c>
      <c r="G127" s="544">
        <v>5</v>
      </c>
      <c r="H127" s="544">
        <v>4</v>
      </c>
      <c r="I127" s="544">
        <v>3</v>
      </c>
      <c r="J127" s="544">
        <v>2</v>
      </c>
      <c r="K127" s="544">
        <v>1</v>
      </c>
      <c r="L127" s="544" t="s">
        <v>934</v>
      </c>
      <c r="M127" s="544" t="s">
        <v>934</v>
      </c>
    </row>
    <row r="128" spans="6:13" x14ac:dyDescent="0.3">
      <c r="F128" s="88" t="str">
        <f>'G-1 All Habitats'!B127</f>
        <v>Intertidal Hard Structures - Artificial hard structures</v>
      </c>
      <c r="G128" s="544">
        <v>15</v>
      </c>
      <c r="H128" s="544">
        <v>10</v>
      </c>
      <c r="I128" s="544">
        <v>5</v>
      </c>
      <c r="J128" s="544">
        <v>2</v>
      </c>
      <c r="K128" s="544">
        <v>1</v>
      </c>
      <c r="L128" s="544" t="s">
        <v>934</v>
      </c>
      <c r="M128" s="544" t="s">
        <v>934</v>
      </c>
    </row>
    <row r="129" spans="6:13" x14ac:dyDescent="0.3">
      <c r="F129" s="88" t="str">
        <f>'G-1 All Habitats'!B128</f>
        <v>Intertidal Hard Structures - Artificial features of hard structures</v>
      </c>
      <c r="G129" s="544">
        <v>13</v>
      </c>
      <c r="H129" s="544">
        <v>8</v>
      </c>
      <c r="I129" s="544">
        <v>4</v>
      </c>
      <c r="J129" s="544">
        <v>2</v>
      </c>
      <c r="K129" s="544">
        <v>1</v>
      </c>
      <c r="L129" s="544" t="s">
        <v>934</v>
      </c>
      <c r="M129" s="544" t="s">
        <v>934</v>
      </c>
    </row>
    <row r="130" spans="6:13" x14ac:dyDescent="0.3">
      <c r="F130" s="88" t="str">
        <f>'G-1 All Habitats'!B129</f>
        <v>Intertidal Hard Structures - Artificial hard structures with Integrated Greening of Grey Infrastructure (IGGI)</v>
      </c>
      <c r="G130" s="544">
        <v>13</v>
      </c>
      <c r="H130" s="544">
        <v>8</v>
      </c>
      <c r="I130" s="544">
        <v>4</v>
      </c>
      <c r="J130" s="544">
        <v>2</v>
      </c>
      <c r="K130" s="544">
        <v>1</v>
      </c>
      <c r="L130" s="544" t="s">
        <v>934</v>
      </c>
      <c r="M130" s="544" t="s">
        <v>934</v>
      </c>
    </row>
    <row r="131" spans="6:13" x14ac:dyDescent="0.3"/>
    <row r="132" spans="6:13" x14ac:dyDescent="0.3"/>
    <row r="133" spans="6:13" x14ac:dyDescent="0.3"/>
    <row r="134" spans="6:13" x14ac:dyDescent="0.3"/>
    <row r="135" spans="6:13" x14ac:dyDescent="0.3"/>
    <row r="136" spans="6:13" x14ac:dyDescent="0.3"/>
    <row r="137" spans="6:13" x14ac:dyDescent="0.3"/>
    <row r="138" spans="6:13" x14ac:dyDescent="0.3"/>
    <row r="139" spans="6:13" x14ac:dyDescent="0.3"/>
    <row r="140" spans="6:13" x14ac:dyDescent="0.3"/>
    <row r="141" spans="6:13" x14ac:dyDescent="0.3"/>
    <row r="142" spans="6:13" x14ac:dyDescent="0.3"/>
    <row r="143" spans="6:13" x14ac:dyDescent="0.3"/>
    <row r="144" spans="6:13" x14ac:dyDescent="0.3"/>
    <row r="145" x14ac:dyDescent="0.3"/>
    <row r="146" x14ac:dyDescent="0.3"/>
    <row r="147" x14ac:dyDescent="0.3"/>
    <row r="148" x14ac:dyDescent="0.3"/>
    <row r="149" x14ac:dyDescent="0.3"/>
  </sheetData>
  <sheetProtection algorithmName="SHA-512" hashValue="ygTsETF25n1nPrwb3r1brEIRFCORyV0b8qWeuUOzOWjfFEVkcwEbr5hfTpU3RsJcUzz2nTsrbF4+nBpJxk5Z8w==" saltValue="xCGwITbHpUB+6SJLTWlYSw==" spinCount="100000" sheet="1" objects="1" scenarios="1"/>
  <autoFilter ref="F3:M128" xr:uid="{00000000-0009-0000-0000-00001F000000}"/>
  <customSheetViews>
    <customSheetView guid="{8BDA793C-C9C5-4FC6-A0A5-F1109F6D4F22}" scale="90" state="hidden">
      <pane xSplit="6" ySplit="3" topLeftCell="G45" activePane="bottomRight" state="frozen"/>
      <selection pane="bottomRight" activeCell="D14" sqref="D14"/>
    </customSheetView>
  </customSheetViews>
  <mergeCells count="3">
    <mergeCell ref="A2:C2"/>
    <mergeCell ref="A1:C1"/>
    <mergeCell ref="G2:M2"/>
  </mergeCells>
  <dataValidations count="1">
    <dataValidation type="list" allowBlank="1" showInputMessage="1" showErrorMessage="1" sqref="G4:M130" xr:uid="{00000000-0002-0000-1F00-000000000000}">
      <formula1>$A$4:$A$37</formula1>
    </dataValidation>
  </dataValidations>
  <pageMargins left="0.7" right="0.7" top="0.75" bottom="0.75" header="0.3" footer="0.3"/>
  <pageSetup paperSize="9" scale="26" fitToHeight="0"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2">
    <tabColor rgb="FFFFC000"/>
  </sheetPr>
  <dimension ref="A1:AN292"/>
  <sheetViews>
    <sheetView workbookViewId="0"/>
  </sheetViews>
  <sheetFormatPr defaultColWidth="0" defaultRowHeight="14" zeroHeight="1" x14ac:dyDescent="0.3"/>
  <cols>
    <col min="1" max="1" width="3.54296875" style="31" customWidth="1"/>
    <col min="2" max="2" width="3.1796875" style="31" customWidth="1"/>
    <col min="3" max="3" width="88.81640625" style="31" bestFit="1" customWidth="1"/>
    <col min="4" max="4" width="18" style="42" customWidth="1"/>
    <col min="5" max="5" width="21.54296875" style="42" customWidth="1"/>
    <col min="6" max="6" width="17.81640625" style="42" customWidth="1"/>
    <col min="7" max="7" width="18.7265625" style="42" customWidth="1"/>
    <col min="8" max="8" width="18.81640625" style="42" customWidth="1"/>
    <col min="9" max="9" width="17.7265625" style="42" customWidth="1"/>
    <col min="10" max="14" width="17.453125" style="42" customWidth="1"/>
    <col min="15" max="15" width="14.453125" style="42" bestFit="1" customWidth="1"/>
    <col min="16" max="16" width="12.7265625" style="42" bestFit="1" customWidth="1"/>
    <col min="17" max="21" width="14.453125" style="42" bestFit="1" customWidth="1"/>
    <col min="22" max="22" width="14.26953125" style="42" bestFit="1" customWidth="1"/>
    <col min="23" max="23" width="13.1796875" style="42" bestFit="1" customWidth="1"/>
    <col min="24" max="24" width="14.453125" style="42" bestFit="1" customWidth="1"/>
    <col min="25" max="25" width="12.7265625" style="42" bestFit="1" customWidth="1"/>
    <col min="26" max="26" width="11.81640625" style="42" customWidth="1"/>
    <col min="27" max="30" width="11.81640625" style="31" customWidth="1"/>
    <col min="31" max="40" width="11.81640625" style="31" hidden="1" customWidth="1"/>
    <col min="41" max="16384" width="9.1796875" style="31" hidden="1"/>
  </cols>
  <sheetData>
    <row r="1" spans="3:25" ht="33.65" customHeight="1" x14ac:dyDescent="0.3">
      <c r="D1" s="31"/>
      <c r="E1" s="31"/>
      <c r="F1" s="31"/>
      <c r="G1" s="31"/>
      <c r="H1" s="31"/>
      <c r="I1" s="31"/>
      <c r="J1" s="31"/>
      <c r="K1" s="31"/>
      <c r="L1" s="31"/>
      <c r="M1" s="31"/>
      <c r="N1" s="31"/>
      <c r="O1" s="31"/>
      <c r="P1" s="31"/>
      <c r="Q1" s="31"/>
      <c r="R1" s="31"/>
      <c r="S1" s="31"/>
      <c r="T1" s="31"/>
      <c r="U1" s="31"/>
      <c r="V1" s="31"/>
      <c r="W1" s="31"/>
      <c r="X1" s="31"/>
      <c r="Y1" s="31"/>
    </row>
    <row r="2" spans="3:25" ht="42" x14ac:dyDescent="0.3">
      <c r="C2" s="280" t="s">
        <v>937</v>
      </c>
      <c r="D2" s="105" t="s">
        <v>938</v>
      </c>
      <c r="E2" s="105" t="s">
        <v>938</v>
      </c>
      <c r="F2" s="105" t="s">
        <v>938</v>
      </c>
      <c r="G2" s="105" t="s">
        <v>938</v>
      </c>
      <c r="H2" s="105" t="s">
        <v>938</v>
      </c>
      <c r="I2" s="105" t="s">
        <v>938</v>
      </c>
      <c r="J2" s="105" t="s">
        <v>938</v>
      </c>
      <c r="K2" s="105" t="s">
        <v>403</v>
      </c>
      <c r="L2" s="105" t="s">
        <v>403</v>
      </c>
      <c r="M2" s="105" t="s">
        <v>403</v>
      </c>
      <c r="N2" s="105" t="s">
        <v>403</v>
      </c>
      <c r="O2" s="105" t="s">
        <v>242</v>
      </c>
      <c r="P2" s="105" t="s">
        <v>242</v>
      </c>
      <c r="Q2" s="105" t="s">
        <v>242</v>
      </c>
      <c r="R2" s="105" t="s">
        <v>242</v>
      </c>
      <c r="S2" s="105" t="s">
        <v>393</v>
      </c>
      <c r="T2" s="105" t="s">
        <v>393</v>
      </c>
      <c r="U2" s="105" t="s">
        <v>393</v>
      </c>
      <c r="V2" s="105" t="s">
        <v>20</v>
      </c>
      <c r="W2" s="105" t="s">
        <v>20</v>
      </c>
      <c r="X2" s="105" t="s">
        <v>382</v>
      </c>
      <c r="Y2" s="105" t="s">
        <v>21</v>
      </c>
    </row>
    <row r="3" spans="3:25" ht="29.5" customHeight="1" x14ac:dyDescent="0.3">
      <c r="C3" s="280" t="s">
        <v>939</v>
      </c>
      <c r="D3" s="105" t="s">
        <v>407</v>
      </c>
      <c r="E3" s="105" t="s">
        <v>403</v>
      </c>
      <c r="F3" s="105" t="s">
        <v>242</v>
      </c>
      <c r="G3" s="105" t="s">
        <v>393</v>
      </c>
      <c r="H3" s="105" t="s">
        <v>20</v>
      </c>
      <c r="I3" s="105" t="s">
        <v>382</v>
      </c>
      <c r="J3" s="105" t="s">
        <v>21</v>
      </c>
      <c r="K3" s="105" t="s">
        <v>393</v>
      </c>
      <c r="L3" s="105" t="s">
        <v>20</v>
      </c>
      <c r="M3" s="105" t="s">
        <v>382</v>
      </c>
      <c r="N3" s="105" t="s">
        <v>21</v>
      </c>
      <c r="O3" s="105" t="s">
        <v>393</v>
      </c>
      <c r="P3" s="105" t="s">
        <v>20</v>
      </c>
      <c r="Q3" s="105" t="s">
        <v>382</v>
      </c>
      <c r="R3" s="105" t="s">
        <v>21</v>
      </c>
      <c r="S3" s="105" t="s">
        <v>20</v>
      </c>
      <c r="T3" s="105" t="s">
        <v>382</v>
      </c>
      <c r="U3" s="105" t="s">
        <v>21</v>
      </c>
      <c r="V3" s="105" t="s">
        <v>382</v>
      </c>
      <c r="W3" s="105" t="s">
        <v>21</v>
      </c>
      <c r="X3" s="105" t="s">
        <v>21</v>
      </c>
      <c r="Y3" s="105" t="s">
        <v>21</v>
      </c>
    </row>
    <row r="4" spans="3:25" ht="72" customHeight="1" x14ac:dyDescent="0.3">
      <c r="C4" s="280" t="s">
        <v>253</v>
      </c>
      <c r="D4" s="103" t="s">
        <v>940</v>
      </c>
      <c r="E4" s="103" t="s">
        <v>941</v>
      </c>
      <c r="F4" s="103" t="s">
        <v>942</v>
      </c>
      <c r="G4" s="103" t="s">
        <v>943</v>
      </c>
      <c r="H4" s="103" t="s">
        <v>944</v>
      </c>
      <c r="I4" s="103" t="s">
        <v>945</v>
      </c>
      <c r="J4" s="103" t="s">
        <v>946</v>
      </c>
      <c r="K4" s="103" t="s">
        <v>947</v>
      </c>
      <c r="L4" s="103" t="s">
        <v>948</v>
      </c>
      <c r="M4" s="103" t="s">
        <v>949</v>
      </c>
      <c r="N4" s="103" t="s">
        <v>950</v>
      </c>
      <c r="O4" s="103" t="s">
        <v>951</v>
      </c>
      <c r="P4" s="103" t="s">
        <v>952</v>
      </c>
      <c r="Q4" s="103" t="s">
        <v>953</v>
      </c>
      <c r="R4" s="103" t="s">
        <v>954</v>
      </c>
      <c r="S4" s="103" t="s">
        <v>955</v>
      </c>
      <c r="T4" s="103" t="s">
        <v>956</v>
      </c>
      <c r="U4" s="103" t="s">
        <v>957</v>
      </c>
      <c r="V4" s="103" t="s">
        <v>958</v>
      </c>
      <c r="W4" s="103" t="s">
        <v>959</v>
      </c>
      <c r="X4" s="103" t="s">
        <v>960</v>
      </c>
      <c r="Y4" s="103" t="s">
        <v>961</v>
      </c>
    </row>
    <row r="5" spans="3:25" x14ac:dyDescent="0.3">
      <c r="C5" s="88" t="str">
        <f>'G-1 All Habitats'!B3</f>
        <v>Cropland - Arable field margins cultivated annually</v>
      </c>
      <c r="D5" s="544" t="s">
        <v>934</v>
      </c>
      <c r="E5" s="544">
        <v>1</v>
      </c>
      <c r="F5" s="544" t="s">
        <v>934</v>
      </c>
      <c r="G5" s="544" t="s">
        <v>934</v>
      </c>
      <c r="H5" s="544" t="s">
        <v>934</v>
      </c>
      <c r="I5" s="544" t="s">
        <v>934</v>
      </c>
      <c r="J5" s="544" t="s">
        <v>934</v>
      </c>
      <c r="K5" s="544" t="s">
        <v>934</v>
      </c>
      <c r="L5" s="544" t="s">
        <v>934</v>
      </c>
      <c r="M5" s="544" t="s">
        <v>934</v>
      </c>
      <c r="N5" s="544" t="s">
        <v>934</v>
      </c>
      <c r="O5" s="544" t="s">
        <v>934</v>
      </c>
      <c r="P5" s="544" t="s">
        <v>934</v>
      </c>
      <c r="Q5" s="544" t="s">
        <v>934</v>
      </c>
      <c r="R5" s="544" t="s">
        <v>934</v>
      </c>
      <c r="S5" s="544" t="s">
        <v>934</v>
      </c>
      <c r="T5" s="544" t="s">
        <v>934</v>
      </c>
      <c r="U5" s="544" t="s">
        <v>934</v>
      </c>
      <c r="V5" s="544" t="s">
        <v>934</v>
      </c>
      <c r="W5" s="544" t="s">
        <v>934</v>
      </c>
      <c r="X5" s="544" t="s">
        <v>934</v>
      </c>
      <c r="Y5" s="544" t="s">
        <v>934</v>
      </c>
    </row>
    <row r="6" spans="3:25" x14ac:dyDescent="0.3">
      <c r="C6" s="88" t="str">
        <f>'G-1 All Habitats'!B4</f>
        <v>Cropland - Arable field margins game bird mix</v>
      </c>
      <c r="D6" s="544" t="s">
        <v>934</v>
      </c>
      <c r="E6" s="544">
        <v>1</v>
      </c>
      <c r="F6" s="544" t="s">
        <v>934</v>
      </c>
      <c r="G6" s="544" t="s">
        <v>934</v>
      </c>
      <c r="H6" s="544" t="s">
        <v>934</v>
      </c>
      <c r="I6" s="544" t="s">
        <v>934</v>
      </c>
      <c r="J6" s="544" t="s">
        <v>934</v>
      </c>
      <c r="K6" s="544" t="s">
        <v>934</v>
      </c>
      <c r="L6" s="544" t="s">
        <v>934</v>
      </c>
      <c r="M6" s="544" t="s">
        <v>934</v>
      </c>
      <c r="N6" s="544" t="s">
        <v>934</v>
      </c>
      <c r="O6" s="544" t="s">
        <v>934</v>
      </c>
      <c r="P6" s="544" t="s">
        <v>934</v>
      </c>
      <c r="Q6" s="544" t="s">
        <v>934</v>
      </c>
      <c r="R6" s="544" t="s">
        <v>934</v>
      </c>
      <c r="S6" s="544" t="s">
        <v>934</v>
      </c>
      <c r="T6" s="544" t="s">
        <v>934</v>
      </c>
      <c r="U6" s="544" t="s">
        <v>934</v>
      </c>
      <c r="V6" s="544" t="s">
        <v>934</v>
      </c>
      <c r="W6" s="544" t="s">
        <v>934</v>
      </c>
      <c r="X6" s="544" t="s">
        <v>934</v>
      </c>
      <c r="Y6" s="544" t="s">
        <v>934</v>
      </c>
    </row>
    <row r="7" spans="3:25" x14ac:dyDescent="0.3">
      <c r="C7" s="88" t="str">
        <f>'G-1 All Habitats'!B5</f>
        <v>Cropland - Arable field margins pollen &amp; nectar</v>
      </c>
      <c r="D7" s="544" t="s">
        <v>934</v>
      </c>
      <c r="E7" s="544">
        <v>1</v>
      </c>
      <c r="F7" s="544" t="s">
        <v>934</v>
      </c>
      <c r="G7" s="544" t="s">
        <v>934</v>
      </c>
      <c r="H7" s="544" t="s">
        <v>934</v>
      </c>
      <c r="I7" s="544" t="s">
        <v>934</v>
      </c>
      <c r="J7" s="544" t="s">
        <v>934</v>
      </c>
      <c r="K7" s="544" t="s">
        <v>934</v>
      </c>
      <c r="L7" s="544" t="s">
        <v>934</v>
      </c>
      <c r="M7" s="544" t="s">
        <v>934</v>
      </c>
      <c r="N7" s="544" t="s">
        <v>934</v>
      </c>
      <c r="O7" s="544" t="s">
        <v>934</v>
      </c>
      <c r="P7" s="544" t="s">
        <v>934</v>
      </c>
      <c r="Q7" s="544" t="s">
        <v>934</v>
      </c>
      <c r="R7" s="544" t="s">
        <v>934</v>
      </c>
      <c r="S7" s="544" t="s">
        <v>934</v>
      </c>
      <c r="T7" s="544" t="s">
        <v>934</v>
      </c>
      <c r="U7" s="544" t="s">
        <v>934</v>
      </c>
      <c r="V7" s="544" t="s">
        <v>934</v>
      </c>
      <c r="W7" s="544" t="s">
        <v>934</v>
      </c>
      <c r="X7" s="544" t="s">
        <v>934</v>
      </c>
      <c r="Y7" s="544" t="s">
        <v>934</v>
      </c>
    </row>
    <row r="8" spans="3:25" x14ac:dyDescent="0.3">
      <c r="C8" s="88" t="str">
        <f>'G-1 All Habitats'!B6</f>
        <v>Cropland - Arable field margins tussocky</v>
      </c>
      <c r="D8" s="544" t="s">
        <v>934</v>
      </c>
      <c r="E8" s="544">
        <v>1</v>
      </c>
      <c r="F8" s="544" t="s">
        <v>934</v>
      </c>
      <c r="G8" s="544" t="s">
        <v>934</v>
      </c>
      <c r="H8" s="544" t="s">
        <v>934</v>
      </c>
      <c r="I8" s="544" t="s">
        <v>934</v>
      </c>
      <c r="J8" s="544" t="s">
        <v>934</v>
      </c>
      <c r="K8" s="544" t="s">
        <v>934</v>
      </c>
      <c r="L8" s="544" t="s">
        <v>934</v>
      </c>
      <c r="M8" s="544" t="s">
        <v>934</v>
      </c>
      <c r="N8" s="544" t="s">
        <v>934</v>
      </c>
      <c r="O8" s="544" t="s">
        <v>934</v>
      </c>
      <c r="P8" s="544" t="s">
        <v>934</v>
      </c>
      <c r="Q8" s="544" t="s">
        <v>934</v>
      </c>
      <c r="R8" s="544" t="s">
        <v>934</v>
      </c>
      <c r="S8" s="544" t="s">
        <v>934</v>
      </c>
      <c r="T8" s="544" t="s">
        <v>934</v>
      </c>
      <c r="U8" s="544" t="s">
        <v>934</v>
      </c>
      <c r="V8" s="544" t="s">
        <v>934</v>
      </c>
      <c r="W8" s="544" t="s">
        <v>934</v>
      </c>
      <c r="X8" s="544" t="s">
        <v>934</v>
      </c>
      <c r="Y8" s="544" t="s">
        <v>934</v>
      </c>
    </row>
    <row r="9" spans="3:25" x14ac:dyDescent="0.3">
      <c r="C9" s="88" t="str">
        <f>'G-1 All Habitats'!B7</f>
        <v>Cropland - Cereal crops</v>
      </c>
      <c r="D9" s="544" t="s">
        <v>934</v>
      </c>
      <c r="E9" s="544" t="s">
        <v>934</v>
      </c>
      <c r="F9" s="544" t="s">
        <v>934</v>
      </c>
      <c r="G9" s="544" t="s">
        <v>934</v>
      </c>
      <c r="H9" s="544" t="s">
        <v>934</v>
      </c>
      <c r="I9" s="544" t="s">
        <v>934</v>
      </c>
      <c r="J9" s="544" t="s">
        <v>934</v>
      </c>
      <c r="K9" s="544" t="s">
        <v>934</v>
      </c>
      <c r="L9" s="544" t="s">
        <v>934</v>
      </c>
      <c r="M9" s="544" t="s">
        <v>934</v>
      </c>
      <c r="N9" s="544" t="s">
        <v>934</v>
      </c>
      <c r="O9" s="544" t="s">
        <v>934</v>
      </c>
      <c r="P9" s="544" t="s">
        <v>934</v>
      </c>
      <c r="Q9" s="544" t="s">
        <v>934</v>
      </c>
      <c r="R9" s="544" t="s">
        <v>934</v>
      </c>
      <c r="S9" s="544" t="s">
        <v>934</v>
      </c>
      <c r="T9" s="544" t="s">
        <v>934</v>
      </c>
      <c r="U9" s="544" t="s">
        <v>934</v>
      </c>
      <c r="V9" s="544" t="s">
        <v>934</v>
      </c>
      <c r="W9" s="544" t="s">
        <v>934</v>
      </c>
      <c r="X9" s="544" t="s">
        <v>934</v>
      </c>
      <c r="Y9" s="544" t="s">
        <v>934</v>
      </c>
    </row>
    <row r="10" spans="3:25" x14ac:dyDescent="0.3">
      <c r="C10" s="88" t="str">
        <f>'G-1 All Habitats'!B8</f>
        <v>Cropland - Cereal crops winter stubble</v>
      </c>
      <c r="D10" s="544" t="s">
        <v>934</v>
      </c>
      <c r="E10" s="544" t="s">
        <v>934</v>
      </c>
      <c r="F10" s="544" t="s">
        <v>934</v>
      </c>
      <c r="G10" s="544" t="s">
        <v>934</v>
      </c>
      <c r="H10" s="544" t="s">
        <v>934</v>
      </c>
      <c r="I10" s="544" t="s">
        <v>934</v>
      </c>
      <c r="J10" s="544" t="s">
        <v>934</v>
      </c>
      <c r="K10" s="544" t="s">
        <v>934</v>
      </c>
      <c r="L10" s="544" t="s">
        <v>934</v>
      </c>
      <c r="M10" s="544" t="s">
        <v>934</v>
      </c>
      <c r="N10" s="544" t="s">
        <v>934</v>
      </c>
      <c r="O10" s="544" t="s">
        <v>934</v>
      </c>
      <c r="P10" s="544" t="s">
        <v>934</v>
      </c>
      <c r="Q10" s="544" t="s">
        <v>934</v>
      </c>
      <c r="R10" s="544" t="s">
        <v>934</v>
      </c>
      <c r="S10" s="544" t="s">
        <v>934</v>
      </c>
      <c r="T10" s="544" t="s">
        <v>934</v>
      </c>
      <c r="U10" s="544" t="s">
        <v>934</v>
      </c>
      <c r="V10" s="544" t="s">
        <v>934</v>
      </c>
      <c r="W10" s="544" t="s">
        <v>934</v>
      </c>
      <c r="X10" s="544" t="s">
        <v>934</v>
      </c>
      <c r="Y10" s="544" t="s">
        <v>934</v>
      </c>
    </row>
    <row r="11" spans="3:25" x14ac:dyDescent="0.3">
      <c r="C11" s="88" t="str">
        <f>'G-1 All Habitats'!B9</f>
        <v>Cropland - Horticulture</v>
      </c>
      <c r="D11" s="544" t="s">
        <v>934</v>
      </c>
      <c r="E11" s="544" t="s">
        <v>934</v>
      </c>
      <c r="F11" s="544" t="s">
        <v>934</v>
      </c>
      <c r="G11" s="544" t="s">
        <v>934</v>
      </c>
      <c r="H11" s="544" t="s">
        <v>934</v>
      </c>
      <c r="I11" s="544" t="s">
        <v>934</v>
      </c>
      <c r="J11" s="544" t="s">
        <v>934</v>
      </c>
      <c r="K11" s="544" t="s">
        <v>934</v>
      </c>
      <c r="L11" s="544" t="s">
        <v>934</v>
      </c>
      <c r="M11" s="544" t="s">
        <v>934</v>
      </c>
      <c r="N11" s="544" t="s">
        <v>934</v>
      </c>
      <c r="O11" s="544" t="s">
        <v>934</v>
      </c>
      <c r="P11" s="544" t="s">
        <v>934</v>
      </c>
      <c r="Q11" s="544" t="s">
        <v>934</v>
      </c>
      <c r="R11" s="544" t="s">
        <v>934</v>
      </c>
      <c r="S11" s="544" t="s">
        <v>934</v>
      </c>
      <c r="T11" s="544" t="s">
        <v>934</v>
      </c>
      <c r="U11" s="544" t="s">
        <v>934</v>
      </c>
      <c r="V11" s="544" t="s">
        <v>934</v>
      </c>
      <c r="W11" s="544" t="s">
        <v>934</v>
      </c>
      <c r="X11" s="544" t="s">
        <v>934</v>
      </c>
      <c r="Y11" s="544" t="s">
        <v>934</v>
      </c>
    </row>
    <row r="12" spans="3:25" x14ac:dyDescent="0.3">
      <c r="C12" s="88" t="str">
        <f>'G-1 All Habitats'!B10</f>
        <v>Cropland - Intensive orchards</v>
      </c>
      <c r="D12" s="544" t="s">
        <v>934</v>
      </c>
      <c r="E12" s="544" t="s">
        <v>934</v>
      </c>
      <c r="F12" s="544" t="s">
        <v>934</v>
      </c>
      <c r="G12" s="544" t="s">
        <v>934</v>
      </c>
      <c r="H12" s="544" t="s">
        <v>934</v>
      </c>
      <c r="I12" s="544" t="s">
        <v>934</v>
      </c>
      <c r="J12" s="544" t="s">
        <v>934</v>
      </c>
      <c r="K12" s="544" t="s">
        <v>934</v>
      </c>
      <c r="L12" s="544" t="s">
        <v>934</v>
      </c>
      <c r="M12" s="544" t="s">
        <v>934</v>
      </c>
      <c r="N12" s="544" t="s">
        <v>934</v>
      </c>
      <c r="O12" s="544" t="s">
        <v>934</v>
      </c>
      <c r="P12" s="544" t="s">
        <v>934</v>
      </c>
      <c r="Q12" s="544" t="s">
        <v>934</v>
      </c>
      <c r="R12" s="544" t="s">
        <v>934</v>
      </c>
      <c r="S12" s="544" t="s">
        <v>934</v>
      </c>
      <c r="T12" s="544" t="s">
        <v>934</v>
      </c>
      <c r="U12" s="544" t="s">
        <v>934</v>
      </c>
      <c r="V12" s="544" t="s">
        <v>934</v>
      </c>
      <c r="W12" s="544" t="s">
        <v>934</v>
      </c>
      <c r="X12" s="544" t="s">
        <v>934</v>
      </c>
      <c r="Y12" s="544" t="s">
        <v>934</v>
      </c>
    </row>
    <row r="13" spans="3:25" x14ac:dyDescent="0.3">
      <c r="C13" s="88" t="str">
        <f>'G-1 All Habitats'!B11</f>
        <v>Cropland - Non-cereal crops</v>
      </c>
      <c r="D13" s="544" t="s">
        <v>934</v>
      </c>
      <c r="E13" s="544" t="s">
        <v>934</v>
      </c>
      <c r="F13" s="544" t="s">
        <v>934</v>
      </c>
      <c r="G13" s="544" t="s">
        <v>934</v>
      </c>
      <c r="H13" s="544" t="s">
        <v>934</v>
      </c>
      <c r="I13" s="544" t="s">
        <v>934</v>
      </c>
      <c r="J13" s="544" t="s">
        <v>934</v>
      </c>
      <c r="K13" s="544" t="s">
        <v>934</v>
      </c>
      <c r="L13" s="544" t="s">
        <v>934</v>
      </c>
      <c r="M13" s="544" t="s">
        <v>934</v>
      </c>
      <c r="N13" s="544" t="s">
        <v>934</v>
      </c>
      <c r="O13" s="544" t="s">
        <v>934</v>
      </c>
      <c r="P13" s="544" t="s">
        <v>934</v>
      </c>
      <c r="Q13" s="544" t="s">
        <v>934</v>
      </c>
      <c r="R13" s="544" t="s">
        <v>934</v>
      </c>
      <c r="S13" s="544" t="s">
        <v>934</v>
      </c>
      <c r="T13" s="544" t="s">
        <v>934</v>
      </c>
      <c r="U13" s="544" t="s">
        <v>934</v>
      </c>
      <c r="V13" s="544" t="s">
        <v>934</v>
      </c>
      <c r="W13" s="544" t="s">
        <v>934</v>
      </c>
      <c r="X13" s="544" t="s">
        <v>934</v>
      </c>
      <c r="Y13" s="544" t="s">
        <v>934</v>
      </c>
    </row>
    <row r="14" spans="3:25" x14ac:dyDescent="0.3">
      <c r="C14" s="88" t="str">
        <f>'G-1 All Habitats'!B12</f>
        <v>Cropland - Temporary grass and clover leys</v>
      </c>
      <c r="D14" s="544" t="s">
        <v>934</v>
      </c>
      <c r="E14" s="544" t="s">
        <v>934</v>
      </c>
      <c r="F14" s="544" t="s">
        <v>934</v>
      </c>
      <c r="G14" s="544" t="s">
        <v>934</v>
      </c>
      <c r="H14" s="544" t="s">
        <v>934</v>
      </c>
      <c r="I14" s="544" t="s">
        <v>934</v>
      </c>
      <c r="J14" s="544" t="s">
        <v>934</v>
      </c>
      <c r="K14" s="544" t="s">
        <v>934</v>
      </c>
      <c r="L14" s="544" t="s">
        <v>934</v>
      </c>
      <c r="M14" s="544" t="s">
        <v>934</v>
      </c>
      <c r="N14" s="544" t="s">
        <v>934</v>
      </c>
      <c r="O14" s="544" t="s">
        <v>934</v>
      </c>
      <c r="P14" s="544" t="s">
        <v>934</v>
      </c>
      <c r="Q14" s="544" t="s">
        <v>934</v>
      </c>
      <c r="R14" s="544" t="s">
        <v>934</v>
      </c>
      <c r="S14" s="544" t="s">
        <v>934</v>
      </c>
      <c r="T14" s="544" t="s">
        <v>934</v>
      </c>
      <c r="U14" s="544" t="s">
        <v>934</v>
      </c>
      <c r="V14" s="544" t="s">
        <v>934</v>
      </c>
      <c r="W14" s="544" t="s">
        <v>934</v>
      </c>
      <c r="X14" s="544" t="s">
        <v>934</v>
      </c>
      <c r="Y14" s="544" t="s">
        <v>934</v>
      </c>
    </row>
    <row r="15" spans="3:25" x14ac:dyDescent="0.3">
      <c r="C15" s="88" t="str">
        <f>'G-1 All Habitats'!B13</f>
        <v>Grassland - Traditional orchards</v>
      </c>
      <c r="D15" s="544" t="s">
        <v>934</v>
      </c>
      <c r="E15" s="544" t="s">
        <v>934</v>
      </c>
      <c r="F15" s="544">
        <v>5</v>
      </c>
      <c r="G15" s="544">
        <v>10</v>
      </c>
      <c r="H15" s="544">
        <v>20</v>
      </c>
      <c r="I15" s="544">
        <v>25</v>
      </c>
      <c r="J15" s="544">
        <v>30</v>
      </c>
      <c r="K15" s="544" t="s">
        <v>934</v>
      </c>
      <c r="L15" s="544" t="s">
        <v>934</v>
      </c>
      <c r="M15" s="544" t="s">
        <v>934</v>
      </c>
      <c r="N15" s="544" t="s">
        <v>934</v>
      </c>
      <c r="O15" s="544">
        <v>5</v>
      </c>
      <c r="P15" s="544">
        <v>15</v>
      </c>
      <c r="Q15" s="544">
        <v>20</v>
      </c>
      <c r="R15" s="544">
        <v>25</v>
      </c>
      <c r="S15" s="544">
        <v>10</v>
      </c>
      <c r="T15" s="544">
        <v>15</v>
      </c>
      <c r="U15" s="544">
        <v>20</v>
      </c>
      <c r="V15" s="544">
        <v>5</v>
      </c>
      <c r="W15" s="544">
        <v>10</v>
      </c>
      <c r="X15" s="544">
        <v>5</v>
      </c>
      <c r="Y15" s="544" t="s">
        <v>934</v>
      </c>
    </row>
    <row r="16" spans="3:25" x14ac:dyDescent="0.3">
      <c r="C16" s="88" t="str">
        <f>'G-1 All Habitats'!B14</f>
        <v>Grassland - Bracken</v>
      </c>
      <c r="D16" s="544" t="s">
        <v>934</v>
      </c>
      <c r="E16" s="544" t="s">
        <v>934</v>
      </c>
      <c r="F16" s="544">
        <v>1</v>
      </c>
      <c r="G16" s="544" t="s">
        <v>934</v>
      </c>
      <c r="H16" s="544" t="s">
        <v>934</v>
      </c>
      <c r="I16" s="544" t="s">
        <v>934</v>
      </c>
      <c r="J16" s="544" t="s">
        <v>934</v>
      </c>
      <c r="K16" s="544" t="s">
        <v>934</v>
      </c>
      <c r="L16" s="544" t="s">
        <v>934</v>
      </c>
      <c r="M16" s="544" t="s">
        <v>934</v>
      </c>
      <c r="N16" s="544" t="s">
        <v>934</v>
      </c>
      <c r="O16" s="544" t="s">
        <v>934</v>
      </c>
      <c r="P16" s="544" t="s">
        <v>934</v>
      </c>
      <c r="Q16" s="544" t="s">
        <v>934</v>
      </c>
      <c r="R16" s="544" t="s">
        <v>934</v>
      </c>
      <c r="S16" s="544" t="s">
        <v>934</v>
      </c>
      <c r="T16" s="544" t="s">
        <v>934</v>
      </c>
      <c r="U16" s="544" t="s">
        <v>934</v>
      </c>
      <c r="V16" s="544" t="s">
        <v>934</v>
      </c>
      <c r="W16" s="544" t="s">
        <v>934</v>
      </c>
      <c r="X16" s="544" t="s">
        <v>934</v>
      </c>
      <c r="Y16" s="544" t="s">
        <v>934</v>
      </c>
    </row>
    <row r="17" spans="3:25" x14ac:dyDescent="0.3">
      <c r="C17" s="88" t="str">
        <f>'G-1 All Habitats'!B15</f>
        <v>Grassland - Floodplain Wetland Mosaic (CFGM)</v>
      </c>
      <c r="D17" s="544" t="s">
        <v>934</v>
      </c>
      <c r="E17" s="544" t="s">
        <v>934</v>
      </c>
      <c r="F17" s="544">
        <v>5</v>
      </c>
      <c r="G17" s="544">
        <v>8</v>
      </c>
      <c r="H17" s="544">
        <v>10</v>
      </c>
      <c r="I17" s="544">
        <v>12</v>
      </c>
      <c r="J17" s="544">
        <v>15</v>
      </c>
      <c r="K17" s="544" t="s">
        <v>934</v>
      </c>
      <c r="L17" s="544" t="s">
        <v>934</v>
      </c>
      <c r="M17" s="544" t="s">
        <v>934</v>
      </c>
      <c r="N17" s="544" t="s">
        <v>934</v>
      </c>
      <c r="O17" s="544">
        <v>8</v>
      </c>
      <c r="P17" s="544">
        <v>10</v>
      </c>
      <c r="Q17" s="544">
        <v>12</v>
      </c>
      <c r="R17" s="544">
        <v>15</v>
      </c>
      <c r="S17" s="544">
        <v>2</v>
      </c>
      <c r="T17" s="544">
        <v>4</v>
      </c>
      <c r="U17" s="544">
        <v>7</v>
      </c>
      <c r="V17" s="544">
        <v>2</v>
      </c>
      <c r="W17" s="544">
        <v>4</v>
      </c>
      <c r="X17" s="544">
        <v>3</v>
      </c>
      <c r="Y17" s="544" t="s">
        <v>934</v>
      </c>
    </row>
    <row r="18" spans="3:25" x14ac:dyDescent="0.3">
      <c r="C18" s="88" t="str">
        <f>'G-1 All Habitats'!B16</f>
        <v>Grassland - Lowland calcareous grassland</v>
      </c>
      <c r="D18" s="544" t="s">
        <v>934</v>
      </c>
      <c r="E18" s="544" t="s">
        <v>934</v>
      </c>
      <c r="F18" s="544">
        <v>10</v>
      </c>
      <c r="G18" s="544">
        <v>15</v>
      </c>
      <c r="H18" s="544">
        <v>20</v>
      </c>
      <c r="I18" s="544">
        <v>25</v>
      </c>
      <c r="J18" s="544">
        <v>30</v>
      </c>
      <c r="K18" s="544" t="s">
        <v>934</v>
      </c>
      <c r="L18" s="544" t="s">
        <v>934</v>
      </c>
      <c r="M18" s="544" t="s">
        <v>934</v>
      </c>
      <c r="N18" s="544" t="s">
        <v>934</v>
      </c>
      <c r="O18" s="544">
        <v>5</v>
      </c>
      <c r="P18" s="544">
        <v>10</v>
      </c>
      <c r="Q18" s="544">
        <v>15</v>
      </c>
      <c r="R18" s="544">
        <v>20</v>
      </c>
      <c r="S18" s="544">
        <v>5</v>
      </c>
      <c r="T18" s="544">
        <v>10</v>
      </c>
      <c r="U18" s="544">
        <v>15</v>
      </c>
      <c r="V18" s="544">
        <v>5</v>
      </c>
      <c r="W18" s="544">
        <v>10</v>
      </c>
      <c r="X18" s="544">
        <v>5</v>
      </c>
      <c r="Y18" s="544" t="s">
        <v>934</v>
      </c>
    </row>
    <row r="19" spans="3:25" x14ac:dyDescent="0.3">
      <c r="C19" s="88" t="str">
        <f>'G-1 All Habitats'!B17</f>
        <v>Grassland - Lowland dry acid grassland</v>
      </c>
      <c r="D19" s="544" t="s">
        <v>934</v>
      </c>
      <c r="E19" s="544" t="s">
        <v>934</v>
      </c>
      <c r="F19" s="544">
        <v>10</v>
      </c>
      <c r="G19" s="544">
        <v>15</v>
      </c>
      <c r="H19" s="544">
        <v>20</v>
      </c>
      <c r="I19" s="544">
        <v>25</v>
      </c>
      <c r="J19" s="544" t="s">
        <v>935</v>
      </c>
      <c r="K19" s="544" t="s">
        <v>934</v>
      </c>
      <c r="L19" s="544" t="s">
        <v>934</v>
      </c>
      <c r="M19" s="544" t="s">
        <v>934</v>
      </c>
      <c r="N19" s="544" t="s">
        <v>934</v>
      </c>
      <c r="O19" s="544">
        <v>5</v>
      </c>
      <c r="P19" s="544">
        <v>15</v>
      </c>
      <c r="Q19" s="544">
        <v>20</v>
      </c>
      <c r="R19" s="544" t="s">
        <v>935</v>
      </c>
      <c r="S19" s="544">
        <v>8</v>
      </c>
      <c r="T19" s="544">
        <v>15</v>
      </c>
      <c r="U19" s="544">
        <v>25</v>
      </c>
      <c r="V19" s="544">
        <v>10</v>
      </c>
      <c r="W19" s="544">
        <v>20</v>
      </c>
      <c r="X19" s="544">
        <v>10</v>
      </c>
      <c r="Y19" s="544" t="s">
        <v>934</v>
      </c>
    </row>
    <row r="20" spans="3:25" x14ac:dyDescent="0.3">
      <c r="C20" s="88" t="str">
        <f>'G-1 All Habitats'!B18</f>
        <v>Grassland - Lowland meadows</v>
      </c>
      <c r="D20" s="544" t="s">
        <v>934</v>
      </c>
      <c r="E20" s="544" t="s">
        <v>934</v>
      </c>
      <c r="F20" s="544">
        <v>5</v>
      </c>
      <c r="G20" s="544">
        <v>8</v>
      </c>
      <c r="H20" s="544">
        <v>10</v>
      </c>
      <c r="I20" s="544">
        <v>12</v>
      </c>
      <c r="J20" s="544">
        <v>15</v>
      </c>
      <c r="K20" s="544" t="s">
        <v>934</v>
      </c>
      <c r="L20" s="544" t="s">
        <v>934</v>
      </c>
      <c r="M20" s="544" t="s">
        <v>934</v>
      </c>
      <c r="N20" s="544" t="s">
        <v>934</v>
      </c>
      <c r="O20" s="544">
        <v>4</v>
      </c>
      <c r="P20" s="544">
        <v>8</v>
      </c>
      <c r="Q20" s="544">
        <v>11</v>
      </c>
      <c r="R20" s="544">
        <v>15</v>
      </c>
      <c r="S20" s="544">
        <v>4</v>
      </c>
      <c r="T20" s="544">
        <v>8</v>
      </c>
      <c r="U20" s="544">
        <v>11</v>
      </c>
      <c r="V20" s="544">
        <v>4</v>
      </c>
      <c r="W20" s="544">
        <v>8</v>
      </c>
      <c r="X20" s="544">
        <v>4</v>
      </c>
      <c r="Y20" s="544" t="s">
        <v>934</v>
      </c>
    </row>
    <row r="21" spans="3:25" x14ac:dyDescent="0.3">
      <c r="C21" s="88" t="str">
        <f>'G-1 All Habitats'!B19</f>
        <v>Grassland - Modified grassland</v>
      </c>
      <c r="D21" s="544" t="s">
        <v>934</v>
      </c>
      <c r="E21" s="544">
        <v>1</v>
      </c>
      <c r="F21" s="544">
        <v>1</v>
      </c>
      <c r="G21" s="544">
        <v>5</v>
      </c>
      <c r="H21" s="544">
        <v>10</v>
      </c>
      <c r="I21" s="544">
        <v>12</v>
      </c>
      <c r="J21" s="544">
        <v>15</v>
      </c>
      <c r="K21" s="544" t="s">
        <v>934</v>
      </c>
      <c r="L21" s="544" t="s">
        <v>934</v>
      </c>
      <c r="M21" s="544" t="s">
        <v>934</v>
      </c>
      <c r="N21" s="544" t="s">
        <v>934</v>
      </c>
      <c r="O21" s="544">
        <v>5</v>
      </c>
      <c r="P21" s="544">
        <v>10</v>
      </c>
      <c r="Q21" s="544">
        <v>12</v>
      </c>
      <c r="R21" s="544">
        <v>15</v>
      </c>
      <c r="S21" s="544">
        <v>8</v>
      </c>
      <c r="T21" s="544">
        <v>10</v>
      </c>
      <c r="U21" s="544">
        <v>12</v>
      </c>
      <c r="V21" s="544">
        <v>8</v>
      </c>
      <c r="W21" s="544">
        <v>10</v>
      </c>
      <c r="X21" s="544">
        <v>8</v>
      </c>
      <c r="Y21" s="544" t="s">
        <v>934</v>
      </c>
    </row>
    <row r="22" spans="3:25" x14ac:dyDescent="0.3">
      <c r="C22" s="88" t="str">
        <f>'G-1 All Habitats'!B20</f>
        <v>Grassland - Other lowland acid grassland</v>
      </c>
      <c r="D22" s="544" t="s">
        <v>934</v>
      </c>
      <c r="E22" s="544" t="s">
        <v>934</v>
      </c>
      <c r="F22" s="544">
        <v>1</v>
      </c>
      <c r="G22" s="544">
        <v>5</v>
      </c>
      <c r="H22" s="544">
        <v>10</v>
      </c>
      <c r="I22" s="544">
        <v>12</v>
      </c>
      <c r="J22" s="544">
        <v>15</v>
      </c>
      <c r="K22" s="544" t="s">
        <v>934</v>
      </c>
      <c r="L22" s="544" t="s">
        <v>934</v>
      </c>
      <c r="M22" s="544" t="s">
        <v>934</v>
      </c>
      <c r="N22" s="544" t="s">
        <v>934</v>
      </c>
      <c r="O22" s="544">
        <v>5</v>
      </c>
      <c r="P22" s="544">
        <v>10</v>
      </c>
      <c r="Q22" s="544">
        <v>12</v>
      </c>
      <c r="R22" s="544">
        <v>15</v>
      </c>
      <c r="S22" s="544">
        <v>8</v>
      </c>
      <c r="T22" s="544">
        <v>10</v>
      </c>
      <c r="U22" s="544">
        <v>12</v>
      </c>
      <c r="V22" s="544">
        <v>8</v>
      </c>
      <c r="W22" s="544">
        <v>10</v>
      </c>
      <c r="X22" s="544">
        <v>8</v>
      </c>
      <c r="Y22" s="544" t="s">
        <v>934</v>
      </c>
    </row>
    <row r="23" spans="3:25" x14ac:dyDescent="0.3">
      <c r="C23" s="88" t="str">
        <f>'G-1 All Habitats'!B21</f>
        <v>Grassland - Other neutral grassland</v>
      </c>
      <c r="D23" s="544" t="s">
        <v>934</v>
      </c>
      <c r="E23" s="544" t="s">
        <v>934</v>
      </c>
      <c r="F23" s="544">
        <v>1</v>
      </c>
      <c r="G23" s="544">
        <v>5</v>
      </c>
      <c r="H23" s="544">
        <v>10</v>
      </c>
      <c r="I23" s="544">
        <v>12</v>
      </c>
      <c r="J23" s="544">
        <v>15</v>
      </c>
      <c r="K23" s="544" t="s">
        <v>934</v>
      </c>
      <c r="L23" s="544" t="s">
        <v>934</v>
      </c>
      <c r="M23" s="544" t="s">
        <v>934</v>
      </c>
      <c r="N23" s="544" t="s">
        <v>934</v>
      </c>
      <c r="O23" s="544">
        <v>5</v>
      </c>
      <c r="P23" s="544">
        <v>10</v>
      </c>
      <c r="Q23" s="544">
        <v>12</v>
      </c>
      <c r="R23" s="544">
        <v>15</v>
      </c>
      <c r="S23" s="544">
        <v>8</v>
      </c>
      <c r="T23" s="544">
        <v>10</v>
      </c>
      <c r="U23" s="544">
        <v>12</v>
      </c>
      <c r="V23" s="544">
        <v>8</v>
      </c>
      <c r="W23" s="544">
        <v>10</v>
      </c>
      <c r="X23" s="544">
        <v>8</v>
      </c>
      <c r="Y23" s="544" t="s">
        <v>934</v>
      </c>
    </row>
    <row r="24" spans="3:25" x14ac:dyDescent="0.3">
      <c r="C24" s="88" t="str">
        <f>'G-1 All Habitats'!B22</f>
        <v>Grassland - Tall herb communities (H6430)</v>
      </c>
      <c r="D24" s="544" t="s">
        <v>934</v>
      </c>
      <c r="E24" s="544" t="s">
        <v>934</v>
      </c>
      <c r="F24" s="544">
        <v>10</v>
      </c>
      <c r="G24" s="544">
        <v>15</v>
      </c>
      <c r="H24" s="544">
        <v>20</v>
      </c>
      <c r="I24" s="544">
        <v>25</v>
      </c>
      <c r="J24" s="544">
        <v>30</v>
      </c>
      <c r="K24" s="544" t="s">
        <v>934</v>
      </c>
      <c r="L24" s="544" t="s">
        <v>934</v>
      </c>
      <c r="M24" s="544" t="s">
        <v>934</v>
      </c>
      <c r="N24" s="544" t="s">
        <v>934</v>
      </c>
      <c r="O24" s="544">
        <v>10</v>
      </c>
      <c r="P24" s="544">
        <v>20</v>
      </c>
      <c r="Q24" s="544">
        <v>25</v>
      </c>
      <c r="R24" s="544">
        <v>30</v>
      </c>
      <c r="S24" s="544">
        <v>10</v>
      </c>
      <c r="T24" s="544">
        <v>10</v>
      </c>
      <c r="U24" s="544">
        <v>15</v>
      </c>
      <c r="V24" s="544">
        <v>5</v>
      </c>
      <c r="W24" s="544">
        <v>10</v>
      </c>
      <c r="X24" s="544">
        <v>5</v>
      </c>
      <c r="Y24" s="544" t="s">
        <v>934</v>
      </c>
    </row>
    <row r="25" spans="3:25" x14ac:dyDescent="0.3">
      <c r="C25" s="88" t="str">
        <f>'G-1 All Habitats'!B23</f>
        <v>Grassland - Upland acid grassland</v>
      </c>
      <c r="D25" s="544" t="s">
        <v>934</v>
      </c>
      <c r="E25" s="544" t="s">
        <v>934</v>
      </c>
      <c r="F25" s="544">
        <v>1</v>
      </c>
      <c r="G25" s="544">
        <v>5</v>
      </c>
      <c r="H25" s="544">
        <v>10</v>
      </c>
      <c r="I25" s="544">
        <v>12</v>
      </c>
      <c r="J25" s="544">
        <v>15</v>
      </c>
      <c r="K25" s="544" t="s">
        <v>934</v>
      </c>
      <c r="L25" s="544" t="s">
        <v>934</v>
      </c>
      <c r="M25" s="544" t="s">
        <v>934</v>
      </c>
      <c r="N25" s="544" t="s">
        <v>934</v>
      </c>
      <c r="O25" s="544">
        <v>5</v>
      </c>
      <c r="P25" s="544">
        <v>10</v>
      </c>
      <c r="Q25" s="544">
        <v>12</v>
      </c>
      <c r="R25" s="544">
        <v>15</v>
      </c>
      <c r="S25" s="544">
        <v>8</v>
      </c>
      <c r="T25" s="544">
        <v>10</v>
      </c>
      <c r="U25" s="544">
        <v>12</v>
      </c>
      <c r="V25" s="544">
        <v>8</v>
      </c>
      <c r="W25" s="544">
        <v>10</v>
      </c>
      <c r="X25" s="544">
        <v>8</v>
      </c>
      <c r="Y25" s="544" t="s">
        <v>934</v>
      </c>
    </row>
    <row r="26" spans="3:25" x14ac:dyDescent="0.3">
      <c r="C26" s="88" t="str">
        <f>'G-1 All Habitats'!B24</f>
        <v>Grassland - Upland calcareous grassland</v>
      </c>
      <c r="D26" s="544" t="s">
        <v>934</v>
      </c>
      <c r="E26" s="544" t="s">
        <v>934</v>
      </c>
      <c r="F26" s="544">
        <v>10</v>
      </c>
      <c r="G26" s="544">
        <v>12</v>
      </c>
      <c r="H26" s="544">
        <v>15</v>
      </c>
      <c r="I26" s="544">
        <v>20</v>
      </c>
      <c r="J26" s="544">
        <v>25</v>
      </c>
      <c r="K26" s="544" t="s">
        <v>934</v>
      </c>
      <c r="L26" s="544" t="s">
        <v>934</v>
      </c>
      <c r="M26" s="544" t="s">
        <v>934</v>
      </c>
      <c r="N26" s="544" t="s">
        <v>934</v>
      </c>
      <c r="O26" s="544">
        <v>10</v>
      </c>
      <c r="P26" s="544">
        <v>15</v>
      </c>
      <c r="Q26" s="544">
        <v>18</v>
      </c>
      <c r="R26" s="544">
        <v>20</v>
      </c>
      <c r="S26" s="544">
        <v>10</v>
      </c>
      <c r="T26" s="544">
        <v>15</v>
      </c>
      <c r="U26" s="544">
        <v>18</v>
      </c>
      <c r="V26" s="544">
        <v>10</v>
      </c>
      <c r="W26" s="544">
        <v>10</v>
      </c>
      <c r="X26" s="544">
        <v>10</v>
      </c>
      <c r="Y26" s="544" t="s">
        <v>934</v>
      </c>
    </row>
    <row r="27" spans="3:25" x14ac:dyDescent="0.3">
      <c r="C27" s="88" t="str">
        <f>'G-1 All Habitats'!B25</f>
        <v>Grassland - Upland hay meadows</v>
      </c>
      <c r="D27" s="544" t="s">
        <v>934</v>
      </c>
      <c r="E27" s="544" t="s">
        <v>934</v>
      </c>
      <c r="F27" s="544">
        <v>10</v>
      </c>
      <c r="G27" s="544">
        <v>12</v>
      </c>
      <c r="H27" s="544">
        <v>15</v>
      </c>
      <c r="I27" s="544">
        <v>18</v>
      </c>
      <c r="J27" s="544">
        <v>20</v>
      </c>
      <c r="K27" s="544" t="s">
        <v>934</v>
      </c>
      <c r="L27" s="544" t="s">
        <v>934</v>
      </c>
      <c r="M27" s="544" t="s">
        <v>934</v>
      </c>
      <c r="N27" s="544" t="s">
        <v>934</v>
      </c>
      <c r="O27" s="544">
        <v>10</v>
      </c>
      <c r="P27" s="544">
        <v>15</v>
      </c>
      <c r="Q27" s="544">
        <v>18</v>
      </c>
      <c r="R27" s="544">
        <v>20</v>
      </c>
      <c r="S27" s="544">
        <v>10</v>
      </c>
      <c r="T27" s="544">
        <v>15</v>
      </c>
      <c r="U27" s="544">
        <v>18</v>
      </c>
      <c r="V27" s="544">
        <v>10</v>
      </c>
      <c r="W27" s="544">
        <v>15</v>
      </c>
      <c r="X27" s="544">
        <v>10</v>
      </c>
      <c r="Y27" s="544" t="s">
        <v>934</v>
      </c>
    </row>
    <row r="28" spans="3:25" x14ac:dyDescent="0.3">
      <c r="C28" s="88" t="str">
        <f>'G-1 All Habitats'!B26</f>
        <v>Heathland and shrub - Blackthorn scrub</v>
      </c>
      <c r="D28" s="544" t="s">
        <v>934</v>
      </c>
      <c r="E28" s="544" t="s">
        <v>934</v>
      </c>
      <c r="F28" s="544">
        <v>1</v>
      </c>
      <c r="G28" s="544">
        <v>3</v>
      </c>
      <c r="H28" s="544">
        <v>5</v>
      </c>
      <c r="I28" s="544">
        <v>7</v>
      </c>
      <c r="J28" s="544">
        <v>10</v>
      </c>
      <c r="K28" s="544">
        <v>1</v>
      </c>
      <c r="L28" s="544">
        <v>5</v>
      </c>
      <c r="M28" s="544">
        <v>7</v>
      </c>
      <c r="N28" s="544">
        <v>10</v>
      </c>
      <c r="O28" s="544">
        <v>1</v>
      </c>
      <c r="P28" s="544">
        <v>5</v>
      </c>
      <c r="Q28" s="544">
        <v>7</v>
      </c>
      <c r="R28" s="544">
        <v>10</v>
      </c>
      <c r="S28" s="544">
        <v>3</v>
      </c>
      <c r="T28" s="544">
        <v>5</v>
      </c>
      <c r="U28" s="544">
        <v>3</v>
      </c>
      <c r="V28" s="544">
        <v>2</v>
      </c>
      <c r="W28" s="544">
        <v>3</v>
      </c>
      <c r="X28" s="544">
        <v>2</v>
      </c>
      <c r="Y28" s="544" t="s">
        <v>934</v>
      </c>
    </row>
    <row r="29" spans="3:25" x14ac:dyDescent="0.3">
      <c r="C29" s="88" t="str">
        <f>'G-1 All Habitats'!B27</f>
        <v>Heathland and shrub - Bramble scrub</v>
      </c>
      <c r="D29" s="544" t="s">
        <v>934</v>
      </c>
      <c r="E29" s="544" t="s">
        <v>934</v>
      </c>
      <c r="F29" s="544">
        <v>1</v>
      </c>
      <c r="G29" s="544" t="s">
        <v>934</v>
      </c>
      <c r="H29" s="544" t="s">
        <v>934</v>
      </c>
      <c r="I29" s="544" t="s">
        <v>934</v>
      </c>
      <c r="J29" s="544" t="s">
        <v>934</v>
      </c>
      <c r="K29" s="544" t="s">
        <v>934</v>
      </c>
      <c r="L29" s="544" t="s">
        <v>934</v>
      </c>
      <c r="M29" s="544" t="s">
        <v>934</v>
      </c>
      <c r="N29" s="544" t="s">
        <v>934</v>
      </c>
      <c r="O29" s="544" t="s">
        <v>934</v>
      </c>
      <c r="P29" s="544" t="s">
        <v>934</v>
      </c>
      <c r="Q29" s="544" t="s">
        <v>934</v>
      </c>
      <c r="R29" s="544" t="s">
        <v>934</v>
      </c>
      <c r="S29" s="544" t="s">
        <v>934</v>
      </c>
      <c r="T29" s="544" t="s">
        <v>934</v>
      </c>
      <c r="U29" s="544" t="s">
        <v>934</v>
      </c>
      <c r="V29" s="544" t="s">
        <v>934</v>
      </c>
      <c r="W29" s="544" t="s">
        <v>934</v>
      </c>
      <c r="X29" s="544" t="s">
        <v>934</v>
      </c>
      <c r="Y29" s="544" t="s">
        <v>934</v>
      </c>
    </row>
    <row r="30" spans="3:25" x14ac:dyDescent="0.3">
      <c r="C30" s="88" t="str">
        <f>'G-1 All Habitats'!B28</f>
        <v>Heathland and shrub - Gorse scrub</v>
      </c>
      <c r="D30" s="544" t="s">
        <v>934</v>
      </c>
      <c r="E30" s="544" t="s">
        <v>934</v>
      </c>
      <c r="F30" s="544">
        <v>1</v>
      </c>
      <c r="G30" s="544">
        <v>3</v>
      </c>
      <c r="H30" s="544">
        <v>5</v>
      </c>
      <c r="I30" s="544">
        <v>7</v>
      </c>
      <c r="J30" s="544">
        <v>10</v>
      </c>
      <c r="K30" s="544">
        <v>1</v>
      </c>
      <c r="L30" s="544">
        <v>5</v>
      </c>
      <c r="M30" s="544">
        <v>7</v>
      </c>
      <c r="N30" s="544">
        <v>10</v>
      </c>
      <c r="O30" s="544">
        <v>1</v>
      </c>
      <c r="P30" s="544">
        <v>5</v>
      </c>
      <c r="Q30" s="544">
        <v>7</v>
      </c>
      <c r="R30" s="544">
        <v>10</v>
      </c>
      <c r="S30" s="544">
        <v>3</v>
      </c>
      <c r="T30" s="544">
        <v>5</v>
      </c>
      <c r="U30" s="544">
        <v>7</v>
      </c>
      <c r="V30" s="544">
        <v>2</v>
      </c>
      <c r="W30" s="544">
        <v>3</v>
      </c>
      <c r="X30" s="544">
        <v>2</v>
      </c>
      <c r="Y30" s="544" t="s">
        <v>934</v>
      </c>
    </row>
    <row r="31" spans="3:25" x14ac:dyDescent="0.3">
      <c r="C31" s="88" t="str">
        <f>'G-1 All Habitats'!B29</f>
        <v>Heathland and shrub - Hawthorn scrub</v>
      </c>
      <c r="D31" s="544" t="s">
        <v>934</v>
      </c>
      <c r="E31" s="544" t="s">
        <v>934</v>
      </c>
      <c r="F31" s="544">
        <v>1</v>
      </c>
      <c r="G31" s="544">
        <v>3</v>
      </c>
      <c r="H31" s="544">
        <v>5</v>
      </c>
      <c r="I31" s="544">
        <v>7</v>
      </c>
      <c r="J31" s="544">
        <v>10</v>
      </c>
      <c r="K31" s="544">
        <v>1</v>
      </c>
      <c r="L31" s="544">
        <v>5</v>
      </c>
      <c r="M31" s="544">
        <v>7</v>
      </c>
      <c r="N31" s="544">
        <v>10</v>
      </c>
      <c r="O31" s="544">
        <v>1</v>
      </c>
      <c r="P31" s="544">
        <v>5</v>
      </c>
      <c r="Q31" s="544">
        <v>7</v>
      </c>
      <c r="R31" s="544">
        <v>10</v>
      </c>
      <c r="S31" s="544">
        <v>3</v>
      </c>
      <c r="T31" s="544">
        <v>5</v>
      </c>
      <c r="U31" s="544">
        <v>7</v>
      </c>
      <c r="V31" s="544">
        <v>2</v>
      </c>
      <c r="W31" s="544">
        <v>3</v>
      </c>
      <c r="X31" s="544">
        <v>2</v>
      </c>
      <c r="Y31" s="544" t="s">
        <v>934</v>
      </c>
    </row>
    <row r="32" spans="3:25" x14ac:dyDescent="0.3">
      <c r="C32" s="88" t="str">
        <f>'G-1 All Habitats'!B30</f>
        <v>Heathland and shrub - Hazel scrub</v>
      </c>
      <c r="D32" s="544" t="s">
        <v>934</v>
      </c>
      <c r="E32" s="544" t="s">
        <v>934</v>
      </c>
      <c r="F32" s="544">
        <v>5</v>
      </c>
      <c r="G32" s="544">
        <v>7</v>
      </c>
      <c r="H32" s="544">
        <v>10</v>
      </c>
      <c r="I32" s="544">
        <v>12</v>
      </c>
      <c r="J32" s="544">
        <v>15</v>
      </c>
      <c r="K32" s="544">
        <v>5</v>
      </c>
      <c r="L32" s="544">
        <v>7</v>
      </c>
      <c r="M32" s="544">
        <v>12</v>
      </c>
      <c r="N32" s="544">
        <v>15</v>
      </c>
      <c r="O32" s="544">
        <v>5</v>
      </c>
      <c r="P32" s="544">
        <v>7</v>
      </c>
      <c r="Q32" s="544">
        <v>12</v>
      </c>
      <c r="R32" s="544">
        <v>15</v>
      </c>
      <c r="S32" s="544">
        <v>5</v>
      </c>
      <c r="T32" s="544">
        <v>8</v>
      </c>
      <c r="U32" s="544">
        <v>12</v>
      </c>
      <c r="V32" s="544">
        <v>5</v>
      </c>
      <c r="W32" s="544">
        <v>7</v>
      </c>
      <c r="X32" s="544">
        <v>5</v>
      </c>
      <c r="Y32" s="544" t="s">
        <v>934</v>
      </c>
    </row>
    <row r="33" spans="3:25" x14ac:dyDescent="0.3">
      <c r="C33" s="88" t="str">
        <f>'G-1 All Habitats'!B31</f>
        <v>Heathland and shrub - Lowland Heathland</v>
      </c>
      <c r="D33" s="544" t="s">
        <v>934</v>
      </c>
      <c r="E33" s="544" t="s">
        <v>934</v>
      </c>
      <c r="F33" s="544">
        <v>10</v>
      </c>
      <c r="G33" s="544">
        <v>15</v>
      </c>
      <c r="H33" s="544">
        <v>20</v>
      </c>
      <c r="I33" s="544">
        <v>25</v>
      </c>
      <c r="J33" s="544" t="s">
        <v>935</v>
      </c>
      <c r="K33" s="544">
        <v>5</v>
      </c>
      <c r="L33" s="544">
        <v>10</v>
      </c>
      <c r="M33" s="544">
        <v>15</v>
      </c>
      <c r="N33" s="544">
        <v>25</v>
      </c>
      <c r="O33" s="544">
        <v>5</v>
      </c>
      <c r="P33" s="544">
        <v>10</v>
      </c>
      <c r="Q33" s="544">
        <v>15</v>
      </c>
      <c r="R33" s="544">
        <v>25</v>
      </c>
      <c r="S33" s="544">
        <v>5</v>
      </c>
      <c r="T33" s="544">
        <v>10</v>
      </c>
      <c r="U33" s="544">
        <v>20</v>
      </c>
      <c r="V33" s="544">
        <v>5</v>
      </c>
      <c r="W33" s="544">
        <v>15</v>
      </c>
      <c r="X33" s="544">
        <v>10</v>
      </c>
      <c r="Y33" s="544" t="s">
        <v>934</v>
      </c>
    </row>
    <row r="34" spans="3:25" x14ac:dyDescent="0.3">
      <c r="C34" s="88" t="str">
        <f>'G-1 All Habitats'!B32</f>
        <v>Heathland and shrub - Mixed scrub</v>
      </c>
      <c r="D34" s="544" t="s">
        <v>934</v>
      </c>
      <c r="E34" s="544" t="s">
        <v>934</v>
      </c>
      <c r="F34" s="544">
        <v>1</v>
      </c>
      <c r="G34" s="544">
        <v>3</v>
      </c>
      <c r="H34" s="544">
        <v>5</v>
      </c>
      <c r="I34" s="544">
        <v>7</v>
      </c>
      <c r="J34" s="544">
        <v>10</v>
      </c>
      <c r="K34" s="544">
        <v>1</v>
      </c>
      <c r="L34" s="544">
        <v>5</v>
      </c>
      <c r="M34" s="544">
        <v>7</v>
      </c>
      <c r="N34" s="544">
        <v>10</v>
      </c>
      <c r="O34" s="544">
        <v>1</v>
      </c>
      <c r="P34" s="544">
        <v>5</v>
      </c>
      <c r="Q34" s="544">
        <v>7</v>
      </c>
      <c r="R34" s="544">
        <v>10</v>
      </c>
      <c r="S34" s="544">
        <v>3</v>
      </c>
      <c r="T34" s="544">
        <v>5</v>
      </c>
      <c r="U34" s="544">
        <v>7</v>
      </c>
      <c r="V34" s="544">
        <v>2</v>
      </c>
      <c r="W34" s="544">
        <v>3</v>
      </c>
      <c r="X34" s="544">
        <v>2</v>
      </c>
      <c r="Y34" s="544" t="s">
        <v>934</v>
      </c>
    </row>
    <row r="35" spans="3:25" x14ac:dyDescent="0.3">
      <c r="C35" s="88" t="str">
        <f>'G-1 All Habitats'!B33</f>
        <v>Heathland and shrub - Mountain heaths and willow scrub</v>
      </c>
      <c r="D35" s="544" t="s">
        <v>934</v>
      </c>
      <c r="E35" s="544" t="s">
        <v>934</v>
      </c>
      <c r="F35" s="544">
        <v>15</v>
      </c>
      <c r="G35" s="544">
        <v>23</v>
      </c>
      <c r="H35" s="544">
        <v>25</v>
      </c>
      <c r="I35" s="544" t="s">
        <v>935</v>
      </c>
      <c r="J35" s="544" t="s">
        <v>935</v>
      </c>
      <c r="K35" s="544">
        <v>20</v>
      </c>
      <c r="L35" s="544" t="s">
        <v>935</v>
      </c>
      <c r="M35" s="544" t="s">
        <v>935</v>
      </c>
      <c r="N35" s="544" t="s">
        <v>935</v>
      </c>
      <c r="O35" s="544">
        <v>20</v>
      </c>
      <c r="P35" s="544" t="s">
        <v>935</v>
      </c>
      <c r="Q35" s="544" t="s">
        <v>935</v>
      </c>
      <c r="R35" s="544" t="s">
        <v>935</v>
      </c>
      <c r="S35" s="544">
        <v>20</v>
      </c>
      <c r="T35" s="544" t="s">
        <v>935</v>
      </c>
      <c r="U35" s="544" t="s">
        <v>935</v>
      </c>
      <c r="V35" s="544">
        <v>20</v>
      </c>
      <c r="W35" s="544" t="s">
        <v>935</v>
      </c>
      <c r="X35" s="544">
        <v>20</v>
      </c>
      <c r="Y35" s="544" t="s">
        <v>934</v>
      </c>
    </row>
    <row r="36" spans="3:25" x14ac:dyDescent="0.3">
      <c r="C36" s="88" t="str">
        <f>'G-1 All Habitats'!B34</f>
        <v>Heathland and shrub - Rhododendron scrub</v>
      </c>
      <c r="D36" s="544" t="s">
        <v>934</v>
      </c>
      <c r="E36" s="544" t="s">
        <v>934</v>
      </c>
      <c r="F36" s="544">
        <v>1</v>
      </c>
      <c r="G36" s="544" t="s">
        <v>934</v>
      </c>
      <c r="H36" s="544" t="s">
        <v>934</v>
      </c>
      <c r="I36" s="544" t="s">
        <v>934</v>
      </c>
      <c r="J36" s="544" t="s">
        <v>934</v>
      </c>
      <c r="K36" s="544" t="s">
        <v>934</v>
      </c>
      <c r="L36" s="544" t="s">
        <v>934</v>
      </c>
      <c r="M36" s="544" t="s">
        <v>934</v>
      </c>
      <c r="N36" s="544" t="s">
        <v>934</v>
      </c>
      <c r="O36" s="544" t="s">
        <v>934</v>
      </c>
      <c r="P36" s="544" t="s">
        <v>934</v>
      </c>
      <c r="Q36" s="544" t="s">
        <v>934</v>
      </c>
      <c r="R36" s="544" t="s">
        <v>934</v>
      </c>
      <c r="S36" s="544" t="s">
        <v>934</v>
      </c>
      <c r="T36" s="544" t="s">
        <v>934</v>
      </c>
      <c r="U36" s="544" t="s">
        <v>934</v>
      </c>
      <c r="V36" s="544" t="s">
        <v>934</v>
      </c>
      <c r="W36" s="544" t="s">
        <v>934</v>
      </c>
      <c r="X36" s="544" t="s">
        <v>934</v>
      </c>
      <c r="Y36" s="544" t="s">
        <v>934</v>
      </c>
    </row>
    <row r="37" spans="3:25" x14ac:dyDescent="0.3">
      <c r="C37" s="88" t="str">
        <f>'G-1 All Habitats'!B35</f>
        <v>Heathland and shrub - Sea buckthorn scrub (Annex 1)</v>
      </c>
      <c r="D37" s="544" t="s">
        <v>934</v>
      </c>
      <c r="E37" s="544" t="s">
        <v>934</v>
      </c>
      <c r="F37" s="544">
        <v>5</v>
      </c>
      <c r="G37" s="544">
        <v>7</v>
      </c>
      <c r="H37" s="544">
        <v>10</v>
      </c>
      <c r="I37" s="544">
        <v>12</v>
      </c>
      <c r="J37" s="544">
        <v>15</v>
      </c>
      <c r="K37" s="544">
        <v>5</v>
      </c>
      <c r="L37" s="544">
        <v>7</v>
      </c>
      <c r="M37" s="544">
        <v>10</v>
      </c>
      <c r="N37" s="544">
        <v>12</v>
      </c>
      <c r="O37" s="544">
        <v>5</v>
      </c>
      <c r="P37" s="544">
        <v>7</v>
      </c>
      <c r="Q37" s="544">
        <v>10</v>
      </c>
      <c r="R37" s="544">
        <v>12</v>
      </c>
      <c r="S37" s="544">
        <v>5</v>
      </c>
      <c r="T37" s="544">
        <v>7</v>
      </c>
      <c r="U37" s="544">
        <v>10</v>
      </c>
      <c r="V37" s="544">
        <v>5</v>
      </c>
      <c r="W37" s="544">
        <v>7</v>
      </c>
      <c r="X37" s="544">
        <v>5</v>
      </c>
      <c r="Y37" s="544" t="s">
        <v>934</v>
      </c>
    </row>
    <row r="38" spans="3:25" x14ac:dyDescent="0.3">
      <c r="C38" s="88" t="str">
        <f>'G-1 All Habitats'!B36</f>
        <v>Heathland and shrub - Sea buckthorn scrub (other)</v>
      </c>
      <c r="D38" s="544" t="s">
        <v>934</v>
      </c>
      <c r="E38" s="544" t="s">
        <v>934</v>
      </c>
      <c r="F38" s="544" t="s">
        <v>934</v>
      </c>
      <c r="G38" s="544" t="s">
        <v>934</v>
      </c>
      <c r="H38" s="544" t="s">
        <v>934</v>
      </c>
      <c r="I38" s="544" t="s">
        <v>934</v>
      </c>
      <c r="J38" s="544" t="s">
        <v>934</v>
      </c>
      <c r="K38" s="544" t="s">
        <v>934</v>
      </c>
      <c r="L38" s="544" t="s">
        <v>934</v>
      </c>
      <c r="M38" s="544" t="s">
        <v>934</v>
      </c>
      <c r="N38" s="544" t="s">
        <v>934</v>
      </c>
      <c r="O38" s="544" t="s">
        <v>934</v>
      </c>
      <c r="P38" s="544" t="s">
        <v>934</v>
      </c>
      <c r="Q38" s="544" t="s">
        <v>934</v>
      </c>
      <c r="R38" s="544" t="s">
        <v>934</v>
      </c>
      <c r="S38" s="544" t="s">
        <v>934</v>
      </c>
      <c r="T38" s="544" t="s">
        <v>934</v>
      </c>
      <c r="U38" s="544" t="s">
        <v>934</v>
      </c>
      <c r="V38" s="544" t="s">
        <v>934</v>
      </c>
      <c r="W38" s="544" t="s">
        <v>934</v>
      </c>
      <c r="X38" s="544" t="s">
        <v>934</v>
      </c>
      <c r="Y38" s="544" t="s">
        <v>934</v>
      </c>
    </row>
    <row r="39" spans="3:25" x14ac:dyDescent="0.3">
      <c r="C39" s="88" t="str">
        <f>'G-1 All Habitats'!B37</f>
        <v>Heathland and shrub - Upland Heathland</v>
      </c>
      <c r="D39" s="544" t="s">
        <v>934</v>
      </c>
      <c r="E39" s="544" t="s">
        <v>934</v>
      </c>
      <c r="F39" s="544">
        <v>10</v>
      </c>
      <c r="G39" s="544">
        <v>15</v>
      </c>
      <c r="H39" s="544">
        <v>20</v>
      </c>
      <c r="I39" s="544">
        <v>25</v>
      </c>
      <c r="J39" s="544">
        <v>30</v>
      </c>
      <c r="K39" s="544" t="s">
        <v>934</v>
      </c>
      <c r="L39" s="544" t="s">
        <v>934</v>
      </c>
      <c r="M39" s="544" t="s">
        <v>934</v>
      </c>
      <c r="N39" s="544" t="s">
        <v>934</v>
      </c>
      <c r="O39" s="544">
        <v>10</v>
      </c>
      <c r="P39" s="544">
        <v>20</v>
      </c>
      <c r="Q39" s="544">
        <v>30</v>
      </c>
      <c r="R39" s="544" t="s">
        <v>935</v>
      </c>
      <c r="S39" s="544">
        <v>10</v>
      </c>
      <c r="T39" s="544">
        <v>20</v>
      </c>
      <c r="U39" s="544">
        <v>30</v>
      </c>
      <c r="V39" s="544">
        <v>10</v>
      </c>
      <c r="W39" s="544">
        <v>20</v>
      </c>
      <c r="X39" s="544">
        <v>10</v>
      </c>
      <c r="Y39" s="544" t="s">
        <v>934</v>
      </c>
    </row>
    <row r="40" spans="3:25" x14ac:dyDescent="0.3">
      <c r="C40" s="88" t="str">
        <f>'G-1 All Habitats'!B38</f>
        <v>Lakes - Aquifer fed naturally fluctuating water bodies</v>
      </c>
      <c r="D40" s="544" t="s">
        <v>934</v>
      </c>
      <c r="E40" s="544" t="s">
        <v>934</v>
      </c>
      <c r="F40" s="544">
        <v>1</v>
      </c>
      <c r="G40" s="544">
        <v>10</v>
      </c>
      <c r="H40" s="544">
        <v>15</v>
      </c>
      <c r="I40" s="544">
        <v>20</v>
      </c>
      <c r="J40" s="544">
        <v>30</v>
      </c>
      <c r="K40" s="544" t="s">
        <v>934</v>
      </c>
      <c r="L40" s="544" t="s">
        <v>934</v>
      </c>
      <c r="M40" s="544" t="s">
        <v>934</v>
      </c>
      <c r="N40" s="544" t="s">
        <v>934</v>
      </c>
      <c r="O40" s="544">
        <v>5</v>
      </c>
      <c r="P40" s="544">
        <v>10</v>
      </c>
      <c r="Q40" s="544">
        <v>15</v>
      </c>
      <c r="R40" s="544">
        <v>30</v>
      </c>
      <c r="S40" s="544">
        <v>5</v>
      </c>
      <c r="T40" s="544">
        <v>15</v>
      </c>
      <c r="U40" s="544">
        <v>25</v>
      </c>
      <c r="V40" s="544">
        <v>5</v>
      </c>
      <c r="W40" s="544">
        <v>20</v>
      </c>
      <c r="X40" s="544">
        <v>5</v>
      </c>
      <c r="Y40" s="544" t="s">
        <v>934</v>
      </c>
    </row>
    <row r="41" spans="3:25" x14ac:dyDescent="0.3">
      <c r="C41" s="88" t="str">
        <f>'G-1 All Habitats'!B40</f>
        <v>Lakes - High alkalinity lakes</v>
      </c>
      <c r="D41" s="544" t="s">
        <v>934</v>
      </c>
      <c r="E41" s="544" t="s">
        <v>934</v>
      </c>
      <c r="F41" s="544">
        <v>2</v>
      </c>
      <c r="G41" s="544">
        <v>3</v>
      </c>
      <c r="H41" s="544">
        <v>5</v>
      </c>
      <c r="I41" s="544">
        <v>7</v>
      </c>
      <c r="J41" s="544">
        <v>10</v>
      </c>
      <c r="K41" s="544" t="s">
        <v>934</v>
      </c>
      <c r="L41" s="544" t="s">
        <v>934</v>
      </c>
      <c r="M41" s="544" t="s">
        <v>934</v>
      </c>
      <c r="N41" s="544" t="s">
        <v>934</v>
      </c>
      <c r="O41" s="544">
        <v>5</v>
      </c>
      <c r="P41" s="544">
        <v>10</v>
      </c>
      <c r="Q41" s="544">
        <v>15</v>
      </c>
      <c r="R41" s="544">
        <v>30</v>
      </c>
      <c r="S41" s="544">
        <v>5</v>
      </c>
      <c r="T41" s="544">
        <v>15</v>
      </c>
      <c r="U41" s="544">
        <v>25</v>
      </c>
      <c r="V41" s="544">
        <v>10</v>
      </c>
      <c r="W41" s="544">
        <v>20</v>
      </c>
      <c r="X41" s="544">
        <v>10</v>
      </c>
      <c r="Y41" s="544" t="s">
        <v>934</v>
      </c>
    </row>
    <row r="42" spans="3:25" x14ac:dyDescent="0.3">
      <c r="C42" s="88" t="str">
        <f>'G-1 All Habitats'!B41</f>
        <v>Lakes - Low alkalinity lakes</v>
      </c>
      <c r="D42" s="544" t="s">
        <v>934</v>
      </c>
      <c r="E42" s="544" t="s">
        <v>934</v>
      </c>
      <c r="F42" s="544">
        <v>5</v>
      </c>
      <c r="G42" s="544">
        <v>10</v>
      </c>
      <c r="H42" s="544">
        <v>15</v>
      </c>
      <c r="I42" s="544">
        <v>20</v>
      </c>
      <c r="J42" s="544">
        <v>30</v>
      </c>
      <c r="K42" s="544" t="s">
        <v>934</v>
      </c>
      <c r="L42" s="544" t="s">
        <v>934</v>
      </c>
      <c r="M42" s="544" t="s">
        <v>934</v>
      </c>
      <c r="N42" s="544" t="s">
        <v>934</v>
      </c>
      <c r="O42" s="544">
        <v>5</v>
      </c>
      <c r="P42" s="544">
        <v>10</v>
      </c>
      <c r="Q42" s="544">
        <v>15</v>
      </c>
      <c r="R42" s="544">
        <v>20</v>
      </c>
      <c r="S42" s="544">
        <v>5</v>
      </c>
      <c r="T42" s="544">
        <v>10</v>
      </c>
      <c r="U42" s="544">
        <v>15</v>
      </c>
      <c r="V42" s="544">
        <v>5</v>
      </c>
      <c r="W42" s="544">
        <v>10</v>
      </c>
      <c r="X42" s="544">
        <v>5</v>
      </c>
      <c r="Y42" s="544" t="s">
        <v>934</v>
      </c>
    </row>
    <row r="43" spans="3:25" x14ac:dyDescent="0.3">
      <c r="C43" s="88" t="str">
        <f>'G-1 All Habitats'!B42</f>
        <v>Lakes - Marl Lakes</v>
      </c>
      <c r="D43" s="544" t="s">
        <v>934</v>
      </c>
      <c r="E43" s="544" t="s">
        <v>934</v>
      </c>
      <c r="F43" s="544">
        <v>5</v>
      </c>
      <c r="G43" s="544">
        <v>7</v>
      </c>
      <c r="H43" s="544">
        <v>10</v>
      </c>
      <c r="I43" s="544">
        <v>15</v>
      </c>
      <c r="J43" s="544">
        <v>20</v>
      </c>
      <c r="K43" s="544" t="s">
        <v>934</v>
      </c>
      <c r="L43" s="544" t="s">
        <v>934</v>
      </c>
      <c r="M43" s="544" t="s">
        <v>934</v>
      </c>
      <c r="N43" s="544" t="s">
        <v>934</v>
      </c>
      <c r="O43" s="544">
        <v>5</v>
      </c>
      <c r="P43" s="544">
        <v>10</v>
      </c>
      <c r="Q43" s="544">
        <v>15</v>
      </c>
      <c r="R43" s="544">
        <v>30</v>
      </c>
      <c r="S43" s="544">
        <v>5</v>
      </c>
      <c r="T43" s="544">
        <v>15</v>
      </c>
      <c r="U43" s="544">
        <v>25</v>
      </c>
      <c r="V43" s="544">
        <v>10</v>
      </c>
      <c r="W43" s="544">
        <v>20</v>
      </c>
      <c r="X43" s="544">
        <v>10</v>
      </c>
      <c r="Y43" s="544" t="s">
        <v>934</v>
      </c>
    </row>
    <row r="44" spans="3:25" x14ac:dyDescent="0.3">
      <c r="C44" s="88" t="str">
        <f>'G-1 All Habitats'!B43</f>
        <v>Lakes - Moderate alkalinity lakes</v>
      </c>
      <c r="D44" s="544" t="s">
        <v>934</v>
      </c>
      <c r="E44" s="544" t="s">
        <v>934</v>
      </c>
      <c r="F44" s="544">
        <v>5</v>
      </c>
      <c r="G44" s="544">
        <v>7</v>
      </c>
      <c r="H44" s="544">
        <v>10</v>
      </c>
      <c r="I44" s="544">
        <v>15</v>
      </c>
      <c r="J44" s="544">
        <v>20</v>
      </c>
      <c r="K44" s="544" t="s">
        <v>934</v>
      </c>
      <c r="L44" s="544" t="s">
        <v>934</v>
      </c>
      <c r="M44" s="544" t="s">
        <v>934</v>
      </c>
      <c r="N44" s="544" t="s">
        <v>934</v>
      </c>
      <c r="O44" s="544">
        <v>5</v>
      </c>
      <c r="P44" s="544">
        <v>10</v>
      </c>
      <c r="Q44" s="544">
        <v>15</v>
      </c>
      <c r="R44" s="544">
        <v>30</v>
      </c>
      <c r="S44" s="544">
        <v>5</v>
      </c>
      <c r="T44" s="544">
        <v>15</v>
      </c>
      <c r="U44" s="544">
        <v>25</v>
      </c>
      <c r="V44" s="544">
        <v>10</v>
      </c>
      <c r="W44" s="544">
        <v>20</v>
      </c>
      <c r="X44" s="544">
        <v>10</v>
      </c>
      <c r="Y44" s="544" t="s">
        <v>934</v>
      </c>
    </row>
    <row r="45" spans="3:25" x14ac:dyDescent="0.3">
      <c r="C45" s="88" t="str">
        <f>'G-1 All Habitats'!B44</f>
        <v>Lakes - Peat Lakes</v>
      </c>
      <c r="D45" s="544" t="s">
        <v>934</v>
      </c>
      <c r="E45" s="544" t="s">
        <v>934</v>
      </c>
      <c r="F45" s="544">
        <v>5</v>
      </c>
      <c r="G45" s="544">
        <v>10</v>
      </c>
      <c r="H45" s="544">
        <v>15</v>
      </c>
      <c r="I45" s="544">
        <v>20</v>
      </c>
      <c r="J45" s="544">
        <v>30</v>
      </c>
      <c r="K45" s="544" t="s">
        <v>934</v>
      </c>
      <c r="L45" s="544" t="s">
        <v>934</v>
      </c>
      <c r="M45" s="544" t="s">
        <v>934</v>
      </c>
      <c r="N45" s="544" t="s">
        <v>934</v>
      </c>
      <c r="O45" s="544">
        <v>5</v>
      </c>
      <c r="P45" s="544">
        <v>10</v>
      </c>
      <c r="Q45" s="544">
        <v>15</v>
      </c>
      <c r="R45" s="544">
        <v>30</v>
      </c>
      <c r="S45" s="544">
        <v>5</v>
      </c>
      <c r="T45" s="544">
        <v>15</v>
      </c>
      <c r="U45" s="544">
        <v>25</v>
      </c>
      <c r="V45" s="544">
        <v>10</v>
      </c>
      <c r="W45" s="544">
        <v>20</v>
      </c>
      <c r="X45" s="544">
        <v>10</v>
      </c>
      <c r="Y45" s="544" t="s">
        <v>934</v>
      </c>
    </row>
    <row r="46" spans="3:25" x14ac:dyDescent="0.3">
      <c r="C46" s="88" t="str">
        <f>'G-1 All Habitats'!B45</f>
        <v>Lakes - Ponds (Priority Habitat)</v>
      </c>
      <c r="D46" s="544" t="s">
        <v>934</v>
      </c>
      <c r="E46" s="544" t="s">
        <v>934</v>
      </c>
      <c r="F46" s="544">
        <v>2</v>
      </c>
      <c r="G46" s="544">
        <v>3</v>
      </c>
      <c r="H46" s="544">
        <v>5</v>
      </c>
      <c r="I46" s="544">
        <v>7</v>
      </c>
      <c r="J46" s="544">
        <v>10</v>
      </c>
      <c r="K46" s="544" t="s">
        <v>934</v>
      </c>
      <c r="L46" s="544" t="s">
        <v>934</v>
      </c>
      <c r="M46" s="544" t="s">
        <v>934</v>
      </c>
      <c r="N46" s="544" t="s">
        <v>934</v>
      </c>
      <c r="O46" s="544">
        <v>2</v>
      </c>
      <c r="P46" s="544">
        <v>4</v>
      </c>
      <c r="Q46" s="544">
        <v>6</v>
      </c>
      <c r="R46" s="544">
        <v>8</v>
      </c>
      <c r="S46" s="544">
        <v>2</v>
      </c>
      <c r="T46" s="544">
        <v>4</v>
      </c>
      <c r="U46" s="544">
        <v>6</v>
      </c>
      <c r="V46" s="544">
        <v>2</v>
      </c>
      <c r="W46" s="544">
        <v>4</v>
      </c>
      <c r="X46" s="544">
        <v>2</v>
      </c>
      <c r="Y46" s="544" t="s">
        <v>934</v>
      </c>
    </row>
    <row r="47" spans="3:25" x14ac:dyDescent="0.3">
      <c r="C47" s="88" t="str">
        <f>'G-1 All Habitats'!B46</f>
        <v>Lakes - Ponds (Non- Priority Habitat)</v>
      </c>
      <c r="D47" s="544" t="s">
        <v>934</v>
      </c>
      <c r="E47" s="544" t="s">
        <v>934</v>
      </c>
      <c r="F47" s="544">
        <v>1</v>
      </c>
      <c r="G47" s="544">
        <v>2</v>
      </c>
      <c r="H47" s="544">
        <v>3</v>
      </c>
      <c r="I47" s="544">
        <v>4</v>
      </c>
      <c r="J47" s="544">
        <v>5</v>
      </c>
      <c r="K47" s="544" t="s">
        <v>934</v>
      </c>
      <c r="L47" s="544" t="s">
        <v>934</v>
      </c>
      <c r="M47" s="544" t="s">
        <v>934</v>
      </c>
      <c r="N47" s="544" t="s">
        <v>934</v>
      </c>
      <c r="O47" s="544">
        <v>2</v>
      </c>
      <c r="P47" s="544">
        <v>4</v>
      </c>
      <c r="Q47" s="544">
        <v>6</v>
      </c>
      <c r="R47" s="544">
        <v>8</v>
      </c>
      <c r="S47" s="544">
        <v>2</v>
      </c>
      <c r="T47" s="544">
        <v>4</v>
      </c>
      <c r="U47" s="544">
        <v>6</v>
      </c>
      <c r="V47" s="544">
        <v>2</v>
      </c>
      <c r="W47" s="544">
        <v>4</v>
      </c>
      <c r="X47" s="544">
        <v>2</v>
      </c>
      <c r="Y47" s="544" t="s">
        <v>934</v>
      </c>
    </row>
    <row r="48" spans="3:25" x14ac:dyDescent="0.3">
      <c r="C48" s="88" t="str">
        <f>'G-1 All Habitats'!B47</f>
        <v>Lakes - Reservoirs</v>
      </c>
      <c r="D48" s="544" t="s">
        <v>934</v>
      </c>
      <c r="E48" s="544" t="s">
        <v>934</v>
      </c>
      <c r="F48" s="544">
        <v>1</v>
      </c>
      <c r="G48" s="544">
        <v>3</v>
      </c>
      <c r="H48" s="544">
        <v>5</v>
      </c>
      <c r="I48" s="544">
        <v>7</v>
      </c>
      <c r="J48" s="544">
        <v>10</v>
      </c>
      <c r="K48" s="544" t="s">
        <v>934</v>
      </c>
      <c r="L48" s="544" t="s">
        <v>934</v>
      </c>
      <c r="M48" s="544" t="s">
        <v>934</v>
      </c>
      <c r="N48" s="544" t="s">
        <v>934</v>
      </c>
      <c r="O48" s="544">
        <v>5</v>
      </c>
      <c r="P48" s="544">
        <v>10</v>
      </c>
      <c r="Q48" s="544">
        <v>15</v>
      </c>
      <c r="R48" s="544">
        <v>30</v>
      </c>
      <c r="S48" s="544">
        <v>5</v>
      </c>
      <c r="T48" s="544">
        <v>15</v>
      </c>
      <c r="U48" s="544">
        <v>25</v>
      </c>
      <c r="V48" s="544">
        <v>10</v>
      </c>
      <c r="W48" s="544">
        <v>20</v>
      </c>
      <c r="X48" s="544">
        <v>10</v>
      </c>
      <c r="Y48" s="544" t="s">
        <v>934</v>
      </c>
    </row>
    <row r="49" spans="3:25" x14ac:dyDescent="0.3">
      <c r="C49" s="88" t="str">
        <f>'G-1 All Habitats'!B48</f>
        <v>Lakes - Temporary lakes, ponds and pools</v>
      </c>
      <c r="D49" s="544" t="s">
        <v>934</v>
      </c>
      <c r="E49" s="544" t="s">
        <v>934</v>
      </c>
      <c r="F49" s="544">
        <v>2</v>
      </c>
      <c r="G49" s="544">
        <v>3</v>
      </c>
      <c r="H49" s="544">
        <v>5</v>
      </c>
      <c r="I49" s="544">
        <v>7</v>
      </c>
      <c r="J49" s="544">
        <v>10</v>
      </c>
      <c r="K49" s="544" t="s">
        <v>934</v>
      </c>
      <c r="L49" s="544" t="s">
        <v>934</v>
      </c>
      <c r="M49" s="544" t="s">
        <v>934</v>
      </c>
      <c r="N49" s="544" t="s">
        <v>934</v>
      </c>
      <c r="O49" s="544">
        <v>2</v>
      </c>
      <c r="P49" s="544">
        <v>4</v>
      </c>
      <c r="Q49" s="544">
        <v>6</v>
      </c>
      <c r="R49" s="544">
        <v>8</v>
      </c>
      <c r="S49" s="544">
        <v>2</v>
      </c>
      <c r="T49" s="544">
        <v>4</v>
      </c>
      <c r="U49" s="544">
        <v>6</v>
      </c>
      <c r="V49" s="544">
        <v>2</v>
      </c>
      <c r="W49" s="544">
        <v>4</v>
      </c>
      <c r="X49" s="544">
        <v>2</v>
      </c>
      <c r="Y49" s="544" t="s">
        <v>934</v>
      </c>
    </row>
    <row r="50" spans="3:25" x14ac:dyDescent="0.3">
      <c r="C50" s="88" t="str">
        <f>'G-1 All Habitats'!B49</f>
        <v>Sparsely vegetated land - Calaminarian grasslands</v>
      </c>
      <c r="D50" s="544" t="s">
        <v>934</v>
      </c>
      <c r="E50" s="544" t="s">
        <v>934</v>
      </c>
      <c r="F50" s="544">
        <v>2</v>
      </c>
      <c r="G50" s="544">
        <v>3</v>
      </c>
      <c r="H50" s="544">
        <v>5</v>
      </c>
      <c r="I50" s="544">
        <v>7</v>
      </c>
      <c r="J50" s="544">
        <v>10</v>
      </c>
      <c r="K50" s="544" t="s">
        <v>934</v>
      </c>
      <c r="L50" s="544" t="s">
        <v>934</v>
      </c>
      <c r="M50" s="544" t="s">
        <v>934</v>
      </c>
      <c r="N50" s="544" t="s">
        <v>934</v>
      </c>
      <c r="O50" s="544">
        <v>1</v>
      </c>
      <c r="P50" s="544">
        <v>3</v>
      </c>
      <c r="Q50" s="544">
        <v>5</v>
      </c>
      <c r="R50" s="544">
        <v>8</v>
      </c>
      <c r="S50" s="544">
        <v>1</v>
      </c>
      <c r="T50" s="544">
        <v>4</v>
      </c>
      <c r="U50" s="544">
        <v>7</v>
      </c>
      <c r="V50" s="544">
        <v>2</v>
      </c>
      <c r="W50" s="544">
        <v>5</v>
      </c>
      <c r="X50" s="544">
        <v>3</v>
      </c>
      <c r="Y50" s="544" t="s">
        <v>934</v>
      </c>
    </row>
    <row r="51" spans="3:25" x14ac:dyDescent="0.3">
      <c r="C51" s="88" t="str">
        <f>'G-1 All Habitats'!B50</f>
        <v>Sparsely vegetated land - Coastal sand dunes</v>
      </c>
      <c r="D51" s="544" t="s">
        <v>934</v>
      </c>
      <c r="E51" s="544" t="s">
        <v>934</v>
      </c>
      <c r="F51" s="544">
        <v>5</v>
      </c>
      <c r="G51" s="544">
        <v>7</v>
      </c>
      <c r="H51" s="544">
        <v>10</v>
      </c>
      <c r="I51" s="544">
        <v>15</v>
      </c>
      <c r="J51" s="544">
        <v>20</v>
      </c>
      <c r="K51" s="544" t="s">
        <v>934</v>
      </c>
      <c r="L51" s="544" t="s">
        <v>934</v>
      </c>
      <c r="M51" s="544" t="s">
        <v>934</v>
      </c>
      <c r="N51" s="544" t="s">
        <v>934</v>
      </c>
      <c r="O51" s="544">
        <v>5</v>
      </c>
      <c r="P51" s="544">
        <v>8</v>
      </c>
      <c r="Q51" s="544">
        <v>15</v>
      </c>
      <c r="R51" s="544">
        <v>20</v>
      </c>
      <c r="S51" s="544">
        <v>5</v>
      </c>
      <c r="T51" s="544">
        <v>10</v>
      </c>
      <c r="U51" s="544">
        <v>18</v>
      </c>
      <c r="V51" s="544">
        <v>7</v>
      </c>
      <c r="W51" s="544">
        <v>12</v>
      </c>
      <c r="X51" s="544">
        <v>8</v>
      </c>
      <c r="Y51" s="544" t="s">
        <v>934</v>
      </c>
    </row>
    <row r="52" spans="3:25" x14ac:dyDescent="0.3">
      <c r="C52" s="88" t="str">
        <f>'G-1 All Habitats'!B51</f>
        <v>Sparsely vegetated land - Coastal vegetated shingle</v>
      </c>
      <c r="D52" s="544" t="s">
        <v>934</v>
      </c>
      <c r="E52" s="544" t="s">
        <v>934</v>
      </c>
      <c r="F52" s="544">
        <v>5</v>
      </c>
      <c r="G52" s="544">
        <v>7</v>
      </c>
      <c r="H52" s="544">
        <v>10</v>
      </c>
      <c r="I52" s="544">
        <v>15</v>
      </c>
      <c r="J52" s="544">
        <v>20</v>
      </c>
      <c r="K52" s="544" t="s">
        <v>934</v>
      </c>
      <c r="L52" s="544" t="s">
        <v>934</v>
      </c>
      <c r="M52" s="544" t="s">
        <v>934</v>
      </c>
      <c r="N52" s="544" t="s">
        <v>934</v>
      </c>
      <c r="O52" s="544">
        <v>5</v>
      </c>
      <c r="P52" s="544">
        <v>8</v>
      </c>
      <c r="Q52" s="544">
        <v>15</v>
      </c>
      <c r="R52" s="544">
        <v>20</v>
      </c>
      <c r="S52" s="544">
        <v>5</v>
      </c>
      <c r="T52" s="544">
        <v>10</v>
      </c>
      <c r="U52" s="544">
        <v>18</v>
      </c>
      <c r="V52" s="544">
        <v>7</v>
      </c>
      <c r="W52" s="544">
        <v>12</v>
      </c>
      <c r="X52" s="544">
        <v>8</v>
      </c>
      <c r="Y52" s="544" t="s">
        <v>934</v>
      </c>
    </row>
    <row r="53" spans="3:25" x14ac:dyDescent="0.3">
      <c r="C53" s="88" t="str">
        <f>'G-1 All Habitats'!B52</f>
        <v>Sparsely vegetated land - Ruderal/Ephemeral</v>
      </c>
      <c r="D53" s="544" t="s">
        <v>934</v>
      </c>
      <c r="E53" s="544" t="s">
        <v>934</v>
      </c>
      <c r="F53" s="544" t="s">
        <v>934</v>
      </c>
      <c r="G53" s="544" t="s">
        <v>934</v>
      </c>
      <c r="H53" s="544" t="s">
        <v>934</v>
      </c>
      <c r="I53" s="544" t="s">
        <v>934</v>
      </c>
      <c r="J53" s="544" t="s">
        <v>934</v>
      </c>
      <c r="K53" s="544" t="s">
        <v>934</v>
      </c>
      <c r="L53" s="544" t="s">
        <v>934</v>
      </c>
      <c r="M53" s="544" t="s">
        <v>934</v>
      </c>
      <c r="N53" s="544" t="s">
        <v>934</v>
      </c>
      <c r="O53" s="544">
        <v>1</v>
      </c>
      <c r="P53" s="544">
        <v>2</v>
      </c>
      <c r="Q53" s="544">
        <v>3</v>
      </c>
      <c r="R53" s="544">
        <v>5</v>
      </c>
      <c r="S53" s="544">
        <v>1</v>
      </c>
      <c r="T53" s="544">
        <v>2</v>
      </c>
      <c r="U53" s="544">
        <v>3</v>
      </c>
      <c r="V53" s="544">
        <v>1</v>
      </c>
      <c r="W53" s="544">
        <v>2</v>
      </c>
      <c r="X53" s="544">
        <v>1</v>
      </c>
      <c r="Y53" s="544" t="s">
        <v>934</v>
      </c>
    </row>
    <row r="54" spans="3:25" x14ac:dyDescent="0.3">
      <c r="C54" s="88" t="str">
        <f>'G-1 All Habitats'!B53</f>
        <v>Sparsely vegetated land - Inland rock outcrop and scree habitats</v>
      </c>
      <c r="D54" s="544" t="s">
        <v>934</v>
      </c>
      <c r="E54" s="544" t="s">
        <v>934</v>
      </c>
      <c r="F54" s="544">
        <v>10</v>
      </c>
      <c r="G54" s="544">
        <v>15</v>
      </c>
      <c r="H54" s="544">
        <v>20</v>
      </c>
      <c r="I54" s="544">
        <v>25</v>
      </c>
      <c r="J54" s="544" t="s">
        <v>935</v>
      </c>
      <c r="K54" s="544" t="s">
        <v>934</v>
      </c>
      <c r="L54" s="544" t="s">
        <v>934</v>
      </c>
      <c r="M54" s="544" t="s">
        <v>934</v>
      </c>
      <c r="N54" s="544" t="s">
        <v>934</v>
      </c>
      <c r="O54" s="544">
        <v>10</v>
      </c>
      <c r="P54" s="544">
        <v>15</v>
      </c>
      <c r="Q54" s="544">
        <v>25</v>
      </c>
      <c r="R54" s="544" t="s">
        <v>935</v>
      </c>
      <c r="S54" s="544">
        <v>20</v>
      </c>
      <c r="T54" s="544">
        <v>25</v>
      </c>
      <c r="U54" s="544">
        <v>27</v>
      </c>
      <c r="V54" s="544">
        <v>15</v>
      </c>
      <c r="W54" s="544">
        <v>20</v>
      </c>
      <c r="X54" s="544">
        <v>15</v>
      </c>
      <c r="Y54" s="544" t="s">
        <v>934</v>
      </c>
    </row>
    <row r="55" spans="3:25" x14ac:dyDescent="0.3">
      <c r="C55" s="88" t="str">
        <f>'G-1 All Habitats'!B54</f>
        <v>Sparsely vegetated land - Limestone pavement</v>
      </c>
      <c r="D55" s="544" t="s">
        <v>934</v>
      </c>
      <c r="E55" s="544" t="s">
        <v>934</v>
      </c>
      <c r="F55" s="544" t="s">
        <v>935</v>
      </c>
      <c r="G55" s="544" t="s">
        <v>935</v>
      </c>
      <c r="H55" s="544" t="s">
        <v>935</v>
      </c>
      <c r="I55" s="544" t="s">
        <v>935</v>
      </c>
      <c r="J55" s="544" t="s">
        <v>935</v>
      </c>
      <c r="K55" s="544" t="s">
        <v>934</v>
      </c>
      <c r="L55" s="544" t="s">
        <v>934</v>
      </c>
      <c r="M55" s="544" t="s">
        <v>934</v>
      </c>
      <c r="N55" s="544" t="s">
        <v>934</v>
      </c>
      <c r="O55" s="544">
        <v>5</v>
      </c>
      <c r="P55" s="544">
        <v>10</v>
      </c>
      <c r="Q55" s="544">
        <v>15</v>
      </c>
      <c r="R55" s="544">
        <v>20</v>
      </c>
      <c r="S55" s="544">
        <v>5</v>
      </c>
      <c r="T55" s="544">
        <v>10</v>
      </c>
      <c r="U55" s="544">
        <v>15</v>
      </c>
      <c r="V55" s="544">
        <v>5</v>
      </c>
      <c r="W55" s="544">
        <v>10</v>
      </c>
      <c r="X55" s="544">
        <v>5</v>
      </c>
      <c r="Y55" s="544" t="s">
        <v>934</v>
      </c>
    </row>
    <row r="56" spans="3:25" x14ac:dyDescent="0.3">
      <c r="C56" s="88" t="str">
        <f>'G-1 All Habitats'!B55</f>
        <v>Sparsely vegetated land - Maritime cliff and slopes</v>
      </c>
      <c r="D56" s="544" t="s">
        <v>934</v>
      </c>
      <c r="E56" s="544" t="s">
        <v>934</v>
      </c>
      <c r="F56" s="544">
        <v>10</v>
      </c>
      <c r="G56" s="544">
        <v>15</v>
      </c>
      <c r="H56" s="544">
        <v>20</v>
      </c>
      <c r="I56" s="544">
        <v>25</v>
      </c>
      <c r="J56" s="544" t="s">
        <v>935</v>
      </c>
      <c r="K56" s="544" t="s">
        <v>934</v>
      </c>
      <c r="L56" s="544" t="s">
        <v>934</v>
      </c>
      <c r="M56" s="544" t="s">
        <v>934</v>
      </c>
      <c r="N56" s="544" t="s">
        <v>934</v>
      </c>
      <c r="O56" s="544">
        <v>5</v>
      </c>
      <c r="P56" s="544">
        <v>8</v>
      </c>
      <c r="Q56" s="544">
        <v>15</v>
      </c>
      <c r="R56" s="544">
        <v>20</v>
      </c>
      <c r="S56" s="544">
        <v>5</v>
      </c>
      <c r="T56" s="544">
        <v>10</v>
      </c>
      <c r="U56" s="544">
        <v>18</v>
      </c>
      <c r="V56" s="544">
        <v>7</v>
      </c>
      <c r="W56" s="544">
        <v>12</v>
      </c>
      <c r="X56" s="544">
        <v>8</v>
      </c>
      <c r="Y56" s="544" t="s">
        <v>934</v>
      </c>
    </row>
    <row r="57" spans="3:25" x14ac:dyDescent="0.3">
      <c r="C57" s="88" t="str">
        <f>'G-1 All Habitats'!B56</f>
        <v>Sparsely vegetated land - Other inland rock and scree</v>
      </c>
      <c r="D57" s="544" t="s">
        <v>934</v>
      </c>
      <c r="E57" s="544" t="s">
        <v>934</v>
      </c>
      <c r="F57" s="544">
        <v>3</v>
      </c>
      <c r="G57" s="544">
        <v>5</v>
      </c>
      <c r="H57" s="544">
        <v>10</v>
      </c>
      <c r="I57" s="544">
        <v>15</v>
      </c>
      <c r="J57" s="544">
        <v>20</v>
      </c>
      <c r="K57" s="544" t="s">
        <v>934</v>
      </c>
      <c r="L57" s="544" t="s">
        <v>934</v>
      </c>
      <c r="M57" s="544" t="s">
        <v>934</v>
      </c>
      <c r="N57" s="544" t="s">
        <v>934</v>
      </c>
      <c r="O57" s="544">
        <v>5</v>
      </c>
      <c r="P57" s="544">
        <v>10</v>
      </c>
      <c r="Q57" s="544">
        <v>15</v>
      </c>
      <c r="R57" s="544">
        <v>20</v>
      </c>
      <c r="S57" s="544">
        <v>5</v>
      </c>
      <c r="T57" s="544">
        <v>10</v>
      </c>
      <c r="U57" s="544">
        <v>15</v>
      </c>
      <c r="V57" s="544">
        <v>5</v>
      </c>
      <c r="W57" s="544">
        <v>10</v>
      </c>
      <c r="X57" s="544">
        <v>5</v>
      </c>
      <c r="Y57" s="544" t="s">
        <v>934</v>
      </c>
    </row>
    <row r="58" spans="3:25" x14ac:dyDescent="0.3">
      <c r="C58" s="88" t="str">
        <f>'G-1 All Habitats'!B57</f>
        <v>Urban - Allotments</v>
      </c>
      <c r="D58" s="544" t="s">
        <v>934</v>
      </c>
      <c r="E58" s="544" t="s">
        <v>934</v>
      </c>
      <c r="F58" s="544">
        <v>1</v>
      </c>
      <c r="G58" s="544">
        <v>1</v>
      </c>
      <c r="H58" s="544">
        <v>1</v>
      </c>
      <c r="I58" s="544">
        <v>1</v>
      </c>
      <c r="J58" s="544">
        <v>1</v>
      </c>
      <c r="K58" s="544" t="s">
        <v>934</v>
      </c>
      <c r="L58" s="544" t="s">
        <v>934</v>
      </c>
      <c r="M58" s="544" t="s">
        <v>934</v>
      </c>
      <c r="N58" s="544" t="s">
        <v>934</v>
      </c>
      <c r="O58" s="544">
        <v>1</v>
      </c>
      <c r="P58" s="544">
        <v>1</v>
      </c>
      <c r="Q58" s="544">
        <v>1</v>
      </c>
      <c r="R58" s="544">
        <v>1</v>
      </c>
      <c r="S58" s="544">
        <v>1</v>
      </c>
      <c r="T58" s="544">
        <v>1</v>
      </c>
      <c r="U58" s="544">
        <v>1</v>
      </c>
      <c r="V58" s="544">
        <v>1</v>
      </c>
      <c r="W58" s="544">
        <v>1</v>
      </c>
      <c r="X58" s="544">
        <v>1</v>
      </c>
      <c r="Y58" s="544" t="s">
        <v>934</v>
      </c>
    </row>
    <row r="59" spans="3:25" x14ac:dyDescent="0.3">
      <c r="C59" s="88" t="str">
        <f>'G-1 All Habitats'!B39</f>
        <v>Lakes - Ornamental lake or pond</v>
      </c>
      <c r="D59" s="544" t="s">
        <v>934</v>
      </c>
      <c r="E59" s="544" t="s">
        <v>934</v>
      </c>
      <c r="F59" s="544">
        <v>1</v>
      </c>
      <c r="G59" s="544">
        <v>2</v>
      </c>
      <c r="H59" s="544">
        <v>3</v>
      </c>
      <c r="I59" s="544">
        <v>4</v>
      </c>
      <c r="J59" s="544">
        <v>5</v>
      </c>
      <c r="K59" s="544" t="s">
        <v>934</v>
      </c>
      <c r="L59" s="544" t="s">
        <v>934</v>
      </c>
      <c r="M59" s="544" t="s">
        <v>934</v>
      </c>
      <c r="N59" s="544" t="s">
        <v>934</v>
      </c>
      <c r="O59" s="544">
        <v>2</v>
      </c>
      <c r="P59" s="544">
        <v>4</v>
      </c>
      <c r="Q59" s="544">
        <v>6</v>
      </c>
      <c r="R59" s="544">
        <v>8</v>
      </c>
      <c r="S59" s="544">
        <v>2</v>
      </c>
      <c r="T59" s="544">
        <v>4</v>
      </c>
      <c r="U59" s="544">
        <v>6</v>
      </c>
      <c r="V59" s="544">
        <v>2</v>
      </c>
      <c r="W59" s="544">
        <v>4</v>
      </c>
      <c r="X59" s="544">
        <v>2</v>
      </c>
      <c r="Y59" s="544" t="s">
        <v>934</v>
      </c>
    </row>
    <row r="60" spans="3:25" x14ac:dyDescent="0.3">
      <c r="C60" s="88" t="str">
        <f>'G-1 All Habitats'!B58</f>
        <v>Urban - Artificial unvegetated, unsealed surface</v>
      </c>
      <c r="D60" s="544" t="s">
        <v>934</v>
      </c>
      <c r="E60" s="544" t="s">
        <v>934</v>
      </c>
      <c r="F60" s="544" t="s">
        <v>934</v>
      </c>
      <c r="G60" s="544" t="s">
        <v>934</v>
      </c>
      <c r="H60" s="544" t="s">
        <v>934</v>
      </c>
      <c r="I60" s="544" t="s">
        <v>934</v>
      </c>
      <c r="J60" s="544" t="s">
        <v>934</v>
      </c>
      <c r="K60" s="544" t="s">
        <v>934</v>
      </c>
      <c r="L60" s="544" t="s">
        <v>934</v>
      </c>
      <c r="M60" s="544" t="s">
        <v>934</v>
      </c>
      <c r="N60" s="544" t="s">
        <v>934</v>
      </c>
      <c r="O60" s="544" t="s">
        <v>934</v>
      </c>
      <c r="P60" s="544" t="s">
        <v>934</v>
      </c>
      <c r="Q60" s="544" t="s">
        <v>934</v>
      </c>
      <c r="R60" s="544" t="s">
        <v>934</v>
      </c>
      <c r="S60" s="544" t="s">
        <v>934</v>
      </c>
      <c r="T60" s="544" t="s">
        <v>934</v>
      </c>
      <c r="U60" s="544" t="s">
        <v>934</v>
      </c>
      <c r="V60" s="544" t="s">
        <v>934</v>
      </c>
      <c r="W60" s="544" t="s">
        <v>934</v>
      </c>
      <c r="X60" s="544" t="s">
        <v>934</v>
      </c>
      <c r="Y60" s="544" t="s">
        <v>934</v>
      </c>
    </row>
    <row r="61" spans="3:25" x14ac:dyDescent="0.3">
      <c r="C61" s="88" t="str">
        <f>'G-1 All Habitats'!B59</f>
        <v>Urban - Bioswale</v>
      </c>
      <c r="D61" s="544" t="s">
        <v>934</v>
      </c>
      <c r="E61" s="544" t="s">
        <v>934</v>
      </c>
      <c r="F61" s="544">
        <v>1</v>
      </c>
      <c r="G61" s="544">
        <v>1</v>
      </c>
      <c r="H61" s="544">
        <v>1</v>
      </c>
      <c r="I61" s="544">
        <v>2</v>
      </c>
      <c r="J61" s="544">
        <v>3</v>
      </c>
      <c r="K61" s="544" t="s">
        <v>934</v>
      </c>
      <c r="L61" s="544" t="s">
        <v>934</v>
      </c>
      <c r="M61" s="544" t="s">
        <v>934</v>
      </c>
      <c r="N61" s="544" t="s">
        <v>934</v>
      </c>
      <c r="O61" s="544">
        <v>1</v>
      </c>
      <c r="P61" s="544">
        <v>2</v>
      </c>
      <c r="Q61" s="544">
        <v>2</v>
      </c>
      <c r="R61" s="544">
        <v>3</v>
      </c>
      <c r="S61" s="544">
        <v>1</v>
      </c>
      <c r="T61" s="544">
        <v>3</v>
      </c>
      <c r="U61" s="544">
        <v>3</v>
      </c>
      <c r="V61" s="544">
        <v>2</v>
      </c>
      <c r="W61" s="544">
        <v>2</v>
      </c>
      <c r="X61" s="544">
        <v>2</v>
      </c>
      <c r="Y61" s="544" t="s">
        <v>934</v>
      </c>
    </row>
    <row r="62" spans="3:25" x14ac:dyDescent="0.3">
      <c r="C62" s="88" t="str">
        <f>'G-1 All Habitats'!B60</f>
        <v>Urban - Intensive green roof</v>
      </c>
      <c r="D62" s="544" t="s">
        <v>934</v>
      </c>
      <c r="E62" s="544" t="s">
        <v>934</v>
      </c>
      <c r="F62" s="544">
        <v>1</v>
      </c>
      <c r="G62" s="544">
        <v>2</v>
      </c>
      <c r="H62" s="544">
        <v>3</v>
      </c>
      <c r="I62" s="544">
        <v>4</v>
      </c>
      <c r="J62" s="544">
        <v>5</v>
      </c>
      <c r="K62" s="544" t="s">
        <v>934</v>
      </c>
      <c r="L62" s="544" t="s">
        <v>934</v>
      </c>
      <c r="M62" s="544" t="s">
        <v>934</v>
      </c>
      <c r="N62" s="544" t="s">
        <v>934</v>
      </c>
      <c r="O62" s="544">
        <v>1</v>
      </c>
      <c r="P62" s="544">
        <v>2</v>
      </c>
      <c r="Q62" s="544">
        <v>3</v>
      </c>
      <c r="R62" s="544">
        <v>5</v>
      </c>
      <c r="S62" s="544">
        <v>1</v>
      </c>
      <c r="T62" s="544">
        <v>2</v>
      </c>
      <c r="U62" s="544">
        <v>3</v>
      </c>
      <c r="V62" s="544">
        <v>1</v>
      </c>
      <c r="W62" s="544">
        <v>2</v>
      </c>
      <c r="X62" s="544">
        <v>1</v>
      </c>
      <c r="Y62" s="544" t="s">
        <v>934</v>
      </c>
    </row>
    <row r="63" spans="3:25" x14ac:dyDescent="0.3">
      <c r="C63" s="88" t="str">
        <f>'G-1 All Habitats'!B61</f>
        <v>Urban - Built linear features</v>
      </c>
      <c r="D63" s="544" t="s">
        <v>934</v>
      </c>
      <c r="E63" s="544" t="s">
        <v>934</v>
      </c>
      <c r="F63" s="544" t="s">
        <v>934</v>
      </c>
      <c r="G63" s="544" t="s">
        <v>934</v>
      </c>
      <c r="H63" s="544" t="s">
        <v>934</v>
      </c>
      <c r="I63" s="544" t="s">
        <v>934</v>
      </c>
      <c r="J63" s="544" t="s">
        <v>934</v>
      </c>
      <c r="K63" s="544" t="s">
        <v>934</v>
      </c>
      <c r="L63" s="544" t="s">
        <v>934</v>
      </c>
      <c r="M63" s="544" t="s">
        <v>934</v>
      </c>
      <c r="N63" s="544" t="s">
        <v>934</v>
      </c>
      <c r="O63" s="544" t="s">
        <v>934</v>
      </c>
      <c r="P63" s="544" t="s">
        <v>934</v>
      </c>
      <c r="Q63" s="544" t="s">
        <v>934</v>
      </c>
      <c r="R63" s="544" t="s">
        <v>934</v>
      </c>
      <c r="S63" s="544" t="s">
        <v>934</v>
      </c>
      <c r="T63" s="544" t="s">
        <v>934</v>
      </c>
      <c r="U63" s="544" t="s">
        <v>934</v>
      </c>
      <c r="V63" s="544" t="s">
        <v>934</v>
      </c>
      <c r="W63" s="544" t="s">
        <v>934</v>
      </c>
      <c r="X63" s="544" t="s">
        <v>934</v>
      </c>
      <c r="Y63" s="544" t="s">
        <v>934</v>
      </c>
    </row>
    <row r="64" spans="3:25" x14ac:dyDescent="0.3">
      <c r="C64" s="88" t="str">
        <f>'G-1 All Habitats'!B62</f>
        <v>Urban - Cemeteries and churchyards</v>
      </c>
      <c r="D64" s="544" t="s">
        <v>934</v>
      </c>
      <c r="E64" s="544" t="s">
        <v>934</v>
      </c>
      <c r="F64" s="544">
        <v>10</v>
      </c>
      <c r="G64" s="544">
        <v>12</v>
      </c>
      <c r="H64" s="544">
        <v>15</v>
      </c>
      <c r="I64" s="544">
        <v>17</v>
      </c>
      <c r="J64" s="544">
        <v>20</v>
      </c>
      <c r="K64" s="544" t="s">
        <v>934</v>
      </c>
      <c r="L64" s="544" t="s">
        <v>934</v>
      </c>
      <c r="M64" s="544" t="s">
        <v>934</v>
      </c>
      <c r="N64" s="544" t="s">
        <v>934</v>
      </c>
      <c r="O64" s="544">
        <v>5</v>
      </c>
      <c r="P64" s="544">
        <v>10</v>
      </c>
      <c r="Q64" s="544">
        <v>15</v>
      </c>
      <c r="R64" s="544">
        <v>20</v>
      </c>
      <c r="S64" s="544">
        <v>10</v>
      </c>
      <c r="T64" s="544">
        <v>15</v>
      </c>
      <c r="U64" s="544">
        <v>20</v>
      </c>
      <c r="V64" s="544">
        <v>10</v>
      </c>
      <c r="W64" s="544">
        <v>15</v>
      </c>
      <c r="X64" s="544">
        <v>5</v>
      </c>
      <c r="Y64" s="544" t="s">
        <v>934</v>
      </c>
    </row>
    <row r="65" spans="3:25" x14ac:dyDescent="0.3">
      <c r="C65" s="88" t="str">
        <f>'G-1 All Habitats'!B63</f>
        <v>Urban - Developed land; sealed surface</v>
      </c>
      <c r="D65" s="544" t="s">
        <v>934</v>
      </c>
      <c r="E65" s="544" t="s">
        <v>934</v>
      </c>
      <c r="F65" s="544" t="s">
        <v>934</v>
      </c>
      <c r="G65" s="544" t="s">
        <v>934</v>
      </c>
      <c r="H65" s="544" t="s">
        <v>934</v>
      </c>
      <c r="I65" s="544" t="s">
        <v>934</v>
      </c>
      <c r="J65" s="544" t="s">
        <v>934</v>
      </c>
      <c r="K65" s="544" t="s">
        <v>934</v>
      </c>
      <c r="L65" s="544" t="s">
        <v>934</v>
      </c>
      <c r="M65" s="544" t="s">
        <v>934</v>
      </c>
      <c r="N65" s="544" t="s">
        <v>934</v>
      </c>
      <c r="O65" s="544" t="s">
        <v>934</v>
      </c>
      <c r="P65" s="544" t="s">
        <v>934</v>
      </c>
      <c r="Q65" s="544" t="s">
        <v>934</v>
      </c>
      <c r="R65" s="544" t="s">
        <v>934</v>
      </c>
      <c r="S65" s="544" t="s">
        <v>934</v>
      </c>
      <c r="T65" s="544" t="s">
        <v>934</v>
      </c>
      <c r="U65" s="544" t="s">
        <v>934</v>
      </c>
      <c r="V65" s="544" t="s">
        <v>934</v>
      </c>
      <c r="W65" s="544" t="s">
        <v>934</v>
      </c>
      <c r="X65" s="544" t="s">
        <v>934</v>
      </c>
      <c r="Y65" s="544" t="s">
        <v>934</v>
      </c>
    </row>
    <row r="66" spans="3:25" x14ac:dyDescent="0.3">
      <c r="C66" s="88" t="str">
        <f>'G-1 All Habitats'!B64</f>
        <v>Urban - Other green roof</v>
      </c>
      <c r="D66" s="544" t="s">
        <v>934</v>
      </c>
      <c r="E66" s="544" t="s">
        <v>934</v>
      </c>
      <c r="F66" s="544" t="s">
        <v>934</v>
      </c>
      <c r="G66" s="544" t="s">
        <v>934</v>
      </c>
      <c r="H66" s="544" t="s">
        <v>934</v>
      </c>
      <c r="I66" s="544" t="s">
        <v>934</v>
      </c>
      <c r="J66" s="544" t="s">
        <v>934</v>
      </c>
      <c r="K66" s="544" t="s">
        <v>934</v>
      </c>
      <c r="L66" s="544" t="s">
        <v>934</v>
      </c>
      <c r="M66" s="544" t="s">
        <v>934</v>
      </c>
      <c r="N66" s="544" t="s">
        <v>934</v>
      </c>
      <c r="O66" s="544" t="s">
        <v>934</v>
      </c>
      <c r="P66" s="544" t="s">
        <v>934</v>
      </c>
      <c r="Q66" s="544" t="s">
        <v>934</v>
      </c>
      <c r="R66" s="544" t="s">
        <v>934</v>
      </c>
      <c r="S66" s="544" t="s">
        <v>934</v>
      </c>
      <c r="T66" s="544" t="s">
        <v>934</v>
      </c>
      <c r="U66" s="544" t="s">
        <v>934</v>
      </c>
      <c r="V66" s="544" t="s">
        <v>934</v>
      </c>
      <c r="W66" s="544" t="s">
        <v>934</v>
      </c>
      <c r="X66" s="544" t="s">
        <v>934</v>
      </c>
      <c r="Y66" s="544" t="s">
        <v>934</v>
      </c>
    </row>
    <row r="67" spans="3:25" x14ac:dyDescent="0.3">
      <c r="C67" s="88" t="str">
        <f>'G-1 All Habitats'!B65</f>
        <v>Urban - Facade-bound green wall</v>
      </c>
      <c r="D67" s="544" t="s">
        <v>934</v>
      </c>
      <c r="E67" s="544" t="s">
        <v>934</v>
      </c>
      <c r="F67" s="544">
        <v>1</v>
      </c>
      <c r="G67" s="544">
        <v>2</v>
      </c>
      <c r="H67" s="544">
        <v>3</v>
      </c>
      <c r="I67" s="544">
        <v>4</v>
      </c>
      <c r="J67" s="544">
        <v>5</v>
      </c>
      <c r="K67" s="544" t="s">
        <v>934</v>
      </c>
      <c r="L67" s="544" t="s">
        <v>934</v>
      </c>
      <c r="M67" s="544" t="s">
        <v>934</v>
      </c>
      <c r="N67" s="544" t="s">
        <v>934</v>
      </c>
      <c r="O67" s="544">
        <v>1</v>
      </c>
      <c r="P67" s="544">
        <v>2</v>
      </c>
      <c r="Q67" s="544">
        <v>3</v>
      </c>
      <c r="R67" s="544">
        <v>5</v>
      </c>
      <c r="S67" s="544">
        <v>1</v>
      </c>
      <c r="T67" s="544">
        <v>2</v>
      </c>
      <c r="U67" s="544">
        <v>3</v>
      </c>
      <c r="V67" s="544">
        <v>1</v>
      </c>
      <c r="W67" s="544">
        <v>2</v>
      </c>
      <c r="X67" s="544">
        <v>1</v>
      </c>
      <c r="Y67" s="544" t="s">
        <v>934</v>
      </c>
    </row>
    <row r="68" spans="3:25" x14ac:dyDescent="0.3">
      <c r="C68" s="88" t="str">
        <f>'G-1 All Habitats'!B66</f>
        <v>Urban - Ground based green wall</v>
      </c>
      <c r="D68" s="544" t="s">
        <v>934</v>
      </c>
      <c r="E68" s="544" t="s">
        <v>934</v>
      </c>
      <c r="F68" s="544">
        <v>1</v>
      </c>
      <c r="G68" s="544">
        <v>2</v>
      </c>
      <c r="H68" s="544">
        <v>3</v>
      </c>
      <c r="I68" s="544">
        <v>4</v>
      </c>
      <c r="J68" s="544">
        <v>5</v>
      </c>
      <c r="K68" s="544" t="s">
        <v>934</v>
      </c>
      <c r="L68" s="544" t="s">
        <v>934</v>
      </c>
      <c r="M68" s="544" t="s">
        <v>934</v>
      </c>
      <c r="N68" s="544" t="s">
        <v>934</v>
      </c>
      <c r="O68" s="544">
        <v>1</v>
      </c>
      <c r="P68" s="544">
        <v>2</v>
      </c>
      <c r="Q68" s="544">
        <v>3</v>
      </c>
      <c r="R68" s="544">
        <v>5</v>
      </c>
      <c r="S68" s="544">
        <v>1</v>
      </c>
      <c r="T68" s="544">
        <v>2</v>
      </c>
      <c r="U68" s="544">
        <v>3</v>
      </c>
      <c r="V68" s="544">
        <v>1</v>
      </c>
      <c r="W68" s="544">
        <v>2</v>
      </c>
      <c r="X68" s="544">
        <v>1</v>
      </c>
      <c r="Y68" s="544" t="s">
        <v>934</v>
      </c>
    </row>
    <row r="69" spans="3:25" x14ac:dyDescent="0.3">
      <c r="C69" s="88" t="str">
        <f>'G-1 All Habitats'!B67</f>
        <v>Urban - Ground level planters</v>
      </c>
      <c r="D69" s="544" t="s">
        <v>934</v>
      </c>
      <c r="E69" s="544" t="s">
        <v>934</v>
      </c>
      <c r="F69" s="544" t="s">
        <v>934</v>
      </c>
      <c r="G69" s="544" t="s">
        <v>934</v>
      </c>
      <c r="H69" s="544" t="s">
        <v>934</v>
      </c>
      <c r="I69" s="544" t="s">
        <v>934</v>
      </c>
      <c r="J69" s="544" t="s">
        <v>934</v>
      </c>
      <c r="K69" s="544" t="s">
        <v>934</v>
      </c>
      <c r="L69" s="544" t="s">
        <v>934</v>
      </c>
      <c r="M69" s="544" t="s">
        <v>934</v>
      </c>
      <c r="N69" s="544" t="s">
        <v>934</v>
      </c>
      <c r="O69" s="544" t="s">
        <v>934</v>
      </c>
      <c r="P69" s="544" t="s">
        <v>934</v>
      </c>
      <c r="Q69" s="544" t="s">
        <v>934</v>
      </c>
      <c r="R69" s="544" t="s">
        <v>934</v>
      </c>
      <c r="S69" s="544" t="s">
        <v>934</v>
      </c>
      <c r="T69" s="544" t="s">
        <v>934</v>
      </c>
      <c r="U69" s="544" t="s">
        <v>934</v>
      </c>
      <c r="V69" s="544" t="s">
        <v>934</v>
      </c>
      <c r="W69" s="544" t="s">
        <v>934</v>
      </c>
      <c r="X69" s="544" t="s">
        <v>934</v>
      </c>
      <c r="Y69" s="544" t="s">
        <v>934</v>
      </c>
    </row>
    <row r="70" spans="3:25" x14ac:dyDescent="0.3">
      <c r="C70" s="88" t="str">
        <f>'G-1 All Habitats'!B68</f>
        <v>Urban - Biodiverse green roof</v>
      </c>
      <c r="D70" s="544" t="s">
        <v>934</v>
      </c>
      <c r="E70" s="544" t="s">
        <v>934</v>
      </c>
      <c r="F70" s="544">
        <v>1</v>
      </c>
      <c r="G70" s="544">
        <v>3</v>
      </c>
      <c r="H70" s="544">
        <v>5</v>
      </c>
      <c r="I70" s="544">
        <v>8</v>
      </c>
      <c r="J70" s="544">
        <v>10</v>
      </c>
      <c r="K70" s="544" t="s">
        <v>934</v>
      </c>
      <c r="L70" s="544" t="s">
        <v>934</v>
      </c>
      <c r="M70" s="544" t="s">
        <v>934</v>
      </c>
      <c r="N70" s="544" t="s">
        <v>934</v>
      </c>
      <c r="O70" s="544">
        <v>3</v>
      </c>
      <c r="P70" s="544">
        <v>5</v>
      </c>
      <c r="Q70" s="544">
        <v>8</v>
      </c>
      <c r="R70" s="544">
        <v>10</v>
      </c>
      <c r="S70" s="544">
        <v>3</v>
      </c>
      <c r="T70" s="544">
        <v>8</v>
      </c>
      <c r="U70" s="544">
        <v>8</v>
      </c>
      <c r="V70" s="544">
        <v>3</v>
      </c>
      <c r="W70" s="544">
        <v>5</v>
      </c>
      <c r="X70" s="544">
        <v>2</v>
      </c>
      <c r="Y70" s="544" t="s">
        <v>934</v>
      </c>
    </row>
    <row r="71" spans="3:25" x14ac:dyDescent="0.3">
      <c r="C71" s="88" t="str">
        <f>'G-1 All Habitats'!B69</f>
        <v>Urban - Introduced shrub</v>
      </c>
      <c r="D71" s="544" t="s">
        <v>934</v>
      </c>
      <c r="E71" s="544" t="s">
        <v>934</v>
      </c>
      <c r="F71" s="544" t="s">
        <v>934</v>
      </c>
      <c r="G71" s="544" t="s">
        <v>934</v>
      </c>
      <c r="H71" s="544" t="s">
        <v>934</v>
      </c>
      <c r="I71" s="544" t="s">
        <v>934</v>
      </c>
      <c r="J71" s="544" t="s">
        <v>934</v>
      </c>
      <c r="K71" s="544" t="s">
        <v>934</v>
      </c>
      <c r="L71" s="544" t="s">
        <v>934</v>
      </c>
      <c r="M71" s="544" t="s">
        <v>934</v>
      </c>
      <c r="N71" s="544" t="s">
        <v>934</v>
      </c>
      <c r="O71" s="544" t="s">
        <v>934</v>
      </c>
      <c r="P71" s="544" t="s">
        <v>934</v>
      </c>
      <c r="Q71" s="544" t="s">
        <v>934</v>
      </c>
      <c r="R71" s="544" t="s">
        <v>934</v>
      </c>
      <c r="S71" s="544" t="s">
        <v>934</v>
      </c>
      <c r="T71" s="544" t="s">
        <v>934</v>
      </c>
      <c r="U71" s="544" t="s">
        <v>934</v>
      </c>
      <c r="V71" s="544" t="s">
        <v>934</v>
      </c>
      <c r="W71" s="544" t="s">
        <v>934</v>
      </c>
      <c r="X71" s="544" t="s">
        <v>934</v>
      </c>
      <c r="Y71" s="544" t="s">
        <v>934</v>
      </c>
    </row>
    <row r="72" spans="3:25" x14ac:dyDescent="0.3">
      <c r="C72" s="88" t="str">
        <f>'G-1 All Habitats'!B70</f>
        <v>Urban - Open Mosaic Habitats on Previously Developed Land</v>
      </c>
      <c r="D72" s="544" t="s">
        <v>934</v>
      </c>
      <c r="E72" s="544" t="s">
        <v>934</v>
      </c>
      <c r="F72" s="544">
        <v>0</v>
      </c>
      <c r="G72" s="544">
        <v>2</v>
      </c>
      <c r="H72" s="544">
        <v>4</v>
      </c>
      <c r="I72" s="544">
        <v>7</v>
      </c>
      <c r="J72" s="544">
        <v>10</v>
      </c>
      <c r="K72" s="544" t="s">
        <v>934</v>
      </c>
      <c r="L72" s="544" t="s">
        <v>934</v>
      </c>
      <c r="M72" s="544" t="s">
        <v>934</v>
      </c>
      <c r="N72" s="544" t="s">
        <v>934</v>
      </c>
      <c r="O72" s="544">
        <v>2</v>
      </c>
      <c r="P72" s="544">
        <v>4</v>
      </c>
      <c r="Q72" s="544">
        <v>7</v>
      </c>
      <c r="R72" s="544">
        <v>10</v>
      </c>
      <c r="S72" s="544">
        <v>2</v>
      </c>
      <c r="T72" s="544">
        <v>5</v>
      </c>
      <c r="U72" s="544">
        <v>8</v>
      </c>
      <c r="V72" s="544">
        <v>3</v>
      </c>
      <c r="W72" s="544">
        <v>4</v>
      </c>
      <c r="X72" s="544">
        <v>3</v>
      </c>
      <c r="Y72" s="544" t="s">
        <v>934</v>
      </c>
    </row>
    <row r="73" spans="3:25" x14ac:dyDescent="0.3">
      <c r="C73" s="88" t="str">
        <f>'G-1 All Habitats'!B71</f>
        <v>Urban - Rain garden</v>
      </c>
      <c r="D73" s="544" t="s">
        <v>934</v>
      </c>
      <c r="E73" s="544" t="s">
        <v>934</v>
      </c>
      <c r="F73" s="544">
        <v>1</v>
      </c>
      <c r="G73" s="544">
        <v>1</v>
      </c>
      <c r="H73" s="544">
        <v>1</v>
      </c>
      <c r="I73" s="544">
        <v>1</v>
      </c>
      <c r="J73" s="544">
        <v>1</v>
      </c>
      <c r="K73" s="544" t="s">
        <v>934</v>
      </c>
      <c r="L73" s="544" t="s">
        <v>934</v>
      </c>
      <c r="M73" s="544" t="s">
        <v>934</v>
      </c>
      <c r="N73" s="544" t="s">
        <v>934</v>
      </c>
      <c r="O73" s="544">
        <v>1</v>
      </c>
      <c r="P73" s="544">
        <v>1</v>
      </c>
      <c r="Q73" s="544">
        <v>1</v>
      </c>
      <c r="R73" s="544">
        <v>1</v>
      </c>
      <c r="S73" s="544">
        <v>1</v>
      </c>
      <c r="T73" s="544">
        <v>1</v>
      </c>
      <c r="U73" s="544">
        <v>1</v>
      </c>
      <c r="V73" s="544">
        <v>1</v>
      </c>
      <c r="W73" s="544">
        <v>1</v>
      </c>
      <c r="X73" s="544">
        <v>1</v>
      </c>
      <c r="Y73" s="544" t="s">
        <v>934</v>
      </c>
    </row>
    <row r="74" spans="3:25" x14ac:dyDescent="0.3">
      <c r="C74" s="88" t="str">
        <f>'G-1 All Habitats'!B72</f>
        <v>Urban - Actively worked sand pit quarry or open cast mine</v>
      </c>
      <c r="D74" s="544" t="s">
        <v>934</v>
      </c>
      <c r="E74" s="544" t="s">
        <v>934</v>
      </c>
      <c r="F74" s="544">
        <v>1</v>
      </c>
      <c r="G74" s="544" t="s">
        <v>934</v>
      </c>
      <c r="H74" s="544" t="s">
        <v>934</v>
      </c>
      <c r="I74" s="544" t="s">
        <v>934</v>
      </c>
      <c r="J74" s="544" t="s">
        <v>934</v>
      </c>
      <c r="K74" s="544" t="s">
        <v>934</v>
      </c>
      <c r="L74" s="544" t="s">
        <v>934</v>
      </c>
      <c r="M74" s="544" t="s">
        <v>934</v>
      </c>
      <c r="N74" s="544" t="s">
        <v>934</v>
      </c>
      <c r="O74" s="544" t="s">
        <v>934</v>
      </c>
      <c r="P74" s="544" t="s">
        <v>934</v>
      </c>
      <c r="Q74" s="544" t="s">
        <v>934</v>
      </c>
      <c r="R74" s="544" t="s">
        <v>934</v>
      </c>
      <c r="S74" s="544" t="s">
        <v>934</v>
      </c>
      <c r="T74" s="544" t="s">
        <v>934</v>
      </c>
      <c r="U74" s="544" t="s">
        <v>934</v>
      </c>
      <c r="V74" s="544" t="s">
        <v>934</v>
      </c>
      <c r="W74" s="544" t="s">
        <v>934</v>
      </c>
      <c r="X74" s="544" t="s">
        <v>934</v>
      </c>
      <c r="Y74" s="544" t="s">
        <v>934</v>
      </c>
    </row>
    <row r="75" spans="3:25" x14ac:dyDescent="0.3">
      <c r="C75" s="88" t="str">
        <f>'G-1 All Habitats'!B73</f>
        <v>Urban - Urban Tree</v>
      </c>
      <c r="D75" s="544" t="s">
        <v>934</v>
      </c>
      <c r="E75" s="544" t="s">
        <v>934</v>
      </c>
      <c r="F75" s="544" t="s">
        <v>934</v>
      </c>
      <c r="G75" s="544" t="s">
        <v>934</v>
      </c>
      <c r="H75" s="544" t="s">
        <v>934</v>
      </c>
      <c r="I75" s="544" t="s">
        <v>934</v>
      </c>
      <c r="J75" s="544" t="s">
        <v>934</v>
      </c>
      <c r="K75" s="544" t="s">
        <v>934</v>
      </c>
      <c r="L75" s="544" t="s">
        <v>934</v>
      </c>
      <c r="M75" s="544" t="s">
        <v>934</v>
      </c>
      <c r="N75" s="544" t="s">
        <v>934</v>
      </c>
      <c r="O75" s="544">
        <v>8</v>
      </c>
      <c r="P75" s="544">
        <v>16</v>
      </c>
      <c r="Q75" s="544">
        <v>24</v>
      </c>
      <c r="R75" s="544" t="s">
        <v>935</v>
      </c>
      <c r="S75" s="544">
        <v>8</v>
      </c>
      <c r="T75" s="544">
        <v>16</v>
      </c>
      <c r="U75" s="544">
        <v>24</v>
      </c>
      <c r="V75" s="544">
        <v>8</v>
      </c>
      <c r="W75" s="544">
        <v>16</v>
      </c>
      <c r="X75" s="544">
        <v>8</v>
      </c>
      <c r="Y75" s="544" t="s">
        <v>934</v>
      </c>
    </row>
    <row r="76" spans="3:25" x14ac:dyDescent="0.3">
      <c r="C76" s="88" t="str">
        <f>'G-1 All Habitats'!B74</f>
        <v>Urban - Sustainable urban drainage feature</v>
      </c>
      <c r="D76" s="544" t="s">
        <v>934</v>
      </c>
      <c r="E76" s="544" t="s">
        <v>934</v>
      </c>
      <c r="F76" s="544">
        <v>1</v>
      </c>
      <c r="G76" s="544">
        <v>2</v>
      </c>
      <c r="H76" s="544">
        <v>3</v>
      </c>
      <c r="I76" s="544">
        <v>4</v>
      </c>
      <c r="J76" s="544">
        <v>5</v>
      </c>
      <c r="K76" s="544" t="s">
        <v>934</v>
      </c>
      <c r="L76" s="544" t="s">
        <v>934</v>
      </c>
      <c r="M76" s="544" t="s">
        <v>934</v>
      </c>
      <c r="N76" s="544" t="s">
        <v>934</v>
      </c>
      <c r="O76" s="544">
        <v>1</v>
      </c>
      <c r="P76" s="544">
        <v>2</v>
      </c>
      <c r="Q76" s="544">
        <v>3</v>
      </c>
      <c r="R76" s="544">
        <v>5</v>
      </c>
      <c r="S76" s="544">
        <v>1</v>
      </c>
      <c r="T76" s="544">
        <v>2</v>
      </c>
      <c r="U76" s="544">
        <v>3</v>
      </c>
      <c r="V76" s="544">
        <v>1</v>
      </c>
      <c r="W76" s="544">
        <v>2</v>
      </c>
      <c r="X76" s="544">
        <v>1</v>
      </c>
      <c r="Y76" s="544" t="s">
        <v>934</v>
      </c>
    </row>
    <row r="77" spans="3:25" x14ac:dyDescent="0.3">
      <c r="C77" s="88" t="str">
        <f>'G-1 All Habitats'!B75</f>
        <v>Urban - Un-vegetated garden</v>
      </c>
      <c r="D77" s="544" t="s">
        <v>934</v>
      </c>
      <c r="E77" s="544" t="s">
        <v>934</v>
      </c>
      <c r="F77" s="544" t="s">
        <v>934</v>
      </c>
      <c r="G77" s="544" t="s">
        <v>934</v>
      </c>
      <c r="H77" s="544" t="s">
        <v>934</v>
      </c>
      <c r="I77" s="544" t="s">
        <v>934</v>
      </c>
      <c r="J77" s="544" t="s">
        <v>934</v>
      </c>
      <c r="K77" s="544" t="s">
        <v>934</v>
      </c>
      <c r="L77" s="544" t="s">
        <v>934</v>
      </c>
      <c r="M77" s="544" t="s">
        <v>934</v>
      </c>
      <c r="N77" s="544" t="s">
        <v>934</v>
      </c>
      <c r="O77" s="544" t="s">
        <v>934</v>
      </c>
      <c r="P77" s="544" t="s">
        <v>934</v>
      </c>
      <c r="Q77" s="544" t="s">
        <v>934</v>
      </c>
      <c r="R77" s="544" t="s">
        <v>934</v>
      </c>
      <c r="S77" s="544" t="s">
        <v>934</v>
      </c>
      <c r="T77" s="544" t="s">
        <v>934</v>
      </c>
      <c r="U77" s="544" t="s">
        <v>934</v>
      </c>
      <c r="V77" s="544" t="s">
        <v>934</v>
      </c>
      <c r="W77" s="544" t="s">
        <v>934</v>
      </c>
      <c r="X77" s="544" t="s">
        <v>934</v>
      </c>
      <c r="Y77" s="544" t="s">
        <v>934</v>
      </c>
    </row>
    <row r="78" spans="3:25" x14ac:dyDescent="0.3">
      <c r="C78" s="88" t="str">
        <f>'G-1 All Habitats'!B76</f>
        <v>Urban - Vacant/derelict land/ bareground</v>
      </c>
      <c r="D78" s="544" t="s">
        <v>934</v>
      </c>
      <c r="E78" s="544" t="s">
        <v>934</v>
      </c>
      <c r="F78" s="544">
        <v>1</v>
      </c>
      <c r="G78" s="544">
        <v>1</v>
      </c>
      <c r="H78" s="544">
        <v>1</v>
      </c>
      <c r="I78" s="544">
        <v>1</v>
      </c>
      <c r="J78" s="544">
        <v>1</v>
      </c>
      <c r="K78" s="544" t="s">
        <v>934</v>
      </c>
      <c r="L78" s="544" t="s">
        <v>934</v>
      </c>
      <c r="M78" s="544" t="s">
        <v>934</v>
      </c>
      <c r="N78" s="544" t="s">
        <v>934</v>
      </c>
      <c r="O78" s="544">
        <v>1</v>
      </c>
      <c r="P78" s="544">
        <v>1</v>
      </c>
      <c r="Q78" s="544">
        <v>1</v>
      </c>
      <c r="R78" s="544">
        <v>1</v>
      </c>
      <c r="S78" s="544">
        <v>1</v>
      </c>
      <c r="T78" s="544">
        <v>1</v>
      </c>
      <c r="U78" s="544">
        <v>1</v>
      </c>
      <c r="V78" s="544">
        <v>1</v>
      </c>
      <c r="W78" s="544">
        <v>1</v>
      </c>
      <c r="X78" s="544">
        <v>1</v>
      </c>
      <c r="Y78" s="544" t="s">
        <v>934</v>
      </c>
    </row>
    <row r="79" spans="3:25" x14ac:dyDescent="0.3">
      <c r="C79" s="88" t="str">
        <f>'G-1 All Habitats'!B77</f>
        <v>Urban - Vegetated garden</v>
      </c>
      <c r="D79" s="544" t="s">
        <v>934</v>
      </c>
      <c r="E79" s="544" t="s">
        <v>934</v>
      </c>
      <c r="F79" s="544">
        <v>1</v>
      </c>
      <c r="G79" s="544">
        <v>2</v>
      </c>
      <c r="H79" s="544">
        <v>3</v>
      </c>
      <c r="I79" s="544">
        <v>4</v>
      </c>
      <c r="J79" s="544">
        <v>5</v>
      </c>
      <c r="K79" s="544" t="s">
        <v>934</v>
      </c>
      <c r="L79" s="544" t="s">
        <v>934</v>
      </c>
      <c r="M79" s="544" t="s">
        <v>934</v>
      </c>
      <c r="N79" s="544" t="s">
        <v>934</v>
      </c>
      <c r="O79" s="544">
        <v>1</v>
      </c>
      <c r="P79" s="544">
        <v>2</v>
      </c>
      <c r="Q79" s="544">
        <v>3</v>
      </c>
      <c r="R79" s="544">
        <v>5</v>
      </c>
      <c r="S79" s="544">
        <v>1</v>
      </c>
      <c r="T79" s="544">
        <v>2</v>
      </c>
      <c r="U79" s="544">
        <v>3</v>
      </c>
      <c r="V79" s="544">
        <v>1</v>
      </c>
      <c r="W79" s="544">
        <v>2</v>
      </c>
      <c r="X79" s="544">
        <v>1</v>
      </c>
      <c r="Y79" s="544" t="s">
        <v>934</v>
      </c>
    </row>
    <row r="80" spans="3:25" x14ac:dyDescent="0.3">
      <c r="C80" s="88" t="str">
        <f>'G-1 All Habitats'!B78</f>
        <v>Wetland - Blanket bog</v>
      </c>
      <c r="D80" s="544" t="s">
        <v>934</v>
      </c>
      <c r="E80" s="544" t="s">
        <v>934</v>
      </c>
      <c r="F80" s="544">
        <v>15</v>
      </c>
      <c r="G80" s="544">
        <v>25</v>
      </c>
      <c r="H80" s="544">
        <v>30</v>
      </c>
      <c r="I80" s="544" t="s">
        <v>935</v>
      </c>
      <c r="J80" s="544" t="s">
        <v>935</v>
      </c>
      <c r="K80" s="544" t="s">
        <v>934</v>
      </c>
      <c r="L80" s="544" t="s">
        <v>934</v>
      </c>
      <c r="M80" s="544" t="s">
        <v>934</v>
      </c>
      <c r="N80" s="544" t="s">
        <v>934</v>
      </c>
      <c r="O80" s="544">
        <v>10</v>
      </c>
      <c r="P80" s="544">
        <v>20</v>
      </c>
      <c r="Q80" s="544" t="s">
        <v>935</v>
      </c>
      <c r="R80" s="544">
        <v>30</v>
      </c>
      <c r="S80" s="544">
        <v>10</v>
      </c>
      <c r="T80" s="544" t="s">
        <v>935</v>
      </c>
      <c r="U80" s="544" t="s">
        <v>935</v>
      </c>
      <c r="V80" s="544">
        <v>30</v>
      </c>
      <c r="W80" s="544" t="s">
        <v>935</v>
      </c>
      <c r="X80" s="544">
        <v>30</v>
      </c>
      <c r="Y80" s="544" t="s">
        <v>934</v>
      </c>
    </row>
    <row r="81" spans="3:25" x14ac:dyDescent="0.3">
      <c r="C81" s="88" t="str">
        <f>'G-1 All Habitats'!B79</f>
        <v>Wetland - Depressions on Peat substrates (H7150)</v>
      </c>
      <c r="D81" s="544" t="s">
        <v>934</v>
      </c>
      <c r="E81" s="544" t="s">
        <v>934</v>
      </c>
      <c r="F81" s="544">
        <v>15</v>
      </c>
      <c r="G81" s="544">
        <v>25</v>
      </c>
      <c r="H81" s="544">
        <v>30</v>
      </c>
      <c r="I81" s="544" t="s">
        <v>935</v>
      </c>
      <c r="J81" s="544" t="s">
        <v>935</v>
      </c>
      <c r="K81" s="544" t="s">
        <v>934</v>
      </c>
      <c r="L81" s="544" t="s">
        <v>934</v>
      </c>
      <c r="M81" s="544" t="s">
        <v>934</v>
      </c>
      <c r="N81" s="544" t="s">
        <v>934</v>
      </c>
      <c r="O81" s="544">
        <v>10</v>
      </c>
      <c r="P81" s="544">
        <v>20</v>
      </c>
      <c r="Q81" s="544">
        <v>25</v>
      </c>
      <c r="R81" s="544">
        <v>30</v>
      </c>
      <c r="S81" s="544">
        <v>10</v>
      </c>
      <c r="T81" s="544">
        <v>20</v>
      </c>
      <c r="U81" s="544">
        <v>25</v>
      </c>
      <c r="V81" s="544">
        <v>10</v>
      </c>
      <c r="W81" s="544">
        <v>20</v>
      </c>
      <c r="X81" s="544">
        <v>10</v>
      </c>
      <c r="Y81" s="544" t="s">
        <v>934</v>
      </c>
    </row>
    <row r="82" spans="3:25" x14ac:dyDescent="0.3">
      <c r="C82" s="88" t="str">
        <f>'G-1 All Habitats'!B80</f>
        <v>Wetland - Fens (upland and lowland)</v>
      </c>
      <c r="D82" s="544" t="s">
        <v>934</v>
      </c>
      <c r="E82" s="544" t="s">
        <v>934</v>
      </c>
      <c r="F82" s="544">
        <v>10</v>
      </c>
      <c r="G82" s="544">
        <v>12</v>
      </c>
      <c r="H82" s="544">
        <v>15</v>
      </c>
      <c r="I82" s="544">
        <v>25</v>
      </c>
      <c r="J82" s="544">
        <v>30</v>
      </c>
      <c r="K82" s="544" t="s">
        <v>934</v>
      </c>
      <c r="L82" s="544" t="s">
        <v>934</v>
      </c>
      <c r="M82" s="544" t="s">
        <v>934</v>
      </c>
      <c r="N82" s="544" t="s">
        <v>934</v>
      </c>
      <c r="O82" s="544">
        <v>10</v>
      </c>
      <c r="P82" s="544">
        <v>12</v>
      </c>
      <c r="Q82" s="544">
        <v>15</v>
      </c>
      <c r="R82" s="544">
        <v>18</v>
      </c>
      <c r="S82" s="544">
        <v>10</v>
      </c>
      <c r="T82" s="544">
        <v>12</v>
      </c>
      <c r="U82" s="544">
        <v>15</v>
      </c>
      <c r="V82" s="544">
        <v>10</v>
      </c>
      <c r="W82" s="544">
        <v>12</v>
      </c>
      <c r="X82" s="544">
        <v>10</v>
      </c>
      <c r="Y82" s="544" t="s">
        <v>934</v>
      </c>
    </row>
    <row r="83" spans="3:25" x14ac:dyDescent="0.3">
      <c r="C83" s="88" t="str">
        <f>'G-1 All Habitats'!B81</f>
        <v>Wetland - Lowland raised bog</v>
      </c>
      <c r="D83" s="544" t="s">
        <v>934</v>
      </c>
      <c r="E83" s="544" t="s">
        <v>934</v>
      </c>
      <c r="F83" s="544">
        <v>15</v>
      </c>
      <c r="G83" s="544">
        <v>20</v>
      </c>
      <c r="H83" s="544">
        <v>30</v>
      </c>
      <c r="I83" s="544" t="s">
        <v>935</v>
      </c>
      <c r="J83" s="544" t="s">
        <v>935</v>
      </c>
      <c r="K83" s="544" t="s">
        <v>934</v>
      </c>
      <c r="L83" s="544" t="s">
        <v>934</v>
      </c>
      <c r="M83" s="544" t="s">
        <v>934</v>
      </c>
      <c r="N83" s="544" t="s">
        <v>934</v>
      </c>
      <c r="O83" s="544">
        <v>10</v>
      </c>
      <c r="P83" s="544">
        <v>20</v>
      </c>
      <c r="Q83" s="544">
        <v>25</v>
      </c>
      <c r="R83" s="544">
        <v>30</v>
      </c>
      <c r="S83" s="544">
        <v>10</v>
      </c>
      <c r="T83" s="544">
        <v>20</v>
      </c>
      <c r="U83" s="544">
        <v>20</v>
      </c>
      <c r="V83" s="544">
        <v>10</v>
      </c>
      <c r="W83" s="544">
        <v>15</v>
      </c>
      <c r="X83" s="544">
        <v>10</v>
      </c>
      <c r="Y83" s="544" t="s">
        <v>934</v>
      </c>
    </row>
    <row r="84" spans="3:25" x14ac:dyDescent="0.3">
      <c r="C84" s="88" t="str">
        <f>'G-1 All Habitats'!B82</f>
        <v>Wetland - Oceanic Valley Mire[1] (D2.1)</v>
      </c>
      <c r="D84" s="544" t="s">
        <v>934</v>
      </c>
      <c r="E84" s="544" t="s">
        <v>934</v>
      </c>
      <c r="F84" s="544">
        <v>15</v>
      </c>
      <c r="G84" s="544">
        <v>20</v>
      </c>
      <c r="H84" s="544">
        <v>30</v>
      </c>
      <c r="I84" s="544" t="s">
        <v>935</v>
      </c>
      <c r="J84" s="544" t="s">
        <v>935</v>
      </c>
      <c r="K84" s="544" t="s">
        <v>934</v>
      </c>
      <c r="L84" s="544" t="s">
        <v>934</v>
      </c>
      <c r="M84" s="544" t="s">
        <v>934</v>
      </c>
      <c r="N84" s="544" t="s">
        <v>934</v>
      </c>
      <c r="O84" s="544">
        <v>10</v>
      </c>
      <c r="P84" s="544">
        <v>20</v>
      </c>
      <c r="Q84" s="544">
        <v>25</v>
      </c>
      <c r="R84" s="544">
        <v>30</v>
      </c>
      <c r="S84" s="544">
        <v>10</v>
      </c>
      <c r="T84" s="544">
        <v>20</v>
      </c>
      <c r="U84" s="544">
        <v>20</v>
      </c>
      <c r="V84" s="544">
        <v>10</v>
      </c>
      <c r="W84" s="544">
        <v>15</v>
      </c>
      <c r="X84" s="544">
        <v>10</v>
      </c>
      <c r="Y84" s="544" t="s">
        <v>934</v>
      </c>
    </row>
    <row r="85" spans="3:25" x14ac:dyDescent="0.3">
      <c r="C85" s="88" t="str">
        <f>'G-1 All Habitats'!B83</f>
        <v>Wetland - Purple moor grass and rush pastures</v>
      </c>
      <c r="D85" s="544" t="s">
        <v>934</v>
      </c>
      <c r="E85" s="544" t="s">
        <v>934</v>
      </c>
      <c r="F85" s="544">
        <v>10</v>
      </c>
      <c r="G85" s="544">
        <v>12</v>
      </c>
      <c r="H85" s="544">
        <v>15</v>
      </c>
      <c r="I85" s="544">
        <v>17</v>
      </c>
      <c r="J85" s="544">
        <v>20</v>
      </c>
      <c r="K85" s="544" t="s">
        <v>934</v>
      </c>
      <c r="L85" s="544" t="s">
        <v>934</v>
      </c>
      <c r="M85" s="544" t="s">
        <v>934</v>
      </c>
      <c r="N85" s="544" t="s">
        <v>934</v>
      </c>
      <c r="O85" s="544">
        <v>10</v>
      </c>
      <c r="P85" s="544">
        <v>10</v>
      </c>
      <c r="Q85" s="544">
        <v>15</v>
      </c>
      <c r="R85" s="544">
        <v>20</v>
      </c>
      <c r="S85" s="544">
        <v>10</v>
      </c>
      <c r="T85" s="544">
        <v>15</v>
      </c>
      <c r="U85" s="544">
        <v>20</v>
      </c>
      <c r="V85" s="544">
        <v>10</v>
      </c>
      <c r="W85" s="544">
        <v>15</v>
      </c>
      <c r="X85" s="544">
        <v>10</v>
      </c>
      <c r="Y85" s="544" t="s">
        <v>934</v>
      </c>
    </row>
    <row r="86" spans="3:25" x14ac:dyDescent="0.3">
      <c r="C86" s="88" t="str">
        <f>'G-1 All Habitats'!B84</f>
        <v>Wetland - Reedbeds</v>
      </c>
      <c r="D86" s="544" t="s">
        <v>934</v>
      </c>
      <c r="E86" s="544" t="s">
        <v>934</v>
      </c>
      <c r="F86" s="544">
        <v>5</v>
      </c>
      <c r="G86" s="544">
        <v>7</v>
      </c>
      <c r="H86" s="544">
        <v>10</v>
      </c>
      <c r="I86" s="544">
        <v>12</v>
      </c>
      <c r="J86" s="544">
        <v>15</v>
      </c>
      <c r="K86" s="544" t="s">
        <v>934</v>
      </c>
      <c r="L86" s="544" t="s">
        <v>934</v>
      </c>
      <c r="M86" s="544" t="s">
        <v>934</v>
      </c>
      <c r="N86" s="544" t="s">
        <v>934</v>
      </c>
      <c r="O86" s="544">
        <v>5</v>
      </c>
      <c r="P86" s="544">
        <v>7</v>
      </c>
      <c r="Q86" s="544">
        <v>10</v>
      </c>
      <c r="R86" s="544">
        <v>12</v>
      </c>
      <c r="S86" s="544">
        <v>5</v>
      </c>
      <c r="T86" s="544">
        <v>7</v>
      </c>
      <c r="U86" s="544">
        <v>10</v>
      </c>
      <c r="V86" s="544">
        <v>5</v>
      </c>
      <c r="W86" s="544">
        <v>7</v>
      </c>
      <c r="X86" s="544">
        <v>5</v>
      </c>
      <c r="Y86" s="544" t="s">
        <v>934</v>
      </c>
    </row>
    <row r="87" spans="3:25" x14ac:dyDescent="0.3">
      <c r="C87" s="88" t="str">
        <f>'G-1 All Habitats'!B85</f>
        <v>Wetland - Transition mires and quaking bogs (H7140)</v>
      </c>
      <c r="D87" s="544" t="s">
        <v>934</v>
      </c>
      <c r="E87" s="544" t="s">
        <v>934</v>
      </c>
      <c r="F87" s="544">
        <v>15</v>
      </c>
      <c r="G87" s="544">
        <v>25</v>
      </c>
      <c r="H87" s="544">
        <v>30</v>
      </c>
      <c r="I87" s="544" t="s">
        <v>935</v>
      </c>
      <c r="J87" s="544" t="s">
        <v>935</v>
      </c>
      <c r="K87" s="544" t="s">
        <v>934</v>
      </c>
      <c r="L87" s="544" t="s">
        <v>934</v>
      </c>
      <c r="M87" s="544" t="s">
        <v>934</v>
      </c>
      <c r="N87" s="544" t="s">
        <v>934</v>
      </c>
      <c r="O87" s="544">
        <v>10</v>
      </c>
      <c r="P87" s="544">
        <v>20</v>
      </c>
      <c r="Q87" s="544">
        <v>25</v>
      </c>
      <c r="R87" s="544">
        <v>30</v>
      </c>
      <c r="S87" s="544">
        <v>10</v>
      </c>
      <c r="T87" s="544">
        <v>20</v>
      </c>
      <c r="U87" s="544">
        <v>20</v>
      </c>
      <c r="V87" s="544">
        <v>10</v>
      </c>
      <c r="W87" s="544">
        <v>15</v>
      </c>
      <c r="X87" s="544">
        <v>10</v>
      </c>
      <c r="Y87" s="544" t="s">
        <v>934</v>
      </c>
    </row>
    <row r="88" spans="3:25" x14ac:dyDescent="0.3">
      <c r="C88" s="88" t="str">
        <f>'G-1 All Habitats'!B86</f>
        <v>Woodland and forest - Felled</v>
      </c>
      <c r="D88" s="544" t="s">
        <v>934</v>
      </c>
      <c r="E88" s="544" t="s">
        <v>934</v>
      </c>
      <c r="F88" s="544" t="s">
        <v>934</v>
      </c>
      <c r="G88" s="544" t="s">
        <v>934</v>
      </c>
      <c r="H88" s="544" t="s">
        <v>934</v>
      </c>
      <c r="I88" s="544" t="s">
        <v>934</v>
      </c>
      <c r="J88" s="544" t="s">
        <v>934</v>
      </c>
      <c r="K88" s="544" t="s">
        <v>934</v>
      </c>
      <c r="L88" s="544" t="s">
        <v>934</v>
      </c>
      <c r="M88" s="544" t="s">
        <v>934</v>
      </c>
      <c r="N88" s="544" t="s">
        <v>934</v>
      </c>
      <c r="O88" s="544" t="s">
        <v>934</v>
      </c>
      <c r="P88" s="544" t="s">
        <v>934</v>
      </c>
      <c r="Q88" s="544" t="s">
        <v>934</v>
      </c>
      <c r="R88" s="544" t="s">
        <v>934</v>
      </c>
      <c r="S88" s="544" t="s">
        <v>934</v>
      </c>
      <c r="T88" s="544" t="s">
        <v>934</v>
      </c>
      <c r="U88" s="544" t="s">
        <v>934</v>
      </c>
      <c r="V88" s="544" t="s">
        <v>934</v>
      </c>
      <c r="W88" s="544" t="s">
        <v>934</v>
      </c>
      <c r="X88" s="544" t="s">
        <v>934</v>
      </c>
      <c r="Y88" s="544" t="s">
        <v>934</v>
      </c>
    </row>
    <row r="89" spans="3:25" x14ac:dyDescent="0.3">
      <c r="C89" s="88" t="str">
        <f>'G-1 All Habitats'!B87</f>
        <v>Woodland and forest - Lowland beech and yew woodland</v>
      </c>
      <c r="D89" s="544" t="s">
        <v>934</v>
      </c>
      <c r="E89" s="544" t="s">
        <v>934</v>
      </c>
      <c r="F89" s="544">
        <v>10</v>
      </c>
      <c r="G89" s="544">
        <v>25</v>
      </c>
      <c r="H89" s="544" t="s">
        <v>935</v>
      </c>
      <c r="I89" s="544" t="s">
        <v>935</v>
      </c>
      <c r="J89" s="544" t="s">
        <v>935</v>
      </c>
      <c r="K89" s="544" t="s">
        <v>934</v>
      </c>
      <c r="L89" s="544" t="s">
        <v>934</v>
      </c>
      <c r="M89" s="544" t="s">
        <v>934</v>
      </c>
      <c r="N89" s="544" t="s">
        <v>934</v>
      </c>
      <c r="O89" s="544">
        <v>25</v>
      </c>
      <c r="P89" s="544" t="s">
        <v>935</v>
      </c>
      <c r="Q89" s="544" t="s">
        <v>935</v>
      </c>
      <c r="R89" s="544" t="s">
        <v>935</v>
      </c>
      <c r="S89" s="544" t="s">
        <v>935</v>
      </c>
      <c r="T89" s="544" t="s">
        <v>935</v>
      </c>
      <c r="U89" s="544" t="s">
        <v>935</v>
      </c>
      <c r="V89" s="544" t="s">
        <v>935</v>
      </c>
      <c r="W89" s="544" t="s">
        <v>935</v>
      </c>
      <c r="X89" s="544" t="s">
        <v>935</v>
      </c>
      <c r="Y89" s="544" t="s">
        <v>934</v>
      </c>
    </row>
    <row r="90" spans="3:25" x14ac:dyDescent="0.3">
      <c r="C90" s="88" t="str">
        <f>'G-1 All Habitats'!B88</f>
        <v>Woodland and forest - Lowland mixed deciduous woodland</v>
      </c>
      <c r="D90" s="544" t="s">
        <v>934</v>
      </c>
      <c r="E90" s="544" t="s">
        <v>934</v>
      </c>
      <c r="F90" s="544">
        <v>10</v>
      </c>
      <c r="G90" s="544">
        <v>25</v>
      </c>
      <c r="H90" s="544" t="s">
        <v>935</v>
      </c>
      <c r="I90" s="544" t="s">
        <v>935</v>
      </c>
      <c r="J90" s="544" t="s">
        <v>935</v>
      </c>
      <c r="K90" s="544" t="s">
        <v>934</v>
      </c>
      <c r="L90" s="544" t="s">
        <v>934</v>
      </c>
      <c r="M90" s="544" t="s">
        <v>934</v>
      </c>
      <c r="N90" s="544" t="s">
        <v>934</v>
      </c>
      <c r="O90" s="544">
        <v>10</v>
      </c>
      <c r="P90" s="544">
        <v>20</v>
      </c>
      <c r="Q90" s="544">
        <v>25</v>
      </c>
      <c r="R90" s="544" t="s">
        <v>935</v>
      </c>
      <c r="S90" s="544">
        <v>10</v>
      </c>
      <c r="T90" s="544">
        <v>20</v>
      </c>
      <c r="U90" s="544">
        <v>25</v>
      </c>
      <c r="V90" s="544">
        <v>10</v>
      </c>
      <c r="W90" s="544">
        <v>20</v>
      </c>
      <c r="X90" s="544">
        <v>10</v>
      </c>
      <c r="Y90" s="544" t="s">
        <v>934</v>
      </c>
    </row>
    <row r="91" spans="3:25" x14ac:dyDescent="0.3">
      <c r="C91" s="88" t="str">
        <f>'G-1 All Habitats'!B89</f>
        <v>Woodland and forest - Native pine woodlands</v>
      </c>
      <c r="D91" s="544" t="s">
        <v>934</v>
      </c>
      <c r="E91" s="544" t="s">
        <v>934</v>
      </c>
      <c r="F91" s="544">
        <v>25</v>
      </c>
      <c r="G91" s="544">
        <v>30</v>
      </c>
      <c r="H91" s="544" t="s">
        <v>935</v>
      </c>
      <c r="I91" s="544" t="s">
        <v>935</v>
      </c>
      <c r="J91" s="544" t="s">
        <v>935</v>
      </c>
      <c r="K91" s="544" t="s">
        <v>934</v>
      </c>
      <c r="L91" s="544" t="s">
        <v>934</v>
      </c>
      <c r="M91" s="544" t="s">
        <v>934</v>
      </c>
      <c r="N91" s="544" t="s">
        <v>934</v>
      </c>
      <c r="O91" s="544">
        <v>10</v>
      </c>
      <c r="P91" s="544">
        <v>15</v>
      </c>
      <c r="Q91" s="544">
        <v>20</v>
      </c>
      <c r="R91" s="544" t="s">
        <v>935</v>
      </c>
      <c r="S91" s="544">
        <v>15</v>
      </c>
      <c r="T91" s="544">
        <v>20</v>
      </c>
      <c r="U91" s="544">
        <v>25</v>
      </c>
      <c r="V91" s="544">
        <v>10</v>
      </c>
      <c r="W91" s="544">
        <v>15</v>
      </c>
      <c r="X91" s="544">
        <v>10</v>
      </c>
      <c r="Y91" s="544" t="s">
        <v>934</v>
      </c>
    </row>
    <row r="92" spans="3:25" x14ac:dyDescent="0.3">
      <c r="C92" s="88" t="str">
        <f>'G-1 All Habitats'!B90</f>
        <v>Woodland and forest - Other coniferous woodland</v>
      </c>
      <c r="D92" s="544" t="s">
        <v>934</v>
      </c>
      <c r="E92" s="544" t="s">
        <v>934</v>
      </c>
      <c r="F92" s="544" t="s">
        <v>934</v>
      </c>
      <c r="G92" s="544" t="s">
        <v>934</v>
      </c>
      <c r="H92" s="544" t="s">
        <v>934</v>
      </c>
      <c r="I92" s="544" t="s">
        <v>934</v>
      </c>
      <c r="J92" s="544" t="s">
        <v>934</v>
      </c>
      <c r="K92" s="544" t="s">
        <v>934</v>
      </c>
      <c r="L92" s="544" t="s">
        <v>934</v>
      </c>
      <c r="M92" s="544" t="s">
        <v>934</v>
      </c>
      <c r="N92" s="544" t="s">
        <v>934</v>
      </c>
      <c r="O92" s="544">
        <v>5</v>
      </c>
      <c r="P92" s="544">
        <v>25</v>
      </c>
      <c r="Q92" s="544" t="s">
        <v>935</v>
      </c>
      <c r="R92" s="544" t="s">
        <v>935</v>
      </c>
      <c r="S92" s="544">
        <v>20</v>
      </c>
      <c r="T92" s="544">
        <v>15</v>
      </c>
      <c r="U92" s="544">
        <v>25</v>
      </c>
      <c r="V92" s="544">
        <v>5</v>
      </c>
      <c r="W92" s="544">
        <v>7</v>
      </c>
      <c r="X92" s="544">
        <v>10</v>
      </c>
      <c r="Y92" s="544" t="s">
        <v>934</v>
      </c>
    </row>
    <row r="93" spans="3:25" x14ac:dyDescent="0.3">
      <c r="C93" s="88" t="str">
        <f>'G-1 All Habitats'!B91</f>
        <v>Woodland and forest - Other Scot's Pine woodland</v>
      </c>
      <c r="D93" s="544" t="s">
        <v>934</v>
      </c>
      <c r="E93" s="544" t="s">
        <v>934</v>
      </c>
      <c r="F93" s="544">
        <v>20</v>
      </c>
      <c r="G93" s="544">
        <v>25</v>
      </c>
      <c r="H93" s="544" t="s">
        <v>935</v>
      </c>
      <c r="I93" s="544" t="s">
        <v>935</v>
      </c>
      <c r="J93" s="544" t="s">
        <v>935</v>
      </c>
      <c r="K93" s="544" t="s">
        <v>934</v>
      </c>
      <c r="L93" s="544" t="s">
        <v>934</v>
      </c>
      <c r="M93" s="544" t="s">
        <v>934</v>
      </c>
      <c r="N93" s="544" t="s">
        <v>934</v>
      </c>
      <c r="O93" s="544">
        <v>10</v>
      </c>
      <c r="P93" s="544">
        <v>15</v>
      </c>
      <c r="Q93" s="544">
        <v>20</v>
      </c>
      <c r="R93" s="544" t="s">
        <v>935</v>
      </c>
      <c r="S93" s="544">
        <v>15</v>
      </c>
      <c r="T93" s="544">
        <v>20</v>
      </c>
      <c r="U93" s="544">
        <v>25</v>
      </c>
      <c r="V93" s="544">
        <v>10</v>
      </c>
      <c r="W93" s="544">
        <v>15</v>
      </c>
      <c r="X93" s="544">
        <v>10</v>
      </c>
      <c r="Y93" s="544" t="s">
        <v>934</v>
      </c>
    </row>
    <row r="94" spans="3:25" x14ac:dyDescent="0.3">
      <c r="C94" s="88" t="str">
        <f>'G-1 All Habitats'!B92</f>
        <v>Woodland and forest - Other woodland; broadleaved</v>
      </c>
      <c r="D94" s="544" t="s">
        <v>934</v>
      </c>
      <c r="E94" s="544" t="s">
        <v>934</v>
      </c>
      <c r="F94" s="544">
        <v>5</v>
      </c>
      <c r="G94" s="544">
        <v>10</v>
      </c>
      <c r="H94" s="544">
        <v>15</v>
      </c>
      <c r="I94" s="544">
        <v>20</v>
      </c>
      <c r="J94" s="544">
        <v>25</v>
      </c>
      <c r="K94" s="544" t="s">
        <v>934</v>
      </c>
      <c r="L94" s="544" t="s">
        <v>934</v>
      </c>
      <c r="M94" s="544" t="s">
        <v>934</v>
      </c>
      <c r="N94" s="544" t="s">
        <v>934</v>
      </c>
      <c r="O94" s="544">
        <v>5</v>
      </c>
      <c r="P94" s="544">
        <v>10</v>
      </c>
      <c r="Q94" s="544">
        <v>15</v>
      </c>
      <c r="R94" s="544">
        <v>20</v>
      </c>
      <c r="S94" s="544">
        <v>5</v>
      </c>
      <c r="T94" s="544">
        <v>10</v>
      </c>
      <c r="U94" s="544">
        <v>15</v>
      </c>
      <c r="V94" s="544">
        <v>5</v>
      </c>
      <c r="W94" s="544">
        <v>10</v>
      </c>
      <c r="X94" s="544">
        <v>5</v>
      </c>
      <c r="Y94" s="544" t="s">
        <v>934</v>
      </c>
    </row>
    <row r="95" spans="3:25" x14ac:dyDescent="0.3">
      <c r="C95" s="88" t="str">
        <f>'G-1 All Habitats'!B93</f>
        <v>Woodland and forest - Other woodland; mixed</v>
      </c>
      <c r="D95" s="544" t="s">
        <v>934</v>
      </c>
      <c r="E95" s="544" t="s">
        <v>934</v>
      </c>
      <c r="F95" s="544">
        <v>5</v>
      </c>
      <c r="G95" s="544">
        <v>10</v>
      </c>
      <c r="H95" s="544">
        <v>15</v>
      </c>
      <c r="I95" s="544">
        <v>20</v>
      </c>
      <c r="J95" s="544">
        <v>25</v>
      </c>
      <c r="K95" s="544" t="s">
        <v>934</v>
      </c>
      <c r="L95" s="544" t="s">
        <v>934</v>
      </c>
      <c r="M95" s="544" t="s">
        <v>934</v>
      </c>
      <c r="N95" s="544" t="s">
        <v>934</v>
      </c>
      <c r="O95" s="544">
        <v>5</v>
      </c>
      <c r="P95" s="544">
        <v>10</v>
      </c>
      <c r="Q95" s="544">
        <v>15</v>
      </c>
      <c r="R95" s="544">
        <v>20</v>
      </c>
      <c r="S95" s="544">
        <v>5</v>
      </c>
      <c r="T95" s="544">
        <v>10</v>
      </c>
      <c r="U95" s="544">
        <v>15</v>
      </c>
      <c r="V95" s="544">
        <v>5</v>
      </c>
      <c r="W95" s="544">
        <v>10</v>
      </c>
      <c r="X95" s="544">
        <v>5</v>
      </c>
      <c r="Y95" s="544" t="s">
        <v>934</v>
      </c>
    </row>
    <row r="96" spans="3:25" x14ac:dyDescent="0.3">
      <c r="C96" s="88" t="str">
        <f>'G-1 All Habitats'!B94</f>
        <v>Woodland and forest - Upland birchwoods</v>
      </c>
      <c r="D96" s="544" t="s">
        <v>934</v>
      </c>
      <c r="E96" s="544" t="s">
        <v>934</v>
      </c>
      <c r="F96" s="544">
        <v>10</v>
      </c>
      <c r="G96" s="544">
        <v>20</v>
      </c>
      <c r="H96" s="544">
        <v>25</v>
      </c>
      <c r="I96" s="544">
        <v>30</v>
      </c>
      <c r="J96" s="544" t="s">
        <v>935</v>
      </c>
      <c r="K96" s="544" t="s">
        <v>934</v>
      </c>
      <c r="L96" s="544" t="s">
        <v>934</v>
      </c>
      <c r="M96" s="544" t="s">
        <v>934</v>
      </c>
      <c r="N96" s="544" t="s">
        <v>934</v>
      </c>
      <c r="O96" s="544">
        <v>10</v>
      </c>
      <c r="P96" s="544">
        <v>15</v>
      </c>
      <c r="Q96" s="544">
        <v>20</v>
      </c>
      <c r="R96" s="544" t="s">
        <v>935</v>
      </c>
      <c r="S96" s="544">
        <v>15</v>
      </c>
      <c r="T96" s="544">
        <v>20</v>
      </c>
      <c r="U96" s="544">
        <v>25</v>
      </c>
      <c r="V96" s="544">
        <v>10</v>
      </c>
      <c r="W96" s="544">
        <v>15</v>
      </c>
      <c r="X96" s="544">
        <v>10</v>
      </c>
      <c r="Y96" s="544" t="s">
        <v>934</v>
      </c>
    </row>
    <row r="97" spans="3:25" x14ac:dyDescent="0.3">
      <c r="C97" s="88" t="str">
        <f>'G-1 All Habitats'!B95</f>
        <v>Woodland and forest - Upland mixed ashwoods</v>
      </c>
      <c r="D97" s="544" t="s">
        <v>934</v>
      </c>
      <c r="E97" s="544" t="s">
        <v>934</v>
      </c>
      <c r="F97" s="544">
        <v>10</v>
      </c>
      <c r="G97" s="544">
        <v>25</v>
      </c>
      <c r="H97" s="544" t="s">
        <v>935</v>
      </c>
      <c r="I97" s="544" t="s">
        <v>935</v>
      </c>
      <c r="J97" s="544" t="s">
        <v>935</v>
      </c>
      <c r="K97" s="544" t="s">
        <v>934</v>
      </c>
      <c r="L97" s="544" t="s">
        <v>934</v>
      </c>
      <c r="M97" s="544" t="s">
        <v>934</v>
      </c>
      <c r="N97" s="544" t="s">
        <v>934</v>
      </c>
      <c r="O97" s="544">
        <v>10</v>
      </c>
      <c r="P97" s="544">
        <v>15</v>
      </c>
      <c r="Q97" s="544">
        <v>20</v>
      </c>
      <c r="R97" s="544" t="s">
        <v>935</v>
      </c>
      <c r="S97" s="544">
        <v>15</v>
      </c>
      <c r="T97" s="544">
        <v>20</v>
      </c>
      <c r="U97" s="544">
        <v>25</v>
      </c>
      <c r="V97" s="544">
        <v>10</v>
      </c>
      <c r="W97" s="544">
        <v>15</v>
      </c>
      <c r="X97" s="544">
        <v>10</v>
      </c>
      <c r="Y97" s="544" t="s">
        <v>934</v>
      </c>
    </row>
    <row r="98" spans="3:25" x14ac:dyDescent="0.3">
      <c r="C98" s="88" t="str">
        <f>'G-1 All Habitats'!B96</f>
        <v>Woodland and forest - Upland oakwood</v>
      </c>
      <c r="D98" s="544" t="s">
        <v>934</v>
      </c>
      <c r="E98" s="544" t="s">
        <v>934</v>
      </c>
      <c r="F98" s="544">
        <v>10</v>
      </c>
      <c r="G98" s="544">
        <v>25</v>
      </c>
      <c r="H98" s="544" t="s">
        <v>935</v>
      </c>
      <c r="I98" s="544" t="s">
        <v>935</v>
      </c>
      <c r="J98" s="544" t="s">
        <v>935</v>
      </c>
      <c r="K98" s="544" t="s">
        <v>934</v>
      </c>
      <c r="L98" s="544" t="s">
        <v>934</v>
      </c>
      <c r="M98" s="544" t="s">
        <v>934</v>
      </c>
      <c r="N98" s="544" t="s">
        <v>934</v>
      </c>
      <c r="O98" s="544">
        <v>25</v>
      </c>
      <c r="P98" s="544" t="s">
        <v>935</v>
      </c>
      <c r="Q98" s="544" t="s">
        <v>935</v>
      </c>
      <c r="R98" s="544" t="s">
        <v>935</v>
      </c>
      <c r="S98" s="544" t="s">
        <v>935</v>
      </c>
      <c r="T98" s="544" t="s">
        <v>935</v>
      </c>
      <c r="U98" s="544" t="s">
        <v>935</v>
      </c>
      <c r="V98" s="544" t="s">
        <v>935</v>
      </c>
      <c r="W98" s="544" t="s">
        <v>935</v>
      </c>
      <c r="X98" s="544" t="s">
        <v>935</v>
      </c>
      <c r="Y98" s="544" t="s">
        <v>934</v>
      </c>
    </row>
    <row r="99" spans="3:25" x14ac:dyDescent="0.3">
      <c r="C99" s="88" t="str">
        <f>'G-1 All Habitats'!B97</f>
        <v>Woodland and forest - Wet woodland</v>
      </c>
      <c r="D99" s="544" t="s">
        <v>934</v>
      </c>
      <c r="E99" s="544" t="s">
        <v>934</v>
      </c>
      <c r="F99" s="544">
        <v>10</v>
      </c>
      <c r="G99" s="544">
        <v>20</v>
      </c>
      <c r="H99" s="544">
        <v>25</v>
      </c>
      <c r="I99" s="544">
        <v>30</v>
      </c>
      <c r="J99" s="544" t="s">
        <v>935</v>
      </c>
      <c r="K99" s="544" t="s">
        <v>934</v>
      </c>
      <c r="L99" s="544" t="s">
        <v>934</v>
      </c>
      <c r="M99" s="544" t="s">
        <v>934</v>
      </c>
      <c r="N99" s="544" t="s">
        <v>934</v>
      </c>
      <c r="O99" s="544">
        <v>10</v>
      </c>
      <c r="P99" s="544">
        <v>10</v>
      </c>
      <c r="Q99" s="544">
        <v>15</v>
      </c>
      <c r="R99" s="544" t="s">
        <v>935</v>
      </c>
      <c r="S99" s="544">
        <v>15</v>
      </c>
      <c r="T99" s="544">
        <v>20</v>
      </c>
      <c r="U99" s="544">
        <v>25</v>
      </c>
      <c r="V99" s="544">
        <v>10</v>
      </c>
      <c r="W99" s="544">
        <v>15</v>
      </c>
      <c r="X99" s="544">
        <v>10</v>
      </c>
      <c r="Y99" s="544" t="s">
        <v>934</v>
      </c>
    </row>
    <row r="100" spans="3:25" x14ac:dyDescent="0.3">
      <c r="C100" s="88" t="str">
        <f>'G-1 All Habitats'!B98</f>
        <v>Woodland and forest - Wood-pasture and parkland</v>
      </c>
      <c r="D100" s="544" t="s">
        <v>934</v>
      </c>
      <c r="E100" s="544" t="s">
        <v>934</v>
      </c>
      <c r="F100" s="544">
        <v>10</v>
      </c>
      <c r="G100" s="544">
        <v>25</v>
      </c>
      <c r="H100" s="544" t="s">
        <v>935</v>
      </c>
      <c r="I100" s="544" t="s">
        <v>935</v>
      </c>
      <c r="J100" s="544" t="s">
        <v>935</v>
      </c>
      <c r="K100" s="544" t="s">
        <v>934</v>
      </c>
      <c r="L100" s="544" t="s">
        <v>934</v>
      </c>
      <c r="M100" s="544" t="s">
        <v>934</v>
      </c>
      <c r="N100" s="544" t="s">
        <v>934</v>
      </c>
      <c r="O100" s="544">
        <v>25</v>
      </c>
      <c r="P100" s="544" t="s">
        <v>935</v>
      </c>
      <c r="Q100" s="544" t="s">
        <v>935</v>
      </c>
      <c r="R100" s="544" t="s">
        <v>935</v>
      </c>
      <c r="S100" s="544" t="s">
        <v>935</v>
      </c>
      <c r="T100" s="544" t="s">
        <v>935</v>
      </c>
      <c r="U100" s="544" t="s">
        <v>935</v>
      </c>
      <c r="V100" s="544" t="s">
        <v>935</v>
      </c>
      <c r="W100" s="544" t="s">
        <v>935</v>
      </c>
      <c r="X100" s="544" t="s">
        <v>935</v>
      </c>
      <c r="Y100" s="544" t="s">
        <v>934</v>
      </c>
    </row>
    <row r="101" spans="3:25" x14ac:dyDescent="0.3">
      <c r="C101" s="88" t="str">
        <f>'G-1 All Habitats'!B99</f>
        <v>Coastal lagoons - Coastal lagoons</v>
      </c>
      <c r="D101" s="544" t="s">
        <v>934</v>
      </c>
      <c r="E101" s="544" t="s">
        <v>934</v>
      </c>
      <c r="F101" s="544" t="s">
        <v>934</v>
      </c>
      <c r="G101" s="544" t="s">
        <v>934</v>
      </c>
      <c r="H101" s="544" t="s">
        <v>934</v>
      </c>
      <c r="I101" s="544" t="s">
        <v>934</v>
      </c>
      <c r="J101" s="544" t="s">
        <v>934</v>
      </c>
      <c r="K101" s="544" t="s">
        <v>934</v>
      </c>
      <c r="L101" s="544" t="s">
        <v>934</v>
      </c>
      <c r="M101" s="544" t="s">
        <v>934</v>
      </c>
      <c r="N101" s="544" t="s">
        <v>934</v>
      </c>
      <c r="O101" s="544">
        <v>1</v>
      </c>
      <c r="P101" s="544">
        <v>4</v>
      </c>
      <c r="Q101" s="544">
        <v>8</v>
      </c>
      <c r="R101" s="544">
        <v>12</v>
      </c>
      <c r="S101" s="544">
        <v>3</v>
      </c>
      <c r="T101" s="544">
        <v>7</v>
      </c>
      <c r="U101" s="544">
        <v>11</v>
      </c>
      <c r="V101" s="544">
        <v>4</v>
      </c>
      <c r="W101" s="544">
        <v>8</v>
      </c>
      <c r="X101" s="544">
        <v>4</v>
      </c>
      <c r="Y101" s="544" t="s">
        <v>934</v>
      </c>
    </row>
    <row r="102" spans="3:25" x14ac:dyDescent="0.3">
      <c r="C102" s="88" t="str">
        <f>'G-1 All Habitats'!B100</f>
        <v>Rocky shore - High energy littoral rock</v>
      </c>
      <c r="D102" s="544" t="s">
        <v>934</v>
      </c>
      <c r="E102" s="544" t="s">
        <v>934</v>
      </c>
      <c r="F102" s="544" t="s">
        <v>934</v>
      </c>
      <c r="G102" s="544" t="s">
        <v>934</v>
      </c>
      <c r="H102" s="544" t="s">
        <v>934</v>
      </c>
      <c r="I102" s="544" t="s">
        <v>934</v>
      </c>
      <c r="J102" s="544" t="s">
        <v>934</v>
      </c>
      <c r="K102" s="544" t="s">
        <v>934</v>
      </c>
      <c r="L102" s="544" t="s">
        <v>934</v>
      </c>
      <c r="M102" s="544" t="s">
        <v>934</v>
      </c>
      <c r="N102" s="544" t="s">
        <v>934</v>
      </c>
      <c r="O102" s="544">
        <v>2</v>
      </c>
      <c r="P102" s="544">
        <v>4</v>
      </c>
      <c r="Q102" s="544">
        <v>6</v>
      </c>
      <c r="R102" s="544">
        <v>10</v>
      </c>
      <c r="S102" s="544">
        <v>2</v>
      </c>
      <c r="T102" s="544">
        <v>4</v>
      </c>
      <c r="U102" s="544">
        <v>8</v>
      </c>
      <c r="V102" s="544">
        <v>2</v>
      </c>
      <c r="W102" s="544">
        <v>6</v>
      </c>
      <c r="X102" s="544">
        <v>4</v>
      </c>
      <c r="Y102" s="544" t="s">
        <v>934</v>
      </c>
    </row>
    <row r="103" spans="3:25" x14ac:dyDescent="0.3">
      <c r="C103" s="88" t="str">
        <f>'G-1 All Habitats'!B101</f>
        <v>Rocky shore - High energy littoral rock - on peat, clay or chalk</v>
      </c>
      <c r="D103" s="544" t="s">
        <v>934</v>
      </c>
      <c r="E103" s="544" t="s">
        <v>934</v>
      </c>
      <c r="F103" s="544" t="s">
        <v>934</v>
      </c>
      <c r="G103" s="544" t="s">
        <v>934</v>
      </c>
      <c r="H103" s="544" t="s">
        <v>934</v>
      </c>
      <c r="I103" s="544" t="s">
        <v>934</v>
      </c>
      <c r="J103" s="544" t="s">
        <v>934</v>
      </c>
      <c r="K103" s="544" t="s">
        <v>934</v>
      </c>
      <c r="L103" s="544" t="s">
        <v>934</v>
      </c>
      <c r="M103" s="544" t="s">
        <v>934</v>
      </c>
      <c r="N103" s="544" t="s">
        <v>934</v>
      </c>
      <c r="O103" s="544">
        <v>2</v>
      </c>
      <c r="P103" s="544">
        <v>4</v>
      </c>
      <c r="Q103" s="544">
        <v>6</v>
      </c>
      <c r="R103" s="544">
        <v>10</v>
      </c>
      <c r="S103" s="544">
        <v>2</v>
      </c>
      <c r="T103" s="544">
        <v>4</v>
      </c>
      <c r="U103" s="544">
        <v>8</v>
      </c>
      <c r="V103" s="544">
        <v>2</v>
      </c>
      <c r="W103" s="544">
        <v>6</v>
      </c>
      <c r="X103" s="544">
        <v>4</v>
      </c>
      <c r="Y103" s="544" t="s">
        <v>934</v>
      </c>
    </row>
    <row r="104" spans="3:25" x14ac:dyDescent="0.3">
      <c r="C104" s="88" t="str">
        <f>'G-1 All Habitats'!B102</f>
        <v>Rocky shore - Moderate energy littoral rock</v>
      </c>
      <c r="D104" s="544" t="s">
        <v>934</v>
      </c>
      <c r="E104" s="544" t="s">
        <v>934</v>
      </c>
      <c r="F104" s="544" t="s">
        <v>934</v>
      </c>
      <c r="G104" s="544" t="s">
        <v>934</v>
      </c>
      <c r="H104" s="544" t="s">
        <v>934</v>
      </c>
      <c r="I104" s="544" t="s">
        <v>934</v>
      </c>
      <c r="J104" s="544" t="s">
        <v>934</v>
      </c>
      <c r="K104" s="544" t="s">
        <v>934</v>
      </c>
      <c r="L104" s="544" t="s">
        <v>934</v>
      </c>
      <c r="M104" s="544" t="s">
        <v>934</v>
      </c>
      <c r="N104" s="544" t="s">
        <v>934</v>
      </c>
      <c r="O104" s="544">
        <v>2</v>
      </c>
      <c r="P104" s="544">
        <v>4</v>
      </c>
      <c r="Q104" s="544">
        <v>6</v>
      </c>
      <c r="R104" s="544">
        <v>11</v>
      </c>
      <c r="S104" s="544">
        <v>2</v>
      </c>
      <c r="T104" s="544">
        <v>4</v>
      </c>
      <c r="U104" s="544">
        <v>9</v>
      </c>
      <c r="V104" s="544">
        <v>2</v>
      </c>
      <c r="W104" s="544">
        <v>7</v>
      </c>
      <c r="X104" s="544">
        <v>5</v>
      </c>
      <c r="Y104" s="544" t="s">
        <v>934</v>
      </c>
    </row>
    <row r="105" spans="3:25" x14ac:dyDescent="0.3">
      <c r="C105" s="88" t="str">
        <f>'G-1 All Habitats'!B103</f>
        <v>Rocky shore - Moderate energy littoral rock - on peat, clay or chalk</v>
      </c>
      <c r="D105" s="544" t="s">
        <v>934</v>
      </c>
      <c r="E105" s="544" t="s">
        <v>934</v>
      </c>
      <c r="F105" s="544" t="s">
        <v>934</v>
      </c>
      <c r="G105" s="544" t="s">
        <v>934</v>
      </c>
      <c r="H105" s="544" t="s">
        <v>934</v>
      </c>
      <c r="I105" s="544" t="s">
        <v>934</v>
      </c>
      <c r="J105" s="544" t="s">
        <v>934</v>
      </c>
      <c r="K105" s="544" t="s">
        <v>934</v>
      </c>
      <c r="L105" s="544" t="s">
        <v>934</v>
      </c>
      <c r="M105" s="544" t="s">
        <v>934</v>
      </c>
      <c r="N105" s="544" t="s">
        <v>934</v>
      </c>
      <c r="O105" s="544">
        <v>2</v>
      </c>
      <c r="P105" s="544">
        <v>4</v>
      </c>
      <c r="Q105" s="544">
        <v>6</v>
      </c>
      <c r="R105" s="544">
        <v>11</v>
      </c>
      <c r="S105" s="544">
        <v>2</v>
      </c>
      <c r="T105" s="544">
        <v>4</v>
      </c>
      <c r="U105" s="544">
        <v>9</v>
      </c>
      <c r="V105" s="544">
        <v>2</v>
      </c>
      <c r="W105" s="544">
        <v>7</v>
      </c>
      <c r="X105" s="544">
        <v>5</v>
      </c>
      <c r="Y105" s="544" t="s">
        <v>934</v>
      </c>
    </row>
    <row r="106" spans="3:25" x14ac:dyDescent="0.3">
      <c r="C106" s="88" t="str">
        <f>'G-1 All Habitats'!B104</f>
        <v>Rocky shore - Low energy littoral rock</v>
      </c>
      <c r="D106" s="544" t="s">
        <v>934</v>
      </c>
      <c r="E106" s="544" t="s">
        <v>934</v>
      </c>
      <c r="F106" s="544" t="s">
        <v>934</v>
      </c>
      <c r="G106" s="544" t="s">
        <v>934</v>
      </c>
      <c r="H106" s="544" t="s">
        <v>934</v>
      </c>
      <c r="I106" s="544" t="s">
        <v>934</v>
      </c>
      <c r="J106" s="544" t="s">
        <v>934</v>
      </c>
      <c r="K106" s="544" t="s">
        <v>934</v>
      </c>
      <c r="L106" s="544" t="s">
        <v>934</v>
      </c>
      <c r="M106" s="544" t="s">
        <v>934</v>
      </c>
      <c r="N106" s="544" t="s">
        <v>934</v>
      </c>
      <c r="O106" s="544">
        <v>2</v>
      </c>
      <c r="P106" s="544">
        <v>4</v>
      </c>
      <c r="Q106" s="544">
        <v>6</v>
      </c>
      <c r="R106" s="544">
        <v>12</v>
      </c>
      <c r="S106" s="544">
        <v>2</v>
      </c>
      <c r="T106" s="544">
        <v>4</v>
      </c>
      <c r="U106" s="544">
        <v>10</v>
      </c>
      <c r="V106" s="544">
        <v>2</v>
      </c>
      <c r="W106" s="544">
        <v>8</v>
      </c>
      <c r="X106" s="544">
        <v>6</v>
      </c>
      <c r="Y106" s="544" t="s">
        <v>934</v>
      </c>
    </row>
    <row r="107" spans="3:25" x14ac:dyDescent="0.3">
      <c r="C107" s="88" t="str">
        <f>'G-1 All Habitats'!B105</f>
        <v>Rocky shore - Low energy littoral rock - on peat, clay or chalk</v>
      </c>
      <c r="D107" s="544" t="s">
        <v>934</v>
      </c>
      <c r="E107" s="544" t="s">
        <v>934</v>
      </c>
      <c r="F107" s="544" t="s">
        <v>934</v>
      </c>
      <c r="G107" s="544" t="s">
        <v>934</v>
      </c>
      <c r="H107" s="544" t="s">
        <v>934</v>
      </c>
      <c r="I107" s="544" t="s">
        <v>934</v>
      </c>
      <c r="J107" s="544" t="s">
        <v>934</v>
      </c>
      <c r="K107" s="544" t="s">
        <v>934</v>
      </c>
      <c r="L107" s="544" t="s">
        <v>934</v>
      </c>
      <c r="M107" s="544" t="s">
        <v>934</v>
      </c>
      <c r="N107" s="544" t="s">
        <v>934</v>
      </c>
      <c r="O107" s="544">
        <v>2</v>
      </c>
      <c r="P107" s="544">
        <v>4</v>
      </c>
      <c r="Q107" s="544">
        <v>6</v>
      </c>
      <c r="R107" s="544">
        <v>12</v>
      </c>
      <c r="S107" s="544">
        <v>2</v>
      </c>
      <c r="T107" s="544">
        <v>4</v>
      </c>
      <c r="U107" s="544">
        <v>10</v>
      </c>
      <c r="V107" s="544">
        <v>2</v>
      </c>
      <c r="W107" s="544">
        <v>8</v>
      </c>
      <c r="X107" s="544">
        <v>6</v>
      </c>
      <c r="Y107" s="544" t="s">
        <v>934</v>
      </c>
    </row>
    <row r="108" spans="3:25" x14ac:dyDescent="0.3">
      <c r="C108" s="88" t="str">
        <f>'G-1 All Habitats'!B106</f>
        <v>Rocky shore - Features of littoral rock</v>
      </c>
      <c r="D108" s="544" t="s">
        <v>934</v>
      </c>
      <c r="E108" s="544" t="s">
        <v>934</v>
      </c>
      <c r="F108" s="544" t="s">
        <v>934</v>
      </c>
      <c r="G108" s="544" t="s">
        <v>934</v>
      </c>
      <c r="H108" s="544" t="s">
        <v>934</v>
      </c>
      <c r="I108" s="544" t="s">
        <v>934</v>
      </c>
      <c r="J108" s="544" t="s">
        <v>934</v>
      </c>
      <c r="K108" s="544" t="s">
        <v>934</v>
      </c>
      <c r="L108" s="544" t="s">
        <v>934</v>
      </c>
      <c r="M108" s="544" t="s">
        <v>934</v>
      </c>
      <c r="N108" s="544" t="s">
        <v>934</v>
      </c>
      <c r="O108" s="544">
        <v>2</v>
      </c>
      <c r="P108" s="544">
        <v>4</v>
      </c>
      <c r="Q108" s="544">
        <v>6</v>
      </c>
      <c r="R108" s="544">
        <v>11</v>
      </c>
      <c r="S108" s="544">
        <v>2</v>
      </c>
      <c r="T108" s="544">
        <v>4</v>
      </c>
      <c r="U108" s="544">
        <v>9</v>
      </c>
      <c r="V108" s="544">
        <v>2</v>
      </c>
      <c r="W108" s="544">
        <v>7</v>
      </c>
      <c r="X108" s="544">
        <v>5</v>
      </c>
      <c r="Y108" s="544" t="s">
        <v>934</v>
      </c>
    </row>
    <row r="109" spans="3:25" x14ac:dyDescent="0.3">
      <c r="C109" s="88" t="str">
        <f>'G-1 All Habitats'!B107</f>
        <v>Rocky shore - Features of littoral rock - on peat, clay or chalk</v>
      </c>
      <c r="D109" s="544" t="s">
        <v>934</v>
      </c>
      <c r="E109" s="544" t="s">
        <v>934</v>
      </c>
      <c r="F109" s="544" t="s">
        <v>934</v>
      </c>
      <c r="G109" s="544" t="s">
        <v>934</v>
      </c>
      <c r="H109" s="544" t="s">
        <v>934</v>
      </c>
      <c r="I109" s="544" t="s">
        <v>934</v>
      </c>
      <c r="J109" s="544" t="s">
        <v>934</v>
      </c>
      <c r="K109" s="544" t="s">
        <v>934</v>
      </c>
      <c r="L109" s="544" t="s">
        <v>934</v>
      </c>
      <c r="M109" s="544" t="s">
        <v>934</v>
      </c>
      <c r="N109" s="544" t="s">
        <v>934</v>
      </c>
      <c r="O109" s="544">
        <v>2</v>
      </c>
      <c r="P109" s="544">
        <v>4</v>
      </c>
      <c r="Q109" s="544">
        <v>6</v>
      </c>
      <c r="R109" s="544">
        <v>11</v>
      </c>
      <c r="S109" s="544">
        <v>2</v>
      </c>
      <c r="T109" s="544">
        <v>4</v>
      </c>
      <c r="U109" s="544">
        <v>9</v>
      </c>
      <c r="V109" s="544">
        <v>2</v>
      </c>
      <c r="W109" s="544">
        <v>7</v>
      </c>
      <c r="X109" s="544">
        <v>5</v>
      </c>
      <c r="Y109" s="544" t="s">
        <v>934</v>
      </c>
    </row>
    <row r="110" spans="3:25" x14ac:dyDescent="0.3">
      <c r="C110" s="88" t="str">
        <f>'G-1 All Habitats'!B110</f>
        <v>Intertidal sediment - Littoral coarse sediment</v>
      </c>
      <c r="D110" s="544" t="s">
        <v>934</v>
      </c>
      <c r="E110" s="544" t="s">
        <v>934</v>
      </c>
      <c r="F110" s="544" t="s">
        <v>934</v>
      </c>
      <c r="G110" s="544" t="s">
        <v>934</v>
      </c>
      <c r="H110" s="544" t="s">
        <v>934</v>
      </c>
      <c r="I110" s="544" t="s">
        <v>934</v>
      </c>
      <c r="J110" s="544" t="s">
        <v>934</v>
      </c>
      <c r="K110" s="544" t="s">
        <v>934</v>
      </c>
      <c r="L110" s="544" t="s">
        <v>934</v>
      </c>
      <c r="M110" s="544" t="s">
        <v>934</v>
      </c>
      <c r="N110" s="544" t="s">
        <v>934</v>
      </c>
      <c r="O110" s="544">
        <v>1</v>
      </c>
      <c r="P110" s="544">
        <v>2</v>
      </c>
      <c r="Q110" s="544">
        <v>3</v>
      </c>
      <c r="R110" s="544">
        <v>4</v>
      </c>
      <c r="S110" s="544">
        <v>1</v>
      </c>
      <c r="T110" s="544">
        <v>2</v>
      </c>
      <c r="U110" s="544">
        <v>3</v>
      </c>
      <c r="V110" s="544">
        <v>1</v>
      </c>
      <c r="W110" s="544">
        <v>2</v>
      </c>
      <c r="X110" s="544">
        <v>1</v>
      </c>
      <c r="Y110" s="544" t="s">
        <v>934</v>
      </c>
    </row>
    <row r="111" spans="3:25" x14ac:dyDescent="0.3">
      <c r="C111" s="88" t="str">
        <f>'G-1 All Habitats'!B111</f>
        <v>Intertidal sediment - Littoral mud</v>
      </c>
      <c r="D111" s="544" t="s">
        <v>934</v>
      </c>
      <c r="E111" s="544" t="s">
        <v>934</v>
      </c>
      <c r="F111" s="544" t="s">
        <v>934</v>
      </c>
      <c r="G111" s="544" t="s">
        <v>934</v>
      </c>
      <c r="H111" s="544" t="s">
        <v>934</v>
      </c>
      <c r="I111" s="544" t="s">
        <v>934</v>
      </c>
      <c r="J111" s="544" t="s">
        <v>934</v>
      </c>
      <c r="K111" s="544" t="s">
        <v>934</v>
      </c>
      <c r="L111" s="544" t="s">
        <v>934</v>
      </c>
      <c r="M111" s="544" t="s">
        <v>934</v>
      </c>
      <c r="N111" s="544" t="s">
        <v>934</v>
      </c>
      <c r="O111" s="544">
        <v>2</v>
      </c>
      <c r="P111" s="544">
        <v>4</v>
      </c>
      <c r="Q111" s="544">
        <v>6</v>
      </c>
      <c r="R111" s="544">
        <v>8</v>
      </c>
      <c r="S111" s="544">
        <v>2</v>
      </c>
      <c r="T111" s="544">
        <v>4</v>
      </c>
      <c r="U111" s="544">
        <v>6</v>
      </c>
      <c r="V111" s="544">
        <v>2</v>
      </c>
      <c r="W111" s="544">
        <v>4</v>
      </c>
      <c r="X111" s="544">
        <v>2</v>
      </c>
      <c r="Y111" s="544" t="s">
        <v>934</v>
      </c>
    </row>
    <row r="112" spans="3:25" x14ac:dyDescent="0.3">
      <c r="C112" s="88" t="str">
        <f>'G-1 All Habitats'!B112</f>
        <v>Intertidal sediment - Littoral mixed sediments</v>
      </c>
      <c r="D112" s="544" t="s">
        <v>934</v>
      </c>
      <c r="E112" s="544" t="s">
        <v>934</v>
      </c>
      <c r="F112" s="544" t="s">
        <v>934</v>
      </c>
      <c r="G112" s="544" t="s">
        <v>934</v>
      </c>
      <c r="H112" s="544" t="s">
        <v>934</v>
      </c>
      <c r="I112" s="544" t="s">
        <v>934</v>
      </c>
      <c r="J112" s="544" t="s">
        <v>934</v>
      </c>
      <c r="K112" s="544" t="s">
        <v>934</v>
      </c>
      <c r="L112" s="544" t="s">
        <v>934</v>
      </c>
      <c r="M112" s="544" t="s">
        <v>934</v>
      </c>
      <c r="N112" s="544" t="s">
        <v>934</v>
      </c>
      <c r="O112" s="544">
        <v>1</v>
      </c>
      <c r="P112" s="544">
        <v>2</v>
      </c>
      <c r="Q112" s="544">
        <v>3</v>
      </c>
      <c r="R112" s="544">
        <v>4</v>
      </c>
      <c r="S112" s="544">
        <v>1</v>
      </c>
      <c r="T112" s="544">
        <v>2</v>
      </c>
      <c r="U112" s="544">
        <v>3</v>
      </c>
      <c r="V112" s="544">
        <v>1</v>
      </c>
      <c r="W112" s="544">
        <v>2</v>
      </c>
      <c r="X112" s="544">
        <v>1</v>
      </c>
      <c r="Y112" s="544" t="s">
        <v>934</v>
      </c>
    </row>
    <row r="113" spans="3:25" x14ac:dyDescent="0.3">
      <c r="C113" s="88" t="str">
        <f>'G-1 All Habitats'!B108</f>
        <v>Coastal saltmarsh - Saltmarshes and saline reedbeds</v>
      </c>
      <c r="D113" s="544" t="s">
        <v>934</v>
      </c>
      <c r="E113" s="544" t="s">
        <v>934</v>
      </c>
      <c r="F113" s="544" t="s">
        <v>934</v>
      </c>
      <c r="G113" s="544" t="s">
        <v>934</v>
      </c>
      <c r="H113" s="544" t="s">
        <v>934</v>
      </c>
      <c r="I113" s="544" t="s">
        <v>934</v>
      </c>
      <c r="J113" s="544" t="s">
        <v>934</v>
      </c>
      <c r="K113" s="544" t="s">
        <v>934</v>
      </c>
      <c r="L113" s="544" t="s">
        <v>934</v>
      </c>
      <c r="M113" s="544" t="s">
        <v>934</v>
      </c>
      <c r="N113" s="544" t="s">
        <v>934</v>
      </c>
      <c r="O113" s="544">
        <v>2</v>
      </c>
      <c r="P113" s="544">
        <v>6</v>
      </c>
      <c r="Q113" s="544">
        <v>10</v>
      </c>
      <c r="R113" s="544">
        <v>20</v>
      </c>
      <c r="S113" s="544">
        <v>4</v>
      </c>
      <c r="T113" s="544">
        <v>8</v>
      </c>
      <c r="U113" s="544">
        <v>18</v>
      </c>
      <c r="V113" s="544">
        <v>4</v>
      </c>
      <c r="W113" s="544">
        <v>14</v>
      </c>
      <c r="X113" s="544">
        <v>10</v>
      </c>
      <c r="Y113" s="544" t="s">
        <v>934</v>
      </c>
    </row>
    <row r="114" spans="3:25" x14ac:dyDescent="0.3">
      <c r="C114" s="88" t="str">
        <f>'G-1 All Habitats'!B109</f>
        <v>Coastal saltmarsh - Artificial saltmarshes and saline reedbeds</v>
      </c>
      <c r="D114" s="544" t="s">
        <v>934</v>
      </c>
      <c r="E114" s="544" t="s">
        <v>934</v>
      </c>
      <c r="F114" s="544" t="s">
        <v>934</v>
      </c>
      <c r="G114" s="544" t="s">
        <v>934</v>
      </c>
      <c r="H114" s="544" t="s">
        <v>934</v>
      </c>
      <c r="I114" s="544" t="s">
        <v>934</v>
      </c>
      <c r="J114" s="544" t="s">
        <v>934</v>
      </c>
      <c r="K114" s="544" t="s">
        <v>934</v>
      </c>
      <c r="L114" s="544" t="s">
        <v>934</v>
      </c>
      <c r="M114" s="544" t="s">
        <v>934</v>
      </c>
      <c r="N114" s="544" t="s">
        <v>934</v>
      </c>
      <c r="O114" s="544">
        <v>2</v>
      </c>
      <c r="P114" s="544">
        <v>6</v>
      </c>
      <c r="Q114" s="544">
        <v>10</v>
      </c>
      <c r="R114" s="544">
        <v>20</v>
      </c>
      <c r="S114" s="544">
        <v>4</v>
      </c>
      <c r="T114" s="544">
        <v>8</v>
      </c>
      <c r="U114" s="544">
        <v>18</v>
      </c>
      <c r="V114" s="544">
        <v>4</v>
      </c>
      <c r="W114" s="544">
        <v>14</v>
      </c>
      <c r="X114" s="544">
        <v>10</v>
      </c>
      <c r="Y114" s="544" t="s">
        <v>934</v>
      </c>
    </row>
    <row r="115" spans="3:25" x14ac:dyDescent="0.3">
      <c r="C115" s="88" t="str">
        <f>'G-1 All Habitats'!B113</f>
        <v>Intertidal sediment - Littoral seagrass</v>
      </c>
      <c r="D115" s="544" t="s">
        <v>934</v>
      </c>
      <c r="E115" s="544" t="s">
        <v>934</v>
      </c>
      <c r="F115" s="544" t="s">
        <v>934</v>
      </c>
      <c r="G115" s="544" t="s">
        <v>934</v>
      </c>
      <c r="H115" s="544" t="s">
        <v>934</v>
      </c>
      <c r="I115" s="544" t="s">
        <v>934</v>
      </c>
      <c r="J115" s="544" t="s">
        <v>934</v>
      </c>
      <c r="K115" s="544" t="s">
        <v>934</v>
      </c>
      <c r="L115" s="544" t="s">
        <v>934</v>
      </c>
      <c r="M115" s="544" t="s">
        <v>934</v>
      </c>
      <c r="N115" s="544" t="s">
        <v>934</v>
      </c>
      <c r="O115" s="544">
        <v>3</v>
      </c>
      <c r="P115" s="544">
        <v>13</v>
      </c>
      <c r="Q115" s="544">
        <v>23</v>
      </c>
      <c r="R115" s="544">
        <v>0</v>
      </c>
      <c r="S115" s="544">
        <v>10</v>
      </c>
      <c r="T115" s="544">
        <v>20</v>
      </c>
      <c r="U115" s="544">
        <v>30</v>
      </c>
      <c r="V115" s="544">
        <v>10</v>
      </c>
      <c r="W115" s="544">
        <v>20</v>
      </c>
      <c r="X115" s="544">
        <v>10</v>
      </c>
      <c r="Y115" s="544" t="s">
        <v>934</v>
      </c>
    </row>
    <row r="116" spans="3:25" x14ac:dyDescent="0.3">
      <c r="C116" s="88" t="str">
        <f>'G-1 All Habitats'!B114</f>
        <v>Intertidal sediment - Littoral seagrass on peat, clay or chalk</v>
      </c>
      <c r="D116" s="544" t="s">
        <v>934</v>
      </c>
      <c r="E116" s="544" t="s">
        <v>934</v>
      </c>
      <c r="F116" s="544" t="s">
        <v>934</v>
      </c>
      <c r="G116" s="544" t="s">
        <v>934</v>
      </c>
      <c r="H116" s="544" t="s">
        <v>934</v>
      </c>
      <c r="I116" s="544" t="s">
        <v>934</v>
      </c>
      <c r="J116" s="544" t="s">
        <v>934</v>
      </c>
      <c r="K116" s="544" t="s">
        <v>934</v>
      </c>
      <c r="L116" s="544" t="s">
        <v>934</v>
      </c>
      <c r="M116" s="544" t="s">
        <v>934</v>
      </c>
      <c r="N116" s="544" t="s">
        <v>934</v>
      </c>
      <c r="O116" s="544">
        <v>2</v>
      </c>
      <c r="P116" s="544">
        <v>4</v>
      </c>
      <c r="Q116" s="544">
        <v>7</v>
      </c>
      <c r="R116" s="544">
        <v>0</v>
      </c>
      <c r="S116" s="544">
        <v>2</v>
      </c>
      <c r="T116" s="544">
        <v>3</v>
      </c>
      <c r="U116" s="544">
        <v>8</v>
      </c>
      <c r="V116" s="544">
        <v>3</v>
      </c>
      <c r="W116" s="544">
        <v>6</v>
      </c>
      <c r="X116" s="544">
        <v>3</v>
      </c>
      <c r="Y116" s="544" t="s">
        <v>934</v>
      </c>
    </row>
    <row r="117" spans="3:25" x14ac:dyDescent="0.3">
      <c r="C117" s="88" t="str">
        <f>'G-1 All Habitats'!B115</f>
        <v>Intertidal sediment - Littoral biogenic reefs - Mussels</v>
      </c>
      <c r="D117" s="544" t="s">
        <v>934</v>
      </c>
      <c r="E117" s="544" t="s">
        <v>934</v>
      </c>
      <c r="F117" s="544" t="s">
        <v>934</v>
      </c>
      <c r="G117" s="544" t="s">
        <v>934</v>
      </c>
      <c r="H117" s="544" t="s">
        <v>934</v>
      </c>
      <c r="I117" s="544" t="s">
        <v>934</v>
      </c>
      <c r="J117" s="544" t="s">
        <v>934</v>
      </c>
      <c r="K117" s="544" t="s">
        <v>934</v>
      </c>
      <c r="L117" s="544" t="s">
        <v>934</v>
      </c>
      <c r="M117" s="544" t="s">
        <v>934</v>
      </c>
      <c r="N117" s="544" t="s">
        <v>934</v>
      </c>
      <c r="O117" s="544">
        <v>2</v>
      </c>
      <c r="P117" s="544">
        <v>4</v>
      </c>
      <c r="Q117" s="544">
        <v>7</v>
      </c>
      <c r="R117" s="544">
        <v>10</v>
      </c>
      <c r="S117" s="544">
        <v>2</v>
      </c>
      <c r="T117" s="544">
        <v>3</v>
      </c>
      <c r="U117" s="544">
        <v>8</v>
      </c>
      <c r="V117" s="544">
        <v>3</v>
      </c>
      <c r="W117" s="544">
        <v>6</v>
      </c>
      <c r="X117" s="544">
        <v>3</v>
      </c>
      <c r="Y117" s="544" t="s">
        <v>934</v>
      </c>
    </row>
    <row r="118" spans="3:25" x14ac:dyDescent="0.3">
      <c r="C118" s="88" t="str">
        <f>'G-1 All Habitats'!B116</f>
        <v>Intertidal sediment - Littoral biogenic reefs - Sabellaria</v>
      </c>
      <c r="D118" s="544" t="s">
        <v>934</v>
      </c>
      <c r="E118" s="544" t="s">
        <v>934</v>
      </c>
      <c r="F118" s="544" t="s">
        <v>934</v>
      </c>
      <c r="G118" s="544" t="s">
        <v>934</v>
      </c>
      <c r="H118" s="544" t="s">
        <v>934</v>
      </c>
      <c r="I118" s="544" t="s">
        <v>934</v>
      </c>
      <c r="J118" s="544" t="s">
        <v>934</v>
      </c>
      <c r="K118" s="544" t="s">
        <v>934</v>
      </c>
      <c r="L118" s="544" t="s">
        <v>934</v>
      </c>
      <c r="M118" s="544" t="s">
        <v>934</v>
      </c>
      <c r="N118" s="544" t="s">
        <v>934</v>
      </c>
      <c r="O118" s="544">
        <v>2</v>
      </c>
      <c r="P118" s="544">
        <v>4</v>
      </c>
      <c r="Q118" s="544">
        <v>7</v>
      </c>
      <c r="R118" s="544">
        <v>10</v>
      </c>
      <c r="S118" s="544">
        <v>2</v>
      </c>
      <c r="T118" s="544">
        <v>3</v>
      </c>
      <c r="U118" s="544">
        <v>8</v>
      </c>
      <c r="V118" s="544">
        <v>3</v>
      </c>
      <c r="W118" s="544">
        <v>6</v>
      </c>
      <c r="X118" s="544">
        <v>3</v>
      </c>
      <c r="Y118" s="544" t="s">
        <v>934</v>
      </c>
    </row>
    <row r="119" spans="3:25" x14ac:dyDescent="0.3">
      <c r="C119" s="88" t="str">
        <f>'G-1 All Habitats'!B117</f>
        <v>Intertidal sediment - Features of littoral sediment</v>
      </c>
      <c r="D119" s="544" t="s">
        <v>934</v>
      </c>
      <c r="E119" s="544" t="s">
        <v>934</v>
      </c>
      <c r="F119" s="544" t="s">
        <v>934</v>
      </c>
      <c r="G119" s="544" t="s">
        <v>934</v>
      </c>
      <c r="H119" s="544" t="s">
        <v>934</v>
      </c>
      <c r="I119" s="544" t="s">
        <v>934</v>
      </c>
      <c r="J119" s="544" t="s">
        <v>934</v>
      </c>
      <c r="K119" s="544" t="s">
        <v>934</v>
      </c>
      <c r="L119" s="544" t="s">
        <v>934</v>
      </c>
      <c r="M119" s="544" t="s">
        <v>934</v>
      </c>
      <c r="N119" s="544" t="s">
        <v>934</v>
      </c>
      <c r="O119" s="544">
        <v>1</v>
      </c>
      <c r="P119" s="544">
        <v>2</v>
      </c>
      <c r="Q119" s="544">
        <v>3</v>
      </c>
      <c r="R119" s="544">
        <v>5</v>
      </c>
      <c r="S119" s="544">
        <v>1</v>
      </c>
      <c r="T119" s="544">
        <v>2</v>
      </c>
      <c r="U119" s="544">
        <v>4</v>
      </c>
      <c r="V119" s="544">
        <v>1</v>
      </c>
      <c r="W119" s="544">
        <v>3</v>
      </c>
      <c r="X119" s="544">
        <v>2</v>
      </c>
      <c r="Y119" s="544" t="s">
        <v>934</v>
      </c>
    </row>
    <row r="120" spans="3:25" x14ac:dyDescent="0.3">
      <c r="C120" s="88" t="str">
        <f>'G-1 All Habitats'!B118</f>
        <v>Intertidal sediment - Artificial littoral coarse sediment</v>
      </c>
      <c r="D120" s="544" t="s">
        <v>934</v>
      </c>
      <c r="E120" s="544" t="s">
        <v>934</v>
      </c>
      <c r="F120" s="544" t="s">
        <v>934</v>
      </c>
      <c r="G120" s="544" t="s">
        <v>934</v>
      </c>
      <c r="H120" s="544" t="s">
        <v>934</v>
      </c>
      <c r="I120" s="544" t="s">
        <v>934</v>
      </c>
      <c r="J120" s="544" t="s">
        <v>934</v>
      </c>
      <c r="K120" s="544" t="s">
        <v>934</v>
      </c>
      <c r="L120" s="544" t="s">
        <v>934</v>
      </c>
      <c r="M120" s="544" t="s">
        <v>934</v>
      </c>
      <c r="N120" s="544" t="s">
        <v>934</v>
      </c>
      <c r="O120" s="544">
        <v>1</v>
      </c>
      <c r="P120" s="544">
        <v>2</v>
      </c>
      <c r="Q120" s="544">
        <v>3</v>
      </c>
      <c r="R120" s="544">
        <v>4</v>
      </c>
      <c r="S120" s="544">
        <v>1</v>
      </c>
      <c r="T120" s="544">
        <v>2</v>
      </c>
      <c r="U120" s="544">
        <v>3</v>
      </c>
      <c r="V120" s="544">
        <v>1</v>
      </c>
      <c r="W120" s="544">
        <v>2</v>
      </c>
      <c r="X120" s="544">
        <v>1</v>
      </c>
      <c r="Y120" s="544" t="s">
        <v>934</v>
      </c>
    </row>
    <row r="121" spans="3:25" x14ac:dyDescent="0.3">
      <c r="C121" s="88" t="str">
        <f>'G-1 All Habitats'!B119</f>
        <v>Intertidal sediment - Artificial littoral mud</v>
      </c>
      <c r="D121" s="544" t="s">
        <v>934</v>
      </c>
      <c r="E121" s="544" t="s">
        <v>934</v>
      </c>
      <c r="F121" s="544" t="s">
        <v>934</v>
      </c>
      <c r="G121" s="544" t="s">
        <v>934</v>
      </c>
      <c r="H121" s="544" t="s">
        <v>934</v>
      </c>
      <c r="I121" s="544" t="s">
        <v>934</v>
      </c>
      <c r="J121" s="544" t="s">
        <v>934</v>
      </c>
      <c r="K121" s="544" t="s">
        <v>934</v>
      </c>
      <c r="L121" s="544" t="s">
        <v>934</v>
      </c>
      <c r="M121" s="544" t="s">
        <v>934</v>
      </c>
      <c r="N121" s="544" t="s">
        <v>934</v>
      </c>
      <c r="O121" s="544">
        <v>2</v>
      </c>
      <c r="P121" s="544">
        <v>4</v>
      </c>
      <c r="Q121" s="544">
        <v>6</v>
      </c>
      <c r="R121" s="544">
        <v>8</v>
      </c>
      <c r="S121" s="544">
        <v>2</v>
      </c>
      <c r="T121" s="544">
        <v>4</v>
      </c>
      <c r="U121" s="544">
        <v>6</v>
      </c>
      <c r="V121" s="544">
        <v>2</v>
      </c>
      <c r="W121" s="544">
        <v>4</v>
      </c>
      <c r="X121" s="544">
        <v>2</v>
      </c>
      <c r="Y121" s="544" t="s">
        <v>934</v>
      </c>
    </row>
    <row r="122" spans="3:25" x14ac:dyDescent="0.3">
      <c r="C122" s="88" t="str">
        <f>'G-1 All Habitats'!B120</f>
        <v>Intertidal sediment - Artificial littoral sand</v>
      </c>
      <c r="D122" s="544" t="s">
        <v>934</v>
      </c>
      <c r="E122" s="544" t="s">
        <v>934</v>
      </c>
      <c r="F122" s="544" t="s">
        <v>934</v>
      </c>
      <c r="G122" s="544" t="s">
        <v>934</v>
      </c>
      <c r="H122" s="544" t="s">
        <v>934</v>
      </c>
      <c r="I122" s="544" t="s">
        <v>934</v>
      </c>
      <c r="J122" s="544" t="s">
        <v>934</v>
      </c>
      <c r="K122" s="544" t="s">
        <v>934</v>
      </c>
      <c r="L122" s="544" t="s">
        <v>934</v>
      </c>
      <c r="M122" s="544" t="s">
        <v>934</v>
      </c>
      <c r="N122" s="544" t="s">
        <v>934</v>
      </c>
      <c r="O122" s="544">
        <v>2</v>
      </c>
      <c r="P122" s="544">
        <v>3</v>
      </c>
      <c r="Q122" s="544">
        <v>4</v>
      </c>
      <c r="R122" s="544">
        <v>6</v>
      </c>
      <c r="S122" s="544">
        <v>1</v>
      </c>
      <c r="T122" s="544">
        <v>2</v>
      </c>
      <c r="U122" s="544">
        <v>4</v>
      </c>
      <c r="V122" s="544">
        <v>1</v>
      </c>
      <c r="W122" s="544">
        <v>3</v>
      </c>
      <c r="X122" s="544">
        <v>2</v>
      </c>
      <c r="Y122" s="544" t="s">
        <v>934</v>
      </c>
    </row>
    <row r="123" spans="3:25" x14ac:dyDescent="0.3">
      <c r="C123" s="88" t="str">
        <f>'G-1 All Habitats'!B121</f>
        <v>Intertidal sediment - Artificial littoral muddy sand</v>
      </c>
      <c r="D123" s="544" t="s">
        <v>934</v>
      </c>
      <c r="E123" s="544" t="s">
        <v>934</v>
      </c>
      <c r="F123" s="544" t="s">
        <v>934</v>
      </c>
      <c r="G123" s="544" t="s">
        <v>934</v>
      </c>
      <c r="H123" s="544" t="s">
        <v>934</v>
      </c>
      <c r="I123" s="544" t="s">
        <v>934</v>
      </c>
      <c r="J123" s="544" t="s">
        <v>934</v>
      </c>
      <c r="K123" s="544" t="s">
        <v>934</v>
      </c>
      <c r="L123" s="544" t="s">
        <v>934</v>
      </c>
      <c r="M123" s="544" t="s">
        <v>934</v>
      </c>
      <c r="N123" s="544" t="s">
        <v>934</v>
      </c>
      <c r="O123" s="544">
        <v>2</v>
      </c>
      <c r="P123" s="544">
        <v>4</v>
      </c>
      <c r="Q123" s="544">
        <v>6</v>
      </c>
      <c r="R123" s="544">
        <v>8</v>
      </c>
      <c r="S123" s="544">
        <v>2</v>
      </c>
      <c r="T123" s="544">
        <v>4</v>
      </c>
      <c r="U123" s="544">
        <v>6</v>
      </c>
      <c r="V123" s="544">
        <v>2</v>
      </c>
      <c r="W123" s="544">
        <v>4</v>
      </c>
      <c r="X123" s="544">
        <v>2</v>
      </c>
      <c r="Y123" s="544" t="s">
        <v>934</v>
      </c>
    </row>
    <row r="124" spans="3:25" x14ac:dyDescent="0.3">
      <c r="C124" s="88" t="str">
        <f>'G-1 All Habitats'!B122</f>
        <v>Intertidal sediment - Artificial littoral mixed sediments</v>
      </c>
      <c r="D124" s="544" t="s">
        <v>934</v>
      </c>
      <c r="E124" s="544" t="s">
        <v>934</v>
      </c>
      <c r="F124" s="544" t="s">
        <v>934</v>
      </c>
      <c r="G124" s="544" t="s">
        <v>934</v>
      </c>
      <c r="H124" s="544" t="s">
        <v>934</v>
      </c>
      <c r="I124" s="544" t="s">
        <v>934</v>
      </c>
      <c r="J124" s="544" t="s">
        <v>934</v>
      </c>
      <c r="K124" s="544" t="s">
        <v>934</v>
      </c>
      <c r="L124" s="544" t="s">
        <v>934</v>
      </c>
      <c r="M124" s="544" t="s">
        <v>934</v>
      </c>
      <c r="N124" s="544" t="s">
        <v>934</v>
      </c>
      <c r="O124" s="544">
        <v>1</v>
      </c>
      <c r="P124" s="544">
        <v>2</v>
      </c>
      <c r="Q124" s="544">
        <v>3</v>
      </c>
      <c r="R124" s="544">
        <v>4</v>
      </c>
      <c r="S124" s="544">
        <v>1</v>
      </c>
      <c r="T124" s="544">
        <v>2</v>
      </c>
      <c r="U124" s="544">
        <v>3</v>
      </c>
      <c r="V124" s="544">
        <v>1</v>
      </c>
      <c r="W124" s="544">
        <v>2</v>
      </c>
      <c r="X124" s="544">
        <v>1</v>
      </c>
      <c r="Y124" s="544" t="s">
        <v>934</v>
      </c>
    </row>
    <row r="125" spans="3:25" x14ac:dyDescent="0.3">
      <c r="C125" s="88" t="str">
        <f>'G-1 All Habitats'!B123</f>
        <v>Intertidal sediment - Artificial littoral seagrass</v>
      </c>
      <c r="D125" s="544" t="s">
        <v>934</v>
      </c>
      <c r="E125" s="544" t="s">
        <v>934</v>
      </c>
      <c r="F125" s="544" t="s">
        <v>934</v>
      </c>
      <c r="G125" s="544" t="s">
        <v>934</v>
      </c>
      <c r="H125" s="544" t="s">
        <v>934</v>
      </c>
      <c r="I125" s="544" t="s">
        <v>934</v>
      </c>
      <c r="J125" s="544" t="s">
        <v>934</v>
      </c>
      <c r="K125" s="544" t="s">
        <v>934</v>
      </c>
      <c r="L125" s="544" t="s">
        <v>934</v>
      </c>
      <c r="M125" s="544" t="s">
        <v>934</v>
      </c>
      <c r="N125" s="544" t="s">
        <v>934</v>
      </c>
      <c r="O125" s="544">
        <v>3</v>
      </c>
      <c r="P125" s="544">
        <v>13</v>
      </c>
      <c r="Q125" s="544">
        <v>23</v>
      </c>
      <c r="R125" s="544" t="s">
        <v>935</v>
      </c>
      <c r="S125" s="544">
        <v>10</v>
      </c>
      <c r="T125" s="544">
        <v>20</v>
      </c>
      <c r="U125" s="544">
        <v>30</v>
      </c>
      <c r="V125" s="544">
        <v>10</v>
      </c>
      <c r="W125" s="544">
        <v>20</v>
      </c>
      <c r="X125" s="544">
        <v>10</v>
      </c>
      <c r="Y125" s="544" t="s">
        <v>934</v>
      </c>
    </row>
    <row r="126" spans="3:25" x14ac:dyDescent="0.3">
      <c r="C126" s="88" t="str">
        <f>'G-1 All Habitats'!B124</f>
        <v>Intertidal sediment - Artificial littoral biogenic reefs</v>
      </c>
      <c r="D126" s="544" t="s">
        <v>934</v>
      </c>
      <c r="E126" s="544" t="s">
        <v>934</v>
      </c>
      <c r="F126" s="544" t="s">
        <v>934</v>
      </c>
      <c r="G126" s="544" t="s">
        <v>934</v>
      </c>
      <c r="H126" s="544" t="s">
        <v>934</v>
      </c>
      <c r="I126" s="544" t="s">
        <v>934</v>
      </c>
      <c r="J126" s="544" t="s">
        <v>934</v>
      </c>
      <c r="K126" s="544" t="s">
        <v>934</v>
      </c>
      <c r="L126" s="544" t="s">
        <v>934</v>
      </c>
      <c r="M126" s="544" t="s">
        <v>934</v>
      </c>
      <c r="N126" s="544" t="s">
        <v>934</v>
      </c>
      <c r="O126" s="544">
        <v>2</v>
      </c>
      <c r="P126" s="544">
        <v>4</v>
      </c>
      <c r="Q126" s="544">
        <v>7</v>
      </c>
      <c r="R126" s="544">
        <v>10</v>
      </c>
      <c r="S126" s="544">
        <v>2</v>
      </c>
      <c r="T126" s="544">
        <v>3</v>
      </c>
      <c r="U126" s="544">
        <v>8</v>
      </c>
      <c r="V126" s="544">
        <v>3</v>
      </c>
      <c r="W126" s="544">
        <v>6</v>
      </c>
      <c r="X126" s="544">
        <v>3</v>
      </c>
      <c r="Y126" s="544" t="s">
        <v>934</v>
      </c>
    </row>
    <row r="127" spans="3:25" x14ac:dyDescent="0.3">
      <c r="C127" s="88" t="str">
        <f>'G-1 All Habitats'!B125</f>
        <v>Intertidal sediment - Littoral sand</v>
      </c>
      <c r="D127" s="544" t="s">
        <v>934</v>
      </c>
      <c r="E127" s="544" t="s">
        <v>934</v>
      </c>
      <c r="F127" s="544" t="s">
        <v>934</v>
      </c>
      <c r="G127" s="544" t="s">
        <v>934</v>
      </c>
      <c r="H127" s="544" t="s">
        <v>934</v>
      </c>
      <c r="I127" s="544" t="s">
        <v>934</v>
      </c>
      <c r="J127" s="544" t="s">
        <v>934</v>
      </c>
      <c r="K127" s="544" t="s">
        <v>934</v>
      </c>
      <c r="L127" s="544" t="s">
        <v>934</v>
      </c>
      <c r="M127" s="544" t="s">
        <v>934</v>
      </c>
      <c r="N127" s="544" t="s">
        <v>934</v>
      </c>
      <c r="O127" s="544">
        <v>2</v>
      </c>
      <c r="P127" s="544">
        <v>3</v>
      </c>
      <c r="Q127" s="544">
        <v>4</v>
      </c>
      <c r="R127" s="544">
        <v>6</v>
      </c>
      <c r="S127" s="544">
        <v>1</v>
      </c>
      <c r="T127" s="544">
        <v>2</v>
      </c>
      <c r="U127" s="544">
        <v>4</v>
      </c>
      <c r="V127" s="544">
        <v>1</v>
      </c>
      <c r="W127" s="544">
        <v>3</v>
      </c>
      <c r="X127" s="544">
        <v>2</v>
      </c>
      <c r="Y127" s="544" t="s">
        <v>934</v>
      </c>
    </row>
    <row r="128" spans="3:25" x14ac:dyDescent="0.3">
      <c r="C128" s="88" t="str">
        <f>'G-1 All Habitats'!B126</f>
        <v>Intertidal sediment - Littoral muddy sand</v>
      </c>
      <c r="D128" s="544" t="s">
        <v>934</v>
      </c>
      <c r="E128" s="544" t="s">
        <v>934</v>
      </c>
      <c r="F128" s="544" t="s">
        <v>934</v>
      </c>
      <c r="G128" s="544" t="s">
        <v>934</v>
      </c>
      <c r="H128" s="544" t="s">
        <v>934</v>
      </c>
      <c r="I128" s="544" t="s">
        <v>934</v>
      </c>
      <c r="J128" s="544" t="s">
        <v>934</v>
      </c>
      <c r="K128" s="544" t="s">
        <v>934</v>
      </c>
      <c r="L128" s="544" t="s">
        <v>934</v>
      </c>
      <c r="M128" s="544" t="s">
        <v>934</v>
      </c>
      <c r="N128" s="544" t="s">
        <v>934</v>
      </c>
      <c r="O128" s="544">
        <v>2</v>
      </c>
      <c r="P128" s="544">
        <v>4</v>
      </c>
      <c r="Q128" s="544">
        <v>6</v>
      </c>
      <c r="R128" s="544">
        <v>8</v>
      </c>
      <c r="S128" s="544">
        <v>2</v>
      </c>
      <c r="T128" s="544">
        <v>4</v>
      </c>
      <c r="U128" s="544">
        <v>6</v>
      </c>
      <c r="V128" s="544">
        <v>2</v>
      </c>
      <c r="W128" s="544">
        <v>4</v>
      </c>
      <c r="X128" s="544">
        <v>2</v>
      </c>
      <c r="Y128" s="544" t="s">
        <v>934</v>
      </c>
    </row>
    <row r="129" spans="3:25" x14ac:dyDescent="0.3">
      <c r="C129" s="88" t="str">
        <f>'G-1 All Habitats'!B127</f>
        <v>Intertidal Hard Structures - Artificial hard structures</v>
      </c>
      <c r="D129" s="544" t="s">
        <v>934</v>
      </c>
      <c r="E129" s="544" t="s">
        <v>934</v>
      </c>
      <c r="F129" s="544" t="s">
        <v>934</v>
      </c>
      <c r="G129" s="544" t="s">
        <v>934</v>
      </c>
      <c r="H129" s="544" t="s">
        <v>934</v>
      </c>
      <c r="I129" s="544" t="s">
        <v>934</v>
      </c>
      <c r="J129" s="544" t="s">
        <v>934</v>
      </c>
      <c r="K129" s="544" t="s">
        <v>934</v>
      </c>
      <c r="L129" s="544" t="s">
        <v>934</v>
      </c>
      <c r="M129" s="544" t="s">
        <v>934</v>
      </c>
      <c r="N129" s="544" t="s">
        <v>934</v>
      </c>
      <c r="O129" s="544">
        <v>6</v>
      </c>
      <c r="P129" s="544">
        <v>4</v>
      </c>
      <c r="Q129" s="544">
        <v>10</v>
      </c>
      <c r="R129" s="544">
        <v>2</v>
      </c>
      <c r="S129" s="544">
        <v>2</v>
      </c>
      <c r="T129" s="544">
        <v>8</v>
      </c>
      <c r="U129" s="544">
        <v>6</v>
      </c>
      <c r="V129" s="544">
        <v>2</v>
      </c>
      <c r="W129" s="544">
        <v>12</v>
      </c>
      <c r="X129" s="544">
        <v>4</v>
      </c>
      <c r="Y129" s="544" t="s">
        <v>934</v>
      </c>
    </row>
    <row r="130" spans="3:25" x14ac:dyDescent="0.3">
      <c r="C130" s="88" t="str">
        <f>'G-1 All Habitats'!B128</f>
        <v>Intertidal Hard Structures - Artificial features of hard structures</v>
      </c>
      <c r="D130" s="544" t="s">
        <v>934</v>
      </c>
      <c r="E130" s="544" t="s">
        <v>934</v>
      </c>
      <c r="F130" s="544" t="s">
        <v>934</v>
      </c>
      <c r="G130" s="544" t="s">
        <v>934</v>
      </c>
      <c r="H130" s="544" t="s">
        <v>934</v>
      </c>
      <c r="I130" s="544" t="s">
        <v>934</v>
      </c>
      <c r="J130" s="544" t="s">
        <v>934</v>
      </c>
      <c r="K130" s="544" t="s">
        <v>934</v>
      </c>
      <c r="L130" s="544" t="s">
        <v>934</v>
      </c>
      <c r="M130" s="544" t="s">
        <v>934</v>
      </c>
      <c r="N130" s="544" t="s">
        <v>934</v>
      </c>
      <c r="O130" s="544">
        <v>5</v>
      </c>
      <c r="P130" s="544">
        <v>4</v>
      </c>
      <c r="Q130" s="544">
        <v>9</v>
      </c>
      <c r="R130" s="544">
        <v>2</v>
      </c>
      <c r="S130" s="544">
        <v>2</v>
      </c>
      <c r="T130" s="544">
        <v>7</v>
      </c>
      <c r="U130" s="544">
        <v>6</v>
      </c>
      <c r="V130" s="544">
        <v>2</v>
      </c>
      <c r="W130" s="544">
        <v>11</v>
      </c>
      <c r="X130" s="544">
        <v>4</v>
      </c>
      <c r="Y130" s="544" t="s">
        <v>934</v>
      </c>
    </row>
    <row r="131" spans="3:25" x14ac:dyDescent="0.3">
      <c r="C131" s="88" t="str">
        <f>'G-1 All Habitats'!B129</f>
        <v>Intertidal Hard Structures - Artificial hard structures with Integrated Greening of Grey Infrastructure (IGGI)</v>
      </c>
      <c r="D131" s="544" t="s">
        <v>934</v>
      </c>
      <c r="E131" s="544" t="s">
        <v>934</v>
      </c>
      <c r="F131" s="544" t="s">
        <v>934</v>
      </c>
      <c r="G131" s="544" t="s">
        <v>934</v>
      </c>
      <c r="H131" s="544" t="s">
        <v>934</v>
      </c>
      <c r="I131" s="544" t="s">
        <v>934</v>
      </c>
      <c r="J131" s="544" t="s">
        <v>934</v>
      </c>
      <c r="K131" s="544" t="s">
        <v>934</v>
      </c>
      <c r="L131" s="544" t="s">
        <v>934</v>
      </c>
      <c r="M131" s="544" t="s">
        <v>934</v>
      </c>
      <c r="N131" s="544" t="s">
        <v>934</v>
      </c>
      <c r="O131" s="544">
        <v>5</v>
      </c>
      <c r="P131" s="544">
        <v>4</v>
      </c>
      <c r="Q131" s="544">
        <v>9</v>
      </c>
      <c r="R131" s="544">
        <v>2</v>
      </c>
      <c r="S131" s="544">
        <v>2</v>
      </c>
      <c r="T131" s="544">
        <v>7</v>
      </c>
      <c r="U131" s="544">
        <v>6</v>
      </c>
      <c r="V131" s="544">
        <v>2</v>
      </c>
      <c r="W131" s="544">
        <v>11</v>
      </c>
      <c r="X131" s="544">
        <v>4</v>
      </c>
      <c r="Y131" s="544" t="s">
        <v>934</v>
      </c>
    </row>
    <row r="132" spans="3:25" x14ac:dyDescent="0.3">
      <c r="C132" s="42"/>
    </row>
    <row r="133" spans="3:25" x14ac:dyDescent="0.3">
      <c r="C133" s="42"/>
    </row>
    <row r="144" spans="3:25" x14ac:dyDescent="0.3"/>
    <row r="276" x14ac:dyDescent="0.3"/>
    <row r="277" x14ac:dyDescent="0.3"/>
    <row r="278" x14ac:dyDescent="0.3"/>
    <row r="279" x14ac:dyDescent="0.3"/>
    <row r="280" x14ac:dyDescent="0.3"/>
    <row r="281" x14ac:dyDescent="0.3"/>
    <row r="282" x14ac:dyDescent="0.3"/>
    <row r="283" x14ac:dyDescent="0.3"/>
    <row r="284" x14ac:dyDescent="0.3"/>
    <row r="285" x14ac:dyDescent="0.3"/>
    <row r="286" x14ac:dyDescent="0.3"/>
    <row r="287" x14ac:dyDescent="0.3"/>
    <row r="288" x14ac:dyDescent="0.3"/>
    <row r="289" x14ac:dyDescent="0.3"/>
    <row r="290" x14ac:dyDescent="0.3"/>
    <row r="291" x14ac:dyDescent="0.3"/>
    <row r="292" x14ac:dyDescent="0.3"/>
  </sheetData>
  <sheetProtection algorithmName="SHA-512" hashValue="ceMHt66DiNPa57IZkWUWEP5VAkbXLizhG0pIIBNGvHXrgyE8NGOr81SWC9yeKnIM4sjUYD1buhjVERALN+0lJA==" saltValue="ridfCE3TR+ofgaGK5NrG+g==" spinCount="100000" sheet="1" objects="1" scenarios="1"/>
  <customSheetViews>
    <customSheetView guid="{8BDA793C-C9C5-4FC6-A0A5-F1109F6D4F22}" state="hidden">
      <pane xSplit="3" ySplit="4" topLeftCell="D127" activePane="bottomRight" state="frozen"/>
      <selection pane="bottomRight" activeCell="D14" sqref="D14"/>
    </customSheetView>
  </customSheetViews>
  <pageMargins left="0.7" right="0.7" top="0.75" bottom="0.75" header="0.3" footer="0.3"/>
  <pageSetup paperSize="9" orientation="portrait" horizontalDpi="90" verticalDpi="9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0000000}">
          <x14:formula1>
            <xm:f>'G-4 Temporal multipliers'!$A$4:$A$37</xm:f>
          </x14:formula1>
          <xm:sqref>D5:Y131</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5">
    <tabColor rgb="FFFFC000"/>
  </sheetPr>
  <dimension ref="A1:BW20"/>
  <sheetViews>
    <sheetView workbookViewId="0">
      <selection sqref="A1:B1"/>
    </sheetView>
  </sheetViews>
  <sheetFormatPr defaultColWidth="0" defaultRowHeight="14" zeroHeight="1" x14ac:dyDescent="0.3"/>
  <cols>
    <col min="1" max="1" width="8.26953125" style="31" customWidth="1"/>
    <col min="2" max="2" width="66.453125" style="31" bestFit="1" customWidth="1"/>
    <col min="3" max="3" width="17.26953125" style="31" customWidth="1"/>
    <col min="4" max="4" width="17.1796875" style="31" customWidth="1"/>
    <col min="5" max="5" width="10.26953125" style="31" customWidth="1"/>
    <col min="6" max="6" width="9.54296875" style="31" hidden="1" customWidth="1"/>
    <col min="7" max="7" width="12.1796875" style="31" customWidth="1"/>
    <col min="8" max="8" width="10" style="31" hidden="1" customWidth="1"/>
    <col min="9" max="9" width="10.26953125" style="31" customWidth="1"/>
    <col min="10" max="10" width="8.1796875" style="31" hidden="1" customWidth="1"/>
    <col min="11" max="11" width="12.1796875" style="31" customWidth="1"/>
    <col min="12" max="12" width="7.81640625" style="31" hidden="1" customWidth="1"/>
    <col min="13" max="13" width="10.7265625" style="31" customWidth="1"/>
    <col min="14" max="14" width="10.54296875" style="31" hidden="1" customWidth="1"/>
    <col min="15" max="15" width="10.7265625" style="31" hidden="1" customWidth="1"/>
    <col min="16" max="16" width="4.1796875" style="31" hidden="1" customWidth="1"/>
    <col min="17" max="17" width="12.54296875" style="190" customWidth="1"/>
    <col min="18" max="18" width="4.1796875" style="31" hidden="1" customWidth="1"/>
    <col min="19" max="19" width="6.81640625" style="31" bestFit="1" customWidth="1"/>
    <col min="20" max="31" width="5.26953125" style="31" bestFit="1" customWidth="1"/>
    <col min="32" max="32" width="12.7265625" style="31" customWidth="1"/>
    <col min="33" max="33" width="15.7265625" style="31" customWidth="1"/>
    <col min="34" max="34" width="32.1796875" style="31" customWidth="1"/>
    <col min="35" max="35" width="8.81640625" style="31" customWidth="1"/>
    <col min="36" max="37" width="14" style="31" customWidth="1"/>
    <col min="38" max="38" width="8.81640625" style="31" customWidth="1"/>
    <col min="39" max="39" width="66.453125" style="31" bestFit="1" customWidth="1"/>
    <col min="40" max="40" width="14.54296875" style="31" bestFit="1" customWidth="1"/>
    <col min="41" max="52" width="16.81640625" style="31" bestFit="1" customWidth="1"/>
    <col min="53" max="56" width="8.81640625" style="31" customWidth="1"/>
    <col min="57" max="61" width="8.81640625" style="31" hidden="1" customWidth="1"/>
    <col min="62" max="62" width="12.453125" style="175" hidden="1" customWidth="1"/>
    <col min="63" max="64" width="12" style="31" hidden="1" customWidth="1"/>
    <col min="65" max="75" width="0" style="31" hidden="1" customWidth="1"/>
    <col min="76" max="16384" width="8.81640625" style="31" hidden="1"/>
  </cols>
  <sheetData>
    <row r="1" spans="1:64" ht="66.75" customHeight="1" thickBot="1" x14ac:dyDescent="0.45">
      <c r="A1" s="1053"/>
      <c r="B1" s="1056"/>
      <c r="C1" s="1060" t="s">
        <v>871</v>
      </c>
      <c r="D1" s="1061"/>
      <c r="E1" s="1057" t="s">
        <v>962</v>
      </c>
      <c r="F1" s="1058"/>
      <c r="G1" s="1058"/>
      <c r="H1" s="1058"/>
      <c r="I1" s="1059"/>
      <c r="J1" s="1057" t="s">
        <v>963</v>
      </c>
      <c r="K1" s="1058"/>
      <c r="L1" s="1058"/>
      <c r="M1" s="1058"/>
      <c r="N1" s="1058"/>
      <c r="O1" s="1058"/>
      <c r="P1" s="1058"/>
      <c r="Q1" s="1058"/>
      <c r="R1" s="1059"/>
      <c r="S1" s="1057" t="s">
        <v>964</v>
      </c>
      <c r="T1" s="1058"/>
      <c r="U1" s="1058"/>
      <c r="V1" s="1058"/>
      <c r="W1" s="1058"/>
      <c r="X1" s="1058"/>
      <c r="Y1" s="1058"/>
      <c r="Z1" s="1058"/>
      <c r="AA1" s="1058"/>
      <c r="AB1" s="1058"/>
      <c r="AC1" s="1058"/>
      <c r="AD1" s="1058"/>
      <c r="AE1" s="1059"/>
      <c r="AF1" s="1060" t="s">
        <v>291</v>
      </c>
      <c r="AG1" s="1061"/>
      <c r="AH1" s="970" t="s">
        <v>965</v>
      </c>
      <c r="AJ1" s="1060" t="s">
        <v>966</v>
      </c>
      <c r="AK1" s="1061"/>
      <c r="AM1" s="174" t="s">
        <v>967</v>
      </c>
      <c r="AN1" s="1064" t="s">
        <v>968</v>
      </c>
      <c r="AO1" s="1064"/>
      <c r="AP1" s="1064"/>
      <c r="AQ1" s="1064"/>
      <c r="AR1" s="1064"/>
      <c r="AS1" s="1064"/>
      <c r="AT1" s="1064"/>
      <c r="AU1" s="1064"/>
      <c r="AV1" s="1064"/>
      <c r="AW1" s="1064"/>
      <c r="AX1" s="1064"/>
      <c r="AY1" s="1064"/>
      <c r="AZ1" s="1064"/>
      <c r="BK1" s="1062" t="s">
        <v>969</v>
      </c>
      <c r="BL1" s="1063"/>
    </row>
    <row r="2" spans="1:64" ht="182.25" customHeight="1" thickBot="1" x14ac:dyDescent="0.35">
      <c r="B2" s="176" t="s">
        <v>820</v>
      </c>
      <c r="C2" s="173" t="s">
        <v>970</v>
      </c>
      <c r="D2" s="177" t="s">
        <v>971</v>
      </c>
      <c r="E2" s="173" t="s">
        <v>242</v>
      </c>
      <c r="F2" s="178"/>
      <c r="G2" s="178" t="s">
        <v>20</v>
      </c>
      <c r="H2" s="178"/>
      <c r="I2" s="177" t="s">
        <v>21</v>
      </c>
      <c r="J2" s="173"/>
      <c r="K2" s="178" t="s">
        <v>952</v>
      </c>
      <c r="L2" s="178"/>
      <c r="M2" s="178" t="s">
        <v>954</v>
      </c>
      <c r="N2" s="178"/>
      <c r="O2" s="178"/>
      <c r="P2" s="178"/>
      <c r="Q2" s="177" t="s">
        <v>959</v>
      </c>
      <c r="R2" s="179"/>
      <c r="S2" s="180" t="s">
        <v>107</v>
      </c>
      <c r="T2" s="181" t="s">
        <v>108</v>
      </c>
      <c r="U2" s="181" t="s">
        <v>972</v>
      </c>
      <c r="V2" s="181" t="s">
        <v>973</v>
      </c>
      <c r="W2" s="181" t="s">
        <v>111</v>
      </c>
      <c r="X2" s="181" t="s">
        <v>974</v>
      </c>
      <c r="Y2" s="181" t="s">
        <v>113</v>
      </c>
      <c r="Z2" s="181" t="s">
        <v>975</v>
      </c>
      <c r="AA2" s="181" t="s">
        <v>976</v>
      </c>
      <c r="AB2" s="181" t="s">
        <v>116</v>
      </c>
      <c r="AC2" s="181" t="s">
        <v>117</v>
      </c>
      <c r="AD2" s="181" t="s">
        <v>977</v>
      </c>
      <c r="AE2" s="181" t="s">
        <v>119</v>
      </c>
      <c r="AF2" s="173" t="s">
        <v>359</v>
      </c>
      <c r="AG2" s="177" t="s">
        <v>360</v>
      </c>
      <c r="AH2" s="997"/>
      <c r="AJ2" s="173" t="s">
        <v>978</v>
      </c>
      <c r="AK2" s="177" t="s">
        <v>979</v>
      </c>
      <c r="AM2" s="182" t="s">
        <v>980</v>
      </c>
      <c r="AN2" s="165" t="s">
        <v>107</v>
      </c>
      <c r="AO2" s="165" t="s">
        <v>108</v>
      </c>
      <c r="AP2" s="165" t="s">
        <v>109</v>
      </c>
      <c r="AQ2" s="165" t="s">
        <v>973</v>
      </c>
      <c r="AR2" s="165" t="s">
        <v>111</v>
      </c>
      <c r="AS2" s="165" t="s">
        <v>974</v>
      </c>
      <c r="AT2" s="165" t="s">
        <v>113</v>
      </c>
      <c r="AU2" s="165" t="s">
        <v>975</v>
      </c>
      <c r="AV2" s="165" t="s">
        <v>976</v>
      </c>
      <c r="AW2" s="165" t="s">
        <v>116</v>
      </c>
      <c r="AX2" s="165" t="s">
        <v>117</v>
      </c>
      <c r="AY2" s="165" t="s">
        <v>118</v>
      </c>
      <c r="AZ2" s="165" t="s">
        <v>119</v>
      </c>
      <c r="BK2" s="89" t="s">
        <v>981</v>
      </c>
      <c r="BL2" s="89" t="s">
        <v>982</v>
      </c>
    </row>
    <row r="3" spans="1:64" ht="30.75" customHeight="1" thickBot="1" x14ac:dyDescent="0.35">
      <c r="A3" s="183"/>
      <c r="B3" s="638" t="s">
        <v>107</v>
      </c>
      <c r="C3" s="596" t="s">
        <v>375</v>
      </c>
      <c r="D3" s="597">
        <v>8</v>
      </c>
      <c r="E3" s="598">
        <v>1</v>
      </c>
      <c r="F3" s="599"/>
      <c r="G3" s="599">
        <v>10</v>
      </c>
      <c r="H3" s="599"/>
      <c r="I3" s="597">
        <v>20</v>
      </c>
      <c r="J3" s="598"/>
      <c r="K3" s="599">
        <v>6</v>
      </c>
      <c r="L3" s="599"/>
      <c r="M3" s="599">
        <v>10</v>
      </c>
      <c r="N3" s="599"/>
      <c r="O3" s="599"/>
      <c r="P3" s="599"/>
      <c r="Q3" s="597">
        <v>4</v>
      </c>
      <c r="R3" s="600"/>
      <c r="S3" s="601" t="s">
        <v>983</v>
      </c>
      <c r="T3" s="602" t="s">
        <v>983</v>
      </c>
      <c r="U3" s="602" t="s">
        <v>983</v>
      </c>
      <c r="V3" s="602" t="s">
        <v>983</v>
      </c>
      <c r="W3" s="602" t="s">
        <v>983</v>
      </c>
      <c r="X3" s="602" t="s">
        <v>983</v>
      </c>
      <c r="Y3" s="602" t="s">
        <v>983</v>
      </c>
      <c r="Z3" s="602" t="s">
        <v>983</v>
      </c>
      <c r="AA3" s="602" t="s">
        <v>983</v>
      </c>
      <c r="AB3" s="602" t="s">
        <v>983</v>
      </c>
      <c r="AC3" s="602" t="s">
        <v>983</v>
      </c>
      <c r="AD3" s="602" t="s">
        <v>983</v>
      </c>
      <c r="AE3" s="603" t="s">
        <v>983</v>
      </c>
      <c r="AF3" s="604" t="s">
        <v>156</v>
      </c>
      <c r="AG3" s="605" t="s">
        <v>156</v>
      </c>
      <c r="AH3" s="606" t="s">
        <v>984</v>
      </c>
      <c r="AJ3" s="185" t="s">
        <v>21</v>
      </c>
      <c r="AK3" s="614">
        <v>3</v>
      </c>
      <c r="AM3" s="184" t="s">
        <v>107</v>
      </c>
      <c r="AN3" s="602" t="s">
        <v>985</v>
      </c>
      <c r="AO3" s="617" t="s">
        <v>986</v>
      </c>
      <c r="AP3" s="602" t="s">
        <v>986</v>
      </c>
      <c r="AQ3" s="602" t="s">
        <v>986</v>
      </c>
      <c r="AR3" s="602" t="s">
        <v>986</v>
      </c>
      <c r="AS3" s="602" t="s">
        <v>986</v>
      </c>
      <c r="AT3" s="602" t="s">
        <v>986</v>
      </c>
      <c r="AU3" s="602" t="s">
        <v>986</v>
      </c>
      <c r="AV3" s="602" t="s">
        <v>986</v>
      </c>
      <c r="AW3" s="602" t="s">
        <v>986</v>
      </c>
      <c r="AX3" s="602" t="s">
        <v>986</v>
      </c>
      <c r="AY3" s="602" t="s">
        <v>986</v>
      </c>
      <c r="AZ3" s="602" t="s">
        <v>986</v>
      </c>
      <c r="BJ3" s="175" t="s">
        <v>981</v>
      </c>
      <c r="BK3" s="186" t="s">
        <v>21</v>
      </c>
      <c r="BL3" s="186" t="s">
        <v>242</v>
      </c>
    </row>
    <row r="4" spans="1:64" ht="30.75" customHeight="1" thickBot="1" x14ac:dyDescent="0.35">
      <c r="A4" s="183"/>
      <c r="B4" s="639" t="s">
        <v>108</v>
      </c>
      <c r="C4" s="537" t="s">
        <v>153</v>
      </c>
      <c r="D4" s="605">
        <v>6</v>
      </c>
      <c r="E4" s="604">
        <v>1</v>
      </c>
      <c r="F4" s="544"/>
      <c r="G4" s="544">
        <v>10</v>
      </c>
      <c r="H4" s="544"/>
      <c r="I4" s="605">
        <v>20</v>
      </c>
      <c r="J4" s="604"/>
      <c r="K4" s="544">
        <v>6</v>
      </c>
      <c r="L4" s="544"/>
      <c r="M4" s="544">
        <v>10</v>
      </c>
      <c r="N4" s="544"/>
      <c r="O4" s="544"/>
      <c r="P4" s="544"/>
      <c r="Q4" s="605">
        <v>4</v>
      </c>
      <c r="R4" s="607"/>
      <c r="S4" s="604">
        <v>5</v>
      </c>
      <c r="T4" s="602" t="s">
        <v>983</v>
      </c>
      <c r="U4" s="602" t="s">
        <v>983</v>
      </c>
      <c r="V4" s="602" t="s">
        <v>983</v>
      </c>
      <c r="W4" s="602" t="s">
        <v>983</v>
      </c>
      <c r="X4" s="602" t="s">
        <v>983</v>
      </c>
      <c r="Y4" s="602" t="s">
        <v>983</v>
      </c>
      <c r="Z4" s="602" t="s">
        <v>983</v>
      </c>
      <c r="AA4" s="602" t="s">
        <v>983</v>
      </c>
      <c r="AB4" s="602" t="s">
        <v>983</v>
      </c>
      <c r="AC4" s="602" t="s">
        <v>983</v>
      </c>
      <c r="AD4" s="602" t="s">
        <v>983</v>
      </c>
      <c r="AE4" s="603" t="s">
        <v>983</v>
      </c>
      <c r="AF4" s="604" t="s">
        <v>156</v>
      </c>
      <c r="AG4" s="605" t="s">
        <v>156</v>
      </c>
      <c r="AH4" s="608" t="s">
        <v>987</v>
      </c>
      <c r="AJ4" s="87" t="s">
        <v>20</v>
      </c>
      <c r="AK4" s="615">
        <v>2</v>
      </c>
      <c r="AM4" s="184" t="s">
        <v>108</v>
      </c>
      <c r="AN4" s="602" t="s">
        <v>988</v>
      </c>
      <c r="AO4" s="617" t="s">
        <v>989</v>
      </c>
      <c r="AP4" s="602" t="s">
        <v>989</v>
      </c>
      <c r="AQ4" s="602" t="s">
        <v>989</v>
      </c>
      <c r="AR4" s="602" t="s">
        <v>986</v>
      </c>
      <c r="AS4" s="602" t="s">
        <v>986</v>
      </c>
      <c r="AT4" s="602" t="s">
        <v>986</v>
      </c>
      <c r="AU4" s="602" t="s">
        <v>986</v>
      </c>
      <c r="AV4" s="602" t="s">
        <v>986</v>
      </c>
      <c r="AW4" s="602" t="s">
        <v>986</v>
      </c>
      <c r="AX4" s="602" t="s">
        <v>986</v>
      </c>
      <c r="AY4" s="602" t="s">
        <v>986</v>
      </c>
      <c r="AZ4" s="602" t="s">
        <v>986</v>
      </c>
      <c r="BJ4" s="175" t="s">
        <v>981</v>
      </c>
      <c r="BK4" s="186" t="s">
        <v>20</v>
      </c>
    </row>
    <row r="5" spans="1:64" ht="30.75" customHeight="1" thickBot="1" x14ac:dyDescent="0.35">
      <c r="A5" s="183"/>
      <c r="B5" s="639" t="s">
        <v>109</v>
      </c>
      <c r="C5" s="537" t="s">
        <v>153</v>
      </c>
      <c r="D5" s="605">
        <v>6</v>
      </c>
      <c r="E5" s="604">
        <v>1</v>
      </c>
      <c r="F5" s="544"/>
      <c r="G5" s="544">
        <v>5</v>
      </c>
      <c r="H5" s="544"/>
      <c r="I5" s="605">
        <v>12</v>
      </c>
      <c r="J5" s="604"/>
      <c r="K5" s="544">
        <v>3</v>
      </c>
      <c r="L5" s="544"/>
      <c r="M5" s="544">
        <v>5</v>
      </c>
      <c r="N5" s="544"/>
      <c r="O5" s="544"/>
      <c r="P5" s="544"/>
      <c r="Q5" s="605">
        <v>2</v>
      </c>
      <c r="R5" s="607"/>
      <c r="S5" s="604">
        <v>10</v>
      </c>
      <c r="T5" s="602" t="s">
        <v>983</v>
      </c>
      <c r="U5" s="602" t="s">
        <v>983</v>
      </c>
      <c r="V5" s="602" t="s">
        <v>983</v>
      </c>
      <c r="W5" s="602" t="s">
        <v>983</v>
      </c>
      <c r="X5" s="602" t="s">
        <v>983</v>
      </c>
      <c r="Y5" s="602" t="s">
        <v>983</v>
      </c>
      <c r="Z5" s="602" t="s">
        <v>983</v>
      </c>
      <c r="AA5" s="602" t="s">
        <v>983</v>
      </c>
      <c r="AB5" s="602" t="s">
        <v>983</v>
      </c>
      <c r="AC5" s="602" t="s">
        <v>983</v>
      </c>
      <c r="AD5" s="602" t="s">
        <v>983</v>
      </c>
      <c r="AE5" s="603" t="s">
        <v>983</v>
      </c>
      <c r="AF5" s="604" t="s">
        <v>156</v>
      </c>
      <c r="AG5" s="605" t="s">
        <v>156</v>
      </c>
      <c r="AH5" s="608" t="s">
        <v>987</v>
      </c>
      <c r="AJ5" s="89" t="s">
        <v>242</v>
      </c>
      <c r="AK5" s="616">
        <v>1</v>
      </c>
      <c r="AM5" s="184" t="s">
        <v>109</v>
      </c>
      <c r="AN5" s="602" t="s">
        <v>988</v>
      </c>
      <c r="AO5" s="617" t="s">
        <v>989</v>
      </c>
      <c r="AP5" s="602" t="s">
        <v>989</v>
      </c>
      <c r="AQ5" s="602" t="s">
        <v>989</v>
      </c>
      <c r="AR5" s="602" t="s">
        <v>986</v>
      </c>
      <c r="AS5" s="602" t="s">
        <v>986</v>
      </c>
      <c r="AT5" s="602" t="s">
        <v>986</v>
      </c>
      <c r="AU5" s="602" t="s">
        <v>986</v>
      </c>
      <c r="AV5" s="602" t="s">
        <v>986</v>
      </c>
      <c r="AW5" s="602" t="s">
        <v>986</v>
      </c>
      <c r="AX5" s="602" t="s">
        <v>986</v>
      </c>
      <c r="AY5" s="602" t="s">
        <v>986</v>
      </c>
      <c r="AZ5" s="602" t="s">
        <v>986</v>
      </c>
      <c r="BJ5" s="175" t="s">
        <v>981</v>
      </c>
      <c r="BK5" s="186" t="s">
        <v>242</v>
      </c>
    </row>
    <row r="6" spans="1:64" ht="30.75" customHeight="1" thickBot="1" x14ac:dyDescent="0.35">
      <c r="A6" s="183"/>
      <c r="B6" s="639" t="s">
        <v>110</v>
      </c>
      <c r="C6" s="537" t="s">
        <v>153</v>
      </c>
      <c r="D6" s="605">
        <v>6</v>
      </c>
      <c r="E6" s="604">
        <v>1</v>
      </c>
      <c r="F6" s="544"/>
      <c r="G6" s="544">
        <v>10</v>
      </c>
      <c r="H6" s="544"/>
      <c r="I6" s="605">
        <v>20</v>
      </c>
      <c r="J6" s="604"/>
      <c r="K6" s="544">
        <v>6</v>
      </c>
      <c r="L6" s="544"/>
      <c r="M6" s="544">
        <v>10</v>
      </c>
      <c r="N6" s="544"/>
      <c r="O6" s="544"/>
      <c r="P6" s="544"/>
      <c r="Q6" s="605">
        <v>4</v>
      </c>
      <c r="R6" s="607"/>
      <c r="S6" s="604">
        <v>5</v>
      </c>
      <c r="T6" s="602" t="s">
        <v>983</v>
      </c>
      <c r="U6" s="602" t="s">
        <v>983</v>
      </c>
      <c r="V6" s="602" t="s">
        <v>983</v>
      </c>
      <c r="W6" s="602" t="s">
        <v>983</v>
      </c>
      <c r="X6" s="602" t="s">
        <v>983</v>
      </c>
      <c r="Y6" s="602" t="s">
        <v>983</v>
      </c>
      <c r="Z6" s="602" t="s">
        <v>983</v>
      </c>
      <c r="AA6" s="602" t="s">
        <v>983</v>
      </c>
      <c r="AB6" s="602" t="s">
        <v>983</v>
      </c>
      <c r="AC6" s="602" t="s">
        <v>983</v>
      </c>
      <c r="AD6" s="602" t="s">
        <v>983</v>
      </c>
      <c r="AE6" s="603" t="s">
        <v>983</v>
      </c>
      <c r="AF6" s="604" t="s">
        <v>156</v>
      </c>
      <c r="AG6" s="605" t="s">
        <v>156</v>
      </c>
      <c r="AH6" s="608" t="s">
        <v>987</v>
      </c>
      <c r="AM6" s="184" t="s">
        <v>110</v>
      </c>
      <c r="AN6" s="617" t="s">
        <v>988</v>
      </c>
      <c r="AO6" s="617" t="s">
        <v>989</v>
      </c>
      <c r="AP6" s="617" t="s">
        <v>989</v>
      </c>
      <c r="AQ6" s="617" t="s">
        <v>989</v>
      </c>
      <c r="AR6" s="617" t="s">
        <v>986</v>
      </c>
      <c r="AS6" s="617" t="s">
        <v>986</v>
      </c>
      <c r="AT6" s="617" t="s">
        <v>986</v>
      </c>
      <c r="AU6" s="617" t="s">
        <v>986</v>
      </c>
      <c r="AV6" s="617" t="s">
        <v>986</v>
      </c>
      <c r="AW6" s="617" t="s">
        <v>986</v>
      </c>
      <c r="AX6" s="617" t="s">
        <v>986</v>
      </c>
      <c r="AY6" s="617" t="s">
        <v>986</v>
      </c>
      <c r="AZ6" s="617" t="s">
        <v>986</v>
      </c>
      <c r="BJ6" s="175" t="s">
        <v>981</v>
      </c>
    </row>
    <row r="7" spans="1:64" ht="42.5" thickBot="1" x14ac:dyDescent="0.35">
      <c r="A7" s="183"/>
      <c r="B7" s="639" t="s">
        <v>111</v>
      </c>
      <c r="C7" s="537" t="s">
        <v>23</v>
      </c>
      <c r="D7" s="605">
        <v>4</v>
      </c>
      <c r="E7" s="604">
        <v>1</v>
      </c>
      <c r="F7" s="544"/>
      <c r="G7" s="544">
        <v>5</v>
      </c>
      <c r="H7" s="544"/>
      <c r="I7" s="605">
        <v>12</v>
      </c>
      <c r="J7" s="604"/>
      <c r="K7" s="544">
        <v>3</v>
      </c>
      <c r="L7" s="544"/>
      <c r="M7" s="544">
        <v>5</v>
      </c>
      <c r="N7" s="544"/>
      <c r="O7" s="544"/>
      <c r="P7" s="544"/>
      <c r="Q7" s="605">
        <v>2</v>
      </c>
      <c r="R7" s="607"/>
      <c r="S7" s="604">
        <v>10</v>
      </c>
      <c r="T7" s="544">
        <v>10</v>
      </c>
      <c r="U7" s="544">
        <v>5</v>
      </c>
      <c r="V7" s="544">
        <v>10</v>
      </c>
      <c r="W7" s="602" t="s">
        <v>983</v>
      </c>
      <c r="X7" s="602" t="s">
        <v>983</v>
      </c>
      <c r="Y7" s="602" t="s">
        <v>983</v>
      </c>
      <c r="Z7" s="602" t="s">
        <v>983</v>
      </c>
      <c r="AA7" s="602" t="s">
        <v>983</v>
      </c>
      <c r="AB7" s="602" t="s">
        <v>983</v>
      </c>
      <c r="AC7" s="602" t="s">
        <v>983</v>
      </c>
      <c r="AD7" s="602" t="s">
        <v>983</v>
      </c>
      <c r="AE7" s="603" t="s">
        <v>983</v>
      </c>
      <c r="AF7" s="604" t="s">
        <v>156</v>
      </c>
      <c r="AG7" s="605" t="s">
        <v>156</v>
      </c>
      <c r="AH7" s="608" t="s">
        <v>987</v>
      </c>
      <c r="AM7" s="184" t="s">
        <v>111</v>
      </c>
      <c r="AN7" s="617" t="s">
        <v>990</v>
      </c>
      <c r="AO7" s="520" t="s">
        <v>991</v>
      </c>
      <c r="AP7" s="520" t="s">
        <v>991</v>
      </c>
      <c r="AQ7" s="520" t="s">
        <v>991</v>
      </c>
      <c r="AR7" s="520" t="s">
        <v>992</v>
      </c>
      <c r="AS7" s="520" t="s">
        <v>992</v>
      </c>
      <c r="AT7" s="520" t="s">
        <v>992</v>
      </c>
      <c r="AU7" s="520" t="s">
        <v>993</v>
      </c>
      <c r="AV7" s="520" t="s">
        <v>993</v>
      </c>
      <c r="AW7" s="617" t="s">
        <v>986</v>
      </c>
      <c r="AX7" s="617" t="s">
        <v>986</v>
      </c>
      <c r="AY7" s="617" t="s">
        <v>986</v>
      </c>
      <c r="AZ7" s="617" t="s">
        <v>986</v>
      </c>
      <c r="BJ7" s="175" t="s">
        <v>981</v>
      </c>
    </row>
    <row r="8" spans="1:64" ht="42.5" thickBot="1" x14ac:dyDescent="0.35">
      <c r="A8" s="183"/>
      <c r="B8" s="639" t="s">
        <v>112</v>
      </c>
      <c r="C8" s="537" t="s">
        <v>23</v>
      </c>
      <c r="D8" s="605">
        <v>4</v>
      </c>
      <c r="E8" s="604">
        <v>1</v>
      </c>
      <c r="F8" s="544"/>
      <c r="G8" s="544">
        <v>5</v>
      </c>
      <c r="H8" s="544"/>
      <c r="I8" s="605">
        <v>12</v>
      </c>
      <c r="J8" s="604"/>
      <c r="K8" s="544">
        <v>3</v>
      </c>
      <c r="L8" s="544"/>
      <c r="M8" s="544">
        <v>5</v>
      </c>
      <c r="N8" s="544"/>
      <c r="O8" s="544"/>
      <c r="P8" s="544"/>
      <c r="Q8" s="605">
        <v>2</v>
      </c>
      <c r="R8" s="607"/>
      <c r="S8" s="604">
        <v>10</v>
      </c>
      <c r="T8" s="544">
        <v>10</v>
      </c>
      <c r="U8" s="544">
        <v>5</v>
      </c>
      <c r="V8" s="544">
        <v>10</v>
      </c>
      <c r="W8" s="602" t="s">
        <v>983</v>
      </c>
      <c r="X8" s="602" t="s">
        <v>983</v>
      </c>
      <c r="Y8" s="602" t="s">
        <v>983</v>
      </c>
      <c r="Z8" s="602" t="s">
        <v>983</v>
      </c>
      <c r="AA8" s="602" t="s">
        <v>983</v>
      </c>
      <c r="AB8" s="602" t="s">
        <v>983</v>
      </c>
      <c r="AC8" s="602" t="s">
        <v>983</v>
      </c>
      <c r="AD8" s="602" t="s">
        <v>983</v>
      </c>
      <c r="AE8" s="603" t="s">
        <v>983</v>
      </c>
      <c r="AF8" s="604" t="s">
        <v>156</v>
      </c>
      <c r="AG8" s="605" t="s">
        <v>156</v>
      </c>
      <c r="AH8" s="608" t="s">
        <v>987</v>
      </c>
      <c r="AM8" s="184" t="s">
        <v>112</v>
      </c>
      <c r="AN8" s="617" t="s">
        <v>990</v>
      </c>
      <c r="AO8" s="520" t="s">
        <v>991</v>
      </c>
      <c r="AP8" s="520" t="s">
        <v>991</v>
      </c>
      <c r="AQ8" s="520" t="s">
        <v>991</v>
      </c>
      <c r="AR8" s="520" t="s">
        <v>992</v>
      </c>
      <c r="AS8" s="520" t="s">
        <v>992</v>
      </c>
      <c r="AT8" s="520" t="s">
        <v>992</v>
      </c>
      <c r="AU8" s="520" t="s">
        <v>993</v>
      </c>
      <c r="AV8" s="520" t="s">
        <v>993</v>
      </c>
      <c r="AW8" s="617" t="s">
        <v>986</v>
      </c>
      <c r="AX8" s="617" t="s">
        <v>986</v>
      </c>
      <c r="AY8" s="617" t="s">
        <v>986</v>
      </c>
      <c r="AZ8" s="617" t="s">
        <v>986</v>
      </c>
      <c r="BJ8" s="175" t="s">
        <v>981</v>
      </c>
    </row>
    <row r="9" spans="1:64" ht="14.5" thickBot="1" x14ac:dyDescent="0.35">
      <c r="B9" s="639" t="s">
        <v>113</v>
      </c>
      <c r="C9" s="537" t="s">
        <v>23</v>
      </c>
      <c r="D9" s="605">
        <v>4</v>
      </c>
      <c r="E9" s="604">
        <v>1</v>
      </c>
      <c r="F9" s="544"/>
      <c r="G9" s="544">
        <v>10</v>
      </c>
      <c r="H9" s="544"/>
      <c r="I9" s="605">
        <v>20</v>
      </c>
      <c r="J9" s="604"/>
      <c r="K9" s="544">
        <v>6</v>
      </c>
      <c r="L9" s="544"/>
      <c r="M9" s="544">
        <v>10</v>
      </c>
      <c r="N9" s="544"/>
      <c r="O9" s="544"/>
      <c r="P9" s="544"/>
      <c r="Q9" s="605">
        <v>4</v>
      </c>
      <c r="R9" s="607"/>
      <c r="S9" s="604">
        <v>5</v>
      </c>
      <c r="T9" s="544">
        <v>5</v>
      </c>
      <c r="U9" s="544">
        <v>5</v>
      </c>
      <c r="V9" s="544">
        <v>5</v>
      </c>
      <c r="W9" s="602" t="s">
        <v>983</v>
      </c>
      <c r="X9" s="602" t="s">
        <v>983</v>
      </c>
      <c r="Y9" s="602" t="s">
        <v>983</v>
      </c>
      <c r="Z9" s="602" t="s">
        <v>983</v>
      </c>
      <c r="AA9" s="602" t="s">
        <v>983</v>
      </c>
      <c r="AB9" s="602" t="s">
        <v>983</v>
      </c>
      <c r="AC9" s="602" t="s">
        <v>983</v>
      </c>
      <c r="AD9" s="602" t="s">
        <v>983</v>
      </c>
      <c r="AE9" s="603" t="s">
        <v>983</v>
      </c>
      <c r="AF9" s="604" t="s">
        <v>156</v>
      </c>
      <c r="AG9" s="605" t="s">
        <v>156</v>
      </c>
      <c r="AH9" s="608" t="s">
        <v>987</v>
      </c>
      <c r="AM9" s="184" t="s">
        <v>113</v>
      </c>
      <c r="AN9" s="617" t="s">
        <v>990</v>
      </c>
      <c r="AO9" s="520" t="s">
        <v>991</v>
      </c>
      <c r="AP9" s="520" t="s">
        <v>991</v>
      </c>
      <c r="AQ9" s="520" t="s">
        <v>991</v>
      </c>
      <c r="AR9" s="520" t="s">
        <v>992</v>
      </c>
      <c r="AS9" s="520" t="s">
        <v>992</v>
      </c>
      <c r="AT9" s="520" t="s">
        <v>992</v>
      </c>
      <c r="AU9" s="520" t="s">
        <v>992</v>
      </c>
      <c r="AV9" s="520" t="s">
        <v>992</v>
      </c>
      <c r="AW9" s="617" t="s">
        <v>986</v>
      </c>
      <c r="AX9" s="617" t="s">
        <v>986</v>
      </c>
      <c r="AY9" s="617" t="s">
        <v>986</v>
      </c>
      <c r="AZ9" s="617" t="s">
        <v>986</v>
      </c>
      <c r="BJ9" s="175" t="s">
        <v>981</v>
      </c>
    </row>
    <row r="10" spans="1:64" ht="42.5" thickBot="1" x14ac:dyDescent="0.35">
      <c r="B10" s="639" t="s">
        <v>114</v>
      </c>
      <c r="C10" s="537" t="s">
        <v>23</v>
      </c>
      <c r="D10" s="605">
        <v>4</v>
      </c>
      <c r="E10" s="604">
        <v>5</v>
      </c>
      <c r="F10" s="544"/>
      <c r="G10" s="544">
        <v>20</v>
      </c>
      <c r="H10" s="544"/>
      <c r="I10" s="605" t="s">
        <v>935</v>
      </c>
      <c r="J10" s="604"/>
      <c r="K10" s="544">
        <v>20</v>
      </c>
      <c r="L10" s="544"/>
      <c r="M10" s="544">
        <v>30</v>
      </c>
      <c r="N10" s="544"/>
      <c r="O10" s="544"/>
      <c r="P10" s="544"/>
      <c r="Q10" s="605">
        <v>10</v>
      </c>
      <c r="R10" s="607"/>
      <c r="S10" s="604">
        <v>12</v>
      </c>
      <c r="T10" s="544">
        <v>12</v>
      </c>
      <c r="U10" s="602" t="s">
        <v>983</v>
      </c>
      <c r="V10" s="544">
        <v>12</v>
      </c>
      <c r="W10" s="602" t="s">
        <v>983</v>
      </c>
      <c r="X10" s="602" t="s">
        <v>983</v>
      </c>
      <c r="Y10" s="602" t="s">
        <v>983</v>
      </c>
      <c r="Z10" s="602" t="s">
        <v>983</v>
      </c>
      <c r="AA10" s="602" t="s">
        <v>983</v>
      </c>
      <c r="AB10" s="602" t="s">
        <v>983</v>
      </c>
      <c r="AC10" s="602" t="s">
        <v>983</v>
      </c>
      <c r="AD10" s="602" t="s">
        <v>983</v>
      </c>
      <c r="AE10" s="603" t="s">
        <v>983</v>
      </c>
      <c r="AF10" s="604" t="s">
        <v>156</v>
      </c>
      <c r="AG10" s="605" t="s">
        <v>156</v>
      </c>
      <c r="AH10" s="608" t="s">
        <v>987</v>
      </c>
      <c r="AM10" s="184" t="s">
        <v>975</v>
      </c>
      <c r="AN10" s="617" t="s">
        <v>990</v>
      </c>
      <c r="AO10" s="520" t="s">
        <v>991</v>
      </c>
      <c r="AP10" s="520" t="s">
        <v>993</v>
      </c>
      <c r="AQ10" s="520" t="s">
        <v>991</v>
      </c>
      <c r="AR10" s="520" t="s">
        <v>993</v>
      </c>
      <c r="AS10" s="520" t="s">
        <v>993</v>
      </c>
      <c r="AT10" s="520" t="s">
        <v>992</v>
      </c>
      <c r="AU10" s="520" t="s">
        <v>992</v>
      </c>
      <c r="AV10" s="520" t="s">
        <v>992</v>
      </c>
      <c r="AW10" s="617" t="s">
        <v>986</v>
      </c>
      <c r="AX10" s="617" t="s">
        <v>986</v>
      </c>
      <c r="AY10" s="617" t="s">
        <v>986</v>
      </c>
      <c r="AZ10" s="617" t="s">
        <v>986</v>
      </c>
      <c r="BJ10" s="175" t="s">
        <v>981</v>
      </c>
    </row>
    <row r="11" spans="1:64" ht="42.5" thickBot="1" x14ac:dyDescent="0.35">
      <c r="B11" s="639" t="s">
        <v>115</v>
      </c>
      <c r="C11" s="537" t="s">
        <v>23</v>
      </c>
      <c r="D11" s="605">
        <v>4</v>
      </c>
      <c r="E11" s="604">
        <v>5</v>
      </c>
      <c r="F11" s="544"/>
      <c r="G11" s="544">
        <v>20</v>
      </c>
      <c r="H11" s="544"/>
      <c r="I11" s="605" t="s">
        <v>935</v>
      </c>
      <c r="J11" s="604"/>
      <c r="K11" s="544">
        <v>20</v>
      </c>
      <c r="L11" s="544"/>
      <c r="M11" s="544">
        <v>30</v>
      </c>
      <c r="N11" s="544"/>
      <c r="O11" s="544"/>
      <c r="P11" s="544"/>
      <c r="Q11" s="605">
        <v>10</v>
      </c>
      <c r="R11" s="607"/>
      <c r="S11" s="604">
        <v>12</v>
      </c>
      <c r="T11" s="544">
        <v>12</v>
      </c>
      <c r="U11" s="602" t="s">
        <v>983</v>
      </c>
      <c r="V11" s="544">
        <v>12</v>
      </c>
      <c r="W11" s="602" t="s">
        <v>983</v>
      </c>
      <c r="X11" s="602" t="s">
        <v>983</v>
      </c>
      <c r="Y11" s="602" t="s">
        <v>983</v>
      </c>
      <c r="Z11" s="602" t="s">
        <v>983</v>
      </c>
      <c r="AA11" s="602" t="s">
        <v>983</v>
      </c>
      <c r="AB11" s="602" t="s">
        <v>983</v>
      </c>
      <c r="AC11" s="602" t="s">
        <v>983</v>
      </c>
      <c r="AD11" s="602" t="s">
        <v>983</v>
      </c>
      <c r="AE11" s="603" t="s">
        <v>983</v>
      </c>
      <c r="AF11" s="604" t="s">
        <v>156</v>
      </c>
      <c r="AG11" s="605" t="s">
        <v>156</v>
      </c>
      <c r="AH11" s="608" t="s">
        <v>987</v>
      </c>
      <c r="AM11" s="184" t="s">
        <v>976</v>
      </c>
      <c r="AN11" s="617" t="s">
        <v>990</v>
      </c>
      <c r="AO11" s="520" t="s">
        <v>991</v>
      </c>
      <c r="AP11" s="520" t="s">
        <v>993</v>
      </c>
      <c r="AQ11" s="520" t="s">
        <v>991</v>
      </c>
      <c r="AR11" s="520" t="s">
        <v>993</v>
      </c>
      <c r="AS11" s="520" t="s">
        <v>993</v>
      </c>
      <c r="AT11" s="520" t="s">
        <v>992</v>
      </c>
      <c r="AU11" s="520" t="s">
        <v>992</v>
      </c>
      <c r="AV11" s="520" t="s">
        <v>992</v>
      </c>
      <c r="AW11" s="617" t="s">
        <v>986</v>
      </c>
      <c r="AX11" s="617" t="s">
        <v>986</v>
      </c>
      <c r="AY11" s="617" t="s">
        <v>986</v>
      </c>
      <c r="AZ11" s="617" t="s">
        <v>986</v>
      </c>
      <c r="BJ11" s="175" t="s">
        <v>981</v>
      </c>
    </row>
    <row r="12" spans="1:64" ht="42.5" thickBot="1" x14ac:dyDescent="0.35">
      <c r="B12" s="639" t="s">
        <v>116</v>
      </c>
      <c r="C12" s="537" t="s">
        <v>156</v>
      </c>
      <c r="D12" s="605">
        <v>2</v>
      </c>
      <c r="E12" s="604">
        <v>1</v>
      </c>
      <c r="F12" s="544"/>
      <c r="G12" s="544">
        <v>5</v>
      </c>
      <c r="H12" s="544"/>
      <c r="I12" s="605">
        <v>12</v>
      </c>
      <c r="J12" s="604"/>
      <c r="K12" s="544">
        <v>3</v>
      </c>
      <c r="L12" s="544"/>
      <c r="M12" s="544">
        <v>5</v>
      </c>
      <c r="N12" s="544"/>
      <c r="O12" s="544"/>
      <c r="P12" s="544"/>
      <c r="Q12" s="605">
        <v>2</v>
      </c>
      <c r="R12" s="607"/>
      <c r="S12" s="604">
        <v>10</v>
      </c>
      <c r="T12" s="544">
        <v>10</v>
      </c>
      <c r="U12" s="544">
        <v>5</v>
      </c>
      <c r="V12" s="544">
        <v>10</v>
      </c>
      <c r="W12" s="544">
        <v>5</v>
      </c>
      <c r="X12" s="544">
        <v>6</v>
      </c>
      <c r="Y12" s="544">
        <v>10</v>
      </c>
      <c r="Z12" s="602" t="s">
        <v>983</v>
      </c>
      <c r="AA12" s="602" t="s">
        <v>983</v>
      </c>
      <c r="AB12" s="602" t="s">
        <v>983</v>
      </c>
      <c r="AC12" s="602" t="s">
        <v>983</v>
      </c>
      <c r="AD12" s="602" t="s">
        <v>983</v>
      </c>
      <c r="AE12" s="603" t="s">
        <v>983</v>
      </c>
      <c r="AF12" s="604" t="s">
        <v>156</v>
      </c>
      <c r="AG12" s="605" t="s">
        <v>156</v>
      </c>
      <c r="AH12" s="608" t="s">
        <v>994</v>
      </c>
      <c r="AM12" s="184" t="s">
        <v>116</v>
      </c>
      <c r="AN12" s="617" t="s">
        <v>995</v>
      </c>
      <c r="AO12" s="617" t="s">
        <v>996</v>
      </c>
      <c r="AP12" s="617" t="s">
        <v>996</v>
      </c>
      <c r="AQ12" s="617" t="s">
        <v>996</v>
      </c>
      <c r="AR12" s="617" t="s">
        <v>997</v>
      </c>
      <c r="AS12" s="617" t="s">
        <v>997</v>
      </c>
      <c r="AT12" s="617" t="s">
        <v>997</v>
      </c>
      <c r="AU12" s="520" t="s">
        <v>993</v>
      </c>
      <c r="AV12" s="520" t="s">
        <v>993</v>
      </c>
      <c r="AW12" s="520" t="s">
        <v>998</v>
      </c>
      <c r="AX12" s="520" t="s">
        <v>993</v>
      </c>
      <c r="AY12" s="520" t="s">
        <v>993</v>
      </c>
      <c r="AZ12" s="617" t="s">
        <v>986</v>
      </c>
      <c r="BJ12" s="175" t="s">
        <v>981</v>
      </c>
    </row>
    <row r="13" spans="1:64" ht="42.5" thickBot="1" x14ac:dyDescent="0.35">
      <c r="B13" s="639" t="s">
        <v>117</v>
      </c>
      <c r="C13" s="537" t="s">
        <v>156</v>
      </c>
      <c r="D13" s="605">
        <v>2</v>
      </c>
      <c r="E13" s="604">
        <v>5</v>
      </c>
      <c r="F13" s="544"/>
      <c r="G13" s="544">
        <v>20</v>
      </c>
      <c r="H13" s="544"/>
      <c r="I13" s="605" t="s">
        <v>935</v>
      </c>
      <c r="J13" s="604"/>
      <c r="K13" s="544">
        <v>20</v>
      </c>
      <c r="L13" s="544"/>
      <c r="M13" s="544">
        <v>30</v>
      </c>
      <c r="N13" s="544"/>
      <c r="O13" s="544"/>
      <c r="P13" s="544"/>
      <c r="Q13" s="605">
        <v>10</v>
      </c>
      <c r="R13" s="607"/>
      <c r="S13" s="604">
        <v>12</v>
      </c>
      <c r="T13" s="544">
        <v>12</v>
      </c>
      <c r="U13" s="602" t="s">
        <v>983</v>
      </c>
      <c r="V13" s="544">
        <v>12</v>
      </c>
      <c r="W13" s="602" t="s">
        <v>983</v>
      </c>
      <c r="X13" s="602" t="s">
        <v>983</v>
      </c>
      <c r="Y13" s="544">
        <v>12</v>
      </c>
      <c r="Z13" s="602" t="s">
        <v>983</v>
      </c>
      <c r="AA13" s="602" t="s">
        <v>983</v>
      </c>
      <c r="AB13" s="602" t="s">
        <v>983</v>
      </c>
      <c r="AC13" s="602" t="s">
        <v>983</v>
      </c>
      <c r="AD13" s="602" t="s">
        <v>983</v>
      </c>
      <c r="AE13" s="603" t="s">
        <v>983</v>
      </c>
      <c r="AF13" s="604" t="s">
        <v>156</v>
      </c>
      <c r="AG13" s="605" t="s">
        <v>156</v>
      </c>
      <c r="AH13" s="608" t="s">
        <v>994</v>
      </c>
      <c r="AM13" s="184" t="s">
        <v>117</v>
      </c>
      <c r="AN13" s="617" t="s">
        <v>995</v>
      </c>
      <c r="AO13" s="617" t="s">
        <v>996</v>
      </c>
      <c r="AP13" s="520" t="s">
        <v>993</v>
      </c>
      <c r="AQ13" s="617" t="s">
        <v>996</v>
      </c>
      <c r="AR13" s="520" t="s">
        <v>993</v>
      </c>
      <c r="AS13" s="520" t="s">
        <v>993</v>
      </c>
      <c r="AT13" s="617" t="s">
        <v>997</v>
      </c>
      <c r="AU13" s="520" t="s">
        <v>993</v>
      </c>
      <c r="AV13" s="520" t="s">
        <v>993</v>
      </c>
      <c r="AW13" s="520" t="s">
        <v>993</v>
      </c>
      <c r="AX13" s="520" t="s">
        <v>998</v>
      </c>
      <c r="AY13" s="520" t="s">
        <v>998</v>
      </c>
      <c r="AZ13" s="617" t="s">
        <v>986</v>
      </c>
      <c r="BJ13" s="175" t="s">
        <v>981</v>
      </c>
    </row>
    <row r="14" spans="1:64" ht="42.5" thickBot="1" x14ac:dyDescent="0.35">
      <c r="B14" s="639" t="s">
        <v>118</v>
      </c>
      <c r="C14" s="537" t="s">
        <v>156</v>
      </c>
      <c r="D14" s="605">
        <v>2</v>
      </c>
      <c r="E14" s="604">
        <v>5</v>
      </c>
      <c r="F14" s="544"/>
      <c r="G14" s="544">
        <v>20</v>
      </c>
      <c r="H14" s="544"/>
      <c r="I14" s="605" t="s">
        <v>935</v>
      </c>
      <c r="J14" s="604"/>
      <c r="K14" s="544">
        <v>20</v>
      </c>
      <c r="L14" s="544"/>
      <c r="M14" s="544">
        <v>30</v>
      </c>
      <c r="N14" s="544"/>
      <c r="O14" s="544"/>
      <c r="P14" s="544"/>
      <c r="Q14" s="605">
        <v>10</v>
      </c>
      <c r="R14" s="607"/>
      <c r="S14" s="604">
        <v>12</v>
      </c>
      <c r="T14" s="544">
        <v>12</v>
      </c>
      <c r="U14" s="602" t="s">
        <v>983</v>
      </c>
      <c r="V14" s="544">
        <v>12</v>
      </c>
      <c r="W14" s="602" t="s">
        <v>983</v>
      </c>
      <c r="X14" s="602" t="s">
        <v>983</v>
      </c>
      <c r="Y14" s="544">
        <v>12</v>
      </c>
      <c r="Z14" s="602" t="s">
        <v>983</v>
      </c>
      <c r="AA14" s="602" t="s">
        <v>983</v>
      </c>
      <c r="AB14" s="602" t="s">
        <v>983</v>
      </c>
      <c r="AC14" s="602" t="s">
        <v>983</v>
      </c>
      <c r="AD14" s="602" t="s">
        <v>983</v>
      </c>
      <c r="AE14" s="603" t="s">
        <v>983</v>
      </c>
      <c r="AF14" s="604" t="s">
        <v>156</v>
      </c>
      <c r="AG14" s="605" t="s">
        <v>156</v>
      </c>
      <c r="AH14" s="608" t="s">
        <v>994</v>
      </c>
      <c r="AM14" s="184" t="s">
        <v>118</v>
      </c>
      <c r="AN14" s="617" t="s">
        <v>995</v>
      </c>
      <c r="AO14" s="617" t="s">
        <v>996</v>
      </c>
      <c r="AP14" s="520" t="s">
        <v>993</v>
      </c>
      <c r="AQ14" s="617" t="s">
        <v>996</v>
      </c>
      <c r="AR14" s="520" t="s">
        <v>993</v>
      </c>
      <c r="AS14" s="520" t="s">
        <v>993</v>
      </c>
      <c r="AT14" s="617" t="s">
        <v>997</v>
      </c>
      <c r="AU14" s="520" t="s">
        <v>993</v>
      </c>
      <c r="AV14" s="520" t="s">
        <v>993</v>
      </c>
      <c r="AW14" s="520" t="s">
        <v>993</v>
      </c>
      <c r="AX14" s="520" t="s">
        <v>998</v>
      </c>
      <c r="AY14" s="520" t="s">
        <v>998</v>
      </c>
      <c r="AZ14" s="617" t="s">
        <v>986</v>
      </c>
      <c r="BJ14" s="175" t="s">
        <v>981</v>
      </c>
    </row>
    <row r="15" spans="1:64" ht="42.5" thickBot="1" x14ac:dyDescent="0.35">
      <c r="B15" s="640" t="s">
        <v>119</v>
      </c>
      <c r="C15" s="500" t="s">
        <v>397</v>
      </c>
      <c r="D15" s="595">
        <v>1</v>
      </c>
      <c r="E15" s="609">
        <v>1</v>
      </c>
      <c r="F15" s="526"/>
      <c r="G15" s="526" t="s">
        <v>924</v>
      </c>
      <c r="H15" s="526"/>
      <c r="I15" s="595" t="s">
        <v>924</v>
      </c>
      <c r="J15" s="609"/>
      <c r="K15" s="526" t="s">
        <v>924</v>
      </c>
      <c r="L15" s="526"/>
      <c r="M15" s="526" t="s">
        <v>924</v>
      </c>
      <c r="N15" s="526"/>
      <c r="O15" s="526"/>
      <c r="P15" s="526"/>
      <c r="Q15" s="595" t="s">
        <v>924</v>
      </c>
      <c r="R15" s="610"/>
      <c r="S15" s="611" t="s">
        <v>983</v>
      </c>
      <c r="T15" s="612" t="s">
        <v>983</v>
      </c>
      <c r="U15" s="612" t="s">
        <v>983</v>
      </c>
      <c r="V15" s="612" t="s">
        <v>983</v>
      </c>
      <c r="W15" s="612" t="s">
        <v>983</v>
      </c>
      <c r="X15" s="612" t="s">
        <v>983</v>
      </c>
      <c r="Y15" s="612" t="s">
        <v>983</v>
      </c>
      <c r="Z15" s="612" t="s">
        <v>983</v>
      </c>
      <c r="AA15" s="612" t="s">
        <v>983</v>
      </c>
      <c r="AB15" s="612" t="s">
        <v>983</v>
      </c>
      <c r="AC15" s="612" t="s">
        <v>983</v>
      </c>
      <c r="AD15" s="612" t="s">
        <v>983</v>
      </c>
      <c r="AE15" s="613" t="s">
        <v>983</v>
      </c>
      <c r="AF15" s="609" t="s">
        <v>156</v>
      </c>
      <c r="AG15" s="595" t="s">
        <v>156</v>
      </c>
      <c r="AH15" s="568" t="s">
        <v>994</v>
      </c>
      <c r="AM15" s="184" t="s">
        <v>119</v>
      </c>
      <c r="AN15" s="520" t="s">
        <v>993</v>
      </c>
      <c r="AO15" s="520" t="s">
        <v>993</v>
      </c>
      <c r="AP15" s="520" t="s">
        <v>993</v>
      </c>
      <c r="AQ15" s="520" t="s">
        <v>993</v>
      </c>
      <c r="AR15" s="520" t="s">
        <v>993</v>
      </c>
      <c r="AS15" s="520" t="s">
        <v>993</v>
      </c>
      <c r="AT15" s="520" t="s">
        <v>993</v>
      </c>
      <c r="AU15" s="520" t="s">
        <v>993</v>
      </c>
      <c r="AV15" s="520" t="s">
        <v>993</v>
      </c>
      <c r="AW15" s="520" t="s">
        <v>993</v>
      </c>
      <c r="AX15" s="520" t="s">
        <v>993</v>
      </c>
      <c r="AY15" s="520" t="s">
        <v>993</v>
      </c>
      <c r="AZ15" s="520" t="s">
        <v>999</v>
      </c>
      <c r="BJ15" s="175" t="s">
        <v>982</v>
      </c>
    </row>
    <row r="16" spans="1:64" x14ac:dyDescent="0.3">
      <c r="Q16" s="46"/>
    </row>
    <row r="17" spans="17:17" x14ac:dyDescent="0.3">
      <c r="Q17" s="31"/>
    </row>
    <row r="18" spans="17:17" x14ac:dyDescent="0.3">
      <c r="Q18" s="31"/>
    </row>
    <row r="19" spans="17:17" x14ac:dyDescent="0.3">
      <c r="Q19" s="31"/>
    </row>
    <row r="20" spans="17:17" ht="184.5" hidden="1" customHeight="1" x14ac:dyDescent="0.3"/>
  </sheetData>
  <sheetProtection algorithmName="SHA-512" hashValue="gnb4iphI83TBg+35+X8XHYqim3Sgt1GWU85UJsDgJYjlZih/s9xoiP2qO03Vs3Isv9PvhYjQfmE3QSEuaTMwaw==" saltValue="XEusxsX5Dlag1Cv9nc2iPg==" spinCount="100000" sheet="1" objects="1" scenarios="1"/>
  <customSheetViews>
    <customSheetView guid="{8BDA793C-C9C5-4FC6-A0A5-F1109F6D4F22}" scale="110" state="hidden">
      <pane xSplit="2" ySplit="2" topLeftCell="S15" activePane="bottomRight" state="frozen"/>
      <selection pane="bottomRight" activeCell="D14" sqref="D14"/>
    </customSheetView>
  </customSheetViews>
  <mergeCells count="10">
    <mergeCell ref="BK1:BL1"/>
    <mergeCell ref="AF1:AG1"/>
    <mergeCell ref="AH1:AH2"/>
    <mergeCell ref="AJ1:AK1"/>
    <mergeCell ref="AN1:AZ1"/>
    <mergeCell ref="A1:B1"/>
    <mergeCell ref="E1:I1"/>
    <mergeCell ref="C1:D1"/>
    <mergeCell ref="J1:R1"/>
    <mergeCell ref="S1:AE1"/>
  </mergeCells>
  <phoneticPr fontId="9" type="noConversion"/>
  <dataValidations count="1">
    <dataValidation type="list" allowBlank="1" showInputMessage="1" showErrorMessage="1" sqref="R3:R15" xr:uid="{00000000-0002-0000-1600-000000000000}">
      <formula1>$AR$16:$AR$43</formula1>
    </dataValidation>
  </dataValidations>
  <pageMargins left="0.7" right="0.7" top="0.75" bottom="0.75" header="0.3" footer="0.3"/>
  <pageSetup paperSize="9" orientation="portrait" horizontalDpi="90" verticalDpi="9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600-000001000000}">
          <x14:formula1>
            <xm:f>'\\LYN264DF\m312897$\Net Gain\[Latest Tool with updated hedgerows 06 11 2020.xlsm]G-3 Multipliers'!#REF!</xm:f>
          </x14:formula1>
          <xm:sqref>AF3:AG15</xm:sqref>
        </x14:dataValidation>
        <x14:dataValidation type="list" allowBlank="1" showInputMessage="1" showErrorMessage="1" xr:uid="{00000000-0002-0000-1600-000002000000}">
          <x14:formula1>
            <xm:f>'\\LYN264DF\m312897$\Net Gain\[Latest Tool with updated hedgerows 06 11 2020.xlsm]G-1 All Habitats'!#REF!</xm:f>
          </x14:formula1>
          <xm:sqref>C3:C15</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0">
    <tabColor rgb="FFFFC000"/>
  </sheetPr>
  <dimension ref="A1:BJ30"/>
  <sheetViews>
    <sheetView workbookViewId="0">
      <selection sqref="A1:B2"/>
    </sheetView>
  </sheetViews>
  <sheetFormatPr defaultColWidth="0" defaultRowHeight="14" zeroHeight="1" x14ac:dyDescent="0.3"/>
  <cols>
    <col min="1" max="1" width="9.1796875" style="31" customWidth="1"/>
    <col min="2" max="2" width="37.26953125" style="31" customWidth="1"/>
    <col min="3" max="4" width="17.7265625" style="31" customWidth="1"/>
    <col min="5" max="5" width="14.54296875" style="31" customWidth="1"/>
    <col min="6" max="6" width="15.7265625" style="31" customWidth="1"/>
    <col min="7" max="7" width="13.1796875" style="31" customWidth="1"/>
    <col min="8" max="9" width="11.81640625" style="31" customWidth="1"/>
    <col min="10" max="10" width="13" style="31" customWidth="1"/>
    <col min="11" max="11" width="12.1796875" style="31" customWidth="1"/>
    <col min="12" max="13" width="10.7265625" style="31" customWidth="1"/>
    <col min="14" max="14" width="14.1796875" style="31" customWidth="1"/>
    <col min="15" max="15" width="8.54296875" style="31" customWidth="1"/>
    <col min="16" max="16" width="10.7265625" style="31" customWidth="1"/>
    <col min="17" max="17" width="19" style="31" customWidth="1"/>
    <col min="18" max="18" width="16" style="31" customWidth="1"/>
    <col min="19" max="19" width="14.453125" style="31" customWidth="1"/>
    <col min="20" max="20" width="15.81640625" style="31" customWidth="1"/>
    <col min="21" max="22" width="15.7265625" style="31" customWidth="1"/>
    <col min="23" max="26" width="10.7265625" style="31" customWidth="1"/>
    <col min="27" max="27" width="18.81640625" style="31" bestFit="1" customWidth="1"/>
    <col min="28" max="28" width="13.453125" style="31" customWidth="1"/>
    <col min="29" max="29" width="9.1796875" style="31" customWidth="1"/>
    <col min="30" max="30" width="18" style="31" customWidth="1"/>
    <col min="31" max="31" width="9.54296875" style="31" bestFit="1" customWidth="1"/>
    <col min="32" max="32" width="9.1796875" style="31" customWidth="1"/>
    <col min="33" max="33" width="59.81640625" style="31" customWidth="1"/>
    <col min="34" max="34" width="24.7265625" style="31" customWidth="1"/>
    <col min="35" max="35" width="18.81640625" style="31" customWidth="1"/>
    <col min="36" max="36" width="9.1796875" style="31" customWidth="1"/>
    <col min="37" max="37" width="46.7265625" style="31" bestFit="1" customWidth="1"/>
    <col min="38" max="38" width="24.26953125" style="31" customWidth="1"/>
    <col min="39" max="39" width="13.7265625" style="31" customWidth="1"/>
    <col min="40" max="40" width="9.1796875" style="31" customWidth="1"/>
    <col min="41" max="41" width="28.26953125" style="31" customWidth="1"/>
    <col min="42" max="42" width="13" style="31" customWidth="1"/>
    <col min="43" max="44" width="9.1796875" style="31" customWidth="1"/>
    <col min="45" max="45" width="25.1796875" style="31" bestFit="1" customWidth="1"/>
    <col min="46" max="46" width="20.453125" style="31" bestFit="1" customWidth="1"/>
    <col min="47" max="47" width="31.26953125" style="31" customWidth="1"/>
    <col min="48" max="48" width="9.1796875" style="31" customWidth="1"/>
    <col min="49" max="49" width="13" style="31" customWidth="1"/>
    <col min="50" max="50" width="9.1796875" style="31" hidden="1" customWidth="1"/>
    <col min="51" max="51" width="23.7265625" style="31" hidden="1" customWidth="1"/>
    <col min="52" max="52" width="15.7265625" style="31" hidden="1" customWidth="1"/>
    <col min="53" max="53" width="9.1796875" style="31" hidden="1" customWidth="1"/>
    <col min="54" max="55" width="10.81640625" style="31" hidden="1" customWidth="1"/>
    <col min="56" max="62" width="0" style="31" hidden="1" customWidth="1"/>
    <col min="63" max="16384" width="9.1796875" style="31" hidden="1"/>
  </cols>
  <sheetData>
    <row r="1" spans="1:55" ht="14.5" thickBot="1" x14ac:dyDescent="0.35">
      <c r="A1" s="1053"/>
      <c r="B1" s="1053"/>
    </row>
    <row r="2" spans="1:55" ht="31.5" customHeight="1" thickBot="1" x14ac:dyDescent="0.45">
      <c r="A2" s="1053"/>
      <c r="B2" s="1053"/>
      <c r="C2" s="1067" t="s">
        <v>871</v>
      </c>
      <c r="D2" s="1068"/>
      <c r="E2" s="1057" t="s">
        <v>291</v>
      </c>
      <c r="F2" s="1058"/>
      <c r="G2" s="1058"/>
      <c r="H2" s="1057" t="s">
        <v>966</v>
      </c>
      <c r="I2" s="1058"/>
      <c r="J2" s="1058"/>
      <c r="K2" s="1058"/>
      <c r="L2" s="1059"/>
      <c r="N2" s="1069" t="s">
        <v>1000</v>
      </c>
      <c r="O2" s="1070"/>
      <c r="Q2" s="1065" t="s">
        <v>1001</v>
      </c>
      <c r="R2" s="1066"/>
      <c r="T2" s="1006" t="s">
        <v>1002</v>
      </c>
      <c r="U2" s="1012"/>
      <c r="V2" s="1012"/>
      <c r="W2" s="1012"/>
      <c r="X2" s="1012"/>
      <c r="Y2" s="1074"/>
      <c r="AA2" s="1075" t="s">
        <v>1003</v>
      </c>
      <c r="AB2" s="1076"/>
      <c r="AC2" s="132"/>
      <c r="AD2" s="1075" t="s">
        <v>1003</v>
      </c>
      <c r="AE2" s="1076"/>
      <c r="AG2" s="1075" t="s">
        <v>1004</v>
      </c>
      <c r="AH2" s="1077"/>
      <c r="AI2" s="1076"/>
      <c r="AK2" s="1075" t="s">
        <v>1004</v>
      </c>
      <c r="AL2" s="1077"/>
      <c r="AM2" s="1076"/>
      <c r="AO2" s="833" t="s">
        <v>1004</v>
      </c>
      <c r="AP2" s="1071"/>
      <c r="AQ2" s="289"/>
      <c r="AS2" s="1034" t="s">
        <v>1005</v>
      </c>
      <c r="AT2" s="1072"/>
      <c r="AU2" s="1073"/>
      <c r="AY2" s="290"/>
      <c r="AZ2" s="291" t="s">
        <v>200</v>
      </c>
      <c r="BB2" s="290" t="s">
        <v>1006</v>
      </c>
      <c r="BC2" s="291" t="s">
        <v>1007</v>
      </c>
    </row>
    <row r="3" spans="1:55" ht="42.5" thickBot="1" x14ac:dyDescent="0.35">
      <c r="B3" s="292" t="s">
        <v>820</v>
      </c>
      <c r="C3" s="266" t="s">
        <v>970</v>
      </c>
      <c r="D3" s="136" t="s">
        <v>971</v>
      </c>
      <c r="E3" s="641" t="s">
        <v>359</v>
      </c>
      <c r="F3" s="136" t="s">
        <v>360</v>
      </c>
      <c r="G3" s="643" t="s">
        <v>965</v>
      </c>
      <c r="H3" s="642" t="s">
        <v>21</v>
      </c>
      <c r="I3" s="293" t="s">
        <v>382</v>
      </c>
      <c r="J3" s="293" t="s">
        <v>20</v>
      </c>
      <c r="K3" s="293" t="s">
        <v>393</v>
      </c>
      <c r="L3" s="294" t="s">
        <v>242</v>
      </c>
      <c r="N3" s="644" t="s">
        <v>21</v>
      </c>
      <c r="O3" s="504">
        <v>10</v>
      </c>
      <c r="Q3" s="344" t="s">
        <v>967</v>
      </c>
      <c r="R3" s="595">
        <v>10</v>
      </c>
      <c r="T3" s="266"/>
      <c r="U3" s="1006" t="s">
        <v>1008</v>
      </c>
      <c r="V3" s="1012"/>
      <c r="W3" s="1012"/>
      <c r="X3" s="1012"/>
      <c r="Y3" s="1074"/>
      <c r="AA3" s="266" t="s">
        <v>1009</v>
      </c>
      <c r="AB3" s="265" t="s">
        <v>1010</v>
      </c>
      <c r="AC3" s="132"/>
      <c r="AD3" s="266" t="s">
        <v>1011</v>
      </c>
      <c r="AE3" s="265" t="s">
        <v>1010</v>
      </c>
      <c r="AG3" s="265" t="s">
        <v>1012</v>
      </c>
      <c r="AH3" s="264" t="s">
        <v>66</v>
      </c>
      <c r="AI3" s="136" t="s">
        <v>1013</v>
      </c>
      <c r="AK3" s="265" t="s">
        <v>1012</v>
      </c>
      <c r="AL3" s="264" t="s">
        <v>66</v>
      </c>
      <c r="AM3" s="136" t="s">
        <v>1013</v>
      </c>
      <c r="AO3" s="295" t="s">
        <v>1012</v>
      </c>
      <c r="AP3" s="136" t="s">
        <v>1013</v>
      </c>
      <c r="AS3" s="290" t="s">
        <v>1014</v>
      </c>
      <c r="AT3" s="296" t="s">
        <v>971</v>
      </c>
      <c r="AU3" s="291" t="s">
        <v>1015</v>
      </c>
      <c r="AY3" s="297" t="s">
        <v>139</v>
      </c>
      <c r="AZ3" s="298" t="s">
        <v>1006</v>
      </c>
      <c r="BB3" s="143" t="s">
        <v>21</v>
      </c>
      <c r="BC3" s="144" t="s">
        <v>242</v>
      </c>
    </row>
    <row r="4" spans="1:55" ht="28.5" thickBot="1" x14ac:dyDescent="0.35">
      <c r="B4" s="88" t="s">
        <v>139</v>
      </c>
      <c r="C4" s="571" t="s">
        <v>375</v>
      </c>
      <c r="D4" s="520">
        <v>8</v>
      </c>
      <c r="E4" s="586" t="s">
        <v>153</v>
      </c>
      <c r="F4" s="586" t="s">
        <v>23</v>
      </c>
      <c r="G4" s="594" t="s">
        <v>1016</v>
      </c>
      <c r="H4" s="586">
        <v>3</v>
      </c>
      <c r="I4" s="586">
        <v>2.5</v>
      </c>
      <c r="J4" s="586">
        <v>2</v>
      </c>
      <c r="K4" s="586">
        <v>1.5</v>
      </c>
      <c r="L4" s="594">
        <v>1</v>
      </c>
      <c r="M4" s="22"/>
      <c r="N4" s="130" t="s">
        <v>382</v>
      </c>
      <c r="O4" s="520">
        <v>8</v>
      </c>
      <c r="T4" s="167" t="s">
        <v>1017</v>
      </c>
      <c r="U4" s="645" t="s">
        <v>242</v>
      </c>
      <c r="V4" s="299" t="s">
        <v>393</v>
      </c>
      <c r="W4" s="299" t="s">
        <v>20</v>
      </c>
      <c r="X4" s="299" t="s">
        <v>382</v>
      </c>
      <c r="Y4" s="299" t="s">
        <v>21</v>
      </c>
      <c r="AA4" s="104" t="s">
        <v>1018</v>
      </c>
      <c r="AB4" s="544">
        <v>1</v>
      </c>
      <c r="AC4" s="132"/>
      <c r="AD4" s="104" t="s">
        <v>1018</v>
      </c>
      <c r="AE4" s="544">
        <v>1</v>
      </c>
      <c r="AG4" s="104" t="s">
        <v>1019</v>
      </c>
      <c r="AH4" s="520" t="s">
        <v>922</v>
      </c>
      <c r="AI4" s="544">
        <v>1</v>
      </c>
      <c r="AK4" s="104" t="s">
        <v>1019</v>
      </c>
      <c r="AL4" s="520" t="s">
        <v>922</v>
      </c>
      <c r="AM4" s="544">
        <v>1</v>
      </c>
      <c r="AO4" s="130" t="s">
        <v>1020</v>
      </c>
      <c r="AP4" s="544">
        <v>1</v>
      </c>
      <c r="AS4" s="300" t="s">
        <v>375</v>
      </c>
      <c r="AT4" s="521">
        <v>8</v>
      </c>
      <c r="AU4" s="648" t="s">
        <v>1021</v>
      </c>
      <c r="AY4" s="87" t="s">
        <v>140</v>
      </c>
      <c r="AZ4" s="298" t="s">
        <v>1006</v>
      </c>
      <c r="BB4" s="187" t="s">
        <v>382</v>
      </c>
      <c r="BC4" s="301"/>
    </row>
    <row r="5" spans="1:55" ht="28" x14ac:dyDescent="0.3">
      <c r="B5" s="88" t="s">
        <v>140</v>
      </c>
      <c r="C5" s="571" t="s">
        <v>153</v>
      </c>
      <c r="D5" s="520">
        <v>6</v>
      </c>
      <c r="E5" s="586" t="s">
        <v>153</v>
      </c>
      <c r="F5" s="586" t="s">
        <v>23</v>
      </c>
      <c r="G5" s="594" t="s">
        <v>1016</v>
      </c>
      <c r="H5" s="586">
        <v>3</v>
      </c>
      <c r="I5" s="586">
        <v>2.5</v>
      </c>
      <c r="J5" s="586">
        <v>2</v>
      </c>
      <c r="K5" s="586">
        <v>1.5</v>
      </c>
      <c r="L5" s="594">
        <v>1</v>
      </c>
      <c r="M5" s="22"/>
      <c r="N5" s="130" t="s">
        <v>20</v>
      </c>
      <c r="O5" s="520">
        <v>5</v>
      </c>
      <c r="T5" s="130" t="s">
        <v>242</v>
      </c>
      <c r="U5" s="646">
        <v>1</v>
      </c>
      <c r="V5" s="585">
        <v>2</v>
      </c>
      <c r="W5" s="585">
        <v>4</v>
      </c>
      <c r="X5" s="585">
        <v>6</v>
      </c>
      <c r="Y5" s="585">
        <v>8</v>
      </c>
      <c r="AA5" s="104" t="s">
        <v>1022</v>
      </c>
      <c r="AB5" s="544">
        <v>0.8</v>
      </c>
      <c r="AC5" s="132"/>
      <c r="AD5" s="104" t="s">
        <v>1022</v>
      </c>
      <c r="AE5" s="544">
        <v>0.95</v>
      </c>
      <c r="AG5" s="104" t="s">
        <v>1023</v>
      </c>
      <c r="AH5" s="520" t="s">
        <v>914</v>
      </c>
      <c r="AI5" s="544">
        <v>1.1499999999999999</v>
      </c>
      <c r="AK5" s="104" t="s">
        <v>1024</v>
      </c>
      <c r="AL5" s="520" t="s">
        <v>914</v>
      </c>
      <c r="AM5" s="544">
        <v>1.1499999999999999</v>
      </c>
      <c r="AO5" s="130" t="s">
        <v>1025</v>
      </c>
      <c r="AP5" s="544">
        <v>0.75</v>
      </c>
      <c r="AS5" s="267" t="s">
        <v>153</v>
      </c>
      <c r="AT5" s="544">
        <v>6</v>
      </c>
      <c r="AU5" s="524" t="s">
        <v>1026</v>
      </c>
      <c r="AY5" s="87" t="s">
        <v>141</v>
      </c>
      <c r="AZ5" s="298" t="s">
        <v>1006</v>
      </c>
      <c r="BB5" s="187" t="s">
        <v>20</v>
      </c>
      <c r="BC5" s="301"/>
    </row>
    <row r="6" spans="1:55" x14ac:dyDescent="0.3">
      <c r="B6" s="88" t="s">
        <v>141</v>
      </c>
      <c r="C6" s="571" t="s">
        <v>23</v>
      </c>
      <c r="D6" s="544">
        <v>4</v>
      </c>
      <c r="E6" s="586" t="s">
        <v>156</v>
      </c>
      <c r="F6" s="586" t="s">
        <v>23</v>
      </c>
      <c r="G6" s="594" t="s">
        <v>1016</v>
      </c>
      <c r="H6" s="586">
        <v>3</v>
      </c>
      <c r="I6" s="586">
        <v>2.5</v>
      </c>
      <c r="J6" s="586">
        <v>2</v>
      </c>
      <c r="K6" s="586">
        <v>1.5</v>
      </c>
      <c r="L6" s="594">
        <v>1</v>
      </c>
      <c r="M6" s="22"/>
      <c r="N6" s="130" t="s">
        <v>393</v>
      </c>
      <c r="O6" s="520">
        <v>2</v>
      </c>
      <c r="T6" s="130" t="s">
        <v>393</v>
      </c>
      <c r="U6" s="647" t="s">
        <v>924</v>
      </c>
      <c r="V6" s="586">
        <v>1</v>
      </c>
      <c r="W6" s="586">
        <v>2</v>
      </c>
      <c r="X6" s="586">
        <v>4</v>
      </c>
      <c r="Y6" s="586">
        <v>6</v>
      </c>
      <c r="AA6" s="104" t="s">
        <v>1027</v>
      </c>
      <c r="AB6" s="544">
        <v>0.5</v>
      </c>
      <c r="AC6" s="132"/>
      <c r="AD6" s="104" t="s">
        <v>20</v>
      </c>
      <c r="AE6" s="544">
        <v>0.85</v>
      </c>
      <c r="AG6" s="104" t="s">
        <v>1028</v>
      </c>
      <c r="AH6" s="520" t="s">
        <v>914</v>
      </c>
      <c r="AI6" s="544">
        <v>1.1499999999999999</v>
      </c>
      <c r="AK6" s="104" t="s">
        <v>1029</v>
      </c>
      <c r="AL6" s="520" t="s">
        <v>914</v>
      </c>
      <c r="AM6" s="544">
        <v>1.1499999999999999</v>
      </c>
      <c r="AO6" s="130" t="s">
        <v>1030</v>
      </c>
      <c r="AP6" s="544">
        <v>0.5</v>
      </c>
      <c r="AS6" s="267" t="s">
        <v>23</v>
      </c>
      <c r="AT6" s="544">
        <v>4</v>
      </c>
      <c r="AU6" s="524" t="s">
        <v>1031</v>
      </c>
      <c r="AY6" s="87" t="s">
        <v>142</v>
      </c>
      <c r="AZ6" s="298" t="s">
        <v>1006</v>
      </c>
      <c r="BB6" s="187" t="s">
        <v>393</v>
      </c>
      <c r="BC6" s="301"/>
    </row>
    <row r="7" spans="1:55" ht="14.5" thickBot="1" x14ac:dyDescent="0.35">
      <c r="B7" s="88" t="s">
        <v>142</v>
      </c>
      <c r="C7" s="571" t="s">
        <v>23</v>
      </c>
      <c r="D7" s="544">
        <v>4</v>
      </c>
      <c r="E7" s="586" t="s">
        <v>156</v>
      </c>
      <c r="F7" s="586" t="s">
        <v>23</v>
      </c>
      <c r="G7" s="594" t="s">
        <v>1016</v>
      </c>
      <c r="H7" s="586">
        <v>3</v>
      </c>
      <c r="I7" s="586">
        <v>2.5</v>
      </c>
      <c r="J7" s="586">
        <v>2</v>
      </c>
      <c r="K7" s="586">
        <v>1.5</v>
      </c>
      <c r="L7" s="594">
        <v>1</v>
      </c>
      <c r="M7" s="22"/>
      <c r="N7" s="130" t="s">
        <v>242</v>
      </c>
      <c r="O7" s="520">
        <v>1</v>
      </c>
      <c r="T7" s="130" t="s">
        <v>20</v>
      </c>
      <c r="U7" s="647" t="s">
        <v>924</v>
      </c>
      <c r="V7" s="586" t="s">
        <v>924</v>
      </c>
      <c r="W7" s="586">
        <v>1</v>
      </c>
      <c r="X7" s="586">
        <v>2</v>
      </c>
      <c r="Y7" s="586">
        <v>4</v>
      </c>
      <c r="AA7" s="104" t="s">
        <v>1032</v>
      </c>
      <c r="AB7" s="544">
        <v>1</v>
      </c>
      <c r="AC7" s="132"/>
      <c r="AD7" s="104" t="s">
        <v>1027</v>
      </c>
      <c r="AE7" s="544">
        <v>0.75</v>
      </c>
      <c r="AG7" s="104" t="s">
        <v>1033</v>
      </c>
      <c r="AH7" s="520" t="s">
        <v>914</v>
      </c>
      <c r="AI7" s="544">
        <v>1.1499999999999999</v>
      </c>
      <c r="AK7" s="104" t="s">
        <v>1034</v>
      </c>
      <c r="AL7" s="520" t="s">
        <v>914</v>
      </c>
      <c r="AM7" s="544">
        <v>1.1499999999999999</v>
      </c>
      <c r="AO7" s="302"/>
      <c r="AP7" s="302"/>
      <c r="AS7" s="262" t="s">
        <v>156</v>
      </c>
      <c r="AT7" s="526">
        <v>2</v>
      </c>
      <c r="AU7" s="595" t="s">
        <v>1035</v>
      </c>
      <c r="AY7" s="89" t="s">
        <v>143</v>
      </c>
      <c r="AZ7" s="298" t="s">
        <v>1007</v>
      </c>
      <c r="BB7" s="189" t="s">
        <v>242</v>
      </c>
      <c r="BC7" s="303"/>
    </row>
    <row r="8" spans="1:55" x14ac:dyDescent="0.3">
      <c r="B8" s="110" t="s">
        <v>143</v>
      </c>
      <c r="C8" s="571" t="s">
        <v>156</v>
      </c>
      <c r="D8" s="544">
        <v>2</v>
      </c>
      <c r="E8" s="586" t="s">
        <v>156</v>
      </c>
      <c r="F8" s="586" t="s">
        <v>23</v>
      </c>
      <c r="G8" s="594" t="s">
        <v>1016</v>
      </c>
      <c r="H8" s="586" t="s">
        <v>934</v>
      </c>
      <c r="I8" s="586" t="s">
        <v>934</v>
      </c>
      <c r="J8" s="586" t="s">
        <v>934</v>
      </c>
      <c r="K8" s="586" t="s">
        <v>934</v>
      </c>
      <c r="L8" s="594">
        <v>1</v>
      </c>
      <c r="M8" s="22"/>
      <c r="T8" s="130" t="s">
        <v>382</v>
      </c>
      <c r="U8" s="647" t="s">
        <v>924</v>
      </c>
      <c r="V8" s="586" t="s">
        <v>924</v>
      </c>
      <c r="W8" s="586" t="s">
        <v>924</v>
      </c>
      <c r="X8" s="586">
        <v>1</v>
      </c>
      <c r="Y8" s="586">
        <v>2</v>
      </c>
      <c r="AC8" s="132"/>
      <c r="AG8" s="104" t="s">
        <v>1036</v>
      </c>
      <c r="AH8" s="520" t="s">
        <v>914</v>
      </c>
      <c r="AI8" s="544">
        <v>1.1499999999999999</v>
      </c>
      <c r="AK8" s="104" t="s">
        <v>1037</v>
      </c>
      <c r="AL8" s="520" t="s">
        <v>914</v>
      </c>
      <c r="AM8" s="544">
        <v>1.1499999999999999</v>
      </c>
    </row>
    <row r="9" spans="1:55" x14ac:dyDescent="0.3">
      <c r="T9" s="130" t="s">
        <v>21</v>
      </c>
      <c r="U9" s="647" t="s">
        <v>924</v>
      </c>
      <c r="V9" s="586" t="s">
        <v>924</v>
      </c>
      <c r="W9" s="586" t="s">
        <v>924</v>
      </c>
      <c r="X9" s="586" t="s">
        <v>924</v>
      </c>
      <c r="Y9" s="586">
        <v>1</v>
      </c>
      <c r="AG9" s="104" t="s">
        <v>1038</v>
      </c>
      <c r="AH9" s="520" t="s">
        <v>914</v>
      </c>
      <c r="AI9" s="544">
        <v>1.1499999999999999</v>
      </c>
      <c r="AK9" s="104" t="s">
        <v>1039</v>
      </c>
      <c r="AL9" s="520" t="s">
        <v>914</v>
      </c>
      <c r="AM9" s="544">
        <v>1.1499999999999999</v>
      </c>
    </row>
    <row r="10" spans="1:55" x14ac:dyDescent="0.3">
      <c r="AF10" s="132"/>
    </row>
    <row r="11" spans="1:55" x14ac:dyDescent="0.3">
      <c r="AF11" s="132"/>
    </row>
    <row r="12" spans="1:55" x14ac:dyDescent="0.3">
      <c r="AF12" s="132"/>
    </row>
    <row r="13" spans="1:55" x14ac:dyDescent="0.3">
      <c r="AF13" s="132"/>
      <c r="AG13" s="132"/>
      <c r="AH13" s="132"/>
    </row>
    <row r="14" spans="1:55" x14ac:dyDescent="0.3">
      <c r="AF14" s="132"/>
    </row>
    <row r="15" spans="1:55" x14ac:dyDescent="0.3"/>
    <row r="16" spans="1:55" x14ac:dyDescent="0.3"/>
    <row r="17" x14ac:dyDescent="0.3"/>
    <row r="18" x14ac:dyDescent="0.3"/>
    <row r="19" x14ac:dyDescent="0.3"/>
    <row r="20" x14ac:dyDescent="0.3"/>
    <row r="21" x14ac:dyDescent="0.3"/>
    <row r="22" x14ac:dyDescent="0.3"/>
    <row r="23" x14ac:dyDescent="0.3"/>
    <row r="24" x14ac:dyDescent="0.3"/>
    <row r="25" x14ac:dyDescent="0.3"/>
    <row r="26" x14ac:dyDescent="0.3"/>
    <row r="27" x14ac:dyDescent="0.3"/>
    <row r="28" x14ac:dyDescent="0.3"/>
    <row r="29" x14ac:dyDescent="0.3"/>
    <row r="30" x14ac:dyDescent="0.3"/>
  </sheetData>
  <sheetProtection algorithmName="SHA-512" hashValue="NiMLO3g70PVOG64djAUkiK9US5VDgjEfS8U6sqljLhczHzciBkV2iw2CHH3h/YN20TyvAdDv55LsyWqm/jcUDA==" saltValue="mcCGlK0xVDseic36vqIQ7Q==" spinCount="100000" sheet="1" objects="1" scenarios="1"/>
  <customSheetViews>
    <customSheetView guid="{8BDA793C-C9C5-4FC6-A0A5-F1109F6D4F22}" state="hidden">
      <selection activeCell="D14" sqref="D14"/>
    </customSheetView>
  </customSheetViews>
  <mergeCells count="14">
    <mergeCell ref="AO2:AP2"/>
    <mergeCell ref="AS2:AU2"/>
    <mergeCell ref="U3:Y3"/>
    <mergeCell ref="T2:Y2"/>
    <mergeCell ref="AA2:AB2"/>
    <mergeCell ref="AD2:AE2"/>
    <mergeCell ref="AG2:AI2"/>
    <mergeCell ref="AK2:AM2"/>
    <mergeCell ref="Q2:R2"/>
    <mergeCell ref="A1:B2"/>
    <mergeCell ref="C2:D2"/>
    <mergeCell ref="E2:G2"/>
    <mergeCell ref="H2:L2"/>
    <mergeCell ref="N2:O2"/>
  </mergeCells>
  <pageMargins left="0.7" right="0.7" top="0.75" bottom="0.75" header="0.3" footer="0.3"/>
  <pageSetup paperSize="9" orientation="portrait" horizontalDpi="90" verticalDpi="9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5">
    <tabColor rgb="FFFFC000"/>
  </sheetPr>
  <dimension ref="A1:Q147"/>
  <sheetViews>
    <sheetView workbookViewId="0">
      <selection sqref="A1:A2"/>
    </sheetView>
  </sheetViews>
  <sheetFormatPr defaultColWidth="0" defaultRowHeight="0" customHeight="1" zeroHeight="1" x14ac:dyDescent="0.3"/>
  <cols>
    <col min="1" max="1" width="88.81640625" style="31" bestFit="1" customWidth="1"/>
    <col min="2" max="2" width="12.7265625" style="31" bestFit="1" customWidth="1"/>
    <col min="3" max="3" width="17.1796875" style="31" bestFit="1" customWidth="1"/>
    <col min="4" max="4" width="15.26953125" style="31" bestFit="1" customWidth="1"/>
    <col min="5" max="5" width="16.26953125" style="31" bestFit="1" customWidth="1"/>
    <col min="6" max="6" width="12.7265625" style="31" bestFit="1" customWidth="1"/>
    <col min="7" max="7" width="22" style="31" bestFit="1" customWidth="1"/>
    <col min="8" max="8" width="16.7265625" style="31" customWidth="1"/>
    <col min="9" max="9" width="15.7265625" style="31" hidden="1" customWidth="1"/>
    <col min="10" max="10" width="27" style="31" hidden="1" customWidth="1"/>
    <col min="11" max="11" width="11.26953125" style="31" hidden="1" customWidth="1"/>
    <col min="12" max="12" width="6.54296875" style="31" hidden="1" customWidth="1"/>
    <col min="13" max="13" width="11" style="31" hidden="1" customWidth="1"/>
    <col min="14" max="14" width="14.1796875" style="31" hidden="1" customWidth="1"/>
    <col min="15" max="15" width="15.1796875" style="31" customWidth="1"/>
    <col min="16" max="17" width="9.1796875" style="31" customWidth="1"/>
    <col min="18" max="16384" width="9.1796875" style="31" hidden="1"/>
  </cols>
  <sheetData>
    <row r="1" spans="1:14" ht="28.9" customHeight="1" x14ac:dyDescent="0.6">
      <c r="A1" s="1080"/>
      <c r="B1" s="281"/>
      <c r="C1" s="281"/>
      <c r="D1" s="281"/>
      <c r="E1" s="281"/>
      <c r="F1" s="281"/>
      <c r="G1" s="281"/>
      <c r="H1" s="306"/>
    </row>
    <row r="2" spans="1:14" ht="29.5" customHeight="1" x14ac:dyDescent="0.6">
      <c r="A2" s="1081"/>
      <c r="B2" s="1078" t="s">
        <v>966</v>
      </c>
      <c r="C2" s="1078"/>
      <c r="D2" s="1078"/>
      <c r="E2" s="1078"/>
      <c r="F2" s="1078"/>
      <c r="G2" s="1078"/>
      <c r="H2" s="1079"/>
    </row>
    <row r="3" spans="1:14" ht="28" x14ac:dyDescent="0.5">
      <c r="A3" s="283" t="s">
        <v>820</v>
      </c>
      <c r="B3" s="104" t="s">
        <v>21</v>
      </c>
      <c r="C3" s="104" t="s">
        <v>382</v>
      </c>
      <c r="D3" s="104" t="s">
        <v>20</v>
      </c>
      <c r="E3" s="104" t="s">
        <v>393</v>
      </c>
      <c r="F3" s="130" t="s">
        <v>242</v>
      </c>
      <c r="G3" s="130" t="s">
        <v>403</v>
      </c>
      <c r="H3" s="104" t="s">
        <v>407</v>
      </c>
      <c r="I3" s="31" t="s">
        <v>200</v>
      </c>
      <c r="J3" s="1082" t="s">
        <v>1040</v>
      </c>
      <c r="K3" s="1083"/>
      <c r="L3" s="1083"/>
      <c r="M3" s="1084"/>
    </row>
    <row r="4" spans="1:14" ht="14" x14ac:dyDescent="0.3">
      <c r="A4" s="88" t="str">
        <f>'G-1 All Habitats'!B3</f>
        <v>Cropland - Arable field margins cultivated annually</v>
      </c>
      <c r="B4" s="544" t="s">
        <v>934</v>
      </c>
      <c r="C4" s="544" t="s">
        <v>934</v>
      </c>
      <c r="D4" s="544" t="s">
        <v>934</v>
      </c>
      <c r="E4" s="544" t="s">
        <v>934</v>
      </c>
      <c r="F4" s="544" t="s">
        <v>934</v>
      </c>
      <c r="G4" s="544">
        <v>1</v>
      </c>
      <c r="H4" s="544" t="s">
        <v>934</v>
      </c>
      <c r="I4" s="31" t="str">
        <f>IF(G4=1,"Cond1",IF(H4=0,"Cond2",IF(AND(B4=3,C4=2.5,D4=2,E4=1.5,F4=1),"Cond4",IF(F4=1,"Cond3","Check"))))</f>
        <v>Cond1</v>
      </c>
      <c r="J4" s="305" t="s">
        <v>1041</v>
      </c>
      <c r="K4" s="305" t="s">
        <v>1042</v>
      </c>
      <c r="L4" s="305" t="s">
        <v>1043</v>
      </c>
      <c r="M4" s="305" t="s">
        <v>1044</v>
      </c>
      <c r="N4" s="31" t="s">
        <v>1045</v>
      </c>
    </row>
    <row r="5" spans="1:14" ht="14" x14ac:dyDescent="0.3">
      <c r="A5" s="88" t="str">
        <f>'G-1 All Habitats'!B4</f>
        <v>Cropland - Arable field margins game bird mix</v>
      </c>
      <c r="B5" s="544" t="s">
        <v>934</v>
      </c>
      <c r="C5" s="544" t="s">
        <v>934</v>
      </c>
      <c r="D5" s="544" t="s">
        <v>934</v>
      </c>
      <c r="E5" s="544" t="s">
        <v>934</v>
      </c>
      <c r="F5" s="544" t="s">
        <v>934</v>
      </c>
      <c r="G5" s="544">
        <v>1</v>
      </c>
      <c r="H5" s="544" t="s">
        <v>934</v>
      </c>
      <c r="I5" s="31" t="str">
        <f t="shared" ref="I5:I8" si="0">IF(G5=1,"Cond1",IF(H5=0,"Cond2",IF(AND(B5=3,C5=2.5,D5=2,E5=1.5,F5=1),"Cond4",IF(F5=1,"Cond3","Check"))))</f>
        <v>Cond1</v>
      </c>
      <c r="J5" s="217" t="s">
        <v>403</v>
      </c>
      <c r="K5" s="217" t="s">
        <v>407</v>
      </c>
      <c r="L5" s="278" t="s">
        <v>242</v>
      </c>
      <c r="M5" s="217" t="s">
        <v>21</v>
      </c>
      <c r="N5" s="31" t="s">
        <v>21</v>
      </c>
    </row>
    <row r="6" spans="1:14" ht="14" x14ac:dyDescent="0.3">
      <c r="A6" s="88" t="str">
        <f>'G-1 All Habitats'!B5</f>
        <v>Cropland - Arable field margins pollen &amp; nectar</v>
      </c>
      <c r="B6" s="544" t="s">
        <v>934</v>
      </c>
      <c r="C6" s="544" t="s">
        <v>934</v>
      </c>
      <c r="D6" s="544" t="s">
        <v>934</v>
      </c>
      <c r="E6" s="544" t="s">
        <v>934</v>
      </c>
      <c r="F6" s="544" t="s">
        <v>934</v>
      </c>
      <c r="G6" s="544">
        <v>1</v>
      </c>
      <c r="H6" s="544" t="s">
        <v>934</v>
      </c>
      <c r="I6" s="31" t="str">
        <f t="shared" si="0"/>
        <v>Cond1</v>
      </c>
      <c r="M6" s="217" t="s">
        <v>382</v>
      </c>
    </row>
    <row r="7" spans="1:14" ht="14" x14ac:dyDescent="0.3">
      <c r="A7" s="88" t="str">
        <f>'G-1 All Habitats'!B6</f>
        <v>Cropland - Arable field margins tussocky</v>
      </c>
      <c r="B7" s="544" t="s">
        <v>934</v>
      </c>
      <c r="C7" s="544" t="s">
        <v>934</v>
      </c>
      <c r="D7" s="544" t="s">
        <v>934</v>
      </c>
      <c r="E7" s="544" t="s">
        <v>934</v>
      </c>
      <c r="F7" s="544" t="s">
        <v>934</v>
      </c>
      <c r="G7" s="544">
        <v>1</v>
      </c>
      <c r="H7" s="544" t="s">
        <v>934</v>
      </c>
      <c r="I7" s="31" t="str">
        <f t="shared" si="0"/>
        <v>Cond1</v>
      </c>
      <c r="M7" s="217" t="s">
        <v>20</v>
      </c>
    </row>
    <row r="8" spans="1:14" ht="14" x14ac:dyDescent="0.3">
      <c r="A8" s="88" t="str">
        <f>'G-1 All Habitats'!B7</f>
        <v>Cropland - Cereal crops</v>
      </c>
      <c r="B8" s="544" t="s">
        <v>934</v>
      </c>
      <c r="C8" s="544" t="s">
        <v>934</v>
      </c>
      <c r="D8" s="544" t="s">
        <v>934</v>
      </c>
      <c r="E8" s="544" t="s">
        <v>934</v>
      </c>
      <c r="F8" s="544" t="s">
        <v>934</v>
      </c>
      <c r="G8" s="544">
        <v>1</v>
      </c>
      <c r="H8" s="544" t="s">
        <v>934</v>
      </c>
      <c r="I8" s="31" t="str">
        <f t="shared" si="0"/>
        <v>Cond1</v>
      </c>
      <c r="M8" s="217" t="s">
        <v>393</v>
      </c>
    </row>
    <row r="9" spans="1:14" ht="14" x14ac:dyDescent="0.3">
      <c r="A9" s="88" t="str">
        <f>'G-1 All Habitats'!B8</f>
        <v>Cropland - Cereal crops winter stubble</v>
      </c>
      <c r="B9" s="544" t="s">
        <v>934</v>
      </c>
      <c r="C9" s="544" t="s">
        <v>934</v>
      </c>
      <c r="D9" s="544" t="s">
        <v>934</v>
      </c>
      <c r="E9" s="544" t="s">
        <v>934</v>
      </c>
      <c r="F9" s="544" t="s">
        <v>934</v>
      </c>
      <c r="G9" s="544">
        <v>1</v>
      </c>
      <c r="H9" s="544" t="s">
        <v>934</v>
      </c>
      <c r="I9" s="31" t="str">
        <f t="shared" ref="I9:I40" si="1">IF(G9=1,"Cond1",IF(H9=0,"Cond2",IF(AND(B9=3,C9=2.5,D9=2,E9=1.5,F9=1),"Cond4",IF(F9=1,"Cond3","Check"))))</f>
        <v>Cond1</v>
      </c>
      <c r="M9" s="278" t="s">
        <v>242</v>
      </c>
    </row>
    <row r="10" spans="1:14" ht="14" x14ac:dyDescent="0.3">
      <c r="A10" s="88" t="str">
        <f>'G-1 All Habitats'!B9</f>
        <v>Cropland - Horticulture</v>
      </c>
      <c r="B10" s="544" t="s">
        <v>934</v>
      </c>
      <c r="C10" s="544" t="s">
        <v>934</v>
      </c>
      <c r="D10" s="544" t="s">
        <v>934</v>
      </c>
      <c r="E10" s="544" t="s">
        <v>934</v>
      </c>
      <c r="F10" s="544" t="s">
        <v>934</v>
      </c>
      <c r="G10" s="544">
        <v>1</v>
      </c>
      <c r="H10" s="544" t="s">
        <v>934</v>
      </c>
      <c r="I10" s="31" t="str">
        <f t="shared" si="1"/>
        <v>Cond1</v>
      </c>
    </row>
    <row r="11" spans="1:14" ht="14" x14ac:dyDescent="0.3">
      <c r="A11" s="88" t="str">
        <f>'G-1 All Habitats'!B10</f>
        <v>Cropland - Intensive orchards</v>
      </c>
      <c r="B11" s="544" t="s">
        <v>934</v>
      </c>
      <c r="C11" s="544" t="s">
        <v>934</v>
      </c>
      <c r="D11" s="544" t="s">
        <v>934</v>
      </c>
      <c r="E11" s="544" t="s">
        <v>934</v>
      </c>
      <c r="F11" s="544" t="s">
        <v>934</v>
      </c>
      <c r="G11" s="544">
        <v>1</v>
      </c>
      <c r="H11" s="544" t="s">
        <v>934</v>
      </c>
      <c r="I11" s="31" t="str">
        <f t="shared" si="1"/>
        <v>Cond1</v>
      </c>
    </row>
    <row r="12" spans="1:14" ht="14" x14ac:dyDescent="0.3">
      <c r="A12" s="88" t="str">
        <f>'G-1 All Habitats'!B11</f>
        <v>Cropland - Non-cereal crops</v>
      </c>
      <c r="B12" s="544" t="s">
        <v>934</v>
      </c>
      <c r="C12" s="544" t="s">
        <v>934</v>
      </c>
      <c r="D12" s="544" t="s">
        <v>934</v>
      </c>
      <c r="E12" s="544" t="s">
        <v>934</v>
      </c>
      <c r="F12" s="544" t="s">
        <v>934</v>
      </c>
      <c r="G12" s="544">
        <v>1</v>
      </c>
      <c r="H12" s="544" t="s">
        <v>934</v>
      </c>
      <c r="I12" s="31" t="str">
        <f t="shared" si="1"/>
        <v>Cond1</v>
      </c>
    </row>
    <row r="13" spans="1:14" ht="14" x14ac:dyDescent="0.3">
      <c r="A13" s="88" t="str">
        <f>'G-1 All Habitats'!B12</f>
        <v>Cropland - Temporary grass and clover leys</v>
      </c>
      <c r="B13" s="544" t="s">
        <v>934</v>
      </c>
      <c r="C13" s="544" t="s">
        <v>934</v>
      </c>
      <c r="D13" s="544" t="s">
        <v>934</v>
      </c>
      <c r="E13" s="544" t="s">
        <v>934</v>
      </c>
      <c r="F13" s="544" t="s">
        <v>934</v>
      </c>
      <c r="G13" s="544">
        <v>1</v>
      </c>
      <c r="H13" s="544" t="s">
        <v>934</v>
      </c>
      <c r="I13" s="31" t="str">
        <f t="shared" si="1"/>
        <v>Cond1</v>
      </c>
    </row>
    <row r="14" spans="1:14" ht="14" x14ac:dyDescent="0.3">
      <c r="A14" s="88" t="str">
        <f>'G-1 All Habitats'!B13</f>
        <v>Grassland - Traditional orchards</v>
      </c>
      <c r="B14" s="544">
        <v>3</v>
      </c>
      <c r="C14" s="544">
        <v>2.5</v>
      </c>
      <c r="D14" s="544">
        <v>2</v>
      </c>
      <c r="E14" s="544">
        <v>1.5</v>
      </c>
      <c r="F14" s="544">
        <v>1</v>
      </c>
      <c r="G14" s="544" t="s">
        <v>934</v>
      </c>
      <c r="H14" s="544" t="s">
        <v>934</v>
      </c>
      <c r="I14" s="31" t="str">
        <f t="shared" si="1"/>
        <v>Cond4</v>
      </c>
    </row>
    <row r="15" spans="1:14" ht="14" x14ac:dyDescent="0.3">
      <c r="A15" s="88" t="str">
        <f>'G-1 All Habitats'!B14</f>
        <v>Grassland - Bracken</v>
      </c>
      <c r="B15" s="544" t="s">
        <v>934</v>
      </c>
      <c r="C15" s="544" t="s">
        <v>934</v>
      </c>
      <c r="D15" s="544" t="s">
        <v>934</v>
      </c>
      <c r="E15" s="544" t="s">
        <v>934</v>
      </c>
      <c r="F15" s="544" t="s">
        <v>934</v>
      </c>
      <c r="G15" s="544">
        <v>1</v>
      </c>
      <c r="H15" s="544" t="s">
        <v>934</v>
      </c>
      <c r="I15" s="31" t="str">
        <f t="shared" si="1"/>
        <v>Cond1</v>
      </c>
    </row>
    <row r="16" spans="1:14" ht="14" x14ac:dyDescent="0.3">
      <c r="A16" s="88" t="str">
        <f>'G-1 All Habitats'!B15</f>
        <v>Grassland - Floodplain Wetland Mosaic (CFGM)</v>
      </c>
      <c r="B16" s="544">
        <v>3</v>
      </c>
      <c r="C16" s="544">
        <v>2.5</v>
      </c>
      <c r="D16" s="544">
        <v>2</v>
      </c>
      <c r="E16" s="544">
        <v>1.5</v>
      </c>
      <c r="F16" s="544">
        <v>1</v>
      </c>
      <c r="G16" s="544" t="s">
        <v>934</v>
      </c>
      <c r="H16" s="544" t="s">
        <v>934</v>
      </c>
      <c r="I16" s="31" t="str">
        <f t="shared" si="1"/>
        <v>Cond4</v>
      </c>
    </row>
    <row r="17" spans="1:9" ht="14" x14ac:dyDescent="0.3">
      <c r="A17" s="88" t="str">
        <f>'G-1 All Habitats'!B16</f>
        <v>Grassland - Lowland calcareous grassland</v>
      </c>
      <c r="B17" s="544">
        <v>3</v>
      </c>
      <c r="C17" s="544">
        <v>2.5</v>
      </c>
      <c r="D17" s="544">
        <v>2</v>
      </c>
      <c r="E17" s="544">
        <v>1.5</v>
      </c>
      <c r="F17" s="544">
        <v>1</v>
      </c>
      <c r="G17" s="544" t="s">
        <v>934</v>
      </c>
      <c r="H17" s="544" t="s">
        <v>934</v>
      </c>
      <c r="I17" s="31" t="str">
        <f t="shared" si="1"/>
        <v>Cond4</v>
      </c>
    </row>
    <row r="18" spans="1:9" ht="14" x14ac:dyDescent="0.3">
      <c r="A18" s="88" t="str">
        <f>'G-1 All Habitats'!B17</f>
        <v>Grassland - Lowland dry acid grassland</v>
      </c>
      <c r="B18" s="544">
        <v>3</v>
      </c>
      <c r="C18" s="544">
        <v>2.5</v>
      </c>
      <c r="D18" s="544">
        <v>2</v>
      </c>
      <c r="E18" s="544">
        <v>1.5</v>
      </c>
      <c r="F18" s="544">
        <v>1</v>
      </c>
      <c r="G18" s="544" t="s">
        <v>934</v>
      </c>
      <c r="H18" s="544" t="s">
        <v>934</v>
      </c>
      <c r="I18" s="31" t="str">
        <f t="shared" si="1"/>
        <v>Cond4</v>
      </c>
    </row>
    <row r="19" spans="1:9" ht="14" x14ac:dyDescent="0.3">
      <c r="A19" s="88" t="str">
        <f>'G-1 All Habitats'!B18</f>
        <v>Grassland - Lowland meadows</v>
      </c>
      <c r="B19" s="544">
        <v>3</v>
      </c>
      <c r="C19" s="544">
        <v>2.5</v>
      </c>
      <c r="D19" s="544">
        <v>2</v>
      </c>
      <c r="E19" s="544">
        <v>1.5</v>
      </c>
      <c r="F19" s="544">
        <v>1</v>
      </c>
      <c r="G19" s="544" t="s">
        <v>934</v>
      </c>
      <c r="H19" s="544" t="s">
        <v>934</v>
      </c>
      <c r="I19" s="31" t="str">
        <f t="shared" si="1"/>
        <v>Cond4</v>
      </c>
    </row>
    <row r="20" spans="1:9" ht="14" x14ac:dyDescent="0.3">
      <c r="A20" s="88" t="str">
        <f>'G-1 All Habitats'!B19</f>
        <v>Grassland - Modified grassland</v>
      </c>
      <c r="B20" s="544">
        <v>3</v>
      </c>
      <c r="C20" s="544">
        <v>2.5</v>
      </c>
      <c r="D20" s="544">
        <v>2</v>
      </c>
      <c r="E20" s="544">
        <v>1.5</v>
      </c>
      <c r="F20" s="544">
        <v>1</v>
      </c>
      <c r="G20" s="544" t="s">
        <v>934</v>
      </c>
      <c r="H20" s="544" t="s">
        <v>934</v>
      </c>
      <c r="I20" s="31" t="str">
        <f t="shared" si="1"/>
        <v>Cond4</v>
      </c>
    </row>
    <row r="21" spans="1:9" ht="15" customHeight="1" x14ac:dyDescent="0.3">
      <c r="A21" s="88" t="str">
        <f>'G-1 All Habitats'!B20</f>
        <v>Grassland - Other lowland acid grassland</v>
      </c>
      <c r="B21" s="544">
        <v>3</v>
      </c>
      <c r="C21" s="544">
        <v>2.5</v>
      </c>
      <c r="D21" s="544">
        <v>2</v>
      </c>
      <c r="E21" s="544">
        <v>1.5</v>
      </c>
      <c r="F21" s="544">
        <v>1</v>
      </c>
      <c r="G21" s="544" t="s">
        <v>934</v>
      </c>
      <c r="H21" s="544" t="s">
        <v>934</v>
      </c>
      <c r="I21" s="31" t="str">
        <f t="shared" si="1"/>
        <v>Cond4</v>
      </c>
    </row>
    <row r="22" spans="1:9" ht="15" customHeight="1" x14ac:dyDescent="0.3">
      <c r="A22" s="88" t="str">
        <f>'G-1 All Habitats'!B21</f>
        <v>Grassland - Other neutral grassland</v>
      </c>
      <c r="B22" s="544">
        <v>3</v>
      </c>
      <c r="C22" s="544">
        <v>2.5</v>
      </c>
      <c r="D22" s="544">
        <v>2</v>
      </c>
      <c r="E22" s="544">
        <v>1.5</v>
      </c>
      <c r="F22" s="544">
        <v>1</v>
      </c>
      <c r="G22" s="544" t="s">
        <v>934</v>
      </c>
      <c r="H22" s="544" t="s">
        <v>934</v>
      </c>
      <c r="I22" s="31" t="str">
        <f t="shared" si="1"/>
        <v>Cond4</v>
      </c>
    </row>
    <row r="23" spans="1:9" ht="15" customHeight="1" x14ac:dyDescent="0.3">
      <c r="A23" s="88" t="str">
        <f>'G-1 All Habitats'!B22</f>
        <v>Grassland - Tall herb communities (H6430)</v>
      </c>
      <c r="B23" s="544">
        <v>3</v>
      </c>
      <c r="C23" s="544">
        <v>2.5</v>
      </c>
      <c r="D23" s="544">
        <v>2</v>
      </c>
      <c r="E23" s="544">
        <v>1.5</v>
      </c>
      <c r="F23" s="544">
        <v>1</v>
      </c>
      <c r="G23" s="544" t="s">
        <v>934</v>
      </c>
      <c r="H23" s="544" t="s">
        <v>934</v>
      </c>
      <c r="I23" s="31" t="str">
        <f t="shared" si="1"/>
        <v>Cond4</v>
      </c>
    </row>
    <row r="24" spans="1:9" ht="15" customHeight="1" x14ac:dyDescent="0.3">
      <c r="A24" s="88" t="str">
        <f>'G-1 All Habitats'!B23</f>
        <v>Grassland - Upland acid grassland</v>
      </c>
      <c r="B24" s="544">
        <v>3</v>
      </c>
      <c r="C24" s="544">
        <v>2.5</v>
      </c>
      <c r="D24" s="544">
        <v>2</v>
      </c>
      <c r="E24" s="544">
        <v>1.5</v>
      </c>
      <c r="F24" s="544">
        <v>1</v>
      </c>
      <c r="G24" s="544" t="s">
        <v>934</v>
      </c>
      <c r="H24" s="544" t="s">
        <v>934</v>
      </c>
      <c r="I24" s="31" t="str">
        <f t="shared" si="1"/>
        <v>Cond4</v>
      </c>
    </row>
    <row r="25" spans="1:9" ht="15" customHeight="1" x14ac:dyDescent="0.3">
      <c r="A25" s="88" t="str">
        <f>'G-1 All Habitats'!B24</f>
        <v>Grassland - Upland calcareous grassland</v>
      </c>
      <c r="B25" s="544">
        <v>3</v>
      </c>
      <c r="C25" s="544">
        <v>2.5</v>
      </c>
      <c r="D25" s="544">
        <v>2</v>
      </c>
      <c r="E25" s="544">
        <v>1.5</v>
      </c>
      <c r="F25" s="544">
        <v>1</v>
      </c>
      <c r="G25" s="544" t="s">
        <v>934</v>
      </c>
      <c r="H25" s="544" t="s">
        <v>934</v>
      </c>
      <c r="I25" s="31" t="str">
        <f t="shared" si="1"/>
        <v>Cond4</v>
      </c>
    </row>
    <row r="26" spans="1:9" ht="15" customHeight="1" x14ac:dyDescent="0.3">
      <c r="A26" s="88" t="str">
        <f>'G-1 All Habitats'!B25</f>
        <v>Grassland - Upland hay meadows</v>
      </c>
      <c r="B26" s="544">
        <v>3</v>
      </c>
      <c r="C26" s="544">
        <v>2.5</v>
      </c>
      <c r="D26" s="544">
        <v>2</v>
      </c>
      <c r="E26" s="544">
        <v>1.5</v>
      </c>
      <c r="F26" s="544">
        <v>1</v>
      </c>
      <c r="G26" s="544" t="s">
        <v>934</v>
      </c>
      <c r="H26" s="544" t="s">
        <v>934</v>
      </c>
      <c r="I26" s="31" t="str">
        <f t="shared" si="1"/>
        <v>Cond4</v>
      </c>
    </row>
    <row r="27" spans="1:9" ht="14" x14ac:dyDescent="0.3">
      <c r="A27" s="88" t="str">
        <f>'G-1 All Habitats'!B26</f>
        <v>Heathland and shrub - Blackthorn scrub</v>
      </c>
      <c r="B27" s="544">
        <v>3</v>
      </c>
      <c r="C27" s="544">
        <v>2.5</v>
      </c>
      <c r="D27" s="544">
        <v>2</v>
      </c>
      <c r="E27" s="544">
        <v>1.5</v>
      </c>
      <c r="F27" s="544">
        <v>1</v>
      </c>
      <c r="G27" s="544" t="s">
        <v>934</v>
      </c>
      <c r="H27" s="544" t="s">
        <v>934</v>
      </c>
      <c r="I27" s="31" t="str">
        <f t="shared" si="1"/>
        <v>Cond4</v>
      </c>
    </row>
    <row r="28" spans="1:9" ht="14" x14ac:dyDescent="0.3">
      <c r="A28" s="88" t="str">
        <f>'G-1 All Habitats'!B27</f>
        <v>Heathland and shrub - Bramble scrub</v>
      </c>
      <c r="B28" s="544" t="s">
        <v>934</v>
      </c>
      <c r="C28" s="544" t="s">
        <v>934</v>
      </c>
      <c r="D28" s="544" t="s">
        <v>934</v>
      </c>
      <c r="E28" s="544" t="s">
        <v>934</v>
      </c>
      <c r="F28" s="544" t="s">
        <v>934</v>
      </c>
      <c r="G28" s="544">
        <v>1</v>
      </c>
      <c r="H28" s="544" t="s">
        <v>934</v>
      </c>
      <c r="I28" s="31" t="str">
        <f t="shared" si="1"/>
        <v>Cond1</v>
      </c>
    </row>
    <row r="29" spans="1:9" ht="14" x14ac:dyDescent="0.3">
      <c r="A29" s="88" t="str">
        <f>'G-1 All Habitats'!B28</f>
        <v>Heathland and shrub - Gorse scrub</v>
      </c>
      <c r="B29" s="544">
        <v>3</v>
      </c>
      <c r="C29" s="544">
        <v>2.5</v>
      </c>
      <c r="D29" s="544">
        <v>2</v>
      </c>
      <c r="E29" s="544">
        <v>1.5</v>
      </c>
      <c r="F29" s="544">
        <v>1</v>
      </c>
      <c r="G29" s="544" t="s">
        <v>934</v>
      </c>
      <c r="H29" s="544" t="s">
        <v>934</v>
      </c>
      <c r="I29" s="31" t="str">
        <f t="shared" si="1"/>
        <v>Cond4</v>
      </c>
    </row>
    <row r="30" spans="1:9" ht="14" x14ac:dyDescent="0.3">
      <c r="A30" s="88" t="str">
        <f>'G-1 All Habitats'!B29</f>
        <v>Heathland and shrub - Hawthorn scrub</v>
      </c>
      <c r="B30" s="544">
        <v>3</v>
      </c>
      <c r="C30" s="544">
        <v>2.5</v>
      </c>
      <c r="D30" s="544">
        <v>2</v>
      </c>
      <c r="E30" s="544">
        <v>1.5</v>
      </c>
      <c r="F30" s="544">
        <v>1</v>
      </c>
      <c r="G30" s="544" t="s">
        <v>934</v>
      </c>
      <c r="H30" s="544" t="s">
        <v>934</v>
      </c>
      <c r="I30" s="31" t="str">
        <f t="shared" si="1"/>
        <v>Cond4</v>
      </c>
    </row>
    <row r="31" spans="1:9" ht="14" x14ac:dyDescent="0.3">
      <c r="A31" s="88" t="str">
        <f>'G-1 All Habitats'!B30</f>
        <v>Heathland and shrub - Hazel scrub</v>
      </c>
      <c r="B31" s="544">
        <v>3</v>
      </c>
      <c r="C31" s="544">
        <v>2.5</v>
      </c>
      <c r="D31" s="544">
        <v>2</v>
      </c>
      <c r="E31" s="544">
        <v>1.5</v>
      </c>
      <c r="F31" s="544">
        <v>1</v>
      </c>
      <c r="G31" s="544" t="s">
        <v>934</v>
      </c>
      <c r="H31" s="544" t="s">
        <v>934</v>
      </c>
      <c r="I31" s="31" t="str">
        <f t="shared" si="1"/>
        <v>Cond4</v>
      </c>
    </row>
    <row r="32" spans="1:9" ht="14" x14ac:dyDescent="0.3">
      <c r="A32" s="88" t="str">
        <f>'G-1 All Habitats'!B31</f>
        <v>Heathland and shrub - Lowland Heathland</v>
      </c>
      <c r="B32" s="544">
        <v>3</v>
      </c>
      <c r="C32" s="544">
        <v>2.5</v>
      </c>
      <c r="D32" s="544">
        <v>2</v>
      </c>
      <c r="E32" s="544">
        <v>1.5</v>
      </c>
      <c r="F32" s="544">
        <v>1</v>
      </c>
      <c r="G32" s="544" t="s">
        <v>934</v>
      </c>
      <c r="H32" s="544" t="s">
        <v>934</v>
      </c>
      <c r="I32" s="31" t="str">
        <f t="shared" si="1"/>
        <v>Cond4</v>
      </c>
    </row>
    <row r="33" spans="1:9" ht="14" x14ac:dyDescent="0.3">
      <c r="A33" s="88" t="str">
        <f>'G-1 All Habitats'!B32</f>
        <v>Heathland and shrub - Mixed scrub</v>
      </c>
      <c r="B33" s="544">
        <v>3</v>
      </c>
      <c r="C33" s="544">
        <v>2.5</v>
      </c>
      <c r="D33" s="544">
        <v>2</v>
      </c>
      <c r="E33" s="544">
        <v>1.5</v>
      </c>
      <c r="F33" s="544">
        <v>1</v>
      </c>
      <c r="G33" s="544" t="s">
        <v>934</v>
      </c>
      <c r="H33" s="544" t="s">
        <v>934</v>
      </c>
      <c r="I33" s="31" t="str">
        <f t="shared" si="1"/>
        <v>Cond4</v>
      </c>
    </row>
    <row r="34" spans="1:9" ht="14" x14ac:dyDescent="0.3">
      <c r="A34" s="88" t="str">
        <f>'G-1 All Habitats'!B33</f>
        <v>Heathland and shrub - Mountain heaths and willow scrub</v>
      </c>
      <c r="B34" s="544">
        <v>3</v>
      </c>
      <c r="C34" s="544">
        <v>2.5</v>
      </c>
      <c r="D34" s="544">
        <v>2</v>
      </c>
      <c r="E34" s="544">
        <v>1.5</v>
      </c>
      <c r="F34" s="544">
        <v>1</v>
      </c>
      <c r="G34" s="544" t="s">
        <v>934</v>
      </c>
      <c r="H34" s="544" t="s">
        <v>934</v>
      </c>
      <c r="I34" s="31" t="str">
        <f t="shared" si="1"/>
        <v>Cond4</v>
      </c>
    </row>
    <row r="35" spans="1:9" ht="14" x14ac:dyDescent="0.3">
      <c r="A35" s="88" t="str">
        <f>'G-1 All Habitats'!B34</f>
        <v>Heathland and shrub - Rhododendron scrub</v>
      </c>
      <c r="B35" s="544" t="s">
        <v>934</v>
      </c>
      <c r="C35" s="544" t="s">
        <v>934</v>
      </c>
      <c r="D35" s="544" t="s">
        <v>934</v>
      </c>
      <c r="E35" s="544" t="s">
        <v>934</v>
      </c>
      <c r="F35" s="544" t="s">
        <v>934</v>
      </c>
      <c r="G35" s="544">
        <v>1</v>
      </c>
      <c r="H35" s="544" t="s">
        <v>934</v>
      </c>
      <c r="I35" s="31" t="str">
        <f t="shared" si="1"/>
        <v>Cond1</v>
      </c>
    </row>
    <row r="36" spans="1:9" ht="14" x14ac:dyDescent="0.3">
      <c r="A36" s="88" t="str">
        <f>'G-1 All Habitats'!B35</f>
        <v>Heathland and shrub - Sea buckthorn scrub (Annex 1)</v>
      </c>
      <c r="B36" s="544">
        <v>3</v>
      </c>
      <c r="C36" s="544">
        <v>2.5</v>
      </c>
      <c r="D36" s="544">
        <v>2</v>
      </c>
      <c r="E36" s="544">
        <v>1.5</v>
      </c>
      <c r="F36" s="544">
        <v>1</v>
      </c>
      <c r="G36" s="544" t="s">
        <v>934</v>
      </c>
      <c r="H36" s="544" t="s">
        <v>934</v>
      </c>
      <c r="I36" s="31" t="str">
        <f t="shared" si="1"/>
        <v>Cond4</v>
      </c>
    </row>
    <row r="37" spans="1:9" ht="14" x14ac:dyDescent="0.3">
      <c r="A37" s="88" t="str">
        <f>'G-1 All Habitats'!B36</f>
        <v>Heathland and shrub - Sea buckthorn scrub (other)</v>
      </c>
      <c r="B37" s="544" t="s">
        <v>934</v>
      </c>
      <c r="C37" s="544" t="s">
        <v>934</v>
      </c>
      <c r="D37" s="544" t="s">
        <v>934</v>
      </c>
      <c r="E37" s="544" t="s">
        <v>934</v>
      </c>
      <c r="F37" s="544" t="s">
        <v>934</v>
      </c>
      <c r="G37" s="544">
        <v>1</v>
      </c>
      <c r="H37" s="544" t="s">
        <v>934</v>
      </c>
      <c r="I37" s="31" t="str">
        <f t="shared" si="1"/>
        <v>Cond1</v>
      </c>
    </row>
    <row r="38" spans="1:9" ht="14" x14ac:dyDescent="0.3">
      <c r="A38" s="88" t="str">
        <f>'G-1 All Habitats'!B37</f>
        <v>Heathland and shrub - Upland Heathland</v>
      </c>
      <c r="B38" s="544">
        <v>3</v>
      </c>
      <c r="C38" s="544">
        <v>2.5</v>
      </c>
      <c r="D38" s="544">
        <v>2</v>
      </c>
      <c r="E38" s="544">
        <v>1.5</v>
      </c>
      <c r="F38" s="544">
        <v>1</v>
      </c>
      <c r="G38" s="544" t="s">
        <v>934</v>
      </c>
      <c r="H38" s="544" t="s">
        <v>934</v>
      </c>
      <c r="I38" s="31" t="str">
        <f t="shared" si="1"/>
        <v>Cond4</v>
      </c>
    </row>
    <row r="39" spans="1:9" ht="14" x14ac:dyDescent="0.3">
      <c r="A39" s="88" t="str">
        <f>'G-1 All Habitats'!B38</f>
        <v>Lakes - Aquifer fed naturally fluctuating water bodies</v>
      </c>
      <c r="B39" s="544">
        <v>3</v>
      </c>
      <c r="C39" s="544">
        <v>2.5</v>
      </c>
      <c r="D39" s="544">
        <v>2</v>
      </c>
      <c r="E39" s="544">
        <v>1.5</v>
      </c>
      <c r="F39" s="544">
        <v>1</v>
      </c>
      <c r="G39" s="544" t="s">
        <v>934</v>
      </c>
      <c r="H39" s="544" t="s">
        <v>934</v>
      </c>
      <c r="I39" s="31" t="str">
        <f t="shared" si="1"/>
        <v>Cond4</v>
      </c>
    </row>
    <row r="40" spans="1:9" ht="14" x14ac:dyDescent="0.3">
      <c r="A40" s="88" t="str">
        <f>'G-1 All Habitats'!B40</f>
        <v>Lakes - High alkalinity lakes</v>
      </c>
      <c r="B40" s="544">
        <v>3</v>
      </c>
      <c r="C40" s="544">
        <v>2.5</v>
      </c>
      <c r="D40" s="544">
        <v>2</v>
      </c>
      <c r="E40" s="544">
        <v>1.5</v>
      </c>
      <c r="F40" s="544">
        <v>1</v>
      </c>
      <c r="G40" s="544" t="s">
        <v>934</v>
      </c>
      <c r="H40" s="544" t="s">
        <v>934</v>
      </c>
      <c r="I40" s="31" t="str">
        <f t="shared" si="1"/>
        <v>Cond4</v>
      </c>
    </row>
    <row r="41" spans="1:9" ht="14" x14ac:dyDescent="0.3">
      <c r="A41" s="88" t="str">
        <f>'G-1 All Habitats'!B41</f>
        <v>Lakes - Low alkalinity lakes</v>
      </c>
      <c r="B41" s="544">
        <v>3</v>
      </c>
      <c r="C41" s="544">
        <v>2.5</v>
      </c>
      <c r="D41" s="544">
        <v>2</v>
      </c>
      <c r="E41" s="544">
        <v>1.5</v>
      </c>
      <c r="F41" s="544">
        <v>1</v>
      </c>
      <c r="G41" s="544" t="s">
        <v>934</v>
      </c>
      <c r="H41" s="544" t="s">
        <v>934</v>
      </c>
      <c r="I41" s="31" t="str">
        <f t="shared" ref="I41:I72" si="2">IF(G41=1,"Cond1",IF(H41=0,"Cond2",IF(AND(B41=3,C41=2.5,D41=2,E41=1.5,F41=1),"Cond4",IF(F41=1,"Cond3","Check"))))</f>
        <v>Cond4</v>
      </c>
    </row>
    <row r="42" spans="1:9" ht="14" x14ac:dyDescent="0.3">
      <c r="A42" s="88" t="str">
        <f>'G-1 All Habitats'!B42</f>
        <v>Lakes - Marl Lakes</v>
      </c>
      <c r="B42" s="544">
        <v>3</v>
      </c>
      <c r="C42" s="544">
        <v>2.5</v>
      </c>
      <c r="D42" s="544">
        <v>2</v>
      </c>
      <c r="E42" s="544">
        <v>1.5</v>
      </c>
      <c r="F42" s="544">
        <v>1</v>
      </c>
      <c r="G42" s="544" t="s">
        <v>934</v>
      </c>
      <c r="H42" s="544" t="s">
        <v>934</v>
      </c>
      <c r="I42" s="31" t="str">
        <f t="shared" si="2"/>
        <v>Cond4</v>
      </c>
    </row>
    <row r="43" spans="1:9" ht="14" x14ac:dyDescent="0.3">
      <c r="A43" s="88" t="str">
        <f>'G-1 All Habitats'!B43</f>
        <v>Lakes - Moderate alkalinity lakes</v>
      </c>
      <c r="B43" s="544">
        <v>3</v>
      </c>
      <c r="C43" s="544">
        <v>2.5</v>
      </c>
      <c r="D43" s="544">
        <v>2</v>
      </c>
      <c r="E43" s="544">
        <v>1.5</v>
      </c>
      <c r="F43" s="544">
        <v>1</v>
      </c>
      <c r="G43" s="544" t="s">
        <v>934</v>
      </c>
      <c r="H43" s="544" t="s">
        <v>934</v>
      </c>
      <c r="I43" s="31" t="str">
        <f t="shared" si="2"/>
        <v>Cond4</v>
      </c>
    </row>
    <row r="44" spans="1:9" ht="14" x14ac:dyDescent="0.3">
      <c r="A44" s="88" t="str">
        <f>'G-1 All Habitats'!B44</f>
        <v>Lakes - Peat Lakes</v>
      </c>
      <c r="B44" s="544">
        <v>3</v>
      </c>
      <c r="C44" s="544">
        <v>2.5</v>
      </c>
      <c r="D44" s="544">
        <v>2</v>
      </c>
      <c r="E44" s="544">
        <v>1.5</v>
      </c>
      <c r="F44" s="544">
        <v>1</v>
      </c>
      <c r="G44" s="544" t="s">
        <v>934</v>
      </c>
      <c r="H44" s="544" t="s">
        <v>934</v>
      </c>
      <c r="I44" s="31" t="str">
        <f t="shared" si="2"/>
        <v>Cond4</v>
      </c>
    </row>
    <row r="45" spans="1:9" ht="14" x14ac:dyDescent="0.3">
      <c r="A45" s="88" t="str">
        <f>'G-1 All Habitats'!B45</f>
        <v>Lakes - Ponds (Priority Habitat)</v>
      </c>
      <c r="B45" s="544">
        <v>3</v>
      </c>
      <c r="C45" s="544">
        <v>2.5</v>
      </c>
      <c r="D45" s="544">
        <v>2</v>
      </c>
      <c r="E45" s="544">
        <v>1.5</v>
      </c>
      <c r="F45" s="544">
        <v>1</v>
      </c>
      <c r="G45" s="544" t="s">
        <v>934</v>
      </c>
      <c r="H45" s="544" t="s">
        <v>934</v>
      </c>
      <c r="I45" s="31" t="str">
        <f t="shared" si="2"/>
        <v>Cond4</v>
      </c>
    </row>
    <row r="46" spans="1:9" ht="14" x14ac:dyDescent="0.3">
      <c r="A46" s="88" t="str">
        <f>'G-1 All Habitats'!B46</f>
        <v>Lakes - Ponds (Non- Priority Habitat)</v>
      </c>
      <c r="B46" s="544">
        <v>3</v>
      </c>
      <c r="C46" s="544">
        <v>2.5</v>
      </c>
      <c r="D46" s="544">
        <v>2</v>
      </c>
      <c r="E46" s="544">
        <v>1.5</v>
      </c>
      <c r="F46" s="544">
        <v>1</v>
      </c>
      <c r="G46" s="544" t="s">
        <v>934</v>
      </c>
      <c r="H46" s="544" t="s">
        <v>934</v>
      </c>
      <c r="I46" s="31" t="str">
        <f t="shared" si="2"/>
        <v>Cond4</v>
      </c>
    </row>
    <row r="47" spans="1:9" ht="14" x14ac:dyDescent="0.3">
      <c r="A47" s="88" t="str">
        <f>'G-1 All Habitats'!B47</f>
        <v>Lakes - Reservoirs</v>
      </c>
      <c r="B47" s="544">
        <v>3</v>
      </c>
      <c r="C47" s="544">
        <v>2.5</v>
      </c>
      <c r="D47" s="544">
        <v>2</v>
      </c>
      <c r="E47" s="544">
        <v>1.5</v>
      </c>
      <c r="F47" s="544">
        <v>1</v>
      </c>
      <c r="G47" s="544" t="s">
        <v>934</v>
      </c>
      <c r="H47" s="544" t="s">
        <v>934</v>
      </c>
      <c r="I47" s="31" t="str">
        <f t="shared" si="2"/>
        <v>Cond4</v>
      </c>
    </row>
    <row r="48" spans="1:9" ht="14" x14ac:dyDescent="0.3">
      <c r="A48" s="88" t="str">
        <f>'G-1 All Habitats'!B48</f>
        <v>Lakes - Temporary lakes, ponds and pools</v>
      </c>
      <c r="B48" s="544">
        <v>3</v>
      </c>
      <c r="C48" s="544">
        <v>2.5</v>
      </c>
      <c r="D48" s="544">
        <v>2</v>
      </c>
      <c r="E48" s="544">
        <v>1.5</v>
      </c>
      <c r="F48" s="544">
        <v>1</v>
      </c>
      <c r="G48" s="544" t="s">
        <v>934</v>
      </c>
      <c r="H48" s="544" t="s">
        <v>934</v>
      </c>
      <c r="I48" s="31" t="str">
        <f t="shared" si="2"/>
        <v>Cond4</v>
      </c>
    </row>
    <row r="49" spans="1:9" ht="14" x14ac:dyDescent="0.3">
      <c r="A49" s="88" t="str">
        <f>'G-1 All Habitats'!B49</f>
        <v>Sparsely vegetated land - Calaminarian grasslands</v>
      </c>
      <c r="B49" s="544">
        <v>3</v>
      </c>
      <c r="C49" s="544">
        <v>2.5</v>
      </c>
      <c r="D49" s="544">
        <v>2</v>
      </c>
      <c r="E49" s="544">
        <v>1.5</v>
      </c>
      <c r="F49" s="544">
        <v>1</v>
      </c>
      <c r="G49" s="544" t="s">
        <v>934</v>
      </c>
      <c r="H49" s="544" t="s">
        <v>934</v>
      </c>
      <c r="I49" s="31" t="str">
        <f t="shared" si="2"/>
        <v>Cond4</v>
      </c>
    </row>
    <row r="50" spans="1:9" ht="14" x14ac:dyDescent="0.3">
      <c r="A50" s="88" t="str">
        <f>'G-1 All Habitats'!B50</f>
        <v>Sparsely vegetated land - Coastal sand dunes</v>
      </c>
      <c r="B50" s="544">
        <v>3</v>
      </c>
      <c r="C50" s="544">
        <v>2.5</v>
      </c>
      <c r="D50" s="544">
        <v>2</v>
      </c>
      <c r="E50" s="544">
        <v>1.5</v>
      </c>
      <c r="F50" s="544">
        <v>1</v>
      </c>
      <c r="G50" s="544" t="s">
        <v>934</v>
      </c>
      <c r="H50" s="544" t="s">
        <v>934</v>
      </c>
      <c r="I50" s="31" t="str">
        <f t="shared" si="2"/>
        <v>Cond4</v>
      </c>
    </row>
    <row r="51" spans="1:9" ht="14" x14ac:dyDescent="0.3">
      <c r="A51" s="88" t="str">
        <f>'G-1 All Habitats'!B51</f>
        <v>Sparsely vegetated land - Coastal vegetated shingle</v>
      </c>
      <c r="B51" s="544">
        <v>3</v>
      </c>
      <c r="C51" s="544">
        <v>2.5</v>
      </c>
      <c r="D51" s="544">
        <v>2</v>
      </c>
      <c r="E51" s="544">
        <v>1.5</v>
      </c>
      <c r="F51" s="544">
        <v>1</v>
      </c>
      <c r="G51" s="544" t="s">
        <v>934</v>
      </c>
      <c r="H51" s="544" t="s">
        <v>934</v>
      </c>
      <c r="I51" s="31" t="str">
        <f t="shared" si="2"/>
        <v>Cond4</v>
      </c>
    </row>
    <row r="52" spans="1:9" ht="14" x14ac:dyDescent="0.3">
      <c r="A52" s="88" t="str">
        <f>'G-1 All Habitats'!B52</f>
        <v>Sparsely vegetated land - Ruderal/Ephemeral</v>
      </c>
      <c r="B52" s="544">
        <v>3</v>
      </c>
      <c r="C52" s="544">
        <v>2.5</v>
      </c>
      <c r="D52" s="544">
        <v>2</v>
      </c>
      <c r="E52" s="544">
        <v>1.5</v>
      </c>
      <c r="F52" s="544">
        <v>1</v>
      </c>
      <c r="G52" s="544" t="s">
        <v>934</v>
      </c>
      <c r="H52" s="544" t="s">
        <v>934</v>
      </c>
      <c r="I52" s="31" t="str">
        <f t="shared" si="2"/>
        <v>Cond4</v>
      </c>
    </row>
    <row r="53" spans="1:9" ht="14" x14ac:dyDescent="0.3">
      <c r="A53" s="88" t="str">
        <f>'G-1 All Habitats'!B53</f>
        <v>Sparsely vegetated land - Inland rock outcrop and scree habitats</v>
      </c>
      <c r="B53" s="544">
        <v>3</v>
      </c>
      <c r="C53" s="544">
        <v>2.5</v>
      </c>
      <c r="D53" s="544">
        <v>2</v>
      </c>
      <c r="E53" s="544">
        <v>1.5</v>
      </c>
      <c r="F53" s="544">
        <v>1</v>
      </c>
      <c r="G53" s="544" t="s">
        <v>934</v>
      </c>
      <c r="H53" s="544" t="s">
        <v>934</v>
      </c>
      <c r="I53" s="31" t="str">
        <f t="shared" si="2"/>
        <v>Cond4</v>
      </c>
    </row>
    <row r="54" spans="1:9" ht="14" x14ac:dyDescent="0.3">
      <c r="A54" s="88" t="str">
        <f>'G-1 All Habitats'!B54</f>
        <v>Sparsely vegetated land - Limestone pavement</v>
      </c>
      <c r="B54" s="544">
        <v>3</v>
      </c>
      <c r="C54" s="544">
        <v>2.5</v>
      </c>
      <c r="D54" s="544">
        <v>2</v>
      </c>
      <c r="E54" s="544">
        <v>1.5</v>
      </c>
      <c r="F54" s="544">
        <v>1</v>
      </c>
      <c r="G54" s="544" t="s">
        <v>934</v>
      </c>
      <c r="H54" s="544" t="s">
        <v>934</v>
      </c>
      <c r="I54" s="31" t="str">
        <f t="shared" si="2"/>
        <v>Cond4</v>
      </c>
    </row>
    <row r="55" spans="1:9" ht="14" x14ac:dyDescent="0.3">
      <c r="A55" s="88" t="str">
        <f>'G-1 All Habitats'!B55</f>
        <v>Sparsely vegetated land - Maritime cliff and slopes</v>
      </c>
      <c r="B55" s="544">
        <v>3</v>
      </c>
      <c r="C55" s="544">
        <v>2.5</v>
      </c>
      <c r="D55" s="544">
        <v>2</v>
      </c>
      <c r="E55" s="544">
        <v>1.5</v>
      </c>
      <c r="F55" s="544">
        <v>1</v>
      </c>
      <c r="G55" s="544" t="s">
        <v>934</v>
      </c>
      <c r="H55" s="544" t="s">
        <v>934</v>
      </c>
      <c r="I55" s="31" t="str">
        <f t="shared" si="2"/>
        <v>Cond4</v>
      </c>
    </row>
    <row r="56" spans="1:9" ht="14" x14ac:dyDescent="0.3">
      <c r="A56" s="88" t="str">
        <f>'G-1 All Habitats'!B56</f>
        <v>Sparsely vegetated land - Other inland rock and scree</v>
      </c>
      <c r="B56" s="544">
        <v>3</v>
      </c>
      <c r="C56" s="544">
        <v>2.5</v>
      </c>
      <c r="D56" s="544">
        <v>2</v>
      </c>
      <c r="E56" s="544">
        <v>1.5</v>
      </c>
      <c r="F56" s="544">
        <v>1</v>
      </c>
      <c r="G56" s="544" t="s">
        <v>934</v>
      </c>
      <c r="H56" s="544" t="s">
        <v>934</v>
      </c>
      <c r="I56" s="31" t="str">
        <f t="shared" si="2"/>
        <v>Cond4</v>
      </c>
    </row>
    <row r="57" spans="1:9" ht="14" x14ac:dyDescent="0.3">
      <c r="A57" s="88" t="str">
        <f>'G-1 All Habitats'!B57</f>
        <v>Urban - Allotments</v>
      </c>
      <c r="B57" s="544">
        <v>3</v>
      </c>
      <c r="C57" s="544">
        <v>2.5</v>
      </c>
      <c r="D57" s="544">
        <v>2</v>
      </c>
      <c r="E57" s="544">
        <v>1.5</v>
      </c>
      <c r="F57" s="544">
        <v>1</v>
      </c>
      <c r="G57" s="544" t="s">
        <v>934</v>
      </c>
      <c r="H57" s="544" t="s">
        <v>934</v>
      </c>
      <c r="I57" s="31" t="str">
        <f t="shared" si="2"/>
        <v>Cond4</v>
      </c>
    </row>
    <row r="58" spans="1:9" ht="14" x14ac:dyDescent="0.3">
      <c r="A58" s="88" t="str">
        <f>'G-1 All Habitats'!B39</f>
        <v>Lakes - Ornamental lake or pond</v>
      </c>
      <c r="B58" s="544">
        <v>3</v>
      </c>
      <c r="C58" s="544">
        <v>2.5</v>
      </c>
      <c r="D58" s="544">
        <v>2</v>
      </c>
      <c r="E58" s="544">
        <v>1.5</v>
      </c>
      <c r="F58" s="544">
        <v>1</v>
      </c>
      <c r="G58" s="544" t="s">
        <v>934</v>
      </c>
      <c r="H58" s="544" t="s">
        <v>934</v>
      </c>
      <c r="I58" s="31" t="str">
        <f t="shared" si="2"/>
        <v>Cond4</v>
      </c>
    </row>
    <row r="59" spans="1:9" ht="14" x14ac:dyDescent="0.3">
      <c r="A59" s="88" t="str">
        <f>'G-1 All Habitats'!B58</f>
        <v>Urban - Artificial unvegetated, unsealed surface</v>
      </c>
      <c r="B59" s="544" t="s">
        <v>934</v>
      </c>
      <c r="C59" s="544" t="s">
        <v>934</v>
      </c>
      <c r="D59" s="544" t="s">
        <v>934</v>
      </c>
      <c r="E59" s="544" t="s">
        <v>934</v>
      </c>
      <c r="F59" s="544" t="s">
        <v>934</v>
      </c>
      <c r="G59" s="544" t="s">
        <v>934</v>
      </c>
      <c r="H59" s="593">
        <v>0</v>
      </c>
      <c r="I59" s="31" t="str">
        <f t="shared" si="2"/>
        <v>Cond2</v>
      </c>
    </row>
    <row r="60" spans="1:9" ht="14" x14ac:dyDescent="0.3">
      <c r="A60" s="88" t="str">
        <f>'G-1 All Habitats'!B59</f>
        <v>Urban - Bioswale</v>
      </c>
      <c r="B60" s="544">
        <v>3</v>
      </c>
      <c r="C60" s="544">
        <v>2.5</v>
      </c>
      <c r="D60" s="544">
        <v>2</v>
      </c>
      <c r="E60" s="544">
        <v>1.5</v>
      </c>
      <c r="F60" s="544">
        <v>1</v>
      </c>
      <c r="G60" s="544" t="s">
        <v>934</v>
      </c>
      <c r="H60" s="544" t="s">
        <v>934</v>
      </c>
      <c r="I60" s="31" t="str">
        <f t="shared" si="2"/>
        <v>Cond4</v>
      </c>
    </row>
    <row r="61" spans="1:9" ht="14" x14ac:dyDescent="0.3">
      <c r="A61" s="88" t="str">
        <f>'G-1 All Habitats'!B60</f>
        <v>Urban - Intensive green roof</v>
      </c>
      <c r="B61" s="544">
        <v>3</v>
      </c>
      <c r="C61" s="544">
        <v>2.5</v>
      </c>
      <c r="D61" s="544">
        <v>2</v>
      </c>
      <c r="E61" s="544">
        <v>1.5</v>
      </c>
      <c r="F61" s="544">
        <v>1</v>
      </c>
      <c r="G61" s="544" t="s">
        <v>934</v>
      </c>
      <c r="H61" s="544" t="s">
        <v>934</v>
      </c>
      <c r="I61" s="31" t="str">
        <f t="shared" si="2"/>
        <v>Cond4</v>
      </c>
    </row>
    <row r="62" spans="1:9" ht="14" x14ac:dyDescent="0.3">
      <c r="A62" s="88" t="str">
        <f>'G-1 All Habitats'!B61</f>
        <v>Urban - Built linear features</v>
      </c>
      <c r="B62" s="544" t="s">
        <v>934</v>
      </c>
      <c r="C62" s="544" t="s">
        <v>934</v>
      </c>
      <c r="D62" s="544" t="s">
        <v>934</v>
      </c>
      <c r="E62" s="544" t="s">
        <v>934</v>
      </c>
      <c r="F62" s="544" t="s">
        <v>934</v>
      </c>
      <c r="G62" s="544" t="s">
        <v>934</v>
      </c>
      <c r="H62" s="593">
        <v>0</v>
      </c>
      <c r="I62" s="31" t="str">
        <f t="shared" si="2"/>
        <v>Cond2</v>
      </c>
    </row>
    <row r="63" spans="1:9" ht="14" x14ac:dyDescent="0.3">
      <c r="A63" s="88" t="str">
        <f>'G-1 All Habitats'!B62</f>
        <v>Urban - Cemeteries and churchyards</v>
      </c>
      <c r="B63" s="544">
        <v>3</v>
      </c>
      <c r="C63" s="544">
        <v>2.5</v>
      </c>
      <c r="D63" s="544">
        <v>2</v>
      </c>
      <c r="E63" s="544">
        <v>1.5</v>
      </c>
      <c r="F63" s="544">
        <v>1</v>
      </c>
      <c r="G63" s="544" t="s">
        <v>934</v>
      </c>
      <c r="H63" s="544" t="s">
        <v>934</v>
      </c>
      <c r="I63" s="31" t="str">
        <f t="shared" si="2"/>
        <v>Cond4</v>
      </c>
    </row>
    <row r="64" spans="1:9" ht="14" x14ac:dyDescent="0.3">
      <c r="A64" s="88" t="str">
        <f>'G-1 All Habitats'!B63</f>
        <v>Urban - Developed land; sealed surface</v>
      </c>
      <c r="B64" s="544" t="s">
        <v>934</v>
      </c>
      <c r="C64" s="544" t="s">
        <v>934</v>
      </c>
      <c r="D64" s="544" t="s">
        <v>934</v>
      </c>
      <c r="E64" s="544" t="s">
        <v>934</v>
      </c>
      <c r="F64" s="544" t="s">
        <v>934</v>
      </c>
      <c r="G64" s="544" t="s">
        <v>934</v>
      </c>
      <c r="H64" s="593">
        <v>0</v>
      </c>
      <c r="I64" s="31" t="str">
        <f t="shared" si="2"/>
        <v>Cond2</v>
      </c>
    </row>
    <row r="65" spans="1:9" ht="14" x14ac:dyDescent="0.3">
      <c r="A65" s="88" t="str">
        <f>'G-1 All Habitats'!B64</f>
        <v>Urban - Other green roof</v>
      </c>
      <c r="B65" s="544" t="s">
        <v>934</v>
      </c>
      <c r="C65" s="544" t="s">
        <v>934</v>
      </c>
      <c r="D65" s="544" t="s">
        <v>934</v>
      </c>
      <c r="E65" s="544" t="s">
        <v>934</v>
      </c>
      <c r="F65" s="544" t="s">
        <v>934</v>
      </c>
      <c r="G65" s="544">
        <v>1</v>
      </c>
      <c r="H65" s="544" t="s">
        <v>934</v>
      </c>
      <c r="I65" s="31" t="str">
        <f t="shared" si="2"/>
        <v>Cond1</v>
      </c>
    </row>
    <row r="66" spans="1:9" ht="14" x14ac:dyDescent="0.3">
      <c r="A66" s="88" t="str">
        <f>'G-1 All Habitats'!B65</f>
        <v>Urban - Facade-bound green wall</v>
      </c>
      <c r="B66" s="544">
        <v>3</v>
      </c>
      <c r="C66" s="544">
        <v>2.5</v>
      </c>
      <c r="D66" s="544">
        <v>2</v>
      </c>
      <c r="E66" s="544">
        <v>1.5</v>
      </c>
      <c r="F66" s="544">
        <v>1</v>
      </c>
      <c r="G66" s="544" t="s">
        <v>934</v>
      </c>
      <c r="H66" s="544" t="s">
        <v>934</v>
      </c>
      <c r="I66" s="31" t="str">
        <f t="shared" si="2"/>
        <v>Cond4</v>
      </c>
    </row>
    <row r="67" spans="1:9" ht="14" x14ac:dyDescent="0.3">
      <c r="A67" s="88" t="str">
        <f>'G-1 All Habitats'!B66</f>
        <v>Urban - Ground based green wall</v>
      </c>
      <c r="B67" s="544">
        <v>3</v>
      </c>
      <c r="C67" s="544">
        <v>2.5</v>
      </c>
      <c r="D67" s="544">
        <v>2</v>
      </c>
      <c r="E67" s="544">
        <v>1.5</v>
      </c>
      <c r="F67" s="544">
        <v>1</v>
      </c>
      <c r="G67" s="544" t="s">
        <v>934</v>
      </c>
      <c r="H67" s="544" t="s">
        <v>934</v>
      </c>
      <c r="I67" s="31" t="str">
        <f t="shared" si="2"/>
        <v>Cond4</v>
      </c>
    </row>
    <row r="68" spans="1:9" ht="14" x14ac:dyDescent="0.3">
      <c r="A68" s="88" t="str">
        <f>'G-1 All Habitats'!B67</f>
        <v>Urban - Ground level planters</v>
      </c>
      <c r="B68" s="544" t="s">
        <v>934</v>
      </c>
      <c r="C68" s="544" t="s">
        <v>934</v>
      </c>
      <c r="D68" s="544" t="s">
        <v>934</v>
      </c>
      <c r="E68" s="544" t="s">
        <v>934</v>
      </c>
      <c r="F68" s="544" t="s">
        <v>934</v>
      </c>
      <c r="G68" s="544">
        <v>1</v>
      </c>
      <c r="H68" s="544" t="s">
        <v>934</v>
      </c>
      <c r="I68" s="31" t="str">
        <f t="shared" si="2"/>
        <v>Cond1</v>
      </c>
    </row>
    <row r="69" spans="1:9" ht="14" x14ac:dyDescent="0.3">
      <c r="A69" s="88" t="str">
        <f>'G-1 All Habitats'!B68</f>
        <v>Urban - Biodiverse green roof</v>
      </c>
      <c r="B69" s="544">
        <v>3</v>
      </c>
      <c r="C69" s="544">
        <v>2.5</v>
      </c>
      <c r="D69" s="544">
        <v>2</v>
      </c>
      <c r="E69" s="544">
        <v>1.5</v>
      </c>
      <c r="F69" s="544">
        <v>1</v>
      </c>
      <c r="G69" s="544" t="s">
        <v>934</v>
      </c>
      <c r="H69" s="544" t="s">
        <v>934</v>
      </c>
      <c r="I69" s="31" t="str">
        <f t="shared" si="2"/>
        <v>Cond4</v>
      </c>
    </row>
    <row r="70" spans="1:9" ht="14" x14ac:dyDescent="0.3">
      <c r="A70" s="88" t="str">
        <f>'G-1 All Habitats'!B69</f>
        <v>Urban - Introduced shrub</v>
      </c>
      <c r="B70" s="544" t="s">
        <v>934</v>
      </c>
      <c r="C70" s="544" t="s">
        <v>934</v>
      </c>
      <c r="D70" s="544" t="s">
        <v>934</v>
      </c>
      <c r="E70" s="544" t="s">
        <v>934</v>
      </c>
      <c r="F70" s="544" t="s">
        <v>934</v>
      </c>
      <c r="G70" s="544">
        <v>1</v>
      </c>
      <c r="H70" s="544" t="s">
        <v>934</v>
      </c>
      <c r="I70" s="31" t="str">
        <f t="shared" si="2"/>
        <v>Cond1</v>
      </c>
    </row>
    <row r="71" spans="1:9" ht="14" x14ac:dyDescent="0.3">
      <c r="A71" s="88" t="str">
        <f>'G-1 All Habitats'!B70</f>
        <v>Urban - Open Mosaic Habitats on Previously Developed Land</v>
      </c>
      <c r="B71" s="544">
        <v>3</v>
      </c>
      <c r="C71" s="544">
        <v>2.5</v>
      </c>
      <c r="D71" s="544">
        <v>2</v>
      </c>
      <c r="E71" s="544">
        <v>1.5</v>
      </c>
      <c r="F71" s="544">
        <v>1</v>
      </c>
      <c r="G71" s="544" t="s">
        <v>934</v>
      </c>
      <c r="H71" s="544" t="s">
        <v>934</v>
      </c>
      <c r="I71" s="31" t="str">
        <f t="shared" si="2"/>
        <v>Cond4</v>
      </c>
    </row>
    <row r="72" spans="1:9" ht="14" x14ac:dyDescent="0.3">
      <c r="A72" s="88" t="str">
        <f>'G-1 All Habitats'!B71</f>
        <v>Urban - Rain garden</v>
      </c>
      <c r="B72" s="544">
        <v>3</v>
      </c>
      <c r="C72" s="544">
        <v>2.5</v>
      </c>
      <c r="D72" s="544">
        <v>2</v>
      </c>
      <c r="E72" s="544">
        <v>1.5</v>
      </c>
      <c r="F72" s="544">
        <v>1</v>
      </c>
      <c r="G72" s="544" t="s">
        <v>934</v>
      </c>
      <c r="H72" s="544" t="s">
        <v>934</v>
      </c>
      <c r="I72" s="31" t="str">
        <f t="shared" si="2"/>
        <v>Cond4</v>
      </c>
    </row>
    <row r="73" spans="1:9" ht="14" x14ac:dyDescent="0.3">
      <c r="A73" s="88" t="str">
        <f>'G-1 All Habitats'!B72</f>
        <v>Urban - Actively worked sand pit quarry or open cast mine</v>
      </c>
      <c r="B73" s="544" t="s">
        <v>934</v>
      </c>
      <c r="C73" s="544" t="s">
        <v>934</v>
      </c>
      <c r="D73" s="544" t="s">
        <v>934</v>
      </c>
      <c r="E73" s="544" t="s">
        <v>934</v>
      </c>
      <c r="F73" s="544" t="s">
        <v>934</v>
      </c>
      <c r="G73" s="544">
        <v>1</v>
      </c>
      <c r="H73" s="544" t="s">
        <v>934</v>
      </c>
      <c r="I73" s="31" t="str">
        <f t="shared" ref="I73:I86" si="3">IF(G73=1,"Cond1",IF(H73=0,"Cond2",IF(AND(B73=3,C73=2.5,D73=2,E73=1.5,F73=1),"Cond4",IF(F73=1,"Cond3","Check"))))</f>
        <v>Cond1</v>
      </c>
    </row>
    <row r="74" spans="1:9" ht="14" x14ac:dyDescent="0.3">
      <c r="A74" s="88" t="str">
        <f>'G-1 All Habitats'!B73</f>
        <v>Urban - Urban Tree</v>
      </c>
      <c r="B74" s="544">
        <v>3</v>
      </c>
      <c r="C74" s="544">
        <v>2.5</v>
      </c>
      <c r="D74" s="544">
        <v>2</v>
      </c>
      <c r="E74" s="544">
        <v>1.5</v>
      </c>
      <c r="F74" s="544">
        <v>1</v>
      </c>
      <c r="G74" s="544" t="s">
        <v>934</v>
      </c>
      <c r="H74" s="544" t="s">
        <v>934</v>
      </c>
      <c r="I74" s="31" t="str">
        <f t="shared" si="3"/>
        <v>Cond4</v>
      </c>
    </row>
    <row r="75" spans="1:9" ht="14" x14ac:dyDescent="0.3">
      <c r="A75" s="88" t="str">
        <f>'G-1 All Habitats'!B74</f>
        <v>Urban - Sustainable urban drainage feature</v>
      </c>
      <c r="B75" s="544">
        <v>3</v>
      </c>
      <c r="C75" s="544">
        <v>2.5</v>
      </c>
      <c r="D75" s="544">
        <v>2</v>
      </c>
      <c r="E75" s="544">
        <v>1.5</v>
      </c>
      <c r="F75" s="544">
        <v>1</v>
      </c>
      <c r="G75" s="544" t="s">
        <v>934</v>
      </c>
      <c r="H75" s="544" t="s">
        <v>934</v>
      </c>
      <c r="I75" s="31" t="str">
        <f t="shared" si="3"/>
        <v>Cond4</v>
      </c>
    </row>
    <row r="76" spans="1:9" ht="14" x14ac:dyDescent="0.3">
      <c r="A76" s="88" t="str">
        <f>'G-1 All Habitats'!B75</f>
        <v>Urban - Un-vegetated garden</v>
      </c>
      <c r="B76" s="544" t="s">
        <v>934</v>
      </c>
      <c r="C76" s="544" t="s">
        <v>934</v>
      </c>
      <c r="D76" s="544" t="s">
        <v>934</v>
      </c>
      <c r="E76" s="544" t="s">
        <v>934</v>
      </c>
      <c r="F76" s="544" t="s">
        <v>934</v>
      </c>
      <c r="G76" s="544" t="s">
        <v>934</v>
      </c>
      <c r="H76" s="593">
        <v>0</v>
      </c>
      <c r="I76" s="31" t="str">
        <f t="shared" si="3"/>
        <v>Cond2</v>
      </c>
    </row>
    <row r="77" spans="1:9" ht="14" x14ac:dyDescent="0.3">
      <c r="A77" s="88" t="str">
        <f>'G-1 All Habitats'!B76</f>
        <v>Urban - Vacant/derelict land/ bareground</v>
      </c>
      <c r="B77" s="544">
        <v>3</v>
      </c>
      <c r="C77" s="544">
        <v>2.5</v>
      </c>
      <c r="D77" s="544">
        <v>2</v>
      </c>
      <c r="E77" s="544">
        <v>1.5</v>
      </c>
      <c r="F77" s="544">
        <v>1</v>
      </c>
      <c r="G77" s="544" t="s">
        <v>934</v>
      </c>
      <c r="H77" s="544" t="s">
        <v>934</v>
      </c>
      <c r="I77" s="31" t="str">
        <f t="shared" si="3"/>
        <v>Cond4</v>
      </c>
    </row>
    <row r="78" spans="1:9" ht="14" x14ac:dyDescent="0.3">
      <c r="A78" s="88" t="str">
        <f>'G-1 All Habitats'!B77</f>
        <v>Urban - Vegetated garden</v>
      </c>
      <c r="B78" s="544" t="s">
        <v>934</v>
      </c>
      <c r="C78" s="544" t="s">
        <v>934</v>
      </c>
      <c r="D78" s="544" t="s">
        <v>934</v>
      </c>
      <c r="E78" s="544" t="s">
        <v>934</v>
      </c>
      <c r="F78" s="544" t="s">
        <v>934</v>
      </c>
      <c r="G78" s="544">
        <v>1</v>
      </c>
      <c r="H78" s="544" t="s">
        <v>934</v>
      </c>
      <c r="I78" s="31" t="str">
        <f t="shared" si="3"/>
        <v>Cond1</v>
      </c>
    </row>
    <row r="79" spans="1:9" ht="14" x14ac:dyDescent="0.3">
      <c r="A79" s="88" t="str">
        <f>'G-1 All Habitats'!B78</f>
        <v>Wetland - Blanket bog</v>
      </c>
      <c r="B79" s="544">
        <v>3</v>
      </c>
      <c r="C79" s="544">
        <v>2.5</v>
      </c>
      <c r="D79" s="544">
        <v>2</v>
      </c>
      <c r="E79" s="544">
        <v>1.5</v>
      </c>
      <c r="F79" s="544">
        <v>1</v>
      </c>
      <c r="G79" s="544" t="s">
        <v>934</v>
      </c>
      <c r="H79" s="544" t="s">
        <v>934</v>
      </c>
      <c r="I79" s="31" t="str">
        <f t="shared" si="3"/>
        <v>Cond4</v>
      </c>
    </row>
    <row r="80" spans="1:9" ht="14" x14ac:dyDescent="0.3">
      <c r="A80" s="88" t="str">
        <f>'G-1 All Habitats'!B79</f>
        <v>Wetland - Depressions on Peat substrates (H7150)</v>
      </c>
      <c r="B80" s="544">
        <v>3</v>
      </c>
      <c r="C80" s="544">
        <v>2.5</v>
      </c>
      <c r="D80" s="544">
        <v>2</v>
      </c>
      <c r="E80" s="544">
        <v>1.5</v>
      </c>
      <c r="F80" s="544">
        <v>1</v>
      </c>
      <c r="G80" s="544" t="s">
        <v>934</v>
      </c>
      <c r="H80" s="544" t="s">
        <v>934</v>
      </c>
      <c r="I80" s="31" t="str">
        <f t="shared" si="3"/>
        <v>Cond4</v>
      </c>
    </row>
    <row r="81" spans="1:9" ht="14" x14ac:dyDescent="0.3">
      <c r="A81" s="88" t="str">
        <f>'G-1 All Habitats'!B80</f>
        <v>Wetland - Fens (upland and lowland)</v>
      </c>
      <c r="B81" s="544">
        <v>3</v>
      </c>
      <c r="C81" s="544">
        <v>2.5</v>
      </c>
      <c r="D81" s="544">
        <v>2</v>
      </c>
      <c r="E81" s="544">
        <v>1.5</v>
      </c>
      <c r="F81" s="544">
        <v>1</v>
      </c>
      <c r="G81" s="544" t="s">
        <v>934</v>
      </c>
      <c r="H81" s="544" t="s">
        <v>934</v>
      </c>
      <c r="I81" s="31" t="str">
        <f t="shared" si="3"/>
        <v>Cond4</v>
      </c>
    </row>
    <row r="82" spans="1:9" ht="14" x14ac:dyDescent="0.3">
      <c r="A82" s="88" t="str">
        <f>'G-1 All Habitats'!B81</f>
        <v>Wetland - Lowland raised bog</v>
      </c>
      <c r="B82" s="544">
        <v>3</v>
      </c>
      <c r="C82" s="544">
        <v>2.5</v>
      </c>
      <c r="D82" s="544">
        <v>2</v>
      </c>
      <c r="E82" s="544">
        <v>1.5</v>
      </c>
      <c r="F82" s="544">
        <v>1</v>
      </c>
      <c r="G82" s="544" t="s">
        <v>934</v>
      </c>
      <c r="H82" s="544" t="s">
        <v>934</v>
      </c>
      <c r="I82" s="31" t="str">
        <f t="shared" si="3"/>
        <v>Cond4</v>
      </c>
    </row>
    <row r="83" spans="1:9" ht="14" x14ac:dyDescent="0.3">
      <c r="A83" s="88" t="str">
        <f>'G-1 All Habitats'!B82</f>
        <v>Wetland - Oceanic Valley Mire[1] (D2.1)</v>
      </c>
      <c r="B83" s="544">
        <v>3</v>
      </c>
      <c r="C83" s="544">
        <v>2.5</v>
      </c>
      <c r="D83" s="544">
        <v>2</v>
      </c>
      <c r="E83" s="544">
        <v>1.5</v>
      </c>
      <c r="F83" s="544">
        <v>1</v>
      </c>
      <c r="G83" s="544" t="s">
        <v>934</v>
      </c>
      <c r="H83" s="544" t="s">
        <v>934</v>
      </c>
      <c r="I83" s="31" t="str">
        <f t="shared" si="3"/>
        <v>Cond4</v>
      </c>
    </row>
    <row r="84" spans="1:9" ht="14" x14ac:dyDescent="0.3">
      <c r="A84" s="88" t="str">
        <f>'G-1 All Habitats'!B83</f>
        <v>Wetland - Purple moor grass and rush pastures</v>
      </c>
      <c r="B84" s="544">
        <v>3</v>
      </c>
      <c r="C84" s="544">
        <v>2.5</v>
      </c>
      <c r="D84" s="544">
        <v>2</v>
      </c>
      <c r="E84" s="544">
        <v>1.5</v>
      </c>
      <c r="F84" s="544">
        <v>1</v>
      </c>
      <c r="G84" s="544" t="s">
        <v>934</v>
      </c>
      <c r="H84" s="544" t="s">
        <v>934</v>
      </c>
      <c r="I84" s="31" t="str">
        <f t="shared" si="3"/>
        <v>Cond4</v>
      </c>
    </row>
    <row r="85" spans="1:9" ht="14" x14ac:dyDescent="0.3">
      <c r="A85" s="88" t="str">
        <f>'G-1 All Habitats'!B84</f>
        <v>Wetland - Reedbeds</v>
      </c>
      <c r="B85" s="544">
        <v>3</v>
      </c>
      <c r="C85" s="544">
        <v>2.5</v>
      </c>
      <c r="D85" s="544">
        <v>2</v>
      </c>
      <c r="E85" s="544">
        <v>1.5</v>
      </c>
      <c r="F85" s="544">
        <v>1</v>
      </c>
      <c r="G85" s="544" t="s">
        <v>934</v>
      </c>
      <c r="H85" s="544" t="s">
        <v>934</v>
      </c>
      <c r="I85" s="31" t="str">
        <f t="shared" si="3"/>
        <v>Cond4</v>
      </c>
    </row>
    <row r="86" spans="1:9" ht="14" x14ac:dyDescent="0.3">
      <c r="A86" s="88" t="str">
        <f>'G-1 All Habitats'!B85</f>
        <v>Wetland - Transition mires and quaking bogs (H7140)</v>
      </c>
      <c r="B86" s="544">
        <v>3</v>
      </c>
      <c r="C86" s="544">
        <v>2.5</v>
      </c>
      <c r="D86" s="544">
        <v>2</v>
      </c>
      <c r="E86" s="544">
        <v>1.5</v>
      </c>
      <c r="F86" s="544">
        <v>1</v>
      </c>
      <c r="G86" s="544" t="s">
        <v>934</v>
      </c>
      <c r="H86" s="544" t="s">
        <v>934</v>
      </c>
      <c r="I86" s="31" t="str">
        <f t="shared" si="3"/>
        <v>Cond4</v>
      </c>
    </row>
    <row r="87" spans="1:9" ht="14" x14ac:dyDescent="0.3">
      <c r="A87" s="88" t="str">
        <f>'G-1 All Habitats'!B86</f>
        <v>Woodland and forest - Felled</v>
      </c>
      <c r="B87" s="544">
        <v>3</v>
      </c>
      <c r="C87" s="544" t="s">
        <v>934</v>
      </c>
      <c r="D87" s="544" t="s">
        <v>934</v>
      </c>
      <c r="E87" s="544" t="s">
        <v>934</v>
      </c>
      <c r="F87" s="544" t="s">
        <v>934</v>
      </c>
      <c r="G87" s="544" t="s">
        <v>934</v>
      </c>
      <c r="H87" s="544" t="s">
        <v>934</v>
      </c>
      <c r="I87" s="31" t="s">
        <v>1045</v>
      </c>
    </row>
    <row r="88" spans="1:9" ht="14" x14ac:dyDescent="0.3">
      <c r="A88" s="88" t="str">
        <f>'G-1 All Habitats'!B87</f>
        <v>Woodland and forest - Lowland beech and yew woodland</v>
      </c>
      <c r="B88" s="544">
        <v>3</v>
      </c>
      <c r="C88" s="544">
        <v>2.5</v>
      </c>
      <c r="D88" s="544">
        <v>2</v>
      </c>
      <c r="E88" s="544">
        <v>1.5</v>
      </c>
      <c r="F88" s="544">
        <v>1</v>
      </c>
      <c r="G88" s="544" t="s">
        <v>934</v>
      </c>
      <c r="H88" s="544" t="s">
        <v>934</v>
      </c>
      <c r="I88" s="31" t="str">
        <f t="shared" ref="I88:I130" si="4">IF(G88=1,"Cond1",IF(H88=0,"Cond2",IF(AND(B88=3,C88=2.5,D88=2,E88=1.5,F88=1),"Cond4",IF(F88=1,"Cond3","Check"))))</f>
        <v>Cond4</v>
      </c>
    </row>
    <row r="89" spans="1:9" ht="14" x14ac:dyDescent="0.3">
      <c r="A89" s="88" t="str">
        <f>'G-1 All Habitats'!B88</f>
        <v>Woodland and forest - Lowland mixed deciduous woodland</v>
      </c>
      <c r="B89" s="544">
        <v>3</v>
      </c>
      <c r="C89" s="544">
        <v>2.5</v>
      </c>
      <c r="D89" s="544">
        <v>2</v>
      </c>
      <c r="E89" s="544">
        <v>1.5</v>
      </c>
      <c r="F89" s="544">
        <v>1</v>
      </c>
      <c r="G89" s="544" t="s">
        <v>934</v>
      </c>
      <c r="H89" s="544" t="s">
        <v>934</v>
      </c>
      <c r="I89" s="31" t="str">
        <f t="shared" si="4"/>
        <v>Cond4</v>
      </c>
    </row>
    <row r="90" spans="1:9" ht="14" x14ac:dyDescent="0.3">
      <c r="A90" s="88" t="str">
        <f>'G-1 All Habitats'!B89</f>
        <v>Woodland and forest - Native pine woodlands</v>
      </c>
      <c r="B90" s="544">
        <v>3</v>
      </c>
      <c r="C90" s="544">
        <v>2.5</v>
      </c>
      <c r="D90" s="544">
        <v>2</v>
      </c>
      <c r="E90" s="544">
        <v>1.5</v>
      </c>
      <c r="F90" s="544">
        <v>1</v>
      </c>
      <c r="G90" s="544" t="s">
        <v>934</v>
      </c>
      <c r="H90" s="544" t="s">
        <v>934</v>
      </c>
      <c r="I90" s="31" t="str">
        <f t="shared" si="4"/>
        <v>Cond4</v>
      </c>
    </row>
    <row r="91" spans="1:9" ht="14" x14ac:dyDescent="0.3">
      <c r="A91" s="88" t="str">
        <f>'G-1 All Habitats'!B90</f>
        <v>Woodland and forest - Other coniferous woodland</v>
      </c>
      <c r="B91" s="544">
        <v>3</v>
      </c>
      <c r="C91" s="544">
        <v>2.5</v>
      </c>
      <c r="D91" s="544">
        <v>2</v>
      </c>
      <c r="E91" s="544">
        <v>1.5</v>
      </c>
      <c r="F91" s="544">
        <v>1</v>
      </c>
      <c r="G91" s="544" t="s">
        <v>934</v>
      </c>
      <c r="H91" s="544" t="s">
        <v>934</v>
      </c>
      <c r="I91" s="31" t="str">
        <f t="shared" si="4"/>
        <v>Cond4</v>
      </c>
    </row>
    <row r="92" spans="1:9" ht="14" x14ac:dyDescent="0.3">
      <c r="A92" s="88" t="str">
        <f>'G-1 All Habitats'!B91</f>
        <v>Woodland and forest - Other Scot's Pine woodland</v>
      </c>
      <c r="B92" s="544">
        <v>3</v>
      </c>
      <c r="C92" s="544">
        <v>2.5</v>
      </c>
      <c r="D92" s="544">
        <v>2</v>
      </c>
      <c r="E92" s="544">
        <v>1.5</v>
      </c>
      <c r="F92" s="544">
        <v>1</v>
      </c>
      <c r="G92" s="544" t="s">
        <v>934</v>
      </c>
      <c r="H92" s="544" t="s">
        <v>934</v>
      </c>
      <c r="I92" s="31" t="str">
        <f t="shared" si="4"/>
        <v>Cond4</v>
      </c>
    </row>
    <row r="93" spans="1:9" ht="14" x14ac:dyDescent="0.3">
      <c r="A93" s="88" t="str">
        <f>'G-1 All Habitats'!B92</f>
        <v>Woodland and forest - Other woodland; broadleaved</v>
      </c>
      <c r="B93" s="544">
        <v>3</v>
      </c>
      <c r="C93" s="544">
        <v>2.5</v>
      </c>
      <c r="D93" s="544">
        <v>2</v>
      </c>
      <c r="E93" s="544">
        <v>1.5</v>
      </c>
      <c r="F93" s="544">
        <v>1</v>
      </c>
      <c r="G93" s="544" t="s">
        <v>934</v>
      </c>
      <c r="H93" s="544" t="s">
        <v>934</v>
      </c>
      <c r="I93" s="31" t="str">
        <f t="shared" si="4"/>
        <v>Cond4</v>
      </c>
    </row>
    <row r="94" spans="1:9" ht="14" x14ac:dyDescent="0.3">
      <c r="A94" s="88" t="str">
        <f>'G-1 All Habitats'!B93</f>
        <v>Woodland and forest - Other woodland; mixed</v>
      </c>
      <c r="B94" s="544">
        <v>3</v>
      </c>
      <c r="C94" s="544">
        <v>2.5</v>
      </c>
      <c r="D94" s="544">
        <v>2</v>
      </c>
      <c r="E94" s="544">
        <v>1.5</v>
      </c>
      <c r="F94" s="544">
        <v>1</v>
      </c>
      <c r="G94" s="544" t="s">
        <v>934</v>
      </c>
      <c r="H94" s="544" t="s">
        <v>934</v>
      </c>
      <c r="I94" s="31" t="str">
        <f t="shared" si="4"/>
        <v>Cond4</v>
      </c>
    </row>
    <row r="95" spans="1:9" ht="14" x14ac:dyDescent="0.3">
      <c r="A95" s="88" t="str">
        <f>'G-1 All Habitats'!B94</f>
        <v>Woodland and forest - Upland birchwoods</v>
      </c>
      <c r="B95" s="544">
        <v>3</v>
      </c>
      <c r="C95" s="544">
        <v>2.5</v>
      </c>
      <c r="D95" s="544">
        <v>2</v>
      </c>
      <c r="E95" s="544">
        <v>1.5</v>
      </c>
      <c r="F95" s="544">
        <v>1</v>
      </c>
      <c r="G95" s="544" t="s">
        <v>934</v>
      </c>
      <c r="H95" s="544" t="s">
        <v>934</v>
      </c>
      <c r="I95" s="31" t="str">
        <f t="shared" si="4"/>
        <v>Cond4</v>
      </c>
    </row>
    <row r="96" spans="1:9" ht="14" x14ac:dyDescent="0.3">
      <c r="A96" s="88" t="str">
        <f>'G-1 All Habitats'!B95</f>
        <v>Woodland and forest - Upland mixed ashwoods</v>
      </c>
      <c r="B96" s="544">
        <v>3</v>
      </c>
      <c r="C96" s="544">
        <v>2.5</v>
      </c>
      <c r="D96" s="544">
        <v>2</v>
      </c>
      <c r="E96" s="544">
        <v>1.5</v>
      </c>
      <c r="F96" s="544">
        <v>1</v>
      </c>
      <c r="G96" s="544" t="s">
        <v>934</v>
      </c>
      <c r="H96" s="544" t="s">
        <v>934</v>
      </c>
      <c r="I96" s="31" t="str">
        <f t="shared" si="4"/>
        <v>Cond4</v>
      </c>
    </row>
    <row r="97" spans="1:9" ht="14" x14ac:dyDescent="0.3">
      <c r="A97" s="88" t="str">
        <f>'G-1 All Habitats'!B96</f>
        <v>Woodland and forest - Upland oakwood</v>
      </c>
      <c r="B97" s="544">
        <v>3</v>
      </c>
      <c r="C97" s="544">
        <v>2.5</v>
      </c>
      <c r="D97" s="544">
        <v>2</v>
      </c>
      <c r="E97" s="544">
        <v>1.5</v>
      </c>
      <c r="F97" s="544">
        <v>1</v>
      </c>
      <c r="G97" s="544" t="s">
        <v>934</v>
      </c>
      <c r="H97" s="544" t="s">
        <v>934</v>
      </c>
      <c r="I97" s="31" t="str">
        <f t="shared" si="4"/>
        <v>Cond4</v>
      </c>
    </row>
    <row r="98" spans="1:9" ht="14" x14ac:dyDescent="0.3">
      <c r="A98" s="88" t="str">
        <f>'G-1 All Habitats'!B97</f>
        <v>Woodland and forest - Wet woodland</v>
      </c>
      <c r="B98" s="544">
        <v>3</v>
      </c>
      <c r="C98" s="544">
        <v>2.5</v>
      </c>
      <c r="D98" s="544">
        <v>2</v>
      </c>
      <c r="E98" s="544">
        <v>1.5</v>
      </c>
      <c r="F98" s="544">
        <v>1</v>
      </c>
      <c r="G98" s="544" t="s">
        <v>934</v>
      </c>
      <c r="H98" s="544" t="s">
        <v>934</v>
      </c>
      <c r="I98" s="31" t="str">
        <f t="shared" si="4"/>
        <v>Cond4</v>
      </c>
    </row>
    <row r="99" spans="1:9" ht="14" x14ac:dyDescent="0.3">
      <c r="A99" s="88" t="str">
        <f>'G-1 All Habitats'!B98</f>
        <v>Woodland and forest - Wood-pasture and parkland</v>
      </c>
      <c r="B99" s="544">
        <v>3</v>
      </c>
      <c r="C99" s="544">
        <v>2.5</v>
      </c>
      <c r="D99" s="544">
        <v>2</v>
      </c>
      <c r="E99" s="544">
        <v>1.5</v>
      </c>
      <c r="F99" s="544">
        <v>1</v>
      </c>
      <c r="G99" s="544" t="s">
        <v>934</v>
      </c>
      <c r="H99" s="544" t="s">
        <v>934</v>
      </c>
      <c r="I99" s="31" t="str">
        <f t="shared" si="4"/>
        <v>Cond4</v>
      </c>
    </row>
    <row r="100" spans="1:9" ht="14" x14ac:dyDescent="0.3">
      <c r="A100" s="88" t="str">
        <f>'G-1 All Habitats'!B99</f>
        <v>Coastal lagoons - Coastal lagoons</v>
      </c>
      <c r="B100" s="544">
        <v>3</v>
      </c>
      <c r="C100" s="544">
        <v>2.5</v>
      </c>
      <c r="D100" s="544">
        <v>2</v>
      </c>
      <c r="E100" s="544">
        <v>1.5</v>
      </c>
      <c r="F100" s="544">
        <v>1</v>
      </c>
      <c r="G100" s="544" t="s">
        <v>934</v>
      </c>
      <c r="H100" s="544" t="s">
        <v>934</v>
      </c>
      <c r="I100" s="31" t="str">
        <f t="shared" si="4"/>
        <v>Cond4</v>
      </c>
    </row>
    <row r="101" spans="1:9" ht="14" x14ac:dyDescent="0.3">
      <c r="A101" s="88" t="str">
        <f>'G-1 All Habitats'!B100</f>
        <v>Rocky shore - High energy littoral rock</v>
      </c>
      <c r="B101" s="544">
        <v>3</v>
      </c>
      <c r="C101" s="544">
        <v>2.5</v>
      </c>
      <c r="D101" s="544">
        <v>2</v>
      </c>
      <c r="E101" s="544">
        <v>1.5</v>
      </c>
      <c r="F101" s="544">
        <v>1</v>
      </c>
      <c r="G101" s="544" t="s">
        <v>934</v>
      </c>
      <c r="H101" s="544" t="s">
        <v>934</v>
      </c>
      <c r="I101" s="31" t="str">
        <f t="shared" si="4"/>
        <v>Cond4</v>
      </c>
    </row>
    <row r="102" spans="1:9" ht="14" x14ac:dyDescent="0.3">
      <c r="A102" s="88" t="str">
        <f>'G-1 All Habitats'!B101</f>
        <v>Rocky shore - High energy littoral rock - on peat, clay or chalk</v>
      </c>
      <c r="B102" s="544">
        <v>3</v>
      </c>
      <c r="C102" s="544">
        <v>2.5</v>
      </c>
      <c r="D102" s="544">
        <v>2</v>
      </c>
      <c r="E102" s="544">
        <v>1.5</v>
      </c>
      <c r="F102" s="544">
        <v>1</v>
      </c>
      <c r="G102" s="544" t="s">
        <v>934</v>
      </c>
      <c r="H102" s="544" t="s">
        <v>934</v>
      </c>
      <c r="I102" s="31" t="str">
        <f t="shared" si="4"/>
        <v>Cond4</v>
      </c>
    </row>
    <row r="103" spans="1:9" ht="14" x14ac:dyDescent="0.3">
      <c r="A103" s="88" t="str">
        <f>'G-1 All Habitats'!B102</f>
        <v>Rocky shore - Moderate energy littoral rock</v>
      </c>
      <c r="B103" s="544">
        <v>3</v>
      </c>
      <c r="C103" s="544">
        <v>2.5</v>
      </c>
      <c r="D103" s="544">
        <v>2</v>
      </c>
      <c r="E103" s="544">
        <v>1.5</v>
      </c>
      <c r="F103" s="544">
        <v>1</v>
      </c>
      <c r="G103" s="544" t="s">
        <v>934</v>
      </c>
      <c r="H103" s="544" t="s">
        <v>934</v>
      </c>
      <c r="I103" s="31" t="str">
        <f t="shared" si="4"/>
        <v>Cond4</v>
      </c>
    </row>
    <row r="104" spans="1:9" ht="14" x14ac:dyDescent="0.3">
      <c r="A104" s="88" t="str">
        <f>'G-1 All Habitats'!B103</f>
        <v>Rocky shore - Moderate energy littoral rock - on peat, clay or chalk</v>
      </c>
      <c r="B104" s="544">
        <v>3</v>
      </c>
      <c r="C104" s="544">
        <v>2.5</v>
      </c>
      <c r="D104" s="544">
        <v>2</v>
      </c>
      <c r="E104" s="544">
        <v>1.5</v>
      </c>
      <c r="F104" s="544">
        <v>1</v>
      </c>
      <c r="G104" s="544" t="s">
        <v>934</v>
      </c>
      <c r="H104" s="544" t="s">
        <v>934</v>
      </c>
      <c r="I104" s="31" t="str">
        <f t="shared" si="4"/>
        <v>Cond4</v>
      </c>
    </row>
    <row r="105" spans="1:9" ht="14" x14ac:dyDescent="0.3">
      <c r="A105" s="88" t="str">
        <f>'G-1 All Habitats'!B104</f>
        <v>Rocky shore - Low energy littoral rock</v>
      </c>
      <c r="B105" s="544">
        <v>3</v>
      </c>
      <c r="C105" s="544">
        <v>2.5</v>
      </c>
      <c r="D105" s="544">
        <v>2</v>
      </c>
      <c r="E105" s="544">
        <v>1.5</v>
      </c>
      <c r="F105" s="544">
        <v>1</v>
      </c>
      <c r="G105" s="544" t="s">
        <v>934</v>
      </c>
      <c r="H105" s="544" t="s">
        <v>934</v>
      </c>
      <c r="I105" s="31" t="str">
        <f t="shared" si="4"/>
        <v>Cond4</v>
      </c>
    </row>
    <row r="106" spans="1:9" ht="14" x14ac:dyDescent="0.3">
      <c r="A106" s="88" t="str">
        <f>'G-1 All Habitats'!B105</f>
        <v>Rocky shore - Low energy littoral rock - on peat, clay or chalk</v>
      </c>
      <c r="B106" s="544">
        <v>3</v>
      </c>
      <c r="C106" s="544">
        <v>2.5</v>
      </c>
      <c r="D106" s="544">
        <v>2</v>
      </c>
      <c r="E106" s="544">
        <v>1.5</v>
      </c>
      <c r="F106" s="544">
        <v>1</v>
      </c>
      <c r="G106" s="544" t="s">
        <v>934</v>
      </c>
      <c r="H106" s="544" t="s">
        <v>934</v>
      </c>
      <c r="I106" s="31" t="str">
        <f t="shared" si="4"/>
        <v>Cond4</v>
      </c>
    </row>
    <row r="107" spans="1:9" ht="14" x14ac:dyDescent="0.3">
      <c r="A107" s="88" t="str">
        <f>'G-1 All Habitats'!B106</f>
        <v>Rocky shore - Features of littoral rock</v>
      </c>
      <c r="B107" s="544">
        <v>3</v>
      </c>
      <c r="C107" s="544">
        <v>2.5</v>
      </c>
      <c r="D107" s="544">
        <v>2</v>
      </c>
      <c r="E107" s="544">
        <v>1.5</v>
      </c>
      <c r="F107" s="544">
        <v>1</v>
      </c>
      <c r="G107" s="544" t="s">
        <v>934</v>
      </c>
      <c r="H107" s="544" t="s">
        <v>934</v>
      </c>
      <c r="I107" s="31" t="str">
        <f t="shared" si="4"/>
        <v>Cond4</v>
      </c>
    </row>
    <row r="108" spans="1:9" ht="14" x14ac:dyDescent="0.3">
      <c r="A108" s="88" t="str">
        <f>'G-1 All Habitats'!B107</f>
        <v>Rocky shore - Features of littoral rock - on peat, clay or chalk</v>
      </c>
      <c r="B108" s="544">
        <v>3</v>
      </c>
      <c r="C108" s="544">
        <v>2.5</v>
      </c>
      <c r="D108" s="544">
        <v>2</v>
      </c>
      <c r="E108" s="544">
        <v>1.5</v>
      </c>
      <c r="F108" s="544">
        <v>1</v>
      </c>
      <c r="G108" s="544" t="s">
        <v>934</v>
      </c>
      <c r="H108" s="544" t="s">
        <v>934</v>
      </c>
      <c r="I108" s="31" t="str">
        <f t="shared" si="4"/>
        <v>Cond4</v>
      </c>
    </row>
    <row r="109" spans="1:9" ht="14" x14ac:dyDescent="0.3">
      <c r="A109" s="88" t="str">
        <f>'G-1 All Habitats'!B110</f>
        <v>Intertidal sediment - Littoral coarse sediment</v>
      </c>
      <c r="B109" s="544">
        <v>3</v>
      </c>
      <c r="C109" s="544">
        <v>2.5</v>
      </c>
      <c r="D109" s="544">
        <v>2</v>
      </c>
      <c r="E109" s="544">
        <v>1.5</v>
      </c>
      <c r="F109" s="544">
        <v>1</v>
      </c>
      <c r="G109" s="544" t="s">
        <v>934</v>
      </c>
      <c r="H109" s="544" t="s">
        <v>934</v>
      </c>
      <c r="I109" s="31" t="str">
        <f t="shared" si="4"/>
        <v>Cond4</v>
      </c>
    </row>
    <row r="110" spans="1:9" ht="14" x14ac:dyDescent="0.3">
      <c r="A110" s="88" t="str">
        <f>'G-1 All Habitats'!B111</f>
        <v>Intertidal sediment - Littoral mud</v>
      </c>
      <c r="B110" s="544">
        <v>3</v>
      </c>
      <c r="C110" s="544">
        <v>2.5</v>
      </c>
      <c r="D110" s="544">
        <v>2</v>
      </c>
      <c r="E110" s="544">
        <v>1.5</v>
      </c>
      <c r="F110" s="544">
        <v>1</v>
      </c>
      <c r="G110" s="544" t="s">
        <v>934</v>
      </c>
      <c r="H110" s="544" t="s">
        <v>934</v>
      </c>
      <c r="I110" s="31" t="str">
        <f t="shared" si="4"/>
        <v>Cond4</v>
      </c>
    </row>
    <row r="111" spans="1:9" ht="14" x14ac:dyDescent="0.3">
      <c r="A111" s="88" t="str">
        <f>'G-1 All Habitats'!B112</f>
        <v>Intertidal sediment - Littoral mixed sediments</v>
      </c>
      <c r="B111" s="544">
        <v>3</v>
      </c>
      <c r="C111" s="544">
        <v>2.5</v>
      </c>
      <c r="D111" s="544">
        <v>2</v>
      </c>
      <c r="E111" s="544">
        <v>1.5</v>
      </c>
      <c r="F111" s="544">
        <v>1</v>
      </c>
      <c r="G111" s="544" t="s">
        <v>934</v>
      </c>
      <c r="H111" s="544" t="s">
        <v>934</v>
      </c>
      <c r="I111" s="31" t="str">
        <f t="shared" si="4"/>
        <v>Cond4</v>
      </c>
    </row>
    <row r="112" spans="1:9" ht="14" x14ac:dyDescent="0.3">
      <c r="A112" s="88" t="str">
        <f>'G-1 All Habitats'!B108</f>
        <v>Coastal saltmarsh - Saltmarshes and saline reedbeds</v>
      </c>
      <c r="B112" s="544">
        <v>3</v>
      </c>
      <c r="C112" s="544">
        <v>2.5</v>
      </c>
      <c r="D112" s="544">
        <v>2</v>
      </c>
      <c r="E112" s="544">
        <v>1.5</v>
      </c>
      <c r="F112" s="544">
        <v>1</v>
      </c>
      <c r="G112" s="544" t="s">
        <v>934</v>
      </c>
      <c r="H112" s="544" t="s">
        <v>934</v>
      </c>
      <c r="I112" s="31" t="str">
        <f t="shared" si="4"/>
        <v>Cond4</v>
      </c>
    </row>
    <row r="113" spans="1:9" ht="14" x14ac:dyDescent="0.3">
      <c r="A113" s="88" t="str">
        <f>'G-1 All Habitats'!B109</f>
        <v>Coastal saltmarsh - Artificial saltmarshes and saline reedbeds</v>
      </c>
      <c r="B113" s="544">
        <v>3</v>
      </c>
      <c r="C113" s="544">
        <v>2.5</v>
      </c>
      <c r="D113" s="544">
        <v>2</v>
      </c>
      <c r="E113" s="544">
        <v>1.5</v>
      </c>
      <c r="F113" s="544">
        <v>1</v>
      </c>
      <c r="G113" s="544" t="s">
        <v>934</v>
      </c>
      <c r="H113" s="544" t="s">
        <v>934</v>
      </c>
      <c r="I113" s="31" t="str">
        <f t="shared" si="4"/>
        <v>Cond4</v>
      </c>
    </row>
    <row r="114" spans="1:9" ht="14" x14ac:dyDescent="0.3">
      <c r="A114" s="88" t="str">
        <f>'G-1 All Habitats'!B113</f>
        <v>Intertidal sediment - Littoral seagrass</v>
      </c>
      <c r="B114" s="544">
        <v>3</v>
      </c>
      <c r="C114" s="544">
        <v>2.5</v>
      </c>
      <c r="D114" s="544">
        <v>2</v>
      </c>
      <c r="E114" s="544">
        <v>1.5</v>
      </c>
      <c r="F114" s="544">
        <v>1</v>
      </c>
      <c r="G114" s="544" t="s">
        <v>934</v>
      </c>
      <c r="H114" s="544" t="s">
        <v>934</v>
      </c>
      <c r="I114" s="31" t="str">
        <f t="shared" si="4"/>
        <v>Cond4</v>
      </c>
    </row>
    <row r="115" spans="1:9" ht="14" x14ac:dyDescent="0.3">
      <c r="A115" s="88" t="str">
        <f>'G-1 All Habitats'!B114</f>
        <v>Intertidal sediment - Littoral seagrass on peat, clay or chalk</v>
      </c>
      <c r="B115" s="544">
        <v>3</v>
      </c>
      <c r="C115" s="544">
        <v>2.5</v>
      </c>
      <c r="D115" s="544">
        <v>2</v>
      </c>
      <c r="E115" s="544">
        <v>1.5</v>
      </c>
      <c r="F115" s="544">
        <v>1</v>
      </c>
      <c r="G115" s="544" t="s">
        <v>934</v>
      </c>
      <c r="H115" s="544" t="s">
        <v>934</v>
      </c>
      <c r="I115" s="31" t="str">
        <f t="shared" si="4"/>
        <v>Cond4</v>
      </c>
    </row>
    <row r="116" spans="1:9" ht="14" x14ac:dyDescent="0.3">
      <c r="A116" s="88" t="str">
        <f>'G-1 All Habitats'!B115</f>
        <v>Intertidal sediment - Littoral biogenic reefs - Mussels</v>
      </c>
      <c r="B116" s="544">
        <v>3</v>
      </c>
      <c r="C116" s="544">
        <v>2.5</v>
      </c>
      <c r="D116" s="544">
        <v>2</v>
      </c>
      <c r="E116" s="544">
        <v>1.5</v>
      </c>
      <c r="F116" s="544">
        <v>1</v>
      </c>
      <c r="G116" s="544" t="s">
        <v>934</v>
      </c>
      <c r="H116" s="544" t="s">
        <v>934</v>
      </c>
      <c r="I116" s="31" t="str">
        <f t="shared" si="4"/>
        <v>Cond4</v>
      </c>
    </row>
    <row r="117" spans="1:9" ht="14" x14ac:dyDescent="0.3">
      <c r="A117" s="88" t="str">
        <f>'G-1 All Habitats'!B116</f>
        <v>Intertidal sediment - Littoral biogenic reefs - Sabellaria</v>
      </c>
      <c r="B117" s="544">
        <v>3</v>
      </c>
      <c r="C117" s="544">
        <v>2.5</v>
      </c>
      <c r="D117" s="544">
        <v>2</v>
      </c>
      <c r="E117" s="544">
        <v>1.5</v>
      </c>
      <c r="F117" s="544">
        <v>1</v>
      </c>
      <c r="G117" s="544" t="s">
        <v>934</v>
      </c>
      <c r="H117" s="544" t="s">
        <v>934</v>
      </c>
      <c r="I117" s="31" t="str">
        <f t="shared" si="4"/>
        <v>Cond4</v>
      </c>
    </row>
    <row r="118" spans="1:9" ht="14" x14ac:dyDescent="0.3">
      <c r="A118" s="88" t="str">
        <f>'G-1 All Habitats'!B117</f>
        <v>Intertidal sediment - Features of littoral sediment</v>
      </c>
      <c r="B118" s="544">
        <v>3</v>
      </c>
      <c r="C118" s="544">
        <v>2.5</v>
      </c>
      <c r="D118" s="544">
        <v>2</v>
      </c>
      <c r="E118" s="544">
        <v>1.5</v>
      </c>
      <c r="F118" s="544">
        <v>1</v>
      </c>
      <c r="G118" s="544" t="s">
        <v>934</v>
      </c>
      <c r="H118" s="544" t="s">
        <v>934</v>
      </c>
      <c r="I118" s="31" t="str">
        <f t="shared" si="4"/>
        <v>Cond4</v>
      </c>
    </row>
    <row r="119" spans="1:9" ht="14" x14ac:dyDescent="0.3">
      <c r="A119" s="88" t="str">
        <f>'G-1 All Habitats'!B118</f>
        <v>Intertidal sediment - Artificial littoral coarse sediment</v>
      </c>
      <c r="B119" s="544">
        <v>3</v>
      </c>
      <c r="C119" s="544">
        <v>2.5</v>
      </c>
      <c r="D119" s="544">
        <v>2</v>
      </c>
      <c r="E119" s="544">
        <v>1.5</v>
      </c>
      <c r="F119" s="544">
        <v>1</v>
      </c>
      <c r="G119" s="544" t="s">
        <v>934</v>
      </c>
      <c r="H119" s="544" t="s">
        <v>934</v>
      </c>
      <c r="I119" s="31" t="str">
        <f t="shared" si="4"/>
        <v>Cond4</v>
      </c>
    </row>
    <row r="120" spans="1:9" ht="14" x14ac:dyDescent="0.3">
      <c r="A120" s="88" t="str">
        <f>'G-1 All Habitats'!B119</f>
        <v>Intertidal sediment - Artificial littoral mud</v>
      </c>
      <c r="B120" s="544">
        <v>3</v>
      </c>
      <c r="C120" s="544">
        <v>2.5</v>
      </c>
      <c r="D120" s="544">
        <v>2</v>
      </c>
      <c r="E120" s="544">
        <v>1.5</v>
      </c>
      <c r="F120" s="544">
        <v>1</v>
      </c>
      <c r="G120" s="544" t="s">
        <v>934</v>
      </c>
      <c r="H120" s="544" t="s">
        <v>934</v>
      </c>
      <c r="I120" s="31" t="str">
        <f t="shared" si="4"/>
        <v>Cond4</v>
      </c>
    </row>
    <row r="121" spans="1:9" ht="14" x14ac:dyDescent="0.3">
      <c r="A121" s="88" t="str">
        <f>'G-1 All Habitats'!B120</f>
        <v>Intertidal sediment - Artificial littoral sand</v>
      </c>
      <c r="B121" s="544">
        <v>3</v>
      </c>
      <c r="C121" s="544">
        <v>2.5</v>
      </c>
      <c r="D121" s="544">
        <v>2</v>
      </c>
      <c r="E121" s="544">
        <v>1.5</v>
      </c>
      <c r="F121" s="544">
        <v>1</v>
      </c>
      <c r="G121" s="544" t="s">
        <v>934</v>
      </c>
      <c r="H121" s="544" t="s">
        <v>934</v>
      </c>
      <c r="I121" s="31" t="str">
        <f t="shared" si="4"/>
        <v>Cond4</v>
      </c>
    </row>
    <row r="122" spans="1:9" ht="14" x14ac:dyDescent="0.3">
      <c r="A122" s="88" t="str">
        <f>'G-1 All Habitats'!B121</f>
        <v>Intertidal sediment - Artificial littoral muddy sand</v>
      </c>
      <c r="B122" s="544">
        <v>3</v>
      </c>
      <c r="C122" s="544">
        <v>2.5</v>
      </c>
      <c r="D122" s="544">
        <v>2</v>
      </c>
      <c r="E122" s="544">
        <v>1.5</v>
      </c>
      <c r="F122" s="544">
        <v>1</v>
      </c>
      <c r="G122" s="544" t="s">
        <v>934</v>
      </c>
      <c r="H122" s="544" t="s">
        <v>934</v>
      </c>
      <c r="I122" s="31" t="str">
        <f t="shared" si="4"/>
        <v>Cond4</v>
      </c>
    </row>
    <row r="123" spans="1:9" ht="14" x14ac:dyDescent="0.3">
      <c r="A123" s="88" t="str">
        <f>'G-1 All Habitats'!B122</f>
        <v>Intertidal sediment - Artificial littoral mixed sediments</v>
      </c>
      <c r="B123" s="544">
        <v>3</v>
      </c>
      <c r="C123" s="544">
        <v>2.5</v>
      </c>
      <c r="D123" s="544">
        <v>2</v>
      </c>
      <c r="E123" s="544">
        <v>1.5</v>
      </c>
      <c r="F123" s="544">
        <v>1</v>
      </c>
      <c r="G123" s="544" t="s">
        <v>934</v>
      </c>
      <c r="H123" s="544" t="s">
        <v>934</v>
      </c>
      <c r="I123" s="31" t="str">
        <f t="shared" si="4"/>
        <v>Cond4</v>
      </c>
    </row>
    <row r="124" spans="1:9" ht="14" x14ac:dyDescent="0.3">
      <c r="A124" s="88" t="str">
        <f>'G-1 All Habitats'!B123</f>
        <v>Intertidal sediment - Artificial littoral seagrass</v>
      </c>
      <c r="B124" s="544">
        <v>3</v>
      </c>
      <c r="C124" s="544">
        <v>2.5</v>
      </c>
      <c r="D124" s="544">
        <v>2</v>
      </c>
      <c r="E124" s="544">
        <v>1.5</v>
      </c>
      <c r="F124" s="544">
        <v>1</v>
      </c>
      <c r="G124" s="544" t="s">
        <v>934</v>
      </c>
      <c r="H124" s="544" t="s">
        <v>934</v>
      </c>
      <c r="I124" s="31" t="str">
        <f t="shared" si="4"/>
        <v>Cond4</v>
      </c>
    </row>
    <row r="125" spans="1:9" ht="14" x14ac:dyDescent="0.3">
      <c r="A125" s="88" t="str">
        <f>'G-1 All Habitats'!B124</f>
        <v>Intertidal sediment - Artificial littoral biogenic reefs</v>
      </c>
      <c r="B125" s="544">
        <v>3</v>
      </c>
      <c r="C125" s="544">
        <v>2.5</v>
      </c>
      <c r="D125" s="544">
        <v>2</v>
      </c>
      <c r="E125" s="544">
        <v>1.5</v>
      </c>
      <c r="F125" s="544">
        <v>1</v>
      </c>
      <c r="G125" s="544" t="s">
        <v>934</v>
      </c>
      <c r="H125" s="544" t="s">
        <v>934</v>
      </c>
      <c r="I125" s="31" t="str">
        <f t="shared" si="4"/>
        <v>Cond4</v>
      </c>
    </row>
    <row r="126" spans="1:9" ht="14" x14ac:dyDescent="0.3">
      <c r="A126" s="88" t="str">
        <f>'G-1 All Habitats'!B125</f>
        <v>Intertidal sediment - Littoral sand</v>
      </c>
      <c r="B126" s="544">
        <v>3</v>
      </c>
      <c r="C126" s="544">
        <v>2.5</v>
      </c>
      <c r="D126" s="544">
        <v>2</v>
      </c>
      <c r="E126" s="544">
        <v>1.5</v>
      </c>
      <c r="F126" s="544">
        <v>1</v>
      </c>
      <c r="G126" s="544" t="s">
        <v>934</v>
      </c>
      <c r="H126" s="544" t="s">
        <v>934</v>
      </c>
      <c r="I126" s="31" t="str">
        <f t="shared" si="4"/>
        <v>Cond4</v>
      </c>
    </row>
    <row r="127" spans="1:9" ht="14" x14ac:dyDescent="0.3">
      <c r="A127" s="88" t="str">
        <f>'G-1 All Habitats'!B126</f>
        <v>Intertidal sediment - Littoral muddy sand</v>
      </c>
      <c r="B127" s="544">
        <v>3</v>
      </c>
      <c r="C127" s="544">
        <v>2.5</v>
      </c>
      <c r="D127" s="544">
        <v>2</v>
      </c>
      <c r="E127" s="544">
        <v>1.5</v>
      </c>
      <c r="F127" s="544">
        <v>1</v>
      </c>
      <c r="G127" s="544" t="s">
        <v>934</v>
      </c>
      <c r="H127" s="544" t="s">
        <v>934</v>
      </c>
      <c r="I127" s="31" t="str">
        <f t="shared" si="4"/>
        <v>Cond4</v>
      </c>
    </row>
    <row r="128" spans="1:9" ht="14" x14ac:dyDescent="0.3">
      <c r="A128" s="88" t="str">
        <f>'G-1 All Habitats'!B127</f>
        <v>Intertidal Hard Structures - Artificial hard structures</v>
      </c>
      <c r="B128" s="544">
        <v>3</v>
      </c>
      <c r="C128" s="544">
        <v>2.5</v>
      </c>
      <c r="D128" s="544">
        <v>2</v>
      </c>
      <c r="E128" s="544">
        <v>1.5</v>
      </c>
      <c r="F128" s="544">
        <v>1</v>
      </c>
      <c r="G128" s="544" t="s">
        <v>934</v>
      </c>
      <c r="H128" s="544" t="s">
        <v>934</v>
      </c>
      <c r="I128" s="31" t="str">
        <f t="shared" si="4"/>
        <v>Cond4</v>
      </c>
    </row>
    <row r="129" spans="1:9" ht="14" x14ac:dyDescent="0.3">
      <c r="A129" s="88" t="str">
        <f>'G-1 All Habitats'!B128</f>
        <v>Intertidal Hard Structures - Artificial features of hard structures</v>
      </c>
      <c r="B129" s="544">
        <v>3</v>
      </c>
      <c r="C129" s="544">
        <v>2.5</v>
      </c>
      <c r="D129" s="544">
        <v>2</v>
      </c>
      <c r="E129" s="544">
        <v>1.5</v>
      </c>
      <c r="F129" s="544">
        <v>1</v>
      </c>
      <c r="G129" s="544" t="s">
        <v>934</v>
      </c>
      <c r="H129" s="544" t="s">
        <v>934</v>
      </c>
      <c r="I129" s="31" t="str">
        <f t="shared" si="4"/>
        <v>Cond4</v>
      </c>
    </row>
    <row r="130" spans="1:9" ht="14" x14ac:dyDescent="0.3">
      <c r="A130" s="88" t="str">
        <f>'G-1 All Habitats'!B129</f>
        <v>Intertidal Hard Structures - Artificial hard structures with Integrated Greening of Grey Infrastructure (IGGI)</v>
      </c>
      <c r="B130" s="544">
        <v>3</v>
      </c>
      <c r="C130" s="544">
        <v>2.5</v>
      </c>
      <c r="D130" s="544">
        <v>2</v>
      </c>
      <c r="E130" s="544">
        <v>1.5</v>
      </c>
      <c r="F130" s="544">
        <v>1</v>
      </c>
      <c r="G130" s="544" t="s">
        <v>934</v>
      </c>
      <c r="H130" s="544" t="s">
        <v>934</v>
      </c>
      <c r="I130" s="31" t="str">
        <f t="shared" si="4"/>
        <v>Cond4</v>
      </c>
    </row>
    <row r="131" spans="1:9" ht="14" x14ac:dyDescent="0.3"/>
    <row r="132" spans="1:9" ht="14" x14ac:dyDescent="0.3"/>
    <row r="133" spans="1:9" ht="14.5" customHeight="1" x14ac:dyDescent="0.3"/>
    <row r="134" spans="1:9" ht="14.5" customHeight="1" x14ac:dyDescent="0.3"/>
    <row r="135" spans="1:9" ht="14.5" customHeight="1" x14ac:dyDescent="0.3"/>
    <row r="136" spans="1:9" ht="14.5" customHeight="1" x14ac:dyDescent="0.3"/>
    <row r="137" spans="1:9" ht="14.5" customHeight="1" x14ac:dyDescent="0.3"/>
    <row r="138" spans="1:9" ht="14.5" customHeight="1" x14ac:dyDescent="0.3"/>
    <row r="139" spans="1:9" ht="14.5" customHeight="1" x14ac:dyDescent="0.3"/>
    <row r="140" spans="1:9" ht="14.5" customHeight="1" x14ac:dyDescent="0.3"/>
    <row r="141" spans="1:9" ht="14.5" customHeight="1" x14ac:dyDescent="0.3"/>
    <row r="142" spans="1:9" ht="14.5" customHeight="1" x14ac:dyDescent="0.3"/>
    <row r="143" spans="1:9" ht="14.5" customHeight="1" x14ac:dyDescent="0.3"/>
    <row r="144" spans="1:9" ht="14.5" customHeight="1" x14ac:dyDescent="0.3"/>
    <row r="145" ht="14.5" customHeight="1" x14ac:dyDescent="0.3"/>
    <row r="146" ht="14.5" customHeight="1" x14ac:dyDescent="0.3"/>
    <row r="147" ht="14.5" customHeight="1" x14ac:dyDescent="0.3"/>
  </sheetData>
  <sheetProtection algorithmName="SHA-512" hashValue="Wo5XlwgJ6t842cpLsWQ6lAHGbPZJIu8guiGDdsQ5ctAFnexwS8i8uq+r1Jde4Yp2l2Q3HBe72xgsO2qq+L16/A==" saltValue="fBalizJEz7dgrue2lUWJMQ==" spinCount="100000" sheet="1" objects="1" scenarios="1"/>
  <autoFilter ref="A3:H79" xr:uid="{00000000-0009-0000-0000-000021000000}"/>
  <customSheetViews>
    <customSheetView guid="{8BDA793C-C9C5-4FC6-A0A5-F1109F6D4F22}" state="hidden">
      <pane xSplit="1" ySplit="3" topLeftCell="B4" activePane="bottomRight" state="frozen"/>
      <selection pane="bottomRight" activeCell="D14" sqref="D14"/>
    </customSheetView>
  </customSheetViews>
  <mergeCells count="3">
    <mergeCell ref="B2:H2"/>
    <mergeCell ref="A1:A2"/>
    <mergeCell ref="J3:M3"/>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9">
    <tabColor rgb="FFFFC000"/>
  </sheetPr>
  <dimension ref="A1:S211"/>
  <sheetViews>
    <sheetView workbookViewId="0"/>
  </sheetViews>
  <sheetFormatPr defaultColWidth="0" defaultRowHeight="14.5" zeroHeight="1" x14ac:dyDescent="0.35"/>
  <cols>
    <col min="1" max="1" width="9.1796875" style="274" customWidth="1"/>
    <col min="2" max="2" width="44.26953125" style="274" customWidth="1"/>
    <col min="3" max="3" width="60.54296875" style="274" customWidth="1"/>
    <col min="4" max="4" width="22.453125" style="274" customWidth="1"/>
    <col min="5" max="19" width="9.1796875" style="274" customWidth="1"/>
    <col min="20" max="16384" width="9.1796875" style="274" hidden="1"/>
  </cols>
  <sheetData>
    <row r="1" spans="2:4" ht="61.15" customHeight="1" x14ac:dyDescent="0.35"/>
    <row r="2" spans="2:4" ht="15.5" x14ac:dyDescent="0.35">
      <c r="B2" s="123" t="s">
        <v>1046</v>
      </c>
      <c r="C2" s="123" t="s">
        <v>1047</v>
      </c>
      <c r="D2" s="123" t="s">
        <v>1048</v>
      </c>
    </row>
    <row r="3" spans="2:4" x14ac:dyDescent="0.35">
      <c r="B3" s="649" t="s">
        <v>1049</v>
      </c>
      <c r="C3" s="544" t="s">
        <v>695</v>
      </c>
      <c r="D3" s="544" t="s">
        <v>23</v>
      </c>
    </row>
    <row r="4" spans="2:4" x14ac:dyDescent="0.35">
      <c r="B4" s="649" t="s">
        <v>1050</v>
      </c>
      <c r="C4" s="544" t="s">
        <v>692</v>
      </c>
      <c r="D4" s="544" t="s">
        <v>23</v>
      </c>
    </row>
    <row r="5" spans="2:4" x14ac:dyDescent="0.35">
      <c r="B5" s="649" t="s">
        <v>1051</v>
      </c>
      <c r="C5" s="544" t="s">
        <v>678</v>
      </c>
      <c r="D5" s="544" t="s">
        <v>153</v>
      </c>
    </row>
    <row r="6" spans="2:4" x14ac:dyDescent="0.35">
      <c r="B6" s="649" t="s">
        <v>1052</v>
      </c>
      <c r="C6" s="544" t="s">
        <v>692</v>
      </c>
      <c r="D6" s="544" t="s">
        <v>23</v>
      </c>
    </row>
    <row r="7" spans="2:4" x14ac:dyDescent="0.35">
      <c r="B7" s="649" t="s">
        <v>684</v>
      </c>
      <c r="C7" s="544" t="s">
        <v>686</v>
      </c>
      <c r="D7" s="544" t="s">
        <v>156</v>
      </c>
    </row>
    <row r="8" spans="2:4" x14ac:dyDescent="0.35">
      <c r="B8" s="649" t="s">
        <v>1053</v>
      </c>
      <c r="C8" s="544" t="s">
        <v>681</v>
      </c>
      <c r="D8" s="544" t="s">
        <v>153</v>
      </c>
    </row>
    <row r="9" spans="2:4" x14ac:dyDescent="0.35">
      <c r="B9" s="649" t="s">
        <v>1054</v>
      </c>
      <c r="C9" s="544" t="s">
        <v>686</v>
      </c>
      <c r="D9" s="544" t="s">
        <v>156</v>
      </c>
    </row>
    <row r="10" spans="2:4" x14ac:dyDescent="0.35">
      <c r="B10" s="649" t="s">
        <v>1055</v>
      </c>
      <c r="C10" s="544" t="s">
        <v>695</v>
      </c>
      <c r="D10" s="544" t="s">
        <v>23</v>
      </c>
    </row>
    <row r="11" spans="2:4" x14ac:dyDescent="0.35">
      <c r="B11" s="649" t="s">
        <v>1056</v>
      </c>
      <c r="C11" s="544" t="s">
        <v>678</v>
      </c>
      <c r="D11" s="544" t="s">
        <v>153</v>
      </c>
    </row>
    <row r="12" spans="2:4" x14ac:dyDescent="0.35">
      <c r="B12" s="649" t="s">
        <v>1057</v>
      </c>
      <c r="C12" s="544" t="s">
        <v>695</v>
      </c>
      <c r="D12" s="544" t="s">
        <v>23</v>
      </c>
    </row>
    <row r="13" spans="2:4" x14ac:dyDescent="0.35">
      <c r="B13" s="649" t="s">
        <v>1058</v>
      </c>
      <c r="C13" s="544" t="s">
        <v>496</v>
      </c>
      <c r="D13" s="544" t="s">
        <v>23</v>
      </c>
    </row>
    <row r="14" spans="2:4" x14ac:dyDescent="0.35">
      <c r="B14" s="649" t="s">
        <v>1059</v>
      </c>
      <c r="C14" s="544" t="s">
        <v>496</v>
      </c>
      <c r="D14" s="544" t="s">
        <v>23</v>
      </c>
    </row>
    <row r="15" spans="2:4" x14ac:dyDescent="0.35">
      <c r="B15" s="649" t="s">
        <v>1060</v>
      </c>
      <c r="C15" s="544" t="s">
        <v>496</v>
      </c>
      <c r="D15" s="544" t="s">
        <v>23</v>
      </c>
    </row>
    <row r="16" spans="2:4" x14ac:dyDescent="0.35">
      <c r="B16" s="649" t="s">
        <v>1061</v>
      </c>
      <c r="C16" s="544" t="s">
        <v>712</v>
      </c>
      <c r="D16" s="544" t="s">
        <v>153</v>
      </c>
    </row>
    <row r="17" spans="2:4" x14ac:dyDescent="0.35">
      <c r="B17" s="649" t="s">
        <v>1062</v>
      </c>
      <c r="C17" s="544" t="s">
        <v>712</v>
      </c>
      <c r="D17" s="544" t="s">
        <v>153</v>
      </c>
    </row>
    <row r="18" spans="2:4" x14ac:dyDescent="0.35">
      <c r="B18" s="649" t="s">
        <v>1063</v>
      </c>
      <c r="C18" s="544" t="s">
        <v>686</v>
      </c>
      <c r="D18" s="544" t="s">
        <v>23</v>
      </c>
    </row>
    <row r="19" spans="2:4" x14ac:dyDescent="0.35">
      <c r="B19" s="649" t="s">
        <v>1064</v>
      </c>
      <c r="C19" s="544" t="s">
        <v>712</v>
      </c>
      <c r="D19" s="544" t="s">
        <v>153</v>
      </c>
    </row>
    <row r="20" spans="2:4" x14ac:dyDescent="0.35">
      <c r="B20" s="649" t="s">
        <v>1065</v>
      </c>
      <c r="C20" s="544" t="s">
        <v>671</v>
      </c>
      <c r="D20" s="544" t="s">
        <v>153</v>
      </c>
    </row>
    <row r="21" spans="2:4" x14ac:dyDescent="0.35">
      <c r="B21" s="649" t="s">
        <v>1066</v>
      </c>
      <c r="C21" s="544" t="s">
        <v>671</v>
      </c>
      <c r="D21" s="544" t="s">
        <v>153</v>
      </c>
    </row>
    <row r="22" spans="2:4" x14ac:dyDescent="0.35">
      <c r="B22" s="649" t="s">
        <v>1067</v>
      </c>
      <c r="C22" s="544" t="s">
        <v>671</v>
      </c>
      <c r="D22" s="544" t="s">
        <v>153</v>
      </c>
    </row>
    <row r="23" spans="2:4" x14ac:dyDescent="0.35">
      <c r="B23" s="649" t="s">
        <v>1068</v>
      </c>
      <c r="C23" s="544" t="s">
        <v>671</v>
      </c>
      <c r="D23" s="544" t="s">
        <v>153</v>
      </c>
    </row>
    <row r="24" spans="2:4" x14ac:dyDescent="0.35">
      <c r="B24" s="649" t="s">
        <v>426</v>
      </c>
      <c r="C24" s="544" t="s">
        <v>453</v>
      </c>
      <c r="D24" s="544" t="s">
        <v>23</v>
      </c>
    </row>
    <row r="25" spans="2:4" x14ac:dyDescent="0.35">
      <c r="B25" s="649" t="s">
        <v>426</v>
      </c>
      <c r="C25" s="544" t="s">
        <v>464</v>
      </c>
      <c r="D25" s="544" t="s">
        <v>23</v>
      </c>
    </row>
    <row r="26" spans="2:4" x14ac:dyDescent="0.35">
      <c r="B26" s="649" t="s">
        <v>1069</v>
      </c>
      <c r="C26" s="544" t="s">
        <v>439</v>
      </c>
      <c r="D26" s="544" t="s">
        <v>375</v>
      </c>
    </row>
    <row r="27" spans="2:4" x14ac:dyDescent="0.35">
      <c r="B27" s="649" t="s">
        <v>1069</v>
      </c>
      <c r="C27" s="544" t="s">
        <v>470</v>
      </c>
      <c r="D27" s="544" t="s">
        <v>375</v>
      </c>
    </row>
    <row r="28" spans="2:4" x14ac:dyDescent="0.35">
      <c r="B28" s="649" t="s">
        <v>1070</v>
      </c>
      <c r="C28" s="544" t="s">
        <v>464</v>
      </c>
      <c r="D28" s="544" t="s">
        <v>23</v>
      </c>
    </row>
    <row r="29" spans="2:4" x14ac:dyDescent="0.35">
      <c r="B29" s="649" t="s">
        <v>1070</v>
      </c>
      <c r="C29" s="544" t="s">
        <v>453</v>
      </c>
      <c r="D29" s="544" t="s">
        <v>23</v>
      </c>
    </row>
    <row r="30" spans="2:4" x14ac:dyDescent="0.35">
      <c r="B30" s="649" t="s">
        <v>1071</v>
      </c>
      <c r="C30" s="544" t="s">
        <v>449</v>
      </c>
      <c r="D30" s="544" t="s">
        <v>156</v>
      </c>
    </row>
    <row r="31" spans="2:4" x14ac:dyDescent="0.35">
      <c r="B31" s="649" t="s">
        <v>447</v>
      </c>
      <c r="C31" s="544" t="s">
        <v>456</v>
      </c>
      <c r="D31" s="544" t="s">
        <v>23</v>
      </c>
    </row>
    <row r="32" spans="2:4" x14ac:dyDescent="0.35">
      <c r="B32" s="649" t="s">
        <v>1072</v>
      </c>
      <c r="C32" s="544" t="s">
        <v>444</v>
      </c>
      <c r="D32" s="544" t="s">
        <v>375</v>
      </c>
    </row>
    <row r="33" spans="2:4" x14ac:dyDescent="0.35">
      <c r="B33" s="650" t="s">
        <v>1073</v>
      </c>
      <c r="C33" s="571" t="s">
        <v>456</v>
      </c>
      <c r="D33" s="571" t="s">
        <v>23</v>
      </c>
    </row>
    <row r="34" spans="2:4" x14ac:dyDescent="0.35">
      <c r="B34" s="649" t="s">
        <v>1074</v>
      </c>
      <c r="C34" s="544" t="s">
        <v>449</v>
      </c>
      <c r="D34" s="544" t="s">
        <v>156</v>
      </c>
    </row>
    <row r="35" spans="2:4" x14ac:dyDescent="0.35">
      <c r="B35" s="649" t="s">
        <v>437</v>
      </c>
      <c r="C35" s="544" t="s">
        <v>467</v>
      </c>
      <c r="D35" s="544" t="s">
        <v>153</v>
      </c>
    </row>
    <row r="36" spans="2:4" x14ac:dyDescent="0.35">
      <c r="B36" s="649" t="s">
        <v>437</v>
      </c>
      <c r="C36" s="544" t="s">
        <v>434</v>
      </c>
      <c r="D36" s="544" t="s">
        <v>153</v>
      </c>
    </row>
    <row r="37" spans="2:4" x14ac:dyDescent="0.35">
      <c r="B37" s="649" t="s">
        <v>1075</v>
      </c>
      <c r="C37" s="544" t="s">
        <v>434</v>
      </c>
      <c r="D37" s="544" t="s">
        <v>153</v>
      </c>
    </row>
    <row r="38" spans="2:4" x14ac:dyDescent="0.35">
      <c r="B38" s="649" t="s">
        <v>1075</v>
      </c>
      <c r="C38" s="544" t="s">
        <v>467</v>
      </c>
      <c r="D38" s="544" t="s">
        <v>153</v>
      </c>
    </row>
    <row r="39" spans="2:4" x14ac:dyDescent="0.35">
      <c r="B39" s="649" t="s">
        <v>1076</v>
      </c>
      <c r="C39" s="544" t="s">
        <v>467</v>
      </c>
      <c r="D39" s="544" t="s">
        <v>153</v>
      </c>
    </row>
    <row r="40" spans="2:4" x14ac:dyDescent="0.35">
      <c r="B40" s="649" t="s">
        <v>1076</v>
      </c>
      <c r="C40" s="544" t="s">
        <v>434</v>
      </c>
      <c r="D40" s="544" t="s">
        <v>153</v>
      </c>
    </row>
    <row r="41" spans="2:4" x14ac:dyDescent="0.35">
      <c r="B41" s="649" t="s">
        <v>1077</v>
      </c>
      <c r="C41" s="544" t="s">
        <v>449</v>
      </c>
      <c r="D41" s="544" t="s">
        <v>156</v>
      </c>
    </row>
    <row r="42" spans="2:4" x14ac:dyDescent="0.35">
      <c r="B42" s="649" t="s">
        <v>1078</v>
      </c>
      <c r="C42" s="544" t="s">
        <v>449</v>
      </c>
      <c r="D42" s="544" t="s">
        <v>156</v>
      </c>
    </row>
    <row r="43" spans="2:4" x14ac:dyDescent="0.35">
      <c r="B43" s="649" t="s">
        <v>1079</v>
      </c>
      <c r="C43" s="544" t="s">
        <v>662</v>
      </c>
      <c r="D43" s="544" t="s">
        <v>375</v>
      </c>
    </row>
    <row r="44" spans="2:4" x14ac:dyDescent="0.35">
      <c r="B44" s="649" t="s">
        <v>1079</v>
      </c>
      <c r="C44" s="544" t="s">
        <v>456</v>
      </c>
      <c r="D44" s="544" t="s">
        <v>23</v>
      </c>
    </row>
    <row r="45" spans="2:4" x14ac:dyDescent="0.35">
      <c r="B45" s="649" t="s">
        <v>1079</v>
      </c>
      <c r="C45" s="544" t="s">
        <v>449</v>
      </c>
      <c r="D45" s="544" t="s">
        <v>156</v>
      </c>
    </row>
    <row r="46" spans="2:4" x14ac:dyDescent="0.35">
      <c r="B46" s="649" t="s">
        <v>1080</v>
      </c>
      <c r="C46" s="544" t="s">
        <v>449</v>
      </c>
      <c r="D46" s="544" t="s">
        <v>156</v>
      </c>
    </row>
    <row r="47" spans="2:4" x14ac:dyDescent="0.35">
      <c r="B47" s="649" t="s">
        <v>1081</v>
      </c>
      <c r="C47" s="544" t="s">
        <v>562</v>
      </c>
      <c r="D47" s="544" t="s">
        <v>153</v>
      </c>
    </row>
    <row r="48" spans="2:4" x14ac:dyDescent="0.35">
      <c r="B48" s="649" t="s">
        <v>1082</v>
      </c>
      <c r="C48" s="544" t="s">
        <v>558</v>
      </c>
      <c r="D48" s="544" t="s">
        <v>153</v>
      </c>
    </row>
    <row r="49" spans="2:4" x14ac:dyDescent="0.35">
      <c r="B49" s="649" t="s">
        <v>1083</v>
      </c>
      <c r="C49" s="544" t="s">
        <v>558</v>
      </c>
      <c r="D49" s="544" t="s">
        <v>153</v>
      </c>
    </row>
    <row r="50" spans="2:4" x14ac:dyDescent="0.35">
      <c r="B50" s="649" t="s">
        <v>1084</v>
      </c>
      <c r="C50" s="544" t="s">
        <v>558</v>
      </c>
      <c r="D50" s="544" t="s">
        <v>153</v>
      </c>
    </row>
    <row r="51" spans="2:4" x14ac:dyDescent="0.35">
      <c r="B51" s="649" t="s">
        <v>1085</v>
      </c>
      <c r="C51" s="544" t="s">
        <v>558</v>
      </c>
      <c r="D51" s="544" t="s">
        <v>153</v>
      </c>
    </row>
    <row r="52" spans="2:4" x14ac:dyDescent="0.35">
      <c r="B52" s="649" t="s">
        <v>1086</v>
      </c>
      <c r="C52" s="544" t="s">
        <v>558</v>
      </c>
      <c r="D52" s="544" t="s">
        <v>153</v>
      </c>
    </row>
    <row r="53" spans="2:4" x14ac:dyDescent="0.35">
      <c r="B53" s="649" t="s">
        <v>1087</v>
      </c>
      <c r="C53" s="544" t="s">
        <v>558</v>
      </c>
      <c r="D53" s="544" t="s">
        <v>153</v>
      </c>
    </row>
    <row r="54" spans="2:4" x14ac:dyDescent="0.35">
      <c r="B54" s="649" t="s">
        <v>1088</v>
      </c>
      <c r="C54" s="544" t="s">
        <v>577</v>
      </c>
      <c r="D54" s="544" t="s">
        <v>153</v>
      </c>
    </row>
    <row r="55" spans="2:4" x14ac:dyDescent="0.35">
      <c r="B55" s="649" t="s">
        <v>1089</v>
      </c>
      <c r="C55" s="544" t="s">
        <v>577</v>
      </c>
      <c r="D55" s="544" t="s">
        <v>153</v>
      </c>
    </row>
    <row r="56" spans="2:4" x14ac:dyDescent="0.35">
      <c r="B56" s="649" t="s">
        <v>1090</v>
      </c>
      <c r="C56" s="544" t="s">
        <v>577</v>
      </c>
      <c r="D56" s="544" t="s">
        <v>153</v>
      </c>
    </row>
    <row r="57" spans="2:4" x14ac:dyDescent="0.35">
      <c r="B57" s="649" t="s">
        <v>1091</v>
      </c>
      <c r="C57" s="544" t="s">
        <v>577</v>
      </c>
      <c r="D57" s="544" t="s">
        <v>153</v>
      </c>
    </row>
    <row r="58" spans="2:4" x14ac:dyDescent="0.35">
      <c r="B58" s="649" t="s">
        <v>1091</v>
      </c>
      <c r="C58" s="544" t="s">
        <v>1092</v>
      </c>
      <c r="D58" s="544" t="s">
        <v>153</v>
      </c>
    </row>
    <row r="59" spans="2:4" x14ac:dyDescent="0.35">
      <c r="B59" s="649" t="s">
        <v>1093</v>
      </c>
      <c r="C59" s="544" t="s">
        <v>577</v>
      </c>
      <c r="D59" s="544" t="s">
        <v>153</v>
      </c>
    </row>
    <row r="60" spans="2:4" x14ac:dyDescent="0.35">
      <c r="B60" s="649" t="s">
        <v>1093</v>
      </c>
      <c r="C60" s="544" t="s">
        <v>444</v>
      </c>
      <c r="D60" s="544" t="s">
        <v>375</v>
      </c>
    </row>
    <row r="61" spans="2:4" x14ac:dyDescent="0.35">
      <c r="B61" s="649" t="s">
        <v>1093</v>
      </c>
      <c r="C61" s="544" t="s">
        <v>439</v>
      </c>
      <c r="D61" s="544" t="s">
        <v>375</v>
      </c>
    </row>
    <row r="62" spans="2:4" x14ac:dyDescent="0.35">
      <c r="B62" s="649" t="s">
        <v>1093</v>
      </c>
      <c r="C62" s="544" t="s">
        <v>453</v>
      </c>
      <c r="D62" s="544" t="s">
        <v>23</v>
      </c>
    </row>
    <row r="63" spans="2:4" x14ac:dyDescent="0.35">
      <c r="B63" s="649" t="s">
        <v>1094</v>
      </c>
      <c r="C63" s="544" t="s">
        <v>577</v>
      </c>
      <c r="D63" s="544" t="s">
        <v>153</v>
      </c>
    </row>
    <row r="64" spans="2:4" x14ac:dyDescent="0.35">
      <c r="B64" s="649" t="s">
        <v>1094</v>
      </c>
      <c r="C64" s="574" t="s">
        <v>490</v>
      </c>
      <c r="D64" s="544" t="s">
        <v>153</v>
      </c>
    </row>
    <row r="65" spans="2:4" x14ac:dyDescent="0.35">
      <c r="B65" s="649" t="s">
        <v>1095</v>
      </c>
      <c r="C65" s="544" t="s">
        <v>1096</v>
      </c>
      <c r="D65" s="544" t="s">
        <v>375</v>
      </c>
    </row>
    <row r="66" spans="2:4" x14ac:dyDescent="0.35">
      <c r="B66" s="649" t="s">
        <v>1095</v>
      </c>
      <c r="C66" s="544" t="s">
        <v>1097</v>
      </c>
      <c r="D66" s="544" t="s">
        <v>23</v>
      </c>
    </row>
    <row r="67" spans="2:4" x14ac:dyDescent="0.35">
      <c r="B67" s="649" t="s">
        <v>1095</v>
      </c>
      <c r="C67" s="544" t="s">
        <v>526</v>
      </c>
      <c r="D67" s="544" t="s">
        <v>153</v>
      </c>
    </row>
    <row r="68" spans="2:4" x14ac:dyDescent="0.35">
      <c r="B68" s="649" t="s">
        <v>1095</v>
      </c>
      <c r="C68" s="544" t="s">
        <v>529</v>
      </c>
      <c r="D68" s="544" t="s">
        <v>153</v>
      </c>
    </row>
    <row r="69" spans="2:4" x14ac:dyDescent="0.35">
      <c r="B69" s="649" t="s">
        <v>1095</v>
      </c>
      <c r="C69" s="544" t="s">
        <v>532</v>
      </c>
      <c r="D69" s="544" t="s">
        <v>153</v>
      </c>
    </row>
    <row r="70" spans="2:4" x14ac:dyDescent="0.35">
      <c r="B70" s="649" t="s">
        <v>1095</v>
      </c>
      <c r="C70" s="544" t="s">
        <v>535</v>
      </c>
      <c r="D70" s="544" t="s">
        <v>153</v>
      </c>
    </row>
    <row r="71" spans="2:4" x14ac:dyDescent="0.35">
      <c r="B71" s="649" t="s">
        <v>1095</v>
      </c>
      <c r="C71" s="544" t="s">
        <v>538</v>
      </c>
      <c r="D71" s="544" t="s">
        <v>153</v>
      </c>
    </row>
    <row r="72" spans="2:4" x14ac:dyDescent="0.35">
      <c r="B72" s="649" t="s">
        <v>1095</v>
      </c>
      <c r="C72" s="544" t="s">
        <v>1098</v>
      </c>
      <c r="D72" s="544" t="s">
        <v>153</v>
      </c>
    </row>
    <row r="73" spans="2:4" x14ac:dyDescent="0.35">
      <c r="B73" s="649" t="s">
        <v>1095</v>
      </c>
      <c r="C73" s="544" t="s">
        <v>1099</v>
      </c>
      <c r="D73" s="544" t="s">
        <v>23</v>
      </c>
    </row>
    <row r="74" spans="2:4" x14ac:dyDescent="0.35">
      <c r="B74" s="649" t="s">
        <v>1095</v>
      </c>
      <c r="C74" s="544" t="s">
        <v>1100</v>
      </c>
      <c r="D74" s="544" t="s">
        <v>23</v>
      </c>
    </row>
    <row r="75" spans="2:4" x14ac:dyDescent="0.35">
      <c r="B75" s="649" t="s">
        <v>1095</v>
      </c>
      <c r="C75" s="544" t="s">
        <v>550</v>
      </c>
      <c r="D75" s="544" t="s">
        <v>153</v>
      </c>
    </row>
    <row r="76" spans="2:4" x14ac:dyDescent="0.35">
      <c r="B76" s="649" t="s">
        <v>1101</v>
      </c>
      <c r="C76" s="544" t="s">
        <v>490</v>
      </c>
      <c r="D76" s="544" t="s">
        <v>153</v>
      </c>
    </row>
    <row r="77" spans="2:4" x14ac:dyDescent="0.35">
      <c r="B77" s="649" t="s">
        <v>1101</v>
      </c>
      <c r="C77" s="544" t="s">
        <v>515</v>
      </c>
      <c r="D77" s="544" t="s">
        <v>153</v>
      </c>
    </row>
    <row r="78" spans="2:4" x14ac:dyDescent="0.35">
      <c r="B78" s="649" t="s">
        <v>1102</v>
      </c>
      <c r="C78" s="544" t="s">
        <v>490</v>
      </c>
      <c r="D78" s="544" t="s">
        <v>153</v>
      </c>
    </row>
    <row r="79" spans="2:4" x14ac:dyDescent="0.35">
      <c r="B79" s="649" t="s">
        <v>1102</v>
      </c>
      <c r="C79" s="544" t="s">
        <v>515</v>
      </c>
      <c r="D79" s="544" t="s">
        <v>153</v>
      </c>
    </row>
    <row r="80" spans="2:4" x14ac:dyDescent="0.35">
      <c r="B80" s="649" t="s">
        <v>1103</v>
      </c>
      <c r="C80" s="544" t="s">
        <v>490</v>
      </c>
      <c r="D80" s="544" t="s">
        <v>153</v>
      </c>
    </row>
    <row r="81" spans="2:4" x14ac:dyDescent="0.35">
      <c r="B81" s="649" t="s">
        <v>1103</v>
      </c>
      <c r="C81" s="544" t="s">
        <v>515</v>
      </c>
      <c r="D81" s="544" t="s">
        <v>153</v>
      </c>
    </row>
    <row r="82" spans="2:4" x14ac:dyDescent="0.35">
      <c r="B82" s="649" t="s">
        <v>1104</v>
      </c>
      <c r="C82" s="544" t="s">
        <v>490</v>
      </c>
      <c r="D82" s="544" t="s">
        <v>153</v>
      </c>
    </row>
    <row r="83" spans="2:4" x14ac:dyDescent="0.35">
      <c r="B83" s="649" t="s">
        <v>1104</v>
      </c>
      <c r="C83" s="544" t="s">
        <v>515</v>
      </c>
      <c r="D83" s="544" t="s">
        <v>153</v>
      </c>
    </row>
    <row r="84" spans="2:4" x14ac:dyDescent="0.35">
      <c r="B84" s="649" t="s">
        <v>1105</v>
      </c>
      <c r="C84" s="544" t="s">
        <v>490</v>
      </c>
      <c r="D84" s="544" t="s">
        <v>153</v>
      </c>
    </row>
    <row r="85" spans="2:4" x14ac:dyDescent="0.35">
      <c r="B85" s="649" t="s">
        <v>1105</v>
      </c>
      <c r="C85" s="544" t="s">
        <v>515</v>
      </c>
      <c r="D85" s="544" t="s">
        <v>153</v>
      </c>
    </row>
    <row r="86" spans="2:4" x14ac:dyDescent="0.35">
      <c r="B86" s="649" t="s">
        <v>1106</v>
      </c>
      <c r="C86" s="544" t="s">
        <v>500</v>
      </c>
      <c r="D86" s="544" t="s">
        <v>375</v>
      </c>
    </row>
    <row r="87" spans="2:4" x14ac:dyDescent="0.35">
      <c r="B87" s="649" t="s">
        <v>1107</v>
      </c>
      <c r="C87" s="544" t="s">
        <v>490</v>
      </c>
      <c r="D87" s="544" t="s">
        <v>153</v>
      </c>
    </row>
    <row r="88" spans="2:4" x14ac:dyDescent="0.35">
      <c r="B88" s="649" t="s">
        <v>1108</v>
      </c>
      <c r="C88" s="544" t="s">
        <v>490</v>
      </c>
      <c r="D88" s="544" t="s">
        <v>153</v>
      </c>
    </row>
    <row r="89" spans="2:4" x14ac:dyDescent="0.35">
      <c r="B89" s="649" t="s">
        <v>1107</v>
      </c>
      <c r="C89" s="544" t="s">
        <v>515</v>
      </c>
      <c r="D89" s="544" t="s">
        <v>153</v>
      </c>
    </row>
    <row r="90" spans="2:4" x14ac:dyDescent="0.35">
      <c r="B90" s="649" t="s">
        <v>1108</v>
      </c>
      <c r="C90" s="544" t="s">
        <v>515</v>
      </c>
      <c r="D90" s="544" t="s">
        <v>153</v>
      </c>
    </row>
    <row r="91" spans="2:4" x14ac:dyDescent="0.35">
      <c r="B91" s="649" t="s">
        <v>423</v>
      </c>
      <c r="C91" s="544" t="s">
        <v>424</v>
      </c>
      <c r="D91" s="544" t="s">
        <v>156</v>
      </c>
    </row>
    <row r="92" spans="2:4" x14ac:dyDescent="0.35">
      <c r="B92" s="649" t="s">
        <v>1109</v>
      </c>
      <c r="C92" s="544" t="s">
        <v>424</v>
      </c>
      <c r="D92" s="544" t="s">
        <v>156</v>
      </c>
    </row>
    <row r="93" spans="2:4" x14ac:dyDescent="0.35">
      <c r="B93" s="649" t="s">
        <v>1110</v>
      </c>
      <c r="C93" s="544" t="s">
        <v>424</v>
      </c>
      <c r="D93" s="544" t="s">
        <v>156</v>
      </c>
    </row>
    <row r="94" spans="2:4" x14ac:dyDescent="0.35">
      <c r="B94" s="649" t="s">
        <v>1111</v>
      </c>
      <c r="C94" s="574" t="s">
        <v>569</v>
      </c>
      <c r="D94" s="544" t="s">
        <v>153</v>
      </c>
    </row>
    <row r="95" spans="2:4" x14ac:dyDescent="0.35">
      <c r="B95" s="649" t="s">
        <v>1112</v>
      </c>
      <c r="C95" s="544" t="s">
        <v>424</v>
      </c>
      <c r="D95" s="544" t="s">
        <v>23</v>
      </c>
    </row>
    <row r="96" spans="2:4" x14ac:dyDescent="0.35">
      <c r="B96" s="649" t="s">
        <v>1113</v>
      </c>
      <c r="C96" s="574" t="s">
        <v>565</v>
      </c>
      <c r="D96" s="544" t="s">
        <v>156</v>
      </c>
    </row>
    <row r="97" spans="2:4" x14ac:dyDescent="0.35">
      <c r="B97" s="649" t="s">
        <v>1114</v>
      </c>
      <c r="C97" s="574" t="s">
        <v>565</v>
      </c>
      <c r="D97" s="544" t="s">
        <v>156</v>
      </c>
    </row>
    <row r="98" spans="2:4" x14ac:dyDescent="0.35">
      <c r="B98" s="649" t="s">
        <v>643</v>
      </c>
      <c r="C98" s="544" t="s">
        <v>655</v>
      </c>
      <c r="D98" s="544" t="s">
        <v>375</v>
      </c>
    </row>
    <row r="99" spans="2:4" x14ac:dyDescent="0.35">
      <c r="B99" s="649" t="s">
        <v>1115</v>
      </c>
      <c r="C99" s="544" t="s">
        <v>655</v>
      </c>
      <c r="D99" s="544" t="s">
        <v>375</v>
      </c>
    </row>
    <row r="100" spans="2:4" x14ac:dyDescent="0.35">
      <c r="B100" s="649" t="s">
        <v>640</v>
      </c>
      <c r="C100" s="544" t="s">
        <v>641</v>
      </c>
      <c r="D100" s="544" t="s">
        <v>375</v>
      </c>
    </row>
    <row r="101" spans="2:4" x14ac:dyDescent="0.35">
      <c r="B101" s="649" t="s">
        <v>1116</v>
      </c>
      <c r="C101" s="544" t="s">
        <v>655</v>
      </c>
      <c r="D101" s="544" t="s">
        <v>375</v>
      </c>
    </row>
    <row r="102" spans="2:4" x14ac:dyDescent="0.35">
      <c r="B102" s="649" t="s">
        <v>1117</v>
      </c>
      <c r="C102" s="651" t="s">
        <v>668</v>
      </c>
      <c r="D102" s="544" t="s">
        <v>375</v>
      </c>
    </row>
    <row r="103" spans="2:4" x14ac:dyDescent="0.35">
      <c r="B103" s="649" t="s">
        <v>1118</v>
      </c>
      <c r="C103" s="544" t="s">
        <v>641</v>
      </c>
      <c r="D103" s="544" t="s">
        <v>375</v>
      </c>
    </row>
    <row r="104" spans="2:4" x14ac:dyDescent="0.35">
      <c r="B104" s="649" t="s">
        <v>1118</v>
      </c>
      <c r="C104" s="544" t="s">
        <v>655</v>
      </c>
      <c r="D104" s="544" t="s">
        <v>375</v>
      </c>
    </row>
    <row r="105" spans="2:4" x14ac:dyDescent="0.35">
      <c r="B105" s="649" t="s">
        <v>1119</v>
      </c>
      <c r="C105" s="544" t="s">
        <v>649</v>
      </c>
      <c r="D105" s="544" t="s">
        <v>375</v>
      </c>
    </row>
    <row r="106" spans="2:4" x14ac:dyDescent="0.35">
      <c r="B106" s="649" t="s">
        <v>1120</v>
      </c>
      <c r="C106" s="544" t="s">
        <v>649</v>
      </c>
      <c r="D106" s="544" t="s">
        <v>375</v>
      </c>
    </row>
    <row r="107" spans="2:4" x14ac:dyDescent="0.35">
      <c r="B107" s="649" t="s">
        <v>1121</v>
      </c>
      <c r="C107" s="544" t="s">
        <v>649</v>
      </c>
      <c r="D107" s="544" t="s">
        <v>375</v>
      </c>
    </row>
    <row r="108" spans="2:4" x14ac:dyDescent="0.35">
      <c r="B108" s="649" t="s">
        <v>1122</v>
      </c>
      <c r="C108" s="544" t="s">
        <v>649</v>
      </c>
      <c r="D108" s="544" t="s">
        <v>375</v>
      </c>
    </row>
    <row r="109" spans="2:4" x14ac:dyDescent="0.35">
      <c r="B109" s="649" t="s">
        <v>1123</v>
      </c>
      <c r="C109" s="544" t="s">
        <v>649</v>
      </c>
      <c r="D109" s="544" t="s">
        <v>375</v>
      </c>
    </row>
    <row r="110" spans="2:4" x14ac:dyDescent="0.35">
      <c r="B110" s="649" t="s">
        <v>1124</v>
      </c>
      <c r="C110" s="544" t="s">
        <v>1125</v>
      </c>
      <c r="D110" s="544" t="s">
        <v>375</v>
      </c>
    </row>
    <row r="111" spans="2:4" x14ac:dyDescent="0.35">
      <c r="B111" s="649" t="s">
        <v>1126</v>
      </c>
      <c r="C111" s="544" t="s">
        <v>1125</v>
      </c>
      <c r="D111" s="544" t="s">
        <v>375</v>
      </c>
    </row>
    <row r="112" spans="2:4" x14ac:dyDescent="0.35">
      <c r="B112" s="649" t="s">
        <v>1127</v>
      </c>
      <c r="C112" s="544" t="s">
        <v>1125</v>
      </c>
      <c r="D112" s="544" t="s">
        <v>375</v>
      </c>
    </row>
    <row r="113" spans="2:4" x14ac:dyDescent="0.35">
      <c r="B113" s="649" t="s">
        <v>1128</v>
      </c>
      <c r="C113" s="544" t="s">
        <v>645</v>
      </c>
      <c r="D113" s="544" t="s">
        <v>375</v>
      </c>
    </row>
    <row r="114" spans="2:4" x14ac:dyDescent="0.35">
      <c r="B114" s="649" t="s">
        <v>1129</v>
      </c>
      <c r="C114" s="544" t="s">
        <v>649</v>
      </c>
      <c r="D114" s="544" t="s">
        <v>375</v>
      </c>
    </row>
    <row r="115" spans="2:4" x14ac:dyDescent="0.35">
      <c r="B115" s="649" t="s">
        <v>1130</v>
      </c>
      <c r="C115" s="544" t="s">
        <v>649</v>
      </c>
      <c r="D115" s="544" t="s">
        <v>375</v>
      </c>
    </row>
    <row r="116" spans="2:4" x14ac:dyDescent="0.35">
      <c r="B116" s="649" t="s">
        <v>1130</v>
      </c>
      <c r="C116" s="574" t="s">
        <v>665</v>
      </c>
      <c r="D116" s="571" t="s">
        <v>153</v>
      </c>
    </row>
    <row r="117" spans="2:4" x14ac:dyDescent="0.35">
      <c r="B117" s="649" t="s">
        <v>1131</v>
      </c>
      <c r="C117" s="544" t="s">
        <v>1132</v>
      </c>
      <c r="D117" s="586"/>
    </row>
    <row r="118" spans="2:4" x14ac:dyDescent="0.35">
      <c r="B118" s="649" t="s">
        <v>1133</v>
      </c>
      <c r="C118" s="574" t="s">
        <v>665</v>
      </c>
      <c r="D118" s="571" t="s">
        <v>153</v>
      </c>
    </row>
    <row r="119" spans="2:4" x14ac:dyDescent="0.35">
      <c r="B119" s="649" t="s">
        <v>1134</v>
      </c>
      <c r="C119" s="544" t="s">
        <v>569</v>
      </c>
      <c r="D119" s="544" t="s">
        <v>153</v>
      </c>
    </row>
    <row r="120" spans="2:4" x14ac:dyDescent="0.35">
      <c r="B120" s="649" t="s">
        <v>1135</v>
      </c>
      <c r="C120" s="574" t="s">
        <v>582</v>
      </c>
      <c r="D120" s="544" t="s">
        <v>23</v>
      </c>
    </row>
    <row r="121" spans="2:4" x14ac:dyDescent="0.35">
      <c r="B121" s="649" t="s">
        <v>1136</v>
      </c>
      <c r="C121" s="544" t="s">
        <v>569</v>
      </c>
      <c r="D121" s="544" t="s">
        <v>153</v>
      </c>
    </row>
    <row r="122" spans="2:4" x14ac:dyDescent="0.35">
      <c r="B122" s="649" t="s">
        <v>1137</v>
      </c>
      <c r="C122" s="574" t="s">
        <v>582</v>
      </c>
      <c r="D122" s="544" t="s">
        <v>23</v>
      </c>
    </row>
    <row r="123" spans="2:4" x14ac:dyDescent="0.35">
      <c r="B123" s="649" t="s">
        <v>1138</v>
      </c>
      <c r="C123" s="544" t="s">
        <v>569</v>
      </c>
      <c r="D123" s="544" t="s">
        <v>153</v>
      </c>
    </row>
    <row r="124" spans="2:4" x14ac:dyDescent="0.35">
      <c r="B124" s="649" t="s">
        <v>1139</v>
      </c>
      <c r="C124" s="544" t="s">
        <v>569</v>
      </c>
      <c r="D124" s="544" t="s">
        <v>153</v>
      </c>
    </row>
    <row r="125" spans="2:4" x14ac:dyDescent="0.35">
      <c r="B125" s="649" t="s">
        <v>1140</v>
      </c>
      <c r="C125" s="544" t="s">
        <v>569</v>
      </c>
      <c r="D125" s="544" t="s">
        <v>153</v>
      </c>
    </row>
    <row r="126" spans="2:4" x14ac:dyDescent="0.35">
      <c r="B126" s="649" t="s">
        <v>1141</v>
      </c>
      <c r="C126" s="544" t="s">
        <v>569</v>
      </c>
      <c r="D126" s="544" t="s">
        <v>153</v>
      </c>
    </row>
    <row r="127" spans="2:4" x14ac:dyDescent="0.35">
      <c r="B127" s="649" t="s">
        <v>1142</v>
      </c>
      <c r="C127" s="544" t="s">
        <v>569</v>
      </c>
      <c r="D127" s="544" t="s">
        <v>153</v>
      </c>
    </row>
    <row r="128" spans="2:4" x14ac:dyDescent="0.35">
      <c r="B128" s="649" t="s">
        <v>573</v>
      </c>
      <c r="C128" s="544" t="s">
        <v>574</v>
      </c>
      <c r="D128" s="544" t="s">
        <v>375</v>
      </c>
    </row>
    <row r="129" spans="2:4" x14ac:dyDescent="0.35">
      <c r="B129" s="649" t="s">
        <v>1143</v>
      </c>
      <c r="C129" s="544" t="s">
        <v>582</v>
      </c>
      <c r="D129" s="544" t="s">
        <v>23</v>
      </c>
    </row>
    <row r="130" spans="2:4" x14ac:dyDescent="0.35">
      <c r="B130" s="649" t="s">
        <v>1144</v>
      </c>
      <c r="C130" s="544" t="s">
        <v>582</v>
      </c>
      <c r="D130" s="544" t="s">
        <v>23</v>
      </c>
    </row>
    <row r="131" spans="2:4" x14ac:dyDescent="0.35">
      <c r="B131" s="649" t="s">
        <v>1145</v>
      </c>
      <c r="C131" s="544" t="s">
        <v>582</v>
      </c>
      <c r="D131" s="544" t="s">
        <v>23</v>
      </c>
    </row>
    <row r="132" spans="2:4" x14ac:dyDescent="0.35">
      <c r="B132" s="649" t="s">
        <v>1146</v>
      </c>
      <c r="C132" s="544" t="s">
        <v>582</v>
      </c>
      <c r="D132" s="544" t="s">
        <v>23</v>
      </c>
    </row>
    <row r="133" spans="2:4" x14ac:dyDescent="0.35">
      <c r="B133" s="649" t="s">
        <v>1146</v>
      </c>
      <c r="C133" s="544" t="s">
        <v>582</v>
      </c>
      <c r="D133" s="544" t="s">
        <v>23</v>
      </c>
    </row>
    <row r="134" spans="2:4" x14ac:dyDescent="0.35">
      <c r="B134" s="649" t="s">
        <v>1146</v>
      </c>
      <c r="C134" s="544" t="s">
        <v>582</v>
      </c>
      <c r="D134" s="544" t="s">
        <v>23</v>
      </c>
    </row>
    <row r="135" spans="2:4" x14ac:dyDescent="0.35">
      <c r="B135" s="649" t="s">
        <v>1146</v>
      </c>
      <c r="C135" s="544" t="s">
        <v>582</v>
      </c>
      <c r="D135" s="544" t="s">
        <v>23</v>
      </c>
    </row>
    <row r="136" spans="2:4" x14ac:dyDescent="0.35">
      <c r="B136" s="649" t="s">
        <v>1146</v>
      </c>
      <c r="C136" s="544" t="s">
        <v>582</v>
      </c>
      <c r="D136" s="544" t="s">
        <v>23</v>
      </c>
    </row>
    <row r="137" spans="2:4" x14ac:dyDescent="0.35">
      <c r="B137" s="649" t="s">
        <v>1146</v>
      </c>
      <c r="C137" s="544" t="s">
        <v>582</v>
      </c>
      <c r="D137" s="544" t="s">
        <v>23</v>
      </c>
    </row>
    <row r="138" spans="2:4" x14ac:dyDescent="0.35">
      <c r="B138" s="649" t="s">
        <v>1147</v>
      </c>
      <c r="C138" s="544" t="s">
        <v>1148</v>
      </c>
      <c r="D138" s="544" t="s">
        <v>156</v>
      </c>
    </row>
    <row r="139" spans="2:4" x14ac:dyDescent="0.35">
      <c r="B139" s="649" t="s">
        <v>1149</v>
      </c>
      <c r="C139" s="544" t="s">
        <v>1148</v>
      </c>
      <c r="D139" s="544" t="s">
        <v>156</v>
      </c>
    </row>
    <row r="140" spans="2:4" x14ac:dyDescent="0.35">
      <c r="B140" s="649" t="s">
        <v>1150</v>
      </c>
      <c r="C140" s="544" t="s">
        <v>1148</v>
      </c>
      <c r="D140" s="544" t="s">
        <v>156</v>
      </c>
    </row>
    <row r="141" spans="2:4" x14ac:dyDescent="0.35">
      <c r="B141" s="649" t="s">
        <v>1151</v>
      </c>
      <c r="C141" s="544" t="s">
        <v>587</v>
      </c>
      <c r="D141" s="544" t="s">
        <v>397</v>
      </c>
    </row>
    <row r="142" spans="2:4" x14ac:dyDescent="0.35">
      <c r="B142" s="649" t="s">
        <v>1152</v>
      </c>
      <c r="C142" s="544" t="s">
        <v>395</v>
      </c>
      <c r="D142" s="544" t="s">
        <v>156</v>
      </c>
    </row>
    <row r="143" spans="2:4" x14ac:dyDescent="0.35">
      <c r="B143" s="649" t="s">
        <v>1153</v>
      </c>
      <c r="C143" s="544" t="s">
        <v>395</v>
      </c>
      <c r="D143" s="544" t="s">
        <v>156</v>
      </c>
    </row>
    <row r="144" spans="2:4" x14ac:dyDescent="0.35">
      <c r="B144" s="649" t="s">
        <v>1154</v>
      </c>
      <c r="C144" s="544" t="s">
        <v>449</v>
      </c>
      <c r="D144" s="544" t="s">
        <v>156</v>
      </c>
    </row>
    <row r="145" spans="2:4" x14ac:dyDescent="0.35">
      <c r="B145" s="649" t="s">
        <v>1155</v>
      </c>
      <c r="C145" s="574" t="s">
        <v>565</v>
      </c>
      <c r="D145" s="544" t="s">
        <v>156</v>
      </c>
    </row>
    <row r="146" spans="2:4" x14ac:dyDescent="0.35">
      <c r="B146" s="649" t="s">
        <v>615</v>
      </c>
      <c r="C146" s="544" t="s">
        <v>616</v>
      </c>
      <c r="D146" s="544" t="s">
        <v>156</v>
      </c>
    </row>
    <row r="147" spans="2:4" x14ac:dyDescent="0.35">
      <c r="B147" s="649" t="s">
        <v>1156</v>
      </c>
      <c r="C147" s="544" t="s">
        <v>595</v>
      </c>
      <c r="D147" s="544" t="s">
        <v>397</v>
      </c>
    </row>
    <row r="148" spans="2:4" x14ac:dyDescent="0.35">
      <c r="B148" s="649" t="s">
        <v>1157</v>
      </c>
      <c r="C148" s="544" t="s">
        <v>595</v>
      </c>
      <c r="D148" s="544" t="s">
        <v>397</v>
      </c>
    </row>
    <row r="149" spans="2:4" x14ac:dyDescent="0.35">
      <c r="B149" s="649" t="s">
        <v>1158</v>
      </c>
      <c r="C149" s="544" t="s">
        <v>600</v>
      </c>
      <c r="D149" s="544" t="s">
        <v>397</v>
      </c>
    </row>
    <row r="150" spans="2:4" x14ac:dyDescent="0.35">
      <c r="B150" s="649" t="s">
        <v>1159</v>
      </c>
      <c r="C150" s="544" t="s">
        <v>600</v>
      </c>
      <c r="D150" s="544" t="s">
        <v>397</v>
      </c>
    </row>
    <row r="151" spans="2:4" x14ac:dyDescent="0.35">
      <c r="B151" s="649" t="s">
        <v>1160</v>
      </c>
      <c r="C151" s="544" t="s">
        <v>600</v>
      </c>
      <c r="D151" s="544" t="s">
        <v>397</v>
      </c>
    </row>
    <row r="152" spans="2:4" x14ac:dyDescent="0.35">
      <c r="B152" s="649" t="s">
        <v>1161</v>
      </c>
      <c r="C152" s="544" t="s">
        <v>600</v>
      </c>
      <c r="D152" s="544" t="s">
        <v>397</v>
      </c>
    </row>
    <row r="153" spans="2:4" x14ac:dyDescent="0.35">
      <c r="B153" s="649" t="s">
        <v>1162</v>
      </c>
      <c r="C153" s="544" t="s">
        <v>636</v>
      </c>
      <c r="D153" s="544" t="s">
        <v>156</v>
      </c>
    </row>
    <row r="154" spans="2:4" x14ac:dyDescent="0.35"/>
    <row r="155" spans="2:4" x14ac:dyDescent="0.35"/>
    <row r="156" spans="2:4" x14ac:dyDescent="0.35"/>
    <row r="157" spans="2:4" x14ac:dyDescent="0.35"/>
    <row r="158" spans="2:4" x14ac:dyDescent="0.35">
      <c r="B158" s="307"/>
    </row>
    <row r="159" spans="2:4" x14ac:dyDescent="0.35">
      <c r="B159" s="307"/>
    </row>
    <row r="160" spans="2:4" x14ac:dyDescent="0.35">
      <c r="B160" s="307"/>
    </row>
    <row r="161" spans="2:2" x14ac:dyDescent="0.35">
      <c r="B161" s="307"/>
    </row>
    <row r="162" spans="2:2" x14ac:dyDescent="0.35">
      <c r="B162" s="307"/>
    </row>
    <row r="163" spans="2:2" x14ac:dyDescent="0.35">
      <c r="B163" s="307"/>
    </row>
    <row r="164" spans="2:2" hidden="1" x14ac:dyDescent="0.35">
      <c r="B164" s="307"/>
    </row>
    <row r="165" spans="2:2" hidden="1" x14ac:dyDescent="0.35">
      <c r="B165" s="307"/>
    </row>
    <row r="166" spans="2:2" hidden="1" x14ac:dyDescent="0.35">
      <c r="B166" s="307"/>
    </row>
    <row r="167" spans="2:2" hidden="1" x14ac:dyDescent="0.35">
      <c r="B167" s="307"/>
    </row>
    <row r="168" spans="2:2" hidden="1" x14ac:dyDescent="0.35">
      <c r="B168" s="307"/>
    </row>
    <row r="169" spans="2:2" hidden="1" x14ac:dyDescent="0.35">
      <c r="B169" s="307"/>
    </row>
    <row r="170" spans="2:2" hidden="1" x14ac:dyDescent="0.35">
      <c r="B170" s="307"/>
    </row>
    <row r="171" spans="2:2" hidden="1" x14ac:dyDescent="0.35">
      <c r="B171" s="307"/>
    </row>
    <row r="172" spans="2:2" hidden="1" x14ac:dyDescent="0.35">
      <c r="B172" s="307"/>
    </row>
    <row r="173" spans="2:2" hidden="1" x14ac:dyDescent="0.35">
      <c r="B173" s="307"/>
    </row>
    <row r="174" spans="2:2" hidden="1" x14ac:dyDescent="0.35">
      <c r="B174" s="307"/>
    </row>
    <row r="175" spans="2:2" hidden="1" x14ac:dyDescent="0.35">
      <c r="B175" s="307"/>
    </row>
    <row r="176" spans="2:2" hidden="1" x14ac:dyDescent="0.35">
      <c r="B176" s="307"/>
    </row>
    <row r="177" spans="2:2" hidden="1" x14ac:dyDescent="0.35">
      <c r="B177" s="307"/>
    </row>
    <row r="178" spans="2:2" hidden="1" x14ac:dyDescent="0.35">
      <c r="B178" s="307"/>
    </row>
    <row r="179" spans="2:2" hidden="1" x14ac:dyDescent="0.35">
      <c r="B179" s="307"/>
    </row>
    <row r="180" spans="2:2" hidden="1" x14ac:dyDescent="0.35">
      <c r="B180" s="307"/>
    </row>
    <row r="181" spans="2:2" hidden="1" x14ac:dyDescent="0.35">
      <c r="B181" s="307"/>
    </row>
    <row r="182" spans="2:2" hidden="1" x14ac:dyDescent="0.35">
      <c r="B182" s="307"/>
    </row>
    <row r="183" spans="2:2" hidden="1" x14ac:dyDescent="0.35">
      <c r="B183" s="307"/>
    </row>
    <row r="184" spans="2:2" hidden="1" x14ac:dyDescent="0.35">
      <c r="B184" s="307"/>
    </row>
    <row r="185" spans="2:2" hidden="1" x14ac:dyDescent="0.35">
      <c r="B185" s="307"/>
    </row>
    <row r="186" spans="2:2" hidden="1" x14ac:dyDescent="0.35">
      <c r="B186" s="307"/>
    </row>
    <row r="187" spans="2:2" hidden="1" x14ac:dyDescent="0.35">
      <c r="B187" s="307"/>
    </row>
    <row r="188" spans="2:2" hidden="1" x14ac:dyDescent="0.35">
      <c r="B188" s="307"/>
    </row>
    <row r="189" spans="2:2" hidden="1" x14ac:dyDescent="0.35">
      <c r="B189" s="307"/>
    </row>
    <row r="190" spans="2:2" hidden="1" x14ac:dyDescent="0.35">
      <c r="B190" s="307"/>
    </row>
    <row r="191" spans="2:2" hidden="1" x14ac:dyDescent="0.35">
      <c r="B191" s="307"/>
    </row>
    <row r="192" spans="2:2" hidden="1" x14ac:dyDescent="0.35">
      <c r="B192" s="307"/>
    </row>
    <row r="193" spans="2:2" hidden="1" x14ac:dyDescent="0.35">
      <c r="B193" s="307"/>
    </row>
    <row r="194" spans="2:2" hidden="1" x14ac:dyDescent="0.35">
      <c r="B194" s="307"/>
    </row>
    <row r="195" spans="2:2" hidden="1" x14ac:dyDescent="0.35">
      <c r="B195" s="307"/>
    </row>
    <row r="196" spans="2:2" hidden="1" x14ac:dyDescent="0.35">
      <c r="B196" s="307"/>
    </row>
    <row r="197" spans="2:2" hidden="1" x14ac:dyDescent="0.35">
      <c r="B197" s="307"/>
    </row>
    <row r="198" spans="2:2" hidden="1" x14ac:dyDescent="0.35">
      <c r="B198" s="307"/>
    </row>
    <row r="199" spans="2:2" hidden="1" x14ac:dyDescent="0.35">
      <c r="B199" s="307"/>
    </row>
    <row r="200" spans="2:2" hidden="1" x14ac:dyDescent="0.35">
      <c r="B200" s="307"/>
    </row>
    <row r="201" spans="2:2" hidden="1" x14ac:dyDescent="0.35">
      <c r="B201" s="307"/>
    </row>
    <row r="202" spans="2:2" hidden="1" x14ac:dyDescent="0.35">
      <c r="B202" s="307"/>
    </row>
    <row r="203" spans="2:2" hidden="1" x14ac:dyDescent="0.35">
      <c r="B203" s="307"/>
    </row>
    <row r="204" spans="2:2" hidden="1" x14ac:dyDescent="0.35">
      <c r="B204" s="307"/>
    </row>
    <row r="205" spans="2:2" hidden="1" x14ac:dyDescent="0.35">
      <c r="B205" s="307"/>
    </row>
    <row r="206" spans="2:2" hidden="1" x14ac:dyDescent="0.35">
      <c r="B206" s="307"/>
    </row>
    <row r="207" spans="2:2" hidden="1" x14ac:dyDescent="0.35">
      <c r="B207" s="307"/>
    </row>
    <row r="208" spans="2:2" hidden="1" x14ac:dyDescent="0.35">
      <c r="B208" s="307"/>
    </row>
    <row r="209" spans="2:2" hidden="1" x14ac:dyDescent="0.35">
      <c r="B209" s="307"/>
    </row>
    <row r="210" spans="2:2" hidden="1" x14ac:dyDescent="0.35">
      <c r="B210" s="307"/>
    </row>
    <row r="211" spans="2:2" hidden="1" x14ac:dyDescent="0.35">
      <c r="B211" s="308"/>
    </row>
  </sheetData>
  <sheetProtection algorithmName="SHA-512" hashValue="dZjvQEAIoPSP1MLKxZYeSJeCJajjLM0/Q59hpA760IXs+Eo8ZzSZQM6oVVQyo/aYWTSNjlflqMtNsjtoG3TQHw==" saltValue="t/nZnKWmXEqNrQQT1jpZhw==" spinCount="100000" sheet="1" objects="1" scenarios="1"/>
  <autoFilter ref="B2:D150" xr:uid="{00000000-0009-0000-0000-000022000000}"/>
  <customSheetViews>
    <customSheetView guid="{8BDA793C-C9C5-4FC6-A0A5-F1109F6D4F22}" state="hidden">
      <selection activeCell="D14" sqref="D14"/>
    </customSheetView>
  </customSheetView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44">
    <tabColor theme="0" tint="-0.249977111117893"/>
  </sheetPr>
  <dimension ref="A1:R52"/>
  <sheetViews>
    <sheetView workbookViewId="0"/>
  </sheetViews>
  <sheetFormatPr defaultColWidth="9.1796875" defaultRowHeight="14.5" customHeight="1" zeroHeight="1" x14ac:dyDescent="0.35"/>
  <cols>
    <col min="1" max="3" width="2.1796875" style="9" customWidth="1"/>
    <col min="4" max="4" width="18.7265625" style="9" customWidth="1"/>
    <col min="5" max="8" width="9.1796875" style="9" customWidth="1"/>
    <col min="9" max="9" width="7" style="9" customWidth="1"/>
    <col min="10" max="12" width="9.1796875" style="9" customWidth="1"/>
    <col min="13" max="13" width="12.1796875" style="9" customWidth="1"/>
    <col min="14" max="14" width="5.7265625" style="9" customWidth="1"/>
    <col min="15" max="15" width="9.1796875" style="9" customWidth="1"/>
    <col min="16" max="16" width="34.54296875" style="9" customWidth="1"/>
    <col min="17" max="17" width="13.7265625" style="9" bestFit="1" customWidth="1"/>
    <col min="18" max="18" width="19.26953125" style="9" customWidth="1"/>
    <col min="19" max="20" width="9.1796875" style="9" customWidth="1"/>
    <col min="21" max="16384" width="9.1796875" style="9"/>
  </cols>
  <sheetData>
    <row r="1" spans="1:18" ht="15.75" customHeight="1" x14ac:dyDescent="0.7">
      <c r="B1" s="16"/>
      <c r="C1" s="16"/>
      <c r="E1" s="17"/>
      <c r="F1" s="713"/>
      <c r="G1" s="713"/>
      <c r="H1" s="713"/>
      <c r="I1" s="713"/>
      <c r="J1" s="713"/>
      <c r="K1" s="714"/>
      <c r="L1" s="714"/>
      <c r="M1" s="714"/>
      <c r="N1" s="714"/>
      <c r="O1" s="714"/>
    </row>
    <row r="2" spans="1:18" ht="15.75" customHeight="1" x14ac:dyDescent="0.7">
      <c r="B2" s="16"/>
      <c r="C2" s="16"/>
      <c r="E2" s="17"/>
    </row>
    <row r="3" spans="1:18" ht="15.75" customHeight="1" x14ac:dyDescent="0.7">
      <c r="A3" s="17"/>
      <c r="B3" s="17"/>
      <c r="C3" s="17"/>
      <c r="D3" s="17"/>
      <c r="E3" s="17"/>
      <c r="F3" s="18"/>
      <c r="G3" s="18"/>
      <c r="H3" s="18"/>
      <c r="I3" s="18"/>
      <c r="J3" s="18"/>
      <c r="K3" s="18"/>
      <c r="L3" s="18"/>
      <c r="M3" s="18"/>
      <c r="N3" s="18"/>
      <c r="O3" s="18"/>
      <c r="P3" s="18"/>
    </row>
    <row r="4" spans="1:18" ht="16.5" customHeight="1" x14ac:dyDescent="0.7">
      <c r="A4" s="17"/>
      <c r="B4" s="17"/>
      <c r="C4" s="17"/>
      <c r="D4" s="17"/>
      <c r="E4" s="17"/>
      <c r="F4" s="18"/>
      <c r="G4" s="18"/>
      <c r="H4" s="18"/>
      <c r="I4" s="18"/>
      <c r="J4" s="18"/>
      <c r="K4" s="18"/>
      <c r="L4" s="18"/>
      <c r="M4" s="18"/>
      <c r="N4" s="18"/>
      <c r="O4" s="18"/>
      <c r="P4" s="18"/>
    </row>
    <row r="5" spans="1:18" ht="16.5" customHeight="1" x14ac:dyDescent="0.7">
      <c r="A5" s="17"/>
      <c r="B5" s="17"/>
      <c r="C5" s="17"/>
      <c r="D5" s="17"/>
      <c r="E5" s="17"/>
      <c r="F5" s="19"/>
      <c r="G5" s="19"/>
      <c r="H5" s="19"/>
      <c r="I5" s="19"/>
      <c r="J5" s="19"/>
      <c r="K5" s="19"/>
      <c r="L5" s="19"/>
      <c r="M5" s="19"/>
      <c r="N5" s="19"/>
      <c r="O5" s="19"/>
      <c r="P5" s="19"/>
      <c r="Q5" s="19"/>
      <c r="R5" s="19"/>
    </row>
    <row r="6" spans="1:18" ht="16.5" customHeight="1" x14ac:dyDescent="0.7">
      <c r="B6" s="16"/>
      <c r="C6" s="16"/>
      <c r="D6" s="17"/>
      <c r="E6" s="17"/>
      <c r="F6" s="19"/>
      <c r="G6" s="19"/>
      <c r="H6" s="19"/>
      <c r="I6" s="19"/>
      <c r="J6" s="19"/>
      <c r="K6" s="19"/>
      <c r="L6" s="19"/>
      <c r="M6" s="19"/>
      <c r="N6" s="19"/>
      <c r="O6" s="19"/>
      <c r="P6" s="19"/>
      <c r="Q6" s="19"/>
      <c r="R6" s="19"/>
    </row>
    <row r="7" spans="1:18" ht="16.5" customHeight="1" x14ac:dyDescent="0.7">
      <c r="B7" s="16"/>
      <c r="C7" s="17"/>
      <c r="D7" s="17"/>
      <c r="E7" s="17"/>
      <c r="F7" s="19"/>
      <c r="G7" s="19"/>
      <c r="H7" s="19"/>
      <c r="I7" s="19"/>
      <c r="J7" s="19"/>
      <c r="K7" s="19"/>
      <c r="L7" s="19"/>
      <c r="M7" s="19"/>
      <c r="N7" s="19"/>
      <c r="O7" s="19"/>
      <c r="P7" s="19"/>
      <c r="Q7" s="19"/>
      <c r="R7" s="19"/>
    </row>
    <row r="8" spans="1:18" ht="16.5" customHeight="1" x14ac:dyDescent="0.7">
      <c r="B8" s="16"/>
      <c r="C8" s="16"/>
      <c r="D8" s="17"/>
      <c r="E8" s="17"/>
      <c r="F8" s="19"/>
      <c r="G8" s="19"/>
      <c r="H8" s="19"/>
      <c r="I8" s="19"/>
      <c r="J8" s="19"/>
      <c r="K8" s="19"/>
      <c r="L8" s="19"/>
      <c r="M8" s="19"/>
      <c r="N8" s="19"/>
      <c r="O8" s="19"/>
      <c r="P8" s="19"/>
      <c r="Q8" s="19"/>
      <c r="R8" s="19"/>
    </row>
    <row r="9" spans="1:18" ht="16.5" customHeight="1" x14ac:dyDescent="0.35">
      <c r="B9" s="16"/>
      <c r="C9" s="16"/>
      <c r="D9" s="20"/>
      <c r="E9" s="20"/>
      <c r="F9" s="19"/>
      <c r="G9" s="19"/>
      <c r="H9" s="19"/>
      <c r="I9" s="19"/>
      <c r="J9" s="19"/>
      <c r="K9" s="19"/>
      <c r="L9" s="19"/>
      <c r="M9" s="19"/>
      <c r="N9" s="19"/>
      <c r="O9" s="19"/>
      <c r="P9" s="19"/>
      <c r="Q9" s="19"/>
      <c r="R9" s="19"/>
    </row>
    <row r="10" spans="1:18" ht="30" customHeight="1" x14ac:dyDescent="0.5">
      <c r="B10" s="16"/>
      <c r="C10" s="16"/>
      <c r="D10" s="1085"/>
      <c r="E10" s="1085"/>
      <c r="F10" s="1085"/>
      <c r="G10" s="1085"/>
      <c r="H10" s="1085"/>
      <c r="I10" s="1085"/>
      <c r="J10" s="1085"/>
      <c r="K10" s="1085"/>
      <c r="L10" s="1085"/>
      <c r="M10" s="1085"/>
    </row>
    <row r="11" spans="1:18" ht="16.5" customHeight="1" x14ac:dyDescent="0.35">
      <c r="B11" s="16"/>
      <c r="C11" s="16"/>
    </row>
    <row r="12" spans="1:18" ht="16.5" customHeight="1" x14ac:dyDescent="0.35">
      <c r="B12" s="16"/>
      <c r="C12" s="16"/>
    </row>
    <row r="13" spans="1:18" ht="16.5" customHeight="1" x14ac:dyDescent="0.35">
      <c r="B13" s="16"/>
      <c r="C13" s="16"/>
    </row>
    <row r="14" spans="1:18" ht="16.5" customHeight="1" x14ac:dyDescent="0.35">
      <c r="B14" s="16"/>
      <c r="C14" s="16"/>
    </row>
    <row r="15" spans="1:18" ht="16.5" customHeight="1" x14ac:dyDescent="0.35">
      <c r="B15" s="16"/>
      <c r="C15" s="16"/>
    </row>
    <row r="16" spans="1:18" ht="16.5" customHeight="1" x14ac:dyDescent="0.35"/>
    <row r="17" ht="16.5" customHeight="1" x14ac:dyDescent="0.35"/>
    <row r="18" ht="16.5" customHeight="1" x14ac:dyDescent="0.35"/>
    <row r="19" ht="16.5" customHeight="1" x14ac:dyDescent="0.35"/>
    <row r="20" ht="16.5" customHeight="1" x14ac:dyDescent="0.35"/>
    <row r="21" ht="16.5" customHeight="1" x14ac:dyDescent="0.35"/>
    <row r="22" ht="16.5" customHeight="1" x14ac:dyDescent="0.35"/>
    <row r="23" ht="16.5" customHeight="1" x14ac:dyDescent="0.35"/>
    <row r="24" ht="16.5" customHeight="1" x14ac:dyDescent="0.35"/>
    <row r="25" ht="16.5" customHeight="1" x14ac:dyDescent="0.35"/>
    <row r="26" ht="16.5" customHeight="1" x14ac:dyDescent="0.35"/>
    <row r="27" x14ac:dyDescent="0.35"/>
    <row r="28" x14ac:dyDescent="0.35"/>
    <row r="29" x14ac:dyDescent="0.35"/>
    <row r="30" x14ac:dyDescent="0.35"/>
    <row r="31" x14ac:dyDescent="0.35"/>
    <row r="32" x14ac:dyDescent="0.35"/>
    <row r="33" x14ac:dyDescent="0.35"/>
    <row r="34" x14ac:dyDescent="0.35"/>
    <row r="35" x14ac:dyDescent="0.35"/>
    <row r="36" x14ac:dyDescent="0.35"/>
    <row r="37" x14ac:dyDescent="0.35"/>
    <row r="38" x14ac:dyDescent="0.35"/>
    <row r="39" x14ac:dyDescent="0.35"/>
    <row r="40" x14ac:dyDescent="0.35"/>
    <row r="41" x14ac:dyDescent="0.35"/>
    <row r="42" x14ac:dyDescent="0.35"/>
    <row r="43" x14ac:dyDescent="0.35"/>
    <row r="44" x14ac:dyDescent="0.35"/>
    <row r="45" x14ac:dyDescent="0.35"/>
    <row r="46" x14ac:dyDescent="0.35"/>
    <row r="47" x14ac:dyDescent="0.35"/>
    <row r="48" x14ac:dyDescent="0.35"/>
    <row r="49" x14ac:dyDescent="0.35"/>
    <row r="50" x14ac:dyDescent="0.35"/>
    <row r="51" x14ac:dyDescent="0.35"/>
    <row r="52" x14ac:dyDescent="0.35"/>
  </sheetData>
  <sheetProtection algorithmName="SHA-512" hashValue="aRrauwGLgfCUvc+lseJgfA0WfHeXXO66CzKgTlCxnjq5v/ebRG2PMqStJmcfMkKrPABUOhbpzA3IX0SOEUEC+w==" saltValue="xf7Gcg2dAxSf/nkshwMiPw==" spinCount="100000" sheet="1" objects="1" scenarios="1"/>
  <customSheetViews>
    <customSheetView guid="{8BDA793C-C9C5-4FC6-A0A5-F1109F6D4F22}" state="hidden">
      <selection activeCell="D14" sqref="D14"/>
    </customSheetView>
  </customSheetViews>
  <mergeCells count="3">
    <mergeCell ref="F1:J1"/>
    <mergeCell ref="K1:O1"/>
    <mergeCell ref="D10:M10"/>
  </mergeCell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5">
    <tabColor theme="0" tint="-0.249977111117893"/>
  </sheetPr>
  <dimension ref="A1:D378"/>
  <sheetViews>
    <sheetView workbookViewId="0"/>
  </sheetViews>
  <sheetFormatPr defaultColWidth="9.1796875" defaultRowHeight="14.5" x14ac:dyDescent="0.35"/>
  <cols>
    <col min="1" max="1" width="41.26953125" style="274" customWidth="1"/>
    <col min="2" max="2" width="56.453125" style="274" bestFit="1" customWidth="1"/>
    <col min="3" max="3" width="9.1796875" style="274"/>
    <col min="4" max="4" width="48.81640625" style="274" customWidth="1"/>
    <col min="5" max="16384" width="9.1796875" style="274"/>
  </cols>
  <sheetData>
    <row r="1" spans="1:4" s="275" customFormat="1" x14ac:dyDescent="0.35">
      <c r="A1" s="309" t="s">
        <v>1163</v>
      </c>
      <c r="B1" s="310" t="s">
        <v>1164</v>
      </c>
      <c r="D1" s="279" t="s">
        <v>1165</v>
      </c>
    </row>
    <row r="2" spans="1:4" x14ac:dyDescent="0.35">
      <c r="A2" s="659" t="s">
        <v>1166</v>
      </c>
      <c r="B2" s="660" t="s">
        <v>1167</v>
      </c>
      <c r="D2" s="659" t="str">
        <f>'G-1 All Habitats'!B3</f>
        <v>Cropland - Arable field margins cultivated annually</v>
      </c>
    </row>
    <row r="3" spans="1:4" x14ac:dyDescent="0.35">
      <c r="A3" s="659" t="s">
        <v>1168</v>
      </c>
      <c r="B3" s="660" t="s">
        <v>1169</v>
      </c>
      <c r="D3" s="659" t="str">
        <f>'G-1 All Habitats'!B4</f>
        <v>Cropland - Arable field margins game bird mix</v>
      </c>
    </row>
    <row r="4" spans="1:4" x14ac:dyDescent="0.35">
      <c r="A4" s="659" t="s">
        <v>1170</v>
      </c>
      <c r="B4" s="660" t="s">
        <v>1171</v>
      </c>
      <c r="D4" s="659" t="str">
        <f>'G-1 All Habitats'!B5</f>
        <v>Cropland - Arable field margins pollen &amp; nectar</v>
      </c>
    </row>
    <row r="5" spans="1:4" x14ac:dyDescent="0.35">
      <c r="A5" s="659" t="s">
        <v>1172</v>
      </c>
      <c r="B5" s="660" t="s">
        <v>1173</v>
      </c>
      <c r="D5" s="659" t="str">
        <f>'G-1 All Habitats'!B6</f>
        <v>Cropland - Arable field margins tussocky</v>
      </c>
    </row>
    <row r="6" spans="1:4" x14ac:dyDescent="0.35">
      <c r="A6" s="659" t="s">
        <v>1174</v>
      </c>
      <c r="B6" s="660" t="s">
        <v>1175</v>
      </c>
      <c r="D6" s="659" t="str">
        <f>'G-1 All Habitats'!B7</f>
        <v>Cropland - Cereal crops</v>
      </c>
    </row>
    <row r="7" spans="1:4" x14ac:dyDescent="0.35">
      <c r="A7" s="659" t="s">
        <v>1176</v>
      </c>
      <c r="B7" s="660" t="s">
        <v>1177</v>
      </c>
      <c r="D7" s="659" t="e">
        <f>'G-1 All Habitats'!#REF!</f>
        <v>#REF!</v>
      </c>
    </row>
    <row r="8" spans="1:4" x14ac:dyDescent="0.35">
      <c r="A8" s="659" t="s">
        <v>1178</v>
      </c>
      <c r="B8" s="660" t="s">
        <v>1179</v>
      </c>
      <c r="D8" s="659" t="str">
        <f>'G-1 All Habitats'!B8</f>
        <v>Cropland - Cereal crops winter stubble</v>
      </c>
    </row>
    <row r="9" spans="1:4" x14ac:dyDescent="0.35">
      <c r="A9" s="659" t="s">
        <v>1180</v>
      </c>
      <c r="B9" s="660" t="s">
        <v>1181</v>
      </c>
      <c r="D9" s="659" t="str">
        <f>'G-1 All Habitats'!B9</f>
        <v>Cropland - Horticulture</v>
      </c>
    </row>
    <row r="10" spans="1:4" x14ac:dyDescent="0.35">
      <c r="A10" s="659" t="s">
        <v>1182</v>
      </c>
      <c r="B10" s="660" t="s">
        <v>1183</v>
      </c>
      <c r="D10" s="659" t="str">
        <f>'G-1 All Habitats'!B10</f>
        <v>Cropland - Intensive orchards</v>
      </c>
    </row>
    <row r="11" spans="1:4" x14ac:dyDescent="0.35">
      <c r="A11" s="659" t="s">
        <v>1184</v>
      </c>
      <c r="B11" s="660" t="s">
        <v>1185</v>
      </c>
      <c r="D11" s="659" t="str">
        <f>'G-1 All Habitats'!B11</f>
        <v>Cropland - Non-cereal crops</v>
      </c>
    </row>
    <row r="12" spans="1:4" x14ac:dyDescent="0.35">
      <c r="A12" s="659" t="s">
        <v>1186</v>
      </c>
      <c r="B12" s="660" t="s">
        <v>1187</v>
      </c>
      <c r="D12" s="659" t="str">
        <f>'G-1 All Habitats'!B12</f>
        <v>Cropland - Temporary grass and clover leys</v>
      </c>
    </row>
    <row r="13" spans="1:4" x14ac:dyDescent="0.35">
      <c r="A13" s="659" t="s">
        <v>1188</v>
      </c>
      <c r="B13" s="660" t="s">
        <v>1189</v>
      </c>
      <c r="D13" s="659" t="str">
        <f>'G-1 All Habitats'!B13</f>
        <v>Grassland - Traditional orchards</v>
      </c>
    </row>
    <row r="14" spans="1:4" x14ac:dyDescent="0.35">
      <c r="A14" s="659" t="s">
        <v>1190</v>
      </c>
      <c r="B14" s="660" t="s">
        <v>1191</v>
      </c>
      <c r="D14" s="659" t="str">
        <f>'G-1 All Habitats'!B14</f>
        <v>Grassland - Bracken</v>
      </c>
    </row>
    <row r="15" spans="1:4" x14ac:dyDescent="0.35">
      <c r="A15" s="659" t="s">
        <v>1192</v>
      </c>
      <c r="B15" s="660" t="s">
        <v>1193</v>
      </c>
      <c r="D15" s="659" t="str">
        <f>'G-1 All Habitats'!B15</f>
        <v>Grassland - Floodplain Wetland Mosaic (CFGM)</v>
      </c>
    </row>
    <row r="16" spans="1:4" x14ac:dyDescent="0.35">
      <c r="A16" s="659" t="s">
        <v>1194</v>
      </c>
      <c r="B16" s="660" t="s">
        <v>1195</v>
      </c>
      <c r="D16" s="659" t="str">
        <f>'G-1 All Habitats'!B16</f>
        <v>Grassland - Lowland calcareous grassland</v>
      </c>
    </row>
    <row r="17" spans="1:4" x14ac:dyDescent="0.35">
      <c r="A17" s="659" t="s">
        <v>1196</v>
      </c>
      <c r="D17" s="659" t="str">
        <f>'G-1 All Habitats'!B17</f>
        <v>Grassland - Lowland dry acid grassland</v>
      </c>
    </row>
    <row r="18" spans="1:4" x14ac:dyDescent="0.35">
      <c r="A18" s="659" t="s">
        <v>1197</v>
      </c>
      <c r="D18" s="659" t="str">
        <f>'G-1 All Habitats'!B18</f>
        <v>Grassland - Lowland meadows</v>
      </c>
    </row>
    <row r="19" spans="1:4" x14ac:dyDescent="0.35">
      <c r="A19" s="659" t="s">
        <v>1198</v>
      </c>
      <c r="D19" s="659" t="str">
        <f>'G-1 All Habitats'!B19</f>
        <v>Grassland - Modified grassland</v>
      </c>
    </row>
    <row r="20" spans="1:4" x14ac:dyDescent="0.35">
      <c r="A20" s="659" t="s">
        <v>1199</v>
      </c>
      <c r="D20" s="659" t="str">
        <f>'G-1 All Habitats'!B20</f>
        <v>Grassland - Other lowland acid grassland</v>
      </c>
    </row>
    <row r="21" spans="1:4" x14ac:dyDescent="0.35">
      <c r="A21" s="659" t="s">
        <v>1200</v>
      </c>
      <c r="D21" s="659" t="str">
        <f>'G-1 All Habitats'!B21</f>
        <v>Grassland - Other neutral grassland</v>
      </c>
    </row>
    <row r="22" spans="1:4" x14ac:dyDescent="0.35">
      <c r="A22" s="659" t="s">
        <v>1201</v>
      </c>
      <c r="D22" s="659" t="str">
        <f>'G-1 All Habitats'!B22</f>
        <v>Grassland - Tall herb communities (H6430)</v>
      </c>
    </row>
    <row r="23" spans="1:4" x14ac:dyDescent="0.35">
      <c r="A23" s="659" t="s">
        <v>1202</v>
      </c>
      <c r="D23" s="659" t="str">
        <f>'G-1 All Habitats'!B23</f>
        <v>Grassland - Upland acid grassland</v>
      </c>
    </row>
    <row r="24" spans="1:4" x14ac:dyDescent="0.35">
      <c r="A24" s="659" t="s">
        <v>1203</v>
      </c>
      <c r="D24" s="659" t="str">
        <f>'G-1 All Habitats'!B24</f>
        <v>Grassland - Upland calcareous grassland</v>
      </c>
    </row>
    <row r="25" spans="1:4" x14ac:dyDescent="0.35">
      <c r="A25" s="659" t="s">
        <v>1204</v>
      </c>
      <c r="D25" s="659" t="str">
        <f>'G-1 All Habitats'!B25</f>
        <v>Grassland - Upland hay meadows</v>
      </c>
    </row>
    <row r="26" spans="1:4" x14ac:dyDescent="0.35">
      <c r="A26" s="659" t="s">
        <v>1205</v>
      </c>
      <c r="D26" s="659" t="str">
        <f>'G-1 All Habitats'!B26</f>
        <v>Heathland and shrub - Blackthorn scrub</v>
      </c>
    </row>
    <row r="27" spans="1:4" x14ac:dyDescent="0.35">
      <c r="A27" s="659" t="s">
        <v>1206</v>
      </c>
      <c r="D27" s="659" t="str">
        <f>'G-1 All Habitats'!B27</f>
        <v>Heathland and shrub - Bramble scrub</v>
      </c>
    </row>
    <row r="28" spans="1:4" x14ac:dyDescent="0.35">
      <c r="A28" s="659" t="s">
        <v>1207</v>
      </c>
      <c r="D28" s="659" t="str">
        <f>'G-1 All Habitats'!B28</f>
        <v>Heathland and shrub - Gorse scrub</v>
      </c>
    </row>
    <row r="29" spans="1:4" x14ac:dyDescent="0.35">
      <c r="A29" s="659" t="s">
        <v>1208</v>
      </c>
      <c r="D29" s="659" t="str">
        <f>'G-1 All Habitats'!B29</f>
        <v>Heathland and shrub - Hawthorn scrub</v>
      </c>
    </row>
    <row r="30" spans="1:4" x14ac:dyDescent="0.35">
      <c r="A30" s="659" t="s">
        <v>1209</v>
      </c>
      <c r="D30" s="659" t="str">
        <f>'G-1 All Habitats'!B30</f>
        <v>Heathland and shrub - Hazel scrub</v>
      </c>
    </row>
    <row r="31" spans="1:4" x14ac:dyDescent="0.35">
      <c r="A31" s="659" t="s">
        <v>1210</v>
      </c>
      <c r="D31" s="659" t="str">
        <f>'G-1 All Habitats'!B31</f>
        <v>Heathland and shrub - Lowland Heathland</v>
      </c>
    </row>
    <row r="32" spans="1:4" x14ac:dyDescent="0.35">
      <c r="A32" s="659" t="s">
        <v>1211</v>
      </c>
      <c r="D32" s="659" t="str">
        <f>'G-1 All Habitats'!B32</f>
        <v>Heathland and shrub - Mixed scrub</v>
      </c>
    </row>
    <row r="33" spans="1:4" x14ac:dyDescent="0.35">
      <c r="A33" s="659" t="s">
        <v>1212</v>
      </c>
      <c r="D33" s="659" t="str">
        <f>'G-1 All Habitats'!B33</f>
        <v>Heathland and shrub - Mountain heaths and willow scrub</v>
      </c>
    </row>
    <row r="34" spans="1:4" x14ac:dyDescent="0.35">
      <c r="A34" s="659" t="s">
        <v>1213</v>
      </c>
      <c r="D34" s="659" t="str">
        <f>'G-1 All Habitats'!B34</f>
        <v>Heathland and shrub - Rhododendron scrub</v>
      </c>
    </row>
    <row r="35" spans="1:4" x14ac:dyDescent="0.35">
      <c r="A35" s="659" t="s">
        <v>1214</v>
      </c>
      <c r="D35" s="659" t="str">
        <f>'G-1 All Habitats'!B35</f>
        <v>Heathland and shrub - Sea buckthorn scrub (Annex 1)</v>
      </c>
    </row>
    <row r="36" spans="1:4" x14ac:dyDescent="0.35">
      <c r="A36" s="659" t="s">
        <v>1215</v>
      </c>
      <c r="D36" s="659" t="str">
        <f>'G-1 All Habitats'!B36</f>
        <v>Heathland and shrub - Sea buckthorn scrub (other)</v>
      </c>
    </row>
    <row r="37" spans="1:4" x14ac:dyDescent="0.35">
      <c r="A37" s="659" t="s">
        <v>1216</v>
      </c>
      <c r="D37" s="659" t="str">
        <f>'G-1 All Habitats'!B37</f>
        <v>Heathland and shrub - Upland Heathland</v>
      </c>
    </row>
    <row r="38" spans="1:4" x14ac:dyDescent="0.35">
      <c r="A38" s="659" t="s">
        <v>1217</v>
      </c>
      <c r="D38" s="659" t="str">
        <f>'G-1 All Habitats'!B38</f>
        <v>Lakes - Aquifer fed naturally fluctuating water bodies</v>
      </c>
    </row>
    <row r="39" spans="1:4" x14ac:dyDescent="0.35">
      <c r="A39" s="659" t="s">
        <v>1218</v>
      </c>
      <c r="D39" s="659" t="e">
        <f>'G-1 All Habitats'!#REF!</f>
        <v>#REF!</v>
      </c>
    </row>
    <row r="40" spans="1:4" x14ac:dyDescent="0.35">
      <c r="A40" s="659" t="s">
        <v>1219</v>
      </c>
      <c r="D40" s="659" t="str">
        <f>'G-1 All Habitats'!B40</f>
        <v>Lakes - High alkalinity lakes</v>
      </c>
    </row>
    <row r="41" spans="1:4" x14ac:dyDescent="0.35">
      <c r="A41" s="659" t="s">
        <v>1220</v>
      </c>
      <c r="D41" s="659" t="str">
        <f>'G-1 All Habitats'!B41</f>
        <v>Lakes - Low alkalinity lakes</v>
      </c>
    </row>
    <row r="42" spans="1:4" x14ac:dyDescent="0.35">
      <c r="A42" s="659" t="s">
        <v>1221</v>
      </c>
      <c r="D42" s="659" t="str">
        <f>'G-1 All Habitats'!B42</f>
        <v>Lakes - Marl Lakes</v>
      </c>
    </row>
    <row r="43" spans="1:4" x14ac:dyDescent="0.35">
      <c r="A43" s="659" t="s">
        <v>1222</v>
      </c>
      <c r="D43" s="659" t="str">
        <f>'G-1 All Habitats'!B43</f>
        <v>Lakes - Moderate alkalinity lakes</v>
      </c>
    </row>
    <row r="44" spans="1:4" x14ac:dyDescent="0.35">
      <c r="A44" s="659" t="s">
        <v>1223</v>
      </c>
      <c r="D44" s="659" t="str">
        <f>'G-1 All Habitats'!B44</f>
        <v>Lakes - Peat Lakes</v>
      </c>
    </row>
    <row r="45" spans="1:4" x14ac:dyDescent="0.35">
      <c r="A45" s="659" t="s">
        <v>1224</v>
      </c>
      <c r="D45" s="659" t="str">
        <f>'G-1 All Habitats'!B45</f>
        <v>Lakes - Ponds (Priority Habitat)</v>
      </c>
    </row>
    <row r="46" spans="1:4" x14ac:dyDescent="0.35">
      <c r="A46" s="659" t="s">
        <v>1225</v>
      </c>
      <c r="D46" s="659" t="str">
        <f>'G-1 All Habitats'!B46</f>
        <v>Lakes - Ponds (Non- Priority Habitat)</v>
      </c>
    </row>
    <row r="47" spans="1:4" x14ac:dyDescent="0.35">
      <c r="A47" s="659" t="s">
        <v>1226</v>
      </c>
      <c r="D47" s="659" t="str">
        <f>'G-1 All Habitats'!B47</f>
        <v>Lakes - Reservoirs</v>
      </c>
    </row>
    <row r="48" spans="1:4" x14ac:dyDescent="0.35">
      <c r="A48" s="659" t="s">
        <v>1227</v>
      </c>
      <c r="D48" s="659" t="str">
        <f>'G-1 All Habitats'!B48</f>
        <v>Lakes - Temporary lakes, ponds and pools</v>
      </c>
    </row>
    <row r="49" spans="1:4" x14ac:dyDescent="0.35">
      <c r="A49" s="659" t="s">
        <v>1228</v>
      </c>
      <c r="D49" s="659" t="str">
        <f>'G-1 All Habitats'!B49</f>
        <v>Sparsely vegetated land - Calaminarian grasslands</v>
      </c>
    </row>
    <row r="50" spans="1:4" x14ac:dyDescent="0.35">
      <c r="A50" s="659" t="s">
        <v>1229</v>
      </c>
      <c r="D50" s="659" t="str">
        <f>'G-1 All Habitats'!B50</f>
        <v>Sparsely vegetated land - Coastal sand dunes</v>
      </c>
    </row>
    <row r="51" spans="1:4" x14ac:dyDescent="0.35">
      <c r="A51" s="659" t="s">
        <v>1230</v>
      </c>
      <c r="D51" s="659" t="str">
        <f>'G-1 All Habitats'!B51</f>
        <v>Sparsely vegetated land - Coastal vegetated shingle</v>
      </c>
    </row>
    <row r="52" spans="1:4" x14ac:dyDescent="0.35">
      <c r="A52" s="659" t="s">
        <v>1231</v>
      </c>
      <c r="D52" s="659" t="str">
        <f>'G-1 All Habitats'!B52</f>
        <v>Sparsely vegetated land - Ruderal/Ephemeral</v>
      </c>
    </row>
    <row r="53" spans="1:4" x14ac:dyDescent="0.35">
      <c r="A53" s="659" t="s">
        <v>1232</v>
      </c>
      <c r="D53" s="659" t="str">
        <f>'G-1 All Habitats'!B53</f>
        <v>Sparsely vegetated land - Inland rock outcrop and scree habitats</v>
      </c>
    </row>
    <row r="54" spans="1:4" x14ac:dyDescent="0.35">
      <c r="A54" s="659" t="s">
        <v>1233</v>
      </c>
      <c r="D54" s="659" t="str">
        <f>'G-1 All Habitats'!B54</f>
        <v>Sparsely vegetated land - Limestone pavement</v>
      </c>
    </row>
    <row r="55" spans="1:4" x14ac:dyDescent="0.35">
      <c r="A55" s="659" t="s">
        <v>1234</v>
      </c>
      <c r="D55" s="659" t="str">
        <f>'G-1 All Habitats'!B55</f>
        <v>Sparsely vegetated land - Maritime cliff and slopes</v>
      </c>
    </row>
    <row r="56" spans="1:4" x14ac:dyDescent="0.35">
      <c r="A56" s="659" t="s">
        <v>1235</v>
      </c>
      <c r="D56" s="659" t="str">
        <f>'G-1 All Habitats'!B56</f>
        <v>Sparsely vegetated land - Other inland rock and scree</v>
      </c>
    </row>
    <row r="57" spans="1:4" x14ac:dyDescent="0.35">
      <c r="A57" s="659" t="s">
        <v>1236</v>
      </c>
      <c r="D57" s="659" t="str">
        <f>'G-1 All Habitats'!B57</f>
        <v>Urban - Allotments</v>
      </c>
    </row>
    <row r="58" spans="1:4" x14ac:dyDescent="0.35">
      <c r="A58" s="659" t="s">
        <v>1237</v>
      </c>
      <c r="D58" s="659" t="str">
        <f>'G-1 All Habitats'!B39</f>
        <v>Lakes - Ornamental lake or pond</v>
      </c>
    </row>
    <row r="59" spans="1:4" x14ac:dyDescent="0.35">
      <c r="A59" s="659" t="s">
        <v>1238</v>
      </c>
      <c r="D59" s="659" t="str">
        <f>'G-1 All Habitats'!B58</f>
        <v>Urban - Artificial unvegetated, unsealed surface</v>
      </c>
    </row>
    <row r="60" spans="1:4" x14ac:dyDescent="0.35">
      <c r="A60" s="659" t="s">
        <v>1239</v>
      </c>
      <c r="D60" s="659" t="str">
        <f>'G-1 All Habitats'!B59</f>
        <v>Urban - Bioswale</v>
      </c>
    </row>
    <row r="61" spans="1:4" x14ac:dyDescent="0.35">
      <c r="A61" s="659" t="s">
        <v>1240</v>
      </c>
      <c r="D61" s="659" t="str">
        <f>'G-1 All Habitats'!B60</f>
        <v>Urban - Intensive green roof</v>
      </c>
    </row>
    <row r="62" spans="1:4" x14ac:dyDescent="0.35">
      <c r="A62" s="659" t="s">
        <v>1241</v>
      </c>
      <c r="D62" s="659" t="str">
        <f>'G-1 All Habitats'!B61</f>
        <v>Urban - Built linear features</v>
      </c>
    </row>
    <row r="63" spans="1:4" x14ac:dyDescent="0.35">
      <c r="A63" s="659" t="s">
        <v>1242</v>
      </c>
      <c r="D63" s="659" t="str">
        <f>'G-1 All Habitats'!B62</f>
        <v>Urban - Cemeteries and churchyards</v>
      </c>
    </row>
    <row r="64" spans="1:4" x14ac:dyDescent="0.35">
      <c r="A64" s="659" t="s">
        <v>1243</v>
      </c>
      <c r="D64" s="659" t="str">
        <f>'G-1 All Habitats'!B63</f>
        <v>Urban - Developed land; sealed surface</v>
      </c>
    </row>
    <row r="65" spans="1:4" x14ac:dyDescent="0.35">
      <c r="A65" s="659" t="s">
        <v>1244</v>
      </c>
      <c r="D65" s="659" t="str">
        <f>'G-1 All Habitats'!B64</f>
        <v>Urban - Other green roof</v>
      </c>
    </row>
    <row r="66" spans="1:4" x14ac:dyDescent="0.35">
      <c r="A66" s="659" t="s">
        <v>1245</v>
      </c>
      <c r="D66" s="659" t="str">
        <f>'G-1 All Habitats'!B65</f>
        <v>Urban - Facade-bound green wall</v>
      </c>
    </row>
    <row r="67" spans="1:4" x14ac:dyDescent="0.35">
      <c r="A67" s="659" t="s">
        <v>1246</v>
      </c>
      <c r="D67" s="659" t="str">
        <f>'G-1 All Habitats'!B66</f>
        <v>Urban - Ground based green wall</v>
      </c>
    </row>
    <row r="68" spans="1:4" x14ac:dyDescent="0.35">
      <c r="A68" s="659" t="s">
        <v>1247</v>
      </c>
      <c r="D68" s="659" t="str">
        <f>'G-1 All Habitats'!B67</f>
        <v>Urban - Ground level planters</v>
      </c>
    </row>
    <row r="69" spans="1:4" x14ac:dyDescent="0.35">
      <c r="A69" s="659" t="s">
        <v>1248</v>
      </c>
      <c r="D69" s="659" t="str">
        <f>'G-1 All Habitats'!B68</f>
        <v>Urban - Biodiverse green roof</v>
      </c>
    </row>
    <row r="70" spans="1:4" x14ac:dyDescent="0.35">
      <c r="A70" s="659" t="s">
        <v>1249</v>
      </c>
      <c r="D70" s="659" t="str">
        <f>'G-1 All Habitats'!B69</f>
        <v>Urban - Introduced shrub</v>
      </c>
    </row>
    <row r="71" spans="1:4" x14ac:dyDescent="0.35">
      <c r="A71" s="659" t="s">
        <v>1250</v>
      </c>
      <c r="D71" s="659" t="e">
        <f>'G-1 All Habitats'!#REF!</f>
        <v>#REF!</v>
      </c>
    </row>
    <row r="72" spans="1:4" x14ac:dyDescent="0.35">
      <c r="A72" s="659" t="s">
        <v>1251</v>
      </c>
      <c r="D72" s="659" t="str">
        <f>'G-1 All Habitats'!B70</f>
        <v>Urban - Open Mosaic Habitats on Previously Developed Land</v>
      </c>
    </row>
    <row r="73" spans="1:4" x14ac:dyDescent="0.35">
      <c r="A73" s="659" t="s">
        <v>1252</v>
      </c>
      <c r="D73" s="659" t="e">
        <f>'G-1 All Habitats'!#REF!</f>
        <v>#REF!</v>
      </c>
    </row>
    <row r="74" spans="1:4" x14ac:dyDescent="0.35">
      <c r="A74" s="659" t="s">
        <v>1253</v>
      </c>
      <c r="D74" s="659" t="str">
        <f>'G-1 All Habitats'!B71</f>
        <v>Urban - Rain garden</v>
      </c>
    </row>
    <row r="75" spans="1:4" x14ac:dyDescent="0.35">
      <c r="A75" s="659" t="s">
        <v>1254</v>
      </c>
      <c r="D75" s="659" t="str">
        <f>'G-1 All Habitats'!B72</f>
        <v>Urban - Actively worked sand pit quarry or open cast mine</v>
      </c>
    </row>
    <row r="76" spans="1:4" x14ac:dyDescent="0.35">
      <c r="A76" s="659" t="s">
        <v>1255</v>
      </c>
      <c r="D76" s="659" t="str">
        <f>'G-1 All Habitats'!B73</f>
        <v>Urban - Urban Tree</v>
      </c>
    </row>
    <row r="77" spans="1:4" x14ac:dyDescent="0.35">
      <c r="A77" s="659" t="s">
        <v>1256</v>
      </c>
      <c r="D77" s="659" t="e">
        <f>'G-1 All Habitats'!#REF!</f>
        <v>#REF!</v>
      </c>
    </row>
    <row r="78" spans="1:4" x14ac:dyDescent="0.35">
      <c r="A78" s="659" t="s">
        <v>1257</v>
      </c>
      <c r="D78" s="659" t="str">
        <f>'G-1 All Habitats'!B74</f>
        <v>Urban - Sustainable urban drainage feature</v>
      </c>
    </row>
    <row r="79" spans="1:4" x14ac:dyDescent="0.35">
      <c r="A79" s="659" t="s">
        <v>1258</v>
      </c>
      <c r="D79" s="659" t="str">
        <f>'G-1 All Habitats'!B75</f>
        <v>Urban - Un-vegetated garden</v>
      </c>
    </row>
    <row r="80" spans="1:4" x14ac:dyDescent="0.35">
      <c r="A80" s="659" t="s">
        <v>1259</v>
      </c>
      <c r="D80" s="659" t="str">
        <f>'G-1 All Habitats'!B76</f>
        <v>Urban - Vacant/derelict land/ bareground</v>
      </c>
    </row>
    <row r="81" spans="1:4" x14ac:dyDescent="0.35">
      <c r="A81" s="659" t="s">
        <v>1260</v>
      </c>
      <c r="D81" s="659" t="str">
        <f>'G-1 All Habitats'!B77</f>
        <v>Urban - Vegetated garden</v>
      </c>
    </row>
    <row r="82" spans="1:4" x14ac:dyDescent="0.35">
      <c r="A82" s="659" t="s">
        <v>1261</v>
      </c>
      <c r="D82" s="659" t="e">
        <f>'G-1 All Habitats'!#REF!</f>
        <v>#REF!</v>
      </c>
    </row>
    <row r="83" spans="1:4" x14ac:dyDescent="0.35">
      <c r="A83" s="659" t="s">
        <v>1262</v>
      </c>
      <c r="D83" s="659" t="str">
        <f>'G-1 All Habitats'!B78</f>
        <v>Wetland - Blanket bog</v>
      </c>
    </row>
    <row r="84" spans="1:4" x14ac:dyDescent="0.35">
      <c r="A84" s="659" t="s">
        <v>1263</v>
      </c>
      <c r="D84" s="659" t="str">
        <f>'G-1 All Habitats'!B79</f>
        <v>Wetland - Depressions on Peat substrates (H7150)</v>
      </c>
    </row>
    <row r="85" spans="1:4" x14ac:dyDescent="0.35">
      <c r="A85" s="659" t="s">
        <v>1264</v>
      </c>
      <c r="D85" s="659" t="str">
        <f>'G-1 All Habitats'!B80</f>
        <v>Wetland - Fens (upland and lowland)</v>
      </c>
    </row>
    <row r="86" spans="1:4" x14ac:dyDescent="0.35">
      <c r="A86" s="659" t="s">
        <v>1265</v>
      </c>
      <c r="D86" s="659" t="str">
        <f>'G-1 All Habitats'!B81</f>
        <v>Wetland - Lowland raised bog</v>
      </c>
    </row>
    <row r="87" spans="1:4" x14ac:dyDescent="0.35">
      <c r="A87" s="659" t="s">
        <v>1266</v>
      </c>
      <c r="D87" s="659" t="str">
        <f>'G-1 All Habitats'!B82</f>
        <v>Wetland - Oceanic Valley Mire[1] (D2.1)</v>
      </c>
    </row>
    <row r="88" spans="1:4" x14ac:dyDescent="0.35">
      <c r="A88" s="659" t="s">
        <v>1267</v>
      </c>
      <c r="D88" s="659" t="str">
        <f>'G-1 All Habitats'!B83</f>
        <v>Wetland - Purple moor grass and rush pastures</v>
      </c>
    </row>
    <row r="89" spans="1:4" x14ac:dyDescent="0.35">
      <c r="A89" s="659" t="s">
        <v>1268</v>
      </c>
      <c r="D89" s="659" t="str">
        <f>'G-1 All Habitats'!B84</f>
        <v>Wetland - Reedbeds</v>
      </c>
    </row>
    <row r="90" spans="1:4" x14ac:dyDescent="0.35">
      <c r="A90" s="659" t="s">
        <v>1269</v>
      </c>
      <c r="D90" s="659" t="str">
        <f>'G-1 All Habitats'!B85</f>
        <v>Wetland - Transition mires and quaking bogs (H7140)</v>
      </c>
    </row>
    <row r="91" spans="1:4" x14ac:dyDescent="0.35">
      <c r="A91" s="659" t="s">
        <v>1270</v>
      </c>
      <c r="D91" s="659" t="str">
        <f>'G-1 All Habitats'!B86</f>
        <v>Woodland and forest - Felled</v>
      </c>
    </row>
    <row r="92" spans="1:4" x14ac:dyDescent="0.35">
      <c r="A92" s="659" t="s">
        <v>1271</v>
      </c>
      <c r="D92" s="659" t="str">
        <f>'G-1 All Habitats'!B87</f>
        <v>Woodland and forest - Lowland beech and yew woodland</v>
      </c>
    </row>
    <row r="93" spans="1:4" x14ac:dyDescent="0.35">
      <c r="A93" s="659" t="s">
        <v>1272</v>
      </c>
      <c r="D93" s="659" t="str">
        <f>'G-1 All Habitats'!B88</f>
        <v>Woodland and forest - Lowland mixed deciduous woodland</v>
      </c>
    </row>
    <row r="94" spans="1:4" x14ac:dyDescent="0.35">
      <c r="A94" s="659" t="s">
        <v>1273</v>
      </c>
      <c r="D94" s="659" t="str">
        <f>'G-1 All Habitats'!B89</f>
        <v>Woodland and forest - Native pine woodlands</v>
      </c>
    </row>
    <row r="95" spans="1:4" x14ac:dyDescent="0.35">
      <c r="A95" s="659" t="s">
        <v>1274</v>
      </c>
      <c r="D95" s="659" t="str">
        <f>'G-1 All Habitats'!B90</f>
        <v>Woodland and forest - Other coniferous woodland</v>
      </c>
    </row>
    <row r="96" spans="1:4" x14ac:dyDescent="0.35">
      <c r="A96" s="659" t="s">
        <v>1275</v>
      </c>
      <c r="D96" s="659" t="str">
        <f>'G-1 All Habitats'!B91</f>
        <v>Woodland and forest - Other Scot's Pine woodland</v>
      </c>
    </row>
    <row r="97" spans="1:4" x14ac:dyDescent="0.35">
      <c r="A97" s="659" t="s">
        <v>1276</v>
      </c>
      <c r="D97" s="659" t="str">
        <f>'G-1 All Habitats'!B92</f>
        <v>Woodland and forest - Other woodland; broadleaved</v>
      </c>
    </row>
    <row r="98" spans="1:4" x14ac:dyDescent="0.35">
      <c r="A98" s="659" t="s">
        <v>1277</v>
      </c>
      <c r="D98" s="659" t="str">
        <f>'G-1 All Habitats'!B93</f>
        <v>Woodland and forest - Other woodland; mixed</v>
      </c>
    </row>
    <row r="99" spans="1:4" x14ac:dyDescent="0.35">
      <c r="A99" s="659" t="s">
        <v>1278</v>
      </c>
      <c r="D99" s="659" t="e">
        <f>'G-1 All Habitats'!#REF!</f>
        <v>#REF!</v>
      </c>
    </row>
    <row r="100" spans="1:4" x14ac:dyDescent="0.35">
      <c r="A100" s="659" t="s">
        <v>1279</v>
      </c>
      <c r="D100" s="659" t="str">
        <f>'G-1 All Habitats'!B94</f>
        <v>Woodland and forest - Upland birchwoods</v>
      </c>
    </row>
    <row r="101" spans="1:4" x14ac:dyDescent="0.35">
      <c r="A101" s="659" t="s">
        <v>1280</v>
      </c>
      <c r="D101" s="659" t="str">
        <f>'G-1 All Habitats'!B95</f>
        <v>Woodland and forest - Upland mixed ashwoods</v>
      </c>
    </row>
    <row r="102" spans="1:4" x14ac:dyDescent="0.35">
      <c r="A102" s="659" t="s">
        <v>1281</v>
      </c>
      <c r="D102" s="659" t="str">
        <f>'G-1 All Habitats'!B96</f>
        <v>Woodland and forest - Upland oakwood</v>
      </c>
    </row>
    <row r="103" spans="1:4" x14ac:dyDescent="0.35">
      <c r="A103" s="659" t="s">
        <v>1282</v>
      </c>
      <c r="D103" s="659" t="str">
        <f>'G-1 All Habitats'!B97</f>
        <v>Woodland and forest - Wet woodland</v>
      </c>
    </row>
    <row r="104" spans="1:4" x14ac:dyDescent="0.35">
      <c r="A104" s="659" t="s">
        <v>1283</v>
      </c>
      <c r="D104" s="659" t="str">
        <f>'G-1 All Habitats'!B98</f>
        <v>Woodland and forest - Wood-pasture and parkland</v>
      </c>
    </row>
    <row r="105" spans="1:4" x14ac:dyDescent="0.35">
      <c r="A105" s="659" t="s">
        <v>1284</v>
      </c>
      <c r="D105" s="659" t="str">
        <f>'G-1 All Habitats'!B99</f>
        <v>Coastal lagoons - Coastal lagoons</v>
      </c>
    </row>
    <row r="106" spans="1:4" x14ac:dyDescent="0.35">
      <c r="A106" s="659" t="s">
        <v>1285</v>
      </c>
      <c r="D106" s="659" t="str">
        <f>'G-1 All Habitats'!B100</f>
        <v>Rocky shore - High energy littoral rock</v>
      </c>
    </row>
    <row r="107" spans="1:4" x14ac:dyDescent="0.35">
      <c r="A107" s="659" t="s">
        <v>1286</v>
      </c>
      <c r="D107" s="659" t="str">
        <f>'G-1 All Habitats'!B101</f>
        <v>Rocky shore - High energy littoral rock - on peat, clay or chalk</v>
      </c>
    </row>
    <row r="108" spans="1:4" x14ac:dyDescent="0.35">
      <c r="A108" s="659" t="s">
        <v>1287</v>
      </c>
      <c r="D108" s="659" t="str">
        <f>'G-1 All Habitats'!B102</f>
        <v>Rocky shore - Moderate energy littoral rock</v>
      </c>
    </row>
    <row r="109" spans="1:4" x14ac:dyDescent="0.35">
      <c r="A109" s="659" t="s">
        <v>1288</v>
      </c>
      <c r="D109" s="659" t="str">
        <f>'G-1 All Habitats'!B103</f>
        <v>Rocky shore - Moderate energy littoral rock - on peat, clay or chalk</v>
      </c>
    </row>
    <row r="110" spans="1:4" x14ac:dyDescent="0.35">
      <c r="A110" s="659" t="s">
        <v>1289</v>
      </c>
      <c r="D110" s="659" t="str">
        <f>'G-1 All Habitats'!B104</f>
        <v>Rocky shore - Low energy littoral rock</v>
      </c>
    </row>
    <row r="111" spans="1:4" x14ac:dyDescent="0.35">
      <c r="A111" s="659" t="s">
        <v>1290</v>
      </c>
      <c r="D111" s="659" t="str">
        <f>'G-1 All Habitats'!B105</f>
        <v>Rocky shore - Low energy littoral rock - on peat, clay or chalk</v>
      </c>
    </row>
    <row r="112" spans="1:4" x14ac:dyDescent="0.35">
      <c r="A112" s="659" t="s">
        <v>1291</v>
      </c>
      <c r="D112" s="659" t="str">
        <f>'G-1 All Habitats'!B106</f>
        <v>Rocky shore - Features of littoral rock</v>
      </c>
    </row>
    <row r="113" spans="1:4" x14ac:dyDescent="0.35">
      <c r="A113" s="659" t="s">
        <v>1292</v>
      </c>
      <c r="D113" s="659" t="str">
        <f>'G-1 All Habitats'!B107</f>
        <v>Rocky shore - Features of littoral rock - on peat, clay or chalk</v>
      </c>
    </row>
    <row r="114" spans="1:4" x14ac:dyDescent="0.35">
      <c r="A114" s="659" t="s">
        <v>1293</v>
      </c>
      <c r="D114" s="659" t="e">
        <f>'G-1 All Habitats'!#REF!</f>
        <v>#REF!</v>
      </c>
    </row>
    <row r="115" spans="1:4" x14ac:dyDescent="0.35">
      <c r="A115" s="659" t="s">
        <v>1294</v>
      </c>
      <c r="D115" s="659" t="e">
        <f>'G-1 All Habitats'!#REF!</f>
        <v>#REF!</v>
      </c>
    </row>
    <row r="116" spans="1:4" x14ac:dyDescent="0.35">
      <c r="A116" s="659" t="s">
        <v>1295</v>
      </c>
      <c r="D116" s="659" t="e">
        <f>'G-1 All Habitats'!#REF!</f>
        <v>#REF!</v>
      </c>
    </row>
    <row r="117" spans="1:4" x14ac:dyDescent="0.35">
      <c r="A117" s="659" t="s">
        <v>1296</v>
      </c>
      <c r="D117" s="659" t="e">
        <f>'G-1 All Habitats'!#REF!</f>
        <v>#REF!</v>
      </c>
    </row>
    <row r="118" spans="1:4" x14ac:dyDescent="0.35">
      <c r="A118" s="659" t="s">
        <v>1297</v>
      </c>
      <c r="D118" s="659" t="str">
        <f>'G-1 All Habitats'!B110</f>
        <v>Intertidal sediment - Littoral coarse sediment</v>
      </c>
    </row>
    <row r="119" spans="1:4" x14ac:dyDescent="0.35">
      <c r="A119" s="659" t="s">
        <v>1298</v>
      </c>
      <c r="D119" s="659" t="e">
        <f>'G-1 All Habitats'!#REF!</f>
        <v>#REF!</v>
      </c>
    </row>
    <row r="120" spans="1:4" x14ac:dyDescent="0.35">
      <c r="A120" s="659" t="s">
        <v>1299</v>
      </c>
      <c r="D120" s="659" t="str">
        <f>'G-1 All Habitats'!B111</f>
        <v>Intertidal sediment - Littoral mud</v>
      </c>
    </row>
    <row r="121" spans="1:4" x14ac:dyDescent="0.35">
      <c r="A121" s="659" t="s">
        <v>1300</v>
      </c>
      <c r="D121" s="659" t="str">
        <f>'G-1 All Habitats'!B112</f>
        <v>Intertidal sediment - Littoral mixed sediments</v>
      </c>
    </row>
    <row r="122" spans="1:4" x14ac:dyDescent="0.35">
      <c r="A122" s="659" t="s">
        <v>1301</v>
      </c>
      <c r="D122" s="659" t="str">
        <f>'G-1 All Habitats'!B108</f>
        <v>Coastal saltmarsh - Saltmarshes and saline reedbeds</v>
      </c>
    </row>
    <row r="123" spans="1:4" x14ac:dyDescent="0.35">
      <c r="A123" s="659" t="s">
        <v>1302</v>
      </c>
      <c r="D123" s="659" t="str">
        <f>'G-1 All Habitats'!B113</f>
        <v>Intertidal sediment - Littoral seagrass</v>
      </c>
    </row>
    <row r="124" spans="1:4" x14ac:dyDescent="0.35">
      <c r="A124" s="659" t="s">
        <v>1303</v>
      </c>
      <c r="D124" s="659" t="str">
        <f>'G-1 All Habitats'!B114</f>
        <v>Intertidal sediment - Littoral seagrass on peat, clay or chalk</v>
      </c>
    </row>
    <row r="125" spans="1:4" x14ac:dyDescent="0.35">
      <c r="A125" s="659" t="s">
        <v>1304</v>
      </c>
      <c r="D125" s="659" t="str">
        <f>'G-1 All Habitats'!B116</f>
        <v>Intertidal sediment - Littoral biogenic reefs - Sabellaria</v>
      </c>
    </row>
    <row r="126" spans="1:4" x14ac:dyDescent="0.35">
      <c r="A126" s="659" t="s">
        <v>1305</v>
      </c>
      <c r="D126" s="659" t="e">
        <f>'G-1 All Habitats'!#REF!</f>
        <v>#REF!</v>
      </c>
    </row>
    <row r="127" spans="1:4" x14ac:dyDescent="0.35">
      <c r="A127" s="659" t="s">
        <v>1306</v>
      </c>
      <c r="D127" s="659" t="str">
        <f>'G-1 All Habitats'!B117</f>
        <v>Intertidal sediment - Features of littoral sediment</v>
      </c>
    </row>
    <row r="128" spans="1:4" x14ac:dyDescent="0.35">
      <c r="A128" s="659" t="s">
        <v>1307</v>
      </c>
      <c r="D128" s="659" t="str">
        <f>'G-1 All Habitats'!B118</f>
        <v>Intertidal sediment - Artificial littoral coarse sediment</v>
      </c>
    </row>
    <row r="129" spans="1:4" x14ac:dyDescent="0.35">
      <c r="A129" s="659" t="s">
        <v>1308</v>
      </c>
      <c r="D129" s="659" t="e">
        <f>'G-1 All Habitats'!#REF!</f>
        <v>#REF!</v>
      </c>
    </row>
    <row r="130" spans="1:4" x14ac:dyDescent="0.35">
      <c r="A130" s="659" t="s">
        <v>1309</v>
      </c>
      <c r="D130" s="659" t="str">
        <f>'G-1 All Habitats'!B121</f>
        <v>Intertidal sediment - Artificial littoral muddy sand</v>
      </c>
    </row>
    <row r="131" spans="1:4" x14ac:dyDescent="0.35">
      <c r="A131" s="659" t="s">
        <v>1310</v>
      </c>
      <c r="D131" s="659" t="str">
        <f>'G-1 All Habitats'!B122</f>
        <v>Intertidal sediment - Artificial littoral mixed sediments</v>
      </c>
    </row>
    <row r="132" spans="1:4" x14ac:dyDescent="0.35">
      <c r="A132" s="659" t="s">
        <v>1311</v>
      </c>
      <c r="D132" s="659" t="str">
        <f>'G-1 All Habitats'!B123</f>
        <v>Intertidal sediment - Artificial littoral seagrass</v>
      </c>
    </row>
    <row r="133" spans="1:4" x14ac:dyDescent="0.35">
      <c r="A133" s="659" t="s">
        <v>1312</v>
      </c>
      <c r="D133" s="659" t="str">
        <f>'G-1 All Habitats'!B124</f>
        <v>Intertidal sediment - Artificial littoral biogenic reefs</v>
      </c>
    </row>
    <row r="134" spans="1:4" x14ac:dyDescent="0.35">
      <c r="A134" s="659" t="s">
        <v>1313</v>
      </c>
      <c r="D134" s="659" t="e">
        <f>'G-1 All Habitats'!#REF!</f>
        <v>#REF!</v>
      </c>
    </row>
    <row r="135" spans="1:4" x14ac:dyDescent="0.35">
      <c r="A135" s="659" t="s">
        <v>1314</v>
      </c>
      <c r="D135" s="659" t="e">
        <f>'G-1 All Habitats'!#REF!</f>
        <v>#REF!</v>
      </c>
    </row>
    <row r="136" spans="1:4" x14ac:dyDescent="0.35">
      <c r="A136" s="659" t="s">
        <v>1315</v>
      </c>
      <c r="D136" s="659">
        <f>'G-1 All Habitats'!B130</f>
        <v>0</v>
      </c>
    </row>
    <row r="137" spans="1:4" x14ac:dyDescent="0.35">
      <c r="A137" s="659" t="s">
        <v>1316</v>
      </c>
      <c r="D137" s="659">
        <f>'G-1 All Habitats'!B131</f>
        <v>0</v>
      </c>
    </row>
    <row r="138" spans="1:4" x14ac:dyDescent="0.35">
      <c r="A138" s="659" t="s">
        <v>1317</v>
      </c>
      <c r="D138" s="659">
        <f>'G-1 All Habitats'!B132</f>
        <v>0</v>
      </c>
    </row>
    <row r="139" spans="1:4" x14ac:dyDescent="0.35">
      <c r="A139" s="659" t="s">
        <v>1318</v>
      </c>
      <c r="D139" s="659">
        <f>'G-1 All Habitats'!B133</f>
        <v>0</v>
      </c>
    </row>
    <row r="140" spans="1:4" x14ac:dyDescent="0.35">
      <c r="A140" s="659" t="s">
        <v>1319</v>
      </c>
      <c r="D140" s="659">
        <f>'G-1 All Habitats'!B134</f>
        <v>0</v>
      </c>
    </row>
    <row r="141" spans="1:4" x14ac:dyDescent="0.35">
      <c r="A141" s="659" t="s">
        <v>1320</v>
      </c>
      <c r="D141" s="659">
        <f>'G-1 All Habitats'!B135</f>
        <v>0</v>
      </c>
    </row>
    <row r="142" spans="1:4" x14ac:dyDescent="0.35">
      <c r="A142" s="659" t="s">
        <v>1321</v>
      </c>
      <c r="D142" s="659">
        <f>'G-1 All Habitats'!B136</f>
        <v>0</v>
      </c>
    </row>
    <row r="143" spans="1:4" x14ac:dyDescent="0.35">
      <c r="A143" s="659" t="s">
        <v>1322</v>
      </c>
      <c r="D143" s="659">
        <f>'G-1 All Habitats'!B137</f>
        <v>0</v>
      </c>
    </row>
    <row r="144" spans="1:4" x14ac:dyDescent="0.35">
      <c r="A144" s="659" t="s">
        <v>1323</v>
      </c>
      <c r="D144" s="659">
        <f>'G-1 All Habitats'!B138</f>
        <v>0</v>
      </c>
    </row>
    <row r="145" spans="1:4" x14ac:dyDescent="0.35">
      <c r="A145" s="659" t="s">
        <v>1324</v>
      </c>
      <c r="D145" s="659">
        <f>'G-1 All Habitats'!B139</f>
        <v>0</v>
      </c>
    </row>
    <row r="146" spans="1:4" x14ac:dyDescent="0.35">
      <c r="A146" s="659" t="s">
        <v>1325</v>
      </c>
      <c r="D146" s="659">
        <f>'G-1 All Habitats'!B140</f>
        <v>0</v>
      </c>
    </row>
    <row r="147" spans="1:4" x14ac:dyDescent="0.35">
      <c r="A147" s="659" t="s">
        <v>1326</v>
      </c>
      <c r="D147" s="659">
        <f>'G-1 All Habitats'!B141</f>
        <v>0</v>
      </c>
    </row>
    <row r="148" spans="1:4" x14ac:dyDescent="0.35">
      <c r="A148" s="659" t="s">
        <v>1327</v>
      </c>
      <c r="D148" s="659">
        <f>'G-1 All Habitats'!B142</f>
        <v>0</v>
      </c>
    </row>
    <row r="149" spans="1:4" x14ac:dyDescent="0.35">
      <c r="A149" s="659" t="s">
        <v>1328</v>
      </c>
      <c r="D149" s="659">
        <f>'G-1 All Habitats'!B143</f>
        <v>0</v>
      </c>
    </row>
    <row r="150" spans="1:4" x14ac:dyDescent="0.35">
      <c r="A150" s="659" t="s">
        <v>1329</v>
      </c>
      <c r="D150" s="659">
        <f>'G-1 All Habitats'!B144</f>
        <v>0</v>
      </c>
    </row>
    <row r="151" spans="1:4" x14ac:dyDescent="0.35">
      <c r="A151" s="659" t="s">
        <v>1330</v>
      </c>
      <c r="D151" s="659">
        <f>'G-1 All Habitats'!B145</f>
        <v>0</v>
      </c>
    </row>
    <row r="152" spans="1:4" x14ac:dyDescent="0.35">
      <c r="A152" s="659" t="s">
        <v>1331</v>
      </c>
      <c r="D152" s="659">
        <f>'G-1 All Habitats'!B146</f>
        <v>0</v>
      </c>
    </row>
    <row r="153" spans="1:4" x14ac:dyDescent="0.35">
      <c r="A153" s="659" t="s">
        <v>1332</v>
      </c>
      <c r="D153" s="659">
        <f>'G-1 All Habitats'!B147</f>
        <v>0</v>
      </c>
    </row>
    <row r="154" spans="1:4" x14ac:dyDescent="0.35">
      <c r="A154" s="659" t="s">
        <v>1333</v>
      </c>
      <c r="D154" s="659">
        <f>'G-1 All Habitats'!B148</f>
        <v>0</v>
      </c>
    </row>
    <row r="155" spans="1:4" x14ac:dyDescent="0.35">
      <c r="A155" s="659" t="s">
        <v>1334</v>
      </c>
      <c r="D155" s="659">
        <f>'G-1 All Habitats'!B149</f>
        <v>0</v>
      </c>
    </row>
    <row r="156" spans="1:4" x14ac:dyDescent="0.35">
      <c r="A156" s="659" t="s">
        <v>1335</v>
      </c>
      <c r="D156" s="659">
        <f>'G-1 All Habitats'!B150</f>
        <v>0</v>
      </c>
    </row>
    <row r="157" spans="1:4" x14ac:dyDescent="0.35">
      <c r="A157" s="659" t="s">
        <v>1336</v>
      </c>
    </row>
    <row r="158" spans="1:4" x14ac:dyDescent="0.35">
      <c r="A158" s="659" t="s">
        <v>1337</v>
      </c>
    </row>
    <row r="159" spans="1:4" x14ac:dyDescent="0.35">
      <c r="A159" s="659" t="s">
        <v>1338</v>
      </c>
    </row>
    <row r="160" spans="1:4" x14ac:dyDescent="0.35">
      <c r="A160" s="659" t="s">
        <v>1339</v>
      </c>
    </row>
    <row r="161" spans="1:1" x14ac:dyDescent="0.35">
      <c r="A161" s="659" t="s">
        <v>1340</v>
      </c>
    </row>
    <row r="162" spans="1:1" x14ac:dyDescent="0.35">
      <c r="A162" s="659" t="s">
        <v>1341</v>
      </c>
    </row>
    <row r="163" spans="1:1" x14ac:dyDescent="0.35">
      <c r="A163" s="659" t="s">
        <v>1342</v>
      </c>
    </row>
    <row r="164" spans="1:1" x14ac:dyDescent="0.35">
      <c r="A164" s="659" t="s">
        <v>1343</v>
      </c>
    </row>
    <row r="165" spans="1:1" x14ac:dyDescent="0.35">
      <c r="A165" s="659" t="s">
        <v>1344</v>
      </c>
    </row>
    <row r="166" spans="1:1" x14ac:dyDescent="0.35">
      <c r="A166" s="659" t="s">
        <v>1345</v>
      </c>
    </row>
    <row r="167" spans="1:1" x14ac:dyDescent="0.35">
      <c r="A167" s="659" t="s">
        <v>1346</v>
      </c>
    </row>
    <row r="168" spans="1:1" x14ac:dyDescent="0.35">
      <c r="A168" s="659" t="s">
        <v>1347</v>
      </c>
    </row>
    <row r="169" spans="1:1" x14ac:dyDescent="0.35">
      <c r="A169" s="659" t="s">
        <v>1348</v>
      </c>
    </row>
    <row r="170" spans="1:1" x14ac:dyDescent="0.35">
      <c r="A170" s="659" t="s">
        <v>1349</v>
      </c>
    </row>
    <row r="171" spans="1:1" x14ac:dyDescent="0.35">
      <c r="A171" s="659" t="s">
        <v>1350</v>
      </c>
    </row>
    <row r="172" spans="1:1" x14ac:dyDescent="0.35">
      <c r="A172" s="659" t="s">
        <v>1351</v>
      </c>
    </row>
    <row r="173" spans="1:1" x14ac:dyDescent="0.35">
      <c r="A173" s="659" t="s">
        <v>1352</v>
      </c>
    </row>
    <row r="174" spans="1:1" x14ac:dyDescent="0.35">
      <c r="A174" s="659" t="s">
        <v>1353</v>
      </c>
    </row>
    <row r="175" spans="1:1" x14ac:dyDescent="0.35">
      <c r="A175" s="659" t="s">
        <v>1354</v>
      </c>
    </row>
    <row r="176" spans="1:1" x14ac:dyDescent="0.35">
      <c r="A176" s="659" t="s">
        <v>1355</v>
      </c>
    </row>
    <row r="177" spans="1:1" x14ac:dyDescent="0.35">
      <c r="A177" s="659" t="s">
        <v>1356</v>
      </c>
    </row>
    <row r="178" spans="1:1" x14ac:dyDescent="0.35">
      <c r="A178" s="659" t="s">
        <v>1357</v>
      </c>
    </row>
    <row r="179" spans="1:1" x14ac:dyDescent="0.35">
      <c r="A179" s="659" t="s">
        <v>1358</v>
      </c>
    </row>
    <row r="180" spans="1:1" x14ac:dyDescent="0.35">
      <c r="A180" s="659" t="s">
        <v>1359</v>
      </c>
    </row>
    <row r="181" spans="1:1" x14ac:dyDescent="0.35">
      <c r="A181" s="659" t="s">
        <v>1360</v>
      </c>
    </row>
    <row r="182" spans="1:1" x14ac:dyDescent="0.35">
      <c r="A182" s="659" t="s">
        <v>1361</v>
      </c>
    </row>
    <row r="183" spans="1:1" x14ac:dyDescent="0.35">
      <c r="A183" s="659" t="s">
        <v>1362</v>
      </c>
    </row>
    <row r="184" spans="1:1" x14ac:dyDescent="0.35">
      <c r="A184" s="659" t="s">
        <v>1363</v>
      </c>
    </row>
    <row r="185" spans="1:1" x14ac:dyDescent="0.35">
      <c r="A185" s="659" t="s">
        <v>1364</v>
      </c>
    </row>
    <row r="186" spans="1:1" x14ac:dyDescent="0.35">
      <c r="A186" s="659" t="s">
        <v>1365</v>
      </c>
    </row>
    <row r="187" spans="1:1" x14ac:dyDescent="0.35">
      <c r="A187" s="659" t="s">
        <v>1366</v>
      </c>
    </row>
    <row r="188" spans="1:1" x14ac:dyDescent="0.35">
      <c r="A188" s="659" t="s">
        <v>1367</v>
      </c>
    </row>
    <row r="189" spans="1:1" x14ac:dyDescent="0.35">
      <c r="A189" s="659" t="s">
        <v>1368</v>
      </c>
    </row>
    <row r="190" spans="1:1" x14ac:dyDescent="0.35">
      <c r="A190" s="659" t="s">
        <v>1369</v>
      </c>
    </row>
    <row r="191" spans="1:1" x14ac:dyDescent="0.35">
      <c r="A191" s="659" t="s">
        <v>1370</v>
      </c>
    </row>
    <row r="192" spans="1:1" x14ac:dyDescent="0.35">
      <c r="A192" s="659" t="s">
        <v>1371</v>
      </c>
    </row>
    <row r="193" spans="1:1" x14ac:dyDescent="0.35">
      <c r="A193" s="659" t="s">
        <v>1372</v>
      </c>
    </row>
    <row r="194" spans="1:1" x14ac:dyDescent="0.35">
      <c r="A194" s="659" t="s">
        <v>1373</v>
      </c>
    </row>
    <row r="195" spans="1:1" x14ac:dyDescent="0.35">
      <c r="A195" s="659" t="s">
        <v>1374</v>
      </c>
    </row>
    <row r="196" spans="1:1" x14ac:dyDescent="0.35">
      <c r="A196" s="659" t="s">
        <v>1375</v>
      </c>
    </row>
    <row r="197" spans="1:1" x14ac:dyDescent="0.35">
      <c r="A197" s="659" t="s">
        <v>1376</v>
      </c>
    </row>
    <row r="198" spans="1:1" x14ac:dyDescent="0.35">
      <c r="A198" s="659" t="s">
        <v>1377</v>
      </c>
    </row>
    <row r="199" spans="1:1" x14ac:dyDescent="0.35">
      <c r="A199" s="659" t="s">
        <v>1378</v>
      </c>
    </row>
    <row r="200" spans="1:1" x14ac:dyDescent="0.35">
      <c r="A200" s="659" t="s">
        <v>1379</v>
      </c>
    </row>
    <row r="201" spans="1:1" x14ac:dyDescent="0.35">
      <c r="A201" s="659" t="s">
        <v>1380</v>
      </c>
    </row>
    <row r="202" spans="1:1" x14ac:dyDescent="0.35">
      <c r="A202" s="659" t="s">
        <v>1381</v>
      </c>
    </row>
    <row r="203" spans="1:1" x14ac:dyDescent="0.35">
      <c r="A203" s="659" t="s">
        <v>1382</v>
      </c>
    </row>
    <row r="204" spans="1:1" x14ac:dyDescent="0.35">
      <c r="A204" s="659" t="s">
        <v>1383</v>
      </c>
    </row>
    <row r="205" spans="1:1" x14ac:dyDescent="0.35">
      <c r="A205" s="659" t="s">
        <v>1384</v>
      </c>
    </row>
    <row r="206" spans="1:1" x14ac:dyDescent="0.35">
      <c r="A206" s="659" t="s">
        <v>1385</v>
      </c>
    </row>
    <row r="207" spans="1:1" x14ac:dyDescent="0.35">
      <c r="A207" s="659" t="s">
        <v>1386</v>
      </c>
    </row>
    <row r="208" spans="1:1" x14ac:dyDescent="0.35">
      <c r="A208" s="659" t="s">
        <v>1387</v>
      </c>
    </row>
    <row r="209" spans="1:1" x14ac:dyDescent="0.35">
      <c r="A209" s="659" t="s">
        <v>1388</v>
      </c>
    </row>
    <row r="210" spans="1:1" x14ac:dyDescent="0.35">
      <c r="A210" s="659" t="s">
        <v>1389</v>
      </c>
    </row>
    <row r="211" spans="1:1" x14ac:dyDescent="0.35">
      <c r="A211" s="659" t="s">
        <v>1390</v>
      </c>
    </row>
    <row r="212" spans="1:1" x14ac:dyDescent="0.35">
      <c r="A212" s="659" t="s">
        <v>1391</v>
      </c>
    </row>
    <row r="213" spans="1:1" x14ac:dyDescent="0.35">
      <c r="A213" s="659" t="s">
        <v>1392</v>
      </c>
    </row>
    <row r="214" spans="1:1" x14ac:dyDescent="0.35">
      <c r="A214" s="659" t="s">
        <v>1393</v>
      </c>
    </row>
    <row r="215" spans="1:1" x14ac:dyDescent="0.35">
      <c r="A215" s="659" t="s">
        <v>1394</v>
      </c>
    </row>
    <row r="216" spans="1:1" x14ac:dyDescent="0.35">
      <c r="A216" s="659" t="s">
        <v>1395</v>
      </c>
    </row>
    <row r="217" spans="1:1" x14ac:dyDescent="0.35">
      <c r="A217" s="659" t="s">
        <v>1396</v>
      </c>
    </row>
    <row r="218" spans="1:1" x14ac:dyDescent="0.35">
      <c r="A218" s="659" t="s">
        <v>1397</v>
      </c>
    </row>
    <row r="219" spans="1:1" x14ac:dyDescent="0.35">
      <c r="A219" s="659" t="s">
        <v>1398</v>
      </c>
    </row>
    <row r="220" spans="1:1" x14ac:dyDescent="0.35">
      <c r="A220" s="659" t="s">
        <v>1399</v>
      </c>
    </row>
    <row r="221" spans="1:1" x14ac:dyDescent="0.35">
      <c r="A221" s="659" t="s">
        <v>1400</v>
      </c>
    </row>
    <row r="222" spans="1:1" x14ac:dyDescent="0.35">
      <c r="A222" s="659" t="s">
        <v>1401</v>
      </c>
    </row>
    <row r="223" spans="1:1" x14ac:dyDescent="0.35">
      <c r="A223" s="659" t="s">
        <v>1402</v>
      </c>
    </row>
    <row r="224" spans="1:1" x14ac:dyDescent="0.35">
      <c r="A224" s="659" t="s">
        <v>1403</v>
      </c>
    </row>
    <row r="225" spans="1:1" x14ac:dyDescent="0.35">
      <c r="A225" s="659" t="s">
        <v>1404</v>
      </c>
    </row>
    <row r="226" spans="1:1" x14ac:dyDescent="0.35">
      <c r="A226" s="659" t="s">
        <v>1405</v>
      </c>
    </row>
    <row r="227" spans="1:1" x14ac:dyDescent="0.35">
      <c r="A227" s="659" t="s">
        <v>1406</v>
      </c>
    </row>
    <row r="228" spans="1:1" x14ac:dyDescent="0.35">
      <c r="A228" s="659" t="s">
        <v>1407</v>
      </c>
    </row>
    <row r="229" spans="1:1" x14ac:dyDescent="0.35">
      <c r="A229" s="659" t="s">
        <v>1408</v>
      </c>
    </row>
    <row r="230" spans="1:1" x14ac:dyDescent="0.35">
      <c r="A230" s="659" t="s">
        <v>1409</v>
      </c>
    </row>
    <row r="231" spans="1:1" x14ac:dyDescent="0.35">
      <c r="A231" s="659" t="s">
        <v>1410</v>
      </c>
    </row>
    <row r="232" spans="1:1" x14ac:dyDescent="0.35">
      <c r="A232" s="659" t="s">
        <v>1411</v>
      </c>
    </row>
    <row r="233" spans="1:1" x14ac:dyDescent="0.35">
      <c r="A233" s="659" t="s">
        <v>1412</v>
      </c>
    </row>
    <row r="234" spans="1:1" x14ac:dyDescent="0.35">
      <c r="A234" s="659" t="s">
        <v>1413</v>
      </c>
    </row>
    <row r="235" spans="1:1" x14ac:dyDescent="0.35">
      <c r="A235" s="659" t="s">
        <v>1414</v>
      </c>
    </row>
    <row r="236" spans="1:1" x14ac:dyDescent="0.35">
      <c r="A236" s="659" t="s">
        <v>1415</v>
      </c>
    </row>
    <row r="237" spans="1:1" x14ac:dyDescent="0.35">
      <c r="A237" s="659" t="s">
        <v>1416</v>
      </c>
    </row>
    <row r="238" spans="1:1" x14ac:dyDescent="0.35">
      <c r="A238" s="659" t="s">
        <v>1417</v>
      </c>
    </row>
    <row r="239" spans="1:1" x14ac:dyDescent="0.35">
      <c r="A239" s="659" t="s">
        <v>1418</v>
      </c>
    </row>
    <row r="240" spans="1:1" x14ac:dyDescent="0.35">
      <c r="A240" s="659" t="s">
        <v>1419</v>
      </c>
    </row>
    <row r="241" spans="1:1" x14ac:dyDescent="0.35">
      <c r="A241" s="659" t="s">
        <v>1420</v>
      </c>
    </row>
    <row r="242" spans="1:1" x14ac:dyDescent="0.35">
      <c r="A242" s="659" t="s">
        <v>1421</v>
      </c>
    </row>
    <row r="243" spans="1:1" x14ac:dyDescent="0.35">
      <c r="A243" s="659" t="s">
        <v>1422</v>
      </c>
    </row>
    <row r="244" spans="1:1" x14ac:dyDescent="0.35">
      <c r="A244" s="659" t="s">
        <v>1423</v>
      </c>
    </row>
    <row r="245" spans="1:1" x14ac:dyDescent="0.35">
      <c r="A245" s="659" t="s">
        <v>1424</v>
      </c>
    </row>
    <row r="246" spans="1:1" x14ac:dyDescent="0.35">
      <c r="A246" s="659" t="s">
        <v>1425</v>
      </c>
    </row>
    <row r="247" spans="1:1" x14ac:dyDescent="0.35">
      <c r="A247" s="659" t="s">
        <v>1426</v>
      </c>
    </row>
    <row r="248" spans="1:1" x14ac:dyDescent="0.35">
      <c r="A248" s="659" t="s">
        <v>1427</v>
      </c>
    </row>
    <row r="249" spans="1:1" x14ac:dyDescent="0.35">
      <c r="A249" s="659" t="s">
        <v>1428</v>
      </c>
    </row>
    <row r="250" spans="1:1" x14ac:dyDescent="0.35">
      <c r="A250" s="659" t="s">
        <v>1429</v>
      </c>
    </row>
    <row r="251" spans="1:1" x14ac:dyDescent="0.35">
      <c r="A251" s="659" t="s">
        <v>1430</v>
      </c>
    </row>
    <row r="252" spans="1:1" x14ac:dyDescent="0.35">
      <c r="A252" s="659" t="s">
        <v>1431</v>
      </c>
    </row>
    <row r="253" spans="1:1" x14ac:dyDescent="0.35">
      <c r="A253" s="659" t="s">
        <v>1432</v>
      </c>
    </row>
    <row r="254" spans="1:1" x14ac:dyDescent="0.35">
      <c r="A254" s="659" t="s">
        <v>1433</v>
      </c>
    </row>
    <row r="255" spans="1:1" x14ac:dyDescent="0.35">
      <c r="A255" s="659" t="s">
        <v>1434</v>
      </c>
    </row>
    <row r="256" spans="1:1" x14ac:dyDescent="0.35">
      <c r="A256" s="659" t="s">
        <v>1435</v>
      </c>
    </row>
    <row r="257" spans="1:1" x14ac:dyDescent="0.35">
      <c r="A257" s="659" t="s">
        <v>1436</v>
      </c>
    </row>
    <row r="258" spans="1:1" x14ac:dyDescent="0.35">
      <c r="A258" s="659" t="s">
        <v>1437</v>
      </c>
    </row>
    <row r="259" spans="1:1" x14ac:dyDescent="0.35">
      <c r="A259" s="659" t="s">
        <v>1438</v>
      </c>
    </row>
    <row r="260" spans="1:1" x14ac:dyDescent="0.35">
      <c r="A260" s="659" t="s">
        <v>1439</v>
      </c>
    </row>
    <row r="261" spans="1:1" x14ac:dyDescent="0.35">
      <c r="A261" s="659" t="s">
        <v>1440</v>
      </c>
    </row>
    <row r="262" spans="1:1" x14ac:dyDescent="0.35">
      <c r="A262" s="659" t="s">
        <v>1441</v>
      </c>
    </row>
    <row r="263" spans="1:1" x14ac:dyDescent="0.35">
      <c r="A263" s="659" t="s">
        <v>1442</v>
      </c>
    </row>
    <row r="264" spans="1:1" x14ac:dyDescent="0.35">
      <c r="A264" s="659" t="s">
        <v>1443</v>
      </c>
    </row>
    <row r="265" spans="1:1" x14ac:dyDescent="0.35">
      <c r="A265" s="659" t="s">
        <v>1444</v>
      </c>
    </row>
    <row r="266" spans="1:1" x14ac:dyDescent="0.35">
      <c r="A266" s="659" t="s">
        <v>1445</v>
      </c>
    </row>
    <row r="267" spans="1:1" x14ac:dyDescent="0.35">
      <c r="A267" s="659" t="s">
        <v>1446</v>
      </c>
    </row>
    <row r="268" spans="1:1" x14ac:dyDescent="0.35">
      <c r="A268" s="659" t="s">
        <v>1447</v>
      </c>
    </row>
    <row r="269" spans="1:1" x14ac:dyDescent="0.35">
      <c r="A269" s="659" t="s">
        <v>1448</v>
      </c>
    </row>
    <row r="270" spans="1:1" x14ac:dyDescent="0.35">
      <c r="A270" s="659" t="s">
        <v>1449</v>
      </c>
    </row>
    <row r="271" spans="1:1" x14ac:dyDescent="0.35">
      <c r="A271" s="659" t="s">
        <v>1450</v>
      </c>
    </row>
    <row r="272" spans="1:1" x14ac:dyDescent="0.35">
      <c r="A272" s="659" t="s">
        <v>1451</v>
      </c>
    </row>
    <row r="273" spans="1:1" x14ac:dyDescent="0.35">
      <c r="A273" s="659" t="s">
        <v>1452</v>
      </c>
    </row>
    <row r="274" spans="1:1" x14ac:dyDescent="0.35">
      <c r="A274" s="659" t="s">
        <v>1453</v>
      </c>
    </row>
    <row r="275" spans="1:1" x14ac:dyDescent="0.35">
      <c r="A275" s="659" t="s">
        <v>1454</v>
      </c>
    </row>
    <row r="276" spans="1:1" x14ac:dyDescent="0.35">
      <c r="A276" s="659" t="s">
        <v>1455</v>
      </c>
    </row>
    <row r="277" spans="1:1" x14ac:dyDescent="0.35">
      <c r="A277" s="659" t="s">
        <v>1456</v>
      </c>
    </row>
    <row r="278" spans="1:1" x14ac:dyDescent="0.35">
      <c r="A278" s="659" t="s">
        <v>1457</v>
      </c>
    </row>
    <row r="279" spans="1:1" x14ac:dyDescent="0.35">
      <c r="A279" s="659" t="s">
        <v>1458</v>
      </c>
    </row>
    <row r="280" spans="1:1" x14ac:dyDescent="0.35">
      <c r="A280" s="659" t="s">
        <v>1459</v>
      </c>
    </row>
    <row r="281" spans="1:1" x14ac:dyDescent="0.35">
      <c r="A281" s="659" t="s">
        <v>1460</v>
      </c>
    </row>
    <row r="282" spans="1:1" x14ac:dyDescent="0.35">
      <c r="A282" s="659" t="s">
        <v>1461</v>
      </c>
    </row>
    <row r="283" spans="1:1" x14ac:dyDescent="0.35">
      <c r="A283" s="659" t="s">
        <v>1462</v>
      </c>
    </row>
    <row r="284" spans="1:1" x14ac:dyDescent="0.35">
      <c r="A284" s="659" t="s">
        <v>1463</v>
      </c>
    </row>
    <row r="285" spans="1:1" x14ac:dyDescent="0.35">
      <c r="A285" s="659" t="s">
        <v>1464</v>
      </c>
    </row>
    <row r="286" spans="1:1" x14ac:dyDescent="0.35">
      <c r="A286" s="659" t="s">
        <v>1465</v>
      </c>
    </row>
    <row r="287" spans="1:1" x14ac:dyDescent="0.35">
      <c r="A287" s="659" t="s">
        <v>1466</v>
      </c>
    </row>
    <row r="288" spans="1:1" x14ac:dyDescent="0.35">
      <c r="A288" s="659" t="s">
        <v>1467</v>
      </c>
    </row>
    <row r="289" spans="1:1" x14ac:dyDescent="0.35">
      <c r="A289" s="659" t="s">
        <v>1468</v>
      </c>
    </row>
    <row r="290" spans="1:1" x14ac:dyDescent="0.35">
      <c r="A290" s="659" t="s">
        <v>1469</v>
      </c>
    </row>
    <row r="291" spans="1:1" x14ac:dyDescent="0.35">
      <c r="A291" s="659" t="s">
        <v>1470</v>
      </c>
    </row>
    <row r="292" spans="1:1" x14ac:dyDescent="0.35">
      <c r="A292" s="659" t="s">
        <v>1471</v>
      </c>
    </row>
    <row r="293" spans="1:1" x14ac:dyDescent="0.35">
      <c r="A293" s="659" t="s">
        <v>1472</v>
      </c>
    </row>
    <row r="294" spans="1:1" x14ac:dyDescent="0.35">
      <c r="A294" s="659" t="s">
        <v>1473</v>
      </c>
    </row>
    <row r="295" spans="1:1" x14ac:dyDescent="0.35">
      <c r="A295" s="659" t="s">
        <v>1474</v>
      </c>
    </row>
    <row r="296" spans="1:1" x14ac:dyDescent="0.35">
      <c r="A296" s="659" t="s">
        <v>1475</v>
      </c>
    </row>
    <row r="297" spans="1:1" x14ac:dyDescent="0.35">
      <c r="A297" s="659" t="s">
        <v>1476</v>
      </c>
    </row>
    <row r="298" spans="1:1" x14ac:dyDescent="0.35">
      <c r="A298" s="659" t="s">
        <v>1477</v>
      </c>
    </row>
    <row r="299" spans="1:1" x14ac:dyDescent="0.35">
      <c r="A299" s="659" t="s">
        <v>1478</v>
      </c>
    </row>
    <row r="300" spans="1:1" x14ac:dyDescent="0.35">
      <c r="A300" s="659" t="s">
        <v>1479</v>
      </c>
    </row>
    <row r="301" spans="1:1" x14ac:dyDescent="0.35">
      <c r="A301" s="659" t="s">
        <v>1480</v>
      </c>
    </row>
    <row r="302" spans="1:1" x14ac:dyDescent="0.35">
      <c r="A302" s="659" t="s">
        <v>1481</v>
      </c>
    </row>
    <row r="303" spans="1:1" x14ac:dyDescent="0.35">
      <c r="A303" s="659" t="s">
        <v>1482</v>
      </c>
    </row>
    <row r="304" spans="1:1" x14ac:dyDescent="0.35">
      <c r="A304" s="659" t="s">
        <v>1483</v>
      </c>
    </row>
    <row r="305" spans="1:1" x14ac:dyDescent="0.35">
      <c r="A305" s="659" t="s">
        <v>1484</v>
      </c>
    </row>
    <row r="306" spans="1:1" x14ac:dyDescent="0.35">
      <c r="A306" s="659" t="s">
        <v>1485</v>
      </c>
    </row>
    <row r="307" spans="1:1" x14ac:dyDescent="0.35">
      <c r="A307" s="659" t="s">
        <v>1486</v>
      </c>
    </row>
    <row r="308" spans="1:1" x14ac:dyDescent="0.35">
      <c r="A308" s="659" t="s">
        <v>1487</v>
      </c>
    </row>
    <row r="309" spans="1:1" x14ac:dyDescent="0.35">
      <c r="A309" s="659" t="s">
        <v>1488</v>
      </c>
    </row>
    <row r="310" spans="1:1" x14ac:dyDescent="0.35">
      <c r="A310" s="659" t="s">
        <v>1489</v>
      </c>
    </row>
    <row r="311" spans="1:1" x14ac:dyDescent="0.35">
      <c r="A311" s="659" t="s">
        <v>1490</v>
      </c>
    </row>
    <row r="312" spans="1:1" x14ac:dyDescent="0.35">
      <c r="A312" s="659" t="s">
        <v>1491</v>
      </c>
    </row>
    <row r="313" spans="1:1" x14ac:dyDescent="0.35">
      <c r="A313" s="659" t="s">
        <v>1492</v>
      </c>
    </row>
    <row r="314" spans="1:1" x14ac:dyDescent="0.35">
      <c r="A314" s="659" t="s">
        <v>1493</v>
      </c>
    </row>
    <row r="315" spans="1:1" x14ac:dyDescent="0.35">
      <c r="A315" s="659" t="s">
        <v>1494</v>
      </c>
    </row>
    <row r="316" spans="1:1" x14ac:dyDescent="0.35">
      <c r="A316" s="659" t="s">
        <v>1495</v>
      </c>
    </row>
    <row r="317" spans="1:1" x14ac:dyDescent="0.35">
      <c r="A317" s="659" t="s">
        <v>1496</v>
      </c>
    </row>
    <row r="318" spans="1:1" x14ac:dyDescent="0.35">
      <c r="A318" s="659" t="s">
        <v>1497</v>
      </c>
    </row>
    <row r="319" spans="1:1" x14ac:dyDescent="0.35">
      <c r="A319" s="659" t="s">
        <v>1498</v>
      </c>
    </row>
    <row r="320" spans="1:1" x14ac:dyDescent="0.35">
      <c r="A320" s="659" t="s">
        <v>1499</v>
      </c>
    </row>
    <row r="321" spans="1:1" x14ac:dyDescent="0.35">
      <c r="A321" s="659" t="s">
        <v>1500</v>
      </c>
    </row>
    <row r="322" spans="1:1" x14ac:dyDescent="0.35">
      <c r="A322" s="659" t="s">
        <v>1501</v>
      </c>
    </row>
    <row r="323" spans="1:1" x14ac:dyDescent="0.35">
      <c r="A323" s="659" t="s">
        <v>1502</v>
      </c>
    </row>
    <row r="324" spans="1:1" x14ac:dyDescent="0.35">
      <c r="A324" s="659" t="s">
        <v>1503</v>
      </c>
    </row>
    <row r="325" spans="1:1" x14ac:dyDescent="0.35">
      <c r="A325" s="659" t="s">
        <v>1504</v>
      </c>
    </row>
    <row r="326" spans="1:1" x14ac:dyDescent="0.35">
      <c r="A326" s="659" t="s">
        <v>1505</v>
      </c>
    </row>
    <row r="327" spans="1:1" x14ac:dyDescent="0.35">
      <c r="A327" s="659" t="s">
        <v>1506</v>
      </c>
    </row>
    <row r="328" spans="1:1" x14ac:dyDescent="0.35">
      <c r="A328" s="659" t="s">
        <v>1507</v>
      </c>
    </row>
    <row r="329" spans="1:1" x14ac:dyDescent="0.35">
      <c r="A329" s="659" t="s">
        <v>1508</v>
      </c>
    </row>
    <row r="330" spans="1:1" x14ac:dyDescent="0.35">
      <c r="A330" s="659" t="s">
        <v>1509</v>
      </c>
    </row>
    <row r="331" spans="1:1" x14ac:dyDescent="0.35">
      <c r="A331" s="659" t="s">
        <v>1510</v>
      </c>
    </row>
    <row r="332" spans="1:1" x14ac:dyDescent="0.35">
      <c r="A332" s="659" t="s">
        <v>1511</v>
      </c>
    </row>
    <row r="333" spans="1:1" x14ac:dyDescent="0.35">
      <c r="A333" s="659" t="s">
        <v>1512</v>
      </c>
    </row>
    <row r="334" spans="1:1" x14ac:dyDescent="0.35">
      <c r="A334" s="659" t="s">
        <v>1513</v>
      </c>
    </row>
    <row r="335" spans="1:1" x14ac:dyDescent="0.35">
      <c r="A335" s="659" t="s">
        <v>1514</v>
      </c>
    </row>
    <row r="336" spans="1:1" x14ac:dyDescent="0.35">
      <c r="A336" s="659" t="s">
        <v>1515</v>
      </c>
    </row>
    <row r="337" spans="1:1" x14ac:dyDescent="0.35">
      <c r="A337" s="659" t="s">
        <v>1516</v>
      </c>
    </row>
    <row r="338" spans="1:1" x14ac:dyDescent="0.35">
      <c r="A338" s="659" t="s">
        <v>1517</v>
      </c>
    </row>
    <row r="339" spans="1:1" x14ac:dyDescent="0.35">
      <c r="A339" s="659" t="s">
        <v>1518</v>
      </c>
    </row>
    <row r="340" spans="1:1" x14ac:dyDescent="0.35">
      <c r="A340" s="659" t="s">
        <v>1519</v>
      </c>
    </row>
    <row r="341" spans="1:1" x14ac:dyDescent="0.35">
      <c r="A341" s="659" t="s">
        <v>1520</v>
      </c>
    </row>
    <row r="342" spans="1:1" x14ac:dyDescent="0.35">
      <c r="A342" s="659" t="s">
        <v>1521</v>
      </c>
    </row>
    <row r="343" spans="1:1" x14ac:dyDescent="0.35">
      <c r="A343" s="659" t="s">
        <v>1522</v>
      </c>
    </row>
    <row r="344" spans="1:1" x14ac:dyDescent="0.35">
      <c r="A344" s="659" t="s">
        <v>1523</v>
      </c>
    </row>
    <row r="345" spans="1:1" x14ac:dyDescent="0.35">
      <c r="A345" s="659" t="s">
        <v>1524</v>
      </c>
    </row>
    <row r="346" spans="1:1" x14ac:dyDescent="0.35">
      <c r="A346" s="659" t="s">
        <v>1525</v>
      </c>
    </row>
    <row r="347" spans="1:1" x14ac:dyDescent="0.35">
      <c r="A347" s="659" t="s">
        <v>1526</v>
      </c>
    </row>
    <row r="348" spans="1:1" x14ac:dyDescent="0.35">
      <c r="A348" s="659" t="s">
        <v>1527</v>
      </c>
    </row>
    <row r="349" spans="1:1" x14ac:dyDescent="0.35">
      <c r="A349" s="659" t="s">
        <v>1528</v>
      </c>
    </row>
    <row r="350" spans="1:1" x14ac:dyDescent="0.35">
      <c r="A350" s="659" t="s">
        <v>1529</v>
      </c>
    </row>
    <row r="351" spans="1:1" x14ac:dyDescent="0.35">
      <c r="A351" s="659" t="s">
        <v>1530</v>
      </c>
    </row>
    <row r="352" spans="1:1" x14ac:dyDescent="0.35">
      <c r="A352" s="659" t="s">
        <v>1531</v>
      </c>
    </row>
    <row r="353" spans="1:1" x14ac:dyDescent="0.35">
      <c r="A353" s="659" t="s">
        <v>1532</v>
      </c>
    </row>
    <row r="354" spans="1:1" x14ac:dyDescent="0.35">
      <c r="A354" s="659" t="s">
        <v>1533</v>
      </c>
    </row>
    <row r="355" spans="1:1" x14ac:dyDescent="0.35">
      <c r="A355" s="659" t="s">
        <v>1534</v>
      </c>
    </row>
    <row r="356" spans="1:1" x14ac:dyDescent="0.35">
      <c r="A356" s="659" t="s">
        <v>1535</v>
      </c>
    </row>
    <row r="357" spans="1:1" x14ac:dyDescent="0.35">
      <c r="A357" s="659" t="s">
        <v>1536</v>
      </c>
    </row>
    <row r="358" spans="1:1" x14ac:dyDescent="0.35">
      <c r="A358" s="659" t="s">
        <v>1537</v>
      </c>
    </row>
    <row r="359" spans="1:1" x14ac:dyDescent="0.35">
      <c r="A359" s="659" t="s">
        <v>1538</v>
      </c>
    </row>
    <row r="360" spans="1:1" x14ac:dyDescent="0.35">
      <c r="A360" s="659" t="s">
        <v>1539</v>
      </c>
    </row>
    <row r="361" spans="1:1" x14ac:dyDescent="0.35">
      <c r="A361" s="659" t="s">
        <v>1540</v>
      </c>
    </row>
    <row r="362" spans="1:1" x14ac:dyDescent="0.35">
      <c r="A362" s="659" t="s">
        <v>1541</v>
      </c>
    </row>
    <row r="363" spans="1:1" x14ac:dyDescent="0.35">
      <c r="A363" s="659" t="s">
        <v>1542</v>
      </c>
    </row>
    <row r="364" spans="1:1" x14ac:dyDescent="0.35">
      <c r="A364" s="659" t="s">
        <v>1543</v>
      </c>
    </row>
    <row r="365" spans="1:1" x14ac:dyDescent="0.35">
      <c r="A365" s="659" t="s">
        <v>1544</v>
      </c>
    </row>
    <row r="366" spans="1:1" x14ac:dyDescent="0.35">
      <c r="A366" s="659" t="s">
        <v>1545</v>
      </c>
    </row>
    <row r="367" spans="1:1" x14ac:dyDescent="0.35">
      <c r="A367" s="659" t="s">
        <v>1546</v>
      </c>
    </row>
    <row r="368" spans="1:1" x14ac:dyDescent="0.35">
      <c r="A368" s="659" t="s">
        <v>1547</v>
      </c>
    </row>
    <row r="369" spans="1:1" x14ac:dyDescent="0.35">
      <c r="A369" s="659" t="s">
        <v>1548</v>
      </c>
    </row>
    <row r="370" spans="1:1" x14ac:dyDescent="0.35">
      <c r="A370" s="659" t="s">
        <v>1549</v>
      </c>
    </row>
    <row r="371" spans="1:1" x14ac:dyDescent="0.35">
      <c r="A371" s="659" t="s">
        <v>1550</v>
      </c>
    </row>
    <row r="372" spans="1:1" x14ac:dyDescent="0.35">
      <c r="A372" s="659" t="s">
        <v>1551</v>
      </c>
    </row>
    <row r="373" spans="1:1" x14ac:dyDescent="0.35">
      <c r="A373" s="659" t="s">
        <v>1552</v>
      </c>
    </row>
    <row r="374" spans="1:1" x14ac:dyDescent="0.35">
      <c r="A374" s="659" t="s">
        <v>1553</v>
      </c>
    </row>
    <row r="375" spans="1:1" x14ac:dyDescent="0.35">
      <c r="A375" s="659" t="s">
        <v>1554</v>
      </c>
    </row>
    <row r="376" spans="1:1" x14ac:dyDescent="0.35">
      <c r="A376" s="659" t="s">
        <v>1555</v>
      </c>
    </row>
    <row r="377" spans="1:1" x14ac:dyDescent="0.35">
      <c r="A377" s="659" t="s">
        <v>1556</v>
      </c>
    </row>
    <row r="378" spans="1:1" x14ac:dyDescent="0.35">
      <c r="A378" s="659" t="s">
        <v>1557</v>
      </c>
    </row>
  </sheetData>
  <sheetProtection algorithmName="SHA-512" hashValue="ZdVOKuWqtI0ZFI4I19Uzyk5dpIwJKFffpFWSihZ4XO2bJzzM3yhcaVXgI9B6+yJhVhg1P+o2moOLWGOZ7EgE+A==" saltValue="+nVlcq+rFf1FA43bCp0RNg==" spinCount="100000" sheet="1" objects="1" scenarios="1"/>
  <customSheetViews>
    <customSheetView guid="{8BDA793C-C9C5-4FC6-A0A5-F1109F6D4F22}" state="hidden" topLeftCell="B1">
      <selection activeCell="B7" sqref="B7"/>
    </customSheetView>
  </customSheetView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7">
    <tabColor theme="0" tint="-0.249977111117893"/>
    <pageSetUpPr autoPageBreaks="0"/>
  </sheetPr>
  <dimension ref="A1:AE53"/>
  <sheetViews>
    <sheetView workbookViewId="0">
      <selection activeCell="R7" sqref="R7"/>
    </sheetView>
  </sheetViews>
  <sheetFormatPr defaultColWidth="0" defaultRowHeight="0" customHeight="1" zeroHeight="1" x14ac:dyDescent="0.35"/>
  <cols>
    <col min="1" max="3" width="2.1796875" style="1" customWidth="1"/>
    <col min="4" max="4" width="18.7265625" style="1" customWidth="1"/>
    <col min="5" max="8" width="9.1796875" style="1" customWidth="1"/>
    <col min="9" max="9" width="7" style="1" customWidth="1"/>
    <col min="10" max="12" width="9.1796875" style="1" customWidth="1"/>
    <col min="13" max="13" width="12.1796875" style="1" customWidth="1"/>
    <col min="14" max="14" width="5.7265625" style="1" customWidth="1"/>
    <col min="15" max="15" width="9.1796875" style="1" customWidth="1"/>
    <col min="16" max="16" width="30" style="1" customWidth="1"/>
    <col min="17" max="17" width="13.7265625" style="1" bestFit="1" customWidth="1"/>
    <col min="18" max="18" width="12.81640625" style="1" bestFit="1" customWidth="1"/>
    <col min="19" max="19" width="6.54296875" style="1" bestFit="1" customWidth="1"/>
    <col min="20" max="20" width="12.81640625" style="1" bestFit="1" customWidth="1"/>
    <col min="21" max="21" width="6.54296875" style="1" bestFit="1" customWidth="1"/>
    <col min="22" max="22" width="12.81640625" style="1" bestFit="1" customWidth="1"/>
    <col min="23" max="23" width="6.54296875" style="1" bestFit="1" customWidth="1"/>
    <col min="24" max="31" width="9.1796875" style="1" customWidth="1"/>
    <col min="32" max="16384" width="9.1796875" style="1" hidden="1"/>
  </cols>
  <sheetData>
    <row r="1" spans="1:23" ht="15.75" customHeight="1" x14ac:dyDescent="0.7">
      <c r="B1" s="2"/>
      <c r="C1" s="2"/>
      <c r="E1" s="6"/>
      <c r="F1" s="724"/>
      <c r="G1" s="724"/>
      <c r="H1" s="724"/>
      <c r="I1" s="724"/>
      <c r="J1" s="724"/>
      <c r="K1" s="725"/>
      <c r="L1" s="725"/>
      <c r="M1" s="725"/>
      <c r="N1" s="725"/>
      <c r="O1" s="725"/>
    </row>
    <row r="2" spans="1:23" ht="15.75" customHeight="1" x14ac:dyDescent="0.35">
      <c r="B2" s="2"/>
      <c r="C2" s="2"/>
      <c r="D2" s="719"/>
      <c r="E2" s="719"/>
    </row>
    <row r="3" spans="1:23" ht="15.75" customHeight="1" x14ac:dyDescent="0.7">
      <c r="A3" s="6"/>
      <c r="B3" s="6"/>
      <c r="C3" s="6"/>
      <c r="D3" s="6"/>
      <c r="E3" s="6"/>
      <c r="F3" s="7"/>
      <c r="G3" s="7"/>
      <c r="H3" s="7"/>
      <c r="I3" s="7"/>
      <c r="J3" s="7"/>
      <c r="K3" s="7"/>
      <c r="L3" s="7"/>
      <c r="M3" s="7"/>
      <c r="N3" s="7"/>
      <c r="O3" s="7"/>
      <c r="P3" s="7"/>
      <c r="Q3" s="722" t="s">
        <v>15</v>
      </c>
      <c r="R3" s="723"/>
      <c r="S3" s="723"/>
    </row>
    <row r="4" spans="1:23" ht="35.25" customHeight="1" x14ac:dyDescent="0.7">
      <c r="A4" s="6"/>
      <c r="B4" s="6"/>
      <c r="C4" s="6"/>
      <c r="D4" s="6"/>
      <c r="E4" s="6"/>
      <c r="F4" s="7"/>
      <c r="G4" s="7"/>
      <c r="H4" s="7"/>
      <c r="I4" s="7"/>
      <c r="J4" s="7"/>
      <c r="K4" s="7"/>
      <c r="L4" s="7"/>
      <c r="M4" s="7"/>
      <c r="N4" s="7"/>
      <c r="O4" s="7"/>
      <c r="P4" s="7"/>
      <c r="Q4" s="717" t="s">
        <v>16</v>
      </c>
      <c r="R4" s="720" t="s">
        <v>17</v>
      </c>
      <c r="S4" s="720"/>
      <c r="T4" s="720"/>
      <c r="U4" s="720"/>
      <c r="V4" s="720"/>
      <c r="W4" s="721"/>
    </row>
    <row r="5" spans="1:23" ht="16.5" customHeight="1" x14ac:dyDescent="0.7">
      <c r="A5" s="6"/>
      <c r="B5" s="6"/>
      <c r="C5" s="6"/>
      <c r="D5" s="6"/>
      <c r="E5" s="6"/>
      <c r="F5" s="4"/>
      <c r="G5" s="4"/>
      <c r="H5" s="4"/>
      <c r="I5" s="4"/>
      <c r="J5" s="4"/>
      <c r="K5" s="4"/>
      <c r="L5" s="4"/>
      <c r="M5" s="4"/>
      <c r="N5" s="4"/>
      <c r="O5" s="4"/>
      <c r="P5" s="4"/>
      <c r="Q5" s="718"/>
      <c r="R5" s="628" t="s">
        <v>18</v>
      </c>
      <c r="S5" s="629" t="s">
        <v>19</v>
      </c>
      <c r="T5" s="630" t="s">
        <v>20</v>
      </c>
      <c r="U5" s="629" t="s">
        <v>19</v>
      </c>
      <c r="V5" s="629" t="s">
        <v>21</v>
      </c>
      <c r="W5" s="629" t="s">
        <v>19</v>
      </c>
    </row>
    <row r="6" spans="1:23" ht="16.5" customHeight="1" x14ac:dyDescent="0.7">
      <c r="B6" s="2"/>
      <c r="C6" s="2"/>
      <c r="D6" s="6"/>
      <c r="E6" s="6"/>
      <c r="F6" s="4"/>
      <c r="G6" s="4"/>
      <c r="H6" s="4"/>
      <c r="I6" s="4"/>
      <c r="J6" s="4"/>
      <c r="K6" s="4"/>
      <c r="L6" s="4"/>
      <c r="M6" s="4"/>
      <c r="N6" s="4"/>
      <c r="O6" s="4"/>
      <c r="P6" s="4"/>
      <c r="Q6" s="627" t="s">
        <v>22</v>
      </c>
      <c r="R6" s="21"/>
      <c r="S6" s="562">
        <f>R6*'G-3 Multipliers'!$Z$4</f>
        <v>0</v>
      </c>
      <c r="T6" s="21"/>
      <c r="U6" s="562">
        <f>T6*'G-3 Multipliers'!$Z$4</f>
        <v>0</v>
      </c>
      <c r="V6" s="21"/>
      <c r="W6" s="562">
        <f>V6*'G-3 Multipliers'!$Z$4</f>
        <v>0</v>
      </c>
    </row>
    <row r="7" spans="1:23" ht="16.5" customHeight="1" x14ac:dyDescent="0.7">
      <c r="B7" s="2"/>
      <c r="C7" s="6"/>
      <c r="D7" s="6"/>
      <c r="E7" s="6"/>
      <c r="F7" s="4"/>
      <c r="G7" s="4"/>
      <c r="H7" s="4"/>
      <c r="I7" s="4"/>
      <c r="J7" s="4"/>
      <c r="K7" s="4"/>
      <c r="L7" s="4"/>
      <c r="M7" s="4"/>
      <c r="N7" s="4"/>
      <c r="O7" s="4"/>
      <c r="P7" s="4"/>
      <c r="Q7" s="627" t="s">
        <v>23</v>
      </c>
      <c r="R7" s="21">
        <v>9</v>
      </c>
      <c r="S7" s="562">
        <f>R7*'G-3 Multipliers'!$Z$5</f>
        <v>0.32962464000000002</v>
      </c>
      <c r="T7" s="21"/>
      <c r="U7" s="562">
        <f>T7*'G-3 Multipliers'!$Z$5</f>
        <v>0</v>
      </c>
      <c r="V7" s="21"/>
      <c r="W7" s="562">
        <f>V7*'G-3 Multipliers'!$Z$5</f>
        <v>0</v>
      </c>
    </row>
    <row r="8" spans="1:23" ht="18" customHeight="1" x14ac:dyDescent="0.7">
      <c r="B8" s="2"/>
      <c r="C8" s="2"/>
      <c r="D8" s="6"/>
      <c r="E8" s="6"/>
      <c r="F8" s="4"/>
      <c r="G8" s="4"/>
      <c r="H8" s="4"/>
      <c r="I8" s="4"/>
      <c r="J8" s="4"/>
      <c r="K8" s="4"/>
      <c r="L8" s="4"/>
      <c r="M8" s="4"/>
      <c r="N8" s="4"/>
      <c r="O8" s="4"/>
      <c r="P8" s="4"/>
      <c r="Q8" s="627" t="s">
        <v>24</v>
      </c>
      <c r="R8" s="21"/>
      <c r="S8" s="562">
        <f>R8*'G-3 Multipliers'!$Z$6</f>
        <v>0</v>
      </c>
      <c r="T8" s="21"/>
      <c r="U8" s="562">
        <f>T8*'G-3 Multipliers'!$Z$6</f>
        <v>0</v>
      </c>
      <c r="V8" s="21"/>
      <c r="W8" s="562">
        <f>V8*'G-3 Multipliers'!$Z$6</f>
        <v>0</v>
      </c>
    </row>
    <row r="9" spans="1:23" ht="16.5" customHeight="1" x14ac:dyDescent="0.35">
      <c r="B9" s="2"/>
      <c r="C9" s="2"/>
      <c r="D9" s="3"/>
      <c r="E9" s="3"/>
      <c r="F9" s="4"/>
      <c r="G9" s="4"/>
      <c r="H9" s="4"/>
      <c r="I9" s="4"/>
      <c r="J9" s="4"/>
      <c r="K9" s="4"/>
      <c r="L9" s="4"/>
      <c r="M9" s="4"/>
      <c r="N9" s="4"/>
      <c r="O9" s="4"/>
      <c r="P9" s="4"/>
      <c r="Q9" s="627" t="s">
        <v>25</v>
      </c>
      <c r="R9" s="653">
        <f t="shared" ref="R9:W9" si="0">SUM(R6:R8)</f>
        <v>9</v>
      </c>
      <c r="S9" s="561">
        <f t="shared" si="0"/>
        <v>0.32962464000000002</v>
      </c>
      <c r="T9" s="653">
        <f t="shared" si="0"/>
        <v>0</v>
      </c>
      <c r="U9" s="561">
        <f t="shared" si="0"/>
        <v>0</v>
      </c>
      <c r="V9" s="653">
        <f t="shared" si="0"/>
        <v>0</v>
      </c>
      <c r="W9" s="561">
        <f t="shared" si="0"/>
        <v>0</v>
      </c>
    </row>
    <row r="10" spans="1:23" ht="30" customHeight="1" x14ac:dyDescent="0.5">
      <c r="B10" s="2"/>
      <c r="C10" s="2"/>
      <c r="D10" s="5"/>
      <c r="E10" s="5"/>
      <c r="F10" s="716"/>
      <c r="G10" s="716"/>
      <c r="H10" s="716"/>
      <c r="I10" s="716"/>
      <c r="J10" s="716"/>
      <c r="K10" s="716"/>
      <c r="L10" s="716"/>
      <c r="M10" s="716"/>
      <c r="N10" s="716"/>
      <c r="O10" s="716"/>
      <c r="P10" s="716"/>
    </row>
    <row r="11" spans="1:23" ht="16.5" customHeight="1" x14ac:dyDescent="0.35">
      <c r="B11" s="2"/>
      <c r="C11" s="2"/>
    </row>
    <row r="12" spans="1:23" ht="16.5" customHeight="1" x14ac:dyDescent="0.35">
      <c r="B12" s="2"/>
      <c r="C12" s="2"/>
    </row>
    <row r="13" spans="1:23" ht="16.5" customHeight="1" x14ac:dyDescent="0.35">
      <c r="B13" s="2"/>
      <c r="C13" s="2"/>
    </row>
    <row r="14" spans="1:23" ht="16.5" customHeight="1" x14ac:dyDescent="0.35">
      <c r="B14" s="2"/>
      <c r="C14" s="2"/>
    </row>
    <row r="15" spans="1:23" ht="16.5" customHeight="1" x14ac:dyDescent="0.35">
      <c r="B15" s="2"/>
      <c r="C15" s="2"/>
    </row>
    <row r="16" spans="1:23" ht="16.5" customHeight="1" x14ac:dyDescent="0.35"/>
    <row r="17" ht="16.5" customHeight="1" x14ac:dyDescent="0.35"/>
    <row r="18" ht="16.5" customHeight="1" x14ac:dyDescent="0.35"/>
    <row r="19" ht="16.5" customHeight="1" x14ac:dyDescent="0.35"/>
    <row r="20" ht="16.5" customHeight="1" x14ac:dyDescent="0.35"/>
    <row r="21" ht="16.5" customHeight="1" x14ac:dyDescent="0.35"/>
    <row r="22" ht="16.5" customHeight="1" x14ac:dyDescent="0.35"/>
    <row r="23" ht="16.5" customHeight="1" x14ac:dyDescent="0.35"/>
    <row r="24" ht="16.5" customHeight="1" x14ac:dyDescent="0.35"/>
    <row r="25" ht="16.5" customHeight="1" x14ac:dyDescent="0.35"/>
    <row r="26" ht="16.5" customHeight="1" x14ac:dyDescent="0.35"/>
    <row r="27" ht="14.5" x14ac:dyDescent="0.35"/>
    <row r="28" ht="14.5" x14ac:dyDescent="0.35"/>
    <row r="29" ht="14.5" x14ac:dyDescent="0.35"/>
    <row r="30" ht="14.5" x14ac:dyDescent="0.35"/>
    <row r="31" ht="14.5" x14ac:dyDescent="0.35"/>
    <row r="32" ht="14.5" x14ac:dyDescent="0.35"/>
    <row r="33" ht="14.5" x14ac:dyDescent="0.35"/>
    <row r="34" ht="14.5" x14ac:dyDescent="0.35"/>
    <row r="35" ht="14.5" x14ac:dyDescent="0.35"/>
    <row r="36" ht="14.5" x14ac:dyDescent="0.35"/>
    <row r="37" ht="14.5" x14ac:dyDescent="0.35"/>
    <row r="38" ht="14.5" x14ac:dyDescent="0.35"/>
    <row r="39" ht="89.5" customHeight="1" x14ac:dyDescent="0.35"/>
    <row r="40" ht="14.5" x14ac:dyDescent="0.35"/>
    <row r="41" ht="14.5" x14ac:dyDescent="0.35"/>
    <row r="42" ht="14.5" x14ac:dyDescent="0.35"/>
    <row r="43" ht="14.5" x14ac:dyDescent="0.35"/>
    <row r="44" ht="14.5" x14ac:dyDescent="0.35"/>
    <row r="45" ht="14.5" x14ac:dyDescent="0.35"/>
    <row r="46" ht="14.5" x14ac:dyDescent="0.35"/>
    <row r="47" ht="14.5" x14ac:dyDescent="0.35"/>
    <row r="48" ht="14.5" x14ac:dyDescent="0.35"/>
    <row r="49" ht="14.5" x14ac:dyDescent="0.35"/>
    <row r="50" ht="14.5" x14ac:dyDescent="0.35"/>
    <row r="51" ht="14.5" x14ac:dyDescent="0.35"/>
    <row r="52" ht="18.649999999999999" customHeight="1" x14ac:dyDescent="0.35"/>
    <row r="53" ht="14.5" hidden="1" x14ac:dyDescent="0.35"/>
  </sheetData>
  <sheetProtection algorithmName="SHA-512" hashValue="KsIiue+T1lIunTSW7EjHhfhSF9IuOH4TH++Tz16v9e5fQI+i+Skp5F/RVsgKg3iPT9/2Oo/N0+rzouNsgwlk+A==" saltValue="b/bofErw0QyyjGc7T9Aegg==" spinCount="100000" sheet="1" objects="1" scenarios="1"/>
  <customSheetViews>
    <customSheetView guid="{8BDA793C-C9C5-4FC6-A0A5-F1109F6D4F22}" scale="70">
      <selection sqref="A1:XFD1048576"/>
    </customSheetView>
  </customSheetViews>
  <mergeCells count="7">
    <mergeCell ref="F1:J1"/>
    <mergeCell ref="K1:O1"/>
    <mergeCell ref="F10:P10"/>
    <mergeCell ref="Q4:Q5"/>
    <mergeCell ref="D2:E2"/>
    <mergeCell ref="R4:W4"/>
    <mergeCell ref="Q3:S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6">
    <tabColor rgb="FFF4D4D4"/>
  </sheetPr>
  <dimension ref="A1:AE53"/>
  <sheetViews>
    <sheetView workbookViewId="0"/>
  </sheetViews>
  <sheetFormatPr defaultColWidth="0" defaultRowHeight="0" customHeight="1" zeroHeight="1" x14ac:dyDescent="0.3"/>
  <cols>
    <col min="1" max="3" width="2.1796875" style="254" customWidth="1"/>
    <col min="4" max="4" width="18.7265625" style="254" customWidth="1"/>
    <col min="5" max="8" width="9.1796875" style="254" customWidth="1"/>
    <col min="9" max="9" width="7" style="254" customWidth="1"/>
    <col min="10" max="12" width="9.1796875" style="254" customWidth="1"/>
    <col min="13" max="13" width="12.1796875" style="254" customWidth="1"/>
    <col min="14" max="14" width="5.7265625" style="254" customWidth="1"/>
    <col min="15" max="15" width="9.1796875" style="254" customWidth="1"/>
    <col min="16" max="16" width="34.54296875" style="254" customWidth="1"/>
    <col min="17" max="17" width="13.7265625" style="254" bestFit="1" customWidth="1"/>
    <col min="18" max="18" width="19.26953125" style="254" customWidth="1"/>
    <col min="19" max="31" width="9.1796875" style="254" customWidth="1"/>
    <col min="32" max="16384" width="9.1796875" style="254" hidden="1"/>
  </cols>
  <sheetData>
    <row r="1" spans="1:18" ht="15.75" customHeight="1" x14ac:dyDescent="0.6">
      <c r="B1" s="255"/>
      <c r="C1" s="255"/>
      <c r="E1" s="256"/>
      <c r="F1" s="726"/>
      <c r="G1" s="726"/>
      <c r="H1" s="726"/>
      <c r="I1" s="726"/>
      <c r="J1" s="726"/>
      <c r="K1" s="727"/>
      <c r="L1" s="727"/>
      <c r="M1" s="727"/>
      <c r="N1" s="727"/>
      <c r="O1" s="727"/>
    </row>
    <row r="2" spans="1:18" ht="15.75" customHeight="1" x14ac:dyDescent="0.6">
      <c r="B2" s="255"/>
      <c r="C2" s="255"/>
      <c r="E2" s="256"/>
    </row>
    <row r="3" spans="1:18" ht="15.75" customHeight="1" x14ac:dyDescent="0.6">
      <c r="A3" s="256"/>
      <c r="B3" s="256"/>
      <c r="C3" s="256"/>
      <c r="D3" s="256"/>
      <c r="E3" s="256"/>
      <c r="F3" s="257"/>
      <c r="G3" s="257"/>
      <c r="H3" s="257"/>
      <c r="I3" s="257"/>
      <c r="J3" s="257"/>
      <c r="K3" s="257"/>
      <c r="L3" s="257"/>
      <c r="M3" s="257"/>
      <c r="N3" s="257"/>
      <c r="O3" s="257"/>
      <c r="P3" s="257"/>
    </row>
    <row r="4" spans="1:18" ht="16.5" customHeight="1" x14ac:dyDescent="0.6">
      <c r="A4" s="256"/>
      <c r="B4" s="256"/>
      <c r="C4" s="256"/>
      <c r="D4" s="256"/>
      <c r="E4" s="256"/>
      <c r="F4" s="257"/>
      <c r="G4" s="257"/>
      <c r="H4" s="257"/>
      <c r="I4" s="257"/>
      <c r="J4" s="257"/>
      <c r="K4" s="257"/>
      <c r="L4" s="257"/>
      <c r="M4" s="257"/>
      <c r="N4" s="257"/>
      <c r="O4" s="257"/>
      <c r="P4" s="257"/>
    </row>
    <row r="5" spans="1:18" ht="16.5" customHeight="1" x14ac:dyDescent="0.6">
      <c r="A5" s="256"/>
      <c r="B5" s="256"/>
      <c r="C5" s="256"/>
      <c r="D5" s="256"/>
      <c r="E5" s="256"/>
      <c r="F5" s="258"/>
      <c r="G5" s="258"/>
      <c r="H5" s="258"/>
      <c r="I5" s="258"/>
      <c r="J5" s="258"/>
      <c r="K5" s="258"/>
      <c r="L5" s="258"/>
      <c r="M5" s="258"/>
      <c r="N5" s="258"/>
      <c r="O5" s="258"/>
      <c r="P5" s="258"/>
      <c r="Q5" s="258"/>
      <c r="R5" s="258"/>
    </row>
    <row r="6" spans="1:18" ht="16.5" customHeight="1" x14ac:dyDescent="0.6">
      <c r="B6" s="255"/>
      <c r="C6" s="255"/>
      <c r="D6" s="256"/>
      <c r="E6" s="256"/>
      <c r="F6" s="258"/>
      <c r="G6" s="258"/>
      <c r="H6" s="258"/>
      <c r="I6" s="258"/>
      <c r="J6" s="258"/>
      <c r="K6" s="258"/>
      <c r="L6" s="258"/>
      <c r="M6" s="258"/>
      <c r="N6" s="258"/>
      <c r="O6" s="258"/>
      <c r="P6" s="258"/>
      <c r="Q6" s="258"/>
      <c r="R6" s="258"/>
    </row>
    <row r="7" spans="1:18" ht="16.5" customHeight="1" x14ac:dyDescent="0.6">
      <c r="B7" s="255"/>
      <c r="C7" s="256"/>
      <c r="D7" s="256"/>
      <c r="E7" s="256"/>
      <c r="F7" s="258"/>
      <c r="G7" s="258"/>
      <c r="H7" s="258"/>
      <c r="I7" s="258"/>
      <c r="J7" s="258"/>
      <c r="K7" s="258"/>
      <c r="L7" s="258"/>
      <c r="M7" s="258"/>
      <c r="N7" s="258"/>
      <c r="O7" s="258"/>
      <c r="P7" s="258"/>
      <c r="Q7" s="258"/>
      <c r="R7" s="258"/>
    </row>
    <row r="8" spans="1:18" ht="16.5" customHeight="1" x14ac:dyDescent="0.6">
      <c r="B8" s="255"/>
      <c r="C8" s="255"/>
      <c r="D8" s="256"/>
      <c r="E8" s="256"/>
      <c r="F8" s="258"/>
      <c r="G8" s="258"/>
      <c r="H8" s="258"/>
      <c r="I8" s="258"/>
      <c r="J8" s="258"/>
      <c r="K8" s="258"/>
      <c r="L8" s="258"/>
      <c r="M8" s="258"/>
      <c r="N8" s="258"/>
      <c r="O8" s="258"/>
      <c r="P8" s="258"/>
      <c r="Q8" s="258"/>
      <c r="R8" s="258"/>
    </row>
    <row r="9" spans="1:18" ht="16.5" customHeight="1" x14ac:dyDescent="0.3">
      <c r="B9" s="255"/>
      <c r="C9" s="255"/>
      <c r="D9" s="259"/>
      <c r="E9" s="259"/>
      <c r="F9" s="258"/>
      <c r="G9" s="258"/>
      <c r="H9" s="258"/>
      <c r="I9" s="258"/>
      <c r="J9" s="258"/>
      <c r="K9" s="258"/>
      <c r="L9" s="258"/>
      <c r="M9" s="258"/>
      <c r="N9" s="258"/>
      <c r="O9" s="258"/>
      <c r="P9" s="258"/>
      <c r="Q9" s="258"/>
      <c r="R9" s="258"/>
    </row>
    <row r="10" spans="1:18" ht="30" customHeight="1" x14ac:dyDescent="0.4">
      <c r="B10" s="255"/>
      <c r="C10" s="255"/>
      <c r="D10" s="728"/>
      <c r="E10" s="728"/>
      <c r="F10" s="728"/>
      <c r="G10" s="728"/>
      <c r="H10" s="728"/>
      <c r="I10" s="728"/>
      <c r="J10" s="728"/>
      <c r="K10" s="728"/>
      <c r="L10" s="728"/>
      <c r="M10" s="728"/>
    </row>
    <row r="11" spans="1:18" ht="16.5" customHeight="1" x14ac:dyDescent="0.3">
      <c r="B11" s="255"/>
      <c r="C11" s="255"/>
    </row>
    <row r="12" spans="1:18" ht="16.5" customHeight="1" x14ac:dyDescent="0.3">
      <c r="B12" s="255"/>
      <c r="C12" s="255"/>
    </row>
    <row r="13" spans="1:18" ht="16.5" customHeight="1" x14ac:dyDescent="0.3">
      <c r="B13" s="255"/>
      <c r="C13" s="255"/>
    </row>
    <row r="14" spans="1:18" ht="16.5" customHeight="1" x14ac:dyDescent="0.3">
      <c r="B14" s="255"/>
      <c r="C14" s="255"/>
    </row>
    <row r="15" spans="1:18" ht="16.5" customHeight="1" x14ac:dyDescent="0.3">
      <c r="B15" s="255"/>
      <c r="C15" s="255"/>
    </row>
    <row r="16" spans="1:18" ht="16.5" customHeight="1" x14ac:dyDescent="0.3"/>
    <row r="17" ht="16.5" customHeight="1" x14ac:dyDescent="0.3"/>
    <row r="18" ht="16.5" customHeight="1" x14ac:dyDescent="0.3"/>
    <row r="19" ht="16.5" customHeight="1" x14ac:dyDescent="0.3"/>
    <row r="20" ht="16.5" customHeight="1" x14ac:dyDescent="0.3"/>
    <row r="21" ht="16.5" customHeight="1" x14ac:dyDescent="0.3"/>
    <row r="22" ht="16.5" customHeight="1" x14ac:dyDescent="0.3"/>
    <row r="23" ht="16.5" customHeight="1" x14ac:dyDescent="0.3"/>
    <row r="24" ht="16.5" customHeight="1" x14ac:dyDescent="0.3"/>
    <row r="25" ht="16.5" customHeight="1" x14ac:dyDescent="0.3"/>
    <row r="26" ht="16.5" customHeight="1" x14ac:dyDescent="0.3"/>
    <row r="27" ht="14" x14ac:dyDescent="0.3"/>
    <row r="28" ht="14" x14ac:dyDescent="0.3"/>
    <row r="29" ht="14" x14ac:dyDescent="0.3"/>
    <row r="30" ht="14" x14ac:dyDescent="0.3"/>
    <row r="31" ht="14" x14ac:dyDescent="0.3"/>
    <row r="32" ht="14" x14ac:dyDescent="0.3"/>
    <row r="33" ht="14" x14ac:dyDescent="0.3"/>
    <row r="34" ht="14" x14ac:dyDescent="0.3"/>
    <row r="35" ht="14" x14ac:dyDescent="0.3"/>
    <row r="36" ht="14" x14ac:dyDescent="0.3"/>
    <row r="37" ht="14" x14ac:dyDescent="0.3"/>
    <row r="38" ht="14" x14ac:dyDescent="0.3"/>
    <row r="39" ht="14" x14ac:dyDescent="0.3"/>
    <row r="40" ht="14" x14ac:dyDescent="0.3"/>
    <row r="41" ht="14" x14ac:dyDescent="0.3"/>
    <row r="42" ht="14" x14ac:dyDescent="0.3"/>
    <row r="43" ht="14" x14ac:dyDescent="0.3"/>
    <row r="44" ht="14" x14ac:dyDescent="0.3"/>
    <row r="45" ht="14" x14ac:dyDescent="0.3"/>
    <row r="46" ht="14" x14ac:dyDescent="0.3"/>
    <row r="47" ht="14" x14ac:dyDescent="0.3"/>
    <row r="48" ht="14" x14ac:dyDescent="0.3"/>
    <row r="49" ht="14" x14ac:dyDescent="0.3"/>
    <row r="50" ht="14" x14ac:dyDescent="0.3"/>
    <row r="51" ht="14" x14ac:dyDescent="0.3"/>
    <row r="52" ht="14" x14ac:dyDescent="0.3"/>
    <row r="53" ht="14" hidden="1" x14ac:dyDescent="0.3"/>
  </sheetData>
  <sheetProtection algorithmName="SHA-512" hashValue="u3UYGN768vt0nRyPAko51SKC5EHdgTBrtS6h8UsMdz/CgmJgo3bU2f7Ew7XfRh6Qx1kZrMFT30ir0pv+ovBT3Q==" saltValue="fSSLIT+SnIlu5OTfzMi9nA==" spinCount="100000" sheet="1" objects="1" scenarios="1"/>
  <customSheetViews>
    <customSheetView guid="{8BDA793C-C9C5-4FC6-A0A5-F1109F6D4F22}"/>
  </customSheetViews>
  <mergeCells count="3">
    <mergeCell ref="F1:J1"/>
    <mergeCell ref="K1:O1"/>
    <mergeCell ref="D10:M10"/>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9">
    <tabColor rgb="FFF4D4D4"/>
  </sheetPr>
  <dimension ref="A1:AY109"/>
  <sheetViews>
    <sheetView tabSelected="1" workbookViewId="0">
      <selection activeCell="K19" sqref="K19"/>
    </sheetView>
  </sheetViews>
  <sheetFormatPr defaultColWidth="0" defaultRowHeight="14" zeroHeight="1" x14ac:dyDescent="0.3"/>
  <cols>
    <col min="1" max="1" width="4.26953125" style="22" customWidth="1"/>
    <col min="2" max="2" width="31.453125" style="22" customWidth="1"/>
    <col min="3" max="3" width="13.81640625" style="22" customWidth="1"/>
    <col min="4" max="4" width="13.453125" style="22" customWidth="1"/>
    <col min="5" max="5" width="36.54296875" style="22" customWidth="1"/>
    <col min="6" max="7" width="11.7265625" style="22" customWidth="1"/>
    <col min="8" max="8" width="13.26953125" style="22" customWidth="1"/>
    <col min="9" max="9" width="11.7265625" style="22" customWidth="1"/>
    <col min="10" max="10" width="12.54296875" style="22" customWidth="1"/>
    <col min="11" max="11" width="33.1796875" style="22" bestFit="1" customWidth="1"/>
    <col min="12" max="14" width="15" style="22" customWidth="1"/>
    <col min="15" max="15" width="8.81640625" style="22" customWidth="1"/>
    <col min="16" max="16" width="14.54296875" style="22" bestFit="1" customWidth="1"/>
    <col min="17" max="17" width="14" style="22" customWidth="1"/>
    <col min="18" max="18" width="12.26953125" style="22" customWidth="1"/>
    <col min="19" max="19" width="13.453125" style="22" hidden="1" customWidth="1"/>
    <col min="20" max="20" width="10.54296875" style="22" hidden="1" customWidth="1"/>
    <col min="21" max="30" width="8.81640625" style="22" hidden="1" customWidth="1"/>
    <col min="31" max="31" width="12.1796875" style="22" hidden="1" customWidth="1"/>
    <col min="32" max="51" width="0" style="22" hidden="1" customWidth="1"/>
    <col min="52" max="16384" width="8.81640625" style="22" hidden="1"/>
  </cols>
  <sheetData>
    <row r="1" spans="2:22" ht="15.75" customHeight="1" thickBot="1" x14ac:dyDescent="0.35"/>
    <row r="2" spans="2:22" ht="19.149999999999999" customHeight="1" thickBot="1" x14ac:dyDescent="0.35">
      <c r="B2" s="744" t="str">
        <f>IF(Start!$F$12="","",Start!$F$12)</f>
        <v>NCP Car Park, Bath Road, West Drayton, Greater London</v>
      </c>
      <c r="C2" s="745"/>
      <c r="D2" s="746"/>
    </row>
    <row r="3" spans="2:22" ht="15.75" customHeight="1" x14ac:dyDescent="0.3">
      <c r="B3" s="729" t="str">
        <f ca="1">MID(CELL("filename",A1),FIND("]",CELL("filename",A1))+1,256)</f>
        <v>Headline Results</v>
      </c>
      <c r="C3" s="730"/>
      <c r="D3" s="731"/>
    </row>
    <row r="4" spans="2:22" ht="15.75" customHeight="1" thickBot="1" x14ac:dyDescent="0.35">
      <c r="B4" s="732"/>
      <c r="C4" s="733"/>
      <c r="D4" s="734"/>
    </row>
    <row r="5" spans="2:22" ht="10" customHeight="1" x14ac:dyDescent="0.3"/>
    <row r="6" spans="2:22" ht="10" customHeight="1" x14ac:dyDescent="0.6">
      <c r="B6" s="735"/>
      <c r="C6" s="735"/>
      <c r="K6" s="23"/>
      <c r="L6" s="23"/>
      <c r="M6" s="23"/>
      <c r="N6" s="23"/>
    </row>
    <row r="7" spans="2:22" ht="10" customHeight="1" thickBot="1" x14ac:dyDescent="0.65">
      <c r="B7" s="24"/>
      <c r="C7" s="24"/>
      <c r="K7" s="23"/>
      <c r="L7" s="23"/>
      <c r="M7" s="23"/>
      <c r="N7" s="23"/>
      <c r="O7" s="25"/>
      <c r="Q7" s="25"/>
      <c r="R7" s="25"/>
    </row>
    <row r="8" spans="2:22" ht="22" customHeight="1" x14ac:dyDescent="0.6">
      <c r="B8" s="736" t="s">
        <v>26</v>
      </c>
      <c r="C8" s="737"/>
      <c r="D8" s="737"/>
      <c r="E8" s="737"/>
      <c r="F8" s="742" t="s">
        <v>27</v>
      </c>
      <c r="G8" s="743"/>
      <c r="H8" s="747">
        <f>IFERROR('A-1 Site Habitat Baseline'!Q259,"Check Data ⚠")</f>
        <v>4.1693975999999999</v>
      </c>
      <c r="I8" s="748"/>
      <c r="J8" s="26"/>
      <c r="K8" s="23"/>
      <c r="L8" s="23"/>
      <c r="M8" s="23"/>
      <c r="N8" s="23"/>
      <c r="O8" s="25"/>
      <c r="P8" s="25"/>
      <c r="Q8" s="25"/>
      <c r="R8" s="25"/>
      <c r="S8" s="25"/>
    </row>
    <row r="9" spans="2:22" ht="22" customHeight="1" x14ac:dyDescent="0.6">
      <c r="B9" s="738"/>
      <c r="C9" s="739"/>
      <c r="D9" s="739"/>
      <c r="E9" s="739"/>
      <c r="F9" s="749" t="s">
        <v>28</v>
      </c>
      <c r="G9" s="750"/>
      <c r="H9" s="751">
        <f>IFERROR('B-1 Site Hedge Baseline'!N258,"Check Data ⚠")</f>
        <v>0</v>
      </c>
      <c r="I9" s="752"/>
      <c r="K9" s="23"/>
      <c r="L9" s="23"/>
      <c r="M9" s="23"/>
      <c r="N9" s="23"/>
    </row>
    <row r="10" spans="2:22" ht="22" customHeight="1" thickBot="1" x14ac:dyDescent="0.65">
      <c r="B10" s="740"/>
      <c r="C10" s="741"/>
      <c r="D10" s="741"/>
      <c r="E10" s="741"/>
      <c r="F10" s="753" t="s">
        <v>29</v>
      </c>
      <c r="G10" s="754"/>
      <c r="H10" s="755">
        <f>'C-1 Site River Baseline'!R258</f>
        <v>0</v>
      </c>
      <c r="I10" s="756"/>
      <c r="K10" s="23"/>
      <c r="L10" s="23"/>
      <c r="M10" s="23"/>
      <c r="N10" s="23"/>
    </row>
    <row r="11" spans="2:22" ht="4.5" customHeight="1" thickBot="1" x14ac:dyDescent="0.65">
      <c r="H11" s="312"/>
      <c r="I11" s="312"/>
      <c r="K11" s="23"/>
      <c r="L11" s="23"/>
      <c r="M11" s="23"/>
      <c r="N11" s="23"/>
    </row>
    <row r="12" spans="2:22" ht="22" customHeight="1" x14ac:dyDescent="0.6">
      <c r="B12" s="736" t="s">
        <v>30</v>
      </c>
      <c r="C12" s="737"/>
      <c r="D12" s="737"/>
      <c r="E12" s="759"/>
      <c r="F12" s="742" t="s">
        <v>27</v>
      </c>
      <c r="G12" s="743"/>
      <c r="H12" s="762">
        <f>IFERROR('A-2 Site Habitat Creation'!Y257+'A-3 Site Habitat Enhancement'!AN258+'A-1 Site Habitat Baseline'!U259,"Check Data ⚠")</f>
        <v>2.6453486772859884</v>
      </c>
      <c r="I12" s="763"/>
      <c r="K12" s="23"/>
      <c r="L12" s="23"/>
      <c r="M12" s="23"/>
      <c r="N12" s="23"/>
      <c r="U12" s="735"/>
      <c r="V12" s="735"/>
    </row>
    <row r="13" spans="2:22" ht="22" customHeight="1" x14ac:dyDescent="0.6">
      <c r="B13" s="738"/>
      <c r="C13" s="739"/>
      <c r="D13" s="739"/>
      <c r="E13" s="760"/>
      <c r="F13" s="749" t="s">
        <v>28</v>
      </c>
      <c r="G13" s="750"/>
      <c r="H13" s="764">
        <f>IFERROR('B-2 Site Hedge Creation'!W260+'B-3 Site Hedge Enhancement'!AH258+'B-1 Site Hedge Baseline'!R258,"Check Data⚠")</f>
        <v>0.82343944139040004</v>
      </c>
      <c r="I13" s="765"/>
      <c r="K13" s="23"/>
      <c r="L13" s="23"/>
      <c r="M13" s="23"/>
      <c r="N13" s="23"/>
      <c r="U13" s="735"/>
      <c r="V13" s="735"/>
    </row>
    <row r="14" spans="2:22" ht="22" customHeight="1" thickBot="1" x14ac:dyDescent="0.65">
      <c r="B14" s="740"/>
      <c r="C14" s="741"/>
      <c r="D14" s="741"/>
      <c r="E14" s="761"/>
      <c r="F14" s="753" t="s">
        <v>29</v>
      </c>
      <c r="G14" s="754"/>
      <c r="H14" s="755">
        <f>IFERROR('C-2 Site River Creation'!Z260 + 'C-3 Site River Enhancement'!AM258+'C-1 Site River Baseline'!V258,"Check Data ⚠")</f>
        <v>0</v>
      </c>
      <c r="I14" s="756"/>
      <c r="K14" s="23"/>
      <c r="L14" s="23"/>
      <c r="M14" s="23"/>
      <c r="N14" s="23"/>
    </row>
    <row r="15" spans="2:22" ht="4.5" customHeight="1" thickBot="1" x14ac:dyDescent="0.65">
      <c r="B15" s="454"/>
      <c r="C15" s="454"/>
      <c r="D15" s="454"/>
      <c r="E15" s="454"/>
      <c r="F15" s="455"/>
      <c r="G15" s="455"/>
      <c r="H15" s="456"/>
      <c r="I15" s="456"/>
      <c r="K15" s="23"/>
      <c r="L15" s="23"/>
      <c r="M15" s="23"/>
      <c r="N15" s="23"/>
    </row>
    <row r="16" spans="2:22" ht="22" customHeight="1" x14ac:dyDescent="0.6">
      <c r="B16" s="736" t="s">
        <v>31</v>
      </c>
      <c r="C16" s="737"/>
      <c r="D16" s="737"/>
      <c r="E16" s="759"/>
      <c r="F16" s="742" t="s">
        <v>27</v>
      </c>
      <c r="G16" s="743"/>
      <c r="H16" s="782">
        <f>IF(H12=0,0,IF(AND(H8=0,H12&gt;0),1,IFERROR((H12/H8)-1,"Check Data ⚠")))</f>
        <v>-0.36553216289902679</v>
      </c>
      <c r="I16" s="783"/>
      <c r="J16" s="457"/>
      <c r="K16" s="23"/>
      <c r="L16" s="23"/>
      <c r="M16" s="23"/>
      <c r="N16" s="23"/>
    </row>
    <row r="17" spans="2:14" ht="22" customHeight="1" x14ac:dyDescent="0.6">
      <c r="B17" s="738"/>
      <c r="C17" s="739"/>
      <c r="D17" s="739"/>
      <c r="E17" s="760"/>
      <c r="F17" s="749" t="s">
        <v>28</v>
      </c>
      <c r="G17" s="750"/>
      <c r="H17" s="784">
        <f>IF(H13=0,0,IF(AND(H9=0,H13&gt;0),1,IFERROR((H13/H9)-1,"Check Data ⚠")))</f>
        <v>1</v>
      </c>
      <c r="I17" s="785"/>
      <c r="K17" s="23"/>
      <c r="L17" s="23"/>
      <c r="M17" s="23"/>
      <c r="N17" s="23"/>
    </row>
    <row r="18" spans="2:14" ht="22" customHeight="1" thickBot="1" x14ac:dyDescent="0.65">
      <c r="B18" s="740"/>
      <c r="C18" s="741"/>
      <c r="D18" s="741"/>
      <c r="E18" s="761"/>
      <c r="F18" s="753" t="s">
        <v>29</v>
      </c>
      <c r="G18" s="786"/>
      <c r="H18" s="787">
        <f>IF(H14=0,0,IF(AND(H10=0,H14&gt;0),1,IFERROR((H14/H10)-1,"Check Data ⚠")))</f>
        <v>0</v>
      </c>
      <c r="I18" s="788"/>
      <c r="K18" s="23"/>
      <c r="L18" s="23"/>
      <c r="M18" s="23"/>
      <c r="N18" s="23"/>
    </row>
    <row r="19" spans="2:14" ht="25" customHeight="1" thickBot="1" x14ac:dyDescent="0.65">
      <c r="H19" s="312"/>
      <c r="I19" s="312"/>
      <c r="K19" s="23"/>
      <c r="L19" s="23"/>
      <c r="M19" s="23"/>
      <c r="N19" s="23"/>
    </row>
    <row r="20" spans="2:14" ht="22" customHeight="1" x14ac:dyDescent="0.6">
      <c r="B20" s="736" t="s">
        <v>32</v>
      </c>
      <c r="C20" s="737"/>
      <c r="D20" s="737"/>
      <c r="E20" s="737"/>
      <c r="F20" s="742" t="s">
        <v>27</v>
      </c>
      <c r="G20" s="743"/>
      <c r="H20" s="766">
        <f>IFERROR('D-1 Off Site Habitat Baseline'!Q259,"Check Data ⚠")</f>
        <v>0</v>
      </c>
      <c r="I20" s="767"/>
      <c r="K20" s="23"/>
      <c r="L20" s="23"/>
      <c r="M20" s="23"/>
      <c r="N20" s="23"/>
    </row>
    <row r="21" spans="2:14" ht="22" customHeight="1" x14ac:dyDescent="0.6">
      <c r="B21" s="738"/>
      <c r="C21" s="739"/>
      <c r="D21" s="739"/>
      <c r="E21" s="739"/>
      <c r="F21" s="749" t="s">
        <v>28</v>
      </c>
      <c r="G21" s="750"/>
      <c r="H21" s="768">
        <f>IFERROR('E-1 Off Site Hedge Baseline'!N258,"Check Data ⚠")</f>
        <v>0</v>
      </c>
      <c r="I21" s="769"/>
      <c r="K21" s="23"/>
      <c r="L21" s="23"/>
      <c r="M21" s="23"/>
      <c r="N21" s="23"/>
    </row>
    <row r="22" spans="2:14" ht="22" customHeight="1" thickBot="1" x14ac:dyDescent="0.65">
      <c r="B22" s="740"/>
      <c r="C22" s="741"/>
      <c r="D22" s="741"/>
      <c r="E22" s="741"/>
      <c r="F22" s="753" t="s">
        <v>29</v>
      </c>
      <c r="G22" s="754"/>
      <c r="H22" s="757">
        <f>IFERROR('F-1 Off Site River Baseline'!R258,"Check Data ⚠")</f>
        <v>0</v>
      </c>
      <c r="I22" s="758"/>
      <c r="K22" s="23"/>
      <c r="L22" s="23"/>
      <c r="M22" s="23"/>
      <c r="N22" s="23"/>
    </row>
    <row r="23" spans="2:14" ht="4.5" customHeight="1" thickBot="1" x14ac:dyDescent="0.65">
      <c r="H23" s="312"/>
      <c r="I23" s="312"/>
      <c r="K23" s="23"/>
      <c r="L23" s="23"/>
      <c r="M23" s="23"/>
      <c r="N23" s="23"/>
    </row>
    <row r="24" spans="2:14" ht="22" customHeight="1" x14ac:dyDescent="0.6">
      <c r="B24" s="736" t="s">
        <v>33</v>
      </c>
      <c r="C24" s="737"/>
      <c r="D24" s="737"/>
      <c r="E24" s="759"/>
      <c r="F24" s="742" t="s">
        <v>27</v>
      </c>
      <c r="G24" s="743"/>
      <c r="H24" s="762">
        <f>IFERROR('D-1 Off Site Habitat Baseline'!$U$259+'D-2 Off Site Habitat Creation'!AA257+'D-3 Off Site Habitat Enhancment'!AP259,"Check Data ⚠")</f>
        <v>0</v>
      </c>
      <c r="I24" s="763"/>
      <c r="K24" s="23"/>
      <c r="L24" s="23"/>
      <c r="M24" s="23"/>
      <c r="N24" s="23"/>
    </row>
    <row r="25" spans="2:14" ht="22" customHeight="1" x14ac:dyDescent="0.6">
      <c r="B25" s="738"/>
      <c r="C25" s="739"/>
      <c r="D25" s="739"/>
      <c r="E25" s="760"/>
      <c r="F25" s="749" t="s">
        <v>28</v>
      </c>
      <c r="G25" s="750"/>
      <c r="H25" s="770">
        <f>IFERROR('E-1 Off Site Hedge Baseline'!R258+'E-2 Off Site Hedge Creation'!Y260+'E-3 Off Site Hedge Enhancement'!AJ258,"Check Data ⚠")</f>
        <v>0</v>
      </c>
      <c r="I25" s="765"/>
      <c r="K25" s="23"/>
      <c r="L25" s="23"/>
      <c r="M25" s="23"/>
      <c r="N25" s="23"/>
    </row>
    <row r="26" spans="2:14" ht="22" customHeight="1" thickBot="1" x14ac:dyDescent="0.65">
      <c r="B26" s="740"/>
      <c r="C26" s="741"/>
      <c r="D26" s="741"/>
      <c r="E26" s="761"/>
      <c r="F26" s="753" t="s">
        <v>29</v>
      </c>
      <c r="G26" s="754"/>
      <c r="H26" s="755">
        <f>IFERROR('F-1 Off Site River Baseline'!V258+'F-2 Off Site River Creation'!AB260+'F-3 Off Site River Enhancement'!AO258,"Check Data ⚠")</f>
        <v>0</v>
      </c>
      <c r="I26" s="756"/>
      <c r="K26" s="23"/>
      <c r="L26" s="23"/>
      <c r="M26" s="23"/>
      <c r="N26" s="23"/>
    </row>
    <row r="27" spans="2:14" ht="25" customHeight="1" thickBot="1" x14ac:dyDescent="0.65">
      <c r="H27" s="312"/>
      <c r="I27" s="312"/>
      <c r="K27" s="23"/>
      <c r="L27" s="23"/>
      <c r="M27" s="23"/>
      <c r="N27" s="23"/>
    </row>
    <row r="28" spans="2:14" ht="22" customHeight="1" x14ac:dyDescent="0.6">
      <c r="B28" s="736" t="s">
        <v>34</v>
      </c>
      <c r="C28" s="737"/>
      <c r="D28" s="737"/>
      <c r="E28" s="759"/>
      <c r="F28" s="742" t="s">
        <v>27</v>
      </c>
      <c r="G28" s="743"/>
      <c r="H28" s="762">
        <f>IFERROR((H12-H8)+((H24-H20)),"Check Data ⚠")</f>
        <v>-1.5240489227140115</v>
      </c>
      <c r="I28" s="763"/>
      <c r="J28" s="777"/>
      <c r="K28" s="778"/>
      <c r="L28" s="23"/>
      <c r="M28" s="23"/>
      <c r="N28" s="23"/>
    </row>
    <row r="29" spans="2:14" ht="22" customHeight="1" x14ac:dyDescent="0.6">
      <c r="B29" s="738"/>
      <c r="C29" s="739"/>
      <c r="D29" s="739"/>
      <c r="E29" s="760"/>
      <c r="F29" s="749" t="s">
        <v>28</v>
      </c>
      <c r="G29" s="750"/>
      <c r="H29" s="770">
        <f>IFERROR((H13-H9)+((H25-H21)),"Check Data ⚠")</f>
        <v>0.82343944139040004</v>
      </c>
      <c r="I29" s="765"/>
      <c r="J29" s="777"/>
      <c r="K29" s="778"/>
      <c r="L29" s="23"/>
      <c r="M29" s="23"/>
      <c r="N29" s="23"/>
    </row>
    <row r="30" spans="2:14" ht="22" customHeight="1" thickBot="1" x14ac:dyDescent="0.65">
      <c r="B30" s="740"/>
      <c r="C30" s="741"/>
      <c r="D30" s="741"/>
      <c r="E30" s="761"/>
      <c r="F30" s="753" t="s">
        <v>29</v>
      </c>
      <c r="G30" s="754"/>
      <c r="H30" s="755">
        <f>IFERROR((H14-H10)+((H26-H22)),"Check Data ⚠")</f>
        <v>0</v>
      </c>
      <c r="I30" s="756"/>
      <c r="J30" s="777"/>
      <c r="K30" s="778"/>
      <c r="L30" s="23"/>
      <c r="M30" s="23"/>
      <c r="N30" s="23"/>
    </row>
    <row r="31" spans="2:14" ht="4.5" customHeight="1" thickBot="1" x14ac:dyDescent="0.65">
      <c r="H31" s="313"/>
      <c r="I31" s="313"/>
      <c r="K31" s="23"/>
      <c r="L31" s="23"/>
      <c r="M31" s="23"/>
      <c r="N31" s="23"/>
    </row>
    <row r="32" spans="2:14" ht="22" customHeight="1" x14ac:dyDescent="0.6">
      <c r="B32" s="736" t="s">
        <v>35</v>
      </c>
      <c r="C32" s="737"/>
      <c r="D32" s="737"/>
      <c r="E32" s="759"/>
      <c r="F32" s="742" t="s">
        <v>27</v>
      </c>
      <c r="G32" s="743"/>
      <c r="H32" s="782">
        <f>IF(H28=0,0,IF(AND(H8=0,H20=0,H28&gt;0),1,IFERROR((H28/H8),"Check Data ⚠")))</f>
        <v>-0.36553216289902685</v>
      </c>
      <c r="I32" s="783"/>
      <c r="J32" s="777"/>
      <c r="K32" s="778"/>
      <c r="L32" s="23"/>
      <c r="M32" s="23"/>
      <c r="N32" s="23"/>
    </row>
    <row r="33" spans="1:33" ht="22" customHeight="1" x14ac:dyDescent="0.6">
      <c r="A33" s="27"/>
      <c r="B33" s="738"/>
      <c r="C33" s="739"/>
      <c r="D33" s="739"/>
      <c r="E33" s="760"/>
      <c r="F33" s="749" t="s">
        <v>28</v>
      </c>
      <c r="G33" s="750"/>
      <c r="H33" s="784">
        <f>IF(H29=0,0,IF(AND(H9=0,H21=0,H29&gt;0),1,IFERROR((H29/H9),"Check Data ⚠")))</f>
        <v>1</v>
      </c>
      <c r="I33" s="785"/>
      <c r="J33" s="777"/>
      <c r="K33" s="778"/>
      <c r="L33" s="23"/>
      <c r="M33" s="23"/>
      <c r="N33" s="23"/>
    </row>
    <row r="34" spans="1:33" ht="22" customHeight="1" thickBot="1" x14ac:dyDescent="0.65">
      <c r="A34" s="27"/>
      <c r="B34" s="740"/>
      <c r="C34" s="741"/>
      <c r="D34" s="741"/>
      <c r="E34" s="761"/>
      <c r="F34" s="753" t="s">
        <v>29</v>
      </c>
      <c r="G34" s="786"/>
      <c r="H34" s="787">
        <f>IF(H30=0,0,IF(AND(H10=0,H22=0,H30&gt;0),1,IFERROR((H30/H10),"Check Data ⚠")))</f>
        <v>0</v>
      </c>
      <c r="I34" s="788"/>
      <c r="J34" s="779"/>
      <c r="K34" s="780"/>
      <c r="L34" s="23"/>
      <c r="M34" s="23"/>
      <c r="N34" s="23"/>
    </row>
    <row r="35" spans="1:33" ht="25" customHeight="1" thickBot="1" x14ac:dyDescent="0.65">
      <c r="B35" s="781"/>
      <c r="C35" s="781"/>
      <c r="D35" s="781"/>
      <c r="F35" s="28"/>
      <c r="G35" s="28"/>
      <c r="H35" s="28"/>
      <c r="I35" s="28"/>
      <c r="J35" s="28"/>
      <c r="K35" s="28"/>
      <c r="L35" s="28"/>
      <c r="M35" s="28"/>
    </row>
    <row r="36" spans="1:33" s="29" customFormat="1" ht="38.25" customHeight="1" thickBot="1" x14ac:dyDescent="0.35">
      <c r="B36" s="771" t="s">
        <v>36</v>
      </c>
      <c r="C36" s="772"/>
      <c r="D36" s="772"/>
      <c r="E36" s="773"/>
      <c r="F36" s="774" t="str">
        <f>IF(OR('Trading Summary'!G5="No ▲",'Trading Summary'!G6="No ▲",'Trading Summary'!G7="No ▲",'Trading Summary'!G8="No ▲"),"No - Check Trading Summary ▲","Yes ✓")</f>
        <v>No - Check Trading Summary ▲</v>
      </c>
      <c r="G36" s="775"/>
      <c r="H36" s="775"/>
      <c r="I36" s="776"/>
      <c r="J36" s="30"/>
      <c r="K36" s="30"/>
      <c r="L36" s="30"/>
      <c r="M36" s="30"/>
      <c r="N36" s="22"/>
      <c r="O36" s="22"/>
      <c r="P36" s="22"/>
      <c r="Q36" s="22"/>
      <c r="X36" s="22"/>
      <c r="Y36" s="22"/>
      <c r="Z36" s="22"/>
      <c r="AA36" s="22"/>
      <c r="AB36" s="22"/>
      <c r="AC36" s="22"/>
      <c r="AD36" s="22"/>
      <c r="AE36" s="22"/>
      <c r="AF36" s="22"/>
      <c r="AG36" s="22"/>
    </row>
    <row r="37" spans="1:33" ht="15.5" x14ac:dyDescent="0.3">
      <c r="B37" s="30"/>
      <c r="C37" s="30"/>
      <c r="D37" s="30"/>
      <c r="E37" s="30"/>
      <c r="F37" s="30"/>
      <c r="G37" s="30"/>
      <c r="H37" s="30"/>
      <c r="I37" s="30"/>
      <c r="J37" s="30"/>
      <c r="K37" s="30"/>
      <c r="L37" s="30"/>
      <c r="M37" s="30"/>
      <c r="X37" s="29"/>
      <c r="Y37" s="29"/>
      <c r="Z37" s="29"/>
      <c r="AA37" s="29"/>
      <c r="AB37" s="29"/>
    </row>
    <row r="38" spans="1:33" ht="15.5" x14ac:dyDescent="0.3">
      <c r="B38" s="30"/>
      <c r="C38" s="30"/>
      <c r="D38" s="30"/>
      <c r="E38" s="30"/>
      <c r="F38" s="30"/>
      <c r="G38" s="30"/>
      <c r="H38" s="30"/>
      <c r="I38" s="30"/>
      <c r="J38" s="30"/>
      <c r="K38" s="30"/>
      <c r="L38" s="30"/>
      <c r="M38" s="30"/>
      <c r="X38" s="29"/>
      <c r="Y38" s="29"/>
      <c r="Z38" s="29"/>
      <c r="AA38" s="29"/>
      <c r="AB38" s="29"/>
    </row>
    <row r="39" spans="1:33" ht="15.5" hidden="1" x14ac:dyDescent="0.3">
      <c r="B39" s="30"/>
      <c r="C39" s="30"/>
      <c r="D39" s="30"/>
      <c r="E39" s="30"/>
      <c r="F39" s="30"/>
      <c r="G39" s="30"/>
      <c r="H39" s="30"/>
      <c r="I39" s="30"/>
      <c r="J39" s="30"/>
      <c r="K39" s="30"/>
      <c r="L39" s="30"/>
      <c r="M39" s="30"/>
      <c r="X39" s="29"/>
      <c r="Y39" s="29"/>
      <c r="Z39" s="29"/>
      <c r="AA39" s="29"/>
      <c r="AB39" s="29"/>
    </row>
    <row r="40" spans="1:33" ht="15.75" hidden="1" customHeight="1" x14ac:dyDescent="0.3"/>
    <row r="46" spans="1:33" ht="15.75" hidden="1" customHeight="1" x14ac:dyDescent="0.3"/>
    <row r="47" spans="1:33" ht="15.75" hidden="1" customHeight="1" x14ac:dyDescent="0.3"/>
    <row r="48" spans="1:33" ht="15.75" hidden="1" customHeight="1" x14ac:dyDescent="0.3"/>
    <row r="49" ht="15.75" hidden="1" customHeight="1" x14ac:dyDescent="0.3"/>
    <row r="50" ht="15.75" hidden="1" customHeight="1" x14ac:dyDescent="0.3"/>
    <row r="51" ht="15.75" hidden="1" customHeight="1" x14ac:dyDescent="0.3"/>
    <row r="52" ht="15.75" hidden="1" customHeight="1" x14ac:dyDescent="0.3"/>
    <row r="53" ht="15.75" hidden="1" customHeight="1" x14ac:dyDescent="0.3"/>
    <row r="54" ht="15.75" hidden="1" customHeight="1" x14ac:dyDescent="0.3"/>
    <row r="55" ht="15.75" hidden="1" customHeight="1" x14ac:dyDescent="0.3"/>
    <row r="56" ht="15.75" hidden="1" customHeight="1" x14ac:dyDescent="0.3"/>
    <row r="57" ht="15.75" hidden="1" customHeight="1" x14ac:dyDescent="0.3"/>
    <row r="58" ht="15.75" hidden="1" customHeight="1" x14ac:dyDescent="0.3"/>
    <row r="59" ht="15.75" hidden="1" customHeight="1" x14ac:dyDescent="0.3"/>
    <row r="60" ht="15.75" hidden="1" customHeight="1" x14ac:dyDescent="0.3"/>
    <row r="61" ht="15.75" hidden="1" customHeight="1" x14ac:dyDescent="0.3"/>
    <row r="62" ht="15.75" hidden="1" customHeight="1" x14ac:dyDescent="0.3"/>
    <row r="63" ht="15.75" hidden="1" customHeight="1" x14ac:dyDescent="0.3"/>
    <row r="90" ht="21.65" hidden="1" customHeight="1" x14ac:dyDescent="0.3"/>
    <row r="103" ht="64.900000000000006" hidden="1" customHeight="1" x14ac:dyDescent="0.3"/>
    <row r="106" ht="29.5" hidden="1" customHeight="1" x14ac:dyDescent="0.3"/>
    <row r="109" x14ac:dyDescent="0.3"/>
  </sheetData>
  <sheetProtection algorithmName="SHA-512" hashValue="drXQeXeTieQq3KvcFwj/cxLIN2H5Q6qsF5ZKEqe2bGeexloOmzzQGfoU1dPsgoavfKuDdvZIbMRP+CkX8YKQaQ==" saltValue="zxTLo31H9YhZEGTrp4NnzA==" spinCount="100000" sheet="1" objects="1" scenarios="1"/>
  <customSheetViews>
    <customSheetView guid="{8BDA793C-C9C5-4FC6-A0A5-F1109F6D4F22}" state="hidden" topLeftCell="A23">
      <selection activeCell="D14" sqref="D14"/>
    </customSheetView>
  </customSheetViews>
  <mergeCells count="62">
    <mergeCell ref="F16:G16"/>
    <mergeCell ref="H16:I16"/>
    <mergeCell ref="F17:G17"/>
    <mergeCell ref="H17:I17"/>
    <mergeCell ref="F18:G18"/>
    <mergeCell ref="H18:I18"/>
    <mergeCell ref="B36:E36"/>
    <mergeCell ref="F36:I36"/>
    <mergeCell ref="J28:K28"/>
    <mergeCell ref="J29:K29"/>
    <mergeCell ref="J30:K30"/>
    <mergeCell ref="J32:K32"/>
    <mergeCell ref="J33:K33"/>
    <mergeCell ref="J34:K34"/>
    <mergeCell ref="B35:D35"/>
    <mergeCell ref="B32:E34"/>
    <mergeCell ref="F32:G32"/>
    <mergeCell ref="H32:I32"/>
    <mergeCell ref="F33:G33"/>
    <mergeCell ref="H33:I33"/>
    <mergeCell ref="F34:G34"/>
    <mergeCell ref="H34:I34"/>
    <mergeCell ref="B28:E30"/>
    <mergeCell ref="F28:G28"/>
    <mergeCell ref="H28:I28"/>
    <mergeCell ref="F29:G29"/>
    <mergeCell ref="H29:I29"/>
    <mergeCell ref="F30:G30"/>
    <mergeCell ref="H30:I30"/>
    <mergeCell ref="B24:E26"/>
    <mergeCell ref="F24:G24"/>
    <mergeCell ref="H24:I24"/>
    <mergeCell ref="F25:G25"/>
    <mergeCell ref="H25:I25"/>
    <mergeCell ref="F26:G26"/>
    <mergeCell ref="H26:I26"/>
    <mergeCell ref="H22:I22"/>
    <mergeCell ref="B12:E14"/>
    <mergeCell ref="F12:G12"/>
    <mergeCell ref="H12:I12"/>
    <mergeCell ref="U12:V13"/>
    <mergeCell ref="F13:G13"/>
    <mergeCell ref="H13:I13"/>
    <mergeCell ref="F14:G14"/>
    <mergeCell ref="H14:I14"/>
    <mergeCell ref="B20:E22"/>
    <mergeCell ref="F20:G20"/>
    <mergeCell ref="H20:I20"/>
    <mergeCell ref="F21:G21"/>
    <mergeCell ref="H21:I21"/>
    <mergeCell ref="F22:G22"/>
    <mergeCell ref="B16:E18"/>
    <mergeCell ref="H8:I8"/>
    <mergeCell ref="F9:G9"/>
    <mergeCell ref="H9:I9"/>
    <mergeCell ref="F10:G10"/>
    <mergeCell ref="H10:I10"/>
    <mergeCell ref="B3:D4"/>
    <mergeCell ref="B6:C6"/>
    <mergeCell ref="B8:E10"/>
    <mergeCell ref="F8:G8"/>
    <mergeCell ref="B2:D2"/>
  </mergeCells>
  <conditionalFormatting sqref="K38:L39">
    <cfRule type="cellIs" dxfId="393" priority="50" operator="lessThan">
      <formula>0</formula>
    </cfRule>
    <cfRule type="cellIs" dxfId="392" priority="51" operator="greaterThan">
      <formula>0</formula>
    </cfRule>
  </conditionalFormatting>
  <conditionalFormatting sqref="L20:L21">
    <cfRule type="cellIs" dxfId="391" priority="45" operator="equal">
      <formula>"Error"</formula>
    </cfRule>
  </conditionalFormatting>
  <conditionalFormatting sqref="H28:I28">
    <cfRule type="cellIs" dxfId="390" priority="43" operator="equal">
      <formula>"Error"</formula>
    </cfRule>
  </conditionalFormatting>
  <conditionalFormatting sqref="H32:I32">
    <cfRule type="expression" dxfId="389" priority="24">
      <formula>AND(OR($H$8&gt;0,$H$20&gt;0),$H$32&lt;0.1)</formula>
    </cfRule>
    <cfRule type="expression" dxfId="388" priority="29">
      <formula>AND(OR($H$8&gt;0,$H$20&gt;0),$H$32&gt;=0.1)</formula>
    </cfRule>
  </conditionalFormatting>
  <conditionalFormatting sqref="L25:L26">
    <cfRule type="cellIs" dxfId="387" priority="41" operator="greaterThan">
      <formula>0</formula>
    </cfRule>
  </conditionalFormatting>
  <conditionalFormatting sqref="L8:L9">
    <cfRule type="cellIs" dxfId="386" priority="40" operator="equal">
      <formula>"Error"</formula>
    </cfRule>
  </conditionalFormatting>
  <conditionalFormatting sqref="L11">
    <cfRule type="cellIs" dxfId="385" priority="39" operator="equal">
      <formula>"Error"</formula>
    </cfRule>
  </conditionalFormatting>
  <conditionalFormatting sqref="L13:L18">
    <cfRule type="cellIs" dxfId="384" priority="37" operator="equal">
      <formula>"Error"</formula>
    </cfRule>
  </conditionalFormatting>
  <conditionalFormatting sqref="H33:I34">
    <cfRule type="cellIs" dxfId="383" priority="31" operator="equal">
      <formula>"Error"</formula>
    </cfRule>
  </conditionalFormatting>
  <conditionalFormatting sqref="H33:I34">
    <cfRule type="cellIs" dxfId="382" priority="30" operator="equal">
      <formula>"Error"</formula>
    </cfRule>
  </conditionalFormatting>
  <conditionalFormatting sqref="H33:I33">
    <cfRule type="expression" dxfId="381" priority="25">
      <formula>AND(OR($H$9&gt;0,$H$21&gt;0),$H$33&lt;0.1)</formula>
    </cfRule>
    <cfRule type="expression" dxfId="380" priority="28">
      <formula>$H$33&gt;=0.1</formula>
    </cfRule>
  </conditionalFormatting>
  <conditionalFormatting sqref="H34:I34">
    <cfRule type="expression" dxfId="379" priority="26">
      <formula>AND(OR($H$10&gt;0,$H$22&gt;0),$H$34&lt;0.1)</formula>
    </cfRule>
    <cfRule type="expression" dxfId="378" priority="27">
      <formula>$H$34&gt;=0.1</formula>
    </cfRule>
  </conditionalFormatting>
  <conditionalFormatting sqref="H8:I15 H19:I34">
    <cfRule type="containsText" dxfId="377" priority="18" operator="containsText" text="Check">
      <formula>NOT(ISERROR(SEARCH("Check",H8)))</formula>
    </cfRule>
    <cfRule type="containsText" dxfId="376" priority="42" operator="containsText" text="Error">
      <formula>NOT(ISERROR(SEARCH("Error",H8)))</formula>
    </cfRule>
  </conditionalFormatting>
  <conditionalFormatting sqref="F36:I36">
    <cfRule type="containsText" dxfId="375" priority="16" operator="containsText" text="No">
      <formula>NOT(ISERROR(SEARCH("No",F36)))</formula>
    </cfRule>
    <cfRule type="containsText" dxfId="374" priority="17" operator="containsText" text="Yes">
      <formula>NOT(ISERROR(SEARCH("Yes",F36)))</formula>
    </cfRule>
  </conditionalFormatting>
  <conditionalFormatting sqref="H17:I18">
    <cfRule type="cellIs" dxfId="373" priority="14" operator="equal">
      <formula>"Error"</formula>
    </cfRule>
  </conditionalFormatting>
  <conditionalFormatting sqref="H17:I18">
    <cfRule type="cellIs" dxfId="372" priority="13" operator="equal">
      <formula>"Error"</formula>
    </cfRule>
  </conditionalFormatting>
  <conditionalFormatting sqref="H16:I18">
    <cfRule type="containsText" dxfId="371" priority="6" operator="containsText" text="Check">
      <formula>NOT(ISERROR(SEARCH("Check",H16)))</formula>
    </cfRule>
    <cfRule type="containsText" dxfId="370" priority="15" operator="containsText" text="Error">
      <formula>NOT(ISERROR(SEARCH("Error",H16)))</formula>
    </cfRule>
  </conditionalFormatting>
  <conditionalFormatting sqref="H16:I16">
    <cfRule type="expression" dxfId="369" priority="7">
      <formula>AND($H$8&gt;0,$H$16&lt;0.1)</formula>
    </cfRule>
    <cfRule type="expression" dxfId="368" priority="12">
      <formula>AND($H$8&gt;0,$H$16&gt;=0.1)</formula>
    </cfRule>
  </conditionalFormatting>
  <conditionalFormatting sqref="H17:I17">
    <cfRule type="expression" dxfId="367" priority="2">
      <formula>$H$17&gt;=0.1</formula>
    </cfRule>
    <cfRule type="expression" dxfId="366" priority="4">
      <formula>AND($H$9&gt;0,$H$17&lt;0.1)</formula>
    </cfRule>
  </conditionalFormatting>
  <conditionalFormatting sqref="H18:I18">
    <cfRule type="expression" dxfId="365" priority="1">
      <formula>$H$18&gt;=0.1</formula>
    </cfRule>
    <cfRule type="expression" dxfId="364" priority="3">
      <formula>AND($H$10&gt;0,$H$18&lt;0.1)</formula>
    </cfRule>
  </conditionalFormatting>
  <pageMargins left="0.7" right="0.7" top="0.75" bottom="0.75" header="0.3" footer="0.3"/>
  <pageSetup paperSize="9" orientation="landscape" r:id="rId1"/>
  <drawing r:id="rId2"/>
  <extLst>
    <ext xmlns:x14="http://schemas.microsoft.com/office/spreadsheetml/2009/9/main" uri="{78C0D931-6437-407d-A8EE-F0AAD7539E65}">
      <x14:conditionalFormattings>
        <x14:conditionalFormatting xmlns:xm="http://schemas.microsoft.com/office/excel/2006/main">
          <x14:cfRule type="cellIs" priority="32" operator="equal" id="{6EEE2BFC-026C-4DBA-865F-850D56F4BDD9}">
            <xm:f>'G-1 All Habitats'!$X$6</xm:f>
            <x14:dxf>
              <fill>
                <patternFill>
                  <bgColor theme="7" tint="0.79998168889431442"/>
                </patternFill>
              </fill>
            </x14:dxf>
          </x14:cfRule>
          <x14:cfRule type="cellIs" priority="33" operator="equal" id="{B56D98BB-0AE5-4874-9D4E-3C4485D04071}">
            <xm:f>'G-1 All Habitats'!$X$7</xm:f>
            <x14:dxf>
              <fill>
                <patternFill>
                  <bgColor theme="4" tint="0.59996337778862885"/>
                </patternFill>
              </fill>
            </x14:dxf>
          </x14:cfRule>
          <x14:cfRule type="cellIs" priority="34" operator="equal" id="{E7D480FC-A0C4-44B1-A2E7-E2F87CB95EC5}">
            <xm:f>'G-1 All Habitats'!$X$5</xm:f>
            <x14:dxf>
              <fill>
                <patternFill>
                  <bgColor theme="7" tint="0.39994506668294322"/>
                </patternFill>
              </fill>
            </x14:dxf>
          </x14:cfRule>
          <x14:cfRule type="cellIs" priority="35" operator="equal" id="{90383316-2A46-4A3A-98B3-02D63A8114CA}">
            <xm:f>'G-1 All Habitats'!$X$4</xm:f>
            <x14:dxf>
              <fill>
                <patternFill>
                  <bgColor theme="5"/>
                </patternFill>
              </fill>
            </x14:dxf>
          </x14:cfRule>
          <x14:cfRule type="cellIs" priority="36" operator="equal" id="{0F6CE493-8FC3-4B19-8BC0-600EB317F0F4}">
            <xm:f>'G-1 All Habitats'!$X$3</xm:f>
            <x14:dxf>
              <fill>
                <patternFill>
                  <bgColor rgb="FFFF0000"/>
                </patternFill>
              </fill>
            </x14:dxf>
          </x14:cfRule>
          <xm:sqref>K25:K27 K31</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tabColor rgb="FFF4D4D4"/>
  </sheetPr>
  <dimension ref="A1:AG214"/>
  <sheetViews>
    <sheetView topLeftCell="A32" zoomScale="70" zoomScaleNormal="70" workbookViewId="0">
      <selection activeCell="H44" sqref="H44"/>
    </sheetView>
  </sheetViews>
  <sheetFormatPr defaultColWidth="8.81640625" defaultRowHeight="14" x14ac:dyDescent="0.3"/>
  <cols>
    <col min="1" max="1" width="4.26953125" style="31" customWidth="1"/>
    <col min="2" max="2" width="72.81640625" style="31" customWidth="1"/>
    <col min="3" max="3" width="13.81640625" style="31" customWidth="1"/>
    <col min="4" max="4" width="18.26953125" style="31" customWidth="1"/>
    <col min="5" max="5" width="16" style="31" customWidth="1"/>
    <col min="6" max="6" width="14.54296875" style="31" customWidth="1"/>
    <col min="7" max="7" width="12.453125" style="31" customWidth="1"/>
    <col min="8" max="8" width="15.54296875" style="31" customWidth="1"/>
    <col min="9" max="9" width="16.1796875" style="31" customWidth="1"/>
    <col min="10" max="10" width="20.26953125" style="31" customWidth="1"/>
    <col min="11" max="11" width="23.26953125" style="31" customWidth="1"/>
    <col min="12" max="12" width="28.26953125" style="31" customWidth="1"/>
    <col min="13" max="13" width="15" style="31" customWidth="1"/>
    <col min="14" max="14" width="16.26953125" style="31" customWidth="1"/>
    <col min="15" max="15" width="11.1796875" style="31" customWidth="1"/>
    <col min="16" max="16" width="16.26953125" style="31" customWidth="1"/>
    <col min="17" max="17" width="14" style="31" customWidth="1"/>
    <col min="18" max="18" width="12.26953125" style="31" customWidth="1"/>
    <col min="19" max="19" width="13.453125" style="31" customWidth="1"/>
    <col min="20" max="20" width="10.54296875" style="31" customWidth="1"/>
    <col min="21" max="30" width="8.81640625" style="31"/>
    <col min="31" max="31" width="12.1796875" style="31" customWidth="1"/>
    <col min="32" max="16384" width="8.81640625" style="31"/>
  </cols>
  <sheetData>
    <row r="1" spans="2:19" ht="15.75" customHeight="1" thickBot="1" x14ac:dyDescent="0.35"/>
    <row r="2" spans="2:19" ht="22.15" customHeight="1" thickBot="1" x14ac:dyDescent="0.35">
      <c r="B2" s="833" t="str">
        <f>IF(Start!$F$12="","",Start!$F$12)</f>
        <v>NCP Car Park, Bath Road, West Drayton, Greater London</v>
      </c>
      <c r="C2" s="834"/>
      <c r="D2" s="835"/>
    </row>
    <row r="3" spans="2:19" ht="19.899999999999999" customHeight="1" x14ac:dyDescent="0.3">
      <c r="B3" s="729" t="str">
        <f ca="1">MID(CELL("filename",A1),FIND("]",CELL("filename",A1))+1,256)</f>
        <v>Detailed Results</v>
      </c>
      <c r="C3" s="730"/>
      <c r="D3" s="731"/>
    </row>
    <row r="4" spans="2:19" ht="21.65" customHeight="1" thickBot="1" x14ac:dyDescent="0.35">
      <c r="B4" s="732"/>
      <c r="C4" s="733"/>
      <c r="D4" s="734"/>
    </row>
    <row r="5" spans="2:19" ht="15.75" customHeight="1" x14ac:dyDescent="0.3"/>
    <row r="6" spans="2:19" ht="25.5" customHeight="1" thickBot="1" x14ac:dyDescent="0.35"/>
    <row r="7" spans="2:19" ht="18.75" customHeight="1" x14ac:dyDescent="0.3">
      <c r="B7" s="840" t="s">
        <v>37</v>
      </c>
      <c r="C7" s="841"/>
    </row>
    <row r="8" spans="2:19" ht="20.25" customHeight="1" thickBot="1" x14ac:dyDescent="0.35">
      <c r="B8" s="842"/>
      <c r="C8" s="843"/>
    </row>
    <row r="9" spans="2:19" ht="15.75" customHeight="1" thickBot="1" x14ac:dyDescent="0.65">
      <c r="B9" s="32"/>
      <c r="C9" s="32"/>
      <c r="O9" s="33"/>
      <c r="Q9" s="33"/>
      <c r="R9" s="33"/>
    </row>
    <row r="10" spans="2:19" ht="18" customHeight="1" x14ac:dyDescent="0.4">
      <c r="B10" s="736" t="s">
        <v>38</v>
      </c>
      <c r="C10" s="737"/>
      <c r="D10" s="737"/>
      <c r="E10" s="759"/>
      <c r="F10" s="846" t="s">
        <v>27</v>
      </c>
      <c r="G10" s="847"/>
      <c r="H10" s="844">
        <f>IFERROR('Headline Results'!$H$28:$I$28,"Check Data ⚠")</f>
        <v>-1.5240489227140115</v>
      </c>
      <c r="I10" s="845"/>
      <c r="J10" s="34"/>
      <c r="O10" s="33"/>
      <c r="P10" s="33"/>
      <c r="Q10" s="33"/>
      <c r="R10" s="33"/>
      <c r="S10" s="33"/>
    </row>
    <row r="11" spans="2:19" ht="15.75" customHeight="1" x14ac:dyDescent="0.4">
      <c r="B11" s="738"/>
      <c r="C11" s="739"/>
      <c r="D11" s="739"/>
      <c r="E11" s="760"/>
      <c r="F11" s="850" t="s">
        <v>28</v>
      </c>
      <c r="G11" s="857"/>
      <c r="H11" s="855">
        <f>IFERROR('Headline Results'!$H$29:$I$29,"Check Data ⚠")</f>
        <v>0.82343944139040004</v>
      </c>
      <c r="I11" s="856"/>
    </row>
    <row r="12" spans="2:19" ht="18.649999999999999" customHeight="1" thickBot="1" x14ac:dyDescent="0.45">
      <c r="B12" s="740"/>
      <c r="C12" s="741"/>
      <c r="D12" s="741"/>
      <c r="E12" s="761"/>
      <c r="F12" s="836" t="s">
        <v>29</v>
      </c>
      <c r="G12" s="837"/>
      <c r="H12" s="838">
        <f>IFERROR('Headline Results'!$H$30:$I$30,"Check Data ⚠")</f>
        <v>0</v>
      </c>
      <c r="I12" s="839"/>
    </row>
    <row r="13" spans="2:19" ht="15.75" customHeight="1" thickBot="1" x14ac:dyDescent="0.35"/>
    <row r="14" spans="2:19" ht="18.75" customHeight="1" x14ac:dyDescent="0.3">
      <c r="B14" s="736" t="s">
        <v>39</v>
      </c>
      <c r="C14" s="737"/>
      <c r="D14" s="737"/>
      <c r="E14" s="759"/>
      <c r="F14" s="846" t="s">
        <v>27</v>
      </c>
      <c r="G14" s="854"/>
      <c r="H14" s="852">
        <f>IFERROR('Headline Results'!$H$32:$I$32,"Check Data ⚠")</f>
        <v>-0.36553216289902685</v>
      </c>
      <c r="I14" s="853"/>
    </row>
    <row r="15" spans="2:19" ht="18.75" customHeight="1" x14ac:dyDescent="0.3">
      <c r="B15" s="738"/>
      <c r="C15" s="739"/>
      <c r="D15" s="739"/>
      <c r="E15" s="760"/>
      <c r="F15" s="850" t="s">
        <v>28</v>
      </c>
      <c r="G15" s="851"/>
      <c r="H15" s="848">
        <f>IFERROR('Headline Results'!$H$33:$I$33,"Check Data ⚠")</f>
        <v>1</v>
      </c>
      <c r="I15" s="849"/>
    </row>
    <row r="16" spans="2:19" ht="18.75" customHeight="1" thickBot="1" x14ac:dyDescent="0.35">
      <c r="B16" s="740"/>
      <c r="C16" s="741"/>
      <c r="D16" s="741"/>
      <c r="E16" s="761"/>
      <c r="F16" s="836" t="s">
        <v>29</v>
      </c>
      <c r="G16" s="860"/>
      <c r="H16" s="858">
        <f>IFERROR('Headline Results'!$H$34:$I$34,"Check Data ⚠")</f>
        <v>0</v>
      </c>
      <c r="I16" s="859"/>
    </row>
    <row r="17" spans="2:9" ht="18.75" customHeight="1" thickBot="1" x14ac:dyDescent="0.35"/>
    <row r="18" spans="2:9" ht="25.5" customHeight="1" x14ac:dyDescent="0.3">
      <c r="B18" s="861" t="s">
        <v>40</v>
      </c>
      <c r="C18" s="861"/>
      <c r="D18" s="861"/>
      <c r="E18" s="861"/>
      <c r="F18" s="861"/>
      <c r="G18" s="861"/>
      <c r="H18" s="861"/>
      <c r="I18" s="861"/>
    </row>
    <row r="19" spans="2:9" ht="22.5" customHeight="1" thickBot="1" x14ac:dyDescent="0.35">
      <c r="B19" s="862"/>
      <c r="C19" s="862"/>
      <c r="D19" s="862"/>
      <c r="E19" s="862"/>
      <c r="F19" s="862"/>
      <c r="G19" s="862"/>
      <c r="H19" s="862"/>
      <c r="I19" s="862"/>
    </row>
    <row r="20" spans="2:9" ht="18.75" customHeight="1" thickBot="1" x14ac:dyDescent="0.65">
      <c r="B20" s="829"/>
      <c r="C20" s="829"/>
      <c r="D20" s="832" t="s">
        <v>41</v>
      </c>
      <c r="E20" s="832"/>
      <c r="F20" s="832" t="s">
        <v>42</v>
      </c>
      <c r="G20" s="832"/>
      <c r="H20" s="832" t="s">
        <v>43</v>
      </c>
      <c r="I20" s="832"/>
    </row>
    <row r="21" spans="2:9" ht="18.75" customHeight="1" x14ac:dyDescent="0.3">
      <c r="B21" s="790" t="s">
        <v>44</v>
      </c>
      <c r="C21" s="791"/>
      <c r="D21" s="830">
        <f>IF(AND($K$40=0,'A-1 Site Habitat Baseline'!Y11:Y258&lt;&gt;"No",'D-1 Off Site Habitat Baseline'!Y11:Y258&lt;&gt;"No"),'A-1 Site Habitat Baseline'!$H259+'D-1 Off Site Habitat Baseline'!H259,"Error ▲")</f>
        <v>1.6578360000000001</v>
      </c>
      <c r="E21" s="830"/>
      <c r="F21" s="822">
        <f>'B-1 Site Hedge Baseline'!$E$258+'E-1 Off Site Hedge Baseline'!$E$258</f>
        <v>0</v>
      </c>
      <c r="G21" s="822"/>
      <c r="H21" s="822">
        <f>'C-1 Site River Baseline'!$E$258+'F-1 Off Site River Baseline'!$E$258</f>
        <v>0</v>
      </c>
      <c r="I21" s="823"/>
    </row>
    <row r="22" spans="2:9" ht="18.75" customHeight="1" thickBot="1" x14ac:dyDescent="0.35">
      <c r="B22" s="792" t="s">
        <v>45</v>
      </c>
      <c r="C22" s="793"/>
      <c r="D22" s="831">
        <f>IF(AND($K$40=0,'A-1 Site Habitat Baseline'!Y11:Y258&lt;&gt;"No",'D-1 Off Site Habitat Baseline'!Y11:Y258&lt;&gt;"No"),'A-1 Site Habitat Baseline'!$Q259+'D-1 Off Site Habitat Baseline'!Q259,"Error ▲")</f>
        <v>4.1693975999999999</v>
      </c>
      <c r="E22" s="831"/>
      <c r="F22" s="824">
        <f>'B-1 Site Hedge Baseline'!$N$258+'E-1 Off Site Hedge Baseline'!$N$258</f>
        <v>0</v>
      </c>
      <c r="G22" s="824"/>
      <c r="H22" s="824">
        <f>'C-1 Site River Baseline'!$R$258+'F-1 Off Site River Baseline'!$R$258</f>
        <v>0</v>
      </c>
      <c r="I22" s="825"/>
    </row>
    <row r="23" spans="2:9" ht="18.75" customHeight="1" thickBot="1" x14ac:dyDescent="0.35">
      <c r="D23" s="34"/>
      <c r="F23" s="34"/>
      <c r="H23" s="34"/>
    </row>
    <row r="24" spans="2:9" ht="18.75" customHeight="1" x14ac:dyDescent="0.3">
      <c r="B24" s="790" t="s">
        <v>46</v>
      </c>
      <c r="C24" s="791"/>
      <c r="D24" s="830">
        <f>IF(AND($K$40=0,'A-1 Site Habitat Baseline'!Y11:Y258&lt;&gt;"No",'D-1 Off Site Habitat Baseline'!Y11:Y258&lt;&gt;"No"),'A-1 Site Habitat Baseline'!$S259+'D-1 Off Site Habitat Baseline'!S259,"Error ▲")</f>
        <v>4.58E-2</v>
      </c>
      <c r="E24" s="830"/>
      <c r="F24" s="822">
        <f>'B-1 Site Hedge Baseline'!$P$258+'E-1 Off Site Hedge Baseline'!$P$258</f>
        <v>0</v>
      </c>
      <c r="G24" s="822"/>
      <c r="H24" s="822">
        <f>'C-1 Site River Baseline'!T258+'F-1 Off Site River Baseline'!T258</f>
        <v>0</v>
      </c>
      <c r="I24" s="823"/>
    </row>
    <row r="25" spans="2:9" ht="18.75" customHeight="1" thickBot="1" x14ac:dyDescent="0.35">
      <c r="B25" s="792" t="s">
        <v>47</v>
      </c>
      <c r="C25" s="793"/>
      <c r="D25" s="831">
        <f>IF(AND($K$40=0,'A-1 Site Habitat Baseline'!Y11:Y258&lt;&gt;"No",'D-1 Off Site Habitat Baseline'!Y11:Y258&lt;&gt;"No"),'A-1 Site Habitat Baseline'!$U259+'D-1 Off Site Habitat Baseline'!U259,"Error ▲")</f>
        <v>0.27876999999999996</v>
      </c>
      <c r="E25" s="831"/>
      <c r="F25" s="824">
        <f>'B-1 Site Hedge Baseline'!R258+'E-1 Off Site Hedge Baseline'!R258</f>
        <v>0</v>
      </c>
      <c r="G25" s="824"/>
      <c r="H25" s="824">
        <f>'C-1 Site River Baseline'!V258+'F-1 Off Site River Baseline'!V258</f>
        <v>0</v>
      </c>
      <c r="I25" s="825"/>
    </row>
    <row r="26" spans="2:9" ht="18.75" customHeight="1" thickBot="1" x14ac:dyDescent="0.35">
      <c r="D26" s="34"/>
      <c r="F26" s="34"/>
      <c r="H26" s="34"/>
    </row>
    <row r="27" spans="2:9" ht="18.75" customHeight="1" x14ac:dyDescent="0.3">
      <c r="B27" s="790" t="s">
        <v>48</v>
      </c>
      <c r="C27" s="791"/>
      <c r="D27" s="830">
        <f>IF(AND($K$40=0,'A-1 Site Habitat Baseline'!Y11:Y258&lt;&gt;"No",'D-1 Off Site Habitat Baseline'!Y11:Y258&lt;&gt;"No"),'A-1 Site Habitat Baseline'!$T259+'D-1 Off Site Habitat Baseline'!T259,"Error ▲")</f>
        <v>0</v>
      </c>
      <c r="E27" s="830"/>
      <c r="F27" s="822">
        <f>'B-1 Site Hedge Baseline'!$Q$258+'E-1 Off Site Hedge Baseline'!$Q$258</f>
        <v>0</v>
      </c>
      <c r="G27" s="822"/>
      <c r="H27" s="822">
        <f>'C-1 Site River Baseline'!U258+'F-1 Off Site River Baseline'!U258</f>
        <v>0</v>
      </c>
      <c r="I27" s="823"/>
    </row>
    <row r="28" spans="2:9" ht="18.75" customHeight="1" thickBot="1" x14ac:dyDescent="0.35">
      <c r="B28" s="792" t="s">
        <v>49</v>
      </c>
      <c r="C28" s="793"/>
      <c r="D28" s="831">
        <f>IF(AND($K$40=0,'A-1 Site Habitat Baseline'!Y11:Y258&lt;&gt;"No",'D-1 Off Site Habitat Baseline'!Y11:Y258&lt;&gt;"No"),'A-1 Site Habitat Baseline'!$V259+'D-1 Off Site Habitat Baseline'!V259,"Error ▲")</f>
        <v>0</v>
      </c>
      <c r="E28" s="831"/>
      <c r="F28" s="824">
        <f>'B-1 Site Hedge Baseline'!$S$258+'E-1 Off Site Hedge Baseline'!$S$258</f>
        <v>0</v>
      </c>
      <c r="G28" s="824"/>
      <c r="H28" s="824">
        <f>'C-1 Site River Baseline'!W258+'F-1 Off Site River Baseline'!W258</f>
        <v>0</v>
      </c>
      <c r="I28" s="825"/>
    </row>
    <row r="29" spans="2:9" ht="18.75" customHeight="1" thickBot="1" x14ac:dyDescent="0.35">
      <c r="D29" s="34"/>
      <c r="F29" s="34"/>
      <c r="H29" s="34"/>
    </row>
    <row r="30" spans="2:9" ht="18.75" customHeight="1" x14ac:dyDescent="0.3">
      <c r="B30" s="790" t="s">
        <v>50</v>
      </c>
      <c r="C30" s="791"/>
      <c r="D30" s="830">
        <f>IF(AND($K$40=0,'A-1 Site Habitat Baseline'!Y11:Y258&lt;&gt;"No",'D-1 Off Site Habitat Baseline'!Y11:Y258&lt;&gt;"No"),'A-1 Site Habitat Baseline'!$W259+'D-1 Off Site Habitat Baseline'!W259,"Error ▲")</f>
        <v>1.6120359999999998</v>
      </c>
      <c r="E30" s="830"/>
      <c r="F30" s="822">
        <f>'B-1 Site Hedge Baseline'!$T$258+'E-1 Off Site Hedge Baseline'!$T$258</f>
        <v>0</v>
      </c>
      <c r="G30" s="822"/>
      <c r="H30" s="822">
        <f>'C-1 Site River Baseline'!X258+'F-1 Off Site River Baseline'!X258</f>
        <v>0</v>
      </c>
      <c r="I30" s="823"/>
    </row>
    <row r="31" spans="2:9" ht="18.75" customHeight="1" thickBot="1" x14ac:dyDescent="0.35">
      <c r="B31" s="792" t="s">
        <v>51</v>
      </c>
      <c r="C31" s="793"/>
      <c r="D31" s="831">
        <f>IF(AND($K$40=0,'A-1 Site Habitat Baseline'!Y11:Y258&lt;&gt;"No",'D-1 Off Site Habitat Baseline'!Y11:Y258&lt;&gt;"No"),'A-1 Site Habitat Baseline'!$X259+'D-1 Off Site Habitat Baseline'!X259,"Error ▲")</f>
        <v>3.8906276000000002</v>
      </c>
      <c r="E31" s="831"/>
      <c r="F31" s="824">
        <f>'B-1 Site Hedge Baseline'!$U$258+'E-1 Off Site Hedge Baseline'!$U$258</f>
        <v>0</v>
      </c>
      <c r="G31" s="824"/>
      <c r="H31" s="824">
        <f>'C-1 Site River Baseline'!Y258+'F-1 Off Site River Baseline'!Y258</f>
        <v>0</v>
      </c>
      <c r="I31" s="825"/>
    </row>
    <row r="32" spans="2:9" ht="25.9" customHeight="1" thickBot="1" x14ac:dyDescent="0.35">
      <c r="C32" s="34"/>
      <c r="D32" s="34"/>
      <c r="E32" s="34"/>
    </row>
    <row r="33" spans="1:22" s="334" customFormat="1" ht="43.9" customHeight="1" thickTop="1" thickBot="1" x14ac:dyDescent="0.35">
      <c r="A33" s="794" t="s">
        <v>52</v>
      </c>
      <c r="C33" s="335"/>
      <c r="D33" s="335"/>
      <c r="E33" s="335"/>
    </row>
    <row r="34" spans="1:22" ht="25.5" thickBot="1" x14ac:dyDescent="0.55000000000000004">
      <c r="A34" s="795"/>
      <c r="B34" s="464" t="s">
        <v>53</v>
      </c>
    </row>
    <row r="35" spans="1:22" ht="18.75" customHeight="1" thickBot="1" x14ac:dyDescent="0.35">
      <c r="A35" s="795"/>
    </row>
    <row r="36" spans="1:22" ht="22.15" customHeight="1" thickBot="1" x14ac:dyDescent="0.45">
      <c r="A36" s="795"/>
      <c r="B36" s="806" t="s">
        <v>54</v>
      </c>
      <c r="C36" s="806"/>
      <c r="D36" s="806"/>
      <c r="E36" s="806"/>
      <c r="F36" s="806"/>
      <c r="G36" s="806"/>
      <c r="H36" s="806"/>
      <c r="J36" s="810" t="s">
        <v>55</v>
      </c>
      <c r="K36" s="811"/>
      <c r="L36" s="812"/>
    </row>
    <row r="37" spans="1:22" ht="34.15" customHeight="1" thickBot="1" x14ac:dyDescent="0.35">
      <c r="A37" s="795"/>
      <c r="B37" s="35"/>
      <c r="C37" s="789" t="s">
        <v>56</v>
      </c>
      <c r="D37" s="789"/>
      <c r="E37" s="789" t="s">
        <v>57</v>
      </c>
      <c r="F37" s="789"/>
      <c r="G37" s="789" t="s">
        <v>58</v>
      </c>
      <c r="H37" s="789"/>
      <c r="J37" s="813"/>
      <c r="K37" s="814"/>
      <c r="L37" s="815"/>
      <c r="U37" s="863"/>
      <c r="V37" s="863"/>
    </row>
    <row r="38" spans="1:22" ht="52.9" customHeight="1" thickBot="1" x14ac:dyDescent="0.35">
      <c r="A38" s="795"/>
      <c r="B38" s="324" t="s">
        <v>59</v>
      </c>
      <c r="C38" s="35" t="s">
        <v>60</v>
      </c>
      <c r="D38" s="35" t="s">
        <v>61</v>
      </c>
      <c r="E38" s="35" t="s">
        <v>62</v>
      </c>
      <c r="F38" s="35" t="s">
        <v>63</v>
      </c>
      <c r="G38" s="35" t="s">
        <v>64</v>
      </c>
      <c r="H38" s="35" t="s">
        <v>65</v>
      </c>
      <c r="J38" s="816" t="s">
        <v>66</v>
      </c>
      <c r="K38" s="818" t="s">
        <v>67</v>
      </c>
      <c r="L38" s="820" t="s">
        <v>68</v>
      </c>
      <c r="U38" s="863"/>
      <c r="V38" s="863"/>
    </row>
    <row r="39" spans="1:22" ht="15.5" x14ac:dyDescent="0.3">
      <c r="A39" s="795"/>
      <c r="B39" s="43" t="s">
        <v>69</v>
      </c>
      <c r="C39" s="465">
        <f>'G-2 Habitat groups'!$AK$4</f>
        <v>0</v>
      </c>
      <c r="D39" s="465">
        <f>'G-2 Habitat groups'!$AL$4</f>
        <v>0</v>
      </c>
      <c r="E39" s="465">
        <f>'G-2 Habitat groups'!$AM$4</f>
        <v>0</v>
      </c>
      <c r="F39" s="465">
        <f>'G-2 Habitat groups'!$AN$4</f>
        <v>0</v>
      </c>
      <c r="G39" s="465">
        <f>E39-C39</f>
        <v>0</v>
      </c>
      <c r="H39" s="465">
        <f>F39-D39</f>
        <v>0</v>
      </c>
      <c r="J39" s="817"/>
      <c r="K39" s="819"/>
      <c r="L39" s="821"/>
    </row>
    <row r="40" spans="1:22" ht="15.5" x14ac:dyDescent="0.3">
      <c r="A40" s="795"/>
      <c r="B40" s="37" t="s">
        <v>70</v>
      </c>
      <c r="C40" s="467">
        <f>'G-2 Habitat groups'!$AK$5</f>
        <v>0</v>
      </c>
      <c r="D40" s="467">
        <f>'G-2 Habitat groups'!$AL$5</f>
        <v>0</v>
      </c>
      <c r="E40" s="467">
        <f>'G-2 Habitat groups'!$AM$5</f>
        <v>1.95E-2</v>
      </c>
      <c r="F40" s="467">
        <f>'G-2 Habitat groups'!$AN$5</f>
        <v>0.18025265737907997</v>
      </c>
      <c r="G40" s="467">
        <f t="shared" ref="G40:G50" si="0">E40-C40</f>
        <v>1.95E-2</v>
      </c>
      <c r="H40" s="467">
        <f t="shared" ref="H40:H50" si="1">F40-D40</f>
        <v>0.18025265737907997</v>
      </c>
      <c r="J40" s="802" t="str">
        <f>'G-1 All Habitats'!$V$3</f>
        <v>V.High</v>
      </c>
      <c r="K40" s="804">
        <f>SUMIF('A-1 Site Habitat Baseline'!$I$11:$I$258,'Detailed Results'!J40,'A-1 Site Habitat Baseline'!$W$11:$W$258)+SUMIF('D-1 Off Site Habitat Baseline'!$I$11:$I$258,'Detailed Results'!J40,'D-1 Off Site Habitat Baseline'!$W$11:$W$258)</f>
        <v>0</v>
      </c>
      <c r="L40" s="808" t="str">
        <f>IF(K40=0,"",(K40/(SUM($K$40:$K$49)))*100)</f>
        <v/>
      </c>
    </row>
    <row r="41" spans="1:22" ht="15.5" x14ac:dyDescent="0.3">
      <c r="A41" s="795"/>
      <c r="B41" s="37" t="s">
        <v>71</v>
      </c>
      <c r="C41" s="467">
        <f>'G-2 Habitat groups'!$AK$6</f>
        <v>0</v>
      </c>
      <c r="D41" s="467">
        <f>'G-2 Habitat groups'!$AL$6</f>
        <v>0</v>
      </c>
      <c r="E41" s="467">
        <f>'G-2 Habitat groups'!$AM$6</f>
        <v>5.7500000000000002E-2</v>
      </c>
      <c r="F41" s="467">
        <f>'G-2 Habitat groups'!$AN$6</f>
        <v>0.24414500000000006</v>
      </c>
      <c r="G41" s="467">
        <f t="shared" si="0"/>
        <v>5.7500000000000002E-2</v>
      </c>
      <c r="H41" s="467">
        <f t="shared" si="1"/>
        <v>0.24414500000000006</v>
      </c>
      <c r="J41" s="803"/>
      <c r="K41" s="805"/>
      <c r="L41" s="809"/>
    </row>
    <row r="42" spans="1:22" ht="15.5" x14ac:dyDescent="0.3">
      <c r="A42" s="795"/>
      <c r="B42" s="37" t="s">
        <v>72</v>
      </c>
      <c r="C42" s="467">
        <f>'G-2 Habitat groups'!$AK$7</f>
        <v>0</v>
      </c>
      <c r="D42" s="467">
        <f>'G-2 Habitat groups'!$AL$7</f>
        <v>0</v>
      </c>
      <c r="E42" s="467">
        <f>'G-2 Habitat groups'!$AM$7</f>
        <v>0</v>
      </c>
      <c r="F42" s="467">
        <f>'G-2 Habitat groups'!$AN$7</f>
        <v>0</v>
      </c>
      <c r="G42" s="467">
        <f t="shared" si="0"/>
        <v>0</v>
      </c>
      <c r="H42" s="467">
        <f t="shared" si="1"/>
        <v>0</v>
      </c>
      <c r="J42" s="802" t="str">
        <f>'G-1 All Habitats'!$V$4</f>
        <v>High</v>
      </c>
      <c r="K42" s="804">
        <f>SUMIF('A-1 Site Habitat Baseline'!$I$11:$I$258,'Detailed Results'!J42,'A-1 Site Habitat Baseline'!$W$11:$W$258)+SUMIF('D-1 Off Site Habitat Baseline'!$I$11:$I$258,'Detailed Results'!J42,'D-1 Off Site Habitat Baseline'!$W$11:$W$258)</f>
        <v>0</v>
      </c>
      <c r="L42" s="808" t="str">
        <f>IF(K42=0,"",(K42/(SUM($K$40:$K$49)))*100)</f>
        <v/>
      </c>
    </row>
    <row r="43" spans="1:22" ht="15.5" x14ac:dyDescent="0.3">
      <c r="A43" s="795"/>
      <c r="B43" s="37" t="s">
        <v>73</v>
      </c>
      <c r="C43" s="467">
        <f>'G-2 Habitat groups'!$AK$8</f>
        <v>0</v>
      </c>
      <c r="D43" s="467">
        <f>'G-2 Habitat groups'!$AL$8</f>
        <v>0</v>
      </c>
      <c r="E43" s="467">
        <f>'G-2 Habitat groups'!$AM$8</f>
        <v>0</v>
      </c>
      <c r="F43" s="467">
        <f>'G-2 Habitat groups'!$AN$8</f>
        <v>0</v>
      </c>
      <c r="G43" s="467">
        <f t="shared" si="0"/>
        <v>0</v>
      </c>
      <c r="H43" s="467">
        <f t="shared" si="1"/>
        <v>0</v>
      </c>
      <c r="J43" s="803"/>
      <c r="K43" s="805"/>
      <c r="L43" s="809"/>
    </row>
    <row r="44" spans="1:22" ht="15.5" x14ac:dyDescent="0.3">
      <c r="A44" s="795"/>
      <c r="B44" s="37" t="s">
        <v>74</v>
      </c>
      <c r="C44" s="467">
        <f>'G-2 Habitat groups'!$AK$9</f>
        <v>1.547992</v>
      </c>
      <c r="D44" s="467">
        <f>'G-2 Habitat groups'!$AL$9</f>
        <v>3.4114740000000001</v>
      </c>
      <c r="E44" s="467">
        <f>'G-2 Habitat groups'!$AM$9</f>
        <v>1.7192000000000001</v>
      </c>
      <c r="F44" s="467">
        <f>'G-2 Habitat groups'!$AN$9</f>
        <v>1.1458074283902397</v>
      </c>
      <c r="G44" s="467">
        <f t="shared" si="0"/>
        <v>0.17120800000000003</v>
      </c>
      <c r="H44" s="467">
        <f t="shared" si="1"/>
        <v>-2.2656665716097604</v>
      </c>
      <c r="J44" s="802" t="str">
        <f>'G-1 All Habitats'!$V5</f>
        <v>Medium</v>
      </c>
      <c r="K44" s="804">
        <f>SUMIF('A-1 Site Habitat Baseline'!$I$11:$I$258,'Detailed Results'!J44,'A-1 Site Habitat Baseline'!$W$11:$W$258)+SUMIF('D-1 Off Site Habitat Baseline'!$I$11:$I$258,'Detailed Results'!J44,'D-1 Off Site Habitat Baseline'!$W$11:$W$258)</f>
        <v>7.8944E-2</v>
      </c>
      <c r="L44" s="808">
        <f>IF(K44=0,"",(K44/(SUM($K$40:$K$49)))*100)</f>
        <v>4.8971611055832494</v>
      </c>
    </row>
    <row r="45" spans="1:22" ht="15.5" x14ac:dyDescent="0.3">
      <c r="A45" s="795"/>
      <c r="B45" s="37" t="s">
        <v>75</v>
      </c>
      <c r="C45" s="467">
        <f>'G-2 Habitat groups'!$AK$10</f>
        <v>0</v>
      </c>
      <c r="D45" s="467">
        <f>'G-2 Habitat groups'!$AL$10</f>
        <v>0</v>
      </c>
      <c r="E45" s="467">
        <f>'G-2 Habitat groups'!$AM$10</f>
        <v>0</v>
      </c>
      <c r="F45" s="467">
        <f>'G-2 Habitat groups'!$AN$10</f>
        <v>0</v>
      </c>
      <c r="G45" s="467">
        <f t="shared" si="0"/>
        <v>0</v>
      </c>
      <c r="H45" s="467">
        <f t="shared" si="1"/>
        <v>0</v>
      </c>
      <c r="J45" s="803"/>
      <c r="K45" s="805"/>
      <c r="L45" s="809"/>
    </row>
    <row r="46" spans="1:22" ht="15.5" x14ac:dyDescent="0.3">
      <c r="A46" s="795"/>
      <c r="B46" s="38" t="s">
        <v>76</v>
      </c>
      <c r="C46" s="467">
        <f>'G-2 Habitat groups'!$AK$11</f>
        <v>0.109844</v>
      </c>
      <c r="D46" s="467">
        <f>'G-2 Habitat groups'!$AL$11</f>
        <v>0.75792359999999992</v>
      </c>
      <c r="E46" s="467" t="e">
        <f>'G-2 Habitat groups'!$AM$11</f>
        <v>#N/A</v>
      </c>
      <c r="F46" s="467">
        <f>'G-2 Habitat groups'!$AN$11</f>
        <v>1.0751435915166687</v>
      </c>
      <c r="G46" s="467" t="e">
        <f t="shared" si="0"/>
        <v>#N/A</v>
      </c>
      <c r="H46" s="467">
        <f t="shared" si="1"/>
        <v>0.3172199915166688</v>
      </c>
      <c r="J46" s="802" t="str">
        <f>'G-1 All Habitats'!$V$6</f>
        <v>Low</v>
      </c>
      <c r="K46" s="804">
        <f>SUMIF('A-1 Site Habitat Baseline'!$I$11:$I$258,'Detailed Results'!J46,'A-1 Site Habitat Baseline'!$W$11:$W$258)+SUMIF('D-1 Off Site Habitat Baseline'!$I$11:$I$258,'Detailed Results'!J46,'D-1 Off Site Habitat Baseline'!$W$11:$W$258)</f>
        <v>0.76043499999999997</v>
      </c>
      <c r="L46" s="808">
        <f>IF(K46=0,"",(K46/(SUM($K$40:$K$49)))*100)</f>
        <v>47.172333620340986</v>
      </c>
    </row>
    <row r="47" spans="1:22" ht="15.5" x14ac:dyDescent="0.3">
      <c r="A47" s="795"/>
      <c r="B47" s="39" t="s">
        <v>77</v>
      </c>
      <c r="C47" s="467">
        <f>'G-2 Habitat groups'!$AK$12</f>
        <v>0</v>
      </c>
      <c r="D47" s="467">
        <f>'G-2 Habitat groups'!$AL$12</f>
        <v>0</v>
      </c>
      <c r="E47" s="467">
        <f>'G-2 Habitat groups'!$AM$12</f>
        <v>0</v>
      </c>
      <c r="F47" s="467">
        <f>'G-2 Habitat groups'!$AN$12</f>
        <v>0</v>
      </c>
      <c r="G47" s="467">
        <f t="shared" si="0"/>
        <v>0</v>
      </c>
      <c r="H47" s="467">
        <f t="shared" si="1"/>
        <v>0</v>
      </c>
      <c r="J47" s="803"/>
      <c r="K47" s="805"/>
      <c r="L47" s="809"/>
    </row>
    <row r="48" spans="1:22" ht="15.5" x14ac:dyDescent="0.3">
      <c r="A48" s="795"/>
      <c r="B48" s="39" t="s">
        <v>78</v>
      </c>
      <c r="C48" s="467">
        <f>'G-2 Habitat groups'!$AK$13</f>
        <v>0</v>
      </c>
      <c r="D48" s="467">
        <f>'G-2 Habitat groups'!$AL$13</f>
        <v>0</v>
      </c>
      <c r="E48" s="467">
        <f>'G-2 Habitat groups'!$AM$13</f>
        <v>0</v>
      </c>
      <c r="F48" s="467">
        <f>'G-2 Habitat groups'!$AN$13</f>
        <v>0</v>
      </c>
      <c r="G48" s="467">
        <f t="shared" si="0"/>
        <v>0</v>
      </c>
      <c r="H48" s="467">
        <f t="shared" si="1"/>
        <v>0</v>
      </c>
      <c r="J48" s="802" t="str">
        <f>'G-1 All Habitats'!$V$7</f>
        <v>V.Low</v>
      </c>
      <c r="K48" s="804">
        <f>SUMIF('A-1 Site Habitat Baseline'!$I$11:$I$258,'Detailed Results'!J48,'A-1 Site Habitat Baseline'!$W$11:$W$258)+SUMIF('D-1 Off Site Habitat Baseline'!$I$11:$I$258,'Detailed Results'!J48,'D-1 Off Site Habitat Baseline'!$W$11:$W$258)</f>
        <v>0.77265700000000004</v>
      </c>
      <c r="L48" s="808">
        <f>IF(K48=0,"",(K48/(SUM($K$40:$K$49)))*100)</f>
        <v>47.93050527407577</v>
      </c>
    </row>
    <row r="49" spans="1:33" ht="16" thickBot="1" x14ac:dyDescent="0.35">
      <c r="A49" s="795"/>
      <c r="B49" s="39" t="s">
        <v>79</v>
      </c>
      <c r="C49" s="467">
        <f>'G-2 Habitat groups'!$AK$14</f>
        <v>0</v>
      </c>
      <c r="D49" s="467">
        <f>'G-2 Habitat groups'!$AL$14</f>
        <v>0</v>
      </c>
      <c r="E49" s="467">
        <f>'G-2 Habitat groups'!$AM$14</f>
        <v>0</v>
      </c>
      <c r="F49" s="467">
        <f>'G-2 Habitat groups'!$AN$14</f>
        <v>0</v>
      </c>
      <c r="G49" s="467">
        <f t="shared" si="0"/>
        <v>0</v>
      </c>
      <c r="H49" s="467">
        <f t="shared" si="1"/>
        <v>0</v>
      </c>
      <c r="J49" s="807"/>
      <c r="K49" s="805"/>
      <c r="L49" s="809"/>
    </row>
    <row r="50" spans="1:33" ht="15.5" x14ac:dyDescent="0.3">
      <c r="A50" s="795"/>
      <c r="B50" s="39" t="s">
        <v>80</v>
      </c>
      <c r="C50" s="467">
        <f>'G-2 Habitat groups'!$AK$15</f>
        <v>0</v>
      </c>
      <c r="D50" s="467">
        <f>'G-2 Habitat groups'!$AL$15</f>
        <v>0</v>
      </c>
      <c r="E50" s="467">
        <f>'G-2 Habitat groups'!$AM$15</f>
        <v>0</v>
      </c>
      <c r="F50" s="467">
        <f>'G-2 Habitat groups'!$AN$15</f>
        <v>0</v>
      </c>
      <c r="G50" s="467">
        <f t="shared" si="0"/>
        <v>0</v>
      </c>
      <c r="H50" s="467">
        <f t="shared" si="1"/>
        <v>0</v>
      </c>
    </row>
    <row r="51" spans="1:33" ht="15.5" x14ac:dyDescent="0.3">
      <c r="A51" s="795"/>
      <c r="B51" s="39" t="s">
        <v>81</v>
      </c>
      <c r="C51" s="467">
        <f>'G-2 Habitat groups'!$AK$16</f>
        <v>0</v>
      </c>
      <c r="D51" s="467">
        <f>'G-2 Habitat groups'!$AL$16</f>
        <v>0</v>
      </c>
      <c r="E51" s="467">
        <f>'G-2 Habitat groups'!$AM$16</f>
        <v>0</v>
      </c>
      <c r="F51" s="467">
        <f>'G-2 Habitat groups'!$AN$16</f>
        <v>0</v>
      </c>
      <c r="G51" s="467">
        <f t="shared" ref="G51" si="2">E51-C51</f>
        <v>0</v>
      </c>
      <c r="H51" s="467">
        <f t="shared" ref="H51" si="3">F51-D51</f>
        <v>0</v>
      </c>
    </row>
    <row r="52" spans="1:33" ht="15.75" customHeight="1" x14ac:dyDescent="0.3">
      <c r="A52" s="795"/>
    </row>
    <row r="53" spans="1:33" ht="15.75" customHeight="1" x14ac:dyDescent="0.3">
      <c r="A53" s="795"/>
    </row>
    <row r="54" spans="1:33" ht="10.15" customHeight="1" thickBot="1" x14ac:dyDescent="0.35">
      <c r="A54" s="795"/>
    </row>
    <row r="55" spans="1:33" ht="22.9" customHeight="1" thickBot="1" x14ac:dyDescent="0.65">
      <c r="A55" s="795"/>
      <c r="B55" s="806" t="s">
        <v>82</v>
      </c>
      <c r="C55" s="806"/>
      <c r="D55" s="806"/>
      <c r="E55" s="806"/>
      <c r="F55" s="806"/>
      <c r="G55" s="806"/>
      <c r="H55" s="806"/>
      <c r="I55" s="41"/>
      <c r="J55" s="41"/>
      <c r="K55" s="41"/>
      <c r="L55" s="41"/>
      <c r="M55" s="41"/>
    </row>
    <row r="56" spans="1:33" s="42" customFormat="1" ht="38.25" customHeight="1" thickBot="1" x14ac:dyDescent="0.35">
      <c r="A56" s="795"/>
      <c r="B56" s="35"/>
      <c r="C56" s="789" t="s">
        <v>56</v>
      </c>
      <c r="D56" s="789"/>
      <c r="E56" s="789" t="s">
        <v>83</v>
      </c>
      <c r="F56" s="789"/>
      <c r="G56" s="789" t="s">
        <v>84</v>
      </c>
      <c r="H56" s="789"/>
      <c r="I56" s="40"/>
      <c r="J56" s="40"/>
      <c r="K56" s="31"/>
      <c r="L56" s="31"/>
      <c r="M56" s="31"/>
      <c r="N56" s="31"/>
      <c r="O56" s="31"/>
      <c r="P56" s="31"/>
      <c r="Q56" s="31"/>
      <c r="R56" s="31"/>
      <c r="S56" s="31"/>
      <c r="T56" s="31"/>
      <c r="U56" s="31"/>
      <c r="V56" s="31"/>
      <c r="W56" s="31"/>
      <c r="X56" s="31"/>
      <c r="Y56" s="31"/>
      <c r="Z56" s="31"/>
      <c r="AA56" s="31"/>
      <c r="AB56" s="31"/>
      <c r="AC56" s="31"/>
      <c r="AD56" s="31"/>
      <c r="AE56" s="31"/>
      <c r="AF56" s="31"/>
      <c r="AG56" s="31"/>
    </row>
    <row r="57" spans="1:33" ht="48" customHeight="1" thickBot="1" x14ac:dyDescent="0.35">
      <c r="A57" s="795"/>
      <c r="B57" s="324" t="s">
        <v>59</v>
      </c>
      <c r="C57" s="35" t="s">
        <v>60</v>
      </c>
      <c r="D57" s="35" t="s">
        <v>85</v>
      </c>
      <c r="E57" s="35" t="s">
        <v>86</v>
      </c>
      <c r="F57" s="35" t="s">
        <v>87</v>
      </c>
      <c r="G57" s="35" t="s">
        <v>88</v>
      </c>
      <c r="H57" s="35" t="s">
        <v>89</v>
      </c>
      <c r="I57" s="40"/>
      <c r="J57" s="40"/>
    </row>
    <row r="58" spans="1:33" ht="15.5" x14ac:dyDescent="0.3">
      <c r="A58" s="795"/>
      <c r="B58" s="43" t="s">
        <v>69</v>
      </c>
      <c r="C58" s="465">
        <f>'G-2 Habitat groups'!$AK$20</f>
        <v>0</v>
      </c>
      <c r="D58" s="465">
        <f>'G-2 Habitat groups'!$AL$20</f>
        <v>0</v>
      </c>
      <c r="E58" s="465">
        <f>'G-2 Habitat groups'!$AM$20</f>
        <v>0</v>
      </c>
      <c r="F58" s="465">
        <f>'G-2 Habitat groups'!$AN$20</f>
        <v>0</v>
      </c>
      <c r="G58" s="465">
        <f t="shared" ref="G58:G69" si="4">E58-C58</f>
        <v>0</v>
      </c>
      <c r="H58" s="466">
        <f t="shared" ref="H58:H69" si="5">F58-D58</f>
        <v>0</v>
      </c>
      <c r="I58" s="40"/>
      <c r="J58" s="40"/>
    </row>
    <row r="59" spans="1:33" ht="15.5" x14ac:dyDescent="0.3">
      <c r="A59" s="795"/>
      <c r="B59" s="37" t="s">
        <v>70</v>
      </c>
      <c r="C59" s="465">
        <f>'G-2 Habitat groups'!$AK$21</f>
        <v>0</v>
      </c>
      <c r="D59" s="465">
        <f>'G-2 Habitat groups'!$AL$21</f>
        <v>0</v>
      </c>
      <c r="E59" s="465">
        <f>'G-2 Habitat groups'!$AM$21</f>
        <v>0</v>
      </c>
      <c r="F59" s="465">
        <f>'G-2 Habitat groups'!$AN$21</f>
        <v>0</v>
      </c>
      <c r="G59" s="467">
        <f t="shared" si="4"/>
        <v>0</v>
      </c>
      <c r="H59" s="468">
        <f t="shared" si="5"/>
        <v>0</v>
      </c>
      <c r="I59" s="40"/>
      <c r="J59" s="40"/>
    </row>
    <row r="60" spans="1:33" ht="15.75" customHeight="1" x14ac:dyDescent="0.3">
      <c r="A60" s="795"/>
      <c r="B60" s="37" t="s">
        <v>71</v>
      </c>
      <c r="C60" s="465">
        <f>'G-2 Habitat groups'!$AK$22</f>
        <v>0</v>
      </c>
      <c r="D60" s="465">
        <f>'G-2 Habitat groups'!$AL$22</f>
        <v>0</v>
      </c>
      <c r="E60" s="465">
        <f>'G-2 Habitat groups'!$AM$22</f>
        <v>0</v>
      </c>
      <c r="F60" s="465">
        <f>'G-2 Habitat groups'!$AN$22</f>
        <v>0</v>
      </c>
      <c r="G60" s="467">
        <f t="shared" si="4"/>
        <v>0</v>
      </c>
      <c r="H60" s="468">
        <f t="shared" si="5"/>
        <v>0</v>
      </c>
      <c r="I60" s="40"/>
      <c r="J60" s="40"/>
    </row>
    <row r="61" spans="1:33" ht="15.5" x14ac:dyDescent="0.3">
      <c r="A61" s="795"/>
      <c r="B61" s="37" t="s">
        <v>72</v>
      </c>
      <c r="C61" s="465">
        <f>'G-2 Habitat groups'!$AK$23</f>
        <v>0</v>
      </c>
      <c r="D61" s="465">
        <f>'G-2 Habitat groups'!$AL$23</f>
        <v>0</v>
      </c>
      <c r="E61" s="465">
        <f>'G-2 Habitat groups'!$AM$23</f>
        <v>0</v>
      </c>
      <c r="F61" s="465">
        <f>'G-2 Habitat groups'!$AN$23</f>
        <v>0</v>
      </c>
      <c r="G61" s="467">
        <f t="shared" si="4"/>
        <v>0</v>
      </c>
      <c r="H61" s="468">
        <f t="shared" si="5"/>
        <v>0</v>
      </c>
      <c r="I61" s="40"/>
      <c r="J61" s="40"/>
    </row>
    <row r="62" spans="1:33" ht="15.5" x14ac:dyDescent="0.3">
      <c r="A62" s="795"/>
      <c r="B62" s="37" t="s">
        <v>73</v>
      </c>
      <c r="C62" s="465">
        <f>'G-2 Habitat groups'!$AK$24</f>
        <v>0</v>
      </c>
      <c r="D62" s="465">
        <f>'G-2 Habitat groups'!$AL$24</f>
        <v>0</v>
      </c>
      <c r="E62" s="465">
        <f>'G-2 Habitat groups'!$AM$24</f>
        <v>0</v>
      </c>
      <c r="F62" s="465">
        <f>'G-2 Habitat groups'!$AN$24</f>
        <v>0</v>
      </c>
      <c r="G62" s="467">
        <f t="shared" si="4"/>
        <v>0</v>
      </c>
      <c r="H62" s="468">
        <f t="shared" si="5"/>
        <v>0</v>
      </c>
      <c r="I62" s="40"/>
      <c r="J62" s="40"/>
    </row>
    <row r="63" spans="1:33" ht="15.5" x14ac:dyDescent="0.3">
      <c r="A63" s="795"/>
      <c r="B63" s="37" t="s">
        <v>74</v>
      </c>
      <c r="C63" s="465">
        <f>'G-2 Habitat groups'!$AK$25</f>
        <v>0</v>
      </c>
      <c r="D63" s="465">
        <f>'G-2 Habitat groups'!$AL$25</f>
        <v>0</v>
      </c>
      <c r="E63" s="465">
        <f>'G-2 Habitat groups'!$AM$25</f>
        <v>0</v>
      </c>
      <c r="F63" s="465">
        <f>'G-2 Habitat groups'!$AN$25</f>
        <v>0</v>
      </c>
      <c r="G63" s="467">
        <f t="shared" si="4"/>
        <v>0</v>
      </c>
      <c r="H63" s="468">
        <f t="shared" si="5"/>
        <v>0</v>
      </c>
      <c r="I63" s="40"/>
      <c r="J63" s="40"/>
    </row>
    <row r="64" spans="1:33" ht="15.5" x14ac:dyDescent="0.3">
      <c r="A64" s="795"/>
      <c r="B64" s="37" t="s">
        <v>75</v>
      </c>
      <c r="C64" s="465">
        <f>'G-2 Habitat groups'!$AK$26</f>
        <v>0</v>
      </c>
      <c r="D64" s="465">
        <f>'G-2 Habitat groups'!$AL$26</f>
        <v>0</v>
      </c>
      <c r="E64" s="465">
        <f>'G-2 Habitat groups'!$AM$26</f>
        <v>0</v>
      </c>
      <c r="F64" s="465">
        <f>'G-2 Habitat groups'!$AN$26</f>
        <v>0</v>
      </c>
      <c r="G64" s="467">
        <f t="shared" si="4"/>
        <v>0</v>
      </c>
      <c r="H64" s="468">
        <f t="shared" si="5"/>
        <v>0</v>
      </c>
      <c r="I64" s="40"/>
      <c r="J64" s="40"/>
    </row>
    <row r="65" spans="1:10" ht="15.5" x14ac:dyDescent="0.3">
      <c r="A65" s="795"/>
      <c r="B65" s="38" t="s">
        <v>76</v>
      </c>
      <c r="C65" s="465">
        <f>'G-2 Habitat groups'!$AK$27</f>
        <v>0</v>
      </c>
      <c r="D65" s="465">
        <f>'G-2 Habitat groups'!$AL$27</f>
        <v>0</v>
      </c>
      <c r="E65" s="465">
        <f>'G-2 Habitat groups'!$AM$27</f>
        <v>0</v>
      </c>
      <c r="F65" s="465">
        <f>'G-2 Habitat groups'!$AN$27</f>
        <v>0</v>
      </c>
      <c r="G65" s="467">
        <f t="shared" si="4"/>
        <v>0</v>
      </c>
      <c r="H65" s="468">
        <f t="shared" si="5"/>
        <v>0</v>
      </c>
      <c r="I65" s="40"/>
      <c r="J65" s="40"/>
    </row>
    <row r="66" spans="1:10" ht="15.75" customHeight="1" x14ac:dyDescent="0.3">
      <c r="A66" s="795"/>
      <c r="B66" s="44" t="s">
        <v>77</v>
      </c>
      <c r="C66" s="465">
        <f>'G-2 Habitat groups'!$AK$28</f>
        <v>0</v>
      </c>
      <c r="D66" s="465">
        <f>'G-2 Habitat groups'!$AL$28</f>
        <v>0</v>
      </c>
      <c r="E66" s="465">
        <f>'G-2 Habitat groups'!$AM$28</f>
        <v>0</v>
      </c>
      <c r="F66" s="465">
        <f>'G-2 Habitat groups'!$AN$28</f>
        <v>0</v>
      </c>
      <c r="G66" s="467">
        <f t="shared" si="4"/>
        <v>0</v>
      </c>
      <c r="H66" s="468">
        <f t="shared" si="5"/>
        <v>0</v>
      </c>
      <c r="I66" s="40"/>
      <c r="J66" s="40"/>
    </row>
    <row r="67" spans="1:10" ht="15.75" customHeight="1" x14ac:dyDescent="0.3">
      <c r="A67" s="795"/>
      <c r="B67" s="44" t="s">
        <v>78</v>
      </c>
      <c r="C67" s="465">
        <f>'G-2 Habitat groups'!$AK$29</f>
        <v>0</v>
      </c>
      <c r="D67" s="465">
        <f>'G-2 Habitat groups'!$AL$29</f>
        <v>0</v>
      </c>
      <c r="E67" s="465">
        <f>'G-2 Habitat groups'!$AM$29</f>
        <v>0</v>
      </c>
      <c r="F67" s="465">
        <f>'G-2 Habitat groups'!$AN$29</f>
        <v>0</v>
      </c>
      <c r="G67" s="467">
        <f t="shared" si="4"/>
        <v>0</v>
      </c>
      <c r="H67" s="468">
        <f t="shared" si="5"/>
        <v>0</v>
      </c>
      <c r="I67" s="40"/>
      <c r="J67" s="40"/>
    </row>
    <row r="68" spans="1:10" ht="15.75" customHeight="1" x14ac:dyDescent="0.3">
      <c r="A68" s="795"/>
      <c r="B68" s="44" t="s">
        <v>79</v>
      </c>
      <c r="C68" s="465">
        <f>'G-2 Habitat groups'!$AK$30</f>
        <v>0</v>
      </c>
      <c r="D68" s="465">
        <f>'G-2 Habitat groups'!$AL$30</f>
        <v>0</v>
      </c>
      <c r="E68" s="465">
        <f>'G-2 Habitat groups'!$AM$30</f>
        <v>0</v>
      </c>
      <c r="F68" s="465">
        <f>'G-2 Habitat groups'!$AN$30</f>
        <v>0</v>
      </c>
      <c r="G68" s="467">
        <f t="shared" si="4"/>
        <v>0</v>
      </c>
      <c r="H68" s="468">
        <f t="shared" si="5"/>
        <v>0</v>
      </c>
      <c r="I68" s="40"/>
      <c r="J68" s="40"/>
    </row>
    <row r="69" spans="1:10" ht="15.75" customHeight="1" x14ac:dyDescent="0.3">
      <c r="A69" s="795"/>
      <c r="B69" s="44" t="s">
        <v>80</v>
      </c>
      <c r="C69" s="465">
        <f>'G-2 Habitat groups'!$AK$31</f>
        <v>0</v>
      </c>
      <c r="D69" s="465">
        <f>'G-2 Habitat groups'!$AL$31</f>
        <v>0</v>
      </c>
      <c r="E69" s="465">
        <f>'G-2 Habitat groups'!$AM$31</f>
        <v>0</v>
      </c>
      <c r="F69" s="465">
        <f>'G-2 Habitat groups'!$AN$31</f>
        <v>0</v>
      </c>
      <c r="G69" s="467">
        <f t="shared" si="4"/>
        <v>0</v>
      </c>
      <c r="H69" s="468">
        <f t="shared" si="5"/>
        <v>0</v>
      </c>
      <c r="I69" s="40"/>
      <c r="J69" s="40"/>
    </row>
    <row r="70" spans="1:10" ht="15.75" customHeight="1" thickBot="1" x14ac:dyDescent="0.35">
      <c r="A70" s="795"/>
      <c r="B70" s="45" t="s">
        <v>81</v>
      </c>
      <c r="C70" s="469">
        <f>'G-2 Habitat groups'!$AK$32</f>
        <v>0</v>
      </c>
      <c r="D70" s="469">
        <f>'G-2 Habitat groups'!$AL$32</f>
        <v>0</v>
      </c>
      <c r="E70" s="469">
        <f>'G-2 Habitat groups'!$AM$32</f>
        <v>0</v>
      </c>
      <c r="F70" s="469">
        <f>'G-2 Habitat groups'!$AN$32</f>
        <v>0</v>
      </c>
      <c r="G70" s="470">
        <f t="shared" ref="G70" si="6">E70-C70</f>
        <v>0</v>
      </c>
      <c r="H70" s="471">
        <f t="shared" ref="H70" si="7">F70-D70</f>
        <v>0</v>
      </c>
      <c r="I70" s="40"/>
      <c r="J70" s="40"/>
    </row>
    <row r="71" spans="1:10" ht="15.75" customHeight="1" x14ac:dyDescent="0.3">
      <c r="A71" s="795"/>
      <c r="B71" s="40"/>
      <c r="C71" s="40"/>
      <c r="D71" s="40"/>
      <c r="E71" s="40"/>
      <c r="F71" s="40"/>
      <c r="G71" s="40"/>
      <c r="H71" s="40"/>
      <c r="I71" s="40"/>
      <c r="J71" s="40"/>
    </row>
    <row r="72" spans="1:10" ht="15.75" customHeight="1" x14ac:dyDescent="0.3">
      <c r="A72" s="795"/>
      <c r="B72" s="40"/>
      <c r="C72" s="40"/>
      <c r="D72" s="40"/>
      <c r="E72" s="40"/>
      <c r="F72" s="40"/>
      <c r="G72" s="40"/>
      <c r="H72" s="40"/>
      <c r="I72" s="40"/>
      <c r="J72" s="40"/>
    </row>
    <row r="73" spans="1:10" ht="10.9" customHeight="1" thickBot="1" x14ac:dyDescent="0.35">
      <c r="A73" s="795"/>
      <c r="B73" s="40"/>
      <c r="C73" s="40"/>
      <c r="D73" s="40"/>
      <c r="E73" s="40"/>
      <c r="F73" s="40"/>
      <c r="G73" s="40"/>
      <c r="H73" s="40"/>
      <c r="I73" s="40"/>
      <c r="J73" s="40"/>
    </row>
    <row r="74" spans="1:10" ht="18.5" thickBot="1" x14ac:dyDescent="0.45">
      <c r="A74" s="795"/>
      <c r="B74" s="806" t="s">
        <v>90</v>
      </c>
      <c r="C74" s="806"/>
      <c r="D74" s="806"/>
      <c r="E74" s="806"/>
      <c r="F74" s="806"/>
      <c r="G74" s="806"/>
      <c r="H74" s="806"/>
      <c r="I74" s="40"/>
      <c r="J74" s="40"/>
    </row>
    <row r="75" spans="1:10" ht="33.65" customHeight="1" thickBot="1" x14ac:dyDescent="0.35">
      <c r="A75" s="795"/>
      <c r="B75" s="35"/>
      <c r="C75" s="789" t="s">
        <v>56</v>
      </c>
      <c r="D75" s="789"/>
      <c r="E75" s="789" t="s">
        <v>91</v>
      </c>
      <c r="F75" s="789"/>
      <c r="G75" s="789" t="s">
        <v>92</v>
      </c>
      <c r="H75" s="789"/>
      <c r="I75" s="40"/>
      <c r="J75" s="40"/>
    </row>
    <row r="76" spans="1:10" ht="45.65" customHeight="1" x14ac:dyDescent="0.3">
      <c r="A76" s="795"/>
      <c r="B76" s="36" t="s">
        <v>59</v>
      </c>
      <c r="C76" s="325" t="s">
        <v>60</v>
      </c>
      <c r="D76" s="325" t="s">
        <v>61</v>
      </c>
      <c r="E76" s="325" t="s">
        <v>93</v>
      </c>
      <c r="F76" s="325" t="s">
        <v>94</v>
      </c>
      <c r="G76" s="325" t="s">
        <v>62</v>
      </c>
      <c r="H76" s="325" t="s">
        <v>63</v>
      </c>
      <c r="I76" s="40"/>
      <c r="J76" s="40"/>
    </row>
    <row r="77" spans="1:10" ht="15.75" customHeight="1" x14ac:dyDescent="0.3">
      <c r="A77" s="795"/>
      <c r="B77" s="37" t="s">
        <v>69</v>
      </c>
      <c r="C77" s="467">
        <f t="shared" ref="C77:H89" si="8">C39+C58</f>
        <v>0</v>
      </c>
      <c r="D77" s="467">
        <f t="shared" si="8"/>
        <v>0</v>
      </c>
      <c r="E77" s="467">
        <f t="shared" si="8"/>
        <v>0</v>
      </c>
      <c r="F77" s="467">
        <f t="shared" si="8"/>
        <v>0</v>
      </c>
      <c r="G77" s="467">
        <f t="shared" si="8"/>
        <v>0</v>
      </c>
      <c r="H77" s="468">
        <f t="shared" si="8"/>
        <v>0</v>
      </c>
      <c r="I77" s="40"/>
      <c r="J77" s="40"/>
    </row>
    <row r="78" spans="1:10" ht="15.75" customHeight="1" x14ac:dyDescent="0.3">
      <c r="A78" s="795"/>
      <c r="B78" s="37" t="s">
        <v>70</v>
      </c>
      <c r="C78" s="467">
        <f t="shared" si="8"/>
        <v>0</v>
      </c>
      <c r="D78" s="467">
        <f t="shared" si="8"/>
        <v>0</v>
      </c>
      <c r="E78" s="467">
        <f t="shared" si="8"/>
        <v>1.95E-2</v>
      </c>
      <c r="F78" s="467">
        <f t="shared" si="8"/>
        <v>0.18025265737907997</v>
      </c>
      <c r="G78" s="467">
        <f t="shared" si="8"/>
        <v>1.95E-2</v>
      </c>
      <c r="H78" s="468">
        <f t="shared" si="8"/>
        <v>0.18025265737907997</v>
      </c>
      <c r="I78" s="40"/>
      <c r="J78" s="40"/>
    </row>
    <row r="79" spans="1:10" ht="15.75" customHeight="1" x14ac:dyDescent="0.3">
      <c r="A79" s="795"/>
      <c r="B79" s="37" t="s">
        <v>71</v>
      </c>
      <c r="C79" s="467">
        <f t="shared" si="8"/>
        <v>0</v>
      </c>
      <c r="D79" s="467">
        <f t="shared" si="8"/>
        <v>0</v>
      </c>
      <c r="E79" s="467">
        <f t="shared" si="8"/>
        <v>5.7500000000000002E-2</v>
      </c>
      <c r="F79" s="467">
        <f t="shared" si="8"/>
        <v>0.24414500000000006</v>
      </c>
      <c r="G79" s="467">
        <f t="shared" si="8"/>
        <v>5.7500000000000002E-2</v>
      </c>
      <c r="H79" s="468">
        <f t="shared" si="8"/>
        <v>0.24414500000000006</v>
      </c>
      <c r="I79" s="40"/>
      <c r="J79" s="40"/>
    </row>
    <row r="80" spans="1:10" ht="15.75" customHeight="1" x14ac:dyDescent="0.3">
      <c r="A80" s="795"/>
      <c r="B80" s="37" t="s">
        <v>72</v>
      </c>
      <c r="C80" s="467">
        <f t="shared" si="8"/>
        <v>0</v>
      </c>
      <c r="D80" s="467">
        <f t="shared" si="8"/>
        <v>0</v>
      </c>
      <c r="E80" s="467">
        <f t="shared" si="8"/>
        <v>0</v>
      </c>
      <c r="F80" s="467">
        <f t="shared" si="8"/>
        <v>0</v>
      </c>
      <c r="G80" s="467">
        <f t="shared" si="8"/>
        <v>0</v>
      </c>
      <c r="H80" s="468">
        <f t="shared" si="8"/>
        <v>0</v>
      </c>
      <c r="I80" s="40"/>
      <c r="J80" s="40"/>
    </row>
    <row r="81" spans="1:12" ht="15.75" customHeight="1" x14ac:dyDescent="0.3">
      <c r="A81" s="795"/>
      <c r="B81" s="37" t="s">
        <v>73</v>
      </c>
      <c r="C81" s="467">
        <f t="shared" si="8"/>
        <v>0</v>
      </c>
      <c r="D81" s="467">
        <f t="shared" si="8"/>
        <v>0</v>
      </c>
      <c r="E81" s="467">
        <f t="shared" si="8"/>
        <v>0</v>
      </c>
      <c r="F81" s="467">
        <f t="shared" si="8"/>
        <v>0</v>
      </c>
      <c r="G81" s="467">
        <f t="shared" si="8"/>
        <v>0</v>
      </c>
      <c r="H81" s="468">
        <f t="shared" si="8"/>
        <v>0</v>
      </c>
      <c r="I81" s="40"/>
      <c r="J81" s="40"/>
    </row>
    <row r="82" spans="1:12" ht="15.75" customHeight="1" x14ac:dyDescent="0.3">
      <c r="A82" s="795"/>
      <c r="B82" s="37" t="s">
        <v>74</v>
      </c>
      <c r="C82" s="467">
        <f t="shared" si="8"/>
        <v>1.547992</v>
      </c>
      <c r="D82" s="467">
        <f t="shared" si="8"/>
        <v>3.4114740000000001</v>
      </c>
      <c r="E82" s="467">
        <f t="shared" si="8"/>
        <v>1.7192000000000001</v>
      </c>
      <c r="F82" s="467">
        <f t="shared" si="8"/>
        <v>1.1458074283902397</v>
      </c>
      <c r="G82" s="467">
        <f t="shared" si="8"/>
        <v>0.17120800000000003</v>
      </c>
      <c r="H82" s="468">
        <f t="shared" si="8"/>
        <v>-2.2656665716097604</v>
      </c>
      <c r="I82" s="40"/>
      <c r="J82" s="40"/>
    </row>
    <row r="83" spans="1:12" ht="15.75" customHeight="1" x14ac:dyDescent="0.3">
      <c r="A83" s="795"/>
      <c r="B83" s="37" t="s">
        <v>75</v>
      </c>
      <c r="C83" s="467">
        <f t="shared" si="8"/>
        <v>0</v>
      </c>
      <c r="D83" s="467">
        <f t="shared" si="8"/>
        <v>0</v>
      </c>
      <c r="E83" s="467">
        <f t="shared" si="8"/>
        <v>0</v>
      </c>
      <c r="F83" s="467">
        <f t="shared" si="8"/>
        <v>0</v>
      </c>
      <c r="G83" s="467">
        <f t="shared" si="8"/>
        <v>0</v>
      </c>
      <c r="H83" s="468">
        <f t="shared" si="8"/>
        <v>0</v>
      </c>
      <c r="I83" s="40"/>
      <c r="J83" s="40"/>
    </row>
    <row r="84" spans="1:12" ht="18" customHeight="1" x14ac:dyDescent="0.3">
      <c r="A84" s="795"/>
      <c r="B84" s="38" t="s">
        <v>76</v>
      </c>
      <c r="C84" s="467">
        <f t="shared" si="8"/>
        <v>0.109844</v>
      </c>
      <c r="D84" s="467">
        <f t="shared" si="8"/>
        <v>0.75792359999999992</v>
      </c>
      <c r="E84" s="467" t="e">
        <f t="shared" si="8"/>
        <v>#N/A</v>
      </c>
      <c r="F84" s="467">
        <f t="shared" si="8"/>
        <v>1.0751435915166687</v>
      </c>
      <c r="G84" s="467" t="e">
        <f t="shared" si="8"/>
        <v>#N/A</v>
      </c>
      <c r="H84" s="468">
        <f t="shared" si="8"/>
        <v>0.3172199915166688</v>
      </c>
      <c r="I84" s="40"/>
      <c r="J84" s="40"/>
    </row>
    <row r="85" spans="1:12" ht="15.5" x14ac:dyDescent="0.3">
      <c r="A85" s="795"/>
      <c r="B85" s="44" t="s">
        <v>77</v>
      </c>
      <c r="C85" s="467">
        <f t="shared" si="8"/>
        <v>0</v>
      </c>
      <c r="D85" s="467">
        <f t="shared" si="8"/>
        <v>0</v>
      </c>
      <c r="E85" s="467">
        <f t="shared" si="8"/>
        <v>0</v>
      </c>
      <c r="F85" s="467">
        <f t="shared" si="8"/>
        <v>0</v>
      </c>
      <c r="G85" s="467">
        <f t="shared" si="8"/>
        <v>0</v>
      </c>
      <c r="H85" s="468">
        <f t="shared" si="8"/>
        <v>0</v>
      </c>
      <c r="I85" s="40"/>
      <c r="J85" s="40"/>
    </row>
    <row r="86" spans="1:12" ht="15.5" x14ac:dyDescent="0.3">
      <c r="A86" s="795"/>
      <c r="B86" s="44" t="s">
        <v>78</v>
      </c>
      <c r="C86" s="467">
        <f t="shared" si="8"/>
        <v>0</v>
      </c>
      <c r="D86" s="467">
        <f t="shared" si="8"/>
        <v>0</v>
      </c>
      <c r="E86" s="467">
        <f t="shared" si="8"/>
        <v>0</v>
      </c>
      <c r="F86" s="467">
        <f t="shared" si="8"/>
        <v>0</v>
      </c>
      <c r="G86" s="467">
        <f t="shared" si="8"/>
        <v>0</v>
      </c>
      <c r="H86" s="468">
        <f t="shared" si="8"/>
        <v>0</v>
      </c>
      <c r="I86" s="40"/>
      <c r="J86" s="40"/>
    </row>
    <row r="87" spans="1:12" ht="15.5" x14ac:dyDescent="0.3">
      <c r="A87" s="795"/>
      <c r="B87" s="44" t="s">
        <v>79</v>
      </c>
      <c r="C87" s="467">
        <f t="shared" si="8"/>
        <v>0</v>
      </c>
      <c r="D87" s="467">
        <f t="shared" si="8"/>
        <v>0</v>
      </c>
      <c r="E87" s="467">
        <f t="shared" si="8"/>
        <v>0</v>
      </c>
      <c r="F87" s="467">
        <f t="shared" si="8"/>
        <v>0</v>
      </c>
      <c r="G87" s="467">
        <f t="shared" si="8"/>
        <v>0</v>
      </c>
      <c r="H87" s="468">
        <f t="shared" si="8"/>
        <v>0</v>
      </c>
      <c r="I87" s="40"/>
      <c r="J87" s="40"/>
    </row>
    <row r="88" spans="1:12" ht="15.5" x14ac:dyDescent="0.3">
      <c r="A88" s="795"/>
      <c r="B88" s="44" t="s">
        <v>80</v>
      </c>
      <c r="C88" s="467">
        <f t="shared" si="8"/>
        <v>0</v>
      </c>
      <c r="D88" s="467">
        <f t="shared" si="8"/>
        <v>0</v>
      </c>
      <c r="E88" s="467">
        <f t="shared" si="8"/>
        <v>0</v>
      </c>
      <c r="F88" s="467">
        <f t="shared" si="8"/>
        <v>0</v>
      </c>
      <c r="G88" s="467">
        <f t="shared" si="8"/>
        <v>0</v>
      </c>
      <c r="H88" s="468">
        <f t="shared" si="8"/>
        <v>0</v>
      </c>
      <c r="I88" s="40"/>
      <c r="J88" s="40"/>
    </row>
    <row r="89" spans="1:12" ht="16" thickBot="1" x14ac:dyDescent="0.35">
      <c r="A89" s="795"/>
      <c r="B89" s="45" t="s">
        <v>81</v>
      </c>
      <c r="C89" s="470">
        <f t="shared" si="8"/>
        <v>0</v>
      </c>
      <c r="D89" s="470">
        <f t="shared" si="8"/>
        <v>0</v>
      </c>
      <c r="E89" s="470">
        <f t="shared" si="8"/>
        <v>0</v>
      </c>
      <c r="F89" s="470">
        <f t="shared" si="8"/>
        <v>0</v>
      </c>
      <c r="G89" s="470">
        <f t="shared" si="8"/>
        <v>0</v>
      </c>
      <c r="H89" s="471">
        <f t="shared" si="8"/>
        <v>0</v>
      </c>
      <c r="I89" s="40"/>
      <c r="J89" s="40"/>
    </row>
    <row r="90" spans="1:12" ht="15" customHeight="1" x14ac:dyDescent="0.3">
      <c r="A90" s="795"/>
      <c r="B90" s="40"/>
      <c r="C90" s="40"/>
      <c r="D90" s="40"/>
      <c r="E90" s="40"/>
      <c r="F90" s="40"/>
      <c r="G90" s="40"/>
      <c r="H90" s="40"/>
      <c r="I90" s="40"/>
      <c r="J90" s="40"/>
    </row>
    <row r="91" spans="1:12" s="333" customFormat="1" ht="66" customHeight="1" thickBot="1" x14ac:dyDescent="0.35">
      <c r="A91" s="796"/>
    </row>
    <row r="92" spans="1:12" ht="37.9" customHeight="1" thickTop="1" thickBot="1" x14ac:dyDescent="0.35">
      <c r="A92" s="797" t="s">
        <v>95</v>
      </c>
    </row>
    <row r="93" spans="1:12" ht="25.5" thickBot="1" x14ac:dyDescent="0.55000000000000004">
      <c r="A93" s="798"/>
      <c r="B93" s="826" t="s">
        <v>96</v>
      </c>
      <c r="C93" s="827"/>
      <c r="D93" s="828"/>
    </row>
    <row r="94" spans="1:12" x14ac:dyDescent="0.3">
      <c r="A94" s="798"/>
    </row>
    <row r="95" spans="1:12" ht="15" customHeight="1" thickBot="1" x14ac:dyDescent="0.35">
      <c r="A95" s="798"/>
    </row>
    <row r="96" spans="1:12" ht="18" customHeight="1" thickBot="1" x14ac:dyDescent="0.45">
      <c r="A96" s="798"/>
      <c r="B96" s="806" t="s">
        <v>97</v>
      </c>
      <c r="C96" s="806"/>
      <c r="D96" s="806"/>
      <c r="E96" s="806"/>
      <c r="F96" s="806"/>
      <c r="G96" s="806"/>
      <c r="H96" s="806"/>
      <c r="J96" s="810" t="s">
        <v>98</v>
      </c>
      <c r="K96" s="811"/>
      <c r="L96" s="812"/>
    </row>
    <row r="97" spans="1:12" ht="16.149999999999999" customHeight="1" thickBot="1" x14ac:dyDescent="0.35">
      <c r="A97" s="798"/>
      <c r="B97" s="35"/>
      <c r="C97" s="789" t="s">
        <v>56</v>
      </c>
      <c r="D97" s="789"/>
      <c r="E97" s="789" t="s">
        <v>57</v>
      </c>
      <c r="F97" s="789"/>
      <c r="G97" s="789" t="s">
        <v>58</v>
      </c>
      <c r="H97" s="789"/>
      <c r="J97" s="813"/>
      <c r="K97" s="814"/>
      <c r="L97" s="815"/>
    </row>
    <row r="98" spans="1:12" ht="47" thickBot="1" x14ac:dyDescent="0.35">
      <c r="A98" s="798"/>
      <c r="B98" s="324" t="s">
        <v>99</v>
      </c>
      <c r="C98" s="35" t="s">
        <v>100</v>
      </c>
      <c r="D98" s="35" t="s">
        <v>61</v>
      </c>
      <c r="E98" s="35" t="s">
        <v>101</v>
      </c>
      <c r="F98" s="35" t="s">
        <v>102</v>
      </c>
      <c r="G98" s="35" t="s">
        <v>103</v>
      </c>
      <c r="H98" s="35" t="s">
        <v>104</v>
      </c>
      <c r="J98" s="816" t="s">
        <v>66</v>
      </c>
      <c r="K98" s="818" t="s">
        <v>105</v>
      </c>
      <c r="L98" s="820" t="s">
        <v>106</v>
      </c>
    </row>
    <row r="99" spans="1:12" ht="15.5" x14ac:dyDescent="0.3">
      <c r="A99" s="798"/>
      <c r="B99" s="329" t="s">
        <v>107</v>
      </c>
      <c r="C99" s="465">
        <f>'G-2 Habitat groups'!E146</f>
        <v>0</v>
      </c>
      <c r="D99" s="465">
        <f>'G-2 Habitat groups'!F146</f>
        <v>0</v>
      </c>
      <c r="E99" s="465">
        <f>'G-2 Habitat groups'!O146</f>
        <v>0</v>
      </c>
      <c r="F99" s="465">
        <f>'G-2 Habitat groups'!P146</f>
        <v>0</v>
      </c>
      <c r="G99" s="465">
        <f>E99-C99</f>
        <v>0</v>
      </c>
      <c r="H99" s="465">
        <f t="shared" ref="H99:H111" si="9">F99-D99</f>
        <v>0</v>
      </c>
      <c r="J99" s="817"/>
      <c r="K99" s="819"/>
      <c r="L99" s="821"/>
    </row>
    <row r="100" spans="1:12" ht="15.5" x14ac:dyDescent="0.3">
      <c r="A100" s="798"/>
      <c r="B100" s="330" t="s">
        <v>108</v>
      </c>
      <c r="C100" s="465">
        <f>'G-2 Habitat groups'!E147</f>
        <v>0</v>
      </c>
      <c r="D100" s="465">
        <f>'G-2 Habitat groups'!F147</f>
        <v>0</v>
      </c>
      <c r="E100" s="465">
        <f>'G-2 Habitat groups'!O147</f>
        <v>0</v>
      </c>
      <c r="F100" s="465">
        <f>'G-2 Habitat groups'!P147</f>
        <v>0</v>
      </c>
      <c r="G100" s="465">
        <f t="shared" ref="G100:G111" si="10">E100-C100</f>
        <v>0</v>
      </c>
      <c r="H100" s="465">
        <f t="shared" si="9"/>
        <v>0</v>
      </c>
      <c r="J100" s="802" t="str">
        <f>'G-1 All Habitats'!$V$3</f>
        <v>V.High</v>
      </c>
      <c r="K100" s="804">
        <f>SUMIF('B-1 Site Hedge Baseline'!$F$10:$F$257,'Detailed Results'!J100,'B-1 Site Hedge Baseline'!$T$10:$T$257)+SUMIF('E-1 Off Site Hedge Baseline'!$F$10:$F$257,'Detailed Results'!J100,'E-1 Off Site Hedge Baseline'!$T$10:$T$257)</f>
        <v>0</v>
      </c>
      <c r="L100" s="808" t="str">
        <f>IF(K100=0,"",(K100/(SUM($K$100:$K$109)))*100)</f>
        <v/>
      </c>
    </row>
    <row r="101" spans="1:12" ht="15.5" x14ac:dyDescent="0.3">
      <c r="A101" s="798"/>
      <c r="B101" s="330" t="s">
        <v>109</v>
      </c>
      <c r="C101" s="465">
        <f>'G-2 Habitat groups'!E148</f>
        <v>0</v>
      </c>
      <c r="D101" s="465">
        <f>'G-2 Habitat groups'!F148</f>
        <v>0</v>
      </c>
      <c r="E101" s="465">
        <f>'G-2 Habitat groups'!O148</f>
        <v>0</v>
      </c>
      <c r="F101" s="465">
        <f>'G-2 Habitat groups'!P148</f>
        <v>0</v>
      </c>
      <c r="G101" s="465">
        <f t="shared" si="10"/>
        <v>0</v>
      </c>
      <c r="H101" s="465">
        <f t="shared" si="9"/>
        <v>0</v>
      </c>
      <c r="J101" s="803"/>
      <c r="K101" s="805"/>
      <c r="L101" s="809"/>
    </row>
    <row r="102" spans="1:12" ht="15.5" x14ac:dyDescent="0.3">
      <c r="A102" s="798"/>
      <c r="B102" s="330" t="s">
        <v>110</v>
      </c>
      <c r="C102" s="465">
        <f>'G-2 Habitat groups'!E149</f>
        <v>0</v>
      </c>
      <c r="D102" s="465">
        <f>'G-2 Habitat groups'!F149</f>
        <v>0</v>
      </c>
      <c r="E102" s="465">
        <f>'G-2 Habitat groups'!O149</f>
        <v>0</v>
      </c>
      <c r="F102" s="465">
        <f>'G-2 Habitat groups'!P149</f>
        <v>0</v>
      </c>
      <c r="G102" s="465">
        <f t="shared" si="10"/>
        <v>0</v>
      </c>
      <c r="H102" s="465">
        <f t="shared" si="9"/>
        <v>0</v>
      </c>
      <c r="J102" s="802" t="str">
        <f>'G-1 All Habitats'!$V$4</f>
        <v>High</v>
      </c>
      <c r="K102" s="804">
        <f>SUMIF('B-1 Site Hedge Baseline'!$F$10:$F$257,'Detailed Results'!J102,'B-1 Site Hedge Baseline'!$T$10:$T$257)+SUMIF('E-1 Off Site Hedge Baseline'!$F$10:$F$257,'Detailed Results'!J102,'E-1 Off Site Hedge Baseline'!$T$10:$T$257)</f>
        <v>0</v>
      </c>
      <c r="L102" s="808" t="str">
        <f t="shared" ref="L102" si="11">IF(K102=0,"",(K102/(SUM($K$100:$K$109)))*100)</f>
        <v/>
      </c>
    </row>
    <row r="103" spans="1:12" ht="15.5" x14ac:dyDescent="0.3">
      <c r="A103" s="798"/>
      <c r="B103" s="330" t="s">
        <v>111</v>
      </c>
      <c r="C103" s="465">
        <f>'G-2 Habitat groups'!E150</f>
        <v>0</v>
      </c>
      <c r="D103" s="465">
        <f>'G-2 Habitat groups'!F150</f>
        <v>0</v>
      </c>
      <c r="E103" s="465">
        <f>'G-2 Habitat groups'!O150</f>
        <v>0</v>
      </c>
      <c r="F103" s="465">
        <f>'G-2 Habitat groups'!P150</f>
        <v>0</v>
      </c>
      <c r="G103" s="465">
        <f t="shared" si="10"/>
        <v>0</v>
      </c>
      <c r="H103" s="465">
        <f t="shared" si="9"/>
        <v>0</v>
      </c>
      <c r="J103" s="803"/>
      <c r="K103" s="805"/>
      <c r="L103" s="809"/>
    </row>
    <row r="104" spans="1:12" ht="15.5" x14ac:dyDescent="0.3">
      <c r="A104" s="798"/>
      <c r="B104" s="330" t="s">
        <v>112</v>
      </c>
      <c r="C104" s="465">
        <f>'G-2 Habitat groups'!E151</f>
        <v>0</v>
      </c>
      <c r="D104" s="465">
        <f>'G-2 Habitat groups'!F151</f>
        <v>0</v>
      </c>
      <c r="E104" s="465">
        <f>'G-2 Habitat groups'!O151</f>
        <v>0</v>
      </c>
      <c r="F104" s="465">
        <f>'G-2 Habitat groups'!P151</f>
        <v>0</v>
      </c>
      <c r="G104" s="465">
        <f t="shared" si="10"/>
        <v>0</v>
      </c>
      <c r="H104" s="465">
        <f t="shared" si="9"/>
        <v>0</v>
      </c>
      <c r="J104" s="802" t="str">
        <f>'G-1 All Habitats'!$V$5</f>
        <v>Medium</v>
      </c>
      <c r="K104" s="804">
        <f>SUMIF('B-1 Site Hedge Baseline'!$F$10:$F$257,'Detailed Results'!J104,'B-1 Site Hedge Baseline'!$T$10:$T$257)+SUMIF('E-1 Off Site Hedge Baseline'!$F$10:$F$257,'Detailed Results'!J104,'E-1 Off Site Hedge Baseline'!$T$10:$T$257)</f>
        <v>0</v>
      </c>
      <c r="L104" s="808" t="str">
        <f t="shared" ref="L104" si="12">IF(K104=0,"",(K104/(SUM($K$100:$K$109)))*100)</f>
        <v/>
      </c>
    </row>
    <row r="105" spans="1:12" ht="15.5" x14ac:dyDescent="0.3">
      <c r="A105" s="798"/>
      <c r="B105" s="330" t="s">
        <v>113</v>
      </c>
      <c r="C105" s="465">
        <f>'G-2 Habitat groups'!E152</f>
        <v>0</v>
      </c>
      <c r="D105" s="465">
        <f>'G-2 Habitat groups'!F152</f>
        <v>0</v>
      </c>
      <c r="E105" s="465">
        <f>'G-2 Habitat groups'!O152</f>
        <v>0</v>
      </c>
      <c r="F105" s="465">
        <f>'G-2 Habitat groups'!P152</f>
        <v>0</v>
      </c>
      <c r="G105" s="465">
        <f t="shared" si="10"/>
        <v>0</v>
      </c>
      <c r="H105" s="465">
        <f t="shared" si="9"/>
        <v>0</v>
      </c>
      <c r="J105" s="803"/>
      <c r="K105" s="805"/>
      <c r="L105" s="809"/>
    </row>
    <row r="106" spans="1:12" ht="15.5" x14ac:dyDescent="0.3">
      <c r="A106" s="798"/>
      <c r="B106" s="331" t="s">
        <v>114</v>
      </c>
      <c r="C106" s="465">
        <f>'G-2 Habitat groups'!E153</f>
        <v>0</v>
      </c>
      <c r="D106" s="465">
        <f>'G-2 Habitat groups'!F153</f>
        <v>0</v>
      </c>
      <c r="E106" s="465">
        <f>'G-2 Habitat groups'!O153</f>
        <v>0</v>
      </c>
      <c r="F106" s="465">
        <f>'G-2 Habitat groups'!P153</f>
        <v>0</v>
      </c>
      <c r="G106" s="465">
        <f t="shared" si="10"/>
        <v>0</v>
      </c>
      <c r="H106" s="465">
        <f t="shared" si="9"/>
        <v>0</v>
      </c>
      <c r="J106" s="802" t="str">
        <f>'G-1 All Habitats'!$V$6</f>
        <v>Low</v>
      </c>
      <c r="K106" s="804">
        <f>SUMIF('B-1 Site Hedge Baseline'!$F$10:$F$257,'Detailed Results'!J106,'B-1 Site Hedge Baseline'!$T$10:$T$257)+SUMIF('E-1 Off Site Hedge Baseline'!$F$10:$F$257,'Detailed Results'!J106,'E-1 Off Site Hedge Baseline'!$T$10:$T$257)</f>
        <v>0</v>
      </c>
      <c r="L106" s="808" t="str">
        <f t="shared" ref="L106" si="13">IF(K106=0,"",(K106/(SUM($K$100:$K$109)))*100)</f>
        <v/>
      </c>
    </row>
    <row r="107" spans="1:12" ht="15.5" x14ac:dyDescent="0.3">
      <c r="A107" s="798"/>
      <c r="B107" s="332" t="s">
        <v>115</v>
      </c>
      <c r="C107" s="465">
        <f>'G-2 Habitat groups'!E154</f>
        <v>0</v>
      </c>
      <c r="D107" s="465">
        <f>'G-2 Habitat groups'!F154</f>
        <v>0</v>
      </c>
      <c r="E107" s="465">
        <f>'G-2 Habitat groups'!O154</f>
        <v>0</v>
      </c>
      <c r="F107" s="465">
        <f>'G-2 Habitat groups'!P154</f>
        <v>0</v>
      </c>
      <c r="G107" s="465">
        <f t="shared" si="10"/>
        <v>0</v>
      </c>
      <c r="H107" s="465">
        <f t="shared" si="9"/>
        <v>0</v>
      </c>
      <c r="J107" s="803"/>
      <c r="K107" s="805"/>
      <c r="L107" s="809"/>
    </row>
    <row r="108" spans="1:12" ht="15.5" x14ac:dyDescent="0.3">
      <c r="A108" s="798"/>
      <c r="B108" s="332" t="s">
        <v>116</v>
      </c>
      <c r="C108" s="465">
        <f>'G-2 Habitat groups'!E155</f>
        <v>0</v>
      </c>
      <c r="D108" s="465">
        <f>'G-2 Habitat groups'!F155</f>
        <v>0</v>
      </c>
      <c r="E108" s="465">
        <f>'G-2 Habitat groups'!O155</f>
        <v>0.246</v>
      </c>
      <c r="F108" s="465">
        <f>'G-2 Habitat groups'!P155</f>
        <v>0.82343944139040004</v>
      </c>
      <c r="G108" s="465">
        <f t="shared" si="10"/>
        <v>0.246</v>
      </c>
      <c r="H108" s="465">
        <f t="shared" si="9"/>
        <v>0.82343944139040004</v>
      </c>
      <c r="J108" s="802" t="str">
        <f>'G-1 All Habitats'!$V$7</f>
        <v>V.Low</v>
      </c>
      <c r="K108" s="804">
        <f>SUMIF('B-1 Site Hedge Baseline'!$F$10:$F$257,'Detailed Results'!J108,'B-1 Site Hedge Baseline'!$T$10:$T$257)+SUMIF('E-1 Off Site Hedge Baseline'!$F$10:$F$257,'Detailed Results'!J108,'E-1 Off Site Hedge Baseline'!$T$10:$T$257)</f>
        <v>0</v>
      </c>
      <c r="L108" s="808" t="str">
        <f t="shared" ref="L108" si="14">IF(K108=0,"",(K108/(SUM($K$100:$K$109)))*100)</f>
        <v/>
      </c>
    </row>
    <row r="109" spans="1:12" ht="16" thickBot="1" x14ac:dyDescent="0.35">
      <c r="A109" s="798"/>
      <c r="B109" s="332" t="s">
        <v>117</v>
      </c>
      <c r="C109" s="465">
        <f>'G-2 Habitat groups'!E156</f>
        <v>0</v>
      </c>
      <c r="D109" s="465">
        <f>'G-2 Habitat groups'!F156</f>
        <v>0</v>
      </c>
      <c r="E109" s="465">
        <f>'G-2 Habitat groups'!O156</f>
        <v>0</v>
      </c>
      <c r="F109" s="465">
        <f>'G-2 Habitat groups'!P156</f>
        <v>0</v>
      </c>
      <c r="G109" s="465">
        <f t="shared" si="10"/>
        <v>0</v>
      </c>
      <c r="H109" s="465">
        <f t="shared" si="9"/>
        <v>0</v>
      </c>
      <c r="J109" s="807"/>
      <c r="K109" s="805"/>
      <c r="L109" s="809"/>
    </row>
    <row r="110" spans="1:12" ht="15.5" x14ac:dyDescent="0.3">
      <c r="A110" s="798"/>
      <c r="B110" s="332" t="s">
        <v>118</v>
      </c>
      <c r="C110" s="465">
        <f>'G-2 Habitat groups'!E157</f>
        <v>0</v>
      </c>
      <c r="D110" s="465">
        <f>'G-2 Habitat groups'!F157</f>
        <v>0</v>
      </c>
      <c r="E110" s="465">
        <f>'G-2 Habitat groups'!O157</f>
        <v>0</v>
      </c>
      <c r="F110" s="465">
        <f>'G-2 Habitat groups'!P157</f>
        <v>0</v>
      </c>
      <c r="G110" s="465">
        <f t="shared" si="10"/>
        <v>0</v>
      </c>
      <c r="H110" s="465">
        <f t="shared" si="9"/>
        <v>0</v>
      </c>
    </row>
    <row r="111" spans="1:12" ht="15.5" x14ac:dyDescent="0.3">
      <c r="A111" s="798"/>
      <c r="B111" s="332" t="s">
        <v>119</v>
      </c>
      <c r="C111" s="465">
        <f>'G-2 Habitat groups'!E158</f>
        <v>0</v>
      </c>
      <c r="D111" s="465">
        <f>'G-2 Habitat groups'!F158</f>
        <v>0</v>
      </c>
      <c r="E111" s="465">
        <f>'G-2 Habitat groups'!O158</f>
        <v>0</v>
      </c>
      <c r="F111" s="465">
        <f>'G-2 Habitat groups'!P158</f>
        <v>0</v>
      </c>
      <c r="G111" s="465">
        <f t="shared" si="10"/>
        <v>0</v>
      </c>
      <c r="H111" s="465">
        <f t="shared" si="9"/>
        <v>0</v>
      </c>
    </row>
    <row r="112" spans="1:12" x14ac:dyDescent="0.3">
      <c r="A112" s="798"/>
    </row>
    <row r="113" spans="1:8" x14ac:dyDescent="0.3">
      <c r="A113" s="798"/>
    </row>
    <row r="114" spans="1:8" x14ac:dyDescent="0.3">
      <c r="A114" s="798"/>
    </row>
    <row r="115" spans="1:8" ht="14.5" thickBot="1" x14ac:dyDescent="0.35">
      <c r="A115" s="798"/>
    </row>
    <row r="116" spans="1:8" ht="18.5" thickBot="1" x14ac:dyDescent="0.45">
      <c r="A116" s="798"/>
      <c r="B116" s="806" t="s">
        <v>120</v>
      </c>
      <c r="C116" s="806"/>
      <c r="D116" s="806"/>
      <c r="E116" s="806"/>
      <c r="F116" s="806"/>
      <c r="G116" s="806"/>
      <c r="H116" s="806"/>
    </row>
    <row r="117" spans="1:8" ht="16" thickBot="1" x14ac:dyDescent="0.35">
      <c r="A117" s="798"/>
      <c r="B117" s="35"/>
      <c r="C117" s="789" t="s">
        <v>121</v>
      </c>
      <c r="D117" s="789"/>
      <c r="E117" s="789" t="s">
        <v>122</v>
      </c>
      <c r="F117" s="789"/>
      <c r="G117" s="789" t="s">
        <v>123</v>
      </c>
      <c r="H117" s="789"/>
    </row>
    <row r="118" spans="1:8" ht="47" thickBot="1" x14ac:dyDescent="0.35">
      <c r="A118" s="798"/>
      <c r="B118" s="324" t="s">
        <v>99</v>
      </c>
      <c r="C118" s="35" t="s">
        <v>124</v>
      </c>
      <c r="D118" s="35" t="s">
        <v>125</v>
      </c>
      <c r="E118" s="35" t="s">
        <v>126</v>
      </c>
      <c r="F118" s="35" t="s">
        <v>127</v>
      </c>
      <c r="G118" s="35" t="s">
        <v>128</v>
      </c>
      <c r="H118" s="35" t="s">
        <v>129</v>
      </c>
    </row>
    <row r="119" spans="1:8" ht="15.5" x14ac:dyDescent="0.3">
      <c r="A119" s="798"/>
      <c r="B119" s="329" t="s">
        <v>107</v>
      </c>
      <c r="C119" s="465">
        <f>'G-2 Habitat groups'!S146</f>
        <v>0</v>
      </c>
      <c r="D119" s="465">
        <f>'G-2 Habitat groups'!T146</f>
        <v>0</v>
      </c>
      <c r="E119" s="465">
        <f>'G-2 Habitat groups'!AA146</f>
        <v>0</v>
      </c>
      <c r="F119" s="465">
        <f>'G-2 Habitat groups'!AB146</f>
        <v>0</v>
      </c>
      <c r="G119" s="465">
        <f t="shared" ref="G119:G131" si="15">E119-C119</f>
        <v>0</v>
      </c>
      <c r="H119" s="465">
        <f t="shared" ref="H119:H131" si="16">F119-D119</f>
        <v>0</v>
      </c>
    </row>
    <row r="120" spans="1:8" ht="15.5" x14ac:dyDescent="0.3">
      <c r="A120" s="798"/>
      <c r="B120" s="330" t="s">
        <v>108</v>
      </c>
      <c r="C120" s="465">
        <f>'G-2 Habitat groups'!S147</f>
        <v>0</v>
      </c>
      <c r="D120" s="465">
        <f>'G-2 Habitat groups'!T147</f>
        <v>0</v>
      </c>
      <c r="E120" s="465">
        <f>'G-2 Habitat groups'!AA147</f>
        <v>0</v>
      </c>
      <c r="F120" s="465">
        <f>'G-2 Habitat groups'!AB147</f>
        <v>0</v>
      </c>
      <c r="G120" s="465">
        <f t="shared" si="15"/>
        <v>0</v>
      </c>
      <c r="H120" s="465">
        <f t="shared" si="16"/>
        <v>0</v>
      </c>
    </row>
    <row r="121" spans="1:8" ht="15.5" x14ac:dyDescent="0.3">
      <c r="A121" s="798"/>
      <c r="B121" s="330" t="s">
        <v>109</v>
      </c>
      <c r="C121" s="465">
        <f>'G-2 Habitat groups'!S148</f>
        <v>0</v>
      </c>
      <c r="D121" s="465">
        <f>'G-2 Habitat groups'!T148</f>
        <v>0</v>
      </c>
      <c r="E121" s="465">
        <f>'G-2 Habitat groups'!AA148</f>
        <v>0</v>
      </c>
      <c r="F121" s="465">
        <f>'G-2 Habitat groups'!AB148</f>
        <v>0</v>
      </c>
      <c r="G121" s="465">
        <f t="shared" si="15"/>
        <v>0</v>
      </c>
      <c r="H121" s="465">
        <f t="shared" si="16"/>
        <v>0</v>
      </c>
    </row>
    <row r="122" spans="1:8" ht="15.5" x14ac:dyDescent="0.3">
      <c r="A122" s="798"/>
      <c r="B122" s="330" t="s">
        <v>110</v>
      </c>
      <c r="C122" s="465">
        <f>'G-2 Habitat groups'!S149</f>
        <v>0</v>
      </c>
      <c r="D122" s="465">
        <f>'G-2 Habitat groups'!T149</f>
        <v>0</v>
      </c>
      <c r="E122" s="465">
        <f>'G-2 Habitat groups'!AA149</f>
        <v>0</v>
      </c>
      <c r="F122" s="465">
        <f>'G-2 Habitat groups'!AB149</f>
        <v>0</v>
      </c>
      <c r="G122" s="465">
        <f t="shared" si="15"/>
        <v>0</v>
      </c>
      <c r="H122" s="465">
        <f t="shared" si="16"/>
        <v>0</v>
      </c>
    </row>
    <row r="123" spans="1:8" ht="15.5" x14ac:dyDescent="0.3">
      <c r="A123" s="798"/>
      <c r="B123" s="330" t="s">
        <v>111</v>
      </c>
      <c r="C123" s="465">
        <f>'G-2 Habitat groups'!S150</f>
        <v>0</v>
      </c>
      <c r="D123" s="465">
        <f>'G-2 Habitat groups'!T150</f>
        <v>0</v>
      </c>
      <c r="E123" s="465">
        <f>'G-2 Habitat groups'!AA150</f>
        <v>0</v>
      </c>
      <c r="F123" s="465">
        <f>'G-2 Habitat groups'!AB150</f>
        <v>0</v>
      </c>
      <c r="G123" s="465">
        <f t="shared" si="15"/>
        <v>0</v>
      </c>
      <c r="H123" s="465">
        <f t="shared" si="16"/>
        <v>0</v>
      </c>
    </row>
    <row r="124" spans="1:8" ht="15.5" x14ac:dyDescent="0.3">
      <c r="A124" s="798"/>
      <c r="B124" s="330" t="s">
        <v>112</v>
      </c>
      <c r="C124" s="465">
        <f>'G-2 Habitat groups'!S151</f>
        <v>0</v>
      </c>
      <c r="D124" s="465">
        <f>'G-2 Habitat groups'!T151</f>
        <v>0</v>
      </c>
      <c r="E124" s="465">
        <f>'G-2 Habitat groups'!AA151</f>
        <v>0</v>
      </c>
      <c r="F124" s="465">
        <f>'G-2 Habitat groups'!AB151</f>
        <v>0</v>
      </c>
      <c r="G124" s="465">
        <f t="shared" si="15"/>
        <v>0</v>
      </c>
      <c r="H124" s="465">
        <f t="shared" si="16"/>
        <v>0</v>
      </c>
    </row>
    <row r="125" spans="1:8" ht="15.5" x14ac:dyDescent="0.3">
      <c r="A125" s="798"/>
      <c r="B125" s="330" t="s">
        <v>113</v>
      </c>
      <c r="C125" s="465">
        <f>'G-2 Habitat groups'!S152</f>
        <v>0</v>
      </c>
      <c r="D125" s="465">
        <f>'G-2 Habitat groups'!T152</f>
        <v>0</v>
      </c>
      <c r="E125" s="465">
        <f>'G-2 Habitat groups'!AA152</f>
        <v>0</v>
      </c>
      <c r="F125" s="465">
        <f>'G-2 Habitat groups'!AB152</f>
        <v>0</v>
      </c>
      <c r="G125" s="465">
        <f t="shared" si="15"/>
        <v>0</v>
      </c>
      <c r="H125" s="465">
        <f t="shared" si="16"/>
        <v>0</v>
      </c>
    </row>
    <row r="126" spans="1:8" ht="15.5" x14ac:dyDescent="0.3">
      <c r="A126" s="798"/>
      <c r="B126" s="331" t="s">
        <v>114</v>
      </c>
      <c r="C126" s="465">
        <f>'G-2 Habitat groups'!S153</f>
        <v>0</v>
      </c>
      <c r="D126" s="465">
        <f>'G-2 Habitat groups'!T153</f>
        <v>0</v>
      </c>
      <c r="E126" s="465">
        <f>'G-2 Habitat groups'!AA153</f>
        <v>0</v>
      </c>
      <c r="F126" s="465">
        <f>'G-2 Habitat groups'!AB153</f>
        <v>0</v>
      </c>
      <c r="G126" s="465">
        <f t="shared" si="15"/>
        <v>0</v>
      </c>
      <c r="H126" s="465">
        <f t="shared" si="16"/>
        <v>0</v>
      </c>
    </row>
    <row r="127" spans="1:8" ht="15.5" x14ac:dyDescent="0.3">
      <c r="A127" s="798"/>
      <c r="B127" s="332" t="s">
        <v>115</v>
      </c>
      <c r="C127" s="465">
        <f>'G-2 Habitat groups'!S154</f>
        <v>0</v>
      </c>
      <c r="D127" s="465">
        <f>'G-2 Habitat groups'!T154</f>
        <v>0</v>
      </c>
      <c r="E127" s="465">
        <f>'G-2 Habitat groups'!AA154</f>
        <v>0</v>
      </c>
      <c r="F127" s="465">
        <f>'G-2 Habitat groups'!AB154</f>
        <v>0</v>
      </c>
      <c r="G127" s="465">
        <f t="shared" si="15"/>
        <v>0</v>
      </c>
      <c r="H127" s="465">
        <f t="shared" si="16"/>
        <v>0</v>
      </c>
    </row>
    <row r="128" spans="1:8" ht="15.5" x14ac:dyDescent="0.3">
      <c r="A128" s="798"/>
      <c r="B128" s="332" t="s">
        <v>116</v>
      </c>
      <c r="C128" s="465">
        <f>'G-2 Habitat groups'!S155</f>
        <v>0</v>
      </c>
      <c r="D128" s="465">
        <f>'G-2 Habitat groups'!T155</f>
        <v>0</v>
      </c>
      <c r="E128" s="465">
        <f>'G-2 Habitat groups'!AA155</f>
        <v>0</v>
      </c>
      <c r="F128" s="465">
        <f>'G-2 Habitat groups'!AB155</f>
        <v>0</v>
      </c>
      <c r="G128" s="465">
        <f t="shared" si="15"/>
        <v>0</v>
      </c>
      <c r="H128" s="465">
        <f t="shared" si="16"/>
        <v>0</v>
      </c>
    </row>
    <row r="129" spans="1:8" ht="15.5" x14ac:dyDescent="0.3">
      <c r="A129" s="798"/>
      <c r="B129" s="332" t="s">
        <v>117</v>
      </c>
      <c r="C129" s="465">
        <f>'G-2 Habitat groups'!S156</f>
        <v>0</v>
      </c>
      <c r="D129" s="465">
        <f>'G-2 Habitat groups'!T156</f>
        <v>0</v>
      </c>
      <c r="E129" s="465">
        <f>'G-2 Habitat groups'!AA156</f>
        <v>0</v>
      </c>
      <c r="F129" s="465">
        <f>'G-2 Habitat groups'!AB156</f>
        <v>0</v>
      </c>
      <c r="G129" s="465">
        <f t="shared" si="15"/>
        <v>0</v>
      </c>
      <c r="H129" s="465">
        <f t="shared" si="16"/>
        <v>0</v>
      </c>
    </row>
    <row r="130" spans="1:8" ht="15.5" x14ac:dyDescent="0.3">
      <c r="A130" s="798"/>
      <c r="B130" s="332" t="s">
        <v>130</v>
      </c>
      <c r="C130" s="465">
        <f>'G-2 Habitat groups'!S157</f>
        <v>0</v>
      </c>
      <c r="D130" s="465">
        <f>'G-2 Habitat groups'!T157</f>
        <v>0</v>
      </c>
      <c r="E130" s="465">
        <f>'G-2 Habitat groups'!AA157</f>
        <v>0</v>
      </c>
      <c r="F130" s="465">
        <f>'G-2 Habitat groups'!AB157</f>
        <v>0</v>
      </c>
      <c r="G130" s="465">
        <f t="shared" si="15"/>
        <v>0</v>
      </c>
      <c r="H130" s="465">
        <f t="shared" si="16"/>
        <v>0</v>
      </c>
    </row>
    <row r="131" spans="1:8" ht="15.5" x14ac:dyDescent="0.3">
      <c r="A131" s="798"/>
      <c r="B131" s="332" t="s">
        <v>119</v>
      </c>
      <c r="C131" s="465">
        <f>'G-2 Habitat groups'!S158</f>
        <v>0</v>
      </c>
      <c r="D131" s="465">
        <f>'G-2 Habitat groups'!T158</f>
        <v>0</v>
      </c>
      <c r="E131" s="465">
        <f>'G-2 Habitat groups'!AA158</f>
        <v>0</v>
      </c>
      <c r="F131" s="465">
        <f>'G-2 Habitat groups'!AB158</f>
        <v>0</v>
      </c>
      <c r="G131" s="465">
        <f t="shared" si="15"/>
        <v>0</v>
      </c>
      <c r="H131" s="465">
        <f t="shared" si="16"/>
        <v>0</v>
      </c>
    </row>
    <row r="132" spans="1:8" x14ac:dyDescent="0.3">
      <c r="A132" s="798"/>
      <c r="B132" s="40"/>
      <c r="C132" s="40"/>
    </row>
    <row r="133" spans="1:8" x14ac:dyDescent="0.3">
      <c r="A133" s="798"/>
      <c r="B133" s="40"/>
      <c r="C133" s="40"/>
    </row>
    <row r="134" spans="1:8" x14ac:dyDescent="0.3">
      <c r="A134" s="798"/>
      <c r="B134" s="40"/>
      <c r="C134" s="40"/>
    </row>
    <row r="135" spans="1:8" ht="14.5" thickBot="1" x14ac:dyDescent="0.35">
      <c r="A135" s="798"/>
      <c r="B135" s="40"/>
      <c r="C135" s="40"/>
    </row>
    <row r="136" spans="1:8" ht="18.5" thickBot="1" x14ac:dyDescent="0.45">
      <c r="A136" s="798"/>
      <c r="B136" s="806" t="s">
        <v>131</v>
      </c>
      <c r="C136" s="806"/>
      <c r="D136" s="806"/>
      <c r="E136" s="806"/>
      <c r="F136" s="806"/>
      <c r="G136" s="806"/>
      <c r="H136" s="806"/>
    </row>
    <row r="137" spans="1:8" ht="16" thickBot="1" x14ac:dyDescent="0.35">
      <c r="A137" s="798"/>
      <c r="B137" s="35"/>
      <c r="C137" s="789" t="s">
        <v>56</v>
      </c>
      <c r="D137" s="789"/>
      <c r="E137" s="789" t="s">
        <v>57</v>
      </c>
      <c r="F137" s="789"/>
      <c r="G137" s="789" t="s">
        <v>58</v>
      </c>
      <c r="H137" s="789"/>
    </row>
    <row r="138" spans="1:8" ht="31.5" thickBot="1" x14ac:dyDescent="0.35">
      <c r="A138" s="798"/>
      <c r="B138" s="324" t="s">
        <v>99</v>
      </c>
      <c r="C138" s="35" t="s">
        <v>132</v>
      </c>
      <c r="D138" s="35" t="s">
        <v>61</v>
      </c>
      <c r="E138" s="35" t="s">
        <v>133</v>
      </c>
      <c r="F138" s="35" t="s">
        <v>63</v>
      </c>
      <c r="G138" s="35" t="s">
        <v>134</v>
      </c>
      <c r="H138" s="35" t="s">
        <v>65</v>
      </c>
    </row>
    <row r="139" spans="1:8" ht="15.5" x14ac:dyDescent="0.3">
      <c r="A139" s="798"/>
      <c r="B139" s="336" t="s">
        <v>107</v>
      </c>
      <c r="C139" s="467">
        <f>C99+C119</f>
        <v>0</v>
      </c>
      <c r="D139" s="467">
        <f t="shared" ref="D139:H139" si="17">D99+D119</f>
        <v>0</v>
      </c>
      <c r="E139" s="467">
        <f t="shared" si="17"/>
        <v>0</v>
      </c>
      <c r="F139" s="467">
        <f t="shared" si="17"/>
        <v>0</v>
      </c>
      <c r="G139" s="467">
        <f>G99+G119</f>
        <v>0</v>
      </c>
      <c r="H139" s="467">
        <f t="shared" si="17"/>
        <v>0</v>
      </c>
    </row>
    <row r="140" spans="1:8" ht="15.5" x14ac:dyDescent="0.3">
      <c r="A140" s="798"/>
      <c r="B140" s="337" t="s">
        <v>108</v>
      </c>
      <c r="C140" s="467">
        <f t="shared" ref="C140:H140" si="18">C100+C120</f>
        <v>0</v>
      </c>
      <c r="D140" s="467">
        <f t="shared" si="18"/>
        <v>0</v>
      </c>
      <c r="E140" s="467">
        <f t="shared" si="18"/>
        <v>0</v>
      </c>
      <c r="F140" s="467">
        <f t="shared" si="18"/>
        <v>0</v>
      </c>
      <c r="G140" s="467">
        <f t="shared" si="18"/>
        <v>0</v>
      </c>
      <c r="H140" s="467">
        <f t="shared" si="18"/>
        <v>0</v>
      </c>
    </row>
    <row r="141" spans="1:8" ht="15.5" x14ac:dyDescent="0.3">
      <c r="A141" s="798"/>
      <c r="B141" s="337" t="s">
        <v>109</v>
      </c>
      <c r="C141" s="467">
        <f>C101+C121</f>
        <v>0</v>
      </c>
      <c r="D141" s="467">
        <f t="shared" ref="D141:H141" si="19">D101+D121</f>
        <v>0</v>
      </c>
      <c r="E141" s="467">
        <f t="shared" si="19"/>
        <v>0</v>
      </c>
      <c r="F141" s="467">
        <f t="shared" si="19"/>
        <v>0</v>
      </c>
      <c r="G141" s="467">
        <f t="shared" si="19"/>
        <v>0</v>
      </c>
      <c r="H141" s="467">
        <f t="shared" si="19"/>
        <v>0</v>
      </c>
    </row>
    <row r="142" spans="1:8" ht="15.5" x14ac:dyDescent="0.3">
      <c r="A142" s="798"/>
      <c r="B142" s="337" t="s">
        <v>110</v>
      </c>
      <c r="C142" s="467">
        <f t="shared" ref="C142:H142" si="20">C102+C122</f>
        <v>0</v>
      </c>
      <c r="D142" s="467">
        <f t="shared" si="20"/>
        <v>0</v>
      </c>
      <c r="E142" s="467">
        <f t="shared" si="20"/>
        <v>0</v>
      </c>
      <c r="F142" s="467">
        <f t="shared" si="20"/>
        <v>0</v>
      </c>
      <c r="G142" s="467">
        <f t="shared" si="20"/>
        <v>0</v>
      </c>
      <c r="H142" s="467">
        <f t="shared" si="20"/>
        <v>0</v>
      </c>
    </row>
    <row r="143" spans="1:8" ht="15.5" x14ac:dyDescent="0.3">
      <c r="A143" s="798"/>
      <c r="B143" s="337" t="s">
        <v>111</v>
      </c>
      <c r="C143" s="467">
        <f t="shared" ref="C143:H143" si="21">C103+C123</f>
        <v>0</v>
      </c>
      <c r="D143" s="467">
        <f t="shared" si="21"/>
        <v>0</v>
      </c>
      <c r="E143" s="467">
        <f t="shared" si="21"/>
        <v>0</v>
      </c>
      <c r="F143" s="467">
        <f t="shared" si="21"/>
        <v>0</v>
      </c>
      <c r="G143" s="467">
        <f t="shared" si="21"/>
        <v>0</v>
      </c>
      <c r="H143" s="467">
        <f t="shared" si="21"/>
        <v>0</v>
      </c>
    </row>
    <row r="144" spans="1:8" ht="15.5" x14ac:dyDescent="0.3">
      <c r="A144" s="798"/>
      <c r="B144" s="337" t="s">
        <v>112</v>
      </c>
      <c r="C144" s="467">
        <f t="shared" ref="C144:H144" si="22">C104+C124</f>
        <v>0</v>
      </c>
      <c r="D144" s="467">
        <f t="shared" si="22"/>
        <v>0</v>
      </c>
      <c r="E144" s="467">
        <f t="shared" si="22"/>
        <v>0</v>
      </c>
      <c r="F144" s="467">
        <f t="shared" si="22"/>
        <v>0</v>
      </c>
      <c r="G144" s="467">
        <f t="shared" si="22"/>
        <v>0</v>
      </c>
      <c r="H144" s="467">
        <f t="shared" si="22"/>
        <v>0</v>
      </c>
    </row>
    <row r="145" spans="1:12" ht="15.5" x14ac:dyDescent="0.3">
      <c r="A145" s="798"/>
      <c r="B145" s="337" t="s">
        <v>113</v>
      </c>
      <c r="C145" s="467">
        <f t="shared" ref="C145:H145" si="23">C105+C125</f>
        <v>0</v>
      </c>
      <c r="D145" s="467">
        <f t="shared" si="23"/>
        <v>0</v>
      </c>
      <c r="E145" s="467">
        <f t="shared" si="23"/>
        <v>0</v>
      </c>
      <c r="F145" s="467">
        <f t="shared" si="23"/>
        <v>0</v>
      </c>
      <c r="G145" s="467">
        <f t="shared" si="23"/>
        <v>0</v>
      </c>
      <c r="H145" s="467">
        <f t="shared" si="23"/>
        <v>0</v>
      </c>
    </row>
    <row r="146" spans="1:12" ht="15.5" x14ac:dyDescent="0.3">
      <c r="A146" s="798"/>
      <c r="B146" s="337" t="s">
        <v>114</v>
      </c>
      <c r="C146" s="467">
        <f t="shared" ref="C146:H146" si="24">C106+C126</f>
        <v>0</v>
      </c>
      <c r="D146" s="467">
        <f t="shared" si="24"/>
        <v>0</v>
      </c>
      <c r="E146" s="467">
        <f t="shared" si="24"/>
        <v>0</v>
      </c>
      <c r="F146" s="467">
        <f t="shared" si="24"/>
        <v>0</v>
      </c>
      <c r="G146" s="467">
        <f t="shared" si="24"/>
        <v>0</v>
      </c>
      <c r="H146" s="467">
        <f t="shared" si="24"/>
        <v>0</v>
      </c>
    </row>
    <row r="147" spans="1:12" ht="15.5" x14ac:dyDescent="0.3">
      <c r="A147" s="798"/>
      <c r="B147" s="332" t="s">
        <v>115</v>
      </c>
      <c r="C147" s="467">
        <f t="shared" ref="C147:H147" si="25">C107+C127</f>
        <v>0</v>
      </c>
      <c r="D147" s="467">
        <f t="shared" si="25"/>
        <v>0</v>
      </c>
      <c r="E147" s="467">
        <f t="shared" si="25"/>
        <v>0</v>
      </c>
      <c r="F147" s="467">
        <f t="shared" si="25"/>
        <v>0</v>
      </c>
      <c r="G147" s="467">
        <f t="shared" si="25"/>
        <v>0</v>
      </c>
      <c r="H147" s="467">
        <f t="shared" si="25"/>
        <v>0</v>
      </c>
    </row>
    <row r="148" spans="1:12" ht="15.5" x14ac:dyDescent="0.3">
      <c r="A148" s="798"/>
      <c r="B148" s="332" t="s">
        <v>116</v>
      </c>
      <c r="C148" s="467">
        <f t="shared" ref="C148:H148" si="26">C108+C128</f>
        <v>0</v>
      </c>
      <c r="D148" s="467">
        <f t="shared" si="26"/>
        <v>0</v>
      </c>
      <c r="E148" s="467">
        <f t="shared" si="26"/>
        <v>0.246</v>
      </c>
      <c r="F148" s="467">
        <f t="shared" si="26"/>
        <v>0.82343944139040004</v>
      </c>
      <c r="G148" s="467">
        <f t="shared" si="26"/>
        <v>0.246</v>
      </c>
      <c r="H148" s="467">
        <f t="shared" si="26"/>
        <v>0.82343944139040004</v>
      </c>
    </row>
    <row r="149" spans="1:12" ht="15.5" x14ac:dyDescent="0.3">
      <c r="A149" s="798"/>
      <c r="B149" s="332" t="s">
        <v>117</v>
      </c>
      <c r="C149" s="467">
        <f t="shared" ref="C149:H149" si="27">C109+C129</f>
        <v>0</v>
      </c>
      <c r="D149" s="467">
        <f t="shared" si="27"/>
        <v>0</v>
      </c>
      <c r="E149" s="467">
        <f t="shared" si="27"/>
        <v>0</v>
      </c>
      <c r="F149" s="467">
        <f t="shared" si="27"/>
        <v>0</v>
      </c>
      <c r="G149" s="467">
        <f t="shared" si="27"/>
        <v>0</v>
      </c>
      <c r="H149" s="467">
        <f t="shared" si="27"/>
        <v>0</v>
      </c>
    </row>
    <row r="150" spans="1:12" ht="15.5" x14ac:dyDescent="0.3">
      <c r="A150" s="798"/>
      <c r="B150" s="332" t="s">
        <v>130</v>
      </c>
      <c r="C150" s="467">
        <f t="shared" ref="C150:H150" si="28">C110+C130</f>
        <v>0</v>
      </c>
      <c r="D150" s="467">
        <f t="shared" si="28"/>
        <v>0</v>
      </c>
      <c r="E150" s="467">
        <f t="shared" si="28"/>
        <v>0</v>
      </c>
      <c r="F150" s="467">
        <f t="shared" si="28"/>
        <v>0</v>
      </c>
      <c r="G150" s="467">
        <f t="shared" si="28"/>
        <v>0</v>
      </c>
      <c r="H150" s="467">
        <f t="shared" si="28"/>
        <v>0</v>
      </c>
    </row>
    <row r="151" spans="1:12" ht="15.5" x14ac:dyDescent="0.3">
      <c r="A151" s="798"/>
      <c r="B151" s="332" t="s">
        <v>119</v>
      </c>
      <c r="C151" s="467">
        <f t="shared" ref="C151:H151" si="29">C111+C131</f>
        <v>0</v>
      </c>
      <c r="D151" s="467">
        <f t="shared" si="29"/>
        <v>0</v>
      </c>
      <c r="E151" s="467">
        <f t="shared" si="29"/>
        <v>0</v>
      </c>
      <c r="F151" s="467">
        <f t="shared" si="29"/>
        <v>0</v>
      </c>
      <c r="G151" s="467">
        <f t="shared" si="29"/>
        <v>0</v>
      </c>
      <c r="H151" s="467">
        <f t="shared" si="29"/>
        <v>0</v>
      </c>
    </row>
    <row r="152" spans="1:12" x14ac:dyDescent="0.3">
      <c r="A152" s="798"/>
    </row>
    <row r="153" spans="1:12" ht="14.5" thickBot="1" x14ac:dyDescent="0.35">
      <c r="A153" s="799"/>
    </row>
    <row r="154" spans="1:12" s="334" customFormat="1" ht="31.9" customHeight="1" thickTop="1" x14ac:dyDescent="0.3">
      <c r="A154" s="800" t="s">
        <v>135</v>
      </c>
    </row>
    <row r="155" spans="1:12" ht="14.5" thickBot="1" x14ac:dyDescent="0.35">
      <c r="A155" s="801"/>
    </row>
    <row r="156" spans="1:12" ht="25.5" thickBot="1" x14ac:dyDescent="0.55000000000000004">
      <c r="A156" s="801"/>
      <c r="B156" s="826" t="s">
        <v>136</v>
      </c>
      <c r="C156" s="827"/>
      <c r="D156" s="828"/>
    </row>
    <row r="157" spans="1:12" x14ac:dyDescent="0.3">
      <c r="A157" s="801"/>
    </row>
    <row r="158" spans="1:12" ht="14.5" thickBot="1" x14ac:dyDescent="0.35">
      <c r="A158" s="801"/>
    </row>
    <row r="159" spans="1:12" ht="18.5" thickBot="1" x14ac:dyDescent="0.45">
      <c r="A159" s="801"/>
      <c r="B159" s="806" t="s">
        <v>137</v>
      </c>
      <c r="C159" s="806"/>
      <c r="D159" s="806"/>
      <c r="E159" s="806"/>
      <c r="F159" s="806"/>
      <c r="G159" s="806"/>
      <c r="H159" s="806"/>
      <c r="J159" s="810" t="s">
        <v>98</v>
      </c>
      <c r="K159" s="811"/>
      <c r="L159" s="812"/>
    </row>
    <row r="160" spans="1:12" ht="16" thickBot="1" x14ac:dyDescent="0.35">
      <c r="A160" s="801"/>
      <c r="B160" s="35"/>
      <c r="C160" s="789" t="s">
        <v>56</v>
      </c>
      <c r="D160" s="789"/>
      <c r="E160" s="789" t="s">
        <v>57</v>
      </c>
      <c r="F160" s="789"/>
      <c r="G160" s="789" t="s">
        <v>58</v>
      </c>
      <c r="H160" s="789"/>
      <c r="J160" s="813"/>
      <c r="K160" s="814"/>
      <c r="L160" s="815"/>
    </row>
    <row r="161" spans="1:12" ht="31.5" thickBot="1" x14ac:dyDescent="0.35">
      <c r="A161" s="801"/>
      <c r="B161" s="324" t="s">
        <v>138</v>
      </c>
      <c r="C161" s="35" t="s">
        <v>132</v>
      </c>
      <c r="D161" s="35" t="s">
        <v>61</v>
      </c>
      <c r="E161" s="35" t="s">
        <v>133</v>
      </c>
      <c r="F161" s="35" t="s">
        <v>63</v>
      </c>
      <c r="G161" s="35" t="s">
        <v>134</v>
      </c>
      <c r="H161" s="35" t="s">
        <v>65</v>
      </c>
      <c r="J161" s="816" t="s">
        <v>66</v>
      </c>
      <c r="K161" s="818" t="s">
        <v>105</v>
      </c>
      <c r="L161" s="820" t="s">
        <v>106</v>
      </c>
    </row>
    <row r="162" spans="1:12" ht="15.5" x14ac:dyDescent="0.3">
      <c r="A162" s="801"/>
      <c r="B162" s="329" t="s">
        <v>139</v>
      </c>
      <c r="C162" s="472">
        <f>'G-2 Habitat groups'!E168</f>
        <v>0</v>
      </c>
      <c r="D162" s="472">
        <f>'G-2 Habitat groups'!F168</f>
        <v>0</v>
      </c>
      <c r="E162" s="472">
        <f>'G-2 Habitat groups'!O168</f>
        <v>0</v>
      </c>
      <c r="F162" s="472">
        <f>'G-2 Habitat groups'!P168</f>
        <v>0</v>
      </c>
      <c r="G162" s="472">
        <f>E162-C162</f>
        <v>0</v>
      </c>
      <c r="H162" s="472">
        <f t="shared" ref="H162" si="30">F162-D162</f>
        <v>0</v>
      </c>
      <c r="J162" s="817"/>
      <c r="K162" s="819"/>
      <c r="L162" s="821"/>
    </row>
    <row r="163" spans="1:12" ht="15.5" x14ac:dyDescent="0.3">
      <c r="A163" s="801"/>
      <c r="B163" s="330" t="s">
        <v>140</v>
      </c>
      <c r="C163" s="472">
        <f>'G-2 Habitat groups'!E169</f>
        <v>0</v>
      </c>
      <c r="D163" s="472">
        <f>'G-2 Habitat groups'!F169</f>
        <v>0</v>
      </c>
      <c r="E163" s="472">
        <f>'G-2 Habitat groups'!O169</f>
        <v>0</v>
      </c>
      <c r="F163" s="472">
        <f>'G-2 Habitat groups'!P169</f>
        <v>0</v>
      </c>
      <c r="G163" s="472">
        <f t="shared" ref="G163:G166" si="31">E163-C163</f>
        <v>0</v>
      </c>
      <c r="H163" s="472">
        <f t="shared" ref="H163:H166" si="32">F163-D163</f>
        <v>0</v>
      </c>
      <c r="J163" s="802" t="str">
        <f>'G-1 All Habitats'!$V$3</f>
        <v>V.High</v>
      </c>
      <c r="K163" s="804">
        <f>SUMIF('C-1 Site River Baseline'!$F$10:$F$257,'Detailed Results'!J163,'C-1 Site River Baseline'!$X$10:$X$257)+SUMIF('F-1 Off Site River Baseline'!$F$10:$F$257,'Detailed Results'!J163,'F-1 Off Site River Baseline'!$X$10:$X$257)</f>
        <v>0</v>
      </c>
      <c r="L163" s="808" t="str">
        <f>IF(K163=0,"",(K163/(SUM($K$100:$K$109)))*100)</f>
        <v/>
      </c>
    </row>
    <row r="164" spans="1:12" ht="15.5" x14ac:dyDescent="0.3">
      <c r="A164" s="801"/>
      <c r="B164" s="330" t="s">
        <v>141</v>
      </c>
      <c r="C164" s="472">
        <f>'G-2 Habitat groups'!E170</f>
        <v>0</v>
      </c>
      <c r="D164" s="472">
        <f>'G-2 Habitat groups'!F170</f>
        <v>0</v>
      </c>
      <c r="E164" s="472">
        <f>'G-2 Habitat groups'!O170</f>
        <v>0</v>
      </c>
      <c r="F164" s="472">
        <f>'G-2 Habitat groups'!P170</f>
        <v>0</v>
      </c>
      <c r="G164" s="472">
        <f t="shared" si="31"/>
        <v>0</v>
      </c>
      <c r="H164" s="472">
        <f t="shared" si="32"/>
        <v>0</v>
      </c>
      <c r="J164" s="803"/>
      <c r="K164" s="805"/>
      <c r="L164" s="809"/>
    </row>
    <row r="165" spans="1:12" ht="15.5" x14ac:dyDescent="0.3">
      <c r="A165" s="801"/>
      <c r="B165" s="330" t="s">
        <v>142</v>
      </c>
      <c r="C165" s="472">
        <f>'G-2 Habitat groups'!E171</f>
        <v>0</v>
      </c>
      <c r="D165" s="472">
        <f>'G-2 Habitat groups'!F171</f>
        <v>0</v>
      </c>
      <c r="E165" s="472">
        <f>'G-2 Habitat groups'!O171</f>
        <v>0</v>
      </c>
      <c r="F165" s="472">
        <f>'G-2 Habitat groups'!P171</f>
        <v>0</v>
      </c>
      <c r="G165" s="472">
        <f t="shared" si="31"/>
        <v>0</v>
      </c>
      <c r="H165" s="472">
        <f t="shared" si="32"/>
        <v>0</v>
      </c>
      <c r="J165" s="802" t="str">
        <f>'G-1 All Habitats'!$V$4</f>
        <v>High</v>
      </c>
      <c r="K165" s="804">
        <f>SUMIF('C-1 Site River Baseline'!$F$10:$F$257,'Detailed Results'!J165,'C-1 Site River Baseline'!$X$10:$X$257)+SUMIF('F-1 Off Site River Baseline'!$F$10:$F$257,'Detailed Results'!J165,'F-1 Off Site River Baseline'!$X$10:$X$257)</f>
        <v>0</v>
      </c>
      <c r="L165" s="808" t="str">
        <f t="shared" ref="L165" si="33">IF(K165=0,"",(K165/(SUM($K$100:$K$109)))*100)</f>
        <v/>
      </c>
    </row>
    <row r="166" spans="1:12" ht="15.5" x14ac:dyDescent="0.3">
      <c r="A166" s="801"/>
      <c r="B166" s="330" t="s">
        <v>143</v>
      </c>
      <c r="C166" s="472">
        <f>'G-2 Habitat groups'!E172</f>
        <v>0</v>
      </c>
      <c r="D166" s="472">
        <f>'G-2 Habitat groups'!F172</f>
        <v>0</v>
      </c>
      <c r="E166" s="472">
        <f>'G-2 Habitat groups'!O172</f>
        <v>0</v>
      </c>
      <c r="F166" s="472">
        <f>'G-2 Habitat groups'!P172</f>
        <v>0</v>
      </c>
      <c r="G166" s="472">
        <f t="shared" si="31"/>
        <v>0</v>
      </c>
      <c r="H166" s="472">
        <f t="shared" si="32"/>
        <v>0</v>
      </c>
      <c r="J166" s="803"/>
      <c r="K166" s="805"/>
      <c r="L166" s="809"/>
    </row>
    <row r="167" spans="1:12" x14ac:dyDescent="0.3">
      <c r="A167" s="801"/>
      <c r="J167" s="802" t="str">
        <f>'G-1 All Habitats'!$V$5</f>
        <v>Medium</v>
      </c>
      <c r="K167" s="804">
        <f>SUMIF('C-1 Site River Baseline'!$F$10:$F$257,'Detailed Results'!J167,'C-1 Site River Baseline'!$X$10:$X$257)+SUMIF('F-1 Off Site River Baseline'!$F$10:$F$257,'Detailed Results'!J167,'F-1 Off Site River Baseline'!$X$10:$X$257)</f>
        <v>0</v>
      </c>
      <c r="L167" s="808" t="str">
        <f t="shared" ref="L167" si="34">IF(K167=0,"",(K167/(SUM($K$100:$K$109)))*100)</f>
        <v/>
      </c>
    </row>
    <row r="168" spans="1:12" x14ac:dyDescent="0.3">
      <c r="A168" s="801"/>
      <c r="J168" s="803"/>
      <c r="K168" s="805"/>
      <c r="L168" s="809"/>
    </row>
    <row r="169" spans="1:12" x14ac:dyDescent="0.3">
      <c r="A169" s="801"/>
      <c r="J169" s="802" t="str">
        <f>'G-1 All Habitats'!$V$6</f>
        <v>Low</v>
      </c>
      <c r="K169" s="804">
        <f>SUMIF('C-1 Site River Baseline'!$F$10:$F$257,'Detailed Results'!J169,'C-1 Site River Baseline'!$X$10:$X$257)+SUMIF('F-1 Off Site River Baseline'!$F$10:$F$257,'Detailed Results'!J169,'F-1 Off Site River Baseline'!$X$10:$X$257)</f>
        <v>0</v>
      </c>
      <c r="L169" s="808" t="str">
        <f t="shared" ref="L169" si="35">IF(K169=0,"",(K169/(SUM($K$100:$K$109)))*100)</f>
        <v/>
      </c>
    </row>
    <row r="170" spans="1:12" x14ac:dyDescent="0.3">
      <c r="A170" s="801"/>
      <c r="J170" s="803"/>
      <c r="K170" s="805"/>
      <c r="L170" s="809"/>
    </row>
    <row r="171" spans="1:12" x14ac:dyDescent="0.3">
      <c r="A171" s="801"/>
    </row>
    <row r="172" spans="1:12" x14ac:dyDescent="0.3">
      <c r="A172" s="801"/>
    </row>
    <row r="173" spans="1:12" x14ac:dyDescent="0.3">
      <c r="A173" s="801"/>
    </row>
    <row r="174" spans="1:12" x14ac:dyDescent="0.3">
      <c r="A174" s="801"/>
    </row>
    <row r="175" spans="1:12" x14ac:dyDescent="0.3">
      <c r="A175" s="801"/>
    </row>
    <row r="176" spans="1:12" x14ac:dyDescent="0.3">
      <c r="A176" s="801"/>
    </row>
    <row r="177" spans="1:8" x14ac:dyDescent="0.3">
      <c r="A177" s="801"/>
    </row>
    <row r="178" spans="1:8" ht="14.5" thickBot="1" x14ac:dyDescent="0.35">
      <c r="A178" s="801"/>
    </row>
    <row r="179" spans="1:8" ht="18.5" thickBot="1" x14ac:dyDescent="0.45">
      <c r="A179" s="801"/>
      <c r="B179" s="806" t="s">
        <v>144</v>
      </c>
      <c r="C179" s="806"/>
      <c r="D179" s="806"/>
      <c r="E179" s="806"/>
      <c r="F179" s="806"/>
      <c r="G179" s="806"/>
      <c r="H179" s="806"/>
    </row>
    <row r="180" spans="1:8" ht="16" thickBot="1" x14ac:dyDescent="0.35">
      <c r="A180" s="801"/>
      <c r="B180" s="35"/>
      <c r="C180" s="789" t="s">
        <v>56</v>
      </c>
      <c r="D180" s="789"/>
      <c r="E180" s="789" t="s">
        <v>145</v>
      </c>
      <c r="F180" s="789"/>
      <c r="G180" s="789" t="s">
        <v>84</v>
      </c>
      <c r="H180" s="789"/>
    </row>
    <row r="181" spans="1:8" ht="47" thickBot="1" x14ac:dyDescent="0.35">
      <c r="A181" s="801"/>
      <c r="B181" s="324" t="s">
        <v>138</v>
      </c>
      <c r="C181" s="35" t="s">
        <v>124</v>
      </c>
      <c r="D181" s="35" t="s">
        <v>125</v>
      </c>
      <c r="E181" s="35" t="s">
        <v>126</v>
      </c>
      <c r="F181" s="35" t="s">
        <v>127</v>
      </c>
      <c r="G181" s="35" t="s">
        <v>128</v>
      </c>
      <c r="H181" s="35" t="s">
        <v>89</v>
      </c>
    </row>
    <row r="182" spans="1:8" ht="15.5" x14ac:dyDescent="0.3">
      <c r="A182" s="801"/>
      <c r="B182" s="329" t="s">
        <v>139</v>
      </c>
      <c r="C182" s="472">
        <f>'G-2 Habitat groups'!S168</f>
        <v>0</v>
      </c>
      <c r="D182" s="472">
        <f>'G-2 Habitat groups'!T168</f>
        <v>0</v>
      </c>
      <c r="E182" s="472">
        <f>'G-2 Habitat groups'!AA168</f>
        <v>0</v>
      </c>
      <c r="F182" s="472">
        <f>'G-2 Habitat groups'!AB209</f>
        <v>0</v>
      </c>
      <c r="G182" s="472">
        <f t="shared" ref="G182:G186" si="36">E182-C182</f>
        <v>0</v>
      </c>
      <c r="H182" s="472">
        <f t="shared" ref="H182:H186" si="37">F182-D182</f>
        <v>0</v>
      </c>
    </row>
    <row r="183" spans="1:8" ht="15.5" x14ac:dyDescent="0.3">
      <c r="A183" s="801"/>
      <c r="B183" s="330" t="s">
        <v>140</v>
      </c>
      <c r="C183" s="472">
        <f>'G-2 Habitat groups'!S169</f>
        <v>0</v>
      </c>
      <c r="D183" s="472">
        <f>'G-2 Habitat groups'!T169</f>
        <v>0</v>
      </c>
      <c r="E183" s="472">
        <f>'G-2 Habitat groups'!AA169</f>
        <v>0</v>
      </c>
      <c r="F183" s="472">
        <f>'G-2 Habitat groups'!AB210</f>
        <v>0</v>
      </c>
      <c r="G183" s="472">
        <f t="shared" si="36"/>
        <v>0</v>
      </c>
      <c r="H183" s="472">
        <f t="shared" si="37"/>
        <v>0</v>
      </c>
    </row>
    <row r="184" spans="1:8" ht="15.5" x14ac:dyDescent="0.3">
      <c r="A184" s="801"/>
      <c r="B184" s="330" t="s">
        <v>141</v>
      </c>
      <c r="C184" s="472">
        <f>'G-2 Habitat groups'!S170</f>
        <v>0</v>
      </c>
      <c r="D184" s="472">
        <f>'G-2 Habitat groups'!T170</f>
        <v>0</v>
      </c>
      <c r="E184" s="472">
        <f>'G-2 Habitat groups'!AA170</f>
        <v>0</v>
      </c>
      <c r="F184" s="472">
        <f>'G-2 Habitat groups'!AB211</f>
        <v>0</v>
      </c>
      <c r="G184" s="472">
        <f t="shared" si="36"/>
        <v>0</v>
      </c>
      <c r="H184" s="472">
        <f t="shared" si="37"/>
        <v>0</v>
      </c>
    </row>
    <row r="185" spans="1:8" ht="15.5" x14ac:dyDescent="0.3">
      <c r="A185" s="801"/>
      <c r="B185" s="330" t="s">
        <v>142</v>
      </c>
      <c r="C185" s="472">
        <f>'G-2 Habitat groups'!S171</f>
        <v>0</v>
      </c>
      <c r="D185" s="472">
        <f>'G-2 Habitat groups'!T171</f>
        <v>0</v>
      </c>
      <c r="E185" s="472">
        <f>'G-2 Habitat groups'!AA171</f>
        <v>0</v>
      </c>
      <c r="F185" s="472">
        <f>'G-2 Habitat groups'!AB212</f>
        <v>0</v>
      </c>
      <c r="G185" s="472">
        <f t="shared" si="36"/>
        <v>0</v>
      </c>
      <c r="H185" s="472">
        <f t="shared" si="37"/>
        <v>0</v>
      </c>
    </row>
    <row r="186" spans="1:8" ht="15.5" x14ac:dyDescent="0.3">
      <c r="A186" s="801"/>
      <c r="B186" s="330" t="s">
        <v>143</v>
      </c>
      <c r="C186" s="472">
        <f>'G-2 Habitat groups'!S172</f>
        <v>0</v>
      </c>
      <c r="D186" s="472">
        <f>'G-2 Habitat groups'!T172</f>
        <v>0</v>
      </c>
      <c r="E186" s="472">
        <f>'G-2 Habitat groups'!AA172</f>
        <v>0</v>
      </c>
      <c r="F186" s="472">
        <f>'G-2 Habitat groups'!AB213</f>
        <v>0</v>
      </c>
      <c r="G186" s="472">
        <f t="shared" si="36"/>
        <v>0</v>
      </c>
      <c r="H186" s="472">
        <f t="shared" si="37"/>
        <v>0</v>
      </c>
    </row>
    <row r="187" spans="1:8" x14ac:dyDescent="0.3">
      <c r="A187" s="801"/>
      <c r="B187" s="40"/>
      <c r="C187" s="40"/>
      <c r="D187" s="40"/>
      <c r="E187" s="40"/>
      <c r="F187" s="40"/>
      <c r="G187" s="40"/>
      <c r="H187" s="40"/>
    </row>
    <row r="188" spans="1:8" x14ac:dyDescent="0.3">
      <c r="A188" s="801"/>
      <c r="B188" s="40"/>
      <c r="C188" s="40"/>
      <c r="D188" s="40"/>
      <c r="E188" s="40"/>
      <c r="F188" s="40"/>
      <c r="G188" s="40"/>
      <c r="H188" s="40"/>
    </row>
    <row r="189" spans="1:8" x14ac:dyDescent="0.3">
      <c r="A189" s="801"/>
      <c r="B189" s="40"/>
      <c r="C189" s="40"/>
      <c r="D189" s="40"/>
      <c r="E189" s="40"/>
      <c r="F189" s="40"/>
      <c r="G189" s="40"/>
      <c r="H189" s="40"/>
    </row>
    <row r="190" spans="1:8" x14ac:dyDescent="0.3">
      <c r="A190" s="801"/>
      <c r="B190" s="40"/>
      <c r="C190" s="40"/>
      <c r="D190" s="40"/>
      <c r="E190" s="40"/>
      <c r="F190" s="40"/>
      <c r="G190" s="40"/>
      <c r="H190" s="40"/>
    </row>
    <row r="191" spans="1:8" x14ac:dyDescent="0.3">
      <c r="A191" s="801"/>
      <c r="B191" s="40"/>
      <c r="C191" s="40"/>
      <c r="D191" s="40"/>
      <c r="E191" s="40"/>
      <c r="F191" s="40"/>
      <c r="G191" s="40"/>
      <c r="H191" s="40"/>
    </row>
    <row r="192" spans="1:8" x14ac:dyDescent="0.3">
      <c r="A192" s="801"/>
      <c r="B192" s="40"/>
      <c r="C192" s="40"/>
      <c r="D192" s="40"/>
      <c r="E192" s="40"/>
      <c r="F192" s="40"/>
      <c r="G192" s="40"/>
      <c r="H192" s="40"/>
    </row>
    <row r="193" spans="1:8" x14ac:dyDescent="0.3">
      <c r="A193" s="801"/>
      <c r="B193" s="40"/>
      <c r="C193" s="40"/>
      <c r="D193" s="40"/>
      <c r="E193" s="40"/>
      <c r="F193" s="40"/>
      <c r="G193" s="40"/>
      <c r="H193" s="40"/>
    </row>
    <row r="194" spans="1:8" x14ac:dyDescent="0.3">
      <c r="A194" s="801"/>
      <c r="B194" s="40"/>
      <c r="C194" s="40"/>
      <c r="D194" s="40"/>
      <c r="E194" s="40"/>
      <c r="F194" s="40"/>
      <c r="G194" s="40"/>
      <c r="H194" s="40"/>
    </row>
    <row r="195" spans="1:8" x14ac:dyDescent="0.3">
      <c r="A195" s="801"/>
      <c r="B195" s="40"/>
      <c r="C195" s="40"/>
    </row>
    <row r="196" spans="1:8" x14ac:dyDescent="0.3">
      <c r="A196" s="801"/>
      <c r="B196" s="40"/>
      <c r="C196" s="40"/>
    </row>
    <row r="197" spans="1:8" x14ac:dyDescent="0.3">
      <c r="A197" s="801"/>
      <c r="B197" s="40"/>
      <c r="C197" s="40"/>
    </row>
    <row r="198" spans="1:8" ht="14.5" thickBot="1" x14ac:dyDescent="0.35">
      <c r="A198" s="801"/>
      <c r="B198" s="40"/>
      <c r="C198" s="40"/>
    </row>
    <row r="199" spans="1:8" ht="18.5" thickBot="1" x14ac:dyDescent="0.45">
      <c r="A199" s="801"/>
      <c r="B199" s="806" t="s">
        <v>146</v>
      </c>
      <c r="C199" s="806"/>
      <c r="D199" s="806"/>
      <c r="E199" s="806"/>
      <c r="F199" s="806"/>
      <c r="G199" s="806"/>
      <c r="H199" s="806"/>
    </row>
    <row r="200" spans="1:8" ht="16" thickBot="1" x14ac:dyDescent="0.35">
      <c r="A200" s="801"/>
      <c r="B200" s="35"/>
      <c r="C200" s="789" t="s">
        <v>56</v>
      </c>
      <c r="D200" s="789"/>
      <c r="E200" s="789" t="s">
        <v>57</v>
      </c>
      <c r="F200" s="789"/>
      <c r="G200" s="789" t="s">
        <v>58</v>
      </c>
      <c r="H200" s="789"/>
    </row>
    <row r="201" spans="1:8" ht="31.5" thickBot="1" x14ac:dyDescent="0.35">
      <c r="A201" s="801"/>
      <c r="B201" s="324" t="s">
        <v>138</v>
      </c>
      <c r="C201" s="35" t="s">
        <v>132</v>
      </c>
      <c r="D201" s="35" t="s">
        <v>61</v>
      </c>
      <c r="E201" s="35" t="s">
        <v>133</v>
      </c>
      <c r="F201" s="35" t="s">
        <v>63</v>
      </c>
      <c r="G201" s="35" t="s">
        <v>134</v>
      </c>
      <c r="H201" s="35" t="s">
        <v>65</v>
      </c>
    </row>
    <row r="202" spans="1:8" ht="15.5" x14ac:dyDescent="0.3">
      <c r="A202" s="801"/>
      <c r="B202" s="329" t="s">
        <v>139</v>
      </c>
      <c r="C202" s="472">
        <f>C162+C182</f>
        <v>0</v>
      </c>
      <c r="D202" s="472">
        <f t="shared" ref="D202:H202" si="38">D162+D182</f>
        <v>0</v>
      </c>
      <c r="E202" s="472">
        <f t="shared" si="38"/>
        <v>0</v>
      </c>
      <c r="F202" s="472">
        <f t="shared" si="38"/>
        <v>0</v>
      </c>
      <c r="G202" s="472">
        <f t="shared" si="38"/>
        <v>0</v>
      </c>
      <c r="H202" s="472">
        <f t="shared" si="38"/>
        <v>0</v>
      </c>
    </row>
    <row r="203" spans="1:8" ht="15.5" x14ac:dyDescent="0.3">
      <c r="A203" s="801"/>
      <c r="B203" s="330" t="s">
        <v>140</v>
      </c>
      <c r="C203" s="472">
        <f>C163+C183</f>
        <v>0</v>
      </c>
      <c r="D203" s="472">
        <f t="shared" ref="D203:H203" si="39">D163+D183</f>
        <v>0</v>
      </c>
      <c r="E203" s="472">
        <f t="shared" si="39"/>
        <v>0</v>
      </c>
      <c r="F203" s="472">
        <f t="shared" si="39"/>
        <v>0</v>
      </c>
      <c r="G203" s="472">
        <f t="shared" si="39"/>
        <v>0</v>
      </c>
      <c r="H203" s="472">
        <f t="shared" si="39"/>
        <v>0</v>
      </c>
    </row>
    <row r="204" spans="1:8" ht="15.5" x14ac:dyDescent="0.3">
      <c r="A204" s="801"/>
      <c r="B204" s="330" t="s">
        <v>141</v>
      </c>
      <c r="C204" s="472">
        <f t="shared" ref="C204:H204" si="40">C164+C184</f>
        <v>0</v>
      </c>
      <c r="D204" s="472">
        <f t="shared" si="40"/>
        <v>0</v>
      </c>
      <c r="E204" s="472">
        <f t="shared" si="40"/>
        <v>0</v>
      </c>
      <c r="F204" s="472">
        <f t="shared" si="40"/>
        <v>0</v>
      </c>
      <c r="G204" s="472">
        <f t="shared" si="40"/>
        <v>0</v>
      </c>
      <c r="H204" s="472">
        <f t="shared" si="40"/>
        <v>0</v>
      </c>
    </row>
    <row r="205" spans="1:8" ht="15.5" x14ac:dyDescent="0.3">
      <c r="A205" s="801"/>
      <c r="B205" s="330" t="s">
        <v>142</v>
      </c>
      <c r="C205" s="472">
        <f t="shared" ref="C205:H205" si="41">C165+C185</f>
        <v>0</v>
      </c>
      <c r="D205" s="472">
        <f t="shared" si="41"/>
        <v>0</v>
      </c>
      <c r="E205" s="472">
        <f t="shared" si="41"/>
        <v>0</v>
      </c>
      <c r="F205" s="472">
        <f t="shared" si="41"/>
        <v>0</v>
      </c>
      <c r="G205" s="472">
        <f t="shared" si="41"/>
        <v>0</v>
      </c>
      <c r="H205" s="472">
        <f t="shared" si="41"/>
        <v>0</v>
      </c>
    </row>
    <row r="206" spans="1:8" ht="15.5" x14ac:dyDescent="0.3">
      <c r="A206" s="801"/>
      <c r="B206" s="330" t="s">
        <v>143</v>
      </c>
      <c r="C206" s="472">
        <f t="shared" ref="C206:H206" si="42">C166+C186</f>
        <v>0</v>
      </c>
      <c r="D206" s="472">
        <f t="shared" si="42"/>
        <v>0</v>
      </c>
      <c r="E206" s="472">
        <f t="shared" si="42"/>
        <v>0</v>
      </c>
      <c r="F206" s="472">
        <f t="shared" si="42"/>
        <v>0</v>
      </c>
      <c r="G206" s="472">
        <f t="shared" si="42"/>
        <v>0</v>
      </c>
      <c r="H206" s="472">
        <f t="shared" si="42"/>
        <v>0</v>
      </c>
    </row>
    <row r="207" spans="1:8" x14ac:dyDescent="0.3">
      <c r="A207" s="801"/>
      <c r="B207" s="40"/>
      <c r="C207" s="40"/>
      <c r="D207" s="40"/>
      <c r="E207" s="40"/>
      <c r="F207" s="40"/>
      <c r="G207" s="40"/>
      <c r="H207" s="40"/>
    </row>
    <row r="208" spans="1:8" x14ac:dyDescent="0.3">
      <c r="A208" s="801"/>
      <c r="B208" s="40"/>
      <c r="C208" s="40"/>
      <c r="D208" s="40"/>
      <c r="E208" s="40"/>
      <c r="F208" s="40"/>
      <c r="G208" s="40"/>
      <c r="H208" s="40"/>
    </row>
    <row r="209" spans="1:8" x14ac:dyDescent="0.3">
      <c r="A209" s="801"/>
      <c r="B209" s="40"/>
      <c r="C209" s="40"/>
      <c r="D209" s="40"/>
      <c r="E209" s="40"/>
      <c r="F209" s="40"/>
      <c r="G209" s="40"/>
      <c r="H209" s="40"/>
    </row>
    <row r="210" spans="1:8" x14ac:dyDescent="0.3">
      <c r="A210" s="801"/>
      <c r="B210" s="40"/>
      <c r="C210" s="40"/>
      <c r="D210" s="40"/>
      <c r="E210" s="40"/>
      <c r="F210" s="40"/>
      <c r="G210" s="40"/>
      <c r="H210" s="40"/>
    </row>
    <row r="211" spans="1:8" x14ac:dyDescent="0.3">
      <c r="B211" s="40"/>
      <c r="C211" s="40"/>
      <c r="D211" s="40"/>
      <c r="E211" s="40"/>
      <c r="F211" s="40"/>
      <c r="G211" s="40"/>
      <c r="H211" s="40"/>
    </row>
    <row r="212" spans="1:8" x14ac:dyDescent="0.3">
      <c r="B212" s="40"/>
      <c r="C212" s="40"/>
      <c r="D212" s="40"/>
      <c r="E212" s="40"/>
      <c r="F212" s="40"/>
      <c r="G212" s="40"/>
      <c r="H212" s="40"/>
    </row>
    <row r="213" spans="1:8" x14ac:dyDescent="0.3">
      <c r="B213" s="40"/>
      <c r="C213" s="40"/>
      <c r="D213" s="40"/>
      <c r="E213" s="40"/>
      <c r="F213" s="40"/>
      <c r="G213" s="40"/>
      <c r="H213" s="40"/>
    </row>
    <row r="214" spans="1:8" x14ac:dyDescent="0.3">
      <c r="B214" s="40"/>
      <c r="C214" s="40"/>
      <c r="D214" s="40"/>
      <c r="E214" s="40"/>
      <c r="F214" s="40"/>
      <c r="G214" s="40"/>
      <c r="H214" s="40"/>
    </row>
  </sheetData>
  <sheetProtection algorithmName="SHA-512" hashValue="1Ebyjkch07OnlCT/uFg87NNSCD0s3qZaIW7W5aZ63VuS6lhw4pIdfLC/jbM2s69NCkkVSoskFnZPcssf6CI1IQ==" saltValue="DY6eJWmjDHq37iMa0BcZ0Q==" spinCount="100000" sheet="1" objects="1" scenarios="1"/>
  <customSheetViews>
    <customSheetView guid="{8BDA793C-C9C5-4FC6-A0A5-F1109F6D4F22}" scale="80" state="hidden">
      <selection activeCell="D14" sqref="D14"/>
    </customSheetView>
  </customSheetViews>
  <mergeCells count="150">
    <mergeCell ref="U37:V38"/>
    <mergeCell ref="G37:H37"/>
    <mergeCell ref="L46:L47"/>
    <mergeCell ref="J46:J47"/>
    <mergeCell ref="B36:H36"/>
    <mergeCell ref="B55:H55"/>
    <mergeCell ref="B74:H74"/>
    <mergeCell ref="B93:D93"/>
    <mergeCell ref="C75:D75"/>
    <mergeCell ref="E75:F75"/>
    <mergeCell ref="G75:H75"/>
    <mergeCell ref="C56:D56"/>
    <mergeCell ref="E56:F56"/>
    <mergeCell ref="G56:H56"/>
    <mergeCell ref="E37:F37"/>
    <mergeCell ref="C37:D37"/>
    <mergeCell ref="J44:J45"/>
    <mergeCell ref="J42:J43"/>
    <mergeCell ref="J40:J41"/>
    <mergeCell ref="J38:J39"/>
    <mergeCell ref="L40:L41"/>
    <mergeCell ref="L44:L45"/>
    <mergeCell ref="L48:L49"/>
    <mergeCell ref="K48:K49"/>
    <mergeCell ref="B2:D2"/>
    <mergeCell ref="F12:G12"/>
    <mergeCell ref="J36:L37"/>
    <mergeCell ref="H12:I12"/>
    <mergeCell ref="K38:K39"/>
    <mergeCell ref="L38:L39"/>
    <mergeCell ref="B3:D4"/>
    <mergeCell ref="B7:C8"/>
    <mergeCell ref="B10:E12"/>
    <mergeCell ref="B14:E16"/>
    <mergeCell ref="H10:I10"/>
    <mergeCell ref="F10:G10"/>
    <mergeCell ref="H15:I15"/>
    <mergeCell ref="F15:G15"/>
    <mergeCell ref="H14:I14"/>
    <mergeCell ref="F14:G14"/>
    <mergeCell ref="H11:I11"/>
    <mergeCell ref="F11:G11"/>
    <mergeCell ref="H16:I16"/>
    <mergeCell ref="F16:G16"/>
    <mergeCell ref="D24:E24"/>
    <mergeCell ref="D25:E25"/>
    <mergeCell ref="H20:I20"/>
    <mergeCell ref="B18:I19"/>
    <mergeCell ref="F20:G20"/>
    <mergeCell ref="F27:G27"/>
    <mergeCell ref="F28:G28"/>
    <mergeCell ref="F30:G30"/>
    <mergeCell ref="F31:G31"/>
    <mergeCell ref="D20:E20"/>
    <mergeCell ref="D21:E21"/>
    <mergeCell ref="D22:E22"/>
    <mergeCell ref="D31:E31"/>
    <mergeCell ref="D30:E30"/>
    <mergeCell ref="B20:C20"/>
    <mergeCell ref="B21:C21"/>
    <mergeCell ref="B22:C22"/>
    <mergeCell ref="B24:C24"/>
    <mergeCell ref="B25:C25"/>
    <mergeCell ref="B27:C27"/>
    <mergeCell ref="B28:C28"/>
    <mergeCell ref="D27:E27"/>
    <mergeCell ref="D28:E28"/>
    <mergeCell ref="L106:L107"/>
    <mergeCell ref="K46:K47"/>
    <mergeCell ref="K44:K45"/>
    <mergeCell ref="K40:K41"/>
    <mergeCell ref="K42:K43"/>
    <mergeCell ref="J96:L97"/>
    <mergeCell ref="J98:J99"/>
    <mergeCell ref="K98:K99"/>
    <mergeCell ref="L98:L99"/>
    <mergeCell ref="J100:J101"/>
    <mergeCell ref="L42:L43"/>
    <mergeCell ref="K100:K101"/>
    <mergeCell ref="L100:L101"/>
    <mergeCell ref="J102:J103"/>
    <mergeCell ref="K102:K103"/>
    <mergeCell ref="L102:L103"/>
    <mergeCell ref="J104:J105"/>
    <mergeCell ref="K104:K105"/>
    <mergeCell ref="L104:L105"/>
    <mergeCell ref="J106:J107"/>
    <mergeCell ref="K106:K107"/>
    <mergeCell ref="L108:L109"/>
    <mergeCell ref="C200:D200"/>
    <mergeCell ref="E200:F200"/>
    <mergeCell ref="G200:H200"/>
    <mergeCell ref="H21:I21"/>
    <mergeCell ref="H22:I22"/>
    <mergeCell ref="H24:I24"/>
    <mergeCell ref="H25:I25"/>
    <mergeCell ref="H27:I27"/>
    <mergeCell ref="H28:I28"/>
    <mergeCell ref="H30:I30"/>
    <mergeCell ref="H31:I31"/>
    <mergeCell ref="F21:G21"/>
    <mergeCell ref="F22:G22"/>
    <mergeCell ref="F24:G24"/>
    <mergeCell ref="F25:G25"/>
    <mergeCell ref="B179:H179"/>
    <mergeCell ref="C180:D180"/>
    <mergeCell ref="E180:F180"/>
    <mergeCell ref="G180:H180"/>
    <mergeCell ref="B199:H199"/>
    <mergeCell ref="B156:D156"/>
    <mergeCell ref="E117:F117"/>
    <mergeCell ref="G117:H117"/>
    <mergeCell ref="L167:L168"/>
    <mergeCell ref="J169:J170"/>
    <mergeCell ref="K169:K170"/>
    <mergeCell ref="L169:L170"/>
    <mergeCell ref="J159:L160"/>
    <mergeCell ref="J161:J162"/>
    <mergeCell ref="K161:K162"/>
    <mergeCell ref="L161:L162"/>
    <mergeCell ref="J163:J164"/>
    <mergeCell ref="K163:K164"/>
    <mergeCell ref="L163:L164"/>
    <mergeCell ref="J165:J166"/>
    <mergeCell ref="K165:K166"/>
    <mergeCell ref="L165:L166"/>
    <mergeCell ref="G160:H160"/>
    <mergeCell ref="C117:D117"/>
    <mergeCell ref="B30:C30"/>
    <mergeCell ref="B31:C31"/>
    <mergeCell ref="A33:A91"/>
    <mergeCell ref="A92:A153"/>
    <mergeCell ref="A154:A210"/>
    <mergeCell ref="J167:J168"/>
    <mergeCell ref="K167:K168"/>
    <mergeCell ref="B159:H159"/>
    <mergeCell ref="C160:D160"/>
    <mergeCell ref="E160:F160"/>
    <mergeCell ref="J108:J109"/>
    <mergeCell ref="K108:K109"/>
    <mergeCell ref="B136:H136"/>
    <mergeCell ref="C137:D137"/>
    <mergeCell ref="E137:F137"/>
    <mergeCell ref="G137:H137"/>
    <mergeCell ref="B96:H96"/>
    <mergeCell ref="C97:D97"/>
    <mergeCell ref="E97:F97"/>
    <mergeCell ref="G97:H97"/>
    <mergeCell ref="B116:H116"/>
    <mergeCell ref="J48:J49"/>
  </mergeCells>
  <conditionalFormatting sqref="K40 K42 K44 K46 K48">
    <cfRule type="cellIs" dxfId="358" priority="90" operator="greaterThan">
      <formula>0</formula>
    </cfRule>
  </conditionalFormatting>
  <conditionalFormatting sqref="H14:I16">
    <cfRule type="cellIs" dxfId="357" priority="62" operator="equal">
      <formula>"Error"</formula>
    </cfRule>
  </conditionalFormatting>
  <conditionalFormatting sqref="D21:D22">
    <cfRule type="cellIs" dxfId="356" priority="44" operator="equal">
      <formula>"Error ▲"</formula>
    </cfRule>
  </conditionalFormatting>
  <conditionalFormatting sqref="D24:D25">
    <cfRule type="cellIs" dxfId="355" priority="43" operator="equal">
      <formula>"Error ▲"</formula>
    </cfRule>
  </conditionalFormatting>
  <conditionalFormatting sqref="D27:D28">
    <cfRule type="cellIs" dxfId="354" priority="42" operator="equal">
      <formula>"Error ▲"</formula>
    </cfRule>
  </conditionalFormatting>
  <conditionalFormatting sqref="D30:D31">
    <cfRule type="cellIs" dxfId="353" priority="21" operator="equal">
      <formula>"Error ▲"</formula>
    </cfRule>
  </conditionalFormatting>
  <conditionalFormatting sqref="H10:I12 H14:I16">
    <cfRule type="containsText" dxfId="352" priority="9" operator="containsText" text="Check">
      <formula>NOT(ISERROR(SEARCH("Check",H10)))</formula>
    </cfRule>
  </conditionalFormatting>
  <conditionalFormatting sqref="I16">
    <cfRule type="expression" dxfId="351" priority="335">
      <formula>AND($H$21&gt;0,$H$16&lt;0.1)</formula>
    </cfRule>
  </conditionalFormatting>
  <conditionalFormatting sqref="H16">
    <cfRule type="expression" dxfId="350" priority="340">
      <formula>$H$16&gt;=0.1</formula>
    </cfRule>
  </conditionalFormatting>
  <conditionalFormatting sqref="H15">
    <cfRule type="expression" dxfId="349" priority="346">
      <formula>$H$15&gt;=0.1</formula>
    </cfRule>
    <cfRule type="expression" dxfId="348" priority="347">
      <formula>AND($F$21&gt;0,$H$15&lt;0.1)</formula>
    </cfRule>
  </conditionalFormatting>
  <conditionalFormatting sqref="H10:I10">
    <cfRule type="cellIs" dxfId="347" priority="352" operator="equal">
      <formula>"Error"</formula>
    </cfRule>
  </conditionalFormatting>
  <conditionalFormatting sqref="H14">
    <cfRule type="expression" dxfId="346" priority="353">
      <formula>$H$14&gt;=0.1</formula>
    </cfRule>
    <cfRule type="expression" dxfId="345" priority="354">
      <formula>AND($D$21&gt;0,$H$14&lt;0.1)</formula>
    </cfRule>
  </conditionalFormatting>
  <conditionalFormatting sqref="K102 K104 K106 K108">
    <cfRule type="cellIs" dxfId="344" priority="6" operator="greaterThan">
      <formula>0</formula>
    </cfRule>
  </conditionalFormatting>
  <conditionalFormatting sqref="K163">
    <cfRule type="cellIs" dxfId="343" priority="5" operator="greaterThan">
      <formula>0</formula>
    </cfRule>
  </conditionalFormatting>
  <conditionalFormatting sqref="K165 K167 K169">
    <cfRule type="cellIs" dxfId="342" priority="4" operator="greaterThan">
      <formula>0</formula>
    </cfRule>
  </conditionalFormatting>
  <conditionalFormatting sqref="K100">
    <cfRule type="cellIs" dxfId="341" priority="3" operator="greaterThan">
      <formula>0</formula>
    </cfRule>
  </conditionalFormatting>
  <conditionalFormatting sqref="H15:I15">
    <cfRule type="expression" dxfId="340" priority="2">
      <formula>AND($F$21&gt;0,$H$16&lt;0.1)</formula>
    </cfRule>
  </conditionalFormatting>
  <conditionalFormatting sqref="H16:I16">
    <cfRule type="expression" dxfId="339" priority="1">
      <formula>AND($H$21&gt;0,$H$16&lt;0.1)</formula>
    </cfRule>
  </conditionalFormatting>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rgb="FFF4D4D4"/>
  </sheetPr>
  <dimension ref="A1:V306"/>
  <sheetViews>
    <sheetView workbookViewId="0"/>
  </sheetViews>
  <sheetFormatPr defaultColWidth="0" defaultRowHeight="14" zeroHeight="1" x14ac:dyDescent="0.3"/>
  <cols>
    <col min="1" max="1" width="17" style="31" customWidth="1"/>
    <col min="2" max="2" width="104.81640625" style="31" bestFit="1" customWidth="1"/>
    <col min="3" max="3" width="24.453125" style="31" bestFit="1" customWidth="1"/>
    <col min="4" max="4" width="10.54296875" style="31" bestFit="1" customWidth="1"/>
    <col min="5" max="5" width="10.26953125" style="31" bestFit="1" customWidth="1"/>
    <col min="6" max="6" width="18.1796875" style="31" customWidth="1"/>
    <col min="7" max="7" width="31" style="31" customWidth="1"/>
    <col min="8" max="8" width="5" style="31" customWidth="1"/>
    <col min="9" max="9" width="49.453125" style="31" customWidth="1"/>
    <col min="10" max="10" width="10.81640625" style="31" customWidth="1"/>
    <col min="11" max="11" width="2" style="31" customWidth="1"/>
    <col min="12" max="12" width="2.54296875" style="31" customWidth="1"/>
    <col min="13" max="13" width="4.1796875" style="31" customWidth="1"/>
    <col min="14" max="16" width="9.1796875" style="31" customWidth="1"/>
    <col min="17" max="17" width="10.54296875" style="31" customWidth="1"/>
    <col min="18" max="20" width="9.1796875" style="31" customWidth="1"/>
    <col min="21" max="22" width="0" style="31" hidden="1" customWidth="1"/>
    <col min="23" max="16384" width="9.1796875" style="31" hidden="1"/>
  </cols>
  <sheetData>
    <row r="1" spans="1:17" ht="15" thickBot="1" x14ac:dyDescent="0.35">
      <c r="A1" s="453"/>
      <c r="B1" s="40"/>
      <c r="C1" s="40"/>
      <c r="D1" s="40"/>
      <c r="E1" s="40"/>
      <c r="G1" s="40"/>
      <c r="H1" s="40"/>
      <c r="I1" s="40"/>
      <c r="J1" s="40"/>
      <c r="K1" s="40"/>
      <c r="L1" s="40"/>
      <c r="M1" s="40"/>
      <c r="N1" s="40"/>
      <c r="O1" s="40"/>
      <c r="P1" s="40"/>
      <c r="Q1" s="40"/>
    </row>
    <row r="2" spans="1:17" ht="25.5" thickBot="1" x14ac:dyDescent="0.35">
      <c r="A2" s="40"/>
      <c r="B2" s="864" t="s">
        <v>147</v>
      </c>
      <c r="C2" s="865"/>
      <c r="D2" s="865"/>
      <c r="E2" s="865"/>
      <c r="F2" s="865"/>
      <c r="G2" s="877"/>
      <c r="H2" s="40"/>
      <c r="I2" s="40"/>
      <c r="J2" s="40"/>
      <c r="K2" s="40"/>
      <c r="L2" s="40"/>
      <c r="M2" s="40"/>
      <c r="N2" s="40"/>
      <c r="O2" s="40"/>
      <c r="P2" s="40"/>
      <c r="Q2" s="40"/>
    </row>
    <row r="3" spans="1:17" ht="15" customHeight="1" x14ac:dyDescent="0.3">
      <c r="A3" s="40"/>
      <c r="B3" s="880" t="s">
        <v>148</v>
      </c>
      <c r="C3" s="882" t="s">
        <v>149</v>
      </c>
      <c r="D3" s="882"/>
      <c r="E3" s="882"/>
      <c r="F3" s="882"/>
      <c r="G3" s="878" t="s">
        <v>150</v>
      </c>
      <c r="H3" s="272"/>
      <c r="I3" s="272"/>
      <c r="J3" s="272"/>
      <c r="K3" s="272"/>
      <c r="L3" s="40"/>
      <c r="M3" s="40"/>
      <c r="N3" s="40"/>
      <c r="O3" s="40"/>
      <c r="P3" s="40"/>
      <c r="Q3" s="40"/>
    </row>
    <row r="4" spans="1:17" ht="14.25" customHeight="1" x14ac:dyDescent="0.3">
      <c r="A4" s="40"/>
      <c r="B4" s="881"/>
      <c r="C4" s="883"/>
      <c r="D4" s="883"/>
      <c r="E4" s="883"/>
      <c r="F4" s="883"/>
      <c r="G4" s="879"/>
      <c r="H4" s="272"/>
      <c r="I4" s="272"/>
      <c r="J4" s="272"/>
      <c r="K4" s="272"/>
      <c r="L4" s="40"/>
      <c r="M4" s="40"/>
      <c r="N4" s="40"/>
      <c r="O4" s="40"/>
      <c r="P4" s="40"/>
      <c r="Q4" s="40"/>
    </row>
    <row r="5" spans="1:17" ht="20" x14ac:dyDescent="0.3">
      <c r="A5" s="40"/>
      <c r="B5" s="129" t="s">
        <v>151</v>
      </c>
      <c r="C5" s="884" t="s">
        <v>152</v>
      </c>
      <c r="D5" s="884"/>
      <c r="E5" s="884"/>
      <c r="F5" s="884"/>
      <c r="G5" s="263" t="str">
        <f>IF(('A-1 Site Habitat Baseline'!AQ259+'D-1 Off Site Habitat Baseline'!AQ259)&gt;0,"No ▲","Yes ✓")</f>
        <v>Yes ✓</v>
      </c>
      <c r="H5" s="272"/>
      <c r="I5" s="272"/>
      <c r="J5" s="272"/>
      <c r="K5" s="272"/>
      <c r="L5" s="40"/>
      <c r="M5" s="40"/>
      <c r="N5" s="40"/>
      <c r="O5" s="40"/>
      <c r="P5" s="40"/>
      <c r="Q5" s="40"/>
    </row>
    <row r="6" spans="1:17" ht="22.5" customHeight="1" x14ac:dyDescent="0.3">
      <c r="A6" s="40"/>
      <c r="B6" s="129" t="s">
        <v>153</v>
      </c>
      <c r="C6" s="885" t="s">
        <v>154</v>
      </c>
      <c r="D6" s="885"/>
      <c r="E6" s="885"/>
      <c r="F6" s="885"/>
      <c r="G6" s="263" t="str">
        <f>IFERROR(IF(J41&lt;0,"No ▲","Yes ✓"),"")</f>
        <v>Yes ✓</v>
      </c>
      <c r="H6" s="40"/>
      <c r="I6" s="40"/>
      <c r="J6" s="40"/>
      <c r="K6" s="40"/>
      <c r="L6" s="40"/>
      <c r="M6" s="40"/>
      <c r="N6" s="40"/>
      <c r="O6" s="40"/>
      <c r="P6" s="40"/>
      <c r="Q6" s="40"/>
    </row>
    <row r="7" spans="1:17" ht="19.5" customHeight="1" x14ac:dyDescent="0.3">
      <c r="A7" s="40"/>
      <c r="B7" s="129" t="s">
        <v>23</v>
      </c>
      <c r="C7" s="886" t="s">
        <v>155</v>
      </c>
      <c r="D7" s="886"/>
      <c r="E7" s="886"/>
      <c r="F7" s="886"/>
      <c r="G7" s="148" t="str">
        <f>IF(J40+J12+J89&lt;0,"No ▲","Yes ✓")</f>
        <v>Yes ✓</v>
      </c>
      <c r="H7" s="40"/>
      <c r="I7" s="40"/>
      <c r="J7" s="40"/>
      <c r="K7" s="40"/>
      <c r="L7" s="40"/>
      <c r="M7" s="40"/>
      <c r="N7" s="40"/>
      <c r="O7" s="40"/>
      <c r="P7" s="40"/>
      <c r="Q7" s="40"/>
    </row>
    <row r="8" spans="1:17" ht="18.75" customHeight="1" thickBot="1" x14ac:dyDescent="0.35">
      <c r="A8" s="40"/>
      <c r="B8" s="97" t="s">
        <v>156</v>
      </c>
      <c r="C8" s="887" t="s">
        <v>157</v>
      </c>
      <c r="D8" s="887"/>
      <c r="E8" s="887"/>
      <c r="F8" s="887"/>
      <c r="G8" s="162" t="str">
        <f>IF(J124&lt;0,"No ▲","Yes ✓")</f>
        <v>No ▲</v>
      </c>
      <c r="H8" s="40"/>
      <c r="I8" s="40"/>
      <c r="J8" s="40"/>
      <c r="K8" s="40"/>
      <c r="L8" s="40"/>
      <c r="M8" s="40"/>
      <c r="N8" s="40"/>
      <c r="O8" s="40"/>
      <c r="P8" s="40"/>
      <c r="Q8" s="40"/>
    </row>
    <row r="9" spans="1:17" ht="14.25" customHeight="1" x14ac:dyDescent="0.3">
      <c r="A9" s="40"/>
      <c r="B9" s="40"/>
      <c r="C9" s="40"/>
      <c r="D9" s="40"/>
      <c r="E9" s="40"/>
      <c r="F9" s="40"/>
      <c r="G9" s="40"/>
      <c r="H9" s="40"/>
      <c r="I9" s="40"/>
      <c r="J9" s="40"/>
      <c r="K9" s="40"/>
      <c r="L9" s="40"/>
      <c r="M9" s="40"/>
      <c r="N9" s="40"/>
      <c r="O9" s="40"/>
      <c r="P9" s="40"/>
      <c r="Q9" s="40"/>
    </row>
    <row r="10" spans="1:17" ht="14.5" thickBot="1" x14ac:dyDescent="0.35">
      <c r="A10" s="40"/>
      <c r="B10" s="40"/>
      <c r="C10" s="40"/>
      <c r="D10" s="40"/>
      <c r="E10" s="40"/>
      <c r="F10" s="40"/>
      <c r="G10" s="40"/>
      <c r="H10" s="40"/>
      <c r="I10" s="40"/>
      <c r="J10" s="40"/>
      <c r="K10" s="40"/>
      <c r="L10" s="40"/>
      <c r="M10" s="40"/>
      <c r="N10" s="40"/>
      <c r="O10" s="40"/>
      <c r="P10" s="40"/>
      <c r="Q10" s="40"/>
    </row>
    <row r="11" spans="1:17" ht="25.5" thickBot="1" x14ac:dyDescent="0.35">
      <c r="A11" s="40"/>
      <c r="B11" s="864" t="s">
        <v>158</v>
      </c>
      <c r="C11" s="865"/>
      <c r="D11" s="865"/>
      <c r="E11" s="865"/>
      <c r="F11" s="865"/>
      <c r="G11" s="877"/>
      <c r="H11" s="40"/>
      <c r="I11" s="868" t="s">
        <v>159</v>
      </c>
      <c r="J11" s="869"/>
      <c r="K11" s="40"/>
      <c r="L11" s="40"/>
      <c r="M11" s="40"/>
      <c r="N11" s="40"/>
      <c r="O11" s="40"/>
      <c r="P11" s="40"/>
      <c r="Q11" s="40"/>
    </row>
    <row r="12" spans="1:17" s="42" customFormat="1" ht="47" thickBot="1" x14ac:dyDescent="0.35">
      <c r="A12" s="40"/>
      <c r="B12" s="93" t="s">
        <v>59</v>
      </c>
      <c r="C12" s="94" t="s">
        <v>160</v>
      </c>
      <c r="D12" s="94" t="s">
        <v>161</v>
      </c>
      <c r="E12" s="94" t="s">
        <v>162</v>
      </c>
      <c r="F12" s="94" t="s">
        <v>163</v>
      </c>
      <c r="G12" s="95" t="s">
        <v>164</v>
      </c>
      <c r="H12" s="40"/>
      <c r="I12" s="358" t="s">
        <v>165</v>
      </c>
      <c r="J12" s="483">
        <f>SUMIF($F$13:$F$32,"&gt;0")</f>
        <v>0</v>
      </c>
      <c r="K12" s="40"/>
      <c r="L12" s="40"/>
      <c r="M12" s="40"/>
      <c r="N12" s="40"/>
      <c r="O12" s="40"/>
      <c r="P12" s="40"/>
      <c r="Q12" s="40"/>
    </row>
    <row r="13" spans="1:17" ht="15.75" customHeight="1" x14ac:dyDescent="0.3">
      <c r="A13" s="40"/>
      <c r="B13" s="347" t="str">
        <f>'G-2 Habitat groups'!AU5</f>
        <v>Grassland - Lowland dry acid grassland</v>
      </c>
      <c r="C13" s="348" t="str">
        <f>'G-2 Habitat groups'!AV5</f>
        <v>Grassland</v>
      </c>
      <c r="D13" s="481">
        <f>'G-2 Habitat groups'!BB5</f>
        <v>0</v>
      </c>
      <c r="E13" s="481">
        <f>'G-2 Habitat groups'!BD5</f>
        <v>0</v>
      </c>
      <c r="F13" s="481">
        <f>'G-2 Habitat groups'!BE5</f>
        <v>0</v>
      </c>
      <c r="G13" s="482" t="str">
        <f>'G-2 Habitat groups'!BF5</f>
        <v/>
      </c>
      <c r="H13" s="40"/>
      <c r="I13" s="876" t="str">
        <f>IF($G$33&lt;0,"Very high distinctiveness unit defecit - CHECK DATA","")</f>
        <v/>
      </c>
      <c r="J13" s="876"/>
      <c r="K13" s="40"/>
      <c r="L13" s="40"/>
      <c r="M13" s="40"/>
      <c r="N13" s="40"/>
      <c r="O13" s="40"/>
      <c r="P13" s="40"/>
      <c r="Q13" s="40"/>
    </row>
    <row r="14" spans="1:17" x14ac:dyDescent="0.3">
      <c r="A14" s="40"/>
      <c r="B14" s="347" t="str">
        <f>'G-2 Habitat groups'!AU6</f>
        <v>Grassland - Lowland meadows</v>
      </c>
      <c r="C14" s="348" t="str">
        <f>'G-2 Habitat groups'!AV6</f>
        <v>Grassland</v>
      </c>
      <c r="D14" s="481">
        <f>'G-2 Habitat groups'!BB6</f>
        <v>0</v>
      </c>
      <c r="E14" s="481">
        <f>'G-2 Habitat groups'!BD6</f>
        <v>0</v>
      </c>
      <c r="F14" s="481">
        <f>'G-2 Habitat groups'!BE6</f>
        <v>0</v>
      </c>
      <c r="G14" s="482" t="str">
        <f>'G-2 Habitat groups'!BF6</f>
        <v/>
      </c>
      <c r="H14" s="40"/>
      <c r="K14" s="40"/>
      <c r="L14" s="40"/>
      <c r="M14" s="40"/>
      <c r="N14" s="40"/>
      <c r="O14" s="40"/>
      <c r="P14" s="40"/>
      <c r="Q14" s="40"/>
    </row>
    <row r="15" spans="1:17" x14ac:dyDescent="0.3">
      <c r="A15" s="40"/>
      <c r="B15" s="347" t="str">
        <f>'G-2 Habitat groups'!AU7</f>
        <v>Grassland - Upland hay meadows</v>
      </c>
      <c r="C15" s="348" t="str">
        <f>'G-2 Habitat groups'!AV7</f>
        <v>Grassland</v>
      </c>
      <c r="D15" s="481">
        <f>'G-2 Habitat groups'!BB7</f>
        <v>0</v>
      </c>
      <c r="E15" s="481">
        <f>'G-2 Habitat groups'!BD7</f>
        <v>0</v>
      </c>
      <c r="F15" s="481">
        <f>'G-2 Habitat groups'!BE7</f>
        <v>0</v>
      </c>
      <c r="G15" s="482" t="str">
        <f>'G-2 Habitat groups'!BF7</f>
        <v/>
      </c>
      <c r="H15" s="40"/>
      <c r="K15" s="40"/>
      <c r="L15" s="40"/>
      <c r="M15" s="40"/>
      <c r="N15" s="40"/>
      <c r="O15" s="40"/>
      <c r="P15" s="40"/>
      <c r="Q15" s="40"/>
    </row>
    <row r="16" spans="1:17" x14ac:dyDescent="0.3">
      <c r="A16" s="40"/>
      <c r="B16" s="347" t="str">
        <f>'G-2 Habitat groups'!AU8</f>
        <v>Heathland and shrub - Mountain heaths and willow scrub</v>
      </c>
      <c r="C16" s="348" t="str">
        <f>'G-2 Habitat groups'!AV8</f>
        <v>Heathland and shrub</v>
      </c>
      <c r="D16" s="481">
        <f>'G-2 Habitat groups'!BB8</f>
        <v>0</v>
      </c>
      <c r="E16" s="481">
        <f>'G-2 Habitat groups'!BD8</f>
        <v>0</v>
      </c>
      <c r="F16" s="481">
        <f>'G-2 Habitat groups'!BE8</f>
        <v>0</v>
      </c>
      <c r="G16" s="482" t="str">
        <f>'G-2 Habitat groups'!BF8</f>
        <v/>
      </c>
      <c r="H16" s="40"/>
      <c r="K16" s="40"/>
      <c r="L16" s="40"/>
      <c r="M16" s="40"/>
      <c r="N16" s="40"/>
      <c r="O16" s="40"/>
      <c r="P16" s="40"/>
      <c r="Q16" s="40"/>
    </row>
    <row r="17" spans="1:17" x14ac:dyDescent="0.3">
      <c r="A17" s="40"/>
      <c r="B17" s="347" t="str">
        <f>'G-2 Habitat groups'!AU9</f>
        <v>Lakes - Aquifer fed naturally fluctuating water bodies</v>
      </c>
      <c r="C17" s="348" t="str">
        <f>'G-2 Habitat groups'!AV9</f>
        <v>Lakes</v>
      </c>
      <c r="D17" s="481">
        <f>'G-2 Habitat groups'!BB9</f>
        <v>0</v>
      </c>
      <c r="E17" s="481">
        <f>'G-2 Habitat groups'!BD9</f>
        <v>0</v>
      </c>
      <c r="F17" s="481">
        <f>'G-2 Habitat groups'!BE9</f>
        <v>0</v>
      </c>
      <c r="G17" s="482" t="str">
        <f>'G-2 Habitat groups'!BF9</f>
        <v/>
      </c>
      <c r="H17" s="40"/>
      <c r="K17" s="40"/>
      <c r="L17" s="40"/>
      <c r="M17" s="40"/>
      <c r="N17" s="40"/>
      <c r="O17" s="40"/>
      <c r="P17" s="40"/>
      <c r="Q17" s="40"/>
    </row>
    <row r="18" spans="1:17" x14ac:dyDescent="0.3">
      <c r="A18" s="40"/>
      <c r="B18" s="347" t="str">
        <f>'G-2 Habitat groups'!AU10</f>
        <v>Sparsely vegetated land - Calaminarian grasslands</v>
      </c>
      <c r="C18" s="348" t="str">
        <f>'G-2 Habitat groups'!AV10</f>
        <v>Sparsely vegetated land</v>
      </c>
      <c r="D18" s="481">
        <f>'G-2 Habitat groups'!BB10</f>
        <v>0</v>
      </c>
      <c r="E18" s="481">
        <f>'G-2 Habitat groups'!BD10</f>
        <v>0</v>
      </c>
      <c r="F18" s="481">
        <f>'G-2 Habitat groups'!BE10</f>
        <v>0</v>
      </c>
      <c r="G18" s="482" t="str">
        <f>'G-2 Habitat groups'!BF10</f>
        <v/>
      </c>
      <c r="H18" s="40"/>
      <c r="K18" s="40"/>
      <c r="L18" s="40"/>
      <c r="M18" s="40"/>
      <c r="N18" s="40"/>
      <c r="O18" s="40"/>
      <c r="P18" s="40"/>
      <c r="Q18" s="40"/>
    </row>
    <row r="19" spans="1:17" x14ac:dyDescent="0.3">
      <c r="A19" s="40"/>
      <c r="B19" s="347" t="str">
        <f>'G-2 Habitat groups'!AU11</f>
        <v>Sparsely vegetated land - Limestone pavement</v>
      </c>
      <c r="C19" s="348" t="str">
        <f>'G-2 Habitat groups'!AV11</f>
        <v>Sparsely vegetated land</v>
      </c>
      <c r="D19" s="481">
        <f>'G-2 Habitat groups'!BB11</f>
        <v>0</v>
      </c>
      <c r="E19" s="481">
        <f>'G-2 Habitat groups'!BD11</f>
        <v>0</v>
      </c>
      <c r="F19" s="481">
        <f>'G-2 Habitat groups'!BE11</f>
        <v>0</v>
      </c>
      <c r="G19" s="482" t="str">
        <f>'G-2 Habitat groups'!BF11</f>
        <v/>
      </c>
      <c r="H19" s="40"/>
      <c r="I19" s="40"/>
      <c r="J19" s="40"/>
      <c r="K19" s="40"/>
      <c r="L19" s="40"/>
      <c r="M19" s="40"/>
      <c r="N19" s="40"/>
      <c r="O19" s="40"/>
      <c r="P19" s="40"/>
      <c r="Q19" s="40"/>
    </row>
    <row r="20" spans="1:17" x14ac:dyDescent="0.3">
      <c r="A20" s="40"/>
      <c r="B20" s="347" t="str">
        <f>'G-2 Habitat groups'!AU12</f>
        <v>Wetland - Blanket bog</v>
      </c>
      <c r="C20" s="348" t="str">
        <f>'G-2 Habitat groups'!AV12</f>
        <v>Wetland</v>
      </c>
      <c r="D20" s="481">
        <f>'G-2 Habitat groups'!BB12</f>
        <v>0</v>
      </c>
      <c r="E20" s="481">
        <f>'G-2 Habitat groups'!BD12</f>
        <v>0</v>
      </c>
      <c r="F20" s="481">
        <f>'G-2 Habitat groups'!BE12</f>
        <v>0</v>
      </c>
      <c r="G20" s="482" t="str">
        <f>'G-2 Habitat groups'!BF12</f>
        <v/>
      </c>
      <c r="H20" s="40"/>
      <c r="I20" s="40"/>
      <c r="J20" s="40"/>
      <c r="K20" s="40"/>
      <c r="L20" s="40"/>
      <c r="M20" s="40"/>
      <c r="N20" s="40"/>
      <c r="O20" s="40"/>
      <c r="P20" s="40"/>
      <c r="Q20" s="40"/>
    </row>
    <row r="21" spans="1:17" x14ac:dyDescent="0.3">
      <c r="A21" s="40"/>
      <c r="B21" s="347" t="str">
        <f>'G-2 Habitat groups'!AU13</f>
        <v>Wetland - Depressions on Peat substrates (H7150)</v>
      </c>
      <c r="C21" s="348" t="str">
        <f>'G-2 Habitat groups'!AV13</f>
        <v>Wetland</v>
      </c>
      <c r="D21" s="481">
        <f>'G-2 Habitat groups'!BB13</f>
        <v>0</v>
      </c>
      <c r="E21" s="481">
        <f>'G-2 Habitat groups'!BD13</f>
        <v>0</v>
      </c>
      <c r="F21" s="481">
        <f>'G-2 Habitat groups'!BE13</f>
        <v>0</v>
      </c>
      <c r="G21" s="482" t="str">
        <f>'G-2 Habitat groups'!BF13</f>
        <v/>
      </c>
      <c r="H21" s="40"/>
      <c r="I21" s="40"/>
      <c r="J21" s="40"/>
      <c r="K21" s="40"/>
      <c r="L21" s="40"/>
      <c r="M21" s="40"/>
      <c r="N21" s="40"/>
      <c r="O21" s="40"/>
      <c r="P21" s="40"/>
      <c r="Q21" s="40"/>
    </row>
    <row r="22" spans="1:17" x14ac:dyDescent="0.3">
      <c r="A22" s="40"/>
      <c r="B22" s="347" t="str">
        <f>'G-2 Habitat groups'!AU14</f>
        <v>Wetland - Fens (upland and lowland)</v>
      </c>
      <c r="C22" s="348" t="str">
        <f>'G-2 Habitat groups'!AV14</f>
        <v>Wetland</v>
      </c>
      <c r="D22" s="481">
        <f>'G-2 Habitat groups'!BB14</f>
        <v>0</v>
      </c>
      <c r="E22" s="481">
        <f>'G-2 Habitat groups'!BD14</f>
        <v>0</v>
      </c>
      <c r="F22" s="481">
        <f>'G-2 Habitat groups'!BE14</f>
        <v>0</v>
      </c>
      <c r="G22" s="482" t="str">
        <f>'G-2 Habitat groups'!BF14</f>
        <v/>
      </c>
      <c r="H22" s="40"/>
      <c r="I22" s="40"/>
      <c r="J22" s="40"/>
      <c r="K22" s="40"/>
      <c r="L22" s="40"/>
      <c r="M22" s="40"/>
      <c r="N22" s="40"/>
      <c r="O22" s="40"/>
      <c r="P22" s="40"/>
      <c r="Q22" s="40"/>
    </row>
    <row r="23" spans="1:17" x14ac:dyDescent="0.3">
      <c r="A23" s="40"/>
      <c r="B23" s="347" t="str">
        <f>'G-2 Habitat groups'!AU15</f>
        <v>Wetland - Lowland raised bog</v>
      </c>
      <c r="C23" s="348" t="str">
        <f>'G-2 Habitat groups'!AV15</f>
        <v>Wetland</v>
      </c>
      <c r="D23" s="481">
        <f>'G-2 Habitat groups'!BB15</f>
        <v>0</v>
      </c>
      <c r="E23" s="481">
        <f>'G-2 Habitat groups'!BD15</f>
        <v>0</v>
      </c>
      <c r="F23" s="481">
        <f>'G-2 Habitat groups'!BE15</f>
        <v>0</v>
      </c>
      <c r="G23" s="482" t="str">
        <f>'G-2 Habitat groups'!BF15</f>
        <v/>
      </c>
      <c r="H23" s="40"/>
      <c r="I23" s="40"/>
      <c r="J23" s="40"/>
      <c r="K23" s="40"/>
      <c r="L23" s="40"/>
      <c r="M23" s="40"/>
      <c r="N23" s="40"/>
      <c r="O23" s="40"/>
      <c r="P23" s="40"/>
      <c r="Q23" s="40"/>
    </row>
    <row r="24" spans="1:17" x14ac:dyDescent="0.3">
      <c r="A24" s="40"/>
      <c r="B24" s="347" t="str">
        <f>'G-2 Habitat groups'!AU16</f>
        <v>Wetland - Oceanic Valley Mire[1] (D2.1)</v>
      </c>
      <c r="C24" s="348" t="str">
        <f>'G-2 Habitat groups'!AV16</f>
        <v>Wetland</v>
      </c>
      <c r="D24" s="481">
        <f>'G-2 Habitat groups'!BB16</f>
        <v>0</v>
      </c>
      <c r="E24" s="481">
        <f>'G-2 Habitat groups'!BD16</f>
        <v>0</v>
      </c>
      <c r="F24" s="481">
        <f>'G-2 Habitat groups'!BE16</f>
        <v>0</v>
      </c>
      <c r="G24" s="482" t="str">
        <f>'G-2 Habitat groups'!BF16</f>
        <v/>
      </c>
      <c r="H24" s="40"/>
      <c r="I24" s="40"/>
      <c r="J24" s="40"/>
      <c r="K24" s="40"/>
      <c r="L24" s="40"/>
      <c r="M24" s="40"/>
      <c r="N24" s="40"/>
      <c r="O24" s="40"/>
      <c r="P24" s="40"/>
      <c r="Q24" s="40"/>
    </row>
    <row r="25" spans="1:17" x14ac:dyDescent="0.3">
      <c r="A25" s="40"/>
      <c r="B25" s="347" t="str">
        <f>'G-2 Habitat groups'!AU17</f>
        <v>Wetland - Purple moor grass and rush pastures</v>
      </c>
      <c r="C25" s="348" t="str">
        <f>'G-2 Habitat groups'!AV17</f>
        <v>Wetland</v>
      </c>
      <c r="D25" s="481">
        <f>'G-2 Habitat groups'!BB17</f>
        <v>0</v>
      </c>
      <c r="E25" s="481">
        <f>'G-2 Habitat groups'!BD17</f>
        <v>0</v>
      </c>
      <c r="F25" s="481">
        <f>'G-2 Habitat groups'!BE17</f>
        <v>0</v>
      </c>
      <c r="G25" s="482" t="str">
        <f>'G-2 Habitat groups'!BF17</f>
        <v/>
      </c>
      <c r="H25" s="40"/>
      <c r="I25" s="40"/>
      <c r="J25" s="40"/>
      <c r="K25" s="40"/>
      <c r="L25" s="40"/>
      <c r="M25" s="40"/>
      <c r="N25" s="40"/>
      <c r="O25" s="40"/>
      <c r="P25" s="40"/>
      <c r="Q25" s="40"/>
    </row>
    <row r="26" spans="1:17" x14ac:dyDescent="0.3">
      <c r="A26" s="40"/>
      <c r="B26" s="347" t="str">
        <f>'G-2 Habitat groups'!AU18</f>
        <v>Wetland - Transition mires and quaking bogs (H7140)</v>
      </c>
      <c r="C26" s="348" t="str">
        <f>'G-2 Habitat groups'!AV18</f>
        <v>Wetland</v>
      </c>
      <c r="D26" s="481">
        <f>'G-2 Habitat groups'!BB18</f>
        <v>0</v>
      </c>
      <c r="E26" s="481">
        <f>'G-2 Habitat groups'!BD18</f>
        <v>0</v>
      </c>
      <c r="F26" s="481">
        <f>'G-2 Habitat groups'!BE18</f>
        <v>0</v>
      </c>
      <c r="G26" s="482" t="str">
        <f>'G-2 Habitat groups'!BF18</f>
        <v/>
      </c>
      <c r="H26" s="40"/>
      <c r="I26" s="40"/>
      <c r="J26" s="40"/>
      <c r="K26" s="40"/>
      <c r="L26" s="40"/>
      <c r="M26" s="40"/>
      <c r="N26" s="40"/>
      <c r="O26" s="40"/>
      <c r="P26" s="40"/>
      <c r="Q26" s="40"/>
    </row>
    <row r="27" spans="1:17" x14ac:dyDescent="0.3">
      <c r="A27" s="40"/>
      <c r="B27" s="347" t="str">
        <f>'G-2 Habitat groups'!AU19</f>
        <v>Woodland and forest - Wood-pasture and parkland</v>
      </c>
      <c r="C27" s="348" t="str">
        <f>'G-2 Habitat groups'!AV19</f>
        <v>Woodland and forest</v>
      </c>
      <c r="D27" s="481">
        <f>'G-2 Habitat groups'!BB19</f>
        <v>0</v>
      </c>
      <c r="E27" s="481">
        <f>'G-2 Habitat groups'!BD19</f>
        <v>0</v>
      </c>
      <c r="F27" s="481">
        <f>'G-2 Habitat groups'!BE19</f>
        <v>0</v>
      </c>
      <c r="G27" s="482" t="str">
        <f>'G-2 Habitat groups'!BF19</f>
        <v/>
      </c>
      <c r="H27" s="40"/>
      <c r="I27" s="40"/>
      <c r="J27" s="40"/>
      <c r="K27" s="40"/>
      <c r="L27" s="40"/>
      <c r="M27" s="40"/>
      <c r="N27" s="40"/>
      <c r="O27" s="40"/>
      <c r="P27" s="40"/>
      <c r="Q27" s="40"/>
    </row>
    <row r="28" spans="1:17" x14ac:dyDescent="0.3">
      <c r="A28" s="40"/>
      <c r="B28" s="347" t="str">
        <f>'G-2 Habitat groups'!AU20</f>
        <v>Rocky shore - High energy littoral rock - on peat, clay or chalk</v>
      </c>
      <c r="C28" s="348" t="str">
        <f>'G-2 Habitat groups'!AV20</f>
        <v>Rocky shore</v>
      </c>
      <c r="D28" s="481">
        <f>'G-2 Habitat groups'!BB20</f>
        <v>0</v>
      </c>
      <c r="E28" s="481">
        <f>'G-2 Habitat groups'!BD20</f>
        <v>0</v>
      </c>
      <c r="F28" s="481">
        <f>'G-2 Habitat groups'!BE20</f>
        <v>0</v>
      </c>
      <c r="G28" s="482" t="str">
        <f>'G-2 Habitat groups'!BF20</f>
        <v/>
      </c>
      <c r="H28" s="40"/>
      <c r="I28" s="40"/>
      <c r="J28" s="40"/>
      <c r="K28" s="40"/>
      <c r="L28" s="40"/>
      <c r="M28" s="40"/>
      <c r="N28" s="40"/>
      <c r="O28" s="40"/>
      <c r="P28" s="40"/>
      <c r="Q28" s="40"/>
    </row>
    <row r="29" spans="1:17" ht="14.25" customHeight="1" x14ac:dyDescent="0.3">
      <c r="A29" s="40"/>
      <c r="B29" s="347" t="str">
        <f>'G-2 Habitat groups'!AU21</f>
        <v>Rocky shore - Moderate energy littoral rock - on peat, clay or chalk</v>
      </c>
      <c r="C29" s="348" t="str">
        <f>'G-2 Habitat groups'!AV21</f>
        <v>Rocky shore</v>
      </c>
      <c r="D29" s="481">
        <f>'G-2 Habitat groups'!BB21</f>
        <v>0</v>
      </c>
      <c r="E29" s="481">
        <f>'G-2 Habitat groups'!BD21</f>
        <v>0</v>
      </c>
      <c r="F29" s="481">
        <f>'G-2 Habitat groups'!BE21</f>
        <v>0</v>
      </c>
      <c r="G29" s="482" t="str">
        <f>'G-2 Habitat groups'!BF21</f>
        <v/>
      </c>
      <c r="H29" s="40"/>
      <c r="I29" s="40"/>
      <c r="J29" s="40"/>
      <c r="K29" s="40"/>
      <c r="L29" s="40"/>
      <c r="M29" s="40"/>
      <c r="N29" s="40"/>
      <c r="O29" s="40"/>
      <c r="P29" s="40"/>
      <c r="Q29" s="40"/>
    </row>
    <row r="30" spans="1:17" s="42" customFormat="1" ht="18.649999999999999" customHeight="1" x14ac:dyDescent="0.3">
      <c r="A30" s="40"/>
      <c r="B30" s="347" t="str">
        <f>'G-2 Habitat groups'!AU22</f>
        <v>Rocky shore - Low energy littoral rock - on peat, clay or chalk</v>
      </c>
      <c r="C30" s="348" t="str">
        <f>'G-2 Habitat groups'!AV22</f>
        <v>Rocky shore</v>
      </c>
      <c r="D30" s="481">
        <f>'G-2 Habitat groups'!BB22</f>
        <v>0</v>
      </c>
      <c r="E30" s="481">
        <f>'G-2 Habitat groups'!BD22</f>
        <v>0</v>
      </c>
      <c r="F30" s="481">
        <f>'G-2 Habitat groups'!BE22</f>
        <v>0</v>
      </c>
      <c r="G30" s="482" t="str">
        <f>'G-2 Habitat groups'!BF22</f>
        <v/>
      </c>
      <c r="H30" s="40"/>
      <c r="I30" s="40"/>
      <c r="J30" s="40"/>
      <c r="K30" s="40"/>
      <c r="L30" s="40"/>
      <c r="M30" s="40"/>
      <c r="N30" s="40"/>
      <c r="O30" s="40"/>
      <c r="P30" s="40"/>
      <c r="Q30" s="40"/>
    </row>
    <row r="31" spans="1:17" x14ac:dyDescent="0.3">
      <c r="A31" s="40"/>
      <c r="B31" s="347" t="str">
        <f>'G-2 Habitat groups'!AU23</f>
        <v>Rocky shore - Features of littoral rock - on peat, clay or chalk</v>
      </c>
      <c r="C31" s="348" t="str">
        <f>'G-2 Habitat groups'!AV23</f>
        <v>Rocky shore</v>
      </c>
      <c r="D31" s="481">
        <f>'G-2 Habitat groups'!BB23</f>
        <v>0</v>
      </c>
      <c r="E31" s="481">
        <f>'G-2 Habitat groups'!BD23</f>
        <v>0</v>
      </c>
      <c r="F31" s="481">
        <f>'G-2 Habitat groups'!BE23</f>
        <v>0</v>
      </c>
      <c r="G31" s="482" t="str">
        <f>'G-2 Habitat groups'!BF23</f>
        <v/>
      </c>
      <c r="H31" s="40"/>
      <c r="I31" s="40"/>
      <c r="J31" s="40"/>
      <c r="K31" s="40"/>
      <c r="L31" s="40"/>
      <c r="M31" s="40"/>
      <c r="N31" s="40"/>
      <c r="O31" s="40"/>
      <c r="P31" s="40"/>
      <c r="Q31" s="40"/>
    </row>
    <row r="32" spans="1:17" ht="14.5" thickBot="1" x14ac:dyDescent="0.35">
      <c r="A32" s="40"/>
      <c r="B32" s="349" t="str">
        <f>'G-2 Habitat groups'!AU24</f>
        <v>Intertidal sediment - Littoral seagrass on peat, clay or chalk</v>
      </c>
      <c r="C32" s="350" t="str">
        <f>'G-2 Habitat groups'!AV24</f>
        <v>Intertidal sediment</v>
      </c>
      <c r="D32" s="481">
        <f>'G-2 Habitat groups'!BB24</f>
        <v>0</v>
      </c>
      <c r="E32" s="481">
        <f>'G-2 Habitat groups'!BD24</f>
        <v>0</v>
      </c>
      <c r="F32" s="481">
        <f>'G-2 Habitat groups'!BE24</f>
        <v>0</v>
      </c>
      <c r="G32" s="482" t="str">
        <f>'G-2 Habitat groups'!BF24</f>
        <v/>
      </c>
      <c r="H32" s="40"/>
      <c r="I32" s="40"/>
      <c r="J32" s="40"/>
      <c r="K32" s="40"/>
      <c r="L32" s="40"/>
      <c r="M32" s="40"/>
      <c r="N32" s="40"/>
      <c r="O32" s="40"/>
      <c r="P32" s="40"/>
      <c r="Q32" s="40"/>
    </row>
    <row r="33" spans="1:17" ht="14.5" thickBot="1" x14ac:dyDescent="0.35">
      <c r="A33" s="40"/>
      <c r="B33" s="40"/>
      <c r="C33" s="40"/>
      <c r="D33" s="473">
        <f>SUM(D13:D32)</f>
        <v>0</v>
      </c>
      <c r="E33" s="474">
        <f>SUM(E13:E32)</f>
        <v>0</v>
      </c>
      <c r="F33" s="475">
        <f>SUM(F13:F32)</f>
        <v>0</v>
      </c>
      <c r="G33" s="476">
        <f>SUM(G13:G32)</f>
        <v>0</v>
      </c>
      <c r="H33" s="40"/>
      <c r="I33" s="40"/>
      <c r="J33" s="40"/>
      <c r="K33" s="40"/>
      <c r="L33" s="40"/>
      <c r="M33" s="40"/>
      <c r="N33" s="40"/>
      <c r="O33" s="40"/>
      <c r="P33" s="40"/>
      <c r="Q33" s="40"/>
    </row>
    <row r="34" spans="1:17" x14ac:dyDescent="0.3">
      <c r="A34" s="40"/>
      <c r="B34" s="40"/>
      <c r="C34" s="40"/>
      <c r="D34" s="40"/>
      <c r="E34" s="40"/>
      <c r="F34" s="40"/>
      <c r="G34" s="40"/>
      <c r="H34" s="40"/>
      <c r="I34" s="40"/>
      <c r="J34" s="40"/>
      <c r="K34" s="40"/>
      <c r="L34" s="40"/>
      <c r="M34" s="40"/>
      <c r="N34" s="40"/>
      <c r="O34" s="40"/>
      <c r="P34" s="40"/>
      <c r="Q34" s="40"/>
    </row>
    <row r="35" spans="1:17" x14ac:dyDescent="0.3">
      <c r="A35" s="40"/>
      <c r="B35" s="40"/>
      <c r="C35" s="40"/>
      <c r="D35" s="40"/>
      <c r="E35" s="40"/>
      <c r="F35" s="40"/>
      <c r="G35" s="40"/>
      <c r="H35" s="40"/>
      <c r="I35" s="40"/>
      <c r="J35" s="40"/>
      <c r="K35" s="40"/>
      <c r="L35" s="40"/>
      <c r="M35" s="40"/>
      <c r="N35" s="40"/>
      <c r="O35" s="40"/>
      <c r="P35" s="40"/>
      <c r="Q35" s="40"/>
    </row>
    <row r="36" spans="1:17" x14ac:dyDescent="0.3">
      <c r="A36" s="40"/>
      <c r="B36" s="40"/>
      <c r="C36" s="40"/>
      <c r="D36" s="40"/>
      <c r="E36" s="40"/>
      <c r="F36" s="40"/>
      <c r="G36" s="40"/>
      <c r="H36" s="40"/>
      <c r="I36" s="40"/>
      <c r="J36" s="40"/>
      <c r="K36" s="40"/>
      <c r="L36" s="40"/>
      <c r="M36" s="40"/>
      <c r="N36" s="40"/>
      <c r="O36" s="40"/>
      <c r="P36" s="40"/>
      <c r="Q36" s="40"/>
    </row>
    <row r="37" spans="1:17" x14ac:dyDescent="0.3">
      <c r="A37" s="40"/>
      <c r="B37" s="40"/>
      <c r="C37" s="40"/>
      <c r="D37" s="40"/>
      <c r="E37" s="40"/>
      <c r="F37" s="40"/>
      <c r="G37" s="40"/>
      <c r="H37" s="40"/>
      <c r="I37" s="40"/>
      <c r="J37" s="40"/>
      <c r="K37" s="40"/>
      <c r="L37" s="40"/>
      <c r="M37" s="40"/>
      <c r="N37" s="40"/>
      <c r="O37" s="40"/>
      <c r="P37" s="40"/>
      <c r="Q37" s="40"/>
    </row>
    <row r="38" spans="1:17" ht="14.5" thickBot="1" x14ac:dyDescent="0.35">
      <c r="A38" s="40"/>
      <c r="B38" s="40"/>
      <c r="C38" s="40"/>
      <c r="D38" s="40"/>
      <c r="E38" s="40"/>
      <c r="F38" s="40"/>
      <c r="G38" s="40"/>
      <c r="H38" s="40"/>
      <c r="I38" s="40"/>
      <c r="J38" s="40"/>
      <c r="K38" s="40"/>
      <c r="L38" s="40"/>
      <c r="M38" s="40"/>
      <c r="N38" s="40"/>
      <c r="O38" s="40"/>
      <c r="P38" s="40"/>
      <c r="Q38" s="40"/>
    </row>
    <row r="39" spans="1:17" ht="25.5" thickBot="1" x14ac:dyDescent="0.35">
      <c r="A39" s="40"/>
      <c r="B39" s="864" t="s">
        <v>166</v>
      </c>
      <c r="C39" s="865"/>
      <c r="D39" s="865"/>
      <c r="E39" s="865"/>
      <c r="F39" s="865"/>
      <c r="G39" s="877"/>
      <c r="H39" s="40"/>
      <c r="I39" s="868" t="s">
        <v>167</v>
      </c>
      <c r="J39" s="869"/>
      <c r="K39" s="40"/>
      <c r="L39" s="40"/>
      <c r="M39" s="40"/>
    </row>
    <row r="40" spans="1:17" ht="46.5" x14ac:dyDescent="0.3">
      <c r="A40" s="40"/>
      <c r="B40" s="93" t="s">
        <v>59</v>
      </c>
      <c r="C40" s="94" t="s">
        <v>160</v>
      </c>
      <c r="D40" s="94" t="s">
        <v>161</v>
      </c>
      <c r="E40" s="94" t="s">
        <v>162</v>
      </c>
      <c r="F40" s="94" t="s">
        <v>163</v>
      </c>
      <c r="G40" s="95" t="s">
        <v>168</v>
      </c>
      <c r="H40" s="40"/>
      <c r="I40" s="96" t="s">
        <v>169</v>
      </c>
      <c r="J40" s="486">
        <f>SUMIF($F$41:$F$81,"&gt;0")</f>
        <v>0</v>
      </c>
      <c r="K40" s="40"/>
      <c r="L40" s="40"/>
      <c r="M40" s="40"/>
      <c r="N40" s="40"/>
      <c r="O40" s="40"/>
    </row>
    <row r="41" spans="1:17" ht="14.5" thickBot="1" x14ac:dyDescent="0.35">
      <c r="A41" s="40"/>
      <c r="B41" s="345" t="str">
        <f>'G-2 Habitat groups'!AU30</f>
        <v>Grassland - Traditional orchards</v>
      </c>
      <c r="C41" s="346" t="str">
        <f>'G-2 Habitat groups'!AV30</f>
        <v>Grassland</v>
      </c>
      <c r="D41" s="484">
        <f>'G-2 Habitat groups'!BB30</f>
        <v>0</v>
      </c>
      <c r="E41" s="484">
        <f>'G-2 Habitat groups'!BD30</f>
        <v>0</v>
      </c>
      <c r="F41" s="484">
        <f>'G-2 Habitat groups'!BE30</f>
        <v>0</v>
      </c>
      <c r="G41" s="485" t="str">
        <f>'G-2 Habitat groups'!BF30</f>
        <v/>
      </c>
      <c r="H41" s="40"/>
      <c r="I41" s="97" t="s">
        <v>170</v>
      </c>
      <c r="J41" s="487">
        <f>G82</f>
        <v>0</v>
      </c>
      <c r="K41" s="40"/>
      <c r="L41" s="40"/>
      <c r="M41" s="40"/>
      <c r="N41" s="40"/>
      <c r="O41" s="40"/>
    </row>
    <row r="42" spans="1:17" x14ac:dyDescent="0.3">
      <c r="A42" s="40"/>
      <c r="B42" s="345" t="str">
        <f>'G-2 Habitat groups'!AU31</f>
        <v>Grassland - Floodplain Wetland Mosaic (CFGM)</v>
      </c>
      <c r="C42" s="346" t="str">
        <f>'G-2 Habitat groups'!AV31</f>
        <v>Grassland</v>
      </c>
      <c r="D42" s="484">
        <f>'G-2 Habitat groups'!BB31</f>
        <v>0</v>
      </c>
      <c r="E42" s="484">
        <f>'G-2 Habitat groups'!BD31</f>
        <v>0</v>
      </c>
      <c r="F42" s="484">
        <f>'G-2 Habitat groups'!BE31</f>
        <v>0</v>
      </c>
      <c r="G42" s="485" t="str">
        <f>'G-2 Habitat groups'!BF31</f>
        <v/>
      </c>
      <c r="H42" s="40"/>
      <c r="I42" s="40"/>
      <c r="J42" s="40"/>
      <c r="K42" s="40"/>
      <c r="L42" s="40"/>
      <c r="M42" s="40"/>
      <c r="N42" s="40"/>
      <c r="O42" s="40"/>
    </row>
    <row r="43" spans="1:17" ht="14.25" customHeight="1" x14ac:dyDescent="0.3">
      <c r="A43" s="40"/>
      <c r="B43" s="345" t="str">
        <f>'G-2 Habitat groups'!AU32</f>
        <v>Grassland - Lowland calcareous grassland</v>
      </c>
      <c r="C43" s="346" t="str">
        <f>'G-2 Habitat groups'!AV32</f>
        <v>Grassland</v>
      </c>
      <c r="D43" s="484">
        <f>'G-2 Habitat groups'!BB32</f>
        <v>0</v>
      </c>
      <c r="E43" s="484">
        <f>'G-2 Habitat groups'!BD32</f>
        <v>0</v>
      </c>
      <c r="F43" s="484">
        <f>'G-2 Habitat groups'!BE32</f>
        <v>0</v>
      </c>
      <c r="G43" s="485" t="str">
        <f>'G-2 Habitat groups'!BF32</f>
        <v/>
      </c>
      <c r="H43" s="40"/>
      <c r="K43" s="40"/>
      <c r="L43" s="40"/>
      <c r="M43" s="40"/>
      <c r="N43" s="40"/>
    </row>
    <row r="44" spans="1:17" ht="15" customHeight="1" x14ac:dyDescent="0.3">
      <c r="A44" s="40"/>
      <c r="B44" s="345" t="str">
        <f>'G-2 Habitat groups'!AU33</f>
        <v>Grassland - Tall herb communities (H6430)</v>
      </c>
      <c r="C44" s="346" t="str">
        <f>'G-2 Habitat groups'!AV33</f>
        <v>Grassland</v>
      </c>
      <c r="D44" s="484">
        <f>'G-2 Habitat groups'!BB33</f>
        <v>0</v>
      </c>
      <c r="E44" s="484">
        <f>'G-2 Habitat groups'!BD33</f>
        <v>0</v>
      </c>
      <c r="F44" s="484">
        <f>'G-2 Habitat groups'!BE33</f>
        <v>0</v>
      </c>
      <c r="G44" s="485" t="str">
        <f>'G-2 Habitat groups'!BF33</f>
        <v/>
      </c>
      <c r="H44" s="40"/>
      <c r="K44" s="40"/>
      <c r="L44" s="40"/>
      <c r="M44" s="40"/>
      <c r="N44" s="40"/>
    </row>
    <row r="45" spans="1:17" ht="15" customHeight="1" x14ac:dyDescent="0.3">
      <c r="A45" s="40"/>
      <c r="B45" s="345" t="str">
        <f>'G-2 Habitat groups'!AU34</f>
        <v>Grassland - Upland calcareous grassland</v>
      </c>
      <c r="C45" s="346" t="str">
        <f>'G-2 Habitat groups'!AV34</f>
        <v>Grassland</v>
      </c>
      <c r="D45" s="484">
        <f>'G-2 Habitat groups'!BB34</f>
        <v>0</v>
      </c>
      <c r="E45" s="484">
        <f>'G-2 Habitat groups'!BD34</f>
        <v>0</v>
      </c>
      <c r="F45" s="484">
        <f>'G-2 Habitat groups'!BE34</f>
        <v>0</v>
      </c>
      <c r="G45" s="485" t="str">
        <f>'G-2 Habitat groups'!BF34</f>
        <v/>
      </c>
      <c r="H45" s="40"/>
      <c r="K45" s="40"/>
      <c r="L45" s="40"/>
      <c r="M45" s="40"/>
      <c r="N45" s="40"/>
    </row>
    <row r="46" spans="1:17" ht="15" customHeight="1" x14ac:dyDescent="0.3">
      <c r="A46" s="40"/>
      <c r="B46" s="345" t="str">
        <f>'G-2 Habitat groups'!AU35</f>
        <v>Heathland and shrub - Lowland Heathland</v>
      </c>
      <c r="C46" s="346" t="str">
        <f>'G-2 Habitat groups'!AV35</f>
        <v>Heathland and shrub</v>
      </c>
      <c r="D46" s="484">
        <f>'G-2 Habitat groups'!BB35</f>
        <v>0</v>
      </c>
      <c r="E46" s="484">
        <f>'G-2 Habitat groups'!BD35</f>
        <v>0</v>
      </c>
      <c r="F46" s="484">
        <f>'G-2 Habitat groups'!BE35</f>
        <v>0</v>
      </c>
      <c r="G46" s="485" t="str">
        <f>'G-2 Habitat groups'!BF35</f>
        <v/>
      </c>
      <c r="H46" s="40"/>
      <c r="K46" s="40"/>
      <c r="L46" s="40"/>
      <c r="M46" s="40"/>
      <c r="N46" s="40"/>
    </row>
    <row r="47" spans="1:17" ht="15" customHeight="1" x14ac:dyDescent="0.3">
      <c r="A47" s="40"/>
      <c r="B47" s="345" t="str">
        <f>'G-2 Habitat groups'!AU36</f>
        <v>Heathland and shrub - Sea buckthorn scrub (Annex 1)</v>
      </c>
      <c r="C47" s="346" t="str">
        <f>'G-2 Habitat groups'!AV36</f>
        <v>Heathland and shrub</v>
      </c>
      <c r="D47" s="484">
        <f>'G-2 Habitat groups'!BB36</f>
        <v>0</v>
      </c>
      <c r="E47" s="484">
        <f>'G-2 Habitat groups'!BD36</f>
        <v>0</v>
      </c>
      <c r="F47" s="484">
        <f>'G-2 Habitat groups'!BE36</f>
        <v>0</v>
      </c>
      <c r="G47" s="485" t="str">
        <f>'G-2 Habitat groups'!BF36</f>
        <v/>
      </c>
      <c r="H47" s="40"/>
      <c r="I47" s="40"/>
      <c r="J47" s="40"/>
      <c r="K47" s="40"/>
      <c r="L47" s="40"/>
    </row>
    <row r="48" spans="1:17" ht="15" customHeight="1" x14ac:dyDescent="0.3">
      <c r="A48" s="40"/>
      <c r="B48" s="345" t="str">
        <f>'G-2 Habitat groups'!AU37</f>
        <v>Heathland and shrub - Upland Heathland</v>
      </c>
      <c r="C48" s="346" t="str">
        <f>'G-2 Habitat groups'!AV37</f>
        <v>Heathland and shrub</v>
      </c>
      <c r="D48" s="484">
        <f>'G-2 Habitat groups'!BB37</f>
        <v>0</v>
      </c>
      <c r="E48" s="484">
        <f>'G-2 Habitat groups'!BD37</f>
        <v>0</v>
      </c>
      <c r="F48" s="484">
        <f>'G-2 Habitat groups'!BE37</f>
        <v>0</v>
      </c>
      <c r="G48" s="485" t="str">
        <f>'G-2 Habitat groups'!BF37</f>
        <v/>
      </c>
      <c r="H48" s="40"/>
      <c r="I48" s="40"/>
      <c r="J48" s="40"/>
      <c r="K48" s="40"/>
      <c r="L48" s="40"/>
    </row>
    <row r="49" spans="1:15" ht="15" customHeight="1" x14ac:dyDescent="0.3">
      <c r="A49" s="40"/>
      <c r="B49" s="345" t="str">
        <f>'G-2 Habitat groups'!AU38</f>
        <v>Lakes - High alkalinity lakes</v>
      </c>
      <c r="C49" s="346" t="str">
        <f>'G-2 Habitat groups'!AV38</f>
        <v>Lakes</v>
      </c>
      <c r="D49" s="484">
        <f>'G-2 Habitat groups'!BB38</f>
        <v>0</v>
      </c>
      <c r="E49" s="484">
        <f>'G-2 Habitat groups'!BD38</f>
        <v>0</v>
      </c>
      <c r="F49" s="484">
        <f>'G-2 Habitat groups'!BE38</f>
        <v>0</v>
      </c>
      <c r="G49" s="485" t="str">
        <f>'G-2 Habitat groups'!BF38</f>
        <v/>
      </c>
      <c r="H49" s="40"/>
      <c r="I49" s="40"/>
      <c r="J49" s="40"/>
      <c r="K49" s="40"/>
      <c r="L49" s="40"/>
    </row>
    <row r="50" spans="1:15" ht="15.75" customHeight="1" x14ac:dyDescent="0.3">
      <c r="A50" s="40"/>
      <c r="B50" s="345" t="str">
        <f>'G-2 Habitat groups'!AU39</f>
        <v>Lakes - Low alkalinity lakes</v>
      </c>
      <c r="C50" s="346" t="str">
        <f>'G-2 Habitat groups'!AV39</f>
        <v>Lakes</v>
      </c>
      <c r="D50" s="484">
        <f>'G-2 Habitat groups'!BB39</f>
        <v>0</v>
      </c>
      <c r="E50" s="484">
        <f>'G-2 Habitat groups'!BD39</f>
        <v>0</v>
      </c>
      <c r="F50" s="484">
        <f>'G-2 Habitat groups'!BE39</f>
        <v>0</v>
      </c>
      <c r="G50" s="485" t="str">
        <f>'G-2 Habitat groups'!BF39</f>
        <v/>
      </c>
      <c r="H50" s="40"/>
      <c r="I50" s="40"/>
      <c r="J50" s="40"/>
      <c r="K50" s="40"/>
      <c r="L50" s="40"/>
    </row>
    <row r="51" spans="1:15" x14ac:dyDescent="0.3">
      <c r="A51" s="40"/>
      <c r="B51" s="345" t="str">
        <f>'G-2 Habitat groups'!AU40</f>
        <v>Lakes - Marl Lakes</v>
      </c>
      <c r="C51" s="346" t="str">
        <f>'G-2 Habitat groups'!AV40</f>
        <v>Lakes</v>
      </c>
      <c r="D51" s="484">
        <f>'G-2 Habitat groups'!BB40</f>
        <v>0</v>
      </c>
      <c r="E51" s="484">
        <f>'G-2 Habitat groups'!BD40</f>
        <v>0</v>
      </c>
      <c r="F51" s="484">
        <f>'G-2 Habitat groups'!BE40</f>
        <v>0</v>
      </c>
      <c r="G51" s="485" t="str">
        <f>'G-2 Habitat groups'!BF40</f>
        <v/>
      </c>
      <c r="H51" s="40"/>
      <c r="I51" s="40"/>
      <c r="J51" s="40"/>
      <c r="K51" s="40"/>
      <c r="L51" s="40"/>
      <c r="M51" s="40"/>
    </row>
    <row r="52" spans="1:15" x14ac:dyDescent="0.3">
      <c r="A52" s="40"/>
      <c r="B52" s="345" t="str">
        <f>'G-2 Habitat groups'!AU41</f>
        <v>Lakes - Moderate alkalinity lakes</v>
      </c>
      <c r="C52" s="346" t="str">
        <f>'G-2 Habitat groups'!AV41</f>
        <v>Lakes</v>
      </c>
      <c r="D52" s="484">
        <f>'G-2 Habitat groups'!BB41</f>
        <v>0</v>
      </c>
      <c r="E52" s="484">
        <f>'G-2 Habitat groups'!BD41</f>
        <v>0</v>
      </c>
      <c r="F52" s="484">
        <f>'G-2 Habitat groups'!BE41</f>
        <v>0</v>
      </c>
      <c r="G52" s="485" t="str">
        <f>'G-2 Habitat groups'!BF41</f>
        <v/>
      </c>
      <c r="H52" s="40"/>
      <c r="I52" s="40"/>
      <c r="J52" s="40"/>
      <c r="K52" s="40"/>
      <c r="L52" s="40"/>
      <c r="M52" s="40"/>
    </row>
    <row r="53" spans="1:15" x14ac:dyDescent="0.3">
      <c r="A53" s="40"/>
      <c r="B53" s="345" t="str">
        <f>'G-2 Habitat groups'!AU42</f>
        <v>Lakes - Peat Lakes</v>
      </c>
      <c r="C53" s="346" t="str">
        <f>'G-2 Habitat groups'!AV42</f>
        <v>Lakes</v>
      </c>
      <c r="D53" s="484">
        <f>'G-2 Habitat groups'!BB42</f>
        <v>0</v>
      </c>
      <c r="E53" s="484">
        <f>'G-2 Habitat groups'!BD42</f>
        <v>0</v>
      </c>
      <c r="F53" s="484">
        <f>'G-2 Habitat groups'!BE42</f>
        <v>0</v>
      </c>
      <c r="G53" s="485" t="str">
        <f>'G-2 Habitat groups'!BF42</f>
        <v/>
      </c>
      <c r="H53" s="40"/>
      <c r="I53" s="40"/>
      <c r="J53" s="40"/>
      <c r="K53" s="40"/>
      <c r="L53" s="40"/>
      <c r="M53" s="40"/>
    </row>
    <row r="54" spans="1:15" x14ac:dyDescent="0.3">
      <c r="A54" s="40"/>
      <c r="B54" s="345" t="str">
        <f>'G-2 Habitat groups'!AU43</f>
        <v>Lakes - Ponds (Priority Habitat)</v>
      </c>
      <c r="C54" s="346" t="str">
        <f>'G-2 Habitat groups'!AV43</f>
        <v>Lakes</v>
      </c>
      <c r="D54" s="484">
        <f>'G-2 Habitat groups'!BB43</f>
        <v>0</v>
      </c>
      <c r="E54" s="484">
        <f>'G-2 Habitat groups'!BD43</f>
        <v>0</v>
      </c>
      <c r="F54" s="484">
        <f>'G-2 Habitat groups'!BE43</f>
        <v>0</v>
      </c>
      <c r="G54" s="485" t="str">
        <f>'G-2 Habitat groups'!BF43</f>
        <v/>
      </c>
      <c r="H54" s="40"/>
      <c r="I54" s="40"/>
      <c r="J54" s="40"/>
      <c r="K54" s="40"/>
      <c r="L54" s="40"/>
      <c r="M54" s="40"/>
    </row>
    <row r="55" spans="1:15" ht="15" customHeight="1" x14ac:dyDescent="0.3">
      <c r="A55" s="40"/>
      <c r="B55" s="345" t="str">
        <f>'G-2 Habitat groups'!AU44</f>
        <v>Lakes - Temporary lakes, ponds and pools</v>
      </c>
      <c r="C55" s="346" t="str">
        <f>'G-2 Habitat groups'!AV44</f>
        <v>Lakes</v>
      </c>
      <c r="D55" s="484">
        <f>'G-2 Habitat groups'!BB44</f>
        <v>0</v>
      </c>
      <c r="E55" s="484">
        <f>'G-2 Habitat groups'!BD44</f>
        <v>0</v>
      </c>
      <c r="F55" s="484">
        <f>'G-2 Habitat groups'!BE44</f>
        <v>0</v>
      </c>
      <c r="G55" s="485" t="str">
        <f>'G-2 Habitat groups'!BF44</f>
        <v/>
      </c>
      <c r="H55" s="40"/>
      <c r="I55" s="40"/>
      <c r="J55" s="40"/>
      <c r="K55" s="40"/>
      <c r="L55" s="40"/>
      <c r="M55" s="40"/>
    </row>
    <row r="56" spans="1:15" ht="15" customHeight="1" x14ac:dyDescent="0.3">
      <c r="A56" s="40"/>
      <c r="B56" s="345" t="str">
        <f>'G-2 Habitat groups'!AU45</f>
        <v>Sparsely vegetated land - Coastal sand dunes</v>
      </c>
      <c r="C56" s="346" t="str">
        <f>'G-2 Habitat groups'!AV45</f>
        <v>Sparsely vegetated land</v>
      </c>
      <c r="D56" s="484">
        <f>'G-2 Habitat groups'!BB45</f>
        <v>0</v>
      </c>
      <c r="E56" s="484">
        <f>'G-2 Habitat groups'!BD45</f>
        <v>0</v>
      </c>
      <c r="F56" s="484">
        <f>'G-2 Habitat groups'!BE45</f>
        <v>0</v>
      </c>
      <c r="G56" s="485" t="str">
        <f>'G-2 Habitat groups'!BF45</f>
        <v/>
      </c>
      <c r="H56" s="40"/>
      <c r="I56" s="40"/>
      <c r="J56" s="40"/>
      <c r="K56" s="40"/>
      <c r="L56" s="40"/>
    </row>
    <row r="57" spans="1:15" x14ac:dyDescent="0.3">
      <c r="A57" s="40"/>
      <c r="B57" s="345" t="str">
        <f>'G-2 Habitat groups'!AU46</f>
        <v>Sparsely vegetated land - Coastal vegetated shingle</v>
      </c>
      <c r="C57" s="346" t="str">
        <f>'G-2 Habitat groups'!AV46</f>
        <v>Sparsely vegetated land</v>
      </c>
      <c r="D57" s="484">
        <f>'G-2 Habitat groups'!BB46</f>
        <v>0</v>
      </c>
      <c r="E57" s="484">
        <f>'G-2 Habitat groups'!BD46</f>
        <v>0</v>
      </c>
      <c r="F57" s="484">
        <f>'G-2 Habitat groups'!BE46</f>
        <v>0</v>
      </c>
      <c r="G57" s="485" t="str">
        <f>'G-2 Habitat groups'!BF46</f>
        <v/>
      </c>
      <c r="H57" s="40"/>
      <c r="I57" s="40"/>
      <c r="J57" s="40"/>
      <c r="K57" s="40"/>
      <c r="L57" s="40"/>
    </row>
    <row r="58" spans="1:15" x14ac:dyDescent="0.3">
      <c r="A58" s="40"/>
      <c r="B58" s="345" t="str">
        <f>'G-2 Habitat groups'!AU47</f>
        <v>Sparsely vegetated land - Inland rock outcrop and scree habitats</v>
      </c>
      <c r="C58" s="346" t="str">
        <f>'G-2 Habitat groups'!AV47</f>
        <v>Sparsely vegetated land</v>
      </c>
      <c r="D58" s="484">
        <f>'G-2 Habitat groups'!BB47</f>
        <v>0</v>
      </c>
      <c r="E58" s="484">
        <f>'G-2 Habitat groups'!BD47</f>
        <v>0</v>
      </c>
      <c r="F58" s="484">
        <f>'G-2 Habitat groups'!BE47</f>
        <v>0</v>
      </c>
      <c r="G58" s="485" t="str">
        <f>'G-2 Habitat groups'!BF47</f>
        <v/>
      </c>
      <c r="H58" s="40"/>
      <c r="I58" s="40"/>
      <c r="J58" s="40"/>
      <c r="K58" s="40"/>
      <c r="L58" s="40"/>
      <c r="M58" s="40"/>
      <c r="N58" s="40"/>
      <c r="O58" s="40"/>
    </row>
    <row r="59" spans="1:15" x14ac:dyDescent="0.3">
      <c r="A59" s="40"/>
      <c r="B59" s="345" t="str">
        <f>'G-2 Habitat groups'!AU48</f>
        <v>Sparsely vegetated land - Maritime cliff and slopes</v>
      </c>
      <c r="C59" s="346" t="str">
        <f>'G-2 Habitat groups'!AV48</f>
        <v>Sparsely vegetated land</v>
      </c>
      <c r="D59" s="484">
        <f>'G-2 Habitat groups'!BB48</f>
        <v>0</v>
      </c>
      <c r="E59" s="484">
        <f>'G-2 Habitat groups'!BD48</f>
        <v>0</v>
      </c>
      <c r="F59" s="484">
        <f>'G-2 Habitat groups'!BE48</f>
        <v>0</v>
      </c>
      <c r="G59" s="485" t="str">
        <f>'G-2 Habitat groups'!BF48</f>
        <v/>
      </c>
      <c r="H59" s="40"/>
      <c r="I59" s="40"/>
      <c r="J59" s="40"/>
      <c r="K59" s="40"/>
      <c r="L59" s="40"/>
      <c r="M59" s="40"/>
      <c r="N59" s="40"/>
      <c r="O59" s="40"/>
    </row>
    <row r="60" spans="1:15" x14ac:dyDescent="0.3">
      <c r="A60" s="40"/>
      <c r="B60" s="345" t="str">
        <f>'G-2 Habitat groups'!AU49</f>
        <v>Urban - Open Mosaic Habitats on Previously Developed Land</v>
      </c>
      <c r="C60" s="346" t="str">
        <f>'G-2 Habitat groups'!AV49</f>
        <v>Urban</v>
      </c>
      <c r="D60" s="484">
        <f>'G-2 Habitat groups'!BB49</f>
        <v>0</v>
      </c>
      <c r="E60" s="484">
        <f>'G-2 Habitat groups'!BD49</f>
        <v>0</v>
      </c>
      <c r="F60" s="484">
        <f>'G-2 Habitat groups'!BE49</f>
        <v>0</v>
      </c>
      <c r="G60" s="485" t="str">
        <f>'G-2 Habitat groups'!BF49</f>
        <v/>
      </c>
      <c r="H60" s="40"/>
      <c r="K60" s="40"/>
      <c r="L60" s="40"/>
      <c r="M60" s="40"/>
      <c r="N60" s="40"/>
      <c r="O60" s="40"/>
    </row>
    <row r="61" spans="1:15" x14ac:dyDescent="0.3">
      <c r="A61" s="40"/>
      <c r="B61" s="345" t="str">
        <f>'G-2 Habitat groups'!AU50</f>
        <v>Wetland - Reedbeds</v>
      </c>
      <c r="C61" s="346" t="str">
        <f>'G-2 Habitat groups'!AV50</f>
        <v>Wetland</v>
      </c>
      <c r="D61" s="484">
        <f>'G-2 Habitat groups'!BB50</f>
        <v>0</v>
      </c>
      <c r="E61" s="484">
        <f>'G-2 Habitat groups'!BD50</f>
        <v>0</v>
      </c>
      <c r="F61" s="484">
        <f>'G-2 Habitat groups'!BE50</f>
        <v>0</v>
      </c>
      <c r="G61" s="485" t="str">
        <f>'G-2 Habitat groups'!BF50</f>
        <v/>
      </c>
      <c r="H61" s="40"/>
      <c r="K61" s="40"/>
      <c r="L61" s="40"/>
      <c r="M61" s="40"/>
      <c r="N61" s="40"/>
      <c r="O61" s="40"/>
    </row>
    <row r="62" spans="1:15" x14ac:dyDescent="0.3">
      <c r="A62" s="40"/>
      <c r="B62" s="345" t="str">
        <f>'G-2 Habitat groups'!AU51</f>
        <v>Woodland and forest - Felled</v>
      </c>
      <c r="C62" s="346" t="str">
        <f>'G-2 Habitat groups'!AV51</f>
        <v>Woodland and forest</v>
      </c>
      <c r="D62" s="484">
        <f>'G-2 Habitat groups'!BB51</f>
        <v>0</v>
      </c>
      <c r="E62" s="484">
        <f>'G-2 Habitat groups'!BD51</f>
        <v>0</v>
      </c>
      <c r="F62" s="484">
        <f>'G-2 Habitat groups'!BE51</f>
        <v>0</v>
      </c>
      <c r="G62" s="485" t="str">
        <f>'G-2 Habitat groups'!BF51</f>
        <v/>
      </c>
      <c r="H62" s="40"/>
      <c r="K62" s="40"/>
      <c r="L62" s="40"/>
      <c r="M62" s="40"/>
      <c r="N62" s="40"/>
      <c r="O62" s="40"/>
    </row>
    <row r="63" spans="1:15" x14ac:dyDescent="0.3">
      <c r="A63" s="40"/>
      <c r="B63" s="345" t="str">
        <f>'G-2 Habitat groups'!AU52</f>
        <v>Woodland and forest - Lowland beech and yew woodland</v>
      </c>
      <c r="C63" s="346" t="str">
        <f>'G-2 Habitat groups'!AV52</f>
        <v>Woodland and forest</v>
      </c>
      <c r="D63" s="484">
        <f>'G-2 Habitat groups'!BB52</f>
        <v>0</v>
      </c>
      <c r="E63" s="484">
        <f>'G-2 Habitat groups'!BD52</f>
        <v>0</v>
      </c>
      <c r="F63" s="484">
        <f>'G-2 Habitat groups'!BE52</f>
        <v>0</v>
      </c>
      <c r="G63" s="485" t="str">
        <f>'G-2 Habitat groups'!BF52</f>
        <v/>
      </c>
      <c r="H63" s="40"/>
      <c r="I63" s="40"/>
      <c r="J63" s="40"/>
      <c r="K63" s="40"/>
      <c r="L63" s="40"/>
      <c r="M63" s="40"/>
      <c r="N63" s="40"/>
      <c r="O63" s="40"/>
    </row>
    <row r="64" spans="1:15" x14ac:dyDescent="0.3">
      <c r="A64" s="40"/>
      <c r="B64" s="345" t="str">
        <f>'G-2 Habitat groups'!AU53</f>
        <v>Woodland and forest - Lowland mixed deciduous woodland</v>
      </c>
      <c r="C64" s="346" t="str">
        <f>'G-2 Habitat groups'!AV53</f>
        <v>Woodland and forest</v>
      </c>
      <c r="D64" s="484">
        <f>'G-2 Habitat groups'!BB53</f>
        <v>0</v>
      </c>
      <c r="E64" s="484">
        <f>'G-2 Habitat groups'!BD53</f>
        <v>0</v>
      </c>
      <c r="F64" s="484">
        <f>'G-2 Habitat groups'!BE53</f>
        <v>0</v>
      </c>
      <c r="G64" s="485" t="str">
        <f>'G-2 Habitat groups'!BF53</f>
        <v/>
      </c>
      <c r="H64" s="40"/>
      <c r="I64" s="40"/>
      <c r="J64" s="40"/>
      <c r="K64" s="40"/>
      <c r="L64" s="40"/>
      <c r="M64" s="40"/>
      <c r="N64" s="40"/>
      <c r="O64" s="40"/>
    </row>
    <row r="65" spans="1:15" x14ac:dyDescent="0.3">
      <c r="A65" s="40"/>
      <c r="B65" s="345" t="str">
        <f>'G-2 Habitat groups'!AU54</f>
        <v>Woodland and forest - Native pine woodlands</v>
      </c>
      <c r="C65" s="346" t="str">
        <f>'G-2 Habitat groups'!AV54</f>
        <v>Woodland and forest</v>
      </c>
      <c r="D65" s="484">
        <f>'G-2 Habitat groups'!BB54</f>
        <v>0</v>
      </c>
      <c r="E65" s="484">
        <f>'G-2 Habitat groups'!BD54</f>
        <v>0</v>
      </c>
      <c r="F65" s="484">
        <f>'G-2 Habitat groups'!BE54</f>
        <v>0</v>
      </c>
      <c r="G65" s="485" t="str">
        <f>'G-2 Habitat groups'!BF54</f>
        <v/>
      </c>
      <c r="H65" s="40"/>
      <c r="I65" s="40"/>
      <c r="J65" s="40"/>
      <c r="K65" s="40"/>
      <c r="L65" s="40"/>
      <c r="M65" s="40"/>
      <c r="N65" s="40"/>
      <c r="O65" s="40"/>
    </row>
    <row r="66" spans="1:15" x14ac:dyDescent="0.3">
      <c r="A66" s="40"/>
      <c r="B66" s="345" t="str">
        <f>'G-2 Habitat groups'!AU55</f>
        <v>Woodland and forest - Upland birchwoods</v>
      </c>
      <c r="C66" s="346" t="str">
        <f>'G-2 Habitat groups'!AV55</f>
        <v>Woodland and forest</v>
      </c>
      <c r="D66" s="484">
        <f>'G-2 Habitat groups'!BB55</f>
        <v>0</v>
      </c>
      <c r="E66" s="484">
        <f>'G-2 Habitat groups'!BD55</f>
        <v>0</v>
      </c>
      <c r="F66" s="484">
        <f>'G-2 Habitat groups'!BE55</f>
        <v>0</v>
      </c>
      <c r="G66" s="485" t="str">
        <f>'G-2 Habitat groups'!BF55</f>
        <v/>
      </c>
      <c r="H66" s="40"/>
      <c r="I66" s="40"/>
      <c r="J66" s="40"/>
      <c r="K66" s="40"/>
      <c r="L66" s="40"/>
      <c r="M66" s="40"/>
      <c r="N66" s="40"/>
      <c r="O66" s="40"/>
    </row>
    <row r="67" spans="1:15" x14ac:dyDescent="0.3">
      <c r="A67" s="40"/>
      <c r="B67" s="345" t="str">
        <f>'G-2 Habitat groups'!AU56</f>
        <v>Woodland and forest - Upland mixed ashwoods</v>
      </c>
      <c r="C67" s="346" t="str">
        <f>'G-2 Habitat groups'!AV56</f>
        <v>Woodland and forest</v>
      </c>
      <c r="D67" s="484">
        <f>'G-2 Habitat groups'!BB56</f>
        <v>0</v>
      </c>
      <c r="E67" s="484">
        <f>'G-2 Habitat groups'!BD56</f>
        <v>0</v>
      </c>
      <c r="F67" s="484">
        <f>'G-2 Habitat groups'!BE56</f>
        <v>0</v>
      </c>
      <c r="G67" s="485" t="str">
        <f>'G-2 Habitat groups'!BF56</f>
        <v/>
      </c>
      <c r="H67" s="40"/>
      <c r="I67" s="40"/>
      <c r="J67" s="40"/>
      <c r="K67" s="40"/>
      <c r="L67" s="40"/>
      <c r="M67" s="40"/>
      <c r="N67" s="40"/>
      <c r="O67" s="40"/>
    </row>
    <row r="68" spans="1:15" x14ac:dyDescent="0.3">
      <c r="A68" s="40"/>
      <c r="B68" s="345" t="str">
        <f>'G-2 Habitat groups'!AU57</f>
        <v>Woodland and forest - Upland oakwood</v>
      </c>
      <c r="C68" s="346" t="str">
        <f>'G-2 Habitat groups'!AV57</f>
        <v>Woodland and forest</v>
      </c>
      <c r="D68" s="484">
        <f>'G-2 Habitat groups'!BB57</f>
        <v>0</v>
      </c>
      <c r="E68" s="484">
        <f>'G-2 Habitat groups'!BD57</f>
        <v>0</v>
      </c>
      <c r="F68" s="484">
        <f>'G-2 Habitat groups'!BE57</f>
        <v>0</v>
      </c>
      <c r="G68" s="485" t="str">
        <f>'G-2 Habitat groups'!BF57</f>
        <v/>
      </c>
      <c r="H68" s="40"/>
      <c r="I68" s="40"/>
      <c r="J68" s="40"/>
      <c r="K68" s="40"/>
      <c r="L68" s="40"/>
      <c r="M68" s="40"/>
      <c r="N68" s="40"/>
      <c r="O68" s="40"/>
    </row>
    <row r="69" spans="1:15" ht="14.5" customHeight="1" x14ac:dyDescent="0.3">
      <c r="A69" s="40"/>
      <c r="B69" s="345" t="str">
        <f>'G-2 Habitat groups'!AU58</f>
        <v>Woodland and forest - Wet woodland</v>
      </c>
      <c r="C69" s="346" t="str">
        <f>'G-2 Habitat groups'!AV58</f>
        <v>Woodland and forest</v>
      </c>
      <c r="D69" s="484">
        <f>'G-2 Habitat groups'!BB58</f>
        <v>0</v>
      </c>
      <c r="E69" s="484">
        <f>'G-2 Habitat groups'!BD58</f>
        <v>0</v>
      </c>
      <c r="F69" s="484">
        <f>'G-2 Habitat groups'!BE58</f>
        <v>0</v>
      </c>
      <c r="G69" s="485" t="str">
        <f>'G-2 Habitat groups'!BF58</f>
        <v/>
      </c>
      <c r="H69" s="40"/>
      <c r="I69" s="40"/>
      <c r="J69" s="40"/>
      <c r="K69" s="40"/>
      <c r="L69" s="40"/>
      <c r="M69" s="40"/>
      <c r="N69" s="40"/>
      <c r="O69" s="40"/>
    </row>
    <row r="70" spans="1:15" x14ac:dyDescent="0.3">
      <c r="A70" s="40"/>
      <c r="B70" s="345" t="str">
        <f>'G-2 Habitat groups'!AU59</f>
        <v>Coastal lagoons - Coastal lagoons</v>
      </c>
      <c r="C70" s="346" t="str">
        <f>'G-2 Habitat groups'!AV59</f>
        <v>Coastal lagoons</v>
      </c>
      <c r="D70" s="484">
        <f>'G-2 Habitat groups'!BB59</f>
        <v>0</v>
      </c>
      <c r="E70" s="484">
        <f>'G-2 Habitat groups'!BD59</f>
        <v>0</v>
      </c>
      <c r="F70" s="484">
        <f>'G-2 Habitat groups'!BE59</f>
        <v>0</v>
      </c>
      <c r="G70" s="485" t="str">
        <f>'G-2 Habitat groups'!BF59</f>
        <v/>
      </c>
      <c r="H70" s="40"/>
      <c r="I70" s="40"/>
      <c r="J70" s="40"/>
      <c r="K70" s="40"/>
      <c r="L70" s="40"/>
      <c r="M70" s="40"/>
      <c r="N70" s="40"/>
      <c r="O70" s="40"/>
    </row>
    <row r="71" spans="1:15" x14ac:dyDescent="0.3">
      <c r="A71" s="40"/>
      <c r="B71" s="345" t="str">
        <f>'G-2 Habitat groups'!AU60</f>
        <v>Rocky shore - High energy littoral rock</v>
      </c>
      <c r="C71" s="346" t="str">
        <f>'G-2 Habitat groups'!AV60</f>
        <v>Rocky shore</v>
      </c>
      <c r="D71" s="484">
        <f>'G-2 Habitat groups'!BB60</f>
        <v>0</v>
      </c>
      <c r="E71" s="484">
        <f>'G-2 Habitat groups'!BD60</f>
        <v>0</v>
      </c>
      <c r="F71" s="484">
        <f>'G-2 Habitat groups'!BE60</f>
        <v>0</v>
      </c>
      <c r="G71" s="485" t="str">
        <f>'G-2 Habitat groups'!BF60</f>
        <v/>
      </c>
      <c r="H71" s="40"/>
      <c r="I71" s="40"/>
      <c r="J71" s="40"/>
      <c r="K71" s="40"/>
      <c r="L71" s="40"/>
      <c r="M71" s="40"/>
      <c r="N71" s="40"/>
      <c r="O71" s="40"/>
    </row>
    <row r="72" spans="1:15" x14ac:dyDescent="0.3">
      <c r="A72" s="40"/>
      <c r="B72" s="345" t="str">
        <f>'G-2 Habitat groups'!AU61</f>
        <v>Rocky shore - Moderate energy littoral rock</v>
      </c>
      <c r="C72" s="346" t="str">
        <f>'G-2 Habitat groups'!AV61</f>
        <v>Rocky shore</v>
      </c>
      <c r="D72" s="484">
        <f>'G-2 Habitat groups'!BB61</f>
        <v>0</v>
      </c>
      <c r="E72" s="484">
        <f>'G-2 Habitat groups'!BD61</f>
        <v>0</v>
      </c>
      <c r="F72" s="484">
        <f>'G-2 Habitat groups'!BE61</f>
        <v>0</v>
      </c>
      <c r="G72" s="485" t="str">
        <f>'G-2 Habitat groups'!BF61</f>
        <v/>
      </c>
      <c r="H72" s="40"/>
      <c r="I72" s="40"/>
      <c r="J72" s="40"/>
      <c r="K72" s="40"/>
      <c r="L72" s="40"/>
      <c r="M72" s="40"/>
      <c r="N72" s="40"/>
      <c r="O72" s="40"/>
    </row>
    <row r="73" spans="1:15" x14ac:dyDescent="0.3">
      <c r="A73" s="40"/>
      <c r="B73" s="345" t="str">
        <f>'G-2 Habitat groups'!AU62</f>
        <v>Rocky shore - Low energy littoral rock</v>
      </c>
      <c r="C73" s="346" t="str">
        <f>'G-2 Habitat groups'!AV62</f>
        <v>Rocky shore</v>
      </c>
      <c r="D73" s="484">
        <f>'G-2 Habitat groups'!BB62</f>
        <v>0</v>
      </c>
      <c r="E73" s="484">
        <f>'G-2 Habitat groups'!BD62</f>
        <v>0</v>
      </c>
      <c r="F73" s="484">
        <f>'G-2 Habitat groups'!BE62</f>
        <v>0</v>
      </c>
      <c r="G73" s="485" t="str">
        <f>'G-2 Habitat groups'!BF62</f>
        <v/>
      </c>
      <c r="H73" s="40"/>
      <c r="I73" s="40"/>
      <c r="J73" s="40"/>
      <c r="K73" s="40"/>
      <c r="L73" s="40"/>
      <c r="M73" s="40"/>
      <c r="N73" s="40"/>
      <c r="O73" s="40"/>
    </row>
    <row r="74" spans="1:15" x14ac:dyDescent="0.3">
      <c r="A74" s="40"/>
      <c r="B74" s="345" t="str">
        <f>'G-2 Habitat groups'!AU63</f>
        <v>Rocky shore - Features of littoral rock</v>
      </c>
      <c r="C74" s="346" t="str">
        <f>'G-2 Habitat groups'!AV63</f>
        <v>Rocky shore</v>
      </c>
      <c r="D74" s="484">
        <f>'G-2 Habitat groups'!BB63</f>
        <v>0</v>
      </c>
      <c r="E74" s="484">
        <f>'G-2 Habitat groups'!BD63</f>
        <v>0</v>
      </c>
      <c r="F74" s="484">
        <f>'G-2 Habitat groups'!BE63</f>
        <v>0</v>
      </c>
      <c r="G74" s="485" t="str">
        <f>'G-2 Habitat groups'!BF63</f>
        <v/>
      </c>
      <c r="H74" s="40"/>
      <c r="I74" s="40"/>
      <c r="J74" s="40"/>
      <c r="K74" s="40"/>
      <c r="L74" s="40"/>
      <c r="M74" s="40"/>
      <c r="N74" s="40"/>
      <c r="O74" s="40"/>
    </row>
    <row r="75" spans="1:15" x14ac:dyDescent="0.3">
      <c r="A75" s="40"/>
      <c r="B75" s="345" t="str">
        <f>'G-2 Habitat groups'!AU64</f>
        <v>Intertidal sediment - Littoral mud</v>
      </c>
      <c r="C75" s="346" t="str">
        <f>'G-2 Habitat groups'!AV64</f>
        <v>Intertidal sediment</v>
      </c>
      <c r="D75" s="484">
        <f>'G-2 Habitat groups'!BB64</f>
        <v>0</v>
      </c>
      <c r="E75" s="484">
        <f>'G-2 Habitat groups'!BD64</f>
        <v>0</v>
      </c>
      <c r="F75" s="484">
        <f>'G-2 Habitat groups'!BE64</f>
        <v>0</v>
      </c>
      <c r="G75" s="485" t="str">
        <f>'G-2 Habitat groups'!BF64</f>
        <v/>
      </c>
      <c r="H75" s="40"/>
      <c r="I75" s="40"/>
      <c r="J75" s="40"/>
      <c r="K75" s="40"/>
      <c r="L75" s="40"/>
      <c r="M75" s="40"/>
      <c r="N75" s="40"/>
      <c r="O75" s="40"/>
    </row>
    <row r="76" spans="1:15" x14ac:dyDescent="0.3">
      <c r="A76" s="40"/>
      <c r="B76" s="345" t="str">
        <f>'G-2 Habitat groups'!AU65</f>
        <v>Intertidal sediment - Littoral mixed sediments</v>
      </c>
      <c r="C76" s="346" t="str">
        <f>'G-2 Habitat groups'!AV65</f>
        <v>Intertidal sediment</v>
      </c>
      <c r="D76" s="484">
        <f>'G-2 Habitat groups'!BB65</f>
        <v>0</v>
      </c>
      <c r="E76" s="484">
        <f>'G-2 Habitat groups'!BD65</f>
        <v>0</v>
      </c>
      <c r="F76" s="484">
        <f>'G-2 Habitat groups'!BE65</f>
        <v>0</v>
      </c>
      <c r="G76" s="485" t="str">
        <f>'G-2 Habitat groups'!BF65</f>
        <v/>
      </c>
      <c r="H76" s="40"/>
      <c r="I76" s="40"/>
      <c r="J76" s="40"/>
      <c r="K76" s="40"/>
      <c r="L76" s="40"/>
      <c r="M76" s="40"/>
      <c r="N76" s="40"/>
      <c r="O76" s="40"/>
    </row>
    <row r="77" spans="1:15" x14ac:dyDescent="0.3">
      <c r="A77" s="40"/>
      <c r="B77" s="345" t="str">
        <f>'G-2 Habitat groups'!AU66</f>
        <v>Coastal saltmarsh - Saltmarshes and saline reedbeds</v>
      </c>
      <c r="C77" s="346" t="str">
        <f>'G-2 Habitat groups'!AV66</f>
        <v>Coastal Saltmarsh</v>
      </c>
      <c r="D77" s="484">
        <f>'G-2 Habitat groups'!BB66</f>
        <v>0</v>
      </c>
      <c r="E77" s="484">
        <f>'G-2 Habitat groups'!BD66</f>
        <v>0</v>
      </c>
      <c r="F77" s="484">
        <f>'G-2 Habitat groups'!BE66</f>
        <v>0</v>
      </c>
      <c r="G77" s="485" t="str">
        <f>'G-2 Habitat groups'!BF66</f>
        <v/>
      </c>
      <c r="H77" s="40"/>
      <c r="I77" s="40"/>
      <c r="J77" s="40"/>
      <c r="K77" s="40"/>
      <c r="L77" s="40"/>
      <c r="M77" s="40"/>
      <c r="N77" s="40"/>
      <c r="O77" s="40"/>
    </row>
    <row r="78" spans="1:15" x14ac:dyDescent="0.3">
      <c r="A78" s="40"/>
      <c r="B78" s="345" t="str">
        <f>'G-2 Habitat groups'!AU67</f>
        <v>Intertidal sediment - Littoral biogenic reefs - Mussels</v>
      </c>
      <c r="C78" s="346" t="str">
        <f>'G-2 Habitat groups'!AV67</f>
        <v>Intertidal sediment</v>
      </c>
      <c r="D78" s="484">
        <f>'G-2 Habitat groups'!BB67</f>
        <v>0</v>
      </c>
      <c r="E78" s="484">
        <f>'G-2 Habitat groups'!BD67</f>
        <v>0</v>
      </c>
      <c r="F78" s="484">
        <f>'G-2 Habitat groups'!BE67</f>
        <v>0</v>
      </c>
      <c r="G78" s="485" t="str">
        <f>'G-2 Habitat groups'!BF67</f>
        <v/>
      </c>
      <c r="H78" s="40"/>
      <c r="I78" s="40"/>
      <c r="J78" s="40"/>
      <c r="K78" s="40"/>
      <c r="L78" s="40"/>
      <c r="M78" s="40"/>
      <c r="N78" s="40"/>
      <c r="O78" s="40"/>
    </row>
    <row r="79" spans="1:15" x14ac:dyDescent="0.3">
      <c r="A79" s="40"/>
      <c r="B79" s="345" t="str">
        <f>'G-2 Habitat groups'!AU68</f>
        <v>Intertidal sediment - Littoral biogenic reefs - Sabellaria</v>
      </c>
      <c r="C79" s="346" t="str">
        <f>'G-2 Habitat groups'!AV68</f>
        <v>Intertidal sediment</v>
      </c>
      <c r="D79" s="484">
        <f>'G-2 Habitat groups'!BB68</f>
        <v>0</v>
      </c>
      <c r="E79" s="484">
        <f>'G-2 Habitat groups'!BD68</f>
        <v>0</v>
      </c>
      <c r="F79" s="484">
        <f>'G-2 Habitat groups'!BE68</f>
        <v>0</v>
      </c>
      <c r="G79" s="485" t="str">
        <f>'G-2 Habitat groups'!BF68</f>
        <v/>
      </c>
      <c r="H79" s="40"/>
      <c r="I79" s="40"/>
      <c r="J79" s="40"/>
      <c r="K79" s="40"/>
      <c r="L79" s="40"/>
      <c r="M79" s="40"/>
      <c r="N79" s="40"/>
      <c r="O79" s="40"/>
    </row>
    <row r="80" spans="1:15" x14ac:dyDescent="0.3">
      <c r="A80" s="40"/>
      <c r="B80" s="347" t="str">
        <f>'G-2 Habitat groups'!AU69</f>
        <v>Intertidal sediment - Features of littoral sediment</v>
      </c>
      <c r="C80" s="348" t="str">
        <f>'G-2 Habitat groups'!AV69</f>
        <v>Intertidal sediment</v>
      </c>
      <c r="D80" s="484">
        <f>'G-2 Habitat groups'!BB69</f>
        <v>0</v>
      </c>
      <c r="E80" s="484">
        <f>'G-2 Habitat groups'!BD69</f>
        <v>0</v>
      </c>
      <c r="F80" s="484">
        <f>'G-2 Habitat groups'!BE69</f>
        <v>0</v>
      </c>
      <c r="G80" s="485" t="str">
        <f>'G-2 Habitat groups'!BF69</f>
        <v/>
      </c>
      <c r="H80" s="40"/>
      <c r="I80" s="40"/>
      <c r="J80" s="40"/>
      <c r="K80" s="40"/>
      <c r="L80" s="40"/>
      <c r="M80" s="40"/>
      <c r="N80" s="40"/>
      <c r="O80" s="40"/>
    </row>
    <row r="81" spans="1:17" ht="14.5" thickBot="1" x14ac:dyDescent="0.35">
      <c r="A81" s="40"/>
      <c r="B81" s="349" t="str">
        <f>'G-2 Habitat groups'!AU70</f>
        <v>Intertidal sediment - Littoral muddy sand</v>
      </c>
      <c r="C81" s="350" t="str">
        <f>'G-2 Habitat groups'!AV70</f>
        <v>Intertidal sediment</v>
      </c>
      <c r="D81" s="484">
        <f>'G-2 Habitat groups'!BB70</f>
        <v>0</v>
      </c>
      <c r="E81" s="484">
        <f>'G-2 Habitat groups'!BD70</f>
        <v>0</v>
      </c>
      <c r="F81" s="484">
        <f>'G-2 Habitat groups'!BE70</f>
        <v>0</v>
      </c>
      <c r="G81" s="485" t="str">
        <f>'G-2 Habitat groups'!BF70</f>
        <v/>
      </c>
      <c r="H81" s="40"/>
      <c r="I81" s="40"/>
      <c r="J81" s="40"/>
      <c r="K81" s="40"/>
      <c r="L81" s="40"/>
      <c r="M81" s="40"/>
      <c r="N81" s="40"/>
      <c r="O81" s="40"/>
      <c r="P81" s="40"/>
      <c r="Q81" s="40"/>
    </row>
    <row r="82" spans="1:17" ht="14.5" thickBot="1" x14ac:dyDescent="0.35">
      <c r="A82" s="40"/>
      <c r="B82" s="46"/>
      <c r="C82" s="46"/>
      <c r="D82" s="473">
        <f>SUM(D41:D81)</f>
        <v>0</v>
      </c>
      <c r="E82" s="474">
        <f>SUM(E41:E81)</f>
        <v>0</v>
      </c>
      <c r="F82" s="475">
        <f>SUM(F41:F81)</f>
        <v>0</v>
      </c>
      <c r="G82" s="476">
        <f>SUM(G41:G81)</f>
        <v>0</v>
      </c>
      <c r="H82" s="40"/>
      <c r="I82" s="40"/>
      <c r="J82" s="40"/>
      <c r="K82" s="40"/>
      <c r="L82" s="40"/>
      <c r="M82" s="40"/>
      <c r="N82" s="40"/>
      <c r="O82" s="40"/>
      <c r="P82" s="40"/>
      <c r="Q82" s="40"/>
    </row>
    <row r="83" spans="1:17" x14ac:dyDescent="0.3">
      <c r="A83" s="40"/>
      <c r="B83" s="40"/>
      <c r="C83" s="40"/>
      <c r="D83" s="40"/>
      <c r="E83" s="40"/>
      <c r="F83" s="40"/>
      <c r="G83" s="40"/>
      <c r="H83" s="40"/>
      <c r="I83" s="40"/>
      <c r="J83" s="40"/>
      <c r="K83" s="40"/>
      <c r="L83" s="40"/>
      <c r="M83" s="40"/>
      <c r="N83" s="40"/>
      <c r="O83" s="40"/>
      <c r="P83" s="40"/>
      <c r="Q83" s="40"/>
    </row>
    <row r="84" spans="1:17" x14ac:dyDescent="0.3">
      <c r="A84" s="40"/>
      <c r="B84" s="40"/>
      <c r="C84" s="40"/>
      <c r="D84" s="40"/>
      <c r="E84" s="40"/>
      <c r="F84" s="40"/>
      <c r="G84" s="40"/>
      <c r="H84" s="40"/>
      <c r="I84" s="40"/>
      <c r="J84" s="40"/>
      <c r="K84" s="40"/>
      <c r="L84" s="40"/>
      <c r="M84" s="40"/>
      <c r="N84" s="40"/>
      <c r="O84" s="40"/>
      <c r="P84" s="40"/>
      <c r="Q84" s="40"/>
    </row>
    <row r="85" spans="1:17" x14ac:dyDescent="0.3">
      <c r="A85" s="40"/>
      <c r="B85" s="40"/>
      <c r="C85" s="40"/>
      <c r="D85" s="40"/>
      <c r="E85" s="40"/>
      <c r="F85" s="40"/>
      <c r="G85" s="40"/>
      <c r="H85" s="40"/>
      <c r="I85" s="40"/>
      <c r="J85" s="40"/>
      <c r="K85" s="40"/>
      <c r="L85" s="40"/>
      <c r="M85" s="40"/>
      <c r="N85" s="40"/>
      <c r="O85" s="40"/>
      <c r="P85" s="40"/>
      <c r="Q85" s="40"/>
    </row>
    <row r="86" spans="1:17" ht="14.5" thickBot="1" x14ac:dyDescent="0.35">
      <c r="A86" s="40"/>
      <c r="B86" s="40"/>
      <c r="C86" s="40"/>
      <c r="D86" s="40"/>
      <c r="E86" s="40"/>
      <c r="F86" s="40"/>
      <c r="G86" s="40"/>
      <c r="H86" s="40"/>
      <c r="I86" s="40"/>
      <c r="J86" s="40"/>
      <c r="K86" s="40"/>
      <c r="L86" s="40"/>
      <c r="M86" s="40"/>
      <c r="N86" s="40"/>
      <c r="O86" s="40"/>
      <c r="P86" s="40"/>
      <c r="Q86" s="40"/>
    </row>
    <row r="87" spans="1:17" ht="28.5" thickBot="1" x14ac:dyDescent="0.55000000000000004">
      <c r="A87" s="40"/>
      <c r="B87" s="873" t="s">
        <v>171</v>
      </c>
      <c r="C87" s="874"/>
      <c r="D87" s="874"/>
      <c r="E87" s="874"/>
      <c r="F87" s="874"/>
      <c r="G87" s="875"/>
      <c r="H87" s="40"/>
      <c r="I87" s="866" t="s">
        <v>172</v>
      </c>
      <c r="J87" s="867"/>
      <c r="K87" s="40"/>
      <c r="L87" s="40"/>
      <c r="M87" s="40"/>
      <c r="N87" s="40"/>
      <c r="O87" s="40"/>
    </row>
    <row r="88" spans="1:17" ht="47" thickBot="1" x14ac:dyDescent="0.35">
      <c r="A88" s="40"/>
      <c r="B88" s="351" t="s">
        <v>173</v>
      </c>
      <c r="C88" s="352" t="s">
        <v>160</v>
      </c>
      <c r="D88" s="352" t="s">
        <v>174</v>
      </c>
      <c r="E88" s="352" t="s">
        <v>175</v>
      </c>
      <c r="F88" s="352" t="s">
        <v>176</v>
      </c>
      <c r="G88" s="353" t="s">
        <v>177</v>
      </c>
      <c r="H88" s="40"/>
      <c r="I88" s="96" t="s">
        <v>178</v>
      </c>
      <c r="J88" s="488">
        <f>SUMIF(G89:G113,"&gt;0")</f>
        <v>1.8033576217468203</v>
      </c>
      <c r="K88" s="40"/>
      <c r="L88" s="40"/>
    </row>
    <row r="89" spans="1:17" ht="28" x14ac:dyDescent="0.3">
      <c r="A89" s="40"/>
      <c r="B89" s="354" t="str">
        <f>'G-2 Habitat groups'!AU77</f>
        <v>Cropland - Arable field margins cultivated annually</v>
      </c>
      <c r="C89" s="355" t="str">
        <f>'G-2 Habitat groups'!AV77</f>
        <v>Cropland</v>
      </c>
      <c r="D89" s="490">
        <f>'G-2 Habitat groups'!BB77</f>
        <v>0</v>
      </c>
      <c r="E89" s="490">
        <f>'G-2 Habitat groups'!BD77</f>
        <v>0</v>
      </c>
      <c r="F89" s="490">
        <f>'G-2 Habitat groups'!BE77</f>
        <v>0</v>
      </c>
      <c r="G89" s="870">
        <f>SUM(F89:F92)</f>
        <v>0</v>
      </c>
      <c r="H89" s="40"/>
      <c r="I89" s="129" t="s">
        <v>179</v>
      </c>
      <c r="J89" s="489">
        <f>SUMIF(G89:G113,"&lt;0")</f>
        <v>0</v>
      </c>
      <c r="K89" s="40"/>
      <c r="L89" s="40"/>
    </row>
    <row r="90" spans="1:17" ht="28" x14ac:dyDescent="0.3">
      <c r="A90" s="40"/>
      <c r="B90" s="347" t="str">
        <f>'G-2 Habitat groups'!AU78</f>
        <v>Cropland - Arable field margins game bird mix</v>
      </c>
      <c r="C90" s="348" t="str">
        <f>'G-2 Habitat groups'!AV78</f>
        <v>Cropland</v>
      </c>
      <c r="D90" s="481">
        <f>'G-2 Habitat groups'!BB78</f>
        <v>0</v>
      </c>
      <c r="E90" s="481">
        <f>'G-2 Habitat groups'!BD78</f>
        <v>0</v>
      </c>
      <c r="F90" s="481">
        <f>'G-2 Habitat groups'!BE78</f>
        <v>0</v>
      </c>
      <c r="G90" s="871"/>
      <c r="H90" s="40"/>
      <c r="I90" s="129" t="s">
        <v>180</v>
      </c>
      <c r="J90" s="489">
        <f>IF(J40+J12+J89&gt;0,J40+J12+J89,0)</f>
        <v>0</v>
      </c>
    </row>
    <row r="91" spans="1:17" ht="14.5" thickBot="1" x14ac:dyDescent="0.35">
      <c r="A91" s="40"/>
      <c r="B91" s="347" t="str">
        <f>'G-2 Habitat groups'!AU79</f>
        <v>Cropland - Arable field margins pollen &amp; nectar</v>
      </c>
      <c r="C91" s="348" t="str">
        <f>'G-2 Habitat groups'!AV79</f>
        <v>Cropland</v>
      </c>
      <c r="D91" s="481">
        <f>'G-2 Habitat groups'!BB79</f>
        <v>0</v>
      </c>
      <c r="E91" s="481">
        <f>'G-2 Habitat groups'!BD79</f>
        <v>0</v>
      </c>
      <c r="F91" s="481">
        <f>'G-2 Habitat groups'!BE79</f>
        <v>0</v>
      </c>
      <c r="G91" s="871"/>
      <c r="H91" s="40"/>
      <c r="I91" s="97" t="s">
        <v>181</v>
      </c>
      <c r="J91" s="487">
        <f>J90+J88</f>
        <v>1.8033576217468203</v>
      </c>
      <c r="K91" s="40"/>
      <c r="L91" s="40"/>
    </row>
    <row r="92" spans="1:17" ht="14.5" thickBot="1" x14ac:dyDescent="0.35">
      <c r="A92" s="40"/>
      <c r="B92" s="347" t="str">
        <f>'G-2 Habitat groups'!AU80</f>
        <v>Cropland - Arable field margins tussocky</v>
      </c>
      <c r="C92" s="348" t="str">
        <f>'G-2 Habitat groups'!AV80</f>
        <v>Cropland</v>
      </c>
      <c r="D92" s="481">
        <f>'G-2 Habitat groups'!BB80</f>
        <v>0</v>
      </c>
      <c r="E92" s="481">
        <f>'G-2 Habitat groups'!BD80</f>
        <v>0</v>
      </c>
      <c r="F92" s="481">
        <f>'G-2 Habitat groups'!BE80</f>
        <v>0</v>
      </c>
      <c r="G92" s="871"/>
      <c r="H92" s="40"/>
      <c r="I92" s="40"/>
      <c r="J92" s="40"/>
      <c r="K92" s="40"/>
      <c r="L92" s="40"/>
    </row>
    <row r="93" spans="1:17" x14ac:dyDescent="0.3">
      <c r="A93" s="40"/>
      <c r="B93" s="354" t="str">
        <f>'G-2 Habitat groups'!AU81</f>
        <v>Grassland - Other lowland acid grassland</v>
      </c>
      <c r="C93" s="355" t="str">
        <f>'G-2 Habitat groups'!AV81</f>
        <v>Grassland</v>
      </c>
      <c r="D93" s="490">
        <f>'G-2 Habitat groups'!BB81</f>
        <v>0</v>
      </c>
      <c r="E93" s="490">
        <f>'G-2 Habitat groups'!BD81</f>
        <v>0</v>
      </c>
      <c r="F93" s="490">
        <f>'G-2 Habitat groups'!BE81</f>
        <v>0</v>
      </c>
      <c r="G93" s="870">
        <f>SUM(F93:F95)</f>
        <v>0.18025265737907997</v>
      </c>
      <c r="H93" s="40"/>
      <c r="I93" s="40"/>
      <c r="J93" s="40"/>
      <c r="K93" s="40"/>
      <c r="L93" s="40"/>
    </row>
    <row r="94" spans="1:17" x14ac:dyDescent="0.3">
      <c r="A94" s="40"/>
      <c r="B94" s="347" t="str">
        <f>'G-2 Habitat groups'!AU82</f>
        <v>Grassland - Other neutral grassland</v>
      </c>
      <c r="C94" s="348" t="str">
        <f>'G-2 Habitat groups'!AV82</f>
        <v>Grassland</v>
      </c>
      <c r="D94" s="481">
        <f>'G-2 Habitat groups'!BB82</f>
        <v>0.18025265737907997</v>
      </c>
      <c r="E94" s="481">
        <f>'G-2 Habitat groups'!BD82</f>
        <v>0</v>
      </c>
      <c r="F94" s="481">
        <f>'G-2 Habitat groups'!BE82</f>
        <v>0.18025265737907997</v>
      </c>
      <c r="G94" s="871"/>
      <c r="H94" s="40"/>
      <c r="I94" s="40"/>
      <c r="J94" s="40"/>
      <c r="K94" s="40"/>
      <c r="L94" s="40"/>
    </row>
    <row r="95" spans="1:17" ht="14.5" thickBot="1" x14ac:dyDescent="0.35">
      <c r="A95" s="40"/>
      <c r="B95" s="349" t="str">
        <f>'G-2 Habitat groups'!AU83</f>
        <v>Grassland - Upland acid grassland</v>
      </c>
      <c r="C95" s="350" t="str">
        <f>'G-2 Habitat groups'!AV83</f>
        <v>Grassland</v>
      </c>
      <c r="D95" s="491">
        <f>'G-2 Habitat groups'!BB83</f>
        <v>0</v>
      </c>
      <c r="E95" s="491">
        <f>'G-2 Habitat groups'!BD83</f>
        <v>0</v>
      </c>
      <c r="F95" s="491">
        <f>'G-2 Habitat groups'!BE83</f>
        <v>0</v>
      </c>
      <c r="G95" s="872"/>
      <c r="H95" s="40"/>
      <c r="I95" s="40"/>
      <c r="J95" s="40"/>
      <c r="K95" s="40"/>
      <c r="L95" s="40"/>
      <c r="M95" s="40"/>
    </row>
    <row r="96" spans="1:17" x14ac:dyDescent="0.3">
      <c r="A96" s="40"/>
      <c r="B96" s="354" t="str">
        <f>'G-2 Habitat groups'!AU84</f>
        <v>Heathland and shrub - Blackthorn scrub</v>
      </c>
      <c r="C96" s="355" t="str">
        <f>'G-2 Habitat groups'!AV84</f>
        <v>Heathland and shrub</v>
      </c>
      <c r="D96" s="490">
        <f>'G-2 Habitat groups'!BB84</f>
        <v>0</v>
      </c>
      <c r="E96" s="490">
        <f>'G-2 Habitat groups'!BD84</f>
        <v>0</v>
      </c>
      <c r="F96" s="490">
        <f>'G-2 Habitat groups'!BE84</f>
        <v>0</v>
      </c>
      <c r="G96" s="870">
        <f>SUM(F96:F101)</f>
        <v>0.24414500000000006</v>
      </c>
      <c r="H96" s="40"/>
      <c r="I96" s="40"/>
      <c r="J96" s="40"/>
      <c r="K96" s="40"/>
      <c r="L96" s="40"/>
      <c r="M96" s="40"/>
    </row>
    <row r="97" spans="1:15" x14ac:dyDescent="0.3">
      <c r="A97" s="40"/>
      <c r="B97" s="347" t="str">
        <f>'G-2 Habitat groups'!AU85</f>
        <v>Heathland and shrub - Bramble scrub</v>
      </c>
      <c r="C97" s="348" t="str">
        <f>'G-2 Habitat groups'!AV85</f>
        <v>Heathland and shrub</v>
      </c>
      <c r="D97" s="481">
        <f>'G-2 Habitat groups'!BB85</f>
        <v>0</v>
      </c>
      <c r="E97" s="481">
        <f>'G-2 Habitat groups'!BD85</f>
        <v>0</v>
      </c>
      <c r="F97" s="481">
        <f>'G-2 Habitat groups'!BE85</f>
        <v>0</v>
      </c>
      <c r="G97" s="871"/>
      <c r="H97" s="40"/>
      <c r="I97" s="40"/>
      <c r="J97" s="40"/>
      <c r="K97" s="40"/>
      <c r="L97" s="40"/>
      <c r="M97" s="40"/>
    </row>
    <row r="98" spans="1:15" x14ac:dyDescent="0.3">
      <c r="A98" s="40"/>
      <c r="B98" s="347" t="str">
        <f>'G-2 Habitat groups'!AU86</f>
        <v>Heathland and shrub - Gorse scrub</v>
      </c>
      <c r="C98" s="348" t="str">
        <f>'G-2 Habitat groups'!AV86</f>
        <v>Heathland and shrub</v>
      </c>
      <c r="D98" s="481">
        <f>'G-2 Habitat groups'!BB86</f>
        <v>0</v>
      </c>
      <c r="E98" s="481">
        <f>'G-2 Habitat groups'!BD86</f>
        <v>0</v>
      </c>
      <c r="F98" s="481">
        <f>'G-2 Habitat groups'!BE86</f>
        <v>0</v>
      </c>
      <c r="G98" s="871"/>
      <c r="H98" s="40"/>
      <c r="I98" s="40"/>
      <c r="J98" s="40"/>
      <c r="K98" s="40"/>
      <c r="L98" s="40"/>
      <c r="M98" s="40"/>
    </row>
    <row r="99" spans="1:15" x14ac:dyDescent="0.3">
      <c r="A99" s="40"/>
      <c r="B99" s="347" t="str">
        <f>'G-2 Habitat groups'!AU87</f>
        <v>Heathland and shrub - Hawthorn scrub</v>
      </c>
      <c r="C99" s="348" t="str">
        <f>'G-2 Habitat groups'!AV87</f>
        <v>Heathland and shrub</v>
      </c>
      <c r="D99" s="481">
        <f>'G-2 Habitat groups'!BB87</f>
        <v>0</v>
      </c>
      <c r="E99" s="481">
        <f>'G-2 Habitat groups'!BD87</f>
        <v>0</v>
      </c>
      <c r="F99" s="481">
        <f>'G-2 Habitat groups'!BE87</f>
        <v>0</v>
      </c>
      <c r="G99" s="871"/>
      <c r="H99" s="40"/>
      <c r="I99" s="40"/>
      <c r="J99" s="40"/>
      <c r="K99" s="40"/>
      <c r="L99" s="40"/>
      <c r="M99" s="40"/>
    </row>
    <row r="100" spans="1:15" x14ac:dyDescent="0.3">
      <c r="A100" s="40"/>
      <c r="B100" s="347" t="str">
        <f>'G-2 Habitat groups'!AU88</f>
        <v>Heathland and shrub - Hazel scrub</v>
      </c>
      <c r="C100" s="348" t="str">
        <f>'G-2 Habitat groups'!AV88</f>
        <v>Heathland and shrub</v>
      </c>
      <c r="D100" s="481">
        <f>'G-2 Habitat groups'!BB88</f>
        <v>0</v>
      </c>
      <c r="E100" s="481">
        <f>'G-2 Habitat groups'!BD88</f>
        <v>0</v>
      </c>
      <c r="F100" s="481">
        <f>'G-2 Habitat groups'!BE88</f>
        <v>0</v>
      </c>
      <c r="G100" s="871"/>
      <c r="H100" s="40"/>
      <c r="I100" s="40"/>
      <c r="J100" s="40"/>
      <c r="K100" s="40"/>
      <c r="L100" s="40"/>
      <c r="M100" s="40"/>
      <c r="N100" s="40"/>
      <c r="O100" s="40"/>
    </row>
    <row r="101" spans="1:15" ht="14.5" thickBot="1" x14ac:dyDescent="0.35">
      <c r="A101" s="40"/>
      <c r="B101" s="349" t="str">
        <f>'G-2 Habitat groups'!AU89</f>
        <v>Heathland and shrub - Mixed scrub</v>
      </c>
      <c r="C101" s="350" t="str">
        <f>'G-2 Habitat groups'!AV89</f>
        <v>Heathland and shrub</v>
      </c>
      <c r="D101" s="491">
        <f>'G-2 Habitat groups'!BB89</f>
        <v>0.24414500000000006</v>
      </c>
      <c r="E101" s="491">
        <f>'G-2 Habitat groups'!BD89</f>
        <v>0</v>
      </c>
      <c r="F101" s="491">
        <f>'G-2 Habitat groups'!BE89</f>
        <v>0.24414500000000006</v>
      </c>
      <c r="G101" s="872"/>
      <c r="H101" s="40"/>
      <c r="I101" s="40"/>
      <c r="J101" s="40"/>
      <c r="K101" s="40"/>
      <c r="L101" s="40"/>
      <c r="M101" s="40"/>
      <c r="N101" s="40"/>
      <c r="O101" s="40"/>
    </row>
    <row r="102" spans="1:15" x14ac:dyDescent="0.3">
      <c r="A102" s="40"/>
      <c r="B102" s="354" t="str">
        <f>'G-2 Habitat groups'!AU90</f>
        <v>Lakes - Ponds (Non- Priority Habitat)</v>
      </c>
      <c r="C102" s="355" t="str">
        <f>'G-2 Habitat groups'!AV90</f>
        <v>Lakes</v>
      </c>
      <c r="D102" s="490">
        <f>'G-2 Habitat groups'!BB90</f>
        <v>0</v>
      </c>
      <c r="E102" s="490">
        <f>'G-2 Habitat groups'!BD90</f>
        <v>0</v>
      </c>
      <c r="F102" s="490">
        <f>'G-2 Habitat groups'!BE90</f>
        <v>0</v>
      </c>
      <c r="G102" s="870">
        <f>SUM(F102:F103)</f>
        <v>0</v>
      </c>
      <c r="H102" s="40"/>
      <c r="K102" s="40"/>
      <c r="L102" s="40"/>
      <c r="M102" s="40"/>
      <c r="N102" s="40"/>
      <c r="O102" s="40"/>
    </row>
    <row r="103" spans="1:15" ht="14.5" thickBot="1" x14ac:dyDescent="0.35">
      <c r="A103" s="40"/>
      <c r="B103" s="349" t="str">
        <f>'G-2 Habitat groups'!AU91</f>
        <v>Lakes - Reservoirs</v>
      </c>
      <c r="C103" s="350" t="str">
        <f>'G-2 Habitat groups'!AV91</f>
        <v>Lakes</v>
      </c>
      <c r="D103" s="491">
        <f>'G-2 Habitat groups'!BB91</f>
        <v>0</v>
      </c>
      <c r="E103" s="491">
        <f>'G-2 Habitat groups'!BD91</f>
        <v>0</v>
      </c>
      <c r="F103" s="491">
        <f>'G-2 Habitat groups'!BE91</f>
        <v>0</v>
      </c>
      <c r="G103" s="872"/>
      <c r="H103" s="40"/>
      <c r="K103" s="40"/>
      <c r="L103" s="40"/>
      <c r="M103" s="40"/>
      <c r="N103" s="40"/>
      <c r="O103" s="40"/>
    </row>
    <row r="104" spans="1:15" ht="14.5" thickBot="1" x14ac:dyDescent="0.35">
      <c r="A104" s="40"/>
      <c r="B104" s="356" t="str">
        <f>'G-2 Habitat groups'!AU92</f>
        <v>Sparsely vegetated land - Other inland rock and scree</v>
      </c>
      <c r="C104" s="357" t="str">
        <f>'G-2 Habitat groups'!AV92</f>
        <v>Sparsely vegetated land</v>
      </c>
      <c r="D104" s="492">
        <f>'G-2 Habitat groups'!BB92</f>
        <v>0</v>
      </c>
      <c r="E104" s="492">
        <f>'G-2 Habitat groups'!BD92</f>
        <v>0</v>
      </c>
      <c r="F104" s="492">
        <f>'G-2 Habitat groups'!BE92</f>
        <v>0</v>
      </c>
      <c r="G104" s="493">
        <f>F104</f>
        <v>0</v>
      </c>
      <c r="H104" s="40"/>
      <c r="K104" s="40"/>
      <c r="L104" s="40"/>
      <c r="M104" s="40"/>
      <c r="N104" s="40"/>
      <c r="O104" s="40"/>
    </row>
    <row r="105" spans="1:15" x14ac:dyDescent="0.3">
      <c r="A105" s="40"/>
      <c r="B105" s="347" t="str">
        <f>'G-2 Habitat groups'!AU93</f>
        <v>Urban - Cemeteries and churchyards</v>
      </c>
      <c r="C105" s="348" t="str">
        <f>'G-2 Habitat groups'!AV93</f>
        <v>Urban</v>
      </c>
      <c r="D105" s="481">
        <f>'G-2 Habitat groups'!BB93</f>
        <v>0</v>
      </c>
      <c r="E105" s="481">
        <f>'G-2 Habitat groups'!BD93</f>
        <v>0</v>
      </c>
      <c r="F105" s="481">
        <f>'G-2 Habitat groups'!BE93</f>
        <v>0</v>
      </c>
      <c r="G105" s="870">
        <f>SUM(F105:F107)</f>
        <v>1.0617399728510717</v>
      </c>
      <c r="H105" s="40"/>
      <c r="I105" s="40"/>
      <c r="J105" s="40"/>
      <c r="K105" s="40"/>
      <c r="L105" s="40"/>
      <c r="M105" s="40"/>
      <c r="N105" s="40"/>
      <c r="O105" s="40"/>
    </row>
    <row r="106" spans="1:15" ht="15" customHeight="1" x14ac:dyDescent="0.3">
      <c r="A106" s="40"/>
      <c r="B106" s="661" t="str">
        <f>'G-2 Habitat groups'!AU94</f>
        <v>Urban - Biodiverse green roof</v>
      </c>
      <c r="C106" s="662" t="str">
        <f>'G-2 Habitat groups'!AV94</f>
        <v>Urban</v>
      </c>
      <c r="D106" s="496">
        <f>'G-2 Habitat groups'!BB94</f>
        <v>0</v>
      </c>
      <c r="E106" s="496">
        <f>'G-2 Habitat groups'!BD94</f>
        <v>0</v>
      </c>
      <c r="F106" s="496">
        <f>'G-2 Habitat groups'!BE94</f>
        <v>0</v>
      </c>
      <c r="G106" s="871"/>
      <c r="H106" s="40"/>
      <c r="I106" s="40"/>
      <c r="J106" s="40"/>
      <c r="K106" s="40"/>
      <c r="L106" s="40"/>
      <c r="M106" s="40"/>
      <c r="N106" s="40"/>
      <c r="O106" s="40"/>
    </row>
    <row r="107" spans="1:15" ht="15.75" customHeight="1" thickBot="1" x14ac:dyDescent="0.35">
      <c r="A107" s="40"/>
      <c r="B107" s="663" t="str">
        <f>'G-2 Habitat groups'!AU130</f>
        <v>Urban - Urban Tree</v>
      </c>
      <c r="C107" s="124" t="str">
        <f>'G-2 Habitat groups'!AV130</f>
        <v>Urban</v>
      </c>
      <c r="D107" s="664">
        <f>'G-2 Habitat groups'!BB130</f>
        <v>1.0617399728510717</v>
      </c>
      <c r="E107" s="664">
        <f>'G-2 Habitat groups'!BD130</f>
        <v>0</v>
      </c>
      <c r="F107" s="481">
        <f>'G-2 Habitat groups'!BE130</f>
        <v>1.0617399728510717</v>
      </c>
      <c r="G107" s="872"/>
      <c r="H107" s="40"/>
      <c r="I107" s="40"/>
      <c r="J107" s="40"/>
      <c r="K107" s="40"/>
      <c r="L107" s="40"/>
      <c r="M107" s="40"/>
      <c r="N107" s="40"/>
      <c r="O107" s="40"/>
    </row>
    <row r="108" spans="1:15" x14ac:dyDescent="0.3">
      <c r="A108" s="40"/>
      <c r="B108" s="354" t="str">
        <f>'G-2 Habitat groups'!AU95</f>
        <v>Woodland and forest - Other Scot's Pine woodland</v>
      </c>
      <c r="C108" s="355" t="str">
        <f>'G-2 Habitat groups'!AV95</f>
        <v>Woodland and forest</v>
      </c>
      <c r="D108" s="490">
        <f>'G-2 Habitat groups'!BB95</f>
        <v>0</v>
      </c>
      <c r="E108" s="490">
        <f>'G-2 Habitat groups'!BD95</f>
        <v>0</v>
      </c>
      <c r="F108" s="490">
        <f>'G-2 Habitat groups'!BE95</f>
        <v>0</v>
      </c>
      <c r="G108" s="870">
        <f>SUM(F108:F110)</f>
        <v>0.3172199915166688</v>
      </c>
      <c r="H108" s="40"/>
      <c r="I108" s="40"/>
      <c r="J108" s="40"/>
      <c r="K108" s="40"/>
      <c r="L108" s="40"/>
      <c r="M108" s="40"/>
      <c r="N108" s="40"/>
      <c r="O108" s="40"/>
    </row>
    <row r="109" spans="1:15" x14ac:dyDescent="0.3">
      <c r="A109" s="40"/>
      <c r="B109" s="347" t="str">
        <f>'G-2 Habitat groups'!AU96</f>
        <v>Woodland and forest - Other woodland; broadleaved</v>
      </c>
      <c r="C109" s="348" t="str">
        <f>'G-2 Habitat groups'!AV96</f>
        <v>Woodland and forest</v>
      </c>
      <c r="D109" s="481">
        <f>'G-2 Habitat groups'!BB96</f>
        <v>0.3172199915166688</v>
      </c>
      <c r="E109" s="481">
        <f>'G-2 Habitat groups'!BD96</f>
        <v>0</v>
      </c>
      <c r="F109" s="481">
        <f>'G-2 Habitat groups'!BE96</f>
        <v>0.3172199915166688</v>
      </c>
      <c r="G109" s="871"/>
      <c r="H109" s="40"/>
      <c r="I109" s="40"/>
      <c r="J109" s="40"/>
      <c r="K109" s="40"/>
      <c r="L109" s="40"/>
      <c r="M109" s="40"/>
      <c r="N109" s="40"/>
      <c r="O109" s="40"/>
    </row>
    <row r="110" spans="1:15" ht="14.5" thickBot="1" x14ac:dyDescent="0.35">
      <c r="A110" s="40"/>
      <c r="B110" s="349" t="str">
        <f>'G-2 Habitat groups'!AU97</f>
        <v>Woodland and forest - Other woodland; mixed</v>
      </c>
      <c r="C110" s="350" t="str">
        <f>'G-2 Habitat groups'!AV97</f>
        <v>Woodland and forest</v>
      </c>
      <c r="D110" s="491">
        <f>'G-2 Habitat groups'!BB97</f>
        <v>0</v>
      </c>
      <c r="E110" s="491">
        <f>'G-2 Habitat groups'!BD97</f>
        <v>0</v>
      </c>
      <c r="F110" s="491">
        <f>'G-2 Habitat groups'!BE97</f>
        <v>0</v>
      </c>
      <c r="G110" s="872"/>
      <c r="H110" s="40"/>
      <c r="I110" s="40"/>
      <c r="J110" s="40"/>
      <c r="K110" s="40"/>
      <c r="L110" s="40"/>
      <c r="M110" s="40"/>
      <c r="N110" s="40"/>
      <c r="O110" s="40"/>
    </row>
    <row r="111" spans="1:15" x14ac:dyDescent="0.3">
      <c r="A111" s="40"/>
      <c r="B111" s="354" t="str">
        <f>'G-2 Habitat groups'!AU98</f>
        <v>Intertidal sediment - Littoral coarse sediment</v>
      </c>
      <c r="C111" s="355" t="str">
        <f>'G-2 Habitat groups'!AV98</f>
        <v>Intertidal sediment</v>
      </c>
      <c r="D111" s="490">
        <f>'G-2 Habitat groups'!BB98</f>
        <v>0</v>
      </c>
      <c r="E111" s="490">
        <f>'G-2 Habitat groups'!BD98</f>
        <v>0</v>
      </c>
      <c r="F111" s="490">
        <f>'G-2 Habitat groups'!BE98</f>
        <v>0</v>
      </c>
      <c r="G111" s="870">
        <f>SUM(F111:F113)</f>
        <v>0</v>
      </c>
      <c r="H111" s="40"/>
      <c r="I111" s="40"/>
      <c r="J111" s="40"/>
      <c r="K111" s="40"/>
      <c r="L111" s="40"/>
      <c r="M111" s="40"/>
      <c r="N111" s="40"/>
      <c r="O111" s="40"/>
    </row>
    <row r="112" spans="1:15" x14ac:dyDescent="0.3">
      <c r="A112" s="40"/>
      <c r="B112" s="347" t="str">
        <f>'G-2 Habitat groups'!AU99</f>
        <v>Intertidal sediment - Littoral sand</v>
      </c>
      <c r="C112" s="348" t="str">
        <f>'G-2 Habitat groups'!AV99</f>
        <v>Intertidal sediment</v>
      </c>
      <c r="D112" s="481">
        <f>'G-2 Habitat groups'!BB99</f>
        <v>0</v>
      </c>
      <c r="E112" s="481">
        <f>'G-2 Habitat groups'!BD99</f>
        <v>0</v>
      </c>
      <c r="F112" s="481">
        <f>'G-2 Habitat groups'!BE99</f>
        <v>0</v>
      </c>
      <c r="G112" s="871"/>
      <c r="H112" s="40"/>
      <c r="I112" s="40"/>
      <c r="J112" s="40"/>
      <c r="K112" s="40"/>
      <c r="L112" s="40"/>
      <c r="M112" s="40"/>
      <c r="N112" s="40"/>
      <c r="O112" s="40"/>
    </row>
    <row r="113" spans="1:17" ht="21" customHeight="1" thickBot="1" x14ac:dyDescent="0.35">
      <c r="A113" s="40"/>
      <c r="B113" s="349" t="str">
        <f>'G-2 Habitat groups'!AU100</f>
        <v>Intertidal Hard Structures - Artificial hard structures with Integrated Greening of Grey Infrastructure (IGGI)</v>
      </c>
      <c r="C113" s="350" t="str">
        <f>'G-2 Habitat groups'!AV100</f>
        <v xml:space="preserve">Intertidal </v>
      </c>
      <c r="D113" s="491">
        <f>'G-2 Habitat groups'!BB100</f>
        <v>0</v>
      </c>
      <c r="E113" s="491">
        <f>'G-2 Habitat groups'!BD100</f>
        <v>0</v>
      </c>
      <c r="F113" s="491">
        <f>'G-2 Habitat groups'!BE100</f>
        <v>0</v>
      </c>
      <c r="G113" s="872"/>
      <c r="H113" s="40"/>
      <c r="I113" s="40"/>
      <c r="J113" s="40"/>
      <c r="K113" s="40"/>
      <c r="L113" s="40"/>
      <c r="M113" s="40"/>
      <c r="N113" s="40"/>
      <c r="O113" s="40"/>
    </row>
    <row r="114" spans="1:17" ht="14.5" customHeight="1" thickBot="1" x14ac:dyDescent="0.35">
      <c r="A114" s="40"/>
      <c r="B114" s="40"/>
      <c r="C114" s="40"/>
      <c r="D114" s="477">
        <f>SUM(D89:D113)</f>
        <v>1.8033576217468203</v>
      </c>
      <c r="E114" s="478">
        <f>SUM(E89:E113)</f>
        <v>0</v>
      </c>
      <c r="F114" s="479">
        <f>SUM(F89:F113)</f>
        <v>1.8033576217468203</v>
      </c>
      <c r="H114" s="40"/>
      <c r="I114" s="40"/>
      <c r="J114" s="40"/>
      <c r="K114" s="40"/>
      <c r="L114" s="40"/>
      <c r="M114" s="40"/>
      <c r="N114" s="40"/>
      <c r="O114" s="40"/>
    </row>
    <row r="115" spans="1:17" x14ac:dyDescent="0.3">
      <c r="A115" s="40"/>
      <c r="B115" s="40"/>
      <c r="C115" s="40"/>
      <c r="D115" s="40"/>
      <c r="E115" s="40"/>
      <c r="F115" s="40"/>
      <c r="G115" s="40"/>
      <c r="H115" s="40"/>
      <c r="I115" s="40"/>
      <c r="J115" s="40"/>
      <c r="K115" s="40"/>
      <c r="L115" s="40"/>
      <c r="M115" s="40"/>
      <c r="N115" s="40"/>
      <c r="O115" s="40"/>
      <c r="P115" s="40"/>
      <c r="Q115" s="40"/>
    </row>
    <row r="116" spans="1:17" x14ac:dyDescent="0.3">
      <c r="A116" s="40"/>
      <c r="B116" s="40"/>
      <c r="C116" s="40"/>
      <c r="D116" s="40"/>
      <c r="E116" s="40"/>
      <c r="F116" s="40"/>
      <c r="G116" s="40"/>
      <c r="H116" s="40"/>
      <c r="I116" s="40"/>
      <c r="J116" s="40"/>
      <c r="K116" s="40"/>
      <c r="L116" s="40"/>
      <c r="M116" s="40"/>
      <c r="N116" s="40"/>
      <c r="O116" s="40"/>
      <c r="P116" s="40"/>
      <c r="Q116" s="40"/>
    </row>
    <row r="117" spans="1:17" x14ac:dyDescent="0.3">
      <c r="A117" s="40"/>
      <c r="B117" s="40"/>
      <c r="C117" s="40"/>
      <c r="D117" s="40"/>
      <c r="E117" s="40"/>
      <c r="F117" s="40"/>
      <c r="G117" s="40"/>
      <c r="H117" s="40"/>
      <c r="I117" s="40"/>
      <c r="J117" s="40"/>
      <c r="K117" s="40"/>
      <c r="L117" s="40"/>
      <c r="M117" s="40"/>
      <c r="N117" s="40"/>
      <c r="O117" s="40"/>
      <c r="P117" s="40"/>
      <c r="Q117" s="40"/>
    </row>
    <row r="118" spans="1:17" x14ac:dyDescent="0.3">
      <c r="A118" s="40"/>
      <c r="B118" s="40"/>
      <c r="C118" s="40"/>
      <c r="D118" s="40"/>
      <c r="E118" s="40"/>
      <c r="F118" s="40"/>
      <c r="G118" s="40"/>
      <c r="H118" s="40"/>
      <c r="I118" s="40"/>
      <c r="J118" s="40"/>
      <c r="K118" s="40"/>
      <c r="L118" s="40"/>
      <c r="M118" s="40"/>
      <c r="N118" s="40"/>
      <c r="O118" s="40"/>
      <c r="P118" s="40"/>
      <c r="Q118" s="40"/>
    </row>
    <row r="119" spans="1:17" x14ac:dyDescent="0.3">
      <c r="A119" s="40"/>
      <c r="B119" s="40"/>
      <c r="C119" s="40"/>
      <c r="D119" s="40"/>
      <c r="E119" s="40"/>
      <c r="F119" s="40"/>
      <c r="G119" s="40"/>
      <c r="H119" s="40"/>
      <c r="I119" s="40"/>
      <c r="J119" s="40"/>
      <c r="K119" s="40"/>
      <c r="L119" s="40"/>
      <c r="M119" s="40"/>
      <c r="N119" s="40"/>
      <c r="O119" s="40"/>
      <c r="P119" s="40"/>
      <c r="Q119" s="40"/>
    </row>
    <row r="120" spans="1:17" ht="14.5" thickBot="1" x14ac:dyDescent="0.35">
      <c r="A120" s="40"/>
      <c r="B120" s="40"/>
      <c r="C120" s="40"/>
      <c r="D120" s="40"/>
      <c r="E120" s="40"/>
      <c r="F120" s="40"/>
      <c r="G120" s="40"/>
      <c r="H120" s="40"/>
      <c r="I120" s="40"/>
      <c r="J120" s="40"/>
      <c r="K120" s="40"/>
      <c r="L120" s="40"/>
      <c r="M120" s="40"/>
      <c r="N120" s="40"/>
      <c r="O120" s="40"/>
      <c r="P120" s="40"/>
      <c r="Q120" s="40"/>
    </row>
    <row r="121" spans="1:17" ht="25.5" thickBot="1" x14ac:dyDescent="0.35">
      <c r="A121" s="40"/>
      <c r="B121" s="864" t="s">
        <v>182</v>
      </c>
      <c r="C121" s="865"/>
      <c r="D121" s="865"/>
      <c r="E121" s="865"/>
      <c r="F121" s="865"/>
      <c r="G121" s="40"/>
      <c r="H121" s="40"/>
      <c r="I121" s="40"/>
      <c r="J121" s="40"/>
      <c r="K121" s="40"/>
      <c r="L121" s="40"/>
      <c r="M121" s="40"/>
      <c r="N121" s="40"/>
      <c r="O121" s="40"/>
    </row>
    <row r="122" spans="1:17" ht="47" thickBot="1" x14ac:dyDescent="0.55000000000000004">
      <c r="A122" s="40"/>
      <c r="B122" s="93" t="s">
        <v>59</v>
      </c>
      <c r="C122" s="94" t="s">
        <v>160</v>
      </c>
      <c r="D122" s="94" t="s">
        <v>183</v>
      </c>
      <c r="E122" s="94" t="s">
        <v>162</v>
      </c>
      <c r="F122" s="94" t="s">
        <v>176</v>
      </c>
      <c r="G122" s="40"/>
      <c r="H122" s="40"/>
      <c r="I122" s="866" t="s">
        <v>184</v>
      </c>
      <c r="J122" s="867"/>
      <c r="K122" s="40"/>
      <c r="L122" s="40"/>
      <c r="M122" s="40"/>
      <c r="N122" s="40"/>
    </row>
    <row r="123" spans="1:17" x14ac:dyDescent="0.3">
      <c r="A123" s="40"/>
      <c r="B123" s="87" t="str">
        <f>'G-2 Habitat groups'!AU110</f>
        <v>Cropland - Cereal crops</v>
      </c>
      <c r="C123" s="88" t="str">
        <f>'G-2 Habitat groups'!AV110</f>
        <v>Cropland</v>
      </c>
      <c r="D123" s="494">
        <f>'G-2 Habitat groups'!BB110</f>
        <v>0</v>
      </c>
      <c r="E123" s="494">
        <f>'G-2 Habitat groups'!BD110</f>
        <v>0</v>
      </c>
      <c r="F123" s="481">
        <f>'G-2 Habitat groups'!BE110</f>
        <v>0</v>
      </c>
      <c r="G123" s="40"/>
      <c r="H123" s="40"/>
      <c r="I123" s="96" t="s">
        <v>185</v>
      </c>
      <c r="J123" s="488">
        <f>F159</f>
        <v>-3.3274065444608323</v>
      </c>
      <c r="K123" s="40"/>
      <c r="L123" s="40"/>
      <c r="M123" s="40"/>
      <c r="N123" s="40"/>
    </row>
    <row r="124" spans="1:17" ht="14.5" thickBot="1" x14ac:dyDescent="0.35">
      <c r="A124" s="40"/>
      <c r="B124" s="87" t="str">
        <f>'G-2 Habitat groups'!AU111</f>
        <v>Cropland - Horticulture</v>
      </c>
      <c r="C124" s="88" t="str">
        <f>'G-2 Habitat groups'!AV111</f>
        <v>Cropland</v>
      </c>
      <c r="D124" s="494">
        <f>'G-2 Habitat groups'!BB111</f>
        <v>0</v>
      </c>
      <c r="E124" s="494">
        <f>'G-2 Habitat groups'!BD111</f>
        <v>0</v>
      </c>
      <c r="F124" s="481">
        <f>'G-2 Habitat groups'!BE111</f>
        <v>0</v>
      </c>
      <c r="G124" s="40"/>
      <c r="H124" s="40"/>
      <c r="I124" s="97" t="s">
        <v>181</v>
      </c>
      <c r="J124" s="487">
        <f>J123+J91</f>
        <v>-1.5240489227140119</v>
      </c>
      <c r="K124" s="40"/>
      <c r="L124" s="40"/>
      <c r="M124" s="40"/>
      <c r="N124" s="40"/>
    </row>
    <row r="125" spans="1:17" x14ac:dyDescent="0.3">
      <c r="A125" s="40"/>
      <c r="B125" s="87" t="str">
        <f>'G-2 Habitat groups'!AU112</f>
        <v>Cropland - Intensive orchards</v>
      </c>
      <c r="C125" s="88" t="str">
        <f>'G-2 Habitat groups'!AV112</f>
        <v>Cropland</v>
      </c>
      <c r="D125" s="494">
        <f>'G-2 Habitat groups'!BB112</f>
        <v>0</v>
      </c>
      <c r="E125" s="494">
        <f>'G-2 Habitat groups'!BD112</f>
        <v>0</v>
      </c>
      <c r="F125" s="481">
        <f>'G-2 Habitat groups'!BE112</f>
        <v>0</v>
      </c>
      <c r="G125" s="40"/>
      <c r="H125" s="40"/>
      <c r="I125" s="40"/>
      <c r="J125" s="40"/>
      <c r="K125" s="40"/>
      <c r="L125" s="40"/>
      <c r="M125" s="40"/>
      <c r="N125" s="40"/>
    </row>
    <row r="126" spans="1:17" x14ac:dyDescent="0.3">
      <c r="A126" s="40"/>
      <c r="B126" s="87" t="str">
        <f>'G-2 Habitat groups'!AU113</f>
        <v>Cropland - Non-cereal crops</v>
      </c>
      <c r="C126" s="88" t="str">
        <f>'G-2 Habitat groups'!AV113</f>
        <v>Cropland</v>
      </c>
      <c r="D126" s="494">
        <f>'G-2 Habitat groups'!BB113</f>
        <v>0</v>
      </c>
      <c r="E126" s="494">
        <f>'G-2 Habitat groups'!BD113</f>
        <v>0</v>
      </c>
      <c r="F126" s="481">
        <f>'G-2 Habitat groups'!BE113</f>
        <v>0</v>
      </c>
      <c r="G126" s="40"/>
      <c r="H126" s="40"/>
      <c r="I126" s="40"/>
      <c r="J126" s="40"/>
      <c r="K126" s="40"/>
      <c r="L126" s="40"/>
      <c r="M126" s="40"/>
      <c r="N126" s="40"/>
    </row>
    <row r="127" spans="1:17" x14ac:dyDescent="0.3">
      <c r="A127" s="40"/>
      <c r="B127" s="87" t="str">
        <f>'G-2 Habitat groups'!AU114</f>
        <v>Cropland - Temporary grass and clover leys</v>
      </c>
      <c r="C127" s="88" t="str">
        <f>'G-2 Habitat groups'!AV114</f>
        <v>Cropland</v>
      </c>
      <c r="D127" s="494">
        <f>'G-2 Habitat groups'!BB114</f>
        <v>0</v>
      </c>
      <c r="E127" s="494">
        <f>'G-2 Habitat groups'!BD114</f>
        <v>0</v>
      </c>
      <c r="F127" s="481">
        <f>'G-2 Habitat groups'!BE114</f>
        <v>0</v>
      </c>
      <c r="G127" s="40"/>
      <c r="H127" s="40"/>
      <c r="I127" s="40"/>
      <c r="J127" s="40"/>
      <c r="K127" s="40"/>
      <c r="L127" s="40"/>
      <c r="M127" s="40"/>
      <c r="N127" s="40"/>
    </row>
    <row r="128" spans="1:17" x14ac:dyDescent="0.3">
      <c r="A128" s="40"/>
      <c r="B128" s="87" t="str">
        <f>'G-2 Habitat groups'!AU115</f>
        <v>Cropland - Cereal crops winter stubble</v>
      </c>
      <c r="C128" s="88" t="str">
        <f>'G-2 Habitat groups'!AV115</f>
        <v>Cropland</v>
      </c>
      <c r="D128" s="494">
        <f>'G-2 Habitat groups'!BB115</f>
        <v>0</v>
      </c>
      <c r="E128" s="494">
        <f>'G-2 Habitat groups'!BD115</f>
        <v>0</v>
      </c>
      <c r="F128" s="481">
        <f>'G-2 Habitat groups'!BE115</f>
        <v>0</v>
      </c>
      <c r="G128" s="40"/>
      <c r="H128" s="40"/>
      <c r="I128" s="40"/>
      <c r="J128" s="40"/>
      <c r="K128" s="40"/>
      <c r="L128" s="40"/>
      <c r="M128" s="40"/>
      <c r="N128" s="40"/>
    </row>
    <row r="129" spans="1:15" x14ac:dyDescent="0.3">
      <c r="A129" s="40"/>
      <c r="B129" s="87" t="str">
        <f>'G-2 Habitat groups'!AU116</f>
        <v>Grassland - Modified grassland</v>
      </c>
      <c r="C129" s="88" t="str">
        <f>'G-2 Habitat groups'!AV116</f>
        <v>Grassland</v>
      </c>
      <c r="D129" s="494">
        <f>'G-2 Habitat groups'!BB116</f>
        <v>0</v>
      </c>
      <c r="E129" s="494">
        <f>'G-2 Habitat groups'!BD116</f>
        <v>0</v>
      </c>
      <c r="F129" s="481">
        <f>'G-2 Habitat groups'!BE116</f>
        <v>0</v>
      </c>
      <c r="G129" s="40"/>
      <c r="H129" s="40"/>
      <c r="I129" s="40"/>
      <c r="J129" s="40"/>
      <c r="K129" s="40"/>
      <c r="L129" s="40"/>
      <c r="M129" s="40"/>
      <c r="N129" s="40"/>
    </row>
    <row r="130" spans="1:15" x14ac:dyDescent="0.3">
      <c r="A130" s="40"/>
      <c r="B130" s="87" t="str">
        <f>'G-2 Habitat groups'!AU117</f>
        <v>Grassland - Bracken</v>
      </c>
      <c r="C130" s="88" t="str">
        <f>'G-2 Habitat groups'!AV117</f>
        <v>Grassland</v>
      </c>
      <c r="D130" s="494">
        <f>'G-2 Habitat groups'!BB117</f>
        <v>0</v>
      </c>
      <c r="E130" s="494">
        <f>'G-2 Habitat groups'!BD117</f>
        <v>0</v>
      </c>
      <c r="F130" s="481">
        <f>'G-2 Habitat groups'!BE117</f>
        <v>0</v>
      </c>
      <c r="G130" s="40"/>
      <c r="H130" s="40"/>
      <c r="I130" s="40"/>
      <c r="J130" s="40"/>
      <c r="K130" s="40"/>
      <c r="L130" s="40"/>
      <c r="M130" s="40"/>
      <c r="N130" s="40"/>
    </row>
    <row r="131" spans="1:15" x14ac:dyDescent="0.3">
      <c r="A131" s="40"/>
      <c r="B131" s="87" t="str">
        <f>'G-2 Habitat groups'!AU118</f>
        <v>Heathland and shrub - Rhododendron scrub</v>
      </c>
      <c r="C131" s="88" t="str">
        <f>'G-2 Habitat groups'!AV118</f>
        <v>Heathland and shrub</v>
      </c>
      <c r="D131" s="494">
        <f>'G-2 Habitat groups'!BB118</f>
        <v>0</v>
      </c>
      <c r="E131" s="494">
        <f>'G-2 Habitat groups'!BD118</f>
        <v>0</v>
      </c>
      <c r="F131" s="481">
        <f>'G-2 Habitat groups'!BE118</f>
        <v>0</v>
      </c>
      <c r="G131" s="40"/>
      <c r="H131" s="40"/>
      <c r="I131" s="40"/>
      <c r="J131" s="40"/>
      <c r="K131" s="40"/>
      <c r="L131" s="40"/>
      <c r="M131" s="40"/>
      <c r="N131" s="40"/>
    </row>
    <row r="132" spans="1:15" x14ac:dyDescent="0.3">
      <c r="A132" s="40"/>
      <c r="B132" s="87" t="str">
        <f>'G-2 Habitat groups'!AU119</f>
        <v>Lakes - Ornamental lake or pond</v>
      </c>
      <c r="C132" s="88" t="str">
        <f>'G-2 Habitat groups'!AV119</f>
        <v>Lakes</v>
      </c>
      <c r="D132" s="494">
        <f>'G-2 Habitat groups'!BB119</f>
        <v>0</v>
      </c>
      <c r="E132" s="494">
        <f>'G-2 Habitat groups'!BD119</f>
        <v>0</v>
      </c>
      <c r="F132" s="481">
        <f>'G-2 Habitat groups'!BE119</f>
        <v>0</v>
      </c>
      <c r="G132" s="40"/>
      <c r="H132" s="40"/>
      <c r="I132" s="40"/>
      <c r="J132" s="40"/>
      <c r="K132" s="40"/>
      <c r="L132" s="40"/>
      <c r="M132" s="40"/>
      <c r="N132" s="40"/>
    </row>
    <row r="133" spans="1:15" x14ac:dyDescent="0.3">
      <c r="A133" s="40"/>
      <c r="B133" s="87" t="str">
        <f>'G-2 Habitat groups'!AU120</f>
        <v>Sparsely vegetated land - Ruderal/Ephemeral</v>
      </c>
      <c r="C133" s="88" t="str">
        <f>'G-2 Habitat groups'!AV120</f>
        <v>Sparsely vegetated land</v>
      </c>
      <c r="D133" s="494">
        <f>'G-2 Habitat groups'!BB120</f>
        <v>0</v>
      </c>
      <c r="E133" s="494">
        <f>'G-2 Habitat groups'!BD120</f>
        <v>0</v>
      </c>
      <c r="F133" s="481">
        <f>'G-2 Habitat groups'!BE120</f>
        <v>0</v>
      </c>
      <c r="G133" s="40"/>
      <c r="H133" s="40"/>
      <c r="I133" s="40"/>
      <c r="J133" s="40"/>
      <c r="K133" s="40"/>
      <c r="L133" s="40"/>
      <c r="M133" s="40"/>
      <c r="N133" s="40"/>
    </row>
    <row r="134" spans="1:15" x14ac:dyDescent="0.3">
      <c r="A134" s="40"/>
      <c r="B134" s="87" t="str">
        <f>'G-2 Habitat groups'!AU121</f>
        <v>Urban - Bioswale</v>
      </c>
      <c r="C134" s="88" t="str">
        <f>'G-2 Habitat groups'!AV120</f>
        <v>Sparsely vegetated land</v>
      </c>
      <c r="D134" s="494">
        <f>'G-2 Habitat groups'!BB121</f>
        <v>0</v>
      </c>
      <c r="E134" s="494">
        <f>'G-2 Habitat groups'!BD121</f>
        <v>0</v>
      </c>
      <c r="F134" s="481">
        <f>'G-2 Habitat groups'!BE121</f>
        <v>0</v>
      </c>
      <c r="G134" s="40"/>
      <c r="H134" s="40"/>
      <c r="I134" s="40"/>
      <c r="J134" s="40"/>
      <c r="K134" s="40"/>
      <c r="L134" s="40"/>
      <c r="M134" s="40"/>
      <c r="N134" s="40"/>
    </row>
    <row r="135" spans="1:15" x14ac:dyDescent="0.3">
      <c r="A135" s="40"/>
      <c r="B135" s="87" t="str">
        <f>'G-2 Habitat groups'!AU122</f>
        <v>Urban - Allotments</v>
      </c>
      <c r="C135" s="88" t="str">
        <f>'G-2 Habitat groups'!AV121</f>
        <v>Urban</v>
      </c>
      <c r="D135" s="494">
        <f>'G-2 Habitat groups'!BB122</f>
        <v>0</v>
      </c>
      <c r="E135" s="494">
        <f>'G-2 Habitat groups'!BD122</f>
        <v>0</v>
      </c>
      <c r="F135" s="481">
        <f>'G-2 Habitat groups'!BE122</f>
        <v>0</v>
      </c>
      <c r="G135" s="40"/>
      <c r="H135" s="40"/>
      <c r="I135" s="40"/>
      <c r="J135" s="40"/>
      <c r="K135" s="40"/>
      <c r="L135" s="40"/>
      <c r="M135" s="40"/>
      <c r="N135" s="40"/>
    </row>
    <row r="136" spans="1:15" x14ac:dyDescent="0.3">
      <c r="A136" s="40"/>
      <c r="B136" s="87" t="str">
        <f>'G-2 Habitat groups'!AU123</f>
        <v>Urban - Facade-bound green wall</v>
      </c>
      <c r="C136" s="88" t="str">
        <f>'G-2 Habitat groups'!AV123</f>
        <v>Urban</v>
      </c>
      <c r="D136" s="494">
        <f>'G-2 Habitat groups'!BB123</f>
        <v>0</v>
      </c>
      <c r="E136" s="494">
        <f>'G-2 Habitat groups'!BD123</f>
        <v>0</v>
      </c>
      <c r="F136" s="481">
        <f>'G-2 Habitat groups'!BE123</f>
        <v>0</v>
      </c>
      <c r="G136" s="40"/>
      <c r="H136" s="40"/>
      <c r="I136" s="40"/>
      <c r="J136" s="40"/>
      <c r="K136" s="40"/>
      <c r="L136" s="40"/>
      <c r="M136" s="40"/>
      <c r="N136" s="40"/>
    </row>
    <row r="137" spans="1:15" x14ac:dyDescent="0.3">
      <c r="A137" s="40"/>
      <c r="B137" s="87" t="str">
        <f>'G-2 Habitat groups'!AU124</f>
        <v>Urban - Ground based green wall</v>
      </c>
      <c r="C137" s="88" t="str">
        <f>'G-2 Habitat groups'!AV124</f>
        <v>Urban</v>
      </c>
      <c r="D137" s="494">
        <f>'G-2 Habitat groups'!BB124</f>
        <v>0</v>
      </c>
      <c r="E137" s="494">
        <f>'G-2 Habitat groups'!BD124</f>
        <v>0</v>
      </c>
      <c r="F137" s="481">
        <f>'G-2 Habitat groups'!BE124</f>
        <v>0</v>
      </c>
      <c r="G137" s="40"/>
      <c r="H137" s="40"/>
      <c r="I137" s="40"/>
      <c r="J137" s="40"/>
      <c r="K137" s="40"/>
      <c r="L137" s="40"/>
      <c r="M137" s="40"/>
      <c r="N137" s="40"/>
    </row>
    <row r="138" spans="1:15" x14ac:dyDescent="0.3">
      <c r="A138" s="40"/>
      <c r="B138" s="87" t="str">
        <f>'G-2 Habitat groups'!AU125</f>
        <v>Urban - Ground level planters</v>
      </c>
      <c r="C138" s="88" t="str">
        <f>'G-2 Habitat groups'!AV125</f>
        <v>Urban</v>
      </c>
      <c r="D138" s="494">
        <f>'G-2 Habitat groups'!BB125</f>
        <v>0</v>
      </c>
      <c r="E138" s="494">
        <f>'G-2 Habitat groups'!BD125</f>
        <v>0</v>
      </c>
      <c r="F138" s="481">
        <f>'G-2 Habitat groups'!BE125</f>
        <v>0</v>
      </c>
      <c r="G138" s="40"/>
      <c r="H138" s="40"/>
      <c r="I138" s="40"/>
      <c r="J138" s="40"/>
      <c r="K138" s="40"/>
      <c r="L138" s="40"/>
      <c r="M138" s="40"/>
      <c r="N138" s="40"/>
    </row>
    <row r="139" spans="1:15" x14ac:dyDescent="0.3">
      <c r="A139" s="40"/>
      <c r="B139" s="87" t="str">
        <f>'G-2 Habitat groups'!AU126</f>
        <v>Urban - Other green roof</v>
      </c>
      <c r="C139" s="88" t="str">
        <f>'G-2 Habitat groups'!AV126</f>
        <v>Urban</v>
      </c>
      <c r="D139" s="494">
        <f>'G-2 Habitat groups'!BB126</f>
        <v>0</v>
      </c>
      <c r="E139" s="494">
        <f>'G-2 Habitat groups'!BD126</f>
        <v>0</v>
      </c>
      <c r="F139" s="481">
        <f>'G-2 Habitat groups'!BE126</f>
        <v>0</v>
      </c>
      <c r="G139" s="40"/>
      <c r="H139" s="40"/>
      <c r="I139" s="40"/>
      <c r="J139" s="40"/>
      <c r="K139" s="40"/>
      <c r="L139" s="40"/>
      <c r="M139" s="40"/>
      <c r="N139" s="40"/>
    </row>
    <row r="140" spans="1:15" x14ac:dyDescent="0.3">
      <c r="A140" s="40"/>
      <c r="B140" s="87" t="str">
        <f>'G-2 Habitat groups'!AU146</f>
        <v>Urban - Intensive green roof</v>
      </c>
      <c r="C140" s="88" t="str">
        <f>'G-2 Habitat groups'!AV146</f>
        <v>Urban</v>
      </c>
      <c r="D140" s="494">
        <f>'G-2 Habitat groups'!BB146</f>
        <v>0</v>
      </c>
      <c r="E140" s="494">
        <f>'G-2 Habitat groups'!BD146</f>
        <v>0</v>
      </c>
      <c r="F140" s="481">
        <f>'G-2 Habitat groups'!BE146</f>
        <v>0</v>
      </c>
      <c r="G140" s="40"/>
      <c r="H140" s="40"/>
      <c r="I140" s="40"/>
      <c r="J140" s="40"/>
      <c r="K140" s="40"/>
      <c r="L140" s="40"/>
      <c r="M140" s="40"/>
      <c r="N140" s="40"/>
    </row>
    <row r="141" spans="1:15" x14ac:dyDescent="0.3">
      <c r="A141" s="40"/>
      <c r="B141" s="87" t="str">
        <f>'G-2 Habitat groups'!AU127</f>
        <v>Urban - Introduced shrub</v>
      </c>
      <c r="C141" s="88" t="str">
        <f>'G-2 Habitat groups'!AV127</f>
        <v>Urban</v>
      </c>
      <c r="D141" s="494">
        <f>'G-2 Habitat groups'!BB127</f>
        <v>1.4088999999999999E-2</v>
      </c>
      <c r="E141" s="494">
        <f>'G-2 Habitat groups'!BD127</f>
        <v>0</v>
      </c>
      <c r="F141" s="481">
        <f>'G-2 Habitat groups'!BE127</f>
        <v>1.4088999999999999E-2</v>
      </c>
      <c r="G141" s="40"/>
      <c r="H141" s="40"/>
      <c r="I141" s="40"/>
      <c r="J141" s="40"/>
      <c r="K141" s="40"/>
      <c r="L141" s="40"/>
      <c r="M141" s="40"/>
      <c r="N141" s="40"/>
    </row>
    <row r="142" spans="1:15" x14ac:dyDescent="0.3">
      <c r="A142" s="40"/>
      <c r="B142" s="87" t="str">
        <f>'G-2 Habitat groups'!AU128</f>
        <v>Urban - Rain garden</v>
      </c>
      <c r="C142" s="88" t="str">
        <f>'G-2 Habitat groups'!AV128</f>
        <v>Urban</v>
      </c>
      <c r="D142" s="494">
        <f>'G-2 Habitat groups'!BB128</f>
        <v>0</v>
      </c>
      <c r="E142" s="494">
        <f>'G-2 Habitat groups'!BD128</f>
        <v>0</v>
      </c>
      <c r="F142" s="481">
        <f>'G-2 Habitat groups'!BE128</f>
        <v>0</v>
      </c>
      <c r="G142" s="40"/>
      <c r="H142" s="40"/>
      <c r="I142" s="40"/>
      <c r="J142" s="40"/>
      <c r="K142" s="40"/>
      <c r="L142" s="40"/>
      <c r="M142" s="40"/>
      <c r="N142" s="40"/>
    </row>
    <row r="143" spans="1:15" x14ac:dyDescent="0.3">
      <c r="A143" s="40"/>
      <c r="B143" s="87" t="str">
        <f>'G-2 Habitat groups'!AU129</f>
        <v>Urban - Actively worked sand pit quarry or open cast mine</v>
      </c>
      <c r="C143" s="88" t="str">
        <f>'G-2 Habitat groups'!AV129</f>
        <v>Urban</v>
      </c>
      <c r="D143" s="494">
        <f>'G-2 Habitat groups'!BB129</f>
        <v>0</v>
      </c>
      <c r="E143" s="494">
        <f>'G-2 Habitat groups'!BD129</f>
        <v>0</v>
      </c>
      <c r="F143" s="481">
        <f>'G-2 Habitat groups'!BE129</f>
        <v>0</v>
      </c>
      <c r="G143" s="40"/>
      <c r="H143" s="40"/>
      <c r="I143" s="40"/>
      <c r="J143" s="40"/>
      <c r="K143" s="40"/>
      <c r="L143" s="40"/>
      <c r="M143" s="40"/>
      <c r="N143" s="40"/>
    </row>
    <row r="144" spans="1:15" x14ac:dyDescent="0.3">
      <c r="A144" s="40"/>
      <c r="B144" s="87" t="str">
        <f>'G-2 Habitat groups'!AU131</f>
        <v>Urban - Sustainable urban drainage feature</v>
      </c>
      <c r="C144" s="88" t="str">
        <f>'G-2 Habitat groups'!AV131</f>
        <v>Urban</v>
      </c>
      <c r="D144" s="494">
        <f>'G-2 Habitat groups'!BB131</f>
        <v>0</v>
      </c>
      <c r="E144" s="494">
        <f>'G-2 Habitat groups'!BD131</f>
        <v>0</v>
      </c>
      <c r="F144" s="481">
        <f>'G-2 Habitat groups'!BE131</f>
        <v>0</v>
      </c>
      <c r="G144" s="40"/>
      <c r="H144" s="40"/>
      <c r="I144" s="40"/>
      <c r="J144" s="40"/>
      <c r="K144" s="40"/>
      <c r="L144" s="40"/>
      <c r="M144" s="40"/>
      <c r="N144" s="40"/>
      <c r="O144" s="40"/>
    </row>
    <row r="145" spans="1:17" x14ac:dyDescent="0.3">
      <c r="A145" s="40"/>
      <c r="B145" s="87" t="str">
        <f>'G-2 Habitat groups'!AU132</f>
        <v>Urban - Vacant/derelict land/ bareground</v>
      </c>
      <c r="C145" s="88" t="str">
        <f>'G-2 Habitat groups'!AV132</f>
        <v>Urban</v>
      </c>
      <c r="D145" s="494">
        <f>'G-2 Habitat groups'!BB132</f>
        <v>-3.3414955444608321</v>
      </c>
      <c r="E145" s="494">
        <f>'G-2 Habitat groups'!BD132</f>
        <v>0</v>
      </c>
      <c r="F145" s="481">
        <f>'G-2 Habitat groups'!BE132</f>
        <v>-3.3414955444608321</v>
      </c>
      <c r="G145" s="40"/>
      <c r="H145" s="40"/>
      <c r="I145" s="40"/>
      <c r="J145" s="40"/>
      <c r="K145" s="40"/>
      <c r="L145" s="40"/>
      <c r="M145" s="40"/>
      <c r="N145" s="40"/>
      <c r="O145" s="40"/>
    </row>
    <row r="146" spans="1:17" x14ac:dyDescent="0.3">
      <c r="A146" s="40"/>
      <c r="B146" s="87" t="str">
        <f>'G-2 Habitat groups'!AU133</f>
        <v>Urban - Vegetated garden</v>
      </c>
      <c r="C146" s="88" t="str">
        <f>'G-2 Habitat groups'!AV133</f>
        <v>Urban</v>
      </c>
      <c r="D146" s="494">
        <f>'G-2 Habitat groups'!BB133</f>
        <v>0</v>
      </c>
      <c r="E146" s="494">
        <f>'G-2 Habitat groups'!BD133</f>
        <v>0</v>
      </c>
      <c r="F146" s="481">
        <f>'G-2 Habitat groups'!BE133</f>
        <v>0</v>
      </c>
      <c r="G146" s="40"/>
      <c r="H146" s="40"/>
      <c r="I146" s="40"/>
      <c r="J146" s="40"/>
      <c r="K146" s="40"/>
      <c r="L146" s="40"/>
      <c r="M146" s="40"/>
      <c r="N146" s="40"/>
      <c r="O146" s="40"/>
    </row>
    <row r="147" spans="1:17" x14ac:dyDescent="0.3">
      <c r="A147" s="40"/>
      <c r="B147" s="91" t="str">
        <f>'G-2 Habitat groups'!AU134</f>
        <v>Woodland and forest - Other coniferous woodland</v>
      </c>
      <c r="C147" s="92" t="str">
        <f>'G-2 Habitat groups'!AV134</f>
        <v>Woodland and forest</v>
      </c>
      <c r="D147" s="495">
        <f>'G-2 Habitat groups'!BB134</f>
        <v>0</v>
      </c>
      <c r="E147" s="495">
        <f>'G-2 Habitat groups'!BD134</f>
        <v>0</v>
      </c>
      <c r="F147" s="496">
        <f>'G-2 Habitat groups'!BE134</f>
        <v>0</v>
      </c>
      <c r="G147" s="40"/>
      <c r="H147" s="40"/>
      <c r="I147" s="40"/>
      <c r="J147" s="40"/>
      <c r="K147" s="40"/>
      <c r="L147" s="40"/>
      <c r="M147" s="40"/>
      <c r="N147" s="40"/>
      <c r="O147" s="40"/>
    </row>
    <row r="148" spans="1:17" x14ac:dyDescent="0.3">
      <c r="A148" s="40"/>
      <c r="B148" s="87" t="str">
        <f>'G-2 Habitat groups'!AU135</f>
        <v>Coastal saltmarsh - Artificial saltmarshes and saline reedbeds</v>
      </c>
      <c r="C148" s="88" t="str">
        <f>'G-2 Habitat groups'!AV135</f>
        <v xml:space="preserve">Coastal saltmarsh </v>
      </c>
      <c r="D148" s="494">
        <f>'G-2 Habitat groups'!BB135</f>
        <v>0</v>
      </c>
      <c r="E148" s="494">
        <f>'G-2 Habitat groups'!BD135</f>
        <v>0</v>
      </c>
      <c r="F148" s="481">
        <f>'G-2 Habitat groups'!BE135</f>
        <v>0</v>
      </c>
      <c r="G148" s="40"/>
      <c r="H148" s="40"/>
      <c r="I148" s="40"/>
      <c r="J148" s="40"/>
      <c r="K148" s="40"/>
      <c r="L148" s="40"/>
      <c r="M148" s="40"/>
      <c r="N148" s="40"/>
      <c r="O148" s="40"/>
    </row>
    <row r="149" spans="1:17" x14ac:dyDescent="0.3">
      <c r="A149" s="40"/>
      <c r="B149" s="87" t="str">
        <f>'G-2 Habitat groups'!AU136</f>
        <v>Intertidal sediment - Artificial littoral coarse sediment</v>
      </c>
      <c r="C149" s="88" t="str">
        <f>'G-2 Habitat groups'!AV136</f>
        <v>Intertidal sediment</v>
      </c>
      <c r="D149" s="494">
        <f>'G-2 Habitat groups'!BB136</f>
        <v>0</v>
      </c>
      <c r="E149" s="494">
        <f>'G-2 Habitat groups'!BD136</f>
        <v>0</v>
      </c>
      <c r="F149" s="481">
        <f>'G-2 Habitat groups'!BE136</f>
        <v>0</v>
      </c>
      <c r="G149" s="40"/>
      <c r="H149" s="40"/>
      <c r="I149" s="40"/>
      <c r="J149" s="40"/>
      <c r="K149" s="40"/>
      <c r="L149" s="40"/>
      <c r="M149" s="40"/>
      <c r="N149" s="40"/>
      <c r="O149" s="40"/>
    </row>
    <row r="150" spans="1:17" x14ac:dyDescent="0.3">
      <c r="A150" s="40"/>
      <c r="B150" s="87" t="str">
        <f>'G-2 Habitat groups'!AU137</f>
        <v>Intertidal sediment - Artificial littoral mud</v>
      </c>
      <c r="C150" s="88" t="str">
        <f>'G-2 Habitat groups'!AV137</f>
        <v>Intertidal sediment</v>
      </c>
      <c r="D150" s="494">
        <f>'G-2 Habitat groups'!BB137</f>
        <v>0</v>
      </c>
      <c r="E150" s="494">
        <f>'G-2 Habitat groups'!BD137</f>
        <v>0</v>
      </c>
      <c r="F150" s="481">
        <f>'G-2 Habitat groups'!BE137</f>
        <v>0</v>
      </c>
      <c r="G150" s="40"/>
      <c r="H150" s="40"/>
      <c r="I150" s="40"/>
      <c r="J150" s="40"/>
      <c r="K150" s="40"/>
      <c r="L150" s="40"/>
      <c r="M150" s="40"/>
      <c r="N150" s="40"/>
      <c r="O150" s="40"/>
    </row>
    <row r="151" spans="1:17" x14ac:dyDescent="0.3">
      <c r="A151" s="40"/>
      <c r="B151" s="87" t="str">
        <f>'G-2 Habitat groups'!AU138</f>
        <v>Intertidal sediment - Artificial littoral sand</v>
      </c>
      <c r="C151" s="88" t="str">
        <f>'G-2 Habitat groups'!AV138</f>
        <v>Intertidal sediment</v>
      </c>
      <c r="D151" s="494">
        <f>'G-2 Habitat groups'!BB138</f>
        <v>0</v>
      </c>
      <c r="E151" s="494">
        <f>'G-2 Habitat groups'!BD138</f>
        <v>0</v>
      </c>
      <c r="F151" s="481">
        <f>'G-2 Habitat groups'!BE138</f>
        <v>0</v>
      </c>
      <c r="G151" s="40"/>
      <c r="H151" s="40"/>
      <c r="I151" s="40"/>
      <c r="J151" s="40"/>
      <c r="K151" s="40"/>
      <c r="L151" s="40"/>
      <c r="M151" s="40"/>
      <c r="N151" s="40"/>
      <c r="O151" s="40"/>
    </row>
    <row r="152" spans="1:17" x14ac:dyDescent="0.3">
      <c r="A152" s="40"/>
      <c r="B152" s="87" t="str">
        <f>'G-2 Habitat groups'!AU139</f>
        <v>Intertidal sediment - Artificial littoral muddy sand</v>
      </c>
      <c r="C152" s="88" t="str">
        <f>'G-2 Habitat groups'!AV139</f>
        <v>Intertidal sediment</v>
      </c>
      <c r="D152" s="494">
        <f>'G-2 Habitat groups'!BB139</f>
        <v>0</v>
      </c>
      <c r="E152" s="494">
        <f>'G-2 Habitat groups'!BD139</f>
        <v>0</v>
      </c>
      <c r="F152" s="481">
        <f>'G-2 Habitat groups'!BE139</f>
        <v>0</v>
      </c>
      <c r="G152" s="40"/>
      <c r="H152" s="40"/>
      <c r="I152" s="40"/>
      <c r="J152" s="40"/>
      <c r="K152" s="40"/>
      <c r="L152" s="40"/>
      <c r="M152" s="40"/>
      <c r="N152" s="40"/>
      <c r="O152" s="40"/>
    </row>
    <row r="153" spans="1:17" x14ac:dyDescent="0.3">
      <c r="A153" s="40"/>
      <c r="B153" s="87" t="str">
        <f>'G-2 Habitat groups'!AU140</f>
        <v>Intertidal sediment - Artificial littoral mixed sediments</v>
      </c>
      <c r="C153" s="88" t="str">
        <f>'G-2 Habitat groups'!AV140</f>
        <v>Intertidal sediment</v>
      </c>
      <c r="D153" s="494">
        <f>'G-2 Habitat groups'!BB140</f>
        <v>0</v>
      </c>
      <c r="E153" s="494">
        <f>'G-2 Habitat groups'!BD140</f>
        <v>0</v>
      </c>
      <c r="F153" s="481">
        <f>'G-2 Habitat groups'!BE140</f>
        <v>0</v>
      </c>
      <c r="G153" s="40"/>
      <c r="H153" s="40"/>
      <c r="I153" s="40"/>
      <c r="J153" s="40"/>
      <c r="K153" s="40"/>
      <c r="L153" s="40"/>
      <c r="M153" s="40"/>
      <c r="N153" s="40"/>
      <c r="O153" s="40"/>
    </row>
    <row r="154" spans="1:17" x14ac:dyDescent="0.3">
      <c r="A154" s="40"/>
      <c r="B154" s="87" t="str">
        <f>'G-2 Habitat groups'!AU141</f>
        <v>Intertidal sediment - Artificial littoral seagrass</v>
      </c>
      <c r="C154" s="88" t="str">
        <f>'G-2 Habitat groups'!AV141</f>
        <v>Intertidal sediment</v>
      </c>
      <c r="D154" s="494">
        <f>'G-2 Habitat groups'!BB141</f>
        <v>0</v>
      </c>
      <c r="E154" s="494">
        <f>'G-2 Habitat groups'!BD141</f>
        <v>0</v>
      </c>
      <c r="F154" s="481">
        <f>'G-2 Habitat groups'!BE141</f>
        <v>0</v>
      </c>
      <c r="G154" s="40"/>
      <c r="H154" s="40"/>
      <c r="I154" s="40"/>
      <c r="J154" s="40"/>
      <c r="K154" s="40"/>
      <c r="L154" s="40"/>
      <c r="M154" s="40"/>
      <c r="N154" s="40"/>
      <c r="O154" s="40"/>
    </row>
    <row r="155" spans="1:17" x14ac:dyDescent="0.3">
      <c r="A155" s="40"/>
      <c r="B155" s="87" t="str">
        <f>'G-2 Habitat groups'!AU142</f>
        <v>Intertidal sediment - Artificial littoral biogenic reefs</v>
      </c>
      <c r="C155" s="88" t="str">
        <f>'G-2 Habitat groups'!AV142</f>
        <v>Intertidal sediment</v>
      </c>
      <c r="D155" s="494">
        <f>'G-2 Habitat groups'!BB142</f>
        <v>0</v>
      </c>
      <c r="E155" s="494">
        <f>'G-2 Habitat groups'!BD142</f>
        <v>0</v>
      </c>
      <c r="F155" s="481">
        <f>'G-2 Habitat groups'!BE142</f>
        <v>0</v>
      </c>
      <c r="G155" s="40"/>
      <c r="H155" s="40"/>
      <c r="I155" s="40"/>
      <c r="J155" s="40"/>
      <c r="K155" s="40"/>
      <c r="L155" s="40"/>
      <c r="M155" s="40"/>
      <c r="N155" s="40"/>
      <c r="O155" s="40"/>
    </row>
    <row r="156" spans="1:17" x14ac:dyDescent="0.3">
      <c r="A156" s="40"/>
      <c r="B156" s="87" t="str">
        <f>'G-2 Habitat groups'!AU143</f>
        <v>Intertidal Hard Structures - Artificial hard structures</v>
      </c>
      <c r="C156" s="88" t="str">
        <f>'G-2 Habitat groups'!AV143</f>
        <v xml:space="preserve">Intertidal </v>
      </c>
      <c r="D156" s="494">
        <f>'G-2 Habitat groups'!BB143</f>
        <v>0</v>
      </c>
      <c r="E156" s="494">
        <f>'G-2 Habitat groups'!BD143</f>
        <v>0</v>
      </c>
      <c r="F156" s="481">
        <f>'G-2 Habitat groups'!BE143</f>
        <v>0</v>
      </c>
      <c r="G156" s="40"/>
      <c r="H156" s="40"/>
      <c r="I156" s="40"/>
      <c r="J156" s="40"/>
      <c r="K156" s="40"/>
      <c r="L156" s="40"/>
      <c r="M156" s="40"/>
      <c r="N156" s="40"/>
      <c r="O156" s="40"/>
    </row>
    <row r="157" spans="1:17" x14ac:dyDescent="0.3">
      <c r="A157" s="40"/>
      <c r="B157" s="91" t="str">
        <f>'G-2 Habitat groups'!AU144</f>
        <v>Intertidal Hard Structures - Artificial features of hard structures</v>
      </c>
      <c r="C157" s="92" t="str">
        <f>'G-2 Habitat groups'!AV144</f>
        <v xml:space="preserve">Intertidal </v>
      </c>
      <c r="D157" s="495">
        <f>'G-2 Habitat groups'!BB144</f>
        <v>0</v>
      </c>
      <c r="E157" s="495">
        <f>'G-2 Habitat groups'!BD144</f>
        <v>0</v>
      </c>
      <c r="F157" s="496">
        <f>'G-2 Habitat groups'!BE144</f>
        <v>0</v>
      </c>
      <c r="G157" s="40"/>
      <c r="H157" s="40"/>
      <c r="I157" s="40"/>
      <c r="J157" s="40"/>
      <c r="K157" s="40"/>
      <c r="L157" s="40"/>
      <c r="M157" s="40"/>
      <c r="N157" s="40"/>
      <c r="O157" s="40"/>
    </row>
    <row r="158" spans="1:17" ht="14.5" thickBot="1" x14ac:dyDescent="0.35">
      <c r="A158" s="40"/>
      <c r="B158" s="89" t="str">
        <f>'G-2 Habitat groups'!AU145</f>
        <v>Heathland and shrub - Sea buckthorn scrub (other)</v>
      </c>
      <c r="C158" s="90" t="str">
        <f>'G-2 Habitat groups'!AV145</f>
        <v>Heathland and shrub</v>
      </c>
      <c r="D158" s="497">
        <f>'G-2 Habitat groups'!BB145</f>
        <v>0</v>
      </c>
      <c r="E158" s="497">
        <f>'G-2 Habitat groups'!BD145</f>
        <v>0</v>
      </c>
      <c r="F158" s="491">
        <f>'G-2 Habitat groups'!BE145</f>
        <v>0</v>
      </c>
      <c r="G158" s="40"/>
      <c r="H158" s="40"/>
      <c r="I158" s="40"/>
      <c r="J158" s="40"/>
      <c r="K158" s="40"/>
      <c r="L158" s="40"/>
      <c r="M158" s="40"/>
      <c r="N158" s="40"/>
      <c r="O158" s="40"/>
    </row>
    <row r="159" spans="1:17" ht="14.5" thickBot="1" x14ac:dyDescent="0.35">
      <c r="A159" s="40"/>
      <c r="B159" s="40"/>
      <c r="C159" s="40"/>
      <c r="D159" s="480">
        <f>SUM(D123:D158)</f>
        <v>-3.3274065444608323</v>
      </c>
      <c r="E159" s="40"/>
      <c r="F159" s="480">
        <f>SUM(F123:F158)</f>
        <v>-3.3274065444608323</v>
      </c>
      <c r="G159" s="40"/>
      <c r="H159" s="40"/>
      <c r="I159" s="40"/>
      <c r="J159" s="40"/>
      <c r="K159" s="40"/>
      <c r="L159" s="40"/>
      <c r="M159" s="40"/>
      <c r="N159" s="40"/>
      <c r="O159" s="40"/>
      <c r="P159" s="40"/>
      <c r="Q159" s="40"/>
    </row>
    <row r="160" spans="1:17" x14ac:dyDescent="0.3">
      <c r="A160" s="40"/>
      <c r="G160" s="40"/>
      <c r="H160" s="40"/>
      <c r="I160" s="40"/>
      <c r="J160" s="40"/>
      <c r="K160" s="40"/>
      <c r="L160" s="40"/>
      <c r="M160" s="40"/>
      <c r="N160" s="40"/>
      <c r="O160" s="40"/>
      <c r="P160" s="40"/>
      <c r="Q160" s="40"/>
    </row>
    <row r="161" spans="1:17" hidden="1" x14ac:dyDescent="0.3">
      <c r="A161" s="40"/>
      <c r="B161" s="40"/>
      <c r="C161" s="40"/>
      <c r="D161" s="40"/>
      <c r="E161" s="40"/>
      <c r="F161" s="40"/>
      <c r="G161" s="40"/>
      <c r="H161" s="40"/>
      <c r="I161" s="40"/>
      <c r="J161" s="40"/>
      <c r="K161" s="40"/>
      <c r="L161" s="40"/>
      <c r="M161" s="40"/>
      <c r="N161" s="40"/>
      <c r="O161" s="40"/>
      <c r="P161" s="40"/>
      <c r="Q161" s="40"/>
    </row>
    <row r="162" spans="1:17" hidden="1" x14ac:dyDescent="0.3">
      <c r="A162" s="40"/>
      <c r="B162" s="40"/>
      <c r="C162" s="40"/>
      <c r="D162" s="40"/>
      <c r="E162" s="40"/>
      <c r="F162" s="40"/>
      <c r="G162" s="40"/>
      <c r="H162" s="40"/>
      <c r="I162" s="40"/>
      <c r="J162" s="40"/>
      <c r="K162" s="40"/>
      <c r="L162" s="40"/>
      <c r="M162" s="40"/>
      <c r="N162" s="40"/>
      <c r="O162" s="40"/>
      <c r="P162" s="40"/>
      <c r="Q162" s="40"/>
    </row>
    <row r="163" spans="1:17" hidden="1" x14ac:dyDescent="0.3">
      <c r="A163" s="40"/>
      <c r="B163" s="40"/>
      <c r="C163" s="40"/>
      <c r="D163" s="40"/>
      <c r="E163" s="40"/>
      <c r="F163" s="40"/>
      <c r="G163" s="40"/>
      <c r="H163" s="40"/>
      <c r="I163" s="40"/>
      <c r="J163" s="40"/>
      <c r="K163" s="40"/>
      <c r="L163" s="40"/>
      <c r="M163" s="40"/>
      <c r="N163" s="40"/>
      <c r="O163" s="40"/>
      <c r="P163" s="40"/>
      <c r="Q163" s="40"/>
    </row>
    <row r="164" spans="1:17" hidden="1" x14ac:dyDescent="0.3">
      <c r="A164" s="40"/>
      <c r="B164" s="40"/>
      <c r="C164" s="40"/>
      <c r="D164" s="40"/>
      <c r="E164" s="40"/>
      <c r="F164" s="40"/>
      <c r="G164" s="40"/>
      <c r="H164" s="40"/>
      <c r="I164" s="40"/>
      <c r="J164" s="40"/>
      <c r="K164" s="40"/>
      <c r="L164" s="40"/>
      <c r="M164" s="40"/>
      <c r="N164" s="40"/>
      <c r="O164" s="40"/>
      <c r="P164" s="40"/>
      <c r="Q164" s="40"/>
    </row>
    <row r="165" spans="1:17" hidden="1" x14ac:dyDescent="0.3">
      <c r="A165" s="40"/>
      <c r="B165" s="40"/>
      <c r="C165" s="40"/>
      <c r="D165" s="40"/>
      <c r="E165" s="40"/>
      <c r="F165" s="40"/>
      <c r="G165" s="40"/>
      <c r="H165" s="40"/>
      <c r="I165" s="40"/>
      <c r="J165" s="40"/>
      <c r="K165" s="40"/>
      <c r="L165" s="40"/>
      <c r="M165" s="40"/>
      <c r="N165" s="40"/>
      <c r="O165" s="40"/>
      <c r="P165" s="40"/>
      <c r="Q165" s="40"/>
    </row>
    <row r="166" spans="1:17" hidden="1" x14ac:dyDescent="0.3">
      <c r="A166" s="40"/>
      <c r="B166" s="40"/>
      <c r="C166" s="40"/>
      <c r="D166" s="40"/>
      <c r="E166" s="40"/>
      <c r="F166" s="40"/>
      <c r="G166" s="40"/>
      <c r="H166" s="40"/>
      <c r="I166" s="40"/>
      <c r="J166" s="40"/>
      <c r="K166" s="40"/>
      <c r="L166" s="40"/>
      <c r="M166" s="40"/>
      <c r="N166" s="40"/>
      <c r="O166" s="40"/>
      <c r="P166" s="40"/>
      <c r="Q166" s="40"/>
    </row>
    <row r="167" spans="1:17" hidden="1" x14ac:dyDescent="0.3">
      <c r="A167" s="40"/>
      <c r="B167" s="40"/>
      <c r="C167" s="40"/>
      <c r="D167" s="40"/>
      <c r="E167" s="40"/>
      <c r="F167" s="40"/>
      <c r="G167" s="40"/>
      <c r="H167" s="40"/>
      <c r="I167" s="40"/>
      <c r="J167" s="40"/>
      <c r="K167" s="40"/>
      <c r="L167" s="40"/>
      <c r="M167" s="40"/>
      <c r="N167" s="40"/>
      <c r="O167" s="40"/>
      <c r="P167" s="40"/>
      <c r="Q167" s="40"/>
    </row>
    <row r="168" spans="1:17" hidden="1" x14ac:dyDescent="0.3">
      <c r="A168" s="40"/>
      <c r="B168" s="40"/>
      <c r="C168" s="40"/>
      <c r="D168" s="40"/>
      <c r="E168" s="40"/>
      <c r="F168" s="40"/>
      <c r="G168" s="40"/>
      <c r="H168" s="40"/>
      <c r="I168" s="40"/>
      <c r="J168" s="40"/>
      <c r="K168" s="40"/>
      <c r="L168" s="40"/>
      <c r="M168" s="40"/>
      <c r="N168" s="40"/>
      <c r="O168" s="40"/>
      <c r="P168" s="40"/>
      <c r="Q168" s="40"/>
    </row>
    <row r="169" spans="1:17" hidden="1" x14ac:dyDescent="0.3">
      <c r="A169" s="40"/>
      <c r="B169" s="40"/>
      <c r="C169" s="40"/>
      <c r="D169" s="40"/>
      <c r="E169" s="40"/>
      <c r="F169" s="40"/>
      <c r="G169" s="40"/>
      <c r="H169" s="40"/>
      <c r="I169" s="40"/>
      <c r="J169" s="40"/>
      <c r="K169" s="40"/>
      <c r="L169" s="40"/>
      <c r="M169" s="40"/>
      <c r="N169" s="40"/>
      <c r="O169" s="40"/>
      <c r="P169" s="40"/>
      <c r="Q169" s="40"/>
    </row>
    <row r="170" spans="1:17" hidden="1" x14ac:dyDescent="0.3">
      <c r="A170" s="40"/>
      <c r="B170" s="40"/>
      <c r="C170" s="40"/>
      <c r="D170" s="40"/>
      <c r="E170" s="40"/>
      <c r="F170" s="40"/>
      <c r="G170" s="40"/>
      <c r="H170" s="40"/>
      <c r="I170" s="40"/>
      <c r="J170" s="40"/>
      <c r="K170" s="40"/>
      <c r="L170" s="40"/>
      <c r="M170" s="40"/>
      <c r="N170" s="40"/>
      <c r="O170" s="40"/>
      <c r="P170" s="40"/>
      <c r="Q170" s="40"/>
    </row>
    <row r="171" spans="1:17" hidden="1" x14ac:dyDescent="0.3">
      <c r="A171" s="40"/>
      <c r="B171" s="40"/>
      <c r="C171" s="40"/>
      <c r="D171" s="40"/>
      <c r="E171" s="40"/>
      <c r="F171" s="40"/>
      <c r="G171" s="40"/>
      <c r="H171" s="40"/>
      <c r="I171" s="40"/>
      <c r="J171" s="40"/>
      <c r="K171" s="40"/>
      <c r="L171" s="40"/>
      <c r="M171" s="40"/>
      <c r="N171" s="40"/>
      <c r="O171" s="40"/>
      <c r="P171" s="40"/>
      <c r="Q171" s="40"/>
    </row>
    <row r="172" spans="1:17" hidden="1" x14ac:dyDescent="0.3">
      <c r="A172" s="40"/>
      <c r="B172" s="40"/>
      <c r="C172" s="40"/>
      <c r="D172" s="40"/>
      <c r="E172" s="40"/>
      <c r="F172" s="40"/>
      <c r="G172" s="40"/>
      <c r="H172" s="40"/>
      <c r="I172" s="40"/>
      <c r="J172" s="40"/>
      <c r="K172" s="40"/>
      <c r="L172" s="40"/>
      <c r="M172" s="40"/>
      <c r="N172" s="40"/>
      <c r="O172" s="40"/>
      <c r="P172" s="40"/>
      <c r="Q172" s="40"/>
    </row>
    <row r="173" spans="1:17" hidden="1" x14ac:dyDescent="0.3">
      <c r="A173" s="40"/>
      <c r="B173" s="40"/>
      <c r="C173" s="40"/>
      <c r="D173" s="40"/>
      <c r="E173" s="40"/>
      <c r="F173" s="40"/>
      <c r="G173" s="40"/>
      <c r="H173" s="40"/>
      <c r="I173" s="40"/>
      <c r="J173" s="40"/>
      <c r="K173" s="40"/>
      <c r="L173" s="40"/>
      <c r="M173" s="40"/>
      <c r="N173" s="40"/>
      <c r="O173" s="40"/>
      <c r="P173" s="40"/>
      <c r="Q173" s="40"/>
    </row>
    <row r="174" spans="1:17" hidden="1" x14ac:dyDescent="0.3">
      <c r="A174" s="40"/>
      <c r="B174" s="40"/>
      <c r="C174" s="40"/>
      <c r="D174" s="40"/>
      <c r="E174" s="40"/>
      <c r="F174" s="40"/>
      <c r="G174" s="40"/>
      <c r="H174" s="40"/>
      <c r="I174" s="40"/>
      <c r="J174" s="40"/>
      <c r="K174" s="40"/>
      <c r="L174" s="40"/>
      <c r="M174" s="40"/>
      <c r="N174" s="40"/>
      <c r="O174" s="40"/>
      <c r="P174" s="40"/>
      <c r="Q174" s="40"/>
    </row>
    <row r="175" spans="1:17" hidden="1" x14ac:dyDescent="0.3">
      <c r="A175" s="40"/>
      <c r="B175" s="40"/>
      <c r="C175" s="40"/>
      <c r="D175" s="40"/>
      <c r="E175" s="40"/>
      <c r="F175" s="40"/>
      <c r="G175" s="40"/>
      <c r="H175" s="40"/>
      <c r="I175" s="40"/>
      <c r="J175" s="40"/>
      <c r="K175" s="40"/>
      <c r="L175" s="40"/>
      <c r="M175" s="40"/>
      <c r="N175" s="40"/>
      <c r="O175" s="40"/>
      <c r="P175" s="40"/>
      <c r="Q175" s="40"/>
    </row>
    <row r="176" spans="1:17" hidden="1" x14ac:dyDescent="0.3">
      <c r="A176" s="40"/>
      <c r="B176" s="40"/>
      <c r="C176" s="40"/>
      <c r="D176" s="40"/>
      <c r="E176" s="40"/>
      <c r="F176" s="40"/>
      <c r="G176" s="40"/>
      <c r="H176" s="40"/>
      <c r="I176" s="40"/>
      <c r="J176" s="40"/>
      <c r="K176" s="40"/>
      <c r="L176" s="40"/>
      <c r="M176" s="40"/>
      <c r="N176" s="40"/>
      <c r="O176" s="40"/>
      <c r="P176" s="40"/>
      <c r="Q176" s="40"/>
    </row>
    <row r="177" spans="1:17" hidden="1" x14ac:dyDescent="0.3">
      <c r="A177" s="40"/>
      <c r="B177" s="40"/>
      <c r="C177" s="40"/>
      <c r="D177" s="40"/>
      <c r="E177" s="40"/>
      <c r="F177" s="40"/>
      <c r="G177" s="40"/>
      <c r="H177" s="40"/>
      <c r="I177" s="40"/>
      <c r="J177" s="40"/>
      <c r="K177" s="40"/>
      <c r="L177" s="40"/>
      <c r="M177" s="40"/>
      <c r="N177" s="40"/>
      <c r="O177" s="40"/>
      <c r="P177" s="40"/>
      <c r="Q177" s="40"/>
    </row>
    <row r="178" spans="1:17" hidden="1" x14ac:dyDescent="0.3">
      <c r="A178" s="40"/>
      <c r="B178" s="40"/>
      <c r="C178" s="40"/>
      <c r="D178" s="40"/>
      <c r="E178" s="40"/>
      <c r="F178" s="40"/>
      <c r="G178" s="40"/>
      <c r="H178" s="40"/>
      <c r="I178" s="40"/>
      <c r="J178" s="40"/>
      <c r="K178" s="40"/>
      <c r="L178" s="40"/>
      <c r="M178" s="40"/>
      <c r="N178" s="40"/>
      <c r="O178" s="40"/>
      <c r="P178" s="40"/>
      <c r="Q178" s="40"/>
    </row>
    <row r="179" spans="1:17" hidden="1" x14ac:dyDescent="0.3">
      <c r="A179" s="40"/>
      <c r="B179" s="40"/>
      <c r="C179" s="40"/>
      <c r="D179" s="40"/>
      <c r="E179" s="40"/>
      <c r="F179" s="40"/>
      <c r="G179" s="40"/>
      <c r="H179" s="40"/>
      <c r="I179" s="40"/>
      <c r="J179" s="40"/>
      <c r="K179" s="40"/>
      <c r="L179" s="40"/>
      <c r="M179" s="40"/>
      <c r="N179" s="40"/>
      <c r="O179" s="40"/>
      <c r="P179" s="40"/>
      <c r="Q179" s="40"/>
    </row>
    <row r="180" spans="1:17" hidden="1" x14ac:dyDescent="0.3">
      <c r="A180" s="40"/>
      <c r="B180" s="40"/>
      <c r="C180" s="40"/>
      <c r="D180" s="40"/>
      <c r="E180" s="40"/>
      <c r="F180" s="40"/>
      <c r="G180" s="40"/>
      <c r="H180" s="40"/>
      <c r="I180" s="40"/>
      <c r="J180" s="40"/>
      <c r="K180" s="40"/>
      <c r="L180" s="40"/>
      <c r="M180" s="40"/>
      <c r="N180" s="40"/>
      <c r="O180" s="40"/>
      <c r="P180" s="40"/>
      <c r="Q180" s="40"/>
    </row>
    <row r="181" spans="1:17" hidden="1" x14ac:dyDescent="0.3">
      <c r="A181" s="40"/>
      <c r="B181" s="40"/>
      <c r="C181" s="40"/>
      <c r="D181" s="40"/>
      <c r="E181" s="40"/>
      <c r="F181" s="40"/>
      <c r="G181" s="40"/>
      <c r="H181" s="40"/>
      <c r="I181" s="40"/>
      <c r="J181" s="40"/>
      <c r="K181" s="40"/>
      <c r="L181" s="40"/>
      <c r="M181" s="40"/>
      <c r="N181" s="40"/>
      <c r="O181" s="40"/>
      <c r="P181" s="40"/>
      <c r="Q181" s="40"/>
    </row>
    <row r="182" spans="1:17" hidden="1" x14ac:dyDescent="0.3">
      <c r="A182" s="40"/>
      <c r="B182" s="40"/>
      <c r="C182" s="40"/>
      <c r="D182" s="40"/>
      <c r="E182" s="40"/>
      <c r="F182" s="40"/>
      <c r="G182" s="40"/>
      <c r="H182" s="40"/>
      <c r="I182" s="40"/>
      <c r="J182" s="40"/>
      <c r="K182" s="40"/>
      <c r="L182" s="40"/>
      <c r="M182" s="40"/>
      <c r="N182" s="40"/>
      <c r="O182" s="40"/>
      <c r="P182" s="40"/>
      <c r="Q182" s="40"/>
    </row>
    <row r="183" spans="1:17" hidden="1" x14ac:dyDescent="0.3">
      <c r="A183" s="40"/>
      <c r="B183" s="40"/>
      <c r="C183" s="40"/>
      <c r="D183" s="40"/>
      <c r="E183" s="40"/>
      <c r="F183" s="40"/>
      <c r="G183" s="40"/>
      <c r="H183" s="40"/>
      <c r="I183" s="40"/>
      <c r="J183" s="40"/>
      <c r="K183" s="40"/>
      <c r="L183" s="40"/>
      <c r="M183" s="40"/>
      <c r="N183" s="40"/>
      <c r="O183" s="40"/>
      <c r="P183" s="40"/>
      <c r="Q183" s="40"/>
    </row>
    <row r="184" spans="1:17" hidden="1" x14ac:dyDescent="0.3">
      <c r="A184" s="40"/>
      <c r="B184" s="40"/>
      <c r="C184" s="40"/>
      <c r="D184" s="40"/>
      <c r="E184" s="40"/>
      <c r="F184" s="40"/>
      <c r="G184" s="40"/>
      <c r="H184" s="40"/>
      <c r="I184" s="40"/>
      <c r="J184" s="40"/>
      <c r="K184" s="40"/>
      <c r="L184" s="40"/>
      <c r="M184" s="40"/>
      <c r="N184" s="40"/>
      <c r="O184" s="40"/>
      <c r="P184" s="40"/>
      <c r="Q184" s="40"/>
    </row>
    <row r="185" spans="1:17" hidden="1" x14ac:dyDescent="0.3">
      <c r="A185" s="40"/>
      <c r="B185" s="40"/>
      <c r="C185" s="40"/>
      <c r="D185" s="40"/>
      <c r="E185" s="40"/>
      <c r="F185" s="40"/>
      <c r="G185" s="40"/>
      <c r="H185" s="40"/>
      <c r="I185" s="40"/>
      <c r="J185" s="40"/>
      <c r="K185" s="40"/>
      <c r="L185" s="40"/>
      <c r="M185" s="40"/>
      <c r="N185" s="40"/>
      <c r="O185" s="40"/>
      <c r="P185" s="40"/>
      <c r="Q185" s="40"/>
    </row>
    <row r="186" spans="1:17" hidden="1" x14ac:dyDescent="0.3">
      <c r="A186" s="40"/>
      <c r="B186" s="40"/>
      <c r="C186" s="40"/>
      <c r="D186" s="40"/>
      <c r="E186" s="40"/>
      <c r="F186" s="40"/>
      <c r="G186" s="40"/>
      <c r="H186" s="40"/>
      <c r="I186" s="40"/>
      <c r="J186" s="40"/>
      <c r="K186" s="40"/>
      <c r="L186" s="40"/>
      <c r="M186" s="40"/>
      <c r="N186" s="40"/>
      <c r="O186" s="40"/>
      <c r="P186" s="40"/>
      <c r="Q186" s="40"/>
    </row>
    <row r="187" spans="1:17" hidden="1" x14ac:dyDescent="0.3">
      <c r="A187" s="40"/>
      <c r="B187" s="40"/>
      <c r="C187" s="40"/>
      <c r="D187" s="40"/>
      <c r="E187" s="40"/>
      <c r="F187" s="40"/>
      <c r="G187" s="40"/>
      <c r="H187" s="40"/>
      <c r="I187" s="40"/>
      <c r="J187" s="40"/>
      <c r="K187" s="40"/>
      <c r="L187" s="40"/>
      <c r="M187" s="40"/>
      <c r="N187" s="40"/>
      <c r="O187" s="40"/>
      <c r="P187" s="40"/>
      <c r="Q187" s="40"/>
    </row>
    <row r="188" spans="1:17" hidden="1" x14ac:dyDescent="0.3">
      <c r="A188" s="40"/>
      <c r="B188" s="40"/>
      <c r="C188" s="40"/>
      <c r="D188" s="40"/>
      <c r="E188" s="40"/>
      <c r="F188" s="40"/>
      <c r="G188" s="40"/>
      <c r="H188" s="40"/>
      <c r="I188" s="40"/>
      <c r="J188" s="40"/>
      <c r="K188" s="40"/>
      <c r="L188" s="40"/>
      <c r="M188" s="40"/>
      <c r="N188" s="40"/>
      <c r="O188" s="40"/>
      <c r="P188" s="40"/>
      <c r="Q188" s="40"/>
    </row>
    <row r="189" spans="1:17" hidden="1" x14ac:dyDescent="0.3">
      <c r="A189" s="40"/>
      <c r="B189" s="40"/>
      <c r="C189" s="40"/>
      <c r="D189" s="40"/>
      <c r="E189" s="40"/>
      <c r="F189" s="40"/>
      <c r="G189" s="40"/>
      <c r="H189" s="40"/>
      <c r="I189" s="40"/>
      <c r="J189" s="40"/>
      <c r="K189" s="40"/>
      <c r="L189" s="40"/>
      <c r="M189" s="40"/>
      <c r="N189" s="40"/>
      <c r="O189" s="40"/>
      <c r="P189" s="40"/>
      <c r="Q189" s="40"/>
    </row>
    <row r="190" spans="1:17" hidden="1" x14ac:dyDescent="0.3">
      <c r="A190" s="40"/>
      <c r="B190" s="40"/>
      <c r="C190" s="40"/>
      <c r="D190" s="40"/>
      <c r="E190" s="40"/>
      <c r="F190" s="40"/>
      <c r="G190" s="40"/>
      <c r="H190" s="40"/>
      <c r="I190" s="40"/>
      <c r="J190" s="40"/>
      <c r="K190" s="40"/>
      <c r="L190" s="40"/>
      <c r="M190" s="40"/>
      <c r="N190" s="40"/>
      <c r="O190" s="40"/>
      <c r="P190" s="40"/>
      <c r="Q190" s="40"/>
    </row>
    <row r="191" spans="1:17" hidden="1" x14ac:dyDescent="0.3">
      <c r="A191" s="40"/>
      <c r="B191" s="40"/>
      <c r="C191" s="40"/>
      <c r="D191" s="40"/>
      <c r="E191" s="40"/>
      <c r="F191" s="40"/>
      <c r="G191" s="40"/>
      <c r="H191" s="40"/>
      <c r="I191" s="40"/>
      <c r="J191" s="40"/>
      <c r="K191" s="40"/>
      <c r="L191" s="40"/>
      <c r="M191" s="40"/>
      <c r="N191" s="40"/>
      <c r="O191" s="40"/>
      <c r="P191" s="40"/>
      <c r="Q191" s="40"/>
    </row>
    <row r="192" spans="1:17" hidden="1" x14ac:dyDescent="0.3">
      <c r="A192" s="40"/>
      <c r="B192" s="40"/>
      <c r="C192" s="40"/>
      <c r="D192" s="40"/>
      <c r="E192" s="40"/>
      <c r="F192" s="40"/>
      <c r="G192" s="40"/>
      <c r="H192" s="40"/>
      <c r="I192" s="40"/>
      <c r="J192" s="40"/>
      <c r="K192" s="40"/>
      <c r="L192" s="40"/>
      <c r="M192" s="40"/>
      <c r="N192" s="40"/>
      <c r="O192" s="40"/>
      <c r="P192" s="40"/>
      <c r="Q192" s="40"/>
    </row>
    <row r="193" spans="1:17" hidden="1" x14ac:dyDescent="0.3">
      <c r="A193" s="40"/>
      <c r="B193" s="40"/>
      <c r="C193" s="40"/>
      <c r="D193" s="40"/>
      <c r="E193" s="40"/>
      <c r="F193" s="40"/>
      <c r="G193" s="40"/>
      <c r="H193" s="40"/>
      <c r="I193" s="40"/>
      <c r="J193" s="40"/>
      <c r="K193" s="40"/>
      <c r="L193" s="40"/>
      <c r="M193" s="40"/>
      <c r="N193" s="40"/>
      <c r="O193" s="40"/>
      <c r="P193" s="40"/>
      <c r="Q193" s="40"/>
    </row>
    <row r="194" spans="1:17" hidden="1" x14ac:dyDescent="0.3">
      <c r="A194" s="40"/>
      <c r="B194" s="40"/>
      <c r="C194" s="40"/>
      <c r="D194" s="40"/>
      <c r="E194" s="40"/>
      <c r="F194" s="40"/>
      <c r="G194" s="40"/>
      <c r="H194" s="40"/>
      <c r="I194" s="40"/>
      <c r="J194" s="40"/>
      <c r="K194" s="40"/>
      <c r="L194" s="40"/>
      <c r="M194" s="40"/>
      <c r="N194" s="40"/>
      <c r="O194" s="40"/>
      <c r="P194" s="40"/>
      <c r="Q194" s="40"/>
    </row>
    <row r="195" spans="1:17" hidden="1" x14ac:dyDescent="0.3">
      <c r="A195" s="40"/>
      <c r="B195" s="40"/>
      <c r="C195" s="40"/>
      <c r="D195" s="40"/>
      <c r="E195" s="40"/>
      <c r="F195" s="40"/>
      <c r="G195" s="40"/>
      <c r="H195" s="40"/>
      <c r="I195" s="40"/>
      <c r="J195" s="40"/>
      <c r="K195" s="40"/>
      <c r="L195" s="40"/>
      <c r="M195" s="40"/>
      <c r="N195" s="40"/>
      <c r="O195" s="40"/>
      <c r="P195" s="40"/>
      <c r="Q195" s="40"/>
    </row>
    <row r="196" spans="1:17" hidden="1" x14ac:dyDescent="0.3">
      <c r="A196" s="40"/>
      <c r="B196" s="40"/>
      <c r="C196" s="40"/>
      <c r="D196" s="40"/>
      <c r="E196" s="40"/>
      <c r="F196" s="40"/>
      <c r="G196" s="40"/>
      <c r="H196" s="40"/>
      <c r="I196" s="40"/>
      <c r="J196" s="40"/>
      <c r="K196" s="40"/>
      <c r="L196" s="40"/>
      <c r="M196" s="40"/>
      <c r="N196" s="40"/>
      <c r="O196" s="40"/>
      <c r="P196" s="40"/>
      <c r="Q196" s="40"/>
    </row>
    <row r="197" spans="1:17" hidden="1" x14ac:dyDescent="0.3">
      <c r="A197" s="40"/>
      <c r="B197" s="40"/>
      <c r="C197" s="40"/>
      <c r="D197" s="40"/>
      <c r="E197" s="40"/>
      <c r="F197" s="40"/>
      <c r="G197" s="40"/>
      <c r="H197" s="40"/>
      <c r="I197" s="40"/>
      <c r="J197" s="40"/>
      <c r="K197" s="40"/>
      <c r="L197" s="40"/>
      <c r="M197" s="40"/>
      <c r="N197" s="40"/>
      <c r="O197" s="40"/>
      <c r="P197" s="40"/>
      <c r="Q197" s="40"/>
    </row>
    <row r="198" spans="1:17" hidden="1" x14ac:dyDescent="0.3">
      <c r="A198" s="40"/>
      <c r="B198" s="40"/>
      <c r="C198" s="40"/>
      <c r="D198" s="40"/>
      <c r="E198" s="40"/>
      <c r="F198" s="40"/>
      <c r="G198" s="40"/>
      <c r="H198" s="40"/>
      <c r="I198" s="40"/>
      <c r="J198" s="40"/>
      <c r="K198" s="40"/>
      <c r="L198" s="40"/>
      <c r="M198" s="40"/>
      <c r="N198" s="40"/>
      <c r="O198" s="40"/>
      <c r="P198" s="40"/>
      <c r="Q198" s="40"/>
    </row>
    <row r="199" spans="1:17" hidden="1" x14ac:dyDescent="0.3">
      <c r="A199" s="40"/>
      <c r="B199" s="40"/>
      <c r="C199" s="40"/>
      <c r="D199" s="40"/>
      <c r="E199" s="40"/>
      <c r="F199" s="40"/>
      <c r="G199" s="40"/>
      <c r="H199" s="40"/>
      <c r="I199" s="40"/>
      <c r="J199" s="40"/>
      <c r="K199" s="40"/>
      <c r="L199" s="40"/>
      <c r="M199" s="40"/>
      <c r="N199" s="40"/>
      <c r="O199" s="40"/>
      <c r="P199" s="40"/>
      <c r="Q199" s="40"/>
    </row>
    <row r="200" spans="1:17" hidden="1" x14ac:dyDescent="0.3">
      <c r="A200" s="40"/>
      <c r="B200" s="40"/>
      <c r="C200" s="40"/>
      <c r="D200" s="40"/>
      <c r="E200" s="40"/>
      <c r="F200" s="40"/>
      <c r="G200" s="40"/>
      <c r="H200" s="40"/>
      <c r="I200" s="40"/>
      <c r="J200" s="40"/>
      <c r="K200" s="40"/>
      <c r="L200" s="40"/>
      <c r="M200" s="40"/>
      <c r="N200" s="40"/>
      <c r="O200" s="40"/>
      <c r="P200" s="40"/>
      <c r="Q200" s="40"/>
    </row>
    <row r="201" spans="1:17" hidden="1" x14ac:dyDescent="0.3">
      <c r="A201" s="40"/>
      <c r="B201" s="40"/>
      <c r="C201" s="40"/>
      <c r="D201" s="40"/>
      <c r="E201" s="40"/>
      <c r="F201" s="40"/>
      <c r="G201" s="40"/>
      <c r="H201" s="40"/>
      <c r="I201" s="40"/>
      <c r="J201" s="40"/>
      <c r="K201" s="40"/>
      <c r="L201" s="40"/>
      <c r="M201" s="40"/>
      <c r="N201" s="40"/>
      <c r="O201" s="40"/>
      <c r="P201" s="40"/>
      <c r="Q201" s="40"/>
    </row>
    <row r="202" spans="1:17" hidden="1" x14ac:dyDescent="0.3">
      <c r="A202" s="40"/>
      <c r="B202" s="40"/>
      <c r="C202" s="40"/>
      <c r="D202" s="40"/>
      <c r="E202" s="40"/>
      <c r="F202" s="40"/>
      <c r="G202" s="40"/>
      <c r="H202" s="40"/>
      <c r="I202" s="40"/>
      <c r="J202" s="40"/>
      <c r="K202" s="40"/>
      <c r="L202" s="40"/>
      <c r="M202" s="40"/>
      <c r="N202" s="40"/>
      <c r="O202" s="40"/>
      <c r="P202" s="40"/>
      <c r="Q202" s="40"/>
    </row>
    <row r="203" spans="1:17" hidden="1" x14ac:dyDescent="0.3">
      <c r="A203" s="40"/>
      <c r="B203" s="40"/>
      <c r="C203" s="40"/>
      <c r="D203" s="40"/>
      <c r="E203" s="40"/>
      <c r="F203" s="40"/>
      <c r="G203" s="40"/>
      <c r="H203" s="40"/>
      <c r="I203" s="40"/>
      <c r="J203" s="40"/>
      <c r="K203" s="40"/>
      <c r="L203" s="40"/>
      <c r="M203" s="40"/>
      <c r="N203" s="40"/>
      <c r="O203" s="40"/>
      <c r="P203" s="40"/>
      <c r="Q203" s="40"/>
    </row>
    <row r="204" spans="1:17" hidden="1" x14ac:dyDescent="0.3">
      <c r="A204" s="40"/>
      <c r="B204" s="40"/>
      <c r="C204" s="40"/>
      <c r="D204" s="40"/>
      <c r="E204" s="40"/>
      <c r="F204" s="40"/>
      <c r="G204" s="40"/>
      <c r="H204" s="40"/>
      <c r="I204" s="40"/>
      <c r="J204" s="40"/>
      <c r="K204" s="40"/>
      <c r="L204" s="40"/>
      <c r="M204" s="40"/>
      <c r="N204" s="40"/>
      <c r="O204" s="40"/>
      <c r="P204" s="40"/>
      <c r="Q204" s="40"/>
    </row>
    <row r="205" spans="1:17" hidden="1" x14ac:dyDescent="0.3">
      <c r="A205" s="40"/>
      <c r="B205" s="40"/>
      <c r="C205" s="40"/>
      <c r="D205" s="40"/>
      <c r="E205" s="40"/>
      <c r="F205" s="40"/>
      <c r="G205" s="40"/>
      <c r="H205" s="40"/>
      <c r="I205" s="40"/>
      <c r="J205" s="40"/>
      <c r="K205" s="40"/>
      <c r="L205" s="40"/>
      <c r="M205" s="40"/>
      <c r="N205" s="40"/>
      <c r="O205" s="40"/>
      <c r="P205" s="40"/>
      <c r="Q205" s="40"/>
    </row>
    <row r="206" spans="1:17" hidden="1" x14ac:dyDescent="0.3">
      <c r="A206" s="40"/>
      <c r="B206" s="40"/>
      <c r="C206" s="40"/>
      <c r="D206" s="40"/>
      <c r="E206" s="40"/>
      <c r="F206" s="40"/>
      <c r="G206" s="40"/>
      <c r="H206" s="40"/>
      <c r="I206" s="40"/>
      <c r="J206" s="40"/>
      <c r="K206" s="40"/>
      <c r="L206" s="40"/>
      <c r="M206" s="40"/>
      <c r="N206" s="40"/>
      <c r="O206" s="40"/>
      <c r="P206" s="40"/>
      <c r="Q206" s="40"/>
    </row>
    <row r="207" spans="1:17" hidden="1" x14ac:dyDescent="0.3">
      <c r="A207" s="40"/>
      <c r="B207" s="40"/>
      <c r="C207" s="40"/>
      <c r="D207" s="40"/>
      <c r="E207" s="40"/>
      <c r="F207" s="40"/>
      <c r="G207" s="40"/>
      <c r="H207" s="40"/>
      <c r="I207" s="40"/>
      <c r="J207" s="40"/>
      <c r="K207" s="40"/>
      <c r="L207" s="40"/>
      <c r="M207" s="40"/>
      <c r="N207" s="40"/>
      <c r="O207" s="40"/>
      <c r="P207" s="40"/>
      <c r="Q207" s="40"/>
    </row>
    <row r="208" spans="1:17" hidden="1" x14ac:dyDescent="0.3">
      <c r="A208" s="40"/>
      <c r="B208" s="40"/>
      <c r="C208" s="40"/>
      <c r="D208" s="40"/>
      <c r="E208" s="40"/>
      <c r="F208" s="40"/>
      <c r="G208" s="40"/>
      <c r="H208" s="40"/>
      <c r="I208" s="40"/>
      <c r="J208" s="40"/>
      <c r="K208" s="40"/>
      <c r="L208" s="40"/>
      <c r="M208" s="40"/>
      <c r="N208" s="40"/>
      <c r="O208" s="40"/>
      <c r="P208" s="40"/>
      <c r="Q208" s="40"/>
    </row>
    <row r="209" spans="1:17" hidden="1" x14ac:dyDescent="0.3">
      <c r="A209" s="40"/>
      <c r="B209" s="40"/>
      <c r="C209" s="40"/>
      <c r="D209" s="40"/>
      <c r="E209" s="40"/>
      <c r="F209" s="40"/>
      <c r="G209" s="40"/>
      <c r="H209" s="40"/>
      <c r="I209" s="40"/>
      <c r="J209" s="40"/>
      <c r="K209" s="40"/>
      <c r="L209" s="40"/>
      <c r="M209" s="40"/>
      <c r="N209" s="40"/>
      <c r="O209" s="40"/>
      <c r="P209" s="40"/>
      <c r="Q209" s="40"/>
    </row>
    <row r="210" spans="1:17" hidden="1" x14ac:dyDescent="0.3">
      <c r="A210" s="40"/>
      <c r="B210" s="40"/>
      <c r="C210" s="40"/>
      <c r="D210" s="40"/>
      <c r="E210" s="40"/>
      <c r="F210" s="40"/>
      <c r="G210" s="40"/>
      <c r="H210" s="40"/>
      <c r="I210" s="40"/>
      <c r="J210" s="40"/>
      <c r="K210" s="40"/>
      <c r="L210" s="40"/>
      <c r="M210" s="40"/>
      <c r="N210" s="40"/>
      <c r="O210" s="40"/>
      <c r="P210" s="40"/>
      <c r="Q210" s="40"/>
    </row>
    <row r="211" spans="1:17" hidden="1" x14ac:dyDescent="0.3">
      <c r="A211" s="40"/>
      <c r="B211" s="40"/>
      <c r="C211" s="40"/>
      <c r="D211" s="40"/>
      <c r="E211" s="40"/>
      <c r="F211" s="40"/>
      <c r="G211" s="40"/>
      <c r="H211" s="40"/>
      <c r="I211" s="40"/>
      <c r="J211" s="40"/>
      <c r="K211" s="40"/>
      <c r="L211" s="40"/>
      <c r="M211" s="40"/>
      <c r="N211" s="40"/>
      <c r="O211" s="40"/>
      <c r="P211" s="40"/>
      <c r="Q211" s="40"/>
    </row>
    <row r="212" spans="1:17" hidden="1" x14ac:dyDescent="0.3">
      <c r="A212" s="40"/>
      <c r="B212" s="40"/>
      <c r="C212" s="40"/>
      <c r="D212" s="40"/>
      <c r="E212" s="40"/>
      <c r="F212" s="40"/>
      <c r="G212" s="40"/>
      <c r="H212" s="40"/>
      <c r="I212" s="40"/>
      <c r="J212" s="40"/>
      <c r="K212" s="40"/>
      <c r="L212" s="40"/>
      <c r="M212" s="40"/>
      <c r="N212" s="40"/>
      <c r="O212" s="40"/>
      <c r="P212" s="40"/>
      <c r="Q212" s="40"/>
    </row>
    <row r="213" spans="1:17" hidden="1" x14ac:dyDescent="0.3">
      <c r="A213" s="40"/>
      <c r="B213" s="40"/>
      <c r="C213" s="40"/>
      <c r="D213" s="40"/>
      <c r="E213" s="40"/>
      <c r="F213" s="40"/>
      <c r="G213" s="40"/>
      <c r="H213" s="40"/>
      <c r="I213" s="40"/>
      <c r="J213" s="40"/>
      <c r="K213" s="40"/>
      <c r="L213" s="40"/>
      <c r="M213" s="40"/>
      <c r="N213" s="40"/>
      <c r="O213" s="40"/>
      <c r="P213" s="40"/>
      <c r="Q213" s="40"/>
    </row>
    <row r="214" spans="1:17" hidden="1" x14ac:dyDescent="0.3">
      <c r="A214" s="40"/>
      <c r="B214" s="40"/>
      <c r="C214" s="40"/>
      <c r="D214" s="40"/>
      <c r="E214" s="40"/>
      <c r="F214" s="40"/>
      <c r="G214" s="40"/>
      <c r="H214" s="40"/>
      <c r="I214" s="40"/>
      <c r="J214" s="40"/>
      <c r="K214" s="40"/>
      <c r="L214" s="40"/>
      <c r="M214" s="40"/>
      <c r="N214" s="40"/>
      <c r="O214" s="40"/>
      <c r="P214" s="40"/>
      <c r="Q214" s="40"/>
    </row>
    <row r="215" spans="1:17" hidden="1" x14ac:dyDescent="0.3">
      <c r="A215" s="40"/>
      <c r="B215" s="40"/>
      <c r="C215" s="40"/>
      <c r="D215" s="40"/>
      <c r="E215" s="40"/>
      <c r="F215" s="40"/>
      <c r="G215" s="40"/>
      <c r="H215" s="40"/>
      <c r="I215" s="40"/>
      <c r="J215" s="40"/>
      <c r="K215" s="40"/>
      <c r="L215" s="40"/>
      <c r="M215" s="40"/>
      <c r="N215" s="40"/>
      <c r="O215" s="40"/>
      <c r="P215" s="40"/>
      <c r="Q215" s="40"/>
    </row>
    <row r="216" spans="1:17" hidden="1" x14ac:dyDescent="0.3">
      <c r="A216" s="40"/>
      <c r="B216" s="40"/>
      <c r="C216" s="40"/>
      <c r="D216" s="40"/>
      <c r="E216" s="40"/>
      <c r="F216" s="40"/>
      <c r="G216" s="40"/>
      <c r="H216" s="40"/>
      <c r="I216" s="40"/>
      <c r="J216" s="40"/>
      <c r="K216" s="40"/>
      <c r="L216" s="40"/>
      <c r="M216" s="40"/>
      <c r="N216" s="40"/>
      <c r="O216" s="40"/>
      <c r="P216" s="40"/>
      <c r="Q216" s="40"/>
    </row>
    <row r="217" spans="1:17" hidden="1" x14ac:dyDescent="0.3">
      <c r="A217" s="40"/>
      <c r="B217" s="40"/>
      <c r="C217" s="40"/>
      <c r="D217" s="40"/>
      <c r="E217" s="40"/>
      <c r="F217" s="40"/>
      <c r="G217" s="40"/>
      <c r="H217" s="40"/>
      <c r="I217" s="40"/>
      <c r="J217" s="40"/>
      <c r="K217" s="40"/>
      <c r="L217" s="40"/>
      <c r="M217" s="40"/>
      <c r="N217" s="40"/>
      <c r="O217" s="40"/>
      <c r="P217" s="40"/>
      <c r="Q217" s="40"/>
    </row>
    <row r="218" spans="1:17" hidden="1" x14ac:dyDescent="0.3">
      <c r="A218" s="40"/>
      <c r="B218" s="40"/>
      <c r="C218" s="40"/>
      <c r="D218" s="40"/>
      <c r="E218" s="40"/>
      <c r="F218" s="40"/>
      <c r="G218" s="40"/>
      <c r="H218" s="40"/>
      <c r="I218" s="40"/>
      <c r="J218" s="40"/>
      <c r="K218" s="40"/>
      <c r="L218" s="40"/>
      <c r="M218" s="40"/>
      <c r="N218" s="40"/>
      <c r="O218" s="40"/>
      <c r="P218" s="40"/>
      <c r="Q218" s="40"/>
    </row>
    <row r="219" spans="1:17" hidden="1" x14ac:dyDescent="0.3">
      <c r="A219" s="40"/>
      <c r="B219" s="40"/>
      <c r="C219" s="40"/>
      <c r="D219" s="40"/>
      <c r="E219" s="40"/>
      <c r="F219" s="40"/>
      <c r="G219" s="40"/>
      <c r="H219" s="40"/>
      <c r="I219" s="40"/>
      <c r="J219" s="40"/>
      <c r="K219" s="40"/>
      <c r="L219" s="40"/>
      <c r="M219" s="40"/>
      <c r="N219" s="40"/>
      <c r="O219" s="40"/>
      <c r="P219" s="40"/>
      <c r="Q219" s="40"/>
    </row>
    <row r="220" spans="1:17" hidden="1" x14ac:dyDescent="0.3">
      <c r="A220" s="40"/>
      <c r="B220" s="40"/>
      <c r="C220" s="40"/>
      <c r="D220" s="40"/>
      <c r="E220" s="40"/>
      <c r="F220" s="40"/>
      <c r="G220" s="40"/>
      <c r="H220" s="40"/>
      <c r="I220" s="40"/>
      <c r="J220" s="40"/>
      <c r="K220" s="40"/>
      <c r="L220" s="40"/>
      <c r="M220" s="40"/>
      <c r="N220" s="40"/>
      <c r="O220" s="40"/>
      <c r="P220" s="40"/>
      <c r="Q220" s="40"/>
    </row>
    <row r="221" spans="1:17" hidden="1" x14ac:dyDescent="0.3">
      <c r="A221" s="40"/>
      <c r="B221" s="40"/>
      <c r="C221" s="40"/>
      <c r="D221" s="40"/>
      <c r="E221" s="40"/>
      <c r="F221" s="40"/>
      <c r="G221" s="40"/>
      <c r="H221" s="40"/>
      <c r="I221" s="40"/>
      <c r="J221" s="40"/>
      <c r="K221" s="40"/>
      <c r="L221" s="40"/>
      <c r="M221" s="40"/>
      <c r="N221" s="40"/>
      <c r="O221" s="40"/>
      <c r="P221" s="40"/>
      <c r="Q221" s="40"/>
    </row>
    <row r="222" spans="1:17" hidden="1" x14ac:dyDescent="0.3">
      <c r="A222" s="40"/>
      <c r="B222" s="40"/>
      <c r="C222" s="40"/>
      <c r="D222" s="40"/>
      <c r="E222" s="40"/>
      <c r="F222" s="40"/>
      <c r="H222" s="40"/>
      <c r="I222" s="40"/>
      <c r="J222" s="40"/>
      <c r="K222" s="40"/>
      <c r="L222" s="40"/>
      <c r="M222" s="40"/>
      <c r="N222" s="40"/>
      <c r="O222" s="40"/>
      <c r="P222" s="40"/>
      <c r="Q222" s="40"/>
    </row>
    <row r="223" spans="1:17" hidden="1" x14ac:dyDescent="0.3">
      <c r="A223" s="40"/>
      <c r="B223" s="40"/>
      <c r="C223" s="40"/>
      <c r="D223" s="40"/>
      <c r="E223" s="40"/>
      <c r="F223" s="40"/>
      <c r="H223" s="40"/>
      <c r="I223" s="40"/>
      <c r="J223" s="40"/>
      <c r="K223" s="40"/>
      <c r="L223" s="40"/>
      <c r="M223" s="40"/>
      <c r="N223" s="40"/>
      <c r="O223" s="40"/>
      <c r="P223" s="40"/>
      <c r="Q223" s="40"/>
    </row>
    <row r="224" spans="1:17" hidden="1" x14ac:dyDescent="0.3">
      <c r="A224" s="40"/>
      <c r="B224" s="40"/>
      <c r="C224" s="40"/>
      <c r="D224" s="40"/>
      <c r="E224" s="40"/>
      <c r="F224" s="40"/>
      <c r="H224" s="40"/>
      <c r="I224" s="40"/>
      <c r="J224" s="40"/>
      <c r="K224" s="40"/>
      <c r="L224" s="40"/>
      <c r="M224" s="40"/>
      <c r="N224" s="40"/>
      <c r="O224" s="40"/>
      <c r="P224" s="40"/>
      <c r="Q224" s="40"/>
    </row>
    <row r="225" spans="1:17" hidden="1" x14ac:dyDescent="0.3">
      <c r="A225" s="40"/>
      <c r="B225" s="40"/>
      <c r="C225" s="40"/>
      <c r="D225" s="40"/>
      <c r="E225" s="40"/>
      <c r="F225" s="40"/>
      <c r="H225" s="40"/>
      <c r="I225" s="40"/>
      <c r="J225" s="40"/>
      <c r="K225" s="40"/>
      <c r="L225" s="40"/>
      <c r="M225" s="40"/>
      <c r="N225" s="40"/>
      <c r="O225" s="40"/>
      <c r="P225" s="40"/>
      <c r="Q225" s="40"/>
    </row>
    <row r="226" spans="1:17" hidden="1" x14ac:dyDescent="0.3">
      <c r="A226" s="40"/>
      <c r="B226" s="40"/>
      <c r="C226" s="40"/>
      <c r="D226" s="40"/>
      <c r="E226" s="40"/>
      <c r="F226" s="40"/>
      <c r="H226" s="40"/>
      <c r="I226" s="40"/>
      <c r="J226" s="40"/>
      <c r="K226" s="40"/>
      <c r="L226" s="40"/>
      <c r="M226" s="40"/>
      <c r="N226" s="40"/>
      <c r="O226" s="40"/>
      <c r="P226" s="40"/>
      <c r="Q226" s="40"/>
    </row>
    <row r="227" spans="1:17" hidden="1" x14ac:dyDescent="0.3">
      <c r="A227" s="40"/>
      <c r="B227" s="40"/>
      <c r="C227" s="40"/>
      <c r="D227" s="40"/>
      <c r="E227" s="40"/>
      <c r="F227" s="40"/>
      <c r="H227" s="40"/>
      <c r="I227" s="40"/>
      <c r="J227" s="40"/>
      <c r="K227" s="40"/>
      <c r="L227" s="40"/>
      <c r="M227" s="40"/>
      <c r="N227" s="40"/>
      <c r="O227" s="40"/>
      <c r="P227" s="40"/>
      <c r="Q227" s="40"/>
    </row>
    <row r="228" spans="1:17" hidden="1" x14ac:dyDescent="0.3">
      <c r="A228" s="40"/>
      <c r="B228" s="40"/>
      <c r="C228" s="40"/>
      <c r="D228" s="40"/>
      <c r="E228" s="40"/>
      <c r="F228" s="40"/>
      <c r="H228" s="40"/>
      <c r="I228" s="40"/>
      <c r="J228" s="40"/>
      <c r="K228" s="40"/>
      <c r="L228" s="40"/>
      <c r="M228" s="40"/>
      <c r="N228" s="40"/>
      <c r="O228" s="40"/>
      <c r="P228" s="40"/>
      <c r="Q228" s="40"/>
    </row>
    <row r="229" spans="1:17" hidden="1" x14ac:dyDescent="0.3">
      <c r="A229" s="40"/>
      <c r="B229" s="40"/>
      <c r="C229" s="40"/>
      <c r="D229" s="40"/>
      <c r="E229" s="40"/>
      <c r="F229" s="40"/>
      <c r="H229" s="40"/>
      <c r="I229" s="40"/>
      <c r="J229" s="40"/>
      <c r="K229" s="40"/>
      <c r="L229" s="40"/>
      <c r="M229" s="40"/>
      <c r="N229" s="40"/>
      <c r="O229" s="40"/>
      <c r="P229" s="40"/>
      <c r="Q229" s="40"/>
    </row>
    <row r="230" spans="1:17" hidden="1" x14ac:dyDescent="0.3">
      <c r="A230" s="40"/>
      <c r="B230" s="40"/>
      <c r="C230" s="40"/>
      <c r="D230" s="40"/>
      <c r="E230" s="40"/>
      <c r="F230" s="40"/>
      <c r="H230" s="40"/>
      <c r="I230" s="40"/>
      <c r="J230" s="40"/>
      <c r="K230" s="40"/>
      <c r="L230" s="40"/>
      <c r="M230" s="40"/>
      <c r="N230" s="40"/>
      <c r="O230" s="40"/>
      <c r="P230" s="40"/>
      <c r="Q230" s="40"/>
    </row>
    <row r="231" spans="1:17" hidden="1" x14ac:dyDescent="0.3">
      <c r="A231" s="40"/>
      <c r="B231" s="40"/>
      <c r="C231" s="40"/>
      <c r="D231" s="40"/>
      <c r="E231" s="40"/>
      <c r="F231" s="40"/>
      <c r="H231" s="40"/>
      <c r="I231" s="40"/>
      <c r="J231" s="40"/>
      <c r="K231" s="40"/>
      <c r="L231" s="40"/>
      <c r="M231" s="40"/>
      <c r="N231" s="40"/>
      <c r="O231" s="40"/>
      <c r="P231" s="40"/>
      <c r="Q231" s="40"/>
    </row>
    <row r="232" spans="1:17" hidden="1" x14ac:dyDescent="0.3">
      <c r="A232" s="40"/>
      <c r="B232" s="40"/>
      <c r="C232" s="40"/>
      <c r="D232" s="40"/>
      <c r="E232" s="40"/>
      <c r="F232" s="40"/>
      <c r="H232" s="40"/>
      <c r="I232" s="40"/>
      <c r="J232" s="40"/>
      <c r="K232" s="40"/>
      <c r="L232" s="40"/>
      <c r="M232" s="40"/>
      <c r="N232" s="40"/>
      <c r="O232" s="40"/>
      <c r="P232" s="40"/>
      <c r="Q232" s="40"/>
    </row>
    <row r="233" spans="1:17" hidden="1" x14ac:dyDescent="0.3">
      <c r="A233" s="40"/>
      <c r="B233" s="40"/>
      <c r="C233" s="40"/>
      <c r="D233" s="40"/>
      <c r="E233" s="40"/>
      <c r="F233" s="40"/>
      <c r="H233" s="40"/>
      <c r="I233" s="40"/>
      <c r="J233" s="40"/>
      <c r="K233" s="40"/>
      <c r="L233" s="40"/>
      <c r="M233" s="40"/>
      <c r="N233" s="40"/>
      <c r="O233" s="40"/>
      <c r="P233" s="40"/>
      <c r="Q233" s="40"/>
    </row>
    <row r="234" spans="1:17" hidden="1" x14ac:dyDescent="0.3">
      <c r="A234" s="40"/>
      <c r="B234" s="40"/>
      <c r="C234" s="40"/>
      <c r="D234" s="40"/>
      <c r="E234" s="40"/>
      <c r="F234" s="40"/>
      <c r="H234" s="40"/>
      <c r="I234" s="40"/>
      <c r="J234" s="40"/>
      <c r="K234" s="40"/>
      <c r="L234" s="40"/>
      <c r="M234" s="40"/>
      <c r="N234" s="40"/>
      <c r="O234" s="40"/>
      <c r="P234" s="40"/>
      <c r="Q234" s="40"/>
    </row>
    <row r="235" spans="1:17" hidden="1" x14ac:dyDescent="0.3">
      <c r="A235" s="40"/>
      <c r="B235" s="40"/>
      <c r="C235" s="40"/>
      <c r="D235" s="40"/>
      <c r="E235" s="40"/>
      <c r="F235" s="40"/>
      <c r="H235" s="40"/>
      <c r="I235" s="40"/>
      <c r="J235" s="40"/>
      <c r="K235" s="40"/>
      <c r="L235" s="40"/>
      <c r="M235" s="40"/>
      <c r="N235" s="40"/>
      <c r="O235" s="40"/>
      <c r="P235" s="40"/>
      <c r="Q235" s="40"/>
    </row>
    <row r="236" spans="1:17" hidden="1" x14ac:dyDescent="0.3">
      <c r="A236" s="40"/>
      <c r="B236" s="40"/>
      <c r="C236" s="40"/>
      <c r="D236" s="40"/>
      <c r="E236" s="40"/>
      <c r="F236" s="40"/>
      <c r="H236" s="40"/>
      <c r="I236" s="40"/>
      <c r="J236" s="40"/>
      <c r="K236" s="40"/>
      <c r="L236" s="40"/>
      <c r="M236" s="40"/>
      <c r="N236" s="40"/>
      <c r="O236" s="40"/>
      <c r="P236" s="40"/>
      <c r="Q236" s="40"/>
    </row>
    <row r="237" spans="1:17" hidden="1" x14ac:dyDescent="0.3">
      <c r="A237" s="40"/>
      <c r="B237" s="40"/>
      <c r="C237" s="40"/>
      <c r="D237" s="40"/>
      <c r="E237" s="40"/>
      <c r="F237" s="40"/>
      <c r="H237" s="40"/>
      <c r="I237" s="40"/>
      <c r="J237" s="40"/>
      <c r="K237" s="40"/>
      <c r="L237" s="40"/>
      <c r="M237" s="40"/>
      <c r="N237" s="40"/>
      <c r="O237" s="40"/>
      <c r="P237" s="40"/>
      <c r="Q237" s="40"/>
    </row>
    <row r="238" spans="1:17" hidden="1" x14ac:dyDescent="0.3">
      <c r="A238" s="40"/>
      <c r="B238" s="40"/>
      <c r="C238" s="40"/>
      <c r="D238" s="40"/>
      <c r="E238" s="40"/>
      <c r="F238" s="40"/>
      <c r="H238" s="40"/>
      <c r="I238" s="40"/>
      <c r="J238" s="40"/>
      <c r="K238" s="40"/>
      <c r="L238" s="40"/>
      <c r="M238" s="40"/>
      <c r="N238" s="40"/>
      <c r="O238" s="40"/>
      <c r="P238" s="40"/>
      <c r="Q238" s="40"/>
    </row>
    <row r="239" spans="1:17" hidden="1" x14ac:dyDescent="0.3">
      <c r="A239" s="40"/>
      <c r="B239" s="40"/>
      <c r="C239" s="40"/>
      <c r="D239" s="40"/>
      <c r="E239" s="40"/>
      <c r="F239" s="40"/>
      <c r="H239" s="40"/>
      <c r="I239" s="40"/>
      <c r="J239" s="40"/>
      <c r="K239" s="40"/>
      <c r="L239" s="40"/>
      <c r="M239" s="40"/>
      <c r="N239" s="40"/>
      <c r="O239" s="40"/>
      <c r="P239" s="40"/>
      <c r="Q239" s="40"/>
    </row>
    <row r="240" spans="1:17" hidden="1" x14ac:dyDescent="0.3">
      <c r="A240" s="40"/>
      <c r="B240" s="40"/>
      <c r="C240" s="40"/>
      <c r="D240" s="40"/>
      <c r="E240" s="40"/>
      <c r="F240" s="40"/>
      <c r="H240" s="40"/>
      <c r="I240" s="40"/>
      <c r="J240" s="40"/>
      <c r="K240" s="40"/>
      <c r="L240" s="40"/>
      <c r="M240" s="40"/>
      <c r="N240" s="40"/>
      <c r="O240" s="40"/>
      <c r="P240" s="40"/>
      <c r="Q240" s="40"/>
    </row>
    <row r="241" spans="1:17" hidden="1" x14ac:dyDescent="0.3">
      <c r="A241" s="40"/>
      <c r="B241" s="40"/>
      <c r="C241" s="40"/>
      <c r="D241" s="40"/>
      <c r="E241" s="40"/>
      <c r="F241" s="40"/>
      <c r="H241" s="40"/>
      <c r="I241" s="40"/>
      <c r="J241" s="40"/>
      <c r="K241" s="40"/>
      <c r="L241" s="40"/>
      <c r="M241" s="40"/>
      <c r="N241" s="40"/>
      <c r="O241" s="40"/>
      <c r="P241" s="40"/>
      <c r="Q241" s="40"/>
    </row>
    <row r="242" spans="1:17" hidden="1" x14ac:dyDescent="0.3">
      <c r="A242" s="40"/>
      <c r="B242" s="40"/>
      <c r="C242" s="40"/>
      <c r="D242" s="40"/>
      <c r="E242" s="40"/>
      <c r="F242" s="40"/>
      <c r="H242" s="40"/>
      <c r="I242" s="40"/>
      <c r="J242" s="40"/>
      <c r="K242" s="40"/>
      <c r="L242" s="40"/>
      <c r="M242" s="40"/>
      <c r="N242" s="40"/>
      <c r="O242" s="40"/>
      <c r="P242" s="40"/>
      <c r="Q242" s="40"/>
    </row>
    <row r="243" spans="1:17" hidden="1" x14ac:dyDescent="0.3">
      <c r="A243" s="40"/>
      <c r="B243" s="40"/>
      <c r="C243" s="40"/>
      <c r="D243" s="40"/>
      <c r="E243" s="40"/>
      <c r="F243" s="40"/>
      <c r="H243" s="40"/>
      <c r="I243" s="40"/>
      <c r="J243" s="40"/>
      <c r="K243" s="40"/>
      <c r="L243" s="40"/>
      <c r="M243" s="40"/>
      <c r="N243" s="40"/>
      <c r="O243" s="40"/>
      <c r="P243" s="40"/>
      <c r="Q243" s="40"/>
    </row>
    <row r="244" spans="1:17" hidden="1" x14ac:dyDescent="0.3">
      <c r="A244" s="40"/>
      <c r="B244" s="40"/>
      <c r="C244" s="40"/>
      <c r="D244" s="40"/>
      <c r="E244" s="40"/>
      <c r="F244" s="40"/>
      <c r="H244" s="40"/>
      <c r="I244" s="40"/>
      <c r="J244" s="40"/>
      <c r="K244" s="40"/>
      <c r="L244" s="40"/>
      <c r="M244" s="40"/>
      <c r="N244" s="40"/>
      <c r="O244" s="40"/>
      <c r="P244" s="40"/>
      <c r="Q244" s="40"/>
    </row>
    <row r="245" spans="1:17" hidden="1" x14ac:dyDescent="0.3">
      <c r="A245" s="40"/>
      <c r="B245" s="40"/>
      <c r="C245" s="40"/>
      <c r="D245" s="40"/>
      <c r="E245" s="40"/>
      <c r="F245" s="40"/>
      <c r="H245" s="40"/>
      <c r="I245" s="40"/>
      <c r="J245" s="40"/>
      <c r="K245" s="40"/>
      <c r="L245" s="40"/>
      <c r="M245" s="40"/>
      <c r="N245" s="40"/>
      <c r="O245" s="40"/>
      <c r="P245" s="40"/>
      <c r="Q245" s="40"/>
    </row>
    <row r="246" spans="1:17" hidden="1" x14ac:dyDescent="0.3">
      <c r="A246" s="40"/>
      <c r="B246" s="40"/>
      <c r="C246" s="40"/>
      <c r="D246" s="40"/>
      <c r="E246" s="40"/>
      <c r="F246" s="40"/>
      <c r="H246" s="40"/>
      <c r="K246" s="40"/>
      <c r="L246" s="40"/>
      <c r="M246" s="40"/>
      <c r="N246" s="40"/>
      <c r="O246" s="40"/>
      <c r="P246" s="40"/>
      <c r="Q246" s="40"/>
    </row>
    <row r="247" spans="1:17" hidden="1" x14ac:dyDescent="0.3">
      <c r="A247" s="40"/>
      <c r="B247" s="40"/>
      <c r="C247" s="40"/>
      <c r="D247" s="40"/>
      <c r="E247" s="40"/>
      <c r="F247" s="40"/>
      <c r="H247" s="40"/>
      <c r="K247" s="40"/>
      <c r="L247" s="40"/>
      <c r="M247" s="40"/>
      <c r="N247" s="40"/>
      <c r="O247" s="40"/>
      <c r="P247" s="40"/>
      <c r="Q247" s="40"/>
    </row>
    <row r="248" spans="1:17" hidden="1" x14ac:dyDescent="0.3">
      <c r="A248" s="40"/>
      <c r="B248" s="40"/>
      <c r="C248" s="40"/>
      <c r="D248" s="40"/>
      <c r="E248" s="40"/>
      <c r="F248" s="40"/>
      <c r="H248" s="40"/>
      <c r="K248" s="40"/>
      <c r="L248" s="40"/>
      <c r="M248" s="40"/>
      <c r="N248" s="40"/>
      <c r="O248" s="40"/>
      <c r="P248" s="40"/>
      <c r="Q248" s="40"/>
    </row>
    <row r="249" spans="1:17" hidden="1" x14ac:dyDescent="0.3">
      <c r="A249" s="40"/>
      <c r="B249" s="40"/>
      <c r="C249" s="40"/>
      <c r="D249" s="40"/>
      <c r="E249" s="40"/>
      <c r="F249" s="40"/>
      <c r="H249" s="40"/>
      <c r="K249" s="40"/>
      <c r="L249" s="40"/>
      <c r="M249" s="40"/>
      <c r="N249" s="40"/>
      <c r="O249" s="40"/>
      <c r="P249" s="40"/>
      <c r="Q249" s="40"/>
    </row>
    <row r="250" spans="1:17" hidden="1" x14ac:dyDescent="0.3">
      <c r="A250" s="40"/>
      <c r="B250" s="40"/>
      <c r="C250" s="40"/>
      <c r="D250" s="40"/>
      <c r="E250" s="40"/>
      <c r="F250" s="40"/>
      <c r="H250" s="40"/>
      <c r="K250" s="40"/>
      <c r="L250" s="40"/>
      <c r="M250" s="40"/>
      <c r="N250" s="40"/>
      <c r="O250" s="40"/>
      <c r="P250" s="40"/>
      <c r="Q250" s="40"/>
    </row>
    <row r="251" spans="1:17" hidden="1" x14ac:dyDescent="0.3">
      <c r="A251" s="40"/>
      <c r="B251" s="40"/>
      <c r="C251" s="40"/>
      <c r="D251" s="40"/>
      <c r="E251" s="40"/>
      <c r="F251" s="40"/>
      <c r="H251" s="40"/>
      <c r="K251" s="40"/>
      <c r="L251" s="40"/>
      <c r="M251" s="40"/>
      <c r="N251" s="40"/>
      <c r="O251" s="40"/>
      <c r="P251" s="40"/>
      <c r="Q251" s="40"/>
    </row>
    <row r="252" spans="1:17" hidden="1" x14ac:dyDescent="0.3">
      <c r="A252" s="40"/>
      <c r="B252" s="40"/>
      <c r="C252" s="40"/>
      <c r="D252" s="40"/>
      <c r="E252" s="40"/>
      <c r="F252" s="40"/>
      <c r="H252" s="40"/>
      <c r="K252" s="40"/>
      <c r="L252" s="40"/>
      <c r="M252" s="40"/>
      <c r="N252" s="40"/>
      <c r="O252" s="40"/>
      <c r="P252" s="40"/>
      <c r="Q252" s="40"/>
    </row>
    <row r="253" spans="1:17" hidden="1" x14ac:dyDescent="0.3">
      <c r="A253" s="40"/>
      <c r="B253" s="40"/>
      <c r="C253" s="40"/>
      <c r="D253" s="40"/>
      <c r="E253" s="40"/>
      <c r="F253" s="40"/>
      <c r="H253" s="40"/>
      <c r="K253" s="40"/>
      <c r="L253" s="40"/>
      <c r="M253" s="40"/>
      <c r="N253" s="40"/>
      <c r="O253" s="40"/>
      <c r="P253" s="40"/>
      <c r="Q253" s="40"/>
    </row>
    <row r="254" spans="1:17" hidden="1" x14ac:dyDescent="0.3">
      <c r="A254" s="40"/>
      <c r="B254" s="40"/>
      <c r="C254" s="40"/>
      <c r="D254" s="40"/>
      <c r="E254" s="40"/>
      <c r="F254" s="40"/>
      <c r="H254" s="40"/>
      <c r="K254" s="40"/>
      <c r="L254" s="40"/>
      <c r="M254" s="40"/>
      <c r="N254" s="40"/>
      <c r="O254" s="40"/>
      <c r="P254" s="40"/>
      <c r="Q254" s="40"/>
    </row>
    <row r="255" spans="1:17" hidden="1" x14ac:dyDescent="0.3">
      <c r="A255" s="40"/>
      <c r="B255" s="40"/>
      <c r="C255" s="40"/>
      <c r="D255" s="40"/>
      <c r="E255" s="40"/>
      <c r="F255" s="40"/>
      <c r="H255" s="40"/>
      <c r="K255" s="40"/>
      <c r="L255" s="40"/>
      <c r="M255" s="40"/>
      <c r="N255" s="40"/>
      <c r="O255" s="40"/>
      <c r="P255" s="40"/>
      <c r="Q255" s="40"/>
    </row>
    <row r="256" spans="1:17" hidden="1" x14ac:dyDescent="0.3">
      <c r="A256" s="40"/>
      <c r="B256" s="40"/>
      <c r="C256" s="40"/>
      <c r="D256" s="40"/>
      <c r="E256" s="40"/>
      <c r="F256" s="40"/>
      <c r="H256" s="40"/>
      <c r="K256" s="40"/>
      <c r="L256" s="40"/>
      <c r="M256" s="40"/>
      <c r="N256" s="40"/>
      <c r="O256" s="40"/>
      <c r="P256" s="40"/>
      <c r="Q256" s="40"/>
    </row>
    <row r="257" spans="1:17" hidden="1" x14ac:dyDescent="0.3">
      <c r="A257" s="40"/>
      <c r="B257" s="40"/>
      <c r="C257" s="40"/>
      <c r="D257" s="40"/>
      <c r="E257" s="40"/>
      <c r="F257" s="40"/>
      <c r="H257" s="40"/>
      <c r="K257" s="40"/>
      <c r="L257" s="40"/>
      <c r="M257" s="40"/>
      <c r="N257" s="40"/>
      <c r="O257" s="40"/>
      <c r="P257" s="40"/>
      <c r="Q257" s="40"/>
    </row>
    <row r="258" spans="1:17" hidden="1" x14ac:dyDescent="0.3">
      <c r="A258" s="40"/>
      <c r="B258" s="40"/>
      <c r="C258" s="40"/>
      <c r="D258" s="40"/>
      <c r="E258" s="40"/>
      <c r="F258" s="40"/>
      <c r="H258" s="40"/>
      <c r="K258" s="40"/>
      <c r="L258" s="40"/>
      <c r="M258" s="40"/>
      <c r="N258" s="40"/>
      <c r="O258" s="40"/>
      <c r="P258" s="40"/>
      <c r="Q258" s="40"/>
    </row>
    <row r="259" spans="1:17" hidden="1" x14ac:dyDescent="0.3">
      <c r="A259" s="40"/>
    </row>
    <row r="260" spans="1:17" hidden="1" x14ac:dyDescent="0.3">
      <c r="A260" s="40"/>
    </row>
    <row r="261" spans="1:17" hidden="1" x14ac:dyDescent="0.3">
      <c r="A261" s="40"/>
    </row>
    <row r="262" spans="1:17" hidden="1" x14ac:dyDescent="0.3">
      <c r="A262" s="40"/>
    </row>
    <row r="263" spans="1:17" hidden="1" x14ac:dyDescent="0.3">
      <c r="A263" s="40"/>
    </row>
    <row r="264" spans="1:17" hidden="1" x14ac:dyDescent="0.3">
      <c r="A264" s="40"/>
    </row>
    <row r="265" spans="1:17" hidden="1" x14ac:dyDescent="0.3">
      <c r="A265" s="40"/>
    </row>
    <row r="266" spans="1:17" hidden="1" x14ac:dyDescent="0.3">
      <c r="A266" s="40"/>
    </row>
    <row r="267" spans="1:17" hidden="1" x14ac:dyDescent="0.3">
      <c r="A267" s="40"/>
    </row>
    <row r="268" spans="1:17" hidden="1" x14ac:dyDescent="0.3">
      <c r="A268" s="40"/>
    </row>
    <row r="269" spans="1:17" hidden="1" x14ac:dyDescent="0.3">
      <c r="A269" s="40"/>
    </row>
    <row r="270" spans="1:17" hidden="1" x14ac:dyDescent="0.3">
      <c r="A270" s="40"/>
    </row>
    <row r="271" spans="1:17" hidden="1" x14ac:dyDescent="0.3">
      <c r="A271" s="40"/>
    </row>
    <row r="272" spans="1:17" hidden="1" x14ac:dyDescent="0.3">
      <c r="A272" s="40"/>
    </row>
    <row r="273" spans="1:1" hidden="1" x14ac:dyDescent="0.3">
      <c r="A273" s="40"/>
    </row>
    <row r="274" spans="1:1" hidden="1" x14ac:dyDescent="0.3">
      <c r="A274" s="40"/>
    </row>
    <row r="275" spans="1:1" hidden="1" x14ac:dyDescent="0.3">
      <c r="A275" s="40"/>
    </row>
    <row r="276" spans="1:1" hidden="1" x14ac:dyDescent="0.3">
      <c r="A276" s="40"/>
    </row>
    <row r="277" spans="1:1" hidden="1" x14ac:dyDescent="0.3">
      <c r="A277" s="40"/>
    </row>
    <row r="278" spans="1:1" hidden="1" x14ac:dyDescent="0.3">
      <c r="A278" s="40"/>
    </row>
    <row r="279" spans="1:1" hidden="1" x14ac:dyDescent="0.3">
      <c r="A279" s="40"/>
    </row>
    <row r="280" spans="1:1" hidden="1" x14ac:dyDescent="0.3">
      <c r="A280" s="40"/>
    </row>
    <row r="281" spans="1:1" hidden="1" x14ac:dyDescent="0.3">
      <c r="A281" s="40"/>
    </row>
    <row r="282" spans="1:1" hidden="1" x14ac:dyDescent="0.3">
      <c r="A282" s="40"/>
    </row>
    <row r="283" spans="1:1" hidden="1" x14ac:dyDescent="0.3">
      <c r="A283" s="40"/>
    </row>
    <row r="284" spans="1:1" hidden="1" x14ac:dyDescent="0.3">
      <c r="A284" s="40"/>
    </row>
    <row r="285" spans="1:1" hidden="1" x14ac:dyDescent="0.3">
      <c r="A285" s="40"/>
    </row>
    <row r="286" spans="1:1" hidden="1" x14ac:dyDescent="0.3">
      <c r="A286" s="40"/>
    </row>
    <row r="287" spans="1:1" hidden="1" x14ac:dyDescent="0.3">
      <c r="A287" s="40"/>
    </row>
    <row r="288" spans="1:1" hidden="1" x14ac:dyDescent="0.3">
      <c r="A288" s="40"/>
    </row>
    <row r="289" spans="1:1" hidden="1" x14ac:dyDescent="0.3">
      <c r="A289" s="40"/>
    </row>
    <row r="290" spans="1:1" hidden="1" x14ac:dyDescent="0.3">
      <c r="A290" s="40"/>
    </row>
    <row r="291" spans="1:1" hidden="1" x14ac:dyDescent="0.3">
      <c r="A291" s="40"/>
    </row>
    <row r="292" spans="1:1" hidden="1" x14ac:dyDescent="0.3">
      <c r="A292" s="40"/>
    </row>
    <row r="293" spans="1:1" hidden="1" x14ac:dyDescent="0.3">
      <c r="A293" s="40"/>
    </row>
    <row r="294" spans="1:1" hidden="1" x14ac:dyDescent="0.3">
      <c r="A294" s="40"/>
    </row>
    <row r="295" spans="1:1" hidden="1" x14ac:dyDescent="0.3">
      <c r="A295" s="40"/>
    </row>
    <row r="296" spans="1:1" hidden="1" x14ac:dyDescent="0.3">
      <c r="A296" s="40"/>
    </row>
    <row r="297" spans="1:1" hidden="1" x14ac:dyDescent="0.3">
      <c r="A297" s="40"/>
    </row>
    <row r="298" spans="1:1" hidden="1" x14ac:dyDescent="0.3">
      <c r="A298" s="40"/>
    </row>
    <row r="299" spans="1:1" x14ac:dyDescent="0.3"/>
    <row r="300" spans="1:1" x14ac:dyDescent="0.3"/>
    <row r="301" spans="1:1" x14ac:dyDescent="0.3"/>
    <row r="302" spans="1:1" x14ac:dyDescent="0.3"/>
    <row r="303" spans="1:1" x14ac:dyDescent="0.3"/>
    <row r="304" spans="1:1" x14ac:dyDescent="0.3"/>
    <row r="305" x14ac:dyDescent="0.3"/>
    <row r="306" x14ac:dyDescent="0.3"/>
  </sheetData>
  <sheetProtection algorithmName="SHA-512" hashValue="ByklNbcU9bdSHD/BfqtWCOfazfyBibUfzCeNaXWLw6D4A9sO4gtTzR9BzdeI5x3Dw/juMmJ8fZMHdg6+D6k9yw==" saltValue="P1DlIkFQY/AlSsaP9sP4JA==" spinCount="100000" sheet="1" objects="1" scenarios="1"/>
  <customSheetViews>
    <customSheetView guid="{8BDA793C-C9C5-4FC6-A0A5-F1109F6D4F22}" state="hidden" topLeftCell="A81">
      <selection activeCell="D14" sqref="D14"/>
    </customSheetView>
  </customSheetViews>
  <mergeCells count="24">
    <mergeCell ref="C6:F6"/>
    <mergeCell ref="C7:F7"/>
    <mergeCell ref="C8:F8"/>
    <mergeCell ref="B39:G39"/>
    <mergeCell ref="B11:G11"/>
    <mergeCell ref="B2:G2"/>
    <mergeCell ref="G3:G4"/>
    <mergeCell ref="B3:B4"/>
    <mergeCell ref="C3:F4"/>
    <mergeCell ref="C5:F5"/>
    <mergeCell ref="B121:F121"/>
    <mergeCell ref="I122:J122"/>
    <mergeCell ref="I11:J11"/>
    <mergeCell ref="G108:G110"/>
    <mergeCell ref="G111:G113"/>
    <mergeCell ref="I87:J87"/>
    <mergeCell ref="I39:J39"/>
    <mergeCell ref="B87:G87"/>
    <mergeCell ref="G89:G92"/>
    <mergeCell ref="G93:G95"/>
    <mergeCell ref="G96:G101"/>
    <mergeCell ref="G102:G103"/>
    <mergeCell ref="I13:J13"/>
    <mergeCell ref="G105:G107"/>
  </mergeCells>
  <conditionalFormatting sqref="H3">
    <cfRule type="cellIs" dxfId="338" priority="92" operator="equal">
      <formula>"Check Proposed Habitat Trading"</formula>
    </cfRule>
    <cfRule type="cellIs" dxfId="337" priority="93" operator="equal">
      <formula>"Overall Trading Acceptable"</formula>
    </cfRule>
  </conditionalFormatting>
  <conditionalFormatting sqref="J12">
    <cfRule type="cellIs" dxfId="336" priority="65" operator="greaterThan">
      <formula>0</formula>
    </cfRule>
    <cfRule type="cellIs" dxfId="335" priority="66" operator="lessThan">
      <formula>0</formula>
    </cfRule>
  </conditionalFormatting>
  <conditionalFormatting sqref="J41">
    <cfRule type="cellIs" dxfId="334" priority="58" operator="greaterThanOrEqual">
      <formula>0</formula>
    </cfRule>
    <cfRule type="cellIs" dxfId="333" priority="61" operator="lessThan">
      <formula>0</formula>
    </cfRule>
  </conditionalFormatting>
  <conditionalFormatting sqref="J40">
    <cfRule type="cellIs" dxfId="332" priority="59" operator="greaterThan">
      <formula>0</formula>
    </cfRule>
    <cfRule type="cellIs" dxfId="331" priority="60" operator="lessThan">
      <formula>0</formula>
    </cfRule>
  </conditionalFormatting>
  <conditionalFormatting sqref="J88 J90:J91 J123:J124">
    <cfRule type="cellIs" dxfId="330" priority="32" operator="lessThan">
      <formula>0</formula>
    </cfRule>
    <cfRule type="cellIs" dxfId="329" priority="33" operator="greaterThan">
      <formula>0</formula>
    </cfRule>
  </conditionalFormatting>
  <conditionalFormatting sqref="G5:G8">
    <cfRule type="containsText" dxfId="328" priority="62" operator="containsText" text="Yes">
      <formula>NOT(ISERROR(SEARCH("Yes",G5)))</formula>
    </cfRule>
    <cfRule type="containsText" dxfId="327" priority="63" operator="containsText" text="No">
      <formula>NOT(ISERROR(SEARCH("No",G5)))</formula>
    </cfRule>
  </conditionalFormatting>
  <conditionalFormatting sqref="J89">
    <cfRule type="cellIs" dxfId="326" priority="29" operator="lessThan">
      <formula>0</formula>
    </cfRule>
  </conditionalFormatting>
  <conditionalFormatting sqref="B41:G81 B89:F113 B123:F158">
    <cfRule type="expression" dxfId="325" priority="13">
      <formula>$F41&gt;0</formula>
    </cfRule>
    <cfRule type="expression" dxfId="324" priority="14">
      <formula>$F41&lt;0</formula>
    </cfRule>
  </conditionalFormatting>
  <conditionalFormatting sqref="G89:G104 G108:G113">
    <cfRule type="expression" dxfId="323" priority="11">
      <formula>$G89&gt;0</formula>
    </cfRule>
    <cfRule type="expression" dxfId="322" priority="12">
      <formula>$G89&lt;0</formula>
    </cfRule>
  </conditionalFormatting>
  <conditionalFormatting sqref="B13:G32">
    <cfRule type="expression" dxfId="321" priority="5">
      <formula>$F13&gt;0</formula>
    </cfRule>
    <cfRule type="expression" dxfId="320" priority="6">
      <formula>$F13&lt;0</formula>
    </cfRule>
  </conditionalFormatting>
  <conditionalFormatting sqref="I13:J13">
    <cfRule type="containsText" dxfId="319" priority="4" operator="containsText" text="Very high distinctiveness unit defecit - CHECK DATA">
      <formula>NOT(ISERROR(SEARCH("Very high distinctiveness unit defecit - CHECK DATA",I13)))</formula>
    </cfRule>
  </conditionalFormatting>
  <conditionalFormatting sqref="G105:G107">
    <cfRule type="expression" dxfId="318" priority="1">
      <formula>$G105&gt;0</formula>
    </cfRule>
    <cfRule type="expression" dxfId="317" priority="2">
      <formula>$G105&lt;0</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3" id="{EC65C34F-F904-4B52-8C7C-CD31C515082B}">
            <x14:iconSet iconSet="3Symbols" custom="1">
              <x14:cfvo type="percent">
                <xm:f>0</xm:f>
              </x14:cfvo>
              <x14:cfvo type="num">
                <xm:f>0</xm:f>
              </x14:cfvo>
              <x14:cfvo type="num" gte="0">
                <xm:f>0</xm:f>
              </x14:cfvo>
              <x14:cfIcon iconSet="3Symbols" iconId="0"/>
              <x14:cfIcon iconSet="3Symbols" iconId="2"/>
              <x14:cfIcon iconSet="3Symbols" iconId="2"/>
            </x14:iconSet>
          </x14:cfRule>
          <xm:sqref>J41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tabColor rgb="FF006600"/>
  </sheetPr>
  <dimension ref="A1:AQ275"/>
  <sheetViews>
    <sheetView topLeftCell="K1" workbookViewId="0">
      <selection activeCell="S13" sqref="S13"/>
    </sheetView>
  </sheetViews>
  <sheetFormatPr defaultColWidth="0" defaultRowHeight="14" zeroHeight="1" x14ac:dyDescent="0.3"/>
  <cols>
    <col min="1" max="1" width="11.453125" style="47" hidden="1" customWidth="1"/>
    <col min="2" max="2" width="9.1796875" style="47" hidden="1" customWidth="1"/>
    <col min="3" max="3" width="0.453125" style="47" customWidth="1"/>
    <col min="4" max="4" width="5.26953125" style="47" customWidth="1"/>
    <col min="5" max="5" width="24.26953125" style="47" customWidth="1"/>
    <col min="6" max="6" width="72.81640625" style="47" customWidth="1"/>
    <col min="7" max="7" width="30.26953125" style="47" hidden="1" customWidth="1"/>
    <col min="8" max="8" width="14.1796875" style="47" customWidth="1"/>
    <col min="9" max="9" width="17.7265625" style="47" customWidth="1"/>
    <col min="10" max="10" width="7.453125" style="47" customWidth="1"/>
    <col min="11" max="11" width="17.1796875" style="47" customWidth="1"/>
    <col min="12" max="12" width="9.54296875" style="47" customWidth="1"/>
    <col min="13" max="13" width="41.7265625" style="47" customWidth="1"/>
    <col min="14" max="14" width="17.453125" style="47" customWidth="1"/>
    <col min="15" max="15" width="17.1796875" style="47" customWidth="1"/>
    <col min="16" max="16" width="30.7265625" style="47" customWidth="1"/>
    <col min="17" max="17" width="18" style="47" bestFit="1" customWidth="1"/>
    <col min="18" max="18" width="6" style="47" customWidth="1"/>
    <col min="19" max="19" width="10.1796875" style="47" customWidth="1"/>
    <col min="20" max="20" width="11.453125" style="47" customWidth="1"/>
    <col min="21" max="21" width="10.26953125" style="47" bestFit="1" customWidth="1"/>
    <col min="22" max="22" width="11.7265625" style="47" bestFit="1" customWidth="1"/>
    <col min="23" max="23" width="14.453125" style="47" customWidth="1"/>
    <col min="24" max="24" width="17" style="47" customWidth="1"/>
    <col min="25" max="25" width="19" style="47" customWidth="1"/>
    <col min="26" max="27" width="50.1796875" style="47" customWidth="1"/>
    <col min="28" max="28" width="12.7265625" style="47" customWidth="1"/>
    <col min="29" max="16384" width="12.7265625" style="47" hidden="1"/>
  </cols>
  <sheetData>
    <row r="1" spans="1:43" ht="14.5" thickBot="1" x14ac:dyDescent="0.35"/>
    <row r="2" spans="1:43" ht="18.5" thickBot="1" x14ac:dyDescent="0.35">
      <c r="D2" s="897" t="str">
        <f>IF(Start!$F$12="","",Start!$F$12)</f>
        <v>NCP Car Park, Bath Road, West Drayton, Greater London</v>
      </c>
      <c r="E2" s="898"/>
      <c r="F2" s="899"/>
    </row>
    <row r="3" spans="1:43" ht="15.65" customHeight="1" x14ac:dyDescent="0.3">
      <c r="D3" s="891" t="str">
        <f ca="1">MID(CELL("filename",C1),FIND("]",CELL("filename",C1))+1,256)</f>
        <v>A-1 Site Habitat Baseline</v>
      </c>
      <c r="E3" s="892"/>
      <c r="F3" s="893"/>
      <c r="AC3" s="47" t="s">
        <v>186</v>
      </c>
      <c r="AD3" s="47" t="s">
        <v>186</v>
      </c>
      <c r="AE3" s="47" t="s">
        <v>186</v>
      </c>
      <c r="AF3" s="47" t="s">
        <v>186</v>
      </c>
      <c r="AG3" s="47" t="s">
        <v>186</v>
      </c>
      <c r="AH3" s="47" t="s">
        <v>186</v>
      </c>
      <c r="AI3" s="47" t="s">
        <v>186</v>
      </c>
      <c r="AJ3" s="47" t="s">
        <v>186</v>
      </c>
      <c r="AK3" s="47" t="s">
        <v>186</v>
      </c>
      <c r="AL3" s="47" t="s">
        <v>186</v>
      </c>
      <c r="AM3" s="47" t="s">
        <v>186</v>
      </c>
      <c r="AN3" s="47" t="s">
        <v>186</v>
      </c>
    </row>
    <row r="4" spans="1:43" ht="10.9" customHeight="1" thickBot="1" x14ac:dyDescent="0.35">
      <c r="D4" s="894"/>
      <c r="E4" s="895"/>
      <c r="F4" s="896"/>
      <c r="AF4" s="47" t="s">
        <v>187</v>
      </c>
      <c r="AG4" s="47" t="s">
        <v>187</v>
      </c>
      <c r="AH4" s="47" t="s">
        <v>187</v>
      </c>
      <c r="AI4" s="47" t="s">
        <v>187</v>
      </c>
      <c r="AJ4" s="47" t="s">
        <v>187</v>
      </c>
      <c r="AK4" s="47" t="s">
        <v>187</v>
      </c>
      <c r="AL4" s="47" t="s">
        <v>187</v>
      </c>
      <c r="AM4" s="47" t="s">
        <v>187</v>
      </c>
      <c r="AN4" s="47" t="s">
        <v>187</v>
      </c>
    </row>
    <row r="5" spans="1:43" ht="15.65" customHeight="1" x14ac:dyDescent="0.3"/>
    <row r="6" spans="1:43" ht="16.149999999999999" customHeight="1" x14ac:dyDescent="0.3"/>
    <row r="7" spans="1:43" x14ac:dyDescent="0.3"/>
    <row r="8" spans="1:43" ht="31.15" customHeight="1" thickBot="1" x14ac:dyDescent="0.35">
      <c r="D8" s="48"/>
      <c r="E8" s="48"/>
      <c r="F8" s="48"/>
    </row>
    <row r="9" spans="1:43" ht="29.5" customHeight="1" thickBot="1" x14ac:dyDescent="0.35">
      <c r="C9" s="49"/>
      <c r="D9" s="50"/>
      <c r="E9" s="900" t="s">
        <v>188</v>
      </c>
      <c r="F9" s="901"/>
      <c r="G9" s="901"/>
      <c r="H9" s="902"/>
      <c r="I9" s="900" t="s">
        <v>189</v>
      </c>
      <c r="J9" s="902"/>
      <c r="K9" s="900" t="s">
        <v>190</v>
      </c>
      <c r="L9" s="902"/>
      <c r="M9" s="900" t="s">
        <v>191</v>
      </c>
      <c r="N9" s="901"/>
      <c r="O9" s="902"/>
      <c r="P9" s="906" t="s">
        <v>192</v>
      </c>
      <c r="Q9" s="51" t="s">
        <v>193</v>
      </c>
      <c r="R9" s="52"/>
      <c r="S9" s="903" t="s">
        <v>194</v>
      </c>
      <c r="T9" s="905"/>
      <c r="U9" s="905"/>
      <c r="V9" s="905"/>
      <c r="W9" s="905"/>
      <c r="X9" s="904"/>
      <c r="Y9" s="906" t="s">
        <v>195</v>
      </c>
      <c r="Z9" s="903" t="s">
        <v>196</v>
      </c>
      <c r="AA9" s="904"/>
      <c r="AB9" s="49"/>
      <c r="AC9" s="49" t="s">
        <v>187</v>
      </c>
      <c r="AD9" s="49" t="s">
        <v>187</v>
      </c>
      <c r="AE9" s="49"/>
      <c r="AF9" s="53" t="s">
        <v>197</v>
      </c>
      <c r="AG9" s="53"/>
      <c r="AH9" s="53"/>
      <c r="AI9" s="53"/>
      <c r="AJ9" s="53"/>
      <c r="AK9" s="53" t="s">
        <v>198</v>
      </c>
      <c r="AL9" s="54"/>
      <c r="AM9" s="54"/>
      <c r="AN9" s="54"/>
      <c r="AQ9" s="47" t="s">
        <v>199</v>
      </c>
    </row>
    <row r="10" spans="1:43" ht="44.25" customHeight="1" thickBot="1" x14ac:dyDescent="0.35">
      <c r="B10" s="55" t="s">
        <v>200</v>
      </c>
      <c r="C10" s="49"/>
      <c r="D10" s="58" t="s">
        <v>201</v>
      </c>
      <c r="E10" s="631" t="s">
        <v>202</v>
      </c>
      <c r="F10" s="632" t="s">
        <v>203</v>
      </c>
      <c r="G10" s="372" t="s">
        <v>204</v>
      </c>
      <c r="H10" s="57" t="s">
        <v>205</v>
      </c>
      <c r="I10" s="59" t="s">
        <v>189</v>
      </c>
      <c r="J10" s="57" t="s">
        <v>206</v>
      </c>
      <c r="K10" s="58" t="s">
        <v>190</v>
      </c>
      <c r="L10" s="57" t="s">
        <v>206</v>
      </c>
      <c r="M10" s="58" t="s">
        <v>191</v>
      </c>
      <c r="N10" s="372" t="s">
        <v>191</v>
      </c>
      <c r="O10" s="57" t="s">
        <v>207</v>
      </c>
      <c r="P10" s="907"/>
      <c r="Q10" s="56" t="s">
        <v>208</v>
      </c>
      <c r="R10" s="52"/>
      <c r="S10" s="60" t="s">
        <v>209</v>
      </c>
      <c r="T10" s="61" t="s">
        <v>210</v>
      </c>
      <c r="U10" s="62" t="s">
        <v>211</v>
      </c>
      <c r="V10" s="62" t="s">
        <v>212</v>
      </c>
      <c r="W10" s="62" t="s">
        <v>213</v>
      </c>
      <c r="X10" s="63" t="s">
        <v>214</v>
      </c>
      <c r="Y10" s="907"/>
      <c r="Z10" s="64" t="s">
        <v>215</v>
      </c>
      <c r="AA10" s="65" t="s">
        <v>216</v>
      </c>
      <c r="AB10" s="49"/>
      <c r="AC10" s="66" t="s">
        <v>217</v>
      </c>
      <c r="AD10" s="66" t="s">
        <v>218</v>
      </c>
      <c r="AE10" s="49"/>
      <c r="AF10" s="54" t="s">
        <v>219</v>
      </c>
      <c r="AG10" s="54" t="s">
        <v>220</v>
      </c>
      <c r="AH10" s="54" t="s">
        <v>221</v>
      </c>
      <c r="AI10" s="54" t="s">
        <v>222</v>
      </c>
      <c r="AJ10" s="54"/>
      <c r="AK10" s="54" t="s">
        <v>219</v>
      </c>
      <c r="AL10" s="54" t="s">
        <v>220</v>
      </c>
      <c r="AM10" s="54" t="s">
        <v>221</v>
      </c>
      <c r="AN10" s="54"/>
    </row>
    <row r="11" spans="1:43" ht="28" x14ac:dyDescent="0.3">
      <c r="A11" s="47" t="str">
        <f>IFERROR(INDEX('G-1 All Habitats'!$AG$3:$AG$15,MATCH(E11,'G-1 All Habitats'!$AF$3:$AF$15,0)),"")</f>
        <v>Urban</v>
      </c>
      <c r="B11" s="47" t="str">
        <f>IFERROR(INDEX('G-8 Condition Look up'!$I$4:$I$130,MATCH(G11,'G-8 Condition Look up'!$A$4:$A$130,0)),"")</f>
        <v>Cond2</v>
      </c>
      <c r="D11" s="67">
        <v>1</v>
      </c>
      <c r="E11" s="68" t="s">
        <v>74</v>
      </c>
      <c r="F11" s="68" t="s">
        <v>599</v>
      </c>
      <c r="G11" s="69" t="str">
        <f>IFERROR(INDEX('G-1 All Habitats'!$B$3:$B$129,MATCH(F11,'G-1 All Habitats'!$A$3:$A$129,0)),"")</f>
        <v>Urban - Developed land; sealed surface</v>
      </c>
      <c r="H11" s="70">
        <v>0.77265700000000004</v>
      </c>
      <c r="I11" s="498" t="str">
        <f>IF(G11="","",VLOOKUP(G11,'G-1 All Habitats'!$B$2:$M$129,10,FALSE))</f>
        <v>V.Low</v>
      </c>
      <c r="J11" s="499">
        <f>IFERROR(VLOOKUP(I11,'G-1 All Habitats'!$V$3:$W$7,2,FALSE),"")</f>
        <v>0</v>
      </c>
      <c r="K11" s="71" t="s">
        <v>407</v>
      </c>
      <c r="L11" s="499">
        <f>IFERROR(INDEX('G-8 Condition Look up'!$A$3:$H$130,MATCH(G11,'G-8 Condition Look up'!$A$3:$A$130,0),MATCH(K11,'G-8 Condition Look up'!$A$3:$H$3,0)),"")</f>
        <v>0</v>
      </c>
      <c r="M11" s="71" t="s">
        <v>921</v>
      </c>
      <c r="N11" s="504" t="str">
        <f>IF(M11="","",IF(VLOOKUP(M11,'G-3 Multipliers'!$L$3:$N$6,2,FALSE)=0,"Spatial Data Missing",VLOOKUP(M11,'G-3 Multipliers'!$L$3:$N$6,2,FALSE)))</f>
        <v>Low Strategic Significance</v>
      </c>
      <c r="O11" s="505">
        <f>IF(M11="","",IF(VLOOKUP(M11,'G-3 Multipliers'!$L$3:$N$6,3,FALSE)=0,"Spatial Data Missing ▲",VLOOKUP(M11,'G-3 Multipliers'!$L$3:$N$6,3,FALSE)))</f>
        <v>1</v>
      </c>
      <c r="P11" s="506" t="str">
        <f>IFERROR(VLOOKUP(G11,'G-1 All Habitats'!$B$2:$M$129,12,FALSE),"")</f>
        <v>Compensation Not Required</v>
      </c>
      <c r="Q11" s="513">
        <f>IFERROR(IF(P11="","",IF(AND(P11='G-1 All Habitats'!$X$3,T11&gt;0),U11+V11,IF(AND(P11='G-1 All Habitats'!$X$3,S11&gt;0),U11+V11,IF(AND(P11='G-1 All Habitats'!$X$3,AC11&gt;0),"Any Loss Unacceptable ▲",IF(AND(P11='G-1 All Habitats'!$X$3,W11&gt;0),"Any Loss Unacceptable ▲",H11*J11*L11*O11))))),"Check Data ▲")</f>
        <v>0</v>
      </c>
      <c r="R11" s="50"/>
      <c r="S11" s="71">
        <v>0</v>
      </c>
      <c r="T11" s="72">
        <v>0</v>
      </c>
      <c r="U11" s="511">
        <f>IFERROR(S11*J11*L11*O11,"")</f>
        <v>0</v>
      </c>
      <c r="V11" s="511">
        <f>IFERROR(T11*J11*L11*O11,"")</f>
        <v>0</v>
      </c>
      <c r="W11" s="511">
        <f>IF(E11="","",IF(H11&lt;S11+T11,"Error in Areas ▲",IF(P11&lt;&gt;'G-1 All Habitats'!$X$3,H11-S11-T11,IF(AND(P11='G-1 All Habitats'!$X$3,Y11="Yes"),"Unacceptable Loss",IF(AND(P11='G-1 All Habitats'!$X$3,Y11="No"),AC11,IF(AND(P11='G-1 All Habitats'!$X$3,Y11=""),AC11,IF(AND(P11='G-1 All Habitats'!$X$3,AC11="None",AC11),IF(AND(P11='G-1 All Habitats'!$X$3,AC11&gt;0),H11-S11-T11))))))))</f>
        <v>0.77265700000000004</v>
      </c>
      <c r="X11" s="515">
        <f>IFERROR(IF(H11="","",IF(H11-S11-T11=0&lt;0,"Error in Areas ▲",IF(S11+T11&gt;H11,"Error in Areas ▲",IF(AND(P11='G-1 All Habitats'!$X$3,Y11="Yes"),"Alternative Compensation ✓",IF(W11=0,0,IF(P11='G-1 All Habitats'!$X$3,"Unacceptable Loss ▲",Q11-U11-V11)))))),"Check Data ▲")</f>
        <v>0</v>
      </c>
      <c r="Y11" s="72"/>
      <c r="Z11" s="73"/>
      <c r="AA11" s="74"/>
      <c r="AC11" s="75" t="str">
        <f>IF(P11="","",IF(P11='G-1 All Habitats'!$X$3,H11-S11-T11,"None"))</f>
        <v>None</v>
      </c>
      <c r="AD11" s="76" t="str">
        <f>IFERROR(AC11*J11*L11*#REF!*O11,IF(P11="","","None"))</f>
        <v>None</v>
      </c>
      <c r="AF11" s="54" t="b">
        <f t="shared" ref="AF11:AF74" si="0">IF(G11="","",IF(S11&gt;0,TRUE,FALSE))</f>
        <v>0</v>
      </c>
      <c r="AG11" s="54" t="b">
        <f t="shared" ref="AG11:AG74" si="1">IF(H11="","",IF(T11&gt;0,TRUE,FALSE))</f>
        <v>0</v>
      </c>
      <c r="AH11" s="54" t="e">
        <f>IF(I11="","",IF(#REF!&gt;0,TRUE,FALSE))</f>
        <v>#REF!</v>
      </c>
      <c r="AI11" s="54">
        <v>1</v>
      </c>
      <c r="AJ11" s="54"/>
      <c r="AK11" s="54">
        <f t="array" ref="AK11">IFERROR(INDEX($AI$11:$AI$259, MATCH(0, IF(TRUE=$AF$11:$AF$259, COUNTIF($AK$10:$AK10, $AI$11:$AI$259), ""), 0)),"")</f>
        <v>2</v>
      </c>
      <c r="AL11" s="54" t="str">
        <f t="array" ref="AL11">IFERROR(INDEX($AI$11:$AI$259, MATCH(0, IF(TRUE=$AG$11:$AG$259, COUNTIF($AL$10:$AL10, $AI$11:$AI$259), ""), 0)),"")</f>
        <v/>
      </c>
      <c r="AM11" s="54" t="str">
        <f t="array" ref="AM11">IFERROR(INDEX($AI$11:$AI$259, MATCH(0, IF(TRUE=$AH$11:$AH$259, COUNTIF($AM$10:$AM10, $AI$11:$AI$259), ""), 0)),"")</f>
        <v/>
      </c>
      <c r="AN11" s="54"/>
      <c r="AQ11" s="47">
        <f>IF(X11="Unacceptable Loss",1,0)</f>
        <v>0</v>
      </c>
    </row>
    <row r="12" spans="1:43" ht="28" x14ac:dyDescent="0.3">
      <c r="A12" s="47" t="str">
        <f>IFERROR(INDEX('G-1 All Habitats'!$AG$3:$AG$15,MATCH(E12,'G-1 All Habitats'!$AF$3:$AF$15,0)),"")</f>
        <v>Urban</v>
      </c>
      <c r="B12" s="47" t="str">
        <f>IFERROR(INDEX('G-8 Condition Look up'!$I$4:$I$130,MATCH(G12,'G-8 Condition Look up'!$A$4:$A$130,0)),"")</f>
        <v>Cond4</v>
      </c>
      <c r="D12" s="77">
        <v>2</v>
      </c>
      <c r="E12" s="341" t="s">
        <v>74</v>
      </c>
      <c r="F12" s="79" t="s">
        <v>635</v>
      </c>
      <c r="G12" s="69" t="str">
        <f>IFERROR(INDEX('G-1 All Habitats'!$B$3:$B$129,MATCH(F12,'G-1 All Habitats'!$A$3:$A$129,0)),"")</f>
        <v>Urban - Vacant/derelict land/ bareground</v>
      </c>
      <c r="H12" s="70">
        <v>0.775335</v>
      </c>
      <c r="I12" s="498" t="str">
        <f>IF(G12="","",VLOOKUP(G12,'G-1 All Habitats'!$B$2:$M$129,10,FALSE))</f>
        <v>Low</v>
      </c>
      <c r="J12" s="499">
        <f>IFERROR(VLOOKUP(I12,'G-1 All Habitats'!$V$3:$W$7,2,FALSE),"")</f>
        <v>2</v>
      </c>
      <c r="K12" s="71" t="s">
        <v>20</v>
      </c>
      <c r="L12" s="499">
        <f>IFERROR(INDEX('G-8 Condition Look up'!$A$3:$H$130,MATCH(G12,'G-8 Condition Look up'!$A$3:$A$130,0),MATCH(K12,'G-8 Condition Look up'!$A$3:$H$3,0)),"")</f>
        <v>2</v>
      </c>
      <c r="M12" s="71" t="s">
        <v>917</v>
      </c>
      <c r="N12" s="520" t="str">
        <f>IF(M12="","",IF(VLOOKUP(M12,'G-3 Multipliers'!$L$3:$N$6,2,FALSE)=0,"Spatial Data Missing",VLOOKUP(M12,'G-3 Multipliers'!$L$3:$N$6,2,FALSE)))</f>
        <v xml:space="preserve">Medium strategic significance </v>
      </c>
      <c r="O12" s="505">
        <f>IF(M12="","",IF(VLOOKUP(M12,'G-3 Multipliers'!$L$3:$N$6,3,FALSE)=0,"Spatial Data Missing ▲",VLOOKUP(M12,'G-3 Multipliers'!$L$3:$N$6,3,FALSE)))</f>
        <v>1.1000000000000001</v>
      </c>
      <c r="P12" s="506" t="str">
        <f>IFERROR(VLOOKUP(G12,'G-1 All Habitats'!$B$2:$M$129,12,FALSE),"")</f>
        <v>Same distinctiveness or better habitat required ≥</v>
      </c>
      <c r="Q12" s="513">
        <f>IFERROR(IF(P12="","",IF(AND(P12='G-1 All Habitats'!$X$3,T12&gt;0),U12+V12,IF(AND(P12='G-1 All Habitats'!$X$3,S12&gt;0),U12+V12,IF(AND(P12='G-1 All Habitats'!$X$3,AC12&gt;0),"Any Loss Unacceptable ▲",IF(AND(P12='G-1 All Habitats'!$X$3,W12&gt;0),"Any Loss Unacceptable ▲",H12*J12*L12*O12))))),"Check Data ▲")</f>
        <v>3.4114740000000001</v>
      </c>
      <c r="R12" s="50"/>
      <c r="S12" s="71">
        <f>0.0149</f>
        <v>1.49E-2</v>
      </c>
      <c r="T12" s="72">
        <v>0</v>
      </c>
      <c r="U12" s="511">
        <f>IFERROR(S12*J12*L12*O12,"")</f>
        <v>6.5560000000000007E-2</v>
      </c>
      <c r="V12" s="511">
        <f>IFERROR(T12*J12*L12*O12,"")</f>
        <v>0</v>
      </c>
      <c r="W12" s="511">
        <f>IF(E12="","",IF(H12&lt;S12+T12,"Error in Areas ▲",IF(P12&lt;&gt;'G-1 All Habitats'!$X$3,H12-S12-T12,IF(AND(P12='G-1 All Habitats'!$X$3,Y12="Yes"),"Unacceptable Loss",IF(AND(P12='G-1 All Habitats'!$X$3,Y12="No"),AC12,IF(AND(P12='G-1 All Habitats'!$X$3,Y12=""),AC12,IF(AND(P12='G-1 All Habitats'!$X$3,AC12="None",AC12),IF(AND(P12='G-1 All Habitats'!$X$3,AC12&gt;0),H12-S12-T12))))))))</f>
        <v>0.76043499999999997</v>
      </c>
      <c r="X12" s="515">
        <f>IFERROR(IF(H12="","",IF(H12-S12-T12=0&lt;0,"Error in Areas ▲",IF(S12+T12&gt;H12,"Error in Areas ▲",IF(AND(P12='G-1 All Habitats'!$X$3,Y12="Yes"),"Alternative Compensation ✓",IF(W12=0,0,IF(P12='G-1 All Habitats'!$X$3,"Unacceptable Loss ▲",Q12-U12-V12)))))),"Check Data ▲")</f>
        <v>3.3459140000000001</v>
      </c>
      <c r="Y12" s="72"/>
      <c r="Z12" s="80"/>
      <c r="AA12" s="81"/>
      <c r="AC12" s="75" t="str">
        <f>IF(P12="","",IF(P12='G-1 All Habitats'!$X$3,H12-S12-T12,"None"))</f>
        <v>None</v>
      </c>
      <c r="AD12" s="76" t="str">
        <f>IFERROR(AC12*J12*L12*#REF!*O12,IF(P12="","","None"))</f>
        <v>None</v>
      </c>
      <c r="AF12" s="54" t="b">
        <f t="shared" si="0"/>
        <v>1</v>
      </c>
      <c r="AG12" s="54" t="b">
        <f t="shared" si="1"/>
        <v>0</v>
      </c>
      <c r="AH12" s="54" t="e">
        <f>IF(I12="","",IF(#REF!&gt;0,TRUE,FALSE))</f>
        <v>#REF!</v>
      </c>
      <c r="AI12" s="54">
        <v>2</v>
      </c>
      <c r="AJ12" s="54"/>
      <c r="AK12" s="54">
        <f t="array" ref="AK12">IFERROR(INDEX($AI$11:$AI$259, MATCH(0, IF(TRUE=$AF$11:$AF$259, COUNTIF($AK$10:$AK11, $AI$11:$AI$259), ""), 0)),"")</f>
        <v>3</v>
      </c>
      <c r="AL12" s="54" t="str">
        <f t="array" ref="AL12">IFERROR(INDEX($AI$11:$AI$259, MATCH(0, IF(TRUE=$AG$11:$AG$259, COUNTIF($AL$10:$AL11, $AI$11:$AI$259), ""), 0)),"")</f>
        <v/>
      </c>
      <c r="AM12" s="54" t="str">
        <f t="array" ref="AM12">IFERROR(INDEX($AI$11:$AI$259, MATCH(0, IF(TRUE=$AH$11:$AH$259, COUNTIF($AM$10:$AM11, $AI$11:$AI$259), ""), 0)),"")</f>
        <v/>
      </c>
      <c r="AN12" s="54"/>
      <c r="AQ12" s="47">
        <f t="shared" ref="AQ12:AQ75" si="2">IF(X12="Unacceptable Loss",1,0)</f>
        <v>0</v>
      </c>
    </row>
    <row r="13" spans="1:43" ht="42" x14ac:dyDescent="0.3">
      <c r="A13" s="47" t="str">
        <f>IFERROR(INDEX('G-1 All Habitats'!$AG$3:$AG$15,MATCH(E13,'G-1 All Habitats'!$AF$3:$AF$15,0)),"")</f>
        <v>Woodland_and_forest</v>
      </c>
      <c r="B13" s="47" t="str">
        <f>IFERROR(INDEX('G-8 Condition Look up'!$I$4:$I$130,MATCH(G13,'G-8 Condition Look up'!$A$4:$A$130,0)),"")</f>
        <v>Cond4</v>
      </c>
      <c r="D13" s="77">
        <v>3</v>
      </c>
      <c r="E13" s="341" t="s">
        <v>76</v>
      </c>
      <c r="F13" s="79" t="s">
        <v>691</v>
      </c>
      <c r="G13" s="69" t="str">
        <f>IFERROR(INDEX('G-1 All Habitats'!$B$3:$B$129,MATCH(F13,'G-1 All Habitats'!$A$3:$A$129,0)),"")</f>
        <v>Woodland and forest - Other woodland; broadleaved</v>
      </c>
      <c r="H13" s="70">
        <v>0.109844</v>
      </c>
      <c r="I13" s="498" t="str">
        <f>IF(G13="","",VLOOKUP(G13,'G-1 All Habitats'!$B$2:$M$129,10,FALSE))</f>
        <v>Medium</v>
      </c>
      <c r="J13" s="499">
        <f>IFERROR(VLOOKUP(I13,'G-1 All Habitats'!$V$3:$W$7,2,FALSE),"")</f>
        <v>4</v>
      </c>
      <c r="K13" s="71" t="s">
        <v>393</v>
      </c>
      <c r="L13" s="499">
        <f>IFERROR(INDEX('G-8 Condition Look up'!$A$3:$H$130,MATCH(G13,'G-8 Condition Look up'!$A$3:$A$130,0),MATCH(K13,'G-8 Condition Look up'!$A$3:$H$3,0)),"")</f>
        <v>1.5</v>
      </c>
      <c r="M13" s="71" t="s">
        <v>913</v>
      </c>
      <c r="N13" s="520" t="str">
        <f>IF(M13="","",IF(VLOOKUP(M13,'G-3 Multipliers'!$L$3:$N$6,2,FALSE)=0,"Spatial Data Missing",VLOOKUP(M13,'G-3 Multipliers'!$L$3:$N$6,2,FALSE)))</f>
        <v xml:space="preserve">High strategic significance </v>
      </c>
      <c r="O13" s="505">
        <f>IF(M13="","",IF(VLOOKUP(M13,'G-3 Multipliers'!$L$3:$N$6,3,FALSE)=0,"Spatial Data Missing ▲",VLOOKUP(M13,'G-3 Multipliers'!$L$3:$N$6,3,FALSE)))</f>
        <v>1.1499999999999999</v>
      </c>
      <c r="P13" s="506" t="str">
        <f>IFERROR(VLOOKUP(G13,'G-1 All Habitats'!$B$2:$M$129,12,FALSE),"")</f>
        <v>Same broad habitat or a higher distinctiveness habitat required (≥)</v>
      </c>
      <c r="Q13" s="513">
        <f>IFERROR(IF(P13="","",IF(AND(P13='G-1 All Habitats'!$X$3,T13&gt;0),U13+V13,IF(AND(P13='G-1 All Habitats'!$X$3,S13&gt;0),U13+V13,IF(AND(P13='G-1 All Habitats'!$X$3,AC13&gt;0),"Any Loss Unacceptable ▲",IF(AND(P13='G-1 All Habitats'!$X$3,W13&gt;0),"Any Loss Unacceptable ▲",H13*J13*L13*O13))))),"Check Data ▲")</f>
        <v>0.75792359999999992</v>
      </c>
      <c r="R13" s="50"/>
      <c r="S13" s="71">
        <v>3.09E-2</v>
      </c>
      <c r="T13" s="72">
        <v>0</v>
      </c>
      <c r="U13" s="511">
        <f t="shared" ref="U13:U76" si="3">IFERROR(S13*J13*L13*O13,"")</f>
        <v>0.21320999999999998</v>
      </c>
      <c r="V13" s="511">
        <f t="shared" ref="V13:V76" si="4">IFERROR(T13*J13*L13*O13,"")</f>
        <v>0</v>
      </c>
      <c r="W13" s="511">
        <f>IF(E13="","",IF(H13&lt;S13+T13,"Error in Areas ▲",IF(P13&lt;&gt;'G-1 All Habitats'!$X$3,H13-S13-T13,IF(AND(P13='G-1 All Habitats'!$X$3,Y13="Yes"),"Unacceptable Loss",IF(AND(P13='G-1 All Habitats'!$X$3,Y13="No"),AC13,IF(AND(P13='G-1 All Habitats'!$X$3,Y13=""),AC13,IF(AND(P13='G-1 All Habitats'!$X$3,AC13="None",AC13),IF(AND(P13='G-1 All Habitats'!$X$3,AC13&gt;0),H13-S13-T13))))))))</f>
        <v>7.8944E-2</v>
      </c>
      <c r="X13" s="515">
        <f>IFERROR(IF(H13="","",IF(H13-S13-T13=0&lt;0,"Error in Areas ▲",IF(S13+T13&gt;H13,"Error in Areas ▲",IF(AND(P13='G-1 All Habitats'!$X$3,Y13="Yes"),"Alternative Compensation ✓",IF(W13=0,0,IF(P13='G-1 All Habitats'!$X$3,"Unacceptable Loss ▲",Q13-U13-V13)))))),"Check Data ▲")</f>
        <v>0.54471359999999991</v>
      </c>
      <c r="Y13" s="72"/>
      <c r="Z13" s="80"/>
      <c r="AA13" s="81"/>
      <c r="AC13" s="75" t="str">
        <f>IF(P13="","",IF(P13='G-1 All Habitats'!$X$3,H13-S13-T13,"None"))</f>
        <v>None</v>
      </c>
      <c r="AD13" s="76" t="str">
        <f>IFERROR(AC13*J13*L13*#REF!*O13,IF(P13="","","None"))</f>
        <v>None</v>
      </c>
      <c r="AF13" s="54" t="b">
        <f t="shared" si="0"/>
        <v>1</v>
      </c>
      <c r="AG13" s="54" t="b">
        <f t="shared" si="1"/>
        <v>0</v>
      </c>
      <c r="AH13" s="54" t="e">
        <f>IF(I13="","",IF(#REF!&gt;0,TRUE,FALSE))</f>
        <v>#REF!</v>
      </c>
      <c r="AI13" s="54">
        <v>3</v>
      </c>
      <c r="AJ13" s="54"/>
      <c r="AK13" s="54" t="str">
        <f t="array" ref="AK13">IFERROR(INDEX($AI$11:$AI$259, MATCH(0, IF(TRUE=$AF$11:$AF$259, COUNTIF($AK$10:$AK12, $AI$11:$AI$259), ""), 0)),"")</f>
        <v/>
      </c>
      <c r="AL13" s="54" t="str">
        <f t="array" ref="AL13">IFERROR(INDEX($AI$11:$AI$259, MATCH(0, IF(TRUE=$AG$11:$AG$259, COUNTIF($AL$10:$AL12, $AI$11:$AI$259), ""), 0)),"")</f>
        <v/>
      </c>
      <c r="AM13" s="54" t="str">
        <f t="array" ref="AM13">IFERROR(INDEX($AI$11:$AI$259, MATCH(0, IF(TRUE=$AH$11:$AH$259, COUNTIF($AM$10:$AM12, $AI$11:$AI$259), ""), 0)),"")</f>
        <v/>
      </c>
      <c r="AN13" s="54"/>
      <c r="AQ13" s="47">
        <f t="shared" si="2"/>
        <v>0</v>
      </c>
    </row>
    <row r="14" spans="1:43" x14ac:dyDescent="0.3">
      <c r="A14" s="47" t="str">
        <f>IFERROR(INDEX('G-1 All Habitats'!$AG$3:$AG$15,MATCH(E14,'G-1 All Habitats'!$AF$3:$AF$15,0)),"")</f>
        <v/>
      </c>
      <c r="B14" s="47" t="str">
        <f>IFERROR(INDEX('G-8 Condition Look up'!$I$4:$I$130,MATCH(G14,'G-8 Condition Look up'!$A$4:$A$130,0)),"")</f>
        <v/>
      </c>
      <c r="D14" s="77">
        <v>4</v>
      </c>
      <c r="E14" s="79"/>
      <c r="F14" s="79"/>
      <c r="G14" s="69" t="str">
        <f>IFERROR(INDEX('G-1 All Habitats'!$B$3:$B$129,MATCH(F14,'G-1 All Habitats'!$A$3:$A$129,0)),"")</f>
        <v/>
      </c>
      <c r="H14" s="70"/>
      <c r="I14" s="498" t="str">
        <f>IF(G14="","",VLOOKUP(G14,'G-1 All Habitats'!$B$2:$M$129,10,FALSE))</f>
        <v/>
      </c>
      <c r="J14" s="499" t="str">
        <f>IFERROR(VLOOKUP(I14,'G-1 All Habitats'!$V$3:$W$7,2,FALSE),"")</f>
        <v/>
      </c>
      <c r="K14" s="71"/>
      <c r="L14" s="499" t="str">
        <f>IFERROR(INDEX('G-8 Condition Look up'!$A$3:$H$130,MATCH(G14,'G-8 Condition Look up'!$A$3:$A$130,0),MATCH(K14,'G-8 Condition Look up'!$A$3:$H$3,0)),"")</f>
        <v/>
      </c>
      <c r="M14" s="71"/>
      <c r="N14" s="520" t="str">
        <f>IF(M14="","",IF(VLOOKUP(M14,'G-3 Multipliers'!$L$3:$N$6,2,FALSE)=0,"Spatial Data Missing",VLOOKUP(M14,'G-3 Multipliers'!$L$3:$N$6,2,FALSE)))</f>
        <v/>
      </c>
      <c r="O14" s="505" t="str">
        <f>IF(M14="","",IF(VLOOKUP(M14,'G-3 Multipliers'!$L$3:$N$6,3,FALSE)=0,"Spatial Data Missing ▲",VLOOKUP(M14,'G-3 Multipliers'!$L$3:$N$6,3,FALSE)))</f>
        <v/>
      </c>
      <c r="P14" s="506" t="str">
        <f>IFERROR(VLOOKUP(G14,'G-1 All Habitats'!$B$2:$M$129,12,FALSE),"")</f>
        <v/>
      </c>
      <c r="Q14" s="513" t="str">
        <f>IFERROR(IF(P14="","",IF(AND(P14='G-1 All Habitats'!$X$3,T14&gt;0),U14+V14,IF(AND(P14='G-1 All Habitats'!$X$3,S14&gt;0),U14+V14,IF(AND(P14='G-1 All Habitats'!$X$3,AC14&gt;0),"Any Loss Unacceptable ▲",IF(AND(P14='G-1 All Habitats'!$X$3,W14&gt;0),"Any Loss Unacceptable ▲",H14*J14*L14*O14))))),"Check Data ▲")</f>
        <v/>
      </c>
      <c r="R14" s="50"/>
      <c r="S14" s="71"/>
      <c r="T14" s="72"/>
      <c r="U14" s="511" t="str">
        <f t="shared" si="3"/>
        <v/>
      </c>
      <c r="V14" s="511" t="str">
        <f t="shared" si="4"/>
        <v/>
      </c>
      <c r="W14" s="511" t="str">
        <f>IF(E14="","",IF(H14&lt;S14+T14,"Error in Areas ▲",IF(P14&lt;&gt;'G-1 All Habitats'!$X$3,H14-S14-T14,IF(AND(P14='G-1 All Habitats'!$X$3,Y14="Yes"),"Unacceptable Loss",IF(AND(P14='G-1 All Habitats'!$X$3,Y14="No"),AC14,IF(AND(P14='G-1 All Habitats'!$X$3,Y14=""),AC14,IF(AND(P14='G-1 All Habitats'!$X$3,AC14="None",AC14),IF(AND(P14='G-1 All Habitats'!$X$3,AC14&gt;0),H14-S14-T14))))))))</f>
        <v/>
      </c>
      <c r="X14" s="515" t="str">
        <f>IFERROR(IF(H14="","",IF(H14-S14-T14=0&lt;0,"Error in Areas ▲",IF(S14+T14&gt;H14,"Error in Areas ▲",IF(AND(P14='G-1 All Habitats'!$X$3,Y14="Yes"),"Alternative Compensation ✓",IF(W14=0,0,IF(P14='G-1 All Habitats'!$X$3,"Unacceptable Loss ▲",Q14-U14-V14)))))),"Check Data ▲")</f>
        <v/>
      </c>
      <c r="Y14" s="72"/>
      <c r="Z14" s="80"/>
      <c r="AA14" s="81"/>
      <c r="AC14" s="75" t="str">
        <f>IF(P14="","",IF(P14='G-1 All Habitats'!$X$3,H14-S14-T14,"None"))</f>
        <v/>
      </c>
      <c r="AD14" s="76" t="str">
        <f>IFERROR(AC14*J14*L14*#REF!*O14,IF(P14="","","None"))</f>
        <v/>
      </c>
      <c r="AF14" s="54" t="str">
        <f t="shared" si="0"/>
        <v/>
      </c>
      <c r="AG14" s="54" t="str">
        <f t="shared" si="1"/>
        <v/>
      </c>
      <c r="AH14" s="54" t="str">
        <f>IF(I14="","",IF(#REF!&gt;0,TRUE,FALSE))</f>
        <v/>
      </c>
      <c r="AI14" s="54">
        <v>4</v>
      </c>
      <c r="AJ14" s="54"/>
      <c r="AK14" s="54" t="str">
        <f t="array" ref="AK14">IFERROR(INDEX($AI$11:$AI$259, MATCH(0, IF(TRUE=$AF$11:$AF$259, COUNTIF($AK$10:$AK13, $AI$11:$AI$259), ""), 0)),"")</f>
        <v/>
      </c>
      <c r="AL14" s="54" t="str">
        <f t="array" ref="AL14">IFERROR(INDEX($AI$11:$AI$259, MATCH(0, IF(TRUE=$AG$11:$AG$259, COUNTIF($AL$10:$AL13, $AI$11:$AI$259), ""), 0)),"")</f>
        <v/>
      </c>
      <c r="AM14" s="54" t="str">
        <f t="array" ref="AM14">IFERROR(INDEX($AI$11:$AI$259, MATCH(0, IF(TRUE=$AH$11:$AH$259, COUNTIF($AM$10:$AM13, $AI$11:$AI$259), ""), 0)),"")</f>
        <v/>
      </c>
      <c r="AN14" s="54"/>
      <c r="AQ14" s="47">
        <f t="shared" si="2"/>
        <v>0</v>
      </c>
    </row>
    <row r="15" spans="1:43" x14ac:dyDescent="0.3">
      <c r="A15" s="47" t="str">
        <f>IFERROR(INDEX('G-1 All Habitats'!$AG$3:$AG$15,MATCH(E15,'G-1 All Habitats'!$AF$3:$AF$15,0)),"")</f>
        <v/>
      </c>
      <c r="B15" s="47" t="str">
        <f>IFERROR(INDEX('G-8 Condition Look up'!$I$4:$I$130,MATCH(G15,'G-8 Condition Look up'!$A$4:$A$130,0)),"")</f>
        <v/>
      </c>
      <c r="D15" s="77">
        <v>5</v>
      </c>
      <c r="E15" s="341"/>
      <c r="F15" s="79"/>
      <c r="G15" s="69" t="str">
        <f>IFERROR(INDEX('G-1 All Habitats'!$B$3:$B$129,MATCH(F15,'G-1 All Habitats'!$A$3:$A$129,0)),"")</f>
        <v/>
      </c>
      <c r="H15" s="70"/>
      <c r="I15" s="498" t="str">
        <f>IF(G15="","",VLOOKUP(G15,'G-1 All Habitats'!$B$2:$M$129,10,FALSE))</f>
        <v/>
      </c>
      <c r="J15" s="499" t="str">
        <f>IFERROR(VLOOKUP(I15,'G-1 All Habitats'!$V$3:$W$7,2,FALSE),"")</f>
        <v/>
      </c>
      <c r="K15" s="71"/>
      <c r="L15" s="499" t="str">
        <f>IFERROR(INDEX('G-8 Condition Look up'!$A$3:$H$130,MATCH(G15,'G-8 Condition Look up'!$A$3:$A$130,0),MATCH(K15,'G-8 Condition Look up'!$A$3:$H$3,0)),"")</f>
        <v/>
      </c>
      <c r="M15" s="71"/>
      <c r="N15" s="520" t="str">
        <f>IF(M15="","",IF(VLOOKUP(M15,'G-3 Multipliers'!$L$3:$N$6,2,FALSE)=0,"Spatial Data Missing",VLOOKUP(M15,'G-3 Multipliers'!$L$3:$N$6,2,FALSE)))</f>
        <v/>
      </c>
      <c r="O15" s="505" t="str">
        <f>IF(M15="","",IF(VLOOKUP(M15,'G-3 Multipliers'!$L$3:$N$6,3,FALSE)=0,"Spatial Data Missing ▲",VLOOKUP(M15,'G-3 Multipliers'!$L$3:$N$6,3,FALSE)))</f>
        <v/>
      </c>
      <c r="P15" s="506" t="str">
        <f>IFERROR(VLOOKUP(G15,'G-1 All Habitats'!$B$2:$M$129,12,FALSE),"")</f>
        <v/>
      </c>
      <c r="Q15" s="513" t="str">
        <f>IFERROR(IF(P15="","",IF(AND(P15='G-1 All Habitats'!$X$3,T15&gt;0),U15+V15,IF(AND(P15='G-1 All Habitats'!$X$3,S15&gt;0),U15+V15,IF(AND(P15='G-1 All Habitats'!$X$3,AC15&gt;0),"Any Loss Unacceptable ▲",IF(AND(P15='G-1 All Habitats'!$X$3,W15&gt;0),"Any Loss Unacceptable ▲",H15*J15*L15*O15))))),"Check Data ▲")</f>
        <v/>
      </c>
      <c r="R15" s="50"/>
      <c r="S15" s="71"/>
      <c r="T15" s="72"/>
      <c r="U15" s="511" t="str">
        <f t="shared" si="3"/>
        <v/>
      </c>
      <c r="V15" s="511" t="str">
        <f t="shared" si="4"/>
        <v/>
      </c>
      <c r="W15" s="511" t="str">
        <f>IF(E15="","",IF(H15&lt;S15+T15,"Error in Areas ▲",IF(P15&lt;&gt;'G-1 All Habitats'!$X$3,H15-S15-T15,IF(AND(P15='G-1 All Habitats'!$X$3,Y15="Yes"),"Unacceptable Loss",IF(AND(P15='G-1 All Habitats'!$X$3,Y15="No"),AC15,IF(AND(P15='G-1 All Habitats'!$X$3,Y15=""),AC15,IF(AND(P15='G-1 All Habitats'!$X$3,AC15="None",AC15),IF(AND(P15='G-1 All Habitats'!$X$3,AC15&gt;0),H15-S15-T15))))))))</f>
        <v/>
      </c>
      <c r="X15" s="515" t="str">
        <f>IFERROR(IF(H15="","",IF(H15-S15-T15=0&lt;0,"Error in Areas ▲",IF(S15+T15&gt;H15,"Error in Areas ▲",IF(AND(P15='G-1 All Habitats'!$X$3,Y15="Yes"),"Alternative Compensation ✓",IF(W15=0,0,IF(P15='G-1 All Habitats'!$X$3,"Unacceptable Loss ▲",Q15-U15-V15)))))),"Check Data ▲")</f>
        <v/>
      </c>
      <c r="Y15" s="72"/>
      <c r="Z15" s="80"/>
      <c r="AA15" s="81"/>
      <c r="AC15" s="75" t="str">
        <f>IF(P15="","",IF(P15='G-1 All Habitats'!$X$3,H15-S15-T15,"None"))</f>
        <v/>
      </c>
      <c r="AD15" s="76" t="str">
        <f>IFERROR(AC15*J15*L15*#REF!*O15,IF(P15="","","None"))</f>
        <v/>
      </c>
      <c r="AF15" s="54" t="str">
        <f t="shared" si="0"/>
        <v/>
      </c>
      <c r="AG15" s="54" t="str">
        <f t="shared" si="1"/>
        <v/>
      </c>
      <c r="AH15" s="54" t="str">
        <f>IF(I15="","",IF(#REF!&gt;0,TRUE,FALSE))</f>
        <v/>
      </c>
      <c r="AI15" s="54">
        <v>5</v>
      </c>
      <c r="AJ15" s="54"/>
      <c r="AK15" s="54" t="str">
        <f t="array" ref="AK15">IFERROR(INDEX($AI$11:$AI$259, MATCH(0, IF(TRUE=$AF$11:$AF$259, COUNTIF($AK$10:$AK14, $AI$11:$AI$259), ""), 0)),"")</f>
        <v/>
      </c>
      <c r="AL15" s="54" t="str">
        <f t="array" ref="AL15">IFERROR(INDEX($AI$11:$AI$259, MATCH(0, IF(TRUE=$AG$11:$AG$259, COUNTIF($AL$10:$AL14, $AI$11:$AI$259), ""), 0)),"")</f>
        <v/>
      </c>
      <c r="AM15" s="54" t="str">
        <f t="array" ref="AM15">IFERROR(INDEX($AI$11:$AI$259, MATCH(0, IF(TRUE=$AH$11:$AH$259, COUNTIF($AM$10:$AM14, $AI$11:$AI$259), ""), 0)),"")</f>
        <v/>
      </c>
      <c r="AN15" s="54"/>
      <c r="AQ15" s="47">
        <f t="shared" si="2"/>
        <v>0</v>
      </c>
    </row>
    <row r="16" spans="1:43" x14ac:dyDescent="0.3">
      <c r="A16" s="47" t="str">
        <f>IFERROR(INDEX('G-1 All Habitats'!$AG$3:$AG$15,MATCH(E16,'G-1 All Habitats'!$AF$3:$AF$15,0)),"")</f>
        <v/>
      </c>
      <c r="B16" s="47" t="str">
        <f>IFERROR(INDEX('G-8 Condition Look up'!$I$4:$I$130,MATCH(G16,'G-8 Condition Look up'!$A$4:$A$130,0)),"")</f>
        <v/>
      </c>
      <c r="D16" s="77">
        <v>6</v>
      </c>
      <c r="E16" s="79"/>
      <c r="F16" s="79"/>
      <c r="G16" s="69" t="str">
        <f>IFERROR(INDEX('G-1 All Habitats'!$B$3:$B$129,MATCH(F16,'G-1 All Habitats'!$A$3:$A$129,0)),"")</f>
        <v/>
      </c>
      <c r="H16" s="70"/>
      <c r="I16" s="498" t="str">
        <f>IF(G16="","",VLOOKUP(G16,'G-1 All Habitats'!$B$2:$M$129,10,FALSE))</f>
        <v/>
      </c>
      <c r="J16" s="499" t="str">
        <f>IFERROR(VLOOKUP(I16,'G-1 All Habitats'!$V$3:$W$7,2,FALSE),"")</f>
        <v/>
      </c>
      <c r="K16" s="71"/>
      <c r="L16" s="499" t="str">
        <f>IFERROR(INDEX('G-8 Condition Look up'!$A$3:$H$130,MATCH(G16,'G-8 Condition Look up'!$A$3:$A$130,0),MATCH(K16,'G-8 Condition Look up'!$A$3:$H$3,0)),"")</f>
        <v/>
      </c>
      <c r="M16" s="71"/>
      <c r="N16" s="520" t="str">
        <f>IF(M16="","",IF(VLOOKUP(M16,'G-3 Multipliers'!$L$3:$N$6,2,FALSE)=0,"Spatial Data Missing",VLOOKUP(M16,'G-3 Multipliers'!$L$3:$N$6,2,FALSE)))</f>
        <v/>
      </c>
      <c r="O16" s="505" t="str">
        <f>IF(M16="","",IF(VLOOKUP(M16,'G-3 Multipliers'!$L$3:$N$6,3,FALSE)=0,"Spatial Data Missing ▲",VLOOKUP(M16,'G-3 Multipliers'!$L$3:$N$6,3,FALSE)))</f>
        <v/>
      </c>
      <c r="P16" s="506" t="str">
        <f>IFERROR(VLOOKUP(G16,'G-1 All Habitats'!$B$2:$M$129,12,FALSE),"")</f>
        <v/>
      </c>
      <c r="Q16" s="513" t="str">
        <f>IFERROR(IF(P16="","",IF(AND(P16='G-1 All Habitats'!$X$3,T16&gt;0),U16+V16,IF(AND(P16='G-1 All Habitats'!$X$3,S16&gt;0),U16+V16,IF(AND(P16='G-1 All Habitats'!$X$3,AC16&gt;0),"Any Loss Unacceptable ▲",IF(AND(P16='G-1 All Habitats'!$X$3,W16&gt;0),"Any Loss Unacceptable ▲",H16*J16*L16*O16))))),"Check Data ▲")</f>
        <v/>
      </c>
      <c r="R16" s="50"/>
      <c r="S16" s="71"/>
      <c r="T16" s="72"/>
      <c r="U16" s="511" t="str">
        <f t="shared" si="3"/>
        <v/>
      </c>
      <c r="V16" s="511" t="str">
        <f t="shared" si="4"/>
        <v/>
      </c>
      <c r="W16" s="511" t="str">
        <f>IF(E16="","",IF(H16&lt;S16+T16,"Error in Areas ▲",IF(P16&lt;&gt;'G-1 All Habitats'!$X$3,H16-S16-T16,IF(AND(P16='G-1 All Habitats'!$X$3,Y16="Yes"),"Unacceptable Loss",IF(AND(P16='G-1 All Habitats'!$X$3,Y16="No"),AC16,IF(AND(P16='G-1 All Habitats'!$X$3,Y16=""),AC16,IF(AND(P16='G-1 All Habitats'!$X$3,AC16="None",AC16),IF(AND(P16='G-1 All Habitats'!$X$3,AC16&gt;0),H16-S16-T16))))))))</f>
        <v/>
      </c>
      <c r="X16" s="515" t="str">
        <f>IFERROR(IF(H16="","",IF(H16-S16-T16=0&lt;0,"Error in Areas ▲",IF(S16+T16&gt;H16,"Error in Areas ▲",IF(AND(P16='G-1 All Habitats'!$X$3,Y16="Yes"),"Alternative Compensation ✓",IF(W16=0,0,IF(P16='G-1 All Habitats'!$X$3,"Unacceptable Loss ▲",Q16-U16-V16)))))),"Check Data ▲")</f>
        <v/>
      </c>
      <c r="Y16" s="72"/>
      <c r="Z16" s="80"/>
      <c r="AA16" s="81"/>
      <c r="AC16" s="75" t="str">
        <f>IF(P16="","",IF(P16='G-1 All Habitats'!$X$3,H16-S16-T16,"None"))</f>
        <v/>
      </c>
      <c r="AD16" s="76" t="str">
        <f>IFERROR(AC16*J16*L16*#REF!*O16,IF(P16="","","None"))</f>
        <v/>
      </c>
      <c r="AF16" s="54" t="str">
        <f t="shared" si="0"/>
        <v/>
      </c>
      <c r="AG16" s="54" t="str">
        <f t="shared" si="1"/>
        <v/>
      </c>
      <c r="AH16" s="54" t="str">
        <f>IF(I16="","",IF(#REF!&gt;0,TRUE,FALSE))</f>
        <v/>
      </c>
      <c r="AI16" s="54">
        <v>6</v>
      </c>
      <c r="AJ16" s="54"/>
      <c r="AK16" s="54" t="str">
        <f t="array" ref="AK16">IFERROR(INDEX($AI$11:$AI$259, MATCH(0, IF(TRUE=$AF$11:$AF$259, COUNTIF($AK$10:$AK15, $AI$11:$AI$259), ""), 0)),"")</f>
        <v/>
      </c>
      <c r="AL16" s="54" t="str">
        <f t="array" ref="AL16">IFERROR(INDEX($AI$11:$AI$259, MATCH(0, IF(TRUE=$AG$11:$AG$259, COUNTIF($AL$10:$AL15, $AI$11:$AI$259), ""), 0)),"")</f>
        <v/>
      </c>
      <c r="AM16" s="54" t="str">
        <f t="array" ref="AM16">IFERROR(INDEX($AI$11:$AI$259, MATCH(0, IF(TRUE=$AH$11:$AH$259, COUNTIF($AM$10:$AM15, $AI$11:$AI$259), ""), 0)),"")</f>
        <v/>
      </c>
      <c r="AN16" s="54"/>
      <c r="AQ16" s="47">
        <f t="shared" si="2"/>
        <v>0</v>
      </c>
    </row>
    <row r="17" spans="1:43" x14ac:dyDescent="0.3">
      <c r="A17" s="47" t="str">
        <f>IFERROR(INDEX('G-1 All Habitats'!$AG$3:$AG$15,MATCH(E17,'G-1 All Habitats'!$AF$3:$AF$15,0)),"")</f>
        <v/>
      </c>
      <c r="B17" s="47" t="str">
        <f>IFERROR(INDEX('G-8 Condition Look up'!$I$4:$I$130,MATCH(G17,'G-8 Condition Look up'!$A$4:$A$130,0)),"")</f>
        <v/>
      </c>
      <c r="D17" s="77">
        <v>7</v>
      </c>
      <c r="E17" s="342"/>
      <c r="F17" s="79"/>
      <c r="G17" s="69" t="str">
        <f>IFERROR(INDEX('G-1 All Habitats'!$B$3:$B$129,MATCH(F17,'G-1 All Habitats'!$A$3:$A$129,0)),"")</f>
        <v/>
      </c>
      <c r="H17" s="70"/>
      <c r="I17" s="498" t="str">
        <f>IF(G17="","",VLOOKUP(G17,'G-1 All Habitats'!$B$2:$M$129,10,FALSE))</f>
        <v/>
      </c>
      <c r="J17" s="499" t="str">
        <f>IFERROR(VLOOKUP(I17,'G-1 All Habitats'!$V$3:$W$7,2,FALSE),"")</f>
        <v/>
      </c>
      <c r="K17" s="71"/>
      <c r="L17" s="499" t="str">
        <f>IFERROR(INDEX('G-8 Condition Look up'!$A$3:$H$130,MATCH(G17,'G-8 Condition Look up'!$A$3:$A$130,0),MATCH(K17,'G-8 Condition Look up'!$A$3:$H$3,0)),"")</f>
        <v/>
      </c>
      <c r="M17" s="71"/>
      <c r="N17" s="520" t="str">
        <f>IF(M17="","",IF(VLOOKUP(M17,'G-3 Multipliers'!$L$3:$N$6,2,FALSE)=0,"Spatial Data Missing",VLOOKUP(M17,'G-3 Multipliers'!$L$3:$N$6,2,FALSE)))</f>
        <v/>
      </c>
      <c r="O17" s="505" t="str">
        <f>IF(M17="","",IF(VLOOKUP(M17,'G-3 Multipliers'!$L$3:$N$6,3,FALSE)=0,"Spatial Data Missing ▲",VLOOKUP(M17,'G-3 Multipliers'!$L$3:$N$6,3,FALSE)))</f>
        <v/>
      </c>
      <c r="P17" s="506" t="str">
        <f>IFERROR(VLOOKUP(G17,'G-1 All Habitats'!$B$2:$M$129,12,FALSE),"")</f>
        <v/>
      </c>
      <c r="Q17" s="513" t="str">
        <f>IFERROR(IF(P17="","",IF(AND(P17='G-1 All Habitats'!$X$3,T17&gt;0),U17+V17,IF(AND(P17='G-1 All Habitats'!$X$3,S17&gt;0),U17+V17,IF(AND(P17='G-1 All Habitats'!$X$3,AC17&gt;0),"Any Loss Unacceptable ▲",IF(AND(P17='G-1 All Habitats'!$X$3,W17&gt;0),"Any Loss Unacceptable ▲",H17*J17*L17*O17))))),"Check Data ▲")</f>
        <v/>
      </c>
      <c r="R17" s="50"/>
      <c r="S17" s="71"/>
      <c r="T17" s="72"/>
      <c r="U17" s="511" t="str">
        <f t="shared" si="3"/>
        <v/>
      </c>
      <c r="V17" s="511" t="str">
        <f t="shared" si="4"/>
        <v/>
      </c>
      <c r="W17" s="511" t="str">
        <f>IF(E17="","",IF(H17&lt;S17+T17,"Error in Areas ▲",IF(P17&lt;&gt;'G-1 All Habitats'!$X$3,H17-S17-T17,IF(AND(P17='G-1 All Habitats'!$X$3,Y17="Yes"),"Unacceptable Loss",IF(AND(P17='G-1 All Habitats'!$X$3,Y17="No"),AC17,IF(AND(P17='G-1 All Habitats'!$X$3,Y17=""),AC17,IF(AND(P17='G-1 All Habitats'!$X$3,AC17="None",AC17),IF(AND(P17='G-1 All Habitats'!$X$3,AC17&gt;0),H17-S17-T17))))))))</f>
        <v/>
      </c>
      <c r="X17" s="515" t="str">
        <f>IFERROR(IF(H17="","",IF(H17-S17-T17=0&lt;0,"Error in Areas ▲",IF(S17+T17&gt;H17,"Error in Areas ▲",IF(AND(P17='G-1 All Habitats'!$X$3,Y17="Yes"),"Alternative Compensation ✓",IF(W17=0,0,IF(P17='G-1 All Habitats'!$X$3,"Unacceptable Loss ▲",Q17-U17-V17)))))),"Check Data ▲")</f>
        <v/>
      </c>
      <c r="Y17" s="72"/>
      <c r="Z17" s="80"/>
      <c r="AA17" s="81"/>
      <c r="AC17" s="75" t="str">
        <f>IF(P17="","",IF(P17='G-1 All Habitats'!$X$3,H17-S17-T17,"None"))</f>
        <v/>
      </c>
      <c r="AD17" s="76" t="str">
        <f>IFERROR(AC17*J17*L17*#REF!*O17,IF(P17="","","None"))</f>
        <v/>
      </c>
      <c r="AF17" s="54" t="str">
        <f t="shared" si="0"/>
        <v/>
      </c>
      <c r="AG17" s="54" t="str">
        <f t="shared" si="1"/>
        <v/>
      </c>
      <c r="AH17" s="54" t="str">
        <f>IF(I17="","",IF(#REF!&gt;0,TRUE,FALSE))</f>
        <v/>
      </c>
      <c r="AI17" s="54">
        <v>7</v>
      </c>
      <c r="AJ17" s="54"/>
      <c r="AK17" s="54" t="str">
        <f t="array" ref="AK17">IFERROR(INDEX($AI$11:$AI$259, MATCH(0, IF(TRUE=$AF$11:$AF$259, COUNTIF($AK$10:$AK16, $AI$11:$AI$259), ""), 0)),"")</f>
        <v/>
      </c>
      <c r="AL17" s="54" t="str">
        <f t="array" ref="AL17">IFERROR(INDEX($AI$11:$AI$259, MATCH(0, IF(TRUE=$AG$11:$AG$259, COUNTIF($AL$10:$AL16, $AI$11:$AI$259), ""), 0)),"")</f>
        <v/>
      </c>
      <c r="AM17" s="54" t="str">
        <f t="array" ref="AM17">IFERROR(INDEX($AI$11:$AI$259, MATCH(0, IF(TRUE=$AH$11:$AH$259, COUNTIF($AM$10:$AM16, $AI$11:$AI$259), ""), 0)),"")</f>
        <v/>
      </c>
      <c r="AN17" s="54"/>
      <c r="AQ17" s="47">
        <f t="shared" si="2"/>
        <v>0</v>
      </c>
    </row>
    <row r="18" spans="1:43" x14ac:dyDescent="0.3">
      <c r="A18" s="47" t="str">
        <f>IFERROR(INDEX('G-1 All Habitats'!$AG$3:$AG$15,MATCH(E18,'G-1 All Habitats'!$AF$3:$AF$15,0)),"")</f>
        <v/>
      </c>
      <c r="B18" s="47" t="str">
        <f>IFERROR(INDEX('G-8 Condition Look up'!$I$4:$I$130,MATCH(G18,'G-8 Condition Look up'!$A$4:$A$130,0)),"")</f>
        <v/>
      </c>
      <c r="D18" s="77">
        <v>8</v>
      </c>
      <c r="E18" s="79"/>
      <c r="F18" s="79"/>
      <c r="G18" s="69" t="str">
        <f>IFERROR(INDEX('G-1 All Habitats'!$B$3:$B$129,MATCH(F18,'G-1 All Habitats'!$A$3:$A$129,0)),"")</f>
        <v/>
      </c>
      <c r="H18" s="70"/>
      <c r="I18" s="498" t="str">
        <f>IF(G18="","",VLOOKUP(G18,'G-1 All Habitats'!$B$2:$M$129,10,FALSE))</f>
        <v/>
      </c>
      <c r="J18" s="499" t="str">
        <f>IFERROR(VLOOKUP(I18,'G-1 All Habitats'!$V$3:$W$7,2,FALSE),"")</f>
        <v/>
      </c>
      <c r="K18" s="71"/>
      <c r="L18" s="499" t="str">
        <f>IFERROR(INDEX('G-8 Condition Look up'!$A$3:$H$130,MATCH(G18,'G-8 Condition Look up'!$A$3:$A$130,0),MATCH(K18,'G-8 Condition Look up'!$A$3:$H$3,0)),"")</f>
        <v/>
      </c>
      <c r="M18" s="71"/>
      <c r="N18" s="520" t="str">
        <f>IF(M18="","",IF(VLOOKUP(M18,'G-3 Multipliers'!$L$3:$N$6,2,FALSE)=0,"Spatial Data Missing",VLOOKUP(M18,'G-3 Multipliers'!$L$3:$N$6,2,FALSE)))</f>
        <v/>
      </c>
      <c r="O18" s="505" t="str">
        <f>IF(M18="","",IF(VLOOKUP(M18,'G-3 Multipliers'!$L$3:$N$6,3,FALSE)=0,"Spatial Data Missing ▲",VLOOKUP(M18,'G-3 Multipliers'!$L$3:$N$6,3,FALSE)))</f>
        <v/>
      </c>
      <c r="P18" s="506" t="str">
        <f>IFERROR(VLOOKUP(G18,'G-1 All Habitats'!$B$2:$M$129,12,FALSE),"")</f>
        <v/>
      </c>
      <c r="Q18" s="513" t="str">
        <f>IFERROR(IF(P18="","",IF(AND(P18='G-1 All Habitats'!$X$3,T18&gt;0),U18+V18,IF(AND(P18='G-1 All Habitats'!$X$3,S18&gt;0),U18+V18,IF(AND(P18='G-1 All Habitats'!$X$3,AC18&gt;0),"Any Loss Unacceptable ▲",IF(AND(P18='G-1 All Habitats'!$X$3,W18&gt;0),"Any Loss Unacceptable ▲",H18*J18*L18*O18))))),"Check Data ▲")</f>
        <v/>
      </c>
      <c r="R18" s="50"/>
      <c r="S18" s="71"/>
      <c r="T18" s="72"/>
      <c r="U18" s="511" t="str">
        <f t="shared" si="3"/>
        <v/>
      </c>
      <c r="V18" s="511" t="str">
        <f t="shared" si="4"/>
        <v/>
      </c>
      <c r="W18" s="511" t="str">
        <f>IF(E18="","",IF(H18&lt;S18+T18,"Error in Areas ▲",IF(P18&lt;&gt;'G-1 All Habitats'!$X$3,H18-S18-T18,IF(AND(P18='G-1 All Habitats'!$X$3,Y18="Yes"),"Unacceptable Loss",IF(AND(P18='G-1 All Habitats'!$X$3,Y18="No"),AC18,IF(AND(P18='G-1 All Habitats'!$X$3,Y18=""),AC18,IF(AND(P18='G-1 All Habitats'!$X$3,AC18="None",AC18),IF(AND(P18='G-1 All Habitats'!$X$3,AC18&gt;0),H18-S18-T18))))))))</f>
        <v/>
      </c>
      <c r="X18" s="515" t="str">
        <f>IFERROR(IF(H18="","",IF(H18-S18-T18=0&lt;0,"Error in Areas ▲",IF(S18+T18&gt;H18,"Error in Areas ▲",IF(AND(P18='G-1 All Habitats'!$X$3,Y18="Yes"),"Alternative Compensation ✓",IF(W18=0,0,IF(P18='G-1 All Habitats'!$X$3,"Unacceptable Loss ▲",Q18-U18-V18)))))),"Check Data ▲")</f>
        <v/>
      </c>
      <c r="Y18" s="72"/>
      <c r="Z18" s="80"/>
      <c r="AA18" s="81"/>
      <c r="AC18" s="75" t="str">
        <f>IF(P18="","",IF(P18='G-1 All Habitats'!$X$3,H18-S18-T18,"None"))</f>
        <v/>
      </c>
      <c r="AD18" s="76" t="str">
        <f>IFERROR(AC18*J18*L18*#REF!*O18,IF(P18="","","None"))</f>
        <v/>
      </c>
      <c r="AF18" s="54" t="str">
        <f t="shared" si="0"/>
        <v/>
      </c>
      <c r="AG18" s="54" t="str">
        <f t="shared" si="1"/>
        <v/>
      </c>
      <c r="AH18" s="54" t="str">
        <f>IF(I18="","",IF(#REF!&gt;0,TRUE,FALSE))</f>
        <v/>
      </c>
      <c r="AI18" s="54">
        <v>8</v>
      </c>
      <c r="AJ18" s="54"/>
      <c r="AK18" s="54" t="str">
        <f t="array" ref="AK18">IFERROR(INDEX($AI$11:$AI$259, MATCH(0, IF(TRUE=$AF$11:$AF$259, COUNTIF($AK$10:$AK17, $AI$11:$AI$259), ""), 0)),"")</f>
        <v/>
      </c>
      <c r="AL18" s="54" t="str">
        <f t="array" ref="AL18">IFERROR(INDEX($AI$11:$AI$259, MATCH(0, IF(TRUE=$AG$11:$AG$259, COUNTIF($AL$10:$AL17, $AI$11:$AI$259), ""), 0)),"")</f>
        <v/>
      </c>
      <c r="AM18" s="54" t="str">
        <f t="array" ref="AM18">IFERROR(INDEX($AI$11:$AI$259, MATCH(0, IF(TRUE=$AH$11:$AH$259, COUNTIF($AM$10:$AM17, $AI$11:$AI$259), ""), 0)),"")</f>
        <v/>
      </c>
      <c r="AN18" s="54"/>
      <c r="AQ18" s="47">
        <f t="shared" si="2"/>
        <v>0</v>
      </c>
    </row>
    <row r="19" spans="1:43" x14ac:dyDescent="0.3">
      <c r="A19" s="47" t="str">
        <f>IFERROR(INDEX('G-1 All Habitats'!$AG$3:$AG$15,MATCH(E19,'G-1 All Habitats'!$AF$3:$AF$15,0)),"")</f>
        <v/>
      </c>
      <c r="B19" s="47" t="str">
        <f>IFERROR(INDEX('G-8 Condition Look up'!$I$4:$I$130,MATCH(G19,'G-8 Condition Look up'!$A$4:$A$130,0)),"")</f>
        <v/>
      </c>
      <c r="D19" s="77">
        <v>9</v>
      </c>
      <c r="E19" s="82"/>
      <c r="F19" s="79"/>
      <c r="G19" s="69" t="str">
        <f>IFERROR(INDEX('G-1 All Habitats'!$B$3:$B$129,MATCH(F19,'G-1 All Habitats'!$A$3:$A$129,0)),"")</f>
        <v/>
      </c>
      <c r="H19" s="70"/>
      <c r="I19" s="498" t="str">
        <f>IF(G19="","",VLOOKUP(G19,'G-1 All Habitats'!$B$2:$M$129,10,FALSE))</f>
        <v/>
      </c>
      <c r="J19" s="499" t="str">
        <f>IFERROR(VLOOKUP(I19,'G-1 All Habitats'!$V$3:$W$7,2,FALSE),"")</f>
        <v/>
      </c>
      <c r="K19" s="71"/>
      <c r="L19" s="499" t="str">
        <f>IFERROR(INDEX('G-8 Condition Look up'!$A$3:$H$130,MATCH(G19,'G-8 Condition Look up'!$A$3:$A$130,0),MATCH(K19,'G-8 Condition Look up'!$A$3:$H$3,0)),"")</f>
        <v/>
      </c>
      <c r="M19" s="71"/>
      <c r="N19" s="520" t="str">
        <f>IF(M19="","",IF(VLOOKUP(M19,'G-3 Multipliers'!$L$3:$N$6,2,FALSE)=0,"Spatial Data Missing",VLOOKUP(M19,'G-3 Multipliers'!$L$3:$N$6,2,FALSE)))</f>
        <v/>
      </c>
      <c r="O19" s="505" t="str">
        <f>IF(M19="","",IF(VLOOKUP(M19,'G-3 Multipliers'!$L$3:$N$6,3,FALSE)=0,"Spatial Data Missing ▲",VLOOKUP(M19,'G-3 Multipliers'!$L$3:$N$6,3,FALSE)))</f>
        <v/>
      </c>
      <c r="P19" s="506" t="str">
        <f>IFERROR(VLOOKUP(G19,'G-1 All Habitats'!$B$2:$M$129,12,FALSE),"")</f>
        <v/>
      </c>
      <c r="Q19" s="513" t="str">
        <f>IFERROR(IF(P19="","",IF(AND(P19='G-1 All Habitats'!$X$3,T19&gt;0),U19+V19,IF(AND(P19='G-1 All Habitats'!$X$3,S19&gt;0),U19+V19,IF(AND(P19='G-1 All Habitats'!$X$3,AC19&gt;0),"Any Loss Unacceptable ▲",IF(AND(P19='G-1 All Habitats'!$X$3,W19&gt;0),"Any Loss Unacceptable ▲",H19*J19*L19*O19))))),"Check Data ▲")</f>
        <v/>
      </c>
      <c r="R19" s="50"/>
      <c r="S19" s="71"/>
      <c r="T19" s="72"/>
      <c r="U19" s="511" t="str">
        <f t="shared" si="3"/>
        <v/>
      </c>
      <c r="V19" s="511" t="str">
        <f t="shared" si="4"/>
        <v/>
      </c>
      <c r="W19" s="511" t="str">
        <f>IF(E19="","",IF(H19&lt;S19+T19,"Error in Areas ▲",IF(P19&lt;&gt;'G-1 All Habitats'!$X$3,H19-S19-T19,IF(AND(P19='G-1 All Habitats'!$X$3,Y19="Yes"),"Unacceptable Loss",IF(AND(P19='G-1 All Habitats'!$X$3,Y19="No"),AC19,IF(AND(P19='G-1 All Habitats'!$X$3,Y19=""),AC19,IF(AND(P19='G-1 All Habitats'!$X$3,AC19="None",AC19),IF(AND(P19='G-1 All Habitats'!$X$3,AC19&gt;0),H19-S19-T19))))))))</f>
        <v/>
      </c>
      <c r="X19" s="515" t="str">
        <f>IFERROR(IF(H19="","",IF(H19-S19-T19=0&lt;0,"Error in Areas ▲",IF(S19+T19&gt;H19,"Error in Areas ▲",IF(AND(P19='G-1 All Habitats'!$X$3,Y19="Yes"),"Alternative Compensation ✓",IF(W19=0,0,IF(P19='G-1 All Habitats'!$X$3,"Unacceptable Loss ▲",Q19-U19-V19)))))),"Check Data ▲")</f>
        <v/>
      </c>
      <c r="Y19" s="72"/>
      <c r="Z19" s="80"/>
      <c r="AA19" s="81"/>
      <c r="AC19" s="75" t="str">
        <f>IF(P19="","",IF(P19='G-1 All Habitats'!$X$3,H19-S19-T19,"None"))</f>
        <v/>
      </c>
      <c r="AD19" s="76" t="str">
        <f>IFERROR(AC19*J19*L19*#REF!*O19,IF(P19="","","None"))</f>
        <v/>
      </c>
      <c r="AF19" s="54" t="str">
        <f t="shared" si="0"/>
        <v/>
      </c>
      <c r="AG19" s="54" t="str">
        <f t="shared" si="1"/>
        <v/>
      </c>
      <c r="AH19" s="54" t="str">
        <f>IF(I19="","",IF(#REF!&gt;0,TRUE,FALSE))</f>
        <v/>
      </c>
      <c r="AI19" s="54">
        <v>9</v>
      </c>
      <c r="AJ19" s="54"/>
      <c r="AK19" s="54" t="str">
        <f t="array" ref="AK19">IFERROR(INDEX($AI$11:$AI$259, MATCH(0, IF(TRUE=$AF$11:$AF$259, COUNTIF($AK$10:$AK18, $AI$11:$AI$259), ""), 0)),"")</f>
        <v/>
      </c>
      <c r="AL19" s="54" t="str">
        <f t="array" ref="AL19">IFERROR(INDEX($AI$11:$AI$259, MATCH(0, IF(TRUE=$AG$11:$AG$259, COUNTIF($AL$10:$AL18, $AI$11:$AI$259), ""), 0)),"")</f>
        <v/>
      </c>
      <c r="AM19" s="54" t="str">
        <f t="array" ref="AM19">IFERROR(INDEX($AI$11:$AI$259, MATCH(0, IF(TRUE=$AH$11:$AH$259, COUNTIF($AM$10:$AM18, $AI$11:$AI$259), ""), 0)),"")</f>
        <v/>
      </c>
      <c r="AN19" s="54"/>
      <c r="AQ19" s="47">
        <f t="shared" si="2"/>
        <v>0</v>
      </c>
    </row>
    <row r="20" spans="1:43" x14ac:dyDescent="0.3">
      <c r="A20" s="47" t="str">
        <f>IFERROR(INDEX('G-1 All Habitats'!$AG$3:$AG$15,MATCH(E20,'G-1 All Habitats'!$AF$3:$AF$15,0)),"")</f>
        <v/>
      </c>
      <c r="B20" s="47" t="str">
        <f>IFERROR(INDEX('G-8 Condition Look up'!$I$4:$I$130,MATCH(G20,'G-8 Condition Look up'!$A$4:$A$130,0)),"")</f>
        <v/>
      </c>
      <c r="D20" s="77">
        <v>10</v>
      </c>
      <c r="E20" s="78"/>
      <c r="F20" s="79"/>
      <c r="G20" s="69" t="str">
        <f>IFERROR(INDEX('G-1 All Habitats'!$B$3:$B$129,MATCH(F20,'G-1 All Habitats'!$A$3:$A$129,0)),"")</f>
        <v/>
      </c>
      <c r="H20" s="70"/>
      <c r="I20" s="498" t="str">
        <f>IF(G20="","",VLOOKUP(G20,'G-1 All Habitats'!$B$2:$M$129,10,FALSE))</f>
        <v/>
      </c>
      <c r="J20" s="499" t="str">
        <f>IFERROR(VLOOKUP(I20,'G-1 All Habitats'!$V$3:$W$7,2,FALSE),"")</f>
        <v/>
      </c>
      <c r="K20" s="71"/>
      <c r="L20" s="499" t="str">
        <f>IFERROR(INDEX('G-8 Condition Look up'!$A$3:$H$130,MATCH(G20,'G-8 Condition Look up'!$A$3:$A$130,0),MATCH(K20,'G-8 Condition Look up'!$A$3:$H$3,0)),"")</f>
        <v/>
      </c>
      <c r="M20" s="71"/>
      <c r="N20" s="520" t="str">
        <f>IF(M20="","",IF(VLOOKUP(M20,'G-3 Multipliers'!$L$3:$N$6,2,FALSE)=0,"Spatial Data Missing",VLOOKUP(M20,'G-3 Multipliers'!$L$3:$N$6,2,FALSE)))</f>
        <v/>
      </c>
      <c r="O20" s="505" t="str">
        <f>IF(M20="","",IF(VLOOKUP(M20,'G-3 Multipliers'!$L$3:$N$6,3,FALSE)=0,"Spatial Data Missing ▲",VLOOKUP(M20,'G-3 Multipliers'!$L$3:$N$6,3,FALSE)))</f>
        <v/>
      </c>
      <c r="P20" s="506" t="str">
        <f>IFERROR(VLOOKUP(G20,'G-1 All Habitats'!$B$2:$M$129,12,FALSE),"")</f>
        <v/>
      </c>
      <c r="Q20" s="513" t="str">
        <f>IFERROR(IF(P20="","",IF(AND(P20='G-1 All Habitats'!$X$3,T20&gt;0),U20+V20,IF(AND(P20='G-1 All Habitats'!$X$3,S20&gt;0),U20+V20,IF(AND(P20='G-1 All Habitats'!$X$3,AC20&gt;0),"Any Loss Unacceptable ▲",IF(AND(P20='G-1 All Habitats'!$X$3,W20&gt;0),"Any Loss Unacceptable ▲",H20*J20*L20*O20))))),"Check Data ▲")</f>
        <v/>
      </c>
      <c r="R20" s="50"/>
      <c r="S20" s="71"/>
      <c r="T20" s="72"/>
      <c r="U20" s="511" t="str">
        <f t="shared" si="3"/>
        <v/>
      </c>
      <c r="V20" s="511" t="str">
        <f t="shared" si="4"/>
        <v/>
      </c>
      <c r="W20" s="511" t="str">
        <f>IF(E20="","",IF(H20&lt;S20+T20,"Error in Areas ▲",IF(P20&lt;&gt;'G-1 All Habitats'!$X$3,H20-S20-T20,IF(AND(P20='G-1 All Habitats'!$X$3,Y20="Yes"),"Unacceptable Loss",IF(AND(P20='G-1 All Habitats'!$X$3,Y20="No"),AC20,IF(AND(P20='G-1 All Habitats'!$X$3,Y20=""),AC20,IF(AND(P20='G-1 All Habitats'!$X$3,AC20="None",AC20),IF(AND(P20='G-1 All Habitats'!$X$3,AC20&gt;0),H20-S20-T20))))))))</f>
        <v/>
      </c>
      <c r="X20" s="515" t="str">
        <f>IFERROR(IF(H20="","",IF(H20-S20-T20=0&lt;0,"Error in Areas ▲",IF(S20+T20&gt;H20,"Error in Areas ▲",IF(AND(P20='G-1 All Habitats'!$X$3,Y20="Yes"),"Alternative Compensation ✓",IF(W20=0,0,IF(P20='G-1 All Habitats'!$X$3,"Unacceptable Loss ▲",Q20-U20-V20)))))),"Check Data ▲")</f>
        <v/>
      </c>
      <c r="Y20" s="72"/>
      <c r="Z20" s="80"/>
      <c r="AA20" s="81"/>
      <c r="AC20" s="75" t="str">
        <f>IF(P20="","",IF(P20='G-1 All Habitats'!$X$3,H20-S20-T20,"None"))</f>
        <v/>
      </c>
      <c r="AD20" s="76" t="str">
        <f>IFERROR(AC20*J20*L20*#REF!*O20,IF(P20="","","None"))</f>
        <v/>
      </c>
      <c r="AF20" s="54" t="str">
        <f t="shared" si="0"/>
        <v/>
      </c>
      <c r="AG20" s="54" t="str">
        <f t="shared" si="1"/>
        <v/>
      </c>
      <c r="AH20" s="54" t="str">
        <f>IF(I20="","",IF(#REF!&gt;0,TRUE,FALSE))</f>
        <v/>
      </c>
      <c r="AI20" s="54">
        <v>10</v>
      </c>
      <c r="AJ20" s="54"/>
      <c r="AK20" s="54" t="str">
        <f t="array" ref="AK20">IFERROR(INDEX($AI$11:$AI$259, MATCH(0, IF(TRUE=$AF$11:$AF$259, COUNTIF($AK$10:$AK19, $AI$11:$AI$259), ""), 0)),"")</f>
        <v/>
      </c>
      <c r="AL20" s="54" t="str">
        <f t="array" ref="AL20">IFERROR(INDEX($AI$11:$AI$259, MATCH(0, IF(TRUE=$AG$11:$AG$259, COUNTIF($AL$10:$AL19, $AI$11:$AI$259), ""), 0)),"")</f>
        <v/>
      </c>
      <c r="AM20" s="54" t="str">
        <f t="array" ref="AM20">IFERROR(INDEX($AI$11:$AI$259, MATCH(0, IF(TRUE=$AH$11:$AH$259, COUNTIF($AM$10:$AM19, $AI$11:$AI$259), ""), 0)),"")</f>
        <v/>
      </c>
      <c r="AN20" s="54"/>
      <c r="AQ20" s="47">
        <f t="shared" si="2"/>
        <v>0</v>
      </c>
    </row>
    <row r="21" spans="1:43" x14ac:dyDescent="0.3">
      <c r="A21" s="47" t="str">
        <f>IFERROR(INDEX('G-1 All Habitats'!$AG$3:$AG$15,MATCH(E21,'G-1 All Habitats'!$AF$3:$AF$15,0)),"")</f>
        <v/>
      </c>
      <c r="B21" s="47" t="str">
        <f>IFERROR(INDEX('G-8 Condition Look up'!$I$4:$I$130,MATCH(G21,'G-8 Condition Look up'!$A$4:$A$130,0)),"")</f>
        <v/>
      </c>
      <c r="D21" s="77">
        <v>11</v>
      </c>
      <c r="E21" s="78"/>
      <c r="F21" s="79"/>
      <c r="G21" s="69" t="str">
        <f>IFERROR(INDEX('G-1 All Habitats'!$B$3:$B$129,MATCH(F21,'G-1 All Habitats'!$A$3:$A$129,0)),"")</f>
        <v/>
      </c>
      <c r="H21" s="70"/>
      <c r="I21" s="498" t="str">
        <f>IF(G21="","",VLOOKUP(G21,'G-1 All Habitats'!$B$2:$M$129,10,FALSE))</f>
        <v/>
      </c>
      <c r="J21" s="499" t="str">
        <f>IFERROR(VLOOKUP(I21,'G-1 All Habitats'!$V$3:$W$7,2,FALSE),"")</f>
        <v/>
      </c>
      <c r="K21" s="71"/>
      <c r="L21" s="499" t="str">
        <f>IFERROR(INDEX('G-8 Condition Look up'!$A$3:$H$130,MATCH(G21,'G-8 Condition Look up'!$A$3:$A$130,0),MATCH(K21,'G-8 Condition Look up'!$A$3:$H$3,0)),"")</f>
        <v/>
      </c>
      <c r="M21" s="71"/>
      <c r="N21" s="520" t="str">
        <f>IF(M21="","",IF(VLOOKUP(M21,'G-3 Multipliers'!$L$3:$N$6,2,FALSE)=0,"Spatial Data Missing",VLOOKUP(M21,'G-3 Multipliers'!$L$3:$N$6,2,FALSE)))</f>
        <v/>
      </c>
      <c r="O21" s="505" t="str">
        <f>IF(M21="","",IF(VLOOKUP(M21,'G-3 Multipliers'!$L$3:$N$6,3,FALSE)=0,"Spatial Data Missing ▲",VLOOKUP(M21,'G-3 Multipliers'!$L$3:$N$6,3,FALSE)))</f>
        <v/>
      </c>
      <c r="P21" s="506" t="str">
        <f>IFERROR(VLOOKUP(G21,'G-1 All Habitats'!$B$2:$M$129,12,FALSE),"")</f>
        <v/>
      </c>
      <c r="Q21" s="513" t="str">
        <f>IFERROR(IF(P21="","",IF(AND(P21='G-1 All Habitats'!$X$3,T21&gt;0),U21+V21,IF(AND(P21='G-1 All Habitats'!$X$3,S21&gt;0),U21+V21,IF(AND(P21='G-1 All Habitats'!$X$3,AC21&gt;0),"Any Loss Unacceptable ▲",IF(AND(P21='G-1 All Habitats'!$X$3,W21&gt;0),"Any Loss Unacceptable ▲",H21*J21*L21*O21))))),"Check Data ▲")</f>
        <v/>
      </c>
      <c r="R21" s="50"/>
      <c r="S21" s="71"/>
      <c r="T21" s="72"/>
      <c r="U21" s="511" t="str">
        <f t="shared" si="3"/>
        <v/>
      </c>
      <c r="V21" s="511" t="str">
        <f t="shared" si="4"/>
        <v/>
      </c>
      <c r="W21" s="511" t="str">
        <f>IF(E21="","",IF(H21&lt;S21+T21,"Error in Areas ▲",IF(P21&lt;&gt;'G-1 All Habitats'!$X$3,H21-S21-T21,IF(AND(P21='G-1 All Habitats'!$X$3,Y21="Yes"),"Unacceptable Loss",IF(AND(P21='G-1 All Habitats'!$X$3,Y21="No"),AC21,IF(AND(P21='G-1 All Habitats'!$X$3,Y21=""),AC21,IF(AND(P21='G-1 All Habitats'!$X$3,AC21="None",AC21),IF(AND(P21='G-1 All Habitats'!$X$3,AC21&gt;0),H21-S21-T21))))))))</f>
        <v/>
      </c>
      <c r="X21" s="515" t="str">
        <f>IFERROR(IF(H21="","",IF(H21-S21-T21=0&lt;0,"Error in Areas ▲",IF(S21+T21&gt;H21,"Error in Areas ▲",IF(AND(P21='G-1 All Habitats'!$X$3,Y21="Yes"),"Alternative Compensation ✓",IF(W21=0,0,IF(P21='G-1 All Habitats'!$X$3,"Unacceptable Loss ▲",Q21-U21-V21)))))),"Check Data ▲")</f>
        <v/>
      </c>
      <c r="Y21" s="72"/>
      <c r="Z21" s="80"/>
      <c r="AA21" s="81"/>
      <c r="AC21" s="75" t="str">
        <f>IF(P21="","",IF(P21='G-1 All Habitats'!$X$3,H21-S21-T21,"None"))</f>
        <v/>
      </c>
      <c r="AD21" s="76" t="str">
        <f>IFERROR(AC21*J21*L21*#REF!*O21,IF(P21="","","None"))</f>
        <v/>
      </c>
      <c r="AF21" s="54" t="str">
        <f t="shared" si="0"/>
        <v/>
      </c>
      <c r="AG21" s="54" t="str">
        <f t="shared" si="1"/>
        <v/>
      </c>
      <c r="AH21" s="54" t="str">
        <f>IF(I21="","",IF(#REF!&gt;0,TRUE,FALSE))</f>
        <v/>
      </c>
      <c r="AI21" s="54">
        <v>11</v>
      </c>
      <c r="AJ21" s="54"/>
      <c r="AK21" s="54" t="str">
        <f t="array" ref="AK21">IFERROR(INDEX($AI$11:$AI$259, MATCH(0, IF(TRUE=$AF$11:$AF$259, COUNTIF($AK$10:$AK20, $AI$11:$AI$259), ""), 0)),"")</f>
        <v/>
      </c>
      <c r="AL21" s="54" t="str">
        <f t="array" ref="AL21">IFERROR(INDEX($AI$11:$AI$259, MATCH(0, IF(TRUE=$AG$11:$AG$259, COUNTIF($AL$10:$AL20, $AI$11:$AI$259), ""), 0)),"")</f>
        <v/>
      </c>
      <c r="AM21" s="54" t="str">
        <f t="array" ref="AM21">IFERROR(INDEX($AI$11:$AI$259, MATCH(0, IF(TRUE=$AH$11:$AH$259, COUNTIF($AM$10:$AM20, $AI$11:$AI$259), ""), 0)),"")</f>
        <v/>
      </c>
      <c r="AN21" s="54"/>
      <c r="AQ21" s="47">
        <f t="shared" si="2"/>
        <v>0</v>
      </c>
    </row>
    <row r="22" spans="1:43" x14ac:dyDescent="0.3">
      <c r="A22" s="47" t="str">
        <f>IFERROR(INDEX('G-1 All Habitats'!$AG$3:$AG$15,MATCH(E22,'G-1 All Habitats'!$AF$3:$AF$15,0)),"")</f>
        <v/>
      </c>
      <c r="B22" s="47" t="str">
        <f>IFERROR(INDEX('G-8 Condition Look up'!$I$4:$I$130,MATCH(G22,'G-8 Condition Look up'!$A$4:$A$130,0)),"")</f>
        <v/>
      </c>
      <c r="D22" s="77">
        <v>12</v>
      </c>
      <c r="E22" s="78"/>
      <c r="F22" s="79"/>
      <c r="G22" s="69" t="str">
        <f>IFERROR(INDEX('G-1 All Habitats'!$B$3:$B$129,MATCH(F22,'G-1 All Habitats'!$A$3:$A$129,0)),"")</f>
        <v/>
      </c>
      <c r="H22" s="70"/>
      <c r="I22" s="498" t="str">
        <f>IF(G22="","",VLOOKUP(G22,'G-1 All Habitats'!$B$2:$M$129,10,FALSE))</f>
        <v/>
      </c>
      <c r="J22" s="499" t="str">
        <f>IFERROR(VLOOKUP(I22,'G-1 All Habitats'!$V$3:$W$7,2,FALSE),"")</f>
        <v/>
      </c>
      <c r="K22" s="71"/>
      <c r="L22" s="499" t="str">
        <f>IFERROR(INDEX('G-8 Condition Look up'!$A$3:$H$130,MATCH(G22,'G-8 Condition Look up'!$A$3:$A$130,0),MATCH(K22,'G-8 Condition Look up'!$A$3:$H$3,0)),"")</f>
        <v/>
      </c>
      <c r="M22" s="71"/>
      <c r="N22" s="520" t="str">
        <f>IF(M22="","",IF(VLOOKUP(M22,'G-3 Multipliers'!$L$3:$N$6,2,FALSE)=0,"Spatial Data Missing",VLOOKUP(M22,'G-3 Multipliers'!$L$3:$N$6,2,FALSE)))</f>
        <v/>
      </c>
      <c r="O22" s="505" t="str">
        <f>IF(M22="","",IF(VLOOKUP(M22,'G-3 Multipliers'!$L$3:$N$6,3,FALSE)=0,"Spatial Data Missing ▲",VLOOKUP(M22,'G-3 Multipliers'!$L$3:$N$6,3,FALSE)))</f>
        <v/>
      </c>
      <c r="P22" s="506" t="str">
        <f>IFERROR(VLOOKUP(G22,'G-1 All Habitats'!$B$2:$M$129,12,FALSE),"")</f>
        <v/>
      </c>
      <c r="Q22" s="513" t="str">
        <f>IFERROR(IF(P22="","",IF(AND(P22='G-1 All Habitats'!$X$3,T22&gt;0),U22+V22,IF(AND(P22='G-1 All Habitats'!$X$3,S22&gt;0),U22+V22,IF(AND(P22='G-1 All Habitats'!$X$3,AC22&gt;0),"Any Loss Unacceptable ▲",IF(AND(P22='G-1 All Habitats'!$X$3,W22&gt;0),"Any Loss Unacceptable ▲",H22*J22*L22*O22))))),"Check Data ▲")</f>
        <v/>
      </c>
      <c r="R22" s="50"/>
      <c r="S22" s="71"/>
      <c r="T22" s="72"/>
      <c r="U22" s="511" t="str">
        <f t="shared" si="3"/>
        <v/>
      </c>
      <c r="V22" s="511" t="str">
        <f t="shared" si="4"/>
        <v/>
      </c>
      <c r="W22" s="511" t="str">
        <f>IF(E22="","",IF(H22&lt;S22+T22,"Error in Areas ▲",IF(P22&lt;&gt;'G-1 All Habitats'!$X$3,H22-S22-T22,IF(AND(P22='G-1 All Habitats'!$X$3,Y22="Yes"),"Unacceptable Loss",IF(AND(P22='G-1 All Habitats'!$X$3,Y22="No"),AC22,IF(AND(P22='G-1 All Habitats'!$X$3,Y22=""),AC22,IF(AND(P22='G-1 All Habitats'!$X$3,AC22="None",AC22),IF(AND(P22='G-1 All Habitats'!$X$3,AC22&gt;0),H22-S22-T22))))))))</f>
        <v/>
      </c>
      <c r="X22" s="515" t="str">
        <f>IFERROR(IF(H22="","",IF(H22-S22-T22=0&lt;0,"Error in Areas ▲",IF(S22+T22&gt;H22,"Error in Areas ▲",IF(AND(P22='G-1 All Habitats'!$X$3,Y22="Yes"),"Alternative Compensation ✓",IF(W22=0,0,IF(P22='G-1 All Habitats'!$X$3,"Unacceptable Loss ▲",Q22-U22-V22)))))),"Check Data ▲")</f>
        <v/>
      </c>
      <c r="Y22" s="72"/>
      <c r="Z22" s="80"/>
      <c r="AA22" s="81"/>
      <c r="AC22" s="75" t="str">
        <f>IF(P22="","",IF(P22='G-1 All Habitats'!$X$3,H22-S22-T22,"None"))</f>
        <v/>
      </c>
      <c r="AD22" s="76" t="str">
        <f>IFERROR(AC22*J22*L22*#REF!*O22,IF(P22="","","None"))</f>
        <v/>
      </c>
      <c r="AF22" s="54" t="str">
        <f t="shared" si="0"/>
        <v/>
      </c>
      <c r="AG22" s="54" t="str">
        <f t="shared" si="1"/>
        <v/>
      </c>
      <c r="AH22" s="54" t="str">
        <f>IF(I22="","",IF(#REF!&gt;0,TRUE,FALSE))</f>
        <v/>
      </c>
      <c r="AI22" s="54">
        <v>12</v>
      </c>
      <c r="AJ22" s="54"/>
      <c r="AK22" s="54" t="str">
        <f t="array" ref="AK22">IFERROR(INDEX($AI$11:$AI$259, MATCH(0, IF(TRUE=$AF$11:$AF$259, COUNTIF($AK$10:$AK21, $AI$11:$AI$259), ""), 0)),"")</f>
        <v/>
      </c>
      <c r="AL22" s="54" t="str">
        <f t="array" ref="AL22">IFERROR(INDEX($AI$11:$AI$259, MATCH(0, IF(TRUE=$AG$11:$AG$259, COUNTIF($AL$10:$AL21, $AI$11:$AI$259), ""), 0)),"")</f>
        <v/>
      </c>
      <c r="AM22" s="54" t="str">
        <f t="array" ref="AM22">IFERROR(INDEX($AI$11:$AI$259, MATCH(0, IF(TRUE=$AH$11:$AH$259, COUNTIF($AM$10:$AM21, $AI$11:$AI$259), ""), 0)),"")</f>
        <v/>
      </c>
      <c r="AN22" s="54"/>
      <c r="AQ22" s="47">
        <f t="shared" si="2"/>
        <v>0</v>
      </c>
    </row>
    <row r="23" spans="1:43" x14ac:dyDescent="0.3">
      <c r="A23" s="47" t="str">
        <f>IFERROR(INDEX('G-1 All Habitats'!$AG$3:$AG$15,MATCH(E23,'G-1 All Habitats'!$AF$3:$AF$15,0)),"")</f>
        <v/>
      </c>
      <c r="B23" s="47" t="str">
        <f>IFERROR(INDEX('G-8 Condition Look up'!$I$4:$I$130,MATCH(G23,'G-8 Condition Look up'!$A$4:$A$130,0)),"")</f>
        <v/>
      </c>
      <c r="D23" s="77">
        <v>13</v>
      </c>
      <c r="E23" s="78"/>
      <c r="F23" s="79"/>
      <c r="G23" s="69" t="str">
        <f>IFERROR(INDEX('G-1 All Habitats'!$B$3:$B$129,MATCH(F23,'G-1 All Habitats'!$A$3:$A$129,0)),"")</f>
        <v/>
      </c>
      <c r="H23" s="70"/>
      <c r="I23" s="498" t="str">
        <f>IF(G23="","",VLOOKUP(G23,'G-1 All Habitats'!$B$2:$M$129,10,FALSE))</f>
        <v/>
      </c>
      <c r="J23" s="499" t="str">
        <f>IFERROR(VLOOKUP(I23,'G-1 All Habitats'!$V$3:$W$7,2,FALSE),"")</f>
        <v/>
      </c>
      <c r="K23" s="71"/>
      <c r="L23" s="499" t="str">
        <f>IFERROR(INDEX('G-8 Condition Look up'!$A$3:$H$130,MATCH(G23,'G-8 Condition Look up'!$A$3:$A$130,0),MATCH(K23,'G-8 Condition Look up'!$A$3:$H$3,0)),"")</f>
        <v/>
      </c>
      <c r="M23" s="71"/>
      <c r="N23" s="520" t="str">
        <f>IF(M23="","",IF(VLOOKUP(M23,'G-3 Multipliers'!$L$3:$N$6,2,FALSE)=0,"Spatial Data Missing",VLOOKUP(M23,'G-3 Multipliers'!$L$3:$N$6,2,FALSE)))</f>
        <v/>
      </c>
      <c r="O23" s="505" t="str">
        <f>IF(M23="","",IF(VLOOKUP(M23,'G-3 Multipliers'!$L$3:$N$6,3,FALSE)=0,"Spatial Data Missing ▲",VLOOKUP(M23,'G-3 Multipliers'!$L$3:$N$6,3,FALSE)))</f>
        <v/>
      </c>
      <c r="P23" s="506" t="str">
        <f>IFERROR(VLOOKUP(G23,'G-1 All Habitats'!$B$2:$M$129,12,FALSE),"")</f>
        <v/>
      </c>
      <c r="Q23" s="513" t="str">
        <f>IFERROR(IF(P23="","",IF(AND(P23='G-1 All Habitats'!$X$3,T23&gt;0),U23+V23,IF(AND(P23='G-1 All Habitats'!$X$3,S23&gt;0),U23+V23,IF(AND(P23='G-1 All Habitats'!$X$3,AC23&gt;0),"Any Loss Unacceptable ▲",IF(AND(P23='G-1 All Habitats'!$X$3,W23&gt;0),"Any Loss Unacceptable ▲",H23*J23*L23*O23))))),"Check Data ▲")</f>
        <v/>
      </c>
      <c r="R23" s="50"/>
      <c r="S23" s="71"/>
      <c r="T23" s="72"/>
      <c r="U23" s="511" t="str">
        <f t="shared" si="3"/>
        <v/>
      </c>
      <c r="V23" s="511" t="str">
        <f t="shared" si="4"/>
        <v/>
      </c>
      <c r="W23" s="511" t="str">
        <f>IF(E23="","",IF(H23&lt;S23+T23,"Error in Areas ▲",IF(P23&lt;&gt;'G-1 All Habitats'!$X$3,H23-S23-T23,IF(AND(P23='G-1 All Habitats'!$X$3,Y23="Yes"),"Unacceptable Loss",IF(AND(P23='G-1 All Habitats'!$X$3,Y23="No"),AC23,IF(AND(P23='G-1 All Habitats'!$X$3,Y23=""),AC23,IF(AND(P23='G-1 All Habitats'!$X$3,AC23="None",AC23),IF(AND(P23='G-1 All Habitats'!$X$3,AC23&gt;0),H23-S23-T23))))))))</f>
        <v/>
      </c>
      <c r="X23" s="515" t="str">
        <f>IFERROR(IF(H23="","",IF(H23-S23-T23=0&lt;0,"Error in Areas ▲",IF(S23+T23&gt;H23,"Error in Areas ▲",IF(AND(P23='G-1 All Habitats'!$X$3,Y23="Yes"),"Alternative Compensation ✓",IF(W23=0,0,IF(P23='G-1 All Habitats'!$X$3,"Unacceptable Loss ▲",Q23-U23-V23)))))),"Check Data ▲")</f>
        <v/>
      </c>
      <c r="Y23" s="72"/>
      <c r="Z23" s="80"/>
      <c r="AA23" s="81"/>
      <c r="AC23" s="75" t="str">
        <f>IF(P23="","",IF(P23='G-1 All Habitats'!$X$3,H23-S23-T23,"None"))</f>
        <v/>
      </c>
      <c r="AD23" s="76" t="str">
        <f>IFERROR(AC23*J23*L23*#REF!*O23,IF(P23="","","None"))</f>
        <v/>
      </c>
      <c r="AF23" s="54" t="str">
        <f t="shared" si="0"/>
        <v/>
      </c>
      <c r="AG23" s="54" t="str">
        <f t="shared" si="1"/>
        <v/>
      </c>
      <c r="AH23" s="54" t="str">
        <f>IF(I23="","",IF(#REF!&gt;0,TRUE,FALSE))</f>
        <v/>
      </c>
      <c r="AI23" s="54">
        <v>13</v>
      </c>
      <c r="AJ23" s="54"/>
      <c r="AK23" s="54" t="str">
        <f t="array" ref="AK23">IFERROR(INDEX($AI$11:$AI$259, MATCH(0, IF(TRUE=$AF$11:$AF$259, COUNTIF($AK$10:$AK22, $AI$11:$AI$259), ""), 0)),"")</f>
        <v/>
      </c>
      <c r="AL23" s="54" t="str">
        <f t="array" ref="AL23">IFERROR(INDEX($AI$11:$AI$259, MATCH(0, IF(TRUE=$AG$11:$AG$259, COUNTIF($AL$10:$AL22, $AI$11:$AI$259), ""), 0)),"")</f>
        <v/>
      </c>
      <c r="AM23" s="54" t="str">
        <f t="array" ref="AM23">IFERROR(INDEX($AI$11:$AI$259, MATCH(0, IF(TRUE=$AH$11:$AH$259, COUNTIF($AM$10:$AM22, $AI$11:$AI$259), ""), 0)),"")</f>
        <v/>
      </c>
      <c r="AN23" s="54"/>
      <c r="AQ23" s="47">
        <f t="shared" si="2"/>
        <v>0</v>
      </c>
    </row>
    <row r="24" spans="1:43" x14ac:dyDescent="0.3">
      <c r="A24" s="47" t="str">
        <f>IFERROR(INDEX('G-1 All Habitats'!$AG$3:$AG$15,MATCH(E24,'G-1 All Habitats'!$AF$3:$AF$15,0)),"")</f>
        <v/>
      </c>
      <c r="B24" s="47" t="str">
        <f>IFERROR(INDEX('G-8 Condition Look up'!$I$4:$I$130,MATCH(G24,'G-8 Condition Look up'!$A$4:$A$130,0)),"")</f>
        <v/>
      </c>
      <c r="D24" s="77">
        <v>14</v>
      </c>
      <c r="E24" s="78"/>
      <c r="F24" s="79"/>
      <c r="G24" s="69" t="str">
        <f>IFERROR(INDEX('G-1 All Habitats'!$B$3:$B$129,MATCH(F24,'G-1 All Habitats'!$A$3:$A$129,0)),"")</f>
        <v/>
      </c>
      <c r="H24" s="70"/>
      <c r="I24" s="498" t="str">
        <f>IF(G24="","",VLOOKUP(G24,'G-1 All Habitats'!$B$2:$M$129,10,FALSE))</f>
        <v/>
      </c>
      <c r="J24" s="499" t="str">
        <f>IFERROR(VLOOKUP(I24,'G-1 All Habitats'!$V$3:$W$7,2,FALSE),"")</f>
        <v/>
      </c>
      <c r="K24" s="71"/>
      <c r="L24" s="499" t="str">
        <f>IFERROR(INDEX('G-8 Condition Look up'!$A$3:$H$130,MATCH(G24,'G-8 Condition Look up'!$A$3:$A$130,0),MATCH(K24,'G-8 Condition Look up'!$A$3:$H$3,0)),"")</f>
        <v/>
      </c>
      <c r="M24" s="71"/>
      <c r="N24" s="520" t="str">
        <f>IF(M24="","",IF(VLOOKUP(M24,'G-3 Multipliers'!$L$3:$N$6,2,FALSE)=0,"Spatial Data Missing",VLOOKUP(M24,'G-3 Multipliers'!$L$3:$N$6,2,FALSE)))</f>
        <v/>
      </c>
      <c r="O24" s="505" t="str">
        <f>IF(M24="","",IF(VLOOKUP(M24,'G-3 Multipliers'!$L$3:$N$6,3,FALSE)=0,"Spatial Data Missing ▲",VLOOKUP(M24,'G-3 Multipliers'!$L$3:$N$6,3,FALSE)))</f>
        <v/>
      </c>
      <c r="P24" s="506" t="str">
        <f>IFERROR(VLOOKUP(G24,'G-1 All Habitats'!$B$2:$M$129,12,FALSE),"")</f>
        <v/>
      </c>
      <c r="Q24" s="513" t="str">
        <f>IFERROR(IF(P24="","",IF(AND(P24='G-1 All Habitats'!$X$3,T24&gt;0),U24+V24,IF(AND(P24='G-1 All Habitats'!$X$3,S24&gt;0),U24+V24,IF(AND(P24='G-1 All Habitats'!$X$3,AC24&gt;0),"Any Loss Unacceptable ▲",IF(AND(P24='G-1 All Habitats'!$X$3,W24&gt;0),"Any Loss Unacceptable ▲",H24*J24*L24*O24))))),"Check Data ▲")</f>
        <v/>
      </c>
      <c r="R24" s="50"/>
      <c r="S24" s="71"/>
      <c r="T24" s="72"/>
      <c r="U24" s="511" t="str">
        <f t="shared" si="3"/>
        <v/>
      </c>
      <c r="V24" s="511" t="str">
        <f t="shared" si="4"/>
        <v/>
      </c>
      <c r="W24" s="511" t="str">
        <f>IF(E24="","",IF(H24&lt;S24+T24,"Error in Areas ▲",IF(P24&lt;&gt;'G-1 All Habitats'!$X$3,H24-S24-T24,IF(AND(P24='G-1 All Habitats'!$X$3,Y24="Yes"),"Unacceptable Loss",IF(AND(P24='G-1 All Habitats'!$X$3,Y24="No"),AC24,IF(AND(P24='G-1 All Habitats'!$X$3,Y24=""),AC24,IF(AND(P24='G-1 All Habitats'!$X$3,AC24="None",AC24),IF(AND(P24='G-1 All Habitats'!$X$3,AC24&gt;0),H24-S24-T24))))))))</f>
        <v/>
      </c>
      <c r="X24" s="515" t="str">
        <f>IFERROR(IF(H24="","",IF(H24-S24-T24=0&lt;0,"Error in Areas ▲",IF(S24+T24&gt;H24,"Error in Areas ▲",IF(AND(P24='G-1 All Habitats'!$X$3,Y24="Yes"),"Alternative Compensation ✓",IF(W24=0,0,IF(P24='G-1 All Habitats'!$X$3,"Unacceptable Loss ▲",Q24-U24-V24)))))),"Check Data ▲")</f>
        <v/>
      </c>
      <c r="Y24" s="72"/>
      <c r="Z24" s="80"/>
      <c r="AA24" s="81"/>
      <c r="AC24" s="75" t="str">
        <f>IF(P24="","",IF(P24='G-1 All Habitats'!$X$3,H24-S24-T24,"None"))</f>
        <v/>
      </c>
      <c r="AD24" s="76" t="str">
        <f>IFERROR(AC24*J24*L24*#REF!*O24,IF(P24="","","None"))</f>
        <v/>
      </c>
      <c r="AF24" s="54" t="str">
        <f t="shared" si="0"/>
        <v/>
      </c>
      <c r="AG24" s="54" t="str">
        <f t="shared" si="1"/>
        <v/>
      </c>
      <c r="AH24" s="54" t="str">
        <f>IF(I24="","",IF(#REF!&gt;0,TRUE,FALSE))</f>
        <v/>
      </c>
      <c r="AI24" s="54">
        <v>14</v>
      </c>
      <c r="AJ24" s="54"/>
      <c r="AK24" s="54" t="str">
        <f t="array" ref="AK24">IFERROR(INDEX($AI$11:$AI$259, MATCH(0, IF(TRUE=$AF$11:$AF$259, COUNTIF($AK$10:$AK23, $AI$11:$AI$259), ""), 0)),"")</f>
        <v/>
      </c>
      <c r="AL24" s="54" t="str">
        <f t="array" ref="AL24">IFERROR(INDEX($AI$11:$AI$259, MATCH(0, IF(TRUE=$AG$11:$AG$259, COUNTIF($AL$10:$AL23, $AI$11:$AI$259), ""), 0)),"")</f>
        <v/>
      </c>
      <c r="AM24" s="54" t="str">
        <f t="array" ref="AM24">IFERROR(INDEX($AI$11:$AI$259, MATCH(0, IF(TRUE=$AH$11:$AH$259, COUNTIF($AM$10:$AM23, $AI$11:$AI$259), ""), 0)),"")</f>
        <v/>
      </c>
      <c r="AN24" s="54"/>
      <c r="AQ24" s="47">
        <f t="shared" si="2"/>
        <v>0</v>
      </c>
    </row>
    <row r="25" spans="1:43" x14ac:dyDescent="0.3">
      <c r="A25" s="47" t="str">
        <f>IFERROR(INDEX('G-1 All Habitats'!$AG$3:$AG$15,MATCH(E25,'G-1 All Habitats'!$AF$3:$AF$15,0)),"")</f>
        <v/>
      </c>
      <c r="B25" s="47" t="str">
        <f>IFERROR(INDEX('G-8 Condition Look up'!$I$4:$I$130,MATCH(G25,'G-8 Condition Look up'!$A$4:$A$130,0)),"")</f>
        <v/>
      </c>
      <c r="D25" s="77">
        <v>15</v>
      </c>
      <c r="E25" s="78"/>
      <c r="F25" s="79"/>
      <c r="G25" s="69" t="str">
        <f>IFERROR(INDEX('G-1 All Habitats'!$B$3:$B$129,MATCH(F25,'G-1 All Habitats'!$A$3:$A$129,0)),"")</f>
        <v/>
      </c>
      <c r="H25" s="70"/>
      <c r="I25" s="498" t="str">
        <f>IF(G25="","",VLOOKUP(G25,'G-1 All Habitats'!$B$2:$M$129,10,FALSE))</f>
        <v/>
      </c>
      <c r="J25" s="499" t="str">
        <f>IFERROR(VLOOKUP(I25,'G-1 All Habitats'!$V$3:$W$7,2,FALSE),"")</f>
        <v/>
      </c>
      <c r="K25" s="71"/>
      <c r="L25" s="499" t="str">
        <f>IFERROR(INDEX('G-8 Condition Look up'!$A$3:$H$130,MATCH(G25,'G-8 Condition Look up'!$A$3:$A$130,0),MATCH(K25,'G-8 Condition Look up'!$A$3:$H$3,0)),"")</f>
        <v/>
      </c>
      <c r="M25" s="71"/>
      <c r="N25" s="520" t="str">
        <f>IF(M25="","",IF(VLOOKUP(M25,'G-3 Multipliers'!$L$3:$N$6,2,FALSE)=0,"Spatial Data Missing",VLOOKUP(M25,'G-3 Multipliers'!$L$3:$N$6,2,FALSE)))</f>
        <v/>
      </c>
      <c r="O25" s="505" t="str">
        <f>IF(M25="","",IF(VLOOKUP(M25,'G-3 Multipliers'!$L$3:$N$6,3,FALSE)=0,"Spatial Data Missing ▲",VLOOKUP(M25,'G-3 Multipliers'!$L$3:$N$6,3,FALSE)))</f>
        <v/>
      </c>
      <c r="P25" s="506" t="str">
        <f>IFERROR(VLOOKUP(G25,'G-1 All Habitats'!$B$2:$M$129,12,FALSE),"")</f>
        <v/>
      </c>
      <c r="Q25" s="513" t="str">
        <f>IFERROR(IF(P25="","",IF(AND(P25='G-1 All Habitats'!$X$3,T25&gt;0),U25+V25,IF(AND(P25='G-1 All Habitats'!$X$3,S25&gt;0),U25+V25,IF(AND(P25='G-1 All Habitats'!$X$3,AC25&gt;0),"Any Loss Unacceptable ▲",IF(AND(P25='G-1 All Habitats'!$X$3,W25&gt;0),"Any Loss Unacceptable ▲",H25*J25*L25*O25))))),"Check Data ▲")</f>
        <v/>
      </c>
      <c r="R25" s="50"/>
      <c r="S25" s="71"/>
      <c r="T25" s="72"/>
      <c r="U25" s="511" t="str">
        <f t="shared" si="3"/>
        <v/>
      </c>
      <c r="V25" s="511" t="str">
        <f t="shared" si="4"/>
        <v/>
      </c>
      <c r="W25" s="511" t="str">
        <f>IF(E25="","",IF(H25&lt;S25+T25,"Error in Areas ▲",IF(P25&lt;&gt;'G-1 All Habitats'!$X$3,H25-S25-T25,IF(AND(P25='G-1 All Habitats'!$X$3,Y25="Yes"),"Unacceptable Loss",IF(AND(P25='G-1 All Habitats'!$X$3,Y25="No"),AC25,IF(AND(P25='G-1 All Habitats'!$X$3,Y25=""),AC25,IF(AND(P25='G-1 All Habitats'!$X$3,AC25="None",AC25),IF(AND(P25='G-1 All Habitats'!$X$3,AC25&gt;0),H25-S25-T25))))))))</f>
        <v/>
      </c>
      <c r="X25" s="515" t="str">
        <f>IFERROR(IF(H25="","",IF(H25-S25-T25=0&lt;0,"Error in Areas ▲",IF(S25+T25&gt;H25,"Error in Areas ▲",IF(AND(P25='G-1 All Habitats'!$X$3,Y25="Yes"),"Alternative Compensation ✓",IF(W25=0,0,IF(P25='G-1 All Habitats'!$X$3,"Unacceptable Loss ▲",Q25-U25-V25)))))),"Check Data ▲")</f>
        <v/>
      </c>
      <c r="Y25" s="72"/>
      <c r="Z25" s="80"/>
      <c r="AA25" s="81"/>
      <c r="AC25" s="75" t="str">
        <f>IF(P25="","",IF(P25='G-1 All Habitats'!$X$3,H25-S25-T25,"None"))</f>
        <v/>
      </c>
      <c r="AD25" s="76" t="str">
        <f>IFERROR(AC25*J25*L25*#REF!*O25,IF(P25="","","None"))</f>
        <v/>
      </c>
      <c r="AF25" s="54" t="str">
        <f t="shared" si="0"/>
        <v/>
      </c>
      <c r="AG25" s="54" t="str">
        <f t="shared" si="1"/>
        <v/>
      </c>
      <c r="AH25" s="54" t="str">
        <f>IF(I25="","",IF(#REF!&gt;0,TRUE,FALSE))</f>
        <v/>
      </c>
      <c r="AI25" s="54">
        <v>15</v>
      </c>
      <c r="AJ25" s="54"/>
      <c r="AK25" s="54" t="str">
        <f t="array" ref="AK25">IFERROR(INDEX($AI$11:$AI$259, MATCH(0, IF(TRUE=$AF$11:$AF$259, COUNTIF($AK$10:$AK24, $AI$11:$AI$259), ""), 0)),"")</f>
        <v/>
      </c>
      <c r="AL25" s="54" t="str">
        <f t="array" ref="AL25">IFERROR(INDEX($AI$11:$AI$259, MATCH(0, IF(TRUE=$AG$11:$AG$259, COUNTIF($AL$10:$AL24, $AI$11:$AI$259), ""), 0)),"")</f>
        <v/>
      </c>
      <c r="AM25" s="54" t="str">
        <f t="array" ref="AM25">IFERROR(INDEX($AI$11:$AI$259, MATCH(0, IF(TRUE=$AH$11:$AH$259, COUNTIF($AM$10:$AM24, $AI$11:$AI$259), ""), 0)),"")</f>
        <v/>
      </c>
      <c r="AN25" s="54"/>
      <c r="AQ25" s="47">
        <f t="shared" si="2"/>
        <v>0</v>
      </c>
    </row>
    <row r="26" spans="1:43" x14ac:dyDescent="0.3">
      <c r="A26" s="47" t="str">
        <f>IFERROR(INDEX('G-1 All Habitats'!$AG$3:$AG$15,MATCH(E26,'G-1 All Habitats'!$AF$3:$AF$15,0)),"")</f>
        <v/>
      </c>
      <c r="B26" s="47" t="str">
        <f>IFERROR(INDEX('G-8 Condition Look up'!$I$4:$I$130,MATCH(G26,'G-8 Condition Look up'!$A$4:$A$130,0)),"")</f>
        <v/>
      </c>
      <c r="D26" s="77">
        <v>16</v>
      </c>
      <c r="E26" s="78"/>
      <c r="F26" s="79"/>
      <c r="G26" s="69" t="str">
        <f>IFERROR(INDEX('G-1 All Habitats'!$B$3:$B$129,MATCH(F26,'G-1 All Habitats'!$A$3:$A$129,0)),"")</f>
        <v/>
      </c>
      <c r="H26" s="70"/>
      <c r="I26" s="498" t="str">
        <f>IF(G26="","",VLOOKUP(G26,'G-1 All Habitats'!$B$2:$M$129,10,FALSE))</f>
        <v/>
      </c>
      <c r="J26" s="499" t="str">
        <f>IFERROR(VLOOKUP(I26,'G-1 All Habitats'!$V$3:$W$7,2,FALSE),"")</f>
        <v/>
      </c>
      <c r="K26" s="71"/>
      <c r="L26" s="499" t="str">
        <f>IFERROR(INDEX('G-8 Condition Look up'!$A$3:$H$130,MATCH(G26,'G-8 Condition Look up'!$A$3:$A$130,0),MATCH(K26,'G-8 Condition Look up'!$A$3:$H$3,0)),"")</f>
        <v/>
      </c>
      <c r="M26" s="71"/>
      <c r="N26" s="520" t="str">
        <f>IF(M26="","",IF(VLOOKUP(M26,'G-3 Multipliers'!$L$3:$N$6,2,FALSE)=0,"Spatial Data Missing",VLOOKUP(M26,'G-3 Multipliers'!$L$3:$N$6,2,FALSE)))</f>
        <v/>
      </c>
      <c r="O26" s="505" t="str">
        <f>IF(M26="","",IF(VLOOKUP(M26,'G-3 Multipliers'!$L$3:$N$6,3,FALSE)=0,"Spatial Data Missing ▲",VLOOKUP(M26,'G-3 Multipliers'!$L$3:$N$6,3,FALSE)))</f>
        <v/>
      </c>
      <c r="P26" s="506" t="str">
        <f>IFERROR(VLOOKUP(G26,'G-1 All Habitats'!$B$2:$M$129,12,FALSE),"")</f>
        <v/>
      </c>
      <c r="Q26" s="513" t="str">
        <f>IFERROR(IF(P26="","",IF(AND(P26='G-1 All Habitats'!$X$3,T26&gt;0),U26+V26,IF(AND(P26='G-1 All Habitats'!$X$3,S26&gt;0),U26+V26,IF(AND(P26='G-1 All Habitats'!$X$3,AC26&gt;0),"Any Loss Unacceptable ▲",IF(AND(P26='G-1 All Habitats'!$X$3,W26&gt;0),"Any Loss Unacceptable ▲",H26*J26*L26*O26))))),"Check Data ▲")</f>
        <v/>
      </c>
      <c r="R26" s="50"/>
      <c r="S26" s="71"/>
      <c r="T26" s="72"/>
      <c r="U26" s="511" t="str">
        <f t="shared" si="3"/>
        <v/>
      </c>
      <c r="V26" s="511" t="str">
        <f t="shared" si="4"/>
        <v/>
      </c>
      <c r="W26" s="511" t="str">
        <f>IF(E26="","",IF(H26&lt;S26+T26,"Error in Areas ▲",IF(P26&lt;&gt;'G-1 All Habitats'!$X$3,H26-S26-T26,IF(AND(P26='G-1 All Habitats'!$X$3,Y26="Yes"),"Unacceptable Loss",IF(AND(P26='G-1 All Habitats'!$X$3,Y26="No"),AC26,IF(AND(P26='G-1 All Habitats'!$X$3,Y26=""),AC26,IF(AND(P26='G-1 All Habitats'!$X$3,AC26="None",AC26),IF(AND(P26='G-1 All Habitats'!$X$3,AC26&gt;0),H26-S26-T26))))))))</f>
        <v/>
      </c>
      <c r="X26" s="515" t="str">
        <f>IFERROR(IF(H26="","",IF(H26-S26-T26=0&lt;0,"Error in Areas ▲",IF(S26+T26&gt;H26,"Error in Areas ▲",IF(AND(P26='G-1 All Habitats'!$X$3,Y26="Yes"),"Alternative Compensation ✓",IF(W26=0,0,IF(P26='G-1 All Habitats'!$X$3,"Unacceptable Loss ▲",Q26-U26-V26)))))),"Check Data ▲")</f>
        <v/>
      </c>
      <c r="Y26" s="72"/>
      <c r="Z26" s="80"/>
      <c r="AA26" s="81"/>
      <c r="AC26" s="75" t="str">
        <f>IF(P26="","",IF(P26='G-1 All Habitats'!$X$3,H26-S26-T26,"None"))</f>
        <v/>
      </c>
      <c r="AD26" s="76" t="str">
        <f>IFERROR(AC26*J26*L26*#REF!*O26,IF(P26="","","None"))</f>
        <v/>
      </c>
      <c r="AF26" s="54" t="str">
        <f t="shared" si="0"/>
        <v/>
      </c>
      <c r="AG26" s="54" t="str">
        <f t="shared" si="1"/>
        <v/>
      </c>
      <c r="AH26" s="54" t="str">
        <f>IF(I26="","",IF(#REF!&gt;0,TRUE,FALSE))</f>
        <v/>
      </c>
      <c r="AI26" s="54">
        <v>16</v>
      </c>
      <c r="AJ26" s="54"/>
      <c r="AK26" s="54" t="str">
        <f t="array" ref="AK26">IFERROR(INDEX($AI$11:$AI$259, MATCH(0, IF(TRUE=$AF$11:$AF$259, COUNTIF($AK$10:$AK25, $AI$11:$AI$259), ""), 0)),"")</f>
        <v/>
      </c>
      <c r="AL26" s="54" t="str">
        <f t="array" ref="AL26">IFERROR(INDEX($AI$11:$AI$259, MATCH(0, IF(TRUE=$AG$11:$AG$259, COUNTIF($AL$10:$AL25, $AI$11:$AI$259), ""), 0)),"")</f>
        <v/>
      </c>
      <c r="AM26" s="54" t="str">
        <f t="array" ref="AM26">IFERROR(INDEX($AI$11:$AI$259, MATCH(0, IF(TRUE=$AH$11:$AH$259, COUNTIF($AM$10:$AM25, $AI$11:$AI$259), ""), 0)),"")</f>
        <v/>
      </c>
      <c r="AN26" s="54"/>
      <c r="AQ26" s="47">
        <f t="shared" si="2"/>
        <v>0</v>
      </c>
    </row>
    <row r="27" spans="1:43" x14ac:dyDescent="0.3">
      <c r="A27" s="47" t="str">
        <f>IFERROR(INDEX('G-1 All Habitats'!$AG$3:$AG$15,MATCH(E27,'G-1 All Habitats'!$AF$3:$AF$15,0)),"")</f>
        <v/>
      </c>
      <c r="B27" s="47" t="str">
        <f>IFERROR(INDEX('G-8 Condition Look up'!$I$4:$I$130,MATCH(G27,'G-8 Condition Look up'!$A$4:$A$130,0)),"")</f>
        <v/>
      </c>
      <c r="D27" s="77">
        <v>17</v>
      </c>
      <c r="E27" s="78"/>
      <c r="F27" s="79"/>
      <c r="G27" s="69" t="str">
        <f>IFERROR(INDEX('G-1 All Habitats'!$B$3:$B$129,MATCH(F27,'G-1 All Habitats'!$A$3:$A$129,0)),"")</f>
        <v/>
      </c>
      <c r="H27" s="70"/>
      <c r="I27" s="498" t="str">
        <f>IF(G27="","",VLOOKUP(G27,'G-1 All Habitats'!$B$2:$M$129,10,FALSE))</f>
        <v/>
      </c>
      <c r="J27" s="499" t="str">
        <f>IFERROR(VLOOKUP(I27,'G-1 All Habitats'!$V$3:$W$7,2,FALSE),"")</f>
        <v/>
      </c>
      <c r="K27" s="71"/>
      <c r="L27" s="499" t="str">
        <f>IFERROR(INDEX('G-8 Condition Look up'!$A$3:$H$130,MATCH(G27,'G-8 Condition Look up'!$A$3:$A$130,0),MATCH(K27,'G-8 Condition Look up'!$A$3:$H$3,0)),"")</f>
        <v/>
      </c>
      <c r="M27" s="71"/>
      <c r="N27" s="520" t="str">
        <f>IF(M27="","",IF(VLOOKUP(M27,'G-3 Multipliers'!$L$3:$N$6,2,FALSE)=0,"Spatial Data Missing",VLOOKUP(M27,'G-3 Multipliers'!$L$3:$N$6,2,FALSE)))</f>
        <v/>
      </c>
      <c r="O27" s="505" t="str">
        <f>IF(M27="","",IF(VLOOKUP(M27,'G-3 Multipliers'!$L$3:$N$6,3,FALSE)=0,"Spatial Data Missing ▲",VLOOKUP(M27,'G-3 Multipliers'!$L$3:$N$6,3,FALSE)))</f>
        <v/>
      </c>
      <c r="P27" s="506" t="str">
        <f>IFERROR(VLOOKUP(G27,'G-1 All Habitats'!$B$2:$M$129,12,FALSE),"")</f>
        <v/>
      </c>
      <c r="Q27" s="513" t="str">
        <f>IFERROR(IF(P27="","",IF(AND(P27='G-1 All Habitats'!$X$3,T27&gt;0),U27+V27,IF(AND(P27='G-1 All Habitats'!$X$3,S27&gt;0),U27+V27,IF(AND(P27='G-1 All Habitats'!$X$3,AC27&gt;0),"Any Loss Unacceptable ▲",IF(AND(P27='G-1 All Habitats'!$X$3,W27&gt;0),"Any Loss Unacceptable ▲",H27*J27*L27*O27))))),"Check Data ▲")</f>
        <v/>
      </c>
      <c r="R27" s="50"/>
      <c r="S27" s="71"/>
      <c r="T27" s="72"/>
      <c r="U27" s="511" t="str">
        <f t="shared" si="3"/>
        <v/>
      </c>
      <c r="V27" s="511" t="str">
        <f t="shared" si="4"/>
        <v/>
      </c>
      <c r="W27" s="511" t="str">
        <f>IF(E27="","",IF(H27&lt;S27+T27,"Error in Areas ▲",IF(P27&lt;&gt;'G-1 All Habitats'!$X$3,H27-S27-T27,IF(AND(P27='G-1 All Habitats'!$X$3,Y27="Yes"),"Unacceptable Loss",IF(AND(P27='G-1 All Habitats'!$X$3,Y27="No"),AC27,IF(AND(P27='G-1 All Habitats'!$X$3,Y27=""),AC27,IF(AND(P27='G-1 All Habitats'!$X$3,AC27="None",AC27),IF(AND(P27='G-1 All Habitats'!$X$3,AC27&gt;0),H27-S27-T27))))))))</f>
        <v/>
      </c>
      <c r="X27" s="515" t="str">
        <f>IFERROR(IF(H27="","",IF(H27-S27-T27=0&lt;0,"Error in Areas ▲",IF(S27+T27&gt;H27,"Error in Areas ▲",IF(AND(P27='G-1 All Habitats'!$X$3,Y27="Yes"),"Alternative Compensation ✓",IF(W27=0,0,IF(P27='G-1 All Habitats'!$X$3,"Unacceptable Loss ▲",Q27-U27-V27)))))),"Check Data ▲")</f>
        <v/>
      </c>
      <c r="Y27" s="72"/>
      <c r="Z27" s="80"/>
      <c r="AA27" s="81"/>
      <c r="AC27" s="75" t="str">
        <f>IF(P27="","",IF(P27='G-1 All Habitats'!$X$3,H27-S27-T27,"None"))</f>
        <v/>
      </c>
      <c r="AD27" s="76" t="str">
        <f>IFERROR(AC27*J27*L27*#REF!*O27,IF(P27="","","None"))</f>
        <v/>
      </c>
      <c r="AF27" s="54" t="str">
        <f t="shared" si="0"/>
        <v/>
      </c>
      <c r="AG27" s="54" t="str">
        <f t="shared" si="1"/>
        <v/>
      </c>
      <c r="AH27" s="54" t="str">
        <f>IF(I27="","",IF(#REF!&gt;0,TRUE,FALSE))</f>
        <v/>
      </c>
      <c r="AI27" s="54">
        <v>17</v>
      </c>
      <c r="AJ27" s="54"/>
      <c r="AK27" s="54" t="str">
        <f t="array" ref="AK27">IFERROR(INDEX($AI$11:$AI$259, MATCH(0, IF(TRUE=$AF$11:$AF$259, COUNTIF($AK$10:$AK26, $AI$11:$AI$259), ""), 0)),"")</f>
        <v/>
      </c>
      <c r="AL27" s="54" t="str">
        <f t="array" ref="AL27">IFERROR(INDEX($AI$11:$AI$259, MATCH(0, IF(TRUE=$AG$11:$AG$259, COUNTIF($AL$10:$AL26, $AI$11:$AI$259), ""), 0)),"")</f>
        <v/>
      </c>
      <c r="AM27" s="54" t="str">
        <f t="array" ref="AM27">IFERROR(INDEX($AI$11:$AI$259, MATCH(0, IF(TRUE=$AH$11:$AH$259, COUNTIF($AM$10:$AM26, $AI$11:$AI$259), ""), 0)),"")</f>
        <v/>
      </c>
      <c r="AN27" s="54"/>
      <c r="AQ27" s="47">
        <f t="shared" si="2"/>
        <v>0</v>
      </c>
    </row>
    <row r="28" spans="1:43" x14ac:dyDescent="0.3">
      <c r="A28" s="47" t="str">
        <f>IFERROR(INDEX('G-1 All Habitats'!$AG$3:$AG$15,MATCH(E28,'G-1 All Habitats'!$AF$3:$AF$15,0)),"")</f>
        <v/>
      </c>
      <c r="B28" s="47" t="str">
        <f>IFERROR(INDEX('G-8 Condition Look up'!$I$4:$I$130,MATCH(G28,'G-8 Condition Look up'!$A$4:$A$130,0)),"")</f>
        <v/>
      </c>
      <c r="D28" s="77">
        <v>18</v>
      </c>
      <c r="E28" s="78"/>
      <c r="F28" s="79"/>
      <c r="G28" s="69" t="str">
        <f>IFERROR(INDEX('G-1 All Habitats'!$B$3:$B$129,MATCH(F28,'G-1 All Habitats'!$A$3:$A$129,0)),"")</f>
        <v/>
      </c>
      <c r="H28" s="70"/>
      <c r="I28" s="498" t="str">
        <f>IF(G28="","",VLOOKUP(G28,'G-1 All Habitats'!$B$2:$M$129,10,FALSE))</f>
        <v/>
      </c>
      <c r="J28" s="499" t="str">
        <f>IFERROR(VLOOKUP(I28,'G-1 All Habitats'!$V$3:$W$7,2,FALSE),"")</f>
        <v/>
      </c>
      <c r="K28" s="71"/>
      <c r="L28" s="499" t="str">
        <f>IFERROR(INDEX('G-8 Condition Look up'!$A$3:$H$130,MATCH(G28,'G-8 Condition Look up'!$A$3:$A$130,0),MATCH(K28,'G-8 Condition Look up'!$A$3:$H$3,0)),"")</f>
        <v/>
      </c>
      <c r="M28" s="71"/>
      <c r="N28" s="520" t="str">
        <f>IF(M28="","",IF(VLOOKUP(M28,'G-3 Multipliers'!$L$3:$N$6,2,FALSE)=0,"Spatial Data Missing",VLOOKUP(M28,'G-3 Multipliers'!$L$3:$N$6,2,FALSE)))</f>
        <v/>
      </c>
      <c r="O28" s="505" t="str">
        <f>IF(M28="","",IF(VLOOKUP(M28,'G-3 Multipliers'!$L$3:$N$6,3,FALSE)=0,"Spatial Data Missing ▲",VLOOKUP(M28,'G-3 Multipliers'!$L$3:$N$6,3,FALSE)))</f>
        <v/>
      </c>
      <c r="P28" s="506" t="str">
        <f>IFERROR(VLOOKUP(G28,'G-1 All Habitats'!$B$2:$M$129,12,FALSE),"")</f>
        <v/>
      </c>
      <c r="Q28" s="513" t="str">
        <f>IFERROR(IF(P28="","",IF(AND(P28='G-1 All Habitats'!$X$3,T28&gt;0),U28+V28,IF(AND(P28='G-1 All Habitats'!$X$3,S28&gt;0),U28+V28,IF(AND(P28='G-1 All Habitats'!$X$3,AC28&gt;0),"Any Loss Unacceptable ▲",IF(AND(P28='G-1 All Habitats'!$X$3,W28&gt;0),"Any Loss Unacceptable ▲",H28*J28*L28*O28))))),"Check Data ▲")</f>
        <v/>
      </c>
      <c r="R28" s="50"/>
      <c r="S28" s="71"/>
      <c r="T28" s="72"/>
      <c r="U28" s="511" t="str">
        <f t="shared" si="3"/>
        <v/>
      </c>
      <c r="V28" s="511" t="str">
        <f t="shared" si="4"/>
        <v/>
      </c>
      <c r="W28" s="511" t="str">
        <f>IF(E28="","",IF(H28&lt;S28+T28,"Error in Areas ▲",IF(P28&lt;&gt;'G-1 All Habitats'!$X$3,H28-S28-T28,IF(AND(P28='G-1 All Habitats'!$X$3,Y28="Yes"),"Unacceptable Loss",IF(AND(P28='G-1 All Habitats'!$X$3,Y28="No"),AC28,IF(AND(P28='G-1 All Habitats'!$X$3,Y28=""),AC28,IF(AND(P28='G-1 All Habitats'!$X$3,AC28="None",AC28),IF(AND(P28='G-1 All Habitats'!$X$3,AC28&gt;0),H28-S28-T28))))))))</f>
        <v/>
      </c>
      <c r="X28" s="515" t="str">
        <f>IFERROR(IF(H28="","",IF(H28-S28-T28=0&lt;0,"Error in Areas ▲",IF(S28+T28&gt;H28,"Error in Areas ▲",IF(AND(P28='G-1 All Habitats'!$X$3,Y28="Yes"),"Alternative Compensation ✓",IF(W28=0,0,IF(P28='G-1 All Habitats'!$X$3,"Unacceptable Loss ▲",Q28-U28-V28)))))),"Check Data ▲")</f>
        <v/>
      </c>
      <c r="Y28" s="72"/>
      <c r="Z28" s="80"/>
      <c r="AA28" s="81"/>
      <c r="AC28" s="75" t="str">
        <f>IF(P28="","",IF(P28='G-1 All Habitats'!$X$3,H28-S28-T28,"None"))</f>
        <v/>
      </c>
      <c r="AD28" s="76" t="str">
        <f>IFERROR(AC28*J28*L28*#REF!*O28,IF(P28="","","None"))</f>
        <v/>
      </c>
      <c r="AF28" s="54" t="str">
        <f t="shared" si="0"/>
        <v/>
      </c>
      <c r="AG28" s="54" t="str">
        <f t="shared" si="1"/>
        <v/>
      </c>
      <c r="AH28" s="54" t="str">
        <f>IF(I28="","",IF(#REF!&gt;0,TRUE,FALSE))</f>
        <v/>
      </c>
      <c r="AI28" s="54">
        <v>18</v>
      </c>
      <c r="AJ28" s="54"/>
      <c r="AK28" s="54" t="str">
        <f t="array" ref="AK28">IFERROR(INDEX($AI$11:$AI$259, MATCH(0, IF(TRUE=$AF$11:$AF$259, COUNTIF($AK$10:$AK27, $AI$11:$AI$259), ""), 0)),"")</f>
        <v/>
      </c>
      <c r="AL28" s="54" t="str">
        <f t="array" ref="AL28">IFERROR(INDEX($AI$11:$AI$259, MATCH(0, IF(TRUE=$AG$11:$AG$259, COUNTIF($AL$10:$AL27, $AI$11:$AI$259), ""), 0)),"")</f>
        <v/>
      </c>
      <c r="AM28" s="54" t="str">
        <f t="array" ref="AM28">IFERROR(INDEX($AI$11:$AI$259, MATCH(0, IF(TRUE=$AH$11:$AH$259, COUNTIF($AM$10:$AM27, $AI$11:$AI$259), ""), 0)),"")</f>
        <v/>
      </c>
      <c r="AN28" s="54"/>
      <c r="AQ28" s="47">
        <f t="shared" si="2"/>
        <v>0</v>
      </c>
    </row>
    <row r="29" spans="1:43" x14ac:dyDescent="0.3">
      <c r="A29" s="47" t="str">
        <f>IFERROR(INDEX('G-1 All Habitats'!$AG$3:$AG$15,MATCH(E29,'G-1 All Habitats'!$AF$3:$AF$15,0)),"")</f>
        <v/>
      </c>
      <c r="B29" s="47" t="str">
        <f>IFERROR(INDEX('G-8 Condition Look up'!$I$4:$I$130,MATCH(G29,'G-8 Condition Look up'!$A$4:$A$130,0)),"")</f>
        <v/>
      </c>
      <c r="D29" s="77">
        <v>19</v>
      </c>
      <c r="E29" s="78"/>
      <c r="F29" s="79"/>
      <c r="G29" s="69" t="str">
        <f>IFERROR(INDEX('G-1 All Habitats'!$B$3:$B$129,MATCH(F29,'G-1 All Habitats'!$A$3:$A$129,0)),"")</f>
        <v/>
      </c>
      <c r="H29" s="70"/>
      <c r="I29" s="498" t="str">
        <f>IF(G29="","",VLOOKUP(G29,'G-1 All Habitats'!$B$2:$M$129,10,FALSE))</f>
        <v/>
      </c>
      <c r="J29" s="499" t="str">
        <f>IFERROR(VLOOKUP(I29,'G-1 All Habitats'!$V$3:$W$7,2,FALSE),"")</f>
        <v/>
      </c>
      <c r="K29" s="71"/>
      <c r="L29" s="499" t="str">
        <f>IFERROR(INDEX('G-8 Condition Look up'!$A$3:$H$130,MATCH(G29,'G-8 Condition Look up'!$A$3:$A$130,0),MATCH(K29,'G-8 Condition Look up'!$A$3:$H$3,0)),"")</f>
        <v/>
      </c>
      <c r="M29" s="71"/>
      <c r="N29" s="520" t="str">
        <f>IF(M29="","",IF(VLOOKUP(M29,'G-3 Multipliers'!$L$3:$N$6,2,FALSE)=0,"Spatial Data Missing",VLOOKUP(M29,'G-3 Multipliers'!$L$3:$N$6,2,FALSE)))</f>
        <v/>
      </c>
      <c r="O29" s="505" t="str">
        <f>IF(M29="","",IF(VLOOKUP(M29,'G-3 Multipliers'!$L$3:$N$6,3,FALSE)=0,"Spatial Data Missing ▲",VLOOKUP(M29,'G-3 Multipliers'!$L$3:$N$6,3,FALSE)))</f>
        <v/>
      </c>
      <c r="P29" s="506" t="str">
        <f>IFERROR(VLOOKUP(G29,'G-1 All Habitats'!$B$2:$M$129,12,FALSE),"")</f>
        <v/>
      </c>
      <c r="Q29" s="513" t="str">
        <f>IFERROR(IF(P29="","",IF(AND(P29='G-1 All Habitats'!$X$3,T29&gt;0),U29+V29,IF(AND(P29='G-1 All Habitats'!$X$3,S29&gt;0),U29+V29,IF(AND(P29='G-1 All Habitats'!$X$3,AC29&gt;0),"Any Loss Unacceptable ▲",IF(AND(P29='G-1 All Habitats'!$X$3,W29&gt;0),"Any Loss Unacceptable ▲",H29*J29*L29*O29))))),"Check Data ▲")</f>
        <v/>
      </c>
      <c r="R29" s="50"/>
      <c r="S29" s="71"/>
      <c r="T29" s="72"/>
      <c r="U29" s="511" t="str">
        <f t="shared" si="3"/>
        <v/>
      </c>
      <c r="V29" s="511" t="str">
        <f t="shared" si="4"/>
        <v/>
      </c>
      <c r="W29" s="511" t="str">
        <f>IF(E29="","",IF(H29&lt;S29+T29,"Error in Areas ▲",IF(P29&lt;&gt;'G-1 All Habitats'!$X$3,H29-S29-T29,IF(AND(P29='G-1 All Habitats'!$X$3,Y29="Yes"),"Unacceptable Loss",IF(AND(P29='G-1 All Habitats'!$X$3,Y29="No"),AC29,IF(AND(P29='G-1 All Habitats'!$X$3,Y29=""),AC29,IF(AND(P29='G-1 All Habitats'!$X$3,AC29="None",AC29),IF(AND(P29='G-1 All Habitats'!$X$3,AC29&gt;0),H29-S29-T29))))))))</f>
        <v/>
      </c>
      <c r="X29" s="515" t="str">
        <f>IFERROR(IF(H29="","",IF(H29-S29-T29=0&lt;0,"Error in Areas ▲",IF(S29+T29&gt;H29,"Error in Areas ▲",IF(AND(P29='G-1 All Habitats'!$X$3,Y29="Yes"),"Alternative Compensation ✓",IF(W29=0,0,IF(P29='G-1 All Habitats'!$X$3,"Unacceptable Loss ▲",Q29-U29-V29)))))),"Check Data ▲")</f>
        <v/>
      </c>
      <c r="Y29" s="72"/>
      <c r="Z29" s="80"/>
      <c r="AA29" s="81"/>
      <c r="AC29" s="75" t="str">
        <f>IF(P29="","",IF(P29='G-1 All Habitats'!$X$3,H29-S29-T29,"None"))</f>
        <v/>
      </c>
      <c r="AD29" s="76" t="str">
        <f>IFERROR(AC29*J29*L29*#REF!*O29,IF(P29="","","None"))</f>
        <v/>
      </c>
      <c r="AF29" s="54" t="str">
        <f t="shared" si="0"/>
        <v/>
      </c>
      <c r="AG29" s="54" t="str">
        <f t="shared" si="1"/>
        <v/>
      </c>
      <c r="AH29" s="54" t="str">
        <f>IF(I29="","",IF(#REF!&gt;0,TRUE,FALSE))</f>
        <v/>
      </c>
      <c r="AI29" s="54">
        <v>19</v>
      </c>
      <c r="AJ29" s="54"/>
      <c r="AK29" s="54" t="str">
        <f t="array" ref="AK29">IFERROR(INDEX($AI$11:$AI$259, MATCH(0, IF(TRUE=$AF$11:$AF$259, COUNTIF($AK$10:$AK28, $AI$11:$AI$259), ""), 0)),"")</f>
        <v/>
      </c>
      <c r="AL29" s="54" t="str">
        <f t="array" ref="AL29">IFERROR(INDEX($AI$11:$AI$259, MATCH(0, IF(TRUE=$AG$11:$AG$259, COUNTIF($AL$10:$AL28, $AI$11:$AI$259), ""), 0)),"")</f>
        <v/>
      </c>
      <c r="AM29" s="54" t="str">
        <f t="array" ref="AM29">IFERROR(INDEX($AI$11:$AI$259, MATCH(0, IF(TRUE=$AH$11:$AH$259, COUNTIF($AM$10:$AM28, $AI$11:$AI$259), ""), 0)),"")</f>
        <v/>
      </c>
      <c r="AN29" s="54"/>
      <c r="AQ29" s="47">
        <f t="shared" si="2"/>
        <v>0</v>
      </c>
    </row>
    <row r="30" spans="1:43" x14ac:dyDescent="0.3">
      <c r="A30" s="47" t="str">
        <f>IFERROR(INDEX('G-1 All Habitats'!$AG$3:$AG$15,MATCH(E30,'G-1 All Habitats'!$AF$3:$AF$15,0)),"")</f>
        <v/>
      </c>
      <c r="B30" s="47" t="str">
        <f>IFERROR(INDEX('G-8 Condition Look up'!$I$4:$I$130,MATCH(G30,'G-8 Condition Look up'!$A$4:$A$130,0)),"")</f>
        <v/>
      </c>
      <c r="D30" s="77">
        <v>20</v>
      </c>
      <c r="E30" s="78"/>
      <c r="F30" s="79"/>
      <c r="G30" s="69" t="str">
        <f>IFERROR(INDEX('G-1 All Habitats'!$B$3:$B$129,MATCH(F30,'G-1 All Habitats'!$A$3:$A$129,0)),"")</f>
        <v/>
      </c>
      <c r="H30" s="70"/>
      <c r="I30" s="498" t="str">
        <f>IF(G30="","",VLOOKUP(G30,'G-1 All Habitats'!$B$2:$M$129,10,FALSE))</f>
        <v/>
      </c>
      <c r="J30" s="499" t="str">
        <f>IFERROR(VLOOKUP(I30,'G-1 All Habitats'!$V$3:$W$7,2,FALSE),"")</f>
        <v/>
      </c>
      <c r="K30" s="71"/>
      <c r="L30" s="499" t="str">
        <f>IFERROR(INDEX('G-8 Condition Look up'!$A$3:$H$130,MATCH(G30,'G-8 Condition Look up'!$A$3:$A$130,0),MATCH(K30,'G-8 Condition Look up'!$A$3:$H$3,0)),"")</f>
        <v/>
      </c>
      <c r="M30" s="71"/>
      <c r="N30" s="520" t="str">
        <f>IF(M30="","",IF(VLOOKUP(M30,'G-3 Multipliers'!$L$3:$N$6,2,FALSE)=0,"Spatial Data Missing",VLOOKUP(M30,'G-3 Multipliers'!$L$3:$N$6,2,FALSE)))</f>
        <v/>
      </c>
      <c r="O30" s="505" t="str">
        <f>IF(M30="","",IF(VLOOKUP(M30,'G-3 Multipliers'!$L$3:$N$6,3,FALSE)=0,"Spatial Data Missing ▲",VLOOKUP(M30,'G-3 Multipliers'!$L$3:$N$6,3,FALSE)))</f>
        <v/>
      </c>
      <c r="P30" s="506" t="str">
        <f>IFERROR(VLOOKUP(G30,'G-1 All Habitats'!$B$2:$M$129,12,FALSE),"")</f>
        <v/>
      </c>
      <c r="Q30" s="513" t="str">
        <f>IFERROR(IF(P30="","",IF(AND(P30='G-1 All Habitats'!$X$3,T30&gt;0),U30+V30,IF(AND(P30='G-1 All Habitats'!$X$3,S30&gt;0),U30+V30,IF(AND(P30='G-1 All Habitats'!$X$3,AC30&gt;0),"Any Loss Unacceptable ▲",IF(AND(P30='G-1 All Habitats'!$X$3,W30&gt;0),"Any Loss Unacceptable ▲",H30*J30*L30*O30))))),"Check Data ▲")</f>
        <v/>
      </c>
      <c r="R30" s="50"/>
      <c r="S30" s="71"/>
      <c r="T30" s="72"/>
      <c r="U30" s="511" t="str">
        <f t="shared" si="3"/>
        <v/>
      </c>
      <c r="V30" s="511" t="str">
        <f t="shared" si="4"/>
        <v/>
      </c>
      <c r="W30" s="511" t="str">
        <f>IF(E30="","",IF(H30&lt;S30+T30,"Error in Areas ▲",IF(P30&lt;&gt;'G-1 All Habitats'!$X$3,H30-S30-T30,IF(AND(P30='G-1 All Habitats'!$X$3,Y30="Yes"),"Unacceptable Loss",IF(AND(P30='G-1 All Habitats'!$X$3,Y30="No"),AC30,IF(AND(P30='G-1 All Habitats'!$X$3,Y30=""),AC30,IF(AND(P30='G-1 All Habitats'!$X$3,AC30="None",AC30),IF(AND(P30='G-1 All Habitats'!$X$3,AC30&gt;0),H30-S30-T30))))))))</f>
        <v/>
      </c>
      <c r="X30" s="515" t="str">
        <f>IFERROR(IF(H30="","",IF(H30-S30-T30=0&lt;0,"Error in Areas ▲",IF(S30+T30&gt;H30,"Error in Areas ▲",IF(AND(P30='G-1 All Habitats'!$X$3,Y30="Yes"),"Alternative Compensation ✓",IF(W30=0,0,IF(P30='G-1 All Habitats'!$X$3,"Unacceptable Loss ▲",Q30-U30-V30)))))),"Check Data ▲")</f>
        <v/>
      </c>
      <c r="Y30" s="72"/>
      <c r="Z30" s="80"/>
      <c r="AA30" s="81"/>
      <c r="AC30" s="75" t="str">
        <f>IF(P30="","",IF(P30='G-1 All Habitats'!$X$3,H30-S30-T30,"None"))</f>
        <v/>
      </c>
      <c r="AD30" s="76" t="str">
        <f>IFERROR(AC30*J30*L30*#REF!*O30,IF(P30="","","None"))</f>
        <v/>
      </c>
      <c r="AF30" s="54" t="str">
        <f t="shared" si="0"/>
        <v/>
      </c>
      <c r="AG30" s="54" t="str">
        <f t="shared" si="1"/>
        <v/>
      </c>
      <c r="AH30" s="54" t="str">
        <f>IF(I30="","",IF(#REF!&gt;0,TRUE,FALSE))</f>
        <v/>
      </c>
      <c r="AI30" s="54">
        <v>20</v>
      </c>
      <c r="AJ30" s="54"/>
      <c r="AK30" s="54" t="str">
        <f t="array" ref="AK30">IFERROR(INDEX($AI$11:$AI$259, MATCH(0, IF(TRUE=$AF$11:$AF$259, COUNTIF($AK$10:$AK29, $AI$11:$AI$259), ""), 0)),"")</f>
        <v/>
      </c>
      <c r="AL30" s="54" t="str">
        <f t="array" ref="AL30">IFERROR(INDEX($AI$11:$AI$259, MATCH(0, IF(TRUE=$AG$11:$AG$259, COUNTIF($AL$10:$AL29, $AI$11:$AI$259), ""), 0)),"")</f>
        <v/>
      </c>
      <c r="AM30" s="54" t="str">
        <f t="array" ref="AM30">IFERROR(INDEX($AI$11:$AI$259, MATCH(0, IF(TRUE=$AH$11:$AH$259, COUNTIF($AM$10:$AM29, $AI$11:$AI$259), ""), 0)),"")</f>
        <v/>
      </c>
      <c r="AN30" s="54"/>
      <c r="AQ30" s="47">
        <f t="shared" si="2"/>
        <v>0</v>
      </c>
    </row>
    <row r="31" spans="1:43" x14ac:dyDescent="0.3">
      <c r="A31" s="47" t="str">
        <f>IFERROR(INDEX('G-1 All Habitats'!$AG$3:$AG$15,MATCH(E31,'G-1 All Habitats'!$AF$3:$AF$15,0)),"")</f>
        <v/>
      </c>
      <c r="B31" s="47" t="str">
        <f>IFERROR(INDEX('G-8 Condition Look up'!$I$4:$I$130,MATCH(G31,'G-8 Condition Look up'!$A$4:$A$130,0)),"")</f>
        <v/>
      </c>
      <c r="D31" s="77">
        <v>21</v>
      </c>
      <c r="E31" s="78"/>
      <c r="F31" s="79"/>
      <c r="G31" s="69" t="str">
        <f>IFERROR(INDEX('G-1 All Habitats'!$B$3:$B$129,MATCH(F31,'G-1 All Habitats'!$A$3:$A$129,0)),"")</f>
        <v/>
      </c>
      <c r="H31" s="70"/>
      <c r="I31" s="498" t="str">
        <f>IF(G31="","",VLOOKUP(G31,'G-1 All Habitats'!$B$2:$M$129,10,FALSE))</f>
        <v/>
      </c>
      <c r="J31" s="499" t="str">
        <f>IFERROR(VLOOKUP(I31,'G-1 All Habitats'!$V$3:$W$7,2,FALSE),"")</f>
        <v/>
      </c>
      <c r="K31" s="71"/>
      <c r="L31" s="499" t="str">
        <f>IFERROR(INDEX('G-8 Condition Look up'!$A$3:$H$130,MATCH(G31,'G-8 Condition Look up'!$A$3:$A$130,0),MATCH(K31,'G-8 Condition Look up'!$A$3:$H$3,0)),"")</f>
        <v/>
      </c>
      <c r="M31" s="71"/>
      <c r="N31" s="520" t="str">
        <f>IF(M31="","",IF(VLOOKUP(M31,'G-3 Multipliers'!$L$3:$N$6,2,FALSE)=0,"Spatial Data Missing",VLOOKUP(M31,'G-3 Multipliers'!$L$3:$N$6,2,FALSE)))</f>
        <v/>
      </c>
      <c r="O31" s="505" t="str">
        <f>IF(M31="","",IF(VLOOKUP(M31,'G-3 Multipliers'!$L$3:$N$6,3,FALSE)=0,"Spatial Data Missing ▲",VLOOKUP(M31,'G-3 Multipliers'!$L$3:$N$6,3,FALSE)))</f>
        <v/>
      </c>
      <c r="P31" s="506" t="str">
        <f>IFERROR(VLOOKUP(G31,'G-1 All Habitats'!$B$2:$M$129,12,FALSE),"")</f>
        <v/>
      </c>
      <c r="Q31" s="513" t="str">
        <f>IFERROR(IF(P31="","",IF(AND(P31='G-1 All Habitats'!$X$3,T31&gt;0),U31+V31,IF(AND(P31='G-1 All Habitats'!$X$3,S31&gt;0),U31+V31,IF(AND(P31='G-1 All Habitats'!$X$3,AC31&gt;0),"Any Loss Unacceptable ▲",IF(AND(P31='G-1 All Habitats'!$X$3,W31&gt;0),"Any Loss Unacceptable ▲",H31*J31*L31*O31))))),"Check Data ▲")</f>
        <v/>
      </c>
      <c r="R31" s="50"/>
      <c r="S31" s="71"/>
      <c r="T31" s="72"/>
      <c r="U31" s="511" t="str">
        <f t="shared" si="3"/>
        <v/>
      </c>
      <c r="V31" s="511" t="str">
        <f t="shared" si="4"/>
        <v/>
      </c>
      <c r="W31" s="511" t="str">
        <f>IF(E31="","",IF(H31&lt;S31+T31,"Error in Areas ▲",IF(P31&lt;&gt;'G-1 All Habitats'!$X$3,H31-S31-T31,IF(AND(P31='G-1 All Habitats'!$X$3,Y31="Yes"),"Unacceptable Loss",IF(AND(P31='G-1 All Habitats'!$X$3,Y31="No"),AC31,IF(AND(P31='G-1 All Habitats'!$X$3,Y31=""),AC31,IF(AND(P31='G-1 All Habitats'!$X$3,AC31="None",AC31),IF(AND(P31='G-1 All Habitats'!$X$3,AC31&gt;0),H31-S31-T31))))))))</f>
        <v/>
      </c>
      <c r="X31" s="515" t="str">
        <f>IFERROR(IF(H31="","",IF(H31-S31-T31=0&lt;0,"Error in Areas ▲",IF(S31+T31&gt;H31,"Error in Areas ▲",IF(AND(P31='G-1 All Habitats'!$X$3,Y31="Yes"),"Alternative Compensation ✓",IF(W31=0,0,IF(P31='G-1 All Habitats'!$X$3,"Unacceptable Loss ▲",Q31-U31-V31)))))),"Check Data ▲")</f>
        <v/>
      </c>
      <c r="Y31" s="72"/>
      <c r="Z31" s="80"/>
      <c r="AA31" s="81"/>
      <c r="AC31" s="75" t="str">
        <f>IF(P31="","",IF(P31='G-1 All Habitats'!$X$3,H31-S31-T31,"None"))</f>
        <v/>
      </c>
      <c r="AD31" s="76" t="str">
        <f>IFERROR(AC31*J31*L31*#REF!*O31,IF(P31="","","None"))</f>
        <v/>
      </c>
      <c r="AF31" s="54" t="str">
        <f t="shared" si="0"/>
        <v/>
      </c>
      <c r="AG31" s="54" t="str">
        <f t="shared" si="1"/>
        <v/>
      </c>
      <c r="AH31" s="54" t="str">
        <f>IF(I31="","",IF(#REF!&gt;0,TRUE,FALSE))</f>
        <v/>
      </c>
      <c r="AI31" s="54">
        <v>21</v>
      </c>
      <c r="AJ31" s="54"/>
      <c r="AK31" s="54" t="str">
        <f t="array" ref="AK31">IFERROR(INDEX($AI$11:$AI$259, MATCH(0, IF(TRUE=$AF$11:$AF$259, COUNTIF($AK$10:$AK30, $AI$11:$AI$259), ""), 0)),"")</f>
        <v/>
      </c>
      <c r="AL31" s="54" t="str">
        <f t="array" ref="AL31">IFERROR(INDEX($AI$11:$AI$259, MATCH(0, IF(TRUE=$AG$11:$AG$259, COUNTIF($AL$10:$AL30, $AI$11:$AI$259), ""), 0)),"")</f>
        <v/>
      </c>
      <c r="AM31" s="54" t="str">
        <f t="array" ref="AM31">IFERROR(INDEX($AI$11:$AI$259, MATCH(0, IF(TRUE=$AH$11:$AH$259, COUNTIF($AM$10:$AM30, $AI$11:$AI$259), ""), 0)),"")</f>
        <v/>
      </c>
      <c r="AN31" s="54"/>
      <c r="AQ31" s="47">
        <f t="shared" si="2"/>
        <v>0</v>
      </c>
    </row>
    <row r="32" spans="1:43" x14ac:dyDescent="0.3">
      <c r="A32" s="47" t="str">
        <f>IFERROR(INDEX('G-1 All Habitats'!$AG$3:$AG$15,MATCH(E32,'G-1 All Habitats'!$AF$3:$AF$15,0)),"")</f>
        <v/>
      </c>
      <c r="B32" s="47" t="str">
        <f>IFERROR(INDEX('G-8 Condition Look up'!$I$4:$I$130,MATCH(G32,'G-8 Condition Look up'!$A$4:$A$130,0)),"")</f>
        <v/>
      </c>
      <c r="D32" s="77">
        <v>22</v>
      </c>
      <c r="E32" s="78"/>
      <c r="F32" s="79"/>
      <c r="G32" s="69" t="str">
        <f>IFERROR(INDEX('G-1 All Habitats'!$B$3:$B$129,MATCH(F32,'G-1 All Habitats'!$A$3:$A$129,0)),"")</f>
        <v/>
      </c>
      <c r="H32" s="70"/>
      <c r="I32" s="498" t="str">
        <f>IF(G32="","",VLOOKUP(G32,'G-1 All Habitats'!$B$2:$M$129,10,FALSE))</f>
        <v/>
      </c>
      <c r="J32" s="499" t="str">
        <f>IFERROR(VLOOKUP(I32,'G-1 All Habitats'!$V$3:$W$7,2,FALSE),"")</f>
        <v/>
      </c>
      <c r="K32" s="71"/>
      <c r="L32" s="499" t="str">
        <f>IFERROR(INDEX('G-8 Condition Look up'!$A$3:$H$130,MATCH(G32,'G-8 Condition Look up'!$A$3:$A$130,0),MATCH(K32,'G-8 Condition Look up'!$A$3:$H$3,0)),"")</f>
        <v/>
      </c>
      <c r="M32" s="71"/>
      <c r="N32" s="520" t="str">
        <f>IF(M32="","",IF(VLOOKUP(M32,'G-3 Multipliers'!$L$3:$N$6,2,FALSE)=0,"Spatial Data Missing",VLOOKUP(M32,'G-3 Multipliers'!$L$3:$N$6,2,FALSE)))</f>
        <v/>
      </c>
      <c r="O32" s="505" t="str">
        <f>IF(M32="","",IF(VLOOKUP(M32,'G-3 Multipliers'!$L$3:$N$6,3,FALSE)=0,"Spatial Data Missing ▲",VLOOKUP(M32,'G-3 Multipliers'!$L$3:$N$6,3,FALSE)))</f>
        <v/>
      </c>
      <c r="P32" s="506" t="str">
        <f>IFERROR(VLOOKUP(G32,'G-1 All Habitats'!$B$2:$M$129,12,FALSE),"")</f>
        <v/>
      </c>
      <c r="Q32" s="513" t="str">
        <f>IFERROR(IF(P32="","",IF(AND(P32='G-1 All Habitats'!$X$3,T32&gt;0),U32+V32,IF(AND(P32='G-1 All Habitats'!$X$3,S32&gt;0),U32+V32,IF(AND(P32='G-1 All Habitats'!$X$3,AC32&gt;0),"Any Loss Unacceptable ▲",IF(AND(P32='G-1 All Habitats'!$X$3,W32&gt;0),"Any Loss Unacceptable ▲",H32*J32*L32*O32))))),"Check Data ▲")</f>
        <v/>
      </c>
      <c r="R32" s="50"/>
      <c r="S32" s="71"/>
      <c r="T32" s="72"/>
      <c r="U32" s="511" t="str">
        <f t="shared" si="3"/>
        <v/>
      </c>
      <c r="V32" s="511" t="str">
        <f t="shared" si="4"/>
        <v/>
      </c>
      <c r="W32" s="511" t="str">
        <f>IF(E32="","",IF(H32&lt;S32+T32,"Error in Areas ▲",IF(P32&lt;&gt;'G-1 All Habitats'!$X$3,H32-S32-T32,IF(AND(P32='G-1 All Habitats'!$X$3,Y32="Yes"),"Unacceptable Loss",IF(AND(P32='G-1 All Habitats'!$X$3,Y32="No"),AC32,IF(AND(P32='G-1 All Habitats'!$X$3,Y32=""),AC32,IF(AND(P32='G-1 All Habitats'!$X$3,AC32="None",AC32),IF(AND(P32='G-1 All Habitats'!$X$3,AC32&gt;0),H32-S32-T32))))))))</f>
        <v/>
      </c>
      <c r="X32" s="515" t="str">
        <f>IFERROR(IF(H32="","",IF(H32-S32-T32=0&lt;0,"Error in Areas ▲",IF(S32+T32&gt;H32,"Error in Areas ▲",IF(AND(P32='G-1 All Habitats'!$X$3,Y32="Yes"),"Alternative Compensation ✓",IF(W32=0,0,IF(P32='G-1 All Habitats'!$X$3,"Unacceptable Loss ▲",Q32-U32-V32)))))),"Check Data ▲")</f>
        <v/>
      </c>
      <c r="Y32" s="72"/>
      <c r="Z32" s="80"/>
      <c r="AA32" s="81"/>
      <c r="AC32" s="75" t="str">
        <f>IF(P32="","",IF(P32='G-1 All Habitats'!$X$3,H32-S32-T32,"None"))</f>
        <v/>
      </c>
      <c r="AD32" s="76" t="str">
        <f>IFERROR(AC32*J32*L32*#REF!*O32,IF(P32="","","None"))</f>
        <v/>
      </c>
      <c r="AF32" s="54" t="str">
        <f t="shared" si="0"/>
        <v/>
      </c>
      <c r="AG32" s="54" t="str">
        <f t="shared" si="1"/>
        <v/>
      </c>
      <c r="AH32" s="54" t="str">
        <f>IF(I32="","",IF(#REF!&gt;0,TRUE,FALSE))</f>
        <v/>
      </c>
      <c r="AI32" s="54">
        <v>22</v>
      </c>
      <c r="AJ32" s="54"/>
      <c r="AK32" s="54" t="str">
        <f t="array" ref="AK32">IFERROR(INDEX($AI$11:$AI$259, MATCH(0, IF(TRUE=$AF$11:$AF$259, COUNTIF($AK$10:$AK31, $AI$11:$AI$259), ""), 0)),"")</f>
        <v/>
      </c>
      <c r="AL32" s="54" t="str">
        <f t="array" ref="AL32">IFERROR(INDEX($AI$11:$AI$259, MATCH(0, IF(TRUE=$AG$11:$AG$259, COUNTIF($AL$10:$AL31, $AI$11:$AI$259), ""), 0)),"")</f>
        <v/>
      </c>
      <c r="AM32" s="54" t="str">
        <f t="array" ref="AM32">IFERROR(INDEX($AI$11:$AI$259, MATCH(0, IF(TRUE=$AH$11:$AH$259, COUNTIF($AM$10:$AM31, $AI$11:$AI$259), ""), 0)),"")</f>
        <v/>
      </c>
      <c r="AN32" s="54"/>
      <c r="AQ32" s="47">
        <f t="shared" si="2"/>
        <v>0</v>
      </c>
    </row>
    <row r="33" spans="1:43" x14ac:dyDescent="0.3">
      <c r="A33" s="47" t="str">
        <f>IFERROR(INDEX('G-1 All Habitats'!$AG$3:$AG$15,MATCH(E33,'G-1 All Habitats'!$AF$3:$AF$15,0)),"")</f>
        <v/>
      </c>
      <c r="B33" s="47" t="str">
        <f>IFERROR(INDEX('G-8 Condition Look up'!$I$4:$I$130,MATCH(G33,'G-8 Condition Look up'!$A$4:$A$130,0)),"")</f>
        <v/>
      </c>
      <c r="D33" s="77">
        <v>23</v>
      </c>
      <c r="E33" s="78"/>
      <c r="F33" s="79"/>
      <c r="G33" s="69" t="str">
        <f>IFERROR(INDEX('G-1 All Habitats'!$B$3:$B$129,MATCH(F33,'G-1 All Habitats'!$A$3:$A$129,0)),"")</f>
        <v/>
      </c>
      <c r="H33" s="70"/>
      <c r="I33" s="498" t="str">
        <f>IF(G33="","",VLOOKUP(G33,'G-1 All Habitats'!$B$2:$M$129,10,FALSE))</f>
        <v/>
      </c>
      <c r="J33" s="499" t="str">
        <f>IFERROR(VLOOKUP(I33,'G-1 All Habitats'!$V$3:$W$7,2,FALSE),"")</f>
        <v/>
      </c>
      <c r="K33" s="71"/>
      <c r="L33" s="499" t="str">
        <f>IFERROR(INDEX('G-8 Condition Look up'!$A$3:$H$130,MATCH(G33,'G-8 Condition Look up'!$A$3:$A$130,0),MATCH(K33,'G-8 Condition Look up'!$A$3:$H$3,0)),"")</f>
        <v/>
      </c>
      <c r="M33" s="71"/>
      <c r="N33" s="520" t="str">
        <f>IF(M33="","",IF(VLOOKUP(M33,'G-3 Multipliers'!$L$3:$N$6,2,FALSE)=0,"Spatial Data Missing",VLOOKUP(M33,'G-3 Multipliers'!$L$3:$N$6,2,FALSE)))</f>
        <v/>
      </c>
      <c r="O33" s="505" t="str">
        <f>IF(M33="","",IF(VLOOKUP(M33,'G-3 Multipliers'!$L$3:$N$6,3,FALSE)=0,"Spatial Data Missing ▲",VLOOKUP(M33,'G-3 Multipliers'!$L$3:$N$6,3,FALSE)))</f>
        <v/>
      </c>
      <c r="P33" s="506" t="str">
        <f>IFERROR(VLOOKUP(G33,'G-1 All Habitats'!$B$2:$M$129,12,FALSE),"")</f>
        <v/>
      </c>
      <c r="Q33" s="513" t="str">
        <f>IFERROR(IF(P33="","",IF(AND(P33='G-1 All Habitats'!$X$3,T33&gt;0),U33+V33,IF(AND(P33='G-1 All Habitats'!$X$3,S33&gt;0),U33+V33,IF(AND(P33='G-1 All Habitats'!$X$3,AC33&gt;0),"Any Loss Unacceptable ▲",IF(AND(P33='G-1 All Habitats'!$X$3,W33&gt;0),"Any Loss Unacceptable ▲",H33*J33*L33*O33))))),"Check Data ▲")</f>
        <v/>
      </c>
      <c r="R33" s="50"/>
      <c r="S33" s="71"/>
      <c r="T33" s="72"/>
      <c r="U33" s="511" t="str">
        <f t="shared" si="3"/>
        <v/>
      </c>
      <c r="V33" s="511" t="str">
        <f t="shared" si="4"/>
        <v/>
      </c>
      <c r="W33" s="511" t="str">
        <f>IF(E33="","",IF(H33&lt;S33+T33,"Error in Areas ▲",IF(P33&lt;&gt;'G-1 All Habitats'!$X$3,H33-S33-T33,IF(AND(P33='G-1 All Habitats'!$X$3,Y33="Yes"),"Unacceptable Loss",IF(AND(P33='G-1 All Habitats'!$X$3,Y33="No"),AC33,IF(AND(P33='G-1 All Habitats'!$X$3,Y33=""),AC33,IF(AND(P33='G-1 All Habitats'!$X$3,AC33="None",AC33),IF(AND(P33='G-1 All Habitats'!$X$3,AC33&gt;0),H33-S33-T33))))))))</f>
        <v/>
      </c>
      <c r="X33" s="515" t="str">
        <f>IFERROR(IF(H33="","",IF(H33-S33-T33=0&lt;0,"Error in Areas ▲",IF(S33+T33&gt;H33,"Error in Areas ▲",IF(AND(P33='G-1 All Habitats'!$X$3,Y33="Yes"),"Alternative Compensation ✓",IF(W33=0,0,IF(P33='G-1 All Habitats'!$X$3,"Unacceptable Loss ▲",Q33-U33-V33)))))),"Check Data ▲")</f>
        <v/>
      </c>
      <c r="Y33" s="72"/>
      <c r="Z33" s="80"/>
      <c r="AA33" s="81"/>
      <c r="AC33" s="75" t="str">
        <f>IF(P33="","",IF(P33='G-1 All Habitats'!$X$3,H33-S33-T33,"None"))</f>
        <v/>
      </c>
      <c r="AD33" s="76" t="str">
        <f>IFERROR(AC33*J33*L33*#REF!*O33,IF(P33="","","None"))</f>
        <v/>
      </c>
      <c r="AF33" s="54" t="str">
        <f t="shared" si="0"/>
        <v/>
      </c>
      <c r="AG33" s="54" t="str">
        <f t="shared" si="1"/>
        <v/>
      </c>
      <c r="AH33" s="54" t="str">
        <f>IF(I33="","",IF(#REF!&gt;0,TRUE,FALSE))</f>
        <v/>
      </c>
      <c r="AI33" s="54">
        <v>23</v>
      </c>
      <c r="AJ33" s="54"/>
      <c r="AK33" s="54" t="str">
        <f t="array" ref="AK33">IFERROR(INDEX($AI$11:$AI$259, MATCH(0, IF(TRUE=$AF$11:$AF$259, COUNTIF($AK$10:$AK32, $AI$11:$AI$259), ""), 0)),"")</f>
        <v/>
      </c>
      <c r="AL33" s="54" t="str">
        <f t="array" ref="AL33">IFERROR(INDEX($AI$11:$AI$259, MATCH(0, IF(TRUE=$AG$11:$AG$259, COUNTIF($AL$10:$AL32, $AI$11:$AI$259), ""), 0)),"")</f>
        <v/>
      </c>
      <c r="AM33" s="54" t="str">
        <f t="array" ref="AM33">IFERROR(INDEX($AI$11:$AI$259, MATCH(0, IF(TRUE=$AH$11:$AH$259, COUNTIF($AM$10:$AM32, $AI$11:$AI$259), ""), 0)),"")</f>
        <v/>
      </c>
      <c r="AN33" s="54"/>
      <c r="AQ33" s="47">
        <f t="shared" si="2"/>
        <v>0</v>
      </c>
    </row>
    <row r="34" spans="1:43" x14ac:dyDescent="0.3">
      <c r="A34" s="47" t="str">
        <f>IFERROR(INDEX('G-1 All Habitats'!$AG$3:$AG$15,MATCH(E34,'G-1 All Habitats'!$AF$3:$AF$15,0)),"")</f>
        <v/>
      </c>
      <c r="B34" s="47" t="str">
        <f>IFERROR(INDEX('G-8 Condition Look up'!$I$4:$I$130,MATCH(G34,'G-8 Condition Look up'!$A$4:$A$130,0)),"")</f>
        <v/>
      </c>
      <c r="D34" s="77">
        <v>24</v>
      </c>
      <c r="E34" s="78"/>
      <c r="F34" s="79"/>
      <c r="G34" s="69" t="str">
        <f>IFERROR(INDEX('G-1 All Habitats'!$B$3:$B$129,MATCH(F34,'G-1 All Habitats'!$A$3:$A$129,0)),"")</f>
        <v/>
      </c>
      <c r="H34" s="70"/>
      <c r="I34" s="498" t="str">
        <f>IF(G34="","",VLOOKUP(G34,'G-1 All Habitats'!$B$2:$M$129,10,FALSE))</f>
        <v/>
      </c>
      <c r="J34" s="499" t="str">
        <f>IFERROR(VLOOKUP(I34,'G-1 All Habitats'!$V$3:$W$7,2,FALSE),"")</f>
        <v/>
      </c>
      <c r="K34" s="71"/>
      <c r="L34" s="499" t="str">
        <f>IFERROR(INDEX('G-8 Condition Look up'!$A$3:$H$130,MATCH(G34,'G-8 Condition Look up'!$A$3:$A$130,0),MATCH(K34,'G-8 Condition Look up'!$A$3:$H$3,0)),"")</f>
        <v/>
      </c>
      <c r="M34" s="71"/>
      <c r="N34" s="520" t="str">
        <f>IF(M34="","",IF(VLOOKUP(M34,'G-3 Multipliers'!$L$3:$N$6,2,FALSE)=0,"Spatial Data Missing",VLOOKUP(M34,'G-3 Multipliers'!$L$3:$N$6,2,FALSE)))</f>
        <v/>
      </c>
      <c r="O34" s="505" t="str">
        <f>IF(M34="","",IF(VLOOKUP(M34,'G-3 Multipliers'!$L$3:$N$6,3,FALSE)=0,"Spatial Data Missing ▲",VLOOKUP(M34,'G-3 Multipliers'!$L$3:$N$6,3,FALSE)))</f>
        <v/>
      </c>
      <c r="P34" s="506" t="str">
        <f>IFERROR(VLOOKUP(G34,'G-1 All Habitats'!$B$2:$M$129,12,FALSE),"")</f>
        <v/>
      </c>
      <c r="Q34" s="513" t="str">
        <f>IFERROR(IF(P34="","",IF(AND(P34='G-1 All Habitats'!$X$3,T34&gt;0),U34+V34,IF(AND(P34='G-1 All Habitats'!$X$3,S34&gt;0),U34+V34,IF(AND(P34='G-1 All Habitats'!$X$3,AC34&gt;0),"Any Loss Unacceptable ▲",IF(AND(P34='G-1 All Habitats'!$X$3,W34&gt;0),"Any Loss Unacceptable ▲",H34*J34*L34*O34))))),"Check Data ▲")</f>
        <v/>
      </c>
      <c r="R34" s="50"/>
      <c r="S34" s="71"/>
      <c r="T34" s="72"/>
      <c r="U34" s="511" t="str">
        <f t="shared" si="3"/>
        <v/>
      </c>
      <c r="V34" s="511" t="str">
        <f t="shared" si="4"/>
        <v/>
      </c>
      <c r="W34" s="511" t="str">
        <f>IF(E34="","",IF(H34&lt;S34+T34,"Error in Areas ▲",IF(P34&lt;&gt;'G-1 All Habitats'!$X$3,H34-S34-T34,IF(AND(P34='G-1 All Habitats'!$X$3,Y34="Yes"),"Unacceptable Loss",IF(AND(P34='G-1 All Habitats'!$X$3,Y34="No"),AC34,IF(AND(P34='G-1 All Habitats'!$X$3,Y34=""),AC34,IF(AND(P34='G-1 All Habitats'!$X$3,AC34="None",AC34),IF(AND(P34='G-1 All Habitats'!$X$3,AC34&gt;0),H34-S34-T34))))))))</f>
        <v/>
      </c>
      <c r="X34" s="515" t="str">
        <f>IFERROR(IF(H34="","",IF(H34-S34-T34=0&lt;0,"Error in Areas ▲",IF(S34+T34&gt;H34,"Error in Areas ▲",IF(AND(P34='G-1 All Habitats'!$X$3,Y34="Yes"),"Alternative Compensation ✓",IF(W34=0,0,IF(P34='G-1 All Habitats'!$X$3,"Unacceptable Loss ▲",Q34-U34-V34)))))),"Check Data ▲")</f>
        <v/>
      </c>
      <c r="Y34" s="72"/>
      <c r="Z34" s="80"/>
      <c r="AA34" s="81"/>
      <c r="AC34" s="75" t="str">
        <f>IF(P34="","",IF(P34='G-1 All Habitats'!$X$3,H34-S34-T34,"None"))</f>
        <v/>
      </c>
      <c r="AD34" s="76" t="str">
        <f>IFERROR(AC34*J34*L34*#REF!*O34,IF(P34="","","None"))</f>
        <v/>
      </c>
      <c r="AF34" s="54" t="str">
        <f t="shared" si="0"/>
        <v/>
      </c>
      <c r="AG34" s="54" t="str">
        <f t="shared" si="1"/>
        <v/>
      </c>
      <c r="AH34" s="54" t="str">
        <f>IF(I34="","",IF(#REF!&gt;0,TRUE,FALSE))</f>
        <v/>
      </c>
      <c r="AI34" s="54">
        <v>24</v>
      </c>
      <c r="AJ34" s="54"/>
      <c r="AK34" s="54" t="str">
        <f t="array" ref="AK34">IFERROR(INDEX($AI$11:$AI$259, MATCH(0, IF(TRUE=$AF$11:$AF$259, COUNTIF($AK$10:$AK33, $AI$11:$AI$259), ""), 0)),"")</f>
        <v/>
      </c>
      <c r="AL34" s="54" t="str">
        <f t="array" ref="AL34">IFERROR(INDEX($AI$11:$AI$259, MATCH(0, IF(TRUE=$AG$11:$AG$259, COUNTIF($AL$10:$AL33, $AI$11:$AI$259), ""), 0)),"")</f>
        <v/>
      </c>
      <c r="AM34" s="54" t="str">
        <f t="array" ref="AM34">IFERROR(INDEX($AI$11:$AI$259, MATCH(0, IF(TRUE=$AH$11:$AH$259, COUNTIF($AM$10:$AM33, $AI$11:$AI$259), ""), 0)),"")</f>
        <v/>
      </c>
      <c r="AN34" s="54"/>
      <c r="AQ34" s="47">
        <f t="shared" si="2"/>
        <v>0</v>
      </c>
    </row>
    <row r="35" spans="1:43" x14ac:dyDescent="0.3">
      <c r="A35" s="47" t="str">
        <f>IFERROR(INDEX('G-1 All Habitats'!$AG$3:$AG$15,MATCH(E35,'G-1 All Habitats'!$AF$3:$AF$15,0)),"")</f>
        <v/>
      </c>
      <c r="B35" s="47" t="str">
        <f>IFERROR(INDEX('G-8 Condition Look up'!$I$4:$I$130,MATCH(G35,'G-8 Condition Look up'!$A$4:$A$130,0)),"")</f>
        <v/>
      </c>
      <c r="D35" s="77">
        <v>25</v>
      </c>
      <c r="E35" s="78"/>
      <c r="F35" s="79"/>
      <c r="G35" s="69" t="str">
        <f>IFERROR(INDEX('G-1 All Habitats'!$B$3:$B$129,MATCH(F35,'G-1 All Habitats'!$A$3:$A$129,0)),"")</f>
        <v/>
      </c>
      <c r="H35" s="70"/>
      <c r="I35" s="498" t="str">
        <f>IF(G35="","",VLOOKUP(G35,'G-1 All Habitats'!$B$2:$M$129,10,FALSE))</f>
        <v/>
      </c>
      <c r="J35" s="499" t="str">
        <f>IFERROR(VLOOKUP(I35,'G-1 All Habitats'!$V$3:$W$7,2,FALSE),"")</f>
        <v/>
      </c>
      <c r="K35" s="71"/>
      <c r="L35" s="499" t="str">
        <f>IFERROR(INDEX('G-8 Condition Look up'!$A$3:$H$130,MATCH(G35,'G-8 Condition Look up'!$A$3:$A$130,0),MATCH(K35,'G-8 Condition Look up'!$A$3:$H$3,0)),"")</f>
        <v/>
      </c>
      <c r="M35" s="71"/>
      <c r="N35" s="520" t="str">
        <f>IF(M35="","",IF(VLOOKUP(M35,'G-3 Multipliers'!$L$3:$N$6,2,FALSE)=0,"Spatial Data Missing",VLOOKUP(M35,'G-3 Multipliers'!$L$3:$N$6,2,FALSE)))</f>
        <v/>
      </c>
      <c r="O35" s="505" t="str">
        <f>IF(M35="","",IF(VLOOKUP(M35,'G-3 Multipliers'!$L$3:$N$6,3,FALSE)=0,"Spatial Data Missing ▲",VLOOKUP(M35,'G-3 Multipliers'!$L$3:$N$6,3,FALSE)))</f>
        <v/>
      </c>
      <c r="P35" s="506" t="str">
        <f>IFERROR(VLOOKUP(G35,'G-1 All Habitats'!$B$2:$M$129,12,FALSE),"")</f>
        <v/>
      </c>
      <c r="Q35" s="513" t="str">
        <f>IFERROR(IF(P35="","",IF(AND(P35='G-1 All Habitats'!$X$3,T35&gt;0),U35+V35,IF(AND(P35='G-1 All Habitats'!$X$3,S35&gt;0),U35+V35,IF(AND(P35='G-1 All Habitats'!$X$3,AC35&gt;0),"Any Loss Unacceptable ▲",IF(AND(P35='G-1 All Habitats'!$X$3,W35&gt;0),"Any Loss Unacceptable ▲",H35*J35*L35*O35))))),"Check Data ▲")</f>
        <v/>
      </c>
      <c r="R35" s="50"/>
      <c r="S35" s="71"/>
      <c r="T35" s="72"/>
      <c r="U35" s="511" t="str">
        <f t="shared" si="3"/>
        <v/>
      </c>
      <c r="V35" s="511" t="str">
        <f t="shared" si="4"/>
        <v/>
      </c>
      <c r="W35" s="511" t="str">
        <f>IF(E35="","",IF(H35&lt;S35+T35,"Error in Areas ▲",IF(P35&lt;&gt;'G-1 All Habitats'!$X$3,H35-S35-T35,IF(AND(P35='G-1 All Habitats'!$X$3,Y35="Yes"),"Unacceptable Loss",IF(AND(P35='G-1 All Habitats'!$X$3,Y35="No"),AC35,IF(AND(P35='G-1 All Habitats'!$X$3,Y35=""),AC35,IF(AND(P35='G-1 All Habitats'!$X$3,AC35="None",AC35),IF(AND(P35='G-1 All Habitats'!$X$3,AC35&gt;0),H35-S35-T35))))))))</f>
        <v/>
      </c>
      <c r="X35" s="515" t="str">
        <f>IFERROR(IF(H35="","",IF(H35-S35-T35=0&lt;0,"Error in Areas ▲",IF(S35+T35&gt;H35,"Error in Areas ▲",IF(AND(P35='G-1 All Habitats'!$X$3,Y35="Yes"),"Alternative Compensation ✓",IF(W35=0,0,IF(P35='G-1 All Habitats'!$X$3,"Unacceptable Loss ▲",Q35-U35-V35)))))),"Check Data ▲")</f>
        <v/>
      </c>
      <c r="Y35" s="72"/>
      <c r="Z35" s="80"/>
      <c r="AA35" s="81"/>
      <c r="AC35" s="75" t="str">
        <f>IF(P35="","",IF(P35='G-1 All Habitats'!$X$3,H35-S35-T35,"None"))</f>
        <v/>
      </c>
      <c r="AD35" s="76" t="str">
        <f>IFERROR(AC35*J35*L35*#REF!*O35,IF(P35="","","None"))</f>
        <v/>
      </c>
      <c r="AF35" s="54" t="str">
        <f t="shared" si="0"/>
        <v/>
      </c>
      <c r="AG35" s="54" t="str">
        <f t="shared" si="1"/>
        <v/>
      </c>
      <c r="AH35" s="54" t="str">
        <f>IF(I35="","",IF(#REF!&gt;0,TRUE,FALSE))</f>
        <v/>
      </c>
      <c r="AI35" s="54">
        <v>25</v>
      </c>
      <c r="AJ35" s="54"/>
      <c r="AK35" s="54" t="str">
        <f t="array" ref="AK35">IFERROR(INDEX($AI$11:$AI$259, MATCH(0, IF(TRUE=$AF$11:$AF$259, COUNTIF($AK$10:$AK34, $AI$11:$AI$259), ""), 0)),"")</f>
        <v/>
      </c>
      <c r="AL35" s="54" t="str">
        <f t="array" ref="AL35">IFERROR(INDEX($AI$11:$AI$259, MATCH(0, IF(TRUE=$AG$11:$AG$259, COUNTIF($AL$10:$AL34, $AI$11:$AI$259), ""), 0)),"")</f>
        <v/>
      </c>
      <c r="AM35" s="54" t="str">
        <f t="array" ref="AM35">IFERROR(INDEX($AI$11:$AI$259, MATCH(0, IF(TRUE=$AH$11:$AH$259, COUNTIF($AM$10:$AM34, $AI$11:$AI$259), ""), 0)),"")</f>
        <v/>
      </c>
      <c r="AN35" s="54"/>
      <c r="AQ35" s="47">
        <f t="shared" si="2"/>
        <v>0</v>
      </c>
    </row>
    <row r="36" spans="1:43" x14ac:dyDescent="0.3">
      <c r="A36" s="47" t="str">
        <f>IFERROR(INDEX('G-1 All Habitats'!$AG$3:$AG$15,MATCH(E36,'G-1 All Habitats'!$AF$3:$AF$15,0)),"")</f>
        <v/>
      </c>
      <c r="B36" s="47" t="str">
        <f>IFERROR(INDEX('G-8 Condition Look up'!$I$4:$I$130,MATCH(G36,'G-8 Condition Look up'!$A$4:$A$130,0)),"")</f>
        <v/>
      </c>
      <c r="D36" s="77">
        <v>26</v>
      </c>
      <c r="E36" s="78"/>
      <c r="F36" s="79"/>
      <c r="G36" s="69" t="str">
        <f>IFERROR(INDEX('G-1 All Habitats'!$B$3:$B$129,MATCH(F36,'G-1 All Habitats'!$A$3:$A$129,0)),"")</f>
        <v/>
      </c>
      <c r="H36" s="70"/>
      <c r="I36" s="498" t="str">
        <f>IF(G36="","",VLOOKUP(G36,'G-1 All Habitats'!$B$2:$M$129,10,FALSE))</f>
        <v/>
      </c>
      <c r="J36" s="499" t="str">
        <f>IFERROR(VLOOKUP(I36,'G-1 All Habitats'!$V$3:$W$7,2,FALSE),"")</f>
        <v/>
      </c>
      <c r="K36" s="71"/>
      <c r="L36" s="499" t="str">
        <f>IFERROR(INDEX('G-8 Condition Look up'!$A$3:$H$130,MATCH(G36,'G-8 Condition Look up'!$A$3:$A$130,0),MATCH(K36,'G-8 Condition Look up'!$A$3:$H$3,0)),"")</f>
        <v/>
      </c>
      <c r="M36" s="71"/>
      <c r="N36" s="520" t="str">
        <f>IF(M36="","",IF(VLOOKUP(M36,'G-3 Multipliers'!$L$3:$N$6,2,FALSE)=0,"Spatial Data Missing",VLOOKUP(M36,'G-3 Multipliers'!$L$3:$N$6,2,FALSE)))</f>
        <v/>
      </c>
      <c r="O36" s="505" t="str">
        <f>IF(M36="","",IF(VLOOKUP(M36,'G-3 Multipliers'!$L$3:$N$6,3,FALSE)=0,"Spatial Data Missing ▲",VLOOKUP(M36,'G-3 Multipliers'!$L$3:$N$6,3,FALSE)))</f>
        <v/>
      </c>
      <c r="P36" s="506" t="str">
        <f>IFERROR(VLOOKUP(G36,'G-1 All Habitats'!$B$2:$M$129,12,FALSE),"")</f>
        <v/>
      </c>
      <c r="Q36" s="513" t="str">
        <f>IFERROR(IF(P36="","",IF(AND(P36='G-1 All Habitats'!$X$3,T36&gt;0),U36+V36,IF(AND(P36='G-1 All Habitats'!$X$3,S36&gt;0),U36+V36,IF(AND(P36='G-1 All Habitats'!$X$3,AC36&gt;0),"Any Loss Unacceptable ▲",IF(AND(P36='G-1 All Habitats'!$X$3,W36&gt;0),"Any Loss Unacceptable ▲",H36*J36*L36*O36))))),"Check Data ▲")</f>
        <v/>
      </c>
      <c r="R36" s="50"/>
      <c r="S36" s="71"/>
      <c r="T36" s="72"/>
      <c r="U36" s="511" t="str">
        <f t="shared" si="3"/>
        <v/>
      </c>
      <c r="V36" s="511" t="str">
        <f t="shared" si="4"/>
        <v/>
      </c>
      <c r="W36" s="511" t="str">
        <f>IF(E36="","",IF(H36&lt;S36+T36,"Error in Areas ▲",IF(P36&lt;&gt;'G-1 All Habitats'!$X$3,H36-S36-T36,IF(AND(P36='G-1 All Habitats'!$X$3,Y36="Yes"),"Unacceptable Loss",IF(AND(P36='G-1 All Habitats'!$X$3,Y36="No"),AC36,IF(AND(P36='G-1 All Habitats'!$X$3,Y36=""),AC36,IF(AND(P36='G-1 All Habitats'!$X$3,AC36="None",AC36),IF(AND(P36='G-1 All Habitats'!$X$3,AC36&gt;0),H36-S36-T36))))))))</f>
        <v/>
      </c>
      <c r="X36" s="515" t="str">
        <f>IFERROR(IF(H36="","",IF(H36-S36-T36=0&lt;0,"Error in Areas ▲",IF(S36+T36&gt;H36,"Error in Areas ▲",IF(AND(P36='G-1 All Habitats'!$X$3,Y36="Yes"),"Alternative Compensation ✓",IF(W36=0,0,IF(P36='G-1 All Habitats'!$X$3,"Unacceptable Loss ▲",Q36-U36-V36)))))),"Check Data ▲")</f>
        <v/>
      </c>
      <c r="Y36" s="72"/>
      <c r="Z36" s="80"/>
      <c r="AA36" s="81"/>
      <c r="AC36" s="75" t="str">
        <f>IF(P36="","",IF(P36='G-1 All Habitats'!$X$3,H36-S36-T36,"None"))</f>
        <v/>
      </c>
      <c r="AD36" s="76" t="str">
        <f>IFERROR(AC36*J36*L36*#REF!*O36,IF(P36="","","None"))</f>
        <v/>
      </c>
      <c r="AF36" s="54" t="str">
        <f t="shared" si="0"/>
        <v/>
      </c>
      <c r="AG36" s="54" t="str">
        <f t="shared" si="1"/>
        <v/>
      </c>
      <c r="AH36" s="54" t="str">
        <f>IF(I36="","",IF(#REF!&gt;0,TRUE,FALSE))</f>
        <v/>
      </c>
      <c r="AI36" s="54">
        <v>26</v>
      </c>
      <c r="AJ36" s="54"/>
      <c r="AK36" s="54" t="str">
        <f t="array" ref="AK36">IFERROR(INDEX($AI$11:$AI$259, MATCH(0, IF(TRUE=$AF$11:$AF$259, COUNTIF($AK$10:$AK35, $AI$11:$AI$259), ""), 0)),"")</f>
        <v/>
      </c>
      <c r="AL36" s="54" t="str">
        <f t="array" ref="AL36">IFERROR(INDEX($AI$11:$AI$259, MATCH(0, IF(TRUE=$AG$11:$AG$259, COUNTIF($AL$10:$AL35, $AI$11:$AI$259), ""), 0)),"")</f>
        <v/>
      </c>
      <c r="AM36" s="54" t="str">
        <f t="array" ref="AM36">IFERROR(INDEX($AI$11:$AI$259, MATCH(0, IF(TRUE=$AH$11:$AH$259, COUNTIF($AM$10:$AM35, $AI$11:$AI$259), ""), 0)),"")</f>
        <v/>
      </c>
      <c r="AN36" s="54"/>
      <c r="AQ36" s="47">
        <f t="shared" si="2"/>
        <v>0</v>
      </c>
    </row>
    <row r="37" spans="1:43" x14ac:dyDescent="0.3">
      <c r="A37" s="47" t="str">
        <f>IFERROR(INDEX('G-1 All Habitats'!$AG$3:$AG$15,MATCH(E37,'G-1 All Habitats'!$AF$3:$AF$15,0)),"")</f>
        <v/>
      </c>
      <c r="B37" s="47" t="str">
        <f>IFERROR(INDEX('G-8 Condition Look up'!$I$4:$I$130,MATCH(G37,'G-8 Condition Look up'!$A$4:$A$130,0)),"")</f>
        <v/>
      </c>
      <c r="D37" s="77">
        <v>27</v>
      </c>
      <c r="E37" s="78"/>
      <c r="F37" s="79"/>
      <c r="G37" s="69" t="str">
        <f>IFERROR(INDEX('G-1 All Habitats'!$B$3:$B$129,MATCH(F37,'G-1 All Habitats'!$A$3:$A$129,0)),"")</f>
        <v/>
      </c>
      <c r="H37" s="70"/>
      <c r="I37" s="498" t="str">
        <f>IF(G37="","",VLOOKUP(G37,'G-1 All Habitats'!$B$2:$M$129,10,FALSE))</f>
        <v/>
      </c>
      <c r="J37" s="499" t="str">
        <f>IFERROR(VLOOKUP(I37,'G-1 All Habitats'!$V$3:$W$7,2,FALSE),"")</f>
        <v/>
      </c>
      <c r="K37" s="71"/>
      <c r="L37" s="499" t="str">
        <f>IFERROR(INDEX('G-8 Condition Look up'!$A$3:$H$130,MATCH(G37,'G-8 Condition Look up'!$A$3:$A$130,0),MATCH(K37,'G-8 Condition Look up'!$A$3:$H$3,0)),"")</f>
        <v/>
      </c>
      <c r="M37" s="71"/>
      <c r="N37" s="520" t="str">
        <f>IF(M37="","",IF(VLOOKUP(M37,'G-3 Multipliers'!$L$3:$N$6,2,FALSE)=0,"Spatial Data Missing",VLOOKUP(M37,'G-3 Multipliers'!$L$3:$N$6,2,FALSE)))</f>
        <v/>
      </c>
      <c r="O37" s="505" t="str">
        <f>IF(M37="","",IF(VLOOKUP(M37,'G-3 Multipliers'!$L$3:$N$6,3,FALSE)=0,"Spatial Data Missing ▲",VLOOKUP(M37,'G-3 Multipliers'!$L$3:$N$6,3,FALSE)))</f>
        <v/>
      </c>
      <c r="P37" s="506" t="str">
        <f>IFERROR(VLOOKUP(G37,'G-1 All Habitats'!$B$2:$M$129,12,FALSE),"")</f>
        <v/>
      </c>
      <c r="Q37" s="513" t="str">
        <f>IFERROR(IF(P37="","",IF(AND(P37='G-1 All Habitats'!$X$3,T37&gt;0),U37+V37,IF(AND(P37='G-1 All Habitats'!$X$3,S37&gt;0),U37+V37,IF(AND(P37='G-1 All Habitats'!$X$3,AC37&gt;0),"Any Loss Unacceptable ▲",IF(AND(P37='G-1 All Habitats'!$X$3,W37&gt;0),"Any Loss Unacceptable ▲",H37*J37*L37*O37))))),"Check Data ▲")</f>
        <v/>
      </c>
      <c r="R37" s="50"/>
      <c r="S37" s="71"/>
      <c r="T37" s="72"/>
      <c r="U37" s="511" t="str">
        <f t="shared" si="3"/>
        <v/>
      </c>
      <c r="V37" s="511" t="str">
        <f t="shared" si="4"/>
        <v/>
      </c>
      <c r="W37" s="511" t="str">
        <f>IF(E37="","",IF(H37&lt;S37+T37,"Error in Areas ▲",IF(P37&lt;&gt;'G-1 All Habitats'!$X$3,H37-S37-T37,IF(AND(P37='G-1 All Habitats'!$X$3,Y37="Yes"),"Unacceptable Loss",IF(AND(P37='G-1 All Habitats'!$X$3,Y37="No"),AC37,IF(AND(P37='G-1 All Habitats'!$X$3,Y37=""),AC37,IF(AND(P37='G-1 All Habitats'!$X$3,AC37="None",AC37),IF(AND(P37='G-1 All Habitats'!$X$3,AC37&gt;0),H37-S37-T37))))))))</f>
        <v/>
      </c>
      <c r="X37" s="515" t="str">
        <f>IFERROR(IF(H37="","",IF(H37-S37-T37=0&lt;0,"Error in Areas ▲",IF(S37+T37&gt;H37,"Error in Areas ▲",IF(AND(P37='G-1 All Habitats'!$X$3,Y37="Yes"),"Alternative Compensation ✓",IF(W37=0,0,IF(P37='G-1 All Habitats'!$X$3,"Unacceptable Loss ▲",Q37-U37-V37)))))),"Check Data ▲")</f>
        <v/>
      </c>
      <c r="Y37" s="72"/>
      <c r="Z37" s="80"/>
      <c r="AA37" s="81"/>
      <c r="AC37" s="75" t="str">
        <f>IF(P37="","",IF(P37='G-1 All Habitats'!$X$3,H37-S37-T37,"None"))</f>
        <v/>
      </c>
      <c r="AD37" s="76" t="str">
        <f>IFERROR(AC37*J37*L37*#REF!*O37,IF(P37="","","None"))</f>
        <v/>
      </c>
      <c r="AF37" s="54" t="str">
        <f t="shared" si="0"/>
        <v/>
      </c>
      <c r="AG37" s="54" t="str">
        <f t="shared" si="1"/>
        <v/>
      </c>
      <c r="AH37" s="54" t="str">
        <f>IF(I37="","",IF(#REF!&gt;0,TRUE,FALSE))</f>
        <v/>
      </c>
      <c r="AI37" s="54">
        <v>27</v>
      </c>
      <c r="AJ37" s="54"/>
      <c r="AK37" s="54" t="str">
        <f t="array" ref="AK37">IFERROR(INDEX($AI$11:$AI$259, MATCH(0, IF(TRUE=$AF$11:$AF$259, COUNTIF($AK$10:$AK36, $AI$11:$AI$259), ""), 0)),"")</f>
        <v/>
      </c>
      <c r="AL37" s="54" t="str">
        <f t="array" ref="AL37">IFERROR(INDEX($AI$11:$AI$259, MATCH(0, IF(TRUE=$AG$11:$AG$259, COUNTIF($AL$10:$AL36, $AI$11:$AI$259), ""), 0)),"")</f>
        <v/>
      </c>
      <c r="AM37" s="54" t="str">
        <f t="array" ref="AM37">IFERROR(INDEX($AI$11:$AI$259, MATCH(0, IF(TRUE=$AH$11:$AH$259, COUNTIF($AM$10:$AM36, $AI$11:$AI$259), ""), 0)),"")</f>
        <v/>
      </c>
      <c r="AN37" s="54"/>
      <c r="AQ37" s="47">
        <f t="shared" si="2"/>
        <v>0</v>
      </c>
    </row>
    <row r="38" spans="1:43" x14ac:dyDescent="0.3">
      <c r="A38" s="47" t="str">
        <f>IFERROR(INDEX('G-1 All Habitats'!$AG$3:$AG$15,MATCH(E38,'G-1 All Habitats'!$AF$3:$AF$15,0)),"")</f>
        <v/>
      </c>
      <c r="B38" s="47" t="str">
        <f>IFERROR(INDEX('G-8 Condition Look up'!$I$4:$I$130,MATCH(G38,'G-8 Condition Look up'!$A$4:$A$130,0)),"")</f>
        <v/>
      </c>
      <c r="D38" s="77">
        <v>28</v>
      </c>
      <c r="E38" s="78"/>
      <c r="F38" s="79"/>
      <c r="G38" s="69" t="str">
        <f>IFERROR(INDEX('G-1 All Habitats'!$B$3:$B$129,MATCH(F38,'G-1 All Habitats'!$A$3:$A$129,0)),"")</f>
        <v/>
      </c>
      <c r="H38" s="70"/>
      <c r="I38" s="498" t="str">
        <f>IF(G38="","",VLOOKUP(G38,'G-1 All Habitats'!$B$2:$M$129,10,FALSE))</f>
        <v/>
      </c>
      <c r="J38" s="499" t="str">
        <f>IFERROR(VLOOKUP(I38,'G-1 All Habitats'!$V$3:$W$7,2,FALSE),"")</f>
        <v/>
      </c>
      <c r="K38" s="71"/>
      <c r="L38" s="499" t="str">
        <f>IFERROR(INDEX('G-8 Condition Look up'!$A$3:$H$130,MATCH(G38,'G-8 Condition Look up'!$A$3:$A$130,0),MATCH(K38,'G-8 Condition Look up'!$A$3:$H$3,0)),"")</f>
        <v/>
      </c>
      <c r="M38" s="71"/>
      <c r="N38" s="520" t="str">
        <f>IF(M38="","",IF(VLOOKUP(M38,'G-3 Multipliers'!$L$3:$N$6,2,FALSE)=0,"Spatial Data Missing",VLOOKUP(M38,'G-3 Multipliers'!$L$3:$N$6,2,FALSE)))</f>
        <v/>
      </c>
      <c r="O38" s="505" t="str">
        <f>IF(M38="","",IF(VLOOKUP(M38,'G-3 Multipliers'!$L$3:$N$6,3,FALSE)=0,"Spatial Data Missing ▲",VLOOKUP(M38,'G-3 Multipliers'!$L$3:$N$6,3,FALSE)))</f>
        <v/>
      </c>
      <c r="P38" s="506" t="str">
        <f>IFERROR(VLOOKUP(G38,'G-1 All Habitats'!$B$2:$M$129,12,FALSE),"")</f>
        <v/>
      </c>
      <c r="Q38" s="513" t="str">
        <f>IFERROR(IF(P38="","",IF(AND(P38='G-1 All Habitats'!$X$3,T38&gt;0),U38+V38,IF(AND(P38='G-1 All Habitats'!$X$3,S38&gt;0),U38+V38,IF(AND(P38='G-1 All Habitats'!$X$3,AC38&gt;0),"Any Loss Unacceptable ▲",IF(AND(P38='G-1 All Habitats'!$X$3,W38&gt;0),"Any Loss Unacceptable ▲",H38*J38*L38*O38))))),"Check Data ▲")</f>
        <v/>
      </c>
      <c r="R38" s="50"/>
      <c r="S38" s="71"/>
      <c r="T38" s="72"/>
      <c r="U38" s="511" t="str">
        <f t="shared" si="3"/>
        <v/>
      </c>
      <c r="V38" s="511" t="str">
        <f t="shared" si="4"/>
        <v/>
      </c>
      <c r="W38" s="511" t="str">
        <f>IF(E38="","",IF(H38&lt;S38+T38,"Error in Areas ▲",IF(P38&lt;&gt;'G-1 All Habitats'!$X$3,H38-S38-T38,IF(AND(P38='G-1 All Habitats'!$X$3,Y38="Yes"),"Unacceptable Loss",IF(AND(P38='G-1 All Habitats'!$X$3,Y38="No"),AC38,IF(AND(P38='G-1 All Habitats'!$X$3,Y38=""),AC38,IF(AND(P38='G-1 All Habitats'!$X$3,AC38="None",AC38),IF(AND(P38='G-1 All Habitats'!$X$3,AC38&gt;0),H38-S38-T38))))))))</f>
        <v/>
      </c>
      <c r="X38" s="515" t="str">
        <f>IFERROR(IF(H38="","",IF(H38-S38-T38=0&lt;0,"Error in Areas ▲",IF(S38+T38&gt;H38,"Error in Areas ▲",IF(AND(P38='G-1 All Habitats'!$X$3,Y38="Yes"),"Alternative Compensation ✓",IF(W38=0,0,IF(P38='G-1 All Habitats'!$X$3,"Unacceptable Loss ▲",Q38-U38-V38)))))),"Check Data ▲")</f>
        <v/>
      </c>
      <c r="Y38" s="72"/>
      <c r="Z38" s="80"/>
      <c r="AA38" s="81"/>
      <c r="AC38" s="75" t="str">
        <f>IF(P38="","",IF(P38='G-1 All Habitats'!$X$3,H38-S38-T38,"None"))</f>
        <v/>
      </c>
      <c r="AD38" s="76" t="str">
        <f>IFERROR(AC38*J38*L38*#REF!*O38,IF(P38="","","None"))</f>
        <v/>
      </c>
      <c r="AF38" s="54" t="str">
        <f t="shared" si="0"/>
        <v/>
      </c>
      <c r="AG38" s="54" t="str">
        <f t="shared" si="1"/>
        <v/>
      </c>
      <c r="AH38" s="54" t="str">
        <f>IF(I38="","",IF(#REF!&gt;0,TRUE,FALSE))</f>
        <v/>
      </c>
      <c r="AI38" s="54">
        <v>28</v>
      </c>
      <c r="AJ38" s="54"/>
      <c r="AK38" s="54" t="str">
        <f t="array" ref="AK38">IFERROR(INDEX($AI$11:$AI$259, MATCH(0, IF(TRUE=$AF$11:$AF$259, COUNTIF($AK$10:$AK37, $AI$11:$AI$259), ""), 0)),"")</f>
        <v/>
      </c>
      <c r="AL38" s="54" t="str">
        <f t="array" ref="AL38">IFERROR(INDEX($AI$11:$AI$259, MATCH(0, IF(TRUE=$AG$11:$AG$259, COUNTIF($AL$10:$AL37, $AI$11:$AI$259), ""), 0)),"")</f>
        <v/>
      </c>
      <c r="AM38" s="54" t="str">
        <f t="array" ref="AM38">IFERROR(INDEX($AI$11:$AI$259, MATCH(0, IF(TRUE=$AH$11:$AH$259, COUNTIF($AM$10:$AM37, $AI$11:$AI$259), ""), 0)),"")</f>
        <v/>
      </c>
      <c r="AN38" s="54"/>
      <c r="AQ38" s="47">
        <f t="shared" si="2"/>
        <v>0</v>
      </c>
    </row>
    <row r="39" spans="1:43" x14ac:dyDescent="0.3">
      <c r="A39" s="47" t="str">
        <f>IFERROR(INDEX('G-1 All Habitats'!$AG$3:$AG$15,MATCH(E39,'G-1 All Habitats'!$AF$3:$AF$15,0)),"")</f>
        <v/>
      </c>
      <c r="B39" s="47" t="str">
        <f>IFERROR(INDEX('G-8 Condition Look up'!$I$4:$I$130,MATCH(G39,'G-8 Condition Look up'!$A$4:$A$130,0)),"")</f>
        <v/>
      </c>
      <c r="D39" s="77">
        <v>29</v>
      </c>
      <c r="E39" s="78"/>
      <c r="F39" s="79"/>
      <c r="G39" s="69" t="str">
        <f>IFERROR(INDEX('G-1 All Habitats'!$B$3:$B$129,MATCH(F39,'G-1 All Habitats'!$A$3:$A$129,0)),"")</f>
        <v/>
      </c>
      <c r="H39" s="70"/>
      <c r="I39" s="498" t="str">
        <f>IF(G39="","",VLOOKUP(G39,'G-1 All Habitats'!$B$2:$M$129,10,FALSE))</f>
        <v/>
      </c>
      <c r="J39" s="499" t="str">
        <f>IFERROR(VLOOKUP(I39,'G-1 All Habitats'!$V$3:$W$7,2,FALSE),"")</f>
        <v/>
      </c>
      <c r="K39" s="71"/>
      <c r="L39" s="499" t="str">
        <f>IFERROR(INDEX('G-8 Condition Look up'!$A$3:$H$130,MATCH(G39,'G-8 Condition Look up'!$A$3:$A$130,0),MATCH(K39,'G-8 Condition Look up'!$A$3:$H$3,0)),"")</f>
        <v/>
      </c>
      <c r="M39" s="71"/>
      <c r="N39" s="520" t="str">
        <f>IF(M39="","",IF(VLOOKUP(M39,'G-3 Multipliers'!$L$3:$N$6,2,FALSE)=0,"Spatial Data Missing",VLOOKUP(M39,'G-3 Multipliers'!$L$3:$N$6,2,FALSE)))</f>
        <v/>
      </c>
      <c r="O39" s="505" t="str">
        <f>IF(M39="","",IF(VLOOKUP(M39,'G-3 Multipliers'!$L$3:$N$6,3,FALSE)=0,"Spatial Data Missing ▲",VLOOKUP(M39,'G-3 Multipliers'!$L$3:$N$6,3,FALSE)))</f>
        <v/>
      </c>
      <c r="P39" s="506" t="str">
        <f>IFERROR(VLOOKUP(G39,'G-1 All Habitats'!$B$2:$M$129,12,FALSE),"")</f>
        <v/>
      </c>
      <c r="Q39" s="513" t="str">
        <f>IFERROR(IF(P39="","",IF(AND(P39='G-1 All Habitats'!$X$3,T39&gt;0),U39+V39,IF(AND(P39='G-1 All Habitats'!$X$3,S39&gt;0),U39+V39,IF(AND(P39='G-1 All Habitats'!$X$3,AC39&gt;0),"Any Loss Unacceptable ▲",IF(AND(P39='G-1 All Habitats'!$X$3,W39&gt;0),"Any Loss Unacceptable ▲",H39*J39*L39*O39))))),"Check Data ▲")</f>
        <v/>
      </c>
      <c r="R39" s="50"/>
      <c r="S39" s="71"/>
      <c r="T39" s="72"/>
      <c r="U39" s="511" t="str">
        <f t="shared" si="3"/>
        <v/>
      </c>
      <c r="V39" s="511" t="str">
        <f t="shared" si="4"/>
        <v/>
      </c>
      <c r="W39" s="511" t="str">
        <f>IF(E39="","",IF(H39&lt;S39+T39,"Error in Areas ▲",IF(P39&lt;&gt;'G-1 All Habitats'!$X$3,H39-S39-T39,IF(AND(P39='G-1 All Habitats'!$X$3,Y39="Yes"),"Unacceptable Loss",IF(AND(P39='G-1 All Habitats'!$X$3,Y39="No"),AC39,IF(AND(P39='G-1 All Habitats'!$X$3,Y39=""),AC39,IF(AND(P39='G-1 All Habitats'!$X$3,AC39="None",AC39),IF(AND(P39='G-1 All Habitats'!$X$3,AC39&gt;0),H39-S39-T39))))))))</f>
        <v/>
      </c>
      <c r="X39" s="515" t="str">
        <f>IFERROR(IF(H39="","",IF(H39-S39-T39=0&lt;0,"Error in Areas ▲",IF(S39+T39&gt;H39,"Error in Areas ▲",IF(AND(P39='G-1 All Habitats'!$X$3,Y39="Yes"),"Alternative Compensation ✓",IF(W39=0,0,IF(P39='G-1 All Habitats'!$X$3,"Unacceptable Loss ▲",Q39-U39-V39)))))),"Check Data ▲")</f>
        <v/>
      </c>
      <c r="Y39" s="72"/>
      <c r="Z39" s="80"/>
      <c r="AA39" s="81"/>
      <c r="AC39" s="75" t="str">
        <f>IF(P39="","",IF(P39='G-1 All Habitats'!$X$3,H39-S39-T39,"None"))</f>
        <v/>
      </c>
      <c r="AD39" s="76" t="str">
        <f>IFERROR(AC39*J39*L39*#REF!*O39,IF(P39="","","None"))</f>
        <v/>
      </c>
      <c r="AF39" s="54" t="str">
        <f t="shared" si="0"/>
        <v/>
      </c>
      <c r="AG39" s="54" t="str">
        <f t="shared" si="1"/>
        <v/>
      </c>
      <c r="AH39" s="54" t="str">
        <f>IF(I39="","",IF(#REF!&gt;0,TRUE,FALSE))</f>
        <v/>
      </c>
      <c r="AI39" s="54">
        <v>29</v>
      </c>
      <c r="AJ39" s="54"/>
      <c r="AK39" s="54" t="str">
        <f t="array" ref="AK39">IFERROR(INDEX($AI$11:$AI$259, MATCH(0, IF(TRUE=$AF$11:$AF$259, COUNTIF($AK$10:$AK38, $AI$11:$AI$259), ""), 0)),"")</f>
        <v/>
      </c>
      <c r="AL39" s="54" t="str">
        <f t="array" ref="AL39">IFERROR(INDEX($AI$11:$AI$259, MATCH(0, IF(TRUE=$AG$11:$AG$259, COUNTIF($AL$10:$AL38, $AI$11:$AI$259), ""), 0)),"")</f>
        <v/>
      </c>
      <c r="AM39" s="54" t="str">
        <f t="array" ref="AM39">IFERROR(INDEX($AI$11:$AI$259, MATCH(0, IF(TRUE=$AH$11:$AH$259, COUNTIF($AM$10:$AM38, $AI$11:$AI$259), ""), 0)),"")</f>
        <v/>
      </c>
      <c r="AN39" s="54"/>
      <c r="AQ39" s="47">
        <f t="shared" si="2"/>
        <v>0</v>
      </c>
    </row>
    <row r="40" spans="1:43" x14ac:dyDescent="0.3">
      <c r="A40" s="47" t="str">
        <f>IFERROR(INDEX('G-1 All Habitats'!$AG$3:$AG$15,MATCH(E40,'G-1 All Habitats'!$AF$3:$AF$15,0)),"")</f>
        <v/>
      </c>
      <c r="B40" s="47" t="str">
        <f>IFERROR(INDEX('G-8 Condition Look up'!$I$4:$I$130,MATCH(G40,'G-8 Condition Look up'!$A$4:$A$130,0)),"")</f>
        <v/>
      </c>
      <c r="D40" s="77">
        <v>30</v>
      </c>
      <c r="E40" s="78"/>
      <c r="F40" s="79"/>
      <c r="G40" s="69" t="str">
        <f>IFERROR(INDEX('G-1 All Habitats'!$B$3:$B$129,MATCH(F40,'G-1 All Habitats'!$A$3:$A$129,0)),"")</f>
        <v/>
      </c>
      <c r="H40" s="70"/>
      <c r="I40" s="498" t="str">
        <f>IF(G40="","",VLOOKUP(G40,'G-1 All Habitats'!$B$2:$M$129,10,FALSE))</f>
        <v/>
      </c>
      <c r="J40" s="499" t="str">
        <f>IFERROR(VLOOKUP(I40,'G-1 All Habitats'!$V$3:$W$7,2,FALSE),"")</f>
        <v/>
      </c>
      <c r="K40" s="71"/>
      <c r="L40" s="499" t="str">
        <f>IFERROR(INDEX('G-8 Condition Look up'!$A$3:$H$130,MATCH(G40,'G-8 Condition Look up'!$A$3:$A$130,0),MATCH(K40,'G-8 Condition Look up'!$A$3:$H$3,0)),"")</f>
        <v/>
      </c>
      <c r="M40" s="71"/>
      <c r="N40" s="520" t="str">
        <f>IF(M40="","",IF(VLOOKUP(M40,'G-3 Multipliers'!$L$3:$N$6,2,FALSE)=0,"Spatial Data Missing",VLOOKUP(M40,'G-3 Multipliers'!$L$3:$N$6,2,FALSE)))</f>
        <v/>
      </c>
      <c r="O40" s="505" t="str">
        <f>IF(M40="","",IF(VLOOKUP(M40,'G-3 Multipliers'!$L$3:$N$6,3,FALSE)=0,"Spatial Data Missing ▲",VLOOKUP(M40,'G-3 Multipliers'!$L$3:$N$6,3,FALSE)))</f>
        <v/>
      </c>
      <c r="P40" s="506" t="str">
        <f>IFERROR(VLOOKUP(G40,'G-1 All Habitats'!$B$2:$M$129,12,FALSE),"")</f>
        <v/>
      </c>
      <c r="Q40" s="513" t="str">
        <f>IFERROR(IF(P40="","",IF(AND(P40='G-1 All Habitats'!$X$3,T40&gt;0),U40+V40,IF(AND(P40='G-1 All Habitats'!$X$3,S40&gt;0),U40+V40,IF(AND(P40='G-1 All Habitats'!$X$3,AC40&gt;0),"Any Loss Unacceptable ▲",IF(AND(P40='G-1 All Habitats'!$X$3,W40&gt;0),"Any Loss Unacceptable ▲",H40*J40*L40*O40))))),"Check Data ▲")</f>
        <v/>
      </c>
      <c r="R40" s="50"/>
      <c r="S40" s="71"/>
      <c r="T40" s="72"/>
      <c r="U40" s="511" t="str">
        <f t="shared" si="3"/>
        <v/>
      </c>
      <c r="V40" s="511" t="str">
        <f t="shared" si="4"/>
        <v/>
      </c>
      <c r="W40" s="511" t="str">
        <f>IF(E40="","",IF(H40&lt;S40+T40,"Error in Areas ▲",IF(P40&lt;&gt;'G-1 All Habitats'!$X$3,H40-S40-T40,IF(AND(P40='G-1 All Habitats'!$X$3,Y40="Yes"),"Unacceptable Loss",IF(AND(P40='G-1 All Habitats'!$X$3,Y40="No"),AC40,IF(AND(P40='G-1 All Habitats'!$X$3,Y40=""),AC40,IF(AND(P40='G-1 All Habitats'!$X$3,AC40="None",AC40),IF(AND(P40='G-1 All Habitats'!$X$3,AC40&gt;0),H40-S40-T40))))))))</f>
        <v/>
      </c>
      <c r="X40" s="515" t="str">
        <f>IFERROR(IF(H40="","",IF(H40-S40-T40=0&lt;0,"Error in Areas ▲",IF(S40+T40&gt;H40,"Error in Areas ▲",IF(AND(P40='G-1 All Habitats'!$X$3,Y40="Yes"),"Alternative Compensation ✓",IF(W40=0,0,IF(P40='G-1 All Habitats'!$X$3,"Unacceptable Loss ▲",Q40-U40-V40)))))),"Check Data ▲")</f>
        <v/>
      </c>
      <c r="Y40" s="72"/>
      <c r="Z40" s="80"/>
      <c r="AA40" s="81"/>
      <c r="AC40" s="75" t="str">
        <f>IF(P40="","",IF(P40='G-1 All Habitats'!$X$3,H40-S40-T40,"None"))</f>
        <v/>
      </c>
      <c r="AD40" s="76" t="str">
        <f>IFERROR(AC40*J40*L40*#REF!*O40,IF(P40="","","None"))</f>
        <v/>
      </c>
      <c r="AF40" s="54" t="str">
        <f t="shared" si="0"/>
        <v/>
      </c>
      <c r="AG40" s="54" t="str">
        <f t="shared" si="1"/>
        <v/>
      </c>
      <c r="AH40" s="54" t="str">
        <f>IF(I40="","",IF(#REF!&gt;0,TRUE,FALSE))</f>
        <v/>
      </c>
      <c r="AI40" s="54">
        <v>30</v>
      </c>
      <c r="AJ40" s="54"/>
      <c r="AK40" s="54" t="str">
        <f t="array" ref="AK40">IFERROR(INDEX($AI$11:$AI$259, MATCH(0, IF(TRUE=$AF$11:$AF$259, COUNTIF($AK$10:$AK39, $AI$11:$AI$259), ""), 0)),"")</f>
        <v/>
      </c>
      <c r="AL40" s="54" t="str">
        <f t="array" ref="AL40">IFERROR(INDEX($AI$11:$AI$259, MATCH(0, IF(TRUE=$AG$11:$AG$259, COUNTIF($AL$10:$AL39, $AI$11:$AI$259), ""), 0)),"")</f>
        <v/>
      </c>
      <c r="AM40" s="54" t="str">
        <f t="array" ref="AM40">IFERROR(INDEX($AI$11:$AI$259, MATCH(0, IF(TRUE=$AH$11:$AH$259, COUNTIF($AM$10:$AM39, $AI$11:$AI$259), ""), 0)),"")</f>
        <v/>
      </c>
      <c r="AN40" s="54"/>
      <c r="AQ40" s="47">
        <f t="shared" si="2"/>
        <v>0</v>
      </c>
    </row>
    <row r="41" spans="1:43" x14ac:dyDescent="0.3">
      <c r="A41" s="47" t="str">
        <f>IFERROR(INDEX('G-1 All Habitats'!$AG$3:$AG$15,MATCH(E41,'G-1 All Habitats'!$AF$3:$AF$15,0)),"")</f>
        <v/>
      </c>
      <c r="B41" s="47" t="str">
        <f>IFERROR(INDEX('G-8 Condition Look up'!$I$4:$I$130,MATCH(G41,'G-8 Condition Look up'!$A$4:$A$130,0)),"")</f>
        <v/>
      </c>
      <c r="D41" s="77">
        <v>31</v>
      </c>
      <c r="E41" s="78"/>
      <c r="F41" s="79"/>
      <c r="G41" s="69" t="str">
        <f>IFERROR(INDEX('G-1 All Habitats'!$B$3:$B$129,MATCH(F41,'G-1 All Habitats'!$A$3:$A$129,0)),"")</f>
        <v/>
      </c>
      <c r="H41" s="70"/>
      <c r="I41" s="498" t="str">
        <f>IF(G41="","",VLOOKUP(G41,'G-1 All Habitats'!$B$2:$M$129,10,FALSE))</f>
        <v/>
      </c>
      <c r="J41" s="499" t="str">
        <f>IFERROR(VLOOKUP(I41,'G-1 All Habitats'!$V$3:$W$7,2,FALSE),"")</f>
        <v/>
      </c>
      <c r="K41" s="71"/>
      <c r="L41" s="499" t="str">
        <f>IFERROR(INDEX('G-8 Condition Look up'!$A$3:$H$130,MATCH(G41,'G-8 Condition Look up'!$A$3:$A$130,0),MATCH(K41,'G-8 Condition Look up'!$A$3:$H$3,0)),"")</f>
        <v/>
      </c>
      <c r="M41" s="71"/>
      <c r="N41" s="520" t="str">
        <f>IF(M41="","",IF(VLOOKUP(M41,'G-3 Multipliers'!$L$3:$N$6,2,FALSE)=0,"Spatial Data Missing",VLOOKUP(M41,'G-3 Multipliers'!$L$3:$N$6,2,FALSE)))</f>
        <v/>
      </c>
      <c r="O41" s="505" t="str">
        <f>IF(M41="","",IF(VLOOKUP(M41,'G-3 Multipliers'!$L$3:$N$6,3,FALSE)=0,"Spatial Data Missing ▲",VLOOKUP(M41,'G-3 Multipliers'!$L$3:$N$6,3,FALSE)))</f>
        <v/>
      </c>
      <c r="P41" s="506" t="str">
        <f>IFERROR(VLOOKUP(G41,'G-1 All Habitats'!$B$2:$M$129,12,FALSE),"")</f>
        <v/>
      </c>
      <c r="Q41" s="513" t="str">
        <f>IFERROR(IF(P41="","",IF(AND(P41='G-1 All Habitats'!$X$3,T41&gt;0),U41+V41,IF(AND(P41='G-1 All Habitats'!$X$3,S41&gt;0),U41+V41,IF(AND(P41='G-1 All Habitats'!$X$3,AC41&gt;0),"Any Loss Unacceptable ▲",IF(AND(P41='G-1 All Habitats'!$X$3,W41&gt;0),"Any Loss Unacceptable ▲",H41*J41*L41*O41))))),"Check Data ▲")</f>
        <v/>
      </c>
      <c r="R41" s="50"/>
      <c r="S41" s="71"/>
      <c r="T41" s="72"/>
      <c r="U41" s="511" t="str">
        <f t="shared" si="3"/>
        <v/>
      </c>
      <c r="V41" s="511" t="str">
        <f t="shared" si="4"/>
        <v/>
      </c>
      <c r="W41" s="511" t="str">
        <f>IF(E41="","",IF(H41&lt;S41+T41,"Error in Areas ▲",IF(P41&lt;&gt;'G-1 All Habitats'!$X$3,H41-S41-T41,IF(AND(P41='G-1 All Habitats'!$X$3,Y41="Yes"),"Unacceptable Loss",IF(AND(P41='G-1 All Habitats'!$X$3,Y41="No"),AC41,IF(AND(P41='G-1 All Habitats'!$X$3,Y41=""),AC41,IF(AND(P41='G-1 All Habitats'!$X$3,AC41="None",AC41),IF(AND(P41='G-1 All Habitats'!$X$3,AC41&gt;0),H41-S41-T41))))))))</f>
        <v/>
      </c>
      <c r="X41" s="515" t="str">
        <f>IFERROR(IF(H41="","",IF(H41-S41-T41=0&lt;0,"Error in Areas ▲",IF(S41+T41&gt;H41,"Error in Areas ▲",IF(AND(P41='G-1 All Habitats'!$X$3,Y41="Yes"),"Alternative Compensation ✓",IF(W41=0,0,IF(P41='G-1 All Habitats'!$X$3,"Unacceptable Loss ▲",Q41-U41-V41)))))),"Check Data ▲")</f>
        <v/>
      </c>
      <c r="Y41" s="72"/>
      <c r="Z41" s="80"/>
      <c r="AA41" s="81"/>
      <c r="AC41" s="75" t="str">
        <f>IF(P41="","",IF(P41='G-1 All Habitats'!$X$3,H41-S41-T41,"None"))</f>
        <v/>
      </c>
      <c r="AD41" s="76" t="str">
        <f>IFERROR(AC41*J41*L41*#REF!*O41,IF(P41="","","None"))</f>
        <v/>
      </c>
      <c r="AF41" s="54" t="str">
        <f t="shared" si="0"/>
        <v/>
      </c>
      <c r="AG41" s="54" t="str">
        <f t="shared" si="1"/>
        <v/>
      </c>
      <c r="AH41" s="54" t="str">
        <f>IF(I41="","",IF(#REF!&gt;0,TRUE,FALSE))</f>
        <v/>
      </c>
      <c r="AI41" s="54">
        <v>31</v>
      </c>
      <c r="AJ41" s="54"/>
      <c r="AK41" s="54" t="str">
        <f t="array" ref="AK41">IFERROR(INDEX($AI$11:$AI$259, MATCH(0, IF(TRUE=$AF$11:$AF$259, COUNTIF($AK$10:$AK40, $AI$11:$AI$259), ""), 0)),"")</f>
        <v/>
      </c>
      <c r="AL41" s="54" t="str">
        <f t="array" ref="AL41">IFERROR(INDEX($AI$11:$AI$259, MATCH(0, IF(TRUE=$AG$11:$AG$259, COUNTIF($AL$10:$AL40, $AI$11:$AI$259), ""), 0)),"")</f>
        <v/>
      </c>
      <c r="AM41" s="54" t="str">
        <f t="array" ref="AM41">IFERROR(INDEX($AI$11:$AI$259, MATCH(0, IF(TRUE=$AH$11:$AH$259, COUNTIF($AM$10:$AM40, $AI$11:$AI$259), ""), 0)),"")</f>
        <v/>
      </c>
      <c r="AN41" s="54"/>
      <c r="AQ41" s="47">
        <f t="shared" si="2"/>
        <v>0</v>
      </c>
    </row>
    <row r="42" spans="1:43" x14ac:dyDescent="0.3">
      <c r="A42" s="47" t="str">
        <f>IFERROR(INDEX('G-1 All Habitats'!$AG$3:$AG$15,MATCH(E42,'G-1 All Habitats'!$AF$3:$AF$15,0)),"")</f>
        <v/>
      </c>
      <c r="B42" s="47" t="str">
        <f>IFERROR(INDEX('G-8 Condition Look up'!$I$4:$I$130,MATCH(G42,'G-8 Condition Look up'!$A$4:$A$130,0)),"")</f>
        <v/>
      </c>
      <c r="D42" s="77">
        <v>32</v>
      </c>
      <c r="E42" s="78"/>
      <c r="F42" s="79"/>
      <c r="G42" s="69" t="str">
        <f>IFERROR(INDEX('G-1 All Habitats'!$B$3:$B$129,MATCH(F42,'G-1 All Habitats'!$A$3:$A$129,0)),"")</f>
        <v/>
      </c>
      <c r="H42" s="70"/>
      <c r="I42" s="498" t="str">
        <f>IF(G42="","",VLOOKUP(G42,'G-1 All Habitats'!$B$2:$M$129,10,FALSE))</f>
        <v/>
      </c>
      <c r="J42" s="499" t="str">
        <f>IFERROR(VLOOKUP(I42,'G-1 All Habitats'!$V$3:$W$7,2,FALSE),"")</f>
        <v/>
      </c>
      <c r="K42" s="71"/>
      <c r="L42" s="499" t="str">
        <f>IFERROR(INDEX('G-8 Condition Look up'!$A$3:$H$130,MATCH(G42,'G-8 Condition Look up'!$A$3:$A$130,0),MATCH(K42,'G-8 Condition Look up'!$A$3:$H$3,0)),"")</f>
        <v/>
      </c>
      <c r="M42" s="71"/>
      <c r="N42" s="520" t="str">
        <f>IF(M42="","",IF(VLOOKUP(M42,'G-3 Multipliers'!$L$3:$N$6,2,FALSE)=0,"Spatial Data Missing",VLOOKUP(M42,'G-3 Multipliers'!$L$3:$N$6,2,FALSE)))</f>
        <v/>
      </c>
      <c r="O42" s="505" t="str">
        <f>IF(M42="","",IF(VLOOKUP(M42,'G-3 Multipliers'!$L$3:$N$6,3,FALSE)=0,"Spatial Data Missing ▲",VLOOKUP(M42,'G-3 Multipliers'!$L$3:$N$6,3,FALSE)))</f>
        <v/>
      </c>
      <c r="P42" s="506" t="str">
        <f>IFERROR(VLOOKUP(G42,'G-1 All Habitats'!$B$2:$M$129,12,FALSE),"")</f>
        <v/>
      </c>
      <c r="Q42" s="513" t="str">
        <f>IFERROR(IF(P42="","",IF(AND(P42='G-1 All Habitats'!$X$3,T42&gt;0),U42+V42,IF(AND(P42='G-1 All Habitats'!$X$3,S42&gt;0),U42+V42,IF(AND(P42='G-1 All Habitats'!$X$3,AC42&gt;0),"Any Loss Unacceptable ▲",IF(AND(P42='G-1 All Habitats'!$X$3,W42&gt;0),"Any Loss Unacceptable ▲",H42*J42*L42*O42))))),"Check Data ▲")</f>
        <v/>
      </c>
      <c r="R42" s="50"/>
      <c r="S42" s="71"/>
      <c r="T42" s="72"/>
      <c r="U42" s="511" t="str">
        <f t="shared" si="3"/>
        <v/>
      </c>
      <c r="V42" s="511" t="str">
        <f t="shared" si="4"/>
        <v/>
      </c>
      <c r="W42" s="511" t="str">
        <f>IF(E42="","",IF(H42&lt;S42+T42,"Error in Areas ▲",IF(P42&lt;&gt;'G-1 All Habitats'!$X$3,H42-S42-T42,IF(AND(P42='G-1 All Habitats'!$X$3,Y42="Yes"),"Unacceptable Loss",IF(AND(P42='G-1 All Habitats'!$X$3,Y42="No"),AC42,IF(AND(P42='G-1 All Habitats'!$X$3,Y42=""),AC42,IF(AND(P42='G-1 All Habitats'!$X$3,AC42="None",AC42),IF(AND(P42='G-1 All Habitats'!$X$3,AC42&gt;0),H42-S42-T42))))))))</f>
        <v/>
      </c>
      <c r="X42" s="515" t="str">
        <f>IFERROR(IF(H42="","",IF(H42-S42-T42=0&lt;0,"Error in Areas ▲",IF(S42+T42&gt;H42,"Error in Areas ▲",IF(AND(P42='G-1 All Habitats'!$X$3,Y42="Yes"),"Alternative Compensation ✓",IF(W42=0,0,IF(P42='G-1 All Habitats'!$X$3,"Unacceptable Loss ▲",Q42-U42-V42)))))),"Check Data ▲")</f>
        <v/>
      </c>
      <c r="Y42" s="72"/>
      <c r="Z42" s="80"/>
      <c r="AA42" s="81"/>
      <c r="AC42" s="75" t="str">
        <f>IF(P42="","",IF(P42='G-1 All Habitats'!$X$3,H42-S42-T42,"None"))</f>
        <v/>
      </c>
      <c r="AD42" s="76" t="str">
        <f>IFERROR(AC42*J42*L42*#REF!*O42,IF(P42="","","None"))</f>
        <v/>
      </c>
      <c r="AF42" s="54" t="str">
        <f t="shared" si="0"/>
        <v/>
      </c>
      <c r="AG42" s="54" t="str">
        <f t="shared" si="1"/>
        <v/>
      </c>
      <c r="AH42" s="54" t="str">
        <f>IF(I42="","",IF(#REF!&gt;0,TRUE,FALSE))</f>
        <v/>
      </c>
      <c r="AI42" s="54">
        <v>32</v>
      </c>
      <c r="AJ42" s="54"/>
      <c r="AK42" s="54" t="str">
        <f t="array" ref="AK42">IFERROR(INDEX($AI$11:$AI$259, MATCH(0, IF(TRUE=$AF$11:$AF$259, COUNTIF($AK$10:$AK41, $AI$11:$AI$259), ""), 0)),"")</f>
        <v/>
      </c>
      <c r="AL42" s="54" t="str">
        <f t="array" ref="AL42">IFERROR(INDEX($AI$11:$AI$259, MATCH(0, IF(TRUE=$AG$11:$AG$259, COUNTIF($AL$10:$AL41, $AI$11:$AI$259), ""), 0)),"")</f>
        <v/>
      </c>
      <c r="AM42" s="54" t="str">
        <f t="array" ref="AM42">IFERROR(INDEX($AI$11:$AI$259, MATCH(0, IF(TRUE=$AH$11:$AH$259, COUNTIF($AM$10:$AM41, $AI$11:$AI$259), ""), 0)),"")</f>
        <v/>
      </c>
      <c r="AN42" s="54"/>
      <c r="AQ42" s="47">
        <f t="shared" si="2"/>
        <v>0</v>
      </c>
    </row>
    <row r="43" spans="1:43" x14ac:dyDescent="0.3">
      <c r="A43" s="47" t="str">
        <f>IFERROR(INDEX('G-1 All Habitats'!$AG$3:$AG$15,MATCH(E43,'G-1 All Habitats'!$AF$3:$AF$15,0)),"")</f>
        <v/>
      </c>
      <c r="B43" s="47" t="str">
        <f>IFERROR(INDEX('G-8 Condition Look up'!$I$4:$I$130,MATCH(G43,'G-8 Condition Look up'!$A$4:$A$130,0)),"")</f>
        <v/>
      </c>
      <c r="D43" s="77">
        <v>33</v>
      </c>
      <c r="E43" s="78"/>
      <c r="F43" s="79"/>
      <c r="G43" s="69" t="str">
        <f>IFERROR(INDEX('G-1 All Habitats'!$B$3:$B$129,MATCH(F43,'G-1 All Habitats'!$A$3:$A$129,0)),"")</f>
        <v/>
      </c>
      <c r="H43" s="70"/>
      <c r="I43" s="498" t="str">
        <f>IF(G43="","",VLOOKUP(G43,'G-1 All Habitats'!$B$2:$M$129,10,FALSE))</f>
        <v/>
      </c>
      <c r="J43" s="499" t="str">
        <f>IFERROR(VLOOKUP(I43,'G-1 All Habitats'!$V$3:$W$7,2,FALSE),"")</f>
        <v/>
      </c>
      <c r="K43" s="71"/>
      <c r="L43" s="499" t="str">
        <f>IFERROR(INDEX('G-8 Condition Look up'!$A$3:$H$130,MATCH(G43,'G-8 Condition Look up'!$A$3:$A$130,0),MATCH(K43,'G-8 Condition Look up'!$A$3:$H$3,0)),"")</f>
        <v/>
      </c>
      <c r="M43" s="71"/>
      <c r="N43" s="520" t="str">
        <f>IF(M43="","",IF(VLOOKUP(M43,'G-3 Multipliers'!$L$3:$N$6,2,FALSE)=0,"Spatial Data Missing",VLOOKUP(M43,'G-3 Multipliers'!$L$3:$N$6,2,FALSE)))</f>
        <v/>
      </c>
      <c r="O43" s="505" t="str">
        <f>IF(M43="","",IF(VLOOKUP(M43,'G-3 Multipliers'!$L$3:$N$6,3,FALSE)=0,"Spatial Data Missing ▲",VLOOKUP(M43,'G-3 Multipliers'!$L$3:$N$6,3,FALSE)))</f>
        <v/>
      </c>
      <c r="P43" s="506" t="str">
        <f>IFERROR(VLOOKUP(G43,'G-1 All Habitats'!$B$2:$M$129,12,FALSE),"")</f>
        <v/>
      </c>
      <c r="Q43" s="513" t="str">
        <f>IFERROR(IF(P43="","",IF(AND(P43='G-1 All Habitats'!$X$3,T43&gt;0),U43+V43,IF(AND(P43='G-1 All Habitats'!$X$3,S43&gt;0),U43+V43,IF(AND(P43='G-1 All Habitats'!$X$3,AC43&gt;0),"Any Loss Unacceptable ▲",IF(AND(P43='G-1 All Habitats'!$X$3,W43&gt;0),"Any Loss Unacceptable ▲",H43*J43*L43*O43))))),"Check Data ▲")</f>
        <v/>
      </c>
      <c r="R43" s="50"/>
      <c r="S43" s="71"/>
      <c r="T43" s="72"/>
      <c r="U43" s="511" t="str">
        <f t="shared" si="3"/>
        <v/>
      </c>
      <c r="V43" s="511" t="str">
        <f t="shared" si="4"/>
        <v/>
      </c>
      <c r="W43" s="511" t="str">
        <f>IF(E43="","",IF(H43&lt;S43+T43,"Error in Areas ▲",IF(P43&lt;&gt;'G-1 All Habitats'!$X$3,H43-S43-T43,IF(AND(P43='G-1 All Habitats'!$X$3,Y43="Yes"),"Unacceptable Loss",IF(AND(P43='G-1 All Habitats'!$X$3,Y43="No"),AC43,IF(AND(P43='G-1 All Habitats'!$X$3,Y43=""),AC43,IF(AND(P43='G-1 All Habitats'!$X$3,AC43="None",AC43),IF(AND(P43='G-1 All Habitats'!$X$3,AC43&gt;0),H43-S43-T43))))))))</f>
        <v/>
      </c>
      <c r="X43" s="515" t="str">
        <f>IFERROR(IF(H43="","",IF(H43-S43-T43=0&lt;0,"Error in Areas ▲",IF(S43+T43&gt;H43,"Error in Areas ▲",IF(AND(P43='G-1 All Habitats'!$X$3,Y43="Yes"),"Alternative Compensation ✓",IF(W43=0,0,IF(P43='G-1 All Habitats'!$X$3,"Unacceptable Loss ▲",Q43-U43-V43)))))),"Check Data ▲")</f>
        <v/>
      </c>
      <c r="Y43" s="72"/>
      <c r="Z43" s="80"/>
      <c r="AA43" s="81"/>
      <c r="AC43" s="75" t="str">
        <f>IF(P43="","",IF(P43='G-1 All Habitats'!$X$3,H43-S43-T43,"None"))</f>
        <v/>
      </c>
      <c r="AD43" s="76" t="str">
        <f>IFERROR(AC43*J43*L43*#REF!*O43,IF(P43="","","None"))</f>
        <v/>
      </c>
      <c r="AF43" s="54" t="str">
        <f t="shared" si="0"/>
        <v/>
      </c>
      <c r="AG43" s="54" t="str">
        <f t="shared" si="1"/>
        <v/>
      </c>
      <c r="AH43" s="54" t="str">
        <f>IF(I43="","",IF(#REF!&gt;0,TRUE,FALSE))</f>
        <v/>
      </c>
      <c r="AI43" s="54">
        <v>33</v>
      </c>
      <c r="AJ43" s="54"/>
      <c r="AK43" s="54" t="str">
        <f t="array" ref="AK43">IFERROR(INDEX($AI$11:$AI$259, MATCH(0, IF(TRUE=$AF$11:$AF$259, COUNTIF($AK$10:$AK42, $AI$11:$AI$259), ""), 0)),"")</f>
        <v/>
      </c>
      <c r="AL43" s="54" t="str">
        <f t="array" ref="AL43">IFERROR(INDEX($AI$11:$AI$259, MATCH(0, IF(TRUE=$AG$11:$AG$259, COUNTIF($AL$10:$AL42, $AI$11:$AI$259), ""), 0)),"")</f>
        <v/>
      </c>
      <c r="AM43" s="54" t="str">
        <f t="array" ref="AM43">IFERROR(INDEX($AI$11:$AI$259, MATCH(0, IF(TRUE=$AH$11:$AH$259, COUNTIF($AM$10:$AM42, $AI$11:$AI$259), ""), 0)),"")</f>
        <v/>
      </c>
      <c r="AN43" s="54"/>
      <c r="AQ43" s="47">
        <f t="shared" si="2"/>
        <v>0</v>
      </c>
    </row>
    <row r="44" spans="1:43" x14ac:dyDescent="0.3">
      <c r="A44" s="47" t="str">
        <f>IFERROR(INDEX('G-1 All Habitats'!$AG$3:$AG$15,MATCH(E44,'G-1 All Habitats'!$AF$3:$AF$15,0)),"")</f>
        <v/>
      </c>
      <c r="B44" s="47" t="str">
        <f>IFERROR(INDEX('G-8 Condition Look up'!$I$4:$I$130,MATCH(G44,'G-8 Condition Look up'!$A$4:$A$130,0)),"")</f>
        <v/>
      </c>
      <c r="D44" s="77">
        <v>34</v>
      </c>
      <c r="E44" s="78"/>
      <c r="F44" s="79"/>
      <c r="G44" s="69" t="str">
        <f>IFERROR(INDEX('G-1 All Habitats'!$B$3:$B$129,MATCH(F44,'G-1 All Habitats'!$A$3:$A$129,0)),"")</f>
        <v/>
      </c>
      <c r="H44" s="70"/>
      <c r="I44" s="498" t="str">
        <f>IF(G44="","",VLOOKUP(G44,'G-1 All Habitats'!$B$2:$M$129,10,FALSE))</f>
        <v/>
      </c>
      <c r="J44" s="499" t="str">
        <f>IFERROR(VLOOKUP(I44,'G-1 All Habitats'!$V$3:$W$7,2,FALSE),"")</f>
        <v/>
      </c>
      <c r="K44" s="71"/>
      <c r="L44" s="499" t="str">
        <f>IFERROR(INDEX('G-8 Condition Look up'!$A$3:$H$130,MATCH(G44,'G-8 Condition Look up'!$A$3:$A$130,0),MATCH(K44,'G-8 Condition Look up'!$A$3:$H$3,0)),"")</f>
        <v/>
      </c>
      <c r="M44" s="71"/>
      <c r="N44" s="520" t="str">
        <f>IF(M44="","",IF(VLOOKUP(M44,'G-3 Multipliers'!$L$3:$N$6,2,FALSE)=0,"Spatial Data Missing",VLOOKUP(M44,'G-3 Multipliers'!$L$3:$N$6,2,FALSE)))</f>
        <v/>
      </c>
      <c r="O44" s="505" t="str">
        <f>IF(M44="","",IF(VLOOKUP(M44,'G-3 Multipliers'!$L$3:$N$6,3,FALSE)=0,"Spatial Data Missing ▲",VLOOKUP(M44,'G-3 Multipliers'!$L$3:$N$6,3,FALSE)))</f>
        <v/>
      </c>
      <c r="P44" s="506" t="str">
        <f>IFERROR(VLOOKUP(G44,'G-1 All Habitats'!$B$2:$M$129,12,FALSE),"")</f>
        <v/>
      </c>
      <c r="Q44" s="513" t="str">
        <f>IFERROR(IF(P44="","",IF(AND(P44='G-1 All Habitats'!$X$3,T44&gt;0),U44+V44,IF(AND(P44='G-1 All Habitats'!$X$3,S44&gt;0),U44+V44,IF(AND(P44='G-1 All Habitats'!$X$3,AC44&gt;0),"Any Loss Unacceptable ▲",IF(AND(P44='G-1 All Habitats'!$X$3,W44&gt;0),"Any Loss Unacceptable ▲",H44*J44*L44*O44))))),"Check Data ▲")</f>
        <v/>
      </c>
      <c r="R44" s="50"/>
      <c r="S44" s="71"/>
      <c r="T44" s="72"/>
      <c r="U44" s="511" t="str">
        <f t="shared" si="3"/>
        <v/>
      </c>
      <c r="V44" s="511" t="str">
        <f t="shared" si="4"/>
        <v/>
      </c>
      <c r="W44" s="511" t="str">
        <f>IF(E44="","",IF(H44&lt;S44+T44,"Error in Areas ▲",IF(P44&lt;&gt;'G-1 All Habitats'!$X$3,H44-S44-T44,IF(AND(P44='G-1 All Habitats'!$X$3,Y44="Yes"),"Unacceptable Loss",IF(AND(P44='G-1 All Habitats'!$X$3,Y44="No"),AC44,IF(AND(P44='G-1 All Habitats'!$X$3,Y44=""),AC44,IF(AND(P44='G-1 All Habitats'!$X$3,AC44="None",AC44),IF(AND(P44='G-1 All Habitats'!$X$3,AC44&gt;0),H44-S44-T44))))))))</f>
        <v/>
      </c>
      <c r="X44" s="515" t="str">
        <f>IFERROR(IF(H44="","",IF(H44-S44-T44=0&lt;0,"Error in Areas ▲",IF(S44+T44&gt;H44,"Error in Areas ▲",IF(AND(P44='G-1 All Habitats'!$X$3,Y44="Yes"),"Alternative Compensation ✓",IF(W44=0,0,IF(P44='G-1 All Habitats'!$X$3,"Unacceptable Loss ▲",Q44-U44-V44)))))),"Check Data ▲")</f>
        <v/>
      </c>
      <c r="Y44" s="72"/>
      <c r="Z44" s="80"/>
      <c r="AA44" s="81"/>
      <c r="AC44" s="75" t="str">
        <f>IF(P44="","",IF(P44='G-1 All Habitats'!$X$3,H44-S44-T44,"None"))</f>
        <v/>
      </c>
      <c r="AD44" s="76" t="str">
        <f>IFERROR(AC44*J44*L44*#REF!*O44,IF(P44="","","None"))</f>
        <v/>
      </c>
      <c r="AF44" s="54" t="str">
        <f t="shared" si="0"/>
        <v/>
      </c>
      <c r="AG44" s="54" t="str">
        <f t="shared" si="1"/>
        <v/>
      </c>
      <c r="AH44" s="54" t="str">
        <f>IF(I44="","",IF(#REF!&gt;0,TRUE,FALSE))</f>
        <v/>
      </c>
      <c r="AI44" s="54">
        <v>34</v>
      </c>
      <c r="AJ44" s="54"/>
      <c r="AK44" s="54" t="str">
        <f t="array" ref="AK44">IFERROR(INDEX($AI$11:$AI$259, MATCH(0, IF(TRUE=$AF$11:$AF$259, COUNTIF($AK$10:$AK43, $AI$11:$AI$259), ""), 0)),"")</f>
        <v/>
      </c>
      <c r="AL44" s="54" t="str">
        <f t="array" ref="AL44">IFERROR(INDEX($AI$11:$AI$259, MATCH(0, IF(TRUE=$AG$11:$AG$259, COUNTIF($AL$10:$AL43, $AI$11:$AI$259), ""), 0)),"")</f>
        <v/>
      </c>
      <c r="AM44" s="54" t="str">
        <f t="array" ref="AM44">IFERROR(INDEX($AI$11:$AI$259, MATCH(0, IF(TRUE=$AH$11:$AH$259, COUNTIF($AM$10:$AM43, $AI$11:$AI$259), ""), 0)),"")</f>
        <v/>
      </c>
      <c r="AN44" s="54"/>
      <c r="AQ44" s="47">
        <f t="shared" si="2"/>
        <v>0</v>
      </c>
    </row>
    <row r="45" spans="1:43" x14ac:dyDescent="0.3">
      <c r="A45" s="47" t="str">
        <f>IFERROR(INDEX('G-1 All Habitats'!$AG$3:$AG$15,MATCH(E45,'G-1 All Habitats'!$AF$3:$AF$15,0)),"")</f>
        <v/>
      </c>
      <c r="B45" s="47" t="str">
        <f>IFERROR(INDEX('G-8 Condition Look up'!$I$4:$I$130,MATCH(G45,'G-8 Condition Look up'!$A$4:$A$130,0)),"")</f>
        <v/>
      </c>
      <c r="D45" s="77">
        <v>35</v>
      </c>
      <c r="E45" s="78"/>
      <c r="F45" s="79"/>
      <c r="G45" s="69" t="str">
        <f>IFERROR(INDEX('G-1 All Habitats'!$B$3:$B$129,MATCH(F45,'G-1 All Habitats'!$A$3:$A$129,0)),"")</f>
        <v/>
      </c>
      <c r="H45" s="70"/>
      <c r="I45" s="498" t="str">
        <f>IF(G45="","",VLOOKUP(G45,'G-1 All Habitats'!$B$2:$M$129,10,FALSE))</f>
        <v/>
      </c>
      <c r="J45" s="499" t="str">
        <f>IFERROR(VLOOKUP(I45,'G-1 All Habitats'!$V$3:$W$7,2,FALSE),"")</f>
        <v/>
      </c>
      <c r="K45" s="71"/>
      <c r="L45" s="499" t="str">
        <f>IFERROR(INDEX('G-8 Condition Look up'!$A$3:$H$130,MATCH(G45,'G-8 Condition Look up'!$A$3:$A$130,0),MATCH(K45,'G-8 Condition Look up'!$A$3:$H$3,0)),"")</f>
        <v/>
      </c>
      <c r="M45" s="71"/>
      <c r="N45" s="520" t="str">
        <f>IF(M45="","",IF(VLOOKUP(M45,'G-3 Multipliers'!$L$3:$N$6,2,FALSE)=0,"Spatial Data Missing",VLOOKUP(M45,'G-3 Multipliers'!$L$3:$N$6,2,FALSE)))</f>
        <v/>
      </c>
      <c r="O45" s="505" t="str">
        <f>IF(M45="","",IF(VLOOKUP(M45,'G-3 Multipliers'!$L$3:$N$6,3,FALSE)=0,"Spatial Data Missing ▲",VLOOKUP(M45,'G-3 Multipliers'!$L$3:$N$6,3,FALSE)))</f>
        <v/>
      </c>
      <c r="P45" s="506" t="str">
        <f>IFERROR(VLOOKUP(G45,'G-1 All Habitats'!$B$2:$M$129,12,FALSE),"")</f>
        <v/>
      </c>
      <c r="Q45" s="513" t="str">
        <f>IFERROR(IF(P45="","",IF(AND(P45='G-1 All Habitats'!$X$3,T45&gt;0),U45+V45,IF(AND(P45='G-1 All Habitats'!$X$3,S45&gt;0),U45+V45,IF(AND(P45='G-1 All Habitats'!$X$3,AC45&gt;0),"Any Loss Unacceptable ▲",IF(AND(P45='G-1 All Habitats'!$X$3,W45&gt;0),"Any Loss Unacceptable ▲",H45*J45*L45*O45))))),"Check Data ▲")</f>
        <v/>
      </c>
      <c r="R45" s="50"/>
      <c r="S45" s="71"/>
      <c r="T45" s="72"/>
      <c r="U45" s="511" t="str">
        <f t="shared" si="3"/>
        <v/>
      </c>
      <c r="V45" s="511" t="str">
        <f t="shared" si="4"/>
        <v/>
      </c>
      <c r="W45" s="511" t="str">
        <f>IF(E45="","",IF(H45&lt;S45+T45,"Error in Areas ▲",IF(P45&lt;&gt;'G-1 All Habitats'!$X$3,H45-S45-T45,IF(AND(P45='G-1 All Habitats'!$X$3,Y45="Yes"),"Unacceptable Loss",IF(AND(P45='G-1 All Habitats'!$X$3,Y45="No"),AC45,IF(AND(P45='G-1 All Habitats'!$X$3,Y45=""),AC45,IF(AND(P45='G-1 All Habitats'!$X$3,AC45="None",AC45),IF(AND(P45='G-1 All Habitats'!$X$3,AC45&gt;0),H45-S45-T45))))))))</f>
        <v/>
      </c>
      <c r="X45" s="515" t="str">
        <f>IFERROR(IF(H45="","",IF(H45-S45-T45=0&lt;0,"Error in Areas ▲",IF(S45+T45&gt;H45,"Error in Areas ▲",IF(AND(P45='G-1 All Habitats'!$X$3,Y45="Yes"),"Alternative Compensation ✓",IF(W45=0,0,IF(P45='G-1 All Habitats'!$X$3,"Unacceptable Loss ▲",Q45-U45-V45)))))),"Check Data ▲")</f>
        <v/>
      </c>
      <c r="Y45" s="72"/>
      <c r="Z45" s="80"/>
      <c r="AA45" s="81"/>
      <c r="AC45" s="75" t="str">
        <f>IF(P45="","",IF(P45='G-1 All Habitats'!$X$3,H45-S45-T45,"None"))</f>
        <v/>
      </c>
      <c r="AD45" s="76" t="str">
        <f>IFERROR(AC45*J45*L45*#REF!*O45,IF(P45="","","None"))</f>
        <v/>
      </c>
      <c r="AF45" s="54" t="str">
        <f t="shared" si="0"/>
        <v/>
      </c>
      <c r="AG45" s="54" t="str">
        <f t="shared" si="1"/>
        <v/>
      </c>
      <c r="AH45" s="54" t="str">
        <f>IF(I45="","",IF(#REF!&gt;0,TRUE,FALSE))</f>
        <v/>
      </c>
      <c r="AI45" s="54">
        <v>35</v>
      </c>
      <c r="AJ45" s="54"/>
      <c r="AK45" s="54" t="str">
        <f t="array" ref="AK45">IFERROR(INDEX($AI$11:$AI$259, MATCH(0, IF(TRUE=$AF$11:$AF$259, COUNTIF($AK$10:$AK44, $AI$11:$AI$259), ""), 0)),"")</f>
        <v/>
      </c>
      <c r="AL45" s="54" t="str">
        <f t="array" ref="AL45">IFERROR(INDEX($AI$11:$AI$259, MATCH(0, IF(TRUE=$AG$11:$AG$259, COUNTIF($AL$10:$AL44, $AI$11:$AI$259), ""), 0)),"")</f>
        <v/>
      </c>
      <c r="AM45" s="54" t="str">
        <f t="array" ref="AM45">IFERROR(INDEX($AI$11:$AI$259, MATCH(0, IF(TRUE=$AH$11:$AH$259, COUNTIF($AM$10:$AM44, $AI$11:$AI$259), ""), 0)),"")</f>
        <v/>
      </c>
      <c r="AN45" s="54"/>
      <c r="AQ45" s="47">
        <f t="shared" si="2"/>
        <v>0</v>
      </c>
    </row>
    <row r="46" spans="1:43" x14ac:dyDescent="0.3">
      <c r="A46" s="47" t="str">
        <f>IFERROR(INDEX('G-1 All Habitats'!$AG$3:$AG$15,MATCH(E46,'G-1 All Habitats'!$AF$3:$AF$15,0)),"")</f>
        <v/>
      </c>
      <c r="B46" s="47" t="str">
        <f>IFERROR(INDEX('G-8 Condition Look up'!$I$4:$I$130,MATCH(G46,'G-8 Condition Look up'!$A$4:$A$130,0)),"")</f>
        <v/>
      </c>
      <c r="D46" s="77">
        <v>36</v>
      </c>
      <c r="E46" s="78"/>
      <c r="F46" s="79"/>
      <c r="G46" s="69" t="str">
        <f>IFERROR(INDEX('G-1 All Habitats'!$B$3:$B$129,MATCH(F46,'G-1 All Habitats'!$A$3:$A$129,0)),"")</f>
        <v/>
      </c>
      <c r="H46" s="70"/>
      <c r="I46" s="498" t="str">
        <f>IF(G46="","",VLOOKUP(G46,'G-1 All Habitats'!$B$2:$M$129,10,FALSE))</f>
        <v/>
      </c>
      <c r="J46" s="499" t="str">
        <f>IFERROR(VLOOKUP(I46,'G-1 All Habitats'!$V$3:$W$7,2,FALSE),"")</f>
        <v/>
      </c>
      <c r="K46" s="71"/>
      <c r="L46" s="499" t="str">
        <f>IFERROR(INDEX('G-8 Condition Look up'!$A$3:$H$130,MATCH(G46,'G-8 Condition Look up'!$A$3:$A$130,0),MATCH(K46,'G-8 Condition Look up'!$A$3:$H$3,0)),"")</f>
        <v/>
      </c>
      <c r="M46" s="71"/>
      <c r="N46" s="520" t="str">
        <f>IF(M46="","",IF(VLOOKUP(M46,'G-3 Multipliers'!$L$3:$N$6,2,FALSE)=0,"Spatial Data Missing",VLOOKUP(M46,'G-3 Multipliers'!$L$3:$N$6,2,FALSE)))</f>
        <v/>
      </c>
      <c r="O46" s="505" t="str">
        <f>IF(M46="","",IF(VLOOKUP(M46,'G-3 Multipliers'!$L$3:$N$6,3,FALSE)=0,"Spatial Data Missing ▲",VLOOKUP(M46,'G-3 Multipliers'!$L$3:$N$6,3,FALSE)))</f>
        <v/>
      </c>
      <c r="P46" s="506" t="str">
        <f>IFERROR(VLOOKUP(G46,'G-1 All Habitats'!$B$2:$M$129,12,FALSE),"")</f>
        <v/>
      </c>
      <c r="Q46" s="513" t="str">
        <f>IFERROR(IF(P46="","",IF(AND(P46='G-1 All Habitats'!$X$3,T46&gt;0),U46+V46,IF(AND(P46='G-1 All Habitats'!$X$3,S46&gt;0),U46+V46,IF(AND(P46='G-1 All Habitats'!$X$3,AC46&gt;0),"Any Loss Unacceptable ▲",IF(AND(P46='G-1 All Habitats'!$X$3,W46&gt;0),"Any Loss Unacceptable ▲",H46*J46*L46*O46))))),"Check Data ▲")</f>
        <v/>
      </c>
      <c r="R46" s="50"/>
      <c r="S46" s="71"/>
      <c r="T46" s="72"/>
      <c r="U46" s="511" t="str">
        <f t="shared" si="3"/>
        <v/>
      </c>
      <c r="V46" s="511" t="str">
        <f t="shared" si="4"/>
        <v/>
      </c>
      <c r="W46" s="511" t="str">
        <f>IF(E46="","",IF(H46&lt;S46+T46,"Error in Areas ▲",IF(P46&lt;&gt;'G-1 All Habitats'!$X$3,H46-S46-T46,IF(AND(P46='G-1 All Habitats'!$X$3,Y46="Yes"),"Unacceptable Loss",IF(AND(P46='G-1 All Habitats'!$X$3,Y46="No"),AC46,IF(AND(P46='G-1 All Habitats'!$X$3,Y46=""),AC46,IF(AND(P46='G-1 All Habitats'!$X$3,AC46="None",AC46),IF(AND(P46='G-1 All Habitats'!$X$3,AC46&gt;0),H46-S46-T46))))))))</f>
        <v/>
      </c>
      <c r="X46" s="515" t="str">
        <f>IFERROR(IF(H46="","",IF(H46-S46-T46=0&lt;0,"Error in Areas ▲",IF(S46+T46&gt;H46,"Error in Areas ▲",IF(AND(P46='G-1 All Habitats'!$X$3,Y46="Yes"),"Alternative Compensation ✓",IF(W46=0,0,IF(P46='G-1 All Habitats'!$X$3,"Unacceptable Loss ▲",Q46-U46-V46)))))),"Check Data ▲")</f>
        <v/>
      </c>
      <c r="Y46" s="72"/>
      <c r="Z46" s="80"/>
      <c r="AA46" s="81"/>
      <c r="AC46" s="75" t="str">
        <f>IF(P46="","",IF(P46='G-1 All Habitats'!$X$3,H46-S46-T46,"None"))</f>
        <v/>
      </c>
      <c r="AD46" s="76" t="str">
        <f>IFERROR(AC46*J46*L46*#REF!*O46,IF(P46="","","None"))</f>
        <v/>
      </c>
      <c r="AF46" s="54" t="str">
        <f t="shared" si="0"/>
        <v/>
      </c>
      <c r="AG46" s="54" t="str">
        <f t="shared" si="1"/>
        <v/>
      </c>
      <c r="AH46" s="54" t="str">
        <f>IF(I46="","",IF(#REF!&gt;0,TRUE,FALSE))</f>
        <v/>
      </c>
      <c r="AI46" s="54">
        <v>36</v>
      </c>
      <c r="AJ46" s="54"/>
      <c r="AK46" s="54" t="str">
        <f t="array" ref="AK46">IFERROR(INDEX($AI$11:$AI$259, MATCH(0, IF(TRUE=$AF$11:$AF$259, COUNTIF($AK$10:$AK45, $AI$11:$AI$259), ""), 0)),"")</f>
        <v/>
      </c>
      <c r="AL46" s="54" t="str">
        <f t="array" ref="AL46">IFERROR(INDEX($AI$11:$AI$259, MATCH(0, IF(TRUE=$AG$11:$AG$259, COUNTIF($AL$10:$AL45, $AI$11:$AI$259), ""), 0)),"")</f>
        <v/>
      </c>
      <c r="AM46" s="54" t="str">
        <f t="array" ref="AM46">IFERROR(INDEX($AI$11:$AI$259, MATCH(0, IF(TRUE=$AH$11:$AH$259, COUNTIF($AM$10:$AM45, $AI$11:$AI$259), ""), 0)),"")</f>
        <v/>
      </c>
      <c r="AN46" s="54"/>
      <c r="AQ46" s="47">
        <f t="shared" si="2"/>
        <v>0</v>
      </c>
    </row>
    <row r="47" spans="1:43" x14ac:dyDescent="0.3">
      <c r="A47" s="47" t="str">
        <f>IFERROR(INDEX('G-1 All Habitats'!$AG$3:$AG$15,MATCH(E47,'G-1 All Habitats'!$AF$3:$AF$15,0)),"")</f>
        <v/>
      </c>
      <c r="B47" s="47" t="str">
        <f>IFERROR(INDEX('G-8 Condition Look up'!$I$4:$I$130,MATCH(G47,'G-8 Condition Look up'!$A$4:$A$130,0)),"")</f>
        <v/>
      </c>
      <c r="D47" s="77">
        <v>37</v>
      </c>
      <c r="E47" s="78"/>
      <c r="F47" s="79"/>
      <c r="G47" s="69" t="str">
        <f>IFERROR(INDEX('G-1 All Habitats'!$B$3:$B$129,MATCH(F47,'G-1 All Habitats'!$A$3:$A$129,0)),"")</f>
        <v/>
      </c>
      <c r="H47" s="70"/>
      <c r="I47" s="498" t="str">
        <f>IF(G47="","",VLOOKUP(G47,'G-1 All Habitats'!$B$2:$M$129,10,FALSE))</f>
        <v/>
      </c>
      <c r="J47" s="499" t="str">
        <f>IFERROR(VLOOKUP(I47,'G-1 All Habitats'!$V$3:$W$7,2,FALSE),"")</f>
        <v/>
      </c>
      <c r="K47" s="71"/>
      <c r="L47" s="499" t="str">
        <f>IFERROR(INDEX('G-8 Condition Look up'!$A$3:$H$130,MATCH(G47,'G-8 Condition Look up'!$A$3:$A$130,0),MATCH(K47,'G-8 Condition Look up'!$A$3:$H$3,0)),"")</f>
        <v/>
      </c>
      <c r="M47" s="71"/>
      <c r="N47" s="520" t="str">
        <f>IF(M47="","",IF(VLOOKUP(M47,'G-3 Multipliers'!$L$3:$N$6,2,FALSE)=0,"Spatial Data Missing",VLOOKUP(M47,'G-3 Multipliers'!$L$3:$N$6,2,FALSE)))</f>
        <v/>
      </c>
      <c r="O47" s="505" t="str">
        <f>IF(M47="","",IF(VLOOKUP(M47,'G-3 Multipliers'!$L$3:$N$6,3,FALSE)=0,"Spatial Data Missing ▲",VLOOKUP(M47,'G-3 Multipliers'!$L$3:$N$6,3,FALSE)))</f>
        <v/>
      </c>
      <c r="P47" s="506" t="str">
        <f>IFERROR(VLOOKUP(G47,'G-1 All Habitats'!$B$2:$M$129,12,FALSE),"")</f>
        <v/>
      </c>
      <c r="Q47" s="513" t="str">
        <f>IFERROR(IF(P47="","",IF(AND(P47='G-1 All Habitats'!$X$3,T47&gt;0),U47+V47,IF(AND(P47='G-1 All Habitats'!$X$3,S47&gt;0),U47+V47,IF(AND(P47='G-1 All Habitats'!$X$3,AC47&gt;0),"Any Loss Unacceptable ▲",IF(AND(P47='G-1 All Habitats'!$X$3,W47&gt;0),"Any Loss Unacceptable ▲",H47*J47*L47*O47))))),"Check Data ▲")</f>
        <v/>
      </c>
      <c r="R47" s="50"/>
      <c r="S47" s="71"/>
      <c r="T47" s="72"/>
      <c r="U47" s="511" t="str">
        <f t="shared" si="3"/>
        <v/>
      </c>
      <c r="V47" s="511" t="str">
        <f t="shared" si="4"/>
        <v/>
      </c>
      <c r="W47" s="511" t="str">
        <f>IF(E47="","",IF(H47&lt;S47+T47,"Error in Areas ▲",IF(P47&lt;&gt;'G-1 All Habitats'!$X$3,H47-S47-T47,IF(AND(P47='G-1 All Habitats'!$X$3,Y47="Yes"),"Unacceptable Loss",IF(AND(P47='G-1 All Habitats'!$X$3,Y47="No"),AC47,IF(AND(P47='G-1 All Habitats'!$X$3,Y47=""),AC47,IF(AND(P47='G-1 All Habitats'!$X$3,AC47="None",AC47),IF(AND(P47='G-1 All Habitats'!$X$3,AC47&gt;0),H47-S47-T47))))))))</f>
        <v/>
      </c>
      <c r="X47" s="515" t="str">
        <f>IFERROR(IF(H47="","",IF(H47-S47-T47=0&lt;0,"Error in Areas ▲",IF(S47+T47&gt;H47,"Error in Areas ▲",IF(AND(P47='G-1 All Habitats'!$X$3,Y47="Yes"),"Alternative Compensation ✓",IF(W47=0,0,IF(P47='G-1 All Habitats'!$X$3,"Unacceptable Loss ▲",Q47-U47-V47)))))),"Check Data ▲")</f>
        <v/>
      </c>
      <c r="Y47" s="72"/>
      <c r="Z47" s="80"/>
      <c r="AA47" s="81"/>
      <c r="AC47" s="75" t="str">
        <f>IF(P47="","",IF(P47='G-1 All Habitats'!$X$3,H47-S47-T47,"None"))</f>
        <v/>
      </c>
      <c r="AD47" s="76" t="str">
        <f>IFERROR(AC47*J47*L47*#REF!*O47,IF(P47="","","None"))</f>
        <v/>
      </c>
      <c r="AF47" s="54" t="str">
        <f t="shared" si="0"/>
        <v/>
      </c>
      <c r="AG47" s="54" t="str">
        <f t="shared" si="1"/>
        <v/>
      </c>
      <c r="AH47" s="54" t="str">
        <f>IF(I47="","",IF(#REF!&gt;0,TRUE,FALSE))</f>
        <v/>
      </c>
      <c r="AI47" s="54">
        <v>37</v>
      </c>
      <c r="AJ47" s="54"/>
      <c r="AK47" s="54" t="str">
        <f t="array" ref="AK47">IFERROR(INDEX($AI$11:$AI$259, MATCH(0, IF(TRUE=$AF$11:$AF$259, COUNTIF($AK$10:$AK46, $AI$11:$AI$259), ""), 0)),"")</f>
        <v/>
      </c>
      <c r="AL47" s="54" t="str">
        <f t="array" ref="AL47">IFERROR(INDEX($AI$11:$AI$259, MATCH(0, IF(TRUE=$AG$11:$AG$259, COUNTIF($AL$10:$AL46, $AI$11:$AI$259), ""), 0)),"")</f>
        <v/>
      </c>
      <c r="AM47" s="54" t="str">
        <f t="array" ref="AM47">IFERROR(INDEX($AI$11:$AI$259, MATCH(0, IF(TRUE=$AH$11:$AH$259, COUNTIF($AM$10:$AM46, $AI$11:$AI$259), ""), 0)),"")</f>
        <v/>
      </c>
      <c r="AN47" s="54"/>
      <c r="AQ47" s="47">
        <f t="shared" si="2"/>
        <v>0</v>
      </c>
    </row>
    <row r="48" spans="1:43" x14ac:dyDescent="0.3">
      <c r="A48" s="47" t="str">
        <f>IFERROR(INDEX('G-1 All Habitats'!$AG$3:$AG$15,MATCH(E48,'G-1 All Habitats'!$AF$3:$AF$15,0)),"")</f>
        <v/>
      </c>
      <c r="B48" s="47" t="str">
        <f>IFERROR(INDEX('G-8 Condition Look up'!$I$4:$I$130,MATCH(G48,'G-8 Condition Look up'!$A$4:$A$130,0)),"")</f>
        <v/>
      </c>
      <c r="D48" s="77">
        <v>38</v>
      </c>
      <c r="E48" s="78"/>
      <c r="F48" s="79"/>
      <c r="G48" s="69" t="str">
        <f>IFERROR(INDEX('G-1 All Habitats'!$B$3:$B$129,MATCH(F48,'G-1 All Habitats'!$A$3:$A$129,0)),"")</f>
        <v/>
      </c>
      <c r="H48" s="70"/>
      <c r="I48" s="498" t="str">
        <f>IF(G48="","",VLOOKUP(G48,'G-1 All Habitats'!$B$2:$M$129,10,FALSE))</f>
        <v/>
      </c>
      <c r="J48" s="499" t="str">
        <f>IFERROR(VLOOKUP(I48,'G-1 All Habitats'!$V$3:$W$7,2,FALSE),"")</f>
        <v/>
      </c>
      <c r="K48" s="71"/>
      <c r="L48" s="499" t="str">
        <f>IFERROR(INDEX('G-8 Condition Look up'!$A$3:$H$130,MATCH(G48,'G-8 Condition Look up'!$A$3:$A$130,0),MATCH(K48,'G-8 Condition Look up'!$A$3:$H$3,0)),"")</f>
        <v/>
      </c>
      <c r="M48" s="71"/>
      <c r="N48" s="520" t="str">
        <f>IF(M48="","",IF(VLOOKUP(M48,'G-3 Multipliers'!$L$3:$N$6,2,FALSE)=0,"Spatial Data Missing",VLOOKUP(M48,'G-3 Multipliers'!$L$3:$N$6,2,FALSE)))</f>
        <v/>
      </c>
      <c r="O48" s="505" t="str">
        <f>IF(M48="","",IF(VLOOKUP(M48,'G-3 Multipliers'!$L$3:$N$6,3,FALSE)=0,"Spatial Data Missing ▲",VLOOKUP(M48,'G-3 Multipliers'!$L$3:$N$6,3,FALSE)))</f>
        <v/>
      </c>
      <c r="P48" s="506" t="str">
        <f>IFERROR(VLOOKUP(G48,'G-1 All Habitats'!$B$2:$M$129,12,FALSE),"")</f>
        <v/>
      </c>
      <c r="Q48" s="513" t="str">
        <f>IFERROR(IF(P48="","",IF(AND(P48='G-1 All Habitats'!$X$3,T48&gt;0),U48+V48,IF(AND(P48='G-1 All Habitats'!$X$3,S48&gt;0),U48+V48,IF(AND(P48='G-1 All Habitats'!$X$3,AC48&gt;0),"Any Loss Unacceptable ▲",IF(AND(P48='G-1 All Habitats'!$X$3,W48&gt;0),"Any Loss Unacceptable ▲",H48*J48*L48*O48))))),"Check Data ▲")</f>
        <v/>
      </c>
      <c r="R48" s="50"/>
      <c r="S48" s="71"/>
      <c r="T48" s="72"/>
      <c r="U48" s="511" t="str">
        <f t="shared" si="3"/>
        <v/>
      </c>
      <c r="V48" s="511" t="str">
        <f t="shared" si="4"/>
        <v/>
      </c>
      <c r="W48" s="511" t="str">
        <f>IF(E48="","",IF(H48&lt;S48+T48,"Error in Areas ▲",IF(P48&lt;&gt;'G-1 All Habitats'!$X$3,H48-S48-T48,IF(AND(P48='G-1 All Habitats'!$X$3,Y48="Yes"),"Unacceptable Loss",IF(AND(P48='G-1 All Habitats'!$X$3,Y48="No"),AC48,IF(AND(P48='G-1 All Habitats'!$X$3,Y48=""),AC48,IF(AND(P48='G-1 All Habitats'!$X$3,AC48="None",AC48),IF(AND(P48='G-1 All Habitats'!$X$3,AC48&gt;0),H48-S48-T48))))))))</f>
        <v/>
      </c>
      <c r="X48" s="515" t="str">
        <f>IFERROR(IF(H48="","",IF(H48-S48-T48=0&lt;0,"Error in Areas ▲",IF(S48+T48&gt;H48,"Error in Areas ▲",IF(AND(P48='G-1 All Habitats'!$X$3,Y48="Yes"),"Alternative Compensation ✓",IF(W48=0,0,IF(P48='G-1 All Habitats'!$X$3,"Unacceptable Loss ▲",Q48-U48-V48)))))),"Check Data ▲")</f>
        <v/>
      </c>
      <c r="Y48" s="72"/>
      <c r="Z48" s="80"/>
      <c r="AA48" s="81"/>
      <c r="AC48" s="75" t="str">
        <f>IF(P48="","",IF(P48='G-1 All Habitats'!$X$3,H48-S48-T48,"None"))</f>
        <v/>
      </c>
      <c r="AD48" s="76" t="str">
        <f>IFERROR(AC48*J48*L48*#REF!*O48,IF(P48="","","None"))</f>
        <v/>
      </c>
      <c r="AF48" s="54" t="str">
        <f t="shared" si="0"/>
        <v/>
      </c>
      <c r="AG48" s="54" t="str">
        <f t="shared" si="1"/>
        <v/>
      </c>
      <c r="AH48" s="54" t="str">
        <f>IF(I48="","",IF(#REF!&gt;0,TRUE,FALSE))</f>
        <v/>
      </c>
      <c r="AI48" s="54">
        <v>38</v>
      </c>
      <c r="AJ48" s="54"/>
      <c r="AK48" s="54" t="str">
        <f t="array" ref="AK48">IFERROR(INDEX($AI$11:$AI$259, MATCH(0, IF(TRUE=$AF$11:$AF$259, COUNTIF($AK$10:$AK47, $AI$11:$AI$259), ""), 0)),"")</f>
        <v/>
      </c>
      <c r="AL48" s="54" t="str">
        <f t="array" ref="AL48">IFERROR(INDEX($AI$11:$AI$259, MATCH(0, IF(TRUE=$AG$11:$AG$259, COUNTIF($AL$10:$AL47, $AI$11:$AI$259), ""), 0)),"")</f>
        <v/>
      </c>
      <c r="AM48" s="54" t="str">
        <f t="array" ref="AM48">IFERROR(INDEX($AI$11:$AI$259, MATCH(0, IF(TRUE=$AH$11:$AH$259, COUNTIF($AM$10:$AM47, $AI$11:$AI$259), ""), 0)),"")</f>
        <v/>
      </c>
      <c r="AN48" s="54"/>
      <c r="AQ48" s="47">
        <f t="shared" si="2"/>
        <v>0</v>
      </c>
    </row>
    <row r="49" spans="1:43" x14ac:dyDescent="0.3">
      <c r="A49" s="47" t="str">
        <f>IFERROR(INDEX('G-1 All Habitats'!$AG$3:$AG$15,MATCH(E49,'G-1 All Habitats'!$AF$3:$AF$15,0)),"")</f>
        <v/>
      </c>
      <c r="B49" s="47" t="str">
        <f>IFERROR(INDEX('G-8 Condition Look up'!$I$4:$I$130,MATCH(G49,'G-8 Condition Look up'!$A$4:$A$130,0)),"")</f>
        <v/>
      </c>
      <c r="D49" s="77">
        <v>39</v>
      </c>
      <c r="E49" s="78"/>
      <c r="F49" s="79"/>
      <c r="G49" s="69" t="str">
        <f>IFERROR(INDEX('G-1 All Habitats'!$B$3:$B$129,MATCH(F49,'G-1 All Habitats'!$A$3:$A$129,0)),"")</f>
        <v/>
      </c>
      <c r="H49" s="70"/>
      <c r="I49" s="498" t="str">
        <f>IF(G49="","",VLOOKUP(G49,'G-1 All Habitats'!$B$2:$M$129,10,FALSE))</f>
        <v/>
      </c>
      <c r="J49" s="499" t="str">
        <f>IFERROR(VLOOKUP(I49,'G-1 All Habitats'!$V$3:$W$7,2,FALSE),"")</f>
        <v/>
      </c>
      <c r="K49" s="71"/>
      <c r="L49" s="499" t="str">
        <f>IFERROR(INDEX('G-8 Condition Look up'!$A$3:$H$130,MATCH(G49,'G-8 Condition Look up'!$A$3:$A$130,0),MATCH(K49,'G-8 Condition Look up'!$A$3:$H$3,0)),"")</f>
        <v/>
      </c>
      <c r="M49" s="71"/>
      <c r="N49" s="520" t="str">
        <f>IF(M49="","",IF(VLOOKUP(M49,'G-3 Multipliers'!$L$3:$N$6,2,FALSE)=0,"Spatial Data Missing",VLOOKUP(M49,'G-3 Multipliers'!$L$3:$N$6,2,FALSE)))</f>
        <v/>
      </c>
      <c r="O49" s="505" t="str">
        <f>IF(M49="","",IF(VLOOKUP(M49,'G-3 Multipliers'!$L$3:$N$6,3,FALSE)=0,"Spatial Data Missing ▲",VLOOKUP(M49,'G-3 Multipliers'!$L$3:$N$6,3,FALSE)))</f>
        <v/>
      </c>
      <c r="P49" s="506" t="str">
        <f>IFERROR(VLOOKUP(G49,'G-1 All Habitats'!$B$2:$M$129,12,FALSE),"")</f>
        <v/>
      </c>
      <c r="Q49" s="513" t="str">
        <f>IFERROR(IF(P49="","",IF(AND(P49='G-1 All Habitats'!$X$3,T49&gt;0),U49+V49,IF(AND(P49='G-1 All Habitats'!$X$3,S49&gt;0),U49+V49,IF(AND(P49='G-1 All Habitats'!$X$3,AC49&gt;0),"Any Loss Unacceptable ▲",IF(AND(P49='G-1 All Habitats'!$X$3,W49&gt;0),"Any Loss Unacceptable ▲",H49*J49*L49*O49))))),"Check Data ▲")</f>
        <v/>
      </c>
      <c r="R49" s="50"/>
      <c r="S49" s="71"/>
      <c r="T49" s="72"/>
      <c r="U49" s="511" t="str">
        <f t="shared" si="3"/>
        <v/>
      </c>
      <c r="V49" s="511" t="str">
        <f t="shared" si="4"/>
        <v/>
      </c>
      <c r="W49" s="511" t="str">
        <f>IF(E49="","",IF(H49&lt;S49+T49,"Error in Areas ▲",IF(P49&lt;&gt;'G-1 All Habitats'!$X$3,H49-S49-T49,IF(AND(P49='G-1 All Habitats'!$X$3,Y49="Yes"),"Unacceptable Loss",IF(AND(P49='G-1 All Habitats'!$X$3,Y49="No"),AC49,IF(AND(P49='G-1 All Habitats'!$X$3,Y49=""),AC49,IF(AND(P49='G-1 All Habitats'!$X$3,AC49="None",AC49),IF(AND(P49='G-1 All Habitats'!$X$3,AC49&gt;0),H49-S49-T49))))))))</f>
        <v/>
      </c>
      <c r="X49" s="515" t="str">
        <f>IFERROR(IF(H49="","",IF(H49-S49-T49=0&lt;0,"Error in Areas ▲",IF(S49+T49&gt;H49,"Error in Areas ▲",IF(AND(P49='G-1 All Habitats'!$X$3,Y49="Yes"),"Alternative Compensation ✓",IF(W49=0,0,IF(P49='G-1 All Habitats'!$X$3,"Unacceptable Loss ▲",Q49-U49-V49)))))),"Check Data ▲")</f>
        <v/>
      </c>
      <c r="Y49" s="72"/>
      <c r="Z49" s="80"/>
      <c r="AA49" s="81"/>
      <c r="AC49" s="75" t="str">
        <f>IF(P49="","",IF(P49='G-1 All Habitats'!$X$3,H49-S49-T49,"None"))</f>
        <v/>
      </c>
      <c r="AD49" s="76" t="str">
        <f>IFERROR(AC49*J49*L49*#REF!*O49,IF(P49="","","None"))</f>
        <v/>
      </c>
      <c r="AF49" s="54" t="str">
        <f t="shared" si="0"/>
        <v/>
      </c>
      <c r="AG49" s="54" t="str">
        <f t="shared" si="1"/>
        <v/>
      </c>
      <c r="AH49" s="54" t="str">
        <f>IF(I49="","",IF(#REF!&gt;0,TRUE,FALSE))</f>
        <v/>
      </c>
      <c r="AI49" s="54">
        <v>39</v>
      </c>
      <c r="AJ49" s="54"/>
      <c r="AK49" s="54" t="str">
        <f t="array" ref="AK49">IFERROR(INDEX($AI$11:$AI$259, MATCH(0, IF(TRUE=$AF$11:$AF$259, COUNTIF($AK$10:$AK48, $AI$11:$AI$259), ""), 0)),"")</f>
        <v/>
      </c>
      <c r="AL49" s="54" t="str">
        <f t="array" ref="AL49">IFERROR(INDEX($AI$11:$AI$259, MATCH(0, IF(TRUE=$AG$11:$AG$259, COUNTIF($AL$10:$AL48, $AI$11:$AI$259), ""), 0)),"")</f>
        <v/>
      </c>
      <c r="AM49" s="54" t="str">
        <f t="array" ref="AM49">IFERROR(INDEX($AI$11:$AI$259, MATCH(0, IF(TRUE=$AH$11:$AH$259, COUNTIF($AM$10:$AM48, $AI$11:$AI$259), ""), 0)),"")</f>
        <v/>
      </c>
      <c r="AN49" s="54"/>
      <c r="AQ49" s="47">
        <f t="shared" si="2"/>
        <v>0</v>
      </c>
    </row>
    <row r="50" spans="1:43" x14ac:dyDescent="0.3">
      <c r="A50" s="47" t="str">
        <f>IFERROR(INDEX('G-1 All Habitats'!$AG$3:$AG$15,MATCH(E50,'G-1 All Habitats'!$AF$3:$AF$15,0)),"")</f>
        <v/>
      </c>
      <c r="B50" s="47" t="str">
        <f>IFERROR(INDEX('G-8 Condition Look up'!$I$4:$I$130,MATCH(G50,'G-8 Condition Look up'!$A$4:$A$130,0)),"")</f>
        <v/>
      </c>
      <c r="D50" s="77">
        <v>40</v>
      </c>
      <c r="E50" s="78"/>
      <c r="F50" s="79"/>
      <c r="G50" s="69" t="str">
        <f>IFERROR(INDEX('G-1 All Habitats'!$B$3:$B$129,MATCH(F50,'G-1 All Habitats'!$A$3:$A$129,0)),"")</f>
        <v/>
      </c>
      <c r="H50" s="70"/>
      <c r="I50" s="498" t="str">
        <f>IF(G50="","",VLOOKUP(G50,'G-1 All Habitats'!$B$2:$M$129,10,FALSE))</f>
        <v/>
      </c>
      <c r="J50" s="499" t="str">
        <f>IFERROR(VLOOKUP(I50,'G-1 All Habitats'!$V$3:$W$7,2,FALSE),"")</f>
        <v/>
      </c>
      <c r="K50" s="71"/>
      <c r="L50" s="499" t="str">
        <f>IFERROR(INDEX('G-8 Condition Look up'!$A$3:$H$130,MATCH(G50,'G-8 Condition Look up'!$A$3:$A$130,0),MATCH(K50,'G-8 Condition Look up'!$A$3:$H$3,0)),"")</f>
        <v/>
      </c>
      <c r="M50" s="71"/>
      <c r="N50" s="520" t="str">
        <f>IF(M50="","",IF(VLOOKUP(M50,'G-3 Multipliers'!$L$3:$N$6,2,FALSE)=0,"Spatial Data Missing",VLOOKUP(M50,'G-3 Multipliers'!$L$3:$N$6,2,FALSE)))</f>
        <v/>
      </c>
      <c r="O50" s="505" t="str">
        <f>IF(M50="","",IF(VLOOKUP(M50,'G-3 Multipliers'!$L$3:$N$6,3,FALSE)=0,"Spatial Data Missing ▲",VLOOKUP(M50,'G-3 Multipliers'!$L$3:$N$6,3,FALSE)))</f>
        <v/>
      </c>
      <c r="P50" s="506" t="str">
        <f>IFERROR(VLOOKUP(G50,'G-1 All Habitats'!$B$2:$M$129,12,FALSE),"")</f>
        <v/>
      </c>
      <c r="Q50" s="513" t="str">
        <f>IFERROR(IF(P50="","",IF(AND(P50='G-1 All Habitats'!$X$3,T50&gt;0),U50+V50,IF(AND(P50='G-1 All Habitats'!$X$3,S50&gt;0),U50+V50,IF(AND(P50='G-1 All Habitats'!$X$3,AC50&gt;0),"Any Loss Unacceptable ▲",IF(AND(P50='G-1 All Habitats'!$X$3,W50&gt;0),"Any Loss Unacceptable ▲",H50*J50*L50*O50))))),"Check Data ▲")</f>
        <v/>
      </c>
      <c r="R50" s="50"/>
      <c r="S50" s="71"/>
      <c r="T50" s="72"/>
      <c r="U50" s="511" t="str">
        <f t="shared" si="3"/>
        <v/>
      </c>
      <c r="V50" s="511" t="str">
        <f t="shared" si="4"/>
        <v/>
      </c>
      <c r="W50" s="511" t="str">
        <f>IF(E50="","",IF(H50&lt;S50+T50,"Error in Areas ▲",IF(P50&lt;&gt;'G-1 All Habitats'!$X$3,H50-S50-T50,IF(AND(P50='G-1 All Habitats'!$X$3,Y50="Yes"),"Unacceptable Loss",IF(AND(P50='G-1 All Habitats'!$X$3,Y50="No"),AC50,IF(AND(P50='G-1 All Habitats'!$X$3,Y50=""),AC50,IF(AND(P50='G-1 All Habitats'!$X$3,AC50="None",AC50),IF(AND(P50='G-1 All Habitats'!$X$3,AC50&gt;0),H50-S50-T50))))))))</f>
        <v/>
      </c>
      <c r="X50" s="515" t="str">
        <f>IFERROR(IF(H50="","",IF(H50-S50-T50=0&lt;0,"Error in Areas ▲",IF(S50+T50&gt;H50,"Error in Areas ▲",IF(AND(P50='G-1 All Habitats'!$X$3,Y50="Yes"),"Alternative Compensation ✓",IF(W50=0,0,IF(P50='G-1 All Habitats'!$X$3,"Unacceptable Loss ▲",Q50-U50-V50)))))),"Check Data ▲")</f>
        <v/>
      </c>
      <c r="Y50" s="72"/>
      <c r="Z50" s="80"/>
      <c r="AA50" s="81"/>
      <c r="AC50" s="75" t="str">
        <f>IF(P50="","",IF(P50='G-1 All Habitats'!$X$3,H50-S50-T50,"None"))</f>
        <v/>
      </c>
      <c r="AD50" s="76" t="str">
        <f>IFERROR(AC50*J50*L50*#REF!*O50,IF(P50="","","None"))</f>
        <v/>
      </c>
      <c r="AF50" s="54" t="str">
        <f t="shared" si="0"/>
        <v/>
      </c>
      <c r="AG50" s="54" t="str">
        <f t="shared" si="1"/>
        <v/>
      </c>
      <c r="AH50" s="54" t="str">
        <f>IF(I50="","",IF(#REF!&gt;0,TRUE,FALSE))</f>
        <v/>
      </c>
      <c r="AI50" s="54">
        <v>40</v>
      </c>
      <c r="AJ50" s="54"/>
      <c r="AK50" s="54" t="str">
        <f t="array" ref="AK50">IFERROR(INDEX($AI$11:$AI$259, MATCH(0, IF(TRUE=$AF$11:$AF$259, COUNTIF($AK$10:$AK49, $AI$11:$AI$259), ""), 0)),"")</f>
        <v/>
      </c>
      <c r="AL50" s="54" t="str">
        <f t="array" ref="AL50">IFERROR(INDEX($AI$11:$AI$259, MATCH(0, IF(TRUE=$AG$11:$AG$259, COUNTIF($AL$10:$AL49, $AI$11:$AI$259), ""), 0)),"")</f>
        <v/>
      </c>
      <c r="AM50" s="54" t="str">
        <f t="array" ref="AM50">IFERROR(INDEX($AI$11:$AI$259, MATCH(0, IF(TRUE=$AH$11:$AH$259, COUNTIF($AM$10:$AM49, $AI$11:$AI$259), ""), 0)),"")</f>
        <v/>
      </c>
      <c r="AN50" s="54"/>
      <c r="AQ50" s="47">
        <f t="shared" si="2"/>
        <v>0</v>
      </c>
    </row>
    <row r="51" spans="1:43" x14ac:dyDescent="0.3">
      <c r="A51" s="47" t="str">
        <f>IFERROR(INDEX('G-1 All Habitats'!$AG$3:$AG$15,MATCH(E51,'G-1 All Habitats'!$AF$3:$AF$15,0)),"")</f>
        <v/>
      </c>
      <c r="B51" s="47" t="str">
        <f>IFERROR(INDEX('G-8 Condition Look up'!$I$4:$I$130,MATCH(G51,'G-8 Condition Look up'!$A$4:$A$130,0)),"")</f>
        <v/>
      </c>
      <c r="D51" s="77">
        <v>41</v>
      </c>
      <c r="E51" s="78"/>
      <c r="F51" s="79"/>
      <c r="G51" s="69" t="str">
        <f>IFERROR(INDEX('G-1 All Habitats'!$B$3:$B$129,MATCH(F51,'G-1 All Habitats'!$A$3:$A$129,0)),"")</f>
        <v/>
      </c>
      <c r="H51" s="70"/>
      <c r="I51" s="498" t="str">
        <f>IF(G51="","",VLOOKUP(G51,'G-1 All Habitats'!$B$2:$M$129,10,FALSE))</f>
        <v/>
      </c>
      <c r="J51" s="499" t="str">
        <f>IFERROR(VLOOKUP(I51,'G-1 All Habitats'!$V$3:$W$7,2,FALSE),"")</f>
        <v/>
      </c>
      <c r="K51" s="71"/>
      <c r="L51" s="499" t="str">
        <f>IFERROR(INDEX('G-8 Condition Look up'!$A$3:$H$130,MATCH(G51,'G-8 Condition Look up'!$A$3:$A$130,0),MATCH(K51,'G-8 Condition Look up'!$A$3:$H$3,0)),"")</f>
        <v/>
      </c>
      <c r="M51" s="71"/>
      <c r="N51" s="520" t="str">
        <f>IF(M51="","",IF(VLOOKUP(M51,'G-3 Multipliers'!$L$3:$N$6,2,FALSE)=0,"Spatial Data Missing",VLOOKUP(M51,'G-3 Multipliers'!$L$3:$N$6,2,FALSE)))</f>
        <v/>
      </c>
      <c r="O51" s="505" t="str">
        <f>IF(M51="","",IF(VLOOKUP(M51,'G-3 Multipliers'!$L$3:$N$6,3,FALSE)=0,"Spatial Data Missing ▲",VLOOKUP(M51,'G-3 Multipliers'!$L$3:$N$6,3,FALSE)))</f>
        <v/>
      </c>
      <c r="P51" s="506" t="str">
        <f>IFERROR(VLOOKUP(G51,'G-1 All Habitats'!$B$2:$M$129,12,FALSE),"")</f>
        <v/>
      </c>
      <c r="Q51" s="513" t="str">
        <f>IFERROR(IF(P51="","",IF(AND(P51='G-1 All Habitats'!$X$3,T51&gt;0),U51+V51,IF(AND(P51='G-1 All Habitats'!$X$3,S51&gt;0),U51+V51,IF(AND(P51='G-1 All Habitats'!$X$3,AC51&gt;0),"Any Loss Unacceptable ▲",IF(AND(P51='G-1 All Habitats'!$X$3,W51&gt;0),"Any Loss Unacceptable ▲",H51*J51*L51*O51))))),"Check Data ▲")</f>
        <v/>
      </c>
      <c r="R51" s="50"/>
      <c r="S51" s="71"/>
      <c r="T51" s="72"/>
      <c r="U51" s="511" t="str">
        <f t="shared" si="3"/>
        <v/>
      </c>
      <c r="V51" s="511" t="str">
        <f t="shared" si="4"/>
        <v/>
      </c>
      <c r="W51" s="511" t="str">
        <f>IF(E51="","",IF(H51&lt;S51+T51,"Error in Areas ▲",IF(P51&lt;&gt;'G-1 All Habitats'!$X$3,H51-S51-T51,IF(AND(P51='G-1 All Habitats'!$X$3,Y51="Yes"),"Unacceptable Loss",IF(AND(P51='G-1 All Habitats'!$X$3,Y51="No"),AC51,IF(AND(P51='G-1 All Habitats'!$X$3,Y51=""),AC51,IF(AND(P51='G-1 All Habitats'!$X$3,AC51="None",AC51),IF(AND(P51='G-1 All Habitats'!$X$3,AC51&gt;0),H51-S51-T51))))))))</f>
        <v/>
      </c>
      <c r="X51" s="515" t="str">
        <f>IFERROR(IF(H51="","",IF(H51-S51-T51=0&lt;0,"Error in Areas ▲",IF(S51+T51&gt;H51,"Error in Areas ▲",IF(AND(P51='G-1 All Habitats'!$X$3,Y51="Yes"),"Alternative Compensation ✓",IF(W51=0,0,IF(P51='G-1 All Habitats'!$X$3,"Unacceptable Loss ▲",Q51-U51-V51)))))),"Check Data ▲")</f>
        <v/>
      </c>
      <c r="Y51" s="72"/>
      <c r="Z51" s="80"/>
      <c r="AA51" s="81"/>
      <c r="AC51" s="75" t="str">
        <f>IF(P51="","",IF(P51='G-1 All Habitats'!$X$3,H51-S51-T51,"None"))</f>
        <v/>
      </c>
      <c r="AD51" s="76" t="str">
        <f>IFERROR(AC51*J51*L51*#REF!*O51,IF(P51="","","None"))</f>
        <v/>
      </c>
      <c r="AF51" s="54" t="str">
        <f t="shared" si="0"/>
        <v/>
      </c>
      <c r="AG51" s="54" t="str">
        <f t="shared" si="1"/>
        <v/>
      </c>
      <c r="AH51" s="54" t="str">
        <f>IF(I51="","",IF(#REF!&gt;0,TRUE,FALSE))</f>
        <v/>
      </c>
      <c r="AI51" s="54">
        <v>41</v>
      </c>
      <c r="AJ51" s="54"/>
      <c r="AK51" s="54" t="str">
        <f t="array" ref="AK51">IFERROR(INDEX($AI$11:$AI$259, MATCH(0, IF(TRUE=$AF$11:$AF$259, COUNTIF($AK$10:$AK50, $AI$11:$AI$259), ""), 0)),"")</f>
        <v/>
      </c>
      <c r="AL51" s="54" t="str">
        <f t="array" ref="AL51">IFERROR(INDEX($AI$11:$AI$259, MATCH(0, IF(TRUE=$AG$11:$AG$259, COUNTIF($AL$10:$AL50, $AI$11:$AI$259), ""), 0)),"")</f>
        <v/>
      </c>
      <c r="AM51" s="54" t="str">
        <f t="array" ref="AM51">IFERROR(INDEX($AI$11:$AI$259, MATCH(0, IF(TRUE=$AH$11:$AH$259, COUNTIF($AM$10:$AM50, $AI$11:$AI$259), ""), 0)),"")</f>
        <v/>
      </c>
      <c r="AN51" s="54"/>
      <c r="AQ51" s="47">
        <f t="shared" si="2"/>
        <v>0</v>
      </c>
    </row>
    <row r="52" spans="1:43" x14ac:dyDescent="0.3">
      <c r="A52" s="47" t="str">
        <f>IFERROR(INDEX('G-1 All Habitats'!$AG$3:$AG$15,MATCH(E52,'G-1 All Habitats'!$AF$3:$AF$15,0)),"")</f>
        <v/>
      </c>
      <c r="B52" s="47" t="str">
        <f>IFERROR(INDEX('G-8 Condition Look up'!$I$4:$I$130,MATCH(G52,'G-8 Condition Look up'!$A$4:$A$130,0)),"")</f>
        <v/>
      </c>
      <c r="D52" s="77">
        <v>42</v>
      </c>
      <c r="E52" s="78"/>
      <c r="F52" s="79"/>
      <c r="G52" s="69" t="str">
        <f>IFERROR(INDEX('G-1 All Habitats'!$B$3:$B$129,MATCH(F52,'G-1 All Habitats'!$A$3:$A$129,0)),"")</f>
        <v/>
      </c>
      <c r="H52" s="70"/>
      <c r="I52" s="498" t="str">
        <f>IF(G52="","",VLOOKUP(G52,'G-1 All Habitats'!$B$2:$M$129,10,FALSE))</f>
        <v/>
      </c>
      <c r="J52" s="499" t="str">
        <f>IFERROR(VLOOKUP(I52,'G-1 All Habitats'!$V$3:$W$7,2,FALSE),"")</f>
        <v/>
      </c>
      <c r="K52" s="71"/>
      <c r="L52" s="499" t="str">
        <f>IFERROR(INDEX('G-8 Condition Look up'!$A$3:$H$130,MATCH(G52,'G-8 Condition Look up'!$A$3:$A$130,0),MATCH(K52,'G-8 Condition Look up'!$A$3:$H$3,0)),"")</f>
        <v/>
      </c>
      <c r="M52" s="71"/>
      <c r="N52" s="520" t="str">
        <f>IF(M52="","",IF(VLOOKUP(M52,'G-3 Multipliers'!$L$3:$N$6,2,FALSE)=0,"Spatial Data Missing",VLOOKUP(M52,'G-3 Multipliers'!$L$3:$N$6,2,FALSE)))</f>
        <v/>
      </c>
      <c r="O52" s="505" t="str">
        <f>IF(M52="","",IF(VLOOKUP(M52,'G-3 Multipliers'!$L$3:$N$6,3,FALSE)=0,"Spatial Data Missing ▲",VLOOKUP(M52,'G-3 Multipliers'!$L$3:$N$6,3,FALSE)))</f>
        <v/>
      </c>
      <c r="P52" s="506" t="str">
        <f>IFERROR(VLOOKUP(G52,'G-1 All Habitats'!$B$2:$M$129,12,FALSE),"")</f>
        <v/>
      </c>
      <c r="Q52" s="513" t="str">
        <f>IFERROR(IF(P52="","",IF(AND(P52='G-1 All Habitats'!$X$3,T52&gt;0),U52+V52,IF(AND(P52='G-1 All Habitats'!$X$3,S52&gt;0),U52+V52,IF(AND(P52='G-1 All Habitats'!$X$3,AC52&gt;0),"Any Loss Unacceptable ▲",IF(AND(P52='G-1 All Habitats'!$X$3,W52&gt;0),"Any Loss Unacceptable ▲",H52*J52*L52*O52))))),"Check Data ▲")</f>
        <v/>
      </c>
      <c r="R52" s="50"/>
      <c r="S52" s="71"/>
      <c r="T52" s="72"/>
      <c r="U52" s="511" t="str">
        <f t="shared" si="3"/>
        <v/>
      </c>
      <c r="V52" s="511" t="str">
        <f t="shared" si="4"/>
        <v/>
      </c>
      <c r="W52" s="511" t="str">
        <f>IF(E52="","",IF(H52&lt;S52+T52,"Error in Areas ▲",IF(P52&lt;&gt;'G-1 All Habitats'!$X$3,H52-S52-T52,IF(AND(P52='G-1 All Habitats'!$X$3,Y52="Yes"),"Unacceptable Loss",IF(AND(P52='G-1 All Habitats'!$X$3,Y52="No"),AC52,IF(AND(P52='G-1 All Habitats'!$X$3,Y52=""),AC52,IF(AND(P52='G-1 All Habitats'!$X$3,AC52="None",AC52),IF(AND(P52='G-1 All Habitats'!$X$3,AC52&gt;0),H52-S52-T52))))))))</f>
        <v/>
      </c>
      <c r="X52" s="515" t="str">
        <f>IFERROR(IF(H52="","",IF(H52-S52-T52=0&lt;0,"Error in Areas ▲",IF(S52+T52&gt;H52,"Error in Areas ▲",IF(AND(P52='G-1 All Habitats'!$X$3,Y52="Yes"),"Alternative Compensation ✓",IF(W52=0,0,IF(P52='G-1 All Habitats'!$X$3,"Unacceptable Loss ▲",Q52-U52-V52)))))),"Check Data ▲")</f>
        <v/>
      </c>
      <c r="Y52" s="72"/>
      <c r="Z52" s="80"/>
      <c r="AA52" s="81"/>
      <c r="AC52" s="75" t="str">
        <f>IF(P52="","",IF(P52='G-1 All Habitats'!$X$3,H52-S52-T52,"None"))</f>
        <v/>
      </c>
      <c r="AD52" s="76" t="str">
        <f>IFERROR(AC52*J52*L52*#REF!*O52,IF(P52="","","None"))</f>
        <v/>
      </c>
      <c r="AF52" s="54" t="str">
        <f t="shared" si="0"/>
        <v/>
      </c>
      <c r="AG52" s="54" t="str">
        <f t="shared" si="1"/>
        <v/>
      </c>
      <c r="AH52" s="54" t="str">
        <f>IF(I52="","",IF(#REF!&gt;0,TRUE,FALSE))</f>
        <v/>
      </c>
      <c r="AI52" s="54">
        <v>42</v>
      </c>
      <c r="AJ52" s="54"/>
      <c r="AK52" s="54" t="str">
        <f t="array" ref="AK52">IFERROR(INDEX($AI$11:$AI$259, MATCH(0, IF(TRUE=$AF$11:$AF$259, COUNTIF($AK$10:$AK51, $AI$11:$AI$259), ""), 0)),"")</f>
        <v/>
      </c>
      <c r="AL52" s="54" t="str">
        <f t="array" ref="AL52">IFERROR(INDEX($AI$11:$AI$259, MATCH(0, IF(TRUE=$AG$11:$AG$259, COUNTIF($AL$10:$AL51, $AI$11:$AI$259), ""), 0)),"")</f>
        <v/>
      </c>
      <c r="AM52" s="54" t="str">
        <f t="array" ref="AM52">IFERROR(INDEX($AI$11:$AI$259, MATCH(0, IF(TRUE=$AH$11:$AH$259, COUNTIF($AM$10:$AM51, $AI$11:$AI$259), ""), 0)),"")</f>
        <v/>
      </c>
      <c r="AN52" s="54"/>
      <c r="AQ52" s="47">
        <f t="shared" si="2"/>
        <v>0</v>
      </c>
    </row>
    <row r="53" spans="1:43" x14ac:dyDescent="0.3">
      <c r="A53" s="47" t="str">
        <f>IFERROR(INDEX('G-1 All Habitats'!$AG$3:$AG$15,MATCH(E53,'G-1 All Habitats'!$AF$3:$AF$15,0)),"")</f>
        <v/>
      </c>
      <c r="B53" s="47" t="str">
        <f>IFERROR(INDEX('G-8 Condition Look up'!$I$4:$I$130,MATCH(G53,'G-8 Condition Look up'!$A$4:$A$130,0)),"")</f>
        <v/>
      </c>
      <c r="D53" s="77">
        <v>43</v>
      </c>
      <c r="E53" s="78"/>
      <c r="F53" s="79"/>
      <c r="G53" s="69" t="str">
        <f>IFERROR(INDEX('G-1 All Habitats'!$B$3:$B$129,MATCH(F53,'G-1 All Habitats'!$A$3:$A$129,0)),"")</f>
        <v/>
      </c>
      <c r="H53" s="70"/>
      <c r="I53" s="498" t="str">
        <f>IF(G53="","",VLOOKUP(G53,'G-1 All Habitats'!$B$2:$M$129,10,FALSE))</f>
        <v/>
      </c>
      <c r="J53" s="499" t="str">
        <f>IFERROR(VLOOKUP(I53,'G-1 All Habitats'!$V$3:$W$7,2,FALSE),"")</f>
        <v/>
      </c>
      <c r="K53" s="71"/>
      <c r="L53" s="499" t="str">
        <f>IFERROR(INDEX('G-8 Condition Look up'!$A$3:$H$130,MATCH(G53,'G-8 Condition Look up'!$A$3:$A$130,0),MATCH(K53,'G-8 Condition Look up'!$A$3:$H$3,0)),"")</f>
        <v/>
      </c>
      <c r="M53" s="71"/>
      <c r="N53" s="520" t="str">
        <f>IF(M53="","",IF(VLOOKUP(M53,'G-3 Multipliers'!$L$3:$N$6,2,FALSE)=0,"Spatial Data Missing",VLOOKUP(M53,'G-3 Multipliers'!$L$3:$N$6,2,FALSE)))</f>
        <v/>
      </c>
      <c r="O53" s="505" t="str">
        <f>IF(M53="","",IF(VLOOKUP(M53,'G-3 Multipliers'!$L$3:$N$6,3,FALSE)=0,"Spatial Data Missing ▲",VLOOKUP(M53,'G-3 Multipliers'!$L$3:$N$6,3,FALSE)))</f>
        <v/>
      </c>
      <c r="P53" s="506" t="str">
        <f>IFERROR(VLOOKUP(G53,'G-1 All Habitats'!$B$2:$M$129,12,FALSE),"")</f>
        <v/>
      </c>
      <c r="Q53" s="513" t="str">
        <f>IFERROR(IF(P53="","",IF(AND(P53='G-1 All Habitats'!$X$3,T53&gt;0),U53+V53,IF(AND(P53='G-1 All Habitats'!$X$3,S53&gt;0),U53+V53,IF(AND(P53='G-1 All Habitats'!$X$3,AC53&gt;0),"Any Loss Unacceptable ▲",IF(AND(P53='G-1 All Habitats'!$X$3,W53&gt;0),"Any Loss Unacceptable ▲",H53*J53*L53*O53))))),"Check Data ▲")</f>
        <v/>
      </c>
      <c r="R53" s="50"/>
      <c r="S53" s="71"/>
      <c r="T53" s="72"/>
      <c r="U53" s="511" t="str">
        <f t="shared" si="3"/>
        <v/>
      </c>
      <c r="V53" s="511" t="str">
        <f t="shared" si="4"/>
        <v/>
      </c>
      <c r="W53" s="511" t="str">
        <f>IF(E53="","",IF(H53&lt;S53+T53,"Error in Areas ▲",IF(P53&lt;&gt;'G-1 All Habitats'!$X$3,H53-S53-T53,IF(AND(P53='G-1 All Habitats'!$X$3,Y53="Yes"),"Unacceptable Loss",IF(AND(P53='G-1 All Habitats'!$X$3,Y53="No"),AC53,IF(AND(P53='G-1 All Habitats'!$X$3,Y53=""),AC53,IF(AND(P53='G-1 All Habitats'!$X$3,AC53="None",AC53),IF(AND(P53='G-1 All Habitats'!$X$3,AC53&gt;0),H53-S53-T53))))))))</f>
        <v/>
      </c>
      <c r="X53" s="515" t="str">
        <f>IFERROR(IF(H53="","",IF(H53-S53-T53=0&lt;0,"Error in Areas ▲",IF(S53+T53&gt;H53,"Error in Areas ▲",IF(AND(P53='G-1 All Habitats'!$X$3,Y53="Yes"),"Alternative Compensation ✓",IF(W53=0,0,IF(P53='G-1 All Habitats'!$X$3,"Unacceptable Loss ▲",Q53-U53-V53)))))),"Check Data ▲")</f>
        <v/>
      </c>
      <c r="Y53" s="72"/>
      <c r="Z53" s="80"/>
      <c r="AA53" s="81"/>
      <c r="AC53" s="75" t="str">
        <f>IF(P53="","",IF(P53='G-1 All Habitats'!$X$3,H53-S53-T53,"None"))</f>
        <v/>
      </c>
      <c r="AD53" s="76" t="str">
        <f>IFERROR(AC53*J53*L53*#REF!*O53,IF(P53="","","None"))</f>
        <v/>
      </c>
      <c r="AF53" s="54" t="str">
        <f t="shared" si="0"/>
        <v/>
      </c>
      <c r="AG53" s="54" t="str">
        <f t="shared" si="1"/>
        <v/>
      </c>
      <c r="AH53" s="54" t="str">
        <f>IF(I53="","",IF(#REF!&gt;0,TRUE,FALSE))</f>
        <v/>
      </c>
      <c r="AI53" s="54">
        <v>43</v>
      </c>
      <c r="AJ53" s="54"/>
      <c r="AK53" s="54" t="str">
        <f t="array" ref="AK53">IFERROR(INDEX($AI$11:$AI$259, MATCH(0, IF(TRUE=$AF$11:$AF$259, COUNTIF($AK$10:$AK52, $AI$11:$AI$259), ""), 0)),"")</f>
        <v/>
      </c>
      <c r="AL53" s="54" t="str">
        <f t="array" ref="AL53">IFERROR(INDEX($AI$11:$AI$259, MATCH(0, IF(TRUE=$AG$11:$AG$259, COUNTIF($AL$10:$AL52, $AI$11:$AI$259), ""), 0)),"")</f>
        <v/>
      </c>
      <c r="AM53" s="54" t="str">
        <f t="array" ref="AM53">IFERROR(INDEX($AI$11:$AI$259, MATCH(0, IF(TRUE=$AH$11:$AH$259, COUNTIF($AM$10:$AM52, $AI$11:$AI$259), ""), 0)),"")</f>
        <v/>
      </c>
      <c r="AN53" s="54"/>
      <c r="AQ53" s="47">
        <f t="shared" si="2"/>
        <v>0</v>
      </c>
    </row>
    <row r="54" spans="1:43" x14ac:dyDescent="0.3">
      <c r="A54" s="47" t="str">
        <f>IFERROR(INDEX('G-1 All Habitats'!$AG$3:$AG$15,MATCH(E54,'G-1 All Habitats'!$AF$3:$AF$15,0)),"")</f>
        <v/>
      </c>
      <c r="B54" s="47" t="str">
        <f>IFERROR(INDEX('G-8 Condition Look up'!$I$4:$I$130,MATCH(G54,'G-8 Condition Look up'!$A$4:$A$130,0)),"")</f>
        <v/>
      </c>
      <c r="D54" s="77">
        <v>44</v>
      </c>
      <c r="E54" s="78"/>
      <c r="F54" s="79"/>
      <c r="G54" s="69" t="str">
        <f>IFERROR(INDEX('G-1 All Habitats'!$B$3:$B$129,MATCH(F54,'G-1 All Habitats'!$A$3:$A$129,0)),"")</f>
        <v/>
      </c>
      <c r="H54" s="70"/>
      <c r="I54" s="498" t="str">
        <f>IF(G54="","",VLOOKUP(G54,'G-1 All Habitats'!$B$2:$M$129,10,FALSE))</f>
        <v/>
      </c>
      <c r="J54" s="499" t="str">
        <f>IFERROR(VLOOKUP(I54,'G-1 All Habitats'!$V$3:$W$7,2,FALSE),"")</f>
        <v/>
      </c>
      <c r="K54" s="71"/>
      <c r="L54" s="499" t="str">
        <f>IFERROR(INDEX('G-8 Condition Look up'!$A$3:$H$130,MATCH(G54,'G-8 Condition Look up'!$A$3:$A$130,0),MATCH(K54,'G-8 Condition Look up'!$A$3:$H$3,0)),"")</f>
        <v/>
      </c>
      <c r="M54" s="71"/>
      <c r="N54" s="520" t="str">
        <f>IF(M54="","",IF(VLOOKUP(M54,'G-3 Multipliers'!$L$3:$N$6,2,FALSE)=0,"Spatial Data Missing",VLOOKUP(M54,'G-3 Multipliers'!$L$3:$N$6,2,FALSE)))</f>
        <v/>
      </c>
      <c r="O54" s="505" t="str">
        <f>IF(M54="","",IF(VLOOKUP(M54,'G-3 Multipliers'!$L$3:$N$6,3,FALSE)=0,"Spatial Data Missing ▲",VLOOKUP(M54,'G-3 Multipliers'!$L$3:$N$6,3,FALSE)))</f>
        <v/>
      </c>
      <c r="P54" s="506" t="str">
        <f>IFERROR(VLOOKUP(G54,'G-1 All Habitats'!$B$2:$M$129,12,FALSE),"")</f>
        <v/>
      </c>
      <c r="Q54" s="513" t="str">
        <f>IFERROR(IF(P54="","",IF(AND(P54='G-1 All Habitats'!$X$3,T54&gt;0),U54+V54,IF(AND(P54='G-1 All Habitats'!$X$3,S54&gt;0),U54+V54,IF(AND(P54='G-1 All Habitats'!$X$3,AC54&gt;0),"Any Loss Unacceptable ▲",IF(AND(P54='G-1 All Habitats'!$X$3,W54&gt;0),"Any Loss Unacceptable ▲",H54*J54*L54*O54))))),"Check Data ▲")</f>
        <v/>
      </c>
      <c r="R54" s="50"/>
      <c r="S54" s="71"/>
      <c r="T54" s="72"/>
      <c r="U54" s="511" t="str">
        <f t="shared" si="3"/>
        <v/>
      </c>
      <c r="V54" s="511" t="str">
        <f t="shared" si="4"/>
        <v/>
      </c>
      <c r="W54" s="511" t="str">
        <f>IF(E54="","",IF(H54&lt;S54+T54,"Error in Areas ▲",IF(P54&lt;&gt;'G-1 All Habitats'!$X$3,H54-S54-T54,IF(AND(P54='G-1 All Habitats'!$X$3,Y54="Yes"),"Unacceptable Loss",IF(AND(P54='G-1 All Habitats'!$X$3,Y54="No"),AC54,IF(AND(P54='G-1 All Habitats'!$X$3,Y54=""),AC54,IF(AND(P54='G-1 All Habitats'!$X$3,AC54="None",AC54),IF(AND(P54='G-1 All Habitats'!$X$3,AC54&gt;0),H54-S54-T54))))))))</f>
        <v/>
      </c>
      <c r="X54" s="515" t="str">
        <f>IFERROR(IF(H54="","",IF(H54-S54-T54=0&lt;0,"Error in Areas ▲",IF(S54+T54&gt;H54,"Error in Areas ▲",IF(AND(P54='G-1 All Habitats'!$X$3,Y54="Yes"),"Alternative Compensation ✓",IF(W54=0,0,IF(P54='G-1 All Habitats'!$X$3,"Unacceptable Loss ▲",Q54-U54-V54)))))),"Check Data ▲")</f>
        <v/>
      </c>
      <c r="Y54" s="72"/>
      <c r="Z54" s="80"/>
      <c r="AA54" s="81"/>
      <c r="AC54" s="75" t="str">
        <f>IF(P54="","",IF(P54='G-1 All Habitats'!$X$3,H54-S54-T54,"None"))</f>
        <v/>
      </c>
      <c r="AD54" s="76" t="str">
        <f>IFERROR(AC54*J54*L54*#REF!*O54,IF(P54="","","None"))</f>
        <v/>
      </c>
      <c r="AF54" s="54" t="str">
        <f t="shared" si="0"/>
        <v/>
      </c>
      <c r="AG54" s="54" t="str">
        <f t="shared" si="1"/>
        <v/>
      </c>
      <c r="AH54" s="54" t="str">
        <f>IF(I54="","",IF(#REF!&gt;0,TRUE,FALSE))</f>
        <v/>
      </c>
      <c r="AI54" s="54">
        <v>44</v>
      </c>
      <c r="AJ54" s="54"/>
      <c r="AK54" s="54" t="str">
        <f t="array" ref="AK54">IFERROR(INDEX($AI$11:$AI$259, MATCH(0, IF(TRUE=$AF$11:$AF$259, COUNTIF($AK$10:$AK53, $AI$11:$AI$259), ""), 0)),"")</f>
        <v/>
      </c>
      <c r="AL54" s="54" t="str">
        <f t="array" ref="AL54">IFERROR(INDEX($AI$11:$AI$259, MATCH(0, IF(TRUE=$AG$11:$AG$259, COUNTIF($AL$10:$AL53, $AI$11:$AI$259), ""), 0)),"")</f>
        <v/>
      </c>
      <c r="AM54" s="54" t="str">
        <f t="array" ref="AM54">IFERROR(INDEX($AI$11:$AI$259, MATCH(0, IF(TRUE=$AH$11:$AH$259, COUNTIF($AM$10:$AM53, $AI$11:$AI$259), ""), 0)),"")</f>
        <v/>
      </c>
      <c r="AN54" s="54"/>
      <c r="AQ54" s="47">
        <f t="shared" si="2"/>
        <v>0</v>
      </c>
    </row>
    <row r="55" spans="1:43" x14ac:dyDescent="0.3">
      <c r="A55" s="47" t="str">
        <f>IFERROR(INDEX('G-1 All Habitats'!$AG$3:$AG$15,MATCH(E55,'G-1 All Habitats'!$AF$3:$AF$15,0)),"")</f>
        <v/>
      </c>
      <c r="B55" s="47" t="str">
        <f>IFERROR(INDEX('G-8 Condition Look up'!$I$4:$I$130,MATCH(G55,'G-8 Condition Look up'!$A$4:$A$130,0)),"")</f>
        <v/>
      </c>
      <c r="D55" s="77">
        <v>45</v>
      </c>
      <c r="E55" s="78"/>
      <c r="F55" s="79"/>
      <c r="G55" s="69" t="str">
        <f>IFERROR(INDEX('G-1 All Habitats'!$B$3:$B$129,MATCH(F55,'G-1 All Habitats'!$A$3:$A$129,0)),"")</f>
        <v/>
      </c>
      <c r="H55" s="70"/>
      <c r="I55" s="498" t="str">
        <f>IF(G55="","",VLOOKUP(G55,'G-1 All Habitats'!$B$2:$M$129,10,FALSE))</f>
        <v/>
      </c>
      <c r="J55" s="499" t="str">
        <f>IFERROR(VLOOKUP(I55,'G-1 All Habitats'!$V$3:$W$7,2,FALSE),"")</f>
        <v/>
      </c>
      <c r="K55" s="71"/>
      <c r="L55" s="499" t="str">
        <f>IFERROR(INDEX('G-8 Condition Look up'!$A$3:$H$130,MATCH(G55,'G-8 Condition Look up'!$A$3:$A$130,0),MATCH(K55,'G-8 Condition Look up'!$A$3:$H$3,0)),"")</f>
        <v/>
      </c>
      <c r="M55" s="71"/>
      <c r="N55" s="520" t="str">
        <f>IF(M55="","",IF(VLOOKUP(M55,'G-3 Multipliers'!$L$3:$N$6,2,FALSE)=0,"Spatial Data Missing",VLOOKUP(M55,'G-3 Multipliers'!$L$3:$N$6,2,FALSE)))</f>
        <v/>
      </c>
      <c r="O55" s="505" t="str">
        <f>IF(M55="","",IF(VLOOKUP(M55,'G-3 Multipliers'!$L$3:$N$6,3,FALSE)=0,"Spatial Data Missing ▲",VLOOKUP(M55,'G-3 Multipliers'!$L$3:$N$6,3,FALSE)))</f>
        <v/>
      </c>
      <c r="P55" s="506" t="str">
        <f>IFERROR(VLOOKUP(G55,'G-1 All Habitats'!$B$2:$M$129,12,FALSE),"")</f>
        <v/>
      </c>
      <c r="Q55" s="513" t="str">
        <f>IFERROR(IF(P55="","",IF(AND(P55='G-1 All Habitats'!$X$3,T55&gt;0),U55+V55,IF(AND(P55='G-1 All Habitats'!$X$3,S55&gt;0),U55+V55,IF(AND(P55='G-1 All Habitats'!$X$3,AC55&gt;0),"Any Loss Unacceptable ▲",IF(AND(P55='G-1 All Habitats'!$X$3,W55&gt;0),"Any Loss Unacceptable ▲",H55*J55*L55*O55))))),"Check Data ▲")</f>
        <v/>
      </c>
      <c r="R55" s="50"/>
      <c r="S55" s="71"/>
      <c r="T55" s="72"/>
      <c r="U55" s="511" t="str">
        <f t="shared" si="3"/>
        <v/>
      </c>
      <c r="V55" s="511" t="str">
        <f t="shared" si="4"/>
        <v/>
      </c>
      <c r="W55" s="511" t="str">
        <f>IF(E55="","",IF(H55&lt;S55+T55,"Error in Areas ▲",IF(P55&lt;&gt;'G-1 All Habitats'!$X$3,H55-S55-T55,IF(AND(P55='G-1 All Habitats'!$X$3,Y55="Yes"),"Unacceptable Loss",IF(AND(P55='G-1 All Habitats'!$X$3,Y55="No"),AC55,IF(AND(P55='G-1 All Habitats'!$X$3,Y55=""),AC55,IF(AND(P55='G-1 All Habitats'!$X$3,AC55="None",AC55),IF(AND(P55='G-1 All Habitats'!$X$3,AC55&gt;0),H55-S55-T55))))))))</f>
        <v/>
      </c>
      <c r="X55" s="515" t="str">
        <f>IFERROR(IF(H55="","",IF(H55-S55-T55=0&lt;0,"Error in Areas ▲",IF(S55+T55&gt;H55,"Error in Areas ▲",IF(AND(P55='G-1 All Habitats'!$X$3,Y55="Yes"),"Alternative Compensation ✓",IF(W55=0,0,IF(P55='G-1 All Habitats'!$X$3,"Unacceptable Loss ▲",Q55-U55-V55)))))),"Check Data ▲")</f>
        <v/>
      </c>
      <c r="Y55" s="72"/>
      <c r="Z55" s="80"/>
      <c r="AA55" s="81"/>
      <c r="AC55" s="75" t="str">
        <f>IF(P55="","",IF(P55='G-1 All Habitats'!$X$3,H55-S55-T55,"None"))</f>
        <v/>
      </c>
      <c r="AD55" s="76" t="str">
        <f>IFERROR(AC55*J55*L55*#REF!*O55,IF(P55="","","None"))</f>
        <v/>
      </c>
      <c r="AF55" s="54" t="str">
        <f t="shared" si="0"/>
        <v/>
      </c>
      <c r="AG55" s="54" t="str">
        <f t="shared" si="1"/>
        <v/>
      </c>
      <c r="AH55" s="54" t="str">
        <f>IF(I55="","",IF(#REF!&gt;0,TRUE,FALSE))</f>
        <v/>
      </c>
      <c r="AI55" s="54">
        <v>45</v>
      </c>
      <c r="AJ55" s="54"/>
      <c r="AK55" s="54" t="str">
        <f t="array" ref="AK55">IFERROR(INDEX($AI$11:$AI$259, MATCH(0, IF(TRUE=$AF$11:$AF$259, COUNTIF($AK$10:$AK54, $AI$11:$AI$259), ""), 0)),"")</f>
        <v/>
      </c>
      <c r="AL55" s="54" t="str">
        <f t="array" ref="AL55">IFERROR(INDEX($AI$11:$AI$259, MATCH(0, IF(TRUE=$AG$11:$AG$259, COUNTIF($AL$10:$AL54, $AI$11:$AI$259), ""), 0)),"")</f>
        <v/>
      </c>
      <c r="AM55" s="54" t="str">
        <f t="array" ref="AM55">IFERROR(INDEX($AI$11:$AI$259, MATCH(0, IF(TRUE=$AH$11:$AH$259, COUNTIF($AM$10:$AM54, $AI$11:$AI$259), ""), 0)),"")</f>
        <v/>
      </c>
      <c r="AN55" s="54"/>
      <c r="AQ55" s="47">
        <f t="shared" si="2"/>
        <v>0</v>
      </c>
    </row>
    <row r="56" spans="1:43" x14ac:dyDescent="0.3">
      <c r="A56" s="47" t="str">
        <f>IFERROR(INDEX('G-1 All Habitats'!$AG$3:$AG$15,MATCH(E56,'G-1 All Habitats'!$AF$3:$AF$15,0)),"")</f>
        <v/>
      </c>
      <c r="B56" s="47" t="str">
        <f>IFERROR(INDEX('G-8 Condition Look up'!$I$4:$I$130,MATCH(G56,'G-8 Condition Look up'!$A$4:$A$130,0)),"")</f>
        <v/>
      </c>
      <c r="D56" s="77">
        <v>46</v>
      </c>
      <c r="E56" s="78"/>
      <c r="F56" s="79"/>
      <c r="G56" s="69" t="str">
        <f>IFERROR(INDEX('G-1 All Habitats'!$B$3:$B$129,MATCH(F56,'G-1 All Habitats'!$A$3:$A$129,0)),"")</f>
        <v/>
      </c>
      <c r="H56" s="70"/>
      <c r="I56" s="498" t="str">
        <f>IF(G56="","",VLOOKUP(G56,'G-1 All Habitats'!$B$2:$M$129,10,FALSE))</f>
        <v/>
      </c>
      <c r="J56" s="499" t="str">
        <f>IFERROR(VLOOKUP(I56,'G-1 All Habitats'!$V$3:$W$7,2,FALSE),"")</f>
        <v/>
      </c>
      <c r="K56" s="71"/>
      <c r="L56" s="499" t="str">
        <f>IFERROR(INDEX('G-8 Condition Look up'!$A$3:$H$130,MATCH(G56,'G-8 Condition Look up'!$A$3:$A$130,0),MATCH(K56,'G-8 Condition Look up'!$A$3:$H$3,0)),"")</f>
        <v/>
      </c>
      <c r="M56" s="71"/>
      <c r="N56" s="520" t="str">
        <f>IF(M56="","",IF(VLOOKUP(M56,'G-3 Multipliers'!$L$3:$N$6,2,FALSE)=0,"Spatial Data Missing",VLOOKUP(M56,'G-3 Multipliers'!$L$3:$N$6,2,FALSE)))</f>
        <v/>
      </c>
      <c r="O56" s="505" t="str">
        <f>IF(M56="","",IF(VLOOKUP(M56,'G-3 Multipliers'!$L$3:$N$6,3,FALSE)=0,"Spatial Data Missing ▲",VLOOKUP(M56,'G-3 Multipliers'!$L$3:$N$6,3,FALSE)))</f>
        <v/>
      </c>
      <c r="P56" s="506" t="str">
        <f>IFERROR(VLOOKUP(G56,'G-1 All Habitats'!$B$2:$M$129,12,FALSE),"")</f>
        <v/>
      </c>
      <c r="Q56" s="513" t="str">
        <f>IFERROR(IF(P56="","",IF(AND(P56='G-1 All Habitats'!$X$3,T56&gt;0),U56+V56,IF(AND(P56='G-1 All Habitats'!$X$3,S56&gt;0),U56+V56,IF(AND(P56='G-1 All Habitats'!$X$3,AC56&gt;0),"Any Loss Unacceptable ▲",IF(AND(P56='G-1 All Habitats'!$X$3,W56&gt;0),"Any Loss Unacceptable ▲",H56*J56*L56*O56))))),"Check Data ▲")</f>
        <v/>
      </c>
      <c r="R56" s="50"/>
      <c r="S56" s="71"/>
      <c r="T56" s="72"/>
      <c r="U56" s="511" t="str">
        <f t="shared" si="3"/>
        <v/>
      </c>
      <c r="V56" s="511" t="str">
        <f t="shared" si="4"/>
        <v/>
      </c>
      <c r="W56" s="511" t="str">
        <f>IF(E56="","",IF(H56&lt;S56+T56,"Error in Areas ▲",IF(P56&lt;&gt;'G-1 All Habitats'!$X$3,H56-S56-T56,IF(AND(P56='G-1 All Habitats'!$X$3,Y56="Yes"),"Unacceptable Loss",IF(AND(P56='G-1 All Habitats'!$X$3,Y56="No"),AC56,IF(AND(P56='G-1 All Habitats'!$X$3,Y56=""),AC56,IF(AND(P56='G-1 All Habitats'!$X$3,AC56="None",AC56),IF(AND(P56='G-1 All Habitats'!$X$3,AC56&gt;0),H56-S56-T56))))))))</f>
        <v/>
      </c>
      <c r="X56" s="515" t="str">
        <f>IFERROR(IF(H56="","",IF(H56-S56-T56=0&lt;0,"Error in Areas ▲",IF(S56+T56&gt;H56,"Error in Areas ▲",IF(AND(P56='G-1 All Habitats'!$X$3,Y56="Yes"),"Alternative Compensation ✓",IF(W56=0,0,IF(P56='G-1 All Habitats'!$X$3,"Unacceptable Loss ▲",Q56-U56-V56)))))),"Check Data ▲")</f>
        <v/>
      </c>
      <c r="Y56" s="72"/>
      <c r="Z56" s="80"/>
      <c r="AA56" s="81"/>
      <c r="AC56" s="75" t="str">
        <f>IF(P56="","",IF(P56='G-1 All Habitats'!$X$3,H56-S56-T56,"None"))</f>
        <v/>
      </c>
      <c r="AD56" s="76" t="str">
        <f>IFERROR(AC56*J56*L56*#REF!*O56,IF(P56="","","None"))</f>
        <v/>
      </c>
      <c r="AF56" s="54" t="str">
        <f t="shared" si="0"/>
        <v/>
      </c>
      <c r="AG56" s="54" t="str">
        <f t="shared" si="1"/>
        <v/>
      </c>
      <c r="AH56" s="54" t="str">
        <f>IF(I56="","",IF(#REF!&gt;0,TRUE,FALSE))</f>
        <v/>
      </c>
      <c r="AI56" s="54">
        <v>46</v>
      </c>
      <c r="AJ56" s="54"/>
      <c r="AK56" s="54" t="str">
        <f t="array" ref="AK56">IFERROR(INDEX($AI$11:$AI$259, MATCH(0, IF(TRUE=$AF$11:$AF$259, COUNTIF($AK$10:$AK55, $AI$11:$AI$259), ""), 0)),"")</f>
        <v/>
      </c>
      <c r="AL56" s="54" t="str">
        <f t="array" ref="AL56">IFERROR(INDEX($AI$11:$AI$259, MATCH(0, IF(TRUE=$AG$11:$AG$259, COUNTIF($AL$10:$AL55, $AI$11:$AI$259), ""), 0)),"")</f>
        <v/>
      </c>
      <c r="AM56" s="54" t="str">
        <f t="array" ref="AM56">IFERROR(INDEX($AI$11:$AI$259, MATCH(0, IF(TRUE=$AH$11:$AH$259, COUNTIF($AM$10:$AM55, $AI$11:$AI$259), ""), 0)),"")</f>
        <v/>
      </c>
      <c r="AN56" s="54"/>
      <c r="AQ56" s="47">
        <f t="shared" si="2"/>
        <v>0</v>
      </c>
    </row>
    <row r="57" spans="1:43" x14ac:dyDescent="0.3">
      <c r="A57" s="47" t="str">
        <f>IFERROR(INDEX('G-1 All Habitats'!$AG$3:$AG$15,MATCH(E57,'G-1 All Habitats'!$AF$3:$AF$15,0)),"")</f>
        <v/>
      </c>
      <c r="B57" s="47" t="str">
        <f>IFERROR(INDEX('G-8 Condition Look up'!$I$4:$I$130,MATCH(G57,'G-8 Condition Look up'!$A$4:$A$130,0)),"")</f>
        <v/>
      </c>
      <c r="D57" s="77">
        <v>47</v>
      </c>
      <c r="E57" s="78"/>
      <c r="F57" s="79"/>
      <c r="G57" s="69" t="str">
        <f>IFERROR(INDEX('G-1 All Habitats'!$B$3:$B$129,MATCH(F57,'G-1 All Habitats'!$A$3:$A$129,0)),"")</f>
        <v/>
      </c>
      <c r="H57" s="70"/>
      <c r="I57" s="498" t="str">
        <f>IF(G57="","",VLOOKUP(G57,'G-1 All Habitats'!$B$2:$M$129,10,FALSE))</f>
        <v/>
      </c>
      <c r="J57" s="499" t="str">
        <f>IFERROR(VLOOKUP(I57,'G-1 All Habitats'!$V$3:$W$7,2,FALSE),"")</f>
        <v/>
      </c>
      <c r="K57" s="71"/>
      <c r="L57" s="499" t="str">
        <f>IFERROR(INDEX('G-8 Condition Look up'!$A$3:$H$130,MATCH(G57,'G-8 Condition Look up'!$A$3:$A$130,0),MATCH(K57,'G-8 Condition Look up'!$A$3:$H$3,0)),"")</f>
        <v/>
      </c>
      <c r="M57" s="71"/>
      <c r="N57" s="520" t="str">
        <f>IF(M57="","",IF(VLOOKUP(M57,'G-3 Multipliers'!$L$3:$N$6,2,FALSE)=0,"Spatial Data Missing",VLOOKUP(M57,'G-3 Multipliers'!$L$3:$N$6,2,FALSE)))</f>
        <v/>
      </c>
      <c r="O57" s="505" t="str">
        <f>IF(M57="","",IF(VLOOKUP(M57,'G-3 Multipliers'!$L$3:$N$6,3,FALSE)=0,"Spatial Data Missing ▲",VLOOKUP(M57,'G-3 Multipliers'!$L$3:$N$6,3,FALSE)))</f>
        <v/>
      </c>
      <c r="P57" s="506" t="str">
        <f>IFERROR(VLOOKUP(G57,'G-1 All Habitats'!$B$2:$M$129,12,FALSE),"")</f>
        <v/>
      </c>
      <c r="Q57" s="513" t="str">
        <f>IFERROR(IF(P57="","",IF(AND(P57='G-1 All Habitats'!$X$3,T57&gt;0),U57+V57,IF(AND(P57='G-1 All Habitats'!$X$3,S57&gt;0),U57+V57,IF(AND(P57='G-1 All Habitats'!$X$3,AC57&gt;0),"Any Loss Unacceptable ▲",IF(AND(P57='G-1 All Habitats'!$X$3,W57&gt;0),"Any Loss Unacceptable ▲",H57*J57*L57*O57))))),"Check Data ▲")</f>
        <v/>
      </c>
      <c r="R57" s="50"/>
      <c r="S57" s="71"/>
      <c r="T57" s="72"/>
      <c r="U57" s="511" t="str">
        <f t="shared" si="3"/>
        <v/>
      </c>
      <c r="V57" s="511" t="str">
        <f t="shared" si="4"/>
        <v/>
      </c>
      <c r="W57" s="511" t="str">
        <f>IF(E57="","",IF(H57&lt;S57+T57,"Error in Areas ▲",IF(P57&lt;&gt;'G-1 All Habitats'!$X$3,H57-S57-T57,IF(AND(P57='G-1 All Habitats'!$X$3,Y57="Yes"),"Unacceptable Loss",IF(AND(P57='G-1 All Habitats'!$X$3,Y57="No"),AC57,IF(AND(P57='G-1 All Habitats'!$X$3,Y57=""),AC57,IF(AND(P57='G-1 All Habitats'!$X$3,AC57="None",AC57),IF(AND(P57='G-1 All Habitats'!$X$3,AC57&gt;0),H57-S57-T57))))))))</f>
        <v/>
      </c>
      <c r="X57" s="515" t="str">
        <f>IFERROR(IF(H57="","",IF(H57-S57-T57=0&lt;0,"Error in Areas ▲",IF(S57+T57&gt;H57,"Error in Areas ▲",IF(AND(P57='G-1 All Habitats'!$X$3,Y57="Yes"),"Alternative Compensation ✓",IF(W57=0,0,IF(P57='G-1 All Habitats'!$X$3,"Unacceptable Loss ▲",Q57-U57-V57)))))),"Check Data ▲")</f>
        <v/>
      </c>
      <c r="Y57" s="72"/>
      <c r="Z57" s="80"/>
      <c r="AA57" s="81"/>
      <c r="AC57" s="75" t="str">
        <f>IF(P57="","",IF(P57='G-1 All Habitats'!$X$3,H57-S57-T57,"None"))</f>
        <v/>
      </c>
      <c r="AD57" s="76" t="str">
        <f>IFERROR(AC57*J57*L57*#REF!*O57,IF(P57="","","None"))</f>
        <v/>
      </c>
      <c r="AF57" s="54" t="str">
        <f t="shared" si="0"/>
        <v/>
      </c>
      <c r="AG57" s="54" t="str">
        <f t="shared" si="1"/>
        <v/>
      </c>
      <c r="AH57" s="54" t="str">
        <f>IF(I57="","",IF(#REF!&gt;0,TRUE,FALSE))</f>
        <v/>
      </c>
      <c r="AI57" s="54">
        <v>47</v>
      </c>
      <c r="AJ57" s="54"/>
      <c r="AK57" s="54" t="str">
        <f t="array" ref="AK57">IFERROR(INDEX($AI$11:$AI$259, MATCH(0, IF(TRUE=$AF$11:$AF$259, COUNTIF($AK$10:$AK56, $AI$11:$AI$259), ""), 0)),"")</f>
        <v/>
      </c>
      <c r="AL57" s="54" t="str">
        <f t="array" ref="AL57">IFERROR(INDEX($AI$11:$AI$259, MATCH(0, IF(TRUE=$AG$11:$AG$259, COUNTIF($AL$10:$AL56, $AI$11:$AI$259), ""), 0)),"")</f>
        <v/>
      </c>
      <c r="AM57" s="54" t="str">
        <f t="array" ref="AM57">IFERROR(INDEX($AI$11:$AI$259, MATCH(0, IF(TRUE=$AH$11:$AH$259, COUNTIF($AM$10:$AM56, $AI$11:$AI$259), ""), 0)),"")</f>
        <v/>
      </c>
      <c r="AN57" s="54"/>
      <c r="AQ57" s="47">
        <f t="shared" si="2"/>
        <v>0</v>
      </c>
    </row>
    <row r="58" spans="1:43" x14ac:dyDescent="0.3">
      <c r="A58" s="47" t="str">
        <f>IFERROR(INDEX('G-1 All Habitats'!$AG$3:$AG$15,MATCH(E58,'G-1 All Habitats'!$AF$3:$AF$15,0)),"")</f>
        <v/>
      </c>
      <c r="B58" s="47" t="str">
        <f>IFERROR(INDEX('G-8 Condition Look up'!$I$4:$I$130,MATCH(G58,'G-8 Condition Look up'!$A$4:$A$130,0)),"")</f>
        <v/>
      </c>
      <c r="D58" s="77">
        <v>48</v>
      </c>
      <c r="E58" s="78"/>
      <c r="F58" s="79"/>
      <c r="G58" s="69" t="str">
        <f>IFERROR(INDEX('G-1 All Habitats'!$B$3:$B$129,MATCH(F58,'G-1 All Habitats'!$A$3:$A$129,0)),"")</f>
        <v/>
      </c>
      <c r="H58" s="70"/>
      <c r="I58" s="498" t="str">
        <f>IF(G58="","",VLOOKUP(G58,'G-1 All Habitats'!$B$2:$M$129,10,FALSE))</f>
        <v/>
      </c>
      <c r="J58" s="499" t="str">
        <f>IFERROR(VLOOKUP(I58,'G-1 All Habitats'!$V$3:$W$7,2,FALSE),"")</f>
        <v/>
      </c>
      <c r="K58" s="71"/>
      <c r="L58" s="499" t="str">
        <f>IFERROR(INDEX('G-8 Condition Look up'!$A$3:$H$130,MATCH(G58,'G-8 Condition Look up'!$A$3:$A$130,0),MATCH(K58,'G-8 Condition Look up'!$A$3:$H$3,0)),"")</f>
        <v/>
      </c>
      <c r="M58" s="71"/>
      <c r="N58" s="520" t="str">
        <f>IF(M58="","",IF(VLOOKUP(M58,'G-3 Multipliers'!$L$3:$N$6,2,FALSE)=0,"Spatial Data Missing",VLOOKUP(M58,'G-3 Multipliers'!$L$3:$N$6,2,FALSE)))</f>
        <v/>
      </c>
      <c r="O58" s="505" t="str">
        <f>IF(M58="","",IF(VLOOKUP(M58,'G-3 Multipliers'!$L$3:$N$6,3,FALSE)=0,"Spatial Data Missing ▲",VLOOKUP(M58,'G-3 Multipliers'!$L$3:$N$6,3,FALSE)))</f>
        <v/>
      </c>
      <c r="P58" s="506" t="str">
        <f>IFERROR(VLOOKUP(G58,'G-1 All Habitats'!$B$2:$M$129,12,FALSE),"")</f>
        <v/>
      </c>
      <c r="Q58" s="513" t="str">
        <f>IFERROR(IF(P58="","",IF(AND(P58='G-1 All Habitats'!$X$3,T58&gt;0),U58+V58,IF(AND(P58='G-1 All Habitats'!$X$3,S58&gt;0),U58+V58,IF(AND(P58='G-1 All Habitats'!$X$3,AC58&gt;0),"Any Loss Unacceptable ▲",IF(AND(P58='G-1 All Habitats'!$X$3,W58&gt;0),"Any Loss Unacceptable ▲",H58*J58*L58*O58))))),"Check Data ▲")</f>
        <v/>
      </c>
      <c r="R58" s="50"/>
      <c r="S58" s="71"/>
      <c r="T58" s="72"/>
      <c r="U58" s="511" t="str">
        <f t="shared" si="3"/>
        <v/>
      </c>
      <c r="V58" s="511" t="str">
        <f t="shared" si="4"/>
        <v/>
      </c>
      <c r="W58" s="511" t="str">
        <f>IF(E58="","",IF(H58&lt;S58+T58,"Error in Areas ▲",IF(P58&lt;&gt;'G-1 All Habitats'!$X$3,H58-S58-T58,IF(AND(P58='G-1 All Habitats'!$X$3,Y58="Yes"),"Unacceptable Loss",IF(AND(P58='G-1 All Habitats'!$X$3,Y58="No"),AC58,IF(AND(P58='G-1 All Habitats'!$X$3,Y58=""),AC58,IF(AND(P58='G-1 All Habitats'!$X$3,AC58="None",AC58),IF(AND(P58='G-1 All Habitats'!$X$3,AC58&gt;0),H58-S58-T58))))))))</f>
        <v/>
      </c>
      <c r="X58" s="515" t="str">
        <f>IFERROR(IF(H58="","",IF(H58-S58-T58=0&lt;0,"Error in Areas ▲",IF(S58+T58&gt;H58,"Error in Areas ▲",IF(AND(P58='G-1 All Habitats'!$X$3,Y58="Yes"),"Alternative Compensation ✓",IF(W58=0,0,IF(P58='G-1 All Habitats'!$X$3,"Unacceptable Loss ▲",Q58-U58-V58)))))),"Check Data ▲")</f>
        <v/>
      </c>
      <c r="Y58" s="72"/>
      <c r="Z58" s="80"/>
      <c r="AA58" s="81"/>
      <c r="AC58" s="75" t="str">
        <f>IF(P58="","",IF(P58='G-1 All Habitats'!$X$3,H58-S58-T58,"None"))</f>
        <v/>
      </c>
      <c r="AD58" s="76" t="str">
        <f>IFERROR(AC58*J58*L58*#REF!*O58,IF(P58="","","None"))</f>
        <v/>
      </c>
      <c r="AF58" s="54" t="str">
        <f t="shared" si="0"/>
        <v/>
      </c>
      <c r="AG58" s="54" t="str">
        <f t="shared" si="1"/>
        <v/>
      </c>
      <c r="AH58" s="54" t="str">
        <f>IF(I58="","",IF(#REF!&gt;0,TRUE,FALSE))</f>
        <v/>
      </c>
      <c r="AI58" s="54">
        <v>48</v>
      </c>
      <c r="AJ58" s="54"/>
      <c r="AK58" s="54" t="str">
        <f t="array" ref="AK58">IFERROR(INDEX($AI$11:$AI$259, MATCH(0, IF(TRUE=$AF$11:$AF$259, COUNTIF($AK$10:$AK57, $AI$11:$AI$259), ""), 0)),"")</f>
        <v/>
      </c>
      <c r="AL58" s="54" t="str">
        <f t="array" ref="AL58">IFERROR(INDEX($AI$11:$AI$259, MATCH(0, IF(TRUE=$AG$11:$AG$259, COUNTIF($AL$10:$AL57, $AI$11:$AI$259), ""), 0)),"")</f>
        <v/>
      </c>
      <c r="AM58" s="54" t="str">
        <f t="array" ref="AM58">IFERROR(INDEX($AI$11:$AI$259, MATCH(0, IF(TRUE=$AH$11:$AH$259, COUNTIF($AM$10:$AM57, $AI$11:$AI$259), ""), 0)),"")</f>
        <v/>
      </c>
      <c r="AN58" s="54"/>
      <c r="AQ58" s="47">
        <f t="shared" si="2"/>
        <v>0</v>
      </c>
    </row>
    <row r="59" spans="1:43" x14ac:dyDescent="0.3">
      <c r="A59" s="47" t="str">
        <f>IFERROR(INDEX('G-1 All Habitats'!$AG$3:$AG$15,MATCH(E59,'G-1 All Habitats'!$AF$3:$AF$15,0)),"")</f>
        <v/>
      </c>
      <c r="B59" s="47" t="str">
        <f>IFERROR(INDEX('G-8 Condition Look up'!$I$4:$I$130,MATCH(G59,'G-8 Condition Look up'!$A$4:$A$130,0)),"")</f>
        <v/>
      </c>
      <c r="D59" s="77">
        <v>49</v>
      </c>
      <c r="E59" s="78"/>
      <c r="F59" s="79"/>
      <c r="G59" s="69" t="str">
        <f>IFERROR(INDEX('G-1 All Habitats'!$B$3:$B$129,MATCH(F59,'G-1 All Habitats'!$A$3:$A$129,0)),"")</f>
        <v/>
      </c>
      <c r="H59" s="70"/>
      <c r="I59" s="498" t="str">
        <f>IF(G59="","",VLOOKUP(G59,'G-1 All Habitats'!$B$2:$M$129,10,FALSE))</f>
        <v/>
      </c>
      <c r="J59" s="499" t="str">
        <f>IFERROR(VLOOKUP(I59,'G-1 All Habitats'!$V$3:$W$7,2,FALSE),"")</f>
        <v/>
      </c>
      <c r="K59" s="71"/>
      <c r="L59" s="499" t="str">
        <f>IFERROR(INDEX('G-8 Condition Look up'!$A$3:$H$130,MATCH(G59,'G-8 Condition Look up'!$A$3:$A$130,0),MATCH(K59,'G-8 Condition Look up'!$A$3:$H$3,0)),"")</f>
        <v/>
      </c>
      <c r="M59" s="71"/>
      <c r="N59" s="520" t="str">
        <f>IF(M59="","",IF(VLOOKUP(M59,'G-3 Multipliers'!$L$3:$N$6,2,FALSE)=0,"Spatial Data Missing",VLOOKUP(M59,'G-3 Multipliers'!$L$3:$N$6,2,FALSE)))</f>
        <v/>
      </c>
      <c r="O59" s="505" t="str">
        <f>IF(M59="","",IF(VLOOKUP(M59,'G-3 Multipliers'!$L$3:$N$6,3,FALSE)=0,"Spatial Data Missing ▲",VLOOKUP(M59,'G-3 Multipliers'!$L$3:$N$6,3,FALSE)))</f>
        <v/>
      </c>
      <c r="P59" s="506" t="str">
        <f>IFERROR(VLOOKUP(G59,'G-1 All Habitats'!$B$2:$M$129,12,FALSE),"")</f>
        <v/>
      </c>
      <c r="Q59" s="513" t="str">
        <f>IFERROR(IF(P59="","",IF(AND(P59='G-1 All Habitats'!$X$3,T59&gt;0),U59+V59,IF(AND(P59='G-1 All Habitats'!$X$3,S59&gt;0),U59+V59,IF(AND(P59='G-1 All Habitats'!$X$3,AC59&gt;0),"Any Loss Unacceptable ▲",IF(AND(P59='G-1 All Habitats'!$X$3,W59&gt;0),"Any Loss Unacceptable ▲",H59*J59*L59*O59))))),"Check Data ▲")</f>
        <v/>
      </c>
      <c r="R59" s="50"/>
      <c r="S59" s="71"/>
      <c r="T59" s="72"/>
      <c r="U59" s="511" t="str">
        <f t="shared" si="3"/>
        <v/>
      </c>
      <c r="V59" s="511" t="str">
        <f t="shared" si="4"/>
        <v/>
      </c>
      <c r="W59" s="511" t="str">
        <f>IF(E59="","",IF(H59&lt;S59+T59,"Error in Areas ▲",IF(P59&lt;&gt;'G-1 All Habitats'!$X$3,H59-S59-T59,IF(AND(P59='G-1 All Habitats'!$X$3,Y59="Yes"),"Unacceptable Loss",IF(AND(P59='G-1 All Habitats'!$X$3,Y59="No"),AC59,IF(AND(P59='G-1 All Habitats'!$X$3,Y59=""),AC59,IF(AND(P59='G-1 All Habitats'!$X$3,AC59="None",AC59),IF(AND(P59='G-1 All Habitats'!$X$3,AC59&gt;0),H59-S59-T59))))))))</f>
        <v/>
      </c>
      <c r="X59" s="515" t="str">
        <f>IFERROR(IF(H59="","",IF(H59-S59-T59=0&lt;0,"Error in Areas ▲",IF(S59+T59&gt;H59,"Error in Areas ▲",IF(AND(P59='G-1 All Habitats'!$X$3,Y59="Yes"),"Alternative Compensation ✓",IF(W59=0,0,IF(P59='G-1 All Habitats'!$X$3,"Unacceptable Loss ▲",Q59-U59-V59)))))),"Check Data ▲")</f>
        <v/>
      </c>
      <c r="Y59" s="72"/>
      <c r="Z59" s="80"/>
      <c r="AA59" s="81"/>
      <c r="AC59" s="75" t="str">
        <f>IF(P59="","",IF(P59='G-1 All Habitats'!$X$3,H59-S59-T59,"None"))</f>
        <v/>
      </c>
      <c r="AD59" s="76" t="str">
        <f>IFERROR(AC59*J59*L59*#REF!*O59,IF(P59="","","None"))</f>
        <v/>
      </c>
      <c r="AF59" s="54" t="str">
        <f t="shared" si="0"/>
        <v/>
      </c>
      <c r="AG59" s="54" t="str">
        <f t="shared" si="1"/>
        <v/>
      </c>
      <c r="AH59" s="54" t="str">
        <f>IF(I59="","",IF(#REF!&gt;0,TRUE,FALSE))</f>
        <v/>
      </c>
      <c r="AI59" s="54">
        <v>49</v>
      </c>
      <c r="AJ59" s="54"/>
      <c r="AK59" s="54" t="str">
        <f t="array" ref="AK59">IFERROR(INDEX($AI$11:$AI$259, MATCH(0, IF(TRUE=$AF$11:$AF$259, COUNTIF($AK$10:$AK58, $AI$11:$AI$259), ""), 0)),"")</f>
        <v/>
      </c>
      <c r="AL59" s="54" t="str">
        <f t="array" ref="AL59">IFERROR(INDEX($AI$11:$AI$259, MATCH(0, IF(TRUE=$AG$11:$AG$259, COUNTIF($AL$10:$AL58, $AI$11:$AI$259), ""), 0)),"")</f>
        <v/>
      </c>
      <c r="AM59" s="54" t="str">
        <f t="array" ref="AM59">IFERROR(INDEX($AI$11:$AI$259, MATCH(0, IF(TRUE=$AH$11:$AH$259, COUNTIF($AM$10:$AM58, $AI$11:$AI$259), ""), 0)),"")</f>
        <v/>
      </c>
      <c r="AN59" s="54"/>
      <c r="AQ59" s="47">
        <f t="shared" si="2"/>
        <v>0</v>
      </c>
    </row>
    <row r="60" spans="1:43" x14ac:dyDescent="0.3">
      <c r="A60" s="47" t="str">
        <f>IFERROR(INDEX('G-1 All Habitats'!$AG$3:$AG$15,MATCH(E60,'G-1 All Habitats'!$AF$3:$AF$15,0)),"")</f>
        <v/>
      </c>
      <c r="B60" s="47" t="str">
        <f>IFERROR(INDEX('G-8 Condition Look up'!$I$4:$I$130,MATCH(G60,'G-8 Condition Look up'!$A$4:$A$130,0)),"")</f>
        <v/>
      </c>
      <c r="D60" s="77">
        <v>50</v>
      </c>
      <c r="E60" s="78"/>
      <c r="F60" s="79"/>
      <c r="G60" s="69" t="str">
        <f>IFERROR(INDEX('G-1 All Habitats'!$B$3:$B$129,MATCH(F60,'G-1 All Habitats'!$A$3:$A$129,0)),"")</f>
        <v/>
      </c>
      <c r="H60" s="70"/>
      <c r="I60" s="498" t="str">
        <f>IF(G60="","",VLOOKUP(G60,'G-1 All Habitats'!$B$2:$M$129,10,FALSE))</f>
        <v/>
      </c>
      <c r="J60" s="499" t="str">
        <f>IFERROR(VLOOKUP(I60,'G-1 All Habitats'!$V$3:$W$7,2,FALSE),"")</f>
        <v/>
      </c>
      <c r="K60" s="71"/>
      <c r="L60" s="499" t="str">
        <f>IFERROR(INDEX('G-8 Condition Look up'!$A$3:$H$130,MATCH(G60,'G-8 Condition Look up'!$A$3:$A$130,0),MATCH(K60,'G-8 Condition Look up'!$A$3:$H$3,0)),"")</f>
        <v/>
      </c>
      <c r="M60" s="71"/>
      <c r="N60" s="520" t="str">
        <f>IF(M60="","",IF(VLOOKUP(M60,'G-3 Multipliers'!$L$3:$N$6,2,FALSE)=0,"Spatial Data Missing",VLOOKUP(M60,'G-3 Multipliers'!$L$3:$N$6,2,FALSE)))</f>
        <v/>
      </c>
      <c r="O60" s="505" t="str">
        <f>IF(M60="","",IF(VLOOKUP(M60,'G-3 Multipliers'!$L$3:$N$6,3,FALSE)=0,"Spatial Data Missing ▲",VLOOKUP(M60,'G-3 Multipliers'!$L$3:$N$6,3,FALSE)))</f>
        <v/>
      </c>
      <c r="P60" s="506" t="str">
        <f>IFERROR(VLOOKUP(G60,'G-1 All Habitats'!$B$2:$M$129,12,FALSE),"")</f>
        <v/>
      </c>
      <c r="Q60" s="513" t="str">
        <f>IFERROR(IF(P60="","",IF(AND(P60='G-1 All Habitats'!$X$3,T60&gt;0),U60+V60,IF(AND(P60='G-1 All Habitats'!$X$3,S60&gt;0),U60+V60,IF(AND(P60='G-1 All Habitats'!$X$3,AC60&gt;0),"Any Loss Unacceptable ▲",IF(AND(P60='G-1 All Habitats'!$X$3,W60&gt;0),"Any Loss Unacceptable ▲",H60*J60*L60*O60))))),"Check Data ▲")</f>
        <v/>
      </c>
      <c r="R60" s="50"/>
      <c r="S60" s="71"/>
      <c r="T60" s="72"/>
      <c r="U60" s="511" t="str">
        <f t="shared" si="3"/>
        <v/>
      </c>
      <c r="V60" s="511" t="str">
        <f t="shared" si="4"/>
        <v/>
      </c>
      <c r="W60" s="511" t="str">
        <f>IF(E60="","",IF(H60&lt;S60+T60,"Error in Areas ▲",IF(P60&lt;&gt;'G-1 All Habitats'!$X$3,H60-S60-T60,IF(AND(P60='G-1 All Habitats'!$X$3,Y60="Yes"),"Unacceptable Loss",IF(AND(P60='G-1 All Habitats'!$X$3,Y60="No"),AC60,IF(AND(P60='G-1 All Habitats'!$X$3,Y60=""),AC60,IF(AND(P60='G-1 All Habitats'!$X$3,AC60="None",AC60),IF(AND(P60='G-1 All Habitats'!$X$3,AC60&gt;0),H60-S60-T60))))))))</f>
        <v/>
      </c>
      <c r="X60" s="515" t="str">
        <f>IFERROR(IF(H60="","",IF(H60-S60-T60=0&lt;0,"Error in Areas ▲",IF(S60+T60&gt;H60,"Error in Areas ▲",IF(AND(P60='G-1 All Habitats'!$X$3,Y60="Yes"),"Alternative Compensation ✓",IF(W60=0,0,IF(P60='G-1 All Habitats'!$X$3,"Unacceptable Loss ▲",Q60-U60-V60)))))),"Check Data ▲")</f>
        <v/>
      </c>
      <c r="Y60" s="72"/>
      <c r="Z60" s="80"/>
      <c r="AA60" s="81"/>
      <c r="AC60" s="75" t="str">
        <f>IF(P60="","",IF(P60='G-1 All Habitats'!$X$3,H60-S60-T60,"None"))</f>
        <v/>
      </c>
      <c r="AD60" s="76" t="str">
        <f>IFERROR(AC60*J60*L60*#REF!*O60,IF(P60="","","None"))</f>
        <v/>
      </c>
      <c r="AF60" s="54" t="str">
        <f t="shared" si="0"/>
        <v/>
      </c>
      <c r="AG60" s="54" t="str">
        <f t="shared" si="1"/>
        <v/>
      </c>
      <c r="AH60" s="54" t="str">
        <f>IF(I60="","",IF(#REF!&gt;0,TRUE,FALSE))</f>
        <v/>
      </c>
      <c r="AI60" s="54">
        <v>50</v>
      </c>
      <c r="AJ60" s="54"/>
      <c r="AK60" s="54" t="str">
        <f t="array" ref="AK60">IFERROR(INDEX($AI$11:$AI$259, MATCH(0, IF(TRUE=$AF$11:$AF$259, COUNTIF($AK$10:$AK59, $AI$11:$AI$259), ""), 0)),"")</f>
        <v/>
      </c>
      <c r="AL60" s="54" t="str">
        <f t="array" ref="AL60">IFERROR(INDEX($AI$11:$AI$259, MATCH(0, IF(TRUE=$AG$11:$AG$259, COUNTIF($AL$10:$AL59, $AI$11:$AI$259), ""), 0)),"")</f>
        <v/>
      </c>
      <c r="AM60" s="54" t="str">
        <f t="array" ref="AM60">IFERROR(INDEX($AI$11:$AI$259, MATCH(0, IF(TRUE=$AH$11:$AH$259, COUNTIF($AM$10:$AM59, $AI$11:$AI$259), ""), 0)),"")</f>
        <v/>
      </c>
      <c r="AN60" s="54"/>
      <c r="AQ60" s="47">
        <f t="shared" si="2"/>
        <v>0</v>
      </c>
    </row>
    <row r="61" spans="1:43" x14ac:dyDescent="0.3">
      <c r="A61" s="47" t="str">
        <f>IFERROR(INDEX('G-1 All Habitats'!$AG$3:$AG$15,MATCH(E61,'G-1 All Habitats'!$AF$3:$AF$15,0)),"")</f>
        <v/>
      </c>
      <c r="B61" s="47" t="str">
        <f>IFERROR(INDEX('G-8 Condition Look up'!$I$4:$I$130,MATCH(G61,'G-8 Condition Look up'!$A$4:$A$130,0)),"")</f>
        <v/>
      </c>
      <c r="D61" s="77">
        <v>51</v>
      </c>
      <c r="E61" s="78"/>
      <c r="F61" s="79"/>
      <c r="G61" s="69" t="str">
        <f>IFERROR(INDEX('G-1 All Habitats'!$B$3:$B$129,MATCH(F61,'G-1 All Habitats'!$A$3:$A$129,0)),"")</f>
        <v/>
      </c>
      <c r="H61" s="70"/>
      <c r="I61" s="498" t="str">
        <f>IF(G61="","",VLOOKUP(G61,'G-1 All Habitats'!$B$2:$M$129,10,FALSE))</f>
        <v/>
      </c>
      <c r="J61" s="499" t="str">
        <f>IFERROR(VLOOKUP(I61,'G-1 All Habitats'!$V$3:$W$7,2,FALSE),"")</f>
        <v/>
      </c>
      <c r="K61" s="71"/>
      <c r="L61" s="499" t="str">
        <f>IFERROR(INDEX('G-8 Condition Look up'!$A$3:$H$130,MATCH(G61,'G-8 Condition Look up'!$A$3:$A$130,0),MATCH(K61,'G-8 Condition Look up'!$A$3:$H$3,0)),"")</f>
        <v/>
      </c>
      <c r="M61" s="71"/>
      <c r="N61" s="520" t="str">
        <f>IF(M61="","",IF(VLOOKUP(M61,'G-3 Multipliers'!$L$3:$N$6,2,FALSE)=0,"Spatial Data Missing",VLOOKUP(M61,'G-3 Multipliers'!$L$3:$N$6,2,FALSE)))</f>
        <v/>
      </c>
      <c r="O61" s="505" t="str">
        <f>IF(M61="","",IF(VLOOKUP(M61,'G-3 Multipliers'!$L$3:$N$6,3,FALSE)=0,"Spatial Data Missing ▲",VLOOKUP(M61,'G-3 Multipliers'!$L$3:$N$6,3,FALSE)))</f>
        <v/>
      </c>
      <c r="P61" s="506" t="str">
        <f>IFERROR(VLOOKUP(G61,'G-1 All Habitats'!$B$2:$M$129,12,FALSE),"")</f>
        <v/>
      </c>
      <c r="Q61" s="513" t="str">
        <f>IFERROR(IF(P61="","",IF(AND(P61='G-1 All Habitats'!$X$3,T61&gt;0),U61+V61,IF(AND(P61='G-1 All Habitats'!$X$3,S61&gt;0),U61+V61,IF(AND(P61='G-1 All Habitats'!$X$3,AC61&gt;0),"Any Loss Unacceptable ▲",IF(AND(P61='G-1 All Habitats'!$X$3,W61&gt;0),"Any Loss Unacceptable ▲",H61*J61*L61*O61))))),"Check Data ▲")</f>
        <v/>
      </c>
      <c r="R61" s="50"/>
      <c r="S61" s="71"/>
      <c r="T61" s="72"/>
      <c r="U61" s="511" t="str">
        <f t="shared" si="3"/>
        <v/>
      </c>
      <c r="V61" s="511" t="str">
        <f t="shared" si="4"/>
        <v/>
      </c>
      <c r="W61" s="511" t="str">
        <f>IF(E61="","",IF(H61&lt;S61+T61,"Error in Areas ▲",IF(P61&lt;&gt;'G-1 All Habitats'!$X$3,H61-S61-T61,IF(AND(P61='G-1 All Habitats'!$X$3,Y61="Yes"),"Unacceptable Loss",IF(AND(P61='G-1 All Habitats'!$X$3,Y61="No"),AC61,IF(AND(P61='G-1 All Habitats'!$X$3,Y61=""),AC61,IF(AND(P61='G-1 All Habitats'!$X$3,AC61="None",AC61),IF(AND(P61='G-1 All Habitats'!$X$3,AC61&gt;0),H61-S61-T61))))))))</f>
        <v/>
      </c>
      <c r="X61" s="515" t="str">
        <f>IFERROR(IF(H61="","",IF(H61-S61-T61=0&lt;0,"Error in Areas ▲",IF(S61+T61&gt;H61,"Error in Areas ▲",IF(AND(P61='G-1 All Habitats'!$X$3,Y61="Yes"),"Alternative Compensation ✓",IF(W61=0,0,IF(P61='G-1 All Habitats'!$X$3,"Unacceptable Loss ▲",Q61-U61-V61)))))),"Check Data ▲")</f>
        <v/>
      </c>
      <c r="Y61" s="72"/>
      <c r="Z61" s="80"/>
      <c r="AA61" s="81"/>
      <c r="AC61" s="75" t="str">
        <f>IF(P61="","",IF(P61='G-1 All Habitats'!$X$3,H61-S61-T61,"None"))</f>
        <v/>
      </c>
      <c r="AD61" s="76" t="str">
        <f>IFERROR(AC61*J61*L61*#REF!*O61,IF(P61="","","None"))</f>
        <v/>
      </c>
      <c r="AF61" s="54" t="str">
        <f t="shared" si="0"/>
        <v/>
      </c>
      <c r="AG61" s="54" t="str">
        <f t="shared" si="1"/>
        <v/>
      </c>
      <c r="AH61" s="54" t="str">
        <f>IF(I61="","",IF(#REF!&gt;0,TRUE,FALSE))</f>
        <v/>
      </c>
      <c r="AI61" s="54">
        <v>51</v>
      </c>
      <c r="AJ61" s="54"/>
      <c r="AK61" s="54" t="str">
        <f t="array" ref="AK61">IFERROR(INDEX($AI$11:$AI$259, MATCH(0, IF(TRUE=$AF$11:$AF$259, COUNTIF($AK$10:$AK60, $AI$11:$AI$259), ""), 0)),"")</f>
        <v/>
      </c>
      <c r="AL61" s="54" t="str">
        <f t="array" ref="AL61">IFERROR(INDEX($AI$11:$AI$259, MATCH(0, IF(TRUE=$AG$11:$AG$259, COUNTIF($AL$10:$AL60, $AI$11:$AI$259), ""), 0)),"")</f>
        <v/>
      </c>
      <c r="AM61" s="54" t="str">
        <f t="array" ref="AM61">IFERROR(INDEX($AI$11:$AI$259, MATCH(0, IF(TRUE=$AH$11:$AH$259, COUNTIF($AM$10:$AM60, $AI$11:$AI$259), ""), 0)),"")</f>
        <v/>
      </c>
      <c r="AN61" s="54"/>
      <c r="AQ61" s="47">
        <f t="shared" si="2"/>
        <v>0</v>
      </c>
    </row>
    <row r="62" spans="1:43" x14ac:dyDescent="0.3">
      <c r="A62" s="47" t="str">
        <f>IFERROR(INDEX('G-1 All Habitats'!$AG$3:$AG$15,MATCH(E62,'G-1 All Habitats'!$AF$3:$AF$15,0)),"")</f>
        <v/>
      </c>
      <c r="B62" s="47" t="str">
        <f>IFERROR(INDEX('G-8 Condition Look up'!$I$4:$I$130,MATCH(G62,'G-8 Condition Look up'!$A$4:$A$130,0)),"")</f>
        <v/>
      </c>
      <c r="D62" s="77">
        <v>52</v>
      </c>
      <c r="E62" s="78"/>
      <c r="F62" s="79"/>
      <c r="G62" s="69" t="str">
        <f>IFERROR(INDEX('G-1 All Habitats'!$B$3:$B$129,MATCH(F62,'G-1 All Habitats'!$A$3:$A$129,0)),"")</f>
        <v/>
      </c>
      <c r="H62" s="70"/>
      <c r="I62" s="498" t="str">
        <f>IF(G62="","",VLOOKUP(G62,'G-1 All Habitats'!$B$2:$M$129,10,FALSE))</f>
        <v/>
      </c>
      <c r="J62" s="499" t="str">
        <f>IFERROR(VLOOKUP(I62,'G-1 All Habitats'!$V$3:$W$7,2,FALSE),"")</f>
        <v/>
      </c>
      <c r="K62" s="71"/>
      <c r="L62" s="499" t="str">
        <f>IFERROR(INDEX('G-8 Condition Look up'!$A$3:$H$130,MATCH(G62,'G-8 Condition Look up'!$A$3:$A$130,0),MATCH(K62,'G-8 Condition Look up'!$A$3:$H$3,0)),"")</f>
        <v/>
      </c>
      <c r="M62" s="71"/>
      <c r="N62" s="520" t="str">
        <f>IF(M62="","",IF(VLOOKUP(M62,'G-3 Multipliers'!$L$3:$N$6,2,FALSE)=0,"Spatial Data Missing",VLOOKUP(M62,'G-3 Multipliers'!$L$3:$N$6,2,FALSE)))</f>
        <v/>
      </c>
      <c r="O62" s="505" t="str">
        <f>IF(M62="","",IF(VLOOKUP(M62,'G-3 Multipliers'!$L$3:$N$6,3,FALSE)=0,"Spatial Data Missing ▲",VLOOKUP(M62,'G-3 Multipliers'!$L$3:$N$6,3,FALSE)))</f>
        <v/>
      </c>
      <c r="P62" s="506" t="str">
        <f>IFERROR(VLOOKUP(G62,'G-1 All Habitats'!$B$2:$M$129,12,FALSE),"")</f>
        <v/>
      </c>
      <c r="Q62" s="513" t="str">
        <f>IFERROR(IF(P62="","",IF(AND(P62='G-1 All Habitats'!$X$3,T62&gt;0),U62+V62,IF(AND(P62='G-1 All Habitats'!$X$3,S62&gt;0),U62+V62,IF(AND(P62='G-1 All Habitats'!$X$3,AC62&gt;0),"Any Loss Unacceptable ▲",IF(AND(P62='G-1 All Habitats'!$X$3,W62&gt;0),"Any Loss Unacceptable ▲",H62*J62*L62*O62))))),"Check Data ▲")</f>
        <v/>
      </c>
      <c r="R62" s="50"/>
      <c r="S62" s="71"/>
      <c r="T62" s="72"/>
      <c r="U62" s="511" t="str">
        <f t="shared" si="3"/>
        <v/>
      </c>
      <c r="V62" s="511" t="str">
        <f t="shared" si="4"/>
        <v/>
      </c>
      <c r="W62" s="511" t="str">
        <f>IF(E62="","",IF(H62&lt;S62+T62,"Error in Areas ▲",IF(P62&lt;&gt;'G-1 All Habitats'!$X$3,H62-S62-T62,IF(AND(P62='G-1 All Habitats'!$X$3,Y62="Yes"),"Unacceptable Loss",IF(AND(P62='G-1 All Habitats'!$X$3,Y62="No"),AC62,IF(AND(P62='G-1 All Habitats'!$X$3,Y62=""),AC62,IF(AND(P62='G-1 All Habitats'!$X$3,AC62="None",AC62),IF(AND(P62='G-1 All Habitats'!$X$3,AC62&gt;0),H62-S62-T62))))))))</f>
        <v/>
      </c>
      <c r="X62" s="515" t="str">
        <f>IFERROR(IF(H62="","",IF(H62-S62-T62=0&lt;0,"Error in Areas ▲",IF(S62+T62&gt;H62,"Error in Areas ▲",IF(AND(P62='G-1 All Habitats'!$X$3,Y62="Yes"),"Alternative Compensation ✓",IF(W62=0,0,IF(P62='G-1 All Habitats'!$X$3,"Unacceptable Loss ▲",Q62-U62-V62)))))),"Check Data ▲")</f>
        <v/>
      </c>
      <c r="Y62" s="72"/>
      <c r="Z62" s="80"/>
      <c r="AA62" s="81"/>
      <c r="AC62" s="75" t="str">
        <f>IF(P62="","",IF(P62='G-1 All Habitats'!$X$3,H62-S62-T62,"None"))</f>
        <v/>
      </c>
      <c r="AD62" s="76" t="str">
        <f>IFERROR(AC62*J62*L62*#REF!*O62,IF(P62="","","None"))</f>
        <v/>
      </c>
      <c r="AF62" s="54" t="str">
        <f t="shared" si="0"/>
        <v/>
      </c>
      <c r="AG62" s="54" t="str">
        <f t="shared" si="1"/>
        <v/>
      </c>
      <c r="AH62" s="54" t="str">
        <f>IF(I62="","",IF(#REF!&gt;0,TRUE,FALSE))</f>
        <v/>
      </c>
      <c r="AI62" s="54">
        <v>52</v>
      </c>
      <c r="AJ62" s="54"/>
      <c r="AK62" s="54" t="str">
        <f t="array" ref="AK62">IFERROR(INDEX($AI$11:$AI$259, MATCH(0, IF(TRUE=$AF$11:$AF$259, COUNTIF($AK$10:$AK61, $AI$11:$AI$259), ""), 0)),"")</f>
        <v/>
      </c>
      <c r="AL62" s="54" t="str">
        <f t="array" ref="AL62">IFERROR(INDEX($AI$11:$AI$259, MATCH(0, IF(TRUE=$AG$11:$AG$259, COUNTIF($AL$10:$AL61, $AI$11:$AI$259), ""), 0)),"")</f>
        <v/>
      </c>
      <c r="AM62" s="54" t="str">
        <f t="array" ref="AM62">IFERROR(INDEX($AI$11:$AI$259, MATCH(0, IF(TRUE=$AH$11:$AH$259, COUNTIF($AM$10:$AM61, $AI$11:$AI$259), ""), 0)),"")</f>
        <v/>
      </c>
      <c r="AN62" s="54"/>
      <c r="AQ62" s="47">
        <f t="shared" si="2"/>
        <v>0</v>
      </c>
    </row>
    <row r="63" spans="1:43" x14ac:dyDescent="0.3">
      <c r="A63" s="47" t="str">
        <f>IFERROR(INDEX('G-1 All Habitats'!$AG$3:$AG$15,MATCH(E63,'G-1 All Habitats'!$AF$3:$AF$15,0)),"")</f>
        <v/>
      </c>
      <c r="B63" s="47" t="str">
        <f>IFERROR(INDEX('G-8 Condition Look up'!$I$4:$I$130,MATCH(G63,'G-8 Condition Look up'!$A$4:$A$130,0)),"")</f>
        <v/>
      </c>
      <c r="D63" s="77">
        <v>53</v>
      </c>
      <c r="E63" s="78"/>
      <c r="F63" s="79"/>
      <c r="G63" s="69" t="str">
        <f>IFERROR(INDEX('G-1 All Habitats'!$B$3:$B$129,MATCH(F63,'G-1 All Habitats'!$A$3:$A$129,0)),"")</f>
        <v/>
      </c>
      <c r="H63" s="70"/>
      <c r="I63" s="498" t="str">
        <f>IF(G63="","",VLOOKUP(G63,'G-1 All Habitats'!$B$2:$M$129,10,FALSE))</f>
        <v/>
      </c>
      <c r="J63" s="499" t="str">
        <f>IFERROR(VLOOKUP(I63,'G-1 All Habitats'!$V$3:$W$7,2,FALSE),"")</f>
        <v/>
      </c>
      <c r="K63" s="71"/>
      <c r="L63" s="499" t="str">
        <f>IFERROR(INDEX('G-8 Condition Look up'!$A$3:$H$130,MATCH(G63,'G-8 Condition Look up'!$A$3:$A$130,0),MATCH(K63,'G-8 Condition Look up'!$A$3:$H$3,0)),"")</f>
        <v/>
      </c>
      <c r="M63" s="71"/>
      <c r="N63" s="520" t="str">
        <f>IF(M63="","",IF(VLOOKUP(M63,'G-3 Multipliers'!$L$3:$N$6,2,FALSE)=0,"Spatial Data Missing",VLOOKUP(M63,'G-3 Multipliers'!$L$3:$N$6,2,FALSE)))</f>
        <v/>
      </c>
      <c r="O63" s="505" t="str">
        <f>IF(M63="","",IF(VLOOKUP(M63,'G-3 Multipliers'!$L$3:$N$6,3,FALSE)=0,"Spatial Data Missing ▲",VLOOKUP(M63,'G-3 Multipliers'!$L$3:$N$6,3,FALSE)))</f>
        <v/>
      </c>
      <c r="P63" s="506" t="str">
        <f>IFERROR(VLOOKUP(G63,'G-1 All Habitats'!$B$2:$M$129,12,FALSE),"")</f>
        <v/>
      </c>
      <c r="Q63" s="513" t="str">
        <f>IFERROR(IF(P63="","",IF(AND(P63='G-1 All Habitats'!$X$3,T63&gt;0),U63+V63,IF(AND(P63='G-1 All Habitats'!$X$3,S63&gt;0),U63+V63,IF(AND(P63='G-1 All Habitats'!$X$3,AC63&gt;0),"Any Loss Unacceptable ▲",IF(AND(P63='G-1 All Habitats'!$X$3,W63&gt;0),"Any Loss Unacceptable ▲",H63*J63*L63*O63))))),"Check Data ▲")</f>
        <v/>
      </c>
      <c r="R63" s="50"/>
      <c r="S63" s="71"/>
      <c r="T63" s="72"/>
      <c r="U63" s="511" t="str">
        <f t="shared" si="3"/>
        <v/>
      </c>
      <c r="V63" s="511" t="str">
        <f t="shared" si="4"/>
        <v/>
      </c>
      <c r="W63" s="511" t="str">
        <f>IF(E63="","",IF(H63&lt;S63+T63,"Error in Areas ▲",IF(P63&lt;&gt;'G-1 All Habitats'!$X$3,H63-S63-T63,IF(AND(P63='G-1 All Habitats'!$X$3,Y63="Yes"),"Unacceptable Loss",IF(AND(P63='G-1 All Habitats'!$X$3,Y63="No"),AC63,IF(AND(P63='G-1 All Habitats'!$X$3,Y63=""),AC63,IF(AND(P63='G-1 All Habitats'!$X$3,AC63="None",AC63),IF(AND(P63='G-1 All Habitats'!$X$3,AC63&gt;0),H63-S63-T63))))))))</f>
        <v/>
      </c>
      <c r="X63" s="515" t="str">
        <f>IFERROR(IF(H63="","",IF(H63-S63-T63=0&lt;0,"Error in Areas ▲",IF(S63+T63&gt;H63,"Error in Areas ▲",IF(AND(P63='G-1 All Habitats'!$X$3,Y63="Yes"),"Alternative Compensation ✓",IF(W63=0,0,IF(P63='G-1 All Habitats'!$X$3,"Unacceptable Loss ▲",Q63-U63-V63)))))),"Check Data ▲")</f>
        <v/>
      </c>
      <c r="Y63" s="72"/>
      <c r="Z63" s="80"/>
      <c r="AA63" s="81"/>
      <c r="AC63" s="75" t="str">
        <f>IF(P63="","",IF(P63='G-1 All Habitats'!$X$3,H63-S63-T63,"None"))</f>
        <v/>
      </c>
      <c r="AD63" s="76" t="str">
        <f>IFERROR(AC63*J63*L63*#REF!*O63,IF(P63="","","None"))</f>
        <v/>
      </c>
      <c r="AF63" s="54" t="str">
        <f t="shared" si="0"/>
        <v/>
      </c>
      <c r="AG63" s="54" t="str">
        <f t="shared" si="1"/>
        <v/>
      </c>
      <c r="AH63" s="54" t="str">
        <f>IF(I63="","",IF(#REF!&gt;0,TRUE,FALSE))</f>
        <v/>
      </c>
      <c r="AI63" s="54">
        <v>53</v>
      </c>
      <c r="AJ63" s="54"/>
      <c r="AK63" s="54" t="str">
        <f t="array" ref="AK63">IFERROR(INDEX($AI$11:$AI$259, MATCH(0, IF(TRUE=$AF$11:$AF$259, COUNTIF($AK$10:$AK62, $AI$11:$AI$259), ""), 0)),"")</f>
        <v/>
      </c>
      <c r="AL63" s="54" t="str">
        <f t="array" ref="AL63">IFERROR(INDEX($AI$11:$AI$259, MATCH(0, IF(TRUE=$AG$11:$AG$259, COUNTIF($AL$10:$AL62, $AI$11:$AI$259), ""), 0)),"")</f>
        <v/>
      </c>
      <c r="AM63" s="54" t="str">
        <f t="array" ref="AM63">IFERROR(INDEX($AI$11:$AI$259, MATCH(0, IF(TRUE=$AH$11:$AH$259, COUNTIF($AM$10:$AM62, $AI$11:$AI$259), ""), 0)),"")</f>
        <v/>
      </c>
      <c r="AN63" s="54"/>
      <c r="AQ63" s="47">
        <f t="shared" si="2"/>
        <v>0</v>
      </c>
    </row>
    <row r="64" spans="1:43" x14ac:dyDescent="0.3">
      <c r="A64" s="47" t="str">
        <f>IFERROR(INDEX('G-1 All Habitats'!$AG$3:$AG$15,MATCH(E64,'G-1 All Habitats'!$AF$3:$AF$15,0)),"")</f>
        <v/>
      </c>
      <c r="B64" s="47" t="str">
        <f>IFERROR(INDEX('G-8 Condition Look up'!$I$4:$I$130,MATCH(G64,'G-8 Condition Look up'!$A$4:$A$130,0)),"")</f>
        <v/>
      </c>
      <c r="D64" s="77">
        <v>54</v>
      </c>
      <c r="E64" s="78"/>
      <c r="F64" s="79"/>
      <c r="G64" s="69" t="str">
        <f>IFERROR(INDEX('G-1 All Habitats'!$B$3:$B$129,MATCH(F64,'G-1 All Habitats'!$A$3:$A$129,0)),"")</f>
        <v/>
      </c>
      <c r="H64" s="70"/>
      <c r="I64" s="498" t="str">
        <f>IF(G64="","",VLOOKUP(G64,'G-1 All Habitats'!$B$2:$M$129,10,FALSE))</f>
        <v/>
      </c>
      <c r="J64" s="499" t="str">
        <f>IFERROR(VLOOKUP(I64,'G-1 All Habitats'!$V$3:$W$7,2,FALSE),"")</f>
        <v/>
      </c>
      <c r="K64" s="71"/>
      <c r="L64" s="499" t="str">
        <f>IFERROR(INDEX('G-8 Condition Look up'!$A$3:$H$130,MATCH(G64,'G-8 Condition Look up'!$A$3:$A$130,0),MATCH(K64,'G-8 Condition Look up'!$A$3:$H$3,0)),"")</f>
        <v/>
      </c>
      <c r="M64" s="71"/>
      <c r="N64" s="520" t="str">
        <f>IF(M64="","",IF(VLOOKUP(M64,'G-3 Multipliers'!$L$3:$N$6,2,FALSE)=0,"Spatial Data Missing",VLOOKUP(M64,'G-3 Multipliers'!$L$3:$N$6,2,FALSE)))</f>
        <v/>
      </c>
      <c r="O64" s="505" t="str">
        <f>IF(M64="","",IF(VLOOKUP(M64,'G-3 Multipliers'!$L$3:$N$6,3,FALSE)=0,"Spatial Data Missing ▲",VLOOKUP(M64,'G-3 Multipliers'!$L$3:$N$6,3,FALSE)))</f>
        <v/>
      </c>
      <c r="P64" s="506" t="str">
        <f>IFERROR(VLOOKUP(G64,'G-1 All Habitats'!$B$2:$M$129,12,FALSE),"")</f>
        <v/>
      </c>
      <c r="Q64" s="513" t="str">
        <f>IFERROR(IF(P64="","",IF(AND(P64='G-1 All Habitats'!$X$3,T64&gt;0),U64+V64,IF(AND(P64='G-1 All Habitats'!$X$3,S64&gt;0),U64+V64,IF(AND(P64='G-1 All Habitats'!$X$3,AC64&gt;0),"Any Loss Unacceptable ▲",IF(AND(P64='G-1 All Habitats'!$X$3,W64&gt;0),"Any Loss Unacceptable ▲",H64*J64*L64*O64))))),"Check Data ▲")</f>
        <v/>
      </c>
      <c r="R64" s="50"/>
      <c r="S64" s="71"/>
      <c r="T64" s="72"/>
      <c r="U64" s="511" t="str">
        <f t="shared" si="3"/>
        <v/>
      </c>
      <c r="V64" s="511" t="str">
        <f t="shared" si="4"/>
        <v/>
      </c>
      <c r="W64" s="511" t="str">
        <f>IF(E64="","",IF(H64&lt;S64+T64,"Error in Areas ▲",IF(P64&lt;&gt;'G-1 All Habitats'!$X$3,H64-S64-T64,IF(AND(P64='G-1 All Habitats'!$X$3,Y64="Yes"),"Unacceptable Loss",IF(AND(P64='G-1 All Habitats'!$X$3,Y64="No"),AC64,IF(AND(P64='G-1 All Habitats'!$X$3,Y64=""),AC64,IF(AND(P64='G-1 All Habitats'!$X$3,AC64="None",AC64),IF(AND(P64='G-1 All Habitats'!$X$3,AC64&gt;0),H64-S64-T64))))))))</f>
        <v/>
      </c>
      <c r="X64" s="515" t="str">
        <f>IFERROR(IF(H64="","",IF(H64-S64-T64=0&lt;0,"Error in Areas ▲",IF(S64+T64&gt;H64,"Error in Areas ▲",IF(AND(P64='G-1 All Habitats'!$X$3,Y64="Yes"),"Alternative Compensation ✓",IF(W64=0,0,IF(P64='G-1 All Habitats'!$X$3,"Unacceptable Loss ▲",Q64-U64-V64)))))),"Check Data ▲")</f>
        <v/>
      </c>
      <c r="Y64" s="72"/>
      <c r="Z64" s="80"/>
      <c r="AA64" s="81"/>
      <c r="AC64" s="75" t="str">
        <f>IF(P64="","",IF(P64='G-1 All Habitats'!$X$3,H64-S64-T64,"None"))</f>
        <v/>
      </c>
      <c r="AD64" s="76" t="str">
        <f>IFERROR(AC64*J64*L64*#REF!*O64,IF(P64="","","None"))</f>
        <v/>
      </c>
      <c r="AF64" s="54" t="str">
        <f t="shared" si="0"/>
        <v/>
      </c>
      <c r="AG64" s="54" t="str">
        <f t="shared" si="1"/>
        <v/>
      </c>
      <c r="AH64" s="54" t="str">
        <f>IF(I64="","",IF(#REF!&gt;0,TRUE,FALSE))</f>
        <v/>
      </c>
      <c r="AI64" s="54">
        <v>54</v>
      </c>
      <c r="AJ64" s="54"/>
      <c r="AK64" s="54" t="str">
        <f t="array" ref="AK64">IFERROR(INDEX($AI$11:$AI$259, MATCH(0, IF(TRUE=$AF$11:$AF$259, COUNTIF($AK$10:$AK63, $AI$11:$AI$259), ""), 0)),"")</f>
        <v/>
      </c>
      <c r="AL64" s="54" t="str">
        <f t="array" ref="AL64">IFERROR(INDEX($AI$11:$AI$259, MATCH(0, IF(TRUE=$AG$11:$AG$259, COUNTIF($AL$10:$AL63, $AI$11:$AI$259), ""), 0)),"")</f>
        <v/>
      </c>
      <c r="AM64" s="54" t="str">
        <f t="array" ref="AM64">IFERROR(INDEX($AI$11:$AI$259, MATCH(0, IF(TRUE=$AH$11:$AH$259, COUNTIF($AM$10:$AM63, $AI$11:$AI$259), ""), 0)),"")</f>
        <v/>
      </c>
      <c r="AN64" s="54"/>
      <c r="AQ64" s="47">
        <f t="shared" si="2"/>
        <v>0</v>
      </c>
    </row>
    <row r="65" spans="1:43" x14ac:dyDescent="0.3">
      <c r="A65" s="47" t="str">
        <f>IFERROR(INDEX('G-1 All Habitats'!$AG$3:$AG$15,MATCH(E65,'G-1 All Habitats'!$AF$3:$AF$15,0)),"")</f>
        <v/>
      </c>
      <c r="B65" s="47" t="str">
        <f>IFERROR(INDEX('G-8 Condition Look up'!$I$4:$I$130,MATCH(G65,'G-8 Condition Look up'!$A$4:$A$130,0)),"")</f>
        <v/>
      </c>
      <c r="D65" s="77">
        <v>55</v>
      </c>
      <c r="E65" s="78"/>
      <c r="F65" s="79"/>
      <c r="G65" s="69" t="str">
        <f>IFERROR(INDEX('G-1 All Habitats'!$B$3:$B$129,MATCH(F65,'G-1 All Habitats'!$A$3:$A$129,0)),"")</f>
        <v/>
      </c>
      <c r="H65" s="70"/>
      <c r="I65" s="498" t="str">
        <f>IF(G65="","",VLOOKUP(G65,'G-1 All Habitats'!$B$2:$M$129,10,FALSE))</f>
        <v/>
      </c>
      <c r="J65" s="499" t="str">
        <f>IFERROR(VLOOKUP(I65,'G-1 All Habitats'!$V$3:$W$7,2,FALSE),"")</f>
        <v/>
      </c>
      <c r="K65" s="71"/>
      <c r="L65" s="499" t="str">
        <f>IFERROR(INDEX('G-8 Condition Look up'!$A$3:$H$130,MATCH(G65,'G-8 Condition Look up'!$A$3:$A$130,0),MATCH(K65,'G-8 Condition Look up'!$A$3:$H$3,0)),"")</f>
        <v/>
      </c>
      <c r="M65" s="71"/>
      <c r="N65" s="520" t="str">
        <f>IF(M65="","",IF(VLOOKUP(M65,'G-3 Multipliers'!$L$3:$N$6,2,FALSE)=0,"Spatial Data Missing",VLOOKUP(M65,'G-3 Multipliers'!$L$3:$N$6,2,FALSE)))</f>
        <v/>
      </c>
      <c r="O65" s="505" t="str">
        <f>IF(M65="","",IF(VLOOKUP(M65,'G-3 Multipliers'!$L$3:$N$6,3,FALSE)=0,"Spatial Data Missing ▲",VLOOKUP(M65,'G-3 Multipliers'!$L$3:$N$6,3,FALSE)))</f>
        <v/>
      </c>
      <c r="P65" s="506" t="str">
        <f>IFERROR(VLOOKUP(G65,'G-1 All Habitats'!$B$2:$M$129,12,FALSE),"")</f>
        <v/>
      </c>
      <c r="Q65" s="513" t="str">
        <f>IFERROR(IF(P65="","",IF(AND(P65='G-1 All Habitats'!$X$3,T65&gt;0),U65+V65,IF(AND(P65='G-1 All Habitats'!$X$3,S65&gt;0),U65+V65,IF(AND(P65='G-1 All Habitats'!$X$3,AC65&gt;0),"Any Loss Unacceptable ▲",IF(AND(P65='G-1 All Habitats'!$X$3,W65&gt;0),"Any Loss Unacceptable ▲",H65*J65*L65*O65))))),"Check Data ▲")</f>
        <v/>
      </c>
      <c r="R65" s="50"/>
      <c r="S65" s="71"/>
      <c r="T65" s="72"/>
      <c r="U65" s="511" t="str">
        <f t="shared" si="3"/>
        <v/>
      </c>
      <c r="V65" s="511" t="str">
        <f t="shared" si="4"/>
        <v/>
      </c>
      <c r="W65" s="511" t="str">
        <f>IF(E65="","",IF(H65&lt;S65+T65,"Error in Areas ▲",IF(P65&lt;&gt;'G-1 All Habitats'!$X$3,H65-S65-T65,IF(AND(P65='G-1 All Habitats'!$X$3,Y65="Yes"),"Unacceptable Loss",IF(AND(P65='G-1 All Habitats'!$X$3,Y65="No"),AC65,IF(AND(P65='G-1 All Habitats'!$X$3,Y65=""),AC65,IF(AND(P65='G-1 All Habitats'!$X$3,AC65="None",AC65),IF(AND(P65='G-1 All Habitats'!$X$3,AC65&gt;0),H65-S65-T65))))))))</f>
        <v/>
      </c>
      <c r="X65" s="515" t="str">
        <f>IFERROR(IF(H65="","",IF(H65-S65-T65=0&lt;0,"Error in Areas ▲",IF(S65+T65&gt;H65,"Error in Areas ▲",IF(AND(P65='G-1 All Habitats'!$X$3,Y65="Yes"),"Alternative Compensation ✓",IF(W65=0,0,IF(P65='G-1 All Habitats'!$X$3,"Unacceptable Loss ▲",Q65-U65-V65)))))),"Check Data ▲")</f>
        <v/>
      </c>
      <c r="Y65" s="72"/>
      <c r="Z65" s="80"/>
      <c r="AA65" s="81"/>
      <c r="AC65" s="75" t="str">
        <f>IF(P65="","",IF(P65='G-1 All Habitats'!$X$3,H65-S65-T65,"None"))</f>
        <v/>
      </c>
      <c r="AD65" s="76" t="str">
        <f>IFERROR(AC65*J65*L65*#REF!*O65,IF(P65="","","None"))</f>
        <v/>
      </c>
      <c r="AF65" s="54" t="str">
        <f t="shared" si="0"/>
        <v/>
      </c>
      <c r="AG65" s="54" t="str">
        <f t="shared" si="1"/>
        <v/>
      </c>
      <c r="AH65" s="54" t="str">
        <f>IF(I65="","",IF(#REF!&gt;0,TRUE,FALSE))</f>
        <v/>
      </c>
      <c r="AI65" s="54">
        <v>55</v>
      </c>
      <c r="AJ65" s="54"/>
      <c r="AK65" s="54" t="str">
        <f t="array" ref="AK65">IFERROR(INDEX($AI$11:$AI$259, MATCH(0, IF(TRUE=$AF$11:$AF$259, COUNTIF($AK$10:$AK64, $AI$11:$AI$259), ""), 0)),"")</f>
        <v/>
      </c>
      <c r="AL65" s="54" t="str">
        <f t="array" ref="AL65">IFERROR(INDEX($AI$11:$AI$259, MATCH(0, IF(TRUE=$AG$11:$AG$259, COUNTIF($AL$10:$AL64, $AI$11:$AI$259), ""), 0)),"")</f>
        <v/>
      </c>
      <c r="AM65" s="54" t="str">
        <f t="array" ref="AM65">IFERROR(INDEX($AI$11:$AI$259, MATCH(0, IF(TRUE=$AH$11:$AH$259, COUNTIF($AM$10:$AM64, $AI$11:$AI$259), ""), 0)),"")</f>
        <v/>
      </c>
      <c r="AN65" s="54"/>
      <c r="AQ65" s="47">
        <f t="shared" si="2"/>
        <v>0</v>
      </c>
    </row>
    <row r="66" spans="1:43" x14ac:dyDescent="0.3">
      <c r="A66" s="47" t="str">
        <f>IFERROR(INDEX('G-1 All Habitats'!$AG$3:$AG$15,MATCH(E66,'G-1 All Habitats'!$AF$3:$AF$15,0)),"")</f>
        <v/>
      </c>
      <c r="B66" s="47" t="str">
        <f>IFERROR(INDEX('G-8 Condition Look up'!$I$4:$I$130,MATCH(G66,'G-8 Condition Look up'!$A$4:$A$130,0)),"")</f>
        <v/>
      </c>
      <c r="D66" s="77">
        <v>56</v>
      </c>
      <c r="E66" s="78"/>
      <c r="F66" s="79"/>
      <c r="G66" s="69" t="str">
        <f>IFERROR(INDEX('G-1 All Habitats'!$B$3:$B$129,MATCH(F66,'G-1 All Habitats'!$A$3:$A$129,0)),"")</f>
        <v/>
      </c>
      <c r="H66" s="70"/>
      <c r="I66" s="498" t="str">
        <f>IF(G66="","",VLOOKUP(G66,'G-1 All Habitats'!$B$2:$M$129,10,FALSE))</f>
        <v/>
      </c>
      <c r="J66" s="499" t="str">
        <f>IFERROR(VLOOKUP(I66,'G-1 All Habitats'!$V$3:$W$7,2,FALSE),"")</f>
        <v/>
      </c>
      <c r="K66" s="71"/>
      <c r="L66" s="499" t="str">
        <f>IFERROR(INDEX('G-8 Condition Look up'!$A$3:$H$130,MATCH(G66,'G-8 Condition Look up'!$A$3:$A$130,0),MATCH(K66,'G-8 Condition Look up'!$A$3:$H$3,0)),"")</f>
        <v/>
      </c>
      <c r="M66" s="71"/>
      <c r="N66" s="520" t="str">
        <f>IF(M66="","",IF(VLOOKUP(M66,'G-3 Multipliers'!$L$3:$N$6,2,FALSE)=0,"Spatial Data Missing",VLOOKUP(M66,'G-3 Multipliers'!$L$3:$N$6,2,FALSE)))</f>
        <v/>
      </c>
      <c r="O66" s="505" t="str">
        <f>IF(M66="","",IF(VLOOKUP(M66,'G-3 Multipliers'!$L$3:$N$6,3,FALSE)=0,"Spatial Data Missing ▲",VLOOKUP(M66,'G-3 Multipliers'!$L$3:$N$6,3,FALSE)))</f>
        <v/>
      </c>
      <c r="P66" s="506" t="str">
        <f>IFERROR(VLOOKUP(G66,'G-1 All Habitats'!$B$2:$M$129,12,FALSE),"")</f>
        <v/>
      </c>
      <c r="Q66" s="513" t="str">
        <f>IFERROR(IF(P66="","",IF(AND(P66='G-1 All Habitats'!$X$3,T66&gt;0),U66+V66,IF(AND(P66='G-1 All Habitats'!$X$3,S66&gt;0),U66+V66,IF(AND(P66='G-1 All Habitats'!$X$3,AC66&gt;0),"Any Loss Unacceptable ▲",IF(AND(P66='G-1 All Habitats'!$X$3,W66&gt;0),"Any Loss Unacceptable ▲",H66*J66*L66*O66))))),"Check Data ▲")</f>
        <v/>
      </c>
      <c r="R66" s="50"/>
      <c r="S66" s="71"/>
      <c r="T66" s="72"/>
      <c r="U66" s="511" t="str">
        <f t="shared" si="3"/>
        <v/>
      </c>
      <c r="V66" s="511" t="str">
        <f t="shared" si="4"/>
        <v/>
      </c>
      <c r="W66" s="511" t="str">
        <f>IF(E66="","",IF(H66&lt;S66+T66,"Error in Areas ▲",IF(P66&lt;&gt;'G-1 All Habitats'!$X$3,H66-S66-T66,IF(AND(P66='G-1 All Habitats'!$X$3,Y66="Yes"),"Unacceptable Loss",IF(AND(P66='G-1 All Habitats'!$X$3,Y66="No"),AC66,IF(AND(P66='G-1 All Habitats'!$X$3,Y66=""),AC66,IF(AND(P66='G-1 All Habitats'!$X$3,AC66="None",AC66),IF(AND(P66='G-1 All Habitats'!$X$3,AC66&gt;0),H66-S66-T66))))))))</f>
        <v/>
      </c>
      <c r="X66" s="515" t="str">
        <f>IFERROR(IF(H66="","",IF(H66-S66-T66=0&lt;0,"Error in Areas ▲",IF(S66+T66&gt;H66,"Error in Areas ▲",IF(AND(P66='G-1 All Habitats'!$X$3,Y66="Yes"),"Alternative Compensation ✓",IF(W66=0,0,IF(P66='G-1 All Habitats'!$X$3,"Unacceptable Loss ▲",Q66-U66-V66)))))),"Check Data ▲")</f>
        <v/>
      </c>
      <c r="Y66" s="72"/>
      <c r="Z66" s="80"/>
      <c r="AA66" s="81"/>
      <c r="AC66" s="75" t="str">
        <f>IF(P66="","",IF(P66='G-1 All Habitats'!$X$3,H66-S66-T66,"None"))</f>
        <v/>
      </c>
      <c r="AD66" s="76" t="str">
        <f>IFERROR(AC66*J66*L66*#REF!*O66,IF(P66="","","None"))</f>
        <v/>
      </c>
      <c r="AF66" s="54" t="str">
        <f t="shared" si="0"/>
        <v/>
      </c>
      <c r="AG66" s="54" t="str">
        <f t="shared" si="1"/>
        <v/>
      </c>
      <c r="AH66" s="54" t="str">
        <f>IF(I66="","",IF(#REF!&gt;0,TRUE,FALSE))</f>
        <v/>
      </c>
      <c r="AI66" s="54">
        <v>56</v>
      </c>
      <c r="AJ66" s="54"/>
      <c r="AK66" s="54" t="str">
        <f t="array" ref="AK66">IFERROR(INDEX($AI$11:$AI$259, MATCH(0, IF(TRUE=$AF$11:$AF$259, COUNTIF($AK$10:$AK65, $AI$11:$AI$259), ""), 0)),"")</f>
        <v/>
      </c>
      <c r="AL66" s="54" t="str">
        <f t="array" ref="AL66">IFERROR(INDEX($AI$11:$AI$259, MATCH(0, IF(TRUE=$AG$11:$AG$259, COUNTIF($AL$10:$AL65, $AI$11:$AI$259), ""), 0)),"")</f>
        <v/>
      </c>
      <c r="AM66" s="54" t="str">
        <f t="array" ref="AM66">IFERROR(INDEX($AI$11:$AI$259, MATCH(0, IF(TRUE=$AH$11:$AH$259, COUNTIF($AM$10:$AM65, $AI$11:$AI$259), ""), 0)),"")</f>
        <v/>
      </c>
      <c r="AN66" s="54"/>
      <c r="AQ66" s="47">
        <f t="shared" si="2"/>
        <v>0</v>
      </c>
    </row>
    <row r="67" spans="1:43" x14ac:dyDescent="0.3">
      <c r="A67" s="47" t="str">
        <f>IFERROR(INDEX('G-1 All Habitats'!$AG$3:$AG$15,MATCH(E67,'G-1 All Habitats'!$AF$3:$AF$15,0)),"")</f>
        <v/>
      </c>
      <c r="B67" s="47" t="str">
        <f>IFERROR(INDEX('G-8 Condition Look up'!$I$4:$I$130,MATCH(G67,'G-8 Condition Look up'!$A$4:$A$130,0)),"")</f>
        <v/>
      </c>
      <c r="D67" s="77">
        <v>57</v>
      </c>
      <c r="E67" s="78"/>
      <c r="F67" s="79"/>
      <c r="G67" s="69" t="str">
        <f>IFERROR(INDEX('G-1 All Habitats'!$B$3:$B$129,MATCH(F67,'G-1 All Habitats'!$A$3:$A$129,0)),"")</f>
        <v/>
      </c>
      <c r="H67" s="70"/>
      <c r="I67" s="498" t="str">
        <f>IF(G67="","",VLOOKUP(G67,'G-1 All Habitats'!$B$2:$M$129,10,FALSE))</f>
        <v/>
      </c>
      <c r="J67" s="499" t="str">
        <f>IFERROR(VLOOKUP(I67,'G-1 All Habitats'!$V$3:$W$7,2,FALSE),"")</f>
        <v/>
      </c>
      <c r="K67" s="71"/>
      <c r="L67" s="499" t="str">
        <f>IFERROR(INDEX('G-8 Condition Look up'!$A$3:$H$130,MATCH(G67,'G-8 Condition Look up'!$A$3:$A$130,0),MATCH(K67,'G-8 Condition Look up'!$A$3:$H$3,0)),"")</f>
        <v/>
      </c>
      <c r="M67" s="71"/>
      <c r="N67" s="520" t="str">
        <f>IF(M67="","",IF(VLOOKUP(M67,'G-3 Multipliers'!$L$3:$N$6,2,FALSE)=0,"Spatial Data Missing",VLOOKUP(M67,'G-3 Multipliers'!$L$3:$N$6,2,FALSE)))</f>
        <v/>
      </c>
      <c r="O67" s="505" t="str">
        <f>IF(M67="","",IF(VLOOKUP(M67,'G-3 Multipliers'!$L$3:$N$6,3,FALSE)=0,"Spatial Data Missing ▲",VLOOKUP(M67,'G-3 Multipliers'!$L$3:$N$6,3,FALSE)))</f>
        <v/>
      </c>
      <c r="P67" s="506" t="str">
        <f>IFERROR(VLOOKUP(G67,'G-1 All Habitats'!$B$2:$M$129,12,FALSE),"")</f>
        <v/>
      </c>
      <c r="Q67" s="513" t="str">
        <f>IFERROR(IF(P67="","",IF(AND(P67='G-1 All Habitats'!$X$3,T67&gt;0),U67+V67,IF(AND(P67='G-1 All Habitats'!$X$3,S67&gt;0),U67+V67,IF(AND(P67='G-1 All Habitats'!$X$3,AC67&gt;0),"Any Loss Unacceptable ▲",IF(AND(P67='G-1 All Habitats'!$X$3,W67&gt;0),"Any Loss Unacceptable ▲",H67*J67*L67*O67))))),"Check Data ▲")</f>
        <v/>
      </c>
      <c r="R67" s="50"/>
      <c r="S67" s="71"/>
      <c r="T67" s="72"/>
      <c r="U67" s="511" t="str">
        <f t="shared" si="3"/>
        <v/>
      </c>
      <c r="V67" s="511" t="str">
        <f t="shared" si="4"/>
        <v/>
      </c>
      <c r="W67" s="511" t="str">
        <f>IF(E67="","",IF(H67&lt;S67+T67,"Error in Areas ▲",IF(P67&lt;&gt;'G-1 All Habitats'!$X$3,H67-S67-T67,IF(AND(P67='G-1 All Habitats'!$X$3,Y67="Yes"),"Unacceptable Loss",IF(AND(P67='G-1 All Habitats'!$X$3,Y67="No"),AC67,IF(AND(P67='G-1 All Habitats'!$X$3,Y67=""),AC67,IF(AND(P67='G-1 All Habitats'!$X$3,AC67="None",AC67),IF(AND(P67='G-1 All Habitats'!$X$3,AC67&gt;0),H67-S67-T67))))))))</f>
        <v/>
      </c>
      <c r="X67" s="515" t="str">
        <f>IFERROR(IF(H67="","",IF(H67-S67-T67=0&lt;0,"Error in Areas ▲",IF(S67+T67&gt;H67,"Error in Areas ▲",IF(AND(P67='G-1 All Habitats'!$X$3,Y67="Yes"),"Alternative Compensation ✓",IF(W67=0,0,IF(P67='G-1 All Habitats'!$X$3,"Unacceptable Loss ▲",Q67-U67-V67)))))),"Check Data ▲")</f>
        <v/>
      </c>
      <c r="Y67" s="72"/>
      <c r="Z67" s="80"/>
      <c r="AA67" s="81"/>
      <c r="AC67" s="75" t="str">
        <f>IF(P67="","",IF(P67='G-1 All Habitats'!$X$3,H67-S67-T67,"None"))</f>
        <v/>
      </c>
      <c r="AD67" s="76" t="str">
        <f>IFERROR(AC67*J67*L67*#REF!*O67,IF(P67="","","None"))</f>
        <v/>
      </c>
      <c r="AF67" s="54" t="str">
        <f t="shared" si="0"/>
        <v/>
      </c>
      <c r="AG67" s="54" t="str">
        <f t="shared" si="1"/>
        <v/>
      </c>
      <c r="AH67" s="54" t="str">
        <f>IF(I67="","",IF(#REF!&gt;0,TRUE,FALSE))</f>
        <v/>
      </c>
      <c r="AI67" s="54">
        <v>57</v>
      </c>
      <c r="AJ67" s="54"/>
      <c r="AK67" s="54" t="str">
        <f t="array" ref="AK67">IFERROR(INDEX($AI$11:$AI$259, MATCH(0, IF(TRUE=$AF$11:$AF$259, COUNTIF($AK$10:$AK66, $AI$11:$AI$259), ""), 0)),"")</f>
        <v/>
      </c>
      <c r="AL67" s="54" t="str">
        <f t="array" ref="AL67">IFERROR(INDEX($AI$11:$AI$259, MATCH(0, IF(TRUE=$AG$11:$AG$259, COUNTIF($AL$10:$AL66, $AI$11:$AI$259), ""), 0)),"")</f>
        <v/>
      </c>
      <c r="AM67" s="54" t="str">
        <f t="array" ref="AM67">IFERROR(INDEX($AI$11:$AI$259, MATCH(0, IF(TRUE=$AH$11:$AH$259, COUNTIF($AM$10:$AM66, $AI$11:$AI$259), ""), 0)),"")</f>
        <v/>
      </c>
      <c r="AN67" s="54"/>
      <c r="AQ67" s="47">
        <f t="shared" si="2"/>
        <v>0</v>
      </c>
    </row>
    <row r="68" spans="1:43" x14ac:dyDescent="0.3">
      <c r="A68" s="47" t="str">
        <f>IFERROR(INDEX('G-1 All Habitats'!$AG$3:$AG$15,MATCH(E68,'G-1 All Habitats'!$AF$3:$AF$15,0)),"")</f>
        <v/>
      </c>
      <c r="B68" s="47" t="str">
        <f>IFERROR(INDEX('G-8 Condition Look up'!$I$4:$I$130,MATCH(G68,'G-8 Condition Look up'!$A$4:$A$130,0)),"")</f>
        <v/>
      </c>
      <c r="D68" s="77">
        <v>58</v>
      </c>
      <c r="E68" s="78"/>
      <c r="F68" s="79"/>
      <c r="G68" s="69" t="str">
        <f>IFERROR(INDEX('G-1 All Habitats'!$B$3:$B$129,MATCH(F68,'G-1 All Habitats'!$A$3:$A$129,0)),"")</f>
        <v/>
      </c>
      <c r="H68" s="70"/>
      <c r="I68" s="498" t="str">
        <f>IF(G68="","",VLOOKUP(G68,'G-1 All Habitats'!$B$2:$M$129,10,FALSE))</f>
        <v/>
      </c>
      <c r="J68" s="499" t="str">
        <f>IFERROR(VLOOKUP(I68,'G-1 All Habitats'!$V$3:$W$7,2,FALSE),"")</f>
        <v/>
      </c>
      <c r="K68" s="71"/>
      <c r="L68" s="499" t="str">
        <f>IFERROR(INDEX('G-8 Condition Look up'!$A$3:$H$130,MATCH(G68,'G-8 Condition Look up'!$A$3:$A$130,0),MATCH(K68,'G-8 Condition Look up'!$A$3:$H$3,0)),"")</f>
        <v/>
      </c>
      <c r="M68" s="71"/>
      <c r="N68" s="520" t="str">
        <f>IF(M68="","",IF(VLOOKUP(M68,'G-3 Multipliers'!$L$3:$N$6,2,FALSE)=0,"Spatial Data Missing",VLOOKUP(M68,'G-3 Multipliers'!$L$3:$N$6,2,FALSE)))</f>
        <v/>
      </c>
      <c r="O68" s="505" t="str">
        <f>IF(M68="","",IF(VLOOKUP(M68,'G-3 Multipliers'!$L$3:$N$6,3,FALSE)=0,"Spatial Data Missing ▲",VLOOKUP(M68,'G-3 Multipliers'!$L$3:$N$6,3,FALSE)))</f>
        <v/>
      </c>
      <c r="P68" s="506" t="str">
        <f>IFERROR(VLOOKUP(G68,'G-1 All Habitats'!$B$2:$M$129,12,FALSE),"")</f>
        <v/>
      </c>
      <c r="Q68" s="513" t="str">
        <f>IFERROR(IF(P68="","",IF(AND(P68='G-1 All Habitats'!$X$3,T68&gt;0),U68+V68,IF(AND(P68='G-1 All Habitats'!$X$3,S68&gt;0),U68+V68,IF(AND(P68='G-1 All Habitats'!$X$3,AC68&gt;0),"Any Loss Unacceptable ▲",IF(AND(P68='G-1 All Habitats'!$X$3,W68&gt;0),"Any Loss Unacceptable ▲",H68*J68*L68*O68))))),"Check Data ▲")</f>
        <v/>
      </c>
      <c r="R68" s="50"/>
      <c r="S68" s="71"/>
      <c r="T68" s="72"/>
      <c r="U68" s="511" t="str">
        <f t="shared" si="3"/>
        <v/>
      </c>
      <c r="V68" s="511" t="str">
        <f t="shared" si="4"/>
        <v/>
      </c>
      <c r="W68" s="511" t="str">
        <f>IF(E68="","",IF(H68&lt;S68+T68,"Error in Areas ▲",IF(P68&lt;&gt;'G-1 All Habitats'!$X$3,H68-S68-T68,IF(AND(P68='G-1 All Habitats'!$X$3,Y68="Yes"),"Unacceptable Loss",IF(AND(P68='G-1 All Habitats'!$X$3,Y68="No"),AC68,IF(AND(P68='G-1 All Habitats'!$X$3,Y68=""),AC68,IF(AND(P68='G-1 All Habitats'!$X$3,AC68="None",AC68),IF(AND(P68='G-1 All Habitats'!$X$3,AC68&gt;0),H68-S68-T68))))))))</f>
        <v/>
      </c>
      <c r="X68" s="515" t="str">
        <f>IFERROR(IF(H68="","",IF(H68-S68-T68=0&lt;0,"Error in Areas ▲",IF(S68+T68&gt;H68,"Error in Areas ▲",IF(AND(P68='G-1 All Habitats'!$X$3,Y68="Yes"),"Alternative Compensation ✓",IF(W68=0,0,IF(P68='G-1 All Habitats'!$X$3,"Unacceptable Loss ▲",Q68-U68-V68)))))),"Check Data ▲")</f>
        <v/>
      </c>
      <c r="Y68" s="72"/>
      <c r="Z68" s="80"/>
      <c r="AA68" s="81"/>
      <c r="AC68" s="75" t="str">
        <f>IF(P68="","",IF(P68='G-1 All Habitats'!$X$3,H68-S68-T68,"None"))</f>
        <v/>
      </c>
      <c r="AD68" s="76" t="str">
        <f>IFERROR(AC68*J68*L68*#REF!*O68,IF(P68="","","None"))</f>
        <v/>
      </c>
      <c r="AF68" s="54" t="str">
        <f t="shared" si="0"/>
        <v/>
      </c>
      <c r="AG68" s="54" t="str">
        <f t="shared" si="1"/>
        <v/>
      </c>
      <c r="AH68" s="54" t="str">
        <f>IF(I68="","",IF(#REF!&gt;0,TRUE,FALSE))</f>
        <v/>
      </c>
      <c r="AI68" s="54">
        <v>58</v>
      </c>
      <c r="AJ68" s="54"/>
      <c r="AK68" s="54" t="str">
        <f t="array" ref="AK68">IFERROR(INDEX($AI$11:$AI$259, MATCH(0, IF(TRUE=$AF$11:$AF$259, COUNTIF($AK$10:$AK67, $AI$11:$AI$259), ""), 0)),"")</f>
        <v/>
      </c>
      <c r="AL68" s="54" t="str">
        <f t="array" ref="AL68">IFERROR(INDEX($AI$11:$AI$259, MATCH(0, IF(TRUE=$AG$11:$AG$259, COUNTIF($AL$10:$AL67, $AI$11:$AI$259), ""), 0)),"")</f>
        <v/>
      </c>
      <c r="AM68" s="54" t="str">
        <f t="array" ref="AM68">IFERROR(INDEX($AI$11:$AI$259, MATCH(0, IF(TRUE=$AH$11:$AH$259, COUNTIF($AM$10:$AM67, $AI$11:$AI$259), ""), 0)),"")</f>
        <v/>
      </c>
      <c r="AN68" s="54"/>
      <c r="AQ68" s="47">
        <f t="shared" si="2"/>
        <v>0</v>
      </c>
    </row>
    <row r="69" spans="1:43" x14ac:dyDescent="0.3">
      <c r="A69" s="47" t="str">
        <f>IFERROR(INDEX('G-1 All Habitats'!$AG$3:$AG$15,MATCH(E69,'G-1 All Habitats'!$AF$3:$AF$15,0)),"")</f>
        <v/>
      </c>
      <c r="B69" s="47" t="str">
        <f>IFERROR(INDEX('G-8 Condition Look up'!$I$4:$I$130,MATCH(G69,'G-8 Condition Look up'!$A$4:$A$130,0)),"")</f>
        <v/>
      </c>
      <c r="D69" s="77">
        <v>59</v>
      </c>
      <c r="E69" s="78"/>
      <c r="F69" s="79"/>
      <c r="G69" s="69" t="str">
        <f>IFERROR(INDEX('G-1 All Habitats'!$B$3:$B$129,MATCH(F69,'G-1 All Habitats'!$A$3:$A$129,0)),"")</f>
        <v/>
      </c>
      <c r="H69" s="70"/>
      <c r="I69" s="498" t="str">
        <f>IF(G69="","",VLOOKUP(G69,'G-1 All Habitats'!$B$2:$M$129,10,FALSE))</f>
        <v/>
      </c>
      <c r="J69" s="499" t="str">
        <f>IFERROR(VLOOKUP(I69,'G-1 All Habitats'!$V$3:$W$7,2,FALSE),"")</f>
        <v/>
      </c>
      <c r="K69" s="71"/>
      <c r="L69" s="499" t="str">
        <f>IFERROR(INDEX('G-8 Condition Look up'!$A$3:$H$130,MATCH(G69,'G-8 Condition Look up'!$A$3:$A$130,0),MATCH(K69,'G-8 Condition Look up'!$A$3:$H$3,0)),"")</f>
        <v/>
      </c>
      <c r="M69" s="71"/>
      <c r="N69" s="520" t="str">
        <f>IF(M69="","",IF(VLOOKUP(M69,'G-3 Multipliers'!$L$3:$N$6,2,FALSE)=0,"Spatial Data Missing",VLOOKUP(M69,'G-3 Multipliers'!$L$3:$N$6,2,FALSE)))</f>
        <v/>
      </c>
      <c r="O69" s="505" t="str">
        <f>IF(M69="","",IF(VLOOKUP(M69,'G-3 Multipliers'!$L$3:$N$6,3,FALSE)=0,"Spatial Data Missing ▲",VLOOKUP(M69,'G-3 Multipliers'!$L$3:$N$6,3,FALSE)))</f>
        <v/>
      </c>
      <c r="P69" s="506" t="str">
        <f>IFERROR(VLOOKUP(G69,'G-1 All Habitats'!$B$2:$M$129,12,FALSE),"")</f>
        <v/>
      </c>
      <c r="Q69" s="513" t="str">
        <f>IFERROR(IF(P69="","",IF(AND(P69='G-1 All Habitats'!$X$3,T69&gt;0),U69+V69,IF(AND(P69='G-1 All Habitats'!$X$3,S69&gt;0),U69+V69,IF(AND(P69='G-1 All Habitats'!$X$3,AC69&gt;0),"Any Loss Unacceptable ▲",IF(AND(P69='G-1 All Habitats'!$X$3,W69&gt;0),"Any Loss Unacceptable ▲",H69*J69*L69*O69))))),"Check Data ▲")</f>
        <v/>
      </c>
      <c r="R69" s="50"/>
      <c r="S69" s="71"/>
      <c r="T69" s="72"/>
      <c r="U69" s="511" t="str">
        <f t="shared" si="3"/>
        <v/>
      </c>
      <c r="V69" s="511" t="str">
        <f t="shared" si="4"/>
        <v/>
      </c>
      <c r="W69" s="511" t="str">
        <f>IF(E69="","",IF(H69&lt;S69+T69,"Error in Areas ▲",IF(P69&lt;&gt;'G-1 All Habitats'!$X$3,H69-S69-T69,IF(AND(P69='G-1 All Habitats'!$X$3,Y69="Yes"),"Unacceptable Loss",IF(AND(P69='G-1 All Habitats'!$X$3,Y69="No"),AC69,IF(AND(P69='G-1 All Habitats'!$X$3,Y69=""),AC69,IF(AND(P69='G-1 All Habitats'!$X$3,AC69="None",AC69),IF(AND(P69='G-1 All Habitats'!$X$3,AC69&gt;0),H69-S69-T69))))))))</f>
        <v/>
      </c>
      <c r="X69" s="515" t="str">
        <f>IFERROR(IF(H69="","",IF(H69-S69-T69=0&lt;0,"Error in Areas ▲",IF(S69+T69&gt;H69,"Error in Areas ▲",IF(AND(P69='G-1 All Habitats'!$X$3,Y69="Yes"),"Alternative Compensation ✓",IF(W69=0,0,IF(P69='G-1 All Habitats'!$X$3,"Unacceptable Loss ▲",Q69-U69-V69)))))),"Check Data ▲")</f>
        <v/>
      </c>
      <c r="Y69" s="72"/>
      <c r="Z69" s="80"/>
      <c r="AA69" s="81"/>
      <c r="AC69" s="75" t="str">
        <f>IF(P69="","",IF(P69='G-1 All Habitats'!$X$3,H69-S69-T69,"None"))</f>
        <v/>
      </c>
      <c r="AD69" s="76" t="str">
        <f>IFERROR(AC69*J69*L69*#REF!*O69,IF(P69="","","None"))</f>
        <v/>
      </c>
      <c r="AF69" s="54" t="str">
        <f t="shared" si="0"/>
        <v/>
      </c>
      <c r="AG69" s="54" t="str">
        <f t="shared" si="1"/>
        <v/>
      </c>
      <c r="AH69" s="54" t="str">
        <f>IF(I69="","",IF(#REF!&gt;0,TRUE,FALSE))</f>
        <v/>
      </c>
      <c r="AI69" s="54">
        <v>59</v>
      </c>
      <c r="AJ69" s="54"/>
      <c r="AK69" s="54" t="str">
        <f t="array" ref="AK69">IFERROR(INDEX($AI$11:$AI$259, MATCH(0, IF(TRUE=$AF$11:$AF$259, COUNTIF($AK$10:$AK68, $AI$11:$AI$259), ""), 0)),"")</f>
        <v/>
      </c>
      <c r="AL69" s="54" t="str">
        <f t="array" ref="AL69">IFERROR(INDEX($AI$11:$AI$259, MATCH(0, IF(TRUE=$AG$11:$AG$259, COUNTIF($AL$10:$AL68, $AI$11:$AI$259), ""), 0)),"")</f>
        <v/>
      </c>
      <c r="AM69" s="54" t="str">
        <f t="array" ref="AM69">IFERROR(INDEX($AI$11:$AI$259, MATCH(0, IF(TRUE=$AH$11:$AH$259, COUNTIF($AM$10:$AM68, $AI$11:$AI$259), ""), 0)),"")</f>
        <v/>
      </c>
      <c r="AN69" s="54"/>
      <c r="AQ69" s="47">
        <f t="shared" si="2"/>
        <v>0</v>
      </c>
    </row>
    <row r="70" spans="1:43" x14ac:dyDescent="0.3">
      <c r="A70" s="47" t="str">
        <f>IFERROR(INDEX('G-1 All Habitats'!$AG$3:$AG$15,MATCH(E70,'G-1 All Habitats'!$AF$3:$AF$15,0)),"")</f>
        <v/>
      </c>
      <c r="B70" s="47" t="str">
        <f>IFERROR(INDEX('G-8 Condition Look up'!$I$4:$I$130,MATCH(G70,'G-8 Condition Look up'!$A$4:$A$130,0)),"")</f>
        <v/>
      </c>
      <c r="D70" s="77">
        <v>60</v>
      </c>
      <c r="E70" s="78"/>
      <c r="F70" s="79"/>
      <c r="G70" s="69" t="str">
        <f>IFERROR(INDEX('G-1 All Habitats'!$B$3:$B$129,MATCH(F70,'G-1 All Habitats'!$A$3:$A$129,0)),"")</f>
        <v/>
      </c>
      <c r="H70" s="70"/>
      <c r="I70" s="498" t="str">
        <f>IF(G70="","",VLOOKUP(G70,'G-1 All Habitats'!$B$2:$M$129,10,FALSE))</f>
        <v/>
      </c>
      <c r="J70" s="499" t="str">
        <f>IFERROR(VLOOKUP(I70,'G-1 All Habitats'!$V$3:$W$7,2,FALSE),"")</f>
        <v/>
      </c>
      <c r="K70" s="71"/>
      <c r="L70" s="499" t="str">
        <f>IFERROR(INDEX('G-8 Condition Look up'!$A$3:$H$130,MATCH(G70,'G-8 Condition Look up'!$A$3:$A$130,0),MATCH(K70,'G-8 Condition Look up'!$A$3:$H$3,0)),"")</f>
        <v/>
      </c>
      <c r="M70" s="71"/>
      <c r="N70" s="520" t="str">
        <f>IF(M70="","",IF(VLOOKUP(M70,'G-3 Multipliers'!$L$3:$N$6,2,FALSE)=0,"Spatial Data Missing",VLOOKUP(M70,'G-3 Multipliers'!$L$3:$N$6,2,FALSE)))</f>
        <v/>
      </c>
      <c r="O70" s="505" t="str">
        <f>IF(M70="","",IF(VLOOKUP(M70,'G-3 Multipliers'!$L$3:$N$6,3,FALSE)=0,"Spatial Data Missing ▲",VLOOKUP(M70,'G-3 Multipliers'!$L$3:$N$6,3,FALSE)))</f>
        <v/>
      </c>
      <c r="P70" s="506" t="str">
        <f>IFERROR(VLOOKUP(G70,'G-1 All Habitats'!$B$2:$M$129,12,FALSE),"")</f>
        <v/>
      </c>
      <c r="Q70" s="513" t="str">
        <f>IFERROR(IF(P70="","",IF(AND(P70='G-1 All Habitats'!$X$3,T70&gt;0),U70+V70,IF(AND(P70='G-1 All Habitats'!$X$3,S70&gt;0),U70+V70,IF(AND(P70='G-1 All Habitats'!$X$3,AC70&gt;0),"Any Loss Unacceptable ▲",IF(AND(P70='G-1 All Habitats'!$X$3,W70&gt;0),"Any Loss Unacceptable ▲",H70*J70*L70*O70))))),"Check Data ▲")</f>
        <v/>
      </c>
      <c r="R70" s="50"/>
      <c r="S70" s="71"/>
      <c r="T70" s="72"/>
      <c r="U70" s="511" t="str">
        <f t="shared" si="3"/>
        <v/>
      </c>
      <c r="V70" s="511" t="str">
        <f t="shared" si="4"/>
        <v/>
      </c>
      <c r="W70" s="511" t="str">
        <f>IF(E70="","",IF(H70&lt;S70+T70,"Error in Areas ▲",IF(P70&lt;&gt;'G-1 All Habitats'!$X$3,H70-S70-T70,IF(AND(P70='G-1 All Habitats'!$X$3,Y70="Yes"),"Unacceptable Loss",IF(AND(P70='G-1 All Habitats'!$X$3,Y70="No"),AC70,IF(AND(P70='G-1 All Habitats'!$X$3,Y70=""),AC70,IF(AND(P70='G-1 All Habitats'!$X$3,AC70="None",AC70),IF(AND(P70='G-1 All Habitats'!$X$3,AC70&gt;0),H70-S70-T70))))))))</f>
        <v/>
      </c>
      <c r="X70" s="515" t="str">
        <f>IFERROR(IF(H70="","",IF(H70-S70-T70=0&lt;0,"Error in Areas ▲",IF(S70+T70&gt;H70,"Error in Areas ▲",IF(AND(P70='G-1 All Habitats'!$X$3,Y70="Yes"),"Alternative Compensation ✓",IF(W70=0,0,IF(P70='G-1 All Habitats'!$X$3,"Unacceptable Loss ▲",Q70-U70-V70)))))),"Check Data ▲")</f>
        <v/>
      </c>
      <c r="Y70" s="72"/>
      <c r="Z70" s="80"/>
      <c r="AA70" s="81"/>
      <c r="AC70" s="75" t="str">
        <f>IF(P70="","",IF(P70='G-1 All Habitats'!$X$3,H70-S70-T70,"None"))</f>
        <v/>
      </c>
      <c r="AD70" s="76" t="str">
        <f>IFERROR(AC70*J70*L70*#REF!*O70,IF(P70="","","None"))</f>
        <v/>
      </c>
      <c r="AF70" s="54" t="str">
        <f t="shared" si="0"/>
        <v/>
      </c>
      <c r="AG70" s="54" t="str">
        <f t="shared" si="1"/>
        <v/>
      </c>
      <c r="AH70" s="54" t="str">
        <f>IF(I70="","",IF(#REF!&gt;0,TRUE,FALSE))</f>
        <v/>
      </c>
      <c r="AI70" s="54">
        <v>60</v>
      </c>
      <c r="AJ70" s="54"/>
      <c r="AK70" s="54" t="str">
        <f t="array" ref="AK70">IFERROR(INDEX($AI$11:$AI$259, MATCH(0, IF(TRUE=$AF$11:$AF$259, COUNTIF($AK$10:$AK69, $AI$11:$AI$259), ""), 0)),"")</f>
        <v/>
      </c>
      <c r="AL70" s="54" t="str">
        <f t="array" ref="AL70">IFERROR(INDEX($AI$11:$AI$259, MATCH(0, IF(TRUE=$AG$11:$AG$259, COUNTIF($AL$10:$AL69, $AI$11:$AI$259), ""), 0)),"")</f>
        <v/>
      </c>
      <c r="AM70" s="54" t="str">
        <f t="array" ref="AM70">IFERROR(INDEX($AI$11:$AI$259, MATCH(0, IF(TRUE=$AH$11:$AH$259, COUNTIF($AM$10:$AM69, $AI$11:$AI$259), ""), 0)),"")</f>
        <v/>
      </c>
      <c r="AN70" s="54"/>
      <c r="AQ70" s="47">
        <f t="shared" si="2"/>
        <v>0</v>
      </c>
    </row>
    <row r="71" spans="1:43" x14ac:dyDescent="0.3">
      <c r="A71" s="47" t="str">
        <f>IFERROR(INDEX('G-1 All Habitats'!$AG$3:$AG$15,MATCH(E71,'G-1 All Habitats'!$AF$3:$AF$15,0)),"")</f>
        <v/>
      </c>
      <c r="B71" s="47" t="str">
        <f>IFERROR(INDEX('G-8 Condition Look up'!$I$4:$I$130,MATCH(G71,'G-8 Condition Look up'!$A$4:$A$130,0)),"")</f>
        <v/>
      </c>
      <c r="D71" s="77">
        <v>61</v>
      </c>
      <c r="E71" s="78"/>
      <c r="F71" s="79"/>
      <c r="G71" s="69" t="str">
        <f>IFERROR(INDEX('G-1 All Habitats'!$B$3:$B$129,MATCH(F71,'G-1 All Habitats'!$A$3:$A$129,0)),"")</f>
        <v/>
      </c>
      <c r="H71" s="70"/>
      <c r="I71" s="498" t="str">
        <f>IF(G71="","",VLOOKUP(G71,'G-1 All Habitats'!$B$2:$M$129,10,FALSE))</f>
        <v/>
      </c>
      <c r="J71" s="499" t="str">
        <f>IFERROR(VLOOKUP(I71,'G-1 All Habitats'!$V$3:$W$7,2,FALSE),"")</f>
        <v/>
      </c>
      <c r="K71" s="71"/>
      <c r="L71" s="499" t="str">
        <f>IFERROR(INDEX('G-8 Condition Look up'!$A$3:$H$130,MATCH(G71,'G-8 Condition Look up'!$A$3:$A$130,0),MATCH(K71,'G-8 Condition Look up'!$A$3:$H$3,0)),"")</f>
        <v/>
      </c>
      <c r="M71" s="71"/>
      <c r="N71" s="520" t="str">
        <f>IF(M71="","",IF(VLOOKUP(M71,'G-3 Multipliers'!$L$3:$N$6,2,FALSE)=0,"Spatial Data Missing",VLOOKUP(M71,'G-3 Multipliers'!$L$3:$N$6,2,FALSE)))</f>
        <v/>
      </c>
      <c r="O71" s="505" t="str">
        <f>IF(M71="","",IF(VLOOKUP(M71,'G-3 Multipliers'!$L$3:$N$6,3,FALSE)=0,"Spatial Data Missing ▲",VLOOKUP(M71,'G-3 Multipliers'!$L$3:$N$6,3,FALSE)))</f>
        <v/>
      </c>
      <c r="P71" s="506" t="str">
        <f>IFERROR(VLOOKUP(G71,'G-1 All Habitats'!$B$2:$M$129,12,FALSE),"")</f>
        <v/>
      </c>
      <c r="Q71" s="513" t="str">
        <f>IFERROR(IF(P71="","",IF(AND(P71='G-1 All Habitats'!$X$3,T71&gt;0),U71+V71,IF(AND(P71='G-1 All Habitats'!$X$3,S71&gt;0),U71+V71,IF(AND(P71='G-1 All Habitats'!$X$3,AC71&gt;0),"Any Loss Unacceptable ▲",IF(AND(P71='G-1 All Habitats'!$X$3,W71&gt;0),"Any Loss Unacceptable ▲",H71*J71*L71*O71))))),"Check Data ▲")</f>
        <v/>
      </c>
      <c r="R71" s="50"/>
      <c r="S71" s="71"/>
      <c r="T71" s="72"/>
      <c r="U71" s="511" t="str">
        <f t="shared" si="3"/>
        <v/>
      </c>
      <c r="V71" s="511" t="str">
        <f t="shared" si="4"/>
        <v/>
      </c>
      <c r="W71" s="511" t="str">
        <f>IF(E71="","",IF(H71&lt;S71+T71,"Error in Areas ▲",IF(P71&lt;&gt;'G-1 All Habitats'!$X$3,H71-S71-T71,IF(AND(P71='G-1 All Habitats'!$X$3,Y71="Yes"),"Unacceptable Loss",IF(AND(P71='G-1 All Habitats'!$X$3,Y71="No"),AC71,IF(AND(P71='G-1 All Habitats'!$X$3,Y71=""),AC71,IF(AND(P71='G-1 All Habitats'!$X$3,AC71="None",AC71),IF(AND(P71='G-1 All Habitats'!$X$3,AC71&gt;0),H71-S71-T71))))))))</f>
        <v/>
      </c>
      <c r="X71" s="515" t="str">
        <f>IFERROR(IF(H71="","",IF(H71-S71-T71=0&lt;0,"Error in Areas ▲",IF(S71+T71&gt;H71,"Error in Areas ▲",IF(AND(P71='G-1 All Habitats'!$X$3,Y71="Yes"),"Alternative Compensation ✓",IF(W71=0,0,IF(P71='G-1 All Habitats'!$X$3,"Unacceptable Loss ▲",Q71-U71-V71)))))),"Check Data ▲")</f>
        <v/>
      </c>
      <c r="Y71" s="72"/>
      <c r="Z71" s="80"/>
      <c r="AA71" s="81"/>
      <c r="AC71" s="75" t="str">
        <f>IF(P71="","",IF(P71='G-1 All Habitats'!$X$3,H71-S71-T71,"None"))</f>
        <v/>
      </c>
      <c r="AD71" s="76" t="str">
        <f>IFERROR(AC71*J71*L71*#REF!*O71,IF(P71="","","None"))</f>
        <v/>
      </c>
      <c r="AF71" s="54" t="str">
        <f t="shared" si="0"/>
        <v/>
      </c>
      <c r="AG71" s="54" t="str">
        <f t="shared" si="1"/>
        <v/>
      </c>
      <c r="AH71" s="54" t="str">
        <f>IF(I71="","",IF(#REF!&gt;0,TRUE,FALSE))</f>
        <v/>
      </c>
      <c r="AI71" s="54">
        <v>61</v>
      </c>
      <c r="AJ71" s="54"/>
      <c r="AK71" s="54" t="str">
        <f t="array" ref="AK71">IFERROR(INDEX($AI$11:$AI$259, MATCH(0, IF(TRUE=$AF$11:$AF$259, COUNTIF($AK$10:$AK70, $AI$11:$AI$259), ""), 0)),"")</f>
        <v/>
      </c>
      <c r="AL71" s="54" t="str">
        <f t="array" ref="AL71">IFERROR(INDEX($AI$11:$AI$259, MATCH(0, IF(TRUE=$AG$11:$AG$259, COUNTIF($AL$10:$AL70, $AI$11:$AI$259), ""), 0)),"")</f>
        <v/>
      </c>
      <c r="AM71" s="54" t="str">
        <f t="array" ref="AM71">IFERROR(INDEX($AI$11:$AI$259, MATCH(0, IF(TRUE=$AH$11:$AH$259, COUNTIF($AM$10:$AM70, $AI$11:$AI$259), ""), 0)),"")</f>
        <v/>
      </c>
      <c r="AN71" s="54"/>
      <c r="AQ71" s="47">
        <f t="shared" si="2"/>
        <v>0</v>
      </c>
    </row>
    <row r="72" spans="1:43" x14ac:dyDescent="0.3">
      <c r="A72" s="47" t="str">
        <f>IFERROR(INDEX('G-1 All Habitats'!$AG$3:$AG$15,MATCH(E72,'G-1 All Habitats'!$AF$3:$AF$15,0)),"")</f>
        <v/>
      </c>
      <c r="B72" s="47" t="str">
        <f>IFERROR(INDEX('G-8 Condition Look up'!$I$4:$I$130,MATCH(G72,'G-8 Condition Look up'!$A$4:$A$130,0)),"")</f>
        <v/>
      </c>
      <c r="D72" s="77">
        <v>62</v>
      </c>
      <c r="E72" s="78"/>
      <c r="F72" s="79"/>
      <c r="G72" s="69" t="str">
        <f>IFERROR(INDEX('G-1 All Habitats'!$B$3:$B$129,MATCH(F72,'G-1 All Habitats'!$A$3:$A$129,0)),"")</f>
        <v/>
      </c>
      <c r="H72" s="70"/>
      <c r="I72" s="498" t="str">
        <f>IF(G72="","",VLOOKUP(G72,'G-1 All Habitats'!$B$2:$M$129,10,FALSE))</f>
        <v/>
      </c>
      <c r="J72" s="499" t="str">
        <f>IFERROR(VLOOKUP(I72,'G-1 All Habitats'!$V$3:$W$7,2,FALSE),"")</f>
        <v/>
      </c>
      <c r="K72" s="71"/>
      <c r="L72" s="499" t="str">
        <f>IFERROR(INDEX('G-8 Condition Look up'!$A$3:$H$130,MATCH(G72,'G-8 Condition Look up'!$A$3:$A$130,0),MATCH(K72,'G-8 Condition Look up'!$A$3:$H$3,0)),"")</f>
        <v/>
      </c>
      <c r="M72" s="71"/>
      <c r="N72" s="520" t="str">
        <f>IF(M72="","",IF(VLOOKUP(M72,'G-3 Multipliers'!$L$3:$N$6,2,FALSE)=0,"Spatial Data Missing",VLOOKUP(M72,'G-3 Multipliers'!$L$3:$N$6,2,FALSE)))</f>
        <v/>
      </c>
      <c r="O72" s="505" t="str">
        <f>IF(M72="","",IF(VLOOKUP(M72,'G-3 Multipliers'!$L$3:$N$6,3,FALSE)=0,"Spatial Data Missing ▲",VLOOKUP(M72,'G-3 Multipliers'!$L$3:$N$6,3,FALSE)))</f>
        <v/>
      </c>
      <c r="P72" s="506" t="str">
        <f>IFERROR(VLOOKUP(G72,'G-1 All Habitats'!$B$2:$M$129,12,FALSE),"")</f>
        <v/>
      </c>
      <c r="Q72" s="513" t="str">
        <f>IFERROR(IF(P72="","",IF(AND(P72='G-1 All Habitats'!$X$3,T72&gt;0),U72+V72,IF(AND(P72='G-1 All Habitats'!$X$3,S72&gt;0),U72+V72,IF(AND(P72='G-1 All Habitats'!$X$3,AC72&gt;0),"Any Loss Unacceptable ▲",IF(AND(P72='G-1 All Habitats'!$X$3,W72&gt;0),"Any Loss Unacceptable ▲",H72*J72*L72*O72))))),"Check Data ▲")</f>
        <v/>
      </c>
      <c r="R72" s="50"/>
      <c r="S72" s="71"/>
      <c r="T72" s="72"/>
      <c r="U72" s="511" t="str">
        <f t="shared" si="3"/>
        <v/>
      </c>
      <c r="V72" s="511" t="str">
        <f t="shared" si="4"/>
        <v/>
      </c>
      <c r="W72" s="511" t="str">
        <f>IF(E72="","",IF(H72&lt;S72+T72,"Error in Areas ▲",IF(P72&lt;&gt;'G-1 All Habitats'!$X$3,H72-S72-T72,IF(AND(P72='G-1 All Habitats'!$X$3,Y72="Yes"),"Unacceptable Loss",IF(AND(P72='G-1 All Habitats'!$X$3,Y72="No"),AC72,IF(AND(P72='G-1 All Habitats'!$X$3,Y72=""),AC72,IF(AND(P72='G-1 All Habitats'!$X$3,AC72="None",AC72),IF(AND(P72='G-1 All Habitats'!$X$3,AC72&gt;0),H72-S72-T72))))))))</f>
        <v/>
      </c>
      <c r="X72" s="515" t="str">
        <f>IFERROR(IF(H72="","",IF(H72-S72-T72=0&lt;0,"Error in Areas ▲",IF(S72+T72&gt;H72,"Error in Areas ▲",IF(AND(P72='G-1 All Habitats'!$X$3,Y72="Yes"),"Alternative Compensation ✓",IF(W72=0,0,IF(P72='G-1 All Habitats'!$X$3,"Unacceptable Loss ▲",Q72-U72-V72)))))),"Check Data ▲")</f>
        <v/>
      </c>
      <c r="Y72" s="72"/>
      <c r="Z72" s="80"/>
      <c r="AA72" s="81"/>
      <c r="AC72" s="75" t="str">
        <f>IF(P72="","",IF(P72='G-1 All Habitats'!$X$3,H72-S72-T72,"None"))</f>
        <v/>
      </c>
      <c r="AD72" s="76" t="str">
        <f>IFERROR(AC72*J72*L72*#REF!*O72,IF(P72="","","None"))</f>
        <v/>
      </c>
      <c r="AF72" s="54" t="str">
        <f t="shared" si="0"/>
        <v/>
      </c>
      <c r="AG72" s="54" t="str">
        <f t="shared" si="1"/>
        <v/>
      </c>
      <c r="AH72" s="54" t="str">
        <f>IF(I72="","",IF(#REF!&gt;0,TRUE,FALSE))</f>
        <v/>
      </c>
      <c r="AI72" s="54">
        <v>62</v>
      </c>
      <c r="AJ72" s="54"/>
      <c r="AK72" s="54" t="str">
        <f t="array" ref="AK72">IFERROR(INDEX($AI$11:$AI$259, MATCH(0, IF(TRUE=$AF$11:$AF$259, COUNTIF($AK$10:$AK71, $AI$11:$AI$259), ""), 0)),"")</f>
        <v/>
      </c>
      <c r="AL72" s="54" t="str">
        <f t="array" ref="AL72">IFERROR(INDEX($AI$11:$AI$259, MATCH(0, IF(TRUE=$AG$11:$AG$259, COUNTIF($AL$10:$AL71, $AI$11:$AI$259), ""), 0)),"")</f>
        <v/>
      </c>
      <c r="AM72" s="54" t="str">
        <f t="array" ref="AM72">IFERROR(INDEX($AI$11:$AI$259, MATCH(0, IF(TRUE=$AH$11:$AH$259, COUNTIF($AM$10:$AM71, $AI$11:$AI$259), ""), 0)),"")</f>
        <v/>
      </c>
      <c r="AN72" s="54"/>
      <c r="AQ72" s="47">
        <f t="shared" si="2"/>
        <v>0</v>
      </c>
    </row>
    <row r="73" spans="1:43" x14ac:dyDescent="0.3">
      <c r="A73" s="47" t="str">
        <f>IFERROR(INDEX('G-1 All Habitats'!$AG$3:$AG$15,MATCH(E73,'G-1 All Habitats'!$AF$3:$AF$15,0)),"")</f>
        <v/>
      </c>
      <c r="B73" s="47" t="str">
        <f>IFERROR(INDEX('G-8 Condition Look up'!$I$4:$I$130,MATCH(G73,'G-8 Condition Look up'!$A$4:$A$130,0)),"")</f>
        <v/>
      </c>
      <c r="D73" s="77">
        <v>63</v>
      </c>
      <c r="E73" s="78"/>
      <c r="F73" s="79"/>
      <c r="G73" s="69" t="str">
        <f>IFERROR(INDEX('G-1 All Habitats'!$B$3:$B$129,MATCH(F73,'G-1 All Habitats'!$A$3:$A$129,0)),"")</f>
        <v/>
      </c>
      <c r="H73" s="70"/>
      <c r="I73" s="498" t="str">
        <f>IF(G73="","",VLOOKUP(G73,'G-1 All Habitats'!$B$2:$M$129,10,FALSE))</f>
        <v/>
      </c>
      <c r="J73" s="499" t="str">
        <f>IFERROR(VLOOKUP(I73,'G-1 All Habitats'!$V$3:$W$7,2,FALSE),"")</f>
        <v/>
      </c>
      <c r="K73" s="71"/>
      <c r="L73" s="499" t="str">
        <f>IFERROR(INDEX('G-8 Condition Look up'!$A$3:$H$130,MATCH(G73,'G-8 Condition Look up'!$A$3:$A$130,0),MATCH(K73,'G-8 Condition Look up'!$A$3:$H$3,0)),"")</f>
        <v/>
      </c>
      <c r="M73" s="71"/>
      <c r="N73" s="520" t="str">
        <f>IF(M73="","",IF(VLOOKUP(M73,'G-3 Multipliers'!$L$3:$N$6,2,FALSE)=0,"Spatial Data Missing",VLOOKUP(M73,'G-3 Multipliers'!$L$3:$N$6,2,FALSE)))</f>
        <v/>
      </c>
      <c r="O73" s="505" t="str">
        <f>IF(M73="","",IF(VLOOKUP(M73,'G-3 Multipliers'!$L$3:$N$6,3,FALSE)=0,"Spatial Data Missing ▲",VLOOKUP(M73,'G-3 Multipliers'!$L$3:$N$6,3,FALSE)))</f>
        <v/>
      </c>
      <c r="P73" s="506" t="str">
        <f>IFERROR(VLOOKUP(G73,'G-1 All Habitats'!$B$2:$M$129,12,FALSE),"")</f>
        <v/>
      </c>
      <c r="Q73" s="513" t="str">
        <f>IFERROR(IF(P73="","",IF(AND(P73='G-1 All Habitats'!$X$3,T73&gt;0),U73+V73,IF(AND(P73='G-1 All Habitats'!$X$3,S73&gt;0),U73+V73,IF(AND(P73='G-1 All Habitats'!$X$3,AC73&gt;0),"Any Loss Unacceptable ▲",IF(AND(P73='G-1 All Habitats'!$X$3,W73&gt;0),"Any Loss Unacceptable ▲",H73*J73*L73*O73))))),"Check Data ▲")</f>
        <v/>
      </c>
      <c r="R73" s="50"/>
      <c r="S73" s="71"/>
      <c r="T73" s="72"/>
      <c r="U73" s="511" t="str">
        <f t="shared" si="3"/>
        <v/>
      </c>
      <c r="V73" s="511" t="str">
        <f t="shared" si="4"/>
        <v/>
      </c>
      <c r="W73" s="511" t="str">
        <f>IF(E73="","",IF(H73&lt;S73+T73,"Error in Areas ▲",IF(P73&lt;&gt;'G-1 All Habitats'!$X$3,H73-S73-T73,IF(AND(P73='G-1 All Habitats'!$X$3,Y73="Yes"),"Unacceptable Loss",IF(AND(P73='G-1 All Habitats'!$X$3,Y73="No"),AC73,IF(AND(P73='G-1 All Habitats'!$X$3,Y73=""),AC73,IF(AND(P73='G-1 All Habitats'!$X$3,AC73="None",AC73),IF(AND(P73='G-1 All Habitats'!$X$3,AC73&gt;0),H73-S73-T73))))))))</f>
        <v/>
      </c>
      <c r="X73" s="515" t="str">
        <f>IFERROR(IF(H73="","",IF(H73-S73-T73=0&lt;0,"Error in Areas ▲",IF(S73+T73&gt;H73,"Error in Areas ▲",IF(AND(P73='G-1 All Habitats'!$X$3,Y73="Yes"),"Alternative Compensation ✓",IF(W73=0,0,IF(P73='G-1 All Habitats'!$X$3,"Unacceptable Loss ▲",Q73-U73-V73)))))),"Check Data ▲")</f>
        <v/>
      </c>
      <c r="Y73" s="72"/>
      <c r="Z73" s="80"/>
      <c r="AA73" s="81"/>
      <c r="AC73" s="75" t="str">
        <f>IF(P73="","",IF(P73='G-1 All Habitats'!$X$3,H73-S73-T73,"None"))</f>
        <v/>
      </c>
      <c r="AD73" s="76" t="str">
        <f>IFERROR(AC73*J73*L73*#REF!*O73,IF(P73="","","None"))</f>
        <v/>
      </c>
      <c r="AF73" s="54" t="str">
        <f t="shared" si="0"/>
        <v/>
      </c>
      <c r="AG73" s="54" t="str">
        <f t="shared" si="1"/>
        <v/>
      </c>
      <c r="AH73" s="54" t="str">
        <f>IF(I73="","",IF(#REF!&gt;0,TRUE,FALSE))</f>
        <v/>
      </c>
      <c r="AI73" s="54">
        <v>63</v>
      </c>
      <c r="AJ73" s="54"/>
      <c r="AK73" s="54" t="str">
        <f t="array" ref="AK73">IFERROR(INDEX($AI$11:$AI$259, MATCH(0, IF(TRUE=$AF$11:$AF$259, COUNTIF($AK$10:$AK72, $AI$11:$AI$259), ""), 0)),"")</f>
        <v/>
      </c>
      <c r="AL73" s="54" t="str">
        <f t="array" ref="AL73">IFERROR(INDEX($AI$11:$AI$259, MATCH(0, IF(TRUE=$AG$11:$AG$259, COUNTIF($AL$10:$AL72, $AI$11:$AI$259), ""), 0)),"")</f>
        <v/>
      </c>
      <c r="AM73" s="54" t="str">
        <f t="array" ref="AM73">IFERROR(INDEX($AI$11:$AI$259, MATCH(0, IF(TRUE=$AH$11:$AH$259, COUNTIF($AM$10:$AM72, $AI$11:$AI$259), ""), 0)),"")</f>
        <v/>
      </c>
      <c r="AN73" s="54"/>
      <c r="AQ73" s="47">
        <f t="shared" si="2"/>
        <v>0</v>
      </c>
    </row>
    <row r="74" spans="1:43" x14ac:dyDescent="0.3">
      <c r="A74" s="47" t="str">
        <f>IFERROR(INDEX('G-1 All Habitats'!$AG$3:$AG$15,MATCH(E74,'G-1 All Habitats'!$AF$3:$AF$15,0)),"")</f>
        <v/>
      </c>
      <c r="B74" s="47" t="str">
        <f>IFERROR(INDEX('G-8 Condition Look up'!$I$4:$I$130,MATCH(G74,'G-8 Condition Look up'!$A$4:$A$130,0)),"")</f>
        <v/>
      </c>
      <c r="D74" s="77">
        <v>64</v>
      </c>
      <c r="E74" s="78"/>
      <c r="F74" s="79"/>
      <c r="G74" s="69" t="str">
        <f>IFERROR(INDEX('G-1 All Habitats'!$B$3:$B$129,MATCH(F74,'G-1 All Habitats'!$A$3:$A$129,0)),"")</f>
        <v/>
      </c>
      <c r="H74" s="70"/>
      <c r="I74" s="498" t="str">
        <f>IF(G74="","",VLOOKUP(G74,'G-1 All Habitats'!$B$2:$M$129,10,FALSE))</f>
        <v/>
      </c>
      <c r="J74" s="499" t="str">
        <f>IFERROR(VLOOKUP(I74,'G-1 All Habitats'!$V$3:$W$7,2,FALSE),"")</f>
        <v/>
      </c>
      <c r="K74" s="71"/>
      <c r="L74" s="499" t="str">
        <f>IFERROR(INDEX('G-8 Condition Look up'!$A$3:$H$130,MATCH(G74,'G-8 Condition Look up'!$A$3:$A$130,0),MATCH(K74,'G-8 Condition Look up'!$A$3:$H$3,0)),"")</f>
        <v/>
      </c>
      <c r="M74" s="71"/>
      <c r="N74" s="520" t="str">
        <f>IF(M74="","",IF(VLOOKUP(M74,'G-3 Multipliers'!$L$3:$N$6,2,FALSE)=0,"Spatial Data Missing",VLOOKUP(M74,'G-3 Multipliers'!$L$3:$N$6,2,FALSE)))</f>
        <v/>
      </c>
      <c r="O74" s="505" t="str">
        <f>IF(M74="","",IF(VLOOKUP(M74,'G-3 Multipliers'!$L$3:$N$6,3,FALSE)=0,"Spatial Data Missing ▲",VLOOKUP(M74,'G-3 Multipliers'!$L$3:$N$6,3,FALSE)))</f>
        <v/>
      </c>
      <c r="P74" s="506" t="str">
        <f>IFERROR(VLOOKUP(G74,'G-1 All Habitats'!$B$2:$M$129,12,FALSE),"")</f>
        <v/>
      </c>
      <c r="Q74" s="513" t="str">
        <f>IFERROR(IF(P74="","",IF(AND(P74='G-1 All Habitats'!$X$3,T74&gt;0),U74+V74,IF(AND(P74='G-1 All Habitats'!$X$3,S74&gt;0),U74+V74,IF(AND(P74='G-1 All Habitats'!$X$3,AC74&gt;0),"Any Loss Unacceptable ▲",IF(AND(P74='G-1 All Habitats'!$X$3,W74&gt;0),"Any Loss Unacceptable ▲",H74*J74*L74*O74))))),"Check Data ▲")</f>
        <v/>
      </c>
      <c r="R74" s="50"/>
      <c r="S74" s="71"/>
      <c r="T74" s="72"/>
      <c r="U74" s="511" t="str">
        <f t="shared" si="3"/>
        <v/>
      </c>
      <c r="V74" s="511" t="str">
        <f t="shared" si="4"/>
        <v/>
      </c>
      <c r="W74" s="511" t="str">
        <f>IF(E74="","",IF(H74&lt;S74+T74,"Error in Areas ▲",IF(P74&lt;&gt;'G-1 All Habitats'!$X$3,H74-S74-T74,IF(AND(P74='G-1 All Habitats'!$X$3,Y74="Yes"),"Unacceptable Loss",IF(AND(P74='G-1 All Habitats'!$X$3,Y74="No"),AC74,IF(AND(P74='G-1 All Habitats'!$X$3,Y74=""),AC74,IF(AND(P74='G-1 All Habitats'!$X$3,AC74="None",AC74),IF(AND(P74='G-1 All Habitats'!$X$3,AC74&gt;0),H74-S74-T74))))))))</f>
        <v/>
      </c>
      <c r="X74" s="515" t="str">
        <f>IFERROR(IF(H74="","",IF(H74-S74-T74=0&lt;0,"Error in Areas ▲",IF(S74+T74&gt;H74,"Error in Areas ▲",IF(AND(P74='G-1 All Habitats'!$X$3,Y74="Yes"),"Alternative Compensation ✓",IF(W74=0,0,IF(P74='G-1 All Habitats'!$X$3,"Unacceptable Loss ▲",Q74-U74-V74)))))),"Check Data ▲")</f>
        <v/>
      </c>
      <c r="Y74" s="72"/>
      <c r="Z74" s="80"/>
      <c r="AA74" s="81"/>
      <c r="AC74" s="75" t="str">
        <f>IF(P74="","",IF(P74='G-1 All Habitats'!$X$3,H74-S74-T74,"None"))</f>
        <v/>
      </c>
      <c r="AD74" s="76" t="str">
        <f>IFERROR(AC74*J74*L74*#REF!*O74,IF(P74="","","None"))</f>
        <v/>
      </c>
      <c r="AF74" s="54" t="str">
        <f t="shared" si="0"/>
        <v/>
      </c>
      <c r="AG74" s="54" t="str">
        <f t="shared" si="1"/>
        <v/>
      </c>
      <c r="AH74" s="54" t="str">
        <f>IF(I74="","",IF(#REF!&gt;0,TRUE,FALSE))</f>
        <v/>
      </c>
      <c r="AI74" s="54">
        <v>64</v>
      </c>
      <c r="AJ74" s="54"/>
      <c r="AK74" s="54" t="str">
        <f t="array" ref="AK74">IFERROR(INDEX($AI$11:$AI$259, MATCH(0, IF(TRUE=$AF$11:$AF$259, COUNTIF($AK$10:$AK73, $AI$11:$AI$259), ""), 0)),"")</f>
        <v/>
      </c>
      <c r="AL74" s="54" t="str">
        <f t="array" ref="AL74">IFERROR(INDEX($AI$11:$AI$259, MATCH(0, IF(TRUE=$AG$11:$AG$259, COUNTIF($AL$10:$AL73, $AI$11:$AI$259), ""), 0)),"")</f>
        <v/>
      </c>
      <c r="AM74" s="54" t="str">
        <f t="array" ref="AM74">IFERROR(INDEX($AI$11:$AI$259, MATCH(0, IF(TRUE=$AH$11:$AH$259, COUNTIF($AM$10:$AM73, $AI$11:$AI$259), ""), 0)),"")</f>
        <v/>
      </c>
      <c r="AN74" s="54"/>
      <c r="AQ74" s="47">
        <f t="shared" si="2"/>
        <v>0</v>
      </c>
    </row>
    <row r="75" spans="1:43" x14ac:dyDescent="0.3">
      <c r="A75" s="47" t="str">
        <f>IFERROR(INDEX('G-1 All Habitats'!$AG$3:$AG$15,MATCH(E75,'G-1 All Habitats'!$AF$3:$AF$15,0)),"")</f>
        <v/>
      </c>
      <c r="B75" s="47" t="str">
        <f>IFERROR(INDEX('G-8 Condition Look up'!$I$4:$I$130,MATCH(G75,'G-8 Condition Look up'!$A$4:$A$130,0)),"")</f>
        <v/>
      </c>
      <c r="D75" s="77">
        <v>65</v>
      </c>
      <c r="E75" s="78"/>
      <c r="F75" s="79"/>
      <c r="G75" s="69" t="str">
        <f>IFERROR(INDEX('G-1 All Habitats'!$B$3:$B$129,MATCH(F75,'G-1 All Habitats'!$A$3:$A$129,0)),"")</f>
        <v/>
      </c>
      <c r="H75" s="70"/>
      <c r="I75" s="498" t="str">
        <f>IF(G75="","",VLOOKUP(G75,'G-1 All Habitats'!$B$2:$M$129,10,FALSE))</f>
        <v/>
      </c>
      <c r="J75" s="499" t="str">
        <f>IFERROR(VLOOKUP(I75,'G-1 All Habitats'!$V$3:$W$7,2,FALSE),"")</f>
        <v/>
      </c>
      <c r="K75" s="71"/>
      <c r="L75" s="499" t="str">
        <f>IFERROR(INDEX('G-8 Condition Look up'!$A$3:$H$130,MATCH(G75,'G-8 Condition Look up'!$A$3:$A$130,0),MATCH(K75,'G-8 Condition Look up'!$A$3:$H$3,0)),"")</f>
        <v/>
      </c>
      <c r="M75" s="71"/>
      <c r="N75" s="520" t="str">
        <f>IF(M75="","",IF(VLOOKUP(M75,'G-3 Multipliers'!$L$3:$N$6,2,FALSE)=0,"Spatial Data Missing",VLOOKUP(M75,'G-3 Multipliers'!$L$3:$N$6,2,FALSE)))</f>
        <v/>
      </c>
      <c r="O75" s="505" t="str">
        <f>IF(M75="","",IF(VLOOKUP(M75,'G-3 Multipliers'!$L$3:$N$6,3,FALSE)=0,"Spatial Data Missing ▲",VLOOKUP(M75,'G-3 Multipliers'!$L$3:$N$6,3,FALSE)))</f>
        <v/>
      </c>
      <c r="P75" s="506" t="str">
        <f>IFERROR(VLOOKUP(G75,'G-1 All Habitats'!$B$2:$M$129,12,FALSE),"")</f>
        <v/>
      </c>
      <c r="Q75" s="513" t="str">
        <f>IFERROR(IF(P75="","",IF(AND(P75='G-1 All Habitats'!$X$3,T75&gt;0),U75+V75,IF(AND(P75='G-1 All Habitats'!$X$3,S75&gt;0),U75+V75,IF(AND(P75='G-1 All Habitats'!$X$3,AC75&gt;0),"Any Loss Unacceptable ▲",IF(AND(P75='G-1 All Habitats'!$X$3,W75&gt;0),"Any Loss Unacceptable ▲",H75*J75*L75*O75))))),"Check Data ▲")</f>
        <v/>
      </c>
      <c r="R75" s="50"/>
      <c r="S75" s="71"/>
      <c r="T75" s="72"/>
      <c r="U75" s="511" t="str">
        <f t="shared" si="3"/>
        <v/>
      </c>
      <c r="V75" s="511" t="str">
        <f t="shared" si="4"/>
        <v/>
      </c>
      <c r="W75" s="511" t="str">
        <f>IF(E75="","",IF(H75&lt;S75+T75,"Error in Areas ▲",IF(P75&lt;&gt;'G-1 All Habitats'!$X$3,H75-S75-T75,IF(AND(P75='G-1 All Habitats'!$X$3,Y75="Yes"),"Unacceptable Loss",IF(AND(P75='G-1 All Habitats'!$X$3,Y75="No"),AC75,IF(AND(P75='G-1 All Habitats'!$X$3,Y75=""),AC75,IF(AND(P75='G-1 All Habitats'!$X$3,AC75="None",AC75),IF(AND(P75='G-1 All Habitats'!$X$3,AC75&gt;0),H75-S75-T75))))))))</f>
        <v/>
      </c>
      <c r="X75" s="515" t="str">
        <f>IFERROR(IF(H75="","",IF(H75-S75-T75=0&lt;0,"Error in Areas ▲",IF(S75+T75&gt;H75,"Error in Areas ▲",IF(AND(P75='G-1 All Habitats'!$X$3,Y75="Yes"),"Alternative Compensation ✓",IF(W75=0,0,IF(P75='G-1 All Habitats'!$X$3,"Unacceptable Loss ▲",Q75-U75-V75)))))),"Check Data ▲")</f>
        <v/>
      </c>
      <c r="Y75" s="72"/>
      <c r="Z75" s="80"/>
      <c r="AA75" s="81"/>
      <c r="AC75" s="75" t="str">
        <f>IF(P75="","",IF(P75='G-1 All Habitats'!$X$3,H75-S75-T75,"None"))</f>
        <v/>
      </c>
      <c r="AD75" s="76" t="str">
        <f>IFERROR(AC75*J75*L75*#REF!*O75,IF(P75="","","None"))</f>
        <v/>
      </c>
      <c r="AF75" s="54" t="str">
        <f t="shared" ref="AF75:AF138" si="5">IF(G75="","",IF(S75&gt;0,TRUE,FALSE))</f>
        <v/>
      </c>
      <c r="AG75" s="54" t="str">
        <f t="shared" ref="AG75:AG138" si="6">IF(H75="","",IF(T75&gt;0,TRUE,FALSE))</f>
        <v/>
      </c>
      <c r="AH75" s="54" t="str">
        <f>IF(I75="","",IF(#REF!&gt;0,TRUE,FALSE))</f>
        <v/>
      </c>
      <c r="AI75" s="54">
        <v>65</v>
      </c>
      <c r="AJ75" s="54"/>
      <c r="AK75" s="54" t="str">
        <f t="array" ref="AK75">IFERROR(INDEX($AI$11:$AI$259, MATCH(0, IF(TRUE=$AF$11:$AF$259, COUNTIF($AK$10:$AK74, $AI$11:$AI$259), ""), 0)),"")</f>
        <v/>
      </c>
      <c r="AL75" s="54" t="str">
        <f t="array" ref="AL75">IFERROR(INDEX($AI$11:$AI$259, MATCH(0, IF(TRUE=$AG$11:$AG$259, COUNTIF($AL$10:$AL74, $AI$11:$AI$259), ""), 0)),"")</f>
        <v/>
      </c>
      <c r="AM75" s="54" t="str">
        <f t="array" ref="AM75">IFERROR(INDEX($AI$11:$AI$259, MATCH(0, IF(TRUE=$AH$11:$AH$259, COUNTIF($AM$10:$AM74, $AI$11:$AI$259), ""), 0)),"")</f>
        <v/>
      </c>
      <c r="AN75" s="54"/>
      <c r="AQ75" s="47">
        <f t="shared" si="2"/>
        <v>0</v>
      </c>
    </row>
    <row r="76" spans="1:43" x14ac:dyDescent="0.3">
      <c r="A76" s="47" t="str">
        <f>IFERROR(INDEX('G-1 All Habitats'!$AG$3:$AG$15,MATCH(E76,'G-1 All Habitats'!$AF$3:$AF$15,0)),"")</f>
        <v/>
      </c>
      <c r="B76" s="47" t="str">
        <f>IFERROR(INDEX('G-8 Condition Look up'!$I$4:$I$130,MATCH(G76,'G-8 Condition Look up'!$A$4:$A$130,0)),"")</f>
        <v/>
      </c>
      <c r="D76" s="77">
        <v>66</v>
      </c>
      <c r="E76" s="78"/>
      <c r="F76" s="79"/>
      <c r="G76" s="69" t="str">
        <f>IFERROR(INDEX('G-1 All Habitats'!$B$3:$B$129,MATCH(F76,'G-1 All Habitats'!$A$3:$A$129,0)),"")</f>
        <v/>
      </c>
      <c r="H76" s="70"/>
      <c r="I76" s="498" t="str">
        <f>IF(G76="","",VLOOKUP(G76,'G-1 All Habitats'!$B$2:$M$129,10,FALSE))</f>
        <v/>
      </c>
      <c r="J76" s="499" t="str">
        <f>IFERROR(VLOOKUP(I76,'G-1 All Habitats'!$V$3:$W$7,2,FALSE),"")</f>
        <v/>
      </c>
      <c r="K76" s="71"/>
      <c r="L76" s="499" t="str">
        <f>IFERROR(INDEX('G-8 Condition Look up'!$A$3:$H$130,MATCH(G76,'G-8 Condition Look up'!$A$3:$A$130,0),MATCH(K76,'G-8 Condition Look up'!$A$3:$H$3,0)),"")</f>
        <v/>
      </c>
      <c r="M76" s="71"/>
      <c r="N76" s="520" t="str">
        <f>IF(M76="","",IF(VLOOKUP(M76,'G-3 Multipliers'!$L$3:$N$6,2,FALSE)=0,"Spatial Data Missing",VLOOKUP(M76,'G-3 Multipliers'!$L$3:$N$6,2,FALSE)))</f>
        <v/>
      </c>
      <c r="O76" s="505" t="str">
        <f>IF(M76="","",IF(VLOOKUP(M76,'G-3 Multipliers'!$L$3:$N$6,3,FALSE)=0,"Spatial Data Missing ▲",VLOOKUP(M76,'G-3 Multipliers'!$L$3:$N$6,3,FALSE)))</f>
        <v/>
      </c>
      <c r="P76" s="506" t="str">
        <f>IFERROR(VLOOKUP(G76,'G-1 All Habitats'!$B$2:$M$129,12,FALSE),"")</f>
        <v/>
      </c>
      <c r="Q76" s="513" t="str">
        <f>IFERROR(IF(P76="","",IF(AND(P76='G-1 All Habitats'!$X$3,T76&gt;0),U76+V76,IF(AND(P76='G-1 All Habitats'!$X$3,S76&gt;0),U76+V76,IF(AND(P76='G-1 All Habitats'!$X$3,AC76&gt;0),"Any Loss Unacceptable ▲",IF(AND(P76='G-1 All Habitats'!$X$3,W76&gt;0),"Any Loss Unacceptable ▲",H76*J76*L76*O76))))),"Check Data ▲")</f>
        <v/>
      </c>
      <c r="R76" s="50"/>
      <c r="S76" s="71"/>
      <c r="T76" s="72"/>
      <c r="U76" s="511" t="str">
        <f t="shared" si="3"/>
        <v/>
      </c>
      <c r="V76" s="511" t="str">
        <f t="shared" si="4"/>
        <v/>
      </c>
      <c r="W76" s="511" t="str">
        <f>IF(E76="","",IF(H76&lt;S76+T76,"Error in Areas ▲",IF(P76&lt;&gt;'G-1 All Habitats'!$X$3,H76-S76-T76,IF(AND(P76='G-1 All Habitats'!$X$3,Y76="Yes"),"Unacceptable Loss",IF(AND(P76='G-1 All Habitats'!$X$3,Y76="No"),AC76,IF(AND(P76='G-1 All Habitats'!$X$3,Y76=""),AC76,IF(AND(P76='G-1 All Habitats'!$X$3,AC76="None",AC76),IF(AND(P76='G-1 All Habitats'!$X$3,AC76&gt;0),H76-S76-T76))))))))</f>
        <v/>
      </c>
      <c r="X76" s="515" t="str">
        <f>IFERROR(IF(H76="","",IF(H76-S76-T76=0&lt;0,"Error in Areas ▲",IF(S76+T76&gt;H76,"Error in Areas ▲",IF(AND(P76='G-1 All Habitats'!$X$3,Y76="Yes"),"Alternative Compensation ✓",IF(W76=0,0,IF(P76='G-1 All Habitats'!$X$3,"Unacceptable Loss ▲",Q76-U76-V76)))))),"Check Data ▲")</f>
        <v/>
      </c>
      <c r="Y76" s="72"/>
      <c r="Z76" s="80"/>
      <c r="AA76" s="81"/>
      <c r="AC76" s="75" t="str">
        <f>IF(P76="","",IF(P76='G-1 All Habitats'!$X$3,H76-S76-T76,"None"))</f>
        <v/>
      </c>
      <c r="AD76" s="76" t="str">
        <f>IFERROR(AC76*J76*L76*#REF!*O76,IF(P76="","","None"))</f>
        <v/>
      </c>
      <c r="AF76" s="54" t="str">
        <f t="shared" si="5"/>
        <v/>
      </c>
      <c r="AG76" s="54" t="str">
        <f t="shared" si="6"/>
        <v/>
      </c>
      <c r="AH76" s="54" t="str">
        <f>IF(I76="","",IF(#REF!&gt;0,TRUE,FALSE))</f>
        <v/>
      </c>
      <c r="AI76" s="54">
        <v>66</v>
      </c>
      <c r="AJ76" s="54"/>
      <c r="AK76" s="54" t="str">
        <f t="array" ref="AK76">IFERROR(INDEX($AI$11:$AI$259, MATCH(0, IF(TRUE=$AF$11:$AF$259, COUNTIF($AK$10:$AK75, $AI$11:$AI$259), ""), 0)),"")</f>
        <v/>
      </c>
      <c r="AL76" s="54" t="str">
        <f t="array" ref="AL76">IFERROR(INDEX($AI$11:$AI$259, MATCH(0, IF(TRUE=$AG$11:$AG$259, COUNTIF($AL$10:$AL75, $AI$11:$AI$259), ""), 0)),"")</f>
        <v/>
      </c>
      <c r="AM76" s="54" t="str">
        <f t="array" ref="AM76">IFERROR(INDEX($AI$11:$AI$259, MATCH(0, IF(TRUE=$AH$11:$AH$259, COUNTIF($AM$10:$AM75, $AI$11:$AI$259), ""), 0)),"")</f>
        <v/>
      </c>
      <c r="AN76" s="54"/>
      <c r="AQ76" s="47">
        <f t="shared" ref="AQ76:AQ139" si="7">IF(X76="Unacceptable Loss",1,0)</f>
        <v>0</v>
      </c>
    </row>
    <row r="77" spans="1:43" x14ac:dyDescent="0.3">
      <c r="A77" s="47" t="str">
        <f>IFERROR(INDEX('G-1 All Habitats'!$AG$3:$AG$15,MATCH(E77,'G-1 All Habitats'!$AF$3:$AF$15,0)),"")</f>
        <v/>
      </c>
      <c r="B77" s="47" t="str">
        <f>IFERROR(INDEX('G-8 Condition Look up'!$I$4:$I$130,MATCH(G77,'G-8 Condition Look up'!$A$4:$A$130,0)),"")</f>
        <v/>
      </c>
      <c r="D77" s="77">
        <v>67</v>
      </c>
      <c r="E77" s="78"/>
      <c r="F77" s="79"/>
      <c r="G77" s="69" t="str">
        <f>IFERROR(INDEX('G-1 All Habitats'!$B$3:$B$129,MATCH(F77,'G-1 All Habitats'!$A$3:$A$129,0)),"")</f>
        <v/>
      </c>
      <c r="H77" s="70"/>
      <c r="I77" s="498" t="str">
        <f>IF(G77="","",VLOOKUP(G77,'G-1 All Habitats'!$B$2:$M$129,10,FALSE))</f>
        <v/>
      </c>
      <c r="J77" s="499" t="str">
        <f>IFERROR(VLOOKUP(I77,'G-1 All Habitats'!$V$3:$W$7,2,FALSE),"")</f>
        <v/>
      </c>
      <c r="K77" s="71"/>
      <c r="L77" s="499" t="str">
        <f>IFERROR(INDEX('G-8 Condition Look up'!$A$3:$H$130,MATCH(G77,'G-8 Condition Look up'!$A$3:$A$130,0),MATCH(K77,'G-8 Condition Look up'!$A$3:$H$3,0)),"")</f>
        <v/>
      </c>
      <c r="M77" s="71"/>
      <c r="N77" s="520" t="str">
        <f>IF(M77="","",IF(VLOOKUP(M77,'G-3 Multipliers'!$L$3:$N$6,2,FALSE)=0,"Spatial Data Missing",VLOOKUP(M77,'G-3 Multipliers'!$L$3:$N$6,2,FALSE)))</f>
        <v/>
      </c>
      <c r="O77" s="505" t="str">
        <f>IF(M77="","",IF(VLOOKUP(M77,'G-3 Multipliers'!$L$3:$N$6,3,FALSE)=0,"Spatial Data Missing ▲",VLOOKUP(M77,'G-3 Multipliers'!$L$3:$N$6,3,FALSE)))</f>
        <v/>
      </c>
      <c r="P77" s="506" t="str">
        <f>IFERROR(VLOOKUP(G77,'G-1 All Habitats'!$B$2:$M$129,12,FALSE),"")</f>
        <v/>
      </c>
      <c r="Q77" s="513" t="str">
        <f>IFERROR(IF(P77="","",IF(AND(P77='G-1 All Habitats'!$X$3,T77&gt;0),U77+V77,IF(AND(P77='G-1 All Habitats'!$X$3,S77&gt;0),U77+V77,IF(AND(P77='G-1 All Habitats'!$X$3,AC77&gt;0),"Any Loss Unacceptable ▲",IF(AND(P77='G-1 All Habitats'!$X$3,W77&gt;0),"Any Loss Unacceptable ▲",H77*J77*L77*O77))))),"Check Data ▲")</f>
        <v/>
      </c>
      <c r="R77" s="50"/>
      <c r="S77" s="71"/>
      <c r="T77" s="72"/>
      <c r="U77" s="511" t="str">
        <f t="shared" ref="U77:U140" si="8">IFERROR(S77*J77*L77*O77,"")</f>
        <v/>
      </c>
      <c r="V77" s="511" t="str">
        <f t="shared" ref="V77:V140" si="9">IFERROR(T77*J77*L77*O77,"")</f>
        <v/>
      </c>
      <c r="W77" s="511" t="str">
        <f>IF(E77="","",IF(H77&lt;S77+T77,"Error in Areas ▲",IF(P77&lt;&gt;'G-1 All Habitats'!$X$3,H77-S77-T77,IF(AND(P77='G-1 All Habitats'!$X$3,Y77="Yes"),"Unacceptable Loss",IF(AND(P77='G-1 All Habitats'!$X$3,Y77="No"),AC77,IF(AND(P77='G-1 All Habitats'!$X$3,Y77=""),AC77,IF(AND(P77='G-1 All Habitats'!$X$3,AC77="None",AC77),IF(AND(P77='G-1 All Habitats'!$X$3,AC77&gt;0),H77-S77-T77))))))))</f>
        <v/>
      </c>
      <c r="X77" s="515" t="str">
        <f>IFERROR(IF(H77="","",IF(H77-S77-T77=0&lt;0,"Error in Areas ▲",IF(S77+T77&gt;H77,"Error in Areas ▲",IF(AND(P77='G-1 All Habitats'!$X$3,Y77="Yes"),"Alternative Compensation ✓",IF(W77=0,0,IF(P77='G-1 All Habitats'!$X$3,"Unacceptable Loss ▲",Q77-U77-V77)))))),"Check Data ▲")</f>
        <v/>
      </c>
      <c r="Y77" s="72"/>
      <c r="Z77" s="80"/>
      <c r="AA77" s="81"/>
      <c r="AC77" s="75" t="str">
        <f>IF(P77="","",IF(P77='G-1 All Habitats'!$X$3,H77-S77-T77,"None"))</f>
        <v/>
      </c>
      <c r="AD77" s="76" t="str">
        <f>IFERROR(AC77*J77*L77*#REF!*O77,IF(P77="","","None"))</f>
        <v/>
      </c>
      <c r="AF77" s="54" t="str">
        <f t="shared" si="5"/>
        <v/>
      </c>
      <c r="AG77" s="54" t="str">
        <f t="shared" si="6"/>
        <v/>
      </c>
      <c r="AH77" s="54" t="str">
        <f>IF(I77="","",IF(#REF!&gt;0,TRUE,FALSE))</f>
        <v/>
      </c>
      <c r="AI77" s="54">
        <v>67</v>
      </c>
      <c r="AJ77" s="54"/>
      <c r="AK77" s="54" t="str">
        <f t="array" ref="AK77">IFERROR(INDEX($AI$11:$AI$259, MATCH(0, IF(TRUE=$AF$11:$AF$259, COUNTIF($AK$10:$AK76, $AI$11:$AI$259), ""), 0)),"")</f>
        <v/>
      </c>
      <c r="AL77" s="54" t="str">
        <f t="array" ref="AL77">IFERROR(INDEX($AI$11:$AI$259, MATCH(0, IF(TRUE=$AG$11:$AG$259, COUNTIF($AL$10:$AL76, $AI$11:$AI$259), ""), 0)),"")</f>
        <v/>
      </c>
      <c r="AM77" s="54" t="str">
        <f t="array" ref="AM77">IFERROR(INDEX($AI$11:$AI$259, MATCH(0, IF(TRUE=$AH$11:$AH$259, COUNTIF($AM$10:$AM76, $AI$11:$AI$259), ""), 0)),"")</f>
        <v/>
      </c>
      <c r="AN77" s="54"/>
      <c r="AQ77" s="47">
        <f t="shared" si="7"/>
        <v>0</v>
      </c>
    </row>
    <row r="78" spans="1:43" x14ac:dyDescent="0.3">
      <c r="A78" s="47" t="str">
        <f>IFERROR(INDEX('G-1 All Habitats'!$AG$3:$AG$15,MATCH(E78,'G-1 All Habitats'!$AF$3:$AF$15,0)),"")</f>
        <v/>
      </c>
      <c r="B78" s="47" t="str">
        <f>IFERROR(INDEX('G-8 Condition Look up'!$I$4:$I$130,MATCH(G78,'G-8 Condition Look up'!$A$4:$A$130,0)),"")</f>
        <v/>
      </c>
      <c r="D78" s="77">
        <v>68</v>
      </c>
      <c r="E78" s="78"/>
      <c r="F78" s="79"/>
      <c r="G78" s="69" t="str">
        <f>IFERROR(INDEX('G-1 All Habitats'!$B$3:$B$129,MATCH(F78,'G-1 All Habitats'!$A$3:$A$129,0)),"")</f>
        <v/>
      </c>
      <c r="H78" s="70"/>
      <c r="I78" s="498" t="str">
        <f>IF(G78="","",VLOOKUP(G78,'G-1 All Habitats'!$B$2:$M$129,10,FALSE))</f>
        <v/>
      </c>
      <c r="J78" s="499" t="str">
        <f>IFERROR(VLOOKUP(I78,'G-1 All Habitats'!$V$3:$W$7,2,FALSE),"")</f>
        <v/>
      </c>
      <c r="K78" s="71"/>
      <c r="L78" s="499" t="str">
        <f>IFERROR(INDEX('G-8 Condition Look up'!$A$3:$H$130,MATCH(G78,'G-8 Condition Look up'!$A$3:$A$130,0),MATCH(K78,'G-8 Condition Look up'!$A$3:$H$3,0)),"")</f>
        <v/>
      </c>
      <c r="M78" s="71"/>
      <c r="N78" s="520" t="str">
        <f>IF(M78="","",IF(VLOOKUP(M78,'G-3 Multipliers'!$L$3:$N$6,2,FALSE)=0,"Spatial Data Missing",VLOOKUP(M78,'G-3 Multipliers'!$L$3:$N$6,2,FALSE)))</f>
        <v/>
      </c>
      <c r="O78" s="505" t="str">
        <f>IF(M78="","",IF(VLOOKUP(M78,'G-3 Multipliers'!$L$3:$N$6,3,FALSE)=0,"Spatial Data Missing ▲",VLOOKUP(M78,'G-3 Multipliers'!$L$3:$N$6,3,FALSE)))</f>
        <v/>
      </c>
      <c r="P78" s="506" t="str">
        <f>IFERROR(VLOOKUP(G78,'G-1 All Habitats'!$B$2:$M$129,12,FALSE),"")</f>
        <v/>
      </c>
      <c r="Q78" s="513" t="str">
        <f>IFERROR(IF(P78="","",IF(AND(P78='G-1 All Habitats'!$X$3,T78&gt;0),U78+V78,IF(AND(P78='G-1 All Habitats'!$X$3,S78&gt;0),U78+V78,IF(AND(P78='G-1 All Habitats'!$X$3,AC78&gt;0),"Any Loss Unacceptable ▲",IF(AND(P78='G-1 All Habitats'!$X$3,W78&gt;0),"Any Loss Unacceptable ▲",H78*J78*L78*O78))))),"Check Data ▲")</f>
        <v/>
      </c>
      <c r="R78" s="50"/>
      <c r="S78" s="71"/>
      <c r="T78" s="72"/>
      <c r="U78" s="511" t="str">
        <f t="shared" si="8"/>
        <v/>
      </c>
      <c r="V78" s="511" t="str">
        <f t="shared" si="9"/>
        <v/>
      </c>
      <c r="W78" s="511" t="str">
        <f>IF(E78="","",IF(H78&lt;S78+T78,"Error in Areas ▲",IF(P78&lt;&gt;'G-1 All Habitats'!$X$3,H78-S78-T78,IF(AND(P78='G-1 All Habitats'!$X$3,Y78="Yes"),"Unacceptable Loss",IF(AND(P78='G-1 All Habitats'!$X$3,Y78="No"),AC78,IF(AND(P78='G-1 All Habitats'!$X$3,Y78=""),AC78,IF(AND(P78='G-1 All Habitats'!$X$3,AC78="None",AC78),IF(AND(P78='G-1 All Habitats'!$X$3,AC78&gt;0),H78-S78-T78))))))))</f>
        <v/>
      </c>
      <c r="X78" s="515" t="str">
        <f>IFERROR(IF(H78="","",IF(H78-S78-T78=0&lt;0,"Error in Areas ▲",IF(S78+T78&gt;H78,"Error in Areas ▲",IF(AND(P78='G-1 All Habitats'!$X$3,Y78="Yes"),"Alternative Compensation ✓",IF(W78=0,0,IF(P78='G-1 All Habitats'!$X$3,"Unacceptable Loss ▲",Q78-U78-V78)))))),"Check Data ▲")</f>
        <v/>
      </c>
      <c r="Y78" s="72"/>
      <c r="Z78" s="80"/>
      <c r="AA78" s="81"/>
      <c r="AC78" s="75" t="str">
        <f>IF(P78="","",IF(P78='G-1 All Habitats'!$X$3,H78-S78-T78,"None"))</f>
        <v/>
      </c>
      <c r="AD78" s="76" t="str">
        <f>IFERROR(AC78*J78*L78*#REF!*O78,IF(P78="","","None"))</f>
        <v/>
      </c>
      <c r="AF78" s="54" t="str">
        <f t="shared" si="5"/>
        <v/>
      </c>
      <c r="AG78" s="54" t="str">
        <f t="shared" si="6"/>
        <v/>
      </c>
      <c r="AH78" s="54" t="str">
        <f>IF(I78="","",IF(#REF!&gt;0,TRUE,FALSE))</f>
        <v/>
      </c>
      <c r="AI78" s="54">
        <v>68</v>
      </c>
      <c r="AJ78" s="54"/>
      <c r="AK78" s="54" t="str">
        <f t="array" ref="AK78">IFERROR(INDEX($AI$11:$AI$259, MATCH(0, IF(TRUE=$AF$11:$AF$259, COUNTIF($AK$10:$AK77, $AI$11:$AI$259), ""), 0)),"")</f>
        <v/>
      </c>
      <c r="AL78" s="54" t="str">
        <f t="array" ref="AL78">IFERROR(INDEX($AI$11:$AI$259, MATCH(0, IF(TRUE=$AG$11:$AG$259, COUNTIF($AL$10:$AL77, $AI$11:$AI$259), ""), 0)),"")</f>
        <v/>
      </c>
      <c r="AM78" s="54" t="str">
        <f t="array" ref="AM78">IFERROR(INDEX($AI$11:$AI$259, MATCH(0, IF(TRUE=$AH$11:$AH$259, COUNTIF($AM$10:$AM77, $AI$11:$AI$259), ""), 0)),"")</f>
        <v/>
      </c>
      <c r="AN78" s="54"/>
      <c r="AQ78" s="47">
        <f t="shared" si="7"/>
        <v>0</v>
      </c>
    </row>
    <row r="79" spans="1:43" x14ac:dyDescent="0.3">
      <c r="A79" s="47" t="str">
        <f>IFERROR(INDEX('G-1 All Habitats'!$AG$3:$AG$15,MATCH(E79,'G-1 All Habitats'!$AF$3:$AF$15,0)),"")</f>
        <v/>
      </c>
      <c r="B79" s="47" t="str">
        <f>IFERROR(INDEX('G-8 Condition Look up'!$I$4:$I$130,MATCH(G79,'G-8 Condition Look up'!$A$4:$A$130,0)),"")</f>
        <v/>
      </c>
      <c r="D79" s="77">
        <v>69</v>
      </c>
      <c r="E79" s="78"/>
      <c r="F79" s="79"/>
      <c r="G79" s="69" t="str">
        <f>IFERROR(INDEX('G-1 All Habitats'!$B$3:$B$129,MATCH(F79,'G-1 All Habitats'!$A$3:$A$129,0)),"")</f>
        <v/>
      </c>
      <c r="H79" s="70"/>
      <c r="I79" s="498" t="str">
        <f>IF(G79="","",VLOOKUP(G79,'G-1 All Habitats'!$B$2:$M$129,10,FALSE))</f>
        <v/>
      </c>
      <c r="J79" s="499" t="str">
        <f>IFERROR(VLOOKUP(I79,'G-1 All Habitats'!$V$3:$W$7,2,FALSE),"")</f>
        <v/>
      </c>
      <c r="K79" s="71"/>
      <c r="L79" s="499" t="str">
        <f>IFERROR(INDEX('G-8 Condition Look up'!$A$3:$H$130,MATCH(G79,'G-8 Condition Look up'!$A$3:$A$130,0),MATCH(K79,'G-8 Condition Look up'!$A$3:$H$3,0)),"")</f>
        <v/>
      </c>
      <c r="M79" s="71"/>
      <c r="N79" s="520" t="str">
        <f>IF(M79="","",IF(VLOOKUP(M79,'G-3 Multipliers'!$L$3:$N$6,2,FALSE)=0,"Spatial Data Missing",VLOOKUP(M79,'G-3 Multipliers'!$L$3:$N$6,2,FALSE)))</f>
        <v/>
      </c>
      <c r="O79" s="505" t="str">
        <f>IF(M79="","",IF(VLOOKUP(M79,'G-3 Multipliers'!$L$3:$N$6,3,FALSE)=0,"Spatial Data Missing ▲",VLOOKUP(M79,'G-3 Multipliers'!$L$3:$N$6,3,FALSE)))</f>
        <v/>
      </c>
      <c r="P79" s="506" t="str">
        <f>IFERROR(VLOOKUP(G79,'G-1 All Habitats'!$B$2:$M$129,12,FALSE),"")</f>
        <v/>
      </c>
      <c r="Q79" s="513" t="str">
        <f>IFERROR(IF(P79="","",IF(AND(P79='G-1 All Habitats'!$X$3,T79&gt;0),U79+V79,IF(AND(P79='G-1 All Habitats'!$X$3,S79&gt;0),U79+V79,IF(AND(P79='G-1 All Habitats'!$X$3,AC79&gt;0),"Any Loss Unacceptable ▲",IF(AND(P79='G-1 All Habitats'!$X$3,W79&gt;0),"Any Loss Unacceptable ▲",H79*J79*L79*O79))))),"Check Data ▲")</f>
        <v/>
      </c>
      <c r="R79" s="50"/>
      <c r="S79" s="71"/>
      <c r="T79" s="72"/>
      <c r="U79" s="511" t="str">
        <f t="shared" si="8"/>
        <v/>
      </c>
      <c r="V79" s="511" t="str">
        <f t="shared" si="9"/>
        <v/>
      </c>
      <c r="W79" s="511" t="str">
        <f>IF(E79="","",IF(H79&lt;S79+T79,"Error in Areas ▲",IF(P79&lt;&gt;'G-1 All Habitats'!$X$3,H79-S79-T79,IF(AND(P79='G-1 All Habitats'!$X$3,Y79="Yes"),"Unacceptable Loss",IF(AND(P79='G-1 All Habitats'!$X$3,Y79="No"),AC79,IF(AND(P79='G-1 All Habitats'!$X$3,Y79=""),AC79,IF(AND(P79='G-1 All Habitats'!$X$3,AC79="None",AC79),IF(AND(P79='G-1 All Habitats'!$X$3,AC79&gt;0),H79-S79-T79))))))))</f>
        <v/>
      </c>
      <c r="X79" s="515" t="str">
        <f>IFERROR(IF(H79="","",IF(H79-S79-T79=0&lt;0,"Error in Areas ▲",IF(S79+T79&gt;H79,"Error in Areas ▲",IF(AND(P79='G-1 All Habitats'!$X$3,Y79="Yes"),"Alternative Compensation ✓",IF(W79=0,0,IF(P79='G-1 All Habitats'!$X$3,"Unacceptable Loss ▲",Q79-U79-V79)))))),"Check Data ▲")</f>
        <v/>
      </c>
      <c r="Y79" s="72"/>
      <c r="Z79" s="80"/>
      <c r="AA79" s="81"/>
      <c r="AC79" s="75" t="str">
        <f>IF(P79="","",IF(P79='G-1 All Habitats'!$X$3,H79-S79-T79,"None"))</f>
        <v/>
      </c>
      <c r="AD79" s="76" t="str">
        <f>IFERROR(AC79*J79*L79*#REF!*O79,IF(P79="","","None"))</f>
        <v/>
      </c>
      <c r="AF79" s="54" t="str">
        <f t="shared" si="5"/>
        <v/>
      </c>
      <c r="AG79" s="54" t="str">
        <f t="shared" si="6"/>
        <v/>
      </c>
      <c r="AH79" s="54" t="str">
        <f>IF(I79="","",IF(#REF!&gt;0,TRUE,FALSE))</f>
        <v/>
      </c>
      <c r="AI79" s="54">
        <v>69</v>
      </c>
      <c r="AJ79" s="54"/>
      <c r="AK79" s="54" t="str">
        <f t="array" ref="AK79">IFERROR(INDEX($AI$11:$AI$259, MATCH(0, IF(TRUE=$AF$11:$AF$259, COUNTIF($AK$10:$AK78, $AI$11:$AI$259), ""), 0)),"")</f>
        <v/>
      </c>
      <c r="AL79" s="54" t="str">
        <f t="array" ref="AL79">IFERROR(INDEX($AI$11:$AI$259, MATCH(0, IF(TRUE=$AG$11:$AG$259, COUNTIF($AL$10:$AL78, $AI$11:$AI$259), ""), 0)),"")</f>
        <v/>
      </c>
      <c r="AM79" s="54" t="str">
        <f t="array" ref="AM79">IFERROR(INDEX($AI$11:$AI$259, MATCH(0, IF(TRUE=$AH$11:$AH$259, COUNTIF($AM$10:$AM78, $AI$11:$AI$259), ""), 0)),"")</f>
        <v/>
      </c>
      <c r="AN79" s="54"/>
      <c r="AQ79" s="47">
        <f t="shared" si="7"/>
        <v>0</v>
      </c>
    </row>
    <row r="80" spans="1:43" x14ac:dyDescent="0.3">
      <c r="A80" s="47" t="str">
        <f>IFERROR(INDEX('G-1 All Habitats'!$AG$3:$AG$15,MATCH(E80,'G-1 All Habitats'!$AF$3:$AF$15,0)),"")</f>
        <v/>
      </c>
      <c r="B80" s="47" t="str">
        <f>IFERROR(INDEX('G-8 Condition Look up'!$I$4:$I$130,MATCH(G80,'G-8 Condition Look up'!$A$4:$A$130,0)),"")</f>
        <v/>
      </c>
      <c r="D80" s="77">
        <v>70</v>
      </c>
      <c r="E80" s="78"/>
      <c r="F80" s="79"/>
      <c r="G80" s="69" t="str">
        <f>IFERROR(INDEX('G-1 All Habitats'!$B$3:$B$129,MATCH(F80,'G-1 All Habitats'!$A$3:$A$129,0)),"")</f>
        <v/>
      </c>
      <c r="H80" s="70"/>
      <c r="I80" s="498" t="str">
        <f>IF(G80="","",VLOOKUP(G80,'G-1 All Habitats'!$B$2:$M$129,10,FALSE))</f>
        <v/>
      </c>
      <c r="J80" s="499" t="str">
        <f>IFERROR(VLOOKUP(I80,'G-1 All Habitats'!$V$3:$W$7,2,FALSE),"")</f>
        <v/>
      </c>
      <c r="K80" s="71"/>
      <c r="L80" s="499" t="str">
        <f>IFERROR(INDEX('G-8 Condition Look up'!$A$3:$H$130,MATCH(G80,'G-8 Condition Look up'!$A$3:$A$130,0),MATCH(K80,'G-8 Condition Look up'!$A$3:$H$3,0)),"")</f>
        <v/>
      </c>
      <c r="M80" s="71"/>
      <c r="N80" s="520" t="str">
        <f>IF(M80="","",IF(VLOOKUP(M80,'G-3 Multipliers'!$L$3:$N$6,2,FALSE)=0,"Spatial Data Missing",VLOOKUP(M80,'G-3 Multipliers'!$L$3:$N$6,2,FALSE)))</f>
        <v/>
      </c>
      <c r="O80" s="505" t="str">
        <f>IF(M80="","",IF(VLOOKUP(M80,'G-3 Multipliers'!$L$3:$N$6,3,FALSE)=0,"Spatial Data Missing ▲",VLOOKUP(M80,'G-3 Multipliers'!$L$3:$N$6,3,FALSE)))</f>
        <v/>
      </c>
      <c r="P80" s="506" t="str">
        <f>IFERROR(VLOOKUP(G80,'G-1 All Habitats'!$B$2:$M$129,12,FALSE),"")</f>
        <v/>
      </c>
      <c r="Q80" s="513" t="str">
        <f>IFERROR(IF(P80="","",IF(AND(P80='G-1 All Habitats'!$X$3,T80&gt;0),U80+V80,IF(AND(P80='G-1 All Habitats'!$X$3,S80&gt;0),U80+V80,IF(AND(P80='G-1 All Habitats'!$X$3,AC80&gt;0),"Any Loss Unacceptable ▲",IF(AND(P80='G-1 All Habitats'!$X$3,W80&gt;0),"Any Loss Unacceptable ▲",H80*J80*L80*O80))))),"Check Data ▲")</f>
        <v/>
      </c>
      <c r="R80" s="50"/>
      <c r="S80" s="71"/>
      <c r="T80" s="72"/>
      <c r="U80" s="511" t="str">
        <f t="shared" si="8"/>
        <v/>
      </c>
      <c r="V80" s="511" t="str">
        <f t="shared" si="9"/>
        <v/>
      </c>
      <c r="W80" s="511" t="str">
        <f>IF(E80="","",IF(H80&lt;S80+T80,"Error in Areas ▲",IF(P80&lt;&gt;'G-1 All Habitats'!$X$3,H80-S80-T80,IF(AND(P80='G-1 All Habitats'!$X$3,Y80="Yes"),"Unacceptable Loss",IF(AND(P80='G-1 All Habitats'!$X$3,Y80="No"),AC80,IF(AND(P80='G-1 All Habitats'!$X$3,Y80=""),AC80,IF(AND(P80='G-1 All Habitats'!$X$3,AC80="None",AC80),IF(AND(P80='G-1 All Habitats'!$X$3,AC80&gt;0),H80-S80-T80))))))))</f>
        <v/>
      </c>
      <c r="X80" s="515" t="str">
        <f>IFERROR(IF(H80="","",IF(H80-S80-T80=0&lt;0,"Error in Areas ▲",IF(S80+T80&gt;H80,"Error in Areas ▲",IF(AND(P80='G-1 All Habitats'!$X$3,Y80="Yes"),"Alternative Compensation ✓",IF(W80=0,0,IF(P80='G-1 All Habitats'!$X$3,"Unacceptable Loss ▲",Q80-U80-V80)))))),"Check Data ▲")</f>
        <v/>
      </c>
      <c r="Y80" s="72"/>
      <c r="Z80" s="80"/>
      <c r="AA80" s="81"/>
      <c r="AC80" s="75" t="str">
        <f>IF(P80="","",IF(P80='G-1 All Habitats'!$X$3,H80-S80-T80,"None"))</f>
        <v/>
      </c>
      <c r="AD80" s="76" t="str">
        <f>IFERROR(AC80*J80*L80*#REF!*O80,IF(P80="","","None"))</f>
        <v/>
      </c>
      <c r="AF80" s="54" t="str">
        <f t="shared" si="5"/>
        <v/>
      </c>
      <c r="AG80" s="54" t="str">
        <f t="shared" si="6"/>
        <v/>
      </c>
      <c r="AH80" s="54" t="str">
        <f>IF(I80="","",IF(#REF!&gt;0,TRUE,FALSE))</f>
        <v/>
      </c>
      <c r="AI80" s="54">
        <v>70</v>
      </c>
      <c r="AJ80" s="54"/>
      <c r="AK80" s="54" t="str">
        <f t="array" ref="AK80">IFERROR(INDEX($AI$11:$AI$259, MATCH(0, IF(TRUE=$AF$11:$AF$259, COUNTIF($AK$10:$AK79, $AI$11:$AI$259), ""), 0)),"")</f>
        <v/>
      </c>
      <c r="AL80" s="54" t="str">
        <f t="array" ref="AL80">IFERROR(INDEX($AI$11:$AI$259, MATCH(0, IF(TRUE=$AG$11:$AG$259, COUNTIF($AL$10:$AL79, $AI$11:$AI$259), ""), 0)),"")</f>
        <v/>
      </c>
      <c r="AM80" s="54" t="str">
        <f t="array" ref="AM80">IFERROR(INDEX($AI$11:$AI$259, MATCH(0, IF(TRUE=$AH$11:$AH$259, COUNTIF($AM$10:$AM79, $AI$11:$AI$259), ""), 0)),"")</f>
        <v/>
      </c>
      <c r="AN80" s="54"/>
      <c r="AQ80" s="47">
        <f t="shared" si="7"/>
        <v>0</v>
      </c>
    </row>
    <row r="81" spans="1:43" x14ac:dyDescent="0.3">
      <c r="A81" s="47" t="str">
        <f>IFERROR(INDEX('G-1 All Habitats'!$AG$3:$AG$15,MATCH(E81,'G-1 All Habitats'!$AF$3:$AF$15,0)),"")</f>
        <v/>
      </c>
      <c r="B81" s="47" t="str">
        <f>IFERROR(INDEX('G-8 Condition Look up'!$I$4:$I$130,MATCH(G81,'G-8 Condition Look up'!$A$4:$A$130,0)),"")</f>
        <v/>
      </c>
      <c r="D81" s="77">
        <v>71</v>
      </c>
      <c r="E81" s="78"/>
      <c r="F81" s="79"/>
      <c r="G81" s="69" t="str">
        <f>IFERROR(INDEX('G-1 All Habitats'!$B$3:$B$129,MATCH(F81,'G-1 All Habitats'!$A$3:$A$129,0)),"")</f>
        <v/>
      </c>
      <c r="H81" s="70"/>
      <c r="I81" s="498" t="str">
        <f>IF(G81="","",VLOOKUP(G81,'G-1 All Habitats'!$B$2:$M$129,10,FALSE))</f>
        <v/>
      </c>
      <c r="J81" s="499" t="str">
        <f>IFERROR(VLOOKUP(I81,'G-1 All Habitats'!$V$3:$W$7,2,FALSE),"")</f>
        <v/>
      </c>
      <c r="K81" s="71"/>
      <c r="L81" s="499" t="str">
        <f>IFERROR(INDEX('G-8 Condition Look up'!$A$3:$H$130,MATCH(G81,'G-8 Condition Look up'!$A$3:$A$130,0),MATCH(K81,'G-8 Condition Look up'!$A$3:$H$3,0)),"")</f>
        <v/>
      </c>
      <c r="M81" s="71"/>
      <c r="N81" s="520" t="str">
        <f>IF(M81="","",IF(VLOOKUP(M81,'G-3 Multipliers'!$L$3:$N$6,2,FALSE)=0,"Spatial Data Missing",VLOOKUP(M81,'G-3 Multipliers'!$L$3:$N$6,2,FALSE)))</f>
        <v/>
      </c>
      <c r="O81" s="505" t="str">
        <f>IF(M81="","",IF(VLOOKUP(M81,'G-3 Multipliers'!$L$3:$N$6,3,FALSE)=0,"Spatial Data Missing ▲",VLOOKUP(M81,'G-3 Multipliers'!$L$3:$N$6,3,FALSE)))</f>
        <v/>
      </c>
      <c r="P81" s="506" t="str">
        <f>IFERROR(VLOOKUP(G81,'G-1 All Habitats'!$B$2:$M$129,12,FALSE),"")</f>
        <v/>
      </c>
      <c r="Q81" s="513" t="str">
        <f>IFERROR(IF(P81="","",IF(AND(P81='G-1 All Habitats'!$X$3,T81&gt;0),U81+V81,IF(AND(P81='G-1 All Habitats'!$X$3,S81&gt;0),U81+V81,IF(AND(P81='G-1 All Habitats'!$X$3,AC81&gt;0),"Any Loss Unacceptable ▲",IF(AND(P81='G-1 All Habitats'!$X$3,W81&gt;0),"Any Loss Unacceptable ▲",H81*J81*L81*O81))))),"Check Data ▲")</f>
        <v/>
      </c>
      <c r="R81" s="50"/>
      <c r="S81" s="71"/>
      <c r="T81" s="72"/>
      <c r="U81" s="511" t="str">
        <f t="shared" si="8"/>
        <v/>
      </c>
      <c r="V81" s="511" t="str">
        <f t="shared" si="9"/>
        <v/>
      </c>
      <c r="W81" s="511" t="str">
        <f>IF(E81="","",IF(H81&lt;S81+T81,"Error in Areas ▲",IF(P81&lt;&gt;'G-1 All Habitats'!$X$3,H81-S81-T81,IF(AND(P81='G-1 All Habitats'!$X$3,Y81="Yes"),"Unacceptable Loss",IF(AND(P81='G-1 All Habitats'!$X$3,Y81="No"),AC81,IF(AND(P81='G-1 All Habitats'!$X$3,Y81=""),AC81,IF(AND(P81='G-1 All Habitats'!$X$3,AC81="None",AC81),IF(AND(P81='G-1 All Habitats'!$X$3,AC81&gt;0),H81-S81-T81))))))))</f>
        <v/>
      </c>
      <c r="X81" s="515" t="str">
        <f>IFERROR(IF(H81="","",IF(H81-S81-T81=0&lt;0,"Error in Areas ▲",IF(S81+T81&gt;H81,"Error in Areas ▲",IF(AND(P81='G-1 All Habitats'!$X$3,Y81="Yes"),"Alternative Compensation ✓",IF(W81=0,0,IF(P81='G-1 All Habitats'!$X$3,"Unacceptable Loss ▲",Q81-U81-V81)))))),"Check Data ▲")</f>
        <v/>
      </c>
      <c r="Y81" s="72"/>
      <c r="Z81" s="80"/>
      <c r="AA81" s="81"/>
      <c r="AC81" s="75" t="str">
        <f>IF(P81="","",IF(P81='G-1 All Habitats'!$X$3,H81-S81-T81,"None"))</f>
        <v/>
      </c>
      <c r="AD81" s="76" t="str">
        <f>IFERROR(AC81*J81*L81*#REF!*O81,IF(P81="","","None"))</f>
        <v/>
      </c>
      <c r="AF81" s="54" t="str">
        <f t="shared" si="5"/>
        <v/>
      </c>
      <c r="AG81" s="54" t="str">
        <f t="shared" si="6"/>
        <v/>
      </c>
      <c r="AH81" s="54" t="str">
        <f>IF(I81="","",IF(#REF!&gt;0,TRUE,FALSE))</f>
        <v/>
      </c>
      <c r="AI81" s="54">
        <v>71</v>
      </c>
      <c r="AJ81" s="54"/>
      <c r="AK81" s="54" t="str">
        <f t="array" ref="AK81">IFERROR(INDEX($AI$11:$AI$259, MATCH(0, IF(TRUE=$AF$11:$AF$259, COUNTIF($AK$10:$AK80, $AI$11:$AI$259), ""), 0)),"")</f>
        <v/>
      </c>
      <c r="AL81" s="54" t="str">
        <f t="array" ref="AL81">IFERROR(INDEX($AI$11:$AI$259, MATCH(0, IF(TRUE=$AG$11:$AG$259, COUNTIF($AL$10:$AL80, $AI$11:$AI$259), ""), 0)),"")</f>
        <v/>
      </c>
      <c r="AM81" s="54" t="str">
        <f t="array" ref="AM81">IFERROR(INDEX($AI$11:$AI$259, MATCH(0, IF(TRUE=$AH$11:$AH$259, COUNTIF($AM$10:$AM80, $AI$11:$AI$259), ""), 0)),"")</f>
        <v/>
      </c>
      <c r="AN81" s="54"/>
      <c r="AQ81" s="47">
        <f t="shared" si="7"/>
        <v>0</v>
      </c>
    </row>
    <row r="82" spans="1:43" x14ac:dyDescent="0.3">
      <c r="A82" s="47" t="str">
        <f>IFERROR(INDEX('G-1 All Habitats'!$AG$3:$AG$15,MATCH(E82,'G-1 All Habitats'!$AF$3:$AF$15,0)),"")</f>
        <v/>
      </c>
      <c r="B82" s="47" t="str">
        <f>IFERROR(INDEX('G-8 Condition Look up'!$I$4:$I$130,MATCH(G82,'G-8 Condition Look up'!$A$4:$A$130,0)),"")</f>
        <v/>
      </c>
      <c r="D82" s="77">
        <v>72</v>
      </c>
      <c r="E82" s="78"/>
      <c r="F82" s="79"/>
      <c r="G82" s="69" t="str">
        <f>IFERROR(INDEX('G-1 All Habitats'!$B$3:$B$129,MATCH(F82,'G-1 All Habitats'!$A$3:$A$129,0)),"")</f>
        <v/>
      </c>
      <c r="H82" s="70"/>
      <c r="I82" s="498" t="str">
        <f>IF(G82="","",VLOOKUP(G82,'G-1 All Habitats'!$B$2:$M$129,10,FALSE))</f>
        <v/>
      </c>
      <c r="J82" s="499" t="str">
        <f>IFERROR(VLOOKUP(I82,'G-1 All Habitats'!$V$3:$W$7,2,FALSE),"")</f>
        <v/>
      </c>
      <c r="K82" s="71"/>
      <c r="L82" s="499" t="str">
        <f>IFERROR(INDEX('G-8 Condition Look up'!$A$3:$H$130,MATCH(G82,'G-8 Condition Look up'!$A$3:$A$130,0),MATCH(K82,'G-8 Condition Look up'!$A$3:$H$3,0)),"")</f>
        <v/>
      </c>
      <c r="M82" s="71"/>
      <c r="N82" s="520" t="str">
        <f>IF(M82="","",IF(VLOOKUP(M82,'G-3 Multipliers'!$L$3:$N$6,2,FALSE)=0,"Spatial Data Missing",VLOOKUP(M82,'G-3 Multipliers'!$L$3:$N$6,2,FALSE)))</f>
        <v/>
      </c>
      <c r="O82" s="505" t="str">
        <f>IF(M82="","",IF(VLOOKUP(M82,'G-3 Multipliers'!$L$3:$N$6,3,FALSE)=0,"Spatial Data Missing ▲",VLOOKUP(M82,'G-3 Multipliers'!$L$3:$N$6,3,FALSE)))</f>
        <v/>
      </c>
      <c r="P82" s="506" t="str">
        <f>IFERROR(VLOOKUP(G82,'G-1 All Habitats'!$B$2:$M$129,12,FALSE),"")</f>
        <v/>
      </c>
      <c r="Q82" s="513" t="str">
        <f>IFERROR(IF(P82="","",IF(AND(P82='G-1 All Habitats'!$X$3,T82&gt;0),U82+V82,IF(AND(P82='G-1 All Habitats'!$X$3,S82&gt;0),U82+V82,IF(AND(P82='G-1 All Habitats'!$X$3,AC82&gt;0),"Any Loss Unacceptable ▲",IF(AND(P82='G-1 All Habitats'!$X$3,W82&gt;0),"Any Loss Unacceptable ▲",H82*J82*L82*O82))))),"Check Data ▲")</f>
        <v/>
      </c>
      <c r="R82" s="50"/>
      <c r="S82" s="71"/>
      <c r="T82" s="72"/>
      <c r="U82" s="511" t="str">
        <f t="shared" si="8"/>
        <v/>
      </c>
      <c r="V82" s="511" t="str">
        <f t="shared" si="9"/>
        <v/>
      </c>
      <c r="W82" s="511" t="str">
        <f>IF(E82="","",IF(H82&lt;S82+T82,"Error in Areas ▲",IF(P82&lt;&gt;'G-1 All Habitats'!$X$3,H82-S82-T82,IF(AND(P82='G-1 All Habitats'!$X$3,Y82="Yes"),"Unacceptable Loss",IF(AND(P82='G-1 All Habitats'!$X$3,Y82="No"),AC82,IF(AND(P82='G-1 All Habitats'!$X$3,Y82=""),AC82,IF(AND(P82='G-1 All Habitats'!$X$3,AC82="None",AC82),IF(AND(P82='G-1 All Habitats'!$X$3,AC82&gt;0),H82-S82-T82))))))))</f>
        <v/>
      </c>
      <c r="X82" s="515" t="str">
        <f>IFERROR(IF(H82="","",IF(H82-S82-T82=0&lt;0,"Error in Areas ▲",IF(S82+T82&gt;H82,"Error in Areas ▲",IF(AND(P82='G-1 All Habitats'!$X$3,Y82="Yes"),"Alternative Compensation ✓",IF(W82=0,0,IF(P82='G-1 All Habitats'!$X$3,"Unacceptable Loss ▲",Q82-U82-V82)))))),"Check Data ▲")</f>
        <v/>
      </c>
      <c r="Y82" s="72"/>
      <c r="Z82" s="80"/>
      <c r="AA82" s="81"/>
      <c r="AC82" s="75" t="str">
        <f>IF(P82="","",IF(P82='G-1 All Habitats'!$X$3,H82-S82-T82,"None"))</f>
        <v/>
      </c>
      <c r="AD82" s="76" t="str">
        <f>IFERROR(AC82*J82*L82*#REF!*O82,IF(P82="","","None"))</f>
        <v/>
      </c>
      <c r="AF82" s="54" t="str">
        <f t="shared" si="5"/>
        <v/>
      </c>
      <c r="AG82" s="54" t="str">
        <f t="shared" si="6"/>
        <v/>
      </c>
      <c r="AH82" s="54" t="str">
        <f>IF(I82="","",IF(#REF!&gt;0,TRUE,FALSE))</f>
        <v/>
      </c>
      <c r="AI82" s="54">
        <v>72</v>
      </c>
      <c r="AJ82" s="54"/>
      <c r="AK82" s="54" t="str">
        <f t="array" ref="AK82">IFERROR(INDEX($AI$11:$AI$259, MATCH(0, IF(TRUE=$AF$11:$AF$259, COUNTIF($AK$10:$AK81, $AI$11:$AI$259), ""), 0)),"")</f>
        <v/>
      </c>
      <c r="AL82" s="54" t="str">
        <f t="array" ref="AL82">IFERROR(INDEX($AI$11:$AI$259, MATCH(0, IF(TRUE=$AG$11:$AG$259, COUNTIF($AL$10:$AL81, $AI$11:$AI$259), ""), 0)),"")</f>
        <v/>
      </c>
      <c r="AM82" s="54" t="str">
        <f t="array" ref="AM82">IFERROR(INDEX($AI$11:$AI$259, MATCH(0, IF(TRUE=$AH$11:$AH$259, COUNTIF($AM$10:$AM81, $AI$11:$AI$259), ""), 0)),"")</f>
        <v/>
      </c>
      <c r="AN82" s="54"/>
      <c r="AQ82" s="47">
        <f t="shared" si="7"/>
        <v>0</v>
      </c>
    </row>
    <row r="83" spans="1:43" x14ac:dyDescent="0.3">
      <c r="A83" s="47" t="str">
        <f>IFERROR(INDEX('G-1 All Habitats'!$AG$3:$AG$15,MATCH(E83,'G-1 All Habitats'!$AF$3:$AF$15,0)),"")</f>
        <v/>
      </c>
      <c r="B83" s="47" t="str">
        <f>IFERROR(INDEX('G-8 Condition Look up'!$I$4:$I$130,MATCH(G83,'G-8 Condition Look up'!$A$4:$A$130,0)),"")</f>
        <v/>
      </c>
      <c r="D83" s="77">
        <v>73</v>
      </c>
      <c r="E83" s="78"/>
      <c r="F83" s="79"/>
      <c r="G83" s="69" t="str">
        <f>IFERROR(INDEX('G-1 All Habitats'!$B$3:$B$129,MATCH(F83,'G-1 All Habitats'!$A$3:$A$129,0)),"")</f>
        <v/>
      </c>
      <c r="H83" s="70"/>
      <c r="I83" s="498" t="str">
        <f>IF(G83="","",VLOOKUP(G83,'G-1 All Habitats'!$B$2:$M$129,10,FALSE))</f>
        <v/>
      </c>
      <c r="J83" s="499" t="str">
        <f>IFERROR(VLOOKUP(I83,'G-1 All Habitats'!$V$3:$W$7,2,FALSE),"")</f>
        <v/>
      </c>
      <c r="K83" s="71"/>
      <c r="L83" s="499" t="str">
        <f>IFERROR(INDEX('G-8 Condition Look up'!$A$3:$H$130,MATCH(G83,'G-8 Condition Look up'!$A$3:$A$130,0),MATCH(K83,'G-8 Condition Look up'!$A$3:$H$3,0)),"")</f>
        <v/>
      </c>
      <c r="M83" s="71"/>
      <c r="N83" s="520" t="str">
        <f>IF(M83="","",IF(VLOOKUP(M83,'G-3 Multipliers'!$L$3:$N$6,2,FALSE)=0,"Spatial Data Missing",VLOOKUP(M83,'G-3 Multipliers'!$L$3:$N$6,2,FALSE)))</f>
        <v/>
      </c>
      <c r="O83" s="505" t="str">
        <f>IF(M83="","",IF(VLOOKUP(M83,'G-3 Multipliers'!$L$3:$N$6,3,FALSE)=0,"Spatial Data Missing ▲",VLOOKUP(M83,'G-3 Multipliers'!$L$3:$N$6,3,FALSE)))</f>
        <v/>
      </c>
      <c r="P83" s="506" t="str">
        <f>IFERROR(VLOOKUP(G83,'G-1 All Habitats'!$B$2:$M$129,12,FALSE),"")</f>
        <v/>
      </c>
      <c r="Q83" s="513" t="str">
        <f>IFERROR(IF(P83="","",IF(AND(P83='G-1 All Habitats'!$X$3,T83&gt;0),U83+V83,IF(AND(P83='G-1 All Habitats'!$X$3,S83&gt;0),U83+V83,IF(AND(P83='G-1 All Habitats'!$X$3,AC83&gt;0),"Any Loss Unacceptable ▲",IF(AND(P83='G-1 All Habitats'!$X$3,W83&gt;0),"Any Loss Unacceptable ▲",H83*J83*L83*O83))))),"Check Data ▲")</f>
        <v/>
      </c>
      <c r="R83" s="50"/>
      <c r="S83" s="71"/>
      <c r="T83" s="72"/>
      <c r="U83" s="511" t="str">
        <f t="shared" si="8"/>
        <v/>
      </c>
      <c r="V83" s="511" t="str">
        <f t="shared" si="9"/>
        <v/>
      </c>
      <c r="W83" s="511" t="str">
        <f>IF(E83="","",IF(H83&lt;S83+T83,"Error in Areas ▲",IF(P83&lt;&gt;'G-1 All Habitats'!$X$3,H83-S83-T83,IF(AND(P83='G-1 All Habitats'!$X$3,Y83="Yes"),"Unacceptable Loss",IF(AND(P83='G-1 All Habitats'!$X$3,Y83="No"),AC83,IF(AND(P83='G-1 All Habitats'!$X$3,Y83=""),AC83,IF(AND(P83='G-1 All Habitats'!$X$3,AC83="None",AC83),IF(AND(P83='G-1 All Habitats'!$X$3,AC83&gt;0),H83-S83-T83))))))))</f>
        <v/>
      </c>
      <c r="X83" s="515" t="str">
        <f>IFERROR(IF(H83="","",IF(H83-S83-T83=0&lt;0,"Error in Areas ▲",IF(S83+T83&gt;H83,"Error in Areas ▲",IF(AND(P83='G-1 All Habitats'!$X$3,Y83="Yes"),"Alternative Compensation ✓",IF(W83=0,0,IF(P83='G-1 All Habitats'!$X$3,"Unacceptable Loss ▲",Q83-U83-V83)))))),"Check Data ▲")</f>
        <v/>
      </c>
      <c r="Y83" s="72"/>
      <c r="Z83" s="80"/>
      <c r="AA83" s="81"/>
      <c r="AC83" s="75" t="str">
        <f>IF(P83="","",IF(P83='G-1 All Habitats'!$X$3,H83-S83-T83,"None"))</f>
        <v/>
      </c>
      <c r="AD83" s="76" t="str">
        <f>IFERROR(AC83*J83*L83*#REF!*O83,IF(P83="","","None"))</f>
        <v/>
      </c>
      <c r="AF83" s="54" t="str">
        <f t="shared" si="5"/>
        <v/>
      </c>
      <c r="AG83" s="54" t="str">
        <f t="shared" si="6"/>
        <v/>
      </c>
      <c r="AH83" s="54" t="str">
        <f>IF(I83="","",IF(#REF!&gt;0,TRUE,FALSE))</f>
        <v/>
      </c>
      <c r="AI83" s="54">
        <v>73</v>
      </c>
      <c r="AJ83" s="54"/>
      <c r="AK83" s="54" t="str">
        <f t="array" ref="AK83">IFERROR(INDEX($AI$11:$AI$259, MATCH(0, IF(TRUE=$AF$11:$AF$259, COUNTIF($AK$10:$AK82, $AI$11:$AI$259), ""), 0)),"")</f>
        <v/>
      </c>
      <c r="AL83" s="54" t="str">
        <f t="array" ref="AL83">IFERROR(INDEX($AI$11:$AI$259, MATCH(0, IF(TRUE=$AG$11:$AG$259, COUNTIF($AL$10:$AL82, $AI$11:$AI$259), ""), 0)),"")</f>
        <v/>
      </c>
      <c r="AM83" s="54" t="str">
        <f t="array" ref="AM83">IFERROR(INDEX($AI$11:$AI$259, MATCH(0, IF(TRUE=$AH$11:$AH$259, COUNTIF($AM$10:$AM82, $AI$11:$AI$259), ""), 0)),"")</f>
        <v/>
      </c>
      <c r="AN83" s="54"/>
      <c r="AQ83" s="47">
        <f t="shared" si="7"/>
        <v>0</v>
      </c>
    </row>
    <row r="84" spans="1:43" x14ac:dyDescent="0.3">
      <c r="A84" s="47" t="str">
        <f>IFERROR(INDEX('G-1 All Habitats'!$AG$3:$AG$15,MATCH(E84,'G-1 All Habitats'!$AF$3:$AF$15,0)),"")</f>
        <v/>
      </c>
      <c r="B84" s="47" t="str">
        <f>IFERROR(INDEX('G-8 Condition Look up'!$I$4:$I$130,MATCH(G84,'G-8 Condition Look up'!$A$4:$A$130,0)),"")</f>
        <v/>
      </c>
      <c r="D84" s="77">
        <v>74</v>
      </c>
      <c r="E84" s="78"/>
      <c r="F84" s="79"/>
      <c r="G84" s="69" t="str">
        <f>IFERROR(INDEX('G-1 All Habitats'!$B$3:$B$129,MATCH(F84,'G-1 All Habitats'!$A$3:$A$129,0)),"")</f>
        <v/>
      </c>
      <c r="H84" s="70"/>
      <c r="I84" s="498" t="str">
        <f>IF(G84="","",VLOOKUP(G84,'G-1 All Habitats'!$B$2:$M$129,10,FALSE))</f>
        <v/>
      </c>
      <c r="J84" s="499" t="str">
        <f>IFERROR(VLOOKUP(I84,'G-1 All Habitats'!$V$3:$W$7,2,FALSE),"")</f>
        <v/>
      </c>
      <c r="K84" s="71"/>
      <c r="L84" s="499" t="str">
        <f>IFERROR(INDEX('G-8 Condition Look up'!$A$3:$H$130,MATCH(G84,'G-8 Condition Look up'!$A$3:$A$130,0),MATCH(K84,'G-8 Condition Look up'!$A$3:$H$3,0)),"")</f>
        <v/>
      </c>
      <c r="M84" s="71"/>
      <c r="N84" s="520" t="str">
        <f>IF(M84="","",IF(VLOOKUP(M84,'G-3 Multipliers'!$L$3:$N$6,2,FALSE)=0,"Spatial Data Missing",VLOOKUP(M84,'G-3 Multipliers'!$L$3:$N$6,2,FALSE)))</f>
        <v/>
      </c>
      <c r="O84" s="505" t="str">
        <f>IF(M84="","",IF(VLOOKUP(M84,'G-3 Multipliers'!$L$3:$N$6,3,FALSE)=0,"Spatial Data Missing ▲",VLOOKUP(M84,'G-3 Multipliers'!$L$3:$N$6,3,FALSE)))</f>
        <v/>
      </c>
      <c r="P84" s="506" t="str">
        <f>IFERROR(VLOOKUP(G84,'G-1 All Habitats'!$B$2:$M$129,12,FALSE),"")</f>
        <v/>
      </c>
      <c r="Q84" s="513" t="str">
        <f>IFERROR(IF(P84="","",IF(AND(P84='G-1 All Habitats'!$X$3,T84&gt;0),U84+V84,IF(AND(P84='G-1 All Habitats'!$X$3,S84&gt;0),U84+V84,IF(AND(P84='G-1 All Habitats'!$X$3,AC84&gt;0),"Any Loss Unacceptable ▲",IF(AND(P84='G-1 All Habitats'!$X$3,W84&gt;0),"Any Loss Unacceptable ▲",H84*J84*L84*O84))))),"Check Data ▲")</f>
        <v/>
      </c>
      <c r="R84" s="50"/>
      <c r="S84" s="71"/>
      <c r="T84" s="72"/>
      <c r="U84" s="511" t="str">
        <f t="shared" si="8"/>
        <v/>
      </c>
      <c r="V84" s="511" t="str">
        <f t="shared" si="9"/>
        <v/>
      </c>
      <c r="W84" s="511" t="str">
        <f>IF(E84="","",IF(H84&lt;S84+T84,"Error in Areas ▲",IF(P84&lt;&gt;'G-1 All Habitats'!$X$3,H84-S84-T84,IF(AND(P84='G-1 All Habitats'!$X$3,Y84="Yes"),"Unacceptable Loss",IF(AND(P84='G-1 All Habitats'!$X$3,Y84="No"),AC84,IF(AND(P84='G-1 All Habitats'!$X$3,Y84=""),AC84,IF(AND(P84='G-1 All Habitats'!$X$3,AC84="None",AC84),IF(AND(P84='G-1 All Habitats'!$X$3,AC84&gt;0),H84-S84-T84))))))))</f>
        <v/>
      </c>
      <c r="X84" s="515" t="str">
        <f>IFERROR(IF(H84="","",IF(H84-S84-T84=0&lt;0,"Error in Areas ▲",IF(S84+T84&gt;H84,"Error in Areas ▲",IF(AND(P84='G-1 All Habitats'!$X$3,Y84="Yes"),"Alternative Compensation ✓",IF(W84=0,0,IF(P84='G-1 All Habitats'!$X$3,"Unacceptable Loss ▲",Q84-U84-V84)))))),"Check Data ▲")</f>
        <v/>
      </c>
      <c r="Y84" s="72"/>
      <c r="Z84" s="80"/>
      <c r="AA84" s="81"/>
      <c r="AC84" s="75" t="str">
        <f>IF(P84="","",IF(P84='G-1 All Habitats'!$X$3,H84-S84-T84,"None"))</f>
        <v/>
      </c>
      <c r="AD84" s="76" t="str">
        <f>IFERROR(AC84*J84*L84*#REF!*O84,IF(P84="","","None"))</f>
        <v/>
      </c>
      <c r="AF84" s="54" t="str">
        <f t="shared" si="5"/>
        <v/>
      </c>
      <c r="AG84" s="54" t="str">
        <f t="shared" si="6"/>
        <v/>
      </c>
      <c r="AH84" s="54" t="str">
        <f>IF(I84="","",IF(#REF!&gt;0,TRUE,FALSE))</f>
        <v/>
      </c>
      <c r="AI84" s="54">
        <v>74</v>
      </c>
      <c r="AJ84" s="54"/>
      <c r="AK84" s="54" t="str">
        <f t="array" ref="AK84">IFERROR(INDEX($AI$11:$AI$259, MATCH(0, IF(TRUE=$AF$11:$AF$259, COUNTIF($AK$10:$AK83, $AI$11:$AI$259), ""), 0)),"")</f>
        <v/>
      </c>
      <c r="AL84" s="54" t="str">
        <f t="array" ref="AL84">IFERROR(INDEX($AI$11:$AI$259, MATCH(0, IF(TRUE=$AG$11:$AG$259, COUNTIF($AL$10:$AL83, $AI$11:$AI$259), ""), 0)),"")</f>
        <v/>
      </c>
      <c r="AM84" s="54" t="str">
        <f t="array" ref="AM84">IFERROR(INDEX($AI$11:$AI$259, MATCH(0, IF(TRUE=$AH$11:$AH$259, COUNTIF($AM$10:$AM83, $AI$11:$AI$259), ""), 0)),"")</f>
        <v/>
      </c>
      <c r="AN84" s="54"/>
      <c r="AQ84" s="47">
        <f t="shared" si="7"/>
        <v>0</v>
      </c>
    </row>
    <row r="85" spans="1:43" x14ac:dyDescent="0.3">
      <c r="A85" s="47" t="str">
        <f>IFERROR(INDEX('G-1 All Habitats'!$AG$3:$AG$15,MATCH(E85,'G-1 All Habitats'!$AF$3:$AF$15,0)),"")</f>
        <v/>
      </c>
      <c r="B85" s="47" t="str">
        <f>IFERROR(INDEX('G-8 Condition Look up'!$I$4:$I$130,MATCH(G85,'G-8 Condition Look up'!$A$4:$A$130,0)),"")</f>
        <v/>
      </c>
      <c r="D85" s="77">
        <v>75</v>
      </c>
      <c r="E85" s="78"/>
      <c r="F85" s="79"/>
      <c r="G85" s="69" t="str">
        <f>IFERROR(INDEX('G-1 All Habitats'!$B$3:$B$129,MATCH(F85,'G-1 All Habitats'!$A$3:$A$129,0)),"")</f>
        <v/>
      </c>
      <c r="H85" s="70"/>
      <c r="I85" s="498" t="str">
        <f>IF(G85="","",VLOOKUP(G85,'G-1 All Habitats'!$B$2:$M$129,10,FALSE))</f>
        <v/>
      </c>
      <c r="J85" s="499" t="str">
        <f>IFERROR(VLOOKUP(I85,'G-1 All Habitats'!$V$3:$W$7,2,FALSE),"")</f>
        <v/>
      </c>
      <c r="K85" s="71"/>
      <c r="L85" s="499" t="str">
        <f>IFERROR(INDEX('G-8 Condition Look up'!$A$3:$H$130,MATCH(G85,'G-8 Condition Look up'!$A$3:$A$130,0),MATCH(K85,'G-8 Condition Look up'!$A$3:$H$3,0)),"")</f>
        <v/>
      </c>
      <c r="M85" s="71"/>
      <c r="N85" s="520" t="str">
        <f>IF(M85="","",IF(VLOOKUP(M85,'G-3 Multipliers'!$L$3:$N$6,2,FALSE)=0,"Spatial Data Missing",VLOOKUP(M85,'G-3 Multipliers'!$L$3:$N$6,2,FALSE)))</f>
        <v/>
      </c>
      <c r="O85" s="505" t="str">
        <f>IF(M85="","",IF(VLOOKUP(M85,'G-3 Multipliers'!$L$3:$N$6,3,FALSE)=0,"Spatial Data Missing ▲",VLOOKUP(M85,'G-3 Multipliers'!$L$3:$N$6,3,FALSE)))</f>
        <v/>
      </c>
      <c r="P85" s="506" t="str">
        <f>IFERROR(VLOOKUP(G85,'G-1 All Habitats'!$B$2:$M$129,12,FALSE),"")</f>
        <v/>
      </c>
      <c r="Q85" s="513" t="str">
        <f>IFERROR(IF(P85="","",IF(AND(P85='G-1 All Habitats'!$X$3,T85&gt;0),U85+V85,IF(AND(P85='G-1 All Habitats'!$X$3,S85&gt;0),U85+V85,IF(AND(P85='G-1 All Habitats'!$X$3,AC85&gt;0),"Any Loss Unacceptable ▲",IF(AND(P85='G-1 All Habitats'!$X$3,W85&gt;0),"Any Loss Unacceptable ▲",H85*J85*L85*O85))))),"Check Data ▲")</f>
        <v/>
      </c>
      <c r="R85" s="50"/>
      <c r="S85" s="71"/>
      <c r="T85" s="72"/>
      <c r="U85" s="511" t="str">
        <f t="shared" si="8"/>
        <v/>
      </c>
      <c r="V85" s="511" t="str">
        <f t="shared" si="9"/>
        <v/>
      </c>
      <c r="W85" s="511" t="str">
        <f>IF(E85="","",IF(H85&lt;S85+T85,"Error in Areas ▲",IF(P85&lt;&gt;'G-1 All Habitats'!$X$3,H85-S85-T85,IF(AND(P85='G-1 All Habitats'!$X$3,Y85="Yes"),"Unacceptable Loss",IF(AND(P85='G-1 All Habitats'!$X$3,Y85="No"),AC85,IF(AND(P85='G-1 All Habitats'!$X$3,Y85=""),AC85,IF(AND(P85='G-1 All Habitats'!$X$3,AC85="None",AC85),IF(AND(P85='G-1 All Habitats'!$X$3,AC85&gt;0),H85-S85-T85))))))))</f>
        <v/>
      </c>
      <c r="X85" s="515" t="str">
        <f>IFERROR(IF(H85="","",IF(H85-S85-T85=0&lt;0,"Error in Areas ▲",IF(S85+T85&gt;H85,"Error in Areas ▲",IF(AND(P85='G-1 All Habitats'!$X$3,Y85="Yes"),"Alternative Compensation ✓",IF(W85=0,0,IF(P85='G-1 All Habitats'!$X$3,"Unacceptable Loss ▲",Q85-U85-V85)))))),"Check Data ▲")</f>
        <v/>
      </c>
      <c r="Y85" s="72"/>
      <c r="Z85" s="80"/>
      <c r="AA85" s="81"/>
      <c r="AC85" s="75" t="str">
        <f>IF(P85="","",IF(P85='G-1 All Habitats'!$X$3,H85-S85-T85,"None"))</f>
        <v/>
      </c>
      <c r="AD85" s="76" t="str">
        <f>IFERROR(AC85*J85*L85*#REF!*O85,IF(P85="","","None"))</f>
        <v/>
      </c>
      <c r="AF85" s="54" t="str">
        <f t="shared" si="5"/>
        <v/>
      </c>
      <c r="AG85" s="54" t="str">
        <f t="shared" si="6"/>
        <v/>
      </c>
      <c r="AH85" s="54" t="str">
        <f>IF(I85="","",IF(#REF!&gt;0,TRUE,FALSE))</f>
        <v/>
      </c>
      <c r="AI85" s="54">
        <v>75</v>
      </c>
      <c r="AJ85" s="54"/>
      <c r="AK85" s="54" t="str">
        <f t="array" ref="AK85">IFERROR(INDEX($AI$11:$AI$259, MATCH(0, IF(TRUE=$AF$11:$AF$259, COUNTIF($AK$10:$AK84, $AI$11:$AI$259), ""), 0)),"")</f>
        <v/>
      </c>
      <c r="AL85" s="54" t="str">
        <f t="array" ref="AL85">IFERROR(INDEX($AI$11:$AI$259, MATCH(0, IF(TRUE=$AG$11:$AG$259, COUNTIF($AL$10:$AL84, $AI$11:$AI$259), ""), 0)),"")</f>
        <v/>
      </c>
      <c r="AM85" s="54" t="str">
        <f t="array" ref="AM85">IFERROR(INDEX($AI$11:$AI$259, MATCH(0, IF(TRUE=$AH$11:$AH$259, COUNTIF($AM$10:$AM84, $AI$11:$AI$259), ""), 0)),"")</f>
        <v/>
      </c>
      <c r="AN85" s="54"/>
      <c r="AQ85" s="47">
        <f t="shared" si="7"/>
        <v>0</v>
      </c>
    </row>
    <row r="86" spans="1:43" x14ac:dyDescent="0.3">
      <c r="A86" s="47" t="str">
        <f>IFERROR(INDEX('G-1 All Habitats'!$AG$3:$AG$15,MATCH(E86,'G-1 All Habitats'!$AF$3:$AF$15,0)),"")</f>
        <v/>
      </c>
      <c r="B86" s="47" t="str">
        <f>IFERROR(INDEX('G-8 Condition Look up'!$I$4:$I$130,MATCH(G86,'G-8 Condition Look up'!$A$4:$A$130,0)),"")</f>
        <v/>
      </c>
      <c r="D86" s="77">
        <v>76</v>
      </c>
      <c r="E86" s="78"/>
      <c r="F86" s="79"/>
      <c r="G86" s="69" t="str">
        <f>IFERROR(INDEX('G-1 All Habitats'!$B$3:$B$129,MATCH(F86,'G-1 All Habitats'!$A$3:$A$129,0)),"")</f>
        <v/>
      </c>
      <c r="H86" s="70"/>
      <c r="I86" s="498" t="str">
        <f>IF(G86="","",VLOOKUP(G86,'G-1 All Habitats'!$B$2:$M$129,10,FALSE))</f>
        <v/>
      </c>
      <c r="J86" s="499" t="str">
        <f>IFERROR(VLOOKUP(I86,'G-1 All Habitats'!$V$3:$W$7,2,FALSE),"")</f>
        <v/>
      </c>
      <c r="K86" s="71"/>
      <c r="L86" s="499" t="str">
        <f>IFERROR(INDEX('G-8 Condition Look up'!$A$3:$H$130,MATCH(G86,'G-8 Condition Look up'!$A$3:$A$130,0),MATCH(K86,'G-8 Condition Look up'!$A$3:$H$3,0)),"")</f>
        <v/>
      </c>
      <c r="M86" s="71"/>
      <c r="N86" s="520" t="str">
        <f>IF(M86="","",IF(VLOOKUP(M86,'G-3 Multipliers'!$L$3:$N$6,2,FALSE)=0,"Spatial Data Missing",VLOOKUP(M86,'G-3 Multipliers'!$L$3:$N$6,2,FALSE)))</f>
        <v/>
      </c>
      <c r="O86" s="505" t="str">
        <f>IF(M86="","",IF(VLOOKUP(M86,'G-3 Multipliers'!$L$3:$N$6,3,FALSE)=0,"Spatial Data Missing ▲",VLOOKUP(M86,'G-3 Multipliers'!$L$3:$N$6,3,FALSE)))</f>
        <v/>
      </c>
      <c r="P86" s="506" t="str">
        <f>IFERROR(VLOOKUP(G86,'G-1 All Habitats'!$B$2:$M$129,12,FALSE),"")</f>
        <v/>
      </c>
      <c r="Q86" s="513" t="str">
        <f>IFERROR(IF(P86="","",IF(AND(P86='G-1 All Habitats'!$X$3,T86&gt;0),U86+V86,IF(AND(P86='G-1 All Habitats'!$X$3,S86&gt;0),U86+V86,IF(AND(P86='G-1 All Habitats'!$X$3,AC86&gt;0),"Any Loss Unacceptable ▲",IF(AND(P86='G-1 All Habitats'!$X$3,W86&gt;0),"Any Loss Unacceptable ▲",H86*J86*L86*O86))))),"Check Data ▲")</f>
        <v/>
      </c>
      <c r="R86" s="50"/>
      <c r="S86" s="71"/>
      <c r="T86" s="72"/>
      <c r="U86" s="511" t="str">
        <f t="shared" si="8"/>
        <v/>
      </c>
      <c r="V86" s="511" t="str">
        <f t="shared" si="9"/>
        <v/>
      </c>
      <c r="W86" s="511" t="str">
        <f>IF(E86="","",IF(H86&lt;S86+T86,"Error in Areas ▲",IF(P86&lt;&gt;'G-1 All Habitats'!$X$3,H86-S86-T86,IF(AND(P86='G-1 All Habitats'!$X$3,Y86="Yes"),"Unacceptable Loss",IF(AND(P86='G-1 All Habitats'!$X$3,Y86="No"),AC86,IF(AND(P86='G-1 All Habitats'!$X$3,Y86=""),AC86,IF(AND(P86='G-1 All Habitats'!$X$3,AC86="None",AC86),IF(AND(P86='G-1 All Habitats'!$X$3,AC86&gt;0),H86-S86-T86))))))))</f>
        <v/>
      </c>
      <c r="X86" s="515" t="str">
        <f>IFERROR(IF(H86="","",IF(H86-S86-T86=0&lt;0,"Error in Areas ▲",IF(S86+T86&gt;H86,"Error in Areas ▲",IF(AND(P86='G-1 All Habitats'!$X$3,Y86="Yes"),"Alternative Compensation ✓",IF(W86=0,0,IF(P86='G-1 All Habitats'!$X$3,"Unacceptable Loss ▲",Q86-U86-V86)))))),"Check Data ▲")</f>
        <v/>
      </c>
      <c r="Y86" s="72"/>
      <c r="Z86" s="80"/>
      <c r="AA86" s="81"/>
      <c r="AC86" s="75" t="str">
        <f>IF(P86="","",IF(P86='G-1 All Habitats'!$X$3,H86-S86-T86,"None"))</f>
        <v/>
      </c>
      <c r="AD86" s="76" t="str">
        <f>IFERROR(AC86*J86*L86*#REF!*O86,IF(P86="","","None"))</f>
        <v/>
      </c>
      <c r="AF86" s="54" t="str">
        <f t="shared" si="5"/>
        <v/>
      </c>
      <c r="AG86" s="54" t="str">
        <f t="shared" si="6"/>
        <v/>
      </c>
      <c r="AH86" s="54" t="str">
        <f>IF(I86="","",IF(#REF!&gt;0,TRUE,FALSE))</f>
        <v/>
      </c>
      <c r="AI86" s="54">
        <v>76</v>
      </c>
      <c r="AJ86" s="54"/>
      <c r="AK86" s="54" t="str">
        <f t="array" ref="AK86">IFERROR(INDEX($AI$11:$AI$259, MATCH(0, IF(TRUE=$AF$11:$AF$259, COUNTIF($AK$10:$AK85, $AI$11:$AI$259), ""), 0)),"")</f>
        <v/>
      </c>
      <c r="AL86" s="54" t="str">
        <f t="array" ref="AL86">IFERROR(INDEX($AI$11:$AI$259, MATCH(0, IF(TRUE=$AG$11:$AG$259, COUNTIF($AL$10:$AL85, $AI$11:$AI$259), ""), 0)),"")</f>
        <v/>
      </c>
      <c r="AM86" s="54" t="str">
        <f t="array" ref="AM86">IFERROR(INDEX($AI$11:$AI$259, MATCH(0, IF(TRUE=$AH$11:$AH$259, COUNTIF($AM$10:$AM85, $AI$11:$AI$259), ""), 0)),"")</f>
        <v/>
      </c>
      <c r="AN86" s="54"/>
      <c r="AQ86" s="47">
        <f t="shared" si="7"/>
        <v>0</v>
      </c>
    </row>
    <row r="87" spans="1:43" x14ac:dyDescent="0.3">
      <c r="A87" s="47" t="str">
        <f>IFERROR(INDEX('G-1 All Habitats'!$AG$3:$AG$15,MATCH(E87,'G-1 All Habitats'!$AF$3:$AF$15,0)),"")</f>
        <v/>
      </c>
      <c r="B87" s="47" t="str">
        <f>IFERROR(INDEX('G-8 Condition Look up'!$I$4:$I$130,MATCH(G87,'G-8 Condition Look up'!$A$4:$A$130,0)),"")</f>
        <v/>
      </c>
      <c r="D87" s="77">
        <v>77</v>
      </c>
      <c r="E87" s="78"/>
      <c r="F87" s="79"/>
      <c r="G87" s="69" t="str">
        <f>IFERROR(INDEX('G-1 All Habitats'!$B$3:$B$129,MATCH(F87,'G-1 All Habitats'!$A$3:$A$129,0)),"")</f>
        <v/>
      </c>
      <c r="H87" s="70"/>
      <c r="I87" s="498" t="str">
        <f>IF(G87="","",VLOOKUP(G87,'G-1 All Habitats'!$B$2:$M$129,10,FALSE))</f>
        <v/>
      </c>
      <c r="J87" s="499" t="str">
        <f>IFERROR(VLOOKUP(I87,'G-1 All Habitats'!$V$3:$W$7,2,FALSE),"")</f>
        <v/>
      </c>
      <c r="K87" s="71"/>
      <c r="L87" s="499" t="str">
        <f>IFERROR(INDEX('G-8 Condition Look up'!$A$3:$H$130,MATCH(G87,'G-8 Condition Look up'!$A$3:$A$130,0),MATCH(K87,'G-8 Condition Look up'!$A$3:$H$3,0)),"")</f>
        <v/>
      </c>
      <c r="M87" s="71"/>
      <c r="N87" s="520" t="str">
        <f>IF(M87="","",IF(VLOOKUP(M87,'G-3 Multipliers'!$L$3:$N$6,2,FALSE)=0,"Spatial Data Missing",VLOOKUP(M87,'G-3 Multipliers'!$L$3:$N$6,2,FALSE)))</f>
        <v/>
      </c>
      <c r="O87" s="505" t="str">
        <f>IF(M87="","",IF(VLOOKUP(M87,'G-3 Multipliers'!$L$3:$N$6,3,FALSE)=0,"Spatial Data Missing ▲",VLOOKUP(M87,'G-3 Multipliers'!$L$3:$N$6,3,FALSE)))</f>
        <v/>
      </c>
      <c r="P87" s="506" t="str">
        <f>IFERROR(VLOOKUP(G87,'G-1 All Habitats'!$B$2:$M$129,12,FALSE),"")</f>
        <v/>
      </c>
      <c r="Q87" s="513" t="str">
        <f>IFERROR(IF(P87="","",IF(AND(P87='G-1 All Habitats'!$X$3,T87&gt;0),U87+V87,IF(AND(P87='G-1 All Habitats'!$X$3,S87&gt;0),U87+V87,IF(AND(P87='G-1 All Habitats'!$X$3,AC87&gt;0),"Any Loss Unacceptable ▲",IF(AND(P87='G-1 All Habitats'!$X$3,W87&gt;0),"Any Loss Unacceptable ▲",H87*J87*L87*O87))))),"Check Data ▲")</f>
        <v/>
      </c>
      <c r="R87" s="50"/>
      <c r="S87" s="71"/>
      <c r="T87" s="72"/>
      <c r="U87" s="511" t="str">
        <f t="shared" si="8"/>
        <v/>
      </c>
      <c r="V87" s="511" t="str">
        <f t="shared" si="9"/>
        <v/>
      </c>
      <c r="W87" s="511" t="str">
        <f>IF(E87="","",IF(H87&lt;S87+T87,"Error in Areas ▲",IF(P87&lt;&gt;'G-1 All Habitats'!$X$3,H87-S87-T87,IF(AND(P87='G-1 All Habitats'!$X$3,Y87="Yes"),"Unacceptable Loss",IF(AND(P87='G-1 All Habitats'!$X$3,Y87="No"),AC87,IF(AND(P87='G-1 All Habitats'!$X$3,Y87=""),AC87,IF(AND(P87='G-1 All Habitats'!$X$3,AC87="None",AC87),IF(AND(P87='G-1 All Habitats'!$X$3,AC87&gt;0),H87-S87-T87))))))))</f>
        <v/>
      </c>
      <c r="X87" s="515" t="str">
        <f>IFERROR(IF(H87="","",IF(H87-S87-T87=0&lt;0,"Error in Areas ▲",IF(S87+T87&gt;H87,"Error in Areas ▲",IF(AND(P87='G-1 All Habitats'!$X$3,Y87="Yes"),"Alternative Compensation ✓",IF(W87=0,0,IF(P87='G-1 All Habitats'!$X$3,"Unacceptable Loss ▲",Q87-U87-V87)))))),"Check Data ▲")</f>
        <v/>
      </c>
      <c r="Y87" s="72"/>
      <c r="Z87" s="80"/>
      <c r="AA87" s="81"/>
      <c r="AC87" s="75" t="str">
        <f>IF(P87="","",IF(P87='G-1 All Habitats'!$X$3,H87-S87-T87,"None"))</f>
        <v/>
      </c>
      <c r="AD87" s="76" t="str">
        <f>IFERROR(AC87*J87*L87*#REF!*O87,IF(P87="","","None"))</f>
        <v/>
      </c>
      <c r="AF87" s="54" t="str">
        <f t="shared" si="5"/>
        <v/>
      </c>
      <c r="AG87" s="54" t="str">
        <f t="shared" si="6"/>
        <v/>
      </c>
      <c r="AH87" s="54" t="str">
        <f>IF(I87="","",IF(#REF!&gt;0,TRUE,FALSE))</f>
        <v/>
      </c>
      <c r="AI87" s="54">
        <v>77</v>
      </c>
      <c r="AJ87" s="54"/>
      <c r="AK87" s="54" t="str">
        <f t="array" ref="AK87">IFERROR(INDEX($AI$11:$AI$259, MATCH(0, IF(TRUE=$AF$11:$AF$259, COUNTIF($AK$10:$AK86, $AI$11:$AI$259), ""), 0)),"")</f>
        <v/>
      </c>
      <c r="AL87" s="54" t="str">
        <f t="array" ref="AL87">IFERROR(INDEX($AI$11:$AI$259, MATCH(0, IF(TRUE=$AG$11:$AG$259, COUNTIF($AL$10:$AL86, $AI$11:$AI$259), ""), 0)),"")</f>
        <v/>
      </c>
      <c r="AM87" s="54" t="str">
        <f t="array" ref="AM87">IFERROR(INDEX($AI$11:$AI$259, MATCH(0, IF(TRUE=$AH$11:$AH$259, COUNTIF($AM$10:$AM86, $AI$11:$AI$259), ""), 0)),"")</f>
        <v/>
      </c>
      <c r="AN87" s="54"/>
      <c r="AQ87" s="47">
        <f t="shared" si="7"/>
        <v>0</v>
      </c>
    </row>
    <row r="88" spans="1:43" x14ac:dyDescent="0.3">
      <c r="A88" s="47" t="str">
        <f>IFERROR(INDEX('G-1 All Habitats'!$AG$3:$AG$15,MATCH(E88,'G-1 All Habitats'!$AF$3:$AF$15,0)),"")</f>
        <v/>
      </c>
      <c r="B88" s="47" t="str">
        <f>IFERROR(INDEX('G-8 Condition Look up'!$I$4:$I$130,MATCH(G88,'G-8 Condition Look up'!$A$4:$A$130,0)),"")</f>
        <v/>
      </c>
      <c r="D88" s="77">
        <v>78</v>
      </c>
      <c r="E88" s="78"/>
      <c r="F88" s="79"/>
      <c r="G88" s="69" t="str">
        <f>IFERROR(INDEX('G-1 All Habitats'!$B$3:$B$129,MATCH(F88,'G-1 All Habitats'!$A$3:$A$129,0)),"")</f>
        <v/>
      </c>
      <c r="H88" s="70"/>
      <c r="I88" s="498" t="str">
        <f>IF(G88="","",VLOOKUP(G88,'G-1 All Habitats'!$B$2:$M$129,10,FALSE))</f>
        <v/>
      </c>
      <c r="J88" s="499" t="str">
        <f>IFERROR(VLOOKUP(I88,'G-1 All Habitats'!$V$3:$W$7,2,FALSE),"")</f>
        <v/>
      </c>
      <c r="K88" s="71"/>
      <c r="L88" s="499" t="str">
        <f>IFERROR(INDEX('G-8 Condition Look up'!$A$3:$H$130,MATCH(G88,'G-8 Condition Look up'!$A$3:$A$130,0),MATCH(K88,'G-8 Condition Look up'!$A$3:$H$3,0)),"")</f>
        <v/>
      </c>
      <c r="M88" s="71"/>
      <c r="N88" s="520" t="str">
        <f>IF(M88="","",IF(VLOOKUP(M88,'G-3 Multipliers'!$L$3:$N$6,2,FALSE)=0,"Spatial Data Missing",VLOOKUP(M88,'G-3 Multipliers'!$L$3:$N$6,2,FALSE)))</f>
        <v/>
      </c>
      <c r="O88" s="505" t="str">
        <f>IF(M88="","",IF(VLOOKUP(M88,'G-3 Multipliers'!$L$3:$N$6,3,FALSE)=0,"Spatial Data Missing ▲",VLOOKUP(M88,'G-3 Multipliers'!$L$3:$N$6,3,FALSE)))</f>
        <v/>
      </c>
      <c r="P88" s="506" t="str">
        <f>IFERROR(VLOOKUP(G88,'G-1 All Habitats'!$B$2:$M$129,12,FALSE),"")</f>
        <v/>
      </c>
      <c r="Q88" s="513" t="str">
        <f>IFERROR(IF(P88="","",IF(AND(P88='G-1 All Habitats'!$X$3,T88&gt;0),U88+V88,IF(AND(P88='G-1 All Habitats'!$X$3,S88&gt;0),U88+V88,IF(AND(P88='G-1 All Habitats'!$X$3,AC88&gt;0),"Any Loss Unacceptable ▲",IF(AND(P88='G-1 All Habitats'!$X$3,W88&gt;0),"Any Loss Unacceptable ▲",H88*J88*L88*O88))))),"Check Data ▲")</f>
        <v/>
      </c>
      <c r="R88" s="50"/>
      <c r="S88" s="71"/>
      <c r="T88" s="72"/>
      <c r="U88" s="511" t="str">
        <f t="shared" si="8"/>
        <v/>
      </c>
      <c r="V88" s="511" t="str">
        <f t="shared" si="9"/>
        <v/>
      </c>
      <c r="W88" s="511" t="str">
        <f>IF(E88="","",IF(H88&lt;S88+T88,"Error in Areas ▲",IF(P88&lt;&gt;'G-1 All Habitats'!$X$3,H88-S88-T88,IF(AND(P88='G-1 All Habitats'!$X$3,Y88="Yes"),"Unacceptable Loss",IF(AND(P88='G-1 All Habitats'!$X$3,Y88="No"),AC88,IF(AND(P88='G-1 All Habitats'!$X$3,Y88=""),AC88,IF(AND(P88='G-1 All Habitats'!$X$3,AC88="None",AC88),IF(AND(P88='G-1 All Habitats'!$X$3,AC88&gt;0),H88-S88-T88))))))))</f>
        <v/>
      </c>
      <c r="X88" s="515" t="str">
        <f>IFERROR(IF(H88="","",IF(H88-S88-T88=0&lt;0,"Error in Areas ▲",IF(S88+T88&gt;H88,"Error in Areas ▲",IF(AND(P88='G-1 All Habitats'!$X$3,Y88="Yes"),"Alternative Compensation ✓",IF(W88=0,0,IF(P88='G-1 All Habitats'!$X$3,"Unacceptable Loss ▲",Q88-U88-V88)))))),"Check Data ▲")</f>
        <v/>
      </c>
      <c r="Y88" s="72"/>
      <c r="Z88" s="80"/>
      <c r="AA88" s="81"/>
      <c r="AC88" s="75" t="str">
        <f>IF(P88="","",IF(P88='G-1 All Habitats'!$X$3,H88-S88-T88,"None"))</f>
        <v/>
      </c>
      <c r="AD88" s="76" t="str">
        <f>IFERROR(AC88*J88*L88*#REF!*O88,IF(P88="","","None"))</f>
        <v/>
      </c>
      <c r="AF88" s="54" t="str">
        <f t="shared" si="5"/>
        <v/>
      </c>
      <c r="AG88" s="54" t="str">
        <f t="shared" si="6"/>
        <v/>
      </c>
      <c r="AH88" s="54" t="str">
        <f>IF(I88="","",IF(#REF!&gt;0,TRUE,FALSE))</f>
        <v/>
      </c>
      <c r="AI88" s="54">
        <v>78</v>
      </c>
      <c r="AJ88" s="54"/>
      <c r="AK88" s="54" t="str">
        <f t="array" ref="AK88">IFERROR(INDEX($AI$11:$AI$259, MATCH(0, IF(TRUE=$AF$11:$AF$259, COUNTIF($AK$10:$AK87, $AI$11:$AI$259), ""), 0)),"")</f>
        <v/>
      </c>
      <c r="AL88" s="54" t="str">
        <f t="array" ref="AL88">IFERROR(INDEX($AI$11:$AI$259, MATCH(0, IF(TRUE=$AG$11:$AG$259, COUNTIF($AL$10:$AL87, $AI$11:$AI$259), ""), 0)),"")</f>
        <v/>
      </c>
      <c r="AM88" s="54" t="str">
        <f t="array" ref="AM88">IFERROR(INDEX($AI$11:$AI$259, MATCH(0, IF(TRUE=$AH$11:$AH$259, COUNTIF($AM$10:$AM87, $AI$11:$AI$259), ""), 0)),"")</f>
        <v/>
      </c>
      <c r="AN88" s="54"/>
      <c r="AQ88" s="47">
        <f t="shared" si="7"/>
        <v>0</v>
      </c>
    </row>
    <row r="89" spans="1:43" x14ac:dyDescent="0.3">
      <c r="A89" s="47" t="str">
        <f>IFERROR(INDEX('G-1 All Habitats'!$AG$3:$AG$15,MATCH(E89,'G-1 All Habitats'!$AF$3:$AF$15,0)),"")</f>
        <v/>
      </c>
      <c r="B89" s="47" t="str">
        <f>IFERROR(INDEX('G-8 Condition Look up'!$I$4:$I$130,MATCH(G89,'G-8 Condition Look up'!$A$4:$A$130,0)),"")</f>
        <v/>
      </c>
      <c r="D89" s="77">
        <v>79</v>
      </c>
      <c r="E89" s="78"/>
      <c r="F89" s="79"/>
      <c r="G89" s="69" t="str">
        <f>IFERROR(INDEX('G-1 All Habitats'!$B$3:$B$129,MATCH(F89,'G-1 All Habitats'!$A$3:$A$129,0)),"")</f>
        <v/>
      </c>
      <c r="H89" s="70"/>
      <c r="I89" s="498" t="str">
        <f>IF(G89="","",VLOOKUP(G89,'G-1 All Habitats'!$B$2:$M$129,10,FALSE))</f>
        <v/>
      </c>
      <c r="J89" s="499" t="str">
        <f>IFERROR(VLOOKUP(I89,'G-1 All Habitats'!$V$3:$W$7,2,FALSE),"")</f>
        <v/>
      </c>
      <c r="K89" s="71"/>
      <c r="L89" s="499" t="str">
        <f>IFERROR(INDEX('G-8 Condition Look up'!$A$3:$H$130,MATCH(G89,'G-8 Condition Look up'!$A$3:$A$130,0),MATCH(K89,'G-8 Condition Look up'!$A$3:$H$3,0)),"")</f>
        <v/>
      </c>
      <c r="M89" s="71"/>
      <c r="N89" s="520" t="str">
        <f>IF(M89="","",IF(VLOOKUP(M89,'G-3 Multipliers'!$L$3:$N$6,2,FALSE)=0,"Spatial Data Missing",VLOOKUP(M89,'G-3 Multipliers'!$L$3:$N$6,2,FALSE)))</f>
        <v/>
      </c>
      <c r="O89" s="505" t="str">
        <f>IF(M89="","",IF(VLOOKUP(M89,'G-3 Multipliers'!$L$3:$N$6,3,FALSE)=0,"Spatial Data Missing ▲",VLOOKUP(M89,'G-3 Multipliers'!$L$3:$N$6,3,FALSE)))</f>
        <v/>
      </c>
      <c r="P89" s="506" t="str">
        <f>IFERROR(VLOOKUP(G89,'G-1 All Habitats'!$B$2:$M$129,12,FALSE),"")</f>
        <v/>
      </c>
      <c r="Q89" s="513" t="str">
        <f>IFERROR(IF(P89="","",IF(AND(P89='G-1 All Habitats'!$X$3,T89&gt;0),U89+V89,IF(AND(P89='G-1 All Habitats'!$X$3,S89&gt;0),U89+V89,IF(AND(P89='G-1 All Habitats'!$X$3,AC89&gt;0),"Any Loss Unacceptable ▲",IF(AND(P89='G-1 All Habitats'!$X$3,W89&gt;0),"Any Loss Unacceptable ▲",H89*J89*L89*O89))))),"Check Data ▲")</f>
        <v/>
      </c>
      <c r="R89" s="50"/>
      <c r="S89" s="71"/>
      <c r="T89" s="72"/>
      <c r="U89" s="511" t="str">
        <f t="shared" si="8"/>
        <v/>
      </c>
      <c r="V89" s="511" t="str">
        <f t="shared" si="9"/>
        <v/>
      </c>
      <c r="W89" s="511" t="str">
        <f>IF(E89="","",IF(H89&lt;S89+T89,"Error in Areas ▲",IF(P89&lt;&gt;'G-1 All Habitats'!$X$3,H89-S89-T89,IF(AND(P89='G-1 All Habitats'!$X$3,Y89="Yes"),"Unacceptable Loss",IF(AND(P89='G-1 All Habitats'!$X$3,Y89="No"),AC89,IF(AND(P89='G-1 All Habitats'!$X$3,Y89=""),AC89,IF(AND(P89='G-1 All Habitats'!$X$3,AC89="None",AC89),IF(AND(P89='G-1 All Habitats'!$X$3,AC89&gt;0),H89-S89-T89))))))))</f>
        <v/>
      </c>
      <c r="X89" s="515" t="str">
        <f>IFERROR(IF(H89="","",IF(H89-S89-T89=0&lt;0,"Error in Areas ▲",IF(S89+T89&gt;H89,"Error in Areas ▲",IF(AND(P89='G-1 All Habitats'!$X$3,Y89="Yes"),"Alternative Compensation ✓",IF(W89=0,0,IF(P89='G-1 All Habitats'!$X$3,"Unacceptable Loss ▲",Q89-U89-V89)))))),"Check Data ▲")</f>
        <v/>
      </c>
      <c r="Y89" s="72"/>
      <c r="Z89" s="80"/>
      <c r="AA89" s="81"/>
      <c r="AC89" s="75" t="str">
        <f>IF(P89="","",IF(P89='G-1 All Habitats'!$X$3,H89-S89-T89,"None"))</f>
        <v/>
      </c>
      <c r="AD89" s="76" t="str">
        <f>IFERROR(AC89*J89*L89*#REF!*O89,IF(P89="","","None"))</f>
        <v/>
      </c>
      <c r="AF89" s="54" t="str">
        <f t="shared" si="5"/>
        <v/>
      </c>
      <c r="AG89" s="54" t="str">
        <f t="shared" si="6"/>
        <v/>
      </c>
      <c r="AH89" s="54" t="str">
        <f>IF(I89="","",IF(#REF!&gt;0,TRUE,FALSE))</f>
        <v/>
      </c>
      <c r="AI89" s="54">
        <v>79</v>
      </c>
      <c r="AJ89" s="54"/>
      <c r="AK89" s="54" t="str">
        <f t="array" ref="AK89">IFERROR(INDEX($AI$11:$AI$259, MATCH(0, IF(TRUE=$AF$11:$AF$259, COUNTIF($AK$10:$AK88, $AI$11:$AI$259), ""), 0)),"")</f>
        <v/>
      </c>
      <c r="AL89" s="54" t="str">
        <f t="array" ref="AL89">IFERROR(INDEX($AI$11:$AI$259, MATCH(0, IF(TRUE=$AG$11:$AG$259, COUNTIF($AL$10:$AL88, $AI$11:$AI$259), ""), 0)),"")</f>
        <v/>
      </c>
      <c r="AM89" s="54" t="str">
        <f t="array" ref="AM89">IFERROR(INDEX($AI$11:$AI$259, MATCH(0, IF(TRUE=$AH$11:$AH$259, COUNTIF($AM$10:$AM88, $AI$11:$AI$259), ""), 0)),"")</f>
        <v/>
      </c>
      <c r="AN89" s="54"/>
      <c r="AQ89" s="47">
        <f t="shared" si="7"/>
        <v>0</v>
      </c>
    </row>
    <row r="90" spans="1:43" x14ac:dyDescent="0.3">
      <c r="A90" s="47" t="str">
        <f>IFERROR(INDEX('G-1 All Habitats'!$AG$3:$AG$15,MATCH(E90,'G-1 All Habitats'!$AF$3:$AF$15,0)),"")</f>
        <v/>
      </c>
      <c r="B90" s="47" t="str">
        <f>IFERROR(INDEX('G-8 Condition Look up'!$I$4:$I$130,MATCH(G90,'G-8 Condition Look up'!$A$4:$A$130,0)),"")</f>
        <v/>
      </c>
      <c r="D90" s="77">
        <v>80</v>
      </c>
      <c r="E90" s="78"/>
      <c r="F90" s="79"/>
      <c r="G90" s="69" t="str">
        <f>IFERROR(INDEX('G-1 All Habitats'!$B$3:$B$129,MATCH(F90,'G-1 All Habitats'!$A$3:$A$129,0)),"")</f>
        <v/>
      </c>
      <c r="H90" s="70"/>
      <c r="I90" s="498" t="str">
        <f>IF(G90="","",VLOOKUP(G90,'G-1 All Habitats'!$B$2:$M$129,10,FALSE))</f>
        <v/>
      </c>
      <c r="J90" s="499" t="str">
        <f>IFERROR(VLOOKUP(I90,'G-1 All Habitats'!$V$3:$W$7,2,FALSE),"")</f>
        <v/>
      </c>
      <c r="K90" s="71"/>
      <c r="L90" s="499" t="str">
        <f>IFERROR(INDEX('G-8 Condition Look up'!$A$3:$H$130,MATCH(G90,'G-8 Condition Look up'!$A$3:$A$130,0),MATCH(K90,'G-8 Condition Look up'!$A$3:$H$3,0)),"")</f>
        <v/>
      </c>
      <c r="M90" s="71"/>
      <c r="N90" s="520" t="str">
        <f>IF(M90="","",IF(VLOOKUP(M90,'G-3 Multipliers'!$L$3:$N$6,2,FALSE)=0,"Spatial Data Missing",VLOOKUP(M90,'G-3 Multipliers'!$L$3:$N$6,2,FALSE)))</f>
        <v/>
      </c>
      <c r="O90" s="505" t="str">
        <f>IF(M90="","",IF(VLOOKUP(M90,'G-3 Multipliers'!$L$3:$N$6,3,FALSE)=0,"Spatial Data Missing ▲",VLOOKUP(M90,'G-3 Multipliers'!$L$3:$N$6,3,FALSE)))</f>
        <v/>
      </c>
      <c r="P90" s="506" t="str">
        <f>IFERROR(VLOOKUP(G90,'G-1 All Habitats'!$B$2:$M$129,12,FALSE),"")</f>
        <v/>
      </c>
      <c r="Q90" s="513" t="str">
        <f>IFERROR(IF(P90="","",IF(AND(P90='G-1 All Habitats'!$X$3,T90&gt;0),U90+V90,IF(AND(P90='G-1 All Habitats'!$X$3,S90&gt;0),U90+V90,IF(AND(P90='G-1 All Habitats'!$X$3,AC90&gt;0),"Any Loss Unacceptable ▲",IF(AND(P90='G-1 All Habitats'!$X$3,W90&gt;0),"Any Loss Unacceptable ▲",H90*J90*L90*O90))))),"Check Data ▲")</f>
        <v/>
      </c>
      <c r="R90" s="50"/>
      <c r="S90" s="71"/>
      <c r="T90" s="72"/>
      <c r="U90" s="511" t="str">
        <f t="shared" si="8"/>
        <v/>
      </c>
      <c r="V90" s="511" t="str">
        <f t="shared" si="9"/>
        <v/>
      </c>
      <c r="W90" s="511" t="str">
        <f>IF(E90="","",IF(H90&lt;S90+T90,"Error in Areas ▲",IF(P90&lt;&gt;'G-1 All Habitats'!$X$3,H90-S90-T90,IF(AND(P90='G-1 All Habitats'!$X$3,Y90="Yes"),"Unacceptable Loss",IF(AND(P90='G-1 All Habitats'!$X$3,Y90="No"),AC90,IF(AND(P90='G-1 All Habitats'!$X$3,Y90=""),AC90,IF(AND(P90='G-1 All Habitats'!$X$3,AC90="None",AC90),IF(AND(P90='G-1 All Habitats'!$X$3,AC90&gt;0),H90-S90-T90))))))))</f>
        <v/>
      </c>
      <c r="X90" s="515" t="str">
        <f>IFERROR(IF(H90="","",IF(H90-S90-T90=0&lt;0,"Error in Areas ▲",IF(S90+T90&gt;H90,"Error in Areas ▲",IF(AND(P90='G-1 All Habitats'!$X$3,Y90="Yes"),"Alternative Compensation ✓",IF(W90=0,0,IF(P90='G-1 All Habitats'!$X$3,"Unacceptable Loss ▲",Q90-U90-V90)))))),"Check Data ▲")</f>
        <v/>
      </c>
      <c r="Y90" s="72"/>
      <c r="Z90" s="80"/>
      <c r="AA90" s="81"/>
      <c r="AC90" s="75" t="str">
        <f>IF(P90="","",IF(P90='G-1 All Habitats'!$X$3,H90-S90-T90,"None"))</f>
        <v/>
      </c>
      <c r="AD90" s="76" t="str">
        <f>IFERROR(AC90*J90*L90*#REF!*O90,IF(P90="","","None"))</f>
        <v/>
      </c>
      <c r="AF90" s="54" t="str">
        <f t="shared" si="5"/>
        <v/>
      </c>
      <c r="AG90" s="54" t="str">
        <f t="shared" si="6"/>
        <v/>
      </c>
      <c r="AH90" s="54" t="str">
        <f>IF(I90="","",IF(#REF!&gt;0,TRUE,FALSE))</f>
        <v/>
      </c>
      <c r="AI90" s="54">
        <v>80</v>
      </c>
      <c r="AJ90" s="54"/>
      <c r="AK90" s="54" t="str">
        <f t="array" ref="AK90">IFERROR(INDEX($AI$11:$AI$259, MATCH(0, IF(TRUE=$AF$11:$AF$259, COUNTIF($AK$10:$AK89, $AI$11:$AI$259), ""), 0)),"")</f>
        <v/>
      </c>
      <c r="AL90" s="54" t="str">
        <f t="array" ref="AL90">IFERROR(INDEX($AI$11:$AI$259, MATCH(0, IF(TRUE=$AG$11:$AG$259, COUNTIF($AL$10:$AL89, $AI$11:$AI$259), ""), 0)),"")</f>
        <v/>
      </c>
      <c r="AM90" s="54" t="str">
        <f t="array" ref="AM90">IFERROR(INDEX($AI$11:$AI$259, MATCH(0, IF(TRUE=$AH$11:$AH$259, COUNTIF($AM$10:$AM89, $AI$11:$AI$259), ""), 0)),"")</f>
        <v/>
      </c>
      <c r="AN90" s="54"/>
      <c r="AQ90" s="47">
        <f t="shared" si="7"/>
        <v>0</v>
      </c>
    </row>
    <row r="91" spans="1:43" x14ac:dyDescent="0.3">
      <c r="A91" s="47" t="str">
        <f>IFERROR(INDEX('G-1 All Habitats'!$AG$3:$AG$15,MATCH(E91,'G-1 All Habitats'!$AF$3:$AF$15,0)),"")</f>
        <v/>
      </c>
      <c r="B91" s="47" t="str">
        <f>IFERROR(INDEX('G-8 Condition Look up'!$I$4:$I$130,MATCH(G91,'G-8 Condition Look up'!$A$4:$A$130,0)),"")</f>
        <v/>
      </c>
      <c r="D91" s="77">
        <v>81</v>
      </c>
      <c r="E91" s="78"/>
      <c r="F91" s="79"/>
      <c r="G91" s="69" t="str">
        <f>IFERROR(INDEX('G-1 All Habitats'!$B$3:$B$129,MATCH(F91,'G-1 All Habitats'!$A$3:$A$129,0)),"")</f>
        <v/>
      </c>
      <c r="H91" s="70"/>
      <c r="I91" s="498" t="str">
        <f>IF(G91="","",VLOOKUP(G91,'G-1 All Habitats'!$B$2:$M$129,10,FALSE))</f>
        <v/>
      </c>
      <c r="J91" s="499" t="str">
        <f>IFERROR(VLOOKUP(I91,'G-1 All Habitats'!$V$3:$W$7,2,FALSE),"")</f>
        <v/>
      </c>
      <c r="K91" s="71"/>
      <c r="L91" s="499" t="str">
        <f>IFERROR(INDEX('G-8 Condition Look up'!$A$3:$H$130,MATCH(G91,'G-8 Condition Look up'!$A$3:$A$130,0),MATCH(K91,'G-8 Condition Look up'!$A$3:$H$3,0)),"")</f>
        <v/>
      </c>
      <c r="M91" s="71"/>
      <c r="N91" s="520" t="str">
        <f>IF(M91="","",IF(VLOOKUP(M91,'G-3 Multipliers'!$L$3:$N$6,2,FALSE)=0,"Spatial Data Missing",VLOOKUP(M91,'G-3 Multipliers'!$L$3:$N$6,2,FALSE)))</f>
        <v/>
      </c>
      <c r="O91" s="505" t="str">
        <f>IF(M91="","",IF(VLOOKUP(M91,'G-3 Multipliers'!$L$3:$N$6,3,FALSE)=0,"Spatial Data Missing ▲",VLOOKUP(M91,'G-3 Multipliers'!$L$3:$N$6,3,FALSE)))</f>
        <v/>
      </c>
      <c r="P91" s="506" t="str">
        <f>IFERROR(VLOOKUP(G91,'G-1 All Habitats'!$B$2:$M$129,12,FALSE),"")</f>
        <v/>
      </c>
      <c r="Q91" s="513" t="str">
        <f>IFERROR(IF(P91="","",IF(AND(P91='G-1 All Habitats'!$X$3,T91&gt;0),U91+V91,IF(AND(P91='G-1 All Habitats'!$X$3,S91&gt;0),U91+V91,IF(AND(P91='G-1 All Habitats'!$X$3,AC91&gt;0),"Any Loss Unacceptable ▲",IF(AND(P91='G-1 All Habitats'!$X$3,W91&gt;0),"Any Loss Unacceptable ▲",H91*J91*L91*O91))))),"Check Data ▲")</f>
        <v/>
      </c>
      <c r="R91" s="50"/>
      <c r="S91" s="71"/>
      <c r="T91" s="72"/>
      <c r="U91" s="511" t="str">
        <f t="shared" si="8"/>
        <v/>
      </c>
      <c r="V91" s="511" t="str">
        <f t="shared" si="9"/>
        <v/>
      </c>
      <c r="W91" s="511" t="str">
        <f>IF(E91="","",IF(H91&lt;S91+T91,"Error in Areas ▲",IF(P91&lt;&gt;'G-1 All Habitats'!$X$3,H91-S91-T91,IF(AND(P91='G-1 All Habitats'!$X$3,Y91="Yes"),"Unacceptable Loss",IF(AND(P91='G-1 All Habitats'!$X$3,Y91="No"),AC91,IF(AND(P91='G-1 All Habitats'!$X$3,Y91=""),AC91,IF(AND(P91='G-1 All Habitats'!$X$3,AC91="None",AC91),IF(AND(P91='G-1 All Habitats'!$X$3,AC91&gt;0),H91-S91-T91))))))))</f>
        <v/>
      </c>
      <c r="X91" s="515" t="str">
        <f>IFERROR(IF(H91="","",IF(H91-S91-T91=0&lt;0,"Error in Areas ▲",IF(S91+T91&gt;H91,"Error in Areas ▲",IF(AND(P91='G-1 All Habitats'!$X$3,Y91="Yes"),"Alternative Compensation ✓",IF(W91=0,0,IF(P91='G-1 All Habitats'!$X$3,"Unacceptable Loss ▲",Q91-U91-V91)))))),"Check Data ▲")</f>
        <v/>
      </c>
      <c r="Y91" s="72"/>
      <c r="Z91" s="80"/>
      <c r="AA91" s="81"/>
      <c r="AC91" s="75" t="str">
        <f>IF(P91="","",IF(P91='G-1 All Habitats'!$X$3,H91-S91-T91,"None"))</f>
        <v/>
      </c>
      <c r="AD91" s="76" t="str">
        <f>IFERROR(AC91*J91*L91*#REF!*O91,IF(P91="","","None"))</f>
        <v/>
      </c>
      <c r="AF91" s="54" t="str">
        <f t="shared" si="5"/>
        <v/>
      </c>
      <c r="AG91" s="54" t="str">
        <f t="shared" si="6"/>
        <v/>
      </c>
      <c r="AH91" s="54" t="str">
        <f>IF(I91="","",IF(#REF!&gt;0,TRUE,FALSE))</f>
        <v/>
      </c>
      <c r="AI91" s="54">
        <v>81</v>
      </c>
      <c r="AJ91" s="54"/>
      <c r="AK91" s="54" t="str">
        <f t="array" ref="AK91">IFERROR(INDEX($AI$11:$AI$259, MATCH(0, IF(TRUE=$AF$11:$AF$259, COUNTIF($AK$10:$AK90, $AI$11:$AI$259), ""), 0)),"")</f>
        <v/>
      </c>
      <c r="AL91" s="54" t="str">
        <f t="array" ref="AL91">IFERROR(INDEX($AI$11:$AI$259, MATCH(0, IF(TRUE=$AG$11:$AG$259, COUNTIF($AL$10:$AL90, $AI$11:$AI$259), ""), 0)),"")</f>
        <v/>
      </c>
      <c r="AM91" s="54" t="str">
        <f t="array" ref="AM91">IFERROR(INDEX($AI$11:$AI$259, MATCH(0, IF(TRUE=$AH$11:$AH$259, COUNTIF($AM$10:$AM90, $AI$11:$AI$259), ""), 0)),"")</f>
        <v/>
      </c>
      <c r="AN91" s="54"/>
      <c r="AQ91" s="47">
        <f t="shared" si="7"/>
        <v>0</v>
      </c>
    </row>
    <row r="92" spans="1:43" x14ac:dyDescent="0.3">
      <c r="A92" s="47" t="str">
        <f>IFERROR(INDEX('G-1 All Habitats'!$AG$3:$AG$15,MATCH(E92,'G-1 All Habitats'!$AF$3:$AF$15,0)),"")</f>
        <v/>
      </c>
      <c r="B92" s="47" t="str">
        <f>IFERROR(INDEX('G-8 Condition Look up'!$I$4:$I$130,MATCH(G92,'G-8 Condition Look up'!$A$4:$A$130,0)),"")</f>
        <v/>
      </c>
      <c r="D92" s="77">
        <v>82</v>
      </c>
      <c r="E92" s="78"/>
      <c r="F92" s="79"/>
      <c r="G92" s="69" t="str">
        <f>IFERROR(INDEX('G-1 All Habitats'!$B$3:$B$129,MATCH(F92,'G-1 All Habitats'!$A$3:$A$129,0)),"")</f>
        <v/>
      </c>
      <c r="H92" s="70"/>
      <c r="I92" s="498" t="str">
        <f>IF(G92="","",VLOOKUP(G92,'G-1 All Habitats'!$B$2:$M$129,10,FALSE))</f>
        <v/>
      </c>
      <c r="J92" s="499" t="str">
        <f>IFERROR(VLOOKUP(I92,'G-1 All Habitats'!$V$3:$W$7,2,FALSE),"")</f>
        <v/>
      </c>
      <c r="K92" s="71"/>
      <c r="L92" s="499" t="str">
        <f>IFERROR(INDEX('G-8 Condition Look up'!$A$3:$H$130,MATCH(G92,'G-8 Condition Look up'!$A$3:$A$130,0),MATCH(K92,'G-8 Condition Look up'!$A$3:$H$3,0)),"")</f>
        <v/>
      </c>
      <c r="M92" s="71"/>
      <c r="N92" s="520" t="str">
        <f>IF(M92="","",IF(VLOOKUP(M92,'G-3 Multipliers'!$L$3:$N$6,2,FALSE)=0,"Spatial Data Missing",VLOOKUP(M92,'G-3 Multipliers'!$L$3:$N$6,2,FALSE)))</f>
        <v/>
      </c>
      <c r="O92" s="505" t="str">
        <f>IF(M92="","",IF(VLOOKUP(M92,'G-3 Multipliers'!$L$3:$N$6,3,FALSE)=0,"Spatial Data Missing ▲",VLOOKUP(M92,'G-3 Multipliers'!$L$3:$N$6,3,FALSE)))</f>
        <v/>
      </c>
      <c r="P92" s="506" t="str">
        <f>IFERROR(VLOOKUP(G92,'G-1 All Habitats'!$B$2:$M$129,12,FALSE),"")</f>
        <v/>
      </c>
      <c r="Q92" s="513" t="str">
        <f>IFERROR(IF(P92="","",IF(AND(P92='G-1 All Habitats'!$X$3,T92&gt;0),U92+V92,IF(AND(P92='G-1 All Habitats'!$X$3,S92&gt;0),U92+V92,IF(AND(P92='G-1 All Habitats'!$X$3,AC92&gt;0),"Any Loss Unacceptable ▲",IF(AND(P92='G-1 All Habitats'!$X$3,W92&gt;0),"Any Loss Unacceptable ▲",H92*J92*L92*O92))))),"Check Data ▲")</f>
        <v/>
      </c>
      <c r="R92" s="50"/>
      <c r="S92" s="71"/>
      <c r="T92" s="72"/>
      <c r="U92" s="511" t="str">
        <f t="shared" si="8"/>
        <v/>
      </c>
      <c r="V92" s="511" t="str">
        <f t="shared" si="9"/>
        <v/>
      </c>
      <c r="W92" s="511" t="str">
        <f>IF(E92="","",IF(H92&lt;S92+T92,"Error in Areas ▲",IF(P92&lt;&gt;'G-1 All Habitats'!$X$3,H92-S92-T92,IF(AND(P92='G-1 All Habitats'!$X$3,Y92="Yes"),"Unacceptable Loss",IF(AND(P92='G-1 All Habitats'!$X$3,Y92="No"),AC92,IF(AND(P92='G-1 All Habitats'!$X$3,Y92=""),AC92,IF(AND(P92='G-1 All Habitats'!$X$3,AC92="None",AC92),IF(AND(P92='G-1 All Habitats'!$X$3,AC92&gt;0),H92-S92-T92))))))))</f>
        <v/>
      </c>
      <c r="X92" s="515" t="str">
        <f>IFERROR(IF(H92="","",IF(H92-S92-T92=0&lt;0,"Error in Areas ▲",IF(S92+T92&gt;H92,"Error in Areas ▲",IF(AND(P92='G-1 All Habitats'!$X$3,Y92="Yes"),"Alternative Compensation ✓",IF(W92=0,0,IF(P92='G-1 All Habitats'!$X$3,"Unacceptable Loss ▲",Q92-U92-V92)))))),"Check Data ▲")</f>
        <v/>
      </c>
      <c r="Y92" s="72"/>
      <c r="Z92" s="80"/>
      <c r="AA92" s="81"/>
      <c r="AC92" s="75" t="str">
        <f>IF(P92="","",IF(P92='G-1 All Habitats'!$X$3,H92-S92-T92,"None"))</f>
        <v/>
      </c>
      <c r="AD92" s="76" t="str">
        <f>IFERROR(AC92*J92*L92*#REF!*O92,IF(P92="","","None"))</f>
        <v/>
      </c>
      <c r="AF92" s="54" t="str">
        <f t="shared" si="5"/>
        <v/>
      </c>
      <c r="AG92" s="54" t="str">
        <f t="shared" si="6"/>
        <v/>
      </c>
      <c r="AH92" s="54" t="str">
        <f>IF(I92="","",IF(#REF!&gt;0,TRUE,FALSE))</f>
        <v/>
      </c>
      <c r="AI92" s="54">
        <v>82</v>
      </c>
      <c r="AJ92" s="54"/>
      <c r="AK92" s="54" t="str">
        <f t="array" ref="AK92">IFERROR(INDEX($AI$11:$AI$259, MATCH(0, IF(TRUE=$AF$11:$AF$259, COUNTIF($AK$10:$AK91, $AI$11:$AI$259), ""), 0)),"")</f>
        <v/>
      </c>
      <c r="AL92" s="54" t="str">
        <f t="array" ref="AL92">IFERROR(INDEX($AI$11:$AI$259, MATCH(0, IF(TRUE=$AG$11:$AG$259, COUNTIF($AL$10:$AL91, $AI$11:$AI$259), ""), 0)),"")</f>
        <v/>
      </c>
      <c r="AM92" s="54" t="str">
        <f t="array" ref="AM92">IFERROR(INDEX($AI$11:$AI$259, MATCH(0, IF(TRUE=$AH$11:$AH$259, COUNTIF($AM$10:$AM91, $AI$11:$AI$259), ""), 0)),"")</f>
        <v/>
      </c>
      <c r="AN92" s="54"/>
      <c r="AQ92" s="47">
        <f t="shared" si="7"/>
        <v>0</v>
      </c>
    </row>
    <row r="93" spans="1:43" x14ac:dyDescent="0.3">
      <c r="A93" s="47" t="str">
        <f>IFERROR(INDEX('G-1 All Habitats'!$AG$3:$AG$15,MATCH(E93,'G-1 All Habitats'!$AF$3:$AF$15,0)),"")</f>
        <v/>
      </c>
      <c r="B93" s="47" t="str">
        <f>IFERROR(INDEX('G-8 Condition Look up'!$I$4:$I$130,MATCH(G93,'G-8 Condition Look up'!$A$4:$A$130,0)),"")</f>
        <v/>
      </c>
      <c r="D93" s="77">
        <v>83</v>
      </c>
      <c r="E93" s="78"/>
      <c r="F93" s="79"/>
      <c r="G93" s="69" t="str">
        <f>IFERROR(INDEX('G-1 All Habitats'!$B$3:$B$129,MATCH(F93,'G-1 All Habitats'!$A$3:$A$129,0)),"")</f>
        <v/>
      </c>
      <c r="H93" s="70"/>
      <c r="I93" s="498" t="str">
        <f>IF(G93="","",VLOOKUP(G93,'G-1 All Habitats'!$B$2:$M$129,10,FALSE))</f>
        <v/>
      </c>
      <c r="J93" s="499" t="str">
        <f>IFERROR(VLOOKUP(I93,'G-1 All Habitats'!$V$3:$W$7,2,FALSE),"")</f>
        <v/>
      </c>
      <c r="K93" s="71"/>
      <c r="L93" s="499" t="str">
        <f>IFERROR(INDEX('G-8 Condition Look up'!$A$3:$H$130,MATCH(G93,'G-8 Condition Look up'!$A$3:$A$130,0),MATCH(K93,'G-8 Condition Look up'!$A$3:$H$3,0)),"")</f>
        <v/>
      </c>
      <c r="M93" s="71"/>
      <c r="N93" s="520" t="str">
        <f>IF(M93="","",IF(VLOOKUP(M93,'G-3 Multipliers'!$L$3:$N$6,2,FALSE)=0,"Spatial Data Missing",VLOOKUP(M93,'G-3 Multipliers'!$L$3:$N$6,2,FALSE)))</f>
        <v/>
      </c>
      <c r="O93" s="505" t="str">
        <f>IF(M93="","",IF(VLOOKUP(M93,'G-3 Multipliers'!$L$3:$N$6,3,FALSE)=0,"Spatial Data Missing ▲",VLOOKUP(M93,'G-3 Multipliers'!$L$3:$N$6,3,FALSE)))</f>
        <v/>
      </c>
      <c r="P93" s="506" t="str">
        <f>IFERROR(VLOOKUP(G93,'G-1 All Habitats'!$B$2:$M$129,12,FALSE),"")</f>
        <v/>
      </c>
      <c r="Q93" s="513" t="str">
        <f>IFERROR(IF(P93="","",IF(AND(P93='G-1 All Habitats'!$X$3,T93&gt;0),U93+V93,IF(AND(P93='G-1 All Habitats'!$X$3,S93&gt;0),U93+V93,IF(AND(P93='G-1 All Habitats'!$X$3,AC93&gt;0),"Any Loss Unacceptable ▲",IF(AND(P93='G-1 All Habitats'!$X$3,W93&gt;0),"Any Loss Unacceptable ▲",H93*J93*L93*O93))))),"Check Data ▲")</f>
        <v/>
      </c>
      <c r="R93" s="50"/>
      <c r="S93" s="71"/>
      <c r="T93" s="72"/>
      <c r="U93" s="511" t="str">
        <f t="shared" si="8"/>
        <v/>
      </c>
      <c r="V93" s="511" t="str">
        <f t="shared" si="9"/>
        <v/>
      </c>
      <c r="W93" s="511" t="str">
        <f>IF(E93="","",IF(H93&lt;S93+T93,"Error in Areas ▲",IF(P93&lt;&gt;'G-1 All Habitats'!$X$3,H93-S93-T93,IF(AND(P93='G-1 All Habitats'!$X$3,Y93="Yes"),"Unacceptable Loss",IF(AND(P93='G-1 All Habitats'!$X$3,Y93="No"),AC93,IF(AND(P93='G-1 All Habitats'!$X$3,Y93=""),AC93,IF(AND(P93='G-1 All Habitats'!$X$3,AC93="None",AC93),IF(AND(P93='G-1 All Habitats'!$X$3,AC93&gt;0),H93-S93-T93))))))))</f>
        <v/>
      </c>
      <c r="X93" s="515" t="str">
        <f>IFERROR(IF(H93="","",IF(H93-S93-T93=0&lt;0,"Error in Areas ▲",IF(S93+T93&gt;H93,"Error in Areas ▲",IF(AND(P93='G-1 All Habitats'!$X$3,Y93="Yes"),"Alternative Compensation ✓",IF(W93=0,0,IF(P93='G-1 All Habitats'!$X$3,"Unacceptable Loss ▲",Q93-U93-V93)))))),"Check Data ▲")</f>
        <v/>
      </c>
      <c r="Y93" s="72"/>
      <c r="Z93" s="80"/>
      <c r="AA93" s="81"/>
      <c r="AC93" s="75" t="str">
        <f>IF(P93="","",IF(P93='G-1 All Habitats'!$X$3,H93-S93-T93,"None"))</f>
        <v/>
      </c>
      <c r="AD93" s="76" t="str">
        <f>IFERROR(AC93*J93*L93*#REF!*O93,IF(P93="","","None"))</f>
        <v/>
      </c>
      <c r="AF93" s="54" t="str">
        <f t="shared" si="5"/>
        <v/>
      </c>
      <c r="AG93" s="54" t="str">
        <f t="shared" si="6"/>
        <v/>
      </c>
      <c r="AH93" s="54" t="str">
        <f>IF(I93="","",IF(#REF!&gt;0,TRUE,FALSE))</f>
        <v/>
      </c>
      <c r="AI93" s="54">
        <v>83</v>
      </c>
      <c r="AJ93" s="54"/>
      <c r="AK93" s="54" t="str">
        <f t="array" ref="AK93">IFERROR(INDEX($AI$11:$AI$259, MATCH(0, IF(TRUE=$AF$11:$AF$259, COUNTIF($AK$10:$AK92, $AI$11:$AI$259), ""), 0)),"")</f>
        <v/>
      </c>
      <c r="AL93" s="54" t="str">
        <f t="array" ref="AL93">IFERROR(INDEX($AI$11:$AI$259, MATCH(0, IF(TRUE=$AG$11:$AG$259, COUNTIF($AL$10:$AL92, $AI$11:$AI$259), ""), 0)),"")</f>
        <v/>
      </c>
      <c r="AM93" s="54" t="str">
        <f t="array" ref="AM93">IFERROR(INDEX($AI$11:$AI$259, MATCH(0, IF(TRUE=$AH$11:$AH$259, COUNTIF($AM$10:$AM92, $AI$11:$AI$259), ""), 0)),"")</f>
        <v/>
      </c>
      <c r="AN93" s="54"/>
      <c r="AQ93" s="47">
        <f t="shared" si="7"/>
        <v>0</v>
      </c>
    </row>
    <row r="94" spans="1:43" x14ac:dyDescent="0.3">
      <c r="A94" s="47" t="str">
        <f>IFERROR(INDEX('G-1 All Habitats'!$AG$3:$AG$15,MATCH(E94,'G-1 All Habitats'!$AF$3:$AF$15,0)),"")</f>
        <v/>
      </c>
      <c r="B94" s="47" t="str">
        <f>IFERROR(INDEX('G-8 Condition Look up'!$I$4:$I$130,MATCH(G94,'G-8 Condition Look up'!$A$4:$A$130,0)),"")</f>
        <v/>
      </c>
      <c r="D94" s="77">
        <v>84</v>
      </c>
      <c r="E94" s="78"/>
      <c r="F94" s="79"/>
      <c r="G94" s="69" t="str">
        <f>IFERROR(INDEX('G-1 All Habitats'!$B$3:$B$129,MATCH(F94,'G-1 All Habitats'!$A$3:$A$129,0)),"")</f>
        <v/>
      </c>
      <c r="H94" s="70"/>
      <c r="I94" s="498" t="str">
        <f>IF(G94="","",VLOOKUP(G94,'G-1 All Habitats'!$B$2:$M$129,10,FALSE))</f>
        <v/>
      </c>
      <c r="J94" s="499" t="str">
        <f>IFERROR(VLOOKUP(I94,'G-1 All Habitats'!$V$3:$W$7,2,FALSE),"")</f>
        <v/>
      </c>
      <c r="K94" s="71"/>
      <c r="L94" s="499" t="str">
        <f>IFERROR(INDEX('G-8 Condition Look up'!$A$3:$H$130,MATCH(G94,'G-8 Condition Look up'!$A$3:$A$130,0),MATCH(K94,'G-8 Condition Look up'!$A$3:$H$3,0)),"")</f>
        <v/>
      </c>
      <c r="M94" s="71"/>
      <c r="N94" s="520" t="str">
        <f>IF(M94="","",IF(VLOOKUP(M94,'G-3 Multipliers'!$L$3:$N$6,2,FALSE)=0,"Spatial Data Missing",VLOOKUP(M94,'G-3 Multipliers'!$L$3:$N$6,2,FALSE)))</f>
        <v/>
      </c>
      <c r="O94" s="505" t="str">
        <f>IF(M94="","",IF(VLOOKUP(M94,'G-3 Multipliers'!$L$3:$N$6,3,FALSE)=0,"Spatial Data Missing ▲",VLOOKUP(M94,'G-3 Multipliers'!$L$3:$N$6,3,FALSE)))</f>
        <v/>
      </c>
      <c r="P94" s="506" t="str">
        <f>IFERROR(VLOOKUP(G94,'G-1 All Habitats'!$B$2:$M$129,12,FALSE),"")</f>
        <v/>
      </c>
      <c r="Q94" s="513" t="str">
        <f>IFERROR(IF(P94="","",IF(AND(P94='G-1 All Habitats'!$X$3,T94&gt;0),U94+V94,IF(AND(P94='G-1 All Habitats'!$X$3,S94&gt;0),U94+V94,IF(AND(P94='G-1 All Habitats'!$X$3,AC94&gt;0),"Any Loss Unacceptable ▲",IF(AND(P94='G-1 All Habitats'!$X$3,W94&gt;0),"Any Loss Unacceptable ▲",H94*J94*L94*O94))))),"Check Data ▲")</f>
        <v/>
      </c>
      <c r="R94" s="50"/>
      <c r="S94" s="71"/>
      <c r="T94" s="72"/>
      <c r="U94" s="511" t="str">
        <f t="shared" si="8"/>
        <v/>
      </c>
      <c r="V94" s="511" t="str">
        <f t="shared" si="9"/>
        <v/>
      </c>
      <c r="W94" s="511" t="str">
        <f>IF(E94="","",IF(H94&lt;S94+T94,"Error in Areas ▲",IF(P94&lt;&gt;'G-1 All Habitats'!$X$3,H94-S94-T94,IF(AND(P94='G-1 All Habitats'!$X$3,Y94="Yes"),"Unacceptable Loss",IF(AND(P94='G-1 All Habitats'!$X$3,Y94="No"),AC94,IF(AND(P94='G-1 All Habitats'!$X$3,Y94=""),AC94,IF(AND(P94='G-1 All Habitats'!$X$3,AC94="None",AC94),IF(AND(P94='G-1 All Habitats'!$X$3,AC94&gt;0),H94-S94-T94))))))))</f>
        <v/>
      </c>
      <c r="X94" s="515" t="str">
        <f>IFERROR(IF(H94="","",IF(H94-S94-T94=0&lt;0,"Error in Areas ▲",IF(S94+T94&gt;H94,"Error in Areas ▲",IF(AND(P94='G-1 All Habitats'!$X$3,Y94="Yes"),"Alternative Compensation ✓",IF(W94=0,0,IF(P94='G-1 All Habitats'!$X$3,"Unacceptable Loss ▲",Q94-U94-V94)))))),"Check Data ▲")</f>
        <v/>
      </c>
      <c r="Y94" s="72"/>
      <c r="Z94" s="80"/>
      <c r="AA94" s="81"/>
      <c r="AC94" s="75" t="str">
        <f>IF(P94="","",IF(P94='G-1 All Habitats'!$X$3,H94-S94-T94,"None"))</f>
        <v/>
      </c>
      <c r="AD94" s="76" t="str">
        <f>IFERROR(AC94*J94*L94*#REF!*O94,IF(P94="","","None"))</f>
        <v/>
      </c>
      <c r="AF94" s="54" t="str">
        <f t="shared" si="5"/>
        <v/>
      </c>
      <c r="AG94" s="54" t="str">
        <f t="shared" si="6"/>
        <v/>
      </c>
      <c r="AH94" s="54" t="str">
        <f>IF(I94="","",IF(#REF!&gt;0,TRUE,FALSE))</f>
        <v/>
      </c>
      <c r="AI94" s="54">
        <v>84</v>
      </c>
      <c r="AJ94" s="54"/>
      <c r="AK94" s="54" t="str">
        <f t="array" ref="AK94">IFERROR(INDEX($AI$11:$AI$259, MATCH(0, IF(TRUE=$AF$11:$AF$259, COUNTIF($AK$10:$AK93, $AI$11:$AI$259), ""), 0)),"")</f>
        <v/>
      </c>
      <c r="AL94" s="54" t="str">
        <f t="array" ref="AL94">IFERROR(INDEX($AI$11:$AI$259, MATCH(0, IF(TRUE=$AG$11:$AG$259, COUNTIF($AL$10:$AL93, $AI$11:$AI$259), ""), 0)),"")</f>
        <v/>
      </c>
      <c r="AM94" s="54" t="str">
        <f t="array" ref="AM94">IFERROR(INDEX($AI$11:$AI$259, MATCH(0, IF(TRUE=$AH$11:$AH$259, COUNTIF($AM$10:$AM93, $AI$11:$AI$259), ""), 0)),"")</f>
        <v/>
      </c>
      <c r="AN94" s="54"/>
      <c r="AQ94" s="47">
        <f t="shared" si="7"/>
        <v>0</v>
      </c>
    </row>
    <row r="95" spans="1:43" x14ac:dyDescent="0.3">
      <c r="A95" s="47" t="str">
        <f>IFERROR(INDEX('G-1 All Habitats'!$AG$3:$AG$15,MATCH(E95,'G-1 All Habitats'!$AF$3:$AF$15,0)),"")</f>
        <v/>
      </c>
      <c r="B95" s="47" t="str">
        <f>IFERROR(INDEX('G-8 Condition Look up'!$I$4:$I$130,MATCH(G95,'G-8 Condition Look up'!$A$4:$A$130,0)),"")</f>
        <v/>
      </c>
      <c r="D95" s="77">
        <v>85</v>
      </c>
      <c r="E95" s="78"/>
      <c r="F95" s="79"/>
      <c r="G95" s="69" t="str">
        <f>IFERROR(INDEX('G-1 All Habitats'!$B$3:$B$129,MATCH(F95,'G-1 All Habitats'!$A$3:$A$129,0)),"")</f>
        <v/>
      </c>
      <c r="H95" s="70"/>
      <c r="I95" s="498" t="str">
        <f>IF(G95="","",VLOOKUP(G95,'G-1 All Habitats'!$B$2:$M$129,10,FALSE))</f>
        <v/>
      </c>
      <c r="J95" s="499" t="str">
        <f>IFERROR(VLOOKUP(I95,'G-1 All Habitats'!$V$3:$W$7,2,FALSE),"")</f>
        <v/>
      </c>
      <c r="K95" s="71"/>
      <c r="L95" s="499" t="str">
        <f>IFERROR(INDEX('G-8 Condition Look up'!$A$3:$H$130,MATCH(G95,'G-8 Condition Look up'!$A$3:$A$130,0),MATCH(K95,'G-8 Condition Look up'!$A$3:$H$3,0)),"")</f>
        <v/>
      </c>
      <c r="M95" s="71"/>
      <c r="N95" s="520" t="str">
        <f>IF(M95="","",IF(VLOOKUP(M95,'G-3 Multipliers'!$L$3:$N$6,2,FALSE)=0,"Spatial Data Missing",VLOOKUP(M95,'G-3 Multipliers'!$L$3:$N$6,2,FALSE)))</f>
        <v/>
      </c>
      <c r="O95" s="505" t="str">
        <f>IF(M95="","",IF(VLOOKUP(M95,'G-3 Multipliers'!$L$3:$N$6,3,FALSE)=0,"Spatial Data Missing ▲",VLOOKUP(M95,'G-3 Multipliers'!$L$3:$N$6,3,FALSE)))</f>
        <v/>
      </c>
      <c r="P95" s="506" t="str">
        <f>IFERROR(VLOOKUP(G95,'G-1 All Habitats'!$B$2:$M$129,12,FALSE),"")</f>
        <v/>
      </c>
      <c r="Q95" s="513" t="str">
        <f>IFERROR(IF(P95="","",IF(AND(P95='G-1 All Habitats'!$X$3,T95&gt;0),U95+V95,IF(AND(P95='G-1 All Habitats'!$X$3,S95&gt;0),U95+V95,IF(AND(P95='G-1 All Habitats'!$X$3,AC95&gt;0),"Any Loss Unacceptable ▲",IF(AND(P95='G-1 All Habitats'!$X$3,W95&gt;0),"Any Loss Unacceptable ▲",H95*J95*L95*O95))))),"Check Data ▲")</f>
        <v/>
      </c>
      <c r="R95" s="50"/>
      <c r="S95" s="71"/>
      <c r="T95" s="72"/>
      <c r="U95" s="511" t="str">
        <f t="shared" si="8"/>
        <v/>
      </c>
      <c r="V95" s="511" t="str">
        <f t="shared" si="9"/>
        <v/>
      </c>
      <c r="W95" s="511" t="str">
        <f>IF(E95="","",IF(H95&lt;S95+T95,"Error in Areas ▲",IF(P95&lt;&gt;'G-1 All Habitats'!$X$3,H95-S95-T95,IF(AND(P95='G-1 All Habitats'!$X$3,Y95="Yes"),"Unacceptable Loss",IF(AND(P95='G-1 All Habitats'!$X$3,Y95="No"),AC95,IF(AND(P95='G-1 All Habitats'!$X$3,Y95=""),AC95,IF(AND(P95='G-1 All Habitats'!$X$3,AC95="None",AC95),IF(AND(P95='G-1 All Habitats'!$X$3,AC95&gt;0),H95-S95-T95))))))))</f>
        <v/>
      </c>
      <c r="X95" s="515" t="str">
        <f>IFERROR(IF(H95="","",IF(H95-S95-T95=0&lt;0,"Error in Areas ▲",IF(S95+T95&gt;H95,"Error in Areas ▲",IF(AND(P95='G-1 All Habitats'!$X$3,Y95="Yes"),"Alternative Compensation ✓",IF(W95=0,0,IF(P95='G-1 All Habitats'!$X$3,"Unacceptable Loss ▲",Q95-U95-V95)))))),"Check Data ▲")</f>
        <v/>
      </c>
      <c r="Y95" s="72"/>
      <c r="Z95" s="80"/>
      <c r="AA95" s="81"/>
      <c r="AC95" s="75" t="str">
        <f>IF(P95="","",IF(P95='G-1 All Habitats'!$X$3,H95-S95-T95,"None"))</f>
        <v/>
      </c>
      <c r="AD95" s="76" t="str">
        <f>IFERROR(AC95*J95*L95*#REF!*O95,IF(P95="","","None"))</f>
        <v/>
      </c>
      <c r="AF95" s="54" t="str">
        <f t="shared" si="5"/>
        <v/>
      </c>
      <c r="AG95" s="54" t="str">
        <f t="shared" si="6"/>
        <v/>
      </c>
      <c r="AH95" s="54" t="str">
        <f>IF(I95="","",IF(#REF!&gt;0,TRUE,FALSE))</f>
        <v/>
      </c>
      <c r="AI95" s="54">
        <v>85</v>
      </c>
      <c r="AJ95" s="54"/>
      <c r="AK95" s="54" t="str">
        <f t="array" ref="AK95">IFERROR(INDEX($AI$11:$AI$259, MATCH(0, IF(TRUE=$AF$11:$AF$259, COUNTIF($AK$10:$AK94, $AI$11:$AI$259), ""), 0)),"")</f>
        <v/>
      </c>
      <c r="AL95" s="54" t="str">
        <f t="array" ref="AL95">IFERROR(INDEX($AI$11:$AI$259, MATCH(0, IF(TRUE=$AG$11:$AG$259, COUNTIF($AL$10:$AL94, $AI$11:$AI$259), ""), 0)),"")</f>
        <v/>
      </c>
      <c r="AM95" s="54" t="str">
        <f t="array" ref="AM95">IFERROR(INDEX($AI$11:$AI$259, MATCH(0, IF(TRUE=$AH$11:$AH$259, COUNTIF($AM$10:$AM94, $AI$11:$AI$259), ""), 0)),"")</f>
        <v/>
      </c>
      <c r="AN95" s="54"/>
      <c r="AQ95" s="47">
        <f t="shared" si="7"/>
        <v>0</v>
      </c>
    </row>
    <row r="96" spans="1:43" x14ac:dyDescent="0.3">
      <c r="A96" s="47" t="str">
        <f>IFERROR(INDEX('G-1 All Habitats'!$AG$3:$AG$15,MATCH(E96,'G-1 All Habitats'!$AF$3:$AF$15,0)),"")</f>
        <v/>
      </c>
      <c r="B96" s="47" t="str">
        <f>IFERROR(INDEX('G-8 Condition Look up'!$I$4:$I$130,MATCH(G96,'G-8 Condition Look up'!$A$4:$A$130,0)),"")</f>
        <v/>
      </c>
      <c r="D96" s="77">
        <v>86</v>
      </c>
      <c r="E96" s="78"/>
      <c r="F96" s="79"/>
      <c r="G96" s="69" t="str">
        <f>IFERROR(INDEX('G-1 All Habitats'!$B$3:$B$129,MATCH(F96,'G-1 All Habitats'!$A$3:$A$129,0)),"")</f>
        <v/>
      </c>
      <c r="H96" s="70"/>
      <c r="I96" s="498" t="str">
        <f>IF(G96="","",VLOOKUP(G96,'G-1 All Habitats'!$B$2:$M$129,10,FALSE))</f>
        <v/>
      </c>
      <c r="J96" s="499" t="str">
        <f>IFERROR(VLOOKUP(I96,'G-1 All Habitats'!$V$3:$W$7,2,FALSE),"")</f>
        <v/>
      </c>
      <c r="K96" s="71"/>
      <c r="L96" s="499" t="str">
        <f>IFERROR(INDEX('G-8 Condition Look up'!$A$3:$H$130,MATCH(G96,'G-8 Condition Look up'!$A$3:$A$130,0),MATCH(K96,'G-8 Condition Look up'!$A$3:$H$3,0)),"")</f>
        <v/>
      </c>
      <c r="M96" s="71"/>
      <c r="N96" s="520" t="str">
        <f>IF(M96="","",IF(VLOOKUP(M96,'G-3 Multipliers'!$L$3:$N$6,2,FALSE)=0,"Spatial Data Missing",VLOOKUP(M96,'G-3 Multipliers'!$L$3:$N$6,2,FALSE)))</f>
        <v/>
      </c>
      <c r="O96" s="505" t="str">
        <f>IF(M96="","",IF(VLOOKUP(M96,'G-3 Multipliers'!$L$3:$N$6,3,FALSE)=0,"Spatial Data Missing ▲",VLOOKUP(M96,'G-3 Multipliers'!$L$3:$N$6,3,FALSE)))</f>
        <v/>
      </c>
      <c r="P96" s="506" t="str">
        <f>IFERROR(VLOOKUP(G96,'G-1 All Habitats'!$B$2:$M$129,12,FALSE),"")</f>
        <v/>
      </c>
      <c r="Q96" s="513" t="str">
        <f>IFERROR(IF(P96="","",IF(AND(P96='G-1 All Habitats'!$X$3,T96&gt;0),U96+V96,IF(AND(P96='G-1 All Habitats'!$X$3,S96&gt;0),U96+V96,IF(AND(P96='G-1 All Habitats'!$X$3,AC96&gt;0),"Any Loss Unacceptable ▲",IF(AND(P96='G-1 All Habitats'!$X$3,W96&gt;0),"Any Loss Unacceptable ▲",H96*J96*L96*O96))))),"Check Data ▲")</f>
        <v/>
      </c>
      <c r="R96" s="50"/>
      <c r="S96" s="71"/>
      <c r="T96" s="72"/>
      <c r="U96" s="511" t="str">
        <f t="shared" si="8"/>
        <v/>
      </c>
      <c r="V96" s="511" t="str">
        <f t="shared" si="9"/>
        <v/>
      </c>
      <c r="W96" s="511" t="str">
        <f>IF(E96="","",IF(H96&lt;S96+T96,"Error in Areas ▲",IF(P96&lt;&gt;'G-1 All Habitats'!$X$3,H96-S96-T96,IF(AND(P96='G-1 All Habitats'!$X$3,Y96="Yes"),"Unacceptable Loss",IF(AND(P96='G-1 All Habitats'!$X$3,Y96="No"),AC96,IF(AND(P96='G-1 All Habitats'!$X$3,Y96=""),AC96,IF(AND(P96='G-1 All Habitats'!$X$3,AC96="None",AC96),IF(AND(P96='G-1 All Habitats'!$X$3,AC96&gt;0),H96-S96-T96))))))))</f>
        <v/>
      </c>
      <c r="X96" s="515" t="str">
        <f>IFERROR(IF(H96="","",IF(H96-S96-T96=0&lt;0,"Error in Areas ▲",IF(S96+T96&gt;H96,"Error in Areas ▲",IF(AND(P96='G-1 All Habitats'!$X$3,Y96="Yes"),"Alternative Compensation ✓",IF(W96=0,0,IF(P96='G-1 All Habitats'!$X$3,"Unacceptable Loss ▲",Q96-U96-V96)))))),"Check Data ▲")</f>
        <v/>
      </c>
      <c r="Y96" s="72"/>
      <c r="Z96" s="80"/>
      <c r="AA96" s="81"/>
      <c r="AC96" s="75" t="str">
        <f>IF(P96="","",IF(P96='G-1 All Habitats'!$X$3,H96-S96-T96,"None"))</f>
        <v/>
      </c>
      <c r="AD96" s="76" t="str">
        <f>IFERROR(AC96*J96*L96*#REF!*O96,IF(P96="","","None"))</f>
        <v/>
      </c>
      <c r="AF96" s="54" t="str">
        <f t="shared" si="5"/>
        <v/>
      </c>
      <c r="AG96" s="54" t="str">
        <f t="shared" si="6"/>
        <v/>
      </c>
      <c r="AH96" s="54" t="str">
        <f>IF(I96="","",IF(#REF!&gt;0,TRUE,FALSE))</f>
        <v/>
      </c>
      <c r="AI96" s="54">
        <v>86</v>
      </c>
      <c r="AJ96" s="54"/>
      <c r="AK96" s="54" t="str">
        <f t="array" ref="AK96">IFERROR(INDEX($AI$11:$AI$259, MATCH(0, IF(TRUE=$AF$11:$AF$259, COUNTIF($AK$10:$AK95, $AI$11:$AI$259), ""), 0)),"")</f>
        <v/>
      </c>
      <c r="AL96" s="54" t="str">
        <f t="array" ref="AL96">IFERROR(INDEX($AI$11:$AI$259, MATCH(0, IF(TRUE=$AG$11:$AG$259, COUNTIF($AL$10:$AL95, $AI$11:$AI$259), ""), 0)),"")</f>
        <v/>
      </c>
      <c r="AM96" s="54" t="str">
        <f t="array" ref="AM96">IFERROR(INDEX($AI$11:$AI$259, MATCH(0, IF(TRUE=$AH$11:$AH$259, COUNTIF($AM$10:$AM95, $AI$11:$AI$259), ""), 0)),"")</f>
        <v/>
      </c>
      <c r="AN96" s="54"/>
      <c r="AQ96" s="47">
        <f t="shared" si="7"/>
        <v>0</v>
      </c>
    </row>
    <row r="97" spans="1:43" x14ac:dyDescent="0.3">
      <c r="A97" s="47" t="str">
        <f>IFERROR(INDEX('G-1 All Habitats'!$AG$3:$AG$15,MATCH(E97,'G-1 All Habitats'!$AF$3:$AF$15,0)),"")</f>
        <v/>
      </c>
      <c r="B97" s="47" t="str">
        <f>IFERROR(INDEX('G-8 Condition Look up'!$I$4:$I$130,MATCH(G97,'G-8 Condition Look up'!$A$4:$A$130,0)),"")</f>
        <v/>
      </c>
      <c r="D97" s="77">
        <v>87</v>
      </c>
      <c r="E97" s="78"/>
      <c r="F97" s="79"/>
      <c r="G97" s="69" t="str">
        <f>IFERROR(INDEX('G-1 All Habitats'!$B$3:$B$129,MATCH(F97,'G-1 All Habitats'!$A$3:$A$129,0)),"")</f>
        <v/>
      </c>
      <c r="H97" s="70"/>
      <c r="I97" s="498" t="str">
        <f>IF(G97="","",VLOOKUP(G97,'G-1 All Habitats'!$B$2:$M$129,10,FALSE))</f>
        <v/>
      </c>
      <c r="J97" s="499" t="str">
        <f>IFERROR(VLOOKUP(I97,'G-1 All Habitats'!$V$3:$W$7,2,FALSE),"")</f>
        <v/>
      </c>
      <c r="K97" s="71"/>
      <c r="L97" s="499" t="str">
        <f>IFERROR(INDEX('G-8 Condition Look up'!$A$3:$H$130,MATCH(G97,'G-8 Condition Look up'!$A$3:$A$130,0),MATCH(K97,'G-8 Condition Look up'!$A$3:$H$3,0)),"")</f>
        <v/>
      </c>
      <c r="M97" s="71"/>
      <c r="N97" s="520" t="str">
        <f>IF(M97="","",IF(VLOOKUP(M97,'G-3 Multipliers'!$L$3:$N$6,2,FALSE)=0,"Spatial Data Missing",VLOOKUP(M97,'G-3 Multipliers'!$L$3:$N$6,2,FALSE)))</f>
        <v/>
      </c>
      <c r="O97" s="505" t="str">
        <f>IF(M97="","",IF(VLOOKUP(M97,'G-3 Multipliers'!$L$3:$N$6,3,FALSE)=0,"Spatial Data Missing ▲",VLOOKUP(M97,'G-3 Multipliers'!$L$3:$N$6,3,FALSE)))</f>
        <v/>
      </c>
      <c r="P97" s="506" t="str">
        <f>IFERROR(VLOOKUP(G97,'G-1 All Habitats'!$B$2:$M$129,12,FALSE),"")</f>
        <v/>
      </c>
      <c r="Q97" s="513" t="str">
        <f>IFERROR(IF(P97="","",IF(AND(P97='G-1 All Habitats'!$X$3,T97&gt;0),U97+V97,IF(AND(P97='G-1 All Habitats'!$X$3,S97&gt;0),U97+V97,IF(AND(P97='G-1 All Habitats'!$X$3,AC97&gt;0),"Any Loss Unacceptable ▲",IF(AND(P97='G-1 All Habitats'!$X$3,W97&gt;0),"Any Loss Unacceptable ▲",H97*J97*L97*O97))))),"Check Data ▲")</f>
        <v/>
      </c>
      <c r="R97" s="50"/>
      <c r="S97" s="71"/>
      <c r="T97" s="72"/>
      <c r="U97" s="511" t="str">
        <f t="shared" si="8"/>
        <v/>
      </c>
      <c r="V97" s="511" t="str">
        <f t="shared" si="9"/>
        <v/>
      </c>
      <c r="W97" s="511" t="str">
        <f>IF(E97="","",IF(H97&lt;S97+T97,"Error in Areas ▲",IF(P97&lt;&gt;'G-1 All Habitats'!$X$3,H97-S97-T97,IF(AND(P97='G-1 All Habitats'!$X$3,Y97="Yes"),"Unacceptable Loss",IF(AND(P97='G-1 All Habitats'!$X$3,Y97="No"),AC97,IF(AND(P97='G-1 All Habitats'!$X$3,Y97=""),AC97,IF(AND(P97='G-1 All Habitats'!$X$3,AC97="None",AC97),IF(AND(P97='G-1 All Habitats'!$X$3,AC97&gt;0),H97-S97-T97))))))))</f>
        <v/>
      </c>
      <c r="X97" s="515" t="str">
        <f>IFERROR(IF(H97="","",IF(H97-S97-T97=0&lt;0,"Error in Areas ▲",IF(S97+T97&gt;H97,"Error in Areas ▲",IF(AND(P97='G-1 All Habitats'!$X$3,Y97="Yes"),"Alternative Compensation ✓",IF(W97=0,0,IF(P97='G-1 All Habitats'!$X$3,"Unacceptable Loss ▲",Q97-U97-V97)))))),"Check Data ▲")</f>
        <v/>
      </c>
      <c r="Y97" s="72"/>
      <c r="Z97" s="80"/>
      <c r="AA97" s="81"/>
      <c r="AC97" s="75" t="str">
        <f>IF(P97="","",IF(P97='G-1 All Habitats'!$X$3,H97-S97-T97,"None"))</f>
        <v/>
      </c>
      <c r="AD97" s="76" t="str">
        <f>IFERROR(AC97*J97*L97*#REF!*O97,IF(P97="","","None"))</f>
        <v/>
      </c>
      <c r="AF97" s="54" t="str">
        <f t="shared" si="5"/>
        <v/>
      </c>
      <c r="AG97" s="54" t="str">
        <f t="shared" si="6"/>
        <v/>
      </c>
      <c r="AH97" s="54" t="str">
        <f>IF(I97="","",IF(#REF!&gt;0,TRUE,FALSE))</f>
        <v/>
      </c>
      <c r="AI97" s="54">
        <v>87</v>
      </c>
      <c r="AJ97" s="54"/>
      <c r="AK97" s="54" t="str">
        <f t="array" ref="AK97">IFERROR(INDEX($AI$11:$AI$259, MATCH(0, IF(TRUE=$AF$11:$AF$259, COUNTIF($AK$10:$AK96, $AI$11:$AI$259), ""), 0)),"")</f>
        <v/>
      </c>
      <c r="AL97" s="54" t="str">
        <f t="array" ref="AL97">IFERROR(INDEX($AI$11:$AI$259, MATCH(0, IF(TRUE=$AG$11:$AG$259, COUNTIF($AL$10:$AL96, $AI$11:$AI$259), ""), 0)),"")</f>
        <v/>
      </c>
      <c r="AM97" s="54" t="str">
        <f t="array" ref="AM97">IFERROR(INDEX($AI$11:$AI$259, MATCH(0, IF(TRUE=$AH$11:$AH$259, COUNTIF($AM$10:$AM96, $AI$11:$AI$259), ""), 0)),"")</f>
        <v/>
      </c>
      <c r="AN97" s="54"/>
      <c r="AQ97" s="47">
        <f t="shared" si="7"/>
        <v>0</v>
      </c>
    </row>
    <row r="98" spans="1:43" x14ac:dyDescent="0.3">
      <c r="A98" s="47" t="str">
        <f>IFERROR(INDEX('G-1 All Habitats'!$AG$3:$AG$15,MATCH(E98,'G-1 All Habitats'!$AF$3:$AF$15,0)),"")</f>
        <v/>
      </c>
      <c r="B98" s="47" t="str">
        <f>IFERROR(INDEX('G-8 Condition Look up'!$I$4:$I$130,MATCH(G98,'G-8 Condition Look up'!$A$4:$A$130,0)),"")</f>
        <v/>
      </c>
      <c r="D98" s="77">
        <v>88</v>
      </c>
      <c r="E98" s="78"/>
      <c r="F98" s="79"/>
      <c r="G98" s="69" t="str">
        <f>IFERROR(INDEX('G-1 All Habitats'!$B$3:$B$129,MATCH(F98,'G-1 All Habitats'!$A$3:$A$129,0)),"")</f>
        <v/>
      </c>
      <c r="H98" s="70"/>
      <c r="I98" s="498" t="str">
        <f>IF(G98="","",VLOOKUP(G98,'G-1 All Habitats'!$B$2:$M$129,10,FALSE))</f>
        <v/>
      </c>
      <c r="J98" s="499" t="str">
        <f>IFERROR(VLOOKUP(I98,'G-1 All Habitats'!$V$3:$W$7,2,FALSE),"")</f>
        <v/>
      </c>
      <c r="K98" s="71"/>
      <c r="L98" s="499" t="str">
        <f>IFERROR(INDEX('G-8 Condition Look up'!$A$3:$H$130,MATCH(G98,'G-8 Condition Look up'!$A$3:$A$130,0),MATCH(K98,'G-8 Condition Look up'!$A$3:$H$3,0)),"")</f>
        <v/>
      </c>
      <c r="M98" s="71"/>
      <c r="N98" s="520" t="str">
        <f>IF(M98="","",IF(VLOOKUP(M98,'G-3 Multipliers'!$L$3:$N$6,2,FALSE)=0,"Spatial Data Missing",VLOOKUP(M98,'G-3 Multipliers'!$L$3:$N$6,2,FALSE)))</f>
        <v/>
      </c>
      <c r="O98" s="505" t="str">
        <f>IF(M98="","",IF(VLOOKUP(M98,'G-3 Multipliers'!$L$3:$N$6,3,FALSE)=0,"Spatial Data Missing ▲",VLOOKUP(M98,'G-3 Multipliers'!$L$3:$N$6,3,FALSE)))</f>
        <v/>
      </c>
      <c r="P98" s="506" t="str">
        <f>IFERROR(VLOOKUP(G98,'G-1 All Habitats'!$B$2:$M$129,12,FALSE),"")</f>
        <v/>
      </c>
      <c r="Q98" s="513" t="str">
        <f>IFERROR(IF(P98="","",IF(AND(P98='G-1 All Habitats'!$X$3,T98&gt;0),U98+V98,IF(AND(P98='G-1 All Habitats'!$X$3,S98&gt;0),U98+V98,IF(AND(P98='G-1 All Habitats'!$X$3,AC98&gt;0),"Any Loss Unacceptable ▲",IF(AND(P98='G-1 All Habitats'!$X$3,W98&gt;0),"Any Loss Unacceptable ▲",H98*J98*L98*O98))))),"Check Data ▲")</f>
        <v/>
      </c>
      <c r="R98" s="50"/>
      <c r="S98" s="71"/>
      <c r="T98" s="72"/>
      <c r="U98" s="511" t="str">
        <f t="shared" si="8"/>
        <v/>
      </c>
      <c r="V98" s="511" t="str">
        <f t="shared" si="9"/>
        <v/>
      </c>
      <c r="W98" s="511" t="str">
        <f>IF(E98="","",IF(H98&lt;S98+T98,"Error in Areas ▲",IF(P98&lt;&gt;'G-1 All Habitats'!$X$3,H98-S98-T98,IF(AND(P98='G-1 All Habitats'!$X$3,Y98="Yes"),"Unacceptable Loss",IF(AND(P98='G-1 All Habitats'!$X$3,Y98="No"),AC98,IF(AND(P98='G-1 All Habitats'!$X$3,Y98=""),AC98,IF(AND(P98='G-1 All Habitats'!$X$3,AC98="None",AC98),IF(AND(P98='G-1 All Habitats'!$X$3,AC98&gt;0),H98-S98-T98))))))))</f>
        <v/>
      </c>
      <c r="X98" s="515" t="str">
        <f>IFERROR(IF(H98="","",IF(H98-S98-T98=0&lt;0,"Error in Areas ▲",IF(S98+T98&gt;H98,"Error in Areas ▲",IF(AND(P98='G-1 All Habitats'!$X$3,Y98="Yes"),"Alternative Compensation ✓",IF(W98=0,0,IF(P98='G-1 All Habitats'!$X$3,"Unacceptable Loss ▲",Q98-U98-V98)))))),"Check Data ▲")</f>
        <v/>
      </c>
      <c r="Y98" s="72"/>
      <c r="Z98" s="80"/>
      <c r="AA98" s="81"/>
      <c r="AC98" s="75" t="str">
        <f>IF(P98="","",IF(P98='G-1 All Habitats'!$X$3,H98-S98-T98,"None"))</f>
        <v/>
      </c>
      <c r="AD98" s="76" t="str">
        <f>IFERROR(AC98*J98*L98*#REF!*O98,IF(P98="","","None"))</f>
        <v/>
      </c>
      <c r="AF98" s="54" t="str">
        <f t="shared" si="5"/>
        <v/>
      </c>
      <c r="AG98" s="54" t="str">
        <f t="shared" si="6"/>
        <v/>
      </c>
      <c r="AH98" s="54" t="str">
        <f>IF(I98="","",IF(#REF!&gt;0,TRUE,FALSE))</f>
        <v/>
      </c>
      <c r="AI98" s="54">
        <v>88</v>
      </c>
      <c r="AJ98" s="54"/>
      <c r="AK98" s="54" t="str">
        <f t="array" ref="AK98">IFERROR(INDEX($AI$11:$AI$259, MATCH(0, IF(TRUE=$AF$11:$AF$259, COUNTIF($AK$10:$AK97, $AI$11:$AI$259), ""), 0)),"")</f>
        <v/>
      </c>
      <c r="AL98" s="54" t="str">
        <f t="array" ref="AL98">IFERROR(INDEX($AI$11:$AI$259, MATCH(0, IF(TRUE=$AG$11:$AG$259, COUNTIF($AL$10:$AL97, $AI$11:$AI$259), ""), 0)),"")</f>
        <v/>
      </c>
      <c r="AM98" s="54" t="str">
        <f t="array" ref="AM98">IFERROR(INDEX($AI$11:$AI$259, MATCH(0, IF(TRUE=$AH$11:$AH$259, COUNTIF($AM$10:$AM97, $AI$11:$AI$259), ""), 0)),"")</f>
        <v/>
      </c>
      <c r="AN98" s="54"/>
      <c r="AQ98" s="47">
        <f t="shared" si="7"/>
        <v>0</v>
      </c>
    </row>
    <row r="99" spans="1:43" x14ac:dyDescent="0.3">
      <c r="A99" s="47" t="str">
        <f>IFERROR(INDEX('G-1 All Habitats'!$AG$3:$AG$15,MATCH(E99,'G-1 All Habitats'!$AF$3:$AF$15,0)),"")</f>
        <v/>
      </c>
      <c r="B99" s="47" t="str">
        <f>IFERROR(INDEX('G-8 Condition Look up'!$I$4:$I$130,MATCH(G99,'G-8 Condition Look up'!$A$4:$A$130,0)),"")</f>
        <v/>
      </c>
      <c r="D99" s="77">
        <v>89</v>
      </c>
      <c r="E99" s="78"/>
      <c r="F99" s="79"/>
      <c r="G99" s="69" t="str">
        <f>IFERROR(INDEX('G-1 All Habitats'!$B$3:$B$129,MATCH(F99,'G-1 All Habitats'!$A$3:$A$129,0)),"")</f>
        <v/>
      </c>
      <c r="H99" s="70"/>
      <c r="I99" s="498" t="str">
        <f>IF(G99="","",VLOOKUP(G99,'G-1 All Habitats'!$B$2:$M$129,10,FALSE))</f>
        <v/>
      </c>
      <c r="J99" s="499" t="str">
        <f>IFERROR(VLOOKUP(I99,'G-1 All Habitats'!$V$3:$W$7,2,FALSE),"")</f>
        <v/>
      </c>
      <c r="K99" s="71"/>
      <c r="L99" s="499" t="str">
        <f>IFERROR(INDEX('G-8 Condition Look up'!$A$3:$H$130,MATCH(G99,'G-8 Condition Look up'!$A$3:$A$130,0),MATCH(K99,'G-8 Condition Look up'!$A$3:$H$3,0)),"")</f>
        <v/>
      </c>
      <c r="M99" s="71"/>
      <c r="N99" s="520" t="str">
        <f>IF(M99="","",IF(VLOOKUP(M99,'G-3 Multipliers'!$L$3:$N$6,2,FALSE)=0,"Spatial Data Missing",VLOOKUP(M99,'G-3 Multipliers'!$L$3:$N$6,2,FALSE)))</f>
        <v/>
      </c>
      <c r="O99" s="505" t="str">
        <f>IF(M99="","",IF(VLOOKUP(M99,'G-3 Multipliers'!$L$3:$N$6,3,FALSE)=0,"Spatial Data Missing ▲",VLOOKUP(M99,'G-3 Multipliers'!$L$3:$N$6,3,FALSE)))</f>
        <v/>
      </c>
      <c r="P99" s="506" t="str">
        <f>IFERROR(VLOOKUP(G99,'G-1 All Habitats'!$B$2:$M$129,12,FALSE),"")</f>
        <v/>
      </c>
      <c r="Q99" s="513" t="str">
        <f>IFERROR(IF(P99="","",IF(AND(P99='G-1 All Habitats'!$X$3,T99&gt;0),U99+V99,IF(AND(P99='G-1 All Habitats'!$X$3,S99&gt;0),U99+V99,IF(AND(P99='G-1 All Habitats'!$X$3,AC99&gt;0),"Any Loss Unacceptable ▲",IF(AND(P99='G-1 All Habitats'!$X$3,W99&gt;0),"Any Loss Unacceptable ▲",H99*J99*L99*O99))))),"Check Data ▲")</f>
        <v/>
      </c>
      <c r="R99" s="50"/>
      <c r="S99" s="71"/>
      <c r="T99" s="72"/>
      <c r="U99" s="511" t="str">
        <f t="shared" si="8"/>
        <v/>
      </c>
      <c r="V99" s="511" t="str">
        <f t="shared" si="9"/>
        <v/>
      </c>
      <c r="W99" s="511" t="str">
        <f>IF(E99="","",IF(H99&lt;S99+T99,"Error in Areas ▲",IF(P99&lt;&gt;'G-1 All Habitats'!$X$3,H99-S99-T99,IF(AND(P99='G-1 All Habitats'!$X$3,Y99="Yes"),"Unacceptable Loss",IF(AND(P99='G-1 All Habitats'!$X$3,Y99="No"),AC99,IF(AND(P99='G-1 All Habitats'!$X$3,Y99=""),AC99,IF(AND(P99='G-1 All Habitats'!$X$3,AC99="None",AC99),IF(AND(P99='G-1 All Habitats'!$X$3,AC99&gt;0),H99-S99-T99))))))))</f>
        <v/>
      </c>
      <c r="X99" s="515" t="str">
        <f>IFERROR(IF(H99="","",IF(H99-S99-T99=0&lt;0,"Error in Areas ▲",IF(S99+T99&gt;H99,"Error in Areas ▲",IF(AND(P99='G-1 All Habitats'!$X$3,Y99="Yes"),"Alternative Compensation ✓",IF(W99=0,0,IF(P99='G-1 All Habitats'!$X$3,"Unacceptable Loss ▲",Q99-U99-V99)))))),"Check Data ▲")</f>
        <v/>
      </c>
      <c r="Y99" s="72"/>
      <c r="Z99" s="80"/>
      <c r="AA99" s="81"/>
      <c r="AC99" s="75" t="str">
        <f>IF(P99="","",IF(P99='G-1 All Habitats'!$X$3,H99-S99-T99,"None"))</f>
        <v/>
      </c>
      <c r="AD99" s="76" t="str">
        <f>IFERROR(AC99*J99*L99*#REF!*O99,IF(P99="","","None"))</f>
        <v/>
      </c>
      <c r="AF99" s="54" t="str">
        <f t="shared" si="5"/>
        <v/>
      </c>
      <c r="AG99" s="54" t="str">
        <f t="shared" si="6"/>
        <v/>
      </c>
      <c r="AH99" s="54" t="str">
        <f>IF(I99="","",IF(#REF!&gt;0,TRUE,FALSE))</f>
        <v/>
      </c>
      <c r="AI99" s="54">
        <v>89</v>
      </c>
      <c r="AJ99" s="54"/>
      <c r="AK99" s="54" t="str">
        <f t="array" ref="AK99">IFERROR(INDEX($AI$11:$AI$259, MATCH(0, IF(TRUE=$AF$11:$AF$259, COUNTIF($AK$10:$AK98, $AI$11:$AI$259), ""), 0)),"")</f>
        <v/>
      </c>
      <c r="AL99" s="54" t="str">
        <f t="array" ref="AL99">IFERROR(INDEX($AI$11:$AI$259, MATCH(0, IF(TRUE=$AG$11:$AG$259, COUNTIF($AL$10:$AL98, $AI$11:$AI$259), ""), 0)),"")</f>
        <v/>
      </c>
      <c r="AM99" s="54" t="str">
        <f t="array" ref="AM99">IFERROR(INDEX($AI$11:$AI$259, MATCH(0, IF(TRUE=$AH$11:$AH$259, COUNTIF($AM$10:$AM98, $AI$11:$AI$259), ""), 0)),"")</f>
        <v/>
      </c>
      <c r="AN99" s="54"/>
      <c r="AQ99" s="47">
        <f t="shared" si="7"/>
        <v>0</v>
      </c>
    </row>
    <row r="100" spans="1:43" x14ac:dyDescent="0.3">
      <c r="A100" s="47" t="str">
        <f>IFERROR(INDEX('G-1 All Habitats'!$AG$3:$AG$15,MATCH(E100,'G-1 All Habitats'!$AF$3:$AF$15,0)),"")</f>
        <v/>
      </c>
      <c r="B100" s="47" t="str">
        <f>IFERROR(INDEX('G-8 Condition Look up'!$I$4:$I$130,MATCH(G100,'G-8 Condition Look up'!$A$4:$A$130,0)),"")</f>
        <v/>
      </c>
      <c r="D100" s="77">
        <v>90</v>
      </c>
      <c r="E100" s="78"/>
      <c r="F100" s="79"/>
      <c r="G100" s="69" t="str">
        <f>IFERROR(INDEX('G-1 All Habitats'!$B$3:$B$129,MATCH(F100,'G-1 All Habitats'!$A$3:$A$129,0)),"")</f>
        <v/>
      </c>
      <c r="H100" s="70"/>
      <c r="I100" s="498" t="str">
        <f>IF(G100="","",VLOOKUP(G100,'G-1 All Habitats'!$B$2:$M$129,10,FALSE))</f>
        <v/>
      </c>
      <c r="J100" s="499" t="str">
        <f>IFERROR(VLOOKUP(I100,'G-1 All Habitats'!$V$3:$W$7,2,FALSE),"")</f>
        <v/>
      </c>
      <c r="K100" s="71"/>
      <c r="L100" s="499" t="str">
        <f>IFERROR(INDEX('G-8 Condition Look up'!$A$3:$H$130,MATCH(G100,'G-8 Condition Look up'!$A$3:$A$130,0),MATCH(K100,'G-8 Condition Look up'!$A$3:$H$3,0)),"")</f>
        <v/>
      </c>
      <c r="M100" s="71"/>
      <c r="N100" s="520" t="str">
        <f>IF(M100="","",IF(VLOOKUP(M100,'G-3 Multipliers'!$L$3:$N$6,2,FALSE)=0,"Spatial Data Missing",VLOOKUP(M100,'G-3 Multipliers'!$L$3:$N$6,2,FALSE)))</f>
        <v/>
      </c>
      <c r="O100" s="505" t="str">
        <f>IF(M100="","",IF(VLOOKUP(M100,'G-3 Multipliers'!$L$3:$N$6,3,FALSE)=0,"Spatial Data Missing ▲",VLOOKUP(M100,'G-3 Multipliers'!$L$3:$N$6,3,FALSE)))</f>
        <v/>
      </c>
      <c r="P100" s="506" t="str">
        <f>IFERROR(VLOOKUP(G100,'G-1 All Habitats'!$B$2:$M$129,12,FALSE),"")</f>
        <v/>
      </c>
      <c r="Q100" s="513" t="str">
        <f>IFERROR(IF(P100="","",IF(AND(P100='G-1 All Habitats'!$X$3,T100&gt;0),U100+V100,IF(AND(P100='G-1 All Habitats'!$X$3,S100&gt;0),U100+V100,IF(AND(P100='G-1 All Habitats'!$X$3,AC100&gt;0),"Any Loss Unacceptable ▲",IF(AND(P100='G-1 All Habitats'!$X$3,W100&gt;0),"Any Loss Unacceptable ▲",H100*J100*L100*O100))))),"Check Data ▲")</f>
        <v/>
      </c>
      <c r="R100" s="50"/>
      <c r="S100" s="71"/>
      <c r="T100" s="72"/>
      <c r="U100" s="511" t="str">
        <f t="shared" si="8"/>
        <v/>
      </c>
      <c r="V100" s="511" t="str">
        <f t="shared" si="9"/>
        <v/>
      </c>
      <c r="W100" s="511" t="str">
        <f>IF(E100="","",IF(H100&lt;S100+T100,"Error in Areas ▲",IF(P100&lt;&gt;'G-1 All Habitats'!$X$3,H100-S100-T100,IF(AND(P100='G-1 All Habitats'!$X$3,Y100="Yes"),"Unacceptable Loss",IF(AND(P100='G-1 All Habitats'!$X$3,Y100="No"),AC100,IF(AND(P100='G-1 All Habitats'!$X$3,Y100=""),AC100,IF(AND(P100='G-1 All Habitats'!$X$3,AC100="None",AC100),IF(AND(P100='G-1 All Habitats'!$X$3,AC100&gt;0),H100-S100-T100))))))))</f>
        <v/>
      </c>
      <c r="X100" s="515" t="str">
        <f>IFERROR(IF(H100="","",IF(H100-S100-T100=0&lt;0,"Error in Areas ▲",IF(S100+T100&gt;H100,"Error in Areas ▲",IF(AND(P100='G-1 All Habitats'!$X$3,Y100="Yes"),"Alternative Compensation ✓",IF(W100=0,0,IF(P100='G-1 All Habitats'!$X$3,"Unacceptable Loss ▲",Q100-U100-V100)))))),"Check Data ▲")</f>
        <v/>
      </c>
      <c r="Y100" s="72"/>
      <c r="Z100" s="80"/>
      <c r="AA100" s="81"/>
      <c r="AC100" s="75" t="str">
        <f>IF(P100="","",IF(P100='G-1 All Habitats'!$X$3,H100-S100-T100,"None"))</f>
        <v/>
      </c>
      <c r="AD100" s="76" t="str">
        <f>IFERROR(AC100*J100*L100*#REF!*O100,IF(P100="","","None"))</f>
        <v/>
      </c>
      <c r="AF100" s="54" t="str">
        <f t="shared" si="5"/>
        <v/>
      </c>
      <c r="AG100" s="54" t="str">
        <f t="shared" si="6"/>
        <v/>
      </c>
      <c r="AH100" s="54" t="str">
        <f>IF(I100="","",IF(#REF!&gt;0,TRUE,FALSE))</f>
        <v/>
      </c>
      <c r="AI100" s="54">
        <v>90</v>
      </c>
      <c r="AJ100" s="54"/>
      <c r="AK100" s="54" t="str">
        <f t="array" ref="AK100">IFERROR(INDEX($AI$11:$AI$259, MATCH(0, IF(TRUE=$AF$11:$AF$259, COUNTIF($AK$10:$AK99, $AI$11:$AI$259), ""), 0)),"")</f>
        <v/>
      </c>
      <c r="AL100" s="54" t="str">
        <f t="array" ref="AL100">IFERROR(INDEX($AI$11:$AI$259, MATCH(0, IF(TRUE=$AG$11:$AG$259, COUNTIF($AL$10:$AL99, $AI$11:$AI$259), ""), 0)),"")</f>
        <v/>
      </c>
      <c r="AM100" s="54" t="str">
        <f t="array" ref="AM100">IFERROR(INDEX($AI$11:$AI$259, MATCH(0, IF(TRUE=$AH$11:$AH$259, COUNTIF($AM$10:$AM99, $AI$11:$AI$259), ""), 0)),"")</f>
        <v/>
      </c>
      <c r="AN100" s="54"/>
      <c r="AQ100" s="47">
        <f t="shared" si="7"/>
        <v>0</v>
      </c>
    </row>
    <row r="101" spans="1:43" x14ac:dyDescent="0.3">
      <c r="A101" s="47" t="str">
        <f>IFERROR(INDEX('G-1 All Habitats'!$AG$3:$AG$15,MATCH(E101,'G-1 All Habitats'!$AF$3:$AF$15,0)),"")</f>
        <v/>
      </c>
      <c r="B101" s="47" t="str">
        <f>IFERROR(INDEX('G-8 Condition Look up'!$I$4:$I$130,MATCH(G101,'G-8 Condition Look up'!$A$4:$A$130,0)),"")</f>
        <v/>
      </c>
      <c r="D101" s="77">
        <v>91</v>
      </c>
      <c r="E101" s="78"/>
      <c r="F101" s="79"/>
      <c r="G101" s="69" t="str">
        <f>IFERROR(INDEX('G-1 All Habitats'!$B$3:$B$129,MATCH(F101,'G-1 All Habitats'!$A$3:$A$129,0)),"")</f>
        <v/>
      </c>
      <c r="H101" s="70"/>
      <c r="I101" s="498" t="str">
        <f>IF(G101="","",VLOOKUP(G101,'G-1 All Habitats'!$B$2:$M$129,10,FALSE))</f>
        <v/>
      </c>
      <c r="J101" s="499" t="str">
        <f>IFERROR(VLOOKUP(I101,'G-1 All Habitats'!$V$3:$W$7,2,FALSE),"")</f>
        <v/>
      </c>
      <c r="K101" s="71"/>
      <c r="L101" s="499" t="str">
        <f>IFERROR(INDEX('G-8 Condition Look up'!$A$3:$H$130,MATCH(G101,'G-8 Condition Look up'!$A$3:$A$130,0),MATCH(K101,'G-8 Condition Look up'!$A$3:$H$3,0)),"")</f>
        <v/>
      </c>
      <c r="M101" s="71"/>
      <c r="N101" s="520" t="str">
        <f>IF(M101="","",IF(VLOOKUP(M101,'G-3 Multipliers'!$L$3:$N$6,2,FALSE)=0,"Spatial Data Missing",VLOOKUP(M101,'G-3 Multipliers'!$L$3:$N$6,2,FALSE)))</f>
        <v/>
      </c>
      <c r="O101" s="505" t="str">
        <f>IF(M101="","",IF(VLOOKUP(M101,'G-3 Multipliers'!$L$3:$N$6,3,FALSE)=0,"Spatial Data Missing",VLOOKUP(M101,'G-3 Multipliers'!$L$3:$N$6,3,FALSE)))</f>
        <v/>
      </c>
      <c r="P101" s="506" t="str">
        <f>IFERROR(VLOOKUP(G101,'G-1 All Habitats'!$B$2:$M$129,12,FALSE),"")</f>
        <v/>
      </c>
      <c r="Q101" s="513" t="str">
        <f>IFERROR(IF(P101="","",IF(AND(P101='G-1 All Habitats'!$X$3,T101&gt;0),U101+V101,IF(AND(P101='G-1 All Habitats'!$X$3,S101&gt;0),U101+V101,IF(AND(P101='G-1 All Habitats'!$X$3,AC101&gt;0),"Any Loss Unacceptable ▲",IF(AND(P101='G-1 All Habitats'!$X$3,W101&gt;0),"Any Loss Unacceptable ▲",H101*J101*L101*O101))))),"Check Data ▲")</f>
        <v/>
      </c>
      <c r="R101" s="50"/>
      <c r="S101" s="71"/>
      <c r="T101" s="72"/>
      <c r="U101" s="511" t="str">
        <f t="shared" si="8"/>
        <v/>
      </c>
      <c r="V101" s="511" t="str">
        <f t="shared" si="9"/>
        <v/>
      </c>
      <c r="W101" s="511" t="str">
        <f>IF(E101="","",IF(H101&lt;S101+T101,"Error in Areas ▲",IF(P101&lt;&gt;'G-1 All Habitats'!$X$3,H101-S101-T101,IF(AND(P101='G-1 All Habitats'!$X$3,Y101="Yes"),"Unacceptable Loss",IF(AND(P101='G-1 All Habitats'!$X$3,Y101="No"),AC101,IF(AND(P101='G-1 All Habitats'!$X$3,Y101=""),AC101,IF(AND(P101='G-1 All Habitats'!$X$3,AC101="None",AC101),IF(AND(P101='G-1 All Habitats'!$X$3,AC101&gt;0),H101-S101-T101))))))))</f>
        <v/>
      </c>
      <c r="X101" s="515" t="str">
        <f>IFERROR(IF(H101="","",IF(H101-S101-T101=0&lt;0,"Error in Areas ▲",IF(S101+T101&gt;H101,"Error in Areas ▲",IF(AND(P101='G-1 All Habitats'!$X$3,Y101="Yes"),"Alternative Compensation ✓",IF(W101=0,0,IF(P101='G-1 All Habitats'!$X$3,"Unacceptable Loss ▲",Q101-U101-V101)))))),"Check Data ▲")</f>
        <v/>
      </c>
      <c r="Y101" s="72"/>
      <c r="Z101" s="80"/>
      <c r="AA101" s="81"/>
      <c r="AC101" s="75" t="str">
        <f>IF(P101="","",IF(P101='G-1 All Habitats'!$X$3,H101-S101-T101,"None"))</f>
        <v/>
      </c>
      <c r="AD101" s="76" t="str">
        <f>IFERROR(AC101*J101*L101*#REF!*O101,IF(P101="","","None"))</f>
        <v/>
      </c>
      <c r="AF101" s="54" t="str">
        <f t="shared" si="5"/>
        <v/>
      </c>
      <c r="AG101" s="54" t="str">
        <f t="shared" si="6"/>
        <v/>
      </c>
      <c r="AH101" s="54" t="str">
        <f>IF(I101="","",IF(#REF!&gt;0,TRUE,FALSE))</f>
        <v/>
      </c>
      <c r="AI101" s="54">
        <v>91</v>
      </c>
      <c r="AJ101" s="54"/>
      <c r="AK101" s="54" t="str">
        <f t="array" ref="AK101">IFERROR(INDEX($AI$11:$AI$259, MATCH(0, IF(TRUE=$AF$11:$AF$259, COUNTIF($AK$10:$AK100, $AI$11:$AI$259), ""), 0)),"")</f>
        <v/>
      </c>
      <c r="AL101" s="54" t="str">
        <f t="array" ref="AL101">IFERROR(INDEX($AI$11:$AI$259, MATCH(0, IF(TRUE=$AG$11:$AG$259, COUNTIF($AL$10:$AL100, $AI$11:$AI$259), ""), 0)),"")</f>
        <v/>
      </c>
      <c r="AM101" s="54" t="str">
        <f t="array" ref="AM101">IFERROR(INDEX($AI$11:$AI$259, MATCH(0, IF(TRUE=$AH$11:$AH$259, COUNTIF($AM$10:$AM100, $AI$11:$AI$259), ""), 0)),"")</f>
        <v/>
      </c>
      <c r="AN101" s="54"/>
      <c r="AQ101" s="47">
        <f t="shared" si="7"/>
        <v>0</v>
      </c>
    </row>
    <row r="102" spans="1:43" x14ac:dyDescent="0.3">
      <c r="A102" s="47" t="str">
        <f>IFERROR(INDEX('G-1 All Habitats'!$AG$3:$AG$15,MATCH(E102,'G-1 All Habitats'!$AF$3:$AF$15,0)),"")</f>
        <v/>
      </c>
      <c r="B102" s="47" t="str">
        <f>IFERROR(INDEX('G-8 Condition Look up'!$I$4:$I$130,MATCH(G102,'G-8 Condition Look up'!$A$4:$A$130,0)),"")</f>
        <v/>
      </c>
      <c r="D102" s="77">
        <v>92</v>
      </c>
      <c r="E102" s="78"/>
      <c r="F102" s="79"/>
      <c r="G102" s="69" t="str">
        <f>IFERROR(INDEX('G-1 All Habitats'!$B$3:$B$129,MATCH(F102,'G-1 All Habitats'!$A$3:$A$129,0)),"")</f>
        <v/>
      </c>
      <c r="H102" s="70"/>
      <c r="I102" s="498" t="str">
        <f>IF(G102="","",VLOOKUP(G102,'G-1 All Habitats'!$B$2:$M$129,10,FALSE))</f>
        <v/>
      </c>
      <c r="J102" s="499" t="str">
        <f>IFERROR(VLOOKUP(I102,'G-1 All Habitats'!$V$3:$W$7,2,FALSE),"")</f>
        <v/>
      </c>
      <c r="K102" s="71"/>
      <c r="L102" s="499" t="str">
        <f>IFERROR(INDEX('G-8 Condition Look up'!$A$3:$H$130,MATCH(G102,'G-8 Condition Look up'!$A$3:$A$130,0),MATCH(K102,'G-8 Condition Look up'!$A$3:$H$3,0)),"")</f>
        <v/>
      </c>
      <c r="M102" s="71"/>
      <c r="N102" s="520" t="str">
        <f>IF(M102="","",IF(VLOOKUP(M102,'G-3 Multipliers'!$L$3:$N$6,2,FALSE)=0,"Spatial Data Missing",VLOOKUP(M102,'G-3 Multipliers'!$L$3:$N$6,2,FALSE)))</f>
        <v/>
      </c>
      <c r="O102" s="505" t="str">
        <f>IF(M102="","",IF(VLOOKUP(M102,'G-3 Multipliers'!$L$3:$N$6,3,FALSE)=0,"Spatial Data Missing",VLOOKUP(M102,'G-3 Multipliers'!$L$3:$N$6,3,FALSE)))</f>
        <v/>
      </c>
      <c r="P102" s="506" t="str">
        <f>IFERROR(VLOOKUP(G102,'G-1 All Habitats'!$B$2:$M$129,12,FALSE),"")</f>
        <v/>
      </c>
      <c r="Q102" s="513" t="str">
        <f>IFERROR(IF(P102="","",IF(AND(P102='G-1 All Habitats'!$X$3,T102&gt;0),U102+V102,IF(AND(P102='G-1 All Habitats'!$X$3,S102&gt;0),U102+V102,IF(AND(P102='G-1 All Habitats'!$X$3,AC102&gt;0),"Any Loss Unacceptable ▲",IF(AND(P102='G-1 All Habitats'!$X$3,W102&gt;0),"Any Loss Unacceptable ▲",H102*J102*L102*O102))))),"Check Data ▲")</f>
        <v/>
      </c>
      <c r="R102" s="50"/>
      <c r="S102" s="71"/>
      <c r="T102" s="72"/>
      <c r="U102" s="511" t="str">
        <f t="shared" si="8"/>
        <v/>
      </c>
      <c r="V102" s="511" t="str">
        <f t="shared" si="9"/>
        <v/>
      </c>
      <c r="W102" s="511" t="str">
        <f>IF(E102="","",IF(H102&lt;S102+T102,"Error in Areas ▲",IF(P102&lt;&gt;'G-1 All Habitats'!$X$3,H102-S102-T102,IF(AND(P102='G-1 All Habitats'!$X$3,Y102="Yes"),"Unacceptable Loss",IF(AND(P102='G-1 All Habitats'!$X$3,Y102="No"),AC102,IF(AND(P102='G-1 All Habitats'!$X$3,Y102=""),AC102,IF(AND(P102='G-1 All Habitats'!$X$3,AC102="None",AC102),IF(AND(P102='G-1 All Habitats'!$X$3,AC102&gt;0),H102-S102-T102))))))))</f>
        <v/>
      </c>
      <c r="X102" s="515" t="str">
        <f>IFERROR(IF(H102="","",IF(H102-S102-T102=0&lt;0,"Error in Areas ▲",IF(S102+T102&gt;H102,"Error in Areas ▲",IF(AND(P102='G-1 All Habitats'!$X$3,Y102="Yes"),"Alternative Compensation ✓",IF(W102=0,0,IF(P102='G-1 All Habitats'!$X$3,"Unacceptable Loss ▲",Q102-U102-V102)))))),"Check Data ▲")</f>
        <v/>
      </c>
      <c r="Y102" s="72"/>
      <c r="Z102" s="80"/>
      <c r="AA102" s="81"/>
      <c r="AC102" s="75" t="str">
        <f>IF(P102="","",IF(P102='G-1 All Habitats'!$X$3,H102-S102-T102,"None"))</f>
        <v/>
      </c>
      <c r="AD102" s="76" t="str">
        <f>IFERROR(AC102*J102*L102*#REF!*O102,IF(P102="","","None"))</f>
        <v/>
      </c>
      <c r="AF102" s="54" t="str">
        <f t="shared" si="5"/>
        <v/>
      </c>
      <c r="AG102" s="54" t="str">
        <f t="shared" si="6"/>
        <v/>
      </c>
      <c r="AH102" s="54" t="str">
        <f>IF(I102="","",IF(#REF!&gt;0,TRUE,FALSE))</f>
        <v/>
      </c>
      <c r="AI102" s="54">
        <v>92</v>
      </c>
      <c r="AJ102" s="54"/>
      <c r="AK102" s="54" t="str">
        <f t="array" ref="AK102">IFERROR(INDEX($AI$11:$AI$259, MATCH(0, IF(TRUE=$AF$11:$AF$259, COUNTIF($AK$10:$AK101, $AI$11:$AI$259), ""), 0)),"")</f>
        <v/>
      </c>
      <c r="AL102" s="54" t="str">
        <f t="array" ref="AL102">IFERROR(INDEX($AI$11:$AI$259, MATCH(0, IF(TRUE=$AG$11:$AG$259, COUNTIF($AL$10:$AL101, $AI$11:$AI$259), ""), 0)),"")</f>
        <v/>
      </c>
      <c r="AM102" s="54" t="str">
        <f t="array" ref="AM102">IFERROR(INDEX($AI$11:$AI$259, MATCH(0, IF(TRUE=$AH$11:$AH$259, COUNTIF($AM$10:$AM101, $AI$11:$AI$259), ""), 0)),"")</f>
        <v/>
      </c>
      <c r="AN102" s="54"/>
      <c r="AQ102" s="47">
        <f t="shared" si="7"/>
        <v>0</v>
      </c>
    </row>
    <row r="103" spans="1:43" x14ac:dyDescent="0.3">
      <c r="A103" s="47" t="str">
        <f>IFERROR(INDEX('G-1 All Habitats'!$AG$3:$AG$15,MATCH(E103,'G-1 All Habitats'!$AF$3:$AF$15,0)),"")</f>
        <v/>
      </c>
      <c r="B103" s="47" t="str">
        <f>IFERROR(INDEX('G-8 Condition Look up'!$I$4:$I$130,MATCH(G103,'G-8 Condition Look up'!$A$4:$A$130,0)),"")</f>
        <v/>
      </c>
      <c r="D103" s="77">
        <v>93</v>
      </c>
      <c r="E103" s="78"/>
      <c r="F103" s="79"/>
      <c r="G103" s="69" t="str">
        <f>IFERROR(INDEX('G-1 All Habitats'!$B$3:$B$129,MATCH(F103,'G-1 All Habitats'!$A$3:$A$129,0)),"")</f>
        <v/>
      </c>
      <c r="H103" s="70"/>
      <c r="I103" s="498" t="str">
        <f>IF(G103="","",VLOOKUP(G103,'G-1 All Habitats'!$B$2:$M$129,10,FALSE))</f>
        <v/>
      </c>
      <c r="J103" s="499" t="str">
        <f>IFERROR(VLOOKUP(I103,'G-1 All Habitats'!$V$3:$W$7,2,FALSE),"")</f>
        <v/>
      </c>
      <c r="K103" s="71"/>
      <c r="L103" s="499" t="str">
        <f>IFERROR(INDEX('G-8 Condition Look up'!$A$3:$H$130,MATCH(G103,'G-8 Condition Look up'!$A$3:$A$130,0),MATCH(K103,'G-8 Condition Look up'!$A$3:$H$3,0)),"")</f>
        <v/>
      </c>
      <c r="M103" s="71"/>
      <c r="N103" s="520" t="str">
        <f>IF(M103="","",IF(VLOOKUP(M103,'G-3 Multipliers'!$L$3:$N$6,2,FALSE)=0,"Spatial Data Missing",VLOOKUP(M103,'G-3 Multipliers'!$L$3:$N$6,2,FALSE)))</f>
        <v/>
      </c>
      <c r="O103" s="505" t="str">
        <f>IF(M103="","",IF(VLOOKUP(M103,'G-3 Multipliers'!$L$3:$N$6,3,FALSE)=0,"Spatial Data Missing",VLOOKUP(M103,'G-3 Multipliers'!$L$3:$N$6,3,FALSE)))</f>
        <v/>
      </c>
      <c r="P103" s="506" t="str">
        <f>IFERROR(VLOOKUP(G103,'G-1 All Habitats'!$B$2:$M$129,12,FALSE),"")</f>
        <v/>
      </c>
      <c r="Q103" s="513" t="str">
        <f>IFERROR(IF(P103="","",IF(AND(P103='G-1 All Habitats'!$X$3,T103&gt;0),U103+V103,IF(AND(P103='G-1 All Habitats'!$X$3,S103&gt;0),U103+V103,IF(AND(P103='G-1 All Habitats'!$X$3,AC103&gt;0),"Any Loss Unacceptable ▲",IF(AND(P103='G-1 All Habitats'!$X$3,W103&gt;0),"Any Loss Unacceptable ▲",H103*J103*L103*O103))))),"Check Data ▲")</f>
        <v/>
      </c>
      <c r="R103" s="50"/>
      <c r="S103" s="71"/>
      <c r="T103" s="72"/>
      <c r="U103" s="511" t="str">
        <f t="shared" si="8"/>
        <v/>
      </c>
      <c r="V103" s="511" t="str">
        <f t="shared" si="9"/>
        <v/>
      </c>
      <c r="W103" s="511" t="str">
        <f>IF(E103="","",IF(H103&lt;S103+T103,"Error in Areas ▲",IF(P103&lt;&gt;'G-1 All Habitats'!$X$3,H103-S103-T103,IF(AND(P103='G-1 All Habitats'!$X$3,Y103="Yes"),"Unacceptable Loss",IF(AND(P103='G-1 All Habitats'!$X$3,Y103="No"),AC103,IF(AND(P103='G-1 All Habitats'!$X$3,Y103=""),AC103,IF(AND(P103='G-1 All Habitats'!$X$3,AC103="None",AC103),IF(AND(P103='G-1 All Habitats'!$X$3,AC103&gt;0),H103-S103-T103))))))))</f>
        <v/>
      </c>
      <c r="X103" s="515" t="str">
        <f>IFERROR(IF(H103="","",IF(H103-S103-T103=0&lt;0,"Error in Areas ▲",IF(S103+T103&gt;H103,"Error in Areas ▲",IF(AND(P103='G-1 All Habitats'!$X$3,Y103="Yes"),"Alternative Compensation ✓",IF(W103=0,0,IF(P103='G-1 All Habitats'!$X$3,"Unacceptable Loss ▲",Q103-U103-V103)))))),"Check Data ▲")</f>
        <v/>
      </c>
      <c r="Y103" s="72"/>
      <c r="Z103" s="80"/>
      <c r="AA103" s="81"/>
      <c r="AC103" s="75" t="str">
        <f>IF(P103="","",IF(P103='G-1 All Habitats'!$X$3,H103-S103-T103,"None"))</f>
        <v/>
      </c>
      <c r="AD103" s="76" t="str">
        <f>IFERROR(AC103*J103*L103*#REF!*O103,IF(P103="","","None"))</f>
        <v/>
      </c>
      <c r="AF103" s="54" t="str">
        <f t="shared" si="5"/>
        <v/>
      </c>
      <c r="AG103" s="54" t="str">
        <f t="shared" si="6"/>
        <v/>
      </c>
      <c r="AH103" s="54" t="str">
        <f>IF(I103="","",IF(#REF!&gt;0,TRUE,FALSE))</f>
        <v/>
      </c>
      <c r="AI103" s="54">
        <v>93</v>
      </c>
      <c r="AJ103" s="54"/>
      <c r="AK103" s="54" t="str">
        <f t="array" ref="AK103">IFERROR(INDEX($AI$11:$AI$259, MATCH(0, IF(TRUE=$AF$11:$AF$259, COUNTIF($AK$10:$AK102, $AI$11:$AI$259), ""), 0)),"")</f>
        <v/>
      </c>
      <c r="AL103" s="54" t="str">
        <f t="array" ref="AL103">IFERROR(INDEX($AI$11:$AI$259, MATCH(0, IF(TRUE=$AG$11:$AG$259, COUNTIF($AL$10:$AL102, $AI$11:$AI$259), ""), 0)),"")</f>
        <v/>
      </c>
      <c r="AM103" s="54" t="str">
        <f t="array" ref="AM103">IFERROR(INDEX($AI$11:$AI$259, MATCH(0, IF(TRUE=$AH$11:$AH$259, COUNTIF($AM$10:$AM102, $AI$11:$AI$259), ""), 0)),"")</f>
        <v/>
      </c>
      <c r="AN103" s="54"/>
      <c r="AQ103" s="47">
        <f t="shared" si="7"/>
        <v>0</v>
      </c>
    </row>
    <row r="104" spans="1:43" x14ac:dyDescent="0.3">
      <c r="A104" s="47" t="str">
        <f>IFERROR(INDEX('G-1 All Habitats'!$AG$3:$AG$15,MATCH(E104,'G-1 All Habitats'!$AF$3:$AF$15,0)),"")</f>
        <v/>
      </c>
      <c r="B104" s="47" t="str">
        <f>IFERROR(INDEX('G-8 Condition Look up'!$I$4:$I$130,MATCH(G104,'G-8 Condition Look up'!$A$4:$A$130,0)),"")</f>
        <v/>
      </c>
      <c r="D104" s="77">
        <v>94</v>
      </c>
      <c r="E104" s="78"/>
      <c r="F104" s="79"/>
      <c r="G104" s="69" t="str">
        <f>IFERROR(INDEX('G-1 All Habitats'!$B$3:$B$129,MATCH(F104,'G-1 All Habitats'!$A$3:$A$129,0)),"")</f>
        <v/>
      </c>
      <c r="H104" s="70"/>
      <c r="I104" s="498" t="str">
        <f>IF(G104="","",VLOOKUP(G104,'G-1 All Habitats'!$B$2:$M$129,10,FALSE))</f>
        <v/>
      </c>
      <c r="J104" s="499" t="str">
        <f>IFERROR(VLOOKUP(I104,'G-1 All Habitats'!$V$3:$W$7,2,FALSE),"")</f>
        <v/>
      </c>
      <c r="K104" s="71"/>
      <c r="L104" s="499" t="str">
        <f>IFERROR(INDEX('G-8 Condition Look up'!$A$3:$H$130,MATCH(G104,'G-8 Condition Look up'!$A$3:$A$130,0),MATCH(K104,'G-8 Condition Look up'!$A$3:$H$3,0)),"")</f>
        <v/>
      </c>
      <c r="M104" s="71"/>
      <c r="N104" s="520" t="str">
        <f>IF(M104="","",IF(VLOOKUP(M104,'G-3 Multipliers'!$L$3:$N$6,2,FALSE)=0,"Spatial Data Missing",VLOOKUP(M104,'G-3 Multipliers'!$L$3:$N$6,2,FALSE)))</f>
        <v/>
      </c>
      <c r="O104" s="505" t="str">
        <f>IF(M104="","",IF(VLOOKUP(M104,'G-3 Multipliers'!$L$3:$N$6,3,FALSE)=0,"Spatial Data Missing",VLOOKUP(M104,'G-3 Multipliers'!$L$3:$N$6,3,FALSE)))</f>
        <v/>
      </c>
      <c r="P104" s="506" t="str">
        <f>IFERROR(VLOOKUP(G104,'G-1 All Habitats'!$B$2:$M$129,12,FALSE),"")</f>
        <v/>
      </c>
      <c r="Q104" s="513" t="str">
        <f>IFERROR(IF(P104="","",IF(AND(P104='G-1 All Habitats'!$X$3,T104&gt;0),U104+V104,IF(AND(P104='G-1 All Habitats'!$X$3,S104&gt;0),U104+V104,IF(AND(P104='G-1 All Habitats'!$X$3,AC104&gt;0),"Any Loss Unacceptable ▲",IF(AND(P104='G-1 All Habitats'!$X$3,W104&gt;0),"Any Loss Unacceptable ▲",H104*J104*L104*O104))))),"Check Data ▲")</f>
        <v/>
      </c>
      <c r="R104" s="50"/>
      <c r="S104" s="71"/>
      <c r="T104" s="72"/>
      <c r="U104" s="511" t="str">
        <f t="shared" si="8"/>
        <v/>
      </c>
      <c r="V104" s="511" t="str">
        <f t="shared" si="9"/>
        <v/>
      </c>
      <c r="W104" s="511" t="str">
        <f>IF(E104="","",IF(H104&lt;S104+T104,"Error in Areas ▲",IF(P104&lt;&gt;'G-1 All Habitats'!$X$3,H104-S104-T104,IF(AND(P104='G-1 All Habitats'!$X$3,Y104="Yes"),"Unacceptable Loss",IF(AND(P104='G-1 All Habitats'!$X$3,Y104="No"),AC104,IF(AND(P104='G-1 All Habitats'!$X$3,Y104=""),AC104,IF(AND(P104='G-1 All Habitats'!$X$3,AC104="None",AC104),IF(AND(P104='G-1 All Habitats'!$X$3,AC104&gt;0),H104-S104-T104))))))))</f>
        <v/>
      </c>
      <c r="X104" s="515" t="str">
        <f>IFERROR(IF(H104="","",IF(H104-S104-T104=0&lt;0,"Error in Areas ▲",IF(S104+T104&gt;H104,"Error in Areas ▲",IF(AND(P104='G-1 All Habitats'!$X$3,Y104="Yes"),"Alternative Compensation ✓",IF(W104=0,0,IF(P104='G-1 All Habitats'!$X$3,"Unacceptable Loss ▲",Q104-U104-V104)))))),"Check Data ▲")</f>
        <v/>
      </c>
      <c r="Y104" s="72"/>
      <c r="Z104" s="80"/>
      <c r="AA104" s="81"/>
      <c r="AC104" s="75" t="str">
        <f>IF(P104="","",IF(P104='G-1 All Habitats'!$X$3,H104-S104-T104,"None"))</f>
        <v/>
      </c>
      <c r="AD104" s="76" t="str">
        <f>IFERROR(AC104*J104*L104*#REF!*O104,IF(P104="","","None"))</f>
        <v/>
      </c>
      <c r="AF104" s="54" t="str">
        <f t="shared" si="5"/>
        <v/>
      </c>
      <c r="AG104" s="54" t="str">
        <f t="shared" si="6"/>
        <v/>
      </c>
      <c r="AH104" s="54" t="str">
        <f>IF(I104="","",IF(#REF!&gt;0,TRUE,FALSE))</f>
        <v/>
      </c>
      <c r="AI104" s="54">
        <v>94</v>
      </c>
      <c r="AJ104" s="54"/>
      <c r="AK104" s="54" t="str">
        <f t="array" ref="AK104">IFERROR(INDEX($AI$11:$AI$259, MATCH(0, IF(TRUE=$AF$11:$AF$259, COUNTIF($AK$10:$AK103, $AI$11:$AI$259), ""), 0)),"")</f>
        <v/>
      </c>
      <c r="AL104" s="54" t="str">
        <f t="array" ref="AL104">IFERROR(INDEX($AI$11:$AI$259, MATCH(0, IF(TRUE=$AG$11:$AG$259, COUNTIF($AL$10:$AL103, $AI$11:$AI$259), ""), 0)),"")</f>
        <v/>
      </c>
      <c r="AM104" s="54" t="str">
        <f t="array" ref="AM104">IFERROR(INDEX($AI$11:$AI$259, MATCH(0, IF(TRUE=$AH$11:$AH$259, COUNTIF($AM$10:$AM103, $AI$11:$AI$259), ""), 0)),"")</f>
        <v/>
      </c>
      <c r="AN104" s="54"/>
      <c r="AQ104" s="47">
        <f t="shared" si="7"/>
        <v>0</v>
      </c>
    </row>
    <row r="105" spans="1:43" x14ac:dyDescent="0.3">
      <c r="A105" s="47" t="str">
        <f>IFERROR(INDEX('G-1 All Habitats'!$AG$3:$AG$15,MATCH(E105,'G-1 All Habitats'!$AF$3:$AF$15,0)),"")</f>
        <v/>
      </c>
      <c r="B105" s="47" t="str">
        <f>IFERROR(INDEX('G-8 Condition Look up'!$I$4:$I$130,MATCH(G105,'G-8 Condition Look up'!$A$4:$A$130,0)),"")</f>
        <v/>
      </c>
      <c r="D105" s="77">
        <v>95</v>
      </c>
      <c r="E105" s="78"/>
      <c r="F105" s="79"/>
      <c r="G105" s="69" t="str">
        <f>IFERROR(INDEX('G-1 All Habitats'!$B$3:$B$129,MATCH(F105,'G-1 All Habitats'!$A$3:$A$129,0)),"")</f>
        <v/>
      </c>
      <c r="H105" s="70"/>
      <c r="I105" s="498" t="str">
        <f>IF(G105="","",VLOOKUP(G105,'G-1 All Habitats'!$B$2:$M$129,10,FALSE))</f>
        <v/>
      </c>
      <c r="J105" s="499" t="str">
        <f>IFERROR(VLOOKUP(I105,'G-1 All Habitats'!$V$3:$W$7,2,FALSE),"")</f>
        <v/>
      </c>
      <c r="K105" s="71"/>
      <c r="L105" s="499" t="str">
        <f>IFERROR(INDEX('G-8 Condition Look up'!$A$3:$H$130,MATCH(G105,'G-8 Condition Look up'!$A$3:$A$130,0),MATCH(K105,'G-8 Condition Look up'!$A$3:$H$3,0)),"")</f>
        <v/>
      </c>
      <c r="M105" s="71"/>
      <c r="N105" s="520" t="str">
        <f>IF(M105="","",IF(VLOOKUP(M105,'G-3 Multipliers'!$L$3:$N$6,2,FALSE)=0,"Spatial Data Missing",VLOOKUP(M105,'G-3 Multipliers'!$L$3:$N$6,2,FALSE)))</f>
        <v/>
      </c>
      <c r="O105" s="505" t="str">
        <f>IF(M105="","",IF(VLOOKUP(M105,'G-3 Multipliers'!$L$3:$N$6,3,FALSE)=0,"Spatial Data Missing",VLOOKUP(M105,'G-3 Multipliers'!$L$3:$N$6,3,FALSE)))</f>
        <v/>
      </c>
      <c r="P105" s="506" t="str">
        <f>IFERROR(VLOOKUP(G105,'G-1 All Habitats'!$B$2:$M$129,12,FALSE),"")</f>
        <v/>
      </c>
      <c r="Q105" s="513" t="str">
        <f>IFERROR(IF(P105="","",IF(AND(P105='G-1 All Habitats'!$X$3,T105&gt;0),U105+V105,IF(AND(P105='G-1 All Habitats'!$X$3,S105&gt;0),U105+V105,IF(AND(P105='G-1 All Habitats'!$X$3,AC105&gt;0),"Any Loss Unacceptable ▲",IF(AND(P105='G-1 All Habitats'!$X$3,W105&gt;0),"Any Loss Unacceptable ▲",H105*J105*L105*O105))))),"Check Data ▲")</f>
        <v/>
      </c>
      <c r="R105" s="50"/>
      <c r="S105" s="71"/>
      <c r="T105" s="72"/>
      <c r="U105" s="511" t="str">
        <f t="shared" si="8"/>
        <v/>
      </c>
      <c r="V105" s="511" t="str">
        <f t="shared" si="9"/>
        <v/>
      </c>
      <c r="W105" s="511" t="str">
        <f>IF(E105="","",IF(H105&lt;S105+T105,"Error in Areas ▲",IF(P105&lt;&gt;'G-1 All Habitats'!$X$3,H105-S105-T105,IF(AND(P105='G-1 All Habitats'!$X$3,Y105="Yes"),"Unacceptable Loss",IF(AND(P105='G-1 All Habitats'!$X$3,Y105="No"),AC105,IF(AND(P105='G-1 All Habitats'!$X$3,Y105=""),AC105,IF(AND(P105='G-1 All Habitats'!$X$3,AC105="None",AC105),IF(AND(P105='G-1 All Habitats'!$X$3,AC105&gt;0),H105-S105-T105))))))))</f>
        <v/>
      </c>
      <c r="X105" s="515" t="str">
        <f>IFERROR(IF(H105="","",IF(H105-S105-T105=0&lt;0,"Error in Areas ▲",IF(S105+T105&gt;H105,"Error in Areas ▲",IF(AND(P105='G-1 All Habitats'!$X$3,Y105="Yes"),"Alternative Compensation ✓",IF(W105=0,0,IF(P105='G-1 All Habitats'!$X$3,"Unacceptable Loss ▲",Q105-U105-V105)))))),"Check Data ▲")</f>
        <v/>
      </c>
      <c r="Y105" s="72"/>
      <c r="Z105" s="80"/>
      <c r="AA105" s="81"/>
      <c r="AC105" s="75" t="str">
        <f>IF(P105="","",IF(P105='G-1 All Habitats'!$X$3,H105-S105-T105,"None"))</f>
        <v/>
      </c>
      <c r="AD105" s="76" t="str">
        <f>IFERROR(AC105*J105*L105*#REF!*O105,IF(P105="","","None"))</f>
        <v/>
      </c>
      <c r="AF105" s="54" t="str">
        <f t="shared" si="5"/>
        <v/>
      </c>
      <c r="AG105" s="54" t="str">
        <f t="shared" si="6"/>
        <v/>
      </c>
      <c r="AH105" s="54" t="str">
        <f>IF(I105="","",IF(#REF!&gt;0,TRUE,FALSE))</f>
        <v/>
      </c>
      <c r="AI105" s="54">
        <v>95</v>
      </c>
      <c r="AJ105" s="54"/>
      <c r="AK105" s="54" t="str">
        <f t="array" ref="AK105">IFERROR(INDEX($AI$11:$AI$259, MATCH(0, IF(TRUE=$AF$11:$AF$259, COUNTIF($AK$10:$AK104, $AI$11:$AI$259), ""), 0)),"")</f>
        <v/>
      </c>
      <c r="AL105" s="54" t="str">
        <f t="array" ref="AL105">IFERROR(INDEX($AI$11:$AI$259, MATCH(0, IF(TRUE=$AG$11:$AG$259, COUNTIF($AL$10:$AL104, $AI$11:$AI$259), ""), 0)),"")</f>
        <v/>
      </c>
      <c r="AM105" s="54" t="str">
        <f t="array" ref="AM105">IFERROR(INDEX($AI$11:$AI$259, MATCH(0, IF(TRUE=$AH$11:$AH$259, COUNTIF($AM$10:$AM104, $AI$11:$AI$259), ""), 0)),"")</f>
        <v/>
      </c>
      <c r="AN105" s="54"/>
      <c r="AQ105" s="47">
        <f t="shared" si="7"/>
        <v>0</v>
      </c>
    </row>
    <row r="106" spans="1:43" x14ac:dyDescent="0.3">
      <c r="A106" s="47" t="str">
        <f>IFERROR(INDEX('G-1 All Habitats'!$AG$3:$AG$15,MATCH(E106,'G-1 All Habitats'!$AF$3:$AF$15,0)),"")</f>
        <v/>
      </c>
      <c r="B106" s="47" t="str">
        <f>IFERROR(INDEX('G-8 Condition Look up'!$I$4:$I$130,MATCH(G106,'G-8 Condition Look up'!$A$4:$A$130,0)),"")</f>
        <v/>
      </c>
      <c r="D106" s="77">
        <v>96</v>
      </c>
      <c r="E106" s="78"/>
      <c r="F106" s="79"/>
      <c r="G106" s="69" t="str">
        <f>IFERROR(INDEX('G-1 All Habitats'!$B$3:$B$129,MATCH(F106,'G-1 All Habitats'!$A$3:$A$129,0)),"")</f>
        <v/>
      </c>
      <c r="H106" s="70"/>
      <c r="I106" s="498" t="str">
        <f>IF(G106="","",VLOOKUP(G106,'G-1 All Habitats'!$B$2:$M$129,10,FALSE))</f>
        <v/>
      </c>
      <c r="J106" s="499" t="str">
        <f>IFERROR(VLOOKUP(I106,'G-1 All Habitats'!$V$3:$W$7,2,FALSE),"")</f>
        <v/>
      </c>
      <c r="K106" s="71"/>
      <c r="L106" s="499" t="str">
        <f>IFERROR(INDEX('G-8 Condition Look up'!$A$3:$H$130,MATCH(G106,'G-8 Condition Look up'!$A$3:$A$130,0),MATCH(K106,'G-8 Condition Look up'!$A$3:$H$3,0)),"")</f>
        <v/>
      </c>
      <c r="M106" s="71"/>
      <c r="N106" s="520" t="str">
        <f>IF(M106="","",IF(VLOOKUP(M106,'G-3 Multipliers'!$L$3:$N$6,2,FALSE)=0,"Spatial Data Missing",VLOOKUP(M106,'G-3 Multipliers'!$L$3:$N$6,2,FALSE)))</f>
        <v/>
      </c>
      <c r="O106" s="505" t="str">
        <f>IF(M106="","",IF(VLOOKUP(M106,'G-3 Multipliers'!$L$3:$N$6,3,FALSE)=0,"Spatial Data Missing",VLOOKUP(M106,'G-3 Multipliers'!$L$3:$N$6,3,FALSE)))</f>
        <v/>
      </c>
      <c r="P106" s="506" t="str">
        <f>IFERROR(VLOOKUP(G106,'G-1 All Habitats'!$B$2:$M$129,12,FALSE),"")</f>
        <v/>
      </c>
      <c r="Q106" s="513" t="str">
        <f>IFERROR(IF(P106="","",IF(AND(P106='G-1 All Habitats'!$X$3,T106&gt;0),U106+V106,IF(AND(P106='G-1 All Habitats'!$X$3,S106&gt;0),U106+V106,IF(AND(P106='G-1 All Habitats'!$X$3,AC106&gt;0),"Any Loss Unacceptable ▲",IF(AND(P106='G-1 All Habitats'!$X$3,W106&gt;0),"Any Loss Unacceptable ▲",H106*J106*L106*O106))))),"Check Data ▲")</f>
        <v/>
      </c>
      <c r="R106" s="50"/>
      <c r="S106" s="71"/>
      <c r="T106" s="72"/>
      <c r="U106" s="511" t="str">
        <f t="shared" si="8"/>
        <v/>
      </c>
      <c r="V106" s="511" t="str">
        <f t="shared" si="9"/>
        <v/>
      </c>
      <c r="W106" s="511" t="str">
        <f>IF(E106="","",IF(H106&lt;S106+T106,"Error in Areas ▲",IF(P106&lt;&gt;'G-1 All Habitats'!$X$3,H106-S106-T106,IF(AND(P106='G-1 All Habitats'!$X$3,Y106="Yes"),"Unacceptable Loss",IF(AND(P106='G-1 All Habitats'!$X$3,Y106="No"),AC106,IF(AND(P106='G-1 All Habitats'!$X$3,Y106=""),AC106,IF(AND(P106='G-1 All Habitats'!$X$3,AC106="None",AC106),IF(AND(P106='G-1 All Habitats'!$X$3,AC106&gt;0),H106-S106-T106))))))))</f>
        <v/>
      </c>
      <c r="X106" s="515" t="str">
        <f>IFERROR(IF(H106="","",IF(H106-S106-T106=0&lt;0,"Error in Areas ▲",IF(S106+T106&gt;H106,"Error in Areas ▲",IF(AND(P106='G-1 All Habitats'!$X$3,Y106="Yes"),"Alternative Compensation ✓",IF(W106=0,0,IF(P106='G-1 All Habitats'!$X$3,"Unacceptable Loss ▲",Q106-U106-V106)))))),"Check Data ▲")</f>
        <v/>
      </c>
      <c r="Y106" s="72"/>
      <c r="Z106" s="80"/>
      <c r="AA106" s="81"/>
      <c r="AC106" s="75" t="str">
        <f>IF(P106="","",IF(P106='G-1 All Habitats'!$X$3,H106-S106-T106,"None"))</f>
        <v/>
      </c>
      <c r="AD106" s="76" t="str">
        <f>IFERROR(AC106*J106*L106*#REF!*O106,IF(P106="","","None"))</f>
        <v/>
      </c>
      <c r="AF106" s="54" t="str">
        <f t="shared" si="5"/>
        <v/>
      </c>
      <c r="AG106" s="54" t="str">
        <f t="shared" si="6"/>
        <v/>
      </c>
      <c r="AH106" s="54" t="str">
        <f>IF(I106="","",IF(#REF!&gt;0,TRUE,FALSE))</f>
        <v/>
      </c>
      <c r="AI106" s="54">
        <v>96</v>
      </c>
      <c r="AJ106" s="54"/>
      <c r="AK106" s="54" t="str">
        <f t="array" ref="AK106">IFERROR(INDEX($AI$11:$AI$259, MATCH(0, IF(TRUE=$AF$11:$AF$259, COUNTIF($AK$10:$AK105, $AI$11:$AI$259), ""), 0)),"")</f>
        <v/>
      </c>
      <c r="AL106" s="54" t="str">
        <f t="array" ref="AL106">IFERROR(INDEX($AI$11:$AI$259, MATCH(0, IF(TRUE=$AG$11:$AG$259, COUNTIF($AL$10:$AL105, $AI$11:$AI$259), ""), 0)),"")</f>
        <v/>
      </c>
      <c r="AM106" s="54" t="str">
        <f t="array" ref="AM106">IFERROR(INDEX($AI$11:$AI$259, MATCH(0, IF(TRUE=$AH$11:$AH$259, COUNTIF($AM$10:$AM105, $AI$11:$AI$259), ""), 0)),"")</f>
        <v/>
      </c>
      <c r="AN106" s="54"/>
      <c r="AQ106" s="47">
        <f t="shared" si="7"/>
        <v>0</v>
      </c>
    </row>
    <row r="107" spans="1:43" x14ac:dyDescent="0.3">
      <c r="A107" s="47" t="str">
        <f>IFERROR(INDEX('G-1 All Habitats'!$AG$3:$AG$15,MATCH(E107,'G-1 All Habitats'!$AF$3:$AF$15,0)),"")</f>
        <v/>
      </c>
      <c r="B107" s="47" t="str">
        <f>IFERROR(INDEX('G-8 Condition Look up'!$I$4:$I$130,MATCH(G107,'G-8 Condition Look up'!$A$4:$A$130,0)),"")</f>
        <v/>
      </c>
      <c r="D107" s="77">
        <v>97</v>
      </c>
      <c r="E107" s="78"/>
      <c r="F107" s="79"/>
      <c r="G107" s="69" t="str">
        <f>IFERROR(INDEX('G-1 All Habitats'!$B$3:$B$129,MATCH(F107,'G-1 All Habitats'!$A$3:$A$129,0)),"")</f>
        <v/>
      </c>
      <c r="H107" s="70"/>
      <c r="I107" s="498" t="str">
        <f>IF(G107="","",VLOOKUP(G107,'G-1 All Habitats'!$B$2:$M$129,10,FALSE))</f>
        <v/>
      </c>
      <c r="J107" s="499" t="str">
        <f>IFERROR(VLOOKUP(I107,'G-1 All Habitats'!$V$3:$W$7,2,FALSE),"")</f>
        <v/>
      </c>
      <c r="K107" s="71"/>
      <c r="L107" s="499" t="str">
        <f>IFERROR(INDEX('G-8 Condition Look up'!$A$3:$H$130,MATCH(G107,'G-8 Condition Look up'!$A$3:$A$130,0),MATCH(K107,'G-8 Condition Look up'!$A$3:$H$3,0)),"")</f>
        <v/>
      </c>
      <c r="M107" s="71"/>
      <c r="N107" s="520" t="str">
        <f>IF(M107="","",IF(VLOOKUP(M107,'G-3 Multipliers'!$L$3:$N$6,2,FALSE)=0,"Spatial Data Missing",VLOOKUP(M107,'G-3 Multipliers'!$L$3:$N$6,2,FALSE)))</f>
        <v/>
      </c>
      <c r="O107" s="505" t="str">
        <f>IF(M107="","",IF(VLOOKUP(M107,'G-3 Multipliers'!$L$3:$N$6,3,FALSE)=0,"Spatial Data Missing",VLOOKUP(M107,'G-3 Multipliers'!$L$3:$N$6,3,FALSE)))</f>
        <v/>
      </c>
      <c r="P107" s="506" t="str">
        <f>IFERROR(VLOOKUP(G107,'G-1 All Habitats'!$B$2:$M$129,12,FALSE),"")</f>
        <v/>
      </c>
      <c r="Q107" s="513" t="str">
        <f>IFERROR(IF(P107="","",IF(AND(P107='G-1 All Habitats'!$X$3,T107&gt;0),U107+V107,IF(AND(P107='G-1 All Habitats'!$X$3,S107&gt;0),U107+V107,IF(AND(P107='G-1 All Habitats'!$X$3,AC107&gt;0),"Any Loss Unacceptable ▲",IF(AND(P107='G-1 All Habitats'!$X$3,W107&gt;0),"Any Loss Unacceptable ▲",H107*J107*L107*O107))))),"Check Data ▲")</f>
        <v/>
      </c>
      <c r="R107" s="50"/>
      <c r="S107" s="71"/>
      <c r="T107" s="72"/>
      <c r="U107" s="511" t="str">
        <f t="shared" si="8"/>
        <v/>
      </c>
      <c r="V107" s="511" t="str">
        <f t="shared" si="9"/>
        <v/>
      </c>
      <c r="W107" s="511" t="str">
        <f>IF(E107="","",IF(H107&lt;S107+T107,"Error in Areas ▲",IF(P107&lt;&gt;'G-1 All Habitats'!$X$3,H107-S107-T107,IF(AND(P107='G-1 All Habitats'!$X$3,Y107="Yes"),"Unacceptable Loss",IF(AND(P107='G-1 All Habitats'!$X$3,Y107="No"),AC107,IF(AND(P107='G-1 All Habitats'!$X$3,Y107=""),AC107,IF(AND(P107='G-1 All Habitats'!$X$3,AC107="None",AC107),IF(AND(P107='G-1 All Habitats'!$X$3,AC107&gt;0),H107-S107-T107))))))))</f>
        <v/>
      </c>
      <c r="X107" s="515" t="str">
        <f>IFERROR(IF(H107="","",IF(H107-S107-T107=0&lt;0,"Error in Areas ▲",IF(S107+T107&gt;H107,"Error in Areas ▲",IF(AND(P107='G-1 All Habitats'!$X$3,Y107="Yes"),"Alternative Compensation ✓",IF(W107=0,0,IF(P107='G-1 All Habitats'!$X$3,"Unacceptable Loss ▲",Q107-U107-V107)))))),"Check Data ▲")</f>
        <v/>
      </c>
      <c r="Y107" s="72"/>
      <c r="Z107" s="80"/>
      <c r="AA107" s="81"/>
      <c r="AC107" s="75" t="str">
        <f>IF(P107="","",IF(P107='G-1 All Habitats'!$X$3,H107-S107-T107,"None"))</f>
        <v/>
      </c>
      <c r="AD107" s="76" t="str">
        <f>IFERROR(AC107*J107*L107*#REF!*O107,IF(P107="","","None"))</f>
        <v/>
      </c>
      <c r="AF107" s="54" t="str">
        <f t="shared" si="5"/>
        <v/>
      </c>
      <c r="AG107" s="54" t="str">
        <f t="shared" si="6"/>
        <v/>
      </c>
      <c r="AH107" s="54" t="str">
        <f>IF(I107="","",IF(#REF!&gt;0,TRUE,FALSE))</f>
        <v/>
      </c>
      <c r="AI107" s="54">
        <v>97</v>
      </c>
      <c r="AJ107" s="54"/>
      <c r="AK107" s="54" t="str">
        <f t="array" ref="AK107">IFERROR(INDEX($AI$11:$AI$259, MATCH(0, IF(TRUE=$AF$11:$AF$259, COUNTIF($AK$10:$AK106, $AI$11:$AI$259), ""), 0)),"")</f>
        <v/>
      </c>
      <c r="AL107" s="54" t="str">
        <f t="array" ref="AL107">IFERROR(INDEX($AI$11:$AI$259, MATCH(0, IF(TRUE=$AG$11:$AG$259, COUNTIF($AL$10:$AL106, $AI$11:$AI$259), ""), 0)),"")</f>
        <v/>
      </c>
      <c r="AM107" s="54" t="str">
        <f t="array" ref="AM107">IFERROR(INDEX($AI$11:$AI$259, MATCH(0, IF(TRUE=$AH$11:$AH$259, COUNTIF($AM$10:$AM106, $AI$11:$AI$259), ""), 0)),"")</f>
        <v/>
      </c>
      <c r="AN107" s="54"/>
      <c r="AQ107" s="47">
        <f t="shared" si="7"/>
        <v>0</v>
      </c>
    </row>
    <row r="108" spans="1:43" x14ac:dyDescent="0.3">
      <c r="A108" s="47" t="str">
        <f>IFERROR(INDEX('G-1 All Habitats'!$AG$3:$AG$15,MATCH(E108,'G-1 All Habitats'!$AF$3:$AF$15,0)),"")</f>
        <v/>
      </c>
      <c r="B108" s="47" t="str">
        <f>IFERROR(INDEX('G-8 Condition Look up'!$I$4:$I$130,MATCH(G108,'G-8 Condition Look up'!$A$4:$A$130,0)),"")</f>
        <v/>
      </c>
      <c r="D108" s="77">
        <v>98</v>
      </c>
      <c r="E108" s="78"/>
      <c r="F108" s="79"/>
      <c r="G108" s="69" t="str">
        <f>IFERROR(INDEX('G-1 All Habitats'!$B$3:$B$129,MATCH(F108,'G-1 All Habitats'!$A$3:$A$129,0)),"")</f>
        <v/>
      </c>
      <c r="H108" s="70"/>
      <c r="I108" s="498" t="str">
        <f>IF(G108="","",VLOOKUP(G108,'G-1 All Habitats'!$B$2:$M$129,10,FALSE))</f>
        <v/>
      </c>
      <c r="J108" s="499" t="str">
        <f>IFERROR(VLOOKUP(I108,'G-1 All Habitats'!$V$3:$W$7,2,FALSE),"")</f>
        <v/>
      </c>
      <c r="K108" s="71"/>
      <c r="L108" s="499" t="str">
        <f>IFERROR(INDEX('G-8 Condition Look up'!$A$3:$H$130,MATCH(G108,'G-8 Condition Look up'!$A$3:$A$130,0),MATCH(K108,'G-8 Condition Look up'!$A$3:$H$3,0)),"")</f>
        <v/>
      </c>
      <c r="M108" s="71"/>
      <c r="N108" s="520" t="str">
        <f>IF(M108="","",IF(VLOOKUP(M108,'G-3 Multipliers'!$L$3:$N$6,2,FALSE)=0,"Spatial Data Missing",VLOOKUP(M108,'G-3 Multipliers'!$L$3:$N$6,2,FALSE)))</f>
        <v/>
      </c>
      <c r="O108" s="505" t="str">
        <f>IF(M108="","",IF(VLOOKUP(M108,'G-3 Multipliers'!$L$3:$N$6,3,FALSE)=0,"Spatial Data Missing",VLOOKUP(M108,'G-3 Multipliers'!$L$3:$N$6,3,FALSE)))</f>
        <v/>
      </c>
      <c r="P108" s="506" t="str">
        <f>IFERROR(VLOOKUP(G108,'G-1 All Habitats'!$B$2:$M$129,12,FALSE),"")</f>
        <v/>
      </c>
      <c r="Q108" s="513" t="str">
        <f>IFERROR(IF(P108="","",IF(AND(P108='G-1 All Habitats'!$X$3,T108&gt;0),U108+V108,IF(AND(P108='G-1 All Habitats'!$X$3,S108&gt;0),U108+V108,IF(AND(P108='G-1 All Habitats'!$X$3,AC108&gt;0),"Any Loss Unacceptable ▲",IF(AND(P108='G-1 All Habitats'!$X$3,W108&gt;0),"Any Loss Unacceptable ▲",H108*J108*L108*O108))))),"Check Data ▲")</f>
        <v/>
      </c>
      <c r="R108" s="50"/>
      <c r="S108" s="71"/>
      <c r="T108" s="72"/>
      <c r="U108" s="511" t="str">
        <f t="shared" si="8"/>
        <v/>
      </c>
      <c r="V108" s="511" t="str">
        <f t="shared" si="9"/>
        <v/>
      </c>
      <c r="W108" s="511" t="str">
        <f>IF(E108="","",IF(H108&lt;S108+T108,"Error in Areas ▲",IF(P108&lt;&gt;'G-1 All Habitats'!$X$3,H108-S108-T108,IF(AND(P108='G-1 All Habitats'!$X$3,Y108="Yes"),"Unacceptable Loss",IF(AND(P108='G-1 All Habitats'!$X$3,Y108="No"),AC108,IF(AND(P108='G-1 All Habitats'!$X$3,Y108=""),AC108,IF(AND(P108='G-1 All Habitats'!$X$3,AC108="None",AC108),IF(AND(P108='G-1 All Habitats'!$X$3,AC108&gt;0),H108-S108-T108))))))))</f>
        <v/>
      </c>
      <c r="X108" s="515" t="str">
        <f>IFERROR(IF(H108="","",IF(H108-S108-T108=0&lt;0,"Error in Areas ▲",IF(S108+T108&gt;H108,"Error in Areas ▲",IF(AND(P108='G-1 All Habitats'!$X$3,Y108="Yes"),"Alternative Compensation ✓",IF(W108=0,0,IF(P108='G-1 All Habitats'!$X$3,"Unacceptable Loss ▲",Q108-U108-V108)))))),"Check Data ▲")</f>
        <v/>
      </c>
      <c r="Y108" s="72"/>
      <c r="Z108" s="80"/>
      <c r="AA108" s="81"/>
      <c r="AC108" s="75" t="str">
        <f>IF(P108="","",IF(P108='G-1 All Habitats'!$X$3,H108-S108-T108,"None"))</f>
        <v/>
      </c>
      <c r="AD108" s="76" t="str">
        <f>IFERROR(AC108*J108*L108*#REF!*O108,IF(P108="","","None"))</f>
        <v/>
      </c>
      <c r="AF108" s="54" t="str">
        <f t="shared" si="5"/>
        <v/>
      </c>
      <c r="AG108" s="54" t="str">
        <f t="shared" si="6"/>
        <v/>
      </c>
      <c r="AH108" s="54" t="str">
        <f>IF(I108="","",IF(#REF!&gt;0,TRUE,FALSE))</f>
        <v/>
      </c>
      <c r="AI108" s="54">
        <v>98</v>
      </c>
      <c r="AJ108" s="54"/>
      <c r="AK108" s="54" t="str">
        <f t="array" ref="AK108">IFERROR(INDEX($AI$11:$AI$259, MATCH(0, IF(TRUE=$AF$11:$AF$259, COUNTIF($AK$10:$AK107, $AI$11:$AI$259), ""), 0)),"")</f>
        <v/>
      </c>
      <c r="AL108" s="54" t="str">
        <f t="array" ref="AL108">IFERROR(INDEX($AI$11:$AI$259, MATCH(0, IF(TRUE=$AG$11:$AG$259, COUNTIF($AL$10:$AL107, $AI$11:$AI$259), ""), 0)),"")</f>
        <v/>
      </c>
      <c r="AM108" s="54" t="str">
        <f t="array" ref="AM108">IFERROR(INDEX($AI$11:$AI$259, MATCH(0, IF(TRUE=$AH$11:$AH$259, COUNTIF($AM$10:$AM107, $AI$11:$AI$259), ""), 0)),"")</f>
        <v/>
      </c>
      <c r="AN108" s="54"/>
      <c r="AQ108" s="47">
        <f t="shared" si="7"/>
        <v>0</v>
      </c>
    </row>
    <row r="109" spans="1:43" x14ac:dyDescent="0.3">
      <c r="A109" s="47" t="str">
        <f>IFERROR(INDEX('G-1 All Habitats'!$AG$3:$AG$15,MATCH(E109,'G-1 All Habitats'!$AF$3:$AF$15,0)),"")</f>
        <v/>
      </c>
      <c r="B109" s="47" t="str">
        <f>IFERROR(INDEX('G-8 Condition Look up'!$I$4:$I$130,MATCH(G109,'G-8 Condition Look up'!$A$4:$A$130,0)),"")</f>
        <v/>
      </c>
      <c r="D109" s="77">
        <v>99</v>
      </c>
      <c r="E109" s="78"/>
      <c r="F109" s="79"/>
      <c r="G109" s="69" t="str">
        <f>IFERROR(INDEX('G-1 All Habitats'!$B$3:$B$129,MATCH(F109,'G-1 All Habitats'!$A$3:$A$129,0)),"")</f>
        <v/>
      </c>
      <c r="H109" s="70"/>
      <c r="I109" s="498" t="str">
        <f>IF(G109="","",VLOOKUP(G109,'G-1 All Habitats'!$B$2:$M$129,10,FALSE))</f>
        <v/>
      </c>
      <c r="J109" s="499" t="str">
        <f>IFERROR(VLOOKUP(I109,'G-1 All Habitats'!$V$3:$W$7,2,FALSE),"")</f>
        <v/>
      </c>
      <c r="K109" s="71"/>
      <c r="L109" s="499" t="str">
        <f>IFERROR(INDEX('G-8 Condition Look up'!$A$3:$H$130,MATCH(G109,'G-8 Condition Look up'!$A$3:$A$130,0),MATCH(K109,'G-8 Condition Look up'!$A$3:$H$3,0)),"")</f>
        <v/>
      </c>
      <c r="M109" s="71"/>
      <c r="N109" s="520" t="str">
        <f>IF(M109="","",IF(VLOOKUP(M109,'G-3 Multipliers'!$L$3:$N$6,2,FALSE)=0,"Spatial Data Missing",VLOOKUP(M109,'G-3 Multipliers'!$L$3:$N$6,2,FALSE)))</f>
        <v/>
      </c>
      <c r="O109" s="505" t="str">
        <f>IF(M109="","",IF(VLOOKUP(M109,'G-3 Multipliers'!$L$3:$N$6,3,FALSE)=0,"Spatial Data Missing",VLOOKUP(M109,'G-3 Multipliers'!$L$3:$N$6,3,FALSE)))</f>
        <v/>
      </c>
      <c r="P109" s="506" t="str">
        <f>IFERROR(VLOOKUP(G109,'G-1 All Habitats'!$B$2:$M$129,12,FALSE),"")</f>
        <v/>
      </c>
      <c r="Q109" s="513" t="str">
        <f>IFERROR(IF(P109="","",IF(AND(P109='G-1 All Habitats'!$X$3,T109&gt;0),U109+V109,IF(AND(P109='G-1 All Habitats'!$X$3,S109&gt;0),U109+V109,IF(AND(P109='G-1 All Habitats'!$X$3,AC109&gt;0),"Any Loss Unacceptable ▲",IF(AND(P109='G-1 All Habitats'!$X$3,W109&gt;0),"Any Loss Unacceptable ▲",H109*J109*L109*O109))))),"Check Data ▲")</f>
        <v/>
      </c>
      <c r="R109" s="50"/>
      <c r="S109" s="71"/>
      <c r="T109" s="72"/>
      <c r="U109" s="511" t="str">
        <f t="shared" si="8"/>
        <v/>
      </c>
      <c r="V109" s="511" t="str">
        <f t="shared" si="9"/>
        <v/>
      </c>
      <c r="W109" s="511" t="str">
        <f>IF(E109="","",IF(H109&lt;S109+T109,"Error in Areas ▲",IF(P109&lt;&gt;'G-1 All Habitats'!$X$3,H109-S109-T109,IF(AND(P109='G-1 All Habitats'!$X$3,Y109="Yes"),"Unacceptable Loss",IF(AND(P109='G-1 All Habitats'!$X$3,Y109="No"),AC109,IF(AND(P109='G-1 All Habitats'!$X$3,Y109=""),AC109,IF(AND(P109='G-1 All Habitats'!$X$3,AC109="None",AC109),IF(AND(P109='G-1 All Habitats'!$X$3,AC109&gt;0),H109-S109-T109))))))))</f>
        <v/>
      </c>
      <c r="X109" s="515" t="str">
        <f>IFERROR(IF(H109="","",IF(H109-S109-T109=0&lt;0,"Error in Areas ▲",IF(S109+T109&gt;H109,"Error in Areas ▲",IF(AND(P109='G-1 All Habitats'!$X$3,Y109="Yes"),"Alternative Compensation ✓",IF(W109=0,0,IF(P109='G-1 All Habitats'!$X$3,"Unacceptable Loss ▲",Q109-U109-V109)))))),"Check Data ▲")</f>
        <v/>
      </c>
      <c r="Y109" s="72"/>
      <c r="Z109" s="80"/>
      <c r="AA109" s="81"/>
      <c r="AC109" s="75" t="str">
        <f>IF(P109="","",IF(P109='G-1 All Habitats'!$X$3,H109-S109-T109,"None"))</f>
        <v/>
      </c>
      <c r="AD109" s="76" t="str">
        <f>IFERROR(AC109*J109*L109*#REF!*O109,IF(P109="","","None"))</f>
        <v/>
      </c>
      <c r="AF109" s="54" t="str">
        <f t="shared" si="5"/>
        <v/>
      </c>
      <c r="AG109" s="54" t="str">
        <f t="shared" si="6"/>
        <v/>
      </c>
      <c r="AH109" s="54" t="str">
        <f>IF(I109="","",IF(#REF!&gt;0,TRUE,FALSE))</f>
        <v/>
      </c>
      <c r="AI109" s="54">
        <v>99</v>
      </c>
      <c r="AJ109" s="54"/>
      <c r="AK109" s="54" t="str">
        <f t="array" ref="AK109">IFERROR(INDEX($AI$11:$AI$259, MATCH(0, IF(TRUE=$AF$11:$AF$259, COUNTIF($AK$10:$AK108, $AI$11:$AI$259), ""), 0)),"")</f>
        <v/>
      </c>
      <c r="AL109" s="54" t="str">
        <f t="array" ref="AL109">IFERROR(INDEX($AI$11:$AI$259, MATCH(0, IF(TRUE=$AG$11:$AG$259, COUNTIF($AL$10:$AL108, $AI$11:$AI$259), ""), 0)),"")</f>
        <v/>
      </c>
      <c r="AM109" s="54" t="str">
        <f t="array" ref="AM109">IFERROR(INDEX($AI$11:$AI$259, MATCH(0, IF(TRUE=$AH$11:$AH$259, COUNTIF($AM$10:$AM108, $AI$11:$AI$259), ""), 0)),"")</f>
        <v/>
      </c>
      <c r="AN109" s="54"/>
      <c r="AQ109" s="47">
        <f t="shared" si="7"/>
        <v>0</v>
      </c>
    </row>
    <row r="110" spans="1:43" x14ac:dyDescent="0.3">
      <c r="A110" s="47" t="str">
        <f>IFERROR(INDEX('G-1 All Habitats'!$AG$3:$AG$15,MATCH(E110,'G-1 All Habitats'!$AF$3:$AF$15,0)),"")</f>
        <v/>
      </c>
      <c r="B110" s="47" t="str">
        <f>IFERROR(INDEX('G-8 Condition Look up'!$I$4:$I$130,MATCH(G110,'G-8 Condition Look up'!$A$4:$A$130,0)),"")</f>
        <v/>
      </c>
      <c r="D110" s="77">
        <v>100</v>
      </c>
      <c r="E110" s="78"/>
      <c r="F110" s="79"/>
      <c r="G110" s="69" t="str">
        <f>IFERROR(INDEX('G-1 All Habitats'!$B$3:$B$129,MATCH(F110,'G-1 All Habitats'!$A$3:$A$129,0)),"")</f>
        <v/>
      </c>
      <c r="H110" s="70"/>
      <c r="I110" s="498" t="str">
        <f>IF(G110="","",VLOOKUP(G110,'G-1 All Habitats'!$B$2:$M$129,10,FALSE))</f>
        <v/>
      </c>
      <c r="J110" s="499" t="str">
        <f>IFERROR(VLOOKUP(I110,'G-1 All Habitats'!$V$3:$W$7,2,FALSE),"")</f>
        <v/>
      </c>
      <c r="K110" s="71"/>
      <c r="L110" s="499" t="str">
        <f>IFERROR(INDEX('G-8 Condition Look up'!$A$3:$H$130,MATCH(G110,'G-8 Condition Look up'!$A$3:$A$130,0),MATCH(K110,'G-8 Condition Look up'!$A$3:$H$3,0)),"")</f>
        <v/>
      </c>
      <c r="M110" s="71"/>
      <c r="N110" s="520" t="str">
        <f>IF(M110="","",IF(VLOOKUP(M110,'G-3 Multipliers'!$L$3:$N$6,2,FALSE)=0,"Spatial Data Missing",VLOOKUP(M110,'G-3 Multipliers'!$L$3:$N$6,2,FALSE)))</f>
        <v/>
      </c>
      <c r="O110" s="505" t="str">
        <f>IF(M110="","",IF(VLOOKUP(M110,'G-3 Multipliers'!$L$3:$N$6,3,FALSE)=0,"Spatial Data Missing",VLOOKUP(M110,'G-3 Multipliers'!$L$3:$N$6,3,FALSE)))</f>
        <v/>
      </c>
      <c r="P110" s="506" t="str">
        <f>IFERROR(VLOOKUP(G110,'G-1 All Habitats'!$B$2:$M$129,12,FALSE),"")</f>
        <v/>
      </c>
      <c r="Q110" s="513" t="str">
        <f>IFERROR(IF(P110="","",IF(AND(P110='G-1 All Habitats'!$X$3,T110&gt;0),U110+V110,IF(AND(P110='G-1 All Habitats'!$X$3,S110&gt;0),U110+V110,IF(AND(P110='G-1 All Habitats'!$X$3,AC110&gt;0),"Any Loss Unacceptable ▲",IF(AND(P110='G-1 All Habitats'!$X$3,W110&gt;0),"Any Loss Unacceptable ▲",H110*J110*L110*O110))))),"Check Data ▲")</f>
        <v/>
      </c>
      <c r="R110" s="50"/>
      <c r="S110" s="71"/>
      <c r="T110" s="72"/>
      <c r="U110" s="511" t="str">
        <f t="shared" si="8"/>
        <v/>
      </c>
      <c r="V110" s="511" t="str">
        <f t="shared" si="9"/>
        <v/>
      </c>
      <c r="W110" s="511" t="str">
        <f>IF(E110="","",IF(H110&lt;S110+T110,"Error in Areas ▲",IF(P110&lt;&gt;'G-1 All Habitats'!$X$3,H110-S110-T110,IF(AND(P110='G-1 All Habitats'!$X$3,Y110="Yes"),"Unacceptable Loss",IF(AND(P110='G-1 All Habitats'!$X$3,Y110="No"),AC110,IF(AND(P110='G-1 All Habitats'!$X$3,Y110=""),AC110,IF(AND(P110='G-1 All Habitats'!$X$3,AC110="None",AC110),IF(AND(P110='G-1 All Habitats'!$X$3,AC110&gt;0),H110-S110-T110))))))))</f>
        <v/>
      </c>
      <c r="X110" s="515" t="str">
        <f>IFERROR(IF(H110="","",IF(H110-S110-T110=0&lt;0,"Error in Areas ▲",IF(S110+T110&gt;H110,"Error in Areas ▲",IF(AND(P110='G-1 All Habitats'!$X$3,Y110="Yes"),"Alternative Compensation ✓",IF(W110=0,0,IF(P110='G-1 All Habitats'!$X$3,"Unacceptable Loss ▲",Q110-U110-V110)))))),"Check Data ▲")</f>
        <v/>
      </c>
      <c r="Y110" s="72"/>
      <c r="Z110" s="80"/>
      <c r="AA110" s="81"/>
      <c r="AC110" s="75" t="str">
        <f>IF(P110="","",IF(P110='G-1 All Habitats'!$X$3,H110-S110-T110,"None"))</f>
        <v/>
      </c>
      <c r="AD110" s="76" t="str">
        <f>IFERROR(AC110*J110*L110*#REF!*O110,IF(P110="","","None"))</f>
        <v/>
      </c>
      <c r="AF110" s="54" t="str">
        <f t="shared" si="5"/>
        <v/>
      </c>
      <c r="AG110" s="54" t="str">
        <f t="shared" si="6"/>
        <v/>
      </c>
      <c r="AH110" s="54" t="str">
        <f>IF(I110="","",IF(#REF!&gt;0,TRUE,FALSE))</f>
        <v/>
      </c>
      <c r="AI110" s="54">
        <v>100</v>
      </c>
      <c r="AJ110" s="54"/>
      <c r="AK110" s="54" t="str">
        <f t="array" ref="AK110">IFERROR(INDEX($AI$11:$AI$259, MATCH(0, IF(TRUE=$AF$11:$AF$259, COUNTIF($AK$10:$AK109, $AI$11:$AI$259), ""), 0)),"")</f>
        <v/>
      </c>
      <c r="AL110" s="54" t="str">
        <f t="array" ref="AL110">IFERROR(INDEX($AI$11:$AI$259, MATCH(0, IF(TRUE=$AG$11:$AG$259, COUNTIF($AL$10:$AL109, $AI$11:$AI$259), ""), 0)),"")</f>
        <v/>
      </c>
      <c r="AM110" s="54" t="str">
        <f t="array" ref="AM110">IFERROR(INDEX($AI$11:$AI$259, MATCH(0, IF(TRUE=$AH$11:$AH$259, COUNTIF($AM$10:$AM109, $AI$11:$AI$259), ""), 0)),"")</f>
        <v/>
      </c>
      <c r="AN110" s="54"/>
      <c r="AQ110" s="47">
        <f t="shared" si="7"/>
        <v>0</v>
      </c>
    </row>
    <row r="111" spans="1:43" x14ac:dyDescent="0.3">
      <c r="A111" s="47" t="str">
        <f>IFERROR(INDEX('G-1 All Habitats'!$AG$3:$AG$15,MATCH(E111,'G-1 All Habitats'!$AF$3:$AF$15,0)),"")</f>
        <v/>
      </c>
      <c r="B111" s="47" t="str">
        <f>IFERROR(INDEX('G-8 Condition Look up'!$I$4:$I$130,MATCH(G111,'G-8 Condition Look up'!$A$4:$A$130,0)),"")</f>
        <v/>
      </c>
      <c r="D111" s="77">
        <v>101</v>
      </c>
      <c r="E111" s="78"/>
      <c r="F111" s="79"/>
      <c r="G111" s="69" t="str">
        <f>IFERROR(INDEX('G-1 All Habitats'!$B$3:$B$129,MATCH(F111,'G-1 All Habitats'!$A$3:$A$129,0)),"")</f>
        <v/>
      </c>
      <c r="H111" s="70"/>
      <c r="I111" s="498" t="str">
        <f>IF(G111="","",VLOOKUP(G111,'G-1 All Habitats'!$B$2:$M$129,10,FALSE))</f>
        <v/>
      </c>
      <c r="J111" s="499" t="str">
        <f>IFERROR(VLOOKUP(I111,'G-1 All Habitats'!$V$3:$W$7,2,FALSE),"")</f>
        <v/>
      </c>
      <c r="K111" s="71"/>
      <c r="L111" s="499" t="str">
        <f>IFERROR(INDEX('G-8 Condition Look up'!$A$3:$H$130,MATCH(G111,'G-8 Condition Look up'!$A$3:$A$130,0),MATCH(K111,'G-8 Condition Look up'!$A$3:$H$3,0)),"")</f>
        <v/>
      </c>
      <c r="M111" s="71"/>
      <c r="N111" s="520" t="str">
        <f>IF(M111="","",IF(VLOOKUP(M111,'G-3 Multipliers'!$L$3:$N$6,2,FALSE)=0,"Spatial Data Missing",VLOOKUP(M111,'G-3 Multipliers'!$L$3:$N$6,2,FALSE)))</f>
        <v/>
      </c>
      <c r="O111" s="505" t="str">
        <f>IF(M111="","",IF(VLOOKUP(M111,'G-3 Multipliers'!$L$3:$N$6,3,FALSE)=0,"Spatial Data Missing",VLOOKUP(M111,'G-3 Multipliers'!$L$3:$N$6,3,FALSE)))</f>
        <v/>
      </c>
      <c r="P111" s="506" t="str">
        <f>IFERROR(VLOOKUP(G111,'G-1 All Habitats'!$B$2:$M$129,12,FALSE),"")</f>
        <v/>
      </c>
      <c r="Q111" s="513" t="str">
        <f>IFERROR(IF(P111="","",IF(AND(P111='G-1 All Habitats'!$X$3,T111&gt;0),U111+V111,IF(AND(P111='G-1 All Habitats'!$X$3,S111&gt;0),U111+V111,IF(AND(P111='G-1 All Habitats'!$X$3,AC111&gt;0),"Any Loss Unacceptable ▲",IF(AND(P111='G-1 All Habitats'!$X$3,W111&gt;0),"Any Loss Unacceptable ▲",H111*J111*L111*O111))))),"Check Data ▲")</f>
        <v/>
      </c>
      <c r="R111" s="50"/>
      <c r="S111" s="71"/>
      <c r="T111" s="72"/>
      <c r="U111" s="511" t="str">
        <f t="shared" si="8"/>
        <v/>
      </c>
      <c r="V111" s="511" t="str">
        <f t="shared" si="9"/>
        <v/>
      </c>
      <c r="W111" s="511" t="str">
        <f>IF(E111="","",IF(H111&lt;S111+T111,"Error in Areas ▲",IF(P111&lt;&gt;'G-1 All Habitats'!$X$3,H111-S111-T111,IF(AND(P111='G-1 All Habitats'!$X$3,Y111="Yes"),"Unacceptable Loss",IF(AND(P111='G-1 All Habitats'!$X$3,Y111="No"),AC111,IF(AND(P111='G-1 All Habitats'!$X$3,Y111=""),AC111,IF(AND(P111='G-1 All Habitats'!$X$3,AC111="None",AC111),IF(AND(P111='G-1 All Habitats'!$X$3,AC111&gt;0),H111-S111-T111))))))))</f>
        <v/>
      </c>
      <c r="X111" s="515" t="str">
        <f>IFERROR(IF(H111="","",IF(H111-S111-T111=0&lt;0,"Error in Areas ▲",IF(S111+T111&gt;H111,"Error in Areas ▲",IF(AND(P111='G-1 All Habitats'!$X$3,Y111="Yes"),"Alternative Compensation ✓",IF(W111=0,0,IF(P111='G-1 All Habitats'!$X$3,"Unacceptable Loss ▲",Q111-U111-V111)))))),"Check Data ▲")</f>
        <v/>
      </c>
      <c r="Y111" s="72"/>
      <c r="Z111" s="80"/>
      <c r="AA111" s="81"/>
      <c r="AC111" s="75" t="str">
        <f>IF(P111="","",IF(P111='G-1 All Habitats'!$X$3,H111-S111-T111,"None"))</f>
        <v/>
      </c>
      <c r="AD111" s="76" t="str">
        <f>IFERROR(AC111*J111*L111*#REF!*O111,IF(P111="","","None"))</f>
        <v/>
      </c>
      <c r="AF111" s="54" t="str">
        <f t="shared" si="5"/>
        <v/>
      </c>
      <c r="AG111" s="54" t="str">
        <f t="shared" si="6"/>
        <v/>
      </c>
      <c r="AH111" s="54" t="str">
        <f>IF(I111="","",IF(#REF!&gt;0,TRUE,FALSE))</f>
        <v/>
      </c>
      <c r="AI111" s="54">
        <v>101</v>
      </c>
      <c r="AJ111" s="54"/>
      <c r="AK111" s="54" t="str">
        <f t="array" ref="AK111">IFERROR(INDEX($AI$11:$AI$259, MATCH(0, IF(TRUE=$AF$11:$AF$259, COUNTIF($AK$10:$AK110, $AI$11:$AI$259), ""), 0)),"")</f>
        <v/>
      </c>
      <c r="AL111" s="54" t="str">
        <f t="array" ref="AL111">IFERROR(INDEX($AI$11:$AI$259, MATCH(0, IF(TRUE=$AG$11:$AG$259, COUNTIF($AL$10:$AL110, $AI$11:$AI$259), ""), 0)),"")</f>
        <v/>
      </c>
      <c r="AM111" s="54" t="str">
        <f t="array" ref="AM111">IFERROR(INDEX($AI$11:$AI$259, MATCH(0, IF(TRUE=$AH$11:$AH$259, COUNTIF($AM$10:$AM110, $AI$11:$AI$259), ""), 0)),"")</f>
        <v/>
      </c>
      <c r="AN111" s="54"/>
      <c r="AQ111" s="47">
        <f t="shared" si="7"/>
        <v>0</v>
      </c>
    </row>
    <row r="112" spans="1:43" x14ac:dyDescent="0.3">
      <c r="A112" s="47" t="str">
        <f>IFERROR(INDEX('G-1 All Habitats'!$AG$3:$AG$15,MATCH(E112,'G-1 All Habitats'!$AF$3:$AF$15,0)),"")</f>
        <v/>
      </c>
      <c r="B112" s="47" t="str">
        <f>IFERROR(INDEX('G-8 Condition Look up'!$I$4:$I$130,MATCH(G112,'G-8 Condition Look up'!$A$4:$A$130,0)),"")</f>
        <v/>
      </c>
      <c r="D112" s="77">
        <v>102</v>
      </c>
      <c r="E112" s="78"/>
      <c r="F112" s="79"/>
      <c r="G112" s="69" t="str">
        <f>IFERROR(INDEX('G-1 All Habitats'!$B$3:$B$129,MATCH(F112,'G-1 All Habitats'!$A$3:$A$129,0)),"")</f>
        <v/>
      </c>
      <c r="H112" s="70"/>
      <c r="I112" s="498" t="str">
        <f>IF(G112="","",VLOOKUP(G112,'G-1 All Habitats'!$B$2:$M$129,10,FALSE))</f>
        <v/>
      </c>
      <c r="J112" s="499" t="str">
        <f>IFERROR(VLOOKUP(I112,'G-1 All Habitats'!$V$3:$W$7,2,FALSE),"")</f>
        <v/>
      </c>
      <c r="K112" s="71"/>
      <c r="L112" s="499" t="str">
        <f>IFERROR(INDEX('G-8 Condition Look up'!$A$3:$H$130,MATCH(G112,'G-8 Condition Look up'!$A$3:$A$130,0),MATCH(K112,'G-8 Condition Look up'!$A$3:$H$3,0)),"")</f>
        <v/>
      </c>
      <c r="M112" s="71"/>
      <c r="N112" s="520" t="str">
        <f>IF(M112="","",IF(VLOOKUP(M112,'G-3 Multipliers'!$L$3:$N$6,2,FALSE)=0,"Spatial Data Missing",VLOOKUP(M112,'G-3 Multipliers'!$L$3:$N$6,2,FALSE)))</f>
        <v/>
      </c>
      <c r="O112" s="505" t="str">
        <f>IF(M112="","",IF(VLOOKUP(M112,'G-3 Multipliers'!$L$3:$N$6,3,FALSE)=0,"Spatial Data Missing",VLOOKUP(M112,'G-3 Multipliers'!$L$3:$N$6,3,FALSE)))</f>
        <v/>
      </c>
      <c r="P112" s="506" t="str">
        <f>IFERROR(VLOOKUP(G112,'G-1 All Habitats'!$B$2:$M$129,12,FALSE),"")</f>
        <v/>
      </c>
      <c r="Q112" s="513" t="str">
        <f>IFERROR(IF(P112="","",IF(AND(P112='G-1 All Habitats'!$X$3,T112&gt;0),U112+V112,IF(AND(P112='G-1 All Habitats'!$X$3,S112&gt;0),U112+V112,IF(AND(P112='G-1 All Habitats'!$X$3,AC112&gt;0),"Any Loss Unacceptable ▲",IF(AND(P112='G-1 All Habitats'!$X$3,W112&gt;0),"Any Loss Unacceptable ▲",H112*J112*L112*O112))))),"Check Data ▲")</f>
        <v/>
      </c>
      <c r="R112" s="50"/>
      <c r="S112" s="71"/>
      <c r="T112" s="72"/>
      <c r="U112" s="511" t="str">
        <f t="shared" si="8"/>
        <v/>
      </c>
      <c r="V112" s="511" t="str">
        <f t="shared" si="9"/>
        <v/>
      </c>
      <c r="W112" s="511" t="str">
        <f>IF(E112="","",IF(H112&lt;S112+T112,"Error in Areas ▲",IF(P112&lt;&gt;'G-1 All Habitats'!$X$3,H112-S112-T112,IF(AND(P112='G-1 All Habitats'!$X$3,Y112="Yes"),"Unacceptable Loss",IF(AND(P112='G-1 All Habitats'!$X$3,Y112="No"),AC112,IF(AND(P112='G-1 All Habitats'!$X$3,Y112=""),AC112,IF(AND(P112='G-1 All Habitats'!$X$3,AC112="None",AC112),IF(AND(P112='G-1 All Habitats'!$X$3,AC112&gt;0),H112-S112-T112))))))))</f>
        <v/>
      </c>
      <c r="X112" s="515" t="str">
        <f>IFERROR(IF(H112="","",IF(H112-S112-T112=0&lt;0,"Error in Areas ▲",IF(S112+T112&gt;H112,"Error in Areas ▲",IF(AND(P112='G-1 All Habitats'!$X$3,Y112="Yes"),"Alternative Compensation ✓",IF(W112=0,0,IF(P112='G-1 All Habitats'!$X$3,"Unacceptable Loss ▲",Q112-U112-V112)))))),"Check Data ▲")</f>
        <v/>
      </c>
      <c r="Y112" s="72"/>
      <c r="Z112" s="80"/>
      <c r="AA112" s="81"/>
      <c r="AC112" s="75" t="str">
        <f>IF(P112="","",IF(P112='G-1 All Habitats'!$X$3,H112-S112-T112,"None"))</f>
        <v/>
      </c>
      <c r="AD112" s="76" t="str">
        <f>IFERROR(AC112*J112*L112*#REF!*O112,IF(P112="","","None"))</f>
        <v/>
      </c>
      <c r="AF112" s="54" t="str">
        <f t="shared" si="5"/>
        <v/>
      </c>
      <c r="AG112" s="54" t="str">
        <f t="shared" si="6"/>
        <v/>
      </c>
      <c r="AH112" s="54" t="str">
        <f>IF(I112="","",IF(#REF!&gt;0,TRUE,FALSE))</f>
        <v/>
      </c>
      <c r="AI112" s="54">
        <v>102</v>
      </c>
      <c r="AJ112" s="54"/>
      <c r="AK112" s="54" t="str">
        <f t="array" ref="AK112">IFERROR(INDEX($AI$11:$AI$259, MATCH(0, IF(TRUE=$AF$11:$AF$259, COUNTIF($AK$10:$AK111, $AI$11:$AI$259), ""), 0)),"")</f>
        <v/>
      </c>
      <c r="AL112" s="54" t="str">
        <f t="array" ref="AL112">IFERROR(INDEX($AI$11:$AI$259, MATCH(0, IF(TRUE=$AG$11:$AG$259, COUNTIF($AL$10:$AL111, $AI$11:$AI$259), ""), 0)),"")</f>
        <v/>
      </c>
      <c r="AM112" s="54" t="str">
        <f t="array" ref="AM112">IFERROR(INDEX($AI$11:$AI$259, MATCH(0, IF(TRUE=$AH$11:$AH$259, COUNTIF($AM$10:$AM111, $AI$11:$AI$259), ""), 0)),"")</f>
        <v/>
      </c>
      <c r="AN112" s="54"/>
      <c r="AQ112" s="47">
        <f t="shared" si="7"/>
        <v>0</v>
      </c>
    </row>
    <row r="113" spans="1:43" x14ac:dyDescent="0.3">
      <c r="A113" s="47" t="str">
        <f>IFERROR(INDEX('G-1 All Habitats'!$AG$3:$AG$15,MATCH(E113,'G-1 All Habitats'!$AF$3:$AF$15,0)),"")</f>
        <v/>
      </c>
      <c r="B113" s="47" t="str">
        <f>IFERROR(INDEX('G-8 Condition Look up'!$I$4:$I$130,MATCH(G113,'G-8 Condition Look up'!$A$4:$A$130,0)),"")</f>
        <v/>
      </c>
      <c r="D113" s="77">
        <v>103</v>
      </c>
      <c r="E113" s="78"/>
      <c r="F113" s="79"/>
      <c r="G113" s="69" t="str">
        <f>IFERROR(INDEX('G-1 All Habitats'!$B$3:$B$129,MATCH(F113,'G-1 All Habitats'!$A$3:$A$129,0)),"")</f>
        <v/>
      </c>
      <c r="H113" s="70"/>
      <c r="I113" s="498" t="str">
        <f>IF(G113="","",VLOOKUP(G113,'G-1 All Habitats'!$B$2:$M$129,10,FALSE))</f>
        <v/>
      </c>
      <c r="J113" s="499" t="str">
        <f>IFERROR(VLOOKUP(I113,'G-1 All Habitats'!$V$3:$W$7,2,FALSE),"")</f>
        <v/>
      </c>
      <c r="K113" s="71"/>
      <c r="L113" s="499" t="str">
        <f>IFERROR(INDEX('G-8 Condition Look up'!$A$3:$H$130,MATCH(G113,'G-8 Condition Look up'!$A$3:$A$130,0),MATCH(K113,'G-8 Condition Look up'!$A$3:$H$3,0)),"")</f>
        <v/>
      </c>
      <c r="M113" s="71"/>
      <c r="N113" s="520" t="str">
        <f>IF(M113="","",IF(VLOOKUP(M113,'G-3 Multipliers'!$L$3:$N$6,2,FALSE)=0,"Spatial Data Missing",VLOOKUP(M113,'G-3 Multipliers'!$L$3:$N$6,2,FALSE)))</f>
        <v/>
      </c>
      <c r="O113" s="505" t="str">
        <f>IF(M113="","",IF(VLOOKUP(M113,'G-3 Multipliers'!$L$3:$N$6,3,FALSE)=0,"Spatial Data Missing",VLOOKUP(M113,'G-3 Multipliers'!$L$3:$N$6,3,FALSE)))</f>
        <v/>
      </c>
      <c r="P113" s="506" t="str">
        <f>IFERROR(VLOOKUP(G113,'G-1 All Habitats'!$B$2:$M$129,12,FALSE),"")</f>
        <v/>
      </c>
      <c r="Q113" s="513" t="str">
        <f>IFERROR(IF(P113="","",IF(AND(P113='G-1 All Habitats'!$X$3,T113&gt;0),U113+V113,IF(AND(P113='G-1 All Habitats'!$X$3,S113&gt;0),U113+V113,IF(AND(P113='G-1 All Habitats'!$X$3,AC113&gt;0),"Any Loss Unacceptable ▲",IF(AND(P113='G-1 All Habitats'!$X$3,W113&gt;0),"Any Loss Unacceptable ▲",H113*J113*L113*O113))))),"Check Data ▲")</f>
        <v/>
      </c>
      <c r="R113" s="50"/>
      <c r="S113" s="71"/>
      <c r="T113" s="72"/>
      <c r="U113" s="511" t="str">
        <f t="shared" si="8"/>
        <v/>
      </c>
      <c r="V113" s="511" t="str">
        <f t="shared" si="9"/>
        <v/>
      </c>
      <c r="W113" s="511" t="str">
        <f>IF(E113="","",IF(H113&lt;S113+T113,"Error in Areas ▲",IF(P113&lt;&gt;'G-1 All Habitats'!$X$3,H113-S113-T113,IF(AND(P113='G-1 All Habitats'!$X$3,Y113="Yes"),"Unacceptable Loss",IF(AND(P113='G-1 All Habitats'!$X$3,Y113="No"),AC113,IF(AND(P113='G-1 All Habitats'!$X$3,Y113=""),AC113,IF(AND(P113='G-1 All Habitats'!$X$3,AC113="None",AC113),IF(AND(P113='G-1 All Habitats'!$X$3,AC113&gt;0),H113-S113-T113))))))))</f>
        <v/>
      </c>
      <c r="X113" s="515" t="str">
        <f>IFERROR(IF(H113="","",IF(H113-S113-T113=0&lt;0,"Error in Areas ▲",IF(S113+T113&gt;H113,"Error in Areas ▲",IF(AND(P113='G-1 All Habitats'!$X$3,Y113="Yes"),"Alternative Compensation ✓",IF(W113=0,0,IF(P113='G-1 All Habitats'!$X$3,"Unacceptable Loss ▲",Q113-U113-V113)))))),"Check Data ▲")</f>
        <v/>
      </c>
      <c r="Y113" s="72"/>
      <c r="Z113" s="80"/>
      <c r="AA113" s="81"/>
      <c r="AC113" s="75" t="str">
        <f>IF(P113="","",IF(P113='G-1 All Habitats'!$X$3,H113-S113-T113,"None"))</f>
        <v/>
      </c>
      <c r="AD113" s="76" t="str">
        <f>IFERROR(AC113*J113*L113*#REF!*O113,IF(P113="","","None"))</f>
        <v/>
      </c>
      <c r="AF113" s="54" t="str">
        <f t="shared" si="5"/>
        <v/>
      </c>
      <c r="AG113" s="54" t="str">
        <f t="shared" si="6"/>
        <v/>
      </c>
      <c r="AH113" s="54" t="str">
        <f>IF(I113="","",IF(#REF!&gt;0,TRUE,FALSE))</f>
        <v/>
      </c>
      <c r="AI113" s="54">
        <v>103</v>
      </c>
      <c r="AJ113" s="54"/>
      <c r="AK113" s="54" t="str">
        <f t="array" ref="AK113">IFERROR(INDEX($AI$11:$AI$259, MATCH(0, IF(TRUE=$AF$11:$AF$259, COUNTIF($AK$10:$AK112, $AI$11:$AI$259), ""), 0)),"")</f>
        <v/>
      </c>
      <c r="AL113" s="54" t="str">
        <f t="array" ref="AL113">IFERROR(INDEX($AI$11:$AI$259, MATCH(0, IF(TRUE=$AG$11:$AG$259, COUNTIF($AL$10:$AL112, $AI$11:$AI$259), ""), 0)),"")</f>
        <v/>
      </c>
      <c r="AM113" s="54" t="str">
        <f t="array" ref="AM113">IFERROR(INDEX($AI$11:$AI$259, MATCH(0, IF(TRUE=$AH$11:$AH$259, COUNTIF($AM$10:$AM112, $AI$11:$AI$259), ""), 0)),"")</f>
        <v/>
      </c>
      <c r="AN113" s="54"/>
      <c r="AQ113" s="47">
        <f t="shared" si="7"/>
        <v>0</v>
      </c>
    </row>
    <row r="114" spans="1:43" x14ac:dyDescent="0.3">
      <c r="A114" s="47" t="str">
        <f>IFERROR(INDEX('G-1 All Habitats'!$AG$3:$AG$15,MATCH(E114,'G-1 All Habitats'!$AF$3:$AF$15,0)),"")</f>
        <v/>
      </c>
      <c r="B114" s="47" t="str">
        <f>IFERROR(INDEX('G-8 Condition Look up'!$I$4:$I$130,MATCH(G114,'G-8 Condition Look up'!$A$4:$A$130,0)),"")</f>
        <v/>
      </c>
      <c r="D114" s="77">
        <v>104</v>
      </c>
      <c r="E114" s="78"/>
      <c r="F114" s="79"/>
      <c r="G114" s="69" t="str">
        <f>IFERROR(INDEX('G-1 All Habitats'!$B$3:$B$129,MATCH(F114,'G-1 All Habitats'!$A$3:$A$129,0)),"")</f>
        <v/>
      </c>
      <c r="H114" s="70"/>
      <c r="I114" s="498" t="str">
        <f>IF(G114="","",VLOOKUP(G114,'G-1 All Habitats'!$B$2:$M$129,10,FALSE))</f>
        <v/>
      </c>
      <c r="J114" s="499" t="str">
        <f>IFERROR(VLOOKUP(I114,'G-1 All Habitats'!$V$3:$W$7,2,FALSE),"")</f>
        <v/>
      </c>
      <c r="K114" s="71"/>
      <c r="L114" s="499" t="str">
        <f>IFERROR(INDEX('G-8 Condition Look up'!$A$3:$H$130,MATCH(G114,'G-8 Condition Look up'!$A$3:$A$130,0),MATCH(K114,'G-8 Condition Look up'!$A$3:$H$3,0)),"")</f>
        <v/>
      </c>
      <c r="M114" s="71"/>
      <c r="N114" s="520" t="str">
        <f>IF(M114="","",IF(VLOOKUP(M114,'G-3 Multipliers'!$L$3:$N$6,2,FALSE)=0,"Spatial Data Missing",VLOOKUP(M114,'G-3 Multipliers'!$L$3:$N$6,2,FALSE)))</f>
        <v/>
      </c>
      <c r="O114" s="505" t="str">
        <f>IF(M114="","",IF(VLOOKUP(M114,'G-3 Multipliers'!$L$3:$N$6,3,FALSE)=0,"Spatial Data Missing",VLOOKUP(M114,'G-3 Multipliers'!$L$3:$N$6,3,FALSE)))</f>
        <v/>
      </c>
      <c r="P114" s="506" t="str">
        <f>IFERROR(VLOOKUP(G114,'G-1 All Habitats'!$B$2:$M$129,12,FALSE),"")</f>
        <v/>
      </c>
      <c r="Q114" s="513" t="str">
        <f>IFERROR(IF(P114="","",IF(AND(P114='G-1 All Habitats'!$X$3,T114&gt;0),U114+V114,IF(AND(P114='G-1 All Habitats'!$X$3,S114&gt;0),U114+V114,IF(AND(P114='G-1 All Habitats'!$X$3,AC114&gt;0),"Any Loss Unacceptable ▲",IF(AND(P114='G-1 All Habitats'!$X$3,W114&gt;0),"Any Loss Unacceptable ▲",H114*J114*L114*O114))))),"Check Data ▲")</f>
        <v/>
      </c>
      <c r="R114" s="50"/>
      <c r="S114" s="71"/>
      <c r="T114" s="72"/>
      <c r="U114" s="511" t="str">
        <f t="shared" si="8"/>
        <v/>
      </c>
      <c r="V114" s="511" t="str">
        <f t="shared" si="9"/>
        <v/>
      </c>
      <c r="W114" s="511" t="str">
        <f>IF(E114="","",IF(H114&lt;S114+T114,"Error in Areas ▲",IF(P114&lt;&gt;'G-1 All Habitats'!$X$3,H114-S114-T114,IF(AND(P114='G-1 All Habitats'!$X$3,Y114="Yes"),"Unacceptable Loss",IF(AND(P114='G-1 All Habitats'!$X$3,Y114="No"),AC114,IF(AND(P114='G-1 All Habitats'!$X$3,Y114=""),AC114,IF(AND(P114='G-1 All Habitats'!$X$3,AC114="None",AC114),IF(AND(P114='G-1 All Habitats'!$X$3,AC114&gt;0),H114-S114-T114))))))))</f>
        <v/>
      </c>
      <c r="X114" s="515" t="str">
        <f>IFERROR(IF(H114="","",IF(H114-S114-T114=0&lt;0,"Error in Areas ▲",IF(S114+T114&gt;H114,"Error in Areas ▲",IF(AND(P114='G-1 All Habitats'!$X$3,Y114="Yes"),"Alternative Compensation ✓",IF(W114=0,0,IF(P114='G-1 All Habitats'!$X$3,"Unacceptable Loss ▲",Q114-U114-V114)))))),"Check Data ▲")</f>
        <v/>
      </c>
      <c r="Y114" s="72"/>
      <c r="Z114" s="80"/>
      <c r="AA114" s="81"/>
      <c r="AC114" s="75" t="str">
        <f>IF(P114="","",IF(P114='G-1 All Habitats'!$X$3,H114-S114-T114,"None"))</f>
        <v/>
      </c>
      <c r="AD114" s="76" t="str">
        <f>IFERROR(AC114*J114*L114*#REF!*O114,IF(P114="","","None"))</f>
        <v/>
      </c>
      <c r="AF114" s="54" t="str">
        <f t="shared" si="5"/>
        <v/>
      </c>
      <c r="AG114" s="54" t="str">
        <f t="shared" si="6"/>
        <v/>
      </c>
      <c r="AH114" s="54" t="str">
        <f>IF(I114="","",IF(#REF!&gt;0,TRUE,FALSE))</f>
        <v/>
      </c>
      <c r="AI114" s="54">
        <v>104</v>
      </c>
      <c r="AJ114" s="54"/>
      <c r="AK114" s="54" t="str">
        <f t="array" ref="AK114">IFERROR(INDEX($AI$11:$AI$259, MATCH(0, IF(TRUE=$AF$11:$AF$259, COUNTIF($AK$10:$AK113, $AI$11:$AI$259), ""), 0)),"")</f>
        <v/>
      </c>
      <c r="AL114" s="54" t="str">
        <f t="array" ref="AL114">IFERROR(INDEX($AI$11:$AI$259, MATCH(0, IF(TRUE=$AG$11:$AG$259, COUNTIF($AL$10:$AL113, $AI$11:$AI$259), ""), 0)),"")</f>
        <v/>
      </c>
      <c r="AM114" s="54" t="str">
        <f t="array" ref="AM114">IFERROR(INDEX($AI$11:$AI$259, MATCH(0, IF(TRUE=$AH$11:$AH$259, COUNTIF($AM$10:$AM113, $AI$11:$AI$259), ""), 0)),"")</f>
        <v/>
      </c>
      <c r="AN114" s="54"/>
      <c r="AQ114" s="47">
        <f t="shared" si="7"/>
        <v>0</v>
      </c>
    </row>
    <row r="115" spans="1:43" x14ac:dyDescent="0.3">
      <c r="A115" s="47" t="str">
        <f>IFERROR(INDEX('G-1 All Habitats'!$AG$3:$AG$15,MATCH(E115,'G-1 All Habitats'!$AF$3:$AF$15,0)),"")</f>
        <v/>
      </c>
      <c r="B115" s="47" t="str">
        <f>IFERROR(INDEX('G-8 Condition Look up'!$I$4:$I$130,MATCH(G115,'G-8 Condition Look up'!$A$4:$A$130,0)),"")</f>
        <v/>
      </c>
      <c r="D115" s="77">
        <v>105</v>
      </c>
      <c r="E115" s="78"/>
      <c r="F115" s="79"/>
      <c r="G115" s="69" t="str">
        <f>IFERROR(INDEX('G-1 All Habitats'!$B$3:$B$129,MATCH(F115,'G-1 All Habitats'!$A$3:$A$129,0)),"")</f>
        <v/>
      </c>
      <c r="H115" s="70"/>
      <c r="I115" s="498" t="str">
        <f>IF(G115="","",VLOOKUP(G115,'G-1 All Habitats'!$B$2:$M$129,10,FALSE))</f>
        <v/>
      </c>
      <c r="J115" s="499" t="str">
        <f>IFERROR(VLOOKUP(I115,'G-1 All Habitats'!$V$3:$W$7,2,FALSE),"")</f>
        <v/>
      </c>
      <c r="K115" s="71"/>
      <c r="L115" s="499" t="str">
        <f>IFERROR(INDEX('G-8 Condition Look up'!$A$3:$H$130,MATCH(G115,'G-8 Condition Look up'!$A$3:$A$130,0),MATCH(K115,'G-8 Condition Look up'!$A$3:$H$3,0)),"")</f>
        <v/>
      </c>
      <c r="M115" s="71"/>
      <c r="N115" s="520" t="str">
        <f>IF(M115="","",IF(VLOOKUP(M115,'G-3 Multipliers'!$L$3:$N$6,2,FALSE)=0,"Spatial Data Missing",VLOOKUP(M115,'G-3 Multipliers'!$L$3:$N$6,2,FALSE)))</f>
        <v/>
      </c>
      <c r="O115" s="505" t="str">
        <f>IF(M115="","",IF(VLOOKUP(M115,'G-3 Multipliers'!$L$3:$N$6,3,FALSE)=0,"Spatial Data Missing",VLOOKUP(M115,'G-3 Multipliers'!$L$3:$N$6,3,FALSE)))</f>
        <v/>
      </c>
      <c r="P115" s="506" t="str">
        <f>IFERROR(VLOOKUP(G115,'G-1 All Habitats'!$B$2:$M$129,12,FALSE),"")</f>
        <v/>
      </c>
      <c r="Q115" s="513" t="str">
        <f>IFERROR(IF(P115="","",IF(AND(P115='G-1 All Habitats'!$X$3,T115&gt;0),U115+V115,IF(AND(P115='G-1 All Habitats'!$X$3,S115&gt;0),U115+V115,IF(AND(P115='G-1 All Habitats'!$X$3,AC115&gt;0),"Any Loss Unacceptable ▲",IF(AND(P115='G-1 All Habitats'!$X$3,W115&gt;0),"Any Loss Unacceptable ▲",H115*J115*L115*O115))))),"Check Data ▲")</f>
        <v/>
      </c>
      <c r="R115" s="50"/>
      <c r="S115" s="71"/>
      <c r="T115" s="72"/>
      <c r="U115" s="511" t="str">
        <f t="shared" si="8"/>
        <v/>
      </c>
      <c r="V115" s="511" t="str">
        <f t="shared" si="9"/>
        <v/>
      </c>
      <c r="W115" s="511" t="str">
        <f>IF(E115="","",IF(H115&lt;S115+T115,"Error in Areas ▲",IF(P115&lt;&gt;'G-1 All Habitats'!$X$3,H115-S115-T115,IF(AND(P115='G-1 All Habitats'!$X$3,Y115="Yes"),"Unacceptable Loss",IF(AND(P115='G-1 All Habitats'!$X$3,Y115="No"),AC115,IF(AND(P115='G-1 All Habitats'!$X$3,Y115=""),AC115,IF(AND(P115='G-1 All Habitats'!$X$3,AC115="None",AC115),IF(AND(P115='G-1 All Habitats'!$X$3,AC115&gt;0),H115-S115-T115))))))))</f>
        <v/>
      </c>
      <c r="X115" s="515" t="str">
        <f>IFERROR(IF(H115="","",IF(H115-S115-T115=0&lt;0,"Error in Areas ▲",IF(S115+T115&gt;H115,"Error in Areas ▲",IF(AND(P115='G-1 All Habitats'!$X$3,Y115="Yes"),"Alternative Compensation ✓",IF(W115=0,0,IF(P115='G-1 All Habitats'!$X$3,"Unacceptable Loss ▲",Q115-U115-V115)))))),"Check Data ▲")</f>
        <v/>
      </c>
      <c r="Y115" s="72"/>
      <c r="Z115" s="80"/>
      <c r="AA115" s="81"/>
      <c r="AC115" s="75" t="str">
        <f>IF(P115="","",IF(P115='G-1 All Habitats'!$X$3,H115-S115-T115,"None"))</f>
        <v/>
      </c>
      <c r="AD115" s="76" t="str">
        <f>IFERROR(AC115*J115*L115*#REF!*O115,IF(P115="","","None"))</f>
        <v/>
      </c>
      <c r="AF115" s="54" t="str">
        <f t="shared" si="5"/>
        <v/>
      </c>
      <c r="AG115" s="54" t="str">
        <f t="shared" si="6"/>
        <v/>
      </c>
      <c r="AH115" s="54" t="str">
        <f>IF(I115="","",IF(#REF!&gt;0,TRUE,FALSE))</f>
        <v/>
      </c>
      <c r="AI115" s="54">
        <v>105</v>
      </c>
      <c r="AJ115" s="54"/>
      <c r="AK115" s="54" t="str">
        <f t="array" ref="AK115">IFERROR(INDEX($AI$11:$AI$259, MATCH(0, IF(TRUE=$AF$11:$AF$259, COUNTIF($AK$10:$AK114, $AI$11:$AI$259), ""), 0)),"")</f>
        <v/>
      </c>
      <c r="AL115" s="54" t="str">
        <f t="array" ref="AL115">IFERROR(INDEX($AI$11:$AI$259, MATCH(0, IF(TRUE=$AG$11:$AG$259, COUNTIF($AL$10:$AL114, $AI$11:$AI$259), ""), 0)),"")</f>
        <v/>
      </c>
      <c r="AM115" s="54" t="str">
        <f t="array" ref="AM115">IFERROR(INDEX($AI$11:$AI$259, MATCH(0, IF(TRUE=$AH$11:$AH$259, COUNTIF($AM$10:$AM114, $AI$11:$AI$259), ""), 0)),"")</f>
        <v/>
      </c>
      <c r="AN115" s="54"/>
      <c r="AQ115" s="47">
        <f t="shared" si="7"/>
        <v>0</v>
      </c>
    </row>
    <row r="116" spans="1:43" x14ac:dyDescent="0.3">
      <c r="A116" s="47" t="str">
        <f>IFERROR(INDEX('G-1 All Habitats'!$AG$3:$AG$15,MATCH(E116,'G-1 All Habitats'!$AF$3:$AF$15,0)),"")</f>
        <v/>
      </c>
      <c r="B116" s="47" t="str">
        <f>IFERROR(INDEX('G-8 Condition Look up'!$I$4:$I$130,MATCH(G116,'G-8 Condition Look up'!$A$4:$A$130,0)),"")</f>
        <v/>
      </c>
      <c r="D116" s="77">
        <v>106</v>
      </c>
      <c r="E116" s="78"/>
      <c r="F116" s="79"/>
      <c r="G116" s="69" t="str">
        <f>IFERROR(INDEX('G-1 All Habitats'!$B$3:$B$129,MATCH(F116,'G-1 All Habitats'!$A$3:$A$129,0)),"")</f>
        <v/>
      </c>
      <c r="H116" s="70"/>
      <c r="I116" s="498" t="str">
        <f>IF(G116="","",VLOOKUP(G116,'G-1 All Habitats'!$B$2:$M$129,10,FALSE))</f>
        <v/>
      </c>
      <c r="J116" s="499" t="str">
        <f>IFERROR(VLOOKUP(I116,'G-1 All Habitats'!$V$3:$W$7,2,FALSE),"")</f>
        <v/>
      </c>
      <c r="K116" s="71"/>
      <c r="L116" s="499" t="str">
        <f>IFERROR(INDEX('G-8 Condition Look up'!$A$3:$H$130,MATCH(G116,'G-8 Condition Look up'!$A$3:$A$130,0),MATCH(K116,'G-8 Condition Look up'!$A$3:$H$3,0)),"")</f>
        <v/>
      </c>
      <c r="M116" s="71"/>
      <c r="N116" s="520" t="str">
        <f>IF(M116="","",IF(VLOOKUP(M116,'G-3 Multipliers'!$L$3:$N$6,2,FALSE)=0,"Spatial Data Missing",VLOOKUP(M116,'G-3 Multipliers'!$L$3:$N$6,2,FALSE)))</f>
        <v/>
      </c>
      <c r="O116" s="505" t="str">
        <f>IF(M116="","",IF(VLOOKUP(M116,'G-3 Multipliers'!$L$3:$N$6,3,FALSE)=0,"Spatial Data Missing",VLOOKUP(M116,'G-3 Multipliers'!$L$3:$N$6,3,FALSE)))</f>
        <v/>
      </c>
      <c r="P116" s="506" t="str">
        <f>IFERROR(VLOOKUP(G116,'G-1 All Habitats'!$B$2:$M$129,12,FALSE),"")</f>
        <v/>
      </c>
      <c r="Q116" s="513" t="str">
        <f>IFERROR(IF(P116="","",IF(AND(P116='G-1 All Habitats'!$X$3,T116&gt;0),U116+V116,IF(AND(P116='G-1 All Habitats'!$X$3,S116&gt;0),U116+V116,IF(AND(P116='G-1 All Habitats'!$X$3,AC116&gt;0),"Any Loss Unacceptable ▲",IF(AND(P116='G-1 All Habitats'!$X$3,W116&gt;0),"Any Loss Unacceptable ▲",H116*J116*L116*O116))))),"Check Data ▲")</f>
        <v/>
      </c>
      <c r="R116" s="50"/>
      <c r="S116" s="71"/>
      <c r="T116" s="72"/>
      <c r="U116" s="511" t="str">
        <f t="shared" si="8"/>
        <v/>
      </c>
      <c r="V116" s="511" t="str">
        <f t="shared" si="9"/>
        <v/>
      </c>
      <c r="W116" s="511" t="str">
        <f>IF(E116="","",IF(H116&lt;S116+T116,"Error in Areas ▲",IF(P116&lt;&gt;'G-1 All Habitats'!$X$3,H116-S116-T116,IF(AND(P116='G-1 All Habitats'!$X$3,Y116="Yes"),"Unacceptable Loss",IF(AND(P116='G-1 All Habitats'!$X$3,Y116="No"),AC116,IF(AND(P116='G-1 All Habitats'!$X$3,Y116=""),AC116,IF(AND(P116='G-1 All Habitats'!$X$3,AC116="None",AC116),IF(AND(P116='G-1 All Habitats'!$X$3,AC116&gt;0),H116-S116-T116))))))))</f>
        <v/>
      </c>
      <c r="X116" s="515" t="str">
        <f>IFERROR(IF(H116="","",IF(H116-S116-T116=0&lt;0,"Error in Areas ▲",IF(S116+T116&gt;H116,"Error in Areas ▲",IF(AND(P116='G-1 All Habitats'!$X$3,Y116="Yes"),"Alternative Compensation ✓",IF(W116=0,0,IF(P116='G-1 All Habitats'!$X$3,"Unacceptable Loss ▲",Q116-U116-V116)))))),"Check Data ▲")</f>
        <v/>
      </c>
      <c r="Y116" s="72"/>
      <c r="Z116" s="80"/>
      <c r="AA116" s="81"/>
      <c r="AC116" s="75" t="str">
        <f>IF(P116="","",IF(P116='G-1 All Habitats'!$X$3,H116-S116-T116,"None"))</f>
        <v/>
      </c>
      <c r="AD116" s="76" t="str">
        <f>IFERROR(AC116*J116*L116*#REF!*O116,IF(P116="","","None"))</f>
        <v/>
      </c>
      <c r="AF116" s="54" t="str">
        <f t="shared" si="5"/>
        <v/>
      </c>
      <c r="AG116" s="54" t="str">
        <f t="shared" si="6"/>
        <v/>
      </c>
      <c r="AH116" s="54" t="str">
        <f>IF(I116="","",IF(#REF!&gt;0,TRUE,FALSE))</f>
        <v/>
      </c>
      <c r="AI116" s="54">
        <v>106</v>
      </c>
      <c r="AJ116" s="54"/>
      <c r="AK116" s="54" t="str">
        <f t="array" ref="AK116">IFERROR(INDEX($AI$11:$AI$259, MATCH(0, IF(TRUE=$AF$11:$AF$259, COUNTIF($AK$10:$AK115, $AI$11:$AI$259), ""), 0)),"")</f>
        <v/>
      </c>
      <c r="AL116" s="54" t="str">
        <f t="array" ref="AL116">IFERROR(INDEX($AI$11:$AI$259, MATCH(0, IF(TRUE=$AG$11:$AG$259, COUNTIF($AL$10:$AL115, $AI$11:$AI$259), ""), 0)),"")</f>
        <v/>
      </c>
      <c r="AM116" s="54" t="str">
        <f t="array" ref="AM116">IFERROR(INDEX($AI$11:$AI$259, MATCH(0, IF(TRUE=$AH$11:$AH$259, COUNTIF($AM$10:$AM115, $AI$11:$AI$259), ""), 0)),"")</f>
        <v/>
      </c>
      <c r="AN116" s="54"/>
      <c r="AQ116" s="47">
        <f t="shared" si="7"/>
        <v>0</v>
      </c>
    </row>
    <row r="117" spans="1:43" x14ac:dyDescent="0.3">
      <c r="A117" s="47" t="str">
        <f>IFERROR(INDEX('G-1 All Habitats'!$AG$3:$AG$15,MATCH(E117,'G-1 All Habitats'!$AF$3:$AF$15,0)),"")</f>
        <v/>
      </c>
      <c r="B117" s="47" t="str">
        <f>IFERROR(INDEX('G-8 Condition Look up'!$I$4:$I$130,MATCH(G117,'G-8 Condition Look up'!$A$4:$A$130,0)),"")</f>
        <v/>
      </c>
      <c r="D117" s="77">
        <v>107</v>
      </c>
      <c r="E117" s="78"/>
      <c r="F117" s="79"/>
      <c r="G117" s="69" t="str">
        <f>IFERROR(INDEX('G-1 All Habitats'!$B$3:$B$129,MATCH(F117,'G-1 All Habitats'!$A$3:$A$129,0)),"")</f>
        <v/>
      </c>
      <c r="H117" s="70"/>
      <c r="I117" s="498" t="str">
        <f>IF(G117="","",VLOOKUP(G117,'G-1 All Habitats'!$B$2:$M$129,10,FALSE))</f>
        <v/>
      </c>
      <c r="J117" s="499" t="str">
        <f>IFERROR(VLOOKUP(I117,'G-1 All Habitats'!$V$3:$W$7,2,FALSE),"")</f>
        <v/>
      </c>
      <c r="K117" s="71"/>
      <c r="L117" s="499" t="str">
        <f>IFERROR(INDEX('G-8 Condition Look up'!$A$3:$H$130,MATCH(G117,'G-8 Condition Look up'!$A$3:$A$130,0),MATCH(K117,'G-8 Condition Look up'!$A$3:$H$3,0)),"")</f>
        <v/>
      </c>
      <c r="M117" s="71"/>
      <c r="N117" s="520" t="str">
        <f>IF(M117="","",IF(VLOOKUP(M117,'G-3 Multipliers'!$L$3:$N$6,2,FALSE)=0,"Spatial Data Missing",VLOOKUP(M117,'G-3 Multipliers'!$L$3:$N$6,2,FALSE)))</f>
        <v/>
      </c>
      <c r="O117" s="505" t="str">
        <f>IF(M117="","",IF(VLOOKUP(M117,'G-3 Multipliers'!$L$3:$N$6,3,FALSE)=0,"Spatial Data Missing",VLOOKUP(M117,'G-3 Multipliers'!$L$3:$N$6,3,FALSE)))</f>
        <v/>
      </c>
      <c r="P117" s="506" t="str">
        <f>IFERROR(VLOOKUP(G117,'G-1 All Habitats'!$B$2:$M$129,12,FALSE),"")</f>
        <v/>
      </c>
      <c r="Q117" s="513" t="str">
        <f>IFERROR(IF(P117="","",IF(AND(P117='G-1 All Habitats'!$X$3,T117&gt;0),U117+V117,IF(AND(P117='G-1 All Habitats'!$X$3,S117&gt;0),U117+V117,IF(AND(P117='G-1 All Habitats'!$X$3,AC117&gt;0),"Any Loss Unacceptable ▲",IF(AND(P117='G-1 All Habitats'!$X$3,W117&gt;0),"Any Loss Unacceptable ▲",H117*J117*L117*O117))))),"Check Data ▲")</f>
        <v/>
      </c>
      <c r="R117" s="50"/>
      <c r="S117" s="71"/>
      <c r="T117" s="72"/>
      <c r="U117" s="511" t="str">
        <f t="shared" si="8"/>
        <v/>
      </c>
      <c r="V117" s="511" t="str">
        <f t="shared" si="9"/>
        <v/>
      </c>
      <c r="W117" s="511" t="str">
        <f>IF(E117="","",IF(H117&lt;S117+T117,"Error in Areas ▲",IF(P117&lt;&gt;'G-1 All Habitats'!$X$3,H117-S117-T117,IF(AND(P117='G-1 All Habitats'!$X$3,Y117="Yes"),"Unacceptable Loss",IF(AND(P117='G-1 All Habitats'!$X$3,Y117="No"),AC117,IF(AND(P117='G-1 All Habitats'!$X$3,Y117=""),AC117,IF(AND(P117='G-1 All Habitats'!$X$3,AC117="None",AC117),IF(AND(P117='G-1 All Habitats'!$X$3,AC117&gt;0),H117-S117-T117))))))))</f>
        <v/>
      </c>
      <c r="X117" s="515" t="str">
        <f>IFERROR(IF(H117="","",IF(H117-S117-T117=0&lt;0,"Error in Areas ▲",IF(S117+T117&gt;H117,"Error in Areas ▲",IF(AND(P117='G-1 All Habitats'!$X$3,Y117="Yes"),"Alternative Compensation ✓",IF(W117=0,0,IF(P117='G-1 All Habitats'!$X$3,"Unacceptable Loss ▲",Q117-U117-V117)))))),"Check Data ▲")</f>
        <v/>
      </c>
      <c r="Y117" s="72"/>
      <c r="Z117" s="80"/>
      <c r="AA117" s="81"/>
      <c r="AC117" s="75" t="str">
        <f>IF(P117="","",IF(P117='G-1 All Habitats'!$X$3,H117-S117-T117,"None"))</f>
        <v/>
      </c>
      <c r="AD117" s="76" t="str">
        <f>IFERROR(AC117*J117*L117*#REF!*O117,IF(P117="","","None"))</f>
        <v/>
      </c>
      <c r="AF117" s="54" t="str">
        <f t="shared" si="5"/>
        <v/>
      </c>
      <c r="AG117" s="54" t="str">
        <f t="shared" si="6"/>
        <v/>
      </c>
      <c r="AH117" s="54" t="str">
        <f>IF(I117="","",IF(#REF!&gt;0,TRUE,FALSE))</f>
        <v/>
      </c>
      <c r="AI117" s="54">
        <v>107</v>
      </c>
      <c r="AJ117" s="54"/>
      <c r="AK117" s="54" t="str">
        <f t="array" ref="AK117">IFERROR(INDEX($AI$11:$AI$259, MATCH(0, IF(TRUE=$AF$11:$AF$259, COUNTIF($AK$10:$AK116, $AI$11:$AI$259), ""), 0)),"")</f>
        <v/>
      </c>
      <c r="AL117" s="54" t="str">
        <f t="array" ref="AL117">IFERROR(INDEX($AI$11:$AI$259, MATCH(0, IF(TRUE=$AG$11:$AG$259, COUNTIF($AL$10:$AL116, $AI$11:$AI$259), ""), 0)),"")</f>
        <v/>
      </c>
      <c r="AM117" s="54" t="str">
        <f t="array" ref="AM117">IFERROR(INDEX($AI$11:$AI$259, MATCH(0, IF(TRUE=$AH$11:$AH$259, COUNTIF($AM$10:$AM116, $AI$11:$AI$259), ""), 0)),"")</f>
        <v/>
      </c>
      <c r="AN117" s="54"/>
      <c r="AQ117" s="47">
        <f t="shared" si="7"/>
        <v>0</v>
      </c>
    </row>
    <row r="118" spans="1:43" x14ac:dyDescent="0.3">
      <c r="A118" s="47" t="str">
        <f>IFERROR(INDEX('G-1 All Habitats'!$AG$3:$AG$15,MATCH(E118,'G-1 All Habitats'!$AF$3:$AF$15,0)),"")</f>
        <v/>
      </c>
      <c r="B118" s="47" t="str">
        <f>IFERROR(INDEX('G-8 Condition Look up'!$I$4:$I$130,MATCH(G118,'G-8 Condition Look up'!$A$4:$A$130,0)),"")</f>
        <v/>
      </c>
      <c r="D118" s="77">
        <v>108</v>
      </c>
      <c r="E118" s="78"/>
      <c r="F118" s="79"/>
      <c r="G118" s="69" t="str">
        <f>IFERROR(INDEX('G-1 All Habitats'!$B$3:$B$129,MATCH(F118,'G-1 All Habitats'!$A$3:$A$129,0)),"")</f>
        <v/>
      </c>
      <c r="H118" s="70"/>
      <c r="I118" s="498" t="str">
        <f>IF(G118="","",VLOOKUP(G118,'G-1 All Habitats'!$B$2:$M$129,10,FALSE))</f>
        <v/>
      </c>
      <c r="J118" s="499" t="str">
        <f>IFERROR(VLOOKUP(I118,'G-1 All Habitats'!$V$3:$W$7,2,FALSE),"")</f>
        <v/>
      </c>
      <c r="K118" s="71"/>
      <c r="L118" s="499" t="str">
        <f>IFERROR(INDEX('G-8 Condition Look up'!$A$3:$H$130,MATCH(G118,'G-8 Condition Look up'!$A$3:$A$130,0),MATCH(K118,'G-8 Condition Look up'!$A$3:$H$3,0)),"")</f>
        <v/>
      </c>
      <c r="M118" s="71"/>
      <c r="N118" s="520" t="str">
        <f>IF(M118="","",IF(VLOOKUP(M118,'G-3 Multipliers'!$L$3:$N$6,2,FALSE)=0,"Spatial Data Missing",VLOOKUP(M118,'G-3 Multipliers'!$L$3:$N$6,2,FALSE)))</f>
        <v/>
      </c>
      <c r="O118" s="505" t="str">
        <f>IF(M118="","",IF(VLOOKUP(M118,'G-3 Multipliers'!$L$3:$N$6,3,FALSE)=0,"Spatial Data Missing",VLOOKUP(M118,'G-3 Multipliers'!$L$3:$N$6,3,FALSE)))</f>
        <v/>
      </c>
      <c r="P118" s="506" t="str">
        <f>IFERROR(VLOOKUP(G118,'G-1 All Habitats'!$B$2:$M$129,12,FALSE),"")</f>
        <v/>
      </c>
      <c r="Q118" s="513" t="str">
        <f>IFERROR(IF(P118="","",IF(AND(P118='G-1 All Habitats'!$X$3,T118&gt;0),U118+V118,IF(AND(P118='G-1 All Habitats'!$X$3,S118&gt;0),U118+V118,IF(AND(P118='G-1 All Habitats'!$X$3,AC118&gt;0),"Any Loss Unacceptable ▲",IF(AND(P118='G-1 All Habitats'!$X$3,W118&gt;0),"Any Loss Unacceptable ▲",H118*J118*L118*O118))))),"Check Data ▲")</f>
        <v/>
      </c>
      <c r="R118" s="50"/>
      <c r="S118" s="71"/>
      <c r="T118" s="72"/>
      <c r="U118" s="511" t="str">
        <f t="shared" si="8"/>
        <v/>
      </c>
      <c r="V118" s="511" t="str">
        <f t="shared" si="9"/>
        <v/>
      </c>
      <c r="W118" s="511" t="str">
        <f>IF(E118="","",IF(H118&lt;S118+T118,"Error in Areas ▲",IF(P118&lt;&gt;'G-1 All Habitats'!$X$3,H118-S118-T118,IF(AND(P118='G-1 All Habitats'!$X$3,Y118="Yes"),"Unacceptable Loss",IF(AND(P118='G-1 All Habitats'!$X$3,Y118="No"),AC118,IF(AND(P118='G-1 All Habitats'!$X$3,Y118=""),AC118,IF(AND(P118='G-1 All Habitats'!$X$3,AC118="None",AC118),IF(AND(P118='G-1 All Habitats'!$X$3,AC118&gt;0),H118-S118-T118))))))))</f>
        <v/>
      </c>
      <c r="X118" s="515" t="str">
        <f>IFERROR(IF(H118="","",IF(H118-S118-T118=0&lt;0,"Error in Areas ▲",IF(S118+T118&gt;H118,"Error in Areas ▲",IF(AND(P118='G-1 All Habitats'!$X$3,Y118="Yes"),"Alternative Compensation ✓",IF(W118=0,0,IF(P118='G-1 All Habitats'!$X$3,"Unacceptable Loss ▲",Q118-U118-V118)))))),"Check Data ▲")</f>
        <v/>
      </c>
      <c r="Y118" s="72"/>
      <c r="Z118" s="80"/>
      <c r="AA118" s="81"/>
      <c r="AC118" s="75" t="str">
        <f>IF(P118="","",IF(P118='G-1 All Habitats'!$X$3,H118-S118-T118,"None"))</f>
        <v/>
      </c>
      <c r="AD118" s="76" t="str">
        <f>IFERROR(AC118*J118*L118*#REF!*O118,IF(P118="","","None"))</f>
        <v/>
      </c>
      <c r="AF118" s="54" t="str">
        <f t="shared" si="5"/>
        <v/>
      </c>
      <c r="AG118" s="54" t="str">
        <f t="shared" si="6"/>
        <v/>
      </c>
      <c r="AH118" s="54" t="str">
        <f>IF(I118="","",IF(#REF!&gt;0,TRUE,FALSE))</f>
        <v/>
      </c>
      <c r="AI118" s="54">
        <v>108</v>
      </c>
      <c r="AJ118" s="54"/>
      <c r="AK118" s="54" t="str">
        <f t="array" ref="AK118">IFERROR(INDEX($AI$11:$AI$259, MATCH(0, IF(TRUE=$AF$11:$AF$259, COUNTIF($AK$10:$AK117, $AI$11:$AI$259), ""), 0)),"")</f>
        <v/>
      </c>
      <c r="AL118" s="54" t="str">
        <f t="array" ref="AL118">IFERROR(INDEX($AI$11:$AI$259, MATCH(0, IF(TRUE=$AG$11:$AG$259, COUNTIF($AL$10:$AL117, $AI$11:$AI$259), ""), 0)),"")</f>
        <v/>
      </c>
      <c r="AM118" s="54" t="str">
        <f t="array" ref="AM118">IFERROR(INDEX($AI$11:$AI$259, MATCH(0, IF(TRUE=$AH$11:$AH$259, COUNTIF($AM$10:$AM117, $AI$11:$AI$259), ""), 0)),"")</f>
        <v/>
      </c>
      <c r="AN118" s="54"/>
      <c r="AQ118" s="47">
        <f t="shared" si="7"/>
        <v>0</v>
      </c>
    </row>
    <row r="119" spans="1:43" x14ac:dyDescent="0.3">
      <c r="A119" s="47" t="str">
        <f>IFERROR(INDEX('G-1 All Habitats'!$AG$3:$AG$15,MATCH(E119,'G-1 All Habitats'!$AF$3:$AF$15,0)),"")</f>
        <v/>
      </c>
      <c r="B119" s="47" t="str">
        <f>IFERROR(INDEX('G-8 Condition Look up'!$I$4:$I$130,MATCH(G119,'G-8 Condition Look up'!$A$4:$A$130,0)),"")</f>
        <v/>
      </c>
      <c r="D119" s="77">
        <v>109</v>
      </c>
      <c r="E119" s="78"/>
      <c r="F119" s="79"/>
      <c r="G119" s="69" t="str">
        <f>IFERROR(INDEX('G-1 All Habitats'!$B$3:$B$129,MATCH(F119,'G-1 All Habitats'!$A$3:$A$129,0)),"")</f>
        <v/>
      </c>
      <c r="H119" s="70"/>
      <c r="I119" s="498" t="str">
        <f>IF(G119="","",VLOOKUP(G119,'G-1 All Habitats'!$B$2:$M$129,10,FALSE))</f>
        <v/>
      </c>
      <c r="J119" s="499" t="str">
        <f>IFERROR(VLOOKUP(I119,'G-1 All Habitats'!$V$3:$W$7,2,FALSE),"")</f>
        <v/>
      </c>
      <c r="K119" s="71"/>
      <c r="L119" s="499" t="str">
        <f>IFERROR(INDEX('G-8 Condition Look up'!$A$3:$H$130,MATCH(G119,'G-8 Condition Look up'!$A$3:$A$130,0),MATCH(K119,'G-8 Condition Look up'!$A$3:$H$3,0)),"")</f>
        <v/>
      </c>
      <c r="M119" s="71"/>
      <c r="N119" s="520" t="str">
        <f>IF(M119="","",IF(VLOOKUP(M119,'G-3 Multipliers'!$L$3:$N$6,2,FALSE)=0,"Spatial Data Missing",VLOOKUP(M119,'G-3 Multipliers'!$L$3:$N$6,2,FALSE)))</f>
        <v/>
      </c>
      <c r="O119" s="505" t="str">
        <f>IF(M119="","",IF(VLOOKUP(M119,'G-3 Multipliers'!$L$3:$N$6,3,FALSE)=0,"Spatial Data Missing",VLOOKUP(M119,'G-3 Multipliers'!$L$3:$N$6,3,FALSE)))</f>
        <v/>
      </c>
      <c r="P119" s="506" t="str">
        <f>IFERROR(VLOOKUP(G119,'G-1 All Habitats'!$B$2:$M$129,12,FALSE),"")</f>
        <v/>
      </c>
      <c r="Q119" s="513" t="str">
        <f>IFERROR(IF(P119="","",IF(AND(P119='G-1 All Habitats'!$X$3,T119&gt;0),U119+V119,IF(AND(P119='G-1 All Habitats'!$X$3,S119&gt;0),U119+V119,IF(AND(P119='G-1 All Habitats'!$X$3,AC119&gt;0),"Any Loss Unacceptable ▲",IF(AND(P119='G-1 All Habitats'!$X$3,W119&gt;0),"Any Loss Unacceptable ▲",H119*J119*L119*O119))))),"Check Data ▲")</f>
        <v/>
      </c>
      <c r="R119" s="50"/>
      <c r="S119" s="71"/>
      <c r="T119" s="72"/>
      <c r="U119" s="511" t="str">
        <f t="shared" si="8"/>
        <v/>
      </c>
      <c r="V119" s="511" t="str">
        <f t="shared" si="9"/>
        <v/>
      </c>
      <c r="W119" s="511" t="str">
        <f>IF(E119="","",IF(H119&lt;S119+T119,"Error in Areas ▲",IF(P119&lt;&gt;'G-1 All Habitats'!$X$3,H119-S119-T119,IF(AND(P119='G-1 All Habitats'!$X$3,Y119="Yes"),"Unacceptable Loss",IF(AND(P119='G-1 All Habitats'!$X$3,Y119="No"),AC119,IF(AND(P119='G-1 All Habitats'!$X$3,Y119=""),AC119,IF(AND(P119='G-1 All Habitats'!$X$3,AC119="None",AC119),IF(AND(P119='G-1 All Habitats'!$X$3,AC119&gt;0),H119-S119-T119))))))))</f>
        <v/>
      </c>
      <c r="X119" s="515" t="str">
        <f>IFERROR(IF(H119="","",IF(H119-S119-T119=0&lt;0,"Error in Areas ▲",IF(S119+T119&gt;H119,"Error in Areas ▲",IF(AND(P119='G-1 All Habitats'!$X$3,Y119="Yes"),"Alternative Compensation ✓",IF(W119=0,0,IF(P119='G-1 All Habitats'!$X$3,"Unacceptable Loss ▲",Q119-U119-V119)))))),"Check Data ▲")</f>
        <v/>
      </c>
      <c r="Y119" s="72"/>
      <c r="Z119" s="80"/>
      <c r="AA119" s="81"/>
      <c r="AC119" s="75" t="str">
        <f>IF(P119="","",IF(P119='G-1 All Habitats'!$X$3,H119-S119-T119,"None"))</f>
        <v/>
      </c>
      <c r="AD119" s="76" t="str">
        <f>IFERROR(AC119*J119*L119*#REF!*O119,IF(P119="","","None"))</f>
        <v/>
      </c>
      <c r="AF119" s="54" t="str">
        <f t="shared" si="5"/>
        <v/>
      </c>
      <c r="AG119" s="54" t="str">
        <f t="shared" si="6"/>
        <v/>
      </c>
      <c r="AH119" s="54" t="str">
        <f>IF(I119="","",IF(#REF!&gt;0,TRUE,FALSE))</f>
        <v/>
      </c>
      <c r="AI119" s="54">
        <v>109</v>
      </c>
      <c r="AJ119" s="54"/>
      <c r="AK119" s="54" t="str">
        <f t="array" ref="AK119">IFERROR(INDEX($AI$11:$AI$259, MATCH(0, IF(TRUE=$AF$11:$AF$259, COUNTIF($AK$10:$AK118, $AI$11:$AI$259), ""), 0)),"")</f>
        <v/>
      </c>
      <c r="AL119" s="54" t="str">
        <f t="array" ref="AL119">IFERROR(INDEX($AI$11:$AI$259, MATCH(0, IF(TRUE=$AG$11:$AG$259, COUNTIF($AL$10:$AL118, $AI$11:$AI$259), ""), 0)),"")</f>
        <v/>
      </c>
      <c r="AM119" s="54" t="str">
        <f t="array" ref="AM119">IFERROR(INDEX($AI$11:$AI$259, MATCH(0, IF(TRUE=$AH$11:$AH$259, COUNTIF($AM$10:$AM118, $AI$11:$AI$259), ""), 0)),"")</f>
        <v/>
      </c>
      <c r="AN119" s="54"/>
      <c r="AQ119" s="47">
        <f t="shared" si="7"/>
        <v>0</v>
      </c>
    </row>
    <row r="120" spans="1:43" x14ac:dyDescent="0.3">
      <c r="A120" s="47" t="str">
        <f>IFERROR(INDEX('G-1 All Habitats'!$AG$3:$AG$15,MATCH(E120,'G-1 All Habitats'!$AF$3:$AF$15,0)),"")</f>
        <v/>
      </c>
      <c r="B120" s="47" t="str">
        <f>IFERROR(INDEX('G-8 Condition Look up'!$I$4:$I$130,MATCH(G120,'G-8 Condition Look up'!$A$4:$A$130,0)),"")</f>
        <v/>
      </c>
      <c r="D120" s="77">
        <v>110</v>
      </c>
      <c r="E120" s="78"/>
      <c r="F120" s="79"/>
      <c r="G120" s="69" t="str">
        <f>IFERROR(INDEX('G-1 All Habitats'!$B$3:$B$129,MATCH(F120,'G-1 All Habitats'!$A$3:$A$129,0)),"")</f>
        <v/>
      </c>
      <c r="H120" s="70"/>
      <c r="I120" s="498" t="str">
        <f>IF(G120="","",VLOOKUP(G120,'G-1 All Habitats'!$B$2:$M$129,10,FALSE))</f>
        <v/>
      </c>
      <c r="J120" s="499" t="str">
        <f>IFERROR(VLOOKUP(I120,'G-1 All Habitats'!$V$3:$W$7,2,FALSE),"")</f>
        <v/>
      </c>
      <c r="K120" s="71"/>
      <c r="L120" s="499" t="str">
        <f>IFERROR(INDEX('G-8 Condition Look up'!$A$3:$H$130,MATCH(G120,'G-8 Condition Look up'!$A$3:$A$130,0),MATCH(K120,'G-8 Condition Look up'!$A$3:$H$3,0)),"")</f>
        <v/>
      </c>
      <c r="M120" s="71"/>
      <c r="N120" s="520" t="str">
        <f>IF(M120="","",IF(VLOOKUP(M120,'G-3 Multipliers'!$L$3:$N$6,2,FALSE)=0,"Spatial Data Missing",VLOOKUP(M120,'G-3 Multipliers'!$L$3:$N$6,2,FALSE)))</f>
        <v/>
      </c>
      <c r="O120" s="505" t="str">
        <f>IF(M120="","",IF(VLOOKUP(M120,'G-3 Multipliers'!$L$3:$N$6,3,FALSE)=0,"Spatial Data Missing",VLOOKUP(M120,'G-3 Multipliers'!$L$3:$N$6,3,FALSE)))</f>
        <v/>
      </c>
      <c r="P120" s="506" t="str">
        <f>IFERROR(VLOOKUP(G120,'G-1 All Habitats'!$B$2:$M$129,12,FALSE),"")</f>
        <v/>
      </c>
      <c r="Q120" s="513" t="str">
        <f>IFERROR(IF(P120="","",IF(AND(P120='G-1 All Habitats'!$X$3,T120&gt;0),U120+V120,IF(AND(P120='G-1 All Habitats'!$X$3,S120&gt;0),U120+V120,IF(AND(P120='G-1 All Habitats'!$X$3,AC120&gt;0),"Any Loss Unacceptable ▲",IF(AND(P120='G-1 All Habitats'!$X$3,W120&gt;0),"Any Loss Unacceptable ▲",H120*J120*L120*O120))))),"Check Data ▲")</f>
        <v/>
      </c>
      <c r="R120" s="50"/>
      <c r="S120" s="71"/>
      <c r="T120" s="72"/>
      <c r="U120" s="511" t="str">
        <f t="shared" si="8"/>
        <v/>
      </c>
      <c r="V120" s="511" t="str">
        <f t="shared" si="9"/>
        <v/>
      </c>
      <c r="W120" s="511" t="str">
        <f>IF(E120="","",IF(H120&lt;S120+T120,"Error in Areas ▲",IF(P120&lt;&gt;'G-1 All Habitats'!$X$3,H120-S120-T120,IF(AND(P120='G-1 All Habitats'!$X$3,Y120="Yes"),"Unacceptable Loss",IF(AND(P120='G-1 All Habitats'!$X$3,Y120="No"),AC120,IF(AND(P120='G-1 All Habitats'!$X$3,Y120=""),AC120,IF(AND(P120='G-1 All Habitats'!$X$3,AC120="None",AC120),IF(AND(P120='G-1 All Habitats'!$X$3,AC120&gt;0),H120-S120-T120))))))))</f>
        <v/>
      </c>
      <c r="X120" s="515" t="str">
        <f>IFERROR(IF(H120="","",IF(H120-S120-T120=0&lt;0,"Error in Areas ▲",IF(S120+T120&gt;H120,"Error in Areas ▲",IF(AND(P120='G-1 All Habitats'!$X$3,Y120="Yes"),"Alternative Compensation ✓",IF(W120=0,0,IF(P120='G-1 All Habitats'!$X$3,"Unacceptable Loss ▲",Q120-U120-V120)))))),"Check Data ▲")</f>
        <v/>
      </c>
      <c r="Y120" s="72"/>
      <c r="Z120" s="80"/>
      <c r="AA120" s="81"/>
      <c r="AC120" s="75" t="str">
        <f>IF(P120="","",IF(P120='G-1 All Habitats'!$X$3,H120-S120-T120,"None"))</f>
        <v/>
      </c>
      <c r="AD120" s="76" t="str">
        <f>IFERROR(AC120*J120*L120*#REF!*O120,IF(P120="","","None"))</f>
        <v/>
      </c>
      <c r="AF120" s="54" t="str">
        <f t="shared" si="5"/>
        <v/>
      </c>
      <c r="AG120" s="54" t="str">
        <f t="shared" si="6"/>
        <v/>
      </c>
      <c r="AH120" s="54" t="str">
        <f>IF(I120="","",IF(#REF!&gt;0,TRUE,FALSE))</f>
        <v/>
      </c>
      <c r="AI120" s="54">
        <v>110</v>
      </c>
      <c r="AJ120" s="54"/>
      <c r="AK120" s="54" t="str">
        <f t="array" ref="AK120">IFERROR(INDEX($AI$11:$AI$259, MATCH(0, IF(TRUE=$AF$11:$AF$259, COUNTIF($AK$10:$AK119, $AI$11:$AI$259), ""), 0)),"")</f>
        <v/>
      </c>
      <c r="AL120" s="54" t="str">
        <f t="array" ref="AL120">IFERROR(INDEX($AI$11:$AI$259, MATCH(0, IF(TRUE=$AG$11:$AG$259, COUNTIF($AL$10:$AL119, $AI$11:$AI$259), ""), 0)),"")</f>
        <v/>
      </c>
      <c r="AM120" s="54" t="str">
        <f t="array" ref="AM120">IFERROR(INDEX($AI$11:$AI$259, MATCH(0, IF(TRUE=$AH$11:$AH$259, COUNTIF($AM$10:$AM119, $AI$11:$AI$259), ""), 0)),"")</f>
        <v/>
      </c>
      <c r="AN120" s="54"/>
      <c r="AQ120" s="47">
        <f t="shared" si="7"/>
        <v>0</v>
      </c>
    </row>
    <row r="121" spans="1:43" x14ac:dyDescent="0.3">
      <c r="A121" s="47" t="str">
        <f>IFERROR(INDEX('G-1 All Habitats'!$AG$3:$AG$15,MATCH(E121,'G-1 All Habitats'!$AF$3:$AF$15,0)),"")</f>
        <v/>
      </c>
      <c r="B121" s="47" t="str">
        <f>IFERROR(INDEX('G-8 Condition Look up'!$I$4:$I$130,MATCH(G121,'G-8 Condition Look up'!$A$4:$A$130,0)),"")</f>
        <v/>
      </c>
      <c r="D121" s="77">
        <v>111</v>
      </c>
      <c r="E121" s="78"/>
      <c r="F121" s="79"/>
      <c r="G121" s="69" t="str">
        <f>IFERROR(INDEX('G-1 All Habitats'!$B$3:$B$129,MATCH(F121,'G-1 All Habitats'!$A$3:$A$129,0)),"")</f>
        <v/>
      </c>
      <c r="H121" s="70"/>
      <c r="I121" s="498" t="str">
        <f>IF(G121="","",VLOOKUP(G121,'G-1 All Habitats'!$B$2:$M$129,10,FALSE))</f>
        <v/>
      </c>
      <c r="J121" s="499" t="str">
        <f>IFERROR(VLOOKUP(I121,'G-1 All Habitats'!$V$3:$W$7,2,FALSE),"")</f>
        <v/>
      </c>
      <c r="K121" s="71"/>
      <c r="L121" s="499" t="str">
        <f>IFERROR(INDEX('G-8 Condition Look up'!$A$3:$H$130,MATCH(G121,'G-8 Condition Look up'!$A$3:$A$130,0),MATCH(K121,'G-8 Condition Look up'!$A$3:$H$3,0)),"")</f>
        <v/>
      </c>
      <c r="M121" s="71"/>
      <c r="N121" s="520" t="str">
        <f>IF(M121="","",IF(VLOOKUP(M121,'G-3 Multipliers'!$L$3:$N$6,2,FALSE)=0,"Spatial Data Missing",VLOOKUP(M121,'G-3 Multipliers'!$L$3:$N$6,2,FALSE)))</f>
        <v/>
      </c>
      <c r="O121" s="505" t="str">
        <f>IF(M121="","",IF(VLOOKUP(M121,'G-3 Multipliers'!$L$3:$N$6,3,FALSE)=0,"Spatial Data Missing",VLOOKUP(M121,'G-3 Multipliers'!$L$3:$N$6,3,FALSE)))</f>
        <v/>
      </c>
      <c r="P121" s="506" t="str">
        <f>IFERROR(VLOOKUP(G121,'G-1 All Habitats'!$B$2:$M$129,12,FALSE),"")</f>
        <v/>
      </c>
      <c r="Q121" s="513" t="str">
        <f>IFERROR(IF(P121="","",IF(AND(P121='G-1 All Habitats'!$X$3,T121&gt;0),U121+V121,IF(AND(P121='G-1 All Habitats'!$X$3,S121&gt;0),U121+V121,IF(AND(P121='G-1 All Habitats'!$X$3,AC121&gt;0),"Any Loss Unacceptable ▲",IF(AND(P121='G-1 All Habitats'!$X$3,W121&gt;0),"Any Loss Unacceptable ▲",H121*J121*L121*O121))))),"Check Data ▲")</f>
        <v/>
      </c>
      <c r="R121" s="50"/>
      <c r="S121" s="71"/>
      <c r="T121" s="72"/>
      <c r="U121" s="511" t="str">
        <f t="shared" si="8"/>
        <v/>
      </c>
      <c r="V121" s="511" t="str">
        <f t="shared" si="9"/>
        <v/>
      </c>
      <c r="W121" s="511" t="str">
        <f>IF(E121="","",IF(H121&lt;S121+T121,"Error in Areas ▲",IF(P121&lt;&gt;'G-1 All Habitats'!$X$3,H121-S121-T121,IF(AND(P121='G-1 All Habitats'!$X$3,Y121="Yes"),"Unacceptable Loss",IF(AND(P121='G-1 All Habitats'!$X$3,Y121="No"),AC121,IF(AND(P121='G-1 All Habitats'!$X$3,Y121=""),AC121,IF(AND(P121='G-1 All Habitats'!$X$3,AC121="None",AC121),IF(AND(P121='G-1 All Habitats'!$X$3,AC121&gt;0),H121-S121-T121))))))))</f>
        <v/>
      </c>
      <c r="X121" s="515" t="str">
        <f>IFERROR(IF(H121="","",IF(H121-S121-T121=0&lt;0,"Error in Areas ▲",IF(S121+T121&gt;H121,"Error in Areas ▲",IF(AND(P121='G-1 All Habitats'!$X$3,Y121="Yes"),"Alternative Compensation ✓",IF(W121=0,0,IF(P121='G-1 All Habitats'!$X$3,"Unacceptable Loss ▲",Q121-U121-V121)))))),"Check Data ▲")</f>
        <v/>
      </c>
      <c r="Y121" s="72"/>
      <c r="Z121" s="80"/>
      <c r="AA121" s="81"/>
      <c r="AC121" s="75" t="str">
        <f>IF(P121="","",IF(P121='G-1 All Habitats'!$X$3,H121-S121-T121,"None"))</f>
        <v/>
      </c>
      <c r="AD121" s="76" t="str">
        <f>IFERROR(AC121*J121*L121*#REF!*O121,IF(P121="","","None"))</f>
        <v/>
      </c>
      <c r="AF121" s="54" t="str">
        <f t="shared" si="5"/>
        <v/>
      </c>
      <c r="AG121" s="54" t="str">
        <f t="shared" si="6"/>
        <v/>
      </c>
      <c r="AH121" s="54" t="str">
        <f>IF(I121="","",IF(#REF!&gt;0,TRUE,FALSE))</f>
        <v/>
      </c>
      <c r="AI121" s="54">
        <v>111</v>
      </c>
      <c r="AJ121" s="54"/>
      <c r="AK121" s="54" t="str">
        <f t="array" ref="AK121">IFERROR(INDEX($AI$11:$AI$259, MATCH(0, IF(TRUE=$AF$11:$AF$259, COUNTIF($AK$10:$AK120, $AI$11:$AI$259), ""), 0)),"")</f>
        <v/>
      </c>
      <c r="AL121" s="54" t="str">
        <f t="array" ref="AL121">IFERROR(INDEX($AI$11:$AI$259, MATCH(0, IF(TRUE=$AG$11:$AG$259, COUNTIF($AL$10:$AL120, $AI$11:$AI$259), ""), 0)),"")</f>
        <v/>
      </c>
      <c r="AM121" s="54" t="str">
        <f t="array" ref="AM121">IFERROR(INDEX($AI$11:$AI$259, MATCH(0, IF(TRUE=$AH$11:$AH$259, COUNTIF($AM$10:$AM120, $AI$11:$AI$259), ""), 0)),"")</f>
        <v/>
      </c>
      <c r="AN121" s="54"/>
      <c r="AQ121" s="47">
        <f t="shared" si="7"/>
        <v>0</v>
      </c>
    </row>
    <row r="122" spans="1:43" x14ac:dyDescent="0.3">
      <c r="A122" s="47" t="str">
        <f>IFERROR(INDEX('G-1 All Habitats'!$AG$3:$AG$15,MATCH(E122,'G-1 All Habitats'!$AF$3:$AF$15,0)),"")</f>
        <v/>
      </c>
      <c r="B122" s="47" t="str">
        <f>IFERROR(INDEX('G-8 Condition Look up'!$I$4:$I$130,MATCH(G122,'G-8 Condition Look up'!$A$4:$A$130,0)),"")</f>
        <v/>
      </c>
      <c r="D122" s="77">
        <v>112</v>
      </c>
      <c r="E122" s="78"/>
      <c r="F122" s="79"/>
      <c r="G122" s="69" t="str">
        <f>IFERROR(INDEX('G-1 All Habitats'!$B$3:$B$129,MATCH(F122,'G-1 All Habitats'!$A$3:$A$129,0)),"")</f>
        <v/>
      </c>
      <c r="H122" s="70"/>
      <c r="I122" s="498" t="str">
        <f>IF(G122="","",VLOOKUP(G122,'G-1 All Habitats'!$B$2:$M$129,10,FALSE))</f>
        <v/>
      </c>
      <c r="J122" s="499" t="str">
        <f>IFERROR(VLOOKUP(I122,'G-1 All Habitats'!$V$3:$W$7,2,FALSE),"")</f>
        <v/>
      </c>
      <c r="K122" s="71"/>
      <c r="L122" s="499" t="str">
        <f>IFERROR(INDEX('G-8 Condition Look up'!$A$3:$H$130,MATCH(G122,'G-8 Condition Look up'!$A$3:$A$130,0),MATCH(K122,'G-8 Condition Look up'!$A$3:$H$3,0)),"")</f>
        <v/>
      </c>
      <c r="M122" s="71"/>
      <c r="N122" s="520" t="str">
        <f>IF(M122="","",IF(VLOOKUP(M122,'G-3 Multipliers'!$L$3:$N$6,2,FALSE)=0,"Spatial Data Missing",VLOOKUP(M122,'G-3 Multipliers'!$L$3:$N$6,2,FALSE)))</f>
        <v/>
      </c>
      <c r="O122" s="505" t="str">
        <f>IF(M122="","",IF(VLOOKUP(M122,'G-3 Multipliers'!$L$3:$N$6,3,FALSE)=0,"Spatial Data Missing",VLOOKUP(M122,'G-3 Multipliers'!$L$3:$N$6,3,FALSE)))</f>
        <v/>
      </c>
      <c r="P122" s="506" t="str">
        <f>IFERROR(VLOOKUP(G122,'G-1 All Habitats'!$B$2:$M$129,12,FALSE),"")</f>
        <v/>
      </c>
      <c r="Q122" s="513" t="str">
        <f>IFERROR(IF(P122="","",IF(AND(P122='G-1 All Habitats'!$X$3,T122&gt;0),U122+V122,IF(AND(P122='G-1 All Habitats'!$X$3,S122&gt;0),U122+V122,IF(AND(P122='G-1 All Habitats'!$X$3,AC122&gt;0),"Any Loss Unacceptable ▲",IF(AND(P122='G-1 All Habitats'!$X$3,W122&gt;0),"Any Loss Unacceptable ▲",H122*J122*L122*O122))))),"Check Data ▲")</f>
        <v/>
      </c>
      <c r="R122" s="50"/>
      <c r="S122" s="71"/>
      <c r="T122" s="72"/>
      <c r="U122" s="511" t="str">
        <f t="shared" si="8"/>
        <v/>
      </c>
      <c r="V122" s="511" t="str">
        <f t="shared" si="9"/>
        <v/>
      </c>
      <c r="W122" s="511" t="str">
        <f>IF(E122="","",IF(H122&lt;S122+T122,"Error in Areas ▲",IF(P122&lt;&gt;'G-1 All Habitats'!$X$3,H122-S122-T122,IF(AND(P122='G-1 All Habitats'!$X$3,Y122="Yes"),"Unacceptable Loss",IF(AND(P122='G-1 All Habitats'!$X$3,Y122="No"),AC122,IF(AND(P122='G-1 All Habitats'!$X$3,Y122=""),AC122,IF(AND(P122='G-1 All Habitats'!$X$3,AC122="None",AC122),IF(AND(P122='G-1 All Habitats'!$X$3,AC122&gt;0),H122-S122-T122))))))))</f>
        <v/>
      </c>
      <c r="X122" s="515" t="str">
        <f>IFERROR(IF(H122="","",IF(H122-S122-T122=0&lt;0,"Error in Areas ▲",IF(S122+T122&gt;H122,"Error in Areas ▲",IF(AND(P122='G-1 All Habitats'!$X$3,Y122="Yes"),"Alternative Compensation ✓",IF(W122=0,0,IF(P122='G-1 All Habitats'!$X$3,"Unacceptable Loss ▲",Q122-U122-V122)))))),"Check Data ▲")</f>
        <v/>
      </c>
      <c r="Y122" s="72"/>
      <c r="Z122" s="80"/>
      <c r="AA122" s="81"/>
      <c r="AC122" s="75" t="str">
        <f>IF(P122="","",IF(P122='G-1 All Habitats'!$X$3,H122-S122-T122,"None"))</f>
        <v/>
      </c>
      <c r="AD122" s="76" t="str">
        <f>IFERROR(AC122*J122*L122*#REF!*O122,IF(P122="","","None"))</f>
        <v/>
      </c>
      <c r="AF122" s="54" t="str">
        <f t="shared" si="5"/>
        <v/>
      </c>
      <c r="AG122" s="54" t="str">
        <f t="shared" si="6"/>
        <v/>
      </c>
      <c r="AH122" s="54" t="str">
        <f>IF(I122="","",IF(#REF!&gt;0,TRUE,FALSE))</f>
        <v/>
      </c>
      <c r="AI122" s="54">
        <v>112</v>
      </c>
      <c r="AJ122" s="54"/>
      <c r="AK122" s="54" t="str">
        <f t="array" ref="AK122">IFERROR(INDEX($AI$11:$AI$259, MATCH(0, IF(TRUE=$AF$11:$AF$259, COUNTIF($AK$10:$AK121, $AI$11:$AI$259), ""), 0)),"")</f>
        <v/>
      </c>
      <c r="AL122" s="54" t="str">
        <f t="array" ref="AL122">IFERROR(INDEX($AI$11:$AI$259, MATCH(0, IF(TRUE=$AG$11:$AG$259, COUNTIF($AL$10:$AL121, $AI$11:$AI$259), ""), 0)),"")</f>
        <v/>
      </c>
      <c r="AM122" s="54" t="str">
        <f t="array" ref="AM122">IFERROR(INDEX($AI$11:$AI$259, MATCH(0, IF(TRUE=$AH$11:$AH$259, COUNTIF($AM$10:$AM121, $AI$11:$AI$259), ""), 0)),"")</f>
        <v/>
      </c>
      <c r="AN122" s="54"/>
      <c r="AQ122" s="47">
        <f t="shared" si="7"/>
        <v>0</v>
      </c>
    </row>
    <row r="123" spans="1:43" x14ac:dyDescent="0.3">
      <c r="A123" s="47" t="str">
        <f>IFERROR(INDEX('G-1 All Habitats'!$AG$3:$AG$15,MATCH(E123,'G-1 All Habitats'!$AF$3:$AF$15,0)),"")</f>
        <v/>
      </c>
      <c r="B123" s="47" t="str">
        <f>IFERROR(INDEX('G-8 Condition Look up'!$I$4:$I$130,MATCH(G123,'G-8 Condition Look up'!$A$4:$A$130,0)),"")</f>
        <v/>
      </c>
      <c r="D123" s="77">
        <v>113</v>
      </c>
      <c r="E123" s="78"/>
      <c r="F123" s="79"/>
      <c r="G123" s="69" t="str">
        <f>IFERROR(INDEX('G-1 All Habitats'!$B$3:$B$129,MATCH(F123,'G-1 All Habitats'!$A$3:$A$129,0)),"")</f>
        <v/>
      </c>
      <c r="H123" s="70"/>
      <c r="I123" s="498" t="str">
        <f>IF(G123="","",VLOOKUP(G123,'G-1 All Habitats'!$B$2:$M$129,10,FALSE))</f>
        <v/>
      </c>
      <c r="J123" s="499" t="str">
        <f>IFERROR(VLOOKUP(I123,'G-1 All Habitats'!$V$3:$W$7,2,FALSE),"")</f>
        <v/>
      </c>
      <c r="K123" s="71"/>
      <c r="L123" s="499" t="str">
        <f>IFERROR(INDEX('G-8 Condition Look up'!$A$3:$H$130,MATCH(G123,'G-8 Condition Look up'!$A$3:$A$130,0),MATCH(K123,'G-8 Condition Look up'!$A$3:$H$3,0)),"")</f>
        <v/>
      </c>
      <c r="M123" s="71"/>
      <c r="N123" s="520" t="str">
        <f>IF(M123="","",IF(VLOOKUP(M123,'G-3 Multipliers'!$L$3:$N$6,2,FALSE)=0,"Spatial Data Missing",VLOOKUP(M123,'G-3 Multipliers'!$L$3:$N$6,2,FALSE)))</f>
        <v/>
      </c>
      <c r="O123" s="505" t="str">
        <f>IF(M123="","",IF(VLOOKUP(M123,'G-3 Multipliers'!$L$3:$N$6,3,FALSE)=0,"Spatial Data Missing",VLOOKUP(M123,'G-3 Multipliers'!$L$3:$N$6,3,FALSE)))</f>
        <v/>
      </c>
      <c r="P123" s="506" t="str">
        <f>IFERROR(VLOOKUP(G123,'G-1 All Habitats'!$B$2:$M$129,12,FALSE),"")</f>
        <v/>
      </c>
      <c r="Q123" s="513" t="str">
        <f>IFERROR(IF(P123="","",IF(AND(P123='G-1 All Habitats'!$X$3,T123&gt;0),U123+V123,IF(AND(P123='G-1 All Habitats'!$X$3,S123&gt;0),U123+V123,IF(AND(P123='G-1 All Habitats'!$X$3,AC123&gt;0),"Any Loss Unacceptable ▲",IF(AND(P123='G-1 All Habitats'!$X$3,W123&gt;0),"Any Loss Unacceptable ▲",H123*J123*L123*O123))))),"Check Data ▲")</f>
        <v/>
      </c>
      <c r="R123" s="50"/>
      <c r="S123" s="71"/>
      <c r="T123" s="72"/>
      <c r="U123" s="511" t="str">
        <f t="shared" si="8"/>
        <v/>
      </c>
      <c r="V123" s="511" t="str">
        <f t="shared" si="9"/>
        <v/>
      </c>
      <c r="W123" s="511" t="str">
        <f>IF(E123="","",IF(H123&lt;S123+T123,"Error in Areas ▲",IF(P123&lt;&gt;'G-1 All Habitats'!$X$3,H123-S123-T123,IF(AND(P123='G-1 All Habitats'!$X$3,Y123="Yes"),"Unacceptable Loss",IF(AND(P123='G-1 All Habitats'!$X$3,Y123="No"),AC123,IF(AND(P123='G-1 All Habitats'!$X$3,Y123=""),AC123,IF(AND(P123='G-1 All Habitats'!$X$3,AC123="None",AC123),IF(AND(P123='G-1 All Habitats'!$X$3,AC123&gt;0),H123-S123-T123))))))))</f>
        <v/>
      </c>
      <c r="X123" s="515" t="str">
        <f>IFERROR(IF(H123="","",IF(H123-S123-T123=0&lt;0,"Error in Areas ▲",IF(S123+T123&gt;H123,"Error in Areas ▲",IF(AND(P123='G-1 All Habitats'!$X$3,Y123="Yes"),"Alternative Compensation ✓",IF(W123=0,0,IF(P123='G-1 All Habitats'!$X$3,"Unacceptable Loss ▲",Q123-U123-V123)))))),"Check Data ▲")</f>
        <v/>
      </c>
      <c r="Y123" s="72"/>
      <c r="Z123" s="80"/>
      <c r="AA123" s="81"/>
      <c r="AC123" s="75" t="str">
        <f>IF(P123="","",IF(P123='G-1 All Habitats'!$X$3,H123-S123-T123,"None"))</f>
        <v/>
      </c>
      <c r="AD123" s="76" t="str">
        <f>IFERROR(AC123*J123*L123*#REF!*O123,IF(P123="","","None"))</f>
        <v/>
      </c>
      <c r="AF123" s="54" t="str">
        <f t="shared" si="5"/>
        <v/>
      </c>
      <c r="AG123" s="54" t="str">
        <f t="shared" si="6"/>
        <v/>
      </c>
      <c r="AH123" s="54" t="str">
        <f>IF(I123="","",IF(#REF!&gt;0,TRUE,FALSE))</f>
        <v/>
      </c>
      <c r="AI123" s="54">
        <v>113</v>
      </c>
      <c r="AJ123" s="54"/>
      <c r="AK123" s="54" t="str">
        <f t="array" ref="AK123">IFERROR(INDEX($AI$11:$AI$259, MATCH(0, IF(TRUE=$AF$11:$AF$259, COUNTIF($AK$10:$AK122, $AI$11:$AI$259), ""), 0)),"")</f>
        <v/>
      </c>
      <c r="AL123" s="54" t="str">
        <f t="array" ref="AL123">IFERROR(INDEX($AI$11:$AI$259, MATCH(0, IF(TRUE=$AG$11:$AG$259, COUNTIF($AL$10:$AL122, $AI$11:$AI$259), ""), 0)),"")</f>
        <v/>
      </c>
      <c r="AM123" s="54" t="str">
        <f t="array" ref="AM123">IFERROR(INDEX($AI$11:$AI$259, MATCH(0, IF(TRUE=$AH$11:$AH$259, COUNTIF($AM$10:$AM122, $AI$11:$AI$259), ""), 0)),"")</f>
        <v/>
      </c>
      <c r="AN123" s="54"/>
      <c r="AQ123" s="47">
        <f t="shared" si="7"/>
        <v>0</v>
      </c>
    </row>
    <row r="124" spans="1:43" x14ac:dyDescent="0.3">
      <c r="A124" s="47" t="str">
        <f>IFERROR(INDEX('G-1 All Habitats'!$AG$3:$AG$15,MATCH(E124,'G-1 All Habitats'!$AF$3:$AF$15,0)),"")</f>
        <v/>
      </c>
      <c r="B124" s="47" t="str">
        <f>IFERROR(INDEX('G-8 Condition Look up'!$I$4:$I$130,MATCH(G124,'G-8 Condition Look up'!$A$4:$A$130,0)),"")</f>
        <v/>
      </c>
      <c r="D124" s="77">
        <v>114</v>
      </c>
      <c r="E124" s="78"/>
      <c r="F124" s="79"/>
      <c r="G124" s="69" t="str">
        <f>IFERROR(INDEX('G-1 All Habitats'!$B$3:$B$129,MATCH(F124,'G-1 All Habitats'!$A$3:$A$129,0)),"")</f>
        <v/>
      </c>
      <c r="H124" s="70"/>
      <c r="I124" s="498" t="str">
        <f>IF(G124="","",VLOOKUP(G124,'G-1 All Habitats'!$B$2:$M$129,10,FALSE))</f>
        <v/>
      </c>
      <c r="J124" s="499" t="str">
        <f>IFERROR(VLOOKUP(I124,'G-1 All Habitats'!$V$3:$W$7,2,FALSE),"")</f>
        <v/>
      </c>
      <c r="K124" s="71"/>
      <c r="L124" s="499" t="str">
        <f>IFERROR(INDEX('G-8 Condition Look up'!$A$3:$H$130,MATCH(G124,'G-8 Condition Look up'!$A$3:$A$130,0),MATCH(K124,'G-8 Condition Look up'!$A$3:$H$3,0)),"")</f>
        <v/>
      </c>
      <c r="M124" s="71"/>
      <c r="N124" s="520" t="str">
        <f>IF(M124="","",IF(VLOOKUP(M124,'G-3 Multipliers'!$L$3:$N$6,2,FALSE)=0,"Spatial Data Missing",VLOOKUP(M124,'G-3 Multipliers'!$L$3:$N$6,2,FALSE)))</f>
        <v/>
      </c>
      <c r="O124" s="505" t="str">
        <f>IF(M124="","",IF(VLOOKUP(M124,'G-3 Multipliers'!$L$3:$N$6,3,FALSE)=0,"Spatial Data Missing",VLOOKUP(M124,'G-3 Multipliers'!$L$3:$N$6,3,FALSE)))</f>
        <v/>
      </c>
      <c r="P124" s="506" t="str">
        <f>IFERROR(VLOOKUP(G124,'G-1 All Habitats'!$B$2:$M$129,12,FALSE),"")</f>
        <v/>
      </c>
      <c r="Q124" s="513" t="str">
        <f>IFERROR(IF(P124="","",IF(AND(P124='G-1 All Habitats'!$X$3,T124&gt;0),U124+V124,IF(AND(P124='G-1 All Habitats'!$X$3,S124&gt;0),U124+V124,IF(AND(P124='G-1 All Habitats'!$X$3,AC124&gt;0),"Any Loss Unacceptable ▲",IF(AND(P124='G-1 All Habitats'!$X$3,W124&gt;0),"Any Loss Unacceptable ▲",H124*J124*L124*O124))))),"Check Data ▲")</f>
        <v/>
      </c>
      <c r="R124" s="50"/>
      <c r="S124" s="71"/>
      <c r="T124" s="72"/>
      <c r="U124" s="511" t="str">
        <f t="shared" si="8"/>
        <v/>
      </c>
      <c r="V124" s="511" t="str">
        <f t="shared" si="9"/>
        <v/>
      </c>
      <c r="W124" s="511" t="str">
        <f>IF(E124="","",IF(H124&lt;S124+T124,"Error in Areas ▲",IF(P124&lt;&gt;'G-1 All Habitats'!$X$3,H124-S124-T124,IF(AND(P124='G-1 All Habitats'!$X$3,Y124="Yes"),"Unacceptable Loss",IF(AND(P124='G-1 All Habitats'!$X$3,Y124="No"),AC124,IF(AND(P124='G-1 All Habitats'!$X$3,Y124=""),AC124,IF(AND(P124='G-1 All Habitats'!$X$3,AC124="None",AC124),IF(AND(P124='G-1 All Habitats'!$X$3,AC124&gt;0),H124-S124-T124))))))))</f>
        <v/>
      </c>
      <c r="X124" s="515" t="str">
        <f>IFERROR(IF(H124="","",IF(H124-S124-T124=0&lt;0,"Error in Areas ▲",IF(S124+T124&gt;H124,"Error in Areas ▲",IF(AND(P124='G-1 All Habitats'!$X$3,Y124="Yes"),"Alternative Compensation ✓",IF(W124=0,0,IF(P124='G-1 All Habitats'!$X$3,"Unacceptable Loss ▲",Q124-U124-V124)))))),"Check Data ▲")</f>
        <v/>
      </c>
      <c r="Y124" s="72"/>
      <c r="Z124" s="80"/>
      <c r="AA124" s="81"/>
      <c r="AC124" s="75" t="str">
        <f>IF(P124="","",IF(P124='G-1 All Habitats'!$X$3,H124-S124-T124,"None"))</f>
        <v/>
      </c>
      <c r="AD124" s="76" t="str">
        <f>IFERROR(AC124*J124*L124*#REF!*O124,IF(P124="","","None"))</f>
        <v/>
      </c>
      <c r="AF124" s="54" t="str">
        <f t="shared" si="5"/>
        <v/>
      </c>
      <c r="AG124" s="54" t="str">
        <f t="shared" si="6"/>
        <v/>
      </c>
      <c r="AH124" s="54" t="str">
        <f>IF(I124="","",IF(#REF!&gt;0,TRUE,FALSE))</f>
        <v/>
      </c>
      <c r="AI124" s="54">
        <v>114</v>
      </c>
      <c r="AJ124" s="54"/>
      <c r="AK124" s="54" t="str">
        <f t="array" ref="AK124">IFERROR(INDEX($AI$11:$AI$259, MATCH(0, IF(TRUE=$AF$11:$AF$259, COUNTIF($AK$10:$AK123, $AI$11:$AI$259), ""), 0)),"")</f>
        <v/>
      </c>
      <c r="AL124" s="54" t="str">
        <f t="array" ref="AL124">IFERROR(INDEX($AI$11:$AI$259, MATCH(0, IF(TRUE=$AG$11:$AG$259, COUNTIF($AL$10:$AL123, $AI$11:$AI$259), ""), 0)),"")</f>
        <v/>
      </c>
      <c r="AM124" s="54" t="str">
        <f t="array" ref="AM124">IFERROR(INDEX($AI$11:$AI$259, MATCH(0, IF(TRUE=$AH$11:$AH$259, COUNTIF($AM$10:$AM123, $AI$11:$AI$259), ""), 0)),"")</f>
        <v/>
      </c>
      <c r="AN124" s="54"/>
      <c r="AQ124" s="47">
        <f t="shared" si="7"/>
        <v>0</v>
      </c>
    </row>
    <row r="125" spans="1:43" x14ac:dyDescent="0.3">
      <c r="A125" s="47" t="str">
        <f>IFERROR(INDEX('G-1 All Habitats'!$AG$3:$AG$15,MATCH(E125,'G-1 All Habitats'!$AF$3:$AF$15,0)),"")</f>
        <v/>
      </c>
      <c r="B125" s="47" t="str">
        <f>IFERROR(INDEX('G-8 Condition Look up'!$I$4:$I$130,MATCH(G125,'G-8 Condition Look up'!$A$4:$A$130,0)),"")</f>
        <v/>
      </c>
      <c r="D125" s="77">
        <v>115</v>
      </c>
      <c r="E125" s="78"/>
      <c r="F125" s="79"/>
      <c r="G125" s="69" t="str">
        <f>IFERROR(INDEX('G-1 All Habitats'!$B$3:$B$129,MATCH(F125,'G-1 All Habitats'!$A$3:$A$129,0)),"")</f>
        <v/>
      </c>
      <c r="H125" s="70"/>
      <c r="I125" s="498" t="str">
        <f>IF(G125="","",VLOOKUP(G125,'G-1 All Habitats'!$B$2:$M$129,10,FALSE))</f>
        <v/>
      </c>
      <c r="J125" s="499" t="str">
        <f>IFERROR(VLOOKUP(I125,'G-1 All Habitats'!$V$3:$W$7,2,FALSE),"")</f>
        <v/>
      </c>
      <c r="K125" s="71"/>
      <c r="L125" s="499" t="str">
        <f>IFERROR(INDEX('G-8 Condition Look up'!$A$3:$H$130,MATCH(G125,'G-8 Condition Look up'!$A$3:$A$130,0),MATCH(K125,'G-8 Condition Look up'!$A$3:$H$3,0)),"")</f>
        <v/>
      </c>
      <c r="M125" s="71"/>
      <c r="N125" s="520" t="str">
        <f>IF(M125="","",IF(VLOOKUP(M125,'G-3 Multipliers'!$L$3:$N$6,2,FALSE)=0,"Spatial Data Missing",VLOOKUP(M125,'G-3 Multipliers'!$L$3:$N$6,2,FALSE)))</f>
        <v/>
      </c>
      <c r="O125" s="505" t="str">
        <f>IF(M125="","",IF(VLOOKUP(M125,'G-3 Multipliers'!$L$3:$N$6,3,FALSE)=0,"Spatial Data Missing",VLOOKUP(M125,'G-3 Multipliers'!$L$3:$N$6,3,FALSE)))</f>
        <v/>
      </c>
      <c r="P125" s="506" t="str">
        <f>IFERROR(VLOOKUP(G125,'G-1 All Habitats'!$B$2:$M$129,12,FALSE),"")</f>
        <v/>
      </c>
      <c r="Q125" s="513" t="str">
        <f>IFERROR(IF(P125="","",IF(AND(P125='G-1 All Habitats'!$X$3,T125&gt;0),U125+V125,IF(AND(P125='G-1 All Habitats'!$X$3,S125&gt;0),U125+V125,IF(AND(P125='G-1 All Habitats'!$X$3,AC125&gt;0),"Any Loss Unacceptable ▲",IF(AND(P125='G-1 All Habitats'!$X$3,W125&gt;0),"Any Loss Unacceptable ▲",H125*J125*L125*O125))))),"Check Data ▲")</f>
        <v/>
      </c>
      <c r="R125" s="50"/>
      <c r="S125" s="71"/>
      <c r="T125" s="72"/>
      <c r="U125" s="511" t="str">
        <f t="shared" si="8"/>
        <v/>
      </c>
      <c r="V125" s="511" t="str">
        <f t="shared" si="9"/>
        <v/>
      </c>
      <c r="W125" s="511" t="str">
        <f>IF(E125="","",IF(H125&lt;S125+T125,"Error in Areas ▲",IF(P125&lt;&gt;'G-1 All Habitats'!$X$3,H125-S125-T125,IF(AND(P125='G-1 All Habitats'!$X$3,Y125="Yes"),"Unacceptable Loss",IF(AND(P125='G-1 All Habitats'!$X$3,Y125="No"),AC125,IF(AND(P125='G-1 All Habitats'!$X$3,Y125=""),AC125,IF(AND(P125='G-1 All Habitats'!$X$3,AC125="None",AC125),IF(AND(P125='G-1 All Habitats'!$X$3,AC125&gt;0),H125-S125-T125))))))))</f>
        <v/>
      </c>
      <c r="X125" s="515" t="str">
        <f>IFERROR(IF(H125="","",IF(H125-S125-T125=0&lt;0,"Error in Areas ▲",IF(S125+T125&gt;H125,"Error in Areas ▲",IF(AND(P125='G-1 All Habitats'!$X$3,Y125="Yes"),"Alternative Compensation ✓",IF(W125=0,0,IF(P125='G-1 All Habitats'!$X$3,"Unacceptable Loss ▲",Q125-U125-V125)))))),"Check Data ▲")</f>
        <v/>
      </c>
      <c r="Y125" s="72"/>
      <c r="Z125" s="80"/>
      <c r="AA125" s="81"/>
      <c r="AC125" s="75" t="str">
        <f>IF(P125="","",IF(P125='G-1 All Habitats'!$X$3,H125-S125-T125,"None"))</f>
        <v/>
      </c>
      <c r="AD125" s="76" t="str">
        <f>IFERROR(AC125*J125*L125*#REF!*O125,IF(P125="","","None"))</f>
        <v/>
      </c>
      <c r="AF125" s="54" t="str">
        <f t="shared" si="5"/>
        <v/>
      </c>
      <c r="AG125" s="54" t="str">
        <f t="shared" si="6"/>
        <v/>
      </c>
      <c r="AH125" s="54" t="str">
        <f>IF(I125="","",IF(#REF!&gt;0,TRUE,FALSE))</f>
        <v/>
      </c>
      <c r="AI125" s="54">
        <v>115</v>
      </c>
      <c r="AJ125" s="54"/>
      <c r="AK125" s="54" t="str">
        <f t="array" ref="AK125">IFERROR(INDEX($AI$11:$AI$259, MATCH(0, IF(TRUE=$AF$11:$AF$259, COUNTIF($AK$10:$AK124, $AI$11:$AI$259), ""), 0)),"")</f>
        <v/>
      </c>
      <c r="AL125" s="54" t="str">
        <f t="array" ref="AL125">IFERROR(INDEX($AI$11:$AI$259, MATCH(0, IF(TRUE=$AG$11:$AG$259, COUNTIF($AL$10:$AL124, $AI$11:$AI$259), ""), 0)),"")</f>
        <v/>
      </c>
      <c r="AM125" s="54" t="str">
        <f t="array" ref="AM125">IFERROR(INDEX($AI$11:$AI$259, MATCH(0, IF(TRUE=$AH$11:$AH$259, COUNTIF($AM$10:$AM124, $AI$11:$AI$259), ""), 0)),"")</f>
        <v/>
      </c>
      <c r="AN125" s="54"/>
      <c r="AQ125" s="47">
        <f t="shared" si="7"/>
        <v>0</v>
      </c>
    </row>
    <row r="126" spans="1:43" x14ac:dyDescent="0.3">
      <c r="A126" s="47" t="str">
        <f>IFERROR(INDEX('G-1 All Habitats'!$AG$3:$AG$15,MATCH(E126,'G-1 All Habitats'!$AF$3:$AF$15,0)),"")</f>
        <v/>
      </c>
      <c r="B126" s="47" t="str">
        <f>IFERROR(INDEX('G-8 Condition Look up'!$I$4:$I$130,MATCH(G126,'G-8 Condition Look up'!$A$4:$A$130,0)),"")</f>
        <v/>
      </c>
      <c r="D126" s="77">
        <v>116</v>
      </c>
      <c r="E126" s="78"/>
      <c r="F126" s="79"/>
      <c r="G126" s="69" t="str">
        <f>IFERROR(INDEX('G-1 All Habitats'!$B$3:$B$129,MATCH(F126,'G-1 All Habitats'!$A$3:$A$129,0)),"")</f>
        <v/>
      </c>
      <c r="H126" s="70"/>
      <c r="I126" s="498" t="str">
        <f>IF(G126="","",VLOOKUP(G126,'G-1 All Habitats'!$B$2:$M$129,10,FALSE))</f>
        <v/>
      </c>
      <c r="J126" s="499" t="str">
        <f>IFERROR(VLOOKUP(I126,'G-1 All Habitats'!$V$3:$W$7,2,FALSE),"")</f>
        <v/>
      </c>
      <c r="K126" s="71"/>
      <c r="L126" s="499" t="str">
        <f>IFERROR(INDEX('G-8 Condition Look up'!$A$3:$H$130,MATCH(G126,'G-8 Condition Look up'!$A$3:$A$130,0),MATCH(K126,'G-8 Condition Look up'!$A$3:$H$3,0)),"")</f>
        <v/>
      </c>
      <c r="M126" s="71"/>
      <c r="N126" s="520" t="str">
        <f>IF(M126="","",IF(VLOOKUP(M126,'G-3 Multipliers'!$L$3:$N$6,2,FALSE)=0,"Spatial Data Missing",VLOOKUP(M126,'G-3 Multipliers'!$L$3:$N$6,2,FALSE)))</f>
        <v/>
      </c>
      <c r="O126" s="505" t="str">
        <f>IF(M126="","",IF(VLOOKUP(M126,'G-3 Multipliers'!$L$3:$N$6,3,FALSE)=0,"Spatial Data Missing",VLOOKUP(M126,'G-3 Multipliers'!$L$3:$N$6,3,FALSE)))</f>
        <v/>
      </c>
      <c r="P126" s="506" t="str">
        <f>IFERROR(VLOOKUP(G126,'G-1 All Habitats'!$B$2:$M$129,12,FALSE),"")</f>
        <v/>
      </c>
      <c r="Q126" s="513" t="str">
        <f>IFERROR(IF(P126="","",IF(AND(P126='G-1 All Habitats'!$X$3,T126&gt;0),U126+V126,IF(AND(P126='G-1 All Habitats'!$X$3,S126&gt;0),U126+V126,IF(AND(P126='G-1 All Habitats'!$X$3,AC126&gt;0),"Any Loss Unacceptable ▲",IF(AND(P126='G-1 All Habitats'!$X$3,W126&gt;0),"Any Loss Unacceptable ▲",H126*J126*L126*O126))))),"Check Data ▲")</f>
        <v/>
      </c>
      <c r="R126" s="50"/>
      <c r="S126" s="71"/>
      <c r="T126" s="72"/>
      <c r="U126" s="511" t="str">
        <f t="shared" si="8"/>
        <v/>
      </c>
      <c r="V126" s="511" t="str">
        <f t="shared" si="9"/>
        <v/>
      </c>
      <c r="W126" s="511" t="str">
        <f>IF(E126="","",IF(H126&lt;S126+T126,"Error in Areas ▲",IF(P126&lt;&gt;'G-1 All Habitats'!$X$3,H126-S126-T126,IF(AND(P126='G-1 All Habitats'!$X$3,Y126="Yes"),"Unacceptable Loss",IF(AND(P126='G-1 All Habitats'!$X$3,Y126="No"),AC126,IF(AND(P126='G-1 All Habitats'!$X$3,Y126=""),AC126,IF(AND(P126='G-1 All Habitats'!$X$3,AC126="None",AC126),IF(AND(P126='G-1 All Habitats'!$X$3,AC126&gt;0),H126-S126-T126))))))))</f>
        <v/>
      </c>
      <c r="X126" s="515" t="str">
        <f>IFERROR(IF(H126="","",IF(H126-S126-T126=0&lt;0,"Error in Areas ▲",IF(S126+T126&gt;H126,"Error in Areas ▲",IF(AND(P126='G-1 All Habitats'!$X$3,Y126="Yes"),"Alternative Compensation ✓",IF(W126=0,0,IF(P126='G-1 All Habitats'!$X$3,"Unacceptable Loss ▲",Q126-U126-V126)))))),"Check Data ▲")</f>
        <v/>
      </c>
      <c r="Y126" s="72"/>
      <c r="Z126" s="80"/>
      <c r="AA126" s="81"/>
      <c r="AC126" s="75" t="str">
        <f>IF(P126="","",IF(P126='G-1 All Habitats'!$X$3,H126-S126-T126,"None"))</f>
        <v/>
      </c>
      <c r="AD126" s="76" t="str">
        <f>IFERROR(AC126*J126*L126*#REF!*O126,IF(P126="","","None"))</f>
        <v/>
      </c>
      <c r="AF126" s="54" t="str">
        <f t="shared" si="5"/>
        <v/>
      </c>
      <c r="AG126" s="54" t="str">
        <f t="shared" si="6"/>
        <v/>
      </c>
      <c r="AH126" s="54" t="str">
        <f>IF(I126="","",IF(#REF!&gt;0,TRUE,FALSE))</f>
        <v/>
      </c>
      <c r="AI126" s="54">
        <v>116</v>
      </c>
      <c r="AJ126" s="54"/>
      <c r="AK126" s="54" t="str">
        <f t="array" ref="AK126">IFERROR(INDEX($AI$11:$AI$259, MATCH(0, IF(TRUE=$AF$11:$AF$259, COUNTIF($AK$10:$AK125, $AI$11:$AI$259), ""), 0)),"")</f>
        <v/>
      </c>
      <c r="AL126" s="54" t="str">
        <f t="array" ref="AL126">IFERROR(INDEX($AI$11:$AI$259, MATCH(0, IF(TRUE=$AG$11:$AG$259, COUNTIF($AL$10:$AL125, $AI$11:$AI$259), ""), 0)),"")</f>
        <v/>
      </c>
      <c r="AM126" s="54" t="str">
        <f t="array" ref="AM126">IFERROR(INDEX($AI$11:$AI$259, MATCH(0, IF(TRUE=$AH$11:$AH$259, COUNTIF($AM$10:$AM125, $AI$11:$AI$259), ""), 0)),"")</f>
        <v/>
      </c>
      <c r="AN126" s="54"/>
      <c r="AQ126" s="47">
        <f t="shared" si="7"/>
        <v>0</v>
      </c>
    </row>
    <row r="127" spans="1:43" x14ac:dyDescent="0.3">
      <c r="A127" s="47" t="str">
        <f>IFERROR(INDEX('G-1 All Habitats'!$AG$3:$AG$15,MATCH(E127,'G-1 All Habitats'!$AF$3:$AF$15,0)),"")</f>
        <v/>
      </c>
      <c r="B127" s="47" t="str">
        <f>IFERROR(INDEX('G-8 Condition Look up'!$I$4:$I$130,MATCH(G127,'G-8 Condition Look up'!$A$4:$A$130,0)),"")</f>
        <v/>
      </c>
      <c r="D127" s="77">
        <v>117</v>
      </c>
      <c r="E127" s="78"/>
      <c r="F127" s="79"/>
      <c r="G127" s="69" t="str">
        <f>IFERROR(INDEX('G-1 All Habitats'!$B$3:$B$129,MATCH(F127,'G-1 All Habitats'!$A$3:$A$129,0)),"")</f>
        <v/>
      </c>
      <c r="H127" s="70"/>
      <c r="I127" s="498" t="str">
        <f>IF(G127="","",VLOOKUP(G127,'G-1 All Habitats'!$B$2:$M$129,10,FALSE))</f>
        <v/>
      </c>
      <c r="J127" s="499" t="str">
        <f>IFERROR(VLOOKUP(I127,'G-1 All Habitats'!$V$3:$W$7,2,FALSE),"")</f>
        <v/>
      </c>
      <c r="K127" s="71"/>
      <c r="L127" s="499" t="str">
        <f>IFERROR(INDEX('G-8 Condition Look up'!$A$3:$H$130,MATCH(G127,'G-8 Condition Look up'!$A$3:$A$130,0),MATCH(K127,'G-8 Condition Look up'!$A$3:$H$3,0)),"")</f>
        <v/>
      </c>
      <c r="M127" s="71"/>
      <c r="N127" s="520" t="str">
        <f>IF(M127="","",IF(VLOOKUP(M127,'G-3 Multipliers'!$L$3:$N$6,2,FALSE)=0,"Spatial Data Missing",VLOOKUP(M127,'G-3 Multipliers'!$L$3:$N$6,2,FALSE)))</f>
        <v/>
      </c>
      <c r="O127" s="505" t="str">
        <f>IF(M127="","",IF(VLOOKUP(M127,'G-3 Multipliers'!$L$3:$N$6,3,FALSE)=0,"Spatial Data Missing",VLOOKUP(M127,'G-3 Multipliers'!$L$3:$N$6,3,FALSE)))</f>
        <v/>
      </c>
      <c r="P127" s="506" t="str">
        <f>IFERROR(VLOOKUP(G127,'G-1 All Habitats'!$B$2:$M$129,12,FALSE),"")</f>
        <v/>
      </c>
      <c r="Q127" s="513" t="str">
        <f>IFERROR(IF(P127="","",IF(AND(P127='G-1 All Habitats'!$X$3,T127&gt;0),U127+V127,IF(AND(P127='G-1 All Habitats'!$X$3,S127&gt;0),U127+V127,IF(AND(P127='G-1 All Habitats'!$X$3,AC127&gt;0),"Any Loss Unacceptable ▲",IF(AND(P127='G-1 All Habitats'!$X$3,W127&gt;0),"Any Loss Unacceptable ▲",H127*J127*L127*O127))))),"Check Data ▲")</f>
        <v/>
      </c>
      <c r="R127" s="50"/>
      <c r="S127" s="71"/>
      <c r="T127" s="72"/>
      <c r="U127" s="511" t="str">
        <f t="shared" si="8"/>
        <v/>
      </c>
      <c r="V127" s="511" t="str">
        <f t="shared" si="9"/>
        <v/>
      </c>
      <c r="W127" s="511" t="str">
        <f>IF(E127="","",IF(H127&lt;S127+T127,"Error in Areas ▲",IF(P127&lt;&gt;'G-1 All Habitats'!$X$3,H127-S127-T127,IF(AND(P127='G-1 All Habitats'!$X$3,Y127="Yes"),"Unacceptable Loss",IF(AND(P127='G-1 All Habitats'!$X$3,Y127="No"),AC127,IF(AND(P127='G-1 All Habitats'!$X$3,Y127=""),AC127,IF(AND(P127='G-1 All Habitats'!$X$3,AC127="None",AC127),IF(AND(P127='G-1 All Habitats'!$X$3,AC127&gt;0),H127-S127-T127))))))))</f>
        <v/>
      </c>
      <c r="X127" s="515" t="str">
        <f>IFERROR(IF(H127="","",IF(H127-S127-T127=0&lt;0,"Error in Areas ▲",IF(S127+T127&gt;H127,"Error in Areas ▲",IF(AND(P127='G-1 All Habitats'!$X$3,Y127="Yes"),"Alternative Compensation ✓",IF(W127=0,0,IF(P127='G-1 All Habitats'!$X$3,"Unacceptable Loss ▲",Q127-U127-V127)))))),"Check Data ▲")</f>
        <v/>
      </c>
      <c r="Y127" s="72"/>
      <c r="Z127" s="80"/>
      <c r="AA127" s="81"/>
      <c r="AC127" s="75" t="str">
        <f>IF(P127="","",IF(P127='G-1 All Habitats'!$X$3,H127-S127-T127,"None"))</f>
        <v/>
      </c>
      <c r="AD127" s="76" t="str">
        <f>IFERROR(AC127*J127*L127*#REF!*O127,IF(P127="","","None"))</f>
        <v/>
      </c>
      <c r="AF127" s="54" t="str">
        <f t="shared" si="5"/>
        <v/>
      </c>
      <c r="AG127" s="54" t="str">
        <f t="shared" si="6"/>
        <v/>
      </c>
      <c r="AH127" s="54" t="str">
        <f>IF(I127="","",IF(#REF!&gt;0,TRUE,FALSE))</f>
        <v/>
      </c>
      <c r="AI127" s="54">
        <v>117</v>
      </c>
      <c r="AJ127" s="54"/>
      <c r="AK127" s="54" t="str">
        <f t="array" ref="AK127">IFERROR(INDEX($AI$11:$AI$259, MATCH(0, IF(TRUE=$AF$11:$AF$259, COUNTIF($AK$10:$AK126, $AI$11:$AI$259), ""), 0)),"")</f>
        <v/>
      </c>
      <c r="AL127" s="54" t="str">
        <f t="array" ref="AL127">IFERROR(INDEX($AI$11:$AI$259, MATCH(0, IF(TRUE=$AG$11:$AG$259, COUNTIF($AL$10:$AL126, $AI$11:$AI$259), ""), 0)),"")</f>
        <v/>
      </c>
      <c r="AM127" s="54" t="str">
        <f t="array" ref="AM127">IFERROR(INDEX($AI$11:$AI$259, MATCH(0, IF(TRUE=$AH$11:$AH$259, COUNTIF($AM$10:$AM126, $AI$11:$AI$259), ""), 0)),"")</f>
        <v/>
      </c>
      <c r="AN127" s="54"/>
      <c r="AQ127" s="47">
        <f t="shared" si="7"/>
        <v>0</v>
      </c>
    </row>
    <row r="128" spans="1:43" x14ac:dyDescent="0.3">
      <c r="A128" s="47" t="str">
        <f>IFERROR(INDEX('G-1 All Habitats'!$AG$3:$AG$15,MATCH(E128,'G-1 All Habitats'!$AF$3:$AF$15,0)),"")</f>
        <v/>
      </c>
      <c r="B128" s="47" t="str">
        <f>IFERROR(INDEX('G-8 Condition Look up'!$I$4:$I$130,MATCH(G128,'G-8 Condition Look up'!$A$4:$A$130,0)),"")</f>
        <v/>
      </c>
      <c r="D128" s="77">
        <v>118</v>
      </c>
      <c r="E128" s="78"/>
      <c r="F128" s="79"/>
      <c r="G128" s="69" t="str">
        <f>IFERROR(INDEX('G-1 All Habitats'!$B$3:$B$129,MATCH(F128,'G-1 All Habitats'!$A$3:$A$129,0)),"")</f>
        <v/>
      </c>
      <c r="H128" s="70"/>
      <c r="I128" s="498" t="str">
        <f>IF(G128="","",VLOOKUP(G128,'G-1 All Habitats'!$B$2:$M$129,10,FALSE))</f>
        <v/>
      </c>
      <c r="J128" s="499" t="str">
        <f>IFERROR(VLOOKUP(I128,'G-1 All Habitats'!$V$3:$W$7,2,FALSE),"")</f>
        <v/>
      </c>
      <c r="K128" s="71"/>
      <c r="L128" s="499" t="str">
        <f>IFERROR(INDEX('G-8 Condition Look up'!$A$3:$H$130,MATCH(G128,'G-8 Condition Look up'!$A$3:$A$130,0),MATCH(K128,'G-8 Condition Look up'!$A$3:$H$3,0)),"")</f>
        <v/>
      </c>
      <c r="M128" s="71"/>
      <c r="N128" s="520" t="str">
        <f>IF(M128="","",IF(VLOOKUP(M128,'G-3 Multipliers'!$L$3:$N$6,2,FALSE)=0,"Spatial Data Missing",VLOOKUP(M128,'G-3 Multipliers'!$L$3:$N$6,2,FALSE)))</f>
        <v/>
      </c>
      <c r="O128" s="505" t="str">
        <f>IF(M128="","",IF(VLOOKUP(M128,'G-3 Multipliers'!$L$3:$N$6,3,FALSE)=0,"Spatial Data Missing",VLOOKUP(M128,'G-3 Multipliers'!$L$3:$N$6,3,FALSE)))</f>
        <v/>
      </c>
      <c r="P128" s="506" t="str">
        <f>IFERROR(VLOOKUP(G128,'G-1 All Habitats'!$B$2:$M$129,12,FALSE),"")</f>
        <v/>
      </c>
      <c r="Q128" s="513" t="str">
        <f>IFERROR(IF(P128="","",IF(AND(P128='G-1 All Habitats'!$X$3,T128&gt;0),U128+V128,IF(AND(P128='G-1 All Habitats'!$X$3,S128&gt;0),U128+V128,IF(AND(P128='G-1 All Habitats'!$X$3,AC128&gt;0),"Any Loss Unacceptable ▲",IF(AND(P128='G-1 All Habitats'!$X$3,W128&gt;0),"Any Loss Unacceptable ▲",H128*J128*L128*O128))))),"Check Data ▲")</f>
        <v/>
      </c>
      <c r="R128" s="50"/>
      <c r="S128" s="71"/>
      <c r="T128" s="72"/>
      <c r="U128" s="511" t="str">
        <f t="shared" si="8"/>
        <v/>
      </c>
      <c r="V128" s="511" t="str">
        <f t="shared" si="9"/>
        <v/>
      </c>
      <c r="W128" s="511" t="str">
        <f>IF(E128="","",IF(H128&lt;S128+T128,"Error in Areas ▲",IF(P128&lt;&gt;'G-1 All Habitats'!$X$3,H128-S128-T128,IF(AND(P128='G-1 All Habitats'!$X$3,Y128="Yes"),"Unacceptable Loss",IF(AND(P128='G-1 All Habitats'!$X$3,Y128="No"),AC128,IF(AND(P128='G-1 All Habitats'!$X$3,Y128=""),AC128,IF(AND(P128='G-1 All Habitats'!$X$3,AC128="None",AC128),IF(AND(P128='G-1 All Habitats'!$X$3,AC128&gt;0),H128-S128-T128))))))))</f>
        <v/>
      </c>
      <c r="X128" s="515" t="str">
        <f>IFERROR(IF(H128="","",IF(H128-S128-T128=0&lt;0,"Error in Areas ▲",IF(S128+T128&gt;H128,"Error in Areas ▲",IF(AND(P128='G-1 All Habitats'!$X$3,Y128="Yes"),"Alternative Compensation ✓",IF(W128=0,0,IF(P128='G-1 All Habitats'!$X$3,"Unacceptable Loss ▲",Q128-U128-V128)))))),"Check Data ▲")</f>
        <v/>
      </c>
      <c r="Y128" s="72"/>
      <c r="Z128" s="80"/>
      <c r="AA128" s="81"/>
      <c r="AC128" s="75" t="str">
        <f>IF(P128="","",IF(P128='G-1 All Habitats'!$X$3,H128-S128-T128,"None"))</f>
        <v/>
      </c>
      <c r="AD128" s="76" t="str">
        <f>IFERROR(AC128*J128*L128*#REF!*O128,IF(P128="","","None"))</f>
        <v/>
      </c>
      <c r="AF128" s="54" t="str">
        <f t="shared" si="5"/>
        <v/>
      </c>
      <c r="AG128" s="54" t="str">
        <f t="shared" si="6"/>
        <v/>
      </c>
      <c r="AH128" s="54" t="str">
        <f>IF(I128="","",IF(#REF!&gt;0,TRUE,FALSE))</f>
        <v/>
      </c>
      <c r="AI128" s="54">
        <v>118</v>
      </c>
      <c r="AJ128" s="54"/>
      <c r="AK128" s="54" t="str">
        <f t="array" ref="AK128">IFERROR(INDEX($AI$11:$AI$259, MATCH(0, IF(TRUE=$AF$11:$AF$259, COUNTIF($AK$10:$AK127, $AI$11:$AI$259), ""), 0)),"")</f>
        <v/>
      </c>
      <c r="AL128" s="54" t="str">
        <f t="array" ref="AL128">IFERROR(INDEX($AI$11:$AI$259, MATCH(0, IF(TRUE=$AG$11:$AG$259, COUNTIF($AL$10:$AL127, $AI$11:$AI$259), ""), 0)),"")</f>
        <v/>
      </c>
      <c r="AM128" s="54" t="str">
        <f t="array" ref="AM128">IFERROR(INDEX($AI$11:$AI$259, MATCH(0, IF(TRUE=$AH$11:$AH$259, COUNTIF($AM$10:$AM127, $AI$11:$AI$259), ""), 0)),"")</f>
        <v/>
      </c>
      <c r="AN128" s="54"/>
      <c r="AQ128" s="47">
        <f t="shared" si="7"/>
        <v>0</v>
      </c>
    </row>
    <row r="129" spans="1:43" x14ac:dyDescent="0.3">
      <c r="A129" s="47" t="str">
        <f>IFERROR(INDEX('G-1 All Habitats'!$AG$3:$AG$15,MATCH(E129,'G-1 All Habitats'!$AF$3:$AF$15,0)),"")</f>
        <v/>
      </c>
      <c r="B129" s="47" t="str">
        <f>IFERROR(INDEX('G-8 Condition Look up'!$I$4:$I$130,MATCH(G129,'G-8 Condition Look up'!$A$4:$A$130,0)),"")</f>
        <v/>
      </c>
      <c r="D129" s="77">
        <v>119</v>
      </c>
      <c r="E129" s="78"/>
      <c r="F129" s="79"/>
      <c r="G129" s="69" t="str">
        <f>IFERROR(INDEX('G-1 All Habitats'!$B$3:$B$129,MATCH(F129,'G-1 All Habitats'!$A$3:$A$129,0)),"")</f>
        <v/>
      </c>
      <c r="H129" s="70"/>
      <c r="I129" s="498" t="str">
        <f>IF(G129="","",VLOOKUP(G129,'G-1 All Habitats'!$B$2:$M$129,10,FALSE))</f>
        <v/>
      </c>
      <c r="J129" s="499" t="str">
        <f>IFERROR(VLOOKUP(I129,'G-1 All Habitats'!$V$3:$W$7,2,FALSE),"")</f>
        <v/>
      </c>
      <c r="K129" s="71"/>
      <c r="L129" s="499" t="str">
        <f>IFERROR(INDEX('G-8 Condition Look up'!$A$3:$H$130,MATCH(G129,'G-8 Condition Look up'!$A$3:$A$130,0),MATCH(K129,'G-8 Condition Look up'!$A$3:$H$3,0)),"")</f>
        <v/>
      </c>
      <c r="M129" s="71"/>
      <c r="N129" s="520" t="str">
        <f>IF(M129="","",IF(VLOOKUP(M129,'G-3 Multipliers'!$L$3:$N$6,2,FALSE)=0,"Spatial Data Missing",VLOOKUP(M129,'G-3 Multipliers'!$L$3:$N$6,2,FALSE)))</f>
        <v/>
      </c>
      <c r="O129" s="505" t="str">
        <f>IF(M129="","",IF(VLOOKUP(M129,'G-3 Multipliers'!$L$3:$N$6,3,FALSE)=0,"Spatial Data Missing",VLOOKUP(M129,'G-3 Multipliers'!$L$3:$N$6,3,FALSE)))</f>
        <v/>
      </c>
      <c r="P129" s="506" t="str">
        <f>IFERROR(VLOOKUP(G129,'G-1 All Habitats'!$B$2:$M$129,12,FALSE),"")</f>
        <v/>
      </c>
      <c r="Q129" s="513" t="str">
        <f>IFERROR(IF(P129="","",IF(AND(P129='G-1 All Habitats'!$X$3,T129&gt;0),U129+V129,IF(AND(P129='G-1 All Habitats'!$X$3,S129&gt;0),U129+V129,IF(AND(P129='G-1 All Habitats'!$X$3,AC129&gt;0),"Any Loss Unacceptable ▲",IF(AND(P129='G-1 All Habitats'!$X$3,W129&gt;0),"Any Loss Unacceptable ▲",H129*J129*L129*O129))))),"Check Data ▲")</f>
        <v/>
      </c>
      <c r="R129" s="50"/>
      <c r="S129" s="71"/>
      <c r="T129" s="72"/>
      <c r="U129" s="511" t="str">
        <f t="shared" si="8"/>
        <v/>
      </c>
      <c r="V129" s="511" t="str">
        <f t="shared" si="9"/>
        <v/>
      </c>
      <c r="W129" s="511" t="str">
        <f>IF(E129="","",IF(H129&lt;S129+T129,"Error in Areas ▲",IF(P129&lt;&gt;'G-1 All Habitats'!$X$3,H129-S129-T129,IF(AND(P129='G-1 All Habitats'!$X$3,Y129="Yes"),"Unacceptable Loss",IF(AND(P129='G-1 All Habitats'!$X$3,Y129="No"),AC129,IF(AND(P129='G-1 All Habitats'!$X$3,Y129=""),AC129,IF(AND(P129='G-1 All Habitats'!$X$3,AC129="None",AC129),IF(AND(P129='G-1 All Habitats'!$X$3,AC129&gt;0),H129-S129-T129))))))))</f>
        <v/>
      </c>
      <c r="X129" s="515" t="str">
        <f>IFERROR(IF(H129="","",IF(H129-S129-T129=0&lt;0,"Error in Areas ▲",IF(S129+T129&gt;H129,"Error in Areas ▲",IF(AND(P129='G-1 All Habitats'!$X$3,Y129="Yes"),"Alternative Compensation ✓",IF(W129=0,0,IF(P129='G-1 All Habitats'!$X$3,"Unacceptable Loss ▲",Q129-U129-V129)))))),"Check Data ▲")</f>
        <v/>
      </c>
      <c r="Y129" s="72"/>
      <c r="Z129" s="80"/>
      <c r="AA129" s="81"/>
      <c r="AC129" s="75" t="str">
        <f>IF(P129="","",IF(P129='G-1 All Habitats'!$X$3,H129-S129-T129,"None"))</f>
        <v/>
      </c>
      <c r="AD129" s="76" t="str">
        <f>IFERROR(AC129*J129*L129*#REF!*O129,IF(P129="","","None"))</f>
        <v/>
      </c>
      <c r="AF129" s="54" t="str">
        <f t="shared" si="5"/>
        <v/>
      </c>
      <c r="AG129" s="54" t="str">
        <f t="shared" si="6"/>
        <v/>
      </c>
      <c r="AH129" s="54" t="str">
        <f>IF(I129="","",IF(#REF!&gt;0,TRUE,FALSE))</f>
        <v/>
      </c>
      <c r="AI129" s="54">
        <v>119</v>
      </c>
      <c r="AJ129" s="54"/>
      <c r="AK129" s="54" t="str">
        <f t="array" ref="AK129">IFERROR(INDEX($AI$11:$AI$259, MATCH(0, IF(TRUE=$AF$11:$AF$259, COUNTIF($AK$10:$AK128, $AI$11:$AI$259), ""), 0)),"")</f>
        <v/>
      </c>
      <c r="AL129" s="54" t="str">
        <f t="array" ref="AL129">IFERROR(INDEX($AI$11:$AI$259, MATCH(0, IF(TRUE=$AG$11:$AG$259, COUNTIF($AL$10:$AL128, $AI$11:$AI$259), ""), 0)),"")</f>
        <v/>
      </c>
      <c r="AM129" s="54" t="str">
        <f t="array" ref="AM129">IFERROR(INDEX($AI$11:$AI$259, MATCH(0, IF(TRUE=$AH$11:$AH$259, COUNTIF($AM$10:$AM128, $AI$11:$AI$259), ""), 0)),"")</f>
        <v/>
      </c>
      <c r="AN129" s="54"/>
      <c r="AQ129" s="47">
        <f t="shared" si="7"/>
        <v>0</v>
      </c>
    </row>
    <row r="130" spans="1:43" x14ac:dyDescent="0.3">
      <c r="A130" s="47" t="str">
        <f>IFERROR(INDEX('G-1 All Habitats'!$AG$3:$AG$15,MATCH(E130,'G-1 All Habitats'!$AF$3:$AF$15,0)),"")</f>
        <v/>
      </c>
      <c r="B130" s="47" t="str">
        <f>IFERROR(INDEX('G-8 Condition Look up'!$I$4:$I$130,MATCH(G130,'G-8 Condition Look up'!$A$4:$A$130,0)),"")</f>
        <v/>
      </c>
      <c r="D130" s="77">
        <v>120</v>
      </c>
      <c r="E130" s="78"/>
      <c r="F130" s="79"/>
      <c r="G130" s="69" t="str">
        <f>IFERROR(INDEX('G-1 All Habitats'!$B$3:$B$129,MATCH(F130,'G-1 All Habitats'!$A$3:$A$129,0)),"")</f>
        <v/>
      </c>
      <c r="H130" s="70"/>
      <c r="I130" s="498" t="str">
        <f>IF(G130="","",VLOOKUP(G130,'G-1 All Habitats'!$B$2:$M$129,10,FALSE))</f>
        <v/>
      </c>
      <c r="J130" s="499" t="str">
        <f>IFERROR(VLOOKUP(I130,'G-1 All Habitats'!$V$3:$W$7,2,FALSE),"")</f>
        <v/>
      </c>
      <c r="K130" s="71"/>
      <c r="L130" s="499" t="str">
        <f>IFERROR(INDEX('G-8 Condition Look up'!$A$3:$H$130,MATCH(G130,'G-8 Condition Look up'!$A$3:$A$130,0),MATCH(K130,'G-8 Condition Look up'!$A$3:$H$3,0)),"")</f>
        <v/>
      </c>
      <c r="M130" s="71"/>
      <c r="N130" s="520" t="str">
        <f>IF(M130="","",IF(VLOOKUP(M130,'G-3 Multipliers'!$L$3:$N$6,2,FALSE)=0,"Spatial Data Missing",VLOOKUP(M130,'G-3 Multipliers'!$L$3:$N$6,2,FALSE)))</f>
        <v/>
      </c>
      <c r="O130" s="505" t="str">
        <f>IF(M130="","",IF(VLOOKUP(M130,'G-3 Multipliers'!$L$3:$N$6,3,FALSE)=0,"Spatial Data Missing",VLOOKUP(M130,'G-3 Multipliers'!$L$3:$N$6,3,FALSE)))</f>
        <v/>
      </c>
      <c r="P130" s="506" t="str">
        <f>IFERROR(VLOOKUP(G130,'G-1 All Habitats'!$B$2:$M$129,12,FALSE),"")</f>
        <v/>
      </c>
      <c r="Q130" s="513" t="str">
        <f>IFERROR(IF(P130="","",IF(AND(P130='G-1 All Habitats'!$X$3,T130&gt;0),U130+V130,IF(AND(P130='G-1 All Habitats'!$X$3,S130&gt;0),U130+V130,IF(AND(P130='G-1 All Habitats'!$X$3,AC130&gt;0),"Any Loss Unacceptable ▲",IF(AND(P130='G-1 All Habitats'!$X$3,W130&gt;0),"Any Loss Unacceptable ▲",H130*J130*L130*O130))))),"Check Data ▲")</f>
        <v/>
      </c>
      <c r="R130" s="50"/>
      <c r="S130" s="71"/>
      <c r="T130" s="72"/>
      <c r="U130" s="511" t="str">
        <f t="shared" si="8"/>
        <v/>
      </c>
      <c r="V130" s="511" t="str">
        <f t="shared" si="9"/>
        <v/>
      </c>
      <c r="W130" s="511" t="str">
        <f>IF(E130="","",IF(H130&lt;S130+T130,"Error in Areas ▲",IF(P130&lt;&gt;'G-1 All Habitats'!$X$3,H130-S130-T130,IF(AND(P130='G-1 All Habitats'!$X$3,Y130="Yes"),"Unacceptable Loss",IF(AND(P130='G-1 All Habitats'!$X$3,Y130="No"),AC130,IF(AND(P130='G-1 All Habitats'!$X$3,Y130=""),AC130,IF(AND(P130='G-1 All Habitats'!$X$3,AC130="None",AC130),IF(AND(P130='G-1 All Habitats'!$X$3,AC130&gt;0),H130-S130-T130))))))))</f>
        <v/>
      </c>
      <c r="X130" s="515" t="str">
        <f>IFERROR(IF(H130="","",IF(H130-S130-T130=0&lt;0,"Error in Areas ▲",IF(S130+T130&gt;H130,"Error in Areas ▲",IF(AND(P130='G-1 All Habitats'!$X$3,Y130="Yes"),"Alternative Compensation ✓",IF(W130=0,0,IF(P130='G-1 All Habitats'!$X$3,"Unacceptable Loss ▲",Q130-U130-V130)))))),"Check Data ▲")</f>
        <v/>
      </c>
      <c r="Y130" s="72"/>
      <c r="Z130" s="80"/>
      <c r="AA130" s="81"/>
      <c r="AC130" s="75" t="str">
        <f>IF(P130="","",IF(P130='G-1 All Habitats'!$X$3,H130-S130-T130,"None"))</f>
        <v/>
      </c>
      <c r="AD130" s="76" t="str">
        <f>IFERROR(AC130*J130*L130*#REF!*O130,IF(P130="","","None"))</f>
        <v/>
      </c>
      <c r="AF130" s="54" t="str">
        <f t="shared" si="5"/>
        <v/>
      </c>
      <c r="AG130" s="54" t="str">
        <f t="shared" si="6"/>
        <v/>
      </c>
      <c r="AH130" s="54" t="str">
        <f>IF(I130="","",IF(#REF!&gt;0,TRUE,FALSE))</f>
        <v/>
      </c>
      <c r="AI130" s="54">
        <v>120</v>
      </c>
      <c r="AJ130" s="54"/>
      <c r="AK130" s="54" t="str">
        <f t="array" ref="AK130">IFERROR(INDEX($AI$11:$AI$259, MATCH(0, IF(TRUE=$AF$11:$AF$259, COUNTIF($AK$10:$AK129, $AI$11:$AI$259), ""), 0)),"")</f>
        <v/>
      </c>
      <c r="AL130" s="54" t="str">
        <f t="array" ref="AL130">IFERROR(INDEX($AI$11:$AI$259, MATCH(0, IF(TRUE=$AG$11:$AG$259, COUNTIF($AL$10:$AL129, $AI$11:$AI$259), ""), 0)),"")</f>
        <v/>
      </c>
      <c r="AM130" s="54" t="str">
        <f t="array" ref="AM130">IFERROR(INDEX($AI$11:$AI$259, MATCH(0, IF(TRUE=$AH$11:$AH$259, COUNTIF($AM$10:$AM129, $AI$11:$AI$259), ""), 0)),"")</f>
        <v/>
      </c>
      <c r="AN130" s="54"/>
      <c r="AQ130" s="47">
        <f t="shared" si="7"/>
        <v>0</v>
      </c>
    </row>
    <row r="131" spans="1:43" x14ac:dyDescent="0.3">
      <c r="A131" s="47" t="str">
        <f>IFERROR(INDEX('G-1 All Habitats'!$AG$3:$AG$15,MATCH(E131,'G-1 All Habitats'!$AF$3:$AF$15,0)),"")</f>
        <v/>
      </c>
      <c r="B131" s="47" t="str">
        <f>IFERROR(INDEX('G-8 Condition Look up'!$I$4:$I$130,MATCH(G131,'G-8 Condition Look up'!$A$4:$A$130,0)),"")</f>
        <v/>
      </c>
      <c r="D131" s="77">
        <v>121</v>
      </c>
      <c r="E131" s="78"/>
      <c r="F131" s="79"/>
      <c r="G131" s="69" t="str">
        <f>IFERROR(INDEX('G-1 All Habitats'!$B$3:$B$129,MATCH(F131,'G-1 All Habitats'!$A$3:$A$129,0)),"")</f>
        <v/>
      </c>
      <c r="H131" s="70"/>
      <c r="I131" s="498" t="str">
        <f>IF(G131="","",VLOOKUP(G131,'G-1 All Habitats'!$B$2:$M$129,10,FALSE))</f>
        <v/>
      </c>
      <c r="J131" s="499" t="str">
        <f>IFERROR(VLOOKUP(I131,'G-1 All Habitats'!$V$3:$W$7,2,FALSE),"")</f>
        <v/>
      </c>
      <c r="K131" s="71"/>
      <c r="L131" s="499" t="str">
        <f>IFERROR(INDEX('G-8 Condition Look up'!$A$3:$H$130,MATCH(G131,'G-8 Condition Look up'!$A$3:$A$130,0),MATCH(K131,'G-8 Condition Look up'!$A$3:$H$3,0)),"")</f>
        <v/>
      </c>
      <c r="M131" s="71"/>
      <c r="N131" s="520" t="str">
        <f>IF(M131="","",IF(VLOOKUP(M131,'G-3 Multipliers'!$L$3:$N$6,2,FALSE)=0,"Spatial Data Missing",VLOOKUP(M131,'G-3 Multipliers'!$L$3:$N$6,2,FALSE)))</f>
        <v/>
      </c>
      <c r="O131" s="505" t="str">
        <f>IF(M131="","",IF(VLOOKUP(M131,'G-3 Multipliers'!$L$3:$N$6,3,FALSE)=0,"Spatial Data Missing",VLOOKUP(M131,'G-3 Multipliers'!$L$3:$N$6,3,FALSE)))</f>
        <v/>
      </c>
      <c r="P131" s="506" t="str">
        <f>IFERROR(VLOOKUP(G131,'G-1 All Habitats'!$B$2:$M$129,12,FALSE),"")</f>
        <v/>
      </c>
      <c r="Q131" s="513" t="str">
        <f>IFERROR(IF(P131="","",IF(AND(P131='G-1 All Habitats'!$X$3,T131&gt;0),U131+V131,IF(AND(P131='G-1 All Habitats'!$X$3,S131&gt;0),U131+V131,IF(AND(P131='G-1 All Habitats'!$X$3,AC131&gt;0),"Any Loss Unacceptable ▲",IF(AND(P131='G-1 All Habitats'!$X$3,W131&gt;0),"Any Loss Unacceptable ▲",H131*J131*L131*O131))))),"Check Data ▲")</f>
        <v/>
      </c>
      <c r="R131" s="50"/>
      <c r="S131" s="71"/>
      <c r="T131" s="72"/>
      <c r="U131" s="511" t="str">
        <f t="shared" si="8"/>
        <v/>
      </c>
      <c r="V131" s="511" t="str">
        <f t="shared" si="9"/>
        <v/>
      </c>
      <c r="W131" s="511" t="str">
        <f>IF(E131="","",IF(H131&lt;S131+T131,"Error in Areas ▲",IF(P131&lt;&gt;'G-1 All Habitats'!$X$3,H131-S131-T131,IF(AND(P131='G-1 All Habitats'!$X$3,Y131="Yes"),"Unacceptable Loss",IF(AND(P131='G-1 All Habitats'!$X$3,Y131="No"),AC131,IF(AND(P131='G-1 All Habitats'!$X$3,Y131=""),AC131,IF(AND(P131='G-1 All Habitats'!$X$3,AC131="None",AC131),IF(AND(P131='G-1 All Habitats'!$X$3,AC131&gt;0),H131-S131-T131))))))))</f>
        <v/>
      </c>
      <c r="X131" s="515" t="str">
        <f>IFERROR(IF(H131="","",IF(H131-S131-T131=0&lt;0,"Error in Areas ▲",IF(S131+T131&gt;H131,"Error in Areas ▲",IF(AND(P131='G-1 All Habitats'!$X$3,Y131="Yes"),"Alternative Compensation ✓",IF(W131=0,0,IF(P131='G-1 All Habitats'!$X$3,"Unacceptable Loss ▲",Q131-U131-V131)))))),"Check Data ▲")</f>
        <v/>
      </c>
      <c r="Y131" s="72"/>
      <c r="Z131" s="80"/>
      <c r="AA131" s="81"/>
      <c r="AC131" s="75" t="str">
        <f>IF(P131="","",IF(P131='G-1 All Habitats'!$X$3,H131-S131-T131,"None"))</f>
        <v/>
      </c>
      <c r="AD131" s="76" t="str">
        <f>IFERROR(AC131*J131*L131*#REF!*O131,IF(P131="","","None"))</f>
        <v/>
      </c>
      <c r="AF131" s="54" t="str">
        <f t="shared" si="5"/>
        <v/>
      </c>
      <c r="AG131" s="54" t="str">
        <f t="shared" si="6"/>
        <v/>
      </c>
      <c r="AH131" s="54" t="str">
        <f>IF(I131="","",IF(#REF!&gt;0,TRUE,FALSE))</f>
        <v/>
      </c>
      <c r="AI131" s="54">
        <v>121</v>
      </c>
      <c r="AJ131" s="54"/>
      <c r="AK131" s="54" t="str">
        <f t="array" ref="AK131">IFERROR(INDEX($AI$11:$AI$259, MATCH(0, IF(TRUE=$AF$11:$AF$259, COUNTIF($AK$10:$AK130, $AI$11:$AI$259), ""), 0)),"")</f>
        <v/>
      </c>
      <c r="AL131" s="54" t="str">
        <f t="array" ref="AL131">IFERROR(INDEX($AI$11:$AI$259, MATCH(0, IF(TRUE=$AG$11:$AG$259, COUNTIF($AL$10:$AL130, $AI$11:$AI$259), ""), 0)),"")</f>
        <v/>
      </c>
      <c r="AM131" s="54" t="str">
        <f t="array" ref="AM131">IFERROR(INDEX($AI$11:$AI$259, MATCH(0, IF(TRUE=$AH$11:$AH$259, COUNTIF($AM$10:$AM130, $AI$11:$AI$259), ""), 0)),"")</f>
        <v/>
      </c>
      <c r="AN131" s="54"/>
      <c r="AQ131" s="47">
        <f t="shared" si="7"/>
        <v>0</v>
      </c>
    </row>
    <row r="132" spans="1:43" x14ac:dyDescent="0.3">
      <c r="A132" s="47" t="str">
        <f>IFERROR(INDEX('G-1 All Habitats'!$AG$3:$AG$15,MATCH(E132,'G-1 All Habitats'!$AF$3:$AF$15,0)),"")</f>
        <v/>
      </c>
      <c r="B132" s="47" t="str">
        <f>IFERROR(INDEX('G-8 Condition Look up'!$I$4:$I$130,MATCH(G132,'G-8 Condition Look up'!$A$4:$A$130,0)),"")</f>
        <v/>
      </c>
      <c r="D132" s="77">
        <v>122</v>
      </c>
      <c r="E132" s="78"/>
      <c r="F132" s="79"/>
      <c r="G132" s="69" t="str">
        <f>IFERROR(INDEX('G-1 All Habitats'!$B$3:$B$129,MATCH(F132,'G-1 All Habitats'!$A$3:$A$129,0)),"")</f>
        <v/>
      </c>
      <c r="H132" s="70"/>
      <c r="I132" s="498" t="str">
        <f>IF(G132="","",VLOOKUP(G132,'G-1 All Habitats'!$B$2:$M$129,10,FALSE))</f>
        <v/>
      </c>
      <c r="J132" s="499" t="str">
        <f>IFERROR(VLOOKUP(I132,'G-1 All Habitats'!$V$3:$W$7,2,FALSE),"")</f>
        <v/>
      </c>
      <c r="K132" s="71"/>
      <c r="L132" s="499" t="str">
        <f>IFERROR(INDEX('G-8 Condition Look up'!$A$3:$H$130,MATCH(G132,'G-8 Condition Look up'!$A$3:$A$130,0),MATCH(K132,'G-8 Condition Look up'!$A$3:$H$3,0)),"")</f>
        <v/>
      </c>
      <c r="M132" s="71"/>
      <c r="N132" s="520" t="str">
        <f>IF(M132="","",IF(VLOOKUP(M132,'G-3 Multipliers'!$L$3:$N$6,2,FALSE)=0,"Spatial Data Missing",VLOOKUP(M132,'G-3 Multipliers'!$L$3:$N$6,2,FALSE)))</f>
        <v/>
      </c>
      <c r="O132" s="505" t="str">
        <f>IF(M132="","",IF(VLOOKUP(M132,'G-3 Multipliers'!$L$3:$N$6,3,FALSE)=0,"Spatial Data Missing",VLOOKUP(M132,'G-3 Multipliers'!$L$3:$N$6,3,FALSE)))</f>
        <v/>
      </c>
      <c r="P132" s="506" t="str">
        <f>IFERROR(VLOOKUP(G132,'G-1 All Habitats'!$B$2:$M$129,12,FALSE),"")</f>
        <v/>
      </c>
      <c r="Q132" s="513" t="str">
        <f>IFERROR(IF(P132="","",IF(AND(P132='G-1 All Habitats'!$X$3,T132&gt;0),U132+V132,IF(AND(P132='G-1 All Habitats'!$X$3,S132&gt;0),U132+V132,IF(AND(P132='G-1 All Habitats'!$X$3,AC132&gt;0),"Any Loss Unacceptable ▲",IF(AND(P132='G-1 All Habitats'!$X$3,W132&gt;0),"Any Loss Unacceptable ▲",H132*J132*L132*O132))))),"Check Data ▲")</f>
        <v/>
      </c>
      <c r="R132" s="50"/>
      <c r="S132" s="71"/>
      <c r="T132" s="72"/>
      <c r="U132" s="511" t="str">
        <f t="shared" si="8"/>
        <v/>
      </c>
      <c r="V132" s="511" t="str">
        <f t="shared" si="9"/>
        <v/>
      </c>
      <c r="W132" s="511" t="str">
        <f>IF(E132="","",IF(H132&lt;S132+T132,"Error in Areas ▲",IF(P132&lt;&gt;'G-1 All Habitats'!$X$3,H132-S132-T132,IF(AND(P132='G-1 All Habitats'!$X$3,Y132="Yes"),"Unacceptable Loss",IF(AND(P132='G-1 All Habitats'!$X$3,Y132="No"),AC132,IF(AND(P132='G-1 All Habitats'!$X$3,Y132=""),AC132,IF(AND(P132='G-1 All Habitats'!$X$3,AC132="None",AC132),IF(AND(P132='G-1 All Habitats'!$X$3,AC132&gt;0),H132-S132-T132))))))))</f>
        <v/>
      </c>
      <c r="X132" s="515" t="str">
        <f>IFERROR(IF(H132="","",IF(H132-S132-T132=0&lt;0,"Error in Areas ▲",IF(S132+T132&gt;H132,"Error in Areas ▲",IF(AND(P132='G-1 All Habitats'!$X$3,Y132="Yes"),"Alternative Compensation ✓",IF(W132=0,0,IF(P132='G-1 All Habitats'!$X$3,"Unacceptable Loss ▲",Q132-U132-V132)))))),"Check Data ▲")</f>
        <v/>
      </c>
      <c r="Y132" s="72"/>
      <c r="Z132" s="80"/>
      <c r="AA132" s="81"/>
      <c r="AC132" s="75" t="str">
        <f>IF(P132="","",IF(P132='G-1 All Habitats'!$X$3,H132-S132-T132,"None"))</f>
        <v/>
      </c>
      <c r="AD132" s="76" t="str">
        <f>IFERROR(AC132*J132*L132*#REF!*O132,IF(P132="","","None"))</f>
        <v/>
      </c>
      <c r="AF132" s="54" t="str">
        <f t="shared" si="5"/>
        <v/>
      </c>
      <c r="AG132" s="54" t="str">
        <f t="shared" si="6"/>
        <v/>
      </c>
      <c r="AH132" s="54" t="str">
        <f>IF(I132="","",IF(#REF!&gt;0,TRUE,FALSE))</f>
        <v/>
      </c>
      <c r="AI132" s="54">
        <v>122</v>
      </c>
      <c r="AJ132" s="54"/>
      <c r="AK132" s="54" t="str">
        <f t="array" ref="AK132">IFERROR(INDEX($AI$11:$AI$259, MATCH(0, IF(TRUE=$AF$11:$AF$259, COUNTIF($AK$10:$AK131, $AI$11:$AI$259), ""), 0)),"")</f>
        <v/>
      </c>
      <c r="AL132" s="54" t="str">
        <f t="array" ref="AL132">IFERROR(INDEX($AI$11:$AI$259, MATCH(0, IF(TRUE=$AG$11:$AG$259, COUNTIF($AL$10:$AL131, $AI$11:$AI$259), ""), 0)),"")</f>
        <v/>
      </c>
      <c r="AM132" s="54" t="str">
        <f t="array" ref="AM132">IFERROR(INDEX($AI$11:$AI$259, MATCH(0, IF(TRUE=$AH$11:$AH$259, COUNTIF($AM$10:$AM131, $AI$11:$AI$259), ""), 0)),"")</f>
        <v/>
      </c>
      <c r="AN132" s="54"/>
      <c r="AQ132" s="47">
        <f t="shared" si="7"/>
        <v>0</v>
      </c>
    </row>
    <row r="133" spans="1:43" x14ac:dyDescent="0.3">
      <c r="A133" s="47" t="str">
        <f>IFERROR(INDEX('G-1 All Habitats'!$AG$3:$AG$15,MATCH(E133,'G-1 All Habitats'!$AF$3:$AF$15,0)),"")</f>
        <v/>
      </c>
      <c r="B133" s="47" t="str">
        <f>IFERROR(INDEX('G-8 Condition Look up'!$I$4:$I$130,MATCH(G133,'G-8 Condition Look up'!$A$4:$A$130,0)),"")</f>
        <v/>
      </c>
      <c r="D133" s="77">
        <v>123</v>
      </c>
      <c r="E133" s="78"/>
      <c r="F133" s="79"/>
      <c r="G133" s="69" t="str">
        <f>IFERROR(INDEX('G-1 All Habitats'!$B$3:$B$129,MATCH(F133,'G-1 All Habitats'!$A$3:$A$129,0)),"")</f>
        <v/>
      </c>
      <c r="H133" s="70"/>
      <c r="I133" s="498" t="str">
        <f>IF(G133="","",VLOOKUP(G133,'G-1 All Habitats'!$B$2:$M$129,10,FALSE))</f>
        <v/>
      </c>
      <c r="J133" s="499" t="str">
        <f>IFERROR(VLOOKUP(I133,'G-1 All Habitats'!$V$3:$W$7,2,FALSE),"")</f>
        <v/>
      </c>
      <c r="K133" s="71"/>
      <c r="L133" s="499" t="str">
        <f>IFERROR(INDEX('G-8 Condition Look up'!$A$3:$H$130,MATCH(G133,'G-8 Condition Look up'!$A$3:$A$130,0),MATCH(K133,'G-8 Condition Look up'!$A$3:$H$3,0)),"")</f>
        <v/>
      </c>
      <c r="M133" s="71"/>
      <c r="N133" s="520" t="str">
        <f>IF(M133="","",IF(VLOOKUP(M133,'G-3 Multipliers'!$L$3:$N$6,2,FALSE)=0,"Spatial Data Missing",VLOOKUP(M133,'G-3 Multipliers'!$L$3:$N$6,2,FALSE)))</f>
        <v/>
      </c>
      <c r="O133" s="505" t="str">
        <f>IF(M133="","",IF(VLOOKUP(M133,'G-3 Multipliers'!$L$3:$N$6,3,FALSE)=0,"Spatial Data Missing",VLOOKUP(M133,'G-3 Multipliers'!$L$3:$N$6,3,FALSE)))</f>
        <v/>
      </c>
      <c r="P133" s="506" t="str">
        <f>IFERROR(VLOOKUP(G133,'G-1 All Habitats'!$B$2:$M$129,12,FALSE),"")</f>
        <v/>
      </c>
      <c r="Q133" s="513" t="str">
        <f>IFERROR(IF(P133="","",IF(AND(P133='G-1 All Habitats'!$X$3,T133&gt;0),U133+V133,IF(AND(P133='G-1 All Habitats'!$X$3,S133&gt;0),U133+V133,IF(AND(P133='G-1 All Habitats'!$X$3,AC133&gt;0),"Any Loss Unacceptable ▲",IF(AND(P133='G-1 All Habitats'!$X$3,W133&gt;0),"Any Loss Unacceptable ▲",H133*J133*L133*O133))))),"Check Data ▲")</f>
        <v/>
      </c>
      <c r="R133" s="50"/>
      <c r="S133" s="71"/>
      <c r="T133" s="72"/>
      <c r="U133" s="511" t="str">
        <f t="shared" si="8"/>
        <v/>
      </c>
      <c r="V133" s="511" t="str">
        <f t="shared" si="9"/>
        <v/>
      </c>
      <c r="W133" s="511" t="str">
        <f>IF(E133="","",IF(H133&lt;S133+T133,"Error in Areas ▲",IF(P133&lt;&gt;'G-1 All Habitats'!$X$3,H133-S133-T133,IF(AND(P133='G-1 All Habitats'!$X$3,Y133="Yes"),"Unacceptable Loss",IF(AND(P133='G-1 All Habitats'!$X$3,Y133="No"),AC133,IF(AND(P133='G-1 All Habitats'!$X$3,Y133=""),AC133,IF(AND(P133='G-1 All Habitats'!$X$3,AC133="None",AC133),IF(AND(P133='G-1 All Habitats'!$X$3,AC133&gt;0),H133-S133-T133))))))))</f>
        <v/>
      </c>
      <c r="X133" s="515" t="str">
        <f>IFERROR(IF(H133="","",IF(H133-S133-T133=0&lt;0,"Error in Areas ▲",IF(S133+T133&gt;H133,"Error in Areas ▲",IF(AND(P133='G-1 All Habitats'!$X$3,Y133="Yes"),"Alternative Compensation ✓",IF(W133=0,0,IF(P133='G-1 All Habitats'!$X$3,"Unacceptable Loss ▲",Q133-U133-V133)))))),"Check Data ▲")</f>
        <v/>
      </c>
      <c r="Y133" s="72"/>
      <c r="Z133" s="80"/>
      <c r="AA133" s="81"/>
      <c r="AC133" s="75" t="str">
        <f>IF(P133="","",IF(P133='G-1 All Habitats'!$X$3,H133-S133-T133,"None"))</f>
        <v/>
      </c>
      <c r="AD133" s="76" t="str">
        <f>IFERROR(AC133*J133*L133*#REF!*O133,IF(P133="","","None"))</f>
        <v/>
      </c>
      <c r="AF133" s="54" t="str">
        <f t="shared" si="5"/>
        <v/>
      </c>
      <c r="AG133" s="54" t="str">
        <f t="shared" si="6"/>
        <v/>
      </c>
      <c r="AH133" s="54" t="str">
        <f>IF(I133="","",IF(#REF!&gt;0,TRUE,FALSE))</f>
        <v/>
      </c>
      <c r="AI133" s="54">
        <v>123</v>
      </c>
      <c r="AJ133" s="54"/>
      <c r="AK133" s="54" t="str">
        <f t="array" ref="AK133">IFERROR(INDEX($AI$11:$AI$259, MATCH(0, IF(TRUE=$AF$11:$AF$259, COUNTIF($AK$10:$AK132, $AI$11:$AI$259), ""), 0)),"")</f>
        <v/>
      </c>
      <c r="AL133" s="54" t="str">
        <f t="array" ref="AL133">IFERROR(INDEX($AI$11:$AI$259, MATCH(0, IF(TRUE=$AG$11:$AG$259, COUNTIF($AL$10:$AL132, $AI$11:$AI$259), ""), 0)),"")</f>
        <v/>
      </c>
      <c r="AM133" s="54" t="str">
        <f t="array" ref="AM133">IFERROR(INDEX($AI$11:$AI$259, MATCH(0, IF(TRUE=$AH$11:$AH$259, COUNTIF($AM$10:$AM132, $AI$11:$AI$259), ""), 0)),"")</f>
        <v/>
      </c>
      <c r="AN133" s="54"/>
      <c r="AQ133" s="47">
        <f t="shared" si="7"/>
        <v>0</v>
      </c>
    </row>
    <row r="134" spans="1:43" x14ac:dyDescent="0.3">
      <c r="A134" s="47" t="str">
        <f>IFERROR(INDEX('G-1 All Habitats'!$AG$3:$AG$15,MATCH(E134,'G-1 All Habitats'!$AF$3:$AF$15,0)),"")</f>
        <v/>
      </c>
      <c r="B134" s="47" t="str">
        <f>IFERROR(INDEX('G-8 Condition Look up'!$I$4:$I$130,MATCH(G134,'G-8 Condition Look up'!$A$4:$A$130,0)),"")</f>
        <v/>
      </c>
      <c r="D134" s="77">
        <v>124</v>
      </c>
      <c r="E134" s="78"/>
      <c r="F134" s="79"/>
      <c r="G134" s="69" t="str">
        <f>IFERROR(INDEX('G-1 All Habitats'!$B$3:$B$129,MATCH(F134,'G-1 All Habitats'!$A$3:$A$129,0)),"")</f>
        <v/>
      </c>
      <c r="H134" s="70"/>
      <c r="I134" s="498" t="str">
        <f>IF(G134="","",VLOOKUP(G134,'G-1 All Habitats'!$B$2:$M$129,10,FALSE))</f>
        <v/>
      </c>
      <c r="J134" s="499" t="str">
        <f>IFERROR(VLOOKUP(I134,'G-1 All Habitats'!$V$3:$W$7,2,FALSE),"")</f>
        <v/>
      </c>
      <c r="K134" s="71"/>
      <c r="L134" s="499" t="str">
        <f>IFERROR(INDEX('G-8 Condition Look up'!$A$3:$H$130,MATCH(G134,'G-8 Condition Look up'!$A$3:$A$130,0),MATCH(K134,'G-8 Condition Look up'!$A$3:$H$3,0)),"")</f>
        <v/>
      </c>
      <c r="M134" s="71"/>
      <c r="N134" s="520" t="str">
        <f>IF(M134="","",IF(VLOOKUP(M134,'G-3 Multipliers'!$L$3:$N$6,2,FALSE)=0,"Spatial Data Missing",VLOOKUP(M134,'G-3 Multipliers'!$L$3:$N$6,2,FALSE)))</f>
        <v/>
      </c>
      <c r="O134" s="505" t="str">
        <f>IF(M134="","",IF(VLOOKUP(M134,'G-3 Multipliers'!$L$3:$N$6,3,FALSE)=0,"Spatial Data Missing",VLOOKUP(M134,'G-3 Multipliers'!$L$3:$N$6,3,FALSE)))</f>
        <v/>
      </c>
      <c r="P134" s="506" t="str">
        <f>IFERROR(VLOOKUP(G134,'G-1 All Habitats'!$B$2:$M$129,12,FALSE),"")</f>
        <v/>
      </c>
      <c r="Q134" s="513" t="str">
        <f>IFERROR(IF(P134="","",IF(AND(P134='G-1 All Habitats'!$X$3,T134&gt;0),U134+V134,IF(AND(P134='G-1 All Habitats'!$X$3,S134&gt;0),U134+V134,IF(AND(P134='G-1 All Habitats'!$X$3,AC134&gt;0),"Any Loss Unacceptable ▲",IF(AND(P134='G-1 All Habitats'!$X$3,W134&gt;0),"Any Loss Unacceptable ▲",H134*J134*L134*O134))))),"Check Data ▲")</f>
        <v/>
      </c>
      <c r="R134" s="50"/>
      <c r="S134" s="71"/>
      <c r="T134" s="72"/>
      <c r="U134" s="511" t="str">
        <f t="shared" si="8"/>
        <v/>
      </c>
      <c r="V134" s="511" t="str">
        <f t="shared" si="9"/>
        <v/>
      </c>
      <c r="W134" s="511" t="str">
        <f>IF(E134="","",IF(H134&lt;S134+T134,"Error in Areas ▲",IF(P134&lt;&gt;'G-1 All Habitats'!$X$3,H134-S134-T134,IF(AND(P134='G-1 All Habitats'!$X$3,Y134="Yes"),"Unacceptable Loss",IF(AND(P134='G-1 All Habitats'!$X$3,Y134="No"),AC134,IF(AND(P134='G-1 All Habitats'!$X$3,Y134=""),AC134,IF(AND(P134='G-1 All Habitats'!$X$3,AC134="None",AC134),IF(AND(P134='G-1 All Habitats'!$X$3,AC134&gt;0),H134-S134-T134))))))))</f>
        <v/>
      </c>
      <c r="X134" s="515" t="str">
        <f>IFERROR(IF(H134="","",IF(H134-S134-T134=0&lt;0,"Error in Areas ▲",IF(S134+T134&gt;H134,"Error in Areas ▲",IF(AND(P134='G-1 All Habitats'!$X$3,Y134="Yes"),"Alternative Compensation ✓",IF(W134=0,0,IF(P134='G-1 All Habitats'!$X$3,"Unacceptable Loss ▲",Q134-U134-V134)))))),"Check Data ▲")</f>
        <v/>
      </c>
      <c r="Y134" s="72"/>
      <c r="Z134" s="80"/>
      <c r="AA134" s="81"/>
      <c r="AC134" s="75" t="str">
        <f>IF(P134="","",IF(P134='G-1 All Habitats'!$X$3,H134-S134-T134,"None"))</f>
        <v/>
      </c>
      <c r="AD134" s="76" t="str">
        <f>IFERROR(AC134*J134*L134*#REF!*O134,IF(P134="","","None"))</f>
        <v/>
      </c>
      <c r="AF134" s="54" t="str">
        <f t="shared" si="5"/>
        <v/>
      </c>
      <c r="AG134" s="54" t="str">
        <f t="shared" si="6"/>
        <v/>
      </c>
      <c r="AH134" s="54" t="str">
        <f>IF(I134="","",IF(#REF!&gt;0,TRUE,FALSE))</f>
        <v/>
      </c>
      <c r="AI134" s="54">
        <v>124</v>
      </c>
      <c r="AJ134" s="54"/>
      <c r="AK134" s="54" t="str">
        <f t="array" ref="AK134">IFERROR(INDEX($AI$11:$AI$259, MATCH(0, IF(TRUE=$AF$11:$AF$259, COUNTIF($AK$10:$AK133, $AI$11:$AI$259), ""), 0)),"")</f>
        <v/>
      </c>
      <c r="AL134" s="54" t="str">
        <f t="array" ref="AL134">IFERROR(INDEX($AI$11:$AI$259, MATCH(0, IF(TRUE=$AG$11:$AG$259, COUNTIF($AL$10:$AL133, $AI$11:$AI$259), ""), 0)),"")</f>
        <v/>
      </c>
      <c r="AM134" s="54" t="str">
        <f t="array" ref="AM134">IFERROR(INDEX($AI$11:$AI$259, MATCH(0, IF(TRUE=$AH$11:$AH$259, COUNTIF($AM$10:$AM133, $AI$11:$AI$259), ""), 0)),"")</f>
        <v/>
      </c>
      <c r="AN134" s="54"/>
      <c r="AQ134" s="47">
        <f t="shared" si="7"/>
        <v>0</v>
      </c>
    </row>
    <row r="135" spans="1:43" x14ac:dyDescent="0.3">
      <c r="A135" s="47" t="str">
        <f>IFERROR(INDEX('G-1 All Habitats'!$AG$3:$AG$15,MATCH(E135,'G-1 All Habitats'!$AF$3:$AF$15,0)),"")</f>
        <v/>
      </c>
      <c r="B135" s="47" t="str">
        <f>IFERROR(INDEX('G-8 Condition Look up'!$I$4:$I$130,MATCH(G135,'G-8 Condition Look up'!$A$4:$A$130,0)),"")</f>
        <v/>
      </c>
      <c r="D135" s="77">
        <v>125</v>
      </c>
      <c r="E135" s="78"/>
      <c r="F135" s="79"/>
      <c r="G135" s="69" t="str">
        <f>IFERROR(INDEX('G-1 All Habitats'!$B$3:$B$129,MATCH(F135,'G-1 All Habitats'!$A$3:$A$129,0)),"")</f>
        <v/>
      </c>
      <c r="H135" s="70"/>
      <c r="I135" s="498" t="str">
        <f>IF(G135="","",VLOOKUP(G135,'G-1 All Habitats'!$B$2:$M$129,10,FALSE))</f>
        <v/>
      </c>
      <c r="J135" s="499" t="str">
        <f>IFERROR(VLOOKUP(I135,'G-1 All Habitats'!$V$3:$W$7,2,FALSE),"")</f>
        <v/>
      </c>
      <c r="K135" s="71"/>
      <c r="L135" s="499" t="str">
        <f>IFERROR(INDEX('G-8 Condition Look up'!$A$3:$H$130,MATCH(G135,'G-8 Condition Look up'!$A$3:$A$130,0),MATCH(K135,'G-8 Condition Look up'!$A$3:$H$3,0)),"")</f>
        <v/>
      </c>
      <c r="M135" s="71"/>
      <c r="N135" s="520" t="str">
        <f>IF(M135="","",IF(VLOOKUP(M135,'G-3 Multipliers'!$L$3:$N$6,2,FALSE)=0,"Spatial Data Missing",VLOOKUP(M135,'G-3 Multipliers'!$L$3:$N$6,2,FALSE)))</f>
        <v/>
      </c>
      <c r="O135" s="505" t="str">
        <f>IF(M135="","",IF(VLOOKUP(M135,'G-3 Multipliers'!$L$3:$N$6,3,FALSE)=0,"Spatial Data Missing",VLOOKUP(M135,'G-3 Multipliers'!$L$3:$N$6,3,FALSE)))</f>
        <v/>
      </c>
      <c r="P135" s="506" t="str">
        <f>IFERROR(VLOOKUP(G135,'G-1 All Habitats'!$B$2:$M$129,12,FALSE),"")</f>
        <v/>
      </c>
      <c r="Q135" s="513" t="str">
        <f>IFERROR(IF(P135="","",IF(AND(P135='G-1 All Habitats'!$X$3,T135&gt;0),U135+V135,IF(AND(P135='G-1 All Habitats'!$X$3,S135&gt;0),U135+V135,IF(AND(P135='G-1 All Habitats'!$X$3,AC135&gt;0),"Any Loss Unacceptable ▲",IF(AND(P135='G-1 All Habitats'!$X$3,W135&gt;0),"Any Loss Unacceptable ▲",H135*J135*L135*O135))))),"Check Data ▲")</f>
        <v/>
      </c>
      <c r="R135" s="50"/>
      <c r="S135" s="71"/>
      <c r="T135" s="72"/>
      <c r="U135" s="511" t="str">
        <f t="shared" si="8"/>
        <v/>
      </c>
      <c r="V135" s="511" t="str">
        <f t="shared" si="9"/>
        <v/>
      </c>
      <c r="W135" s="511" t="str">
        <f>IF(E135="","",IF(H135&lt;S135+T135,"Error in Areas ▲",IF(P135&lt;&gt;'G-1 All Habitats'!$X$3,H135-S135-T135,IF(AND(P135='G-1 All Habitats'!$X$3,Y135="Yes"),"Unacceptable Loss",IF(AND(P135='G-1 All Habitats'!$X$3,Y135="No"),AC135,IF(AND(P135='G-1 All Habitats'!$X$3,Y135=""),AC135,IF(AND(P135='G-1 All Habitats'!$X$3,AC135="None",AC135),IF(AND(P135='G-1 All Habitats'!$X$3,AC135&gt;0),H135-S135-T135))))))))</f>
        <v/>
      </c>
      <c r="X135" s="515" t="str">
        <f>IFERROR(IF(H135="","",IF(H135-S135-T135=0&lt;0,"Error in Areas ▲",IF(S135+T135&gt;H135,"Error in Areas ▲",IF(AND(P135='G-1 All Habitats'!$X$3,Y135="Yes"),"Alternative Compensation ✓",IF(W135=0,0,IF(P135='G-1 All Habitats'!$X$3,"Unacceptable Loss ▲",Q135-U135-V135)))))),"Check Data ▲")</f>
        <v/>
      </c>
      <c r="Y135" s="72"/>
      <c r="Z135" s="80"/>
      <c r="AA135" s="81"/>
      <c r="AC135" s="75" t="str">
        <f>IF(P135="","",IF(P135='G-1 All Habitats'!$X$3,H135-S135-T135,"None"))</f>
        <v/>
      </c>
      <c r="AD135" s="76" t="str">
        <f>IFERROR(AC135*J135*L135*#REF!*O135,IF(P135="","","None"))</f>
        <v/>
      </c>
      <c r="AF135" s="54" t="str">
        <f t="shared" si="5"/>
        <v/>
      </c>
      <c r="AG135" s="54" t="str">
        <f t="shared" si="6"/>
        <v/>
      </c>
      <c r="AH135" s="54" t="str">
        <f>IF(I135="","",IF(#REF!&gt;0,TRUE,FALSE))</f>
        <v/>
      </c>
      <c r="AI135" s="54">
        <v>125</v>
      </c>
      <c r="AJ135" s="54"/>
      <c r="AK135" s="54" t="str">
        <f t="array" ref="AK135">IFERROR(INDEX($AI$11:$AI$259, MATCH(0, IF(TRUE=$AF$11:$AF$259, COUNTIF($AK$10:$AK134, $AI$11:$AI$259), ""), 0)),"")</f>
        <v/>
      </c>
      <c r="AL135" s="54" t="str">
        <f t="array" ref="AL135">IFERROR(INDEX($AI$11:$AI$259, MATCH(0, IF(TRUE=$AG$11:$AG$259, COUNTIF($AL$10:$AL134, $AI$11:$AI$259), ""), 0)),"")</f>
        <v/>
      </c>
      <c r="AM135" s="54" t="str">
        <f t="array" ref="AM135">IFERROR(INDEX($AI$11:$AI$259, MATCH(0, IF(TRUE=$AH$11:$AH$259, COUNTIF($AM$10:$AM134, $AI$11:$AI$259), ""), 0)),"")</f>
        <v/>
      </c>
      <c r="AN135" s="54"/>
      <c r="AQ135" s="47">
        <f t="shared" si="7"/>
        <v>0</v>
      </c>
    </row>
    <row r="136" spans="1:43" x14ac:dyDescent="0.3">
      <c r="A136" s="47" t="str">
        <f>IFERROR(INDEX('G-1 All Habitats'!$AG$3:$AG$15,MATCH(E136,'G-1 All Habitats'!$AF$3:$AF$15,0)),"")</f>
        <v/>
      </c>
      <c r="B136" s="47" t="str">
        <f>IFERROR(INDEX('G-8 Condition Look up'!$I$4:$I$130,MATCH(G136,'G-8 Condition Look up'!$A$4:$A$130,0)),"")</f>
        <v/>
      </c>
      <c r="D136" s="77">
        <v>126</v>
      </c>
      <c r="E136" s="78"/>
      <c r="F136" s="79"/>
      <c r="G136" s="69" t="str">
        <f>IFERROR(INDEX('G-1 All Habitats'!$B$3:$B$129,MATCH(F136,'G-1 All Habitats'!$A$3:$A$129,0)),"")</f>
        <v/>
      </c>
      <c r="H136" s="70"/>
      <c r="I136" s="498" t="str">
        <f>IF(G136="","",VLOOKUP(G136,'G-1 All Habitats'!$B$2:$M$129,10,FALSE))</f>
        <v/>
      </c>
      <c r="J136" s="499" t="str">
        <f>IFERROR(VLOOKUP(I136,'G-1 All Habitats'!$V$3:$W$7,2,FALSE),"")</f>
        <v/>
      </c>
      <c r="K136" s="71"/>
      <c r="L136" s="499" t="str">
        <f>IFERROR(INDEX('G-8 Condition Look up'!$A$3:$H$130,MATCH(G136,'G-8 Condition Look up'!$A$3:$A$130,0),MATCH(K136,'G-8 Condition Look up'!$A$3:$H$3,0)),"")</f>
        <v/>
      </c>
      <c r="M136" s="71"/>
      <c r="N136" s="520" t="str">
        <f>IF(M136="","",IF(VLOOKUP(M136,'G-3 Multipliers'!$L$3:$N$6,2,FALSE)=0,"Spatial Data Missing",VLOOKUP(M136,'G-3 Multipliers'!$L$3:$N$6,2,FALSE)))</f>
        <v/>
      </c>
      <c r="O136" s="505" t="str">
        <f>IF(M136="","",IF(VLOOKUP(M136,'G-3 Multipliers'!$L$3:$N$6,3,FALSE)=0,"Spatial Data Missing",VLOOKUP(M136,'G-3 Multipliers'!$L$3:$N$6,3,FALSE)))</f>
        <v/>
      </c>
      <c r="P136" s="506" t="str">
        <f>IFERROR(VLOOKUP(G136,'G-1 All Habitats'!$B$2:$M$129,12,FALSE),"")</f>
        <v/>
      </c>
      <c r="Q136" s="513" t="str">
        <f>IFERROR(IF(P136="","",IF(AND(P136='G-1 All Habitats'!$X$3,T136&gt;0),U136+V136,IF(AND(P136='G-1 All Habitats'!$X$3,S136&gt;0),U136+V136,IF(AND(P136='G-1 All Habitats'!$X$3,AC136&gt;0),"Any Loss Unacceptable ▲",IF(AND(P136='G-1 All Habitats'!$X$3,W136&gt;0),"Any Loss Unacceptable ▲",H136*J136*L136*O136))))),"Check Data ▲")</f>
        <v/>
      </c>
      <c r="R136" s="50"/>
      <c r="S136" s="71"/>
      <c r="T136" s="72"/>
      <c r="U136" s="511" t="str">
        <f t="shared" si="8"/>
        <v/>
      </c>
      <c r="V136" s="511" t="str">
        <f t="shared" si="9"/>
        <v/>
      </c>
      <c r="W136" s="511" t="str">
        <f>IF(E136="","",IF(H136&lt;S136+T136,"Error in Areas ▲",IF(P136&lt;&gt;'G-1 All Habitats'!$X$3,H136-S136-T136,IF(AND(P136='G-1 All Habitats'!$X$3,Y136="Yes"),"Unacceptable Loss",IF(AND(P136='G-1 All Habitats'!$X$3,Y136="No"),AC136,IF(AND(P136='G-1 All Habitats'!$X$3,Y136=""),AC136,IF(AND(P136='G-1 All Habitats'!$X$3,AC136="None",AC136),IF(AND(P136='G-1 All Habitats'!$X$3,AC136&gt;0),H136-S136-T136))))))))</f>
        <v/>
      </c>
      <c r="X136" s="515" t="str">
        <f>IFERROR(IF(H136="","",IF(H136-S136-T136=0&lt;0,"Error in Areas ▲",IF(S136+T136&gt;H136,"Error in Areas ▲",IF(AND(P136='G-1 All Habitats'!$X$3,Y136="Yes"),"Alternative Compensation ✓",IF(W136=0,0,IF(P136='G-1 All Habitats'!$X$3,"Unacceptable Loss ▲",Q136-U136-V136)))))),"Check Data ▲")</f>
        <v/>
      </c>
      <c r="Y136" s="72"/>
      <c r="Z136" s="80"/>
      <c r="AA136" s="81"/>
      <c r="AC136" s="75" t="str">
        <f>IF(P136="","",IF(P136='G-1 All Habitats'!$X$3,H136-S136-T136,"None"))</f>
        <v/>
      </c>
      <c r="AD136" s="76" t="str">
        <f>IFERROR(AC136*J136*L136*#REF!*O136,IF(P136="","","None"))</f>
        <v/>
      </c>
      <c r="AF136" s="54" t="str">
        <f t="shared" si="5"/>
        <v/>
      </c>
      <c r="AG136" s="54" t="str">
        <f t="shared" si="6"/>
        <v/>
      </c>
      <c r="AH136" s="54" t="str">
        <f>IF(I136="","",IF(#REF!&gt;0,TRUE,FALSE))</f>
        <v/>
      </c>
      <c r="AI136" s="54">
        <v>126</v>
      </c>
      <c r="AJ136" s="54"/>
      <c r="AK136" s="54" t="str">
        <f t="array" ref="AK136">IFERROR(INDEX($AI$11:$AI$259, MATCH(0, IF(TRUE=$AF$11:$AF$259, COUNTIF($AK$10:$AK135, $AI$11:$AI$259), ""), 0)),"")</f>
        <v/>
      </c>
      <c r="AL136" s="54" t="str">
        <f t="array" ref="AL136">IFERROR(INDEX($AI$11:$AI$259, MATCH(0, IF(TRUE=$AG$11:$AG$259, COUNTIF($AL$10:$AL135, $AI$11:$AI$259), ""), 0)),"")</f>
        <v/>
      </c>
      <c r="AM136" s="54" t="str">
        <f t="array" ref="AM136">IFERROR(INDEX($AI$11:$AI$259, MATCH(0, IF(TRUE=$AH$11:$AH$259, COUNTIF($AM$10:$AM135, $AI$11:$AI$259), ""), 0)),"")</f>
        <v/>
      </c>
      <c r="AN136" s="54"/>
      <c r="AQ136" s="47">
        <f t="shared" si="7"/>
        <v>0</v>
      </c>
    </row>
    <row r="137" spans="1:43" x14ac:dyDescent="0.3">
      <c r="A137" s="47" t="str">
        <f>IFERROR(INDEX('G-1 All Habitats'!$AG$3:$AG$15,MATCH(E137,'G-1 All Habitats'!$AF$3:$AF$15,0)),"")</f>
        <v/>
      </c>
      <c r="B137" s="47" t="str">
        <f>IFERROR(INDEX('G-8 Condition Look up'!$I$4:$I$130,MATCH(G137,'G-8 Condition Look up'!$A$4:$A$130,0)),"")</f>
        <v/>
      </c>
      <c r="D137" s="77">
        <v>127</v>
      </c>
      <c r="E137" s="78"/>
      <c r="F137" s="79"/>
      <c r="G137" s="69" t="str">
        <f>IFERROR(INDEX('G-1 All Habitats'!$B$3:$B$129,MATCH(F137,'G-1 All Habitats'!$A$3:$A$129,0)),"")</f>
        <v/>
      </c>
      <c r="H137" s="70"/>
      <c r="I137" s="498" t="str">
        <f>IF(G137="","",VLOOKUP(G137,'G-1 All Habitats'!$B$2:$M$129,10,FALSE))</f>
        <v/>
      </c>
      <c r="J137" s="499" t="str">
        <f>IFERROR(VLOOKUP(I137,'G-1 All Habitats'!$V$3:$W$7,2,FALSE),"")</f>
        <v/>
      </c>
      <c r="K137" s="71"/>
      <c r="L137" s="499" t="str">
        <f>IFERROR(INDEX('G-8 Condition Look up'!$A$3:$H$130,MATCH(G137,'G-8 Condition Look up'!$A$3:$A$130,0),MATCH(K137,'G-8 Condition Look up'!$A$3:$H$3,0)),"")</f>
        <v/>
      </c>
      <c r="M137" s="71"/>
      <c r="N137" s="520" t="str">
        <f>IF(M137="","",IF(VLOOKUP(M137,'G-3 Multipliers'!$L$3:$N$6,2,FALSE)=0,"Spatial Data Missing",VLOOKUP(M137,'G-3 Multipliers'!$L$3:$N$6,2,FALSE)))</f>
        <v/>
      </c>
      <c r="O137" s="505" t="str">
        <f>IF(M137="","",IF(VLOOKUP(M137,'G-3 Multipliers'!$L$3:$N$6,3,FALSE)=0,"Spatial Data Missing",VLOOKUP(M137,'G-3 Multipliers'!$L$3:$N$6,3,FALSE)))</f>
        <v/>
      </c>
      <c r="P137" s="506" t="str">
        <f>IFERROR(VLOOKUP(G137,'G-1 All Habitats'!$B$2:$M$129,12,FALSE),"")</f>
        <v/>
      </c>
      <c r="Q137" s="513" t="str">
        <f>IFERROR(IF(P137="","",IF(AND(P137='G-1 All Habitats'!$X$3,T137&gt;0),U137+V137,IF(AND(P137='G-1 All Habitats'!$X$3,S137&gt;0),U137+V137,IF(AND(P137='G-1 All Habitats'!$X$3,AC137&gt;0),"Any Loss Unacceptable ▲",IF(AND(P137='G-1 All Habitats'!$X$3,W137&gt;0),"Any Loss Unacceptable ▲",H137*J137*L137*O137))))),"Check Data ▲")</f>
        <v/>
      </c>
      <c r="R137" s="50"/>
      <c r="S137" s="71"/>
      <c r="T137" s="72"/>
      <c r="U137" s="511" t="str">
        <f t="shared" si="8"/>
        <v/>
      </c>
      <c r="V137" s="511" t="str">
        <f t="shared" si="9"/>
        <v/>
      </c>
      <c r="W137" s="511" t="str">
        <f>IF(E137="","",IF(H137&lt;S137+T137,"Error in Areas ▲",IF(P137&lt;&gt;'G-1 All Habitats'!$X$3,H137-S137-T137,IF(AND(P137='G-1 All Habitats'!$X$3,Y137="Yes"),"Unacceptable Loss",IF(AND(P137='G-1 All Habitats'!$X$3,Y137="No"),AC137,IF(AND(P137='G-1 All Habitats'!$X$3,Y137=""),AC137,IF(AND(P137='G-1 All Habitats'!$X$3,AC137="None",AC137),IF(AND(P137='G-1 All Habitats'!$X$3,AC137&gt;0),H137-S137-T137))))))))</f>
        <v/>
      </c>
      <c r="X137" s="515" t="str">
        <f>IFERROR(IF(H137="","",IF(H137-S137-T137=0&lt;0,"Error in Areas ▲",IF(S137+T137&gt;H137,"Error in Areas ▲",IF(AND(P137='G-1 All Habitats'!$X$3,Y137="Yes"),"Alternative Compensation ✓",IF(W137=0,0,IF(P137='G-1 All Habitats'!$X$3,"Unacceptable Loss ▲",Q137-U137-V137)))))),"Check Data ▲")</f>
        <v/>
      </c>
      <c r="Y137" s="72"/>
      <c r="Z137" s="80"/>
      <c r="AA137" s="81"/>
      <c r="AC137" s="75" t="str">
        <f>IF(P137="","",IF(P137='G-1 All Habitats'!$X$3,H137-S137-T137,"None"))</f>
        <v/>
      </c>
      <c r="AD137" s="76" t="str">
        <f>IFERROR(AC137*J137*L137*#REF!*O137,IF(P137="","","None"))</f>
        <v/>
      </c>
      <c r="AF137" s="54" t="str">
        <f t="shared" si="5"/>
        <v/>
      </c>
      <c r="AG137" s="54" t="str">
        <f t="shared" si="6"/>
        <v/>
      </c>
      <c r="AH137" s="54" t="str">
        <f>IF(I137="","",IF(#REF!&gt;0,TRUE,FALSE))</f>
        <v/>
      </c>
      <c r="AI137" s="54">
        <v>127</v>
      </c>
      <c r="AJ137" s="54"/>
      <c r="AK137" s="54" t="str">
        <f t="array" ref="AK137">IFERROR(INDEX($AI$11:$AI$259, MATCH(0, IF(TRUE=$AF$11:$AF$259, COUNTIF($AK$10:$AK136, $AI$11:$AI$259), ""), 0)),"")</f>
        <v/>
      </c>
      <c r="AL137" s="54" t="str">
        <f t="array" ref="AL137">IFERROR(INDEX($AI$11:$AI$259, MATCH(0, IF(TRUE=$AG$11:$AG$259, COUNTIF($AL$10:$AL136, $AI$11:$AI$259), ""), 0)),"")</f>
        <v/>
      </c>
      <c r="AM137" s="54" t="str">
        <f t="array" ref="AM137">IFERROR(INDEX($AI$11:$AI$259, MATCH(0, IF(TRUE=$AH$11:$AH$259, COUNTIF($AM$10:$AM136, $AI$11:$AI$259), ""), 0)),"")</f>
        <v/>
      </c>
      <c r="AN137" s="54"/>
      <c r="AQ137" s="47">
        <f t="shared" si="7"/>
        <v>0</v>
      </c>
    </row>
    <row r="138" spans="1:43" x14ac:dyDescent="0.3">
      <c r="A138" s="47" t="str">
        <f>IFERROR(INDEX('G-1 All Habitats'!$AG$3:$AG$15,MATCH(E138,'G-1 All Habitats'!$AF$3:$AF$15,0)),"")</f>
        <v/>
      </c>
      <c r="B138" s="47" t="str">
        <f>IFERROR(INDEX('G-8 Condition Look up'!$I$4:$I$130,MATCH(G138,'G-8 Condition Look up'!$A$4:$A$130,0)),"")</f>
        <v/>
      </c>
      <c r="D138" s="77">
        <v>128</v>
      </c>
      <c r="E138" s="78"/>
      <c r="F138" s="79"/>
      <c r="G138" s="69" t="str">
        <f>IFERROR(INDEX('G-1 All Habitats'!$B$3:$B$129,MATCH(F138,'G-1 All Habitats'!$A$3:$A$129,0)),"")</f>
        <v/>
      </c>
      <c r="H138" s="70"/>
      <c r="I138" s="498" t="str">
        <f>IF(G138="","",VLOOKUP(G138,'G-1 All Habitats'!$B$2:$M$129,10,FALSE))</f>
        <v/>
      </c>
      <c r="J138" s="499" t="str">
        <f>IFERROR(VLOOKUP(I138,'G-1 All Habitats'!$V$3:$W$7,2,FALSE),"")</f>
        <v/>
      </c>
      <c r="K138" s="71"/>
      <c r="L138" s="499" t="str">
        <f>IFERROR(INDEX('G-8 Condition Look up'!$A$3:$H$130,MATCH(G138,'G-8 Condition Look up'!$A$3:$A$130,0),MATCH(K138,'G-8 Condition Look up'!$A$3:$H$3,0)),"")</f>
        <v/>
      </c>
      <c r="M138" s="71"/>
      <c r="N138" s="520" t="str">
        <f>IF(M138="","",IF(VLOOKUP(M138,'G-3 Multipliers'!$L$3:$N$6,2,FALSE)=0,"Spatial Data Missing",VLOOKUP(M138,'G-3 Multipliers'!$L$3:$N$6,2,FALSE)))</f>
        <v/>
      </c>
      <c r="O138" s="505" t="str">
        <f>IF(M138="","",IF(VLOOKUP(M138,'G-3 Multipliers'!$L$3:$N$6,3,FALSE)=0,"Spatial Data Missing",VLOOKUP(M138,'G-3 Multipliers'!$L$3:$N$6,3,FALSE)))</f>
        <v/>
      </c>
      <c r="P138" s="506" t="str">
        <f>IFERROR(VLOOKUP(G138,'G-1 All Habitats'!$B$2:$M$129,12,FALSE),"")</f>
        <v/>
      </c>
      <c r="Q138" s="513" t="str">
        <f>IFERROR(IF(P138="","",IF(AND(P138='G-1 All Habitats'!$X$3,T138&gt;0),U138+V138,IF(AND(P138='G-1 All Habitats'!$X$3,S138&gt;0),U138+V138,IF(AND(P138='G-1 All Habitats'!$X$3,AC138&gt;0),"Any Loss Unacceptable ▲",IF(AND(P138='G-1 All Habitats'!$X$3,W138&gt;0),"Any Loss Unacceptable ▲",H138*J138*L138*O138))))),"Check Data ▲")</f>
        <v/>
      </c>
      <c r="R138" s="50"/>
      <c r="S138" s="71"/>
      <c r="T138" s="72"/>
      <c r="U138" s="511" t="str">
        <f t="shared" si="8"/>
        <v/>
      </c>
      <c r="V138" s="511" t="str">
        <f t="shared" si="9"/>
        <v/>
      </c>
      <c r="W138" s="511" t="str">
        <f>IF(E138="","",IF(H138&lt;S138+T138,"Error in Areas ▲",IF(P138&lt;&gt;'G-1 All Habitats'!$X$3,H138-S138-T138,IF(AND(P138='G-1 All Habitats'!$X$3,Y138="Yes"),"Unacceptable Loss",IF(AND(P138='G-1 All Habitats'!$X$3,Y138="No"),AC138,IF(AND(P138='G-1 All Habitats'!$X$3,Y138=""),AC138,IF(AND(P138='G-1 All Habitats'!$X$3,AC138="None",AC138),IF(AND(P138='G-1 All Habitats'!$X$3,AC138&gt;0),H138-S138-T138))))))))</f>
        <v/>
      </c>
      <c r="X138" s="515" t="str">
        <f>IFERROR(IF(H138="","",IF(H138-S138-T138=0&lt;0,"Error in Areas ▲",IF(S138+T138&gt;H138,"Error in Areas ▲",IF(AND(P138='G-1 All Habitats'!$X$3,Y138="Yes"),"Alternative Compensation ✓",IF(W138=0,0,IF(P138='G-1 All Habitats'!$X$3,"Unacceptable Loss ▲",Q138-U138-V138)))))),"Check Data ▲")</f>
        <v/>
      </c>
      <c r="Y138" s="72"/>
      <c r="Z138" s="80"/>
      <c r="AA138" s="81"/>
      <c r="AC138" s="75" t="str">
        <f>IF(P138="","",IF(P138='G-1 All Habitats'!$X$3,H138-S138-T138,"None"))</f>
        <v/>
      </c>
      <c r="AD138" s="76" t="str">
        <f>IFERROR(AC138*J138*L138*#REF!*O138,IF(P138="","","None"))</f>
        <v/>
      </c>
      <c r="AF138" s="54" t="str">
        <f t="shared" si="5"/>
        <v/>
      </c>
      <c r="AG138" s="54" t="str">
        <f t="shared" si="6"/>
        <v/>
      </c>
      <c r="AH138" s="54" t="str">
        <f>IF(I138="","",IF(#REF!&gt;0,TRUE,FALSE))</f>
        <v/>
      </c>
      <c r="AI138" s="54">
        <v>128</v>
      </c>
      <c r="AJ138" s="54"/>
      <c r="AK138" s="54" t="str">
        <f t="array" ref="AK138">IFERROR(INDEX($AI$11:$AI$259, MATCH(0, IF(TRUE=$AF$11:$AF$259, COUNTIF($AK$10:$AK137, $AI$11:$AI$259), ""), 0)),"")</f>
        <v/>
      </c>
      <c r="AL138" s="54" t="str">
        <f t="array" ref="AL138">IFERROR(INDEX($AI$11:$AI$259, MATCH(0, IF(TRUE=$AG$11:$AG$259, COUNTIF($AL$10:$AL137, $AI$11:$AI$259), ""), 0)),"")</f>
        <v/>
      </c>
      <c r="AM138" s="54" t="str">
        <f t="array" ref="AM138">IFERROR(INDEX($AI$11:$AI$259, MATCH(0, IF(TRUE=$AH$11:$AH$259, COUNTIF($AM$10:$AM137, $AI$11:$AI$259), ""), 0)),"")</f>
        <v/>
      </c>
      <c r="AN138" s="54"/>
      <c r="AQ138" s="47">
        <f t="shared" si="7"/>
        <v>0</v>
      </c>
    </row>
    <row r="139" spans="1:43" x14ac:dyDescent="0.3">
      <c r="A139" s="47" t="str">
        <f>IFERROR(INDEX('G-1 All Habitats'!$AG$3:$AG$15,MATCH(E139,'G-1 All Habitats'!$AF$3:$AF$15,0)),"")</f>
        <v/>
      </c>
      <c r="B139" s="47" t="str">
        <f>IFERROR(INDEX('G-8 Condition Look up'!$I$4:$I$130,MATCH(G139,'G-8 Condition Look up'!$A$4:$A$130,0)),"")</f>
        <v/>
      </c>
      <c r="D139" s="77">
        <v>129</v>
      </c>
      <c r="E139" s="78"/>
      <c r="F139" s="79"/>
      <c r="G139" s="69" t="str">
        <f>IFERROR(INDEX('G-1 All Habitats'!$B$3:$B$129,MATCH(F139,'G-1 All Habitats'!$A$3:$A$129,0)),"")</f>
        <v/>
      </c>
      <c r="H139" s="70"/>
      <c r="I139" s="498" t="str">
        <f>IF(G139="","",VLOOKUP(G139,'G-1 All Habitats'!$B$2:$M$129,10,FALSE))</f>
        <v/>
      </c>
      <c r="J139" s="499" t="str">
        <f>IFERROR(VLOOKUP(I139,'G-1 All Habitats'!$V$3:$W$7,2,FALSE),"")</f>
        <v/>
      </c>
      <c r="K139" s="71"/>
      <c r="L139" s="499" t="str">
        <f>IFERROR(INDEX('G-8 Condition Look up'!$A$3:$H$130,MATCH(G139,'G-8 Condition Look up'!$A$3:$A$130,0),MATCH(K139,'G-8 Condition Look up'!$A$3:$H$3,0)),"")</f>
        <v/>
      </c>
      <c r="M139" s="71"/>
      <c r="N139" s="520" t="str">
        <f>IF(M139="","",IF(VLOOKUP(M139,'G-3 Multipliers'!$L$3:$N$6,2,FALSE)=0,"Spatial Data Missing",VLOOKUP(M139,'G-3 Multipliers'!$L$3:$N$6,2,FALSE)))</f>
        <v/>
      </c>
      <c r="O139" s="505" t="str">
        <f>IF(M139="","",IF(VLOOKUP(M139,'G-3 Multipliers'!$L$3:$N$6,3,FALSE)=0,"Spatial Data Missing",VLOOKUP(M139,'G-3 Multipliers'!$L$3:$N$6,3,FALSE)))</f>
        <v/>
      </c>
      <c r="P139" s="506" t="str">
        <f>IFERROR(VLOOKUP(G139,'G-1 All Habitats'!$B$2:$M$129,12,FALSE),"")</f>
        <v/>
      </c>
      <c r="Q139" s="513" t="str">
        <f>IFERROR(IF(P139="","",IF(AND(P139='G-1 All Habitats'!$X$3,T139&gt;0),U139+V139,IF(AND(P139='G-1 All Habitats'!$X$3,S139&gt;0),U139+V139,IF(AND(P139='G-1 All Habitats'!$X$3,AC139&gt;0),"Any Loss Unacceptable ▲",IF(AND(P139='G-1 All Habitats'!$X$3,W139&gt;0),"Any Loss Unacceptable ▲",H139*J139*L139*O139))))),"Check Data ▲")</f>
        <v/>
      </c>
      <c r="R139" s="50"/>
      <c r="S139" s="71"/>
      <c r="T139" s="72"/>
      <c r="U139" s="511" t="str">
        <f t="shared" si="8"/>
        <v/>
      </c>
      <c r="V139" s="511" t="str">
        <f t="shared" si="9"/>
        <v/>
      </c>
      <c r="W139" s="511" t="str">
        <f>IF(E139="","",IF(H139&lt;S139+T139,"Error in Areas ▲",IF(P139&lt;&gt;'G-1 All Habitats'!$X$3,H139-S139-T139,IF(AND(P139='G-1 All Habitats'!$X$3,Y139="Yes"),"Unacceptable Loss",IF(AND(P139='G-1 All Habitats'!$X$3,Y139="No"),AC139,IF(AND(P139='G-1 All Habitats'!$X$3,Y139=""),AC139,IF(AND(P139='G-1 All Habitats'!$X$3,AC139="None",AC139),IF(AND(P139='G-1 All Habitats'!$X$3,AC139&gt;0),H139-S139-T139))))))))</f>
        <v/>
      </c>
      <c r="X139" s="515" t="str">
        <f>IFERROR(IF(H139="","",IF(H139-S139-T139=0&lt;0,"Error in Areas ▲",IF(S139+T139&gt;H139,"Error in Areas ▲",IF(AND(P139='G-1 All Habitats'!$X$3,Y139="Yes"),"Alternative Compensation ✓",IF(W139=0,0,IF(P139='G-1 All Habitats'!$X$3,"Unacceptable Loss ▲",Q139-U139-V139)))))),"Check Data ▲")</f>
        <v/>
      </c>
      <c r="Y139" s="72"/>
      <c r="Z139" s="80"/>
      <c r="AA139" s="81"/>
      <c r="AC139" s="75" t="str">
        <f>IF(P139="","",IF(P139='G-1 All Habitats'!$X$3,H139-S139-T139,"None"))</f>
        <v/>
      </c>
      <c r="AD139" s="76" t="str">
        <f>IFERROR(AC139*J139*L139*#REF!*O139,IF(P139="","","None"))</f>
        <v/>
      </c>
      <c r="AF139" s="54" t="str">
        <f t="shared" ref="AF139:AF202" si="10">IF(G139="","",IF(S139&gt;0,TRUE,FALSE))</f>
        <v/>
      </c>
      <c r="AG139" s="54" t="str">
        <f t="shared" ref="AG139:AG202" si="11">IF(H139="","",IF(T139&gt;0,TRUE,FALSE))</f>
        <v/>
      </c>
      <c r="AH139" s="54" t="str">
        <f>IF(I139="","",IF(#REF!&gt;0,TRUE,FALSE))</f>
        <v/>
      </c>
      <c r="AI139" s="54">
        <v>129</v>
      </c>
      <c r="AJ139" s="54"/>
      <c r="AK139" s="54" t="str">
        <f t="array" ref="AK139">IFERROR(INDEX($AI$11:$AI$259, MATCH(0, IF(TRUE=$AF$11:$AF$259, COUNTIF($AK$10:$AK138, $AI$11:$AI$259), ""), 0)),"")</f>
        <v/>
      </c>
      <c r="AL139" s="54" t="str">
        <f t="array" ref="AL139">IFERROR(INDEX($AI$11:$AI$259, MATCH(0, IF(TRUE=$AG$11:$AG$259, COUNTIF($AL$10:$AL138, $AI$11:$AI$259), ""), 0)),"")</f>
        <v/>
      </c>
      <c r="AM139" s="54" t="str">
        <f t="array" ref="AM139">IFERROR(INDEX($AI$11:$AI$259, MATCH(0, IF(TRUE=$AH$11:$AH$259, COUNTIF($AM$10:$AM138, $AI$11:$AI$259), ""), 0)),"")</f>
        <v/>
      </c>
      <c r="AN139" s="54"/>
      <c r="AQ139" s="47">
        <f t="shared" si="7"/>
        <v>0</v>
      </c>
    </row>
    <row r="140" spans="1:43" x14ac:dyDescent="0.3">
      <c r="A140" s="47" t="str">
        <f>IFERROR(INDEX('G-1 All Habitats'!$AG$3:$AG$15,MATCH(E140,'G-1 All Habitats'!$AF$3:$AF$15,0)),"")</f>
        <v/>
      </c>
      <c r="B140" s="47" t="str">
        <f>IFERROR(INDEX('G-8 Condition Look up'!$I$4:$I$130,MATCH(G140,'G-8 Condition Look up'!$A$4:$A$130,0)),"")</f>
        <v/>
      </c>
      <c r="D140" s="77">
        <v>130</v>
      </c>
      <c r="E140" s="78"/>
      <c r="F140" s="79"/>
      <c r="G140" s="69" t="str">
        <f>IFERROR(INDEX('G-1 All Habitats'!$B$3:$B$129,MATCH(F140,'G-1 All Habitats'!$A$3:$A$129,0)),"")</f>
        <v/>
      </c>
      <c r="H140" s="70"/>
      <c r="I140" s="498" t="str">
        <f>IF(G140="","",VLOOKUP(G140,'G-1 All Habitats'!$B$2:$M$129,10,FALSE))</f>
        <v/>
      </c>
      <c r="J140" s="499" t="str">
        <f>IFERROR(VLOOKUP(I140,'G-1 All Habitats'!$V$3:$W$7,2,FALSE),"")</f>
        <v/>
      </c>
      <c r="K140" s="71"/>
      <c r="L140" s="499" t="str">
        <f>IFERROR(INDEX('G-8 Condition Look up'!$A$3:$H$130,MATCH(G140,'G-8 Condition Look up'!$A$3:$A$130,0),MATCH(K140,'G-8 Condition Look up'!$A$3:$H$3,0)),"")</f>
        <v/>
      </c>
      <c r="M140" s="71"/>
      <c r="N140" s="520" t="str">
        <f>IF(M140="","",IF(VLOOKUP(M140,'G-3 Multipliers'!$L$3:$N$6,2,FALSE)=0,"Spatial Data Missing",VLOOKUP(M140,'G-3 Multipliers'!$L$3:$N$6,2,FALSE)))</f>
        <v/>
      </c>
      <c r="O140" s="505" t="str">
        <f>IF(M140="","",IF(VLOOKUP(M140,'G-3 Multipliers'!$L$3:$N$6,3,FALSE)=0,"Spatial Data Missing",VLOOKUP(M140,'G-3 Multipliers'!$L$3:$N$6,3,FALSE)))</f>
        <v/>
      </c>
      <c r="P140" s="506" t="str">
        <f>IFERROR(VLOOKUP(G140,'G-1 All Habitats'!$B$2:$M$129,12,FALSE),"")</f>
        <v/>
      </c>
      <c r="Q140" s="513" t="str">
        <f>IFERROR(IF(P140="","",IF(AND(P140='G-1 All Habitats'!$X$3,T140&gt;0),U140+V140,IF(AND(P140='G-1 All Habitats'!$X$3,S140&gt;0),U140+V140,IF(AND(P140='G-1 All Habitats'!$X$3,AC140&gt;0),"Any Loss Unacceptable ▲",IF(AND(P140='G-1 All Habitats'!$X$3,W140&gt;0),"Any Loss Unacceptable ▲",H140*J140*L140*O140))))),"Check Data ▲")</f>
        <v/>
      </c>
      <c r="R140" s="50"/>
      <c r="S140" s="71"/>
      <c r="T140" s="72"/>
      <c r="U140" s="511" t="str">
        <f t="shared" si="8"/>
        <v/>
      </c>
      <c r="V140" s="511" t="str">
        <f t="shared" si="9"/>
        <v/>
      </c>
      <c r="W140" s="511" t="str">
        <f>IF(E140="","",IF(H140&lt;S140+T140,"Error in Areas ▲",IF(P140&lt;&gt;'G-1 All Habitats'!$X$3,H140-S140-T140,IF(AND(P140='G-1 All Habitats'!$X$3,Y140="Yes"),"Unacceptable Loss",IF(AND(P140='G-1 All Habitats'!$X$3,Y140="No"),AC140,IF(AND(P140='G-1 All Habitats'!$X$3,Y140=""),AC140,IF(AND(P140='G-1 All Habitats'!$X$3,AC140="None",AC140),IF(AND(P140='G-1 All Habitats'!$X$3,AC140&gt;0),H140-S140-T140))))))))</f>
        <v/>
      </c>
      <c r="X140" s="515" t="str">
        <f>IFERROR(IF(H140="","",IF(H140-S140-T140=0&lt;0,"Error in Areas ▲",IF(S140+T140&gt;H140,"Error in Areas ▲",IF(AND(P140='G-1 All Habitats'!$X$3,Y140="Yes"),"Alternative Compensation ✓",IF(W140=0,0,IF(P140='G-1 All Habitats'!$X$3,"Unacceptable Loss ▲",Q140-U140-V140)))))),"Check Data ▲")</f>
        <v/>
      </c>
      <c r="Y140" s="72"/>
      <c r="Z140" s="80"/>
      <c r="AA140" s="81"/>
      <c r="AC140" s="75" t="str">
        <f>IF(P140="","",IF(P140='G-1 All Habitats'!$X$3,H140-S140-T140,"None"))</f>
        <v/>
      </c>
      <c r="AD140" s="76" t="str">
        <f>IFERROR(AC140*J140*L140*#REF!*O140,IF(P140="","","None"))</f>
        <v/>
      </c>
      <c r="AF140" s="54" t="str">
        <f t="shared" si="10"/>
        <v/>
      </c>
      <c r="AG140" s="54" t="str">
        <f t="shared" si="11"/>
        <v/>
      </c>
      <c r="AH140" s="54" t="str">
        <f>IF(I140="","",IF(#REF!&gt;0,TRUE,FALSE))</f>
        <v/>
      </c>
      <c r="AI140" s="54">
        <v>130</v>
      </c>
      <c r="AJ140" s="54"/>
      <c r="AK140" s="54" t="str">
        <f t="array" ref="AK140">IFERROR(INDEX($AI$11:$AI$259, MATCH(0, IF(TRUE=$AF$11:$AF$259, COUNTIF($AK$10:$AK139, $AI$11:$AI$259), ""), 0)),"")</f>
        <v/>
      </c>
      <c r="AL140" s="54" t="str">
        <f t="array" ref="AL140">IFERROR(INDEX($AI$11:$AI$259, MATCH(0, IF(TRUE=$AG$11:$AG$259, COUNTIF($AL$10:$AL139, $AI$11:$AI$259), ""), 0)),"")</f>
        <v/>
      </c>
      <c r="AM140" s="54" t="str">
        <f t="array" ref="AM140">IFERROR(INDEX($AI$11:$AI$259, MATCH(0, IF(TRUE=$AH$11:$AH$259, COUNTIF($AM$10:$AM139, $AI$11:$AI$259), ""), 0)),"")</f>
        <v/>
      </c>
      <c r="AN140" s="54"/>
      <c r="AQ140" s="47">
        <f t="shared" ref="AQ140:AQ203" si="12">IF(X140="Unacceptable Loss",1,0)</f>
        <v>0</v>
      </c>
    </row>
    <row r="141" spans="1:43" x14ac:dyDescent="0.3">
      <c r="A141" s="47" t="str">
        <f>IFERROR(INDEX('G-1 All Habitats'!$AG$3:$AG$15,MATCH(E141,'G-1 All Habitats'!$AF$3:$AF$15,0)),"")</f>
        <v/>
      </c>
      <c r="B141" s="47" t="str">
        <f>IFERROR(INDEX('G-8 Condition Look up'!$I$4:$I$130,MATCH(G141,'G-8 Condition Look up'!$A$4:$A$130,0)),"")</f>
        <v/>
      </c>
      <c r="D141" s="77">
        <v>131</v>
      </c>
      <c r="E141" s="78"/>
      <c r="F141" s="79"/>
      <c r="G141" s="69" t="str">
        <f>IFERROR(INDEX('G-1 All Habitats'!$B$3:$B$129,MATCH(F141,'G-1 All Habitats'!$A$3:$A$129,0)),"")</f>
        <v/>
      </c>
      <c r="H141" s="70"/>
      <c r="I141" s="498" t="str">
        <f>IF(G141="","",VLOOKUP(G141,'G-1 All Habitats'!$B$2:$M$129,10,FALSE))</f>
        <v/>
      </c>
      <c r="J141" s="499" t="str">
        <f>IFERROR(VLOOKUP(I141,'G-1 All Habitats'!$V$3:$W$7,2,FALSE),"")</f>
        <v/>
      </c>
      <c r="K141" s="71"/>
      <c r="L141" s="499" t="str">
        <f>IFERROR(INDEX('G-8 Condition Look up'!$A$3:$H$130,MATCH(G141,'G-8 Condition Look up'!$A$3:$A$130,0),MATCH(K141,'G-8 Condition Look up'!$A$3:$H$3,0)),"")</f>
        <v/>
      </c>
      <c r="M141" s="71"/>
      <c r="N141" s="520" t="str">
        <f>IF(M141="","",IF(VLOOKUP(M141,'G-3 Multipliers'!$L$3:$N$6,2,FALSE)=0,"Spatial Data Missing",VLOOKUP(M141,'G-3 Multipliers'!$L$3:$N$6,2,FALSE)))</f>
        <v/>
      </c>
      <c r="O141" s="505" t="str">
        <f>IF(M141="","",IF(VLOOKUP(M141,'G-3 Multipliers'!$L$3:$N$6,3,FALSE)=0,"Spatial Data Missing",VLOOKUP(M141,'G-3 Multipliers'!$L$3:$N$6,3,FALSE)))</f>
        <v/>
      </c>
      <c r="P141" s="506" t="str">
        <f>IFERROR(VLOOKUP(G141,'G-1 All Habitats'!$B$2:$M$129,12,FALSE),"")</f>
        <v/>
      </c>
      <c r="Q141" s="513" t="str">
        <f>IFERROR(IF(P141="","",IF(AND(P141='G-1 All Habitats'!$X$3,T141&gt;0),U141+V141,IF(AND(P141='G-1 All Habitats'!$X$3,S141&gt;0),U141+V141,IF(AND(P141='G-1 All Habitats'!$X$3,AC141&gt;0),"Any Loss Unacceptable ▲",IF(AND(P141='G-1 All Habitats'!$X$3,W141&gt;0),"Any Loss Unacceptable ▲",H141*J141*L141*O141))))),"Check Data ▲")</f>
        <v/>
      </c>
      <c r="R141" s="50"/>
      <c r="S141" s="71"/>
      <c r="T141" s="72"/>
      <c r="U141" s="511" t="str">
        <f t="shared" ref="U141:U204" si="13">IFERROR(S141*J141*L141*O141,"")</f>
        <v/>
      </c>
      <c r="V141" s="511" t="str">
        <f t="shared" ref="V141:V204" si="14">IFERROR(T141*J141*L141*O141,"")</f>
        <v/>
      </c>
      <c r="W141" s="511" t="str">
        <f>IF(E141="","",IF(H141&lt;S141+T141,"Error in Areas ▲",IF(P141&lt;&gt;'G-1 All Habitats'!$X$3,H141-S141-T141,IF(AND(P141='G-1 All Habitats'!$X$3,Y141="Yes"),"Unacceptable Loss",IF(AND(P141='G-1 All Habitats'!$X$3,Y141="No"),AC141,IF(AND(P141='G-1 All Habitats'!$X$3,Y141=""),AC141,IF(AND(P141='G-1 All Habitats'!$X$3,AC141="None",AC141),IF(AND(P141='G-1 All Habitats'!$X$3,AC141&gt;0),H141-S141-T141))))))))</f>
        <v/>
      </c>
      <c r="X141" s="515" t="str">
        <f>IFERROR(IF(H141="","",IF(H141-S141-T141=0&lt;0,"Error in Areas ▲",IF(S141+T141&gt;H141,"Error in Areas ▲",IF(AND(P141='G-1 All Habitats'!$X$3,Y141="Yes"),"Alternative Compensation ✓",IF(W141=0,0,IF(P141='G-1 All Habitats'!$X$3,"Unacceptable Loss ▲",Q141-U141-V141)))))),"Check Data ▲")</f>
        <v/>
      </c>
      <c r="Y141" s="72"/>
      <c r="Z141" s="80"/>
      <c r="AA141" s="81"/>
      <c r="AC141" s="75" t="str">
        <f>IF(P141="","",IF(P141='G-1 All Habitats'!$X$3,H141-S141-T141,"None"))</f>
        <v/>
      </c>
      <c r="AD141" s="76" t="str">
        <f>IFERROR(AC141*J141*L141*#REF!*O141,IF(P141="","","None"))</f>
        <v/>
      </c>
      <c r="AF141" s="54" t="str">
        <f t="shared" si="10"/>
        <v/>
      </c>
      <c r="AG141" s="54" t="str">
        <f t="shared" si="11"/>
        <v/>
      </c>
      <c r="AH141" s="54" t="str">
        <f>IF(I141="","",IF(#REF!&gt;0,TRUE,FALSE))</f>
        <v/>
      </c>
      <c r="AI141" s="54">
        <v>131</v>
      </c>
      <c r="AJ141" s="54"/>
      <c r="AK141" s="54" t="str">
        <f t="array" ref="AK141">IFERROR(INDEX($AI$11:$AI$259, MATCH(0, IF(TRUE=$AF$11:$AF$259, COUNTIF($AK$10:$AK140, $AI$11:$AI$259), ""), 0)),"")</f>
        <v/>
      </c>
      <c r="AL141" s="54" t="str">
        <f t="array" ref="AL141">IFERROR(INDEX($AI$11:$AI$259, MATCH(0, IF(TRUE=$AG$11:$AG$259, COUNTIF($AL$10:$AL140, $AI$11:$AI$259), ""), 0)),"")</f>
        <v/>
      </c>
      <c r="AM141" s="54" t="str">
        <f t="array" ref="AM141">IFERROR(INDEX($AI$11:$AI$259, MATCH(0, IF(TRUE=$AH$11:$AH$259, COUNTIF($AM$10:$AM140, $AI$11:$AI$259), ""), 0)),"")</f>
        <v/>
      </c>
      <c r="AN141" s="54"/>
      <c r="AQ141" s="47">
        <f t="shared" si="12"/>
        <v>0</v>
      </c>
    </row>
    <row r="142" spans="1:43" x14ac:dyDescent="0.3">
      <c r="A142" s="47" t="str">
        <f>IFERROR(INDEX('G-1 All Habitats'!$AG$3:$AG$15,MATCH(E142,'G-1 All Habitats'!$AF$3:$AF$15,0)),"")</f>
        <v/>
      </c>
      <c r="B142" s="47" t="str">
        <f>IFERROR(INDEX('G-8 Condition Look up'!$I$4:$I$130,MATCH(G142,'G-8 Condition Look up'!$A$4:$A$130,0)),"")</f>
        <v/>
      </c>
      <c r="D142" s="77">
        <v>132</v>
      </c>
      <c r="E142" s="78"/>
      <c r="F142" s="79"/>
      <c r="G142" s="69" t="str">
        <f>IFERROR(INDEX('G-1 All Habitats'!$B$3:$B$129,MATCH(F142,'G-1 All Habitats'!$A$3:$A$129,0)),"")</f>
        <v/>
      </c>
      <c r="H142" s="70"/>
      <c r="I142" s="498" t="str">
        <f>IF(G142="","",VLOOKUP(G142,'G-1 All Habitats'!$B$2:$M$129,10,FALSE))</f>
        <v/>
      </c>
      <c r="J142" s="499" t="str">
        <f>IFERROR(VLOOKUP(I142,'G-1 All Habitats'!$V$3:$W$7,2,FALSE),"")</f>
        <v/>
      </c>
      <c r="K142" s="71"/>
      <c r="L142" s="499" t="str">
        <f>IFERROR(INDEX('G-8 Condition Look up'!$A$3:$H$130,MATCH(G142,'G-8 Condition Look up'!$A$3:$A$130,0),MATCH(K142,'G-8 Condition Look up'!$A$3:$H$3,0)),"")</f>
        <v/>
      </c>
      <c r="M142" s="71"/>
      <c r="N142" s="520" t="str">
        <f>IF(M142="","",IF(VLOOKUP(M142,'G-3 Multipliers'!$L$3:$N$6,2,FALSE)=0,"Spatial Data Missing",VLOOKUP(M142,'G-3 Multipliers'!$L$3:$N$6,2,FALSE)))</f>
        <v/>
      </c>
      <c r="O142" s="505" t="str">
        <f>IF(M142="","",IF(VLOOKUP(M142,'G-3 Multipliers'!$L$3:$N$6,3,FALSE)=0,"Spatial Data Missing",VLOOKUP(M142,'G-3 Multipliers'!$L$3:$N$6,3,FALSE)))</f>
        <v/>
      </c>
      <c r="P142" s="506" t="str">
        <f>IFERROR(VLOOKUP(G142,'G-1 All Habitats'!$B$2:$M$129,12,FALSE),"")</f>
        <v/>
      </c>
      <c r="Q142" s="513" t="str">
        <f>IFERROR(IF(P142="","",IF(AND(P142='G-1 All Habitats'!$X$3,T142&gt;0),U142+V142,IF(AND(P142='G-1 All Habitats'!$X$3,S142&gt;0),U142+V142,IF(AND(P142='G-1 All Habitats'!$X$3,AC142&gt;0),"Any Loss Unacceptable ▲",IF(AND(P142='G-1 All Habitats'!$X$3,W142&gt;0),"Any Loss Unacceptable ▲",H142*J142*L142*O142))))),"Check Data ▲")</f>
        <v/>
      </c>
      <c r="R142" s="50"/>
      <c r="S142" s="71"/>
      <c r="T142" s="72"/>
      <c r="U142" s="511" t="str">
        <f t="shared" si="13"/>
        <v/>
      </c>
      <c r="V142" s="511" t="str">
        <f t="shared" si="14"/>
        <v/>
      </c>
      <c r="W142" s="511" t="str">
        <f>IF(E142="","",IF(H142&lt;S142+T142,"Error in Areas ▲",IF(P142&lt;&gt;'G-1 All Habitats'!$X$3,H142-S142-T142,IF(AND(P142='G-1 All Habitats'!$X$3,Y142="Yes"),"Unacceptable Loss",IF(AND(P142='G-1 All Habitats'!$X$3,Y142="No"),AC142,IF(AND(P142='G-1 All Habitats'!$X$3,Y142=""),AC142,IF(AND(P142='G-1 All Habitats'!$X$3,AC142="None",AC142),IF(AND(P142='G-1 All Habitats'!$X$3,AC142&gt;0),H142-S142-T142))))))))</f>
        <v/>
      </c>
      <c r="X142" s="515" t="str">
        <f>IFERROR(IF(H142="","",IF(H142-S142-T142=0&lt;0,"Error in Areas ▲",IF(S142+T142&gt;H142,"Error in Areas ▲",IF(AND(P142='G-1 All Habitats'!$X$3,Y142="Yes"),"Alternative Compensation ✓",IF(W142=0,0,IF(P142='G-1 All Habitats'!$X$3,"Unacceptable Loss ▲",Q142-U142-V142)))))),"Check Data ▲")</f>
        <v/>
      </c>
      <c r="Y142" s="72"/>
      <c r="Z142" s="80"/>
      <c r="AA142" s="81"/>
      <c r="AC142" s="75" t="str">
        <f>IF(P142="","",IF(P142='G-1 All Habitats'!$X$3,H142-S142-T142,"None"))</f>
        <v/>
      </c>
      <c r="AD142" s="76" t="str">
        <f>IFERROR(AC142*J142*L142*#REF!*O142,IF(P142="","","None"))</f>
        <v/>
      </c>
      <c r="AF142" s="54" t="str">
        <f t="shared" si="10"/>
        <v/>
      </c>
      <c r="AG142" s="54" t="str">
        <f t="shared" si="11"/>
        <v/>
      </c>
      <c r="AH142" s="54" t="str">
        <f>IF(I142="","",IF(#REF!&gt;0,TRUE,FALSE))</f>
        <v/>
      </c>
      <c r="AI142" s="54">
        <v>132</v>
      </c>
      <c r="AJ142" s="54"/>
      <c r="AK142" s="54" t="str">
        <f t="array" ref="AK142">IFERROR(INDEX($AI$11:$AI$259, MATCH(0, IF(TRUE=$AF$11:$AF$259, COUNTIF($AK$10:$AK141, $AI$11:$AI$259), ""), 0)),"")</f>
        <v/>
      </c>
      <c r="AL142" s="54" t="str">
        <f t="array" ref="AL142">IFERROR(INDEX($AI$11:$AI$259, MATCH(0, IF(TRUE=$AG$11:$AG$259, COUNTIF($AL$10:$AL141, $AI$11:$AI$259), ""), 0)),"")</f>
        <v/>
      </c>
      <c r="AM142" s="54" t="str">
        <f t="array" ref="AM142">IFERROR(INDEX($AI$11:$AI$259, MATCH(0, IF(TRUE=$AH$11:$AH$259, COUNTIF($AM$10:$AM141, $AI$11:$AI$259), ""), 0)),"")</f>
        <v/>
      </c>
      <c r="AN142" s="54"/>
      <c r="AQ142" s="47">
        <f t="shared" si="12"/>
        <v>0</v>
      </c>
    </row>
    <row r="143" spans="1:43" x14ac:dyDescent="0.3">
      <c r="A143" s="47" t="str">
        <f>IFERROR(INDEX('G-1 All Habitats'!$AG$3:$AG$15,MATCH(E143,'G-1 All Habitats'!$AF$3:$AF$15,0)),"")</f>
        <v/>
      </c>
      <c r="B143" s="47" t="str">
        <f>IFERROR(INDEX('G-8 Condition Look up'!$I$4:$I$130,MATCH(G143,'G-8 Condition Look up'!$A$4:$A$130,0)),"")</f>
        <v/>
      </c>
      <c r="D143" s="77">
        <v>133</v>
      </c>
      <c r="E143" s="78"/>
      <c r="F143" s="79"/>
      <c r="G143" s="69" t="str">
        <f>IFERROR(INDEX('G-1 All Habitats'!$B$3:$B$129,MATCH(F143,'G-1 All Habitats'!$A$3:$A$129,0)),"")</f>
        <v/>
      </c>
      <c r="H143" s="70"/>
      <c r="I143" s="498" t="str">
        <f>IF(G143="","",VLOOKUP(G143,'G-1 All Habitats'!$B$2:$M$129,10,FALSE))</f>
        <v/>
      </c>
      <c r="J143" s="499" t="str">
        <f>IFERROR(VLOOKUP(I143,'G-1 All Habitats'!$V$3:$W$7,2,FALSE),"")</f>
        <v/>
      </c>
      <c r="K143" s="71"/>
      <c r="L143" s="499" t="str">
        <f>IFERROR(INDEX('G-8 Condition Look up'!$A$3:$H$130,MATCH(G143,'G-8 Condition Look up'!$A$3:$A$130,0),MATCH(K143,'G-8 Condition Look up'!$A$3:$H$3,0)),"")</f>
        <v/>
      </c>
      <c r="M143" s="71"/>
      <c r="N143" s="520" t="str">
        <f>IF(M143="","",IF(VLOOKUP(M143,'G-3 Multipliers'!$L$3:$N$6,2,FALSE)=0,"Spatial Data Missing",VLOOKUP(M143,'G-3 Multipliers'!$L$3:$N$6,2,FALSE)))</f>
        <v/>
      </c>
      <c r="O143" s="505" t="str">
        <f>IF(M143="","",IF(VLOOKUP(M143,'G-3 Multipliers'!$L$3:$N$6,3,FALSE)=0,"Spatial Data Missing",VLOOKUP(M143,'G-3 Multipliers'!$L$3:$N$6,3,FALSE)))</f>
        <v/>
      </c>
      <c r="P143" s="506" t="str">
        <f>IFERROR(VLOOKUP(G143,'G-1 All Habitats'!$B$2:$M$129,12,FALSE),"")</f>
        <v/>
      </c>
      <c r="Q143" s="513" t="str">
        <f>IFERROR(IF(P143="","",IF(AND(P143='G-1 All Habitats'!$X$3,T143&gt;0),U143+V143,IF(AND(P143='G-1 All Habitats'!$X$3,S143&gt;0),U143+V143,IF(AND(P143='G-1 All Habitats'!$X$3,AC143&gt;0),"Any Loss Unacceptable ▲",IF(AND(P143='G-1 All Habitats'!$X$3,W143&gt;0),"Any Loss Unacceptable ▲",H143*J143*L143*O143))))),"Check Data ▲")</f>
        <v/>
      </c>
      <c r="R143" s="50"/>
      <c r="S143" s="71"/>
      <c r="T143" s="72"/>
      <c r="U143" s="511" t="str">
        <f t="shared" si="13"/>
        <v/>
      </c>
      <c r="V143" s="511" t="str">
        <f t="shared" si="14"/>
        <v/>
      </c>
      <c r="W143" s="511" t="str">
        <f>IF(E143="","",IF(H143&lt;S143+T143,"Error in Areas ▲",IF(P143&lt;&gt;'G-1 All Habitats'!$X$3,H143-S143-T143,IF(AND(P143='G-1 All Habitats'!$X$3,Y143="Yes"),"Unacceptable Loss",IF(AND(P143='G-1 All Habitats'!$X$3,Y143="No"),AC143,IF(AND(P143='G-1 All Habitats'!$X$3,Y143=""),AC143,IF(AND(P143='G-1 All Habitats'!$X$3,AC143="None",AC143),IF(AND(P143='G-1 All Habitats'!$X$3,AC143&gt;0),H143-S143-T143))))))))</f>
        <v/>
      </c>
      <c r="X143" s="515" t="str">
        <f>IFERROR(IF(H143="","",IF(H143-S143-T143=0&lt;0,"Error in Areas ▲",IF(S143+T143&gt;H143,"Error in Areas ▲",IF(AND(P143='G-1 All Habitats'!$X$3,Y143="Yes"),"Alternative Compensation ✓",IF(W143=0,0,IF(P143='G-1 All Habitats'!$X$3,"Unacceptable Loss ▲",Q143-U143-V143)))))),"Check Data ▲")</f>
        <v/>
      </c>
      <c r="Y143" s="72"/>
      <c r="Z143" s="80"/>
      <c r="AA143" s="81"/>
      <c r="AC143" s="75" t="str">
        <f>IF(P143="","",IF(P143='G-1 All Habitats'!$X$3,H143-S143-T143,"None"))</f>
        <v/>
      </c>
      <c r="AD143" s="76" t="str">
        <f>IFERROR(AC143*J143*L143*#REF!*O143,IF(P143="","","None"))</f>
        <v/>
      </c>
      <c r="AF143" s="54" t="str">
        <f t="shared" si="10"/>
        <v/>
      </c>
      <c r="AG143" s="54" t="str">
        <f t="shared" si="11"/>
        <v/>
      </c>
      <c r="AH143" s="54" t="str">
        <f>IF(I143="","",IF(#REF!&gt;0,TRUE,FALSE))</f>
        <v/>
      </c>
      <c r="AI143" s="54">
        <v>133</v>
      </c>
      <c r="AJ143" s="54"/>
      <c r="AK143" s="54" t="str">
        <f t="array" ref="AK143">IFERROR(INDEX($AI$11:$AI$259, MATCH(0, IF(TRUE=$AF$11:$AF$259, COUNTIF($AK$10:$AK142, $AI$11:$AI$259), ""), 0)),"")</f>
        <v/>
      </c>
      <c r="AL143" s="54" t="str">
        <f t="array" ref="AL143">IFERROR(INDEX($AI$11:$AI$259, MATCH(0, IF(TRUE=$AG$11:$AG$259, COUNTIF($AL$10:$AL142, $AI$11:$AI$259), ""), 0)),"")</f>
        <v/>
      </c>
      <c r="AM143" s="54" t="str">
        <f t="array" ref="AM143">IFERROR(INDEX($AI$11:$AI$259, MATCH(0, IF(TRUE=$AH$11:$AH$259, COUNTIF($AM$10:$AM142, $AI$11:$AI$259), ""), 0)),"")</f>
        <v/>
      </c>
      <c r="AN143" s="54"/>
      <c r="AQ143" s="47">
        <f t="shared" si="12"/>
        <v>0</v>
      </c>
    </row>
    <row r="144" spans="1:43" x14ac:dyDescent="0.3">
      <c r="A144" s="47" t="str">
        <f>IFERROR(INDEX('G-1 All Habitats'!$AG$3:$AG$15,MATCH(E144,'G-1 All Habitats'!$AF$3:$AF$15,0)),"")</f>
        <v/>
      </c>
      <c r="B144" s="47" t="str">
        <f>IFERROR(INDEX('G-8 Condition Look up'!$I$4:$I$130,MATCH(G144,'G-8 Condition Look up'!$A$4:$A$130,0)),"")</f>
        <v/>
      </c>
      <c r="D144" s="77">
        <v>134</v>
      </c>
      <c r="E144" s="78"/>
      <c r="F144" s="79"/>
      <c r="G144" s="69" t="str">
        <f>IFERROR(INDEX('G-1 All Habitats'!$B$3:$B$129,MATCH(F144,'G-1 All Habitats'!$A$3:$A$129,0)),"")</f>
        <v/>
      </c>
      <c r="H144" s="70"/>
      <c r="I144" s="498" t="str">
        <f>IF(G144="","",VLOOKUP(G144,'G-1 All Habitats'!$B$2:$M$129,10,FALSE))</f>
        <v/>
      </c>
      <c r="J144" s="499" t="str">
        <f>IFERROR(VLOOKUP(I144,'G-1 All Habitats'!$V$3:$W$7,2,FALSE),"")</f>
        <v/>
      </c>
      <c r="K144" s="71"/>
      <c r="L144" s="499" t="str">
        <f>IFERROR(INDEX('G-8 Condition Look up'!$A$3:$H$130,MATCH(G144,'G-8 Condition Look up'!$A$3:$A$130,0),MATCH(K144,'G-8 Condition Look up'!$A$3:$H$3,0)),"")</f>
        <v/>
      </c>
      <c r="M144" s="71"/>
      <c r="N144" s="520" t="str">
        <f>IF(M144="","",IF(VLOOKUP(M144,'G-3 Multipliers'!$L$3:$N$6,2,FALSE)=0,"Spatial Data Missing",VLOOKUP(M144,'G-3 Multipliers'!$L$3:$N$6,2,FALSE)))</f>
        <v/>
      </c>
      <c r="O144" s="505" t="str">
        <f>IF(M144="","",IF(VLOOKUP(M144,'G-3 Multipliers'!$L$3:$N$6,3,FALSE)=0,"Spatial Data Missing",VLOOKUP(M144,'G-3 Multipliers'!$L$3:$N$6,3,FALSE)))</f>
        <v/>
      </c>
      <c r="P144" s="506" t="str">
        <f>IFERROR(VLOOKUP(G144,'G-1 All Habitats'!$B$2:$M$129,12,FALSE),"")</f>
        <v/>
      </c>
      <c r="Q144" s="513" t="str">
        <f>IFERROR(IF(P144="","",IF(AND(P144='G-1 All Habitats'!$X$3,T144&gt;0),U144+V144,IF(AND(P144='G-1 All Habitats'!$X$3,S144&gt;0),U144+V144,IF(AND(P144='G-1 All Habitats'!$X$3,AC144&gt;0),"Any Loss Unacceptable ▲",IF(AND(P144='G-1 All Habitats'!$X$3,W144&gt;0),"Any Loss Unacceptable ▲",H144*J144*L144*O144))))),"Check Data ▲")</f>
        <v/>
      </c>
      <c r="R144" s="50"/>
      <c r="S144" s="71"/>
      <c r="T144" s="72"/>
      <c r="U144" s="511" t="str">
        <f t="shared" si="13"/>
        <v/>
      </c>
      <c r="V144" s="511" t="str">
        <f t="shared" si="14"/>
        <v/>
      </c>
      <c r="W144" s="511" t="str">
        <f>IF(E144="","",IF(H144&lt;S144+T144,"Error in Areas ▲",IF(P144&lt;&gt;'G-1 All Habitats'!$X$3,H144-S144-T144,IF(AND(P144='G-1 All Habitats'!$X$3,Y144="Yes"),"Unacceptable Loss",IF(AND(P144='G-1 All Habitats'!$X$3,Y144="No"),AC144,IF(AND(P144='G-1 All Habitats'!$X$3,Y144=""),AC144,IF(AND(P144='G-1 All Habitats'!$X$3,AC144="None",AC144),IF(AND(P144='G-1 All Habitats'!$X$3,AC144&gt;0),H144-S144-T144))))))))</f>
        <v/>
      </c>
      <c r="X144" s="515" t="str">
        <f>IFERROR(IF(H144="","",IF(H144-S144-T144=0&lt;0,"Error in Areas ▲",IF(S144+T144&gt;H144,"Error in Areas ▲",IF(AND(P144='G-1 All Habitats'!$X$3,Y144="Yes"),"Alternative Compensation ✓",IF(W144=0,0,IF(P144='G-1 All Habitats'!$X$3,"Unacceptable Loss ▲",Q144-U144-V144)))))),"Check Data ▲")</f>
        <v/>
      </c>
      <c r="Y144" s="72"/>
      <c r="Z144" s="80"/>
      <c r="AA144" s="81"/>
      <c r="AC144" s="75" t="str">
        <f>IF(P144="","",IF(P144='G-1 All Habitats'!$X$3,H144-S144-T144,"None"))</f>
        <v/>
      </c>
      <c r="AD144" s="76" t="str">
        <f>IFERROR(AC144*J144*L144*#REF!*O144,IF(P144="","","None"))</f>
        <v/>
      </c>
      <c r="AF144" s="54" t="str">
        <f t="shared" si="10"/>
        <v/>
      </c>
      <c r="AG144" s="54" t="str">
        <f t="shared" si="11"/>
        <v/>
      </c>
      <c r="AH144" s="54" t="str">
        <f>IF(I144="","",IF(#REF!&gt;0,TRUE,FALSE))</f>
        <v/>
      </c>
      <c r="AI144" s="54">
        <v>134</v>
      </c>
      <c r="AJ144" s="54"/>
      <c r="AK144" s="54" t="str">
        <f t="array" ref="AK144">IFERROR(INDEX($AI$11:$AI$259, MATCH(0, IF(TRUE=$AF$11:$AF$259, COUNTIF($AK$10:$AK143, $AI$11:$AI$259), ""), 0)),"")</f>
        <v/>
      </c>
      <c r="AL144" s="54" t="str">
        <f t="array" ref="AL144">IFERROR(INDEX($AI$11:$AI$259, MATCH(0, IF(TRUE=$AG$11:$AG$259, COUNTIF($AL$10:$AL143, $AI$11:$AI$259), ""), 0)),"")</f>
        <v/>
      </c>
      <c r="AM144" s="54" t="str">
        <f t="array" ref="AM144">IFERROR(INDEX($AI$11:$AI$259, MATCH(0, IF(TRUE=$AH$11:$AH$259, COUNTIF($AM$10:$AM143, $AI$11:$AI$259), ""), 0)),"")</f>
        <v/>
      </c>
      <c r="AN144" s="54"/>
      <c r="AQ144" s="47">
        <f t="shared" si="12"/>
        <v>0</v>
      </c>
    </row>
    <row r="145" spans="1:43" x14ac:dyDescent="0.3">
      <c r="A145" s="47" t="str">
        <f>IFERROR(INDEX('G-1 All Habitats'!$AG$3:$AG$15,MATCH(E145,'G-1 All Habitats'!$AF$3:$AF$15,0)),"")</f>
        <v/>
      </c>
      <c r="B145" s="47" t="str">
        <f>IFERROR(INDEX('G-8 Condition Look up'!$I$4:$I$130,MATCH(G145,'G-8 Condition Look up'!$A$4:$A$130,0)),"")</f>
        <v/>
      </c>
      <c r="D145" s="77">
        <v>135</v>
      </c>
      <c r="E145" s="78"/>
      <c r="F145" s="79"/>
      <c r="G145" s="69" t="str">
        <f>IFERROR(INDEX('G-1 All Habitats'!$B$3:$B$129,MATCH(F145,'G-1 All Habitats'!$A$3:$A$129,0)),"")</f>
        <v/>
      </c>
      <c r="H145" s="70"/>
      <c r="I145" s="498" t="str">
        <f>IF(G145="","",VLOOKUP(G145,'G-1 All Habitats'!$B$2:$M$129,10,FALSE))</f>
        <v/>
      </c>
      <c r="J145" s="499" t="str">
        <f>IFERROR(VLOOKUP(I145,'G-1 All Habitats'!$V$3:$W$7,2,FALSE),"")</f>
        <v/>
      </c>
      <c r="K145" s="71"/>
      <c r="L145" s="499" t="str">
        <f>IFERROR(INDEX('G-8 Condition Look up'!$A$3:$H$130,MATCH(G145,'G-8 Condition Look up'!$A$3:$A$130,0),MATCH(K145,'G-8 Condition Look up'!$A$3:$H$3,0)),"")</f>
        <v/>
      </c>
      <c r="M145" s="71"/>
      <c r="N145" s="520" t="str">
        <f>IF(M145="","",IF(VLOOKUP(M145,'G-3 Multipliers'!$L$3:$N$6,2,FALSE)=0,"Spatial Data Missing",VLOOKUP(M145,'G-3 Multipliers'!$L$3:$N$6,2,FALSE)))</f>
        <v/>
      </c>
      <c r="O145" s="505" t="str">
        <f>IF(M145="","",IF(VLOOKUP(M145,'G-3 Multipliers'!$L$3:$N$6,3,FALSE)=0,"Spatial Data Missing",VLOOKUP(M145,'G-3 Multipliers'!$L$3:$N$6,3,FALSE)))</f>
        <v/>
      </c>
      <c r="P145" s="506" t="str">
        <f>IFERROR(VLOOKUP(G145,'G-1 All Habitats'!$B$2:$M$129,12,FALSE),"")</f>
        <v/>
      </c>
      <c r="Q145" s="513" t="str">
        <f>IFERROR(IF(P145="","",IF(AND(P145='G-1 All Habitats'!$X$3,T145&gt;0),U145+V145,IF(AND(P145='G-1 All Habitats'!$X$3,S145&gt;0),U145+V145,IF(AND(P145='G-1 All Habitats'!$X$3,AC145&gt;0),"Any Loss Unacceptable ▲",IF(AND(P145='G-1 All Habitats'!$X$3,W145&gt;0),"Any Loss Unacceptable ▲",H145*J145*L145*O145))))),"Check Data ▲")</f>
        <v/>
      </c>
      <c r="R145" s="50"/>
      <c r="S145" s="71"/>
      <c r="T145" s="72"/>
      <c r="U145" s="511" t="str">
        <f t="shared" si="13"/>
        <v/>
      </c>
      <c r="V145" s="511" t="str">
        <f t="shared" si="14"/>
        <v/>
      </c>
      <c r="W145" s="511" t="str">
        <f>IF(E145="","",IF(H145&lt;S145+T145,"Error in Areas ▲",IF(P145&lt;&gt;'G-1 All Habitats'!$X$3,H145-S145-T145,IF(AND(P145='G-1 All Habitats'!$X$3,Y145="Yes"),"Unacceptable Loss",IF(AND(P145='G-1 All Habitats'!$X$3,Y145="No"),AC145,IF(AND(P145='G-1 All Habitats'!$X$3,Y145=""),AC145,IF(AND(P145='G-1 All Habitats'!$X$3,AC145="None",AC145),IF(AND(P145='G-1 All Habitats'!$X$3,AC145&gt;0),H145-S145-T145))))))))</f>
        <v/>
      </c>
      <c r="X145" s="515" t="str">
        <f>IFERROR(IF(H145="","",IF(H145-S145-T145=0&lt;0,"Error in Areas ▲",IF(S145+T145&gt;H145,"Error in Areas ▲",IF(AND(P145='G-1 All Habitats'!$X$3,Y145="Yes"),"Alternative Compensation ✓",IF(W145=0,0,IF(P145='G-1 All Habitats'!$X$3,"Unacceptable Loss ▲",Q145-U145-V145)))))),"Check Data ▲")</f>
        <v/>
      </c>
      <c r="Y145" s="72"/>
      <c r="Z145" s="80"/>
      <c r="AA145" s="81"/>
      <c r="AC145" s="75" t="str">
        <f>IF(P145="","",IF(P145='G-1 All Habitats'!$X$3,H145-S145-T145,"None"))</f>
        <v/>
      </c>
      <c r="AD145" s="76" t="str">
        <f>IFERROR(AC145*J145*L145*#REF!*O145,IF(P145="","","None"))</f>
        <v/>
      </c>
      <c r="AF145" s="54" t="str">
        <f t="shared" si="10"/>
        <v/>
      </c>
      <c r="AG145" s="54" t="str">
        <f t="shared" si="11"/>
        <v/>
      </c>
      <c r="AH145" s="54" t="str">
        <f>IF(I145="","",IF(#REF!&gt;0,TRUE,FALSE))</f>
        <v/>
      </c>
      <c r="AI145" s="54">
        <v>135</v>
      </c>
      <c r="AJ145" s="54"/>
      <c r="AK145" s="54" t="str">
        <f t="array" ref="AK145">IFERROR(INDEX($AI$11:$AI$259, MATCH(0, IF(TRUE=$AF$11:$AF$259, COUNTIF($AK$10:$AK144, $AI$11:$AI$259), ""), 0)),"")</f>
        <v/>
      </c>
      <c r="AL145" s="54" t="str">
        <f t="array" ref="AL145">IFERROR(INDEX($AI$11:$AI$259, MATCH(0, IF(TRUE=$AG$11:$AG$259, COUNTIF($AL$10:$AL144, $AI$11:$AI$259), ""), 0)),"")</f>
        <v/>
      </c>
      <c r="AM145" s="54" t="str">
        <f t="array" ref="AM145">IFERROR(INDEX($AI$11:$AI$259, MATCH(0, IF(TRUE=$AH$11:$AH$259, COUNTIF($AM$10:$AM144, $AI$11:$AI$259), ""), 0)),"")</f>
        <v/>
      </c>
      <c r="AN145" s="54"/>
      <c r="AQ145" s="47">
        <f t="shared" si="12"/>
        <v>0</v>
      </c>
    </row>
    <row r="146" spans="1:43" x14ac:dyDescent="0.3">
      <c r="A146" s="47" t="str">
        <f>IFERROR(INDEX('G-1 All Habitats'!$AG$3:$AG$15,MATCH(E146,'G-1 All Habitats'!$AF$3:$AF$15,0)),"")</f>
        <v/>
      </c>
      <c r="B146" s="47" t="str">
        <f>IFERROR(INDEX('G-8 Condition Look up'!$I$4:$I$130,MATCH(G146,'G-8 Condition Look up'!$A$4:$A$130,0)),"")</f>
        <v/>
      </c>
      <c r="D146" s="77">
        <v>136</v>
      </c>
      <c r="E146" s="78"/>
      <c r="F146" s="79"/>
      <c r="G146" s="69" t="str">
        <f>IFERROR(INDEX('G-1 All Habitats'!$B$3:$B$129,MATCH(F146,'G-1 All Habitats'!$A$3:$A$129,0)),"")</f>
        <v/>
      </c>
      <c r="H146" s="70"/>
      <c r="I146" s="498" t="str">
        <f>IF(G146="","",VLOOKUP(G146,'G-1 All Habitats'!$B$2:$M$129,10,FALSE))</f>
        <v/>
      </c>
      <c r="J146" s="499" t="str">
        <f>IFERROR(VLOOKUP(I146,'G-1 All Habitats'!$V$3:$W$7,2,FALSE),"")</f>
        <v/>
      </c>
      <c r="K146" s="71"/>
      <c r="L146" s="499" t="str">
        <f>IFERROR(INDEX('G-8 Condition Look up'!$A$3:$H$130,MATCH(G146,'G-8 Condition Look up'!$A$3:$A$130,0),MATCH(K146,'G-8 Condition Look up'!$A$3:$H$3,0)),"")</f>
        <v/>
      </c>
      <c r="M146" s="71"/>
      <c r="N146" s="520" t="str">
        <f>IF(M146="","",IF(VLOOKUP(M146,'G-3 Multipliers'!$L$3:$N$6,2,FALSE)=0,"Spatial Data Missing",VLOOKUP(M146,'G-3 Multipliers'!$L$3:$N$6,2,FALSE)))</f>
        <v/>
      </c>
      <c r="O146" s="505" t="str">
        <f>IF(M146="","",IF(VLOOKUP(M146,'G-3 Multipliers'!$L$3:$N$6,3,FALSE)=0,"Spatial Data Missing",VLOOKUP(M146,'G-3 Multipliers'!$L$3:$N$6,3,FALSE)))</f>
        <v/>
      </c>
      <c r="P146" s="506" t="str">
        <f>IFERROR(VLOOKUP(G146,'G-1 All Habitats'!$B$2:$M$129,12,FALSE),"")</f>
        <v/>
      </c>
      <c r="Q146" s="513" t="str">
        <f>IFERROR(IF(P146="","",IF(AND(P146='G-1 All Habitats'!$X$3,T146&gt;0),U146+V146,IF(AND(P146='G-1 All Habitats'!$X$3,S146&gt;0),U146+V146,IF(AND(P146='G-1 All Habitats'!$X$3,AC146&gt;0),"Any Loss Unacceptable ▲",IF(AND(P146='G-1 All Habitats'!$X$3,W146&gt;0),"Any Loss Unacceptable ▲",H146*J146*L146*O146))))),"Check Data ▲")</f>
        <v/>
      </c>
      <c r="R146" s="50"/>
      <c r="S146" s="71"/>
      <c r="T146" s="72"/>
      <c r="U146" s="511" t="str">
        <f t="shared" si="13"/>
        <v/>
      </c>
      <c r="V146" s="511" t="str">
        <f t="shared" si="14"/>
        <v/>
      </c>
      <c r="W146" s="511" t="str">
        <f>IF(E146="","",IF(H146&lt;S146+T146,"Error in Areas ▲",IF(P146&lt;&gt;'G-1 All Habitats'!$X$3,H146-S146-T146,IF(AND(P146='G-1 All Habitats'!$X$3,Y146="Yes"),"Unacceptable Loss",IF(AND(P146='G-1 All Habitats'!$X$3,Y146="No"),AC146,IF(AND(P146='G-1 All Habitats'!$X$3,Y146=""),AC146,IF(AND(P146='G-1 All Habitats'!$X$3,AC146="None",AC146),IF(AND(P146='G-1 All Habitats'!$X$3,AC146&gt;0),H146-S146-T146))))))))</f>
        <v/>
      </c>
      <c r="X146" s="515" t="str">
        <f>IFERROR(IF(H146="","",IF(H146-S146-T146=0&lt;0,"Error in Areas ▲",IF(S146+T146&gt;H146,"Error in Areas ▲",IF(AND(P146='G-1 All Habitats'!$X$3,Y146="Yes"),"Alternative Compensation ✓",IF(W146=0,0,IF(P146='G-1 All Habitats'!$X$3,"Unacceptable Loss ▲",Q146-U146-V146)))))),"Check Data ▲")</f>
        <v/>
      </c>
      <c r="Y146" s="72"/>
      <c r="Z146" s="80"/>
      <c r="AA146" s="81"/>
      <c r="AC146" s="75" t="str">
        <f>IF(P146="","",IF(P146='G-1 All Habitats'!$X$3,H146-S146-T146,"None"))</f>
        <v/>
      </c>
      <c r="AD146" s="76" t="str">
        <f>IFERROR(AC146*J146*L146*#REF!*O146,IF(P146="","","None"))</f>
        <v/>
      </c>
      <c r="AF146" s="54" t="str">
        <f t="shared" si="10"/>
        <v/>
      </c>
      <c r="AG146" s="54" t="str">
        <f t="shared" si="11"/>
        <v/>
      </c>
      <c r="AH146" s="54" t="str">
        <f>IF(I146="","",IF(#REF!&gt;0,TRUE,FALSE))</f>
        <v/>
      </c>
      <c r="AI146" s="54">
        <v>136</v>
      </c>
      <c r="AJ146" s="54"/>
      <c r="AK146" s="54" t="str">
        <f t="array" ref="AK146">IFERROR(INDEX($AI$11:$AI$259, MATCH(0, IF(TRUE=$AF$11:$AF$259, COUNTIF($AK$10:$AK145, $AI$11:$AI$259), ""), 0)),"")</f>
        <v/>
      </c>
      <c r="AL146" s="54" t="str">
        <f t="array" ref="AL146">IFERROR(INDEX($AI$11:$AI$259, MATCH(0, IF(TRUE=$AG$11:$AG$259, COUNTIF($AL$10:$AL145, $AI$11:$AI$259), ""), 0)),"")</f>
        <v/>
      </c>
      <c r="AM146" s="54" t="str">
        <f t="array" ref="AM146">IFERROR(INDEX($AI$11:$AI$259, MATCH(0, IF(TRUE=$AH$11:$AH$259, COUNTIF($AM$10:$AM145, $AI$11:$AI$259), ""), 0)),"")</f>
        <v/>
      </c>
      <c r="AN146" s="54"/>
      <c r="AQ146" s="47">
        <f t="shared" si="12"/>
        <v>0</v>
      </c>
    </row>
    <row r="147" spans="1:43" x14ac:dyDescent="0.3">
      <c r="A147" s="47" t="str">
        <f>IFERROR(INDEX('G-1 All Habitats'!$AG$3:$AG$15,MATCH(E147,'G-1 All Habitats'!$AF$3:$AF$15,0)),"")</f>
        <v/>
      </c>
      <c r="B147" s="47" t="str">
        <f>IFERROR(INDEX('G-8 Condition Look up'!$I$4:$I$130,MATCH(G147,'G-8 Condition Look up'!$A$4:$A$130,0)),"")</f>
        <v/>
      </c>
      <c r="D147" s="77">
        <v>137</v>
      </c>
      <c r="E147" s="78"/>
      <c r="F147" s="79"/>
      <c r="G147" s="69" t="str">
        <f>IFERROR(INDEX('G-1 All Habitats'!$B$3:$B$129,MATCH(F147,'G-1 All Habitats'!$A$3:$A$129,0)),"")</f>
        <v/>
      </c>
      <c r="H147" s="70"/>
      <c r="I147" s="498" t="str">
        <f>IF(G147="","",VLOOKUP(G147,'G-1 All Habitats'!$B$2:$M$129,10,FALSE))</f>
        <v/>
      </c>
      <c r="J147" s="499" t="str">
        <f>IFERROR(VLOOKUP(I147,'G-1 All Habitats'!$V$3:$W$7,2,FALSE),"")</f>
        <v/>
      </c>
      <c r="K147" s="71"/>
      <c r="L147" s="499" t="str">
        <f>IFERROR(INDEX('G-8 Condition Look up'!$A$3:$H$130,MATCH(G147,'G-8 Condition Look up'!$A$3:$A$130,0),MATCH(K147,'G-8 Condition Look up'!$A$3:$H$3,0)),"")</f>
        <v/>
      </c>
      <c r="M147" s="71"/>
      <c r="N147" s="520" t="str">
        <f>IF(M147="","",IF(VLOOKUP(M147,'G-3 Multipliers'!$L$3:$N$6,2,FALSE)=0,"Spatial Data Missing",VLOOKUP(M147,'G-3 Multipliers'!$L$3:$N$6,2,FALSE)))</f>
        <v/>
      </c>
      <c r="O147" s="505" t="str">
        <f>IF(M147="","",IF(VLOOKUP(M147,'G-3 Multipliers'!$L$3:$N$6,3,FALSE)=0,"Spatial Data Missing",VLOOKUP(M147,'G-3 Multipliers'!$L$3:$N$6,3,FALSE)))</f>
        <v/>
      </c>
      <c r="P147" s="506" t="str">
        <f>IFERROR(VLOOKUP(G147,'G-1 All Habitats'!$B$2:$M$129,12,FALSE),"")</f>
        <v/>
      </c>
      <c r="Q147" s="513" t="str">
        <f>IFERROR(IF(P147="","",IF(AND(P147='G-1 All Habitats'!$X$3,T147&gt;0),U147+V147,IF(AND(P147='G-1 All Habitats'!$X$3,S147&gt;0),U147+V147,IF(AND(P147='G-1 All Habitats'!$X$3,AC147&gt;0),"Any Loss Unacceptable ▲",IF(AND(P147='G-1 All Habitats'!$X$3,W147&gt;0),"Any Loss Unacceptable ▲",H147*J147*L147*O147))))),"Check Data ▲")</f>
        <v/>
      </c>
      <c r="R147" s="50"/>
      <c r="S147" s="71"/>
      <c r="T147" s="72"/>
      <c r="U147" s="511" t="str">
        <f t="shared" si="13"/>
        <v/>
      </c>
      <c r="V147" s="511" t="str">
        <f t="shared" si="14"/>
        <v/>
      </c>
      <c r="W147" s="511" t="str">
        <f>IF(E147="","",IF(H147&lt;S147+T147,"Error in Areas ▲",IF(P147&lt;&gt;'G-1 All Habitats'!$X$3,H147-S147-T147,IF(AND(P147='G-1 All Habitats'!$X$3,Y147="Yes"),"Unacceptable Loss",IF(AND(P147='G-1 All Habitats'!$X$3,Y147="No"),AC147,IF(AND(P147='G-1 All Habitats'!$X$3,Y147=""),AC147,IF(AND(P147='G-1 All Habitats'!$X$3,AC147="None",AC147),IF(AND(P147='G-1 All Habitats'!$X$3,AC147&gt;0),H147-S147-T147))))))))</f>
        <v/>
      </c>
      <c r="X147" s="515" t="str">
        <f>IFERROR(IF(H147="","",IF(H147-S147-T147=0&lt;0,"Error in Areas ▲",IF(S147+T147&gt;H147,"Error in Areas ▲",IF(AND(P147='G-1 All Habitats'!$X$3,Y147="Yes"),"Alternative Compensation ✓",IF(W147=0,0,IF(P147='G-1 All Habitats'!$X$3,"Unacceptable Loss ▲",Q147-U147-V147)))))),"Check Data ▲")</f>
        <v/>
      </c>
      <c r="Y147" s="72"/>
      <c r="Z147" s="80"/>
      <c r="AA147" s="81"/>
      <c r="AC147" s="75" t="str">
        <f>IF(P147="","",IF(P147='G-1 All Habitats'!$X$3,H147-S147-T147,"None"))</f>
        <v/>
      </c>
      <c r="AD147" s="76" t="str">
        <f>IFERROR(AC147*J147*L147*#REF!*O147,IF(P147="","","None"))</f>
        <v/>
      </c>
      <c r="AF147" s="54" t="str">
        <f t="shared" si="10"/>
        <v/>
      </c>
      <c r="AG147" s="54" t="str">
        <f t="shared" si="11"/>
        <v/>
      </c>
      <c r="AH147" s="54" t="str">
        <f>IF(I147="","",IF(#REF!&gt;0,TRUE,FALSE))</f>
        <v/>
      </c>
      <c r="AI147" s="54">
        <v>137</v>
      </c>
      <c r="AJ147" s="54"/>
      <c r="AK147" s="54" t="str">
        <f t="array" ref="AK147">IFERROR(INDEX($AI$11:$AI$259, MATCH(0, IF(TRUE=$AF$11:$AF$259, COUNTIF($AK$10:$AK146, $AI$11:$AI$259), ""), 0)),"")</f>
        <v/>
      </c>
      <c r="AL147" s="54" t="str">
        <f t="array" ref="AL147">IFERROR(INDEX($AI$11:$AI$259, MATCH(0, IF(TRUE=$AG$11:$AG$259, COUNTIF($AL$10:$AL146, $AI$11:$AI$259), ""), 0)),"")</f>
        <v/>
      </c>
      <c r="AM147" s="54" t="str">
        <f t="array" ref="AM147">IFERROR(INDEX($AI$11:$AI$259, MATCH(0, IF(TRUE=$AH$11:$AH$259, COUNTIF($AM$10:$AM146, $AI$11:$AI$259), ""), 0)),"")</f>
        <v/>
      </c>
      <c r="AN147" s="54"/>
      <c r="AQ147" s="47">
        <f t="shared" si="12"/>
        <v>0</v>
      </c>
    </row>
    <row r="148" spans="1:43" x14ac:dyDescent="0.3">
      <c r="A148" s="47" t="str">
        <f>IFERROR(INDEX('G-1 All Habitats'!$AG$3:$AG$15,MATCH(E148,'G-1 All Habitats'!$AF$3:$AF$15,0)),"")</f>
        <v/>
      </c>
      <c r="B148" s="47" t="str">
        <f>IFERROR(INDEX('G-8 Condition Look up'!$I$4:$I$130,MATCH(G148,'G-8 Condition Look up'!$A$4:$A$130,0)),"")</f>
        <v/>
      </c>
      <c r="D148" s="77">
        <v>138</v>
      </c>
      <c r="E148" s="78"/>
      <c r="F148" s="79"/>
      <c r="G148" s="69" t="str">
        <f>IFERROR(INDEX('G-1 All Habitats'!$B$3:$B$129,MATCH(F148,'G-1 All Habitats'!$A$3:$A$129,0)),"")</f>
        <v/>
      </c>
      <c r="H148" s="70"/>
      <c r="I148" s="498" t="str">
        <f>IF(G148="","",VLOOKUP(G148,'G-1 All Habitats'!$B$2:$M$129,10,FALSE))</f>
        <v/>
      </c>
      <c r="J148" s="499" t="str">
        <f>IFERROR(VLOOKUP(I148,'G-1 All Habitats'!$V$3:$W$7,2,FALSE),"")</f>
        <v/>
      </c>
      <c r="K148" s="71"/>
      <c r="L148" s="499" t="str">
        <f>IFERROR(INDEX('G-8 Condition Look up'!$A$3:$H$130,MATCH(G148,'G-8 Condition Look up'!$A$3:$A$130,0),MATCH(K148,'G-8 Condition Look up'!$A$3:$H$3,0)),"")</f>
        <v/>
      </c>
      <c r="M148" s="71"/>
      <c r="N148" s="520" t="str">
        <f>IF(M148="","",IF(VLOOKUP(M148,'G-3 Multipliers'!$L$3:$N$6,2,FALSE)=0,"Spatial Data Missing",VLOOKUP(M148,'G-3 Multipliers'!$L$3:$N$6,2,FALSE)))</f>
        <v/>
      </c>
      <c r="O148" s="505" t="str">
        <f>IF(M148="","",IF(VLOOKUP(M148,'G-3 Multipliers'!$L$3:$N$6,3,FALSE)=0,"Spatial Data Missing",VLOOKUP(M148,'G-3 Multipliers'!$L$3:$N$6,3,FALSE)))</f>
        <v/>
      </c>
      <c r="P148" s="506" t="str">
        <f>IFERROR(VLOOKUP(G148,'G-1 All Habitats'!$B$2:$M$129,12,FALSE),"")</f>
        <v/>
      </c>
      <c r="Q148" s="513" t="str">
        <f>IFERROR(IF(P148="","",IF(AND(P148='G-1 All Habitats'!$X$3,T148&gt;0),U148+V148,IF(AND(P148='G-1 All Habitats'!$X$3,S148&gt;0),U148+V148,IF(AND(P148='G-1 All Habitats'!$X$3,AC148&gt;0),"Any Loss Unacceptable ▲",IF(AND(P148='G-1 All Habitats'!$X$3,W148&gt;0),"Any Loss Unacceptable ▲",H148*J148*L148*O148))))),"Check Data ▲")</f>
        <v/>
      </c>
      <c r="R148" s="50"/>
      <c r="S148" s="71"/>
      <c r="T148" s="72"/>
      <c r="U148" s="511" t="str">
        <f t="shared" si="13"/>
        <v/>
      </c>
      <c r="V148" s="511" t="str">
        <f t="shared" si="14"/>
        <v/>
      </c>
      <c r="W148" s="511" t="str">
        <f>IF(E148="","",IF(H148&lt;S148+T148,"Error in Areas ▲",IF(P148&lt;&gt;'G-1 All Habitats'!$X$3,H148-S148-T148,IF(AND(P148='G-1 All Habitats'!$X$3,Y148="Yes"),"Unacceptable Loss",IF(AND(P148='G-1 All Habitats'!$X$3,Y148="No"),AC148,IF(AND(P148='G-1 All Habitats'!$X$3,Y148=""),AC148,IF(AND(P148='G-1 All Habitats'!$X$3,AC148="None",AC148),IF(AND(P148='G-1 All Habitats'!$X$3,AC148&gt;0),H148-S148-T148))))))))</f>
        <v/>
      </c>
      <c r="X148" s="515" t="str">
        <f>IFERROR(IF(H148="","",IF(H148-S148-T148=0&lt;0,"Error in Areas ▲",IF(S148+T148&gt;H148,"Error in Areas ▲",IF(AND(P148='G-1 All Habitats'!$X$3,Y148="Yes"),"Alternative Compensation ✓",IF(W148=0,0,IF(P148='G-1 All Habitats'!$X$3,"Unacceptable Loss ▲",Q148-U148-V148)))))),"Check Data ▲")</f>
        <v/>
      </c>
      <c r="Y148" s="72"/>
      <c r="Z148" s="80"/>
      <c r="AA148" s="81"/>
      <c r="AC148" s="75" t="str">
        <f>IF(P148="","",IF(P148='G-1 All Habitats'!$X$3,H148-S148-T148,"None"))</f>
        <v/>
      </c>
      <c r="AD148" s="76" t="str">
        <f>IFERROR(AC148*J148*L148*#REF!*O148,IF(P148="","","None"))</f>
        <v/>
      </c>
      <c r="AF148" s="54" t="str">
        <f t="shared" si="10"/>
        <v/>
      </c>
      <c r="AG148" s="54" t="str">
        <f t="shared" si="11"/>
        <v/>
      </c>
      <c r="AH148" s="54" t="str">
        <f>IF(I148="","",IF(#REF!&gt;0,TRUE,FALSE))</f>
        <v/>
      </c>
      <c r="AI148" s="54">
        <v>138</v>
      </c>
      <c r="AJ148" s="54"/>
      <c r="AK148" s="54" t="str">
        <f t="array" ref="AK148">IFERROR(INDEX($AI$11:$AI$259, MATCH(0, IF(TRUE=$AF$11:$AF$259, COUNTIF($AK$10:$AK147, $AI$11:$AI$259), ""), 0)),"")</f>
        <v/>
      </c>
      <c r="AL148" s="54" t="str">
        <f t="array" ref="AL148">IFERROR(INDEX($AI$11:$AI$259, MATCH(0, IF(TRUE=$AG$11:$AG$259, COUNTIF($AL$10:$AL147, $AI$11:$AI$259), ""), 0)),"")</f>
        <v/>
      </c>
      <c r="AM148" s="54" t="str">
        <f t="array" ref="AM148">IFERROR(INDEX($AI$11:$AI$259, MATCH(0, IF(TRUE=$AH$11:$AH$259, COUNTIF($AM$10:$AM147, $AI$11:$AI$259), ""), 0)),"")</f>
        <v/>
      </c>
      <c r="AN148" s="54"/>
      <c r="AQ148" s="47">
        <f t="shared" si="12"/>
        <v>0</v>
      </c>
    </row>
    <row r="149" spans="1:43" x14ac:dyDescent="0.3">
      <c r="A149" s="47" t="str">
        <f>IFERROR(INDEX('G-1 All Habitats'!$AG$3:$AG$15,MATCH(E149,'G-1 All Habitats'!$AF$3:$AF$15,0)),"")</f>
        <v/>
      </c>
      <c r="B149" s="47" t="str">
        <f>IFERROR(INDEX('G-8 Condition Look up'!$I$4:$I$130,MATCH(G149,'G-8 Condition Look up'!$A$4:$A$130,0)),"")</f>
        <v/>
      </c>
      <c r="D149" s="77">
        <v>139</v>
      </c>
      <c r="E149" s="78"/>
      <c r="F149" s="79"/>
      <c r="G149" s="69" t="str">
        <f>IFERROR(INDEX('G-1 All Habitats'!$B$3:$B$129,MATCH(F149,'G-1 All Habitats'!$A$3:$A$129,0)),"")</f>
        <v/>
      </c>
      <c r="H149" s="70"/>
      <c r="I149" s="498" t="str">
        <f>IF(G149="","",VLOOKUP(G149,'G-1 All Habitats'!$B$2:$M$129,10,FALSE))</f>
        <v/>
      </c>
      <c r="J149" s="499" t="str">
        <f>IFERROR(VLOOKUP(I149,'G-1 All Habitats'!$V$3:$W$7,2,FALSE),"")</f>
        <v/>
      </c>
      <c r="K149" s="71"/>
      <c r="L149" s="499" t="str">
        <f>IFERROR(INDEX('G-8 Condition Look up'!$A$3:$H$130,MATCH(G149,'G-8 Condition Look up'!$A$3:$A$130,0),MATCH(K149,'G-8 Condition Look up'!$A$3:$H$3,0)),"")</f>
        <v/>
      </c>
      <c r="M149" s="71"/>
      <c r="N149" s="520" t="str">
        <f>IF(M149="","",IF(VLOOKUP(M149,'G-3 Multipliers'!$L$3:$N$6,2,FALSE)=0,"Spatial Data Missing",VLOOKUP(M149,'G-3 Multipliers'!$L$3:$N$6,2,FALSE)))</f>
        <v/>
      </c>
      <c r="O149" s="505" t="str">
        <f>IF(M149="","",IF(VLOOKUP(M149,'G-3 Multipliers'!$L$3:$N$6,3,FALSE)=0,"Spatial Data Missing",VLOOKUP(M149,'G-3 Multipliers'!$L$3:$N$6,3,FALSE)))</f>
        <v/>
      </c>
      <c r="P149" s="506" t="str">
        <f>IFERROR(VLOOKUP(G149,'G-1 All Habitats'!$B$2:$M$129,12,FALSE),"")</f>
        <v/>
      </c>
      <c r="Q149" s="513" t="str">
        <f>IFERROR(IF(P149="","",IF(AND(P149='G-1 All Habitats'!$X$3,T149&gt;0),U149+V149,IF(AND(P149='G-1 All Habitats'!$X$3,S149&gt;0),U149+V149,IF(AND(P149='G-1 All Habitats'!$X$3,AC149&gt;0),"Any Loss Unacceptable ▲",IF(AND(P149='G-1 All Habitats'!$X$3,W149&gt;0),"Any Loss Unacceptable ▲",H149*J149*L149*O149))))),"Check Data ▲")</f>
        <v/>
      </c>
      <c r="R149" s="50"/>
      <c r="S149" s="71"/>
      <c r="T149" s="72"/>
      <c r="U149" s="511" t="str">
        <f t="shared" si="13"/>
        <v/>
      </c>
      <c r="V149" s="511" t="str">
        <f t="shared" si="14"/>
        <v/>
      </c>
      <c r="W149" s="511" t="str">
        <f>IF(E149="","",IF(H149&lt;S149+T149,"Error in Areas ▲",IF(P149&lt;&gt;'G-1 All Habitats'!$X$3,H149-S149-T149,IF(AND(P149='G-1 All Habitats'!$X$3,Y149="Yes"),"Unacceptable Loss",IF(AND(P149='G-1 All Habitats'!$X$3,Y149="No"),AC149,IF(AND(P149='G-1 All Habitats'!$X$3,Y149=""),AC149,IF(AND(P149='G-1 All Habitats'!$X$3,AC149="None",AC149),IF(AND(P149='G-1 All Habitats'!$X$3,AC149&gt;0),H149-S149-T149))))))))</f>
        <v/>
      </c>
      <c r="X149" s="515" t="str">
        <f>IFERROR(IF(H149="","",IF(H149-S149-T149=0&lt;0,"Error in Areas ▲",IF(S149+T149&gt;H149,"Error in Areas ▲",IF(AND(P149='G-1 All Habitats'!$X$3,Y149="Yes"),"Alternative Compensation ✓",IF(W149=0,0,IF(P149='G-1 All Habitats'!$X$3,"Unacceptable Loss ▲",Q149-U149-V149)))))),"Check Data ▲")</f>
        <v/>
      </c>
      <c r="Y149" s="72"/>
      <c r="Z149" s="80"/>
      <c r="AA149" s="81"/>
      <c r="AC149" s="75" t="str">
        <f>IF(P149="","",IF(P149='G-1 All Habitats'!$X$3,H149-S149-T149,"None"))</f>
        <v/>
      </c>
      <c r="AD149" s="76" t="str">
        <f>IFERROR(AC149*J149*L149*#REF!*O149,IF(P149="","","None"))</f>
        <v/>
      </c>
      <c r="AF149" s="54" t="str">
        <f t="shared" si="10"/>
        <v/>
      </c>
      <c r="AG149" s="54" t="str">
        <f t="shared" si="11"/>
        <v/>
      </c>
      <c r="AH149" s="54" t="str">
        <f>IF(I149="","",IF(#REF!&gt;0,TRUE,FALSE))</f>
        <v/>
      </c>
      <c r="AI149" s="54">
        <v>139</v>
      </c>
      <c r="AJ149" s="54"/>
      <c r="AK149" s="54" t="str">
        <f t="array" ref="AK149">IFERROR(INDEX($AI$11:$AI$259, MATCH(0, IF(TRUE=$AF$11:$AF$259, COUNTIF($AK$10:$AK148, $AI$11:$AI$259), ""), 0)),"")</f>
        <v/>
      </c>
      <c r="AL149" s="54" t="str">
        <f t="array" ref="AL149">IFERROR(INDEX($AI$11:$AI$259, MATCH(0, IF(TRUE=$AG$11:$AG$259, COUNTIF($AL$10:$AL148, $AI$11:$AI$259), ""), 0)),"")</f>
        <v/>
      </c>
      <c r="AM149" s="54" t="str">
        <f t="array" ref="AM149">IFERROR(INDEX($AI$11:$AI$259, MATCH(0, IF(TRUE=$AH$11:$AH$259, COUNTIF($AM$10:$AM148, $AI$11:$AI$259), ""), 0)),"")</f>
        <v/>
      </c>
      <c r="AN149" s="54"/>
      <c r="AQ149" s="47">
        <f t="shared" si="12"/>
        <v>0</v>
      </c>
    </row>
    <row r="150" spans="1:43" x14ac:dyDescent="0.3">
      <c r="A150" s="47" t="str">
        <f>IFERROR(INDEX('G-1 All Habitats'!$AG$3:$AG$15,MATCH(E150,'G-1 All Habitats'!$AF$3:$AF$15,0)),"")</f>
        <v/>
      </c>
      <c r="B150" s="47" t="str">
        <f>IFERROR(INDEX('G-8 Condition Look up'!$I$4:$I$130,MATCH(G150,'G-8 Condition Look up'!$A$4:$A$130,0)),"")</f>
        <v/>
      </c>
      <c r="D150" s="77">
        <v>140</v>
      </c>
      <c r="E150" s="78"/>
      <c r="F150" s="79"/>
      <c r="G150" s="69" t="str">
        <f>IFERROR(INDEX('G-1 All Habitats'!$B$3:$B$129,MATCH(F150,'G-1 All Habitats'!$A$3:$A$129,0)),"")</f>
        <v/>
      </c>
      <c r="H150" s="70"/>
      <c r="I150" s="498" t="str">
        <f>IF(G150="","",VLOOKUP(G150,'G-1 All Habitats'!$B$2:$M$129,10,FALSE))</f>
        <v/>
      </c>
      <c r="J150" s="499" t="str">
        <f>IFERROR(VLOOKUP(I150,'G-1 All Habitats'!$V$3:$W$7,2,FALSE),"")</f>
        <v/>
      </c>
      <c r="K150" s="71"/>
      <c r="L150" s="499" t="str">
        <f>IFERROR(INDEX('G-8 Condition Look up'!$A$3:$H$130,MATCH(G150,'G-8 Condition Look up'!$A$3:$A$130,0),MATCH(K150,'G-8 Condition Look up'!$A$3:$H$3,0)),"")</f>
        <v/>
      </c>
      <c r="M150" s="71"/>
      <c r="N150" s="520" t="str">
        <f>IF(M150="","",IF(VLOOKUP(M150,'G-3 Multipliers'!$L$3:$N$6,2,FALSE)=0,"Spatial Data Missing",VLOOKUP(M150,'G-3 Multipliers'!$L$3:$N$6,2,FALSE)))</f>
        <v/>
      </c>
      <c r="O150" s="505" t="str">
        <f>IF(M150="","",IF(VLOOKUP(M150,'G-3 Multipliers'!$L$3:$N$6,3,FALSE)=0,"Spatial Data Missing",VLOOKUP(M150,'G-3 Multipliers'!$L$3:$N$6,3,FALSE)))</f>
        <v/>
      </c>
      <c r="P150" s="506" t="str">
        <f>IFERROR(VLOOKUP(G150,'G-1 All Habitats'!$B$2:$M$129,12,FALSE),"")</f>
        <v/>
      </c>
      <c r="Q150" s="513" t="str">
        <f>IFERROR(IF(P150="","",IF(AND(P150='G-1 All Habitats'!$X$3,T150&gt;0),U150+V150,IF(AND(P150='G-1 All Habitats'!$X$3,S150&gt;0),U150+V150,IF(AND(P150='G-1 All Habitats'!$X$3,AC150&gt;0),"Any Loss Unacceptable ▲",IF(AND(P150='G-1 All Habitats'!$X$3,W150&gt;0),"Any Loss Unacceptable ▲",H150*J150*L150*O150))))),"Check Data ▲")</f>
        <v/>
      </c>
      <c r="R150" s="50"/>
      <c r="S150" s="71"/>
      <c r="T150" s="72"/>
      <c r="U150" s="511" t="str">
        <f t="shared" si="13"/>
        <v/>
      </c>
      <c r="V150" s="511" t="str">
        <f t="shared" si="14"/>
        <v/>
      </c>
      <c r="W150" s="511" t="str">
        <f>IF(E150="","",IF(H150&lt;S150+T150,"Error in Areas ▲",IF(P150&lt;&gt;'G-1 All Habitats'!$X$3,H150-S150-T150,IF(AND(P150='G-1 All Habitats'!$X$3,Y150="Yes"),"Unacceptable Loss",IF(AND(P150='G-1 All Habitats'!$X$3,Y150="No"),AC150,IF(AND(P150='G-1 All Habitats'!$X$3,Y150=""),AC150,IF(AND(P150='G-1 All Habitats'!$X$3,AC150="None",AC150),IF(AND(P150='G-1 All Habitats'!$X$3,AC150&gt;0),H150-S150-T150))))))))</f>
        <v/>
      </c>
      <c r="X150" s="515" t="str">
        <f>IFERROR(IF(H150="","",IF(H150-S150-T150=0&lt;0,"Error in Areas ▲",IF(S150+T150&gt;H150,"Error in Areas ▲",IF(AND(P150='G-1 All Habitats'!$X$3,Y150="Yes"),"Alternative Compensation ✓",IF(W150=0,0,IF(P150='G-1 All Habitats'!$X$3,"Unacceptable Loss ▲",Q150-U150-V150)))))),"Check Data ▲")</f>
        <v/>
      </c>
      <c r="Y150" s="72"/>
      <c r="Z150" s="80"/>
      <c r="AA150" s="81"/>
      <c r="AC150" s="75" t="str">
        <f>IF(P150="","",IF(P150='G-1 All Habitats'!$X$3,H150-S150-T150,"None"))</f>
        <v/>
      </c>
      <c r="AD150" s="76" t="str">
        <f>IFERROR(AC150*J150*L150*#REF!*O150,IF(P150="","","None"))</f>
        <v/>
      </c>
      <c r="AF150" s="54" t="str">
        <f t="shared" si="10"/>
        <v/>
      </c>
      <c r="AG150" s="54" t="str">
        <f t="shared" si="11"/>
        <v/>
      </c>
      <c r="AH150" s="54" t="str">
        <f>IF(I150="","",IF(#REF!&gt;0,TRUE,FALSE))</f>
        <v/>
      </c>
      <c r="AI150" s="54">
        <v>140</v>
      </c>
      <c r="AJ150" s="54"/>
      <c r="AK150" s="54" t="str">
        <f t="array" ref="AK150">IFERROR(INDEX($AI$11:$AI$259, MATCH(0, IF(TRUE=$AF$11:$AF$259, COUNTIF($AK$10:$AK149, $AI$11:$AI$259), ""), 0)),"")</f>
        <v/>
      </c>
      <c r="AL150" s="54" t="str">
        <f t="array" ref="AL150">IFERROR(INDEX($AI$11:$AI$259, MATCH(0, IF(TRUE=$AG$11:$AG$259, COUNTIF($AL$10:$AL149, $AI$11:$AI$259), ""), 0)),"")</f>
        <v/>
      </c>
      <c r="AM150" s="54" t="str">
        <f t="array" ref="AM150">IFERROR(INDEX($AI$11:$AI$259, MATCH(0, IF(TRUE=$AH$11:$AH$259, COUNTIF($AM$10:$AM149, $AI$11:$AI$259), ""), 0)),"")</f>
        <v/>
      </c>
      <c r="AN150" s="54"/>
      <c r="AQ150" s="47">
        <f t="shared" si="12"/>
        <v>0</v>
      </c>
    </row>
    <row r="151" spans="1:43" x14ac:dyDescent="0.3">
      <c r="A151" s="47" t="str">
        <f>IFERROR(INDEX('G-1 All Habitats'!$AG$3:$AG$15,MATCH(E151,'G-1 All Habitats'!$AF$3:$AF$15,0)),"")</f>
        <v/>
      </c>
      <c r="B151" s="47" t="str">
        <f>IFERROR(INDEX('G-8 Condition Look up'!$I$4:$I$130,MATCH(G151,'G-8 Condition Look up'!$A$4:$A$130,0)),"")</f>
        <v/>
      </c>
      <c r="D151" s="77">
        <v>141</v>
      </c>
      <c r="E151" s="78"/>
      <c r="F151" s="79"/>
      <c r="G151" s="69" t="str">
        <f>IFERROR(INDEX('G-1 All Habitats'!$B$3:$B$129,MATCH(F151,'G-1 All Habitats'!$A$3:$A$129,0)),"")</f>
        <v/>
      </c>
      <c r="H151" s="70"/>
      <c r="I151" s="498" t="str">
        <f>IF(G151="","",VLOOKUP(G151,'G-1 All Habitats'!$B$2:$M$129,10,FALSE))</f>
        <v/>
      </c>
      <c r="J151" s="499" t="str">
        <f>IFERROR(VLOOKUP(I151,'G-1 All Habitats'!$V$3:$W$7,2,FALSE),"")</f>
        <v/>
      </c>
      <c r="K151" s="71"/>
      <c r="L151" s="499" t="str">
        <f>IFERROR(INDEX('G-8 Condition Look up'!$A$3:$H$130,MATCH(G151,'G-8 Condition Look up'!$A$3:$A$130,0),MATCH(K151,'G-8 Condition Look up'!$A$3:$H$3,0)),"")</f>
        <v/>
      </c>
      <c r="M151" s="71"/>
      <c r="N151" s="520" t="str">
        <f>IF(M151="","",IF(VLOOKUP(M151,'G-3 Multipliers'!$L$3:$N$6,2,FALSE)=0,"Spatial Data Missing",VLOOKUP(M151,'G-3 Multipliers'!$L$3:$N$6,2,FALSE)))</f>
        <v/>
      </c>
      <c r="O151" s="505" t="str">
        <f>IF(M151="","",IF(VLOOKUP(M151,'G-3 Multipliers'!$L$3:$N$6,3,FALSE)=0,"Spatial Data Missing",VLOOKUP(M151,'G-3 Multipliers'!$L$3:$N$6,3,FALSE)))</f>
        <v/>
      </c>
      <c r="P151" s="506" t="str">
        <f>IFERROR(VLOOKUP(G151,'G-1 All Habitats'!$B$2:$M$129,12,FALSE),"")</f>
        <v/>
      </c>
      <c r="Q151" s="513" t="str">
        <f>IFERROR(IF(P151="","",IF(AND(P151='G-1 All Habitats'!$X$3,T151&gt;0),U151+V151,IF(AND(P151='G-1 All Habitats'!$X$3,S151&gt;0),U151+V151,IF(AND(P151='G-1 All Habitats'!$X$3,AC151&gt;0),"Any Loss Unacceptable ▲",IF(AND(P151='G-1 All Habitats'!$X$3,W151&gt;0),"Any Loss Unacceptable ▲",H151*J151*L151*O151))))),"Check Data ▲")</f>
        <v/>
      </c>
      <c r="R151" s="50"/>
      <c r="S151" s="71"/>
      <c r="T151" s="72"/>
      <c r="U151" s="511" t="str">
        <f t="shared" si="13"/>
        <v/>
      </c>
      <c r="V151" s="511" t="str">
        <f t="shared" si="14"/>
        <v/>
      </c>
      <c r="W151" s="511" t="str">
        <f>IF(E151="","",IF(H151&lt;S151+T151,"Error in Areas ▲",IF(P151&lt;&gt;'G-1 All Habitats'!$X$3,H151-S151-T151,IF(AND(P151='G-1 All Habitats'!$X$3,Y151="Yes"),"Unacceptable Loss",IF(AND(P151='G-1 All Habitats'!$X$3,Y151="No"),AC151,IF(AND(P151='G-1 All Habitats'!$X$3,Y151=""),AC151,IF(AND(P151='G-1 All Habitats'!$X$3,AC151="None",AC151),IF(AND(P151='G-1 All Habitats'!$X$3,AC151&gt;0),H151-S151-T151))))))))</f>
        <v/>
      </c>
      <c r="X151" s="515" t="str">
        <f>IFERROR(IF(H151="","",IF(H151-S151-T151=0&lt;0,"Error in Areas ▲",IF(S151+T151&gt;H151,"Error in Areas ▲",IF(AND(P151='G-1 All Habitats'!$X$3,Y151="Yes"),"Alternative Compensation ✓",IF(W151=0,0,IF(P151='G-1 All Habitats'!$X$3,"Unacceptable Loss ▲",Q151-U151-V151)))))),"Check Data ▲")</f>
        <v/>
      </c>
      <c r="Y151" s="72"/>
      <c r="Z151" s="80"/>
      <c r="AA151" s="81"/>
      <c r="AC151" s="75" t="str">
        <f>IF(P151="","",IF(P151='G-1 All Habitats'!$X$3,H151-S151-T151,"None"))</f>
        <v/>
      </c>
      <c r="AD151" s="76" t="str">
        <f>IFERROR(AC151*J151*L151*#REF!*O151,IF(P151="","","None"))</f>
        <v/>
      </c>
      <c r="AF151" s="54" t="str">
        <f t="shared" si="10"/>
        <v/>
      </c>
      <c r="AG151" s="54" t="str">
        <f t="shared" si="11"/>
        <v/>
      </c>
      <c r="AH151" s="54" t="str">
        <f>IF(I151="","",IF(#REF!&gt;0,TRUE,FALSE))</f>
        <v/>
      </c>
      <c r="AI151" s="54">
        <v>141</v>
      </c>
      <c r="AJ151" s="54"/>
      <c r="AK151" s="54" t="str">
        <f t="array" ref="AK151">IFERROR(INDEX($AI$11:$AI$259, MATCH(0, IF(TRUE=$AF$11:$AF$259, COUNTIF($AK$10:$AK150, $AI$11:$AI$259), ""), 0)),"")</f>
        <v/>
      </c>
      <c r="AL151" s="54" t="str">
        <f t="array" ref="AL151">IFERROR(INDEX($AI$11:$AI$259, MATCH(0, IF(TRUE=$AG$11:$AG$259, COUNTIF($AL$10:$AL150, $AI$11:$AI$259), ""), 0)),"")</f>
        <v/>
      </c>
      <c r="AM151" s="54" t="str">
        <f t="array" ref="AM151">IFERROR(INDEX($AI$11:$AI$259, MATCH(0, IF(TRUE=$AH$11:$AH$259, COUNTIF($AM$10:$AM150, $AI$11:$AI$259), ""), 0)),"")</f>
        <v/>
      </c>
      <c r="AN151" s="54"/>
      <c r="AQ151" s="47">
        <f t="shared" si="12"/>
        <v>0</v>
      </c>
    </row>
    <row r="152" spans="1:43" x14ac:dyDescent="0.3">
      <c r="A152" s="47" t="str">
        <f>IFERROR(INDEX('G-1 All Habitats'!$AG$3:$AG$15,MATCH(E152,'G-1 All Habitats'!$AF$3:$AF$15,0)),"")</f>
        <v/>
      </c>
      <c r="B152" s="47" t="str">
        <f>IFERROR(INDEX('G-8 Condition Look up'!$I$4:$I$130,MATCH(G152,'G-8 Condition Look up'!$A$4:$A$130,0)),"")</f>
        <v/>
      </c>
      <c r="D152" s="77">
        <v>142</v>
      </c>
      <c r="E152" s="78"/>
      <c r="F152" s="79"/>
      <c r="G152" s="69" t="str">
        <f>IFERROR(INDEX('G-1 All Habitats'!$B$3:$B$129,MATCH(F152,'G-1 All Habitats'!$A$3:$A$129,0)),"")</f>
        <v/>
      </c>
      <c r="H152" s="70"/>
      <c r="I152" s="498" t="str">
        <f>IF(G152="","",VLOOKUP(G152,'G-1 All Habitats'!$B$2:$M$129,10,FALSE))</f>
        <v/>
      </c>
      <c r="J152" s="499" t="str">
        <f>IFERROR(VLOOKUP(I152,'G-1 All Habitats'!$V$3:$W$7,2,FALSE),"")</f>
        <v/>
      </c>
      <c r="K152" s="71"/>
      <c r="L152" s="499" t="str">
        <f>IFERROR(INDEX('G-8 Condition Look up'!$A$3:$H$130,MATCH(G152,'G-8 Condition Look up'!$A$3:$A$130,0),MATCH(K152,'G-8 Condition Look up'!$A$3:$H$3,0)),"")</f>
        <v/>
      </c>
      <c r="M152" s="71"/>
      <c r="N152" s="520" t="str">
        <f>IF(M152="","",IF(VLOOKUP(M152,'G-3 Multipliers'!$L$3:$N$6,2,FALSE)=0,"Spatial Data Missing",VLOOKUP(M152,'G-3 Multipliers'!$L$3:$N$6,2,FALSE)))</f>
        <v/>
      </c>
      <c r="O152" s="505" t="str">
        <f>IF(M152="","",IF(VLOOKUP(M152,'G-3 Multipliers'!$L$3:$N$6,3,FALSE)=0,"Spatial Data Missing",VLOOKUP(M152,'G-3 Multipliers'!$L$3:$N$6,3,FALSE)))</f>
        <v/>
      </c>
      <c r="P152" s="506" t="str">
        <f>IFERROR(VLOOKUP(G152,'G-1 All Habitats'!$B$2:$M$129,12,FALSE),"")</f>
        <v/>
      </c>
      <c r="Q152" s="513" t="str">
        <f>IFERROR(IF(P152="","",IF(AND(P152='G-1 All Habitats'!$X$3,T152&gt;0),U152+V152,IF(AND(P152='G-1 All Habitats'!$X$3,S152&gt;0),U152+V152,IF(AND(P152='G-1 All Habitats'!$X$3,AC152&gt;0),"Any Loss Unacceptable ▲",IF(AND(P152='G-1 All Habitats'!$X$3,W152&gt;0),"Any Loss Unacceptable ▲",H152*J152*L152*O152))))),"Check Data ▲")</f>
        <v/>
      </c>
      <c r="R152" s="50"/>
      <c r="S152" s="71"/>
      <c r="T152" s="72"/>
      <c r="U152" s="511" t="str">
        <f t="shared" si="13"/>
        <v/>
      </c>
      <c r="V152" s="511" t="str">
        <f t="shared" si="14"/>
        <v/>
      </c>
      <c r="W152" s="511" t="str">
        <f>IF(E152="","",IF(H152&lt;S152+T152,"Error in Areas ▲",IF(P152&lt;&gt;'G-1 All Habitats'!$X$3,H152-S152-T152,IF(AND(P152='G-1 All Habitats'!$X$3,Y152="Yes"),"Unacceptable Loss",IF(AND(P152='G-1 All Habitats'!$X$3,Y152="No"),AC152,IF(AND(P152='G-1 All Habitats'!$X$3,Y152=""),AC152,IF(AND(P152='G-1 All Habitats'!$X$3,AC152="None",AC152),IF(AND(P152='G-1 All Habitats'!$X$3,AC152&gt;0),H152-S152-T152))))))))</f>
        <v/>
      </c>
      <c r="X152" s="515" t="str">
        <f>IFERROR(IF(H152="","",IF(H152-S152-T152=0&lt;0,"Error in Areas ▲",IF(S152+T152&gt;H152,"Error in Areas ▲",IF(AND(P152='G-1 All Habitats'!$X$3,Y152="Yes"),"Alternative Compensation ✓",IF(W152=0,0,IF(P152='G-1 All Habitats'!$X$3,"Unacceptable Loss ▲",Q152-U152-V152)))))),"Check Data ▲")</f>
        <v/>
      </c>
      <c r="Y152" s="72"/>
      <c r="Z152" s="80"/>
      <c r="AA152" s="81"/>
      <c r="AC152" s="75" t="str">
        <f>IF(P152="","",IF(P152='G-1 All Habitats'!$X$3,H152-S152-T152,"None"))</f>
        <v/>
      </c>
      <c r="AD152" s="76" t="str">
        <f>IFERROR(AC152*J152*L152*#REF!*O152,IF(P152="","","None"))</f>
        <v/>
      </c>
      <c r="AF152" s="54" t="str">
        <f t="shared" si="10"/>
        <v/>
      </c>
      <c r="AG152" s="54" t="str">
        <f t="shared" si="11"/>
        <v/>
      </c>
      <c r="AH152" s="54" t="str">
        <f>IF(I152="","",IF(#REF!&gt;0,TRUE,FALSE))</f>
        <v/>
      </c>
      <c r="AI152" s="54">
        <v>142</v>
      </c>
      <c r="AJ152" s="54"/>
      <c r="AK152" s="54" t="str">
        <f t="array" ref="AK152">IFERROR(INDEX($AI$11:$AI$259, MATCH(0, IF(TRUE=$AF$11:$AF$259, COUNTIF($AK$10:$AK151, $AI$11:$AI$259), ""), 0)),"")</f>
        <v/>
      </c>
      <c r="AL152" s="54" t="str">
        <f t="array" ref="AL152">IFERROR(INDEX($AI$11:$AI$259, MATCH(0, IF(TRUE=$AG$11:$AG$259, COUNTIF($AL$10:$AL151, $AI$11:$AI$259), ""), 0)),"")</f>
        <v/>
      </c>
      <c r="AM152" s="54" t="str">
        <f t="array" ref="AM152">IFERROR(INDEX($AI$11:$AI$259, MATCH(0, IF(TRUE=$AH$11:$AH$259, COUNTIF($AM$10:$AM151, $AI$11:$AI$259), ""), 0)),"")</f>
        <v/>
      </c>
      <c r="AN152" s="54"/>
      <c r="AQ152" s="47">
        <f t="shared" si="12"/>
        <v>0</v>
      </c>
    </row>
    <row r="153" spans="1:43" x14ac:dyDescent="0.3">
      <c r="A153" s="47" t="str">
        <f>IFERROR(INDEX('G-1 All Habitats'!$AG$3:$AG$15,MATCH(E153,'G-1 All Habitats'!$AF$3:$AF$15,0)),"")</f>
        <v/>
      </c>
      <c r="B153" s="47" t="str">
        <f>IFERROR(INDEX('G-8 Condition Look up'!$I$4:$I$130,MATCH(G153,'G-8 Condition Look up'!$A$4:$A$130,0)),"")</f>
        <v/>
      </c>
      <c r="D153" s="77">
        <v>143</v>
      </c>
      <c r="E153" s="78"/>
      <c r="F153" s="79"/>
      <c r="G153" s="69" t="str">
        <f>IFERROR(INDEX('G-1 All Habitats'!$B$3:$B$129,MATCH(F153,'G-1 All Habitats'!$A$3:$A$129,0)),"")</f>
        <v/>
      </c>
      <c r="H153" s="70"/>
      <c r="I153" s="498" t="str">
        <f>IF(G153="","",VLOOKUP(G153,'G-1 All Habitats'!$B$2:$M$129,10,FALSE))</f>
        <v/>
      </c>
      <c r="J153" s="499" t="str">
        <f>IFERROR(VLOOKUP(I153,'G-1 All Habitats'!$V$3:$W$7,2,FALSE),"")</f>
        <v/>
      </c>
      <c r="K153" s="71"/>
      <c r="L153" s="499" t="str">
        <f>IFERROR(INDEX('G-8 Condition Look up'!$A$3:$H$130,MATCH(G153,'G-8 Condition Look up'!$A$3:$A$130,0),MATCH(K153,'G-8 Condition Look up'!$A$3:$H$3,0)),"")</f>
        <v/>
      </c>
      <c r="M153" s="71"/>
      <c r="N153" s="520" t="str">
        <f>IF(M153="","",IF(VLOOKUP(M153,'G-3 Multipliers'!$L$3:$N$6,2,FALSE)=0,"Spatial Data Missing",VLOOKUP(M153,'G-3 Multipliers'!$L$3:$N$6,2,FALSE)))</f>
        <v/>
      </c>
      <c r="O153" s="505" t="str">
        <f>IF(M153="","",IF(VLOOKUP(M153,'G-3 Multipliers'!$L$3:$N$6,3,FALSE)=0,"Spatial Data Missing",VLOOKUP(M153,'G-3 Multipliers'!$L$3:$N$6,3,FALSE)))</f>
        <v/>
      </c>
      <c r="P153" s="506" t="str">
        <f>IFERROR(VLOOKUP(G153,'G-1 All Habitats'!$B$2:$M$129,12,FALSE),"")</f>
        <v/>
      </c>
      <c r="Q153" s="513" t="str">
        <f>IFERROR(IF(P153="","",IF(AND(P153='G-1 All Habitats'!$X$3,T153&gt;0),U153+V153,IF(AND(P153='G-1 All Habitats'!$X$3,S153&gt;0),U153+V153,IF(AND(P153='G-1 All Habitats'!$X$3,AC153&gt;0),"Any Loss Unacceptable ▲",IF(AND(P153='G-1 All Habitats'!$X$3,W153&gt;0),"Any Loss Unacceptable ▲",H153*J153*L153*O153))))),"Check Data ▲")</f>
        <v/>
      </c>
      <c r="R153" s="50"/>
      <c r="S153" s="71"/>
      <c r="T153" s="72"/>
      <c r="U153" s="511" t="str">
        <f t="shared" si="13"/>
        <v/>
      </c>
      <c r="V153" s="511" t="str">
        <f t="shared" si="14"/>
        <v/>
      </c>
      <c r="W153" s="511" t="str">
        <f>IF(E153="","",IF(H153&lt;S153+T153,"Error in Areas ▲",IF(P153&lt;&gt;'G-1 All Habitats'!$X$3,H153-S153-T153,IF(AND(P153='G-1 All Habitats'!$X$3,Y153="Yes"),"Unacceptable Loss",IF(AND(P153='G-1 All Habitats'!$X$3,Y153="No"),AC153,IF(AND(P153='G-1 All Habitats'!$X$3,Y153=""),AC153,IF(AND(P153='G-1 All Habitats'!$X$3,AC153="None",AC153),IF(AND(P153='G-1 All Habitats'!$X$3,AC153&gt;0),H153-S153-T153))))))))</f>
        <v/>
      </c>
      <c r="X153" s="515" t="str">
        <f>IFERROR(IF(H153="","",IF(H153-S153-T153=0&lt;0,"Error in Areas ▲",IF(S153+T153&gt;H153,"Error in Areas ▲",IF(AND(P153='G-1 All Habitats'!$X$3,Y153="Yes"),"Alternative Compensation ✓",IF(W153=0,0,IF(P153='G-1 All Habitats'!$X$3,"Unacceptable Loss ▲",Q153-U153-V153)))))),"Check Data ▲")</f>
        <v/>
      </c>
      <c r="Y153" s="72"/>
      <c r="Z153" s="80"/>
      <c r="AA153" s="81"/>
      <c r="AC153" s="75" t="str">
        <f>IF(P153="","",IF(P153='G-1 All Habitats'!$X$3,H153-S153-T153,"None"))</f>
        <v/>
      </c>
      <c r="AD153" s="76" t="str">
        <f>IFERROR(AC153*J153*L153*#REF!*O153,IF(P153="","","None"))</f>
        <v/>
      </c>
      <c r="AF153" s="54" t="str">
        <f t="shared" si="10"/>
        <v/>
      </c>
      <c r="AG153" s="54" t="str">
        <f t="shared" si="11"/>
        <v/>
      </c>
      <c r="AH153" s="54" t="str">
        <f>IF(I153="","",IF(#REF!&gt;0,TRUE,FALSE))</f>
        <v/>
      </c>
      <c r="AI153" s="54">
        <v>143</v>
      </c>
      <c r="AJ153" s="54"/>
      <c r="AK153" s="54" t="str">
        <f t="array" ref="AK153">IFERROR(INDEX($AI$11:$AI$259, MATCH(0, IF(TRUE=$AF$11:$AF$259, COUNTIF($AK$10:$AK152, $AI$11:$AI$259), ""), 0)),"")</f>
        <v/>
      </c>
      <c r="AL153" s="54" t="str">
        <f t="array" ref="AL153">IFERROR(INDEX($AI$11:$AI$259, MATCH(0, IF(TRUE=$AG$11:$AG$259, COUNTIF($AL$10:$AL152, $AI$11:$AI$259), ""), 0)),"")</f>
        <v/>
      </c>
      <c r="AM153" s="54" t="str">
        <f t="array" ref="AM153">IFERROR(INDEX($AI$11:$AI$259, MATCH(0, IF(TRUE=$AH$11:$AH$259, COUNTIF($AM$10:$AM152, $AI$11:$AI$259), ""), 0)),"")</f>
        <v/>
      </c>
      <c r="AN153" s="54"/>
      <c r="AQ153" s="47">
        <f t="shared" si="12"/>
        <v>0</v>
      </c>
    </row>
    <row r="154" spans="1:43" x14ac:dyDescent="0.3">
      <c r="A154" s="47" t="str">
        <f>IFERROR(INDEX('G-1 All Habitats'!$AG$3:$AG$15,MATCH(E154,'G-1 All Habitats'!$AF$3:$AF$15,0)),"")</f>
        <v/>
      </c>
      <c r="B154" s="47" t="str">
        <f>IFERROR(INDEX('G-8 Condition Look up'!$I$4:$I$130,MATCH(G154,'G-8 Condition Look up'!$A$4:$A$130,0)),"")</f>
        <v/>
      </c>
      <c r="D154" s="77">
        <v>144</v>
      </c>
      <c r="E154" s="78"/>
      <c r="F154" s="79"/>
      <c r="G154" s="69" t="str">
        <f>IFERROR(INDEX('G-1 All Habitats'!$B$3:$B$129,MATCH(F154,'G-1 All Habitats'!$A$3:$A$129,0)),"")</f>
        <v/>
      </c>
      <c r="H154" s="70"/>
      <c r="I154" s="498" t="str">
        <f>IF(G154="","",VLOOKUP(G154,'G-1 All Habitats'!$B$2:$M$129,10,FALSE))</f>
        <v/>
      </c>
      <c r="J154" s="499" t="str">
        <f>IFERROR(VLOOKUP(I154,'G-1 All Habitats'!$V$3:$W$7,2,FALSE),"")</f>
        <v/>
      </c>
      <c r="K154" s="71"/>
      <c r="L154" s="499" t="str">
        <f>IFERROR(INDEX('G-8 Condition Look up'!$A$3:$H$130,MATCH(G154,'G-8 Condition Look up'!$A$3:$A$130,0),MATCH(K154,'G-8 Condition Look up'!$A$3:$H$3,0)),"")</f>
        <v/>
      </c>
      <c r="M154" s="71"/>
      <c r="N154" s="520" t="str">
        <f>IF(M154="","",IF(VLOOKUP(M154,'G-3 Multipliers'!$L$3:$N$6,2,FALSE)=0,"Spatial Data Missing",VLOOKUP(M154,'G-3 Multipliers'!$L$3:$N$6,2,FALSE)))</f>
        <v/>
      </c>
      <c r="O154" s="505" t="str">
        <f>IF(M154="","",IF(VLOOKUP(M154,'G-3 Multipliers'!$L$3:$N$6,3,FALSE)=0,"Spatial Data Missing",VLOOKUP(M154,'G-3 Multipliers'!$L$3:$N$6,3,FALSE)))</f>
        <v/>
      </c>
      <c r="P154" s="506" t="str">
        <f>IFERROR(VLOOKUP(G154,'G-1 All Habitats'!$B$2:$M$129,12,FALSE),"")</f>
        <v/>
      </c>
      <c r="Q154" s="513" t="str">
        <f>IFERROR(IF(P154="","",IF(AND(P154='G-1 All Habitats'!$X$3,T154&gt;0),U154+V154,IF(AND(P154='G-1 All Habitats'!$X$3,S154&gt;0),U154+V154,IF(AND(P154='G-1 All Habitats'!$X$3,AC154&gt;0),"Any Loss Unacceptable ▲",IF(AND(P154='G-1 All Habitats'!$X$3,W154&gt;0),"Any Loss Unacceptable ▲",H154*J154*L154*O154))))),"Check Data ▲")</f>
        <v/>
      </c>
      <c r="R154" s="50"/>
      <c r="S154" s="71"/>
      <c r="T154" s="72"/>
      <c r="U154" s="511" t="str">
        <f t="shared" si="13"/>
        <v/>
      </c>
      <c r="V154" s="511" t="str">
        <f t="shared" si="14"/>
        <v/>
      </c>
      <c r="W154" s="511" t="str">
        <f>IF(E154="","",IF(H154&lt;S154+T154,"Error in Areas ▲",IF(P154&lt;&gt;'G-1 All Habitats'!$X$3,H154-S154-T154,IF(AND(P154='G-1 All Habitats'!$X$3,Y154="Yes"),"Unacceptable Loss",IF(AND(P154='G-1 All Habitats'!$X$3,Y154="No"),AC154,IF(AND(P154='G-1 All Habitats'!$X$3,Y154=""),AC154,IF(AND(P154='G-1 All Habitats'!$X$3,AC154="None",AC154),IF(AND(P154='G-1 All Habitats'!$X$3,AC154&gt;0),H154-S154-T154))))))))</f>
        <v/>
      </c>
      <c r="X154" s="515" t="str">
        <f>IFERROR(IF(H154="","",IF(H154-S154-T154=0&lt;0,"Error in Areas ▲",IF(S154+T154&gt;H154,"Error in Areas ▲",IF(AND(P154='G-1 All Habitats'!$X$3,Y154="Yes"),"Alternative Compensation ✓",IF(W154=0,0,IF(P154='G-1 All Habitats'!$X$3,"Unacceptable Loss ▲",Q154-U154-V154)))))),"Check Data ▲")</f>
        <v/>
      </c>
      <c r="Y154" s="72"/>
      <c r="Z154" s="80"/>
      <c r="AA154" s="81"/>
      <c r="AC154" s="75" t="str">
        <f>IF(P154="","",IF(P154='G-1 All Habitats'!$X$3,H154-S154-T154,"None"))</f>
        <v/>
      </c>
      <c r="AD154" s="76" t="str">
        <f>IFERROR(AC154*J154*L154*#REF!*O154,IF(P154="","","None"))</f>
        <v/>
      </c>
      <c r="AF154" s="54" t="str">
        <f t="shared" si="10"/>
        <v/>
      </c>
      <c r="AG154" s="54" t="str">
        <f t="shared" si="11"/>
        <v/>
      </c>
      <c r="AH154" s="54" t="str">
        <f>IF(I154="","",IF(#REF!&gt;0,TRUE,FALSE))</f>
        <v/>
      </c>
      <c r="AI154" s="54">
        <v>144</v>
      </c>
      <c r="AJ154" s="54"/>
      <c r="AK154" s="54" t="str">
        <f t="array" ref="AK154">IFERROR(INDEX($AI$11:$AI$259, MATCH(0, IF(TRUE=$AF$11:$AF$259, COUNTIF($AK$10:$AK153, $AI$11:$AI$259), ""), 0)),"")</f>
        <v/>
      </c>
      <c r="AL154" s="54" t="str">
        <f t="array" ref="AL154">IFERROR(INDEX($AI$11:$AI$259, MATCH(0, IF(TRUE=$AG$11:$AG$259, COUNTIF($AL$10:$AL153, $AI$11:$AI$259), ""), 0)),"")</f>
        <v/>
      </c>
      <c r="AM154" s="54" t="str">
        <f t="array" ref="AM154">IFERROR(INDEX($AI$11:$AI$259, MATCH(0, IF(TRUE=$AH$11:$AH$259, COUNTIF($AM$10:$AM153, $AI$11:$AI$259), ""), 0)),"")</f>
        <v/>
      </c>
      <c r="AN154" s="54"/>
      <c r="AQ154" s="47">
        <f t="shared" si="12"/>
        <v>0</v>
      </c>
    </row>
    <row r="155" spans="1:43" x14ac:dyDescent="0.3">
      <c r="A155" s="47" t="str">
        <f>IFERROR(INDEX('G-1 All Habitats'!$AG$3:$AG$15,MATCH(E155,'G-1 All Habitats'!$AF$3:$AF$15,0)),"")</f>
        <v/>
      </c>
      <c r="B155" s="47" t="str">
        <f>IFERROR(INDEX('G-8 Condition Look up'!$I$4:$I$130,MATCH(G155,'G-8 Condition Look up'!$A$4:$A$130,0)),"")</f>
        <v/>
      </c>
      <c r="D155" s="77">
        <v>145</v>
      </c>
      <c r="E155" s="78"/>
      <c r="F155" s="79"/>
      <c r="G155" s="69" t="str">
        <f>IFERROR(INDEX('G-1 All Habitats'!$B$3:$B$129,MATCH(F155,'G-1 All Habitats'!$A$3:$A$129,0)),"")</f>
        <v/>
      </c>
      <c r="H155" s="70"/>
      <c r="I155" s="498" t="str">
        <f>IF(G155="","",VLOOKUP(G155,'G-1 All Habitats'!$B$2:$M$129,10,FALSE))</f>
        <v/>
      </c>
      <c r="J155" s="499" t="str">
        <f>IFERROR(VLOOKUP(I155,'G-1 All Habitats'!$V$3:$W$7,2,FALSE),"")</f>
        <v/>
      </c>
      <c r="K155" s="71"/>
      <c r="L155" s="499" t="str">
        <f>IFERROR(INDEX('G-8 Condition Look up'!$A$3:$H$130,MATCH(G155,'G-8 Condition Look up'!$A$3:$A$130,0),MATCH(K155,'G-8 Condition Look up'!$A$3:$H$3,0)),"")</f>
        <v/>
      </c>
      <c r="M155" s="71"/>
      <c r="N155" s="520" t="str">
        <f>IF(M155="","",IF(VLOOKUP(M155,'G-3 Multipliers'!$L$3:$N$6,2,FALSE)=0,"Spatial Data Missing",VLOOKUP(M155,'G-3 Multipliers'!$L$3:$N$6,2,FALSE)))</f>
        <v/>
      </c>
      <c r="O155" s="505" t="str">
        <f>IF(M155="","",IF(VLOOKUP(M155,'G-3 Multipliers'!$L$3:$N$6,3,FALSE)=0,"Spatial Data Missing",VLOOKUP(M155,'G-3 Multipliers'!$L$3:$N$6,3,FALSE)))</f>
        <v/>
      </c>
      <c r="P155" s="506" t="str">
        <f>IFERROR(VLOOKUP(G155,'G-1 All Habitats'!$B$2:$M$129,12,FALSE),"")</f>
        <v/>
      </c>
      <c r="Q155" s="513" t="str">
        <f>IFERROR(IF(P155="","",IF(AND(P155='G-1 All Habitats'!$X$3,T155&gt;0),U155+V155,IF(AND(P155='G-1 All Habitats'!$X$3,S155&gt;0),U155+V155,IF(AND(P155='G-1 All Habitats'!$X$3,AC155&gt;0),"Any Loss Unacceptable ▲",IF(AND(P155='G-1 All Habitats'!$X$3,W155&gt;0),"Any Loss Unacceptable ▲",H155*J155*L155*O155))))),"Check Data ▲")</f>
        <v/>
      </c>
      <c r="R155" s="50"/>
      <c r="S155" s="71"/>
      <c r="T155" s="72"/>
      <c r="U155" s="511" t="str">
        <f t="shared" si="13"/>
        <v/>
      </c>
      <c r="V155" s="511" t="str">
        <f t="shared" si="14"/>
        <v/>
      </c>
      <c r="W155" s="511" t="str">
        <f>IF(E155="","",IF(H155&lt;S155+T155,"Error in Areas ▲",IF(P155&lt;&gt;'G-1 All Habitats'!$X$3,H155-S155-T155,IF(AND(P155='G-1 All Habitats'!$X$3,Y155="Yes"),"Unacceptable Loss",IF(AND(P155='G-1 All Habitats'!$X$3,Y155="No"),AC155,IF(AND(P155='G-1 All Habitats'!$X$3,Y155=""),AC155,IF(AND(P155='G-1 All Habitats'!$X$3,AC155="None",AC155),IF(AND(P155='G-1 All Habitats'!$X$3,AC155&gt;0),H155-S155-T155))))))))</f>
        <v/>
      </c>
      <c r="X155" s="515" t="str">
        <f>IFERROR(IF(H155="","",IF(H155-S155-T155=0&lt;0,"Error in Areas ▲",IF(S155+T155&gt;H155,"Error in Areas ▲",IF(AND(P155='G-1 All Habitats'!$X$3,Y155="Yes"),"Alternative Compensation ✓",IF(W155=0,0,IF(P155='G-1 All Habitats'!$X$3,"Unacceptable Loss ▲",Q155-U155-V155)))))),"Check Data ▲")</f>
        <v/>
      </c>
      <c r="Y155" s="72"/>
      <c r="Z155" s="80"/>
      <c r="AA155" s="81"/>
      <c r="AC155" s="75" t="str">
        <f>IF(P155="","",IF(P155='G-1 All Habitats'!$X$3,H155-S155-T155,"None"))</f>
        <v/>
      </c>
      <c r="AD155" s="76" t="str">
        <f>IFERROR(AC155*J155*L155*#REF!*O155,IF(P155="","","None"))</f>
        <v/>
      </c>
      <c r="AF155" s="54" t="str">
        <f t="shared" si="10"/>
        <v/>
      </c>
      <c r="AG155" s="54" t="str">
        <f t="shared" si="11"/>
        <v/>
      </c>
      <c r="AH155" s="54" t="str">
        <f>IF(I155="","",IF(#REF!&gt;0,TRUE,FALSE))</f>
        <v/>
      </c>
      <c r="AI155" s="54">
        <v>145</v>
      </c>
      <c r="AJ155" s="54"/>
      <c r="AK155" s="54" t="str">
        <f t="array" ref="AK155">IFERROR(INDEX($AI$11:$AI$259, MATCH(0, IF(TRUE=$AF$11:$AF$259, COUNTIF($AK$10:$AK154, $AI$11:$AI$259), ""), 0)),"")</f>
        <v/>
      </c>
      <c r="AL155" s="54" t="str">
        <f t="array" ref="AL155">IFERROR(INDEX($AI$11:$AI$259, MATCH(0, IF(TRUE=$AG$11:$AG$259, COUNTIF($AL$10:$AL154, $AI$11:$AI$259), ""), 0)),"")</f>
        <v/>
      </c>
      <c r="AM155" s="54" t="str">
        <f t="array" ref="AM155">IFERROR(INDEX($AI$11:$AI$259, MATCH(0, IF(TRUE=$AH$11:$AH$259, COUNTIF($AM$10:$AM154, $AI$11:$AI$259), ""), 0)),"")</f>
        <v/>
      </c>
      <c r="AN155" s="54"/>
      <c r="AQ155" s="47">
        <f t="shared" si="12"/>
        <v>0</v>
      </c>
    </row>
    <row r="156" spans="1:43" x14ac:dyDescent="0.3">
      <c r="A156" s="47" t="str">
        <f>IFERROR(INDEX('G-1 All Habitats'!$AG$3:$AG$15,MATCH(E156,'G-1 All Habitats'!$AF$3:$AF$15,0)),"")</f>
        <v/>
      </c>
      <c r="B156" s="47" t="str">
        <f>IFERROR(INDEX('G-8 Condition Look up'!$I$4:$I$130,MATCH(G156,'G-8 Condition Look up'!$A$4:$A$130,0)),"")</f>
        <v/>
      </c>
      <c r="D156" s="77">
        <v>146</v>
      </c>
      <c r="E156" s="78"/>
      <c r="F156" s="79"/>
      <c r="G156" s="69" t="str">
        <f>IFERROR(INDEX('G-1 All Habitats'!$B$3:$B$129,MATCH(F156,'G-1 All Habitats'!$A$3:$A$129,0)),"")</f>
        <v/>
      </c>
      <c r="H156" s="70"/>
      <c r="I156" s="498" t="str">
        <f>IF(G156="","",VLOOKUP(G156,'G-1 All Habitats'!$B$2:$M$129,10,FALSE))</f>
        <v/>
      </c>
      <c r="J156" s="499" t="str">
        <f>IFERROR(VLOOKUP(I156,'G-1 All Habitats'!$V$3:$W$7,2,FALSE),"")</f>
        <v/>
      </c>
      <c r="K156" s="71"/>
      <c r="L156" s="499" t="str">
        <f>IFERROR(INDEX('G-8 Condition Look up'!$A$3:$H$130,MATCH(G156,'G-8 Condition Look up'!$A$3:$A$130,0),MATCH(K156,'G-8 Condition Look up'!$A$3:$H$3,0)),"")</f>
        <v/>
      </c>
      <c r="M156" s="71"/>
      <c r="N156" s="520" t="str">
        <f>IF(M156="","",IF(VLOOKUP(M156,'G-3 Multipliers'!$L$3:$N$6,2,FALSE)=0,"Spatial Data Missing",VLOOKUP(M156,'G-3 Multipliers'!$L$3:$N$6,2,FALSE)))</f>
        <v/>
      </c>
      <c r="O156" s="505" t="str">
        <f>IF(M156="","",IF(VLOOKUP(M156,'G-3 Multipliers'!$L$3:$N$6,3,FALSE)=0,"Spatial Data Missing",VLOOKUP(M156,'G-3 Multipliers'!$L$3:$N$6,3,FALSE)))</f>
        <v/>
      </c>
      <c r="P156" s="506" t="str">
        <f>IFERROR(VLOOKUP(G156,'G-1 All Habitats'!$B$2:$M$129,12,FALSE),"")</f>
        <v/>
      </c>
      <c r="Q156" s="513" t="str">
        <f>IFERROR(IF(P156="","",IF(AND(P156='G-1 All Habitats'!$X$3,T156&gt;0),U156+V156,IF(AND(P156='G-1 All Habitats'!$X$3,S156&gt;0),U156+V156,IF(AND(P156='G-1 All Habitats'!$X$3,AC156&gt;0),"Any Loss Unacceptable ▲",IF(AND(P156='G-1 All Habitats'!$X$3,W156&gt;0),"Any Loss Unacceptable ▲",H156*J156*L156*O156))))),"Check Data ▲")</f>
        <v/>
      </c>
      <c r="R156" s="50"/>
      <c r="S156" s="71"/>
      <c r="T156" s="72"/>
      <c r="U156" s="511" t="str">
        <f t="shared" si="13"/>
        <v/>
      </c>
      <c r="V156" s="511" t="str">
        <f t="shared" si="14"/>
        <v/>
      </c>
      <c r="W156" s="511" t="str">
        <f>IF(E156="","",IF(H156&lt;S156+T156,"Error in Areas ▲",IF(P156&lt;&gt;'G-1 All Habitats'!$X$3,H156-S156-T156,IF(AND(P156='G-1 All Habitats'!$X$3,Y156="Yes"),"Unacceptable Loss",IF(AND(P156='G-1 All Habitats'!$X$3,Y156="No"),AC156,IF(AND(P156='G-1 All Habitats'!$X$3,Y156=""),AC156,IF(AND(P156='G-1 All Habitats'!$X$3,AC156="None",AC156),IF(AND(P156='G-1 All Habitats'!$X$3,AC156&gt;0),H156-S156-T156))))))))</f>
        <v/>
      </c>
      <c r="X156" s="515" t="str">
        <f>IFERROR(IF(H156="","",IF(H156-S156-T156=0&lt;0,"Error in Areas ▲",IF(S156+T156&gt;H156,"Error in Areas ▲",IF(AND(P156='G-1 All Habitats'!$X$3,Y156="Yes"),"Alternative Compensation ✓",IF(W156=0,0,IF(P156='G-1 All Habitats'!$X$3,"Unacceptable Loss ▲",Q156-U156-V156)))))),"Check Data ▲")</f>
        <v/>
      </c>
      <c r="Y156" s="72"/>
      <c r="Z156" s="80"/>
      <c r="AA156" s="81"/>
      <c r="AC156" s="75" t="str">
        <f>IF(P156="","",IF(P156='G-1 All Habitats'!$X$3,H156-S156-T156,"None"))</f>
        <v/>
      </c>
      <c r="AD156" s="76" t="str">
        <f>IFERROR(AC156*J156*L156*#REF!*O156,IF(P156="","","None"))</f>
        <v/>
      </c>
      <c r="AF156" s="54" t="str">
        <f t="shared" si="10"/>
        <v/>
      </c>
      <c r="AG156" s="54" t="str">
        <f t="shared" si="11"/>
        <v/>
      </c>
      <c r="AH156" s="54" t="str">
        <f>IF(I156="","",IF(#REF!&gt;0,TRUE,FALSE))</f>
        <v/>
      </c>
      <c r="AI156" s="54">
        <v>146</v>
      </c>
      <c r="AJ156" s="54"/>
      <c r="AK156" s="54" t="str">
        <f t="array" ref="AK156">IFERROR(INDEX($AI$11:$AI$259, MATCH(0, IF(TRUE=$AF$11:$AF$259, COUNTIF($AK$10:$AK155, $AI$11:$AI$259), ""), 0)),"")</f>
        <v/>
      </c>
      <c r="AL156" s="54" t="str">
        <f t="array" ref="AL156">IFERROR(INDEX($AI$11:$AI$259, MATCH(0, IF(TRUE=$AG$11:$AG$259, COUNTIF($AL$10:$AL155, $AI$11:$AI$259), ""), 0)),"")</f>
        <v/>
      </c>
      <c r="AM156" s="54" t="str">
        <f t="array" ref="AM156">IFERROR(INDEX($AI$11:$AI$259, MATCH(0, IF(TRUE=$AH$11:$AH$259, COUNTIF($AM$10:$AM155, $AI$11:$AI$259), ""), 0)),"")</f>
        <v/>
      </c>
      <c r="AN156" s="54"/>
      <c r="AQ156" s="47">
        <f t="shared" si="12"/>
        <v>0</v>
      </c>
    </row>
    <row r="157" spans="1:43" x14ac:dyDescent="0.3">
      <c r="A157" s="47" t="str">
        <f>IFERROR(INDEX('G-1 All Habitats'!$AG$3:$AG$15,MATCH(E157,'G-1 All Habitats'!$AF$3:$AF$15,0)),"")</f>
        <v/>
      </c>
      <c r="B157" s="47" t="str">
        <f>IFERROR(INDEX('G-8 Condition Look up'!$I$4:$I$130,MATCH(G157,'G-8 Condition Look up'!$A$4:$A$130,0)),"")</f>
        <v/>
      </c>
      <c r="D157" s="77">
        <v>147</v>
      </c>
      <c r="E157" s="78"/>
      <c r="F157" s="79"/>
      <c r="G157" s="69" t="str">
        <f>IFERROR(INDEX('G-1 All Habitats'!$B$3:$B$129,MATCH(F157,'G-1 All Habitats'!$A$3:$A$129,0)),"")</f>
        <v/>
      </c>
      <c r="H157" s="70"/>
      <c r="I157" s="498" t="str">
        <f>IF(G157="","",VLOOKUP(G157,'G-1 All Habitats'!$B$2:$M$129,10,FALSE))</f>
        <v/>
      </c>
      <c r="J157" s="499" t="str">
        <f>IFERROR(VLOOKUP(I157,'G-1 All Habitats'!$V$3:$W$7,2,FALSE),"")</f>
        <v/>
      </c>
      <c r="K157" s="71"/>
      <c r="L157" s="499" t="str">
        <f>IFERROR(INDEX('G-8 Condition Look up'!$A$3:$H$130,MATCH(G157,'G-8 Condition Look up'!$A$3:$A$130,0),MATCH(K157,'G-8 Condition Look up'!$A$3:$H$3,0)),"")</f>
        <v/>
      </c>
      <c r="M157" s="71"/>
      <c r="N157" s="520" t="str">
        <f>IF(M157="","",IF(VLOOKUP(M157,'G-3 Multipliers'!$L$3:$N$6,2,FALSE)=0,"Spatial Data Missing",VLOOKUP(M157,'G-3 Multipliers'!$L$3:$N$6,2,FALSE)))</f>
        <v/>
      </c>
      <c r="O157" s="505" t="str">
        <f>IF(M157="","",IF(VLOOKUP(M157,'G-3 Multipliers'!$L$3:$N$6,3,FALSE)=0,"Spatial Data Missing",VLOOKUP(M157,'G-3 Multipliers'!$L$3:$N$6,3,FALSE)))</f>
        <v/>
      </c>
      <c r="P157" s="506" t="str">
        <f>IFERROR(VLOOKUP(G157,'G-1 All Habitats'!$B$2:$M$129,12,FALSE),"")</f>
        <v/>
      </c>
      <c r="Q157" s="513" t="str">
        <f>IFERROR(IF(P157="","",IF(AND(P157='G-1 All Habitats'!$X$3,T157&gt;0),U157+V157,IF(AND(P157='G-1 All Habitats'!$X$3,S157&gt;0),U157+V157,IF(AND(P157='G-1 All Habitats'!$X$3,AC157&gt;0),"Any Loss Unacceptable ▲",IF(AND(P157='G-1 All Habitats'!$X$3,W157&gt;0),"Any Loss Unacceptable ▲",H157*J157*L157*O157))))),"Check Data ▲")</f>
        <v/>
      </c>
      <c r="R157" s="50"/>
      <c r="S157" s="71"/>
      <c r="T157" s="72"/>
      <c r="U157" s="511" t="str">
        <f t="shared" si="13"/>
        <v/>
      </c>
      <c r="V157" s="511" t="str">
        <f t="shared" si="14"/>
        <v/>
      </c>
      <c r="W157" s="511" t="str">
        <f>IF(E157="","",IF(H157&lt;S157+T157,"Error in Areas ▲",IF(P157&lt;&gt;'G-1 All Habitats'!$X$3,H157-S157-T157,IF(AND(P157='G-1 All Habitats'!$X$3,Y157="Yes"),"Unacceptable Loss",IF(AND(P157='G-1 All Habitats'!$X$3,Y157="No"),AC157,IF(AND(P157='G-1 All Habitats'!$X$3,Y157=""),AC157,IF(AND(P157='G-1 All Habitats'!$X$3,AC157="None",AC157),IF(AND(P157='G-1 All Habitats'!$X$3,AC157&gt;0),H157-S157-T157))))))))</f>
        <v/>
      </c>
      <c r="X157" s="515" t="str">
        <f>IFERROR(IF(H157="","",IF(H157-S157-T157=0&lt;0,"Error in Areas ▲",IF(S157+T157&gt;H157,"Error in Areas ▲",IF(AND(P157='G-1 All Habitats'!$X$3,Y157="Yes"),"Alternative Compensation ✓",IF(W157=0,0,IF(P157='G-1 All Habitats'!$X$3,"Unacceptable Loss ▲",Q157-U157-V157)))))),"Check Data ▲")</f>
        <v/>
      </c>
      <c r="Y157" s="72"/>
      <c r="Z157" s="80"/>
      <c r="AA157" s="81"/>
      <c r="AC157" s="75" t="str">
        <f>IF(P157="","",IF(P157='G-1 All Habitats'!$X$3,H157-S157-T157,"None"))</f>
        <v/>
      </c>
      <c r="AD157" s="76" t="str">
        <f>IFERROR(AC157*J157*L157*#REF!*O157,IF(P157="","","None"))</f>
        <v/>
      </c>
      <c r="AF157" s="54" t="str">
        <f t="shared" si="10"/>
        <v/>
      </c>
      <c r="AG157" s="54" t="str">
        <f t="shared" si="11"/>
        <v/>
      </c>
      <c r="AH157" s="54" t="str">
        <f>IF(I157="","",IF(#REF!&gt;0,TRUE,FALSE))</f>
        <v/>
      </c>
      <c r="AI157" s="54">
        <v>147</v>
      </c>
      <c r="AJ157" s="54"/>
      <c r="AK157" s="54" t="str">
        <f t="array" ref="AK157">IFERROR(INDEX($AI$11:$AI$259, MATCH(0, IF(TRUE=$AF$11:$AF$259, COUNTIF($AK$10:$AK156, $AI$11:$AI$259), ""), 0)),"")</f>
        <v/>
      </c>
      <c r="AL157" s="54" t="str">
        <f t="array" ref="AL157">IFERROR(INDEX($AI$11:$AI$259, MATCH(0, IF(TRUE=$AG$11:$AG$259, COUNTIF($AL$10:$AL156, $AI$11:$AI$259), ""), 0)),"")</f>
        <v/>
      </c>
      <c r="AM157" s="54" t="str">
        <f t="array" ref="AM157">IFERROR(INDEX($AI$11:$AI$259, MATCH(0, IF(TRUE=$AH$11:$AH$259, COUNTIF($AM$10:$AM156, $AI$11:$AI$259), ""), 0)),"")</f>
        <v/>
      </c>
      <c r="AN157" s="54"/>
      <c r="AQ157" s="47">
        <f t="shared" si="12"/>
        <v>0</v>
      </c>
    </row>
    <row r="158" spans="1:43" x14ac:dyDescent="0.3">
      <c r="A158" s="47" t="str">
        <f>IFERROR(INDEX('G-1 All Habitats'!$AG$3:$AG$15,MATCH(E158,'G-1 All Habitats'!$AF$3:$AF$15,0)),"")</f>
        <v/>
      </c>
      <c r="B158" s="47" t="str">
        <f>IFERROR(INDEX('G-8 Condition Look up'!$I$4:$I$130,MATCH(G158,'G-8 Condition Look up'!$A$4:$A$130,0)),"")</f>
        <v/>
      </c>
      <c r="D158" s="77">
        <v>148</v>
      </c>
      <c r="E158" s="78"/>
      <c r="F158" s="79"/>
      <c r="G158" s="69" t="str">
        <f>IFERROR(INDEX('G-1 All Habitats'!$B$3:$B$129,MATCH(F158,'G-1 All Habitats'!$A$3:$A$129,0)),"")</f>
        <v/>
      </c>
      <c r="H158" s="70"/>
      <c r="I158" s="498" t="str">
        <f>IF(G158="","",VLOOKUP(G158,'G-1 All Habitats'!$B$2:$M$129,10,FALSE))</f>
        <v/>
      </c>
      <c r="J158" s="499" t="str">
        <f>IFERROR(VLOOKUP(I158,'G-1 All Habitats'!$V$3:$W$7,2,FALSE),"")</f>
        <v/>
      </c>
      <c r="K158" s="71"/>
      <c r="L158" s="499" t="str">
        <f>IFERROR(INDEX('G-8 Condition Look up'!$A$3:$H$130,MATCH(G158,'G-8 Condition Look up'!$A$3:$A$130,0),MATCH(K158,'G-8 Condition Look up'!$A$3:$H$3,0)),"")</f>
        <v/>
      </c>
      <c r="M158" s="71"/>
      <c r="N158" s="520" t="str">
        <f>IF(M158="","",IF(VLOOKUP(M158,'G-3 Multipliers'!$L$3:$N$6,2,FALSE)=0,"Spatial Data Missing",VLOOKUP(M158,'G-3 Multipliers'!$L$3:$N$6,2,FALSE)))</f>
        <v/>
      </c>
      <c r="O158" s="505" t="str">
        <f>IF(M158="","",IF(VLOOKUP(M158,'G-3 Multipliers'!$L$3:$N$6,3,FALSE)=0,"Spatial Data Missing",VLOOKUP(M158,'G-3 Multipliers'!$L$3:$N$6,3,FALSE)))</f>
        <v/>
      </c>
      <c r="P158" s="506" t="str">
        <f>IFERROR(VLOOKUP(G158,'G-1 All Habitats'!$B$2:$M$129,12,FALSE),"")</f>
        <v/>
      </c>
      <c r="Q158" s="513" t="str">
        <f>IFERROR(IF(P158="","",IF(AND(P158='G-1 All Habitats'!$X$3,T158&gt;0),U158+V158,IF(AND(P158='G-1 All Habitats'!$X$3,S158&gt;0),U158+V158,IF(AND(P158='G-1 All Habitats'!$X$3,AC158&gt;0),"Any Loss Unacceptable ▲",IF(AND(P158='G-1 All Habitats'!$X$3,W158&gt;0),"Any Loss Unacceptable ▲",H158*J158*L158*O158))))),"Check Data ▲")</f>
        <v/>
      </c>
      <c r="R158" s="50"/>
      <c r="S158" s="71"/>
      <c r="T158" s="72"/>
      <c r="U158" s="511" t="str">
        <f t="shared" si="13"/>
        <v/>
      </c>
      <c r="V158" s="511" t="str">
        <f t="shared" si="14"/>
        <v/>
      </c>
      <c r="W158" s="511" t="str">
        <f>IF(E158="","",IF(H158&lt;S158+T158,"Error in Areas ▲",IF(P158&lt;&gt;'G-1 All Habitats'!$X$3,H158-S158-T158,IF(AND(P158='G-1 All Habitats'!$X$3,Y158="Yes"),"Unacceptable Loss",IF(AND(P158='G-1 All Habitats'!$X$3,Y158="No"),AC158,IF(AND(P158='G-1 All Habitats'!$X$3,Y158=""),AC158,IF(AND(P158='G-1 All Habitats'!$X$3,AC158="None",AC158),IF(AND(P158='G-1 All Habitats'!$X$3,AC158&gt;0),H158-S158-T158))))))))</f>
        <v/>
      </c>
      <c r="X158" s="515" t="str">
        <f>IFERROR(IF(H158="","",IF(H158-S158-T158=0&lt;0,"Error in Areas ▲",IF(S158+T158&gt;H158,"Error in Areas ▲",IF(AND(P158='G-1 All Habitats'!$X$3,Y158="Yes"),"Alternative Compensation ✓",IF(W158=0,0,IF(P158='G-1 All Habitats'!$X$3,"Unacceptable Loss ▲",Q158-U158-V158)))))),"Check Data ▲")</f>
        <v/>
      </c>
      <c r="Y158" s="72"/>
      <c r="Z158" s="80"/>
      <c r="AA158" s="81"/>
      <c r="AC158" s="75" t="str">
        <f>IF(P158="","",IF(P158='G-1 All Habitats'!$X$3,H158-S158-T158,"None"))</f>
        <v/>
      </c>
      <c r="AD158" s="76" t="str">
        <f>IFERROR(AC158*J158*L158*#REF!*O158,IF(P158="","","None"))</f>
        <v/>
      </c>
      <c r="AF158" s="54" t="str">
        <f t="shared" si="10"/>
        <v/>
      </c>
      <c r="AG158" s="54" t="str">
        <f t="shared" si="11"/>
        <v/>
      </c>
      <c r="AH158" s="54" t="str">
        <f>IF(I158="","",IF(#REF!&gt;0,TRUE,FALSE))</f>
        <v/>
      </c>
      <c r="AI158" s="54">
        <v>148</v>
      </c>
      <c r="AJ158" s="54"/>
      <c r="AK158" s="54" t="str">
        <f t="array" ref="AK158">IFERROR(INDEX($AI$11:$AI$259, MATCH(0, IF(TRUE=$AF$11:$AF$259, COUNTIF($AK$10:$AK157, $AI$11:$AI$259), ""), 0)),"")</f>
        <v/>
      </c>
      <c r="AL158" s="54" t="str">
        <f t="array" ref="AL158">IFERROR(INDEX($AI$11:$AI$259, MATCH(0, IF(TRUE=$AG$11:$AG$259, COUNTIF($AL$10:$AL157, $AI$11:$AI$259), ""), 0)),"")</f>
        <v/>
      </c>
      <c r="AM158" s="54" t="str">
        <f t="array" ref="AM158">IFERROR(INDEX($AI$11:$AI$259, MATCH(0, IF(TRUE=$AH$11:$AH$259, COUNTIF($AM$10:$AM157, $AI$11:$AI$259), ""), 0)),"")</f>
        <v/>
      </c>
      <c r="AN158" s="54"/>
      <c r="AQ158" s="47">
        <f t="shared" si="12"/>
        <v>0</v>
      </c>
    </row>
    <row r="159" spans="1:43" x14ac:dyDescent="0.3">
      <c r="A159" s="47" t="str">
        <f>IFERROR(INDEX('G-1 All Habitats'!$AG$3:$AG$15,MATCH(E159,'G-1 All Habitats'!$AF$3:$AF$15,0)),"")</f>
        <v/>
      </c>
      <c r="B159" s="47" t="str">
        <f>IFERROR(INDEX('G-8 Condition Look up'!$I$4:$I$130,MATCH(G159,'G-8 Condition Look up'!$A$4:$A$130,0)),"")</f>
        <v/>
      </c>
      <c r="D159" s="77">
        <v>149</v>
      </c>
      <c r="E159" s="78"/>
      <c r="F159" s="79"/>
      <c r="G159" s="69" t="str">
        <f>IFERROR(INDEX('G-1 All Habitats'!$B$3:$B$129,MATCH(F159,'G-1 All Habitats'!$A$3:$A$129,0)),"")</f>
        <v/>
      </c>
      <c r="H159" s="70"/>
      <c r="I159" s="498" t="str">
        <f>IF(G159="","",VLOOKUP(G159,'G-1 All Habitats'!$B$2:$M$129,10,FALSE))</f>
        <v/>
      </c>
      <c r="J159" s="499" t="str">
        <f>IFERROR(VLOOKUP(I159,'G-1 All Habitats'!$V$3:$W$7,2,FALSE),"")</f>
        <v/>
      </c>
      <c r="K159" s="71"/>
      <c r="L159" s="499" t="str">
        <f>IFERROR(INDEX('G-8 Condition Look up'!$A$3:$H$130,MATCH(G159,'G-8 Condition Look up'!$A$3:$A$130,0),MATCH(K159,'G-8 Condition Look up'!$A$3:$H$3,0)),"")</f>
        <v/>
      </c>
      <c r="M159" s="71"/>
      <c r="N159" s="520" t="str">
        <f>IF(M159="","",IF(VLOOKUP(M159,'G-3 Multipliers'!$L$3:$N$6,2,FALSE)=0,"Spatial Data Missing",VLOOKUP(M159,'G-3 Multipliers'!$L$3:$N$6,2,FALSE)))</f>
        <v/>
      </c>
      <c r="O159" s="505" t="str">
        <f>IF(M159="","",IF(VLOOKUP(M159,'G-3 Multipliers'!$L$3:$N$6,3,FALSE)=0,"Spatial Data Missing",VLOOKUP(M159,'G-3 Multipliers'!$L$3:$N$6,3,FALSE)))</f>
        <v/>
      </c>
      <c r="P159" s="506" t="str">
        <f>IFERROR(VLOOKUP(G159,'G-1 All Habitats'!$B$2:$M$129,12,FALSE),"")</f>
        <v/>
      </c>
      <c r="Q159" s="513" t="str">
        <f>IFERROR(IF(P159="","",IF(AND(P159='G-1 All Habitats'!$X$3,T159&gt;0),U159+V159,IF(AND(P159='G-1 All Habitats'!$X$3,S159&gt;0),U159+V159,IF(AND(P159='G-1 All Habitats'!$X$3,AC159&gt;0),"Any Loss Unacceptable ▲",IF(AND(P159='G-1 All Habitats'!$X$3,W159&gt;0),"Any Loss Unacceptable ▲",H159*J159*L159*O159))))),"Check Data ▲")</f>
        <v/>
      </c>
      <c r="R159" s="50"/>
      <c r="S159" s="71"/>
      <c r="T159" s="72"/>
      <c r="U159" s="511" t="str">
        <f t="shared" si="13"/>
        <v/>
      </c>
      <c r="V159" s="511" t="str">
        <f t="shared" si="14"/>
        <v/>
      </c>
      <c r="W159" s="511" t="str">
        <f>IF(E159="","",IF(H159&lt;S159+T159,"Error in Areas ▲",IF(P159&lt;&gt;'G-1 All Habitats'!$X$3,H159-S159-T159,IF(AND(P159='G-1 All Habitats'!$X$3,Y159="Yes"),"Unacceptable Loss",IF(AND(P159='G-1 All Habitats'!$X$3,Y159="No"),AC159,IF(AND(P159='G-1 All Habitats'!$X$3,Y159=""),AC159,IF(AND(P159='G-1 All Habitats'!$X$3,AC159="None",AC159),IF(AND(P159='G-1 All Habitats'!$X$3,AC159&gt;0),H159-S159-T159))))))))</f>
        <v/>
      </c>
      <c r="X159" s="515" t="str">
        <f>IFERROR(IF(H159="","",IF(H159-S159-T159=0&lt;0,"Error in Areas ▲",IF(S159+T159&gt;H159,"Error in Areas ▲",IF(AND(P159='G-1 All Habitats'!$X$3,Y159="Yes"),"Alternative Compensation ✓",IF(W159=0,0,IF(P159='G-1 All Habitats'!$X$3,"Unacceptable Loss ▲",Q159-U159-V159)))))),"Check Data ▲")</f>
        <v/>
      </c>
      <c r="Y159" s="72"/>
      <c r="Z159" s="80"/>
      <c r="AA159" s="81"/>
      <c r="AC159" s="75" t="str">
        <f>IF(P159="","",IF(P159='G-1 All Habitats'!$X$3,H159-S159-T159,"None"))</f>
        <v/>
      </c>
      <c r="AD159" s="76" t="str">
        <f>IFERROR(AC159*J159*L159*#REF!*O159,IF(P159="","","None"))</f>
        <v/>
      </c>
      <c r="AF159" s="54" t="str">
        <f t="shared" si="10"/>
        <v/>
      </c>
      <c r="AG159" s="54" t="str">
        <f t="shared" si="11"/>
        <v/>
      </c>
      <c r="AH159" s="54" t="str">
        <f>IF(I159="","",IF(#REF!&gt;0,TRUE,FALSE))</f>
        <v/>
      </c>
      <c r="AI159" s="54">
        <v>149</v>
      </c>
      <c r="AJ159" s="54"/>
      <c r="AK159" s="54" t="str">
        <f t="array" ref="AK159">IFERROR(INDEX($AI$11:$AI$259, MATCH(0, IF(TRUE=$AF$11:$AF$259, COUNTIF($AK$10:$AK158, $AI$11:$AI$259), ""), 0)),"")</f>
        <v/>
      </c>
      <c r="AL159" s="54" t="str">
        <f t="array" ref="AL159">IFERROR(INDEX($AI$11:$AI$259, MATCH(0, IF(TRUE=$AG$11:$AG$259, COUNTIF($AL$10:$AL158, $AI$11:$AI$259), ""), 0)),"")</f>
        <v/>
      </c>
      <c r="AM159" s="54" t="str">
        <f t="array" ref="AM159">IFERROR(INDEX($AI$11:$AI$259, MATCH(0, IF(TRUE=$AH$11:$AH$259, COUNTIF($AM$10:$AM158, $AI$11:$AI$259), ""), 0)),"")</f>
        <v/>
      </c>
      <c r="AN159" s="54"/>
      <c r="AQ159" s="47">
        <f t="shared" si="12"/>
        <v>0</v>
      </c>
    </row>
    <row r="160" spans="1:43" x14ac:dyDescent="0.3">
      <c r="A160" s="47" t="str">
        <f>IFERROR(INDEX('G-1 All Habitats'!$AG$3:$AG$15,MATCH(E160,'G-1 All Habitats'!$AF$3:$AF$15,0)),"")</f>
        <v/>
      </c>
      <c r="B160" s="47" t="str">
        <f>IFERROR(INDEX('G-8 Condition Look up'!$I$4:$I$130,MATCH(G160,'G-8 Condition Look up'!$A$4:$A$130,0)),"")</f>
        <v/>
      </c>
      <c r="D160" s="77">
        <v>150</v>
      </c>
      <c r="E160" s="78"/>
      <c r="F160" s="79"/>
      <c r="G160" s="69" t="str">
        <f>IFERROR(INDEX('G-1 All Habitats'!$B$3:$B$129,MATCH(F160,'G-1 All Habitats'!$A$3:$A$129,0)),"")</f>
        <v/>
      </c>
      <c r="H160" s="70"/>
      <c r="I160" s="498" t="str">
        <f>IF(G160="","",VLOOKUP(G160,'G-1 All Habitats'!$B$2:$M$129,10,FALSE))</f>
        <v/>
      </c>
      <c r="J160" s="499" t="str">
        <f>IFERROR(VLOOKUP(I160,'G-1 All Habitats'!$V$3:$W$7,2,FALSE),"")</f>
        <v/>
      </c>
      <c r="K160" s="71"/>
      <c r="L160" s="499" t="str">
        <f>IFERROR(INDEX('G-8 Condition Look up'!$A$3:$H$130,MATCH(G160,'G-8 Condition Look up'!$A$3:$A$130,0),MATCH(K160,'G-8 Condition Look up'!$A$3:$H$3,0)),"")</f>
        <v/>
      </c>
      <c r="M160" s="71"/>
      <c r="N160" s="520" t="str">
        <f>IF(M160="","",IF(VLOOKUP(M160,'G-3 Multipliers'!$L$3:$N$6,2,FALSE)=0,"Spatial Data Missing",VLOOKUP(M160,'G-3 Multipliers'!$L$3:$N$6,2,FALSE)))</f>
        <v/>
      </c>
      <c r="O160" s="505" t="str">
        <f>IF(M160="","",IF(VLOOKUP(M160,'G-3 Multipliers'!$L$3:$N$6,3,FALSE)=0,"Spatial Data Missing",VLOOKUP(M160,'G-3 Multipliers'!$L$3:$N$6,3,FALSE)))</f>
        <v/>
      </c>
      <c r="P160" s="506" t="str">
        <f>IFERROR(VLOOKUP(G160,'G-1 All Habitats'!$B$2:$M$129,12,FALSE),"")</f>
        <v/>
      </c>
      <c r="Q160" s="513" t="str">
        <f>IFERROR(IF(P160="","",IF(AND(P160='G-1 All Habitats'!$X$3,T160&gt;0),U160+V160,IF(AND(P160='G-1 All Habitats'!$X$3,S160&gt;0),U160+V160,IF(AND(P160='G-1 All Habitats'!$X$3,AC160&gt;0),"Any Loss Unacceptable ▲",IF(AND(P160='G-1 All Habitats'!$X$3,W160&gt;0),"Any Loss Unacceptable ▲",H160*J160*L160*O160))))),"Check Data ▲")</f>
        <v/>
      </c>
      <c r="R160" s="50"/>
      <c r="S160" s="71"/>
      <c r="T160" s="72"/>
      <c r="U160" s="511" t="str">
        <f t="shared" si="13"/>
        <v/>
      </c>
      <c r="V160" s="511" t="str">
        <f t="shared" si="14"/>
        <v/>
      </c>
      <c r="W160" s="511" t="str">
        <f>IF(E160="","",IF(H160&lt;S160+T160,"Error in Areas ▲",IF(P160&lt;&gt;'G-1 All Habitats'!$X$3,H160-S160-T160,IF(AND(P160='G-1 All Habitats'!$X$3,Y160="Yes"),"Unacceptable Loss",IF(AND(P160='G-1 All Habitats'!$X$3,Y160="No"),AC160,IF(AND(P160='G-1 All Habitats'!$X$3,Y160=""),AC160,IF(AND(P160='G-1 All Habitats'!$X$3,AC160="None",AC160),IF(AND(P160='G-1 All Habitats'!$X$3,AC160&gt;0),H160-S160-T160))))))))</f>
        <v/>
      </c>
      <c r="X160" s="515" t="str">
        <f>IFERROR(IF(H160="","",IF(H160-S160-T160=0&lt;0,"Error in Areas ▲",IF(S160+T160&gt;H160,"Error in Areas ▲",IF(AND(P160='G-1 All Habitats'!$X$3,Y160="Yes"),"Alternative Compensation ✓",IF(W160=0,0,IF(P160='G-1 All Habitats'!$X$3,"Unacceptable Loss ▲",Q160-U160-V160)))))),"Check Data ▲")</f>
        <v/>
      </c>
      <c r="Y160" s="72"/>
      <c r="Z160" s="80"/>
      <c r="AA160" s="81"/>
      <c r="AC160" s="75" t="str">
        <f>IF(P160="","",IF(P160='G-1 All Habitats'!$X$3,H160-S160-T160,"None"))</f>
        <v/>
      </c>
      <c r="AD160" s="76" t="str">
        <f>IFERROR(AC160*J160*L160*#REF!*O160,IF(P160="","","None"))</f>
        <v/>
      </c>
      <c r="AF160" s="54" t="str">
        <f t="shared" si="10"/>
        <v/>
      </c>
      <c r="AG160" s="54" t="str">
        <f t="shared" si="11"/>
        <v/>
      </c>
      <c r="AH160" s="54" t="str">
        <f>IF(I160="","",IF(#REF!&gt;0,TRUE,FALSE))</f>
        <v/>
      </c>
      <c r="AI160" s="54">
        <v>150</v>
      </c>
      <c r="AJ160" s="54"/>
      <c r="AK160" s="54" t="str">
        <f t="array" ref="AK160">IFERROR(INDEX($AI$11:$AI$259, MATCH(0, IF(TRUE=$AF$11:$AF$259, COUNTIF($AK$10:$AK159, $AI$11:$AI$259), ""), 0)),"")</f>
        <v/>
      </c>
      <c r="AL160" s="54" t="str">
        <f t="array" ref="AL160">IFERROR(INDEX($AI$11:$AI$259, MATCH(0, IF(TRUE=$AG$11:$AG$259, COUNTIF($AL$10:$AL159, $AI$11:$AI$259), ""), 0)),"")</f>
        <v/>
      </c>
      <c r="AM160" s="54" t="str">
        <f t="array" ref="AM160">IFERROR(INDEX($AI$11:$AI$259, MATCH(0, IF(TRUE=$AH$11:$AH$259, COUNTIF($AM$10:$AM159, $AI$11:$AI$259), ""), 0)),"")</f>
        <v/>
      </c>
      <c r="AN160" s="54"/>
      <c r="AQ160" s="47">
        <f t="shared" si="12"/>
        <v>0</v>
      </c>
    </row>
    <row r="161" spans="1:43" x14ac:dyDescent="0.3">
      <c r="A161" s="47" t="str">
        <f>IFERROR(INDEX('G-1 All Habitats'!$AG$3:$AG$15,MATCH(E161,'G-1 All Habitats'!$AF$3:$AF$15,0)),"")</f>
        <v/>
      </c>
      <c r="B161" s="47" t="str">
        <f>IFERROR(INDEX('G-8 Condition Look up'!$I$4:$I$130,MATCH(G161,'G-8 Condition Look up'!$A$4:$A$130,0)),"")</f>
        <v/>
      </c>
      <c r="D161" s="77">
        <v>151</v>
      </c>
      <c r="E161" s="78"/>
      <c r="F161" s="79"/>
      <c r="G161" s="69" t="str">
        <f>IFERROR(INDEX('G-1 All Habitats'!$B$3:$B$129,MATCH(F161,'G-1 All Habitats'!$A$3:$A$129,0)),"")</f>
        <v/>
      </c>
      <c r="H161" s="70"/>
      <c r="I161" s="498" t="str">
        <f>IF(G161="","",VLOOKUP(G161,'G-1 All Habitats'!$B$2:$M$129,10,FALSE))</f>
        <v/>
      </c>
      <c r="J161" s="499" t="str">
        <f>IFERROR(VLOOKUP(I161,'G-1 All Habitats'!$V$3:$W$7,2,FALSE),"")</f>
        <v/>
      </c>
      <c r="K161" s="71"/>
      <c r="L161" s="499" t="str">
        <f>IFERROR(INDEX('G-8 Condition Look up'!$A$3:$H$130,MATCH(G161,'G-8 Condition Look up'!$A$3:$A$130,0),MATCH(K161,'G-8 Condition Look up'!$A$3:$H$3,0)),"")</f>
        <v/>
      </c>
      <c r="M161" s="71"/>
      <c r="N161" s="520" t="str">
        <f>IF(M161="","",IF(VLOOKUP(M161,'G-3 Multipliers'!$L$3:$N$6,2,FALSE)=0,"Spatial Data Missing",VLOOKUP(M161,'G-3 Multipliers'!$L$3:$N$6,2,FALSE)))</f>
        <v/>
      </c>
      <c r="O161" s="505" t="str">
        <f>IF(M161="","",IF(VLOOKUP(M161,'G-3 Multipliers'!$L$3:$N$6,3,FALSE)=0,"Spatial Data Missing",VLOOKUP(M161,'G-3 Multipliers'!$L$3:$N$6,3,FALSE)))</f>
        <v/>
      </c>
      <c r="P161" s="506" t="str">
        <f>IFERROR(VLOOKUP(G161,'G-1 All Habitats'!$B$2:$M$129,12,FALSE),"")</f>
        <v/>
      </c>
      <c r="Q161" s="513" t="str">
        <f>IFERROR(IF(P161="","",IF(AND(P161='G-1 All Habitats'!$X$3,T161&gt;0),U161+V161,IF(AND(P161='G-1 All Habitats'!$X$3,S161&gt;0),U161+V161,IF(AND(P161='G-1 All Habitats'!$X$3,AC161&gt;0),"Any Loss Unacceptable ▲",IF(AND(P161='G-1 All Habitats'!$X$3,W161&gt;0),"Any Loss Unacceptable ▲",H161*J161*L161*O161))))),"Check Data ▲")</f>
        <v/>
      </c>
      <c r="R161" s="50"/>
      <c r="S161" s="71"/>
      <c r="T161" s="72"/>
      <c r="U161" s="511" t="str">
        <f t="shared" si="13"/>
        <v/>
      </c>
      <c r="V161" s="511" t="str">
        <f t="shared" si="14"/>
        <v/>
      </c>
      <c r="W161" s="511" t="str">
        <f>IF(E161="","",IF(H161&lt;S161+T161,"Error in Areas ▲",IF(P161&lt;&gt;'G-1 All Habitats'!$X$3,H161-S161-T161,IF(AND(P161='G-1 All Habitats'!$X$3,Y161="Yes"),"Unacceptable Loss",IF(AND(P161='G-1 All Habitats'!$X$3,Y161="No"),AC161,IF(AND(P161='G-1 All Habitats'!$X$3,Y161=""),AC161,IF(AND(P161='G-1 All Habitats'!$X$3,AC161="None",AC161),IF(AND(P161='G-1 All Habitats'!$X$3,AC161&gt;0),H161-S161-T161))))))))</f>
        <v/>
      </c>
      <c r="X161" s="515" t="str">
        <f>IFERROR(IF(H161="","",IF(H161-S161-T161=0&lt;0,"Error in Areas ▲",IF(S161+T161&gt;H161,"Error in Areas ▲",IF(AND(P161='G-1 All Habitats'!$X$3,Y161="Yes"),"Alternative Compensation ✓",IF(W161=0,0,IF(P161='G-1 All Habitats'!$X$3,"Unacceptable Loss ▲",Q161-U161-V161)))))),"Check Data ▲")</f>
        <v/>
      </c>
      <c r="Y161" s="72"/>
      <c r="Z161" s="80"/>
      <c r="AA161" s="81"/>
      <c r="AC161" s="75" t="str">
        <f>IF(P161="","",IF(P161='G-1 All Habitats'!$X$3,H161-S161-T161,"None"))</f>
        <v/>
      </c>
      <c r="AD161" s="76" t="str">
        <f>IFERROR(AC161*J161*L161*#REF!*O161,IF(P161="","","None"))</f>
        <v/>
      </c>
      <c r="AF161" s="54" t="str">
        <f t="shared" si="10"/>
        <v/>
      </c>
      <c r="AG161" s="54" t="str">
        <f t="shared" si="11"/>
        <v/>
      </c>
      <c r="AH161" s="54" t="str">
        <f>IF(I161="","",IF(#REF!&gt;0,TRUE,FALSE))</f>
        <v/>
      </c>
      <c r="AI161" s="54">
        <v>151</v>
      </c>
      <c r="AJ161" s="54"/>
      <c r="AK161" s="54" t="str">
        <f t="array" ref="AK161">IFERROR(INDEX($AI$11:$AI$259, MATCH(0, IF(TRUE=$AF$11:$AF$259, COUNTIF($AK$10:$AK160, $AI$11:$AI$259), ""), 0)),"")</f>
        <v/>
      </c>
      <c r="AL161" s="54" t="str">
        <f t="array" ref="AL161">IFERROR(INDEX($AI$11:$AI$259, MATCH(0, IF(TRUE=$AG$11:$AG$259, COUNTIF($AL$10:$AL160, $AI$11:$AI$259), ""), 0)),"")</f>
        <v/>
      </c>
      <c r="AM161" s="54" t="str">
        <f t="array" ref="AM161">IFERROR(INDEX($AI$11:$AI$259, MATCH(0, IF(TRUE=$AH$11:$AH$259, COUNTIF($AM$10:$AM160, $AI$11:$AI$259), ""), 0)),"")</f>
        <v/>
      </c>
      <c r="AN161" s="54"/>
      <c r="AQ161" s="47">
        <f t="shared" si="12"/>
        <v>0</v>
      </c>
    </row>
    <row r="162" spans="1:43" x14ac:dyDescent="0.3">
      <c r="A162" s="47" t="str">
        <f>IFERROR(INDEX('G-1 All Habitats'!$AG$3:$AG$15,MATCH(E162,'G-1 All Habitats'!$AF$3:$AF$15,0)),"")</f>
        <v/>
      </c>
      <c r="B162" s="47" t="str">
        <f>IFERROR(INDEX('G-8 Condition Look up'!$I$4:$I$130,MATCH(G162,'G-8 Condition Look up'!$A$4:$A$130,0)),"")</f>
        <v/>
      </c>
      <c r="D162" s="77">
        <v>152</v>
      </c>
      <c r="E162" s="78"/>
      <c r="F162" s="79"/>
      <c r="G162" s="69" t="str">
        <f>IFERROR(INDEX('G-1 All Habitats'!$B$3:$B$129,MATCH(F162,'G-1 All Habitats'!$A$3:$A$129,0)),"")</f>
        <v/>
      </c>
      <c r="H162" s="70"/>
      <c r="I162" s="498" t="str">
        <f>IF(G162="","",VLOOKUP(G162,'G-1 All Habitats'!$B$2:$M$129,10,FALSE))</f>
        <v/>
      </c>
      <c r="J162" s="499" t="str">
        <f>IFERROR(VLOOKUP(I162,'G-1 All Habitats'!$V$3:$W$7,2,FALSE),"")</f>
        <v/>
      </c>
      <c r="K162" s="71"/>
      <c r="L162" s="499" t="str">
        <f>IFERROR(INDEX('G-8 Condition Look up'!$A$3:$H$130,MATCH(G162,'G-8 Condition Look up'!$A$3:$A$130,0),MATCH(K162,'G-8 Condition Look up'!$A$3:$H$3,0)),"")</f>
        <v/>
      </c>
      <c r="M162" s="71"/>
      <c r="N162" s="520" t="str">
        <f>IF(M162="","",IF(VLOOKUP(M162,'G-3 Multipliers'!$L$3:$N$6,2,FALSE)=0,"Spatial Data Missing",VLOOKUP(M162,'G-3 Multipliers'!$L$3:$N$6,2,FALSE)))</f>
        <v/>
      </c>
      <c r="O162" s="505" t="str">
        <f>IF(M162="","",IF(VLOOKUP(M162,'G-3 Multipliers'!$L$3:$N$6,3,FALSE)=0,"Spatial Data Missing",VLOOKUP(M162,'G-3 Multipliers'!$L$3:$N$6,3,FALSE)))</f>
        <v/>
      </c>
      <c r="P162" s="506" t="str">
        <f>IFERROR(VLOOKUP(G162,'G-1 All Habitats'!$B$2:$M$129,12,FALSE),"")</f>
        <v/>
      </c>
      <c r="Q162" s="513" t="str">
        <f>IFERROR(IF(P162="","",IF(AND(P162='G-1 All Habitats'!$X$3,T162&gt;0),U162+V162,IF(AND(P162='G-1 All Habitats'!$X$3,S162&gt;0),U162+V162,IF(AND(P162='G-1 All Habitats'!$X$3,AC162&gt;0),"Any Loss Unacceptable ▲",IF(AND(P162='G-1 All Habitats'!$X$3,W162&gt;0),"Any Loss Unacceptable ▲",H162*J162*L162*O162))))),"Check Data ▲")</f>
        <v/>
      </c>
      <c r="R162" s="50"/>
      <c r="S162" s="71"/>
      <c r="T162" s="72"/>
      <c r="U162" s="511" t="str">
        <f t="shared" si="13"/>
        <v/>
      </c>
      <c r="V162" s="511" t="str">
        <f t="shared" si="14"/>
        <v/>
      </c>
      <c r="W162" s="511" t="str">
        <f>IF(E162="","",IF(H162&lt;S162+T162,"Error in Areas ▲",IF(P162&lt;&gt;'G-1 All Habitats'!$X$3,H162-S162-T162,IF(AND(P162='G-1 All Habitats'!$X$3,Y162="Yes"),"Unacceptable Loss",IF(AND(P162='G-1 All Habitats'!$X$3,Y162="No"),AC162,IF(AND(P162='G-1 All Habitats'!$X$3,Y162=""),AC162,IF(AND(P162='G-1 All Habitats'!$X$3,AC162="None",AC162),IF(AND(P162='G-1 All Habitats'!$X$3,AC162&gt;0),H162-S162-T162))))))))</f>
        <v/>
      </c>
      <c r="X162" s="515" t="str">
        <f>IFERROR(IF(H162="","",IF(H162-S162-T162=0&lt;0,"Error in Areas ▲",IF(S162+T162&gt;H162,"Error in Areas ▲",IF(AND(P162='G-1 All Habitats'!$X$3,Y162="Yes"),"Alternative Compensation ✓",IF(W162=0,0,IF(P162='G-1 All Habitats'!$X$3,"Unacceptable Loss ▲",Q162-U162-V162)))))),"Check Data ▲")</f>
        <v/>
      </c>
      <c r="Y162" s="72"/>
      <c r="Z162" s="80"/>
      <c r="AA162" s="81"/>
      <c r="AC162" s="75" t="str">
        <f>IF(P162="","",IF(P162='G-1 All Habitats'!$X$3,H162-S162-T162,"None"))</f>
        <v/>
      </c>
      <c r="AD162" s="76" t="str">
        <f>IFERROR(AC162*J162*L162*#REF!*O162,IF(P162="","","None"))</f>
        <v/>
      </c>
      <c r="AF162" s="54" t="str">
        <f t="shared" si="10"/>
        <v/>
      </c>
      <c r="AG162" s="54" t="str">
        <f t="shared" si="11"/>
        <v/>
      </c>
      <c r="AH162" s="54" t="str">
        <f>IF(I162="","",IF(#REF!&gt;0,TRUE,FALSE))</f>
        <v/>
      </c>
      <c r="AI162" s="54">
        <v>152</v>
      </c>
      <c r="AJ162" s="54"/>
      <c r="AK162" s="54" t="str">
        <f t="array" ref="AK162">IFERROR(INDEX($AI$11:$AI$259, MATCH(0, IF(TRUE=$AF$11:$AF$259, COUNTIF($AK$10:$AK161, $AI$11:$AI$259), ""), 0)),"")</f>
        <v/>
      </c>
      <c r="AL162" s="54" t="str">
        <f t="array" ref="AL162">IFERROR(INDEX($AI$11:$AI$259, MATCH(0, IF(TRUE=$AG$11:$AG$259, COUNTIF($AL$10:$AL161, $AI$11:$AI$259), ""), 0)),"")</f>
        <v/>
      </c>
      <c r="AM162" s="54" t="str">
        <f t="array" ref="AM162">IFERROR(INDEX($AI$11:$AI$259, MATCH(0, IF(TRUE=$AH$11:$AH$259, COUNTIF($AM$10:$AM161, $AI$11:$AI$259), ""), 0)),"")</f>
        <v/>
      </c>
      <c r="AN162" s="54"/>
      <c r="AQ162" s="47">
        <f t="shared" si="12"/>
        <v>0</v>
      </c>
    </row>
    <row r="163" spans="1:43" x14ac:dyDescent="0.3">
      <c r="A163" s="47" t="str">
        <f>IFERROR(INDEX('G-1 All Habitats'!$AG$3:$AG$15,MATCH(E163,'G-1 All Habitats'!$AF$3:$AF$15,0)),"")</f>
        <v/>
      </c>
      <c r="B163" s="47" t="str">
        <f>IFERROR(INDEX('G-8 Condition Look up'!$I$4:$I$130,MATCH(G163,'G-8 Condition Look up'!$A$4:$A$130,0)),"")</f>
        <v/>
      </c>
      <c r="D163" s="77">
        <v>153</v>
      </c>
      <c r="E163" s="78"/>
      <c r="F163" s="79"/>
      <c r="G163" s="69" t="str">
        <f>IFERROR(INDEX('G-1 All Habitats'!$B$3:$B$129,MATCH(F163,'G-1 All Habitats'!$A$3:$A$129,0)),"")</f>
        <v/>
      </c>
      <c r="H163" s="70"/>
      <c r="I163" s="498" t="str">
        <f>IF(G163="","",VLOOKUP(G163,'G-1 All Habitats'!$B$2:$M$129,10,FALSE))</f>
        <v/>
      </c>
      <c r="J163" s="499" t="str">
        <f>IFERROR(VLOOKUP(I163,'G-1 All Habitats'!$V$3:$W$7,2,FALSE),"")</f>
        <v/>
      </c>
      <c r="K163" s="71"/>
      <c r="L163" s="499" t="str">
        <f>IFERROR(INDEX('G-8 Condition Look up'!$A$3:$H$130,MATCH(G163,'G-8 Condition Look up'!$A$3:$A$130,0),MATCH(K163,'G-8 Condition Look up'!$A$3:$H$3,0)),"")</f>
        <v/>
      </c>
      <c r="M163" s="71"/>
      <c r="N163" s="520" t="str">
        <f>IF(M163="","",IF(VLOOKUP(M163,'G-3 Multipliers'!$L$3:$N$6,2,FALSE)=0,"Spatial Data Missing",VLOOKUP(M163,'G-3 Multipliers'!$L$3:$N$6,2,FALSE)))</f>
        <v/>
      </c>
      <c r="O163" s="505" t="str">
        <f>IF(M163="","",IF(VLOOKUP(M163,'G-3 Multipliers'!$L$3:$N$6,3,FALSE)=0,"Spatial Data Missing",VLOOKUP(M163,'G-3 Multipliers'!$L$3:$N$6,3,FALSE)))</f>
        <v/>
      </c>
      <c r="P163" s="506" t="str">
        <f>IFERROR(VLOOKUP(G163,'G-1 All Habitats'!$B$2:$M$129,12,FALSE),"")</f>
        <v/>
      </c>
      <c r="Q163" s="513" t="str">
        <f>IFERROR(IF(P163="","",IF(AND(P163='G-1 All Habitats'!$X$3,T163&gt;0),U163+V163,IF(AND(P163='G-1 All Habitats'!$X$3,S163&gt;0),U163+V163,IF(AND(P163='G-1 All Habitats'!$X$3,AC163&gt;0),"Any Loss Unacceptable ▲",IF(AND(P163='G-1 All Habitats'!$X$3,W163&gt;0),"Any Loss Unacceptable ▲",H163*J163*L163*O163))))),"Check Data ▲")</f>
        <v/>
      </c>
      <c r="R163" s="50"/>
      <c r="S163" s="71"/>
      <c r="T163" s="72"/>
      <c r="U163" s="511" t="str">
        <f t="shared" si="13"/>
        <v/>
      </c>
      <c r="V163" s="511" t="str">
        <f t="shared" si="14"/>
        <v/>
      </c>
      <c r="W163" s="511" t="str">
        <f>IF(E163="","",IF(H163&lt;S163+T163,"Error in Areas ▲",IF(P163&lt;&gt;'G-1 All Habitats'!$X$3,H163-S163-T163,IF(AND(P163='G-1 All Habitats'!$X$3,Y163="Yes"),"Unacceptable Loss",IF(AND(P163='G-1 All Habitats'!$X$3,Y163="No"),AC163,IF(AND(P163='G-1 All Habitats'!$X$3,Y163=""),AC163,IF(AND(P163='G-1 All Habitats'!$X$3,AC163="None",AC163),IF(AND(P163='G-1 All Habitats'!$X$3,AC163&gt;0),H163-S163-T163))))))))</f>
        <v/>
      </c>
      <c r="X163" s="515" t="str">
        <f>IFERROR(IF(H163="","",IF(H163-S163-T163=0&lt;0,"Error in Areas ▲",IF(S163+T163&gt;H163,"Error in Areas ▲",IF(AND(P163='G-1 All Habitats'!$X$3,Y163="Yes"),"Alternative Compensation ✓",IF(W163=0,0,IF(P163='G-1 All Habitats'!$X$3,"Unacceptable Loss ▲",Q163-U163-V163)))))),"Check Data ▲")</f>
        <v/>
      </c>
      <c r="Y163" s="72"/>
      <c r="Z163" s="80"/>
      <c r="AA163" s="81"/>
      <c r="AC163" s="75" t="str">
        <f>IF(P163="","",IF(P163='G-1 All Habitats'!$X$3,H163-S163-T163,"None"))</f>
        <v/>
      </c>
      <c r="AD163" s="76" t="str">
        <f>IFERROR(AC163*J163*L163*#REF!*O163,IF(P163="","","None"))</f>
        <v/>
      </c>
      <c r="AF163" s="54" t="str">
        <f t="shared" si="10"/>
        <v/>
      </c>
      <c r="AG163" s="54" t="str">
        <f t="shared" si="11"/>
        <v/>
      </c>
      <c r="AH163" s="54" t="str">
        <f>IF(I163="","",IF(#REF!&gt;0,TRUE,FALSE))</f>
        <v/>
      </c>
      <c r="AI163" s="54">
        <v>153</v>
      </c>
      <c r="AJ163" s="54"/>
      <c r="AK163" s="54" t="str">
        <f t="array" ref="AK163">IFERROR(INDEX($AI$11:$AI$259, MATCH(0, IF(TRUE=$AF$11:$AF$259, COUNTIF($AK$10:$AK162, $AI$11:$AI$259), ""), 0)),"")</f>
        <v/>
      </c>
      <c r="AL163" s="54" t="str">
        <f t="array" ref="AL163">IFERROR(INDEX($AI$11:$AI$259, MATCH(0, IF(TRUE=$AG$11:$AG$259, COUNTIF($AL$10:$AL162, $AI$11:$AI$259), ""), 0)),"")</f>
        <v/>
      </c>
      <c r="AM163" s="54" t="str">
        <f t="array" ref="AM163">IFERROR(INDEX($AI$11:$AI$259, MATCH(0, IF(TRUE=$AH$11:$AH$259, COUNTIF($AM$10:$AM162, $AI$11:$AI$259), ""), 0)),"")</f>
        <v/>
      </c>
      <c r="AN163" s="54"/>
      <c r="AQ163" s="47">
        <f t="shared" si="12"/>
        <v>0</v>
      </c>
    </row>
    <row r="164" spans="1:43" x14ac:dyDescent="0.3">
      <c r="A164" s="47" t="str">
        <f>IFERROR(INDEX('G-1 All Habitats'!$AG$3:$AG$15,MATCH(E164,'G-1 All Habitats'!$AF$3:$AF$15,0)),"")</f>
        <v/>
      </c>
      <c r="B164" s="47" t="str">
        <f>IFERROR(INDEX('G-8 Condition Look up'!$I$4:$I$130,MATCH(G164,'G-8 Condition Look up'!$A$4:$A$130,0)),"")</f>
        <v/>
      </c>
      <c r="D164" s="77">
        <v>154</v>
      </c>
      <c r="E164" s="78"/>
      <c r="F164" s="79"/>
      <c r="G164" s="69" t="str">
        <f>IFERROR(INDEX('G-1 All Habitats'!$B$3:$B$129,MATCH(F164,'G-1 All Habitats'!$A$3:$A$129,0)),"")</f>
        <v/>
      </c>
      <c r="H164" s="70"/>
      <c r="I164" s="498" t="str">
        <f>IF(G164="","",VLOOKUP(G164,'G-1 All Habitats'!$B$2:$M$129,10,FALSE))</f>
        <v/>
      </c>
      <c r="J164" s="499" t="str">
        <f>IFERROR(VLOOKUP(I164,'G-1 All Habitats'!$V$3:$W$7,2,FALSE),"")</f>
        <v/>
      </c>
      <c r="K164" s="71"/>
      <c r="L164" s="499" t="str">
        <f>IFERROR(INDEX('G-8 Condition Look up'!$A$3:$H$130,MATCH(G164,'G-8 Condition Look up'!$A$3:$A$130,0),MATCH(K164,'G-8 Condition Look up'!$A$3:$H$3,0)),"")</f>
        <v/>
      </c>
      <c r="M164" s="71"/>
      <c r="N164" s="520" t="str">
        <f>IF(M164="","",IF(VLOOKUP(M164,'G-3 Multipliers'!$L$3:$N$6,2,FALSE)=0,"Spatial Data Missing",VLOOKUP(M164,'G-3 Multipliers'!$L$3:$N$6,2,FALSE)))</f>
        <v/>
      </c>
      <c r="O164" s="505" t="str">
        <f>IF(M164="","",IF(VLOOKUP(M164,'G-3 Multipliers'!$L$3:$N$6,3,FALSE)=0,"Spatial Data Missing",VLOOKUP(M164,'G-3 Multipliers'!$L$3:$N$6,3,FALSE)))</f>
        <v/>
      </c>
      <c r="P164" s="506" t="str">
        <f>IFERROR(VLOOKUP(G164,'G-1 All Habitats'!$B$2:$M$129,12,FALSE),"")</f>
        <v/>
      </c>
      <c r="Q164" s="513" t="str">
        <f>IFERROR(IF(P164="","",IF(AND(P164='G-1 All Habitats'!$X$3,T164&gt;0),U164+V164,IF(AND(P164='G-1 All Habitats'!$X$3,S164&gt;0),U164+V164,IF(AND(P164='G-1 All Habitats'!$X$3,AC164&gt;0),"Any Loss Unacceptable ▲",IF(AND(P164='G-1 All Habitats'!$X$3,W164&gt;0),"Any Loss Unacceptable ▲",H164*J164*L164*O164))))),"Check Data ▲")</f>
        <v/>
      </c>
      <c r="R164" s="50"/>
      <c r="S164" s="71"/>
      <c r="T164" s="72"/>
      <c r="U164" s="511" t="str">
        <f t="shared" si="13"/>
        <v/>
      </c>
      <c r="V164" s="511" t="str">
        <f t="shared" si="14"/>
        <v/>
      </c>
      <c r="W164" s="511" t="str">
        <f>IF(E164="","",IF(H164&lt;S164+T164,"Error in Areas ▲",IF(P164&lt;&gt;'G-1 All Habitats'!$X$3,H164-S164-T164,IF(AND(P164='G-1 All Habitats'!$X$3,Y164="Yes"),"Unacceptable Loss",IF(AND(P164='G-1 All Habitats'!$X$3,Y164="No"),AC164,IF(AND(P164='G-1 All Habitats'!$X$3,Y164=""),AC164,IF(AND(P164='G-1 All Habitats'!$X$3,AC164="None",AC164),IF(AND(P164='G-1 All Habitats'!$X$3,AC164&gt;0),H164-S164-T164))))))))</f>
        <v/>
      </c>
      <c r="X164" s="515" t="str">
        <f>IFERROR(IF(H164="","",IF(H164-S164-T164=0&lt;0,"Error in Areas ▲",IF(S164+T164&gt;H164,"Error in Areas ▲",IF(AND(P164='G-1 All Habitats'!$X$3,Y164="Yes"),"Alternative Compensation ✓",IF(W164=0,0,IF(P164='G-1 All Habitats'!$X$3,"Unacceptable Loss ▲",Q164-U164-V164)))))),"Check Data ▲")</f>
        <v/>
      </c>
      <c r="Y164" s="72"/>
      <c r="Z164" s="80"/>
      <c r="AA164" s="81"/>
      <c r="AC164" s="75" t="str">
        <f>IF(P164="","",IF(P164='G-1 All Habitats'!$X$3,H164-S164-T164,"None"))</f>
        <v/>
      </c>
      <c r="AD164" s="76" t="str">
        <f>IFERROR(AC164*J164*L164*#REF!*O164,IF(P164="","","None"))</f>
        <v/>
      </c>
      <c r="AF164" s="54" t="str">
        <f t="shared" si="10"/>
        <v/>
      </c>
      <c r="AG164" s="54" t="str">
        <f t="shared" si="11"/>
        <v/>
      </c>
      <c r="AH164" s="54" t="str">
        <f>IF(I164="","",IF(#REF!&gt;0,TRUE,FALSE))</f>
        <v/>
      </c>
      <c r="AI164" s="54">
        <v>154</v>
      </c>
      <c r="AJ164" s="54"/>
      <c r="AK164" s="54" t="str">
        <f t="array" ref="AK164">IFERROR(INDEX($AI$11:$AI$259, MATCH(0, IF(TRUE=$AF$11:$AF$259, COUNTIF($AK$10:$AK163, $AI$11:$AI$259), ""), 0)),"")</f>
        <v/>
      </c>
      <c r="AL164" s="54" t="str">
        <f t="array" ref="AL164">IFERROR(INDEX($AI$11:$AI$259, MATCH(0, IF(TRUE=$AG$11:$AG$259, COUNTIF($AL$10:$AL163, $AI$11:$AI$259), ""), 0)),"")</f>
        <v/>
      </c>
      <c r="AM164" s="54" t="str">
        <f t="array" ref="AM164">IFERROR(INDEX($AI$11:$AI$259, MATCH(0, IF(TRUE=$AH$11:$AH$259, COUNTIF($AM$10:$AM163, $AI$11:$AI$259), ""), 0)),"")</f>
        <v/>
      </c>
      <c r="AN164" s="54"/>
      <c r="AQ164" s="47">
        <f t="shared" si="12"/>
        <v>0</v>
      </c>
    </row>
    <row r="165" spans="1:43" x14ac:dyDescent="0.3">
      <c r="A165" s="47" t="str">
        <f>IFERROR(INDEX('G-1 All Habitats'!$AG$3:$AG$15,MATCH(E165,'G-1 All Habitats'!$AF$3:$AF$15,0)),"")</f>
        <v/>
      </c>
      <c r="B165" s="47" t="str">
        <f>IFERROR(INDEX('G-8 Condition Look up'!$I$4:$I$130,MATCH(G165,'G-8 Condition Look up'!$A$4:$A$130,0)),"")</f>
        <v/>
      </c>
      <c r="D165" s="77">
        <v>155</v>
      </c>
      <c r="E165" s="78"/>
      <c r="F165" s="79"/>
      <c r="G165" s="69" t="str">
        <f>IFERROR(INDEX('G-1 All Habitats'!$B$3:$B$129,MATCH(F165,'G-1 All Habitats'!$A$3:$A$129,0)),"")</f>
        <v/>
      </c>
      <c r="H165" s="70"/>
      <c r="I165" s="498" t="str">
        <f>IF(G165="","",VLOOKUP(G165,'G-1 All Habitats'!$B$2:$M$129,10,FALSE))</f>
        <v/>
      </c>
      <c r="J165" s="499" t="str">
        <f>IFERROR(VLOOKUP(I165,'G-1 All Habitats'!$V$3:$W$7,2,FALSE),"")</f>
        <v/>
      </c>
      <c r="K165" s="71"/>
      <c r="L165" s="499" t="str">
        <f>IFERROR(INDEX('G-8 Condition Look up'!$A$3:$H$130,MATCH(G165,'G-8 Condition Look up'!$A$3:$A$130,0),MATCH(K165,'G-8 Condition Look up'!$A$3:$H$3,0)),"")</f>
        <v/>
      </c>
      <c r="M165" s="71"/>
      <c r="N165" s="520" t="str">
        <f>IF(M165="","",IF(VLOOKUP(M165,'G-3 Multipliers'!$L$3:$N$6,2,FALSE)=0,"Spatial Data Missing",VLOOKUP(M165,'G-3 Multipliers'!$L$3:$N$6,2,FALSE)))</f>
        <v/>
      </c>
      <c r="O165" s="505" t="str">
        <f>IF(M165="","",IF(VLOOKUP(M165,'G-3 Multipliers'!$L$3:$N$6,3,FALSE)=0,"Spatial Data Missing",VLOOKUP(M165,'G-3 Multipliers'!$L$3:$N$6,3,FALSE)))</f>
        <v/>
      </c>
      <c r="P165" s="506" t="str">
        <f>IFERROR(VLOOKUP(G165,'G-1 All Habitats'!$B$2:$M$129,12,FALSE),"")</f>
        <v/>
      </c>
      <c r="Q165" s="513" t="str">
        <f>IFERROR(IF(P165="","",IF(AND(P165='G-1 All Habitats'!$X$3,T165&gt;0),U165+V165,IF(AND(P165='G-1 All Habitats'!$X$3,S165&gt;0),U165+V165,IF(AND(P165='G-1 All Habitats'!$X$3,AC165&gt;0),"Any Loss Unacceptable ▲",IF(AND(P165='G-1 All Habitats'!$X$3,W165&gt;0),"Any Loss Unacceptable ▲",H165*J165*L165*O165))))),"Check Data ▲")</f>
        <v/>
      </c>
      <c r="R165" s="50"/>
      <c r="S165" s="71"/>
      <c r="T165" s="72"/>
      <c r="U165" s="511" t="str">
        <f t="shared" si="13"/>
        <v/>
      </c>
      <c r="V165" s="511" t="str">
        <f t="shared" si="14"/>
        <v/>
      </c>
      <c r="W165" s="511" t="str">
        <f>IF(E165="","",IF(H165&lt;S165+T165,"Error in Areas ▲",IF(P165&lt;&gt;'G-1 All Habitats'!$X$3,H165-S165-T165,IF(AND(P165='G-1 All Habitats'!$X$3,Y165="Yes"),"Unacceptable Loss",IF(AND(P165='G-1 All Habitats'!$X$3,Y165="No"),AC165,IF(AND(P165='G-1 All Habitats'!$X$3,Y165=""),AC165,IF(AND(P165='G-1 All Habitats'!$X$3,AC165="None",AC165),IF(AND(P165='G-1 All Habitats'!$X$3,AC165&gt;0),H165-S165-T165))))))))</f>
        <v/>
      </c>
      <c r="X165" s="515" t="str">
        <f>IFERROR(IF(H165="","",IF(H165-S165-T165=0&lt;0,"Error in Areas ▲",IF(S165+T165&gt;H165,"Error in Areas ▲",IF(AND(P165='G-1 All Habitats'!$X$3,Y165="Yes"),"Alternative Compensation ✓",IF(W165=0,0,IF(P165='G-1 All Habitats'!$X$3,"Unacceptable Loss ▲",Q165-U165-V165)))))),"Check Data ▲")</f>
        <v/>
      </c>
      <c r="Y165" s="72"/>
      <c r="Z165" s="80"/>
      <c r="AA165" s="81"/>
      <c r="AC165" s="75" t="str">
        <f>IF(P165="","",IF(P165='G-1 All Habitats'!$X$3,H165-S165-T165,"None"))</f>
        <v/>
      </c>
      <c r="AD165" s="76" t="str">
        <f>IFERROR(AC165*J165*L165*#REF!*O165,IF(P165="","","None"))</f>
        <v/>
      </c>
      <c r="AF165" s="54" t="str">
        <f t="shared" si="10"/>
        <v/>
      </c>
      <c r="AG165" s="54" t="str">
        <f t="shared" si="11"/>
        <v/>
      </c>
      <c r="AH165" s="54" t="str">
        <f>IF(I165="","",IF(#REF!&gt;0,TRUE,FALSE))</f>
        <v/>
      </c>
      <c r="AI165" s="54">
        <v>155</v>
      </c>
      <c r="AJ165" s="54"/>
      <c r="AK165" s="54" t="str">
        <f t="array" ref="AK165">IFERROR(INDEX($AI$11:$AI$259, MATCH(0, IF(TRUE=$AF$11:$AF$259, COUNTIF($AK$10:$AK164, $AI$11:$AI$259), ""), 0)),"")</f>
        <v/>
      </c>
      <c r="AL165" s="54" t="str">
        <f t="array" ref="AL165">IFERROR(INDEX($AI$11:$AI$259, MATCH(0, IF(TRUE=$AG$11:$AG$259, COUNTIF($AL$10:$AL164, $AI$11:$AI$259), ""), 0)),"")</f>
        <v/>
      </c>
      <c r="AM165" s="54" t="str">
        <f t="array" ref="AM165">IFERROR(INDEX($AI$11:$AI$259, MATCH(0, IF(TRUE=$AH$11:$AH$259, COUNTIF($AM$10:$AM164, $AI$11:$AI$259), ""), 0)),"")</f>
        <v/>
      </c>
      <c r="AN165" s="54"/>
      <c r="AQ165" s="47">
        <f t="shared" si="12"/>
        <v>0</v>
      </c>
    </row>
    <row r="166" spans="1:43" x14ac:dyDescent="0.3">
      <c r="A166" s="47" t="str">
        <f>IFERROR(INDEX('G-1 All Habitats'!$AG$3:$AG$15,MATCH(E166,'G-1 All Habitats'!$AF$3:$AF$15,0)),"")</f>
        <v/>
      </c>
      <c r="B166" s="47" t="str">
        <f>IFERROR(INDEX('G-8 Condition Look up'!$I$4:$I$130,MATCH(G166,'G-8 Condition Look up'!$A$4:$A$130,0)),"")</f>
        <v/>
      </c>
      <c r="D166" s="77">
        <v>156</v>
      </c>
      <c r="E166" s="78"/>
      <c r="F166" s="79"/>
      <c r="G166" s="69" t="str">
        <f>IFERROR(INDEX('G-1 All Habitats'!$B$3:$B$129,MATCH(F166,'G-1 All Habitats'!$A$3:$A$129,0)),"")</f>
        <v/>
      </c>
      <c r="H166" s="70"/>
      <c r="I166" s="498" t="str">
        <f>IF(G166="","",VLOOKUP(G166,'G-1 All Habitats'!$B$2:$M$129,10,FALSE))</f>
        <v/>
      </c>
      <c r="J166" s="499" t="str">
        <f>IFERROR(VLOOKUP(I166,'G-1 All Habitats'!$V$3:$W$7,2,FALSE),"")</f>
        <v/>
      </c>
      <c r="K166" s="71"/>
      <c r="L166" s="499" t="str">
        <f>IFERROR(INDEX('G-8 Condition Look up'!$A$3:$H$130,MATCH(G166,'G-8 Condition Look up'!$A$3:$A$130,0),MATCH(K166,'G-8 Condition Look up'!$A$3:$H$3,0)),"")</f>
        <v/>
      </c>
      <c r="M166" s="71"/>
      <c r="N166" s="520" t="str">
        <f>IF(M166="","",IF(VLOOKUP(M166,'G-3 Multipliers'!$L$3:$N$6,2,FALSE)=0,"Spatial Data Missing",VLOOKUP(M166,'G-3 Multipliers'!$L$3:$N$6,2,FALSE)))</f>
        <v/>
      </c>
      <c r="O166" s="505" t="str">
        <f>IF(M166="","",IF(VLOOKUP(M166,'G-3 Multipliers'!$L$3:$N$6,3,FALSE)=0,"Spatial Data Missing",VLOOKUP(M166,'G-3 Multipliers'!$L$3:$N$6,3,FALSE)))</f>
        <v/>
      </c>
      <c r="P166" s="506" t="str">
        <f>IFERROR(VLOOKUP(G166,'G-1 All Habitats'!$B$2:$M$129,12,FALSE),"")</f>
        <v/>
      </c>
      <c r="Q166" s="513" t="str">
        <f>IFERROR(IF(P166="","",IF(AND(P166='G-1 All Habitats'!$X$3,T166&gt;0),U166+V166,IF(AND(P166='G-1 All Habitats'!$X$3,S166&gt;0),U166+V166,IF(AND(P166='G-1 All Habitats'!$X$3,AC166&gt;0),"Any Loss Unacceptable ▲",IF(AND(P166='G-1 All Habitats'!$X$3,W166&gt;0),"Any Loss Unacceptable ▲",H166*J166*L166*O166))))),"Check Data ▲")</f>
        <v/>
      </c>
      <c r="R166" s="50"/>
      <c r="S166" s="71"/>
      <c r="T166" s="72"/>
      <c r="U166" s="511" t="str">
        <f t="shared" si="13"/>
        <v/>
      </c>
      <c r="V166" s="511" t="str">
        <f t="shared" si="14"/>
        <v/>
      </c>
      <c r="W166" s="511" t="str">
        <f>IF(E166="","",IF(H166&lt;S166+T166,"Error in Areas ▲",IF(P166&lt;&gt;'G-1 All Habitats'!$X$3,H166-S166-T166,IF(AND(P166='G-1 All Habitats'!$X$3,Y166="Yes"),"Unacceptable Loss",IF(AND(P166='G-1 All Habitats'!$X$3,Y166="No"),AC166,IF(AND(P166='G-1 All Habitats'!$X$3,Y166=""),AC166,IF(AND(P166='G-1 All Habitats'!$X$3,AC166="None",AC166),IF(AND(P166='G-1 All Habitats'!$X$3,AC166&gt;0),H166-S166-T166))))))))</f>
        <v/>
      </c>
      <c r="X166" s="515" t="str">
        <f>IFERROR(IF(H166="","",IF(H166-S166-T166=0&lt;0,"Error in Areas ▲",IF(S166+T166&gt;H166,"Error in Areas ▲",IF(AND(P166='G-1 All Habitats'!$X$3,Y166="Yes"),"Alternative Compensation ✓",IF(W166=0,0,IF(P166='G-1 All Habitats'!$X$3,"Unacceptable Loss ▲",Q166-U166-V166)))))),"Check Data ▲")</f>
        <v/>
      </c>
      <c r="Y166" s="72"/>
      <c r="Z166" s="80"/>
      <c r="AA166" s="81"/>
      <c r="AC166" s="75" t="str">
        <f>IF(P166="","",IF(P166='G-1 All Habitats'!$X$3,H166-S166-T166,"None"))</f>
        <v/>
      </c>
      <c r="AD166" s="76" t="str">
        <f>IFERROR(AC166*J166*L166*#REF!*O166,IF(P166="","","None"))</f>
        <v/>
      </c>
      <c r="AF166" s="54" t="str">
        <f t="shared" si="10"/>
        <v/>
      </c>
      <c r="AG166" s="54" t="str">
        <f t="shared" si="11"/>
        <v/>
      </c>
      <c r="AH166" s="54" t="str">
        <f>IF(I166="","",IF(#REF!&gt;0,TRUE,FALSE))</f>
        <v/>
      </c>
      <c r="AI166" s="54">
        <v>156</v>
      </c>
      <c r="AJ166" s="54"/>
      <c r="AK166" s="54" t="str">
        <f t="array" ref="AK166">IFERROR(INDEX($AI$11:$AI$259, MATCH(0, IF(TRUE=$AF$11:$AF$259, COUNTIF($AK$10:$AK165, $AI$11:$AI$259), ""), 0)),"")</f>
        <v/>
      </c>
      <c r="AL166" s="54" t="str">
        <f t="array" ref="AL166">IFERROR(INDEX($AI$11:$AI$259, MATCH(0, IF(TRUE=$AG$11:$AG$259, COUNTIF($AL$10:$AL165, $AI$11:$AI$259), ""), 0)),"")</f>
        <v/>
      </c>
      <c r="AM166" s="54" t="str">
        <f t="array" ref="AM166">IFERROR(INDEX($AI$11:$AI$259, MATCH(0, IF(TRUE=$AH$11:$AH$259, COUNTIF($AM$10:$AM165, $AI$11:$AI$259), ""), 0)),"")</f>
        <v/>
      </c>
      <c r="AN166" s="54"/>
      <c r="AQ166" s="47">
        <f t="shared" si="12"/>
        <v>0</v>
      </c>
    </row>
    <row r="167" spans="1:43" x14ac:dyDescent="0.3">
      <c r="A167" s="47" t="str">
        <f>IFERROR(INDEX('G-1 All Habitats'!$AG$3:$AG$15,MATCH(E167,'G-1 All Habitats'!$AF$3:$AF$15,0)),"")</f>
        <v/>
      </c>
      <c r="B167" s="47" t="str">
        <f>IFERROR(INDEX('G-8 Condition Look up'!$I$4:$I$130,MATCH(G167,'G-8 Condition Look up'!$A$4:$A$130,0)),"")</f>
        <v/>
      </c>
      <c r="D167" s="77">
        <v>157</v>
      </c>
      <c r="E167" s="78"/>
      <c r="F167" s="79"/>
      <c r="G167" s="69" t="str">
        <f>IFERROR(INDEX('G-1 All Habitats'!$B$3:$B$129,MATCH(F167,'G-1 All Habitats'!$A$3:$A$129,0)),"")</f>
        <v/>
      </c>
      <c r="H167" s="70"/>
      <c r="I167" s="498" t="str">
        <f>IF(G167="","",VLOOKUP(G167,'G-1 All Habitats'!$B$2:$M$129,10,FALSE))</f>
        <v/>
      </c>
      <c r="J167" s="499" t="str">
        <f>IFERROR(VLOOKUP(I167,'G-1 All Habitats'!$V$3:$W$7,2,FALSE),"")</f>
        <v/>
      </c>
      <c r="K167" s="71"/>
      <c r="L167" s="499" t="str">
        <f>IFERROR(INDEX('G-8 Condition Look up'!$A$3:$H$130,MATCH(G167,'G-8 Condition Look up'!$A$3:$A$130,0),MATCH(K167,'G-8 Condition Look up'!$A$3:$H$3,0)),"")</f>
        <v/>
      </c>
      <c r="M167" s="71"/>
      <c r="N167" s="520" t="str">
        <f>IF(M167="","",IF(VLOOKUP(M167,'G-3 Multipliers'!$L$3:$N$6,2,FALSE)=0,"Spatial Data Missing",VLOOKUP(M167,'G-3 Multipliers'!$L$3:$N$6,2,FALSE)))</f>
        <v/>
      </c>
      <c r="O167" s="505" t="str">
        <f>IF(M167="","",IF(VLOOKUP(M167,'G-3 Multipliers'!$L$3:$N$6,3,FALSE)=0,"Spatial Data Missing",VLOOKUP(M167,'G-3 Multipliers'!$L$3:$N$6,3,FALSE)))</f>
        <v/>
      </c>
      <c r="P167" s="506" t="str">
        <f>IFERROR(VLOOKUP(G167,'G-1 All Habitats'!$B$2:$M$129,12,FALSE),"")</f>
        <v/>
      </c>
      <c r="Q167" s="513" t="str">
        <f>IFERROR(IF(P167="","",IF(AND(P167='G-1 All Habitats'!$X$3,T167&gt;0),U167+V167,IF(AND(P167='G-1 All Habitats'!$X$3,S167&gt;0),U167+V167,IF(AND(P167='G-1 All Habitats'!$X$3,AC167&gt;0),"Any Loss Unacceptable ▲",IF(AND(P167='G-1 All Habitats'!$X$3,W167&gt;0),"Any Loss Unacceptable ▲",H167*J167*L167*O167))))),"Check Data ▲")</f>
        <v/>
      </c>
      <c r="R167" s="50"/>
      <c r="S167" s="71"/>
      <c r="T167" s="72"/>
      <c r="U167" s="511" t="str">
        <f t="shared" si="13"/>
        <v/>
      </c>
      <c r="V167" s="511" t="str">
        <f t="shared" si="14"/>
        <v/>
      </c>
      <c r="W167" s="511" t="str">
        <f>IF(E167="","",IF(H167&lt;S167+T167,"Error in Areas ▲",IF(P167&lt;&gt;'G-1 All Habitats'!$X$3,H167-S167-T167,IF(AND(P167='G-1 All Habitats'!$X$3,Y167="Yes"),"Unacceptable Loss",IF(AND(P167='G-1 All Habitats'!$X$3,Y167="No"),AC167,IF(AND(P167='G-1 All Habitats'!$X$3,Y167=""),AC167,IF(AND(P167='G-1 All Habitats'!$X$3,AC167="None",AC167),IF(AND(P167='G-1 All Habitats'!$X$3,AC167&gt;0),H167-S167-T167))))))))</f>
        <v/>
      </c>
      <c r="X167" s="515" t="str">
        <f>IFERROR(IF(H167="","",IF(H167-S167-T167=0&lt;0,"Error in Areas ▲",IF(S167+T167&gt;H167,"Error in Areas ▲",IF(AND(P167='G-1 All Habitats'!$X$3,Y167="Yes"),"Alternative Compensation ✓",IF(W167=0,0,IF(P167='G-1 All Habitats'!$X$3,"Unacceptable Loss ▲",Q167-U167-V167)))))),"Check Data ▲")</f>
        <v/>
      </c>
      <c r="Y167" s="72"/>
      <c r="Z167" s="80"/>
      <c r="AA167" s="81"/>
      <c r="AC167" s="75" t="str">
        <f>IF(P167="","",IF(P167='G-1 All Habitats'!$X$3,H167-S167-T167,"None"))</f>
        <v/>
      </c>
      <c r="AD167" s="76" t="str">
        <f>IFERROR(AC167*J167*L167*#REF!*O167,IF(P167="","","None"))</f>
        <v/>
      </c>
      <c r="AF167" s="54" t="str">
        <f t="shared" si="10"/>
        <v/>
      </c>
      <c r="AG167" s="54" t="str">
        <f t="shared" si="11"/>
        <v/>
      </c>
      <c r="AH167" s="54" t="str">
        <f>IF(I167="","",IF(#REF!&gt;0,TRUE,FALSE))</f>
        <v/>
      </c>
      <c r="AI167" s="54">
        <v>157</v>
      </c>
      <c r="AJ167" s="54"/>
      <c r="AK167" s="54" t="str">
        <f t="array" ref="AK167">IFERROR(INDEX($AI$11:$AI$259, MATCH(0, IF(TRUE=$AF$11:$AF$259, COUNTIF($AK$10:$AK166, $AI$11:$AI$259), ""), 0)),"")</f>
        <v/>
      </c>
      <c r="AL167" s="54" t="str">
        <f t="array" ref="AL167">IFERROR(INDEX($AI$11:$AI$259, MATCH(0, IF(TRUE=$AG$11:$AG$259, COUNTIF($AL$10:$AL166, $AI$11:$AI$259), ""), 0)),"")</f>
        <v/>
      </c>
      <c r="AM167" s="54" t="str">
        <f t="array" ref="AM167">IFERROR(INDEX($AI$11:$AI$259, MATCH(0, IF(TRUE=$AH$11:$AH$259, COUNTIF($AM$10:$AM166, $AI$11:$AI$259), ""), 0)),"")</f>
        <v/>
      </c>
      <c r="AN167" s="54"/>
      <c r="AQ167" s="47">
        <f t="shared" si="12"/>
        <v>0</v>
      </c>
    </row>
    <row r="168" spans="1:43" x14ac:dyDescent="0.3">
      <c r="A168" s="47" t="str">
        <f>IFERROR(INDEX('G-1 All Habitats'!$AG$3:$AG$15,MATCH(E168,'G-1 All Habitats'!$AF$3:$AF$15,0)),"")</f>
        <v/>
      </c>
      <c r="B168" s="47" t="str">
        <f>IFERROR(INDEX('G-8 Condition Look up'!$I$4:$I$130,MATCH(G168,'G-8 Condition Look up'!$A$4:$A$130,0)),"")</f>
        <v/>
      </c>
      <c r="D168" s="77">
        <v>158</v>
      </c>
      <c r="E168" s="78"/>
      <c r="F168" s="79"/>
      <c r="G168" s="69" t="str">
        <f>IFERROR(INDEX('G-1 All Habitats'!$B$3:$B$129,MATCH(F168,'G-1 All Habitats'!$A$3:$A$129,0)),"")</f>
        <v/>
      </c>
      <c r="H168" s="70"/>
      <c r="I168" s="498" t="str">
        <f>IF(G168="","",VLOOKUP(G168,'G-1 All Habitats'!$B$2:$M$129,10,FALSE))</f>
        <v/>
      </c>
      <c r="J168" s="499" t="str">
        <f>IFERROR(VLOOKUP(I168,'G-1 All Habitats'!$V$3:$W$7,2,FALSE),"")</f>
        <v/>
      </c>
      <c r="K168" s="71"/>
      <c r="L168" s="499" t="str">
        <f>IFERROR(INDEX('G-8 Condition Look up'!$A$3:$H$130,MATCH(G168,'G-8 Condition Look up'!$A$3:$A$130,0),MATCH(K168,'G-8 Condition Look up'!$A$3:$H$3,0)),"")</f>
        <v/>
      </c>
      <c r="M168" s="71"/>
      <c r="N168" s="520" t="str">
        <f>IF(M168="","",IF(VLOOKUP(M168,'G-3 Multipliers'!$L$3:$N$6,2,FALSE)=0,"Spatial Data Missing",VLOOKUP(M168,'G-3 Multipliers'!$L$3:$N$6,2,FALSE)))</f>
        <v/>
      </c>
      <c r="O168" s="505" t="str">
        <f>IF(M168="","",IF(VLOOKUP(M168,'G-3 Multipliers'!$L$3:$N$6,3,FALSE)=0,"Spatial Data Missing",VLOOKUP(M168,'G-3 Multipliers'!$L$3:$N$6,3,FALSE)))</f>
        <v/>
      </c>
      <c r="P168" s="506" t="str">
        <f>IFERROR(VLOOKUP(G168,'G-1 All Habitats'!$B$2:$M$129,12,FALSE),"")</f>
        <v/>
      </c>
      <c r="Q168" s="513" t="str">
        <f>IFERROR(IF(P168="","",IF(AND(P168='G-1 All Habitats'!$X$3,T168&gt;0),U168+V168,IF(AND(P168='G-1 All Habitats'!$X$3,S168&gt;0),U168+V168,IF(AND(P168='G-1 All Habitats'!$X$3,AC168&gt;0),"Any Loss Unacceptable ▲",IF(AND(P168='G-1 All Habitats'!$X$3,W168&gt;0),"Any Loss Unacceptable ▲",H168*J168*L168*O168))))),"Check Data ▲")</f>
        <v/>
      </c>
      <c r="R168" s="50"/>
      <c r="S168" s="71"/>
      <c r="T168" s="72"/>
      <c r="U168" s="511" t="str">
        <f t="shared" si="13"/>
        <v/>
      </c>
      <c r="V168" s="511" t="str">
        <f t="shared" si="14"/>
        <v/>
      </c>
      <c r="W168" s="511" t="str">
        <f>IF(E168="","",IF(H168&lt;S168+T168,"Error in Areas ▲",IF(P168&lt;&gt;'G-1 All Habitats'!$X$3,H168-S168-T168,IF(AND(P168='G-1 All Habitats'!$X$3,Y168="Yes"),"Unacceptable Loss",IF(AND(P168='G-1 All Habitats'!$X$3,Y168="No"),AC168,IF(AND(P168='G-1 All Habitats'!$X$3,Y168=""),AC168,IF(AND(P168='G-1 All Habitats'!$X$3,AC168="None",AC168),IF(AND(P168='G-1 All Habitats'!$X$3,AC168&gt;0),H168-S168-T168))))))))</f>
        <v/>
      </c>
      <c r="X168" s="515" t="str">
        <f>IFERROR(IF(H168="","",IF(H168-S168-T168=0&lt;0,"Error in Areas ▲",IF(S168+T168&gt;H168,"Error in Areas ▲",IF(AND(P168='G-1 All Habitats'!$X$3,Y168="Yes"),"Alternative Compensation ✓",IF(W168=0,0,IF(P168='G-1 All Habitats'!$X$3,"Unacceptable Loss ▲",Q168-U168-V168)))))),"Check Data ▲")</f>
        <v/>
      </c>
      <c r="Y168" s="72"/>
      <c r="Z168" s="80"/>
      <c r="AA168" s="81"/>
      <c r="AC168" s="75" t="str">
        <f>IF(P168="","",IF(P168='G-1 All Habitats'!$X$3,H168-S168-T168,"None"))</f>
        <v/>
      </c>
      <c r="AD168" s="76" t="str">
        <f>IFERROR(AC168*J168*L168*#REF!*O168,IF(P168="","","None"))</f>
        <v/>
      </c>
      <c r="AF168" s="54" t="str">
        <f t="shared" si="10"/>
        <v/>
      </c>
      <c r="AG168" s="54" t="str">
        <f t="shared" si="11"/>
        <v/>
      </c>
      <c r="AH168" s="54" t="str">
        <f>IF(I168="","",IF(#REF!&gt;0,TRUE,FALSE))</f>
        <v/>
      </c>
      <c r="AI168" s="54">
        <v>158</v>
      </c>
      <c r="AJ168" s="54"/>
      <c r="AK168" s="54" t="str">
        <f t="array" ref="AK168">IFERROR(INDEX($AI$11:$AI$259, MATCH(0, IF(TRUE=$AF$11:$AF$259, COUNTIF($AK$10:$AK167, $AI$11:$AI$259), ""), 0)),"")</f>
        <v/>
      </c>
      <c r="AL168" s="54" t="str">
        <f t="array" ref="AL168">IFERROR(INDEX($AI$11:$AI$259, MATCH(0, IF(TRUE=$AG$11:$AG$259, COUNTIF($AL$10:$AL167, $AI$11:$AI$259), ""), 0)),"")</f>
        <v/>
      </c>
      <c r="AM168" s="54" t="str">
        <f t="array" ref="AM168">IFERROR(INDEX($AI$11:$AI$259, MATCH(0, IF(TRUE=$AH$11:$AH$259, COUNTIF($AM$10:$AM167, $AI$11:$AI$259), ""), 0)),"")</f>
        <v/>
      </c>
      <c r="AN168" s="54"/>
      <c r="AQ168" s="47">
        <f t="shared" si="12"/>
        <v>0</v>
      </c>
    </row>
    <row r="169" spans="1:43" x14ac:dyDescent="0.3">
      <c r="A169" s="47" t="str">
        <f>IFERROR(INDEX('G-1 All Habitats'!$AG$3:$AG$15,MATCH(E169,'G-1 All Habitats'!$AF$3:$AF$15,0)),"")</f>
        <v/>
      </c>
      <c r="B169" s="47" t="str">
        <f>IFERROR(INDEX('G-8 Condition Look up'!$I$4:$I$130,MATCH(G169,'G-8 Condition Look up'!$A$4:$A$130,0)),"")</f>
        <v/>
      </c>
      <c r="D169" s="77">
        <v>159</v>
      </c>
      <c r="E169" s="78"/>
      <c r="F169" s="79"/>
      <c r="G169" s="69" t="str">
        <f>IFERROR(INDEX('G-1 All Habitats'!$B$3:$B$129,MATCH(F169,'G-1 All Habitats'!$A$3:$A$129,0)),"")</f>
        <v/>
      </c>
      <c r="H169" s="70"/>
      <c r="I169" s="498" t="str">
        <f>IF(G169="","",VLOOKUP(G169,'G-1 All Habitats'!$B$2:$M$129,10,FALSE))</f>
        <v/>
      </c>
      <c r="J169" s="499" t="str">
        <f>IFERROR(VLOOKUP(I169,'G-1 All Habitats'!$V$3:$W$7,2,FALSE),"")</f>
        <v/>
      </c>
      <c r="K169" s="71"/>
      <c r="L169" s="499" t="str">
        <f>IFERROR(INDEX('G-8 Condition Look up'!$A$3:$H$130,MATCH(G169,'G-8 Condition Look up'!$A$3:$A$130,0),MATCH(K169,'G-8 Condition Look up'!$A$3:$H$3,0)),"")</f>
        <v/>
      </c>
      <c r="M169" s="71"/>
      <c r="N169" s="520" t="str">
        <f>IF(M169="","",IF(VLOOKUP(M169,'G-3 Multipliers'!$L$3:$N$6,2,FALSE)=0,"Spatial Data Missing",VLOOKUP(M169,'G-3 Multipliers'!$L$3:$N$6,2,FALSE)))</f>
        <v/>
      </c>
      <c r="O169" s="505" t="str">
        <f>IF(M169="","",IF(VLOOKUP(M169,'G-3 Multipliers'!$L$3:$N$6,3,FALSE)=0,"Spatial Data Missing",VLOOKUP(M169,'G-3 Multipliers'!$L$3:$N$6,3,FALSE)))</f>
        <v/>
      </c>
      <c r="P169" s="506" t="str">
        <f>IFERROR(VLOOKUP(G169,'G-1 All Habitats'!$B$2:$M$129,12,FALSE),"")</f>
        <v/>
      </c>
      <c r="Q169" s="513" t="str">
        <f>IFERROR(IF(P169="","",IF(AND(P169='G-1 All Habitats'!$X$3,T169&gt;0),U169+V169,IF(AND(P169='G-1 All Habitats'!$X$3,S169&gt;0),U169+V169,IF(AND(P169='G-1 All Habitats'!$X$3,AC169&gt;0),"Any Loss Unacceptable ▲",IF(AND(P169='G-1 All Habitats'!$X$3,W169&gt;0),"Any Loss Unacceptable ▲",H169*J169*L169*O169))))),"Check Data ▲")</f>
        <v/>
      </c>
      <c r="R169" s="50"/>
      <c r="S169" s="71"/>
      <c r="T169" s="72"/>
      <c r="U169" s="511" t="str">
        <f t="shared" si="13"/>
        <v/>
      </c>
      <c r="V169" s="511" t="str">
        <f t="shared" si="14"/>
        <v/>
      </c>
      <c r="W169" s="511" t="str">
        <f>IF(E169="","",IF(H169&lt;S169+T169,"Error in Areas ▲",IF(P169&lt;&gt;'G-1 All Habitats'!$X$3,H169-S169-T169,IF(AND(P169='G-1 All Habitats'!$X$3,Y169="Yes"),"Unacceptable Loss",IF(AND(P169='G-1 All Habitats'!$X$3,Y169="No"),AC169,IF(AND(P169='G-1 All Habitats'!$X$3,Y169=""),AC169,IF(AND(P169='G-1 All Habitats'!$X$3,AC169="None",AC169),IF(AND(P169='G-1 All Habitats'!$X$3,AC169&gt;0),H169-S169-T169))))))))</f>
        <v/>
      </c>
      <c r="X169" s="515" t="str">
        <f>IFERROR(IF(H169="","",IF(H169-S169-T169=0&lt;0,"Error in Areas ▲",IF(S169+T169&gt;H169,"Error in Areas ▲",IF(AND(P169='G-1 All Habitats'!$X$3,Y169="Yes"),"Alternative Compensation ✓",IF(W169=0,0,IF(P169='G-1 All Habitats'!$X$3,"Unacceptable Loss ▲",Q169-U169-V169)))))),"Check Data ▲")</f>
        <v/>
      </c>
      <c r="Y169" s="72"/>
      <c r="Z169" s="80"/>
      <c r="AA169" s="81"/>
      <c r="AC169" s="75" t="str">
        <f>IF(P169="","",IF(P169='G-1 All Habitats'!$X$3,H169-S169-T169,"None"))</f>
        <v/>
      </c>
      <c r="AD169" s="76" t="str">
        <f>IFERROR(AC169*J169*L169*#REF!*O169,IF(P169="","","None"))</f>
        <v/>
      </c>
      <c r="AF169" s="54" t="str">
        <f t="shared" si="10"/>
        <v/>
      </c>
      <c r="AG169" s="54" t="str">
        <f t="shared" si="11"/>
        <v/>
      </c>
      <c r="AH169" s="54" t="str">
        <f>IF(I169="","",IF(#REF!&gt;0,TRUE,FALSE))</f>
        <v/>
      </c>
      <c r="AI169" s="54">
        <v>159</v>
      </c>
      <c r="AJ169" s="54"/>
      <c r="AK169" s="54" t="str">
        <f t="array" ref="AK169">IFERROR(INDEX($AI$11:$AI$259, MATCH(0, IF(TRUE=$AF$11:$AF$259, COUNTIF($AK$10:$AK168, $AI$11:$AI$259), ""), 0)),"")</f>
        <v/>
      </c>
      <c r="AL169" s="54" t="str">
        <f t="array" ref="AL169">IFERROR(INDEX($AI$11:$AI$259, MATCH(0, IF(TRUE=$AG$11:$AG$259, COUNTIF($AL$10:$AL168, $AI$11:$AI$259), ""), 0)),"")</f>
        <v/>
      </c>
      <c r="AM169" s="54" t="str">
        <f t="array" ref="AM169">IFERROR(INDEX($AI$11:$AI$259, MATCH(0, IF(TRUE=$AH$11:$AH$259, COUNTIF($AM$10:$AM168, $AI$11:$AI$259), ""), 0)),"")</f>
        <v/>
      </c>
      <c r="AN169" s="54"/>
      <c r="AQ169" s="47">
        <f t="shared" si="12"/>
        <v>0</v>
      </c>
    </row>
    <row r="170" spans="1:43" x14ac:dyDescent="0.3">
      <c r="A170" s="47" t="str">
        <f>IFERROR(INDEX('G-1 All Habitats'!$AG$3:$AG$15,MATCH(E170,'G-1 All Habitats'!$AF$3:$AF$15,0)),"")</f>
        <v/>
      </c>
      <c r="B170" s="47" t="str">
        <f>IFERROR(INDEX('G-8 Condition Look up'!$I$4:$I$130,MATCH(G170,'G-8 Condition Look up'!$A$4:$A$130,0)),"")</f>
        <v/>
      </c>
      <c r="D170" s="77">
        <v>160</v>
      </c>
      <c r="E170" s="78"/>
      <c r="F170" s="79"/>
      <c r="G170" s="69" t="str">
        <f>IFERROR(INDEX('G-1 All Habitats'!$B$3:$B$129,MATCH(F170,'G-1 All Habitats'!$A$3:$A$129,0)),"")</f>
        <v/>
      </c>
      <c r="H170" s="70"/>
      <c r="I170" s="498" t="str">
        <f>IF(G170="","",VLOOKUP(G170,'G-1 All Habitats'!$B$2:$M$129,10,FALSE))</f>
        <v/>
      </c>
      <c r="J170" s="499" t="str">
        <f>IFERROR(VLOOKUP(I170,'G-1 All Habitats'!$V$3:$W$7,2,FALSE),"")</f>
        <v/>
      </c>
      <c r="K170" s="71"/>
      <c r="L170" s="499" t="str">
        <f>IFERROR(INDEX('G-8 Condition Look up'!$A$3:$H$130,MATCH(G170,'G-8 Condition Look up'!$A$3:$A$130,0),MATCH(K170,'G-8 Condition Look up'!$A$3:$H$3,0)),"")</f>
        <v/>
      </c>
      <c r="M170" s="71"/>
      <c r="N170" s="520" t="str">
        <f>IF(M170="","",IF(VLOOKUP(M170,'G-3 Multipliers'!$L$3:$N$6,2,FALSE)=0,"Spatial Data Missing",VLOOKUP(M170,'G-3 Multipliers'!$L$3:$N$6,2,FALSE)))</f>
        <v/>
      </c>
      <c r="O170" s="505" t="str">
        <f>IF(M170="","",IF(VLOOKUP(M170,'G-3 Multipliers'!$L$3:$N$6,3,FALSE)=0,"Spatial Data Missing",VLOOKUP(M170,'G-3 Multipliers'!$L$3:$N$6,3,FALSE)))</f>
        <v/>
      </c>
      <c r="P170" s="506" t="str">
        <f>IFERROR(VLOOKUP(G170,'G-1 All Habitats'!$B$2:$M$129,12,FALSE),"")</f>
        <v/>
      </c>
      <c r="Q170" s="513" t="str">
        <f>IFERROR(IF(P170="","",IF(AND(P170='G-1 All Habitats'!$X$3,T170&gt;0),U170+V170,IF(AND(P170='G-1 All Habitats'!$X$3,S170&gt;0),U170+V170,IF(AND(P170='G-1 All Habitats'!$X$3,AC170&gt;0),"Any Loss Unacceptable ▲",IF(AND(P170='G-1 All Habitats'!$X$3,W170&gt;0),"Any Loss Unacceptable ▲",H170*J170*L170*O170))))),"Check Data ▲")</f>
        <v/>
      </c>
      <c r="R170" s="50"/>
      <c r="S170" s="71"/>
      <c r="T170" s="72"/>
      <c r="U170" s="511" t="str">
        <f t="shared" si="13"/>
        <v/>
      </c>
      <c r="V170" s="511" t="str">
        <f t="shared" si="14"/>
        <v/>
      </c>
      <c r="W170" s="511" t="str">
        <f>IF(E170="","",IF(H170&lt;S170+T170,"Error in Areas ▲",IF(P170&lt;&gt;'G-1 All Habitats'!$X$3,H170-S170-T170,IF(AND(P170='G-1 All Habitats'!$X$3,Y170="Yes"),"Unacceptable Loss",IF(AND(P170='G-1 All Habitats'!$X$3,Y170="No"),AC170,IF(AND(P170='G-1 All Habitats'!$X$3,Y170=""),AC170,IF(AND(P170='G-1 All Habitats'!$X$3,AC170="None",AC170),IF(AND(P170='G-1 All Habitats'!$X$3,AC170&gt;0),H170-S170-T170))))))))</f>
        <v/>
      </c>
      <c r="X170" s="515" t="str">
        <f>IFERROR(IF(H170="","",IF(H170-S170-T170=0&lt;0,"Error in Areas ▲",IF(S170+T170&gt;H170,"Error in Areas ▲",IF(AND(P170='G-1 All Habitats'!$X$3,Y170="Yes"),"Alternative Compensation ✓",IF(W170=0,0,IF(P170='G-1 All Habitats'!$X$3,"Unacceptable Loss ▲",Q170-U170-V170)))))),"Check Data ▲")</f>
        <v/>
      </c>
      <c r="Y170" s="72"/>
      <c r="Z170" s="80"/>
      <c r="AA170" s="81"/>
      <c r="AC170" s="75" t="str">
        <f>IF(P170="","",IF(P170='G-1 All Habitats'!$X$3,H170-S170-T170,"None"))</f>
        <v/>
      </c>
      <c r="AD170" s="76" t="str">
        <f>IFERROR(AC170*J170*L170*#REF!*O170,IF(P170="","","None"))</f>
        <v/>
      </c>
      <c r="AF170" s="54" t="str">
        <f t="shared" si="10"/>
        <v/>
      </c>
      <c r="AG170" s="54" t="str">
        <f t="shared" si="11"/>
        <v/>
      </c>
      <c r="AH170" s="54" t="str">
        <f>IF(I170="","",IF(#REF!&gt;0,TRUE,FALSE))</f>
        <v/>
      </c>
      <c r="AI170" s="54">
        <v>160</v>
      </c>
      <c r="AJ170" s="54"/>
      <c r="AK170" s="54" t="str">
        <f t="array" ref="AK170">IFERROR(INDEX($AI$11:$AI$259, MATCH(0, IF(TRUE=$AF$11:$AF$259, COUNTIF($AK$10:$AK169, $AI$11:$AI$259), ""), 0)),"")</f>
        <v/>
      </c>
      <c r="AL170" s="54" t="str">
        <f t="array" ref="AL170">IFERROR(INDEX($AI$11:$AI$259, MATCH(0, IF(TRUE=$AG$11:$AG$259, COUNTIF($AL$10:$AL169, $AI$11:$AI$259), ""), 0)),"")</f>
        <v/>
      </c>
      <c r="AM170" s="54" t="str">
        <f t="array" ref="AM170">IFERROR(INDEX($AI$11:$AI$259, MATCH(0, IF(TRUE=$AH$11:$AH$259, COUNTIF($AM$10:$AM169, $AI$11:$AI$259), ""), 0)),"")</f>
        <v/>
      </c>
      <c r="AN170" s="54"/>
      <c r="AQ170" s="47">
        <f t="shared" si="12"/>
        <v>0</v>
      </c>
    </row>
    <row r="171" spans="1:43" x14ac:dyDescent="0.3">
      <c r="A171" s="47" t="str">
        <f>IFERROR(INDEX('G-1 All Habitats'!$AG$3:$AG$15,MATCH(E171,'G-1 All Habitats'!$AF$3:$AF$15,0)),"")</f>
        <v/>
      </c>
      <c r="B171" s="47" t="str">
        <f>IFERROR(INDEX('G-8 Condition Look up'!$I$4:$I$130,MATCH(G171,'G-8 Condition Look up'!$A$4:$A$130,0)),"")</f>
        <v/>
      </c>
      <c r="D171" s="77">
        <v>161</v>
      </c>
      <c r="E171" s="78"/>
      <c r="F171" s="79"/>
      <c r="G171" s="69" t="str">
        <f>IFERROR(INDEX('G-1 All Habitats'!$B$3:$B$129,MATCH(F171,'G-1 All Habitats'!$A$3:$A$129,0)),"")</f>
        <v/>
      </c>
      <c r="H171" s="70"/>
      <c r="I171" s="498" t="str">
        <f>IF(G171="","",VLOOKUP(G171,'G-1 All Habitats'!$B$2:$M$129,10,FALSE))</f>
        <v/>
      </c>
      <c r="J171" s="499" t="str">
        <f>IFERROR(VLOOKUP(I171,'G-1 All Habitats'!$V$3:$W$7,2,FALSE),"")</f>
        <v/>
      </c>
      <c r="K171" s="71"/>
      <c r="L171" s="499" t="str">
        <f>IFERROR(INDEX('G-8 Condition Look up'!$A$3:$H$130,MATCH(G171,'G-8 Condition Look up'!$A$3:$A$130,0),MATCH(K171,'G-8 Condition Look up'!$A$3:$H$3,0)),"")</f>
        <v/>
      </c>
      <c r="M171" s="71"/>
      <c r="N171" s="520" t="str">
        <f>IF(M171="","",IF(VLOOKUP(M171,'G-3 Multipliers'!$L$3:$N$6,2,FALSE)=0,"Spatial Data Missing",VLOOKUP(M171,'G-3 Multipliers'!$L$3:$N$6,2,FALSE)))</f>
        <v/>
      </c>
      <c r="O171" s="505" t="str">
        <f>IF(M171="","",IF(VLOOKUP(M171,'G-3 Multipliers'!$L$3:$N$6,3,FALSE)=0,"Spatial Data Missing",VLOOKUP(M171,'G-3 Multipliers'!$L$3:$N$6,3,FALSE)))</f>
        <v/>
      </c>
      <c r="P171" s="506" t="str">
        <f>IFERROR(VLOOKUP(G171,'G-1 All Habitats'!$B$2:$M$129,12,FALSE),"")</f>
        <v/>
      </c>
      <c r="Q171" s="513" t="str">
        <f>IFERROR(IF(P171="","",IF(AND(P171='G-1 All Habitats'!$X$3,T171&gt;0),U171+V171,IF(AND(P171='G-1 All Habitats'!$X$3,S171&gt;0),U171+V171,IF(AND(P171='G-1 All Habitats'!$X$3,AC171&gt;0),"Any Loss Unacceptable ▲",IF(AND(P171='G-1 All Habitats'!$X$3,W171&gt;0),"Any Loss Unacceptable ▲",H171*J171*L171*O171))))),"Check Data ▲")</f>
        <v/>
      </c>
      <c r="R171" s="50"/>
      <c r="S171" s="71"/>
      <c r="T171" s="72"/>
      <c r="U171" s="511" t="str">
        <f t="shared" si="13"/>
        <v/>
      </c>
      <c r="V171" s="511" t="str">
        <f t="shared" si="14"/>
        <v/>
      </c>
      <c r="W171" s="511" t="str">
        <f>IF(E171="","",IF(H171&lt;S171+T171,"Error in Areas ▲",IF(P171&lt;&gt;'G-1 All Habitats'!$X$3,H171-S171-T171,IF(AND(P171='G-1 All Habitats'!$X$3,Y171="Yes"),"Unacceptable Loss",IF(AND(P171='G-1 All Habitats'!$X$3,Y171="No"),AC171,IF(AND(P171='G-1 All Habitats'!$X$3,Y171=""),AC171,IF(AND(P171='G-1 All Habitats'!$X$3,AC171="None",AC171),IF(AND(P171='G-1 All Habitats'!$X$3,AC171&gt;0),H171-S171-T171))))))))</f>
        <v/>
      </c>
      <c r="X171" s="515" t="str">
        <f>IFERROR(IF(H171="","",IF(H171-S171-T171=0&lt;0,"Error in Areas ▲",IF(S171+T171&gt;H171,"Error in Areas ▲",IF(AND(P171='G-1 All Habitats'!$X$3,Y171="Yes"),"Alternative Compensation ✓",IF(W171=0,0,IF(P171='G-1 All Habitats'!$X$3,"Unacceptable Loss ▲",Q171-U171-V171)))))),"Check Data ▲")</f>
        <v/>
      </c>
      <c r="Y171" s="72"/>
      <c r="Z171" s="80"/>
      <c r="AA171" s="81"/>
      <c r="AC171" s="75" t="str">
        <f>IF(P171="","",IF(P171='G-1 All Habitats'!$X$3,H171-S171-T171,"None"))</f>
        <v/>
      </c>
      <c r="AD171" s="76" t="str">
        <f>IFERROR(AC171*J171*L171*#REF!*O171,IF(P171="","","None"))</f>
        <v/>
      </c>
      <c r="AF171" s="54" t="str">
        <f t="shared" si="10"/>
        <v/>
      </c>
      <c r="AG171" s="54" t="str">
        <f t="shared" si="11"/>
        <v/>
      </c>
      <c r="AH171" s="54" t="str">
        <f>IF(I171="","",IF(#REF!&gt;0,TRUE,FALSE))</f>
        <v/>
      </c>
      <c r="AI171" s="54">
        <v>161</v>
      </c>
      <c r="AJ171" s="54"/>
      <c r="AK171" s="54" t="str">
        <f t="array" ref="AK171">IFERROR(INDEX($AI$11:$AI$259, MATCH(0, IF(TRUE=$AF$11:$AF$259, COUNTIF($AK$10:$AK170, $AI$11:$AI$259), ""), 0)),"")</f>
        <v/>
      </c>
      <c r="AL171" s="54" t="str">
        <f t="array" ref="AL171">IFERROR(INDEX($AI$11:$AI$259, MATCH(0, IF(TRUE=$AG$11:$AG$259, COUNTIF($AL$10:$AL170, $AI$11:$AI$259), ""), 0)),"")</f>
        <v/>
      </c>
      <c r="AM171" s="54" t="str">
        <f t="array" ref="AM171">IFERROR(INDEX($AI$11:$AI$259, MATCH(0, IF(TRUE=$AH$11:$AH$259, COUNTIF($AM$10:$AM170, $AI$11:$AI$259), ""), 0)),"")</f>
        <v/>
      </c>
      <c r="AN171" s="54"/>
      <c r="AQ171" s="47">
        <f t="shared" si="12"/>
        <v>0</v>
      </c>
    </row>
    <row r="172" spans="1:43" x14ac:dyDescent="0.3">
      <c r="A172" s="47" t="str">
        <f>IFERROR(INDEX('G-1 All Habitats'!$AG$3:$AG$15,MATCH(E172,'G-1 All Habitats'!$AF$3:$AF$15,0)),"")</f>
        <v/>
      </c>
      <c r="B172" s="47" t="str">
        <f>IFERROR(INDEX('G-8 Condition Look up'!$I$4:$I$130,MATCH(G172,'G-8 Condition Look up'!$A$4:$A$130,0)),"")</f>
        <v/>
      </c>
      <c r="D172" s="77">
        <v>162</v>
      </c>
      <c r="E172" s="78"/>
      <c r="F172" s="79"/>
      <c r="G172" s="69" t="str">
        <f>IFERROR(INDEX('G-1 All Habitats'!$B$3:$B$129,MATCH(F172,'G-1 All Habitats'!$A$3:$A$129,0)),"")</f>
        <v/>
      </c>
      <c r="H172" s="70"/>
      <c r="I172" s="498" t="str">
        <f>IF(G172="","",VLOOKUP(G172,'G-1 All Habitats'!$B$2:$M$129,10,FALSE))</f>
        <v/>
      </c>
      <c r="J172" s="499" t="str">
        <f>IFERROR(VLOOKUP(I172,'G-1 All Habitats'!$V$3:$W$7,2,FALSE),"")</f>
        <v/>
      </c>
      <c r="K172" s="71"/>
      <c r="L172" s="499" t="str">
        <f>IFERROR(INDEX('G-8 Condition Look up'!$A$3:$H$130,MATCH(G172,'G-8 Condition Look up'!$A$3:$A$130,0),MATCH(K172,'G-8 Condition Look up'!$A$3:$H$3,0)),"")</f>
        <v/>
      </c>
      <c r="M172" s="71"/>
      <c r="N172" s="520" t="str">
        <f>IF(M172="","",IF(VLOOKUP(M172,'G-3 Multipliers'!$L$3:$N$6,2,FALSE)=0,"Spatial Data Missing",VLOOKUP(M172,'G-3 Multipliers'!$L$3:$N$6,2,FALSE)))</f>
        <v/>
      </c>
      <c r="O172" s="505" t="str">
        <f>IF(M172="","",IF(VLOOKUP(M172,'G-3 Multipliers'!$L$3:$N$6,3,FALSE)=0,"Spatial Data Missing",VLOOKUP(M172,'G-3 Multipliers'!$L$3:$N$6,3,FALSE)))</f>
        <v/>
      </c>
      <c r="P172" s="506" t="str">
        <f>IFERROR(VLOOKUP(G172,'G-1 All Habitats'!$B$2:$M$129,12,FALSE),"")</f>
        <v/>
      </c>
      <c r="Q172" s="513" t="str">
        <f>IFERROR(IF(P172="","",IF(AND(P172='G-1 All Habitats'!$X$3,T172&gt;0),U172+V172,IF(AND(P172='G-1 All Habitats'!$X$3,S172&gt;0),U172+V172,IF(AND(P172='G-1 All Habitats'!$X$3,AC172&gt;0),"Any Loss Unacceptable ▲",IF(AND(P172='G-1 All Habitats'!$X$3,W172&gt;0),"Any Loss Unacceptable ▲",H172*J172*L172*O172))))),"Check Data ▲")</f>
        <v/>
      </c>
      <c r="R172" s="50"/>
      <c r="S172" s="71"/>
      <c r="T172" s="72"/>
      <c r="U172" s="511" t="str">
        <f t="shared" si="13"/>
        <v/>
      </c>
      <c r="V172" s="511" t="str">
        <f t="shared" si="14"/>
        <v/>
      </c>
      <c r="W172" s="511" t="str">
        <f>IF(E172="","",IF(H172&lt;S172+T172,"Error in Areas ▲",IF(P172&lt;&gt;'G-1 All Habitats'!$X$3,H172-S172-T172,IF(AND(P172='G-1 All Habitats'!$X$3,Y172="Yes"),"Unacceptable Loss",IF(AND(P172='G-1 All Habitats'!$X$3,Y172="No"),AC172,IF(AND(P172='G-1 All Habitats'!$X$3,Y172=""),AC172,IF(AND(P172='G-1 All Habitats'!$X$3,AC172="None",AC172),IF(AND(P172='G-1 All Habitats'!$X$3,AC172&gt;0),H172-S172-T172))))))))</f>
        <v/>
      </c>
      <c r="X172" s="515" t="str">
        <f>IFERROR(IF(H172="","",IF(H172-S172-T172=0&lt;0,"Error in Areas ▲",IF(S172+T172&gt;H172,"Error in Areas ▲",IF(AND(P172='G-1 All Habitats'!$X$3,Y172="Yes"),"Alternative Compensation ✓",IF(W172=0,0,IF(P172='G-1 All Habitats'!$X$3,"Unacceptable Loss ▲",Q172-U172-V172)))))),"Check Data ▲")</f>
        <v/>
      </c>
      <c r="Y172" s="72"/>
      <c r="Z172" s="80"/>
      <c r="AA172" s="81"/>
      <c r="AC172" s="75" t="str">
        <f>IF(P172="","",IF(P172='G-1 All Habitats'!$X$3,H172-S172-T172,"None"))</f>
        <v/>
      </c>
      <c r="AD172" s="76" t="str">
        <f>IFERROR(AC172*J172*L172*#REF!*O172,IF(P172="","","None"))</f>
        <v/>
      </c>
      <c r="AF172" s="54" t="str">
        <f t="shared" si="10"/>
        <v/>
      </c>
      <c r="AG172" s="54" t="str">
        <f t="shared" si="11"/>
        <v/>
      </c>
      <c r="AH172" s="54" t="str">
        <f>IF(I172="","",IF(#REF!&gt;0,TRUE,FALSE))</f>
        <v/>
      </c>
      <c r="AI172" s="54">
        <v>162</v>
      </c>
      <c r="AJ172" s="54"/>
      <c r="AK172" s="54" t="str">
        <f t="array" ref="AK172">IFERROR(INDEX($AI$11:$AI$259, MATCH(0, IF(TRUE=$AF$11:$AF$259, COUNTIF($AK$10:$AK171, $AI$11:$AI$259), ""), 0)),"")</f>
        <v/>
      </c>
      <c r="AL172" s="54" t="str">
        <f t="array" ref="AL172">IFERROR(INDEX($AI$11:$AI$259, MATCH(0, IF(TRUE=$AG$11:$AG$259, COUNTIF($AL$10:$AL171, $AI$11:$AI$259), ""), 0)),"")</f>
        <v/>
      </c>
      <c r="AM172" s="54" t="str">
        <f t="array" ref="AM172">IFERROR(INDEX($AI$11:$AI$259, MATCH(0, IF(TRUE=$AH$11:$AH$259, COUNTIF($AM$10:$AM171, $AI$11:$AI$259), ""), 0)),"")</f>
        <v/>
      </c>
      <c r="AN172" s="54"/>
      <c r="AQ172" s="47">
        <f t="shared" si="12"/>
        <v>0</v>
      </c>
    </row>
    <row r="173" spans="1:43" x14ac:dyDescent="0.3">
      <c r="A173" s="47" t="str">
        <f>IFERROR(INDEX('G-1 All Habitats'!$AG$3:$AG$15,MATCH(E173,'G-1 All Habitats'!$AF$3:$AF$15,0)),"")</f>
        <v/>
      </c>
      <c r="B173" s="47" t="str">
        <f>IFERROR(INDEX('G-8 Condition Look up'!$I$4:$I$130,MATCH(G173,'G-8 Condition Look up'!$A$4:$A$130,0)),"")</f>
        <v/>
      </c>
      <c r="D173" s="77">
        <v>163</v>
      </c>
      <c r="E173" s="78"/>
      <c r="F173" s="79"/>
      <c r="G173" s="69" t="str">
        <f>IFERROR(INDEX('G-1 All Habitats'!$B$3:$B$129,MATCH(F173,'G-1 All Habitats'!$A$3:$A$129,0)),"")</f>
        <v/>
      </c>
      <c r="H173" s="70"/>
      <c r="I173" s="498" t="str">
        <f>IF(G173="","",VLOOKUP(G173,'G-1 All Habitats'!$B$2:$M$129,10,FALSE))</f>
        <v/>
      </c>
      <c r="J173" s="499" t="str">
        <f>IFERROR(VLOOKUP(I173,'G-1 All Habitats'!$V$3:$W$7,2,FALSE),"")</f>
        <v/>
      </c>
      <c r="K173" s="71"/>
      <c r="L173" s="499" t="str">
        <f>IFERROR(INDEX('G-8 Condition Look up'!$A$3:$H$130,MATCH(G173,'G-8 Condition Look up'!$A$3:$A$130,0),MATCH(K173,'G-8 Condition Look up'!$A$3:$H$3,0)),"")</f>
        <v/>
      </c>
      <c r="M173" s="71"/>
      <c r="N173" s="520" t="str">
        <f>IF(M173="","",IF(VLOOKUP(M173,'G-3 Multipliers'!$L$3:$N$6,2,FALSE)=0,"Spatial Data Missing",VLOOKUP(M173,'G-3 Multipliers'!$L$3:$N$6,2,FALSE)))</f>
        <v/>
      </c>
      <c r="O173" s="505" t="str">
        <f>IF(M173="","",IF(VLOOKUP(M173,'G-3 Multipliers'!$L$3:$N$6,3,FALSE)=0,"Spatial Data Missing",VLOOKUP(M173,'G-3 Multipliers'!$L$3:$N$6,3,FALSE)))</f>
        <v/>
      </c>
      <c r="P173" s="506" t="str">
        <f>IFERROR(VLOOKUP(G173,'G-1 All Habitats'!$B$2:$M$129,12,FALSE),"")</f>
        <v/>
      </c>
      <c r="Q173" s="513" t="str">
        <f>IFERROR(IF(P173="","",IF(AND(P173='G-1 All Habitats'!$X$3,T173&gt;0),U173+V173,IF(AND(P173='G-1 All Habitats'!$X$3,S173&gt;0),U173+V173,IF(AND(P173='G-1 All Habitats'!$X$3,AC173&gt;0),"Any Loss Unacceptable ▲",IF(AND(P173='G-1 All Habitats'!$X$3,W173&gt;0),"Any Loss Unacceptable ▲",H173*J173*L173*O173))))),"Check Data ▲")</f>
        <v/>
      </c>
      <c r="R173" s="50"/>
      <c r="S173" s="71"/>
      <c r="T173" s="72"/>
      <c r="U173" s="511" t="str">
        <f t="shared" si="13"/>
        <v/>
      </c>
      <c r="V173" s="511" t="str">
        <f t="shared" si="14"/>
        <v/>
      </c>
      <c r="W173" s="511" t="str">
        <f>IF(E173="","",IF(H173&lt;S173+T173,"Error in Areas ▲",IF(P173&lt;&gt;'G-1 All Habitats'!$X$3,H173-S173-T173,IF(AND(P173='G-1 All Habitats'!$X$3,Y173="Yes"),"Unacceptable Loss",IF(AND(P173='G-1 All Habitats'!$X$3,Y173="No"),AC173,IF(AND(P173='G-1 All Habitats'!$X$3,Y173=""),AC173,IF(AND(P173='G-1 All Habitats'!$X$3,AC173="None",AC173),IF(AND(P173='G-1 All Habitats'!$X$3,AC173&gt;0),H173-S173-T173))))))))</f>
        <v/>
      </c>
      <c r="X173" s="515" t="str">
        <f>IFERROR(IF(H173="","",IF(H173-S173-T173=0&lt;0,"Error in Areas ▲",IF(S173+T173&gt;H173,"Error in Areas ▲",IF(AND(P173='G-1 All Habitats'!$X$3,Y173="Yes"),"Alternative Compensation ✓",IF(W173=0,0,IF(P173='G-1 All Habitats'!$X$3,"Unacceptable Loss ▲",Q173-U173-V173)))))),"Check Data ▲")</f>
        <v/>
      </c>
      <c r="Y173" s="72"/>
      <c r="Z173" s="80"/>
      <c r="AA173" s="81"/>
      <c r="AC173" s="75" t="str">
        <f>IF(P173="","",IF(P173='G-1 All Habitats'!$X$3,H173-S173-T173,"None"))</f>
        <v/>
      </c>
      <c r="AD173" s="76" t="str">
        <f>IFERROR(AC173*J173*L173*#REF!*O173,IF(P173="","","None"))</f>
        <v/>
      </c>
      <c r="AF173" s="54" t="str">
        <f t="shared" si="10"/>
        <v/>
      </c>
      <c r="AG173" s="54" t="str">
        <f t="shared" si="11"/>
        <v/>
      </c>
      <c r="AH173" s="54" t="str">
        <f>IF(I173="","",IF(#REF!&gt;0,TRUE,FALSE))</f>
        <v/>
      </c>
      <c r="AI173" s="54">
        <v>163</v>
      </c>
      <c r="AJ173" s="54"/>
      <c r="AK173" s="54" t="str">
        <f t="array" ref="AK173">IFERROR(INDEX($AI$11:$AI$259, MATCH(0, IF(TRUE=$AF$11:$AF$259, COUNTIF($AK$10:$AK172, $AI$11:$AI$259), ""), 0)),"")</f>
        <v/>
      </c>
      <c r="AL173" s="54" t="str">
        <f t="array" ref="AL173">IFERROR(INDEX($AI$11:$AI$259, MATCH(0, IF(TRUE=$AG$11:$AG$259, COUNTIF($AL$10:$AL172, $AI$11:$AI$259), ""), 0)),"")</f>
        <v/>
      </c>
      <c r="AM173" s="54" t="str">
        <f t="array" ref="AM173">IFERROR(INDEX($AI$11:$AI$259, MATCH(0, IF(TRUE=$AH$11:$AH$259, COUNTIF($AM$10:$AM172, $AI$11:$AI$259), ""), 0)),"")</f>
        <v/>
      </c>
      <c r="AN173" s="54"/>
      <c r="AQ173" s="47">
        <f t="shared" si="12"/>
        <v>0</v>
      </c>
    </row>
    <row r="174" spans="1:43" x14ac:dyDescent="0.3">
      <c r="A174" s="47" t="str">
        <f>IFERROR(INDEX('G-1 All Habitats'!$AG$3:$AG$15,MATCH(E174,'G-1 All Habitats'!$AF$3:$AF$15,0)),"")</f>
        <v/>
      </c>
      <c r="B174" s="47" t="str">
        <f>IFERROR(INDEX('G-8 Condition Look up'!$I$4:$I$130,MATCH(G174,'G-8 Condition Look up'!$A$4:$A$130,0)),"")</f>
        <v/>
      </c>
      <c r="D174" s="77">
        <v>164</v>
      </c>
      <c r="E174" s="78"/>
      <c r="F174" s="79"/>
      <c r="G174" s="69" t="str">
        <f>IFERROR(INDEX('G-1 All Habitats'!$B$3:$B$129,MATCH(F174,'G-1 All Habitats'!$A$3:$A$129,0)),"")</f>
        <v/>
      </c>
      <c r="H174" s="70"/>
      <c r="I174" s="498" t="str">
        <f>IF(G174="","",VLOOKUP(G174,'G-1 All Habitats'!$B$2:$M$129,10,FALSE))</f>
        <v/>
      </c>
      <c r="J174" s="499" t="str">
        <f>IFERROR(VLOOKUP(I174,'G-1 All Habitats'!$V$3:$W$7,2,FALSE),"")</f>
        <v/>
      </c>
      <c r="K174" s="71"/>
      <c r="L174" s="499" t="str">
        <f>IFERROR(INDEX('G-8 Condition Look up'!$A$3:$H$130,MATCH(G174,'G-8 Condition Look up'!$A$3:$A$130,0),MATCH(K174,'G-8 Condition Look up'!$A$3:$H$3,0)),"")</f>
        <v/>
      </c>
      <c r="M174" s="71"/>
      <c r="N174" s="520" t="str">
        <f>IF(M174="","",IF(VLOOKUP(M174,'G-3 Multipliers'!$L$3:$N$6,2,FALSE)=0,"Spatial Data Missing",VLOOKUP(M174,'G-3 Multipliers'!$L$3:$N$6,2,FALSE)))</f>
        <v/>
      </c>
      <c r="O174" s="505" t="str">
        <f>IF(M174="","",IF(VLOOKUP(M174,'G-3 Multipliers'!$L$3:$N$6,3,FALSE)=0,"Spatial Data Missing",VLOOKUP(M174,'G-3 Multipliers'!$L$3:$N$6,3,FALSE)))</f>
        <v/>
      </c>
      <c r="P174" s="506" t="str">
        <f>IFERROR(VLOOKUP(G174,'G-1 All Habitats'!$B$2:$M$129,12,FALSE),"")</f>
        <v/>
      </c>
      <c r="Q174" s="513" t="str">
        <f>IFERROR(IF(P174="","",IF(AND(P174='G-1 All Habitats'!$X$3,T174&gt;0),U174+V174,IF(AND(P174='G-1 All Habitats'!$X$3,S174&gt;0),U174+V174,IF(AND(P174='G-1 All Habitats'!$X$3,AC174&gt;0),"Any Loss Unacceptable ▲",IF(AND(P174='G-1 All Habitats'!$X$3,W174&gt;0),"Any Loss Unacceptable ▲",H174*J174*L174*O174))))),"Check Data ▲")</f>
        <v/>
      </c>
      <c r="R174" s="50"/>
      <c r="S174" s="71"/>
      <c r="T174" s="72"/>
      <c r="U174" s="511" t="str">
        <f t="shared" si="13"/>
        <v/>
      </c>
      <c r="V174" s="511" t="str">
        <f t="shared" si="14"/>
        <v/>
      </c>
      <c r="W174" s="511" t="str">
        <f>IF(E174="","",IF(H174&lt;S174+T174,"Error in Areas ▲",IF(P174&lt;&gt;'G-1 All Habitats'!$X$3,H174-S174-T174,IF(AND(P174='G-1 All Habitats'!$X$3,Y174="Yes"),"Unacceptable Loss",IF(AND(P174='G-1 All Habitats'!$X$3,Y174="No"),AC174,IF(AND(P174='G-1 All Habitats'!$X$3,Y174=""),AC174,IF(AND(P174='G-1 All Habitats'!$X$3,AC174="None",AC174),IF(AND(P174='G-1 All Habitats'!$X$3,AC174&gt;0),H174-S174-T174))))))))</f>
        <v/>
      </c>
      <c r="X174" s="515" t="str">
        <f>IFERROR(IF(H174="","",IF(H174-S174-T174=0&lt;0,"Error in Areas ▲",IF(S174+T174&gt;H174,"Error in Areas ▲",IF(AND(P174='G-1 All Habitats'!$X$3,Y174="Yes"),"Alternative Compensation ✓",IF(W174=0,0,IF(P174='G-1 All Habitats'!$X$3,"Unacceptable Loss ▲",Q174-U174-V174)))))),"Check Data ▲")</f>
        <v/>
      </c>
      <c r="Y174" s="72"/>
      <c r="Z174" s="80"/>
      <c r="AA174" s="81"/>
      <c r="AC174" s="75" t="str">
        <f>IF(P174="","",IF(P174='G-1 All Habitats'!$X$3,H174-S174-T174,"None"))</f>
        <v/>
      </c>
      <c r="AD174" s="76" t="str">
        <f>IFERROR(AC174*J174*L174*#REF!*O174,IF(P174="","","None"))</f>
        <v/>
      </c>
      <c r="AF174" s="54" t="str">
        <f t="shared" si="10"/>
        <v/>
      </c>
      <c r="AG174" s="54" t="str">
        <f t="shared" si="11"/>
        <v/>
      </c>
      <c r="AH174" s="54" t="str">
        <f>IF(I174="","",IF(#REF!&gt;0,TRUE,FALSE))</f>
        <v/>
      </c>
      <c r="AI174" s="54">
        <v>164</v>
      </c>
      <c r="AJ174" s="54"/>
      <c r="AK174" s="54" t="str">
        <f t="array" ref="AK174">IFERROR(INDEX($AI$11:$AI$259, MATCH(0, IF(TRUE=$AF$11:$AF$259, COUNTIF($AK$10:$AK173, $AI$11:$AI$259), ""), 0)),"")</f>
        <v/>
      </c>
      <c r="AL174" s="54" t="str">
        <f t="array" ref="AL174">IFERROR(INDEX($AI$11:$AI$259, MATCH(0, IF(TRUE=$AG$11:$AG$259, COUNTIF($AL$10:$AL173, $AI$11:$AI$259), ""), 0)),"")</f>
        <v/>
      </c>
      <c r="AM174" s="54" t="str">
        <f t="array" ref="AM174">IFERROR(INDEX($AI$11:$AI$259, MATCH(0, IF(TRUE=$AH$11:$AH$259, COUNTIF($AM$10:$AM173, $AI$11:$AI$259), ""), 0)),"")</f>
        <v/>
      </c>
      <c r="AN174" s="54"/>
      <c r="AQ174" s="47">
        <f t="shared" si="12"/>
        <v>0</v>
      </c>
    </row>
    <row r="175" spans="1:43" x14ac:dyDescent="0.3">
      <c r="A175" s="47" t="str">
        <f>IFERROR(INDEX('G-1 All Habitats'!$AG$3:$AG$15,MATCH(E175,'G-1 All Habitats'!$AF$3:$AF$15,0)),"")</f>
        <v/>
      </c>
      <c r="B175" s="47" t="str">
        <f>IFERROR(INDEX('G-8 Condition Look up'!$I$4:$I$130,MATCH(G175,'G-8 Condition Look up'!$A$4:$A$130,0)),"")</f>
        <v/>
      </c>
      <c r="D175" s="77">
        <v>165</v>
      </c>
      <c r="E175" s="78"/>
      <c r="F175" s="79"/>
      <c r="G175" s="69" t="str">
        <f>IFERROR(INDEX('G-1 All Habitats'!$B$3:$B$129,MATCH(F175,'G-1 All Habitats'!$A$3:$A$129,0)),"")</f>
        <v/>
      </c>
      <c r="H175" s="70"/>
      <c r="I175" s="498" t="str">
        <f>IF(G175="","",VLOOKUP(G175,'G-1 All Habitats'!$B$2:$M$129,10,FALSE))</f>
        <v/>
      </c>
      <c r="J175" s="499" t="str">
        <f>IFERROR(VLOOKUP(I175,'G-1 All Habitats'!$V$3:$W$7,2,FALSE),"")</f>
        <v/>
      </c>
      <c r="K175" s="71"/>
      <c r="L175" s="499" t="str">
        <f>IFERROR(INDEX('G-8 Condition Look up'!$A$3:$H$130,MATCH(G175,'G-8 Condition Look up'!$A$3:$A$130,0),MATCH(K175,'G-8 Condition Look up'!$A$3:$H$3,0)),"")</f>
        <v/>
      </c>
      <c r="M175" s="71"/>
      <c r="N175" s="520" t="str">
        <f>IF(M175="","",IF(VLOOKUP(M175,'G-3 Multipliers'!$L$3:$N$6,2,FALSE)=0,"Spatial Data Missing",VLOOKUP(M175,'G-3 Multipliers'!$L$3:$N$6,2,FALSE)))</f>
        <v/>
      </c>
      <c r="O175" s="505" t="str">
        <f>IF(M175="","",IF(VLOOKUP(M175,'G-3 Multipliers'!$L$3:$N$6,3,FALSE)=0,"Spatial Data Missing",VLOOKUP(M175,'G-3 Multipliers'!$L$3:$N$6,3,FALSE)))</f>
        <v/>
      </c>
      <c r="P175" s="506" t="str">
        <f>IFERROR(VLOOKUP(G175,'G-1 All Habitats'!$B$2:$M$129,12,FALSE),"")</f>
        <v/>
      </c>
      <c r="Q175" s="513" t="str">
        <f>IFERROR(IF(P175="","",IF(AND(P175='G-1 All Habitats'!$X$3,T175&gt;0),U175+V175,IF(AND(P175='G-1 All Habitats'!$X$3,S175&gt;0),U175+V175,IF(AND(P175='G-1 All Habitats'!$X$3,AC175&gt;0),"Any Loss Unacceptable ▲",IF(AND(P175='G-1 All Habitats'!$X$3,W175&gt;0),"Any Loss Unacceptable ▲",H175*J175*L175*O175))))),"Check Data ▲")</f>
        <v/>
      </c>
      <c r="R175" s="50"/>
      <c r="S175" s="71"/>
      <c r="T175" s="72"/>
      <c r="U175" s="511" t="str">
        <f t="shared" si="13"/>
        <v/>
      </c>
      <c r="V175" s="511" t="str">
        <f t="shared" si="14"/>
        <v/>
      </c>
      <c r="W175" s="511" t="str">
        <f>IF(E175="","",IF(H175&lt;S175+T175,"Error in Areas ▲",IF(P175&lt;&gt;'G-1 All Habitats'!$X$3,H175-S175-T175,IF(AND(P175='G-1 All Habitats'!$X$3,Y175="Yes"),"Unacceptable Loss",IF(AND(P175='G-1 All Habitats'!$X$3,Y175="No"),AC175,IF(AND(P175='G-1 All Habitats'!$X$3,Y175=""),AC175,IF(AND(P175='G-1 All Habitats'!$X$3,AC175="None",AC175),IF(AND(P175='G-1 All Habitats'!$X$3,AC175&gt;0),H175-S175-T175))))))))</f>
        <v/>
      </c>
      <c r="X175" s="515" t="str">
        <f>IFERROR(IF(H175="","",IF(H175-S175-T175=0&lt;0,"Error in Areas ▲",IF(S175+T175&gt;H175,"Error in Areas ▲",IF(AND(P175='G-1 All Habitats'!$X$3,Y175="Yes"),"Alternative Compensation ✓",IF(W175=0,0,IF(P175='G-1 All Habitats'!$X$3,"Unacceptable Loss ▲",Q175-U175-V175)))))),"Check Data ▲")</f>
        <v/>
      </c>
      <c r="Y175" s="72"/>
      <c r="Z175" s="80"/>
      <c r="AA175" s="81"/>
      <c r="AC175" s="75" t="str">
        <f>IF(P175="","",IF(P175='G-1 All Habitats'!$X$3,H175-S175-T175,"None"))</f>
        <v/>
      </c>
      <c r="AD175" s="76" t="str">
        <f>IFERROR(AC175*J175*L175*#REF!*O175,IF(P175="","","None"))</f>
        <v/>
      </c>
      <c r="AF175" s="54" t="str">
        <f t="shared" si="10"/>
        <v/>
      </c>
      <c r="AG175" s="54" t="str">
        <f t="shared" si="11"/>
        <v/>
      </c>
      <c r="AH175" s="54" t="str">
        <f>IF(I175="","",IF(#REF!&gt;0,TRUE,FALSE))</f>
        <v/>
      </c>
      <c r="AI175" s="54">
        <v>165</v>
      </c>
      <c r="AJ175" s="54"/>
      <c r="AK175" s="54" t="str">
        <f t="array" ref="AK175">IFERROR(INDEX($AI$11:$AI$259, MATCH(0, IF(TRUE=$AF$11:$AF$259, COUNTIF($AK$10:$AK174, $AI$11:$AI$259), ""), 0)),"")</f>
        <v/>
      </c>
      <c r="AL175" s="54" t="str">
        <f t="array" ref="AL175">IFERROR(INDEX($AI$11:$AI$259, MATCH(0, IF(TRUE=$AG$11:$AG$259, COUNTIF($AL$10:$AL174, $AI$11:$AI$259), ""), 0)),"")</f>
        <v/>
      </c>
      <c r="AM175" s="54" t="str">
        <f t="array" ref="AM175">IFERROR(INDEX($AI$11:$AI$259, MATCH(0, IF(TRUE=$AH$11:$AH$259, COUNTIF($AM$10:$AM174, $AI$11:$AI$259), ""), 0)),"")</f>
        <v/>
      </c>
      <c r="AN175" s="54"/>
      <c r="AQ175" s="47">
        <f t="shared" si="12"/>
        <v>0</v>
      </c>
    </row>
    <row r="176" spans="1:43" x14ac:dyDescent="0.3">
      <c r="A176" s="47" t="str">
        <f>IFERROR(INDEX('G-1 All Habitats'!$AG$3:$AG$15,MATCH(E176,'G-1 All Habitats'!$AF$3:$AF$15,0)),"")</f>
        <v/>
      </c>
      <c r="B176" s="47" t="str">
        <f>IFERROR(INDEX('G-8 Condition Look up'!$I$4:$I$130,MATCH(G176,'G-8 Condition Look up'!$A$4:$A$130,0)),"")</f>
        <v/>
      </c>
      <c r="D176" s="77">
        <v>166</v>
      </c>
      <c r="E176" s="78"/>
      <c r="F176" s="79"/>
      <c r="G176" s="69" t="str">
        <f>IFERROR(INDEX('G-1 All Habitats'!$B$3:$B$129,MATCH(F176,'G-1 All Habitats'!$A$3:$A$129,0)),"")</f>
        <v/>
      </c>
      <c r="H176" s="70"/>
      <c r="I176" s="498" t="str">
        <f>IF(G176="","",VLOOKUP(G176,'G-1 All Habitats'!$B$2:$M$129,10,FALSE))</f>
        <v/>
      </c>
      <c r="J176" s="499" t="str">
        <f>IFERROR(VLOOKUP(I176,'G-1 All Habitats'!$V$3:$W$7,2,FALSE),"")</f>
        <v/>
      </c>
      <c r="K176" s="71"/>
      <c r="L176" s="499" t="str">
        <f>IFERROR(INDEX('G-8 Condition Look up'!$A$3:$H$130,MATCH(G176,'G-8 Condition Look up'!$A$3:$A$130,0),MATCH(K176,'G-8 Condition Look up'!$A$3:$H$3,0)),"")</f>
        <v/>
      </c>
      <c r="M176" s="71"/>
      <c r="N176" s="520" t="str">
        <f>IF(M176="","",IF(VLOOKUP(M176,'G-3 Multipliers'!$L$3:$N$6,2,FALSE)=0,"Spatial Data Missing",VLOOKUP(M176,'G-3 Multipliers'!$L$3:$N$6,2,FALSE)))</f>
        <v/>
      </c>
      <c r="O176" s="505" t="str">
        <f>IF(M176="","",IF(VLOOKUP(M176,'G-3 Multipliers'!$L$3:$N$6,3,FALSE)=0,"Spatial Data Missing",VLOOKUP(M176,'G-3 Multipliers'!$L$3:$N$6,3,FALSE)))</f>
        <v/>
      </c>
      <c r="P176" s="506" t="str">
        <f>IFERROR(VLOOKUP(G176,'G-1 All Habitats'!$B$2:$M$129,12,FALSE),"")</f>
        <v/>
      </c>
      <c r="Q176" s="513" t="str">
        <f>IFERROR(IF(P176="","",IF(AND(P176='G-1 All Habitats'!$X$3,T176&gt;0),U176+V176,IF(AND(P176='G-1 All Habitats'!$X$3,S176&gt;0),U176+V176,IF(AND(P176='G-1 All Habitats'!$X$3,AC176&gt;0),"Any Loss Unacceptable ▲",IF(AND(P176='G-1 All Habitats'!$X$3,W176&gt;0),"Any Loss Unacceptable ▲",H176*J176*L176*O176))))),"Check Data ▲")</f>
        <v/>
      </c>
      <c r="R176" s="50"/>
      <c r="S176" s="71"/>
      <c r="T176" s="72"/>
      <c r="U176" s="511" t="str">
        <f t="shared" si="13"/>
        <v/>
      </c>
      <c r="V176" s="511" t="str">
        <f t="shared" si="14"/>
        <v/>
      </c>
      <c r="W176" s="511" t="str">
        <f>IF(E176="","",IF(H176&lt;S176+T176,"Error in Areas ▲",IF(P176&lt;&gt;'G-1 All Habitats'!$X$3,H176-S176-T176,IF(AND(P176='G-1 All Habitats'!$X$3,Y176="Yes"),"Unacceptable Loss",IF(AND(P176='G-1 All Habitats'!$X$3,Y176="No"),AC176,IF(AND(P176='G-1 All Habitats'!$X$3,Y176=""),AC176,IF(AND(P176='G-1 All Habitats'!$X$3,AC176="None",AC176),IF(AND(P176='G-1 All Habitats'!$X$3,AC176&gt;0),H176-S176-T176))))))))</f>
        <v/>
      </c>
      <c r="X176" s="515" t="str">
        <f>IFERROR(IF(H176="","",IF(H176-S176-T176=0&lt;0,"Error in Areas ▲",IF(S176+T176&gt;H176,"Error in Areas ▲",IF(AND(P176='G-1 All Habitats'!$X$3,Y176="Yes"),"Alternative Compensation ✓",IF(W176=0,0,IF(P176='G-1 All Habitats'!$X$3,"Unacceptable Loss ▲",Q176-U176-V176)))))),"Check Data ▲")</f>
        <v/>
      </c>
      <c r="Y176" s="72"/>
      <c r="Z176" s="80"/>
      <c r="AA176" s="81"/>
      <c r="AC176" s="75" t="str">
        <f>IF(P176="","",IF(P176='G-1 All Habitats'!$X$3,H176-S176-T176,"None"))</f>
        <v/>
      </c>
      <c r="AD176" s="76" t="str">
        <f>IFERROR(AC176*J176*L176*#REF!*O176,IF(P176="","","None"))</f>
        <v/>
      </c>
      <c r="AF176" s="54" t="str">
        <f t="shared" si="10"/>
        <v/>
      </c>
      <c r="AG176" s="54" t="str">
        <f t="shared" si="11"/>
        <v/>
      </c>
      <c r="AH176" s="54" t="str">
        <f>IF(I176="","",IF(#REF!&gt;0,TRUE,FALSE))</f>
        <v/>
      </c>
      <c r="AI176" s="54">
        <v>166</v>
      </c>
      <c r="AJ176" s="54"/>
      <c r="AK176" s="54" t="str">
        <f t="array" ref="AK176">IFERROR(INDEX($AI$11:$AI$259, MATCH(0, IF(TRUE=$AF$11:$AF$259, COUNTIF($AK$10:$AK175, $AI$11:$AI$259), ""), 0)),"")</f>
        <v/>
      </c>
      <c r="AL176" s="54" t="str">
        <f t="array" ref="AL176">IFERROR(INDEX($AI$11:$AI$259, MATCH(0, IF(TRUE=$AG$11:$AG$259, COUNTIF($AL$10:$AL175, $AI$11:$AI$259), ""), 0)),"")</f>
        <v/>
      </c>
      <c r="AM176" s="54" t="str">
        <f t="array" ref="AM176">IFERROR(INDEX($AI$11:$AI$259, MATCH(0, IF(TRUE=$AH$11:$AH$259, COUNTIF($AM$10:$AM175, $AI$11:$AI$259), ""), 0)),"")</f>
        <v/>
      </c>
      <c r="AN176" s="54"/>
      <c r="AQ176" s="47">
        <f t="shared" si="12"/>
        <v>0</v>
      </c>
    </row>
    <row r="177" spans="1:43" x14ac:dyDescent="0.3">
      <c r="A177" s="47" t="str">
        <f>IFERROR(INDEX('G-1 All Habitats'!$AG$3:$AG$15,MATCH(E177,'G-1 All Habitats'!$AF$3:$AF$15,0)),"")</f>
        <v/>
      </c>
      <c r="B177" s="47" t="str">
        <f>IFERROR(INDEX('G-8 Condition Look up'!$I$4:$I$130,MATCH(G177,'G-8 Condition Look up'!$A$4:$A$130,0)),"")</f>
        <v/>
      </c>
      <c r="D177" s="77">
        <v>167</v>
      </c>
      <c r="E177" s="78"/>
      <c r="F177" s="79"/>
      <c r="G177" s="69" t="str">
        <f>IFERROR(INDEX('G-1 All Habitats'!$B$3:$B$129,MATCH(F177,'G-1 All Habitats'!$A$3:$A$129,0)),"")</f>
        <v/>
      </c>
      <c r="H177" s="70"/>
      <c r="I177" s="498" t="str">
        <f>IF(G177="","",VLOOKUP(G177,'G-1 All Habitats'!$B$2:$M$129,10,FALSE))</f>
        <v/>
      </c>
      <c r="J177" s="499" t="str">
        <f>IFERROR(VLOOKUP(I177,'G-1 All Habitats'!$V$3:$W$7,2,FALSE),"")</f>
        <v/>
      </c>
      <c r="K177" s="71"/>
      <c r="L177" s="499" t="str">
        <f>IFERROR(INDEX('G-8 Condition Look up'!$A$3:$H$130,MATCH(G177,'G-8 Condition Look up'!$A$3:$A$130,0),MATCH(K177,'G-8 Condition Look up'!$A$3:$H$3,0)),"")</f>
        <v/>
      </c>
      <c r="M177" s="71"/>
      <c r="N177" s="520" t="str">
        <f>IF(M177="","",IF(VLOOKUP(M177,'G-3 Multipliers'!$L$3:$N$6,2,FALSE)=0,"Spatial Data Missing",VLOOKUP(M177,'G-3 Multipliers'!$L$3:$N$6,2,FALSE)))</f>
        <v/>
      </c>
      <c r="O177" s="505" t="str">
        <f>IF(M177="","",IF(VLOOKUP(M177,'G-3 Multipliers'!$L$3:$N$6,3,FALSE)=0,"Spatial Data Missing",VLOOKUP(M177,'G-3 Multipliers'!$L$3:$N$6,3,FALSE)))</f>
        <v/>
      </c>
      <c r="P177" s="506" t="str">
        <f>IFERROR(VLOOKUP(G177,'G-1 All Habitats'!$B$2:$M$129,12,FALSE),"")</f>
        <v/>
      </c>
      <c r="Q177" s="513" t="str">
        <f>IFERROR(IF(P177="","",IF(AND(P177='G-1 All Habitats'!$X$3,T177&gt;0),U177+V177,IF(AND(P177='G-1 All Habitats'!$X$3,S177&gt;0),U177+V177,IF(AND(P177='G-1 All Habitats'!$X$3,AC177&gt;0),"Any Loss Unacceptable ▲",IF(AND(P177='G-1 All Habitats'!$X$3,W177&gt;0),"Any Loss Unacceptable ▲",H177*J177*L177*O177))))),"Check Data ▲")</f>
        <v/>
      </c>
      <c r="R177" s="50"/>
      <c r="S177" s="71"/>
      <c r="T177" s="72"/>
      <c r="U177" s="511" t="str">
        <f t="shared" si="13"/>
        <v/>
      </c>
      <c r="V177" s="511" t="str">
        <f t="shared" si="14"/>
        <v/>
      </c>
      <c r="W177" s="511" t="str">
        <f>IF(E177="","",IF(H177&lt;S177+T177,"Error in Areas ▲",IF(P177&lt;&gt;'G-1 All Habitats'!$X$3,H177-S177-T177,IF(AND(P177='G-1 All Habitats'!$X$3,Y177="Yes"),"Unacceptable Loss",IF(AND(P177='G-1 All Habitats'!$X$3,Y177="No"),AC177,IF(AND(P177='G-1 All Habitats'!$X$3,Y177=""),AC177,IF(AND(P177='G-1 All Habitats'!$X$3,AC177="None",AC177),IF(AND(P177='G-1 All Habitats'!$X$3,AC177&gt;0),H177-S177-T177))))))))</f>
        <v/>
      </c>
      <c r="X177" s="515" t="str">
        <f>IFERROR(IF(H177="","",IF(H177-S177-T177=0&lt;0,"Error in Areas ▲",IF(S177+T177&gt;H177,"Error in Areas ▲",IF(AND(P177='G-1 All Habitats'!$X$3,Y177="Yes"),"Alternative Compensation ✓",IF(W177=0,0,IF(P177='G-1 All Habitats'!$X$3,"Unacceptable Loss ▲",Q177-U177-V177)))))),"Check Data ▲")</f>
        <v/>
      </c>
      <c r="Y177" s="72"/>
      <c r="Z177" s="80"/>
      <c r="AA177" s="81"/>
      <c r="AC177" s="75" t="str">
        <f>IF(P177="","",IF(P177='G-1 All Habitats'!$X$3,H177-S177-T177,"None"))</f>
        <v/>
      </c>
      <c r="AD177" s="76" t="str">
        <f>IFERROR(AC177*J177*L177*#REF!*O177,IF(P177="","","None"))</f>
        <v/>
      </c>
      <c r="AF177" s="54" t="str">
        <f t="shared" si="10"/>
        <v/>
      </c>
      <c r="AG177" s="54" t="str">
        <f t="shared" si="11"/>
        <v/>
      </c>
      <c r="AH177" s="54" t="str">
        <f>IF(I177="","",IF(#REF!&gt;0,TRUE,FALSE))</f>
        <v/>
      </c>
      <c r="AI177" s="54">
        <v>167</v>
      </c>
      <c r="AJ177" s="54"/>
      <c r="AK177" s="54" t="str">
        <f t="array" ref="AK177">IFERROR(INDEX($AI$11:$AI$259, MATCH(0, IF(TRUE=$AF$11:$AF$259, COUNTIF($AK$10:$AK176, $AI$11:$AI$259), ""), 0)),"")</f>
        <v/>
      </c>
      <c r="AL177" s="54" t="str">
        <f t="array" ref="AL177">IFERROR(INDEX($AI$11:$AI$259, MATCH(0, IF(TRUE=$AG$11:$AG$259, COUNTIF($AL$10:$AL176, $AI$11:$AI$259), ""), 0)),"")</f>
        <v/>
      </c>
      <c r="AM177" s="54" t="str">
        <f t="array" ref="AM177">IFERROR(INDEX($AI$11:$AI$259, MATCH(0, IF(TRUE=$AH$11:$AH$259, COUNTIF($AM$10:$AM176, $AI$11:$AI$259), ""), 0)),"")</f>
        <v/>
      </c>
      <c r="AN177" s="54"/>
      <c r="AQ177" s="47">
        <f t="shared" si="12"/>
        <v>0</v>
      </c>
    </row>
    <row r="178" spans="1:43" x14ac:dyDescent="0.3">
      <c r="A178" s="47" t="str">
        <f>IFERROR(INDEX('G-1 All Habitats'!$AG$3:$AG$15,MATCH(E178,'G-1 All Habitats'!$AF$3:$AF$15,0)),"")</f>
        <v/>
      </c>
      <c r="B178" s="47" t="str">
        <f>IFERROR(INDEX('G-8 Condition Look up'!$I$4:$I$130,MATCH(G178,'G-8 Condition Look up'!$A$4:$A$130,0)),"")</f>
        <v/>
      </c>
      <c r="D178" s="77">
        <v>168</v>
      </c>
      <c r="E178" s="78"/>
      <c r="F178" s="79"/>
      <c r="G178" s="69" t="str">
        <f>IFERROR(INDEX('G-1 All Habitats'!$B$3:$B$129,MATCH(F178,'G-1 All Habitats'!$A$3:$A$129,0)),"")</f>
        <v/>
      </c>
      <c r="H178" s="70"/>
      <c r="I178" s="498" t="str">
        <f>IF(G178="","",VLOOKUP(G178,'G-1 All Habitats'!$B$2:$M$129,10,FALSE))</f>
        <v/>
      </c>
      <c r="J178" s="499" t="str">
        <f>IFERROR(VLOOKUP(I178,'G-1 All Habitats'!$V$3:$W$7,2,FALSE),"")</f>
        <v/>
      </c>
      <c r="K178" s="71"/>
      <c r="L178" s="499" t="str">
        <f>IFERROR(INDEX('G-8 Condition Look up'!$A$3:$H$130,MATCH(G178,'G-8 Condition Look up'!$A$3:$A$130,0),MATCH(K178,'G-8 Condition Look up'!$A$3:$H$3,0)),"")</f>
        <v/>
      </c>
      <c r="M178" s="71"/>
      <c r="N178" s="520" t="str">
        <f>IF(M178="","",IF(VLOOKUP(M178,'G-3 Multipliers'!$L$3:$N$6,2,FALSE)=0,"Spatial Data Missing",VLOOKUP(M178,'G-3 Multipliers'!$L$3:$N$6,2,FALSE)))</f>
        <v/>
      </c>
      <c r="O178" s="505" t="str">
        <f>IF(M178="","",IF(VLOOKUP(M178,'G-3 Multipliers'!$L$3:$N$6,3,FALSE)=0,"Spatial Data Missing",VLOOKUP(M178,'G-3 Multipliers'!$L$3:$N$6,3,FALSE)))</f>
        <v/>
      </c>
      <c r="P178" s="506" t="str">
        <f>IFERROR(VLOOKUP(G178,'G-1 All Habitats'!$B$2:$M$129,12,FALSE),"")</f>
        <v/>
      </c>
      <c r="Q178" s="513" t="str">
        <f>IFERROR(IF(P178="","",IF(AND(P178='G-1 All Habitats'!$X$3,T178&gt;0),U178+V178,IF(AND(P178='G-1 All Habitats'!$X$3,S178&gt;0),U178+V178,IF(AND(P178='G-1 All Habitats'!$X$3,AC178&gt;0),"Any Loss Unacceptable ▲",IF(AND(P178='G-1 All Habitats'!$X$3,W178&gt;0),"Any Loss Unacceptable ▲",H178*J178*L178*O178))))),"Check Data ▲")</f>
        <v/>
      </c>
      <c r="R178" s="50"/>
      <c r="S178" s="71"/>
      <c r="T178" s="72"/>
      <c r="U178" s="511" t="str">
        <f t="shared" si="13"/>
        <v/>
      </c>
      <c r="V178" s="511" t="str">
        <f t="shared" si="14"/>
        <v/>
      </c>
      <c r="W178" s="511" t="str">
        <f>IF(E178="","",IF(H178&lt;S178+T178,"Error in Areas ▲",IF(P178&lt;&gt;'G-1 All Habitats'!$X$3,H178-S178-T178,IF(AND(P178='G-1 All Habitats'!$X$3,Y178="Yes"),"Unacceptable Loss",IF(AND(P178='G-1 All Habitats'!$X$3,Y178="No"),AC178,IF(AND(P178='G-1 All Habitats'!$X$3,Y178=""),AC178,IF(AND(P178='G-1 All Habitats'!$X$3,AC178="None",AC178),IF(AND(P178='G-1 All Habitats'!$X$3,AC178&gt;0),H178-S178-T178))))))))</f>
        <v/>
      </c>
      <c r="X178" s="515" t="str">
        <f>IFERROR(IF(H178="","",IF(H178-S178-T178=0&lt;0,"Error in Areas ▲",IF(S178+T178&gt;H178,"Error in Areas ▲",IF(AND(P178='G-1 All Habitats'!$X$3,Y178="Yes"),"Alternative Compensation ✓",IF(W178=0,0,IF(P178='G-1 All Habitats'!$X$3,"Unacceptable Loss ▲",Q178-U178-V178)))))),"Check Data ▲")</f>
        <v/>
      </c>
      <c r="Y178" s="72"/>
      <c r="Z178" s="80"/>
      <c r="AA178" s="81"/>
      <c r="AC178" s="75" t="str">
        <f>IF(P178="","",IF(P178='G-1 All Habitats'!$X$3,H178-S178-T178,"None"))</f>
        <v/>
      </c>
      <c r="AD178" s="76" t="str">
        <f>IFERROR(AC178*J178*L178*#REF!*O178,IF(P178="","","None"))</f>
        <v/>
      </c>
      <c r="AF178" s="54" t="str">
        <f t="shared" si="10"/>
        <v/>
      </c>
      <c r="AG178" s="54" t="str">
        <f t="shared" si="11"/>
        <v/>
      </c>
      <c r="AH178" s="54" t="str">
        <f>IF(I178="","",IF(#REF!&gt;0,TRUE,FALSE))</f>
        <v/>
      </c>
      <c r="AI178" s="54">
        <v>168</v>
      </c>
      <c r="AJ178" s="54"/>
      <c r="AK178" s="54" t="str">
        <f t="array" ref="AK178">IFERROR(INDEX($AI$11:$AI$259, MATCH(0, IF(TRUE=$AF$11:$AF$259, COUNTIF($AK$10:$AK177, $AI$11:$AI$259), ""), 0)),"")</f>
        <v/>
      </c>
      <c r="AL178" s="54" t="str">
        <f t="array" ref="AL178">IFERROR(INDEX($AI$11:$AI$259, MATCH(0, IF(TRUE=$AG$11:$AG$259, COUNTIF($AL$10:$AL177, $AI$11:$AI$259), ""), 0)),"")</f>
        <v/>
      </c>
      <c r="AM178" s="54" t="str">
        <f t="array" ref="AM178">IFERROR(INDEX($AI$11:$AI$259, MATCH(0, IF(TRUE=$AH$11:$AH$259, COUNTIF($AM$10:$AM177, $AI$11:$AI$259), ""), 0)),"")</f>
        <v/>
      </c>
      <c r="AN178" s="54"/>
      <c r="AQ178" s="47">
        <f t="shared" si="12"/>
        <v>0</v>
      </c>
    </row>
    <row r="179" spans="1:43" x14ac:dyDescent="0.3">
      <c r="A179" s="47" t="str">
        <f>IFERROR(INDEX('G-1 All Habitats'!$AG$3:$AG$15,MATCH(E179,'G-1 All Habitats'!$AF$3:$AF$15,0)),"")</f>
        <v/>
      </c>
      <c r="B179" s="47" t="str">
        <f>IFERROR(INDEX('G-8 Condition Look up'!$I$4:$I$130,MATCH(G179,'G-8 Condition Look up'!$A$4:$A$130,0)),"")</f>
        <v/>
      </c>
      <c r="D179" s="77">
        <v>169</v>
      </c>
      <c r="E179" s="78"/>
      <c r="F179" s="79"/>
      <c r="G179" s="69" t="str">
        <f>IFERROR(INDEX('G-1 All Habitats'!$B$3:$B$129,MATCH(F179,'G-1 All Habitats'!$A$3:$A$129,0)),"")</f>
        <v/>
      </c>
      <c r="H179" s="70"/>
      <c r="I179" s="498" t="str">
        <f>IF(G179="","",VLOOKUP(G179,'G-1 All Habitats'!$B$2:$M$129,10,FALSE))</f>
        <v/>
      </c>
      <c r="J179" s="499" t="str">
        <f>IFERROR(VLOOKUP(I179,'G-1 All Habitats'!$V$3:$W$7,2,FALSE),"")</f>
        <v/>
      </c>
      <c r="K179" s="71"/>
      <c r="L179" s="499" t="str">
        <f>IFERROR(INDEX('G-8 Condition Look up'!$A$3:$H$130,MATCH(G179,'G-8 Condition Look up'!$A$3:$A$130,0),MATCH(K179,'G-8 Condition Look up'!$A$3:$H$3,0)),"")</f>
        <v/>
      </c>
      <c r="M179" s="71"/>
      <c r="N179" s="520" t="str">
        <f>IF(M179="","",IF(VLOOKUP(M179,'G-3 Multipliers'!$L$3:$N$6,2,FALSE)=0,"Spatial Data Missing",VLOOKUP(M179,'G-3 Multipliers'!$L$3:$N$6,2,FALSE)))</f>
        <v/>
      </c>
      <c r="O179" s="505" t="str">
        <f>IF(M179="","",IF(VLOOKUP(M179,'G-3 Multipliers'!$L$3:$N$6,3,FALSE)=0,"Spatial Data Missing",VLOOKUP(M179,'G-3 Multipliers'!$L$3:$N$6,3,FALSE)))</f>
        <v/>
      </c>
      <c r="P179" s="506" t="str">
        <f>IFERROR(VLOOKUP(G179,'G-1 All Habitats'!$B$2:$M$129,12,FALSE),"")</f>
        <v/>
      </c>
      <c r="Q179" s="513" t="str">
        <f>IFERROR(IF(P179="","",IF(AND(P179='G-1 All Habitats'!$X$3,T179&gt;0),U179+V179,IF(AND(P179='G-1 All Habitats'!$X$3,S179&gt;0),U179+V179,IF(AND(P179='G-1 All Habitats'!$X$3,AC179&gt;0),"Any Loss Unacceptable ▲",IF(AND(P179='G-1 All Habitats'!$X$3,W179&gt;0),"Any Loss Unacceptable ▲",H179*J179*L179*O179))))),"Check Data ▲")</f>
        <v/>
      </c>
      <c r="R179" s="50"/>
      <c r="S179" s="71"/>
      <c r="T179" s="72"/>
      <c r="U179" s="511" t="str">
        <f t="shared" si="13"/>
        <v/>
      </c>
      <c r="V179" s="511" t="str">
        <f t="shared" si="14"/>
        <v/>
      </c>
      <c r="W179" s="511" t="str">
        <f>IF(E179="","",IF(H179&lt;S179+T179,"Error in Areas ▲",IF(P179&lt;&gt;'G-1 All Habitats'!$X$3,H179-S179-T179,IF(AND(P179='G-1 All Habitats'!$X$3,Y179="Yes"),"Unacceptable Loss",IF(AND(P179='G-1 All Habitats'!$X$3,Y179="No"),AC179,IF(AND(P179='G-1 All Habitats'!$X$3,Y179=""),AC179,IF(AND(P179='G-1 All Habitats'!$X$3,AC179="None",AC179),IF(AND(P179='G-1 All Habitats'!$X$3,AC179&gt;0),H179-S179-T179))))))))</f>
        <v/>
      </c>
      <c r="X179" s="515" t="str">
        <f>IFERROR(IF(H179="","",IF(H179-S179-T179=0&lt;0,"Error in Areas ▲",IF(S179+T179&gt;H179,"Error in Areas ▲",IF(AND(P179='G-1 All Habitats'!$X$3,Y179="Yes"),"Alternative Compensation ✓",IF(W179=0,0,IF(P179='G-1 All Habitats'!$X$3,"Unacceptable Loss ▲",Q179-U179-V179)))))),"Check Data ▲")</f>
        <v/>
      </c>
      <c r="Y179" s="72"/>
      <c r="Z179" s="80"/>
      <c r="AA179" s="81"/>
      <c r="AC179" s="75" t="str">
        <f>IF(P179="","",IF(P179='G-1 All Habitats'!$X$3,H179-S179-T179,"None"))</f>
        <v/>
      </c>
      <c r="AD179" s="76" t="str">
        <f>IFERROR(AC179*J179*L179*#REF!*O179,IF(P179="","","None"))</f>
        <v/>
      </c>
      <c r="AF179" s="54" t="str">
        <f t="shared" si="10"/>
        <v/>
      </c>
      <c r="AG179" s="54" t="str">
        <f t="shared" si="11"/>
        <v/>
      </c>
      <c r="AH179" s="54" t="str">
        <f>IF(I179="","",IF(#REF!&gt;0,TRUE,FALSE))</f>
        <v/>
      </c>
      <c r="AI179" s="54">
        <v>169</v>
      </c>
      <c r="AJ179" s="54"/>
      <c r="AK179" s="54" t="str">
        <f t="array" ref="AK179">IFERROR(INDEX($AI$11:$AI$259, MATCH(0, IF(TRUE=$AF$11:$AF$259, COUNTIF($AK$10:$AK178, $AI$11:$AI$259), ""), 0)),"")</f>
        <v/>
      </c>
      <c r="AL179" s="54" t="str">
        <f t="array" ref="AL179">IFERROR(INDEX($AI$11:$AI$259, MATCH(0, IF(TRUE=$AG$11:$AG$259, COUNTIF($AL$10:$AL178, $AI$11:$AI$259), ""), 0)),"")</f>
        <v/>
      </c>
      <c r="AM179" s="54" t="str">
        <f t="array" ref="AM179">IFERROR(INDEX($AI$11:$AI$259, MATCH(0, IF(TRUE=$AH$11:$AH$259, COUNTIF($AM$10:$AM178, $AI$11:$AI$259), ""), 0)),"")</f>
        <v/>
      </c>
      <c r="AN179" s="54"/>
      <c r="AQ179" s="47">
        <f t="shared" si="12"/>
        <v>0</v>
      </c>
    </row>
    <row r="180" spans="1:43" x14ac:dyDescent="0.3">
      <c r="A180" s="47" t="str">
        <f>IFERROR(INDEX('G-1 All Habitats'!$AG$3:$AG$15,MATCH(E180,'G-1 All Habitats'!$AF$3:$AF$15,0)),"")</f>
        <v/>
      </c>
      <c r="B180" s="47" t="str">
        <f>IFERROR(INDEX('G-8 Condition Look up'!$I$4:$I$130,MATCH(G180,'G-8 Condition Look up'!$A$4:$A$130,0)),"")</f>
        <v/>
      </c>
      <c r="D180" s="77">
        <v>170</v>
      </c>
      <c r="E180" s="78"/>
      <c r="F180" s="79"/>
      <c r="G180" s="69" t="str">
        <f>IFERROR(INDEX('G-1 All Habitats'!$B$3:$B$129,MATCH(F180,'G-1 All Habitats'!$A$3:$A$129,0)),"")</f>
        <v/>
      </c>
      <c r="H180" s="70"/>
      <c r="I180" s="498" t="str">
        <f>IF(G180="","",VLOOKUP(G180,'G-1 All Habitats'!$B$2:$M$129,10,FALSE))</f>
        <v/>
      </c>
      <c r="J180" s="499" t="str">
        <f>IFERROR(VLOOKUP(I180,'G-1 All Habitats'!$V$3:$W$7,2,FALSE),"")</f>
        <v/>
      </c>
      <c r="K180" s="71"/>
      <c r="L180" s="499" t="str">
        <f>IFERROR(INDEX('G-8 Condition Look up'!$A$3:$H$130,MATCH(G180,'G-8 Condition Look up'!$A$3:$A$130,0),MATCH(K180,'G-8 Condition Look up'!$A$3:$H$3,0)),"")</f>
        <v/>
      </c>
      <c r="M180" s="71"/>
      <c r="N180" s="520" t="str">
        <f>IF(M180="","",IF(VLOOKUP(M180,'G-3 Multipliers'!$L$3:$N$6,2,FALSE)=0,"Spatial Data Missing",VLOOKUP(M180,'G-3 Multipliers'!$L$3:$N$6,2,FALSE)))</f>
        <v/>
      </c>
      <c r="O180" s="505" t="str">
        <f>IF(M180="","",IF(VLOOKUP(M180,'G-3 Multipliers'!$L$3:$N$6,3,FALSE)=0,"Spatial Data Missing",VLOOKUP(M180,'G-3 Multipliers'!$L$3:$N$6,3,FALSE)))</f>
        <v/>
      </c>
      <c r="P180" s="506" t="str">
        <f>IFERROR(VLOOKUP(G180,'G-1 All Habitats'!$B$2:$M$129,12,FALSE),"")</f>
        <v/>
      </c>
      <c r="Q180" s="513" t="str">
        <f>IFERROR(IF(P180="","",IF(AND(P180='G-1 All Habitats'!$X$3,T180&gt;0),U180+V180,IF(AND(P180='G-1 All Habitats'!$X$3,S180&gt;0),U180+V180,IF(AND(P180='G-1 All Habitats'!$X$3,AC180&gt;0),"Any Loss Unacceptable ▲",IF(AND(P180='G-1 All Habitats'!$X$3,W180&gt;0),"Any Loss Unacceptable ▲",H180*J180*L180*O180))))),"Check Data ▲")</f>
        <v/>
      </c>
      <c r="R180" s="50"/>
      <c r="S180" s="71"/>
      <c r="T180" s="72"/>
      <c r="U180" s="511" t="str">
        <f t="shared" si="13"/>
        <v/>
      </c>
      <c r="V180" s="511" t="str">
        <f t="shared" si="14"/>
        <v/>
      </c>
      <c r="W180" s="511" t="str">
        <f>IF(E180="","",IF(H180&lt;S180+T180,"Error in Areas ▲",IF(P180&lt;&gt;'G-1 All Habitats'!$X$3,H180-S180-T180,IF(AND(P180='G-1 All Habitats'!$X$3,Y180="Yes"),"Unacceptable Loss",IF(AND(P180='G-1 All Habitats'!$X$3,Y180="No"),AC180,IF(AND(P180='G-1 All Habitats'!$X$3,Y180=""),AC180,IF(AND(P180='G-1 All Habitats'!$X$3,AC180="None",AC180),IF(AND(P180='G-1 All Habitats'!$X$3,AC180&gt;0),H180-S180-T180))))))))</f>
        <v/>
      </c>
      <c r="X180" s="515" t="str">
        <f>IFERROR(IF(H180="","",IF(H180-S180-T180=0&lt;0,"Error in Areas ▲",IF(S180+T180&gt;H180,"Error in Areas ▲",IF(AND(P180='G-1 All Habitats'!$X$3,Y180="Yes"),"Alternative Compensation ✓",IF(W180=0,0,IF(P180='G-1 All Habitats'!$X$3,"Unacceptable Loss ▲",Q180-U180-V180)))))),"Check Data ▲")</f>
        <v/>
      </c>
      <c r="Y180" s="72"/>
      <c r="Z180" s="80"/>
      <c r="AA180" s="81"/>
      <c r="AC180" s="75" t="str">
        <f>IF(P180="","",IF(P180='G-1 All Habitats'!$X$3,H180-S180-T180,"None"))</f>
        <v/>
      </c>
      <c r="AD180" s="76" t="str">
        <f>IFERROR(AC180*J180*L180*#REF!*O180,IF(P180="","","None"))</f>
        <v/>
      </c>
      <c r="AF180" s="54" t="str">
        <f t="shared" si="10"/>
        <v/>
      </c>
      <c r="AG180" s="54" t="str">
        <f t="shared" si="11"/>
        <v/>
      </c>
      <c r="AH180" s="54" t="str">
        <f>IF(I180="","",IF(#REF!&gt;0,TRUE,FALSE))</f>
        <v/>
      </c>
      <c r="AI180" s="54">
        <v>170</v>
      </c>
      <c r="AJ180" s="54"/>
      <c r="AK180" s="54" t="str">
        <f t="array" ref="AK180">IFERROR(INDEX($AI$11:$AI$259, MATCH(0, IF(TRUE=$AF$11:$AF$259, COUNTIF($AK$10:$AK179, $AI$11:$AI$259), ""), 0)),"")</f>
        <v/>
      </c>
      <c r="AL180" s="54" t="str">
        <f t="array" ref="AL180">IFERROR(INDEX($AI$11:$AI$259, MATCH(0, IF(TRUE=$AG$11:$AG$259, COUNTIF($AL$10:$AL179, $AI$11:$AI$259), ""), 0)),"")</f>
        <v/>
      </c>
      <c r="AM180" s="54" t="str">
        <f t="array" ref="AM180">IFERROR(INDEX($AI$11:$AI$259, MATCH(0, IF(TRUE=$AH$11:$AH$259, COUNTIF($AM$10:$AM179, $AI$11:$AI$259), ""), 0)),"")</f>
        <v/>
      </c>
      <c r="AN180" s="54"/>
      <c r="AQ180" s="47">
        <f t="shared" si="12"/>
        <v>0</v>
      </c>
    </row>
    <row r="181" spans="1:43" x14ac:dyDescent="0.3">
      <c r="A181" s="47" t="str">
        <f>IFERROR(INDEX('G-1 All Habitats'!$AG$3:$AG$15,MATCH(E181,'G-1 All Habitats'!$AF$3:$AF$15,0)),"")</f>
        <v/>
      </c>
      <c r="B181" s="47" t="str">
        <f>IFERROR(INDEX('G-8 Condition Look up'!$I$4:$I$130,MATCH(G181,'G-8 Condition Look up'!$A$4:$A$130,0)),"")</f>
        <v/>
      </c>
      <c r="D181" s="77">
        <v>171</v>
      </c>
      <c r="E181" s="78"/>
      <c r="F181" s="79"/>
      <c r="G181" s="69" t="str">
        <f>IFERROR(INDEX('G-1 All Habitats'!$B$3:$B$129,MATCH(F181,'G-1 All Habitats'!$A$3:$A$129,0)),"")</f>
        <v/>
      </c>
      <c r="H181" s="70"/>
      <c r="I181" s="498" t="str">
        <f>IF(G181="","",VLOOKUP(G181,'G-1 All Habitats'!$B$2:$M$129,10,FALSE))</f>
        <v/>
      </c>
      <c r="J181" s="499" t="str">
        <f>IFERROR(VLOOKUP(I181,'G-1 All Habitats'!$V$3:$W$7,2,FALSE),"")</f>
        <v/>
      </c>
      <c r="K181" s="71"/>
      <c r="L181" s="499" t="str">
        <f>IFERROR(INDEX('G-8 Condition Look up'!$A$3:$H$130,MATCH(G181,'G-8 Condition Look up'!$A$3:$A$130,0),MATCH(K181,'G-8 Condition Look up'!$A$3:$H$3,0)),"")</f>
        <v/>
      </c>
      <c r="M181" s="71"/>
      <c r="N181" s="520" t="str">
        <f>IF(M181="","",IF(VLOOKUP(M181,'G-3 Multipliers'!$L$3:$N$6,2,FALSE)=0,"Spatial Data Missing",VLOOKUP(M181,'G-3 Multipliers'!$L$3:$N$6,2,FALSE)))</f>
        <v/>
      </c>
      <c r="O181" s="505" t="str">
        <f>IF(M181="","",IF(VLOOKUP(M181,'G-3 Multipliers'!$L$3:$N$6,3,FALSE)=0,"Spatial Data Missing",VLOOKUP(M181,'G-3 Multipliers'!$L$3:$N$6,3,FALSE)))</f>
        <v/>
      </c>
      <c r="P181" s="506" t="str">
        <f>IFERROR(VLOOKUP(G181,'G-1 All Habitats'!$B$2:$M$129,12,FALSE),"")</f>
        <v/>
      </c>
      <c r="Q181" s="513" t="str">
        <f>IFERROR(IF(P181="","",IF(AND(P181='G-1 All Habitats'!$X$3,T181&gt;0),U181+V181,IF(AND(P181='G-1 All Habitats'!$X$3,S181&gt;0),U181+V181,IF(AND(P181='G-1 All Habitats'!$X$3,AC181&gt;0),"Any Loss Unacceptable ▲",IF(AND(P181='G-1 All Habitats'!$X$3,W181&gt;0),"Any Loss Unacceptable ▲",H181*J181*L181*O181))))),"Check Data ▲")</f>
        <v/>
      </c>
      <c r="R181" s="50"/>
      <c r="S181" s="71"/>
      <c r="T181" s="72"/>
      <c r="U181" s="511" t="str">
        <f t="shared" si="13"/>
        <v/>
      </c>
      <c r="V181" s="511" t="str">
        <f t="shared" si="14"/>
        <v/>
      </c>
      <c r="W181" s="511" t="str">
        <f>IF(E181="","",IF(H181&lt;S181+T181,"Error in Areas ▲",IF(P181&lt;&gt;'G-1 All Habitats'!$X$3,H181-S181-T181,IF(AND(P181='G-1 All Habitats'!$X$3,Y181="Yes"),"Unacceptable Loss",IF(AND(P181='G-1 All Habitats'!$X$3,Y181="No"),AC181,IF(AND(P181='G-1 All Habitats'!$X$3,Y181=""),AC181,IF(AND(P181='G-1 All Habitats'!$X$3,AC181="None",AC181),IF(AND(P181='G-1 All Habitats'!$X$3,AC181&gt;0),H181-S181-T181))))))))</f>
        <v/>
      </c>
      <c r="X181" s="515" t="str">
        <f>IFERROR(IF(H181="","",IF(H181-S181-T181=0&lt;0,"Error in Areas ▲",IF(S181+T181&gt;H181,"Error in Areas ▲",IF(AND(P181='G-1 All Habitats'!$X$3,Y181="Yes"),"Alternative Compensation ✓",IF(W181=0,0,IF(P181='G-1 All Habitats'!$X$3,"Unacceptable Loss ▲",Q181-U181-V181)))))),"Check Data ▲")</f>
        <v/>
      </c>
      <c r="Y181" s="72"/>
      <c r="Z181" s="80"/>
      <c r="AA181" s="81"/>
      <c r="AC181" s="75" t="str">
        <f>IF(P181="","",IF(P181='G-1 All Habitats'!$X$3,H181-S181-T181,"None"))</f>
        <v/>
      </c>
      <c r="AD181" s="76" t="str">
        <f>IFERROR(AC181*J181*L181*#REF!*O181,IF(P181="","","None"))</f>
        <v/>
      </c>
      <c r="AF181" s="54" t="str">
        <f t="shared" si="10"/>
        <v/>
      </c>
      <c r="AG181" s="54" t="str">
        <f t="shared" si="11"/>
        <v/>
      </c>
      <c r="AH181" s="54" t="str">
        <f>IF(I181="","",IF(#REF!&gt;0,TRUE,FALSE))</f>
        <v/>
      </c>
      <c r="AI181" s="54">
        <v>171</v>
      </c>
      <c r="AJ181" s="54"/>
      <c r="AK181" s="54" t="str">
        <f t="array" ref="AK181">IFERROR(INDEX($AI$11:$AI$259, MATCH(0, IF(TRUE=$AF$11:$AF$259, COUNTIF($AK$10:$AK180, $AI$11:$AI$259), ""), 0)),"")</f>
        <v/>
      </c>
      <c r="AL181" s="54" t="str">
        <f t="array" ref="AL181">IFERROR(INDEX($AI$11:$AI$259, MATCH(0, IF(TRUE=$AG$11:$AG$259, COUNTIF($AL$10:$AL180, $AI$11:$AI$259), ""), 0)),"")</f>
        <v/>
      </c>
      <c r="AM181" s="54" t="str">
        <f t="array" ref="AM181">IFERROR(INDEX($AI$11:$AI$259, MATCH(0, IF(TRUE=$AH$11:$AH$259, COUNTIF($AM$10:$AM180, $AI$11:$AI$259), ""), 0)),"")</f>
        <v/>
      </c>
      <c r="AN181" s="54"/>
      <c r="AQ181" s="47">
        <f t="shared" si="12"/>
        <v>0</v>
      </c>
    </row>
    <row r="182" spans="1:43" x14ac:dyDescent="0.3">
      <c r="A182" s="47" t="str">
        <f>IFERROR(INDEX('G-1 All Habitats'!$AG$3:$AG$15,MATCH(E182,'G-1 All Habitats'!$AF$3:$AF$15,0)),"")</f>
        <v/>
      </c>
      <c r="B182" s="47" t="str">
        <f>IFERROR(INDEX('G-8 Condition Look up'!$I$4:$I$130,MATCH(G182,'G-8 Condition Look up'!$A$4:$A$130,0)),"")</f>
        <v/>
      </c>
      <c r="D182" s="77">
        <v>172</v>
      </c>
      <c r="E182" s="78"/>
      <c r="F182" s="79"/>
      <c r="G182" s="69" t="str">
        <f>IFERROR(INDEX('G-1 All Habitats'!$B$3:$B$129,MATCH(F182,'G-1 All Habitats'!$A$3:$A$129,0)),"")</f>
        <v/>
      </c>
      <c r="H182" s="70"/>
      <c r="I182" s="498" t="str">
        <f>IF(G182="","",VLOOKUP(G182,'G-1 All Habitats'!$B$2:$M$129,10,FALSE))</f>
        <v/>
      </c>
      <c r="J182" s="499" t="str">
        <f>IFERROR(VLOOKUP(I182,'G-1 All Habitats'!$V$3:$W$7,2,FALSE),"")</f>
        <v/>
      </c>
      <c r="K182" s="71"/>
      <c r="L182" s="499" t="str">
        <f>IFERROR(INDEX('G-8 Condition Look up'!$A$3:$H$130,MATCH(G182,'G-8 Condition Look up'!$A$3:$A$130,0),MATCH(K182,'G-8 Condition Look up'!$A$3:$H$3,0)),"")</f>
        <v/>
      </c>
      <c r="M182" s="71"/>
      <c r="N182" s="520" t="str">
        <f>IF(M182="","",IF(VLOOKUP(M182,'G-3 Multipliers'!$L$3:$N$6,2,FALSE)=0,"Spatial Data Missing",VLOOKUP(M182,'G-3 Multipliers'!$L$3:$N$6,2,FALSE)))</f>
        <v/>
      </c>
      <c r="O182" s="505" t="str">
        <f>IF(M182="","",IF(VLOOKUP(M182,'G-3 Multipliers'!$L$3:$N$6,3,FALSE)=0,"Spatial Data Missing",VLOOKUP(M182,'G-3 Multipliers'!$L$3:$N$6,3,FALSE)))</f>
        <v/>
      </c>
      <c r="P182" s="506" t="str">
        <f>IFERROR(VLOOKUP(G182,'G-1 All Habitats'!$B$2:$M$129,12,FALSE),"")</f>
        <v/>
      </c>
      <c r="Q182" s="513" t="str">
        <f>IFERROR(IF(P182="","",IF(AND(P182='G-1 All Habitats'!$X$3,T182&gt;0),U182+V182,IF(AND(P182='G-1 All Habitats'!$X$3,S182&gt;0),U182+V182,IF(AND(P182='G-1 All Habitats'!$X$3,AC182&gt;0),"Any Loss Unacceptable ▲",IF(AND(P182='G-1 All Habitats'!$X$3,W182&gt;0),"Any Loss Unacceptable ▲",H182*J182*L182*O182))))),"Check Data ▲")</f>
        <v/>
      </c>
      <c r="R182" s="50"/>
      <c r="S182" s="71"/>
      <c r="T182" s="72"/>
      <c r="U182" s="511" t="str">
        <f t="shared" si="13"/>
        <v/>
      </c>
      <c r="V182" s="511" t="str">
        <f t="shared" si="14"/>
        <v/>
      </c>
      <c r="W182" s="511" t="str">
        <f>IF(E182="","",IF(H182&lt;S182+T182,"Error in Areas ▲",IF(P182&lt;&gt;'G-1 All Habitats'!$X$3,H182-S182-T182,IF(AND(P182='G-1 All Habitats'!$X$3,Y182="Yes"),"Unacceptable Loss",IF(AND(P182='G-1 All Habitats'!$X$3,Y182="No"),AC182,IF(AND(P182='G-1 All Habitats'!$X$3,Y182=""),AC182,IF(AND(P182='G-1 All Habitats'!$X$3,AC182="None",AC182),IF(AND(P182='G-1 All Habitats'!$X$3,AC182&gt;0),H182-S182-T182))))))))</f>
        <v/>
      </c>
      <c r="X182" s="515" t="str">
        <f>IFERROR(IF(H182="","",IF(H182-S182-T182=0&lt;0,"Error in Areas ▲",IF(S182+T182&gt;H182,"Error in Areas ▲",IF(AND(P182='G-1 All Habitats'!$X$3,Y182="Yes"),"Alternative Compensation ✓",IF(W182=0,0,IF(P182='G-1 All Habitats'!$X$3,"Unacceptable Loss ▲",Q182-U182-V182)))))),"Check Data ▲")</f>
        <v/>
      </c>
      <c r="Y182" s="72"/>
      <c r="Z182" s="80"/>
      <c r="AA182" s="81"/>
      <c r="AC182" s="75" t="str">
        <f>IF(P182="","",IF(P182='G-1 All Habitats'!$X$3,H182-S182-T182,"None"))</f>
        <v/>
      </c>
      <c r="AD182" s="76" t="str">
        <f>IFERROR(AC182*J182*L182*#REF!*O182,IF(P182="","","None"))</f>
        <v/>
      </c>
      <c r="AF182" s="54" t="str">
        <f t="shared" si="10"/>
        <v/>
      </c>
      <c r="AG182" s="54" t="str">
        <f t="shared" si="11"/>
        <v/>
      </c>
      <c r="AH182" s="54" t="str">
        <f>IF(I182="","",IF(#REF!&gt;0,TRUE,FALSE))</f>
        <v/>
      </c>
      <c r="AI182" s="54">
        <v>172</v>
      </c>
      <c r="AJ182" s="54"/>
      <c r="AK182" s="54" t="str">
        <f t="array" ref="AK182">IFERROR(INDEX($AI$11:$AI$259, MATCH(0, IF(TRUE=$AF$11:$AF$259, COUNTIF($AK$10:$AK181, $AI$11:$AI$259), ""), 0)),"")</f>
        <v/>
      </c>
      <c r="AL182" s="54" t="str">
        <f t="array" ref="AL182">IFERROR(INDEX($AI$11:$AI$259, MATCH(0, IF(TRUE=$AG$11:$AG$259, COUNTIF($AL$10:$AL181, $AI$11:$AI$259), ""), 0)),"")</f>
        <v/>
      </c>
      <c r="AM182" s="54" t="str">
        <f t="array" ref="AM182">IFERROR(INDEX($AI$11:$AI$259, MATCH(0, IF(TRUE=$AH$11:$AH$259, COUNTIF($AM$10:$AM181, $AI$11:$AI$259), ""), 0)),"")</f>
        <v/>
      </c>
      <c r="AN182" s="54"/>
      <c r="AQ182" s="47">
        <f t="shared" si="12"/>
        <v>0</v>
      </c>
    </row>
    <row r="183" spans="1:43" x14ac:dyDescent="0.3">
      <c r="A183" s="47" t="str">
        <f>IFERROR(INDEX('G-1 All Habitats'!$AG$3:$AG$15,MATCH(E183,'G-1 All Habitats'!$AF$3:$AF$15,0)),"")</f>
        <v/>
      </c>
      <c r="B183" s="47" t="str">
        <f>IFERROR(INDEX('G-8 Condition Look up'!$I$4:$I$130,MATCH(G183,'G-8 Condition Look up'!$A$4:$A$130,0)),"")</f>
        <v/>
      </c>
      <c r="D183" s="77">
        <v>173</v>
      </c>
      <c r="E183" s="78"/>
      <c r="F183" s="79"/>
      <c r="G183" s="69" t="str">
        <f>IFERROR(INDEX('G-1 All Habitats'!$B$3:$B$129,MATCH(F183,'G-1 All Habitats'!$A$3:$A$129,0)),"")</f>
        <v/>
      </c>
      <c r="H183" s="70"/>
      <c r="I183" s="498" t="str">
        <f>IF(G183="","",VLOOKUP(G183,'G-1 All Habitats'!$B$2:$M$129,10,FALSE))</f>
        <v/>
      </c>
      <c r="J183" s="499" t="str">
        <f>IFERROR(VLOOKUP(I183,'G-1 All Habitats'!$V$3:$W$7,2,FALSE),"")</f>
        <v/>
      </c>
      <c r="K183" s="71"/>
      <c r="L183" s="499" t="str">
        <f>IFERROR(INDEX('G-8 Condition Look up'!$A$3:$H$130,MATCH(G183,'G-8 Condition Look up'!$A$3:$A$130,0),MATCH(K183,'G-8 Condition Look up'!$A$3:$H$3,0)),"")</f>
        <v/>
      </c>
      <c r="M183" s="71"/>
      <c r="N183" s="520" t="str">
        <f>IF(M183="","",IF(VLOOKUP(M183,'G-3 Multipliers'!$L$3:$N$6,2,FALSE)=0,"Spatial Data Missing",VLOOKUP(M183,'G-3 Multipliers'!$L$3:$N$6,2,FALSE)))</f>
        <v/>
      </c>
      <c r="O183" s="505" t="str">
        <f>IF(M183="","",IF(VLOOKUP(M183,'G-3 Multipliers'!$L$3:$N$6,3,FALSE)=0,"Spatial Data Missing",VLOOKUP(M183,'G-3 Multipliers'!$L$3:$N$6,3,FALSE)))</f>
        <v/>
      </c>
      <c r="P183" s="506" t="str">
        <f>IFERROR(VLOOKUP(G183,'G-1 All Habitats'!$B$2:$M$129,12,FALSE),"")</f>
        <v/>
      </c>
      <c r="Q183" s="513" t="str">
        <f>IFERROR(IF(P183="","",IF(AND(P183='G-1 All Habitats'!$X$3,T183&gt;0),U183+V183,IF(AND(P183='G-1 All Habitats'!$X$3,S183&gt;0),U183+V183,IF(AND(P183='G-1 All Habitats'!$X$3,AC183&gt;0),"Any Loss Unacceptable ▲",IF(AND(P183='G-1 All Habitats'!$X$3,W183&gt;0),"Any Loss Unacceptable ▲",H183*J183*L183*O183))))),"Check Data ▲")</f>
        <v/>
      </c>
      <c r="R183" s="50"/>
      <c r="S183" s="71"/>
      <c r="T183" s="72"/>
      <c r="U183" s="511" t="str">
        <f t="shared" si="13"/>
        <v/>
      </c>
      <c r="V183" s="511" t="str">
        <f t="shared" si="14"/>
        <v/>
      </c>
      <c r="W183" s="511" t="str">
        <f>IF(E183="","",IF(H183&lt;S183+T183,"Error in Areas ▲",IF(P183&lt;&gt;'G-1 All Habitats'!$X$3,H183-S183-T183,IF(AND(P183='G-1 All Habitats'!$X$3,Y183="Yes"),"Unacceptable Loss",IF(AND(P183='G-1 All Habitats'!$X$3,Y183="No"),AC183,IF(AND(P183='G-1 All Habitats'!$X$3,Y183=""),AC183,IF(AND(P183='G-1 All Habitats'!$X$3,AC183="None",AC183),IF(AND(P183='G-1 All Habitats'!$X$3,AC183&gt;0),H183-S183-T183))))))))</f>
        <v/>
      </c>
      <c r="X183" s="515" t="str">
        <f>IFERROR(IF(H183="","",IF(H183-S183-T183=0&lt;0,"Error in Areas ▲",IF(S183+T183&gt;H183,"Error in Areas ▲",IF(AND(P183='G-1 All Habitats'!$X$3,Y183="Yes"),"Alternative Compensation ✓",IF(W183=0,0,IF(P183='G-1 All Habitats'!$X$3,"Unacceptable Loss ▲",Q183-U183-V183)))))),"Check Data ▲")</f>
        <v/>
      </c>
      <c r="Y183" s="72"/>
      <c r="Z183" s="80"/>
      <c r="AA183" s="81"/>
      <c r="AC183" s="75" t="str">
        <f>IF(P183="","",IF(P183='G-1 All Habitats'!$X$3,H183-S183-T183,"None"))</f>
        <v/>
      </c>
      <c r="AD183" s="76" t="str">
        <f>IFERROR(AC183*J183*L183*#REF!*O183,IF(P183="","","None"))</f>
        <v/>
      </c>
      <c r="AF183" s="54" t="str">
        <f t="shared" si="10"/>
        <v/>
      </c>
      <c r="AG183" s="54" t="str">
        <f t="shared" si="11"/>
        <v/>
      </c>
      <c r="AH183" s="54" t="str">
        <f>IF(I183="","",IF(#REF!&gt;0,TRUE,FALSE))</f>
        <v/>
      </c>
      <c r="AI183" s="54">
        <v>173</v>
      </c>
      <c r="AJ183" s="54"/>
      <c r="AK183" s="54" t="str">
        <f t="array" ref="AK183">IFERROR(INDEX($AI$11:$AI$259, MATCH(0, IF(TRUE=$AF$11:$AF$259, COUNTIF($AK$10:$AK182, $AI$11:$AI$259), ""), 0)),"")</f>
        <v/>
      </c>
      <c r="AL183" s="54" t="str">
        <f t="array" ref="AL183">IFERROR(INDEX($AI$11:$AI$259, MATCH(0, IF(TRUE=$AG$11:$AG$259, COUNTIF($AL$10:$AL182, $AI$11:$AI$259), ""), 0)),"")</f>
        <v/>
      </c>
      <c r="AM183" s="54" t="str">
        <f t="array" ref="AM183">IFERROR(INDEX($AI$11:$AI$259, MATCH(0, IF(TRUE=$AH$11:$AH$259, COUNTIF($AM$10:$AM182, $AI$11:$AI$259), ""), 0)),"")</f>
        <v/>
      </c>
      <c r="AN183" s="54"/>
      <c r="AQ183" s="47">
        <f t="shared" si="12"/>
        <v>0</v>
      </c>
    </row>
    <row r="184" spans="1:43" x14ac:dyDescent="0.3">
      <c r="A184" s="47" t="str">
        <f>IFERROR(INDEX('G-1 All Habitats'!$AG$3:$AG$15,MATCH(E184,'G-1 All Habitats'!$AF$3:$AF$15,0)),"")</f>
        <v/>
      </c>
      <c r="B184" s="47" t="str">
        <f>IFERROR(INDEX('G-8 Condition Look up'!$I$4:$I$130,MATCH(G184,'G-8 Condition Look up'!$A$4:$A$130,0)),"")</f>
        <v/>
      </c>
      <c r="D184" s="77">
        <v>174</v>
      </c>
      <c r="E184" s="78"/>
      <c r="F184" s="79"/>
      <c r="G184" s="69" t="str">
        <f>IFERROR(INDEX('G-1 All Habitats'!$B$3:$B$129,MATCH(F184,'G-1 All Habitats'!$A$3:$A$129,0)),"")</f>
        <v/>
      </c>
      <c r="H184" s="70"/>
      <c r="I184" s="498" t="str">
        <f>IF(G184="","",VLOOKUP(G184,'G-1 All Habitats'!$B$2:$M$129,10,FALSE))</f>
        <v/>
      </c>
      <c r="J184" s="499" t="str">
        <f>IFERROR(VLOOKUP(I184,'G-1 All Habitats'!$V$3:$W$7,2,FALSE),"")</f>
        <v/>
      </c>
      <c r="K184" s="71"/>
      <c r="L184" s="499" t="str">
        <f>IFERROR(INDEX('G-8 Condition Look up'!$A$3:$H$130,MATCH(G184,'G-8 Condition Look up'!$A$3:$A$130,0),MATCH(K184,'G-8 Condition Look up'!$A$3:$H$3,0)),"")</f>
        <v/>
      </c>
      <c r="M184" s="71"/>
      <c r="N184" s="520" t="str">
        <f>IF(M184="","",IF(VLOOKUP(M184,'G-3 Multipliers'!$L$3:$N$6,2,FALSE)=0,"Spatial Data Missing",VLOOKUP(M184,'G-3 Multipliers'!$L$3:$N$6,2,FALSE)))</f>
        <v/>
      </c>
      <c r="O184" s="505" t="str">
        <f>IF(M184="","",IF(VLOOKUP(M184,'G-3 Multipliers'!$L$3:$N$6,3,FALSE)=0,"Spatial Data Missing",VLOOKUP(M184,'G-3 Multipliers'!$L$3:$N$6,3,FALSE)))</f>
        <v/>
      </c>
      <c r="P184" s="506" t="str">
        <f>IFERROR(VLOOKUP(G184,'G-1 All Habitats'!$B$2:$M$129,12,FALSE),"")</f>
        <v/>
      </c>
      <c r="Q184" s="513" t="str">
        <f>IFERROR(IF(P184="","",IF(AND(P184='G-1 All Habitats'!$X$3,T184&gt;0),U184+V184,IF(AND(P184='G-1 All Habitats'!$X$3,S184&gt;0),U184+V184,IF(AND(P184='G-1 All Habitats'!$X$3,AC184&gt;0),"Any Loss Unacceptable ▲",IF(AND(P184='G-1 All Habitats'!$X$3,W184&gt;0),"Any Loss Unacceptable ▲",H184*J184*L184*O184))))),"Check Data ▲")</f>
        <v/>
      </c>
      <c r="R184" s="50"/>
      <c r="S184" s="71"/>
      <c r="T184" s="72"/>
      <c r="U184" s="511" t="str">
        <f t="shared" si="13"/>
        <v/>
      </c>
      <c r="V184" s="511" t="str">
        <f t="shared" si="14"/>
        <v/>
      </c>
      <c r="W184" s="511" t="str">
        <f>IF(E184="","",IF(H184&lt;S184+T184,"Error in Areas ▲",IF(P184&lt;&gt;'G-1 All Habitats'!$X$3,H184-S184-T184,IF(AND(P184='G-1 All Habitats'!$X$3,Y184="Yes"),"Unacceptable Loss",IF(AND(P184='G-1 All Habitats'!$X$3,Y184="No"),AC184,IF(AND(P184='G-1 All Habitats'!$X$3,Y184=""),AC184,IF(AND(P184='G-1 All Habitats'!$X$3,AC184="None",AC184),IF(AND(P184='G-1 All Habitats'!$X$3,AC184&gt;0),H184-S184-T184))))))))</f>
        <v/>
      </c>
      <c r="X184" s="515" t="str">
        <f>IFERROR(IF(H184="","",IF(H184-S184-T184=0&lt;0,"Error in Areas ▲",IF(S184+T184&gt;H184,"Error in Areas ▲",IF(AND(P184='G-1 All Habitats'!$X$3,Y184="Yes"),"Alternative Compensation ✓",IF(W184=0,0,IF(P184='G-1 All Habitats'!$X$3,"Unacceptable Loss ▲",Q184-U184-V184)))))),"Check Data ▲")</f>
        <v/>
      </c>
      <c r="Y184" s="72"/>
      <c r="Z184" s="80"/>
      <c r="AA184" s="81"/>
      <c r="AC184" s="75" t="str">
        <f>IF(P184="","",IF(P184='G-1 All Habitats'!$X$3,H184-S184-T184,"None"))</f>
        <v/>
      </c>
      <c r="AD184" s="76" t="str">
        <f>IFERROR(AC184*J184*L184*#REF!*O184,IF(P184="","","None"))</f>
        <v/>
      </c>
      <c r="AF184" s="54" t="str">
        <f t="shared" si="10"/>
        <v/>
      </c>
      <c r="AG184" s="54" t="str">
        <f t="shared" si="11"/>
        <v/>
      </c>
      <c r="AH184" s="54" t="str">
        <f>IF(I184="","",IF(#REF!&gt;0,TRUE,FALSE))</f>
        <v/>
      </c>
      <c r="AI184" s="54">
        <v>174</v>
      </c>
      <c r="AJ184" s="54"/>
      <c r="AK184" s="54" t="str">
        <f t="array" ref="AK184">IFERROR(INDEX($AI$11:$AI$259, MATCH(0, IF(TRUE=$AF$11:$AF$259, COUNTIF($AK$10:$AK183, $AI$11:$AI$259), ""), 0)),"")</f>
        <v/>
      </c>
      <c r="AL184" s="54" t="str">
        <f t="array" ref="AL184">IFERROR(INDEX($AI$11:$AI$259, MATCH(0, IF(TRUE=$AG$11:$AG$259, COUNTIF($AL$10:$AL183, $AI$11:$AI$259), ""), 0)),"")</f>
        <v/>
      </c>
      <c r="AM184" s="54" t="str">
        <f t="array" ref="AM184">IFERROR(INDEX($AI$11:$AI$259, MATCH(0, IF(TRUE=$AH$11:$AH$259, COUNTIF($AM$10:$AM183, $AI$11:$AI$259), ""), 0)),"")</f>
        <v/>
      </c>
      <c r="AN184" s="54"/>
      <c r="AQ184" s="47">
        <f t="shared" si="12"/>
        <v>0</v>
      </c>
    </row>
    <row r="185" spans="1:43" x14ac:dyDescent="0.3">
      <c r="A185" s="47" t="str">
        <f>IFERROR(INDEX('G-1 All Habitats'!$AG$3:$AG$15,MATCH(E185,'G-1 All Habitats'!$AF$3:$AF$15,0)),"")</f>
        <v/>
      </c>
      <c r="B185" s="47" t="str">
        <f>IFERROR(INDEX('G-8 Condition Look up'!$I$4:$I$130,MATCH(G185,'G-8 Condition Look up'!$A$4:$A$130,0)),"")</f>
        <v/>
      </c>
      <c r="D185" s="77">
        <v>175</v>
      </c>
      <c r="E185" s="78"/>
      <c r="F185" s="79"/>
      <c r="G185" s="69" t="str">
        <f>IFERROR(INDEX('G-1 All Habitats'!$B$3:$B$129,MATCH(F185,'G-1 All Habitats'!$A$3:$A$129,0)),"")</f>
        <v/>
      </c>
      <c r="H185" s="70"/>
      <c r="I185" s="498" t="str">
        <f>IF(G185="","",VLOOKUP(G185,'G-1 All Habitats'!$B$2:$M$129,10,FALSE))</f>
        <v/>
      </c>
      <c r="J185" s="499" t="str">
        <f>IFERROR(VLOOKUP(I185,'G-1 All Habitats'!$V$3:$W$7,2,FALSE),"")</f>
        <v/>
      </c>
      <c r="K185" s="71"/>
      <c r="L185" s="499" t="str">
        <f>IFERROR(INDEX('G-8 Condition Look up'!$A$3:$H$130,MATCH(G185,'G-8 Condition Look up'!$A$3:$A$130,0),MATCH(K185,'G-8 Condition Look up'!$A$3:$H$3,0)),"")</f>
        <v/>
      </c>
      <c r="M185" s="71"/>
      <c r="N185" s="520" t="str">
        <f>IF(M185="","",IF(VLOOKUP(M185,'G-3 Multipliers'!$L$3:$N$6,2,FALSE)=0,"Spatial Data Missing",VLOOKUP(M185,'G-3 Multipliers'!$L$3:$N$6,2,FALSE)))</f>
        <v/>
      </c>
      <c r="O185" s="505" t="str">
        <f>IF(M185="","",IF(VLOOKUP(M185,'G-3 Multipliers'!$L$3:$N$6,3,FALSE)=0,"Spatial Data Missing",VLOOKUP(M185,'G-3 Multipliers'!$L$3:$N$6,3,FALSE)))</f>
        <v/>
      </c>
      <c r="P185" s="506" t="str">
        <f>IFERROR(VLOOKUP(G185,'G-1 All Habitats'!$B$2:$M$129,12,FALSE),"")</f>
        <v/>
      </c>
      <c r="Q185" s="513" t="str">
        <f>IFERROR(IF(P185="","",IF(AND(P185='G-1 All Habitats'!$X$3,T185&gt;0),U185+V185,IF(AND(P185='G-1 All Habitats'!$X$3,S185&gt;0),U185+V185,IF(AND(P185='G-1 All Habitats'!$X$3,AC185&gt;0),"Any Loss Unacceptable ▲",IF(AND(P185='G-1 All Habitats'!$X$3,W185&gt;0),"Any Loss Unacceptable ▲",H185*J185*L185*O185))))),"Check Data ▲")</f>
        <v/>
      </c>
      <c r="R185" s="50"/>
      <c r="S185" s="71"/>
      <c r="T185" s="72"/>
      <c r="U185" s="511" t="str">
        <f t="shared" si="13"/>
        <v/>
      </c>
      <c r="V185" s="511" t="str">
        <f t="shared" si="14"/>
        <v/>
      </c>
      <c r="W185" s="511" t="str">
        <f>IF(E185="","",IF(H185&lt;S185+T185,"Error in Areas ▲",IF(P185&lt;&gt;'G-1 All Habitats'!$X$3,H185-S185-T185,IF(AND(P185='G-1 All Habitats'!$X$3,Y185="Yes"),"Unacceptable Loss",IF(AND(P185='G-1 All Habitats'!$X$3,Y185="No"),AC185,IF(AND(P185='G-1 All Habitats'!$X$3,Y185=""),AC185,IF(AND(P185='G-1 All Habitats'!$X$3,AC185="None",AC185),IF(AND(P185='G-1 All Habitats'!$X$3,AC185&gt;0),H185-S185-T185))))))))</f>
        <v/>
      </c>
      <c r="X185" s="515" t="str">
        <f>IFERROR(IF(H185="","",IF(H185-S185-T185=0&lt;0,"Error in Areas ▲",IF(S185+T185&gt;H185,"Error in Areas ▲",IF(AND(P185='G-1 All Habitats'!$X$3,Y185="Yes"),"Alternative Compensation ✓",IF(W185=0,0,IF(P185='G-1 All Habitats'!$X$3,"Unacceptable Loss ▲",Q185-U185-V185)))))),"Check Data ▲")</f>
        <v/>
      </c>
      <c r="Y185" s="72"/>
      <c r="Z185" s="80"/>
      <c r="AA185" s="81"/>
      <c r="AC185" s="75" t="str">
        <f>IF(P185="","",IF(P185='G-1 All Habitats'!$X$3,H185-S185-T185,"None"))</f>
        <v/>
      </c>
      <c r="AD185" s="76" t="str">
        <f>IFERROR(AC185*J185*L185*#REF!*O185,IF(P185="","","None"))</f>
        <v/>
      </c>
      <c r="AF185" s="54" t="str">
        <f t="shared" si="10"/>
        <v/>
      </c>
      <c r="AG185" s="54" t="str">
        <f t="shared" si="11"/>
        <v/>
      </c>
      <c r="AH185" s="54" t="str">
        <f>IF(I185="","",IF(#REF!&gt;0,TRUE,FALSE))</f>
        <v/>
      </c>
      <c r="AI185" s="54">
        <v>175</v>
      </c>
      <c r="AJ185" s="54"/>
      <c r="AK185" s="54" t="str">
        <f t="array" ref="AK185">IFERROR(INDEX($AI$11:$AI$259, MATCH(0, IF(TRUE=$AF$11:$AF$259, COUNTIF($AK$10:$AK184, $AI$11:$AI$259), ""), 0)),"")</f>
        <v/>
      </c>
      <c r="AL185" s="54" t="str">
        <f t="array" ref="AL185">IFERROR(INDEX($AI$11:$AI$259, MATCH(0, IF(TRUE=$AG$11:$AG$259, COUNTIF($AL$10:$AL184, $AI$11:$AI$259), ""), 0)),"")</f>
        <v/>
      </c>
      <c r="AM185" s="54" t="str">
        <f t="array" ref="AM185">IFERROR(INDEX($AI$11:$AI$259, MATCH(0, IF(TRUE=$AH$11:$AH$259, COUNTIF($AM$10:$AM184, $AI$11:$AI$259), ""), 0)),"")</f>
        <v/>
      </c>
      <c r="AN185" s="54"/>
      <c r="AQ185" s="47">
        <f t="shared" si="12"/>
        <v>0</v>
      </c>
    </row>
    <row r="186" spans="1:43" x14ac:dyDescent="0.3">
      <c r="A186" s="47" t="str">
        <f>IFERROR(INDEX('G-1 All Habitats'!$AG$3:$AG$15,MATCH(E186,'G-1 All Habitats'!$AF$3:$AF$15,0)),"")</f>
        <v/>
      </c>
      <c r="B186" s="47" t="str">
        <f>IFERROR(INDEX('G-8 Condition Look up'!$I$4:$I$130,MATCH(G186,'G-8 Condition Look up'!$A$4:$A$130,0)),"")</f>
        <v/>
      </c>
      <c r="D186" s="77">
        <v>176</v>
      </c>
      <c r="E186" s="78"/>
      <c r="F186" s="79"/>
      <c r="G186" s="69" t="str">
        <f>IFERROR(INDEX('G-1 All Habitats'!$B$3:$B$129,MATCH(F186,'G-1 All Habitats'!$A$3:$A$129,0)),"")</f>
        <v/>
      </c>
      <c r="H186" s="70"/>
      <c r="I186" s="498" t="str">
        <f>IF(G186="","",VLOOKUP(G186,'G-1 All Habitats'!$B$2:$M$129,10,FALSE))</f>
        <v/>
      </c>
      <c r="J186" s="499" t="str">
        <f>IFERROR(VLOOKUP(I186,'G-1 All Habitats'!$V$3:$W$7,2,FALSE),"")</f>
        <v/>
      </c>
      <c r="K186" s="71"/>
      <c r="L186" s="499" t="str">
        <f>IFERROR(INDEX('G-8 Condition Look up'!$A$3:$H$130,MATCH(G186,'G-8 Condition Look up'!$A$3:$A$130,0),MATCH(K186,'G-8 Condition Look up'!$A$3:$H$3,0)),"")</f>
        <v/>
      </c>
      <c r="M186" s="71"/>
      <c r="N186" s="520" t="str">
        <f>IF(M186="","",IF(VLOOKUP(M186,'G-3 Multipliers'!$L$3:$N$6,2,FALSE)=0,"Spatial Data Missing",VLOOKUP(M186,'G-3 Multipliers'!$L$3:$N$6,2,FALSE)))</f>
        <v/>
      </c>
      <c r="O186" s="505" t="str">
        <f>IF(M186="","",IF(VLOOKUP(M186,'G-3 Multipliers'!$L$3:$N$6,3,FALSE)=0,"Spatial Data Missing",VLOOKUP(M186,'G-3 Multipliers'!$L$3:$N$6,3,FALSE)))</f>
        <v/>
      </c>
      <c r="P186" s="506" t="str">
        <f>IFERROR(VLOOKUP(G186,'G-1 All Habitats'!$B$2:$M$129,12,FALSE),"")</f>
        <v/>
      </c>
      <c r="Q186" s="513" t="str">
        <f>IFERROR(IF(P186="","",IF(AND(P186='G-1 All Habitats'!$X$3,T186&gt;0),U186+V186,IF(AND(P186='G-1 All Habitats'!$X$3,S186&gt;0),U186+V186,IF(AND(P186='G-1 All Habitats'!$X$3,AC186&gt;0),"Any Loss Unacceptable ▲",IF(AND(P186='G-1 All Habitats'!$X$3,W186&gt;0),"Any Loss Unacceptable ▲",H186*J186*L186*O186))))),"Check Data ▲")</f>
        <v/>
      </c>
      <c r="R186" s="50"/>
      <c r="S186" s="71"/>
      <c r="T186" s="72"/>
      <c r="U186" s="511" t="str">
        <f t="shared" si="13"/>
        <v/>
      </c>
      <c r="V186" s="511" t="str">
        <f t="shared" si="14"/>
        <v/>
      </c>
      <c r="W186" s="511" t="str">
        <f>IF(E186="","",IF(H186&lt;S186+T186,"Error in Areas ▲",IF(P186&lt;&gt;'G-1 All Habitats'!$X$3,H186-S186-T186,IF(AND(P186='G-1 All Habitats'!$X$3,Y186="Yes"),"Unacceptable Loss",IF(AND(P186='G-1 All Habitats'!$X$3,Y186="No"),AC186,IF(AND(P186='G-1 All Habitats'!$X$3,Y186=""),AC186,IF(AND(P186='G-1 All Habitats'!$X$3,AC186="None",AC186),IF(AND(P186='G-1 All Habitats'!$X$3,AC186&gt;0),H186-S186-T186))))))))</f>
        <v/>
      </c>
      <c r="X186" s="515" t="str">
        <f>IFERROR(IF(H186="","",IF(H186-S186-T186=0&lt;0,"Error in Areas ▲",IF(S186+T186&gt;H186,"Error in Areas ▲",IF(AND(P186='G-1 All Habitats'!$X$3,Y186="Yes"),"Alternative Compensation ✓",IF(W186=0,0,IF(P186='G-1 All Habitats'!$X$3,"Unacceptable Loss ▲",Q186-U186-V186)))))),"Check Data ▲")</f>
        <v/>
      </c>
      <c r="Y186" s="72"/>
      <c r="Z186" s="80"/>
      <c r="AA186" s="81"/>
      <c r="AC186" s="75" t="str">
        <f>IF(P186="","",IF(P186='G-1 All Habitats'!$X$3,H186-S186-T186,"None"))</f>
        <v/>
      </c>
      <c r="AD186" s="76" t="str">
        <f>IFERROR(AC186*J186*L186*#REF!*O186,IF(P186="","","None"))</f>
        <v/>
      </c>
      <c r="AF186" s="54" t="str">
        <f t="shared" si="10"/>
        <v/>
      </c>
      <c r="AG186" s="54" t="str">
        <f t="shared" si="11"/>
        <v/>
      </c>
      <c r="AH186" s="54" t="str">
        <f>IF(I186="","",IF(#REF!&gt;0,TRUE,FALSE))</f>
        <v/>
      </c>
      <c r="AI186" s="54">
        <v>176</v>
      </c>
      <c r="AJ186" s="54"/>
      <c r="AK186" s="54" t="str">
        <f t="array" ref="AK186">IFERROR(INDEX($AI$11:$AI$259, MATCH(0, IF(TRUE=$AF$11:$AF$259, COUNTIF($AK$10:$AK185, $AI$11:$AI$259), ""), 0)),"")</f>
        <v/>
      </c>
      <c r="AL186" s="54" t="str">
        <f t="array" ref="AL186">IFERROR(INDEX($AI$11:$AI$259, MATCH(0, IF(TRUE=$AG$11:$AG$259, COUNTIF($AL$10:$AL185, $AI$11:$AI$259), ""), 0)),"")</f>
        <v/>
      </c>
      <c r="AM186" s="54" t="str">
        <f t="array" ref="AM186">IFERROR(INDEX($AI$11:$AI$259, MATCH(0, IF(TRUE=$AH$11:$AH$259, COUNTIF($AM$10:$AM185, $AI$11:$AI$259), ""), 0)),"")</f>
        <v/>
      </c>
      <c r="AN186" s="54"/>
      <c r="AQ186" s="47">
        <f t="shared" si="12"/>
        <v>0</v>
      </c>
    </row>
    <row r="187" spans="1:43" x14ac:dyDescent="0.3">
      <c r="A187" s="47" t="str">
        <f>IFERROR(INDEX('G-1 All Habitats'!$AG$3:$AG$15,MATCH(E187,'G-1 All Habitats'!$AF$3:$AF$15,0)),"")</f>
        <v/>
      </c>
      <c r="B187" s="47" t="str">
        <f>IFERROR(INDEX('G-8 Condition Look up'!$I$4:$I$130,MATCH(G187,'G-8 Condition Look up'!$A$4:$A$130,0)),"")</f>
        <v/>
      </c>
      <c r="D187" s="77">
        <v>177</v>
      </c>
      <c r="E187" s="78"/>
      <c r="F187" s="79"/>
      <c r="G187" s="69" t="str">
        <f>IFERROR(INDEX('G-1 All Habitats'!$B$3:$B$129,MATCH(F187,'G-1 All Habitats'!$A$3:$A$129,0)),"")</f>
        <v/>
      </c>
      <c r="H187" s="70"/>
      <c r="I187" s="498" t="str">
        <f>IF(G187="","",VLOOKUP(G187,'G-1 All Habitats'!$B$2:$M$129,10,FALSE))</f>
        <v/>
      </c>
      <c r="J187" s="499" t="str">
        <f>IFERROR(VLOOKUP(I187,'G-1 All Habitats'!$V$3:$W$7,2,FALSE),"")</f>
        <v/>
      </c>
      <c r="K187" s="71"/>
      <c r="L187" s="499" t="str">
        <f>IFERROR(INDEX('G-8 Condition Look up'!$A$3:$H$130,MATCH(G187,'G-8 Condition Look up'!$A$3:$A$130,0),MATCH(K187,'G-8 Condition Look up'!$A$3:$H$3,0)),"")</f>
        <v/>
      </c>
      <c r="M187" s="71"/>
      <c r="N187" s="520" t="str">
        <f>IF(M187="","",IF(VLOOKUP(M187,'G-3 Multipliers'!$L$3:$N$6,2,FALSE)=0,"Spatial Data Missing",VLOOKUP(M187,'G-3 Multipliers'!$L$3:$N$6,2,FALSE)))</f>
        <v/>
      </c>
      <c r="O187" s="505" t="str">
        <f>IF(M187="","",IF(VLOOKUP(M187,'G-3 Multipliers'!$L$3:$N$6,3,FALSE)=0,"Spatial Data Missing",VLOOKUP(M187,'G-3 Multipliers'!$L$3:$N$6,3,FALSE)))</f>
        <v/>
      </c>
      <c r="P187" s="506" t="str">
        <f>IFERROR(VLOOKUP(G187,'G-1 All Habitats'!$B$2:$M$129,12,FALSE),"")</f>
        <v/>
      </c>
      <c r="Q187" s="513" t="str">
        <f>IFERROR(IF(P187="","",IF(AND(P187='G-1 All Habitats'!$X$3,T187&gt;0),U187+V187,IF(AND(P187='G-1 All Habitats'!$X$3,S187&gt;0),U187+V187,IF(AND(P187='G-1 All Habitats'!$X$3,AC187&gt;0),"Any Loss Unacceptable ▲",IF(AND(P187='G-1 All Habitats'!$X$3,W187&gt;0),"Any Loss Unacceptable ▲",H187*J187*L187*O187))))),"Check Data ▲")</f>
        <v/>
      </c>
      <c r="R187" s="50"/>
      <c r="S187" s="71"/>
      <c r="T187" s="72"/>
      <c r="U187" s="511" t="str">
        <f t="shared" si="13"/>
        <v/>
      </c>
      <c r="V187" s="511" t="str">
        <f t="shared" si="14"/>
        <v/>
      </c>
      <c r="W187" s="511" t="str">
        <f>IF(E187="","",IF(H187&lt;S187+T187,"Error in Areas ▲",IF(P187&lt;&gt;'G-1 All Habitats'!$X$3,H187-S187-T187,IF(AND(P187='G-1 All Habitats'!$X$3,Y187="Yes"),"Unacceptable Loss",IF(AND(P187='G-1 All Habitats'!$X$3,Y187="No"),AC187,IF(AND(P187='G-1 All Habitats'!$X$3,Y187=""),AC187,IF(AND(P187='G-1 All Habitats'!$X$3,AC187="None",AC187),IF(AND(P187='G-1 All Habitats'!$X$3,AC187&gt;0),H187-S187-T187))))))))</f>
        <v/>
      </c>
      <c r="X187" s="515" t="str">
        <f>IFERROR(IF(H187="","",IF(H187-S187-T187=0&lt;0,"Error in Areas ▲",IF(S187+T187&gt;H187,"Error in Areas ▲",IF(AND(P187='G-1 All Habitats'!$X$3,Y187="Yes"),"Alternative Compensation ✓",IF(W187=0,0,IF(P187='G-1 All Habitats'!$X$3,"Unacceptable Loss ▲",Q187-U187-V187)))))),"Check Data ▲")</f>
        <v/>
      </c>
      <c r="Y187" s="72"/>
      <c r="Z187" s="80"/>
      <c r="AA187" s="81"/>
      <c r="AC187" s="75" t="str">
        <f>IF(P187="","",IF(P187='G-1 All Habitats'!$X$3,H187-S187-T187,"None"))</f>
        <v/>
      </c>
      <c r="AD187" s="76" t="str">
        <f>IFERROR(AC187*J187*L187*#REF!*O187,IF(P187="","","None"))</f>
        <v/>
      </c>
      <c r="AF187" s="54" t="str">
        <f t="shared" si="10"/>
        <v/>
      </c>
      <c r="AG187" s="54" t="str">
        <f t="shared" si="11"/>
        <v/>
      </c>
      <c r="AH187" s="54" t="str">
        <f>IF(I187="","",IF(#REF!&gt;0,TRUE,FALSE))</f>
        <v/>
      </c>
      <c r="AI187" s="54">
        <v>177</v>
      </c>
      <c r="AJ187" s="54"/>
      <c r="AK187" s="54" t="str">
        <f t="array" ref="AK187">IFERROR(INDEX($AI$11:$AI$259, MATCH(0, IF(TRUE=$AF$11:$AF$259, COUNTIF($AK$10:$AK186, $AI$11:$AI$259), ""), 0)),"")</f>
        <v/>
      </c>
      <c r="AL187" s="54" t="str">
        <f t="array" ref="AL187">IFERROR(INDEX($AI$11:$AI$259, MATCH(0, IF(TRUE=$AG$11:$AG$259, COUNTIF($AL$10:$AL186, $AI$11:$AI$259), ""), 0)),"")</f>
        <v/>
      </c>
      <c r="AM187" s="54" t="str">
        <f t="array" ref="AM187">IFERROR(INDEX($AI$11:$AI$259, MATCH(0, IF(TRUE=$AH$11:$AH$259, COUNTIF($AM$10:$AM186, $AI$11:$AI$259), ""), 0)),"")</f>
        <v/>
      </c>
      <c r="AN187" s="54"/>
      <c r="AQ187" s="47">
        <f t="shared" si="12"/>
        <v>0</v>
      </c>
    </row>
    <row r="188" spans="1:43" x14ac:dyDescent="0.3">
      <c r="A188" s="47" t="str">
        <f>IFERROR(INDEX('G-1 All Habitats'!$AG$3:$AG$15,MATCH(E188,'G-1 All Habitats'!$AF$3:$AF$15,0)),"")</f>
        <v/>
      </c>
      <c r="B188" s="47" t="str">
        <f>IFERROR(INDEX('G-8 Condition Look up'!$I$4:$I$130,MATCH(G188,'G-8 Condition Look up'!$A$4:$A$130,0)),"")</f>
        <v/>
      </c>
      <c r="D188" s="77">
        <v>178</v>
      </c>
      <c r="E188" s="78"/>
      <c r="F188" s="79"/>
      <c r="G188" s="69" t="str">
        <f>IFERROR(INDEX('G-1 All Habitats'!$B$3:$B$129,MATCH(F188,'G-1 All Habitats'!$A$3:$A$129,0)),"")</f>
        <v/>
      </c>
      <c r="H188" s="70"/>
      <c r="I188" s="498" t="str">
        <f>IF(G188="","",VLOOKUP(G188,'G-1 All Habitats'!$B$2:$M$129,10,FALSE))</f>
        <v/>
      </c>
      <c r="J188" s="499" t="str">
        <f>IFERROR(VLOOKUP(I188,'G-1 All Habitats'!$V$3:$W$7,2,FALSE),"")</f>
        <v/>
      </c>
      <c r="K188" s="71"/>
      <c r="L188" s="499" t="str">
        <f>IFERROR(INDEX('G-8 Condition Look up'!$A$3:$H$130,MATCH(G188,'G-8 Condition Look up'!$A$3:$A$130,0),MATCH(K188,'G-8 Condition Look up'!$A$3:$H$3,0)),"")</f>
        <v/>
      </c>
      <c r="M188" s="71"/>
      <c r="N188" s="520" t="str">
        <f>IF(M188="","",IF(VLOOKUP(M188,'G-3 Multipliers'!$L$3:$N$6,2,FALSE)=0,"Spatial Data Missing",VLOOKUP(M188,'G-3 Multipliers'!$L$3:$N$6,2,FALSE)))</f>
        <v/>
      </c>
      <c r="O188" s="505" t="str">
        <f>IF(M188="","",IF(VLOOKUP(M188,'G-3 Multipliers'!$L$3:$N$6,3,FALSE)=0,"Spatial Data Missing",VLOOKUP(M188,'G-3 Multipliers'!$L$3:$N$6,3,FALSE)))</f>
        <v/>
      </c>
      <c r="P188" s="506" t="str">
        <f>IFERROR(VLOOKUP(G188,'G-1 All Habitats'!$B$2:$M$129,12,FALSE),"")</f>
        <v/>
      </c>
      <c r="Q188" s="513" t="str">
        <f>IFERROR(IF(P188="","",IF(AND(P188='G-1 All Habitats'!$X$3,T188&gt;0),U188+V188,IF(AND(P188='G-1 All Habitats'!$X$3,S188&gt;0),U188+V188,IF(AND(P188='G-1 All Habitats'!$X$3,AC188&gt;0),"Any Loss Unacceptable ▲",IF(AND(P188='G-1 All Habitats'!$X$3,W188&gt;0),"Any Loss Unacceptable ▲",H188*J188*L188*O188))))),"Check Data ▲")</f>
        <v/>
      </c>
      <c r="R188" s="50"/>
      <c r="S188" s="71"/>
      <c r="T188" s="72"/>
      <c r="U188" s="511" t="str">
        <f t="shared" si="13"/>
        <v/>
      </c>
      <c r="V188" s="511" t="str">
        <f t="shared" si="14"/>
        <v/>
      </c>
      <c r="W188" s="511" t="str">
        <f>IF(E188="","",IF(H188&lt;S188+T188,"Error in Areas ▲",IF(P188&lt;&gt;'G-1 All Habitats'!$X$3,H188-S188-T188,IF(AND(P188='G-1 All Habitats'!$X$3,Y188="Yes"),"Unacceptable Loss",IF(AND(P188='G-1 All Habitats'!$X$3,Y188="No"),AC188,IF(AND(P188='G-1 All Habitats'!$X$3,Y188=""),AC188,IF(AND(P188='G-1 All Habitats'!$X$3,AC188="None",AC188),IF(AND(P188='G-1 All Habitats'!$X$3,AC188&gt;0),H188-S188-T188))))))))</f>
        <v/>
      </c>
      <c r="X188" s="515" t="str">
        <f>IFERROR(IF(H188="","",IF(H188-S188-T188=0&lt;0,"Error in Areas ▲",IF(S188+T188&gt;H188,"Error in Areas ▲",IF(AND(P188='G-1 All Habitats'!$X$3,Y188="Yes"),"Alternative Compensation ✓",IF(W188=0,0,IF(P188='G-1 All Habitats'!$X$3,"Unacceptable Loss ▲",Q188-U188-V188)))))),"Check Data ▲")</f>
        <v/>
      </c>
      <c r="Y188" s="72"/>
      <c r="Z188" s="80"/>
      <c r="AA188" s="81"/>
      <c r="AC188" s="75" t="str">
        <f>IF(P188="","",IF(P188='G-1 All Habitats'!$X$3,H188-S188-T188,"None"))</f>
        <v/>
      </c>
      <c r="AD188" s="76" t="str">
        <f>IFERROR(AC188*J188*L188*#REF!*O188,IF(P188="","","None"))</f>
        <v/>
      </c>
      <c r="AF188" s="54" t="str">
        <f t="shared" si="10"/>
        <v/>
      </c>
      <c r="AG188" s="54" t="str">
        <f t="shared" si="11"/>
        <v/>
      </c>
      <c r="AH188" s="54" t="str">
        <f>IF(I188="","",IF(#REF!&gt;0,TRUE,FALSE))</f>
        <v/>
      </c>
      <c r="AI188" s="54">
        <v>178</v>
      </c>
      <c r="AJ188" s="54"/>
      <c r="AK188" s="54" t="str">
        <f t="array" ref="AK188">IFERROR(INDEX($AI$11:$AI$259, MATCH(0, IF(TRUE=$AF$11:$AF$259, COUNTIF($AK$10:$AK187, $AI$11:$AI$259), ""), 0)),"")</f>
        <v/>
      </c>
      <c r="AL188" s="54" t="str">
        <f t="array" ref="AL188">IFERROR(INDEX($AI$11:$AI$259, MATCH(0, IF(TRUE=$AG$11:$AG$259, COUNTIF($AL$10:$AL187, $AI$11:$AI$259), ""), 0)),"")</f>
        <v/>
      </c>
      <c r="AM188" s="54" t="str">
        <f t="array" ref="AM188">IFERROR(INDEX($AI$11:$AI$259, MATCH(0, IF(TRUE=$AH$11:$AH$259, COUNTIF($AM$10:$AM187, $AI$11:$AI$259), ""), 0)),"")</f>
        <v/>
      </c>
      <c r="AN188" s="54"/>
      <c r="AQ188" s="47">
        <f t="shared" si="12"/>
        <v>0</v>
      </c>
    </row>
    <row r="189" spans="1:43" x14ac:dyDescent="0.3">
      <c r="A189" s="47" t="str">
        <f>IFERROR(INDEX('G-1 All Habitats'!$AG$3:$AG$15,MATCH(E189,'G-1 All Habitats'!$AF$3:$AF$15,0)),"")</f>
        <v/>
      </c>
      <c r="B189" s="47" t="str">
        <f>IFERROR(INDEX('G-8 Condition Look up'!$I$4:$I$130,MATCH(G189,'G-8 Condition Look up'!$A$4:$A$130,0)),"")</f>
        <v/>
      </c>
      <c r="D189" s="77">
        <v>179</v>
      </c>
      <c r="E189" s="78"/>
      <c r="F189" s="79"/>
      <c r="G189" s="69" t="str">
        <f>IFERROR(INDEX('G-1 All Habitats'!$B$3:$B$129,MATCH(F189,'G-1 All Habitats'!$A$3:$A$129,0)),"")</f>
        <v/>
      </c>
      <c r="H189" s="70"/>
      <c r="I189" s="498" t="str">
        <f>IF(G189="","",VLOOKUP(G189,'G-1 All Habitats'!$B$2:$M$129,10,FALSE))</f>
        <v/>
      </c>
      <c r="J189" s="499" t="str">
        <f>IFERROR(VLOOKUP(I189,'G-1 All Habitats'!$V$3:$W$7,2,FALSE),"")</f>
        <v/>
      </c>
      <c r="K189" s="71"/>
      <c r="L189" s="499" t="str">
        <f>IFERROR(INDEX('G-8 Condition Look up'!$A$3:$H$130,MATCH(G189,'G-8 Condition Look up'!$A$3:$A$130,0),MATCH(K189,'G-8 Condition Look up'!$A$3:$H$3,0)),"")</f>
        <v/>
      </c>
      <c r="M189" s="71"/>
      <c r="N189" s="520" t="str">
        <f>IF(M189="","",IF(VLOOKUP(M189,'G-3 Multipliers'!$L$3:$N$6,2,FALSE)=0,"Spatial Data Missing",VLOOKUP(M189,'G-3 Multipliers'!$L$3:$N$6,2,FALSE)))</f>
        <v/>
      </c>
      <c r="O189" s="505" t="str">
        <f>IF(M189="","",IF(VLOOKUP(M189,'G-3 Multipliers'!$L$3:$N$6,3,FALSE)=0,"Spatial Data Missing",VLOOKUP(M189,'G-3 Multipliers'!$L$3:$N$6,3,FALSE)))</f>
        <v/>
      </c>
      <c r="P189" s="506" t="str">
        <f>IFERROR(VLOOKUP(G189,'G-1 All Habitats'!$B$2:$M$129,12,FALSE),"")</f>
        <v/>
      </c>
      <c r="Q189" s="513" t="str">
        <f>IFERROR(IF(P189="","",IF(AND(P189='G-1 All Habitats'!$X$3,T189&gt;0),U189+V189,IF(AND(P189='G-1 All Habitats'!$X$3,S189&gt;0),U189+V189,IF(AND(P189='G-1 All Habitats'!$X$3,AC189&gt;0),"Any Loss Unacceptable ▲",IF(AND(P189='G-1 All Habitats'!$X$3,W189&gt;0),"Any Loss Unacceptable ▲",H189*J189*L189*O189))))),"Check Data ▲")</f>
        <v/>
      </c>
      <c r="R189" s="50"/>
      <c r="S189" s="71"/>
      <c r="T189" s="72"/>
      <c r="U189" s="511" t="str">
        <f t="shared" si="13"/>
        <v/>
      </c>
      <c r="V189" s="511" t="str">
        <f t="shared" si="14"/>
        <v/>
      </c>
      <c r="W189" s="511" t="str">
        <f>IF(E189="","",IF(H189&lt;S189+T189,"Error in Areas ▲",IF(P189&lt;&gt;'G-1 All Habitats'!$X$3,H189-S189-T189,IF(AND(P189='G-1 All Habitats'!$X$3,Y189="Yes"),"Unacceptable Loss",IF(AND(P189='G-1 All Habitats'!$X$3,Y189="No"),AC189,IF(AND(P189='G-1 All Habitats'!$X$3,Y189=""),AC189,IF(AND(P189='G-1 All Habitats'!$X$3,AC189="None",AC189),IF(AND(P189='G-1 All Habitats'!$X$3,AC189&gt;0),H189-S189-T189))))))))</f>
        <v/>
      </c>
      <c r="X189" s="515" t="str">
        <f>IFERROR(IF(H189="","",IF(H189-S189-T189=0&lt;0,"Error in Areas ▲",IF(S189+T189&gt;H189,"Error in Areas ▲",IF(AND(P189='G-1 All Habitats'!$X$3,Y189="Yes"),"Alternative Compensation ✓",IF(W189=0,0,IF(P189='G-1 All Habitats'!$X$3,"Unacceptable Loss ▲",Q189-U189-V189)))))),"Check Data ▲")</f>
        <v/>
      </c>
      <c r="Y189" s="72"/>
      <c r="Z189" s="80"/>
      <c r="AA189" s="81"/>
      <c r="AC189" s="75" t="str">
        <f>IF(P189="","",IF(P189='G-1 All Habitats'!$X$3,H189-S189-T189,"None"))</f>
        <v/>
      </c>
      <c r="AD189" s="76" t="str">
        <f>IFERROR(AC189*J189*L189*#REF!*O189,IF(P189="","","None"))</f>
        <v/>
      </c>
      <c r="AF189" s="54" t="str">
        <f t="shared" si="10"/>
        <v/>
      </c>
      <c r="AG189" s="54" t="str">
        <f t="shared" si="11"/>
        <v/>
      </c>
      <c r="AH189" s="54" t="str">
        <f>IF(I189="","",IF(#REF!&gt;0,TRUE,FALSE))</f>
        <v/>
      </c>
      <c r="AI189" s="54">
        <v>179</v>
      </c>
      <c r="AJ189" s="54"/>
      <c r="AK189" s="54" t="str">
        <f t="array" ref="AK189">IFERROR(INDEX($AI$11:$AI$259, MATCH(0, IF(TRUE=$AF$11:$AF$259, COUNTIF($AK$10:$AK188, $AI$11:$AI$259), ""), 0)),"")</f>
        <v/>
      </c>
      <c r="AL189" s="54" t="str">
        <f t="array" ref="AL189">IFERROR(INDEX($AI$11:$AI$259, MATCH(0, IF(TRUE=$AG$11:$AG$259, COUNTIF($AL$10:$AL188, $AI$11:$AI$259), ""), 0)),"")</f>
        <v/>
      </c>
      <c r="AM189" s="54" t="str">
        <f t="array" ref="AM189">IFERROR(INDEX($AI$11:$AI$259, MATCH(0, IF(TRUE=$AH$11:$AH$259, COUNTIF($AM$10:$AM188, $AI$11:$AI$259), ""), 0)),"")</f>
        <v/>
      </c>
      <c r="AN189" s="54"/>
      <c r="AQ189" s="47">
        <f t="shared" si="12"/>
        <v>0</v>
      </c>
    </row>
    <row r="190" spans="1:43" x14ac:dyDescent="0.3">
      <c r="A190" s="47" t="str">
        <f>IFERROR(INDEX('G-1 All Habitats'!$AG$3:$AG$15,MATCH(E190,'G-1 All Habitats'!$AF$3:$AF$15,0)),"")</f>
        <v/>
      </c>
      <c r="B190" s="47" t="str">
        <f>IFERROR(INDEX('G-8 Condition Look up'!$I$4:$I$130,MATCH(G190,'G-8 Condition Look up'!$A$4:$A$130,0)),"")</f>
        <v/>
      </c>
      <c r="D190" s="77">
        <v>180</v>
      </c>
      <c r="E190" s="78"/>
      <c r="F190" s="79"/>
      <c r="G190" s="69" t="str">
        <f>IFERROR(INDEX('G-1 All Habitats'!$B$3:$B$129,MATCH(F190,'G-1 All Habitats'!$A$3:$A$129,0)),"")</f>
        <v/>
      </c>
      <c r="H190" s="70"/>
      <c r="I190" s="498" t="str">
        <f>IF(G190="","",VLOOKUP(G190,'G-1 All Habitats'!$B$2:$M$129,10,FALSE))</f>
        <v/>
      </c>
      <c r="J190" s="499" t="str">
        <f>IFERROR(VLOOKUP(I190,'G-1 All Habitats'!$V$3:$W$7,2,FALSE),"")</f>
        <v/>
      </c>
      <c r="K190" s="71"/>
      <c r="L190" s="499" t="str">
        <f>IFERROR(INDEX('G-8 Condition Look up'!$A$3:$H$130,MATCH(G190,'G-8 Condition Look up'!$A$3:$A$130,0),MATCH(K190,'G-8 Condition Look up'!$A$3:$H$3,0)),"")</f>
        <v/>
      </c>
      <c r="M190" s="71"/>
      <c r="N190" s="520" t="str">
        <f>IF(M190="","",IF(VLOOKUP(M190,'G-3 Multipliers'!$L$3:$N$6,2,FALSE)=0,"Spatial Data Missing",VLOOKUP(M190,'G-3 Multipliers'!$L$3:$N$6,2,FALSE)))</f>
        <v/>
      </c>
      <c r="O190" s="505" t="str">
        <f>IF(M190="","",IF(VLOOKUP(M190,'G-3 Multipliers'!$L$3:$N$6,3,FALSE)=0,"Spatial Data Missing",VLOOKUP(M190,'G-3 Multipliers'!$L$3:$N$6,3,FALSE)))</f>
        <v/>
      </c>
      <c r="P190" s="506" t="str">
        <f>IFERROR(VLOOKUP(G190,'G-1 All Habitats'!$B$2:$M$129,12,FALSE),"")</f>
        <v/>
      </c>
      <c r="Q190" s="513" t="str">
        <f>IFERROR(IF(P190="","",IF(AND(P190='G-1 All Habitats'!$X$3,T190&gt;0),U190+V190,IF(AND(P190='G-1 All Habitats'!$X$3,S190&gt;0),U190+V190,IF(AND(P190='G-1 All Habitats'!$X$3,AC190&gt;0),"Any Loss Unacceptable ▲",IF(AND(P190='G-1 All Habitats'!$X$3,W190&gt;0),"Any Loss Unacceptable ▲",H190*J190*L190*O190))))),"Check Data ▲")</f>
        <v/>
      </c>
      <c r="R190" s="50"/>
      <c r="S190" s="71"/>
      <c r="T190" s="72"/>
      <c r="U190" s="511" t="str">
        <f t="shared" si="13"/>
        <v/>
      </c>
      <c r="V190" s="511" t="str">
        <f t="shared" si="14"/>
        <v/>
      </c>
      <c r="W190" s="511" t="str">
        <f>IF(E190="","",IF(H190&lt;S190+T190,"Error in Areas ▲",IF(P190&lt;&gt;'G-1 All Habitats'!$X$3,H190-S190-T190,IF(AND(P190='G-1 All Habitats'!$X$3,Y190="Yes"),"Unacceptable Loss",IF(AND(P190='G-1 All Habitats'!$X$3,Y190="No"),AC190,IF(AND(P190='G-1 All Habitats'!$X$3,Y190=""),AC190,IF(AND(P190='G-1 All Habitats'!$X$3,AC190="None",AC190),IF(AND(P190='G-1 All Habitats'!$X$3,AC190&gt;0),H190-S190-T190))))))))</f>
        <v/>
      </c>
      <c r="X190" s="515" t="str">
        <f>IFERROR(IF(H190="","",IF(H190-S190-T190=0&lt;0,"Error in Areas ▲",IF(S190+T190&gt;H190,"Error in Areas ▲",IF(AND(P190='G-1 All Habitats'!$X$3,Y190="Yes"),"Alternative Compensation ✓",IF(W190=0,0,IF(P190='G-1 All Habitats'!$X$3,"Unacceptable Loss ▲",Q190-U190-V190)))))),"Check Data ▲")</f>
        <v/>
      </c>
      <c r="Y190" s="72"/>
      <c r="Z190" s="80"/>
      <c r="AA190" s="81"/>
      <c r="AC190" s="75" t="str">
        <f>IF(P190="","",IF(P190='G-1 All Habitats'!$X$3,H190-S190-T190,"None"))</f>
        <v/>
      </c>
      <c r="AD190" s="76" t="str">
        <f>IFERROR(AC190*J190*L190*#REF!*O190,IF(P190="","","None"))</f>
        <v/>
      </c>
      <c r="AF190" s="54" t="str">
        <f t="shared" si="10"/>
        <v/>
      </c>
      <c r="AG190" s="54" t="str">
        <f t="shared" si="11"/>
        <v/>
      </c>
      <c r="AH190" s="54" t="str">
        <f>IF(I190="","",IF(#REF!&gt;0,TRUE,FALSE))</f>
        <v/>
      </c>
      <c r="AI190" s="54">
        <v>180</v>
      </c>
      <c r="AJ190" s="54"/>
      <c r="AK190" s="54" t="str">
        <f t="array" ref="AK190">IFERROR(INDEX($AI$11:$AI$259, MATCH(0, IF(TRUE=$AF$11:$AF$259, COUNTIF($AK$10:$AK189, $AI$11:$AI$259), ""), 0)),"")</f>
        <v/>
      </c>
      <c r="AL190" s="54" t="str">
        <f t="array" ref="AL190">IFERROR(INDEX($AI$11:$AI$259, MATCH(0, IF(TRUE=$AG$11:$AG$259, COUNTIF($AL$10:$AL189, $AI$11:$AI$259), ""), 0)),"")</f>
        <v/>
      </c>
      <c r="AM190" s="54" t="str">
        <f t="array" ref="AM190">IFERROR(INDEX($AI$11:$AI$259, MATCH(0, IF(TRUE=$AH$11:$AH$259, COUNTIF($AM$10:$AM189, $AI$11:$AI$259), ""), 0)),"")</f>
        <v/>
      </c>
      <c r="AN190" s="54"/>
      <c r="AQ190" s="47">
        <f t="shared" si="12"/>
        <v>0</v>
      </c>
    </row>
    <row r="191" spans="1:43" x14ac:dyDescent="0.3">
      <c r="A191" s="47" t="str">
        <f>IFERROR(INDEX('G-1 All Habitats'!$AG$3:$AG$15,MATCH(E191,'G-1 All Habitats'!$AF$3:$AF$15,0)),"")</f>
        <v/>
      </c>
      <c r="B191" s="47" t="str">
        <f>IFERROR(INDEX('G-8 Condition Look up'!$I$4:$I$130,MATCH(G191,'G-8 Condition Look up'!$A$4:$A$130,0)),"")</f>
        <v/>
      </c>
      <c r="D191" s="77">
        <v>181</v>
      </c>
      <c r="E191" s="78"/>
      <c r="F191" s="79"/>
      <c r="G191" s="69" t="str">
        <f>IFERROR(INDEX('G-1 All Habitats'!$B$3:$B$129,MATCH(F191,'G-1 All Habitats'!$A$3:$A$129,0)),"")</f>
        <v/>
      </c>
      <c r="H191" s="70"/>
      <c r="I191" s="498" t="str">
        <f>IF(G191="","",VLOOKUP(G191,'G-1 All Habitats'!$B$2:$M$129,10,FALSE))</f>
        <v/>
      </c>
      <c r="J191" s="499" t="str">
        <f>IFERROR(VLOOKUP(I191,'G-1 All Habitats'!$V$3:$W$7,2,FALSE),"")</f>
        <v/>
      </c>
      <c r="K191" s="71"/>
      <c r="L191" s="499" t="str">
        <f>IFERROR(INDEX('G-8 Condition Look up'!$A$3:$H$130,MATCH(G191,'G-8 Condition Look up'!$A$3:$A$130,0),MATCH(K191,'G-8 Condition Look up'!$A$3:$H$3,0)),"")</f>
        <v/>
      </c>
      <c r="M191" s="71"/>
      <c r="N191" s="520" t="str">
        <f>IF(M191="","",IF(VLOOKUP(M191,'G-3 Multipliers'!$L$3:$N$6,2,FALSE)=0,"Spatial Data Missing",VLOOKUP(M191,'G-3 Multipliers'!$L$3:$N$6,2,FALSE)))</f>
        <v/>
      </c>
      <c r="O191" s="505" t="str">
        <f>IF(M191="","",IF(VLOOKUP(M191,'G-3 Multipliers'!$L$3:$N$6,3,FALSE)=0,"Spatial Data Missing",VLOOKUP(M191,'G-3 Multipliers'!$L$3:$N$6,3,FALSE)))</f>
        <v/>
      </c>
      <c r="P191" s="506" t="str">
        <f>IFERROR(VLOOKUP(G191,'G-1 All Habitats'!$B$2:$M$129,12,FALSE),"")</f>
        <v/>
      </c>
      <c r="Q191" s="513" t="str">
        <f>IFERROR(IF(P191="","",IF(AND(P191='G-1 All Habitats'!$X$3,T191&gt;0),U191+V191,IF(AND(P191='G-1 All Habitats'!$X$3,S191&gt;0),U191+V191,IF(AND(P191='G-1 All Habitats'!$X$3,AC191&gt;0),"Any Loss Unacceptable ▲",IF(AND(P191='G-1 All Habitats'!$X$3,W191&gt;0),"Any Loss Unacceptable ▲",H191*J191*L191*O191))))),"Check Data ▲")</f>
        <v/>
      </c>
      <c r="R191" s="50"/>
      <c r="S191" s="71"/>
      <c r="T191" s="72"/>
      <c r="U191" s="511" t="str">
        <f t="shared" si="13"/>
        <v/>
      </c>
      <c r="V191" s="511" t="str">
        <f t="shared" si="14"/>
        <v/>
      </c>
      <c r="W191" s="511" t="str">
        <f>IF(E191="","",IF(H191&lt;S191+T191,"Error in Areas ▲",IF(P191&lt;&gt;'G-1 All Habitats'!$X$3,H191-S191-T191,IF(AND(P191='G-1 All Habitats'!$X$3,Y191="Yes"),"Unacceptable Loss",IF(AND(P191='G-1 All Habitats'!$X$3,Y191="No"),AC191,IF(AND(P191='G-1 All Habitats'!$X$3,Y191=""),AC191,IF(AND(P191='G-1 All Habitats'!$X$3,AC191="None",AC191),IF(AND(P191='G-1 All Habitats'!$X$3,AC191&gt;0),H191-S191-T191))))))))</f>
        <v/>
      </c>
      <c r="X191" s="515" t="str">
        <f>IFERROR(IF(H191="","",IF(H191-S191-T191=0&lt;0,"Error in Areas ▲",IF(S191+T191&gt;H191,"Error in Areas ▲",IF(AND(P191='G-1 All Habitats'!$X$3,Y191="Yes"),"Alternative Compensation ✓",IF(W191=0,0,IF(P191='G-1 All Habitats'!$X$3,"Unacceptable Loss ▲",Q191-U191-V191)))))),"Check Data ▲")</f>
        <v/>
      </c>
      <c r="Y191" s="72"/>
      <c r="Z191" s="80"/>
      <c r="AA191" s="81"/>
      <c r="AC191" s="75" t="str">
        <f>IF(P191="","",IF(P191='G-1 All Habitats'!$X$3,H191-S191-T191,"None"))</f>
        <v/>
      </c>
      <c r="AD191" s="76" t="str">
        <f>IFERROR(AC191*J191*L191*#REF!*O191,IF(P191="","","None"))</f>
        <v/>
      </c>
      <c r="AF191" s="54" t="str">
        <f t="shared" si="10"/>
        <v/>
      </c>
      <c r="AG191" s="54" t="str">
        <f t="shared" si="11"/>
        <v/>
      </c>
      <c r="AH191" s="54" t="str">
        <f>IF(I191="","",IF(#REF!&gt;0,TRUE,FALSE))</f>
        <v/>
      </c>
      <c r="AI191" s="54">
        <v>181</v>
      </c>
      <c r="AJ191" s="54"/>
      <c r="AK191" s="54" t="str">
        <f t="array" ref="AK191">IFERROR(INDEX($AI$11:$AI$259, MATCH(0, IF(TRUE=$AF$11:$AF$259, COUNTIF($AK$10:$AK190, $AI$11:$AI$259), ""), 0)),"")</f>
        <v/>
      </c>
      <c r="AL191" s="54" t="str">
        <f t="array" ref="AL191">IFERROR(INDEX($AI$11:$AI$259, MATCH(0, IF(TRUE=$AG$11:$AG$259, COUNTIF($AL$10:$AL190, $AI$11:$AI$259), ""), 0)),"")</f>
        <v/>
      </c>
      <c r="AM191" s="54" t="str">
        <f t="array" ref="AM191">IFERROR(INDEX($AI$11:$AI$259, MATCH(0, IF(TRUE=$AH$11:$AH$259, COUNTIF($AM$10:$AM190, $AI$11:$AI$259), ""), 0)),"")</f>
        <v/>
      </c>
      <c r="AN191" s="54"/>
      <c r="AQ191" s="47">
        <f t="shared" si="12"/>
        <v>0</v>
      </c>
    </row>
    <row r="192" spans="1:43" x14ac:dyDescent="0.3">
      <c r="A192" s="47" t="str">
        <f>IFERROR(INDEX('G-1 All Habitats'!$AG$3:$AG$15,MATCH(E192,'G-1 All Habitats'!$AF$3:$AF$15,0)),"")</f>
        <v/>
      </c>
      <c r="B192" s="47" t="str">
        <f>IFERROR(INDEX('G-8 Condition Look up'!$I$4:$I$130,MATCH(G192,'G-8 Condition Look up'!$A$4:$A$130,0)),"")</f>
        <v/>
      </c>
      <c r="D192" s="77">
        <v>182</v>
      </c>
      <c r="E192" s="78"/>
      <c r="F192" s="79"/>
      <c r="G192" s="69" t="str">
        <f>IFERROR(INDEX('G-1 All Habitats'!$B$3:$B$129,MATCH(F192,'G-1 All Habitats'!$A$3:$A$129,0)),"")</f>
        <v/>
      </c>
      <c r="H192" s="70"/>
      <c r="I192" s="498" t="str">
        <f>IF(G192="","",VLOOKUP(G192,'G-1 All Habitats'!$B$2:$M$129,10,FALSE))</f>
        <v/>
      </c>
      <c r="J192" s="499" t="str">
        <f>IFERROR(VLOOKUP(I192,'G-1 All Habitats'!$V$3:$W$7,2,FALSE),"")</f>
        <v/>
      </c>
      <c r="K192" s="71"/>
      <c r="L192" s="499" t="str">
        <f>IFERROR(INDEX('G-8 Condition Look up'!$A$3:$H$130,MATCH(G192,'G-8 Condition Look up'!$A$3:$A$130,0),MATCH(K192,'G-8 Condition Look up'!$A$3:$H$3,0)),"")</f>
        <v/>
      </c>
      <c r="M192" s="71"/>
      <c r="N192" s="520" t="str">
        <f>IF(M192="","",IF(VLOOKUP(M192,'G-3 Multipliers'!$L$3:$N$6,2,FALSE)=0,"Spatial Data Missing",VLOOKUP(M192,'G-3 Multipliers'!$L$3:$N$6,2,FALSE)))</f>
        <v/>
      </c>
      <c r="O192" s="505" t="str">
        <f>IF(M192="","",IF(VLOOKUP(M192,'G-3 Multipliers'!$L$3:$N$6,3,FALSE)=0,"Spatial Data Missing",VLOOKUP(M192,'G-3 Multipliers'!$L$3:$N$6,3,FALSE)))</f>
        <v/>
      </c>
      <c r="P192" s="506" t="str">
        <f>IFERROR(VLOOKUP(G192,'G-1 All Habitats'!$B$2:$M$129,12,FALSE),"")</f>
        <v/>
      </c>
      <c r="Q192" s="513" t="str">
        <f>IFERROR(IF(P192="","",IF(AND(P192='G-1 All Habitats'!$X$3,T192&gt;0),U192+V192,IF(AND(P192='G-1 All Habitats'!$X$3,S192&gt;0),U192+V192,IF(AND(P192='G-1 All Habitats'!$X$3,AC192&gt;0),"Any Loss Unacceptable ▲",IF(AND(P192='G-1 All Habitats'!$X$3,W192&gt;0),"Any Loss Unacceptable ▲",H192*J192*L192*O192))))),"Check Data ▲")</f>
        <v/>
      </c>
      <c r="R192" s="50"/>
      <c r="S192" s="71"/>
      <c r="T192" s="72"/>
      <c r="U192" s="511" t="str">
        <f t="shared" si="13"/>
        <v/>
      </c>
      <c r="V192" s="511" t="str">
        <f t="shared" si="14"/>
        <v/>
      </c>
      <c r="W192" s="511" t="str">
        <f>IF(E192="","",IF(H192&lt;S192+T192,"Error in Areas ▲",IF(P192&lt;&gt;'G-1 All Habitats'!$X$3,H192-S192-T192,IF(AND(P192='G-1 All Habitats'!$X$3,Y192="Yes"),"Unacceptable Loss",IF(AND(P192='G-1 All Habitats'!$X$3,Y192="No"),AC192,IF(AND(P192='G-1 All Habitats'!$X$3,Y192=""),AC192,IF(AND(P192='G-1 All Habitats'!$X$3,AC192="None",AC192),IF(AND(P192='G-1 All Habitats'!$X$3,AC192&gt;0),H192-S192-T192))))))))</f>
        <v/>
      </c>
      <c r="X192" s="515" t="str">
        <f>IFERROR(IF(H192="","",IF(H192-S192-T192=0&lt;0,"Error in Areas ▲",IF(S192+T192&gt;H192,"Error in Areas ▲",IF(AND(P192='G-1 All Habitats'!$X$3,Y192="Yes"),"Alternative Compensation ✓",IF(W192=0,0,IF(P192='G-1 All Habitats'!$X$3,"Unacceptable Loss ▲",Q192-U192-V192)))))),"Check Data ▲")</f>
        <v/>
      </c>
      <c r="Y192" s="72"/>
      <c r="Z192" s="80"/>
      <c r="AA192" s="81"/>
      <c r="AC192" s="75" t="str">
        <f>IF(P192="","",IF(P192='G-1 All Habitats'!$X$3,H192-S192-T192,"None"))</f>
        <v/>
      </c>
      <c r="AD192" s="76" t="str">
        <f>IFERROR(AC192*J192*L192*#REF!*O192,IF(P192="","","None"))</f>
        <v/>
      </c>
      <c r="AF192" s="54" t="str">
        <f t="shared" si="10"/>
        <v/>
      </c>
      <c r="AG192" s="54" t="str">
        <f t="shared" si="11"/>
        <v/>
      </c>
      <c r="AH192" s="54" t="str">
        <f>IF(I192="","",IF(#REF!&gt;0,TRUE,FALSE))</f>
        <v/>
      </c>
      <c r="AI192" s="54">
        <v>182</v>
      </c>
      <c r="AJ192" s="54"/>
      <c r="AK192" s="54" t="str">
        <f t="array" ref="AK192">IFERROR(INDEX($AI$11:$AI$259, MATCH(0, IF(TRUE=$AF$11:$AF$259, COUNTIF($AK$10:$AK191, $AI$11:$AI$259), ""), 0)),"")</f>
        <v/>
      </c>
      <c r="AL192" s="54" t="str">
        <f t="array" ref="AL192">IFERROR(INDEX($AI$11:$AI$259, MATCH(0, IF(TRUE=$AG$11:$AG$259, COUNTIF($AL$10:$AL191, $AI$11:$AI$259), ""), 0)),"")</f>
        <v/>
      </c>
      <c r="AM192" s="54" t="str">
        <f t="array" ref="AM192">IFERROR(INDEX($AI$11:$AI$259, MATCH(0, IF(TRUE=$AH$11:$AH$259, COUNTIF($AM$10:$AM191, $AI$11:$AI$259), ""), 0)),"")</f>
        <v/>
      </c>
      <c r="AN192" s="54"/>
      <c r="AQ192" s="47">
        <f t="shared" si="12"/>
        <v>0</v>
      </c>
    </row>
    <row r="193" spans="1:43" x14ac:dyDescent="0.3">
      <c r="A193" s="47" t="str">
        <f>IFERROR(INDEX('G-1 All Habitats'!$AG$3:$AG$15,MATCH(E193,'G-1 All Habitats'!$AF$3:$AF$15,0)),"")</f>
        <v/>
      </c>
      <c r="B193" s="47" t="str">
        <f>IFERROR(INDEX('G-8 Condition Look up'!$I$4:$I$130,MATCH(G193,'G-8 Condition Look up'!$A$4:$A$130,0)),"")</f>
        <v/>
      </c>
      <c r="D193" s="77">
        <v>183</v>
      </c>
      <c r="E193" s="78"/>
      <c r="F193" s="79"/>
      <c r="G193" s="69" t="str">
        <f>IFERROR(INDEX('G-1 All Habitats'!$B$3:$B$129,MATCH(F193,'G-1 All Habitats'!$A$3:$A$129,0)),"")</f>
        <v/>
      </c>
      <c r="H193" s="70"/>
      <c r="I193" s="498" t="str">
        <f>IF(G193="","",VLOOKUP(G193,'G-1 All Habitats'!$B$2:$M$129,10,FALSE))</f>
        <v/>
      </c>
      <c r="J193" s="499" t="str">
        <f>IFERROR(VLOOKUP(I193,'G-1 All Habitats'!$V$3:$W$7,2,FALSE),"")</f>
        <v/>
      </c>
      <c r="K193" s="71"/>
      <c r="L193" s="499" t="str">
        <f>IFERROR(INDEX('G-8 Condition Look up'!$A$3:$H$130,MATCH(G193,'G-8 Condition Look up'!$A$3:$A$130,0),MATCH(K193,'G-8 Condition Look up'!$A$3:$H$3,0)),"")</f>
        <v/>
      </c>
      <c r="M193" s="71"/>
      <c r="N193" s="520" t="str">
        <f>IF(M193="","",IF(VLOOKUP(M193,'G-3 Multipliers'!$L$3:$N$6,2,FALSE)=0,"Spatial Data Missing",VLOOKUP(M193,'G-3 Multipliers'!$L$3:$N$6,2,FALSE)))</f>
        <v/>
      </c>
      <c r="O193" s="505" t="str">
        <f>IF(M193="","",IF(VLOOKUP(M193,'G-3 Multipliers'!$L$3:$N$6,3,FALSE)=0,"Spatial Data Missing",VLOOKUP(M193,'G-3 Multipliers'!$L$3:$N$6,3,FALSE)))</f>
        <v/>
      </c>
      <c r="P193" s="506" t="str">
        <f>IFERROR(VLOOKUP(G193,'G-1 All Habitats'!$B$2:$M$129,12,FALSE),"")</f>
        <v/>
      </c>
      <c r="Q193" s="513" t="str">
        <f>IFERROR(IF(P193="","",IF(AND(P193='G-1 All Habitats'!$X$3,T193&gt;0),U193+V193,IF(AND(P193='G-1 All Habitats'!$X$3,S193&gt;0),U193+V193,IF(AND(P193='G-1 All Habitats'!$X$3,AC193&gt;0),"Any Loss Unacceptable ▲",IF(AND(P193='G-1 All Habitats'!$X$3,W193&gt;0),"Any Loss Unacceptable ▲",H193*J193*L193*O193))))),"Check Data ▲")</f>
        <v/>
      </c>
      <c r="R193" s="50"/>
      <c r="S193" s="71"/>
      <c r="T193" s="72"/>
      <c r="U193" s="511" t="str">
        <f t="shared" si="13"/>
        <v/>
      </c>
      <c r="V193" s="511" t="str">
        <f t="shared" si="14"/>
        <v/>
      </c>
      <c r="W193" s="511" t="str">
        <f>IF(E193="","",IF(H193&lt;S193+T193,"Error in Areas ▲",IF(P193&lt;&gt;'G-1 All Habitats'!$X$3,H193-S193-T193,IF(AND(P193='G-1 All Habitats'!$X$3,Y193="Yes"),"Unacceptable Loss",IF(AND(P193='G-1 All Habitats'!$X$3,Y193="No"),AC193,IF(AND(P193='G-1 All Habitats'!$X$3,Y193=""),AC193,IF(AND(P193='G-1 All Habitats'!$X$3,AC193="None",AC193),IF(AND(P193='G-1 All Habitats'!$X$3,AC193&gt;0),H193-S193-T193))))))))</f>
        <v/>
      </c>
      <c r="X193" s="515" t="str">
        <f>IFERROR(IF(H193="","",IF(H193-S193-T193=0&lt;0,"Error in Areas ▲",IF(S193+T193&gt;H193,"Error in Areas ▲",IF(AND(P193='G-1 All Habitats'!$X$3,Y193="Yes"),"Alternative Compensation ✓",IF(W193=0,0,IF(P193='G-1 All Habitats'!$X$3,"Unacceptable Loss ▲",Q193-U193-V193)))))),"Check Data ▲")</f>
        <v/>
      </c>
      <c r="Y193" s="72"/>
      <c r="Z193" s="80"/>
      <c r="AA193" s="81"/>
      <c r="AC193" s="75" t="str">
        <f>IF(P193="","",IF(P193='G-1 All Habitats'!$X$3,H193-S193-T193,"None"))</f>
        <v/>
      </c>
      <c r="AD193" s="76" t="str">
        <f>IFERROR(AC193*J193*L193*#REF!*O193,IF(P193="","","None"))</f>
        <v/>
      </c>
      <c r="AF193" s="54" t="str">
        <f t="shared" si="10"/>
        <v/>
      </c>
      <c r="AG193" s="54" t="str">
        <f t="shared" si="11"/>
        <v/>
      </c>
      <c r="AH193" s="54" t="str">
        <f>IF(I193="","",IF(#REF!&gt;0,TRUE,FALSE))</f>
        <v/>
      </c>
      <c r="AI193" s="54">
        <v>183</v>
      </c>
      <c r="AJ193" s="54"/>
      <c r="AK193" s="54" t="str">
        <f t="array" ref="AK193">IFERROR(INDEX($AI$11:$AI$259, MATCH(0, IF(TRUE=$AF$11:$AF$259, COUNTIF($AK$10:$AK192, $AI$11:$AI$259), ""), 0)),"")</f>
        <v/>
      </c>
      <c r="AL193" s="54" t="str">
        <f t="array" ref="AL193">IFERROR(INDEX($AI$11:$AI$259, MATCH(0, IF(TRUE=$AG$11:$AG$259, COUNTIF($AL$10:$AL192, $AI$11:$AI$259), ""), 0)),"")</f>
        <v/>
      </c>
      <c r="AM193" s="54" t="str">
        <f t="array" ref="AM193">IFERROR(INDEX($AI$11:$AI$259, MATCH(0, IF(TRUE=$AH$11:$AH$259, COUNTIF($AM$10:$AM192, $AI$11:$AI$259), ""), 0)),"")</f>
        <v/>
      </c>
      <c r="AN193" s="54"/>
      <c r="AQ193" s="47">
        <f t="shared" si="12"/>
        <v>0</v>
      </c>
    </row>
    <row r="194" spans="1:43" x14ac:dyDescent="0.3">
      <c r="A194" s="47" t="str">
        <f>IFERROR(INDEX('G-1 All Habitats'!$AG$3:$AG$15,MATCH(E194,'G-1 All Habitats'!$AF$3:$AF$15,0)),"")</f>
        <v/>
      </c>
      <c r="B194" s="47" t="str">
        <f>IFERROR(INDEX('G-8 Condition Look up'!$I$4:$I$130,MATCH(G194,'G-8 Condition Look up'!$A$4:$A$130,0)),"")</f>
        <v/>
      </c>
      <c r="D194" s="77">
        <v>184</v>
      </c>
      <c r="E194" s="78"/>
      <c r="F194" s="79"/>
      <c r="G194" s="69" t="str">
        <f>IFERROR(INDEX('G-1 All Habitats'!$B$3:$B$129,MATCH(F194,'G-1 All Habitats'!$A$3:$A$129,0)),"")</f>
        <v/>
      </c>
      <c r="H194" s="70"/>
      <c r="I194" s="498" t="str">
        <f>IF(G194="","",VLOOKUP(G194,'G-1 All Habitats'!$B$2:$M$129,10,FALSE))</f>
        <v/>
      </c>
      <c r="J194" s="499" t="str">
        <f>IFERROR(VLOOKUP(I194,'G-1 All Habitats'!$V$3:$W$7,2,FALSE),"")</f>
        <v/>
      </c>
      <c r="K194" s="71"/>
      <c r="L194" s="499" t="str">
        <f>IFERROR(INDEX('G-8 Condition Look up'!$A$3:$H$130,MATCH(G194,'G-8 Condition Look up'!$A$3:$A$130,0),MATCH(K194,'G-8 Condition Look up'!$A$3:$H$3,0)),"")</f>
        <v/>
      </c>
      <c r="M194" s="71"/>
      <c r="N194" s="520" t="str">
        <f>IF(M194="","",IF(VLOOKUP(M194,'G-3 Multipliers'!$L$3:$N$6,2,FALSE)=0,"Spatial Data Missing",VLOOKUP(M194,'G-3 Multipliers'!$L$3:$N$6,2,FALSE)))</f>
        <v/>
      </c>
      <c r="O194" s="505" t="str">
        <f>IF(M194="","",IF(VLOOKUP(M194,'G-3 Multipliers'!$L$3:$N$6,3,FALSE)=0,"Spatial Data Missing",VLOOKUP(M194,'G-3 Multipliers'!$L$3:$N$6,3,FALSE)))</f>
        <v/>
      </c>
      <c r="P194" s="506" t="str">
        <f>IFERROR(VLOOKUP(G194,'G-1 All Habitats'!$B$2:$M$129,12,FALSE),"")</f>
        <v/>
      </c>
      <c r="Q194" s="513" t="str">
        <f>IFERROR(IF(P194="","",IF(AND(P194='G-1 All Habitats'!$X$3,T194&gt;0),U194+V194,IF(AND(P194='G-1 All Habitats'!$X$3,S194&gt;0),U194+V194,IF(AND(P194='G-1 All Habitats'!$X$3,AC194&gt;0),"Any Loss Unacceptable ▲",IF(AND(P194='G-1 All Habitats'!$X$3,W194&gt;0),"Any Loss Unacceptable ▲",H194*J194*L194*O194))))),"Check Data ▲")</f>
        <v/>
      </c>
      <c r="R194" s="50"/>
      <c r="S194" s="71"/>
      <c r="T194" s="72"/>
      <c r="U194" s="511" t="str">
        <f t="shared" si="13"/>
        <v/>
      </c>
      <c r="V194" s="511" t="str">
        <f t="shared" si="14"/>
        <v/>
      </c>
      <c r="W194" s="511" t="str">
        <f>IF(E194="","",IF(H194&lt;S194+T194,"Error in Areas ▲",IF(P194&lt;&gt;'G-1 All Habitats'!$X$3,H194-S194-T194,IF(AND(P194='G-1 All Habitats'!$X$3,Y194="Yes"),"Unacceptable Loss",IF(AND(P194='G-1 All Habitats'!$X$3,Y194="No"),AC194,IF(AND(P194='G-1 All Habitats'!$X$3,Y194=""),AC194,IF(AND(P194='G-1 All Habitats'!$X$3,AC194="None",AC194),IF(AND(P194='G-1 All Habitats'!$X$3,AC194&gt;0),H194-S194-T194))))))))</f>
        <v/>
      </c>
      <c r="X194" s="515" t="str">
        <f>IFERROR(IF(H194="","",IF(H194-S194-T194=0&lt;0,"Error in Areas ▲",IF(S194+T194&gt;H194,"Error in Areas ▲",IF(AND(P194='G-1 All Habitats'!$X$3,Y194="Yes"),"Alternative Compensation ✓",IF(W194=0,0,IF(P194='G-1 All Habitats'!$X$3,"Unacceptable Loss ▲",Q194-U194-V194)))))),"Check Data ▲")</f>
        <v/>
      </c>
      <c r="Y194" s="72"/>
      <c r="Z194" s="80"/>
      <c r="AA194" s="81"/>
      <c r="AC194" s="75" t="str">
        <f>IF(P194="","",IF(P194='G-1 All Habitats'!$X$3,H194-S194-T194,"None"))</f>
        <v/>
      </c>
      <c r="AD194" s="76" t="str">
        <f>IFERROR(AC194*J194*L194*#REF!*O194,IF(P194="","","None"))</f>
        <v/>
      </c>
      <c r="AF194" s="54" t="str">
        <f t="shared" si="10"/>
        <v/>
      </c>
      <c r="AG194" s="54" t="str">
        <f t="shared" si="11"/>
        <v/>
      </c>
      <c r="AH194" s="54" t="str">
        <f>IF(I194="","",IF(#REF!&gt;0,TRUE,FALSE))</f>
        <v/>
      </c>
      <c r="AI194" s="54">
        <v>184</v>
      </c>
      <c r="AJ194" s="54"/>
      <c r="AK194" s="54" t="str">
        <f t="array" ref="AK194">IFERROR(INDEX($AI$11:$AI$259, MATCH(0, IF(TRUE=$AF$11:$AF$259, COUNTIF($AK$10:$AK193, $AI$11:$AI$259), ""), 0)),"")</f>
        <v/>
      </c>
      <c r="AL194" s="54" t="str">
        <f t="array" ref="AL194">IFERROR(INDEX($AI$11:$AI$259, MATCH(0, IF(TRUE=$AG$11:$AG$259, COUNTIF($AL$10:$AL193, $AI$11:$AI$259), ""), 0)),"")</f>
        <v/>
      </c>
      <c r="AM194" s="54" t="str">
        <f t="array" ref="AM194">IFERROR(INDEX($AI$11:$AI$259, MATCH(0, IF(TRUE=$AH$11:$AH$259, COUNTIF($AM$10:$AM193, $AI$11:$AI$259), ""), 0)),"")</f>
        <v/>
      </c>
      <c r="AN194" s="54"/>
      <c r="AQ194" s="47">
        <f t="shared" si="12"/>
        <v>0</v>
      </c>
    </row>
    <row r="195" spans="1:43" x14ac:dyDescent="0.3">
      <c r="A195" s="47" t="str">
        <f>IFERROR(INDEX('G-1 All Habitats'!$AG$3:$AG$15,MATCH(E195,'G-1 All Habitats'!$AF$3:$AF$15,0)),"")</f>
        <v/>
      </c>
      <c r="B195" s="47" t="str">
        <f>IFERROR(INDEX('G-8 Condition Look up'!$I$4:$I$130,MATCH(G195,'G-8 Condition Look up'!$A$4:$A$130,0)),"")</f>
        <v/>
      </c>
      <c r="D195" s="77">
        <v>185</v>
      </c>
      <c r="E195" s="78"/>
      <c r="F195" s="79"/>
      <c r="G195" s="69" t="str">
        <f>IFERROR(INDEX('G-1 All Habitats'!$B$3:$B$129,MATCH(F195,'G-1 All Habitats'!$A$3:$A$129,0)),"")</f>
        <v/>
      </c>
      <c r="H195" s="70"/>
      <c r="I195" s="498" t="str">
        <f>IF(G195="","",VLOOKUP(G195,'G-1 All Habitats'!$B$2:$M$129,10,FALSE))</f>
        <v/>
      </c>
      <c r="J195" s="499" t="str">
        <f>IFERROR(VLOOKUP(I195,'G-1 All Habitats'!$V$3:$W$7,2,FALSE),"")</f>
        <v/>
      </c>
      <c r="K195" s="71"/>
      <c r="L195" s="499" t="str">
        <f>IFERROR(INDEX('G-8 Condition Look up'!$A$3:$H$130,MATCH(G195,'G-8 Condition Look up'!$A$3:$A$130,0),MATCH(K195,'G-8 Condition Look up'!$A$3:$H$3,0)),"")</f>
        <v/>
      </c>
      <c r="M195" s="71"/>
      <c r="N195" s="520" t="str">
        <f>IF(M195="","",IF(VLOOKUP(M195,'G-3 Multipliers'!$L$3:$N$6,2,FALSE)=0,"Spatial Data Missing",VLOOKUP(M195,'G-3 Multipliers'!$L$3:$N$6,2,FALSE)))</f>
        <v/>
      </c>
      <c r="O195" s="505" t="str">
        <f>IF(M195="","",IF(VLOOKUP(M195,'G-3 Multipliers'!$L$3:$N$6,3,FALSE)=0,"Spatial Data Missing",VLOOKUP(M195,'G-3 Multipliers'!$L$3:$N$6,3,FALSE)))</f>
        <v/>
      </c>
      <c r="P195" s="506" t="str">
        <f>IFERROR(VLOOKUP(G195,'G-1 All Habitats'!$B$2:$M$129,12,FALSE),"")</f>
        <v/>
      </c>
      <c r="Q195" s="513" t="str">
        <f>IFERROR(IF(P195="","",IF(AND(P195='G-1 All Habitats'!$X$3,T195&gt;0),U195+V195,IF(AND(P195='G-1 All Habitats'!$X$3,S195&gt;0),U195+V195,IF(AND(P195='G-1 All Habitats'!$X$3,AC195&gt;0),"Any Loss Unacceptable ▲",IF(AND(P195='G-1 All Habitats'!$X$3,W195&gt;0),"Any Loss Unacceptable ▲",H195*J195*L195*O195))))),"Check Data ▲")</f>
        <v/>
      </c>
      <c r="R195" s="50"/>
      <c r="S195" s="71"/>
      <c r="T195" s="72"/>
      <c r="U195" s="511" t="str">
        <f t="shared" si="13"/>
        <v/>
      </c>
      <c r="V195" s="511" t="str">
        <f t="shared" si="14"/>
        <v/>
      </c>
      <c r="W195" s="511" t="str">
        <f>IF(E195="","",IF(H195&lt;S195+T195,"Error in Areas ▲",IF(P195&lt;&gt;'G-1 All Habitats'!$X$3,H195-S195-T195,IF(AND(P195='G-1 All Habitats'!$X$3,Y195="Yes"),"Unacceptable Loss",IF(AND(P195='G-1 All Habitats'!$X$3,Y195="No"),AC195,IF(AND(P195='G-1 All Habitats'!$X$3,Y195=""),AC195,IF(AND(P195='G-1 All Habitats'!$X$3,AC195="None",AC195),IF(AND(P195='G-1 All Habitats'!$X$3,AC195&gt;0),H195-S195-T195))))))))</f>
        <v/>
      </c>
      <c r="X195" s="515" t="str">
        <f>IFERROR(IF(H195="","",IF(H195-S195-T195=0&lt;0,"Error in Areas ▲",IF(S195+T195&gt;H195,"Error in Areas ▲",IF(AND(P195='G-1 All Habitats'!$X$3,Y195="Yes"),"Alternative Compensation ✓",IF(W195=0,0,IF(P195='G-1 All Habitats'!$X$3,"Unacceptable Loss ▲",Q195-U195-V195)))))),"Check Data ▲")</f>
        <v/>
      </c>
      <c r="Y195" s="72"/>
      <c r="Z195" s="80"/>
      <c r="AA195" s="81"/>
      <c r="AC195" s="75" t="str">
        <f>IF(P195="","",IF(P195='G-1 All Habitats'!$X$3,H195-S195-T195,"None"))</f>
        <v/>
      </c>
      <c r="AD195" s="76" t="str">
        <f>IFERROR(AC195*J195*L195*#REF!*O195,IF(P195="","","None"))</f>
        <v/>
      </c>
      <c r="AF195" s="54" t="str">
        <f t="shared" si="10"/>
        <v/>
      </c>
      <c r="AG195" s="54" t="str">
        <f t="shared" si="11"/>
        <v/>
      </c>
      <c r="AH195" s="54" t="str">
        <f>IF(I195="","",IF(#REF!&gt;0,TRUE,FALSE))</f>
        <v/>
      </c>
      <c r="AI195" s="54">
        <v>185</v>
      </c>
      <c r="AJ195" s="54"/>
      <c r="AK195" s="54" t="str">
        <f t="array" ref="AK195">IFERROR(INDEX($AI$11:$AI$259, MATCH(0, IF(TRUE=$AF$11:$AF$259, COUNTIF($AK$10:$AK194, $AI$11:$AI$259), ""), 0)),"")</f>
        <v/>
      </c>
      <c r="AL195" s="54" t="str">
        <f t="array" ref="AL195">IFERROR(INDEX($AI$11:$AI$259, MATCH(0, IF(TRUE=$AG$11:$AG$259, COUNTIF($AL$10:$AL194, $AI$11:$AI$259), ""), 0)),"")</f>
        <v/>
      </c>
      <c r="AM195" s="54" t="str">
        <f t="array" ref="AM195">IFERROR(INDEX($AI$11:$AI$259, MATCH(0, IF(TRUE=$AH$11:$AH$259, COUNTIF($AM$10:$AM194, $AI$11:$AI$259), ""), 0)),"")</f>
        <v/>
      </c>
      <c r="AN195" s="54"/>
      <c r="AQ195" s="47">
        <f t="shared" si="12"/>
        <v>0</v>
      </c>
    </row>
    <row r="196" spans="1:43" x14ac:dyDescent="0.3">
      <c r="A196" s="47" t="str">
        <f>IFERROR(INDEX('G-1 All Habitats'!$AG$3:$AG$15,MATCH(E196,'G-1 All Habitats'!$AF$3:$AF$15,0)),"")</f>
        <v/>
      </c>
      <c r="B196" s="47" t="str">
        <f>IFERROR(INDEX('G-8 Condition Look up'!$I$4:$I$130,MATCH(G196,'G-8 Condition Look up'!$A$4:$A$130,0)),"")</f>
        <v/>
      </c>
      <c r="D196" s="77">
        <v>186</v>
      </c>
      <c r="E196" s="78"/>
      <c r="F196" s="79"/>
      <c r="G196" s="69" t="str">
        <f>IFERROR(INDEX('G-1 All Habitats'!$B$3:$B$129,MATCH(F196,'G-1 All Habitats'!$A$3:$A$129,0)),"")</f>
        <v/>
      </c>
      <c r="H196" s="70"/>
      <c r="I196" s="498" t="str">
        <f>IF(G196="","",VLOOKUP(G196,'G-1 All Habitats'!$B$2:$M$129,10,FALSE))</f>
        <v/>
      </c>
      <c r="J196" s="499" t="str">
        <f>IFERROR(VLOOKUP(I196,'G-1 All Habitats'!$V$3:$W$7,2,FALSE),"")</f>
        <v/>
      </c>
      <c r="K196" s="71"/>
      <c r="L196" s="499" t="str">
        <f>IFERROR(INDEX('G-8 Condition Look up'!$A$3:$H$130,MATCH(G196,'G-8 Condition Look up'!$A$3:$A$130,0),MATCH(K196,'G-8 Condition Look up'!$A$3:$H$3,0)),"")</f>
        <v/>
      </c>
      <c r="M196" s="71"/>
      <c r="N196" s="520" t="str">
        <f>IF(M196="","",IF(VLOOKUP(M196,'G-3 Multipliers'!$L$3:$N$6,2,FALSE)=0,"Spatial Data Missing",VLOOKUP(M196,'G-3 Multipliers'!$L$3:$N$6,2,FALSE)))</f>
        <v/>
      </c>
      <c r="O196" s="505" t="str">
        <f>IF(M196="","",IF(VLOOKUP(M196,'G-3 Multipliers'!$L$3:$N$6,3,FALSE)=0,"Spatial Data Missing",VLOOKUP(M196,'G-3 Multipliers'!$L$3:$N$6,3,FALSE)))</f>
        <v/>
      </c>
      <c r="P196" s="506" t="str">
        <f>IFERROR(VLOOKUP(G196,'G-1 All Habitats'!$B$2:$M$129,12,FALSE),"")</f>
        <v/>
      </c>
      <c r="Q196" s="513" t="str">
        <f>IFERROR(IF(P196="","",IF(AND(P196='G-1 All Habitats'!$X$3,T196&gt;0),U196+V196,IF(AND(P196='G-1 All Habitats'!$X$3,S196&gt;0),U196+V196,IF(AND(P196='G-1 All Habitats'!$X$3,AC196&gt;0),"Any Loss Unacceptable ▲",IF(AND(P196='G-1 All Habitats'!$X$3,W196&gt;0),"Any Loss Unacceptable ▲",H196*J196*L196*O196))))),"Check Data ▲")</f>
        <v/>
      </c>
      <c r="R196" s="50"/>
      <c r="S196" s="71"/>
      <c r="T196" s="72"/>
      <c r="U196" s="511" t="str">
        <f t="shared" si="13"/>
        <v/>
      </c>
      <c r="V196" s="511" t="str">
        <f t="shared" si="14"/>
        <v/>
      </c>
      <c r="W196" s="511" t="str">
        <f>IF(E196="","",IF(H196&lt;S196+T196,"Error in Areas ▲",IF(P196&lt;&gt;'G-1 All Habitats'!$X$3,H196-S196-T196,IF(AND(P196='G-1 All Habitats'!$X$3,Y196="Yes"),"Unacceptable Loss",IF(AND(P196='G-1 All Habitats'!$X$3,Y196="No"),AC196,IF(AND(P196='G-1 All Habitats'!$X$3,Y196=""),AC196,IF(AND(P196='G-1 All Habitats'!$X$3,AC196="None",AC196),IF(AND(P196='G-1 All Habitats'!$X$3,AC196&gt;0),H196-S196-T196))))))))</f>
        <v/>
      </c>
      <c r="X196" s="515" t="str">
        <f>IFERROR(IF(H196="","",IF(H196-S196-T196=0&lt;0,"Error in Areas ▲",IF(S196+T196&gt;H196,"Error in Areas ▲",IF(AND(P196='G-1 All Habitats'!$X$3,Y196="Yes"),"Alternative Compensation ✓",IF(W196=0,0,IF(P196='G-1 All Habitats'!$X$3,"Unacceptable Loss ▲",Q196-U196-V196)))))),"Check Data ▲")</f>
        <v/>
      </c>
      <c r="Y196" s="72"/>
      <c r="Z196" s="80"/>
      <c r="AA196" s="81"/>
      <c r="AC196" s="75" t="str">
        <f>IF(P196="","",IF(P196='G-1 All Habitats'!$X$3,H196-S196-T196,"None"))</f>
        <v/>
      </c>
      <c r="AD196" s="76" t="str">
        <f>IFERROR(AC196*J196*L196*#REF!*O196,IF(P196="","","None"))</f>
        <v/>
      </c>
      <c r="AF196" s="54" t="str">
        <f t="shared" si="10"/>
        <v/>
      </c>
      <c r="AG196" s="54" t="str">
        <f t="shared" si="11"/>
        <v/>
      </c>
      <c r="AH196" s="54" t="str">
        <f>IF(I196="","",IF(#REF!&gt;0,TRUE,FALSE))</f>
        <v/>
      </c>
      <c r="AI196" s="54">
        <v>186</v>
      </c>
      <c r="AJ196" s="54"/>
      <c r="AK196" s="54" t="str">
        <f t="array" ref="AK196">IFERROR(INDEX($AI$11:$AI$259, MATCH(0, IF(TRUE=$AF$11:$AF$259, COUNTIF($AK$10:$AK195, $AI$11:$AI$259), ""), 0)),"")</f>
        <v/>
      </c>
      <c r="AL196" s="54" t="str">
        <f t="array" ref="AL196">IFERROR(INDEX($AI$11:$AI$259, MATCH(0, IF(TRUE=$AG$11:$AG$259, COUNTIF($AL$10:$AL195, $AI$11:$AI$259), ""), 0)),"")</f>
        <v/>
      </c>
      <c r="AM196" s="54" t="str">
        <f t="array" ref="AM196">IFERROR(INDEX($AI$11:$AI$259, MATCH(0, IF(TRUE=$AH$11:$AH$259, COUNTIF($AM$10:$AM195, $AI$11:$AI$259), ""), 0)),"")</f>
        <v/>
      </c>
      <c r="AN196" s="54"/>
      <c r="AQ196" s="47">
        <f t="shared" si="12"/>
        <v>0</v>
      </c>
    </row>
    <row r="197" spans="1:43" x14ac:dyDescent="0.3">
      <c r="A197" s="47" t="str">
        <f>IFERROR(INDEX('G-1 All Habitats'!$AG$3:$AG$15,MATCH(E197,'G-1 All Habitats'!$AF$3:$AF$15,0)),"")</f>
        <v/>
      </c>
      <c r="B197" s="47" t="str">
        <f>IFERROR(INDEX('G-8 Condition Look up'!$I$4:$I$130,MATCH(G197,'G-8 Condition Look up'!$A$4:$A$130,0)),"")</f>
        <v/>
      </c>
      <c r="D197" s="77">
        <v>187</v>
      </c>
      <c r="E197" s="78"/>
      <c r="F197" s="79"/>
      <c r="G197" s="69" t="str">
        <f>IFERROR(INDEX('G-1 All Habitats'!$B$3:$B$129,MATCH(F197,'G-1 All Habitats'!$A$3:$A$129,0)),"")</f>
        <v/>
      </c>
      <c r="H197" s="70"/>
      <c r="I197" s="498" t="str">
        <f>IF(G197="","",VLOOKUP(G197,'G-1 All Habitats'!$B$2:$M$129,10,FALSE))</f>
        <v/>
      </c>
      <c r="J197" s="499" t="str">
        <f>IFERROR(VLOOKUP(I197,'G-1 All Habitats'!$V$3:$W$7,2,FALSE),"")</f>
        <v/>
      </c>
      <c r="K197" s="71"/>
      <c r="L197" s="499" t="str">
        <f>IFERROR(INDEX('G-8 Condition Look up'!$A$3:$H$130,MATCH(G197,'G-8 Condition Look up'!$A$3:$A$130,0),MATCH(K197,'G-8 Condition Look up'!$A$3:$H$3,0)),"")</f>
        <v/>
      </c>
      <c r="M197" s="71"/>
      <c r="N197" s="520" t="str">
        <f>IF(M197="","",IF(VLOOKUP(M197,'G-3 Multipliers'!$L$3:$N$6,2,FALSE)=0,"Spatial Data Missing",VLOOKUP(M197,'G-3 Multipliers'!$L$3:$N$6,2,FALSE)))</f>
        <v/>
      </c>
      <c r="O197" s="505" t="str">
        <f>IF(M197="","",IF(VLOOKUP(M197,'G-3 Multipliers'!$L$3:$N$6,3,FALSE)=0,"Spatial Data Missing",VLOOKUP(M197,'G-3 Multipliers'!$L$3:$N$6,3,FALSE)))</f>
        <v/>
      </c>
      <c r="P197" s="506" t="str">
        <f>IFERROR(VLOOKUP(G197,'G-1 All Habitats'!$B$2:$M$129,12,FALSE),"")</f>
        <v/>
      </c>
      <c r="Q197" s="513" t="str">
        <f>IFERROR(IF(P197="","",IF(AND(P197='G-1 All Habitats'!$X$3,T197&gt;0),U197+V197,IF(AND(P197='G-1 All Habitats'!$X$3,S197&gt;0),U197+V197,IF(AND(P197='G-1 All Habitats'!$X$3,AC197&gt;0),"Any Loss Unacceptable ▲",IF(AND(P197='G-1 All Habitats'!$X$3,W197&gt;0),"Any Loss Unacceptable ▲",H197*J197*L197*O197))))),"Check Data ▲")</f>
        <v/>
      </c>
      <c r="R197" s="50"/>
      <c r="S197" s="71"/>
      <c r="T197" s="72"/>
      <c r="U197" s="511" t="str">
        <f t="shared" si="13"/>
        <v/>
      </c>
      <c r="V197" s="511" t="str">
        <f t="shared" si="14"/>
        <v/>
      </c>
      <c r="W197" s="511" t="str">
        <f>IF(E197="","",IF(H197&lt;S197+T197,"Error in Areas ▲",IF(P197&lt;&gt;'G-1 All Habitats'!$X$3,H197-S197-T197,IF(AND(P197='G-1 All Habitats'!$X$3,Y197="Yes"),"Unacceptable Loss",IF(AND(P197='G-1 All Habitats'!$X$3,Y197="No"),AC197,IF(AND(P197='G-1 All Habitats'!$X$3,Y197=""),AC197,IF(AND(P197='G-1 All Habitats'!$X$3,AC197="None",AC197),IF(AND(P197='G-1 All Habitats'!$X$3,AC197&gt;0),H197-S197-T197))))))))</f>
        <v/>
      </c>
      <c r="X197" s="515" t="str">
        <f>IFERROR(IF(H197="","",IF(H197-S197-T197=0&lt;0,"Error in Areas ▲",IF(S197+T197&gt;H197,"Error in Areas ▲",IF(AND(P197='G-1 All Habitats'!$X$3,Y197="Yes"),"Alternative Compensation ✓",IF(W197=0,0,IF(P197='G-1 All Habitats'!$X$3,"Unacceptable Loss ▲",Q197-U197-V197)))))),"Check Data ▲")</f>
        <v/>
      </c>
      <c r="Y197" s="72"/>
      <c r="Z197" s="80"/>
      <c r="AA197" s="81"/>
      <c r="AC197" s="75" t="str">
        <f>IF(P197="","",IF(P197='G-1 All Habitats'!$X$3,H197-S197-T197,"None"))</f>
        <v/>
      </c>
      <c r="AD197" s="76" t="str">
        <f>IFERROR(AC197*J197*L197*#REF!*O197,IF(P197="","","None"))</f>
        <v/>
      </c>
      <c r="AF197" s="54" t="str">
        <f t="shared" si="10"/>
        <v/>
      </c>
      <c r="AG197" s="54" t="str">
        <f t="shared" si="11"/>
        <v/>
      </c>
      <c r="AH197" s="54" t="str">
        <f>IF(I197="","",IF(#REF!&gt;0,TRUE,FALSE))</f>
        <v/>
      </c>
      <c r="AI197" s="54">
        <v>187</v>
      </c>
      <c r="AJ197" s="54"/>
      <c r="AK197" s="54" t="str">
        <f t="array" ref="AK197">IFERROR(INDEX($AI$11:$AI$259, MATCH(0, IF(TRUE=$AF$11:$AF$259, COUNTIF($AK$10:$AK196, $AI$11:$AI$259), ""), 0)),"")</f>
        <v/>
      </c>
      <c r="AL197" s="54" t="str">
        <f t="array" ref="AL197">IFERROR(INDEX($AI$11:$AI$259, MATCH(0, IF(TRUE=$AG$11:$AG$259, COUNTIF($AL$10:$AL196, $AI$11:$AI$259), ""), 0)),"")</f>
        <v/>
      </c>
      <c r="AM197" s="54" t="str">
        <f t="array" ref="AM197">IFERROR(INDEX($AI$11:$AI$259, MATCH(0, IF(TRUE=$AH$11:$AH$259, COUNTIF($AM$10:$AM196, $AI$11:$AI$259), ""), 0)),"")</f>
        <v/>
      </c>
      <c r="AN197" s="54"/>
      <c r="AQ197" s="47">
        <f t="shared" si="12"/>
        <v>0</v>
      </c>
    </row>
    <row r="198" spans="1:43" x14ac:dyDescent="0.3">
      <c r="A198" s="47" t="str">
        <f>IFERROR(INDEX('G-1 All Habitats'!$AG$3:$AG$15,MATCH(E198,'G-1 All Habitats'!$AF$3:$AF$15,0)),"")</f>
        <v/>
      </c>
      <c r="B198" s="47" t="str">
        <f>IFERROR(INDEX('G-8 Condition Look up'!$I$4:$I$130,MATCH(G198,'G-8 Condition Look up'!$A$4:$A$130,0)),"")</f>
        <v/>
      </c>
      <c r="D198" s="77">
        <v>188</v>
      </c>
      <c r="E198" s="78"/>
      <c r="F198" s="79"/>
      <c r="G198" s="69" t="str">
        <f>IFERROR(INDEX('G-1 All Habitats'!$B$3:$B$129,MATCH(F198,'G-1 All Habitats'!$A$3:$A$129,0)),"")</f>
        <v/>
      </c>
      <c r="H198" s="70"/>
      <c r="I198" s="498" t="str">
        <f>IF(G198="","",VLOOKUP(G198,'G-1 All Habitats'!$B$2:$M$129,10,FALSE))</f>
        <v/>
      </c>
      <c r="J198" s="499" t="str">
        <f>IFERROR(VLOOKUP(I198,'G-1 All Habitats'!$V$3:$W$7,2,FALSE),"")</f>
        <v/>
      </c>
      <c r="K198" s="71"/>
      <c r="L198" s="499" t="str">
        <f>IFERROR(INDEX('G-8 Condition Look up'!$A$3:$H$130,MATCH(G198,'G-8 Condition Look up'!$A$3:$A$130,0),MATCH(K198,'G-8 Condition Look up'!$A$3:$H$3,0)),"")</f>
        <v/>
      </c>
      <c r="M198" s="71"/>
      <c r="N198" s="520" t="str">
        <f>IF(M198="","",IF(VLOOKUP(M198,'G-3 Multipliers'!$L$3:$N$6,2,FALSE)=0,"Spatial Data Missing",VLOOKUP(M198,'G-3 Multipliers'!$L$3:$N$6,2,FALSE)))</f>
        <v/>
      </c>
      <c r="O198" s="505" t="str">
        <f>IF(M198="","",IF(VLOOKUP(M198,'G-3 Multipliers'!$L$3:$N$6,3,FALSE)=0,"Spatial Data Missing",VLOOKUP(M198,'G-3 Multipliers'!$L$3:$N$6,3,FALSE)))</f>
        <v/>
      </c>
      <c r="P198" s="506" t="str">
        <f>IFERROR(VLOOKUP(G198,'G-1 All Habitats'!$B$2:$M$129,12,FALSE),"")</f>
        <v/>
      </c>
      <c r="Q198" s="513" t="str">
        <f>IFERROR(IF(P198="","",IF(AND(P198='G-1 All Habitats'!$X$3,T198&gt;0),U198+V198,IF(AND(P198='G-1 All Habitats'!$X$3,S198&gt;0),U198+V198,IF(AND(P198='G-1 All Habitats'!$X$3,AC198&gt;0),"Any Loss Unacceptable ▲",IF(AND(P198='G-1 All Habitats'!$X$3,W198&gt;0),"Any Loss Unacceptable ▲",H198*J198*L198*O198))))),"Check Data ▲")</f>
        <v/>
      </c>
      <c r="R198" s="50"/>
      <c r="S198" s="71"/>
      <c r="T198" s="72"/>
      <c r="U198" s="511" t="str">
        <f t="shared" si="13"/>
        <v/>
      </c>
      <c r="V198" s="511" t="str">
        <f t="shared" si="14"/>
        <v/>
      </c>
      <c r="W198" s="511" t="str">
        <f>IF(E198="","",IF(H198&lt;S198+T198,"Error in Areas ▲",IF(P198&lt;&gt;'G-1 All Habitats'!$X$3,H198-S198-T198,IF(AND(P198='G-1 All Habitats'!$X$3,Y198="Yes"),"Unacceptable Loss",IF(AND(P198='G-1 All Habitats'!$X$3,Y198="No"),AC198,IF(AND(P198='G-1 All Habitats'!$X$3,Y198=""),AC198,IF(AND(P198='G-1 All Habitats'!$X$3,AC198="None",AC198),IF(AND(P198='G-1 All Habitats'!$X$3,AC198&gt;0),H198-S198-T198))))))))</f>
        <v/>
      </c>
      <c r="X198" s="515" t="str">
        <f>IFERROR(IF(H198="","",IF(H198-S198-T198=0&lt;0,"Error in Areas ▲",IF(S198+T198&gt;H198,"Error in Areas ▲",IF(AND(P198='G-1 All Habitats'!$X$3,Y198="Yes"),"Alternative Compensation ✓",IF(W198=0,0,IF(P198='G-1 All Habitats'!$X$3,"Unacceptable Loss ▲",Q198-U198-V198)))))),"Check Data ▲")</f>
        <v/>
      </c>
      <c r="Y198" s="72"/>
      <c r="Z198" s="80"/>
      <c r="AA198" s="81"/>
      <c r="AC198" s="75" t="str">
        <f>IF(P198="","",IF(P198='G-1 All Habitats'!$X$3,H198-S198-T198,"None"))</f>
        <v/>
      </c>
      <c r="AD198" s="76" t="str">
        <f>IFERROR(AC198*J198*L198*#REF!*O198,IF(P198="","","None"))</f>
        <v/>
      </c>
      <c r="AF198" s="54" t="str">
        <f t="shared" si="10"/>
        <v/>
      </c>
      <c r="AG198" s="54" t="str">
        <f t="shared" si="11"/>
        <v/>
      </c>
      <c r="AH198" s="54" t="str">
        <f>IF(I198="","",IF(#REF!&gt;0,TRUE,FALSE))</f>
        <v/>
      </c>
      <c r="AI198" s="54">
        <v>188</v>
      </c>
      <c r="AJ198" s="54"/>
      <c r="AK198" s="54" t="str">
        <f t="array" ref="AK198">IFERROR(INDEX($AI$11:$AI$259, MATCH(0, IF(TRUE=$AF$11:$AF$259, COUNTIF($AK$10:$AK197, $AI$11:$AI$259), ""), 0)),"")</f>
        <v/>
      </c>
      <c r="AL198" s="54" t="str">
        <f t="array" ref="AL198">IFERROR(INDEX($AI$11:$AI$259, MATCH(0, IF(TRUE=$AG$11:$AG$259, COUNTIF($AL$10:$AL197, $AI$11:$AI$259), ""), 0)),"")</f>
        <v/>
      </c>
      <c r="AM198" s="54" t="str">
        <f t="array" ref="AM198">IFERROR(INDEX($AI$11:$AI$259, MATCH(0, IF(TRUE=$AH$11:$AH$259, COUNTIF($AM$10:$AM197, $AI$11:$AI$259), ""), 0)),"")</f>
        <v/>
      </c>
      <c r="AN198" s="54"/>
      <c r="AQ198" s="47">
        <f t="shared" si="12"/>
        <v>0</v>
      </c>
    </row>
    <row r="199" spans="1:43" x14ac:dyDescent="0.3">
      <c r="A199" s="47" t="str">
        <f>IFERROR(INDEX('G-1 All Habitats'!$AG$3:$AG$15,MATCH(E199,'G-1 All Habitats'!$AF$3:$AF$15,0)),"")</f>
        <v/>
      </c>
      <c r="B199" s="47" t="str">
        <f>IFERROR(INDEX('G-8 Condition Look up'!$I$4:$I$130,MATCH(G199,'G-8 Condition Look up'!$A$4:$A$130,0)),"")</f>
        <v/>
      </c>
      <c r="D199" s="77">
        <v>189</v>
      </c>
      <c r="E199" s="78"/>
      <c r="F199" s="79"/>
      <c r="G199" s="69" t="str">
        <f>IFERROR(INDEX('G-1 All Habitats'!$B$3:$B$129,MATCH(F199,'G-1 All Habitats'!$A$3:$A$129,0)),"")</f>
        <v/>
      </c>
      <c r="H199" s="70"/>
      <c r="I199" s="498" t="str">
        <f>IF(G199="","",VLOOKUP(G199,'G-1 All Habitats'!$B$2:$M$129,10,FALSE))</f>
        <v/>
      </c>
      <c r="J199" s="499" t="str">
        <f>IFERROR(VLOOKUP(I199,'G-1 All Habitats'!$V$3:$W$7,2,FALSE),"")</f>
        <v/>
      </c>
      <c r="K199" s="71"/>
      <c r="L199" s="499" t="str">
        <f>IFERROR(INDEX('G-8 Condition Look up'!$A$3:$H$130,MATCH(G199,'G-8 Condition Look up'!$A$3:$A$130,0),MATCH(K199,'G-8 Condition Look up'!$A$3:$H$3,0)),"")</f>
        <v/>
      </c>
      <c r="M199" s="71"/>
      <c r="N199" s="520" t="str">
        <f>IF(M199="","",IF(VLOOKUP(M199,'G-3 Multipliers'!$L$3:$N$6,2,FALSE)=0,"Spatial Data Missing",VLOOKUP(M199,'G-3 Multipliers'!$L$3:$N$6,2,FALSE)))</f>
        <v/>
      </c>
      <c r="O199" s="505" t="str">
        <f>IF(M199="","",IF(VLOOKUP(M199,'G-3 Multipliers'!$L$3:$N$6,3,FALSE)=0,"Spatial Data Missing",VLOOKUP(M199,'G-3 Multipliers'!$L$3:$N$6,3,FALSE)))</f>
        <v/>
      </c>
      <c r="P199" s="506" t="str">
        <f>IFERROR(VLOOKUP(G199,'G-1 All Habitats'!$B$2:$M$129,12,FALSE),"")</f>
        <v/>
      </c>
      <c r="Q199" s="513" t="str">
        <f>IFERROR(IF(P199="","",IF(AND(P199='G-1 All Habitats'!$X$3,T199&gt;0),U199+V199,IF(AND(P199='G-1 All Habitats'!$X$3,S199&gt;0),U199+V199,IF(AND(P199='G-1 All Habitats'!$X$3,AC199&gt;0),"Any Loss Unacceptable ▲",IF(AND(P199='G-1 All Habitats'!$X$3,W199&gt;0),"Any Loss Unacceptable ▲",H199*J199*L199*O199))))),"Check Data ▲")</f>
        <v/>
      </c>
      <c r="R199" s="50"/>
      <c r="S199" s="71"/>
      <c r="T199" s="72"/>
      <c r="U199" s="511" t="str">
        <f t="shared" si="13"/>
        <v/>
      </c>
      <c r="V199" s="511" t="str">
        <f t="shared" si="14"/>
        <v/>
      </c>
      <c r="W199" s="511" t="str">
        <f>IF(E199="","",IF(H199&lt;S199+T199,"Error in Areas ▲",IF(P199&lt;&gt;'G-1 All Habitats'!$X$3,H199-S199-T199,IF(AND(P199='G-1 All Habitats'!$X$3,Y199="Yes"),"Unacceptable Loss",IF(AND(P199='G-1 All Habitats'!$X$3,Y199="No"),AC199,IF(AND(P199='G-1 All Habitats'!$X$3,Y199=""),AC199,IF(AND(P199='G-1 All Habitats'!$X$3,AC199="None",AC199),IF(AND(P199='G-1 All Habitats'!$X$3,AC199&gt;0),H199-S199-T199))))))))</f>
        <v/>
      </c>
      <c r="X199" s="515" t="str">
        <f>IFERROR(IF(H199="","",IF(H199-S199-T199=0&lt;0,"Error in Areas ▲",IF(S199+T199&gt;H199,"Error in Areas ▲",IF(AND(P199='G-1 All Habitats'!$X$3,Y199="Yes"),"Alternative Compensation ✓",IF(W199=0,0,IF(P199='G-1 All Habitats'!$X$3,"Unacceptable Loss ▲",Q199-U199-V199)))))),"Check Data ▲")</f>
        <v/>
      </c>
      <c r="Y199" s="72"/>
      <c r="Z199" s="80"/>
      <c r="AA199" s="81"/>
      <c r="AC199" s="75" t="str">
        <f>IF(P199="","",IF(P199='G-1 All Habitats'!$X$3,H199-S199-T199,"None"))</f>
        <v/>
      </c>
      <c r="AD199" s="76" t="str">
        <f>IFERROR(AC199*J199*L199*#REF!*O199,IF(P199="","","None"))</f>
        <v/>
      </c>
      <c r="AF199" s="54" t="str">
        <f t="shared" si="10"/>
        <v/>
      </c>
      <c r="AG199" s="54" t="str">
        <f t="shared" si="11"/>
        <v/>
      </c>
      <c r="AH199" s="54" t="str">
        <f>IF(I199="","",IF(#REF!&gt;0,TRUE,FALSE))</f>
        <v/>
      </c>
      <c r="AI199" s="54">
        <v>189</v>
      </c>
      <c r="AJ199" s="54"/>
      <c r="AK199" s="54" t="str">
        <f t="array" ref="AK199">IFERROR(INDEX($AI$11:$AI$259, MATCH(0, IF(TRUE=$AF$11:$AF$259, COUNTIF($AK$10:$AK198, $AI$11:$AI$259), ""), 0)),"")</f>
        <v/>
      </c>
      <c r="AL199" s="54" t="str">
        <f t="array" ref="AL199">IFERROR(INDEX($AI$11:$AI$259, MATCH(0, IF(TRUE=$AG$11:$AG$259, COUNTIF($AL$10:$AL198, $AI$11:$AI$259), ""), 0)),"")</f>
        <v/>
      </c>
      <c r="AM199" s="54" t="str">
        <f t="array" ref="AM199">IFERROR(INDEX($AI$11:$AI$259, MATCH(0, IF(TRUE=$AH$11:$AH$259, COUNTIF($AM$10:$AM198, $AI$11:$AI$259), ""), 0)),"")</f>
        <v/>
      </c>
      <c r="AN199" s="54"/>
      <c r="AQ199" s="47">
        <f t="shared" si="12"/>
        <v>0</v>
      </c>
    </row>
    <row r="200" spans="1:43" x14ac:dyDescent="0.3">
      <c r="A200" s="47" t="str">
        <f>IFERROR(INDEX('G-1 All Habitats'!$AG$3:$AG$15,MATCH(E200,'G-1 All Habitats'!$AF$3:$AF$15,0)),"")</f>
        <v/>
      </c>
      <c r="B200" s="47" t="str">
        <f>IFERROR(INDEX('G-8 Condition Look up'!$I$4:$I$130,MATCH(G200,'G-8 Condition Look up'!$A$4:$A$130,0)),"")</f>
        <v/>
      </c>
      <c r="D200" s="77">
        <v>190</v>
      </c>
      <c r="E200" s="78"/>
      <c r="F200" s="79"/>
      <c r="G200" s="69" t="str">
        <f>IFERROR(INDEX('G-1 All Habitats'!$B$3:$B$129,MATCH(F200,'G-1 All Habitats'!$A$3:$A$129,0)),"")</f>
        <v/>
      </c>
      <c r="H200" s="70"/>
      <c r="I200" s="498" t="str">
        <f>IF(G200="","",VLOOKUP(G200,'G-1 All Habitats'!$B$2:$M$129,10,FALSE))</f>
        <v/>
      </c>
      <c r="J200" s="499" t="str">
        <f>IFERROR(VLOOKUP(I200,'G-1 All Habitats'!$V$3:$W$7,2,FALSE),"")</f>
        <v/>
      </c>
      <c r="K200" s="71"/>
      <c r="L200" s="499" t="str">
        <f>IFERROR(INDEX('G-8 Condition Look up'!$A$3:$H$130,MATCH(G200,'G-8 Condition Look up'!$A$3:$A$130,0),MATCH(K200,'G-8 Condition Look up'!$A$3:$H$3,0)),"")</f>
        <v/>
      </c>
      <c r="M200" s="71"/>
      <c r="N200" s="520" t="str">
        <f>IF(M200="","",IF(VLOOKUP(M200,'G-3 Multipliers'!$L$3:$N$6,2,FALSE)=0,"Spatial Data Missing",VLOOKUP(M200,'G-3 Multipliers'!$L$3:$N$6,2,FALSE)))</f>
        <v/>
      </c>
      <c r="O200" s="505" t="str">
        <f>IF(M200="","",IF(VLOOKUP(M200,'G-3 Multipliers'!$L$3:$N$6,3,FALSE)=0,"Spatial Data Missing",VLOOKUP(M200,'G-3 Multipliers'!$L$3:$N$6,3,FALSE)))</f>
        <v/>
      </c>
      <c r="P200" s="506" t="str">
        <f>IFERROR(VLOOKUP(G200,'G-1 All Habitats'!$B$2:$M$129,12,FALSE),"")</f>
        <v/>
      </c>
      <c r="Q200" s="513" t="str">
        <f>IFERROR(IF(P200="","",IF(AND(P200='G-1 All Habitats'!$X$3,T200&gt;0),U200+V200,IF(AND(P200='G-1 All Habitats'!$X$3,S200&gt;0),U200+V200,IF(AND(P200='G-1 All Habitats'!$X$3,AC200&gt;0),"Any Loss Unacceptable ▲",IF(AND(P200='G-1 All Habitats'!$X$3,W200&gt;0),"Any Loss Unacceptable ▲",H200*J200*L200*O200))))),"Check Data ▲")</f>
        <v/>
      </c>
      <c r="R200" s="50"/>
      <c r="S200" s="71"/>
      <c r="T200" s="72"/>
      <c r="U200" s="511" t="str">
        <f t="shared" si="13"/>
        <v/>
      </c>
      <c r="V200" s="511" t="str">
        <f t="shared" si="14"/>
        <v/>
      </c>
      <c r="W200" s="511" t="str">
        <f>IF(E200="","",IF(H200&lt;S200+T200,"Error in Areas ▲",IF(P200&lt;&gt;'G-1 All Habitats'!$X$3,H200-S200-T200,IF(AND(P200='G-1 All Habitats'!$X$3,Y200="Yes"),"Unacceptable Loss",IF(AND(P200='G-1 All Habitats'!$X$3,Y200="No"),AC200,IF(AND(P200='G-1 All Habitats'!$X$3,Y200=""),AC200,IF(AND(P200='G-1 All Habitats'!$X$3,AC200="None",AC200),IF(AND(P200='G-1 All Habitats'!$X$3,AC200&gt;0),H200-S200-T200))))))))</f>
        <v/>
      </c>
      <c r="X200" s="515" t="str">
        <f>IFERROR(IF(H200="","",IF(H200-S200-T200=0&lt;0,"Error in Areas ▲",IF(S200+T200&gt;H200,"Error in Areas ▲",IF(AND(P200='G-1 All Habitats'!$X$3,Y200="Yes"),"Alternative Compensation ✓",IF(W200=0,0,IF(P200='G-1 All Habitats'!$X$3,"Unacceptable Loss ▲",Q200-U200-V200)))))),"Check Data ▲")</f>
        <v/>
      </c>
      <c r="Y200" s="72"/>
      <c r="Z200" s="80"/>
      <c r="AA200" s="81"/>
      <c r="AC200" s="75" t="str">
        <f>IF(P200="","",IF(P200='G-1 All Habitats'!$X$3,H200-S200-T200,"None"))</f>
        <v/>
      </c>
      <c r="AD200" s="76" t="str">
        <f>IFERROR(AC200*J200*L200*#REF!*O200,IF(P200="","","None"))</f>
        <v/>
      </c>
      <c r="AF200" s="54" t="str">
        <f t="shared" si="10"/>
        <v/>
      </c>
      <c r="AG200" s="54" t="str">
        <f t="shared" si="11"/>
        <v/>
      </c>
      <c r="AH200" s="54" t="str">
        <f>IF(I200="","",IF(#REF!&gt;0,TRUE,FALSE))</f>
        <v/>
      </c>
      <c r="AI200" s="54">
        <v>190</v>
      </c>
      <c r="AJ200" s="54"/>
      <c r="AK200" s="54" t="str">
        <f t="array" ref="AK200">IFERROR(INDEX($AI$11:$AI$259, MATCH(0, IF(TRUE=$AF$11:$AF$259, COUNTIF($AK$10:$AK199, $AI$11:$AI$259), ""), 0)),"")</f>
        <v/>
      </c>
      <c r="AL200" s="54" t="str">
        <f t="array" ref="AL200">IFERROR(INDEX($AI$11:$AI$259, MATCH(0, IF(TRUE=$AG$11:$AG$259, COUNTIF($AL$10:$AL199, $AI$11:$AI$259), ""), 0)),"")</f>
        <v/>
      </c>
      <c r="AM200" s="54" t="str">
        <f t="array" ref="AM200">IFERROR(INDEX($AI$11:$AI$259, MATCH(0, IF(TRUE=$AH$11:$AH$259, COUNTIF($AM$10:$AM199, $AI$11:$AI$259), ""), 0)),"")</f>
        <v/>
      </c>
      <c r="AN200" s="54"/>
      <c r="AQ200" s="47">
        <f t="shared" si="12"/>
        <v>0</v>
      </c>
    </row>
    <row r="201" spans="1:43" x14ac:dyDescent="0.3">
      <c r="A201" s="47" t="str">
        <f>IFERROR(INDEX('G-1 All Habitats'!$AG$3:$AG$15,MATCH(E201,'G-1 All Habitats'!$AF$3:$AF$15,0)),"")</f>
        <v/>
      </c>
      <c r="B201" s="47" t="str">
        <f>IFERROR(INDEX('G-8 Condition Look up'!$I$4:$I$130,MATCH(G201,'G-8 Condition Look up'!$A$4:$A$130,0)),"")</f>
        <v/>
      </c>
      <c r="D201" s="77">
        <v>191</v>
      </c>
      <c r="E201" s="78"/>
      <c r="F201" s="79"/>
      <c r="G201" s="69" t="str">
        <f>IFERROR(INDEX('G-1 All Habitats'!$B$3:$B$129,MATCH(F201,'G-1 All Habitats'!$A$3:$A$129,0)),"")</f>
        <v/>
      </c>
      <c r="H201" s="70"/>
      <c r="I201" s="498" t="str">
        <f>IF(G201="","",VLOOKUP(G201,'G-1 All Habitats'!$B$2:$M$129,10,FALSE))</f>
        <v/>
      </c>
      <c r="J201" s="499" t="str">
        <f>IFERROR(VLOOKUP(I201,'G-1 All Habitats'!$V$3:$W$7,2,FALSE),"")</f>
        <v/>
      </c>
      <c r="K201" s="71"/>
      <c r="L201" s="499" t="str">
        <f>IFERROR(INDEX('G-8 Condition Look up'!$A$3:$H$130,MATCH(G201,'G-8 Condition Look up'!$A$3:$A$130,0),MATCH(K201,'G-8 Condition Look up'!$A$3:$H$3,0)),"")</f>
        <v/>
      </c>
      <c r="M201" s="71"/>
      <c r="N201" s="520" t="str">
        <f>IF(M201="","",IF(VLOOKUP(M201,'G-3 Multipliers'!$L$3:$N$6,2,FALSE)=0,"Spatial Data Missing",VLOOKUP(M201,'G-3 Multipliers'!$L$3:$N$6,2,FALSE)))</f>
        <v/>
      </c>
      <c r="O201" s="505" t="str">
        <f>IF(M201="","",IF(VLOOKUP(M201,'G-3 Multipliers'!$L$3:$N$6,3,FALSE)=0,"Spatial Data Missing",VLOOKUP(M201,'G-3 Multipliers'!$L$3:$N$6,3,FALSE)))</f>
        <v/>
      </c>
      <c r="P201" s="506" t="str">
        <f>IFERROR(VLOOKUP(G201,'G-1 All Habitats'!$B$2:$M$129,12,FALSE),"")</f>
        <v/>
      </c>
      <c r="Q201" s="513" t="str">
        <f>IFERROR(IF(P201="","",IF(AND(P201='G-1 All Habitats'!$X$3,T201&gt;0),U201+V201,IF(AND(P201='G-1 All Habitats'!$X$3,S201&gt;0),U201+V201,IF(AND(P201='G-1 All Habitats'!$X$3,AC201&gt;0),"Any Loss Unacceptable ▲",IF(AND(P201='G-1 All Habitats'!$X$3,W201&gt;0),"Any Loss Unacceptable ▲",H201*J201*L201*O201))))),"Check Data ▲")</f>
        <v/>
      </c>
      <c r="R201" s="50"/>
      <c r="S201" s="71"/>
      <c r="T201" s="72"/>
      <c r="U201" s="511" t="str">
        <f t="shared" si="13"/>
        <v/>
      </c>
      <c r="V201" s="511" t="str">
        <f t="shared" si="14"/>
        <v/>
      </c>
      <c r="W201" s="511" t="str">
        <f>IF(E201="","",IF(H201&lt;S201+T201,"Error in Areas ▲",IF(P201&lt;&gt;'G-1 All Habitats'!$X$3,H201-S201-T201,IF(AND(P201='G-1 All Habitats'!$X$3,Y201="Yes"),"Unacceptable Loss",IF(AND(P201='G-1 All Habitats'!$X$3,Y201="No"),AC201,IF(AND(P201='G-1 All Habitats'!$X$3,Y201=""),AC201,IF(AND(P201='G-1 All Habitats'!$X$3,AC201="None",AC201),IF(AND(P201='G-1 All Habitats'!$X$3,AC201&gt;0),H201-S201-T201))))))))</f>
        <v/>
      </c>
      <c r="X201" s="515" t="str">
        <f>IFERROR(IF(H201="","",IF(H201-S201-T201=0&lt;0,"Error in Areas ▲",IF(S201+T201&gt;H201,"Error in Areas ▲",IF(AND(P201='G-1 All Habitats'!$X$3,Y201="Yes"),"Alternative Compensation ✓",IF(W201=0,0,IF(P201='G-1 All Habitats'!$X$3,"Unacceptable Loss ▲",Q201-U201-V201)))))),"Check Data ▲")</f>
        <v/>
      </c>
      <c r="Y201" s="72"/>
      <c r="Z201" s="80"/>
      <c r="AA201" s="81"/>
      <c r="AC201" s="75" t="str">
        <f>IF(P201="","",IF(P201='G-1 All Habitats'!$X$3,H201-S201-T201,"None"))</f>
        <v/>
      </c>
      <c r="AD201" s="76" t="str">
        <f>IFERROR(AC201*J201*L201*#REF!*O201,IF(P201="","","None"))</f>
        <v/>
      </c>
      <c r="AF201" s="54" t="str">
        <f t="shared" si="10"/>
        <v/>
      </c>
      <c r="AG201" s="54" t="str">
        <f t="shared" si="11"/>
        <v/>
      </c>
      <c r="AH201" s="54" t="str">
        <f>IF(I201="","",IF(#REF!&gt;0,TRUE,FALSE))</f>
        <v/>
      </c>
      <c r="AI201" s="54">
        <v>191</v>
      </c>
      <c r="AJ201" s="54"/>
      <c r="AK201" s="54" t="str">
        <f t="array" ref="AK201">IFERROR(INDEX($AI$11:$AI$259, MATCH(0, IF(TRUE=$AF$11:$AF$259, COUNTIF($AK$10:$AK200, $AI$11:$AI$259), ""), 0)),"")</f>
        <v/>
      </c>
      <c r="AL201" s="54" t="str">
        <f t="array" ref="AL201">IFERROR(INDEX($AI$11:$AI$259, MATCH(0, IF(TRUE=$AG$11:$AG$259, COUNTIF($AL$10:$AL200, $AI$11:$AI$259), ""), 0)),"")</f>
        <v/>
      </c>
      <c r="AM201" s="54" t="str">
        <f t="array" ref="AM201">IFERROR(INDEX($AI$11:$AI$259, MATCH(0, IF(TRUE=$AH$11:$AH$259, COUNTIF($AM$10:$AM200, $AI$11:$AI$259), ""), 0)),"")</f>
        <v/>
      </c>
      <c r="AN201" s="54"/>
      <c r="AQ201" s="47">
        <f t="shared" si="12"/>
        <v>0</v>
      </c>
    </row>
    <row r="202" spans="1:43" x14ac:dyDescent="0.3">
      <c r="A202" s="47" t="str">
        <f>IFERROR(INDEX('G-1 All Habitats'!$AG$3:$AG$15,MATCH(E202,'G-1 All Habitats'!$AF$3:$AF$15,0)),"")</f>
        <v/>
      </c>
      <c r="B202" s="47" t="str">
        <f>IFERROR(INDEX('G-8 Condition Look up'!$I$4:$I$130,MATCH(G202,'G-8 Condition Look up'!$A$4:$A$130,0)),"")</f>
        <v/>
      </c>
      <c r="D202" s="77">
        <v>192</v>
      </c>
      <c r="E202" s="78"/>
      <c r="F202" s="79"/>
      <c r="G202" s="69" t="str">
        <f>IFERROR(INDEX('G-1 All Habitats'!$B$3:$B$129,MATCH(F202,'G-1 All Habitats'!$A$3:$A$129,0)),"")</f>
        <v/>
      </c>
      <c r="H202" s="70"/>
      <c r="I202" s="498" t="str">
        <f>IF(G202="","",VLOOKUP(G202,'G-1 All Habitats'!$B$2:$M$129,10,FALSE))</f>
        <v/>
      </c>
      <c r="J202" s="499" t="str">
        <f>IFERROR(VLOOKUP(I202,'G-1 All Habitats'!$V$3:$W$7,2,FALSE),"")</f>
        <v/>
      </c>
      <c r="K202" s="71"/>
      <c r="L202" s="499" t="str">
        <f>IFERROR(INDEX('G-8 Condition Look up'!$A$3:$H$130,MATCH(G202,'G-8 Condition Look up'!$A$3:$A$130,0),MATCH(K202,'G-8 Condition Look up'!$A$3:$H$3,0)),"")</f>
        <v/>
      </c>
      <c r="M202" s="71"/>
      <c r="N202" s="520" t="str">
        <f>IF(M202="","",IF(VLOOKUP(M202,'G-3 Multipliers'!$L$3:$N$6,2,FALSE)=0,"Spatial Data Missing",VLOOKUP(M202,'G-3 Multipliers'!$L$3:$N$6,2,FALSE)))</f>
        <v/>
      </c>
      <c r="O202" s="505" t="str">
        <f>IF(M202="","",IF(VLOOKUP(M202,'G-3 Multipliers'!$L$3:$N$6,3,FALSE)=0,"Spatial Data Missing",VLOOKUP(M202,'G-3 Multipliers'!$L$3:$N$6,3,FALSE)))</f>
        <v/>
      </c>
      <c r="P202" s="506" t="str">
        <f>IFERROR(VLOOKUP(G202,'G-1 All Habitats'!$B$2:$M$129,12,FALSE),"")</f>
        <v/>
      </c>
      <c r="Q202" s="513" t="str">
        <f>IFERROR(IF(P202="","",IF(AND(P202='G-1 All Habitats'!$X$3,T202&gt;0),U202+V202,IF(AND(P202='G-1 All Habitats'!$X$3,S202&gt;0),U202+V202,IF(AND(P202='G-1 All Habitats'!$X$3,AC202&gt;0),"Any Loss Unacceptable ▲",IF(AND(P202='G-1 All Habitats'!$X$3,W202&gt;0),"Any Loss Unacceptable ▲",H202*J202*L202*O202))))),"Check Data ▲")</f>
        <v/>
      </c>
      <c r="R202" s="50"/>
      <c r="S202" s="71"/>
      <c r="T202" s="72"/>
      <c r="U202" s="511" t="str">
        <f t="shared" si="13"/>
        <v/>
      </c>
      <c r="V202" s="511" t="str">
        <f t="shared" si="14"/>
        <v/>
      </c>
      <c r="W202" s="511" t="str">
        <f>IF(E202="","",IF(H202&lt;S202+T202,"Error in Areas ▲",IF(P202&lt;&gt;'G-1 All Habitats'!$X$3,H202-S202-T202,IF(AND(P202='G-1 All Habitats'!$X$3,Y202="Yes"),"Unacceptable Loss",IF(AND(P202='G-1 All Habitats'!$X$3,Y202="No"),AC202,IF(AND(P202='G-1 All Habitats'!$X$3,Y202=""),AC202,IF(AND(P202='G-1 All Habitats'!$X$3,AC202="None",AC202),IF(AND(P202='G-1 All Habitats'!$X$3,AC202&gt;0),H202-S202-T202))))))))</f>
        <v/>
      </c>
      <c r="X202" s="515" t="str">
        <f>IFERROR(IF(H202="","",IF(H202-S202-T202=0&lt;0,"Error in Areas ▲",IF(S202+T202&gt;H202,"Error in Areas ▲",IF(AND(P202='G-1 All Habitats'!$X$3,Y202="Yes"),"Alternative Compensation ✓",IF(W202=0,0,IF(P202='G-1 All Habitats'!$X$3,"Unacceptable Loss ▲",Q202-U202-V202)))))),"Check Data ▲")</f>
        <v/>
      </c>
      <c r="Y202" s="72"/>
      <c r="Z202" s="80"/>
      <c r="AA202" s="81"/>
      <c r="AC202" s="75" t="str">
        <f>IF(P202="","",IF(P202='G-1 All Habitats'!$X$3,H202-S202-T202,"None"))</f>
        <v/>
      </c>
      <c r="AD202" s="76" t="str">
        <f>IFERROR(AC202*J202*L202*#REF!*O202,IF(P202="","","None"))</f>
        <v/>
      </c>
      <c r="AF202" s="54" t="str">
        <f t="shared" si="10"/>
        <v/>
      </c>
      <c r="AG202" s="54" t="str">
        <f t="shared" si="11"/>
        <v/>
      </c>
      <c r="AH202" s="54" t="str">
        <f>IF(I202="","",IF(#REF!&gt;0,TRUE,FALSE))</f>
        <v/>
      </c>
      <c r="AI202" s="54">
        <v>192</v>
      </c>
      <c r="AJ202" s="54"/>
      <c r="AK202" s="54" t="str">
        <f t="array" ref="AK202">IFERROR(INDEX($AI$11:$AI$259, MATCH(0, IF(TRUE=$AF$11:$AF$259, COUNTIF($AK$10:$AK201, $AI$11:$AI$259), ""), 0)),"")</f>
        <v/>
      </c>
      <c r="AL202" s="54" t="str">
        <f t="array" ref="AL202">IFERROR(INDEX($AI$11:$AI$259, MATCH(0, IF(TRUE=$AG$11:$AG$259, COUNTIF($AL$10:$AL201, $AI$11:$AI$259), ""), 0)),"")</f>
        <v/>
      </c>
      <c r="AM202" s="54" t="str">
        <f t="array" ref="AM202">IFERROR(INDEX($AI$11:$AI$259, MATCH(0, IF(TRUE=$AH$11:$AH$259, COUNTIF($AM$10:$AM201, $AI$11:$AI$259), ""), 0)),"")</f>
        <v/>
      </c>
      <c r="AN202" s="54"/>
      <c r="AQ202" s="47">
        <f t="shared" si="12"/>
        <v>0</v>
      </c>
    </row>
    <row r="203" spans="1:43" x14ac:dyDescent="0.3">
      <c r="A203" s="47" t="str">
        <f>IFERROR(INDEX('G-1 All Habitats'!$AG$3:$AG$15,MATCH(E203,'G-1 All Habitats'!$AF$3:$AF$15,0)),"")</f>
        <v/>
      </c>
      <c r="B203" s="47" t="str">
        <f>IFERROR(INDEX('G-8 Condition Look up'!$I$4:$I$130,MATCH(G203,'G-8 Condition Look up'!$A$4:$A$130,0)),"")</f>
        <v/>
      </c>
      <c r="D203" s="77">
        <v>193</v>
      </c>
      <c r="E203" s="78"/>
      <c r="F203" s="79"/>
      <c r="G203" s="69" t="str">
        <f>IFERROR(INDEX('G-1 All Habitats'!$B$3:$B$129,MATCH(F203,'G-1 All Habitats'!$A$3:$A$129,0)),"")</f>
        <v/>
      </c>
      <c r="H203" s="70"/>
      <c r="I203" s="498" t="str">
        <f>IF(G203="","",VLOOKUP(G203,'G-1 All Habitats'!$B$2:$M$129,10,FALSE))</f>
        <v/>
      </c>
      <c r="J203" s="499" t="str">
        <f>IFERROR(VLOOKUP(I203,'G-1 All Habitats'!$V$3:$W$7,2,FALSE),"")</f>
        <v/>
      </c>
      <c r="K203" s="71"/>
      <c r="L203" s="499" t="str">
        <f>IFERROR(INDEX('G-8 Condition Look up'!$A$3:$H$130,MATCH(G203,'G-8 Condition Look up'!$A$3:$A$130,0),MATCH(K203,'G-8 Condition Look up'!$A$3:$H$3,0)),"")</f>
        <v/>
      </c>
      <c r="M203" s="71"/>
      <c r="N203" s="520" t="str">
        <f>IF(M203="","",IF(VLOOKUP(M203,'G-3 Multipliers'!$L$3:$N$6,2,FALSE)=0,"Spatial Data Missing",VLOOKUP(M203,'G-3 Multipliers'!$L$3:$N$6,2,FALSE)))</f>
        <v/>
      </c>
      <c r="O203" s="505" t="str">
        <f>IF(M203="","",IF(VLOOKUP(M203,'G-3 Multipliers'!$L$3:$N$6,3,FALSE)=0,"Spatial Data Missing",VLOOKUP(M203,'G-3 Multipliers'!$L$3:$N$6,3,FALSE)))</f>
        <v/>
      </c>
      <c r="P203" s="506" t="str">
        <f>IFERROR(VLOOKUP(G203,'G-1 All Habitats'!$B$2:$M$129,12,FALSE),"")</f>
        <v/>
      </c>
      <c r="Q203" s="513" t="str">
        <f>IFERROR(IF(P203="","",IF(AND(P203='G-1 All Habitats'!$X$3,T203&gt;0),U203+V203,IF(AND(P203='G-1 All Habitats'!$X$3,S203&gt;0),U203+V203,IF(AND(P203='G-1 All Habitats'!$X$3,AC203&gt;0),"Any Loss Unacceptable ▲",IF(AND(P203='G-1 All Habitats'!$X$3,W203&gt;0),"Any Loss Unacceptable ▲",H203*J203*L203*O203))))),"Check Data ▲")</f>
        <v/>
      </c>
      <c r="R203" s="50"/>
      <c r="S203" s="71"/>
      <c r="T203" s="72"/>
      <c r="U203" s="511" t="str">
        <f t="shared" si="13"/>
        <v/>
      </c>
      <c r="V203" s="511" t="str">
        <f t="shared" si="14"/>
        <v/>
      </c>
      <c r="W203" s="511" t="str">
        <f>IF(E203="","",IF(H203&lt;S203+T203,"Error in Areas ▲",IF(P203&lt;&gt;'G-1 All Habitats'!$X$3,H203-S203-T203,IF(AND(P203='G-1 All Habitats'!$X$3,Y203="Yes"),"Unacceptable Loss",IF(AND(P203='G-1 All Habitats'!$X$3,Y203="No"),AC203,IF(AND(P203='G-1 All Habitats'!$X$3,Y203=""),AC203,IF(AND(P203='G-1 All Habitats'!$X$3,AC203="None",AC203),IF(AND(P203='G-1 All Habitats'!$X$3,AC203&gt;0),H203-S203-T203))))))))</f>
        <v/>
      </c>
      <c r="X203" s="515" t="str">
        <f>IFERROR(IF(H203="","",IF(H203-S203-T203=0&lt;0,"Error in Areas ▲",IF(S203+T203&gt;H203,"Error in Areas ▲",IF(AND(P203='G-1 All Habitats'!$X$3,Y203="Yes"),"Alternative Compensation ✓",IF(W203=0,0,IF(P203='G-1 All Habitats'!$X$3,"Unacceptable Loss ▲",Q203-U203-V203)))))),"Check Data ▲")</f>
        <v/>
      </c>
      <c r="Y203" s="72"/>
      <c r="Z203" s="80"/>
      <c r="AA203" s="81"/>
      <c r="AC203" s="75" t="str">
        <f>IF(P203="","",IF(P203='G-1 All Habitats'!$X$3,H203-S203-T203,"None"))</f>
        <v/>
      </c>
      <c r="AD203" s="76" t="str">
        <f>IFERROR(AC203*J203*L203*#REF!*O203,IF(P203="","","None"))</f>
        <v/>
      </c>
      <c r="AF203" s="54" t="str">
        <f t="shared" ref="AF203:AF258" si="15">IF(G203="","",IF(S203&gt;0,TRUE,FALSE))</f>
        <v/>
      </c>
      <c r="AG203" s="54" t="str">
        <f t="shared" ref="AG203:AG258" si="16">IF(H203="","",IF(T203&gt;0,TRUE,FALSE))</f>
        <v/>
      </c>
      <c r="AH203" s="54" t="str">
        <f>IF(I203="","",IF(#REF!&gt;0,TRUE,FALSE))</f>
        <v/>
      </c>
      <c r="AI203" s="54">
        <v>193</v>
      </c>
      <c r="AJ203" s="54"/>
      <c r="AK203" s="54" t="str">
        <f t="array" ref="AK203">IFERROR(INDEX($AI$11:$AI$259, MATCH(0, IF(TRUE=$AF$11:$AF$259, COUNTIF($AK$10:$AK202, $AI$11:$AI$259), ""), 0)),"")</f>
        <v/>
      </c>
      <c r="AL203" s="54" t="str">
        <f t="array" ref="AL203">IFERROR(INDEX($AI$11:$AI$259, MATCH(0, IF(TRUE=$AG$11:$AG$259, COUNTIF($AL$10:$AL202, $AI$11:$AI$259), ""), 0)),"")</f>
        <v/>
      </c>
      <c r="AM203" s="54" t="str">
        <f t="array" ref="AM203">IFERROR(INDEX($AI$11:$AI$259, MATCH(0, IF(TRUE=$AH$11:$AH$259, COUNTIF($AM$10:$AM202, $AI$11:$AI$259), ""), 0)),"")</f>
        <v/>
      </c>
      <c r="AN203" s="54"/>
      <c r="AQ203" s="47">
        <f t="shared" si="12"/>
        <v>0</v>
      </c>
    </row>
    <row r="204" spans="1:43" x14ac:dyDescent="0.3">
      <c r="A204" s="47" t="str">
        <f>IFERROR(INDEX('G-1 All Habitats'!$AG$3:$AG$15,MATCH(E204,'G-1 All Habitats'!$AF$3:$AF$15,0)),"")</f>
        <v/>
      </c>
      <c r="B204" s="47" t="str">
        <f>IFERROR(INDEX('G-8 Condition Look up'!$I$4:$I$130,MATCH(G204,'G-8 Condition Look up'!$A$4:$A$130,0)),"")</f>
        <v/>
      </c>
      <c r="D204" s="77">
        <v>194</v>
      </c>
      <c r="E204" s="78"/>
      <c r="F204" s="79"/>
      <c r="G204" s="69" t="str">
        <f>IFERROR(INDEX('G-1 All Habitats'!$B$3:$B$129,MATCH(F204,'G-1 All Habitats'!$A$3:$A$129,0)),"")</f>
        <v/>
      </c>
      <c r="H204" s="70"/>
      <c r="I204" s="498" t="str">
        <f>IF(G204="","",VLOOKUP(G204,'G-1 All Habitats'!$B$2:$M$129,10,FALSE))</f>
        <v/>
      </c>
      <c r="J204" s="499" t="str">
        <f>IFERROR(VLOOKUP(I204,'G-1 All Habitats'!$V$3:$W$7,2,FALSE),"")</f>
        <v/>
      </c>
      <c r="K204" s="71"/>
      <c r="L204" s="499" t="str">
        <f>IFERROR(INDEX('G-8 Condition Look up'!$A$3:$H$130,MATCH(G204,'G-8 Condition Look up'!$A$3:$A$130,0),MATCH(K204,'G-8 Condition Look up'!$A$3:$H$3,0)),"")</f>
        <v/>
      </c>
      <c r="M204" s="71"/>
      <c r="N204" s="520" t="str">
        <f>IF(M204="","",IF(VLOOKUP(M204,'G-3 Multipliers'!$L$3:$N$6,2,FALSE)=0,"Spatial Data Missing",VLOOKUP(M204,'G-3 Multipliers'!$L$3:$N$6,2,FALSE)))</f>
        <v/>
      </c>
      <c r="O204" s="505" t="str">
        <f>IF(M204="","",IF(VLOOKUP(M204,'G-3 Multipliers'!$L$3:$N$6,3,FALSE)=0,"Spatial Data Missing",VLOOKUP(M204,'G-3 Multipliers'!$L$3:$N$6,3,FALSE)))</f>
        <v/>
      </c>
      <c r="P204" s="506" t="str">
        <f>IFERROR(VLOOKUP(G204,'G-1 All Habitats'!$B$2:$M$129,12,FALSE),"")</f>
        <v/>
      </c>
      <c r="Q204" s="513" t="str">
        <f>IFERROR(IF(P204="","",IF(AND(P204='G-1 All Habitats'!$X$3,T204&gt;0),U204+V204,IF(AND(P204='G-1 All Habitats'!$X$3,S204&gt;0),U204+V204,IF(AND(P204='G-1 All Habitats'!$X$3,AC204&gt;0),"Any Loss Unacceptable ▲",IF(AND(P204='G-1 All Habitats'!$X$3,W204&gt;0),"Any Loss Unacceptable ▲",H204*J204*L204*O204))))),"Check Data ▲")</f>
        <v/>
      </c>
      <c r="R204" s="50"/>
      <c r="S204" s="71"/>
      <c r="T204" s="72"/>
      <c r="U204" s="511" t="str">
        <f t="shared" si="13"/>
        <v/>
      </c>
      <c r="V204" s="511" t="str">
        <f t="shared" si="14"/>
        <v/>
      </c>
      <c r="W204" s="511" t="str">
        <f>IF(E204="","",IF(H204&lt;S204+T204,"Error in Areas ▲",IF(P204&lt;&gt;'G-1 All Habitats'!$X$3,H204-S204-T204,IF(AND(P204='G-1 All Habitats'!$X$3,Y204="Yes"),"Unacceptable Loss",IF(AND(P204='G-1 All Habitats'!$X$3,Y204="No"),AC204,IF(AND(P204='G-1 All Habitats'!$X$3,Y204=""),AC204,IF(AND(P204='G-1 All Habitats'!$X$3,AC204="None",AC204),IF(AND(P204='G-1 All Habitats'!$X$3,AC204&gt;0),H204-S204-T204))))))))</f>
        <v/>
      </c>
      <c r="X204" s="515" t="str">
        <f>IFERROR(IF(H204="","",IF(H204-S204-T204=0&lt;0,"Error in Areas ▲",IF(S204+T204&gt;H204,"Error in Areas ▲",IF(AND(P204='G-1 All Habitats'!$X$3,Y204="Yes"),"Alternative Compensation ✓",IF(W204=0,0,IF(P204='G-1 All Habitats'!$X$3,"Unacceptable Loss ▲",Q204-U204-V204)))))),"Check Data ▲")</f>
        <v/>
      </c>
      <c r="Y204" s="72"/>
      <c r="Z204" s="80"/>
      <c r="AA204" s="81"/>
      <c r="AC204" s="75" t="str">
        <f>IF(P204="","",IF(P204='G-1 All Habitats'!$X$3,H204-S204-T204,"None"))</f>
        <v/>
      </c>
      <c r="AD204" s="76" t="str">
        <f>IFERROR(AC204*J204*L204*#REF!*O204,IF(P204="","","None"))</f>
        <v/>
      </c>
      <c r="AF204" s="54" t="str">
        <f t="shared" si="15"/>
        <v/>
      </c>
      <c r="AG204" s="54" t="str">
        <f t="shared" si="16"/>
        <v/>
      </c>
      <c r="AH204" s="54" t="str">
        <f>IF(I204="","",IF(#REF!&gt;0,TRUE,FALSE))</f>
        <v/>
      </c>
      <c r="AI204" s="54">
        <v>194</v>
      </c>
      <c r="AJ204" s="54"/>
      <c r="AK204" s="54" t="str">
        <f t="array" ref="AK204">IFERROR(INDEX($AI$11:$AI$259, MATCH(0, IF(TRUE=$AF$11:$AF$259, COUNTIF($AK$10:$AK203, $AI$11:$AI$259), ""), 0)),"")</f>
        <v/>
      </c>
      <c r="AL204" s="54" t="str">
        <f t="array" ref="AL204">IFERROR(INDEX($AI$11:$AI$259, MATCH(0, IF(TRUE=$AG$11:$AG$259, COUNTIF($AL$10:$AL203, $AI$11:$AI$259), ""), 0)),"")</f>
        <v/>
      </c>
      <c r="AM204" s="54" t="str">
        <f t="array" ref="AM204">IFERROR(INDEX($AI$11:$AI$259, MATCH(0, IF(TRUE=$AH$11:$AH$259, COUNTIF($AM$10:$AM203, $AI$11:$AI$259), ""), 0)),"")</f>
        <v/>
      </c>
      <c r="AN204" s="54"/>
      <c r="AQ204" s="47">
        <f t="shared" ref="AQ204:AQ258" si="17">IF(X204="Unacceptable Loss",1,0)</f>
        <v>0</v>
      </c>
    </row>
    <row r="205" spans="1:43" x14ac:dyDescent="0.3">
      <c r="A205" s="47" t="str">
        <f>IFERROR(INDEX('G-1 All Habitats'!$AG$3:$AG$15,MATCH(E205,'G-1 All Habitats'!$AF$3:$AF$15,0)),"")</f>
        <v/>
      </c>
      <c r="B205" s="47" t="str">
        <f>IFERROR(INDEX('G-8 Condition Look up'!$I$4:$I$130,MATCH(G205,'G-8 Condition Look up'!$A$4:$A$130,0)),"")</f>
        <v/>
      </c>
      <c r="D205" s="77">
        <v>195</v>
      </c>
      <c r="E205" s="78"/>
      <c r="F205" s="79"/>
      <c r="G205" s="69" t="str">
        <f>IFERROR(INDEX('G-1 All Habitats'!$B$3:$B$129,MATCH(F205,'G-1 All Habitats'!$A$3:$A$129,0)),"")</f>
        <v/>
      </c>
      <c r="H205" s="70"/>
      <c r="I205" s="498" t="str">
        <f>IF(G205="","",VLOOKUP(G205,'G-1 All Habitats'!$B$2:$M$129,10,FALSE))</f>
        <v/>
      </c>
      <c r="J205" s="499" t="str">
        <f>IFERROR(VLOOKUP(I205,'G-1 All Habitats'!$V$3:$W$7,2,FALSE),"")</f>
        <v/>
      </c>
      <c r="K205" s="71"/>
      <c r="L205" s="499" t="str">
        <f>IFERROR(INDEX('G-8 Condition Look up'!$A$3:$H$130,MATCH(G205,'G-8 Condition Look up'!$A$3:$A$130,0),MATCH(K205,'G-8 Condition Look up'!$A$3:$H$3,0)),"")</f>
        <v/>
      </c>
      <c r="M205" s="71"/>
      <c r="N205" s="520" t="str">
        <f>IF(M205="","",IF(VLOOKUP(M205,'G-3 Multipliers'!$L$3:$N$6,2,FALSE)=0,"Spatial Data Missing",VLOOKUP(M205,'G-3 Multipliers'!$L$3:$N$6,2,FALSE)))</f>
        <v/>
      </c>
      <c r="O205" s="505" t="str">
        <f>IF(M205="","",IF(VLOOKUP(M205,'G-3 Multipliers'!$L$3:$N$6,3,FALSE)=0,"Spatial Data Missing",VLOOKUP(M205,'G-3 Multipliers'!$L$3:$N$6,3,FALSE)))</f>
        <v/>
      </c>
      <c r="P205" s="506" t="str">
        <f>IFERROR(VLOOKUP(G205,'G-1 All Habitats'!$B$2:$M$129,12,FALSE),"")</f>
        <v/>
      </c>
      <c r="Q205" s="513" t="str">
        <f>IFERROR(IF(P205="","",IF(AND(P205='G-1 All Habitats'!$X$3,T205&gt;0),U205+V205,IF(AND(P205='G-1 All Habitats'!$X$3,S205&gt;0),U205+V205,IF(AND(P205='G-1 All Habitats'!$X$3,AC205&gt;0),"Any Loss Unacceptable ▲",IF(AND(P205='G-1 All Habitats'!$X$3,W205&gt;0),"Any Loss Unacceptable ▲",H205*J205*L205*O205))))),"Check Data ▲")</f>
        <v/>
      </c>
      <c r="R205" s="50"/>
      <c r="S205" s="71"/>
      <c r="T205" s="72"/>
      <c r="U205" s="511" t="str">
        <f t="shared" ref="U205:U258" si="18">IFERROR(S205*J205*L205*O205,"")</f>
        <v/>
      </c>
      <c r="V205" s="511" t="str">
        <f t="shared" ref="V205:V258" si="19">IFERROR(T205*J205*L205*O205,"")</f>
        <v/>
      </c>
      <c r="W205" s="511" t="str">
        <f>IF(E205="","",IF(H205&lt;S205+T205,"Error in Areas ▲",IF(P205&lt;&gt;'G-1 All Habitats'!$X$3,H205-S205-T205,IF(AND(P205='G-1 All Habitats'!$X$3,Y205="Yes"),"Unacceptable Loss",IF(AND(P205='G-1 All Habitats'!$X$3,Y205="No"),AC205,IF(AND(P205='G-1 All Habitats'!$X$3,Y205=""),AC205,IF(AND(P205='G-1 All Habitats'!$X$3,AC205="None",AC205),IF(AND(P205='G-1 All Habitats'!$X$3,AC205&gt;0),H205-S205-T205))))))))</f>
        <v/>
      </c>
      <c r="X205" s="515" t="str">
        <f>IFERROR(IF(H205="","",IF(H205-S205-T205=0&lt;0,"Error in Areas ▲",IF(S205+T205&gt;H205,"Error in Areas ▲",IF(AND(P205='G-1 All Habitats'!$X$3,Y205="Yes"),"Alternative Compensation ✓",IF(W205=0,0,IF(P205='G-1 All Habitats'!$X$3,"Unacceptable Loss ▲",Q205-U205-V205)))))),"Check Data ▲")</f>
        <v/>
      </c>
      <c r="Y205" s="72"/>
      <c r="Z205" s="80"/>
      <c r="AA205" s="81"/>
      <c r="AC205" s="75" t="str">
        <f>IF(P205="","",IF(P205='G-1 All Habitats'!$X$3,H205-S205-T205,"None"))</f>
        <v/>
      </c>
      <c r="AD205" s="76" t="str">
        <f>IFERROR(AC205*J205*L205*#REF!*O205,IF(P205="","","None"))</f>
        <v/>
      </c>
      <c r="AF205" s="54" t="str">
        <f t="shared" si="15"/>
        <v/>
      </c>
      <c r="AG205" s="54" t="str">
        <f t="shared" si="16"/>
        <v/>
      </c>
      <c r="AH205" s="54" t="str">
        <f>IF(I205="","",IF(#REF!&gt;0,TRUE,FALSE))</f>
        <v/>
      </c>
      <c r="AI205" s="54">
        <v>195</v>
      </c>
      <c r="AJ205" s="54"/>
      <c r="AK205" s="54" t="str">
        <f t="array" ref="AK205">IFERROR(INDEX($AI$11:$AI$259, MATCH(0, IF(TRUE=$AF$11:$AF$259, COUNTIF($AK$10:$AK204, $AI$11:$AI$259), ""), 0)),"")</f>
        <v/>
      </c>
      <c r="AL205" s="54" t="str">
        <f t="array" ref="AL205">IFERROR(INDEX($AI$11:$AI$259, MATCH(0, IF(TRUE=$AG$11:$AG$259, COUNTIF($AL$10:$AL204, $AI$11:$AI$259), ""), 0)),"")</f>
        <v/>
      </c>
      <c r="AM205" s="54" t="str">
        <f t="array" ref="AM205">IFERROR(INDEX($AI$11:$AI$259, MATCH(0, IF(TRUE=$AH$11:$AH$259, COUNTIF($AM$10:$AM204, $AI$11:$AI$259), ""), 0)),"")</f>
        <v/>
      </c>
      <c r="AN205" s="54"/>
      <c r="AQ205" s="47">
        <f t="shared" si="17"/>
        <v>0</v>
      </c>
    </row>
    <row r="206" spans="1:43" x14ac:dyDescent="0.3">
      <c r="A206" s="47" t="str">
        <f>IFERROR(INDEX('G-1 All Habitats'!$AG$3:$AG$15,MATCH(E206,'G-1 All Habitats'!$AF$3:$AF$15,0)),"")</f>
        <v/>
      </c>
      <c r="B206" s="47" t="str">
        <f>IFERROR(INDEX('G-8 Condition Look up'!$I$4:$I$130,MATCH(G206,'G-8 Condition Look up'!$A$4:$A$130,0)),"")</f>
        <v/>
      </c>
      <c r="D206" s="77">
        <v>196</v>
      </c>
      <c r="E206" s="78"/>
      <c r="F206" s="79"/>
      <c r="G206" s="69" t="str">
        <f>IFERROR(INDEX('G-1 All Habitats'!$B$3:$B$129,MATCH(F206,'G-1 All Habitats'!$A$3:$A$129,0)),"")</f>
        <v/>
      </c>
      <c r="H206" s="70"/>
      <c r="I206" s="498" t="str">
        <f>IF(G206="","",VLOOKUP(G206,'G-1 All Habitats'!$B$2:$M$129,10,FALSE))</f>
        <v/>
      </c>
      <c r="J206" s="499" t="str">
        <f>IFERROR(VLOOKUP(I206,'G-1 All Habitats'!$V$3:$W$7,2,FALSE),"")</f>
        <v/>
      </c>
      <c r="K206" s="71"/>
      <c r="L206" s="499" t="str">
        <f>IFERROR(INDEX('G-8 Condition Look up'!$A$3:$H$130,MATCH(G206,'G-8 Condition Look up'!$A$3:$A$130,0),MATCH(K206,'G-8 Condition Look up'!$A$3:$H$3,0)),"")</f>
        <v/>
      </c>
      <c r="M206" s="71"/>
      <c r="N206" s="520" t="str">
        <f>IF(M206="","",IF(VLOOKUP(M206,'G-3 Multipliers'!$L$3:$N$6,2,FALSE)=0,"Spatial Data Missing",VLOOKUP(M206,'G-3 Multipliers'!$L$3:$N$6,2,FALSE)))</f>
        <v/>
      </c>
      <c r="O206" s="505" t="str">
        <f>IF(M206="","",IF(VLOOKUP(M206,'G-3 Multipliers'!$L$3:$N$6,3,FALSE)=0,"Spatial Data Missing",VLOOKUP(M206,'G-3 Multipliers'!$L$3:$N$6,3,FALSE)))</f>
        <v/>
      </c>
      <c r="P206" s="506" t="str">
        <f>IFERROR(VLOOKUP(G206,'G-1 All Habitats'!$B$2:$M$129,12,FALSE),"")</f>
        <v/>
      </c>
      <c r="Q206" s="513" t="str">
        <f>IFERROR(IF(P206="","",IF(AND(P206='G-1 All Habitats'!$X$3,T206&gt;0),U206+V206,IF(AND(P206='G-1 All Habitats'!$X$3,S206&gt;0),U206+V206,IF(AND(P206='G-1 All Habitats'!$X$3,AC206&gt;0),"Any Loss Unacceptable ▲",IF(AND(P206='G-1 All Habitats'!$X$3,W206&gt;0),"Any Loss Unacceptable ▲",H206*J206*L206*O206))))),"Check Data ▲")</f>
        <v/>
      </c>
      <c r="R206" s="50"/>
      <c r="S206" s="71"/>
      <c r="T206" s="72"/>
      <c r="U206" s="511" t="str">
        <f t="shared" si="18"/>
        <v/>
      </c>
      <c r="V206" s="511" t="str">
        <f t="shared" si="19"/>
        <v/>
      </c>
      <c r="W206" s="511" t="str">
        <f>IF(E206="","",IF(H206&lt;S206+T206,"Error in Areas ▲",IF(P206&lt;&gt;'G-1 All Habitats'!$X$3,H206-S206-T206,IF(AND(P206='G-1 All Habitats'!$X$3,Y206="Yes"),"Unacceptable Loss",IF(AND(P206='G-1 All Habitats'!$X$3,Y206="No"),AC206,IF(AND(P206='G-1 All Habitats'!$X$3,Y206=""),AC206,IF(AND(P206='G-1 All Habitats'!$X$3,AC206="None",AC206),IF(AND(P206='G-1 All Habitats'!$X$3,AC206&gt;0),H206-S206-T206))))))))</f>
        <v/>
      </c>
      <c r="X206" s="515" t="str">
        <f>IFERROR(IF(H206="","",IF(H206-S206-T206=0&lt;0,"Error in Areas ▲",IF(S206+T206&gt;H206,"Error in Areas ▲",IF(AND(P206='G-1 All Habitats'!$X$3,Y206="Yes"),"Alternative Compensation ✓",IF(W206=0,0,IF(P206='G-1 All Habitats'!$X$3,"Unacceptable Loss ▲",Q206-U206-V206)))))),"Check Data ▲")</f>
        <v/>
      </c>
      <c r="Y206" s="72"/>
      <c r="Z206" s="80"/>
      <c r="AA206" s="81"/>
      <c r="AC206" s="75" t="str">
        <f>IF(P206="","",IF(P206='G-1 All Habitats'!$X$3,H206-S206-T206,"None"))</f>
        <v/>
      </c>
      <c r="AD206" s="76" t="str">
        <f>IFERROR(AC206*J206*L206*#REF!*O206,IF(P206="","","None"))</f>
        <v/>
      </c>
      <c r="AF206" s="54" t="str">
        <f t="shared" si="15"/>
        <v/>
      </c>
      <c r="AG206" s="54" t="str">
        <f t="shared" si="16"/>
        <v/>
      </c>
      <c r="AH206" s="54" t="str">
        <f>IF(I206="","",IF(#REF!&gt;0,TRUE,FALSE))</f>
        <v/>
      </c>
      <c r="AI206" s="54">
        <v>196</v>
      </c>
      <c r="AJ206" s="54"/>
      <c r="AK206" s="54" t="str">
        <f t="array" ref="AK206">IFERROR(INDEX($AI$11:$AI$259, MATCH(0, IF(TRUE=$AF$11:$AF$259, COUNTIF($AK$10:$AK205, $AI$11:$AI$259), ""), 0)),"")</f>
        <v/>
      </c>
      <c r="AL206" s="54" t="str">
        <f t="array" ref="AL206">IFERROR(INDEX($AI$11:$AI$259, MATCH(0, IF(TRUE=$AG$11:$AG$259, COUNTIF($AL$10:$AL205, $AI$11:$AI$259), ""), 0)),"")</f>
        <v/>
      </c>
      <c r="AM206" s="54" t="str">
        <f t="array" ref="AM206">IFERROR(INDEX($AI$11:$AI$259, MATCH(0, IF(TRUE=$AH$11:$AH$259, COUNTIF($AM$10:$AM205, $AI$11:$AI$259), ""), 0)),"")</f>
        <v/>
      </c>
      <c r="AN206" s="54"/>
      <c r="AQ206" s="47">
        <f t="shared" si="17"/>
        <v>0</v>
      </c>
    </row>
    <row r="207" spans="1:43" x14ac:dyDescent="0.3">
      <c r="A207" s="47" t="str">
        <f>IFERROR(INDEX('G-1 All Habitats'!$AG$3:$AG$15,MATCH(E207,'G-1 All Habitats'!$AF$3:$AF$15,0)),"")</f>
        <v/>
      </c>
      <c r="B207" s="47" t="str">
        <f>IFERROR(INDEX('G-8 Condition Look up'!$I$4:$I$130,MATCH(G207,'G-8 Condition Look up'!$A$4:$A$130,0)),"")</f>
        <v/>
      </c>
      <c r="D207" s="77">
        <v>197</v>
      </c>
      <c r="E207" s="78"/>
      <c r="F207" s="79"/>
      <c r="G207" s="69" t="str">
        <f>IFERROR(INDEX('G-1 All Habitats'!$B$3:$B$129,MATCH(F207,'G-1 All Habitats'!$A$3:$A$129,0)),"")</f>
        <v/>
      </c>
      <c r="H207" s="70"/>
      <c r="I207" s="498" t="str">
        <f>IF(G207="","",VLOOKUP(G207,'G-1 All Habitats'!$B$2:$M$129,10,FALSE))</f>
        <v/>
      </c>
      <c r="J207" s="499" t="str">
        <f>IFERROR(VLOOKUP(I207,'G-1 All Habitats'!$V$3:$W$7,2,FALSE),"")</f>
        <v/>
      </c>
      <c r="K207" s="71"/>
      <c r="L207" s="499" t="str">
        <f>IFERROR(INDEX('G-8 Condition Look up'!$A$3:$H$130,MATCH(G207,'G-8 Condition Look up'!$A$3:$A$130,0),MATCH(K207,'G-8 Condition Look up'!$A$3:$H$3,0)),"")</f>
        <v/>
      </c>
      <c r="M207" s="71"/>
      <c r="N207" s="520" t="str">
        <f>IF(M207="","",IF(VLOOKUP(M207,'G-3 Multipliers'!$L$3:$N$6,2,FALSE)=0,"Spatial Data Missing",VLOOKUP(M207,'G-3 Multipliers'!$L$3:$N$6,2,FALSE)))</f>
        <v/>
      </c>
      <c r="O207" s="505" t="str">
        <f>IF(M207="","",IF(VLOOKUP(M207,'G-3 Multipliers'!$L$3:$N$6,3,FALSE)=0,"Spatial Data Missing",VLOOKUP(M207,'G-3 Multipliers'!$L$3:$N$6,3,FALSE)))</f>
        <v/>
      </c>
      <c r="P207" s="506" t="str">
        <f>IFERROR(VLOOKUP(G207,'G-1 All Habitats'!$B$2:$M$129,12,FALSE),"")</f>
        <v/>
      </c>
      <c r="Q207" s="513" t="str">
        <f>IFERROR(IF(P207="","",IF(AND(P207='G-1 All Habitats'!$X$3,T207&gt;0),U207+V207,IF(AND(P207='G-1 All Habitats'!$X$3,S207&gt;0),U207+V207,IF(AND(P207='G-1 All Habitats'!$X$3,AC207&gt;0),"Any Loss Unacceptable ▲",IF(AND(P207='G-1 All Habitats'!$X$3,W207&gt;0),"Any Loss Unacceptable ▲",H207*J207*L207*O207))))),"Check Data ▲")</f>
        <v/>
      </c>
      <c r="R207" s="50"/>
      <c r="S207" s="71"/>
      <c r="T207" s="72"/>
      <c r="U207" s="511" t="str">
        <f t="shared" si="18"/>
        <v/>
      </c>
      <c r="V207" s="511" t="str">
        <f t="shared" si="19"/>
        <v/>
      </c>
      <c r="W207" s="511" t="str">
        <f>IF(E207="","",IF(H207&lt;S207+T207,"Error in Areas ▲",IF(P207&lt;&gt;'G-1 All Habitats'!$X$3,H207-S207-T207,IF(AND(P207='G-1 All Habitats'!$X$3,Y207="Yes"),"Unacceptable Loss",IF(AND(P207='G-1 All Habitats'!$X$3,Y207="No"),AC207,IF(AND(P207='G-1 All Habitats'!$X$3,Y207=""),AC207,IF(AND(P207='G-1 All Habitats'!$X$3,AC207="None",AC207),IF(AND(P207='G-1 All Habitats'!$X$3,AC207&gt;0),H207-S207-T207))))))))</f>
        <v/>
      </c>
      <c r="X207" s="515" t="str">
        <f>IFERROR(IF(H207="","",IF(H207-S207-T207=0&lt;0,"Error in Areas ▲",IF(S207+T207&gt;H207,"Error in Areas ▲",IF(AND(P207='G-1 All Habitats'!$X$3,Y207="Yes"),"Alternative Compensation ✓",IF(W207=0,0,IF(P207='G-1 All Habitats'!$X$3,"Unacceptable Loss ▲",Q207-U207-V207)))))),"Check Data ▲")</f>
        <v/>
      </c>
      <c r="Y207" s="72"/>
      <c r="Z207" s="80"/>
      <c r="AA207" s="81"/>
      <c r="AC207" s="75" t="str">
        <f>IF(P207="","",IF(P207='G-1 All Habitats'!$X$3,H207-S207-T207,"None"))</f>
        <v/>
      </c>
      <c r="AD207" s="76" t="str">
        <f>IFERROR(AC207*J207*L207*#REF!*O207,IF(P207="","","None"))</f>
        <v/>
      </c>
      <c r="AF207" s="54" t="str">
        <f t="shared" si="15"/>
        <v/>
      </c>
      <c r="AG207" s="54" t="str">
        <f t="shared" si="16"/>
        <v/>
      </c>
      <c r="AH207" s="54" t="str">
        <f>IF(I207="","",IF(#REF!&gt;0,TRUE,FALSE))</f>
        <v/>
      </c>
      <c r="AI207" s="54">
        <v>197</v>
      </c>
      <c r="AJ207" s="54"/>
      <c r="AK207" s="54" t="str">
        <f t="array" ref="AK207">IFERROR(INDEX($AI$11:$AI$259, MATCH(0, IF(TRUE=$AF$11:$AF$259, COUNTIF($AK$10:$AK206, $AI$11:$AI$259), ""), 0)),"")</f>
        <v/>
      </c>
      <c r="AL207" s="54" t="str">
        <f t="array" ref="AL207">IFERROR(INDEX($AI$11:$AI$259, MATCH(0, IF(TRUE=$AG$11:$AG$259, COUNTIF($AL$10:$AL206, $AI$11:$AI$259), ""), 0)),"")</f>
        <v/>
      </c>
      <c r="AM207" s="54" t="str">
        <f t="array" ref="AM207">IFERROR(INDEX($AI$11:$AI$259, MATCH(0, IF(TRUE=$AH$11:$AH$259, COUNTIF($AM$10:$AM206, $AI$11:$AI$259), ""), 0)),"")</f>
        <v/>
      </c>
      <c r="AN207" s="54"/>
      <c r="AQ207" s="47">
        <f t="shared" si="17"/>
        <v>0</v>
      </c>
    </row>
    <row r="208" spans="1:43" x14ac:dyDescent="0.3">
      <c r="A208" s="47" t="str">
        <f>IFERROR(INDEX('G-1 All Habitats'!$AG$3:$AG$15,MATCH(E208,'G-1 All Habitats'!$AF$3:$AF$15,0)),"")</f>
        <v/>
      </c>
      <c r="B208" s="47" t="str">
        <f>IFERROR(INDEX('G-8 Condition Look up'!$I$4:$I$130,MATCH(G208,'G-8 Condition Look up'!$A$4:$A$130,0)),"")</f>
        <v/>
      </c>
      <c r="D208" s="77">
        <v>198</v>
      </c>
      <c r="E208" s="78"/>
      <c r="F208" s="79"/>
      <c r="G208" s="69" t="str">
        <f>IFERROR(INDEX('G-1 All Habitats'!$B$3:$B$129,MATCH(F208,'G-1 All Habitats'!$A$3:$A$129,0)),"")</f>
        <v/>
      </c>
      <c r="H208" s="70"/>
      <c r="I208" s="498" t="str">
        <f>IF(G208="","",VLOOKUP(G208,'G-1 All Habitats'!$B$2:$M$129,10,FALSE))</f>
        <v/>
      </c>
      <c r="J208" s="499" t="str">
        <f>IFERROR(VLOOKUP(I208,'G-1 All Habitats'!$V$3:$W$7,2,FALSE),"")</f>
        <v/>
      </c>
      <c r="K208" s="71"/>
      <c r="L208" s="499" t="str">
        <f>IFERROR(INDEX('G-8 Condition Look up'!$A$3:$H$130,MATCH(G208,'G-8 Condition Look up'!$A$3:$A$130,0),MATCH(K208,'G-8 Condition Look up'!$A$3:$H$3,0)),"")</f>
        <v/>
      </c>
      <c r="M208" s="71"/>
      <c r="N208" s="520" t="str">
        <f>IF(M208="","",IF(VLOOKUP(M208,'G-3 Multipliers'!$L$3:$N$6,2,FALSE)=0,"Spatial Data Missing",VLOOKUP(M208,'G-3 Multipliers'!$L$3:$N$6,2,FALSE)))</f>
        <v/>
      </c>
      <c r="O208" s="505" t="str">
        <f>IF(M208="","",IF(VLOOKUP(M208,'G-3 Multipliers'!$L$3:$N$6,3,FALSE)=0,"Spatial Data Missing",VLOOKUP(M208,'G-3 Multipliers'!$L$3:$N$6,3,FALSE)))</f>
        <v/>
      </c>
      <c r="P208" s="506" t="str">
        <f>IFERROR(VLOOKUP(G208,'G-1 All Habitats'!$B$2:$M$129,12,FALSE),"")</f>
        <v/>
      </c>
      <c r="Q208" s="513" t="str">
        <f>IFERROR(IF(P208="","",IF(AND(P208='G-1 All Habitats'!$X$3,T208&gt;0),U208+V208,IF(AND(P208='G-1 All Habitats'!$X$3,S208&gt;0),U208+V208,IF(AND(P208='G-1 All Habitats'!$X$3,AC208&gt;0),"Any Loss Unacceptable ▲",IF(AND(P208='G-1 All Habitats'!$X$3,W208&gt;0),"Any Loss Unacceptable ▲",H208*J208*L208*O208))))),"Check Data ▲")</f>
        <v/>
      </c>
      <c r="R208" s="50"/>
      <c r="S208" s="71"/>
      <c r="T208" s="72"/>
      <c r="U208" s="511" t="str">
        <f t="shared" si="18"/>
        <v/>
      </c>
      <c r="V208" s="511" t="str">
        <f t="shared" si="19"/>
        <v/>
      </c>
      <c r="W208" s="511" t="str">
        <f>IF(E208="","",IF(H208&lt;S208+T208,"Error in Areas ▲",IF(P208&lt;&gt;'G-1 All Habitats'!$X$3,H208-S208-T208,IF(AND(P208='G-1 All Habitats'!$X$3,Y208="Yes"),"Unacceptable Loss",IF(AND(P208='G-1 All Habitats'!$X$3,Y208="No"),AC208,IF(AND(P208='G-1 All Habitats'!$X$3,Y208=""),AC208,IF(AND(P208='G-1 All Habitats'!$X$3,AC208="None",AC208),IF(AND(P208='G-1 All Habitats'!$X$3,AC208&gt;0),H208-S208-T208))))))))</f>
        <v/>
      </c>
      <c r="X208" s="515" t="str">
        <f>IFERROR(IF(H208="","",IF(H208-S208-T208=0&lt;0,"Error in Areas ▲",IF(S208+T208&gt;H208,"Error in Areas ▲",IF(AND(P208='G-1 All Habitats'!$X$3,Y208="Yes"),"Alternative Compensation ✓",IF(W208=0,0,IF(P208='G-1 All Habitats'!$X$3,"Unacceptable Loss ▲",Q208-U208-V208)))))),"Check Data ▲")</f>
        <v/>
      </c>
      <c r="Y208" s="72"/>
      <c r="Z208" s="80"/>
      <c r="AA208" s="81"/>
      <c r="AC208" s="75" t="str">
        <f>IF(P208="","",IF(P208='G-1 All Habitats'!$X$3,H208-S208-T208,"None"))</f>
        <v/>
      </c>
      <c r="AD208" s="76" t="str">
        <f>IFERROR(AC208*J208*L208*#REF!*O208,IF(P208="","","None"))</f>
        <v/>
      </c>
      <c r="AF208" s="54" t="str">
        <f t="shared" si="15"/>
        <v/>
      </c>
      <c r="AG208" s="54" t="str">
        <f t="shared" si="16"/>
        <v/>
      </c>
      <c r="AH208" s="54" t="str">
        <f>IF(I208="","",IF(#REF!&gt;0,TRUE,FALSE))</f>
        <v/>
      </c>
      <c r="AI208" s="54">
        <v>198</v>
      </c>
      <c r="AJ208" s="54"/>
      <c r="AK208" s="54" t="str">
        <f t="array" ref="AK208">IFERROR(INDEX($AI$11:$AI$259, MATCH(0, IF(TRUE=$AF$11:$AF$259, COUNTIF($AK$10:$AK207, $AI$11:$AI$259), ""), 0)),"")</f>
        <v/>
      </c>
      <c r="AL208" s="54" t="str">
        <f t="array" ref="AL208">IFERROR(INDEX($AI$11:$AI$259, MATCH(0, IF(TRUE=$AG$11:$AG$259, COUNTIF($AL$10:$AL207, $AI$11:$AI$259), ""), 0)),"")</f>
        <v/>
      </c>
      <c r="AM208" s="54" t="str">
        <f t="array" ref="AM208">IFERROR(INDEX($AI$11:$AI$259, MATCH(0, IF(TRUE=$AH$11:$AH$259, COUNTIF($AM$10:$AM207, $AI$11:$AI$259), ""), 0)),"")</f>
        <v/>
      </c>
      <c r="AN208" s="54"/>
      <c r="AQ208" s="47">
        <f t="shared" si="17"/>
        <v>0</v>
      </c>
    </row>
    <row r="209" spans="1:43" x14ac:dyDescent="0.3">
      <c r="A209" s="47" t="str">
        <f>IFERROR(INDEX('G-1 All Habitats'!$AG$3:$AG$15,MATCH(E209,'G-1 All Habitats'!$AF$3:$AF$15,0)),"")</f>
        <v/>
      </c>
      <c r="B209" s="47" t="str">
        <f>IFERROR(INDEX('G-8 Condition Look up'!$I$4:$I$130,MATCH(G209,'G-8 Condition Look up'!$A$4:$A$130,0)),"")</f>
        <v/>
      </c>
      <c r="D209" s="77">
        <v>199</v>
      </c>
      <c r="E209" s="78"/>
      <c r="F209" s="79"/>
      <c r="G209" s="69" t="str">
        <f>IFERROR(INDEX('G-1 All Habitats'!$B$3:$B$129,MATCH(F209,'G-1 All Habitats'!$A$3:$A$129,0)),"")</f>
        <v/>
      </c>
      <c r="H209" s="70"/>
      <c r="I209" s="498" t="str">
        <f>IF(G209="","",VLOOKUP(G209,'G-1 All Habitats'!$B$2:$M$129,10,FALSE))</f>
        <v/>
      </c>
      <c r="J209" s="499" t="str">
        <f>IFERROR(VLOOKUP(I209,'G-1 All Habitats'!$V$3:$W$7,2,FALSE),"")</f>
        <v/>
      </c>
      <c r="K209" s="71"/>
      <c r="L209" s="499" t="str">
        <f>IFERROR(INDEX('G-8 Condition Look up'!$A$3:$H$130,MATCH(G209,'G-8 Condition Look up'!$A$3:$A$130,0),MATCH(K209,'G-8 Condition Look up'!$A$3:$H$3,0)),"")</f>
        <v/>
      </c>
      <c r="M209" s="71"/>
      <c r="N209" s="520" t="str">
        <f>IF(M209="","",IF(VLOOKUP(M209,'G-3 Multipliers'!$L$3:$N$6,2,FALSE)=0,"Spatial Data Missing",VLOOKUP(M209,'G-3 Multipliers'!$L$3:$N$6,2,FALSE)))</f>
        <v/>
      </c>
      <c r="O209" s="505" t="str">
        <f>IF(M209="","",IF(VLOOKUP(M209,'G-3 Multipliers'!$L$3:$N$6,3,FALSE)=0,"Spatial Data Missing",VLOOKUP(M209,'G-3 Multipliers'!$L$3:$N$6,3,FALSE)))</f>
        <v/>
      </c>
      <c r="P209" s="506" t="str">
        <f>IFERROR(VLOOKUP(G209,'G-1 All Habitats'!$B$2:$M$129,12,FALSE),"")</f>
        <v/>
      </c>
      <c r="Q209" s="513" t="str">
        <f>IFERROR(IF(P209="","",IF(AND(P209='G-1 All Habitats'!$X$3,T209&gt;0),U209+V209,IF(AND(P209='G-1 All Habitats'!$X$3,S209&gt;0),U209+V209,IF(AND(P209='G-1 All Habitats'!$X$3,AC209&gt;0),"Any Loss Unacceptable ▲",IF(AND(P209='G-1 All Habitats'!$X$3,W209&gt;0),"Any Loss Unacceptable ▲",H209*J209*L209*O209))))),"Check Data ▲")</f>
        <v/>
      </c>
      <c r="R209" s="50"/>
      <c r="S209" s="71"/>
      <c r="T209" s="72"/>
      <c r="U209" s="511" t="str">
        <f t="shared" si="18"/>
        <v/>
      </c>
      <c r="V209" s="511" t="str">
        <f t="shared" si="19"/>
        <v/>
      </c>
      <c r="W209" s="511" t="str">
        <f>IF(E209="","",IF(H209&lt;S209+T209,"Error in Areas ▲",IF(P209&lt;&gt;'G-1 All Habitats'!$X$3,H209-S209-T209,IF(AND(P209='G-1 All Habitats'!$X$3,Y209="Yes"),"Unacceptable Loss",IF(AND(P209='G-1 All Habitats'!$X$3,Y209="No"),AC209,IF(AND(P209='G-1 All Habitats'!$X$3,Y209=""),AC209,IF(AND(P209='G-1 All Habitats'!$X$3,AC209="None",AC209),IF(AND(P209='G-1 All Habitats'!$X$3,AC209&gt;0),H209-S209-T209))))))))</f>
        <v/>
      </c>
      <c r="X209" s="515" t="str">
        <f>IFERROR(IF(H209="","",IF(H209-S209-T209=0&lt;0,"Error in Areas ▲",IF(S209+T209&gt;H209,"Error in Areas ▲",IF(AND(P209='G-1 All Habitats'!$X$3,Y209="Yes"),"Alternative Compensation ✓",IF(W209=0,0,IF(P209='G-1 All Habitats'!$X$3,"Unacceptable Loss ▲",Q209-U209-V209)))))),"Check Data ▲")</f>
        <v/>
      </c>
      <c r="Y209" s="72"/>
      <c r="Z209" s="80"/>
      <c r="AA209" s="81"/>
      <c r="AC209" s="75" t="str">
        <f>IF(P209="","",IF(P209='G-1 All Habitats'!$X$3,H209-S209-T209,"None"))</f>
        <v/>
      </c>
      <c r="AD209" s="76" t="str">
        <f>IFERROR(AC209*J209*L209*#REF!*O209,IF(P209="","","None"))</f>
        <v/>
      </c>
      <c r="AF209" s="54" t="str">
        <f t="shared" si="15"/>
        <v/>
      </c>
      <c r="AG209" s="54" t="str">
        <f t="shared" si="16"/>
        <v/>
      </c>
      <c r="AH209" s="54" t="str">
        <f>IF(I209="","",IF(#REF!&gt;0,TRUE,FALSE))</f>
        <v/>
      </c>
      <c r="AI209" s="54">
        <v>199</v>
      </c>
      <c r="AJ209" s="54"/>
      <c r="AK209" s="54" t="str">
        <f t="array" ref="AK209">IFERROR(INDEX($AI$11:$AI$259, MATCH(0, IF(TRUE=$AF$11:$AF$259, COUNTIF($AK$10:$AK208, $AI$11:$AI$259), ""), 0)),"")</f>
        <v/>
      </c>
      <c r="AL209" s="54" t="str">
        <f t="array" ref="AL209">IFERROR(INDEX($AI$11:$AI$259, MATCH(0, IF(TRUE=$AG$11:$AG$259, COUNTIF($AL$10:$AL208, $AI$11:$AI$259), ""), 0)),"")</f>
        <v/>
      </c>
      <c r="AM209" s="54" t="str">
        <f t="array" ref="AM209">IFERROR(INDEX($AI$11:$AI$259, MATCH(0, IF(TRUE=$AH$11:$AH$259, COUNTIF($AM$10:$AM208, $AI$11:$AI$259), ""), 0)),"")</f>
        <v/>
      </c>
      <c r="AN209" s="54"/>
      <c r="AQ209" s="47">
        <f t="shared" si="17"/>
        <v>0</v>
      </c>
    </row>
    <row r="210" spans="1:43" x14ac:dyDescent="0.3">
      <c r="A210" s="47" t="str">
        <f>IFERROR(INDEX('G-1 All Habitats'!$AG$3:$AG$15,MATCH(E210,'G-1 All Habitats'!$AF$3:$AF$15,0)),"")</f>
        <v/>
      </c>
      <c r="B210" s="47" t="str">
        <f>IFERROR(INDEX('G-8 Condition Look up'!$I$4:$I$130,MATCH(G210,'G-8 Condition Look up'!$A$4:$A$130,0)),"")</f>
        <v/>
      </c>
      <c r="D210" s="77">
        <v>200</v>
      </c>
      <c r="E210" s="78"/>
      <c r="F210" s="79"/>
      <c r="G210" s="69" t="str">
        <f>IFERROR(INDEX('G-1 All Habitats'!$B$3:$B$129,MATCH(F210,'G-1 All Habitats'!$A$3:$A$129,0)),"")</f>
        <v/>
      </c>
      <c r="H210" s="70"/>
      <c r="I210" s="498" t="str">
        <f>IF(G210="","",VLOOKUP(G210,'G-1 All Habitats'!$B$2:$M$129,10,FALSE))</f>
        <v/>
      </c>
      <c r="J210" s="499" t="str">
        <f>IFERROR(VLOOKUP(I210,'G-1 All Habitats'!$V$3:$W$7,2,FALSE),"")</f>
        <v/>
      </c>
      <c r="K210" s="71"/>
      <c r="L210" s="499" t="str">
        <f>IFERROR(INDEX('G-8 Condition Look up'!$A$3:$H$130,MATCH(G210,'G-8 Condition Look up'!$A$3:$A$130,0),MATCH(K210,'G-8 Condition Look up'!$A$3:$H$3,0)),"")</f>
        <v/>
      </c>
      <c r="M210" s="71"/>
      <c r="N210" s="520" t="str">
        <f>IF(M210="","",IF(VLOOKUP(M210,'G-3 Multipliers'!$L$3:$N$6,2,FALSE)=0,"Spatial Data Missing",VLOOKUP(M210,'G-3 Multipliers'!$L$3:$N$6,2,FALSE)))</f>
        <v/>
      </c>
      <c r="O210" s="505" t="str">
        <f>IF(M210="","",IF(VLOOKUP(M210,'G-3 Multipliers'!$L$3:$N$6,3,FALSE)=0,"Spatial Data Missing",VLOOKUP(M210,'G-3 Multipliers'!$L$3:$N$6,3,FALSE)))</f>
        <v/>
      </c>
      <c r="P210" s="506" t="str">
        <f>IFERROR(VLOOKUP(G210,'G-1 All Habitats'!$B$2:$M$129,12,FALSE),"")</f>
        <v/>
      </c>
      <c r="Q210" s="513" t="str">
        <f>IFERROR(IF(P210="","",IF(AND(P210='G-1 All Habitats'!$X$3,T210&gt;0),U210+V210,IF(AND(P210='G-1 All Habitats'!$X$3,S210&gt;0),U210+V210,IF(AND(P210='G-1 All Habitats'!$X$3,AC210&gt;0),"Any Loss Unacceptable ▲",IF(AND(P210='G-1 All Habitats'!$X$3,W210&gt;0),"Any Loss Unacceptable ▲",H210*J210*L210*O210))))),"Check Data ▲")</f>
        <v/>
      </c>
      <c r="R210" s="50"/>
      <c r="S210" s="71"/>
      <c r="T210" s="72"/>
      <c r="U210" s="511" t="str">
        <f t="shared" si="18"/>
        <v/>
      </c>
      <c r="V210" s="511" t="str">
        <f t="shared" si="19"/>
        <v/>
      </c>
      <c r="W210" s="511" t="str">
        <f>IF(E210="","",IF(H210&lt;S210+T210,"Error in Areas ▲",IF(P210&lt;&gt;'G-1 All Habitats'!$X$3,H210-S210-T210,IF(AND(P210='G-1 All Habitats'!$X$3,Y210="Yes"),"Unacceptable Loss",IF(AND(P210='G-1 All Habitats'!$X$3,Y210="No"),AC210,IF(AND(P210='G-1 All Habitats'!$X$3,Y210=""),AC210,IF(AND(P210='G-1 All Habitats'!$X$3,AC210="None",AC210),IF(AND(P210='G-1 All Habitats'!$X$3,AC210&gt;0),H210-S210-T210))))))))</f>
        <v/>
      </c>
      <c r="X210" s="515" t="str">
        <f>IFERROR(IF(H210="","",IF(H210-S210-T210=0&lt;0,"Error in Areas ▲",IF(S210+T210&gt;H210,"Error in Areas ▲",IF(AND(P210='G-1 All Habitats'!$X$3,Y210="Yes"),"Alternative Compensation ✓",IF(W210=0,0,IF(P210='G-1 All Habitats'!$X$3,"Unacceptable Loss ▲",Q210-U210-V210)))))),"Check Data ▲")</f>
        <v/>
      </c>
      <c r="Y210" s="72"/>
      <c r="Z210" s="80"/>
      <c r="AA210" s="81"/>
      <c r="AC210" s="75" t="str">
        <f>IF(P210="","",IF(P210='G-1 All Habitats'!$X$3,H210-S210-T210,"None"))</f>
        <v/>
      </c>
      <c r="AD210" s="76" t="str">
        <f>IFERROR(AC210*J210*L210*#REF!*O210,IF(P210="","","None"))</f>
        <v/>
      </c>
      <c r="AF210" s="54" t="str">
        <f t="shared" si="15"/>
        <v/>
      </c>
      <c r="AG210" s="54" t="str">
        <f t="shared" si="16"/>
        <v/>
      </c>
      <c r="AH210" s="54" t="str">
        <f>IF(I210="","",IF(#REF!&gt;0,TRUE,FALSE))</f>
        <v/>
      </c>
      <c r="AI210" s="54">
        <v>200</v>
      </c>
      <c r="AJ210" s="54"/>
      <c r="AK210" s="54" t="str">
        <f t="array" ref="AK210">IFERROR(INDEX($AI$11:$AI$259, MATCH(0, IF(TRUE=$AF$11:$AF$259, COUNTIF($AK$10:$AK209, $AI$11:$AI$259), ""), 0)),"")</f>
        <v/>
      </c>
      <c r="AL210" s="54" t="str">
        <f t="array" ref="AL210">IFERROR(INDEX($AI$11:$AI$259, MATCH(0, IF(TRUE=$AG$11:$AG$259, COUNTIF($AL$10:$AL209, $AI$11:$AI$259), ""), 0)),"")</f>
        <v/>
      </c>
      <c r="AM210" s="54" t="str">
        <f t="array" ref="AM210">IFERROR(INDEX($AI$11:$AI$259, MATCH(0, IF(TRUE=$AH$11:$AH$259, COUNTIF($AM$10:$AM209, $AI$11:$AI$259), ""), 0)),"")</f>
        <v/>
      </c>
      <c r="AN210" s="54"/>
      <c r="AQ210" s="47">
        <f t="shared" si="17"/>
        <v>0</v>
      </c>
    </row>
    <row r="211" spans="1:43" x14ac:dyDescent="0.3">
      <c r="A211" s="47" t="str">
        <f>IFERROR(INDEX('G-1 All Habitats'!$AG$3:$AG$15,MATCH(E211,'G-1 All Habitats'!$AF$3:$AF$15,0)),"")</f>
        <v/>
      </c>
      <c r="B211" s="47" t="str">
        <f>IFERROR(INDEX('G-8 Condition Look up'!$I$4:$I$130,MATCH(G211,'G-8 Condition Look up'!$A$4:$A$130,0)),"")</f>
        <v/>
      </c>
      <c r="D211" s="77">
        <v>201</v>
      </c>
      <c r="E211" s="78"/>
      <c r="F211" s="79"/>
      <c r="G211" s="69" t="str">
        <f>IFERROR(INDEX('G-1 All Habitats'!$B$3:$B$129,MATCH(F211,'G-1 All Habitats'!$A$3:$A$129,0)),"")</f>
        <v/>
      </c>
      <c r="H211" s="70"/>
      <c r="I211" s="498" t="str">
        <f>IF(G211="","",VLOOKUP(G211,'G-1 All Habitats'!$B$2:$M$129,10,FALSE))</f>
        <v/>
      </c>
      <c r="J211" s="499" t="str">
        <f>IFERROR(VLOOKUP(I211,'G-1 All Habitats'!$V$3:$W$7,2,FALSE),"")</f>
        <v/>
      </c>
      <c r="K211" s="71"/>
      <c r="L211" s="499" t="str">
        <f>IFERROR(INDEX('G-8 Condition Look up'!$A$3:$H$130,MATCH(G211,'G-8 Condition Look up'!$A$3:$A$130,0),MATCH(K211,'G-8 Condition Look up'!$A$3:$H$3,0)),"")</f>
        <v/>
      </c>
      <c r="M211" s="71"/>
      <c r="N211" s="520" t="str">
        <f>IF(M211="","",IF(VLOOKUP(M211,'G-3 Multipliers'!$L$3:$N$6,2,FALSE)=0,"Spatial Data Missing",VLOOKUP(M211,'G-3 Multipliers'!$L$3:$N$6,2,FALSE)))</f>
        <v/>
      </c>
      <c r="O211" s="505" t="str">
        <f>IF(M211="","",IF(VLOOKUP(M211,'G-3 Multipliers'!$L$3:$N$6,3,FALSE)=0,"Spatial Data Missing",VLOOKUP(M211,'G-3 Multipliers'!$L$3:$N$6,3,FALSE)))</f>
        <v/>
      </c>
      <c r="P211" s="506" t="str">
        <f>IFERROR(VLOOKUP(G211,'G-1 All Habitats'!$B$2:$M$129,12,FALSE),"")</f>
        <v/>
      </c>
      <c r="Q211" s="513" t="str">
        <f>IFERROR(IF(P211="","",IF(AND(P211='G-1 All Habitats'!$X$3,T211&gt;0),U211+V211,IF(AND(P211='G-1 All Habitats'!$X$3,S211&gt;0),U211+V211,IF(AND(P211='G-1 All Habitats'!$X$3,AC211&gt;0),"Any Loss Unacceptable ▲",IF(AND(P211='G-1 All Habitats'!$X$3,W211&gt;0),"Any Loss Unacceptable ▲",H211*J211*L211*O211))))),"Check Data ▲")</f>
        <v/>
      </c>
      <c r="R211" s="50"/>
      <c r="S211" s="71"/>
      <c r="T211" s="72"/>
      <c r="U211" s="511" t="str">
        <f t="shared" si="18"/>
        <v/>
      </c>
      <c r="V211" s="511" t="str">
        <f t="shared" si="19"/>
        <v/>
      </c>
      <c r="W211" s="511" t="str">
        <f>IF(E211="","",IF(H211&lt;S211+T211,"Error in Areas ▲",IF(P211&lt;&gt;'G-1 All Habitats'!$X$3,H211-S211-T211,IF(AND(P211='G-1 All Habitats'!$X$3,Y211="Yes"),"Unacceptable Loss",IF(AND(P211='G-1 All Habitats'!$X$3,Y211="No"),AC211,IF(AND(P211='G-1 All Habitats'!$X$3,Y211=""),AC211,IF(AND(P211='G-1 All Habitats'!$X$3,AC211="None",AC211),IF(AND(P211='G-1 All Habitats'!$X$3,AC211&gt;0),H211-S211-T211))))))))</f>
        <v/>
      </c>
      <c r="X211" s="515" t="str">
        <f>IFERROR(IF(H211="","",IF(H211-S211-T211=0&lt;0,"Error in Areas ▲",IF(S211+T211&gt;H211,"Error in Areas ▲",IF(AND(P211='G-1 All Habitats'!$X$3,Y211="Yes"),"Alternative Compensation ✓",IF(W211=0,0,IF(P211='G-1 All Habitats'!$X$3,"Unacceptable Loss ▲",Q211-U211-V211)))))),"Check Data ▲")</f>
        <v/>
      </c>
      <c r="Y211" s="72"/>
      <c r="Z211" s="80"/>
      <c r="AA211" s="81"/>
      <c r="AC211" s="75" t="str">
        <f>IF(P211="","",IF(P211='G-1 All Habitats'!$X$3,H211-S211-T211,"None"))</f>
        <v/>
      </c>
      <c r="AD211" s="76" t="str">
        <f>IFERROR(AC211*J211*L211*#REF!*O211,IF(P211="","","None"))</f>
        <v/>
      </c>
      <c r="AF211" s="54" t="str">
        <f t="shared" si="15"/>
        <v/>
      </c>
      <c r="AG211" s="54" t="str">
        <f t="shared" si="16"/>
        <v/>
      </c>
      <c r="AH211" s="54" t="str">
        <f>IF(I211="","",IF(#REF!&gt;0,TRUE,FALSE))</f>
        <v/>
      </c>
      <c r="AI211" s="54">
        <v>201</v>
      </c>
      <c r="AJ211" s="54"/>
      <c r="AK211" s="54" t="str">
        <f t="array" ref="AK211">IFERROR(INDEX($AI$11:$AI$259, MATCH(0, IF(TRUE=$AF$11:$AF$259, COUNTIF($AK$10:$AK210, $AI$11:$AI$259), ""), 0)),"")</f>
        <v/>
      </c>
      <c r="AL211" s="54" t="str">
        <f t="array" ref="AL211">IFERROR(INDEX($AI$11:$AI$259, MATCH(0, IF(TRUE=$AG$11:$AG$259, COUNTIF($AL$10:$AL210, $AI$11:$AI$259), ""), 0)),"")</f>
        <v/>
      </c>
      <c r="AM211" s="54" t="str">
        <f t="array" ref="AM211">IFERROR(INDEX($AI$11:$AI$259, MATCH(0, IF(TRUE=$AH$11:$AH$259, COUNTIF($AM$10:$AM210, $AI$11:$AI$259), ""), 0)),"")</f>
        <v/>
      </c>
      <c r="AN211" s="54"/>
      <c r="AQ211" s="47">
        <f t="shared" si="17"/>
        <v>0</v>
      </c>
    </row>
    <row r="212" spans="1:43" x14ac:dyDescent="0.3">
      <c r="A212" s="47" t="str">
        <f>IFERROR(INDEX('G-1 All Habitats'!$AG$3:$AG$15,MATCH(E212,'G-1 All Habitats'!$AF$3:$AF$15,0)),"")</f>
        <v/>
      </c>
      <c r="B212" s="47" t="str">
        <f>IFERROR(INDEX('G-8 Condition Look up'!$I$4:$I$130,MATCH(G212,'G-8 Condition Look up'!$A$4:$A$130,0)),"")</f>
        <v/>
      </c>
      <c r="D212" s="77">
        <v>202</v>
      </c>
      <c r="E212" s="78"/>
      <c r="F212" s="79"/>
      <c r="G212" s="69" t="str">
        <f>IFERROR(INDEX('G-1 All Habitats'!$B$3:$B$129,MATCH(F212,'G-1 All Habitats'!$A$3:$A$129,0)),"")</f>
        <v/>
      </c>
      <c r="H212" s="70"/>
      <c r="I212" s="498" t="str">
        <f>IF(G212="","",VLOOKUP(G212,'G-1 All Habitats'!$B$2:$M$129,10,FALSE))</f>
        <v/>
      </c>
      <c r="J212" s="499" t="str">
        <f>IFERROR(VLOOKUP(I212,'G-1 All Habitats'!$V$3:$W$7,2,FALSE),"")</f>
        <v/>
      </c>
      <c r="K212" s="71"/>
      <c r="L212" s="499" t="str">
        <f>IFERROR(INDEX('G-8 Condition Look up'!$A$3:$H$130,MATCH(G212,'G-8 Condition Look up'!$A$3:$A$130,0),MATCH(K212,'G-8 Condition Look up'!$A$3:$H$3,0)),"")</f>
        <v/>
      </c>
      <c r="M212" s="71"/>
      <c r="N212" s="520" t="str">
        <f>IF(M212="","",IF(VLOOKUP(M212,'G-3 Multipliers'!$L$3:$N$6,2,FALSE)=0,"Spatial Data Missing",VLOOKUP(M212,'G-3 Multipliers'!$L$3:$N$6,2,FALSE)))</f>
        <v/>
      </c>
      <c r="O212" s="505" t="str">
        <f>IF(M212="","",IF(VLOOKUP(M212,'G-3 Multipliers'!$L$3:$N$6,3,FALSE)=0,"Spatial Data Missing",VLOOKUP(M212,'G-3 Multipliers'!$L$3:$N$6,3,FALSE)))</f>
        <v/>
      </c>
      <c r="P212" s="506" t="str">
        <f>IFERROR(VLOOKUP(G212,'G-1 All Habitats'!$B$2:$M$129,12,FALSE),"")</f>
        <v/>
      </c>
      <c r="Q212" s="513" t="str">
        <f>IFERROR(IF(P212="","",IF(AND(P212='G-1 All Habitats'!$X$3,T212&gt;0),U212+V212,IF(AND(P212='G-1 All Habitats'!$X$3,S212&gt;0),U212+V212,IF(AND(P212='G-1 All Habitats'!$X$3,AC212&gt;0),"Any Loss Unacceptable ▲",IF(AND(P212='G-1 All Habitats'!$X$3,W212&gt;0),"Any Loss Unacceptable ▲",H212*J212*L212*O212))))),"Check Data ▲")</f>
        <v/>
      </c>
      <c r="R212" s="50"/>
      <c r="S212" s="71"/>
      <c r="T212" s="72"/>
      <c r="U212" s="511" t="str">
        <f t="shared" si="18"/>
        <v/>
      </c>
      <c r="V212" s="511" t="str">
        <f t="shared" si="19"/>
        <v/>
      </c>
      <c r="W212" s="511" t="str">
        <f>IF(E212="","",IF(H212&lt;S212+T212,"Error in Areas ▲",IF(P212&lt;&gt;'G-1 All Habitats'!$X$3,H212-S212-T212,IF(AND(P212='G-1 All Habitats'!$X$3,Y212="Yes"),"Unacceptable Loss",IF(AND(P212='G-1 All Habitats'!$X$3,Y212="No"),AC212,IF(AND(P212='G-1 All Habitats'!$X$3,Y212=""),AC212,IF(AND(P212='G-1 All Habitats'!$X$3,AC212="None",AC212),IF(AND(P212='G-1 All Habitats'!$X$3,AC212&gt;0),H212-S212-T212))))))))</f>
        <v/>
      </c>
      <c r="X212" s="515" t="str">
        <f>IFERROR(IF(H212="","",IF(H212-S212-T212=0&lt;0,"Error in Areas ▲",IF(S212+T212&gt;H212,"Error in Areas ▲",IF(AND(P212='G-1 All Habitats'!$X$3,Y212="Yes"),"Alternative Compensation ✓",IF(W212=0,0,IF(P212='G-1 All Habitats'!$X$3,"Unacceptable Loss ▲",Q212-U212-V212)))))),"Check Data ▲")</f>
        <v/>
      </c>
      <c r="Y212" s="72"/>
      <c r="Z212" s="80"/>
      <c r="AA212" s="81"/>
      <c r="AC212" s="75" t="str">
        <f>IF(P212="","",IF(P212='G-1 All Habitats'!$X$3,H212-S212-T212,"None"))</f>
        <v/>
      </c>
      <c r="AD212" s="76" t="str">
        <f>IFERROR(AC212*J212*L212*#REF!*O212,IF(P212="","","None"))</f>
        <v/>
      </c>
      <c r="AF212" s="54" t="str">
        <f t="shared" si="15"/>
        <v/>
      </c>
      <c r="AG212" s="54" t="str">
        <f t="shared" si="16"/>
        <v/>
      </c>
      <c r="AH212" s="54" t="str">
        <f>IF(I212="","",IF(#REF!&gt;0,TRUE,FALSE))</f>
        <v/>
      </c>
      <c r="AI212" s="54">
        <v>202</v>
      </c>
      <c r="AJ212" s="54"/>
      <c r="AK212" s="54" t="str">
        <f t="array" ref="AK212">IFERROR(INDEX($AI$11:$AI$259, MATCH(0, IF(TRUE=$AF$11:$AF$259, COUNTIF($AK$10:$AK211, $AI$11:$AI$259), ""), 0)),"")</f>
        <v/>
      </c>
      <c r="AL212" s="54" t="str">
        <f t="array" ref="AL212">IFERROR(INDEX($AI$11:$AI$259, MATCH(0, IF(TRUE=$AG$11:$AG$259, COUNTIF($AL$10:$AL211, $AI$11:$AI$259), ""), 0)),"")</f>
        <v/>
      </c>
      <c r="AM212" s="54" t="str">
        <f t="array" ref="AM212">IFERROR(INDEX($AI$11:$AI$259, MATCH(0, IF(TRUE=$AH$11:$AH$259, COUNTIF($AM$10:$AM211, $AI$11:$AI$259), ""), 0)),"")</f>
        <v/>
      </c>
      <c r="AN212" s="54"/>
      <c r="AQ212" s="47">
        <f t="shared" si="17"/>
        <v>0</v>
      </c>
    </row>
    <row r="213" spans="1:43" x14ac:dyDescent="0.3">
      <c r="A213" s="47" t="str">
        <f>IFERROR(INDEX('G-1 All Habitats'!$AG$3:$AG$15,MATCH(E213,'G-1 All Habitats'!$AF$3:$AF$15,0)),"")</f>
        <v/>
      </c>
      <c r="B213" s="47" t="str">
        <f>IFERROR(INDEX('G-8 Condition Look up'!$I$4:$I$130,MATCH(G213,'G-8 Condition Look up'!$A$4:$A$130,0)),"")</f>
        <v/>
      </c>
      <c r="D213" s="77">
        <v>203</v>
      </c>
      <c r="E213" s="78"/>
      <c r="F213" s="79"/>
      <c r="G213" s="69" t="str">
        <f>IFERROR(INDEX('G-1 All Habitats'!$B$3:$B$129,MATCH(F213,'G-1 All Habitats'!$A$3:$A$129,0)),"")</f>
        <v/>
      </c>
      <c r="H213" s="70"/>
      <c r="I213" s="498" t="str">
        <f>IF(G213="","",VLOOKUP(G213,'G-1 All Habitats'!$B$2:$M$129,10,FALSE))</f>
        <v/>
      </c>
      <c r="J213" s="499" t="str">
        <f>IFERROR(VLOOKUP(I213,'G-1 All Habitats'!$V$3:$W$7,2,FALSE),"")</f>
        <v/>
      </c>
      <c r="K213" s="71"/>
      <c r="L213" s="499" t="str">
        <f>IFERROR(INDEX('G-8 Condition Look up'!$A$3:$H$130,MATCH(G213,'G-8 Condition Look up'!$A$3:$A$130,0),MATCH(K213,'G-8 Condition Look up'!$A$3:$H$3,0)),"")</f>
        <v/>
      </c>
      <c r="M213" s="71"/>
      <c r="N213" s="520" t="str">
        <f>IF(M213="","",IF(VLOOKUP(M213,'G-3 Multipliers'!$L$3:$N$6,2,FALSE)=0,"Spatial Data Missing",VLOOKUP(M213,'G-3 Multipliers'!$L$3:$N$6,2,FALSE)))</f>
        <v/>
      </c>
      <c r="O213" s="505" t="str">
        <f>IF(M213="","",IF(VLOOKUP(M213,'G-3 Multipliers'!$L$3:$N$6,3,FALSE)=0,"Spatial Data Missing",VLOOKUP(M213,'G-3 Multipliers'!$L$3:$N$6,3,FALSE)))</f>
        <v/>
      </c>
      <c r="P213" s="506" t="str">
        <f>IFERROR(VLOOKUP(G213,'G-1 All Habitats'!$B$2:$M$129,12,FALSE),"")</f>
        <v/>
      </c>
      <c r="Q213" s="513" t="str">
        <f>IFERROR(IF(P213="","",IF(AND(P213='G-1 All Habitats'!$X$3,T213&gt;0),U213+V213,IF(AND(P213='G-1 All Habitats'!$X$3,S213&gt;0),U213+V213,IF(AND(P213='G-1 All Habitats'!$X$3,AC213&gt;0),"Any Loss Unacceptable ▲",IF(AND(P213='G-1 All Habitats'!$X$3,W213&gt;0),"Any Loss Unacceptable ▲",H213*J213*L213*O213))))),"Check Data ▲")</f>
        <v/>
      </c>
      <c r="R213" s="50"/>
      <c r="S213" s="71"/>
      <c r="T213" s="72"/>
      <c r="U213" s="511" t="str">
        <f t="shared" si="18"/>
        <v/>
      </c>
      <c r="V213" s="511" t="str">
        <f t="shared" si="19"/>
        <v/>
      </c>
      <c r="W213" s="511" t="str">
        <f>IF(E213="","",IF(H213&lt;S213+T213,"Error in Areas ▲",IF(P213&lt;&gt;'G-1 All Habitats'!$X$3,H213-S213-T213,IF(AND(P213='G-1 All Habitats'!$X$3,Y213="Yes"),"Unacceptable Loss",IF(AND(P213='G-1 All Habitats'!$X$3,Y213="No"),AC213,IF(AND(P213='G-1 All Habitats'!$X$3,Y213=""),AC213,IF(AND(P213='G-1 All Habitats'!$X$3,AC213="None",AC213),IF(AND(P213='G-1 All Habitats'!$X$3,AC213&gt;0),H213-S213-T213))))))))</f>
        <v/>
      </c>
      <c r="X213" s="515" t="str">
        <f>IFERROR(IF(H213="","",IF(H213-S213-T213=0&lt;0,"Error in Areas ▲",IF(S213+T213&gt;H213,"Error in Areas ▲",IF(AND(P213='G-1 All Habitats'!$X$3,Y213="Yes"),"Alternative Compensation ✓",IF(W213=0,0,IF(P213='G-1 All Habitats'!$X$3,"Unacceptable Loss ▲",Q213-U213-V213)))))),"Check Data ▲")</f>
        <v/>
      </c>
      <c r="Y213" s="72"/>
      <c r="Z213" s="80"/>
      <c r="AA213" s="81"/>
      <c r="AC213" s="75" t="str">
        <f>IF(P213="","",IF(P213='G-1 All Habitats'!$X$3,H213-S213-T213,"None"))</f>
        <v/>
      </c>
      <c r="AD213" s="76" t="str">
        <f>IFERROR(AC213*J213*L213*#REF!*O213,IF(P213="","","None"))</f>
        <v/>
      </c>
      <c r="AF213" s="54" t="str">
        <f t="shared" si="15"/>
        <v/>
      </c>
      <c r="AG213" s="54" t="str">
        <f t="shared" si="16"/>
        <v/>
      </c>
      <c r="AH213" s="54" t="str">
        <f>IF(I213="","",IF(#REF!&gt;0,TRUE,FALSE))</f>
        <v/>
      </c>
      <c r="AI213" s="54">
        <v>203</v>
      </c>
      <c r="AJ213" s="54"/>
      <c r="AK213" s="54" t="str">
        <f t="array" ref="AK213">IFERROR(INDEX($AI$11:$AI$259, MATCH(0, IF(TRUE=$AF$11:$AF$259, COUNTIF($AK$10:$AK212, $AI$11:$AI$259), ""), 0)),"")</f>
        <v/>
      </c>
      <c r="AL213" s="54" t="str">
        <f t="array" ref="AL213">IFERROR(INDEX($AI$11:$AI$259, MATCH(0, IF(TRUE=$AG$11:$AG$259, COUNTIF($AL$10:$AL212, $AI$11:$AI$259), ""), 0)),"")</f>
        <v/>
      </c>
      <c r="AM213" s="54" t="str">
        <f t="array" ref="AM213">IFERROR(INDEX($AI$11:$AI$259, MATCH(0, IF(TRUE=$AH$11:$AH$259, COUNTIF($AM$10:$AM212, $AI$11:$AI$259), ""), 0)),"")</f>
        <v/>
      </c>
      <c r="AN213" s="54"/>
      <c r="AQ213" s="47">
        <f t="shared" si="17"/>
        <v>0</v>
      </c>
    </row>
    <row r="214" spans="1:43" x14ac:dyDescent="0.3">
      <c r="A214" s="47" t="str">
        <f>IFERROR(INDEX('G-1 All Habitats'!$AG$3:$AG$15,MATCH(E214,'G-1 All Habitats'!$AF$3:$AF$15,0)),"")</f>
        <v/>
      </c>
      <c r="B214" s="47" t="str">
        <f>IFERROR(INDEX('G-8 Condition Look up'!$I$4:$I$130,MATCH(G214,'G-8 Condition Look up'!$A$4:$A$130,0)),"")</f>
        <v/>
      </c>
      <c r="D214" s="77">
        <v>204</v>
      </c>
      <c r="E214" s="78"/>
      <c r="F214" s="79"/>
      <c r="G214" s="69" t="str">
        <f>IFERROR(INDEX('G-1 All Habitats'!$B$3:$B$129,MATCH(F214,'G-1 All Habitats'!$A$3:$A$129,0)),"")</f>
        <v/>
      </c>
      <c r="H214" s="70"/>
      <c r="I214" s="498" t="str">
        <f>IF(G214="","",VLOOKUP(G214,'G-1 All Habitats'!$B$2:$M$129,10,FALSE))</f>
        <v/>
      </c>
      <c r="J214" s="499" t="str">
        <f>IFERROR(VLOOKUP(I214,'G-1 All Habitats'!$V$3:$W$7,2,FALSE),"")</f>
        <v/>
      </c>
      <c r="K214" s="71"/>
      <c r="L214" s="499" t="str">
        <f>IFERROR(INDEX('G-8 Condition Look up'!$A$3:$H$130,MATCH(G214,'G-8 Condition Look up'!$A$3:$A$130,0),MATCH(K214,'G-8 Condition Look up'!$A$3:$H$3,0)),"")</f>
        <v/>
      </c>
      <c r="M214" s="71"/>
      <c r="N214" s="520" t="str">
        <f>IF(M214="","",IF(VLOOKUP(M214,'G-3 Multipliers'!$L$3:$N$6,2,FALSE)=0,"Spatial Data Missing",VLOOKUP(M214,'G-3 Multipliers'!$L$3:$N$6,2,FALSE)))</f>
        <v/>
      </c>
      <c r="O214" s="505" t="str">
        <f>IF(M214="","",IF(VLOOKUP(M214,'G-3 Multipliers'!$L$3:$N$6,3,FALSE)=0,"Spatial Data Missing",VLOOKUP(M214,'G-3 Multipliers'!$L$3:$N$6,3,FALSE)))</f>
        <v/>
      </c>
      <c r="P214" s="506" t="str">
        <f>IFERROR(VLOOKUP(G214,'G-1 All Habitats'!$B$2:$M$129,12,FALSE),"")</f>
        <v/>
      </c>
      <c r="Q214" s="513" t="str">
        <f>IFERROR(IF(P214="","",IF(AND(P214='G-1 All Habitats'!$X$3,T214&gt;0),U214+V214,IF(AND(P214='G-1 All Habitats'!$X$3,S214&gt;0),U214+V214,IF(AND(P214='G-1 All Habitats'!$X$3,AC214&gt;0),"Any Loss Unacceptable ▲",IF(AND(P214='G-1 All Habitats'!$X$3,W214&gt;0),"Any Loss Unacceptable ▲",H214*J214*L214*O214))))),"Check Data ▲")</f>
        <v/>
      </c>
      <c r="R214" s="50"/>
      <c r="S214" s="71"/>
      <c r="T214" s="72"/>
      <c r="U214" s="511" t="str">
        <f t="shared" si="18"/>
        <v/>
      </c>
      <c r="V214" s="511" t="str">
        <f t="shared" si="19"/>
        <v/>
      </c>
      <c r="W214" s="511" t="str">
        <f>IF(E214="","",IF(H214&lt;S214+T214,"Error in Areas ▲",IF(P214&lt;&gt;'G-1 All Habitats'!$X$3,H214-S214-T214,IF(AND(P214='G-1 All Habitats'!$X$3,Y214="Yes"),"Unacceptable Loss",IF(AND(P214='G-1 All Habitats'!$X$3,Y214="No"),AC214,IF(AND(P214='G-1 All Habitats'!$X$3,Y214=""),AC214,IF(AND(P214='G-1 All Habitats'!$X$3,AC214="None",AC214),IF(AND(P214='G-1 All Habitats'!$X$3,AC214&gt;0),H214-S214-T214))))))))</f>
        <v/>
      </c>
      <c r="X214" s="515" t="str">
        <f>IFERROR(IF(H214="","",IF(H214-S214-T214=0&lt;0,"Error in Areas ▲",IF(S214+T214&gt;H214,"Error in Areas ▲",IF(AND(P214='G-1 All Habitats'!$X$3,Y214="Yes"),"Alternative Compensation ✓",IF(W214=0,0,IF(P214='G-1 All Habitats'!$X$3,"Unacceptable Loss ▲",Q214-U214-V214)))))),"Check Data ▲")</f>
        <v/>
      </c>
      <c r="Y214" s="72"/>
      <c r="Z214" s="80"/>
      <c r="AA214" s="81"/>
      <c r="AC214" s="75" t="str">
        <f>IF(P214="","",IF(P214='G-1 All Habitats'!$X$3,H214-S214-T214,"None"))</f>
        <v/>
      </c>
      <c r="AD214" s="76" t="str">
        <f>IFERROR(AC214*J214*L214*#REF!*O214,IF(P214="","","None"))</f>
        <v/>
      </c>
      <c r="AF214" s="54" t="str">
        <f t="shared" si="15"/>
        <v/>
      </c>
      <c r="AG214" s="54" t="str">
        <f t="shared" si="16"/>
        <v/>
      </c>
      <c r="AH214" s="54" t="str">
        <f>IF(I214="","",IF(#REF!&gt;0,TRUE,FALSE))</f>
        <v/>
      </c>
      <c r="AI214" s="54">
        <v>204</v>
      </c>
      <c r="AJ214" s="54"/>
      <c r="AK214" s="54" t="str">
        <f t="array" ref="AK214">IFERROR(INDEX($AI$11:$AI$259, MATCH(0, IF(TRUE=$AF$11:$AF$259, COUNTIF($AK$10:$AK213, $AI$11:$AI$259), ""), 0)),"")</f>
        <v/>
      </c>
      <c r="AL214" s="54" t="str">
        <f t="array" ref="AL214">IFERROR(INDEX($AI$11:$AI$259, MATCH(0, IF(TRUE=$AG$11:$AG$259, COUNTIF($AL$10:$AL213, $AI$11:$AI$259), ""), 0)),"")</f>
        <v/>
      </c>
      <c r="AM214" s="54" t="str">
        <f t="array" ref="AM214">IFERROR(INDEX($AI$11:$AI$259, MATCH(0, IF(TRUE=$AH$11:$AH$259, COUNTIF($AM$10:$AM213, $AI$11:$AI$259), ""), 0)),"")</f>
        <v/>
      </c>
      <c r="AN214" s="54"/>
      <c r="AQ214" s="47">
        <f t="shared" si="17"/>
        <v>0</v>
      </c>
    </row>
    <row r="215" spans="1:43" x14ac:dyDescent="0.3">
      <c r="A215" s="47" t="str">
        <f>IFERROR(INDEX('G-1 All Habitats'!$AG$3:$AG$15,MATCH(E215,'G-1 All Habitats'!$AF$3:$AF$15,0)),"")</f>
        <v/>
      </c>
      <c r="B215" s="47" t="str">
        <f>IFERROR(INDEX('G-8 Condition Look up'!$I$4:$I$130,MATCH(G215,'G-8 Condition Look up'!$A$4:$A$130,0)),"")</f>
        <v/>
      </c>
      <c r="D215" s="77">
        <v>205</v>
      </c>
      <c r="E215" s="78"/>
      <c r="F215" s="79"/>
      <c r="G215" s="69" t="str">
        <f>IFERROR(INDEX('G-1 All Habitats'!$B$3:$B$129,MATCH(F215,'G-1 All Habitats'!$A$3:$A$129,0)),"")</f>
        <v/>
      </c>
      <c r="H215" s="70"/>
      <c r="I215" s="498" t="str">
        <f>IF(G215="","",VLOOKUP(G215,'G-1 All Habitats'!$B$2:$M$129,10,FALSE))</f>
        <v/>
      </c>
      <c r="J215" s="499" t="str">
        <f>IFERROR(VLOOKUP(I215,'G-1 All Habitats'!$V$3:$W$7,2,FALSE),"")</f>
        <v/>
      </c>
      <c r="K215" s="71"/>
      <c r="L215" s="499" t="str">
        <f>IFERROR(INDEX('G-8 Condition Look up'!$A$3:$H$130,MATCH(G215,'G-8 Condition Look up'!$A$3:$A$130,0),MATCH(K215,'G-8 Condition Look up'!$A$3:$H$3,0)),"")</f>
        <v/>
      </c>
      <c r="M215" s="71"/>
      <c r="N215" s="520" t="str">
        <f>IF(M215="","",IF(VLOOKUP(M215,'G-3 Multipliers'!$L$3:$N$6,2,FALSE)=0,"Spatial Data Missing",VLOOKUP(M215,'G-3 Multipliers'!$L$3:$N$6,2,FALSE)))</f>
        <v/>
      </c>
      <c r="O215" s="505" t="str">
        <f>IF(M215="","",IF(VLOOKUP(M215,'G-3 Multipliers'!$L$3:$N$6,3,FALSE)=0,"Spatial Data Missing",VLOOKUP(M215,'G-3 Multipliers'!$L$3:$N$6,3,FALSE)))</f>
        <v/>
      </c>
      <c r="P215" s="506" t="str">
        <f>IFERROR(VLOOKUP(G215,'G-1 All Habitats'!$B$2:$M$129,12,FALSE),"")</f>
        <v/>
      </c>
      <c r="Q215" s="513" t="str">
        <f>IFERROR(IF(P215="","",IF(AND(P215='G-1 All Habitats'!$X$3,T215&gt;0),U215+V215,IF(AND(P215='G-1 All Habitats'!$X$3,S215&gt;0),U215+V215,IF(AND(P215='G-1 All Habitats'!$X$3,AC215&gt;0),"Any Loss Unacceptable ▲",IF(AND(P215='G-1 All Habitats'!$X$3,W215&gt;0),"Any Loss Unacceptable ▲",H215*J215*L215*O215))))),"Check Data ▲")</f>
        <v/>
      </c>
      <c r="R215" s="50"/>
      <c r="S215" s="71"/>
      <c r="T215" s="72"/>
      <c r="U215" s="511" t="str">
        <f t="shared" si="18"/>
        <v/>
      </c>
      <c r="V215" s="511" t="str">
        <f t="shared" si="19"/>
        <v/>
      </c>
      <c r="W215" s="511" t="str">
        <f>IF(E215="","",IF(H215&lt;S215+T215,"Error in Areas ▲",IF(P215&lt;&gt;'G-1 All Habitats'!$X$3,H215-S215-T215,IF(AND(P215='G-1 All Habitats'!$X$3,Y215="Yes"),"Unacceptable Loss",IF(AND(P215='G-1 All Habitats'!$X$3,Y215="No"),AC215,IF(AND(P215='G-1 All Habitats'!$X$3,Y215=""),AC215,IF(AND(P215='G-1 All Habitats'!$X$3,AC215="None",AC215),IF(AND(P215='G-1 All Habitats'!$X$3,AC215&gt;0),H215-S215-T215))))))))</f>
        <v/>
      </c>
      <c r="X215" s="515" t="str">
        <f>IFERROR(IF(H215="","",IF(H215-S215-T215=0&lt;0,"Error in Areas ▲",IF(S215+T215&gt;H215,"Error in Areas ▲",IF(AND(P215='G-1 All Habitats'!$X$3,Y215="Yes"),"Alternative Compensation ✓",IF(W215=0,0,IF(P215='G-1 All Habitats'!$X$3,"Unacceptable Loss ▲",Q215-U215-V215)))))),"Check Data ▲")</f>
        <v/>
      </c>
      <c r="Y215" s="72"/>
      <c r="Z215" s="80"/>
      <c r="AA215" s="81"/>
      <c r="AC215" s="75" t="str">
        <f>IF(P215="","",IF(P215='G-1 All Habitats'!$X$3,H215-S215-T215,"None"))</f>
        <v/>
      </c>
      <c r="AD215" s="76" t="str">
        <f>IFERROR(AC215*J215*L215*#REF!*O215,IF(P215="","","None"))</f>
        <v/>
      </c>
      <c r="AF215" s="54" t="str">
        <f t="shared" si="15"/>
        <v/>
      </c>
      <c r="AG215" s="54" t="str">
        <f t="shared" si="16"/>
        <v/>
      </c>
      <c r="AH215" s="54" t="str">
        <f>IF(I215="","",IF(#REF!&gt;0,TRUE,FALSE))</f>
        <v/>
      </c>
      <c r="AI215" s="54">
        <v>205</v>
      </c>
      <c r="AJ215" s="54"/>
      <c r="AK215" s="54" t="str">
        <f t="array" ref="AK215">IFERROR(INDEX($AI$11:$AI$259, MATCH(0, IF(TRUE=$AF$11:$AF$259, COUNTIF($AK$10:$AK214, $AI$11:$AI$259), ""), 0)),"")</f>
        <v/>
      </c>
      <c r="AL215" s="54" t="str">
        <f t="array" ref="AL215">IFERROR(INDEX($AI$11:$AI$259, MATCH(0, IF(TRUE=$AG$11:$AG$259, COUNTIF($AL$10:$AL214, $AI$11:$AI$259), ""), 0)),"")</f>
        <v/>
      </c>
      <c r="AM215" s="54" t="str">
        <f t="array" ref="AM215">IFERROR(INDEX($AI$11:$AI$259, MATCH(0, IF(TRUE=$AH$11:$AH$259, COUNTIF($AM$10:$AM214, $AI$11:$AI$259), ""), 0)),"")</f>
        <v/>
      </c>
      <c r="AN215" s="54"/>
      <c r="AQ215" s="47">
        <f t="shared" si="17"/>
        <v>0</v>
      </c>
    </row>
    <row r="216" spans="1:43" x14ac:dyDescent="0.3">
      <c r="A216" s="47" t="str">
        <f>IFERROR(INDEX('G-1 All Habitats'!$AG$3:$AG$15,MATCH(E216,'G-1 All Habitats'!$AF$3:$AF$15,0)),"")</f>
        <v/>
      </c>
      <c r="B216" s="47" t="str">
        <f>IFERROR(INDEX('G-8 Condition Look up'!$I$4:$I$130,MATCH(G216,'G-8 Condition Look up'!$A$4:$A$130,0)),"")</f>
        <v/>
      </c>
      <c r="D216" s="77">
        <v>206</v>
      </c>
      <c r="E216" s="78"/>
      <c r="F216" s="79"/>
      <c r="G216" s="69" t="str">
        <f>IFERROR(INDEX('G-1 All Habitats'!$B$3:$B$129,MATCH(F216,'G-1 All Habitats'!$A$3:$A$129,0)),"")</f>
        <v/>
      </c>
      <c r="H216" s="70"/>
      <c r="I216" s="498" t="str">
        <f>IF(G216="","",VLOOKUP(G216,'G-1 All Habitats'!$B$2:$M$129,10,FALSE))</f>
        <v/>
      </c>
      <c r="J216" s="499" t="str">
        <f>IFERROR(VLOOKUP(I216,'G-1 All Habitats'!$V$3:$W$7,2,FALSE),"")</f>
        <v/>
      </c>
      <c r="K216" s="71"/>
      <c r="L216" s="499" t="str">
        <f>IFERROR(INDEX('G-8 Condition Look up'!$A$3:$H$130,MATCH(G216,'G-8 Condition Look up'!$A$3:$A$130,0),MATCH(K216,'G-8 Condition Look up'!$A$3:$H$3,0)),"")</f>
        <v/>
      </c>
      <c r="M216" s="71"/>
      <c r="N216" s="520" t="str">
        <f>IF(M216="","",IF(VLOOKUP(M216,'G-3 Multipliers'!$L$3:$N$6,2,FALSE)=0,"Spatial Data Missing",VLOOKUP(M216,'G-3 Multipliers'!$L$3:$N$6,2,FALSE)))</f>
        <v/>
      </c>
      <c r="O216" s="505" t="str">
        <f>IF(M216="","",IF(VLOOKUP(M216,'G-3 Multipliers'!$L$3:$N$6,3,FALSE)=0,"Spatial Data Missing",VLOOKUP(M216,'G-3 Multipliers'!$L$3:$N$6,3,FALSE)))</f>
        <v/>
      </c>
      <c r="P216" s="506" t="str">
        <f>IFERROR(VLOOKUP(G216,'G-1 All Habitats'!$B$2:$M$129,12,FALSE),"")</f>
        <v/>
      </c>
      <c r="Q216" s="513" t="str">
        <f>IFERROR(IF(P216="","",IF(AND(P216='G-1 All Habitats'!$X$3,T216&gt;0),U216+V216,IF(AND(P216='G-1 All Habitats'!$X$3,S216&gt;0),U216+V216,IF(AND(P216='G-1 All Habitats'!$X$3,AC216&gt;0),"Any Loss Unacceptable ▲",IF(AND(P216='G-1 All Habitats'!$X$3,W216&gt;0),"Any Loss Unacceptable ▲",H216*J216*L216*O216))))),"Check Data ▲")</f>
        <v/>
      </c>
      <c r="R216" s="50"/>
      <c r="S216" s="71"/>
      <c r="T216" s="72"/>
      <c r="U216" s="511" t="str">
        <f t="shared" si="18"/>
        <v/>
      </c>
      <c r="V216" s="511" t="str">
        <f t="shared" si="19"/>
        <v/>
      </c>
      <c r="W216" s="511" t="str">
        <f>IF(E216="","",IF(H216&lt;S216+T216,"Error in Areas ▲",IF(P216&lt;&gt;'G-1 All Habitats'!$X$3,H216-S216-T216,IF(AND(P216='G-1 All Habitats'!$X$3,Y216="Yes"),"Unacceptable Loss",IF(AND(P216='G-1 All Habitats'!$X$3,Y216="No"),AC216,IF(AND(P216='G-1 All Habitats'!$X$3,Y216=""),AC216,IF(AND(P216='G-1 All Habitats'!$X$3,AC216="None",AC216),IF(AND(P216='G-1 All Habitats'!$X$3,AC216&gt;0),H216-S216-T216))))))))</f>
        <v/>
      </c>
      <c r="X216" s="515" t="str">
        <f>IFERROR(IF(H216="","",IF(H216-S216-T216=0&lt;0,"Error in Areas ▲",IF(S216+T216&gt;H216,"Error in Areas ▲",IF(AND(P216='G-1 All Habitats'!$X$3,Y216="Yes"),"Alternative Compensation ✓",IF(W216=0,0,IF(P216='G-1 All Habitats'!$X$3,"Unacceptable Loss ▲",Q216-U216-V216)))))),"Check Data ▲")</f>
        <v/>
      </c>
      <c r="Y216" s="72"/>
      <c r="Z216" s="80"/>
      <c r="AA216" s="81"/>
      <c r="AC216" s="75" t="str">
        <f>IF(P216="","",IF(P216='G-1 All Habitats'!$X$3,H216-S216-T216,"None"))</f>
        <v/>
      </c>
      <c r="AD216" s="76" t="str">
        <f>IFERROR(AC216*J216*L216*#REF!*O216,IF(P216="","","None"))</f>
        <v/>
      </c>
      <c r="AF216" s="54" t="str">
        <f t="shared" si="15"/>
        <v/>
      </c>
      <c r="AG216" s="54" t="str">
        <f t="shared" si="16"/>
        <v/>
      </c>
      <c r="AH216" s="54" t="str">
        <f>IF(I216="","",IF(#REF!&gt;0,TRUE,FALSE))</f>
        <v/>
      </c>
      <c r="AI216" s="54">
        <v>206</v>
      </c>
      <c r="AJ216" s="54"/>
      <c r="AK216" s="54" t="str">
        <f t="array" ref="AK216">IFERROR(INDEX($AI$11:$AI$259, MATCH(0, IF(TRUE=$AF$11:$AF$259, COUNTIF($AK$10:$AK215, $AI$11:$AI$259), ""), 0)),"")</f>
        <v/>
      </c>
      <c r="AL216" s="54" t="str">
        <f t="array" ref="AL216">IFERROR(INDEX($AI$11:$AI$259, MATCH(0, IF(TRUE=$AG$11:$AG$259, COUNTIF($AL$10:$AL215, $AI$11:$AI$259), ""), 0)),"")</f>
        <v/>
      </c>
      <c r="AM216" s="54" t="str">
        <f t="array" ref="AM216">IFERROR(INDEX($AI$11:$AI$259, MATCH(0, IF(TRUE=$AH$11:$AH$259, COUNTIF($AM$10:$AM215, $AI$11:$AI$259), ""), 0)),"")</f>
        <v/>
      </c>
      <c r="AN216" s="54"/>
      <c r="AQ216" s="47">
        <f t="shared" si="17"/>
        <v>0</v>
      </c>
    </row>
    <row r="217" spans="1:43" x14ac:dyDescent="0.3">
      <c r="A217" s="47" t="str">
        <f>IFERROR(INDEX('G-1 All Habitats'!$AG$3:$AG$15,MATCH(E217,'G-1 All Habitats'!$AF$3:$AF$15,0)),"")</f>
        <v/>
      </c>
      <c r="B217" s="47" t="str">
        <f>IFERROR(INDEX('G-8 Condition Look up'!$I$4:$I$130,MATCH(G217,'G-8 Condition Look up'!$A$4:$A$130,0)),"")</f>
        <v/>
      </c>
      <c r="D217" s="77">
        <v>207</v>
      </c>
      <c r="E217" s="78"/>
      <c r="F217" s="79"/>
      <c r="G217" s="69" t="str">
        <f>IFERROR(INDEX('G-1 All Habitats'!$B$3:$B$129,MATCH(F217,'G-1 All Habitats'!$A$3:$A$129,0)),"")</f>
        <v/>
      </c>
      <c r="H217" s="70"/>
      <c r="I217" s="498" t="str">
        <f>IF(G217="","",VLOOKUP(G217,'G-1 All Habitats'!$B$2:$M$129,10,FALSE))</f>
        <v/>
      </c>
      <c r="J217" s="499" t="str">
        <f>IFERROR(VLOOKUP(I217,'G-1 All Habitats'!$V$3:$W$7,2,FALSE),"")</f>
        <v/>
      </c>
      <c r="K217" s="71"/>
      <c r="L217" s="499" t="str">
        <f>IFERROR(INDEX('G-8 Condition Look up'!$A$3:$H$130,MATCH(G217,'G-8 Condition Look up'!$A$3:$A$130,0),MATCH(K217,'G-8 Condition Look up'!$A$3:$H$3,0)),"")</f>
        <v/>
      </c>
      <c r="M217" s="71"/>
      <c r="N217" s="520" t="str">
        <f>IF(M217="","",IF(VLOOKUP(M217,'G-3 Multipliers'!$L$3:$N$6,2,FALSE)=0,"Spatial Data Missing",VLOOKUP(M217,'G-3 Multipliers'!$L$3:$N$6,2,FALSE)))</f>
        <v/>
      </c>
      <c r="O217" s="505" t="str">
        <f>IF(M217="","",IF(VLOOKUP(M217,'G-3 Multipliers'!$L$3:$N$6,3,FALSE)=0,"Spatial Data Missing",VLOOKUP(M217,'G-3 Multipliers'!$L$3:$N$6,3,FALSE)))</f>
        <v/>
      </c>
      <c r="P217" s="506" t="str">
        <f>IFERROR(VLOOKUP(G217,'G-1 All Habitats'!$B$2:$M$129,12,FALSE),"")</f>
        <v/>
      </c>
      <c r="Q217" s="513" t="str">
        <f>IFERROR(IF(P217="","",IF(AND(P217='G-1 All Habitats'!$X$3,T217&gt;0),U217+V217,IF(AND(P217='G-1 All Habitats'!$X$3,S217&gt;0),U217+V217,IF(AND(P217='G-1 All Habitats'!$X$3,AC217&gt;0),"Any Loss Unacceptable ▲",IF(AND(P217='G-1 All Habitats'!$X$3,W217&gt;0),"Any Loss Unacceptable ▲",H217*J217*L217*O217))))),"Check Data ▲")</f>
        <v/>
      </c>
      <c r="R217" s="50"/>
      <c r="S217" s="71"/>
      <c r="T217" s="72"/>
      <c r="U217" s="511" t="str">
        <f t="shared" si="18"/>
        <v/>
      </c>
      <c r="V217" s="511" t="str">
        <f t="shared" si="19"/>
        <v/>
      </c>
      <c r="W217" s="511" t="str">
        <f>IF(E217="","",IF(H217&lt;S217+T217,"Error in Areas ▲",IF(P217&lt;&gt;'G-1 All Habitats'!$X$3,H217-S217-T217,IF(AND(P217='G-1 All Habitats'!$X$3,Y217="Yes"),"Unacceptable Loss",IF(AND(P217='G-1 All Habitats'!$X$3,Y217="No"),AC217,IF(AND(P217='G-1 All Habitats'!$X$3,Y217=""),AC217,IF(AND(P217='G-1 All Habitats'!$X$3,AC217="None",AC217),IF(AND(P217='G-1 All Habitats'!$X$3,AC217&gt;0),H217-S217-T217))))))))</f>
        <v/>
      </c>
      <c r="X217" s="515" t="str">
        <f>IFERROR(IF(H217="","",IF(H217-S217-T217=0&lt;0,"Error in Areas ▲",IF(S217+T217&gt;H217,"Error in Areas ▲",IF(AND(P217='G-1 All Habitats'!$X$3,Y217="Yes"),"Alternative Compensation ✓",IF(W217=0,0,IF(P217='G-1 All Habitats'!$X$3,"Unacceptable Loss ▲",Q217-U217-V217)))))),"Check Data ▲")</f>
        <v/>
      </c>
      <c r="Y217" s="72"/>
      <c r="Z217" s="80"/>
      <c r="AA217" s="81"/>
      <c r="AC217" s="75" t="str">
        <f>IF(P217="","",IF(P217='G-1 All Habitats'!$X$3,H217-S217-T217,"None"))</f>
        <v/>
      </c>
      <c r="AD217" s="76" t="str">
        <f>IFERROR(AC217*J217*L217*#REF!*O217,IF(P217="","","None"))</f>
        <v/>
      </c>
      <c r="AF217" s="54" t="str">
        <f t="shared" si="15"/>
        <v/>
      </c>
      <c r="AG217" s="54" t="str">
        <f t="shared" si="16"/>
        <v/>
      </c>
      <c r="AH217" s="54" t="str">
        <f>IF(I217="","",IF(#REF!&gt;0,TRUE,FALSE))</f>
        <v/>
      </c>
      <c r="AI217" s="54">
        <v>207</v>
      </c>
      <c r="AJ217" s="54"/>
      <c r="AK217" s="54" t="str">
        <f t="array" ref="AK217">IFERROR(INDEX($AI$11:$AI$259, MATCH(0, IF(TRUE=$AF$11:$AF$259, COUNTIF($AK$10:$AK216, $AI$11:$AI$259), ""), 0)),"")</f>
        <v/>
      </c>
      <c r="AL217" s="54" t="str">
        <f t="array" ref="AL217">IFERROR(INDEX($AI$11:$AI$259, MATCH(0, IF(TRUE=$AG$11:$AG$259, COUNTIF($AL$10:$AL216, $AI$11:$AI$259), ""), 0)),"")</f>
        <v/>
      </c>
      <c r="AM217" s="54" t="str">
        <f t="array" ref="AM217">IFERROR(INDEX($AI$11:$AI$259, MATCH(0, IF(TRUE=$AH$11:$AH$259, COUNTIF($AM$10:$AM216, $AI$11:$AI$259), ""), 0)),"")</f>
        <v/>
      </c>
      <c r="AN217" s="54"/>
      <c r="AQ217" s="47">
        <f t="shared" si="17"/>
        <v>0</v>
      </c>
    </row>
    <row r="218" spans="1:43" x14ac:dyDescent="0.3">
      <c r="A218" s="47" t="str">
        <f>IFERROR(INDEX('G-1 All Habitats'!$AG$3:$AG$15,MATCH(E218,'G-1 All Habitats'!$AF$3:$AF$15,0)),"")</f>
        <v/>
      </c>
      <c r="B218" s="47" t="str">
        <f>IFERROR(INDEX('G-8 Condition Look up'!$I$4:$I$130,MATCH(G218,'G-8 Condition Look up'!$A$4:$A$130,0)),"")</f>
        <v/>
      </c>
      <c r="D218" s="77">
        <v>208</v>
      </c>
      <c r="E218" s="78"/>
      <c r="F218" s="79"/>
      <c r="G218" s="69" t="str">
        <f>IFERROR(INDEX('G-1 All Habitats'!$B$3:$B$129,MATCH(F218,'G-1 All Habitats'!$A$3:$A$129,0)),"")</f>
        <v/>
      </c>
      <c r="H218" s="70"/>
      <c r="I218" s="498" t="str">
        <f>IF(G218="","",VLOOKUP(G218,'G-1 All Habitats'!$B$2:$M$129,10,FALSE))</f>
        <v/>
      </c>
      <c r="J218" s="499" t="str">
        <f>IFERROR(VLOOKUP(I218,'G-1 All Habitats'!$V$3:$W$7,2,FALSE),"")</f>
        <v/>
      </c>
      <c r="K218" s="71"/>
      <c r="L218" s="499" t="str">
        <f>IFERROR(INDEX('G-8 Condition Look up'!$A$3:$H$130,MATCH(G218,'G-8 Condition Look up'!$A$3:$A$130,0),MATCH(K218,'G-8 Condition Look up'!$A$3:$H$3,0)),"")</f>
        <v/>
      </c>
      <c r="M218" s="71"/>
      <c r="N218" s="520" t="str">
        <f>IF(M218="","",IF(VLOOKUP(M218,'G-3 Multipliers'!$L$3:$N$6,2,FALSE)=0,"Spatial Data Missing",VLOOKUP(M218,'G-3 Multipliers'!$L$3:$N$6,2,FALSE)))</f>
        <v/>
      </c>
      <c r="O218" s="505" t="str">
        <f>IF(M218="","",IF(VLOOKUP(M218,'G-3 Multipliers'!$L$3:$N$6,3,FALSE)=0,"Spatial Data Missing",VLOOKUP(M218,'G-3 Multipliers'!$L$3:$N$6,3,FALSE)))</f>
        <v/>
      </c>
      <c r="P218" s="506" t="str">
        <f>IFERROR(VLOOKUP(G218,'G-1 All Habitats'!$B$2:$M$129,12,FALSE),"")</f>
        <v/>
      </c>
      <c r="Q218" s="513" t="str">
        <f>IFERROR(IF(P218="","",IF(AND(P218='G-1 All Habitats'!$X$3,T218&gt;0),U218+V218,IF(AND(P218='G-1 All Habitats'!$X$3,S218&gt;0),U218+V218,IF(AND(P218='G-1 All Habitats'!$X$3,AC218&gt;0),"Any Loss Unacceptable ▲",IF(AND(P218='G-1 All Habitats'!$X$3,W218&gt;0),"Any Loss Unacceptable ▲",H218*J218*L218*O218))))),"Check Data ▲")</f>
        <v/>
      </c>
      <c r="R218" s="50"/>
      <c r="S218" s="71"/>
      <c r="T218" s="72"/>
      <c r="U218" s="511" t="str">
        <f t="shared" si="18"/>
        <v/>
      </c>
      <c r="V218" s="511" t="str">
        <f t="shared" si="19"/>
        <v/>
      </c>
      <c r="W218" s="511" t="str">
        <f>IF(E218="","",IF(H218&lt;S218+T218,"Error in Areas ▲",IF(P218&lt;&gt;'G-1 All Habitats'!$X$3,H218-S218-T218,IF(AND(P218='G-1 All Habitats'!$X$3,Y218="Yes"),"Unacceptable Loss",IF(AND(P218='G-1 All Habitats'!$X$3,Y218="No"),AC218,IF(AND(P218='G-1 All Habitats'!$X$3,Y218=""),AC218,IF(AND(P218='G-1 All Habitats'!$X$3,AC218="None",AC218),IF(AND(P218='G-1 All Habitats'!$X$3,AC218&gt;0),H218-S218-T218))))))))</f>
        <v/>
      </c>
      <c r="X218" s="515" t="str">
        <f>IFERROR(IF(H218="","",IF(H218-S218-T218=0&lt;0,"Error in Areas ▲",IF(S218+T218&gt;H218,"Error in Areas ▲",IF(AND(P218='G-1 All Habitats'!$X$3,Y218="Yes"),"Alternative Compensation ✓",IF(W218=0,0,IF(P218='G-1 All Habitats'!$X$3,"Unacceptable Loss ▲",Q218-U218-V218)))))),"Check Data ▲")</f>
        <v/>
      </c>
      <c r="Y218" s="72"/>
      <c r="Z218" s="80"/>
      <c r="AA218" s="81"/>
      <c r="AC218" s="75" t="str">
        <f>IF(P218="","",IF(P218='G-1 All Habitats'!$X$3,H218-S218-T218,"None"))</f>
        <v/>
      </c>
      <c r="AD218" s="76" t="str">
        <f>IFERROR(AC218*J218*L218*#REF!*O218,IF(P218="","","None"))</f>
        <v/>
      </c>
      <c r="AF218" s="54" t="str">
        <f t="shared" si="15"/>
        <v/>
      </c>
      <c r="AG218" s="54" t="str">
        <f t="shared" si="16"/>
        <v/>
      </c>
      <c r="AH218" s="54" t="str">
        <f>IF(I218="","",IF(#REF!&gt;0,TRUE,FALSE))</f>
        <v/>
      </c>
      <c r="AI218" s="54">
        <v>208</v>
      </c>
      <c r="AJ218" s="54"/>
      <c r="AK218" s="54" t="str">
        <f t="array" ref="AK218">IFERROR(INDEX($AI$11:$AI$259, MATCH(0, IF(TRUE=$AF$11:$AF$259, COUNTIF($AK$10:$AK217, $AI$11:$AI$259), ""), 0)),"")</f>
        <v/>
      </c>
      <c r="AL218" s="54" t="str">
        <f t="array" ref="AL218">IFERROR(INDEX($AI$11:$AI$259, MATCH(0, IF(TRUE=$AG$11:$AG$259, COUNTIF($AL$10:$AL217, $AI$11:$AI$259), ""), 0)),"")</f>
        <v/>
      </c>
      <c r="AM218" s="54" t="str">
        <f t="array" ref="AM218">IFERROR(INDEX($AI$11:$AI$259, MATCH(0, IF(TRUE=$AH$11:$AH$259, COUNTIF($AM$10:$AM217, $AI$11:$AI$259), ""), 0)),"")</f>
        <v/>
      </c>
      <c r="AN218" s="54"/>
      <c r="AQ218" s="47">
        <f t="shared" si="17"/>
        <v>0</v>
      </c>
    </row>
    <row r="219" spans="1:43" x14ac:dyDescent="0.3">
      <c r="A219" s="47" t="str">
        <f>IFERROR(INDEX('G-1 All Habitats'!$AG$3:$AG$15,MATCH(E219,'G-1 All Habitats'!$AF$3:$AF$15,0)),"")</f>
        <v/>
      </c>
      <c r="B219" s="47" t="str">
        <f>IFERROR(INDEX('G-8 Condition Look up'!$I$4:$I$130,MATCH(G219,'G-8 Condition Look up'!$A$4:$A$130,0)),"")</f>
        <v/>
      </c>
      <c r="D219" s="77">
        <v>209</v>
      </c>
      <c r="E219" s="78"/>
      <c r="F219" s="79"/>
      <c r="G219" s="69" t="str">
        <f>IFERROR(INDEX('G-1 All Habitats'!$B$3:$B$129,MATCH(F219,'G-1 All Habitats'!$A$3:$A$129,0)),"")</f>
        <v/>
      </c>
      <c r="H219" s="70"/>
      <c r="I219" s="498" t="str">
        <f>IF(G219="","",VLOOKUP(G219,'G-1 All Habitats'!$B$2:$M$129,10,FALSE))</f>
        <v/>
      </c>
      <c r="J219" s="499" t="str">
        <f>IFERROR(VLOOKUP(I219,'G-1 All Habitats'!$V$3:$W$7,2,FALSE),"")</f>
        <v/>
      </c>
      <c r="K219" s="71"/>
      <c r="L219" s="499" t="str">
        <f>IFERROR(INDEX('G-8 Condition Look up'!$A$3:$H$130,MATCH(G219,'G-8 Condition Look up'!$A$3:$A$130,0),MATCH(K219,'G-8 Condition Look up'!$A$3:$H$3,0)),"")</f>
        <v/>
      </c>
      <c r="M219" s="71"/>
      <c r="N219" s="520" t="str">
        <f>IF(M219="","",IF(VLOOKUP(M219,'G-3 Multipliers'!$L$3:$N$6,2,FALSE)=0,"Spatial Data Missing",VLOOKUP(M219,'G-3 Multipliers'!$L$3:$N$6,2,FALSE)))</f>
        <v/>
      </c>
      <c r="O219" s="505" t="str">
        <f>IF(M219="","",IF(VLOOKUP(M219,'G-3 Multipliers'!$L$3:$N$6,3,FALSE)=0,"Spatial Data Missing",VLOOKUP(M219,'G-3 Multipliers'!$L$3:$N$6,3,FALSE)))</f>
        <v/>
      </c>
      <c r="P219" s="506" t="str">
        <f>IFERROR(VLOOKUP(G219,'G-1 All Habitats'!$B$2:$M$129,12,FALSE),"")</f>
        <v/>
      </c>
      <c r="Q219" s="513" t="str">
        <f>IFERROR(IF(P219="","",IF(AND(P219='G-1 All Habitats'!$X$3,T219&gt;0),U219+V219,IF(AND(P219='G-1 All Habitats'!$X$3,S219&gt;0),U219+V219,IF(AND(P219='G-1 All Habitats'!$X$3,AC219&gt;0),"Any Loss Unacceptable ▲",IF(AND(P219='G-1 All Habitats'!$X$3,W219&gt;0),"Any Loss Unacceptable ▲",H219*J219*L219*O219))))),"Check Data ▲")</f>
        <v/>
      </c>
      <c r="R219" s="50"/>
      <c r="S219" s="71"/>
      <c r="T219" s="72"/>
      <c r="U219" s="511" t="str">
        <f t="shared" si="18"/>
        <v/>
      </c>
      <c r="V219" s="511" t="str">
        <f t="shared" si="19"/>
        <v/>
      </c>
      <c r="W219" s="511" t="str">
        <f>IF(E219="","",IF(H219&lt;S219+T219,"Error in Areas ▲",IF(P219&lt;&gt;'G-1 All Habitats'!$X$3,H219-S219-T219,IF(AND(P219='G-1 All Habitats'!$X$3,Y219="Yes"),"Unacceptable Loss",IF(AND(P219='G-1 All Habitats'!$X$3,Y219="No"),AC219,IF(AND(P219='G-1 All Habitats'!$X$3,Y219=""),AC219,IF(AND(P219='G-1 All Habitats'!$X$3,AC219="None",AC219),IF(AND(P219='G-1 All Habitats'!$X$3,AC219&gt;0),H219-S219-T219))))))))</f>
        <v/>
      </c>
      <c r="X219" s="515" t="str">
        <f>IFERROR(IF(H219="","",IF(H219-S219-T219=0&lt;0,"Error in Areas ▲",IF(S219+T219&gt;H219,"Error in Areas ▲",IF(AND(P219='G-1 All Habitats'!$X$3,Y219="Yes"),"Alternative Compensation ✓",IF(W219=0,0,IF(P219='G-1 All Habitats'!$X$3,"Unacceptable Loss ▲",Q219-U219-V219)))))),"Check Data ▲")</f>
        <v/>
      </c>
      <c r="Y219" s="72"/>
      <c r="Z219" s="80"/>
      <c r="AA219" s="81"/>
      <c r="AC219" s="75" t="str">
        <f>IF(P219="","",IF(P219='G-1 All Habitats'!$X$3,H219-S219-T219,"None"))</f>
        <v/>
      </c>
      <c r="AD219" s="76" t="str">
        <f>IFERROR(AC219*J219*L219*#REF!*O219,IF(P219="","","None"))</f>
        <v/>
      </c>
      <c r="AF219" s="54" t="str">
        <f t="shared" si="15"/>
        <v/>
      </c>
      <c r="AG219" s="54" t="str">
        <f t="shared" si="16"/>
        <v/>
      </c>
      <c r="AH219" s="54" t="str">
        <f>IF(I219="","",IF(#REF!&gt;0,TRUE,FALSE))</f>
        <v/>
      </c>
      <c r="AI219" s="54">
        <v>209</v>
      </c>
      <c r="AJ219" s="54"/>
      <c r="AK219" s="54" t="str">
        <f t="array" ref="AK219">IFERROR(INDEX($AI$11:$AI$259, MATCH(0, IF(TRUE=$AF$11:$AF$259, COUNTIF($AK$10:$AK218, $AI$11:$AI$259), ""), 0)),"")</f>
        <v/>
      </c>
      <c r="AL219" s="54" t="str">
        <f t="array" ref="AL219">IFERROR(INDEX($AI$11:$AI$259, MATCH(0, IF(TRUE=$AG$11:$AG$259, COUNTIF($AL$10:$AL218, $AI$11:$AI$259), ""), 0)),"")</f>
        <v/>
      </c>
      <c r="AM219" s="54" t="str">
        <f t="array" ref="AM219">IFERROR(INDEX($AI$11:$AI$259, MATCH(0, IF(TRUE=$AH$11:$AH$259, COUNTIF($AM$10:$AM218, $AI$11:$AI$259), ""), 0)),"")</f>
        <v/>
      </c>
      <c r="AN219" s="54"/>
      <c r="AQ219" s="47">
        <f t="shared" si="17"/>
        <v>0</v>
      </c>
    </row>
    <row r="220" spans="1:43" x14ac:dyDescent="0.3">
      <c r="A220" s="47" t="str">
        <f>IFERROR(INDEX('G-1 All Habitats'!$AG$3:$AG$15,MATCH(E220,'G-1 All Habitats'!$AF$3:$AF$15,0)),"")</f>
        <v/>
      </c>
      <c r="B220" s="47" t="str">
        <f>IFERROR(INDEX('G-8 Condition Look up'!$I$4:$I$130,MATCH(G220,'G-8 Condition Look up'!$A$4:$A$130,0)),"")</f>
        <v/>
      </c>
      <c r="D220" s="77">
        <v>210</v>
      </c>
      <c r="E220" s="78"/>
      <c r="F220" s="79"/>
      <c r="G220" s="69" t="str">
        <f>IFERROR(INDEX('G-1 All Habitats'!$B$3:$B$129,MATCH(F220,'G-1 All Habitats'!$A$3:$A$129,0)),"")</f>
        <v/>
      </c>
      <c r="H220" s="70"/>
      <c r="I220" s="498" t="str">
        <f>IF(G220="","",VLOOKUP(G220,'G-1 All Habitats'!$B$2:$M$129,10,FALSE))</f>
        <v/>
      </c>
      <c r="J220" s="499" t="str">
        <f>IFERROR(VLOOKUP(I220,'G-1 All Habitats'!$V$3:$W$7,2,FALSE),"")</f>
        <v/>
      </c>
      <c r="K220" s="71"/>
      <c r="L220" s="499" t="str">
        <f>IFERROR(INDEX('G-8 Condition Look up'!$A$3:$H$130,MATCH(G220,'G-8 Condition Look up'!$A$3:$A$130,0),MATCH(K220,'G-8 Condition Look up'!$A$3:$H$3,0)),"")</f>
        <v/>
      </c>
      <c r="M220" s="71"/>
      <c r="N220" s="520" t="str">
        <f>IF(M220="","",IF(VLOOKUP(M220,'G-3 Multipliers'!$L$3:$N$6,2,FALSE)=0,"Spatial Data Missing",VLOOKUP(M220,'G-3 Multipliers'!$L$3:$N$6,2,FALSE)))</f>
        <v/>
      </c>
      <c r="O220" s="505" t="str">
        <f>IF(M220="","",IF(VLOOKUP(M220,'G-3 Multipliers'!$L$3:$N$6,3,FALSE)=0,"Spatial Data Missing",VLOOKUP(M220,'G-3 Multipliers'!$L$3:$N$6,3,FALSE)))</f>
        <v/>
      </c>
      <c r="P220" s="506" t="str">
        <f>IFERROR(VLOOKUP(G220,'G-1 All Habitats'!$B$2:$M$129,12,FALSE),"")</f>
        <v/>
      </c>
      <c r="Q220" s="513" t="str">
        <f>IFERROR(IF(P220="","",IF(AND(P220='G-1 All Habitats'!$X$3,T220&gt;0),U220+V220,IF(AND(P220='G-1 All Habitats'!$X$3,S220&gt;0),U220+V220,IF(AND(P220='G-1 All Habitats'!$X$3,AC220&gt;0),"Any Loss Unacceptable ▲",IF(AND(P220='G-1 All Habitats'!$X$3,W220&gt;0),"Any Loss Unacceptable ▲",H220*J220*L220*O220))))),"Check Data ▲")</f>
        <v/>
      </c>
      <c r="R220" s="50"/>
      <c r="S220" s="71"/>
      <c r="T220" s="72"/>
      <c r="U220" s="511" t="str">
        <f t="shared" si="18"/>
        <v/>
      </c>
      <c r="V220" s="511" t="str">
        <f t="shared" si="19"/>
        <v/>
      </c>
      <c r="W220" s="511" t="str">
        <f>IF(E220="","",IF(H220&lt;S220+T220,"Error in Areas ▲",IF(P220&lt;&gt;'G-1 All Habitats'!$X$3,H220-S220-T220,IF(AND(P220='G-1 All Habitats'!$X$3,Y220="Yes"),"Unacceptable Loss",IF(AND(P220='G-1 All Habitats'!$X$3,Y220="No"),AC220,IF(AND(P220='G-1 All Habitats'!$X$3,Y220=""),AC220,IF(AND(P220='G-1 All Habitats'!$X$3,AC220="None",AC220),IF(AND(P220='G-1 All Habitats'!$X$3,AC220&gt;0),H220-S220-T220))))))))</f>
        <v/>
      </c>
      <c r="X220" s="515" t="str">
        <f>IFERROR(IF(H220="","",IF(H220-S220-T220=0&lt;0,"Error in Areas ▲",IF(S220+T220&gt;H220,"Error in Areas ▲",IF(AND(P220='G-1 All Habitats'!$X$3,Y220="Yes"),"Alternative Compensation ✓",IF(W220=0,0,IF(P220='G-1 All Habitats'!$X$3,"Unacceptable Loss ▲",Q220-U220-V220)))))),"Check Data ▲")</f>
        <v/>
      </c>
      <c r="Y220" s="72"/>
      <c r="Z220" s="80"/>
      <c r="AA220" s="81"/>
      <c r="AC220" s="75" t="str">
        <f>IF(P220="","",IF(P220='G-1 All Habitats'!$X$3,H220-S220-T220,"None"))</f>
        <v/>
      </c>
      <c r="AD220" s="76" t="str">
        <f>IFERROR(AC220*J220*L220*#REF!*O220,IF(P220="","","None"))</f>
        <v/>
      </c>
      <c r="AF220" s="54" t="str">
        <f t="shared" si="15"/>
        <v/>
      </c>
      <c r="AG220" s="54" t="str">
        <f t="shared" si="16"/>
        <v/>
      </c>
      <c r="AH220" s="54" t="str">
        <f>IF(I220="","",IF(#REF!&gt;0,TRUE,FALSE))</f>
        <v/>
      </c>
      <c r="AI220" s="54">
        <v>210</v>
      </c>
      <c r="AJ220" s="54"/>
      <c r="AK220" s="54" t="str">
        <f t="array" ref="AK220">IFERROR(INDEX($AI$11:$AI$259, MATCH(0, IF(TRUE=$AF$11:$AF$259, COUNTIF($AK$10:$AK219, $AI$11:$AI$259), ""), 0)),"")</f>
        <v/>
      </c>
      <c r="AL220" s="54" t="str">
        <f t="array" ref="AL220">IFERROR(INDEX($AI$11:$AI$259, MATCH(0, IF(TRUE=$AG$11:$AG$259, COUNTIF($AL$10:$AL219, $AI$11:$AI$259), ""), 0)),"")</f>
        <v/>
      </c>
      <c r="AM220" s="54" t="str">
        <f t="array" ref="AM220">IFERROR(INDEX($AI$11:$AI$259, MATCH(0, IF(TRUE=$AH$11:$AH$259, COUNTIF($AM$10:$AM219, $AI$11:$AI$259), ""), 0)),"")</f>
        <v/>
      </c>
      <c r="AN220" s="54"/>
      <c r="AQ220" s="47">
        <f t="shared" si="17"/>
        <v>0</v>
      </c>
    </row>
    <row r="221" spans="1:43" x14ac:dyDescent="0.3">
      <c r="A221" s="47" t="str">
        <f>IFERROR(INDEX('G-1 All Habitats'!$AG$3:$AG$15,MATCH(E221,'G-1 All Habitats'!$AF$3:$AF$15,0)),"")</f>
        <v/>
      </c>
      <c r="B221" s="47" t="str">
        <f>IFERROR(INDEX('G-8 Condition Look up'!$I$4:$I$130,MATCH(G221,'G-8 Condition Look up'!$A$4:$A$130,0)),"")</f>
        <v/>
      </c>
      <c r="D221" s="77">
        <v>211</v>
      </c>
      <c r="E221" s="78"/>
      <c r="F221" s="79"/>
      <c r="G221" s="69" t="str">
        <f>IFERROR(INDEX('G-1 All Habitats'!$B$3:$B$129,MATCH(F221,'G-1 All Habitats'!$A$3:$A$129,0)),"")</f>
        <v/>
      </c>
      <c r="H221" s="70"/>
      <c r="I221" s="498" t="str">
        <f>IF(G221="","",VLOOKUP(G221,'G-1 All Habitats'!$B$2:$M$129,10,FALSE))</f>
        <v/>
      </c>
      <c r="J221" s="499" t="str">
        <f>IFERROR(VLOOKUP(I221,'G-1 All Habitats'!$V$3:$W$7,2,FALSE),"")</f>
        <v/>
      </c>
      <c r="K221" s="71"/>
      <c r="L221" s="499" t="str">
        <f>IFERROR(INDEX('G-8 Condition Look up'!$A$3:$H$130,MATCH(G221,'G-8 Condition Look up'!$A$3:$A$130,0),MATCH(K221,'G-8 Condition Look up'!$A$3:$H$3,0)),"")</f>
        <v/>
      </c>
      <c r="M221" s="71"/>
      <c r="N221" s="520" t="str">
        <f>IF(M221="","",IF(VLOOKUP(M221,'G-3 Multipliers'!$L$3:$N$6,2,FALSE)=0,"Spatial Data Missing",VLOOKUP(M221,'G-3 Multipliers'!$L$3:$N$6,2,FALSE)))</f>
        <v/>
      </c>
      <c r="O221" s="505" t="str">
        <f>IF(M221="","",IF(VLOOKUP(M221,'G-3 Multipliers'!$L$3:$N$6,3,FALSE)=0,"Spatial Data Missing",VLOOKUP(M221,'G-3 Multipliers'!$L$3:$N$6,3,FALSE)))</f>
        <v/>
      </c>
      <c r="P221" s="506" t="str">
        <f>IFERROR(VLOOKUP(G221,'G-1 All Habitats'!$B$2:$M$129,12,FALSE),"")</f>
        <v/>
      </c>
      <c r="Q221" s="513" t="str">
        <f>IFERROR(IF(P221="","",IF(AND(P221='G-1 All Habitats'!$X$3,T221&gt;0),U221+V221,IF(AND(P221='G-1 All Habitats'!$X$3,S221&gt;0),U221+V221,IF(AND(P221='G-1 All Habitats'!$X$3,AC221&gt;0),"Any Loss Unacceptable ▲",IF(AND(P221='G-1 All Habitats'!$X$3,W221&gt;0),"Any Loss Unacceptable ▲",H221*J221*L221*O221))))),"Check Data ▲")</f>
        <v/>
      </c>
      <c r="R221" s="50"/>
      <c r="S221" s="71"/>
      <c r="T221" s="72"/>
      <c r="U221" s="511" t="str">
        <f t="shared" si="18"/>
        <v/>
      </c>
      <c r="V221" s="511" t="str">
        <f t="shared" si="19"/>
        <v/>
      </c>
      <c r="W221" s="511" t="str">
        <f>IF(E221="","",IF(H221&lt;S221+T221,"Error in Areas ▲",IF(P221&lt;&gt;'G-1 All Habitats'!$X$3,H221-S221-T221,IF(AND(P221='G-1 All Habitats'!$X$3,Y221="Yes"),"Unacceptable Loss",IF(AND(P221='G-1 All Habitats'!$X$3,Y221="No"),AC221,IF(AND(P221='G-1 All Habitats'!$X$3,Y221=""),AC221,IF(AND(P221='G-1 All Habitats'!$X$3,AC221="None",AC221),IF(AND(P221='G-1 All Habitats'!$X$3,AC221&gt;0),H221-S221-T221))))))))</f>
        <v/>
      </c>
      <c r="X221" s="515" t="str">
        <f>IFERROR(IF(H221="","",IF(H221-S221-T221=0&lt;0,"Error in Areas ▲",IF(S221+T221&gt;H221,"Error in Areas ▲",IF(AND(P221='G-1 All Habitats'!$X$3,Y221="Yes"),"Alternative Compensation ✓",IF(W221=0,0,IF(P221='G-1 All Habitats'!$X$3,"Unacceptable Loss ▲",Q221-U221-V221)))))),"Check Data ▲")</f>
        <v/>
      </c>
      <c r="Y221" s="72"/>
      <c r="Z221" s="80"/>
      <c r="AA221" s="81"/>
      <c r="AC221" s="75" t="str">
        <f>IF(P221="","",IF(P221='G-1 All Habitats'!$X$3,H221-S221-T221,"None"))</f>
        <v/>
      </c>
      <c r="AD221" s="76" t="str">
        <f>IFERROR(AC221*J221*L221*#REF!*O221,IF(P221="","","None"))</f>
        <v/>
      </c>
      <c r="AF221" s="54" t="str">
        <f t="shared" si="15"/>
        <v/>
      </c>
      <c r="AG221" s="54" t="str">
        <f t="shared" si="16"/>
        <v/>
      </c>
      <c r="AH221" s="54" t="str">
        <f>IF(I221="","",IF(#REF!&gt;0,TRUE,FALSE))</f>
        <v/>
      </c>
      <c r="AI221" s="54">
        <v>211</v>
      </c>
      <c r="AJ221" s="54"/>
      <c r="AK221" s="54" t="str">
        <f t="array" ref="AK221">IFERROR(INDEX($AI$11:$AI$259, MATCH(0, IF(TRUE=$AF$11:$AF$259, COUNTIF($AK$10:$AK220, $AI$11:$AI$259), ""), 0)),"")</f>
        <v/>
      </c>
      <c r="AL221" s="54" t="str">
        <f t="array" ref="AL221">IFERROR(INDEX($AI$11:$AI$259, MATCH(0, IF(TRUE=$AG$11:$AG$259, COUNTIF($AL$10:$AL220, $AI$11:$AI$259), ""), 0)),"")</f>
        <v/>
      </c>
      <c r="AM221" s="54" t="str">
        <f t="array" ref="AM221">IFERROR(INDEX($AI$11:$AI$259, MATCH(0, IF(TRUE=$AH$11:$AH$259, COUNTIF($AM$10:$AM220, $AI$11:$AI$259), ""), 0)),"")</f>
        <v/>
      </c>
      <c r="AN221" s="54"/>
      <c r="AQ221" s="47">
        <f t="shared" si="17"/>
        <v>0</v>
      </c>
    </row>
    <row r="222" spans="1:43" x14ac:dyDescent="0.3">
      <c r="A222" s="47" t="str">
        <f>IFERROR(INDEX('G-1 All Habitats'!$AG$3:$AG$15,MATCH(E222,'G-1 All Habitats'!$AF$3:$AF$15,0)),"")</f>
        <v/>
      </c>
      <c r="B222" s="47" t="str">
        <f>IFERROR(INDEX('G-8 Condition Look up'!$I$4:$I$130,MATCH(G222,'G-8 Condition Look up'!$A$4:$A$130,0)),"")</f>
        <v/>
      </c>
      <c r="D222" s="77">
        <v>212</v>
      </c>
      <c r="E222" s="78"/>
      <c r="F222" s="79"/>
      <c r="G222" s="69" t="str">
        <f>IFERROR(INDEX('G-1 All Habitats'!$B$3:$B$129,MATCH(F222,'G-1 All Habitats'!$A$3:$A$129,0)),"")</f>
        <v/>
      </c>
      <c r="H222" s="70"/>
      <c r="I222" s="498" t="str">
        <f>IF(G222="","",VLOOKUP(G222,'G-1 All Habitats'!$B$2:$M$129,10,FALSE))</f>
        <v/>
      </c>
      <c r="J222" s="499" t="str">
        <f>IFERROR(VLOOKUP(I222,'G-1 All Habitats'!$V$3:$W$7,2,FALSE),"")</f>
        <v/>
      </c>
      <c r="K222" s="71"/>
      <c r="L222" s="499" t="str">
        <f>IFERROR(INDEX('G-8 Condition Look up'!$A$3:$H$130,MATCH(G222,'G-8 Condition Look up'!$A$3:$A$130,0),MATCH(K222,'G-8 Condition Look up'!$A$3:$H$3,0)),"")</f>
        <v/>
      </c>
      <c r="M222" s="71"/>
      <c r="N222" s="520" t="str">
        <f>IF(M222="","",IF(VLOOKUP(M222,'G-3 Multipliers'!$L$3:$N$6,2,FALSE)=0,"Spatial Data Missing",VLOOKUP(M222,'G-3 Multipliers'!$L$3:$N$6,2,FALSE)))</f>
        <v/>
      </c>
      <c r="O222" s="505" t="str">
        <f>IF(M222="","",IF(VLOOKUP(M222,'G-3 Multipliers'!$L$3:$N$6,3,FALSE)=0,"Spatial Data Missing",VLOOKUP(M222,'G-3 Multipliers'!$L$3:$N$6,3,FALSE)))</f>
        <v/>
      </c>
      <c r="P222" s="506" t="str">
        <f>IFERROR(VLOOKUP(G222,'G-1 All Habitats'!$B$2:$M$129,12,FALSE),"")</f>
        <v/>
      </c>
      <c r="Q222" s="513" t="str">
        <f>IFERROR(IF(P222="","",IF(AND(P222='G-1 All Habitats'!$X$3,T222&gt;0),U222+V222,IF(AND(P222='G-1 All Habitats'!$X$3,S222&gt;0),U222+V222,IF(AND(P222='G-1 All Habitats'!$X$3,AC222&gt;0),"Any Loss Unacceptable ▲",IF(AND(P222='G-1 All Habitats'!$X$3,W222&gt;0),"Any Loss Unacceptable ▲",H222*J222*L222*O222))))),"Check Data ▲")</f>
        <v/>
      </c>
      <c r="R222" s="50"/>
      <c r="S222" s="71"/>
      <c r="T222" s="72"/>
      <c r="U222" s="511" t="str">
        <f t="shared" si="18"/>
        <v/>
      </c>
      <c r="V222" s="511" t="str">
        <f t="shared" si="19"/>
        <v/>
      </c>
      <c r="W222" s="511" t="str">
        <f>IF(E222="","",IF(H222&lt;S222+T222,"Error in Areas ▲",IF(P222&lt;&gt;'G-1 All Habitats'!$X$3,H222-S222-T222,IF(AND(P222='G-1 All Habitats'!$X$3,Y222="Yes"),"Unacceptable Loss",IF(AND(P222='G-1 All Habitats'!$X$3,Y222="No"),AC222,IF(AND(P222='G-1 All Habitats'!$X$3,Y222=""),AC222,IF(AND(P222='G-1 All Habitats'!$X$3,AC222="None",AC222),IF(AND(P222='G-1 All Habitats'!$X$3,AC222&gt;0),H222-S222-T222))))))))</f>
        <v/>
      </c>
      <c r="X222" s="515" t="str">
        <f>IFERROR(IF(H222="","",IF(H222-S222-T222=0&lt;0,"Error in Areas ▲",IF(S222+T222&gt;H222,"Error in Areas ▲",IF(AND(P222='G-1 All Habitats'!$X$3,Y222="Yes"),"Alternative Compensation ✓",IF(W222=0,0,IF(P222='G-1 All Habitats'!$X$3,"Unacceptable Loss ▲",Q222-U222-V222)))))),"Check Data ▲")</f>
        <v/>
      </c>
      <c r="Y222" s="72"/>
      <c r="Z222" s="80"/>
      <c r="AA222" s="81"/>
      <c r="AC222" s="75" t="str">
        <f>IF(P222="","",IF(P222='G-1 All Habitats'!$X$3,H222-S222-T222,"None"))</f>
        <v/>
      </c>
      <c r="AD222" s="76" t="str">
        <f>IFERROR(AC222*J222*L222*#REF!*O222,IF(P222="","","None"))</f>
        <v/>
      </c>
      <c r="AF222" s="54" t="str">
        <f t="shared" si="15"/>
        <v/>
      </c>
      <c r="AG222" s="54" t="str">
        <f t="shared" si="16"/>
        <v/>
      </c>
      <c r="AH222" s="54" t="str">
        <f>IF(I222="","",IF(#REF!&gt;0,TRUE,FALSE))</f>
        <v/>
      </c>
      <c r="AI222" s="54">
        <v>212</v>
      </c>
      <c r="AJ222" s="54"/>
      <c r="AK222" s="54" t="str">
        <f t="array" ref="AK222">IFERROR(INDEX($AI$11:$AI$259, MATCH(0, IF(TRUE=$AF$11:$AF$259, COUNTIF($AK$10:$AK221, $AI$11:$AI$259), ""), 0)),"")</f>
        <v/>
      </c>
      <c r="AL222" s="54" t="str">
        <f t="array" ref="AL222">IFERROR(INDEX($AI$11:$AI$259, MATCH(0, IF(TRUE=$AG$11:$AG$259, COUNTIF($AL$10:$AL221, $AI$11:$AI$259), ""), 0)),"")</f>
        <v/>
      </c>
      <c r="AM222" s="54" t="str">
        <f t="array" ref="AM222">IFERROR(INDEX($AI$11:$AI$259, MATCH(0, IF(TRUE=$AH$11:$AH$259, COUNTIF($AM$10:$AM221, $AI$11:$AI$259), ""), 0)),"")</f>
        <v/>
      </c>
      <c r="AN222" s="54"/>
      <c r="AQ222" s="47">
        <f t="shared" si="17"/>
        <v>0</v>
      </c>
    </row>
    <row r="223" spans="1:43" x14ac:dyDescent="0.3">
      <c r="A223" s="47" t="str">
        <f>IFERROR(INDEX('G-1 All Habitats'!$AG$3:$AG$15,MATCH(E223,'G-1 All Habitats'!$AF$3:$AF$15,0)),"")</f>
        <v/>
      </c>
      <c r="B223" s="47" t="str">
        <f>IFERROR(INDEX('G-8 Condition Look up'!$I$4:$I$130,MATCH(G223,'G-8 Condition Look up'!$A$4:$A$130,0)),"")</f>
        <v/>
      </c>
      <c r="D223" s="77">
        <v>213</v>
      </c>
      <c r="E223" s="78"/>
      <c r="F223" s="79"/>
      <c r="G223" s="69" t="str">
        <f>IFERROR(INDEX('G-1 All Habitats'!$B$3:$B$129,MATCH(F223,'G-1 All Habitats'!$A$3:$A$129,0)),"")</f>
        <v/>
      </c>
      <c r="H223" s="70"/>
      <c r="I223" s="498" t="str">
        <f>IF(G223="","",VLOOKUP(G223,'G-1 All Habitats'!$B$2:$M$129,10,FALSE))</f>
        <v/>
      </c>
      <c r="J223" s="499" t="str">
        <f>IFERROR(VLOOKUP(I223,'G-1 All Habitats'!$V$3:$W$7,2,FALSE),"")</f>
        <v/>
      </c>
      <c r="K223" s="71"/>
      <c r="L223" s="499" t="str">
        <f>IFERROR(INDEX('G-8 Condition Look up'!$A$3:$H$130,MATCH(G223,'G-8 Condition Look up'!$A$3:$A$130,0),MATCH(K223,'G-8 Condition Look up'!$A$3:$H$3,0)),"")</f>
        <v/>
      </c>
      <c r="M223" s="71"/>
      <c r="N223" s="520" t="str">
        <f>IF(M223="","",IF(VLOOKUP(M223,'G-3 Multipliers'!$L$3:$N$6,2,FALSE)=0,"Spatial Data Missing",VLOOKUP(M223,'G-3 Multipliers'!$L$3:$N$6,2,FALSE)))</f>
        <v/>
      </c>
      <c r="O223" s="505" t="str">
        <f>IF(M223="","",IF(VLOOKUP(M223,'G-3 Multipliers'!$L$3:$N$6,3,FALSE)=0,"Spatial Data Missing",VLOOKUP(M223,'G-3 Multipliers'!$L$3:$N$6,3,FALSE)))</f>
        <v/>
      </c>
      <c r="P223" s="506" t="str">
        <f>IFERROR(VLOOKUP(G223,'G-1 All Habitats'!$B$2:$M$129,12,FALSE),"")</f>
        <v/>
      </c>
      <c r="Q223" s="513" t="str">
        <f>IFERROR(IF(P223="","",IF(AND(P223='G-1 All Habitats'!$X$3,T223&gt;0),U223+V223,IF(AND(P223='G-1 All Habitats'!$X$3,S223&gt;0),U223+V223,IF(AND(P223='G-1 All Habitats'!$X$3,AC223&gt;0),"Any Loss Unacceptable ▲",IF(AND(P223='G-1 All Habitats'!$X$3,W223&gt;0),"Any Loss Unacceptable ▲",H223*J223*L223*O223))))),"Check Data ▲")</f>
        <v/>
      </c>
      <c r="R223" s="50"/>
      <c r="S223" s="71"/>
      <c r="T223" s="72"/>
      <c r="U223" s="511" t="str">
        <f t="shared" si="18"/>
        <v/>
      </c>
      <c r="V223" s="511" t="str">
        <f t="shared" si="19"/>
        <v/>
      </c>
      <c r="W223" s="511" t="str">
        <f>IF(E223="","",IF(H223&lt;S223+T223,"Error in Areas ▲",IF(P223&lt;&gt;'G-1 All Habitats'!$X$3,H223-S223-T223,IF(AND(P223='G-1 All Habitats'!$X$3,Y223="Yes"),"Unacceptable Loss",IF(AND(P223='G-1 All Habitats'!$X$3,Y223="No"),AC223,IF(AND(P223='G-1 All Habitats'!$X$3,Y223=""),AC223,IF(AND(P223='G-1 All Habitats'!$X$3,AC223="None",AC223),IF(AND(P223='G-1 All Habitats'!$X$3,AC223&gt;0),H223-S223-T223))))))))</f>
        <v/>
      </c>
      <c r="X223" s="515" t="str">
        <f>IFERROR(IF(H223="","",IF(H223-S223-T223=0&lt;0,"Error in Areas ▲",IF(S223+T223&gt;H223,"Error in Areas ▲",IF(AND(P223='G-1 All Habitats'!$X$3,Y223="Yes"),"Alternative Compensation ✓",IF(W223=0,0,IF(P223='G-1 All Habitats'!$X$3,"Unacceptable Loss ▲",Q223-U223-V223)))))),"Check Data ▲")</f>
        <v/>
      </c>
      <c r="Y223" s="72"/>
      <c r="Z223" s="80"/>
      <c r="AA223" s="81"/>
      <c r="AC223" s="75" t="str">
        <f>IF(P223="","",IF(P223='G-1 All Habitats'!$X$3,H223-S223-T223,"None"))</f>
        <v/>
      </c>
      <c r="AD223" s="76" t="str">
        <f>IFERROR(AC223*J223*L223*#REF!*O223,IF(P223="","","None"))</f>
        <v/>
      </c>
      <c r="AF223" s="54" t="str">
        <f t="shared" si="15"/>
        <v/>
      </c>
      <c r="AG223" s="54" t="str">
        <f t="shared" si="16"/>
        <v/>
      </c>
      <c r="AH223" s="54" t="str">
        <f>IF(I223="","",IF(#REF!&gt;0,TRUE,FALSE))</f>
        <v/>
      </c>
      <c r="AI223" s="54">
        <v>213</v>
      </c>
      <c r="AJ223" s="54"/>
      <c r="AK223" s="54" t="str">
        <f t="array" ref="AK223">IFERROR(INDEX($AI$11:$AI$259, MATCH(0, IF(TRUE=$AF$11:$AF$259, COUNTIF($AK$10:$AK222, $AI$11:$AI$259), ""), 0)),"")</f>
        <v/>
      </c>
      <c r="AL223" s="54" t="str">
        <f t="array" ref="AL223">IFERROR(INDEX($AI$11:$AI$259, MATCH(0, IF(TRUE=$AG$11:$AG$259, COUNTIF($AL$10:$AL222, $AI$11:$AI$259), ""), 0)),"")</f>
        <v/>
      </c>
      <c r="AM223" s="54" t="str">
        <f t="array" ref="AM223">IFERROR(INDEX($AI$11:$AI$259, MATCH(0, IF(TRUE=$AH$11:$AH$259, COUNTIF($AM$10:$AM222, $AI$11:$AI$259), ""), 0)),"")</f>
        <v/>
      </c>
      <c r="AN223" s="54"/>
      <c r="AQ223" s="47">
        <f t="shared" si="17"/>
        <v>0</v>
      </c>
    </row>
    <row r="224" spans="1:43" x14ac:dyDescent="0.3">
      <c r="A224" s="47" t="str">
        <f>IFERROR(INDEX('G-1 All Habitats'!$AG$3:$AG$15,MATCH(E224,'G-1 All Habitats'!$AF$3:$AF$15,0)),"")</f>
        <v/>
      </c>
      <c r="B224" s="47" t="str">
        <f>IFERROR(INDEX('G-8 Condition Look up'!$I$4:$I$130,MATCH(G224,'G-8 Condition Look up'!$A$4:$A$130,0)),"")</f>
        <v/>
      </c>
      <c r="D224" s="77">
        <v>214</v>
      </c>
      <c r="E224" s="78"/>
      <c r="F224" s="79"/>
      <c r="G224" s="69" t="str">
        <f>IFERROR(INDEX('G-1 All Habitats'!$B$3:$B$129,MATCH(F224,'G-1 All Habitats'!$A$3:$A$129,0)),"")</f>
        <v/>
      </c>
      <c r="H224" s="70"/>
      <c r="I224" s="498" t="str">
        <f>IF(G224="","",VLOOKUP(G224,'G-1 All Habitats'!$B$2:$M$129,10,FALSE))</f>
        <v/>
      </c>
      <c r="J224" s="499" t="str">
        <f>IFERROR(VLOOKUP(I224,'G-1 All Habitats'!$V$3:$W$7,2,FALSE),"")</f>
        <v/>
      </c>
      <c r="K224" s="71"/>
      <c r="L224" s="499" t="str">
        <f>IFERROR(INDEX('G-8 Condition Look up'!$A$3:$H$130,MATCH(G224,'G-8 Condition Look up'!$A$3:$A$130,0),MATCH(K224,'G-8 Condition Look up'!$A$3:$H$3,0)),"")</f>
        <v/>
      </c>
      <c r="M224" s="71"/>
      <c r="N224" s="520" t="str">
        <f>IF(M224="","",IF(VLOOKUP(M224,'G-3 Multipliers'!$L$3:$N$6,2,FALSE)=0,"Spatial Data Missing",VLOOKUP(M224,'G-3 Multipliers'!$L$3:$N$6,2,FALSE)))</f>
        <v/>
      </c>
      <c r="O224" s="505" t="str">
        <f>IF(M224="","",IF(VLOOKUP(M224,'G-3 Multipliers'!$L$3:$N$6,3,FALSE)=0,"Spatial Data Missing",VLOOKUP(M224,'G-3 Multipliers'!$L$3:$N$6,3,FALSE)))</f>
        <v/>
      </c>
      <c r="P224" s="506" t="str">
        <f>IFERROR(VLOOKUP(G224,'G-1 All Habitats'!$B$2:$M$129,12,FALSE),"")</f>
        <v/>
      </c>
      <c r="Q224" s="513" t="str">
        <f>IFERROR(IF(P224="","",IF(AND(P224='G-1 All Habitats'!$X$3,T224&gt;0),U224+V224,IF(AND(P224='G-1 All Habitats'!$X$3,S224&gt;0),U224+V224,IF(AND(P224='G-1 All Habitats'!$X$3,AC224&gt;0),"Any Loss Unacceptable ▲",IF(AND(P224='G-1 All Habitats'!$X$3,W224&gt;0),"Any Loss Unacceptable ▲",H224*J224*L224*O224))))),"Check Data ▲")</f>
        <v/>
      </c>
      <c r="R224" s="50"/>
      <c r="S224" s="71"/>
      <c r="T224" s="72"/>
      <c r="U224" s="511" t="str">
        <f t="shared" si="18"/>
        <v/>
      </c>
      <c r="V224" s="511" t="str">
        <f t="shared" si="19"/>
        <v/>
      </c>
      <c r="W224" s="511" t="str">
        <f>IF(E224="","",IF(H224&lt;S224+T224,"Error in Areas ▲",IF(P224&lt;&gt;'G-1 All Habitats'!$X$3,H224-S224-T224,IF(AND(P224='G-1 All Habitats'!$X$3,Y224="Yes"),"Unacceptable Loss",IF(AND(P224='G-1 All Habitats'!$X$3,Y224="No"),AC224,IF(AND(P224='G-1 All Habitats'!$X$3,Y224=""),AC224,IF(AND(P224='G-1 All Habitats'!$X$3,AC224="None",AC224),IF(AND(P224='G-1 All Habitats'!$X$3,AC224&gt;0),H224-S224-T224))))))))</f>
        <v/>
      </c>
      <c r="X224" s="515" t="str">
        <f>IFERROR(IF(H224="","",IF(H224-S224-T224=0&lt;0,"Error in Areas ▲",IF(S224+T224&gt;H224,"Error in Areas ▲",IF(AND(P224='G-1 All Habitats'!$X$3,Y224="Yes"),"Alternative Compensation ✓",IF(W224=0,0,IF(P224='G-1 All Habitats'!$X$3,"Unacceptable Loss ▲",Q224-U224-V224)))))),"Check Data ▲")</f>
        <v/>
      </c>
      <c r="Y224" s="72"/>
      <c r="Z224" s="80"/>
      <c r="AA224" s="81"/>
      <c r="AC224" s="75" t="str">
        <f>IF(P224="","",IF(P224='G-1 All Habitats'!$X$3,H224-S224-T224,"None"))</f>
        <v/>
      </c>
      <c r="AD224" s="76" t="str">
        <f>IFERROR(AC224*J224*L224*#REF!*O224,IF(P224="","","None"))</f>
        <v/>
      </c>
      <c r="AF224" s="54" t="str">
        <f t="shared" si="15"/>
        <v/>
      </c>
      <c r="AG224" s="54" t="str">
        <f t="shared" si="16"/>
        <v/>
      </c>
      <c r="AH224" s="54" t="str">
        <f>IF(I224="","",IF(#REF!&gt;0,TRUE,FALSE))</f>
        <v/>
      </c>
      <c r="AI224" s="54">
        <v>214</v>
      </c>
      <c r="AJ224" s="54"/>
      <c r="AK224" s="54" t="str">
        <f t="array" ref="AK224">IFERROR(INDEX($AI$11:$AI$259, MATCH(0, IF(TRUE=$AF$11:$AF$259, COUNTIF($AK$10:$AK223, $AI$11:$AI$259), ""), 0)),"")</f>
        <v/>
      </c>
      <c r="AL224" s="54" t="str">
        <f t="array" ref="AL224">IFERROR(INDEX($AI$11:$AI$259, MATCH(0, IF(TRUE=$AG$11:$AG$259, COUNTIF($AL$10:$AL223, $AI$11:$AI$259), ""), 0)),"")</f>
        <v/>
      </c>
      <c r="AM224" s="54" t="str">
        <f t="array" ref="AM224">IFERROR(INDEX($AI$11:$AI$259, MATCH(0, IF(TRUE=$AH$11:$AH$259, COUNTIF($AM$10:$AM223, $AI$11:$AI$259), ""), 0)),"")</f>
        <v/>
      </c>
      <c r="AN224" s="54"/>
      <c r="AQ224" s="47">
        <f t="shared" si="17"/>
        <v>0</v>
      </c>
    </row>
    <row r="225" spans="1:43" x14ac:dyDescent="0.3">
      <c r="A225" s="47" t="str">
        <f>IFERROR(INDEX('G-1 All Habitats'!$AG$3:$AG$15,MATCH(E225,'G-1 All Habitats'!$AF$3:$AF$15,0)),"")</f>
        <v/>
      </c>
      <c r="B225" s="47" t="str">
        <f>IFERROR(INDEX('G-8 Condition Look up'!$I$4:$I$130,MATCH(G225,'G-8 Condition Look up'!$A$4:$A$130,0)),"")</f>
        <v/>
      </c>
      <c r="D225" s="77">
        <v>215</v>
      </c>
      <c r="E225" s="78"/>
      <c r="F225" s="79"/>
      <c r="G225" s="69" t="str">
        <f>IFERROR(INDEX('G-1 All Habitats'!$B$3:$B$129,MATCH(F225,'G-1 All Habitats'!$A$3:$A$129,0)),"")</f>
        <v/>
      </c>
      <c r="H225" s="70"/>
      <c r="I225" s="498" t="str">
        <f>IF(G225="","",VLOOKUP(G225,'G-1 All Habitats'!$B$2:$M$129,10,FALSE))</f>
        <v/>
      </c>
      <c r="J225" s="499" t="str">
        <f>IFERROR(VLOOKUP(I225,'G-1 All Habitats'!$V$3:$W$7,2,FALSE),"")</f>
        <v/>
      </c>
      <c r="K225" s="71"/>
      <c r="L225" s="499" t="str">
        <f>IFERROR(INDEX('G-8 Condition Look up'!$A$3:$H$130,MATCH(G225,'G-8 Condition Look up'!$A$3:$A$130,0),MATCH(K225,'G-8 Condition Look up'!$A$3:$H$3,0)),"")</f>
        <v/>
      </c>
      <c r="M225" s="71"/>
      <c r="N225" s="520" t="str">
        <f>IF(M225="","",IF(VLOOKUP(M225,'G-3 Multipliers'!$L$3:$N$6,2,FALSE)=0,"Spatial Data Missing",VLOOKUP(M225,'G-3 Multipliers'!$L$3:$N$6,2,FALSE)))</f>
        <v/>
      </c>
      <c r="O225" s="505" t="str">
        <f>IF(M225="","",IF(VLOOKUP(M225,'G-3 Multipliers'!$L$3:$N$6,3,FALSE)=0,"Spatial Data Missing",VLOOKUP(M225,'G-3 Multipliers'!$L$3:$N$6,3,FALSE)))</f>
        <v/>
      </c>
      <c r="P225" s="506" t="str">
        <f>IFERROR(VLOOKUP(G225,'G-1 All Habitats'!$B$2:$M$129,12,FALSE),"")</f>
        <v/>
      </c>
      <c r="Q225" s="513" t="str">
        <f>IFERROR(IF(P225="","",IF(AND(P225='G-1 All Habitats'!$X$3,T225&gt;0),U225+V225,IF(AND(P225='G-1 All Habitats'!$X$3,S225&gt;0),U225+V225,IF(AND(P225='G-1 All Habitats'!$X$3,AC225&gt;0),"Any Loss Unacceptable ▲",IF(AND(P225='G-1 All Habitats'!$X$3,W225&gt;0),"Any Loss Unacceptable ▲",H225*J225*L225*O225))))),"Check Data ▲")</f>
        <v/>
      </c>
      <c r="R225" s="50"/>
      <c r="S225" s="71"/>
      <c r="T225" s="72"/>
      <c r="U225" s="511" t="str">
        <f t="shared" si="18"/>
        <v/>
      </c>
      <c r="V225" s="511" t="str">
        <f t="shared" si="19"/>
        <v/>
      </c>
      <c r="W225" s="511" t="str">
        <f>IF(E225="","",IF(H225&lt;S225+T225,"Error in Areas ▲",IF(P225&lt;&gt;'G-1 All Habitats'!$X$3,H225-S225-T225,IF(AND(P225='G-1 All Habitats'!$X$3,Y225="Yes"),"Unacceptable Loss",IF(AND(P225='G-1 All Habitats'!$X$3,Y225="No"),AC225,IF(AND(P225='G-1 All Habitats'!$X$3,Y225=""),AC225,IF(AND(P225='G-1 All Habitats'!$X$3,AC225="None",AC225),IF(AND(P225='G-1 All Habitats'!$X$3,AC225&gt;0),H225-S225-T225))))))))</f>
        <v/>
      </c>
      <c r="X225" s="515" t="str">
        <f>IFERROR(IF(H225="","",IF(H225-S225-T225=0&lt;0,"Error in Areas ▲",IF(S225+T225&gt;H225,"Error in Areas ▲",IF(AND(P225='G-1 All Habitats'!$X$3,Y225="Yes"),"Alternative Compensation ✓",IF(W225=0,0,IF(P225='G-1 All Habitats'!$X$3,"Unacceptable Loss ▲",Q225-U225-V225)))))),"Check Data ▲")</f>
        <v/>
      </c>
      <c r="Y225" s="72"/>
      <c r="Z225" s="80"/>
      <c r="AA225" s="81"/>
      <c r="AC225" s="75" t="str">
        <f>IF(P225="","",IF(P225='G-1 All Habitats'!$X$3,H225-S225-T225,"None"))</f>
        <v/>
      </c>
      <c r="AD225" s="76" t="str">
        <f>IFERROR(AC225*J225*L225*#REF!*O225,IF(P225="","","None"))</f>
        <v/>
      </c>
      <c r="AF225" s="54" t="str">
        <f t="shared" si="15"/>
        <v/>
      </c>
      <c r="AG225" s="54" t="str">
        <f t="shared" si="16"/>
        <v/>
      </c>
      <c r="AH225" s="54" t="str">
        <f>IF(I225="","",IF(#REF!&gt;0,TRUE,FALSE))</f>
        <v/>
      </c>
      <c r="AI225" s="54">
        <v>215</v>
      </c>
      <c r="AJ225" s="54"/>
      <c r="AK225" s="54" t="str">
        <f t="array" ref="AK225">IFERROR(INDEX($AI$11:$AI$259, MATCH(0, IF(TRUE=$AF$11:$AF$259, COUNTIF($AK$10:$AK224, $AI$11:$AI$259), ""), 0)),"")</f>
        <v/>
      </c>
      <c r="AL225" s="54" t="str">
        <f t="array" ref="AL225">IFERROR(INDEX($AI$11:$AI$259, MATCH(0, IF(TRUE=$AG$11:$AG$259, COUNTIF($AL$10:$AL224, $AI$11:$AI$259), ""), 0)),"")</f>
        <v/>
      </c>
      <c r="AM225" s="54" t="str">
        <f t="array" ref="AM225">IFERROR(INDEX($AI$11:$AI$259, MATCH(0, IF(TRUE=$AH$11:$AH$259, COUNTIF($AM$10:$AM224, $AI$11:$AI$259), ""), 0)),"")</f>
        <v/>
      </c>
      <c r="AN225" s="54"/>
      <c r="AQ225" s="47">
        <f t="shared" si="17"/>
        <v>0</v>
      </c>
    </row>
    <row r="226" spans="1:43" x14ac:dyDescent="0.3">
      <c r="A226" s="47" t="str">
        <f>IFERROR(INDEX('G-1 All Habitats'!$AG$3:$AG$15,MATCH(E226,'G-1 All Habitats'!$AF$3:$AF$15,0)),"")</f>
        <v/>
      </c>
      <c r="B226" s="47" t="str">
        <f>IFERROR(INDEX('G-8 Condition Look up'!$I$4:$I$130,MATCH(G226,'G-8 Condition Look up'!$A$4:$A$130,0)),"")</f>
        <v/>
      </c>
      <c r="D226" s="77">
        <v>216</v>
      </c>
      <c r="E226" s="78"/>
      <c r="F226" s="79"/>
      <c r="G226" s="69" t="str">
        <f>IFERROR(INDEX('G-1 All Habitats'!$B$3:$B$129,MATCH(F226,'G-1 All Habitats'!$A$3:$A$129,0)),"")</f>
        <v/>
      </c>
      <c r="H226" s="70"/>
      <c r="I226" s="498" t="str">
        <f>IF(G226="","",VLOOKUP(G226,'G-1 All Habitats'!$B$2:$M$129,10,FALSE))</f>
        <v/>
      </c>
      <c r="J226" s="499" t="str">
        <f>IFERROR(VLOOKUP(I226,'G-1 All Habitats'!$V$3:$W$7,2,FALSE),"")</f>
        <v/>
      </c>
      <c r="K226" s="71"/>
      <c r="L226" s="499" t="str">
        <f>IFERROR(INDEX('G-8 Condition Look up'!$A$3:$H$130,MATCH(G226,'G-8 Condition Look up'!$A$3:$A$130,0),MATCH(K226,'G-8 Condition Look up'!$A$3:$H$3,0)),"")</f>
        <v/>
      </c>
      <c r="M226" s="71"/>
      <c r="N226" s="520" t="str">
        <f>IF(M226="","",IF(VLOOKUP(M226,'G-3 Multipliers'!$L$3:$N$6,2,FALSE)=0,"Spatial Data Missing",VLOOKUP(M226,'G-3 Multipliers'!$L$3:$N$6,2,FALSE)))</f>
        <v/>
      </c>
      <c r="O226" s="505" t="str">
        <f>IF(M226="","",IF(VLOOKUP(M226,'G-3 Multipliers'!$L$3:$N$6,3,FALSE)=0,"Spatial Data Missing",VLOOKUP(M226,'G-3 Multipliers'!$L$3:$N$6,3,FALSE)))</f>
        <v/>
      </c>
      <c r="P226" s="506" t="str">
        <f>IFERROR(VLOOKUP(G226,'G-1 All Habitats'!$B$2:$M$129,12,FALSE),"")</f>
        <v/>
      </c>
      <c r="Q226" s="513" t="str">
        <f>IFERROR(IF(P226="","",IF(AND(P226='G-1 All Habitats'!$X$3,T226&gt;0),U226+V226,IF(AND(P226='G-1 All Habitats'!$X$3,S226&gt;0),U226+V226,IF(AND(P226='G-1 All Habitats'!$X$3,AC226&gt;0),"Any Loss Unacceptable ▲",IF(AND(P226='G-1 All Habitats'!$X$3,W226&gt;0),"Any Loss Unacceptable ▲",H226*J226*L226*O226))))),"Check Data ▲")</f>
        <v/>
      </c>
      <c r="R226" s="50"/>
      <c r="S226" s="71"/>
      <c r="T226" s="72"/>
      <c r="U226" s="511" t="str">
        <f t="shared" si="18"/>
        <v/>
      </c>
      <c r="V226" s="511" t="str">
        <f t="shared" si="19"/>
        <v/>
      </c>
      <c r="W226" s="511" t="str">
        <f>IF(E226="","",IF(H226&lt;S226+T226,"Error in Areas ▲",IF(P226&lt;&gt;'G-1 All Habitats'!$X$3,H226-S226-T226,IF(AND(P226='G-1 All Habitats'!$X$3,Y226="Yes"),"Unacceptable Loss",IF(AND(P226='G-1 All Habitats'!$X$3,Y226="No"),AC226,IF(AND(P226='G-1 All Habitats'!$X$3,Y226=""),AC226,IF(AND(P226='G-1 All Habitats'!$X$3,AC226="None",AC226),IF(AND(P226='G-1 All Habitats'!$X$3,AC226&gt;0),H226-S226-T226))))))))</f>
        <v/>
      </c>
      <c r="X226" s="515" t="str">
        <f>IFERROR(IF(H226="","",IF(H226-S226-T226=0&lt;0,"Error in Areas ▲",IF(S226+T226&gt;H226,"Error in Areas ▲",IF(AND(P226='G-1 All Habitats'!$X$3,Y226="Yes"),"Alternative Compensation ✓",IF(W226=0,0,IF(P226='G-1 All Habitats'!$X$3,"Unacceptable Loss ▲",Q226-U226-V226)))))),"Check Data ▲")</f>
        <v/>
      </c>
      <c r="Y226" s="72"/>
      <c r="Z226" s="80"/>
      <c r="AA226" s="81"/>
      <c r="AC226" s="75" t="str">
        <f>IF(P226="","",IF(P226='G-1 All Habitats'!$X$3,H226-S226-T226,"None"))</f>
        <v/>
      </c>
      <c r="AD226" s="76" t="str">
        <f>IFERROR(AC226*J226*L226*#REF!*O226,IF(P226="","","None"))</f>
        <v/>
      </c>
      <c r="AF226" s="54" t="str">
        <f t="shared" si="15"/>
        <v/>
      </c>
      <c r="AG226" s="54" t="str">
        <f t="shared" si="16"/>
        <v/>
      </c>
      <c r="AH226" s="54" t="str">
        <f>IF(I226="","",IF(#REF!&gt;0,TRUE,FALSE))</f>
        <v/>
      </c>
      <c r="AI226" s="54">
        <v>216</v>
      </c>
      <c r="AJ226" s="54"/>
      <c r="AK226" s="54" t="str">
        <f t="array" ref="AK226">IFERROR(INDEX($AI$11:$AI$259, MATCH(0, IF(TRUE=$AF$11:$AF$259, COUNTIF($AK$10:$AK225, $AI$11:$AI$259), ""), 0)),"")</f>
        <v/>
      </c>
      <c r="AL226" s="54" t="str">
        <f t="array" ref="AL226">IFERROR(INDEX($AI$11:$AI$259, MATCH(0, IF(TRUE=$AG$11:$AG$259, COUNTIF($AL$10:$AL225, $AI$11:$AI$259), ""), 0)),"")</f>
        <v/>
      </c>
      <c r="AM226" s="54" t="str">
        <f t="array" ref="AM226">IFERROR(INDEX($AI$11:$AI$259, MATCH(0, IF(TRUE=$AH$11:$AH$259, COUNTIF($AM$10:$AM225, $AI$11:$AI$259), ""), 0)),"")</f>
        <v/>
      </c>
      <c r="AN226" s="54"/>
      <c r="AQ226" s="47">
        <f t="shared" si="17"/>
        <v>0</v>
      </c>
    </row>
    <row r="227" spans="1:43" x14ac:dyDescent="0.3">
      <c r="A227" s="47" t="str">
        <f>IFERROR(INDEX('G-1 All Habitats'!$AG$3:$AG$15,MATCH(E227,'G-1 All Habitats'!$AF$3:$AF$15,0)),"")</f>
        <v/>
      </c>
      <c r="B227" s="47" t="str">
        <f>IFERROR(INDEX('G-8 Condition Look up'!$I$4:$I$130,MATCH(G227,'G-8 Condition Look up'!$A$4:$A$130,0)),"")</f>
        <v/>
      </c>
      <c r="D227" s="77">
        <v>217</v>
      </c>
      <c r="E227" s="78"/>
      <c r="F227" s="79"/>
      <c r="G227" s="69" t="str">
        <f>IFERROR(INDEX('G-1 All Habitats'!$B$3:$B$129,MATCH(F227,'G-1 All Habitats'!$A$3:$A$129,0)),"")</f>
        <v/>
      </c>
      <c r="H227" s="70"/>
      <c r="I227" s="498" t="str">
        <f>IF(G227="","",VLOOKUP(G227,'G-1 All Habitats'!$B$2:$M$129,10,FALSE))</f>
        <v/>
      </c>
      <c r="J227" s="499" t="str">
        <f>IFERROR(VLOOKUP(I227,'G-1 All Habitats'!$V$3:$W$7,2,FALSE),"")</f>
        <v/>
      </c>
      <c r="K227" s="71"/>
      <c r="L227" s="499" t="str">
        <f>IFERROR(INDEX('G-8 Condition Look up'!$A$3:$H$130,MATCH(G227,'G-8 Condition Look up'!$A$3:$A$130,0),MATCH(K227,'G-8 Condition Look up'!$A$3:$H$3,0)),"")</f>
        <v/>
      </c>
      <c r="M227" s="71"/>
      <c r="N227" s="520" t="str">
        <f>IF(M227="","",IF(VLOOKUP(M227,'G-3 Multipliers'!$L$3:$N$6,2,FALSE)=0,"Spatial Data Missing",VLOOKUP(M227,'G-3 Multipliers'!$L$3:$N$6,2,FALSE)))</f>
        <v/>
      </c>
      <c r="O227" s="505" t="str">
        <f>IF(M227="","",IF(VLOOKUP(M227,'G-3 Multipliers'!$L$3:$N$6,3,FALSE)=0,"Spatial Data Missing",VLOOKUP(M227,'G-3 Multipliers'!$L$3:$N$6,3,FALSE)))</f>
        <v/>
      </c>
      <c r="P227" s="506" t="str">
        <f>IFERROR(VLOOKUP(G227,'G-1 All Habitats'!$B$2:$M$129,12,FALSE),"")</f>
        <v/>
      </c>
      <c r="Q227" s="513" t="str">
        <f>IFERROR(IF(P227="","",IF(AND(P227='G-1 All Habitats'!$X$3,T227&gt;0),U227+V227,IF(AND(P227='G-1 All Habitats'!$X$3,S227&gt;0),U227+V227,IF(AND(P227='G-1 All Habitats'!$X$3,AC227&gt;0),"Any Loss Unacceptable ▲",IF(AND(P227='G-1 All Habitats'!$X$3,W227&gt;0),"Any Loss Unacceptable ▲",H227*J227*L227*O227))))),"Check Data ▲")</f>
        <v/>
      </c>
      <c r="R227" s="50"/>
      <c r="S227" s="71"/>
      <c r="T227" s="72"/>
      <c r="U227" s="511" t="str">
        <f t="shared" si="18"/>
        <v/>
      </c>
      <c r="V227" s="511" t="str">
        <f t="shared" si="19"/>
        <v/>
      </c>
      <c r="W227" s="511" t="str">
        <f>IF(E227="","",IF(H227&lt;S227+T227,"Error in Areas ▲",IF(P227&lt;&gt;'G-1 All Habitats'!$X$3,H227-S227-T227,IF(AND(P227='G-1 All Habitats'!$X$3,Y227="Yes"),"Unacceptable Loss",IF(AND(P227='G-1 All Habitats'!$X$3,Y227="No"),AC227,IF(AND(P227='G-1 All Habitats'!$X$3,Y227=""),AC227,IF(AND(P227='G-1 All Habitats'!$X$3,AC227="None",AC227),IF(AND(P227='G-1 All Habitats'!$X$3,AC227&gt;0),H227-S227-T227))))))))</f>
        <v/>
      </c>
      <c r="X227" s="515" t="str">
        <f>IFERROR(IF(H227="","",IF(H227-S227-T227=0&lt;0,"Error in Areas ▲",IF(S227+T227&gt;H227,"Error in Areas ▲",IF(AND(P227='G-1 All Habitats'!$X$3,Y227="Yes"),"Alternative Compensation ✓",IF(W227=0,0,IF(P227='G-1 All Habitats'!$X$3,"Unacceptable Loss ▲",Q227-U227-V227)))))),"Check Data ▲")</f>
        <v/>
      </c>
      <c r="Y227" s="72"/>
      <c r="Z227" s="80"/>
      <c r="AA227" s="81"/>
      <c r="AC227" s="75" t="str">
        <f>IF(P227="","",IF(P227='G-1 All Habitats'!$X$3,H227-S227-T227,"None"))</f>
        <v/>
      </c>
      <c r="AD227" s="76" t="str">
        <f>IFERROR(AC227*J227*L227*#REF!*O227,IF(P227="","","None"))</f>
        <v/>
      </c>
      <c r="AF227" s="54" t="str">
        <f t="shared" si="15"/>
        <v/>
      </c>
      <c r="AG227" s="54" t="str">
        <f t="shared" si="16"/>
        <v/>
      </c>
      <c r="AH227" s="54" t="str">
        <f>IF(I227="","",IF(#REF!&gt;0,TRUE,FALSE))</f>
        <v/>
      </c>
      <c r="AI227" s="54">
        <v>217</v>
      </c>
      <c r="AJ227" s="54"/>
      <c r="AK227" s="54" t="str">
        <f t="array" ref="AK227">IFERROR(INDEX($AI$11:$AI$259, MATCH(0, IF(TRUE=$AF$11:$AF$259, COUNTIF($AK$10:$AK226, $AI$11:$AI$259), ""), 0)),"")</f>
        <v/>
      </c>
      <c r="AL227" s="54" t="str">
        <f t="array" ref="AL227">IFERROR(INDEX($AI$11:$AI$259, MATCH(0, IF(TRUE=$AG$11:$AG$259, COUNTIF($AL$10:$AL226, $AI$11:$AI$259), ""), 0)),"")</f>
        <v/>
      </c>
      <c r="AM227" s="54" t="str">
        <f t="array" ref="AM227">IFERROR(INDEX($AI$11:$AI$259, MATCH(0, IF(TRUE=$AH$11:$AH$259, COUNTIF($AM$10:$AM226, $AI$11:$AI$259), ""), 0)),"")</f>
        <v/>
      </c>
      <c r="AN227" s="54"/>
      <c r="AQ227" s="47">
        <f t="shared" si="17"/>
        <v>0</v>
      </c>
    </row>
    <row r="228" spans="1:43" x14ac:dyDescent="0.3">
      <c r="A228" s="47" t="str">
        <f>IFERROR(INDEX('G-1 All Habitats'!$AG$3:$AG$15,MATCH(E228,'G-1 All Habitats'!$AF$3:$AF$15,0)),"")</f>
        <v/>
      </c>
      <c r="B228" s="47" t="str">
        <f>IFERROR(INDEX('G-8 Condition Look up'!$I$4:$I$130,MATCH(G228,'G-8 Condition Look up'!$A$4:$A$130,0)),"")</f>
        <v/>
      </c>
      <c r="D228" s="77">
        <v>218</v>
      </c>
      <c r="E228" s="78"/>
      <c r="F228" s="79"/>
      <c r="G228" s="69" t="str">
        <f>IFERROR(INDEX('G-1 All Habitats'!$B$3:$B$129,MATCH(F228,'G-1 All Habitats'!$A$3:$A$129,0)),"")</f>
        <v/>
      </c>
      <c r="H228" s="70"/>
      <c r="I228" s="498" t="str">
        <f>IF(G228="","",VLOOKUP(G228,'G-1 All Habitats'!$B$2:$M$129,10,FALSE))</f>
        <v/>
      </c>
      <c r="J228" s="499" t="str">
        <f>IFERROR(VLOOKUP(I228,'G-1 All Habitats'!$V$3:$W$7,2,FALSE),"")</f>
        <v/>
      </c>
      <c r="K228" s="71"/>
      <c r="L228" s="499" t="str">
        <f>IFERROR(INDEX('G-8 Condition Look up'!$A$3:$H$130,MATCH(G228,'G-8 Condition Look up'!$A$3:$A$130,0),MATCH(K228,'G-8 Condition Look up'!$A$3:$H$3,0)),"")</f>
        <v/>
      </c>
      <c r="M228" s="71"/>
      <c r="N228" s="520" t="str">
        <f>IF(M228="","",IF(VLOOKUP(M228,'G-3 Multipliers'!$L$3:$N$6,2,FALSE)=0,"Spatial Data Missing",VLOOKUP(M228,'G-3 Multipliers'!$L$3:$N$6,2,FALSE)))</f>
        <v/>
      </c>
      <c r="O228" s="505" t="str">
        <f>IF(M228="","",IF(VLOOKUP(M228,'G-3 Multipliers'!$L$3:$N$6,3,FALSE)=0,"Spatial Data Missing",VLOOKUP(M228,'G-3 Multipliers'!$L$3:$N$6,3,FALSE)))</f>
        <v/>
      </c>
      <c r="P228" s="506" t="str">
        <f>IFERROR(VLOOKUP(G228,'G-1 All Habitats'!$B$2:$M$129,12,FALSE),"")</f>
        <v/>
      </c>
      <c r="Q228" s="513" t="str">
        <f>IFERROR(IF(P228="","",IF(AND(P228='G-1 All Habitats'!$X$3,T228&gt;0),U228+V228,IF(AND(P228='G-1 All Habitats'!$X$3,S228&gt;0),U228+V228,IF(AND(P228='G-1 All Habitats'!$X$3,AC228&gt;0),"Any Loss Unacceptable ▲",IF(AND(P228='G-1 All Habitats'!$X$3,W228&gt;0),"Any Loss Unacceptable ▲",H228*J228*L228*O228))))),"Check Data ▲")</f>
        <v/>
      </c>
      <c r="R228" s="50"/>
      <c r="S228" s="71"/>
      <c r="T228" s="72"/>
      <c r="U228" s="511" t="str">
        <f t="shared" si="18"/>
        <v/>
      </c>
      <c r="V228" s="511" t="str">
        <f t="shared" si="19"/>
        <v/>
      </c>
      <c r="W228" s="511" t="str">
        <f>IF(E228="","",IF(H228&lt;S228+T228,"Error in Areas ▲",IF(P228&lt;&gt;'G-1 All Habitats'!$X$3,H228-S228-T228,IF(AND(P228='G-1 All Habitats'!$X$3,Y228="Yes"),"Unacceptable Loss",IF(AND(P228='G-1 All Habitats'!$X$3,Y228="No"),AC228,IF(AND(P228='G-1 All Habitats'!$X$3,Y228=""),AC228,IF(AND(P228='G-1 All Habitats'!$X$3,AC228="None",AC228),IF(AND(P228='G-1 All Habitats'!$X$3,AC228&gt;0),H228-S228-T228))))))))</f>
        <v/>
      </c>
      <c r="X228" s="515" t="str">
        <f>IFERROR(IF(H228="","",IF(H228-S228-T228=0&lt;0,"Error in Areas ▲",IF(S228+T228&gt;H228,"Error in Areas ▲",IF(AND(P228='G-1 All Habitats'!$X$3,Y228="Yes"),"Alternative Compensation ✓",IF(W228=0,0,IF(P228='G-1 All Habitats'!$X$3,"Unacceptable Loss ▲",Q228-U228-V228)))))),"Check Data ▲")</f>
        <v/>
      </c>
      <c r="Y228" s="72"/>
      <c r="Z228" s="80"/>
      <c r="AA228" s="81"/>
      <c r="AC228" s="75" t="str">
        <f>IF(P228="","",IF(P228='G-1 All Habitats'!$X$3,H228-S228-T228,"None"))</f>
        <v/>
      </c>
      <c r="AD228" s="76" t="str">
        <f>IFERROR(AC228*J228*L228*#REF!*O228,IF(P228="","","None"))</f>
        <v/>
      </c>
      <c r="AF228" s="54" t="str">
        <f t="shared" si="15"/>
        <v/>
      </c>
      <c r="AG228" s="54" t="str">
        <f t="shared" si="16"/>
        <v/>
      </c>
      <c r="AH228" s="54" t="str">
        <f>IF(I228="","",IF(#REF!&gt;0,TRUE,FALSE))</f>
        <v/>
      </c>
      <c r="AI228" s="54">
        <v>218</v>
      </c>
      <c r="AJ228" s="54"/>
      <c r="AK228" s="54" t="str">
        <f t="array" ref="AK228">IFERROR(INDEX($AI$11:$AI$259, MATCH(0, IF(TRUE=$AF$11:$AF$259, COUNTIF($AK$10:$AK227, $AI$11:$AI$259), ""), 0)),"")</f>
        <v/>
      </c>
      <c r="AL228" s="54" t="str">
        <f t="array" ref="AL228">IFERROR(INDEX($AI$11:$AI$259, MATCH(0, IF(TRUE=$AG$11:$AG$259, COUNTIF($AL$10:$AL227, $AI$11:$AI$259), ""), 0)),"")</f>
        <v/>
      </c>
      <c r="AM228" s="54" t="str">
        <f t="array" ref="AM228">IFERROR(INDEX($AI$11:$AI$259, MATCH(0, IF(TRUE=$AH$11:$AH$259, COUNTIF($AM$10:$AM227, $AI$11:$AI$259), ""), 0)),"")</f>
        <v/>
      </c>
      <c r="AN228" s="54"/>
      <c r="AQ228" s="47">
        <f t="shared" si="17"/>
        <v>0</v>
      </c>
    </row>
    <row r="229" spans="1:43" x14ac:dyDescent="0.3">
      <c r="A229" s="47" t="str">
        <f>IFERROR(INDEX('G-1 All Habitats'!$AG$3:$AG$15,MATCH(E229,'G-1 All Habitats'!$AF$3:$AF$15,0)),"")</f>
        <v/>
      </c>
      <c r="B229" s="47" t="str">
        <f>IFERROR(INDEX('G-8 Condition Look up'!$I$4:$I$130,MATCH(G229,'G-8 Condition Look up'!$A$4:$A$130,0)),"")</f>
        <v/>
      </c>
      <c r="D229" s="77">
        <v>219</v>
      </c>
      <c r="E229" s="78"/>
      <c r="F229" s="79"/>
      <c r="G229" s="69" t="str">
        <f>IFERROR(INDEX('G-1 All Habitats'!$B$3:$B$129,MATCH(F229,'G-1 All Habitats'!$A$3:$A$129,0)),"")</f>
        <v/>
      </c>
      <c r="H229" s="70"/>
      <c r="I229" s="498" t="str">
        <f>IF(G229="","",VLOOKUP(G229,'G-1 All Habitats'!$B$2:$M$129,10,FALSE))</f>
        <v/>
      </c>
      <c r="J229" s="499" t="str">
        <f>IFERROR(VLOOKUP(I229,'G-1 All Habitats'!$V$3:$W$7,2,FALSE),"")</f>
        <v/>
      </c>
      <c r="K229" s="71"/>
      <c r="L229" s="499" t="str">
        <f>IFERROR(INDEX('G-8 Condition Look up'!$A$3:$H$130,MATCH(G229,'G-8 Condition Look up'!$A$3:$A$130,0),MATCH(K229,'G-8 Condition Look up'!$A$3:$H$3,0)),"")</f>
        <v/>
      </c>
      <c r="M229" s="71"/>
      <c r="N229" s="520" t="str">
        <f>IF(M229="","",IF(VLOOKUP(M229,'G-3 Multipliers'!$L$3:$N$6,2,FALSE)=0,"Spatial Data Missing",VLOOKUP(M229,'G-3 Multipliers'!$L$3:$N$6,2,FALSE)))</f>
        <v/>
      </c>
      <c r="O229" s="505" t="str">
        <f>IF(M229="","",IF(VLOOKUP(M229,'G-3 Multipliers'!$L$3:$N$6,3,FALSE)=0,"Spatial Data Missing",VLOOKUP(M229,'G-3 Multipliers'!$L$3:$N$6,3,FALSE)))</f>
        <v/>
      </c>
      <c r="P229" s="506" t="str">
        <f>IFERROR(VLOOKUP(G229,'G-1 All Habitats'!$B$2:$M$129,12,FALSE),"")</f>
        <v/>
      </c>
      <c r="Q229" s="513" t="str">
        <f>IFERROR(IF(P229="","",IF(AND(P229='G-1 All Habitats'!$X$3,T229&gt;0),U229+V229,IF(AND(P229='G-1 All Habitats'!$X$3,S229&gt;0),U229+V229,IF(AND(P229='G-1 All Habitats'!$X$3,AC229&gt;0),"Any Loss Unacceptable ▲",IF(AND(P229='G-1 All Habitats'!$X$3,W229&gt;0),"Any Loss Unacceptable ▲",H229*J229*L229*O229))))),"Check Data ▲")</f>
        <v/>
      </c>
      <c r="R229" s="50"/>
      <c r="S229" s="71"/>
      <c r="T229" s="72"/>
      <c r="U229" s="511" t="str">
        <f t="shared" si="18"/>
        <v/>
      </c>
      <c r="V229" s="511" t="str">
        <f t="shared" si="19"/>
        <v/>
      </c>
      <c r="W229" s="511" t="str">
        <f>IF(E229="","",IF(H229&lt;S229+T229,"Error in Areas ▲",IF(P229&lt;&gt;'G-1 All Habitats'!$X$3,H229-S229-T229,IF(AND(P229='G-1 All Habitats'!$X$3,Y229="Yes"),"Unacceptable Loss",IF(AND(P229='G-1 All Habitats'!$X$3,Y229="No"),AC229,IF(AND(P229='G-1 All Habitats'!$X$3,Y229=""),AC229,IF(AND(P229='G-1 All Habitats'!$X$3,AC229="None",AC229),IF(AND(P229='G-1 All Habitats'!$X$3,AC229&gt;0),H229-S229-T229))))))))</f>
        <v/>
      </c>
      <c r="X229" s="515" t="str">
        <f>IFERROR(IF(H229="","",IF(H229-S229-T229=0&lt;0,"Error in Areas ▲",IF(S229+T229&gt;H229,"Error in Areas ▲",IF(AND(P229='G-1 All Habitats'!$X$3,Y229="Yes"),"Alternative Compensation ✓",IF(W229=0,0,IF(P229='G-1 All Habitats'!$X$3,"Unacceptable Loss ▲",Q229-U229-V229)))))),"Check Data ▲")</f>
        <v/>
      </c>
      <c r="Y229" s="72"/>
      <c r="Z229" s="80"/>
      <c r="AA229" s="81"/>
      <c r="AC229" s="75" t="str">
        <f>IF(P229="","",IF(P229='G-1 All Habitats'!$X$3,H229-S229-T229,"None"))</f>
        <v/>
      </c>
      <c r="AD229" s="76" t="str">
        <f>IFERROR(AC229*J229*L229*#REF!*O229,IF(P229="","","None"))</f>
        <v/>
      </c>
      <c r="AF229" s="54" t="str">
        <f t="shared" si="15"/>
        <v/>
      </c>
      <c r="AG229" s="54" t="str">
        <f t="shared" si="16"/>
        <v/>
      </c>
      <c r="AH229" s="54" t="str">
        <f>IF(I229="","",IF(#REF!&gt;0,TRUE,FALSE))</f>
        <v/>
      </c>
      <c r="AI229" s="54">
        <v>219</v>
      </c>
      <c r="AJ229" s="54"/>
      <c r="AK229" s="54" t="str">
        <f t="array" ref="AK229">IFERROR(INDEX($AI$11:$AI$259, MATCH(0, IF(TRUE=$AF$11:$AF$259, COUNTIF($AK$10:$AK228, $AI$11:$AI$259), ""), 0)),"")</f>
        <v/>
      </c>
      <c r="AL229" s="54" t="str">
        <f t="array" ref="AL229">IFERROR(INDEX($AI$11:$AI$259, MATCH(0, IF(TRUE=$AG$11:$AG$259, COUNTIF($AL$10:$AL228, $AI$11:$AI$259), ""), 0)),"")</f>
        <v/>
      </c>
      <c r="AM229" s="54" t="str">
        <f t="array" ref="AM229">IFERROR(INDEX($AI$11:$AI$259, MATCH(0, IF(TRUE=$AH$11:$AH$259, COUNTIF($AM$10:$AM228, $AI$11:$AI$259), ""), 0)),"")</f>
        <v/>
      </c>
      <c r="AN229" s="54"/>
      <c r="AQ229" s="47">
        <f t="shared" si="17"/>
        <v>0</v>
      </c>
    </row>
    <row r="230" spans="1:43" x14ac:dyDescent="0.3">
      <c r="A230" s="47" t="str">
        <f>IFERROR(INDEX('G-1 All Habitats'!$AG$3:$AG$15,MATCH(E230,'G-1 All Habitats'!$AF$3:$AF$15,0)),"")</f>
        <v/>
      </c>
      <c r="B230" s="47" t="str">
        <f>IFERROR(INDEX('G-8 Condition Look up'!$I$4:$I$130,MATCH(G230,'G-8 Condition Look up'!$A$4:$A$130,0)),"")</f>
        <v/>
      </c>
      <c r="D230" s="77">
        <v>220</v>
      </c>
      <c r="E230" s="78"/>
      <c r="F230" s="79"/>
      <c r="G230" s="69" t="str">
        <f>IFERROR(INDEX('G-1 All Habitats'!$B$3:$B$129,MATCH(F230,'G-1 All Habitats'!$A$3:$A$129,0)),"")</f>
        <v/>
      </c>
      <c r="H230" s="70"/>
      <c r="I230" s="498" t="str">
        <f>IF(G230="","",VLOOKUP(G230,'G-1 All Habitats'!$B$2:$M$129,10,FALSE))</f>
        <v/>
      </c>
      <c r="J230" s="499" t="str">
        <f>IFERROR(VLOOKUP(I230,'G-1 All Habitats'!$V$3:$W$7,2,FALSE),"")</f>
        <v/>
      </c>
      <c r="K230" s="71"/>
      <c r="L230" s="499" t="str">
        <f>IFERROR(INDEX('G-8 Condition Look up'!$A$3:$H$130,MATCH(G230,'G-8 Condition Look up'!$A$3:$A$130,0),MATCH(K230,'G-8 Condition Look up'!$A$3:$H$3,0)),"")</f>
        <v/>
      </c>
      <c r="M230" s="71"/>
      <c r="N230" s="520" t="str">
        <f>IF(M230="","",IF(VLOOKUP(M230,'G-3 Multipliers'!$L$3:$N$6,2,FALSE)=0,"Spatial Data Missing",VLOOKUP(M230,'G-3 Multipliers'!$L$3:$N$6,2,FALSE)))</f>
        <v/>
      </c>
      <c r="O230" s="505" t="str">
        <f>IF(M230="","",IF(VLOOKUP(M230,'G-3 Multipliers'!$L$3:$N$6,3,FALSE)=0,"Spatial Data Missing",VLOOKUP(M230,'G-3 Multipliers'!$L$3:$N$6,3,FALSE)))</f>
        <v/>
      </c>
      <c r="P230" s="506" t="str">
        <f>IFERROR(VLOOKUP(G230,'G-1 All Habitats'!$B$2:$M$129,12,FALSE),"")</f>
        <v/>
      </c>
      <c r="Q230" s="513" t="str">
        <f>IFERROR(IF(P230="","",IF(AND(P230='G-1 All Habitats'!$X$3,T230&gt;0),U230+V230,IF(AND(P230='G-1 All Habitats'!$X$3,S230&gt;0),U230+V230,IF(AND(P230='G-1 All Habitats'!$X$3,AC230&gt;0),"Any Loss Unacceptable ▲",IF(AND(P230='G-1 All Habitats'!$X$3,W230&gt;0),"Any Loss Unacceptable ▲",H230*J230*L230*O230))))),"Check Data ▲")</f>
        <v/>
      </c>
      <c r="R230" s="50"/>
      <c r="S230" s="71"/>
      <c r="T230" s="72"/>
      <c r="U230" s="511" t="str">
        <f t="shared" si="18"/>
        <v/>
      </c>
      <c r="V230" s="511" t="str">
        <f t="shared" si="19"/>
        <v/>
      </c>
      <c r="W230" s="511" t="str">
        <f>IF(E230="","",IF(H230&lt;S230+T230,"Error in Areas ▲",IF(P230&lt;&gt;'G-1 All Habitats'!$X$3,H230-S230-T230,IF(AND(P230='G-1 All Habitats'!$X$3,Y230="Yes"),"Unacceptable Loss",IF(AND(P230='G-1 All Habitats'!$X$3,Y230="No"),AC230,IF(AND(P230='G-1 All Habitats'!$X$3,Y230=""),AC230,IF(AND(P230='G-1 All Habitats'!$X$3,AC230="None",AC230),IF(AND(P230='G-1 All Habitats'!$X$3,AC230&gt;0),H230-S230-T230))))))))</f>
        <v/>
      </c>
      <c r="X230" s="515" t="str">
        <f>IFERROR(IF(H230="","",IF(H230-S230-T230=0&lt;0,"Error in Areas ▲",IF(S230+T230&gt;H230,"Error in Areas ▲",IF(AND(P230='G-1 All Habitats'!$X$3,Y230="Yes"),"Alternative Compensation ✓",IF(W230=0,0,IF(P230='G-1 All Habitats'!$X$3,"Unacceptable Loss ▲",Q230-U230-V230)))))),"Check Data ▲")</f>
        <v/>
      </c>
      <c r="Y230" s="72"/>
      <c r="Z230" s="80"/>
      <c r="AA230" s="81"/>
      <c r="AC230" s="75" t="str">
        <f>IF(P230="","",IF(P230='G-1 All Habitats'!$X$3,H230-S230-T230,"None"))</f>
        <v/>
      </c>
      <c r="AD230" s="76" t="str">
        <f>IFERROR(AC230*J230*L230*#REF!*O230,IF(P230="","","None"))</f>
        <v/>
      </c>
      <c r="AF230" s="54" t="str">
        <f t="shared" si="15"/>
        <v/>
      </c>
      <c r="AG230" s="54" t="str">
        <f t="shared" si="16"/>
        <v/>
      </c>
      <c r="AH230" s="54" t="str">
        <f>IF(I230="","",IF(#REF!&gt;0,TRUE,FALSE))</f>
        <v/>
      </c>
      <c r="AI230" s="54">
        <v>220</v>
      </c>
      <c r="AJ230" s="54"/>
      <c r="AK230" s="54" t="str">
        <f t="array" ref="AK230">IFERROR(INDEX($AI$11:$AI$259, MATCH(0, IF(TRUE=$AF$11:$AF$259, COUNTIF($AK$10:$AK229, $AI$11:$AI$259), ""), 0)),"")</f>
        <v/>
      </c>
      <c r="AL230" s="54" t="str">
        <f t="array" ref="AL230">IFERROR(INDEX($AI$11:$AI$259, MATCH(0, IF(TRUE=$AG$11:$AG$259, COUNTIF($AL$10:$AL229, $AI$11:$AI$259), ""), 0)),"")</f>
        <v/>
      </c>
      <c r="AM230" s="54" t="str">
        <f t="array" ref="AM230">IFERROR(INDEX($AI$11:$AI$259, MATCH(0, IF(TRUE=$AH$11:$AH$259, COUNTIF($AM$10:$AM229, $AI$11:$AI$259), ""), 0)),"")</f>
        <v/>
      </c>
      <c r="AN230" s="54"/>
      <c r="AQ230" s="47">
        <f t="shared" si="17"/>
        <v>0</v>
      </c>
    </row>
    <row r="231" spans="1:43" x14ac:dyDescent="0.3">
      <c r="A231" s="47" t="str">
        <f>IFERROR(INDEX('G-1 All Habitats'!$AG$3:$AG$15,MATCH(E231,'G-1 All Habitats'!$AF$3:$AF$15,0)),"")</f>
        <v/>
      </c>
      <c r="B231" s="47" t="str">
        <f>IFERROR(INDEX('G-8 Condition Look up'!$I$4:$I$130,MATCH(G231,'G-8 Condition Look up'!$A$4:$A$130,0)),"")</f>
        <v/>
      </c>
      <c r="D231" s="77">
        <v>221</v>
      </c>
      <c r="E231" s="78"/>
      <c r="F231" s="79"/>
      <c r="G231" s="69" t="str">
        <f>IFERROR(INDEX('G-1 All Habitats'!$B$3:$B$129,MATCH(F231,'G-1 All Habitats'!$A$3:$A$129,0)),"")</f>
        <v/>
      </c>
      <c r="H231" s="70"/>
      <c r="I231" s="498" t="str">
        <f>IF(G231="","",VLOOKUP(G231,'G-1 All Habitats'!$B$2:$M$129,10,FALSE))</f>
        <v/>
      </c>
      <c r="J231" s="499" t="str">
        <f>IFERROR(VLOOKUP(I231,'G-1 All Habitats'!$V$3:$W$7,2,FALSE),"")</f>
        <v/>
      </c>
      <c r="K231" s="71"/>
      <c r="L231" s="499" t="str">
        <f>IFERROR(INDEX('G-8 Condition Look up'!$A$3:$H$130,MATCH(G231,'G-8 Condition Look up'!$A$3:$A$130,0),MATCH(K231,'G-8 Condition Look up'!$A$3:$H$3,0)),"")</f>
        <v/>
      </c>
      <c r="M231" s="71"/>
      <c r="N231" s="520" t="str">
        <f>IF(M231="","",IF(VLOOKUP(M231,'G-3 Multipliers'!$L$3:$N$6,2,FALSE)=0,"Spatial Data Missing",VLOOKUP(M231,'G-3 Multipliers'!$L$3:$N$6,2,FALSE)))</f>
        <v/>
      </c>
      <c r="O231" s="505" t="str">
        <f>IF(M231="","",IF(VLOOKUP(M231,'G-3 Multipliers'!$L$3:$N$6,3,FALSE)=0,"Spatial Data Missing",VLOOKUP(M231,'G-3 Multipliers'!$L$3:$N$6,3,FALSE)))</f>
        <v/>
      </c>
      <c r="P231" s="506" t="str">
        <f>IFERROR(VLOOKUP(G231,'G-1 All Habitats'!$B$2:$M$129,12,FALSE),"")</f>
        <v/>
      </c>
      <c r="Q231" s="513" t="str">
        <f>IFERROR(IF(P231="","",IF(AND(P231='G-1 All Habitats'!$X$3,T231&gt;0),U231+V231,IF(AND(P231='G-1 All Habitats'!$X$3,S231&gt;0),U231+V231,IF(AND(P231='G-1 All Habitats'!$X$3,AC231&gt;0),"Any Loss Unacceptable ▲",IF(AND(P231='G-1 All Habitats'!$X$3,W231&gt;0),"Any Loss Unacceptable ▲",H231*J231*L231*O231))))),"Check Data ▲")</f>
        <v/>
      </c>
      <c r="R231" s="50"/>
      <c r="S231" s="71"/>
      <c r="T231" s="72"/>
      <c r="U231" s="511" t="str">
        <f t="shared" si="18"/>
        <v/>
      </c>
      <c r="V231" s="511" t="str">
        <f t="shared" si="19"/>
        <v/>
      </c>
      <c r="W231" s="511" t="str">
        <f>IF(E231="","",IF(H231&lt;S231+T231,"Error in Areas ▲",IF(P231&lt;&gt;'G-1 All Habitats'!$X$3,H231-S231-T231,IF(AND(P231='G-1 All Habitats'!$X$3,Y231="Yes"),"Unacceptable Loss",IF(AND(P231='G-1 All Habitats'!$X$3,Y231="No"),AC231,IF(AND(P231='G-1 All Habitats'!$X$3,Y231=""),AC231,IF(AND(P231='G-1 All Habitats'!$X$3,AC231="None",AC231),IF(AND(P231='G-1 All Habitats'!$X$3,AC231&gt;0),H231-S231-T231))))))))</f>
        <v/>
      </c>
      <c r="X231" s="515" t="str">
        <f>IFERROR(IF(H231="","",IF(H231-S231-T231=0&lt;0,"Error in Areas ▲",IF(S231+T231&gt;H231,"Error in Areas ▲",IF(AND(P231='G-1 All Habitats'!$X$3,Y231="Yes"),"Alternative Compensation ✓",IF(W231=0,0,IF(P231='G-1 All Habitats'!$X$3,"Unacceptable Loss ▲",Q231-U231-V231)))))),"Check Data ▲")</f>
        <v/>
      </c>
      <c r="Y231" s="72"/>
      <c r="Z231" s="80"/>
      <c r="AA231" s="81"/>
      <c r="AC231" s="75" t="str">
        <f>IF(P231="","",IF(P231='G-1 All Habitats'!$X$3,H231-S231-T231,"None"))</f>
        <v/>
      </c>
      <c r="AD231" s="76" t="str">
        <f>IFERROR(AC231*J231*L231*#REF!*O231,IF(P231="","","None"))</f>
        <v/>
      </c>
      <c r="AF231" s="54" t="str">
        <f t="shared" si="15"/>
        <v/>
      </c>
      <c r="AG231" s="54" t="str">
        <f t="shared" si="16"/>
        <v/>
      </c>
      <c r="AH231" s="54" t="str">
        <f>IF(I231="","",IF(#REF!&gt;0,TRUE,FALSE))</f>
        <v/>
      </c>
      <c r="AI231" s="54">
        <v>221</v>
      </c>
      <c r="AJ231" s="54"/>
      <c r="AK231" s="54" t="str">
        <f t="array" ref="AK231">IFERROR(INDEX($AI$11:$AI$259, MATCH(0, IF(TRUE=$AF$11:$AF$259, COUNTIF($AK$10:$AK230, $AI$11:$AI$259), ""), 0)),"")</f>
        <v/>
      </c>
      <c r="AL231" s="54" t="str">
        <f t="array" ref="AL231">IFERROR(INDEX($AI$11:$AI$259, MATCH(0, IF(TRUE=$AG$11:$AG$259, COUNTIF($AL$10:$AL230, $AI$11:$AI$259), ""), 0)),"")</f>
        <v/>
      </c>
      <c r="AM231" s="54" t="str">
        <f t="array" ref="AM231">IFERROR(INDEX($AI$11:$AI$259, MATCH(0, IF(TRUE=$AH$11:$AH$259, COUNTIF($AM$10:$AM230, $AI$11:$AI$259), ""), 0)),"")</f>
        <v/>
      </c>
      <c r="AN231" s="54"/>
      <c r="AQ231" s="47">
        <f t="shared" si="17"/>
        <v>0</v>
      </c>
    </row>
    <row r="232" spans="1:43" x14ac:dyDescent="0.3">
      <c r="A232" s="47" t="str">
        <f>IFERROR(INDEX('G-1 All Habitats'!$AG$3:$AG$15,MATCH(E232,'G-1 All Habitats'!$AF$3:$AF$15,0)),"")</f>
        <v/>
      </c>
      <c r="B232" s="47" t="str">
        <f>IFERROR(INDEX('G-8 Condition Look up'!$I$4:$I$130,MATCH(G232,'G-8 Condition Look up'!$A$4:$A$130,0)),"")</f>
        <v/>
      </c>
      <c r="D232" s="77">
        <v>222</v>
      </c>
      <c r="E232" s="78"/>
      <c r="F232" s="79"/>
      <c r="G232" s="69" t="str">
        <f>IFERROR(INDEX('G-1 All Habitats'!$B$3:$B$129,MATCH(F232,'G-1 All Habitats'!$A$3:$A$129,0)),"")</f>
        <v/>
      </c>
      <c r="H232" s="70"/>
      <c r="I232" s="498" t="str">
        <f>IF(G232="","",VLOOKUP(G232,'G-1 All Habitats'!$B$2:$M$129,10,FALSE))</f>
        <v/>
      </c>
      <c r="J232" s="499" t="str">
        <f>IFERROR(VLOOKUP(I232,'G-1 All Habitats'!$V$3:$W$7,2,FALSE),"")</f>
        <v/>
      </c>
      <c r="K232" s="71"/>
      <c r="L232" s="499" t="str">
        <f>IFERROR(INDEX('G-8 Condition Look up'!$A$3:$H$130,MATCH(G232,'G-8 Condition Look up'!$A$3:$A$130,0),MATCH(K232,'G-8 Condition Look up'!$A$3:$H$3,0)),"")</f>
        <v/>
      </c>
      <c r="M232" s="71"/>
      <c r="N232" s="520" t="str">
        <f>IF(M232="","",IF(VLOOKUP(M232,'G-3 Multipliers'!$L$3:$N$6,2,FALSE)=0,"Spatial Data Missing",VLOOKUP(M232,'G-3 Multipliers'!$L$3:$N$6,2,FALSE)))</f>
        <v/>
      </c>
      <c r="O232" s="505" t="str">
        <f>IF(M232="","",IF(VLOOKUP(M232,'G-3 Multipliers'!$L$3:$N$6,3,FALSE)=0,"Spatial Data Missing",VLOOKUP(M232,'G-3 Multipliers'!$L$3:$N$6,3,FALSE)))</f>
        <v/>
      </c>
      <c r="P232" s="506" t="str">
        <f>IFERROR(VLOOKUP(G232,'G-1 All Habitats'!$B$2:$M$129,12,FALSE),"")</f>
        <v/>
      </c>
      <c r="Q232" s="513" t="str">
        <f>IFERROR(IF(P232="","",IF(AND(P232='G-1 All Habitats'!$X$3,T232&gt;0),U232+V232,IF(AND(P232='G-1 All Habitats'!$X$3,S232&gt;0),U232+V232,IF(AND(P232='G-1 All Habitats'!$X$3,AC232&gt;0),"Any Loss Unacceptable ▲",IF(AND(P232='G-1 All Habitats'!$X$3,W232&gt;0),"Any Loss Unacceptable ▲",H232*J232*L232*O232))))),"Check Data ▲")</f>
        <v/>
      </c>
      <c r="R232" s="50"/>
      <c r="S232" s="71"/>
      <c r="T232" s="72"/>
      <c r="U232" s="511" t="str">
        <f t="shared" si="18"/>
        <v/>
      </c>
      <c r="V232" s="511" t="str">
        <f t="shared" si="19"/>
        <v/>
      </c>
      <c r="W232" s="511" t="str">
        <f>IF(E232="","",IF(H232&lt;S232+T232,"Error in Areas ▲",IF(P232&lt;&gt;'G-1 All Habitats'!$X$3,H232-S232-T232,IF(AND(P232='G-1 All Habitats'!$X$3,Y232="Yes"),"Unacceptable Loss",IF(AND(P232='G-1 All Habitats'!$X$3,Y232="No"),AC232,IF(AND(P232='G-1 All Habitats'!$X$3,Y232=""),AC232,IF(AND(P232='G-1 All Habitats'!$X$3,AC232="None",AC232),IF(AND(P232='G-1 All Habitats'!$X$3,AC232&gt;0),H232-S232-T232))))))))</f>
        <v/>
      </c>
      <c r="X232" s="515" t="str">
        <f>IFERROR(IF(H232="","",IF(H232-S232-T232=0&lt;0,"Error in Areas ▲",IF(S232+T232&gt;H232,"Error in Areas ▲",IF(AND(P232='G-1 All Habitats'!$X$3,Y232="Yes"),"Alternative Compensation ✓",IF(W232=0,0,IF(P232='G-1 All Habitats'!$X$3,"Unacceptable Loss ▲",Q232-U232-V232)))))),"Check Data ▲")</f>
        <v/>
      </c>
      <c r="Y232" s="72"/>
      <c r="Z232" s="80"/>
      <c r="AA232" s="81"/>
      <c r="AC232" s="75" t="str">
        <f>IF(P232="","",IF(P232='G-1 All Habitats'!$X$3,H232-S232-T232,"None"))</f>
        <v/>
      </c>
      <c r="AD232" s="76" t="str">
        <f>IFERROR(AC232*J232*L232*#REF!*O232,IF(P232="","","None"))</f>
        <v/>
      </c>
      <c r="AF232" s="54" t="str">
        <f t="shared" si="15"/>
        <v/>
      </c>
      <c r="AG232" s="54" t="str">
        <f t="shared" si="16"/>
        <v/>
      </c>
      <c r="AH232" s="54" t="str">
        <f>IF(I232="","",IF(#REF!&gt;0,TRUE,FALSE))</f>
        <v/>
      </c>
      <c r="AI232" s="54">
        <v>222</v>
      </c>
      <c r="AJ232" s="54"/>
      <c r="AK232" s="54" t="str">
        <f t="array" ref="AK232">IFERROR(INDEX($AI$11:$AI$259, MATCH(0, IF(TRUE=$AF$11:$AF$259, COUNTIF($AK$10:$AK231, $AI$11:$AI$259), ""), 0)),"")</f>
        <v/>
      </c>
      <c r="AL232" s="54" t="str">
        <f t="array" ref="AL232">IFERROR(INDEX($AI$11:$AI$259, MATCH(0, IF(TRUE=$AG$11:$AG$259, COUNTIF($AL$10:$AL231, $AI$11:$AI$259), ""), 0)),"")</f>
        <v/>
      </c>
      <c r="AM232" s="54" t="str">
        <f t="array" ref="AM232">IFERROR(INDEX($AI$11:$AI$259, MATCH(0, IF(TRUE=$AH$11:$AH$259, COUNTIF($AM$10:$AM231, $AI$11:$AI$259), ""), 0)),"")</f>
        <v/>
      </c>
      <c r="AN232" s="54"/>
      <c r="AQ232" s="47">
        <f t="shared" si="17"/>
        <v>0</v>
      </c>
    </row>
    <row r="233" spans="1:43" x14ac:dyDescent="0.3">
      <c r="A233" s="47" t="str">
        <f>IFERROR(INDEX('G-1 All Habitats'!$AG$3:$AG$15,MATCH(E233,'G-1 All Habitats'!$AF$3:$AF$15,0)),"")</f>
        <v/>
      </c>
      <c r="B233" s="47" t="str">
        <f>IFERROR(INDEX('G-8 Condition Look up'!$I$4:$I$130,MATCH(G233,'G-8 Condition Look up'!$A$4:$A$130,0)),"")</f>
        <v/>
      </c>
      <c r="D233" s="77">
        <v>223</v>
      </c>
      <c r="E233" s="78"/>
      <c r="F233" s="79"/>
      <c r="G233" s="69" t="str">
        <f>IFERROR(INDEX('G-1 All Habitats'!$B$3:$B$129,MATCH(F233,'G-1 All Habitats'!$A$3:$A$129,0)),"")</f>
        <v/>
      </c>
      <c r="H233" s="70"/>
      <c r="I233" s="498" t="str">
        <f>IF(G233="","",VLOOKUP(G233,'G-1 All Habitats'!$B$2:$M$129,10,FALSE))</f>
        <v/>
      </c>
      <c r="J233" s="499" t="str">
        <f>IFERROR(VLOOKUP(I233,'G-1 All Habitats'!$V$3:$W$7,2,FALSE),"")</f>
        <v/>
      </c>
      <c r="K233" s="71"/>
      <c r="L233" s="499" t="str">
        <f>IFERROR(INDEX('G-8 Condition Look up'!$A$3:$H$130,MATCH(G233,'G-8 Condition Look up'!$A$3:$A$130,0),MATCH(K233,'G-8 Condition Look up'!$A$3:$H$3,0)),"")</f>
        <v/>
      </c>
      <c r="M233" s="71"/>
      <c r="N233" s="520" t="str">
        <f>IF(M233="","",IF(VLOOKUP(M233,'G-3 Multipliers'!$L$3:$N$6,2,FALSE)=0,"Spatial Data Missing",VLOOKUP(M233,'G-3 Multipliers'!$L$3:$N$6,2,FALSE)))</f>
        <v/>
      </c>
      <c r="O233" s="505" t="str">
        <f>IF(M233="","",IF(VLOOKUP(M233,'G-3 Multipliers'!$L$3:$N$6,3,FALSE)=0,"Spatial Data Missing",VLOOKUP(M233,'G-3 Multipliers'!$L$3:$N$6,3,FALSE)))</f>
        <v/>
      </c>
      <c r="P233" s="506" t="str">
        <f>IFERROR(VLOOKUP(G233,'G-1 All Habitats'!$B$2:$M$129,12,FALSE),"")</f>
        <v/>
      </c>
      <c r="Q233" s="513" t="str">
        <f>IFERROR(IF(P233="","",IF(AND(P233='G-1 All Habitats'!$X$3,T233&gt;0),U233+V233,IF(AND(P233='G-1 All Habitats'!$X$3,S233&gt;0),U233+V233,IF(AND(P233='G-1 All Habitats'!$X$3,AC233&gt;0),"Any Loss Unacceptable ▲",IF(AND(P233='G-1 All Habitats'!$X$3,W233&gt;0),"Any Loss Unacceptable ▲",H233*J233*L233*O233))))),"Check Data ▲")</f>
        <v/>
      </c>
      <c r="R233" s="50"/>
      <c r="S233" s="71"/>
      <c r="T233" s="72"/>
      <c r="U233" s="511" t="str">
        <f t="shared" si="18"/>
        <v/>
      </c>
      <c r="V233" s="511" t="str">
        <f t="shared" si="19"/>
        <v/>
      </c>
      <c r="W233" s="511" t="str">
        <f>IF(E233="","",IF(H233&lt;S233+T233,"Error in Areas ▲",IF(P233&lt;&gt;'G-1 All Habitats'!$X$3,H233-S233-T233,IF(AND(P233='G-1 All Habitats'!$X$3,Y233="Yes"),"Unacceptable Loss",IF(AND(P233='G-1 All Habitats'!$X$3,Y233="No"),AC233,IF(AND(P233='G-1 All Habitats'!$X$3,Y233=""),AC233,IF(AND(P233='G-1 All Habitats'!$X$3,AC233="None",AC233),IF(AND(P233='G-1 All Habitats'!$X$3,AC233&gt;0),H233-S233-T233))))))))</f>
        <v/>
      </c>
      <c r="X233" s="515" t="str">
        <f>IFERROR(IF(H233="","",IF(H233-S233-T233=0&lt;0,"Error in Areas ▲",IF(S233+T233&gt;H233,"Error in Areas ▲",IF(AND(P233='G-1 All Habitats'!$X$3,Y233="Yes"),"Alternative Compensation ✓",IF(W233=0,0,IF(P233='G-1 All Habitats'!$X$3,"Unacceptable Loss ▲",Q233-U233-V233)))))),"Check Data ▲")</f>
        <v/>
      </c>
      <c r="Y233" s="72"/>
      <c r="Z233" s="80"/>
      <c r="AA233" s="81"/>
      <c r="AC233" s="75" t="str">
        <f>IF(P233="","",IF(P233='G-1 All Habitats'!$X$3,H233-S233-T233,"None"))</f>
        <v/>
      </c>
      <c r="AD233" s="76" t="str">
        <f>IFERROR(AC233*J233*L233*#REF!*O233,IF(P233="","","None"))</f>
        <v/>
      </c>
      <c r="AF233" s="54" t="str">
        <f t="shared" si="15"/>
        <v/>
      </c>
      <c r="AG233" s="54" t="str">
        <f t="shared" si="16"/>
        <v/>
      </c>
      <c r="AH233" s="54" t="str">
        <f>IF(I233="","",IF(#REF!&gt;0,TRUE,FALSE))</f>
        <v/>
      </c>
      <c r="AI233" s="54">
        <v>223</v>
      </c>
      <c r="AJ233" s="54"/>
      <c r="AK233" s="54" t="str">
        <f t="array" ref="AK233">IFERROR(INDEX($AI$11:$AI$259, MATCH(0, IF(TRUE=$AF$11:$AF$259, COUNTIF($AK$10:$AK232, $AI$11:$AI$259), ""), 0)),"")</f>
        <v/>
      </c>
      <c r="AL233" s="54" t="str">
        <f t="array" ref="AL233">IFERROR(INDEX($AI$11:$AI$259, MATCH(0, IF(TRUE=$AG$11:$AG$259, COUNTIF($AL$10:$AL232, $AI$11:$AI$259), ""), 0)),"")</f>
        <v/>
      </c>
      <c r="AM233" s="54" t="str">
        <f t="array" ref="AM233">IFERROR(INDEX($AI$11:$AI$259, MATCH(0, IF(TRUE=$AH$11:$AH$259, COUNTIF($AM$10:$AM232, $AI$11:$AI$259), ""), 0)),"")</f>
        <v/>
      </c>
      <c r="AN233" s="54"/>
      <c r="AQ233" s="47">
        <f t="shared" si="17"/>
        <v>0</v>
      </c>
    </row>
    <row r="234" spans="1:43" x14ac:dyDescent="0.3">
      <c r="A234" s="47" t="str">
        <f>IFERROR(INDEX('G-1 All Habitats'!$AG$3:$AG$15,MATCH(E234,'G-1 All Habitats'!$AF$3:$AF$15,0)),"")</f>
        <v/>
      </c>
      <c r="B234" s="47" t="str">
        <f>IFERROR(INDEX('G-8 Condition Look up'!$I$4:$I$130,MATCH(G234,'G-8 Condition Look up'!$A$4:$A$130,0)),"")</f>
        <v/>
      </c>
      <c r="D234" s="77">
        <v>224</v>
      </c>
      <c r="E234" s="78"/>
      <c r="F234" s="79"/>
      <c r="G234" s="69" t="str">
        <f>IFERROR(INDEX('G-1 All Habitats'!$B$3:$B$129,MATCH(F234,'G-1 All Habitats'!$A$3:$A$129,0)),"")</f>
        <v/>
      </c>
      <c r="H234" s="70"/>
      <c r="I234" s="498" t="str">
        <f>IF(G234="","",VLOOKUP(G234,'G-1 All Habitats'!$B$2:$M$129,10,FALSE))</f>
        <v/>
      </c>
      <c r="J234" s="499" t="str">
        <f>IFERROR(VLOOKUP(I234,'G-1 All Habitats'!$V$3:$W$7,2,FALSE),"")</f>
        <v/>
      </c>
      <c r="K234" s="71"/>
      <c r="L234" s="499" t="str">
        <f>IFERROR(INDEX('G-8 Condition Look up'!$A$3:$H$130,MATCH(G234,'G-8 Condition Look up'!$A$3:$A$130,0),MATCH(K234,'G-8 Condition Look up'!$A$3:$H$3,0)),"")</f>
        <v/>
      </c>
      <c r="M234" s="71"/>
      <c r="N234" s="520" t="str">
        <f>IF(M234="","",IF(VLOOKUP(M234,'G-3 Multipliers'!$L$3:$N$6,2,FALSE)=0,"Spatial Data Missing",VLOOKUP(M234,'G-3 Multipliers'!$L$3:$N$6,2,FALSE)))</f>
        <v/>
      </c>
      <c r="O234" s="505" t="str">
        <f>IF(M234="","",IF(VLOOKUP(M234,'G-3 Multipliers'!$L$3:$N$6,3,FALSE)=0,"Spatial Data Missing",VLOOKUP(M234,'G-3 Multipliers'!$L$3:$N$6,3,FALSE)))</f>
        <v/>
      </c>
      <c r="P234" s="506" t="str">
        <f>IFERROR(VLOOKUP(G234,'G-1 All Habitats'!$B$2:$M$129,12,FALSE),"")</f>
        <v/>
      </c>
      <c r="Q234" s="513" t="str">
        <f>IFERROR(IF(P234="","",IF(AND(P234='G-1 All Habitats'!$X$3,T234&gt;0),U234+V234,IF(AND(P234='G-1 All Habitats'!$X$3,S234&gt;0),U234+V234,IF(AND(P234='G-1 All Habitats'!$X$3,AC234&gt;0),"Any Loss Unacceptable ▲",IF(AND(P234='G-1 All Habitats'!$X$3,W234&gt;0),"Any Loss Unacceptable ▲",H234*J234*L234*O234))))),"Check Data ▲")</f>
        <v/>
      </c>
      <c r="R234" s="50"/>
      <c r="S234" s="71"/>
      <c r="T234" s="72"/>
      <c r="U234" s="511" t="str">
        <f t="shared" si="18"/>
        <v/>
      </c>
      <c r="V234" s="511" t="str">
        <f t="shared" si="19"/>
        <v/>
      </c>
      <c r="W234" s="511" t="str">
        <f>IF(E234="","",IF(H234&lt;S234+T234,"Error in Areas ▲",IF(P234&lt;&gt;'G-1 All Habitats'!$X$3,H234-S234-T234,IF(AND(P234='G-1 All Habitats'!$X$3,Y234="Yes"),"Unacceptable Loss",IF(AND(P234='G-1 All Habitats'!$X$3,Y234="No"),AC234,IF(AND(P234='G-1 All Habitats'!$X$3,Y234=""),AC234,IF(AND(P234='G-1 All Habitats'!$X$3,AC234="None",AC234),IF(AND(P234='G-1 All Habitats'!$X$3,AC234&gt;0),H234-S234-T234))))))))</f>
        <v/>
      </c>
      <c r="X234" s="515" t="str">
        <f>IFERROR(IF(H234="","",IF(H234-S234-T234=0&lt;0,"Error in Areas ▲",IF(S234+T234&gt;H234,"Error in Areas ▲",IF(AND(P234='G-1 All Habitats'!$X$3,Y234="Yes"),"Alternative Compensation ✓",IF(W234=0,0,IF(P234='G-1 All Habitats'!$X$3,"Unacceptable Loss ▲",Q234-U234-V234)))))),"Check Data ▲")</f>
        <v/>
      </c>
      <c r="Y234" s="72"/>
      <c r="Z234" s="80"/>
      <c r="AA234" s="81"/>
      <c r="AC234" s="75" t="str">
        <f>IF(P234="","",IF(P234='G-1 All Habitats'!$X$3,H234-S234-T234,"None"))</f>
        <v/>
      </c>
      <c r="AD234" s="76" t="str">
        <f>IFERROR(AC234*J234*L234*#REF!*O234,IF(P234="","","None"))</f>
        <v/>
      </c>
      <c r="AF234" s="54" t="str">
        <f t="shared" si="15"/>
        <v/>
      </c>
      <c r="AG234" s="54" t="str">
        <f t="shared" si="16"/>
        <v/>
      </c>
      <c r="AH234" s="54" t="str">
        <f>IF(I234="","",IF(#REF!&gt;0,TRUE,FALSE))</f>
        <v/>
      </c>
      <c r="AI234" s="54">
        <v>224</v>
      </c>
      <c r="AJ234" s="54"/>
      <c r="AK234" s="54" t="str">
        <f t="array" ref="AK234">IFERROR(INDEX($AI$11:$AI$259, MATCH(0, IF(TRUE=$AF$11:$AF$259, COUNTIF($AK$10:$AK233, $AI$11:$AI$259), ""), 0)),"")</f>
        <v/>
      </c>
      <c r="AL234" s="54" t="str">
        <f t="array" ref="AL234">IFERROR(INDEX($AI$11:$AI$259, MATCH(0, IF(TRUE=$AG$11:$AG$259, COUNTIF($AL$10:$AL233, $AI$11:$AI$259), ""), 0)),"")</f>
        <v/>
      </c>
      <c r="AM234" s="54" t="str">
        <f t="array" ref="AM234">IFERROR(INDEX($AI$11:$AI$259, MATCH(0, IF(TRUE=$AH$11:$AH$259, COUNTIF($AM$10:$AM233, $AI$11:$AI$259), ""), 0)),"")</f>
        <v/>
      </c>
      <c r="AN234" s="54"/>
      <c r="AQ234" s="47">
        <f t="shared" si="17"/>
        <v>0</v>
      </c>
    </row>
    <row r="235" spans="1:43" x14ac:dyDescent="0.3">
      <c r="A235" s="47" t="str">
        <f>IFERROR(INDEX('G-1 All Habitats'!$AG$3:$AG$15,MATCH(E235,'G-1 All Habitats'!$AF$3:$AF$15,0)),"")</f>
        <v/>
      </c>
      <c r="B235" s="47" t="str">
        <f>IFERROR(INDEX('G-8 Condition Look up'!$I$4:$I$130,MATCH(G235,'G-8 Condition Look up'!$A$4:$A$130,0)),"")</f>
        <v/>
      </c>
      <c r="D235" s="77">
        <v>225</v>
      </c>
      <c r="E235" s="78"/>
      <c r="F235" s="79"/>
      <c r="G235" s="69" t="str">
        <f>IFERROR(INDEX('G-1 All Habitats'!$B$3:$B$129,MATCH(F235,'G-1 All Habitats'!$A$3:$A$129,0)),"")</f>
        <v/>
      </c>
      <c r="H235" s="70"/>
      <c r="I235" s="498" t="str">
        <f>IF(G235="","",VLOOKUP(G235,'G-1 All Habitats'!$B$2:$M$129,10,FALSE))</f>
        <v/>
      </c>
      <c r="J235" s="499" t="str">
        <f>IFERROR(VLOOKUP(I235,'G-1 All Habitats'!$V$3:$W$7,2,FALSE),"")</f>
        <v/>
      </c>
      <c r="K235" s="71"/>
      <c r="L235" s="499" t="str">
        <f>IFERROR(INDEX('G-8 Condition Look up'!$A$3:$H$130,MATCH(G235,'G-8 Condition Look up'!$A$3:$A$130,0),MATCH(K235,'G-8 Condition Look up'!$A$3:$H$3,0)),"")</f>
        <v/>
      </c>
      <c r="M235" s="71"/>
      <c r="N235" s="520" t="str">
        <f>IF(M235="","",IF(VLOOKUP(M235,'G-3 Multipliers'!$L$3:$N$6,2,FALSE)=0,"Spatial Data Missing",VLOOKUP(M235,'G-3 Multipliers'!$L$3:$N$6,2,FALSE)))</f>
        <v/>
      </c>
      <c r="O235" s="505" t="str">
        <f>IF(M235="","",IF(VLOOKUP(M235,'G-3 Multipliers'!$L$3:$N$6,3,FALSE)=0,"Spatial Data Missing",VLOOKUP(M235,'G-3 Multipliers'!$L$3:$N$6,3,FALSE)))</f>
        <v/>
      </c>
      <c r="P235" s="506" t="str">
        <f>IFERROR(VLOOKUP(G235,'G-1 All Habitats'!$B$2:$M$129,12,FALSE),"")</f>
        <v/>
      </c>
      <c r="Q235" s="513" t="str">
        <f>IFERROR(IF(P235="","",IF(AND(P235='G-1 All Habitats'!$X$3,T235&gt;0),U235+V235,IF(AND(P235='G-1 All Habitats'!$X$3,S235&gt;0),U235+V235,IF(AND(P235='G-1 All Habitats'!$X$3,AC235&gt;0),"Any Loss Unacceptable ▲",IF(AND(P235='G-1 All Habitats'!$X$3,W235&gt;0),"Any Loss Unacceptable ▲",H235*J235*L235*O235))))),"Check Data ▲")</f>
        <v/>
      </c>
      <c r="R235" s="50"/>
      <c r="S235" s="71"/>
      <c r="T235" s="72"/>
      <c r="U235" s="511" t="str">
        <f t="shared" si="18"/>
        <v/>
      </c>
      <c r="V235" s="511" t="str">
        <f t="shared" si="19"/>
        <v/>
      </c>
      <c r="W235" s="511" t="str">
        <f>IF(E235="","",IF(H235&lt;S235+T235,"Error in Areas ▲",IF(P235&lt;&gt;'G-1 All Habitats'!$X$3,H235-S235-T235,IF(AND(P235='G-1 All Habitats'!$X$3,Y235="Yes"),"Unacceptable Loss",IF(AND(P235='G-1 All Habitats'!$X$3,Y235="No"),AC235,IF(AND(P235='G-1 All Habitats'!$X$3,Y235=""),AC235,IF(AND(P235='G-1 All Habitats'!$X$3,AC235="None",AC235),IF(AND(P235='G-1 All Habitats'!$X$3,AC235&gt;0),H235-S235-T235))))))))</f>
        <v/>
      </c>
      <c r="X235" s="515" t="str">
        <f>IFERROR(IF(H235="","",IF(H235-S235-T235=0&lt;0,"Error in Areas ▲",IF(S235+T235&gt;H235,"Error in Areas ▲",IF(AND(P235='G-1 All Habitats'!$X$3,Y235="Yes"),"Alternative Compensation ✓",IF(W235=0,0,IF(P235='G-1 All Habitats'!$X$3,"Unacceptable Loss ▲",Q235-U235-V235)))))),"Check Data ▲")</f>
        <v/>
      </c>
      <c r="Y235" s="72"/>
      <c r="Z235" s="80"/>
      <c r="AA235" s="81"/>
      <c r="AC235" s="75" t="str">
        <f>IF(P235="","",IF(P235='G-1 All Habitats'!$X$3,H235-S235-T235,"None"))</f>
        <v/>
      </c>
      <c r="AD235" s="76" t="str">
        <f>IFERROR(AC235*J235*L235*#REF!*O235,IF(P235="","","None"))</f>
        <v/>
      </c>
      <c r="AF235" s="54" t="str">
        <f t="shared" si="15"/>
        <v/>
      </c>
      <c r="AG235" s="54" t="str">
        <f t="shared" si="16"/>
        <v/>
      </c>
      <c r="AH235" s="54" t="str">
        <f>IF(I235="","",IF(#REF!&gt;0,TRUE,FALSE))</f>
        <v/>
      </c>
      <c r="AI235" s="54">
        <v>225</v>
      </c>
      <c r="AJ235" s="54"/>
      <c r="AK235" s="54" t="str">
        <f t="array" ref="AK235">IFERROR(INDEX($AI$11:$AI$259, MATCH(0, IF(TRUE=$AF$11:$AF$259, COUNTIF($AK$10:$AK234, $AI$11:$AI$259), ""), 0)),"")</f>
        <v/>
      </c>
      <c r="AL235" s="54" t="str">
        <f t="array" ref="AL235">IFERROR(INDEX($AI$11:$AI$259, MATCH(0, IF(TRUE=$AG$11:$AG$259, COUNTIF($AL$10:$AL234, $AI$11:$AI$259), ""), 0)),"")</f>
        <v/>
      </c>
      <c r="AM235" s="54" t="str">
        <f t="array" ref="AM235">IFERROR(INDEX($AI$11:$AI$259, MATCH(0, IF(TRUE=$AH$11:$AH$259, COUNTIF($AM$10:$AM234, $AI$11:$AI$259), ""), 0)),"")</f>
        <v/>
      </c>
      <c r="AN235" s="54"/>
      <c r="AQ235" s="47">
        <f t="shared" si="17"/>
        <v>0</v>
      </c>
    </row>
    <row r="236" spans="1:43" x14ac:dyDescent="0.3">
      <c r="A236" s="47" t="str">
        <f>IFERROR(INDEX('G-1 All Habitats'!$AG$3:$AG$15,MATCH(E236,'G-1 All Habitats'!$AF$3:$AF$15,0)),"")</f>
        <v/>
      </c>
      <c r="B236" s="47" t="str">
        <f>IFERROR(INDEX('G-8 Condition Look up'!$I$4:$I$130,MATCH(G236,'G-8 Condition Look up'!$A$4:$A$130,0)),"")</f>
        <v/>
      </c>
      <c r="D236" s="77">
        <v>226</v>
      </c>
      <c r="E236" s="78"/>
      <c r="F236" s="79"/>
      <c r="G236" s="69" t="str">
        <f>IFERROR(INDEX('G-1 All Habitats'!$B$3:$B$129,MATCH(F236,'G-1 All Habitats'!$A$3:$A$129,0)),"")</f>
        <v/>
      </c>
      <c r="H236" s="70"/>
      <c r="I236" s="498" t="str">
        <f>IF(G236="","",VLOOKUP(G236,'G-1 All Habitats'!$B$2:$M$129,10,FALSE))</f>
        <v/>
      </c>
      <c r="J236" s="499" t="str">
        <f>IFERROR(VLOOKUP(I236,'G-1 All Habitats'!$V$3:$W$7,2,FALSE),"")</f>
        <v/>
      </c>
      <c r="K236" s="71"/>
      <c r="L236" s="499" t="str">
        <f>IFERROR(INDEX('G-8 Condition Look up'!$A$3:$H$130,MATCH(G236,'G-8 Condition Look up'!$A$3:$A$130,0),MATCH(K236,'G-8 Condition Look up'!$A$3:$H$3,0)),"")</f>
        <v/>
      </c>
      <c r="M236" s="71"/>
      <c r="N236" s="520" t="str">
        <f>IF(M236="","",IF(VLOOKUP(M236,'G-3 Multipliers'!$L$3:$N$6,2,FALSE)=0,"Spatial Data Missing",VLOOKUP(M236,'G-3 Multipliers'!$L$3:$N$6,2,FALSE)))</f>
        <v/>
      </c>
      <c r="O236" s="505" t="str">
        <f>IF(M236="","",IF(VLOOKUP(M236,'G-3 Multipliers'!$L$3:$N$6,3,FALSE)=0,"Spatial Data Missing",VLOOKUP(M236,'G-3 Multipliers'!$L$3:$N$6,3,FALSE)))</f>
        <v/>
      </c>
      <c r="P236" s="506" t="str">
        <f>IFERROR(VLOOKUP(G236,'G-1 All Habitats'!$B$2:$M$129,12,FALSE),"")</f>
        <v/>
      </c>
      <c r="Q236" s="513" t="str">
        <f>IFERROR(IF(P236="","",IF(AND(P236='G-1 All Habitats'!$X$3,T236&gt;0),U236+V236,IF(AND(P236='G-1 All Habitats'!$X$3,S236&gt;0),U236+V236,IF(AND(P236='G-1 All Habitats'!$X$3,AC236&gt;0),"Any Loss Unacceptable ▲",IF(AND(P236='G-1 All Habitats'!$X$3,W236&gt;0),"Any Loss Unacceptable ▲",H236*J236*L236*O236))))),"Check Data ▲")</f>
        <v/>
      </c>
      <c r="R236" s="50"/>
      <c r="S236" s="71"/>
      <c r="T236" s="72"/>
      <c r="U236" s="511" t="str">
        <f t="shared" si="18"/>
        <v/>
      </c>
      <c r="V236" s="511" t="str">
        <f t="shared" si="19"/>
        <v/>
      </c>
      <c r="W236" s="511" t="str">
        <f>IF(E236="","",IF(H236&lt;S236+T236,"Error in Areas ▲",IF(P236&lt;&gt;'G-1 All Habitats'!$X$3,H236-S236-T236,IF(AND(P236='G-1 All Habitats'!$X$3,Y236="Yes"),"Unacceptable Loss",IF(AND(P236='G-1 All Habitats'!$X$3,Y236="No"),AC236,IF(AND(P236='G-1 All Habitats'!$X$3,Y236=""),AC236,IF(AND(P236='G-1 All Habitats'!$X$3,AC236="None",AC236),IF(AND(P236='G-1 All Habitats'!$X$3,AC236&gt;0),H236-S236-T236))))))))</f>
        <v/>
      </c>
      <c r="X236" s="515" t="str">
        <f>IFERROR(IF(H236="","",IF(H236-S236-T236=0&lt;0,"Error in Areas ▲",IF(S236+T236&gt;H236,"Error in Areas ▲",IF(AND(P236='G-1 All Habitats'!$X$3,Y236="Yes"),"Alternative Compensation ✓",IF(W236=0,0,IF(P236='G-1 All Habitats'!$X$3,"Unacceptable Loss ▲",Q236-U236-V236)))))),"Check Data ▲")</f>
        <v/>
      </c>
      <c r="Y236" s="72"/>
      <c r="Z236" s="80"/>
      <c r="AA236" s="81"/>
      <c r="AC236" s="75" t="str">
        <f>IF(P236="","",IF(P236='G-1 All Habitats'!$X$3,H236-S236-T236,"None"))</f>
        <v/>
      </c>
      <c r="AD236" s="76" t="str">
        <f>IFERROR(AC236*J236*L236*#REF!*O236,IF(P236="","","None"))</f>
        <v/>
      </c>
      <c r="AF236" s="54" t="str">
        <f t="shared" si="15"/>
        <v/>
      </c>
      <c r="AG236" s="54" t="str">
        <f t="shared" si="16"/>
        <v/>
      </c>
      <c r="AH236" s="54" t="str">
        <f>IF(I236="","",IF(#REF!&gt;0,TRUE,FALSE))</f>
        <v/>
      </c>
      <c r="AI236" s="54">
        <v>226</v>
      </c>
      <c r="AJ236" s="54"/>
      <c r="AK236" s="54" t="str">
        <f t="array" ref="AK236">IFERROR(INDEX($AI$11:$AI$259, MATCH(0, IF(TRUE=$AF$11:$AF$259, COUNTIF($AK$10:$AK235, $AI$11:$AI$259), ""), 0)),"")</f>
        <v/>
      </c>
      <c r="AL236" s="54" t="str">
        <f t="array" ref="AL236">IFERROR(INDEX($AI$11:$AI$259, MATCH(0, IF(TRUE=$AG$11:$AG$259, COUNTIF($AL$10:$AL235, $AI$11:$AI$259), ""), 0)),"")</f>
        <v/>
      </c>
      <c r="AM236" s="54" t="str">
        <f t="array" ref="AM236">IFERROR(INDEX($AI$11:$AI$259, MATCH(0, IF(TRUE=$AH$11:$AH$259, COUNTIF($AM$10:$AM235, $AI$11:$AI$259), ""), 0)),"")</f>
        <v/>
      </c>
      <c r="AN236" s="54"/>
      <c r="AQ236" s="47">
        <f t="shared" si="17"/>
        <v>0</v>
      </c>
    </row>
    <row r="237" spans="1:43" x14ac:dyDescent="0.3">
      <c r="A237" s="47" t="str">
        <f>IFERROR(INDEX('G-1 All Habitats'!$AG$3:$AG$15,MATCH(E237,'G-1 All Habitats'!$AF$3:$AF$15,0)),"")</f>
        <v/>
      </c>
      <c r="B237" s="47" t="str">
        <f>IFERROR(INDEX('G-8 Condition Look up'!$I$4:$I$130,MATCH(G237,'G-8 Condition Look up'!$A$4:$A$130,0)),"")</f>
        <v/>
      </c>
      <c r="D237" s="77">
        <v>227</v>
      </c>
      <c r="E237" s="78"/>
      <c r="F237" s="79"/>
      <c r="G237" s="69" t="str">
        <f>IFERROR(INDEX('G-1 All Habitats'!$B$3:$B$129,MATCH(F237,'G-1 All Habitats'!$A$3:$A$129,0)),"")</f>
        <v/>
      </c>
      <c r="H237" s="70"/>
      <c r="I237" s="498" t="str">
        <f>IF(G237="","",VLOOKUP(G237,'G-1 All Habitats'!$B$2:$M$129,10,FALSE))</f>
        <v/>
      </c>
      <c r="J237" s="499" t="str">
        <f>IFERROR(VLOOKUP(I237,'G-1 All Habitats'!$V$3:$W$7,2,FALSE),"")</f>
        <v/>
      </c>
      <c r="K237" s="71"/>
      <c r="L237" s="499" t="str">
        <f>IFERROR(INDEX('G-8 Condition Look up'!$A$3:$H$130,MATCH(G237,'G-8 Condition Look up'!$A$3:$A$130,0),MATCH(K237,'G-8 Condition Look up'!$A$3:$H$3,0)),"")</f>
        <v/>
      </c>
      <c r="M237" s="71"/>
      <c r="N237" s="520" t="str">
        <f>IF(M237="","",IF(VLOOKUP(M237,'G-3 Multipliers'!$L$3:$N$6,2,FALSE)=0,"Spatial Data Missing",VLOOKUP(M237,'G-3 Multipliers'!$L$3:$N$6,2,FALSE)))</f>
        <v/>
      </c>
      <c r="O237" s="505" t="str">
        <f>IF(M237="","",IF(VLOOKUP(M237,'G-3 Multipliers'!$L$3:$N$6,3,FALSE)=0,"Spatial Data Missing",VLOOKUP(M237,'G-3 Multipliers'!$L$3:$N$6,3,FALSE)))</f>
        <v/>
      </c>
      <c r="P237" s="506" t="str">
        <f>IFERROR(VLOOKUP(G237,'G-1 All Habitats'!$B$2:$M$129,12,FALSE),"")</f>
        <v/>
      </c>
      <c r="Q237" s="513" t="str">
        <f>IFERROR(IF(P237="","",IF(AND(P237='G-1 All Habitats'!$X$3,T237&gt;0),U237+V237,IF(AND(P237='G-1 All Habitats'!$X$3,S237&gt;0),U237+V237,IF(AND(P237='G-1 All Habitats'!$X$3,AC237&gt;0),"Any Loss Unacceptable ▲",IF(AND(P237='G-1 All Habitats'!$X$3,W237&gt;0),"Any Loss Unacceptable ▲",H237*J237*L237*O237))))),"Check Data ▲")</f>
        <v/>
      </c>
      <c r="R237" s="50"/>
      <c r="S237" s="71"/>
      <c r="T237" s="72"/>
      <c r="U237" s="511" t="str">
        <f t="shared" si="18"/>
        <v/>
      </c>
      <c r="V237" s="511" t="str">
        <f t="shared" si="19"/>
        <v/>
      </c>
      <c r="W237" s="511" t="str">
        <f>IF(E237="","",IF(H237&lt;S237+T237,"Error in Areas ▲",IF(P237&lt;&gt;'G-1 All Habitats'!$X$3,H237-S237-T237,IF(AND(P237='G-1 All Habitats'!$X$3,Y237="Yes"),"Unacceptable Loss",IF(AND(P237='G-1 All Habitats'!$X$3,Y237="No"),AC237,IF(AND(P237='G-1 All Habitats'!$X$3,Y237=""),AC237,IF(AND(P237='G-1 All Habitats'!$X$3,AC237="None",AC237),IF(AND(P237='G-1 All Habitats'!$X$3,AC237&gt;0),H237-S237-T237))))))))</f>
        <v/>
      </c>
      <c r="X237" s="515" t="str">
        <f>IFERROR(IF(H237="","",IF(H237-S237-T237=0&lt;0,"Error in Areas ▲",IF(S237+T237&gt;H237,"Error in Areas ▲",IF(AND(P237='G-1 All Habitats'!$X$3,Y237="Yes"),"Alternative Compensation ✓",IF(W237=0,0,IF(P237='G-1 All Habitats'!$X$3,"Unacceptable Loss ▲",Q237-U237-V237)))))),"Check Data ▲")</f>
        <v/>
      </c>
      <c r="Y237" s="72"/>
      <c r="Z237" s="80"/>
      <c r="AA237" s="81"/>
      <c r="AC237" s="75" t="str">
        <f>IF(P237="","",IF(P237='G-1 All Habitats'!$X$3,H237-S237-T237,"None"))</f>
        <v/>
      </c>
      <c r="AD237" s="76" t="str">
        <f>IFERROR(AC237*J237*L237*#REF!*O237,IF(P237="","","None"))</f>
        <v/>
      </c>
      <c r="AF237" s="54" t="str">
        <f t="shared" si="15"/>
        <v/>
      </c>
      <c r="AG237" s="54" t="str">
        <f t="shared" si="16"/>
        <v/>
      </c>
      <c r="AH237" s="54" t="str">
        <f>IF(I237="","",IF(#REF!&gt;0,TRUE,FALSE))</f>
        <v/>
      </c>
      <c r="AI237" s="54">
        <v>227</v>
      </c>
      <c r="AJ237" s="54"/>
      <c r="AK237" s="54" t="str">
        <f t="array" ref="AK237">IFERROR(INDEX($AI$11:$AI$259, MATCH(0, IF(TRUE=$AF$11:$AF$259, COUNTIF($AK$10:$AK236, $AI$11:$AI$259), ""), 0)),"")</f>
        <v/>
      </c>
      <c r="AL237" s="54" t="str">
        <f t="array" ref="AL237">IFERROR(INDEX($AI$11:$AI$259, MATCH(0, IF(TRUE=$AG$11:$AG$259, COUNTIF($AL$10:$AL236, $AI$11:$AI$259), ""), 0)),"")</f>
        <v/>
      </c>
      <c r="AM237" s="54" t="str">
        <f t="array" ref="AM237">IFERROR(INDEX($AI$11:$AI$259, MATCH(0, IF(TRUE=$AH$11:$AH$259, COUNTIF($AM$10:$AM236, $AI$11:$AI$259), ""), 0)),"")</f>
        <v/>
      </c>
      <c r="AN237" s="54"/>
      <c r="AQ237" s="47">
        <f t="shared" si="17"/>
        <v>0</v>
      </c>
    </row>
    <row r="238" spans="1:43" x14ac:dyDescent="0.3">
      <c r="A238" s="47" t="str">
        <f>IFERROR(INDEX('G-1 All Habitats'!$AG$3:$AG$15,MATCH(E238,'G-1 All Habitats'!$AF$3:$AF$15,0)),"")</f>
        <v/>
      </c>
      <c r="B238" s="47" t="str">
        <f>IFERROR(INDEX('G-8 Condition Look up'!$I$4:$I$130,MATCH(G238,'G-8 Condition Look up'!$A$4:$A$130,0)),"")</f>
        <v/>
      </c>
      <c r="D238" s="77">
        <v>228</v>
      </c>
      <c r="E238" s="78"/>
      <c r="F238" s="79"/>
      <c r="G238" s="69" t="str">
        <f>IFERROR(INDEX('G-1 All Habitats'!$B$3:$B$129,MATCH(F238,'G-1 All Habitats'!$A$3:$A$129,0)),"")</f>
        <v/>
      </c>
      <c r="H238" s="70"/>
      <c r="I238" s="498" t="str">
        <f>IF(G238="","",VLOOKUP(G238,'G-1 All Habitats'!$B$2:$M$129,10,FALSE))</f>
        <v/>
      </c>
      <c r="J238" s="499" t="str">
        <f>IFERROR(VLOOKUP(I238,'G-1 All Habitats'!$V$3:$W$7,2,FALSE),"")</f>
        <v/>
      </c>
      <c r="K238" s="71"/>
      <c r="L238" s="499" t="str">
        <f>IFERROR(INDEX('G-8 Condition Look up'!$A$3:$H$130,MATCH(G238,'G-8 Condition Look up'!$A$3:$A$130,0),MATCH(K238,'G-8 Condition Look up'!$A$3:$H$3,0)),"")</f>
        <v/>
      </c>
      <c r="M238" s="71"/>
      <c r="N238" s="520" t="str">
        <f>IF(M238="","",IF(VLOOKUP(M238,'G-3 Multipliers'!$L$3:$N$6,2,FALSE)=0,"Spatial Data Missing",VLOOKUP(M238,'G-3 Multipliers'!$L$3:$N$6,2,FALSE)))</f>
        <v/>
      </c>
      <c r="O238" s="505" t="str">
        <f>IF(M238="","",IF(VLOOKUP(M238,'G-3 Multipliers'!$L$3:$N$6,3,FALSE)=0,"Spatial Data Missing",VLOOKUP(M238,'G-3 Multipliers'!$L$3:$N$6,3,FALSE)))</f>
        <v/>
      </c>
      <c r="P238" s="506" t="str">
        <f>IFERROR(VLOOKUP(G238,'G-1 All Habitats'!$B$2:$M$129,12,FALSE),"")</f>
        <v/>
      </c>
      <c r="Q238" s="513" t="str">
        <f>IFERROR(IF(P238="","",IF(AND(P238='G-1 All Habitats'!$X$3,T238&gt;0),U238+V238,IF(AND(P238='G-1 All Habitats'!$X$3,S238&gt;0),U238+V238,IF(AND(P238='G-1 All Habitats'!$X$3,AC238&gt;0),"Any Loss Unacceptable ▲",IF(AND(P238='G-1 All Habitats'!$X$3,W238&gt;0),"Any Loss Unacceptable ▲",H238*J238*L238*O238))))),"Check Data ▲")</f>
        <v/>
      </c>
      <c r="R238" s="50"/>
      <c r="S238" s="71"/>
      <c r="T238" s="72"/>
      <c r="U238" s="511" t="str">
        <f t="shared" si="18"/>
        <v/>
      </c>
      <c r="V238" s="511" t="str">
        <f t="shared" si="19"/>
        <v/>
      </c>
      <c r="W238" s="511" t="str">
        <f>IF(E238="","",IF(H238&lt;S238+T238,"Error in Areas ▲",IF(P238&lt;&gt;'G-1 All Habitats'!$X$3,H238-S238-T238,IF(AND(P238='G-1 All Habitats'!$X$3,Y238="Yes"),"Unacceptable Loss",IF(AND(P238='G-1 All Habitats'!$X$3,Y238="No"),AC238,IF(AND(P238='G-1 All Habitats'!$X$3,Y238=""),AC238,IF(AND(P238='G-1 All Habitats'!$X$3,AC238="None",AC238),IF(AND(P238='G-1 All Habitats'!$X$3,AC238&gt;0),H238-S238-T238))))))))</f>
        <v/>
      </c>
      <c r="X238" s="515" t="str">
        <f>IFERROR(IF(H238="","",IF(H238-S238-T238=0&lt;0,"Error in Areas ▲",IF(S238+T238&gt;H238,"Error in Areas ▲",IF(AND(P238='G-1 All Habitats'!$X$3,Y238="Yes"),"Alternative Compensation ✓",IF(W238=0,0,IF(P238='G-1 All Habitats'!$X$3,"Unacceptable Loss ▲",Q238-U238-V238)))))),"Check Data ▲")</f>
        <v/>
      </c>
      <c r="Y238" s="72"/>
      <c r="Z238" s="80"/>
      <c r="AA238" s="81"/>
      <c r="AC238" s="75" t="str">
        <f>IF(P238="","",IF(P238='G-1 All Habitats'!$X$3,H238-S238-T238,"None"))</f>
        <v/>
      </c>
      <c r="AD238" s="76" t="str">
        <f>IFERROR(AC238*J238*L238*#REF!*O238,IF(P238="","","None"))</f>
        <v/>
      </c>
      <c r="AF238" s="54" t="str">
        <f t="shared" si="15"/>
        <v/>
      </c>
      <c r="AG238" s="54" t="str">
        <f t="shared" si="16"/>
        <v/>
      </c>
      <c r="AH238" s="54" t="str">
        <f>IF(I238="","",IF(#REF!&gt;0,TRUE,FALSE))</f>
        <v/>
      </c>
      <c r="AI238" s="54">
        <v>228</v>
      </c>
      <c r="AJ238" s="54"/>
      <c r="AK238" s="54" t="str">
        <f t="array" ref="AK238">IFERROR(INDEX($AI$11:$AI$259, MATCH(0, IF(TRUE=$AF$11:$AF$259, COUNTIF($AK$10:$AK237, $AI$11:$AI$259), ""), 0)),"")</f>
        <v/>
      </c>
      <c r="AL238" s="54" t="str">
        <f t="array" ref="AL238">IFERROR(INDEX($AI$11:$AI$259, MATCH(0, IF(TRUE=$AG$11:$AG$259, COUNTIF($AL$10:$AL237, $AI$11:$AI$259), ""), 0)),"")</f>
        <v/>
      </c>
      <c r="AM238" s="54" t="str">
        <f t="array" ref="AM238">IFERROR(INDEX($AI$11:$AI$259, MATCH(0, IF(TRUE=$AH$11:$AH$259, COUNTIF($AM$10:$AM237, $AI$11:$AI$259), ""), 0)),"")</f>
        <v/>
      </c>
      <c r="AN238" s="54"/>
      <c r="AQ238" s="47">
        <f t="shared" si="17"/>
        <v>0</v>
      </c>
    </row>
    <row r="239" spans="1:43" x14ac:dyDescent="0.3">
      <c r="A239" s="47" t="str">
        <f>IFERROR(INDEX('G-1 All Habitats'!$AG$3:$AG$15,MATCH(E239,'G-1 All Habitats'!$AF$3:$AF$15,0)),"")</f>
        <v/>
      </c>
      <c r="B239" s="47" t="str">
        <f>IFERROR(INDEX('G-8 Condition Look up'!$I$4:$I$130,MATCH(G239,'G-8 Condition Look up'!$A$4:$A$130,0)),"")</f>
        <v/>
      </c>
      <c r="D239" s="77">
        <v>229</v>
      </c>
      <c r="E239" s="78"/>
      <c r="F239" s="79"/>
      <c r="G239" s="69" t="str">
        <f>IFERROR(INDEX('G-1 All Habitats'!$B$3:$B$129,MATCH(F239,'G-1 All Habitats'!$A$3:$A$129,0)),"")</f>
        <v/>
      </c>
      <c r="H239" s="70"/>
      <c r="I239" s="498" t="str">
        <f>IF(G239="","",VLOOKUP(G239,'G-1 All Habitats'!$B$2:$M$129,10,FALSE))</f>
        <v/>
      </c>
      <c r="J239" s="499" t="str">
        <f>IFERROR(VLOOKUP(I239,'G-1 All Habitats'!$V$3:$W$7,2,FALSE),"")</f>
        <v/>
      </c>
      <c r="K239" s="71"/>
      <c r="L239" s="499" t="str">
        <f>IFERROR(INDEX('G-8 Condition Look up'!$A$3:$H$130,MATCH(G239,'G-8 Condition Look up'!$A$3:$A$130,0),MATCH(K239,'G-8 Condition Look up'!$A$3:$H$3,0)),"")</f>
        <v/>
      </c>
      <c r="M239" s="71"/>
      <c r="N239" s="520" t="str">
        <f>IF(M239="","",IF(VLOOKUP(M239,'G-3 Multipliers'!$L$3:$N$6,2,FALSE)=0,"Spatial Data Missing",VLOOKUP(M239,'G-3 Multipliers'!$L$3:$N$6,2,FALSE)))</f>
        <v/>
      </c>
      <c r="O239" s="505" t="str">
        <f>IF(M239="","",IF(VLOOKUP(M239,'G-3 Multipliers'!$L$3:$N$6,3,FALSE)=0,"Spatial Data Missing",VLOOKUP(M239,'G-3 Multipliers'!$L$3:$N$6,3,FALSE)))</f>
        <v/>
      </c>
      <c r="P239" s="506" t="str">
        <f>IFERROR(VLOOKUP(G239,'G-1 All Habitats'!$B$2:$M$129,12,FALSE),"")</f>
        <v/>
      </c>
      <c r="Q239" s="513" t="str">
        <f>IFERROR(IF(P239="","",IF(AND(P239='G-1 All Habitats'!$X$3,T239&gt;0),U239+V239,IF(AND(P239='G-1 All Habitats'!$X$3,S239&gt;0),U239+V239,IF(AND(P239='G-1 All Habitats'!$X$3,AC239&gt;0),"Any Loss Unacceptable ▲",IF(AND(P239='G-1 All Habitats'!$X$3,W239&gt;0),"Any Loss Unacceptable ▲",H239*J239*L239*O239))))),"Check Data ▲")</f>
        <v/>
      </c>
      <c r="R239" s="50"/>
      <c r="S239" s="71"/>
      <c r="T239" s="72"/>
      <c r="U239" s="511" t="str">
        <f t="shared" si="18"/>
        <v/>
      </c>
      <c r="V239" s="511" t="str">
        <f t="shared" si="19"/>
        <v/>
      </c>
      <c r="W239" s="511" t="str">
        <f>IF(E239="","",IF(H239&lt;S239+T239,"Error in Areas ▲",IF(P239&lt;&gt;'G-1 All Habitats'!$X$3,H239-S239-T239,IF(AND(P239='G-1 All Habitats'!$X$3,Y239="Yes"),"Unacceptable Loss",IF(AND(P239='G-1 All Habitats'!$X$3,Y239="No"),AC239,IF(AND(P239='G-1 All Habitats'!$X$3,Y239=""),AC239,IF(AND(P239='G-1 All Habitats'!$X$3,AC239="None",AC239),IF(AND(P239='G-1 All Habitats'!$X$3,AC239&gt;0),H239-S239-T239))))))))</f>
        <v/>
      </c>
      <c r="X239" s="515" t="str">
        <f>IFERROR(IF(H239="","",IF(H239-S239-T239=0&lt;0,"Error in Areas ▲",IF(S239+T239&gt;H239,"Error in Areas ▲",IF(AND(P239='G-1 All Habitats'!$X$3,Y239="Yes"),"Alternative Compensation ✓",IF(W239=0,0,IF(P239='G-1 All Habitats'!$X$3,"Unacceptable Loss ▲",Q239-U239-V239)))))),"Check Data ▲")</f>
        <v/>
      </c>
      <c r="Y239" s="72"/>
      <c r="Z239" s="80"/>
      <c r="AA239" s="81"/>
      <c r="AC239" s="75" t="str">
        <f>IF(P239="","",IF(P239='G-1 All Habitats'!$X$3,H239-S239-T239,"None"))</f>
        <v/>
      </c>
      <c r="AD239" s="76" t="str">
        <f>IFERROR(AC239*J239*L239*#REF!*O239,IF(P239="","","None"))</f>
        <v/>
      </c>
      <c r="AF239" s="54" t="str">
        <f t="shared" si="15"/>
        <v/>
      </c>
      <c r="AG239" s="54" t="str">
        <f t="shared" si="16"/>
        <v/>
      </c>
      <c r="AH239" s="54" t="str">
        <f>IF(I239="","",IF(#REF!&gt;0,TRUE,FALSE))</f>
        <v/>
      </c>
      <c r="AI239" s="54">
        <v>229</v>
      </c>
      <c r="AJ239" s="54"/>
      <c r="AK239" s="54" t="str">
        <f t="array" ref="AK239">IFERROR(INDEX($AI$11:$AI$259, MATCH(0, IF(TRUE=$AF$11:$AF$259, COUNTIF($AK$10:$AK238, $AI$11:$AI$259), ""), 0)),"")</f>
        <v/>
      </c>
      <c r="AL239" s="54" t="str">
        <f t="array" ref="AL239">IFERROR(INDEX($AI$11:$AI$259, MATCH(0, IF(TRUE=$AG$11:$AG$259, COUNTIF($AL$10:$AL238, $AI$11:$AI$259), ""), 0)),"")</f>
        <v/>
      </c>
      <c r="AM239" s="54" t="str">
        <f t="array" ref="AM239">IFERROR(INDEX($AI$11:$AI$259, MATCH(0, IF(TRUE=$AH$11:$AH$259, COUNTIF($AM$10:$AM238, $AI$11:$AI$259), ""), 0)),"")</f>
        <v/>
      </c>
      <c r="AN239" s="54"/>
      <c r="AQ239" s="47">
        <f t="shared" si="17"/>
        <v>0</v>
      </c>
    </row>
    <row r="240" spans="1:43" x14ac:dyDescent="0.3">
      <c r="A240" s="47" t="str">
        <f>IFERROR(INDEX('G-1 All Habitats'!$AG$3:$AG$15,MATCH(E240,'G-1 All Habitats'!$AF$3:$AF$15,0)),"")</f>
        <v/>
      </c>
      <c r="B240" s="47" t="str">
        <f>IFERROR(INDEX('G-8 Condition Look up'!$I$4:$I$130,MATCH(G240,'G-8 Condition Look up'!$A$4:$A$130,0)),"")</f>
        <v/>
      </c>
      <c r="D240" s="77">
        <v>230</v>
      </c>
      <c r="E240" s="78"/>
      <c r="F240" s="79"/>
      <c r="G240" s="69" t="str">
        <f>IFERROR(INDEX('G-1 All Habitats'!$B$3:$B$129,MATCH(F240,'G-1 All Habitats'!$A$3:$A$129,0)),"")</f>
        <v/>
      </c>
      <c r="H240" s="70"/>
      <c r="I240" s="498" t="str">
        <f>IF(G240="","",VLOOKUP(G240,'G-1 All Habitats'!$B$2:$M$129,10,FALSE))</f>
        <v/>
      </c>
      <c r="J240" s="499" t="str">
        <f>IFERROR(VLOOKUP(I240,'G-1 All Habitats'!$V$3:$W$7,2,FALSE),"")</f>
        <v/>
      </c>
      <c r="K240" s="71"/>
      <c r="L240" s="499" t="str">
        <f>IFERROR(INDEX('G-8 Condition Look up'!$A$3:$H$130,MATCH(G240,'G-8 Condition Look up'!$A$3:$A$130,0),MATCH(K240,'G-8 Condition Look up'!$A$3:$H$3,0)),"")</f>
        <v/>
      </c>
      <c r="M240" s="71"/>
      <c r="N240" s="520" t="str">
        <f>IF(M240="","",IF(VLOOKUP(M240,'G-3 Multipliers'!$L$3:$N$6,2,FALSE)=0,"Spatial Data Missing",VLOOKUP(M240,'G-3 Multipliers'!$L$3:$N$6,2,FALSE)))</f>
        <v/>
      </c>
      <c r="O240" s="505" t="str">
        <f>IF(M240="","",IF(VLOOKUP(M240,'G-3 Multipliers'!$L$3:$N$6,3,FALSE)=0,"Spatial Data Missing",VLOOKUP(M240,'G-3 Multipliers'!$L$3:$N$6,3,FALSE)))</f>
        <v/>
      </c>
      <c r="P240" s="506" t="str">
        <f>IFERROR(VLOOKUP(G240,'G-1 All Habitats'!$B$2:$M$129,12,FALSE),"")</f>
        <v/>
      </c>
      <c r="Q240" s="513" t="str">
        <f>IFERROR(IF(P240="","",IF(AND(P240='G-1 All Habitats'!$X$3,T240&gt;0),U240+V240,IF(AND(P240='G-1 All Habitats'!$X$3,S240&gt;0),U240+V240,IF(AND(P240='G-1 All Habitats'!$X$3,AC240&gt;0),"Any Loss Unacceptable ▲",IF(AND(P240='G-1 All Habitats'!$X$3,W240&gt;0),"Any Loss Unacceptable ▲",H240*J240*L240*O240))))),"Check Data ▲")</f>
        <v/>
      </c>
      <c r="R240" s="50"/>
      <c r="S240" s="71"/>
      <c r="T240" s="72"/>
      <c r="U240" s="511" t="str">
        <f t="shared" si="18"/>
        <v/>
      </c>
      <c r="V240" s="511" t="str">
        <f t="shared" si="19"/>
        <v/>
      </c>
      <c r="W240" s="511" t="str">
        <f>IF(E240="","",IF(H240&lt;S240+T240,"Error in Areas ▲",IF(P240&lt;&gt;'G-1 All Habitats'!$X$3,H240-S240-T240,IF(AND(P240='G-1 All Habitats'!$X$3,Y240="Yes"),"Unacceptable Loss",IF(AND(P240='G-1 All Habitats'!$X$3,Y240="No"),AC240,IF(AND(P240='G-1 All Habitats'!$X$3,Y240=""),AC240,IF(AND(P240='G-1 All Habitats'!$X$3,AC240="None",AC240),IF(AND(P240='G-1 All Habitats'!$X$3,AC240&gt;0),H240-S240-T240))))))))</f>
        <v/>
      </c>
      <c r="X240" s="515" t="str">
        <f>IFERROR(IF(H240="","",IF(H240-S240-T240=0&lt;0,"Error in Areas ▲",IF(S240+T240&gt;H240,"Error in Areas ▲",IF(AND(P240='G-1 All Habitats'!$X$3,Y240="Yes"),"Alternative Compensation ✓",IF(W240=0,0,IF(P240='G-1 All Habitats'!$X$3,"Unacceptable Loss ▲",Q240-U240-V240)))))),"Check Data ▲")</f>
        <v/>
      </c>
      <c r="Y240" s="72"/>
      <c r="Z240" s="80"/>
      <c r="AA240" s="81"/>
      <c r="AC240" s="75" t="str">
        <f>IF(P240="","",IF(P240='G-1 All Habitats'!$X$3,H240-S240-T240,"None"))</f>
        <v/>
      </c>
      <c r="AD240" s="76" t="str">
        <f>IFERROR(AC240*J240*L240*#REF!*O240,IF(P240="","","None"))</f>
        <v/>
      </c>
      <c r="AF240" s="54" t="str">
        <f t="shared" si="15"/>
        <v/>
      </c>
      <c r="AG240" s="54" t="str">
        <f t="shared" si="16"/>
        <v/>
      </c>
      <c r="AH240" s="54" t="str">
        <f>IF(I240="","",IF(#REF!&gt;0,TRUE,FALSE))</f>
        <v/>
      </c>
      <c r="AI240" s="54">
        <v>230</v>
      </c>
      <c r="AJ240" s="54"/>
      <c r="AK240" s="54" t="str">
        <f t="array" ref="AK240">IFERROR(INDEX($AI$11:$AI$259, MATCH(0, IF(TRUE=$AF$11:$AF$259, COUNTIF($AK$10:$AK239, $AI$11:$AI$259), ""), 0)),"")</f>
        <v/>
      </c>
      <c r="AL240" s="54" t="str">
        <f t="array" ref="AL240">IFERROR(INDEX($AI$11:$AI$259, MATCH(0, IF(TRUE=$AG$11:$AG$259, COUNTIF($AL$10:$AL239, $AI$11:$AI$259), ""), 0)),"")</f>
        <v/>
      </c>
      <c r="AM240" s="54" t="str">
        <f t="array" ref="AM240">IFERROR(INDEX($AI$11:$AI$259, MATCH(0, IF(TRUE=$AH$11:$AH$259, COUNTIF($AM$10:$AM239, $AI$11:$AI$259), ""), 0)),"")</f>
        <v/>
      </c>
      <c r="AN240" s="54"/>
      <c r="AQ240" s="47">
        <f t="shared" si="17"/>
        <v>0</v>
      </c>
    </row>
    <row r="241" spans="1:43" x14ac:dyDescent="0.3">
      <c r="A241" s="47" t="str">
        <f>IFERROR(INDEX('G-1 All Habitats'!$AG$3:$AG$15,MATCH(E241,'G-1 All Habitats'!$AF$3:$AF$15,0)),"")</f>
        <v/>
      </c>
      <c r="B241" s="47" t="str">
        <f>IFERROR(INDEX('G-8 Condition Look up'!$I$4:$I$130,MATCH(G241,'G-8 Condition Look up'!$A$4:$A$130,0)),"")</f>
        <v/>
      </c>
      <c r="D241" s="77">
        <v>231</v>
      </c>
      <c r="E241" s="78"/>
      <c r="F241" s="79"/>
      <c r="G241" s="69" t="str">
        <f>IFERROR(INDEX('G-1 All Habitats'!$B$3:$B$129,MATCH(F241,'G-1 All Habitats'!$A$3:$A$129,0)),"")</f>
        <v/>
      </c>
      <c r="H241" s="70"/>
      <c r="I241" s="498" t="str">
        <f>IF(G241="","",VLOOKUP(G241,'G-1 All Habitats'!$B$2:$M$129,10,FALSE))</f>
        <v/>
      </c>
      <c r="J241" s="499" t="str">
        <f>IFERROR(VLOOKUP(I241,'G-1 All Habitats'!$V$3:$W$7,2,FALSE),"")</f>
        <v/>
      </c>
      <c r="K241" s="71"/>
      <c r="L241" s="499" t="str">
        <f>IFERROR(INDEX('G-8 Condition Look up'!$A$3:$H$130,MATCH(G241,'G-8 Condition Look up'!$A$3:$A$130,0),MATCH(K241,'G-8 Condition Look up'!$A$3:$H$3,0)),"")</f>
        <v/>
      </c>
      <c r="M241" s="71"/>
      <c r="N241" s="520" t="str">
        <f>IF(M241="","",IF(VLOOKUP(M241,'G-3 Multipliers'!$L$3:$N$6,2,FALSE)=0,"Spatial Data Missing",VLOOKUP(M241,'G-3 Multipliers'!$L$3:$N$6,2,FALSE)))</f>
        <v/>
      </c>
      <c r="O241" s="505" t="str">
        <f>IF(M241="","",IF(VLOOKUP(M241,'G-3 Multipliers'!$L$3:$N$6,3,FALSE)=0,"Spatial Data Missing",VLOOKUP(M241,'G-3 Multipliers'!$L$3:$N$6,3,FALSE)))</f>
        <v/>
      </c>
      <c r="P241" s="506" t="str">
        <f>IFERROR(VLOOKUP(G241,'G-1 All Habitats'!$B$2:$M$129,12,FALSE),"")</f>
        <v/>
      </c>
      <c r="Q241" s="513" t="str">
        <f>IFERROR(IF(P241="","",IF(AND(P241='G-1 All Habitats'!$X$3,T241&gt;0),U241+V241,IF(AND(P241='G-1 All Habitats'!$X$3,S241&gt;0),U241+V241,IF(AND(P241='G-1 All Habitats'!$X$3,AC241&gt;0),"Any Loss Unacceptable ▲",IF(AND(P241='G-1 All Habitats'!$X$3,W241&gt;0),"Any Loss Unacceptable ▲",H241*J241*L241*O241))))),"Check Data ▲")</f>
        <v/>
      </c>
      <c r="R241" s="50"/>
      <c r="S241" s="71"/>
      <c r="T241" s="72"/>
      <c r="U241" s="511" t="str">
        <f t="shared" si="18"/>
        <v/>
      </c>
      <c r="V241" s="511" t="str">
        <f t="shared" si="19"/>
        <v/>
      </c>
      <c r="W241" s="511" t="str">
        <f>IF(E241="","",IF(H241&lt;S241+T241,"Error in Areas ▲",IF(P241&lt;&gt;'G-1 All Habitats'!$X$3,H241-S241-T241,IF(AND(P241='G-1 All Habitats'!$X$3,Y241="Yes"),"Unacceptable Loss",IF(AND(P241='G-1 All Habitats'!$X$3,Y241="No"),AC241,IF(AND(P241='G-1 All Habitats'!$X$3,Y241=""),AC241,IF(AND(P241='G-1 All Habitats'!$X$3,AC241="None",AC241),IF(AND(P241='G-1 All Habitats'!$X$3,AC241&gt;0),H241-S241-T241))))))))</f>
        <v/>
      </c>
      <c r="X241" s="515" t="str">
        <f>IFERROR(IF(H241="","",IF(H241-S241-T241=0&lt;0,"Error in Areas ▲",IF(S241+T241&gt;H241,"Error in Areas ▲",IF(AND(P241='G-1 All Habitats'!$X$3,Y241="Yes"),"Alternative Compensation ✓",IF(W241=0,0,IF(P241='G-1 All Habitats'!$X$3,"Unacceptable Loss ▲",Q241-U241-V241)))))),"Check Data ▲")</f>
        <v/>
      </c>
      <c r="Y241" s="72"/>
      <c r="Z241" s="80"/>
      <c r="AA241" s="81"/>
      <c r="AC241" s="75" t="str">
        <f>IF(P241="","",IF(P241='G-1 All Habitats'!$X$3,H241-S241-T241,"None"))</f>
        <v/>
      </c>
      <c r="AD241" s="76" t="str">
        <f>IFERROR(AC241*J241*L241*#REF!*O241,IF(P241="","","None"))</f>
        <v/>
      </c>
      <c r="AF241" s="54" t="str">
        <f t="shared" si="15"/>
        <v/>
      </c>
      <c r="AG241" s="54" t="str">
        <f t="shared" si="16"/>
        <v/>
      </c>
      <c r="AH241" s="54" t="str">
        <f>IF(I241="","",IF(#REF!&gt;0,TRUE,FALSE))</f>
        <v/>
      </c>
      <c r="AI241" s="54">
        <v>231</v>
      </c>
      <c r="AJ241" s="54"/>
      <c r="AK241" s="54" t="str">
        <f t="array" ref="AK241">IFERROR(INDEX($AI$11:$AI$259, MATCH(0, IF(TRUE=$AF$11:$AF$259, COUNTIF($AK$10:$AK240, $AI$11:$AI$259), ""), 0)),"")</f>
        <v/>
      </c>
      <c r="AL241" s="54" t="str">
        <f t="array" ref="AL241">IFERROR(INDEX($AI$11:$AI$259, MATCH(0, IF(TRUE=$AG$11:$AG$259, COUNTIF($AL$10:$AL240, $AI$11:$AI$259), ""), 0)),"")</f>
        <v/>
      </c>
      <c r="AM241" s="54" t="str">
        <f t="array" ref="AM241">IFERROR(INDEX($AI$11:$AI$259, MATCH(0, IF(TRUE=$AH$11:$AH$259, COUNTIF($AM$10:$AM240, $AI$11:$AI$259), ""), 0)),"")</f>
        <v/>
      </c>
      <c r="AN241" s="54"/>
      <c r="AQ241" s="47">
        <f t="shared" si="17"/>
        <v>0</v>
      </c>
    </row>
    <row r="242" spans="1:43" x14ac:dyDescent="0.3">
      <c r="A242" s="47" t="str">
        <f>IFERROR(INDEX('G-1 All Habitats'!$AG$3:$AG$15,MATCH(E242,'G-1 All Habitats'!$AF$3:$AF$15,0)),"")</f>
        <v/>
      </c>
      <c r="B242" s="47" t="str">
        <f>IFERROR(INDEX('G-8 Condition Look up'!$I$4:$I$130,MATCH(G242,'G-8 Condition Look up'!$A$4:$A$130,0)),"")</f>
        <v/>
      </c>
      <c r="D242" s="77">
        <v>232</v>
      </c>
      <c r="E242" s="78"/>
      <c r="F242" s="79"/>
      <c r="G242" s="69" t="str">
        <f>IFERROR(INDEX('G-1 All Habitats'!$B$3:$B$129,MATCH(F242,'G-1 All Habitats'!$A$3:$A$129,0)),"")</f>
        <v/>
      </c>
      <c r="H242" s="70"/>
      <c r="I242" s="498" t="str">
        <f>IF(G242="","",VLOOKUP(G242,'G-1 All Habitats'!$B$2:$M$129,10,FALSE))</f>
        <v/>
      </c>
      <c r="J242" s="499" t="str">
        <f>IFERROR(VLOOKUP(I242,'G-1 All Habitats'!$V$3:$W$7,2,FALSE),"")</f>
        <v/>
      </c>
      <c r="K242" s="71"/>
      <c r="L242" s="499" t="str">
        <f>IFERROR(INDEX('G-8 Condition Look up'!$A$3:$H$130,MATCH(G242,'G-8 Condition Look up'!$A$3:$A$130,0),MATCH(K242,'G-8 Condition Look up'!$A$3:$H$3,0)),"")</f>
        <v/>
      </c>
      <c r="M242" s="71"/>
      <c r="N242" s="520" t="str">
        <f>IF(M242="","",IF(VLOOKUP(M242,'G-3 Multipliers'!$L$3:$N$6,2,FALSE)=0,"Spatial Data Missing",VLOOKUP(M242,'G-3 Multipliers'!$L$3:$N$6,2,FALSE)))</f>
        <v/>
      </c>
      <c r="O242" s="505" t="str">
        <f>IF(M242="","",IF(VLOOKUP(M242,'G-3 Multipliers'!$L$3:$N$6,3,FALSE)=0,"Spatial Data Missing",VLOOKUP(M242,'G-3 Multipliers'!$L$3:$N$6,3,FALSE)))</f>
        <v/>
      </c>
      <c r="P242" s="506" t="str">
        <f>IFERROR(VLOOKUP(G242,'G-1 All Habitats'!$B$2:$M$129,12,FALSE),"")</f>
        <v/>
      </c>
      <c r="Q242" s="513" t="str">
        <f>IFERROR(IF(P242="","",IF(AND(P242='G-1 All Habitats'!$X$3,T242&gt;0),U242+V242,IF(AND(P242='G-1 All Habitats'!$X$3,S242&gt;0),U242+V242,IF(AND(P242='G-1 All Habitats'!$X$3,AC242&gt;0),"Any Loss Unacceptable ▲",IF(AND(P242='G-1 All Habitats'!$X$3,W242&gt;0),"Any Loss Unacceptable ▲",H242*J242*L242*O242))))),"Check Data ▲")</f>
        <v/>
      </c>
      <c r="R242" s="50"/>
      <c r="S242" s="71"/>
      <c r="T242" s="72"/>
      <c r="U242" s="511" t="str">
        <f t="shared" si="18"/>
        <v/>
      </c>
      <c r="V242" s="511" t="str">
        <f t="shared" si="19"/>
        <v/>
      </c>
      <c r="W242" s="511" t="str">
        <f>IF(E242="","",IF(H242&lt;S242+T242,"Error in Areas ▲",IF(P242&lt;&gt;'G-1 All Habitats'!$X$3,H242-S242-T242,IF(AND(P242='G-1 All Habitats'!$X$3,Y242="Yes"),"Unacceptable Loss",IF(AND(P242='G-1 All Habitats'!$X$3,Y242="No"),AC242,IF(AND(P242='G-1 All Habitats'!$X$3,Y242=""),AC242,IF(AND(P242='G-1 All Habitats'!$X$3,AC242="None",AC242),IF(AND(P242='G-1 All Habitats'!$X$3,AC242&gt;0),H242-S242-T242))))))))</f>
        <v/>
      </c>
      <c r="X242" s="515" t="str">
        <f>IFERROR(IF(H242="","",IF(H242-S242-T242=0&lt;0,"Error in Areas ▲",IF(S242+T242&gt;H242,"Error in Areas ▲",IF(AND(P242='G-1 All Habitats'!$X$3,Y242="Yes"),"Alternative Compensation ✓",IF(W242=0,0,IF(P242='G-1 All Habitats'!$X$3,"Unacceptable Loss ▲",Q242-U242-V242)))))),"Check Data ▲")</f>
        <v/>
      </c>
      <c r="Y242" s="72"/>
      <c r="Z242" s="80"/>
      <c r="AA242" s="81"/>
      <c r="AC242" s="75" t="str">
        <f>IF(P242="","",IF(P242='G-1 All Habitats'!$X$3,H242-S242-T242,"None"))</f>
        <v/>
      </c>
      <c r="AD242" s="76" t="str">
        <f>IFERROR(AC242*J242*L242*#REF!*O242,IF(P242="","","None"))</f>
        <v/>
      </c>
      <c r="AF242" s="54" t="str">
        <f t="shared" si="15"/>
        <v/>
      </c>
      <c r="AG242" s="54" t="str">
        <f t="shared" si="16"/>
        <v/>
      </c>
      <c r="AH242" s="54" t="str">
        <f>IF(I242="","",IF(#REF!&gt;0,TRUE,FALSE))</f>
        <v/>
      </c>
      <c r="AI242" s="54">
        <v>232</v>
      </c>
      <c r="AJ242" s="54"/>
      <c r="AK242" s="54" t="str">
        <f t="array" ref="AK242">IFERROR(INDEX($AI$11:$AI$259, MATCH(0, IF(TRUE=$AF$11:$AF$259, COUNTIF($AK$10:$AK241, $AI$11:$AI$259), ""), 0)),"")</f>
        <v/>
      </c>
      <c r="AL242" s="54" t="str">
        <f t="array" ref="AL242">IFERROR(INDEX($AI$11:$AI$259, MATCH(0, IF(TRUE=$AG$11:$AG$259, COUNTIF($AL$10:$AL241, $AI$11:$AI$259), ""), 0)),"")</f>
        <v/>
      </c>
      <c r="AM242" s="54" t="str">
        <f t="array" ref="AM242">IFERROR(INDEX($AI$11:$AI$259, MATCH(0, IF(TRUE=$AH$11:$AH$259, COUNTIF($AM$10:$AM241, $AI$11:$AI$259), ""), 0)),"")</f>
        <v/>
      </c>
      <c r="AN242" s="54"/>
      <c r="AQ242" s="47">
        <f t="shared" si="17"/>
        <v>0</v>
      </c>
    </row>
    <row r="243" spans="1:43" x14ac:dyDescent="0.3">
      <c r="A243" s="47" t="str">
        <f>IFERROR(INDEX('G-1 All Habitats'!$AG$3:$AG$15,MATCH(E243,'G-1 All Habitats'!$AF$3:$AF$15,0)),"")</f>
        <v/>
      </c>
      <c r="B243" s="47" t="str">
        <f>IFERROR(INDEX('G-8 Condition Look up'!$I$4:$I$130,MATCH(G243,'G-8 Condition Look up'!$A$4:$A$130,0)),"")</f>
        <v/>
      </c>
      <c r="D243" s="77">
        <v>233</v>
      </c>
      <c r="E243" s="78"/>
      <c r="F243" s="79"/>
      <c r="G243" s="69" t="str">
        <f>IFERROR(INDEX('G-1 All Habitats'!$B$3:$B$129,MATCH(F243,'G-1 All Habitats'!$A$3:$A$129,0)),"")</f>
        <v/>
      </c>
      <c r="H243" s="70"/>
      <c r="I243" s="498" t="str">
        <f>IF(G243="","",VLOOKUP(G243,'G-1 All Habitats'!$B$2:$M$129,10,FALSE))</f>
        <v/>
      </c>
      <c r="J243" s="499" t="str">
        <f>IFERROR(VLOOKUP(I243,'G-1 All Habitats'!$V$3:$W$7,2,FALSE),"")</f>
        <v/>
      </c>
      <c r="K243" s="71"/>
      <c r="L243" s="499" t="str">
        <f>IFERROR(INDEX('G-8 Condition Look up'!$A$3:$H$130,MATCH(G243,'G-8 Condition Look up'!$A$3:$A$130,0),MATCH(K243,'G-8 Condition Look up'!$A$3:$H$3,0)),"")</f>
        <v/>
      </c>
      <c r="M243" s="71"/>
      <c r="N243" s="520" t="str">
        <f>IF(M243="","",IF(VLOOKUP(M243,'G-3 Multipliers'!$L$3:$N$6,2,FALSE)=0,"Spatial Data Missing",VLOOKUP(M243,'G-3 Multipliers'!$L$3:$N$6,2,FALSE)))</f>
        <v/>
      </c>
      <c r="O243" s="505" t="str">
        <f>IF(M243="","",IF(VLOOKUP(M243,'G-3 Multipliers'!$L$3:$N$6,3,FALSE)=0,"Spatial Data Missing",VLOOKUP(M243,'G-3 Multipliers'!$L$3:$N$6,3,FALSE)))</f>
        <v/>
      </c>
      <c r="P243" s="506" t="str">
        <f>IFERROR(VLOOKUP(G243,'G-1 All Habitats'!$B$2:$M$129,12,FALSE),"")</f>
        <v/>
      </c>
      <c r="Q243" s="513" t="str">
        <f>IFERROR(IF(P243="","",IF(AND(P243='G-1 All Habitats'!$X$3,T243&gt;0),U243+V243,IF(AND(P243='G-1 All Habitats'!$X$3,S243&gt;0),U243+V243,IF(AND(P243='G-1 All Habitats'!$X$3,AC243&gt;0),"Any Loss Unacceptable ▲",IF(AND(P243='G-1 All Habitats'!$X$3,W243&gt;0),"Any Loss Unacceptable ▲",H243*J243*L243*O243))))),"Check Data ▲")</f>
        <v/>
      </c>
      <c r="R243" s="50"/>
      <c r="S243" s="71"/>
      <c r="T243" s="72"/>
      <c r="U243" s="511" t="str">
        <f t="shared" si="18"/>
        <v/>
      </c>
      <c r="V243" s="511" t="str">
        <f t="shared" si="19"/>
        <v/>
      </c>
      <c r="W243" s="511" t="str">
        <f>IF(E243="","",IF(H243&lt;S243+T243,"Error in Areas ▲",IF(P243&lt;&gt;'G-1 All Habitats'!$X$3,H243-S243-T243,IF(AND(P243='G-1 All Habitats'!$X$3,Y243="Yes"),"Unacceptable Loss",IF(AND(P243='G-1 All Habitats'!$X$3,Y243="No"),AC243,IF(AND(P243='G-1 All Habitats'!$X$3,Y243=""),AC243,IF(AND(P243='G-1 All Habitats'!$X$3,AC243="None",AC243),IF(AND(P243='G-1 All Habitats'!$X$3,AC243&gt;0),H243-S243-T243))))))))</f>
        <v/>
      </c>
      <c r="X243" s="515" t="str">
        <f>IFERROR(IF(H243="","",IF(H243-S243-T243=0&lt;0,"Error in Areas ▲",IF(S243+T243&gt;H243,"Error in Areas ▲",IF(AND(P243='G-1 All Habitats'!$X$3,Y243="Yes"),"Alternative Compensation ✓",IF(W243=0,0,IF(P243='G-1 All Habitats'!$X$3,"Unacceptable Loss ▲",Q243-U243-V243)))))),"Check Data ▲")</f>
        <v/>
      </c>
      <c r="Y243" s="72"/>
      <c r="Z243" s="80"/>
      <c r="AA243" s="81"/>
      <c r="AC243" s="75" t="str">
        <f>IF(P243="","",IF(P243='G-1 All Habitats'!$X$3,H243-S243-T243,"None"))</f>
        <v/>
      </c>
      <c r="AD243" s="76" t="str">
        <f>IFERROR(AC243*J243*L243*#REF!*O243,IF(P243="","","None"))</f>
        <v/>
      </c>
      <c r="AF243" s="54" t="str">
        <f t="shared" si="15"/>
        <v/>
      </c>
      <c r="AG243" s="54" t="str">
        <f t="shared" si="16"/>
        <v/>
      </c>
      <c r="AH243" s="54" t="str">
        <f>IF(I243="","",IF(#REF!&gt;0,TRUE,FALSE))</f>
        <v/>
      </c>
      <c r="AI243" s="54">
        <v>233</v>
      </c>
      <c r="AJ243" s="54"/>
      <c r="AK243" s="54" t="str">
        <f t="array" ref="AK243">IFERROR(INDEX($AI$11:$AI$259, MATCH(0, IF(TRUE=$AF$11:$AF$259, COUNTIF($AK$10:$AK242, $AI$11:$AI$259), ""), 0)),"")</f>
        <v/>
      </c>
      <c r="AL243" s="54" t="str">
        <f t="array" ref="AL243">IFERROR(INDEX($AI$11:$AI$259, MATCH(0, IF(TRUE=$AG$11:$AG$259, COUNTIF($AL$10:$AL242, $AI$11:$AI$259), ""), 0)),"")</f>
        <v/>
      </c>
      <c r="AM243" s="54" t="str">
        <f t="array" ref="AM243">IFERROR(INDEX($AI$11:$AI$259, MATCH(0, IF(TRUE=$AH$11:$AH$259, COUNTIF($AM$10:$AM242, $AI$11:$AI$259), ""), 0)),"")</f>
        <v/>
      </c>
      <c r="AN243" s="54"/>
      <c r="AQ243" s="47">
        <f t="shared" si="17"/>
        <v>0</v>
      </c>
    </row>
    <row r="244" spans="1:43" x14ac:dyDescent="0.3">
      <c r="A244" s="47" t="str">
        <f>IFERROR(INDEX('G-1 All Habitats'!$AG$3:$AG$15,MATCH(E244,'G-1 All Habitats'!$AF$3:$AF$15,0)),"")</f>
        <v/>
      </c>
      <c r="B244" s="47" t="str">
        <f>IFERROR(INDEX('G-8 Condition Look up'!$I$4:$I$130,MATCH(G244,'G-8 Condition Look up'!$A$4:$A$130,0)),"")</f>
        <v/>
      </c>
      <c r="D244" s="77">
        <v>234</v>
      </c>
      <c r="E244" s="78"/>
      <c r="F244" s="79"/>
      <c r="G244" s="69" t="str">
        <f>IFERROR(INDEX('G-1 All Habitats'!$B$3:$B$129,MATCH(F244,'G-1 All Habitats'!$A$3:$A$129,0)),"")</f>
        <v/>
      </c>
      <c r="H244" s="70"/>
      <c r="I244" s="498" t="str">
        <f>IF(G244="","",VLOOKUP(G244,'G-1 All Habitats'!$B$2:$M$129,10,FALSE))</f>
        <v/>
      </c>
      <c r="J244" s="499" t="str">
        <f>IFERROR(VLOOKUP(I244,'G-1 All Habitats'!$V$3:$W$7,2,FALSE),"")</f>
        <v/>
      </c>
      <c r="K244" s="71"/>
      <c r="L244" s="499" t="str">
        <f>IFERROR(INDEX('G-8 Condition Look up'!$A$3:$H$130,MATCH(G244,'G-8 Condition Look up'!$A$3:$A$130,0),MATCH(K244,'G-8 Condition Look up'!$A$3:$H$3,0)),"")</f>
        <v/>
      </c>
      <c r="M244" s="71"/>
      <c r="N244" s="520" t="str">
        <f>IF(M244="","",IF(VLOOKUP(M244,'G-3 Multipliers'!$L$3:$N$6,2,FALSE)=0,"Spatial Data Missing",VLOOKUP(M244,'G-3 Multipliers'!$L$3:$N$6,2,FALSE)))</f>
        <v/>
      </c>
      <c r="O244" s="505" t="str">
        <f>IF(M244="","",IF(VLOOKUP(M244,'G-3 Multipliers'!$L$3:$N$6,3,FALSE)=0,"Spatial Data Missing",VLOOKUP(M244,'G-3 Multipliers'!$L$3:$N$6,3,FALSE)))</f>
        <v/>
      </c>
      <c r="P244" s="506" t="str">
        <f>IFERROR(VLOOKUP(G244,'G-1 All Habitats'!$B$2:$M$129,12,FALSE),"")</f>
        <v/>
      </c>
      <c r="Q244" s="513" t="str">
        <f>IFERROR(IF(P244="","",IF(AND(P244='G-1 All Habitats'!$X$3,T244&gt;0),U244+V244,IF(AND(P244='G-1 All Habitats'!$X$3,S244&gt;0),U244+V244,IF(AND(P244='G-1 All Habitats'!$X$3,AC244&gt;0),"Any Loss Unacceptable ▲",IF(AND(P244='G-1 All Habitats'!$X$3,W244&gt;0),"Any Loss Unacceptable ▲",H244*J244*L244*O244))))),"Check Data ▲")</f>
        <v/>
      </c>
      <c r="R244" s="50"/>
      <c r="S244" s="71"/>
      <c r="T244" s="72"/>
      <c r="U244" s="511" t="str">
        <f t="shared" si="18"/>
        <v/>
      </c>
      <c r="V244" s="511" t="str">
        <f t="shared" si="19"/>
        <v/>
      </c>
      <c r="W244" s="511" t="str">
        <f>IF(E244="","",IF(H244&lt;S244+T244,"Error in Areas ▲",IF(P244&lt;&gt;'G-1 All Habitats'!$X$3,H244-S244-T244,IF(AND(P244='G-1 All Habitats'!$X$3,Y244="Yes"),"Unacceptable Loss",IF(AND(P244='G-1 All Habitats'!$X$3,Y244="No"),AC244,IF(AND(P244='G-1 All Habitats'!$X$3,Y244=""),AC244,IF(AND(P244='G-1 All Habitats'!$X$3,AC244="None",AC244),IF(AND(P244='G-1 All Habitats'!$X$3,AC244&gt;0),H244-S244-T244))))))))</f>
        <v/>
      </c>
      <c r="X244" s="515" t="str">
        <f>IFERROR(IF(H244="","",IF(H244-S244-T244=0&lt;0,"Error in Areas ▲",IF(S244+T244&gt;H244,"Error in Areas ▲",IF(AND(P244='G-1 All Habitats'!$X$3,Y244="Yes"),"Alternative Compensation ✓",IF(W244=0,0,IF(P244='G-1 All Habitats'!$X$3,"Unacceptable Loss ▲",Q244-U244-V244)))))),"Check Data ▲")</f>
        <v/>
      </c>
      <c r="Y244" s="72"/>
      <c r="Z244" s="80"/>
      <c r="AA244" s="81"/>
      <c r="AC244" s="75" t="str">
        <f>IF(P244="","",IF(P244='G-1 All Habitats'!$X$3,H244-S244-T244,"None"))</f>
        <v/>
      </c>
      <c r="AD244" s="76" t="str">
        <f>IFERROR(AC244*J244*L244*#REF!*O244,IF(P244="","","None"))</f>
        <v/>
      </c>
      <c r="AF244" s="54" t="str">
        <f t="shared" si="15"/>
        <v/>
      </c>
      <c r="AG244" s="54" t="str">
        <f t="shared" si="16"/>
        <v/>
      </c>
      <c r="AH244" s="54" t="str">
        <f>IF(I244="","",IF(#REF!&gt;0,TRUE,FALSE))</f>
        <v/>
      </c>
      <c r="AI244" s="54">
        <v>234</v>
      </c>
      <c r="AJ244" s="54"/>
      <c r="AK244" s="54" t="str">
        <f t="array" ref="AK244">IFERROR(INDEX($AI$11:$AI$259, MATCH(0, IF(TRUE=$AF$11:$AF$259, COUNTIF($AK$10:$AK243, $AI$11:$AI$259), ""), 0)),"")</f>
        <v/>
      </c>
      <c r="AL244" s="54" t="str">
        <f t="array" ref="AL244">IFERROR(INDEX($AI$11:$AI$259, MATCH(0, IF(TRUE=$AG$11:$AG$259, COUNTIF($AL$10:$AL243, $AI$11:$AI$259), ""), 0)),"")</f>
        <v/>
      </c>
      <c r="AM244" s="54" t="str">
        <f t="array" ref="AM244">IFERROR(INDEX($AI$11:$AI$259, MATCH(0, IF(TRUE=$AH$11:$AH$259, COUNTIF($AM$10:$AM243, $AI$11:$AI$259), ""), 0)),"")</f>
        <v/>
      </c>
      <c r="AN244" s="54"/>
      <c r="AQ244" s="47">
        <f t="shared" si="17"/>
        <v>0</v>
      </c>
    </row>
    <row r="245" spans="1:43" x14ac:dyDescent="0.3">
      <c r="A245" s="47" t="str">
        <f>IFERROR(INDEX('G-1 All Habitats'!$AG$3:$AG$15,MATCH(E245,'G-1 All Habitats'!$AF$3:$AF$15,0)),"")</f>
        <v/>
      </c>
      <c r="B245" s="47" t="str">
        <f>IFERROR(INDEX('G-8 Condition Look up'!$I$4:$I$130,MATCH(G245,'G-8 Condition Look up'!$A$4:$A$130,0)),"")</f>
        <v/>
      </c>
      <c r="D245" s="77">
        <v>235</v>
      </c>
      <c r="E245" s="78"/>
      <c r="F245" s="79"/>
      <c r="G245" s="69" t="str">
        <f>IFERROR(INDEX('G-1 All Habitats'!$B$3:$B$129,MATCH(F245,'G-1 All Habitats'!$A$3:$A$129,0)),"")</f>
        <v/>
      </c>
      <c r="H245" s="70"/>
      <c r="I245" s="498" t="str">
        <f>IF(G245="","",VLOOKUP(G245,'G-1 All Habitats'!$B$2:$M$129,10,FALSE))</f>
        <v/>
      </c>
      <c r="J245" s="499" t="str">
        <f>IFERROR(VLOOKUP(I245,'G-1 All Habitats'!$V$3:$W$7,2,FALSE),"")</f>
        <v/>
      </c>
      <c r="K245" s="71"/>
      <c r="L245" s="499" t="str">
        <f>IFERROR(INDEX('G-8 Condition Look up'!$A$3:$H$130,MATCH(G245,'G-8 Condition Look up'!$A$3:$A$130,0),MATCH(K245,'G-8 Condition Look up'!$A$3:$H$3,0)),"")</f>
        <v/>
      </c>
      <c r="M245" s="71"/>
      <c r="N245" s="520" t="str">
        <f>IF(M245="","",IF(VLOOKUP(M245,'G-3 Multipliers'!$L$3:$N$6,2,FALSE)=0,"Spatial Data Missing",VLOOKUP(M245,'G-3 Multipliers'!$L$3:$N$6,2,FALSE)))</f>
        <v/>
      </c>
      <c r="O245" s="505" t="str">
        <f>IF(M245="","",IF(VLOOKUP(M245,'G-3 Multipliers'!$L$3:$N$6,3,FALSE)=0,"Spatial Data Missing",VLOOKUP(M245,'G-3 Multipliers'!$L$3:$N$6,3,FALSE)))</f>
        <v/>
      </c>
      <c r="P245" s="506" t="str">
        <f>IFERROR(VLOOKUP(G245,'G-1 All Habitats'!$B$2:$M$129,12,FALSE),"")</f>
        <v/>
      </c>
      <c r="Q245" s="513" t="str">
        <f>IFERROR(IF(P245="","",IF(AND(P245='G-1 All Habitats'!$X$3,T245&gt;0),U245+V245,IF(AND(P245='G-1 All Habitats'!$X$3,S245&gt;0),U245+V245,IF(AND(P245='G-1 All Habitats'!$X$3,AC245&gt;0),"Any Loss Unacceptable ▲",IF(AND(P245='G-1 All Habitats'!$X$3,W245&gt;0),"Any Loss Unacceptable ▲",H245*J245*L245*O245))))),"Check Data ▲")</f>
        <v/>
      </c>
      <c r="R245" s="50"/>
      <c r="S245" s="71"/>
      <c r="T245" s="72"/>
      <c r="U245" s="511" t="str">
        <f t="shared" si="18"/>
        <v/>
      </c>
      <c r="V245" s="511" t="str">
        <f t="shared" si="19"/>
        <v/>
      </c>
      <c r="W245" s="511" t="str">
        <f>IF(E245="","",IF(H245&lt;S245+T245,"Error in Areas ▲",IF(P245&lt;&gt;'G-1 All Habitats'!$X$3,H245-S245-T245,IF(AND(P245='G-1 All Habitats'!$X$3,Y245="Yes"),"Unacceptable Loss",IF(AND(P245='G-1 All Habitats'!$X$3,Y245="No"),AC245,IF(AND(P245='G-1 All Habitats'!$X$3,Y245=""),AC245,IF(AND(P245='G-1 All Habitats'!$X$3,AC245="None",AC245),IF(AND(P245='G-1 All Habitats'!$X$3,AC245&gt;0),H245-S245-T245))))))))</f>
        <v/>
      </c>
      <c r="X245" s="515" t="str">
        <f>IFERROR(IF(H245="","",IF(H245-S245-T245=0&lt;0,"Error in Areas ▲",IF(S245+T245&gt;H245,"Error in Areas ▲",IF(AND(P245='G-1 All Habitats'!$X$3,Y245="Yes"),"Alternative Compensation ✓",IF(W245=0,0,IF(P245='G-1 All Habitats'!$X$3,"Unacceptable Loss ▲",Q245-U245-V245)))))),"Check Data ▲")</f>
        <v/>
      </c>
      <c r="Y245" s="72"/>
      <c r="Z245" s="80"/>
      <c r="AA245" s="81"/>
      <c r="AC245" s="75" t="str">
        <f>IF(P245="","",IF(P245='G-1 All Habitats'!$X$3,H245-S245-T245,"None"))</f>
        <v/>
      </c>
      <c r="AD245" s="76" t="str">
        <f>IFERROR(AC245*J245*L245*#REF!*O245,IF(P245="","","None"))</f>
        <v/>
      </c>
      <c r="AF245" s="54" t="str">
        <f t="shared" si="15"/>
        <v/>
      </c>
      <c r="AG245" s="54" t="str">
        <f t="shared" si="16"/>
        <v/>
      </c>
      <c r="AH245" s="54" t="str">
        <f>IF(I245="","",IF(#REF!&gt;0,TRUE,FALSE))</f>
        <v/>
      </c>
      <c r="AI245" s="54">
        <v>235</v>
      </c>
      <c r="AJ245" s="54"/>
      <c r="AK245" s="54" t="str">
        <f t="array" ref="AK245">IFERROR(INDEX($AI$11:$AI$259, MATCH(0, IF(TRUE=$AF$11:$AF$259, COUNTIF($AK$10:$AK244, $AI$11:$AI$259), ""), 0)),"")</f>
        <v/>
      </c>
      <c r="AL245" s="54" t="str">
        <f t="array" ref="AL245">IFERROR(INDEX($AI$11:$AI$259, MATCH(0, IF(TRUE=$AG$11:$AG$259, COUNTIF($AL$10:$AL244, $AI$11:$AI$259), ""), 0)),"")</f>
        <v/>
      </c>
      <c r="AM245" s="54" t="str">
        <f t="array" ref="AM245">IFERROR(INDEX($AI$11:$AI$259, MATCH(0, IF(TRUE=$AH$11:$AH$259, COUNTIF($AM$10:$AM244, $AI$11:$AI$259), ""), 0)),"")</f>
        <v/>
      </c>
      <c r="AN245" s="54"/>
      <c r="AQ245" s="47">
        <f t="shared" si="17"/>
        <v>0</v>
      </c>
    </row>
    <row r="246" spans="1:43" x14ac:dyDescent="0.3">
      <c r="A246" s="47" t="str">
        <f>IFERROR(INDEX('G-1 All Habitats'!$AG$3:$AG$15,MATCH(E246,'G-1 All Habitats'!$AF$3:$AF$15,0)),"")</f>
        <v/>
      </c>
      <c r="B246" s="47" t="str">
        <f>IFERROR(INDEX('G-8 Condition Look up'!$I$4:$I$130,MATCH(G246,'G-8 Condition Look up'!$A$4:$A$130,0)),"")</f>
        <v/>
      </c>
      <c r="D246" s="77">
        <v>236</v>
      </c>
      <c r="E246" s="78"/>
      <c r="F246" s="79"/>
      <c r="G246" s="69" t="str">
        <f>IFERROR(INDEX('G-1 All Habitats'!$B$3:$B$129,MATCH(F246,'G-1 All Habitats'!$A$3:$A$129,0)),"")</f>
        <v/>
      </c>
      <c r="H246" s="70"/>
      <c r="I246" s="498" t="str">
        <f>IF(G246="","",VLOOKUP(G246,'G-1 All Habitats'!$B$2:$M$129,10,FALSE))</f>
        <v/>
      </c>
      <c r="J246" s="499" t="str">
        <f>IFERROR(VLOOKUP(I246,'G-1 All Habitats'!$V$3:$W$7,2,FALSE),"")</f>
        <v/>
      </c>
      <c r="K246" s="71"/>
      <c r="L246" s="499" t="str">
        <f>IFERROR(INDEX('G-8 Condition Look up'!$A$3:$H$130,MATCH(G246,'G-8 Condition Look up'!$A$3:$A$130,0),MATCH(K246,'G-8 Condition Look up'!$A$3:$H$3,0)),"")</f>
        <v/>
      </c>
      <c r="M246" s="71"/>
      <c r="N246" s="520" t="str">
        <f>IF(M246="","",IF(VLOOKUP(M246,'G-3 Multipliers'!$L$3:$N$6,2,FALSE)=0,"Spatial Data Missing",VLOOKUP(M246,'G-3 Multipliers'!$L$3:$N$6,2,FALSE)))</f>
        <v/>
      </c>
      <c r="O246" s="505" t="str">
        <f>IF(M246="","",IF(VLOOKUP(M246,'G-3 Multipliers'!$L$3:$N$6,3,FALSE)=0,"Spatial Data Missing",VLOOKUP(M246,'G-3 Multipliers'!$L$3:$N$6,3,FALSE)))</f>
        <v/>
      </c>
      <c r="P246" s="506" t="str">
        <f>IFERROR(VLOOKUP(G246,'G-1 All Habitats'!$B$2:$M$129,12,FALSE),"")</f>
        <v/>
      </c>
      <c r="Q246" s="513" t="str">
        <f>IFERROR(IF(P246="","",IF(AND(P246='G-1 All Habitats'!$X$3,T246&gt;0),U246+V246,IF(AND(P246='G-1 All Habitats'!$X$3,S246&gt;0),U246+V246,IF(AND(P246='G-1 All Habitats'!$X$3,AC246&gt;0),"Any Loss Unacceptable ▲",IF(AND(P246='G-1 All Habitats'!$X$3,W246&gt;0),"Any Loss Unacceptable ▲",H246*J246*L246*O246))))),"Check Data ▲")</f>
        <v/>
      </c>
      <c r="R246" s="50"/>
      <c r="S246" s="71"/>
      <c r="T246" s="72"/>
      <c r="U246" s="511" t="str">
        <f t="shared" si="18"/>
        <v/>
      </c>
      <c r="V246" s="511" t="str">
        <f t="shared" si="19"/>
        <v/>
      </c>
      <c r="W246" s="511" t="str">
        <f>IF(E246="","",IF(H246&lt;S246+T246,"Error in Areas ▲",IF(P246&lt;&gt;'G-1 All Habitats'!$X$3,H246-S246-T246,IF(AND(P246='G-1 All Habitats'!$X$3,Y246="Yes"),"Unacceptable Loss",IF(AND(P246='G-1 All Habitats'!$X$3,Y246="No"),AC246,IF(AND(P246='G-1 All Habitats'!$X$3,Y246=""),AC246,IF(AND(P246='G-1 All Habitats'!$X$3,AC246="None",AC246),IF(AND(P246='G-1 All Habitats'!$X$3,AC246&gt;0),H246-S246-T246))))))))</f>
        <v/>
      </c>
      <c r="X246" s="515" t="str">
        <f>IFERROR(IF(H246="","",IF(H246-S246-T246=0&lt;0,"Error in Areas ▲",IF(S246+T246&gt;H246,"Error in Areas ▲",IF(AND(P246='G-1 All Habitats'!$X$3,Y246="Yes"),"Alternative Compensation ✓",IF(W246=0,0,IF(P246='G-1 All Habitats'!$X$3,"Unacceptable Loss ▲",Q246-U246-V246)))))),"Check Data ▲")</f>
        <v/>
      </c>
      <c r="Y246" s="72"/>
      <c r="Z246" s="80"/>
      <c r="AA246" s="81"/>
      <c r="AC246" s="75" t="str">
        <f>IF(P246="","",IF(P246='G-1 All Habitats'!$X$3,H246-S246-T246,"None"))</f>
        <v/>
      </c>
      <c r="AD246" s="76" t="str">
        <f>IFERROR(AC246*J246*L246*#REF!*O246,IF(P246="","","None"))</f>
        <v/>
      </c>
      <c r="AF246" s="54" t="str">
        <f t="shared" si="15"/>
        <v/>
      </c>
      <c r="AG246" s="54" t="str">
        <f t="shared" si="16"/>
        <v/>
      </c>
      <c r="AH246" s="54" t="str">
        <f>IF(I246="","",IF(#REF!&gt;0,TRUE,FALSE))</f>
        <v/>
      </c>
      <c r="AI246" s="54">
        <v>236</v>
      </c>
      <c r="AJ246" s="54"/>
      <c r="AK246" s="54" t="str">
        <f t="array" ref="AK246">IFERROR(INDEX($AI$11:$AI$259, MATCH(0, IF(TRUE=$AF$11:$AF$259, COUNTIF($AK$10:$AK245, $AI$11:$AI$259), ""), 0)),"")</f>
        <v/>
      </c>
      <c r="AL246" s="54" t="str">
        <f t="array" ref="AL246">IFERROR(INDEX($AI$11:$AI$259, MATCH(0, IF(TRUE=$AG$11:$AG$259, COUNTIF($AL$10:$AL245, $AI$11:$AI$259), ""), 0)),"")</f>
        <v/>
      </c>
      <c r="AM246" s="54" t="str">
        <f t="array" ref="AM246">IFERROR(INDEX($AI$11:$AI$259, MATCH(0, IF(TRUE=$AH$11:$AH$259, COUNTIF($AM$10:$AM245, $AI$11:$AI$259), ""), 0)),"")</f>
        <v/>
      </c>
      <c r="AN246" s="54"/>
      <c r="AQ246" s="47">
        <f t="shared" si="17"/>
        <v>0</v>
      </c>
    </row>
    <row r="247" spans="1:43" x14ac:dyDescent="0.3">
      <c r="A247" s="47" t="str">
        <f>IFERROR(INDEX('G-1 All Habitats'!$AG$3:$AG$15,MATCH(E247,'G-1 All Habitats'!$AF$3:$AF$15,0)),"")</f>
        <v/>
      </c>
      <c r="B247" s="47" t="str">
        <f>IFERROR(INDEX('G-8 Condition Look up'!$I$4:$I$130,MATCH(G247,'G-8 Condition Look up'!$A$4:$A$130,0)),"")</f>
        <v/>
      </c>
      <c r="D247" s="77">
        <v>237</v>
      </c>
      <c r="E247" s="78"/>
      <c r="F247" s="79"/>
      <c r="G247" s="69" t="str">
        <f>IFERROR(INDEX('G-1 All Habitats'!$B$3:$B$129,MATCH(F247,'G-1 All Habitats'!$A$3:$A$129,0)),"")</f>
        <v/>
      </c>
      <c r="H247" s="70"/>
      <c r="I247" s="498" t="str">
        <f>IF(G247="","",VLOOKUP(G247,'G-1 All Habitats'!$B$2:$M$129,10,FALSE))</f>
        <v/>
      </c>
      <c r="J247" s="499" t="str">
        <f>IFERROR(VLOOKUP(I247,'G-1 All Habitats'!$V$3:$W$7,2,FALSE),"")</f>
        <v/>
      </c>
      <c r="K247" s="71"/>
      <c r="L247" s="499" t="str">
        <f>IFERROR(INDEX('G-8 Condition Look up'!$A$3:$H$130,MATCH(G247,'G-8 Condition Look up'!$A$3:$A$130,0),MATCH(K247,'G-8 Condition Look up'!$A$3:$H$3,0)),"")</f>
        <v/>
      </c>
      <c r="M247" s="71"/>
      <c r="N247" s="520" t="str">
        <f>IF(M247="","",IF(VLOOKUP(M247,'G-3 Multipliers'!$L$3:$N$6,2,FALSE)=0,"Spatial Data Missing",VLOOKUP(M247,'G-3 Multipliers'!$L$3:$N$6,2,FALSE)))</f>
        <v/>
      </c>
      <c r="O247" s="505" t="str">
        <f>IF(M247="","",IF(VLOOKUP(M247,'G-3 Multipliers'!$L$3:$N$6,3,FALSE)=0,"Spatial Data Missing",VLOOKUP(M247,'G-3 Multipliers'!$L$3:$N$6,3,FALSE)))</f>
        <v/>
      </c>
      <c r="P247" s="506" t="str">
        <f>IFERROR(VLOOKUP(G247,'G-1 All Habitats'!$B$2:$M$129,12,FALSE),"")</f>
        <v/>
      </c>
      <c r="Q247" s="513" t="str">
        <f>IFERROR(IF(P247="","",IF(AND(P247='G-1 All Habitats'!$X$3,T247&gt;0),U247+V247,IF(AND(P247='G-1 All Habitats'!$X$3,S247&gt;0),U247+V247,IF(AND(P247='G-1 All Habitats'!$X$3,AC247&gt;0),"Any Loss Unacceptable ▲",IF(AND(P247='G-1 All Habitats'!$X$3,W247&gt;0),"Any Loss Unacceptable ▲",H247*J247*L247*O247))))),"Check Data ▲")</f>
        <v/>
      </c>
      <c r="R247" s="50"/>
      <c r="S247" s="71"/>
      <c r="T247" s="72"/>
      <c r="U247" s="511" t="str">
        <f t="shared" si="18"/>
        <v/>
      </c>
      <c r="V247" s="511" t="str">
        <f t="shared" si="19"/>
        <v/>
      </c>
      <c r="W247" s="511" t="str">
        <f>IF(E247="","",IF(H247&lt;S247+T247,"Error in Areas ▲",IF(P247&lt;&gt;'G-1 All Habitats'!$X$3,H247-S247-T247,IF(AND(P247='G-1 All Habitats'!$X$3,Y247="Yes"),"Unacceptable Loss",IF(AND(P247='G-1 All Habitats'!$X$3,Y247="No"),AC247,IF(AND(P247='G-1 All Habitats'!$X$3,Y247=""),AC247,IF(AND(P247='G-1 All Habitats'!$X$3,AC247="None",AC247),IF(AND(P247='G-1 All Habitats'!$X$3,AC247&gt;0),H247-S247-T247))))))))</f>
        <v/>
      </c>
      <c r="X247" s="515" t="str">
        <f>IFERROR(IF(H247="","",IF(H247-S247-T247=0&lt;0,"Error in Areas ▲",IF(S247+T247&gt;H247,"Error in Areas ▲",IF(AND(P247='G-1 All Habitats'!$X$3,Y247="Yes"),"Alternative Compensation ✓",IF(W247=0,0,IF(P247='G-1 All Habitats'!$X$3,"Unacceptable Loss ▲",Q247-U247-V247)))))),"Check Data ▲")</f>
        <v/>
      </c>
      <c r="Y247" s="72"/>
      <c r="Z247" s="80"/>
      <c r="AA247" s="81"/>
      <c r="AC247" s="75" t="str">
        <f>IF(P247="","",IF(P247='G-1 All Habitats'!$X$3,H247-S247-T247,"None"))</f>
        <v/>
      </c>
      <c r="AD247" s="76" t="str">
        <f>IFERROR(AC247*J247*L247*#REF!*O247,IF(P247="","","None"))</f>
        <v/>
      </c>
      <c r="AF247" s="54" t="str">
        <f t="shared" si="15"/>
        <v/>
      </c>
      <c r="AG247" s="54" t="str">
        <f t="shared" si="16"/>
        <v/>
      </c>
      <c r="AH247" s="54" t="str">
        <f>IF(I247="","",IF(#REF!&gt;0,TRUE,FALSE))</f>
        <v/>
      </c>
      <c r="AI247" s="54">
        <v>237</v>
      </c>
      <c r="AJ247" s="54"/>
      <c r="AK247" s="54" t="str">
        <f t="array" ref="AK247">IFERROR(INDEX($AI$11:$AI$259, MATCH(0, IF(TRUE=$AF$11:$AF$259, COUNTIF($AK$10:$AK246, $AI$11:$AI$259), ""), 0)),"")</f>
        <v/>
      </c>
      <c r="AL247" s="54" t="str">
        <f t="array" ref="AL247">IFERROR(INDEX($AI$11:$AI$259, MATCH(0, IF(TRUE=$AG$11:$AG$259, COUNTIF($AL$10:$AL246, $AI$11:$AI$259), ""), 0)),"")</f>
        <v/>
      </c>
      <c r="AM247" s="54" t="str">
        <f t="array" ref="AM247">IFERROR(INDEX($AI$11:$AI$259, MATCH(0, IF(TRUE=$AH$11:$AH$259, COUNTIF($AM$10:$AM246, $AI$11:$AI$259), ""), 0)),"")</f>
        <v/>
      </c>
      <c r="AN247" s="54"/>
      <c r="AQ247" s="47">
        <f t="shared" si="17"/>
        <v>0</v>
      </c>
    </row>
    <row r="248" spans="1:43" x14ac:dyDescent="0.3">
      <c r="A248" s="47" t="str">
        <f>IFERROR(INDEX('G-1 All Habitats'!$AG$3:$AG$15,MATCH(E248,'G-1 All Habitats'!$AF$3:$AF$15,0)),"")</f>
        <v/>
      </c>
      <c r="B248" s="47" t="str">
        <f>IFERROR(INDEX('G-8 Condition Look up'!$I$4:$I$130,MATCH(G248,'G-8 Condition Look up'!$A$4:$A$130,0)),"")</f>
        <v/>
      </c>
      <c r="D248" s="77">
        <v>238</v>
      </c>
      <c r="E248" s="78"/>
      <c r="F248" s="79"/>
      <c r="G248" s="69" t="str">
        <f>IFERROR(INDEX('G-1 All Habitats'!$B$3:$B$129,MATCH(F248,'G-1 All Habitats'!$A$3:$A$129,0)),"")</f>
        <v/>
      </c>
      <c r="H248" s="70"/>
      <c r="I248" s="498" t="str">
        <f>IF(G248="","",VLOOKUP(G248,'G-1 All Habitats'!$B$2:$M$129,10,FALSE))</f>
        <v/>
      </c>
      <c r="J248" s="499" t="str">
        <f>IFERROR(VLOOKUP(I248,'G-1 All Habitats'!$V$3:$W$7,2,FALSE),"")</f>
        <v/>
      </c>
      <c r="K248" s="71"/>
      <c r="L248" s="499" t="str">
        <f>IFERROR(INDEX('G-8 Condition Look up'!$A$3:$H$130,MATCH(G248,'G-8 Condition Look up'!$A$3:$A$130,0),MATCH(K248,'G-8 Condition Look up'!$A$3:$H$3,0)),"")</f>
        <v/>
      </c>
      <c r="M248" s="71"/>
      <c r="N248" s="520" t="str">
        <f>IF(M248="","",IF(VLOOKUP(M248,'G-3 Multipliers'!$L$3:$N$6,2,FALSE)=0,"Spatial Data Missing",VLOOKUP(M248,'G-3 Multipliers'!$L$3:$N$6,2,FALSE)))</f>
        <v/>
      </c>
      <c r="O248" s="505" t="str">
        <f>IF(M248="","",IF(VLOOKUP(M248,'G-3 Multipliers'!$L$3:$N$6,3,FALSE)=0,"Spatial Data Missing",VLOOKUP(M248,'G-3 Multipliers'!$L$3:$N$6,3,FALSE)))</f>
        <v/>
      </c>
      <c r="P248" s="506" t="str">
        <f>IFERROR(VLOOKUP(G248,'G-1 All Habitats'!$B$2:$M$129,12,FALSE),"")</f>
        <v/>
      </c>
      <c r="Q248" s="513" t="str">
        <f>IFERROR(IF(P248="","",IF(AND(P248='G-1 All Habitats'!$X$3,T248&gt;0),U248+V248,IF(AND(P248='G-1 All Habitats'!$X$3,S248&gt;0),U248+V248,IF(AND(P248='G-1 All Habitats'!$X$3,AC248&gt;0),"Any Loss Unacceptable ▲",IF(AND(P248='G-1 All Habitats'!$X$3,W248&gt;0),"Any Loss Unacceptable ▲",H248*J248*L248*O248))))),"Check Data ▲")</f>
        <v/>
      </c>
      <c r="R248" s="50"/>
      <c r="S248" s="71"/>
      <c r="T248" s="72"/>
      <c r="U248" s="511" t="str">
        <f t="shared" si="18"/>
        <v/>
      </c>
      <c r="V248" s="511" t="str">
        <f t="shared" si="19"/>
        <v/>
      </c>
      <c r="W248" s="511" t="str">
        <f>IF(E248="","",IF(H248&lt;S248+T248,"Error in Areas ▲",IF(P248&lt;&gt;'G-1 All Habitats'!$X$3,H248-S248-T248,IF(AND(P248='G-1 All Habitats'!$X$3,Y248="Yes"),"Unacceptable Loss",IF(AND(P248='G-1 All Habitats'!$X$3,Y248="No"),AC248,IF(AND(P248='G-1 All Habitats'!$X$3,Y248=""),AC248,IF(AND(P248='G-1 All Habitats'!$X$3,AC248="None",AC248),IF(AND(P248='G-1 All Habitats'!$X$3,AC248&gt;0),H248-S248-T248))))))))</f>
        <v/>
      </c>
      <c r="X248" s="515" t="str">
        <f>IFERROR(IF(H248="","",IF(H248-S248-T248=0&lt;0,"Error in Areas ▲",IF(S248+T248&gt;H248,"Error in Areas ▲",IF(AND(P248='G-1 All Habitats'!$X$3,Y248="Yes"),"Alternative Compensation ✓",IF(W248=0,0,IF(P248='G-1 All Habitats'!$X$3,"Unacceptable Loss ▲",Q248-U248-V248)))))),"Check Data ▲")</f>
        <v/>
      </c>
      <c r="Y248" s="72"/>
      <c r="Z248" s="80"/>
      <c r="AA248" s="81"/>
      <c r="AC248" s="75" t="str">
        <f>IF(P248="","",IF(P248='G-1 All Habitats'!$X$3,H248-S248-T248,"None"))</f>
        <v/>
      </c>
      <c r="AD248" s="76" t="str">
        <f>IFERROR(AC248*J248*L248*#REF!*O248,IF(P248="","","None"))</f>
        <v/>
      </c>
      <c r="AF248" s="54" t="str">
        <f t="shared" si="15"/>
        <v/>
      </c>
      <c r="AG248" s="54" t="str">
        <f t="shared" si="16"/>
        <v/>
      </c>
      <c r="AH248" s="54" t="str">
        <f>IF(I248="","",IF(#REF!&gt;0,TRUE,FALSE))</f>
        <v/>
      </c>
      <c r="AI248" s="54">
        <v>238</v>
      </c>
      <c r="AJ248" s="54"/>
      <c r="AK248" s="54" t="str">
        <f t="array" ref="AK248">IFERROR(INDEX($AI$11:$AI$259, MATCH(0, IF(TRUE=$AF$11:$AF$259, COUNTIF($AK$10:$AK247, $AI$11:$AI$259), ""), 0)),"")</f>
        <v/>
      </c>
      <c r="AL248" s="54" t="str">
        <f t="array" ref="AL248">IFERROR(INDEX($AI$11:$AI$259, MATCH(0, IF(TRUE=$AG$11:$AG$259, COUNTIF($AL$10:$AL247, $AI$11:$AI$259), ""), 0)),"")</f>
        <v/>
      </c>
      <c r="AM248" s="54" t="str">
        <f t="array" ref="AM248">IFERROR(INDEX($AI$11:$AI$259, MATCH(0, IF(TRUE=$AH$11:$AH$259, COUNTIF($AM$10:$AM247, $AI$11:$AI$259), ""), 0)),"")</f>
        <v/>
      </c>
      <c r="AN248" s="54"/>
      <c r="AQ248" s="47">
        <f t="shared" si="17"/>
        <v>0</v>
      </c>
    </row>
    <row r="249" spans="1:43" x14ac:dyDescent="0.3">
      <c r="A249" s="47" t="str">
        <f>IFERROR(INDEX('G-1 All Habitats'!$AG$3:$AG$15,MATCH(E249,'G-1 All Habitats'!$AF$3:$AF$15,0)),"")</f>
        <v/>
      </c>
      <c r="B249" s="47" t="str">
        <f>IFERROR(INDEX('G-8 Condition Look up'!$I$4:$I$130,MATCH(G249,'G-8 Condition Look up'!$A$4:$A$130,0)),"")</f>
        <v/>
      </c>
      <c r="D249" s="77">
        <v>239</v>
      </c>
      <c r="E249" s="78"/>
      <c r="F249" s="79"/>
      <c r="G249" s="69" t="str">
        <f>IFERROR(INDEX('G-1 All Habitats'!$B$3:$B$129,MATCH(F249,'G-1 All Habitats'!$A$3:$A$129,0)),"")</f>
        <v/>
      </c>
      <c r="H249" s="70"/>
      <c r="I249" s="498" t="str">
        <f>IF(G249="","",VLOOKUP(G249,'G-1 All Habitats'!$B$2:$M$129,10,FALSE))</f>
        <v/>
      </c>
      <c r="J249" s="499" t="str">
        <f>IFERROR(VLOOKUP(I249,'G-1 All Habitats'!$V$3:$W$7,2,FALSE),"")</f>
        <v/>
      </c>
      <c r="K249" s="71"/>
      <c r="L249" s="499" t="str">
        <f>IFERROR(INDEX('G-8 Condition Look up'!$A$3:$H$130,MATCH(G249,'G-8 Condition Look up'!$A$3:$A$130,0),MATCH(K249,'G-8 Condition Look up'!$A$3:$H$3,0)),"")</f>
        <v/>
      </c>
      <c r="M249" s="71"/>
      <c r="N249" s="520" t="str">
        <f>IF(M249="","",IF(VLOOKUP(M249,'G-3 Multipliers'!$L$3:$N$6,2,FALSE)=0,"Spatial Data Missing",VLOOKUP(M249,'G-3 Multipliers'!$L$3:$N$6,2,FALSE)))</f>
        <v/>
      </c>
      <c r="O249" s="505" t="str">
        <f>IF(M249="","",IF(VLOOKUP(M249,'G-3 Multipliers'!$L$3:$N$6,3,FALSE)=0,"Spatial Data Missing",VLOOKUP(M249,'G-3 Multipliers'!$L$3:$N$6,3,FALSE)))</f>
        <v/>
      </c>
      <c r="P249" s="506" t="str">
        <f>IFERROR(VLOOKUP(G249,'G-1 All Habitats'!$B$2:$M$129,12,FALSE),"")</f>
        <v/>
      </c>
      <c r="Q249" s="513" t="str">
        <f>IFERROR(IF(P249="","",IF(AND(P249='G-1 All Habitats'!$X$3,T249&gt;0),U249+V249,IF(AND(P249='G-1 All Habitats'!$X$3,S249&gt;0),U249+V249,IF(AND(P249='G-1 All Habitats'!$X$3,AC249&gt;0),"Any Loss Unacceptable ▲",IF(AND(P249='G-1 All Habitats'!$X$3,W249&gt;0),"Any Loss Unacceptable ▲",H249*J249*L249*O249))))),"Check Data ▲")</f>
        <v/>
      </c>
      <c r="R249" s="50"/>
      <c r="S249" s="71"/>
      <c r="T249" s="72"/>
      <c r="U249" s="511" t="str">
        <f t="shared" si="18"/>
        <v/>
      </c>
      <c r="V249" s="511" t="str">
        <f t="shared" si="19"/>
        <v/>
      </c>
      <c r="W249" s="511" t="str">
        <f>IF(E249="","",IF(H249&lt;S249+T249,"Error in Areas ▲",IF(P249&lt;&gt;'G-1 All Habitats'!$X$3,H249-S249-T249,IF(AND(P249='G-1 All Habitats'!$X$3,Y249="Yes"),"Unacceptable Loss",IF(AND(P249='G-1 All Habitats'!$X$3,Y249="No"),AC249,IF(AND(P249='G-1 All Habitats'!$X$3,Y249=""),AC249,IF(AND(P249='G-1 All Habitats'!$X$3,AC249="None",AC249),IF(AND(P249='G-1 All Habitats'!$X$3,AC249&gt;0),H249-S249-T249))))))))</f>
        <v/>
      </c>
      <c r="X249" s="515" t="str">
        <f>IFERROR(IF(H249="","",IF(H249-S249-T249=0&lt;0,"Error in Areas ▲",IF(S249+T249&gt;H249,"Error in Areas ▲",IF(AND(P249='G-1 All Habitats'!$X$3,Y249="Yes"),"Alternative Compensation ✓",IF(W249=0,0,IF(P249='G-1 All Habitats'!$X$3,"Unacceptable Loss ▲",Q249-U249-V249)))))),"Check Data ▲")</f>
        <v/>
      </c>
      <c r="Y249" s="72"/>
      <c r="Z249" s="80"/>
      <c r="AA249" s="81"/>
      <c r="AC249" s="75" t="str">
        <f>IF(P249="","",IF(P249='G-1 All Habitats'!$X$3,H249-S249-T249,"None"))</f>
        <v/>
      </c>
      <c r="AD249" s="76" t="str">
        <f>IFERROR(AC249*J249*L249*#REF!*O249,IF(P249="","","None"))</f>
        <v/>
      </c>
      <c r="AF249" s="54" t="str">
        <f t="shared" si="15"/>
        <v/>
      </c>
      <c r="AG249" s="54" t="str">
        <f t="shared" si="16"/>
        <v/>
      </c>
      <c r="AH249" s="54" t="str">
        <f>IF(I249="","",IF(#REF!&gt;0,TRUE,FALSE))</f>
        <v/>
      </c>
      <c r="AI249" s="54">
        <v>239</v>
      </c>
      <c r="AJ249" s="54"/>
      <c r="AK249" s="54" t="str">
        <f t="array" ref="AK249">IFERROR(INDEX($AI$11:$AI$259, MATCH(0, IF(TRUE=$AF$11:$AF$259, COUNTIF($AK$10:$AK248, $AI$11:$AI$259), ""), 0)),"")</f>
        <v/>
      </c>
      <c r="AL249" s="54" t="str">
        <f t="array" ref="AL249">IFERROR(INDEX($AI$11:$AI$259, MATCH(0, IF(TRUE=$AG$11:$AG$259, COUNTIF($AL$10:$AL248, $AI$11:$AI$259), ""), 0)),"")</f>
        <v/>
      </c>
      <c r="AM249" s="54" t="str">
        <f t="array" ref="AM249">IFERROR(INDEX($AI$11:$AI$259, MATCH(0, IF(TRUE=$AH$11:$AH$259, COUNTIF($AM$10:$AM248, $AI$11:$AI$259), ""), 0)),"")</f>
        <v/>
      </c>
      <c r="AN249" s="54"/>
      <c r="AQ249" s="47">
        <f t="shared" si="17"/>
        <v>0</v>
      </c>
    </row>
    <row r="250" spans="1:43" x14ac:dyDescent="0.3">
      <c r="A250" s="47" t="str">
        <f>IFERROR(INDEX('G-1 All Habitats'!$AG$3:$AG$15,MATCH(E250,'G-1 All Habitats'!$AF$3:$AF$15,0)),"")</f>
        <v/>
      </c>
      <c r="B250" s="47" t="str">
        <f>IFERROR(INDEX('G-8 Condition Look up'!$I$4:$I$130,MATCH(G250,'G-8 Condition Look up'!$A$4:$A$130,0)),"")</f>
        <v/>
      </c>
      <c r="D250" s="77">
        <v>240</v>
      </c>
      <c r="E250" s="78"/>
      <c r="F250" s="79"/>
      <c r="G250" s="69" t="str">
        <f>IFERROR(INDEX('G-1 All Habitats'!$B$3:$B$129,MATCH(F250,'G-1 All Habitats'!$A$3:$A$129,0)),"")</f>
        <v/>
      </c>
      <c r="H250" s="70"/>
      <c r="I250" s="498" t="str">
        <f>IF(G250="","",VLOOKUP(G250,'G-1 All Habitats'!$B$2:$M$129,10,FALSE))</f>
        <v/>
      </c>
      <c r="J250" s="499" t="str">
        <f>IFERROR(VLOOKUP(I250,'G-1 All Habitats'!$V$3:$W$7,2,FALSE),"")</f>
        <v/>
      </c>
      <c r="K250" s="71"/>
      <c r="L250" s="499" t="str">
        <f>IFERROR(INDEX('G-8 Condition Look up'!$A$3:$H$130,MATCH(G250,'G-8 Condition Look up'!$A$3:$A$130,0),MATCH(K250,'G-8 Condition Look up'!$A$3:$H$3,0)),"")</f>
        <v/>
      </c>
      <c r="M250" s="71"/>
      <c r="N250" s="520" t="str">
        <f>IF(M250="","",IF(VLOOKUP(M250,'G-3 Multipliers'!$L$3:$N$6,2,FALSE)=0,"Spatial Data Missing",VLOOKUP(M250,'G-3 Multipliers'!$L$3:$N$6,2,FALSE)))</f>
        <v/>
      </c>
      <c r="O250" s="505" t="str">
        <f>IF(M250="","",IF(VLOOKUP(M250,'G-3 Multipliers'!$L$3:$N$6,3,FALSE)=0,"Spatial Data Missing",VLOOKUP(M250,'G-3 Multipliers'!$L$3:$N$6,3,FALSE)))</f>
        <v/>
      </c>
      <c r="P250" s="506" t="str">
        <f>IFERROR(VLOOKUP(G250,'G-1 All Habitats'!$B$2:$M$129,12,FALSE),"")</f>
        <v/>
      </c>
      <c r="Q250" s="513" t="str">
        <f>IFERROR(IF(P250="","",IF(AND(P250='G-1 All Habitats'!$X$3,T250&gt;0),U250+V250,IF(AND(P250='G-1 All Habitats'!$X$3,S250&gt;0),U250+V250,IF(AND(P250='G-1 All Habitats'!$X$3,AC250&gt;0),"Any Loss Unacceptable ▲",IF(AND(P250='G-1 All Habitats'!$X$3,W250&gt;0),"Any Loss Unacceptable ▲",H250*J250*L250*O250))))),"Check Data ▲")</f>
        <v/>
      </c>
      <c r="R250" s="50"/>
      <c r="S250" s="71"/>
      <c r="T250" s="72"/>
      <c r="U250" s="511" t="str">
        <f t="shared" si="18"/>
        <v/>
      </c>
      <c r="V250" s="511" t="str">
        <f t="shared" si="19"/>
        <v/>
      </c>
      <c r="W250" s="511" t="str">
        <f>IF(E250="","",IF(H250&lt;S250+T250,"Error in Areas ▲",IF(P250&lt;&gt;'G-1 All Habitats'!$X$3,H250-S250-T250,IF(AND(P250='G-1 All Habitats'!$X$3,Y250="Yes"),"Unacceptable Loss",IF(AND(P250='G-1 All Habitats'!$X$3,Y250="No"),AC250,IF(AND(P250='G-1 All Habitats'!$X$3,Y250=""),AC250,IF(AND(P250='G-1 All Habitats'!$X$3,AC250="None",AC250),IF(AND(P250='G-1 All Habitats'!$X$3,AC250&gt;0),H250-S250-T250))))))))</f>
        <v/>
      </c>
      <c r="X250" s="515" t="str">
        <f>IFERROR(IF(H250="","",IF(H250-S250-T250=0&lt;0,"Error in Areas ▲",IF(S250+T250&gt;H250,"Error in Areas ▲",IF(AND(P250='G-1 All Habitats'!$X$3,Y250="Yes"),"Alternative Compensation ✓",IF(W250=0,0,IF(P250='G-1 All Habitats'!$X$3,"Unacceptable Loss ▲",Q250-U250-V250)))))),"Check Data ▲")</f>
        <v/>
      </c>
      <c r="Y250" s="72"/>
      <c r="Z250" s="80"/>
      <c r="AA250" s="81"/>
      <c r="AC250" s="75" t="str">
        <f>IF(P250="","",IF(P250='G-1 All Habitats'!$X$3,H250-S250-T250,"None"))</f>
        <v/>
      </c>
      <c r="AD250" s="76" t="str">
        <f>IFERROR(AC250*J250*L250*#REF!*O250,IF(P250="","","None"))</f>
        <v/>
      </c>
      <c r="AF250" s="54" t="str">
        <f t="shared" si="15"/>
        <v/>
      </c>
      <c r="AG250" s="54" t="str">
        <f t="shared" si="16"/>
        <v/>
      </c>
      <c r="AH250" s="54" t="str">
        <f>IF(I250="","",IF(#REF!&gt;0,TRUE,FALSE))</f>
        <v/>
      </c>
      <c r="AI250" s="54">
        <v>240</v>
      </c>
      <c r="AJ250" s="54"/>
      <c r="AK250" s="54" t="str">
        <f t="array" ref="AK250">IFERROR(INDEX($AI$11:$AI$259, MATCH(0, IF(TRUE=$AF$11:$AF$259, COUNTIF($AK$10:$AK249, $AI$11:$AI$259), ""), 0)),"")</f>
        <v/>
      </c>
      <c r="AL250" s="54" t="str">
        <f t="array" ref="AL250">IFERROR(INDEX($AI$11:$AI$259, MATCH(0, IF(TRUE=$AG$11:$AG$259, COUNTIF($AL$10:$AL249, $AI$11:$AI$259), ""), 0)),"")</f>
        <v/>
      </c>
      <c r="AM250" s="54" t="str">
        <f t="array" ref="AM250">IFERROR(INDEX($AI$11:$AI$259, MATCH(0, IF(TRUE=$AH$11:$AH$259, COUNTIF($AM$10:$AM249, $AI$11:$AI$259), ""), 0)),"")</f>
        <v/>
      </c>
      <c r="AN250" s="54"/>
      <c r="AQ250" s="47">
        <f t="shared" si="17"/>
        <v>0</v>
      </c>
    </row>
    <row r="251" spans="1:43" x14ac:dyDescent="0.3">
      <c r="A251" s="47" t="str">
        <f>IFERROR(INDEX('G-1 All Habitats'!$AG$3:$AG$15,MATCH(E251,'G-1 All Habitats'!$AF$3:$AF$15,0)),"")</f>
        <v/>
      </c>
      <c r="B251" s="47" t="str">
        <f>IFERROR(INDEX('G-8 Condition Look up'!$I$4:$I$130,MATCH(G251,'G-8 Condition Look up'!$A$4:$A$130,0)),"")</f>
        <v/>
      </c>
      <c r="D251" s="77">
        <v>241</v>
      </c>
      <c r="E251" s="78"/>
      <c r="F251" s="79"/>
      <c r="G251" s="69" t="str">
        <f>IFERROR(INDEX('G-1 All Habitats'!$B$3:$B$129,MATCH(F251,'G-1 All Habitats'!$A$3:$A$129,0)),"")</f>
        <v/>
      </c>
      <c r="H251" s="70"/>
      <c r="I251" s="498" t="str">
        <f>IF(G251="","",VLOOKUP(G251,'G-1 All Habitats'!$B$2:$M$129,10,FALSE))</f>
        <v/>
      </c>
      <c r="J251" s="499" t="str">
        <f>IFERROR(VLOOKUP(I251,'G-1 All Habitats'!$V$3:$W$7,2,FALSE),"")</f>
        <v/>
      </c>
      <c r="K251" s="71"/>
      <c r="L251" s="499" t="str">
        <f>IFERROR(INDEX('G-8 Condition Look up'!$A$3:$H$130,MATCH(G251,'G-8 Condition Look up'!$A$3:$A$130,0),MATCH(K251,'G-8 Condition Look up'!$A$3:$H$3,0)),"")</f>
        <v/>
      </c>
      <c r="M251" s="71"/>
      <c r="N251" s="520" t="str">
        <f>IF(M251="","",IF(VLOOKUP(M251,'G-3 Multipliers'!$L$3:$N$6,2,FALSE)=0,"Spatial Data Missing",VLOOKUP(M251,'G-3 Multipliers'!$L$3:$N$6,2,FALSE)))</f>
        <v/>
      </c>
      <c r="O251" s="505" t="str">
        <f>IF(M251="","",IF(VLOOKUP(M251,'G-3 Multipliers'!$L$3:$N$6,3,FALSE)=0,"Spatial Data Missing",VLOOKUP(M251,'G-3 Multipliers'!$L$3:$N$6,3,FALSE)))</f>
        <v/>
      </c>
      <c r="P251" s="506" t="str">
        <f>IFERROR(VLOOKUP(G251,'G-1 All Habitats'!$B$2:$M$129,12,FALSE),"")</f>
        <v/>
      </c>
      <c r="Q251" s="513" t="str">
        <f>IFERROR(IF(P251="","",IF(AND(P251='G-1 All Habitats'!$X$3,T251&gt;0),U251+V251,IF(AND(P251='G-1 All Habitats'!$X$3,S251&gt;0),U251+V251,IF(AND(P251='G-1 All Habitats'!$X$3,AC251&gt;0),"Any Loss Unacceptable ▲",IF(AND(P251='G-1 All Habitats'!$X$3,W251&gt;0),"Any Loss Unacceptable ▲",H251*J251*L251*O251))))),"Check Data ▲")</f>
        <v/>
      </c>
      <c r="R251" s="50"/>
      <c r="S251" s="71"/>
      <c r="T251" s="72"/>
      <c r="U251" s="511" t="str">
        <f t="shared" si="18"/>
        <v/>
      </c>
      <c r="V251" s="511" t="str">
        <f t="shared" si="19"/>
        <v/>
      </c>
      <c r="W251" s="511" t="str">
        <f>IF(E251="","",IF(H251&lt;S251+T251,"Error in Areas ▲",IF(P251&lt;&gt;'G-1 All Habitats'!$X$3,H251-S251-T251,IF(AND(P251='G-1 All Habitats'!$X$3,Y251="Yes"),"Unacceptable Loss",IF(AND(P251='G-1 All Habitats'!$X$3,Y251="No"),AC251,IF(AND(P251='G-1 All Habitats'!$X$3,Y251=""),AC251,IF(AND(P251='G-1 All Habitats'!$X$3,AC251="None",AC251),IF(AND(P251='G-1 All Habitats'!$X$3,AC251&gt;0),H251-S251-T251))))))))</f>
        <v/>
      </c>
      <c r="X251" s="515" t="str">
        <f>IFERROR(IF(H251="","",IF(H251-S251-T251=0&lt;0,"Error in Areas ▲",IF(S251+T251&gt;H251,"Error in Areas ▲",IF(AND(P251='G-1 All Habitats'!$X$3,Y251="Yes"),"Alternative Compensation ✓",IF(W251=0,0,IF(P251='G-1 All Habitats'!$X$3,"Unacceptable Loss ▲",Q251-U251-V251)))))),"Check Data ▲")</f>
        <v/>
      </c>
      <c r="Y251" s="72"/>
      <c r="Z251" s="80"/>
      <c r="AA251" s="81"/>
      <c r="AC251" s="75" t="str">
        <f>IF(P251="","",IF(P251='G-1 All Habitats'!$X$3,H251-S251-T251,"None"))</f>
        <v/>
      </c>
      <c r="AD251" s="76" t="str">
        <f>IFERROR(AC251*J251*L251*#REF!*O251,IF(P251="","","None"))</f>
        <v/>
      </c>
      <c r="AF251" s="54" t="str">
        <f t="shared" si="15"/>
        <v/>
      </c>
      <c r="AG251" s="54" t="str">
        <f t="shared" si="16"/>
        <v/>
      </c>
      <c r="AH251" s="54" t="str">
        <f>IF(I251="","",IF(#REF!&gt;0,TRUE,FALSE))</f>
        <v/>
      </c>
      <c r="AI251" s="54">
        <v>241</v>
      </c>
      <c r="AJ251" s="54"/>
      <c r="AK251" s="54" t="str">
        <f t="array" ref="AK251">IFERROR(INDEX($AI$11:$AI$259, MATCH(0, IF(TRUE=$AF$11:$AF$259, COUNTIF($AK$10:$AK250, $AI$11:$AI$259), ""), 0)),"")</f>
        <v/>
      </c>
      <c r="AL251" s="54" t="str">
        <f t="array" ref="AL251">IFERROR(INDEX($AI$11:$AI$259, MATCH(0, IF(TRUE=$AG$11:$AG$259, COUNTIF($AL$10:$AL250, $AI$11:$AI$259), ""), 0)),"")</f>
        <v/>
      </c>
      <c r="AM251" s="54" t="str">
        <f t="array" ref="AM251">IFERROR(INDEX($AI$11:$AI$259, MATCH(0, IF(TRUE=$AH$11:$AH$259, COUNTIF($AM$10:$AM250, $AI$11:$AI$259), ""), 0)),"")</f>
        <v/>
      </c>
      <c r="AN251" s="54"/>
      <c r="AQ251" s="47">
        <f t="shared" si="17"/>
        <v>0</v>
      </c>
    </row>
    <row r="252" spans="1:43" x14ac:dyDescent="0.3">
      <c r="A252" s="47" t="str">
        <f>IFERROR(INDEX('G-1 All Habitats'!$AG$3:$AG$15,MATCH(E252,'G-1 All Habitats'!$AF$3:$AF$15,0)),"")</f>
        <v/>
      </c>
      <c r="B252" s="47" t="str">
        <f>IFERROR(INDEX('G-8 Condition Look up'!$I$4:$I$130,MATCH(G252,'G-8 Condition Look up'!$A$4:$A$130,0)),"")</f>
        <v/>
      </c>
      <c r="D252" s="77">
        <v>242</v>
      </c>
      <c r="E252" s="78"/>
      <c r="F252" s="79"/>
      <c r="G252" s="69" t="str">
        <f>IFERROR(INDEX('G-1 All Habitats'!$B$3:$B$129,MATCH(F252,'G-1 All Habitats'!$A$3:$A$129,0)),"")</f>
        <v/>
      </c>
      <c r="H252" s="70"/>
      <c r="I252" s="498" t="str">
        <f>IF(G252="","",VLOOKUP(G252,'G-1 All Habitats'!$B$2:$M$129,10,FALSE))</f>
        <v/>
      </c>
      <c r="J252" s="499" t="str">
        <f>IFERROR(VLOOKUP(I252,'G-1 All Habitats'!$V$3:$W$7,2,FALSE),"")</f>
        <v/>
      </c>
      <c r="K252" s="71"/>
      <c r="L252" s="499" t="str">
        <f>IFERROR(INDEX('G-8 Condition Look up'!$A$3:$H$130,MATCH(G252,'G-8 Condition Look up'!$A$3:$A$130,0),MATCH(K252,'G-8 Condition Look up'!$A$3:$H$3,0)),"")</f>
        <v/>
      </c>
      <c r="M252" s="71"/>
      <c r="N252" s="520" t="str">
        <f>IF(M252="","",IF(VLOOKUP(M252,'G-3 Multipliers'!$L$3:$N$6,2,FALSE)=0,"Spatial Data Missing",VLOOKUP(M252,'G-3 Multipliers'!$L$3:$N$6,2,FALSE)))</f>
        <v/>
      </c>
      <c r="O252" s="505" t="str">
        <f>IF(M252="","",IF(VLOOKUP(M252,'G-3 Multipliers'!$L$3:$N$6,3,FALSE)=0,"Spatial Data Missing",VLOOKUP(M252,'G-3 Multipliers'!$L$3:$N$6,3,FALSE)))</f>
        <v/>
      </c>
      <c r="P252" s="506" t="str">
        <f>IFERROR(VLOOKUP(G252,'G-1 All Habitats'!$B$2:$M$129,12,FALSE),"")</f>
        <v/>
      </c>
      <c r="Q252" s="513" t="str">
        <f>IFERROR(IF(P252="","",IF(AND(P252='G-1 All Habitats'!$X$3,T252&gt;0),U252+V252,IF(AND(P252='G-1 All Habitats'!$X$3,S252&gt;0),U252+V252,IF(AND(P252='G-1 All Habitats'!$X$3,AC252&gt;0),"Any Loss Unacceptable ▲",IF(AND(P252='G-1 All Habitats'!$X$3,W252&gt;0),"Any Loss Unacceptable ▲",H252*J252*L252*O252))))),"Check Data ▲")</f>
        <v/>
      </c>
      <c r="R252" s="50"/>
      <c r="S252" s="71"/>
      <c r="T252" s="72"/>
      <c r="U252" s="511" t="str">
        <f t="shared" si="18"/>
        <v/>
      </c>
      <c r="V252" s="511" t="str">
        <f t="shared" si="19"/>
        <v/>
      </c>
      <c r="W252" s="511" t="str">
        <f>IF(E252="","",IF(H252&lt;S252+T252,"Error in Areas ▲",IF(P252&lt;&gt;'G-1 All Habitats'!$X$3,H252-S252-T252,IF(AND(P252='G-1 All Habitats'!$X$3,Y252="Yes"),"Unacceptable Loss",IF(AND(P252='G-1 All Habitats'!$X$3,Y252="No"),AC252,IF(AND(P252='G-1 All Habitats'!$X$3,Y252=""),AC252,IF(AND(P252='G-1 All Habitats'!$X$3,AC252="None",AC252),IF(AND(P252='G-1 All Habitats'!$X$3,AC252&gt;0),H252-S252-T252))))))))</f>
        <v/>
      </c>
      <c r="X252" s="515" t="str">
        <f>IFERROR(IF(H252="","",IF(H252-S252-T252=0&lt;0,"Error in Areas ▲",IF(S252+T252&gt;H252,"Error in Areas ▲",IF(AND(P252='G-1 All Habitats'!$X$3,Y252="Yes"),"Alternative Compensation ✓",IF(W252=0,0,IF(P252='G-1 All Habitats'!$X$3,"Unacceptable Loss ▲",Q252-U252-V252)))))),"Check Data ▲")</f>
        <v/>
      </c>
      <c r="Y252" s="72"/>
      <c r="Z252" s="80"/>
      <c r="AA252" s="81"/>
      <c r="AC252" s="75" t="str">
        <f>IF(P252="","",IF(P252='G-1 All Habitats'!$X$3,H252-S252-T252,"None"))</f>
        <v/>
      </c>
      <c r="AD252" s="76" t="str">
        <f>IFERROR(AC252*J252*L252*#REF!*O252,IF(P252="","","None"))</f>
        <v/>
      </c>
      <c r="AF252" s="54" t="str">
        <f t="shared" si="15"/>
        <v/>
      </c>
      <c r="AG252" s="54" t="str">
        <f t="shared" si="16"/>
        <v/>
      </c>
      <c r="AH252" s="54" t="str">
        <f>IF(I252="","",IF(#REF!&gt;0,TRUE,FALSE))</f>
        <v/>
      </c>
      <c r="AI252" s="54">
        <v>242</v>
      </c>
      <c r="AJ252" s="54"/>
      <c r="AK252" s="54" t="str">
        <f t="array" ref="AK252">IFERROR(INDEX($AI$11:$AI$259, MATCH(0, IF(TRUE=$AF$11:$AF$259, COUNTIF($AK$10:$AK251, $AI$11:$AI$259), ""), 0)),"")</f>
        <v/>
      </c>
      <c r="AL252" s="54" t="str">
        <f t="array" ref="AL252">IFERROR(INDEX($AI$11:$AI$259, MATCH(0, IF(TRUE=$AG$11:$AG$259, COUNTIF($AL$10:$AL251, $AI$11:$AI$259), ""), 0)),"")</f>
        <v/>
      </c>
      <c r="AM252" s="54" t="str">
        <f t="array" ref="AM252">IFERROR(INDEX($AI$11:$AI$259, MATCH(0, IF(TRUE=$AH$11:$AH$259, COUNTIF($AM$10:$AM251, $AI$11:$AI$259), ""), 0)),"")</f>
        <v/>
      </c>
      <c r="AN252" s="54"/>
      <c r="AQ252" s="47">
        <f t="shared" si="17"/>
        <v>0</v>
      </c>
    </row>
    <row r="253" spans="1:43" x14ac:dyDescent="0.3">
      <c r="A253" s="47" t="str">
        <f>IFERROR(INDEX('G-1 All Habitats'!$AG$3:$AG$15,MATCH(E253,'G-1 All Habitats'!$AF$3:$AF$15,0)),"")</f>
        <v/>
      </c>
      <c r="B253" s="47" t="str">
        <f>IFERROR(INDEX('G-8 Condition Look up'!$I$4:$I$130,MATCH(G253,'G-8 Condition Look up'!$A$4:$A$130,0)),"")</f>
        <v/>
      </c>
      <c r="D253" s="77">
        <v>243</v>
      </c>
      <c r="E253" s="78"/>
      <c r="F253" s="79"/>
      <c r="G253" s="69" t="str">
        <f>IFERROR(INDEX('G-1 All Habitats'!$B$3:$B$129,MATCH(F253,'G-1 All Habitats'!$A$3:$A$129,0)),"")</f>
        <v/>
      </c>
      <c r="H253" s="70"/>
      <c r="I253" s="498" t="str">
        <f>IF(G253="","",VLOOKUP(G253,'G-1 All Habitats'!$B$2:$M$129,10,FALSE))</f>
        <v/>
      </c>
      <c r="J253" s="499" t="str">
        <f>IFERROR(VLOOKUP(I253,'G-1 All Habitats'!$V$3:$W$7,2,FALSE),"")</f>
        <v/>
      </c>
      <c r="K253" s="71"/>
      <c r="L253" s="499" t="str">
        <f>IFERROR(INDEX('G-8 Condition Look up'!$A$3:$H$130,MATCH(G253,'G-8 Condition Look up'!$A$3:$A$130,0),MATCH(K253,'G-8 Condition Look up'!$A$3:$H$3,0)),"")</f>
        <v/>
      </c>
      <c r="M253" s="71"/>
      <c r="N253" s="520" t="str">
        <f>IF(M253="","",IF(VLOOKUP(M253,'G-3 Multipliers'!$L$3:$N$6,2,FALSE)=0,"Spatial Data Missing",VLOOKUP(M253,'G-3 Multipliers'!$L$3:$N$6,2,FALSE)))</f>
        <v/>
      </c>
      <c r="O253" s="505" t="str">
        <f>IF(M253="","",IF(VLOOKUP(M253,'G-3 Multipliers'!$L$3:$N$6,3,FALSE)=0,"Spatial Data Missing",VLOOKUP(M253,'G-3 Multipliers'!$L$3:$N$6,3,FALSE)))</f>
        <v/>
      </c>
      <c r="P253" s="506" t="str">
        <f>IFERROR(VLOOKUP(G253,'G-1 All Habitats'!$B$2:$M$129,12,FALSE),"")</f>
        <v/>
      </c>
      <c r="Q253" s="513" t="str">
        <f>IFERROR(IF(P253="","",IF(AND(P253='G-1 All Habitats'!$X$3,T253&gt;0),U253+V253,IF(AND(P253='G-1 All Habitats'!$X$3,S253&gt;0),U253+V253,IF(AND(P253='G-1 All Habitats'!$X$3,AC253&gt;0),"Any Loss Unacceptable ▲",IF(AND(P253='G-1 All Habitats'!$X$3,W253&gt;0),"Any Loss Unacceptable ▲",H253*J253*L253*O253))))),"Check Data ▲")</f>
        <v/>
      </c>
      <c r="R253" s="50"/>
      <c r="S253" s="71"/>
      <c r="T253" s="72"/>
      <c r="U253" s="511" t="str">
        <f t="shared" si="18"/>
        <v/>
      </c>
      <c r="V253" s="511" t="str">
        <f t="shared" si="19"/>
        <v/>
      </c>
      <c r="W253" s="511" t="str">
        <f>IF(E253="","",IF(H253&lt;S253+T253,"Error in Areas ▲",IF(P253&lt;&gt;'G-1 All Habitats'!$X$3,H253-S253-T253,IF(AND(P253='G-1 All Habitats'!$X$3,Y253="Yes"),"Unacceptable Loss",IF(AND(P253='G-1 All Habitats'!$X$3,Y253="No"),AC253,IF(AND(P253='G-1 All Habitats'!$X$3,Y253=""),AC253,IF(AND(P253='G-1 All Habitats'!$X$3,AC253="None",AC253),IF(AND(P253='G-1 All Habitats'!$X$3,AC253&gt;0),H253-S253-T253))))))))</f>
        <v/>
      </c>
      <c r="X253" s="515" t="str">
        <f>IFERROR(IF(H253="","",IF(H253-S253-T253=0&lt;0,"Error in Areas ▲",IF(S253+T253&gt;H253,"Error in Areas ▲",IF(AND(P253='G-1 All Habitats'!$X$3,Y253="Yes"),"Alternative Compensation ✓",IF(W253=0,0,IF(P253='G-1 All Habitats'!$X$3,"Unacceptable Loss ▲",Q253-U253-V253)))))),"Check Data ▲")</f>
        <v/>
      </c>
      <c r="Y253" s="72"/>
      <c r="Z253" s="80"/>
      <c r="AA253" s="81"/>
      <c r="AC253" s="75" t="str">
        <f>IF(P253="","",IF(P253='G-1 All Habitats'!$X$3,H253-S253-T253,"None"))</f>
        <v/>
      </c>
      <c r="AD253" s="76" t="str">
        <f>IFERROR(AC253*J253*L253*#REF!*O253,IF(P253="","","None"))</f>
        <v/>
      </c>
      <c r="AF253" s="54" t="str">
        <f t="shared" si="15"/>
        <v/>
      </c>
      <c r="AG253" s="54" t="str">
        <f t="shared" si="16"/>
        <v/>
      </c>
      <c r="AH253" s="54" t="str">
        <f>IF(I253="","",IF(#REF!&gt;0,TRUE,FALSE))</f>
        <v/>
      </c>
      <c r="AI253" s="54">
        <v>243</v>
      </c>
      <c r="AJ253" s="54"/>
      <c r="AK253" s="54" t="str">
        <f t="array" ref="AK253">IFERROR(INDEX($AI$11:$AI$259, MATCH(0, IF(TRUE=$AF$11:$AF$259, COUNTIF($AK$10:$AK252, $AI$11:$AI$259), ""), 0)),"")</f>
        <v/>
      </c>
      <c r="AL253" s="54" t="str">
        <f t="array" ref="AL253">IFERROR(INDEX($AI$11:$AI$259, MATCH(0, IF(TRUE=$AG$11:$AG$259, COUNTIF($AL$10:$AL252, $AI$11:$AI$259), ""), 0)),"")</f>
        <v/>
      </c>
      <c r="AM253" s="54" t="str">
        <f t="array" ref="AM253">IFERROR(INDEX($AI$11:$AI$259, MATCH(0, IF(TRUE=$AH$11:$AH$259, COUNTIF($AM$10:$AM252, $AI$11:$AI$259), ""), 0)),"")</f>
        <v/>
      </c>
      <c r="AN253" s="54"/>
      <c r="AQ253" s="47">
        <f t="shared" si="17"/>
        <v>0</v>
      </c>
    </row>
    <row r="254" spans="1:43" x14ac:dyDescent="0.3">
      <c r="A254" s="47" t="str">
        <f>IFERROR(INDEX('G-1 All Habitats'!$AG$3:$AG$15,MATCH(E254,'G-1 All Habitats'!$AF$3:$AF$15,0)),"")</f>
        <v/>
      </c>
      <c r="B254" s="47" t="str">
        <f>IFERROR(INDEX('G-8 Condition Look up'!$I$4:$I$130,MATCH(G254,'G-8 Condition Look up'!$A$4:$A$130,0)),"")</f>
        <v/>
      </c>
      <c r="D254" s="77">
        <v>244</v>
      </c>
      <c r="E254" s="78"/>
      <c r="F254" s="79"/>
      <c r="G254" s="69" t="str">
        <f>IFERROR(INDEX('G-1 All Habitats'!$B$3:$B$129,MATCH(F254,'G-1 All Habitats'!$A$3:$A$129,0)),"")</f>
        <v/>
      </c>
      <c r="H254" s="70"/>
      <c r="I254" s="498" t="str">
        <f>IF(G254="","",VLOOKUP(G254,'G-1 All Habitats'!$B$2:$M$129,10,FALSE))</f>
        <v/>
      </c>
      <c r="J254" s="499" t="str">
        <f>IFERROR(VLOOKUP(I254,'G-1 All Habitats'!$V$3:$W$7,2,FALSE),"")</f>
        <v/>
      </c>
      <c r="K254" s="71"/>
      <c r="L254" s="499" t="str">
        <f>IFERROR(INDEX('G-8 Condition Look up'!$A$3:$H$130,MATCH(G254,'G-8 Condition Look up'!$A$3:$A$130,0),MATCH(K254,'G-8 Condition Look up'!$A$3:$H$3,0)),"")</f>
        <v/>
      </c>
      <c r="M254" s="71"/>
      <c r="N254" s="520" t="str">
        <f>IF(M254="","",IF(VLOOKUP(M254,'G-3 Multipliers'!$L$3:$N$6,2,FALSE)=0,"Spatial Data Missing",VLOOKUP(M254,'G-3 Multipliers'!$L$3:$N$6,2,FALSE)))</f>
        <v/>
      </c>
      <c r="O254" s="505" t="str">
        <f>IF(M254="","",IF(VLOOKUP(M254,'G-3 Multipliers'!$L$3:$N$6,3,FALSE)=0,"Spatial Data Missing",VLOOKUP(M254,'G-3 Multipliers'!$L$3:$N$6,3,FALSE)))</f>
        <v/>
      </c>
      <c r="P254" s="506" t="str">
        <f>IFERROR(VLOOKUP(G254,'G-1 All Habitats'!$B$2:$M$129,12,FALSE),"")</f>
        <v/>
      </c>
      <c r="Q254" s="513" t="str">
        <f>IFERROR(IF(P254="","",IF(AND(P254='G-1 All Habitats'!$X$3,T254&gt;0),U254+V254,IF(AND(P254='G-1 All Habitats'!$X$3,S254&gt;0),U254+V254,IF(AND(P254='G-1 All Habitats'!$X$3,AC254&gt;0),"Any Loss Unacceptable ▲",IF(AND(P254='G-1 All Habitats'!$X$3,W254&gt;0),"Any Loss Unacceptable ▲",H254*J254*L254*O254))))),"Check Data ▲")</f>
        <v/>
      </c>
      <c r="R254" s="50"/>
      <c r="S254" s="71"/>
      <c r="T254" s="72"/>
      <c r="U254" s="511" t="str">
        <f t="shared" si="18"/>
        <v/>
      </c>
      <c r="V254" s="511" t="str">
        <f t="shared" si="19"/>
        <v/>
      </c>
      <c r="W254" s="511" t="str">
        <f>IF(E254="","",IF(H254&lt;S254+T254,"Error in Areas ▲",IF(P254&lt;&gt;'G-1 All Habitats'!$X$3,H254-S254-T254,IF(AND(P254='G-1 All Habitats'!$X$3,Y254="Yes"),"Unacceptable Loss",IF(AND(P254='G-1 All Habitats'!$X$3,Y254="No"),AC254,IF(AND(P254='G-1 All Habitats'!$X$3,Y254=""),AC254,IF(AND(P254='G-1 All Habitats'!$X$3,AC254="None",AC254),IF(AND(P254='G-1 All Habitats'!$X$3,AC254&gt;0),H254-S254-T254))))))))</f>
        <v/>
      </c>
      <c r="X254" s="515" t="str">
        <f>IFERROR(IF(H254="","",IF(H254-S254-T254=0&lt;0,"Error in Areas ▲",IF(S254+T254&gt;H254,"Error in Areas ▲",IF(AND(P254='G-1 All Habitats'!$X$3,Y254="Yes"),"Alternative Compensation ✓",IF(W254=0,0,IF(P254='G-1 All Habitats'!$X$3,"Unacceptable Loss ▲",Q254-U254-V254)))))),"Check Data ▲")</f>
        <v/>
      </c>
      <c r="Y254" s="72"/>
      <c r="Z254" s="80"/>
      <c r="AA254" s="81"/>
      <c r="AC254" s="75" t="str">
        <f>IF(P254="","",IF(P254='G-1 All Habitats'!$X$3,H254-S254-T254,"None"))</f>
        <v/>
      </c>
      <c r="AD254" s="76" t="str">
        <f>IFERROR(AC254*J254*L254*#REF!*O254,IF(P254="","","None"))</f>
        <v/>
      </c>
      <c r="AF254" s="54" t="str">
        <f t="shared" si="15"/>
        <v/>
      </c>
      <c r="AG254" s="54" t="str">
        <f t="shared" si="16"/>
        <v/>
      </c>
      <c r="AH254" s="54" t="str">
        <f>IF(I254="","",IF(#REF!&gt;0,TRUE,FALSE))</f>
        <v/>
      </c>
      <c r="AI254" s="54">
        <v>244</v>
      </c>
      <c r="AJ254" s="54"/>
      <c r="AK254" s="54" t="str">
        <f t="array" ref="AK254">IFERROR(INDEX($AI$11:$AI$259, MATCH(0, IF(TRUE=$AF$11:$AF$259, COUNTIF($AK$10:$AK253, $AI$11:$AI$259), ""), 0)),"")</f>
        <v/>
      </c>
      <c r="AL254" s="54" t="str">
        <f t="array" ref="AL254">IFERROR(INDEX($AI$11:$AI$259, MATCH(0, IF(TRUE=$AG$11:$AG$259, COUNTIF($AL$10:$AL253, $AI$11:$AI$259), ""), 0)),"")</f>
        <v/>
      </c>
      <c r="AM254" s="54" t="str">
        <f t="array" ref="AM254">IFERROR(INDEX($AI$11:$AI$259, MATCH(0, IF(TRUE=$AH$11:$AH$259, COUNTIF($AM$10:$AM253, $AI$11:$AI$259), ""), 0)),"")</f>
        <v/>
      </c>
      <c r="AN254" s="54"/>
      <c r="AQ254" s="47">
        <f t="shared" si="17"/>
        <v>0</v>
      </c>
    </row>
    <row r="255" spans="1:43" x14ac:dyDescent="0.3">
      <c r="A255" s="47" t="str">
        <f>IFERROR(INDEX('G-1 All Habitats'!$AG$3:$AG$15,MATCH(E255,'G-1 All Habitats'!$AF$3:$AF$15,0)),"")</f>
        <v/>
      </c>
      <c r="B255" s="47" t="str">
        <f>IFERROR(INDEX('G-8 Condition Look up'!$I$4:$I$130,MATCH(G255,'G-8 Condition Look up'!$A$4:$A$130,0)),"")</f>
        <v/>
      </c>
      <c r="D255" s="77">
        <v>245</v>
      </c>
      <c r="E255" s="78"/>
      <c r="F255" s="79"/>
      <c r="G255" s="69" t="str">
        <f>IFERROR(INDEX('G-1 All Habitats'!$B$3:$B$129,MATCH(F255,'G-1 All Habitats'!$A$3:$A$129,0)),"")</f>
        <v/>
      </c>
      <c r="H255" s="70"/>
      <c r="I255" s="498" t="str">
        <f>IF(G255="","",VLOOKUP(G255,'G-1 All Habitats'!$B$2:$M$129,10,FALSE))</f>
        <v/>
      </c>
      <c r="J255" s="499" t="str">
        <f>IFERROR(VLOOKUP(I255,'G-1 All Habitats'!$V$3:$W$7,2,FALSE),"")</f>
        <v/>
      </c>
      <c r="K255" s="71"/>
      <c r="L255" s="499" t="str">
        <f>IFERROR(INDEX('G-8 Condition Look up'!$A$3:$H$130,MATCH(G255,'G-8 Condition Look up'!$A$3:$A$130,0),MATCH(K255,'G-8 Condition Look up'!$A$3:$H$3,0)),"")</f>
        <v/>
      </c>
      <c r="M255" s="71"/>
      <c r="N255" s="520" t="str">
        <f>IF(M255="","",IF(VLOOKUP(M255,'G-3 Multipliers'!$L$3:$N$6,2,FALSE)=0,"Spatial Data Missing",VLOOKUP(M255,'G-3 Multipliers'!$L$3:$N$6,2,FALSE)))</f>
        <v/>
      </c>
      <c r="O255" s="505" t="str">
        <f>IF(M255="","",IF(VLOOKUP(M255,'G-3 Multipliers'!$L$3:$N$6,3,FALSE)=0,"Spatial Data Missing",VLOOKUP(M255,'G-3 Multipliers'!$L$3:$N$6,3,FALSE)))</f>
        <v/>
      </c>
      <c r="P255" s="506" t="str">
        <f>IFERROR(VLOOKUP(G255,'G-1 All Habitats'!$B$2:$M$129,12,FALSE),"")</f>
        <v/>
      </c>
      <c r="Q255" s="513" t="str">
        <f>IFERROR(IF(P255="","",IF(AND(P255='G-1 All Habitats'!$X$3,T255&gt;0),U255+V255,IF(AND(P255='G-1 All Habitats'!$X$3,S255&gt;0),U255+V255,IF(AND(P255='G-1 All Habitats'!$X$3,AC255&gt;0),"Any Loss Unacceptable ▲",IF(AND(P255='G-1 All Habitats'!$X$3,W255&gt;0),"Any Loss Unacceptable ▲",H255*J255*L255*O255))))),"Check Data ▲")</f>
        <v/>
      </c>
      <c r="R255" s="50"/>
      <c r="S255" s="71"/>
      <c r="T255" s="72"/>
      <c r="U255" s="511" t="str">
        <f t="shared" si="18"/>
        <v/>
      </c>
      <c r="V255" s="511" t="str">
        <f t="shared" si="19"/>
        <v/>
      </c>
      <c r="W255" s="511" t="str">
        <f>IF(E255="","",IF(H255&lt;S255+T255,"Error in Areas ▲",IF(P255&lt;&gt;'G-1 All Habitats'!$X$3,H255-S255-T255,IF(AND(P255='G-1 All Habitats'!$X$3,Y255="Yes"),"Unacceptable Loss",IF(AND(P255='G-1 All Habitats'!$X$3,Y255="No"),AC255,IF(AND(P255='G-1 All Habitats'!$X$3,Y255=""),AC255,IF(AND(P255='G-1 All Habitats'!$X$3,AC255="None",AC255),IF(AND(P255='G-1 All Habitats'!$X$3,AC255&gt;0),H255-S255-T255))))))))</f>
        <v/>
      </c>
      <c r="X255" s="515" t="str">
        <f>IFERROR(IF(H255="","",IF(H255-S255-T255=0&lt;0,"Error in Areas ▲",IF(S255+T255&gt;H255,"Error in Areas ▲",IF(AND(P255='G-1 All Habitats'!$X$3,Y255="Yes"),"Alternative Compensation ✓",IF(W255=0,0,IF(P255='G-1 All Habitats'!$X$3,"Unacceptable Loss ▲",Q255-U255-V255)))))),"Check Data ▲")</f>
        <v/>
      </c>
      <c r="Y255" s="72"/>
      <c r="Z255" s="80"/>
      <c r="AA255" s="81"/>
      <c r="AC255" s="75" t="str">
        <f>IF(P255="","",IF(P255='G-1 All Habitats'!$X$3,H255-S255-T255,"None"))</f>
        <v/>
      </c>
      <c r="AD255" s="76" t="str">
        <f>IFERROR(AC255*J255*L255*#REF!*O255,IF(P255="","","None"))</f>
        <v/>
      </c>
      <c r="AF255" s="54" t="str">
        <f t="shared" si="15"/>
        <v/>
      </c>
      <c r="AG255" s="54" t="str">
        <f t="shared" si="16"/>
        <v/>
      </c>
      <c r="AH255" s="54" t="str">
        <f>IF(I255="","",IF(#REF!&gt;0,TRUE,FALSE))</f>
        <v/>
      </c>
      <c r="AI255" s="54">
        <v>245</v>
      </c>
      <c r="AJ255" s="54"/>
      <c r="AK255" s="54" t="str">
        <f t="array" ref="AK255">IFERROR(INDEX($AI$11:$AI$259, MATCH(0, IF(TRUE=$AF$11:$AF$259, COUNTIF($AK$10:$AK254, $AI$11:$AI$259), ""), 0)),"")</f>
        <v/>
      </c>
      <c r="AL255" s="54" t="str">
        <f t="array" ref="AL255">IFERROR(INDEX($AI$11:$AI$259, MATCH(0, IF(TRUE=$AG$11:$AG$259, COUNTIF($AL$10:$AL254, $AI$11:$AI$259), ""), 0)),"")</f>
        <v/>
      </c>
      <c r="AM255" s="54" t="str">
        <f t="array" ref="AM255">IFERROR(INDEX($AI$11:$AI$259, MATCH(0, IF(TRUE=$AH$11:$AH$259, COUNTIF($AM$10:$AM254, $AI$11:$AI$259), ""), 0)),"")</f>
        <v/>
      </c>
      <c r="AN255" s="54"/>
      <c r="AQ255" s="47">
        <f t="shared" si="17"/>
        <v>0</v>
      </c>
    </row>
    <row r="256" spans="1:43" x14ac:dyDescent="0.3">
      <c r="A256" s="47" t="str">
        <f>IFERROR(INDEX('G-1 All Habitats'!$AG$3:$AG$15,MATCH(E256,'G-1 All Habitats'!$AF$3:$AF$15,0)),"")</f>
        <v/>
      </c>
      <c r="B256" s="47" t="str">
        <f>IFERROR(INDEX('G-8 Condition Look up'!$I$4:$I$130,MATCH(G256,'G-8 Condition Look up'!$A$4:$A$130,0)),"")</f>
        <v/>
      </c>
      <c r="D256" s="77">
        <v>246</v>
      </c>
      <c r="E256" s="78"/>
      <c r="F256" s="79"/>
      <c r="G256" s="69" t="str">
        <f>IFERROR(INDEX('G-1 All Habitats'!$B$3:$B$129,MATCH(F256,'G-1 All Habitats'!$A$3:$A$129,0)),"")</f>
        <v/>
      </c>
      <c r="H256" s="70"/>
      <c r="I256" s="498" t="str">
        <f>IF(G256="","",VLOOKUP(G256,'G-1 All Habitats'!$B$2:$M$129,10,FALSE))</f>
        <v/>
      </c>
      <c r="J256" s="499" t="str">
        <f>IFERROR(VLOOKUP(I256,'G-1 All Habitats'!$V$3:$W$7,2,FALSE),"")</f>
        <v/>
      </c>
      <c r="K256" s="71"/>
      <c r="L256" s="499" t="str">
        <f>IFERROR(INDEX('G-8 Condition Look up'!$A$3:$H$130,MATCH(G256,'G-8 Condition Look up'!$A$3:$A$130,0),MATCH(K256,'G-8 Condition Look up'!$A$3:$H$3,0)),"")</f>
        <v/>
      </c>
      <c r="M256" s="71"/>
      <c r="N256" s="520" t="str">
        <f>IF(M256="","",IF(VLOOKUP(M256,'G-3 Multipliers'!$L$3:$N$6,2,FALSE)=0,"Spatial Data Missing",VLOOKUP(M256,'G-3 Multipliers'!$L$3:$N$6,2,FALSE)))</f>
        <v/>
      </c>
      <c r="O256" s="505" t="str">
        <f>IF(M256="","",IF(VLOOKUP(M256,'G-3 Multipliers'!$L$3:$N$6,3,FALSE)=0,"Spatial Data Missing",VLOOKUP(M256,'G-3 Multipliers'!$L$3:$N$6,3,FALSE)))</f>
        <v/>
      </c>
      <c r="P256" s="506" t="str">
        <f>IFERROR(VLOOKUP(G256,'G-1 All Habitats'!$B$2:$M$129,12,FALSE),"")</f>
        <v/>
      </c>
      <c r="Q256" s="513" t="str">
        <f>IFERROR(IF(P256="","",IF(AND(P256='G-1 All Habitats'!$X$3,T256&gt;0),U256+V256,IF(AND(P256='G-1 All Habitats'!$X$3,S256&gt;0),U256+V256,IF(AND(P256='G-1 All Habitats'!$X$3,AC256&gt;0),"Any Loss Unacceptable ▲",IF(AND(P256='G-1 All Habitats'!$X$3,W256&gt;0),"Any Loss Unacceptable ▲",H256*J256*L256*O256))))),"Check Data ▲")</f>
        <v/>
      </c>
      <c r="R256" s="50"/>
      <c r="S256" s="71"/>
      <c r="T256" s="72"/>
      <c r="U256" s="511" t="str">
        <f t="shared" si="18"/>
        <v/>
      </c>
      <c r="V256" s="511" t="str">
        <f t="shared" si="19"/>
        <v/>
      </c>
      <c r="W256" s="511" t="str">
        <f>IF(E256="","",IF(H256&lt;S256+T256,"Error in Areas ▲",IF(P256&lt;&gt;'G-1 All Habitats'!$X$3,H256-S256-T256,IF(AND(P256='G-1 All Habitats'!$X$3,Y256="Yes"),"Unacceptable Loss",IF(AND(P256='G-1 All Habitats'!$X$3,Y256="No"),AC256,IF(AND(P256='G-1 All Habitats'!$X$3,Y256=""),AC256,IF(AND(P256='G-1 All Habitats'!$X$3,AC256="None",AC256),IF(AND(P256='G-1 All Habitats'!$X$3,AC256&gt;0),H256-S256-T256))))))))</f>
        <v/>
      </c>
      <c r="X256" s="515" t="str">
        <f>IFERROR(IF(H256="","",IF(H256-S256-T256=0&lt;0,"Error in Areas ▲",IF(S256+T256&gt;H256,"Error in Areas ▲",IF(AND(P256='G-1 All Habitats'!$X$3,Y256="Yes"),"Alternative Compensation ✓",IF(W256=0,0,IF(P256='G-1 All Habitats'!$X$3,"Unacceptable Loss ▲",Q256-U256-V256)))))),"Check Data ▲")</f>
        <v/>
      </c>
      <c r="Y256" s="72"/>
      <c r="Z256" s="80"/>
      <c r="AA256" s="81"/>
      <c r="AC256" s="75" t="str">
        <f>IF(P256="","",IF(P256='G-1 All Habitats'!$X$3,H256-S256-T256,"None"))</f>
        <v/>
      </c>
      <c r="AD256" s="76" t="str">
        <f>IFERROR(AC256*J256*L256*#REF!*O256,IF(P256="","","None"))</f>
        <v/>
      </c>
      <c r="AF256" s="54" t="str">
        <f t="shared" si="15"/>
        <v/>
      </c>
      <c r="AG256" s="54" t="str">
        <f t="shared" si="16"/>
        <v/>
      </c>
      <c r="AH256" s="54" t="str">
        <f>IF(I256="","",IF(#REF!&gt;0,TRUE,FALSE))</f>
        <v/>
      </c>
      <c r="AI256" s="54">
        <v>246</v>
      </c>
      <c r="AJ256" s="54"/>
      <c r="AK256" s="54" t="str">
        <f t="array" ref="AK256">IFERROR(INDEX($AI$11:$AI$259, MATCH(0, IF(TRUE=$AF$11:$AF$259, COUNTIF($AK$10:$AK255, $AI$11:$AI$259), ""), 0)),"")</f>
        <v/>
      </c>
      <c r="AL256" s="54" t="str">
        <f t="array" ref="AL256">IFERROR(INDEX($AI$11:$AI$259, MATCH(0, IF(TRUE=$AG$11:$AG$259, COUNTIF($AL$10:$AL255, $AI$11:$AI$259), ""), 0)),"")</f>
        <v/>
      </c>
      <c r="AM256" s="54" t="str">
        <f t="array" ref="AM256">IFERROR(INDEX($AI$11:$AI$259, MATCH(0, IF(TRUE=$AH$11:$AH$259, COUNTIF($AM$10:$AM255, $AI$11:$AI$259), ""), 0)),"")</f>
        <v/>
      </c>
      <c r="AN256" s="54"/>
      <c r="AQ256" s="47">
        <f t="shared" si="17"/>
        <v>0</v>
      </c>
    </row>
    <row r="257" spans="1:43" x14ac:dyDescent="0.3">
      <c r="A257" s="47" t="str">
        <f>IFERROR(INDEX('G-1 All Habitats'!$AG$3:$AG$15,MATCH(E257,'G-1 All Habitats'!$AF$3:$AF$15,0)),"")</f>
        <v/>
      </c>
      <c r="B257" s="47" t="str">
        <f>IFERROR(INDEX('G-8 Condition Look up'!$I$4:$I$130,MATCH(G257,'G-8 Condition Look up'!$A$4:$A$130,0)),"")</f>
        <v/>
      </c>
      <c r="D257" s="77">
        <v>247</v>
      </c>
      <c r="E257" s="78"/>
      <c r="F257" s="79"/>
      <c r="G257" s="69" t="str">
        <f>IFERROR(INDEX('G-1 All Habitats'!$B$3:$B$129,MATCH(F257,'G-1 All Habitats'!$A$3:$A$129,0)),"")</f>
        <v/>
      </c>
      <c r="H257" s="70"/>
      <c r="I257" s="498" t="str">
        <f>IF(G257="","",VLOOKUP(G257,'G-1 All Habitats'!$B$2:$M$129,10,FALSE))</f>
        <v/>
      </c>
      <c r="J257" s="499" t="str">
        <f>IFERROR(VLOOKUP(I257,'G-1 All Habitats'!$V$3:$W$7,2,FALSE),"")</f>
        <v/>
      </c>
      <c r="K257" s="71"/>
      <c r="L257" s="499" t="str">
        <f>IFERROR(INDEX('G-8 Condition Look up'!$A$3:$H$130,MATCH(G257,'G-8 Condition Look up'!$A$3:$A$130,0),MATCH(K257,'G-8 Condition Look up'!$A$3:$H$3,0)),"")</f>
        <v/>
      </c>
      <c r="M257" s="71"/>
      <c r="N257" s="520" t="str">
        <f>IF(M257="","",IF(VLOOKUP(M257,'G-3 Multipliers'!$L$3:$N$6,2,FALSE)=0,"Spatial Data Missing",VLOOKUP(M257,'G-3 Multipliers'!$L$3:$N$6,2,FALSE)))</f>
        <v/>
      </c>
      <c r="O257" s="505" t="str">
        <f>IF(M257="","",IF(VLOOKUP(M257,'G-3 Multipliers'!$L$3:$N$6,3,FALSE)=0,"Spatial Data Missing",VLOOKUP(M257,'G-3 Multipliers'!$L$3:$N$6,3,FALSE)))</f>
        <v/>
      </c>
      <c r="P257" s="506" t="str">
        <f>IFERROR(VLOOKUP(G257,'G-1 All Habitats'!$B$2:$M$129,12,FALSE),"")</f>
        <v/>
      </c>
      <c r="Q257" s="513" t="str">
        <f>IFERROR(IF(P257="","",IF(AND(P257='G-1 All Habitats'!$X$3,T257&gt;0),U257+V257,IF(AND(P257='G-1 All Habitats'!$X$3,S257&gt;0),U257+V257,IF(AND(P257='G-1 All Habitats'!$X$3,AC257&gt;0),"Any Loss Unacceptable ▲",IF(AND(P257='G-1 All Habitats'!$X$3,W257&gt;0),"Any Loss Unacceptable ▲",H257*J257*L257*O257))))),"Check Data ▲")</f>
        <v/>
      </c>
      <c r="R257" s="50"/>
      <c r="S257" s="71"/>
      <c r="T257" s="72"/>
      <c r="U257" s="511" t="str">
        <f t="shared" si="18"/>
        <v/>
      </c>
      <c r="V257" s="511" t="str">
        <f t="shared" si="19"/>
        <v/>
      </c>
      <c r="W257" s="511" t="str">
        <f>IF(E257="","",IF(H257&lt;S257+T257,"Error in Areas ▲",IF(P257&lt;&gt;'G-1 All Habitats'!$X$3,H257-S257-T257,IF(AND(P257='G-1 All Habitats'!$X$3,Y257="Yes"),"Unacceptable Loss",IF(AND(P257='G-1 All Habitats'!$X$3,Y257="No"),AC257,IF(AND(P257='G-1 All Habitats'!$X$3,Y257=""),AC257,IF(AND(P257='G-1 All Habitats'!$X$3,AC257="None",AC257),IF(AND(P257='G-1 All Habitats'!$X$3,AC257&gt;0),H257-S257-T257))))))))</f>
        <v/>
      </c>
      <c r="X257" s="515" t="str">
        <f>IFERROR(IF(H257="","",IF(H257-S257-T257=0&lt;0,"Error in Areas ▲",IF(S257+T257&gt;H257,"Error in Areas ▲",IF(AND(P257='G-1 All Habitats'!$X$3,Y257="Yes"),"Alternative Compensation ✓",IF(W257=0,0,IF(P257='G-1 All Habitats'!$X$3,"Unacceptable Loss ▲",Q257-U257-V257)))))),"Check Data ▲")</f>
        <v/>
      </c>
      <c r="Y257" s="72"/>
      <c r="Z257" s="80"/>
      <c r="AA257" s="81"/>
      <c r="AC257" s="75" t="str">
        <f>IF(P257="","",IF(P257='G-1 All Habitats'!$X$3,H257-S257-T257,"None"))</f>
        <v/>
      </c>
      <c r="AD257" s="76" t="str">
        <f>IFERROR(AC257*J257*L257*#REF!*O257,IF(P257="","","None"))</f>
        <v/>
      </c>
      <c r="AF257" s="54" t="str">
        <f t="shared" si="15"/>
        <v/>
      </c>
      <c r="AG257" s="54" t="str">
        <f t="shared" si="16"/>
        <v/>
      </c>
      <c r="AH257" s="54" t="str">
        <f>IF(I257="","",IF(#REF!&gt;0,TRUE,FALSE))</f>
        <v/>
      </c>
      <c r="AI257" s="54">
        <v>247</v>
      </c>
      <c r="AJ257" s="54"/>
      <c r="AK257" s="54" t="str">
        <f t="array" ref="AK257">IFERROR(INDEX($AI$11:$AI$259, MATCH(0, IF(TRUE=$AF$11:$AF$259, COUNTIF($AK$10:$AK256, $AI$11:$AI$259), ""), 0)),"")</f>
        <v/>
      </c>
      <c r="AL257" s="54" t="str">
        <f t="array" ref="AL257">IFERROR(INDEX($AI$11:$AI$259, MATCH(0, IF(TRUE=$AG$11:$AG$259, COUNTIF($AL$10:$AL256, $AI$11:$AI$259), ""), 0)),"")</f>
        <v/>
      </c>
      <c r="AM257" s="54" t="str">
        <f t="array" ref="AM257">IFERROR(INDEX($AI$11:$AI$259, MATCH(0, IF(TRUE=$AH$11:$AH$259, COUNTIF($AM$10:$AM256, $AI$11:$AI$259), ""), 0)),"")</f>
        <v/>
      </c>
      <c r="AN257" s="54"/>
      <c r="AQ257" s="47">
        <f t="shared" si="17"/>
        <v>0</v>
      </c>
    </row>
    <row r="258" spans="1:43" ht="14.5" thickBot="1" x14ac:dyDescent="0.35">
      <c r="A258" s="47" t="str">
        <f>IFERROR(INDEX('G-1 All Habitats'!$AG$3:$AG$15,MATCH(E258,'G-1 All Habitats'!$AF$3:$AF$15,0)),"")</f>
        <v/>
      </c>
      <c r="B258" s="47" t="str">
        <f>IFERROR(INDEX('G-8 Condition Look up'!$I$4:$I$130,MATCH(G258,'G-8 Condition Look up'!$A$4:$A$130,0)),"")</f>
        <v/>
      </c>
      <c r="D258" s="62">
        <v>248</v>
      </c>
      <c r="E258" s="316"/>
      <c r="F258" s="241"/>
      <c r="G258" s="317" t="str">
        <f>IFERROR(INDEX('G-1 All Habitats'!$B$3:$B$129,MATCH(F258,'G-1 All Habitats'!$A$3:$A$129,0)),"")</f>
        <v/>
      </c>
      <c r="H258" s="318"/>
      <c r="I258" s="500" t="str">
        <f>IF(G258="","",VLOOKUP(G258,'G-1 All Habitats'!$B$2:$M$129,10,FALSE))</f>
        <v/>
      </c>
      <c r="J258" s="501" t="str">
        <f>IFERROR(VLOOKUP(I258,'G-1 All Habitats'!$V$3:$W$7,2,FALSE),"")</f>
        <v/>
      </c>
      <c r="K258" s="314"/>
      <c r="L258" s="501" t="str">
        <f>IFERROR(INDEX('G-8 Condition Look up'!$A$3:$H$130,MATCH(G258,'G-8 Condition Look up'!$A$3:$A$130,0),MATCH(K258,'G-8 Condition Look up'!$A$3:$H$3,0)),"")</f>
        <v/>
      </c>
      <c r="M258" s="314"/>
      <c r="N258" s="507" t="str">
        <f>IF(M258="","",IF(VLOOKUP(M258,'G-3 Multipliers'!$L$3:$N$6,2,FALSE)=0,"Spatial Data Missing",VLOOKUP(M258,'G-3 Multipliers'!$L$3:$N$6,2,FALSE)))</f>
        <v/>
      </c>
      <c r="O258" s="509" t="str">
        <f>IF(M258="","",IF(VLOOKUP(M258,'G-3 Multipliers'!$L$3:$N$6,3,FALSE)=0,"Spatial Data Missing",VLOOKUP(M258,'G-3 Multipliers'!$L$3:$N$6,3,FALSE)))</f>
        <v/>
      </c>
      <c r="P258" s="510" t="str">
        <f>IFERROR(VLOOKUP(G258,'G-1 All Habitats'!$B$2:$M$129,12,FALSE),"")</f>
        <v/>
      </c>
      <c r="Q258" s="513" t="str">
        <f>IFERROR(IF(P258="","",IF(AND(P258='G-1 All Habitats'!$X$3,T258&gt;0),U258+V258,IF(AND(P258='G-1 All Habitats'!$X$3,S258&gt;0),U258+V258,IF(AND(P258='G-1 All Habitats'!$X$3,AC258&gt;0),"Any Loss Unacceptable ▲",IF(AND(P258='G-1 All Habitats'!$X$3,W258&gt;0),"Any Loss Unacceptable ▲",H258*J258*L258*O258))))),"Check Data ▲")</f>
        <v/>
      </c>
      <c r="R258" s="50"/>
      <c r="S258" s="314"/>
      <c r="T258" s="315"/>
      <c r="U258" s="512" t="str">
        <f t="shared" si="18"/>
        <v/>
      </c>
      <c r="V258" s="512" t="str">
        <f t="shared" si="19"/>
        <v/>
      </c>
      <c r="W258" s="511" t="str">
        <f>IF(E258="","",IF(H258&lt;S258+T258,"Error in Areas ▲",IF(P258&lt;&gt;'G-1 All Habitats'!$X$3,H258-S258-T258,IF(AND(P258='G-1 All Habitats'!$X$3,Y258="Yes"),"Unacceptable Loss",IF(AND(P258='G-1 All Habitats'!$X$3,Y258="No"),AC258,IF(AND(P258='G-1 All Habitats'!$X$3,Y258=""),AC258,IF(AND(P258='G-1 All Habitats'!$X$3,AC258="None",AC258),IF(AND(P258='G-1 All Habitats'!$X$3,AC258&gt;0),H258-S258-T258))))))))</f>
        <v/>
      </c>
      <c r="X258" s="516" t="str">
        <f>IFERROR(IF(H258="","",IF(H258-S258-T258=0&lt;0,"Error in Areas ▲",IF(S258+T258&gt;H258,"Error in Areas ▲",IF(AND(P258='G-1 All Habitats'!$X$3,Y258="Yes"),"Alternative Compensation ✓",IF(W258=0,0,IF(P258='G-1 All Habitats'!$X$3,"Unacceptable Loss ▲",Q258-U258-V258)))))),"Check Data ▲")</f>
        <v/>
      </c>
      <c r="Y258" s="318"/>
      <c r="Z258" s="83"/>
      <c r="AA258" s="84"/>
      <c r="AC258" s="75" t="str">
        <f>IF(P258="","",IF(P258='G-1 All Habitats'!$X$3,H258-S258-T258,"None"))</f>
        <v/>
      </c>
      <c r="AD258" s="76" t="str">
        <f>IFERROR(AC258*J258*L258*#REF!*O258,IF(P258="","","None"))</f>
        <v/>
      </c>
      <c r="AF258" s="54" t="str">
        <f t="shared" si="15"/>
        <v/>
      </c>
      <c r="AG258" s="54" t="str">
        <f t="shared" si="16"/>
        <v/>
      </c>
      <c r="AH258" s="54" t="str">
        <f>IF(I258="","",IF(#REF!&gt;0,TRUE,FALSE))</f>
        <v/>
      </c>
      <c r="AI258" s="54">
        <v>248</v>
      </c>
      <c r="AJ258" s="54"/>
      <c r="AK258" s="54" t="str">
        <f t="array" ref="AK258">IFERROR(INDEX($AI$11:$AI$259, MATCH(0, IF(TRUE=$AF$11:$AF$259, COUNTIF($AK$10:$AK257, $AI$11:$AI$259), ""), 0)),"")</f>
        <v/>
      </c>
      <c r="AL258" s="54" t="str">
        <f t="array" ref="AL258">IFERROR(INDEX($AI$11:$AI$259, MATCH(0, IF(TRUE=$AG$11:$AG$259, COUNTIF($AL$10:$AL257, $AI$11:$AI$259), ""), 0)),"")</f>
        <v/>
      </c>
      <c r="AM258" s="54" t="str">
        <f t="array" ref="AM258">IFERROR(INDEX($AI$11:$AI$259, MATCH(0, IF(TRUE=$AH$11:$AH$259, COUNTIF($AM$10:$AM257, $AI$11:$AI$259), ""), 0)),"")</f>
        <v/>
      </c>
      <c r="AN258" s="54"/>
      <c r="AQ258" s="47">
        <f t="shared" si="17"/>
        <v>0</v>
      </c>
    </row>
    <row r="259" spans="1:43" ht="14.5" thickBot="1" x14ac:dyDescent="0.35">
      <c r="F259" s="502" t="s">
        <v>223</v>
      </c>
      <c r="H259" s="503">
        <f>SUM(H9:H256)</f>
        <v>1.6578360000000001</v>
      </c>
      <c r="N259" s="50"/>
      <c r="P259" s="445"/>
      <c r="Q259" s="514">
        <f>IF('Detailed Results'!$K$40&gt;0,"Error",SUM(Q11:Q258))</f>
        <v>4.1693975999999999</v>
      </c>
      <c r="R259" s="85"/>
      <c r="S259" s="517">
        <f>IF('Detailed Results'!$K$40&gt;0,"Error",SUM(S11:S258))</f>
        <v>4.58E-2</v>
      </c>
      <c r="T259" s="518">
        <f>IF('Detailed Results'!$K$40&gt;0,"Error",SUM(T11:T258))</f>
        <v>0</v>
      </c>
      <c r="U259" s="518">
        <f>IF('Detailed Results'!$K$40&gt;0,"Error",SUM(U11:U258))</f>
        <v>0.27876999999999996</v>
      </c>
      <c r="V259" s="518">
        <f>IF('Detailed Results'!$K$40&gt;0,"Error",SUM(V11:V258))</f>
        <v>0</v>
      </c>
      <c r="W259" s="518">
        <f>IF('Detailed Results'!$K$40&gt;0,"Error",SUM(W11:W258))</f>
        <v>1.6120359999999998</v>
      </c>
      <c r="X259" s="514">
        <f>IF('Detailed Results'!$K$40&gt;0,"Error",SUM(X11:X258))</f>
        <v>3.8906276000000002</v>
      </c>
      <c r="AQ259" s="55">
        <f>SUM(AQ11:AQ258)</f>
        <v>0</v>
      </c>
    </row>
    <row r="260" spans="1:43" ht="28.5" customHeight="1" thickBot="1" x14ac:dyDescent="0.35">
      <c r="F260" s="458"/>
      <c r="P260" s="48"/>
      <c r="Y260" s="86"/>
    </row>
    <row r="261" spans="1:43" ht="38.25" customHeight="1" thickBot="1" x14ac:dyDescent="0.35">
      <c r="D261" s="48"/>
      <c r="E261" s="48"/>
      <c r="F261" s="48"/>
      <c r="G261" s="48"/>
      <c r="H261" s="48"/>
      <c r="S261" s="888" t="s">
        <v>224</v>
      </c>
      <c r="T261" s="889"/>
      <c r="U261" s="889"/>
      <c r="V261" s="890"/>
      <c r="W261" s="503">
        <f>IF('Detailed Results'!$K$40&gt;0,"Error",SUMIFS($W$11:$W$258,$G$11:$G$258,"&lt;&gt;"&amp;'G-1 All Habitats'!B65,$G$11:$G$258,"&lt;&gt;"&amp;'G-1 All Habitats'!B66,$G$11:$G$258,"&lt;&gt;"&amp;'G-1 All Habitats'!B73))</f>
        <v>1.6120359999999998</v>
      </c>
    </row>
    <row r="262" spans="1:43" x14ac:dyDescent="0.3">
      <c r="D262" s="48"/>
      <c r="E262" s="48"/>
    </row>
    <row r="263" spans="1:43" x14ac:dyDescent="0.3">
      <c r="D263" s="48"/>
      <c r="E263" s="48"/>
      <c r="F263" s="48"/>
      <c r="G263" s="48"/>
      <c r="H263" s="48"/>
      <c r="I263" s="48"/>
      <c r="J263" s="48"/>
      <c r="K263" s="48"/>
      <c r="L263" s="48"/>
      <c r="M263" s="48"/>
      <c r="N263" s="48"/>
      <c r="O263" s="48"/>
    </row>
    <row r="264" spans="1:43" x14ac:dyDescent="0.3">
      <c r="D264" s="48"/>
      <c r="E264" s="48"/>
      <c r="F264" s="48"/>
      <c r="G264" s="48"/>
      <c r="H264" s="48"/>
      <c r="I264" s="48"/>
      <c r="J264" s="48"/>
      <c r="K264" s="48"/>
      <c r="L264" s="48"/>
      <c r="M264" s="48"/>
      <c r="N264" s="48"/>
      <c r="O264" s="48"/>
    </row>
    <row r="265" spans="1:43" x14ac:dyDescent="0.3">
      <c r="D265" s="48"/>
      <c r="E265" s="48"/>
      <c r="F265" s="48"/>
      <c r="G265" s="48"/>
      <c r="H265" s="48"/>
      <c r="I265" s="48"/>
      <c r="J265" s="48"/>
      <c r="K265" s="48"/>
      <c r="L265" s="48"/>
      <c r="M265" s="48"/>
      <c r="N265" s="48"/>
      <c r="O265" s="48"/>
    </row>
    <row r="275" x14ac:dyDescent="0.3"/>
  </sheetData>
  <sheetProtection algorithmName="SHA-512" hashValue="J1HR/iPbhja6S90cHLAaiiWny17iVfjKLDKuCUExTYmDp+iACze+Ojk+fw4O/4EOu4+bZqCu3nPIqcGn7hqW/g==" saltValue="ovnD5/1rKrFP8IPRpgy6DA==" spinCount="100000" sheet="1" objects="1" scenarios="1"/>
  <customSheetViews>
    <customSheetView guid="{8BDA793C-C9C5-4FC6-A0A5-F1109F6D4F22}" topLeftCell="C1">
      <pane ySplit="10" topLeftCell="A11" activePane="bottomLeft" state="frozen"/>
      <selection pane="bottomLeft"/>
    </customSheetView>
  </customSheetViews>
  <mergeCells count="11">
    <mergeCell ref="S261:V261"/>
    <mergeCell ref="D3:F4"/>
    <mergeCell ref="D2:F2"/>
    <mergeCell ref="E9:H9"/>
    <mergeCell ref="Z9:AA9"/>
    <mergeCell ref="I9:J9"/>
    <mergeCell ref="K9:L9"/>
    <mergeCell ref="M9:O9"/>
    <mergeCell ref="S9:X9"/>
    <mergeCell ref="P9:P10"/>
    <mergeCell ref="Y9:Y10"/>
  </mergeCells>
  <conditionalFormatting sqref="AC11:AC258">
    <cfRule type="cellIs" dxfId="316" priority="158" operator="equal">
      <formula>""</formula>
    </cfRule>
    <cfRule type="cellIs" dxfId="315" priority="159" operator="equal">
      <formula>"None"</formula>
    </cfRule>
    <cfRule type="cellIs" dxfId="314" priority="163" operator="greaterThan">
      <formula>0</formula>
    </cfRule>
  </conditionalFormatting>
  <conditionalFormatting sqref="AD12">
    <cfRule type="cellIs" dxfId="313" priority="154" operator="equal">
      <formula>"None"</formula>
    </cfRule>
    <cfRule type="cellIs" dxfId="312" priority="157" operator="equal">
      <formula>""</formula>
    </cfRule>
    <cfRule type="cellIs" dxfId="311" priority="160" operator="greaterThan">
      <formula>0</formula>
    </cfRule>
  </conditionalFormatting>
  <conditionalFormatting sqref="AC11">
    <cfRule type="cellIs" dxfId="310" priority="143" operator="equal">
      <formula>""</formula>
    </cfRule>
    <cfRule type="cellIs" dxfId="309" priority="144" operator="equal">
      <formula>"None"</formula>
    </cfRule>
    <cfRule type="cellIs" dxfId="308" priority="147" operator="greaterThan">
      <formula>0</formula>
    </cfRule>
  </conditionalFormatting>
  <conditionalFormatting sqref="AD11:AD258">
    <cfRule type="cellIs" dxfId="307" priority="139" operator="equal">
      <formula>"None"</formula>
    </cfRule>
    <cfRule type="cellIs" dxfId="306" priority="142" operator="equal">
      <formula>""</formula>
    </cfRule>
    <cfRule type="cellIs" dxfId="305" priority="145" operator="greaterThan">
      <formula>0</formula>
    </cfRule>
  </conditionalFormatting>
  <conditionalFormatting sqref="AC11:AC258">
    <cfRule type="cellIs" dxfId="304" priority="128" operator="equal">
      <formula>""</formula>
    </cfRule>
    <cfRule type="cellIs" dxfId="303" priority="129" operator="equal">
      <formula>"None"</formula>
    </cfRule>
    <cfRule type="cellIs" dxfId="302" priority="132" operator="greaterThan">
      <formula>0</formula>
    </cfRule>
  </conditionalFormatting>
  <conditionalFormatting sqref="AD13:AD258">
    <cfRule type="cellIs" dxfId="301" priority="124" operator="equal">
      <formula>"None"</formula>
    </cfRule>
    <cfRule type="cellIs" dxfId="300" priority="127" operator="equal">
      <formula>""</formula>
    </cfRule>
    <cfRule type="cellIs" dxfId="299" priority="130" operator="greaterThan">
      <formula>0</formula>
    </cfRule>
  </conditionalFormatting>
  <conditionalFormatting sqref="AC11:AC258">
    <cfRule type="cellIs" dxfId="298" priority="121" operator="equal">
      <formula>0</formula>
    </cfRule>
  </conditionalFormatting>
  <conditionalFormatting sqref="L11">
    <cfRule type="cellIs" dxfId="297" priority="113" operator="equal">
      <formula>"Not Possible"</formula>
    </cfRule>
  </conditionalFormatting>
  <conditionalFormatting sqref="L12:L258">
    <cfRule type="cellIs" dxfId="296" priority="99" operator="equal">
      <formula>"Not Possible"</formula>
    </cfRule>
  </conditionalFormatting>
  <conditionalFormatting sqref="W11:W258">
    <cfRule type="cellIs" dxfId="295" priority="41" operator="equal">
      <formula>"Error in Areas"</formula>
    </cfRule>
    <cfRule type="cellIs" dxfId="294" priority="71" operator="equal">
      <formula>"Unacceptable Loss"</formula>
    </cfRule>
  </conditionalFormatting>
  <conditionalFormatting sqref="Q11:Q258">
    <cfRule type="cellIs" dxfId="293" priority="49" operator="equal">
      <formula>"Any loss Unacceptable ▲"</formula>
    </cfRule>
  </conditionalFormatting>
  <conditionalFormatting sqref="Q11:Q258">
    <cfRule type="expression" dxfId="292" priority="51">
      <formula>"p18=""Avoid"""</formula>
    </cfRule>
  </conditionalFormatting>
  <conditionalFormatting sqref="Q11:Q258">
    <cfRule type="cellIs" dxfId="291" priority="50" operator="equal">
      <formula>"Any loss Unacceptable ▲"</formula>
    </cfRule>
  </conditionalFormatting>
  <conditionalFormatting sqref="Q11:Q258">
    <cfRule type="cellIs" dxfId="290" priority="46" operator="equal">
      <formula>"Any loss Unacceptable ▲"</formula>
    </cfRule>
  </conditionalFormatting>
  <conditionalFormatting sqref="Q11:Q258">
    <cfRule type="expression" dxfId="289" priority="48">
      <formula>"p18=""Avoid"""</formula>
    </cfRule>
  </conditionalFormatting>
  <conditionalFormatting sqref="Q11:Q258">
    <cfRule type="cellIs" dxfId="288" priority="47" operator="equal">
      <formula>"Any loss Unacceptable ▲"</formula>
    </cfRule>
  </conditionalFormatting>
  <conditionalFormatting sqref="Q12:Q258">
    <cfRule type="cellIs" dxfId="287" priority="43" operator="equal">
      <formula>"Any loss Unacceptable ▲"</formula>
    </cfRule>
  </conditionalFormatting>
  <conditionalFormatting sqref="Q12:Q258">
    <cfRule type="expression" dxfId="286" priority="45">
      <formula>"p18=""Avoid"""</formula>
    </cfRule>
  </conditionalFormatting>
  <conditionalFormatting sqref="Q12:Q258">
    <cfRule type="cellIs" dxfId="285" priority="44" operator="equal">
      <formula>"Any loss Unacceptable ▲"</formula>
    </cfRule>
  </conditionalFormatting>
  <conditionalFormatting sqref="Q11:Q258">
    <cfRule type="cellIs" dxfId="284" priority="42" operator="equal">
      <formula>"Check Data ▲"</formula>
    </cfRule>
  </conditionalFormatting>
  <conditionalFormatting sqref="Y11">
    <cfRule type="cellIs" dxfId="283" priority="109" operator="equal">
      <formula>"No"</formula>
    </cfRule>
    <cfRule type="cellIs" dxfId="282" priority="110" operator="equal">
      <formula>"Yes"</formula>
    </cfRule>
  </conditionalFormatting>
  <conditionalFormatting sqref="X11">
    <cfRule type="cellIs" dxfId="281" priority="15" operator="equal">
      <formula>"Alternative Compensation ✓"</formula>
    </cfRule>
    <cfRule type="cellIs" dxfId="280" priority="26" operator="equal">
      <formula>"Error in Areas ▲"</formula>
    </cfRule>
  </conditionalFormatting>
  <conditionalFormatting sqref="X11">
    <cfRule type="cellIs" dxfId="279" priority="27" operator="equal">
      <formula>"Unacceptable Loss ▲"</formula>
    </cfRule>
  </conditionalFormatting>
  <conditionalFormatting sqref="W12 W15 W18 W21 W24 W27 W30 W33 W36 W39 W42 W45 W48 W51 W54 W57 W60 W63 W66 W69 W72 W75 W78 W81 W84 W87 W90 W93 W96 W99 W102 W105 W108 W111 W114 W117 W120 W123 W126 W129 W132 W135 W138 W141 W144 W147 W150 W153 W156 W159 W162 W165 W168 W171 W174 W177 W180 W183 W186 W189 W192 W195 W198 W201 W204 W207 W210 W213 W216 W219 W222 W225 W228 W231 W234 W237 W240 W243 W246 W249 W252 W255 W258">
    <cfRule type="cellIs" dxfId="278" priority="11" operator="equal">
      <formula>"Error in Areas"</formula>
    </cfRule>
    <cfRule type="cellIs" dxfId="277" priority="12" operator="equal">
      <formula>"Unacceptable Loss"</formula>
    </cfRule>
  </conditionalFormatting>
  <conditionalFormatting sqref="Y12">
    <cfRule type="cellIs" dxfId="276" priority="13" operator="equal">
      <formula>"No"</formula>
    </cfRule>
    <cfRule type="cellIs" dxfId="275" priority="14" operator="equal">
      <formula>"Yes"</formula>
    </cfRule>
  </conditionalFormatting>
  <conditionalFormatting sqref="X12:X257">
    <cfRule type="cellIs" dxfId="274" priority="8" operator="equal">
      <formula>"Alternative Compensation ✓"</formula>
    </cfRule>
    <cfRule type="cellIs" dxfId="273" priority="9" operator="equal">
      <formula>"Error in Areas ▲"</formula>
    </cfRule>
  </conditionalFormatting>
  <conditionalFormatting sqref="X12:X257">
    <cfRule type="cellIs" dxfId="272" priority="10" operator="equal">
      <formula>"Unacceptable Loss ▲"</formula>
    </cfRule>
  </conditionalFormatting>
  <conditionalFormatting sqref="W11:W258">
    <cfRule type="cellIs" dxfId="271" priority="4" operator="equal">
      <formula>"Error in Areas ▲"</formula>
    </cfRule>
    <cfRule type="cellIs" dxfId="270" priority="5" operator="equal">
      <formula>"Unacceptable Loss"</formula>
    </cfRule>
  </conditionalFormatting>
  <conditionalFormatting sqref="Y13:Y258">
    <cfRule type="cellIs" dxfId="269" priority="6" operator="equal">
      <formula>"No"</formula>
    </cfRule>
    <cfRule type="cellIs" dxfId="268" priority="7" operator="equal">
      <formula>"Yes"</formula>
    </cfRule>
  </conditionalFormatting>
  <conditionalFormatting sqref="X258">
    <cfRule type="cellIs" dxfId="267" priority="1" operator="equal">
      <formula>"Alternative Compensation ✓"</formula>
    </cfRule>
    <cfRule type="cellIs" dxfId="266" priority="2" operator="equal">
      <formula>"Error in Areas ▲"</formula>
    </cfRule>
  </conditionalFormatting>
  <conditionalFormatting sqref="X258">
    <cfRule type="cellIs" dxfId="265" priority="3" operator="equal">
      <formula>"Unacceptable Loss ▲"</formula>
    </cfRule>
  </conditionalFormatting>
  <dataValidations xWindow="350" yWindow="550" count="3">
    <dataValidation type="list" allowBlank="1" showInputMessage="1" showErrorMessage="1" sqref="F11:F258" xr:uid="{00000000-0002-0000-0900-000000000000}">
      <formula1>INDIRECT(A11)</formula1>
    </dataValidation>
    <dataValidation allowBlank="1" showErrorMessage="1" errorTitle="Invalid Habitat" error="Select from List" sqref="G11:G258" xr:uid="{00000000-0002-0000-0900-000001000000}"/>
    <dataValidation type="list" allowBlank="1" showInputMessage="1" showErrorMessage="1" sqref="K11:K258" xr:uid="{00000000-0002-0000-0900-000002000000}">
      <formula1>INDIRECT(B11)</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118" operator="equal" id="{89E5D34A-84D2-451B-AE19-E1C55CD4AE97}">
            <xm:f>'G-1 All Habitats'!$X$6</xm:f>
            <x14:dxf>
              <fill>
                <patternFill>
                  <fgColor auto="1"/>
                  <bgColor theme="8" tint="0.59996337778862885"/>
                </patternFill>
              </fill>
            </x14:dxf>
          </x14:cfRule>
          <x14:cfRule type="cellIs" priority="221" operator="equal" id="{41051103-CFA0-4D28-ABC8-80C73B0DAD71}">
            <xm:f>'G-1 All Habitats'!$X$5</xm:f>
            <x14:dxf>
              <fill>
                <patternFill>
                  <bgColor theme="8" tint="-0.24994659260841701"/>
                </patternFill>
              </fill>
            </x14:dxf>
          </x14:cfRule>
          <x14:cfRule type="cellIs" priority="222" operator="equal" id="{0D8BC356-8EEA-4D5F-8274-BFC36C55C14A}">
            <xm:f>'G-1 All Habitats'!$X$4</xm:f>
            <x14:dxf>
              <fill>
                <patternFill>
                  <bgColor theme="6"/>
                </patternFill>
              </fill>
            </x14:dxf>
          </x14:cfRule>
          <x14:cfRule type="cellIs" priority="223" operator="equal" id="{30DC79CD-935D-4166-88BF-C5C9590761A5}">
            <xm:f>'G-1 All Habitats'!$X$3</xm:f>
            <x14:dxf>
              <fill>
                <patternFill>
                  <bgColor rgb="FFFF0000"/>
                </patternFill>
              </fill>
            </x14:dxf>
          </x14:cfRule>
          <xm:sqref>P11:P258</xm:sqref>
        </x14:conditionalFormatting>
      </x14:conditionalFormattings>
    </ext>
    <ext xmlns:x14="http://schemas.microsoft.com/office/spreadsheetml/2009/9/main" uri="{CCE6A557-97BC-4b89-ADB6-D9C93CAAB3DF}">
      <x14:dataValidations xmlns:xm="http://schemas.microsoft.com/office/excel/2006/main" xWindow="350" yWindow="550" count="3">
        <x14:dataValidation type="list" allowBlank="1" showErrorMessage="1" prompt=" _x000a_" xr:uid="{00000000-0002-0000-0900-000004000000}">
          <x14:formula1>
            <xm:f>'G-3 Multipliers'!$L$4:$L$6</xm:f>
          </x14:formula1>
          <xm:sqref>M11:M258</xm:sqref>
        </x14:dataValidation>
        <x14:dataValidation type="list" allowBlank="1" showInputMessage="1" showErrorMessage="1" xr:uid="{00000000-0002-0000-0900-000003000000}">
          <x14:formula1>
            <xm:f>'G-1 All Habitats'!$AD$3:$AD$4</xm:f>
          </x14:formula1>
          <xm:sqref>Y11:Y258</xm:sqref>
        </x14:dataValidation>
        <x14:dataValidation type="list" allowBlank="1" showInputMessage="1" showErrorMessage="1" xr:uid="{00000000-0002-0000-0900-000005000000}">
          <x14:formula1>
            <xm:f>'G-1 All Habitats'!$AF$3:$AF$15</xm:f>
          </x14:formula1>
          <xm:sqref>E11:E258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F0C8D774F9524F4BAB58937A02AB52BD" ma:contentTypeVersion="11" ma:contentTypeDescription="Create a new document." ma:contentTypeScope="" ma:versionID="6e76f92f5f00916c9a9aa0abcbfdeb0d">
  <xsd:schema xmlns:xsd="http://www.w3.org/2001/XMLSchema" xmlns:xs="http://www.w3.org/2001/XMLSchema" xmlns:p="http://schemas.microsoft.com/office/2006/metadata/properties" xmlns:ns2="662745e8-e224-48e8-a2e3-254862b8c2f5" xmlns:ns3="98e27532-bbeb-4da6-8880-e7fe4b0abe63" xmlns:ns4="08894ec1-7550-4066-aff3-9f6acf21a880" targetNamespace="http://schemas.microsoft.com/office/2006/metadata/properties" ma:root="true" ma:fieldsID="5c84f677a90429634029db2e377df7ac" ns2:_="" ns3:_="" ns4:_="">
    <xsd:import namespace="662745e8-e224-48e8-a2e3-254862b8c2f5"/>
    <xsd:import namespace="98e27532-bbeb-4da6-8880-e7fe4b0abe63"/>
    <xsd:import namespace="08894ec1-7550-4066-aff3-9f6acf21a880"/>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dd239b6b-5579-48d6-b7fb-43491ab9e18d}" ma:internalName="TaxCatchAll" ma:showField="CatchAllData" ma:web="08894ec1-7550-4066-aff3-9f6acf21a880">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dd239b6b-5579-48d6-b7fb-43491ab9e18d}" ma:internalName="TaxCatchAllLabel" ma:readOnly="true" ma:showField="CatchAllDataLabel" ma:web="08894ec1-7550-4066-aff3-9f6acf21a880">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Net Gain Metric development" ma:internalName="Team">
      <xsd:simpleType>
        <xsd:restriction base="dms:Text"/>
      </xsd:simpleType>
    </xsd:element>
    <xsd:element name="Topic" ma:index="20" nillable="true" ma:displayName="Topic" ma:default="002" ma:internalName="Topic">
      <xsd:simpleType>
        <xsd:restriction base="dms:Text"/>
      </xsd:simpleType>
    </xsd:element>
    <xsd:element name="ddeb1fd0a9ad4436a96525d34737dc44" ma:index="21" nillable="true" ma:taxonomy="true" ma:internalName="ddeb1fd0a9ad4436a96525d34737dc44" ma:taxonomyFieldName="Distribution" ma:displayName="Distribution" ma:default="9;#Internal NE|70a74972-c838-4a08-aeb8-2c6aad14b4d9"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default="8;#NE|275df9ce-cd92-4318-adfe-db572e51c7ff"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8e27532-bbeb-4da6-8880-e7fe4b0abe63" elementFormDefault="qualified">
    <xsd:import namespace="http://schemas.microsoft.com/office/2006/documentManagement/types"/>
    <xsd:import namespace="http://schemas.microsoft.com/office/infopath/2007/PartnerControls"/>
    <xsd:element name="MediaServiceMetadata" ma:index="25" nillable="true" ma:displayName="MediaServiceMetadata" ma:hidden="true" ma:internalName="MediaServiceMetadata" ma:readOnly="true">
      <xsd:simpleType>
        <xsd:restriction base="dms:Note"/>
      </xsd:simpleType>
    </xsd:element>
    <xsd:element name="MediaServiceFastMetadata" ma:index="26" nillable="true" ma:displayName="MediaServiceFastMetadata" ma:hidden="true" ma:internalName="MediaServiceFastMetadata" ma:readOnly="true">
      <xsd:simpleType>
        <xsd:restriction base="dms:Note"/>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8894ec1-7550-4066-aff3-9f6acf21a880"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f401361b24e474cb011be6eb76c0e76 xmlns="662745e8-e224-48e8-a2e3-254862b8c2f5">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k85d23755b3a46b5a51451cf336b2e9b xmlns="662745e8-e224-48e8-a2e3-254862b8c2f5">
      <Terms xmlns="http://schemas.microsoft.com/office/infopath/2007/PartnerControls"/>
    </k85d23755b3a46b5a51451cf336b2e9b>
    <Topic xmlns="662745e8-e224-48e8-a2e3-254862b8c2f5">002</Topic>
    <HOMigrated xmlns="662745e8-e224-48e8-a2e3-254862b8c2f5">false</HOMigrated>
    <ddeb1fd0a9ad4436a96525d34737dc44 xmlns="662745e8-e224-48e8-a2e3-254862b8c2f5">
      <Terms xmlns="http://schemas.microsoft.com/office/infopath/2007/PartnerControls">
        <TermInfo xmlns="http://schemas.microsoft.com/office/infopath/2007/PartnerControls">
          <TermName xmlns="http://schemas.microsoft.com/office/infopath/2007/PartnerControls">Internal NE</TermName>
          <TermId xmlns="http://schemas.microsoft.com/office/infopath/2007/PartnerControls">70a74972-c838-4a08-aeb8-2c6aad14b4d9</TermId>
        </TermInfo>
      </Terms>
    </ddeb1fd0a9ad4436a96525d34737dc44>
    <lae2bfa7b6474897ab4a53f76ea236c7 xmlns="662745e8-e224-48e8-a2e3-254862b8c2f5">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TaxCatchAll xmlns="662745e8-e224-48e8-a2e3-254862b8c2f5">
      <Value>6</Value>
      <Value>10</Value>
      <Value>9</Value>
      <Value>8</Value>
      <Value>7</Value>
    </TaxCatchAll>
    <fe59e9859d6a491389c5b03567f5dda5 xmlns="662745e8-e224-48e8-a2e3-254862b8c2f5">
      <Terms xmlns="http://schemas.microsoft.com/office/infopath/2007/PartnerControls">
        <TermInfo xmlns="http://schemas.microsoft.com/office/infopath/2007/PartnerControls">
          <TermName xmlns="http://schemas.microsoft.com/office/infopath/2007/PartnerControls">NE</TermName>
          <TermId xmlns="http://schemas.microsoft.com/office/infopath/2007/PartnerControls">275df9ce-cd92-4318-adfe-db572e51c7ff</TermId>
        </TermInfo>
      </Terms>
    </fe59e9859d6a491389c5b03567f5dda5>
    <Team xmlns="662745e8-e224-48e8-a2e3-254862b8c2f5">Net Gain Metric development</Team>
    <n7493b4506bf40e28c373b1e51a33445 xmlns="662745e8-e224-48e8-a2e3-254862b8c2f5">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ff0485df-0575-416f-802f-e999165821b7</TermId>
        </TermInfo>
      </Terms>
    </n7493b4506bf40e28c373b1e51a33445>
  </documentManagement>
</p:properties>
</file>

<file path=customXml/item3.xml><?xml version="1.0" encoding="utf-8"?>
<?mso-contentType ?>
<SharedContentType xmlns="Microsoft.SharePoint.Taxonomy.ContentTypeSync" SourceId="d1117845-93f6-4da3-abaa-fcb4fa669c78" ContentTypeId="0x010100A5BF1C78D9F64B679A5EBDE1C6598EBC01" PreviousValue="false" LastSyncTimeStamp="2018-07-26T16:29:50.71Z"/>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F0FDB1-FF7A-4C29-A49D-E068A2997C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2745e8-e224-48e8-a2e3-254862b8c2f5"/>
    <ds:schemaRef ds:uri="98e27532-bbeb-4da6-8880-e7fe4b0abe63"/>
    <ds:schemaRef ds:uri="08894ec1-7550-4066-aff3-9f6acf21a8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D8E80E-3650-4921-9D0F-F779F71661B1}">
  <ds:schemaRefs>
    <ds:schemaRef ds:uri="http://purl.org/dc/dcmitype/"/>
    <ds:schemaRef ds:uri="98e27532-bbeb-4da6-8880-e7fe4b0abe63"/>
    <ds:schemaRef ds:uri="http://purl.org/dc/elements/1.1/"/>
    <ds:schemaRef ds:uri="http://purl.org/dc/terms/"/>
    <ds:schemaRef ds:uri="http://schemas.microsoft.com/office/2006/documentManagement/types"/>
    <ds:schemaRef ds:uri="http://schemas.openxmlformats.org/package/2006/metadata/core-properties"/>
    <ds:schemaRef ds:uri="662745e8-e224-48e8-a2e3-254862b8c2f5"/>
    <ds:schemaRef ds:uri="http://www.w3.org/XML/1998/namespace"/>
    <ds:schemaRef ds:uri="http://schemas.microsoft.com/office/2006/metadata/properties"/>
    <ds:schemaRef ds:uri="http://schemas.microsoft.com/office/infopath/2007/PartnerControls"/>
    <ds:schemaRef ds:uri="08894ec1-7550-4066-aff3-9f6acf21a880"/>
  </ds:schemaRefs>
</ds:datastoreItem>
</file>

<file path=customXml/itemProps3.xml><?xml version="1.0" encoding="utf-8"?>
<ds:datastoreItem xmlns:ds="http://schemas.openxmlformats.org/officeDocument/2006/customXml" ds:itemID="{268AFCAB-49ED-4D9D-A772-950954169F72}">
  <ds:schemaRefs>
    <ds:schemaRef ds:uri="Microsoft.SharePoint.Taxonomy.ContentTypeSync"/>
  </ds:schemaRefs>
</ds:datastoreItem>
</file>

<file path=customXml/itemProps4.xml><?xml version="1.0" encoding="utf-8"?>
<ds:datastoreItem xmlns:ds="http://schemas.openxmlformats.org/officeDocument/2006/customXml" ds:itemID="{58239782-4E07-4B04-8FC6-10B477E7F0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37</vt:i4>
      </vt:variant>
      <vt:variant>
        <vt:lpstr>Named Ranges</vt:lpstr>
      </vt:variant>
      <vt:variant>
        <vt:i4>51</vt:i4>
      </vt:variant>
    </vt:vector>
  </HeadingPairs>
  <TitlesOfParts>
    <vt:vector size="88" baseType="lpstr">
      <vt:lpstr>Introduction</vt:lpstr>
      <vt:lpstr>Start</vt:lpstr>
      <vt:lpstr>Instructions</vt:lpstr>
      <vt:lpstr>Main Menu</vt:lpstr>
      <vt:lpstr>Results</vt:lpstr>
      <vt:lpstr>Headline Results</vt:lpstr>
      <vt:lpstr>Detailed Results</vt:lpstr>
      <vt:lpstr>Trading Summary</vt:lpstr>
      <vt:lpstr>A-1 Site Habitat Baseline</vt:lpstr>
      <vt:lpstr>A-2 Site Habitat Creation</vt:lpstr>
      <vt:lpstr>A-3 Site Habitat Enhancement</vt:lpstr>
      <vt:lpstr>D-1 Off Site Habitat Baseline</vt:lpstr>
      <vt:lpstr>D-2 Off Site Habitat Creation</vt:lpstr>
      <vt:lpstr>D-3 Off Site Habitat Enhancment</vt:lpstr>
      <vt:lpstr>B-1 Site Hedge Baseline</vt:lpstr>
      <vt:lpstr>B-2 Site Hedge Creation</vt:lpstr>
      <vt:lpstr>B-3 Site Hedge Enhancement</vt:lpstr>
      <vt:lpstr>E-1 Off Site Hedge Baseline</vt:lpstr>
      <vt:lpstr>E-2 Off Site Hedge Creation</vt:lpstr>
      <vt:lpstr>E-3 Off Site Hedge Enhancement</vt:lpstr>
      <vt:lpstr>C-1 Site River Baseline</vt:lpstr>
      <vt:lpstr>C-2 Site River Creation</vt:lpstr>
      <vt:lpstr>C-3 Site River Enhancement</vt:lpstr>
      <vt:lpstr>F-1 Off Site River Baseline</vt:lpstr>
      <vt:lpstr>F-2 Off Site River Creation</vt:lpstr>
      <vt:lpstr>F-3 Off Site River Enhancement</vt:lpstr>
      <vt:lpstr>G-1 All Habitats</vt:lpstr>
      <vt:lpstr>G-2 Habitat groups</vt:lpstr>
      <vt:lpstr>G-3 Multipliers</vt:lpstr>
      <vt:lpstr>G-4 Temporal multipliers</vt:lpstr>
      <vt:lpstr>G-5 Enhancement Temporal</vt:lpstr>
      <vt:lpstr>G-6 Hedgerow Data</vt:lpstr>
      <vt:lpstr>G-7 Rivers Data</vt:lpstr>
      <vt:lpstr>G-8 Condition Look up</vt:lpstr>
      <vt:lpstr>G-9 Translation Phase 1</vt:lpstr>
      <vt:lpstr>Technical Data</vt:lpstr>
      <vt:lpstr>Lists</vt:lpstr>
      <vt:lpstr>AllHabsSummaryData</vt:lpstr>
      <vt:lpstr>BaselineHabOffsite</vt:lpstr>
      <vt:lpstr>BaselineHabSite</vt:lpstr>
      <vt:lpstr>baselineimage</vt:lpstr>
      <vt:lpstr>Start!baselineimageOS</vt:lpstr>
      <vt:lpstr>Coastal_lagoons</vt:lpstr>
      <vt:lpstr>Coastal_saltmarsh</vt:lpstr>
      <vt:lpstr>Cond1</vt:lpstr>
      <vt:lpstr>Cond2</vt:lpstr>
      <vt:lpstr>Cond3</vt:lpstr>
      <vt:lpstr>Cond4</vt:lpstr>
      <vt:lpstr>Cond5</vt:lpstr>
      <vt:lpstr>'G-8 Condition Look up'!Condition</vt:lpstr>
      <vt:lpstr>'G-8 Condition Look up'!ConditionData</vt:lpstr>
      <vt:lpstr>'G-8 Condition Look up'!ConditionHabitats</vt:lpstr>
      <vt:lpstr>Cropland</vt:lpstr>
      <vt:lpstr>Difficulty</vt:lpstr>
      <vt:lpstr>EnhanceCondition</vt:lpstr>
      <vt:lpstr>EnhanceHabitat</vt:lpstr>
      <vt:lpstr>EnhanceTemporal</vt:lpstr>
      <vt:lpstr>Grassland</vt:lpstr>
      <vt:lpstr>Heathland_and_shrub</vt:lpstr>
      <vt:lpstr>HedgeCond</vt:lpstr>
      <vt:lpstr>Hedgecond1</vt:lpstr>
      <vt:lpstr>Hedgecond2</vt:lpstr>
      <vt:lpstr>HedgeData</vt:lpstr>
      <vt:lpstr>HedgeType</vt:lpstr>
      <vt:lpstr>Intertidal_hard_structures</vt:lpstr>
      <vt:lpstr>Intertidal_sediment</vt:lpstr>
      <vt:lpstr>Lakes</vt:lpstr>
      <vt:lpstr>LPAList</vt:lpstr>
      <vt:lpstr>postdevelopmentimage</vt:lpstr>
      <vt:lpstr>postdevelopmentimageOS</vt:lpstr>
      <vt:lpstr>RetCatChecks</vt:lpstr>
      <vt:lpstr>riparianencroachment1</vt:lpstr>
      <vt:lpstr>riparianencroachment2</vt:lpstr>
      <vt:lpstr>Rivercond1</vt:lpstr>
      <vt:lpstr>Rivercond2</vt:lpstr>
      <vt:lpstr>RiverCondition</vt:lpstr>
      <vt:lpstr>RiverEnhanceTemporal</vt:lpstr>
      <vt:lpstr>RiverHabitat</vt:lpstr>
      <vt:lpstr>RiversEnhancment</vt:lpstr>
      <vt:lpstr>Rocky_shore</vt:lpstr>
      <vt:lpstr>Sparsely_vegetated_land</vt:lpstr>
      <vt:lpstr>TemporalConditions</vt:lpstr>
      <vt:lpstr>TemporalData</vt:lpstr>
      <vt:lpstr>TemporalHabitats</vt:lpstr>
      <vt:lpstr>TemporalMultipliers</vt:lpstr>
      <vt:lpstr>Urban</vt:lpstr>
      <vt:lpstr>Wetland</vt:lpstr>
      <vt:lpstr>Woodland_and_forest</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Panks, Stephen (NE)</dc:creator>
  <cp:keywords/>
  <dc:description/>
  <cp:lastModifiedBy>Andy Rudlin</cp:lastModifiedBy>
  <cp:revision/>
  <dcterms:created xsi:type="dcterms:W3CDTF">2018-04-09T09:41:18Z</dcterms:created>
  <dcterms:modified xsi:type="dcterms:W3CDTF">2022-07-18T10:54:44Z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stMapLocation">
    <vt:lpwstr>IbAjPaSbk3ePRHtS6hz5DWtEIsxudnHPtMNhDhxK/Zs79O84/d8/EiESmCX3O4x+iGBozFVQ86iLJKWIiqy1KTolDvSi8Vf8OjM1i1ZxWJ7MAGn8olQ11OJy4VLUlVZ0Z6pgzsrdXPmjjZOZTCI/60HwxqUaMIFhOJ4P7vT/u+ZioL1SuhHsL7f0GlbGbnCH4AskcBE27qcvInPsX4CsXdnyGPJJwpXkYbNZEPf+lE/Jz3lsCvpWvKMfevzMUjJ</vt:lpwstr>
  </property>
  <property fmtid="{D5CDD505-2E9C-101B-9397-08002B2CF9AE}" pid="3" name="PriorMapLocation">
    <vt:lpwstr>1Set2jh5Jw4elU2PPoGKHvcvzumfxFPbHIuhbuJMhLjnfLTfON8J/Ye95xpJpw92aaWAk2/ZLWGEpKYsye/kp3Ju4yUsLU5KCZY2t+t2kDTU=</vt:lpwstr>
  </property>
  <property fmtid="{D5CDD505-2E9C-101B-9397-08002B2CF9AE}" pid="4" name="MAPCITE Version">
    <vt:lpwstr>Version 1.5.7.0</vt:lpwstr>
  </property>
  <property fmtid="{D5CDD505-2E9C-101B-9397-08002B2CF9AE}" pid="5" name="ContentTypeId">
    <vt:lpwstr>0x010100A5BF1C78D9F64B679A5EBDE1C6598EBC0100F0C8D774F9524F4BAB58937A02AB52BD</vt:lpwstr>
  </property>
  <property fmtid="{D5CDD505-2E9C-101B-9397-08002B2CF9AE}" pid="6" name="InformationType">
    <vt:lpwstr/>
  </property>
  <property fmtid="{D5CDD505-2E9C-101B-9397-08002B2CF9AE}" pid="7" name="Distribution">
    <vt:lpwstr>9;#Internal NE|70a74972-c838-4a08-aeb8-2c6aad14b4d9</vt:lpwstr>
  </property>
  <property fmtid="{D5CDD505-2E9C-101B-9397-08002B2CF9AE}" pid="8" name="HOCopyrightLevel">
    <vt:lpwstr>7;#Crown|69589897-2828-4761-976e-717fd8e631c9</vt:lpwstr>
  </property>
  <property fmtid="{D5CDD505-2E9C-101B-9397-08002B2CF9AE}" pid="9" name="HOGovernmentSecurityClassification">
    <vt:lpwstr>6;#Official|14c80daa-741b-422c-9722-f71693c9ede4</vt:lpwstr>
  </property>
  <property fmtid="{D5CDD505-2E9C-101B-9397-08002B2CF9AE}" pid="10" name="HOSiteType">
    <vt:lpwstr>10;#Team|ff0485df-0575-416f-802f-e999165821b7</vt:lpwstr>
  </property>
  <property fmtid="{D5CDD505-2E9C-101B-9397-08002B2CF9AE}" pid="11" name="OrganisationalUnit">
    <vt:lpwstr>8;#NE|275df9ce-cd92-4318-adfe-db572e51c7ff</vt:lpwstr>
  </property>
</Properties>
</file>